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_DesktopReal\144.COLETA_COMPAT_RETRO_2\tests\fixtures\coletas_compat\"/>
    </mc:Choice>
  </mc:AlternateContent>
  <xr:revisionPtr revIDLastSave="0" documentId="8_{B92EE13D-E479-4420-A141-3D237DE57B1B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comparativo_VTA" sheetId="1" state="hidden" r:id="rId1"/>
    <sheet name="CONTROLE" sheetId="2" r:id="rId2"/>
    <sheet name="parametros" sheetId="3" r:id="rId3"/>
    <sheet name="financeiro" sheetId="4" r:id="rId4"/>
    <sheet name="itens_Remanesc" sheetId="5" r:id="rId5"/>
    <sheet name="itens_Consumidos" sheetId="6" r:id="rId6"/>
    <sheet name="itens_PC" sheetId="7" r:id="rId7"/>
    <sheet name="aditivos" sheetId="8" r:id="rId8"/>
    <sheet name="posicao_referencia" sheetId="9" r:id="rId9"/>
    <sheet name="CICLO_EM_EXECUCAO" sheetId="10" r:id="rId10"/>
    <sheet name="posicao_contratual" sheetId="11" r:id="rId11"/>
    <sheet name="itens_RC" sheetId="12" r:id="rId12"/>
    <sheet name="historico_VU" sheetId="13" r:id="rId13"/>
    <sheet name="cobertura_temporal" sheetId="14" r:id="rId14"/>
    <sheet name="MEMORIA_RESULTADOS" sheetId="15" state="hidden" r:id="rId15"/>
    <sheet name="RESULTADOS" sheetId="16" r:id="rId16"/>
  </sheets>
  <definedNames>
    <definedName name="AJUSTE_MANUAL_VTA">MEMORIA_RESULTADOS!$B$24</definedName>
    <definedName name="AJUSTES_DEVIDOS">RESULTADOS!$B$84</definedName>
    <definedName name="_xlnm.Print_Area" localSheetId="9">CICLO_EM_EXECUCAO!$A$1:$G$211</definedName>
    <definedName name="_xlnm.Print_Area" localSheetId="15">RESULTADOS!$A$1:$H$50</definedName>
    <definedName name="AUDITORIA_ABERTURA_STATUS">RESULTADOS!$H$11</definedName>
    <definedName name="AUDITORIA_COMPARATIVO_INTEGRAL">comparativo_VTA!$B$208</definedName>
    <definedName name="AUDITORIA_CONFERENCIA_STATUS">MEMORIA_RESULTADOS!$W$52</definedName>
    <definedName name="AUDITORIA_DIFERENCA_REFERENCIAS">MEMORIA_RESULTADOS!$W$51</definedName>
    <definedName name="AUDITORIA_SITUACAO_ATUAL_CONTRATO">MEMORIA_RESULTADOS!$W$50</definedName>
    <definedName name="AUDITORIA_SITUACAO_ATUAL_STATUS">RESULTADOS!$H$10</definedName>
    <definedName name="AUDITORIA_ULTIMA_REFERENCIA_ABERTURA">MEMORIA_RESULTADOS!$W$48</definedName>
    <definedName name="CICLO_EM_EXECUCAO_LAYOUT_VERSION">CICLO_EM_EXECUCAO!$H$2</definedName>
    <definedName name="CONFERENCIA_FORMACAO_VTA">RESULTADOS!$B$87</definedName>
    <definedName name="EXECUCAO_ATUALIZADA_CICLO">RESULTADOS!$B$36</definedName>
    <definedName name="EXECUTADO_APURADO">RESULTADOS!$B$83</definedName>
    <definedName name="JUSTIFICATIVA_RETRO">MEMORIA_RESULTADOS!$D$5</definedName>
    <definedName name="METODO_RETROATIVO">MEMORIA_RESULTADOS!$B$4</definedName>
    <definedName name="OPCOES_APLICAR_MANUAL">RESULTADOS!$J$2:$J$3</definedName>
    <definedName name="OPCOES_SIM_NAO">parametros!$T$2:$T$3</definedName>
    <definedName name="OPCOES_SIM_NAO_NA">parametros!$T$2:$T$4</definedName>
    <definedName name="PC_TOTAL_ATE_CORTE">MEMORIA_RESULTADOS!$T$34</definedName>
    <definedName name="PC_TOTAL_CADASTRADO">MEMORIA_RESULTADOS!$T$33</definedName>
    <definedName name="PC_TOTAL_COM_EFEITO">MEMORIA_RESULTADOS!$T$36</definedName>
    <definedName name="PC_TOTAL_SEM_EFEITO">MEMORIA_RESULTADOS!$T$37</definedName>
    <definedName name="QTD_REM_OFICIAL">MEMORIA_RESULTADOS!$B$35</definedName>
    <definedName name="REM_ATUALIZADO_OFICIAL">MEMORIA_RESULTADOS!$D$35</definedName>
    <definedName name="REM_BASE_OFICIAL">MEMORIA_RESULTADOS!$C$35</definedName>
    <definedName name="RETRO_FIN">MEMORIA_RESULTADOS!$B$15</definedName>
    <definedName name="RETRO_ITENS">MEMORIA_RESULTADOS!$D$15</definedName>
    <definedName name="RETRO_OFICIAL">MEMORIA_RESULTADOS!$B$16</definedName>
    <definedName name="RETRO_PC">MEMORIA_RESULTADOS!$C$15</definedName>
    <definedName name="RETROATIVO_POTENCIAL_APURADO">MEMORIA_RESULTADOS!$T$41</definedName>
    <definedName name="RETROATIVO_POTENCIAL_NEGATIVO">MEMORIA_RESULTADOS!$T$47</definedName>
    <definedName name="RETROATIVO_POTENCIAL_PC">MEMORIA_RESULTADOS!$T$38</definedName>
    <definedName name="RETROATIVO_POTENCIAL_VTA">MEMORIA_RESULTADOS!$T$39</definedName>
    <definedName name="SALDO_REMANESCENTE_ATUAL">RESULTADOS!$B$38</definedName>
    <definedName name="STATUS_RESULTADOS">RESULTADOS!$B$3</definedName>
    <definedName name="_xlnm.Print_Titles" localSheetId="9">CICLO_EM_EXECUCAO!$1:$12</definedName>
    <definedName name="TOLERANCIA_DIVERGENCIA">MEMORIA_RESULTADOS!$D$4</definedName>
    <definedName name="VALOR_MANUAL_RETRO">MEMORIA_RESULTADOS!$B$5</definedName>
    <definedName name="VTA_ATUALIZACAO_CHEIA">RESULTADOS!$B$12</definedName>
    <definedName name="VTA_CALCULADO">MEMORIA_RESULTADOS!$B$23</definedName>
    <definedName name="VTA_FINAL">MEMORIA_RESULTADOS!$B$26</definedName>
    <definedName name="VTA_MANUAL_OFICIAL">MEMORIA_RESULTADOS!$B$25</definedName>
    <definedName name="VTA_SEM_POTENCIAL">MEMORIA_RESULTADOS!$T$40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" i="16" l="1"/>
  <c r="H49" i="16"/>
  <c r="H48" i="16"/>
  <c r="H47" i="16"/>
  <c r="H46" i="16"/>
  <c r="H45" i="16"/>
  <c r="H44" i="16"/>
  <c r="H43" i="16"/>
  <c r="B34" i="16"/>
  <c r="A33" i="16"/>
  <c r="B30" i="16"/>
  <c r="B29" i="16"/>
  <c r="B28" i="16"/>
  <c r="J10" i="16"/>
  <c r="J9" i="16"/>
  <c r="J11" i="16" s="1"/>
  <c r="J8" i="16"/>
  <c r="C3" i="16" s="1"/>
  <c r="F6" i="16"/>
  <c r="F5" i="16"/>
  <c r="E3" i="16" s="1"/>
  <c r="N262" i="15"/>
  <c r="E262" i="15"/>
  <c r="N261" i="15"/>
  <c r="N260" i="15"/>
  <c r="N259" i="15"/>
  <c r="N258" i="15"/>
  <c r="B258" i="15"/>
  <c r="N253" i="15"/>
  <c r="M253" i="15"/>
  <c r="L253" i="15"/>
  <c r="K253" i="15"/>
  <c r="J253" i="15"/>
  <c r="H253" i="15"/>
  <c r="A253" i="15"/>
  <c r="G253" i="15" s="1"/>
  <c r="J252" i="15"/>
  <c r="J251" i="15"/>
  <c r="J250" i="15"/>
  <c r="Q250" i="15" s="1"/>
  <c r="J249" i="15"/>
  <c r="J248" i="15"/>
  <c r="J247" i="15"/>
  <c r="O247" i="15" s="1"/>
  <c r="J246" i="15"/>
  <c r="O245" i="15"/>
  <c r="N245" i="15"/>
  <c r="J245" i="15"/>
  <c r="M245" i="15" s="1"/>
  <c r="J244" i="15"/>
  <c r="J243" i="15"/>
  <c r="O242" i="15"/>
  <c r="N242" i="15"/>
  <c r="K242" i="15"/>
  <c r="J242" i="15"/>
  <c r="M242" i="15" s="1"/>
  <c r="O241" i="15"/>
  <c r="J241" i="15"/>
  <c r="Q241" i="15" s="1"/>
  <c r="J240" i="15"/>
  <c r="J239" i="15"/>
  <c r="Q239" i="15" s="1"/>
  <c r="K238" i="15"/>
  <c r="J238" i="15"/>
  <c r="L238" i="15" s="1"/>
  <c r="J237" i="15"/>
  <c r="P236" i="15"/>
  <c r="J236" i="15"/>
  <c r="J235" i="15"/>
  <c r="L234" i="15"/>
  <c r="J234" i="15"/>
  <c r="N233" i="15"/>
  <c r="J233" i="15"/>
  <c r="J232" i="15"/>
  <c r="J231" i="15"/>
  <c r="N230" i="15"/>
  <c r="J230" i="15"/>
  <c r="L230" i="15" s="1"/>
  <c r="P229" i="15"/>
  <c r="O229" i="15"/>
  <c r="M229" i="15"/>
  <c r="J229" i="15"/>
  <c r="L229" i="15" s="1"/>
  <c r="P228" i="15"/>
  <c r="N228" i="15"/>
  <c r="J228" i="15"/>
  <c r="M228" i="15" s="1"/>
  <c r="P227" i="15"/>
  <c r="O227" i="15"/>
  <c r="N227" i="15"/>
  <c r="J227" i="15"/>
  <c r="M227" i="15" s="1"/>
  <c r="N226" i="15"/>
  <c r="L226" i="15"/>
  <c r="J226" i="15"/>
  <c r="Q226" i="15" s="1"/>
  <c r="K225" i="15"/>
  <c r="J225" i="15"/>
  <c r="L225" i="15" s="1"/>
  <c r="J224" i="15"/>
  <c r="Q224" i="15" s="1"/>
  <c r="J223" i="15"/>
  <c r="O223" i="15" s="1"/>
  <c r="J222" i="15"/>
  <c r="J221" i="15"/>
  <c r="J220" i="15"/>
  <c r="J219" i="15"/>
  <c r="J218" i="15"/>
  <c r="N217" i="15"/>
  <c r="L217" i="15"/>
  <c r="K217" i="15"/>
  <c r="J217" i="15"/>
  <c r="Q217" i="15" s="1"/>
  <c r="J216" i="15"/>
  <c r="Q216" i="15" s="1"/>
  <c r="Q215" i="15"/>
  <c r="O215" i="15"/>
  <c r="N215" i="15"/>
  <c r="L215" i="15"/>
  <c r="J215" i="15"/>
  <c r="M215" i="15" s="1"/>
  <c r="J214" i="15"/>
  <c r="J213" i="15"/>
  <c r="J212" i="15"/>
  <c r="O211" i="15"/>
  <c r="M211" i="15"/>
  <c r="J211" i="15"/>
  <c r="L211" i="15" s="1"/>
  <c r="M210" i="15"/>
  <c r="J210" i="15"/>
  <c r="J209" i="15"/>
  <c r="N208" i="15"/>
  <c r="L208" i="15"/>
  <c r="K208" i="15"/>
  <c r="J208" i="15"/>
  <c r="Q208" i="15" s="1"/>
  <c r="N207" i="15"/>
  <c r="L207" i="15"/>
  <c r="J207" i="15"/>
  <c r="K207" i="15" s="1"/>
  <c r="Q206" i="15"/>
  <c r="O206" i="15"/>
  <c r="N206" i="15"/>
  <c r="J206" i="15"/>
  <c r="L206" i="15" s="1"/>
  <c r="N205" i="15"/>
  <c r="M205" i="15"/>
  <c r="J205" i="15"/>
  <c r="Q205" i="15" s="1"/>
  <c r="J204" i="15"/>
  <c r="J203" i="15"/>
  <c r="K203" i="15" s="1"/>
  <c r="J202" i="15"/>
  <c r="X201" i="15"/>
  <c r="J201" i="15"/>
  <c r="J200" i="15"/>
  <c r="Q200" i="15" s="1"/>
  <c r="J199" i="15"/>
  <c r="J198" i="15"/>
  <c r="J197" i="15"/>
  <c r="Q196" i="15"/>
  <c r="J196" i="15"/>
  <c r="J195" i="15"/>
  <c r="J194" i="15"/>
  <c r="K193" i="15"/>
  <c r="J193" i="15"/>
  <c r="J192" i="15"/>
  <c r="J191" i="15"/>
  <c r="J190" i="15"/>
  <c r="J189" i="15"/>
  <c r="J188" i="15"/>
  <c r="K188" i="15" s="1"/>
  <c r="J187" i="15"/>
  <c r="J186" i="15"/>
  <c r="J185" i="15"/>
  <c r="L184" i="15"/>
  <c r="J184" i="15"/>
  <c r="J183" i="15"/>
  <c r="J182" i="15"/>
  <c r="J181" i="15"/>
  <c r="O181" i="15" s="1"/>
  <c r="J180" i="15"/>
  <c r="P180" i="15" s="1"/>
  <c r="J179" i="15"/>
  <c r="M179" i="15" s="1"/>
  <c r="J178" i="15"/>
  <c r="Q178" i="15" s="1"/>
  <c r="O177" i="15"/>
  <c r="N177" i="15"/>
  <c r="J177" i="15"/>
  <c r="Q177" i="15" s="1"/>
  <c r="P176" i="15"/>
  <c r="M176" i="15"/>
  <c r="L176" i="15"/>
  <c r="K176" i="15"/>
  <c r="J176" i="15"/>
  <c r="O176" i="15" s="1"/>
  <c r="J175" i="15"/>
  <c r="J174" i="15"/>
  <c r="Q173" i="15"/>
  <c r="N173" i="15"/>
  <c r="K173" i="15"/>
  <c r="J173" i="15"/>
  <c r="P173" i="15" s="1"/>
  <c r="J172" i="15"/>
  <c r="J171" i="15"/>
  <c r="K170" i="15"/>
  <c r="J170" i="15"/>
  <c r="J169" i="15"/>
  <c r="Q169" i="15" s="1"/>
  <c r="J168" i="15"/>
  <c r="J167" i="15"/>
  <c r="K166" i="15"/>
  <c r="J166" i="15"/>
  <c r="J165" i="15"/>
  <c r="N165" i="15" s="1"/>
  <c r="J164" i="15"/>
  <c r="L164" i="15" s="1"/>
  <c r="J163" i="15"/>
  <c r="P163" i="15" s="1"/>
  <c r="J162" i="15"/>
  <c r="P162" i="15" s="1"/>
  <c r="J161" i="15"/>
  <c r="J160" i="15"/>
  <c r="M160" i="15" s="1"/>
  <c r="J159" i="15"/>
  <c r="J158" i="15"/>
  <c r="Q157" i="15"/>
  <c r="M157" i="15"/>
  <c r="L157" i="15"/>
  <c r="K157" i="15"/>
  <c r="J157" i="15"/>
  <c r="N157" i="15" s="1"/>
  <c r="O156" i="15"/>
  <c r="J156" i="15"/>
  <c r="J155" i="15"/>
  <c r="L155" i="15" s="1"/>
  <c r="J154" i="15"/>
  <c r="O154" i="15" s="1"/>
  <c r="Q153" i="15"/>
  <c r="J153" i="15"/>
  <c r="J152" i="15"/>
  <c r="J151" i="15"/>
  <c r="K151" i="15" s="1"/>
  <c r="J150" i="15"/>
  <c r="J149" i="15"/>
  <c r="N148" i="15"/>
  <c r="J148" i="15"/>
  <c r="J147" i="15"/>
  <c r="M147" i="15" s="1"/>
  <c r="J146" i="15"/>
  <c r="O146" i="15" s="1"/>
  <c r="J145" i="15"/>
  <c r="J144" i="15"/>
  <c r="J143" i="15"/>
  <c r="K143" i="15" s="1"/>
  <c r="J142" i="15"/>
  <c r="Q141" i="15"/>
  <c r="J141" i="15"/>
  <c r="J140" i="15"/>
  <c r="N140" i="15" s="1"/>
  <c r="J139" i="15"/>
  <c r="P138" i="15"/>
  <c r="J138" i="15"/>
  <c r="L138" i="15" s="1"/>
  <c r="J137" i="15"/>
  <c r="J136" i="15"/>
  <c r="Q136" i="15" s="1"/>
  <c r="J135" i="15"/>
  <c r="P135" i="15" s="1"/>
  <c r="N134" i="15"/>
  <c r="J134" i="15"/>
  <c r="Q134" i="15" s="1"/>
  <c r="J133" i="15"/>
  <c r="O132" i="15"/>
  <c r="J132" i="15"/>
  <c r="J131" i="15"/>
  <c r="J130" i="15"/>
  <c r="P129" i="15"/>
  <c r="M129" i="15"/>
  <c r="K129" i="15"/>
  <c r="J129" i="15"/>
  <c r="L129" i="15" s="1"/>
  <c r="J128" i="15"/>
  <c r="M128" i="15" s="1"/>
  <c r="P127" i="15"/>
  <c r="O127" i="15"/>
  <c r="J127" i="15"/>
  <c r="N127" i="15" s="1"/>
  <c r="J126" i="15"/>
  <c r="M126" i="15" s="1"/>
  <c r="J125" i="15"/>
  <c r="J124" i="15"/>
  <c r="O123" i="15"/>
  <c r="N123" i="15"/>
  <c r="L123" i="15"/>
  <c r="J123" i="15"/>
  <c r="P123" i="15" s="1"/>
  <c r="L122" i="15"/>
  <c r="J122" i="15"/>
  <c r="J121" i="15"/>
  <c r="P121" i="15" s="1"/>
  <c r="J120" i="15"/>
  <c r="J119" i="15"/>
  <c r="J118" i="15"/>
  <c r="M118" i="15" s="1"/>
  <c r="J117" i="15"/>
  <c r="P117" i="15" s="1"/>
  <c r="J116" i="15"/>
  <c r="J115" i="15"/>
  <c r="P115" i="15" s="1"/>
  <c r="J114" i="15"/>
  <c r="J113" i="15"/>
  <c r="J112" i="15"/>
  <c r="J111" i="15"/>
  <c r="M111" i="15" s="1"/>
  <c r="J110" i="15"/>
  <c r="J109" i="15"/>
  <c r="J108" i="15"/>
  <c r="P108" i="15" s="1"/>
  <c r="J107" i="15"/>
  <c r="J106" i="15"/>
  <c r="J105" i="15"/>
  <c r="P105" i="15" s="1"/>
  <c r="J104" i="15"/>
  <c r="P103" i="15"/>
  <c r="J103" i="15"/>
  <c r="M103" i="15" s="1"/>
  <c r="M102" i="15"/>
  <c r="K102" i="15"/>
  <c r="J102" i="15"/>
  <c r="L102" i="15" s="1"/>
  <c r="O101" i="15"/>
  <c r="J101" i="15"/>
  <c r="M101" i="15" s="1"/>
  <c r="J100" i="15"/>
  <c r="Q100" i="15" s="1"/>
  <c r="J99" i="15"/>
  <c r="J98" i="15"/>
  <c r="J97" i="15"/>
  <c r="J96" i="15"/>
  <c r="J95" i="15"/>
  <c r="N95" i="15" s="1"/>
  <c r="J94" i="15"/>
  <c r="J93" i="15"/>
  <c r="M92" i="15"/>
  <c r="L92" i="15"/>
  <c r="J92" i="15"/>
  <c r="K92" i="15" s="1"/>
  <c r="J91" i="15"/>
  <c r="K90" i="15"/>
  <c r="J90" i="15"/>
  <c r="J89" i="15"/>
  <c r="J88" i="15"/>
  <c r="J87" i="15"/>
  <c r="L86" i="15"/>
  <c r="J86" i="15"/>
  <c r="J85" i="15"/>
  <c r="J84" i="15"/>
  <c r="K83" i="15"/>
  <c r="J83" i="15"/>
  <c r="J82" i="15"/>
  <c r="J81" i="15"/>
  <c r="J80" i="15"/>
  <c r="M79" i="15"/>
  <c r="L79" i="15"/>
  <c r="J79" i="15"/>
  <c r="Q79" i="15" s="1"/>
  <c r="J78" i="15"/>
  <c r="O77" i="15"/>
  <c r="M77" i="15"/>
  <c r="J77" i="15"/>
  <c r="P77" i="15" s="1"/>
  <c r="M76" i="15"/>
  <c r="J76" i="15"/>
  <c r="K76" i="15" s="1"/>
  <c r="J75" i="15"/>
  <c r="J74" i="15"/>
  <c r="J73" i="15"/>
  <c r="P73" i="15" s="1"/>
  <c r="J72" i="15"/>
  <c r="J71" i="15"/>
  <c r="J70" i="15"/>
  <c r="J69" i="15"/>
  <c r="J68" i="15"/>
  <c r="Q67" i="15"/>
  <c r="J67" i="15"/>
  <c r="J66" i="15"/>
  <c r="J65" i="15"/>
  <c r="J64" i="15"/>
  <c r="J63" i="15"/>
  <c r="L62" i="15"/>
  <c r="K62" i="15"/>
  <c r="J62" i="15"/>
  <c r="P62" i="15" s="1"/>
  <c r="J61" i="15"/>
  <c r="K61" i="15" s="1"/>
  <c r="J60" i="15"/>
  <c r="K60" i="15" s="1"/>
  <c r="Q59" i="15"/>
  <c r="J59" i="15"/>
  <c r="O58" i="15"/>
  <c r="N58" i="15"/>
  <c r="J58" i="15"/>
  <c r="J57" i="15"/>
  <c r="J56" i="15"/>
  <c r="J55" i="15"/>
  <c r="J54" i="15"/>
  <c r="B45" i="15"/>
  <c r="J44" i="15"/>
  <c r="F44" i="15"/>
  <c r="T33" i="15"/>
  <c r="C33" i="15"/>
  <c r="B33" i="15"/>
  <c r="F33" i="15" s="1"/>
  <c r="T31" i="15"/>
  <c r="D25" i="15"/>
  <c r="B25" i="15"/>
  <c r="D24" i="15"/>
  <c r="B24" i="15"/>
  <c r="T20" i="15"/>
  <c r="Y201" i="15" s="1"/>
  <c r="D20" i="15"/>
  <c r="D5" i="15"/>
  <c r="B5" i="15"/>
  <c r="F4" i="15"/>
  <c r="B4" i="15"/>
  <c r="B17" i="14"/>
  <c r="B14" i="14"/>
  <c r="B5" i="14"/>
  <c r="B6" i="14" s="1"/>
  <c r="B2" i="14"/>
  <c r="T200" i="13"/>
  <c r="N200" i="13"/>
  <c r="C200" i="13"/>
  <c r="B200" i="13"/>
  <c r="A200" i="13"/>
  <c r="V200" i="13" s="1"/>
  <c r="C199" i="13"/>
  <c r="A199" i="13"/>
  <c r="N199" i="13" s="1"/>
  <c r="V198" i="13"/>
  <c r="C198" i="13"/>
  <c r="B198" i="13"/>
  <c r="A198" i="13"/>
  <c r="C197" i="13"/>
  <c r="A197" i="13"/>
  <c r="O196" i="13"/>
  <c r="N196" i="13"/>
  <c r="C196" i="13"/>
  <c r="B197" i="12" s="1"/>
  <c r="A196" i="13"/>
  <c r="U196" i="13" s="1"/>
  <c r="C195" i="13"/>
  <c r="A195" i="13"/>
  <c r="S194" i="13"/>
  <c r="R194" i="13"/>
  <c r="C194" i="13"/>
  <c r="B195" i="12" s="1"/>
  <c r="A194" i="13"/>
  <c r="P193" i="13"/>
  <c r="C193" i="13"/>
  <c r="A193" i="13"/>
  <c r="T193" i="13" s="1"/>
  <c r="C192" i="13"/>
  <c r="A192" i="13"/>
  <c r="R191" i="13"/>
  <c r="O191" i="13"/>
  <c r="C191" i="13"/>
  <c r="B192" i="12" s="1"/>
  <c r="A191" i="13"/>
  <c r="V191" i="13" s="1"/>
  <c r="C190" i="13"/>
  <c r="A190" i="13"/>
  <c r="U189" i="13"/>
  <c r="C189" i="13"/>
  <c r="B190" i="12" s="1"/>
  <c r="A189" i="13"/>
  <c r="B189" i="13" s="1"/>
  <c r="C188" i="13"/>
  <c r="A188" i="13"/>
  <c r="C187" i="13"/>
  <c r="A187" i="13"/>
  <c r="C186" i="13"/>
  <c r="A186" i="13"/>
  <c r="N185" i="13"/>
  <c r="C185" i="13"/>
  <c r="A185" i="13"/>
  <c r="Q185" i="13" s="1"/>
  <c r="C184" i="13"/>
  <c r="A184" i="13"/>
  <c r="V183" i="13"/>
  <c r="O183" i="13"/>
  <c r="N183" i="13"/>
  <c r="C183" i="13"/>
  <c r="A183" i="13"/>
  <c r="B183" i="13" s="1"/>
  <c r="C182" i="13"/>
  <c r="A182" i="13"/>
  <c r="C181" i="13"/>
  <c r="A181" i="13"/>
  <c r="W180" i="13"/>
  <c r="V180" i="13"/>
  <c r="C180" i="13"/>
  <c r="A180" i="13"/>
  <c r="W179" i="13"/>
  <c r="V179" i="13"/>
  <c r="T179" i="13"/>
  <c r="O179" i="13"/>
  <c r="N179" i="13"/>
  <c r="C179" i="13"/>
  <c r="A179" i="13"/>
  <c r="U179" i="13" s="1"/>
  <c r="T178" i="13"/>
  <c r="C178" i="13"/>
  <c r="A178" i="13"/>
  <c r="U178" i="13" s="1"/>
  <c r="V177" i="13"/>
  <c r="Q177" i="13"/>
  <c r="C177" i="13"/>
  <c r="A177" i="13"/>
  <c r="U177" i="13" s="1"/>
  <c r="P176" i="13"/>
  <c r="N176" i="13"/>
  <c r="C176" i="13"/>
  <c r="A176" i="13"/>
  <c r="B177" i="12" s="1"/>
  <c r="C175" i="13"/>
  <c r="A175" i="13"/>
  <c r="C174" i="13"/>
  <c r="A174" i="13"/>
  <c r="T173" i="13"/>
  <c r="C173" i="13"/>
  <c r="A173" i="13"/>
  <c r="B173" i="13" s="1"/>
  <c r="C172" i="13"/>
  <c r="A172" i="13"/>
  <c r="C171" i="13"/>
  <c r="A171" i="13"/>
  <c r="R170" i="13"/>
  <c r="C170" i="13"/>
  <c r="A170" i="13"/>
  <c r="C169" i="13"/>
  <c r="A169" i="13"/>
  <c r="C168" i="13"/>
  <c r="B169" i="12" s="1"/>
  <c r="A168" i="13"/>
  <c r="V168" i="13" s="1"/>
  <c r="W167" i="13"/>
  <c r="U167" i="13"/>
  <c r="T167" i="13"/>
  <c r="S167" i="13"/>
  <c r="P167" i="13"/>
  <c r="C167" i="13"/>
  <c r="B167" i="13"/>
  <c r="A167" i="13"/>
  <c r="Q167" i="13" s="1"/>
  <c r="C166" i="13"/>
  <c r="A166" i="13"/>
  <c r="W165" i="13"/>
  <c r="C165" i="13"/>
  <c r="A165" i="13"/>
  <c r="C164" i="13"/>
  <c r="A164" i="13"/>
  <c r="U163" i="13"/>
  <c r="P163" i="13"/>
  <c r="C163" i="13"/>
  <c r="B163" i="13"/>
  <c r="A163" i="13"/>
  <c r="W163" i="13" s="1"/>
  <c r="C162" i="13"/>
  <c r="A162" i="13"/>
  <c r="B163" i="12" s="1"/>
  <c r="T161" i="13"/>
  <c r="C161" i="13"/>
  <c r="A161" i="13"/>
  <c r="O160" i="13"/>
  <c r="C160" i="13"/>
  <c r="A160" i="13"/>
  <c r="Q160" i="13" s="1"/>
  <c r="U159" i="13"/>
  <c r="C159" i="13"/>
  <c r="A159" i="13"/>
  <c r="W159" i="13" s="1"/>
  <c r="V158" i="13"/>
  <c r="O158" i="13"/>
  <c r="C158" i="13"/>
  <c r="B159" i="12" s="1"/>
  <c r="A158" i="13"/>
  <c r="U158" i="13" s="1"/>
  <c r="C157" i="13"/>
  <c r="A157" i="13"/>
  <c r="V156" i="13"/>
  <c r="P156" i="13"/>
  <c r="C156" i="13"/>
  <c r="A156" i="13"/>
  <c r="U156" i="13" s="1"/>
  <c r="W155" i="13"/>
  <c r="C155" i="13"/>
  <c r="A155" i="13"/>
  <c r="U155" i="13" s="1"/>
  <c r="C154" i="13"/>
  <c r="A154" i="13"/>
  <c r="C153" i="13"/>
  <c r="A153" i="13"/>
  <c r="N152" i="13"/>
  <c r="C152" i="13"/>
  <c r="B153" i="12" s="1"/>
  <c r="A152" i="13"/>
  <c r="R152" i="13" s="1"/>
  <c r="C151" i="13"/>
  <c r="A151" i="13"/>
  <c r="P151" i="13" s="1"/>
  <c r="C150" i="13"/>
  <c r="A150" i="13"/>
  <c r="W149" i="13"/>
  <c r="T149" i="13"/>
  <c r="C149" i="13"/>
  <c r="A149" i="13"/>
  <c r="V148" i="13"/>
  <c r="C148" i="13"/>
  <c r="B148" i="13"/>
  <c r="A148" i="13"/>
  <c r="U147" i="13"/>
  <c r="T147" i="13"/>
  <c r="C147" i="13"/>
  <c r="A147" i="13"/>
  <c r="W147" i="13" s="1"/>
  <c r="C146" i="13"/>
  <c r="A146" i="13"/>
  <c r="B146" i="13" s="1"/>
  <c r="C145" i="13"/>
  <c r="A145" i="13"/>
  <c r="C144" i="13"/>
  <c r="A144" i="13"/>
  <c r="Q144" i="13" s="1"/>
  <c r="C143" i="13"/>
  <c r="A143" i="13"/>
  <c r="C142" i="13"/>
  <c r="A142" i="13"/>
  <c r="R141" i="13"/>
  <c r="O141" i="13"/>
  <c r="C141" i="13"/>
  <c r="B142" i="12" s="1"/>
  <c r="A141" i="13"/>
  <c r="T141" i="13" s="1"/>
  <c r="C140" i="13"/>
  <c r="A140" i="13"/>
  <c r="R139" i="13"/>
  <c r="C139" i="13"/>
  <c r="A139" i="13"/>
  <c r="C138" i="13"/>
  <c r="A138" i="13"/>
  <c r="R137" i="13"/>
  <c r="O137" i="13"/>
  <c r="C137" i="13"/>
  <c r="A137" i="13"/>
  <c r="T137" i="13" s="1"/>
  <c r="C136" i="13"/>
  <c r="A136" i="13"/>
  <c r="U135" i="13"/>
  <c r="T135" i="13"/>
  <c r="C135" i="13"/>
  <c r="A135" i="13"/>
  <c r="C134" i="13"/>
  <c r="A134" i="13"/>
  <c r="C133" i="13"/>
  <c r="A133" i="13"/>
  <c r="U132" i="13"/>
  <c r="S132" i="13"/>
  <c r="C132" i="13"/>
  <c r="B133" i="12" s="1"/>
  <c r="B132" i="13"/>
  <c r="A132" i="13"/>
  <c r="V132" i="13" s="1"/>
  <c r="C131" i="13"/>
  <c r="A131" i="13"/>
  <c r="N131" i="13" s="1"/>
  <c r="V130" i="13"/>
  <c r="O130" i="13"/>
  <c r="C130" i="13"/>
  <c r="B130" i="13"/>
  <c r="A130" i="13"/>
  <c r="C129" i="13"/>
  <c r="A129" i="13"/>
  <c r="O128" i="13"/>
  <c r="C128" i="13"/>
  <c r="A128" i="13"/>
  <c r="W127" i="13"/>
  <c r="U127" i="13"/>
  <c r="T127" i="13"/>
  <c r="C127" i="13"/>
  <c r="A127" i="13"/>
  <c r="N127" i="13" s="1"/>
  <c r="C126" i="13"/>
  <c r="A126" i="13"/>
  <c r="U126" i="13" s="1"/>
  <c r="W125" i="13"/>
  <c r="C125" i="13"/>
  <c r="A125" i="13"/>
  <c r="V124" i="13"/>
  <c r="S124" i="13"/>
  <c r="Q124" i="13"/>
  <c r="P124" i="13"/>
  <c r="O124" i="13"/>
  <c r="N124" i="13"/>
  <c r="C124" i="13"/>
  <c r="A124" i="13"/>
  <c r="R124" i="13" s="1"/>
  <c r="O123" i="13"/>
  <c r="N123" i="13"/>
  <c r="C123" i="13"/>
  <c r="A123" i="13"/>
  <c r="U123" i="13" s="1"/>
  <c r="C122" i="13"/>
  <c r="A122" i="13"/>
  <c r="T121" i="13"/>
  <c r="R121" i="13"/>
  <c r="C121" i="13"/>
  <c r="A121" i="13"/>
  <c r="V121" i="13" s="1"/>
  <c r="C120" i="13"/>
  <c r="A120" i="13"/>
  <c r="P119" i="13"/>
  <c r="O119" i="13"/>
  <c r="C119" i="13"/>
  <c r="A119" i="13"/>
  <c r="U118" i="13"/>
  <c r="C118" i="13"/>
  <c r="A118" i="13"/>
  <c r="C117" i="13"/>
  <c r="A117" i="13"/>
  <c r="B118" i="12" s="1"/>
  <c r="C116" i="13"/>
  <c r="A116" i="13"/>
  <c r="B117" i="12" s="1"/>
  <c r="P115" i="13"/>
  <c r="C115" i="13"/>
  <c r="B116" i="12" s="1"/>
  <c r="A115" i="13"/>
  <c r="T115" i="13" s="1"/>
  <c r="C114" i="13"/>
  <c r="A114" i="13"/>
  <c r="U113" i="13"/>
  <c r="T113" i="13"/>
  <c r="C113" i="13"/>
  <c r="A113" i="13"/>
  <c r="V113" i="13" s="1"/>
  <c r="C112" i="13"/>
  <c r="A112" i="13"/>
  <c r="B112" i="13" s="1"/>
  <c r="C111" i="13"/>
  <c r="A111" i="13"/>
  <c r="B112" i="12" s="1"/>
  <c r="C110" i="13"/>
  <c r="A110" i="13"/>
  <c r="C109" i="13"/>
  <c r="A109" i="13"/>
  <c r="V108" i="13"/>
  <c r="C108" i="13"/>
  <c r="A108" i="13"/>
  <c r="T107" i="13"/>
  <c r="R107" i="13"/>
  <c r="C107" i="13"/>
  <c r="A107" i="13"/>
  <c r="U107" i="13" s="1"/>
  <c r="C106" i="13"/>
  <c r="B107" i="12" s="1"/>
  <c r="A106" i="13"/>
  <c r="U105" i="13"/>
  <c r="T105" i="13"/>
  <c r="O105" i="13"/>
  <c r="N105" i="13"/>
  <c r="C105" i="13"/>
  <c r="A105" i="13"/>
  <c r="V105" i="13" s="1"/>
  <c r="C104" i="13"/>
  <c r="A104" i="13"/>
  <c r="V103" i="13"/>
  <c r="C103" i="13"/>
  <c r="B104" i="12" s="1"/>
  <c r="A103" i="13"/>
  <c r="C102" i="13"/>
  <c r="A102" i="13"/>
  <c r="C101" i="13"/>
  <c r="A101" i="13"/>
  <c r="C100" i="13"/>
  <c r="A100" i="13"/>
  <c r="C99" i="13"/>
  <c r="B100" i="12" s="1"/>
  <c r="A99" i="13"/>
  <c r="V98" i="13"/>
  <c r="Q98" i="13"/>
  <c r="C98" i="13"/>
  <c r="A98" i="13"/>
  <c r="B98" i="13" s="1"/>
  <c r="R97" i="13"/>
  <c r="C97" i="13"/>
  <c r="B98" i="12" s="1"/>
  <c r="A97" i="13"/>
  <c r="U97" i="13" s="1"/>
  <c r="S96" i="13"/>
  <c r="R96" i="13"/>
  <c r="Q96" i="13"/>
  <c r="P96" i="13"/>
  <c r="O96" i="13"/>
  <c r="N96" i="13"/>
  <c r="C96" i="13"/>
  <c r="A96" i="13"/>
  <c r="V96" i="13" s="1"/>
  <c r="V95" i="13"/>
  <c r="R95" i="13"/>
  <c r="C95" i="13"/>
  <c r="A95" i="13"/>
  <c r="U95" i="13" s="1"/>
  <c r="S94" i="13"/>
  <c r="P94" i="13"/>
  <c r="O94" i="13"/>
  <c r="N94" i="13"/>
  <c r="C94" i="13"/>
  <c r="B95" i="12" s="1"/>
  <c r="A94" i="13"/>
  <c r="U94" i="13" s="1"/>
  <c r="C93" i="13"/>
  <c r="A93" i="13"/>
  <c r="C92" i="13"/>
  <c r="A92" i="13"/>
  <c r="C91" i="13"/>
  <c r="A91" i="13"/>
  <c r="U91" i="13" s="1"/>
  <c r="C90" i="13"/>
  <c r="A90" i="13"/>
  <c r="W89" i="13"/>
  <c r="T89" i="13"/>
  <c r="C89" i="13"/>
  <c r="A89" i="13"/>
  <c r="C88" i="13"/>
  <c r="A88" i="13"/>
  <c r="C87" i="13"/>
  <c r="A87" i="13"/>
  <c r="U86" i="13"/>
  <c r="C86" i="13"/>
  <c r="A86" i="13"/>
  <c r="C85" i="13"/>
  <c r="A85" i="13"/>
  <c r="O85" i="13" s="1"/>
  <c r="C84" i="13"/>
  <c r="A84" i="13"/>
  <c r="C83" i="13"/>
  <c r="A83" i="13"/>
  <c r="W82" i="13"/>
  <c r="S82" i="13"/>
  <c r="N82" i="13"/>
  <c r="C82" i="13"/>
  <c r="B83" i="12" s="1"/>
  <c r="A82" i="13"/>
  <c r="Q82" i="13" s="1"/>
  <c r="W81" i="13"/>
  <c r="C81" i="13"/>
  <c r="B82" i="12" s="1"/>
  <c r="A81" i="13"/>
  <c r="U81" i="13" s="1"/>
  <c r="Q80" i="13"/>
  <c r="P80" i="13"/>
  <c r="C80" i="13"/>
  <c r="A80" i="13"/>
  <c r="V80" i="13" s="1"/>
  <c r="C79" i="13"/>
  <c r="A79" i="13"/>
  <c r="T78" i="13"/>
  <c r="C78" i="13"/>
  <c r="A78" i="13"/>
  <c r="C77" i="13"/>
  <c r="A77" i="13"/>
  <c r="T76" i="13"/>
  <c r="S76" i="13"/>
  <c r="C76" i="13"/>
  <c r="A76" i="13"/>
  <c r="W76" i="13" s="1"/>
  <c r="U75" i="13"/>
  <c r="S75" i="13"/>
  <c r="R75" i="13"/>
  <c r="C75" i="13"/>
  <c r="A75" i="13"/>
  <c r="W74" i="13"/>
  <c r="V74" i="13"/>
  <c r="T74" i="13"/>
  <c r="S74" i="13"/>
  <c r="Q74" i="13"/>
  <c r="P74" i="13"/>
  <c r="O74" i="13"/>
  <c r="N74" i="13"/>
  <c r="C74" i="13"/>
  <c r="A74" i="13"/>
  <c r="A126" i="15" s="1"/>
  <c r="C73" i="13"/>
  <c r="A73" i="13"/>
  <c r="N72" i="13"/>
  <c r="C72" i="13"/>
  <c r="B72" i="13"/>
  <c r="A72" i="13"/>
  <c r="C71" i="13"/>
  <c r="A71" i="13"/>
  <c r="P70" i="13"/>
  <c r="O70" i="13"/>
  <c r="C70" i="13"/>
  <c r="A70" i="13"/>
  <c r="W70" i="13" s="1"/>
  <c r="W69" i="13"/>
  <c r="V69" i="13"/>
  <c r="S69" i="13"/>
  <c r="Q69" i="13"/>
  <c r="P69" i="13"/>
  <c r="O69" i="13"/>
  <c r="C69" i="13"/>
  <c r="A69" i="13"/>
  <c r="R69" i="13" s="1"/>
  <c r="W68" i="13"/>
  <c r="S68" i="13"/>
  <c r="C68" i="13"/>
  <c r="A68" i="13"/>
  <c r="C67" i="13"/>
  <c r="A67" i="13"/>
  <c r="B68" i="12" s="1"/>
  <c r="C66" i="13"/>
  <c r="A66" i="13"/>
  <c r="C65" i="13"/>
  <c r="A65" i="13"/>
  <c r="C64" i="13"/>
  <c r="A64" i="13"/>
  <c r="W63" i="13"/>
  <c r="R63" i="13"/>
  <c r="C63" i="13"/>
  <c r="A63" i="13"/>
  <c r="S62" i="13"/>
  <c r="Q62" i="13"/>
  <c r="C62" i="13"/>
  <c r="A62" i="13"/>
  <c r="V62" i="13" s="1"/>
  <c r="C61" i="13"/>
  <c r="A61" i="13"/>
  <c r="W61" i="13" s="1"/>
  <c r="W60" i="13"/>
  <c r="V60" i="13"/>
  <c r="U60" i="13"/>
  <c r="S60" i="13"/>
  <c r="Q60" i="13"/>
  <c r="O60" i="13"/>
  <c r="N60" i="13"/>
  <c r="C60" i="13"/>
  <c r="B60" i="13"/>
  <c r="A60" i="13"/>
  <c r="A112" i="15" s="1"/>
  <c r="C59" i="13"/>
  <c r="A59" i="13"/>
  <c r="W58" i="13"/>
  <c r="C58" i="13"/>
  <c r="A58" i="13"/>
  <c r="C57" i="13"/>
  <c r="B58" i="12" s="1"/>
  <c r="A57" i="13"/>
  <c r="C56" i="13"/>
  <c r="A56" i="13"/>
  <c r="C55" i="13"/>
  <c r="A55" i="13"/>
  <c r="P54" i="13"/>
  <c r="O54" i="13"/>
  <c r="C54" i="13"/>
  <c r="A54" i="13"/>
  <c r="V54" i="13" s="1"/>
  <c r="C53" i="13"/>
  <c r="B54" i="12" s="1"/>
  <c r="A53" i="13"/>
  <c r="C52" i="13"/>
  <c r="A52" i="13"/>
  <c r="W51" i="13"/>
  <c r="V51" i="13"/>
  <c r="S51" i="13"/>
  <c r="P51" i="13"/>
  <c r="O51" i="13"/>
  <c r="C51" i="13"/>
  <c r="A51" i="13"/>
  <c r="R51" i="13" s="1"/>
  <c r="S50" i="13"/>
  <c r="C50" i="13"/>
  <c r="A50" i="13"/>
  <c r="P50" i="13" s="1"/>
  <c r="V49" i="13"/>
  <c r="C49" i="13"/>
  <c r="A49" i="13"/>
  <c r="R48" i="13"/>
  <c r="C48" i="13"/>
  <c r="A48" i="13"/>
  <c r="Q48" i="13" s="1"/>
  <c r="C47" i="13"/>
  <c r="A47" i="13"/>
  <c r="B48" i="12" s="1"/>
  <c r="W46" i="13"/>
  <c r="S46" i="13"/>
  <c r="O46" i="13"/>
  <c r="N46" i="13"/>
  <c r="C46" i="13"/>
  <c r="A46" i="13"/>
  <c r="V46" i="13" s="1"/>
  <c r="C45" i="13"/>
  <c r="A45" i="13"/>
  <c r="C44" i="13"/>
  <c r="A44" i="13"/>
  <c r="C43" i="13"/>
  <c r="A43" i="13"/>
  <c r="S42" i="13"/>
  <c r="Q42" i="13"/>
  <c r="P42" i="13"/>
  <c r="O42" i="13"/>
  <c r="C42" i="13"/>
  <c r="A42" i="13"/>
  <c r="R42" i="13" s="1"/>
  <c r="U41" i="13"/>
  <c r="R41" i="13"/>
  <c r="C41" i="13"/>
  <c r="B42" i="12" s="1"/>
  <c r="A41" i="13"/>
  <c r="R40" i="13"/>
  <c r="Q40" i="13"/>
  <c r="C40" i="13"/>
  <c r="B41" i="12" s="1"/>
  <c r="A40" i="13"/>
  <c r="U40" i="13" s="1"/>
  <c r="T39" i="13"/>
  <c r="O39" i="13"/>
  <c r="C39" i="13"/>
  <c r="A39" i="13"/>
  <c r="U39" i="13" s="1"/>
  <c r="C38" i="13"/>
  <c r="A38" i="13"/>
  <c r="U37" i="13"/>
  <c r="T37" i="13"/>
  <c r="S37" i="13"/>
  <c r="C37" i="13"/>
  <c r="A37" i="13"/>
  <c r="R37" i="13" s="1"/>
  <c r="C36" i="13"/>
  <c r="A36" i="13"/>
  <c r="B37" i="12" s="1"/>
  <c r="C35" i="13"/>
  <c r="A35" i="13"/>
  <c r="U35" i="13" s="1"/>
  <c r="W34" i="13"/>
  <c r="V34" i="13"/>
  <c r="U34" i="13"/>
  <c r="Q34" i="13"/>
  <c r="P34" i="13"/>
  <c r="N34" i="13"/>
  <c r="C34" i="13"/>
  <c r="B34" i="13"/>
  <c r="A34" i="13"/>
  <c r="S34" i="13" s="1"/>
  <c r="S33" i="13"/>
  <c r="R33" i="13"/>
  <c r="Q33" i="13"/>
  <c r="O33" i="13"/>
  <c r="C33" i="13"/>
  <c r="B34" i="12" s="1"/>
  <c r="A33" i="13"/>
  <c r="P33" i="13" s="1"/>
  <c r="C32" i="13"/>
  <c r="B32" i="13"/>
  <c r="A32" i="13"/>
  <c r="T31" i="13"/>
  <c r="Q31" i="13"/>
  <c r="P31" i="13"/>
  <c r="C31" i="13"/>
  <c r="A31" i="13"/>
  <c r="S30" i="13"/>
  <c r="P30" i="13"/>
  <c r="C30" i="13"/>
  <c r="A30" i="13"/>
  <c r="C29" i="13"/>
  <c r="A29" i="13"/>
  <c r="V28" i="13"/>
  <c r="C28" i="13"/>
  <c r="A28" i="13"/>
  <c r="C27" i="13"/>
  <c r="A27" i="13"/>
  <c r="R26" i="13"/>
  <c r="P26" i="13"/>
  <c r="C26" i="13"/>
  <c r="A26" i="13"/>
  <c r="Q25" i="13"/>
  <c r="O25" i="13"/>
  <c r="C25" i="13"/>
  <c r="A25" i="13"/>
  <c r="C24" i="13"/>
  <c r="A24" i="13"/>
  <c r="S23" i="13"/>
  <c r="R23" i="13"/>
  <c r="C23" i="13"/>
  <c r="A23" i="13"/>
  <c r="O23" i="13" s="1"/>
  <c r="W22" i="13"/>
  <c r="T22" i="13"/>
  <c r="C22" i="13"/>
  <c r="A22" i="13"/>
  <c r="W21" i="13"/>
  <c r="S21" i="13"/>
  <c r="R21" i="13"/>
  <c r="Q21" i="13"/>
  <c r="O21" i="13"/>
  <c r="C21" i="13"/>
  <c r="A21" i="13"/>
  <c r="B21" i="13" s="1"/>
  <c r="C20" i="13"/>
  <c r="A20" i="13"/>
  <c r="R19" i="13"/>
  <c r="Q19" i="13"/>
  <c r="P19" i="13"/>
  <c r="O19" i="13"/>
  <c r="C19" i="13"/>
  <c r="A19" i="13"/>
  <c r="C18" i="13"/>
  <c r="A18" i="13"/>
  <c r="C17" i="13"/>
  <c r="A17" i="13"/>
  <c r="Q17" i="13" s="1"/>
  <c r="U16" i="13"/>
  <c r="P16" i="13"/>
  <c r="C16" i="13"/>
  <c r="A16" i="13"/>
  <c r="V16" i="13" s="1"/>
  <c r="R15" i="13"/>
  <c r="Q15" i="13"/>
  <c r="C15" i="13"/>
  <c r="A15" i="13"/>
  <c r="P15" i="13" s="1"/>
  <c r="U14" i="13"/>
  <c r="S14" i="13"/>
  <c r="C14" i="13"/>
  <c r="A14" i="13"/>
  <c r="S13" i="13"/>
  <c r="Q13" i="13"/>
  <c r="C13" i="13"/>
  <c r="A13" i="13"/>
  <c r="R13" i="13" s="1"/>
  <c r="W12" i="13"/>
  <c r="Q12" i="13"/>
  <c r="P12" i="13"/>
  <c r="C12" i="13"/>
  <c r="A12" i="13"/>
  <c r="C11" i="13"/>
  <c r="A11" i="13"/>
  <c r="C10" i="13"/>
  <c r="A10" i="13"/>
  <c r="C9" i="13"/>
  <c r="A9" i="13"/>
  <c r="B10" i="12" s="1"/>
  <c r="C8" i="13"/>
  <c r="A8" i="13"/>
  <c r="U8" i="13" s="1"/>
  <c r="S7" i="13"/>
  <c r="Q7" i="13"/>
  <c r="C7" i="13"/>
  <c r="A7" i="13"/>
  <c r="W6" i="13"/>
  <c r="U6" i="13"/>
  <c r="S6" i="13"/>
  <c r="Q6" i="13"/>
  <c r="P6" i="13"/>
  <c r="K6" i="13"/>
  <c r="C6" i="13"/>
  <c r="B6" i="13"/>
  <c r="A6" i="13"/>
  <c r="T6" i="13" s="1"/>
  <c r="S5" i="13"/>
  <c r="R5" i="13"/>
  <c r="K5" i="13"/>
  <c r="C5" i="13"/>
  <c r="B6" i="12" s="1"/>
  <c r="A5" i="13"/>
  <c r="K4" i="13"/>
  <c r="A4" i="13"/>
  <c r="K3" i="13"/>
  <c r="A3" i="13"/>
  <c r="K2" i="13"/>
  <c r="A2" i="13"/>
  <c r="AA202" i="12"/>
  <c r="X202" i="12"/>
  <c r="S202" i="12"/>
  <c r="R202" i="12"/>
  <c r="O202" i="12"/>
  <c r="N202" i="12"/>
  <c r="L202" i="12"/>
  <c r="K202" i="12"/>
  <c r="I202" i="12"/>
  <c r="H202" i="12"/>
  <c r="F202" i="12"/>
  <c r="E202" i="12"/>
  <c r="C202" i="12"/>
  <c r="B202" i="12"/>
  <c r="A202" i="12"/>
  <c r="B201" i="12"/>
  <c r="A201" i="12"/>
  <c r="S201" i="12" s="1"/>
  <c r="A200" i="12"/>
  <c r="B199" i="12"/>
  <c r="A199" i="12"/>
  <c r="B198" i="12"/>
  <c r="A198" i="12"/>
  <c r="W197" i="12"/>
  <c r="U197" i="12"/>
  <c r="S197" i="12"/>
  <c r="A197" i="12"/>
  <c r="X196" i="12"/>
  <c r="A196" i="12"/>
  <c r="A195" i="12"/>
  <c r="X194" i="12"/>
  <c r="T194" i="12"/>
  <c r="B194" i="12"/>
  <c r="A194" i="12"/>
  <c r="S194" i="12" s="1"/>
  <c r="B193" i="12"/>
  <c r="A193" i="12"/>
  <c r="A192" i="12"/>
  <c r="AB191" i="12"/>
  <c r="B191" i="12"/>
  <c r="A191" i="12"/>
  <c r="AC190" i="12"/>
  <c r="Z190" i="12"/>
  <c r="X190" i="12"/>
  <c r="V190" i="12"/>
  <c r="U190" i="12"/>
  <c r="T190" i="12"/>
  <c r="S190" i="12"/>
  <c r="R190" i="12"/>
  <c r="Q190" i="12"/>
  <c r="A190" i="12"/>
  <c r="Y190" i="12" s="1"/>
  <c r="B189" i="12"/>
  <c r="A189" i="12"/>
  <c r="A188" i="12"/>
  <c r="U187" i="12"/>
  <c r="B187" i="12"/>
  <c r="A187" i="12"/>
  <c r="W187" i="12" s="1"/>
  <c r="AC186" i="12"/>
  <c r="Y186" i="12"/>
  <c r="X186" i="12"/>
  <c r="B186" i="12"/>
  <c r="A186" i="12"/>
  <c r="Z186" i="12" s="1"/>
  <c r="AB185" i="12"/>
  <c r="W185" i="12"/>
  <c r="V185" i="12"/>
  <c r="T185" i="12"/>
  <c r="S185" i="12"/>
  <c r="A185" i="12"/>
  <c r="Z184" i="12"/>
  <c r="Y184" i="12"/>
  <c r="B184" i="12"/>
  <c r="A184" i="12"/>
  <c r="W184" i="12" s="1"/>
  <c r="AC183" i="12"/>
  <c r="AB183" i="12"/>
  <c r="T183" i="12"/>
  <c r="Q183" i="12"/>
  <c r="B183" i="12"/>
  <c r="A183" i="12"/>
  <c r="Z183" i="12" s="1"/>
  <c r="AA182" i="12"/>
  <c r="Z182" i="12"/>
  <c r="Y182" i="12"/>
  <c r="W182" i="12"/>
  <c r="T182" i="12"/>
  <c r="R182" i="12"/>
  <c r="B182" i="12"/>
  <c r="A182" i="12"/>
  <c r="AB181" i="12"/>
  <c r="AA181" i="12"/>
  <c r="B181" i="12"/>
  <c r="A181" i="12"/>
  <c r="B180" i="12"/>
  <c r="A180" i="12"/>
  <c r="AC179" i="12"/>
  <c r="AA179" i="12"/>
  <c r="Q179" i="12"/>
  <c r="B179" i="12"/>
  <c r="A179" i="12"/>
  <c r="W179" i="12" s="1"/>
  <c r="A178" i="12"/>
  <c r="AA177" i="12"/>
  <c r="Y177" i="12"/>
  <c r="A177" i="12"/>
  <c r="Z176" i="12"/>
  <c r="X176" i="12"/>
  <c r="A176" i="12"/>
  <c r="A175" i="12"/>
  <c r="X174" i="12"/>
  <c r="A174" i="12"/>
  <c r="AB174" i="12" s="1"/>
  <c r="AC173" i="12"/>
  <c r="W173" i="12"/>
  <c r="B173" i="12"/>
  <c r="A173" i="12"/>
  <c r="U173" i="12" s="1"/>
  <c r="V172" i="12"/>
  <c r="U172" i="12"/>
  <c r="B172" i="12"/>
  <c r="A172" i="12"/>
  <c r="AB171" i="12"/>
  <c r="Y171" i="12"/>
  <c r="A171" i="12"/>
  <c r="V171" i="12" s="1"/>
  <c r="AA170" i="12"/>
  <c r="V170" i="12"/>
  <c r="T170" i="12"/>
  <c r="A170" i="12"/>
  <c r="X169" i="12"/>
  <c r="W169" i="12"/>
  <c r="S169" i="12"/>
  <c r="A169" i="12"/>
  <c r="A168" i="12"/>
  <c r="A167" i="12"/>
  <c r="AB166" i="12"/>
  <c r="AA166" i="12"/>
  <c r="U166" i="12"/>
  <c r="T166" i="12"/>
  <c r="S166" i="12"/>
  <c r="A166" i="12"/>
  <c r="A165" i="12"/>
  <c r="Z164" i="12"/>
  <c r="B164" i="12"/>
  <c r="A164" i="12"/>
  <c r="Z163" i="12"/>
  <c r="Y163" i="12"/>
  <c r="X163" i="12"/>
  <c r="T163" i="12"/>
  <c r="R163" i="12"/>
  <c r="Q163" i="12"/>
  <c r="A163" i="12"/>
  <c r="W163" i="12" s="1"/>
  <c r="AB162" i="12"/>
  <c r="AA162" i="12"/>
  <c r="Z162" i="12"/>
  <c r="Y162" i="12"/>
  <c r="X162" i="12"/>
  <c r="W162" i="12"/>
  <c r="S162" i="12"/>
  <c r="R162" i="12"/>
  <c r="Q162" i="12"/>
  <c r="B162" i="12"/>
  <c r="A162" i="12"/>
  <c r="V162" i="12" s="1"/>
  <c r="U161" i="12"/>
  <c r="T161" i="12"/>
  <c r="R161" i="12"/>
  <c r="B161" i="12"/>
  <c r="A161" i="12"/>
  <c r="Y161" i="12" s="1"/>
  <c r="Z160" i="12"/>
  <c r="V160" i="12"/>
  <c r="B160" i="12"/>
  <c r="A160" i="12"/>
  <c r="A159" i="12"/>
  <c r="B158" i="12"/>
  <c r="A158" i="12"/>
  <c r="Z158" i="12" s="1"/>
  <c r="AB157" i="12"/>
  <c r="B157" i="12"/>
  <c r="A157" i="12"/>
  <c r="T157" i="12" s="1"/>
  <c r="U156" i="12"/>
  <c r="B156" i="12"/>
  <c r="A156" i="12"/>
  <c r="AB156" i="12" s="1"/>
  <c r="B155" i="12"/>
  <c r="A155" i="12"/>
  <c r="A154" i="12"/>
  <c r="AC154" i="12" s="1"/>
  <c r="A153" i="12"/>
  <c r="AB152" i="12"/>
  <c r="AA152" i="12"/>
  <c r="Z152" i="12"/>
  <c r="Y152" i="12"/>
  <c r="T152" i="12"/>
  <c r="S152" i="12"/>
  <c r="Q152" i="12"/>
  <c r="A152" i="12"/>
  <c r="R152" i="12" s="1"/>
  <c r="A151" i="12"/>
  <c r="V151" i="12" s="1"/>
  <c r="W150" i="12"/>
  <c r="V150" i="12"/>
  <c r="B150" i="12"/>
  <c r="A150" i="12"/>
  <c r="V149" i="12"/>
  <c r="R149" i="12"/>
  <c r="B149" i="12"/>
  <c r="A149" i="12"/>
  <c r="X148" i="12"/>
  <c r="U148" i="12"/>
  <c r="Q148" i="12"/>
  <c r="B148" i="12"/>
  <c r="A148" i="12"/>
  <c r="Z148" i="12" s="1"/>
  <c r="A147" i="12"/>
  <c r="B146" i="12"/>
  <c r="A146" i="12"/>
  <c r="Y145" i="12"/>
  <c r="B145" i="12"/>
  <c r="A145" i="12"/>
  <c r="X144" i="12"/>
  <c r="A144" i="12"/>
  <c r="AB143" i="12"/>
  <c r="AA143" i="12"/>
  <c r="Z143" i="12"/>
  <c r="W143" i="12"/>
  <c r="U143" i="12"/>
  <c r="Q143" i="12"/>
  <c r="A143" i="12"/>
  <c r="V143" i="12" s="1"/>
  <c r="AB142" i="12"/>
  <c r="AA142" i="12"/>
  <c r="A142" i="12"/>
  <c r="A141" i="12"/>
  <c r="AC140" i="12"/>
  <c r="AB140" i="12"/>
  <c r="AA140" i="12"/>
  <c r="Z140" i="12"/>
  <c r="U140" i="12"/>
  <c r="R140" i="12"/>
  <c r="B140" i="12"/>
  <c r="A140" i="12"/>
  <c r="Y140" i="12" s="1"/>
  <c r="B139" i="12"/>
  <c r="A139" i="12"/>
  <c r="AC138" i="12"/>
  <c r="AB138" i="12"/>
  <c r="Y138" i="12"/>
  <c r="W138" i="12"/>
  <c r="B138" i="12"/>
  <c r="A138" i="12"/>
  <c r="S138" i="12" s="1"/>
  <c r="AB137" i="12"/>
  <c r="B137" i="12"/>
  <c r="A137" i="12"/>
  <c r="U136" i="12"/>
  <c r="B136" i="12"/>
  <c r="A136" i="12"/>
  <c r="W136" i="12" s="1"/>
  <c r="A135" i="12"/>
  <c r="B134" i="12"/>
  <c r="A134" i="12"/>
  <c r="A133" i="12"/>
  <c r="A132" i="12"/>
  <c r="Z131" i="12"/>
  <c r="B131" i="12"/>
  <c r="A131" i="12"/>
  <c r="A130" i="12"/>
  <c r="AA129" i="12"/>
  <c r="V129" i="12"/>
  <c r="B129" i="12"/>
  <c r="A129" i="12"/>
  <c r="AB129" i="12" s="1"/>
  <c r="Z128" i="12"/>
  <c r="Y128" i="12"/>
  <c r="S128" i="12"/>
  <c r="B128" i="12"/>
  <c r="A128" i="12"/>
  <c r="W127" i="12"/>
  <c r="T127" i="12"/>
  <c r="B127" i="12"/>
  <c r="A127" i="12"/>
  <c r="B126" i="12"/>
  <c r="A126" i="12"/>
  <c r="AB125" i="12"/>
  <c r="A125" i="12"/>
  <c r="B124" i="12"/>
  <c r="A124" i="12"/>
  <c r="T124" i="12" s="1"/>
  <c r="U123" i="12"/>
  <c r="A123" i="12"/>
  <c r="B122" i="12"/>
  <c r="A122" i="12"/>
  <c r="A121" i="12"/>
  <c r="B120" i="12"/>
  <c r="A120" i="12"/>
  <c r="B119" i="12"/>
  <c r="A119" i="12"/>
  <c r="A118" i="12"/>
  <c r="A117" i="12"/>
  <c r="R117" i="12" s="1"/>
  <c r="AB116" i="12"/>
  <c r="X116" i="12"/>
  <c r="W116" i="12"/>
  <c r="S116" i="12"/>
  <c r="R116" i="12"/>
  <c r="Q116" i="12"/>
  <c r="A116" i="12"/>
  <c r="Y116" i="12" s="1"/>
  <c r="AC115" i="12"/>
  <c r="AB115" i="12"/>
  <c r="V115" i="12"/>
  <c r="R115" i="12"/>
  <c r="Q115" i="12"/>
  <c r="A115" i="12"/>
  <c r="B114" i="12"/>
  <c r="A114" i="12"/>
  <c r="Z113" i="12"/>
  <c r="T113" i="12"/>
  <c r="S113" i="12"/>
  <c r="A113" i="12"/>
  <c r="A112" i="12"/>
  <c r="AB111" i="12"/>
  <c r="X111" i="12"/>
  <c r="T111" i="12"/>
  <c r="S111" i="12"/>
  <c r="R111" i="12"/>
  <c r="Q111" i="12"/>
  <c r="B111" i="12"/>
  <c r="A111" i="12"/>
  <c r="Z111" i="12" s="1"/>
  <c r="A110" i="12"/>
  <c r="AA109" i="12"/>
  <c r="Q109" i="12"/>
  <c r="B109" i="12"/>
  <c r="A109" i="12"/>
  <c r="AB109" i="12" s="1"/>
  <c r="B108" i="12"/>
  <c r="A108" i="12"/>
  <c r="A107" i="12"/>
  <c r="B106" i="12"/>
  <c r="A106" i="12"/>
  <c r="T106" i="12" s="1"/>
  <c r="Y105" i="12"/>
  <c r="B105" i="12"/>
  <c r="A105" i="12"/>
  <c r="Z105" i="12" s="1"/>
  <c r="AB104" i="12"/>
  <c r="AA104" i="12"/>
  <c r="Z104" i="12"/>
  <c r="X104" i="12"/>
  <c r="W104" i="12"/>
  <c r="R104" i="12"/>
  <c r="Q104" i="12"/>
  <c r="A104" i="12"/>
  <c r="Y104" i="12" s="1"/>
  <c r="A103" i="12"/>
  <c r="B102" i="12"/>
  <c r="A102" i="12"/>
  <c r="AB101" i="12"/>
  <c r="AA101" i="12"/>
  <c r="U101" i="12"/>
  <c r="T101" i="12"/>
  <c r="R101" i="12"/>
  <c r="B101" i="12"/>
  <c r="A101" i="12"/>
  <c r="A100" i="12"/>
  <c r="T100" i="12" s="1"/>
  <c r="B99" i="12"/>
  <c r="A99" i="12"/>
  <c r="A98" i="12"/>
  <c r="B97" i="12"/>
  <c r="A97" i="12"/>
  <c r="AB96" i="12"/>
  <c r="AA96" i="12"/>
  <c r="S96" i="12"/>
  <c r="R96" i="12"/>
  <c r="B96" i="12"/>
  <c r="A96" i="12"/>
  <c r="AC96" i="12" s="1"/>
  <c r="A95" i="12"/>
  <c r="Z95" i="12" s="1"/>
  <c r="V94" i="12"/>
  <c r="S94" i="12"/>
  <c r="R94" i="12"/>
  <c r="B94" i="12"/>
  <c r="A94" i="12"/>
  <c r="X93" i="12"/>
  <c r="A93" i="12"/>
  <c r="S93" i="12" s="1"/>
  <c r="B92" i="12"/>
  <c r="A92" i="12"/>
  <c r="S91" i="12"/>
  <c r="R91" i="12"/>
  <c r="B91" i="12"/>
  <c r="A91" i="12"/>
  <c r="W91" i="12" s="1"/>
  <c r="AB90" i="12"/>
  <c r="Z90" i="12"/>
  <c r="U90" i="12"/>
  <c r="B90" i="12"/>
  <c r="A90" i="12"/>
  <c r="A89" i="12"/>
  <c r="B88" i="12"/>
  <c r="A88" i="12"/>
  <c r="AC87" i="12"/>
  <c r="T87" i="12"/>
  <c r="Q87" i="12"/>
  <c r="B87" i="12"/>
  <c r="A87" i="12"/>
  <c r="B86" i="12"/>
  <c r="A86" i="12"/>
  <c r="A85" i="12"/>
  <c r="R85" i="12" s="1"/>
  <c r="X84" i="12"/>
  <c r="U84" i="12"/>
  <c r="S84" i="12"/>
  <c r="B84" i="12"/>
  <c r="A84" i="12"/>
  <c r="AB84" i="12" s="1"/>
  <c r="Y83" i="12"/>
  <c r="A83" i="12"/>
  <c r="A82" i="12"/>
  <c r="B81" i="12"/>
  <c r="A81" i="12"/>
  <c r="AC80" i="12"/>
  <c r="B80" i="12"/>
  <c r="A80" i="12"/>
  <c r="B79" i="12"/>
  <c r="A79" i="12"/>
  <c r="AC78" i="12"/>
  <c r="Z78" i="12"/>
  <c r="U78" i="12"/>
  <c r="Q78" i="12"/>
  <c r="B78" i="12"/>
  <c r="A78" i="12"/>
  <c r="T78" i="12" s="1"/>
  <c r="B77" i="12"/>
  <c r="A77" i="12"/>
  <c r="B76" i="12"/>
  <c r="A76" i="12"/>
  <c r="Y75" i="12"/>
  <c r="X75" i="12"/>
  <c r="R75" i="12"/>
  <c r="B75" i="12"/>
  <c r="A75" i="12"/>
  <c r="AC75" i="12" s="1"/>
  <c r="V74" i="12"/>
  <c r="A74" i="12"/>
  <c r="W74" i="12" s="1"/>
  <c r="B73" i="12"/>
  <c r="A73" i="12"/>
  <c r="AB72" i="12"/>
  <c r="AA72" i="12"/>
  <c r="W72" i="12"/>
  <c r="U72" i="12"/>
  <c r="B72" i="12"/>
  <c r="A72" i="12"/>
  <c r="Y72" i="12" s="1"/>
  <c r="B71" i="12"/>
  <c r="A71" i="12"/>
  <c r="AC70" i="12"/>
  <c r="V70" i="12"/>
  <c r="B70" i="12"/>
  <c r="A70" i="12"/>
  <c r="U70" i="12" s="1"/>
  <c r="B69" i="12"/>
  <c r="A69" i="12"/>
  <c r="AC68" i="12"/>
  <c r="A68" i="12"/>
  <c r="AB67" i="12"/>
  <c r="Q67" i="12"/>
  <c r="A67" i="12"/>
  <c r="AC67" i="12" s="1"/>
  <c r="Z66" i="12"/>
  <c r="Y66" i="12"/>
  <c r="T66" i="12"/>
  <c r="Q66" i="12"/>
  <c r="A66" i="12"/>
  <c r="B65" i="12"/>
  <c r="A65" i="12"/>
  <c r="Y64" i="12"/>
  <c r="T64" i="12"/>
  <c r="S64" i="12"/>
  <c r="B64" i="12"/>
  <c r="A64" i="12"/>
  <c r="B63" i="12"/>
  <c r="A63" i="12"/>
  <c r="Y62" i="12"/>
  <c r="B62" i="12"/>
  <c r="A62" i="12"/>
  <c r="Z62" i="12" s="1"/>
  <c r="W61" i="12"/>
  <c r="V61" i="12"/>
  <c r="S61" i="12"/>
  <c r="B61" i="12"/>
  <c r="A61" i="12"/>
  <c r="X60" i="12"/>
  <c r="T60" i="12"/>
  <c r="S60" i="12"/>
  <c r="A60" i="12"/>
  <c r="B59" i="12"/>
  <c r="A59" i="12"/>
  <c r="Y58" i="12"/>
  <c r="X58" i="12"/>
  <c r="A58" i="12"/>
  <c r="AA57" i="12"/>
  <c r="A57" i="12"/>
  <c r="B56" i="12"/>
  <c r="A56" i="12"/>
  <c r="B55" i="12"/>
  <c r="A55" i="12"/>
  <c r="Y54" i="12"/>
  <c r="A54" i="12"/>
  <c r="B53" i="12"/>
  <c r="A53" i="12"/>
  <c r="B52" i="12"/>
  <c r="A52" i="12"/>
  <c r="AB51" i="12"/>
  <c r="U51" i="12"/>
  <c r="B51" i="12"/>
  <c r="A51" i="12"/>
  <c r="AA51" i="12" s="1"/>
  <c r="B50" i="12"/>
  <c r="A50" i="12"/>
  <c r="B49" i="12"/>
  <c r="A49" i="12"/>
  <c r="U48" i="12"/>
  <c r="T48" i="12"/>
  <c r="A48" i="12"/>
  <c r="Y48" i="12" s="1"/>
  <c r="AC47" i="12"/>
  <c r="AB47" i="12"/>
  <c r="U47" i="12"/>
  <c r="T47" i="12"/>
  <c r="B47" i="12"/>
  <c r="A47" i="12"/>
  <c r="S47" i="12" s="1"/>
  <c r="A46" i="12"/>
  <c r="Y46" i="12" s="1"/>
  <c r="B45" i="12"/>
  <c r="A45" i="12"/>
  <c r="B44" i="12"/>
  <c r="A44" i="12"/>
  <c r="Y43" i="12"/>
  <c r="B43" i="12"/>
  <c r="A43" i="12"/>
  <c r="T42" i="12"/>
  <c r="Q42" i="12"/>
  <c r="A42" i="12"/>
  <c r="A41" i="12"/>
  <c r="Z41" i="12" s="1"/>
  <c r="B40" i="12"/>
  <c r="A40" i="12"/>
  <c r="AB40" i="12" s="1"/>
  <c r="A39" i="12"/>
  <c r="B38" i="12"/>
  <c r="A38" i="12"/>
  <c r="A37" i="12"/>
  <c r="B36" i="12"/>
  <c r="A36" i="12"/>
  <c r="B35" i="12"/>
  <c r="A35" i="12"/>
  <c r="W35" i="12" s="1"/>
  <c r="A34" i="12"/>
  <c r="A33" i="12"/>
  <c r="B32" i="12"/>
  <c r="A32" i="12"/>
  <c r="B31" i="12"/>
  <c r="A31" i="12"/>
  <c r="A30" i="12"/>
  <c r="B29" i="12"/>
  <c r="A29" i="12"/>
  <c r="Z29" i="12" s="1"/>
  <c r="AB28" i="12"/>
  <c r="W28" i="12"/>
  <c r="S28" i="12"/>
  <c r="R28" i="12"/>
  <c r="B28" i="12"/>
  <c r="A28" i="12"/>
  <c r="B27" i="12"/>
  <c r="A27" i="12"/>
  <c r="B26" i="12"/>
  <c r="A26" i="12"/>
  <c r="A25" i="12"/>
  <c r="AC24" i="12"/>
  <c r="AB24" i="12"/>
  <c r="T24" i="12"/>
  <c r="B24" i="12"/>
  <c r="A24" i="12"/>
  <c r="B23" i="12"/>
  <c r="A23" i="12"/>
  <c r="Z23" i="12" s="1"/>
  <c r="B22" i="12"/>
  <c r="A22" i="12"/>
  <c r="A21" i="12"/>
  <c r="T20" i="12"/>
  <c r="B20" i="12"/>
  <c r="A20" i="12"/>
  <c r="AC20" i="12" s="1"/>
  <c r="S19" i="12"/>
  <c r="Q19" i="12"/>
  <c r="B19" i="12"/>
  <c r="A19" i="12"/>
  <c r="B18" i="12"/>
  <c r="A18" i="12"/>
  <c r="B17" i="12"/>
  <c r="A17" i="12"/>
  <c r="V16" i="12"/>
  <c r="B16" i="12"/>
  <c r="A16" i="12"/>
  <c r="B15" i="12"/>
  <c r="A15" i="12"/>
  <c r="V14" i="12"/>
  <c r="B14" i="12"/>
  <c r="A14" i="12"/>
  <c r="AA13" i="12"/>
  <c r="Z13" i="12"/>
  <c r="B13" i="12"/>
  <c r="A13" i="12"/>
  <c r="U12" i="12"/>
  <c r="B12" i="12"/>
  <c r="A12" i="12"/>
  <c r="AB12" i="12" s="1"/>
  <c r="A11" i="12"/>
  <c r="AC11" i="12" s="1"/>
  <c r="A10" i="12"/>
  <c r="Z10" i="12" s="1"/>
  <c r="V9" i="12"/>
  <c r="Q9" i="12"/>
  <c r="B9" i="12"/>
  <c r="A9" i="12"/>
  <c r="X8" i="12"/>
  <c r="S8" i="12"/>
  <c r="Q8" i="12"/>
  <c r="B8" i="12"/>
  <c r="A8" i="12"/>
  <c r="W8" i="12" s="1"/>
  <c r="Y7" i="12"/>
  <c r="B7" i="12"/>
  <c r="A7" i="12"/>
  <c r="A6" i="12"/>
  <c r="A5" i="12"/>
  <c r="A4" i="12"/>
  <c r="A3" i="12"/>
  <c r="A200" i="11"/>
  <c r="A199" i="11"/>
  <c r="AA198" i="11"/>
  <c r="Z198" i="11"/>
  <c r="B198" i="11"/>
  <c r="A198" i="11"/>
  <c r="AH197" i="11"/>
  <c r="X197" i="11"/>
  <c r="Q197" i="11"/>
  <c r="N197" i="11"/>
  <c r="I197" i="11"/>
  <c r="A197" i="11"/>
  <c r="AG197" i="11" s="1"/>
  <c r="AL196" i="11"/>
  <c r="AJ196" i="11"/>
  <c r="AB196" i="11"/>
  <c r="Z196" i="11"/>
  <c r="Y196" i="11"/>
  <c r="X196" i="11"/>
  <c r="W196" i="11"/>
  <c r="U196" i="11"/>
  <c r="S196" i="11"/>
  <c r="N196" i="11"/>
  <c r="M196" i="11"/>
  <c r="K196" i="11"/>
  <c r="I196" i="11"/>
  <c r="G196" i="11"/>
  <c r="F196" i="11"/>
  <c r="D196" i="11"/>
  <c r="C196" i="11"/>
  <c r="A196" i="11"/>
  <c r="AA196" i="11" s="1"/>
  <c r="A195" i="11"/>
  <c r="AK195" i="11" s="1"/>
  <c r="AL194" i="11"/>
  <c r="AE194" i="11"/>
  <c r="Z194" i="11"/>
  <c r="K194" i="11"/>
  <c r="H194" i="11"/>
  <c r="D194" i="11"/>
  <c r="A194" i="11"/>
  <c r="A193" i="11"/>
  <c r="A192" i="11"/>
  <c r="AB191" i="11"/>
  <c r="Q191" i="11"/>
  <c r="J191" i="11"/>
  <c r="A191" i="11"/>
  <c r="AJ191" i="11" s="1"/>
  <c r="S190" i="11"/>
  <c r="A190" i="11"/>
  <c r="A189" i="11"/>
  <c r="AC189" i="11" s="1"/>
  <c r="A188" i="11"/>
  <c r="AK188" i="11" s="1"/>
  <c r="AG187" i="11"/>
  <c r="AF187" i="11"/>
  <c r="AC187" i="11"/>
  <c r="S187" i="11"/>
  <c r="R187" i="11"/>
  <c r="M187" i="11"/>
  <c r="I187" i="11"/>
  <c r="F187" i="11"/>
  <c r="C187" i="11"/>
  <c r="A187" i="11"/>
  <c r="A186" i="11"/>
  <c r="A185" i="11"/>
  <c r="A184" i="11"/>
  <c r="R183" i="11"/>
  <c r="J183" i="11"/>
  <c r="A183" i="11"/>
  <c r="AA183" i="11" s="1"/>
  <c r="S182" i="11"/>
  <c r="O182" i="11"/>
  <c r="J182" i="11"/>
  <c r="A182" i="11"/>
  <c r="X182" i="11" s="1"/>
  <c r="AE181" i="11"/>
  <c r="A181" i="11"/>
  <c r="P180" i="11"/>
  <c r="L180" i="11"/>
  <c r="I180" i="11"/>
  <c r="A180" i="11"/>
  <c r="M179" i="11"/>
  <c r="L179" i="11"/>
  <c r="E179" i="11"/>
  <c r="A179" i="11"/>
  <c r="AL179" i="11" s="1"/>
  <c r="AK178" i="11"/>
  <c r="K178" i="11"/>
  <c r="A178" i="11"/>
  <c r="X177" i="11"/>
  <c r="A177" i="11"/>
  <c r="A176" i="11"/>
  <c r="AD175" i="11"/>
  <c r="Q175" i="11"/>
  <c r="N175" i="11"/>
  <c r="L175" i="11"/>
  <c r="A175" i="11"/>
  <c r="AA175" i="11" s="1"/>
  <c r="A174" i="11"/>
  <c r="AA173" i="11"/>
  <c r="T173" i="11"/>
  <c r="S173" i="11"/>
  <c r="A173" i="11"/>
  <c r="AG173" i="11" s="1"/>
  <c r="AG172" i="11"/>
  <c r="A172" i="11"/>
  <c r="A171" i="11"/>
  <c r="AA170" i="11"/>
  <c r="A170" i="11"/>
  <c r="AL169" i="11"/>
  <c r="AD169" i="11"/>
  <c r="AC169" i="11"/>
  <c r="AB169" i="11"/>
  <c r="X169" i="11"/>
  <c r="W169" i="11"/>
  <c r="U169" i="11"/>
  <c r="T169" i="11"/>
  <c r="L169" i="11"/>
  <c r="K169" i="11"/>
  <c r="J169" i="11"/>
  <c r="G169" i="11"/>
  <c r="E169" i="11"/>
  <c r="D169" i="11"/>
  <c r="C169" i="11"/>
  <c r="A169" i="11"/>
  <c r="AA169" i="11" s="1"/>
  <c r="K168" i="11"/>
  <c r="A168" i="11"/>
  <c r="A167" i="11"/>
  <c r="A166" i="11"/>
  <c r="AJ165" i="11"/>
  <c r="AI165" i="11"/>
  <c r="AA165" i="11"/>
  <c r="W165" i="11"/>
  <c r="S165" i="11"/>
  <c r="Q165" i="11"/>
  <c r="O165" i="11"/>
  <c r="L165" i="11"/>
  <c r="K165" i="11"/>
  <c r="G165" i="11"/>
  <c r="C165" i="11"/>
  <c r="B165" i="11"/>
  <c r="A165" i="11"/>
  <c r="AE165" i="11" s="1"/>
  <c r="AC164" i="11"/>
  <c r="Y164" i="11"/>
  <c r="U164" i="11"/>
  <c r="N164" i="11"/>
  <c r="I164" i="11"/>
  <c r="G164" i="11"/>
  <c r="E164" i="11"/>
  <c r="A164" i="11"/>
  <c r="AG164" i="11" s="1"/>
  <c r="AE163" i="11"/>
  <c r="AC163" i="11"/>
  <c r="X163" i="11"/>
  <c r="Q163" i="11"/>
  <c r="P163" i="11"/>
  <c r="A163" i="11"/>
  <c r="AG162" i="11"/>
  <c r="A162" i="11"/>
  <c r="U162" i="11" s="1"/>
  <c r="AH161" i="11"/>
  <c r="AE161" i="11"/>
  <c r="AA161" i="11"/>
  <c r="N161" i="11"/>
  <c r="J161" i="11"/>
  <c r="A161" i="11"/>
  <c r="AI160" i="11"/>
  <c r="AC160" i="11"/>
  <c r="Y160" i="11"/>
  <c r="A160" i="11"/>
  <c r="A159" i="11"/>
  <c r="AI159" i="11" s="1"/>
  <c r="AG158" i="11"/>
  <c r="AC158" i="11"/>
  <c r="A158" i="11"/>
  <c r="A157" i="11"/>
  <c r="X156" i="11"/>
  <c r="A156" i="11"/>
  <c r="AH155" i="11"/>
  <c r="K155" i="11"/>
  <c r="I155" i="11"/>
  <c r="H155" i="11"/>
  <c r="B155" i="11"/>
  <c r="A155" i="11"/>
  <c r="A154" i="11"/>
  <c r="A153" i="11"/>
  <c r="I152" i="11"/>
  <c r="A152" i="11"/>
  <c r="Z151" i="11"/>
  <c r="X151" i="11"/>
  <c r="W151" i="11"/>
  <c r="P151" i="11"/>
  <c r="N151" i="11"/>
  <c r="F151" i="11"/>
  <c r="D151" i="11"/>
  <c r="A151" i="11"/>
  <c r="AJ151" i="11" s="1"/>
  <c r="A150" i="11"/>
  <c r="A149" i="11"/>
  <c r="A148" i="11"/>
  <c r="AH148" i="11" s="1"/>
  <c r="A147" i="11"/>
  <c r="AL146" i="11"/>
  <c r="AB146" i="11"/>
  <c r="Z146" i="11"/>
  <c r="O146" i="11"/>
  <c r="E146" i="11"/>
  <c r="C146" i="11"/>
  <c r="B146" i="11"/>
  <c r="A146" i="11"/>
  <c r="AG146" i="11" s="1"/>
  <c r="AL145" i="11"/>
  <c r="AH145" i="11"/>
  <c r="AG145" i="11"/>
  <c r="AA145" i="11"/>
  <c r="W145" i="11"/>
  <c r="U145" i="11"/>
  <c r="K145" i="11"/>
  <c r="J145" i="11"/>
  <c r="E145" i="11"/>
  <c r="A145" i="11"/>
  <c r="AE144" i="11"/>
  <c r="W144" i="11"/>
  <c r="K144" i="11"/>
  <c r="I144" i="11"/>
  <c r="F144" i="11"/>
  <c r="A144" i="11"/>
  <c r="A143" i="11"/>
  <c r="P142" i="11"/>
  <c r="O142" i="11"/>
  <c r="C142" i="11"/>
  <c r="A142" i="11"/>
  <c r="A141" i="11"/>
  <c r="A140" i="11"/>
  <c r="AE140" i="11" s="1"/>
  <c r="AH139" i="11"/>
  <c r="AE139" i="11"/>
  <c r="AD139" i="11"/>
  <c r="AC139" i="11"/>
  <c r="X139" i="11"/>
  <c r="W139" i="11"/>
  <c r="U139" i="11"/>
  <c r="Q139" i="11"/>
  <c r="O139" i="11"/>
  <c r="L139" i="11"/>
  <c r="K139" i="11"/>
  <c r="H139" i="11"/>
  <c r="G139" i="11"/>
  <c r="E139" i="11"/>
  <c r="D139" i="11"/>
  <c r="A139" i="11"/>
  <c r="A138" i="11"/>
  <c r="AE137" i="11"/>
  <c r="A137" i="11"/>
  <c r="AF137" i="11" s="1"/>
  <c r="AK136" i="11"/>
  <c r="AC136" i="11"/>
  <c r="P136" i="11"/>
  <c r="K136" i="11"/>
  <c r="D136" i="11"/>
  <c r="C136" i="11"/>
  <c r="A136" i="11"/>
  <c r="X136" i="11" s="1"/>
  <c r="A135" i="11"/>
  <c r="A134" i="11"/>
  <c r="AD133" i="11"/>
  <c r="T133" i="11"/>
  <c r="R133" i="11"/>
  <c r="Q133" i="11"/>
  <c r="A133" i="11"/>
  <c r="AC133" i="11" s="1"/>
  <c r="Y132" i="11"/>
  <c r="H132" i="11"/>
  <c r="A132" i="11"/>
  <c r="A131" i="11"/>
  <c r="AH130" i="11"/>
  <c r="AD130" i="11"/>
  <c r="AB130" i="11"/>
  <c r="L130" i="11"/>
  <c r="A130" i="11"/>
  <c r="AJ129" i="11"/>
  <c r="AE129" i="11"/>
  <c r="AD129" i="11"/>
  <c r="Y129" i="11"/>
  <c r="X129" i="11"/>
  <c r="S129" i="11"/>
  <c r="R129" i="11"/>
  <c r="K129" i="11"/>
  <c r="G129" i="11"/>
  <c r="C129" i="11"/>
  <c r="B129" i="11"/>
  <c r="A129" i="11"/>
  <c r="AC129" i="11" s="1"/>
  <c r="AE128" i="11"/>
  <c r="AA128" i="11"/>
  <c r="U128" i="11"/>
  <c r="A128" i="11"/>
  <c r="AF127" i="11"/>
  <c r="AE127" i="11"/>
  <c r="S127" i="11"/>
  <c r="J127" i="11"/>
  <c r="H127" i="11"/>
  <c r="A127" i="11"/>
  <c r="U126" i="11"/>
  <c r="L126" i="11"/>
  <c r="H126" i="11"/>
  <c r="A126" i="11"/>
  <c r="AK125" i="11"/>
  <c r="AB125" i="11"/>
  <c r="U125" i="11"/>
  <c r="K125" i="11"/>
  <c r="A125" i="11"/>
  <c r="AB124" i="11"/>
  <c r="X124" i="11"/>
  <c r="K124" i="11"/>
  <c r="I124" i="11"/>
  <c r="C124" i="11"/>
  <c r="A124" i="11"/>
  <c r="AH124" i="11" s="1"/>
  <c r="AL123" i="11"/>
  <c r="AI123" i="11"/>
  <c r="S123" i="11"/>
  <c r="M123" i="11"/>
  <c r="G123" i="11"/>
  <c r="C123" i="11"/>
  <c r="A123" i="11"/>
  <c r="AF123" i="11" s="1"/>
  <c r="AH122" i="11"/>
  <c r="AF122" i="11"/>
  <c r="AE122" i="11"/>
  <c r="Z122" i="11"/>
  <c r="M122" i="11"/>
  <c r="I122" i="11"/>
  <c r="H122" i="11"/>
  <c r="A122" i="11"/>
  <c r="AJ121" i="11"/>
  <c r="AI121" i="11"/>
  <c r="AH121" i="11"/>
  <c r="U121" i="11"/>
  <c r="T121" i="11"/>
  <c r="P121" i="11"/>
  <c r="K121" i="11"/>
  <c r="A121" i="11"/>
  <c r="A120" i="11"/>
  <c r="AK119" i="11"/>
  <c r="AI119" i="11"/>
  <c r="AG119" i="11"/>
  <c r="AF119" i="11"/>
  <c r="Z119" i="11"/>
  <c r="P119" i="11"/>
  <c r="O119" i="11"/>
  <c r="M119" i="11"/>
  <c r="J119" i="11"/>
  <c r="I119" i="11"/>
  <c r="G119" i="11"/>
  <c r="D119" i="11"/>
  <c r="A119" i="11"/>
  <c r="Y119" i="11" s="1"/>
  <c r="A118" i="11"/>
  <c r="AE117" i="11"/>
  <c r="X117" i="11"/>
  <c r="B117" i="11"/>
  <c r="A117" i="11"/>
  <c r="AL116" i="11"/>
  <c r="Y116" i="11"/>
  <c r="T116" i="11"/>
  <c r="S116" i="11"/>
  <c r="Q116" i="11"/>
  <c r="J116" i="11"/>
  <c r="E116" i="11"/>
  <c r="C116" i="11"/>
  <c r="B116" i="11"/>
  <c r="A116" i="11"/>
  <c r="AK116" i="11" s="1"/>
  <c r="AG115" i="11"/>
  <c r="H115" i="11"/>
  <c r="A115" i="11"/>
  <c r="AK114" i="11"/>
  <c r="T114" i="11"/>
  <c r="M114" i="11"/>
  <c r="L114" i="11"/>
  <c r="B114" i="11"/>
  <c r="A114" i="11"/>
  <c r="AE113" i="11"/>
  <c r="T113" i="11"/>
  <c r="D113" i="11"/>
  <c r="A113" i="11"/>
  <c r="AF113" i="11" s="1"/>
  <c r="AK112" i="11"/>
  <c r="AA112" i="11"/>
  <c r="Y112" i="11"/>
  <c r="V112" i="11"/>
  <c r="P112" i="11"/>
  <c r="D112" i="11"/>
  <c r="A112" i="11"/>
  <c r="AC112" i="11" s="1"/>
  <c r="A111" i="11"/>
  <c r="A110" i="11"/>
  <c r="T110" i="11" s="1"/>
  <c r="AL109" i="11"/>
  <c r="AJ109" i="11"/>
  <c r="AF109" i="11"/>
  <c r="AE109" i="11"/>
  <c r="AB109" i="11"/>
  <c r="Z109" i="11"/>
  <c r="X109" i="11"/>
  <c r="V109" i="11"/>
  <c r="R109" i="11"/>
  <c r="O109" i="11"/>
  <c r="L109" i="11"/>
  <c r="J109" i="11"/>
  <c r="I109" i="11"/>
  <c r="F109" i="11"/>
  <c r="E109" i="11"/>
  <c r="B109" i="11"/>
  <c r="A109" i="11"/>
  <c r="AD109" i="11" s="1"/>
  <c r="A108" i="11"/>
  <c r="A107" i="11"/>
  <c r="AF106" i="11"/>
  <c r="AA106" i="11"/>
  <c r="Q106" i="11"/>
  <c r="A106" i="11"/>
  <c r="AG106" i="11" s="1"/>
  <c r="AB105" i="11"/>
  <c r="R105" i="11"/>
  <c r="F105" i="11"/>
  <c r="A105" i="11"/>
  <c r="V104" i="11"/>
  <c r="Q104" i="11"/>
  <c r="H104" i="11"/>
  <c r="A104" i="11"/>
  <c r="AJ103" i="11"/>
  <c r="AI103" i="11"/>
  <c r="AH103" i="11"/>
  <c r="AG103" i="11"/>
  <c r="AD103" i="11"/>
  <c r="Z103" i="11"/>
  <c r="X103" i="11"/>
  <c r="W103" i="11"/>
  <c r="U103" i="11"/>
  <c r="T103" i="11"/>
  <c r="S103" i="11"/>
  <c r="R103" i="11"/>
  <c r="L103" i="11"/>
  <c r="J103" i="11"/>
  <c r="I103" i="11"/>
  <c r="H103" i="11"/>
  <c r="F103" i="11"/>
  <c r="E103" i="11"/>
  <c r="D103" i="11"/>
  <c r="C103" i="11"/>
  <c r="A103" i="11"/>
  <c r="AB103" i="11" s="1"/>
  <c r="A102" i="11"/>
  <c r="AG101" i="11"/>
  <c r="A101" i="11"/>
  <c r="AJ100" i="11"/>
  <c r="AH100" i="11"/>
  <c r="AG100" i="11"/>
  <c r="AF100" i="11"/>
  <c r="AA100" i="11"/>
  <c r="Y100" i="11"/>
  <c r="G100" i="13" s="1"/>
  <c r="N101" i="12" s="1"/>
  <c r="R100" i="11"/>
  <c r="Q100" i="11"/>
  <c r="M100" i="11"/>
  <c r="K100" i="11"/>
  <c r="J100" i="11"/>
  <c r="F100" i="11"/>
  <c r="E100" i="11"/>
  <c r="D100" i="11"/>
  <c r="A100" i="11"/>
  <c r="AB100" i="11" s="1"/>
  <c r="A99" i="11"/>
  <c r="AD98" i="11"/>
  <c r="AB98" i="11"/>
  <c r="V98" i="11"/>
  <c r="P98" i="11"/>
  <c r="N98" i="11"/>
  <c r="L98" i="11"/>
  <c r="A98" i="11"/>
  <c r="Z98" i="11" s="1"/>
  <c r="AF97" i="11"/>
  <c r="AA97" i="11"/>
  <c r="X97" i="11"/>
  <c r="S97" i="11"/>
  <c r="Q97" i="11"/>
  <c r="J97" i="11"/>
  <c r="G97" i="11"/>
  <c r="F97" i="11"/>
  <c r="A97" i="11"/>
  <c r="AG97" i="11" s="1"/>
  <c r="AH96" i="11"/>
  <c r="AF96" i="11"/>
  <c r="W96" i="11"/>
  <c r="T96" i="11"/>
  <c r="S96" i="11"/>
  <c r="K96" i="11"/>
  <c r="H96" i="11"/>
  <c r="G96" i="11"/>
  <c r="E96" i="11"/>
  <c r="A96" i="11"/>
  <c r="AI96" i="11" s="1"/>
  <c r="X95" i="11"/>
  <c r="A95" i="11"/>
  <c r="A94" i="11"/>
  <c r="AD93" i="11"/>
  <c r="A93" i="11"/>
  <c r="A92" i="11"/>
  <c r="AG91" i="11"/>
  <c r="AF91" i="11"/>
  <c r="AC91" i="11"/>
  <c r="AA91" i="11"/>
  <c r="W91" i="11"/>
  <c r="V91" i="11"/>
  <c r="T91" i="11"/>
  <c r="P91" i="11"/>
  <c r="O91" i="11"/>
  <c r="K91" i="11"/>
  <c r="J91" i="11"/>
  <c r="H91" i="11"/>
  <c r="E91" i="11"/>
  <c r="D91" i="11"/>
  <c r="C91" i="11"/>
  <c r="A91" i="11"/>
  <c r="AJ91" i="11" s="1"/>
  <c r="AI90" i="11"/>
  <c r="W90" i="11"/>
  <c r="V90" i="11"/>
  <c r="J90" i="11"/>
  <c r="A90" i="11"/>
  <c r="AH89" i="11"/>
  <c r="M89" i="11"/>
  <c r="L89" i="11"/>
  <c r="A89" i="11"/>
  <c r="AJ89" i="11" s="1"/>
  <c r="AJ88" i="11"/>
  <c r="AH88" i="11"/>
  <c r="AE88" i="11"/>
  <c r="AC88" i="11"/>
  <c r="X88" i="11"/>
  <c r="V88" i="11"/>
  <c r="S88" i="11"/>
  <c r="R88" i="11"/>
  <c r="Q88" i="11"/>
  <c r="P88" i="11"/>
  <c r="K88" i="11"/>
  <c r="H88" i="11"/>
  <c r="E88" i="11"/>
  <c r="D88" i="11"/>
  <c r="C88" i="11"/>
  <c r="A88" i="11"/>
  <c r="AI88" i="11" s="1"/>
  <c r="AC87" i="11"/>
  <c r="A87" i="11"/>
  <c r="A86" i="11"/>
  <c r="AD85" i="11"/>
  <c r="K85" i="11"/>
  <c r="A85" i="11"/>
  <c r="AI84" i="11"/>
  <c r="AE84" i="11"/>
  <c r="W84" i="11"/>
  <c r="V84" i="11"/>
  <c r="T84" i="11"/>
  <c r="K84" i="11"/>
  <c r="G84" i="11"/>
  <c r="A84" i="11"/>
  <c r="AG84" i="11" s="1"/>
  <c r="A83" i="11"/>
  <c r="AF82" i="11"/>
  <c r="AD82" i="11"/>
  <c r="AC82" i="11"/>
  <c r="P82" i="11"/>
  <c r="L82" i="11"/>
  <c r="F82" i="11"/>
  <c r="D82" i="11"/>
  <c r="C82" i="11"/>
  <c r="A82" i="11"/>
  <c r="AI82" i="11" s="1"/>
  <c r="P81" i="11"/>
  <c r="E81" i="11"/>
  <c r="D81" i="11"/>
  <c r="A81" i="11"/>
  <c r="A80" i="11"/>
  <c r="AH79" i="11"/>
  <c r="AG79" i="11"/>
  <c r="AC79" i="11"/>
  <c r="AB79" i="11"/>
  <c r="AA79" i="11"/>
  <c r="T79" i="11"/>
  <c r="Q79" i="11"/>
  <c r="P79" i="11"/>
  <c r="K79" i="11"/>
  <c r="J79" i="11"/>
  <c r="I79" i="11"/>
  <c r="H79" i="11"/>
  <c r="C79" i="11"/>
  <c r="A79" i="11"/>
  <c r="AJ79" i="11" s="1"/>
  <c r="AI78" i="11"/>
  <c r="X78" i="11"/>
  <c r="K78" i="11"/>
  <c r="G78" i="11"/>
  <c r="E78" i="11"/>
  <c r="A78" i="11"/>
  <c r="AJ78" i="11" s="1"/>
  <c r="A77" i="11"/>
  <c r="AE77" i="11" s="1"/>
  <c r="X76" i="11"/>
  <c r="W76" i="11"/>
  <c r="N76" i="11"/>
  <c r="A76" i="11"/>
  <c r="T76" i="11" s="1"/>
  <c r="AI75" i="11"/>
  <c r="AD75" i="11"/>
  <c r="A75" i="11"/>
  <c r="A74" i="11"/>
  <c r="AC73" i="11"/>
  <c r="R73" i="11"/>
  <c r="P73" i="11"/>
  <c r="O73" i="11"/>
  <c r="A73" i="11"/>
  <c r="K73" i="11" s="1"/>
  <c r="AI72" i="11"/>
  <c r="AH72" i="11"/>
  <c r="V72" i="11"/>
  <c r="S72" i="11"/>
  <c r="Q72" i="11"/>
  <c r="K72" i="11"/>
  <c r="A72" i="11"/>
  <c r="AG72" i="11" s="1"/>
  <c r="A71" i="11"/>
  <c r="Y71" i="11" s="1"/>
  <c r="AJ70" i="11"/>
  <c r="AF70" i="11"/>
  <c r="AE70" i="11"/>
  <c r="AD70" i="11"/>
  <c r="Z70" i="11"/>
  <c r="S70" i="11"/>
  <c r="R70" i="11"/>
  <c r="Q70" i="11"/>
  <c r="I70" i="11"/>
  <c r="G70" i="11"/>
  <c r="F70" i="11"/>
  <c r="E70" i="11"/>
  <c r="A70" i="11"/>
  <c r="AC70" i="11" s="1"/>
  <c r="AD69" i="11"/>
  <c r="Q69" i="11"/>
  <c r="A69" i="11"/>
  <c r="AE68" i="11"/>
  <c r="AB68" i="11"/>
  <c r="R68" i="11"/>
  <c r="I68" i="11"/>
  <c r="H68" i="11"/>
  <c r="F68" i="11"/>
  <c r="A68" i="11"/>
  <c r="AK68" i="11" s="1"/>
  <c r="AC67" i="11"/>
  <c r="AB67" i="11"/>
  <c r="AA67" i="11"/>
  <c r="O67" i="11"/>
  <c r="J67" i="11"/>
  <c r="A67" i="11"/>
  <c r="W67" i="11" s="1"/>
  <c r="AI66" i="11"/>
  <c r="AE66" i="11"/>
  <c r="AC66" i="11"/>
  <c r="L66" i="11"/>
  <c r="A66" i="11"/>
  <c r="Y66" i="11" s="1"/>
  <c r="AJ65" i="11"/>
  <c r="Z65" i="11"/>
  <c r="A65" i="11"/>
  <c r="AL64" i="11"/>
  <c r="AJ64" i="11"/>
  <c r="AA64" i="11"/>
  <c r="Z64" i="11"/>
  <c r="S64" i="11"/>
  <c r="R64" i="11"/>
  <c r="Q64" i="11"/>
  <c r="J64" i="11"/>
  <c r="I64" i="11"/>
  <c r="D64" i="11"/>
  <c r="C64" i="11"/>
  <c r="B64" i="11"/>
  <c r="A64" i="11"/>
  <c r="V64" i="11" s="1"/>
  <c r="A63" i="11"/>
  <c r="S63" i="11" s="1"/>
  <c r="A62" i="11"/>
  <c r="P61" i="11"/>
  <c r="A61" i="11"/>
  <c r="AD60" i="11"/>
  <c r="A60" i="11"/>
  <c r="AL59" i="11"/>
  <c r="A59" i="11"/>
  <c r="X58" i="11"/>
  <c r="V58" i="11"/>
  <c r="R58" i="11"/>
  <c r="B58" i="11"/>
  <c r="A58" i="11"/>
  <c r="AK57" i="11"/>
  <c r="AJ57" i="11"/>
  <c r="S57" i="11"/>
  <c r="M57" i="11"/>
  <c r="L57" i="11"/>
  <c r="K57" i="11"/>
  <c r="A57" i="11"/>
  <c r="Y57" i="11" s="1"/>
  <c r="AF56" i="11"/>
  <c r="A56" i="11"/>
  <c r="AG56" i="11" s="1"/>
  <c r="AK55" i="11"/>
  <c r="Y55" i="11"/>
  <c r="U55" i="11"/>
  <c r="K55" i="11"/>
  <c r="I55" i="11"/>
  <c r="H55" i="11"/>
  <c r="A55" i="11"/>
  <c r="AC55" i="11" s="1"/>
  <c r="A54" i="11"/>
  <c r="R54" i="11" s="1"/>
  <c r="AH53" i="11"/>
  <c r="AG53" i="11"/>
  <c r="Q53" i="11"/>
  <c r="H53" i="11"/>
  <c r="A53" i="11"/>
  <c r="C53" i="11" s="1"/>
  <c r="R52" i="11"/>
  <c r="P52" i="11"/>
  <c r="A52" i="11"/>
  <c r="A51" i="11"/>
  <c r="L51" i="11" s="1"/>
  <c r="AI50" i="11"/>
  <c r="A50" i="11"/>
  <c r="U50" i="11" s="1"/>
  <c r="K49" i="11"/>
  <c r="A49" i="11"/>
  <c r="T48" i="11"/>
  <c r="A48" i="11"/>
  <c r="A47" i="11"/>
  <c r="AJ46" i="11"/>
  <c r="AI46" i="11"/>
  <c r="AG46" i="11"/>
  <c r="AD46" i="11"/>
  <c r="AB46" i="11"/>
  <c r="AA46" i="11"/>
  <c r="X46" i="11"/>
  <c r="V46" i="11"/>
  <c r="U46" i="11"/>
  <c r="S46" i="11"/>
  <c r="R46" i="11"/>
  <c r="P46" i="11"/>
  <c r="L46" i="11"/>
  <c r="K46" i="11"/>
  <c r="J46" i="11"/>
  <c r="F46" i="11"/>
  <c r="E46" i="11"/>
  <c r="D46" i="11"/>
  <c r="C46" i="11"/>
  <c r="B46" i="11"/>
  <c r="A46" i="11"/>
  <c r="AL46" i="11" s="1"/>
  <c r="AK45" i="11"/>
  <c r="AI45" i="11"/>
  <c r="AG45" i="11"/>
  <c r="W45" i="11"/>
  <c r="S45" i="11"/>
  <c r="M45" i="11"/>
  <c r="K45" i="11"/>
  <c r="H45" i="11"/>
  <c r="G45" i="11"/>
  <c r="A45" i="11"/>
  <c r="Z45" i="11" s="1"/>
  <c r="O44" i="11"/>
  <c r="A44" i="11"/>
  <c r="P44" i="11" s="1"/>
  <c r="A43" i="11"/>
  <c r="A42" i="11"/>
  <c r="A41" i="11"/>
  <c r="AB41" i="11" s="1"/>
  <c r="X40" i="11"/>
  <c r="V40" i="11"/>
  <c r="O40" i="11"/>
  <c r="N40" i="11"/>
  <c r="J40" i="11"/>
  <c r="G40" i="11"/>
  <c r="A40" i="11"/>
  <c r="AJ39" i="11"/>
  <c r="T39" i="11"/>
  <c r="M39" i="11"/>
  <c r="A39" i="11"/>
  <c r="A38" i="11"/>
  <c r="AA38" i="11" s="1"/>
  <c r="A37" i="11"/>
  <c r="A36" i="11"/>
  <c r="Z35" i="11"/>
  <c r="A35" i="11"/>
  <c r="AL34" i="11"/>
  <c r="AG34" i="11"/>
  <c r="AE34" i="11"/>
  <c r="AC34" i="11"/>
  <c r="AB34" i="11"/>
  <c r="Z34" i="11"/>
  <c r="S34" i="11"/>
  <c r="O34" i="11"/>
  <c r="N34" i="11"/>
  <c r="K34" i="11"/>
  <c r="J34" i="11"/>
  <c r="I34" i="11"/>
  <c r="D34" i="11"/>
  <c r="C34" i="11"/>
  <c r="A34" i="11"/>
  <c r="AH34" i="11" s="1"/>
  <c r="AL33" i="11"/>
  <c r="AJ33" i="11"/>
  <c r="AI33" i="11"/>
  <c r="AG33" i="11"/>
  <c r="AE33" i="11"/>
  <c r="AC33" i="11"/>
  <c r="AB33" i="11"/>
  <c r="Z33" i="11"/>
  <c r="X33" i="11"/>
  <c r="W33" i="11"/>
  <c r="U33" i="11"/>
  <c r="T33" i="11"/>
  <c r="R33" i="11"/>
  <c r="N33" i="11"/>
  <c r="M33" i="11"/>
  <c r="L33" i="11"/>
  <c r="K33" i="11"/>
  <c r="H33" i="11"/>
  <c r="G33" i="11"/>
  <c r="F33" i="11"/>
  <c r="E33" i="11"/>
  <c r="D33" i="11"/>
  <c r="B33" i="11"/>
  <c r="A33" i="11"/>
  <c r="Y33" i="11" s="1"/>
  <c r="A32" i="11"/>
  <c r="AA32" i="11" s="1"/>
  <c r="AA31" i="11"/>
  <c r="X31" i="11"/>
  <c r="W31" i="11"/>
  <c r="U31" i="11"/>
  <c r="F31" i="11"/>
  <c r="A31" i="11"/>
  <c r="A30" i="11"/>
  <c r="G30" i="11" s="1"/>
  <c r="A29" i="11"/>
  <c r="AL28" i="11"/>
  <c r="AG28" i="11"/>
  <c r="AE28" i="11"/>
  <c r="AD28" i="11"/>
  <c r="AB28" i="11"/>
  <c r="Z28" i="11"/>
  <c r="W28" i="11"/>
  <c r="V28" i="11"/>
  <c r="S28" i="11"/>
  <c r="P28" i="11"/>
  <c r="N28" i="11"/>
  <c r="L28" i="11"/>
  <c r="K28" i="11"/>
  <c r="I28" i="11"/>
  <c r="E28" i="11"/>
  <c r="D28" i="11"/>
  <c r="C28" i="11"/>
  <c r="A28" i="11"/>
  <c r="AC28" i="11" s="1"/>
  <c r="AF27" i="11"/>
  <c r="AD27" i="11"/>
  <c r="G27" i="11"/>
  <c r="D27" i="11"/>
  <c r="A27" i="11"/>
  <c r="AJ27" i="11" s="1"/>
  <c r="AF26" i="11"/>
  <c r="AA26" i="11"/>
  <c r="J26" i="11"/>
  <c r="H26" i="11"/>
  <c r="A26" i="11"/>
  <c r="AB26" i="11" s="1"/>
  <c r="AC25" i="11"/>
  <c r="Y25" i="11"/>
  <c r="F25" i="13" s="1"/>
  <c r="K26" i="12" s="1"/>
  <c r="W25" i="11"/>
  <c r="V25" i="11"/>
  <c r="A25" i="11"/>
  <c r="A24" i="11"/>
  <c r="AL23" i="11"/>
  <c r="AC23" i="11"/>
  <c r="O23" i="11"/>
  <c r="A23" i="11"/>
  <c r="X23" i="11" s="1"/>
  <c r="A22" i="11"/>
  <c r="AE21" i="11"/>
  <c r="A21" i="11"/>
  <c r="AL20" i="11"/>
  <c r="K20" i="11"/>
  <c r="A20" i="11"/>
  <c r="Z20" i="11" s="1"/>
  <c r="AI19" i="11"/>
  <c r="AH19" i="11"/>
  <c r="AC19" i="11"/>
  <c r="AB19" i="11"/>
  <c r="V19" i="11"/>
  <c r="U19" i="11"/>
  <c r="M19" i="11"/>
  <c r="L19" i="11"/>
  <c r="K19" i="11"/>
  <c r="J19" i="11"/>
  <c r="H19" i="11"/>
  <c r="E19" i="11"/>
  <c r="D19" i="11"/>
  <c r="A19" i="11"/>
  <c r="AG19" i="11" s="1"/>
  <c r="A18" i="11"/>
  <c r="AA18" i="11" s="1"/>
  <c r="A17" i="11"/>
  <c r="AG16" i="11"/>
  <c r="AE16" i="11"/>
  <c r="AD16" i="11"/>
  <c r="N16" i="11"/>
  <c r="L16" i="11"/>
  <c r="E16" i="11"/>
  <c r="A16" i="11"/>
  <c r="AD15" i="11"/>
  <c r="P15" i="11"/>
  <c r="N15" i="11"/>
  <c r="A15" i="11"/>
  <c r="M15" i="11" s="1"/>
  <c r="V14" i="11"/>
  <c r="N14" i="11"/>
  <c r="K14" i="11"/>
  <c r="A14" i="11"/>
  <c r="AK13" i="11"/>
  <c r="H13" i="11"/>
  <c r="A13" i="11"/>
  <c r="A12" i="11"/>
  <c r="AK11" i="11"/>
  <c r="J11" i="11"/>
  <c r="I11" i="11"/>
  <c r="A11" i="11"/>
  <c r="AL11" i="11" s="1"/>
  <c r="AA10" i="11"/>
  <c r="G10" i="11"/>
  <c r="F10" i="11"/>
  <c r="A10" i="11"/>
  <c r="A9" i="11"/>
  <c r="O9" i="11" s="1"/>
  <c r="M8" i="11"/>
  <c r="A8" i="11"/>
  <c r="X7" i="11"/>
  <c r="Q7" i="11"/>
  <c r="A7" i="11"/>
  <c r="AD7" i="11" s="1"/>
  <c r="AE6" i="11"/>
  <c r="X6" i="11"/>
  <c r="W6" i="11"/>
  <c r="J6" i="11"/>
  <c r="H6" i="11"/>
  <c r="G6" i="11"/>
  <c r="A6" i="11"/>
  <c r="AJ6" i="11" s="1"/>
  <c r="A5" i="11"/>
  <c r="AC4" i="11"/>
  <c r="N4" i="11"/>
  <c r="L4" i="11"/>
  <c r="A4" i="11"/>
  <c r="N3" i="11"/>
  <c r="H3" i="11"/>
  <c r="A3" i="11"/>
  <c r="AF3" i="11" s="1"/>
  <c r="Z2" i="11"/>
  <c r="A13" i="10" s="1"/>
  <c r="V2" i="11"/>
  <c r="H2" i="11"/>
  <c r="D2" i="11"/>
  <c r="A2" i="11"/>
  <c r="O211" i="10"/>
  <c r="A211" i="10"/>
  <c r="K211" i="10" s="1"/>
  <c r="O210" i="10"/>
  <c r="A210" i="10"/>
  <c r="N210" i="10" s="1"/>
  <c r="O209" i="10"/>
  <c r="A209" i="10"/>
  <c r="E209" i="10" s="1"/>
  <c r="G209" i="10" s="1"/>
  <c r="O208" i="10"/>
  <c r="A208" i="10"/>
  <c r="N208" i="10" s="1"/>
  <c r="O207" i="10"/>
  <c r="A207" i="10"/>
  <c r="K207" i="10" s="1"/>
  <c r="O206" i="10"/>
  <c r="N206" i="10"/>
  <c r="D206" i="10"/>
  <c r="B206" i="10"/>
  <c r="A206" i="10"/>
  <c r="O205" i="10"/>
  <c r="E205" i="10"/>
  <c r="G205" i="10" s="1"/>
  <c r="D205" i="10"/>
  <c r="A205" i="10"/>
  <c r="O204" i="10"/>
  <c r="A204" i="10"/>
  <c r="O203" i="10"/>
  <c r="A203" i="10"/>
  <c r="O202" i="10"/>
  <c r="A202" i="10"/>
  <c r="B202" i="10" s="1"/>
  <c r="O201" i="10"/>
  <c r="K201" i="10"/>
  <c r="A201" i="10"/>
  <c r="O200" i="10"/>
  <c r="A200" i="10"/>
  <c r="B200" i="10" s="1"/>
  <c r="O199" i="10"/>
  <c r="A199" i="10"/>
  <c r="O198" i="10"/>
  <c r="N198" i="10"/>
  <c r="L198" i="10"/>
  <c r="A198" i="10"/>
  <c r="O197" i="10"/>
  <c r="A197" i="10"/>
  <c r="O196" i="10"/>
  <c r="A196" i="10"/>
  <c r="L196" i="10" s="1"/>
  <c r="O195" i="10"/>
  <c r="A195" i="10"/>
  <c r="O194" i="10"/>
  <c r="D194" i="10"/>
  <c r="A194" i="10"/>
  <c r="O193" i="10"/>
  <c r="A193" i="10"/>
  <c r="O192" i="10"/>
  <c r="N192" i="10"/>
  <c r="D192" i="10"/>
  <c r="B192" i="10"/>
  <c r="A192" i="10"/>
  <c r="O191" i="10"/>
  <c r="E191" i="10"/>
  <c r="G191" i="10" s="1"/>
  <c r="A191" i="10"/>
  <c r="D191" i="10" s="1"/>
  <c r="O190" i="10"/>
  <c r="A190" i="10"/>
  <c r="O189" i="10"/>
  <c r="A189" i="10"/>
  <c r="K189" i="10" s="1"/>
  <c r="O188" i="10"/>
  <c r="A188" i="10"/>
  <c r="O187" i="10"/>
  <c r="A187" i="10"/>
  <c r="O186" i="10"/>
  <c r="N186" i="10"/>
  <c r="A186" i="10"/>
  <c r="O185" i="10"/>
  <c r="A185" i="10"/>
  <c r="O184" i="10"/>
  <c r="A184" i="10"/>
  <c r="N184" i="10" s="1"/>
  <c r="O183" i="10"/>
  <c r="A183" i="10"/>
  <c r="O182" i="10"/>
  <c r="A182" i="10"/>
  <c r="O181" i="10"/>
  <c r="A181" i="10"/>
  <c r="O180" i="10"/>
  <c r="E180" i="10"/>
  <c r="A180" i="10"/>
  <c r="O179" i="10"/>
  <c r="E179" i="10"/>
  <c r="G179" i="10" s="1"/>
  <c r="D179" i="10"/>
  <c r="A179" i="10"/>
  <c r="N179" i="10" s="1"/>
  <c r="O178" i="10"/>
  <c r="B178" i="10"/>
  <c r="A178" i="10"/>
  <c r="O177" i="10"/>
  <c r="A177" i="10"/>
  <c r="O176" i="10"/>
  <c r="A176" i="10"/>
  <c r="O175" i="10"/>
  <c r="L175" i="10"/>
  <c r="D175" i="10"/>
  <c r="B175" i="10"/>
  <c r="A175" i="10"/>
  <c r="O174" i="10"/>
  <c r="L174" i="10"/>
  <c r="K174" i="10"/>
  <c r="E174" i="10"/>
  <c r="G174" i="10" s="1"/>
  <c r="A174" i="10"/>
  <c r="O173" i="10"/>
  <c r="A173" i="10"/>
  <c r="O172" i="10"/>
  <c r="A172" i="10"/>
  <c r="N172" i="10" s="1"/>
  <c r="O171" i="10"/>
  <c r="A171" i="10"/>
  <c r="O170" i="10"/>
  <c r="E170" i="10"/>
  <c r="G170" i="10" s="1"/>
  <c r="A170" i="10"/>
  <c r="O169" i="10"/>
  <c r="K169" i="10"/>
  <c r="D169" i="10"/>
  <c r="B169" i="10"/>
  <c r="A169" i="10"/>
  <c r="O168" i="10"/>
  <c r="A168" i="10"/>
  <c r="O167" i="10"/>
  <c r="N167" i="10"/>
  <c r="A167" i="10"/>
  <c r="O166" i="10"/>
  <c r="A166" i="10"/>
  <c r="O165" i="10"/>
  <c r="K165" i="10"/>
  <c r="A165" i="10"/>
  <c r="B165" i="10" s="1"/>
  <c r="O164" i="10"/>
  <c r="E164" i="10"/>
  <c r="G164" i="10" s="1"/>
  <c r="A164" i="10"/>
  <c r="B164" i="10" s="1"/>
  <c r="O163" i="10"/>
  <c r="K163" i="10"/>
  <c r="E163" i="10"/>
  <c r="G163" i="10" s="1"/>
  <c r="D163" i="10"/>
  <c r="B163" i="10"/>
  <c r="A163" i="10"/>
  <c r="L163" i="10" s="1"/>
  <c r="O162" i="10"/>
  <c r="A162" i="10"/>
  <c r="O161" i="10"/>
  <c r="A161" i="10"/>
  <c r="O160" i="10"/>
  <c r="A160" i="10"/>
  <c r="L160" i="10" s="1"/>
  <c r="O159" i="10"/>
  <c r="K159" i="10"/>
  <c r="A159" i="10"/>
  <c r="B159" i="10" s="1"/>
  <c r="O158" i="10"/>
  <c r="A158" i="10"/>
  <c r="O157" i="10"/>
  <c r="A157" i="10"/>
  <c r="O156" i="10"/>
  <c r="N156" i="10"/>
  <c r="L156" i="10"/>
  <c r="K156" i="10"/>
  <c r="A156" i="10"/>
  <c r="O155" i="10"/>
  <c r="E155" i="10"/>
  <c r="G155" i="10" s="1"/>
  <c r="D155" i="10"/>
  <c r="A155" i="10"/>
  <c r="O154" i="10"/>
  <c r="A154" i="10"/>
  <c r="O153" i="10"/>
  <c r="D153" i="10"/>
  <c r="B153" i="10"/>
  <c r="A153" i="10"/>
  <c r="N153" i="10" s="1"/>
  <c r="O152" i="10"/>
  <c r="A152" i="10"/>
  <c r="O151" i="10"/>
  <c r="K151" i="10"/>
  <c r="A151" i="10"/>
  <c r="O150" i="10"/>
  <c r="E150" i="10"/>
  <c r="D150" i="10"/>
  <c r="A150" i="10"/>
  <c r="O149" i="10"/>
  <c r="A149" i="10"/>
  <c r="O148" i="10"/>
  <c r="A148" i="10"/>
  <c r="N148" i="10" s="1"/>
  <c r="O147" i="10"/>
  <c r="K147" i="10"/>
  <c r="A147" i="10"/>
  <c r="O146" i="10"/>
  <c r="N146" i="10"/>
  <c r="K146" i="10"/>
  <c r="A146" i="10"/>
  <c r="O145" i="10"/>
  <c r="A145" i="10"/>
  <c r="O144" i="10"/>
  <c r="K144" i="10"/>
  <c r="E144" i="10"/>
  <c r="D144" i="10"/>
  <c r="B144" i="10"/>
  <c r="A144" i="10"/>
  <c r="N144" i="10" s="1"/>
  <c r="O143" i="10"/>
  <c r="L143" i="10"/>
  <c r="A143" i="10"/>
  <c r="D143" i="10" s="1"/>
  <c r="O142" i="10"/>
  <c r="A142" i="10"/>
  <c r="O141" i="10"/>
  <c r="B141" i="10"/>
  <c r="A141" i="10"/>
  <c r="O140" i="10"/>
  <c r="A140" i="10"/>
  <c r="O139" i="10"/>
  <c r="A139" i="10"/>
  <c r="K139" i="10" s="1"/>
  <c r="O138" i="10"/>
  <c r="N138" i="10"/>
  <c r="A138" i="10"/>
  <c r="O137" i="10"/>
  <c r="A137" i="10"/>
  <c r="N137" i="10" s="1"/>
  <c r="O136" i="10"/>
  <c r="A136" i="10"/>
  <c r="O135" i="10"/>
  <c r="A135" i="10"/>
  <c r="O134" i="10"/>
  <c r="D134" i="10"/>
  <c r="A134" i="10"/>
  <c r="N134" i="10" s="1"/>
  <c r="O133" i="10"/>
  <c r="A133" i="10"/>
  <c r="O132" i="10"/>
  <c r="A132" i="10"/>
  <c r="K132" i="10" s="1"/>
  <c r="O131" i="10"/>
  <c r="N131" i="10"/>
  <c r="E131" i="10"/>
  <c r="G131" i="10" s="1"/>
  <c r="A131" i="10"/>
  <c r="O130" i="10"/>
  <c r="A130" i="10"/>
  <c r="N130" i="10" s="1"/>
  <c r="O129" i="10"/>
  <c r="A129" i="10"/>
  <c r="N129" i="10" s="1"/>
  <c r="O128" i="10"/>
  <c r="E128" i="10"/>
  <c r="G128" i="10" s="1"/>
  <c r="A128" i="10"/>
  <c r="B128" i="10" s="1"/>
  <c r="O127" i="10"/>
  <c r="N127" i="10"/>
  <c r="M127" i="10" s="1"/>
  <c r="L127" i="10"/>
  <c r="A127" i="10"/>
  <c r="D127" i="10" s="1"/>
  <c r="O126" i="10"/>
  <c r="E126" i="10"/>
  <c r="A126" i="10"/>
  <c r="O125" i="10"/>
  <c r="A125" i="10"/>
  <c r="O124" i="10"/>
  <c r="A124" i="10"/>
  <c r="O123" i="10"/>
  <c r="A123" i="10"/>
  <c r="O122" i="10"/>
  <c r="A122" i="10"/>
  <c r="K122" i="10" s="1"/>
  <c r="O121" i="10"/>
  <c r="A121" i="10"/>
  <c r="K121" i="10" s="1"/>
  <c r="O120" i="10"/>
  <c r="E120" i="10"/>
  <c r="G120" i="10" s="1"/>
  <c r="B120" i="10"/>
  <c r="A120" i="10"/>
  <c r="N120" i="10" s="1"/>
  <c r="O119" i="10"/>
  <c r="D119" i="10"/>
  <c r="A119" i="10"/>
  <c r="O118" i="10"/>
  <c r="A118" i="10"/>
  <c r="N118" i="10" s="1"/>
  <c r="O117" i="10"/>
  <c r="N117" i="10"/>
  <c r="B117" i="10"/>
  <c r="A117" i="10"/>
  <c r="K117" i="10" s="1"/>
  <c r="O116" i="10"/>
  <c r="A116" i="10"/>
  <c r="O115" i="10"/>
  <c r="A115" i="10"/>
  <c r="N115" i="10" s="1"/>
  <c r="O114" i="10"/>
  <c r="A114" i="10"/>
  <c r="O113" i="10"/>
  <c r="A113" i="10"/>
  <c r="O112" i="10"/>
  <c r="N112" i="10"/>
  <c r="A112" i="10"/>
  <c r="B112" i="10" s="1"/>
  <c r="O111" i="10"/>
  <c r="A111" i="10"/>
  <c r="B111" i="10" s="1"/>
  <c r="O110" i="10"/>
  <c r="A110" i="10"/>
  <c r="N110" i="10" s="1"/>
  <c r="O109" i="10"/>
  <c r="A109" i="10"/>
  <c r="O108" i="10"/>
  <c r="A108" i="10"/>
  <c r="O107" i="10"/>
  <c r="A107" i="10"/>
  <c r="E107" i="10" s="1"/>
  <c r="G107" i="10" s="1"/>
  <c r="O106" i="10"/>
  <c r="A106" i="10"/>
  <c r="O105" i="10"/>
  <c r="K105" i="10"/>
  <c r="A105" i="10"/>
  <c r="N105" i="10" s="1"/>
  <c r="O104" i="10"/>
  <c r="A104" i="10"/>
  <c r="B104" i="10" s="1"/>
  <c r="O103" i="10"/>
  <c r="N103" i="10"/>
  <c r="E103" i="10"/>
  <c r="G103" i="10" s="1"/>
  <c r="A103" i="10"/>
  <c r="O102" i="10"/>
  <c r="A102" i="10"/>
  <c r="O101" i="10"/>
  <c r="L101" i="10"/>
  <c r="A101" i="10"/>
  <c r="O100" i="10"/>
  <c r="L100" i="10"/>
  <c r="A100" i="10"/>
  <c r="O99" i="10"/>
  <c r="A99" i="10"/>
  <c r="O98" i="10"/>
  <c r="N98" i="10"/>
  <c r="A98" i="10"/>
  <c r="O97" i="10"/>
  <c r="A97" i="10"/>
  <c r="O96" i="10"/>
  <c r="N96" i="10"/>
  <c r="A96" i="10"/>
  <c r="E96" i="10" s="1"/>
  <c r="G96" i="10" s="1"/>
  <c r="O95" i="10"/>
  <c r="N95" i="10"/>
  <c r="E95" i="10"/>
  <c r="G95" i="10" s="1"/>
  <c r="A95" i="10"/>
  <c r="D95" i="10" s="1"/>
  <c r="F95" i="10" s="1"/>
  <c r="O94" i="10"/>
  <c r="A94" i="10"/>
  <c r="O93" i="10"/>
  <c r="A93" i="10"/>
  <c r="O92" i="10"/>
  <c r="A92" i="10"/>
  <c r="O91" i="10"/>
  <c r="N91" i="10"/>
  <c r="A91" i="10"/>
  <c r="O90" i="10"/>
  <c r="A90" i="10"/>
  <c r="K90" i="10" s="1"/>
  <c r="O89" i="10"/>
  <c r="L89" i="10"/>
  <c r="A89" i="10"/>
  <c r="N89" i="10" s="1"/>
  <c r="O88" i="10"/>
  <c r="A88" i="10"/>
  <c r="O87" i="10"/>
  <c r="A87" i="10"/>
  <c r="O86" i="10"/>
  <c r="A86" i="10"/>
  <c r="N86" i="10" s="1"/>
  <c r="O85" i="10"/>
  <c r="A85" i="10"/>
  <c r="B85" i="10" s="1"/>
  <c r="O84" i="10"/>
  <c r="N84" i="10"/>
  <c r="L84" i="10"/>
  <c r="K84" i="10"/>
  <c r="D84" i="10"/>
  <c r="B84" i="10"/>
  <c r="A84" i="10"/>
  <c r="E84" i="10" s="1"/>
  <c r="G84" i="10" s="1"/>
  <c r="O83" i="10"/>
  <c r="A83" i="10"/>
  <c r="D83" i="10" s="1"/>
  <c r="O82" i="10"/>
  <c r="N82" i="10"/>
  <c r="A82" i="10"/>
  <c r="B82" i="10" s="1"/>
  <c r="O81" i="10"/>
  <c r="N81" i="10"/>
  <c r="D81" i="10"/>
  <c r="B81" i="10"/>
  <c r="A81" i="10"/>
  <c r="O80" i="10"/>
  <c r="L80" i="10"/>
  <c r="K80" i="10"/>
  <c r="D80" i="10"/>
  <c r="A80" i="10"/>
  <c r="O79" i="10"/>
  <c r="N79" i="10"/>
  <c r="L79" i="10"/>
  <c r="K79" i="10"/>
  <c r="E79" i="10"/>
  <c r="G79" i="10" s="1"/>
  <c r="A79" i="10"/>
  <c r="O78" i="10"/>
  <c r="L78" i="10"/>
  <c r="K78" i="10"/>
  <c r="E78" i="10"/>
  <c r="A78" i="10"/>
  <c r="D78" i="10" s="1"/>
  <c r="O77" i="10"/>
  <c r="L77" i="10"/>
  <c r="A77" i="10"/>
  <c r="K77" i="10" s="1"/>
  <c r="O76" i="10"/>
  <c r="B76" i="10"/>
  <c r="A76" i="10"/>
  <c r="O75" i="10"/>
  <c r="A75" i="10"/>
  <c r="B75" i="10" s="1"/>
  <c r="O74" i="10"/>
  <c r="A74" i="10"/>
  <c r="L74" i="10" s="1"/>
  <c r="O73" i="10"/>
  <c r="A73" i="10"/>
  <c r="O72" i="10"/>
  <c r="A72" i="10"/>
  <c r="L72" i="10" s="1"/>
  <c r="O71" i="10"/>
  <c r="A71" i="10"/>
  <c r="O70" i="10"/>
  <c r="A70" i="10"/>
  <c r="O69" i="10"/>
  <c r="D69" i="10"/>
  <c r="A69" i="10"/>
  <c r="O68" i="10"/>
  <c r="L68" i="10"/>
  <c r="A68" i="10"/>
  <c r="O67" i="10"/>
  <c r="E67" i="10"/>
  <c r="G67" i="10" s="1"/>
  <c r="D67" i="10"/>
  <c r="F67" i="10" s="1"/>
  <c r="B67" i="10"/>
  <c r="A67" i="10"/>
  <c r="O66" i="10"/>
  <c r="L66" i="10"/>
  <c r="E66" i="10"/>
  <c r="G66" i="10" s="1"/>
  <c r="A66" i="10"/>
  <c r="D66" i="10" s="1"/>
  <c r="F66" i="10" s="1"/>
  <c r="O65" i="10"/>
  <c r="N65" i="10"/>
  <c r="L65" i="10"/>
  <c r="G65" i="10"/>
  <c r="E65" i="10"/>
  <c r="A65" i="10"/>
  <c r="K65" i="10" s="1"/>
  <c r="O64" i="10"/>
  <c r="L64" i="10"/>
  <c r="A64" i="10"/>
  <c r="N64" i="10" s="1"/>
  <c r="O63" i="10"/>
  <c r="A63" i="10"/>
  <c r="O62" i="10"/>
  <c r="A62" i="10"/>
  <c r="O61" i="10"/>
  <c r="A61" i="10"/>
  <c r="O60" i="10"/>
  <c r="A60" i="10"/>
  <c r="O59" i="10"/>
  <c r="A59" i="10"/>
  <c r="L59" i="10" s="1"/>
  <c r="O58" i="10"/>
  <c r="A58" i="10"/>
  <c r="O57" i="10"/>
  <c r="K57" i="10"/>
  <c r="A57" i="10"/>
  <c r="D57" i="10" s="1"/>
  <c r="O56" i="10"/>
  <c r="A56" i="10"/>
  <c r="D56" i="10" s="1"/>
  <c r="O55" i="10"/>
  <c r="K55" i="10"/>
  <c r="E55" i="10"/>
  <c r="G55" i="10" s="1"/>
  <c r="D55" i="10"/>
  <c r="A55" i="10"/>
  <c r="B55" i="10" s="1"/>
  <c r="O54" i="10"/>
  <c r="A54" i="10"/>
  <c r="O53" i="10"/>
  <c r="L53" i="10"/>
  <c r="A53" i="10"/>
  <c r="E53" i="10" s="1"/>
  <c r="G53" i="10" s="1"/>
  <c r="O52" i="10"/>
  <c r="A52" i="10"/>
  <c r="O51" i="10"/>
  <c r="A51" i="10"/>
  <c r="O50" i="10"/>
  <c r="L50" i="10"/>
  <c r="A50" i="10"/>
  <c r="N50" i="10" s="1"/>
  <c r="O49" i="10"/>
  <c r="A49" i="10"/>
  <c r="K49" i="10" s="1"/>
  <c r="O48" i="10"/>
  <c r="N48" i="10"/>
  <c r="L48" i="10"/>
  <c r="K48" i="10"/>
  <c r="E48" i="10"/>
  <c r="D48" i="10"/>
  <c r="A48" i="10"/>
  <c r="B48" i="10" s="1"/>
  <c r="O47" i="10"/>
  <c r="N47" i="10"/>
  <c r="A47" i="10"/>
  <c r="O46" i="10"/>
  <c r="A46" i="10"/>
  <c r="N46" i="10" s="1"/>
  <c r="O45" i="10"/>
  <c r="N45" i="10"/>
  <c r="D45" i="10"/>
  <c r="A45" i="10"/>
  <c r="K45" i="10" s="1"/>
  <c r="O44" i="10"/>
  <c r="L44" i="10"/>
  <c r="K44" i="10"/>
  <c r="A44" i="10"/>
  <c r="O43" i="10"/>
  <c r="A43" i="10"/>
  <c r="O42" i="10"/>
  <c r="A42" i="10"/>
  <c r="K42" i="10" s="1"/>
  <c r="O41" i="10"/>
  <c r="A41" i="10"/>
  <c r="O40" i="10"/>
  <c r="A40" i="10"/>
  <c r="O39" i="10"/>
  <c r="A39" i="10"/>
  <c r="N39" i="10" s="1"/>
  <c r="O38" i="10"/>
  <c r="A38" i="10"/>
  <c r="O37" i="10"/>
  <c r="L37" i="10"/>
  <c r="K37" i="10"/>
  <c r="D37" i="10"/>
  <c r="A37" i="10"/>
  <c r="B37" i="10" s="1"/>
  <c r="O36" i="10"/>
  <c r="K36" i="10"/>
  <c r="E36" i="10"/>
  <c r="G36" i="10" s="1"/>
  <c r="D36" i="10"/>
  <c r="A36" i="10"/>
  <c r="B36" i="10" s="1"/>
  <c r="O35" i="10"/>
  <c r="A35" i="10"/>
  <c r="O34" i="10"/>
  <c r="A34" i="10"/>
  <c r="O33" i="10"/>
  <c r="A33" i="10"/>
  <c r="D33" i="10" s="1"/>
  <c r="O32" i="10"/>
  <c r="A32" i="10"/>
  <c r="L32" i="10" s="1"/>
  <c r="O31" i="10"/>
  <c r="N31" i="10"/>
  <c r="L31" i="10"/>
  <c r="K31" i="10"/>
  <c r="D31" i="10"/>
  <c r="A31" i="10"/>
  <c r="E31" i="10" s="1"/>
  <c r="G31" i="10" s="1"/>
  <c r="O30" i="10"/>
  <c r="E30" i="10"/>
  <c r="D30" i="10"/>
  <c r="A30" i="10"/>
  <c r="N30" i="10" s="1"/>
  <c r="O29" i="10"/>
  <c r="K29" i="10"/>
  <c r="E29" i="10"/>
  <c r="G29" i="10" s="1"/>
  <c r="A29" i="10"/>
  <c r="O28" i="10"/>
  <c r="A28" i="10"/>
  <c r="O27" i="10"/>
  <c r="A27" i="10"/>
  <c r="O26" i="10"/>
  <c r="A26" i="10"/>
  <c r="O25" i="10"/>
  <c r="A25" i="10"/>
  <c r="K25" i="10" s="1"/>
  <c r="O24" i="10"/>
  <c r="B24" i="10"/>
  <c r="A24" i="10"/>
  <c r="O23" i="10"/>
  <c r="N23" i="10"/>
  <c r="A23" i="10"/>
  <c r="L23" i="10" s="1"/>
  <c r="O22" i="10"/>
  <c r="N22" i="10"/>
  <c r="E22" i="10"/>
  <c r="G22" i="10" s="1"/>
  <c r="A22" i="10"/>
  <c r="B22" i="10" s="1"/>
  <c r="O21" i="10"/>
  <c r="A21" i="10"/>
  <c r="O20" i="10"/>
  <c r="A20" i="10"/>
  <c r="D20" i="10" s="1"/>
  <c r="O19" i="10"/>
  <c r="L19" i="10"/>
  <c r="K19" i="10"/>
  <c r="B19" i="10"/>
  <c r="A19" i="10"/>
  <c r="E19" i="10" s="1"/>
  <c r="G19" i="10" s="1"/>
  <c r="O18" i="10"/>
  <c r="N18" i="10"/>
  <c r="L18" i="10"/>
  <c r="K18" i="10"/>
  <c r="A18" i="10"/>
  <c r="B18" i="10" s="1"/>
  <c r="O17" i="10"/>
  <c r="N17" i="10"/>
  <c r="A17" i="10"/>
  <c r="L17" i="10" s="1"/>
  <c r="O16" i="10"/>
  <c r="A16" i="10"/>
  <c r="O15" i="10"/>
  <c r="O14" i="10"/>
  <c r="O13" i="10"/>
  <c r="A11" i="10"/>
  <c r="A8" i="10"/>
  <c r="C3" i="10"/>
  <c r="A200" i="9"/>
  <c r="F200" i="9" s="1"/>
  <c r="K199" i="9"/>
  <c r="F199" i="9"/>
  <c r="C199" i="9"/>
  <c r="A199" i="9"/>
  <c r="B199" i="9" s="1"/>
  <c r="D198" i="9"/>
  <c r="A198" i="9"/>
  <c r="A197" i="9"/>
  <c r="C196" i="9"/>
  <c r="A196" i="9"/>
  <c r="A195" i="9"/>
  <c r="L195" i="9" s="1"/>
  <c r="A194" i="9"/>
  <c r="L193" i="9"/>
  <c r="A193" i="9"/>
  <c r="B193" i="9" s="1"/>
  <c r="A192" i="9"/>
  <c r="A191" i="9"/>
  <c r="F190" i="9"/>
  <c r="E190" i="9"/>
  <c r="C190" i="9"/>
  <c r="A190" i="9"/>
  <c r="B190" i="9" s="1"/>
  <c r="A189" i="9"/>
  <c r="A188" i="9"/>
  <c r="A187" i="9"/>
  <c r="A186" i="9"/>
  <c r="E186" i="9" s="1"/>
  <c r="A185" i="9"/>
  <c r="C185" i="9" s="1"/>
  <c r="A184" i="9"/>
  <c r="L184" i="9" s="1"/>
  <c r="L183" i="9"/>
  <c r="K183" i="9"/>
  <c r="E183" i="9"/>
  <c r="A183" i="9"/>
  <c r="D183" i="9" s="1"/>
  <c r="F182" i="9"/>
  <c r="E182" i="9"/>
  <c r="D182" i="9"/>
  <c r="A182" i="9"/>
  <c r="K182" i="9" s="1"/>
  <c r="A181" i="9"/>
  <c r="B180" i="9"/>
  <c r="A180" i="9"/>
  <c r="K179" i="9"/>
  <c r="A179" i="9"/>
  <c r="F179" i="9" s="1"/>
  <c r="A178" i="9"/>
  <c r="A177" i="9"/>
  <c r="A176" i="9"/>
  <c r="A175" i="9"/>
  <c r="A174" i="9"/>
  <c r="A173" i="9"/>
  <c r="L172" i="9"/>
  <c r="K172" i="9"/>
  <c r="F172" i="9"/>
  <c r="A172" i="9"/>
  <c r="E172" i="9" s="1"/>
  <c r="E171" i="9"/>
  <c r="A171" i="9"/>
  <c r="A170" i="9"/>
  <c r="B169" i="9"/>
  <c r="A169" i="9"/>
  <c r="A168" i="9"/>
  <c r="B168" i="9" s="1"/>
  <c r="A167" i="9"/>
  <c r="D167" i="9" s="1"/>
  <c r="A166" i="9"/>
  <c r="L165" i="9"/>
  <c r="D165" i="9"/>
  <c r="A165" i="9"/>
  <c r="C165" i="9" s="1"/>
  <c r="E164" i="9"/>
  <c r="D164" i="9"/>
  <c r="B164" i="9"/>
  <c r="A164" i="9"/>
  <c r="A163" i="9"/>
  <c r="A162" i="9"/>
  <c r="A161" i="9"/>
  <c r="C161" i="9" s="1"/>
  <c r="A160" i="9"/>
  <c r="F159" i="9"/>
  <c r="E159" i="9"/>
  <c r="A159" i="9"/>
  <c r="C158" i="9"/>
  <c r="A158" i="9"/>
  <c r="F158" i="9" s="1"/>
  <c r="L157" i="9"/>
  <c r="K157" i="9"/>
  <c r="F157" i="9"/>
  <c r="A157" i="9"/>
  <c r="E157" i="9" s="1"/>
  <c r="A156" i="9"/>
  <c r="A155" i="9"/>
  <c r="F154" i="9"/>
  <c r="A154" i="9"/>
  <c r="A153" i="9"/>
  <c r="D153" i="9" s="1"/>
  <c r="E152" i="9"/>
  <c r="D152" i="9"/>
  <c r="A152" i="9"/>
  <c r="A151" i="9"/>
  <c r="A150" i="9"/>
  <c r="B150" i="9" s="1"/>
  <c r="A149" i="9"/>
  <c r="A148" i="9"/>
  <c r="L147" i="9"/>
  <c r="F147" i="9"/>
  <c r="E147" i="9"/>
  <c r="A147" i="9"/>
  <c r="D147" i="9" s="1"/>
  <c r="A146" i="9"/>
  <c r="A145" i="9"/>
  <c r="L144" i="9"/>
  <c r="A144" i="9"/>
  <c r="L143" i="9"/>
  <c r="D143" i="9"/>
  <c r="A143" i="9"/>
  <c r="A142" i="9"/>
  <c r="A141" i="9"/>
  <c r="B141" i="9" s="1"/>
  <c r="A140" i="9"/>
  <c r="A139" i="9"/>
  <c r="A138" i="9"/>
  <c r="A137" i="9"/>
  <c r="A136" i="9"/>
  <c r="E135" i="9"/>
  <c r="D135" i="9"/>
  <c r="A135" i="9"/>
  <c r="L134" i="9"/>
  <c r="E134" i="9"/>
  <c r="D134" i="9"/>
  <c r="C134" i="9"/>
  <c r="A134" i="9"/>
  <c r="B134" i="9" s="1"/>
  <c r="A133" i="9"/>
  <c r="L132" i="9"/>
  <c r="B132" i="9"/>
  <c r="A132" i="9"/>
  <c r="A131" i="9"/>
  <c r="D131" i="9" s="1"/>
  <c r="F130" i="9"/>
  <c r="A130" i="9"/>
  <c r="D130" i="9" s="1"/>
  <c r="A129" i="9"/>
  <c r="E129" i="9" s="1"/>
  <c r="A128" i="9"/>
  <c r="F127" i="9"/>
  <c r="C127" i="9"/>
  <c r="A127" i="9"/>
  <c r="A126" i="9"/>
  <c r="B126" i="9" s="1"/>
  <c r="A125" i="9"/>
  <c r="E124" i="9"/>
  <c r="A124" i="9"/>
  <c r="B124" i="9" s="1"/>
  <c r="K123" i="9"/>
  <c r="A123" i="9"/>
  <c r="A122" i="9"/>
  <c r="K121" i="9"/>
  <c r="A121" i="9"/>
  <c r="A120" i="9"/>
  <c r="A119" i="9"/>
  <c r="D119" i="9" s="1"/>
  <c r="F118" i="9"/>
  <c r="C118" i="9"/>
  <c r="A118" i="9"/>
  <c r="E118" i="9" s="1"/>
  <c r="A117" i="9"/>
  <c r="F116" i="9"/>
  <c r="A116" i="9"/>
  <c r="L115" i="9"/>
  <c r="K115" i="9"/>
  <c r="A115" i="9"/>
  <c r="F115" i="9" s="1"/>
  <c r="A114" i="9"/>
  <c r="B114" i="9" s="1"/>
  <c r="A113" i="9"/>
  <c r="C112" i="9"/>
  <c r="B112" i="9"/>
  <c r="A112" i="9"/>
  <c r="D112" i="9" s="1"/>
  <c r="A111" i="9"/>
  <c r="L110" i="9"/>
  <c r="E110" i="9"/>
  <c r="D110" i="9"/>
  <c r="C110" i="9"/>
  <c r="A110" i="9"/>
  <c r="B110" i="9" s="1"/>
  <c r="A109" i="9"/>
  <c r="A108" i="9"/>
  <c r="A107" i="9"/>
  <c r="A106" i="9"/>
  <c r="E105" i="9"/>
  <c r="D105" i="9"/>
  <c r="C105" i="9"/>
  <c r="B105" i="9"/>
  <c r="A105" i="9"/>
  <c r="A104" i="9"/>
  <c r="D103" i="9"/>
  <c r="A103" i="9"/>
  <c r="A102" i="9"/>
  <c r="B102" i="9" s="1"/>
  <c r="A101" i="9"/>
  <c r="E100" i="9"/>
  <c r="D100" i="9"/>
  <c r="C100" i="9"/>
  <c r="A100" i="9"/>
  <c r="F100" i="9" s="1"/>
  <c r="A99" i="9"/>
  <c r="A98" i="9"/>
  <c r="D98" i="9" s="1"/>
  <c r="C97" i="9"/>
  <c r="A97" i="9"/>
  <c r="A96" i="9"/>
  <c r="A95" i="9"/>
  <c r="L95" i="9" s="1"/>
  <c r="A94" i="9"/>
  <c r="E93" i="9"/>
  <c r="C93" i="9"/>
  <c r="A93" i="9"/>
  <c r="D93" i="9" s="1"/>
  <c r="K92" i="9"/>
  <c r="E92" i="9"/>
  <c r="B92" i="9"/>
  <c r="A92" i="9"/>
  <c r="L91" i="9"/>
  <c r="K91" i="9"/>
  <c r="D91" i="9"/>
  <c r="A91" i="9"/>
  <c r="F91" i="9" s="1"/>
  <c r="A90" i="9"/>
  <c r="A89" i="9"/>
  <c r="A88" i="9"/>
  <c r="D87" i="9"/>
  <c r="C87" i="9"/>
  <c r="A87" i="9"/>
  <c r="K87" i="9" s="1"/>
  <c r="A86" i="9"/>
  <c r="F85" i="9"/>
  <c r="E85" i="9"/>
  <c r="A85" i="9"/>
  <c r="C85" i="9" s="1"/>
  <c r="A84" i="9"/>
  <c r="A83" i="9"/>
  <c r="A82" i="9"/>
  <c r="E81" i="9"/>
  <c r="C81" i="9"/>
  <c r="A81" i="9"/>
  <c r="B81" i="9" s="1"/>
  <c r="L80" i="9"/>
  <c r="A80" i="9"/>
  <c r="L79" i="9"/>
  <c r="A79" i="9"/>
  <c r="B78" i="9"/>
  <c r="A78" i="9"/>
  <c r="A77" i="9"/>
  <c r="L77" i="9" s="1"/>
  <c r="A76" i="9"/>
  <c r="F75" i="9"/>
  <c r="E75" i="9"/>
  <c r="D75" i="9"/>
  <c r="A75" i="9"/>
  <c r="C75" i="9" s="1"/>
  <c r="A74" i="9"/>
  <c r="L73" i="9"/>
  <c r="F73" i="9"/>
  <c r="E73" i="9"/>
  <c r="D73" i="9"/>
  <c r="C73" i="9"/>
  <c r="A73" i="9"/>
  <c r="K73" i="9" s="1"/>
  <c r="A72" i="9"/>
  <c r="B72" i="9" s="1"/>
  <c r="A71" i="9"/>
  <c r="L71" i="9" s="1"/>
  <c r="F70" i="9"/>
  <c r="E70" i="9"/>
  <c r="B70" i="9"/>
  <c r="A70" i="9"/>
  <c r="A69" i="9"/>
  <c r="L68" i="9"/>
  <c r="K68" i="9"/>
  <c r="D68" i="9"/>
  <c r="C68" i="9"/>
  <c r="B68" i="9"/>
  <c r="A68" i="9"/>
  <c r="F68" i="9" s="1"/>
  <c r="A67" i="9"/>
  <c r="A66" i="9"/>
  <c r="A65" i="9"/>
  <c r="L65" i="9" s="1"/>
  <c r="F64" i="9"/>
  <c r="E64" i="9"/>
  <c r="B64" i="9"/>
  <c r="A64" i="9"/>
  <c r="A63" i="9"/>
  <c r="E62" i="9"/>
  <c r="D62" i="9"/>
  <c r="C62" i="9"/>
  <c r="B62" i="9"/>
  <c r="A62" i="9"/>
  <c r="F62" i="9" s="1"/>
  <c r="A61" i="9"/>
  <c r="L61" i="9" s="1"/>
  <c r="K60" i="9"/>
  <c r="F60" i="9"/>
  <c r="A60" i="9"/>
  <c r="B60" i="9" s="1"/>
  <c r="A59" i="9"/>
  <c r="L59" i="9" s="1"/>
  <c r="A58" i="9"/>
  <c r="A57" i="9"/>
  <c r="L56" i="9"/>
  <c r="K56" i="9"/>
  <c r="D56" i="9"/>
  <c r="C56" i="9"/>
  <c r="B56" i="9"/>
  <c r="A56" i="9"/>
  <c r="F56" i="9" s="1"/>
  <c r="A55" i="9"/>
  <c r="A54" i="9"/>
  <c r="A53" i="9"/>
  <c r="L53" i="9" s="1"/>
  <c r="A52" i="9"/>
  <c r="K51" i="9"/>
  <c r="A51" i="9"/>
  <c r="A50" i="9"/>
  <c r="A49" i="9"/>
  <c r="A48" i="9"/>
  <c r="L48" i="9" s="1"/>
  <c r="A47" i="9"/>
  <c r="F46" i="9"/>
  <c r="A46" i="9"/>
  <c r="D45" i="9"/>
  <c r="C45" i="9"/>
  <c r="A45" i="9"/>
  <c r="E45" i="9" s="1"/>
  <c r="D44" i="9"/>
  <c r="A44" i="9"/>
  <c r="L43" i="9"/>
  <c r="K43" i="9"/>
  <c r="A43" i="9"/>
  <c r="E43" i="9" s="1"/>
  <c r="A42" i="9"/>
  <c r="B42" i="9" s="1"/>
  <c r="A41" i="9"/>
  <c r="E40" i="9"/>
  <c r="D40" i="9"/>
  <c r="C40" i="9"/>
  <c r="A40" i="9"/>
  <c r="F40" i="9" s="1"/>
  <c r="L39" i="9"/>
  <c r="K39" i="9"/>
  <c r="F39" i="9"/>
  <c r="E39" i="9"/>
  <c r="D39" i="9"/>
  <c r="C39" i="9"/>
  <c r="A39" i="9"/>
  <c r="K38" i="9"/>
  <c r="C38" i="9"/>
  <c r="B38" i="9"/>
  <c r="A38" i="9"/>
  <c r="L37" i="9"/>
  <c r="E37" i="9"/>
  <c r="D37" i="9"/>
  <c r="A37" i="9"/>
  <c r="A36" i="9"/>
  <c r="K36" i="9" s="1"/>
  <c r="D35" i="9"/>
  <c r="A35" i="9"/>
  <c r="C34" i="9"/>
  <c r="B34" i="9"/>
  <c r="A34" i="9"/>
  <c r="A33" i="9"/>
  <c r="D33" i="9" s="1"/>
  <c r="L32" i="9"/>
  <c r="F32" i="9"/>
  <c r="E32" i="9"/>
  <c r="B32" i="9"/>
  <c r="A32" i="9"/>
  <c r="K32" i="9" s="1"/>
  <c r="A31" i="9"/>
  <c r="E31" i="9" s="1"/>
  <c r="B30" i="9"/>
  <c r="A30" i="9"/>
  <c r="A29" i="9"/>
  <c r="C28" i="9"/>
  <c r="B28" i="9"/>
  <c r="A28" i="9"/>
  <c r="L27" i="9"/>
  <c r="K27" i="9"/>
  <c r="F27" i="9"/>
  <c r="A27" i="9"/>
  <c r="E27" i="9" s="1"/>
  <c r="A26" i="9"/>
  <c r="D26" i="9" s="1"/>
  <c r="L25" i="9"/>
  <c r="K25" i="9"/>
  <c r="D25" i="9"/>
  <c r="C25" i="9"/>
  <c r="A25" i="9"/>
  <c r="A24" i="9"/>
  <c r="B24" i="9" s="1"/>
  <c r="A23" i="9"/>
  <c r="A22" i="9"/>
  <c r="L21" i="9"/>
  <c r="D21" i="9"/>
  <c r="A21" i="9"/>
  <c r="L20" i="9"/>
  <c r="K20" i="9"/>
  <c r="A20" i="9"/>
  <c r="L19" i="9"/>
  <c r="K19" i="9"/>
  <c r="F19" i="9"/>
  <c r="A19" i="9"/>
  <c r="A18" i="9"/>
  <c r="A17" i="9"/>
  <c r="A16" i="9"/>
  <c r="A15" i="9"/>
  <c r="K14" i="9"/>
  <c r="A14" i="9"/>
  <c r="B14" i="9" s="1"/>
  <c r="F13" i="9"/>
  <c r="E13" i="9"/>
  <c r="D13" i="9"/>
  <c r="A13" i="9"/>
  <c r="C13" i="9" s="1"/>
  <c r="L12" i="9"/>
  <c r="K12" i="9"/>
  <c r="E12" i="9"/>
  <c r="B12" i="9"/>
  <c r="A12" i="9"/>
  <c r="A11" i="9"/>
  <c r="A10" i="9"/>
  <c r="F10" i="9" s="1"/>
  <c r="K9" i="9"/>
  <c r="A9" i="9"/>
  <c r="L9" i="9" s="1"/>
  <c r="A8" i="9"/>
  <c r="K8" i="9" s="1"/>
  <c r="A7" i="9"/>
  <c r="A6" i="9"/>
  <c r="D5" i="9"/>
  <c r="C5" i="9"/>
  <c r="A5" i="9"/>
  <c r="L5" i="9" s="1"/>
  <c r="A4" i="9"/>
  <c r="K4" i="9" s="1"/>
  <c r="A3" i="9"/>
  <c r="A2" i="9"/>
  <c r="M200" i="8"/>
  <c r="F200" i="8"/>
  <c r="G200" i="8" s="1"/>
  <c r="C200" i="8"/>
  <c r="L200" i="8" s="1"/>
  <c r="J200" i="8" s="1"/>
  <c r="M199" i="8"/>
  <c r="F199" i="8"/>
  <c r="G199" i="8" s="1"/>
  <c r="C199" i="8"/>
  <c r="M198" i="8"/>
  <c r="F198" i="8"/>
  <c r="G198" i="8" s="1"/>
  <c r="C198" i="8"/>
  <c r="M197" i="8"/>
  <c r="F197" i="8"/>
  <c r="G197" i="8" s="1"/>
  <c r="C197" i="8"/>
  <c r="M196" i="8"/>
  <c r="F196" i="8"/>
  <c r="G196" i="8" s="1"/>
  <c r="C196" i="8"/>
  <c r="L196" i="8" s="1"/>
  <c r="M195" i="8"/>
  <c r="F195" i="8"/>
  <c r="G195" i="8" s="1"/>
  <c r="C195" i="8"/>
  <c r="L195" i="8" s="1"/>
  <c r="J195" i="8" s="1"/>
  <c r="M194" i="8"/>
  <c r="F194" i="8"/>
  <c r="G194" i="8" s="1"/>
  <c r="C194" i="8"/>
  <c r="L194" i="8" s="1"/>
  <c r="M193" i="8"/>
  <c r="F193" i="8"/>
  <c r="G193" i="8" s="1"/>
  <c r="C193" i="8"/>
  <c r="L193" i="8" s="1"/>
  <c r="M192" i="8"/>
  <c r="F192" i="8"/>
  <c r="G192" i="8" s="1"/>
  <c r="C192" i="8"/>
  <c r="L192" i="8" s="1"/>
  <c r="M191" i="8"/>
  <c r="F191" i="8"/>
  <c r="G191" i="8" s="1"/>
  <c r="C191" i="8"/>
  <c r="L191" i="8" s="1"/>
  <c r="M190" i="8"/>
  <c r="F190" i="8"/>
  <c r="G190" i="8" s="1"/>
  <c r="C190" i="8"/>
  <c r="L190" i="8" s="1"/>
  <c r="J190" i="8" s="1"/>
  <c r="M189" i="8"/>
  <c r="F189" i="8"/>
  <c r="G189" i="8" s="1"/>
  <c r="C189" i="8"/>
  <c r="L189" i="8" s="1"/>
  <c r="M188" i="8"/>
  <c r="F188" i="8"/>
  <c r="G188" i="8" s="1"/>
  <c r="C188" i="8"/>
  <c r="M187" i="8"/>
  <c r="L187" i="8"/>
  <c r="J187" i="8" s="1"/>
  <c r="G187" i="8"/>
  <c r="F187" i="8"/>
  <c r="C187" i="8"/>
  <c r="M186" i="8"/>
  <c r="F186" i="8"/>
  <c r="G186" i="8" s="1"/>
  <c r="C186" i="8"/>
  <c r="M185" i="8"/>
  <c r="L185" i="8"/>
  <c r="J185" i="8"/>
  <c r="G185" i="8"/>
  <c r="F185" i="8"/>
  <c r="C185" i="8"/>
  <c r="M184" i="8"/>
  <c r="F184" i="8"/>
  <c r="G184" i="8" s="1"/>
  <c r="C184" i="8"/>
  <c r="L184" i="8" s="1"/>
  <c r="J184" i="8" s="1"/>
  <c r="M183" i="8"/>
  <c r="L183" i="8"/>
  <c r="F183" i="8"/>
  <c r="G183" i="8" s="1"/>
  <c r="C183" i="8"/>
  <c r="M182" i="8"/>
  <c r="F182" i="8"/>
  <c r="G182" i="8" s="1"/>
  <c r="C182" i="8"/>
  <c r="L182" i="8" s="1"/>
  <c r="M181" i="8"/>
  <c r="F181" i="8"/>
  <c r="G181" i="8" s="1"/>
  <c r="C181" i="8"/>
  <c r="M180" i="8"/>
  <c r="F180" i="8"/>
  <c r="C180" i="8"/>
  <c r="L180" i="8" s="1"/>
  <c r="M179" i="8"/>
  <c r="F179" i="8"/>
  <c r="G179" i="8" s="1"/>
  <c r="C179" i="8"/>
  <c r="L179" i="8" s="1"/>
  <c r="J179" i="8" s="1"/>
  <c r="M178" i="8"/>
  <c r="L178" i="8"/>
  <c r="F178" i="8"/>
  <c r="G178" i="8" s="1"/>
  <c r="C178" i="8"/>
  <c r="M177" i="8"/>
  <c r="F177" i="8"/>
  <c r="G177" i="8" s="1"/>
  <c r="C177" i="8"/>
  <c r="L177" i="8" s="1"/>
  <c r="M176" i="8"/>
  <c r="F176" i="8"/>
  <c r="G176" i="8" s="1"/>
  <c r="C176" i="8"/>
  <c r="L176" i="8" s="1"/>
  <c r="J176" i="8" s="1"/>
  <c r="M175" i="8"/>
  <c r="L175" i="8"/>
  <c r="F175" i="8"/>
  <c r="G175" i="8" s="1"/>
  <c r="C175" i="8"/>
  <c r="M174" i="8"/>
  <c r="F174" i="8"/>
  <c r="G174" i="8" s="1"/>
  <c r="C174" i="8"/>
  <c r="M173" i="8"/>
  <c r="F173" i="8"/>
  <c r="G173" i="8" s="1"/>
  <c r="C173" i="8"/>
  <c r="L173" i="8" s="1"/>
  <c r="M172" i="8"/>
  <c r="F172" i="8"/>
  <c r="G172" i="8" s="1"/>
  <c r="C172" i="8"/>
  <c r="M171" i="8"/>
  <c r="L171" i="8"/>
  <c r="J171" i="8" s="1"/>
  <c r="F171" i="8"/>
  <c r="G171" i="8" s="1"/>
  <c r="C171" i="8"/>
  <c r="M170" i="8"/>
  <c r="F170" i="8"/>
  <c r="G170" i="8" s="1"/>
  <c r="C170" i="8"/>
  <c r="L170" i="8" s="1"/>
  <c r="M169" i="8"/>
  <c r="F169" i="8"/>
  <c r="G169" i="8" s="1"/>
  <c r="C169" i="8"/>
  <c r="M168" i="8"/>
  <c r="L168" i="8"/>
  <c r="J168" i="8" s="1"/>
  <c r="F168" i="8"/>
  <c r="G168" i="8" s="1"/>
  <c r="C168" i="8"/>
  <c r="M167" i="8"/>
  <c r="F167" i="8"/>
  <c r="G167" i="8" s="1"/>
  <c r="C167" i="8"/>
  <c r="L167" i="8" s="1"/>
  <c r="J167" i="8" s="1"/>
  <c r="M166" i="8"/>
  <c r="F166" i="8"/>
  <c r="G166" i="8" s="1"/>
  <c r="C166" i="8"/>
  <c r="L166" i="8" s="1"/>
  <c r="M165" i="8"/>
  <c r="F165" i="8"/>
  <c r="G165" i="8" s="1"/>
  <c r="C165" i="8"/>
  <c r="M164" i="8"/>
  <c r="L164" i="8"/>
  <c r="F164" i="8"/>
  <c r="G164" i="8" s="1"/>
  <c r="C164" i="8"/>
  <c r="M163" i="8"/>
  <c r="F163" i="8"/>
  <c r="G163" i="8" s="1"/>
  <c r="C163" i="8"/>
  <c r="M162" i="8"/>
  <c r="F162" i="8"/>
  <c r="G162" i="8" s="1"/>
  <c r="C162" i="8"/>
  <c r="M161" i="8"/>
  <c r="F161" i="8"/>
  <c r="G161" i="8" s="1"/>
  <c r="C161" i="8"/>
  <c r="L161" i="8" s="1"/>
  <c r="M160" i="8"/>
  <c r="F160" i="8"/>
  <c r="C160" i="8"/>
  <c r="L160" i="8" s="1"/>
  <c r="M159" i="8"/>
  <c r="F159" i="8"/>
  <c r="G159" i="8" s="1"/>
  <c r="C159" i="8"/>
  <c r="L159" i="8" s="1"/>
  <c r="J159" i="8" s="1"/>
  <c r="M158" i="8"/>
  <c r="F158" i="8"/>
  <c r="G158" i="8" s="1"/>
  <c r="C158" i="8"/>
  <c r="L158" i="8" s="1"/>
  <c r="J158" i="8" s="1"/>
  <c r="M157" i="8"/>
  <c r="F157" i="8"/>
  <c r="G157" i="8" s="1"/>
  <c r="C157" i="8"/>
  <c r="M156" i="8"/>
  <c r="F156" i="8"/>
  <c r="G156" i="8" s="1"/>
  <c r="C156" i="8"/>
  <c r="L156" i="8" s="1"/>
  <c r="M155" i="8"/>
  <c r="F155" i="8"/>
  <c r="G155" i="8" s="1"/>
  <c r="C155" i="8"/>
  <c r="L155" i="8" s="1"/>
  <c r="M154" i="8"/>
  <c r="F154" i="8"/>
  <c r="G154" i="8" s="1"/>
  <c r="C154" i="8"/>
  <c r="L154" i="8" s="1"/>
  <c r="M153" i="8"/>
  <c r="F153" i="8"/>
  <c r="G153" i="8" s="1"/>
  <c r="C153" i="8"/>
  <c r="M152" i="8"/>
  <c r="F152" i="8"/>
  <c r="G152" i="8" s="1"/>
  <c r="C152" i="8"/>
  <c r="L152" i="8" s="1"/>
  <c r="M151" i="8"/>
  <c r="F151" i="8"/>
  <c r="G151" i="8" s="1"/>
  <c r="C151" i="8"/>
  <c r="L151" i="8" s="1"/>
  <c r="J151" i="8" s="1"/>
  <c r="M150" i="8"/>
  <c r="F150" i="8"/>
  <c r="G150" i="8" s="1"/>
  <c r="C150" i="8"/>
  <c r="M149" i="8"/>
  <c r="F149" i="8"/>
  <c r="G149" i="8" s="1"/>
  <c r="C149" i="8"/>
  <c r="L149" i="8" s="1"/>
  <c r="J149" i="8" s="1"/>
  <c r="M148" i="8"/>
  <c r="G148" i="8"/>
  <c r="F148" i="8"/>
  <c r="C148" i="8"/>
  <c r="L148" i="8" s="1"/>
  <c r="M147" i="8"/>
  <c r="L147" i="8"/>
  <c r="F147" i="8"/>
  <c r="G147" i="8" s="1"/>
  <c r="C147" i="8"/>
  <c r="M146" i="8"/>
  <c r="F146" i="8"/>
  <c r="G146" i="8" s="1"/>
  <c r="C146" i="8"/>
  <c r="L146" i="8" s="1"/>
  <c r="J146" i="8" s="1"/>
  <c r="M145" i="8"/>
  <c r="F145" i="8"/>
  <c r="G145" i="8" s="1"/>
  <c r="C145" i="8"/>
  <c r="M144" i="8"/>
  <c r="F144" i="8"/>
  <c r="G144" i="8" s="1"/>
  <c r="C144" i="8"/>
  <c r="L144" i="8" s="1"/>
  <c r="M143" i="8"/>
  <c r="F143" i="8"/>
  <c r="G143" i="8" s="1"/>
  <c r="C143" i="8"/>
  <c r="L143" i="8" s="1"/>
  <c r="M142" i="8"/>
  <c r="F142" i="8"/>
  <c r="G142" i="8" s="1"/>
  <c r="C142" i="8"/>
  <c r="L142" i="8" s="1"/>
  <c r="M141" i="8"/>
  <c r="F141" i="8"/>
  <c r="G141" i="8" s="1"/>
  <c r="C141" i="8"/>
  <c r="L141" i="8" s="1"/>
  <c r="J141" i="8" s="1"/>
  <c r="M140" i="8"/>
  <c r="F140" i="8"/>
  <c r="G140" i="8" s="1"/>
  <c r="C140" i="8"/>
  <c r="L140" i="8" s="1"/>
  <c r="M139" i="8"/>
  <c r="F139" i="8"/>
  <c r="G139" i="8" s="1"/>
  <c r="C139" i="8"/>
  <c r="L139" i="8" s="1"/>
  <c r="J139" i="8" s="1"/>
  <c r="M138" i="8"/>
  <c r="F138" i="8"/>
  <c r="G138" i="8" s="1"/>
  <c r="C138" i="8"/>
  <c r="M137" i="8"/>
  <c r="F137" i="8"/>
  <c r="G137" i="8" s="1"/>
  <c r="C137" i="8"/>
  <c r="L137" i="8" s="1"/>
  <c r="M136" i="8"/>
  <c r="F136" i="8"/>
  <c r="G136" i="8" s="1"/>
  <c r="C136" i="8"/>
  <c r="M135" i="8"/>
  <c r="F135" i="8"/>
  <c r="G135" i="8" s="1"/>
  <c r="C135" i="8"/>
  <c r="L135" i="8" s="1"/>
  <c r="J135" i="8" s="1"/>
  <c r="M134" i="8"/>
  <c r="L134" i="8"/>
  <c r="J134" i="8" s="1"/>
  <c r="F134" i="8"/>
  <c r="G134" i="8" s="1"/>
  <c r="C134" i="8"/>
  <c r="M133" i="8"/>
  <c r="F133" i="8"/>
  <c r="G133" i="8" s="1"/>
  <c r="C133" i="8"/>
  <c r="M132" i="8"/>
  <c r="F132" i="8"/>
  <c r="G132" i="8" s="1"/>
  <c r="C132" i="8"/>
  <c r="L132" i="8" s="1"/>
  <c r="M131" i="8"/>
  <c r="F131" i="8"/>
  <c r="G131" i="8" s="1"/>
  <c r="C131" i="8"/>
  <c r="L131" i="8" s="1"/>
  <c r="M130" i="8"/>
  <c r="F130" i="8"/>
  <c r="G130" i="8" s="1"/>
  <c r="C130" i="8"/>
  <c r="L130" i="8" s="1"/>
  <c r="J130" i="8" s="1"/>
  <c r="M129" i="8"/>
  <c r="F129" i="8"/>
  <c r="G129" i="8" s="1"/>
  <c r="C129" i="8"/>
  <c r="L129" i="8" s="1"/>
  <c r="J129" i="8" s="1"/>
  <c r="M128" i="8"/>
  <c r="F128" i="8"/>
  <c r="G128" i="8" s="1"/>
  <c r="C128" i="8"/>
  <c r="L128" i="8" s="1"/>
  <c r="J128" i="8" s="1"/>
  <c r="M127" i="8"/>
  <c r="F127" i="8"/>
  <c r="G127" i="8" s="1"/>
  <c r="C127" i="8"/>
  <c r="M126" i="8"/>
  <c r="F126" i="8"/>
  <c r="G126" i="8" s="1"/>
  <c r="C126" i="8"/>
  <c r="M125" i="8"/>
  <c r="F125" i="8"/>
  <c r="G125" i="8" s="1"/>
  <c r="C125" i="8"/>
  <c r="L125" i="8" s="1"/>
  <c r="M124" i="8"/>
  <c r="G124" i="8"/>
  <c r="F124" i="8"/>
  <c r="C124" i="8"/>
  <c r="L124" i="8" s="1"/>
  <c r="J124" i="8" s="1"/>
  <c r="M123" i="8"/>
  <c r="F123" i="8"/>
  <c r="G123" i="8" s="1"/>
  <c r="C123" i="8"/>
  <c r="L123" i="8" s="1"/>
  <c r="M122" i="8"/>
  <c r="L122" i="8"/>
  <c r="J122" i="8" s="1"/>
  <c r="G122" i="8"/>
  <c r="F122" i="8"/>
  <c r="C122" i="8"/>
  <c r="M121" i="8"/>
  <c r="F121" i="8"/>
  <c r="G121" i="8" s="1"/>
  <c r="C121" i="8"/>
  <c r="M120" i="8"/>
  <c r="L120" i="8"/>
  <c r="F120" i="8"/>
  <c r="C120" i="8"/>
  <c r="M119" i="8"/>
  <c r="F119" i="8"/>
  <c r="G119" i="8" s="1"/>
  <c r="C119" i="8"/>
  <c r="L119" i="8" s="1"/>
  <c r="M118" i="8"/>
  <c r="F118" i="8"/>
  <c r="G118" i="8" s="1"/>
  <c r="C118" i="8"/>
  <c r="L118" i="8" s="1"/>
  <c r="J118" i="8" s="1"/>
  <c r="M117" i="8"/>
  <c r="F117" i="8"/>
  <c r="G117" i="8" s="1"/>
  <c r="C117" i="8"/>
  <c r="M116" i="8"/>
  <c r="F116" i="8"/>
  <c r="G116" i="8" s="1"/>
  <c r="C116" i="8"/>
  <c r="L116" i="8" s="1"/>
  <c r="M115" i="8"/>
  <c r="F115" i="8"/>
  <c r="G115" i="8" s="1"/>
  <c r="C115" i="8"/>
  <c r="L115" i="8" s="1"/>
  <c r="J115" i="8" s="1"/>
  <c r="M114" i="8"/>
  <c r="F114" i="8"/>
  <c r="G114" i="8" s="1"/>
  <c r="C114" i="8"/>
  <c r="M113" i="8"/>
  <c r="G113" i="8"/>
  <c r="F113" i="8"/>
  <c r="C113" i="8"/>
  <c r="L113" i="8" s="1"/>
  <c r="J113" i="8" s="1"/>
  <c r="M112" i="8"/>
  <c r="F112" i="8"/>
  <c r="G112" i="8" s="1"/>
  <c r="C112" i="8"/>
  <c r="L112" i="8" s="1"/>
  <c r="M111" i="8"/>
  <c r="L111" i="8"/>
  <c r="J111" i="8"/>
  <c r="F111" i="8"/>
  <c r="G111" i="8" s="1"/>
  <c r="C111" i="8"/>
  <c r="M110" i="8"/>
  <c r="F110" i="8"/>
  <c r="G110" i="8" s="1"/>
  <c r="C110" i="8"/>
  <c r="L110" i="8" s="1"/>
  <c r="M109" i="8"/>
  <c r="F109" i="8"/>
  <c r="G109" i="8" s="1"/>
  <c r="C109" i="8"/>
  <c r="M108" i="8"/>
  <c r="F108" i="8"/>
  <c r="G108" i="8" s="1"/>
  <c r="C108" i="8"/>
  <c r="L108" i="8" s="1"/>
  <c r="J108" i="8" s="1"/>
  <c r="M107" i="8"/>
  <c r="F107" i="8"/>
  <c r="G107" i="8" s="1"/>
  <c r="C107" i="8"/>
  <c r="L107" i="8" s="1"/>
  <c r="M106" i="8"/>
  <c r="F106" i="8"/>
  <c r="G106" i="8" s="1"/>
  <c r="C106" i="8"/>
  <c r="L106" i="8" s="1"/>
  <c r="M105" i="8"/>
  <c r="L105" i="8"/>
  <c r="F105" i="8"/>
  <c r="G105" i="8" s="1"/>
  <c r="C105" i="8"/>
  <c r="M104" i="8"/>
  <c r="L104" i="8"/>
  <c r="J104" i="8" s="1"/>
  <c r="F104" i="8"/>
  <c r="G104" i="8" s="1"/>
  <c r="C104" i="8"/>
  <c r="M103" i="8"/>
  <c r="L103" i="8"/>
  <c r="J103" i="8" s="1"/>
  <c r="G103" i="8"/>
  <c r="F103" i="8"/>
  <c r="C103" i="8"/>
  <c r="M102" i="8"/>
  <c r="F102" i="8"/>
  <c r="G102" i="8" s="1"/>
  <c r="C102" i="8"/>
  <c r="M101" i="8"/>
  <c r="L101" i="8"/>
  <c r="J101" i="8" s="1"/>
  <c r="F101" i="8"/>
  <c r="G101" i="8" s="1"/>
  <c r="C101" i="8"/>
  <c r="M100" i="8"/>
  <c r="F100" i="8"/>
  <c r="G100" i="8" s="1"/>
  <c r="C100" i="8"/>
  <c r="M99" i="8"/>
  <c r="F99" i="8"/>
  <c r="G99" i="8" s="1"/>
  <c r="C99" i="8"/>
  <c r="L99" i="8" s="1"/>
  <c r="M98" i="8"/>
  <c r="F98" i="8"/>
  <c r="G98" i="8" s="1"/>
  <c r="C98" i="8"/>
  <c r="L98" i="8" s="1"/>
  <c r="J98" i="8" s="1"/>
  <c r="M97" i="8"/>
  <c r="F97" i="8"/>
  <c r="G97" i="8" s="1"/>
  <c r="C97" i="8"/>
  <c r="M96" i="8"/>
  <c r="F96" i="8"/>
  <c r="G96" i="8" s="1"/>
  <c r="C96" i="8"/>
  <c r="L96" i="8" s="1"/>
  <c r="M95" i="8"/>
  <c r="G95" i="8"/>
  <c r="F95" i="8"/>
  <c r="C95" i="8"/>
  <c r="L95" i="8" s="1"/>
  <c r="M94" i="8"/>
  <c r="L94" i="8"/>
  <c r="J94" i="8" s="1"/>
  <c r="G94" i="8"/>
  <c r="F94" i="8"/>
  <c r="C94" i="8"/>
  <c r="M93" i="8"/>
  <c r="F93" i="8"/>
  <c r="G93" i="8" s="1"/>
  <c r="C93" i="8"/>
  <c r="L93" i="8" s="1"/>
  <c r="M92" i="8"/>
  <c r="L92" i="8"/>
  <c r="F92" i="8"/>
  <c r="G92" i="8" s="1"/>
  <c r="C92" i="8"/>
  <c r="M91" i="8"/>
  <c r="F91" i="8"/>
  <c r="G91" i="8" s="1"/>
  <c r="C91" i="8"/>
  <c r="L91" i="8" s="1"/>
  <c r="M90" i="8"/>
  <c r="F90" i="8"/>
  <c r="G90" i="8" s="1"/>
  <c r="C90" i="8"/>
  <c r="M89" i="8"/>
  <c r="F89" i="8"/>
  <c r="G89" i="8" s="1"/>
  <c r="C89" i="8"/>
  <c r="L89" i="8" s="1"/>
  <c r="J89" i="8" s="1"/>
  <c r="M88" i="8"/>
  <c r="J88" i="8"/>
  <c r="G88" i="8"/>
  <c r="F88" i="8"/>
  <c r="C88" i="8"/>
  <c r="L88" i="8" s="1"/>
  <c r="M87" i="8"/>
  <c r="L87" i="8"/>
  <c r="F87" i="8"/>
  <c r="G87" i="8" s="1"/>
  <c r="C87" i="8"/>
  <c r="M86" i="8"/>
  <c r="F86" i="8"/>
  <c r="G86" i="8" s="1"/>
  <c r="C86" i="8"/>
  <c r="L86" i="8" s="1"/>
  <c r="M85" i="8"/>
  <c r="F85" i="8"/>
  <c r="G85" i="8" s="1"/>
  <c r="C85" i="8"/>
  <c r="M84" i="8"/>
  <c r="F84" i="8"/>
  <c r="G84" i="8" s="1"/>
  <c r="C84" i="8"/>
  <c r="L84" i="8" s="1"/>
  <c r="M83" i="8"/>
  <c r="F83" i="8"/>
  <c r="G83" i="8" s="1"/>
  <c r="C83" i="8"/>
  <c r="L83" i="8" s="1"/>
  <c r="M82" i="8"/>
  <c r="F82" i="8"/>
  <c r="G82" i="8" s="1"/>
  <c r="C82" i="8"/>
  <c r="L82" i="8" s="1"/>
  <c r="M81" i="8"/>
  <c r="G81" i="8"/>
  <c r="F81" i="8"/>
  <c r="C81" i="8"/>
  <c r="L81" i="8" s="1"/>
  <c r="M80" i="8"/>
  <c r="L80" i="8"/>
  <c r="J80" i="8" s="1"/>
  <c r="G80" i="8"/>
  <c r="F80" i="8"/>
  <c r="C80" i="8"/>
  <c r="M79" i="8"/>
  <c r="L79" i="8"/>
  <c r="J79" i="8" s="1"/>
  <c r="G79" i="8"/>
  <c r="F79" i="8"/>
  <c r="C79" i="8"/>
  <c r="M78" i="8"/>
  <c r="F78" i="8"/>
  <c r="G78" i="8" s="1"/>
  <c r="C78" i="8"/>
  <c r="M77" i="8"/>
  <c r="F77" i="8"/>
  <c r="G77" i="8" s="1"/>
  <c r="C77" i="8"/>
  <c r="L77" i="8" s="1"/>
  <c r="M76" i="8"/>
  <c r="F76" i="8"/>
  <c r="J76" i="8" s="1"/>
  <c r="C76" i="8"/>
  <c r="L76" i="8" s="1"/>
  <c r="M75" i="8"/>
  <c r="F75" i="8"/>
  <c r="G75" i="8" s="1"/>
  <c r="C75" i="8"/>
  <c r="L75" i="8" s="1"/>
  <c r="J75" i="8" s="1"/>
  <c r="M74" i="8"/>
  <c r="F74" i="8"/>
  <c r="G74" i="8" s="1"/>
  <c r="C74" i="8"/>
  <c r="L74" i="8" s="1"/>
  <c r="M73" i="8"/>
  <c r="F73" i="8"/>
  <c r="G73" i="8" s="1"/>
  <c r="C73" i="8"/>
  <c r="M72" i="8"/>
  <c r="F72" i="8"/>
  <c r="G72" i="8" s="1"/>
  <c r="C72" i="8"/>
  <c r="L72" i="8" s="1"/>
  <c r="J72" i="8" s="1"/>
  <c r="M71" i="8"/>
  <c r="F71" i="8"/>
  <c r="G71" i="8" s="1"/>
  <c r="C71" i="8"/>
  <c r="L71" i="8" s="1"/>
  <c r="M70" i="8"/>
  <c r="F70" i="8"/>
  <c r="G70" i="8" s="1"/>
  <c r="C70" i="8"/>
  <c r="L70" i="8" s="1"/>
  <c r="M69" i="8"/>
  <c r="L69" i="8"/>
  <c r="F69" i="8"/>
  <c r="G69" i="8" s="1"/>
  <c r="C69" i="8"/>
  <c r="M68" i="8"/>
  <c r="G68" i="8"/>
  <c r="F68" i="8"/>
  <c r="C68" i="8"/>
  <c r="L68" i="8" s="1"/>
  <c r="J68" i="8" s="1"/>
  <c r="M67" i="8"/>
  <c r="F67" i="8"/>
  <c r="G67" i="8" s="1"/>
  <c r="C67" i="8"/>
  <c r="M66" i="8"/>
  <c r="G66" i="8"/>
  <c r="F66" i="8"/>
  <c r="C66" i="8"/>
  <c r="M65" i="8"/>
  <c r="G65" i="8"/>
  <c r="F65" i="8"/>
  <c r="C65" i="8"/>
  <c r="L65" i="8" s="1"/>
  <c r="J65" i="8" s="1"/>
  <c r="M64" i="8"/>
  <c r="F64" i="8"/>
  <c r="G64" i="8" s="1"/>
  <c r="C64" i="8"/>
  <c r="L64" i="8" s="1"/>
  <c r="M63" i="8"/>
  <c r="L63" i="8"/>
  <c r="J63" i="8" s="1"/>
  <c r="F63" i="8"/>
  <c r="G63" i="8" s="1"/>
  <c r="C63" i="8"/>
  <c r="M62" i="8"/>
  <c r="F62" i="8"/>
  <c r="G62" i="8" s="1"/>
  <c r="C62" i="8"/>
  <c r="L62" i="8" s="1"/>
  <c r="M61" i="8"/>
  <c r="F61" i="8"/>
  <c r="G61" i="8" s="1"/>
  <c r="C61" i="8"/>
  <c r="M60" i="8"/>
  <c r="L60" i="8"/>
  <c r="F60" i="8"/>
  <c r="C60" i="8"/>
  <c r="M59" i="8"/>
  <c r="F59" i="8"/>
  <c r="G59" i="8" s="1"/>
  <c r="C59" i="8"/>
  <c r="M58" i="8"/>
  <c r="F58" i="8"/>
  <c r="G58" i="8" s="1"/>
  <c r="C58" i="8"/>
  <c r="L58" i="8" s="1"/>
  <c r="M57" i="8"/>
  <c r="F57" i="8"/>
  <c r="G57" i="8" s="1"/>
  <c r="C57" i="8"/>
  <c r="M56" i="8"/>
  <c r="F56" i="8"/>
  <c r="G56" i="8" s="1"/>
  <c r="C56" i="8"/>
  <c r="M55" i="8"/>
  <c r="F55" i="8"/>
  <c r="G55" i="8" s="1"/>
  <c r="C55" i="8"/>
  <c r="M54" i="8"/>
  <c r="F54" i="8"/>
  <c r="G54" i="8" s="1"/>
  <c r="C54" i="8"/>
  <c r="M53" i="8"/>
  <c r="F53" i="8"/>
  <c r="G53" i="8" s="1"/>
  <c r="C53" i="8"/>
  <c r="L53" i="8" s="1"/>
  <c r="M52" i="8"/>
  <c r="F52" i="8"/>
  <c r="G52" i="8" s="1"/>
  <c r="C52" i="8"/>
  <c r="L52" i="8" s="1"/>
  <c r="M51" i="8"/>
  <c r="F51" i="8"/>
  <c r="G51" i="8" s="1"/>
  <c r="C51" i="8"/>
  <c r="L51" i="8" s="1"/>
  <c r="M50" i="8"/>
  <c r="F50" i="8"/>
  <c r="G50" i="8" s="1"/>
  <c r="C50" i="8"/>
  <c r="L50" i="8" s="1"/>
  <c r="M49" i="8"/>
  <c r="F49" i="8"/>
  <c r="G49" i="8" s="1"/>
  <c r="C49" i="8"/>
  <c r="M48" i="8"/>
  <c r="L48" i="8"/>
  <c r="F48" i="8"/>
  <c r="C48" i="8"/>
  <c r="M47" i="8"/>
  <c r="F47" i="8"/>
  <c r="G47" i="8" s="1"/>
  <c r="C47" i="8"/>
  <c r="L47" i="8" s="1"/>
  <c r="M46" i="8"/>
  <c r="L46" i="8"/>
  <c r="J46" i="8" s="1"/>
  <c r="G46" i="8"/>
  <c r="F46" i="8"/>
  <c r="C46" i="8"/>
  <c r="M45" i="8"/>
  <c r="F45" i="8"/>
  <c r="G45" i="8" s="1"/>
  <c r="C45" i="8"/>
  <c r="L45" i="8" s="1"/>
  <c r="M44" i="8"/>
  <c r="G44" i="8"/>
  <c r="F44" i="8"/>
  <c r="C44" i="8"/>
  <c r="M43" i="8"/>
  <c r="F43" i="8"/>
  <c r="G43" i="8" s="1"/>
  <c r="C43" i="8"/>
  <c r="L43" i="8" s="1"/>
  <c r="M42" i="8"/>
  <c r="F42" i="8"/>
  <c r="G42" i="8" s="1"/>
  <c r="C42" i="8"/>
  <c r="M41" i="8"/>
  <c r="F41" i="8"/>
  <c r="G41" i="8" s="1"/>
  <c r="C41" i="8"/>
  <c r="L41" i="8" s="1"/>
  <c r="M40" i="8"/>
  <c r="F40" i="8"/>
  <c r="G40" i="8" s="1"/>
  <c r="C40" i="8"/>
  <c r="M39" i="8"/>
  <c r="F39" i="8"/>
  <c r="G39" i="8" s="1"/>
  <c r="C39" i="8"/>
  <c r="L39" i="8" s="1"/>
  <c r="J39" i="8" s="1"/>
  <c r="M38" i="8"/>
  <c r="F38" i="8"/>
  <c r="G38" i="8" s="1"/>
  <c r="C38" i="8"/>
  <c r="L38" i="8" s="1"/>
  <c r="J38" i="8" s="1"/>
  <c r="M37" i="8"/>
  <c r="F37" i="8"/>
  <c r="G37" i="8" s="1"/>
  <c r="C37" i="8"/>
  <c r="M36" i="8"/>
  <c r="L36" i="8"/>
  <c r="F36" i="8"/>
  <c r="G36" i="8" s="1"/>
  <c r="C36" i="8"/>
  <c r="M35" i="8"/>
  <c r="F35" i="8"/>
  <c r="G35" i="8" s="1"/>
  <c r="C35" i="8"/>
  <c r="M34" i="8"/>
  <c r="L34" i="8"/>
  <c r="F34" i="8"/>
  <c r="G34" i="8" s="1"/>
  <c r="C34" i="8"/>
  <c r="M33" i="8"/>
  <c r="F33" i="8"/>
  <c r="G33" i="8" s="1"/>
  <c r="C33" i="8"/>
  <c r="L33" i="8" s="1"/>
  <c r="J33" i="8" s="1"/>
  <c r="M32" i="8"/>
  <c r="F32" i="8"/>
  <c r="G32" i="8" s="1"/>
  <c r="C32" i="8"/>
  <c r="L32" i="8" s="1"/>
  <c r="M31" i="8"/>
  <c r="F31" i="8"/>
  <c r="G31" i="8" s="1"/>
  <c r="C31" i="8"/>
  <c r="L31" i="8" s="1"/>
  <c r="M30" i="8"/>
  <c r="G30" i="8"/>
  <c r="F30" i="8"/>
  <c r="C30" i="8"/>
  <c r="M29" i="8"/>
  <c r="F29" i="8"/>
  <c r="G29" i="8" s="1"/>
  <c r="C29" i="8"/>
  <c r="L29" i="8" s="1"/>
  <c r="J29" i="8" s="1"/>
  <c r="M28" i="8"/>
  <c r="F28" i="8"/>
  <c r="G28" i="8" s="1"/>
  <c r="C28" i="8"/>
  <c r="L28" i="8" s="1"/>
  <c r="J28" i="8" s="1"/>
  <c r="M27" i="8"/>
  <c r="F27" i="8"/>
  <c r="G27" i="8" s="1"/>
  <c r="C27" i="8"/>
  <c r="L27" i="8" s="1"/>
  <c r="J27" i="8" s="1"/>
  <c r="M26" i="8"/>
  <c r="F26" i="8"/>
  <c r="G26" i="8" s="1"/>
  <c r="C26" i="8"/>
  <c r="L26" i="8" s="1"/>
  <c r="M25" i="8"/>
  <c r="F25" i="8"/>
  <c r="G25" i="8" s="1"/>
  <c r="C25" i="8"/>
  <c r="M24" i="8"/>
  <c r="F24" i="8"/>
  <c r="G24" i="8" s="1"/>
  <c r="C24" i="8"/>
  <c r="L24" i="8" s="1"/>
  <c r="J24" i="8" s="1"/>
  <c r="M23" i="8"/>
  <c r="F23" i="8"/>
  <c r="G23" i="8" s="1"/>
  <c r="C23" i="8"/>
  <c r="L23" i="8" s="1"/>
  <c r="M22" i="8"/>
  <c r="F22" i="8"/>
  <c r="G22" i="8" s="1"/>
  <c r="C22" i="8"/>
  <c r="L22" i="8" s="1"/>
  <c r="J22" i="8" s="1"/>
  <c r="M21" i="8"/>
  <c r="F21" i="8"/>
  <c r="G21" i="8" s="1"/>
  <c r="C21" i="8"/>
  <c r="L21" i="8" s="1"/>
  <c r="M20" i="8"/>
  <c r="L20" i="8"/>
  <c r="F20" i="8"/>
  <c r="G20" i="8" s="1"/>
  <c r="C20" i="8"/>
  <c r="M19" i="8"/>
  <c r="L19" i="8"/>
  <c r="F19" i="8"/>
  <c r="G19" i="8" s="1"/>
  <c r="C19" i="8"/>
  <c r="M18" i="8"/>
  <c r="F18" i="8"/>
  <c r="G18" i="8" s="1"/>
  <c r="C18" i="8"/>
  <c r="M17" i="8"/>
  <c r="L17" i="8"/>
  <c r="J17" i="8"/>
  <c r="F17" i="8"/>
  <c r="G17" i="8" s="1"/>
  <c r="C17" i="8"/>
  <c r="M16" i="8"/>
  <c r="F16" i="8"/>
  <c r="G16" i="8" s="1"/>
  <c r="C16" i="8"/>
  <c r="M15" i="8"/>
  <c r="F15" i="8"/>
  <c r="G15" i="8" s="1"/>
  <c r="C15" i="8"/>
  <c r="L15" i="8" s="1"/>
  <c r="J15" i="8" s="1"/>
  <c r="M14" i="8"/>
  <c r="F14" i="8"/>
  <c r="G14" i="8" s="1"/>
  <c r="C14" i="8"/>
  <c r="L14" i="8" s="1"/>
  <c r="M13" i="8"/>
  <c r="F13" i="8"/>
  <c r="G13" i="8" s="1"/>
  <c r="C13" i="8"/>
  <c r="M12" i="8"/>
  <c r="F12" i="8"/>
  <c r="G12" i="8" s="1"/>
  <c r="C12" i="8"/>
  <c r="L12" i="8" s="1"/>
  <c r="J12" i="8" s="1"/>
  <c r="M11" i="8"/>
  <c r="F11" i="8"/>
  <c r="G11" i="8" s="1"/>
  <c r="C11" i="8"/>
  <c r="L11" i="8" s="1"/>
  <c r="M10" i="8"/>
  <c r="G10" i="8"/>
  <c r="F10" i="8"/>
  <c r="C10" i="8"/>
  <c r="L10" i="8" s="1"/>
  <c r="M9" i="8"/>
  <c r="L9" i="8"/>
  <c r="F9" i="8"/>
  <c r="G9" i="8" s="1"/>
  <c r="C9" i="8"/>
  <c r="M8" i="8"/>
  <c r="L8" i="8"/>
  <c r="G8" i="8"/>
  <c r="F8" i="8"/>
  <c r="C8" i="8"/>
  <c r="M7" i="8"/>
  <c r="G7" i="8"/>
  <c r="F7" i="8"/>
  <c r="C7" i="8"/>
  <c r="L7" i="8" s="1"/>
  <c r="J7" i="8" s="1"/>
  <c r="M6" i="8"/>
  <c r="F6" i="8"/>
  <c r="G6" i="8" s="1"/>
  <c r="C6" i="8"/>
  <c r="M5" i="8"/>
  <c r="L5" i="8"/>
  <c r="G5" i="8"/>
  <c r="F5" i="8"/>
  <c r="C5" i="8"/>
  <c r="M4" i="8"/>
  <c r="F4" i="8"/>
  <c r="G4" i="8" s="1"/>
  <c r="C4" i="8"/>
  <c r="L4" i="8" s="1"/>
  <c r="J4" i="8" s="1"/>
  <c r="M3" i="8"/>
  <c r="F3" i="8"/>
  <c r="G3" i="8" s="1"/>
  <c r="C3" i="8"/>
  <c r="L3" i="8" s="1"/>
  <c r="J3" i="8" s="1"/>
  <c r="M2" i="8"/>
  <c r="F2" i="8"/>
  <c r="G2" i="8" s="1"/>
  <c r="C2" i="8"/>
  <c r="L2" i="8" s="1"/>
  <c r="L5001" i="7"/>
  <c r="K5001" i="7"/>
  <c r="H5001" i="7"/>
  <c r="U5001" i="7" s="1"/>
  <c r="C5001" i="7"/>
  <c r="E5001" i="7" s="1"/>
  <c r="F5001" i="7" s="1"/>
  <c r="L5000" i="7"/>
  <c r="K5000" i="7"/>
  <c r="H5000" i="7"/>
  <c r="U5000" i="7" s="1"/>
  <c r="C5000" i="7"/>
  <c r="E5000" i="7" s="1"/>
  <c r="F5000" i="7" s="1"/>
  <c r="L4999" i="7"/>
  <c r="I4999" i="7" s="1"/>
  <c r="K4999" i="7"/>
  <c r="H4999" i="7"/>
  <c r="U4999" i="7" s="1"/>
  <c r="C4999" i="7"/>
  <c r="E4999" i="7" s="1"/>
  <c r="F4999" i="7" s="1"/>
  <c r="L4998" i="7"/>
  <c r="K4998" i="7"/>
  <c r="H4998" i="7"/>
  <c r="U4998" i="7" s="1"/>
  <c r="E4998" i="7"/>
  <c r="F4998" i="7" s="1"/>
  <c r="C4998" i="7"/>
  <c r="L4997" i="7"/>
  <c r="K4997" i="7"/>
  <c r="H4997" i="7"/>
  <c r="U4997" i="7" s="1"/>
  <c r="C4997" i="7"/>
  <c r="E4997" i="7" s="1"/>
  <c r="F4997" i="7" s="1"/>
  <c r="U4996" i="7"/>
  <c r="L4996" i="7"/>
  <c r="K4996" i="7"/>
  <c r="H4996" i="7"/>
  <c r="F4996" i="7"/>
  <c r="J4996" i="7" s="1"/>
  <c r="C4996" i="7"/>
  <c r="E4996" i="7" s="1"/>
  <c r="L4995" i="7"/>
  <c r="K4995" i="7"/>
  <c r="H4995" i="7"/>
  <c r="U4995" i="7" s="1"/>
  <c r="C4995" i="7"/>
  <c r="E4995" i="7" s="1"/>
  <c r="F4995" i="7" s="1"/>
  <c r="L4994" i="7"/>
  <c r="K4994" i="7"/>
  <c r="H4994" i="7"/>
  <c r="U4994" i="7" s="1"/>
  <c r="C4994" i="7"/>
  <c r="E4994" i="7" s="1"/>
  <c r="F4994" i="7" s="1"/>
  <c r="L4993" i="7"/>
  <c r="K4993" i="7"/>
  <c r="H4993" i="7"/>
  <c r="U4993" i="7" s="1"/>
  <c r="C4993" i="7"/>
  <c r="E4993" i="7" s="1"/>
  <c r="F4993" i="7" s="1"/>
  <c r="U4992" i="7"/>
  <c r="L4992" i="7"/>
  <c r="K4992" i="7"/>
  <c r="I4992" i="7"/>
  <c r="H4992" i="7"/>
  <c r="C4992" i="7"/>
  <c r="E4992" i="7" s="1"/>
  <c r="F4992" i="7" s="1"/>
  <c r="L4991" i="7"/>
  <c r="K4991" i="7"/>
  <c r="H4991" i="7"/>
  <c r="U4991" i="7" s="1"/>
  <c r="C4991" i="7"/>
  <c r="E4991" i="7" s="1"/>
  <c r="F4991" i="7" s="1"/>
  <c r="J4991" i="7" s="1"/>
  <c r="L4990" i="7"/>
  <c r="K4990" i="7"/>
  <c r="H4990" i="7"/>
  <c r="U4990" i="7" s="1"/>
  <c r="C4990" i="7"/>
  <c r="E4990" i="7" s="1"/>
  <c r="F4990" i="7" s="1"/>
  <c r="L4989" i="7"/>
  <c r="K4989" i="7"/>
  <c r="H4989" i="7"/>
  <c r="U4989" i="7" s="1"/>
  <c r="C4989" i="7"/>
  <c r="E4989" i="7" s="1"/>
  <c r="F4989" i="7" s="1"/>
  <c r="U4988" i="7"/>
  <c r="L4988" i="7"/>
  <c r="J4988" i="7" s="1"/>
  <c r="K4988" i="7"/>
  <c r="H4988" i="7"/>
  <c r="C4988" i="7"/>
  <c r="E4988" i="7" s="1"/>
  <c r="F4988" i="7" s="1"/>
  <c r="L4987" i="7"/>
  <c r="K4987" i="7"/>
  <c r="H4987" i="7"/>
  <c r="U4987" i="7" s="1"/>
  <c r="C4987" i="7"/>
  <c r="E4987" i="7" s="1"/>
  <c r="F4987" i="7" s="1"/>
  <c r="L4986" i="7"/>
  <c r="K4986" i="7"/>
  <c r="H4986" i="7"/>
  <c r="U4986" i="7" s="1"/>
  <c r="C4986" i="7"/>
  <c r="E4986" i="7" s="1"/>
  <c r="F4986" i="7" s="1"/>
  <c r="L4985" i="7"/>
  <c r="K4985" i="7"/>
  <c r="H4985" i="7"/>
  <c r="U4985" i="7" s="1"/>
  <c r="C4985" i="7"/>
  <c r="E4985" i="7" s="1"/>
  <c r="F4985" i="7" s="1"/>
  <c r="U4984" i="7"/>
  <c r="L4984" i="7"/>
  <c r="K4984" i="7"/>
  <c r="J4984" i="7"/>
  <c r="H4984" i="7"/>
  <c r="C4984" i="7"/>
  <c r="E4984" i="7" s="1"/>
  <c r="F4984" i="7" s="1"/>
  <c r="I4984" i="7" s="1"/>
  <c r="L4983" i="7"/>
  <c r="K4983" i="7"/>
  <c r="H4983" i="7"/>
  <c r="U4983" i="7" s="1"/>
  <c r="C4983" i="7"/>
  <c r="E4983" i="7" s="1"/>
  <c r="F4983" i="7" s="1"/>
  <c r="L4982" i="7"/>
  <c r="K4982" i="7"/>
  <c r="H4982" i="7"/>
  <c r="U4982" i="7" s="1"/>
  <c r="E4982" i="7"/>
  <c r="F4982" i="7" s="1"/>
  <c r="C4982" i="7"/>
  <c r="L4981" i="7"/>
  <c r="K4981" i="7"/>
  <c r="H4981" i="7"/>
  <c r="U4981" i="7" s="1"/>
  <c r="C4981" i="7"/>
  <c r="E4981" i="7" s="1"/>
  <c r="F4981" i="7" s="1"/>
  <c r="U4980" i="7"/>
  <c r="L4980" i="7"/>
  <c r="K4980" i="7"/>
  <c r="H4980" i="7"/>
  <c r="C4980" i="7"/>
  <c r="E4980" i="7" s="1"/>
  <c r="F4980" i="7" s="1"/>
  <c r="L4979" i="7"/>
  <c r="K4979" i="7"/>
  <c r="H4979" i="7"/>
  <c r="U4979" i="7" s="1"/>
  <c r="C4979" i="7"/>
  <c r="E4979" i="7" s="1"/>
  <c r="F4979" i="7" s="1"/>
  <c r="J4979" i="7" s="1"/>
  <c r="L4978" i="7"/>
  <c r="K4978" i="7"/>
  <c r="H4978" i="7"/>
  <c r="U4978" i="7" s="1"/>
  <c r="E4978" i="7"/>
  <c r="F4978" i="7" s="1"/>
  <c r="C4978" i="7"/>
  <c r="L4977" i="7"/>
  <c r="K4977" i="7"/>
  <c r="H4977" i="7"/>
  <c r="U4977" i="7" s="1"/>
  <c r="C4977" i="7"/>
  <c r="E4977" i="7" s="1"/>
  <c r="F4977" i="7" s="1"/>
  <c r="L4976" i="7"/>
  <c r="K4976" i="7"/>
  <c r="H4976" i="7"/>
  <c r="U4976" i="7" s="1"/>
  <c r="C4976" i="7"/>
  <c r="E4976" i="7" s="1"/>
  <c r="F4976" i="7" s="1"/>
  <c r="L4975" i="7"/>
  <c r="K4975" i="7"/>
  <c r="H4975" i="7"/>
  <c r="U4975" i="7" s="1"/>
  <c r="C4975" i="7"/>
  <c r="E4975" i="7" s="1"/>
  <c r="F4975" i="7" s="1"/>
  <c r="L4974" i="7"/>
  <c r="K4974" i="7"/>
  <c r="H4974" i="7"/>
  <c r="U4974" i="7" s="1"/>
  <c r="C4974" i="7"/>
  <c r="E4974" i="7" s="1"/>
  <c r="F4974" i="7" s="1"/>
  <c r="J4974" i="7" s="1"/>
  <c r="L4973" i="7"/>
  <c r="K4973" i="7"/>
  <c r="H4973" i="7"/>
  <c r="U4973" i="7" s="1"/>
  <c r="C4973" i="7"/>
  <c r="E4973" i="7" s="1"/>
  <c r="F4973" i="7" s="1"/>
  <c r="L4972" i="7"/>
  <c r="K4972" i="7"/>
  <c r="J4972" i="7"/>
  <c r="H4972" i="7"/>
  <c r="U4972" i="7" s="1"/>
  <c r="C4972" i="7"/>
  <c r="E4972" i="7" s="1"/>
  <c r="F4972" i="7" s="1"/>
  <c r="L4971" i="7"/>
  <c r="K4971" i="7"/>
  <c r="H4971" i="7"/>
  <c r="U4971" i="7" s="1"/>
  <c r="E4971" i="7"/>
  <c r="F4971" i="7" s="1"/>
  <c r="C4971" i="7"/>
  <c r="L4970" i="7"/>
  <c r="K4970" i="7"/>
  <c r="H4970" i="7"/>
  <c r="U4970" i="7" s="1"/>
  <c r="E4970" i="7"/>
  <c r="F4970" i="7" s="1"/>
  <c r="C4970" i="7"/>
  <c r="L4969" i="7"/>
  <c r="K4969" i="7"/>
  <c r="H4969" i="7"/>
  <c r="U4969" i="7" s="1"/>
  <c r="C4969" i="7"/>
  <c r="E4969" i="7" s="1"/>
  <c r="F4969" i="7" s="1"/>
  <c r="L4968" i="7"/>
  <c r="K4968" i="7"/>
  <c r="H4968" i="7"/>
  <c r="U4968" i="7" s="1"/>
  <c r="C4968" i="7"/>
  <c r="E4968" i="7" s="1"/>
  <c r="F4968" i="7" s="1"/>
  <c r="L4967" i="7"/>
  <c r="K4967" i="7"/>
  <c r="H4967" i="7"/>
  <c r="U4967" i="7" s="1"/>
  <c r="C4967" i="7"/>
  <c r="E4967" i="7" s="1"/>
  <c r="F4967" i="7" s="1"/>
  <c r="L4966" i="7"/>
  <c r="K4966" i="7"/>
  <c r="H4966" i="7"/>
  <c r="U4966" i="7" s="1"/>
  <c r="C4966" i="7"/>
  <c r="E4966" i="7" s="1"/>
  <c r="F4966" i="7" s="1"/>
  <c r="L4965" i="7"/>
  <c r="K4965" i="7"/>
  <c r="H4965" i="7"/>
  <c r="U4965" i="7" s="1"/>
  <c r="C4965" i="7"/>
  <c r="E4965" i="7" s="1"/>
  <c r="F4965" i="7" s="1"/>
  <c r="L4964" i="7"/>
  <c r="K4964" i="7"/>
  <c r="H4964" i="7"/>
  <c r="U4964" i="7" s="1"/>
  <c r="C4964" i="7"/>
  <c r="E4964" i="7" s="1"/>
  <c r="F4964" i="7" s="1"/>
  <c r="L4963" i="7"/>
  <c r="K4963" i="7"/>
  <c r="H4963" i="7"/>
  <c r="U4963" i="7" s="1"/>
  <c r="E4963" i="7"/>
  <c r="F4963" i="7" s="1"/>
  <c r="C4963" i="7"/>
  <c r="L4962" i="7"/>
  <c r="K4962" i="7"/>
  <c r="H4962" i="7"/>
  <c r="U4962" i="7" s="1"/>
  <c r="C4962" i="7"/>
  <c r="E4962" i="7" s="1"/>
  <c r="F4962" i="7" s="1"/>
  <c r="L4961" i="7"/>
  <c r="K4961" i="7"/>
  <c r="H4961" i="7"/>
  <c r="U4961" i="7" s="1"/>
  <c r="C4961" i="7"/>
  <c r="E4961" i="7" s="1"/>
  <c r="F4961" i="7" s="1"/>
  <c r="L4960" i="7"/>
  <c r="K4960" i="7"/>
  <c r="H4960" i="7"/>
  <c r="U4960" i="7" s="1"/>
  <c r="C4960" i="7"/>
  <c r="E4960" i="7" s="1"/>
  <c r="F4960" i="7" s="1"/>
  <c r="L4959" i="7"/>
  <c r="K4959" i="7"/>
  <c r="H4959" i="7"/>
  <c r="U4959" i="7" s="1"/>
  <c r="E4959" i="7"/>
  <c r="F4959" i="7" s="1"/>
  <c r="C4959" i="7"/>
  <c r="L4958" i="7"/>
  <c r="K4958" i="7"/>
  <c r="H4958" i="7"/>
  <c r="U4958" i="7" s="1"/>
  <c r="C4958" i="7"/>
  <c r="E4958" i="7" s="1"/>
  <c r="F4958" i="7" s="1"/>
  <c r="J4958" i="7" s="1"/>
  <c r="U4957" i="7"/>
  <c r="L4957" i="7"/>
  <c r="K4957" i="7"/>
  <c r="H4957" i="7"/>
  <c r="C4957" i="7"/>
  <c r="E4957" i="7" s="1"/>
  <c r="F4957" i="7" s="1"/>
  <c r="L4956" i="7"/>
  <c r="K4956" i="7"/>
  <c r="H4956" i="7"/>
  <c r="U4956" i="7" s="1"/>
  <c r="C4956" i="7"/>
  <c r="E4956" i="7" s="1"/>
  <c r="F4956" i="7" s="1"/>
  <c r="L4955" i="7"/>
  <c r="K4955" i="7"/>
  <c r="H4955" i="7"/>
  <c r="U4955" i="7" s="1"/>
  <c r="E4955" i="7"/>
  <c r="F4955" i="7" s="1"/>
  <c r="C4955" i="7"/>
  <c r="L4954" i="7"/>
  <c r="K4954" i="7"/>
  <c r="H4954" i="7"/>
  <c r="U4954" i="7" s="1"/>
  <c r="F4954" i="7"/>
  <c r="C4954" i="7"/>
  <c r="E4954" i="7" s="1"/>
  <c r="L4953" i="7"/>
  <c r="K4953" i="7"/>
  <c r="H4953" i="7"/>
  <c r="U4953" i="7" s="1"/>
  <c r="C4953" i="7"/>
  <c r="E4953" i="7" s="1"/>
  <c r="F4953" i="7" s="1"/>
  <c r="L4952" i="7"/>
  <c r="K4952" i="7"/>
  <c r="H4952" i="7"/>
  <c r="U4952" i="7" s="1"/>
  <c r="C4952" i="7"/>
  <c r="E4952" i="7" s="1"/>
  <c r="F4952" i="7" s="1"/>
  <c r="L4951" i="7"/>
  <c r="K4951" i="7"/>
  <c r="H4951" i="7"/>
  <c r="U4951" i="7" s="1"/>
  <c r="C4951" i="7"/>
  <c r="E4951" i="7" s="1"/>
  <c r="F4951" i="7" s="1"/>
  <c r="J4951" i="7" s="1"/>
  <c r="L4950" i="7"/>
  <c r="K4950" i="7"/>
  <c r="H4950" i="7"/>
  <c r="U4950" i="7" s="1"/>
  <c r="C4950" i="7"/>
  <c r="E4950" i="7" s="1"/>
  <c r="F4950" i="7" s="1"/>
  <c r="L4949" i="7"/>
  <c r="K4949" i="7"/>
  <c r="H4949" i="7"/>
  <c r="U4949" i="7" s="1"/>
  <c r="C4949" i="7"/>
  <c r="E4949" i="7" s="1"/>
  <c r="F4949" i="7" s="1"/>
  <c r="L4948" i="7"/>
  <c r="K4948" i="7"/>
  <c r="H4948" i="7"/>
  <c r="U4948" i="7" s="1"/>
  <c r="C4948" i="7"/>
  <c r="E4948" i="7" s="1"/>
  <c r="F4948" i="7" s="1"/>
  <c r="L4947" i="7"/>
  <c r="K4947" i="7"/>
  <c r="H4947" i="7"/>
  <c r="U4947" i="7" s="1"/>
  <c r="C4947" i="7"/>
  <c r="E4947" i="7" s="1"/>
  <c r="F4947" i="7" s="1"/>
  <c r="L4946" i="7"/>
  <c r="K4946" i="7"/>
  <c r="H4946" i="7"/>
  <c r="U4946" i="7" s="1"/>
  <c r="C4946" i="7"/>
  <c r="E4946" i="7" s="1"/>
  <c r="F4946" i="7" s="1"/>
  <c r="J4946" i="7" s="1"/>
  <c r="L4945" i="7"/>
  <c r="K4945" i="7"/>
  <c r="H4945" i="7"/>
  <c r="U4945" i="7" s="1"/>
  <c r="C4945" i="7"/>
  <c r="E4945" i="7" s="1"/>
  <c r="F4945" i="7" s="1"/>
  <c r="L4944" i="7"/>
  <c r="K4944" i="7"/>
  <c r="H4944" i="7"/>
  <c r="U4944" i="7" s="1"/>
  <c r="C4944" i="7"/>
  <c r="E4944" i="7" s="1"/>
  <c r="F4944" i="7" s="1"/>
  <c r="U4943" i="7"/>
  <c r="L4943" i="7"/>
  <c r="K4943" i="7"/>
  <c r="H4943" i="7"/>
  <c r="C4943" i="7"/>
  <c r="E4943" i="7" s="1"/>
  <c r="F4943" i="7" s="1"/>
  <c r="L4942" i="7"/>
  <c r="K4942" i="7"/>
  <c r="H4942" i="7"/>
  <c r="U4942" i="7" s="1"/>
  <c r="C4942" i="7"/>
  <c r="E4942" i="7" s="1"/>
  <c r="F4942" i="7" s="1"/>
  <c r="L4941" i="7"/>
  <c r="K4941" i="7"/>
  <c r="H4941" i="7"/>
  <c r="U4941" i="7" s="1"/>
  <c r="C4941" i="7"/>
  <c r="E4941" i="7" s="1"/>
  <c r="F4941" i="7" s="1"/>
  <c r="J4941" i="7" s="1"/>
  <c r="L4940" i="7"/>
  <c r="K4940" i="7"/>
  <c r="H4940" i="7"/>
  <c r="U4940" i="7" s="1"/>
  <c r="F4940" i="7"/>
  <c r="C4940" i="7"/>
  <c r="E4940" i="7" s="1"/>
  <c r="L4939" i="7"/>
  <c r="K4939" i="7"/>
  <c r="H4939" i="7"/>
  <c r="U4939" i="7" s="1"/>
  <c r="E4939" i="7"/>
  <c r="F4939" i="7" s="1"/>
  <c r="C4939" i="7"/>
  <c r="L4938" i="7"/>
  <c r="K4938" i="7"/>
  <c r="H4938" i="7"/>
  <c r="U4938" i="7" s="1"/>
  <c r="C4938" i="7"/>
  <c r="E4938" i="7" s="1"/>
  <c r="F4938" i="7" s="1"/>
  <c r="L4937" i="7"/>
  <c r="K4937" i="7"/>
  <c r="H4937" i="7"/>
  <c r="U4937" i="7" s="1"/>
  <c r="C4937" i="7"/>
  <c r="E4937" i="7" s="1"/>
  <c r="F4937" i="7" s="1"/>
  <c r="L4936" i="7"/>
  <c r="K4936" i="7"/>
  <c r="H4936" i="7"/>
  <c r="U4936" i="7" s="1"/>
  <c r="C4936" i="7"/>
  <c r="E4936" i="7" s="1"/>
  <c r="F4936" i="7" s="1"/>
  <c r="J4936" i="7" s="1"/>
  <c r="U4935" i="7"/>
  <c r="L4935" i="7"/>
  <c r="K4935" i="7"/>
  <c r="H4935" i="7"/>
  <c r="C4935" i="7"/>
  <c r="E4935" i="7" s="1"/>
  <c r="F4935" i="7" s="1"/>
  <c r="U4934" i="7"/>
  <c r="L4934" i="7"/>
  <c r="K4934" i="7"/>
  <c r="H4934" i="7"/>
  <c r="C4934" i="7"/>
  <c r="E4934" i="7" s="1"/>
  <c r="F4934" i="7" s="1"/>
  <c r="L4933" i="7"/>
  <c r="K4933" i="7"/>
  <c r="H4933" i="7"/>
  <c r="U4933" i="7" s="1"/>
  <c r="C4933" i="7"/>
  <c r="E4933" i="7" s="1"/>
  <c r="F4933" i="7" s="1"/>
  <c r="L4932" i="7"/>
  <c r="K4932" i="7"/>
  <c r="H4932" i="7"/>
  <c r="U4932" i="7" s="1"/>
  <c r="C4932" i="7"/>
  <c r="E4932" i="7" s="1"/>
  <c r="F4932" i="7" s="1"/>
  <c r="L4931" i="7"/>
  <c r="K4931" i="7"/>
  <c r="H4931" i="7"/>
  <c r="U4931" i="7" s="1"/>
  <c r="C4931" i="7"/>
  <c r="E4931" i="7" s="1"/>
  <c r="F4931" i="7" s="1"/>
  <c r="L4930" i="7"/>
  <c r="K4930" i="7"/>
  <c r="H4930" i="7"/>
  <c r="U4930" i="7" s="1"/>
  <c r="C4930" i="7"/>
  <c r="E4930" i="7" s="1"/>
  <c r="F4930" i="7" s="1"/>
  <c r="L4929" i="7"/>
  <c r="K4929" i="7"/>
  <c r="H4929" i="7"/>
  <c r="U4929" i="7" s="1"/>
  <c r="C4929" i="7"/>
  <c r="E4929" i="7" s="1"/>
  <c r="F4929" i="7" s="1"/>
  <c r="L4928" i="7"/>
  <c r="K4928" i="7"/>
  <c r="H4928" i="7"/>
  <c r="U4928" i="7" s="1"/>
  <c r="C4928" i="7"/>
  <c r="E4928" i="7" s="1"/>
  <c r="F4928" i="7" s="1"/>
  <c r="L4927" i="7"/>
  <c r="K4927" i="7"/>
  <c r="H4927" i="7"/>
  <c r="U4927" i="7" s="1"/>
  <c r="C4927" i="7"/>
  <c r="E4927" i="7" s="1"/>
  <c r="F4927" i="7" s="1"/>
  <c r="L4926" i="7"/>
  <c r="K4926" i="7"/>
  <c r="H4926" i="7"/>
  <c r="U4926" i="7" s="1"/>
  <c r="C4926" i="7"/>
  <c r="E4926" i="7" s="1"/>
  <c r="F4926" i="7" s="1"/>
  <c r="L4925" i="7"/>
  <c r="K4925" i="7"/>
  <c r="H4925" i="7"/>
  <c r="U4925" i="7" s="1"/>
  <c r="C4925" i="7"/>
  <c r="E4925" i="7" s="1"/>
  <c r="F4925" i="7" s="1"/>
  <c r="L4924" i="7"/>
  <c r="K4924" i="7"/>
  <c r="H4924" i="7"/>
  <c r="U4924" i="7" s="1"/>
  <c r="C4924" i="7"/>
  <c r="E4924" i="7" s="1"/>
  <c r="F4924" i="7" s="1"/>
  <c r="L4923" i="7"/>
  <c r="K4923" i="7"/>
  <c r="H4923" i="7"/>
  <c r="U4923" i="7" s="1"/>
  <c r="C4923" i="7"/>
  <c r="E4923" i="7" s="1"/>
  <c r="F4923" i="7" s="1"/>
  <c r="L4922" i="7"/>
  <c r="K4922" i="7"/>
  <c r="H4922" i="7"/>
  <c r="U4922" i="7" s="1"/>
  <c r="E4922" i="7"/>
  <c r="F4922" i="7" s="1"/>
  <c r="C4922" i="7"/>
  <c r="L4921" i="7"/>
  <c r="K4921" i="7"/>
  <c r="H4921" i="7"/>
  <c r="U4921" i="7" s="1"/>
  <c r="C4921" i="7"/>
  <c r="E4921" i="7" s="1"/>
  <c r="F4921" i="7" s="1"/>
  <c r="U4920" i="7"/>
  <c r="L4920" i="7"/>
  <c r="K4920" i="7"/>
  <c r="H4920" i="7"/>
  <c r="C4920" i="7"/>
  <c r="E4920" i="7" s="1"/>
  <c r="F4920" i="7" s="1"/>
  <c r="U4919" i="7"/>
  <c r="L4919" i="7"/>
  <c r="K4919" i="7"/>
  <c r="H4919" i="7"/>
  <c r="C4919" i="7"/>
  <c r="E4919" i="7" s="1"/>
  <c r="F4919" i="7" s="1"/>
  <c r="L4918" i="7"/>
  <c r="K4918" i="7"/>
  <c r="H4918" i="7"/>
  <c r="U4918" i="7" s="1"/>
  <c r="C4918" i="7"/>
  <c r="E4918" i="7" s="1"/>
  <c r="F4918" i="7" s="1"/>
  <c r="L4917" i="7"/>
  <c r="K4917" i="7"/>
  <c r="H4917" i="7"/>
  <c r="U4917" i="7" s="1"/>
  <c r="C4917" i="7"/>
  <c r="E4917" i="7" s="1"/>
  <c r="F4917" i="7" s="1"/>
  <c r="L4916" i="7"/>
  <c r="K4916" i="7"/>
  <c r="H4916" i="7"/>
  <c r="U4916" i="7" s="1"/>
  <c r="C4916" i="7"/>
  <c r="E4916" i="7" s="1"/>
  <c r="F4916" i="7" s="1"/>
  <c r="L4915" i="7"/>
  <c r="K4915" i="7"/>
  <c r="H4915" i="7"/>
  <c r="U4915" i="7" s="1"/>
  <c r="E4915" i="7"/>
  <c r="F4915" i="7" s="1"/>
  <c r="C4915" i="7"/>
  <c r="L4914" i="7"/>
  <c r="K4914" i="7"/>
  <c r="H4914" i="7"/>
  <c r="U4914" i="7" s="1"/>
  <c r="C4914" i="7"/>
  <c r="E4914" i="7" s="1"/>
  <c r="F4914" i="7" s="1"/>
  <c r="L4913" i="7"/>
  <c r="K4913" i="7"/>
  <c r="H4913" i="7"/>
  <c r="U4913" i="7" s="1"/>
  <c r="F4913" i="7"/>
  <c r="C4913" i="7"/>
  <c r="E4913" i="7" s="1"/>
  <c r="L4912" i="7"/>
  <c r="K4912" i="7"/>
  <c r="H4912" i="7"/>
  <c r="U4912" i="7" s="1"/>
  <c r="C4912" i="7"/>
  <c r="E4912" i="7" s="1"/>
  <c r="F4912" i="7" s="1"/>
  <c r="U4911" i="7"/>
  <c r="L4911" i="7"/>
  <c r="K4911" i="7"/>
  <c r="H4911" i="7"/>
  <c r="C4911" i="7"/>
  <c r="E4911" i="7" s="1"/>
  <c r="F4911" i="7" s="1"/>
  <c r="U4910" i="7"/>
  <c r="L4910" i="7"/>
  <c r="K4910" i="7"/>
  <c r="H4910" i="7"/>
  <c r="C4910" i="7"/>
  <c r="E4910" i="7" s="1"/>
  <c r="F4910" i="7" s="1"/>
  <c r="U4909" i="7"/>
  <c r="L4909" i="7"/>
  <c r="J4909" i="7" s="1"/>
  <c r="K4909" i="7"/>
  <c r="H4909" i="7"/>
  <c r="C4909" i="7"/>
  <c r="E4909" i="7" s="1"/>
  <c r="F4909" i="7" s="1"/>
  <c r="L4908" i="7"/>
  <c r="K4908" i="7"/>
  <c r="H4908" i="7"/>
  <c r="U4908" i="7" s="1"/>
  <c r="C4908" i="7"/>
  <c r="E4908" i="7" s="1"/>
  <c r="F4908" i="7" s="1"/>
  <c r="L4907" i="7"/>
  <c r="K4907" i="7"/>
  <c r="H4907" i="7"/>
  <c r="U4907" i="7" s="1"/>
  <c r="C4907" i="7"/>
  <c r="E4907" i="7" s="1"/>
  <c r="F4907" i="7" s="1"/>
  <c r="L4906" i="7"/>
  <c r="K4906" i="7"/>
  <c r="H4906" i="7"/>
  <c r="U4906" i="7" s="1"/>
  <c r="C4906" i="7"/>
  <c r="E4906" i="7" s="1"/>
  <c r="F4906" i="7" s="1"/>
  <c r="L4905" i="7"/>
  <c r="K4905" i="7"/>
  <c r="J4905" i="7"/>
  <c r="H4905" i="7"/>
  <c r="U4905" i="7" s="1"/>
  <c r="C4905" i="7"/>
  <c r="E4905" i="7" s="1"/>
  <c r="F4905" i="7" s="1"/>
  <c r="L4904" i="7"/>
  <c r="K4904" i="7"/>
  <c r="H4904" i="7"/>
  <c r="U4904" i="7" s="1"/>
  <c r="C4904" i="7"/>
  <c r="E4904" i="7" s="1"/>
  <c r="F4904" i="7" s="1"/>
  <c r="L4903" i="7"/>
  <c r="K4903" i="7"/>
  <c r="H4903" i="7"/>
  <c r="U4903" i="7" s="1"/>
  <c r="C4903" i="7"/>
  <c r="E4903" i="7" s="1"/>
  <c r="F4903" i="7" s="1"/>
  <c r="L4902" i="7"/>
  <c r="K4902" i="7"/>
  <c r="H4902" i="7"/>
  <c r="U4902" i="7" s="1"/>
  <c r="E4902" i="7"/>
  <c r="F4902" i="7" s="1"/>
  <c r="C4902" i="7"/>
  <c r="U4901" i="7"/>
  <c r="L4901" i="7"/>
  <c r="K4901" i="7"/>
  <c r="H4901" i="7"/>
  <c r="C4901" i="7"/>
  <c r="E4901" i="7" s="1"/>
  <c r="F4901" i="7" s="1"/>
  <c r="L4900" i="7"/>
  <c r="K4900" i="7"/>
  <c r="H4900" i="7"/>
  <c r="U4900" i="7" s="1"/>
  <c r="C4900" i="7"/>
  <c r="E4900" i="7" s="1"/>
  <c r="F4900" i="7" s="1"/>
  <c r="L4899" i="7"/>
  <c r="K4899" i="7"/>
  <c r="H4899" i="7"/>
  <c r="U4899" i="7" s="1"/>
  <c r="C4899" i="7"/>
  <c r="E4899" i="7" s="1"/>
  <c r="F4899" i="7" s="1"/>
  <c r="L4898" i="7"/>
  <c r="K4898" i="7"/>
  <c r="H4898" i="7"/>
  <c r="U4898" i="7" s="1"/>
  <c r="C4898" i="7"/>
  <c r="E4898" i="7" s="1"/>
  <c r="F4898" i="7" s="1"/>
  <c r="J4898" i="7" s="1"/>
  <c r="L4897" i="7"/>
  <c r="K4897" i="7"/>
  <c r="H4897" i="7"/>
  <c r="U4897" i="7" s="1"/>
  <c r="C4897" i="7"/>
  <c r="E4897" i="7" s="1"/>
  <c r="F4897" i="7" s="1"/>
  <c r="L4896" i="7"/>
  <c r="K4896" i="7"/>
  <c r="H4896" i="7"/>
  <c r="U4896" i="7" s="1"/>
  <c r="C4896" i="7"/>
  <c r="E4896" i="7" s="1"/>
  <c r="F4896" i="7" s="1"/>
  <c r="L4895" i="7"/>
  <c r="K4895" i="7"/>
  <c r="H4895" i="7"/>
  <c r="U4895" i="7" s="1"/>
  <c r="C4895" i="7"/>
  <c r="E4895" i="7" s="1"/>
  <c r="F4895" i="7" s="1"/>
  <c r="L4894" i="7"/>
  <c r="K4894" i="7"/>
  <c r="H4894" i="7"/>
  <c r="U4894" i="7" s="1"/>
  <c r="C4894" i="7"/>
  <c r="E4894" i="7" s="1"/>
  <c r="F4894" i="7" s="1"/>
  <c r="L4893" i="7"/>
  <c r="K4893" i="7"/>
  <c r="H4893" i="7"/>
  <c r="U4893" i="7" s="1"/>
  <c r="C4893" i="7"/>
  <c r="E4893" i="7" s="1"/>
  <c r="F4893" i="7" s="1"/>
  <c r="L4892" i="7"/>
  <c r="K4892" i="7"/>
  <c r="J4892" i="7"/>
  <c r="H4892" i="7"/>
  <c r="U4892" i="7" s="1"/>
  <c r="C4892" i="7"/>
  <c r="E4892" i="7" s="1"/>
  <c r="F4892" i="7" s="1"/>
  <c r="I4892" i="7" s="1"/>
  <c r="U4891" i="7"/>
  <c r="L4891" i="7"/>
  <c r="K4891" i="7"/>
  <c r="H4891" i="7"/>
  <c r="C4891" i="7"/>
  <c r="E4891" i="7" s="1"/>
  <c r="F4891" i="7" s="1"/>
  <c r="L4890" i="7"/>
  <c r="K4890" i="7"/>
  <c r="H4890" i="7"/>
  <c r="U4890" i="7" s="1"/>
  <c r="E4890" i="7"/>
  <c r="F4890" i="7" s="1"/>
  <c r="C4890" i="7"/>
  <c r="L4889" i="7"/>
  <c r="K4889" i="7"/>
  <c r="H4889" i="7"/>
  <c r="U4889" i="7" s="1"/>
  <c r="C4889" i="7"/>
  <c r="E4889" i="7" s="1"/>
  <c r="F4889" i="7" s="1"/>
  <c r="L4888" i="7"/>
  <c r="K4888" i="7"/>
  <c r="H4888" i="7"/>
  <c r="U4888" i="7" s="1"/>
  <c r="C4888" i="7"/>
  <c r="E4888" i="7" s="1"/>
  <c r="F4888" i="7" s="1"/>
  <c r="U4887" i="7"/>
  <c r="L4887" i="7"/>
  <c r="K4887" i="7"/>
  <c r="H4887" i="7"/>
  <c r="C4887" i="7"/>
  <c r="E4887" i="7" s="1"/>
  <c r="F4887" i="7" s="1"/>
  <c r="L4886" i="7"/>
  <c r="K4886" i="7"/>
  <c r="H4886" i="7"/>
  <c r="U4886" i="7" s="1"/>
  <c r="C4886" i="7"/>
  <c r="E4886" i="7" s="1"/>
  <c r="F4886" i="7" s="1"/>
  <c r="U4885" i="7"/>
  <c r="L4885" i="7"/>
  <c r="K4885" i="7"/>
  <c r="H4885" i="7"/>
  <c r="C4885" i="7"/>
  <c r="E4885" i="7" s="1"/>
  <c r="F4885" i="7" s="1"/>
  <c r="L4884" i="7"/>
  <c r="K4884" i="7"/>
  <c r="H4884" i="7"/>
  <c r="U4884" i="7" s="1"/>
  <c r="C4884" i="7"/>
  <c r="E4884" i="7" s="1"/>
  <c r="F4884" i="7" s="1"/>
  <c r="U4883" i="7"/>
  <c r="L4883" i="7"/>
  <c r="K4883" i="7"/>
  <c r="H4883" i="7"/>
  <c r="C4883" i="7"/>
  <c r="E4883" i="7" s="1"/>
  <c r="F4883" i="7" s="1"/>
  <c r="L4882" i="7"/>
  <c r="K4882" i="7"/>
  <c r="H4882" i="7"/>
  <c r="U4882" i="7" s="1"/>
  <c r="E4882" i="7"/>
  <c r="F4882" i="7" s="1"/>
  <c r="C4882" i="7"/>
  <c r="L4881" i="7"/>
  <c r="K4881" i="7"/>
  <c r="H4881" i="7"/>
  <c r="U4881" i="7" s="1"/>
  <c r="C4881" i="7"/>
  <c r="E4881" i="7" s="1"/>
  <c r="F4881" i="7" s="1"/>
  <c r="L4880" i="7"/>
  <c r="K4880" i="7"/>
  <c r="H4880" i="7"/>
  <c r="U4880" i="7" s="1"/>
  <c r="C4880" i="7"/>
  <c r="E4880" i="7" s="1"/>
  <c r="F4880" i="7" s="1"/>
  <c r="L4879" i="7"/>
  <c r="K4879" i="7"/>
  <c r="H4879" i="7"/>
  <c r="U4879" i="7" s="1"/>
  <c r="C4879" i="7"/>
  <c r="E4879" i="7" s="1"/>
  <c r="F4879" i="7" s="1"/>
  <c r="L4878" i="7"/>
  <c r="K4878" i="7"/>
  <c r="H4878" i="7"/>
  <c r="U4878" i="7" s="1"/>
  <c r="C4878" i="7"/>
  <c r="E4878" i="7" s="1"/>
  <c r="F4878" i="7" s="1"/>
  <c r="L4877" i="7"/>
  <c r="K4877" i="7"/>
  <c r="H4877" i="7"/>
  <c r="U4877" i="7" s="1"/>
  <c r="C4877" i="7"/>
  <c r="E4877" i="7" s="1"/>
  <c r="F4877" i="7" s="1"/>
  <c r="L4876" i="7"/>
  <c r="K4876" i="7"/>
  <c r="H4876" i="7"/>
  <c r="U4876" i="7" s="1"/>
  <c r="C4876" i="7"/>
  <c r="E4876" i="7" s="1"/>
  <c r="F4876" i="7" s="1"/>
  <c r="L4875" i="7"/>
  <c r="K4875" i="7"/>
  <c r="H4875" i="7"/>
  <c r="U4875" i="7" s="1"/>
  <c r="E4875" i="7"/>
  <c r="F4875" i="7" s="1"/>
  <c r="C4875" i="7"/>
  <c r="L4874" i="7"/>
  <c r="K4874" i="7"/>
  <c r="H4874" i="7"/>
  <c r="U4874" i="7" s="1"/>
  <c r="C4874" i="7"/>
  <c r="E4874" i="7" s="1"/>
  <c r="F4874" i="7" s="1"/>
  <c r="L4873" i="7"/>
  <c r="K4873" i="7"/>
  <c r="H4873" i="7"/>
  <c r="U4873" i="7" s="1"/>
  <c r="C4873" i="7"/>
  <c r="E4873" i="7" s="1"/>
  <c r="F4873" i="7" s="1"/>
  <c r="L4872" i="7"/>
  <c r="K4872" i="7"/>
  <c r="H4872" i="7"/>
  <c r="U4872" i="7" s="1"/>
  <c r="C4872" i="7"/>
  <c r="E4872" i="7" s="1"/>
  <c r="F4872" i="7" s="1"/>
  <c r="L4871" i="7"/>
  <c r="K4871" i="7"/>
  <c r="H4871" i="7"/>
  <c r="U4871" i="7" s="1"/>
  <c r="C4871" i="7"/>
  <c r="E4871" i="7" s="1"/>
  <c r="F4871" i="7" s="1"/>
  <c r="L4870" i="7"/>
  <c r="K4870" i="7"/>
  <c r="H4870" i="7"/>
  <c r="U4870" i="7" s="1"/>
  <c r="C4870" i="7"/>
  <c r="E4870" i="7" s="1"/>
  <c r="F4870" i="7" s="1"/>
  <c r="L4869" i="7"/>
  <c r="K4869" i="7"/>
  <c r="H4869" i="7"/>
  <c r="U4869" i="7" s="1"/>
  <c r="C4869" i="7"/>
  <c r="E4869" i="7" s="1"/>
  <c r="F4869" i="7" s="1"/>
  <c r="J4869" i="7" s="1"/>
  <c r="L4868" i="7"/>
  <c r="K4868" i="7"/>
  <c r="H4868" i="7"/>
  <c r="U4868" i="7" s="1"/>
  <c r="C4868" i="7"/>
  <c r="E4868" i="7" s="1"/>
  <c r="F4868" i="7" s="1"/>
  <c r="L4867" i="7"/>
  <c r="K4867" i="7"/>
  <c r="H4867" i="7"/>
  <c r="U4867" i="7" s="1"/>
  <c r="C4867" i="7"/>
  <c r="E4867" i="7" s="1"/>
  <c r="F4867" i="7" s="1"/>
  <c r="L4866" i="7"/>
  <c r="K4866" i="7"/>
  <c r="H4866" i="7"/>
  <c r="U4866" i="7" s="1"/>
  <c r="C4866" i="7"/>
  <c r="E4866" i="7" s="1"/>
  <c r="F4866" i="7" s="1"/>
  <c r="L4865" i="7"/>
  <c r="K4865" i="7"/>
  <c r="H4865" i="7"/>
  <c r="U4865" i="7" s="1"/>
  <c r="C4865" i="7"/>
  <c r="E4865" i="7" s="1"/>
  <c r="F4865" i="7" s="1"/>
  <c r="L4864" i="7"/>
  <c r="K4864" i="7"/>
  <c r="H4864" i="7"/>
  <c r="U4864" i="7" s="1"/>
  <c r="C4864" i="7"/>
  <c r="E4864" i="7" s="1"/>
  <c r="F4864" i="7" s="1"/>
  <c r="L4863" i="7"/>
  <c r="K4863" i="7"/>
  <c r="H4863" i="7"/>
  <c r="U4863" i="7" s="1"/>
  <c r="C4863" i="7"/>
  <c r="E4863" i="7" s="1"/>
  <c r="F4863" i="7" s="1"/>
  <c r="L4862" i="7"/>
  <c r="K4862" i="7"/>
  <c r="H4862" i="7"/>
  <c r="U4862" i="7" s="1"/>
  <c r="C4862" i="7"/>
  <c r="E4862" i="7" s="1"/>
  <c r="F4862" i="7" s="1"/>
  <c r="U4861" i="7"/>
  <c r="L4861" i="7"/>
  <c r="K4861" i="7"/>
  <c r="H4861" i="7"/>
  <c r="C4861" i="7"/>
  <c r="E4861" i="7" s="1"/>
  <c r="F4861" i="7" s="1"/>
  <c r="L4860" i="7"/>
  <c r="K4860" i="7"/>
  <c r="H4860" i="7"/>
  <c r="U4860" i="7" s="1"/>
  <c r="C4860" i="7"/>
  <c r="E4860" i="7" s="1"/>
  <c r="F4860" i="7" s="1"/>
  <c r="L4859" i="7"/>
  <c r="K4859" i="7"/>
  <c r="H4859" i="7"/>
  <c r="U4859" i="7" s="1"/>
  <c r="C4859" i="7"/>
  <c r="E4859" i="7" s="1"/>
  <c r="F4859" i="7" s="1"/>
  <c r="L4858" i="7"/>
  <c r="K4858" i="7"/>
  <c r="H4858" i="7"/>
  <c r="U4858" i="7" s="1"/>
  <c r="C4858" i="7"/>
  <c r="E4858" i="7" s="1"/>
  <c r="F4858" i="7" s="1"/>
  <c r="L4857" i="7"/>
  <c r="K4857" i="7"/>
  <c r="H4857" i="7"/>
  <c r="U4857" i="7" s="1"/>
  <c r="C4857" i="7"/>
  <c r="E4857" i="7" s="1"/>
  <c r="F4857" i="7" s="1"/>
  <c r="L4856" i="7"/>
  <c r="K4856" i="7"/>
  <c r="H4856" i="7"/>
  <c r="U4856" i="7" s="1"/>
  <c r="C4856" i="7"/>
  <c r="E4856" i="7" s="1"/>
  <c r="F4856" i="7" s="1"/>
  <c r="L4855" i="7"/>
  <c r="K4855" i="7"/>
  <c r="H4855" i="7"/>
  <c r="U4855" i="7" s="1"/>
  <c r="E4855" i="7"/>
  <c r="F4855" i="7" s="1"/>
  <c r="I4855" i="7" s="1"/>
  <c r="C4855" i="7"/>
  <c r="L4854" i="7"/>
  <c r="K4854" i="7"/>
  <c r="H4854" i="7"/>
  <c r="U4854" i="7" s="1"/>
  <c r="C4854" i="7"/>
  <c r="E4854" i="7" s="1"/>
  <c r="F4854" i="7" s="1"/>
  <c r="J4854" i="7" s="1"/>
  <c r="U4853" i="7"/>
  <c r="L4853" i="7"/>
  <c r="K4853" i="7"/>
  <c r="H4853" i="7"/>
  <c r="C4853" i="7"/>
  <c r="E4853" i="7" s="1"/>
  <c r="F4853" i="7" s="1"/>
  <c r="L4852" i="7"/>
  <c r="K4852" i="7"/>
  <c r="H4852" i="7"/>
  <c r="U4852" i="7" s="1"/>
  <c r="C4852" i="7"/>
  <c r="E4852" i="7" s="1"/>
  <c r="F4852" i="7" s="1"/>
  <c r="L4851" i="7"/>
  <c r="K4851" i="7"/>
  <c r="H4851" i="7"/>
  <c r="U4851" i="7" s="1"/>
  <c r="F4851" i="7"/>
  <c r="E4851" i="7"/>
  <c r="C4851" i="7"/>
  <c r="L4850" i="7"/>
  <c r="K4850" i="7"/>
  <c r="H4850" i="7"/>
  <c r="U4850" i="7" s="1"/>
  <c r="C4850" i="7"/>
  <c r="E4850" i="7" s="1"/>
  <c r="F4850" i="7" s="1"/>
  <c r="U4849" i="7"/>
  <c r="L4849" i="7"/>
  <c r="K4849" i="7"/>
  <c r="H4849" i="7"/>
  <c r="C4849" i="7"/>
  <c r="E4849" i="7" s="1"/>
  <c r="F4849" i="7" s="1"/>
  <c r="U4848" i="7"/>
  <c r="L4848" i="7"/>
  <c r="K4848" i="7"/>
  <c r="H4848" i="7"/>
  <c r="C4848" i="7"/>
  <c r="E4848" i="7" s="1"/>
  <c r="F4848" i="7" s="1"/>
  <c r="L4847" i="7"/>
  <c r="J4847" i="7" s="1"/>
  <c r="K4847" i="7"/>
  <c r="H4847" i="7"/>
  <c r="U4847" i="7" s="1"/>
  <c r="C4847" i="7"/>
  <c r="E4847" i="7" s="1"/>
  <c r="F4847" i="7" s="1"/>
  <c r="I4847" i="7" s="1"/>
  <c r="U4846" i="7"/>
  <c r="L4846" i="7"/>
  <c r="K4846" i="7"/>
  <c r="H4846" i="7"/>
  <c r="C4846" i="7"/>
  <c r="E4846" i="7" s="1"/>
  <c r="F4846" i="7" s="1"/>
  <c r="L4845" i="7"/>
  <c r="K4845" i="7"/>
  <c r="H4845" i="7"/>
  <c r="U4845" i="7" s="1"/>
  <c r="C4845" i="7"/>
  <c r="E4845" i="7" s="1"/>
  <c r="F4845" i="7" s="1"/>
  <c r="L4844" i="7"/>
  <c r="K4844" i="7"/>
  <c r="H4844" i="7"/>
  <c r="U4844" i="7" s="1"/>
  <c r="C4844" i="7"/>
  <c r="E4844" i="7" s="1"/>
  <c r="F4844" i="7" s="1"/>
  <c r="L4843" i="7"/>
  <c r="K4843" i="7"/>
  <c r="H4843" i="7"/>
  <c r="U4843" i="7" s="1"/>
  <c r="C4843" i="7"/>
  <c r="E4843" i="7" s="1"/>
  <c r="F4843" i="7" s="1"/>
  <c r="L4842" i="7"/>
  <c r="K4842" i="7"/>
  <c r="H4842" i="7"/>
  <c r="U4842" i="7" s="1"/>
  <c r="C4842" i="7"/>
  <c r="E4842" i="7" s="1"/>
  <c r="F4842" i="7" s="1"/>
  <c r="L4841" i="7"/>
  <c r="K4841" i="7"/>
  <c r="H4841" i="7"/>
  <c r="U4841" i="7" s="1"/>
  <c r="C4841" i="7"/>
  <c r="E4841" i="7" s="1"/>
  <c r="F4841" i="7" s="1"/>
  <c r="L4840" i="7"/>
  <c r="K4840" i="7"/>
  <c r="H4840" i="7"/>
  <c r="U4840" i="7" s="1"/>
  <c r="C4840" i="7"/>
  <c r="E4840" i="7" s="1"/>
  <c r="F4840" i="7" s="1"/>
  <c r="L4839" i="7"/>
  <c r="K4839" i="7"/>
  <c r="H4839" i="7"/>
  <c r="U4839" i="7" s="1"/>
  <c r="C4839" i="7"/>
  <c r="E4839" i="7" s="1"/>
  <c r="F4839" i="7" s="1"/>
  <c r="L4838" i="7"/>
  <c r="K4838" i="7"/>
  <c r="H4838" i="7"/>
  <c r="U4838" i="7" s="1"/>
  <c r="C4838" i="7"/>
  <c r="E4838" i="7" s="1"/>
  <c r="F4838" i="7" s="1"/>
  <c r="L4837" i="7"/>
  <c r="K4837" i="7"/>
  <c r="H4837" i="7"/>
  <c r="U4837" i="7" s="1"/>
  <c r="C4837" i="7"/>
  <c r="E4837" i="7" s="1"/>
  <c r="F4837" i="7" s="1"/>
  <c r="L4836" i="7"/>
  <c r="K4836" i="7"/>
  <c r="H4836" i="7"/>
  <c r="U4836" i="7" s="1"/>
  <c r="C4836" i="7"/>
  <c r="E4836" i="7" s="1"/>
  <c r="F4836" i="7" s="1"/>
  <c r="L4835" i="7"/>
  <c r="J4835" i="7" s="1"/>
  <c r="K4835" i="7"/>
  <c r="H4835" i="7"/>
  <c r="U4835" i="7" s="1"/>
  <c r="C4835" i="7"/>
  <c r="E4835" i="7" s="1"/>
  <c r="F4835" i="7" s="1"/>
  <c r="L4834" i="7"/>
  <c r="K4834" i="7"/>
  <c r="H4834" i="7"/>
  <c r="U4834" i="7" s="1"/>
  <c r="C4834" i="7"/>
  <c r="E4834" i="7" s="1"/>
  <c r="F4834" i="7" s="1"/>
  <c r="L4833" i="7"/>
  <c r="K4833" i="7"/>
  <c r="H4833" i="7"/>
  <c r="U4833" i="7" s="1"/>
  <c r="C4833" i="7"/>
  <c r="E4833" i="7" s="1"/>
  <c r="F4833" i="7" s="1"/>
  <c r="U4832" i="7"/>
  <c r="L4832" i="7"/>
  <c r="K4832" i="7"/>
  <c r="H4832" i="7"/>
  <c r="C4832" i="7"/>
  <c r="E4832" i="7" s="1"/>
  <c r="F4832" i="7" s="1"/>
  <c r="L4831" i="7"/>
  <c r="K4831" i="7"/>
  <c r="H4831" i="7"/>
  <c r="U4831" i="7" s="1"/>
  <c r="E4831" i="7"/>
  <c r="F4831" i="7" s="1"/>
  <c r="C4831" i="7"/>
  <c r="L4830" i="7"/>
  <c r="K4830" i="7"/>
  <c r="H4830" i="7"/>
  <c r="U4830" i="7" s="1"/>
  <c r="C4830" i="7"/>
  <c r="E4830" i="7" s="1"/>
  <c r="F4830" i="7" s="1"/>
  <c r="L4829" i="7"/>
  <c r="K4829" i="7"/>
  <c r="H4829" i="7"/>
  <c r="U4829" i="7" s="1"/>
  <c r="C4829" i="7"/>
  <c r="E4829" i="7" s="1"/>
  <c r="F4829" i="7" s="1"/>
  <c r="L4828" i="7"/>
  <c r="K4828" i="7"/>
  <c r="H4828" i="7"/>
  <c r="U4828" i="7" s="1"/>
  <c r="C4828" i="7"/>
  <c r="E4828" i="7" s="1"/>
  <c r="F4828" i="7" s="1"/>
  <c r="L4827" i="7"/>
  <c r="K4827" i="7"/>
  <c r="H4827" i="7"/>
  <c r="U4827" i="7" s="1"/>
  <c r="C4827" i="7"/>
  <c r="E4827" i="7" s="1"/>
  <c r="F4827" i="7" s="1"/>
  <c r="L4826" i="7"/>
  <c r="K4826" i="7"/>
  <c r="H4826" i="7"/>
  <c r="U4826" i="7" s="1"/>
  <c r="C4826" i="7"/>
  <c r="E4826" i="7" s="1"/>
  <c r="F4826" i="7" s="1"/>
  <c r="L4825" i="7"/>
  <c r="K4825" i="7"/>
  <c r="H4825" i="7"/>
  <c r="U4825" i="7" s="1"/>
  <c r="C4825" i="7"/>
  <c r="E4825" i="7" s="1"/>
  <c r="F4825" i="7" s="1"/>
  <c r="U4824" i="7"/>
  <c r="L4824" i="7"/>
  <c r="K4824" i="7"/>
  <c r="H4824" i="7"/>
  <c r="C4824" i="7"/>
  <c r="E4824" i="7" s="1"/>
  <c r="F4824" i="7" s="1"/>
  <c r="J4824" i="7" s="1"/>
  <c r="L4823" i="7"/>
  <c r="K4823" i="7"/>
  <c r="H4823" i="7"/>
  <c r="U4823" i="7" s="1"/>
  <c r="C4823" i="7"/>
  <c r="E4823" i="7" s="1"/>
  <c r="F4823" i="7" s="1"/>
  <c r="L4822" i="7"/>
  <c r="K4822" i="7"/>
  <c r="H4822" i="7"/>
  <c r="U4822" i="7" s="1"/>
  <c r="C4822" i="7"/>
  <c r="E4822" i="7" s="1"/>
  <c r="F4822" i="7" s="1"/>
  <c r="L4821" i="7"/>
  <c r="K4821" i="7"/>
  <c r="H4821" i="7"/>
  <c r="U4821" i="7" s="1"/>
  <c r="C4821" i="7"/>
  <c r="E4821" i="7" s="1"/>
  <c r="F4821" i="7" s="1"/>
  <c r="L4820" i="7"/>
  <c r="K4820" i="7"/>
  <c r="H4820" i="7"/>
  <c r="U4820" i="7" s="1"/>
  <c r="C4820" i="7"/>
  <c r="E4820" i="7" s="1"/>
  <c r="F4820" i="7" s="1"/>
  <c r="L4819" i="7"/>
  <c r="K4819" i="7"/>
  <c r="H4819" i="7"/>
  <c r="U4819" i="7" s="1"/>
  <c r="C4819" i="7"/>
  <c r="E4819" i="7" s="1"/>
  <c r="F4819" i="7" s="1"/>
  <c r="L4818" i="7"/>
  <c r="K4818" i="7"/>
  <c r="H4818" i="7"/>
  <c r="U4818" i="7" s="1"/>
  <c r="C4818" i="7"/>
  <c r="E4818" i="7" s="1"/>
  <c r="F4818" i="7" s="1"/>
  <c r="L4817" i="7"/>
  <c r="K4817" i="7"/>
  <c r="H4817" i="7"/>
  <c r="U4817" i="7" s="1"/>
  <c r="C4817" i="7"/>
  <c r="E4817" i="7" s="1"/>
  <c r="F4817" i="7" s="1"/>
  <c r="L4816" i="7"/>
  <c r="K4816" i="7"/>
  <c r="H4816" i="7"/>
  <c r="U4816" i="7" s="1"/>
  <c r="C4816" i="7"/>
  <c r="E4816" i="7" s="1"/>
  <c r="F4816" i="7" s="1"/>
  <c r="J4816" i="7" s="1"/>
  <c r="L4815" i="7"/>
  <c r="K4815" i="7"/>
  <c r="H4815" i="7"/>
  <c r="U4815" i="7" s="1"/>
  <c r="C4815" i="7"/>
  <c r="E4815" i="7" s="1"/>
  <c r="F4815" i="7" s="1"/>
  <c r="U4814" i="7"/>
  <c r="L4814" i="7"/>
  <c r="K4814" i="7"/>
  <c r="H4814" i="7"/>
  <c r="C4814" i="7"/>
  <c r="E4814" i="7" s="1"/>
  <c r="F4814" i="7" s="1"/>
  <c r="L4813" i="7"/>
  <c r="K4813" i="7"/>
  <c r="H4813" i="7"/>
  <c r="U4813" i="7" s="1"/>
  <c r="C4813" i="7"/>
  <c r="E4813" i="7" s="1"/>
  <c r="F4813" i="7" s="1"/>
  <c r="L4812" i="7"/>
  <c r="K4812" i="7"/>
  <c r="H4812" i="7"/>
  <c r="U4812" i="7" s="1"/>
  <c r="F4812" i="7"/>
  <c r="C4812" i="7"/>
  <c r="E4812" i="7" s="1"/>
  <c r="L4811" i="7"/>
  <c r="K4811" i="7"/>
  <c r="H4811" i="7"/>
  <c r="U4811" i="7" s="1"/>
  <c r="C4811" i="7"/>
  <c r="E4811" i="7" s="1"/>
  <c r="F4811" i="7" s="1"/>
  <c r="L4810" i="7"/>
  <c r="K4810" i="7"/>
  <c r="H4810" i="7"/>
  <c r="U4810" i="7" s="1"/>
  <c r="C4810" i="7"/>
  <c r="E4810" i="7" s="1"/>
  <c r="F4810" i="7" s="1"/>
  <c r="L4809" i="7"/>
  <c r="K4809" i="7"/>
  <c r="H4809" i="7"/>
  <c r="U4809" i="7" s="1"/>
  <c r="C4809" i="7"/>
  <c r="E4809" i="7" s="1"/>
  <c r="F4809" i="7" s="1"/>
  <c r="L4808" i="7"/>
  <c r="K4808" i="7"/>
  <c r="H4808" i="7"/>
  <c r="U4808" i="7" s="1"/>
  <c r="C4808" i="7"/>
  <c r="E4808" i="7" s="1"/>
  <c r="F4808" i="7" s="1"/>
  <c r="L4807" i="7"/>
  <c r="I4807" i="7" s="1"/>
  <c r="K4807" i="7"/>
  <c r="H4807" i="7"/>
  <c r="U4807" i="7" s="1"/>
  <c r="C4807" i="7"/>
  <c r="E4807" i="7" s="1"/>
  <c r="F4807" i="7" s="1"/>
  <c r="L4806" i="7"/>
  <c r="K4806" i="7"/>
  <c r="H4806" i="7"/>
  <c r="U4806" i="7" s="1"/>
  <c r="E4806" i="7"/>
  <c r="F4806" i="7" s="1"/>
  <c r="J4806" i="7" s="1"/>
  <c r="C4806" i="7"/>
  <c r="L4805" i="7"/>
  <c r="K4805" i="7"/>
  <c r="H4805" i="7"/>
  <c r="U4805" i="7" s="1"/>
  <c r="C4805" i="7"/>
  <c r="E4805" i="7" s="1"/>
  <c r="F4805" i="7" s="1"/>
  <c r="L4804" i="7"/>
  <c r="K4804" i="7"/>
  <c r="H4804" i="7"/>
  <c r="U4804" i="7" s="1"/>
  <c r="C4804" i="7"/>
  <c r="E4804" i="7" s="1"/>
  <c r="F4804" i="7" s="1"/>
  <c r="L4803" i="7"/>
  <c r="K4803" i="7"/>
  <c r="H4803" i="7"/>
  <c r="U4803" i="7" s="1"/>
  <c r="C4803" i="7"/>
  <c r="E4803" i="7" s="1"/>
  <c r="F4803" i="7" s="1"/>
  <c r="L4802" i="7"/>
  <c r="K4802" i="7"/>
  <c r="H4802" i="7"/>
  <c r="U4802" i="7" s="1"/>
  <c r="C4802" i="7"/>
  <c r="E4802" i="7" s="1"/>
  <c r="F4802" i="7" s="1"/>
  <c r="L4801" i="7"/>
  <c r="K4801" i="7"/>
  <c r="H4801" i="7"/>
  <c r="U4801" i="7" s="1"/>
  <c r="C4801" i="7"/>
  <c r="E4801" i="7" s="1"/>
  <c r="F4801" i="7" s="1"/>
  <c r="U4800" i="7"/>
  <c r="L4800" i="7"/>
  <c r="K4800" i="7"/>
  <c r="H4800" i="7"/>
  <c r="C4800" i="7"/>
  <c r="E4800" i="7" s="1"/>
  <c r="F4800" i="7" s="1"/>
  <c r="L4799" i="7"/>
  <c r="K4799" i="7"/>
  <c r="H4799" i="7"/>
  <c r="U4799" i="7" s="1"/>
  <c r="C4799" i="7"/>
  <c r="E4799" i="7" s="1"/>
  <c r="F4799" i="7" s="1"/>
  <c r="L4798" i="7"/>
  <c r="K4798" i="7"/>
  <c r="H4798" i="7"/>
  <c r="U4798" i="7" s="1"/>
  <c r="C4798" i="7"/>
  <c r="E4798" i="7" s="1"/>
  <c r="F4798" i="7" s="1"/>
  <c r="L4797" i="7"/>
  <c r="K4797" i="7"/>
  <c r="H4797" i="7"/>
  <c r="U4797" i="7" s="1"/>
  <c r="C4797" i="7"/>
  <c r="E4797" i="7" s="1"/>
  <c r="F4797" i="7" s="1"/>
  <c r="I4797" i="7" s="1"/>
  <c r="L4796" i="7"/>
  <c r="K4796" i="7"/>
  <c r="H4796" i="7"/>
  <c r="U4796" i="7" s="1"/>
  <c r="F4796" i="7"/>
  <c r="C4796" i="7"/>
  <c r="E4796" i="7" s="1"/>
  <c r="L4795" i="7"/>
  <c r="K4795" i="7"/>
  <c r="H4795" i="7"/>
  <c r="U4795" i="7" s="1"/>
  <c r="C4795" i="7"/>
  <c r="E4795" i="7" s="1"/>
  <c r="F4795" i="7" s="1"/>
  <c r="L4794" i="7"/>
  <c r="K4794" i="7"/>
  <c r="H4794" i="7"/>
  <c r="U4794" i="7" s="1"/>
  <c r="C4794" i="7"/>
  <c r="E4794" i="7" s="1"/>
  <c r="F4794" i="7" s="1"/>
  <c r="L4793" i="7"/>
  <c r="K4793" i="7"/>
  <c r="H4793" i="7"/>
  <c r="U4793" i="7" s="1"/>
  <c r="C4793" i="7"/>
  <c r="E4793" i="7" s="1"/>
  <c r="F4793" i="7" s="1"/>
  <c r="L4792" i="7"/>
  <c r="K4792" i="7"/>
  <c r="H4792" i="7"/>
  <c r="U4792" i="7" s="1"/>
  <c r="C4792" i="7"/>
  <c r="E4792" i="7" s="1"/>
  <c r="F4792" i="7" s="1"/>
  <c r="L4791" i="7"/>
  <c r="K4791" i="7"/>
  <c r="H4791" i="7"/>
  <c r="U4791" i="7" s="1"/>
  <c r="C4791" i="7"/>
  <c r="E4791" i="7" s="1"/>
  <c r="F4791" i="7" s="1"/>
  <c r="L4790" i="7"/>
  <c r="K4790" i="7"/>
  <c r="H4790" i="7"/>
  <c r="U4790" i="7" s="1"/>
  <c r="C4790" i="7"/>
  <c r="E4790" i="7" s="1"/>
  <c r="F4790" i="7" s="1"/>
  <c r="J4790" i="7" s="1"/>
  <c r="L4789" i="7"/>
  <c r="J4789" i="7" s="1"/>
  <c r="K4789" i="7"/>
  <c r="H4789" i="7"/>
  <c r="U4789" i="7" s="1"/>
  <c r="C4789" i="7"/>
  <c r="E4789" i="7" s="1"/>
  <c r="F4789" i="7" s="1"/>
  <c r="L4788" i="7"/>
  <c r="K4788" i="7"/>
  <c r="H4788" i="7"/>
  <c r="U4788" i="7" s="1"/>
  <c r="C4788" i="7"/>
  <c r="E4788" i="7" s="1"/>
  <c r="F4788" i="7" s="1"/>
  <c r="L4787" i="7"/>
  <c r="K4787" i="7"/>
  <c r="H4787" i="7"/>
  <c r="U4787" i="7" s="1"/>
  <c r="C4787" i="7"/>
  <c r="E4787" i="7" s="1"/>
  <c r="F4787" i="7" s="1"/>
  <c r="U4786" i="7"/>
  <c r="L4786" i="7"/>
  <c r="K4786" i="7"/>
  <c r="H4786" i="7"/>
  <c r="C4786" i="7"/>
  <c r="E4786" i="7" s="1"/>
  <c r="F4786" i="7" s="1"/>
  <c r="L4785" i="7"/>
  <c r="K4785" i="7"/>
  <c r="H4785" i="7"/>
  <c r="U4785" i="7" s="1"/>
  <c r="F4785" i="7"/>
  <c r="C4785" i="7"/>
  <c r="E4785" i="7" s="1"/>
  <c r="U4784" i="7"/>
  <c r="L4784" i="7"/>
  <c r="K4784" i="7"/>
  <c r="H4784" i="7"/>
  <c r="C4784" i="7"/>
  <c r="E4784" i="7" s="1"/>
  <c r="F4784" i="7" s="1"/>
  <c r="L4783" i="7"/>
  <c r="K4783" i="7"/>
  <c r="H4783" i="7"/>
  <c r="U4783" i="7" s="1"/>
  <c r="C4783" i="7"/>
  <c r="E4783" i="7" s="1"/>
  <c r="F4783" i="7" s="1"/>
  <c r="L4782" i="7"/>
  <c r="K4782" i="7"/>
  <c r="H4782" i="7"/>
  <c r="U4782" i="7" s="1"/>
  <c r="C4782" i="7"/>
  <c r="E4782" i="7" s="1"/>
  <c r="F4782" i="7" s="1"/>
  <c r="J4782" i="7" s="1"/>
  <c r="U4781" i="7"/>
  <c r="L4781" i="7"/>
  <c r="K4781" i="7"/>
  <c r="H4781" i="7"/>
  <c r="C4781" i="7"/>
  <c r="E4781" i="7" s="1"/>
  <c r="F4781" i="7" s="1"/>
  <c r="L4780" i="7"/>
  <c r="K4780" i="7"/>
  <c r="H4780" i="7"/>
  <c r="U4780" i="7" s="1"/>
  <c r="C4780" i="7"/>
  <c r="E4780" i="7" s="1"/>
  <c r="F4780" i="7" s="1"/>
  <c r="L4779" i="7"/>
  <c r="K4779" i="7"/>
  <c r="H4779" i="7"/>
  <c r="U4779" i="7" s="1"/>
  <c r="C4779" i="7"/>
  <c r="E4779" i="7" s="1"/>
  <c r="F4779" i="7" s="1"/>
  <c r="L4778" i="7"/>
  <c r="K4778" i="7"/>
  <c r="H4778" i="7"/>
  <c r="U4778" i="7" s="1"/>
  <c r="C4778" i="7"/>
  <c r="E4778" i="7" s="1"/>
  <c r="F4778" i="7" s="1"/>
  <c r="L4777" i="7"/>
  <c r="K4777" i="7"/>
  <c r="H4777" i="7"/>
  <c r="U4777" i="7" s="1"/>
  <c r="C4777" i="7"/>
  <c r="E4777" i="7" s="1"/>
  <c r="F4777" i="7" s="1"/>
  <c r="L4776" i="7"/>
  <c r="K4776" i="7"/>
  <c r="H4776" i="7"/>
  <c r="U4776" i="7" s="1"/>
  <c r="C4776" i="7"/>
  <c r="E4776" i="7" s="1"/>
  <c r="F4776" i="7" s="1"/>
  <c r="L4775" i="7"/>
  <c r="K4775" i="7"/>
  <c r="H4775" i="7"/>
  <c r="U4775" i="7" s="1"/>
  <c r="C4775" i="7"/>
  <c r="E4775" i="7" s="1"/>
  <c r="F4775" i="7" s="1"/>
  <c r="U4774" i="7"/>
  <c r="L4774" i="7"/>
  <c r="K4774" i="7"/>
  <c r="H4774" i="7"/>
  <c r="C4774" i="7"/>
  <c r="E4774" i="7" s="1"/>
  <c r="F4774" i="7" s="1"/>
  <c r="L4773" i="7"/>
  <c r="K4773" i="7"/>
  <c r="H4773" i="7"/>
  <c r="U4773" i="7" s="1"/>
  <c r="C4773" i="7"/>
  <c r="E4773" i="7" s="1"/>
  <c r="F4773" i="7" s="1"/>
  <c r="I4773" i="7" s="1"/>
  <c r="L4772" i="7"/>
  <c r="K4772" i="7"/>
  <c r="H4772" i="7"/>
  <c r="U4772" i="7" s="1"/>
  <c r="C4772" i="7"/>
  <c r="E4772" i="7" s="1"/>
  <c r="F4772" i="7" s="1"/>
  <c r="L4771" i="7"/>
  <c r="K4771" i="7"/>
  <c r="H4771" i="7"/>
  <c r="U4771" i="7" s="1"/>
  <c r="C4771" i="7"/>
  <c r="E4771" i="7" s="1"/>
  <c r="F4771" i="7" s="1"/>
  <c r="U4770" i="7"/>
  <c r="L4770" i="7"/>
  <c r="K4770" i="7"/>
  <c r="H4770" i="7"/>
  <c r="C4770" i="7"/>
  <c r="E4770" i="7" s="1"/>
  <c r="F4770" i="7" s="1"/>
  <c r="L4769" i="7"/>
  <c r="K4769" i="7"/>
  <c r="H4769" i="7"/>
  <c r="U4769" i="7" s="1"/>
  <c r="F4769" i="7"/>
  <c r="C4769" i="7"/>
  <c r="E4769" i="7" s="1"/>
  <c r="L4768" i="7"/>
  <c r="K4768" i="7"/>
  <c r="H4768" i="7"/>
  <c r="U4768" i="7" s="1"/>
  <c r="C4768" i="7"/>
  <c r="E4768" i="7" s="1"/>
  <c r="F4768" i="7" s="1"/>
  <c r="L4767" i="7"/>
  <c r="K4767" i="7"/>
  <c r="H4767" i="7"/>
  <c r="U4767" i="7" s="1"/>
  <c r="C4767" i="7"/>
  <c r="E4767" i="7" s="1"/>
  <c r="F4767" i="7" s="1"/>
  <c r="L4766" i="7"/>
  <c r="K4766" i="7"/>
  <c r="H4766" i="7"/>
  <c r="U4766" i="7" s="1"/>
  <c r="C4766" i="7"/>
  <c r="E4766" i="7" s="1"/>
  <c r="F4766" i="7" s="1"/>
  <c r="L4765" i="7"/>
  <c r="J4765" i="7" s="1"/>
  <c r="K4765" i="7"/>
  <c r="H4765" i="7"/>
  <c r="U4765" i="7" s="1"/>
  <c r="C4765" i="7"/>
  <c r="E4765" i="7" s="1"/>
  <c r="F4765" i="7" s="1"/>
  <c r="L4764" i="7"/>
  <c r="K4764" i="7"/>
  <c r="H4764" i="7"/>
  <c r="U4764" i="7" s="1"/>
  <c r="F4764" i="7"/>
  <c r="C4764" i="7"/>
  <c r="E4764" i="7" s="1"/>
  <c r="L4763" i="7"/>
  <c r="K4763" i="7"/>
  <c r="H4763" i="7"/>
  <c r="U4763" i="7" s="1"/>
  <c r="C4763" i="7"/>
  <c r="E4763" i="7" s="1"/>
  <c r="F4763" i="7" s="1"/>
  <c r="I4763" i="7" s="1"/>
  <c r="U4762" i="7"/>
  <c r="L4762" i="7"/>
  <c r="K4762" i="7"/>
  <c r="H4762" i="7"/>
  <c r="C4762" i="7"/>
  <c r="E4762" i="7" s="1"/>
  <c r="F4762" i="7" s="1"/>
  <c r="L4761" i="7"/>
  <c r="K4761" i="7"/>
  <c r="H4761" i="7"/>
  <c r="U4761" i="7" s="1"/>
  <c r="C4761" i="7"/>
  <c r="E4761" i="7" s="1"/>
  <c r="F4761" i="7" s="1"/>
  <c r="L4760" i="7"/>
  <c r="K4760" i="7"/>
  <c r="H4760" i="7"/>
  <c r="U4760" i="7" s="1"/>
  <c r="C4760" i="7"/>
  <c r="E4760" i="7" s="1"/>
  <c r="F4760" i="7" s="1"/>
  <c r="L4759" i="7"/>
  <c r="K4759" i="7"/>
  <c r="H4759" i="7"/>
  <c r="U4759" i="7" s="1"/>
  <c r="C4759" i="7"/>
  <c r="E4759" i="7" s="1"/>
  <c r="F4759" i="7" s="1"/>
  <c r="L4758" i="7"/>
  <c r="K4758" i="7"/>
  <c r="H4758" i="7"/>
  <c r="U4758" i="7" s="1"/>
  <c r="C4758" i="7"/>
  <c r="E4758" i="7" s="1"/>
  <c r="F4758" i="7" s="1"/>
  <c r="L4757" i="7"/>
  <c r="K4757" i="7"/>
  <c r="H4757" i="7"/>
  <c r="U4757" i="7" s="1"/>
  <c r="C4757" i="7"/>
  <c r="E4757" i="7" s="1"/>
  <c r="F4757" i="7" s="1"/>
  <c r="L4756" i="7"/>
  <c r="K4756" i="7"/>
  <c r="H4756" i="7"/>
  <c r="U4756" i="7" s="1"/>
  <c r="C4756" i="7"/>
  <c r="E4756" i="7" s="1"/>
  <c r="F4756" i="7" s="1"/>
  <c r="I4756" i="7" s="1"/>
  <c r="L4755" i="7"/>
  <c r="K4755" i="7"/>
  <c r="H4755" i="7"/>
  <c r="U4755" i="7" s="1"/>
  <c r="E4755" i="7"/>
  <c r="F4755" i="7" s="1"/>
  <c r="C4755" i="7"/>
  <c r="L4754" i="7"/>
  <c r="K4754" i="7"/>
  <c r="H4754" i="7"/>
  <c r="U4754" i="7" s="1"/>
  <c r="C4754" i="7"/>
  <c r="E4754" i="7" s="1"/>
  <c r="F4754" i="7" s="1"/>
  <c r="L4753" i="7"/>
  <c r="K4753" i="7"/>
  <c r="H4753" i="7"/>
  <c r="U4753" i="7" s="1"/>
  <c r="C4753" i="7"/>
  <c r="E4753" i="7" s="1"/>
  <c r="F4753" i="7" s="1"/>
  <c r="L4752" i="7"/>
  <c r="K4752" i="7"/>
  <c r="H4752" i="7"/>
  <c r="U4752" i="7" s="1"/>
  <c r="C4752" i="7"/>
  <c r="E4752" i="7" s="1"/>
  <c r="F4752" i="7" s="1"/>
  <c r="J4752" i="7" s="1"/>
  <c r="L4751" i="7"/>
  <c r="K4751" i="7"/>
  <c r="H4751" i="7"/>
  <c r="U4751" i="7" s="1"/>
  <c r="C4751" i="7"/>
  <c r="E4751" i="7" s="1"/>
  <c r="F4751" i="7" s="1"/>
  <c r="L4750" i="7"/>
  <c r="K4750" i="7"/>
  <c r="H4750" i="7"/>
  <c r="U4750" i="7" s="1"/>
  <c r="C4750" i="7"/>
  <c r="E4750" i="7" s="1"/>
  <c r="F4750" i="7" s="1"/>
  <c r="L4749" i="7"/>
  <c r="K4749" i="7"/>
  <c r="H4749" i="7"/>
  <c r="U4749" i="7" s="1"/>
  <c r="C4749" i="7"/>
  <c r="E4749" i="7" s="1"/>
  <c r="F4749" i="7" s="1"/>
  <c r="L4748" i="7"/>
  <c r="K4748" i="7"/>
  <c r="H4748" i="7"/>
  <c r="U4748" i="7" s="1"/>
  <c r="C4748" i="7"/>
  <c r="E4748" i="7" s="1"/>
  <c r="F4748" i="7" s="1"/>
  <c r="L4747" i="7"/>
  <c r="K4747" i="7"/>
  <c r="H4747" i="7"/>
  <c r="U4747" i="7" s="1"/>
  <c r="C4747" i="7"/>
  <c r="E4747" i="7" s="1"/>
  <c r="F4747" i="7" s="1"/>
  <c r="L4746" i="7"/>
  <c r="K4746" i="7"/>
  <c r="H4746" i="7"/>
  <c r="U4746" i="7" s="1"/>
  <c r="C4746" i="7"/>
  <c r="E4746" i="7" s="1"/>
  <c r="F4746" i="7" s="1"/>
  <c r="L4745" i="7"/>
  <c r="K4745" i="7"/>
  <c r="H4745" i="7"/>
  <c r="U4745" i="7" s="1"/>
  <c r="C4745" i="7"/>
  <c r="E4745" i="7" s="1"/>
  <c r="F4745" i="7" s="1"/>
  <c r="L4744" i="7"/>
  <c r="K4744" i="7"/>
  <c r="H4744" i="7"/>
  <c r="U4744" i="7" s="1"/>
  <c r="C4744" i="7"/>
  <c r="E4744" i="7" s="1"/>
  <c r="F4744" i="7" s="1"/>
  <c r="U4743" i="7"/>
  <c r="L4743" i="7"/>
  <c r="K4743" i="7"/>
  <c r="H4743" i="7"/>
  <c r="C4743" i="7"/>
  <c r="E4743" i="7" s="1"/>
  <c r="F4743" i="7" s="1"/>
  <c r="L4742" i="7"/>
  <c r="K4742" i="7"/>
  <c r="H4742" i="7"/>
  <c r="U4742" i="7" s="1"/>
  <c r="C4742" i="7"/>
  <c r="E4742" i="7" s="1"/>
  <c r="F4742" i="7" s="1"/>
  <c r="J4742" i="7" s="1"/>
  <c r="L4741" i="7"/>
  <c r="K4741" i="7"/>
  <c r="H4741" i="7"/>
  <c r="U4741" i="7" s="1"/>
  <c r="C4741" i="7"/>
  <c r="E4741" i="7" s="1"/>
  <c r="F4741" i="7" s="1"/>
  <c r="L4740" i="7"/>
  <c r="K4740" i="7"/>
  <c r="H4740" i="7"/>
  <c r="U4740" i="7" s="1"/>
  <c r="C4740" i="7"/>
  <c r="E4740" i="7" s="1"/>
  <c r="F4740" i="7" s="1"/>
  <c r="L4739" i="7"/>
  <c r="K4739" i="7"/>
  <c r="H4739" i="7"/>
  <c r="U4739" i="7" s="1"/>
  <c r="C4739" i="7"/>
  <c r="E4739" i="7" s="1"/>
  <c r="F4739" i="7" s="1"/>
  <c r="L4738" i="7"/>
  <c r="K4738" i="7"/>
  <c r="H4738" i="7"/>
  <c r="U4738" i="7" s="1"/>
  <c r="C4738" i="7"/>
  <c r="E4738" i="7" s="1"/>
  <c r="F4738" i="7" s="1"/>
  <c r="L4737" i="7"/>
  <c r="K4737" i="7"/>
  <c r="H4737" i="7"/>
  <c r="U4737" i="7" s="1"/>
  <c r="C4737" i="7"/>
  <c r="E4737" i="7" s="1"/>
  <c r="F4737" i="7" s="1"/>
  <c r="L4736" i="7"/>
  <c r="K4736" i="7"/>
  <c r="H4736" i="7"/>
  <c r="U4736" i="7" s="1"/>
  <c r="C4736" i="7"/>
  <c r="E4736" i="7" s="1"/>
  <c r="F4736" i="7" s="1"/>
  <c r="L4735" i="7"/>
  <c r="K4735" i="7"/>
  <c r="H4735" i="7"/>
  <c r="U4735" i="7" s="1"/>
  <c r="C4735" i="7"/>
  <c r="E4735" i="7" s="1"/>
  <c r="F4735" i="7" s="1"/>
  <c r="J4735" i="7" s="1"/>
  <c r="L4734" i="7"/>
  <c r="K4734" i="7"/>
  <c r="H4734" i="7"/>
  <c r="U4734" i="7" s="1"/>
  <c r="C4734" i="7"/>
  <c r="E4734" i="7" s="1"/>
  <c r="F4734" i="7" s="1"/>
  <c r="L4733" i="7"/>
  <c r="K4733" i="7"/>
  <c r="H4733" i="7"/>
  <c r="U4733" i="7" s="1"/>
  <c r="E4733" i="7"/>
  <c r="F4733" i="7" s="1"/>
  <c r="C4733" i="7"/>
  <c r="L4732" i="7"/>
  <c r="J4732" i="7" s="1"/>
  <c r="K4732" i="7"/>
  <c r="H4732" i="7"/>
  <c r="U4732" i="7" s="1"/>
  <c r="C4732" i="7"/>
  <c r="E4732" i="7" s="1"/>
  <c r="F4732" i="7" s="1"/>
  <c r="L4731" i="7"/>
  <c r="K4731" i="7"/>
  <c r="H4731" i="7"/>
  <c r="U4731" i="7" s="1"/>
  <c r="E4731" i="7"/>
  <c r="F4731" i="7" s="1"/>
  <c r="C4731" i="7"/>
  <c r="L4730" i="7"/>
  <c r="K4730" i="7"/>
  <c r="H4730" i="7"/>
  <c r="U4730" i="7" s="1"/>
  <c r="C4730" i="7"/>
  <c r="E4730" i="7" s="1"/>
  <c r="F4730" i="7" s="1"/>
  <c r="U4729" i="7"/>
  <c r="L4729" i="7"/>
  <c r="K4729" i="7"/>
  <c r="H4729" i="7"/>
  <c r="C4729" i="7"/>
  <c r="E4729" i="7" s="1"/>
  <c r="F4729" i="7" s="1"/>
  <c r="L4728" i="7"/>
  <c r="K4728" i="7"/>
  <c r="H4728" i="7"/>
  <c r="U4728" i="7" s="1"/>
  <c r="C4728" i="7"/>
  <c r="E4728" i="7" s="1"/>
  <c r="F4728" i="7" s="1"/>
  <c r="L4727" i="7"/>
  <c r="K4727" i="7"/>
  <c r="H4727" i="7"/>
  <c r="U4727" i="7" s="1"/>
  <c r="C4727" i="7"/>
  <c r="E4727" i="7" s="1"/>
  <c r="F4727" i="7" s="1"/>
  <c r="L4726" i="7"/>
  <c r="K4726" i="7"/>
  <c r="H4726" i="7"/>
  <c r="U4726" i="7" s="1"/>
  <c r="C4726" i="7"/>
  <c r="E4726" i="7" s="1"/>
  <c r="F4726" i="7" s="1"/>
  <c r="L4725" i="7"/>
  <c r="J4725" i="7" s="1"/>
  <c r="K4725" i="7"/>
  <c r="H4725" i="7"/>
  <c r="U4725" i="7" s="1"/>
  <c r="C4725" i="7"/>
  <c r="E4725" i="7" s="1"/>
  <c r="F4725" i="7" s="1"/>
  <c r="L4724" i="7"/>
  <c r="K4724" i="7"/>
  <c r="H4724" i="7"/>
  <c r="U4724" i="7" s="1"/>
  <c r="C4724" i="7"/>
  <c r="E4724" i="7" s="1"/>
  <c r="F4724" i="7" s="1"/>
  <c r="L4723" i="7"/>
  <c r="K4723" i="7"/>
  <c r="H4723" i="7"/>
  <c r="U4723" i="7" s="1"/>
  <c r="C4723" i="7"/>
  <c r="E4723" i="7" s="1"/>
  <c r="F4723" i="7" s="1"/>
  <c r="L4722" i="7"/>
  <c r="K4722" i="7"/>
  <c r="H4722" i="7"/>
  <c r="U4722" i="7" s="1"/>
  <c r="C4722" i="7"/>
  <c r="E4722" i="7" s="1"/>
  <c r="F4722" i="7" s="1"/>
  <c r="L4721" i="7"/>
  <c r="K4721" i="7"/>
  <c r="H4721" i="7"/>
  <c r="U4721" i="7" s="1"/>
  <c r="C4721" i="7"/>
  <c r="E4721" i="7" s="1"/>
  <c r="F4721" i="7" s="1"/>
  <c r="L4720" i="7"/>
  <c r="K4720" i="7"/>
  <c r="H4720" i="7"/>
  <c r="U4720" i="7" s="1"/>
  <c r="C4720" i="7"/>
  <c r="E4720" i="7" s="1"/>
  <c r="F4720" i="7" s="1"/>
  <c r="U4719" i="7"/>
  <c r="L4719" i="7"/>
  <c r="K4719" i="7"/>
  <c r="H4719" i="7"/>
  <c r="C4719" i="7"/>
  <c r="E4719" i="7" s="1"/>
  <c r="F4719" i="7" s="1"/>
  <c r="L4718" i="7"/>
  <c r="K4718" i="7"/>
  <c r="H4718" i="7"/>
  <c r="U4718" i="7" s="1"/>
  <c r="C4718" i="7"/>
  <c r="E4718" i="7" s="1"/>
  <c r="F4718" i="7" s="1"/>
  <c r="L4717" i="7"/>
  <c r="K4717" i="7"/>
  <c r="H4717" i="7"/>
  <c r="U4717" i="7" s="1"/>
  <c r="C4717" i="7"/>
  <c r="E4717" i="7" s="1"/>
  <c r="F4717" i="7" s="1"/>
  <c r="L4716" i="7"/>
  <c r="K4716" i="7"/>
  <c r="H4716" i="7"/>
  <c r="U4716" i="7" s="1"/>
  <c r="C4716" i="7"/>
  <c r="E4716" i="7" s="1"/>
  <c r="F4716" i="7" s="1"/>
  <c r="L4715" i="7"/>
  <c r="J4715" i="7" s="1"/>
  <c r="K4715" i="7"/>
  <c r="H4715" i="7"/>
  <c r="U4715" i="7" s="1"/>
  <c r="C4715" i="7"/>
  <c r="E4715" i="7" s="1"/>
  <c r="F4715" i="7" s="1"/>
  <c r="L4714" i="7"/>
  <c r="K4714" i="7"/>
  <c r="H4714" i="7"/>
  <c r="U4714" i="7" s="1"/>
  <c r="C4714" i="7"/>
  <c r="E4714" i="7" s="1"/>
  <c r="F4714" i="7" s="1"/>
  <c r="L4713" i="7"/>
  <c r="K4713" i="7"/>
  <c r="H4713" i="7"/>
  <c r="U4713" i="7" s="1"/>
  <c r="C4713" i="7"/>
  <c r="E4713" i="7" s="1"/>
  <c r="F4713" i="7" s="1"/>
  <c r="U4712" i="7"/>
  <c r="L4712" i="7"/>
  <c r="K4712" i="7"/>
  <c r="H4712" i="7"/>
  <c r="C4712" i="7"/>
  <c r="E4712" i="7" s="1"/>
  <c r="F4712" i="7" s="1"/>
  <c r="L4711" i="7"/>
  <c r="K4711" i="7"/>
  <c r="H4711" i="7"/>
  <c r="U4711" i="7" s="1"/>
  <c r="C4711" i="7"/>
  <c r="E4711" i="7" s="1"/>
  <c r="F4711" i="7" s="1"/>
  <c r="L4710" i="7"/>
  <c r="K4710" i="7"/>
  <c r="H4710" i="7"/>
  <c r="U4710" i="7" s="1"/>
  <c r="E4710" i="7"/>
  <c r="F4710" i="7" s="1"/>
  <c r="C4710" i="7"/>
  <c r="L4709" i="7"/>
  <c r="K4709" i="7"/>
  <c r="H4709" i="7"/>
  <c r="U4709" i="7" s="1"/>
  <c r="C4709" i="7"/>
  <c r="E4709" i="7" s="1"/>
  <c r="F4709" i="7" s="1"/>
  <c r="L4708" i="7"/>
  <c r="K4708" i="7"/>
  <c r="H4708" i="7"/>
  <c r="U4708" i="7" s="1"/>
  <c r="C4708" i="7"/>
  <c r="E4708" i="7" s="1"/>
  <c r="F4708" i="7" s="1"/>
  <c r="L4707" i="7"/>
  <c r="K4707" i="7"/>
  <c r="H4707" i="7"/>
  <c r="U4707" i="7" s="1"/>
  <c r="C4707" i="7"/>
  <c r="E4707" i="7" s="1"/>
  <c r="F4707" i="7" s="1"/>
  <c r="L4706" i="7"/>
  <c r="K4706" i="7"/>
  <c r="H4706" i="7"/>
  <c r="U4706" i="7" s="1"/>
  <c r="C4706" i="7"/>
  <c r="E4706" i="7" s="1"/>
  <c r="F4706" i="7" s="1"/>
  <c r="L4705" i="7"/>
  <c r="K4705" i="7"/>
  <c r="H4705" i="7"/>
  <c r="U4705" i="7" s="1"/>
  <c r="C4705" i="7"/>
  <c r="E4705" i="7" s="1"/>
  <c r="F4705" i="7" s="1"/>
  <c r="I4705" i="7" s="1"/>
  <c r="L4704" i="7"/>
  <c r="K4704" i="7"/>
  <c r="H4704" i="7"/>
  <c r="U4704" i="7" s="1"/>
  <c r="C4704" i="7"/>
  <c r="E4704" i="7" s="1"/>
  <c r="F4704" i="7" s="1"/>
  <c r="L4703" i="7"/>
  <c r="K4703" i="7"/>
  <c r="H4703" i="7"/>
  <c r="U4703" i="7" s="1"/>
  <c r="C4703" i="7"/>
  <c r="E4703" i="7" s="1"/>
  <c r="F4703" i="7" s="1"/>
  <c r="L4702" i="7"/>
  <c r="K4702" i="7"/>
  <c r="H4702" i="7"/>
  <c r="U4702" i="7" s="1"/>
  <c r="C4702" i="7"/>
  <c r="E4702" i="7" s="1"/>
  <c r="F4702" i="7" s="1"/>
  <c r="L4701" i="7"/>
  <c r="K4701" i="7"/>
  <c r="H4701" i="7"/>
  <c r="U4701" i="7" s="1"/>
  <c r="C4701" i="7"/>
  <c r="E4701" i="7" s="1"/>
  <c r="F4701" i="7" s="1"/>
  <c r="J4701" i="7" s="1"/>
  <c r="L4700" i="7"/>
  <c r="K4700" i="7"/>
  <c r="H4700" i="7"/>
  <c r="U4700" i="7" s="1"/>
  <c r="F4700" i="7"/>
  <c r="C4700" i="7"/>
  <c r="E4700" i="7" s="1"/>
  <c r="L4699" i="7"/>
  <c r="K4699" i="7"/>
  <c r="H4699" i="7"/>
  <c r="U4699" i="7" s="1"/>
  <c r="C4699" i="7"/>
  <c r="E4699" i="7" s="1"/>
  <c r="F4699" i="7" s="1"/>
  <c r="L4698" i="7"/>
  <c r="K4698" i="7"/>
  <c r="I4698" i="7"/>
  <c r="H4698" i="7"/>
  <c r="U4698" i="7" s="1"/>
  <c r="C4698" i="7"/>
  <c r="E4698" i="7" s="1"/>
  <c r="F4698" i="7" s="1"/>
  <c r="L4697" i="7"/>
  <c r="K4697" i="7"/>
  <c r="H4697" i="7"/>
  <c r="U4697" i="7" s="1"/>
  <c r="C4697" i="7"/>
  <c r="E4697" i="7" s="1"/>
  <c r="F4697" i="7" s="1"/>
  <c r="L4696" i="7"/>
  <c r="K4696" i="7"/>
  <c r="H4696" i="7"/>
  <c r="U4696" i="7" s="1"/>
  <c r="C4696" i="7"/>
  <c r="E4696" i="7" s="1"/>
  <c r="F4696" i="7" s="1"/>
  <c r="L4695" i="7"/>
  <c r="J4695" i="7" s="1"/>
  <c r="K4695" i="7"/>
  <c r="H4695" i="7"/>
  <c r="U4695" i="7" s="1"/>
  <c r="E4695" i="7"/>
  <c r="F4695" i="7" s="1"/>
  <c r="C4695" i="7"/>
  <c r="U4694" i="7"/>
  <c r="L4694" i="7"/>
  <c r="K4694" i="7"/>
  <c r="H4694" i="7"/>
  <c r="C4694" i="7"/>
  <c r="E4694" i="7" s="1"/>
  <c r="F4694" i="7" s="1"/>
  <c r="L4693" i="7"/>
  <c r="K4693" i="7"/>
  <c r="H4693" i="7"/>
  <c r="U4693" i="7" s="1"/>
  <c r="E4693" i="7"/>
  <c r="F4693" i="7" s="1"/>
  <c r="C4693" i="7"/>
  <c r="L4692" i="7"/>
  <c r="K4692" i="7"/>
  <c r="H4692" i="7"/>
  <c r="U4692" i="7" s="1"/>
  <c r="C4692" i="7"/>
  <c r="E4692" i="7" s="1"/>
  <c r="F4692" i="7" s="1"/>
  <c r="L4691" i="7"/>
  <c r="K4691" i="7"/>
  <c r="H4691" i="7"/>
  <c r="U4691" i="7" s="1"/>
  <c r="C4691" i="7"/>
  <c r="E4691" i="7" s="1"/>
  <c r="F4691" i="7" s="1"/>
  <c r="L4690" i="7"/>
  <c r="K4690" i="7"/>
  <c r="H4690" i="7"/>
  <c r="U4690" i="7" s="1"/>
  <c r="C4690" i="7"/>
  <c r="E4690" i="7" s="1"/>
  <c r="F4690" i="7" s="1"/>
  <c r="L4689" i="7"/>
  <c r="K4689" i="7"/>
  <c r="H4689" i="7"/>
  <c r="U4689" i="7" s="1"/>
  <c r="C4689" i="7"/>
  <c r="E4689" i="7" s="1"/>
  <c r="F4689" i="7" s="1"/>
  <c r="L4688" i="7"/>
  <c r="K4688" i="7"/>
  <c r="H4688" i="7"/>
  <c r="U4688" i="7" s="1"/>
  <c r="C4688" i="7"/>
  <c r="E4688" i="7" s="1"/>
  <c r="F4688" i="7" s="1"/>
  <c r="U4687" i="7"/>
  <c r="L4687" i="7"/>
  <c r="K4687" i="7"/>
  <c r="H4687" i="7"/>
  <c r="C4687" i="7"/>
  <c r="E4687" i="7" s="1"/>
  <c r="F4687" i="7" s="1"/>
  <c r="L4686" i="7"/>
  <c r="K4686" i="7"/>
  <c r="H4686" i="7"/>
  <c r="U4686" i="7" s="1"/>
  <c r="C4686" i="7"/>
  <c r="E4686" i="7" s="1"/>
  <c r="F4686" i="7" s="1"/>
  <c r="L4685" i="7"/>
  <c r="K4685" i="7"/>
  <c r="H4685" i="7"/>
  <c r="U4685" i="7" s="1"/>
  <c r="C4685" i="7"/>
  <c r="E4685" i="7" s="1"/>
  <c r="F4685" i="7" s="1"/>
  <c r="L4684" i="7"/>
  <c r="K4684" i="7"/>
  <c r="H4684" i="7"/>
  <c r="U4684" i="7" s="1"/>
  <c r="C4684" i="7"/>
  <c r="E4684" i="7" s="1"/>
  <c r="F4684" i="7" s="1"/>
  <c r="L4683" i="7"/>
  <c r="K4683" i="7"/>
  <c r="H4683" i="7"/>
  <c r="U4683" i="7" s="1"/>
  <c r="C4683" i="7"/>
  <c r="E4683" i="7" s="1"/>
  <c r="F4683" i="7" s="1"/>
  <c r="L4682" i="7"/>
  <c r="K4682" i="7"/>
  <c r="H4682" i="7"/>
  <c r="U4682" i="7" s="1"/>
  <c r="C4682" i="7"/>
  <c r="E4682" i="7" s="1"/>
  <c r="F4682" i="7" s="1"/>
  <c r="L4681" i="7"/>
  <c r="K4681" i="7"/>
  <c r="H4681" i="7"/>
  <c r="U4681" i="7" s="1"/>
  <c r="C4681" i="7"/>
  <c r="E4681" i="7" s="1"/>
  <c r="F4681" i="7" s="1"/>
  <c r="I4681" i="7" s="1"/>
  <c r="U4680" i="7"/>
  <c r="L4680" i="7"/>
  <c r="K4680" i="7"/>
  <c r="H4680" i="7"/>
  <c r="C4680" i="7"/>
  <c r="E4680" i="7" s="1"/>
  <c r="F4680" i="7" s="1"/>
  <c r="L4679" i="7"/>
  <c r="K4679" i="7"/>
  <c r="H4679" i="7"/>
  <c r="U4679" i="7" s="1"/>
  <c r="C4679" i="7"/>
  <c r="E4679" i="7" s="1"/>
  <c r="F4679" i="7" s="1"/>
  <c r="L4678" i="7"/>
  <c r="K4678" i="7"/>
  <c r="H4678" i="7"/>
  <c r="U4678" i="7" s="1"/>
  <c r="C4678" i="7"/>
  <c r="E4678" i="7" s="1"/>
  <c r="F4678" i="7" s="1"/>
  <c r="L4677" i="7"/>
  <c r="K4677" i="7"/>
  <c r="H4677" i="7"/>
  <c r="U4677" i="7" s="1"/>
  <c r="C4677" i="7"/>
  <c r="E4677" i="7" s="1"/>
  <c r="F4677" i="7" s="1"/>
  <c r="L4676" i="7"/>
  <c r="K4676" i="7"/>
  <c r="H4676" i="7"/>
  <c r="U4676" i="7" s="1"/>
  <c r="C4676" i="7"/>
  <c r="E4676" i="7" s="1"/>
  <c r="F4676" i="7" s="1"/>
  <c r="L4675" i="7"/>
  <c r="K4675" i="7"/>
  <c r="H4675" i="7"/>
  <c r="U4675" i="7" s="1"/>
  <c r="C4675" i="7"/>
  <c r="E4675" i="7" s="1"/>
  <c r="F4675" i="7" s="1"/>
  <c r="L4674" i="7"/>
  <c r="K4674" i="7"/>
  <c r="H4674" i="7"/>
  <c r="U4674" i="7" s="1"/>
  <c r="C4674" i="7"/>
  <c r="E4674" i="7" s="1"/>
  <c r="F4674" i="7" s="1"/>
  <c r="L4673" i="7"/>
  <c r="K4673" i="7"/>
  <c r="H4673" i="7"/>
  <c r="U4673" i="7" s="1"/>
  <c r="C4673" i="7"/>
  <c r="E4673" i="7" s="1"/>
  <c r="F4673" i="7" s="1"/>
  <c r="L4672" i="7"/>
  <c r="K4672" i="7"/>
  <c r="H4672" i="7"/>
  <c r="U4672" i="7" s="1"/>
  <c r="C4672" i="7"/>
  <c r="E4672" i="7" s="1"/>
  <c r="F4672" i="7" s="1"/>
  <c r="L4671" i="7"/>
  <c r="K4671" i="7"/>
  <c r="H4671" i="7"/>
  <c r="U4671" i="7" s="1"/>
  <c r="C4671" i="7"/>
  <c r="E4671" i="7" s="1"/>
  <c r="F4671" i="7" s="1"/>
  <c r="L4670" i="7"/>
  <c r="K4670" i="7"/>
  <c r="H4670" i="7"/>
  <c r="U4670" i="7" s="1"/>
  <c r="C4670" i="7"/>
  <c r="E4670" i="7" s="1"/>
  <c r="F4670" i="7" s="1"/>
  <c r="L4669" i="7"/>
  <c r="K4669" i="7"/>
  <c r="H4669" i="7"/>
  <c r="U4669" i="7" s="1"/>
  <c r="C4669" i="7"/>
  <c r="E4669" i="7" s="1"/>
  <c r="F4669" i="7" s="1"/>
  <c r="U4668" i="7"/>
  <c r="L4668" i="7"/>
  <c r="K4668" i="7"/>
  <c r="H4668" i="7"/>
  <c r="F4668" i="7"/>
  <c r="C4668" i="7"/>
  <c r="E4668" i="7" s="1"/>
  <c r="L4667" i="7"/>
  <c r="K4667" i="7"/>
  <c r="H4667" i="7"/>
  <c r="U4667" i="7" s="1"/>
  <c r="C4667" i="7"/>
  <c r="E4667" i="7" s="1"/>
  <c r="F4667" i="7" s="1"/>
  <c r="L4666" i="7"/>
  <c r="K4666" i="7"/>
  <c r="H4666" i="7"/>
  <c r="U4666" i="7" s="1"/>
  <c r="C4666" i="7"/>
  <c r="E4666" i="7" s="1"/>
  <c r="F4666" i="7" s="1"/>
  <c r="L4665" i="7"/>
  <c r="K4665" i="7"/>
  <c r="H4665" i="7"/>
  <c r="U4665" i="7" s="1"/>
  <c r="C4665" i="7"/>
  <c r="E4665" i="7" s="1"/>
  <c r="F4665" i="7" s="1"/>
  <c r="U4664" i="7"/>
  <c r="L4664" i="7"/>
  <c r="K4664" i="7"/>
  <c r="H4664" i="7"/>
  <c r="C4664" i="7"/>
  <c r="E4664" i="7" s="1"/>
  <c r="F4664" i="7" s="1"/>
  <c r="L4663" i="7"/>
  <c r="K4663" i="7"/>
  <c r="H4663" i="7"/>
  <c r="U4663" i="7" s="1"/>
  <c r="C4663" i="7"/>
  <c r="E4663" i="7" s="1"/>
  <c r="F4663" i="7" s="1"/>
  <c r="L4662" i="7"/>
  <c r="K4662" i="7"/>
  <c r="H4662" i="7"/>
  <c r="U4662" i="7" s="1"/>
  <c r="F4662" i="7"/>
  <c r="C4662" i="7"/>
  <c r="E4662" i="7" s="1"/>
  <c r="L4661" i="7"/>
  <c r="K4661" i="7"/>
  <c r="H4661" i="7"/>
  <c r="U4661" i="7" s="1"/>
  <c r="C4661" i="7"/>
  <c r="E4661" i="7" s="1"/>
  <c r="F4661" i="7" s="1"/>
  <c r="L4660" i="7"/>
  <c r="K4660" i="7"/>
  <c r="H4660" i="7"/>
  <c r="U4660" i="7" s="1"/>
  <c r="C4660" i="7"/>
  <c r="E4660" i="7" s="1"/>
  <c r="F4660" i="7" s="1"/>
  <c r="L4659" i="7"/>
  <c r="K4659" i="7"/>
  <c r="H4659" i="7"/>
  <c r="U4659" i="7" s="1"/>
  <c r="E4659" i="7"/>
  <c r="F4659" i="7" s="1"/>
  <c r="I4659" i="7" s="1"/>
  <c r="C4659" i="7"/>
  <c r="L4658" i="7"/>
  <c r="K4658" i="7"/>
  <c r="H4658" i="7"/>
  <c r="U4658" i="7" s="1"/>
  <c r="F4658" i="7"/>
  <c r="C4658" i="7"/>
  <c r="E4658" i="7" s="1"/>
  <c r="L4657" i="7"/>
  <c r="K4657" i="7"/>
  <c r="H4657" i="7"/>
  <c r="U4657" i="7" s="1"/>
  <c r="C4657" i="7"/>
  <c r="E4657" i="7" s="1"/>
  <c r="F4657" i="7" s="1"/>
  <c r="L4656" i="7"/>
  <c r="K4656" i="7"/>
  <c r="H4656" i="7"/>
  <c r="U4656" i="7" s="1"/>
  <c r="C4656" i="7"/>
  <c r="E4656" i="7" s="1"/>
  <c r="F4656" i="7" s="1"/>
  <c r="L4655" i="7"/>
  <c r="K4655" i="7"/>
  <c r="H4655" i="7"/>
  <c r="U4655" i="7" s="1"/>
  <c r="C4655" i="7"/>
  <c r="E4655" i="7" s="1"/>
  <c r="F4655" i="7" s="1"/>
  <c r="L4654" i="7"/>
  <c r="K4654" i="7"/>
  <c r="H4654" i="7"/>
  <c r="U4654" i="7" s="1"/>
  <c r="C4654" i="7"/>
  <c r="E4654" i="7" s="1"/>
  <c r="F4654" i="7" s="1"/>
  <c r="L4653" i="7"/>
  <c r="K4653" i="7"/>
  <c r="H4653" i="7"/>
  <c r="U4653" i="7" s="1"/>
  <c r="C4653" i="7"/>
  <c r="E4653" i="7" s="1"/>
  <c r="F4653" i="7" s="1"/>
  <c r="J4653" i="7" s="1"/>
  <c r="L4652" i="7"/>
  <c r="K4652" i="7"/>
  <c r="H4652" i="7"/>
  <c r="U4652" i="7" s="1"/>
  <c r="C4652" i="7"/>
  <c r="E4652" i="7" s="1"/>
  <c r="F4652" i="7" s="1"/>
  <c r="L4651" i="7"/>
  <c r="K4651" i="7"/>
  <c r="H4651" i="7"/>
  <c r="U4651" i="7" s="1"/>
  <c r="C4651" i="7"/>
  <c r="E4651" i="7" s="1"/>
  <c r="F4651" i="7" s="1"/>
  <c r="L4650" i="7"/>
  <c r="K4650" i="7"/>
  <c r="H4650" i="7"/>
  <c r="U4650" i="7" s="1"/>
  <c r="F4650" i="7"/>
  <c r="I4650" i="7" s="1"/>
  <c r="C4650" i="7"/>
  <c r="E4650" i="7" s="1"/>
  <c r="L4649" i="7"/>
  <c r="K4649" i="7"/>
  <c r="H4649" i="7"/>
  <c r="U4649" i="7" s="1"/>
  <c r="C4649" i="7"/>
  <c r="E4649" i="7" s="1"/>
  <c r="F4649" i="7" s="1"/>
  <c r="L4648" i="7"/>
  <c r="K4648" i="7"/>
  <c r="H4648" i="7"/>
  <c r="U4648" i="7" s="1"/>
  <c r="C4648" i="7"/>
  <c r="E4648" i="7" s="1"/>
  <c r="F4648" i="7" s="1"/>
  <c r="L4647" i="7"/>
  <c r="K4647" i="7"/>
  <c r="H4647" i="7"/>
  <c r="U4647" i="7" s="1"/>
  <c r="C4647" i="7"/>
  <c r="E4647" i="7" s="1"/>
  <c r="F4647" i="7" s="1"/>
  <c r="L4646" i="7"/>
  <c r="K4646" i="7"/>
  <c r="H4646" i="7"/>
  <c r="U4646" i="7" s="1"/>
  <c r="C4646" i="7"/>
  <c r="E4646" i="7" s="1"/>
  <c r="F4646" i="7" s="1"/>
  <c r="J4646" i="7" s="1"/>
  <c r="L4645" i="7"/>
  <c r="K4645" i="7"/>
  <c r="H4645" i="7"/>
  <c r="U4645" i="7" s="1"/>
  <c r="E4645" i="7"/>
  <c r="F4645" i="7" s="1"/>
  <c r="I4645" i="7" s="1"/>
  <c r="C4645" i="7"/>
  <c r="L4644" i="7"/>
  <c r="K4644" i="7"/>
  <c r="H4644" i="7"/>
  <c r="U4644" i="7" s="1"/>
  <c r="C4644" i="7"/>
  <c r="E4644" i="7" s="1"/>
  <c r="F4644" i="7" s="1"/>
  <c r="L4643" i="7"/>
  <c r="K4643" i="7"/>
  <c r="H4643" i="7"/>
  <c r="U4643" i="7" s="1"/>
  <c r="C4643" i="7"/>
  <c r="E4643" i="7" s="1"/>
  <c r="F4643" i="7" s="1"/>
  <c r="L4642" i="7"/>
  <c r="K4642" i="7"/>
  <c r="H4642" i="7"/>
  <c r="U4642" i="7" s="1"/>
  <c r="C4642" i="7"/>
  <c r="E4642" i="7" s="1"/>
  <c r="F4642" i="7" s="1"/>
  <c r="L4641" i="7"/>
  <c r="K4641" i="7"/>
  <c r="H4641" i="7"/>
  <c r="U4641" i="7" s="1"/>
  <c r="C4641" i="7"/>
  <c r="E4641" i="7" s="1"/>
  <c r="F4641" i="7" s="1"/>
  <c r="L4640" i="7"/>
  <c r="K4640" i="7"/>
  <c r="H4640" i="7"/>
  <c r="U4640" i="7" s="1"/>
  <c r="C4640" i="7"/>
  <c r="E4640" i="7" s="1"/>
  <c r="F4640" i="7" s="1"/>
  <c r="L4639" i="7"/>
  <c r="K4639" i="7"/>
  <c r="H4639" i="7"/>
  <c r="U4639" i="7" s="1"/>
  <c r="C4639" i="7"/>
  <c r="E4639" i="7" s="1"/>
  <c r="F4639" i="7" s="1"/>
  <c r="L4638" i="7"/>
  <c r="K4638" i="7"/>
  <c r="H4638" i="7"/>
  <c r="U4638" i="7" s="1"/>
  <c r="C4638" i="7"/>
  <c r="E4638" i="7" s="1"/>
  <c r="F4638" i="7" s="1"/>
  <c r="L4637" i="7"/>
  <c r="K4637" i="7"/>
  <c r="H4637" i="7"/>
  <c r="U4637" i="7" s="1"/>
  <c r="C4637" i="7"/>
  <c r="E4637" i="7" s="1"/>
  <c r="F4637" i="7" s="1"/>
  <c r="L4636" i="7"/>
  <c r="K4636" i="7"/>
  <c r="H4636" i="7"/>
  <c r="U4636" i="7" s="1"/>
  <c r="F4636" i="7"/>
  <c r="J4636" i="7" s="1"/>
  <c r="C4636" i="7"/>
  <c r="E4636" i="7" s="1"/>
  <c r="L4635" i="7"/>
  <c r="K4635" i="7"/>
  <c r="H4635" i="7"/>
  <c r="U4635" i="7" s="1"/>
  <c r="C4635" i="7"/>
  <c r="E4635" i="7" s="1"/>
  <c r="F4635" i="7" s="1"/>
  <c r="L4634" i="7"/>
  <c r="K4634" i="7"/>
  <c r="H4634" i="7"/>
  <c r="U4634" i="7" s="1"/>
  <c r="C4634" i="7"/>
  <c r="E4634" i="7" s="1"/>
  <c r="F4634" i="7" s="1"/>
  <c r="L4633" i="7"/>
  <c r="K4633" i="7"/>
  <c r="H4633" i="7"/>
  <c r="U4633" i="7" s="1"/>
  <c r="C4633" i="7"/>
  <c r="E4633" i="7" s="1"/>
  <c r="F4633" i="7" s="1"/>
  <c r="L4632" i="7"/>
  <c r="K4632" i="7"/>
  <c r="H4632" i="7"/>
  <c r="U4632" i="7" s="1"/>
  <c r="C4632" i="7"/>
  <c r="E4632" i="7" s="1"/>
  <c r="F4632" i="7" s="1"/>
  <c r="L4631" i="7"/>
  <c r="K4631" i="7"/>
  <c r="H4631" i="7"/>
  <c r="U4631" i="7" s="1"/>
  <c r="E4631" i="7"/>
  <c r="F4631" i="7" s="1"/>
  <c r="I4631" i="7" s="1"/>
  <c r="C4631" i="7"/>
  <c r="L4630" i="7"/>
  <c r="K4630" i="7"/>
  <c r="H4630" i="7"/>
  <c r="U4630" i="7" s="1"/>
  <c r="C4630" i="7"/>
  <c r="E4630" i="7" s="1"/>
  <c r="F4630" i="7" s="1"/>
  <c r="L4629" i="7"/>
  <c r="K4629" i="7"/>
  <c r="H4629" i="7"/>
  <c r="U4629" i="7" s="1"/>
  <c r="C4629" i="7"/>
  <c r="E4629" i="7" s="1"/>
  <c r="F4629" i="7" s="1"/>
  <c r="U4628" i="7"/>
  <c r="L4628" i="7"/>
  <c r="K4628" i="7"/>
  <c r="H4628" i="7"/>
  <c r="C4628" i="7"/>
  <c r="E4628" i="7" s="1"/>
  <c r="F4628" i="7" s="1"/>
  <c r="L4627" i="7"/>
  <c r="J4627" i="7" s="1"/>
  <c r="K4627" i="7"/>
  <c r="H4627" i="7"/>
  <c r="U4627" i="7" s="1"/>
  <c r="C4627" i="7"/>
  <c r="E4627" i="7" s="1"/>
  <c r="F4627" i="7" s="1"/>
  <c r="L4626" i="7"/>
  <c r="K4626" i="7"/>
  <c r="H4626" i="7"/>
  <c r="U4626" i="7" s="1"/>
  <c r="C4626" i="7"/>
  <c r="E4626" i="7" s="1"/>
  <c r="F4626" i="7" s="1"/>
  <c r="L4625" i="7"/>
  <c r="K4625" i="7"/>
  <c r="H4625" i="7"/>
  <c r="U4625" i="7" s="1"/>
  <c r="C4625" i="7"/>
  <c r="E4625" i="7" s="1"/>
  <c r="F4625" i="7" s="1"/>
  <c r="L4624" i="7"/>
  <c r="K4624" i="7"/>
  <c r="H4624" i="7"/>
  <c r="U4624" i="7" s="1"/>
  <c r="C4624" i="7"/>
  <c r="E4624" i="7" s="1"/>
  <c r="F4624" i="7" s="1"/>
  <c r="L4623" i="7"/>
  <c r="K4623" i="7"/>
  <c r="H4623" i="7"/>
  <c r="U4623" i="7" s="1"/>
  <c r="C4623" i="7"/>
  <c r="E4623" i="7" s="1"/>
  <c r="F4623" i="7" s="1"/>
  <c r="L4622" i="7"/>
  <c r="K4622" i="7"/>
  <c r="H4622" i="7"/>
  <c r="U4622" i="7" s="1"/>
  <c r="C4622" i="7"/>
  <c r="E4622" i="7" s="1"/>
  <c r="F4622" i="7" s="1"/>
  <c r="J4622" i="7" s="1"/>
  <c r="L4621" i="7"/>
  <c r="K4621" i="7"/>
  <c r="H4621" i="7"/>
  <c r="U4621" i="7" s="1"/>
  <c r="F4621" i="7"/>
  <c r="I4621" i="7" s="1"/>
  <c r="C4621" i="7"/>
  <c r="E4621" i="7" s="1"/>
  <c r="L4620" i="7"/>
  <c r="K4620" i="7"/>
  <c r="H4620" i="7"/>
  <c r="U4620" i="7" s="1"/>
  <c r="C4620" i="7"/>
  <c r="E4620" i="7" s="1"/>
  <c r="F4620" i="7" s="1"/>
  <c r="L4619" i="7"/>
  <c r="K4619" i="7"/>
  <c r="H4619" i="7"/>
  <c r="U4619" i="7" s="1"/>
  <c r="C4619" i="7"/>
  <c r="E4619" i="7" s="1"/>
  <c r="F4619" i="7" s="1"/>
  <c r="U4618" i="7"/>
  <c r="L4618" i="7"/>
  <c r="K4618" i="7"/>
  <c r="H4618" i="7"/>
  <c r="C4618" i="7"/>
  <c r="E4618" i="7" s="1"/>
  <c r="F4618" i="7" s="1"/>
  <c r="L4617" i="7"/>
  <c r="K4617" i="7"/>
  <c r="H4617" i="7"/>
  <c r="U4617" i="7" s="1"/>
  <c r="C4617" i="7"/>
  <c r="E4617" i="7" s="1"/>
  <c r="F4617" i="7" s="1"/>
  <c r="L4616" i="7"/>
  <c r="K4616" i="7"/>
  <c r="H4616" i="7"/>
  <c r="U4616" i="7" s="1"/>
  <c r="F4616" i="7"/>
  <c r="J4616" i="7" s="1"/>
  <c r="C4616" i="7"/>
  <c r="E4616" i="7" s="1"/>
  <c r="L4615" i="7"/>
  <c r="K4615" i="7"/>
  <c r="H4615" i="7"/>
  <c r="U4615" i="7" s="1"/>
  <c r="C4615" i="7"/>
  <c r="E4615" i="7" s="1"/>
  <c r="F4615" i="7" s="1"/>
  <c r="L4614" i="7"/>
  <c r="K4614" i="7"/>
  <c r="H4614" i="7"/>
  <c r="U4614" i="7" s="1"/>
  <c r="C4614" i="7"/>
  <c r="E4614" i="7" s="1"/>
  <c r="F4614" i="7" s="1"/>
  <c r="L4613" i="7"/>
  <c r="K4613" i="7"/>
  <c r="H4613" i="7"/>
  <c r="U4613" i="7" s="1"/>
  <c r="C4613" i="7"/>
  <c r="E4613" i="7" s="1"/>
  <c r="F4613" i="7" s="1"/>
  <c r="L4612" i="7"/>
  <c r="K4612" i="7"/>
  <c r="H4612" i="7"/>
  <c r="U4612" i="7" s="1"/>
  <c r="C4612" i="7"/>
  <c r="E4612" i="7" s="1"/>
  <c r="F4612" i="7" s="1"/>
  <c r="L4611" i="7"/>
  <c r="K4611" i="7"/>
  <c r="H4611" i="7"/>
  <c r="U4611" i="7" s="1"/>
  <c r="E4611" i="7"/>
  <c r="F4611" i="7" s="1"/>
  <c r="I4611" i="7" s="1"/>
  <c r="C4611" i="7"/>
  <c r="L4610" i="7"/>
  <c r="K4610" i="7"/>
  <c r="H4610" i="7"/>
  <c r="U4610" i="7" s="1"/>
  <c r="F4610" i="7"/>
  <c r="C4610" i="7"/>
  <c r="E4610" i="7" s="1"/>
  <c r="L4609" i="7"/>
  <c r="K4609" i="7"/>
  <c r="H4609" i="7"/>
  <c r="U4609" i="7" s="1"/>
  <c r="C4609" i="7"/>
  <c r="E4609" i="7" s="1"/>
  <c r="F4609" i="7" s="1"/>
  <c r="U4608" i="7"/>
  <c r="L4608" i="7"/>
  <c r="K4608" i="7"/>
  <c r="H4608" i="7"/>
  <c r="C4608" i="7"/>
  <c r="E4608" i="7" s="1"/>
  <c r="F4608" i="7" s="1"/>
  <c r="L4607" i="7"/>
  <c r="K4607" i="7"/>
  <c r="H4607" i="7"/>
  <c r="U4607" i="7" s="1"/>
  <c r="C4607" i="7"/>
  <c r="E4607" i="7" s="1"/>
  <c r="F4607" i="7" s="1"/>
  <c r="L4606" i="7"/>
  <c r="K4606" i="7"/>
  <c r="H4606" i="7"/>
  <c r="U4606" i="7" s="1"/>
  <c r="C4606" i="7"/>
  <c r="E4606" i="7" s="1"/>
  <c r="F4606" i="7" s="1"/>
  <c r="L4605" i="7"/>
  <c r="K4605" i="7"/>
  <c r="H4605" i="7"/>
  <c r="U4605" i="7" s="1"/>
  <c r="C4605" i="7"/>
  <c r="E4605" i="7" s="1"/>
  <c r="F4605" i="7" s="1"/>
  <c r="L4604" i="7"/>
  <c r="K4604" i="7"/>
  <c r="H4604" i="7"/>
  <c r="U4604" i="7" s="1"/>
  <c r="C4604" i="7"/>
  <c r="E4604" i="7" s="1"/>
  <c r="F4604" i="7" s="1"/>
  <c r="L4603" i="7"/>
  <c r="K4603" i="7"/>
  <c r="H4603" i="7"/>
  <c r="U4603" i="7" s="1"/>
  <c r="C4603" i="7"/>
  <c r="E4603" i="7" s="1"/>
  <c r="F4603" i="7" s="1"/>
  <c r="L4602" i="7"/>
  <c r="K4602" i="7"/>
  <c r="H4602" i="7"/>
  <c r="U4602" i="7" s="1"/>
  <c r="C4602" i="7"/>
  <c r="E4602" i="7" s="1"/>
  <c r="F4602" i="7" s="1"/>
  <c r="L4601" i="7"/>
  <c r="K4601" i="7"/>
  <c r="H4601" i="7"/>
  <c r="U4601" i="7" s="1"/>
  <c r="C4601" i="7"/>
  <c r="E4601" i="7" s="1"/>
  <c r="F4601" i="7" s="1"/>
  <c r="L4600" i="7"/>
  <c r="K4600" i="7"/>
  <c r="I4600" i="7"/>
  <c r="H4600" i="7"/>
  <c r="U4600" i="7" s="1"/>
  <c r="C4600" i="7"/>
  <c r="E4600" i="7" s="1"/>
  <c r="F4600" i="7" s="1"/>
  <c r="J4600" i="7" s="1"/>
  <c r="L4599" i="7"/>
  <c r="K4599" i="7"/>
  <c r="H4599" i="7"/>
  <c r="U4599" i="7" s="1"/>
  <c r="C4599" i="7"/>
  <c r="E4599" i="7" s="1"/>
  <c r="F4599" i="7" s="1"/>
  <c r="U4598" i="7"/>
  <c r="L4598" i="7"/>
  <c r="K4598" i="7"/>
  <c r="H4598" i="7"/>
  <c r="C4598" i="7"/>
  <c r="E4598" i="7" s="1"/>
  <c r="F4598" i="7" s="1"/>
  <c r="L4597" i="7"/>
  <c r="K4597" i="7"/>
  <c r="H4597" i="7"/>
  <c r="U4597" i="7" s="1"/>
  <c r="C4597" i="7"/>
  <c r="E4597" i="7" s="1"/>
  <c r="F4597" i="7" s="1"/>
  <c r="L4596" i="7"/>
  <c r="K4596" i="7"/>
  <c r="H4596" i="7"/>
  <c r="U4596" i="7" s="1"/>
  <c r="C4596" i="7"/>
  <c r="E4596" i="7" s="1"/>
  <c r="F4596" i="7" s="1"/>
  <c r="L4595" i="7"/>
  <c r="K4595" i="7"/>
  <c r="H4595" i="7"/>
  <c r="U4595" i="7" s="1"/>
  <c r="C4595" i="7"/>
  <c r="E4595" i="7" s="1"/>
  <c r="F4595" i="7" s="1"/>
  <c r="J4595" i="7" s="1"/>
  <c r="L4594" i="7"/>
  <c r="K4594" i="7"/>
  <c r="H4594" i="7"/>
  <c r="U4594" i="7" s="1"/>
  <c r="C4594" i="7"/>
  <c r="E4594" i="7" s="1"/>
  <c r="F4594" i="7" s="1"/>
  <c r="L4593" i="7"/>
  <c r="K4593" i="7"/>
  <c r="H4593" i="7"/>
  <c r="U4593" i="7" s="1"/>
  <c r="C4593" i="7"/>
  <c r="E4593" i="7" s="1"/>
  <c r="F4593" i="7" s="1"/>
  <c r="L4592" i="7"/>
  <c r="K4592" i="7"/>
  <c r="H4592" i="7"/>
  <c r="U4592" i="7" s="1"/>
  <c r="C4592" i="7"/>
  <c r="E4592" i="7" s="1"/>
  <c r="F4592" i="7" s="1"/>
  <c r="J4592" i="7" s="1"/>
  <c r="L4591" i="7"/>
  <c r="K4591" i="7"/>
  <c r="J4591" i="7"/>
  <c r="H4591" i="7"/>
  <c r="U4591" i="7" s="1"/>
  <c r="C4591" i="7"/>
  <c r="E4591" i="7" s="1"/>
  <c r="F4591" i="7" s="1"/>
  <c r="U4590" i="7"/>
  <c r="L4590" i="7"/>
  <c r="K4590" i="7"/>
  <c r="H4590" i="7"/>
  <c r="C4590" i="7"/>
  <c r="E4590" i="7" s="1"/>
  <c r="F4590" i="7" s="1"/>
  <c r="L4589" i="7"/>
  <c r="K4589" i="7"/>
  <c r="H4589" i="7"/>
  <c r="U4589" i="7" s="1"/>
  <c r="C4589" i="7"/>
  <c r="E4589" i="7" s="1"/>
  <c r="F4589" i="7" s="1"/>
  <c r="U4588" i="7"/>
  <c r="L4588" i="7"/>
  <c r="K4588" i="7"/>
  <c r="H4588" i="7"/>
  <c r="C4588" i="7"/>
  <c r="E4588" i="7" s="1"/>
  <c r="F4588" i="7" s="1"/>
  <c r="L4587" i="7"/>
  <c r="K4587" i="7"/>
  <c r="H4587" i="7"/>
  <c r="U4587" i="7" s="1"/>
  <c r="C4587" i="7"/>
  <c r="E4587" i="7" s="1"/>
  <c r="F4587" i="7" s="1"/>
  <c r="L4586" i="7"/>
  <c r="K4586" i="7"/>
  <c r="H4586" i="7"/>
  <c r="U4586" i="7" s="1"/>
  <c r="C4586" i="7"/>
  <c r="E4586" i="7" s="1"/>
  <c r="F4586" i="7" s="1"/>
  <c r="L4585" i="7"/>
  <c r="J4585" i="7" s="1"/>
  <c r="K4585" i="7"/>
  <c r="H4585" i="7"/>
  <c r="U4585" i="7" s="1"/>
  <c r="C4585" i="7"/>
  <c r="E4585" i="7" s="1"/>
  <c r="F4585" i="7" s="1"/>
  <c r="L4584" i="7"/>
  <c r="K4584" i="7"/>
  <c r="H4584" i="7"/>
  <c r="U4584" i="7" s="1"/>
  <c r="C4584" i="7"/>
  <c r="E4584" i="7" s="1"/>
  <c r="F4584" i="7" s="1"/>
  <c r="U4583" i="7"/>
  <c r="L4583" i="7"/>
  <c r="K4583" i="7"/>
  <c r="H4583" i="7"/>
  <c r="C4583" i="7"/>
  <c r="E4583" i="7" s="1"/>
  <c r="F4583" i="7" s="1"/>
  <c r="L4582" i="7"/>
  <c r="K4582" i="7"/>
  <c r="H4582" i="7"/>
  <c r="U4582" i="7" s="1"/>
  <c r="F4582" i="7"/>
  <c r="C4582" i="7"/>
  <c r="E4582" i="7" s="1"/>
  <c r="L4581" i="7"/>
  <c r="K4581" i="7"/>
  <c r="H4581" i="7"/>
  <c r="U4581" i="7" s="1"/>
  <c r="C4581" i="7"/>
  <c r="E4581" i="7" s="1"/>
  <c r="F4581" i="7" s="1"/>
  <c r="L4580" i="7"/>
  <c r="K4580" i="7"/>
  <c r="H4580" i="7"/>
  <c r="U4580" i="7" s="1"/>
  <c r="C4580" i="7"/>
  <c r="E4580" i="7" s="1"/>
  <c r="F4580" i="7" s="1"/>
  <c r="L4579" i="7"/>
  <c r="K4579" i="7"/>
  <c r="H4579" i="7"/>
  <c r="U4579" i="7" s="1"/>
  <c r="C4579" i="7"/>
  <c r="E4579" i="7" s="1"/>
  <c r="F4579" i="7" s="1"/>
  <c r="I4579" i="7" s="1"/>
  <c r="L4578" i="7"/>
  <c r="K4578" i="7"/>
  <c r="H4578" i="7"/>
  <c r="U4578" i="7" s="1"/>
  <c r="C4578" i="7"/>
  <c r="E4578" i="7" s="1"/>
  <c r="F4578" i="7" s="1"/>
  <c r="L4577" i="7"/>
  <c r="K4577" i="7"/>
  <c r="H4577" i="7"/>
  <c r="U4577" i="7" s="1"/>
  <c r="C4577" i="7"/>
  <c r="E4577" i="7" s="1"/>
  <c r="F4577" i="7" s="1"/>
  <c r="L4576" i="7"/>
  <c r="K4576" i="7"/>
  <c r="I4576" i="7"/>
  <c r="H4576" i="7"/>
  <c r="U4576" i="7" s="1"/>
  <c r="C4576" i="7"/>
  <c r="E4576" i="7" s="1"/>
  <c r="F4576" i="7" s="1"/>
  <c r="L4575" i="7"/>
  <c r="K4575" i="7"/>
  <c r="H4575" i="7"/>
  <c r="U4575" i="7" s="1"/>
  <c r="C4575" i="7"/>
  <c r="E4575" i="7" s="1"/>
  <c r="F4575" i="7" s="1"/>
  <c r="U4574" i="7"/>
  <c r="L4574" i="7"/>
  <c r="K4574" i="7"/>
  <c r="H4574" i="7"/>
  <c r="C4574" i="7"/>
  <c r="E4574" i="7" s="1"/>
  <c r="F4574" i="7" s="1"/>
  <c r="L4573" i="7"/>
  <c r="K4573" i="7"/>
  <c r="H4573" i="7"/>
  <c r="U4573" i="7" s="1"/>
  <c r="C4573" i="7"/>
  <c r="E4573" i="7" s="1"/>
  <c r="F4573" i="7" s="1"/>
  <c r="L4572" i="7"/>
  <c r="K4572" i="7"/>
  <c r="H4572" i="7"/>
  <c r="U4572" i="7" s="1"/>
  <c r="C4572" i="7"/>
  <c r="E4572" i="7" s="1"/>
  <c r="F4572" i="7" s="1"/>
  <c r="J4572" i="7" s="1"/>
  <c r="L4571" i="7"/>
  <c r="K4571" i="7"/>
  <c r="H4571" i="7"/>
  <c r="U4571" i="7" s="1"/>
  <c r="C4571" i="7"/>
  <c r="E4571" i="7" s="1"/>
  <c r="F4571" i="7" s="1"/>
  <c r="L4570" i="7"/>
  <c r="K4570" i="7"/>
  <c r="H4570" i="7"/>
  <c r="U4570" i="7" s="1"/>
  <c r="C4570" i="7"/>
  <c r="E4570" i="7" s="1"/>
  <c r="F4570" i="7" s="1"/>
  <c r="L4569" i="7"/>
  <c r="K4569" i="7"/>
  <c r="H4569" i="7"/>
  <c r="U4569" i="7" s="1"/>
  <c r="C4569" i="7"/>
  <c r="E4569" i="7" s="1"/>
  <c r="F4569" i="7" s="1"/>
  <c r="I4569" i="7" s="1"/>
  <c r="L4568" i="7"/>
  <c r="K4568" i="7"/>
  <c r="H4568" i="7"/>
  <c r="U4568" i="7" s="1"/>
  <c r="C4568" i="7"/>
  <c r="E4568" i="7" s="1"/>
  <c r="F4568" i="7" s="1"/>
  <c r="U4567" i="7"/>
  <c r="L4567" i="7"/>
  <c r="K4567" i="7"/>
  <c r="H4567" i="7"/>
  <c r="E4567" i="7"/>
  <c r="F4567" i="7" s="1"/>
  <c r="C4567" i="7"/>
  <c r="L4566" i="7"/>
  <c r="K4566" i="7"/>
  <c r="H4566" i="7"/>
  <c r="U4566" i="7" s="1"/>
  <c r="C4566" i="7"/>
  <c r="E4566" i="7" s="1"/>
  <c r="F4566" i="7" s="1"/>
  <c r="I4566" i="7" s="1"/>
  <c r="L4565" i="7"/>
  <c r="K4565" i="7"/>
  <c r="H4565" i="7"/>
  <c r="U4565" i="7" s="1"/>
  <c r="C4565" i="7"/>
  <c r="E4565" i="7" s="1"/>
  <c r="F4565" i="7" s="1"/>
  <c r="L4564" i="7"/>
  <c r="K4564" i="7"/>
  <c r="H4564" i="7"/>
  <c r="U4564" i="7" s="1"/>
  <c r="C4564" i="7"/>
  <c r="E4564" i="7" s="1"/>
  <c r="F4564" i="7" s="1"/>
  <c r="L4563" i="7"/>
  <c r="K4563" i="7"/>
  <c r="H4563" i="7"/>
  <c r="U4563" i="7" s="1"/>
  <c r="C4563" i="7"/>
  <c r="E4563" i="7" s="1"/>
  <c r="F4563" i="7" s="1"/>
  <c r="L4562" i="7"/>
  <c r="K4562" i="7"/>
  <c r="H4562" i="7"/>
  <c r="U4562" i="7" s="1"/>
  <c r="C4562" i="7"/>
  <c r="E4562" i="7" s="1"/>
  <c r="F4562" i="7" s="1"/>
  <c r="L4561" i="7"/>
  <c r="K4561" i="7"/>
  <c r="H4561" i="7"/>
  <c r="U4561" i="7" s="1"/>
  <c r="C4561" i="7"/>
  <c r="E4561" i="7" s="1"/>
  <c r="F4561" i="7" s="1"/>
  <c r="L4560" i="7"/>
  <c r="K4560" i="7"/>
  <c r="H4560" i="7"/>
  <c r="U4560" i="7" s="1"/>
  <c r="C4560" i="7"/>
  <c r="E4560" i="7" s="1"/>
  <c r="F4560" i="7" s="1"/>
  <c r="L4559" i="7"/>
  <c r="K4559" i="7"/>
  <c r="H4559" i="7"/>
  <c r="U4559" i="7" s="1"/>
  <c r="C4559" i="7"/>
  <c r="E4559" i="7" s="1"/>
  <c r="F4559" i="7" s="1"/>
  <c r="L4558" i="7"/>
  <c r="K4558" i="7"/>
  <c r="H4558" i="7"/>
  <c r="U4558" i="7" s="1"/>
  <c r="C4558" i="7"/>
  <c r="E4558" i="7" s="1"/>
  <c r="F4558" i="7" s="1"/>
  <c r="L4557" i="7"/>
  <c r="K4557" i="7"/>
  <c r="H4557" i="7"/>
  <c r="U4557" i="7" s="1"/>
  <c r="C4557" i="7"/>
  <c r="E4557" i="7" s="1"/>
  <c r="F4557" i="7" s="1"/>
  <c r="L4556" i="7"/>
  <c r="K4556" i="7"/>
  <c r="H4556" i="7"/>
  <c r="U4556" i="7" s="1"/>
  <c r="C4556" i="7"/>
  <c r="E4556" i="7" s="1"/>
  <c r="F4556" i="7" s="1"/>
  <c r="L4555" i="7"/>
  <c r="K4555" i="7"/>
  <c r="H4555" i="7"/>
  <c r="U4555" i="7" s="1"/>
  <c r="C4555" i="7"/>
  <c r="E4555" i="7" s="1"/>
  <c r="F4555" i="7" s="1"/>
  <c r="L4554" i="7"/>
  <c r="K4554" i="7"/>
  <c r="H4554" i="7"/>
  <c r="U4554" i="7" s="1"/>
  <c r="C4554" i="7"/>
  <c r="E4554" i="7" s="1"/>
  <c r="F4554" i="7" s="1"/>
  <c r="L4553" i="7"/>
  <c r="K4553" i="7"/>
  <c r="H4553" i="7"/>
  <c r="U4553" i="7" s="1"/>
  <c r="C4553" i="7"/>
  <c r="E4553" i="7" s="1"/>
  <c r="F4553" i="7" s="1"/>
  <c r="L4552" i="7"/>
  <c r="K4552" i="7"/>
  <c r="H4552" i="7"/>
  <c r="U4552" i="7" s="1"/>
  <c r="C4552" i="7"/>
  <c r="E4552" i="7" s="1"/>
  <c r="F4552" i="7" s="1"/>
  <c r="U4551" i="7"/>
  <c r="L4551" i="7"/>
  <c r="K4551" i="7"/>
  <c r="H4551" i="7"/>
  <c r="C4551" i="7"/>
  <c r="E4551" i="7" s="1"/>
  <c r="F4551" i="7" s="1"/>
  <c r="L4550" i="7"/>
  <c r="K4550" i="7"/>
  <c r="H4550" i="7"/>
  <c r="U4550" i="7" s="1"/>
  <c r="C4550" i="7"/>
  <c r="E4550" i="7" s="1"/>
  <c r="F4550" i="7" s="1"/>
  <c r="L4549" i="7"/>
  <c r="K4549" i="7"/>
  <c r="H4549" i="7"/>
  <c r="U4549" i="7" s="1"/>
  <c r="C4549" i="7"/>
  <c r="E4549" i="7" s="1"/>
  <c r="F4549" i="7" s="1"/>
  <c r="L4548" i="7"/>
  <c r="K4548" i="7"/>
  <c r="H4548" i="7"/>
  <c r="U4548" i="7" s="1"/>
  <c r="C4548" i="7"/>
  <c r="E4548" i="7" s="1"/>
  <c r="F4548" i="7" s="1"/>
  <c r="U4547" i="7"/>
  <c r="L4547" i="7"/>
  <c r="K4547" i="7"/>
  <c r="H4547" i="7"/>
  <c r="E4547" i="7"/>
  <c r="F4547" i="7" s="1"/>
  <c r="C4547" i="7"/>
  <c r="L4546" i="7"/>
  <c r="K4546" i="7"/>
  <c r="H4546" i="7"/>
  <c r="U4546" i="7" s="1"/>
  <c r="C4546" i="7"/>
  <c r="E4546" i="7" s="1"/>
  <c r="F4546" i="7" s="1"/>
  <c r="L4545" i="7"/>
  <c r="K4545" i="7"/>
  <c r="H4545" i="7"/>
  <c r="U4545" i="7" s="1"/>
  <c r="C4545" i="7"/>
  <c r="E4545" i="7" s="1"/>
  <c r="F4545" i="7" s="1"/>
  <c r="L4544" i="7"/>
  <c r="K4544" i="7"/>
  <c r="H4544" i="7"/>
  <c r="U4544" i="7" s="1"/>
  <c r="C4544" i="7"/>
  <c r="E4544" i="7" s="1"/>
  <c r="F4544" i="7" s="1"/>
  <c r="U4543" i="7"/>
  <c r="L4543" i="7"/>
  <c r="K4543" i="7"/>
  <c r="H4543" i="7"/>
  <c r="C4543" i="7"/>
  <c r="E4543" i="7" s="1"/>
  <c r="F4543" i="7" s="1"/>
  <c r="U4542" i="7"/>
  <c r="L4542" i="7"/>
  <c r="J4542" i="7" s="1"/>
  <c r="K4542" i="7"/>
  <c r="H4542" i="7"/>
  <c r="C4542" i="7"/>
  <c r="E4542" i="7" s="1"/>
  <c r="F4542" i="7" s="1"/>
  <c r="L4541" i="7"/>
  <c r="K4541" i="7"/>
  <c r="H4541" i="7"/>
  <c r="U4541" i="7" s="1"/>
  <c r="C4541" i="7"/>
  <c r="E4541" i="7" s="1"/>
  <c r="F4541" i="7" s="1"/>
  <c r="U4540" i="7"/>
  <c r="L4540" i="7"/>
  <c r="K4540" i="7"/>
  <c r="H4540" i="7"/>
  <c r="F4540" i="7"/>
  <c r="C4540" i="7"/>
  <c r="E4540" i="7" s="1"/>
  <c r="L4539" i="7"/>
  <c r="K4539" i="7"/>
  <c r="H4539" i="7"/>
  <c r="U4539" i="7" s="1"/>
  <c r="C4539" i="7"/>
  <c r="E4539" i="7" s="1"/>
  <c r="F4539" i="7" s="1"/>
  <c r="I4539" i="7" s="1"/>
  <c r="L4538" i="7"/>
  <c r="K4538" i="7"/>
  <c r="H4538" i="7"/>
  <c r="U4538" i="7" s="1"/>
  <c r="C4538" i="7"/>
  <c r="E4538" i="7" s="1"/>
  <c r="F4538" i="7" s="1"/>
  <c r="L4537" i="7"/>
  <c r="K4537" i="7"/>
  <c r="H4537" i="7"/>
  <c r="U4537" i="7" s="1"/>
  <c r="C4537" i="7"/>
  <c r="E4537" i="7" s="1"/>
  <c r="F4537" i="7" s="1"/>
  <c r="L4536" i="7"/>
  <c r="K4536" i="7"/>
  <c r="H4536" i="7"/>
  <c r="U4536" i="7" s="1"/>
  <c r="C4536" i="7"/>
  <c r="E4536" i="7" s="1"/>
  <c r="F4536" i="7" s="1"/>
  <c r="L4535" i="7"/>
  <c r="K4535" i="7"/>
  <c r="H4535" i="7"/>
  <c r="U4535" i="7" s="1"/>
  <c r="C4535" i="7"/>
  <c r="E4535" i="7" s="1"/>
  <c r="F4535" i="7" s="1"/>
  <c r="L4534" i="7"/>
  <c r="K4534" i="7"/>
  <c r="H4534" i="7"/>
  <c r="U4534" i="7" s="1"/>
  <c r="C4534" i="7"/>
  <c r="E4534" i="7" s="1"/>
  <c r="F4534" i="7" s="1"/>
  <c r="L4533" i="7"/>
  <c r="K4533" i="7"/>
  <c r="H4533" i="7"/>
  <c r="U4533" i="7" s="1"/>
  <c r="C4533" i="7"/>
  <c r="E4533" i="7" s="1"/>
  <c r="F4533" i="7" s="1"/>
  <c r="L4532" i="7"/>
  <c r="K4532" i="7"/>
  <c r="I4532" i="7"/>
  <c r="H4532" i="7"/>
  <c r="U4532" i="7" s="1"/>
  <c r="C4532" i="7"/>
  <c r="E4532" i="7" s="1"/>
  <c r="F4532" i="7" s="1"/>
  <c r="L4531" i="7"/>
  <c r="K4531" i="7"/>
  <c r="H4531" i="7"/>
  <c r="U4531" i="7" s="1"/>
  <c r="C4531" i="7"/>
  <c r="E4531" i="7" s="1"/>
  <c r="F4531" i="7" s="1"/>
  <c r="L4530" i="7"/>
  <c r="K4530" i="7"/>
  <c r="H4530" i="7"/>
  <c r="U4530" i="7" s="1"/>
  <c r="C4530" i="7"/>
  <c r="E4530" i="7" s="1"/>
  <c r="F4530" i="7" s="1"/>
  <c r="L4529" i="7"/>
  <c r="K4529" i="7"/>
  <c r="H4529" i="7"/>
  <c r="U4529" i="7" s="1"/>
  <c r="C4529" i="7"/>
  <c r="E4529" i="7" s="1"/>
  <c r="F4529" i="7" s="1"/>
  <c r="L4528" i="7"/>
  <c r="K4528" i="7"/>
  <c r="H4528" i="7"/>
  <c r="U4528" i="7" s="1"/>
  <c r="C4528" i="7"/>
  <c r="E4528" i="7" s="1"/>
  <c r="F4528" i="7" s="1"/>
  <c r="L4527" i="7"/>
  <c r="K4527" i="7"/>
  <c r="H4527" i="7"/>
  <c r="U4527" i="7" s="1"/>
  <c r="C4527" i="7"/>
  <c r="E4527" i="7" s="1"/>
  <c r="F4527" i="7" s="1"/>
  <c r="L4526" i="7"/>
  <c r="K4526" i="7"/>
  <c r="H4526" i="7"/>
  <c r="U4526" i="7" s="1"/>
  <c r="C4526" i="7"/>
  <c r="E4526" i="7" s="1"/>
  <c r="F4526" i="7" s="1"/>
  <c r="L4525" i="7"/>
  <c r="K4525" i="7"/>
  <c r="H4525" i="7"/>
  <c r="U4525" i="7" s="1"/>
  <c r="C4525" i="7"/>
  <c r="E4525" i="7" s="1"/>
  <c r="F4525" i="7" s="1"/>
  <c r="L4524" i="7"/>
  <c r="K4524" i="7"/>
  <c r="H4524" i="7"/>
  <c r="U4524" i="7" s="1"/>
  <c r="C4524" i="7"/>
  <c r="E4524" i="7" s="1"/>
  <c r="F4524" i="7" s="1"/>
  <c r="U4523" i="7"/>
  <c r="L4523" i="7"/>
  <c r="K4523" i="7"/>
  <c r="H4523" i="7"/>
  <c r="C4523" i="7"/>
  <c r="E4523" i="7" s="1"/>
  <c r="F4523" i="7" s="1"/>
  <c r="I4523" i="7" s="1"/>
  <c r="U4522" i="7"/>
  <c r="L4522" i="7"/>
  <c r="K4522" i="7"/>
  <c r="H4522" i="7"/>
  <c r="C4522" i="7"/>
  <c r="E4522" i="7" s="1"/>
  <c r="F4522" i="7" s="1"/>
  <c r="L4521" i="7"/>
  <c r="K4521" i="7"/>
  <c r="H4521" i="7"/>
  <c r="U4521" i="7" s="1"/>
  <c r="C4521" i="7"/>
  <c r="E4521" i="7" s="1"/>
  <c r="F4521" i="7" s="1"/>
  <c r="L4520" i="7"/>
  <c r="K4520" i="7"/>
  <c r="H4520" i="7"/>
  <c r="U4520" i="7" s="1"/>
  <c r="C4520" i="7"/>
  <c r="E4520" i="7" s="1"/>
  <c r="F4520" i="7" s="1"/>
  <c r="L4519" i="7"/>
  <c r="K4519" i="7"/>
  <c r="H4519" i="7"/>
  <c r="U4519" i="7" s="1"/>
  <c r="C4519" i="7"/>
  <c r="E4519" i="7" s="1"/>
  <c r="F4519" i="7" s="1"/>
  <c r="L4518" i="7"/>
  <c r="K4518" i="7"/>
  <c r="H4518" i="7"/>
  <c r="U4518" i="7" s="1"/>
  <c r="C4518" i="7"/>
  <c r="E4518" i="7" s="1"/>
  <c r="F4518" i="7" s="1"/>
  <c r="L4517" i="7"/>
  <c r="K4517" i="7"/>
  <c r="H4517" i="7"/>
  <c r="U4517" i="7" s="1"/>
  <c r="C4517" i="7"/>
  <c r="E4517" i="7" s="1"/>
  <c r="F4517" i="7" s="1"/>
  <c r="L4516" i="7"/>
  <c r="K4516" i="7"/>
  <c r="H4516" i="7"/>
  <c r="U4516" i="7" s="1"/>
  <c r="C4516" i="7"/>
  <c r="E4516" i="7" s="1"/>
  <c r="F4516" i="7" s="1"/>
  <c r="U4515" i="7"/>
  <c r="L4515" i="7"/>
  <c r="K4515" i="7"/>
  <c r="H4515" i="7"/>
  <c r="C4515" i="7"/>
  <c r="E4515" i="7" s="1"/>
  <c r="F4515" i="7" s="1"/>
  <c r="L4514" i="7"/>
  <c r="J4514" i="7" s="1"/>
  <c r="K4514" i="7"/>
  <c r="H4514" i="7"/>
  <c r="U4514" i="7" s="1"/>
  <c r="C4514" i="7"/>
  <c r="E4514" i="7" s="1"/>
  <c r="F4514" i="7" s="1"/>
  <c r="L4513" i="7"/>
  <c r="K4513" i="7"/>
  <c r="H4513" i="7"/>
  <c r="U4513" i="7" s="1"/>
  <c r="C4513" i="7"/>
  <c r="E4513" i="7" s="1"/>
  <c r="F4513" i="7" s="1"/>
  <c r="L4512" i="7"/>
  <c r="K4512" i="7"/>
  <c r="H4512" i="7"/>
  <c r="U4512" i="7" s="1"/>
  <c r="C4512" i="7"/>
  <c r="E4512" i="7" s="1"/>
  <c r="F4512" i="7" s="1"/>
  <c r="L4511" i="7"/>
  <c r="K4511" i="7"/>
  <c r="H4511" i="7"/>
  <c r="U4511" i="7" s="1"/>
  <c r="C4511" i="7"/>
  <c r="E4511" i="7" s="1"/>
  <c r="F4511" i="7" s="1"/>
  <c r="I4511" i="7" s="1"/>
  <c r="L4510" i="7"/>
  <c r="K4510" i="7"/>
  <c r="H4510" i="7"/>
  <c r="U4510" i="7" s="1"/>
  <c r="C4510" i="7"/>
  <c r="E4510" i="7" s="1"/>
  <c r="F4510" i="7" s="1"/>
  <c r="L4509" i="7"/>
  <c r="K4509" i="7"/>
  <c r="J4509" i="7"/>
  <c r="H4509" i="7"/>
  <c r="U4509" i="7" s="1"/>
  <c r="C4509" i="7"/>
  <c r="E4509" i="7" s="1"/>
  <c r="F4509" i="7" s="1"/>
  <c r="I4509" i="7" s="1"/>
  <c r="L4508" i="7"/>
  <c r="K4508" i="7"/>
  <c r="H4508" i="7"/>
  <c r="U4508" i="7" s="1"/>
  <c r="C4508" i="7"/>
  <c r="E4508" i="7" s="1"/>
  <c r="F4508" i="7" s="1"/>
  <c r="L4507" i="7"/>
  <c r="K4507" i="7"/>
  <c r="H4507" i="7"/>
  <c r="U4507" i="7" s="1"/>
  <c r="C4507" i="7"/>
  <c r="E4507" i="7" s="1"/>
  <c r="F4507" i="7" s="1"/>
  <c r="L4506" i="7"/>
  <c r="K4506" i="7"/>
  <c r="H4506" i="7"/>
  <c r="U4506" i="7" s="1"/>
  <c r="C4506" i="7"/>
  <c r="E4506" i="7" s="1"/>
  <c r="F4506" i="7" s="1"/>
  <c r="L4505" i="7"/>
  <c r="K4505" i="7"/>
  <c r="H4505" i="7"/>
  <c r="U4505" i="7" s="1"/>
  <c r="C4505" i="7"/>
  <c r="E4505" i="7" s="1"/>
  <c r="F4505" i="7" s="1"/>
  <c r="L4504" i="7"/>
  <c r="K4504" i="7"/>
  <c r="H4504" i="7"/>
  <c r="U4504" i="7" s="1"/>
  <c r="C4504" i="7"/>
  <c r="E4504" i="7" s="1"/>
  <c r="F4504" i="7" s="1"/>
  <c r="L4503" i="7"/>
  <c r="K4503" i="7"/>
  <c r="H4503" i="7"/>
  <c r="U4503" i="7" s="1"/>
  <c r="E4503" i="7"/>
  <c r="F4503" i="7" s="1"/>
  <c r="C4503" i="7"/>
  <c r="L4502" i="7"/>
  <c r="K4502" i="7"/>
  <c r="H4502" i="7"/>
  <c r="U4502" i="7" s="1"/>
  <c r="C4502" i="7"/>
  <c r="E4502" i="7" s="1"/>
  <c r="F4502" i="7" s="1"/>
  <c r="L4501" i="7"/>
  <c r="K4501" i="7"/>
  <c r="H4501" i="7"/>
  <c r="U4501" i="7" s="1"/>
  <c r="C4501" i="7"/>
  <c r="E4501" i="7" s="1"/>
  <c r="F4501" i="7" s="1"/>
  <c r="L4500" i="7"/>
  <c r="K4500" i="7"/>
  <c r="H4500" i="7"/>
  <c r="U4500" i="7" s="1"/>
  <c r="C4500" i="7"/>
  <c r="E4500" i="7" s="1"/>
  <c r="F4500" i="7" s="1"/>
  <c r="I4500" i="7" s="1"/>
  <c r="U4499" i="7"/>
  <c r="L4499" i="7"/>
  <c r="J4499" i="7" s="1"/>
  <c r="K4499" i="7"/>
  <c r="H4499" i="7"/>
  <c r="E4499" i="7"/>
  <c r="F4499" i="7" s="1"/>
  <c r="C4499" i="7"/>
  <c r="L4498" i="7"/>
  <c r="K4498" i="7"/>
  <c r="H4498" i="7"/>
  <c r="U4498" i="7" s="1"/>
  <c r="C4498" i="7"/>
  <c r="E4498" i="7" s="1"/>
  <c r="F4498" i="7" s="1"/>
  <c r="L4497" i="7"/>
  <c r="K4497" i="7"/>
  <c r="H4497" i="7"/>
  <c r="U4497" i="7" s="1"/>
  <c r="C4497" i="7"/>
  <c r="E4497" i="7" s="1"/>
  <c r="F4497" i="7" s="1"/>
  <c r="L4496" i="7"/>
  <c r="K4496" i="7"/>
  <c r="H4496" i="7"/>
  <c r="U4496" i="7" s="1"/>
  <c r="C4496" i="7"/>
  <c r="E4496" i="7" s="1"/>
  <c r="F4496" i="7" s="1"/>
  <c r="J4496" i="7" s="1"/>
  <c r="L4495" i="7"/>
  <c r="K4495" i="7"/>
  <c r="H4495" i="7"/>
  <c r="U4495" i="7" s="1"/>
  <c r="C4495" i="7"/>
  <c r="E4495" i="7" s="1"/>
  <c r="F4495" i="7" s="1"/>
  <c r="L4494" i="7"/>
  <c r="K4494" i="7"/>
  <c r="H4494" i="7"/>
  <c r="U4494" i="7" s="1"/>
  <c r="C4494" i="7"/>
  <c r="E4494" i="7" s="1"/>
  <c r="F4494" i="7" s="1"/>
  <c r="L4493" i="7"/>
  <c r="K4493" i="7"/>
  <c r="H4493" i="7"/>
  <c r="U4493" i="7" s="1"/>
  <c r="C4493" i="7"/>
  <c r="E4493" i="7" s="1"/>
  <c r="F4493" i="7" s="1"/>
  <c r="L4492" i="7"/>
  <c r="K4492" i="7"/>
  <c r="H4492" i="7"/>
  <c r="U4492" i="7" s="1"/>
  <c r="C4492" i="7"/>
  <c r="E4492" i="7" s="1"/>
  <c r="F4492" i="7" s="1"/>
  <c r="L4491" i="7"/>
  <c r="K4491" i="7"/>
  <c r="H4491" i="7"/>
  <c r="U4491" i="7" s="1"/>
  <c r="C4491" i="7"/>
  <c r="E4491" i="7" s="1"/>
  <c r="F4491" i="7" s="1"/>
  <c r="L4490" i="7"/>
  <c r="K4490" i="7"/>
  <c r="H4490" i="7"/>
  <c r="U4490" i="7" s="1"/>
  <c r="C4490" i="7"/>
  <c r="E4490" i="7" s="1"/>
  <c r="F4490" i="7" s="1"/>
  <c r="L4489" i="7"/>
  <c r="K4489" i="7"/>
  <c r="H4489" i="7"/>
  <c r="U4489" i="7" s="1"/>
  <c r="C4489" i="7"/>
  <c r="E4489" i="7" s="1"/>
  <c r="F4489" i="7" s="1"/>
  <c r="J4489" i="7" s="1"/>
  <c r="L4488" i="7"/>
  <c r="K4488" i="7"/>
  <c r="H4488" i="7"/>
  <c r="U4488" i="7" s="1"/>
  <c r="C4488" i="7"/>
  <c r="E4488" i="7" s="1"/>
  <c r="F4488" i="7" s="1"/>
  <c r="I4488" i="7" s="1"/>
  <c r="L4487" i="7"/>
  <c r="K4487" i="7"/>
  <c r="H4487" i="7"/>
  <c r="U4487" i="7" s="1"/>
  <c r="C4487" i="7"/>
  <c r="E4487" i="7" s="1"/>
  <c r="F4487" i="7" s="1"/>
  <c r="L4486" i="7"/>
  <c r="K4486" i="7"/>
  <c r="H4486" i="7"/>
  <c r="U4486" i="7" s="1"/>
  <c r="C4486" i="7"/>
  <c r="E4486" i="7" s="1"/>
  <c r="F4486" i="7" s="1"/>
  <c r="L4485" i="7"/>
  <c r="K4485" i="7"/>
  <c r="H4485" i="7"/>
  <c r="U4485" i="7" s="1"/>
  <c r="C4485" i="7"/>
  <c r="E4485" i="7" s="1"/>
  <c r="F4485" i="7" s="1"/>
  <c r="L4484" i="7"/>
  <c r="I4484" i="7" s="1"/>
  <c r="K4484" i="7"/>
  <c r="H4484" i="7"/>
  <c r="U4484" i="7" s="1"/>
  <c r="C4484" i="7"/>
  <c r="E4484" i="7" s="1"/>
  <c r="F4484" i="7" s="1"/>
  <c r="L4483" i="7"/>
  <c r="K4483" i="7"/>
  <c r="H4483" i="7"/>
  <c r="U4483" i="7" s="1"/>
  <c r="C4483" i="7"/>
  <c r="E4483" i="7" s="1"/>
  <c r="F4483" i="7" s="1"/>
  <c r="L4482" i="7"/>
  <c r="K4482" i="7"/>
  <c r="H4482" i="7"/>
  <c r="U4482" i="7" s="1"/>
  <c r="F4482" i="7"/>
  <c r="C4482" i="7"/>
  <c r="E4482" i="7" s="1"/>
  <c r="L4481" i="7"/>
  <c r="K4481" i="7"/>
  <c r="H4481" i="7"/>
  <c r="U4481" i="7" s="1"/>
  <c r="C4481" i="7"/>
  <c r="E4481" i="7" s="1"/>
  <c r="F4481" i="7" s="1"/>
  <c r="L4480" i="7"/>
  <c r="K4480" i="7"/>
  <c r="H4480" i="7"/>
  <c r="U4480" i="7" s="1"/>
  <c r="C4480" i="7"/>
  <c r="E4480" i="7" s="1"/>
  <c r="F4480" i="7" s="1"/>
  <c r="U4479" i="7"/>
  <c r="L4479" i="7"/>
  <c r="J4479" i="7" s="1"/>
  <c r="K4479" i="7"/>
  <c r="H4479" i="7"/>
  <c r="C4479" i="7"/>
  <c r="E4479" i="7" s="1"/>
  <c r="F4479" i="7" s="1"/>
  <c r="L4478" i="7"/>
  <c r="K4478" i="7"/>
  <c r="H4478" i="7"/>
  <c r="U4478" i="7" s="1"/>
  <c r="C4478" i="7"/>
  <c r="E4478" i="7" s="1"/>
  <c r="F4478" i="7" s="1"/>
  <c r="L4477" i="7"/>
  <c r="K4477" i="7"/>
  <c r="H4477" i="7"/>
  <c r="U4477" i="7" s="1"/>
  <c r="C4477" i="7"/>
  <c r="E4477" i="7" s="1"/>
  <c r="F4477" i="7" s="1"/>
  <c r="U4476" i="7"/>
  <c r="L4476" i="7"/>
  <c r="K4476" i="7"/>
  <c r="H4476" i="7"/>
  <c r="C4476" i="7"/>
  <c r="E4476" i="7" s="1"/>
  <c r="F4476" i="7" s="1"/>
  <c r="U4475" i="7"/>
  <c r="L4475" i="7"/>
  <c r="K4475" i="7"/>
  <c r="H4475" i="7"/>
  <c r="C4475" i="7"/>
  <c r="E4475" i="7" s="1"/>
  <c r="F4475" i="7" s="1"/>
  <c r="L4474" i="7"/>
  <c r="K4474" i="7"/>
  <c r="H4474" i="7"/>
  <c r="U4474" i="7" s="1"/>
  <c r="C4474" i="7"/>
  <c r="E4474" i="7" s="1"/>
  <c r="F4474" i="7" s="1"/>
  <c r="L4473" i="7"/>
  <c r="K4473" i="7"/>
  <c r="H4473" i="7"/>
  <c r="U4473" i="7" s="1"/>
  <c r="E4473" i="7"/>
  <c r="F4473" i="7" s="1"/>
  <c r="C4473" i="7"/>
  <c r="L4472" i="7"/>
  <c r="K4472" i="7"/>
  <c r="H4472" i="7"/>
  <c r="U4472" i="7" s="1"/>
  <c r="C4472" i="7"/>
  <c r="E4472" i="7" s="1"/>
  <c r="F4472" i="7" s="1"/>
  <c r="L4471" i="7"/>
  <c r="J4471" i="7" s="1"/>
  <c r="K4471" i="7"/>
  <c r="H4471" i="7"/>
  <c r="U4471" i="7" s="1"/>
  <c r="C4471" i="7"/>
  <c r="E4471" i="7" s="1"/>
  <c r="F4471" i="7" s="1"/>
  <c r="L4470" i="7"/>
  <c r="K4470" i="7"/>
  <c r="H4470" i="7"/>
  <c r="U4470" i="7" s="1"/>
  <c r="C4470" i="7"/>
  <c r="E4470" i="7" s="1"/>
  <c r="F4470" i="7" s="1"/>
  <c r="L4469" i="7"/>
  <c r="K4469" i="7"/>
  <c r="H4469" i="7"/>
  <c r="U4469" i="7" s="1"/>
  <c r="C4469" i="7"/>
  <c r="E4469" i="7" s="1"/>
  <c r="F4469" i="7" s="1"/>
  <c r="J4469" i="7" s="1"/>
  <c r="L4468" i="7"/>
  <c r="K4468" i="7"/>
  <c r="H4468" i="7"/>
  <c r="U4468" i="7" s="1"/>
  <c r="C4468" i="7"/>
  <c r="E4468" i="7" s="1"/>
  <c r="F4468" i="7" s="1"/>
  <c r="L4467" i="7"/>
  <c r="K4467" i="7"/>
  <c r="H4467" i="7"/>
  <c r="U4467" i="7" s="1"/>
  <c r="C4467" i="7"/>
  <c r="E4467" i="7" s="1"/>
  <c r="F4467" i="7" s="1"/>
  <c r="L4466" i="7"/>
  <c r="K4466" i="7"/>
  <c r="H4466" i="7"/>
  <c r="U4466" i="7" s="1"/>
  <c r="C4466" i="7"/>
  <c r="E4466" i="7" s="1"/>
  <c r="F4466" i="7" s="1"/>
  <c r="L4465" i="7"/>
  <c r="K4465" i="7"/>
  <c r="H4465" i="7"/>
  <c r="U4465" i="7" s="1"/>
  <c r="C4465" i="7"/>
  <c r="E4465" i="7" s="1"/>
  <c r="F4465" i="7" s="1"/>
  <c r="U4464" i="7"/>
  <c r="L4464" i="7"/>
  <c r="K4464" i="7"/>
  <c r="H4464" i="7"/>
  <c r="C4464" i="7"/>
  <c r="E4464" i="7" s="1"/>
  <c r="F4464" i="7" s="1"/>
  <c r="U4463" i="7"/>
  <c r="L4463" i="7"/>
  <c r="K4463" i="7"/>
  <c r="H4463" i="7"/>
  <c r="C4463" i="7"/>
  <c r="E4463" i="7" s="1"/>
  <c r="F4463" i="7" s="1"/>
  <c r="L4462" i="7"/>
  <c r="K4462" i="7"/>
  <c r="H4462" i="7"/>
  <c r="U4462" i="7" s="1"/>
  <c r="F4462" i="7"/>
  <c r="C4462" i="7"/>
  <c r="E4462" i="7" s="1"/>
  <c r="L4461" i="7"/>
  <c r="K4461" i="7"/>
  <c r="H4461" i="7"/>
  <c r="U4461" i="7" s="1"/>
  <c r="C4461" i="7"/>
  <c r="E4461" i="7" s="1"/>
  <c r="F4461" i="7" s="1"/>
  <c r="L4460" i="7"/>
  <c r="K4460" i="7"/>
  <c r="H4460" i="7"/>
  <c r="U4460" i="7" s="1"/>
  <c r="C4460" i="7"/>
  <c r="E4460" i="7" s="1"/>
  <c r="F4460" i="7" s="1"/>
  <c r="L4459" i="7"/>
  <c r="K4459" i="7"/>
  <c r="H4459" i="7"/>
  <c r="U4459" i="7" s="1"/>
  <c r="C4459" i="7"/>
  <c r="E4459" i="7" s="1"/>
  <c r="F4459" i="7" s="1"/>
  <c r="L4458" i="7"/>
  <c r="K4458" i="7"/>
  <c r="I4458" i="7"/>
  <c r="H4458" i="7"/>
  <c r="U4458" i="7" s="1"/>
  <c r="C4458" i="7"/>
  <c r="E4458" i="7" s="1"/>
  <c r="F4458" i="7" s="1"/>
  <c r="L4457" i="7"/>
  <c r="K4457" i="7"/>
  <c r="H4457" i="7"/>
  <c r="U4457" i="7" s="1"/>
  <c r="C4457" i="7"/>
  <c r="E4457" i="7" s="1"/>
  <c r="F4457" i="7" s="1"/>
  <c r="U4456" i="7"/>
  <c r="L4456" i="7"/>
  <c r="K4456" i="7"/>
  <c r="H4456" i="7"/>
  <c r="C4456" i="7"/>
  <c r="E4456" i="7" s="1"/>
  <c r="F4456" i="7" s="1"/>
  <c r="L4455" i="7"/>
  <c r="K4455" i="7"/>
  <c r="H4455" i="7"/>
  <c r="U4455" i="7" s="1"/>
  <c r="C4455" i="7"/>
  <c r="E4455" i="7" s="1"/>
  <c r="F4455" i="7" s="1"/>
  <c r="L4454" i="7"/>
  <c r="K4454" i="7"/>
  <c r="H4454" i="7"/>
  <c r="U4454" i="7" s="1"/>
  <c r="C4454" i="7"/>
  <c r="E4454" i="7" s="1"/>
  <c r="F4454" i="7" s="1"/>
  <c r="L4453" i="7"/>
  <c r="K4453" i="7"/>
  <c r="H4453" i="7"/>
  <c r="U4453" i="7" s="1"/>
  <c r="C4453" i="7"/>
  <c r="E4453" i="7" s="1"/>
  <c r="F4453" i="7" s="1"/>
  <c r="L4452" i="7"/>
  <c r="K4452" i="7"/>
  <c r="H4452" i="7"/>
  <c r="U4452" i="7" s="1"/>
  <c r="C4452" i="7"/>
  <c r="E4452" i="7" s="1"/>
  <c r="F4452" i="7" s="1"/>
  <c r="L4451" i="7"/>
  <c r="K4451" i="7"/>
  <c r="H4451" i="7"/>
  <c r="U4451" i="7" s="1"/>
  <c r="C4451" i="7"/>
  <c r="E4451" i="7" s="1"/>
  <c r="F4451" i="7" s="1"/>
  <c r="J4451" i="7" s="1"/>
  <c r="L4450" i="7"/>
  <c r="K4450" i="7"/>
  <c r="H4450" i="7"/>
  <c r="U4450" i="7" s="1"/>
  <c r="F4450" i="7"/>
  <c r="C4450" i="7"/>
  <c r="E4450" i="7" s="1"/>
  <c r="L4449" i="7"/>
  <c r="K4449" i="7"/>
  <c r="H4449" i="7"/>
  <c r="U4449" i="7" s="1"/>
  <c r="C4449" i="7"/>
  <c r="E4449" i="7" s="1"/>
  <c r="F4449" i="7" s="1"/>
  <c r="L4448" i="7"/>
  <c r="K4448" i="7"/>
  <c r="H4448" i="7"/>
  <c r="U4448" i="7" s="1"/>
  <c r="C4448" i="7"/>
  <c r="E4448" i="7" s="1"/>
  <c r="F4448" i="7" s="1"/>
  <c r="U4447" i="7"/>
  <c r="L4447" i="7"/>
  <c r="K4447" i="7"/>
  <c r="H4447" i="7"/>
  <c r="C4447" i="7"/>
  <c r="E4447" i="7" s="1"/>
  <c r="F4447" i="7" s="1"/>
  <c r="U4446" i="7"/>
  <c r="L4446" i="7"/>
  <c r="K4446" i="7"/>
  <c r="H4446" i="7"/>
  <c r="C4446" i="7"/>
  <c r="E4446" i="7" s="1"/>
  <c r="F4446" i="7" s="1"/>
  <c r="L4445" i="7"/>
  <c r="K4445" i="7"/>
  <c r="H4445" i="7"/>
  <c r="U4445" i="7" s="1"/>
  <c r="C4445" i="7"/>
  <c r="E4445" i="7" s="1"/>
  <c r="F4445" i="7" s="1"/>
  <c r="L4444" i="7"/>
  <c r="K4444" i="7"/>
  <c r="H4444" i="7"/>
  <c r="U4444" i="7" s="1"/>
  <c r="C4444" i="7"/>
  <c r="E4444" i="7" s="1"/>
  <c r="F4444" i="7" s="1"/>
  <c r="L4443" i="7"/>
  <c r="K4443" i="7"/>
  <c r="H4443" i="7"/>
  <c r="U4443" i="7" s="1"/>
  <c r="C4443" i="7"/>
  <c r="E4443" i="7" s="1"/>
  <c r="F4443" i="7" s="1"/>
  <c r="L4442" i="7"/>
  <c r="K4442" i="7"/>
  <c r="H4442" i="7"/>
  <c r="U4442" i="7" s="1"/>
  <c r="C4442" i="7"/>
  <c r="E4442" i="7" s="1"/>
  <c r="F4442" i="7" s="1"/>
  <c r="L4441" i="7"/>
  <c r="K4441" i="7"/>
  <c r="H4441" i="7"/>
  <c r="U4441" i="7" s="1"/>
  <c r="C4441" i="7"/>
  <c r="E4441" i="7" s="1"/>
  <c r="F4441" i="7" s="1"/>
  <c r="L4440" i="7"/>
  <c r="K4440" i="7"/>
  <c r="H4440" i="7"/>
  <c r="U4440" i="7" s="1"/>
  <c r="F4440" i="7"/>
  <c r="C4440" i="7"/>
  <c r="E4440" i="7" s="1"/>
  <c r="L4439" i="7"/>
  <c r="K4439" i="7"/>
  <c r="H4439" i="7"/>
  <c r="U4439" i="7" s="1"/>
  <c r="C4439" i="7"/>
  <c r="E4439" i="7" s="1"/>
  <c r="F4439" i="7" s="1"/>
  <c r="L4438" i="7"/>
  <c r="K4438" i="7"/>
  <c r="H4438" i="7"/>
  <c r="U4438" i="7" s="1"/>
  <c r="C4438" i="7"/>
  <c r="E4438" i="7" s="1"/>
  <c r="F4438" i="7" s="1"/>
  <c r="L4437" i="7"/>
  <c r="K4437" i="7"/>
  <c r="H4437" i="7"/>
  <c r="U4437" i="7" s="1"/>
  <c r="C4437" i="7"/>
  <c r="E4437" i="7" s="1"/>
  <c r="F4437" i="7" s="1"/>
  <c r="U4436" i="7"/>
  <c r="L4436" i="7"/>
  <c r="I4436" i="7" s="1"/>
  <c r="K4436" i="7"/>
  <c r="H4436" i="7"/>
  <c r="C4436" i="7"/>
  <c r="E4436" i="7" s="1"/>
  <c r="F4436" i="7" s="1"/>
  <c r="L4435" i="7"/>
  <c r="K4435" i="7"/>
  <c r="H4435" i="7"/>
  <c r="U4435" i="7" s="1"/>
  <c r="C4435" i="7"/>
  <c r="E4435" i="7" s="1"/>
  <c r="F4435" i="7" s="1"/>
  <c r="U4434" i="7"/>
  <c r="L4434" i="7"/>
  <c r="K4434" i="7"/>
  <c r="H4434" i="7"/>
  <c r="C4434" i="7"/>
  <c r="E4434" i="7" s="1"/>
  <c r="F4434" i="7" s="1"/>
  <c r="L4433" i="7"/>
  <c r="K4433" i="7"/>
  <c r="H4433" i="7"/>
  <c r="U4433" i="7" s="1"/>
  <c r="C4433" i="7"/>
  <c r="E4433" i="7" s="1"/>
  <c r="F4433" i="7" s="1"/>
  <c r="L4432" i="7"/>
  <c r="K4432" i="7"/>
  <c r="H4432" i="7"/>
  <c r="U4432" i="7" s="1"/>
  <c r="C4432" i="7"/>
  <c r="E4432" i="7" s="1"/>
  <c r="F4432" i="7" s="1"/>
  <c r="L4431" i="7"/>
  <c r="K4431" i="7"/>
  <c r="H4431" i="7"/>
  <c r="U4431" i="7" s="1"/>
  <c r="C4431" i="7"/>
  <c r="E4431" i="7" s="1"/>
  <c r="F4431" i="7" s="1"/>
  <c r="L4430" i="7"/>
  <c r="K4430" i="7"/>
  <c r="H4430" i="7"/>
  <c r="U4430" i="7" s="1"/>
  <c r="C4430" i="7"/>
  <c r="E4430" i="7" s="1"/>
  <c r="F4430" i="7" s="1"/>
  <c r="J4430" i="7" s="1"/>
  <c r="L4429" i="7"/>
  <c r="K4429" i="7"/>
  <c r="H4429" i="7"/>
  <c r="U4429" i="7" s="1"/>
  <c r="C4429" i="7"/>
  <c r="E4429" i="7" s="1"/>
  <c r="F4429" i="7" s="1"/>
  <c r="L4428" i="7"/>
  <c r="K4428" i="7"/>
  <c r="H4428" i="7"/>
  <c r="U4428" i="7" s="1"/>
  <c r="C4428" i="7"/>
  <c r="E4428" i="7" s="1"/>
  <c r="F4428" i="7" s="1"/>
  <c r="L4427" i="7"/>
  <c r="K4427" i="7"/>
  <c r="H4427" i="7"/>
  <c r="U4427" i="7" s="1"/>
  <c r="C4427" i="7"/>
  <c r="E4427" i="7" s="1"/>
  <c r="F4427" i="7" s="1"/>
  <c r="L4426" i="7"/>
  <c r="K4426" i="7"/>
  <c r="H4426" i="7"/>
  <c r="U4426" i="7" s="1"/>
  <c r="C4426" i="7"/>
  <c r="E4426" i="7" s="1"/>
  <c r="F4426" i="7" s="1"/>
  <c r="L4425" i="7"/>
  <c r="K4425" i="7"/>
  <c r="H4425" i="7"/>
  <c r="U4425" i="7" s="1"/>
  <c r="C4425" i="7"/>
  <c r="E4425" i="7" s="1"/>
  <c r="F4425" i="7" s="1"/>
  <c r="L4424" i="7"/>
  <c r="K4424" i="7"/>
  <c r="H4424" i="7"/>
  <c r="U4424" i="7" s="1"/>
  <c r="C4424" i="7"/>
  <c r="E4424" i="7" s="1"/>
  <c r="F4424" i="7" s="1"/>
  <c r="L4423" i="7"/>
  <c r="K4423" i="7"/>
  <c r="H4423" i="7"/>
  <c r="U4423" i="7" s="1"/>
  <c r="C4423" i="7"/>
  <c r="E4423" i="7" s="1"/>
  <c r="F4423" i="7" s="1"/>
  <c r="L4422" i="7"/>
  <c r="K4422" i="7"/>
  <c r="H4422" i="7"/>
  <c r="U4422" i="7" s="1"/>
  <c r="C4422" i="7"/>
  <c r="E4422" i="7" s="1"/>
  <c r="F4422" i="7" s="1"/>
  <c r="I4422" i="7" s="1"/>
  <c r="L4421" i="7"/>
  <c r="K4421" i="7"/>
  <c r="H4421" i="7"/>
  <c r="U4421" i="7" s="1"/>
  <c r="C4421" i="7"/>
  <c r="E4421" i="7" s="1"/>
  <c r="F4421" i="7" s="1"/>
  <c r="L4420" i="7"/>
  <c r="K4420" i="7"/>
  <c r="H4420" i="7"/>
  <c r="U4420" i="7" s="1"/>
  <c r="C4420" i="7"/>
  <c r="E4420" i="7" s="1"/>
  <c r="F4420" i="7" s="1"/>
  <c r="J4420" i="7" s="1"/>
  <c r="L4419" i="7"/>
  <c r="K4419" i="7"/>
  <c r="H4419" i="7"/>
  <c r="U4419" i="7" s="1"/>
  <c r="C4419" i="7"/>
  <c r="E4419" i="7" s="1"/>
  <c r="F4419" i="7" s="1"/>
  <c r="L4418" i="7"/>
  <c r="K4418" i="7"/>
  <c r="H4418" i="7"/>
  <c r="U4418" i="7" s="1"/>
  <c r="C4418" i="7"/>
  <c r="E4418" i="7" s="1"/>
  <c r="F4418" i="7" s="1"/>
  <c r="I4418" i="7" s="1"/>
  <c r="L4417" i="7"/>
  <c r="K4417" i="7"/>
  <c r="H4417" i="7"/>
  <c r="U4417" i="7" s="1"/>
  <c r="E4417" i="7"/>
  <c r="F4417" i="7" s="1"/>
  <c r="C4417" i="7"/>
  <c r="U4416" i="7"/>
  <c r="L4416" i="7"/>
  <c r="K4416" i="7"/>
  <c r="H4416" i="7"/>
  <c r="C4416" i="7"/>
  <c r="E4416" i="7" s="1"/>
  <c r="F4416" i="7" s="1"/>
  <c r="L4415" i="7"/>
  <c r="K4415" i="7"/>
  <c r="H4415" i="7"/>
  <c r="U4415" i="7" s="1"/>
  <c r="C4415" i="7"/>
  <c r="E4415" i="7" s="1"/>
  <c r="F4415" i="7" s="1"/>
  <c r="L4414" i="7"/>
  <c r="K4414" i="7"/>
  <c r="H4414" i="7"/>
  <c r="U4414" i="7" s="1"/>
  <c r="C4414" i="7"/>
  <c r="E4414" i="7" s="1"/>
  <c r="F4414" i="7" s="1"/>
  <c r="L4413" i="7"/>
  <c r="K4413" i="7"/>
  <c r="H4413" i="7"/>
  <c r="U4413" i="7" s="1"/>
  <c r="C4413" i="7"/>
  <c r="E4413" i="7" s="1"/>
  <c r="F4413" i="7" s="1"/>
  <c r="L4412" i="7"/>
  <c r="K4412" i="7"/>
  <c r="H4412" i="7"/>
  <c r="U4412" i="7" s="1"/>
  <c r="C4412" i="7"/>
  <c r="E4412" i="7" s="1"/>
  <c r="F4412" i="7" s="1"/>
  <c r="L4411" i="7"/>
  <c r="K4411" i="7"/>
  <c r="H4411" i="7"/>
  <c r="U4411" i="7" s="1"/>
  <c r="C4411" i="7"/>
  <c r="E4411" i="7" s="1"/>
  <c r="F4411" i="7" s="1"/>
  <c r="L4410" i="7"/>
  <c r="K4410" i="7"/>
  <c r="H4410" i="7"/>
  <c r="U4410" i="7" s="1"/>
  <c r="F4410" i="7"/>
  <c r="C4410" i="7"/>
  <c r="E4410" i="7" s="1"/>
  <c r="L4409" i="7"/>
  <c r="K4409" i="7"/>
  <c r="H4409" i="7"/>
  <c r="U4409" i="7" s="1"/>
  <c r="C4409" i="7"/>
  <c r="E4409" i="7" s="1"/>
  <c r="F4409" i="7" s="1"/>
  <c r="L4408" i="7"/>
  <c r="K4408" i="7"/>
  <c r="H4408" i="7"/>
  <c r="U4408" i="7" s="1"/>
  <c r="C4408" i="7"/>
  <c r="E4408" i="7" s="1"/>
  <c r="F4408" i="7" s="1"/>
  <c r="L4407" i="7"/>
  <c r="K4407" i="7"/>
  <c r="H4407" i="7"/>
  <c r="U4407" i="7" s="1"/>
  <c r="C4407" i="7"/>
  <c r="E4407" i="7" s="1"/>
  <c r="F4407" i="7" s="1"/>
  <c r="L4406" i="7"/>
  <c r="K4406" i="7"/>
  <c r="H4406" i="7"/>
  <c r="U4406" i="7" s="1"/>
  <c r="C4406" i="7"/>
  <c r="E4406" i="7" s="1"/>
  <c r="F4406" i="7" s="1"/>
  <c r="L4405" i="7"/>
  <c r="K4405" i="7"/>
  <c r="H4405" i="7"/>
  <c r="U4405" i="7" s="1"/>
  <c r="E4405" i="7"/>
  <c r="F4405" i="7" s="1"/>
  <c r="C4405" i="7"/>
  <c r="L4404" i="7"/>
  <c r="K4404" i="7"/>
  <c r="H4404" i="7"/>
  <c r="U4404" i="7" s="1"/>
  <c r="C4404" i="7"/>
  <c r="E4404" i="7" s="1"/>
  <c r="F4404" i="7" s="1"/>
  <c r="L4403" i="7"/>
  <c r="K4403" i="7"/>
  <c r="H4403" i="7"/>
  <c r="U4403" i="7" s="1"/>
  <c r="C4403" i="7"/>
  <c r="E4403" i="7" s="1"/>
  <c r="F4403" i="7" s="1"/>
  <c r="L4402" i="7"/>
  <c r="K4402" i="7"/>
  <c r="H4402" i="7"/>
  <c r="U4402" i="7" s="1"/>
  <c r="C4402" i="7"/>
  <c r="E4402" i="7" s="1"/>
  <c r="F4402" i="7" s="1"/>
  <c r="L4401" i="7"/>
  <c r="K4401" i="7"/>
  <c r="H4401" i="7"/>
  <c r="U4401" i="7" s="1"/>
  <c r="C4401" i="7"/>
  <c r="E4401" i="7" s="1"/>
  <c r="F4401" i="7" s="1"/>
  <c r="L4400" i="7"/>
  <c r="K4400" i="7"/>
  <c r="H4400" i="7"/>
  <c r="U4400" i="7" s="1"/>
  <c r="C4400" i="7"/>
  <c r="E4400" i="7" s="1"/>
  <c r="F4400" i="7" s="1"/>
  <c r="L4399" i="7"/>
  <c r="K4399" i="7"/>
  <c r="H4399" i="7"/>
  <c r="U4399" i="7" s="1"/>
  <c r="C4399" i="7"/>
  <c r="E4399" i="7" s="1"/>
  <c r="F4399" i="7" s="1"/>
  <c r="L4398" i="7"/>
  <c r="K4398" i="7"/>
  <c r="J4398" i="7"/>
  <c r="H4398" i="7"/>
  <c r="U4398" i="7" s="1"/>
  <c r="C4398" i="7"/>
  <c r="E4398" i="7" s="1"/>
  <c r="F4398" i="7" s="1"/>
  <c r="I4398" i="7" s="1"/>
  <c r="L4397" i="7"/>
  <c r="K4397" i="7"/>
  <c r="H4397" i="7"/>
  <c r="U4397" i="7" s="1"/>
  <c r="C4397" i="7"/>
  <c r="E4397" i="7" s="1"/>
  <c r="F4397" i="7" s="1"/>
  <c r="L4396" i="7"/>
  <c r="K4396" i="7"/>
  <c r="H4396" i="7"/>
  <c r="U4396" i="7" s="1"/>
  <c r="C4396" i="7"/>
  <c r="E4396" i="7" s="1"/>
  <c r="F4396" i="7" s="1"/>
  <c r="L4395" i="7"/>
  <c r="K4395" i="7"/>
  <c r="H4395" i="7"/>
  <c r="U4395" i="7" s="1"/>
  <c r="C4395" i="7"/>
  <c r="E4395" i="7" s="1"/>
  <c r="F4395" i="7" s="1"/>
  <c r="L4394" i="7"/>
  <c r="K4394" i="7"/>
  <c r="H4394" i="7"/>
  <c r="U4394" i="7" s="1"/>
  <c r="C4394" i="7"/>
  <c r="E4394" i="7" s="1"/>
  <c r="F4394" i="7" s="1"/>
  <c r="L4393" i="7"/>
  <c r="K4393" i="7"/>
  <c r="H4393" i="7"/>
  <c r="U4393" i="7" s="1"/>
  <c r="C4393" i="7"/>
  <c r="E4393" i="7" s="1"/>
  <c r="F4393" i="7" s="1"/>
  <c r="U4392" i="7"/>
  <c r="L4392" i="7"/>
  <c r="K4392" i="7"/>
  <c r="H4392" i="7"/>
  <c r="C4392" i="7"/>
  <c r="E4392" i="7" s="1"/>
  <c r="F4392" i="7" s="1"/>
  <c r="L4391" i="7"/>
  <c r="K4391" i="7"/>
  <c r="H4391" i="7"/>
  <c r="U4391" i="7" s="1"/>
  <c r="C4391" i="7"/>
  <c r="E4391" i="7" s="1"/>
  <c r="F4391" i="7" s="1"/>
  <c r="L4390" i="7"/>
  <c r="K4390" i="7"/>
  <c r="H4390" i="7"/>
  <c r="U4390" i="7" s="1"/>
  <c r="C4390" i="7"/>
  <c r="E4390" i="7" s="1"/>
  <c r="F4390" i="7" s="1"/>
  <c r="L4389" i="7"/>
  <c r="K4389" i="7"/>
  <c r="H4389" i="7"/>
  <c r="U4389" i="7" s="1"/>
  <c r="C4389" i="7"/>
  <c r="E4389" i="7" s="1"/>
  <c r="F4389" i="7" s="1"/>
  <c r="U4388" i="7"/>
  <c r="L4388" i="7"/>
  <c r="K4388" i="7"/>
  <c r="H4388" i="7"/>
  <c r="C4388" i="7"/>
  <c r="E4388" i="7" s="1"/>
  <c r="F4388" i="7" s="1"/>
  <c r="L4387" i="7"/>
  <c r="J4387" i="7" s="1"/>
  <c r="K4387" i="7"/>
  <c r="H4387" i="7"/>
  <c r="U4387" i="7" s="1"/>
  <c r="C4387" i="7"/>
  <c r="E4387" i="7" s="1"/>
  <c r="F4387" i="7" s="1"/>
  <c r="L4386" i="7"/>
  <c r="K4386" i="7"/>
  <c r="H4386" i="7"/>
  <c r="U4386" i="7" s="1"/>
  <c r="C4386" i="7"/>
  <c r="E4386" i="7" s="1"/>
  <c r="F4386" i="7" s="1"/>
  <c r="L4385" i="7"/>
  <c r="K4385" i="7"/>
  <c r="H4385" i="7"/>
  <c r="U4385" i="7" s="1"/>
  <c r="C4385" i="7"/>
  <c r="E4385" i="7" s="1"/>
  <c r="F4385" i="7" s="1"/>
  <c r="L4384" i="7"/>
  <c r="K4384" i="7"/>
  <c r="H4384" i="7"/>
  <c r="U4384" i="7" s="1"/>
  <c r="C4384" i="7"/>
  <c r="E4384" i="7" s="1"/>
  <c r="F4384" i="7" s="1"/>
  <c r="U4383" i="7"/>
  <c r="L4383" i="7"/>
  <c r="K4383" i="7"/>
  <c r="H4383" i="7"/>
  <c r="C4383" i="7"/>
  <c r="E4383" i="7" s="1"/>
  <c r="F4383" i="7" s="1"/>
  <c r="L4382" i="7"/>
  <c r="K4382" i="7"/>
  <c r="H4382" i="7"/>
  <c r="U4382" i="7" s="1"/>
  <c r="C4382" i="7"/>
  <c r="E4382" i="7" s="1"/>
  <c r="F4382" i="7" s="1"/>
  <c r="L4381" i="7"/>
  <c r="K4381" i="7"/>
  <c r="H4381" i="7"/>
  <c r="U4381" i="7" s="1"/>
  <c r="C4381" i="7"/>
  <c r="E4381" i="7" s="1"/>
  <c r="F4381" i="7" s="1"/>
  <c r="L4380" i="7"/>
  <c r="K4380" i="7"/>
  <c r="H4380" i="7"/>
  <c r="U4380" i="7" s="1"/>
  <c r="C4380" i="7"/>
  <c r="E4380" i="7" s="1"/>
  <c r="F4380" i="7" s="1"/>
  <c r="U4379" i="7"/>
  <c r="L4379" i="7"/>
  <c r="K4379" i="7"/>
  <c r="H4379" i="7"/>
  <c r="C4379" i="7"/>
  <c r="E4379" i="7" s="1"/>
  <c r="F4379" i="7" s="1"/>
  <c r="U4378" i="7"/>
  <c r="L4378" i="7"/>
  <c r="J4378" i="7" s="1"/>
  <c r="K4378" i="7"/>
  <c r="H4378" i="7"/>
  <c r="C4378" i="7"/>
  <c r="E4378" i="7" s="1"/>
  <c r="F4378" i="7" s="1"/>
  <c r="L4377" i="7"/>
  <c r="K4377" i="7"/>
  <c r="H4377" i="7"/>
  <c r="U4377" i="7" s="1"/>
  <c r="C4377" i="7"/>
  <c r="E4377" i="7" s="1"/>
  <c r="F4377" i="7" s="1"/>
  <c r="L4376" i="7"/>
  <c r="K4376" i="7"/>
  <c r="H4376" i="7"/>
  <c r="U4376" i="7" s="1"/>
  <c r="C4376" i="7"/>
  <c r="E4376" i="7" s="1"/>
  <c r="F4376" i="7" s="1"/>
  <c r="L4375" i="7"/>
  <c r="K4375" i="7"/>
  <c r="H4375" i="7"/>
  <c r="U4375" i="7" s="1"/>
  <c r="C4375" i="7"/>
  <c r="E4375" i="7" s="1"/>
  <c r="F4375" i="7" s="1"/>
  <c r="L4374" i="7"/>
  <c r="K4374" i="7"/>
  <c r="H4374" i="7"/>
  <c r="U4374" i="7" s="1"/>
  <c r="C4374" i="7"/>
  <c r="E4374" i="7" s="1"/>
  <c r="F4374" i="7" s="1"/>
  <c r="L4373" i="7"/>
  <c r="K4373" i="7"/>
  <c r="H4373" i="7"/>
  <c r="U4373" i="7" s="1"/>
  <c r="C4373" i="7"/>
  <c r="E4373" i="7" s="1"/>
  <c r="F4373" i="7" s="1"/>
  <c r="L4372" i="7"/>
  <c r="K4372" i="7"/>
  <c r="H4372" i="7"/>
  <c r="U4372" i="7" s="1"/>
  <c r="C4372" i="7"/>
  <c r="E4372" i="7" s="1"/>
  <c r="F4372" i="7" s="1"/>
  <c r="U4371" i="7"/>
  <c r="L4371" i="7"/>
  <c r="K4371" i="7"/>
  <c r="H4371" i="7"/>
  <c r="C4371" i="7"/>
  <c r="E4371" i="7" s="1"/>
  <c r="F4371" i="7" s="1"/>
  <c r="L4370" i="7"/>
  <c r="K4370" i="7"/>
  <c r="H4370" i="7"/>
  <c r="U4370" i="7" s="1"/>
  <c r="C4370" i="7"/>
  <c r="E4370" i="7" s="1"/>
  <c r="F4370" i="7" s="1"/>
  <c r="L4369" i="7"/>
  <c r="K4369" i="7"/>
  <c r="H4369" i="7"/>
  <c r="U4369" i="7" s="1"/>
  <c r="F4369" i="7"/>
  <c r="C4369" i="7"/>
  <c r="E4369" i="7" s="1"/>
  <c r="L4368" i="7"/>
  <c r="K4368" i="7"/>
  <c r="H4368" i="7"/>
  <c r="U4368" i="7" s="1"/>
  <c r="C4368" i="7"/>
  <c r="E4368" i="7" s="1"/>
  <c r="F4368" i="7" s="1"/>
  <c r="U4367" i="7"/>
  <c r="L4367" i="7"/>
  <c r="K4367" i="7"/>
  <c r="H4367" i="7"/>
  <c r="C4367" i="7"/>
  <c r="E4367" i="7" s="1"/>
  <c r="F4367" i="7" s="1"/>
  <c r="L4366" i="7"/>
  <c r="K4366" i="7"/>
  <c r="H4366" i="7"/>
  <c r="U4366" i="7" s="1"/>
  <c r="C4366" i="7"/>
  <c r="E4366" i="7" s="1"/>
  <c r="F4366" i="7" s="1"/>
  <c r="L4365" i="7"/>
  <c r="K4365" i="7"/>
  <c r="H4365" i="7"/>
  <c r="U4365" i="7" s="1"/>
  <c r="C4365" i="7"/>
  <c r="E4365" i="7" s="1"/>
  <c r="F4365" i="7" s="1"/>
  <c r="L4364" i="7"/>
  <c r="K4364" i="7"/>
  <c r="H4364" i="7"/>
  <c r="U4364" i="7" s="1"/>
  <c r="C4364" i="7"/>
  <c r="E4364" i="7" s="1"/>
  <c r="F4364" i="7" s="1"/>
  <c r="L4363" i="7"/>
  <c r="K4363" i="7"/>
  <c r="H4363" i="7"/>
  <c r="U4363" i="7" s="1"/>
  <c r="C4363" i="7"/>
  <c r="E4363" i="7" s="1"/>
  <c r="F4363" i="7" s="1"/>
  <c r="L4362" i="7"/>
  <c r="K4362" i="7"/>
  <c r="H4362" i="7"/>
  <c r="U4362" i="7" s="1"/>
  <c r="C4362" i="7"/>
  <c r="E4362" i="7" s="1"/>
  <c r="F4362" i="7" s="1"/>
  <c r="L4361" i="7"/>
  <c r="K4361" i="7"/>
  <c r="H4361" i="7"/>
  <c r="U4361" i="7" s="1"/>
  <c r="C4361" i="7"/>
  <c r="E4361" i="7" s="1"/>
  <c r="F4361" i="7" s="1"/>
  <c r="L4360" i="7"/>
  <c r="K4360" i="7"/>
  <c r="H4360" i="7"/>
  <c r="U4360" i="7" s="1"/>
  <c r="C4360" i="7"/>
  <c r="E4360" i="7" s="1"/>
  <c r="F4360" i="7" s="1"/>
  <c r="U4359" i="7"/>
  <c r="L4359" i="7"/>
  <c r="K4359" i="7"/>
  <c r="H4359" i="7"/>
  <c r="C4359" i="7"/>
  <c r="E4359" i="7" s="1"/>
  <c r="F4359" i="7" s="1"/>
  <c r="U4358" i="7"/>
  <c r="L4358" i="7"/>
  <c r="K4358" i="7"/>
  <c r="H4358" i="7"/>
  <c r="C4358" i="7"/>
  <c r="E4358" i="7" s="1"/>
  <c r="F4358" i="7" s="1"/>
  <c r="L4357" i="7"/>
  <c r="K4357" i="7"/>
  <c r="H4357" i="7"/>
  <c r="U4357" i="7" s="1"/>
  <c r="C4357" i="7"/>
  <c r="E4357" i="7" s="1"/>
  <c r="F4357" i="7" s="1"/>
  <c r="L4356" i="7"/>
  <c r="K4356" i="7"/>
  <c r="H4356" i="7"/>
  <c r="U4356" i="7" s="1"/>
  <c r="C4356" i="7"/>
  <c r="E4356" i="7" s="1"/>
  <c r="F4356" i="7" s="1"/>
  <c r="L4355" i="7"/>
  <c r="J4355" i="7" s="1"/>
  <c r="K4355" i="7"/>
  <c r="H4355" i="7"/>
  <c r="U4355" i="7" s="1"/>
  <c r="C4355" i="7"/>
  <c r="E4355" i="7" s="1"/>
  <c r="F4355" i="7" s="1"/>
  <c r="L4354" i="7"/>
  <c r="K4354" i="7"/>
  <c r="H4354" i="7"/>
  <c r="U4354" i="7" s="1"/>
  <c r="C4354" i="7"/>
  <c r="E4354" i="7" s="1"/>
  <c r="F4354" i="7" s="1"/>
  <c r="L4353" i="7"/>
  <c r="K4353" i="7"/>
  <c r="H4353" i="7"/>
  <c r="U4353" i="7" s="1"/>
  <c r="C4353" i="7"/>
  <c r="E4353" i="7" s="1"/>
  <c r="F4353" i="7" s="1"/>
  <c r="L4352" i="7"/>
  <c r="K4352" i="7"/>
  <c r="H4352" i="7"/>
  <c r="U4352" i="7" s="1"/>
  <c r="C4352" i="7"/>
  <c r="E4352" i="7" s="1"/>
  <c r="F4352" i="7" s="1"/>
  <c r="L4351" i="7"/>
  <c r="K4351" i="7"/>
  <c r="H4351" i="7"/>
  <c r="U4351" i="7" s="1"/>
  <c r="C4351" i="7"/>
  <c r="E4351" i="7" s="1"/>
  <c r="F4351" i="7" s="1"/>
  <c r="L4350" i="7"/>
  <c r="K4350" i="7"/>
  <c r="H4350" i="7"/>
  <c r="U4350" i="7" s="1"/>
  <c r="C4350" i="7"/>
  <c r="E4350" i="7" s="1"/>
  <c r="F4350" i="7" s="1"/>
  <c r="L4349" i="7"/>
  <c r="K4349" i="7"/>
  <c r="H4349" i="7"/>
  <c r="U4349" i="7" s="1"/>
  <c r="C4349" i="7"/>
  <c r="E4349" i="7" s="1"/>
  <c r="F4349" i="7" s="1"/>
  <c r="L4348" i="7"/>
  <c r="K4348" i="7"/>
  <c r="H4348" i="7"/>
  <c r="U4348" i="7" s="1"/>
  <c r="E4348" i="7"/>
  <c r="F4348" i="7" s="1"/>
  <c r="C4348" i="7"/>
  <c r="U4347" i="7"/>
  <c r="L4347" i="7"/>
  <c r="K4347" i="7"/>
  <c r="H4347" i="7"/>
  <c r="C4347" i="7"/>
  <c r="E4347" i="7" s="1"/>
  <c r="F4347" i="7" s="1"/>
  <c r="L4346" i="7"/>
  <c r="K4346" i="7"/>
  <c r="I4346" i="7"/>
  <c r="H4346" i="7"/>
  <c r="U4346" i="7" s="1"/>
  <c r="C4346" i="7"/>
  <c r="E4346" i="7" s="1"/>
  <c r="F4346" i="7" s="1"/>
  <c r="L4345" i="7"/>
  <c r="K4345" i="7"/>
  <c r="H4345" i="7"/>
  <c r="U4345" i="7" s="1"/>
  <c r="E4345" i="7"/>
  <c r="F4345" i="7" s="1"/>
  <c r="C4345" i="7"/>
  <c r="L4344" i="7"/>
  <c r="K4344" i="7"/>
  <c r="H4344" i="7"/>
  <c r="U4344" i="7" s="1"/>
  <c r="C4344" i="7"/>
  <c r="E4344" i="7" s="1"/>
  <c r="F4344" i="7" s="1"/>
  <c r="U4343" i="7"/>
  <c r="L4343" i="7"/>
  <c r="K4343" i="7"/>
  <c r="H4343" i="7"/>
  <c r="C4343" i="7"/>
  <c r="E4343" i="7" s="1"/>
  <c r="F4343" i="7" s="1"/>
  <c r="L4342" i="7"/>
  <c r="K4342" i="7"/>
  <c r="H4342" i="7"/>
  <c r="U4342" i="7" s="1"/>
  <c r="C4342" i="7"/>
  <c r="E4342" i="7" s="1"/>
  <c r="F4342" i="7" s="1"/>
  <c r="L4341" i="7"/>
  <c r="K4341" i="7"/>
  <c r="H4341" i="7"/>
  <c r="U4341" i="7" s="1"/>
  <c r="C4341" i="7"/>
  <c r="E4341" i="7" s="1"/>
  <c r="F4341" i="7" s="1"/>
  <c r="L4340" i="7"/>
  <c r="K4340" i="7"/>
  <c r="H4340" i="7"/>
  <c r="U4340" i="7" s="1"/>
  <c r="C4340" i="7"/>
  <c r="E4340" i="7" s="1"/>
  <c r="F4340" i="7" s="1"/>
  <c r="L4339" i="7"/>
  <c r="K4339" i="7"/>
  <c r="H4339" i="7"/>
  <c r="U4339" i="7" s="1"/>
  <c r="C4339" i="7"/>
  <c r="E4339" i="7" s="1"/>
  <c r="F4339" i="7" s="1"/>
  <c r="U4338" i="7"/>
  <c r="L4338" i="7"/>
  <c r="K4338" i="7"/>
  <c r="H4338" i="7"/>
  <c r="C4338" i="7"/>
  <c r="E4338" i="7" s="1"/>
  <c r="F4338" i="7" s="1"/>
  <c r="L4337" i="7"/>
  <c r="K4337" i="7"/>
  <c r="H4337" i="7"/>
  <c r="U4337" i="7" s="1"/>
  <c r="C4337" i="7"/>
  <c r="E4337" i="7" s="1"/>
  <c r="F4337" i="7" s="1"/>
  <c r="L4336" i="7"/>
  <c r="K4336" i="7"/>
  <c r="H4336" i="7"/>
  <c r="U4336" i="7" s="1"/>
  <c r="E4336" i="7"/>
  <c r="F4336" i="7" s="1"/>
  <c r="C4336" i="7"/>
  <c r="L4335" i="7"/>
  <c r="K4335" i="7"/>
  <c r="H4335" i="7"/>
  <c r="U4335" i="7" s="1"/>
  <c r="C4335" i="7"/>
  <c r="E4335" i="7" s="1"/>
  <c r="F4335" i="7" s="1"/>
  <c r="J4335" i="7" s="1"/>
  <c r="L4334" i="7"/>
  <c r="K4334" i="7"/>
  <c r="H4334" i="7"/>
  <c r="U4334" i="7" s="1"/>
  <c r="C4334" i="7"/>
  <c r="E4334" i="7" s="1"/>
  <c r="F4334" i="7" s="1"/>
  <c r="L4333" i="7"/>
  <c r="K4333" i="7"/>
  <c r="H4333" i="7"/>
  <c r="U4333" i="7" s="1"/>
  <c r="C4333" i="7"/>
  <c r="E4333" i="7" s="1"/>
  <c r="F4333" i="7" s="1"/>
  <c r="L4332" i="7"/>
  <c r="K4332" i="7"/>
  <c r="H4332" i="7"/>
  <c r="U4332" i="7" s="1"/>
  <c r="C4332" i="7"/>
  <c r="E4332" i="7" s="1"/>
  <c r="F4332" i="7" s="1"/>
  <c r="L4331" i="7"/>
  <c r="K4331" i="7"/>
  <c r="H4331" i="7"/>
  <c r="U4331" i="7" s="1"/>
  <c r="C4331" i="7"/>
  <c r="E4331" i="7" s="1"/>
  <c r="F4331" i="7" s="1"/>
  <c r="L4330" i="7"/>
  <c r="K4330" i="7"/>
  <c r="H4330" i="7"/>
  <c r="U4330" i="7" s="1"/>
  <c r="C4330" i="7"/>
  <c r="E4330" i="7" s="1"/>
  <c r="F4330" i="7" s="1"/>
  <c r="L4329" i="7"/>
  <c r="K4329" i="7"/>
  <c r="H4329" i="7"/>
  <c r="U4329" i="7" s="1"/>
  <c r="C4329" i="7"/>
  <c r="E4329" i="7" s="1"/>
  <c r="F4329" i="7" s="1"/>
  <c r="L4328" i="7"/>
  <c r="K4328" i="7"/>
  <c r="H4328" i="7"/>
  <c r="U4328" i="7" s="1"/>
  <c r="C4328" i="7"/>
  <c r="E4328" i="7" s="1"/>
  <c r="F4328" i="7" s="1"/>
  <c r="J4328" i="7" s="1"/>
  <c r="L4327" i="7"/>
  <c r="K4327" i="7"/>
  <c r="H4327" i="7"/>
  <c r="U4327" i="7" s="1"/>
  <c r="C4327" i="7"/>
  <c r="E4327" i="7" s="1"/>
  <c r="F4327" i="7" s="1"/>
  <c r="L4326" i="7"/>
  <c r="K4326" i="7"/>
  <c r="H4326" i="7"/>
  <c r="U4326" i="7" s="1"/>
  <c r="C4326" i="7"/>
  <c r="E4326" i="7" s="1"/>
  <c r="F4326" i="7" s="1"/>
  <c r="L4325" i="7"/>
  <c r="K4325" i="7"/>
  <c r="H4325" i="7"/>
  <c r="U4325" i="7" s="1"/>
  <c r="C4325" i="7"/>
  <c r="E4325" i="7" s="1"/>
  <c r="F4325" i="7" s="1"/>
  <c r="L4324" i="7"/>
  <c r="K4324" i="7"/>
  <c r="H4324" i="7"/>
  <c r="U4324" i="7" s="1"/>
  <c r="C4324" i="7"/>
  <c r="E4324" i="7" s="1"/>
  <c r="F4324" i="7" s="1"/>
  <c r="L4323" i="7"/>
  <c r="K4323" i="7"/>
  <c r="H4323" i="7"/>
  <c r="U4323" i="7" s="1"/>
  <c r="E4323" i="7"/>
  <c r="F4323" i="7" s="1"/>
  <c r="C4323" i="7"/>
  <c r="U4322" i="7"/>
  <c r="L4322" i="7"/>
  <c r="K4322" i="7"/>
  <c r="H4322" i="7"/>
  <c r="C4322" i="7"/>
  <c r="E4322" i="7" s="1"/>
  <c r="F4322" i="7" s="1"/>
  <c r="L4321" i="7"/>
  <c r="K4321" i="7"/>
  <c r="H4321" i="7"/>
  <c r="U4321" i="7" s="1"/>
  <c r="C4321" i="7"/>
  <c r="E4321" i="7" s="1"/>
  <c r="F4321" i="7" s="1"/>
  <c r="L4320" i="7"/>
  <c r="K4320" i="7"/>
  <c r="H4320" i="7"/>
  <c r="U4320" i="7" s="1"/>
  <c r="C4320" i="7"/>
  <c r="E4320" i="7" s="1"/>
  <c r="F4320" i="7" s="1"/>
  <c r="L4319" i="7"/>
  <c r="K4319" i="7"/>
  <c r="H4319" i="7"/>
  <c r="U4319" i="7" s="1"/>
  <c r="C4319" i="7"/>
  <c r="E4319" i="7" s="1"/>
  <c r="F4319" i="7" s="1"/>
  <c r="L4318" i="7"/>
  <c r="K4318" i="7"/>
  <c r="H4318" i="7"/>
  <c r="U4318" i="7" s="1"/>
  <c r="F4318" i="7"/>
  <c r="C4318" i="7"/>
  <c r="E4318" i="7" s="1"/>
  <c r="L4317" i="7"/>
  <c r="K4317" i="7"/>
  <c r="H4317" i="7"/>
  <c r="U4317" i="7" s="1"/>
  <c r="C4317" i="7"/>
  <c r="E4317" i="7" s="1"/>
  <c r="F4317" i="7" s="1"/>
  <c r="L4316" i="7"/>
  <c r="K4316" i="7"/>
  <c r="H4316" i="7"/>
  <c r="U4316" i="7" s="1"/>
  <c r="E4316" i="7"/>
  <c r="F4316" i="7" s="1"/>
  <c r="C4316" i="7"/>
  <c r="L4315" i="7"/>
  <c r="K4315" i="7"/>
  <c r="H4315" i="7"/>
  <c r="U4315" i="7" s="1"/>
  <c r="C4315" i="7"/>
  <c r="E4315" i="7" s="1"/>
  <c r="F4315" i="7" s="1"/>
  <c r="L4314" i="7"/>
  <c r="K4314" i="7"/>
  <c r="H4314" i="7"/>
  <c r="U4314" i="7" s="1"/>
  <c r="C4314" i="7"/>
  <c r="E4314" i="7" s="1"/>
  <c r="F4314" i="7" s="1"/>
  <c r="L4313" i="7"/>
  <c r="K4313" i="7"/>
  <c r="H4313" i="7"/>
  <c r="U4313" i="7" s="1"/>
  <c r="C4313" i="7"/>
  <c r="E4313" i="7" s="1"/>
  <c r="F4313" i="7" s="1"/>
  <c r="J4313" i="7" s="1"/>
  <c r="L4312" i="7"/>
  <c r="K4312" i="7"/>
  <c r="H4312" i="7"/>
  <c r="U4312" i="7" s="1"/>
  <c r="C4312" i="7"/>
  <c r="E4312" i="7" s="1"/>
  <c r="F4312" i="7" s="1"/>
  <c r="L4311" i="7"/>
  <c r="K4311" i="7"/>
  <c r="H4311" i="7"/>
  <c r="U4311" i="7" s="1"/>
  <c r="C4311" i="7"/>
  <c r="E4311" i="7" s="1"/>
  <c r="F4311" i="7" s="1"/>
  <c r="L4310" i="7"/>
  <c r="K4310" i="7"/>
  <c r="H4310" i="7"/>
  <c r="U4310" i="7" s="1"/>
  <c r="C4310" i="7"/>
  <c r="E4310" i="7" s="1"/>
  <c r="F4310" i="7" s="1"/>
  <c r="L4309" i="7"/>
  <c r="K4309" i="7"/>
  <c r="H4309" i="7"/>
  <c r="U4309" i="7" s="1"/>
  <c r="C4309" i="7"/>
  <c r="E4309" i="7" s="1"/>
  <c r="F4309" i="7" s="1"/>
  <c r="L4308" i="7"/>
  <c r="K4308" i="7"/>
  <c r="H4308" i="7"/>
  <c r="U4308" i="7" s="1"/>
  <c r="C4308" i="7"/>
  <c r="E4308" i="7" s="1"/>
  <c r="F4308" i="7" s="1"/>
  <c r="L4307" i="7"/>
  <c r="K4307" i="7"/>
  <c r="H4307" i="7"/>
  <c r="U4307" i="7" s="1"/>
  <c r="C4307" i="7"/>
  <c r="E4307" i="7" s="1"/>
  <c r="F4307" i="7" s="1"/>
  <c r="L4306" i="7"/>
  <c r="K4306" i="7"/>
  <c r="H4306" i="7"/>
  <c r="U4306" i="7" s="1"/>
  <c r="C4306" i="7"/>
  <c r="E4306" i="7" s="1"/>
  <c r="F4306" i="7" s="1"/>
  <c r="L4305" i="7"/>
  <c r="K4305" i="7"/>
  <c r="H4305" i="7"/>
  <c r="U4305" i="7" s="1"/>
  <c r="C4305" i="7"/>
  <c r="E4305" i="7" s="1"/>
  <c r="F4305" i="7" s="1"/>
  <c r="L4304" i="7"/>
  <c r="K4304" i="7"/>
  <c r="H4304" i="7"/>
  <c r="U4304" i="7" s="1"/>
  <c r="C4304" i="7"/>
  <c r="E4304" i="7" s="1"/>
  <c r="F4304" i="7" s="1"/>
  <c r="L4303" i="7"/>
  <c r="K4303" i="7"/>
  <c r="H4303" i="7"/>
  <c r="U4303" i="7" s="1"/>
  <c r="C4303" i="7"/>
  <c r="E4303" i="7" s="1"/>
  <c r="F4303" i="7" s="1"/>
  <c r="J4303" i="7" s="1"/>
  <c r="L4302" i="7"/>
  <c r="K4302" i="7"/>
  <c r="H4302" i="7"/>
  <c r="U4302" i="7" s="1"/>
  <c r="C4302" i="7"/>
  <c r="E4302" i="7" s="1"/>
  <c r="F4302" i="7" s="1"/>
  <c r="L4301" i="7"/>
  <c r="K4301" i="7"/>
  <c r="H4301" i="7"/>
  <c r="U4301" i="7" s="1"/>
  <c r="C4301" i="7"/>
  <c r="E4301" i="7" s="1"/>
  <c r="F4301" i="7" s="1"/>
  <c r="L4300" i="7"/>
  <c r="K4300" i="7"/>
  <c r="H4300" i="7"/>
  <c r="U4300" i="7" s="1"/>
  <c r="C4300" i="7"/>
  <c r="E4300" i="7" s="1"/>
  <c r="F4300" i="7" s="1"/>
  <c r="L4299" i="7"/>
  <c r="K4299" i="7"/>
  <c r="H4299" i="7"/>
  <c r="U4299" i="7" s="1"/>
  <c r="C4299" i="7"/>
  <c r="E4299" i="7" s="1"/>
  <c r="F4299" i="7" s="1"/>
  <c r="L4298" i="7"/>
  <c r="K4298" i="7"/>
  <c r="H4298" i="7"/>
  <c r="U4298" i="7" s="1"/>
  <c r="C4298" i="7"/>
  <c r="E4298" i="7" s="1"/>
  <c r="F4298" i="7" s="1"/>
  <c r="L4297" i="7"/>
  <c r="K4297" i="7"/>
  <c r="H4297" i="7"/>
  <c r="U4297" i="7" s="1"/>
  <c r="C4297" i="7"/>
  <c r="E4297" i="7" s="1"/>
  <c r="F4297" i="7" s="1"/>
  <c r="L4296" i="7"/>
  <c r="K4296" i="7"/>
  <c r="H4296" i="7"/>
  <c r="U4296" i="7" s="1"/>
  <c r="C4296" i="7"/>
  <c r="E4296" i="7" s="1"/>
  <c r="F4296" i="7" s="1"/>
  <c r="U4295" i="7"/>
  <c r="L4295" i="7"/>
  <c r="K4295" i="7"/>
  <c r="H4295" i="7"/>
  <c r="C4295" i="7"/>
  <c r="E4295" i="7" s="1"/>
  <c r="F4295" i="7" s="1"/>
  <c r="L4294" i="7"/>
  <c r="K4294" i="7"/>
  <c r="H4294" i="7"/>
  <c r="U4294" i="7" s="1"/>
  <c r="C4294" i="7"/>
  <c r="E4294" i="7" s="1"/>
  <c r="F4294" i="7" s="1"/>
  <c r="L4293" i="7"/>
  <c r="K4293" i="7"/>
  <c r="H4293" i="7"/>
  <c r="U4293" i="7" s="1"/>
  <c r="C4293" i="7"/>
  <c r="E4293" i="7" s="1"/>
  <c r="F4293" i="7" s="1"/>
  <c r="L4292" i="7"/>
  <c r="K4292" i="7"/>
  <c r="H4292" i="7"/>
  <c r="U4292" i="7" s="1"/>
  <c r="C4292" i="7"/>
  <c r="E4292" i="7" s="1"/>
  <c r="F4292" i="7" s="1"/>
  <c r="L4291" i="7"/>
  <c r="K4291" i="7"/>
  <c r="H4291" i="7"/>
  <c r="U4291" i="7" s="1"/>
  <c r="C4291" i="7"/>
  <c r="E4291" i="7" s="1"/>
  <c r="F4291" i="7" s="1"/>
  <c r="L4290" i="7"/>
  <c r="K4290" i="7"/>
  <c r="H4290" i="7"/>
  <c r="U4290" i="7" s="1"/>
  <c r="C4290" i="7"/>
  <c r="E4290" i="7" s="1"/>
  <c r="F4290" i="7" s="1"/>
  <c r="L4289" i="7"/>
  <c r="K4289" i="7"/>
  <c r="H4289" i="7"/>
  <c r="U4289" i="7" s="1"/>
  <c r="C4289" i="7"/>
  <c r="E4289" i="7" s="1"/>
  <c r="F4289" i="7" s="1"/>
  <c r="U4288" i="7"/>
  <c r="L4288" i="7"/>
  <c r="K4288" i="7"/>
  <c r="H4288" i="7"/>
  <c r="C4288" i="7"/>
  <c r="E4288" i="7" s="1"/>
  <c r="F4288" i="7" s="1"/>
  <c r="U4287" i="7"/>
  <c r="L4287" i="7"/>
  <c r="K4287" i="7"/>
  <c r="H4287" i="7"/>
  <c r="C4287" i="7"/>
  <c r="E4287" i="7" s="1"/>
  <c r="F4287" i="7" s="1"/>
  <c r="L4286" i="7"/>
  <c r="K4286" i="7"/>
  <c r="H4286" i="7"/>
  <c r="U4286" i="7" s="1"/>
  <c r="C4286" i="7"/>
  <c r="E4286" i="7" s="1"/>
  <c r="F4286" i="7" s="1"/>
  <c r="L4285" i="7"/>
  <c r="K4285" i="7"/>
  <c r="H4285" i="7"/>
  <c r="U4285" i="7" s="1"/>
  <c r="C4285" i="7"/>
  <c r="E4285" i="7" s="1"/>
  <c r="F4285" i="7" s="1"/>
  <c r="L4284" i="7"/>
  <c r="K4284" i="7"/>
  <c r="H4284" i="7"/>
  <c r="U4284" i="7" s="1"/>
  <c r="C4284" i="7"/>
  <c r="E4284" i="7" s="1"/>
  <c r="F4284" i="7" s="1"/>
  <c r="J4284" i="7" s="1"/>
  <c r="L4283" i="7"/>
  <c r="K4283" i="7"/>
  <c r="H4283" i="7"/>
  <c r="U4283" i="7" s="1"/>
  <c r="C4283" i="7"/>
  <c r="E4283" i="7" s="1"/>
  <c r="F4283" i="7" s="1"/>
  <c r="L4282" i="7"/>
  <c r="K4282" i="7"/>
  <c r="H4282" i="7"/>
  <c r="U4282" i="7" s="1"/>
  <c r="C4282" i="7"/>
  <c r="E4282" i="7" s="1"/>
  <c r="F4282" i="7" s="1"/>
  <c r="L4281" i="7"/>
  <c r="K4281" i="7"/>
  <c r="H4281" i="7"/>
  <c r="U4281" i="7" s="1"/>
  <c r="C4281" i="7"/>
  <c r="E4281" i="7" s="1"/>
  <c r="F4281" i="7" s="1"/>
  <c r="L4280" i="7"/>
  <c r="K4280" i="7"/>
  <c r="H4280" i="7"/>
  <c r="U4280" i="7" s="1"/>
  <c r="C4280" i="7"/>
  <c r="E4280" i="7" s="1"/>
  <c r="F4280" i="7" s="1"/>
  <c r="J4280" i="7" s="1"/>
  <c r="U4279" i="7"/>
  <c r="L4279" i="7"/>
  <c r="K4279" i="7"/>
  <c r="H4279" i="7"/>
  <c r="C4279" i="7"/>
  <c r="E4279" i="7" s="1"/>
  <c r="F4279" i="7" s="1"/>
  <c r="L4278" i="7"/>
  <c r="K4278" i="7"/>
  <c r="H4278" i="7"/>
  <c r="U4278" i="7" s="1"/>
  <c r="C4278" i="7"/>
  <c r="E4278" i="7" s="1"/>
  <c r="F4278" i="7" s="1"/>
  <c r="L4277" i="7"/>
  <c r="K4277" i="7"/>
  <c r="H4277" i="7"/>
  <c r="U4277" i="7" s="1"/>
  <c r="C4277" i="7"/>
  <c r="E4277" i="7" s="1"/>
  <c r="F4277" i="7" s="1"/>
  <c r="L4276" i="7"/>
  <c r="K4276" i="7"/>
  <c r="H4276" i="7"/>
  <c r="U4276" i="7" s="1"/>
  <c r="C4276" i="7"/>
  <c r="E4276" i="7" s="1"/>
  <c r="F4276" i="7" s="1"/>
  <c r="I4276" i="7" s="1"/>
  <c r="L4275" i="7"/>
  <c r="K4275" i="7"/>
  <c r="H4275" i="7"/>
  <c r="U4275" i="7" s="1"/>
  <c r="C4275" i="7"/>
  <c r="E4275" i="7" s="1"/>
  <c r="F4275" i="7" s="1"/>
  <c r="U4274" i="7"/>
  <c r="L4274" i="7"/>
  <c r="K4274" i="7"/>
  <c r="H4274" i="7"/>
  <c r="C4274" i="7"/>
  <c r="E4274" i="7" s="1"/>
  <c r="F4274" i="7" s="1"/>
  <c r="L4273" i="7"/>
  <c r="K4273" i="7"/>
  <c r="H4273" i="7"/>
  <c r="U4273" i="7" s="1"/>
  <c r="E4273" i="7"/>
  <c r="F4273" i="7" s="1"/>
  <c r="C4273" i="7"/>
  <c r="L4272" i="7"/>
  <c r="K4272" i="7"/>
  <c r="H4272" i="7"/>
  <c r="U4272" i="7" s="1"/>
  <c r="C4272" i="7"/>
  <c r="E4272" i="7" s="1"/>
  <c r="F4272" i="7" s="1"/>
  <c r="L4271" i="7"/>
  <c r="K4271" i="7"/>
  <c r="H4271" i="7"/>
  <c r="U4271" i="7" s="1"/>
  <c r="C4271" i="7"/>
  <c r="E4271" i="7" s="1"/>
  <c r="F4271" i="7" s="1"/>
  <c r="L4270" i="7"/>
  <c r="K4270" i="7"/>
  <c r="H4270" i="7"/>
  <c r="U4270" i="7" s="1"/>
  <c r="C4270" i="7"/>
  <c r="E4270" i="7" s="1"/>
  <c r="F4270" i="7" s="1"/>
  <c r="L4269" i="7"/>
  <c r="K4269" i="7"/>
  <c r="H4269" i="7"/>
  <c r="U4269" i="7" s="1"/>
  <c r="C4269" i="7"/>
  <c r="E4269" i="7" s="1"/>
  <c r="F4269" i="7" s="1"/>
  <c r="L4268" i="7"/>
  <c r="K4268" i="7"/>
  <c r="H4268" i="7"/>
  <c r="U4268" i="7" s="1"/>
  <c r="C4268" i="7"/>
  <c r="E4268" i="7" s="1"/>
  <c r="F4268" i="7" s="1"/>
  <c r="L4267" i="7"/>
  <c r="K4267" i="7"/>
  <c r="H4267" i="7"/>
  <c r="U4267" i="7" s="1"/>
  <c r="C4267" i="7"/>
  <c r="E4267" i="7" s="1"/>
  <c r="F4267" i="7" s="1"/>
  <c r="L4266" i="7"/>
  <c r="K4266" i="7"/>
  <c r="H4266" i="7"/>
  <c r="U4266" i="7" s="1"/>
  <c r="C4266" i="7"/>
  <c r="E4266" i="7" s="1"/>
  <c r="F4266" i="7" s="1"/>
  <c r="L4265" i="7"/>
  <c r="K4265" i="7"/>
  <c r="H4265" i="7"/>
  <c r="U4265" i="7" s="1"/>
  <c r="C4265" i="7"/>
  <c r="E4265" i="7" s="1"/>
  <c r="F4265" i="7" s="1"/>
  <c r="L4264" i="7"/>
  <c r="K4264" i="7"/>
  <c r="H4264" i="7"/>
  <c r="U4264" i="7" s="1"/>
  <c r="C4264" i="7"/>
  <c r="E4264" i="7" s="1"/>
  <c r="F4264" i="7" s="1"/>
  <c r="J4264" i="7" s="1"/>
  <c r="U4263" i="7"/>
  <c r="L4263" i="7"/>
  <c r="K4263" i="7"/>
  <c r="H4263" i="7"/>
  <c r="C4263" i="7"/>
  <c r="E4263" i="7" s="1"/>
  <c r="F4263" i="7" s="1"/>
  <c r="L4262" i="7"/>
  <c r="K4262" i="7"/>
  <c r="H4262" i="7"/>
  <c r="U4262" i="7" s="1"/>
  <c r="C4262" i="7"/>
  <c r="E4262" i="7" s="1"/>
  <c r="F4262" i="7" s="1"/>
  <c r="L4261" i="7"/>
  <c r="K4261" i="7"/>
  <c r="H4261" i="7"/>
  <c r="U4261" i="7" s="1"/>
  <c r="C4261" i="7"/>
  <c r="E4261" i="7" s="1"/>
  <c r="F4261" i="7" s="1"/>
  <c r="L4260" i="7"/>
  <c r="K4260" i="7"/>
  <c r="H4260" i="7"/>
  <c r="U4260" i="7" s="1"/>
  <c r="C4260" i="7"/>
  <c r="E4260" i="7" s="1"/>
  <c r="F4260" i="7" s="1"/>
  <c r="L4259" i="7"/>
  <c r="J4259" i="7" s="1"/>
  <c r="K4259" i="7"/>
  <c r="H4259" i="7"/>
  <c r="U4259" i="7" s="1"/>
  <c r="C4259" i="7"/>
  <c r="E4259" i="7" s="1"/>
  <c r="F4259" i="7" s="1"/>
  <c r="L4258" i="7"/>
  <c r="J4258" i="7" s="1"/>
  <c r="K4258" i="7"/>
  <c r="H4258" i="7"/>
  <c r="U4258" i="7" s="1"/>
  <c r="C4258" i="7"/>
  <c r="E4258" i="7" s="1"/>
  <c r="F4258" i="7" s="1"/>
  <c r="L4257" i="7"/>
  <c r="K4257" i="7"/>
  <c r="H4257" i="7"/>
  <c r="U4257" i="7" s="1"/>
  <c r="C4257" i="7"/>
  <c r="E4257" i="7" s="1"/>
  <c r="F4257" i="7" s="1"/>
  <c r="L4256" i="7"/>
  <c r="K4256" i="7"/>
  <c r="H4256" i="7"/>
  <c r="U4256" i="7" s="1"/>
  <c r="C4256" i="7"/>
  <c r="E4256" i="7" s="1"/>
  <c r="F4256" i="7" s="1"/>
  <c r="L4255" i="7"/>
  <c r="K4255" i="7"/>
  <c r="H4255" i="7"/>
  <c r="U4255" i="7" s="1"/>
  <c r="C4255" i="7"/>
  <c r="E4255" i="7" s="1"/>
  <c r="F4255" i="7" s="1"/>
  <c r="U4254" i="7"/>
  <c r="L4254" i="7"/>
  <c r="K4254" i="7"/>
  <c r="H4254" i="7"/>
  <c r="C4254" i="7"/>
  <c r="E4254" i="7" s="1"/>
  <c r="F4254" i="7" s="1"/>
  <c r="L4253" i="7"/>
  <c r="K4253" i="7"/>
  <c r="H4253" i="7"/>
  <c r="U4253" i="7" s="1"/>
  <c r="F4253" i="7"/>
  <c r="J4253" i="7" s="1"/>
  <c r="C4253" i="7"/>
  <c r="E4253" i="7" s="1"/>
  <c r="L4252" i="7"/>
  <c r="K4252" i="7"/>
  <c r="I4252" i="7"/>
  <c r="H4252" i="7"/>
  <c r="U4252" i="7" s="1"/>
  <c r="C4252" i="7"/>
  <c r="E4252" i="7" s="1"/>
  <c r="F4252" i="7" s="1"/>
  <c r="L4251" i="7"/>
  <c r="K4251" i="7"/>
  <c r="H4251" i="7"/>
  <c r="U4251" i="7" s="1"/>
  <c r="C4251" i="7"/>
  <c r="E4251" i="7" s="1"/>
  <c r="F4251" i="7" s="1"/>
  <c r="L4250" i="7"/>
  <c r="K4250" i="7"/>
  <c r="H4250" i="7"/>
  <c r="U4250" i="7" s="1"/>
  <c r="C4250" i="7"/>
  <c r="E4250" i="7" s="1"/>
  <c r="F4250" i="7" s="1"/>
  <c r="L4249" i="7"/>
  <c r="K4249" i="7"/>
  <c r="H4249" i="7"/>
  <c r="U4249" i="7" s="1"/>
  <c r="C4249" i="7"/>
  <c r="E4249" i="7" s="1"/>
  <c r="F4249" i="7" s="1"/>
  <c r="L4248" i="7"/>
  <c r="K4248" i="7"/>
  <c r="H4248" i="7"/>
  <c r="U4248" i="7" s="1"/>
  <c r="C4248" i="7"/>
  <c r="E4248" i="7" s="1"/>
  <c r="F4248" i="7" s="1"/>
  <c r="U4247" i="7"/>
  <c r="L4247" i="7"/>
  <c r="K4247" i="7"/>
  <c r="H4247" i="7"/>
  <c r="E4247" i="7"/>
  <c r="F4247" i="7" s="1"/>
  <c r="C4247" i="7"/>
  <c r="L4246" i="7"/>
  <c r="K4246" i="7"/>
  <c r="H4246" i="7"/>
  <c r="U4246" i="7" s="1"/>
  <c r="C4246" i="7"/>
  <c r="E4246" i="7" s="1"/>
  <c r="F4246" i="7" s="1"/>
  <c r="J4246" i="7" s="1"/>
  <c r="L4245" i="7"/>
  <c r="K4245" i="7"/>
  <c r="H4245" i="7"/>
  <c r="U4245" i="7" s="1"/>
  <c r="C4245" i="7"/>
  <c r="E4245" i="7" s="1"/>
  <c r="F4245" i="7" s="1"/>
  <c r="L4244" i="7"/>
  <c r="K4244" i="7"/>
  <c r="H4244" i="7"/>
  <c r="U4244" i="7" s="1"/>
  <c r="C4244" i="7"/>
  <c r="E4244" i="7" s="1"/>
  <c r="F4244" i="7" s="1"/>
  <c r="L4243" i="7"/>
  <c r="K4243" i="7"/>
  <c r="H4243" i="7"/>
  <c r="U4243" i="7" s="1"/>
  <c r="E4243" i="7"/>
  <c r="F4243" i="7" s="1"/>
  <c r="C4243" i="7"/>
  <c r="L4242" i="7"/>
  <c r="K4242" i="7"/>
  <c r="H4242" i="7"/>
  <c r="U4242" i="7" s="1"/>
  <c r="C4242" i="7"/>
  <c r="E4242" i="7" s="1"/>
  <c r="F4242" i="7" s="1"/>
  <c r="I4242" i="7" s="1"/>
  <c r="L4241" i="7"/>
  <c r="K4241" i="7"/>
  <c r="H4241" i="7"/>
  <c r="U4241" i="7" s="1"/>
  <c r="E4241" i="7"/>
  <c r="F4241" i="7" s="1"/>
  <c r="C4241" i="7"/>
  <c r="U4240" i="7"/>
  <c r="L4240" i="7"/>
  <c r="K4240" i="7"/>
  <c r="H4240" i="7"/>
  <c r="C4240" i="7"/>
  <c r="E4240" i="7" s="1"/>
  <c r="F4240" i="7" s="1"/>
  <c r="L4239" i="7"/>
  <c r="K4239" i="7"/>
  <c r="H4239" i="7"/>
  <c r="U4239" i="7" s="1"/>
  <c r="C4239" i="7"/>
  <c r="E4239" i="7" s="1"/>
  <c r="F4239" i="7" s="1"/>
  <c r="L4238" i="7"/>
  <c r="K4238" i="7"/>
  <c r="H4238" i="7"/>
  <c r="U4238" i="7" s="1"/>
  <c r="C4238" i="7"/>
  <c r="E4238" i="7" s="1"/>
  <c r="F4238" i="7" s="1"/>
  <c r="L4237" i="7"/>
  <c r="K4237" i="7"/>
  <c r="H4237" i="7"/>
  <c r="U4237" i="7" s="1"/>
  <c r="E4237" i="7"/>
  <c r="F4237" i="7" s="1"/>
  <c r="C4237" i="7"/>
  <c r="U4236" i="7"/>
  <c r="L4236" i="7"/>
  <c r="K4236" i="7"/>
  <c r="H4236" i="7"/>
  <c r="C4236" i="7"/>
  <c r="E4236" i="7" s="1"/>
  <c r="F4236" i="7" s="1"/>
  <c r="L4235" i="7"/>
  <c r="K4235" i="7"/>
  <c r="H4235" i="7"/>
  <c r="U4235" i="7" s="1"/>
  <c r="C4235" i="7"/>
  <c r="E4235" i="7" s="1"/>
  <c r="F4235" i="7" s="1"/>
  <c r="L4234" i="7"/>
  <c r="K4234" i="7"/>
  <c r="H4234" i="7"/>
  <c r="U4234" i="7" s="1"/>
  <c r="C4234" i="7"/>
  <c r="E4234" i="7" s="1"/>
  <c r="F4234" i="7" s="1"/>
  <c r="L4233" i="7"/>
  <c r="K4233" i="7"/>
  <c r="H4233" i="7"/>
  <c r="U4233" i="7" s="1"/>
  <c r="C4233" i="7"/>
  <c r="E4233" i="7" s="1"/>
  <c r="F4233" i="7" s="1"/>
  <c r="I4233" i="7" s="1"/>
  <c r="L4232" i="7"/>
  <c r="K4232" i="7"/>
  <c r="H4232" i="7"/>
  <c r="U4232" i="7" s="1"/>
  <c r="C4232" i="7"/>
  <c r="E4232" i="7" s="1"/>
  <c r="F4232" i="7" s="1"/>
  <c r="L4231" i="7"/>
  <c r="K4231" i="7"/>
  <c r="H4231" i="7"/>
  <c r="U4231" i="7" s="1"/>
  <c r="C4231" i="7"/>
  <c r="E4231" i="7" s="1"/>
  <c r="F4231" i="7" s="1"/>
  <c r="L4230" i="7"/>
  <c r="K4230" i="7"/>
  <c r="H4230" i="7"/>
  <c r="U4230" i="7" s="1"/>
  <c r="C4230" i="7"/>
  <c r="E4230" i="7" s="1"/>
  <c r="F4230" i="7" s="1"/>
  <c r="L4229" i="7"/>
  <c r="K4229" i="7"/>
  <c r="H4229" i="7"/>
  <c r="U4229" i="7" s="1"/>
  <c r="E4229" i="7"/>
  <c r="F4229" i="7" s="1"/>
  <c r="C4229" i="7"/>
  <c r="L4228" i="7"/>
  <c r="K4228" i="7"/>
  <c r="H4228" i="7"/>
  <c r="U4228" i="7" s="1"/>
  <c r="C4228" i="7"/>
  <c r="E4228" i="7" s="1"/>
  <c r="F4228" i="7" s="1"/>
  <c r="U4227" i="7"/>
  <c r="L4227" i="7"/>
  <c r="K4227" i="7"/>
  <c r="H4227" i="7"/>
  <c r="C4227" i="7"/>
  <c r="E4227" i="7" s="1"/>
  <c r="F4227" i="7" s="1"/>
  <c r="I4227" i="7" s="1"/>
  <c r="L4226" i="7"/>
  <c r="K4226" i="7"/>
  <c r="H4226" i="7"/>
  <c r="U4226" i="7" s="1"/>
  <c r="C4226" i="7"/>
  <c r="E4226" i="7" s="1"/>
  <c r="F4226" i="7" s="1"/>
  <c r="L4225" i="7"/>
  <c r="K4225" i="7"/>
  <c r="H4225" i="7"/>
  <c r="U4225" i="7" s="1"/>
  <c r="C4225" i="7"/>
  <c r="E4225" i="7" s="1"/>
  <c r="F4225" i="7" s="1"/>
  <c r="L4224" i="7"/>
  <c r="K4224" i="7"/>
  <c r="H4224" i="7"/>
  <c r="U4224" i="7" s="1"/>
  <c r="C4224" i="7"/>
  <c r="E4224" i="7" s="1"/>
  <c r="F4224" i="7" s="1"/>
  <c r="L4223" i="7"/>
  <c r="K4223" i="7"/>
  <c r="H4223" i="7"/>
  <c r="U4223" i="7" s="1"/>
  <c r="C4223" i="7"/>
  <c r="E4223" i="7" s="1"/>
  <c r="F4223" i="7" s="1"/>
  <c r="U4222" i="7"/>
  <c r="L4222" i="7"/>
  <c r="K4222" i="7"/>
  <c r="H4222" i="7"/>
  <c r="F4222" i="7"/>
  <c r="C4222" i="7"/>
  <c r="E4222" i="7" s="1"/>
  <c r="L4221" i="7"/>
  <c r="K4221" i="7"/>
  <c r="H4221" i="7"/>
  <c r="U4221" i="7" s="1"/>
  <c r="C4221" i="7"/>
  <c r="E4221" i="7" s="1"/>
  <c r="F4221" i="7" s="1"/>
  <c r="L4220" i="7"/>
  <c r="K4220" i="7"/>
  <c r="H4220" i="7"/>
  <c r="U4220" i="7" s="1"/>
  <c r="C4220" i="7"/>
  <c r="E4220" i="7" s="1"/>
  <c r="F4220" i="7" s="1"/>
  <c r="U4219" i="7"/>
  <c r="L4219" i="7"/>
  <c r="K4219" i="7"/>
  <c r="H4219" i="7"/>
  <c r="C4219" i="7"/>
  <c r="E4219" i="7" s="1"/>
  <c r="F4219" i="7" s="1"/>
  <c r="L4218" i="7"/>
  <c r="K4218" i="7"/>
  <c r="H4218" i="7"/>
  <c r="U4218" i="7" s="1"/>
  <c r="C4218" i="7"/>
  <c r="E4218" i="7" s="1"/>
  <c r="F4218" i="7" s="1"/>
  <c r="L4217" i="7"/>
  <c r="K4217" i="7"/>
  <c r="H4217" i="7"/>
  <c r="U4217" i="7" s="1"/>
  <c r="C4217" i="7"/>
  <c r="E4217" i="7" s="1"/>
  <c r="F4217" i="7" s="1"/>
  <c r="J4217" i="7" s="1"/>
  <c r="L4216" i="7"/>
  <c r="K4216" i="7"/>
  <c r="H4216" i="7"/>
  <c r="U4216" i="7" s="1"/>
  <c r="C4216" i="7"/>
  <c r="E4216" i="7" s="1"/>
  <c r="F4216" i="7" s="1"/>
  <c r="J4216" i="7" s="1"/>
  <c r="L4215" i="7"/>
  <c r="K4215" i="7"/>
  <c r="H4215" i="7"/>
  <c r="U4215" i="7" s="1"/>
  <c r="C4215" i="7"/>
  <c r="E4215" i="7" s="1"/>
  <c r="F4215" i="7" s="1"/>
  <c r="I4215" i="7" s="1"/>
  <c r="U4214" i="7"/>
  <c r="L4214" i="7"/>
  <c r="K4214" i="7"/>
  <c r="H4214" i="7"/>
  <c r="C4214" i="7"/>
  <c r="E4214" i="7" s="1"/>
  <c r="F4214" i="7" s="1"/>
  <c r="J4214" i="7" s="1"/>
  <c r="L4213" i="7"/>
  <c r="K4213" i="7"/>
  <c r="H4213" i="7"/>
  <c r="U4213" i="7" s="1"/>
  <c r="C4213" i="7"/>
  <c r="E4213" i="7" s="1"/>
  <c r="F4213" i="7" s="1"/>
  <c r="L4212" i="7"/>
  <c r="K4212" i="7"/>
  <c r="H4212" i="7"/>
  <c r="U4212" i="7" s="1"/>
  <c r="C4212" i="7"/>
  <c r="E4212" i="7" s="1"/>
  <c r="F4212" i="7" s="1"/>
  <c r="L4211" i="7"/>
  <c r="K4211" i="7"/>
  <c r="H4211" i="7"/>
  <c r="U4211" i="7" s="1"/>
  <c r="E4211" i="7"/>
  <c r="F4211" i="7" s="1"/>
  <c r="C4211" i="7"/>
  <c r="L4210" i="7"/>
  <c r="K4210" i="7"/>
  <c r="H4210" i="7"/>
  <c r="U4210" i="7" s="1"/>
  <c r="F4210" i="7"/>
  <c r="J4210" i="7" s="1"/>
  <c r="C4210" i="7"/>
  <c r="E4210" i="7" s="1"/>
  <c r="L4209" i="7"/>
  <c r="K4209" i="7"/>
  <c r="H4209" i="7"/>
  <c r="U4209" i="7" s="1"/>
  <c r="C4209" i="7"/>
  <c r="E4209" i="7" s="1"/>
  <c r="F4209" i="7" s="1"/>
  <c r="L4208" i="7"/>
  <c r="K4208" i="7"/>
  <c r="H4208" i="7"/>
  <c r="U4208" i="7" s="1"/>
  <c r="C4208" i="7"/>
  <c r="E4208" i="7" s="1"/>
  <c r="F4208" i="7" s="1"/>
  <c r="L4207" i="7"/>
  <c r="K4207" i="7"/>
  <c r="H4207" i="7"/>
  <c r="U4207" i="7" s="1"/>
  <c r="E4207" i="7"/>
  <c r="F4207" i="7" s="1"/>
  <c r="C4207" i="7"/>
  <c r="L4206" i="7"/>
  <c r="K4206" i="7"/>
  <c r="H4206" i="7"/>
  <c r="U4206" i="7" s="1"/>
  <c r="F4206" i="7"/>
  <c r="C4206" i="7"/>
  <c r="E4206" i="7" s="1"/>
  <c r="L4205" i="7"/>
  <c r="K4205" i="7"/>
  <c r="H4205" i="7"/>
  <c r="U4205" i="7" s="1"/>
  <c r="C4205" i="7"/>
  <c r="E4205" i="7" s="1"/>
  <c r="F4205" i="7" s="1"/>
  <c r="L4204" i="7"/>
  <c r="K4204" i="7"/>
  <c r="H4204" i="7"/>
  <c r="U4204" i="7" s="1"/>
  <c r="C4204" i="7"/>
  <c r="E4204" i="7" s="1"/>
  <c r="F4204" i="7" s="1"/>
  <c r="L4203" i="7"/>
  <c r="K4203" i="7"/>
  <c r="H4203" i="7"/>
  <c r="U4203" i="7" s="1"/>
  <c r="C4203" i="7"/>
  <c r="E4203" i="7" s="1"/>
  <c r="F4203" i="7" s="1"/>
  <c r="L4202" i="7"/>
  <c r="K4202" i="7"/>
  <c r="H4202" i="7"/>
  <c r="U4202" i="7" s="1"/>
  <c r="C4202" i="7"/>
  <c r="E4202" i="7" s="1"/>
  <c r="F4202" i="7" s="1"/>
  <c r="L4201" i="7"/>
  <c r="K4201" i="7"/>
  <c r="H4201" i="7"/>
  <c r="U4201" i="7" s="1"/>
  <c r="C4201" i="7"/>
  <c r="E4201" i="7" s="1"/>
  <c r="F4201" i="7" s="1"/>
  <c r="U4200" i="7"/>
  <c r="L4200" i="7"/>
  <c r="K4200" i="7"/>
  <c r="H4200" i="7"/>
  <c r="C4200" i="7"/>
  <c r="E4200" i="7" s="1"/>
  <c r="F4200" i="7" s="1"/>
  <c r="L4199" i="7"/>
  <c r="K4199" i="7"/>
  <c r="H4199" i="7"/>
  <c r="U4199" i="7" s="1"/>
  <c r="C4199" i="7"/>
  <c r="E4199" i="7" s="1"/>
  <c r="F4199" i="7" s="1"/>
  <c r="L4198" i="7"/>
  <c r="K4198" i="7"/>
  <c r="H4198" i="7"/>
  <c r="U4198" i="7" s="1"/>
  <c r="C4198" i="7"/>
  <c r="E4198" i="7" s="1"/>
  <c r="F4198" i="7" s="1"/>
  <c r="L4197" i="7"/>
  <c r="K4197" i="7"/>
  <c r="H4197" i="7"/>
  <c r="U4197" i="7" s="1"/>
  <c r="C4197" i="7"/>
  <c r="E4197" i="7" s="1"/>
  <c r="F4197" i="7" s="1"/>
  <c r="U4196" i="7"/>
  <c r="L4196" i="7"/>
  <c r="K4196" i="7"/>
  <c r="H4196" i="7"/>
  <c r="C4196" i="7"/>
  <c r="E4196" i="7" s="1"/>
  <c r="F4196" i="7" s="1"/>
  <c r="L4195" i="7"/>
  <c r="K4195" i="7"/>
  <c r="H4195" i="7"/>
  <c r="U4195" i="7" s="1"/>
  <c r="C4195" i="7"/>
  <c r="E4195" i="7" s="1"/>
  <c r="F4195" i="7" s="1"/>
  <c r="L4194" i="7"/>
  <c r="K4194" i="7"/>
  <c r="H4194" i="7"/>
  <c r="U4194" i="7" s="1"/>
  <c r="C4194" i="7"/>
  <c r="E4194" i="7" s="1"/>
  <c r="F4194" i="7" s="1"/>
  <c r="L4193" i="7"/>
  <c r="K4193" i="7"/>
  <c r="H4193" i="7"/>
  <c r="U4193" i="7" s="1"/>
  <c r="C4193" i="7"/>
  <c r="E4193" i="7" s="1"/>
  <c r="F4193" i="7" s="1"/>
  <c r="U4192" i="7"/>
  <c r="L4192" i="7"/>
  <c r="K4192" i="7"/>
  <c r="H4192" i="7"/>
  <c r="C4192" i="7"/>
  <c r="E4192" i="7" s="1"/>
  <c r="F4192" i="7" s="1"/>
  <c r="L4191" i="7"/>
  <c r="K4191" i="7"/>
  <c r="H4191" i="7"/>
  <c r="U4191" i="7" s="1"/>
  <c r="E4191" i="7"/>
  <c r="F4191" i="7" s="1"/>
  <c r="C4191" i="7"/>
  <c r="L4190" i="7"/>
  <c r="K4190" i="7"/>
  <c r="H4190" i="7"/>
  <c r="U4190" i="7" s="1"/>
  <c r="C4190" i="7"/>
  <c r="E4190" i="7" s="1"/>
  <c r="F4190" i="7" s="1"/>
  <c r="L4189" i="7"/>
  <c r="K4189" i="7"/>
  <c r="H4189" i="7"/>
  <c r="U4189" i="7" s="1"/>
  <c r="C4189" i="7"/>
  <c r="E4189" i="7" s="1"/>
  <c r="F4189" i="7" s="1"/>
  <c r="L4188" i="7"/>
  <c r="K4188" i="7"/>
  <c r="H4188" i="7"/>
  <c r="U4188" i="7" s="1"/>
  <c r="C4188" i="7"/>
  <c r="E4188" i="7" s="1"/>
  <c r="F4188" i="7" s="1"/>
  <c r="L4187" i="7"/>
  <c r="K4187" i="7"/>
  <c r="H4187" i="7"/>
  <c r="U4187" i="7" s="1"/>
  <c r="C4187" i="7"/>
  <c r="E4187" i="7" s="1"/>
  <c r="F4187" i="7" s="1"/>
  <c r="L4186" i="7"/>
  <c r="K4186" i="7"/>
  <c r="H4186" i="7"/>
  <c r="U4186" i="7" s="1"/>
  <c r="C4186" i="7"/>
  <c r="E4186" i="7" s="1"/>
  <c r="F4186" i="7" s="1"/>
  <c r="L4185" i="7"/>
  <c r="K4185" i="7"/>
  <c r="H4185" i="7"/>
  <c r="U4185" i="7" s="1"/>
  <c r="C4185" i="7"/>
  <c r="E4185" i="7" s="1"/>
  <c r="F4185" i="7" s="1"/>
  <c r="L4184" i="7"/>
  <c r="K4184" i="7"/>
  <c r="H4184" i="7"/>
  <c r="U4184" i="7" s="1"/>
  <c r="C4184" i="7"/>
  <c r="E4184" i="7" s="1"/>
  <c r="F4184" i="7" s="1"/>
  <c r="L4183" i="7"/>
  <c r="K4183" i="7"/>
  <c r="H4183" i="7"/>
  <c r="U4183" i="7" s="1"/>
  <c r="C4183" i="7"/>
  <c r="E4183" i="7" s="1"/>
  <c r="F4183" i="7" s="1"/>
  <c r="J4183" i="7" s="1"/>
  <c r="L4182" i="7"/>
  <c r="K4182" i="7"/>
  <c r="H4182" i="7"/>
  <c r="U4182" i="7" s="1"/>
  <c r="C4182" i="7"/>
  <c r="E4182" i="7" s="1"/>
  <c r="F4182" i="7" s="1"/>
  <c r="I4182" i="7" s="1"/>
  <c r="L4181" i="7"/>
  <c r="K4181" i="7"/>
  <c r="H4181" i="7"/>
  <c r="U4181" i="7" s="1"/>
  <c r="C4181" i="7"/>
  <c r="E4181" i="7" s="1"/>
  <c r="F4181" i="7" s="1"/>
  <c r="L4180" i="7"/>
  <c r="K4180" i="7"/>
  <c r="H4180" i="7"/>
  <c r="U4180" i="7" s="1"/>
  <c r="C4180" i="7"/>
  <c r="E4180" i="7" s="1"/>
  <c r="F4180" i="7" s="1"/>
  <c r="L4179" i="7"/>
  <c r="K4179" i="7"/>
  <c r="H4179" i="7"/>
  <c r="U4179" i="7" s="1"/>
  <c r="C4179" i="7"/>
  <c r="E4179" i="7" s="1"/>
  <c r="F4179" i="7" s="1"/>
  <c r="L4178" i="7"/>
  <c r="K4178" i="7"/>
  <c r="H4178" i="7"/>
  <c r="U4178" i="7" s="1"/>
  <c r="C4178" i="7"/>
  <c r="E4178" i="7" s="1"/>
  <c r="F4178" i="7" s="1"/>
  <c r="L4177" i="7"/>
  <c r="K4177" i="7"/>
  <c r="H4177" i="7"/>
  <c r="U4177" i="7" s="1"/>
  <c r="E4177" i="7"/>
  <c r="F4177" i="7" s="1"/>
  <c r="C4177" i="7"/>
  <c r="L4176" i="7"/>
  <c r="K4176" i="7"/>
  <c r="H4176" i="7"/>
  <c r="U4176" i="7" s="1"/>
  <c r="C4176" i="7"/>
  <c r="E4176" i="7" s="1"/>
  <c r="F4176" i="7" s="1"/>
  <c r="L4175" i="7"/>
  <c r="K4175" i="7"/>
  <c r="H4175" i="7"/>
  <c r="U4175" i="7" s="1"/>
  <c r="C4175" i="7"/>
  <c r="E4175" i="7" s="1"/>
  <c r="F4175" i="7" s="1"/>
  <c r="L4174" i="7"/>
  <c r="K4174" i="7"/>
  <c r="H4174" i="7"/>
  <c r="U4174" i="7" s="1"/>
  <c r="C4174" i="7"/>
  <c r="E4174" i="7" s="1"/>
  <c r="F4174" i="7" s="1"/>
  <c r="I4174" i="7" s="1"/>
  <c r="L4173" i="7"/>
  <c r="K4173" i="7"/>
  <c r="H4173" i="7"/>
  <c r="U4173" i="7" s="1"/>
  <c r="C4173" i="7"/>
  <c r="E4173" i="7" s="1"/>
  <c r="F4173" i="7" s="1"/>
  <c r="L4172" i="7"/>
  <c r="K4172" i="7"/>
  <c r="H4172" i="7"/>
  <c r="U4172" i="7" s="1"/>
  <c r="C4172" i="7"/>
  <c r="E4172" i="7" s="1"/>
  <c r="F4172" i="7" s="1"/>
  <c r="L4171" i="7"/>
  <c r="K4171" i="7"/>
  <c r="H4171" i="7"/>
  <c r="U4171" i="7" s="1"/>
  <c r="C4171" i="7"/>
  <c r="E4171" i="7" s="1"/>
  <c r="F4171" i="7" s="1"/>
  <c r="L4170" i="7"/>
  <c r="K4170" i="7"/>
  <c r="H4170" i="7"/>
  <c r="U4170" i="7" s="1"/>
  <c r="F4170" i="7"/>
  <c r="C4170" i="7"/>
  <c r="E4170" i="7" s="1"/>
  <c r="L4169" i="7"/>
  <c r="K4169" i="7"/>
  <c r="H4169" i="7"/>
  <c r="U4169" i="7" s="1"/>
  <c r="C4169" i="7"/>
  <c r="E4169" i="7" s="1"/>
  <c r="F4169" i="7" s="1"/>
  <c r="L4168" i="7"/>
  <c r="K4168" i="7"/>
  <c r="H4168" i="7"/>
  <c r="U4168" i="7" s="1"/>
  <c r="C4168" i="7"/>
  <c r="E4168" i="7" s="1"/>
  <c r="F4168" i="7" s="1"/>
  <c r="L4167" i="7"/>
  <c r="K4167" i="7"/>
  <c r="H4167" i="7"/>
  <c r="U4167" i="7" s="1"/>
  <c r="C4167" i="7"/>
  <c r="E4167" i="7" s="1"/>
  <c r="F4167" i="7" s="1"/>
  <c r="L4166" i="7"/>
  <c r="K4166" i="7"/>
  <c r="H4166" i="7"/>
  <c r="U4166" i="7" s="1"/>
  <c r="C4166" i="7"/>
  <c r="E4166" i="7" s="1"/>
  <c r="F4166" i="7" s="1"/>
  <c r="L4165" i="7"/>
  <c r="K4165" i="7"/>
  <c r="H4165" i="7"/>
  <c r="U4165" i="7" s="1"/>
  <c r="C4165" i="7"/>
  <c r="E4165" i="7" s="1"/>
  <c r="F4165" i="7" s="1"/>
  <c r="L4164" i="7"/>
  <c r="K4164" i="7"/>
  <c r="H4164" i="7"/>
  <c r="U4164" i="7" s="1"/>
  <c r="C4164" i="7"/>
  <c r="E4164" i="7" s="1"/>
  <c r="F4164" i="7" s="1"/>
  <c r="L4163" i="7"/>
  <c r="K4163" i="7"/>
  <c r="H4163" i="7"/>
  <c r="U4163" i="7" s="1"/>
  <c r="C4163" i="7"/>
  <c r="E4163" i="7" s="1"/>
  <c r="F4163" i="7" s="1"/>
  <c r="J4163" i="7" s="1"/>
  <c r="L4162" i="7"/>
  <c r="K4162" i="7"/>
  <c r="I4162" i="7"/>
  <c r="H4162" i="7"/>
  <c r="U4162" i="7" s="1"/>
  <c r="C4162" i="7"/>
  <c r="E4162" i="7" s="1"/>
  <c r="F4162" i="7" s="1"/>
  <c r="J4162" i="7" s="1"/>
  <c r="L4161" i="7"/>
  <c r="K4161" i="7"/>
  <c r="H4161" i="7"/>
  <c r="U4161" i="7" s="1"/>
  <c r="C4161" i="7"/>
  <c r="E4161" i="7" s="1"/>
  <c r="F4161" i="7" s="1"/>
  <c r="L4160" i="7"/>
  <c r="K4160" i="7"/>
  <c r="H4160" i="7"/>
  <c r="U4160" i="7" s="1"/>
  <c r="E4160" i="7"/>
  <c r="F4160" i="7" s="1"/>
  <c r="C4160" i="7"/>
  <c r="L4159" i="7"/>
  <c r="K4159" i="7"/>
  <c r="H4159" i="7"/>
  <c r="U4159" i="7" s="1"/>
  <c r="C4159" i="7"/>
  <c r="E4159" i="7" s="1"/>
  <c r="F4159" i="7" s="1"/>
  <c r="L4158" i="7"/>
  <c r="K4158" i="7"/>
  <c r="H4158" i="7"/>
  <c r="U4158" i="7" s="1"/>
  <c r="C4158" i="7"/>
  <c r="E4158" i="7" s="1"/>
  <c r="F4158" i="7" s="1"/>
  <c r="L4157" i="7"/>
  <c r="K4157" i="7"/>
  <c r="H4157" i="7"/>
  <c r="U4157" i="7" s="1"/>
  <c r="E4157" i="7"/>
  <c r="F4157" i="7" s="1"/>
  <c r="C4157" i="7"/>
  <c r="L4156" i="7"/>
  <c r="K4156" i="7"/>
  <c r="H4156" i="7"/>
  <c r="U4156" i="7" s="1"/>
  <c r="C4156" i="7"/>
  <c r="E4156" i="7" s="1"/>
  <c r="F4156" i="7" s="1"/>
  <c r="U4155" i="7"/>
  <c r="L4155" i="7"/>
  <c r="K4155" i="7"/>
  <c r="H4155" i="7"/>
  <c r="C4155" i="7"/>
  <c r="E4155" i="7" s="1"/>
  <c r="F4155" i="7" s="1"/>
  <c r="L4154" i="7"/>
  <c r="K4154" i="7"/>
  <c r="H4154" i="7"/>
  <c r="U4154" i="7" s="1"/>
  <c r="C4154" i="7"/>
  <c r="E4154" i="7" s="1"/>
  <c r="F4154" i="7" s="1"/>
  <c r="L4153" i="7"/>
  <c r="K4153" i="7"/>
  <c r="I4153" i="7"/>
  <c r="H4153" i="7"/>
  <c r="U4153" i="7" s="1"/>
  <c r="C4153" i="7"/>
  <c r="E4153" i="7" s="1"/>
  <c r="F4153" i="7" s="1"/>
  <c r="L4152" i="7"/>
  <c r="K4152" i="7"/>
  <c r="H4152" i="7"/>
  <c r="U4152" i="7" s="1"/>
  <c r="C4152" i="7"/>
  <c r="E4152" i="7" s="1"/>
  <c r="F4152" i="7" s="1"/>
  <c r="L4151" i="7"/>
  <c r="K4151" i="7"/>
  <c r="H4151" i="7"/>
  <c r="U4151" i="7" s="1"/>
  <c r="C4151" i="7"/>
  <c r="E4151" i="7" s="1"/>
  <c r="F4151" i="7" s="1"/>
  <c r="L4150" i="7"/>
  <c r="K4150" i="7"/>
  <c r="H4150" i="7"/>
  <c r="U4150" i="7" s="1"/>
  <c r="C4150" i="7"/>
  <c r="E4150" i="7" s="1"/>
  <c r="F4150" i="7" s="1"/>
  <c r="L4149" i="7"/>
  <c r="K4149" i="7"/>
  <c r="H4149" i="7"/>
  <c r="U4149" i="7" s="1"/>
  <c r="C4149" i="7"/>
  <c r="E4149" i="7" s="1"/>
  <c r="F4149" i="7" s="1"/>
  <c r="L4148" i="7"/>
  <c r="K4148" i="7"/>
  <c r="H4148" i="7"/>
  <c r="U4148" i="7" s="1"/>
  <c r="C4148" i="7"/>
  <c r="E4148" i="7" s="1"/>
  <c r="F4148" i="7" s="1"/>
  <c r="L4147" i="7"/>
  <c r="K4147" i="7"/>
  <c r="H4147" i="7"/>
  <c r="U4147" i="7" s="1"/>
  <c r="C4147" i="7"/>
  <c r="E4147" i="7" s="1"/>
  <c r="F4147" i="7" s="1"/>
  <c r="U4146" i="7"/>
  <c r="L4146" i="7"/>
  <c r="K4146" i="7"/>
  <c r="H4146" i="7"/>
  <c r="C4146" i="7"/>
  <c r="E4146" i="7" s="1"/>
  <c r="F4146" i="7" s="1"/>
  <c r="J4146" i="7" s="1"/>
  <c r="L4145" i="7"/>
  <c r="K4145" i="7"/>
  <c r="H4145" i="7"/>
  <c r="U4145" i="7" s="1"/>
  <c r="C4145" i="7"/>
  <c r="E4145" i="7" s="1"/>
  <c r="F4145" i="7" s="1"/>
  <c r="L4144" i="7"/>
  <c r="K4144" i="7"/>
  <c r="H4144" i="7"/>
  <c r="U4144" i="7" s="1"/>
  <c r="E4144" i="7"/>
  <c r="F4144" i="7" s="1"/>
  <c r="C4144" i="7"/>
  <c r="L4143" i="7"/>
  <c r="K4143" i="7"/>
  <c r="H4143" i="7"/>
  <c r="U4143" i="7" s="1"/>
  <c r="C4143" i="7"/>
  <c r="E4143" i="7" s="1"/>
  <c r="F4143" i="7" s="1"/>
  <c r="L4142" i="7"/>
  <c r="K4142" i="7"/>
  <c r="H4142" i="7"/>
  <c r="U4142" i="7" s="1"/>
  <c r="C4142" i="7"/>
  <c r="E4142" i="7" s="1"/>
  <c r="F4142" i="7" s="1"/>
  <c r="L4141" i="7"/>
  <c r="J4141" i="7" s="1"/>
  <c r="K4141" i="7"/>
  <c r="H4141" i="7"/>
  <c r="U4141" i="7" s="1"/>
  <c r="C4141" i="7"/>
  <c r="E4141" i="7" s="1"/>
  <c r="F4141" i="7" s="1"/>
  <c r="L4140" i="7"/>
  <c r="K4140" i="7"/>
  <c r="H4140" i="7"/>
  <c r="U4140" i="7" s="1"/>
  <c r="C4140" i="7"/>
  <c r="E4140" i="7" s="1"/>
  <c r="F4140" i="7" s="1"/>
  <c r="L4139" i="7"/>
  <c r="K4139" i="7"/>
  <c r="H4139" i="7"/>
  <c r="U4139" i="7" s="1"/>
  <c r="C4139" i="7"/>
  <c r="E4139" i="7" s="1"/>
  <c r="F4139" i="7" s="1"/>
  <c r="U4138" i="7"/>
  <c r="L4138" i="7"/>
  <c r="K4138" i="7"/>
  <c r="H4138" i="7"/>
  <c r="C4138" i="7"/>
  <c r="E4138" i="7" s="1"/>
  <c r="F4138" i="7" s="1"/>
  <c r="L4137" i="7"/>
  <c r="K4137" i="7"/>
  <c r="H4137" i="7"/>
  <c r="U4137" i="7" s="1"/>
  <c r="C4137" i="7"/>
  <c r="E4137" i="7" s="1"/>
  <c r="F4137" i="7" s="1"/>
  <c r="L4136" i="7"/>
  <c r="K4136" i="7"/>
  <c r="H4136" i="7"/>
  <c r="U4136" i="7" s="1"/>
  <c r="C4136" i="7"/>
  <c r="E4136" i="7" s="1"/>
  <c r="F4136" i="7" s="1"/>
  <c r="U4135" i="7"/>
  <c r="L4135" i="7"/>
  <c r="K4135" i="7"/>
  <c r="H4135" i="7"/>
  <c r="C4135" i="7"/>
  <c r="E4135" i="7" s="1"/>
  <c r="F4135" i="7" s="1"/>
  <c r="L4134" i="7"/>
  <c r="K4134" i="7"/>
  <c r="H4134" i="7"/>
  <c r="U4134" i="7" s="1"/>
  <c r="C4134" i="7"/>
  <c r="E4134" i="7" s="1"/>
  <c r="F4134" i="7" s="1"/>
  <c r="L4133" i="7"/>
  <c r="K4133" i="7"/>
  <c r="H4133" i="7"/>
  <c r="U4133" i="7" s="1"/>
  <c r="C4133" i="7"/>
  <c r="E4133" i="7" s="1"/>
  <c r="F4133" i="7" s="1"/>
  <c r="U4132" i="7"/>
  <c r="L4132" i="7"/>
  <c r="K4132" i="7"/>
  <c r="H4132" i="7"/>
  <c r="C4132" i="7"/>
  <c r="E4132" i="7" s="1"/>
  <c r="F4132" i="7" s="1"/>
  <c r="J4132" i="7" s="1"/>
  <c r="L4131" i="7"/>
  <c r="K4131" i="7"/>
  <c r="H4131" i="7"/>
  <c r="U4131" i="7" s="1"/>
  <c r="C4131" i="7"/>
  <c r="E4131" i="7" s="1"/>
  <c r="F4131" i="7" s="1"/>
  <c r="U4130" i="7"/>
  <c r="L4130" i="7"/>
  <c r="K4130" i="7"/>
  <c r="H4130" i="7"/>
  <c r="C4130" i="7"/>
  <c r="E4130" i="7" s="1"/>
  <c r="F4130" i="7" s="1"/>
  <c r="L4129" i="7"/>
  <c r="K4129" i="7"/>
  <c r="H4129" i="7"/>
  <c r="U4129" i="7" s="1"/>
  <c r="E4129" i="7"/>
  <c r="F4129" i="7" s="1"/>
  <c r="C4129" i="7"/>
  <c r="L4128" i="7"/>
  <c r="K4128" i="7"/>
  <c r="H4128" i="7"/>
  <c r="U4128" i="7" s="1"/>
  <c r="C4128" i="7"/>
  <c r="E4128" i="7" s="1"/>
  <c r="F4128" i="7" s="1"/>
  <c r="U4127" i="7"/>
  <c r="L4127" i="7"/>
  <c r="K4127" i="7"/>
  <c r="H4127" i="7"/>
  <c r="C4127" i="7"/>
  <c r="E4127" i="7" s="1"/>
  <c r="F4127" i="7" s="1"/>
  <c r="L4126" i="7"/>
  <c r="K4126" i="7"/>
  <c r="H4126" i="7"/>
  <c r="U4126" i="7" s="1"/>
  <c r="C4126" i="7"/>
  <c r="E4126" i="7" s="1"/>
  <c r="F4126" i="7" s="1"/>
  <c r="L4125" i="7"/>
  <c r="K4125" i="7"/>
  <c r="H4125" i="7"/>
  <c r="U4125" i="7" s="1"/>
  <c r="C4125" i="7"/>
  <c r="E4125" i="7" s="1"/>
  <c r="F4125" i="7" s="1"/>
  <c r="L4124" i="7"/>
  <c r="K4124" i="7"/>
  <c r="H4124" i="7"/>
  <c r="U4124" i="7" s="1"/>
  <c r="C4124" i="7"/>
  <c r="E4124" i="7" s="1"/>
  <c r="F4124" i="7" s="1"/>
  <c r="L4123" i="7"/>
  <c r="K4123" i="7"/>
  <c r="H4123" i="7"/>
  <c r="U4123" i="7" s="1"/>
  <c r="E4123" i="7"/>
  <c r="F4123" i="7" s="1"/>
  <c r="C4123" i="7"/>
  <c r="L4122" i="7"/>
  <c r="K4122" i="7"/>
  <c r="H4122" i="7"/>
  <c r="U4122" i="7" s="1"/>
  <c r="C4122" i="7"/>
  <c r="E4122" i="7" s="1"/>
  <c r="F4122" i="7" s="1"/>
  <c r="L4121" i="7"/>
  <c r="K4121" i="7"/>
  <c r="H4121" i="7"/>
  <c r="U4121" i="7" s="1"/>
  <c r="C4121" i="7"/>
  <c r="E4121" i="7" s="1"/>
  <c r="F4121" i="7" s="1"/>
  <c r="L4120" i="7"/>
  <c r="K4120" i="7"/>
  <c r="H4120" i="7"/>
  <c r="U4120" i="7" s="1"/>
  <c r="C4120" i="7"/>
  <c r="E4120" i="7" s="1"/>
  <c r="F4120" i="7" s="1"/>
  <c r="L4119" i="7"/>
  <c r="K4119" i="7"/>
  <c r="H4119" i="7"/>
  <c r="U4119" i="7" s="1"/>
  <c r="C4119" i="7"/>
  <c r="E4119" i="7" s="1"/>
  <c r="F4119" i="7" s="1"/>
  <c r="L4118" i="7"/>
  <c r="K4118" i="7"/>
  <c r="H4118" i="7"/>
  <c r="U4118" i="7" s="1"/>
  <c r="C4118" i="7"/>
  <c r="E4118" i="7" s="1"/>
  <c r="F4118" i="7" s="1"/>
  <c r="L4117" i="7"/>
  <c r="K4117" i="7"/>
  <c r="H4117" i="7"/>
  <c r="U4117" i="7" s="1"/>
  <c r="C4117" i="7"/>
  <c r="E4117" i="7" s="1"/>
  <c r="F4117" i="7" s="1"/>
  <c r="L4116" i="7"/>
  <c r="K4116" i="7"/>
  <c r="H4116" i="7"/>
  <c r="U4116" i="7" s="1"/>
  <c r="C4116" i="7"/>
  <c r="E4116" i="7" s="1"/>
  <c r="F4116" i="7" s="1"/>
  <c r="L4115" i="7"/>
  <c r="K4115" i="7"/>
  <c r="H4115" i="7"/>
  <c r="U4115" i="7" s="1"/>
  <c r="C4115" i="7"/>
  <c r="E4115" i="7" s="1"/>
  <c r="F4115" i="7" s="1"/>
  <c r="L4114" i="7"/>
  <c r="K4114" i="7"/>
  <c r="H4114" i="7"/>
  <c r="U4114" i="7" s="1"/>
  <c r="C4114" i="7"/>
  <c r="E4114" i="7" s="1"/>
  <c r="F4114" i="7" s="1"/>
  <c r="L4113" i="7"/>
  <c r="K4113" i="7"/>
  <c r="H4113" i="7"/>
  <c r="U4113" i="7" s="1"/>
  <c r="C4113" i="7"/>
  <c r="E4113" i="7" s="1"/>
  <c r="F4113" i="7" s="1"/>
  <c r="L4112" i="7"/>
  <c r="K4112" i="7"/>
  <c r="H4112" i="7"/>
  <c r="U4112" i="7" s="1"/>
  <c r="C4112" i="7"/>
  <c r="E4112" i="7" s="1"/>
  <c r="F4112" i="7" s="1"/>
  <c r="L4111" i="7"/>
  <c r="K4111" i="7"/>
  <c r="H4111" i="7"/>
  <c r="U4111" i="7" s="1"/>
  <c r="C4111" i="7"/>
  <c r="E4111" i="7" s="1"/>
  <c r="F4111" i="7" s="1"/>
  <c r="L4110" i="7"/>
  <c r="K4110" i="7"/>
  <c r="H4110" i="7"/>
  <c r="U4110" i="7" s="1"/>
  <c r="C4110" i="7"/>
  <c r="E4110" i="7" s="1"/>
  <c r="F4110" i="7" s="1"/>
  <c r="L4109" i="7"/>
  <c r="K4109" i="7"/>
  <c r="H4109" i="7"/>
  <c r="U4109" i="7" s="1"/>
  <c r="E4109" i="7"/>
  <c r="F4109" i="7" s="1"/>
  <c r="C4109" i="7"/>
  <c r="L4108" i="7"/>
  <c r="K4108" i="7"/>
  <c r="H4108" i="7"/>
  <c r="U4108" i="7" s="1"/>
  <c r="C4108" i="7"/>
  <c r="E4108" i="7" s="1"/>
  <c r="F4108" i="7" s="1"/>
  <c r="L4107" i="7"/>
  <c r="K4107" i="7"/>
  <c r="H4107" i="7"/>
  <c r="U4107" i="7" s="1"/>
  <c r="C4107" i="7"/>
  <c r="E4107" i="7" s="1"/>
  <c r="F4107" i="7" s="1"/>
  <c r="I4107" i="7" s="1"/>
  <c r="L4106" i="7"/>
  <c r="K4106" i="7"/>
  <c r="H4106" i="7"/>
  <c r="U4106" i="7" s="1"/>
  <c r="E4106" i="7"/>
  <c r="F4106" i="7" s="1"/>
  <c r="C4106" i="7"/>
  <c r="L4105" i="7"/>
  <c r="K4105" i="7"/>
  <c r="H4105" i="7"/>
  <c r="U4105" i="7" s="1"/>
  <c r="C4105" i="7"/>
  <c r="E4105" i="7" s="1"/>
  <c r="F4105" i="7" s="1"/>
  <c r="L4104" i="7"/>
  <c r="K4104" i="7"/>
  <c r="H4104" i="7"/>
  <c r="U4104" i="7" s="1"/>
  <c r="C4104" i="7"/>
  <c r="E4104" i="7" s="1"/>
  <c r="F4104" i="7" s="1"/>
  <c r="L4103" i="7"/>
  <c r="K4103" i="7"/>
  <c r="H4103" i="7"/>
  <c r="U4103" i="7" s="1"/>
  <c r="C4103" i="7"/>
  <c r="E4103" i="7" s="1"/>
  <c r="F4103" i="7" s="1"/>
  <c r="L4102" i="7"/>
  <c r="K4102" i="7"/>
  <c r="H4102" i="7"/>
  <c r="U4102" i="7" s="1"/>
  <c r="C4102" i="7"/>
  <c r="E4102" i="7" s="1"/>
  <c r="F4102" i="7" s="1"/>
  <c r="I4102" i="7" s="1"/>
  <c r="L4101" i="7"/>
  <c r="K4101" i="7"/>
  <c r="H4101" i="7"/>
  <c r="U4101" i="7" s="1"/>
  <c r="C4101" i="7"/>
  <c r="E4101" i="7" s="1"/>
  <c r="F4101" i="7" s="1"/>
  <c r="L4100" i="7"/>
  <c r="K4100" i="7"/>
  <c r="H4100" i="7"/>
  <c r="U4100" i="7" s="1"/>
  <c r="C4100" i="7"/>
  <c r="E4100" i="7" s="1"/>
  <c r="F4100" i="7" s="1"/>
  <c r="L4099" i="7"/>
  <c r="K4099" i="7"/>
  <c r="H4099" i="7"/>
  <c r="U4099" i="7" s="1"/>
  <c r="C4099" i="7"/>
  <c r="E4099" i="7" s="1"/>
  <c r="F4099" i="7" s="1"/>
  <c r="L4098" i="7"/>
  <c r="K4098" i="7"/>
  <c r="H4098" i="7"/>
  <c r="U4098" i="7" s="1"/>
  <c r="C4098" i="7"/>
  <c r="E4098" i="7" s="1"/>
  <c r="F4098" i="7" s="1"/>
  <c r="J4098" i="7" s="1"/>
  <c r="L4097" i="7"/>
  <c r="K4097" i="7"/>
  <c r="H4097" i="7"/>
  <c r="U4097" i="7" s="1"/>
  <c r="C4097" i="7"/>
  <c r="E4097" i="7" s="1"/>
  <c r="F4097" i="7" s="1"/>
  <c r="L4096" i="7"/>
  <c r="K4096" i="7"/>
  <c r="H4096" i="7"/>
  <c r="U4096" i="7" s="1"/>
  <c r="C4096" i="7"/>
  <c r="E4096" i="7" s="1"/>
  <c r="F4096" i="7" s="1"/>
  <c r="L4095" i="7"/>
  <c r="K4095" i="7"/>
  <c r="J4095" i="7"/>
  <c r="H4095" i="7"/>
  <c r="U4095" i="7" s="1"/>
  <c r="C4095" i="7"/>
  <c r="E4095" i="7" s="1"/>
  <c r="F4095" i="7" s="1"/>
  <c r="L4094" i="7"/>
  <c r="K4094" i="7"/>
  <c r="H4094" i="7"/>
  <c r="U4094" i="7" s="1"/>
  <c r="C4094" i="7"/>
  <c r="E4094" i="7" s="1"/>
  <c r="F4094" i="7" s="1"/>
  <c r="L4093" i="7"/>
  <c r="K4093" i="7"/>
  <c r="H4093" i="7"/>
  <c r="U4093" i="7" s="1"/>
  <c r="C4093" i="7"/>
  <c r="E4093" i="7" s="1"/>
  <c r="F4093" i="7" s="1"/>
  <c r="U4092" i="7"/>
  <c r="L4092" i="7"/>
  <c r="K4092" i="7"/>
  <c r="H4092" i="7"/>
  <c r="C4092" i="7"/>
  <c r="E4092" i="7" s="1"/>
  <c r="F4092" i="7" s="1"/>
  <c r="L4091" i="7"/>
  <c r="K4091" i="7"/>
  <c r="H4091" i="7"/>
  <c r="U4091" i="7" s="1"/>
  <c r="C4091" i="7"/>
  <c r="E4091" i="7" s="1"/>
  <c r="F4091" i="7" s="1"/>
  <c r="L4090" i="7"/>
  <c r="K4090" i="7"/>
  <c r="H4090" i="7"/>
  <c r="U4090" i="7" s="1"/>
  <c r="F4090" i="7"/>
  <c r="E4090" i="7"/>
  <c r="C4090" i="7"/>
  <c r="L4089" i="7"/>
  <c r="K4089" i="7"/>
  <c r="H4089" i="7"/>
  <c r="U4089" i="7" s="1"/>
  <c r="C4089" i="7"/>
  <c r="E4089" i="7" s="1"/>
  <c r="F4089" i="7" s="1"/>
  <c r="J4089" i="7" s="1"/>
  <c r="L4088" i="7"/>
  <c r="K4088" i="7"/>
  <c r="H4088" i="7"/>
  <c r="U4088" i="7" s="1"/>
  <c r="C4088" i="7"/>
  <c r="E4088" i="7" s="1"/>
  <c r="F4088" i="7" s="1"/>
  <c r="L4087" i="7"/>
  <c r="K4087" i="7"/>
  <c r="H4087" i="7"/>
  <c r="U4087" i="7" s="1"/>
  <c r="C4087" i="7"/>
  <c r="E4087" i="7" s="1"/>
  <c r="F4087" i="7" s="1"/>
  <c r="L4086" i="7"/>
  <c r="K4086" i="7"/>
  <c r="H4086" i="7"/>
  <c r="U4086" i="7" s="1"/>
  <c r="C4086" i="7"/>
  <c r="E4086" i="7" s="1"/>
  <c r="F4086" i="7" s="1"/>
  <c r="L4085" i="7"/>
  <c r="K4085" i="7"/>
  <c r="H4085" i="7"/>
  <c r="U4085" i="7" s="1"/>
  <c r="F4085" i="7"/>
  <c r="C4085" i="7"/>
  <c r="E4085" i="7" s="1"/>
  <c r="L4084" i="7"/>
  <c r="K4084" i="7"/>
  <c r="H4084" i="7"/>
  <c r="U4084" i="7" s="1"/>
  <c r="C4084" i="7"/>
  <c r="E4084" i="7" s="1"/>
  <c r="F4084" i="7" s="1"/>
  <c r="U4083" i="7"/>
  <c r="L4083" i="7"/>
  <c r="K4083" i="7"/>
  <c r="H4083" i="7"/>
  <c r="C4083" i="7"/>
  <c r="E4083" i="7" s="1"/>
  <c r="F4083" i="7" s="1"/>
  <c r="U4082" i="7"/>
  <c r="L4082" i="7"/>
  <c r="K4082" i="7"/>
  <c r="H4082" i="7"/>
  <c r="C4082" i="7"/>
  <c r="E4082" i="7" s="1"/>
  <c r="F4082" i="7" s="1"/>
  <c r="L4081" i="7"/>
  <c r="K4081" i="7"/>
  <c r="J4081" i="7"/>
  <c r="H4081" i="7"/>
  <c r="U4081" i="7" s="1"/>
  <c r="C4081" i="7"/>
  <c r="E4081" i="7" s="1"/>
  <c r="F4081" i="7" s="1"/>
  <c r="I4081" i="7" s="1"/>
  <c r="U4080" i="7"/>
  <c r="L4080" i="7"/>
  <c r="K4080" i="7"/>
  <c r="H4080" i="7"/>
  <c r="C4080" i="7"/>
  <c r="E4080" i="7" s="1"/>
  <c r="F4080" i="7" s="1"/>
  <c r="L4079" i="7"/>
  <c r="K4079" i="7"/>
  <c r="H4079" i="7"/>
  <c r="U4079" i="7" s="1"/>
  <c r="E4079" i="7"/>
  <c r="F4079" i="7" s="1"/>
  <c r="C4079" i="7"/>
  <c r="L4078" i="7"/>
  <c r="K4078" i="7"/>
  <c r="H4078" i="7"/>
  <c r="U4078" i="7" s="1"/>
  <c r="C4078" i="7"/>
  <c r="E4078" i="7" s="1"/>
  <c r="F4078" i="7" s="1"/>
  <c r="L4077" i="7"/>
  <c r="K4077" i="7"/>
  <c r="H4077" i="7"/>
  <c r="U4077" i="7" s="1"/>
  <c r="E4077" i="7"/>
  <c r="F4077" i="7" s="1"/>
  <c r="C4077" i="7"/>
  <c r="L4076" i="7"/>
  <c r="K4076" i="7"/>
  <c r="H4076" i="7"/>
  <c r="U4076" i="7" s="1"/>
  <c r="C4076" i="7"/>
  <c r="E4076" i="7" s="1"/>
  <c r="F4076" i="7" s="1"/>
  <c r="L4075" i="7"/>
  <c r="K4075" i="7"/>
  <c r="H4075" i="7"/>
  <c r="U4075" i="7" s="1"/>
  <c r="C4075" i="7"/>
  <c r="E4075" i="7" s="1"/>
  <c r="F4075" i="7" s="1"/>
  <c r="U4074" i="7"/>
  <c r="L4074" i="7"/>
  <c r="K4074" i="7"/>
  <c r="H4074" i="7"/>
  <c r="C4074" i="7"/>
  <c r="E4074" i="7" s="1"/>
  <c r="F4074" i="7" s="1"/>
  <c r="L4073" i="7"/>
  <c r="K4073" i="7"/>
  <c r="H4073" i="7"/>
  <c r="U4073" i="7" s="1"/>
  <c r="C4073" i="7"/>
  <c r="E4073" i="7" s="1"/>
  <c r="F4073" i="7" s="1"/>
  <c r="L4072" i="7"/>
  <c r="K4072" i="7"/>
  <c r="H4072" i="7"/>
  <c r="U4072" i="7" s="1"/>
  <c r="C4072" i="7"/>
  <c r="E4072" i="7" s="1"/>
  <c r="F4072" i="7" s="1"/>
  <c r="L4071" i="7"/>
  <c r="K4071" i="7"/>
  <c r="H4071" i="7"/>
  <c r="U4071" i="7" s="1"/>
  <c r="C4071" i="7"/>
  <c r="E4071" i="7" s="1"/>
  <c r="F4071" i="7" s="1"/>
  <c r="L4070" i="7"/>
  <c r="K4070" i="7"/>
  <c r="H4070" i="7"/>
  <c r="U4070" i="7" s="1"/>
  <c r="C4070" i="7"/>
  <c r="E4070" i="7" s="1"/>
  <c r="F4070" i="7" s="1"/>
  <c r="L4069" i="7"/>
  <c r="K4069" i="7"/>
  <c r="H4069" i="7"/>
  <c r="U4069" i="7" s="1"/>
  <c r="C4069" i="7"/>
  <c r="E4069" i="7" s="1"/>
  <c r="F4069" i="7" s="1"/>
  <c r="L4068" i="7"/>
  <c r="K4068" i="7"/>
  <c r="H4068" i="7"/>
  <c r="U4068" i="7" s="1"/>
  <c r="C4068" i="7"/>
  <c r="E4068" i="7" s="1"/>
  <c r="F4068" i="7" s="1"/>
  <c r="L4067" i="7"/>
  <c r="K4067" i="7"/>
  <c r="H4067" i="7"/>
  <c r="U4067" i="7" s="1"/>
  <c r="C4067" i="7"/>
  <c r="E4067" i="7" s="1"/>
  <c r="F4067" i="7" s="1"/>
  <c r="L4066" i="7"/>
  <c r="K4066" i="7"/>
  <c r="H4066" i="7"/>
  <c r="U4066" i="7" s="1"/>
  <c r="C4066" i="7"/>
  <c r="E4066" i="7" s="1"/>
  <c r="F4066" i="7" s="1"/>
  <c r="L4065" i="7"/>
  <c r="K4065" i="7"/>
  <c r="H4065" i="7"/>
  <c r="U4065" i="7" s="1"/>
  <c r="C4065" i="7"/>
  <c r="E4065" i="7" s="1"/>
  <c r="F4065" i="7" s="1"/>
  <c r="L4064" i="7"/>
  <c r="K4064" i="7"/>
  <c r="H4064" i="7"/>
  <c r="U4064" i="7" s="1"/>
  <c r="C4064" i="7"/>
  <c r="E4064" i="7" s="1"/>
  <c r="F4064" i="7" s="1"/>
  <c r="L4063" i="7"/>
  <c r="K4063" i="7"/>
  <c r="H4063" i="7"/>
  <c r="U4063" i="7" s="1"/>
  <c r="E4063" i="7"/>
  <c r="F4063" i="7" s="1"/>
  <c r="C4063" i="7"/>
  <c r="L4062" i="7"/>
  <c r="K4062" i="7"/>
  <c r="H4062" i="7"/>
  <c r="U4062" i="7" s="1"/>
  <c r="C4062" i="7"/>
  <c r="E4062" i="7" s="1"/>
  <c r="F4062" i="7" s="1"/>
  <c r="L4061" i="7"/>
  <c r="K4061" i="7"/>
  <c r="H4061" i="7"/>
  <c r="U4061" i="7" s="1"/>
  <c r="C4061" i="7"/>
  <c r="E4061" i="7" s="1"/>
  <c r="F4061" i="7" s="1"/>
  <c r="L4060" i="7"/>
  <c r="K4060" i="7"/>
  <c r="H4060" i="7"/>
  <c r="U4060" i="7" s="1"/>
  <c r="C4060" i="7"/>
  <c r="E4060" i="7" s="1"/>
  <c r="F4060" i="7" s="1"/>
  <c r="L4059" i="7"/>
  <c r="K4059" i="7"/>
  <c r="H4059" i="7"/>
  <c r="U4059" i="7" s="1"/>
  <c r="C4059" i="7"/>
  <c r="E4059" i="7" s="1"/>
  <c r="F4059" i="7" s="1"/>
  <c r="L4058" i="7"/>
  <c r="K4058" i="7"/>
  <c r="H4058" i="7"/>
  <c r="U4058" i="7" s="1"/>
  <c r="C4058" i="7"/>
  <c r="E4058" i="7" s="1"/>
  <c r="F4058" i="7" s="1"/>
  <c r="L4057" i="7"/>
  <c r="K4057" i="7"/>
  <c r="H4057" i="7"/>
  <c r="U4057" i="7" s="1"/>
  <c r="C4057" i="7"/>
  <c r="E4057" i="7" s="1"/>
  <c r="F4057" i="7" s="1"/>
  <c r="L4056" i="7"/>
  <c r="K4056" i="7"/>
  <c r="H4056" i="7"/>
  <c r="U4056" i="7" s="1"/>
  <c r="C4056" i="7"/>
  <c r="E4056" i="7" s="1"/>
  <c r="F4056" i="7" s="1"/>
  <c r="L4055" i="7"/>
  <c r="K4055" i="7"/>
  <c r="H4055" i="7"/>
  <c r="U4055" i="7" s="1"/>
  <c r="C4055" i="7"/>
  <c r="E4055" i="7" s="1"/>
  <c r="F4055" i="7" s="1"/>
  <c r="L4054" i="7"/>
  <c r="K4054" i="7"/>
  <c r="H4054" i="7"/>
  <c r="U4054" i="7" s="1"/>
  <c r="C4054" i="7"/>
  <c r="E4054" i="7" s="1"/>
  <c r="F4054" i="7" s="1"/>
  <c r="L4053" i="7"/>
  <c r="K4053" i="7"/>
  <c r="H4053" i="7"/>
  <c r="U4053" i="7" s="1"/>
  <c r="C4053" i="7"/>
  <c r="E4053" i="7" s="1"/>
  <c r="F4053" i="7" s="1"/>
  <c r="L4052" i="7"/>
  <c r="K4052" i="7"/>
  <c r="H4052" i="7"/>
  <c r="U4052" i="7" s="1"/>
  <c r="E4052" i="7"/>
  <c r="F4052" i="7" s="1"/>
  <c r="C4052" i="7"/>
  <c r="L4051" i="7"/>
  <c r="K4051" i="7"/>
  <c r="H4051" i="7"/>
  <c r="U4051" i="7" s="1"/>
  <c r="C4051" i="7"/>
  <c r="E4051" i="7" s="1"/>
  <c r="F4051" i="7" s="1"/>
  <c r="U4050" i="7"/>
  <c r="L4050" i="7"/>
  <c r="K4050" i="7"/>
  <c r="H4050" i="7"/>
  <c r="E4050" i="7"/>
  <c r="F4050" i="7" s="1"/>
  <c r="C4050" i="7"/>
  <c r="L4049" i="7"/>
  <c r="K4049" i="7"/>
  <c r="H4049" i="7"/>
  <c r="U4049" i="7" s="1"/>
  <c r="C4049" i="7"/>
  <c r="E4049" i="7" s="1"/>
  <c r="F4049" i="7" s="1"/>
  <c r="L4048" i="7"/>
  <c r="K4048" i="7"/>
  <c r="H4048" i="7"/>
  <c r="U4048" i="7" s="1"/>
  <c r="C4048" i="7"/>
  <c r="E4048" i="7" s="1"/>
  <c r="F4048" i="7" s="1"/>
  <c r="U4047" i="7"/>
  <c r="L4047" i="7"/>
  <c r="K4047" i="7"/>
  <c r="H4047" i="7"/>
  <c r="C4047" i="7"/>
  <c r="E4047" i="7" s="1"/>
  <c r="F4047" i="7" s="1"/>
  <c r="L4046" i="7"/>
  <c r="K4046" i="7"/>
  <c r="H4046" i="7"/>
  <c r="U4046" i="7" s="1"/>
  <c r="F4046" i="7"/>
  <c r="C4046" i="7"/>
  <c r="E4046" i="7" s="1"/>
  <c r="L4045" i="7"/>
  <c r="K4045" i="7"/>
  <c r="H4045" i="7"/>
  <c r="U4045" i="7" s="1"/>
  <c r="C4045" i="7"/>
  <c r="E4045" i="7" s="1"/>
  <c r="F4045" i="7" s="1"/>
  <c r="L4044" i="7"/>
  <c r="K4044" i="7"/>
  <c r="H4044" i="7"/>
  <c r="U4044" i="7" s="1"/>
  <c r="F4044" i="7"/>
  <c r="C4044" i="7"/>
  <c r="E4044" i="7" s="1"/>
  <c r="L4043" i="7"/>
  <c r="K4043" i="7"/>
  <c r="H4043" i="7"/>
  <c r="U4043" i="7" s="1"/>
  <c r="C4043" i="7"/>
  <c r="E4043" i="7" s="1"/>
  <c r="F4043" i="7" s="1"/>
  <c r="L4042" i="7"/>
  <c r="K4042" i="7"/>
  <c r="H4042" i="7"/>
  <c r="U4042" i="7" s="1"/>
  <c r="C4042" i="7"/>
  <c r="E4042" i="7" s="1"/>
  <c r="F4042" i="7" s="1"/>
  <c r="L4041" i="7"/>
  <c r="K4041" i="7"/>
  <c r="H4041" i="7"/>
  <c r="U4041" i="7" s="1"/>
  <c r="C4041" i="7"/>
  <c r="E4041" i="7" s="1"/>
  <c r="F4041" i="7" s="1"/>
  <c r="U4040" i="7"/>
  <c r="L4040" i="7"/>
  <c r="K4040" i="7"/>
  <c r="H4040" i="7"/>
  <c r="C4040" i="7"/>
  <c r="E4040" i="7" s="1"/>
  <c r="F4040" i="7" s="1"/>
  <c r="L4039" i="7"/>
  <c r="K4039" i="7"/>
  <c r="H4039" i="7"/>
  <c r="U4039" i="7" s="1"/>
  <c r="C4039" i="7"/>
  <c r="E4039" i="7" s="1"/>
  <c r="F4039" i="7" s="1"/>
  <c r="L4038" i="7"/>
  <c r="K4038" i="7"/>
  <c r="H4038" i="7"/>
  <c r="U4038" i="7" s="1"/>
  <c r="C4038" i="7"/>
  <c r="E4038" i="7" s="1"/>
  <c r="F4038" i="7" s="1"/>
  <c r="L4037" i="7"/>
  <c r="K4037" i="7"/>
  <c r="H4037" i="7"/>
  <c r="U4037" i="7" s="1"/>
  <c r="C4037" i="7"/>
  <c r="E4037" i="7" s="1"/>
  <c r="F4037" i="7" s="1"/>
  <c r="L4036" i="7"/>
  <c r="K4036" i="7"/>
  <c r="H4036" i="7"/>
  <c r="U4036" i="7" s="1"/>
  <c r="E4036" i="7"/>
  <c r="F4036" i="7" s="1"/>
  <c r="C4036" i="7"/>
  <c r="L4035" i="7"/>
  <c r="K4035" i="7"/>
  <c r="H4035" i="7"/>
  <c r="U4035" i="7" s="1"/>
  <c r="C4035" i="7"/>
  <c r="E4035" i="7" s="1"/>
  <c r="F4035" i="7" s="1"/>
  <c r="I4035" i="7" s="1"/>
  <c r="U4034" i="7"/>
  <c r="L4034" i="7"/>
  <c r="K4034" i="7"/>
  <c r="H4034" i="7"/>
  <c r="C4034" i="7"/>
  <c r="E4034" i="7" s="1"/>
  <c r="F4034" i="7" s="1"/>
  <c r="L4033" i="7"/>
  <c r="K4033" i="7"/>
  <c r="H4033" i="7"/>
  <c r="U4033" i="7" s="1"/>
  <c r="C4033" i="7"/>
  <c r="E4033" i="7" s="1"/>
  <c r="F4033" i="7" s="1"/>
  <c r="U4032" i="7"/>
  <c r="L4032" i="7"/>
  <c r="K4032" i="7"/>
  <c r="H4032" i="7"/>
  <c r="C4032" i="7"/>
  <c r="E4032" i="7" s="1"/>
  <c r="F4032" i="7" s="1"/>
  <c r="L4031" i="7"/>
  <c r="K4031" i="7"/>
  <c r="H4031" i="7"/>
  <c r="U4031" i="7" s="1"/>
  <c r="C4031" i="7"/>
  <c r="E4031" i="7" s="1"/>
  <c r="F4031" i="7" s="1"/>
  <c r="L4030" i="7"/>
  <c r="K4030" i="7"/>
  <c r="H4030" i="7"/>
  <c r="U4030" i="7" s="1"/>
  <c r="E4030" i="7"/>
  <c r="F4030" i="7" s="1"/>
  <c r="C4030" i="7"/>
  <c r="L4029" i="7"/>
  <c r="K4029" i="7"/>
  <c r="H4029" i="7"/>
  <c r="U4029" i="7" s="1"/>
  <c r="C4029" i="7"/>
  <c r="E4029" i="7" s="1"/>
  <c r="F4029" i="7" s="1"/>
  <c r="L4028" i="7"/>
  <c r="I4028" i="7" s="1"/>
  <c r="K4028" i="7"/>
  <c r="H4028" i="7"/>
  <c r="U4028" i="7" s="1"/>
  <c r="C4028" i="7"/>
  <c r="E4028" i="7" s="1"/>
  <c r="F4028" i="7" s="1"/>
  <c r="L4027" i="7"/>
  <c r="K4027" i="7"/>
  <c r="H4027" i="7"/>
  <c r="U4027" i="7" s="1"/>
  <c r="C4027" i="7"/>
  <c r="E4027" i="7" s="1"/>
  <c r="F4027" i="7" s="1"/>
  <c r="L4026" i="7"/>
  <c r="K4026" i="7"/>
  <c r="H4026" i="7"/>
  <c r="U4026" i="7" s="1"/>
  <c r="C4026" i="7"/>
  <c r="E4026" i="7" s="1"/>
  <c r="F4026" i="7" s="1"/>
  <c r="L4025" i="7"/>
  <c r="K4025" i="7"/>
  <c r="H4025" i="7"/>
  <c r="U4025" i="7" s="1"/>
  <c r="C4025" i="7"/>
  <c r="E4025" i="7" s="1"/>
  <c r="F4025" i="7" s="1"/>
  <c r="L4024" i="7"/>
  <c r="K4024" i="7"/>
  <c r="H4024" i="7"/>
  <c r="U4024" i="7" s="1"/>
  <c r="C4024" i="7"/>
  <c r="E4024" i="7" s="1"/>
  <c r="F4024" i="7" s="1"/>
  <c r="U4023" i="7"/>
  <c r="L4023" i="7"/>
  <c r="K4023" i="7"/>
  <c r="J4023" i="7"/>
  <c r="H4023" i="7"/>
  <c r="C4023" i="7"/>
  <c r="E4023" i="7" s="1"/>
  <c r="F4023" i="7" s="1"/>
  <c r="I4023" i="7" s="1"/>
  <c r="L4022" i="7"/>
  <c r="K4022" i="7"/>
  <c r="H4022" i="7"/>
  <c r="U4022" i="7" s="1"/>
  <c r="C4022" i="7"/>
  <c r="E4022" i="7" s="1"/>
  <c r="F4022" i="7" s="1"/>
  <c r="L4021" i="7"/>
  <c r="K4021" i="7"/>
  <c r="H4021" i="7"/>
  <c r="U4021" i="7" s="1"/>
  <c r="C4021" i="7"/>
  <c r="E4021" i="7" s="1"/>
  <c r="F4021" i="7" s="1"/>
  <c r="L4020" i="7"/>
  <c r="K4020" i="7"/>
  <c r="H4020" i="7"/>
  <c r="U4020" i="7" s="1"/>
  <c r="F4020" i="7"/>
  <c r="J4020" i="7" s="1"/>
  <c r="C4020" i="7"/>
  <c r="E4020" i="7" s="1"/>
  <c r="L4019" i="7"/>
  <c r="K4019" i="7"/>
  <c r="H4019" i="7"/>
  <c r="U4019" i="7" s="1"/>
  <c r="C4019" i="7"/>
  <c r="E4019" i="7" s="1"/>
  <c r="F4019" i="7" s="1"/>
  <c r="J4019" i="7" s="1"/>
  <c r="L4018" i="7"/>
  <c r="K4018" i="7"/>
  <c r="H4018" i="7"/>
  <c r="U4018" i="7" s="1"/>
  <c r="C4018" i="7"/>
  <c r="E4018" i="7" s="1"/>
  <c r="F4018" i="7" s="1"/>
  <c r="L4017" i="7"/>
  <c r="K4017" i="7"/>
  <c r="H4017" i="7"/>
  <c r="U4017" i="7" s="1"/>
  <c r="C4017" i="7"/>
  <c r="E4017" i="7" s="1"/>
  <c r="F4017" i="7" s="1"/>
  <c r="L4016" i="7"/>
  <c r="K4016" i="7"/>
  <c r="H4016" i="7"/>
  <c r="U4016" i="7" s="1"/>
  <c r="C4016" i="7"/>
  <c r="E4016" i="7" s="1"/>
  <c r="F4016" i="7" s="1"/>
  <c r="L4015" i="7"/>
  <c r="K4015" i="7"/>
  <c r="H4015" i="7"/>
  <c r="U4015" i="7" s="1"/>
  <c r="C4015" i="7"/>
  <c r="E4015" i="7" s="1"/>
  <c r="F4015" i="7" s="1"/>
  <c r="L4014" i="7"/>
  <c r="K4014" i="7"/>
  <c r="H4014" i="7"/>
  <c r="U4014" i="7" s="1"/>
  <c r="C4014" i="7"/>
  <c r="E4014" i="7" s="1"/>
  <c r="F4014" i="7" s="1"/>
  <c r="L4013" i="7"/>
  <c r="K4013" i="7"/>
  <c r="H4013" i="7"/>
  <c r="U4013" i="7" s="1"/>
  <c r="C4013" i="7"/>
  <c r="E4013" i="7" s="1"/>
  <c r="F4013" i="7" s="1"/>
  <c r="U4012" i="7"/>
  <c r="L4012" i="7"/>
  <c r="K4012" i="7"/>
  <c r="H4012" i="7"/>
  <c r="E4012" i="7"/>
  <c r="F4012" i="7" s="1"/>
  <c r="C4012" i="7"/>
  <c r="L4011" i="7"/>
  <c r="K4011" i="7"/>
  <c r="H4011" i="7"/>
  <c r="U4011" i="7" s="1"/>
  <c r="C4011" i="7"/>
  <c r="E4011" i="7" s="1"/>
  <c r="F4011" i="7" s="1"/>
  <c r="L4010" i="7"/>
  <c r="K4010" i="7"/>
  <c r="H4010" i="7"/>
  <c r="U4010" i="7" s="1"/>
  <c r="E4010" i="7"/>
  <c r="F4010" i="7" s="1"/>
  <c r="C4010" i="7"/>
  <c r="L4009" i="7"/>
  <c r="K4009" i="7"/>
  <c r="H4009" i="7"/>
  <c r="U4009" i="7" s="1"/>
  <c r="C4009" i="7"/>
  <c r="E4009" i="7" s="1"/>
  <c r="F4009" i="7" s="1"/>
  <c r="L4008" i="7"/>
  <c r="K4008" i="7"/>
  <c r="H4008" i="7"/>
  <c r="U4008" i="7" s="1"/>
  <c r="E4008" i="7"/>
  <c r="F4008" i="7" s="1"/>
  <c r="C4008" i="7"/>
  <c r="U4007" i="7"/>
  <c r="L4007" i="7"/>
  <c r="K4007" i="7"/>
  <c r="H4007" i="7"/>
  <c r="C4007" i="7"/>
  <c r="E4007" i="7" s="1"/>
  <c r="F4007" i="7" s="1"/>
  <c r="L4006" i="7"/>
  <c r="K4006" i="7"/>
  <c r="H4006" i="7"/>
  <c r="U4006" i="7" s="1"/>
  <c r="C4006" i="7"/>
  <c r="E4006" i="7" s="1"/>
  <c r="F4006" i="7" s="1"/>
  <c r="J4006" i="7" s="1"/>
  <c r="L4005" i="7"/>
  <c r="K4005" i="7"/>
  <c r="H4005" i="7"/>
  <c r="U4005" i="7" s="1"/>
  <c r="C4005" i="7"/>
  <c r="E4005" i="7" s="1"/>
  <c r="F4005" i="7" s="1"/>
  <c r="L4004" i="7"/>
  <c r="K4004" i="7"/>
  <c r="H4004" i="7"/>
  <c r="U4004" i="7" s="1"/>
  <c r="E4004" i="7"/>
  <c r="F4004" i="7" s="1"/>
  <c r="C4004" i="7"/>
  <c r="L4003" i="7"/>
  <c r="K4003" i="7"/>
  <c r="H4003" i="7"/>
  <c r="U4003" i="7" s="1"/>
  <c r="C4003" i="7"/>
  <c r="E4003" i="7" s="1"/>
  <c r="F4003" i="7" s="1"/>
  <c r="L4002" i="7"/>
  <c r="K4002" i="7"/>
  <c r="H4002" i="7"/>
  <c r="U4002" i="7" s="1"/>
  <c r="C4002" i="7"/>
  <c r="E4002" i="7" s="1"/>
  <c r="F4002" i="7" s="1"/>
  <c r="L4001" i="7"/>
  <c r="K4001" i="7"/>
  <c r="H4001" i="7"/>
  <c r="U4001" i="7" s="1"/>
  <c r="C4001" i="7"/>
  <c r="E4001" i="7" s="1"/>
  <c r="F4001" i="7" s="1"/>
  <c r="L4000" i="7"/>
  <c r="K4000" i="7"/>
  <c r="H4000" i="7"/>
  <c r="U4000" i="7" s="1"/>
  <c r="E4000" i="7"/>
  <c r="F4000" i="7" s="1"/>
  <c r="C4000" i="7"/>
  <c r="U3999" i="7"/>
  <c r="L3999" i="7"/>
  <c r="K3999" i="7"/>
  <c r="H3999" i="7"/>
  <c r="C3999" i="7"/>
  <c r="E3999" i="7" s="1"/>
  <c r="F3999" i="7" s="1"/>
  <c r="L3998" i="7"/>
  <c r="K3998" i="7"/>
  <c r="H3998" i="7"/>
  <c r="U3998" i="7" s="1"/>
  <c r="C3998" i="7"/>
  <c r="E3998" i="7" s="1"/>
  <c r="F3998" i="7" s="1"/>
  <c r="L3997" i="7"/>
  <c r="K3997" i="7"/>
  <c r="H3997" i="7"/>
  <c r="U3997" i="7" s="1"/>
  <c r="E3997" i="7"/>
  <c r="F3997" i="7" s="1"/>
  <c r="C3997" i="7"/>
  <c r="L3996" i="7"/>
  <c r="K3996" i="7"/>
  <c r="H3996" i="7"/>
  <c r="U3996" i="7" s="1"/>
  <c r="C3996" i="7"/>
  <c r="E3996" i="7" s="1"/>
  <c r="F3996" i="7" s="1"/>
  <c r="L3995" i="7"/>
  <c r="I3995" i="7" s="1"/>
  <c r="K3995" i="7"/>
  <c r="H3995" i="7"/>
  <c r="U3995" i="7" s="1"/>
  <c r="C3995" i="7"/>
  <c r="E3995" i="7" s="1"/>
  <c r="F3995" i="7" s="1"/>
  <c r="L3994" i="7"/>
  <c r="K3994" i="7"/>
  <c r="H3994" i="7"/>
  <c r="U3994" i="7" s="1"/>
  <c r="C3994" i="7"/>
  <c r="E3994" i="7" s="1"/>
  <c r="F3994" i="7" s="1"/>
  <c r="L3993" i="7"/>
  <c r="K3993" i="7"/>
  <c r="H3993" i="7"/>
  <c r="U3993" i="7" s="1"/>
  <c r="C3993" i="7"/>
  <c r="E3993" i="7" s="1"/>
  <c r="F3993" i="7" s="1"/>
  <c r="L3992" i="7"/>
  <c r="K3992" i="7"/>
  <c r="H3992" i="7"/>
  <c r="U3992" i="7" s="1"/>
  <c r="C3992" i="7"/>
  <c r="E3992" i="7" s="1"/>
  <c r="F3992" i="7" s="1"/>
  <c r="U3991" i="7"/>
  <c r="L3991" i="7"/>
  <c r="K3991" i="7"/>
  <c r="H3991" i="7"/>
  <c r="C3991" i="7"/>
  <c r="E3991" i="7" s="1"/>
  <c r="F3991" i="7" s="1"/>
  <c r="L3990" i="7"/>
  <c r="K3990" i="7"/>
  <c r="H3990" i="7"/>
  <c r="U3990" i="7" s="1"/>
  <c r="E3990" i="7"/>
  <c r="F3990" i="7" s="1"/>
  <c r="J3990" i="7" s="1"/>
  <c r="C3990" i="7"/>
  <c r="L3989" i="7"/>
  <c r="K3989" i="7"/>
  <c r="H3989" i="7"/>
  <c r="U3989" i="7" s="1"/>
  <c r="C3989" i="7"/>
  <c r="E3989" i="7" s="1"/>
  <c r="F3989" i="7" s="1"/>
  <c r="L3988" i="7"/>
  <c r="K3988" i="7"/>
  <c r="H3988" i="7"/>
  <c r="U3988" i="7" s="1"/>
  <c r="C3988" i="7"/>
  <c r="E3988" i="7" s="1"/>
  <c r="F3988" i="7" s="1"/>
  <c r="L3987" i="7"/>
  <c r="K3987" i="7"/>
  <c r="I3987" i="7"/>
  <c r="H3987" i="7"/>
  <c r="U3987" i="7" s="1"/>
  <c r="C3987" i="7"/>
  <c r="E3987" i="7" s="1"/>
  <c r="F3987" i="7" s="1"/>
  <c r="L3986" i="7"/>
  <c r="K3986" i="7"/>
  <c r="H3986" i="7"/>
  <c r="U3986" i="7" s="1"/>
  <c r="C3986" i="7"/>
  <c r="E3986" i="7" s="1"/>
  <c r="F3986" i="7" s="1"/>
  <c r="L3985" i="7"/>
  <c r="K3985" i="7"/>
  <c r="H3985" i="7"/>
  <c r="U3985" i="7" s="1"/>
  <c r="C3985" i="7"/>
  <c r="E3985" i="7" s="1"/>
  <c r="F3985" i="7" s="1"/>
  <c r="J3985" i="7" s="1"/>
  <c r="L3984" i="7"/>
  <c r="K3984" i="7"/>
  <c r="H3984" i="7"/>
  <c r="U3984" i="7" s="1"/>
  <c r="E3984" i="7"/>
  <c r="F3984" i="7" s="1"/>
  <c r="C3984" i="7"/>
  <c r="U3983" i="7"/>
  <c r="L3983" i="7"/>
  <c r="K3983" i="7"/>
  <c r="H3983" i="7"/>
  <c r="C3983" i="7"/>
  <c r="E3983" i="7" s="1"/>
  <c r="F3983" i="7" s="1"/>
  <c r="L3982" i="7"/>
  <c r="K3982" i="7"/>
  <c r="H3982" i="7"/>
  <c r="U3982" i="7" s="1"/>
  <c r="C3982" i="7"/>
  <c r="E3982" i="7" s="1"/>
  <c r="F3982" i="7" s="1"/>
  <c r="L3981" i="7"/>
  <c r="K3981" i="7"/>
  <c r="H3981" i="7"/>
  <c r="U3981" i="7" s="1"/>
  <c r="C3981" i="7"/>
  <c r="E3981" i="7" s="1"/>
  <c r="F3981" i="7" s="1"/>
  <c r="U3980" i="7"/>
  <c r="L3980" i="7"/>
  <c r="K3980" i="7"/>
  <c r="H3980" i="7"/>
  <c r="E3980" i="7"/>
  <c r="F3980" i="7" s="1"/>
  <c r="C3980" i="7"/>
  <c r="L3979" i="7"/>
  <c r="K3979" i="7"/>
  <c r="H3979" i="7"/>
  <c r="U3979" i="7" s="1"/>
  <c r="C3979" i="7"/>
  <c r="E3979" i="7" s="1"/>
  <c r="F3979" i="7" s="1"/>
  <c r="L3978" i="7"/>
  <c r="K3978" i="7"/>
  <c r="H3978" i="7"/>
  <c r="U3978" i="7" s="1"/>
  <c r="C3978" i="7"/>
  <c r="E3978" i="7" s="1"/>
  <c r="F3978" i="7" s="1"/>
  <c r="L3977" i="7"/>
  <c r="K3977" i="7"/>
  <c r="H3977" i="7"/>
  <c r="U3977" i="7" s="1"/>
  <c r="E3977" i="7"/>
  <c r="F3977" i="7" s="1"/>
  <c r="C3977" i="7"/>
  <c r="U3976" i="7"/>
  <c r="L3976" i="7"/>
  <c r="K3976" i="7"/>
  <c r="H3976" i="7"/>
  <c r="C3976" i="7"/>
  <c r="E3976" i="7" s="1"/>
  <c r="F3976" i="7" s="1"/>
  <c r="L3975" i="7"/>
  <c r="K3975" i="7"/>
  <c r="H3975" i="7"/>
  <c r="U3975" i="7" s="1"/>
  <c r="C3975" i="7"/>
  <c r="E3975" i="7" s="1"/>
  <c r="F3975" i="7" s="1"/>
  <c r="L3974" i="7"/>
  <c r="K3974" i="7"/>
  <c r="H3974" i="7"/>
  <c r="U3974" i="7" s="1"/>
  <c r="C3974" i="7"/>
  <c r="E3974" i="7" s="1"/>
  <c r="F3974" i="7" s="1"/>
  <c r="L3973" i="7"/>
  <c r="K3973" i="7"/>
  <c r="H3973" i="7"/>
  <c r="U3973" i="7" s="1"/>
  <c r="C3973" i="7"/>
  <c r="E3973" i="7" s="1"/>
  <c r="F3973" i="7" s="1"/>
  <c r="L3972" i="7"/>
  <c r="K3972" i="7"/>
  <c r="H3972" i="7"/>
  <c r="U3972" i="7" s="1"/>
  <c r="C3972" i="7"/>
  <c r="E3972" i="7" s="1"/>
  <c r="F3972" i="7" s="1"/>
  <c r="J3972" i="7" s="1"/>
  <c r="L3971" i="7"/>
  <c r="K3971" i="7"/>
  <c r="H3971" i="7"/>
  <c r="U3971" i="7" s="1"/>
  <c r="C3971" i="7"/>
  <c r="E3971" i="7" s="1"/>
  <c r="F3971" i="7" s="1"/>
  <c r="U3970" i="7"/>
  <c r="L3970" i="7"/>
  <c r="K3970" i="7"/>
  <c r="H3970" i="7"/>
  <c r="C3970" i="7"/>
  <c r="E3970" i="7" s="1"/>
  <c r="F3970" i="7" s="1"/>
  <c r="L3969" i="7"/>
  <c r="K3969" i="7"/>
  <c r="H3969" i="7"/>
  <c r="U3969" i="7" s="1"/>
  <c r="C3969" i="7"/>
  <c r="E3969" i="7" s="1"/>
  <c r="F3969" i="7" s="1"/>
  <c r="L3968" i="7"/>
  <c r="K3968" i="7"/>
  <c r="H3968" i="7"/>
  <c r="U3968" i="7" s="1"/>
  <c r="C3968" i="7"/>
  <c r="E3968" i="7" s="1"/>
  <c r="F3968" i="7" s="1"/>
  <c r="L3967" i="7"/>
  <c r="K3967" i="7"/>
  <c r="H3967" i="7"/>
  <c r="U3967" i="7" s="1"/>
  <c r="C3967" i="7"/>
  <c r="E3967" i="7" s="1"/>
  <c r="F3967" i="7" s="1"/>
  <c r="L3966" i="7"/>
  <c r="K3966" i="7"/>
  <c r="H3966" i="7"/>
  <c r="U3966" i="7" s="1"/>
  <c r="C3966" i="7"/>
  <c r="E3966" i="7" s="1"/>
  <c r="F3966" i="7" s="1"/>
  <c r="J3966" i="7" s="1"/>
  <c r="L3965" i="7"/>
  <c r="K3965" i="7"/>
  <c r="H3965" i="7"/>
  <c r="U3965" i="7" s="1"/>
  <c r="C3965" i="7"/>
  <c r="E3965" i="7" s="1"/>
  <c r="F3965" i="7" s="1"/>
  <c r="L3964" i="7"/>
  <c r="K3964" i="7"/>
  <c r="H3964" i="7"/>
  <c r="U3964" i="7" s="1"/>
  <c r="C3964" i="7"/>
  <c r="E3964" i="7" s="1"/>
  <c r="F3964" i="7" s="1"/>
  <c r="L3963" i="7"/>
  <c r="K3963" i="7"/>
  <c r="H3963" i="7"/>
  <c r="U3963" i="7" s="1"/>
  <c r="C3963" i="7"/>
  <c r="E3963" i="7" s="1"/>
  <c r="F3963" i="7" s="1"/>
  <c r="I3963" i="7" s="1"/>
  <c r="L3962" i="7"/>
  <c r="K3962" i="7"/>
  <c r="H3962" i="7"/>
  <c r="U3962" i="7" s="1"/>
  <c r="E3962" i="7"/>
  <c r="F3962" i="7" s="1"/>
  <c r="C3962" i="7"/>
  <c r="L3961" i="7"/>
  <c r="K3961" i="7"/>
  <c r="H3961" i="7"/>
  <c r="U3961" i="7" s="1"/>
  <c r="E3961" i="7"/>
  <c r="F3961" i="7" s="1"/>
  <c r="C3961" i="7"/>
  <c r="U3960" i="7"/>
  <c r="L3960" i="7"/>
  <c r="K3960" i="7"/>
  <c r="H3960" i="7"/>
  <c r="C3960" i="7"/>
  <c r="E3960" i="7" s="1"/>
  <c r="F3960" i="7" s="1"/>
  <c r="L3959" i="7"/>
  <c r="K3959" i="7"/>
  <c r="H3959" i="7"/>
  <c r="U3959" i="7" s="1"/>
  <c r="C3959" i="7"/>
  <c r="E3959" i="7" s="1"/>
  <c r="F3959" i="7" s="1"/>
  <c r="L3958" i="7"/>
  <c r="K3958" i="7"/>
  <c r="H3958" i="7"/>
  <c r="U3958" i="7" s="1"/>
  <c r="E3958" i="7"/>
  <c r="F3958" i="7" s="1"/>
  <c r="C3958" i="7"/>
  <c r="L3957" i="7"/>
  <c r="K3957" i="7"/>
  <c r="H3957" i="7"/>
  <c r="U3957" i="7" s="1"/>
  <c r="C3957" i="7"/>
  <c r="E3957" i="7" s="1"/>
  <c r="F3957" i="7" s="1"/>
  <c r="L3956" i="7"/>
  <c r="K3956" i="7"/>
  <c r="H3956" i="7"/>
  <c r="U3956" i="7" s="1"/>
  <c r="E3956" i="7"/>
  <c r="F3956" i="7" s="1"/>
  <c r="C3956" i="7"/>
  <c r="U3955" i="7"/>
  <c r="L3955" i="7"/>
  <c r="K3955" i="7"/>
  <c r="H3955" i="7"/>
  <c r="C3955" i="7"/>
  <c r="E3955" i="7" s="1"/>
  <c r="F3955" i="7" s="1"/>
  <c r="L3954" i="7"/>
  <c r="K3954" i="7"/>
  <c r="H3954" i="7"/>
  <c r="U3954" i="7" s="1"/>
  <c r="C3954" i="7"/>
  <c r="E3954" i="7" s="1"/>
  <c r="F3954" i="7" s="1"/>
  <c r="L3953" i="7"/>
  <c r="K3953" i="7"/>
  <c r="H3953" i="7"/>
  <c r="U3953" i="7" s="1"/>
  <c r="F3953" i="7"/>
  <c r="C3953" i="7"/>
  <c r="E3953" i="7" s="1"/>
  <c r="L3952" i="7"/>
  <c r="K3952" i="7"/>
  <c r="H3952" i="7"/>
  <c r="U3952" i="7" s="1"/>
  <c r="C3952" i="7"/>
  <c r="E3952" i="7" s="1"/>
  <c r="F3952" i="7" s="1"/>
  <c r="U3951" i="7"/>
  <c r="L3951" i="7"/>
  <c r="K3951" i="7"/>
  <c r="H3951" i="7"/>
  <c r="C3951" i="7"/>
  <c r="E3951" i="7" s="1"/>
  <c r="F3951" i="7" s="1"/>
  <c r="L3950" i="7"/>
  <c r="K3950" i="7"/>
  <c r="H3950" i="7"/>
  <c r="U3950" i="7" s="1"/>
  <c r="C3950" i="7"/>
  <c r="E3950" i="7" s="1"/>
  <c r="F3950" i="7" s="1"/>
  <c r="L3949" i="7"/>
  <c r="K3949" i="7"/>
  <c r="H3949" i="7"/>
  <c r="U3949" i="7" s="1"/>
  <c r="E3949" i="7"/>
  <c r="F3949" i="7" s="1"/>
  <c r="C3949" i="7"/>
  <c r="L3948" i="7"/>
  <c r="K3948" i="7"/>
  <c r="H3948" i="7"/>
  <c r="U3948" i="7" s="1"/>
  <c r="C3948" i="7"/>
  <c r="E3948" i="7" s="1"/>
  <c r="F3948" i="7" s="1"/>
  <c r="U3947" i="7"/>
  <c r="L3947" i="7"/>
  <c r="K3947" i="7"/>
  <c r="H3947" i="7"/>
  <c r="C3947" i="7"/>
  <c r="E3947" i="7" s="1"/>
  <c r="F3947" i="7" s="1"/>
  <c r="L3946" i="7"/>
  <c r="K3946" i="7"/>
  <c r="H3946" i="7"/>
  <c r="U3946" i="7" s="1"/>
  <c r="C3946" i="7"/>
  <c r="E3946" i="7" s="1"/>
  <c r="F3946" i="7" s="1"/>
  <c r="L3945" i="7"/>
  <c r="K3945" i="7"/>
  <c r="H3945" i="7"/>
  <c r="U3945" i="7" s="1"/>
  <c r="C3945" i="7"/>
  <c r="E3945" i="7" s="1"/>
  <c r="F3945" i="7" s="1"/>
  <c r="L3944" i="7"/>
  <c r="K3944" i="7"/>
  <c r="H3944" i="7"/>
  <c r="U3944" i="7" s="1"/>
  <c r="C3944" i="7"/>
  <c r="E3944" i="7" s="1"/>
  <c r="F3944" i="7" s="1"/>
  <c r="L3943" i="7"/>
  <c r="K3943" i="7"/>
  <c r="H3943" i="7"/>
  <c r="U3943" i="7" s="1"/>
  <c r="C3943" i="7"/>
  <c r="E3943" i="7" s="1"/>
  <c r="F3943" i="7" s="1"/>
  <c r="L3942" i="7"/>
  <c r="K3942" i="7"/>
  <c r="H3942" i="7"/>
  <c r="U3942" i="7" s="1"/>
  <c r="C3942" i="7"/>
  <c r="E3942" i="7" s="1"/>
  <c r="F3942" i="7" s="1"/>
  <c r="L3941" i="7"/>
  <c r="K3941" i="7"/>
  <c r="H3941" i="7"/>
  <c r="U3941" i="7" s="1"/>
  <c r="C3941" i="7"/>
  <c r="E3941" i="7" s="1"/>
  <c r="F3941" i="7" s="1"/>
  <c r="L3940" i="7"/>
  <c r="K3940" i="7"/>
  <c r="H3940" i="7"/>
  <c r="U3940" i="7" s="1"/>
  <c r="C3940" i="7"/>
  <c r="E3940" i="7" s="1"/>
  <c r="F3940" i="7" s="1"/>
  <c r="U3939" i="7"/>
  <c r="L3939" i="7"/>
  <c r="K3939" i="7"/>
  <c r="H3939" i="7"/>
  <c r="C3939" i="7"/>
  <c r="E3939" i="7" s="1"/>
  <c r="F3939" i="7" s="1"/>
  <c r="L3938" i="7"/>
  <c r="K3938" i="7"/>
  <c r="H3938" i="7"/>
  <c r="U3938" i="7" s="1"/>
  <c r="C3938" i="7"/>
  <c r="E3938" i="7" s="1"/>
  <c r="F3938" i="7" s="1"/>
  <c r="L3937" i="7"/>
  <c r="I3937" i="7" s="1"/>
  <c r="K3937" i="7"/>
  <c r="J3937" i="7"/>
  <c r="H3937" i="7"/>
  <c r="U3937" i="7" s="1"/>
  <c r="C3937" i="7"/>
  <c r="E3937" i="7" s="1"/>
  <c r="F3937" i="7" s="1"/>
  <c r="L3936" i="7"/>
  <c r="K3936" i="7"/>
  <c r="H3936" i="7"/>
  <c r="U3936" i="7" s="1"/>
  <c r="E3936" i="7"/>
  <c r="F3936" i="7" s="1"/>
  <c r="J3936" i="7" s="1"/>
  <c r="C3936" i="7"/>
  <c r="L3935" i="7"/>
  <c r="K3935" i="7"/>
  <c r="H3935" i="7"/>
  <c r="U3935" i="7" s="1"/>
  <c r="C3935" i="7"/>
  <c r="E3935" i="7" s="1"/>
  <c r="F3935" i="7" s="1"/>
  <c r="L3934" i="7"/>
  <c r="K3934" i="7"/>
  <c r="H3934" i="7"/>
  <c r="U3934" i="7" s="1"/>
  <c r="E3934" i="7"/>
  <c r="F3934" i="7" s="1"/>
  <c r="C3934" i="7"/>
  <c r="L3933" i="7"/>
  <c r="K3933" i="7"/>
  <c r="H3933" i="7"/>
  <c r="U3933" i="7" s="1"/>
  <c r="C3933" i="7"/>
  <c r="E3933" i="7" s="1"/>
  <c r="F3933" i="7" s="1"/>
  <c r="L3932" i="7"/>
  <c r="K3932" i="7"/>
  <c r="H3932" i="7"/>
  <c r="U3932" i="7" s="1"/>
  <c r="C3932" i="7"/>
  <c r="E3932" i="7" s="1"/>
  <c r="F3932" i="7" s="1"/>
  <c r="L3931" i="7"/>
  <c r="K3931" i="7"/>
  <c r="H3931" i="7"/>
  <c r="U3931" i="7" s="1"/>
  <c r="C3931" i="7"/>
  <c r="E3931" i="7" s="1"/>
  <c r="F3931" i="7" s="1"/>
  <c r="L3930" i="7"/>
  <c r="K3930" i="7"/>
  <c r="H3930" i="7"/>
  <c r="U3930" i="7" s="1"/>
  <c r="C3930" i="7"/>
  <c r="E3930" i="7" s="1"/>
  <c r="F3930" i="7" s="1"/>
  <c r="L3929" i="7"/>
  <c r="K3929" i="7"/>
  <c r="H3929" i="7"/>
  <c r="U3929" i="7" s="1"/>
  <c r="F3929" i="7"/>
  <c r="C3929" i="7"/>
  <c r="E3929" i="7" s="1"/>
  <c r="L3928" i="7"/>
  <c r="K3928" i="7"/>
  <c r="H3928" i="7"/>
  <c r="U3928" i="7" s="1"/>
  <c r="E3928" i="7"/>
  <c r="F3928" i="7" s="1"/>
  <c r="C3928" i="7"/>
  <c r="L3927" i="7"/>
  <c r="K3927" i="7"/>
  <c r="H3927" i="7"/>
  <c r="U3927" i="7" s="1"/>
  <c r="C3927" i="7"/>
  <c r="E3927" i="7" s="1"/>
  <c r="F3927" i="7" s="1"/>
  <c r="L3926" i="7"/>
  <c r="K3926" i="7"/>
  <c r="H3926" i="7"/>
  <c r="U3926" i="7" s="1"/>
  <c r="C3926" i="7"/>
  <c r="E3926" i="7" s="1"/>
  <c r="F3926" i="7" s="1"/>
  <c r="L3925" i="7"/>
  <c r="K3925" i="7"/>
  <c r="H3925" i="7"/>
  <c r="U3925" i="7" s="1"/>
  <c r="C3925" i="7"/>
  <c r="E3925" i="7" s="1"/>
  <c r="F3925" i="7" s="1"/>
  <c r="L3924" i="7"/>
  <c r="K3924" i="7"/>
  <c r="H3924" i="7"/>
  <c r="U3924" i="7" s="1"/>
  <c r="C3924" i="7"/>
  <c r="E3924" i="7" s="1"/>
  <c r="F3924" i="7" s="1"/>
  <c r="L3923" i="7"/>
  <c r="K3923" i="7"/>
  <c r="H3923" i="7"/>
  <c r="U3923" i="7" s="1"/>
  <c r="C3923" i="7"/>
  <c r="E3923" i="7" s="1"/>
  <c r="F3923" i="7" s="1"/>
  <c r="L3922" i="7"/>
  <c r="K3922" i="7"/>
  <c r="H3922" i="7"/>
  <c r="U3922" i="7" s="1"/>
  <c r="C3922" i="7"/>
  <c r="E3922" i="7" s="1"/>
  <c r="F3922" i="7" s="1"/>
  <c r="L3921" i="7"/>
  <c r="K3921" i="7"/>
  <c r="H3921" i="7"/>
  <c r="U3921" i="7" s="1"/>
  <c r="C3921" i="7"/>
  <c r="E3921" i="7" s="1"/>
  <c r="F3921" i="7" s="1"/>
  <c r="I3921" i="7" s="1"/>
  <c r="L3920" i="7"/>
  <c r="K3920" i="7"/>
  <c r="H3920" i="7"/>
  <c r="U3920" i="7" s="1"/>
  <c r="C3920" i="7"/>
  <c r="E3920" i="7" s="1"/>
  <c r="F3920" i="7" s="1"/>
  <c r="L3919" i="7"/>
  <c r="K3919" i="7"/>
  <c r="H3919" i="7"/>
  <c r="U3919" i="7" s="1"/>
  <c r="C3919" i="7"/>
  <c r="E3919" i="7" s="1"/>
  <c r="F3919" i="7" s="1"/>
  <c r="L3918" i="7"/>
  <c r="K3918" i="7"/>
  <c r="H3918" i="7"/>
  <c r="U3918" i="7" s="1"/>
  <c r="C3918" i="7"/>
  <c r="E3918" i="7" s="1"/>
  <c r="F3918" i="7" s="1"/>
  <c r="L3917" i="7"/>
  <c r="K3917" i="7"/>
  <c r="H3917" i="7"/>
  <c r="U3917" i="7" s="1"/>
  <c r="C3917" i="7"/>
  <c r="E3917" i="7" s="1"/>
  <c r="F3917" i="7" s="1"/>
  <c r="L3916" i="7"/>
  <c r="K3916" i="7"/>
  <c r="H3916" i="7"/>
  <c r="U3916" i="7" s="1"/>
  <c r="C3916" i="7"/>
  <c r="E3916" i="7" s="1"/>
  <c r="F3916" i="7" s="1"/>
  <c r="L3915" i="7"/>
  <c r="K3915" i="7"/>
  <c r="H3915" i="7"/>
  <c r="U3915" i="7" s="1"/>
  <c r="C3915" i="7"/>
  <c r="E3915" i="7" s="1"/>
  <c r="F3915" i="7" s="1"/>
  <c r="U3914" i="7"/>
  <c r="L3914" i="7"/>
  <c r="K3914" i="7"/>
  <c r="H3914" i="7"/>
  <c r="C3914" i="7"/>
  <c r="E3914" i="7" s="1"/>
  <c r="F3914" i="7" s="1"/>
  <c r="L3913" i="7"/>
  <c r="K3913" i="7"/>
  <c r="H3913" i="7"/>
  <c r="U3913" i="7" s="1"/>
  <c r="C3913" i="7"/>
  <c r="E3913" i="7" s="1"/>
  <c r="F3913" i="7" s="1"/>
  <c r="L3912" i="7"/>
  <c r="K3912" i="7"/>
  <c r="H3912" i="7"/>
  <c r="U3912" i="7" s="1"/>
  <c r="C3912" i="7"/>
  <c r="E3912" i="7" s="1"/>
  <c r="F3912" i="7" s="1"/>
  <c r="L3911" i="7"/>
  <c r="K3911" i="7"/>
  <c r="H3911" i="7"/>
  <c r="U3911" i="7" s="1"/>
  <c r="C3911" i="7"/>
  <c r="E3911" i="7" s="1"/>
  <c r="F3911" i="7" s="1"/>
  <c r="L3910" i="7"/>
  <c r="K3910" i="7"/>
  <c r="H3910" i="7"/>
  <c r="U3910" i="7" s="1"/>
  <c r="C3910" i="7"/>
  <c r="E3910" i="7" s="1"/>
  <c r="F3910" i="7" s="1"/>
  <c r="L3909" i="7"/>
  <c r="K3909" i="7"/>
  <c r="H3909" i="7"/>
  <c r="U3909" i="7" s="1"/>
  <c r="C3909" i="7"/>
  <c r="E3909" i="7" s="1"/>
  <c r="F3909" i="7" s="1"/>
  <c r="L3908" i="7"/>
  <c r="K3908" i="7"/>
  <c r="H3908" i="7"/>
  <c r="U3908" i="7" s="1"/>
  <c r="C3908" i="7"/>
  <c r="E3908" i="7" s="1"/>
  <c r="F3908" i="7" s="1"/>
  <c r="L3907" i="7"/>
  <c r="K3907" i="7"/>
  <c r="H3907" i="7"/>
  <c r="U3907" i="7" s="1"/>
  <c r="C3907" i="7"/>
  <c r="E3907" i="7" s="1"/>
  <c r="F3907" i="7" s="1"/>
  <c r="L3906" i="7"/>
  <c r="K3906" i="7"/>
  <c r="H3906" i="7"/>
  <c r="U3906" i="7" s="1"/>
  <c r="C3906" i="7"/>
  <c r="E3906" i="7" s="1"/>
  <c r="F3906" i="7" s="1"/>
  <c r="L3905" i="7"/>
  <c r="K3905" i="7"/>
  <c r="H3905" i="7"/>
  <c r="U3905" i="7" s="1"/>
  <c r="C3905" i="7"/>
  <c r="E3905" i="7" s="1"/>
  <c r="F3905" i="7" s="1"/>
  <c r="I3905" i="7" s="1"/>
  <c r="L3904" i="7"/>
  <c r="K3904" i="7"/>
  <c r="H3904" i="7"/>
  <c r="U3904" i="7" s="1"/>
  <c r="C3904" i="7"/>
  <c r="E3904" i="7" s="1"/>
  <c r="F3904" i="7" s="1"/>
  <c r="L3903" i="7"/>
  <c r="K3903" i="7"/>
  <c r="H3903" i="7"/>
  <c r="U3903" i="7" s="1"/>
  <c r="C3903" i="7"/>
  <c r="E3903" i="7" s="1"/>
  <c r="F3903" i="7" s="1"/>
  <c r="L3902" i="7"/>
  <c r="K3902" i="7"/>
  <c r="H3902" i="7"/>
  <c r="U3902" i="7" s="1"/>
  <c r="C3902" i="7"/>
  <c r="E3902" i="7" s="1"/>
  <c r="F3902" i="7" s="1"/>
  <c r="L3901" i="7"/>
  <c r="K3901" i="7"/>
  <c r="H3901" i="7"/>
  <c r="U3901" i="7" s="1"/>
  <c r="C3901" i="7"/>
  <c r="E3901" i="7" s="1"/>
  <c r="F3901" i="7" s="1"/>
  <c r="L3900" i="7"/>
  <c r="K3900" i="7"/>
  <c r="H3900" i="7"/>
  <c r="U3900" i="7" s="1"/>
  <c r="C3900" i="7"/>
  <c r="E3900" i="7" s="1"/>
  <c r="F3900" i="7" s="1"/>
  <c r="L3899" i="7"/>
  <c r="K3899" i="7"/>
  <c r="H3899" i="7"/>
  <c r="U3899" i="7" s="1"/>
  <c r="C3899" i="7"/>
  <c r="E3899" i="7" s="1"/>
  <c r="F3899" i="7" s="1"/>
  <c r="L3898" i="7"/>
  <c r="K3898" i="7"/>
  <c r="H3898" i="7"/>
  <c r="U3898" i="7" s="1"/>
  <c r="C3898" i="7"/>
  <c r="E3898" i="7" s="1"/>
  <c r="F3898" i="7" s="1"/>
  <c r="L3897" i="7"/>
  <c r="I3897" i="7" s="1"/>
  <c r="K3897" i="7"/>
  <c r="H3897" i="7"/>
  <c r="U3897" i="7" s="1"/>
  <c r="C3897" i="7"/>
  <c r="E3897" i="7" s="1"/>
  <c r="F3897" i="7" s="1"/>
  <c r="L3896" i="7"/>
  <c r="K3896" i="7"/>
  <c r="H3896" i="7"/>
  <c r="U3896" i="7" s="1"/>
  <c r="C3896" i="7"/>
  <c r="E3896" i="7" s="1"/>
  <c r="F3896" i="7" s="1"/>
  <c r="L3895" i="7"/>
  <c r="K3895" i="7"/>
  <c r="H3895" i="7"/>
  <c r="U3895" i="7" s="1"/>
  <c r="C3895" i="7"/>
  <c r="E3895" i="7" s="1"/>
  <c r="F3895" i="7" s="1"/>
  <c r="U3894" i="7"/>
  <c r="L3894" i="7"/>
  <c r="K3894" i="7"/>
  <c r="H3894" i="7"/>
  <c r="C3894" i="7"/>
  <c r="E3894" i="7" s="1"/>
  <c r="F3894" i="7" s="1"/>
  <c r="L3893" i="7"/>
  <c r="K3893" i="7"/>
  <c r="H3893" i="7"/>
  <c r="U3893" i="7" s="1"/>
  <c r="C3893" i="7"/>
  <c r="E3893" i="7" s="1"/>
  <c r="F3893" i="7" s="1"/>
  <c r="L3892" i="7"/>
  <c r="K3892" i="7"/>
  <c r="H3892" i="7"/>
  <c r="U3892" i="7" s="1"/>
  <c r="E3892" i="7"/>
  <c r="F3892" i="7" s="1"/>
  <c r="C3892" i="7"/>
  <c r="L3891" i="7"/>
  <c r="K3891" i="7"/>
  <c r="H3891" i="7"/>
  <c r="U3891" i="7" s="1"/>
  <c r="C3891" i="7"/>
  <c r="E3891" i="7" s="1"/>
  <c r="F3891" i="7" s="1"/>
  <c r="L3890" i="7"/>
  <c r="K3890" i="7"/>
  <c r="H3890" i="7"/>
  <c r="U3890" i="7" s="1"/>
  <c r="C3890" i="7"/>
  <c r="E3890" i="7" s="1"/>
  <c r="F3890" i="7" s="1"/>
  <c r="L3889" i="7"/>
  <c r="K3889" i="7"/>
  <c r="H3889" i="7"/>
  <c r="U3889" i="7" s="1"/>
  <c r="C3889" i="7"/>
  <c r="E3889" i="7" s="1"/>
  <c r="F3889" i="7" s="1"/>
  <c r="L3888" i="7"/>
  <c r="K3888" i="7"/>
  <c r="H3888" i="7"/>
  <c r="U3888" i="7" s="1"/>
  <c r="C3888" i="7"/>
  <c r="E3888" i="7" s="1"/>
  <c r="F3888" i="7" s="1"/>
  <c r="L3887" i="7"/>
  <c r="K3887" i="7"/>
  <c r="H3887" i="7"/>
  <c r="U3887" i="7" s="1"/>
  <c r="C3887" i="7"/>
  <c r="E3887" i="7" s="1"/>
  <c r="F3887" i="7" s="1"/>
  <c r="U3886" i="7"/>
  <c r="L3886" i="7"/>
  <c r="K3886" i="7"/>
  <c r="H3886" i="7"/>
  <c r="C3886" i="7"/>
  <c r="E3886" i="7" s="1"/>
  <c r="F3886" i="7" s="1"/>
  <c r="L3885" i="7"/>
  <c r="K3885" i="7"/>
  <c r="H3885" i="7"/>
  <c r="U3885" i="7" s="1"/>
  <c r="C3885" i="7"/>
  <c r="E3885" i="7" s="1"/>
  <c r="F3885" i="7" s="1"/>
  <c r="L3884" i="7"/>
  <c r="K3884" i="7"/>
  <c r="H3884" i="7"/>
  <c r="U3884" i="7" s="1"/>
  <c r="C3884" i="7"/>
  <c r="E3884" i="7" s="1"/>
  <c r="F3884" i="7" s="1"/>
  <c r="L3883" i="7"/>
  <c r="K3883" i="7"/>
  <c r="H3883" i="7"/>
  <c r="U3883" i="7" s="1"/>
  <c r="C3883" i="7"/>
  <c r="E3883" i="7" s="1"/>
  <c r="F3883" i="7" s="1"/>
  <c r="L3882" i="7"/>
  <c r="K3882" i="7"/>
  <c r="H3882" i="7"/>
  <c r="U3882" i="7" s="1"/>
  <c r="C3882" i="7"/>
  <c r="E3882" i="7" s="1"/>
  <c r="F3882" i="7" s="1"/>
  <c r="L3881" i="7"/>
  <c r="I3881" i="7" s="1"/>
  <c r="K3881" i="7"/>
  <c r="J3881" i="7"/>
  <c r="H3881" i="7"/>
  <c r="U3881" i="7" s="1"/>
  <c r="C3881" i="7"/>
  <c r="E3881" i="7" s="1"/>
  <c r="F3881" i="7" s="1"/>
  <c r="L3880" i="7"/>
  <c r="K3880" i="7"/>
  <c r="H3880" i="7"/>
  <c r="U3880" i="7" s="1"/>
  <c r="C3880" i="7"/>
  <c r="E3880" i="7" s="1"/>
  <c r="F3880" i="7" s="1"/>
  <c r="L3879" i="7"/>
  <c r="K3879" i="7"/>
  <c r="H3879" i="7"/>
  <c r="U3879" i="7" s="1"/>
  <c r="C3879" i="7"/>
  <c r="E3879" i="7" s="1"/>
  <c r="F3879" i="7" s="1"/>
  <c r="U3878" i="7"/>
  <c r="L3878" i="7"/>
  <c r="K3878" i="7"/>
  <c r="H3878" i="7"/>
  <c r="C3878" i="7"/>
  <c r="E3878" i="7" s="1"/>
  <c r="F3878" i="7" s="1"/>
  <c r="L3877" i="7"/>
  <c r="K3877" i="7"/>
  <c r="H3877" i="7"/>
  <c r="U3877" i="7" s="1"/>
  <c r="C3877" i="7"/>
  <c r="E3877" i="7" s="1"/>
  <c r="F3877" i="7" s="1"/>
  <c r="L3876" i="7"/>
  <c r="K3876" i="7"/>
  <c r="H3876" i="7"/>
  <c r="U3876" i="7" s="1"/>
  <c r="C3876" i="7"/>
  <c r="E3876" i="7" s="1"/>
  <c r="F3876" i="7" s="1"/>
  <c r="L3875" i="7"/>
  <c r="K3875" i="7"/>
  <c r="H3875" i="7"/>
  <c r="U3875" i="7" s="1"/>
  <c r="C3875" i="7"/>
  <c r="E3875" i="7" s="1"/>
  <c r="F3875" i="7" s="1"/>
  <c r="L3874" i="7"/>
  <c r="K3874" i="7"/>
  <c r="H3874" i="7"/>
  <c r="U3874" i="7" s="1"/>
  <c r="C3874" i="7"/>
  <c r="E3874" i="7" s="1"/>
  <c r="F3874" i="7" s="1"/>
  <c r="L3873" i="7"/>
  <c r="J3873" i="7" s="1"/>
  <c r="K3873" i="7"/>
  <c r="H3873" i="7"/>
  <c r="U3873" i="7" s="1"/>
  <c r="C3873" i="7"/>
  <c r="E3873" i="7" s="1"/>
  <c r="F3873" i="7" s="1"/>
  <c r="L3872" i="7"/>
  <c r="K3872" i="7"/>
  <c r="H3872" i="7"/>
  <c r="U3872" i="7" s="1"/>
  <c r="C3872" i="7"/>
  <c r="E3872" i="7" s="1"/>
  <c r="F3872" i="7" s="1"/>
  <c r="L3871" i="7"/>
  <c r="K3871" i="7"/>
  <c r="H3871" i="7"/>
  <c r="U3871" i="7" s="1"/>
  <c r="C3871" i="7"/>
  <c r="E3871" i="7" s="1"/>
  <c r="F3871" i="7" s="1"/>
  <c r="U3870" i="7"/>
  <c r="L3870" i="7"/>
  <c r="K3870" i="7"/>
  <c r="H3870" i="7"/>
  <c r="C3870" i="7"/>
  <c r="E3870" i="7" s="1"/>
  <c r="F3870" i="7" s="1"/>
  <c r="L3869" i="7"/>
  <c r="K3869" i="7"/>
  <c r="H3869" i="7"/>
  <c r="U3869" i="7" s="1"/>
  <c r="C3869" i="7"/>
  <c r="E3869" i="7" s="1"/>
  <c r="F3869" i="7" s="1"/>
  <c r="L3868" i="7"/>
  <c r="K3868" i="7"/>
  <c r="H3868" i="7"/>
  <c r="U3868" i="7" s="1"/>
  <c r="C3868" i="7"/>
  <c r="E3868" i="7" s="1"/>
  <c r="F3868" i="7" s="1"/>
  <c r="L3867" i="7"/>
  <c r="K3867" i="7"/>
  <c r="H3867" i="7"/>
  <c r="U3867" i="7" s="1"/>
  <c r="C3867" i="7"/>
  <c r="E3867" i="7" s="1"/>
  <c r="F3867" i="7" s="1"/>
  <c r="U3866" i="7"/>
  <c r="L3866" i="7"/>
  <c r="K3866" i="7"/>
  <c r="H3866" i="7"/>
  <c r="C3866" i="7"/>
  <c r="E3866" i="7" s="1"/>
  <c r="F3866" i="7" s="1"/>
  <c r="L3865" i="7"/>
  <c r="K3865" i="7"/>
  <c r="J3865" i="7"/>
  <c r="H3865" i="7"/>
  <c r="U3865" i="7" s="1"/>
  <c r="C3865" i="7"/>
  <c r="E3865" i="7" s="1"/>
  <c r="F3865" i="7" s="1"/>
  <c r="I3865" i="7" s="1"/>
  <c r="L3864" i="7"/>
  <c r="K3864" i="7"/>
  <c r="H3864" i="7"/>
  <c r="U3864" i="7" s="1"/>
  <c r="C3864" i="7"/>
  <c r="E3864" i="7" s="1"/>
  <c r="F3864" i="7" s="1"/>
  <c r="L3863" i="7"/>
  <c r="K3863" i="7"/>
  <c r="H3863" i="7"/>
  <c r="U3863" i="7" s="1"/>
  <c r="C3863" i="7"/>
  <c r="E3863" i="7" s="1"/>
  <c r="F3863" i="7" s="1"/>
  <c r="U3862" i="7"/>
  <c r="L3862" i="7"/>
  <c r="K3862" i="7"/>
  <c r="H3862" i="7"/>
  <c r="C3862" i="7"/>
  <c r="E3862" i="7" s="1"/>
  <c r="F3862" i="7" s="1"/>
  <c r="L3861" i="7"/>
  <c r="K3861" i="7"/>
  <c r="H3861" i="7"/>
  <c r="U3861" i="7" s="1"/>
  <c r="C3861" i="7"/>
  <c r="E3861" i="7" s="1"/>
  <c r="F3861" i="7" s="1"/>
  <c r="L3860" i="7"/>
  <c r="K3860" i="7"/>
  <c r="H3860" i="7"/>
  <c r="U3860" i="7" s="1"/>
  <c r="C3860" i="7"/>
  <c r="E3860" i="7" s="1"/>
  <c r="F3860" i="7" s="1"/>
  <c r="L3859" i="7"/>
  <c r="K3859" i="7"/>
  <c r="H3859" i="7"/>
  <c r="U3859" i="7" s="1"/>
  <c r="C3859" i="7"/>
  <c r="E3859" i="7" s="1"/>
  <c r="F3859" i="7" s="1"/>
  <c r="L3858" i="7"/>
  <c r="K3858" i="7"/>
  <c r="H3858" i="7"/>
  <c r="U3858" i="7" s="1"/>
  <c r="C3858" i="7"/>
  <c r="E3858" i="7" s="1"/>
  <c r="F3858" i="7" s="1"/>
  <c r="L3857" i="7"/>
  <c r="K3857" i="7"/>
  <c r="H3857" i="7"/>
  <c r="U3857" i="7" s="1"/>
  <c r="C3857" i="7"/>
  <c r="E3857" i="7" s="1"/>
  <c r="F3857" i="7" s="1"/>
  <c r="I3857" i="7" s="1"/>
  <c r="L3856" i="7"/>
  <c r="K3856" i="7"/>
  <c r="H3856" i="7"/>
  <c r="U3856" i="7" s="1"/>
  <c r="F3856" i="7"/>
  <c r="C3856" i="7"/>
  <c r="E3856" i="7" s="1"/>
  <c r="L3855" i="7"/>
  <c r="K3855" i="7"/>
  <c r="H3855" i="7"/>
  <c r="U3855" i="7" s="1"/>
  <c r="C3855" i="7"/>
  <c r="E3855" i="7" s="1"/>
  <c r="F3855" i="7" s="1"/>
  <c r="L3854" i="7"/>
  <c r="K3854" i="7"/>
  <c r="H3854" i="7"/>
  <c r="U3854" i="7" s="1"/>
  <c r="C3854" i="7"/>
  <c r="E3854" i="7" s="1"/>
  <c r="F3854" i="7" s="1"/>
  <c r="L3853" i="7"/>
  <c r="K3853" i="7"/>
  <c r="H3853" i="7"/>
  <c r="U3853" i="7" s="1"/>
  <c r="C3853" i="7"/>
  <c r="E3853" i="7" s="1"/>
  <c r="F3853" i="7" s="1"/>
  <c r="L3852" i="7"/>
  <c r="K3852" i="7"/>
  <c r="H3852" i="7"/>
  <c r="U3852" i="7" s="1"/>
  <c r="E3852" i="7"/>
  <c r="F3852" i="7" s="1"/>
  <c r="C3852" i="7"/>
  <c r="L3851" i="7"/>
  <c r="K3851" i="7"/>
  <c r="H3851" i="7"/>
  <c r="U3851" i="7" s="1"/>
  <c r="C3851" i="7"/>
  <c r="E3851" i="7" s="1"/>
  <c r="F3851" i="7" s="1"/>
  <c r="L3850" i="7"/>
  <c r="K3850" i="7"/>
  <c r="H3850" i="7"/>
  <c r="U3850" i="7" s="1"/>
  <c r="C3850" i="7"/>
  <c r="E3850" i="7" s="1"/>
  <c r="F3850" i="7" s="1"/>
  <c r="L3849" i="7"/>
  <c r="K3849" i="7"/>
  <c r="H3849" i="7"/>
  <c r="U3849" i="7" s="1"/>
  <c r="C3849" i="7"/>
  <c r="E3849" i="7" s="1"/>
  <c r="F3849" i="7" s="1"/>
  <c r="L3848" i="7"/>
  <c r="K3848" i="7"/>
  <c r="H3848" i="7"/>
  <c r="U3848" i="7" s="1"/>
  <c r="C3848" i="7"/>
  <c r="E3848" i="7" s="1"/>
  <c r="F3848" i="7" s="1"/>
  <c r="L3847" i="7"/>
  <c r="K3847" i="7"/>
  <c r="H3847" i="7"/>
  <c r="U3847" i="7" s="1"/>
  <c r="C3847" i="7"/>
  <c r="E3847" i="7" s="1"/>
  <c r="F3847" i="7" s="1"/>
  <c r="L3846" i="7"/>
  <c r="K3846" i="7"/>
  <c r="H3846" i="7"/>
  <c r="U3846" i="7" s="1"/>
  <c r="C3846" i="7"/>
  <c r="E3846" i="7" s="1"/>
  <c r="F3846" i="7" s="1"/>
  <c r="L3845" i="7"/>
  <c r="K3845" i="7"/>
  <c r="H3845" i="7"/>
  <c r="U3845" i="7" s="1"/>
  <c r="C3845" i="7"/>
  <c r="E3845" i="7" s="1"/>
  <c r="F3845" i="7" s="1"/>
  <c r="L3844" i="7"/>
  <c r="K3844" i="7"/>
  <c r="H3844" i="7"/>
  <c r="U3844" i="7" s="1"/>
  <c r="C3844" i="7"/>
  <c r="E3844" i="7" s="1"/>
  <c r="F3844" i="7" s="1"/>
  <c r="L3843" i="7"/>
  <c r="K3843" i="7"/>
  <c r="H3843" i="7"/>
  <c r="U3843" i="7" s="1"/>
  <c r="C3843" i="7"/>
  <c r="E3843" i="7" s="1"/>
  <c r="F3843" i="7" s="1"/>
  <c r="U3842" i="7"/>
  <c r="L3842" i="7"/>
  <c r="K3842" i="7"/>
  <c r="H3842" i="7"/>
  <c r="C3842" i="7"/>
  <c r="E3842" i="7" s="1"/>
  <c r="F3842" i="7" s="1"/>
  <c r="L3841" i="7"/>
  <c r="K3841" i="7"/>
  <c r="H3841" i="7"/>
  <c r="U3841" i="7" s="1"/>
  <c r="C3841" i="7"/>
  <c r="E3841" i="7" s="1"/>
  <c r="F3841" i="7" s="1"/>
  <c r="L3840" i="7"/>
  <c r="K3840" i="7"/>
  <c r="H3840" i="7"/>
  <c r="U3840" i="7" s="1"/>
  <c r="F3840" i="7"/>
  <c r="E3840" i="7"/>
  <c r="C3840" i="7"/>
  <c r="L3839" i="7"/>
  <c r="K3839" i="7"/>
  <c r="H3839" i="7"/>
  <c r="U3839" i="7" s="1"/>
  <c r="C3839" i="7"/>
  <c r="E3839" i="7" s="1"/>
  <c r="F3839" i="7" s="1"/>
  <c r="L3838" i="7"/>
  <c r="K3838" i="7"/>
  <c r="H3838" i="7"/>
  <c r="U3838" i="7" s="1"/>
  <c r="C3838" i="7"/>
  <c r="E3838" i="7" s="1"/>
  <c r="F3838" i="7" s="1"/>
  <c r="L3837" i="7"/>
  <c r="K3837" i="7"/>
  <c r="H3837" i="7"/>
  <c r="U3837" i="7" s="1"/>
  <c r="C3837" i="7"/>
  <c r="E3837" i="7" s="1"/>
  <c r="F3837" i="7" s="1"/>
  <c r="L3836" i="7"/>
  <c r="K3836" i="7"/>
  <c r="H3836" i="7"/>
  <c r="U3836" i="7" s="1"/>
  <c r="C3836" i="7"/>
  <c r="E3836" i="7" s="1"/>
  <c r="F3836" i="7" s="1"/>
  <c r="L3835" i="7"/>
  <c r="K3835" i="7"/>
  <c r="H3835" i="7"/>
  <c r="U3835" i="7" s="1"/>
  <c r="C3835" i="7"/>
  <c r="E3835" i="7" s="1"/>
  <c r="F3835" i="7" s="1"/>
  <c r="L3834" i="7"/>
  <c r="K3834" i="7"/>
  <c r="H3834" i="7"/>
  <c r="U3834" i="7" s="1"/>
  <c r="C3834" i="7"/>
  <c r="E3834" i="7" s="1"/>
  <c r="F3834" i="7" s="1"/>
  <c r="L3833" i="7"/>
  <c r="K3833" i="7"/>
  <c r="H3833" i="7"/>
  <c r="U3833" i="7" s="1"/>
  <c r="C3833" i="7"/>
  <c r="E3833" i="7" s="1"/>
  <c r="F3833" i="7" s="1"/>
  <c r="L3832" i="7"/>
  <c r="K3832" i="7"/>
  <c r="H3832" i="7"/>
  <c r="U3832" i="7" s="1"/>
  <c r="C3832" i="7"/>
  <c r="E3832" i="7" s="1"/>
  <c r="F3832" i="7" s="1"/>
  <c r="L3831" i="7"/>
  <c r="K3831" i="7"/>
  <c r="H3831" i="7"/>
  <c r="U3831" i="7" s="1"/>
  <c r="C3831" i="7"/>
  <c r="E3831" i="7" s="1"/>
  <c r="F3831" i="7" s="1"/>
  <c r="L3830" i="7"/>
  <c r="K3830" i="7"/>
  <c r="H3830" i="7"/>
  <c r="U3830" i="7" s="1"/>
  <c r="C3830" i="7"/>
  <c r="E3830" i="7" s="1"/>
  <c r="F3830" i="7" s="1"/>
  <c r="L3829" i="7"/>
  <c r="J3829" i="7" s="1"/>
  <c r="K3829" i="7"/>
  <c r="H3829" i="7"/>
  <c r="U3829" i="7" s="1"/>
  <c r="C3829" i="7"/>
  <c r="E3829" i="7" s="1"/>
  <c r="F3829" i="7" s="1"/>
  <c r="L3828" i="7"/>
  <c r="K3828" i="7"/>
  <c r="H3828" i="7"/>
  <c r="U3828" i="7" s="1"/>
  <c r="E3828" i="7"/>
  <c r="F3828" i="7" s="1"/>
  <c r="C3828" i="7"/>
  <c r="L3827" i="7"/>
  <c r="K3827" i="7"/>
  <c r="H3827" i="7"/>
  <c r="U3827" i="7" s="1"/>
  <c r="C3827" i="7"/>
  <c r="E3827" i="7" s="1"/>
  <c r="F3827" i="7" s="1"/>
  <c r="U3826" i="7"/>
  <c r="L3826" i="7"/>
  <c r="K3826" i="7"/>
  <c r="H3826" i="7"/>
  <c r="C3826" i="7"/>
  <c r="E3826" i="7" s="1"/>
  <c r="F3826" i="7" s="1"/>
  <c r="L3825" i="7"/>
  <c r="K3825" i="7"/>
  <c r="H3825" i="7"/>
  <c r="U3825" i="7" s="1"/>
  <c r="C3825" i="7"/>
  <c r="E3825" i="7" s="1"/>
  <c r="F3825" i="7" s="1"/>
  <c r="L3824" i="7"/>
  <c r="K3824" i="7"/>
  <c r="H3824" i="7"/>
  <c r="U3824" i="7" s="1"/>
  <c r="E3824" i="7"/>
  <c r="F3824" i="7" s="1"/>
  <c r="C3824" i="7"/>
  <c r="L3823" i="7"/>
  <c r="K3823" i="7"/>
  <c r="H3823" i="7"/>
  <c r="U3823" i="7" s="1"/>
  <c r="C3823" i="7"/>
  <c r="E3823" i="7" s="1"/>
  <c r="F3823" i="7" s="1"/>
  <c r="U3822" i="7"/>
  <c r="L3822" i="7"/>
  <c r="K3822" i="7"/>
  <c r="H3822" i="7"/>
  <c r="C3822" i="7"/>
  <c r="E3822" i="7" s="1"/>
  <c r="F3822" i="7" s="1"/>
  <c r="L3821" i="7"/>
  <c r="K3821" i="7"/>
  <c r="H3821" i="7"/>
  <c r="U3821" i="7" s="1"/>
  <c r="C3821" i="7"/>
  <c r="E3821" i="7" s="1"/>
  <c r="F3821" i="7" s="1"/>
  <c r="L3820" i="7"/>
  <c r="K3820" i="7"/>
  <c r="H3820" i="7"/>
  <c r="U3820" i="7" s="1"/>
  <c r="E3820" i="7"/>
  <c r="F3820" i="7" s="1"/>
  <c r="C3820" i="7"/>
  <c r="L3819" i="7"/>
  <c r="K3819" i="7"/>
  <c r="H3819" i="7"/>
  <c r="U3819" i="7" s="1"/>
  <c r="C3819" i="7"/>
  <c r="E3819" i="7" s="1"/>
  <c r="F3819" i="7" s="1"/>
  <c r="U3818" i="7"/>
  <c r="L3818" i="7"/>
  <c r="K3818" i="7"/>
  <c r="H3818" i="7"/>
  <c r="C3818" i="7"/>
  <c r="E3818" i="7" s="1"/>
  <c r="F3818" i="7" s="1"/>
  <c r="L3817" i="7"/>
  <c r="K3817" i="7"/>
  <c r="H3817" i="7"/>
  <c r="U3817" i="7" s="1"/>
  <c r="C3817" i="7"/>
  <c r="E3817" i="7" s="1"/>
  <c r="F3817" i="7" s="1"/>
  <c r="L3816" i="7"/>
  <c r="K3816" i="7"/>
  <c r="H3816" i="7"/>
  <c r="U3816" i="7" s="1"/>
  <c r="C3816" i="7"/>
  <c r="E3816" i="7" s="1"/>
  <c r="F3816" i="7" s="1"/>
  <c r="L3815" i="7"/>
  <c r="K3815" i="7"/>
  <c r="H3815" i="7"/>
  <c r="U3815" i="7" s="1"/>
  <c r="C3815" i="7"/>
  <c r="E3815" i="7" s="1"/>
  <c r="F3815" i="7" s="1"/>
  <c r="L3814" i="7"/>
  <c r="K3814" i="7"/>
  <c r="H3814" i="7"/>
  <c r="U3814" i="7" s="1"/>
  <c r="C3814" i="7"/>
  <c r="E3814" i="7" s="1"/>
  <c r="F3814" i="7" s="1"/>
  <c r="L3813" i="7"/>
  <c r="K3813" i="7"/>
  <c r="H3813" i="7"/>
  <c r="U3813" i="7" s="1"/>
  <c r="C3813" i="7"/>
  <c r="E3813" i="7" s="1"/>
  <c r="F3813" i="7" s="1"/>
  <c r="L3812" i="7"/>
  <c r="K3812" i="7"/>
  <c r="H3812" i="7"/>
  <c r="U3812" i="7" s="1"/>
  <c r="C3812" i="7"/>
  <c r="E3812" i="7" s="1"/>
  <c r="F3812" i="7" s="1"/>
  <c r="L3811" i="7"/>
  <c r="K3811" i="7"/>
  <c r="H3811" i="7"/>
  <c r="U3811" i="7" s="1"/>
  <c r="C3811" i="7"/>
  <c r="E3811" i="7" s="1"/>
  <c r="F3811" i="7" s="1"/>
  <c r="L3810" i="7"/>
  <c r="K3810" i="7"/>
  <c r="H3810" i="7"/>
  <c r="U3810" i="7" s="1"/>
  <c r="C3810" i="7"/>
  <c r="E3810" i="7" s="1"/>
  <c r="F3810" i="7" s="1"/>
  <c r="L3809" i="7"/>
  <c r="K3809" i="7"/>
  <c r="H3809" i="7"/>
  <c r="U3809" i="7" s="1"/>
  <c r="C3809" i="7"/>
  <c r="E3809" i="7" s="1"/>
  <c r="F3809" i="7" s="1"/>
  <c r="I3809" i="7" s="1"/>
  <c r="L3808" i="7"/>
  <c r="K3808" i="7"/>
  <c r="H3808" i="7"/>
  <c r="U3808" i="7" s="1"/>
  <c r="E3808" i="7"/>
  <c r="F3808" i="7" s="1"/>
  <c r="C3808" i="7"/>
  <c r="L3807" i="7"/>
  <c r="K3807" i="7"/>
  <c r="H3807" i="7"/>
  <c r="U3807" i="7" s="1"/>
  <c r="C3807" i="7"/>
  <c r="E3807" i="7" s="1"/>
  <c r="F3807" i="7" s="1"/>
  <c r="L3806" i="7"/>
  <c r="K3806" i="7"/>
  <c r="H3806" i="7"/>
  <c r="U3806" i="7" s="1"/>
  <c r="C3806" i="7"/>
  <c r="E3806" i="7" s="1"/>
  <c r="F3806" i="7" s="1"/>
  <c r="L3805" i="7"/>
  <c r="K3805" i="7"/>
  <c r="H3805" i="7"/>
  <c r="U3805" i="7" s="1"/>
  <c r="C3805" i="7"/>
  <c r="E3805" i="7" s="1"/>
  <c r="F3805" i="7" s="1"/>
  <c r="L3804" i="7"/>
  <c r="K3804" i="7"/>
  <c r="H3804" i="7"/>
  <c r="U3804" i="7" s="1"/>
  <c r="C3804" i="7"/>
  <c r="E3804" i="7" s="1"/>
  <c r="F3804" i="7" s="1"/>
  <c r="L3803" i="7"/>
  <c r="K3803" i="7"/>
  <c r="H3803" i="7"/>
  <c r="U3803" i="7" s="1"/>
  <c r="C3803" i="7"/>
  <c r="E3803" i="7" s="1"/>
  <c r="F3803" i="7" s="1"/>
  <c r="L3802" i="7"/>
  <c r="K3802" i="7"/>
  <c r="H3802" i="7"/>
  <c r="U3802" i="7" s="1"/>
  <c r="C3802" i="7"/>
  <c r="E3802" i="7" s="1"/>
  <c r="F3802" i="7" s="1"/>
  <c r="L3801" i="7"/>
  <c r="J3801" i="7" s="1"/>
  <c r="K3801" i="7"/>
  <c r="H3801" i="7"/>
  <c r="U3801" i="7" s="1"/>
  <c r="C3801" i="7"/>
  <c r="E3801" i="7" s="1"/>
  <c r="F3801" i="7" s="1"/>
  <c r="L3800" i="7"/>
  <c r="K3800" i="7"/>
  <c r="H3800" i="7"/>
  <c r="U3800" i="7" s="1"/>
  <c r="C3800" i="7"/>
  <c r="E3800" i="7" s="1"/>
  <c r="F3800" i="7" s="1"/>
  <c r="L3799" i="7"/>
  <c r="K3799" i="7"/>
  <c r="H3799" i="7"/>
  <c r="U3799" i="7" s="1"/>
  <c r="C3799" i="7"/>
  <c r="E3799" i="7" s="1"/>
  <c r="F3799" i="7" s="1"/>
  <c r="L3798" i="7"/>
  <c r="K3798" i="7"/>
  <c r="H3798" i="7"/>
  <c r="U3798" i="7" s="1"/>
  <c r="C3798" i="7"/>
  <c r="E3798" i="7" s="1"/>
  <c r="F3798" i="7" s="1"/>
  <c r="L3797" i="7"/>
  <c r="K3797" i="7"/>
  <c r="H3797" i="7"/>
  <c r="U3797" i="7" s="1"/>
  <c r="C3797" i="7"/>
  <c r="E3797" i="7" s="1"/>
  <c r="F3797" i="7" s="1"/>
  <c r="L3796" i="7"/>
  <c r="K3796" i="7"/>
  <c r="H3796" i="7"/>
  <c r="U3796" i="7" s="1"/>
  <c r="C3796" i="7"/>
  <c r="E3796" i="7" s="1"/>
  <c r="F3796" i="7" s="1"/>
  <c r="L3795" i="7"/>
  <c r="K3795" i="7"/>
  <c r="H3795" i="7"/>
  <c r="U3795" i="7" s="1"/>
  <c r="C3795" i="7"/>
  <c r="E3795" i="7" s="1"/>
  <c r="F3795" i="7" s="1"/>
  <c r="L3794" i="7"/>
  <c r="K3794" i="7"/>
  <c r="H3794" i="7"/>
  <c r="U3794" i="7" s="1"/>
  <c r="C3794" i="7"/>
  <c r="E3794" i="7" s="1"/>
  <c r="F3794" i="7" s="1"/>
  <c r="L3793" i="7"/>
  <c r="K3793" i="7"/>
  <c r="H3793" i="7"/>
  <c r="U3793" i="7" s="1"/>
  <c r="C3793" i="7"/>
  <c r="E3793" i="7" s="1"/>
  <c r="F3793" i="7" s="1"/>
  <c r="L3792" i="7"/>
  <c r="K3792" i="7"/>
  <c r="H3792" i="7"/>
  <c r="U3792" i="7" s="1"/>
  <c r="E3792" i="7"/>
  <c r="F3792" i="7" s="1"/>
  <c r="C3792" i="7"/>
  <c r="L3791" i="7"/>
  <c r="K3791" i="7"/>
  <c r="H3791" i="7"/>
  <c r="U3791" i="7" s="1"/>
  <c r="C3791" i="7"/>
  <c r="E3791" i="7" s="1"/>
  <c r="F3791" i="7" s="1"/>
  <c r="U3790" i="7"/>
  <c r="L3790" i="7"/>
  <c r="K3790" i="7"/>
  <c r="H3790" i="7"/>
  <c r="C3790" i="7"/>
  <c r="E3790" i="7" s="1"/>
  <c r="F3790" i="7" s="1"/>
  <c r="L3789" i="7"/>
  <c r="K3789" i="7"/>
  <c r="H3789" i="7"/>
  <c r="U3789" i="7" s="1"/>
  <c r="C3789" i="7"/>
  <c r="E3789" i="7" s="1"/>
  <c r="F3789" i="7" s="1"/>
  <c r="L3788" i="7"/>
  <c r="K3788" i="7"/>
  <c r="H3788" i="7"/>
  <c r="U3788" i="7" s="1"/>
  <c r="E3788" i="7"/>
  <c r="F3788" i="7" s="1"/>
  <c r="C3788" i="7"/>
  <c r="L3787" i="7"/>
  <c r="K3787" i="7"/>
  <c r="H3787" i="7"/>
  <c r="U3787" i="7" s="1"/>
  <c r="C3787" i="7"/>
  <c r="E3787" i="7" s="1"/>
  <c r="F3787" i="7" s="1"/>
  <c r="L3786" i="7"/>
  <c r="K3786" i="7"/>
  <c r="H3786" i="7"/>
  <c r="U3786" i="7" s="1"/>
  <c r="C3786" i="7"/>
  <c r="E3786" i="7" s="1"/>
  <c r="F3786" i="7" s="1"/>
  <c r="L3785" i="7"/>
  <c r="K3785" i="7"/>
  <c r="J3785" i="7"/>
  <c r="H3785" i="7"/>
  <c r="U3785" i="7" s="1"/>
  <c r="C3785" i="7"/>
  <c r="E3785" i="7" s="1"/>
  <c r="F3785" i="7" s="1"/>
  <c r="L3784" i="7"/>
  <c r="K3784" i="7"/>
  <c r="H3784" i="7"/>
  <c r="U3784" i="7" s="1"/>
  <c r="C3784" i="7"/>
  <c r="E3784" i="7" s="1"/>
  <c r="F3784" i="7" s="1"/>
  <c r="L3783" i="7"/>
  <c r="K3783" i="7"/>
  <c r="H3783" i="7"/>
  <c r="U3783" i="7" s="1"/>
  <c r="C3783" i="7"/>
  <c r="E3783" i="7" s="1"/>
  <c r="F3783" i="7" s="1"/>
  <c r="L3782" i="7"/>
  <c r="K3782" i="7"/>
  <c r="H3782" i="7"/>
  <c r="U3782" i="7" s="1"/>
  <c r="C3782" i="7"/>
  <c r="E3782" i="7" s="1"/>
  <c r="F3782" i="7" s="1"/>
  <c r="L3781" i="7"/>
  <c r="K3781" i="7"/>
  <c r="H3781" i="7"/>
  <c r="U3781" i="7" s="1"/>
  <c r="C3781" i="7"/>
  <c r="E3781" i="7" s="1"/>
  <c r="F3781" i="7" s="1"/>
  <c r="L3780" i="7"/>
  <c r="K3780" i="7"/>
  <c r="H3780" i="7"/>
  <c r="U3780" i="7" s="1"/>
  <c r="C3780" i="7"/>
  <c r="E3780" i="7" s="1"/>
  <c r="F3780" i="7" s="1"/>
  <c r="L3779" i="7"/>
  <c r="K3779" i="7"/>
  <c r="H3779" i="7"/>
  <c r="U3779" i="7" s="1"/>
  <c r="C3779" i="7"/>
  <c r="E3779" i="7" s="1"/>
  <c r="F3779" i="7" s="1"/>
  <c r="U3778" i="7"/>
  <c r="L3778" i="7"/>
  <c r="K3778" i="7"/>
  <c r="H3778" i="7"/>
  <c r="C3778" i="7"/>
  <c r="E3778" i="7" s="1"/>
  <c r="F3778" i="7" s="1"/>
  <c r="L3777" i="7"/>
  <c r="K3777" i="7"/>
  <c r="H3777" i="7"/>
  <c r="U3777" i="7" s="1"/>
  <c r="C3777" i="7"/>
  <c r="E3777" i="7" s="1"/>
  <c r="F3777" i="7" s="1"/>
  <c r="L3776" i="7"/>
  <c r="K3776" i="7"/>
  <c r="H3776" i="7"/>
  <c r="U3776" i="7" s="1"/>
  <c r="E3776" i="7"/>
  <c r="F3776" i="7" s="1"/>
  <c r="C3776" i="7"/>
  <c r="L3775" i="7"/>
  <c r="K3775" i="7"/>
  <c r="H3775" i="7"/>
  <c r="U3775" i="7" s="1"/>
  <c r="C3775" i="7"/>
  <c r="E3775" i="7" s="1"/>
  <c r="F3775" i="7" s="1"/>
  <c r="L3774" i="7"/>
  <c r="K3774" i="7"/>
  <c r="H3774" i="7"/>
  <c r="U3774" i="7" s="1"/>
  <c r="C3774" i="7"/>
  <c r="E3774" i="7" s="1"/>
  <c r="F3774" i="7" s="1"/>
  <c r="L3773" i="7"/>
  <c r="K3773" i="7"/>
  <c r="H3773" i="7"/>
  <c r="U3773" i="7" s="1"/>
  <c r="C3773" i="7"/>
  <c r="E3773" i="7" s="1"/>
  <c r="F3773" i="7" s="1"/>
  <c r="L3772" i="7"/>
  <c r="K3772" i="7"/>
  <c r="H3772" i="7"/>
  <c r="U3772" i="7" s="1"/>
  <c r="C3772" i="7"/>
  <c r="E3772" i="7" s="1"/>
  <c r="F3772" i="7" s="1"/>
  <c r="L3771" i="7"/>
  <c r="K3771" i="7"/>
  <c r="H3771" i="7"/>
  <c r="U3771" i="7" s="1"/>
  <c r="C3771" i="7"/>
  <c r="E3771" i="7" s="1"/>
  <c r="F3771" i="7" s="1"/>
  <c r="L3770" i="7"/>
  <c r="K3770" i="7"/>
  <c r="H3770" i="7"/>
  <c r="U3770" i="7" s="1"/>
  <c r="C3770" i="7"/>
  <c r="E3770" i="7" s="1"/>
  <c r="F3770" i="7" s="1"/>
  <c r="L3769" i="7"/>
  <c r="J3769" i="7" s="1"/>
  <c r="K3769" i="7"/>
  <c r="H3769" i="7"/>
  <c r="U3769" i="7" s="1"/>
  <c r="C3769" i="7"/>
  <c r="E3769" i="7" s="1"/>
  <c r="F3769" i="7" s="1"/>
  <c r="L3768" i="7"/>
  <c r="K3768" i="7"/>
  <c r="H3768" i="7"/>
  <c r="U3768" i="7" s="1"/>
  <c r="C3768" i="7"/>
  <c r="E3768" i="7" s="1"/>
  <c r="F3768" i="7" s="1"/>
  <c r="L3767" i="7"/>
  <c r="K3767" i="7"/>
  <c r="H3767" i="7"/>
  <c r="U3767" i="7" s="1"/>
  <c r="C3767" i="7"/>
  <c r="E3767" i="7" s="1"/>
  <c r="F3767" i="7" s="1"/>
  <c r="L3766" i="7"/>
  <c r="K3766" i="7"/>
  <c r="H3766" i="7"/>
  <c r="U3766" i="7" s="1"/>
  <c r="C3766" i="7"/>
  <c r="E3766" i="7" s="1"/>
  <c r="F3766" i="7" s="1"/>
  <c r="L3765" i="7"/>
  <c r="K3765" i="7"/>
  <c r="H3765" i="7"/>
  <c r="U3765" i="7" s="1"/>
  <c r="C3765" i="7"/>
  <c r="E3765" i="7" s="1"/>
  <c r="F3765" i="7" s="1"/>
  <c r="L3764" i="7"/>
  <c r="K3764" i="7"/>
  <c r="H3764" i="7"/>
  <c r="U3764" i="7" s="1"/>
  <c r="E3764" i="7"/>
  <c r="F3764" i="7" s="1"/>
  <c r="C3764" i="7"/>
  <c r="L3763" i="7"/>
  <c r="K3763" i="7"/>
  <c r="H3763" i="7"/>
  <c r="U3763" i="7" s="1"/>
  <c r="C3763" i="7"/>
  <c r="E3763" i="7" s="1"/>
  <c r="F3763" i="7" s="1"/>
  <c r="L3762" i="7"/>
  <c r="K3762" i="7"/>
  <c r="H3762" i="7"/>
  <c r="U3762" i="7" s="1"/>
  <c r="C3762" i="7"/>
  <c r="E3762" i="7" s="1"/>
  <c r="F3762" i="7" s="1"/>
  <c r="L3761" i="7"/>
  <c r="K3761" i="7"/>
  <c r="H3761" i="7"/>
  <c r="U3761" i="7" s="1"/>
  <c r="C3761" i="7"/>
  <c r="E3761" i="7" s="1"/>
  <c r="F3761" i="7" s="1"/>
  <c r="L3760" i="7"/>
  <c r="K3760" i="7"/>
  <c r="H3760" i="7"/>
  <c r="U3760" i="7" s="1"/>
  <c r="C3760" i="7"/>
  <c r="E3760" i="7" s="1"/>
  <c r="F3760" i="7" s="1"/>
  <c r="L3759" i="7"/>
  <c r="K3759" i="7"/>
  <c r="H3759" i="7"/>
  <c r="U3759" i="7" s="1"/>
  <c r="C3759" i="7"/>
  <c r="E3759" i="7" s="1"/>
  <c r="F3759" i="7" s="1"/>
  <c r="L3758" i="7"/>
  <c r="K3758" i="7"/>
  <c r="H3758" i="7"/>
  <c r="U3758" i="7" s="1"/>
  <c r="C3758" i="7"/>
  <c r="E3758" i="7" s="1"/>
  <c r="F3758" i="7" s="1"/>
  <c r="L3757" i="7"/>
  <c r="K3757" i="7"/>
  <c r="H3757" i="7"/>
  <c r="U3757" i="7" s="1"/>
  <c r="C3757" i="7"/>
  <c r="E3757" i="7" s="1"/>
  <c r="F3757" i="7" s="1"/>
  <c r="L3756" i="7"/>
  <c r="K3756" i="7"/>
  <c r="H3756" i="7"/>
  <c r="U3756" i="7" s="1"/>
  <c r="C3756" i="7"/>
  <c r="E3756" i="7" s="1"/>
  <c r="F3756" i="7" s="1"/>
  <c r="L3755" i="7"/>
  <c r="K3755" i="7"/>
  <c r="H3755" i="7"/>
  <c r="U3755" i="7" s="1"/>
  <c r="C3755" i="7"/>
  <c r="E3755" i="7" s="1"/>
  <c r="F3755" i="7" s="1"/>
  <c r="L3754" i="7"/>
  <c r="K3754" i="7"/>
  <c r="H3754" i="7"/>
  <c r="U3754" i="7" s="1"/>
  <c r="C3754" i="7"/>
  <c r="E3754" i="7" s="1"/>
  <c r="F3754" i="7" s="1"/>
  <c r="L3753" i="7"/>
  <c r="K3753" i="7"/>
  <c r="H3753" i="7"/>
  <c r="U3753" i="7" s="1"/>
  <c r="C3753" i="7"/>
  <c r="E3753" i="7" s="1"/>
  <c r="F3753" i="7" s="1"/>
  <c r="L3752" i="7"/>
  <c r="K3752" i="7"/>
  <c r="H3752" i="7"/>
  <c r="U3752" i="7" s="1"/>
  <c r="C3752" i="7"/>
  <c r="E3752" i="7" s="1"/>
  <c r="F3752" i="7" s="1"/>
  <c r="L3751" i="7"/>
  <c r="K3751" i="7"/>
  <c r="H3751" i="7"/>
  <c r="U3751" i="7" s="1"/>
  <c r="C3751" i="7"/>
  <c r="E3751" i="7" s="1"/>
  <c r="F3751" i="7" s="1"/>
  <c r="L3750" i="7"/>
  <c r="K3750" i="7"/>
  <c r="H3750" i="7"/>
  <c r="U3750" i="7" s="1"/>
  <c r="C3750" i="7"/>
  <c r="E3750" i="7" s="1"/>
  <c r="F3750" i="7" s="1"/>
  <c r="L3749" i="7"/>
  <c r="K3749" i="7"/>
  <c r="H3749" i="7"/>
  <c r="U3749" i="7" s="1"/>
  <c r="C3749" i="7"/>
  <c r="E3749" i="7" s="1"/>
  <c r="F3749" i="7" s="1"/>
  <c r="L3748" i="7"/>
  <c r="K3748" i="7"/>
  <c r="H3748" i="7"/>
  <c r="U3748" i="7" s="1"/>
  <c r="C3748" i="7"/>
  <c r="E3748" i="7" s="1"/>
  <c r="F3748" i="7" s="1"/>
  <c r="L3747" i="7"/>
  <c r="K3747" i="7"/>
  <c r="H3747" i="7"/>
  <c r="U3747" i="7" s="1"/>
  <c r="C3747" i="7"/>
  <c r="E3747" i="7" s="1"/>
  <c r="F3747" i="7" s="1"/>
  <c r="L3746" i="7"/>
  <c r="K3746" i="7"/>
  <c r="H3746" i="7"/>
  <c r="U3746" i="7" s="1"/>
  <c r="C3746" i="7"/>
  <c r="E3746" i="7" s="1"/>
  <c r="F3746" i="7" s="1"/>
  <c r="L3745" i="7"/>
  <c r="K3745" i="7"/>
  <c r="H3745" i="7"/>
  <c r="U3745" i="7" s="1"/>
  <c r="C3745" i="7"/>
  <c r="E3745" i="7" s="1"/>
  <c r="F3745" i="7" s="1"/>
  <c r="L3744" i="7"/>
  <c r="K3744" i="7"/>
  <c r="H3744" i="7"/>
  <c r="U3744" i="7" s="1"/>
  <c r="C3744" i="7"/>
  <c r="E3744" i="7" s="1"/>
  <c r="F3744" i="7" s="1"/>
  <c r="L3743" i="7"/>
  <c r="K3743" i="7"/>
  <c r="H3743" i="7"/>
  <c r="U3743" i="7" s="1"/>
  <c r="C3743" i="7"/>
  <c r="E3743" i="7" s="1"/>
  <c r="F3743" i="7" s="1"/>
  <c r="L3742" i="7"/>
  <c r="K3742" i="7"/>
  <c r="H3742" i="7"/>
  <c r="U3742" i="7" s="1"/>
  <c r="C3742" i="7"/>
  <c r="E3742" i="7" s="1"/>
  <c r="F3742" i="7" s="1"/>
  <c r="L3741" i="7"/>
  <c r="K3741" i="7"/>
  <c r="H3741" i="7"/>
  <c r="U3741" i="7" s="1"/>
  <c r="C3741" i="7"/>
  <c r="E3741" i="7" s="1"/>
  <c r="F3741" i="7" s="1"/>
  <c r="L3740" i="7"/>
  <c r="K3740" i="7"/>
  <c r="H3740" i="7"/>
  <c r="U3740" i="7" s="1"/>
  <c r="C3740" i="7"/>
  <c r="E3740" i="7" s="1"/>
  <c r="F3740" i="7" s="1"/>
  <c r="L3739" i="7"/>
  <c r="K3739" i="7"/>
  <c r="H3739" i="7"/>
  <c r="U3739" i="7" s="1"/>
  <c r="C3739" i="7"/>
  <c r="E3739" i="7" s="1"/>
  <c r="F3739" i="7" s="1"/>
  <c r="L3738" i="7"/>
  <c r="K3738" i="7"/>
  <c r="H3738" i="7"/>
  <c r="U3738" i="7" s="1"/>
  <c r="C3738" i="7"/>
  <c r="E3738" i="7" s="1"/>
  <c r="F3738" i="7" s="1"/>
  <c r="L3737" i="7"/>
  <c r="K3737" i="7"/>
  <c r="J3737" i="7"/>
  <c r="I3737" i="7"/>
  <c r="H3737" i="7"/>
  <c r="U3737" i="7" s="1"/>
  <c r="C3737" i="7"/>
  <c r="E3737" i="7" s="1"/>
  <c r="F3737" i="7" s="1"/>
  <c r="L3736" i="7"/>
  <c r="K3736" i="7"/>
  <c r="H3736" i="7"/>
  <c r="U3736" i="7" s="1"/>
  <c r="C3736" i="7"/>
  <c r="E3736" i="7" s="1"/>
  <c r="F3736" i="7" s="1"/>
  <c r="L3735" i="7"/>
  <c r="K3735" i="7"/>
  <c r="H3735" i="7"/>
  <c r="U3735" i="7" s="1"/>
  <c r="C3735" i="7"/>
  <c r="E3735" i="7" s="1"/>
  <c r="F3735" i="7" s="1"/>
  <c r="U3734" i="7"/>
  <c r="L3734" i="7"/>
  <c r="K3734" i="7"/>
  <c r="H3734" i="7"/>
  <c r="C3734" i="7"/>
  <c r="E3734" i="7" s="1"/>
  <c r="F3734" i="7" s="1"/>
  <c r="L3733" i="7"/>
  <c r="K3733" i="7"/>
  <c r="H3733" i="7"/>
  <c r="U3733" i="7" s="1"/>
  <c r="C3733" i="7"/>
  <c r="E3733" i="7" s="1"/>
  <c r="F3733" i="7" s="1"/>
  <c r="L3732" i="7"/>
  <c r="K3732" i="7"/>
  <c r="H3732" i="7"/>
  <c r="U3732" i="7" s="1"/>
  <c r="C3732" i="7"/>
  <c r="E3732" i="7" s="1"/>
  <c r="F3732" i="7" s="1"/>
  <c r="L3731" i="7"/>
  <c r="K3731" i="7"/>
  <c r="H3731" i="7"/>
  <c r="U3731" i="7" s="1"/>
  <c r="C3731" i="7"/>
  <c r="E3731" i="7" s="1"/>
  <c r="F3731" i="7" s="1"/>
  <c r="L3730" i="7"/>
  <c r="K3730" i="7"/>
  <c r="H3730" i="7"/>
  <c r="U3730" i="7" s="1"/>
  <c r="C3730" i="7"/>
  <c r="E3730" i="7" s="1"/>
  <c r="F3730" i="7" s="1"/>
  <c r="L3729" i="7"/>
  <c r="K3729" i="7"/>
  <c r="H3729" i="7"/>
  <c r="U3729" i="7" s="1"/>
  <c r="C3729" i="7"/>
  <c r="E3729" i="7" s="1"/>
  <c r="F3729" i="7" s="1"/>
  <c r="L3728" i="7"/>
  <c r="K3728" i="7"/>
  <c r="H3728" i="7"/>
  <c r="U3728" i="7" s="1"/>
  <c r="F3728" i="7"/>
  <c r="C3728" i="7"/>
  <c r="E3728" i="7" s="1"/>
  <c r="L3727" i="7"/>
  <c r="K3727" i="7"/>
  <c r="H3727" i="7"/>
  <c r="U3727" i="7" s="1"/>
  <c r="C3727" i="7"/>
  <c r="E3727" i="7" s="1"/>
  <c r="F3727" i="7" s="1"/>
  <c r="U3726" i="7"/>
  <c r="L3726" i="7"/>
  <c r="K3726" i="7"/>
  <c r="H3726" i="7"/>
  <c r="C3726" i="7"/>
  <c r="E3726" i="7" s="1"/>
  <c r="F3726" i="7" s="1"/>
  <c r="L3725" i="7"/>
  <c r="K3725" i="7"/>
  <c r="H3725" i="7"/>
  <c r="U3725" i="7" s="1"/>
  <c r="C3725" i="7"/>
  <c r="E3725" i="7" s="1"/>
  <c r="F3725" i="7" s="1"/>
  <c r="L3724" i="7"/>
  <c r="K3724" i="7"/>
  <c r="H3724" i="7"/>
  <c r="U3724" i="7" s="1"/>
  <c r="C3724" i="7"/>
  <c r="E3724" i="7" s="1"/>
  <c r="F3724" i="7" s="1"/>
  <c r="L3723" i="7"/>
  <c r="K3723" i="7"/>
  <c r="H3723" i="7"/>
  <c r="U3723" i="7" s="1"/>
  <c r="C3723" i="7"/>
  <c r="E3723" i="7" s="1"/>
  <c r="F3723" i="7" s="1"/>
  <c r="L3722" i="7"/>
  <c r="K3722" i="7"/>
  <c r="H3722" i="7"/>
  <c r="U3722" i="7" s="1"/>
  <c r="C3722" i="7"/>
  <c r="E3722" i="7" s="1"/>
  <c r="F3722" i="7" s="1"/>
  <c r="L3721" i="7"/>
  <c r="K3721" i="7"/>
  <c r="H3721" i="7"/>
  <c r="U3721" i="7" s="1"/>
  <c r="C3721" i="7"/>
  <c r="E3721" i="7" s="1"/>
  <c r="F3721" i="7" s="1"/>
  <c r="L3720" i="7"/>
  <c r="K3720" i="7"/>
  <c r="H3720" i="7"/>
  <c r="U3720" i="7" s="1"/>
  <c r="C3720" i="7"/>
  <c r="E3720" i="7" s="1"/>
  <c r="F3720" i="7" s="1"/>
  <c r="L3719" i="7"/>
  <c r="K3719" i="7"/>
  <c r="H3719" i="7"/>
  <c r="U3719" i="7" s="1"/>
  <c r="C3719" i="7"/>
  <c r="E3719" i="7" s="1"/>
  <c r="F3719" i="7" s="1"/>
  <c r="L3718" i="7"/>
  <c r="K3718" i="7"/>
  <c r="H3718" i="7"/>
  <c r="U3718" i="7" s="1"/>
  <c r="C3718" i="7"/>
  <c r="E3718" i="7" s="1"/>
  <c r="F3718" i="7" s="1"/>
  <c r="L3717" i="7"/>
  <c r="K3717" i="7"/>
  <c r="H3717" i="7"/>
  <c r="U3717" i="7" s="1"/>
  <c r="C3717" i="7"/>
  <c r="E3717" i="7" s="1"/>
  <c r="F3717" i="7" s="1"/>
  <c r="L3716" i="7"/>
  <c r="K3716" i="7"/>
  <c r="H3716" i="7"/>
  <c r="U3716" i="7" s="1"/>
  <c r="C3716" i="7"/>
  <c r="E3716" i="7" s="1"/>
  <c r="F3716" i="7" s="1"/>
  <c r="L3715" i="7"/>
  <c r="K3715" i="7"/>
  <c r="H3715" i="7"/>
  <c r="U3715" i="7" s="1"/>
  <c r="C3715" i="7"/>
  <c r="E3715" i="7" s="1"/>
  <c r="F3715" i="7" s="1"/>
  <c r="L3714" i="7"/>
  <c r="K3714" i="7"/>
  <c r="H3714" i="7"/>
  <c r="U3714" i="7" s="1"/>
  <c r="C3714" i="7"/>
  <c r="E3714" i="7" s="1"/>
  <c r="F3714" i="7" s="1"/>
  <c r="L3713" i="7"/>
  <c r="K3713" i="7"/>
  <c r="J3713" i="7"/>
  <c r="H3713" i="7"/>
  <c r="U3713" i="7" s="1"/>
  <c r="C3713" i="7"/>
  <c r="E3713" i="7" s="1"/>
  <c r="F3713" i="7" s="1"/>
  <c r="L3712" i="7"/>
  <c r="K3712" i="7"/>
  <c r="H3712" i="7"/>
  <c r="U3712" i="7" s="1"/>
  <c r="E3712" i="7"/>
  <c r="F3712" i="7" s="1"/>
  <c r="C3712" i="7"/>
  <c r="L3711" i="7"/>
  <c r="K3711" i="7"/>
  <c r="H3711" i="7"/>
  <c r="U3711" i="7" s="1"/>
  <c r="C3711" i="7"/>
  <c r="E3711" i="7" s="1"/>
  <c r="F3711" i="7" s="1"/>
  <c r="L3710" i="7"/>
  <c r="K3710" i="7"/>
  <c r="H3710" i="7"/>
  <c r="U3710" i="7" s="1"/>
  <c r="C3710" i="7"/>
  <c r="E3710" i="7" s="1"/>
  <c r="F3710" i="7" s="1"/>
  <c r="L3709" i="7"/>
  <c r="K3709" i="7"/>
  <c r="H3709" i="7"/>
  <c r="U3709" i="7" s="1"/>
  <c r="C3709" i="7"/>
  <c r="E3709" i="7" s="1"/>
  <c r="F3709" i="7" s="1"/>
  <c r="L3708" i="7"/>
  <c r="K3708" i="7"/>
  <c r="H3708" i="7"/>
  <c r="U3708" i="7" s="1"/>
  <c r="C3708" i="7"/>
  <c r="E3708" i="7" s="1"/>
  <c r="F3708" i="7" s="1"/>
  <c r="L3707" i="7"/>
  <c r="K3707" i="7"/>
  <c r="H3707" i="7"/>
  <c r="U3707" i="7" s="1"/>
  <c r="C3707" i="7"/>
  <c r="E3707" i="7" s="1"/>
  <c r="F3707" i="7" s="1"/>
  <c r="L3706" i="7"/>
  <c r="K3706" i="7"/>
  <c r="H3706" i="7"/>
  <c r="U3706" i="7" s="1"/>
  <c r="C3706" i="7"/>
  <c r="E3706" i="7" s="1"/>
  <c r="F3706" i="7" s="1"/>
  <c r="L3705" i="7"/>
  <c r="K3705" i="7"/>
  <c r="H3705" i="7"/>
  <c r="U3705" i="7" s="1"/>
  <c r="C3705" i="7"/>
  <c r="E3705" i="7" s="1"/>
  <c r="F3705" i="7" s="1"/>
  <c r="L3704" i="7"/>
  <c r="K3704" i="7"/>
  <c r="H3704" i="7"/>
  <c r="U3704" i="7" s="1"/>
  <c r="C3704" i="7"/>
  <c r="E3704" i="7" s="1"/>
  <c r="F3704" i="7" s="1"/>
  <c r="J3704" i="7" s="1"/>
  <c r="L3703" i="7"/>
  <c r="K3703" i="7"/>
  <c r="H3703" i="7"/>
  <c r="U3703" i="7" s="1"/>
  <c r="C3703" i="7"/>
  <c r="E3703" i="7" s="1"/>
  <c r="F3703" i="7" s="1"/>
  <c r="L3702" i="7"/>
  <c r="K3702" i="7"/>
  <c r="I3702" i="7"/>
  <c r="H3702" i="7"/>
  <c r="U3702" i="7" s="1"/>
  <c r="C3702" i="7"/>
  <c r="E3702" i="7" s="1"/>
  <c r="F3702" i="7" s="1"/>
  <c r="L3701" i="7"/>
  <c r="K3701" i="7"/>
  <c r="H3701" i="7"/>
  <c r="U3701" i="7" s="1"/>
  <c r="C3701" i="7"/>
  <c r="E3701" i="7" s="1"/>
  <c r="F3701" i="7" s="1"/>
  <c r="L3700" i="7"/>
  <c r="K3700" i="7"/>
  <c r="H3700" i="7"/>
  <c r="U3700" i="7" s="1"/>
  <c r="C3700" i="7"/>
  <c r="E3700" i="7" s="1"/>
  <c r="F3700" i="7" s="1"/>
  <c r="U3699" i="7"/>
  <c r="L3699" i="7"/>
  <c r="K3699" i="7"/>
  <c r="H3699" i="7"/>
  <c r="C3699" i="7"/>
  <c r="E3699" i="7" s="1"/>
  <c r="F3699" i="7" s="1"/>
  <c r="L3698" i="7"/>
  <c r="K3698" i="7"/>
  <c r="H3698" i="7"/>
  <c r="U3698" i="7" s="1"/>
  <c r="C3698" i="7"/>
  <c r="E3698" i="7" s="1"/>
  <c r="F3698" i="7" s="1"/>
  <c r="L3697" i="7"/>
  <c r="K3697" i="7"/>
  <c r="H3697" i="7"/>
  <c r="U3697" i="7" s="1"/>
  <c r="E3697" i="7"/>
  <c r="F3697" i="7" s="1"/>
  <c r="C3697" i="7"/>
  <c r="L3696" i="7"/>
  <c r="K3696" i="7"/>
  <c r="H3696" i="7"/>
  <c r="U3696" i="7" s="1"/>
  <c r="C3696" i="7"/>
  <c r="E3696" i="7" s="1"/>
  <c r="F3696" i="7" s="1"/>
  <c r="L3695" i="7"/>
  <c r="I3695" i="7" s="1"/>
  <c r="K3695" i="7"/>
  <c r="H3695" i="7"/>
  <c r="U3695" i="7" s="1"/>
  <c r="C3695" i="7"/>
  <c r="E3695" i="7" s="1"/>
  <c r="F3695" i="7" s="1"/>
  <c r="L3694" i="7"/>
  <c r="K3694" i="7"/>
  <c r="H3694" i="7"/>
  <c r="U3694" i="7" s="1"/>
  <c r="C3694" i="7"/>
  <c r="E3694" i="7" s="1"/>
  <c r="F3694" i="7" s="1"/>
  <c r="L3693" i="7"/>
  <c r="K3693" i="7"/>
  <c r="H3693" i="7"/>
  <c r="U3693" i="7" s="1"/>
  <c r="E3693" i="7"/>
  <c r="F3693" i="7" s="1"/>
  <c r="C3693" i="7"/>
  <c r="L3692" i="7"/>
  <c r="K3692" i="7"/>
  <c r="H3692" i="7"/>
  <c r="U3692" i="7" s="1"/>
  <c r="C3692" i="7"/>
  <c r="E3692" i="7" s="1"/>
  <c r="F3692" i="7" s="1"/>
  <c r="L3691" i="7"/>
  <c r="K3691" i="7"/>
  <c r="H3691" i="7"/>
  <c r="U3691" i="7" s="1"/>
  <c r="C3691" i="7"/>
  <c r="E3691" i="7" s="1"/>
  <c r="F3691" i="7" s="1"/>
  <c r="L3690" i="7"/>
  <c r="K3690" i="7"/>
  <c r="H3690" i="7"/>
  <c r="U3690" i="7" s="1"/>
  <c r="C3690" i="7"/>
  <c r="E3690" i="7" s="1"/>
  <c r="F3690" i="7" s="1"/>
  <c r="L3689" i="7"/>
  <c r="K3689" i="7"/>
  <c r="H3689" i="7"/>
  <c r="U3689" i="7" s="1"/>
  <c r="C3689" i="7"/>
  <c r="E3689" i="7" s="1"/>
  <c r="F3689" i="7" s="1"/>
  <c r="L3688" i="7"/>
  <c r="K3688" i="7"/>
  <c r="H3688" i="7"/>
  <c r="U3688" i="7" s="1"/>
  <c r="F3688" i="7"/>
  <c r="C3688" i="7"/>
  <c r="E3688" i="7" s="1"/>
  <c r="L3687" i="7"/>
  <c r="K3687" i="7"/>
  <c r="H3687" i="7"/>
  <c r="U3687" i="7" s="1"/>
  <c r="C3687" i="7"/>
  <c r="E3687" i="7" s="1"/>
  <c r="F3687" i="7" s="1"/>
  <c r="L3686" i="7"/>
  <c r="K3686" i="7"/>
  <c r="H3686" i="7"/>
  <c r="U3686" i="7" s="1"/>
  <c r="C3686" i="7"/>
  <c r="E3686" i="7" s="1"/>
  <c r="F3686" i="7" s="1"/>
  <c r="L3685" i="7"/>
  <c r="K3685" i="7"/>
  <c r="H3685" i="7"/>
  <c r="U3685" i="7" s="1"/>
  <c r="C3685" i="7"/>
  <c r="E3685" i="7" s="1"/>
  <c r="F3685" i="7" s="1"/>
  <c r="L3684" i="7"/>
  <c r="K3684" i="7"/>
  <c r="H3684" i="7"/>
  <c r="U3684" i="7" s="1"/>
  <c r="E3684" i="7"/>
  <c r="F3684" i="7" s="1"/>
  <c r="J3684" i="7" s="1"/>
  <c r="C3684" i="7"/>
  <c r="U3683" i="7"/>
  <c r="L3683" i="7"/>
  <c r="K3683" i="7"/>
  <c r="H3683" i="7"/>
  <c r="C3683" i="7"/>
  <c r="E3683" i="7" s="1"/>
  <c r="F3683" i="7" s="1"/>
  <c r="L3682" i="7"/>
  <c r="K3682" i="7"/>
  <c r="H3682" i="7"/>
  <c r="U3682" i="7" s="1"/>
  <c r="C3682" i="7"/>
  <c r="E3682" i="7" s="1"/>
  <c r="F3682" i="7" s="1"/>
  <c r="L3681" i="7"/>
  <c r="K3681" i="7"/>
  <c r="H3681" i="7"/>
  <c r="U3681" i="7" s="1"/>
  <c r="E3681" i="7"/>
  <c r="F3681" i="7" s="1"/>
  <c r="C3681" i="7"/>
  <c r="L3680" i="7"/>
  <c r="K3680" i="7"/>
  <c r="H3680" i="7"/>
  <c r="U3680" i="7" s="1"/>
  <c r="C3680" i="7"/>
  <c r="E3680" i="7" s="1"/>
  <c r="F3680" i="7" s="1"/>
  <c r="L3679" i="7"/>
  <c r="K3679" i="7"/>
  <c r="H3679" i="7"/>
  <c r="U3679" i="7" s="1"/>
  <c r="C3679" i="7"/>
  <c r="E3679" i="7" s="1"/>
  <c r="F3679" i="7" s="1"/>
  <c r="L3678" i="7"/>
  <c r="K3678" i="7"/>
  <c r="H3678" i="7"/>
  <c r="U3678" i="7" s="1"/>
  <c r="C3678" i="7"/>
  <c r="E3678" i="7" s="1"/>
  <c r="F3678" i="7" s="1"/>
  <c r="L3677" i="7"/>
  <c r="K3677" i="7"/>
  <c r="H3677" i="7"/>
  <c r="U3677" i="7" s="1"/>
  <c r="F3677" i="7"/>
  <c r="C3677" i="7"/>
  <c r="E3677" i="7" s="1"/>
  <c r="L3676" i="7"/>
  <c r="K3676" i="7"/>
  <c r="H3676" i="7"/>
  <c r="U3676" i="7" s="1"/>
  <c r="C3676" i="7"/>
  <c r="E3676" i="7" s="1"/>
  <c r="F3676" i="7" s="1"/>
  <c r="U3675" i="7"/>
  <c r="L3675" i="7"/>
  <c r="K3675" i="7"/>
  <c r="H3675" i="7"/>
  <c r="C3675" i="7"/>
  <c r="E3675" i="7" s="1"/>
  <c r="F3675" i="7" s="1"/>
  <c r="L3674" i="7"/>
  <c r="K3674" i="7"/>
  <c r="H3674" i="7"/>
  <c r="U3674" i="7" s="1"/>
  <c r="C3674" i="7"/>
  <c r="E3674" i="7" s="1"/>
  <c r="F3674" i="7" s="1"/>
  <c r="L3673" i="7"/>
  <c r="J3673" i="7" s="1"/>
  <c r="K3673" i="7"/>
  <c r="H3673" i="7"/>
  <c r="U3673" i="7" s="1"/>
  <c r="C3673" i="7"/>
  <c r="E3673" i="7" s="1"/>
  <c r="F3673" i="7" s="1"/>
  <c r="L3672" i="7"/>
  <c r="K3672" i="7"/>
  <c r="H3672" i="7"/>
  <c r="U3672" i="7" s="1"/>
  <c r="C3672" i="7"/>
  <c r="E3672" i="7" s="1"/>
  <c r="F3672" i="7" s="1"/>
  <c r="L3671" i="7"/>
  <c r="K3671" i="7"/>
  <c r="H3671" i="7"/>
  <c r="U3671" i="7" s="1"/>
  <c r="C3671" i="7"/>
  <c r="E3671" i="7" s="1"/>
  <c r="F3671" i="7" s="1"/>
  <c r="L3670" i="7"/>
  <c r="K3670" i="7"/>
  <c r="H3670" i="7"/>
  <c r="U3670" i="7" s="1"/>
  <c r="C3670" i="7"/>
  <c r="E3670" i="7" s="1"/>
  <c r="F3670" i="7" s="1"/>
  <c r="L3669" i="7"/>
  <c r="K3669" i="7"/>
  <c r="H3669" i="7"/>
  <c r="U3669" i="7" s="1"/>
  <c r="C3669" i="7"/>
  <c r="E3669" i="7" s="1"/>
  <c r="F3669" i="7" s="1"/>
  <c r="L3668" i="7"/>
  <c r="K3668" i="7"/>
  <c r="H3668" i="7"/>
  <c r="U3668" i="7" s="1"/>
  <c r="C3668" i="7"/>
  <c r="E3668" i="7" s="1"/>
  <c r="F3668" i="7" s="1"/>
  <c r="U3667" i="7"/>
  <c r="L3667" i="7"/>
  <c r="K3667" i="7"/>
  <c r="H3667" i="7"/>
  <c r="C3667" i="7"/>
  <c r="E3667" i="7" s="1"/>
  <c r="F3667" i="7" s="1"/>
  <c r="U3666" i="7"/>
  <c r="L3666" i="7"/>
  <c r="J3666" i="7" s="1"/>
  <c r="K3666" i="7"/>
  <c r="H3666" i="7"/>
  <c r="C3666" i="7"/>
  <c r="E3666" i="7" s="1"/>
  <c r="F3666" i="7" s="1"/>
  <c r="L3665" i="7"/>
  <c r="K3665" i="7"/>
  <c r="H3665" i="7"/>
  <c r="U3665" i="7" s="1"/>
  <c r="C3665" i="7"/>
  <c r="E3665" i="7" s="1"/>
  <c r="F3665" i="7" s="1"/>
  <c r="L3664" i="7"/>
  <c r="K3664" i="7"/>
  <c r="H3664" i="7"/>
  <c r="U3664" i="7" s="1"/>
  <c r="C3664" i="7"/>
  <c r="E3664" i="7" s="1"/>
  <c r="F3664" i="7" s="1"/>
  <c r="L3663" i="7"/>
  <c r="I3663" i="7" s="1"/>
  <c r="K3663" i="7"/>
  <c r="H3663" i="7"/>
  <c r="U3663" i="7" s="1"/>
  <c r="C3663" i="7"/>
  <c r="E3663" i="7" s="1"/>
  <c r="F3663" i="7" s="1"/>
  <c r="L3662" i="7"/>
  <c r="K3662" i="7"/>
  <c r="H3662" i="7"/>
  <c r="U3662" i="7" s="1"/>
  <c r="E3662" i="7"/>
  <c r="F3662" i="7" s="1"/>
  <c r="C3662" i="7"/>
  <c r="L3661" i="7"/>
  <c r="K3661" i="7"/>
  <c r="H3661" i="7"/>
  <c r="U3661" i="7" s="1"/>
  <c r="E3661" i="7"/>
  <c r="F3661" i="7" s="1"/>
  <c r="C3661" i="7"/>
  <c r="L3660" i="7"/>
  <c r="K3660" i="7"/>
  <c r="H3660" i="7"/>
  <c r="U3660" i="7" s="1"/>
  <c r="F3660" i="7"/>
  <c r="J3660" i="7" s="1"/>
  <c r="C3660" i="7"/>
  <c r="E3660" i="7" s="1"/>
  <c r="L3659" i="7"/>
  <c r="K3659" i="7"/>
  <c r="H3659" i="7"/>
  <c r="U3659" i="7" s="1"/>
  <c r="C3659" i="7"/>
  <c r="E3659" i="7" s="1"/>
  <c r="F3659" i="7" s="1"/>
  <c r="L3658" i="7"/>
  <c r="K3658" i="7"/>
  <c r="H3658" i="7"/>
  <c r="U3658" i="7" s="1"/>
  <c r="C3658" i="7"/>
  <c r="E3658" i="7" s="1"/>
  <c r="F3658" i="7" s="1"/>
  <c r="L3657" i="7"/>
  <c r="K3657" i="7"/>
  <c r="H3657" i="7"/>
  <c r="U3657" i="7" s="1"/>
  <c r="C3657" i="7"/>
  <c r="E3657" i="7" s="1"/>
  <c r="F3657" i="7" s="1"/>
  <c r="L3656" i="7"/>
  <c r="K3656" i="7"/>
  <c r="H3656" i="7"/>
  <c r="U3656" i="7" s="1"/>
  <c r="C3656" i="7"/>
  <c r="E3656" i="7" s="1"/>
  <c r="F3656" i="7" s="1"/>
  <c r="L3655" i="7"/>
  <c r="K3655" i="7"/>
  <c r="H3655" i="7"/>
  <c r="U3655" i="7" s="1"/>
  <c r="C3655" i="7"/>
  <c r="E3655" i="7" s="1"/>
  <c r="F3655" i="7" s="1"/>
  <c r="L3654" i="7"/>
  <c r="K3654" i="7"/>
  <c r="H3654" i="7"/>
  <c r="U3654" i="7" s="1"/>
  <c r="C3654" i="7"/>
  <c r="E3654" i="7" s="1"/>
  <c r="F3654" i="7" s="1"/>
  <c r="L3653" i="7"/>
  <c r="K3653" i="7"/>
  <c r="H3653" i="7"/>
  <c r="U3653" i="7" s="1"/>
  <c r="C3653" i="7"/>
  <c r="E3653" i="7" s="1"/>
  <c r="F3653" i="7" s="1"/>
  <c r="L3652" i="7"/>
  <c r="K3652" i="7"/>
  <c r="H3652" i="7"/>
  <c r="U3652" i="7" s="1"/>
  <c r="E3652" i="7"/>
  <c r="F3652" i="7" s="1"/>
  <c r="C3652" i="7"/>
  <c r="L3651" i="7"/>
  <c r="K3651" i="7"/>
  <c r="H3651" i="7"/>
  <c r="U3651" i="7" s="1"/>
  <c r="E3651" i="7"/>
  <c r="F3651" i="7" s="1"/>
  <c r="C3651" i="7"/>
  <c r="U3650" i="7"/>
  <c r="L3650" i="7"/>
  <c r="K3650" i="7"/>
  <c r="H3650" i="7"/>
  <c r="C3650" i="7"/>
  <c r="E3650" i="7" s="1"/>
  <c r="F3650" i="7" s="1"/>
  <c r="L3649" i="7"/>
  <c r="K3649" i="7"/>
  <c r="H3649" i="7"/>
  <c r="U3649" i="7" s="1"/>
  <c r="C3649" i="7"/>
  <c r="E3649" i="7" s="1"/>
  <c r="F3649" i="7" s="1"/>
  <c r="L3648" i="7"/>
  <c r="K3648" i="7"/>
  <c r="H3648" i="7"/>
  <c r="U3648" i="7" s="1"/>
  <c r="C3648" i="7"/>
  <c r="E3648" i="7" s="1"/>
  <c r="F3648" i="7" s="1"/>
  <c r="L3647" i="7"/>
  <c r="I3647" i="7" s="1"/>
  <c r="K3647" i="7"/>
  <c r="H3647" i="7"/>
  <c r="U3647" i="7" s="1"/>
  <c r="C3647" i="7"/>
  <c r="E3647" i="7" s="1"/>
  <c r="F3647" i="7" s="1"/>
  <c r="L3646" i="7"/>
  <c r="K3646" i="7"/>
  <c r="H3646" i="7"/>
  <c r="U3646" i="7" s="1"/>
  <c r="C3646" i="7"/>
  <c r="E3646" i="7" s="1"/>
  <c r="F3646" i="7" s="1"/>
  <c r="L3645" i="7"/>
  <c r="K3645" i="7"/>
  <c r="H3645" i="7"/>
  <c r="U3645" i="7" s="1"/>
  <c r="E3645" i="7"/>
  <c r="F3645" i="7" s="1"/>
  <c r="C3645" i="7"/>
  <c r="L3644" i="7"/>
  <c r="K3644" i="7"/>
  <c r="H3644" i="7"/>
  <c r="U3644" i="7" s="1"/>
  <c r="C3644" i="7"/>
  <c r="E3644" i="7" s="1"/>
  <c r="F3644" i="7" s="1"/>
  <c r="J3644" i="7" s="1"/>
  <c r="L3643" i="7"/>
  <c r="K3643" i="7"/>
  <c r="H3643" i="7"/>
  <c r="U3643" i="7" s="1"/>
  <c r="E3643" i="7"/>
  <c r="F3643" i="7" s="1"/>
  <c r="C3643" i="7"/>
  <c r="L3642" i="7"/>
  <c r="K3642" i="7"/>
  <c r="H3642" i="7"/>
  <c r="U3642" i="7" s="1"/>
  <c r="C3642" i="7"/>
  <c r="E3642" i="7" s="1"/>
  <c r="F3642" i="7" s="1"/>
  <c r="L3641" i="7"/>
  <c r="K3641" i="7"/>
  <c r="H3641" i="7"/>
  <c r="U3641" i="7" s="1"/>
  <c r="C3641" i="7"/>
  <c r="E3641" i="7" s="1"/>
  <c r="F3641" i="7" s="1"/>
  <c r="L3640" i="7"/>
  <c r="K3640" i="7"/>
  <c r="H3640" i="7"/>
  <c r="U3640" i="7" s="1"/>
  <c r="C3640" i="7"/>
  <c r="E3640" i="7" s="1"/>
  <c r="F3640" i="7" s="1"/>
  <c r="L3639" i="7"/>
  <c r="K3639" i="7"/>
  <c r="H3639" i="7"/>
  <c r="U3639" i="7" s="1"/>
  <c r="C3639" i="7"/>
  <c r="E3639" i="7" s="1"/>
  <c r="F3639" i="7" s="1"/>
  <c r="L3638" i="7"/>
  <c r="K3638" i="7"/>
  <c r="H3638" i="7"/>
  <c r="U3638" i="7" s="1"/>
  <c r="E3638" i="7"/>
  <c r="F3638" i="7" s="1"/>
  <c r="C3638" i="7"/>
  <c r="L3637" i="7"/>
  <c r="K3637" i="7"/>
  <c r="H3637" i="7"/>
  <c r="U3637" i="7" s="1"/>
  <c r="C3637" i="7"/>
  <c r="E3637" i="7" s="1"/>
  <c r="F3637" i="7" s="1"/>
  <c r="L3636" i="7"/>
  <c r="K3636" i="7"/>
  <c r="H3636" i="7"/>
  <c r="U3636" i="7" s="1"/>
  <c r="C3636" i="7"/>
  <c r="E3636" i="7" s="1"/>
  <c r="F3636" i="7" s="1"/>
  <c r="J3636" i="7" s="1"/>
  <c r="L3635" i="7"/>
  <c r="K3635" i="7"/>
  <c r="H3635" i="7"/>
  <c r="U3635" i="7" s="1"/>
  <c r="E3635" i="7"/>
  <c r="F3635" i="7" s="1"/>
  <c r="C3635" i="7"/>
  <c r="L3634" i="7"/>
  <c r="K3634" i="7"/>
  <c r="H3634" i="7"/>
  <c r="U3634" i="7" s="1"/>
  <c r="C3634" i="7"/>
  <c r="E3634" i="7" s="1"/>
  <c r="F3634" i="7" s="1"/>
  <c r="L3633" i="7"/>
  <c r="K3633" i="7"/>
  <c r="H3633" i="7"/>
  <c r="U3633" i="7" s="1"/>
  <c r="C3633" i="7"/>
  <c r="E3633" i="7" s="1"/>
  <c r="F3633" i="7" s="1"/>
  <c r="L3632" i="7"/>
  <c r="K3632" i="7"/>
  <c r="H3632" i="7"/>
  <c r="U3632" i="7" s="1"/>
  <c r="C3632" i="7"/>
  <c r="E3632" i="7" s="1"/>
  <c r="F3632" i="7" s="1"/>
  <c r="L3631" i="7"/>
  <c r="K3631" i="7"/>
  <c r="H3631" i="7"/>
  <c r="U3631" i="7" s="1"/>
  <c r="C3631" i="7"/>
  <c r="E3631" i="7" s="1"/>
  <c r="F3631" i="7" s="1"/>
  <c r="L3630" i="7"/>
  <c r="K3630" i="7"/>
  <c r="H3630" i="7"/>
  <c r="U3630" i="7" s="1"/>
  <c r="C3630" i="7"/>
  <c r="E3630" i="7" s="1"/>
  <c r="F3630" i="7" s="1"/>
  <c r="L3629" i="7"/>
  <c r="K3629" i="7"/>
  <c r="H3629" i="7"/>
  <c r="U3629" i="7" s="1"/>
  <c r="F3629" i="7"/>
  <c r="E3629" i="7"/>
  <c r="C3629" i="7"/>
  <c r="L3628" i="7"/>
  <c r="K3628" i="7"/>
  <c r="H3628" i="7"/>
  <c r="U3628" i="7" s="1"/>
  <c r="F3628" i="7"/>
  <c r="J3628" i="7" s="1"/>
  <c r="C3628" i="7"/>
  <c r="E3628" i="7" s="1"/>
  <c r="L3627" i="7"/>
  <c r="K3627" i="7"/>
  <c r="H3627" i="7"/>
  <c r="U3627" i="7" s="1"/>
  <c r="E3627" i="7"/>
  <c r="F3627" i="7" s="1"/>
  <c r="C3627" i="7"/>
  <c r="L3626" i="7"/>
  <c r="K3626" i="7"/>
  <c r="H3626" i="7"/>
  <c r="U3626" i="7" s="1"/>
  <c r="C3626" i="7"/>
  <c r="E3626" i="7" s="1"/>
  <c r="F3626" i="7" s="1"/>
  <c r="L3625" i="7"/>
  <c r="K3625" i="7"/>
  <c r="H3625" i="7"/>
  <c r="U3625" i="7" s="1"/>
  <c r="E3625" i="7"/>
  <c r="F3625" i="7" s="1"/>
  <c r="C3625" i="7"/>
  <c r="L3624" i="7"/>
  <c r="K3624" i="7"/>
  <c r="H3624" i="7"/>
  <c r="U3624" i="7" s="1"/>
  <c r="E3624" i="7"/>
  <c r="F3624" i="7" s="1"/>
  <c r="C3624" i="7"/>
  <c r="L3623" i="7"/>
  <c r="K3623" i="7"/>
  <c r="H3623" i="7"/>
  <c r="U3623" i="7" s="1"/>
  <c r="C3623" i="7"/>
  <c r="E3623" i="7" s="1"/>
  <c r="F3623" i="7" s="1"/>
  <c r="L3622" i="7"/>
  <c r="K3622" i="7"/>
  <c r="H3622" i="7"/>
  <c r="U3622" i="7" s="1"/>
  <c r="C3622" i="7"/>
  <c r="E3622" i="7" s="1"/>
  <c r="F3622" i="7" s="1"/>
  <c r="U3621" i="7"/>
  <c r="L3621" i="7"/>
  <c r="K3621" i="7"/>
  <c r="H3621" i="7"/>
  <c r="C3621" i="7"/>
  <c r="E3621" i="7" s="1"/>
  <c r="F3621" i="7" s="1"/>
  <c r="L3620" i="7"/>
  <c r="K3620" i="7"/>
  <c r="H3620" i="7"/>
  <c r="U3620" i="7" s="1"/>
  <c r="F3620" i="7"/>
  <c r="C3620" i="7"/>
  <c r="E3620" i="7" s="1"/>
  <c r="L3619" i="7"/>
  <c r="K3619" i="7"/>
  <c r="H3619" i="7"/>
  <c r="U3619" i="7" s="1"/>
  <c r="C3619" i="7"/>
  <c r="E3619" i="7" s="1"/>
  <c r="F3619" i="7" s="1"/>
  <c r="L3618" i="7"/>
  <c r="K3618" i="7"/>
  <c r="H3618" i="7"/>
  <c r="U3618" i="7" s="1"/>
  <c r="C3618" i="7"/>
  <c r="E3618" i="7" s="1"/>
  <c r="F3618" i="7" s="1"/>
  <c r="L3617" i="7"/>
  <c r="K3617" i="7"/>
  <c r="H3617" i="7"/>
  <c r="U3617" i="7" s="1"/>
  <c r="C3617" i="7"/>
  <c r="E3617" i="7" s="1"/>
  <c r="F3617" i="7" s="1"/>
  <c r="L3616" i="7"/>
  <c r="K3616" i="7"/>
  <c r="H3616" i="7"/>
  <c r="U3616" i="7" s="1"/>
  <c r="E3616" i="7"/>
  <c r="F3616" i="7" s="1"/>
  <c r="C3616" i="7"/>
  <c r="L3615" i="7"/>
  <c r="K3615" i="7"/>
  <c r="H3615" i="7"/>
  <c r="U3615" i="7" s="1"/>
  <c r="C3615" i="7"/>
  <c r="E3615" i="7" s="1"/>
  <c r="F3615" i="7" s="1"/>
  <c r="U3614" i="7"/>
  <c r="L3614" i="7"/>
  <c r="K3614" i="7"/>
  <c r="H3614" i="7"/>
  <c r="C3614" i="7"/>
  <c r="E3614" i="7" s="1"/>
  <c r="F3614" i="7" s="1"/>
  <c r="U3613" i="7"/>
  <c r="L3613" i="7"/>
  <c r="K3613" i="7"/>
  <c r="H3613" i="7"/>
  <c r="F3613" i="7"/>
  <c r="C3613" i="7"/>
  <c r="E3613" i="7" s="1"/>
  <c r="L3612" i="7"/>
  <c r="K3612" i="7"/>
  <c r="H3612" i="7"/>
  <c r="U3612" i="7" s="1"/>
  <c r="C3612" i="7"/>
  <c r="E3612" i="7" s="1"/>
  <c r="F3612" i="7" s="1"/>
  <c r="L3611" i="7"/>
  <c r="K3611" i="7"/>
  <c r="H3611" i="7"/>
  <c r="U3611" i="7" s="1"/>
  <c r="C3611" i="7"/>
  <c r="E3611" i="7" s="1"/>
  <c r="F3611" i="7" s="1"/>
  <c r="L3610" i="7"/>
  <c r="K3610" i="7"/>
  <c r="H3610" i="7"/>
  <c r="U3610" i="7" s="1"/>
  <c r="C3610" i="7"/>
  <c r="E3610" i="7" s="1"/>
  <c r="F3610" i="7" s="1"/>
  <c r="U3609" i="7"/>
  <c r="L3609" i="7"/>
  <c r="K3609" i="7"/>
  <c r="H3609" i="7"/>
  <c r="C3609" i="7"/>
  <c r="E3609" i="7" s="1"/>
  <c r="F3609" i="7" s="1"/>
  <c r="L3608" i="7"/>
  <c r="K3608" i="7"/>
  <c r="H3608" i="7"/>
  <c r="U3608" i="7" s="1"/>
  <c r="C3608" i="7"/>
  <c r="E3608" i="7" s="1"/>
  <c r="F3608" i="7" s="1"/>
  <c r="L3607" i="7"/>
  <c r="K3607" i="7"/>
  <c r="H3607" i="7"/>
  <c r="U3607" i="7" s="1"/>
  <c r="C3607" i="7"/>
  <c r="E3607" i="7" s="1"/>
  <c r="F3607" i="7" s="1"/>
  <c r="L3606" i="7"/>
  <c r="K3606" i="7"/>
  <c r="H3606" i="7"/>
  <c r="U3606" i="7" s="1"/>
  <c r="C3606" i="7"/>
  <c r="E3606" i="7" s="1"/>
  <c r="F3606" i="7" s="1"/>
  <c r="U3605" i="7"/>
  <c r="L3605" i="7"/>
  <c r="K3605" i="7"/>
  <c r="I3605" i="7"/>
  <c r="H3605" i="7"/>
  <c r="C3605" i="7"/>
  <c r="E3605" i="7" s="1"/>
  <c r="F3605" i="7" s="1"/>
  <c r="L3604" i="7"/>
  <c r="K3604" i="7"/>
  <c r="H3604" i="7"/>
  <c r="U3604" i="7" s="1"/>
  <c r="C3604" i="7"/>
  <c r="E3604" i="7" s="1"/>
  <c r="F3604" i="7" s="1"/>
  <c r="L3603" i="7"/>
  <c r="K3603" i="7"/>
  <c r="I3603" i="7"/>
  <c r="H3603" i="7"/>
  <c r="U3603" i="7" s="1"/>
  <c r="C3603" i="7"/>
  <c r="E3603" i="7" s="1"/>
  <c r="F3603" i="7" s="1"/>
  <c r="J3603" i="7" s="1"/>
  <c r="L3602" i="7"/>
  <c r="K3602" i="7"/>
  <c r="H3602" i="7"/>
  <c r="U3602" i="7" s="1"/>
  <c r="C3602" i="7"/>
  <c r="E3602" i="7" s="1"/>
  <c r="F3602" i="7" s="1"/>
  <c r="U3601" i="7"/>
  <c r="L3601" i="7"/>
  <c r="K3601" i="7"/>
  <c r="H3601" i="7"/>
  <c r="C3601" i="7"/>
  <c r="E3601" i="7" s="1"/>
  <c r="F3601" i="7" s="1"/>
  <c r="L3600" i="7"/>
  <c r="K3600" i="7"/>
  <c r="H3600" i="7"/>
  <c r="U3600" i="7" s="1"/>
  <c r="C3600" i="7"/>
  <c r="E3600" i="7" s="1"/>
  <c r="F3600" i="7" s="1"/>
  <c r="L3599" i="7"/>
  <c r="K3599" i="7"/>
  <c r="H3599" i="7"/>
  <c r="U3599" i="7" s="1"/>
  <c r="C3599" i="7"/>
  <c r="E3599" i="7" s="1"/>
  <c r="F3599" i="7" s="1"/>
  <c r="I3599" i="7" s="1"/>
  <c r="U3598" i="7"/>
  <c r="L3598" i="7"/>
  <c r="K3598" i="7"/>
  <c r="H3598" i="7"/>
  <c r="C3598" i="7"/>
  <c r="E3598" i="7" s="1"/>
  <c r="F3598" i="7" s="1"/>
  <c r="U3597" i="7"/>
  <c r="L3597" i="7"/>
  <c r="K3597" i="7"/>
  <c r="H3597" i="7"/>
  <c r="C3597" i="7"/>
  <c r="E3597" i="7" s="1"/>
  <c r="F3597" i="7" s="1"/>
  <c r="L3596" i="7"/>
  <c r="K3596" i="7"/>
  <c r="H3596" i="7"/>
  <c r="U3596" i="7" s="1"/>
  <c r="E3596" i="7"/>
  <c r="F3596" i="7" s="1"/>
  <c r="C3596" i="7"/>
  <c r="L3595" i="7"/>
  <c r="K3595" i="7"/>
  <c r="H3595" i="7"/>
  <c r="U3595" i="7" s="1"/>
  <c r="C3595" i="7"/>
  <c r="E3595" i="7" s="1"/>
  <c r="F3595" i="7" s="1"/>
  <c r="L3594" i="7"/>
  <c r="K3594" i="7"/>
  <c r="H3594" i="7"/>
  <c r="U3594" i="7" s="1"/>
  <c r="C3594" i="7"/>
  <c r="E3594" i="7" s="1"/>
  <c r="F3594" i="7" s="1"/>
  <c r="I3594" i="7" s="1"/>
  <c r="L3593" i="7"/>
  <c r="K3593" i="7"/>
  <c r="H3593" i="7"/>
  <c r="U3593" i="7" s="1"/>
  <c r="C3593" i="7"/>
  <c r="E3593" i="7" s="1"/>
  <c r="F3593" i="7" s="1"/>
  <c r="L3592" i="7"/>
  <c r="K3592" i="7"/>
  <c r="H3592" i="7"/>
  <c r="U3592" i="7" s="1"/>
  <c r="E3592" i="7"/>
  <c r="F3592" i="7" s="1"/>
  <c r="C3592" i="7"/>
  <c r="L3591" i="7"/>
  <c r="K3591" i="7"/>
  <c r="H3591" i="7"/>
  <c r="U3591" i="7" s="1"/>
  <c r="C3591" i="7"/>
  <c r="E3591" i="7" s="1"/>
  <c r="F3591" i="7" s="1"/>
  <c r="L3590" i="7"/>
  <c r="K3590" i="7"/>
  <c r="H3590" i="7"/>
  <c r="U3590" i="7" s="1"/>
  <c r="C3590" i="7"/>
  <c r="E3590" i="7" s="1"/>
  <c r="F3590" i="7" s="1"/>
  <c r="L3589" i="7"/>
  <c r="K3589" i="7"/>
  <c r="J3589" i="7"/>
  <c r="H3589" i="7"/>
  <c r="U3589" i="7" s="1"/>
  <c r="C3589" i="7"/>
  <c r="E3589" i="7" s="1"/>
  <c r="F3589" i="7" s="1"/>
  <c r="I3589" i="7" s="1"/>
  <c r="L3588" i="7"/>
  <c r="K3588" i="7"/>
  <c r="H3588" i="7"/>
  <c r="U3588" i="7" s="1"/>
  <c r="C3588" i="7"/>
  <c r="E3588" i="7" s="1"/>
  <c r="F3588" i="7" s="1"/>
  <c r="L3587" i="7"/>
  <c r="K3587" i="7"/>
  <c r="H3587" i="7"/>
  <c r="U3587" i="7" s="1"/>
  <c r="C3587" i="7"/>
  <c r="E3587" i="7" s="1"/>
  <c r="F3587" i="7" s="1"/>
  <c r="L3586" i="7"/>
  <c r="J3586" i="7" s="1"/>
  <c r="K3586" i="7"/>
  <c r="H3586" i="7"/>
  <c r="U3586" i="7" s="1"/>
  <c r="E3586" i="7"/>
  <c r="F3586" i="7" s="1"/>
  <c r="C3586" i="7"/>
  <c r="U3585" i="7"/>
  <c r="L3585" i="7"/>
  <c r="K3585" i="7"/>
  <c r="H3585" i="7"/>
  <c r="C3585" i="7"/>
  <c r="E3585" i="7" s="1"/>
  <c r="F3585" i="7" s="1"/>
  <c r="L3584" i="7"/>
  <c r="K3584" i="7"/>
  <c r="H3584" i="7"/>
  <c r="U3584" i="7" s="1"/>
  <c r="C3584" i="7"/>
  <c r="E3584" i="7" s="1"/>
  <c r="F3584" i="7" s="1"/>
  <c r="L3583" i="7"/>
  <c r="K3583" i="7"/>
  <c r="H3583" i="7"/>
  <c r="U3583" i="7" s="1"/>
  <c r="C3583" i="7"/>
  <c r="E3583" i="7" s="1"/>
  <c r="F3583" i="7" s="1"/>
  <c r="L3582" i="7"/>
  <c r="K3582" i="7"/>
  <c r="H3582" i="7"/>
  <c r="U3582" i="7" s="1"/>
  <c r="E3582" i="7"/>
  <c r="F3582" i="7" s="1"/>
  <c r="I3582" i="7" s="1"/>
  <c r="C3582" i="7"/>
  <c r="L3581" i="7"/>
  <c r="K3581" i="7"/>
  <c r="H3581" i="7"/>
  <c r="U3581" i="7" s="1"/>
  <c r="C3581" i="7"/>
  <c r="E3581" i="7" s="1"/>
  <c r="F3581" i="7" s="1"/>
  <c r="J3581" i="7" s="1"/>
  <c r="L3580" i="7"/>
  <c r="K3580" i="7"/>
  <c r="H3580" i="7"/>
  <c r="U3580" i="7" s="1"/>
  <c r="E3580" i="7"/>
  <c r="F3580" i="7" s="1"/>
  <c r="C3580" i="7"/>
  <c r="L3579" i="7"/>
  <c r="K3579" i="7"/>
  <c r="H3579" i="7"/>
  <c r="U3579" i="7" s="1"/>
  <c r="C3579" i="7"/>
  <c r="E3579" i="7" s="1"/>
  <c r="F3579" i="7" s="1"/>
  <c r="U3578" i="7"/>
  <c r="L3578" i="7"/>
  <c r="K3578" i="7"/>
  <c r="H3578" i="7"/>
  <c r="C3578" i="7"/>
  <c r="E3578" i="7" s="1"/>
  <c r="F3578" i="7" s="1"/>
  <c r="L3577" i="7"/>
  <c r="K3577" i="7"/>
  <c r="H3577" i="7"/>
  <c r="U3577" i="7" s="1"/>
  <c r="C3577" i="7"/>
  <c r="E3577" i="7" s="1"/>
  <c r="F3577" i="7" s="1"/>
  <c r="U3576" i="7"/>
  <c r="L3576" i="7"/>
  <c r="K3576" i="7"/>
  <c r="H3576" i="7"/>
  <c r="C3576" i="7"/>
  <c r="E3576" i="7" s="1"/>
  <c r="F3576" i="7" s="1"/>
  <c r="L3575" i="7"/>
  <c r="K3575" i="7"/>
  <c r="H3575" i="7"/>
  <c r="U3575" i="7" s="1"/>
  <c r="C3575" i="7"/>
  <c r="E3575" i="7" s="1"/>
  <c r="F3575" i="7" s="1"/>
  <c r="J3575" i="7" s="1"/>
  <c r="L3574" i="7"/>
  <c r="K3574" i="7"/>
  <c r="H3574" i="7"/>
  <c r="U3574" i="7" s="1"/>
  <c r="C3574" i="7"/>
  <c r="E3574" i="7" s="1"/>
  <c r="F3574" i="7" s="1"/>
  <c r="L3573" i="7"/>
  <c r="K3573" i="7"/>
  <c r="H3573" i="7"/>
  <c r="U3573" i="7" s="1"/>
  <c r="E3573" i="7"/>
  <c r="F3573" i="7" s="1"/>
  <c r="C3573" i="7"/>
  <c r="L3572" i="7"/>
  <c r="K3572" i="7"/>
  <c r="H3572" i="7"/>
  <c r="U3572" i="7" s="1"/>
  <c r="C3572" i="7"/>
  <c r="E3572" i="7" s="1"/>
  <c r="F3572" i="7" s="1"/>
  <c r="L3571" i="7"/>
  <c r="K3571" i="7"/>
  <c r="H3571" i="7"/>
  <c r="U3571" i="7" s="1"/>
  <c r="C3571" i="7"/>
  <c r="E3571" i="7" s="1"/>
  <c r="F3571" i="7" s="1"/>
  <c r="U3570" i="7"/>
  <c r="L3570" i="7"/>
  <c r="K3570" i="7"/>
  <c r="H3570" i="7"/>
  <c r="C3570" i="7"/>
  <c r="E3570" i="7" s="1"/>
  <c r="F3570" i="7" s="1"/>
  <c r="U3569" i="7"/>
  <c r="L3569" i="7"/>
  <c r="K3569" i="7"/>
  <c r="H3569" i="7"/>
  <c r="F3569" i="7"/>
  <c r="C3569" i="7"/>
  <c r="E3569" i="7" s="1"/>
  <c r="L3568" i="7"/>
  <c r="K3568" i="7"/>
  <c r="H3568" i="7"/>
  <c r="U3568" i="7" s="1"/>
  <c r="C3568" i="7"/>
  <c r="E3568" i="7" s="1"/>
  <c r="F3568" i="7" s="1"/>
  <c r="L3567" i="7"/>
  <c r="K3567" i="7"/>
  <c r="H3567" i="7"/>
  <c r="U3567" i="7" s="1"/>
  <c r="C3567" i="7"/>
  <c r="E3567" i="7" s="1"/>
  <c r="F3567" i="7" s="1"/>
  <c r="L3566" i="7"/>
  <c r="K3566" i="7"/>
  <c r="H3566" i="7"/>
  <c r="U3566" i="7" s="1"/>
  <c r="C3566" i="7"/>
  <c r="E3566" i="7" s="1"/>
  <c r="F3566" i="7" s="1"/>
  <c r="L3565" i="7"/>
  <c r="J3565" i="7" s="1"/>
  <c r="K3565" i="7"/>
  <c r="H3565" i="7"/>
  <c r="U3565" i="7" s="1"/>
  <c r="C3565" i="7"/>
  <c r="E3565" i="7" s="1"/>
  <c r="F3565" i="7" s="1"/>
  <c r="L3564" i="7"/>
  <c r="K3564" i="7"/>
  <c r="H3564" i="7"/>
  <c r="U3564" i="7" s="1"/>
  <c r="E3564" i="7"/>
  <c r="F3564" i="7" s="1"/>
  <c r="C3564" i="7"/>
  <c r="L3563" i="7"/>
  <c r="K3563" i="7"/>
  <c r="H3563" i="7"/>
  <c r="U3563" i="7" s="1"/>
  <c r="C3563" i="7"/>
  <c r="E3563" i="7" s="1"/>
  <c r="F3563" i="7" s="1"/>
  <c r="L3562" i="7"/>
  <c r="K3562" i="7"/>
  <c r="H3562" i="7"/>
  <c r="U3562" i="7" s="1"/>
  <c r="C3562" i="7"/>
  <c r="E3562" i="7" s="1"/>
  <c r="F3562" i="7" s="1"/>
  <c r="U3561" i="7"/>
  <c r="L3561" i="7"/>
  <c r="K3561" i="7"/>
  <c r="H3561" i="7"/>
  <c r="C3561" i="7"/>
  <c r="E3561" i="7" s="1"/>
  <c r="F3561" i="7" s="1"/>
  <c r="L3560" i="7"/>
  <c r="K3560" i="7"/>
  <c r="H3560" i="7"/>
  <c r="U3560" i="7" s="1"/>
  <c r="C3560" i="7"/>
  <c r="E3560" i="7" s="1"/>
  <c r="F3560" i="7" s="1"/>
  <c r="U3559" i="7"/>
  <c r="L3559" i="7"/>
  <c r="K3559" i="7"/>
  <c r="H3559" i="7"/>
  <c r="C3559" i="7"/>
  <c r="E3559" i="7" s="1"/>
  <c r="F3559" i="7" s="1"/>
  <c r="L3558" i="7"/>
  <c r="K3558" i="7"/>
  <c r="H3558" i="7"/>
  <c r="U3558" i="7" s="1"/>
  <c r="C3558" i="7"/>
  <c r="E3558" i="7" s="1"/>
  <c r="F3558" i="7" s="1"/>
  <c r="L3557" i="7"/>
  <c r="K3557" i="7"/>
  <c r="H3557" i="7"/>
  <c r="U3557" i="7" s="1"/>
  <c r="C3557" i="7"/>
  <c r="E3557" i="7" s="1"/>
  <c r="F3557" i="7" s="1"/>
  <c r="L3556" i="7"/>
  <c r="K3556" i="7"/>
  <c r="H3556" i="7"/>
  <c r="U3556" i="7" s="1"/>
  <c r="C3556" i="7"/>
  <c r="E3556" i="7" s="1"/>
  <c r="F3556" i="7" s="1"/>
  <c r="L3555" i="7"/>
  <c r="K3555" i="7"/>
  <c r="H3555" i="7"/>
  <c r="U3555" i="7" s="1"/>
  <c r="C3555" i="7"/>
  <c r="E3555" i="7" s="1"/>
  <c r="F3555" i="7" s="1"/>
  <c r="L3554" i="7"/>
  <c r="K3554" i="7"/>
  <c r="H3554" i="7"/>
  <c r="U3554" i="7" s="1"/>
  <c r="C3554" i="7"/>
  <c r="E3554" i="7" s="1"/>
  <c r="F3554" i="7" s="1"/>
  <c r="L3553" i="7"/>
  <c r="K3553" i="7"/>
  <c r="H3553" i="7"/>
  <c r="U3553" i="7" s="1"/>
  <c r="C3553" i="7"/>
  <c r="E3553" i="7" s="1"/>
  <c r="F3553" i="7" s="1"/>
  <c r="L3552" i="7"/>
  <c r="K3552" i="7"/>
  <c r="H3552" i="7"/>
  <c r="U3552" i="7" s="1"/>
  <c r="E3552" i="7"/>
  <c r="F3552" i="7" s="1"/>
  <c r="C3552" i="7"/>
  <c r="L3551" i="7"/>
  <c r="K3551" i="7"/>
  <c r="H3551" i="7"/>
  <c r="U3551" i="7" s="1"/>
  <c r="F3551" i="7"/>
  <c r="C3551" i="7"/>
  <c r="E3551" i="7" s="1"/>
  <c r="L3550" i="7"/>
  <c r="K3550" i="7"/>
  <c r="H3550" i="7"/>
  <c r="U3550" i="7" s="1"/>
  <c r="C3550" i="7"/>
  <c r="E3550" i="7" s="1"/>
  <c r="F3550" i="7" s="1"/>
  <c r="L3549" i="7"/>
  <c r="K3549" i="7"/>
  <c r="H3549" i="7"/>
  <c r="U3549" i="7" s="1"/>
  <c r="C3549" i="7"/>
  <c r="E3549" i="7" s="1"/>
  <c r="F3549" i="7" s="1"/>
  <c r="L3548" i="7"/>
  <c r="K3548" i="7"/>
  <c r="H3548" i="7"/>
  <c r="U3548" i="7" s="1"/>
  <c r="E3548" i="7"/>
  <c r="F3548" i="7" s="1"/>
  <c r="C3548" i="7"/>
  <c r="L3547" i="7"/>
  <c r="K3547" i="7"/>
  <c r="H3547" i="7"/>
  <c r="U3547" i="7" s="1"/>
  <c r="C3547" i="7"/>
  <c r="E3547" i="7" s="1"/>
  <c r="F3547" i="7" s="1"/>
  <c r="L3546" i="7"/>
  <c r="K3546" i="7"/>
  <c r="H3546" i="7"/>
  <c r="U3546" i="7" s="1"/>
  <c r="C3546" i="7"/>
  <c r="E3546" i="7" s="1"/>
  <c r="F3546" i="7" s="1"/>
  <c r="L3545" i="7"/>
  <c r="K3545" i="7"/>
  <c r="H3545" i="7"/>
  <c r="U3545" i="7" s="1"/>
  <c r="C3545" i="7"/>
  <c r="E3545" i="7" s="1"/>
  <c r="F3545" i="7" s="1"/>
  <c r="L3544" i="7"/>
  <c r="K3544" i="7"/>
  <c r="H3544" i="7"/>
  <c r="U3544" i="7" s="1"/>
  <c r="C3544" i="7"/>
  <c r="E3544" i="7" s="1"/>
  <c r="F3544" i="7" s="1"/>
  <c r="L3543" i="7"/>
  <c r="K3543" i="7"/>
  <c r="H3543" i="7"/>
  <c r="U3543" i="7" s="1"/>
  <c r="C3543" i="7"/>
  <c r="E3543" i="7" s="1"/>
  <c r="F3543" i="7" s="1"/>
  <c r="U3542" i="7"/>
  <c r="L3542" i="7"/>
  <c r="K3542" i="7"/>
  <c r="H3542" i="7"/>
  <c r="C3542" i="7"/>
  <c r="E3542" i="7" s="1"/>
  <c r="F3542" i="7" s="1"/>
  <c r="L3541" i="7"/>
  <c r="K3541" i="7"/>
  <c r="H3541" i="7"/>
  <c r="U3541" i="7" s="1"/>
  <c r="C3541" i="7"/>
  <c r="E3541" i="7" s="1"/>
  <c r="F3541" i="7" s="1"/>
  <c r="J3541" i="7" s="1"/>
  <c r="L3540" i="7"/>
  <c r="K3540" i="7"/>
  <c r="H3540" i="7"/>
  <c r="U3540" i="7" s="1"/>
  <c r="C3540" i="7"/>
  <c r="E3540" i="7" s="1"/>
  <c r="F3540" i="7" s="1"/>
  <c r="L3539" i="7"/>
  <c r="K3539" i="7"/>
  <c r="H3539" i="7"/>
  <c r="U3539" i="7" s="1"/>
  <c r="C3539" i="7"/>
  <c r="E3539" i="7" s="1"/>
  <c r="F3539" i="7" s="1"/>
  <c r="U3538" i="7"/>
  <c r="L3538" i="7"/>
  <c r="K3538" i="7"/>
  <c r="H3538" i="7"/>
  <c r="E3538" i="7"/>
  <c r="F3538" i="7" s="1"/>
  <c r="C3538" i="7"/>
  <c r="L3537" i="7"/>
  <c r="K3537" i="7"/>
  <c r="H3537" i="7"/>
  <c r="U3537" i="7" s="1"/>
  <c r="C3537" i="7"/>
  <c r="E3537" i="7" s="1"/>
  <c r="F3537" i="7" s="1"/>
  <c r="L3536" i="7"/>
  <c r="K3536" i="7"/>
  <c r="H3536" i="7"/>
  <c r="U3536" i="7" s="1"/>
  <c r="C3536" i="7"/>
  <c r="E3536" i="7" s="1"/>
  <c r="F3536" i="7" s="1"/>
  <c r="L3535" i="7"/>
  <c r="K3535" i="7"/>
  <c r="H3535" i="7"/>
  <c r="U3535" i="7" s="1"/>
  <c r="F3535" i="7"/>
  <c r="C3535" i="7"/>
  <c r="E3535" i="7" s="1"/>
  <c r="L3534" i="7"/>
  <c r="K3534" i="7"/>
  <c r="H3534" i="7"/>
  <c r="U3534" i="7" s="1"/>
  <c r="E3534" i="7"/>
  <c r="F3534" i="7" s="1"/>
  <c r="J3534" i="7" s="1"/>
  <c r="C3534" i="7"/>
  <c r="L3533" i="7"/>
  <c r="K3533" i="7"/>
  <c r="H3533" i="7"/>
  <c r="U3533" i="7" s="1"/>
  <c r="C3533" i="7"/>
  <c r="E3533" i="7" s="1"/>
  <c r="F3533" i="7" s="1"/>
  <c r="L3532" i="7"/>
  <c r="K3532" i="7"/>
  <c r="H3532" i="7"/>
  <c r="U3532" i="7" s="1"/>
  <c r="C3532" i="7"/>
  <c r="E3532" i="7" s="1"/>
  <c r="F3532" i="7" s="1"/>
  <c r="L3531" i="7"/>
  <c r="K3531" i="7"/>
  <c r="I3531" i="7"/>
  <c r="H3531" i="7"/>
  <c r="U3531" i="7" s="1"/>
  <c r="C3531" i="7"/>
  <c r="E3531" i="7" s="1"/>
  <c r="F3531" i="7" s="1"/>
  <c r="L3530" i="7"/>
  <c r="K3530" i="7"/>
  <c r="H3530" i="7"/>
  <c r="U3530" i="7" s="1"/>
  <c r="C3530" i="7"/>
  <c r="E3530" i="7" s="1"/>
  <c r="F3530" i="7" s="1"/>
  <c r="U3529" i="7"/>
  <c r="L3529" i="7"/>
  <c r="K3529" i="7"/>
  <c r="H3529" i="7"/>
  <c r="E3529" i="7"/>
  <c r="F3529" i="7" s="1"/>
  <c r="C3529" i="7"/>
  <c r="L3528" i="7"/>
  <c r="K3528" i="7"/>
  <c r="H3528" i="7"/>
  <c r="U3528" i="7" s="1"/>
  <c r="C3528" i="7"/>
  <c r="E3528" i="7" s="1"/>
  <c r="F3528" i="7" s="1"/>
  <c r="L3527" i="7"/>
  <c r="K3527" i="7"/>
  <c r="H3527" i="7"/>
  <c r="U3527" i="7" s="1"/>
  <c r="C3527" i="7"/>
  <c r="E3527" i="7" s="1"/>
  <c r="F3527" i="7" s="1"/>
  <c r="L3526" i="7"/>
  <c r="K3526" i="7"/>
  <c r="H3526" i="7"/>
  <c r="U3526" i="7" s="1"/>
  <c r="C3526" i="7"/>
  <c r="E3526" i="7" s="1"/>
  <c r="F3526" i="7" s="1"/>
  <c r="L3525" i="7"/>
  <c r="K3525" i="7"/>
  <c r="H3525" i="7"/>
  <c r="U3525" i="7" s="1"/>
  <c r="C3525" i="7"/>
  <c r="E3525" i="7" s="1"/>
  <c r="F3525" i="7" s="1"/>
  <c r="L3524" i="7"/>
  <c r="K3524" i="7"/>
  <c r="H3524" i="7"/>
  <c r="U3524" i="7" s="1"/>
  <c r="F3524" i="7"/>
  <c r="C3524" i="7"/>
  <c r="E3524" i="7" s="1"/>
  <c r="L3523" i="7"/>
  <c r="K3523" i="7"/>
  <c r="H3523" i="7"/>
  <c r="U3523" i="7" s="1"/>
  <c r="C3523" i="7"/>
  <c r="E3523" i="7" s="1"/>
  <c r="F3523" i="7" s="1"/>
  <c r="L3522" i="7"/>
  <c r="K3522" i="7"/>
  <c r="H3522" i="7"/>
  <c r="U3522" i="7" s="1"/>
  <c r="C3522" i="7"/>
  <c r="E3522" i="7" s="1"/>
  <c r="F3522" i="7" s="1"/>
  <c r="I3522" i="7" s="1"/>
  <c r="L3521" i="7"/>
  <c r="K3521" i="7"/>
  <c r="H3521" i="7"/>
  <c r="U3521" i="7" s="1"/>
  <c r="E3521" i="7"/>
  <c r="F3521" i="7" s="1"/>
  <c r="C3521" i="7"/>
  <c r="L3520" i="7"/>
  <c r="K3520" i="7"/>
  <c r="H3520" i="7"/>
  <c r="U3520" i="7" s="1"/>
  <c r="C3520" i="7"/>
  <c r="E3520" i="7" s="1"/>
  <c r="F3520" i="7" s="1"/>
  <c r="L3519" i="7"/>
  <c r="K3519" i="7"/>
  <c r="H3519" i="7"/>
  <c r="U3519" i="7" s="1"/>
  <c r="F3519" i="7"/>
  <c r="C3519" i="7"/>
  <c r="E3519" i="7" s="1"/>
  <c r="L3518" i="7"/>
  <c r="K3518" i="7"/>
  <c r="H3518" i="7"/>
  <c r="U3518" i="7" s="1"/>
  <c r="C3518" i="7"/>
  <c r="E3518" i="7" s="1"/>
  <c r="F3518" i="7" s="1"/>
  <c r="L3517" i="7"/>
  <c r="K3517" i="7"/>
  <c r="H3517" i="7"/>
  <c r="U3517" i="7" s="1"/>
  <c r="C3517" i="7"/>
  <c r="E3517" i="7" s="1"/>
  <c r="F3517" i="7" s="1"/>
  <c r="L3516" i="7"/>
  <c r="K3516" i="7"/>
  <c r="H3516" i="7"/>
  <c r="U3516" i="7" s="1"/>
  <c r="C3516" i="7"/>
  <c r="E3516" i="7" s="1"/>
  <c r="F3516" i="7" s="1"/>
  <c r="I3516" i="7" s="1"/>
  <c r="L3515" i="7"/>
  <c r="K3515" i="7"/>
  <c r="H3515" i="7"/>
  <c r="U3515" i="7" s="1"/>
  <c r="C3515" i="7"/>
  <c r="E3515" i="7" s="1"/>
  <c r="F3515" i="7" s="1"/>
  <c r="L3514" i="7"/>
  <c r="K3514" i="7"/>
  <c r="H3514" i="7"/>
  <c r="U3514" i="7" s="1"/>
  <c r="C3514" i="7"/>
  <c r="E3514" i="7" s="1"/>
  <c r="F3514" i="7" s="1"/>
  <c r="U3513" i="7"/>
  <c r="L3513" i="7"/>
  <c r="K3513" i="7"/>
  <c r="H3513" i="7"/>
  <c r="C3513" i="7"/>
  <c r="E3513" i="7" s="1"/>
  <c r="F3513" i="7" s="1"/>
  <c r="L3512" i="7"/>
  <c r="K3512" i="7"/>
  <c r="H3512" i="7"/>
  <c r="U3512" i="7" s="1"/>
  <c r="C3512" i="7"/>
  <c r="E3512" i="7" s="1"/>
  <c r="F3512" i="7" s="1"/>
  <c r="U3511" i="7"/>
  <c r="L3511" i="7"/>
  <c r="K3511" i="7"/>
  <c r="H3511" i="7"/>
  <c r="C3511" i="7"/>
  <c r="E3511" i="7" s="1"/>
  <c r="F3511" i="7" s="1"/>
  <c r="L3510" i="7"/>
  <c r="K3510" i="7"/>
  <c r="H3510" i="7"/>
  <c r="U3510" i="7" s="1"/>
  <c r="E3510" i="7"/>
  <c r="F3510" i="7" s="1"/>
  <c r="C3510" i="7"/>
  <c r="U3509" i="7"/>
  <c r="L3509" i="7"/>
  <c r="K3509" i="7"/>
  <c r="H3509" i="7"/>
  <c r="E3509" i="7"/>
  <c r="F3509" i="7" s="1"/>
  <c r="C3509" i="7"/>
  <c r="L3508" i="7"/>
  <c r="K3508" i="7"/>
  <c r="H3508" i="7"/>
  <c r="U3508" i="7" s="1"/>
  <c r="C3508" i="7"/>
  <c r="E3508" i="7" s="1"/>
  <c r="F3508" i="7" s="1"/>
  <c r="L3507" i="7"/>
  <c r="K3507" i="7"/>
  <c r="H3507" i="7"/>
  <c r="U3507" i="7" s="1"/>
  <c r="C3507" i="7"/>
  <c r="E3507" i="7" s="1"/>
  <c r="F3507" i="7" s="1"/>
  <c r="L3506" i="7"/>
  <c r="K3506" i="7"/>
  <c r="H3506" i="7"/>
  <c r="U3506" i="7" s="1"/>
  <c r="C3506" i="7"/>
  <c r="E3506" i="7" s="1"/>
  <c r="F3506" i="7" s="1"/>
  <c r="L3505" i="7"/>
  <c r="K3505" i="7"/>
  <c r="H3505" i="7"/>
  <c r="U3505" i="7" s="1"/>
  <c r="E3505" i="7"/>
  <c r="F3505" i="7" s="1"/>
  <c r="C3505" i="7"/>
  <c r="U3504" i="7"/>
  <c r="L3504" i="7"/>
  <c r="K3504" i="7"/>
  <c r="H3504" i="7"/>
  <c r="C3504" i="7"/>
  <c r="E3504" i="7" s="1"/>
  <c r="F3504" i="7" s="1"/>
  <c r="L3503" i="7"/>
  <c r="K3503" i="7"/>
  <c r="H3503" i="7"/>
  <c r="U3503" i="7" s="1"/>
  <c r="C3503" i="7"/>
  <c r="E3503" i="7" s="1"/>
  <c r="F3503" i="7" s="1"/>
  <c r="L3502" i="7"/>
  <c r="K3502" i="7"/>
  <c r="H3502" i="7"/>
  <c r="U3502" i="7" s="1"/>
  <c r="C3502" i="7"/>
  <c r="E3502" i="7" s="1"/>
  <c r="F3502" i="7" s="1"/>
  <c r="L3501" i="7"/>
  <c r="K3501" i="7"/>
  <c r="H3501" i="7"/>
  <c r="U3501" i="7" s="1"/>
  <c r="C3501" i="7"/>
  <c r="E3501" i="7" s="1"/>
  <c r="F3501" i="7" s="1"/>
  <c r="L3500" i="7"/>
  <c r="K3500" i="7"/>
  <c r="H3500" i="7"/>
  <c r="U3500" i="7" s="1"/>
  <c r="F3500" i="7"/>
  <c r="C3500" i="7"/>
  <c r="E3500" i="7" s="1"/>
  <c r="L3499" i="7"/>
  <c r="K3499" i="7"/>
  <c r="H3499" i="7"/>
  <c r="U3499" i="7" s="1"/>
  <c r="C3499" i="7"/>
  <c r="E3499" i="7" s="1"/>
  <c r="F3499" i="7" s="1"/>
  <c r="L3498" i="7"/>
  <c r="K3498" i="7"/>
  <c r="H3498" i="7"/>
  <c r="U3498" i="7" s="1"/>
  <c r="C3498" i="7"/>
  <c r="E3498" i="7" s="1"/>
  <c r="F3498" i="7" s="1"/>
  <c r="I3498" i="7" s="1"/>
  <c r="L3497" i="7"/>
  <c r="K3497" i="7"/>
  <c r="H3497" i="7"/>
  <c r="U3497" i="7" s="1"/>
  <c r="C3497" i="7"/>
  <c r="E3497" i="7" s="1"/>
  <c r="F3497" i="7" s="1"/>
  <c r="L3496" i="7"/>
  <c r="K3496" i="7"/>
  <c r="H3496" i="7"/>
  <c r="U3496" i="7" s="1"/>
  <c r="C3496" i="7"/>
  <c r="E3496" i="7" s="1"/>
  <c r="F3496" i="7" s="1"/>
  <c r="L3495" i="7"/>
  <c r="K3495" i="7"/>
  <c r="H3495" i="7"/>
  <c r="U3495" i="7" s="1"/>
  <c r="C3495" i="7"/>
  <c r="E3495" i="7" s="1"/>
  <c r="F3495" i="7" s="1"/>
  <c r="L3494" i="7"/>
  <c r="K3494" i="7"/>
  <c r="H3494" i="7"/>
  <c r="U3494" i="7" s="1"/>
  <c r="C3494" i="7"/>
  <c r="E3494" i="7" s="1"/>
  <c r="F3494" i="7" s="1"/>
  <c r="L3493" i="7"/>
  <c r="K3493" i="7"/>
  <c r="H3493" i="7"/>
  <c r="U3493" i="7" s="1"/>
  <c r="F3493" i="7"/>
  <c r="C3493" i="7"/>
  <c r="E3493" i="7" s="1"/>
  <c r="L3492" i="7"/>
  <c r="K3492" i="7"/>
  <c r="H3492" i="7"/>
  <c r="U3492" i="7" s="1"/>
  <c r="C3492" i="7"/>
  <c r="E3492" i="7" s="1"/>
  <c r="F3492" i="7" s="1"/>
  <c r="L3491" i="7"/>
  <c r="K3491" i="7"/>
  <c r="H3491" i="7"/>
  <c r="U3491" i="7" s="1"/>
  <c r="C3491" i="7"/>
  <c r="E3491" i="7" s="1"/>
  <c r="F3491" i="7" s="1"/>
  <c r="I3491" i="7" s="1"/>
  <c r="L3490" i="7"/>
  <c r="K3490" i="7"/>
  <c r="H3490" i="7"/>
  <c r="U3490" i="7" s="1"/>
  <c r="C3490" i="7"/>
  <c r="E3490" i="7" s="1"/>
  <c r="F3490" i="7" s="1"/>
  <c r="U3489" i="7"/>
  <c r="L3489" i="7"/>
  <c r="K3489" i="7"/>
  <c r="H3489" i="7"/>
  <c r="C3489" i="7"/>
  <c r="E3489" i="7" s="1"/>
  <c r="F3489" i="7" s="1"/>
  <c r="L3488" i="7"/>
  <c r="K3488" i="7"/>
  <c r="H3488" i="7"/>
  <c r="U3488" i="7" s="1"/>
  <c r="E3488" i="7"/>
  <c r="F3488" i="7" s="1"/>
  <c r="C3488" i="7"/>
  <c r="L3487" i="7"/>
  <c r="K3487" i="7"/>
  <c r="H3487" i="7"/>
  <c r="U3487" i="7" s="1"/>
  <c r="C3487" i="7"/>
  <c r="E3487" i="7" s="1"/>
  <c r="F3487" i="7" s="1"/>
  <c r="L3486" i="7"/>
  <c r="K3486" i="7"/>
  <c r="H3486" i="7"/>
  <c r="U3486" i="7" s="1"/>
  <c r="C3486" i="7"/>
  <c r="E3486" i="7" s="1"/>
  <c r="F3486" i="7" s="1"/>
  <c r="U3485" i="7"/>
  <c r="L3485" i="7"/>
  <c r="K3485" i="7"/>
  <c r="H3485" i="7"/>
  <c r="E3485" i="7"/>
  <c r="F3485" i="7" s="1"/>
  <c r="J3485" i="7" s="1"/>
  <c r="C3485" i="7"/>
  <c r="L3484" i="7"/>
  <c r="K3484" i="7"/>
  <c r="H3484" i="7"/>
  <c r="U3484" i="7" s="1"/>
  <c r="C3484" i="7"/>
  <c r="E3484" i="7" s="1"/>
  <c r="F3484" i="7" s="1"/>
  <c r="L3483" i="7"/>
  <c r="K3483" i="7"/>
  <c r="H3483" i="7"/>
  <c r="U3483" i="7" s="1"/>
  <c r="C3483" i="7"/>
  <c r="E3483" i="7" s="1"/>
  <c r="F3483" i="7" s="1"/>
  <c r="L3482" i="7"/>
  <c r="K3482" i="7"/>
  <c r="H3482" i="7"/>
  <c r="U3482" i="7" s="1"/>
  <c r="C3482" i="7"/>
  <c r="E3482" i="7" s="1"/>
  <c r="F3482" i="7" s="1"/>
  <c r="L3481" i="7"/>
  <c r="K3481" i="7"/>
  <c r="H3481" i="7"/>
  <c r="U3481" i="7" s="1"/>
  <c r="E3481" i="7"/>
  <c r="F3481" i="7" s="1"/>
  <c r="C3481" i="7"/>
  <c r="L3480" i="7"/>
  <c r="K3480" i="7"/>
  <c r="H3480" i="7"/>
  <c r="U3480" i="7" s="1"/>
  <c r="C3480" i="7"/>
  <c r="E3480" i="7" s="1"/>
  <c r="F3480" i="7" s="1"/>
  <c r="L3479" i="7"/>
  <c r="K3479" i="7"/>
  <c r="H3479" i="7"/>
  <c r="U3479" i="7" s="1"/>
  <c r="C3479" i="7"/>
  <c r="E3479" i="7" s="1"/>
  <c r="F3479" i="7" s="1"/>
  <c r="L3478" i="7"/>
  <c r="K3478" i="7"/>
  <c r="H3478" i="7"/>
  <c r="U3478" i="7" s="1"/>
  <c r="C3478" i="7"/>
  <c r="E3478" i="7" s="1"/>
  <c r="F3478" i="7" s="1"/>
  <c r="L3477" i="7"/>
  <c r="K3477" i="7"/>
  <c r="H3477" i="7"/>
  <c r="U3477" i="7" s="1"/>
  <c r="C3477" i="7"/>
  <c r="E3477" i="7" s="1"/>
  <c r="F3477" i="7" s="1"/>
  <c r="L3476" i="7"/>
  <c r="K3476" i="7"/>
  <c r="H3476" i="7"/>
  <c r="U3476" i="7" s="1"/>
  <c r="F3476" i="7"/>
  <c r="C3476" i="7"/>
  <c r="E3476" i="7" s="1"/>
  <c r="L3475" i="7"/>
  <c r="K3475" i="7"/>
  <c r="J3475" i="7"/>
  <c r="H3475" i="7"/>
  <c r="U3475" i="7" s="1"/>
  <c r="C3475" i="7"/>
  <c r="E3475" i="7" s="1"/>
  <c r="F3475" i="7" s="1"/>
  <c r="I3475" i="7" s="1"/>
  <c r="L3474" i="7"/>
  <c r="K3474" i="7"/>
  <c r="H3474" i="7"/>
  <c r="U3474" i="7" s="1"/>
  <c r="C3474" i="7"/>
  <c r="E3474" i="7" s="1"/>
  <c r="F3474" i="7" s="1"/>
  <c r="L3473" i="7"/>
  <c r="K3473" i="7"/>
  <c r="H3473" i="7"/>
  <c r="U3473" i="7" s="1"/>
  <c r="E3473" i="7"/>
  <c r="F3473" i="7" s="1"/>
  <c r="I3473" i="7" s="1"/>
  <c r="C3473" i="7"/>
  <c r="L3472" i="7"/>
  <c r="K3472" i="7"/>
  <c r="H3472" i="7"/>
  <c r="U3472" i="7" s="1"/>
  <c r="E3472" i="7"/>
  <c r="F3472" i="7" s="1"/>
  <c r="C3472" i="7"/>
  <c r="L3471" i="7"/>
  <c r="K3471" i="7"/>
  <c r="H3471" i="7"/>
  <c r="U3471" i="7" s="1"/>
  <c r="C3471" i="7"/>
  <c r="E3471" i="7" s="1"/>
  <c r="F3471" i="7" s="1"/>
  <c r="L3470" i="7"/>
  <c r="K3470" i="7"/>
  <c r="H3470" i="7"/>
  <c r="U3470" i="7" s="1"/>
  <c r="C3470" i="7"/>
  <c r="E3470" i="7" s="1"/>
  <c r="F3470" i="7" s="1"/>
  <c r="L3469" i="7"/>
  <c r="K3469" i="7"/>
  <c r="H3469" i="7"/>
  <c r="U3469" i="7" s="1"/>
  <c r="F3469" i="7"/>
  <c r="C3469" i="7"/>
  <c r="E3469" i="7" s="1"/>
  <c r="L3468" i="7"/>
  <c r="K3468" i="7"/>
  <c r="H3468" i="7"/>
  <c r="U3468" i="7" s="1"/>
  <c r="C3468" i="7"/>
  <c r="E3468" i="7" s="1"/>
  <c r="F3468" i="7" s="1"/>
  <c r="L3467" i="7"/>
  <c r="K3467" i="7"/>
  <c r="H3467" i="7"/>
  <c r="U3467" i="7" s="1"/>
  <c r="C3467" i="7"/>
  <c r="E3467" i="7" s="1"/>
  <c r="F3467" i="7" s="1"/>
  <c r="U3466" i="7"/>
  <c r="L3466" i="7"/>
  <c r="K3466" i="7"/>
  <c r="H3466" i="7"/>
  <c r="E3466" i="7"/>
  <c r="F3466" i="7" s="1"/>
  <c r="C3466" i="7"/>
  <c r="L3465" i="7"/>
  <c r="K3465" i="7"/>
  <c r="H3465" i="7"/>
  <c r="U3465" i="7" s="1"/>
  <c r="C3465" i="7"/>
  <c r="E3465" i="7" s="1"/>
  <c r="F3465" i="7" s="1"/>
  <c r="L3464" i="7"/>
  <c r="K3464" i="7"/>
  <c r="H3464" i="7"/>
  <c r="U3464" i="7" s="1"/>
  <c r="E3464" i="7"/>
  <c r="F3464" i="7" s="1"/>
  <c r="C3464" i="7"/>
  <c r="L3463" i="7"/>
  <c r="K3463" i="7"/>
  <c r="H3463" i="7"/>
  <c r="U3463" i="7" s="1"/>
  <c r="C3463" i="7"/>
  <c r="E3463" i="7" s="1"/>
  <c r="F3463" i="7" s="1"/>
  <c r="U3462" i="7"/>
  <c r="L3462" i="7"/>
  <c r="K3462" i="7"/>
  <c r="H3462" i="7"/>
  <c r="E3462" i="7"/>
  <c r="F3462" i="7" s="1"/>
  <c r="C3462" i="7"/>
  <c r="L3461" i="7"/>
  <c r="K3461" i="7"/>
  <c r="H3461" i="7"/>
  <c r="U3461" i="7" s="1"/>
  <c r="C3461" i="7"/>
  <c r="E3461" i="7" s="1"/>
  <c r="F3461" i="7" s="1"/>
  <c r="L3460" i="7"/>
  <c r="K3460" i="7"/>
  <c r="H3460" i="7"/>
  <c r="U3460" i="7" s="1"/>
  <c r="C3460" i="7"/>
  <c r="E3460" i="7" s="1"/>
  <c r="F3460" i="7" s="1"/>
  <c r="L3459" i="7"/>
  <c r="K3459" i="7"/>
  <c r="H3459" i="7"/>
  <c r="U3459" i="7" s="1"/>
  <c r="C3459" i="7"/>
  <c r="E3459" i="7" s="1"/>
  <c r="F3459" i="7" s="1"/>
  <c r="U3458" i="7"/>
  <c r="L3458" i="7"/>
  <c r="K3458" i="7"/>
  <c r="J3458" i="7"/>
  <c r="H3458" i="7"/>
  <c r="C3458" i="7"/>
  <c r="E3458" i="7" s="1"/>
  <c r="F3458" i="7" s="1"/>
  <c r="I3458" i="7" s="1"/>
  <c r="L3457" i="7"/>
  <c r="K3457" i="7"/>
  <c r="H3457" i="7"/>
  <c r="U3457" i="7" s="1"/>
  <c r="C3457" i="7"/>
  <c r="E3457" i="7" s="1"/>
  <c r="F3457" i="7" s="1"/>
  <c r="U3456" i="7"/>
  <c r="L3456" i="7"/>
  <c r="K3456" i="7"/>
  <c r="H3456" i="7"/>
  <c r="C3456" i="7"/>
  <c r="E3456" i="7" s="1"/>
  <c r="F3456" i="7" s="1"/>
  <c r="L3455" i="7"/>
  <c r="K3455" i="7"/>
  <c r="H3455" i="7"/>
  <c r="U3455" i="7" s="1"/>
  <c r="C3455" i="7"/>
  <c r="E3455" i="7" s="1"/>
  <c r="F3455" i="7" s="1"/>
  <c r="U3454" i="7"/>
  <c r="L3454" i="7"/>
  <c r="J3454" i="7" s="1"/>
  <c r="K3454" i="7"/>
  <c r="H3454" i="7"/>
  <c r="C3454" i="7"/>
  <c r="E3454" i="7" s="1"/>
  <c r="F3454" i="7" s="1"/>
  <c r="L3453" i="7"/>
  <c r="K3453" i="7"/>
  <c r="H3453" i="7"/>
  <c r="U3453" i="7" s="1"/>
  <c r="C3453" i="7"/>
  <c r="E3453" i="7" s="1"/>
  <c r="F3453" i="7" s="1"/>
  <c r="U3452" i="7"/>
  <c r="L3452" i="7"/>
  <c r="K3452" i="7"/>
  <c r="H3452" i="7"/>
  <c r="C3452" i="7"/>
  <c r="E3452" i="7" s="1"/>
  <c r="F3452" i="7" s="1"/>
  <c r="L3451" i="7"/>
  <c r="K3451" i="7"/>
  <c r="H3451" i="7"/>
  <c r="U3451" i="7" s="1"/>
  <c r="C3451" i="7"/>
  <c r="E3451" i="7" s="1"/>
  <c r="F3451" i="7" s="1"/>
  <c r="L3450" i="7"/>
  <c r="K3450" i="7"/>
  <c r="H3450" i="7"/>
  <c r="U3450" i="7" s="1"/>
  <c r="C3450" i="7"/>
  <c r="E3450" i="7" s="1"/>
  <c r="F3450" i="7" s="1"/>
  <c r="L3449" i="7"/>
  <c r="K3449" i="7"/>
  <c r="H3449" i="7"/>
  <c r="U3449" i="7" s="1"/>
  <c r="E3449" i="7"/>
  <c r="F3449" i="7" s="1"/>
  <c r="C3449" i="7"/>
  <c r="L3448" i="7"/>
  <c r="K3448" i="7"/>
  <c r="H3448" i="7"/>
  <c r="U3448" i="7" s="1"/>
  <c r="E3448" i="7"/>
  <c r="F3448" i="7" s="1"/>
  <c r="C3448" i="7"/>
  <c r="L3447" i="7"/>
  <c r="K3447" i="7"/>
  <c r="H3447" i="7"/>
  <c r="U3447" i="7" s="1"/>
  <c r="C3447" i="7"/>
  <c r="E3447" i="7" s="1"/>
  <c r="F3447" i="7" s="1"/>
  <c r="L3446" i="7"/>
  <c r="K3446" i="7"/>
  <c r="H3446" i="7"/>
  <c r="U3446" i="7" s="1"/>
  <c r="C3446" i="7"/>
  <c r="E3446" i="7" s="1"/>
  <c r="F3446" i="7" s="1"/>
  <c r="J3446" i="7" s="1"/>
  <c r="L3445" i="7"/>
  <c r="K3445" i="7"/>
  <c r="H3445" i="7"/>
  <c r="U3445" i="7" s="1"/>
  <c r="C3445" i="7"/>
  <c r="E3445" i="7" s="1"/>
  <c r="F3445" i="7" s="1"/>
  <c r="L3444" i="7"/>
  <c r="K3444" i="7"/>
  <c r="H3444" i="7"/>
  <c r="U3444" i="7" s="1"/>
  <c r="E3444" i="7"/>
  <c r="F3444" i="7" s="1"/>
  <c r="C3444" i="7"/>
  <c r="L3443" i="7"/>
  <c r="K3443" i="7"/>
  <c r="H3443" i="7"/>
  <c r="U3443" i="7" s="1"/>
  <c r="C3443" i="7"/>
  <c r="E3443" i="7" s="1"/>
  <c r="F3443" i="7" s="1"/>
  <c r="L3442" i="7"/>
  <c r="K3442" i="7"/>
  <c r="H3442" i="7"/>
  <c r="U3442" i="7" s="1"/>
  <c r="C3442" i="7"/>
  <c r="E3442" i="7" s="1"/>
  <c r="F3442" i="7" s="1"/>
  <c r="L3441" i="7"/>
  <c r="K3441" i="7"/>
  <c r="H3441" i="7"/>
  <c r="U3441" i="7" s="1"/>
  <c r="E3441" i="7"/>
  <c r="F3441" i="7" s="1"/>
  <c r="C3441" i="7"/>
  <c r="L3440" i="7"/>
  <c r="K3440" i="7"/>
  <c r="H3440" i="7"/>
  <c r="U3440" i="7" s="1"/>
  <c r="E3440" i="7"/>
  <c r="F3440" i="7" s="1"/>
  <c r="C3440" i="7"/>
  <c r="L3439" i="7"/>
  <c r="K3439" i="7"/>
  <c r="H3439" i="7"/>
  <c r="U3439" i="7" s="1"/>
  <c r="C3439" i="7"/>
  <c r="E3439" i="7" s="1"/>
  <c r="F3439" i="7" s="1"/>
  <c r="J3439" i="7" s="1"/>
  <c r="L3438" i="7"/>
  <c r="J3438" i="7" s="1"/>
  <c r="K3438" i="7"/>
  <c r="H3438" i="7"/>
  <c r="U3438" i="7" s="1"/>
  <c r="C3438" i="7"/>
  <c r="E3438" i="7" s="1"/>
  <c r="F3438" i="7" s="1"/>
  <c r="U3437" i="7"/>
  <c r="L3437" i="7"/>
  <c r="K3437" i="7"/>
  <c r="H3437" i="7"/>
  <c r="E3437" i="7"/>
  <c r="F3437" i="7" s="1"/>
  <c r="C3437" i="7"/>
  <c r="L3436" i="7"/>
  <c r="K3436" i="7"/>
  <c r="H3436" i="7"/>
  <c r="U3436" i="7" s="1"/>
  <c r="C3436" i="7"/>
  <c r="E3436" i="7" s="1"/>
  <c r="F3436" i="7" s="1"/>
  <c r="L3435" i="7"/>
  <c r="K3435" i="7"/>
  <c r="H3435" i="7"/>
  <c r="U3435" i="7" s="1"/>
  <c r="C3435" i="7"/>
  <c r="E3435" i="7" s="1"/>
  <c r="F3435" i="7" s="1"/>
  <c r="L3434" i="7"/>
  <c r="K3434" i="7"/>
  <c r="H3434" i="7"/>
  <c r="U3434" i="7" s="1"/>
  <c r="C3434" i="7"/>
  <c r="E3434" i="7" s="1"/>
  <c r="F3434" i="7" s="1"/>
  <c r="U3433" i="7"/>
  <c r="L3433" i="7"/>
  <c r="K3433" i="7"/>
  <c r="H3433" i="7"/>
  <c r="E3433" i="7"/>
  <c r="F3433" i="7" s="1"/>
  <c r="C3433" i="7"/>
  <c r="L3432" i="7"/>
  <c r="K3432" i="7"/>
  <c r="H3432" i="7"/>
  <c r="U3432" i="7" s="1"/>
  <c r="C3432" i="7"/>
  <c r="E3432" i="7" s="1"/>
  <c r="F3432" i="7" s="1"/>
  <c r="L3431" i="7"/>
  <c r="K3431" i="7"/>
  <c r="I3431" i="7"/>
  <c r="H3431" i="7"/>
  <c r="U3431" i="7" s="1"/>
  <c r="C3431" i="7"/>
  <c r="E3431" i="7" s="1"/>
  <c r="F3431" i="7" s="1"/>
  <c r="L3430" i="7"/>
  <c r="J3430" i="7" s="1"/>
  <c r="K3430" i="7"/>
  <c r="H3430" i="7"/>
  <c r="U3430" i="7" s="1"/>
  <c r="C3430" i="7"/>
  <c r="E3430" i="7" s="1"/>
  <c r="F3430" i="7" s="1"/>
  <c r="U3429" i="7"/>
  <c r="L3429" i="7"/>
  <c r="K3429" i="7"/>
  <c r="H3429" i="7"/>
  <c r="C3429" i="7"/>
  <c r="E3429" i="7" s="1"/>
  <c r="F3429" i="7" s="1"/>
  <c r="L3428" i="7"/>
  <c r="K3428" i="7"/>
  <c r="H3428" i="7"/>
  <c r="U3428" i="7" s="1"/>
  <c r="E3428" i="7"/>
  <c r="F3428" i="7" s="1"/>
  <c r="C3428" i="7"/>
  <c r="L3427" i="7"/>
  <c r="K3427" i="7"/>
  <c r="H3427" i="7"/>
  <c r="U3427" i="7" s="1"/>
  <c r="C3427" i="7"/>
  <c r="E3427" i="7" s="1"/>
  <c r="F3427" i="7" s="1"/>
  <c r="L3426" i="7"/>
  <c r="K3426" i="7"/>
  <c r="H3426" i="7"/>
  <c r="U3426" i="7" s="1"/>
  <c r="C3426" i="7"/>
  <c r="E3426" i="7" s="1"/>
  <c r="F3426" i="7" s="1"/>
  <c r="U3425" i="7"/>
  <c r="L3425" i="7"/>
  <c r="K3425" i="7"/>
  <c r="H3425" i="7"/>
  <c r="C3425" i="7"/>
  <c r="E3425" i="7" s="1"/>
  <c r="F3425" i="7" s="1"/>
  <c r="L3424" i="7"/>
  <c r="K3424" i="7"/>
  <c r="H3424" i="7"/>
  <c r="U3424" i="7" s="1"/>
  <c r="C3424" i="7"/>
  <c r="E3424" i="7" s="1"/>
  <c r="F3424" i="7" s="1"/>
  <c r="L3423" i="7"/>
  <c r="K3423" i="7"/>
  <c r="H3423" i="7"/>
  <c r="U3423" i="7" s="1"/>
  <c r="C3423" i="7"/>
  <c r="E3423" i="7" s="1"/>
  <c r="F3423" i="7" s="1"/>
  <c r="L3422" i="7"/>
  <c r="K3422" i="7"/>
  <c r="H3422" i="7"/>
  <c r="U3422" i="7" s="1"/>
  <c r="C3422" i="7"/>
  <c r="E3422" i="7" s="1"/>
  <c r="F3422" i="7" s="1"/>
  <c r="L3421" i="7"/>
  <c r="K3421" i="7"/>
  <c r="H3421" i="7"/>
  <c r="U3421" i="7" s="1"/>
  <c r="F3421" i="7"/>
  <c r="C3421" i="7"/>
  <c r="E3421" i="7" s="1"/>
  <c r="L3420" i="7"/>
  <c r="K3420" i="7"/>
  <c r="H3420" i="7"/>
  <c r="U3420" i="7" s="1"/>
  <c r="C3420" i="7"/>
  <c r="E3420" i="7" s="1"/>
  <c r="F3420" i="7" s="1"/>
  <c r="L3419" i="7"/>
  <c r="K3419" i="7"/>
  <c r="H3419" i="7"/>
  <c r="U3419" i="7" s="1"/>
  <c r="C3419" i="7"/>
  <c r="E3419" i="7" s="1"/>
  <c r="F3419" i="7" s="1"/>
  <c r="I3419" i="7" s="1"/>
  <c r="L3418" i="7"/>
  <c r="K3418" i="7"/>
  <c r="H3418" i="7"/>
  <c r="U3418" i="7" s="1"/>
  <c r="C3418" i="7"/>
  <c r="E3418" i="7" s="1"/>
  <c r="F3418" i="7" s="1"/>
  <c r="L3417" i="7"/>
  <c r="K3417" i="7"/>
  <c r="H3417" i="7"/>
  <c r="U3417" i="7" s="1"/>
  <c r="F3417" i="7"/>
  <c r="C3417" i="7"/>
  <c r="E3417" i="7" s="1"/>
  <c r="L3416" i="7"/>
  <c r="K3416" i="7"/>
  <c r="H3416" i="7"/>
  <c r="U3416" i="7" s="1"/>
  <c r="E3416" i="7"/>
  <c r="F3416" i="7" s="1"/>
  <c r="C3416" i="7"/>
  <c r="L3415" i="7"/>
  <c r="J3415" i="7" s="1"/>
  <c r="K3415" i="7"/>
  <c r="H3415" i="7"/>
  <c r="U3415" i="7" s="1"/>
  <c r="C3415" i="7"/>
  <c r="E3415" i="7" s="1"/>
  <c r="F3415" i="7" s="1"/>
  <c r="I3415" i="7" s="1"/>
  <c r="L3414" i="7"/>
  <c r="K3414" i="7"/>
  <c r="H3414" i="7"/>
  <c r="U3414" i="7" s="1"/>
  <c r="C3414" i="7"/>
  <c r="E3414" i="7" s="1"/>
  <c r="F3414" i="7" s="1"/>
  <c r="U3413" i="7"/>
  <c r="L3413" i="7"/>
  <c r="K3413" i="7"/>
  <c r="H3413" i="7"/>
  <c r="E3413" i="7"/>
  <c r="F3413" i="7" s="1"/>
  <c r="C3413" i="7"/>
  <c r="L3412" i="7"/>
  <c r="K3412" i="7"/>
  <c r="H3412" i="7"/>
  <c r="U3412" i="7" s="1"/>
  <c r="C3412" i="7"/>
  <c r="E3412" i="7" s="1"/>
  <c r="F3412" i="7" s="1"/>
  <c r="L3411" i="7"/>
  <c r="K3411" i="7"/>
  <c r="H3411" i="7"/>
  <c r="U3411" i="7" s="1"/>
  <c r="C3411" i="7"/>
  <c r="E3411" i="7" s="1"/>
  <c r="F3411" i="7" s="1"/>
  <c r="L3410" i="7"/>
  <c r="K3410" i="7"/>
  <c r="H3410" i="7"/>
  <c r="U3410" i="7" s="1"/>
  <c r="C3410" i="7"/>
  <c r="E3410" i="7" s="1"/>
  <c r="F3410" i="7" s="1"/>
  <c r="U3409" i="7"/>
  <c r="L3409" i="7"/>
  <c r="K3409" i="7"/>
  <c r="H3409" i="7"/>
  <c r="C3409" i="7"/>
  <c r="E3409" i="7" s="1"/>
  <c r="F3409" i="7" s="1"/>
  <c r="L3408" i="7"/>
  <c r="J3408" i="7" s="1"/>
  <c r="K3408" i="7"/>
  <c r="H3408" i="7"/>
  <c r="U3408" i="7" s="1"/>
  <c r="C3408" i="7"/>
  <c r="E3408" i="7" s="1"/>
  <c r="F3408" i="7" s="1"/>
  <c r="L3407" i="7"/>
  <c r="K3407" i="7"/>
  <c r="H3407" i="7"/>
  <c r="U3407" i="7" s="1"/>
  <c r="F3407" i="7"/>
  <c r="C3407" i="7"/>
  <c r="E3407" i="7" s="1"/>
  <c r="L3406" i="7"/>
  <c r="K3406" i="7"/>
  <c r="H3406" i="7"/>
  <c r="U3406" i="7" s="1"/>
  <c r="C3406" i="7"/>
  <c r="E3406" i="7" s="1"/>
  <c r="F3406" i="7" s="1"/>
  <c r="L3405" i="7"/>
  <c r="K3405" i="7"/>
  <c r="H3405" i="7"/>
  <c r="U3405" i="7" s="1"/>
  <c r="F3405" i="7"/>
  <c r="C3405" i="7"/>
  <c r="E3405" i="7" s="1"/>
  <c r="L3404" i="7"/>
  <c r="K3404" i="7"/>
  <c r="H3404" i="7"/>
  <c r="U3404" i="7" s="1"/>
  <c r="C3404" i="7"/>
  <c r="E3404" i="7" s="1"/>
  <c r="F3404" i="7" s="1"/>
  <c r="L3403" i="7"/>
  <c r="K3403" i="7"/>
  <c r="I3403" i="7"/>
  <c r="H3403" i="7"/>
  <c r="U3403" i="7" s="1"/>
  <c r="C3403" i="7"/>
  <c r="E3403" i="7" s="1"/>
  <c r="F3403" i="7" s="1"/>
  <c r="L3402" i="7"/>
  <c r="K3402" i="7"/>
  <c r="H3402" i="7"/>
  <c r="U3402" i="7" s="1"/>
  <c r="E3402" i="7"/>
  <c r="F3402" i="7" s="1"/>
  <c r="C3402" i="7"/>
  <c r="L3401" i="7"/>
  <c r="K3401" i="7"/>
  <c r="H3401" i="7"/>
  <c r="U3401" i="7" s="1"/>
  <c r="C3401" i="7"/>
  <c r="E3401" i="7" s="1"/>
  <c r="F3401" i="7" s="1"/>
  <c r="L3400" i="7"/>
  <c r="K3400" i="7"/>
  <c r="H3400" i="7"/>
  <c r="U3400" i="7" s="1"/>
  <c r="C3400" i="7"/>
  <c r="E3400" i="7" s="1"/>
  <c r="F3400" i="7" s="1"/>
  <c r="L3399" i="7"/>
  <c r="K3399" i="7"/>
  <c r="H3399" i="7"/>
  <c r="U3399" i="7" s="1"/>
  <c r="C3399" i="7"/>
  <c r="E3399" i="7" s="1"/>
  <c r="F3399" i="7" s="1"/>
  <c r="L3398" i="7"/>
  <c r="K3398" i="7"/>
  <c r="H3398" i="7"/>
  <c r="U3398" i="7" s="1"/>
  <c r="C3398" i="7"/>
  <c r="E3398" i="7" s="1"/>
  <c r="F3398" i="7" s="1"/>
  <c r="I3398" i="7" s="1"/>
  <c r="U3397" i="7"/>
  <c r="L3397" i="7"/>
  <c r="K3397" i="7"/>
  <c r="H3397" i="7"/>
  <c r="E3397" i="7"/>
  <c r="F3397" i="7" s="1"/>
  <c r="C3397" i="7"/>
  <c r="U3396" i="7"/>
  <c r="L3396" i="7"/>
  <c r="K3396" i="7"/>
  <c r="H3396" i="7"/>
  <c r="C3396" i="7"/>
  <c r="E3396" i="7" s="1"/>
  <c r="F3396" i="7" s="1"/>
  <c r="L3395" i="7"/>
  <c r="K3395" i="7"/>
  <c r="H3395" i="7"/>
  <c r="U3395" i="7" s="1"/>
  <c r="C3395" i="7"/>
  <c r="E3395" i="7" s="1"/>
  <c r="F3395" i="7" s="1"/>
  <c r="L3394" i="7"/>
  <c r="K3394" i="7"/>
  <c r="H3394" i="7"/>
  <c r="U3394" i="7" s="1"/>
  <c r="C3394" i="7"/>
  <c r="E3394" i="7" s="1"/>
  <c r="F3394" i="7" s="1"/>
  <c r="L3393" i="7"/>
  <c r="K3393" i="7"/>
  <c r="H3393" i="7"/>
  <c r="U3393" i="7" s="1"/>
  <c r="E3393" i="7"/>
  <c r="F3393" i="7" s="1"/>
  <c r="C3393" i="7"/>
  <c r="L3392" i="7"/>
  <c r="K3392" i="7"/>
  <c r="H3392" i="7"/>
  <c r="U3392" i="7" s="1"/>
  <c r="C3392" i="7"/>
  <c r="E3392" i="7" s="1"/>
  <c r="F3392" i="7" s="1"/>
  <c r="U3391" i="7"/>
  <c r="L3391" i="7"/>
  <c r="K3391" i="7"/>
  <c r="H3391" i="7"/>
  <c r="C3391" i="7"/>
  <c r="E3391" i="7" s="1"/>
  <c r="F3391" i="7" s="1"/>
  <c r="L3390" i="7"/>
  <c r="K3390" i="7"/>
  <c r="H3390" i="7"/>
  <c r="U3390" i="7" s="1"/>
  <c r="F3390" i="7"/>
  <c r="C3390" i="7"/>
  <c r="E3390" i="7" s="1"/>
  <c r="L3389" i="7"/>
  <c r="K3389" i="7"/>
  <c r="H3389" i="7"/>
  <c r="U3389" i="7" s="1"/>
  <c r="C3389" i="7"/>
  <c r="E3389" i="7" s="1"/>
  <c r="F3389" i="7" s="1"/>
  <c r="L3388" i="7"/>
  <c r="K3388" i="7"/>
  <c r="H3388" i="7"/>
  <c r="U3388" i="7" s="1"/>
  <c r="C3388" i="7"/>
  <c r="E3388" i="7" s="1"/>
  <c r="F3388" i="7" s="1"/>
  <c r="L3387" i="7"/>
  <c r="K3387" i="7"/>
  <c r="H3387" i="7"/>
  <c r="U3387" i="7" s="1"/>
  <c r="C3387" i="7"/>
  <c r="E3387" i="7" s="1"/>
  <c r="F3387" i="7" s="1"/>
  <c r="L3386" i="7"/>
  <c r="K3386" i="7"/>
  <c r="H3386" i="7"/>
  <c r="U3386" i="7" s="1"/>
  <c r="E3386" i="7"/>
  <c r="F3386" i="7" s="1"/>
  <c r="C3386" i="7"/>
  <c r="L3385" i="7"/>
  <c r="K3385" i="7"/>
  <c r="H3385" i="7"/>
  <c r="U3385" i="7" s="1"/>
  <c r="C3385" i="7"/>
  <c r="E3385" i="7" s="1"/>
  <c r="F3385" i="7" s="1"/>
  <c r="L3384" i="7"/>
  <c r="K3384" i="7"/>
  <c r="H3384" i="7"/>
  <c r="U3384" i="7" s="1"/>
  <c r="C3384" i="7"/>
  <c r="E3384" i="7" s="1"/>
  <c r="F3384" i="7" s="1"/>
  <c r="U3383" i="7"/>
  <c r="L3383" i="7"/>
  <c r="K3383" i="7"/>
  <c r="H3383" i="7"/>
  <c r="C3383" i="7"/>
  <c r="E3383" i="7" s="1"/>
  <c r="F3383" i="7" s="1"/>
  <c r="L3382" i="7"/>
  <c r="K3382" i="7"/>
  <c r="H3382" i="7"/>
  <c r="U3382" i="7" s="1"/>
  <c r="C3382" i="7"/>
  <c r="E3382" i="7" s="1"/>
  <c r="F3382" i="7" s="1"/>
  <c r="U3381" i="7"/>
  <c r="L3381" i="7"/>
  <c r="K3381" i="7"/>
  <c r="H3381" i="7"/>
  <c r="C3381" i="7"/>
  <c r="E3381" i="7" s="1"/>
  <c r="F3381" i="7" s="1"/>
  <c r="L3380" i="7"/>
  <c r="K3380" i="7"/>
  <c r="H3380" i="7"/>
  <c r="U3380" i="7" s="1"/>
  <c r="E3380" i="7"/>
  <c r="F3380" i="7" s="1"/>
  <c r="C3380" i="7"/>
  <c r="L3379" i="7"/>
  <c r="K3379" i="7"/>
  <c r="H3379" i="7"/>
  <c r="U3379" i="7" s="1"/>
  <c r="C3379" i="7"/>
  <c r="E3379" i="7" s="1"/>
  <c r="F3379" i="7" s="1"/>
  <c r="L3378" i="7"/>
  <c r="K3378" i="7"/>
  <c r="H3378" i="7"/>
  <c r="U3378" i="7" s="1"/>
  <c r="C3378" i="7"/>
  <c r="E3378" i="7" s="1"/>
  <c r="F3378" i="7" s="1"/>
  <c r="I3378" i="7" s="1"/>
  <c r="L3377" i="7"/>
  <c r="K3377" i="7"/>
  <c r="H3377" i="7"/>
  <c r="U3377" i="7" s="1"/>
  <c r="C3377" i="7"/>
  <c r="E3377" i="7" s="1"/>
  <c r="F3377" i="7" s="1"/>
  <c r="U3376" i="7"/>
  <c r="L3376" i="7"/>
  <c r="K3376" i="7"/>
  <c r="H3376" i="7"/>
  <c r="E3376" i="7"/>
  <c r="F3376" i="7" s="1"/>
  <c r="C3376" i="7"/>
  <c r="L3375" i="7"/>
  <c r="K3375" i="7"/>
  <c r="H3375" i="7"/>
  <c r="U3375" i="7" s="1"/>
  <c r="C3375" i="7"/>
  <c r="E3375" i="7" s="1"/>
  <c r="F3375" i="7" s="1"/>
  <c r="L3374" i="7"/>
  <c r="K3374" i="7"/>
  <c r="J3374" i="7"/>
  <c r="H3374" i="7"/>
  <c r="U3374" i="7" s="1"/>
  <c r="C3374" i="7"/>
  <c r="E3374" i="7" s="1"/>
  <c r="F3374" i="7" s="1"/>
  <c r="I3374" i="7" s="1"/>
  <c r="L3373" i="7"/>
  <c r="K3373" i="7"/>
  <c r="H3373" i="7"/>
  <c r="U3373" i="7" s="1"/>
  <c r="C3373" i="7"/>
  <c r="E3373" i="7" s="1"/>
  <c r="F3373" i="7" s="1"/>
  <c r="L3372" i="7"/>
  <c r="K3372" i="7"/>
  <c r="H3372" i="7"/>
  <c r="U3372" i="7" s="1"/>
  <c r="C3372" i="7"/>
  <c r="E3372" i="7" s="1"/>
  <c r="F3372" i="7" s="1"/>
  <c r="U3371" i="7"/>
  <c r="L3371" i="7"/>
  <c r="K3371" i="7"/>
  <c r="H3371" i="7"/>
  <c r="C3371" i="7"/>
  <c r="E3371" i="7" s="1"/>
  <c r="F3371" i="7" s="1"/>
  <c r="L3370" i="7"/>
  <c r="K3370" i="7"/>
  <c r="H3370" i="7"/>
  <c r="U3370" i="7" s="1"/>
  <c r="F3370" i="7"/>
  <c r="C3370" i="7"/>
  <c r="E3370" i="7" s="1"/>
  <c r="L3369" i="7"/>
  <c r="K3369" i="7"/>
  <c r="H3369" i="7"/>
  <c r="U3369" i="7" s="1"/>
  <c r="C3369" i="7"/>
  <c r="E3369" i="7" s="1"/>
  <c r="F3369" i="7" s="1"/>
  <c r="L3368" i="7"/>
  <c r="K3368" i="7"/>
  <c r="H3368" i="7"/>
  <c r="U3368" i="7" s="1"/>
  <c r="C3368" i="7"/>
  <c r="E3368" i="7" s="1"/>
  <c r="F3368" i="7" s="1"/>
  <c r="L3367" i="7"/>
  <c r="K3367" i="7"/>
  <c r="H3367" i="7"/>
  <c r="U3367" i="7" s="1"/>
  <c r="C3367" i="7"/>
  <c r="E3367" i="7" s="1"/>
  <c r="F3367" i="7" s="1"/>
  <c r="L3366" i="7"/>
  <c r="K3366" i="7"/>
  <c r="H3366" i="7"/>
  <c r="U3366" i="7" s="1"/>
  <c r="C3366" i="7"/>
  <c r="E3366" i="7" s="1"/>
  <c r="F3366" i="7" s="1"/>
  <c r="L3365" i="7"/>
  <c r="K3365" i="7"/>
  <c r="H3365" i="7"/>
  <c r="U3365" i="7" s="1"/>
  <c r="C3365" i="7"/>
  <c r="E3365" i="7" s="1"/>
  <c r="F3365" i="7" s="1"/>
  <c r="U3364" i="7"/>
  <c r="L3364" i="7"/>
  <c r="K3364" i="7"/>
  <c r="H3364" i="7"/>
  <c r="E3364" i="7"/>
  <c r="F3364" i="7" s="1"/>
  <c r="I3364" i="7" s="1"/>
  <c r="C3364" i="7"/>
  <c r="L3363" i="7"/>
  <c r="K3363" i="7"/>
  <c r="H3363" i="7"/>
  <c r="U3363" i="7" s="1"/>
  <c r="C3363" i="7"/>
  <c r="E3363" i="7" s="1"/>
  <c r="F3363" i="7" s="1"/>
  <c r="L3362" i="7"/>
  <c r="K3362" i="7"/>
  <c r="H3362" i="7"/>
  <c r="U3362" i="7" s="1"/>
  <c r="E3362" i="7"/>
  <c r="F3362" i="7" s="1"/>
  <c r="C3362" i="7"/>
  <c r="U3361" i="7"/>
  <c r="L3361" i="7"/>
  <c r="K3361" i="7"/>
  <c r="H3361" i="7"/>
  <c r="C3361" i="7"/>
  <c r="E3361" i="7" s="1"/>
  <c r="F3361" i="7" s="1"/>
  <c r="L3360" i="7"/>
  <c r="K3360" i="7"/>
  <c r="H3360" i="7"/>
  <c r="U3360" i="7" s="1"/>
  <c r="C3360" i="7"/>
  <c r="E3360" i="7" s="1"/>
  <c r="F3360" i="7" s="1"/>
  <c r="L3359" i="7"/>
  <c r="K3359" i="7"/>
  <c r="H3359" i="7"/>
  <c r="U3359" i="7" s="1"/>
  <c r="C3359" i="7"/>
  <c r="E3359" i="7" s="1"/>
  <c r="F3359" i="7" s="1"/>
  <c r="L3358" i="7"/>
  <c r="K3358" i="7"/>
  <c r="H3358" i="7"/>
  <c r="U3358" i="7" s="1"/>
  <c r="C3358" i="7"/>
  <c r="E3358" i="7" s="1"/>
  <c r="F3358" i="7" s="1"/>
  <c r="L3357" i="7"/>
  <c r="K3357" i="7"/>
  <c r="H3357" i="7"/>
  <c r="U3357" i="7" s="1"/>
  <c r="C3357" i="7"/>
  <c r="E3357" i="7" s="1"/>
  <c r="F3357" i="7" s="1"/>
  <c r="L3356" i="7"/>
  <c r="K3356" i="7"/>
  <c r="H3356" i="7"/>
  <c r="U3356" i="7" s="1"/>
  <c r="C3356" i="7"/>
  <c r="E3356" i="7" s="1"/>
  <c r="F3356" i="7" s="1"/>
  <c r="L3355" i="7"/>
  <c r="K3355" i="7"/>
  <c r="J3355" i="7"/>
  <c r="H3355" i="7"/>
  <c r="U3355" i="7" s="1"/>
  <c r="C3355" i="7"/>
  <c r="E3355" i="7" s="1"/>
  <c r="F3355" i="7" s="1"/>
  <c r="I3355" i="7" s="1"/>
  <c r="L3354" i="7"/>
  <c r="K3354" i="7"/>
  <c r="H3354" i="7"/>
  <c r="U3354" i="7" s="1"/>
  <c r="C3354" i="7"/>
  <c r="E3354" i="7" s="1"/>
  <c r="F3354" i="7" s="1"/>
  <c r="L3353" i="7"/>
  <c r="K3353" i="7"/>
  <c r="H3353" i="7"/>
  <c r="U3353" i="7" s="1"/>
  <c r="C3353" i="7"/>
  <c r="E3353" i="7" s="1"/>
  <c r="F3353" i="7" s="1"/>
  <c r="L3352" i="7"/>
  <c r="K3352" i="7"/>
  <c r="H3352" i="7"/>
  <c r="U3352" i="7" s="1"/>
  <c r="C3352" i="7"/>
  <c r="E3352" i="7" s="1"/>
  <c r="F3352" i="7" s="1"/>
  <c r="L3351" i="7"/>
  <c r="K3351" i="7"/>
  <c r="H3351" i="7"/>
  <c r="U3351" i="7" s="1"/>
  <c r="C3351" i="7"/>
  <c r="E3351" i="7" s="1"/>
  <c r="F3351" i="7" s="1"/>
  <c r="L3350" i="7"/>
  <c r="K3350" i="7"/>
  <c r="H3350" i="7"/>
  <c r="U3350" i="7" s="1"/>
  <c r="C3350" i="7"/>
  <c r="E3350" i="7" s="1"/>
  <c r="F3350" i="7" s="1"/>
  <c r="U3349" i="7"/>
  <c r="L3349" i="7"/>
  <c r="K3349" i="7"/>
  <c r="H3349" i="7"/>
  <c r="E3349" i="7"/>
  <c r="F3349" i="7" s="1"/>
  <c r="C3349" i="7"/>
  <c r="L3348" i="7"/>
  <c r="K3348" i="7"/>
  <c r="H3348" i="7"/>
  <c r="U3348" i="7" s="1"/>
  <c r="E3348" i="7"/>
  <c r="F3348" i="7" s="1"/>
  <c r="C3348" i="7"/>
  <c r="L3347" i="7"/>
  <c r="K3347" i="7"/>
  <c r="H3347" i="7"/>
  <c r="U3347" i="7" s="1"/>
  <c r="C3347" i="7"/>
  <c r="E3347" i="7" s="1"/>
  <c r="F3347" i="7" s="1"/>
  <c r="L3346" i="7"/>
  <c r="K3346" i="7"/>
  <c r="H3346" i="7"/>
  <c r="U3346" i="7" s="1"/>
  <c r="C3346" i="7"/>
  <c r="E3346" i="7" s="1"/>
  <c r="F3346" i="7" s="1"/>
  <c r="L3345" i="7"/>
  <c r="K3345" i="7"/>
  <c r="H3345" i="7"/>
  <c r="U3345" i="7" s="1"/>
  <c r="C3345" i="7"/>
  <c r="E3345" i="7" s="1"/>
  <c r="F3345" i="7" s="1"/>
  <c r="L3344" i="7"/>
  <c r="K3344" i="7"/>
  <c r="H3344" i="7"/>
  <c r="U3344" i="7" s="1"/>
  <c r="C3344" i="7"/>
  <c r="E3344" i="7" s="1"/>
  <c r="F3344" i="7" s="1"/>
  <c r="U3343" i="7"/>
  <c r="L3343" i="7"/>
  <c r="K3343" i="7"/>
  <c r="H3343" i="7"/>
  <c r="C3343" i="7"/>
  <c r="E3343" i="7" s="1"/>
  <c r="F3343" i="7" s="1"/>
  <c r="L3342" i="7"/>
  <c r="K3342" i="7"/>
  <c r="H3342" i="7"/>
  <c r="U3342" i="7" s="1"/>
  <c r="C3342" i="7"/>
  <c r="E3342" i="7" s="1"/>
  <c r="F3342" i="7" s="1"/>
  <c r="L3341" i="7"/>
  <c r="K3341" i="7"/>
  <c r="H3341" i="7"/>
  <c r="U3341" i="7" s="1"/>
  <c r="C3341" i="7"/>
  <c r="E3341" i="7" s="1"/>
  <c r="F3341" i="7" s="1"/>
  <c r="L3340" i="7"/>
  <c r="K3340" i="7"/>
  <c r="H3340" i="7"/>
  <c r="U3340" i="7" s="1"/>
  <c r="C3340" i="7"/>
  <c r="E3340" i="7" s="1"/>
  <c r="F3340" i="7" s="1"/>
  <c r="J3340" i="7" s="1"/>
  <c r="L3339" i="7"/>
  <c r="K3339" i="7"/>
  <c r="H3339" i="7"/>
  <c r="U3339" i="7" s="1"/>
  <c r="C3339" i="7"/>
  <c r="E3339" i="7" s="1"/>
  <c r="F3339" i="7" s="1"/>
  <c r="L3338" i="7"/>
  <c r="K3338" i="7"/>
  <c r="H3338" i="7"/>
  <c r="U3338" i="7" s="1"/>
  <c r="E3338" i="7"/>
  <c r="F3338" i="7" s="1"/>
  <c r="C3338" i="7"/>
  <c r="U3337" i="7"/>
  <c r="L3337" i="7"/>
  <c r="K3337" i="7"/>
  <c r="H3337" i="7"/>
  <c r="E3337" i="7"/>
  <c r="F3337" i="7" s="1"/>
  <c r="C3337" i="7"/>
  <c r="L3336" i="7"/>
  <c r="K3336" i="7"/>
  <c r="H3336" i="7"/>
  <c r="U3336" i="7" s="1"/>
  <c r="C3336" i="7"/>
  <c r="E3336" i="7" s="1"/>
  <c r="F3336" i="7" s="1"/>
  <c r="L3335" i="7"/>
  <c r="K3335" i="7"/>
  <c r="J3335" i="7"/>
  <c r="H3335" i="7"/>
  <c r="U3335" i="7" s="1"/>
  <c r="C3335" i="7"/>
  <c r="E3335" i="7" s="1"/>
  <c r="F3335" i="7" s="1"/>
  <c r="L3334" i="7"/>
  <c r="K3334" i="7"/>
  <c r="H3334" i="7"/>
  <c r="U3334" i="7" s="1"/>
  <c r="C3334" i="7"/>
  <c r="E3334" i="7" s="1"/>
  <c r="F3334" i="7" s="1"/>
  <c r="L3333" i="7"/>
  <c r="K3333" i="7"/>
  <c r="H3333" i="7"/>
  <c r="U3333" i="7" s="1"/>
  <c r="C3333" i="7"/>
  <c r="E3333" i="7" s="1"/>
  <c r="F3333" i="7" s="1"/>
  <c r="L3332" i="7"/>
  <c r="K3332" i="7"/>
  <c r="H3332" i="7"/>
  <c r="U3332" i="7" s="1"/>
  <c r="C3332" i="7"/>
  <c r="E3332" i="7" s="1"/>
  <c r="F3332" i="7" s="1"/>
  <c r="L3331" i="7"/>
  <c r="K3331" i="7"/>
  <c r="J3331" i="7"/>
  <c r="H3331" i="7"/>
  <c r="U3331" i="7" s="1"/>
  <c r="C3331" i="7"/>
  <c r="E3331" i="7" s="1"/>
  <c r="F3331" i="7" s="1"/>
  <c r="L3330" i="7"/>
  <c r="K3330" i="7"/>
  <c r="H3330" i="7"/>
  <c r="U3330" i="7" s="1"/>
  <c r="C3330" i="7"/>
  <c r="E3330" i="7" s="1"/>
  <c r="F3330" i="7" s="1"/>
  <c r="I3330" i="7" s="1"/>
  <c r="L3329" i="7"/>
  <c r="K3329" i="7"/>
  <c r="H3329" i="7"/>
  <c r="U3329" i="7" s="1"/>
  <c r="E3329" i="7"/>
  <c r="F3329" i="7" s="1"/>
  <c r="C3329" i="7"/>
  <c r="L3328" i="7"/>
  <c r="K3328" i="7"/>
  <c r="H3328" i="7"/>
  <c r="U3328" i="7" s="1"/>
  <c r="C3328" i="7"/>
  <c r="E3328" i="7" s="1"/>
  <c r="F3328" i="7" s="1"/>
  <c r="L3327" i="7"/>
  <c r="K3327" i="7"/>
  <c r="H3327" i="7"/>
  <c r="U3327" i="7" s="1"/>
  <c r="C3327" i="7"/>
  <c r="E3327" i="7" s="1"/>
  <c r="F3327" i="7" s="1"/>
  <c r="L3326" i="7"/>
  <c r="K3326" i="7"/>
  <c r="H3326" i="7"/>
  <c r="U3326" i="7" s="1"/>
  <c r="C3326" i="7"/>
  <c r="E3326" i="7" s="1"/>
  <c r="F3326" i="7" s="1"/>
  <c r="L3325" i="7"/>
  <c r="K3325" i="7"/>
  <c r="H3325" i="7"/>
  <c r="U3325" i="7" s="1"/>
  <c r="C3325" i="7"/>
  <c r="E3325" i="7" s="1"/>
  <c r="F3325" i="7" s="1"/>
  <c r="L3324" i="7"/>
  <c r="J3324" i="7" s="1"/>
  <c r="K3324" i="7"/>
  <c r="H3324" i="7"/>
  <c r="U3324" i="7" s="1"/>
  <c r="C3324" i="7"/>
  <c r="E3324" i="7" s="1"/>
  <c r="F3324" i="7" s="1"/>
  <c r="L3323" i="7"/>
  <c r="K3323" i="7"/>
  <c r="H3323" i="7"/>
  <c r="U3323" i="7" s="1"/>
  <c r="C3323" i="7"/>
  <c r="E3323" i="7" s="1"/>
  <c r="F3323" i="7" s="1"/>
  <c r="L3322" i="7"/>
  <c r="K3322" i="7"/>
  <c r="H3322" i="7"/>
  <c r="U3322" i="7" s="1"/>
  <c r="C3322" i="7"/>
  <c r="E3322" i="7" s="1"/>
  <c r="F3322" i="7" s="1"/>
  <c r="L3321" i="7"/>
  <c r="K3321" i="7"/>
  <c r="H3321" i="7"/>
  <c r="U3321" i="7" s="1"/>
  <c r="E3321" i="7"/>
  <c r="F3321" i="7" s="1"/>
  <c r="C3321" i="7"/>
  <c r="L3320" i="7"/>
  <c r="K3320" i="7"/>
  <c r="H3320" i="7"/>
  <c r="U3320" i="7" s="1"/>
  <c r="C3320" i="7"/>
  <c r="E3320" i="7" s="1"/>
  <c r="F3320" i="7" s="1"/>
  <c r="L3319" i="7"/>
  <c r="K3319" i="7"/>
  <c r="H3319" i="7"/>
  <c r="U3319" i="7" s="1"/>
  <c r="C3319" i="7"/>
  <c r="E3319" i="7" s="1"/>
  <c r="F3319" i="7" s="1"/>
  <c r="L3318" i="7"/>
  <c r="K3318" i="7"/>
  <c r="H3318" i="7"/>
  <c r="U3318" i="7" s="1"/>
  <c r="C3318" i="7"/>
  <c r="E3318" i="7" s="1"/>
  <c r="F3318" i="7" s="1"/>
  <c r="L3317" i="7"/>
  <c r="K3317" i="7"/>
  <c r="H3317" i="7"/>
  <c r="U3317" i="7" s="1"/>
  <c r="C3317" i="7"/>
  <c r="E3317" i="7" s="1"/>
  <c r="F3317" i="7" s="1"/>
  <c r="L3316" i="7"/>
  <c r="J3316" i="7" s="1"/>
  <c r="K3316" i="7"/>
  <c r="H3316" i="7"/>
  <c r="U3316" i="7" s="1"/>
  <c r="C3316" i="7"/>
  <c r="E3316" i="7" s="1"/>
  <c r="F3316" i="7" s="1"/>
  <c r="L3315" i="7"/>
  <c r="K3315" i="7"/>
  <c r="H3315" i="7"/>
  <c r="U3315" i="7" s="1"/>
  <c r="C3315" i="7"/>
  <c r="E3315" i="7" s="1"/>
  <c r="F3315" i="7" s="1"/>
  <c r="L3314" i="7"/>
  <c r="K3314" i="7"/>
  <c r="H3314" i="7"/>
  <c r="U3314" i="7" s="1"/>
  <c r="C3314" i="7"/>
  <c r="E3314" i="7" s="1"/>
  <c r="F3314" i="7" s="1"/>
  <c r="L3313" i="7"/>
  <c r="K3313" i="7"/>
  <c r="H3313" i="7"/>
  <c r="U3313" i="7" s="1"/>
  <c r="E3313" i="7"/>
  <c r="F3313" i="7" s="1"/>
  <c r="C3313" i="7"/>
  <c r="L3312" i="7"/>
  <c r="K3312" i="7"/>
  <c r="H3312" i="7"/>
  <c r="U3312" i="7" s="1"/>
  <c r="C3312" i="7"/>
  <c r="E3312" i="7" s="1"/>
  <c r="F3312" i="7" s="1"/>
  <c r="L3311" i="7"/>
  <c r="K3311" i="7"/>
  <c r="H3311" i="7"/>
  <c r="U3311" i="7" s="1"/>
  <c r="C3311" i="7"/>
  <c r="E3311" i="7" s="1"/>
  <c r="F3311" i="7" s="1"/>
  <c r="L3310" i="7"/>
  <c r="K3310" i="7"/>
  <c r="H3310" i="7"/>
  <c r="U3310" i="7" s="1"/>
  <c r="C3310" i="7"/>
  <c r="E3310" i="7" s="1"/>
  <c r="F3310" i="7" s="1"/>
  <c r="U3309" i="7"/>
  <c r="L3309" i="7"/>
  <c r="K3309" i="7"/>
  <c r="H3309" i="7"/>
  <c r="E3309" i="7"/>
  <c r="F3309" i="7" s="1"/>
  <c r="C3309" i="7"/>
  <c r="L3308" i="7"/>
  <c r="K3308" i="7"/>
  <c r="H3308" i="7"/>
  <c r="U3308" i="7" s="1"/>
  <c r="C3308" i="7"/>
  <c r="E3308" i="7" s="1"/>
  <c r="F3308" i="7" s="1"/>
  <c r="L3307" i="7"/>
  <c r="K3307" i="7"/>
  <c r="H3307" i="7"/>
  <c r="U3307" i="7" s="1"/>
  <c r="C3307" i="7"/>
  <c r="E3307" i="7" s="1"/>
  <c r="F3307" i="7" s="1"/>
  <c r="L3306" i="7"/>
  <c r="K3306" i="7"/>
  <c r="H3306" i="7"/>
  <c r="U3306" i="7" s="1"/>
  <c r="C3306" i="7"/>
  <c r="E3306" i="7" s="1"/>
  <c r="F3306" i="7" s="1"/>
  <c r="L3305" i="7"/>
  <c r="K3305" i="7"/>
  <c r="H3305" i="7"/>
  <c r="U3305" i="7" s="1"/>
  <c r="C3305" i="7"/>
  <c r="E3305" i="7" s="1"/>
  <c r="F3305" i="7" s="1"/>
  <c r="L3304" i="7"/>
  <c r="K3304" i="7"/>
  <c r="J3304" i="7"/>
  <c r="H3304" i="7"/>
  <c r="U3304" i="7" s="1"/>
  <c r="C3304" i="7"/>
  <c r="E3304" i="7" s="1"/>
  <c r="F3304" i="7" s="1"/>
  <c r="L3303" i="7"/>
  <c r="K3303" i="7"/>
  <c r="H3303" i="7"/>
  <c r="U3303" i="7" s="1"/>
  <c r="C3303" i="7"/>
  <c r="E3303" i="7" s="1"/>
  <c r="F3303" i="7" s="1"/>
  <c r="J3303" i="7" s="1"/>
  <c r="L3302" i="7"/>
  <c r="K3302" i="7"/>
  <c r="H3302" i="7"/>
  <c r="U3302" i="7" s="1"/>
  <c r="C3302" i="7"/>
  <c r="E3302" i="7" s="1"/>
  <c r="F3302" i="7" s="1"/>
  <c r="L3301" i="7"/>
  <c r="K3301" i="7"/>
  <c r="H3301" i="7"/>
  <c r="U3301" i="7" s="1"/>
  <c r="E3301" i="7"/>
  <c r="F3301" i="7" s="1"/>
  <c r="C3301" i="7"/>
  <c r="L3300" i="7"/>
  <c r="K3300" i="7"/>
  <c r="H3300" i="7"/>
  <c r="U3300" i="7" s="1"/>
  <c r="C3300" i="7"/>
  <c r="E3300" i="7" s="1"/>
  <c r="F3300" i="7" s="1"/>
  <c r="I3300" i="7" s="1"/>
  <c r="U3299" i="7"/>
  <c r="L3299" i="7"/>
  <c r="K3299" i="7"/>
  <c r="H3299" i="7"/>
  <c r="F3299" i="7"/>
  <c r="C3299" i="7"/>
  <c r="E3299" i="7" s="1"/>
  <c r="L3298" i="7"/>
  <c r="K3298" i="7"/>
  <c r="H3298" i="7"/>
  <c r="U3298" i="7" s="1"/>
  <c r="C3298" i="7"/>
  <c r="E3298" i="7" s="1"/>
  <c r="F3298" i="7" s="1"/>
  <c r="U3297" i="7"/>
  <c r="L3297" i="7"/>
  <c r="K3297" i="7"/>
  <c r="H3297" i="7"/>
  <c r="C3297" i="7"/>
  <c r="E3297" i="7" s="1"/>
  <c r="F3297" i="7" s="1"/>
  <c r="L3296" i="7"/>
  <c r="K3296" i="7"/>
  <c r="H3296" i="7"/>
  <c r="U3296" i="7" s="1"/>
  <c r="C3296" i="7"/>
  <c r="E3296" i="7" s="1"/>
  <c r="F3296" i="7" s="1"/>
  <c r="L3295" i="7"/>
  <c r="K3295" i="7"/>
  <c r="H3295" i="7"/>
  <c r="U3295" i="7" s="1"/>
  <c r="C3295" i="7"/>
  <c r="E3295" i="7" s="1"/>
  <c r="F3295" i="7" s="1"/>
  <c r="L3294" i="7"/>
  <c r="K3294" i="7"/>
  <c r="H3294" i="7"/>
  <c r="U3294" i="7" s="1"/>
  <c r="E3294" i="7"/>
  <c r="F3294" i="7" s="1"/>
  <c r="C3294" i="7"/>
  <c r="L3293" i="7"/>
  <c r="K3293" i="7"/>
  <c r="H3293" i="7"/>
  <c r="U3293" i="7" s="1"/>
  <c r="C3293" i="7"/>
  <c r="E3293" i="7" s="1"/>
  <c r="F3293" i="7" s="1"/>
  <c r="L3292" i="7"/>
  <c r="K3292" i="7"/>
  <c r="H3292" i="7"/>
  <c r="U3292" i="7" s="1"/>
  <c r="C3292" i="7"/>
  <c r="E3292" i="7" s="1"/>
  <c r="F3292" i="7" s="1"/>
  <c r="J3292" i="7" s="1"/>
  <c r="L3291" i="7"/>
  <c r="K3291" i="7"/>
  <c r="I3291" i="7"/>
  <c r="H3291" i="7"/>
  <c r="U3291" i="7" s="1"/>
  <c r="C3291" i="7"/>
  <c r="E3291" i="7" s="1"/>
  <c r="F3291" i="7" s="1"/>
  <c r="L3290" i="7"/>
  <c r="K3290" i="7"/>
  <c r="H3290" i="7"/>
  <c r="U3290" i="7" s="1"/>
  <c r="C3290" i="7"/>
  <c r="E3290" i="7" s="1"/>
  <c r="F3290" i="7" s="1"/>
  <c r="L3289" i="7"/>
  <c r="K3289" i="7"/>
  <c r="H3289" i="7"/>
  <c r="U3289" i="7" s="1"/>
  <c r="F3289" i="7"/>
  <c r="C3289" i="7"/>
  <c r="E3289" i="7" s="1"/>
  <c r="U3288" i="7"/>
  <c r="L3288" i="7"/>
  <c r="K3288" i="7"/>
  <c r="H3288" i="7"/>
  <c r="C3288" i="7"/>
  <c r="E3288" i="7" s="1"/>
  <c r="F3288" i="7" s="1"/>
  <c r="L3287" i="7"/>
  <c r="J3287" i="7" s="1"/>
  <c r="K3287" i="7"/>
  <c r="H3287" i="7"/>
  <c r="U3287" i="7" s="1"/>
  <c r="C3287" i="7"/>
  <c r="E3287" i="7" s="1"/>
  <c r="F3287" i="7" s="1"/>
  <c r="L3286" i="7"/>
  <c r="K3286" i="7"/>
  <c r="H3286" i="7"/>
  <c r="U3286" i="7" s="1"/>
  <c r="E3286" i="7"/>
  <c r="F3286" i="7" s="1"/>
  <c r="C3286" i="7"/>
  <c r="L3285" i="7"/>
  <c r="K3285" i="7"/>
  <c r="H3285" i="7"/>
  <c r="U3285" i="7" s="1"/>
  <c r="C3285" i="7"/>
  <c r="E3285" i="7" s="1"/>
  <c r="F3285" i="7" s="1"/>
  <c r="L3284" i="7"/>
  <c r="K3284" i="7"/>
  <c r="H3284" i="7"/>
  <c r="U3284" i="7" s="1"/>
  <c r="C3284" i="7"/>
  <c r="E3284" i="7" s="1"/>
  <c r="F3284" i="7" s="1"/>
  <c r="L3283" i="7"/>
  <c r="K3283" i="7"/>
  <c r="H3283" i="7"/>
  <c r="U3283" i="7" s="1"/>
  <c r="C3283" i="7"/>
  <c r="E3283" i="7" s="1"/>
  <c r="F3283" i="7" s="1"/>
  <c r="L3282" i="7"/>
  <c r="K3282" i="7"/>
  <c r="H3282" i="7"/>
  <c r="U3282" i="7" s="1"/>
  <c r="E3282" i="7"/>
  <c r="F3282" i="7" s="1"/>
  <c r="C3282" i="7"/>
  <c r="L3281" i="7"/>
  <c r="K3281" i="7"/>
  <c r="H3281" i="7"/>
  <c r="U3281" i="7" s="1"/>
  <c r="C3281" i="7"/>
  <c r="E3281" i="7" s="1"/>
  <c r="F3281" i="7" s="1"/>
  <c r="L3280" i="7"/>
  <c r="K3280" i="7"/>
  <c r="J3280" i="7"/>
  <c r="H3280" i="7"/>
  <c r="U3280" i="7" s="1"/>
  <c r="C3280" i="7"/>
  <c r="E3280" i="7" s="1"/>
  <c r="F3280" i="7" s="1"/>
  <c r="U3279" i="7"/>
  <c r="L3279" i="7"/>
  <c r="K3279" i="7"/>
  <c r="H3279" i="7"/>
  <c r="C3279" i="7"/>
  <c r="E3279" i="7" s="1"/>
  <c r="F3279" i="7" s="1"/>
  <c r="L3278" i="7"/>
  <c r="K3278" i="7"/>
  <c r="H3278" i="7"/>
  <c r="U3278" i="7" s="1"/>
  <c r="C3278" i="7"/>
  <c r="E3278" i="7" s="1"/>
  <c r="F3278" i="7" s="1"/>
  <c r="U3277" i="7"/>
  <c r="L3277" i="7"/>
  <c r="K3277" i="7"/>
  <c r="H3277" i="7"/>
  <c r="E3277" i="7"/>
  <c r="F3277" i="7" s="1"/>
  <c r="C3277" i="7"/>
  <c r="L3276" i="7"/>
  <c r="K3276" i="7"/>
  <c r="H3276" i="7"/>
  <c r="U3276" i="7" s="1"/>
  <c r="C3276" i="7"/>
  <c r="E3276" i="7" s="1"/>
  <c r="F3276" i="7" s="1"/>
  <c r="L3275" i="7"/>
  <c r="K3275" i="7"/>
  <c r="J3275" i="7"/>
  <c r="H3275" i="7"/>
  <c r="U3275" i="7" s="1"/>
  <c r="F3275" i="7"/>
  <c r="I3275" i="7" s="1"/>
  <c r="C3275" i="7"/>
  <c r="E3275" i="7" s="1"/>
  <c r="L3274" i="7"/>
  <c r="K3274" i="7"/>
  <c r="H3274" i="7"/>
  <c r="U3274" i="7" s="1"/>
  <c r="C3274" i="7"/>
  <c r="E3274" i="7" s="1"/>
  <c r="F3274" i="7" s="1"/>
  <c r="L3273" i="7"/>
  <c r="K3273" i="7"/>
  <c r="H3273" i="7"/>
  <c r="U3273" i="7" s="1"/>
  <c r="E3273" i="7"/>
  <c r="F3273" i="7" s="1"/>
  <c r="C3273" i="7"/>
  <c r="L3272" i="7"/>
  <c r="K3272" i="7"/>
  <c r="H3272" i="7"/>
  <c r="U3272" i="7" s="1"/>
  <c r="C3272" i="7"/>
  <c r="E3272" i="7" s="1"/>
  <c r="F3272" i="7" s="1"/>
  <c r="L3271" i="7"/>
  <c r="K3271" i="7"/>
  <c r="H3271" i="7"/>
  <c r="U3271" i="7" s="1"/>
  <c r="C3271" i="7"/>
  <c r="E3271" i="7" s="1"/>
  <c r="F3271" i="7" s="1"/>
  <c r="L3270" i="7"/>
  <c r="K3270" i="7"/>
  <c r="H3270" i="7"/>
  <c r="U3270" i="7" s="1"/>
  <c r="C3270" i="7"/>
  <c r="E3270" i="7" s="1"/>
  <c r="F3270" i="7" s="1"/>
  <c r="L3269" i="7"/>
  <c r="K3269" i="7"/>
  <c r="H3269" i="7"/>
  <c r="U3269" i="7" s="1"/>
  <c r="E3269" i="7"/>
  <c r="F3269" i="7" s="1"/>
  <c r="C3269" i="7"/>
  <c r="L3268" i="7"/>
  <c r="K3268" i="7"/>
  <c r="H3268" i="7"/>
  <c r="U3268" i="7" s="1"/>
  <c r="C3268" i="7"/>
  <c r="E3268" i="7" s="1"/>
  <c r="F3268" i="7" s="1"/>
  <c r="U3267" i="7"/>
  <c r="L3267" i="7"/>
  <c r="K3267" i="7"/>
  <c r="H3267" i="7"/>
  <c r="C3267" i="7"/>
  <c r="E3267" i="7" s="1"/>
  <c r="F3267" i="7" s="1"/>
  <c r="L3266" i="7"/>
  <c r="K3266" i="7"/>
  <c r="H3266" i="7"/>
  <c r="U3266" i="7" s="1"/>
  <c r="E3266" i="7"/>
  <c r="F3266" i="7" s="1"/>
  <c r="C3266" i="7"/>
  <c r="L3265" i="7"/>
  <c r="K3265" i="7"/>
  <c r="H3265" i="7"/>
  <c r="U3265" i="7" s="1"/>
  <c r="E3265" i="7"/>
  <c r="F3265" i="7" s="1"/>
  <c r="C3265" i="7"/>
  <c r="L3264" i="7"/>
  <c r="K3264" i="7"/>
  <c r="H3264" i="7"/>
  <c r="U3264" i="7" s="1"/>
  <c r="C3264" i="7"/>
  <c r="E3264" i="7" s="1"/>
  <c r="F3264" i="7" s="1"/>
  <c r="L3263" i="7"/>
  <c r="K3263" i="7"/>
  <c r="H3263" i="7"/>
  <c r="U3263" i="7" s="1"/>
  <c r="C3263" i="7"/>
  <c r="E3263" i="7" s="1"/>
  <c r="F3263" i="7" s="1"/>
  <c r="J3263" i="7" s="1"/>
  <c r="L3262" i="7"/>
  <c r="K3262" i="7"/>
  <c r="H3262" i="7"/>
  <c r="U3262" i="7" s="1"/>
  <c r="F3262" i="7"/>
  <c r="E3262" i="7"/>
  <c r="C3262" i="7"/>
  <c r="L3261" i="7"/>
  <c r="K3261" i="7"/>
  <c r="H3261" i="7"/>
  <c r="U3261" i="7" s="1"/>
  <c r="C3261" i="7"/>
  <c r="E3261" i="7" s="1"/>
  <c r="F3261" i="7" s="1"/>
  <c r="L3260" i="7"/>
  <c r="K3260" i="7"/>
  <c r="H3260" i="7"/>
  <c r="U3260" i="7" s="1"/>
  <c r="C3260" i="7"/>
  <c r="E3260" i="7" s="1"/>
  <c r="F3260" i="7" s="1"/>
  <c r="L3259" i="7"/>
  <c r="K3259" i="7"/>
  <c r="H3259" i="7"/>
  <c r="U3259" i="7" s="1"/>
  <c r="C3259" i="7"/>
  <c r="E3259" i="7" s="1"/>
  <c r="F3259" i="7" s="1"/>
  <c r="L3258" i="7"/>
  <c r="K3258" i="7"/>
  <c r="H3258" i="7"/>
  <c r="U3258" i="7" s="1"/>
  <c r="C3258" i="7"/>
  <c r="E3258" i="7" s="1"/>
  <c r="F3258" i="7" s="1"/>
  <c r="L3257" i="7"/>
  <c r="K3257" i="7"/>
  <c r="H3257" i="7"/>
  <c r="U3257" i="7" s="1"/>
  <c r="C3257" i="7"/>
  <c r="E3257" i="7" s="1"/>
  <c r="F3257" i="7" s="1"/>
  <c r="U3256" i="7"/>
  <c r="L3256" i="7"/>
  <c r="K3256" i="7"/>
  <c r="H3256" i="7"/>
  <c r="C3256" i="7"/>
  <c r="E3256" i="7" s="1"/>
  <c r="F3256" i="7" s="1"/>
  <c r="I3256" i="7" s="1"/>
  <c r="L3255" i="7"/>
  <c r="K3255" i="7"/>
  <c r="H3255" i="7"/>
  <c r="U3255" i="7" s="1"/>
  <c r="C3255" i="7"/>
  <c r="E3255" i="7" s="1"/>
  <c r="F3255" i="7" s="1"/>
  <c r="L3254" i="7"/>
  <c r="K3254" i="7"/>
  <c r="H3254" i="7"/>
  <c r="U3254" i="7" s="1"/>
  <c r="C3254" i="7"/>
  <c r="E3254" i="7" s="1"/>
  <c r="F3254" i="7" s="1"/>
  <c r="L3253" i="7"/>
  <c r="K3253" i="7"/>
  <c r="H3253" i="7"/>
  <c r="U3253" i="7" s="1"/>
  <c r="F3253" i="7"/>
  <c r="E3253" i="7"/>
  <c r="C3253" i="7"/>
  <c r="L3252" i="7"/>
  <c r="K3252" i="7"/>
  <c r="J3252" i="7"/>
  <c r="H3252" i="7"/>
  <c r="U3252" i="7" s="1"/>
  <c r="C3252" i="7"/>
  <c r="E3252" i="7" s="1"/>
  <c r="F3252" i="7" s="1"/>
  <c r="L3251" i="7"/>
  <c r="K3251" i="7"/>
  <c r="H3251" i="7"/>
  <c r="U3251" i="7" s="1"/>
  <c r="C3251" i="7"/>
  <c r="E3251" i="7" s="1"/>
  <c r="F3251" i="7" s="1"/>
  <c r="L3250" i="7"/>
  <c r="K3250" i="7"/>
  <c r="H3250" i="7"/>
  <c r="U3250" i="7" s="1"/>
  <c r="C3250" i="7"/>
  <c r="E3250" i="7" s="1"/>
  <c r="F3250" i="7" s="1"/>
  <c r="U3249" i="7"/>
  <c r="L3249" i="7"/>
  <c r="K3249" i="7"/>
  <c r="H3249" i="7"/>
  <c r="E3249" i="7"/>
  <c r="F3249" i="7" s="1"/>
  <c r="C3249" i="7"/>
  <c r="L3248" i="7"/>
  <c r="K3248" i="7"/>
  <c r="H3248" i="7"/>
  <c r="U3248" i="7" s="1"/>
  <c r="C3248" i="7"/>
  <c r="E3248" i="7" s="1"/>
  <c r="F3248" i="7" s="1"/>
  <c r="L3247" i="7"/>
  <c r="K3247" i="7"/>
  <c r="I3247" i="7"/>
  <c r="H3247" i="7"/>
  <c r="U3247" i="7" s="1"/>
  <c r="C3247" i="7"/>
  <c r="E3247" i="7" s="1"/>
  <c r="F3247" i="7" s="1"/>
  <c r="J3247" i="7" s="1"/>
  <c r="L3246" i="7"/>
  <c r="K3246" i="7"/>
  <c r="H3246" i="7"/>
  <c r="U3246" i="7" s="1"/>
  <c r="C3246" i="7"/>
  <c r="E3246" i="7" s="1"/>
  <c r="F3246" i="7" s="1"/>
  <c r="L3245" i="7"/>
  <c r="K3245" i="7"/>
  <c r="H3245" i="7"/>
  <c r="U3245" i="7" s="1"/>
  <c r="C3245" i="7"/>
  <c r="E3245" i="7" s="1"/>
  <c r="F3245" i="7" s="1"/>
  <c r="L3244" i="7"/>
  <c r="K3244" i="7"/>
  <c r="H3244" i="7"/>
  <c r="U3244" i="7" s="1"/>
  <c r="C3244" i="7"/>
  <c r="E3244" i="7" s="1"/>
  <c r="F3244" i="7" s="1"/>
  <c r="L3243" i="7"/>
  <c r="K3243" i="7"/>
  <c r="H3243" i="7"/>
  <c r="U3243" i="7" s="1"/>
  <c r="F3243" i="7"/>
  <c r="C3243" i="7"/>
  <c r="E3243" i="7" s="1"/>
  <c r="L3242" i="7"/>
  <c r="K3242" i="7"/>
  <c r="H3242" i="7"/>
  <c r="U3242" i="7" s="1"/>
  <c r="C3242" i="7"/>
  <c r="E3242" i="7" s="1"/>
  <c r="F3242" i="7" s="1"/>
  <c r="J3242" i="7" s="1"/>
  <c r="L3241" i="7"/>
  <c r="K3241" i="7"/>
  <c r="H3241" i="7"/>
  <c r="U3241" i="7" s="1"/>
  <c r="E3241" i="7"/>
  <c r="F3241" i="7" s="1"/>
  <c r="C3241" i="7"/>
  <c r="L3240" i="7"/>
  <c r="K3240" i="7"/>
  <c r="H3240" i="7"/>
  <c r="U3240" i="7" s="1"/>
  <c r="C3240" i="7"/>
  <c r="E3240" i="7" s="1"/>
  <c r="F3240" i="7" s="1"/>
  <c r="L3239" i="7"/>
  <c r="K3239" i="7"/>
  <c r="H3239" i="7"/>
  <c r="U3239" i="7" s="1"/>
  <c r="C3239" i="7"/>
  <c r="E3239" i="7" s="1"/>
  <c r="F3239" i="7" s="1"/>
  <c r="L3238" i="7"/>
  <c r="K3238" i="7"/>
  <c r="H3238" i="7"/>
  <c r="U3238" i="7" s="1"/>
  <c r="C3238" i="7"/>
  <c r="E3238" i="7" s="1"/>
  <c r="F3238" i="7" s="1"/>
  <c r="L3237" i="7"/>
  <c r="K3237" i="7"/>
  <c r="H3237" i="7"/>
  <c r="U3237" i="7" s="1"/>
  <c r="C3237" i="7"/>
  <c r="E3237" i="7" s="1"/>
  <c r="F3237" i="7" s="1"/>
  <c r="L3236" i="7"/>
  <c r="K3236" i="7"/>
  <c r="H3236" i="7"/>
  <c r="U3236" i="7" s="1"/>
  <c r="C3236" i="7"/>
  <c r="E3236" i="7" s="1"/>
  <c r="F3236" i="7" s="1"/>
  <c r="L3235" i="7"/>
  <c r="K3235" i="7"/>
  <c r="H3235" i="7"/>
  <c r="U3235" i="7" s="1"/>
  <c r="C3235" i="7"/>
  <c r="E3235" i="7" s="1"/>
  <c r="F3235" i="7" s="1"/>
  <c r="L3234" i="7"/>
  <c r="K3234" i="7"/>
  <c r="H3234" i="7"/>
  <c r="U3234" i="7" s="1"/>
  <c r="C3234" i="7"/>
  <c r="E3234" i="7" s="1"/>
  <c r="F3234" i="7" s="1"/>
  <c r="L3233" i="7"/>
  <c r="K3233" i="7"/>
  <c r="H3233" i="7"/>
  <c r="U3233" i="7" s="1"/>
  <c r="C3233" i="7"/>
  <c r="E3233" i="7" s="1"/>
  <c r="F3233" i="7" s="1"/>
  <c r="L3232" i="7"/>
  <c r="K3232" i="7"/>
  <c r="H3232" i="7"/>
  <c r="U3232" i="7" s="1"/>
  <c r="C3232" i="7"/>
  <c r="E3232" i="7" s="1"/>
  <c r="F3232" i="7" s="1"/>
  <c r="L3231" i="7"/>
  <c r="K3231" i="7"/>
  <c r="H3231" i="7"/>
  <c r="U3231" i="7" s="1"/>
  <c r="C3231" i="7"/>
  <c r="E3231" i="7" s="1"/>
  <c r="F3231" i="7" s="1"/>
  <c r="L3230" i="7"/>
  <c r="K3230" i="7"/>
  <c r="H3230" i="7"/>
  <c r="U3230" i="7" s="1"/>
  <c r="C3230" i="7"/>
  <c r="E3230" i="7" s="1"/>
  <c r="F3230" i="7" s="1"/>
  <c r="U3229" i="7"/>
  <c r="L3229" i="7"/>
  <c r="K3229" i="7"/>
  <c r="H3229" i="7"/>
  <c r="C3229" i="7"/>
  <c r="E3229" i="7" s="1"/>
  <c r="F3229" i="7" s="1"/>
  <c r="L3228" i="7"/>
  <c r="K3228" i="7"/>
  <c r="H3228" i="7"/>
  <c r="U3228" i="7" s="1"/>
  <c r="C3228" i="7"/>
  <c r="E3228" i="7" s="1"/>
  <c r="F3228" i="7" s="1"/>
  <c r="L3227" i="7"/>
  <c r="K3227" i="7"/>
  <c r="H3227" i="7"/>
  <c r="U3227" i="7" s="1"/>
  <c r="C3227" i="7"/>
  <c r="E3227" i="7" s="1"/>
  <c r="F3227" i="7" s="1"/>
  <c r="L3226" i="7"/>
  <c r="K3226" i="7"/>
  <c r="H3226" i="7"/>
  <c r="U3226" i="7" s="1"/>
  <c r="F3226" i="7"/>
  <c r="C3226" i="7"/>
  <c r="E3226" i="7" s="1"/>
  <c r="L3225" i="7"/>
  <c r="K3225" i="7"/>
  <c r="H3225" i="7"/>
  <c r="U3225" i="7" s="1"/>
  <c r="C3225" i="7"/>
  <c r="E3225" i="7" s="1"/>
  <c r="F3225" i="7" s="1"/>
  <c r="L3224" i="7"/>
  <c r="K3224" i="7"/>
  <c r="H3224" i="7"/>
  <c r="U3224" i="7" s="1"/>
  <c r="C3224" i="7"/>
  <c r="E3224" i="7" s="1"/>
  <c r="F3224" i="7" s="1"/>
  <c r="L3223" i="7"/>
  <c r="K3223" i="7"/>
  <c r="H3223" i="7"/>
  <c r="U3223" i="7" s="1"/>
  <c r="C3223" i="7"/>
  <c r="E3223" i="7" s="1"/>
  <c r="F3223" i="7" s="1"/>
  <c r="L3222" i="7"/>
  <c r="K3222" i="7"/>
  <c r="H3222" i="7"/>
  <c r="U3222" i="7" s="1"/>
  <c r="C3222" i="7"/>
  <c r="E3222" i="7" s="1"/>
  <c r="F3222" i="7" s="1"/>
  <c r="U3221" i="7"/>
  <c r="L3221" i="7"/>
  <c r="K3221" i="7"/>
  <c r="H3221" i="7"/>
  <c r="C3221" i="7"/>
  <c r="E3221" i="7" s="1"/>
  <c r="F3221" i="7" s="1"/>
  <c r="U3220" i="7"/>
  <c r="L3220" i="7"/>
  <c r="K3220" i="7"/>
  <c r="H3220" i="7"/>
  <c r="C3220" i="7"/>
  <c r="E3220" i="7" s="1"/>
  <c r="F3220" i="7" s="1"/>
  <c r="L3219" i="7"/>
  <c r="K3219" i="7"/>
  <c r="H3219" i="7"/>
  <c r="U3219" i="7" s="1"/>
  <c r="C3219" i="7"/>
  <c r="E3219" i="7" s="1"/>
  <c r="F3219" i="7" s="1"/>
  <c r="I3219" i="7" s="1"/>
  <c r="L3218" i="7"/>
  <c r="K3218" i="7"/>
  <c r="I3218" i="7"/>
  <c r="H3218" i="7"/>
  <c r="U3218" i="7" s="1"/>
  <c r="C3218" i="7"/>
  <c r="E3218" i="7" s="1"/>
  <c r="F3218" i="7" s="1"/>
  <c r="J3218" i="7" s="1"/>
  <c r="L3217" i="7"/>
  <c r="K3217" i="7"/>
  <c r="H3217" i="7"/>
  <c r="U3217" i="7" s="1"/>
  <c r="C3217" i="7"/>
  <c r="E3217" i="7" s="1"/>
  <c r="F3217" i="7" s="1"/>
  <c r="L3216" i="7"/>
  <c r="K3216" i="7"/>
  <c r="H3216" i="7"/>
  <c r="U3216" i="7" s="1"/>
  <c r="C3216" i="7"/>
  <c r="E3216" i="7" s="1"/>
  <c r="F3216" i="7" s="1"/>
  <c r="L3215" i="7"/>
  <c r="K3215" i="7"/>
  <c r="H3215" i="7"/>
  <c r="U3215" i="7" s="1"/>
  <c r="C3215" i="7"/>
  <c r="E3215" i="7" s="1"/>
  <c r="F3215" i="7" s="1"/>
  <c r="L3214" i="7"/>
  <c r="K3214" i="7"/>
  <c r="H3214" i="7"/>
  <c r="U3214" i="7" s="1"/>
  <c r="F3214" i="7"/>
  <c r="I3214" i="7" s="1"/>
  <c r="C3214" i="7"/>
  <c r="E3214" i="7" s="1"/>
  <c r="L3213" i="7"/>
  <c r="K3213" i="7"/>
  <c r="H3213" i="7"/>
  <c r="U3213" i="7" s="1"/>
  <c r="C3213" i="7"/>
  <c r="E3213" i="7" s="1"/>
  <c r="F3213" i="7" s="1"/>
  <c r="L3212" i="7"/>
  <c r="K3212" i="7"/>
  <c r="H3212" i="7"/>
  <c r="U3212" i="7" s="1"/>
  <c r="C3212" i="7"/>
  <c r="E3212" i="7" s="1"/>
  <c r="F3212" i="7" s="1"/>
  <c r="L3211" i="7"/>
  <c r="K3211" i="7"/>
  <c r="H3211" i="7"/>
  <c r="U3211" i="7" s="1"/>
  <c r="C3211" i="7"/>
  <c r="E3211" i="7" s="1"/>
  <c r="F3211" i="7" s="1"/>
  <c r="L3210" i="7"/>
  <c r="K3210" i="7"/>
  <c r="H3210" i="7"/>
  <c r="U3210" i="7" s="1"/>
  <c r="C3210" i="7"/>
  <c r="E3210" i="7" s="1"/>
  <c r="F3210" i="7" s="1"/>
  <c r="U3209" i="7"/>
  <c r="L3209" i="7"/>
  <c r="K3209" i="7"/>
  <c r="H3209" i="7"/>
  <c r="E3209" i="7"/>
  <c r="F3209" i="7" s="1"/>
  <c r="C3209" i="7"/>
  <c r="L3208" i="7"/>
  <c r="K3208" i="7"/>
  <c r="H3208" i="7"/>
  <c r="U3208" i="7" s="1"/>
  <c r="C3208" i="7"/>
  <c r="E3208" i="7" s="1"/>
  <c r="F3208" i="7" s="1"/>
  <c r="U3207" i="7"/>
  <c r="L3207" i="7"/>
  <c r="K3207" i="7"/>
  <c r="J3207" i="7"/>
  <c r="H3207" i="7"/>
  <c r="C3207" i="7"/>
  <c r="E3207" i="7" s="1"/>
  <c r="F3207" i="7" s="1"/>
  <c r="I3207" i="7" s="1"/>
  <c r="L3206" i="7"/>
  <c r="K3206" i="7"/>
  <c r="H3206" i="7"/>
  <c r="U3206" i="7" s="1"/>
  <c r="C3206" i="7"/>
  <c r="E3206" i="7" s="1"/>
  <c r="F3206" i="7" s="1"/>
  <c r="L3205" i="7"/>
  <c r="K3205" i="7"/>
  <c r="H3205" i="7"/>
  <c r="U3205" i="7" s="1"/>
  <c r="C3205" i="7"/>
  <c r="E3205" i="7" s="1"/>
  <c r="F3205" i="7" s="1"/>
  <c r="L3204" i="7"/>
  <c r="K3204" i="7"/>
  <c r="H3204" i="7"/>
  <c r="U3204" i="7" s="1"/>
  <c r="C3204" i="7"/>
  <c r="E3204" i="7" s="1"/>
  <c r="F3204" i="7" s="1"/>
  <c r="J3204" i="7" s="1"/>
  <c r="L3203" i="7"/>
  <c r="K3203" i="7"/>
  <c r="H3203" i="7"/>
  <c r="U3203" i="7" s="1"/>
  <c r="C3203" i="7"/>
  <c r="E3203" i="7" s="1"/>
  <c r="F3203" i="7" s="1"/>
  <c r="L3202" i="7"/>
  <c r="K3202" i="7"/>
  <c r="H3202" i="7"/>
  <c r="U3202" i="7" s="1"/>
  <c r="C3202" i="7"/>
  <c r="E3202" i="7" s="1"/>
  <c r="F3202" i="7" s="1"/>
  <c r="L3201" i="7"/>
  <c r="K3201" i="7"/>
  <c r="H3201" i="7"/>
  <c r="U3201" i="7" s="1"/>
  <c r="E3201" i="7"/>
  <c r="F3201" i="7" s="1"/>
  <c r="C3201" i="7"/>
  <c r="L3200" i="7"/>
  <c r="K3200" i="7"/>
  <c r="H3200" i="7"/>
  <c r="U3200" i="7" s="1"/>
  <c r="C3200" i="7"/>
  <c r="E3200" i="7" s="1"/>
  <c r="F3200" i="7" s="1"/>
  <c r="I3200" i="7" s="1"/>
  <c r="L3199" i="7"/>
  <c r="K3199" i="7"/>
  <c r="H3199" i="7"/>
  <c r="U3199" i="7" s="1"/>
  <c r="C3199" i="7"/>
  <c r="E3199" i="7" s="1"/>
  <c r="F3199" i="7" s="1"/>
  <c r="L3198" i="7"/>
  <c r="K3198" i="7"/>
  <c r="H3198" i="7"/>
  <c r="U3198" i="7" s="1"/>
  <c r="C3198" i="7"/>
  <c r="E3198" i="7" s="1"/>
  <c r="F3198" i="7" s="1"/>
  <c r="L3197" i="7"/>
  <c r="K3197" i="7"/>
  <c r="H3197" i="7"/>
  <c r="U3197" i="7" s="1"/>
  <c r="C3197" i="7"/>
  <c r="E3197" i="7" s="1"/>
  <c r="F3197" i="7" s="1"/>
  <c r="L3196" i="7"/>
  <c r="K3196" i="7"/>
  <c r="H3196" i="7"/>
  <c r="U3196" i="7" s="1"/>
  <c r="C3196" i="7"/>
  <c r="E3196" i="7" s="1"/>
  <c r="F3196" i="7" s="1"/>
  <c r="L3195" i="7"/>
  <c r="K3195" i="7"/>
  <c r="H3195" i="7"/>
  <c r="U3195" i="7" s="1"/>
  <c r="F3195" i="7"/>
  <c r="C3195" i="7"/>
  <c r="E3195" i="7" s="1"/>
  <c r="L3194" i="7"/>
  <c r="K3194" i="7"/>
  <c r="H3194" i="7"/>
  <c r="U3194" i="7" s="1"/>
  <c r="C3194" i="7"/>
  <c r="E3194" i="7" s="1"/>
  <c r="F3194" i="7" s="1"/>
  <c r="U3193" i="7"/>
  <c r="L3193" i="7"/>
  <c r="K3193" i="7"/>
  <c r="H3193" i="7"/>
  <c r="C3193" i="7"/>
  <c r="E3193" i="7" s="1"/>
  <c r="F3193" i="7" s="1"/>
  <c r="L3192" i="7"/>
  <c r="K3192" i="7"/>
  <c r="H3192" i="7"/>
  <c r="U3192" i="7" s="1"/>
  <c r="C3192" i="7"/>
  <c r="E3192" i="7" s="1"/>
  <c r="F3192" i="7" s="1"/>
  <c r="U3191" i="7"/>
  <c r="L3191" i="7"/>
  <c r="K3191" i="7"/>
  <c r="H3191" i="7"/>
  <c r="C3191" i="7"/>
  <c r="E3191" i="7" s="1"/>
  <c r="F3191" i="7" s="1"/>
  <c r="L3190" i="7"/>
  <c r="K3190" i="7"/>
  <c r="H3190" i="7"/>
  <c r="U3190" i="7" s="1"/>
  <c r="C3190" i="7"/>
  <c r="E3190" i="7" s="1"/>
  <c r="F3190" i="7" s="1"/>
  <c r="L3189" i="7"/>
  <c r="K3189" i="7"/>
  <c r="H3189" i="7"/>
  <c r="U3189" i="7" s="1"/>
  <c r="C3189" i="7"/>
  <c r="E3189" i="7" s="1"/>
  <c r="F3189" i="7" s="1"/>
  <c r="L3188" i="7"/>
  <c r="K3188" i="7"/>
  <c r="H3188" i="7"/>
  <c r="U3188" i="7" s="1"/>
  <c r="C3188" i="7"/>
  <c r="E3188" i="7" s="1"/>
  <c r="F3188" i="7" s="1"/>
  <c r="L3187" i="7"/>
  <c r="K3187" i="7"/>
  <c r="H3187" i="7"/>
  <c r="U3187" i="7" s="1"/>
  <c r="C3187" i="7"/>
  <c r="E3187" i="7" s="1"/>
  <c r="F3187" i="7" s="1"/>
  <c r="L3186" i="7"/>
  <c r="K3186" i="7"/>
  <c r="H3186" i="7"/>
  <c r="U3186" i="7" s="1"/>
  <c r="C3186" i="7"/>
  <c r="E3186" i="7" s="1"/>
  <c r="F3186" i="7" s="1"/>
  <c r="L3185" i="7"/>
  <c r="K3185" i="7"/>
  <c r="H3185" i="7"/>
  <c r="U3185" i="7" s="1"/>
  <c r="C3185" i="7"/>
  <c r="E3185" i="7" s="1"/>
  <c r="F3185" i="7" s="1"/>
  <c r="L3184" i="7"/>
  <c r="K3184" i="7"/>
  <c r="H3184" i="7"/>
  <c r="U3184" i="7" s="1"/>
  <c r="C3184" i="7"/>
  <c r="E3184" i="7" s="1"/>
  <c r="F3184" i="7" s="1"/>
  <c r="J3184" i="7" s="1"/>
  <c r="L3183" i="7"/>
  <c r="K3183" i="7"/>
  <c r="H3183" i="7"/>
  <c r="U3183" i="7" s="1"/>
  <c r="C3183" i="7"/>
  <c r="E3183" i="7" s="1"/>
  <c r="F3183" i="7" s="1"/>
  <c r="L3182" i="7"/>
  <c r="K3182" i="7"/>
  <c r="H3182" i="7"/>
  <c r="U3182" i="7" s="1"/>
  <c r="C3182" i="7"/>
  <c r="E3182" i="7" s="1"/>
  <c r="F3182" i="7" s="1"/>
  <c r="L3181" i="7"/>
  <c r="K3181" i="7"/>
  <c r="H3181" i="7"/>
  <c r="U3181" i="7" s="1"/>
  <c r="C3181" i="7"/>
  <c r="E3181" i="7" s="1"/>
  <c r="F3181" i="7" s="1"/>
  <c r="L3180" i="7"/>
  <c r="K3180" i="7"/>
  <c r="J3180" i="7"/>
  <c r="H3180" i="7"/>
  <c r="U3180" i="7" s="1"/>
  <c r="C3180" i="7"/>
  <c r="E3180" i="7" s="1"/>
  <c r="F3180" i="7" s="1"/>
  <c r="L3179" i="7"/>
  <c r="K3179" i="7"/>
  <c r="H3179" i="7"/>
  <c r="U3179" i="7" s="1"/>
  <c r="C3179" i="7"/>
  <c r="E3179" i="7" s="1"/>
  <c r="F3179" i="7" s="1"/>
  <c r="L3178" i="7"/>
  <c r="K3178" i="7"/>
  <c r="H3178" i="7"/>
  <c r="U3178" i="7" s="1"/>
  <c r="C3178" i="7"/>
  <c r="E3178" i="7" s="1"/>
  <c r="F3178" i="7" s="1"/>
  <c r="L3177" i="7"/>
  <c r="K3177" i="7"/>
  <c r="H3177" i="7"/>
  <c r="U3177" i="7" s="1"/>
  <c r="E3177" i="7"/>
  <c r="F3177" i="7" s="1"/>
  <c r="C3177" i="7"/>
  <c r="L3176" i="7"/>
  <c r="K3176" i="7"/>
  <c r="H3176" i="7"/>
  <c r="U3176" i="7" s="1"/>
  <c r="C3176" i="7"/>
  <c r="E3176" i="7" s="1"/>
  <c r="F3176" i="7" s="1"/>
  <c r="L3175" i="7"/>
  <c r="K3175" i="7"/>
  <c r="H3175" i="7"/>
  <c r="U3175" i="7" s="1"/>
  <c r="C3175" i="7"/>
  <c r="E3175" i="7" s="1"/>
  <c r="F3175" i="7" s="1"/>
  <c r="L3174" i="7"/>
  <c r="K3174" i="7"/>
  <c r="H3174" i="7"/>
  <c r="U3174" i="7" s="1"/>
  <c r="C3174" i="7"/>
  <c r="E3174" i="7" s="1"/>
  <c r="F3174" i="7" s="1"/>
  <c r="J3174" i="7" s="1"/>
  <c r="U3173" i="7"/>
  <c r="L3173" i="7"/>
  <c r="K3173" i="7"/>
  <c r="H3173" i="7"/>
  <c r="C3173" i="7"/>
  <c r="E3173" i="7" s="1"/>
  <c r="F3173" i="7" s="1"/>
  <c r="U3172" i="7"/>
  <c r="L3172" i="7"/>
  <c r="K3172" i="7"/>
  <c r="H3172" i="7"/>
  <c r="C3172" i="7"/>
  <c r="E3172" i="7" s="1"/>
  <c r="F3172" i="7" s="1"/>
  <c r="L3171" i="7"/>
  <c r="K3171" i="7"/>
  <c r="H3171" i="7"/>
  <c r="U3171" i="7" s="1"/>
  <c r="F3171" i="7"/>
  <c r="C3171" i="7"/>
  <c r="E3171" i="7" s="1"/>
  <c r="L3170" i="7"/>
  <c r="K3170" i="7"/>
  <c r="I3170" i="7"/>
  <c r="H3170" i="7"/>
  <c r="U3170" i="7" s="1"/>
  <c r="C3170" i="7"/>
  <c r="E3170" i="7" s="1"/>
  <c r="F3170" i="7" s="1"/>
  <c r="L3169" i="7"/>
  <c r="K3169" i="7"/>
  <c r="H3169" i="7"/>
  <c r="U3169" i="7" s="1"/>
  <c r="C3169" i="7"/>
  <c r="E3169" i="7" s="1"/>
  <c r="F3169" i="7" s="1"/>
  <c r="U3168" i="7"/>
  <c r="L3168" i="7"/>
  <c r="K3168" i="7"/>
  <c r="H3168" i="7"/>
  <c r="C3168" i="7"/>
  <c r="E3168" i="7" s="1"/>
  <c r="F3168" i="7" s="1"/>
  <c r="L3167" i="7"/>
  <c r="K3167" i="7"/>
  <c r="H3167" i="7"/>
  <c r="U3167" i="7" s="1"/>
  <c r="F3167" i="7"/>
  <c r="C3167" i="7"/>
  <c r="E3167" i="7" s="1"/>
  <c r="L3166" i="7"/>
  <c r="K3166" i="7"/>
  <c r="H3166" i="7"/>
  <c r="U3166" i="7" s="1"/>
  <c r="F3166" i="7"/>
  <c r="I3166" i="7" s="1"/>
  <c r="C3166" i="7"/>
  <c r="E3166" i="7" s="1"/>
  <c r="L3165" i="7"/>
  <c r="K3165" i="7"/>
  <c r="H3165" i="7"/>
  <c r="U3165" i="7" s="1"/>
  <c r="C3165" i="7"/>
  <c r="E3165" i="7" s="1"/>
  <c r="F3165" i="7" s="1"/>
  <c r="U3164" i="7"/>
  <c r="L3164" i="7"/>
  <c r="K3164" i="7"/>
  <c r="H3164" i="7"/>
  <c r="C3164" i="7"/>
  <c r="E3164" i="7" s="1"/>
  <c r="F3164" i="7" s="1"/>
  <c r="L3163" i="7"/>
  <c r="K3163" i="7"/>
  <c r="H3163" i="7"/>
  <c r="U3163" i="7" s="1"/>
  <c r="C3163" i="7"/>
  <c r="E3163" i="7" s="1"/>
  <c r="F3163" i="7" s="1"/>
  <c r="L3162" i="7"/>
  <c r="K3162" i="7"/>
  <c r="H3162" i="7"/>
  <c r="U3162" i="7" s="1"/>
  <c r="E3162" i="7"/>
  <c r="F3162" i="7" s="1"/>
  <c r="C3162" i="7"/>
  <c r="L3161" i="7"/>
  <c r="K3161" i="7"/>
  <c r="H3161" i="7"/>
  <c r="U3161" i="7" s="1"/>
  <c r="F3161" i="7"/>
  <c r="C3161" i="7"/>
  <c r="E3161" i="7" s="1"/>
  <c r="L3160" i="7"/>
  <c r="K3160" i="7"/>
  <c r="H3160" i="7"/>
  <c r="U3160" i="7" s="1"/>
  <c r="C3160" i="7"/>
  <c r="E3160" i="7" s="1"/>
  <c r="F3160" i="7" s="1"/>
  <c r="I3160" i="7" s="1"/>
  <c r="L3159" i="7"/>
  <c r="K3159" i="7"/>
  <c r="H3159" i="7"/>
  <c r="U3159" i="7" s="1"/>
  <c r="C3159" i="7"/>
  <c r="E3159" i="7" s="1"/>
  <c r="F3159" i="7" s="1"/>
  <c r="L3158" i="7"/>
  <c r="K3158" i="7"/>
  <c r="H3158" i="7"/>
  <c r="U3158" i="7" s="1"/>
  <c r="C3158" i="7"/>
  <c r="E3158" i="7" s="1"/>
  <c r="F3158" i="7" s="1"/>
  <c r="L3157" i="7"/>
  <c r="K3157" i="7"/>
  <c r="H3157" i="7"/>
  <c r="U3157" i="7" s="1"/>
  <c r="C3157" i="7"/>
  <c r="E3157" i="7" s="1"/>
  <c r="F3157" i="7" s="1"/>
  <c r="L3156" i="7"/>
  <c r="K3156" i="7"/>
  <c r="H3156" i="7"/>
  <c r="U3156" i="7" s="1"/>
  <c r="C3156" i="7"/>
  <c r="E3156" i="7" s="1"/>
  <c r="F3156" i="7" s="1"/>
  <c r="L3155" i="7"/>
  <c r="J3155" i="7" s="1"/>
  <c r="K3155" i="7"/>
  <c r="H3155" i="7"/>
  <c r="U3155" i="7" s="1"/>
  <c r="C3155" i="7"/>
  <c r="E3155" i="7" s="1"/>
  <c r="F3155" i="7" s="1"/>
  <c r="L3154" i="7"/>
  <c r="K3154" i="7"/>
  <c r="H3154" i="7"/>
  <c r="U3154" i="7" s="1"/>
  <c r="C3154" i="7"/>
  <c r="E3154" i="7" s="1"/>
  <c r="F3154" i="7" s="1"/>
  <c r="U3153" i="7"/>
  <c r="L3153" i="7"/>
  <c r="K3153" i="7"/>
  <c r="H3153" i="7"/>
  <c r="C3153" i="7"/>
  <c r="E3153" i="7" s="1"/>
  <c r="F3153" i="7" s="1"/>
  <c r="L3152" i="7"/>
  <c r="K3152" i="7"/>
  <c r="H3152" i="7"/>
  <c r="U3152" i="7" s="1"/>
  <c r="C3152" i="7"/>
  <c r="E3152" i="7" s="1"/>
  <c r="F3152" i="7" s="1"/>
  <c r="L3151" i="7"/>
  <c r="K3151" i="7"/>
  <c r="H3151" i="7"/>
  <c r="U3151" i="7" s="1"/>
  <c r="C3151" i="7"/>
  <c r="E3151" i="7" s="1"/>
  <c r="F3151" i="7" s="1"/>
  <c r="I3151" i="7" s="1"/>
  <c r="L3150" i="7"/>
  <c r="K3150" i="7"/>
  <c r="H3150" i="7"/>
  <c r="U3150" i="7" s="1"/>
  <c r="C3150" i="7"/>
  <c r="E3150" i="7" s="1"/>
  <c r="F3150" i="7" s="1"/>
  <c r="L3149" i="7"/>
  <c r="K3149" i="7"/>
  <c r="H3149" i="7"/>
  <c r="U3149" i="7" s="1"/>
  <c r="C3149" i="7"/>
  <c r="E3149" i="7" s="1"/>
  <c r="F3149" i="7" s="1"/>
  <c r="L3148" i="7"/>
  <c r="K3148" i="7"/>
  <c r="H3148" i="7"/>
  <c r="U3148" i="7" s="1"/>
  <c r="C3148" i="7"/>
  <c r="E3148" i="7" s="1"/>
  <c r="F3148" i="7" s="1"/>
  <c r="L3147" i="7"/>
  <c r="K3147" i="7"/>
  <c r="H3147" i="7"/>
  <c r="U3147" i="7" s="1"/>
  <c r="C3147" i="7"/>
  <c r="E3147" i="7" s="1"/>
  <c r="F3147" i="7" s="1"/>
  <c r="L3146" i="7"/>
  <c r="K3146" i="7"/>
  <c r="H3146" i="7"/>
  <c r="U3146" i="7" s="1"/>
  <c r="C3146" i="7"/>
  <c r="E3146" i="7" s="1"/>
  <c r="F3146" i="7" s="1"/>
  <c r="L3145" i="7"/>
  <c r="K3145" i="7"/>
  <c r="H3145" i="7"/>
  <c r="U3145" i="7" s="1"/>
  <c r="C3145" i="7"/>
  <c r="E3145" i="7" s="1"/>
  <c r="F3145" i="7" s="1"/>
  <c r="L3144" i="7"/>
  <c r="K3144" i="7"/>
  <c r="H3144" i="7"/>
  <c r="U3144" i="7" s="1"/>
  <c r="C3144" i="7"/>
  <c r="E3144" i="7" s="1"/>
  <c r="F3144" i="7" s="1"/>
  <c r="L3143" i="7"/>
  <c r="K3143" i="7"/>
  <c r="H3143" i="7"/>
  <c r="U3143" i="7" s="1"/>
  <c r="C3143" i="7"/>
  <c r="E3143" i="7" s="1"/>
  <c r="F3143" i="7" s="1"/>
  <c r="L3142" i="7"/>
  <c r="K3142" i="7"/>
  <c r="J3142" i="7"/>
  <c r="H3142" i="7"/>
  <c r="U3142" i="7" s="1"/>
  <c r="C3142" i="7"/>
  <c r="E3142" i="7" s="1"/>
  <c r="F3142" i="7" s="1"/>
  <c r="I3142" i="7" s="1"/>
  <c r="U3141" i="7"/>
  <c r="L3141" i="7"/>
  <c r="K3141" i="7"/>
  <c r="H3141" i="7"/>
  <c r="C3141" i="7"/>
  <c r="E3141" i="7" s="1"/>
  <c r="F3141" i="7" s="1"/>
  <c r="L3140" i="7"/>
  <c r="K3140" i="7"/>
  <c r="H3140" i="7"/>
  <c r="U3140" i="7" s="1"/>
  <c r="C3140" i="7"/>
  <c r="E3140" i="7" s="1"/>
  <c r="F3140" i="7" s="1"/>
  <c r="L3139" i="7"/>
  <c r="K3139" i="7"/>
  <c r="H3139" i="7"/>
  <c r="U3139" i="7" s="1"/>
  <c r="C3139" i="7"/>
  <c r="E3139" i="7" s="1"/>
  <c r="F3139" i="7" s="1"/>
  <c r="L3138" i="7"/>
  <c r="K3138" i="7"/>
  <c r="H3138" i="7"/>
  <c r="U3138" i="7" s="1"/>
  <c r="C3138" i="7"/>
  <c r="E3138" i="7" s="1"/>
  <c r="F3138" i="7" s="1"/>
  <c r="L3137" i="7"/>
  <c r="K3137" i="7"/>
  <c r="H3137" i="7"/>
  <c r="U3137" i="7" s="1"/>
  <c r="C3137" i="7"/>
  <c r="E3137" i="7" s="1"/>
  <c r="F3137" i="7" s="1"/>
  <c r="U3136" i="7"/>
  <c r="L3136" i="7"/>
  <c r="K3136" i="7"/>
  <c r="H3136" i="7"/>
  <c r="C3136" i="7"/>
  <c r="E3136" i="7" s="1"/>
  <c r="F3136" i="7" s="1"/>
  <c r="U3135" i="7"/>
  <c r="L3135" i="7"/>
  <c r="K3135" i="7"/>
  <c r="H3135" i="7"/>
  <c r="F3135" i="7"/>
  <c r="C3135" i="7"/>
  <c r="E3135" i="7" s="1"/>
  <c r="L3134" i="7"/>
  <c r="K3134" i="7"/>
  <c r="H3134" i="7"/>
  <c r="U3134" i="7" s="1"/>
  <c r="C3134" i="7"/>
  <c r="E3134" i="7" s="1"/>
  <c r="F3134" i="7" s="1"/>
  <c r="U3133" i="7"/>
  <c r="L3133" i="7"/>
  <c r="K3133" i="7"/>
  <c r="H3133" i="7"/>
  <c r="C3133" i="7"/>
  <c r="E3133" i="7" s="1"/>
  <c r="F3133" i="7" s="1"/>
  <c r="L3132" i="7"/>
  <c r="K3132" i="7"/>
  <c r="H3132" i="7"/>
  <c r="U3132" i="7" s="1"/>
  <c r="C3132" i="7"/>
  <c r="E3132" i="7" s="1"/>
  <c r="F3132" i="7" s="1"/>
  <c r="L3131" i="7"/>
  <c r="K3131" i="7"/>
  <c r="H3131" i="7"/>
  <c r="U3131" i="7" s="1"/>
  <c r="C3131" i="7"/>
  <c r="E3131" i="7" s="1"/>
  <c r="F3131" i="7" s="1"/>
  <c r="L3130" i="7"/>
  <c r="K3130" i="7"/>
  <c r="H3130" i="7"/>
  <c r="U3130" i="7" s="1"/>
  <c r="C3130" i="7"/>
  <c r="E3130" i="7" s="1"/>
  <c r="F3130" i="7" s="1"/>
  <c r="L3129" i="7"/>
  <c r="K3129" i="7"/>
  <c r="H3129" i="7"/>
  <c r="U3129" i="7" s="1"/>
  <c r="C3129" i="7"/>
  <c r="E3129" i="7" s="1"/>
  <c r="F3129" i="7" s="1"/>
  <c r="L3128" i="7"/>
  <c r="K3128" i="7"/>
  <c r="H3128" i="7"/>
  <c r="U3128" i="7" s="1"/>
  <c r="C3128" i="7"/>
  <c r="E3128" i="7" s="1"/>
  <c r="F3128" i="7" s="1"/>
  <c r="L3127" i="7"/>
  <c r="I3127" i="7" s="1"/>
  <c r="K3127" i="7"/>
  <c r="H3127" i="7"/>
  <c r="U3127" i="7" s="1"/>
  <c r="C3127" i="7"/>
  <c r="E3127" i="7" s="1"/>
  <c r="F3127" i="7" s="1"/>
  <c r="L3126" i="7"/>
  <c r="K3126" i="7"/>
  <c r="H3126" i="7"/>
  <c r="U3126" i="7" s="1"/>
  <c r="C3126" i="7"/>
  <c r="E3126" i="7" s="1"/>
  <c r="F3126" i="7" s="1"/>
  <c r="L3125" i="7"/>
  <c r="K3125" i="7"/>
  <c r="H3125" i="7"/>
  <c r="U3125" i="7" s="1"/>
  <c r="C3125" i="7"/>
  <c r="E3125" i="7" s="1"/>
  <c r="F3125" i="7" s="1"/>
  <c r="L3124" i="7"/>
  <c r="K3124" i="7"/>
  <c r="H3124" i="7"/>
  <c r="U3124" i="7" s="1"/>
  <c r="C3124" i="7"/>
  <c r="E3124" i="7" s="1"/>
  <c r="F3124" i="7" s="1"/>
  <c r="J3124" i="7" s="1"/>
  <c r="L3123" i="7"/>
  <c r="K3123" i="7"/>
  <c r="H3123" i="7"/>
  <c r="U3123" i="7" s="1"/>
  <c r="C3123" i="7"/>
  <c r="E3123" i="7" s="1"/>
  <c r="F3123" i="7" s="1"/>
  <c r="L3122" i="7"/>
  <c r="K3122" i="7"/>
  <c r="I3122" i="7"/>
  <c r="H3122" i="7"/>
  <c r="U3122" i="7" s="1"/>
  <c r="C3122" i="7"/>
  <c r="E3122" i="7" s="1"/>
  <c r="F3122" i="7" s="1"/>
  <c r="L3121" i="7"/>
  <c r="K3121" i="7"/>
  <c r="H3121" i="7"/>
  <c r="U3121" i="7" s="1"/>
  <c r="C3121" i="7"/>
  <c r="E3121" i="7" s="1"/>
  <c r="F3121" i="7" s="1"/>
  <c r="L3120" i="7"/>
  <c r="K3120" i="7"/>
  <c r="H3120" i="7"/>
  <c r="U3120" i="7" s="1"/>
  <c r="C3120" i="7"/>
  <c r="E3120" i="7" s="1"/>
  <c r="F3120" i="7" s="1"/>
  <c r="J3120" i="7" s="1"/>
  <c r="L3119" i="7"/>
  <c r="K3119" i="7"/>
  <c r="H3119" i="7"/>
  <c r="U3119" i="7" s="1"/>
  <c r="C3119" i="7"/>
  <c r="E3119" i="7" s="1"/>
  <c r="F3119" i="7" s="1"/>
  <c r="I3119" i="7" s="1"/>
  <c r="L3118" i="7"/>
  <c r="K3118" i="7"/>
  <c r="H3118" i="7"/>
  <c r="U3118" i="7" s="1"/>
  <c r="C3118" i="7"/>
  <c r="E3118" i="7" s="1"/>
  <c r="F3118" i="7" s="1"/>
  <c r="L3117" i="7"/>
  <c r="K3117" i="7"/>
  <c r="H3117" i="7"/>
  <c r="U3117" i="7" s="1"/>
  <c r="C3117" i="7"/>
  <c r="E3117" i="7" s="1"/>
  <c r="F3117" i="7" s="1"/>
  <c r="U3116" i="7"/>
  <c r="L3116" i="7"/>
  <c r="K3116" i="7"/>
  <c r="H3116" i="7"/>
  <c r="C3116" i="7"/>
  <c r="E3116" i="7" s="1"/>
  <c r="F3116" i="7" s="1"/>
  <c r="L3115" i="7"/>
  <c r="K3115" i="7"/>
  <c r="H3115" i="7"/>
  <c r="U3115" i="7" s="1"/>
  <c r="C3115" i="7"/>
  <c r="E3115" i="7" s="1"/>
  <c r="F3115" i="7" s="1"/>
  <c r="L3114" i="7"/>
  <c r="K3114" i="7"/>
  <c r="I3114" i="7"/>
  <c r="H3114" i="7"/>
  <c r="U3114" i="7" s="1"/>
  <c r="C3114" i="7"/>
  <c r="E3114" i="7" s="1"/>
  <c r="F3114" i="7" s="1"/>
  <c r="U3113" i="7"/>
  <c r="L3113" i="7"/>
  <c r="K3113" i="7"/>
  <c r="H3113" i="7"/>
  <c r="C3113" i="7"/>
  <c r="E3113" i="7" s="1"/>
  <c r="F3113" i="7" s="1"/>
  <c r="U3112" i="7"/>
  <c r="L3112" i="7"/>
  <c r="K3112" i="7"/>
  <c r="H3112" i="7"/>
  <c r="C3112" i="7"/>
  <c r="E3112" i="7" s="1"/>
  <c r="F3112" i="7" s="1"/>
  <c r="I3112" i="7" s="1"/>
  <c r="L3111" i="7"/>
  <c r="K3111" i="7"/>
  <c r="H3111" i="7"/>
  <c r="U3111" i="7" s="1"/>
  <c r="F3111" i="7"/>
  <c r="C3111" i="7"/>
  <c r="E3111" i="7" s="1"/>
  <c r="L3110" i="7"/>
  <c r="K3110" i="7"/>
  <c r="H3110" i="7"/>
  <c r="U3110" i="7" s="1"/>
  <c r="C3110" i="7"/>
  <c r="E3110" i="7" s="1"/>
  <c r="F3110" i="7" s="1"/>
  <c r="U3109" i="7"/>
  <c r="L3109" i="7"/>
  <c r="K3109" i="7"/>
  <c r="H3109" i="7"/>
  <c r="C3109" i="7"/>
  <c r="E3109" i="7" s="1"/>
  <c r="F3109" i="7" s="1"/>
  <c r="L3108" i="7"/>
  <c r="K3108" i="7"/>
  <c r="H3108" i="7"/>
  <c r="U3108" i="7" s="1"/>
  <c r="C3108" i="7"/>
  <c r="E3108" i="7" s="1"/>
  <c r="F3108" i="7" s="1"/>
  <c r="L3107" i="7"/>
  <c r="K3107" i="7"/>
  <c r="H3107" i="7"/>
  <c r="U3107" i="7" s="1"/>
  <c r="C3107" i="7"/>
  <c r="E3107" i="7" s="1"/>
  <c r="F3107" i="7" s="1"/>
  <c r="L3106" i="7"/>
  <c r="K3106" i="7"/>
  <c r="H3106" i="7"/>
  <c r="U3106" i="7" s="1"/>
  <c r="C3106" i="7"/>
  <c r="E3106" i="7" s="1"/>
  <c r="F3106" i="7" s="1"/>
  <c r="L3105" i="7"/>
  <c r="K3105" i="7"/>
  <c r="H3105" i="7"/>
  <c r="U3105" i="7" s="1"/>
  <c r="C3105" i="7"/>
  <c r="E3105" i="7" s="1"/>
  <c r="F3105" i="7" s="1"/>
  <c r="L3104" i="7"/>
  <c r="K3104" i="7"/>
  <c r="H3104" i="7"/>
  <c r="U3104" i="7" s="1"/>
  <c r="C3104" i="7"/>
  <c r="E3104" i="7" s="1"/>
  <c r="F3104" i="7" s="1"/>
  <c r="L3103" i="7"/>
  <c r="K3103" i="7"/>
  <c r="H3103" i="7"/>
  <c r="U3103" i="7" s="1"/>
  <c r="C3103" i="7"/>
  <c r="E3103" i="7" s="1"/>
  <c r="F3103" i="7" s="1"/>
  <c r="I3103" i="7" s="1"/>
  <c r="L3102" i="7"/>
  <c r="K3102" i="7"/>
  <c r="H3102" i="7"/>
  <c r="U3102" i="7" s="1"/>
  <c r="C3102" i="7"/>
  <c r="E3102" i="7" s="1"/>
  <c r="F3102" i="7" s="1"/>
  <c r="I3102" i="7" s="1"/>
  <c r="L3101" i="7"/>
  <c r="K3101" i="7"/>
  <c r="H3101" i="7"/>
  <c r="U3101" i="7" s="1"/>
  <c r="C3101" i="7"/>
  <c r="E3101" i="7" s="1"/>
  <c r="F3101" i="7" s="1"/>
  <c r="L3100" i="7"/>
  <c r="K3100" i="7"/>
  <c r="H3100" i="7"/>
  <c r="U3100" i="7" s="1"/>
  <c r="C3100" i="7"/>
  <c r="E3100" i="7" s="1"/>
  <c r="F3100" i="7" s="1"/>
  <c r="I3100" i="7" s="1"/>
  <c r="L3099" i="7"/>
  <c r="K3099" i="7"/>
  <c r="H3099" i="7"/>
  <c r="U3099" i="7" s="1"/>
  <c r="F3099" i="7"/>
  <c r="C3099" i="7"/>
  <c r="E3099" i="7" s="1"/>
  <c r="L3098" i="7"/>
  <c r="K3098" i="7"/>
  <c r="H3098" i="7"/>
  <c r="U3098" i="7" s="1"/>
  <c r="C3098" i="7"/>
  <c r="E3098" i="7" s="1"/>
  <c r="F3098" i="7" s="1"/>
  <c r="L3097" i="7"/>
  <c r="K3097" i="7"/>
  <c r="H3097" i="7"/>
  <c r="U3097" i="7" s="1"/>
  <c r="C3097" i="7"/>
  <c r="E3097" i="7" s="1"/>
  <c r="F3097" i="7" s="1"/>
  <c r="U3096" i="7"/>
  <c r="L3096" i="7"/>
  <c r="K3096" i="7"/>
  <c r="H3096" i="7"/>
  <c r="C3096" i="7"/>
  <c r="E3096" i="7" s="1"/>
  <c r="F3096" i="7" s="1"/>
  <c r="U3095" i="7"/>
  <c r="L3095" i="7"/>
  <c r="K3095" i="7"/>
  <c r="I3095" i="7"/>
  <c r="H3095" i="7"/>
  <c r="C3095" i="7"/>
  <c r="E3095" i="7" s="1"/>
  <c r="F3095" i="7" s="1"/>
  <c r="L3094" i="7"/>
  <c r="K3094" i="7"/>
  <c r="H3094" i="7"/>
  <c r="U3094" i="7" s="1"/>
  <c r="C3094" i="7"/>
  <c r="E3094" i="7" s="1"/>
  <c r="F3094" i="7" s="1"/>
  <c r="I3094" i="7" s="1"/>
  <c r="L3093" i="7"/>
  <c r="K3093" i="7"/>
  <c r="H3093" i="7"/>
  <c r="U3093" i="7" s="1"/>
  <c r="C3093" i="7"/>
  <c r="E3093" i="7" s="1"/>
  <c r="F3093" i="7" s="1"/>
  <c r="L3092" i="7"/>
  <c r="K3092" i="7"/>
  <c r="H3092" i="7"/>
  <c r="U3092" i="7" s="1"/>
  <c r="C3092" i="7"/>
  <c r="E3092" i="7" s="1"/>
  <c r="F3092" i="7" s="1"/>
  <c r="L3091" i="7"/>
  <c r="K3091" i="7"/>
  <c r="H3091" i="7"/>
  <c r="U3091" i="7" s="1"/>
  <c r="C3091" i="7"/>
  <c r="E3091" i="7" s="1"/>
  <c r="F3091" i="7" s="1"/>
  <c r="L3090" i="7"/>
  <c r="K3090" i="7"/>
  <c r="H3090" i="7"/>
  <c r="U3090" i="7" s="1"/>
  <c r="C3090" i="7"/>
  <c r="E3090" i="7" s="1"/>
  <c r="F3090" i="7" s="1"/>
  <c r="L3089" i="7"/>
  <c r="K3089" i="7"/>
  <c r="H3089" i="7"/>
  <c r="U3089" i="7" s="1"/>
  <c r="C3089" i="7"/>
  <c r="E3089" i="7" s="1"/>
  <c r="F3089" i="7" s="1"/>
  <c r="U3088" i="7"/>
  <c r="L3088" i="7"/>
  <c r="K3088" i="7"/>
  <c r="H3088" i="7"/>
  <c r="C3088" i="7"/>
  <c r="E3088" i="7" s="1"/>
  <c r="F3088" i="7" s="1"/>
  <c r="L3087" i="7"/>
  <c r="K3087" i="7"/>
  <c r="H3087" i="7"/>
  <c r="U3087" i="7" s="1"/>
  <c r="C3087" i="7"/>
  <c r="E3087" i="7" s="1"/>
  <c r="F3087" i="7" s="1"/>
  <c r="L3086" i="7"/>
  <c r="K3086" i="7"/>
  <c r="H3086" i="7"/>
  <c r="U3086" i="7" s="1"/>
  <c r="C3086" i="7"/>
  <c r="E3086" i="7" s="1"/>
  <c r="F3086" i="7" s="1"/>
  <c r="U3085" i="7"/>
  <c r="L3085" i="7"/>
  <c r="K3085" i="7"/>
  <c r="H3085" i="7"/>
  <c r="C3085" i="7"/>
  <c r="E3085" i="7" s="1"/>
  <c r="F3085" i="7" s="1"/>
  <c r="L3084" i="7"/>
  <c r="K3084" i="7"/>
  <c r="J3084" i="7"/>
  <c r="H3084" i="7"/>
  <c r="U3084" i="7" s="1"/>
  <c r="C3084" i="7"/>
  <c r="E3084" i="7" s="1"/>
  <c r="F3084" i="7" s="1"/>
  <c r="U3083" i="7"/>
  <c r="L3083" i="7"/>
  <c r="K3083" i="7"/>
  <c r="H3083" i="7"/>
  <c r="C3083" i="7"/>
  <c r="E3083" i="7" s="1"/>
  <c r="F3083" i="7" s="1"/>
  <c r="L3082" i="7"/>
  <c r="K3082" i="7"/>
  <c r="H3082" i="7"/>
  <c r="U3082" i="7" s="1"/>
  <c r="C3082" i="7"/>
  <c r="E3082" i="7" s="1"/>
  <c r="F3082" i="7" s="1"/>
  <c r="L3081" i="7"/>
  <c r="K3081" i="7"/>
  <c r="H3081" i="7"/>
  <c r="U3081" i="7" s="1"/>
  <c r="C3081" i="7"/>
  <c r="E3081" i="7" s="1"/>
  <c r="F3081" i="7" s="1"/>
  <c r="L3080" i="7"/>
  <c r="K3080" i="7"/>
  <c r="H3080" i="7"/>
  <c r="U3080" i="7" s="1"/>
  <c r="C3080" i="7"/>
  <c r="E3080" i="7" s="1"/>
  <c r="F3080" i="7" s="1"/>
  <c r="L3079" i="7"/>
  <c r="K3079" i="7"/>
  <c r="H3079" i="7"/>
  <c r="U3079" i="7" s="1"/>
  <c r="C3079" i="7"/>
  <c r="E3079" i="7" s="1"/>
  <c r="F3079" i="7" s="1"/>
  <c r="L3078" i="7"/>
  <c r="K3078" i="7"/>
  <c r="H3078" i="7"/>
  <c r="U3078" i="7" s="1"/>
  <c r="E3078" i="7"/>
  <c r="F3078" i="7" s="1"/>
  <c r="C3078" i="7"/>
  <c r="L3077" i="7"/>
  <c r="K3077" i="7"/>
  <c r="H3077" i="7"/>
  <c r="U3077" i="7" s="1"/>
  <c r="C3077" i="7"/>
  <c r="E3077" i="7" s="1"/>
  <c r="F3077" i="7" s="1"/>
  <c r="L3076" i="7"/>
  <c r="K3076" i="7"/>
  <c r="H3076" i="7"/>
  <c r="U3076" i="7" s="1"/>
  <c r="C3076" i="7"/>
  <c r="E3076" i="7" s="1"/>
  <c r="F3076" i="7" s="1"/>
  <c r="L3075" i="7"/>
  <c r="K3075" i="7"/>
  <c r="H3075" i="7"/>
  <c r="U3075" i="7" s="1"/>
  <c r="C3075" i="7"/>
  <c r="E3075" i="7" s="1"/>
  <c r="F3075" i="7" s="1"/>
  <c r="I3075" i="7" s="1"/>
  <c r="L3074" i="7"/>
  <c r="K3074" i="7"/>
  <c r="H3074" i="7"/>
  <c r="U3074" i="7" s="1"/>
  <c r="C3074" i="7"/>
  <c r="E3074" i="7" s="1"/>
  <c r="F3074" i="7" s="1"/>
  <c r="L3073" i="7"/>
  <c r="K3073" i="7"/>
  <c r="H3073" i="7"/>
  <c r="U3073" i="7" s="1"/>
  <c r="E3073" i="7"/>
  <c r="F3073" i="7" s="1"/>
  <c r="C3073" i="7"/>
  <c r="L3072" i="7"/>
  <c r="J3072" i="7" s="1"/>
  <c r="K3072" i="7"/>
  <c r="H3072" i="7"/>
  <c r="U3072" i="7" s="1"/>
  <c r="C3072" i="7"/>
  <c r="E3072" i="7" s="1"/>
  <c r="F3072" i="7" s="1"/>
  <c r="U3071" i="7"/>
  <c r="L3071" i="7"/>
  <c r="I3071" i="7" s="1"/>
  <c r="K3071" i="7"/>
  <c r="H3071" i="7"/>
  <c r="C3071" i="7"/>
  <c r="E3071" i="7" s="1"/>
  <c r="F3071" i="7" s="1"/>
  <c r="L3070" i="7"/>
  <c r="K3070" i="7"/>
  <c r="H3070" i="7"/>
  <c r="U3070" i="7" s="1"/>
  <c r="C3070" i="7"/>
  <c r="E3070" i="7" s="1"/>
  <c r="F3070" i="7" s="1"/>
  <c r="U3069" i="7"/>
  <c r="L3069" i="7"/>
  <c r="K3069" i="7"/>
  <c r="H3069" i="7"/>
  <c r="C3069" i="7"/>
  <c r="E3069" i="7" s="1"/>
  <c r="F3069" i="7" s="1"/>
  <c r="L3068" i="7"/>
  <c r="K3068" i="7"/>
  <c r="H3068" i="7"/>
  <c r="U3068" i="7" s="1"/>
  <c r="C3068" i="7"/>
  <c r="E3068" i="7" s="1"/>
  <c r="F3068" i="7" s="1"/>
  <c r="L3067" i="7"/>
  <c r="K3067" i="7"/>
  <c r="H3067" i="7"/>
  <c r="U3067" i="7" s="1"/>
  <c r="C3067" i="7"/>
  <c r="E3067" i="7" s="1"/>
  <c r="F3067" i="7" s="1"/>
  <c r="L3066" i="7"/>
  <c r="K3066" i="7"/>
  <c r="H3066" i="7"/>
  <c r="U3066" i="7" s="1"/>
  <c r="C3066" i="7"/>
  <c r="E3066" i="7" s="1"/>
  <c r="F3066" i="7" s="1"/>
  <c r="J3066" i="7" s="1"/>
  <c r="L3065" i="7"/>
  <c r="K3065" i="7"/>
  <c r="H3065" i="7"/>
  <c r="U3065" i="7" s="1"/>
  <c r="E3065" i="7"/>
  <c r="F3065" i="7" s="1"/>
  <c r="C3065" i="7"/>
  <c r="L3064" i="7"/>
  <c r="K3064" i="7"/>
  <c r="H3064" i="7"/>
  <c r="U3064" i="7" s="1"/>
  <c r="C3064" i="7"/>
  <c r="E3064" i="7" s="1"/>
  <c r="F3064" i="7" s="1"/>
  <c r="L3063" i="7"/>
  <c r="K3063" i="7"/>
  <c r="H3063" i="7"/>
  <c r="U3063" i="7" s="1"/>
  <c r="C3063" i="7"/>
  <c r="E3063" i="7" s="1"/>
  <c r="F3063" i="7" s="1"/>
  <c r="L3062" i="7"/>
  <c r="K3062" i="7"/>
  <c r="H3062" i="7"/>
  <c r="U3062" i="7" s="1"/>
  <c r="C3062" i="7"/>
  <c r="E3062" i="7" s="1"/>
  <c r="F3062" i="7" s="1"/>
  <c r="U3061" i="7"/>
  <c r="L3061" i="7"/>
  <c r="K3061" i="7"/>
  <c r="H3061" i="7"/>
  <c r="E3061" i="7"/>
  <c r="F3061" i="7" s="1"/>
  <c r="C3061" i="7"/>
  <c r="L3060" i="7"/>
  <c r="K3060" i="7"/>
  <c r="H3060" i="7"/>
  <c r="U3060" i="7" s="1"/>
  <c r="C3060" i="7"/>
  <c r="E3060" i="7" s="1"/>
  <c r="F3060" i="7" s="1"/>
  <c r="J3060" i="7" s="1"/>
  <c r="L3059" i="7"/>
  <c r="K3059" i="7"/>
  <c r="H3059" i="7"/>
  <c r="U3059" i="7" s="1"/>
  <c r="C3059" i="7"/>
  <c r="E3059" i="7" s="1"/>
  <c r="F3059" i="7" s="1"/>
  <c r="L3058" i="7"/>
  <c r="K3058" i="7"/>
  <c r="H3058" i="7"/>
  <c r="U3058" i="7" s="1"/>
  <c r="F3058" i="7"/>
  <c r="C3058" i="7"/>
  <c r="E3058" i="7" s="1"/>
  <c r="L3057" i="7"/>
  <c r="K3057" i="7"/>
  <c r="H3057" i="7"/>
  <c r="U3057" i="7" s="1"/>
  <c r="C3057" i="7"/>
  <c r="E3057" i="7" s="1"/>
  <c r="F3057" i="7" s="1"/>
  <c r="L3056" i="7"/>
  <c r="K3056" i="7"/>
  <c r="H3056" i="7"/>
  <c r="U3056" i="7" s="1"/>
  <c r="C3056" i="7"/>
  <c r="E3056" i="7" s="1"/>
  <c r="F3056" i="7" s="1"/>
  <c r="L3055" i="7"/>
  <c r="K3055" i="7"/>
  <c r="H3055" i="7"/>
  <c r="U3055" i="7" s="1"/>
  <c r="C3055" i="7"/>
  <c r="E3055" i="7" s="1"/>
  <c r="F3055" i="7" s="1"/>
  <c r="I3055" i="7" s="1"/>
  <c r="L3054" i="7"/>
  <c r="K3054" i="7"/>
  <c r="H3054" i="7"/>
  <c r="U3054" i="7" s="1"/>
  <c r="E3054" i="7"/>
  <c r="F3054" i="7" s="1"/>
  <c r="C3054" i="7"/>
  <c r="U3053" i="7"/>
  <c r="L3053" i="7"/>
  <c r="K3053" i="7"/>
  <c r="H3053" i="7"/>
  <c r="C3053" i="7"/>
  <c r="E3053" i="7" s="1"/>
  <c r="F3053" i="7" s="1"/>
  <c r="L3052" i="7"/>
  <c r="K3052" i="7"/>
  <c r="H3052" i="7"/>
  <c r="U3052" i="7" s="1"/>
  <c r="C3052" i="7"/>
  <c r="E3052" i="7" s="1"/>
  <c r="F3052" i="7" s="1"/>
  <c r="J3052" i="7" s="1"/>
  <c r="L3051" i="7"/>
  <c r="K3051" i="7"/>
  <c r="H3051" i="7"/>
  <c r="U3051" i="7" s="1"/>
  <c r="C3051" i="7"/>
  <c r="E3051" i="7" s="1"/>
  <c r="F3051" i="7" s="1"/>
  <c r="L3050" i="7"/>
  <c r="K3050" i="7"/>
  <c r="I3050" i="7"/>
  <c r="H3050" i="7"/>
  <c r="U3050" i="7" s="1"/>
  <c r="C3050" i="7"/>
  <c r="E3050" i="7" s="1"/>
  <c r="F3050" i="7" s="1"/>
  <c r="L3049" i="7"/>
  <c r="K3049" i="7"/>
  <c r="H3049" i="7"/>
  <c r="U3049" i="7" s="1"/>
  <c r="C3049" i="7"/>
  <c r="E3049" i="7" s="1"/>
  <c r="F3049" i="7" s="1"/>
  <c r="L3048" i="7"/>
  <c r="K3048" i="7"/>
  <c r="H3048" i="7"/>
  <c r="U3048" i="7" s="1"/>
  <c r="C3048" i="7"/>
  <c r="E3048" i="7" s="1"/>
  <c r="F3048" i="7" s="1"/>
  <c r="L3047" i="7"/>
  <c r="K3047" i="7"/>
  <c r="H3047" i="7"/>
  <c r="U3047" i="7" s="1"/>
  <c r="C3047" i="7"/>
  <c r="E3047" i="7" s="1"/>
  <c r="F3047" i="7" s="1"/>
  <c r="L3046" i="7"/>
  <c r="K3046" i="7"/>
  <c r="H3046" i="7"/>
  <c r="U3046" i="7" s="1"/>
  <c r="C3046" i="7"/>
  <c r="E3046" i="7" s="1"/>
  <c r="F3046" i="7" s="1"/>
  <c r="L3045" i="7"/>
  <c r="K3045" i="7"/>
  <c r="H3045" i="7"/>
  <c r="U3045" i="7" s="1"/>
  <c r="C3045" i="7"/>
  <c r="E3045" i="7" s="1"/>
  <c r="F3045" i="7" s="1"/>
  <c r="L3044" i="7"/>
  <c r="K3044" i="7"/>
  <c r="H3044" i="7"/>
  <c r="U3044" i="7" s="1"/>
  <c r="C3044" i="7"/>
  <c r="E3044" i="7" s="1"/>
  <c r="F3044" i="7" s="1"/>
  <c r="L3043" i="7"/>
  <c r="K3043" i="7"/>
  <c r="H3043" i="7"/>
  <c r="U3043" i="7" s="1"/>
  <c r="C3043" i="7"/>
  <c r="E3043" i="7" s="1"/>
  <c r="F3043" i="7" s="1"/>
  <c r="L3042" i="7"/>
  <c r="K3042" i="7"/>
  <c r="H3042" i="7"/>
  <c r="U3042" i="7" s="1"/>
  <c r="C3042" i="7"/>
  <c r="E3042" i="7" s="1"/>
  <c r="F3042" i="7" s="1"/>
  <c r="L3041" i="7"/>
  <c r="K3041" i="7"/>
  <c r="H3041" i="7"/>
  <c r="U3041" i="7" s="1"/>
  <c r="C3041" i="7"/>
  <c r="E3041" i="7" s="1"/>
  <c r="F3041" i="7" s="1"/>
  <c r="U3040" i="7"/>
  <c r="L3040" i="7"/>
  <c r="K3040" i="7"/>
  <c r="H3040" i="7"/>
  <c r="C3040" i="7"/>
  <c r="E3040" i="7" s="1"/>
  <c r="F3040" i="7" s="1"/>
  <c r="L3039" i="7"/>
  <c r="K3039" i="7"/>
  <c r="H3039" i="7"/>
  <c r="U3039" i="7" s="1"/>
  <c r="E3039" i="7"/>
  <c r="F3039" i="7" s="1"/>
  <c r="C3039" i="7"/>
  <c r="L3038" i="7"/>
  <c r="K3038" i="7"/>
  <c r="H3038" i="7"/>
  <c r="U3038" i="7" s="1"/>
  <c r="C3038" i="7"/>
  <c r="E3038" i="7" s="1"/>
  <c r="F3038" i="7" s="1"/>
  <c r="L3037" i="7"/>
  <c r="K3037" i="7"/>
  <c r="H3037" i="7"/>
  <c r="U3037" i="7" s="1"/>
  <c r="C3037" i="7"/>
  <c r="E3037" i="7" s="1"/>
  <c r="F3037" i="7" s="1"/>
  <c r="L3036" i="7"/>
  <c r="K3036" i="7"/>
  <c r="H3036" i="7"/>
  <c r="U3036" i="7" s="1"/>
  <c r="C3036" i="7"/>
  <c r="E3036" i="7" s="1"/>
  <c r="F3036" i="7" s="1"/>
  <c r="L3035" i="7"/>
  <c r="K3035" i="7"/>
  <c r="H3035" i="7"/>
  <c r="U3035" i="7" s="1"/>
  <c r="C3035" i="7"/>
  <c r="E3035" i="7" s="1"/>
  <c r="F3035" i="7" s="1"/>
  <c r="L3034" i="7"/>
  <c r="I3034" i="7" s="1"/>
  <c r="K3034" i="7"/>
  <c r="H3034" i="7"/>
  <c r="U3034" i="7" s="1"/>
  <c r="C3034" i="7"/>
  <c r="E3034" i="7" s="1"/>
  <c r="F3034" i="7" s="1"/>
  <c r="L3033" i="7"/>
  <c r="K3033" i="7"/>
  <c r="H3033" i="7"/>
  <c r="U3033" i="7" s="1"/>
  <c r="C3033" i="7"/>
  <c r="E3033" i="7" s="1"/>
  <c r="F3033" i="7" s="1"/>
  <c r="L3032" i="7"/>
  <c r="K3032" i="7"/>
  <c r="H3032" i="7"/>
  <c r="U3032" i="7" s="1"/>
  <c r="C3032" i="7"/>
  <c r="E3032" i="7" s="1"/>
  <c r="F3032" i="7" s="1"/>
  <c r="L3031" i="7"/>
  <c r="K3031" i="7"/>
  <c r="H3031" i="7"/>
  <c r="U3031" i="7" s="1"/>
  <c r="C3031" i="7"/>
  <c r="E3031" i="7" s="1"/>
  <c r="F3031" i="7" s="1"/>
  <c r="J3031" i="7" s="1"/>
  <c r="L3030" i="7"/>
  <c r="K3030" i="7"/>
  <c r="H3030" i="7"/>
  <c r="U3030" i="7" s="1"/>
  <c r="C3030" i="7"/>
  <c r="E3030" i="7" s="1"/>
  <c r="F3030" i="7" s="1"/>
  <c r="L3029" i="7"/>
  <c r="K3029" i="7"/>
  <c r="H3029" i="7"/>
  <c r="U3029" i="7" s="1"/>
  <c r="C3029" i="7"/>
  <c r="E3029" i="7" s="1"/>
  <c r="F3029" i="7" s="1"/>
  <c r="L3028" i="7"/>
  <c r="K3028" i="7"/>
  <c r="H3028" i="7"/>
  <c r="U3028" i="7" s="1"/>
  <c r="C3028" i="7"/>
  <c r="E3028" i="7" s="1"/>
  <c r="F3028" i="7" s="1"/>
  <c r="L3027" i="7"/>
  <c r="K3027" i="7"/>
  <c r="H3027" i="7"/>
  <c r="U3027" i="7" s="1"/>
  <c r="C3027" i="7"/>
  <c r="E3027" i="7" s="1"/>
  <c r="F3027" i="7" s="1"/>
  <c r="L3026" i="7"/>
  <c r="K3026" i="7"/>
  <c r="H3026" i="7"/>
  <c r="U3026" i="7" s="1"/>
  <c r="C3026" i="7"/>
  <c r="E3026" i="7" s="1"/>
  <c r="F3026" i="7" s="1"/>
  <c r="L3025" i="7"/>
  <c r="K3025" i="7"/>
  <c r="H3025" i="7"/>
  <c r="U3025" i="7" s="1"/>
  <c r="E3025" i="7"/>
  <c r="F3025" i="7" s="1"/>
  <c r="C3025" i="7"/>
  <c r="L3024" i="7"/>
  <c r="K3024" i="7"/>
  <c r="I3024" i="7"/>
  <c r="H3024" i="7"/>
  <c r="U3024" i="7" s="1"/>
  <c r="C3024" i="7"/>
  <c r="E3024" i="7" s="1"/>
  <c r="F3024" i="7" s="1"/>
  <c r="J3024" i="7" s="1"/>
  <c r="L3023" i="7"/>
  <c r="K3023" i="7"/>
  <c r="H3023" i="7"/>
  <c r="U3023" i="7" s="1"/>
  <c r="C3023" i="7"/>
  <c r="E3023" i="7" s="1"/>
  <c r="F3023" i="7" s="1"/>
  <c r="J3023" i="7" s="1"/>
  <c r="L3022" i="7"/>
  <c r="K3022" i="7"/>
  <c r="H3022" i="7"/>
  <c r="U3022" i="7" s="1"/>
  <c r="C3022" i="7"/>
  <c r="E3022" i="7" s="1"/>
  <c r="F3022" i="7" s="1"/>
  <c r="U3021" i="7"/>
  <c r="L3021" i="7"/>
  <c r="K3021" i="7"/>
  <c r="H3021" i="7"/>
  <c r="C3021" i="7"/>
  <c r="E3021" i="7" s="1"/>
  <c r="F3021" i="7" s="1"/>
  <c r="L3020" i="7"/>
  <c r="K3020" i="7"/>
  <c r="H3020" i="7"/>
  <c r="U3020" i="7" s="1"/>
  <c r="C3020" i="7"/>
  <c r="E3020" i="7" s="1"/>
  <c r="F3020" i="7" s="1"/>
  <c r="L3019" i="7"/>
  <c r="K3019" i="7"/>
  <c r="H3019" i="7"/>
  <c r="U3019" i="7" s="1"/>
  <c r="C3019" i="7"/>
  <c r="E3019" i="7" s="1"/>
  <c r="F3019" i="7" s="1"/>
  <c r="L3018" i="7"/>
  <c r="K3018" i="7"/>
  <c r="H3018" i="7"/>
  <c r="U3018" i="7" s="1"/>
  <c r="C3018" i="7"/>
  <c r="E3018" i="7" s="1"/>
  <c r="F3018" i="7" s="1"/>
  <c r="L3017" i="7"/>
  <c r="K3017" i="7"/>
  <c r="H3017" i="7"/>
  <c r="U3017" i="7" s="1"/>
  <c r="C3017" i="7"/>
  <c r="E3017" i="7" s="1"/>
  <c r="F3017" i="7" s="1"/>
  <c r="L3016" i="7"/>
  <c r="K3016" i="7"/>
  <c r="H3016" i="7"/>
  <c r="U3016" i="7" s="1"/>
  <c r="C3016" i="7"/>
  <c r="E3016" i="7" s="1"/>
  <c r="F3016" i="7" s="1"/>
  <c r="L3015" i="7"/>
  <c r="K3015" i="7"/>
  <c r="H3015" i="7"/>
  <c r="U3015" i="7" s="1"/>
  <c r="C3015" i="7"/>
  <c r="E3015" i="7" s="1"/>
  <c r="F3015" i="7" s="1"/>
  <c r="L3014" i="7"/>
  <c r="K3014" i="7"/>
  <c r="H3014" i="7"/>
  <c r="U3014" i="7" s="1"/>
  <c r="F3014" i="7"/>
  <c r="I3014" i="7" s="1"/>
  <c r="C3014" i="7"/>
  <c r="E3014" i="7" s="1"/>
  <c r="L3013" i="7"/>
  <c r="K3013" i="7"/>
  <c r="H3013" i="7"/>
  <c r="U3013" i="7" s="1"/>
  <c r="C3013" i="7"/>
  <c r="E3013" i="7" s="1"/>
  <c r="F3013" i="7" s="1"/>
  <c r="L3012" i="7"/>
  <c r="J3012" i="7" s="1"/>
  <c r="K3012" i="7"/>
  <c r="H3012" i="7"/>
  <c r="U3012" i="7" s="1"/>
  <c r="C3012" i="7"/>
  <c r="E3012" i="7" s="1"/>
  <c r="F3012" i="7" s="1"/>
  <c r="U3011" i="7"/>
  <c r="L3011" i="7"/>
  <c r="K3011" i="7"/>
  <c r="H3011" i="7"/>
  <c r="C3011" i="7"/>
  <c r="E3011" i="7" s="1"/>
  <c r="F3011" i="7" s="1"/>
  <c r="L3010" i="7"/>
  <c r="K3010" i="7"/>
  <c r="H3010" i="7"/>
  <c r="U3010" i="7" s="1"/>
  <c r="C3010" i="7"/>
  <c r="E3010" i="7" s="1"/>
  <c r="F3010" i="7" s="1"/>
  <c r="U3009" i="7"/>
  <c r="L3009" i="7"/>
  <c r="K3009" i="7"/>
  <c r="H3009" i="7"/>
  <c r="E3009" i="7"/>
  <c r="F3009" i="7" s="1"/>
  <c r="C3009" i="7"/>
  <c r="L3008" i="7"/>
  <c r="K3008" i="7"/>
  <c r="H3008" i="7"/>
  <c r="U3008" i="7" s="1"/>
  <c r="C3008" i="7"/>
  <c r="E3008" i="7" s="1"/>
  <c r="F3008" i="7" s="1"/>
  <c r="U3007" i="7"/>
  <c r="L3007" i="7"/>
  <c r="K3007" i="7"/>
  <c r="H3007" i="7"/>
  <c r="E3007" i="7"/>
  <c r="F3007" i="7" s="1"/>
  <c r="C3007" i="7"/>
  <c r="L3006" i="7"/>
  <c r="K3006" i="7"/>
  <c r="H3006" i="7"/>
  <c r="U3006" i="7" s="1"/>
  <c r="C3006" i="7"/>
  <c r="E3006" i="7" s="1"/>
  <c r="F3006" i="7" s="1"/>
  <c r="L3005" i="7"/>
  <c r="K3005" i="7"/>
  <c r="H3005" i="7"/>
  <c r="U3005" i="7" s="1"/>
  <c r="C3005" i="7"/>
  <c r="E3005" i="7" s="1"/>
  <c r="F3005" i="7" s="1"/>
  <c r="L3004" i="7"/>
  <c r="K3004" i="7"/>
  <c r="H3004" i="7"/>
  <c r="U3004" i="7" s="1"/>
  <c r="C3004" i="7"/>
  <c r="E3004" i="7" s="1"/>
  <c r="F3004" i="7" s="1"/>
  <c r="I3004" i="7" s="1"/>
  <c r="L3003" i="7"/>
  <c r="K3003" i="7"/>
  <c r="H3003" i="7"/>
  <c r="U3003" i="7" s="1"/>
  <c r="C3003" i="7"/>
  <c r="E3003" i="7" s="1"/>
  <c r="F3003" i="7" s="1"/>
  <c r="L3002" i="7"/>
  <c r="K3002" i="7"/>
  <c r="H3002" i="7"/>
  <c r="U3002" i="7" s="1"/>
  <c r="F3002" i="7"/>
  <c r="C3002" i="7"/>
  <c r="E3002" i="7" s="1"/>
  <c r="L3001" i="7"/>
  <c r="K3001" i="7"/>
  <c r="H3001" i="7"/>
  <c r="U3001" i="7" s="1"/>
  <c r="C3001" i="7"/>
  <c r="E3001" i="7" s="1"/>
  <c r="F3001" i="7" s="1"/>
  <c r="L3000" i="7"/>
  <c r="K3000" i="7"/>
  <c r="H3000" i="7"/>
  <c r="U3000" i="7" s="1"/>
  <c r="C3000" i="7"/>
  <c r="E3000" i="7" s="1"/>
  <c r="F3000" i="7" s="1"/>
  <c r="L2999" i="7"/>
  <c r="K2999" i="7"/>
  <c r="H2999" i="7"/>
  <c r="U2999" i="7" s="1"/>
  <c r="C2999" i="7"/>
  <c r="E2999" i="7" s="1"/>
  <c r="F2999" i="7" s="1"/>
  <c r="L2998" i="7"/>
  <c r="K2998" i="7"/>
  <c r="H2998" i="7"/>
  <c r="U2998" i="7" s="1"/>
  <c r="C2998" i="7"/>
  <c r="E2998" i="7" s="1"/>
  <c r="F2998" i="7" s="1"/>
  <c r="L2997" i="7"/>
  <c r="K2997" i="7"/>
  <c r="H2997" i="7"/>
  <c r="U2997" i="7" s="1"/>
  <c r="E2997" i="7"/>
  <c r="F2997" i="7" s="1"/>
  <c r="C2997" i="7"/>
  <c r="L2996" i="7"/>
  <c r="K2996" i="7"/>
  <c r="H2996" i="7"/>
  <c r="U2996" i="7" s="1"/>
  <c r="C2996" i="7"/>
  <c r="E2996" i="7" s="1"/>
  <c r="F2996" i="7" s="1"/>
  <c r="L2995" i="7"/>
  <c r="K2995" i="7"/>
  <c r="J2995" i="7"/>
  <c r="H2995" i="7"/>
  <c r="U2995" i="7" s="1"/>
  <c r="C2995" i="7"/>
  <c r="E2995" i="7" s="1"/>
  <c r="F2995" i="7" s="1"/>
  <c r="I2995" i="7" s="1"/>
  <c r="L2994" i="7"/>
  <c r="K2994" i="7"/>
  <c r="H2994" i="7"/>
  <c r="U2994" i="7" s="1"/>
  <c r="C2994" i="7"/>
  <c r="E2994" i="7" s="1"/>
  <c r="F2994" i="7" s="1"/>
  <c r="L2993" i="7"/>
  <c r="K2993" i="7"/>
  <c r="H2993" i="7"/>
  <c r="U2993" i="7" s="1"/>
  <c r="C2993" i="7"/>
  <c r="E2993" i="7" s="1"/>
  <c r="F2993" i="7" s="1"/>
  <c r="L2992" i="7"/>
  <c r="K2992" i="7"/>
  <c r="H2992" i="7"/>
  <c r="U2992" i="7" s="1"/>
  <c r="C2992" i="7"/>
  <c r="E2992" i="7" s="1"/>
  <c r="F2992" i="7" s="1"/>
  <c r="I2992" i="7" s="1"/>
  <c r="L2991" i="7"/>
  <c r="K2991" i="7"/>
  <c r="H2991" i="7"/>
  <c r="U2991" i="7" s="1"/>
  <c r="C2991" i="7"/>
  <c r="E2991" i="7" s="1"/>
  <c r="F2991" i="7" s="1"/>
  <c r="L2990" i="7"/>
  <c r="K2990" i="7"/>
  <c r="H2990" i="7"/>
  <c r="U2990" i="7" s="1"/>
  <c r="C2990" i="7"/>
  <c r="E2990" i="7" s="1"/>
  <c r="F2990" i="7" s="1"/>
  <c r="L2989" i="7"/>
  <c r="K2989" i="7"/>
  <c r="H2989" i="7"/>
  <c r="U2989" i="7" s="1"/>
  <c r="C2989" i="7"/>
  <c r="E2989" i="7" s="1"/>
  <c r="F2989" i="7" s="1"/>
  <c r="L2988" i="7"/>
  <c r="K2988" i="7"/>
  <c r="H2988" i="7"/>
  <c r="U2988" i="7" s="1"/>
  <c r="C2988" i="7"/>
  <c r="E2988" i="7" s="1"/>
  <c r="F2988" i="7" s="1"/>
  <c r="U2987" i="7"/>
  <c r="L2987" i="7"/>
  <c r="K2987" i="7"/>
  <c r="H2987" i="7"/>
  <c r="C2987" i="7"/>
  <c r="E2987" i="7" s="1"/>
  <c r="F2987" i="7" s="1"/>
  <c r="L2986" i="7"/>
  <c r="K2986" i="7"/>
  <c r="H2986" i="7"/>
  <c r="U2986" i="7" s="1"/>
  <c r="C2986" i="7"/>
  <c r="E2986" i="7" s="1"/>
  <c r="F2986" i="7" s="1"/>
  <c r="L2985" i="7"/>
  <c r="K2985" i="7"/>
  <c r="H2985" i="7"/>
  <c r="U2985" i="7" s="1"/>
  <c r="C2985" i="7"/>
  <c r="E2985" i="7" s="1"/>
  <c r="F2985" i="7" s="1"/>
  <c r="L2984" i="7"/>
  <c r="K2984" i="7"/>
  <c r="H2984" i="7"/>
  <c r="U2984" i="7" s="1"/>
  <c r="C2984" i="7"/>
  <c r="E2984" i="7" s="1"/>
  <c r="F2984" i="7" s="1"/>
  <c r="J2984" i="7" s="1"/>
  <c r="L2983" i="7"/>
  <c r="K2983" i="7"/>
  <c r="H2983" i="7"/>
  <c r="U2983" i="7" s="1"/>
  <c r="F2983" i="7"/>
  <c r="C2983" i="7"/>
  <c r="E2983" i="7" s="1"/>
  <c r="L2982" i="7"/>
  <c r="K2982" i="7"/>
  <c r="H2982" i="7"/>
  <c r="U2982" i="7" s="1"/>
  <c r="C2982" i="7"/>
  <c r="E2982" i="7" s="1"/>
  <c r="F2982" i="7" s="1"/>
  <c r="L2981" i="7"/>
  <c r="K2981" i="7"/>
  <c r="H2981" i="7"/>
  <c r="U2981" i="7" s="1"/>
  <c r="C2981" i="7"/>
  <c r="E2981" i="7" s="1"/>
  <c r="F2981" i="7" s="1"/>
  <c r="L2980" i="7"/>
  <c r="K2980" i="7"/>
  <c r="H2980" i="7"/>
  <c r="U2980" i="7" s="1"/>
  <c r="C2980" i="7"/>
  <c r="E2980" i="7" s="1"/>
  <c r="F2980" i="7" s="1"/>
  <c r="L2979" i="7"/>
  <c r="K2979" i="7"/>
  <c r="H2979" i="7"/>
  <c r="U2979" i="7" s="1"/>
  <c r="C2979" i="7"/>
  <c r="E2979" i="7" s="1"/>
  <c r="F2979" i="7" s="1"/>
  <c r="J2979" i="7" s="1"/>
  <c r="L2978" i="7"/>
  <c r="K2978" i="7"/>
  <c r="H2978" i="7"/>
  <c r="U2978" i="7" s="1"/>
  <c r="C2978" i="7"/>
  <c r="E2978" i="7" s="1"/>
  <c r="F2978" i="7" s="1"/>
  <c r="L2977" i="7"/>
  <c r="K2977" i="7"/>
  <c r="H2977" i="7"/>
  <c r="U2977" i="7" s="1"/>
  <c r="C2977" i="7"/>
  <c r="E2977" i="7" s="1"/>
  <c r="F2977" i="7" s="1"/>
  <c r="L2976" i="7"/>
  <c r="K2976" i="7"/>
  <c r="H2976" i="7"/>
  <c r="U2976" i="7" s="1"/>
  <c r="C2976" i="7"/>
  <c r="E2976" i="7" s="1"/>
  <c r="F2976" i="7" s="1"/>
  <c r="J2976" i="7" s="1"/>
  <c r="L2975" i="7"/>
  <c r="K2975" i="7"/>
  <c r="H2975" i="7"/>
  <c r="U2975" i="7" s="1"/>
  <c r="C2975" i="7"/>
  <c r="E2975" i="7" s="1"/>
  <c r="F2975" i="7" s="1"/>
  <c r="L2974" i="7"/>
  <c r="K2974" i="7"/>
  <c r="H2974" i="7"/>
  <c r="U2974" i="7" s="1"/>
  <c r="C2974" i="7"/>
  <c r="E2974" i="7" s="1"/>
  <c r="F2974" i="7" s="1"/>
  <c r="U2973" i="7"/>
  <c r="L2973" i="7"/>
  <c r="K2973" i="7"/>
  <c r="H2973" i="7"/>
  <c r="C2973" i="7"/>
  <c r="E2973" i="7" s="1"/>
  <c r="F2973" i="7" s="1"/>
  <c r="L2972" i="7"/>
  <c r="K2972" i="7"/>
  <c r="H2972" i="7"/>
  <c r="U2972" i="7" s="1"/>
  <c r="C2972" i="7"/>
  <c r="E2972" i="7" s="1"/>
  <c r="F2972" i="7" s="1"/>
  <c r="L2971" i="7"/>
  <c r="K2971" i="7"/>
  <c r="H2971" i="7"/>
  <c r="U2971" i="7" s="1"/>
  <c r="C2971" i="7"/>
  <c r="E2971" i="7" s="1"/>
  <c r="F2971" i="7" s="1"/>
  <c r="L2970" i="7"/>
  <c r="K2970" i="7"/>
  <c r="H2970" i="7"/>
  <c r="U2970" i="7" s="1"/>
  <c r="C2970" i="7"/>
  <c r="E2970" i="7" s="1"/>
  <c r="F2970" i="7" s="1"/>
  <c r="L2969" i="7"/>
  <c r="K2969" i="7"/>
  <c r="H2969" i="7"/>
  <c r="U2969" i="7" s="1"/>
  <c r="E2969" i="7"/>
  <c r="F2969" i="7" s="1"/>
  <c r="C2969" i="7"/>
  <c r="L2968" i="7"/>
  <c r="K2968" i="7"/>
  <c r="H2968" i="7"/>
  <c r="U2968" i="7" s="1"/>
  <c r="C2968" i="7"/>
  <c r="E2968" i="7" s="1"/>
  <c r="F2968" i="7" s="1"/>
  <c r="L2967" i="7"/>
  <c r="K2967" i="7"/>
  <c r="H2967" i="7"/>
  <c r="U2967" i="7" s="1"/>
  <c r="E2967" i="7"/>
  <c r="F2967" i="7" s="1"/>
  <c r="C2967" i="7"/>
  <c r="L2966" i="7"/>
  <c r="K2966" i="7"/>
  <c r="H2966" i="7"/>
  <c r="U2966" i="7" s="1"/>
  <c r="E2966" i="7"/>
  <c r="F2966" i="7" s="1"/>
  <c r="C2966" i="7"/>
  <c r="L2965" i="7"/>
  <c r="K2965" i="7"/>
  <c r="H2965" i="7"/>
  <c r="U2965" i="7" s="1"/>
  <c r="C2965" i="7"/>
  <c r="E2965" i="7" s="1"/>
  <c r="F2965" i="7" s="1"/>
  <c r="L2964" i="7"/>
  <c r="K2964" i="7"/>
  <c r="H2964" i="7"/>
  <c r="U2964" i="7" s="1"/>
  <c r="C2964" i="7"/>
  <c r="E2964" i="7" s="1"/>
  <c r="F2964" i="7" s="1"/>
  <c r="L2963" i="7"/>
  <c r="K2963" i="7"/>
  <c r="H2963" i="7"/>
  <c r="U2963" i="7" s="1"/>
  <c r="C2963" i="7"/>
  <c r="E2963" i="7" s="1"/>
  <c r="F2963" i="7" s="1"/>
  <c r="L2962" i="7"/>
  <c r="K2962" i="7"/>
  <c r="H2962" i="7"/>
  <c r="U2962" i="7" s="1"/>
  <c r="C2962" i="7"/>
  <c r="E2962" i="7" s="1"/>
  <c r="F2962" i="7" s="1"/>
  <c r="L2961" i="7"/>
  <c r="K2961" i="7"/>
  <c r="H2961" i="7"/>
  <c r="U2961" i="7" s="1"/>
  <c r="C2961" i="7"/>
  <c r="E2961" i="7" s="1"/>
  <c r="F2961" i="7" s="1"/>
  <c r="L2960" i="7"/>
  <c r="K2960" i="7"/>
  <c r="H2960" i="7"/>
  <c r="U2960" i="7" s="1"/>
  <c r="C2960" i="7"/>
  <c r="E2960" i="7" s="1"/>
  <c r="F2960" i="7" s="1"/>
  <c r="U2959" i="7"/>
  <c r="L2959" i="7"/>
  <c r="K2959" i="7"/>
  <c r="H2959" i="7"/>
  <c r="E2959" i="7"/>
  <c r="F2959" i="7" s="1"/>
  <c r="C2959" i="7"/>
  <c r="L2958" i="7"/>
  <c r="K2958" i="7"/>
  <c r="H2958" i="7"/>
  <c r="U2958" i="7" s="1"/>
  <c r="C2958" i="7"/>
  <c r="E2958" i="7" s="1"/>
  <c r="F2958" i="7" s="1"/>
  <c r="J2958" i="7" s="1"/>
  <c r="L2957" i="7"/>
  <c r="K2957" i="7"/>
  <c r="H2957" i="7"/>
  <c r="U2957" i="7" s="1"/>
  <c r="C2957" i="7"/>
  <c r="E2957" i="7" s="1"/>
  <c r="F2957" i="7" s="1"/>
  <c r="L2956" i="7"/>
  <c r="K2956" i="7"/>
  <c r="H2956" i="7"/>
  <c r="U2956" i="7" s="1"/>
  <c r="C2956" i="7"/>
  <c r="E2956" i="7" s="1"/>
  <c r="F2956" i="7" s="1"/>
  <c r="J2956" i="7" s="1"/>
  <c r="L2955" i="7"/>
  <c r="K2955" i="7"/>
  <c r="H2955" i="7"/>
  <c r="U2955" i="7" s="1"/>
  <c r="C2955" i="7"/>
  <c r="E2955" i="7" s="1"/>
  <c r="F2955" i="7" s="1"/>
  <c r="L2954" i="7"/>
  <c r="K2954" i="7"/>
  <c r="H2954" i="7"/>
  <c r="U2954" i="7" s="1"/>
  <c r="C2954" i="7"/>
  <c r="E2954" i="7" s="1"/>
  <c r="F2954" i="7" s="1"/>
  <c r="L2953" i="7"/>
  <c r="K2953" i="7"/>
  <c r="H2953" i="7"/>
  <c r="U2953" i="7" s="1"/>
  <c r="E2953" i="7"/>
  <c r="F2953" i="7" s="1"/>
  <c r="C2953" i="7"/>
  <c r="L2952" i="7"/>
  <c r="K2952" i="7"/>
  <c r="H2952" i="7"/>
  <c r="U2952" i="7" s="1"/>
  <c r="C2952" i="7"/>
  <c r="E2952" i="7" s="1"/>
  <c r="F2952" i="7" s="1"/>
  <c r="L2951" i="7"/>
  <c r="J2951" i="7" s="1"/>
  <c r="K2951" i="7"/>
  <c r="H2951" i="7"/>
  <c r="U2951" i="7" s="1"/>
  <c r="C2951" i="7"/>
  <c r="E2951" i="7" s="1"/>
  <c r="F2951" i="7" s="1"/>
  <c r="L2950" i="7"/>
  <c r="K2950" i="7"/>
  <c r="H2950" i="7"/>
  <c r="U2950" i="7" s="1"/>
  <c r="E2950" i="7"/>
  <c r="F2950" i="7" s="1"/>
  <c r="C2950" i="7"/>
  <c r="L2949" i="7"/>
  <c r="K2949" i="7"/>
  <c r="H2949" i="7"/>
  <c r="U2949" i="7" s="1"/>
  <c r="C2949" i="7"/>
  <c r="E2949" i="7" s="1"/>
  <c r="F2949" i="7" s="1"/>
  <c r="L2948" i="7"/>
  <c r="K2948" i="7"/>
  <c r="H2948" i="7"/>
  <c r="U2948" i="7" s="1"/>
  <c r="C2948" i="7"/>
  <c r="E2948" i="7" s="1"/>
  <c r="F2948" i="7" s="1"/>
  <c r="L2947" i="7"/>
  <c r="K2947" i="7"/>
  <c r="H2947" i="7"/>
  <c r="U2947" i="7" s="1"/>
  <c r="C2947" i="7"/>
  <c r="E2947" i="7" s="1"/>
  <c r="F2947" i="7" s="1"/>
  <c r="L2946" i="7"/>
  <c r="K2946" i="7"/>
  <c r="H2946" i="7"/>
  <c r="U2946" i="7" s="1"/>
  <c r="F2946" i="7"/>
  <c r="C2946" i="7"/>
  <c r="E2946" i="7" s="1"/>
  <c r="L2945" i="7"/>
  <c r="K2945" i="7"/>
  <c r="H2945" i="7"/>
  <c r="U2945" i="7" s="1"/>
  <c r="C2945" i="7"/>
  <c r="E2945" i="7" s="1"/>
  <c r="F2945" i="7" s="1"/>
  <c r="U2944" i="7"/>
  <c r="L2944" i="7"/>
  <c r="J2944" i="7" s="1"/>
  <c r="K2944" i="7"/>
  <c r="H2944" i="7"/>
  <c r="C2944" i="7"/>
  <c r="E2944" i="7" s="1"/>
  <c r="F2944" i="7" s="1"/>
  <c r="L2943" i="7"/>
  <c r="K2943" i="7"/>
  <c r="H2943" i="7"/>
  <c r="U2943" i="7" s="1"/>
  <c r="C2943" i="7"/>
  <c r="E2943" i="7" s="1"/>
  <c r="F2943" i="7" s="1"/>
  <c r="L2942" i="7"/>
  <c r="K2942" i="7"/>
  <c r="H2942" i="7"/>
  <c r="U2942" i="7" s="1"/>
  <c r="E2942" i="7"/>
  <c r="F2942" i="7" s="1"/>
  <c r="C2942" i="7"/>
  <c r="U2941" i="7"/>
  <c r="L2941" i="7"/>
  <c r="K2941" i="7"/>
  <c r="H2941" i="7"/>
  <c r="C2941" i="7"/>
  <c r="E2941" i="7" s="1"/>
  <c r="F2941" i="7" s="1"/>
  <c r="L2940" i="7"/>
  <c r="K2940" i="7"/>
  <c r="H2940" i="7"/>
  <c r="U2940" i="7" s="1"/>
  <c r="C2940" i="7"/>
  <c r="E2940" i="7" s="1"/>
  <c r="F2940" i="7" s="1"/>
  <c r="U2939" i="7"/>
  <c r="L2939" i="7"/>
  <c r="I2939" i="7" s="1"/>
  <c r="K2939" i="7"/>
  <c r="H2939" i="7"/>
  <c r="F2939" i="7"/>
  <c r="C2939" i="7"/>
  <c r="E2939" i="7" s="1"/>
  <c r="L2938" i="7"/>
  <c r="K2938" i="7"/>
  <c r="H2938" i="7"/>
  <c r="U2938" i="7" s="1"/>
  <c r="C2938" i="7"/>
  <c r="E2938" i="7" s="1"/>
  <c r="F2938" i="7" s="1"/>
  <c r="L2937" i="7"/>
  <c r="K2937" i="7"/>
  <c r="H2937" i="7"/>
  <c r="U2937" i="7" s="1"/>
  <c r="C2937" i="7"/>
  <c r="E2937" i="7" s="1"/>
  <c r="F2937" i="7" s="1"/>
  <c r="L2936" i="7"/>
  <c r="K2936" i="7"/>
  <c r="H2936" i="7"/>
  <c r="U2936" i="7" s="1"/>
  <c r="C2936" i="7"/>
  <c r="E2936" i="7" s="1"/>
  <c r="F2936" i="7" s="1"/>
  <c r="L2935" i="7"/>
  <c r="K2935" i="7"/>
  <c r="H2935" i="7"/>
  <c r="U2935" i="7" s="1"/>
  <c r="C2935" i="7"/>
  <c r="E2935" i="7" s="1"/>
  <c r="F2935" i="7" s="1"/>
  <c r="L2934" i="7"/>
  <c r="K2934" i="7"/>
  <c r="H2934" i="7"/>
  <c r="U2934" i="7" s="1"/>
  <c r="C2934" i="7"/>
  <c r="E2934" i="7" s="1"/>
  <c r="F2934" i="7" s="1"/>
  <c r="L2933" i="7"/>
  <c r="K2933" i="7"/>
  <c r="H2933" i="7"/>
  <c r="U2933" i="7" s="1"/>
  <c r="C2933" i="7"/>
  <c r="E2933" i="7" s="1"/>
  <c r="F2933" i="7" s="1"/>
  <c r="L2932" i="7"/>
  <c r="K2932" i="7"/>
  <c r="H2932" i="7"/>
  <c r="U2932" i="7" s="1"/>
  <c r="C2932" i="7"/>
  <c r="E2932" i="7" s="1"/>
  <c r="F2932" i="7" s="1"/>
  <c r="L2931" i="7"/>
  <c r="K2931" i="7"/>
  <c r="H2931" i="7"/>
  <c r="U2931" i="7" s="1"/>
  <c r="C2931" i="7"/>
  <c r="E2931" i="7" s="1"/>
  <c r="F2931" i="7" s="1"/>
  <c r="L2930" i="7"/>
  <c r="K2930" i="7"/>
  <c r="H2930" i="7"/>
  <c r="U2930" i="7" s="1"/>
  <c r="C2930" i="7"/>
  <c r="E2930" i="7" s="1"/>
  <c r="F2930" i="7" s="1"/>
  <c r="L2929" i="7"/>
  <c r="K2929" i="7"/>
  <c r="H2929" i="7"/>
  <c r="U2929" i="7" s="1"/>
  <c r="C2929" i="7"/>
  <c r="E2929" i="7" s="1"/>
  <c r="F2929" i="7" s="1"/>
  <c r="L2928" i="7"/>
  <c r="K2928" i="7"/>
  <c r="H2928" i="7"/>
  <c r="U2928" i="7" s="1"/>
  <c r="C2928" i="7"/>
  <c r="E2928" i="7" s="1"/>
  <c r="F2928" i="7" s="1"/>
  <c r="L2927" i="7"/>
  <c r="K2927" i="7"/>
  <c r="H2927" i="7"/>
  <c r="U2927" i="7" s="1"/>
  <c r="C2927" i="7"/>
  <c r="E2927" i="7" s="1"/>
  <c r="F2927" i="7" s="1"/>
  <c r="L2926" i="7"/>
  <c r="K2926" i="7"/>
  <c r="H2926" i="7"/>
  <c r="U2926" i="7" s="1"/>
  <c r="E2926" i="7"/>
  <c r="F2926" i="7" s="1"/>
  <c r="C2926" i="7"/>
  <c r="U2925" i="7"/>
  <c r="L2925" i="7"/>
  <c r="K2925" i="7"/>
  <c r="H2925" i="7"/>
  <c r="C2925" i="7"/>
  <c r="E2925" i="7" s="1"/>
  <c r="F2925" i="7" s="1"/>
  <c r="U2924" i="7"/>
  <c r="L2924" i="7"/>
  <c r="K2924" i="7"/>
  <c r="H2924" i="7"/>
  <c r="C2924" i="7"/>
  <c r="E2924" i="7" s="1"/>
  <c r="F2924" i="7" s="1"/>
  <c r="L2923" i="7"/>
  <c r="K2923" i="7"/>
  <c r="H2923" i="7"/>
  <c r="U2923" i="7" s="1"/>
  <c r="C2923" i="7"/>
  <c r="E2923" i="7" s="1"/>
  <c r="F2923" i="7" s="1"/>
  <c r="L2922" i="7"/>
  <c r="K2922" i="7"/>
  <c r="H2922" i="7"/>
  <c r="U2922" i="7" s="1"/>
  <c r="C2922" i="7"/>
  <c r="E2922" i="7" s="1"/>
  <c r="F2922" i="7" s="1"/>
  <c r="L2921" i="7"/>
  <c r="K2921" i="7"/>
  <c r="H2921" i="7"/>
  <c r="U2921" i="7" s="1"/>
  <c r="C2921" i="7"/>
  <c r="E2921" i="7" s="1"/>
  <c r="F2921" i="7" s="1"/>
  <c r="L2920" i="7"/>
  <c r="K2920" i="7"/>
  <c r="H2920" i="7"/>
  <c r="U2920" i="7" s="1"/>
  <c r="C2920" i="7"/>
  <c r="E2920" i="7" s="1"/>
  <c r="F2920" i="7" s="1"/>
  <c r="L2919" i="7"/>
  <c r="K2919" i="7"/>
  <c r="H2919" i="7"/>
  <c r="U2919" i="7" s="1"/>
  <c r="C2919" i="7"/>
  <c r="E2919" i="7" s="1"/>
  <c r="F2919" i="7" s="1"/>
  <c r="L2918" i="7"/>
  <c r="K2918" i="7"/>
  <c r="H2918" i="7"/>
  <c r="U2918" i="7" s="1"/>
  <c r="C2918" i="7"/>
  <c r="E2918" i="7" s="1"/>
  <c r="F2918" i="7" s="1"/>
  <c r="L2917" i="7"/>
  <c r="K2917" i="7"/>
  <c r="H2917" i="7"/>
  <c r="U2917" i="7" s="1"/>
  <c r="C2917" i="7"/>
  <c r="E2917" i="7" s="1"/>
  <c r="F2917" i="7" s="1"/>
  <c r="L2916" i="7"/>
  <c r="K2916" i="7"/>
  <c r="H2916" i="7"/>
  <c r="U2916" i="7" s="1"/>
  <c r="C2916" i="7"/>
  <c r="E2916" i="7" s="1"/>
  <c r="F2916" i="7" s="1"/>
  <c r="I2916" i="7" s="1"/>
  <c r="L2915" i="7"/>
  <c r="K2915" i="7"/>
  <c r="H2915" i="7"/>
  <c r="U2915" i="7" s="1"/>
  <c r="C2915" i="7"/>
  <c r="E2915" i="7" s="1"/>
  <c r="F2915" i="7" s="1"/>
  <c r="L2914" i="7"/>
  <c r="K2914" i="7"/>
  <c r="H2914" i="7"/>
  <c r="U2914" i="7" s="1"/>
  <c r="C2914" i="7"/>
  <c r="E2914" i="7" s="1"/>
  <c r="F2914" i="7" s="1"/>
  <c r="U2913" i="7"/>
  <c r="L2913" i="7"/>
  <c r="K2913" i="7"/>
  <c r="H2913" i="7"/>
  <c r="E2913" i="7"/>
  <c r="F2913" i="7" s="1"/>
  <c r="C2913" i="7"/>
  <c r="U2912" i="7"/>
  <c r="L2912" i="7"/>
  <c r="K2912" i="7"/>
  <c r="H2912" i="7"/>
  <c r="C2912" i="7"/>
  <c r="E2912" i="7" s="1"/>
  <c r="F2912" i="7" s="1"/>
  <c r="U2911" i="7"/>
  <c r="L2911" i="7"/>
  <c r="K2911" i="7"/>
  <c r="H2911" i="7"/>
  <c r="C2911" i="7"/>
  <c r="E2911" i="7" s="1"/>
  <c r="F2911" i="7" s="1"/>
  <c r="L2910" i="7"/>
  <c r="K2910" i="7"/>
  <c r="H2910" i="7"/>
  <c r="U2910" i="7" s="1"/>
  <c r="E2910" i="7"/>
  <c r="F2910" i="7" s="1"/>
  <c r="C2910" i="7"/>
  <c r="L2909" i="7"/>
  <c r="K2909" i="7"/>
  <c r="H2909" i="7"/>
  <c r="U2909" i="7" s="1"/>
  <c r="C2909" i="7"/>
  <c r="E2909" i="7" s="1"/>
  <c r="F2909" i="7" s="1"/>
  <c r="L2908" i="7"/>
  <c r="K2908" i="7"/>
  <c r="H2908" i="7"/>
  <c r="U2908" i="7" s="1"/>
  <c r="C2908" i="7"/>
  <c r="E2908" i="7" s="1"/>
  <c r="F2908" i="7" s="1"/>
  <c r="L2907" i="7"/>
  <c r="K2907" i="7"/>
  <c r="H2907" i="7"/>
  <c r="U2907" i="7" s="1"/>
  <c r="C2907" i="7"/>
  <c r="E2907" i="7" s="1"/>
  <c r="F2907" i="7" s="1"/>
  <c r="J2907" i="7" s="1"/>
  <c r="L2906" i="7"/>
  <c r="K2906" i="7"/>
  <c r="H2906" i="7"/>
  <c r="U2906" i="7" s="1"/>
  <c r="C2906" i="7"/>
  <c r="E2906" i="7" s="1"/>
  <c r="F2906" i="7" s="1"/>
  <c r="L2905" i="7"/>
  <c r="K2905" i="7"/>
  <c r="H2905" i="7"/>
  <c r="U2905" i="7" s="1"/>
  <c r="C2905" i="7"/>
  <c r="E2905" i="7" s="1"/>
  <c r="F2905" i="7" s="1"/>
  <c r="L2904" i="7"/>
  <c r="J2904" i="7" s="1"/>
  <c r="K2904" i="7"/>
  <c r="I2904" i="7"/>
  <c r="H2904" i="7"/>
  <c r="U2904" i="7" s="1"/>
  <c r="C2904" i="7"/>
  <c r="E2904" i="7" s="1"/>
  <c r="F2904" i="7" s="1"/>
  <c r="L2903" i="7"/>
  <c r="K2903" i="7"/>
  <c r="H2903" i="7"/>
  <c r="U2903" i="7" s="1"/>
  <c r="C2903" i="7"/>
  <c r="E2903" i="7" s="1"/>
  <c r="F2903" i="7" s="1"/>
  <c r="L2902" i="7"/>
  <c r="K2902" i="7"/>
  <c r="H2902" i="7"/>
  <c r="U2902" i="7" s="1"/>
  <c r="E2902" i="7"/>
  <c r="F2902" i="7" s="1"/>
  <c r="C2902" i="7"/>
  <c r="U2901" i="7"/>
  <c r="L2901" i="7"/>
  <c r="K2901" i="7"/>
  <c r="H2901" i="7"/>
  <c r="C2901" i="7"/>
  <c r="E2901" i="7" s="1"/>
  <c r="F2901" i="7" s="1"/>
  <c r="L2900" i="7"/>
  <c r="J2900" i="7" s="1"/>
  <c r="K2900" i="7"/>
  <c r="H2900" i="7"/>
  <c r="U2900" i="7" s="1"/>
  <c r="C2900" i="7"/>
  <c r="E2900" i="7" s="1"/>
  <c r="F2900" i="7" s="1"/>
  <c r="L2899" i="7"/>
  <c r="K2899" i="7"/>
  <c r="H2899" i="7"/>
  <c r="U2899" i="7" s="1"/>
  <c r="F2899" i="7"/>
  <c r="C2899" i="7"/>
  <c r="E2899" i="7" s="1"/>
  <c r="L2898" i="7"/>
  <c r="K2898" i="7"/>
  <c r="H2898" i="7"/>
  <c r="U2898" i="7" s="1"/>
  <c r="E2898" i="7"/>
  <c r="F2898" i="7" s="1"/>
  <c r="J2898" i="7" s="1"/>
  <c r="C2898" i="7"/>
  <c r="L2897" i="7"/>
  <c r="K2897" i="7"/>
  <c r="H2897" i="7"/>
  <c r="U2897" i="7" s="1"/>
  <c r="C2897" i="7"/>
  <c r="E2897" i="7" s="1"/>
  <c r="F2897" i="7" s="1"/>
  <c r="L2896" i="7"/>
  <c r="K2896" i="7"/>
  <c r="H2896" i="7"/>
  <c r="U2896" i="7" s="1"/>
  <c r="C2896" i="7"/>
  <c r="E2896" i="7" s="1"/>
  <c r="F2896" i="7" s="1"/>
  <c r="L2895" i="7"/>
  <c r="K2895" i="7"/>
  <c r="I2895" i="7"/>
  <c r="H2895" i="7"/>
  <c r="U2895" i="7" s="1"/>
  <c r="E2895" i="7"/>
  <c r="F2895" i="7" s="1"/>
  <c r="C2895" i="7"/>
  <c r="L2894" i="7"/>
  <c r="K2894" i="7"/>
  <c r="H2894" i="7"/>
  <c r="U2894" i="7" s="1"/>
  <c r="C2894" i="7"/>
  <c r="E2894" i="7" s="1"/>
  <c r="F2894" i="7" s="1"/>
  <c r="L2893" i="7"/>
  <c r="K2893" i="7"/>
  <c r="H2893" i="7"/>
  <c r="U2893" i="7" s="1"/>
  <c r="C2893" i="7"/>
  <c r="E2893" i="7" s="1"/>
  <c r="F2893" i="7" s="1"/>
  <c r="L2892" i="7"/>
  <c r="K2892" i="7"/>
  <c r="H2892" i="7"/>
  <c r="U2892" i="7" s="1"/>
  <c r="C2892" i="7"/>
  <c r="E2892" i="7" s="1"/>
  <c r="F2892" i="7" s="1"/>
  <c r="L2891" i="7"/>
  <c r="K2891" i="7"/>
  <c r="H2891" i="7"/>
  <c r="U2891" i="7" s="1"/>
  <c r="C2891" i="7"/>
  <c r="E2891" i="7" s="1"/>
  <c r="F2891" i="7" s="1"/>
  <c r="L2890" i="7"/>
  <c r="K2890" i="7"/>
  <c r="H2890" i="7"/>
  <c r="U2890" i="7" s="1"/>
  <c r="C2890" i="7"/>
  <c r="E2890" i="7" s="1"/>
  <c r="F2890" i="7" s="1"/>
  <c r="L2889" i="7"/>
  <c r="K2889" i="7"/>
  <c r="H2889" i="7"/>
  <c r="U2889" i="7" s="1"/>
  <c r="E2889" i="7"/>
  <c r="F2889" i="7" s="1"/>
  <c r="C2889" i="7"/>
  <c r="L2888" i="7"/>
  <c r="K2888" i="7"/>
  <c r="H2888" i="7"/>
  <c r="U2888" i="7" s="1"/>
  <c r="C2888" i="7"/>
  <c r="E2888" i="7" s="1"/>
  <c r="F2888" i="7" s="1"/>
  <c r="L2887" i="7"/>
  <c r="K2887" i="7"/>
  <c r="H2887" i="7"/>
  <c r="U2887" i="7" s="1"/>
  <c r="C2887" i="7"/>
  <c r="E2887" i="7" s="1"/>
  <c r="F2887" i="7" s="1"/>
  <c r="L2886" i="7"/>
  <c r="K2886" i="7"/>
  <c r="H2886" i="7"/>
  <c r="U2886" i="7" s="1"/>
  <c r="C2886" i="7"/>
  <c r="E2886" i="7" s="1"/>
  <c r="F2886" i="7" s="1"/>
  <c r="U2885" i="7"/>
  <c r="L2885" i="7"/>
  <c r="K2885" i="7"/>
  <c r="H2885" i="7"/>
  <c r="C2885" i="7"/>
  <c r="E2885" i="7" s="1"/>
  <c r="F2885" i="7" s="1"/>
  <c r="L2884" i="7"/>
  <c r="K2884" i="7"/>
  <c r="H2884" i="7"/>
  <c r="U2884" i="7" s="1"/>
  <c r="C2884" i="7"/>
  <c r="E2884" i="7" s="1"/>
  <c r="F2884" i="7" s="1"/>
  <c r="L2883" i="7"/>
  <c r="K2883" i="7"/>
  <c r="H2883" i="7"/>
  <c r="U2883" i="7" s="1"/>
  <c r="C2883" i="7"/>
  <c r="E2883" i="7" s="1"/>
  <c r="F2883" i="7" s="1"/>
  <c r="L2882" i="7"/>
  <c r="K2882" i="7"/>
  <c r="H2882" i="7"/>
  <c r="U2882" i="7" s="1"/>
  <c r="C2882" i="7"/>
  <c r="E2882" i="7" s="1"/>
  <c r="F2882" i="7" s="1"/>
  <c r="L2881" i="7"/>
  <c r="K2881" i="7"/>
  <c r="H2881" i="7"/>
  <c r="U2881" i="7" s="1"/>
  <c r="E2881" i="7"/>
  <c r="F2881" i="7" s="1"/>
  <c r="C2881" i="7"/>
  <c r="L2880" i="7"/>
  <c r="K2880" i="7"/>
  <c r="H2880" i="7"/>
  <c r="U2880" i="7" s="1"/>
  <c r="C2880" i="7"/>
  <c r="E2880" i="7" s="1"/>
  <c r="F2880" i="7" s="1"/>
  <c r="L2879" i="7"/>
  <c r="K2879" i="7"/>
  <c r="H2879" i="7"/>
  <c r="U2879" i="7" s="1"/>
  <c r="C2879" i="7"/>
  <c r="E2879" i="7" s="1"/>
  <c r="F2879" i="7" s="1"/>
  <c r="J2879" i="7" s="1"/>
  <c r="L2878" i="7"/>
  <c r="K2878" i="7"/>
  <c r="H2878" i="7"/>
  <c r="U2878" i="7" s="1"/>
  <c r="C2878" i="7"/>
  <c r="E2878" i="7" s="1"/>
  <c r="F2878" i="7" s="1"/>
  <c r="L2877" i="7"/>
  <c r="K2877" i="7"/>
  <c r="H2877" i="7"/>
  <c r="U2877" i="7" s="1"/>
  <c r="F2877" i="7"/>
  <c r="C2877" i="7"/>
  <c r="E2877" i="7" s="1"/>
  <c r="L2876" i="7"/>
  <c r="K2876" i="7"/>
  <c r="H2876" i="7"/>
  <c r="U2876" i="7" s="1"/>
  <c r="C2876" i="7"/>
  <c r="E2876" i="7" s="1"/>
  <c r="F2876" i="7" s="1"/>
  <c r="L2875" i="7"/>
  <c r="K2875" i="7"/>
  <c r="H2875" i="7"/>
  <c r="U2875" i="7" s="1"/>
  <c r="C2875" i="7"/>
  <c r="E2875" i="7" s="1"/>
  <c r="F2875" i="7" s="1"/>
  <c r="L2874" i="7"/>
  <c r="K2874" i="7"/>
  <c r="J2874" i="7"/>
  <c r="H2874" i="7"/>
  <c r="U2874" i="7" s="1"/>
  <c r="C2874" i="7"/>
  <c r="E2874" i="7" s="1"/>
  <c r="F2874" i="7" s="1"/>
  <c r="L2873" i="7"/>
  <c r="K2873" i="7"/>
  <c r="H2873" i="7"/>
  <c r="U2873" i="7" s="1"/>
  <c r="C2873" i="7"/>
  <c r="E2873" i="7" s="1"/>
  <c r="F2873" i="7" s="1"/>
  <c r="L2872" i="7"/>
  <c r="I2872" i="7" s="1"/>
  <c r="K2872" i="7"/>
  <c r="H2872" i="7"/>
  <c r="U2872" i="7" s="1"/>
  <c r="C2872" i="7"/>
  <c r="E2872" i="7" s="1"/>
  <c r="F2872" i="7" s="1"/>
  <c r="L2871" i="7"/>
  <c r="K2871" i="7"/>
  <c r="H2871" i="7"/>
  <c r="U2871" i="7" s="1"/>
  <c r="C2871" i="7"/>
  <c r="E2871" i="7" s="1"/>
  <c r="F2871" i="7" s="1"/>
  <c r="L2870" i="7"/>
  <c r="K2870" i="7"/>
  <c r="H2870" i="7"/>
  <c r="U2870" i="7" s="1"/>
  <c r="C2870" i="7"/>
  <c r="E2870" i="7" s="1"/>
  <c r="F2870" i="7" s="1"/>
  <c r="L2869" i="7"/>
  <c r="K2869" i="7"/>
  <c r="H2869" i="7"/>
  <c r="U2869" i="7" s="1"/>
  <c r="C2869" i="7"/>
  <c r="E2869" i="7" s="1"/>
  <c r="F2869" i="7" s="1"/>
  <c r="L2868" i="7"/>
  <c r="K2868" i="7"/>
  <c r="H2868" i="7"/>
  <c r="U2868" i="7" s="1"/>
  <c r="C2868" i="7"/>
  <c r="E2868" i="7" s="1"/>
  <c r="F2868" i="7" s="1"/>
  <c r="U2867" i="7"/>
  <c r="L2867" i="7"/>
  <c r="K2867" i="7"/>
  <c r="H2867" i="7"/>
  <c r="C2867" i="7"/>
  <c r="E2867" i="7" s="1"/>
  <c r="F2867" i="7" s="1"/>
  <c r="L2866" i="7"/>
  <c r="K2866" i="7"/>
  <c r="H2866" i="7"/>
  <c r="U2866" i="7" s="1"/>
  <c r="C2866" i="7"/>
  <c r="E2866" i="7" s="1"/>
  <c r="F2866" i="7" s="1"/>
  <c r="L2865" i="7"/>
  <c r="K2865" i="7"/>
  <c r="H2865" i="7"/>
  <c r="U2865" i="7" s="1"/>
  <c r="F2865" i="7"/>
  <c r="C2865" i="7"/>
  <c r="E2865" i="7" s="1"/>
  <c r="L2864" i="7"/>
  <c r="K2864" i="7"/>
  <c r="H2864" i="7"/>
  <c r="U2864" i="7" s="1"/>
  <c r="C2864" i="7"/>
  <c r="E2864" i="7" s="1"/>
  <c r="F2864" i="7" s="1"/>
  <c r="L2863" i="7"/>
  <c r="K2863" i="7"/>
  <c r="H2863" i="7"/>
  <c r="U2863" i="7" s="1"/>
  <c r="C2863" i="7"/>
  <c r="E2863" i="7" s="1"/>
  <c r="F2863" i="7" s="1"/>
  <c r="L2862" i="7"/>
  <c r="K2862" i="7"/>
  <c r="H2862" i="7"/>
  <c r="U2862" i="7" s="1"/>
  <c r="C2862" i="7"/>
  <c r="E2862" i="7" s="1"/>
  <c r="F2862" i="7" s="1"/>
  <c r="L2861" i="7"/>
  <c r="K2861" i="7"/>
  <c r="H2861" i="7"/>
  <c r="U2861" i="7" s="1"/>
  <c r="F2861" i="7"/>
  <c r="C2861" i="7"/>
  <c r="E2861" i="7" s="1"/>
  <c r="L2860" i="7"/>
  <c r="K2860" i="7"/>
  <c r="H2860" i="7"/>
  <c r="U2860" i="7" s="1"/>
  <c r="C2860" i="7"/>
  <c r="E2860" i="7" s="1"/>
  <c r="F2860" i="7" s="1"/>
  <c r="L2859" i="7"/>
  <c r="K2859" i="7"/>
  <c r="H2859" i="7"/>
  <c r="U2859" i="7" s="1"/>
  <c r="C2859" i="7"/>
  <c r="E2859" i="7" s="1"/>
  <c r="F2859" i="7" s="1"/>
  <c r="J2859" i="7" s="1"/>
  <c r="L2858" i="7"/>
  <c r="K2858" i="7"/>
  <c r="J2858" i="7"/>
  <c r="H2858" i="7"/>
  <c r="U2858" i="7" s="1"/>
  <c r="E2858" i="7"/>
  <c r="F2858" i="7" s="1"/>
  <c r="C2858" i="7"/>
  <c r="L2857" i="7"/>
  <c r="K2857" i="7"/>
  <c r="H2857" i="7"/>
  <c r="U2857" i="7" s="1"/>
  <c r="C2857" i="7"/>
  <c r="E2857" i="7" s="1"/>
  <c r="F2857" i="7" s="1"/>
  <c r="U2856" i="7"/>
  <c r="L2856" i="7"/>
  <c r="K2856" i="7"/>
  <c r="H2856" i="7"/>
  <c r="C2856" i="7"/>
  <c r="E2856" i="7" s="1"/>
  <c r="F2856" i="7" s="1"/>
  <c r="U2855" i="7"/>
  <c r="L2855" i="7"/>
  <c r="K2855" i="7"/>
  <c r="H2855" i="7"/>
  <c r="E2855" i="7"/>
  <c r="F2855" i="7" s="1"/>
  <c r="C2855" i="7"/>
  <c r="L2854" i="7"/>
  <c r="K2854" i="7"/>
  <c r="H2854" i="7"/>
  <c r="U2854" i="7" s="1"/>
  <c r="C2854" i="7"/>
  <c r="E2854" i="7" s="1"/>
  <c r="F2854" i="7" s="1"/>
  <c r="L2853" i="7"/>
  <c r="K2853" i="7"/>
  <c r="H2853" i="7"/>
  <c r="U2853" i="7" s="1"/>
  <c r="C2853" i="7"/>
  <c r="E2853" i="7" s="1"/>
  <c r="F2853" i="7" s="1"/>
  <c r="L2852" i="7"/>
  <c r="K2852" i="7"/>
  <c r="H2852" i="7"/>
  <c r="U2852" i="7" s="1"/>
  <c r="C2852" i="7"/>
  <c r="E2852" i="7" s="1"/>
  <c r="F2852" i="7" s="1"/>
  <c r="L2851" i="7"/>
  <c r="K2851" i="7"/>
  <c r="H2851" i="7"/>
  <c r="U2851" i="7" s="1"/>
  <c r="F2851" i="7"/>
  <c r="C2851" i="7"/>
  <c r="E2851" i="7" s="1"/>
  <c r="L2850" i="7"/>
  <c r="K2850" i="7"/>
  <c r="H2850" i="7"/>
  <c r="U2850" i="7" s="1"/>
  <c r="C2850" i="7"/>
  <c r="E2850" i="7" s="1"/>
  <c r="F2850" i="7" s="1"/>
  <c r="L2849" i="7"/>
  <c r="K2849" i="7"/>
  <c r="H2849" i="7"/>
  <c r="U2849" i="7" s="1"/>
  <c r="C2849" i="7"/>
  <c r="E2849" i="7" s="1"/>
  <c r="F2849" i="7" s="1"/>
  <c r="L2848" i="7"/>
  <c r="K2848" i="7"/>
  <c r="H2848" i="7"/>
  <c r="U2848" i="7" s="1"/>
  <c r="C2848" i="7"/>
  <c r="E2848" i="7" s="1"/>
  <c r="F2848" i="7" s="1"/>
  <c r="U2847" i="7"/>
  <c r="L2847" i="7"/>
  <c r="K2847" i="7"/>
  <c r="H2847" i="7"/>
  <c r="C2847" i="7"/>
  <c r="E2847" i="7" s="1"/>
  <c r="F2847" i="7" s="1"/>
  <c r="L2846" i="7"/>
  <c r="K2846" i="7"/>
  <c r="H2846" i="7"/>
  <c r="U2846" i="7" s="1"/>
  <c r="C2846" i="7"/>
  <c r="E2846" i="7" s="1"/>
  <c r="F2846" i="7" s="1"/>
  <c r="L2845" i="7"/>
  <c r="K2845" i="7"/>
  <c r="I2845" i="7"/>
  <c r="H2845" i="7"/>
  <c r="U2845" i="7" s="1"/>
  <c r="C2845" i="7"/>
  <c r="E2845" i="7" s="1"/>
  <c r="F2845" i="7" s="1"/>
  <c r="U2844" i="7"/>
  <c r="L2844" i="7"/>
  <c r="K2844" i="7"/>
  <c r="H2844" i="7"/>
  <c r="C2844" i="7"/>
  <c r="E2844" i="7" s="1"/>
  <c r="F2844" i="7" s="1"/>
  <c r="U2843" i="7"/>
  <c r="L2843" i="7"/>
  <c r="K2843" i="7"/>
  <c r="H2843" i="7"/>
  <c r="C2843" i="7"/>
  <c r="E2843" i="7" s="1"/>
  <c r="F2843" i="7" s="1"/>
  <c r="L2842" i="7"/>
  <c r="K2842" i="7"/>
  <c r="H2842" i="7"/>
  <c r="U2842" i="7" s="1"/>
  <c r="C2842" i="7"/>
  <c r="E2842" i="7" s="1"/>
  <c r="F2842" i="7" s="1"/>
  <c r="L2841" i="7"/>
  <c r="K2841" i="7"/>
  <c r="H2841" i="7"/>
  <c r="U2841" i="7" s="1"/>
  <c r="C2841" i="7"/>
  <c r="E2841" i="7" s="1"/>
  <c r="F2841" i="7" s="1"/>
  <c r="L2840" i="7"/>
  <c r="K2840" i="7"/>
  <c r="H2840" i="7"/>
  <c r="U2840" i="7" s="1"/>
  <c r="C2840" i="7"/>
  <c r="E2840" i="7" s="1"/>
  <c r="F2840" i="7" s="1"/>
  <c r="L2839" i="7"/>
  <c r="K2839" i="7"/>
  <c r="H2839" i="7"/>
  <c r="U2839" i="7" s="1"/>
  <c r="C2839" i="7"/>
  <c r="E2839" i="7" s="1"/>
  <c r="F2839" i="7" s="1"/>
  <c r="L2838" i="7"/>
  <c r="K2838" i="7"/>
  <c r="H2838" i="7"/>
  <c r="U2838" i="7" s="1"/>
  <c r="C2838" i="7"/>
  <c r="E2838" i="7" s="1"/>
  <c r="F2838" i="7" s="1"/>
  <c r="L2837" i="7"/>
  <c r="K2837" i="7"/>
  <c r="H2837" i="7"/>
  <c r="U2837" i="7" s="1"/>
  <c r="C2837" i="7"/>
  <c r="E2837" i="7" s="1"/>
  <c r="F2837" i="7" s="1"/>
  <c r="U2836" i="7"/>
  <c r="L2836" i="7"/>
  <c r="K2836" i="7"/>
  <c r="H2836" i="7"/>
  <c r="E2836" i="7"/>
  <c r="F2836" i="7" s="1"/>
  <c r="C2836" i="7"/>
  <c r="L2835" i="7"/>
  <c r="K2835" i="7"/>
  <c r="H2835" i="7"/>
  <c r="U2835" i="7" s="1"/>
  <c r="C2835" i="7"/>
  <c r="E2835" i="7" s="1"/>
  <c r="F2835" i="7" s="1"/>
  <c r="L2834" i="7"/>
  <c r="K2834" i="7"/>
  <c r="H2834" i="7"/>
  <c r="U2834" i="7" s="1"/>
  <c r="C2834" i="7"/>
  <c r="E2834" i="7" s="1"/>
  <c r="F2834" i="7" s="1"/>
  <c r="U2833" i="7"/>
  <c r="L2833" i="7"/>
  <c r="K2833" i="7"/>
  <c r="H2833" i="7"/>
  <c r="C2833" i="7"/>
  <c r="E2833" i="7" s="1"/>
  <c r="F2833" i="7" s="1"/>
  <c r="U2832" i="7"/>
  <c r="L2832" i="7"/>
  <c r="K2832" i="7"/>
  <c r="H2832" i="7"/>
  <c r="C2832" i="7"/>
  <c r="E2832" i="7" s="1"/>
  <c r="F2832" i="7" s="1"/>
  <c r="L2831" i="7"/>
  <c r="K2831" i="7"/>
  <c r="H2831" i="7"/>
  <c r="U2831" i="7" s="1"/>
  <c r="C2831" i="7"/>
  <c r="E2831" i="7" s="1"/>
  <c r="F2831" i="7" s="1"/>
  <c r="L2830" i="7"/>
  <c r="K2830" i="7"/>
  <c r="H2830" i="7"/>
  <c r="U2830" i="7" s="1"/>
  <c r="C2830" i="7"/>
  <c r="E2830" i="7" s="1"/>
  <c r="F2830" i="7" s="1"/>
  <c r="L2829" i="7"/>
  <c r="K2829" i="7"/>
  <c r="H2829" i="7"/>
  <c r="U2829" i="7" s="1"/>
  <c r="C2829" i="7"/>
  <c r="E2829" i="7" s="1"/>
  <c r="F2829" i="7" s="1"/>
  <c r="L2828" i="7"/>
  <c r="K2828" i="7"/>
  <c r="H2828" i="7"/>
  <c r="U2828" i="7" s="1"/>
  <c r="E2828" i="7"/>
  <c r="F2828" i="7" s="1"/>
  <c r="I2828" i="7" s="1"/>
  <c r="C2828" i="7"/>
  <c r="U2827" i="7"/>
  <c r="L2827" i="7"/>
  <c r="K2827" i="7"/>
  <c r="H2827" i="7"/>
  <c r="C2827" i="7"/>
  <c r="E2827" i="7" s="1"/>
  <c r="F2827" i="7" s="1"/>
  <c r="L2826" i="7"/>
  <c r="K2826" i="7"/>
  <c r="H2826" i="7"/>
  <c r="U2826" i="7" s="1"/>
  <c r="C2826" i="7"/>
  <c r="E2826" i="7" s="1"/>
  <c r="F2826" i="7" s="1"/>
  <c r="L2825" i="7"/>
  <c r="K2825" i="7"/>
  <c r="H2825" i="7"/>
  <c r="U2825" i="7" s="1"/>
  <c r="C2825" i="7"/>
  <c r="E2825" i="7" s="1"/>
  <c r="F2825" i="7" s="1"/>
  <c r="U2824" i="7"/>
  <c r="L2824" i="7"/>
  <c r="K2824" i="7"/>
  <c r="H2824" i="7"/>
  <c r="C2824" i="7"/>
  <c r="E2824" i="7" s="1"/>
  <c r="F2824" i="7" s="1"/>
  <c r="J2824" i="7" s="1"/>
  <c r="L2823" i="7"/>
  <c r="K2823" i="7"/>
  <c r="H2823" i="7"/>
  <c r="U2823" i="7" s="1"/>
  <c r="C2823" i="7"/>
  <c r="E2823" i="7" s="1"/>
  <c r="F2823" i="7" s="1"/>
  <c r="L2822" i="7"/>
  <c r="K2822" i="7"/>
  <c r="H2822" i="7"/>
  <c r="U2822" i="7" s="1"/>
  <c r="C2822" i="7"/>
  <c r="E2822" i="7" s="1"/>
  <c r="F2822" i="7" s="1"/>
  <c r="L2821" i="7"/>
  <c r="K2821" i="7"/>
  <c r="H2821" i="7"/>
  <c r="U2821" i="7" s="1"/>
  <c r="C2821" i="7"/>
  <c r="E2821" i="7" s="1"/>
  <c r="F2821" i="7" s="1"/>
  <c r="L2820" i="7"/>
  <c r="K2820" i="7"/>
  <c r="H2820" i="7"/>
  <c r="U2820" i="7" s="1"/>
  <c r="C2820" i="7"/>
  <c r="E2820" i="7" s="1"/>
  <c r="F2820" i="7" s="1"/>
  <c r="U2819" i="7"/>
  <c r="L2819" i="7"/>
  <c r="K2819" i="7"/>
  <c r="H2819" i="7"/>
  <c r="C2819" i="7"/>
  <c r="E2819" i="7" s="1"/>
  <c r="F2819" i="7" s="1"/>
  <c r="L2818" i="7"/>
  <c r="K2818" i="7"/>
  <c r="H2818" i="7"/>
  <c r="U2818" i="7" s="1"/>
  <c r="C2818" i="7"/>
  <c r="E2818" i="7" s="1"/>
  <c r="F2818" i="7" s="1"/>
  <c r="L2817" i="7"/>
  <c r="K2817" i="7"/>
  <c r="H2817" i="7"/>
  <c r="U2817" i="7" s="1"/>
  <c r="C2817" i="7"/>
  <c r="E2817" i="7" s="1"/>
  <c r="F2817" i="7" s="1"/>
  <c r="J2817" i="7" s="1"/>
  <c r="L2816" i="7"/>
  <c r="K2816" i="7"/>
  <c r="H2816" i="7"/>
  <c r="U2816" i="7" s="1"/>
  <c r="C2816" i="7"/>
  <c r="E2816" i="7" s="1"/>
  <c r="F2816" i="7" s="1"/>
  <c r="U2815" i="7"/>
  <c r="L2815" i="7"/>
  <c r="K2815" i="7"/>
  <c r="H2815" i="7"/>
  <c r="C2815" i="7"/>
  <c r="E2815" i="7" s="1"/>
  <c r="F2815" i="7" s="1"/>
  <c r="L2814" i="7"/>
  <c r="K2814" i="7"/>
  <c r="H2814" i="7"/>
  <c r="U2814" i="7" s="1"/>
  <c r="C2814" i="7"/>
  <c r="E2814" i="7" s="1"/>
  <c r="F2814" i="7" s="1"/>
  <c r="L2813" i="7"/>
  <c r="K2813" i="7"/>
  <c r="H2813" i="7"/>
  <c r="U2813" i="7" s="1"/>
  <c r="E2813" i="7"/>
  <c r="F2813" i="7" s="1"/>
  <c r="C2813" i="7"/>
  <c r="L2812" i="7"/>
  <c r="K2812" i="7"/>
  <c r="H2812" i="7"/>
  <c r="U2812" i="7" s="1"/>
  <c r="C2812" i="7"/>
  <c r="E2812" i="7" s="1"/>
  <c r="F2812" i="7" s="1"/>
  <c r="U2811" i="7"/>
  <c r="L2811" i="7"/>
  <c r="K2811" i="7"/>
  <c r="H2811" i="7"/>
  <c r="C2811" i="7"/>
  <c r="E2811" i="7" s="1"/>
  <c r="F2811" i="7" s="1"/>
  <c r="L2810" i="7"/>
  <c r="K2810" i="7"/>
  <c r="H2810" i="7"/>
  <c r="U2810" i="7" s="1"/>
  <c r="C2810" i="7"/>
  <c r="E2810" i="7" s="1"/>
  <c r="F2810" i="7" s="1"/>
  <c r="L2809" i="7"/>
  <c r="K2809" i="7"/>
  <c r="H2809" i="7"/>
  <c r="U2809" i="7" s="1"/>
  <c r="C2809" i="7"/>
  <c r="E2809" i="7" s="1"/>
  <c r="F2809" i="7" s="1"/>
  <c r="U2808" i="7"/>
  <c r="L2808" i="7"/>
  <c r="K2808" i="7"/>
  <c r="H2808" i="7"/>
  <c r="C2808" i="7"/>
  <c r="E2808" i="7" s="1"/>
  <c r="F2808" i="7" s="1"/>
  <c r="L2807" i="7"/>
  <c r="K2807" i="7"/>
  <c r="H2807" i="7"/>
  <c r="U2807" i="7" s="1"/>
  <c r="C2807" i="7"/>
  <c r="E2807" i="7" s="1"/>
  <c r="F2807" i="7" s="1"/>
  <c r="L2806" i="7"/>
  <c r="K2806" i="7"/>
  <c r="H2806" i="7"/>
  <c r="U2806" i="7" s="1"/>
  <c r="E2806" i="7"/>
  <c r="F2806" i="7" s="1"/>
  <c r="C2806" i="7"/>
  <c r="L2805" i="7"/>
  <c r="K2805" i="7"/>
  <c r="H2805" i="7"/>
  <c r="U2805" i="7" s="1"/>
  <c r="C2805" i="7"/>
  <c r="E2805" i="7" s="1"/>
  <c r="F2805" i="7" s="1"/>
  <c r="L2804" i="7"/>
  <c r="K2804" i="7"/>
  <c r="H2804" i="7"/>
  <c r="U2804" i="7" s="1"/>
  <c r="C2804" i="7"/>
  <c r="E2804" i="7" s="1"/>
  <c r="F2804" i="7" s="1"/>
  <c r="U2803" i="7"/>
  <c r="L2803" i="7"/>
  <c r="K2803" i="7"/>
  <c r="H2803" i="7"/>
  <c r="C2803" i="7"/>
  <c r="E2803" i="7" s="1"/>
  <c r="F2803" i="7" s="1"/>
  <c r="L2802" i="7"/>
  <c r="K2802" i="7"/>
  <c r="H2802" i="7"/>
  <c r="U2802" i="7" s="1"/>
  <c r="C2802" i="7"/>
  <c r="E2802" i="7" s="1"/>
  <c r="F2802" i="7" s="1"/>
  <c r="L2801" i="7"/>
  <c r="K2801" i="7"/>
  <c r="H2801" i="7"/>
  <c r="U2801" i="7" s="1"/>
  <c r="F2801" i="7"/>
  <c r="I2801" i="7" s="1"/>
  <c r="C2801" i="7"/>
  <c r="E2801" i="7" s="1"/>
  <c r="L2800" i="7"/>
  <c r="K2800" i="7"/>
  <c r="H2800" i="7"/>
  <c r="U2800" i="7" s="1"/>
  <c r="C2800" i="7"/>
  <c r="E2800" i="7" s="1"/>
  <c r="F2800" i="7" s="1"/>
  <c r="L2799" i="7"/>
  <c r="K2799" i="7"/>
  <c r="H2799" i="7"/>
  <c r="U2799" i="7" s="1"/>
  <c r="E2799" i="7"/>
  <c r="F2799" i="7" s="1"/>
  <c r="J2799" i="7" s="1"/>
  <c r="C2799" i="7"/>
  <c r="L2798" i="7"/>
  <c r="K2798" i="7"/>
  <c r="H2798" i="7"/>
  <c r="U2798" i="7" s="1"/>
  <c r="C2798" i="7"/>
  <c r="E2798" i="7" s="1"/>
  <c r="F2798" i="7" s="1"/>
  <c r="L2797" i="7"/>
  <c r="K2797" i="7"/>
  <c r="H2797" i="7"/>
  <c r="U2797" i="7" s="1"/>
  <c r="C2797" i="7"/>
  <c r="E2797" i="7" s="1"/>
  <c r="F2797" i="7" s="1"/>
  <c r="U2796" i="7"/>
  <c r="L2796" i="7"/>
  <c r="K2796" i="7"/>
  <c r="H2796" i="7"/>
  <c r="E2796" i="7"/>
  <c r="F2796" i="7" s="1"/>
  <c r="J2796" i="7" s="1"/>
  <c r="C2796" i="7"/>
  <c r="L2795" i="7"/>
  <c r="K2795" i="7"/>
  <c r="H2795" i="7"/>
  <c r="U2795" i="7" s="1"/>
  <c r="C2795" i="7"/>
  <c r="E2795" i="7" s="1"/>
  <c r="F2795" i="7" s="1"/>
  <c r="L2794" i="7"/>
  <c r="K2794" i="7"/>
  <c r="H2794" i="7"/>
  <c r="U2794" i="7" s="1"/>
  <c r="F2794" i="7"/>
  <c r="C2794" i="7"/>
  <c r="E2794" i="7" s="1"/>
  <c r="L2793" i="7"/>
  <c r="K2793" i="7"/>
  <c r="H2793" i="7"/>
  <c r="U2793" i="7" s="1"/>
  <c r="C2793" i="7"/>
  <c r="E2793" i="7" s="1"/>
  <c r="F2793" i="7" s="1"/>
  <c r="L2792" i="7"/>
  <c r="K2792" i="7"/>
  <c r="H2792" i="7"/>
  <c r="U2792" i="7" s="1"/>
  <c r="C2792" i="7"/>
  <c r="E2792" i="7" s="1"/>
  <c r="F2792" i="7" s="1"/>
  <c r="L2791" i="7"/>
  <c r="K2791" i="7"/>
  <c r="H2791" i="7"/>
  <c r="U2791" i="7" s="1"/>
  <c r="C2791" i="7"/>
  <c r="E2791" i="7" s="1"/>
  <c r="F2791" i="7" s="1"/>
  <c r="L2790" i="7"/>
  <c r="K2790" i="7"/>
  <c r="H2790" i="7"/>
  <c r="U2790" i="7" s="1"/>
  <c r="C2790" i="7"/>
  <c r="E2790" i="7" s="1"/>
  <c r="F2790" i="7" s="1"/>
  <c r="L2789" i="7"/>
  <c r="K2789" i="7"/>
  <c r="H2789" i="7"/>
  <c r="U2789" i="7" s="1"/>
  <c r="C2789" i="7"/>
  <c r="E2789" i="7" s="1"/>
  <c r="F2789" i="7" s="1"/>
  <c r="U2788" i="7"/>
  <c r="L2788" i="7"/>
  <c r="K2788" i="7"/>
  <c r="H2788" i="7"/>
  <c r="C2788" i="7"/>
  <c r="E2788" i="7" s="1"/>
  <c r="F2788" i="7" s="1"/>
  <c r="L2787" i="7"/>
  <c r="K2787" i="7"/>
  <c r="H2787" i="7"/>
  <c r="U2787" i="7" s="1"/>
  <c r="E2787" i="7"/>
  <c r="F2787" i="7" s="1"/>
  <c r="C2787" i="7"/>
  <c r="L2786" i="7"/>
  <c r="K2786" i="7"/>
  <c r="H2786" i="7"/>
  <c r="U2786" i="7" s="1"/>
  <c r="C2786" i="7"/>
  <c r="E2786" i="7" s="1"/>
  <c r="F2786" i="7" s="1"/>
  <c r="L2785" i="7"/>
  <c r="K2785" i="7"/>
  <c r="H2785" i="7"/>
  <c r="U2785" i="7" s="1"/>
  <c r="F2785" i="7"/>
  <c r="C2785" i="7"/>
  <c r="E2785" i="7" s="1"/>
  <c r="U2784" i="7"/>
  <c r="L2784" i="7"/>
  <c r="K2784" i="7"/>
  <c r="H2784" i="7"/>
  <c r="C2784" i="7"/>
  <c r="E2784" i="7" s="1"/>
  <c r="F2784" i="7" s="1"/>
  <c r="L2783" i="7"/>
  <c r="K2783" i="7"/>
  <c r="H2783" i="7"/>
  <c r="U2783" i="7" s="1"/>
  <c r="C2783" i="7"/>
  <c r="E2783" i="7" s="1"/>
  <c r="F2783" i="7" s="1"/>
  <c r="L2782" i="7"/>
  <c r="K2782" i="7"/>
  <c r="H2782" i="7"/>
  <c r="U2782" i="7" s="1"/>
  <c r="C2782" i="7"/>
  <c r="E2782" i="7" s="1"/>
  <c r="F2782" i="7" s="1"/>
  <c r="L2781" i="7"/>
  <c r="K2781" i="7"/>
  <c r="H2781" i="7"/>
  <c r="U2781" i="7" s="1"/>
  <c r="C2781" i="7"/>
  <c r="E2781" i="7" s="1"/>
  <c r="F2781" i="7" s="1"/>
  <c r="L2780" i="7"/>
  <c r="K2780" i="7"/>
  <c r="H2780" i="7"/>
  <c r="U2780" i="7" s="1"/>
  <c r="C2780" i="7"/>
  <c r="E2780" i="7" s="1"/>
  <c r="F2780" i="7" s="1"/>
  <c r="L2779" i="7"/>
  <c r="K2779" i="7"/>
  <c r="H2779" i="7"/>
  <c r="U2779" i="7" s="1"/>
  <c r="E2779" i="7"/>
  <c r="F2779" i="7" s="1"/>
  <c r="C2779" i="7"/>
  <c r="L2778" i="7"/>
  <c r="K2778" i="7"/>
  <c r="H2778" i="7"/>
  <c r="U2778" i="7" s="1"/>
  <c r="C2778" i="7"/>
  <c r="E2778" i="7" s="1"/>
  <c r="F2778" i="7" s="1"/>
  <c r="L2777" i="7"/>
  <c r="K2777" i="7"/>
  <c r="H2777" i="7"/>
  <c r="U2777" i="7" s="1"/>
  <c r="C2777" i="7"/>
  <c r="E2777" i="7" s="1"/>
  <c r="F2777" i="7" s="1"/>
  <c r="L2776" i="7"/>
  <c r="K2776" i="7"/>
  <c r="H2776" i="7"/>
  <c r="U2776" i="7" s="1"/>
  <c r="C2776" i="7"/>
  <c r="E2776" i="7" s="1"/>
  <c r="F2776" i="7" s="1"/>
  <c r="L2775" i="7"/>
  <c r="K2775" i="7"/>
  <c r="H2775" i="7"/>
  <c r="U2775" i="7" s="1"/>
  <c r="C2775" i="7"/>
  <c r="E2775" i="7" s="1"/>
  <c r="F2775" i="7" s="1"/>
  <c r="L2774" i="7"/>
  <c r="K2774" i="7"/>
  <c r="H2774" i="7"/>
  <c r="U2774" i="7" s="1"/>
  <c r="E2774" i="7"/>
  <c r="F2774" i="7" s="1"/>
  <c r="C2774" i="7"/>
  <c r="U2773" i="7"/>
  <c r="L2773" i="7"/>
  <c r="K2773" i="7"/>
  <c r="H2773" i="7"/>
  <c r="C2773" i="7"/>
  <c r="E2773" i="7" s="1"/>
  <c r="F2773" i="7" s="1"/>
  <c r="L2772" i="7"/>
  <c r="K2772" i="7"/>
  <c r="H2772" i="7"/>
  <c r="U2772" i="7" s="1"/>
  <c r="C2772" i="7"/>
  <c r="E2772" i="7" s="1"/>
  <c r="F2772" i="7" s="1"/>
  <c r="L2771" i="7"/>
  <c r="K2771" i="7"/>
  <c r="H2771" i="7"/>
  <c r="U2771" i="7" s="1"/>
  <c r="C2771" i="7"/>
  <c r="E2771" i="7" s="1"/>
  <c r="F2771" i="7" s="1"/>
  <c r="L2770" i="7"/>
  <c r="K2770" i="7"/>
  <c r="H2770" i="7"/>
  <c r="U2770" i="7" s="1"/>
  <c r="C2770" i="7"/>
  <c r="E2770" i="7" s="1"/>
  <c r="F2770" i="7" s="1"/>
  <c r="L2769" i="7"/>
  <c r="K2769" i="7"/>
  <c r="H2769" i="7"/>
  <c r="U2769" i="7" s="1"/>
  <c r="C2769" i="7"/>
  <c r="E2769" i="7" s="1"/>
  <c r="F2769" i="7" s="1"/>
  <c r="L2768" i="7"/>
  <c r="K2768" i="7"/>
  <c r="H2768" i="7"/>
  <c r="U2768" i="7" s="1"/>
  <c r="E2768" i="7"/>
  <c r="F2768" i="7" s="1"/>
  <c r="C2768" i="7"/>
  <c r="L2767" i="7"/>
  <c r="K2767" i="7"/>
  <c r="H2767" i="7"/>
  <c r="U2767" i="7" s="1"/>
  <c r="E2767" i="7"/>
  <c r="F2767" i="7" s="1"/>
  <c r="C2767" i="7"/>
  <c r="L2766" i="7"/>
  <c r="K2766" i="7"/>
  <c r="H2766" i="7"/>
  <c r="U2766" i="7" s="1"/>
  <c r="C2766" i="7"/>
  <c r="E2766" i="7" s="1"/>
  <c r="F2766" i="7" s="1"/>
  <c r="L2765" i="7"/>
  <c r="K2765" i="7"/>
  <c r="H2765" i="7"/>
  <c r="U2765" i="7" s="1"/>
  <c r="C2765" i="7"/>
  <c r="E2765" i="7" s="1"/>
  <c r="F2765" i="7" s="1"/>
  <c r="U2764" i="7"/>
  <c r="L2764" i="7"/>
  <c r="K2764" i="7"/>
  <c r="H2764" i="7"/>
  <c r="C2764" i="7"/>
  <c r="E2764" i="7" s="1"/>
  <c r="F2764" i="7" s="1"/>
  <c r="L2763" i="7"/>
  <c r="K2763" i="7"/>
  <c r="H2763" i="7"/>
  <c r="U2763" i="7" s="1"/>
  <c r="F2763" i="7"/>
  <c r="E2763" i="7"/>
  <c r="C2763" i="7"/>
  <c r="L2762" i="7"/>
  <c r="K2762" i="7"/>
  <c r="H2762" i="7"/>
  <c r="U2762" i="7" s="1"/>
  <c r="C2762" i="7"/>
  <c r="E2762" i="7" s="1"/>
  <c r="F2762" i="7" s="1"/>
  <c r="L2761" i="7"/>
  <c r="K2761" i="7"/>
  <c r="H2761" i="7"/>
  <c r="U2761" i="7" s="1"/>
  <c r="C2761" i="7"/>
  <c r="E2761" i="7" s="1"/>
  <c r="F2761" i="7" s="1"/>
  <c r="L2760" i="7"/>
  <c r="K2760" i="7"/>
  <c r="H2760" i="7"/>
  <c r="U2760" i="7" s="1"/>
  <c r="C2760" i="7"/>
  <c r="E2760" i="7" s="1"/>
  <c r="F2760" i="7" s="1"/>
  <c r="L2759" i="7"/>
  <c r="K2759" i="7"/>
  <c r="H2759" i="7"/>
  <c r="U2759" i="7" s="1"/>
  <c r="C2759" i="7"/>
  <c r="E2759" i="7" s="1"/>
  <c r="F2759" i="7" s="1"/>
  <c r="L2758" i="7"/>
  <c r="K2758" i="7"/>
  <c r="H2758" i="7"/>
  <c r="U2758" i="7" s="1"/>
  <c r="C2758" i="7"/>
  <c r="E2758" i="7" s="1"/>
  <c r="F2758" i="7" s="1"/>
  <c r="L2757" i="7"/>
  <c r="K2757" i="7"/>
  <c r="H2757" i="7"/>
  <c r="U2757" i="7" s="1"/>
  <c r="C2757" i="7"/>
  <c r="E2757" i="7" s="1"/>
  <c r="F2757" i="7" s="1"/>
  <c r="U2756" i="7"/>
  <c r="L2756" i="7"/>
  <c r="K2756" i="7"/>
  <c r="H2756" i="7"/>
  <c r="C2756" i="7"/>
  <c r="E2756" i="7" s="1"/>
  <c r="F2756" i="7" s="1"/>
  <c r="U2755" i="7"/>
  <c r="L2755" i="7"/>
  <c r="K2755" i="7"/>
  <c r="H2755" i="7"/>
  <c r="C2755" i="7"/>
  <c r="E2755" i="7" s="1"/>
  <c r="F2755" i="7" s="1"/>
  <c r="L2754" i="7"/>
  <c r="K2754" i="7"/>
  <c r="H2754" i="7"/>
  <c r="U2754" i="7" s="1"/>
  <c r="C2754" i="7"/>
  <c r="E2754" i="7" s="1"/>
  <c r="F2754" i="7" s="1"/>
  <c r="L2753" i="7"/>
  <c r="K2753" i="7"/>
  <c r="H2753" i="7"/>
  <c r="U2753" i="7" s="1"/>
  <c r="C2753" i="7"/>
  <c r="E2753" i="7" s="1"/>
  <c r="F2753" i="7" s="1"/>
  <c r="L2752" i="7"/>
  <c r="K2752" i="7"/>
  <c r="H2752" i="7"/>
  <c r="U2752" i="7" s="1"/>
  <c r="E2752" i="7"/>
  <c r="F2752" i="7" s="1"/>
  <c r="C2752" i="7"/>
  <c r="U2751" i="7"/>
  <c r="L2751" i="7"/>
  <c r="K2751" i="7"/>
  <c r="H2751" i="7"/>
  <c r="C2751" i="7"/>
  <c r="E2751" i="7" s="1"/>
  <c r="F2751" i="7" s="1"/>
  <c r="L2750" i="7"/>
  <c r="K2750" i="7"/>
  <c r="H2750" i="7"/>
  <c r="U2750" i="7" s="1"/>
  <c r="E2750" i="7"/>
  <c r="F2750" i="7" s="1"/>
  <c r="C2750" i="7"/>
  <c r="L2749" i="7"/>
  <c r="K2749" i="7"/>
  <c r="H2749" i="7"/>
  <c r="U2749" i="7" s="1"/>
  <c r="C2749" i="7"/>
  <c r="E2749" i="7" s="1"/>
  <c r="F2749" i="7" s="1"/>
  <c r="L2748" i="7"/>
  <c r="K2748" i="7"/>
  <c r="H2748" i="7"/>
  <c r="U2748" i="7" s="1"/>
  <c r="E2748" i="7"/>
  <c r="F2748" i="7" s="1"/>
  <c r="C2748" i="7"/>
  <c r="U2747" i="7"/>
  <c r="L2747" i="7"/>
  <c r="K2747" i="7"/>
  <c r="H2747" i="7"/>
  <c r="C2747" i="7"/>
  <c r="E2747" i="7" s="1"/>
  <c r="F2747" i="7" s="1"/>
  <c r="L2746" i="7"/>
  <c r="K2746" i="7"/>
  <c r="H2746" i="7"/>
  <c r="U2746" i="7" s="1"/>
  <c r="C2746" i="7"/>
  <c r="E2746" i="7" s="1"/>
  <c r="F2746" i="7" s="1"/>
  <c r="L2745" i="7"/>
  <c r="K2745" i="7"/>
  <c r="H2745" i="7"/>
  <c r="U2745" i="7" s="1"/>
  <c r="C2745" i="7"/>
  <c r="E2745" i="7" s="1"/>
  <c r="F2745" i="7" s="1"/>
  <c r="L2744" i="7"/>
  <c r="K2744" i="7"/>
  <c r="H2744" i="7"/>
  <c r="U2744" i="7" s="1"/>
  <c r="C2744" i="7"/>
  <c r="E2744" i="7" s="1"/>
  <c r="F2744" i="7" s="1"/>
  <c r="L2743" i="7"/>
  <c r="K2743" i="7"/>
  <c r="H2743" i="7"/>
  <c r="U2743" i="7" s="1"/>
  <c r="C2743" i="7"/>
  <c r="E2743" i="7" s="1"/>
  <c r="F2743" i="7" s="1"/>
  <c r="L2742" i="7"/>
  <c r="K2742" i="7"/>
  <c r="H2742" i="7"/>
  <c r="U2742" i="7" s="1"/>
  <c r="C2742" i="7"/>
  <c r="E2742" i="7" s="1"/>
  <c r="F2742" i="7" s="1"/>
  <c r="L2741" i="7"/>
  <c r="K2741" i="7"/>
  <c r="H2741" i="7"/>
  <c r="U2741" i="7" s="1"/>
  <c r="F2741" i="7"/>
  <c r="C2741" i="7"/>
  <c r="E2741" i="7" s="1"/>
  <c r="L2740" i="7"/>
  <c r="K2740" i="7"/>
  <c r="H2740" i="7"/>
  <c r="U2740" i="7" s="1"/>
  <c r="C2740" i="7"/>
  <c r="E2740" i="7" s="1"/>
  <c r="F2740" i="7" s="1"/>
  <c r="L2739" i="7"/>
  <c r="K2739" i="7"/>
  <c r="H2739" i="7"/>
  <c r="U2739" i="7" s="1"/>
  <c r="C2739" i="7"/>
  <c r="E2739" i="7" s="1"/>
  <c r="F2739" i="7" s="1"/>
  <c r="L2738" i="7"/>
  <c r="K2738" i="7"/>
  <c r="H2738" i="7"/>
  <c r="U2738" i="7" s="1"/>
  <c r="C2738" i="7"/>
  <c r="E2738" i="7" s="1"/>
  <c r="F2738" i="7" s="1"/>
  <c r="L2737" i="7"/>
  <c r="K2737" i="7"/>
  <c r="H2737" i="7"/>
  <c r="U2737" i="7" s="1"/>
  <c r="C2737" i="7"/>
  <c r="E2737" i="7" s="1"/>
  <c r="F2737" i="7" s="1"/>
  <c r="L2736" i="7"/>
  <c r="K2736" i="7"/>
  <c r="H2736" i="7"/>
  <c r="U2736" i="7" s="1"/>
  <c r="C2736" i="7"/>
  <c r="E2736" i="7" s="1"/>
  <c r="F2736" i="7" s="1"/>
  <c r="L2735" i="7"/>
  <c r="K2735" i="7"/>
  <c r="H2735" i="7"/>
  <c r="U2735" i="7" s="1"/>
  <c r="C2735" i="7"/>
  <c r="E2735" i="7" s="1"/>
  <c r="F2735" i="7" s="1"/>
  <c r="I2735" i="7" s="1"/>
  <c r="L2734" i="7"/>
  <c r="K2734" i="7"/>
  <c r="H2734" i="7"/>
  <c r="U2734" i="7" s="1"/>
  <c r="C2734" i="7"/>
  <c r="E2734" i="7" s="1"/>
  <c r="F2734" i="7" s="1"/>
  <c r="L2733" i="7"/>
  <c r="K2733" i="7"/>
  <c r="H2733" i="7"/>
  <c r="U2733" i="7" s="1"/>
  <c r="C2733" i="7"/>
  <c r="E2733" i="7" s="1"/>
  <c r="F2733" i="7" s="1"/>
  <c r="L2732" i="7"/>
  <c r="K2732" i="7"/>
  <c r="H2732" i="7"/>
  <c r="U2732" i="7" s="1"/>
  <c r="C2732" i="7"/>
  <c r="E2732" i="7" s="1"/>
  <c r="F2732" i="7" s="1"/>
  <c r="J2732" i="7" s="1"/>
  <c r="L2731" i="7"/>
  <c r="K2731" i="7"/>
  <c r="H2731" i="7"/>
  <c r="U2731" i="7" s="1"/>
  <c r="E2731" i="7"/>
  <c r="F2731" i="7" s="1"/>
  <c r="J2731" i="7" s="1"/>
  <c r="C2731" i="7"/>
  <c r="L2730" i="7"/>
  <c r="K2730" i="7"/>
  <c r="H2730" i="7"/>
  <c r="U2730" i="7" s="1"/>
  <c r="C2730" i="7"/>
  <c r="E2730" i="7" s="1"/>
  <c r="F2730" i="7" s="1"/>
  <c r="L2729" i="7"/>
  <c r="K2729" i="7"/>
  <c r="H2729" i="7"/>
  <c r="U2729" i="7" s="1"/>
  <c r="C2729" i="7"/>
  <c r="E2729" i="7" s="1"/>
  <c r="F2729" i="7" s="1"/>
  <c r="L2728" i="7"/>
  <c r="K2728" i="7"/>
  <c r="H2728" i="7"/>
  <c r="U2728" i="7" s="1"/>
  <c r="C2728" i="7"/>
  <c r="E2728" i="7" s="1"/>
  <c r="F2728" i="7" s="1"/>
  <c r="J2728" i="7" s="1"/>
  <c r="L2727" i="7"/>
  <c r="K2727" i="7"/>
  <c r="H2727" i="7"/>
  <c r="U2727" i="7" s="1"/>
  <c r="E2727" i="7"/>
  <c r="F2727" i="7" s="1"/>
  <c r="C2727" i="7"/>
  <c r="L2726" i="7"/>
  <c r="K2726" i="7"/>
  <c r="H2726" i="7"/>
  <c r="U2726" i="7" s="1"/>
  <c r="C2726" i="7"/>
  <c r="E2726" i="7" s="1"/>
  <c r="F2726" i="7" s="1"/>
  <c r="L2725" i="7"/>
  <c r="K2725" i="7"/>
  <c r="H2725" i="7"/>
  <c r="U2725" i="7" s="1"/>
  <c r="C2725" i="7"/>
  <c r="E2725" i="7" s="1"/>
  <c r="F2725" i="7" s="1"/>
  <c r="U2724" i="7"/>
  <c r="L2724" i="7"/>
  <c r="K2724" i="7"/>
  <c r="H2724" i="7"/>
  <c r="C2724" i="7"/>
  <c r="E2724" i="7" s="1"/>
  <c r="F2724" i="7" s="1"/>
  <c r="L2723" i="7"/>
  <c r="K2723" i="7"/>
  <c r="H2723" i="7"/>
  <c r="U2723" i="7" s="1"/>
  <c r="C2723" i="7"/>
  <c r="E2723" i="7" s="1"/>
  <c r="F2723" i="7" s="1"/>
  <c r="L2722" i="7"/>
  <c r="I2722" i="7" s="1"/>
  <c r="K2722" i="7"/>
  <c r="H2722" i="7"/>
  <c r="U2722" i="7" s="1"/>
  <c r="C2722" i="7"/>
  <c r="E2722" i="7" s="1"/>
  <c r="F2722" i="7" s="1"/>
  <c r="L2721" i="7"/>
  <c r="K2721" i="7"/>
  <c r="H2721" i="7"/>
  <c r="U2721" i="7" s="1"/>
  <c r="C2721" i="7"/>
  <c r="E2721" i="7" s="1"/>
  <c r="F2721" i="7" s="1"/>
  <c r="L2720" i="7"/>
  <c r="K2720" i="7"/>
  <c r="H2720" i="7"/>
  <c r="U2720" i="7" s="1"/>
  <c r="C2720" i="7"/>
  <c r="E2720" i="7" s="1"/>
  <c r="F2720" i="7" s="1"/>
  <c r="L2719" i="7"/>
  <c r="K2719" i="7"/>
  <c r="H2719" i="7"/>
  <c r="U2719" i="7" s="1"/>
  <c r="C2719" i="7"/>
  <c r="E2719" i="7" s="1"/>
  <c r="F2719" i="7" s="1"/>
  <c r="L2718" i="7"/>
  <c r="J2718" i="7" s="1"/>
  <c r="K2718" i="7"/>
  <c r="H2718" i="7"/>
  <c r="U2718" i="7" s="1"/>
  <c r="C2718" i="7"/>
  <c r="E2718" i="7" s="1"/>
  <c r="F2718" i="7" s="1"/>
  <c r="L2717" i="7"/>
  <c r="K2717" i="7"/>
  <c r="H2717" i="7"/>
  <c r="U2717" i="7" s="1"/>
  <c r="C2717" i="7"/>
  <c r="E2717" i="7" s="1"/>
  <c r="F2717" i="7" s="1"/>
  <c r="U2716" i="7"/>
  <c r="L2716" i="7"/>
  <c r="K2716" i="7"/>
  <c r="H2716" i="7"/>
  <c r="C2716" i="7"/>
  <c r="E2716" i="7" s="1"/>
  <c r="F2716" i="7" s="1"/>
  <c r="J2716" i="7" s="1"/>
  <c r="L2715" i="7"/>
  <c r="K2715" i="7"/>
  <c r="H2715" i="7"/>
  <c r="U2715" i="7" s="1"/>
  <c r="E2715" i="7"/>
  <c r="F2715" i="7" s="1"/>
  <c r="C2715" i="7"/>
  <c r="L2714" i="7"/>
  <c r="K2714" i="7"/>
  <c r="H2714" i="7"/>
  <c r="U2714" i="7" s="1"/>
  <c r="C2714" i="7"/>
  <c r="E2714" i="7" s="1"/>
  <c r="F2714" i="7" s="1"/>
  <c r="L2713" i="7"/>
  <c r="K2713" i="7"/>
  <c r="H2713" i="7"/>
  <c r="U2713" i="7" s="1"/>
  <c r="C2713" i="7"/>
  <c r="E2713" i="7" s="1"/>
  <c r="F2713" i="7" s="1"/>
  <c r="L2712" i="7"/>
  <c r="K2712" i="7"/>
  <c r="H2712" i="7"/>
  <c r="U2712" i="7" s="1"/>
  <c r="C2712" i="7"/>
  <c r="E2712" i="7" s="1"/>
  <c r="F2712" i="7" s="1"/>
  <c r="L2711" i="7"/>
  <c r="K2711" i="7"/>
  <c r="H2711" i="7"/>
  <c r="U2711" i="7" s="1"/>
  <c r="C2711" i="7"/>
  <c r="E2711" i="7" s="1"/>
  <c r="F2711" i="7" s="1"/>
  <c r="L2710" i="7"/>
  <c r="K2710" i="7"/>
  <c r="H2710" i="7"/>
  <c r="U2710" i="7" s="1"/>
  <c r="C2710" i="7"/>
  <c r="E2710" i="7" s="1"/>
  <c r="F2710" i="7" s="1"/>
  <c r="L2709" i="7"/>
  <c r="K2709" i="7"/>
  <c r="H2709" i="7"/>
  <c r="U2709" i="7" s="1"/>
  <c r="F2709" i="7"/>
  <c r="C2709" i="7"/>
  <c r="E2709" i="7" s="1"/>
  <c r="U2708" i="7"/>
  <c r="L2708" i="7"/>
  <c r="K2708" i="7"/>
  <c r="H2708" i="7"/>
  <c r="C2708" i="7"/>
  <c r="E2708" i="7" s="1"/>
  <c r="F2708" i="7" s="1"/>
  <c r="L2707" i="7"/>
  <c r="K2707" i="7"/>
  <c r="H2707" i="7"/>
  <c r="U2707" i="7" s="1"/>
  <c r="E2707" i="7"/>
  <c r="F2707" i="7" s="1"/>
  <c r="C2707" i="7"/>
  <c r="L2706" i="7"/>
  <c r="K2706" i="7"/>
  <c r="H2706" i="7"/>
  <c r="U2706" i="7" s="1"/>
  <c r="C2706" i="7"/>
  <c r="E2706" i="7" s="1"/>
  <c r="F2706" i="7" s="1"/>
  <c r="L2705" i="7"/>
  <c r="K2705" i="7"/>
  <c r="H2705" i="7"/>
  <c r="U2705" i="7" s="1"/>
  <c r="C2705" i="7"/>
  <c r="E2705" i="7" s="1"/>
  <c r="F2705" i="7" s="1"/>
  <c r="L2704" i="7"/>
  <c r="K2704" i="7"/>
  <c r="H2704" i="7"/>
  <c r="U2704" i="7" s="1"/>
  <c r="C2704" i="7"/>
  <c r="E2704" i="7" s="1"/>
  <c r="F2704" i="7" s="1"/>
  <c r="L2703" i="7"/>
  <c r="K2703" i="7"/>
  <c r="H2703" i="7"/>
  <c r="U2703" i="7" s="1"/>
  <c r="E2703" i="7"/>
  <c r="F2703" i="7" s="1"/>
  <c r="J2703" i="7" s="1"/>
  <c r="C2703" i="7"/>
  <c r="L2702" i="7"/>
  <c r="K2702" i="7"/>
  <c r="H2702" i="7"/>
  <c r="U2702" i="7" s="1"/>
  <c r="C2702" i="7"/>
  <c r="E2702" i="7" s="1"/>
  <c r="F2702" i="7" s="1"/>
  <c r="L2701" i="7"/>
  <c r="K2701" i="7"/>
  <c r="H2701" i="7"/>
  <c r="U2701" i="7" s="1"/>
  <c r="C2701" i="7"/>
  <c r="E2701" i="7" s="1"/>
  <c r="F2701" i="7" s="1"/>
  <c r="L2700" i="7"/>
  <c r="K2700" i="7"/>
  <c r="H2700" i="7"/>
  <c r="U2700" i="7" s="1"/>
  <c r="E2700" i="7"/>
  <c r="F2700" i="7" s="1"/>
  <c r="J2700" i="7" s="1"/>
  <c r="C2700" i="7"/>
  <c r="L2699" i="7"/>
  <c r="K2699" i="7"/>
  <c r="H2699" i="7"/>
  <c r="U2699" i="7" s="1"/>
  <c r="C2699" i="7"/>
  <c r="E2699" i="7" s="1"/>
  <c r="F2699" i="7" s="1"/>
  <c r="L2698" i="7"/>
  <c r="K2698" i="7"/>
  <c r="H2698" i="7"/>
  <c r="U2698" i="7" s="1"/>
  <c r="C2698" i="7"/>
  <c r="E2698" i="7" s="1"/>
  <c r="F2698" i="7" s="1"/>
  <c r="J2698" i="7" s="1"/>
  <c r="L2697" i="7"/>
  <c r="K2697" i="7"/>
  <c r="H2697" i="7"/>
  <c r="U2697" i="7" s="1"/>
  <c r="C2697" i="7"/>
  <c r="E2697" i="7" s="1"/>
  <c r="F2697" i="7" s="1"/>
  <c r="L2696" i="7"/>
  <c r="K2696" i="7"/>
  <c r="H2696" i="7"/>
  <c r="U2696" i="7" s="1"/>
  <c r="C2696" i="7"/>
  <c r="E2696" i="7" s="1"/>
  <c r="F2696" i="7" s="1"/>
  <c r="L2695" i="7"/>
  <c r="K2695" i="7"/>
  <c r="J2695" i="7"/>
  <c r="H2695" i="7"/>
  <c r="U2695" i="7" s="1"/>
  <c r="C2695" i="7"/>
  <c r="E2695" i="7" s="1"/>
  <c r="F2695" i="7" s="1"/>
  <c r="I2695" i="7" s="1"/>
  <c r="L2694" i="7"/>
  <c r="K2694" i="7"/>
  <c r="H2694" i="7"/>
  <c r="U2694" i="7" s="1"/>
  <c r="C2694" i="7"/>
  <c r="E2694" i="7" s="1"/>
  <c r="F2694" i="7" s="1"/>
  <c r="L2693" i="7"/>
  <c r="K2693" i="7"/>
  <c r="H2693" i="7"/>
  <c r="U2693" i="7" s="1"/>
  <c r="C2693" i="7"/>
  <c r="E2693" i="7" s="1"/>
  <c r="F2693" i="7" s="1"/>
  <c r="U2692" i="7"/>
  <c r="L2692" i="7"/>
  <c r="K2692" i="7"/>
  <c r="H2692" i="7"/>
  <c r="C2692" i="7"/>
  <c r="E2692" i="7" s="1"/>
  <c r="F2692" i="7" s="1"/>
  <c r="L2691" i="7"/>
  <c r="K2691" i="7"/>
  <c r="H2691" i="7"/>
  <c r="U2691" i="7" s="1"/>
  <c r="E2691" i="7"/>
  <c r="F2691" i="7" s="1"/>
  <c r="C2691" i="7"/>
  <c r="L2690" i="7"/>
  <c r="K2690" i="7"/>
  <c r="I2690" i="7"/>
  <c r="H2690" i="7"/>
  <c r="U2690" i="7" s="1"/>
  <c r="C2690" i="7"/>
  <c r="E2690" i="7" s="1"/>
  <c r="F2690" i="7" s="1"/>
  <c r="L2689" i="7"/>
  <c r="K2689" i="7"/>
  <c r="H2689" i="7"/>
  <c r="U2689" i="7" s="1"/>
  <c r="C2689" i="7"/>
  <c r="E2689" i="7" s="1"/>
  <c r="F2689" i="7" s="1"/>
  <c r="U2688" i="7"/>
  <c r="L2688" i="7"/>
  <c r="K2688" i="7"/>
  <c r="H2688" i="7"/>
  <c r="C2688" i="7"/>
  <c r="E2688" i="7" s="1"/>
  <c r="F2688" i="7" s="1"/>
  <c r="L2687" i="7"/>
  <c r="K2687" i="7"/>
  <c r="H2687" i="7"/>
  <c r="U2687" i="7" s="1"/>
  <c r="C2687" i="7"/>
  <c r="E2687" i="7" s="1"/>
  <c r="F2687" i="7" s="1"/>
  <c r="L2686" i="7"/>
  <c r="K2686" i="7"/>
  <c r="H2686" i="7"/>
  <c r="U2686" i="7" s="1"/>
  <c r="E2686" i="7"/>
  <c r="F2686" i="7" s="1"/>
  <c r="C2686" i="7"/>
  <c r="L2685" i="7"/>
  <c r="K2685" i="7"/>
  <c r="H2685" i="7"/>
  <c r="U2685" i="7" s="1"/>
  <c r="C2685" i="7"/>
  <c r="E2685" i="7" s="1"/>
  <c r="F2685" i="7" s="1"/>
  <c r="L2684" i="7"/>
  <c r="K2684" i="7"/>
  <c r="H2684" i="7"/>
  <c r="U2684" i="7" s="1"/>
  <c r="C2684" i="7"/>
  <c r="E2684" i="7" s="1"/>
  <c r="F2684" i="7" s="1"/>
  <c r="U2683" i="7"/>
  <c r="L2683" i="7"/>
  <c r="K2683" i="7"/>
  <c r="H2683" i="7"/>
  <c r="E2683" i="7"/>
  <c r="F2683" i="7" s="1"/>
  <c r="C2683" i="7"/>
  <c r="L2682" i="7"/>
  <c r="K2682" i="7"/>
  <c r="H2682" i="7"/>
  <c r="U2682" i="7" s="1"/>
  <c r="C2682" i="7"/>
  <c r="E2682" i="7" s="1"/>
  <c r="F2682" i="7" s="1"/>
  <c r="L2681" i="7"/>
  <c r="K2681" i="7"/>
  <c r="H2681" i="7"/>
  <c r="U2681" i="7" s="1"/>
  <c r="C2681" i="7"/>
  <c r="E2681" i="7" s="1"/>
  <c r="F2681" i="7" s="1"/>
  <c r="L2680" i="7"/>
  <c r="K2680" i="7"/>
  <c r="H2680" i="7"/>
  <c r="U2680" i="7" s="1"/>
  <c r="E2680" i="7"/>
  <c r="F2680" i="7" s="1"/>
  <c r="C2680" i="7"/>
  <c r="L2679" i="7"/>
  <c r="K2679" i="7"/>
  <c r="H2679" i="7"/>
  <c r="U2679" i="7" s="1"/>
  <c r="C2679" i="7"/>
  <c r="E2679" i="7" s="1"/>
  <c r="F2679" i="7" s="1"/>
  <c r="I2679" i="7" s="1"/>
  <c r="L2678" i="7"/>
  <c r="K2678" i="7"/>
  <c r="H2678" i="7"/>
  <c r="U2678" i="7" s="1"/>
  <c r="C2678" i="7"/>
  <c r="E2678" i="7" s="1"/>
  <c r="F2678" i="7" s="1"/>
  <c r="L2677" i="7"/>
  <c r="K2677" i="7"/>
  <c r="H2677" i="7"/>
  <c r="U2677" i="7" s="1"/>
  <c r="C2677" i="7"/>
  <c r="E2677" i="7" s="1"/>
  <c r="F2677" i="7" s="1"/>
  <c r="L2676" i="7"/>
  <c r="K2676" i="7"/>
  <c r="H2676" i="7"/>
  <c r="U2676" i="7" s="1"/>
  <c r="C2676" i="7"/>
  <c r="E2676" i="7" s="1"/>
  <c r="F2676" i="7" s="1"/>
  <c r="L2675" i="7"/>
  <c r="K2675" i="7"/>
  <c r="H2675" i="7"/>
  <c r="U2675" i="7" s="1"/>
  <c r="C2675" i="7"/>
  <c r="E2675" i="7" s="1"/>
  <c r="F2675" i="7" s="1"/>
  <c r="L2674" i="7"/>
  <c r="K2674" i="7"/>
  <c r="H2674" i="7"/>
  <c r="U2674" i="7" s="1"/>
  <c r="C2674" i="7"/>
  <c r="E2674" i="7" s="1"/>
  <c r="F2674" i="7" s="1"/>
  <c r="U2673" i="7"/>
  <c r="L2673" i="7"/>
  <c r="K2673" i="7"/>
  <c r="H2673" i="7"/>
  <c r="C2673" i="7"/>
  <c r="E2673" i="7" s="1"/>
  <c r="F2673" i="7" s="1"/>
  <c r="L2672" i="7"/>
  <c r="K2672" i="7"/>
  <c r="H2672" i="7"/>
  <c r="U2672" i="7" s="1"/>
  <c r="C2672" i="7"/>
  <c r="E2672" i="7" s="1"/>
  <c r="F2672" i="7" s="1"/>
  <c r="L2671" i="7"/>
  <c r="K2671" i="7"/>
  <c r="H2671" i="7"/>
  <c r="U2671" i="7" s="1"/>
  <c r="C2671" i="7"/>
  <c r="E2671" i="7" s="1"/>
  <c r="F2671" i="7" s="1"/>
  <c r="L2670" i="7"/>
  <c r="K2670" i="7"/>
  <c r="H2670" i="7"/>
  <c r="U2670" i="7" s="1"/>
  <c r="C2670" i="7"/>
  <c r="E2670" i="7" s="1"/>
  <c r="F2670" i="7" s="1"/>
  <c r="L2669" i="7"/>
  <c r="K2669" i="7"/>
  <c r="H2669" i="7"/>
  <c r="U2669" i="7" s="1"/>
  <c r="C2669" i="7"/>
  <c r="E2669" i="7" s="1"/>
  <c r="F2669" i="7" s="1"/>
  <c r="L2668" i="7"/>
  <c r="K2668" i="7"/>
  <c r="H2668" i="7"/>
  <c r="U2668" i="7" s="1"/>
  <c r="C2668" i="7"/>
  <c r="E2668" i="7" s="1"/>
  <c r="F2668" i="7" s="1"/>
  <c r="L2667" i="7"/>
  <c r="K2667" i="7"/>
  <c r="H2667" i="7"/>
  <c r="U2667" i="7" s="1"/>
  <c r="C2667" i="7"/>
  <c r="E2667" i="7" s="1"/>
  <c r="F2667" i="7" s="1"/>
  <c r="L2666" i="7"/>
  <c r="K2666" i="7"/>
  <c r="H2666" i="7"/>
  <c r="U2666" i="7" s="1"/>
  <c r="C2666" i="7"/>
  <c r="E2666" i="7" s="1"/>
  <c r="F2666" i="7" s="1"/>
  <c r="J2666" i="7" s="1"/>
  <c r="L2665" i="7"/>
  <c r="K2665" i="7"/>
  <c r="H2665" i="7"/>
  <c r="U2665" i="7" s="1"/>
  <c r="C2665" i="7"/>
  <c r="E2665" i="7" s="1"/>
  <c r="F2665" i="7" s="1"/>
  <c r="L2664" i="7"/>
  <c r="K2664" i="7"/>
  <c r="H2664" i="7"/>
  <c r="U2664" i="7" s="1"/>
  <c r="E2664" i="7"/>
  <c r="F2664" i="7" s="1"/>
  <c r="C2664" i="7"/>
  <c r="L2663" i="7"/>
  <c r="K2663" i="7"/>
  <c r="H2663" i="7"/>
  <c r="U2663" i="7" s="1"/>
  <c r="C2663" i="7"/>
  <c r="E2663" i="7" s="1"/>
  <c r="F2663" i="7" s="1"/>
  <c r="L2662" i="7"/>
  <c r="K2662" i="7"/>
  <c r="H2662" i="7"/>
  <c r="U2662" i="7" s="1"/>
  <c r="C2662" i="7"/>
  <c r="E2662" i="7" s="1"/>
  <c r="F2662" i="7" s="1"/>
  <c r="L2661" i="7"/>
  <c r="K2661" i="7"/>
  <c r="H2661" i="7"/>
  <c r="U2661" i="7" s="1"/>
  <c r="C2661" i="7"/>
  <c r="E2661" i="7" s="1"/>
  <c r="F2661" i="7" s="1"/>
  <c r="L2660" i="7"/>
  <c r="K2660" i="7"/>
  <c r="J2660" i="7"/>
  <c r="H2660" i="7"/>
  <c r="U2660" i="7" s="1"/>
  <c r="E2660" i="7"/>
  <c r="F2660" i="7" s="1"/>
  <c r="I2660" i="7" s="1"/>
  <c r="C2660" i="7"/>
  <c r="L2659" i="7"/>
  <c r="K2659" i="7"/>
  <c r="H2659" i="7"/>
  <c r="U2659" i="7" s="1"/>
  <c r="C2659" i="7"/>
  <c r="E2659" i="7" s="1"/>
  <c r="F2659" i="7" s="1"/>
  <c r="L2658" i="7"/>
  <c r="K2658" i="7"/>
  <c r="H2658" i="7"/>
  <c r="U2658" i="7" s="1"/>
  <c r="C2658" i="7"/>
  <c r="E2658" i="7" s="1"/>
  <c r="F2658" i="7" s="1"/>
  <c r="L2657" i="7"/>
  <c r="K2657" i="7"/>
  <c r="H2657" i="7"/>
  <c r="U2657" i="7" s="1"/>
  <c r="F2657" i="7"/>
  <c r="C2657" i="7"/>
  <c r="E2657" i="7" s="1"/>
  <c r="L2656" i="7"/>
  <c r="K2656" i="7"/>
  <c r="H2656" i="7"/>
  <c r="U2656" i="7" s="1"/>
  <c r="C2656" i="7"/>
  <c r="E2656" i="7" s="1"/>
  <c r="F2656" i="7" s="1"/>
  <c r="L2655" i="7"/>
  <c r="K2655" i="7"/>
  <c r="H2655" i="7"/>
  <c r="U2655" i="7" s="1"/>
  <c r="E2655" i="7"/>
  <c r="F2655" i="7" s="1"/>
  <c r="C2655" i="7"/>
  <c r="L2654" i="7"/>
  <c r="K2654" i="7"/>
  <c r="H2654" i="7"/>
  <c r="U2654" i="7" s="1"/>
  <c r="C2654" i="7"/>
  <c r="E2654" i="7" s="1"/>
  <c r="F2654" i="7" s="1"/>
  <c r="L2653" i="7"/>
  <c r="K2653" i="7"/>
  <c r="H2653" i="7"/>
  <c r="U2653" i="7" s="1"/>
  <c r="C2653" i="7"/>
  <c r="E2653" i="7" s="1"/>
  <c r="F2653" i="7" s="1"/>
  <c r="L2652" i="7"/>
  <c r="K2652" i="7"/>
  <c r="H2652" i="7"/>
  <c r="U2652" i="7" s="1"/>
  <c r="C2652" i="7"/>
  <c r="E2652" i="7" s="1"/>
  <c r="F2652" i="7" s="1"/>
  <c r="I2652" i="7" s="1"/>
  <c r="U2651" i="7"/>
  <c r="L2651" i="7"/>
  <c r="K2651" i="7"/>
  <c r="H2651" i="7"/>
  <c r="F2651" i="7"/>
  <c r="C2651" i="7"/>
  <c r="E2651" i="7" s="1"/>
  <c r="L2650" i="7"/>
  <c r="K2650" i="7"/>
  <c r="H2650" i="7"/>
  <c r="U2650" i="7" s="1"/>
  <c r="C2650" i="7"/>
  <c r="E2650" i="7" s="1"/>
  <c r="F2650" i="7" s="1"/>
  <c r="L2649" i="7"/>
  <c r="K2649" i="7"/>
  <c r="H2649" i="7"/>
  <c r="U2649" i="7" s="1"/>
  <c r="C2649" i="7"/>
  <c r="E2649" i="7" s="1"/>
  <c r="F2649" i="7" s="1"/>
  <c r="L2648" i="7"/>
  <c r="K2648" i="7"/>
  <c r="H2648" i="7"/>
  <c r="U2648" i="7" s="1"/>
  <c r="C2648" i="7"/>
  <c r="E2648" i="7" s="1"/>
  <c r="F2648" i="7" s="1"/>
  <c r="L2647" i="7"/>
  <c r="K2647" i="7"/>
  <c r="H2647" i="7"/>
  <c r="U2647" i="7" s="1"/>
  <c r="C2647" i="7"/>
  <c r="E2647" i="7" s="1"/>
  <c r="F2647" i="7" s="1"/>
  <c r="U2646" i="7"/>
  <c r="L2646" i="7"/>
  <c r="K2646" i="7"/>
  <c r="H2646" i="7"/>
  <c r="F2646" i="7"/>
  <c r="C2646" i="7"/>
  <c r="E2646" i="7" s="1"/>
  <c r="L2645" i="7"/>
  <c r="K2645" i="7"/>
  <c r="H2645" i="7"/>
  <c r="U2645" i="7" s="1"/>
  <c r="E2645" i="7"/>
  <c r="F2645" i="7" s="1"/>
  <c r="C2645" i="7"/>
  <c r="U2644" i="7"/>
  <c r="L2644" i="7"/>
  <c r="K2644" i="7"/>
  <c r="H2644" i="7"/>
  <c r="C2644" i="7"/>
  <c r="E2644" i="7" s="1"/>
  <c r="F2644" i="7" s="1"/>
  <c r="L2643" i="7"/>
  <c r="K2643" i="7"/>
  <c r="H2643" i="7"/>
  <c r="U2643" i="7" s="1"/>
  <c r="C2643" i="7"/>
  <c r="E2643" i="7" s="1"/>
  <c r="F2643" i="7" s="1"/>
  <c r="L2642" i="7"/>
  <c r="K2642" i="7"/>
  <c r="H2642" i="7"/>
  <c r="U2642" i="7" s="1"/>
  <c r="C2642" i="7"/>
  <c r="E2642" i="7" s="1"/>
  <c r="F2642" i="7" s="1"/>
  <c r="L2641" i="7"/>
  <c r="K2641" i="7"/>
  <c r="H2641" i="7"/>
  <c r="U2641" i="7" s="1"/>
  <c r="C2641" i="7"/>
  <c r="E2641" i="7" s="1"/>
  <c r="F2641" i="7" s="1"/>
  <c r="L2640" i="7"/>
  <c r="K2640" i="7"/>
  <c r="H2640" i="7"/>
  <c r="U2640" i="7" s="1"/>
  <c r="C2640" i="7"/>
  <c r="E2640" i="7" s="1"/>
  <c r="F2640" i="7" s="1"/>
  <c r="I2640" i="7" s="1"/>
  <c r="L2639" i="7"/>
  <c r="K2639" i="7"/>
  <c r="H2639" i="7"/>
  <c r="U2639" i="7" s="1"/>
  <c r="C2639" i="7"/>
  <c r="E2639" i="7" s="1"/>
  <c r="F2639" i="7" s="1"/>
  <c r="L2638" i="7"/>
  <c r="K2638" i="7"/>
  <c r="H2638" i="7"/>
  <c r="U2638" i="7" s="1"/>
  <c r="C2638" i="7"/>
  <c r="E2638" i="7" s="1"/>
  <c r="F2638" i="7" s="1"/>
  <c r="L2637" i="7"/>
  <c r="K2637" i="7"/>
  <c r="H2637" i="7"/>
  <c r="U2637" i="7" s="1"/>
  <c r="E2637" i="7"/>
  <c r="F2637" i="7" s="1"/>
  <c r="C2637" i="7"/>
  <c r="U2636" i="7"/>
  <c r="L2636" i="7"/>
  <c r="K2636" i="7"/>
  <c r="H2636" i="7"/>
  <c r="C2636" i="7"/>
  <c r="E2636" i="7" s="1"/>
  <c r="F2636" i="7" s="1"/>
  <c r="U2635" i="7"/>
  <c r="L2635" i="7"/>
  <c r="K2635" i="7"/>
  <c r="H2635" i="7"/>
  <c r="C2635" i="7"/>
  <c r="E2635" i="7" s="1"/>
  <c r="F2635" i="7" s="1"/>
  <c r="L2634" i="7"/>
  <c r="K2634" i="7"/>
  <c r="H2634" i="7"/>
  <c r="U2634" i="7" s="1"/>
  <c r="C2634" i="7"/>
  <c r="E2634" i="7" s="1"/>
  <c r="F2634" i="7" s="1"/>
  <c r="L2633" i="7"/>
  <c r="K2633" i="7"/>
  <c r="H2633" i="7"/>
  <c r="U2633" i="7" s="1"/>
  <c r="E2633" i="7"/>
  <c r="F2633" i="7" s="1"/>
  <c r="C2633" i="7"/>
  <c r="L2632" i="7"/>
  <c r="K2632" i="7"/>
  <c r="H2632" i="7"/>
  <c r="U2632" i="7" s="1"/>
  <c r="C2632" i="7"/>
  <c r="E2632" i="7" s="1"/>
  <c r="F2632" i="7" s="1"/>
  <c r="L2631" i="7"/>
  <c r="K2631" i="7"/>
  <c r="H2631" i="7"/>
  <c r="U2631" i="7" s="1"/>
  <c r="C2631" i="7"/>
  <c r="E2631" i="7" s="1"/>
  <c r="F2631" i="7" s="1"/>
  <c r="L2630" i="7"/>
  <c r="K2630" i="7"/>
  <c r="H2630" i="7"/>
  <c r="U2630" i="7" s="1"/>
  <c r="C2630" i="7"/>
  <c r="E2630" i="7" s="1"/>
  <c r="F2630" i="7" s="1"/>
  <c r="L2629" i="7"/>
  <c r="K2629" i="7"/>
  <c r="H2629" i="7"/>
  <c r="U2629" i="7" s="1"/>
  <c r="C2629" i="7"/>
  <c r="E2629" i="7" s="1"/>
  <c r="F2629" i="7" s="1"/>
  <c r="L2628" i="7"/>
  <c r="K2628" i="7"/>
  <c r="H2628" i="7"/>
  <c r="U2628" i="7" s="1"/>
  <c r="C2628" i="7"/>
  <c r="E2628" i="7" s="1"/>
  <c r="F2628" i="7" s="1"/>
  <c r="L2627" i="7"/>
  <c r="K2627" i="7"/>
  <c r="H2627" i="7"/>
  <c r="U2627" i="7" s="1"/>
  <c r="F2627" i="7"/>
  <c r="C2627" i="7"/>
  <c r="E2627" i="7" s="1"/>
  <c r="U2626" i="7"/>
  <c r="L2626" i="7"/>
  <c r="K2626" i="7"/>
  <c r="H2626" i="7"/>
  <c r="C2626" i="7"/>
  <c r="E2626" i="7" s="1"/>
  <c r="F2626" i="7" s="1"/>
  <c r="L2625" i="7"/>
  <c r="K2625" i="7"/>
  <c r="H2625" i="7"/>
  <c r="U2625" i="7" s="1"/>
  <c r="C2625" i="7"/>
  <c r="E2625" i="7" s="1"/>
  <c r="F2625" i="7" s="1"/>
  <c r="L2624" i="7"/>
  <c r="K2624" i="7"/>
  <c r="H2624" i="7"/>
  <c r="U2624" i="7" s="1"/>
  <c r="C2624" i="7"/>
  <c r="E2624" i="7" s="1"/>
  <c r="F2624" i="7" s="1"/>
  <c r="L2623" i="7"/>
  <c r="K2623" i="7"/>
  <c r="H2623" i="7"/>
  <c r="U2623" i="7" s="1"/>
  <c r="C2623" i="7"/>
  <c r="E2623" i="7" s="1"/>
  <c r="F2623" i="7" s="1"/>
  <c r="L2622" i="7"/>
  <c r="K2622" i="7"/>
  <c r="H2622" i="7"/>
  <c r="U2622" i="7" s="1"/>
  <c r="C2622" i="7"/>
  <c r="E2622" i="7" s="1"/>
  <c r="F2622" i="7" s="1"/>
  <c r="U2621" i="7"/>
  <c r="L2621" i="7"/>
  <c r="K2621" i="7"/>
  <c r="H2621" i="7"/>
  <c r="C2621" i="7"/>
  <c r="E2621" i="7" s="1"/>
  <c r="F2621" i="7" s="1"/>
  <c r="U2620" i="7"/>
  <c r="L2620" i="7"/>
  <c r="K2620" i="7"/>
  <c r="H2620" i="7"/>
  <c r="C2620" i="7"/>
  <c r="E2620" i="7" s="1"/>
  <c r="F2620" i="7" s="1"/>
  <c r="L2619" i="7"/>
  <c r="K2619" i="7"/>
  <c r="H2619" i="7"/>
  <c r="U2619" i="7" s="1"/>
  <c r="C2619" i="7"/>
  <c r="E2619" i="7" s="1"/>
  <c r="F2619" i="7" s="1"/>
  <c r="U2618" i="7"/>
  <c r="L2618" i="7"/>
  <c r="K2618" i="7"/>
  <c r="H2618" i="7"/>
  <c r="C2618" i="7"/>
  <c r="E2618" i="7" s="1"/>
  <c r="F2618" i="7" s="1"/>
  <c r="L2617" i="7"/>
  <c r="K2617" i="7"/>
  <c r="H2617" i="7"/>
  <c r="U2617" i="7" s="1"/>
  <c r="C2617" i="7"/>
  <c r="E2617" i="7" s="1"/>
  <c r="F2617" i="7" s="1"/>
  <c r="I2617" i="7" s="1"/>
  <c r="L2616" i="7"/>
  <c r="K2616" i="7"/>
  <c r="H2616" i="7"/>
  <c r="U2616" i="7" s="1"/>
  <c r="C2616" i="7"/>
  <c r="E2616" i="7" s="1"/>
  <c r="F2616" i="7" s="1"/>
  <c r="L2615" i="7"/>
  <c r="K2615" i="7"/>
  <c r="H2615" i="7"/>
  <c r="U2615" i="7" s="1"/>
  <c r="C2615" i="7"/>
  <c r="E2615" i="7" s="1"/>
  <c r="F2615" i="7" s="1"/>
  <c r="L2614" i="7"/>
  <c r="K2614" i="7"/>
  <c r="H2614" i="7"/>
  <c r="U2614" i="7" s="1"/>
  <c r="C2614" i="7"/>
  <c r="E2614" i="7" s="1"/>
  <c r="F2614" i="7" s="1"/>
  <c r="L2613" i="7"/>
  <c r="K2613" i="7"/>
  <c r="H2613" i="7"/>
  <c r="U2613" i="7" s="1"/>
  <c r="E2613" i="7"/>
  <c r="F2613" i="7" s="1"/>
  <c r="I2613" i="7" s="1"/>
  <c r="C2613" i="7"/>
  <c r="L2612" i="7"/>
  <c r="K2612" i="7"/>
  <c r="H2612" i="7"/>
  <c r="U2612" i="7" s="1"/>
  <c r="C2612" i="7"/>
  <c r="E2612" i="7" s="1"/>
  <c r="F2612" i="7" s="1"/>
  <c r="L2611" i="7"/>
  <c r="K2611" i="7"/>
  <c r="H2611" i="7"/>
  <c r="U2611" i="7" s="1"/>
  <c r="C2611" i="7"/>
  <c r="E2611" i="7" s="1"/>
  <c r="F2611" i="7" s="1"/>
  <c r="L2610" i="7"/>
  <c r="K2610" i="7"/>
  <c r="H2610" i="7"/>
  <c r="U2610" i="7" s="1"/>
  <c r="C2610" i="7"/>
  <c r="E2610" i="7" s="1"/>
  <c r="F2610" i="7" s="1"/>
  <c r="L2609" i="7"/>
  <c r="K2609" i="7"/>
  <c r="H2609" i="7"/>
  <c r="U2609" i="7" s="1"/>
  <c r="C2609" i="7"/>
  <c r="E2609" i="7" s="1"/>
  <c r="F2609" i="7" s="1"/>
  <c r="L2608" i="7"/>
  <c r="K2608" i="7"/>
  <c r="H2608" i="7"/>
  <c r="U2608" i="7" s="1"/>
  <c r="C2608" i="7"/>
  <c r="E2608" i="7" s="1"/>
  <c r="F2608" i="7" s="1"/>
  <c r="L2607" i="7"/>
  <c r="K2607" i="7"/>
  <c r="H2607" i="7"/>
  <c r="U2607" i="7" s="1"/>
  <c r="C2607" i="7"/>
  <c r="E2607" i="7" s="1"/>
  <c r="F2607" i="7" s="1"/>
  <c r="L2606" i="7"/>
  <c r="K2606" i="7"/>
  <c r="H2606" i="7"/>
  <c r="U2606" i="7" s="1"/>
  <c r="C2606" i="7"/>
  <c r="E2606" i="7" s="1"/>
  <c r="F2606" i="7" s="1"/>
  <c r="L2605" i="7"/>
  <c r="K2605" i="7"/>
  <c r="H2605" i="7"/>
  <c r="U2605" i="7" s="1"/>
  <c r="C2605" i="7"/>
  <c r="E2605" i="7" s="1"/>
  <c r="F2605" i="7" s="1"/>
  <c r="I2605" i="7" s="1"/>
  <c r="L2604" i="7"/>
  <c r="K2604" i="7"/>
  <c r="H2604" i="7"/>
  <c r="U2604" i="7" s="1"/>
  <c r="C2604" i="7"/>
  <c r="E2604" i="7" s="1"/>
  <c r="F2604" i="7" s="1"/>
  <c r="L2603" i="7"/>
  <c r="K2603" i="7"/>
  <c r="H2603" i="7"/>
  <c r="U2603" i="7" s="1"/>
  <c r="C2603" i="7"/>
  <c r="E2603" i="7" s="1"/>
  <c r="F2603" i="7" s="1"/>
  <c r="L2602" i="7"/>
  <c r="K2602" i="7"/>
  <c r="H2602" i="7"/>
  <c r="U2602" i="7" s="1"/>
  <c r="C2602" i="7"/>
  <c r="E2602" i="7" s="1"/>
  <c r="F2602" i="7" s="1"/>
  <c r="L2601" i="7"/>
  <c r="K2601" i="7"/>
  <c r="H2601" i="7"/>
  <c r="U2601" i="7" s="1"/>
  <c r="C2601" i="7"/>
  <c r="E2601" i="7" s="1"/>
  <c r="F2601" i="7" s="1"/>
  <c r="L2600" i="7"/>
  <c r="K2600" i="7"/>
  <c r="H2600" i="7"/>
  <c r="U2600" i="7" s="1"/>
  <c r="C2600" i="7"/>
  <c r="E2600" i="7" s="1"/>
  <c r="F2600" i="7" s="1"/>
  <c r="L2599" i="7"/>
  <c r="K2599" i="7"/>
  <c r="H2599" i="7"/>
  <c r="U2599" i="7" s="1"/>
  <c r="C2599" i="7"/>
  <c r="E2599" i="7" s="1"/>
  <c r="F2599" i="7" s="1"/>
  <c r="L2598" i="7"/>
  <c r="K2598" i="7"/>
  <c r="H2598" i="7"/>
  <c r="U2598" i="7" s="1"/>
  <c r="C2598" i="7"/>
  <c r="E2598" i="7" s="1"/>
  <c r="F2598" i="7" s="1"/>
  <c r="L2597" i="7"/>
  <c r="K2597" i="7"/>
  <c r="H2597" i="7"/>
  <c r="U2597" i="7" s="1"/>
  <c r="C2597" i="7"/>
  <c r="E2597" i="7" s="1"/>
  <c r="F2597" i="7" s="1"/>
  <c r="L2596" i="7"/>
  <c r="K2596" i="7"/>
  <c r="H2596" i="7"/>
  <c r="U2596" i="7" s="1"/>
  <c r="C2596" i="7"/>
  <c r="E2596" i="7" s="1"/>
  <c r="F2596" i="7" s="1"/>
  <c r="L2595" i="7"/>
  <c r="K2595" i="7"/>
  <c r="H2595" i="7"/>
  <c r="U2595" i="7" s="1"/>
  <c r="F2595" i="7"/>
  <c r="C2595" i="7"/>
  <c r="E2595" i="7" s="1"/>
  <c r="L2594" i="7"/>
  <c r="K2594" i="7"/>
  <c r="H2594" i="7"/>
  <c r="U2594" i="7" s="1"/>
  <c r="C2594" i="7"/>
  <c r="E2594" i="7" s="1"/>
  <c r="F2594" i="7" s="1"/>
  <c r="L2593" i="7"/>
  <c r="K2593" i="7"/>
  <c r="H2593" i="7"/>
  <c r="U2593" i="7" s="1"/>
  <c r="C2593" i="7"/>
  <c r="E2593" i="7" s="1"/>
  <c r="F2593" i="7" s="1"/>
  <c r="L2592" i="7"/>
  <c r="K2592" i="7"/>
  <c r="H2592" i="7"/>
  <c r="U2592" i="7" s="1"/>
  <c r="C2592" i="7"/>
  <c r="E2592" i="7" s="1"/>
  <c r="F2592" i="7" s="1"/>
  <c r="L2591" i="7"/>
  <c r="K2591" i="7"/>
  <c r="H2591" i="7"/>
  <c r="U2591" i="7" s="1"/>
  <c r="C2591" i="7"/>
  <c r="E2591" i="7" s="1"/>
  <c r="F2591" i="7" s="1"/>
  <c r="L2590" i="7"/>
  <c r="K2590" i="7"/>
  <c r="I2590" i="7"/>
  <c r="H2590" i="7"/>
  <c r="U2590" i="7" s="1"/>
  <c r="C2590" i="7"/>
  <c r="E2590" i="7" s="1"/>
  <c r="F2590" i="7" s="1"/>
  <c r="L2589" i="7"/>
  <c r="K2589" i="7"/>
  <c r="H2589" i="7"/>
  <c r="U2589" i="7" s="1"/>
  <c r="F2589" i="7"/>
  <c r="C2589" i="7"/>
  <c r="E2589" i="7" s="1"/>
  <c r="L2588" i="7"/>
  <c r="K2588" i="7"/>
  <c r="H2588" i="7"/>
  <c r="U2588" i="7" s="1"/>
  <c r="C2588" i="7"/>
  <c r="E2588" i="7" s="1"/>
  <c r="F2588" i="7" s="1"/>
  <c r="L2587" i="7"/>
  <c r="K2587" i="7"/>
  <c r="H2587" i="7"/>
  <c r="U2587" i="7" s="1"/>
  <c r="C2587" i="7"/>
  <c r="E2587" i="7" s="1"/>
  <c r="F2587" i="7" s="1"/>
  <c r="U2586" i="7"/>
  <c r="L2586" i="7"/>
  <c r="K2586" i="7"/>
  <c r="H2586" i="7"/>
  <c r="C2586" i="7"/>
  <c r="E2586" i="7" s="1"/>
  <c r="F2586" i="7" s="1"/>
  <c r="L2585" i="7"/>
  <c r="K2585" i="7"/>
  <c r="H2585" i="7"/>
  <c r="U2585" i="7" s="1"/>
  <c r="C2585" i="7"/>
  <c r="E2585" i="7" s="1"/>
  <c r="F2585" i="7" s="1"/>
  <c r="I2585" i="7" s="1"/>
  <c r="L2584" i="7"/>
  <c r="K2584" i="7"/>
  <c r="H2584" i="7"/>
  <c r="U2584" i="7" s="1"/>
  <c r="F2584" i="7"/>
  <c r="C2584" i="7"/>
  <c r="E2584" i="7" s="1"/>
  <c r="L2583" i="7"/>
  <c r="K2583" i="7"/>
  <c r="H2583" i="7"/>
  <c r="U2583" i="7" s="1"/>
  <c r="C2583" i="7"/>
  <c r="E2583" i="7" s="1"/>
  <c r="F2583" i="7" s="1"/>
  <c r="U2582" i="7"/>
  <c r="L2582" i="7"/>
  <c r="K2582" i="7"/>
  <c r="H2582" i="7"/>
  <c r="C2582" i="7"/>
  <c r="E2582" i="7" s="1"/>
  <c r="F2582" i="7" s="1"/>
  <c r="U2581" i="7"/>
  <c r="L2581" i="7"/>
  <c r="K2581" i="7"/>
  <c r="H2581" i="7"/>
  <c r="C2581" i="7"/>
  <c r="E2581" i="7" s="1"/>
  <c r="F2581" i="7" s="1"/>
  <c r="J2581" i="7" s="1"/>
  <c r="L2580" i="7"/>
  <c r="K2580" i="7"/>
  <c r="H2580" i="7"/>
  <c r="U2580" i="7" s="1"/>
  <c r="C2580" i="7"/>
  <c r="E2580" i="7" s="1"/>
  <c r="F2580" i="7" s="1"/>
  <c r="L2579" i="7"/>
  <c r="K2579" i="7"/>
  <c r="H2579" i="7"/>
  <c r="U2579" i="7" s="1"/>
  <c r="F2579" i="7"/>
  <c r="C2579" i="7"/>
  <c r="E2579" i="7" s="1"/>
  <c r="L2578" i="7"/>
  <c r="K2578" i="7"/>
  <c r="H2578" i="7"/>
  <c r="U2578" i="7" s="1"/>
  <c r="C2578" i="7"/>
  <c r="E2578" i="7" s="1"/>
  <c r="F2578" i="7" s="1"/>
  <c r="L2577" i="7"/>
  <c r="K2577" i="7"/>
  <c r="H2577" i="7"/>
  <c r="U2577" i="7" s="1"/>
  <c r="E2577" i="7"/>
  <c r="F2577" i="7" s="1"/>
  <c r="C2577" i="7"/>
  <c r="L2576" i="7"/>
  <c r="K2576" i="7"/>
  <c r="H2576" i="7"/>
  <c r="U2576" i="7" s="1"/>
  <c r="C2576" i="7"/>
  <c r="E2576" i="7" s="1"/>
  <c r="F2576" i="7" s="1"/>
  <c r="L2575" i="7"/>
  <c r="K2575" i="7"/>
  <c r="H2575" i="7"/>
  <c r="U2575" i="7" s="1"/>
  <c r="C2575" i="7"/>
  <c r="E2575" i="7" s="1"/>
  <c r="F2575" i="7" s="1"/>
  <c r="L2574" i="7"/>
  <c r="K2574" i="7"/>
  <c r="H2574" i="7"/>
  <c r="U2574" i="7" s="1"/>
  <c r="C2574" i="7"/>
  <c r="E2574" i="7" s="1"/>
  <c r="F2574" i="7" s="1"/>
  <c r="U2573" i="7"/>
  <c r="L2573" i="7"/>
  <c r="K2573" i="7"/>
  <c r="H2573" i="7"/>
  <c r="F2573" i="7"/>
  <c r="E2573" i="7"/>
  <c r="C2573" i="7"/>
  <c r="L2572" i="7"/>
  <c r="K2572" i="7"/>
  <c r="H2572" i="7"/>
  <c r="U2572" i="7" s="1"/>
  <c r="C2572" i="7"/>
  <c r="E2572" i="7" s="1"/>
  <c r="F2572" i="7" s="1"/>
  <c r="U2571" i="7"/>
  <c r="L2571" i="7"/>
  <c r="K2571" i="7"/>
  <c r="H2571" i="7"/>
  <c r="C2571" i="7"/>
  <c r="E2571" i="7" s="1"/>
  <c r="F2571" i="7" s="1"/>
  <c r="L2570" i="7"/>
  <c r="K2570" i="7"/>
  <c r="H2570" i="7"/>
  <c r="U2570" i="7" s="1"/>
  <c r="C2570" i="7"/>
  <c r="E2570" i="7" s="1"/>
  <c r="F2570" i="7" s="1"/>
  <c r="L2569" i="7"/>
  <c r="K2569" i="7"/>
  <c r="H2569" i="7"/>
  <c r="U2569" i="7" s="1"/>
  <c r="C2569" i="7"/>
  <c r="E2569" i="7" s="1"/>
  <c r="F2569" i="7" s="1"/>
  <c r="I2569" i="7" s="1"/>
  <c r="L2568" i="7"/>
  <c r="K2568" i="7"/>
  <c r="H2568" i="7"/>
  <c r="U2568" i="7" s="1"/>
  <c r="C2568" i="7"/>
  <c r="E2568" i="7" s="1"/>
  <c r="F2568" i="7" s="1"/>
  <c r="L2567" i="7"/>
  <c r="K2567" i="7"/>
  <c r="H2567" i="7"/>
  <c r="U2567" i="7" s="1"/>
  <c r="C2567" i="7"/>
  <c r="E2567" i="7" s="1"/>
  <c r="F2567" i="7" s="1"/>
  <c r="L2566" i="7"/>
  <c r="J2566" i="7" s="1"/>
  <c r="K2566" i="7"/>
  <c r="H2566" i="7"/>
  <c r="U2566" i="7" s="1"/>
  <c r="C2566" i="7"/>
  <c r="E2566" i="7" s="1"/>
  <c r="F2566" i="7" s="1"/>
  <c r="L2565" i="7"/>
  <c r="K2565" i="7"/>
  <c r="H2565" i="7"/>
  <c r="U2565" i="7" s="1"/>
  <c r="C2565" i="7"/>
  <c r="E2565" i="7" s="1"/>
  <c r="F2565" i="7" s="1"/>
  <c r="L2564" i="7"/>
  <c r="K2564" i="7"/>
  <c r="H2564" i="7"/>
  <c r="U2564" i="7" s="1"/>
  <c r="C2564" i="7"/>
  <c r="E2564" i="7" s="1"/>
  <c r="F2564" i="7" s="1"/>
  <c r="L2563" i="7"/>
  <c r="K2563" i="7"/>
  <c r="H2563" i="7"/>
  <c r="U2563" i="7" s="1"/>
  <c r="C2563" i="7"/>
  <c r="E2563" i="7" s="1"/>
  <c r="F2563" i="7" s="1"/>
  <c r="L2562" i="7"/>
  <c r="K2562" i="7"/>
  <c r="H2562" i="7"/>
  <c r="U2562" i="7" s="1"/>
  <c r="C2562" i="7"/>
  <c r="E2562" i="7" s="1"/>
  <c r="F2562" i="7" s="1"/>
  <c r="L2561" i="7"/>
  <c r="K2561" i="7"/>
  <c r="H2561" i="7"/>
  <c r="U2561" i="7" s="1"/>
  <c r="E2561" i="7"/>
  <c r="F2561" i="7" s="1"/>
  <c r="C2561" i="7"/>
  <c r="L2560" i="7"/>
  <c r="K2560" i="7"/>
  <c r="H2560" i="7"/>
  <c r="U2560" i="7" s="1"/>
  <c r="C2560" i="7"/>
  <c r="E2560" i="7" s="1"/>
  <c r="F2560" i="7" s="1"/>
  <c r="L2559" i="7"/>
  <c r="K2559" i="7"/>
  <c r="H2559" i="7"/>
  <c r="U2559" i="7" s="1"/>
  <c r="C2559" i="7"/>
  <c r="E2559" i="7" s="1"/>
  <c r="F2559" i="7" s="1"/>
  <c r="U2558" i="7"/>
  <c r="L2558" i="7"/>
  <c r="K2558" i="7"/>
  <c r="H2558" i="7"/>
  <c r="C2558" i="7"/>
  <c r="E2558" i="7" s="1"/>
  <c r="F2558" i="7" s="1"/>
  <c r="U2557" i="7"/>
  <c r="L2557" i="7"/>
  <c r="K2557" i="7"/>
  <c r="H2557" i="7"/>
  <c r="C2557" i="7"/>
  <c r="E2557" i="7" s="1"/>
  <c r="F2557" i="7" s="1"/>
  <c r="L2556" i="7"/>
  <c r="K2556" i="7"/>
  <c r="H2556" i="7"/>
  <c r="U2556" i="7" s="1"/>
  <c r="C2556" i="7"/>
  <c r="E2556" i="7" s="1"/>
  <c r="F2556" i="7" s="1"/>
  <c r="L2555" i="7"/>
  <c r="K2555" i="7"/>
  <c r="H2555" i="7"/>
  <c r="U2555" i="7" s="1"/>
  <c r="C2555" i="7"/>
  <c r="E2555" i="7" s="1"/>
  <c r="F2555" i="7" s="1"/>
  <c r="U2554" i="7"/>
  <c r="L2554" i="7"/>
  <c r="K2554" i="7"/>
  <c r="H2554" i="7"/>
  <c r="C2554" i="7"/>
  <c r="E2554" i="7" s="1"/>
  <c r="F2554" i="7" s="1"/>
  <c r="L2553" i="7"/>
  <c r="K2553" i="7"/>
  <c r="H2553" i="7"/>
  <c r="U2553" i="7" s="1"/>
  <c r="C2553" i="7"/>
  <c r="E2553" i="7" s="1"/>
  <c r="F2553" i="7" s="1"/>
  <c r="L2552" i="7"/>
  <c r="K2552" i="7"/>
  <c r="H2552" i="7"/>
  <c r="U2552" i="7" s="1"/>
  <c r="C2552" i="7"/>
  <c r="E2552" i="7" s="1"/>
  <c r="F2552" i="7" s="1"/>
  <c r="L2551" i="7"/>
  <c r="K2551" i="7"/>
  <c r="H2551" i="7"/>
  <c r="U2551" i="7" s="1"/>
  <c r="C2551" i="7"/>
  <c r="E2551" i="7" s="1"/>
  <c r="F2551" i="7" s="1"/>
  <c r="U2550" i="7"/>
  <c r="L2550" i="7"/>
  <c r="K2550" i="7"/>
  <c r="H2550" i="7"/>
  <c r="C2550" i="7"/>
  <c r="E2550" i="7" s="1"/>
  <c r="F2550" i="7" s="1"/>
  <c r="L2549" i="7"/>
  <c r="K2549" i="7"/>
  <c r="H2549" i="7"/>
  <c r="U2549" i="7" s="1"/>
  <c r="C2549" i="7"/>
  <c r="E2549" i="7" s="1"/>
  <c r="F2549" i="7" s="1"/>
  <c r="L2548" i="7"/>
  <c r="K2548" i="7"/>
  <c r="H2548" i="7"/>
  <c r="U2548" i="7" s="1"/>
  <c r="C2548" i="7"/>
  <c r="E2548" i="7" s="1"/>
  <c r="F2548" i="7" s="1"/>
  <c r="L2547" i="7"/>
  <c r="K2547" i="7"/>
  <c r="H2547" i="7"/>
  <c r="U2547" i="7" s="1"/>
  <c r="C2547" i="7"/>
  <c r="E2547" i="7" s="1"/>
  <c r="F2547" i="7" s="1"/>
  <c r="U2546" i="7"/>
  <c r="L2546" i="7"/>
  <c r="K2546" i="7"/>
  <c r="H2546" i="7"/>
  <c r="C2546" i="7"/>
  <c r="E2546" i="7" s="1"/>
  <c r="F2546" i="7" s="1"/>
  <c r="L2545" i="7"/>
  <c r="K2545" i="7"/>
  <c r="H2545" i="7"/>
  <c r="U2545" i="7" s="1"/>
  <c r="C2545" i="7"/>
  <c r="E2545" i="7" s="1"/>
  <c r="F2545" i="7" s="1"/>
  <c r="L2544" i="7"/>
  <c r="K2544" i="7"/>
  <c r="H2544" i="7"/>
  <c r="U2544" i="7" s="1"/>
  <c r="C2544" i="7"/>
  <c r="E2544" i="7" s="1"/>
  <c r="F2544" i="7" s="1"/>
  <c r="L2543" i="7"/>
  <c r="K2543" i="7"/>
  <c r="H2543" i="7"/>
  <c r="U2543" i="7" s="1"/>
  <c r="C2543" i="7"/>
  <c r="E2543" i="7" s="1"/>
  <c r="F2543" i="7" s="1"/>
  <c r="L2542" i="7"/>
  <c r="K2542" i="7"/>
  <c r="J2542" i="7"/>
  <c r="H2542" i="7"/>
  <c r="U2542" i="7" s="1"/>
  <c r="C2542" i="7"/>
  <c r="E2542" i="7" s="1"/>
  <c r="F2542" i="7" s="1"/>
  <c r="U2541" i="7"/>
  <c r="L2541" i="7"/>
  <c r="K2541" i="7"/>
  <c r="H2541" i="7"/>
  <c r="C2541" i="7"/>
  <c r="E2541" i="7" s="1"/>
  <c r="F2541" i="7" s="1"/>
  <c r="L2540" i="7"/>
  <c r="K2540" i="7"/>
  <c r="H2540" i="7"/>
  <c r="U2540" i="7" s="1"/>
  <c r="C2540" i="7"/>
  <c r="E2540" i="7" s="1"/>
  <c r="F2540" i="7" s="1"/>
  <c r="L2539" i="7"/>
  <c r="K2539" i="7"/>
  <c r="H2539" i="7"/>
  <c r="U2539" i="7" s="1"/>
  <c r="F2539" i="7"/>
  <c r="C2539" i="7"/>
  <c r="E2539" i="7" s="1"/>
  <c r="L2538" i="7"/>
  <c r="K2538" i="7"/>
  <c r="H2538" i="7"/>
  <c r="U2538" i="7" s="1"/>
  <c r="C2538" i="7"/>
  <c r="E2538" i="7" s="1"/>
  <c r="F2538" i="7" s="1"/>
  <c r="U2537" i="7"/>
  <c r="L2537" i="7"/>
  <c r="K2537" i="7"/>
  <c r="H2537" i="7"/>
  <c r="C2537" i="7"/>
  <c r="E2537" i="7" s="1"/>
  <c r="F2537" i="7" s="1"/>
  <c r="L2536" i="7"/>
  <c r="K2536" i="7"/>
  <c r="H2536" i="7"/>
  <c r="U2536" i="7" s="1"/>
  <c r="C2536" i="7"/>
  <c r="E2536" i="7" s="1"/>
  <c r="F2536" i="7" s="1"/>
  <c r="L2535" i="7"/>
  <c r="K2535" i="7"/>
  <c r="H2535" i="7"/>
  <c r="U2535" i="7" s="1"/>
  <c r="C2535" i="7"/>
  <c r="E2535" i="7" s="1"/>
  <c r="F2535" i="7" s="1"/>
  <c r="L2534" i="7"/>
  <c r="K2534" i="7"/>
  <c r="H2534" i="7"/>
  <c r="U2534" i="7" s="1"/>
  <c r="C2534" i="7"/>
  <c r="E2534" i="7" s="1"/>
  <c r="F2534" i="7" s="1"/>
  <c r="L2533" i="7"/>
  <c r="K2533" i="7"/>
  <c r="H2533" i="7"/>
  <c r="U2533" i="7" s="1"/>
  <c r="E2533" i="7"/>
  <c r="F2533" i="7" s="1"/>
  <c r="C2533" i="7"/>
  <c r="L2532" i="7"/>
  <c r="K2532" i="7"/>
  <c r="H2532" i="7"/>
  <c r="U2532" i="7" s="1"/>
  <c r="C2532" i="7"/>
  <c r="E2532" i="7" s="1"/>
  <c r="F2532" i="7" s="1"/>
  <c r="L2531" i="7"/>
  <c r="K2531" i="7"/>
  <c r="H2531" i="7"/>
  <c r="U2531" i="7" s="1"/>
  <c r="F2531" i="7"/>
  <c r="C2531" i="7"/>
  <c r="E2531" i="7" s="1"/>
  <c r="L2530" i="7"/>
  <c r="K2530" i="7"/>
  <c r="H2530" i="7"/>
  <c r="U2530" i="7" s="1"/>
  <c r="C2530" i="7"/>
  <c r="E2530" i="7" s="1"/>
  <c r="F2530" i="7" s="1"/>
  <c r="L2529" i="7"/>
  <c r="K2529" i="7"/>
  <c r="H2529" i="7"/>
  <c r="U2529" i="7" s="1"/>
  <c r="E2529" i="7"/>
  <c r="F2529" i="7" s="1"/>
  <c r="C2529" i="7"/>
  <c r="L2528" i="7"/>
  <c r="K2528" i="7"/>
  <c r="H2528" i="7"/>
  <c r="U2528" i="7" s="1"/>
  <c r="C2528" i="7"/>
  <c r="E2528" i="7" s="1"/>
  <c r="F2528" i="7" s="1"/>
  <c r="L2527" i="7"/>
  <c r="K2527" i="7"/>
  <c r="H2527" i="7"/>
  <c r="U2527" i="7" s="1"/>
  <c r="C2527" i="7"/>
  <c r="E2527" i="7" s="1"/>
  <c r="F2527" i="7" s="1"/>
  <c r="L2526" i="7"/>
  <c r="K2526" i="7"/>
  <c r="H2526" i="7"/>
  <c r="U2526" i="7" s="1"/>
  <c r="C2526" i="7"/>
  <c r="E2526" i="7" s="1"/>
  <c r="F2526" i="7" s="1"/>
  <c r="I2526" i="7" s="1"/>
  <c r="L2525" i="7"/>
  <c r="K2525" i="7"/>
  <c r="H2525" i="7"/>
  <c r="U2525" i="7" s="1"/>
  <c r="C2525" i="7"/>
  <c r="E2525" i="7" s="1"/>
  <c r="F2525" i="7" s="1"/>
  <c r="I2525" i="7" s="1"/>
  <c r="L2524" i="7"/>
  <c r="K2524" i="7"/>
  <c r="H2524" i="7"/>
  <c r="U2524" i="7" s="1"/>
  <c r="E2524" i="7"/>
  <c r="F2524" i="7" s="1"/>
  <c r="C2524" i="7"/>
  <c r="L2523" i="7"/>
  <c r="K2523" i="7"/>
  <c r="H2523" i="7"/>
  <c r="U2523" i="7" s="1"/>
  <c r="C2523" i="7"/>
  <c r="E2523" i="7" s="1"/>
  <c r="F2523" i="7" s="1"/>
  <c r="L2522" i="7"/>
  <c r="K2522" i="7"/>
  <c r="H2522" i="7"/>
  <c r="U2522" i="7" s="1"/>
  <c r="C2522" i="7"/>
  <c r="E2522" i="7" s="1"/>
  <c r="F2522" i="7" s="1"/>
  <c r="L2521" i="7"/>
  <c r="K2521" i="7"/>
  <c r="H2521" i="7"/>
  <c r="U2521" i="7" s="1"/>
  <c r="C2521" i="7"/>
  <c r="E2521" i="7" s="1"/>
  <c r="F2521" i="7" s="1"/>
  <c r="L2520" i="7"/>
  <c r="K2520" i="7"/>
  <c r="H2520" i="7"/>
  <c r="U2520" i="7" s="1"/>
  <c r="C2520" i="7"/>
  <c r="E2520" i="7" s="1"/>
  <c r="F2520" i="7" s="1"/>
  <c r="L2519" i="7"/>
  <c r="K2519" i="7"/>
  <c r="H2519" i="7"/>
  <c r="U2519" i="7" s="1"/>
  <c r="C2519" i="7"/>
  <c r="E2519" i="7" s="1"/>
  <c r="F2519" i="7" s="1"/>
  <c r="L2518" i="7"/>
  <c r="K2518" i="7"/>
  <c r="H2518" i="7"/>
  <c r="U2518" i="7" s="1"/>
  <c r="F2518" i="7"/>
  <c r="J2518" i="7" s="1"/>
  <c r="C2518" i="7"/>
  <c r="E2518" i="7" s="1"/>
  <c r="L2517" i="7"/>
  <c r="K2517" i="7"/>
  <c r="H2517" i="7"/>
  <c r="U2517" i="7" s="1"/>
  <c r="C2517" i="7"/>
  <c r="E2517" i="7" s="1"/>
  <c r="F2517" i="7" s="1"/>
  <c r="L2516" i="7"/>
  <c r="K2516" i="7"/>
  <c r="H2516" i="7"/>
  <c r="U2516" i="7" s="1"/>
  <c r="C2516" i="7"/>
  <c r="E2516" i="7" s="1"/>
  <c r="F2516" i="7" s="1"/>
  <c r="L2515" i="7"/>
  <c r="K2515" i="7"/>
  <c r="H2515" i="7"/>
  <c r="U2515" i="7" s="1"/>
  <c r="C2515" i="7"/>
  <c r="E2515" i="7" s="1"/>
  <c r="F2515" i="7" s="1"/>
  <c r="U2514" i="7"/>
  <c r="L2514" i="7"/>
  <c r="K2514" i="7"/>
  <c r="H2514" i="7"/>
  <c r="C2514" i="7"/>
  <c r="E2514" i="7" s="1"/>
  <c r="F2514" i="7" s="1"/>
  <c r="J2514" i="7" s="1"/>
  <c r="L2513" i="7"/>
  <c r="K2513" i="7"/>
  <c r="H2513" i="7"/>
  <c r="U2513" i="7" s="1"/>
  <c r="C2513" i="7"/>
  <c r="E2513" i="7" s="1"/>
  <c r="F2513" i="7" s="1"/>
  <c r="U2512" i="7"/>
  <c r="L2512" i="7"/>
  <c r="K2512" i="7"/>
  <c r="H2512" i="7"/>
  <c r="C2512" i="7"/>
  <c r="E2512" i="7" s="1"/>
  <c r="F2512" i="7" s="1"/>
  <c r="I2512" i="7" s="1"/>
  <c r="L2511" i="7"/>
  <c r="K2511" i="7"/>
  <c r="H2511" i="7"/>
  <c r="U2511" i="7" s="1"/>
  <c r="C2511" i="7"/>
  <c r="E2511" i="7" s="1"/>
  <c r="F2511" i="7" s="1"/>
  <c r="L2510" i="7"/>
  <c r="K2510" i="7"/>
  <c r="H2510" i="7"/>
  <c r="U2510" i="7" s="1"/>
  <c r="C2510" i="7"/>
  <c r="E2510" i="7" s="1"/>
  <c r="F2510" i="7" s="1"/>
  <c r="L2509" i="7"/>
  <c r="K2509" i="7"/>
  <c r="H2509" i="7"/>
  <c r="U2509" i="7" s="1"/>
  <c r="C2509" i="7"/>
  <c r="E2509" i="7" s="1"/>
  <c r="F2509" i="7" s="1"/>
  <c r="L2508" i="7"/>
  <c r="K2508" i="7"/>
  <c r="H2508" i="7"/>
  <c r="U2508" i="7" s="1"/>
  <c r="F2508" i="7"/>
  <c r="C2508" i="7"/>
  <c r="E2508" i="7" s="1"/>
  <c r="L2507" i="7"/>
  <c r="K2507" i="7"/>
  <c r="H2507" i="7"/>
  <c r="U2507" i="7" s="1"/>
  <c r="C2507" i="7"/>
  <c r="E2507" i="7" s="1"/>
  <c r="F2507" i="7" s="1"/>
  <c r="L2506" i="7"/>
  <c r="K2506" i="7"/>
  <c r="H2506" i="7"/>
  <c r="U2506" i="7" s="1"/>
  <c r="C2506" i="7"/>
  <c r="E2506" i="7" s="1"/>
  <c r="F2506" i="7" s="1"/>
  <c r="U2505" i="7"/>
  <c r="L2505" i="7"/>
  <c r="K2505" i="7"/>
  <c r="H2505" i="7"/>
  <c r="E2505" i="7"/>
  <c r="F2505" i="7" s="1"/>
  <c r="C2505" i="7"/>
  <c r="L2504" i="7"/>
  <c r="K2504" i="7"/>
  <c r="H2504" i="7"/>
  <c r="U2504" i="7" s="1"/>
  <c r="C2504" i="7"/>
  <c r="E2504" i="7" s="1"/>
  <c r="F2504" i="7" s="1"/>
  <c r="L2503" i="7"/>
  <c r="K2503" i="7"/>
  <c r="H2503" i="7"/>
  <c r="U2503" i="7" s="1"/>
  <c r="C2503" i="7"/>
  <c r="E2503" i="7" s="1"/>
  <c r="F2503" i="7" s="1"/>
  <c r="L2502" i="7"/>
  <c r="K2502" i="7"/>
  <c r="H2502" i="7"/>
  <c r="U2502" i="7" s="1"/>
  <c r="C2502" i="7"/>
  <c r="E2502" i="7" s="1"/>
  <c r="F2502" i="7" s="1"/>
  <c r="L2501" i="7"/>
  <c r="K2501" i="7"/>
  <c r="J2501" i="7"/>
  <c r="H2501" i="7"/>
  <c r="U2501" i="7" s="1"/>
  <c r="E2501" i="7"/>
  <c r="F2501" i="7" s="1"/>
  <c r="I2501" i="7" s="1"/>
  <c r="C2501" i="7"/>
  <c r="L2500" i="7"/>
  <c r="K2500" i="7"/>
  <c r="H2500" i="7"/>
  <c r="U2500" i="7" s="1"/>
  <c r="C2500" i="7"/>
  <c r="E2500" i="7" s="1"/>
  <c r="F2500" i="7" s="1"/>
  <c r="L2499" i="7"/>
  <c r="K2499" i="7"/>
  <c r="H2499" i="7"/>
  <c r="U2499" i="7" s="1"/>
  <c r="C2499" i="7"/>
  <c r="E2499" i="7" s="1"/>
  <c r="F2499" i="7" s="1"/>
  <c r="L2498" i="7"/>
  <c r="K2498" i="7"/>
  <c r="H2498" i="7"/>
  <c r="U2498" i="7" s="1"/>
  <c r="C2498" i="7"/>
  <c r="E2498" i="7" s="1"/>
  <c r="F2498" i="7" s="1"/>
  <c r="J2498" i="7" s="1"/>
  <c r="L2497" i="7"/>
  <c r="K2497" i="7"/>
  <c r="H2497" i="7"/>
  <c r="U2497" i="7" s="1"/>
  <c r="C2497" i="7"/>
  <c r="E2497" i="7" s="1"/>
  <c r="F2497" i="7" s="1"/>
  <c r="I2497" i="7" s="1"/>
  <c r="L2496" i="7"/>
  <c r="K2496" i="7"/>
  <c r="H2496" i="7"/>
  <c r="U2496" i="7" s="1"/>
  <c r="C2496" i="7"/>
  <c r="E2496" i="7" s="1"/>
  <c r="F2496" i="7" s="1"/>
  <c r="L2495" i="7"/>
  <c r="K2495" i="7"/>
  <c r="H2495" i="7"/>
  <c r="U2495" i="7" s="1"/>
  <c r="C2495" i="7"/>
  <c r="E2495" i="7" s="1"/>
  <c r="F2495" i="7" s="1"/>
  <c r="U2494" i="7"/>
  <c r="L2494" i="7"/>
  <c r="K2494" i="7"/>
  <c r="H2494" i="7"/>
  <c r="C2494" i="7"/>
  <c r="E2494" i="7" s="1"/>
  <c r="F2494" i="7" s="1"/>
  <c r="L2493" i="7"/>
  <c r="K2493" i="7"/>
  <c r="H2493" i="7"/>
  <c r="U2493" i="7" s="1"/>
  <c r="C2493" i="7"/>
  <c r="E2493" i="7" s="1"/>
  <c r="F2493" i="7" s="1"/>
  <c r="U2492" i="7"/>
  <c r="L2492" i="7"/>
  <c r="K2492" i="7"/>
  <c r="H2492" i="7"/>
  <c r="C2492" i="7"/>
  <c r="E2492" i="7" s="1"/>
  <c r="F2492" i="7" s="1"/>
  <c r="L2491" i="7"/>
  <c r="K2491" i="7"/>
  <c r="I2491" i="7"/>
  <c r="H2491" i="7"/>
  <c r="U2491" i="7" s="1"/>
  <c r="C2491" i="7"/>
  <c r="E2491" i="7" s="1"/>
  <c r="F2491" i="7" s="1"/>
  <c r="L2490" i="7"/>
  <c r="K2490" i="7"/>
  <c r="H2490" i="7"/>
  <c r="U2490" i="7" s="1"/>
  <c r="F2490" i="7"/>
  <c r="J2490" i="7" s="1"/>
  <c r="C2490" i="7"/>
  <c r="E2490" i="7" s="1"/>
  <c r="U2489" i="7"/>
  <c r="L2489" i="7"/>
  <c r="K2489" i="7"/>
  <c r="H2489" i="7"/>
  <c r="C2489" i="7"/>
  <c r="E2489" i="7" s="1"/>
  <c r="F2489" i="7" s="1"/>
  <c r="L2488" i="7"/>
  <c r="K2488" i="7"/>
  <c r="H2488" i="7"/>
  <c r="U2488" i="7" s="1"/>
  <c r="C2488" i="7"/>
  <c r="E2488" i="7" s="1"/>
  <c r="F2488" i="7" s="1"/>
  <c r="J2488" i="7" s="1"/>
  <c r="L2487" i="7"/>
  <c r="K2487" i="7"/>
  <c r="H2487" i="7"/>
  <c r="U2487" i="7" s="1"/>
  <c r="C2487" i="7"/>
  <c r="E2487" i="7" s="1"/>
  <c r="F2487" i="7" s="1"/>
  <c r="J2487" i="7" s="1"/>
  <c r="L2486" i="7"/>
  <c r="K2486" i="7"/>
  <c r="H2486" i="7"/>
  <c r="U2486" i="7" s="1"/>
  <c r="C2486" i="7"/>
  <c r="E2486" i="7" s="1"/>
  <c r="F2486" i="7" s="1"/>
  <c r="L2485" i="7"/>
  <c r="K2485" i="7"/>
  <c r="H2485" i="7"/>
  <c r="U2485" i="7" s="1"/>
  <c r="E2485" i="7"/>
  <c r="F2485" i="7" s="1"/>
  <c r="C2485" i="7"/>
  <c r="L2484" i="7"/>
  <c r="K2484" i="7"/>
  <c r="H2484" i="7"/>
  <c r="U2484" i="7" s="1"/>
  <c r="C2484" i="7"/>
  <c r="E2484" i="7" s="1"/>
  <c r="F2484" i="7" s="1"/>
  <c r="U2483" i="7"/>
  <c r="L2483" i="7"/>
  <c r="K2483" i="7"/>
  <c r="H2483" i="7"/>
  <c r="C2483" i="7"/>
  <c r="E2483" i="7" s="1"/>
  <c r="F2483" i="7" s="1"/>
  <c r="L2482" i="7"/>
  <c r="K2482" i="7"/>
  <c r="H2482" i="7"/>
  <c r="U2482" i="7" s="1"/>
  <c r="C2482" i="7"/>
  <c r="E2482" i="7" s="1"/>
  <c r="F2482" i="7" s="1"/>
  <c r="L2481" i="7"/>
  <c r="K2481" i="7"/>
  <c r="H2481" i="7"/>
  <c r="U2481" i="7" s="1"/>
  <c r="C2481" i="7"/>
  <c r="E2481" i="7" s="1"/>
  <c r="F2481" i="7" s="1"/>
  <c r="L2480" i="7"/>
  <c r="K2480" i="7"/>
  <c r="H2480" i="7"/>
  <c r="U2480" i="7" s="1"/>
  <c r="E2480" i="7"/>
  <c r="F2480" i="7" s="1"/>
  <c r="C2480" i="7"/>
  <c r="L2479" i="7"/>
  <c r="K2479" i="7"/>
  <c r="H2479" i="7"/>
  <c r="U2479" i="7" s="1"/>
  <c r="C2479" i="7"/>
  <c r="E2479" i="7" s="1"/>
  <c r="F2479" i="7" s="1"/>
  <c r="U2478" i="7"/>
  <c r="L2478" i="7"/>
  <c r="K2478" i="7"/>
  <c r="H2478" i="7"/>
  <c r="C2478" i="7"/>
  <c r="E2478" i="7" s="1"/>
  <c r="F2478" i="7" s="1"/>
  <c r="L2477" i="7"/>
  <c r="K2477" i="7"/>
  <c r="H2477" i="7"/>
  <c r="U2477" i="7" s="1"/>
  <c r="C2477" i="7"/>
  <c r="E2477" i="7" s="1"/>
  <c r="F2477" i="7" s="1"/>
  <c r="I2477" i="7" s="1"/>
  <c r="L2476" i="7"/>
  <c r="K2476" i="7"/>
  <c r="H2476" i="7"/>
  <c r="U2476" i="7" s="1"/>
  <c r="C2476" i="7"/>
  <c r="E2476" i="7" s="1"/>
  <c r="F2476" i="7" s="1"/>
  <c r="U2475" i="7"/>
  <c r="L2475" i="7"/>
  <c r="K2475" i="7"/>
  <c r="H2475" i="7"/>
  <c r="C2475" i="7"/>
  <c r="E2475" i="7" s="1"/>
  <c r="F2475" i="7" s="1"/>
  <c r="L2474" i="7"/>
  <c r="K2474" i="7"/>
  <c r="H2474" i="7"/>
  <c r="U2474" i="7" s="1"/>
  <c r="C2474" i="7"/>
  <c r="E2474" i="7" s="1"/>
  <c r="F2474" i="7" s="1"/>
  <c r="L2473" i="7"/>
  <c r="K2473" i="7"/>
  <c r="H2473" i="7"/>
  <c r="U2473" i="7" s="1"/>
  <c r="C2473" i="7"/>
  <c r="E2473" i="7" s="1"/>
  <c r="F2473" i="7" s="1"/>
  <c r="J2473" i="7" s="1"/>
  <c r="L2472" i="7"/>
  <c r="K2472" i="7"/>
  <c r="H2472" i="7"/>
  <c r="U2472" i="7" s="1"/>
  <c r="C2472" i="7"/>
  <c r="E2472" i="7" s="1"/>
  <c r="F2472" i="7" s="1"/>
  <c r="L2471" i="7"/>
  <c r="K2471" i="7"/>
  <c r="H2471" i="7"/>
  <c r="U2471" i="7" s="1"/>
  <c r="C2471" i="7"/>
  <c r="E2471" i="7" s="1"/>
  <c r="F2471" i="7" s="1"/>
  <c r="U2470" i="7"/>
  <c r="L2470" i="7"/>
  <c r="K2470" i="7"/>
  <c r="H2470" i="7"/>
  <c r="E2470" i="7"/>
  <c r="F2470" i="7" s="1"/>
  <c r="C2470" i="7"/>
  <c r="L2469" i="7"/>
  <c r="K2469" i="7"/>
  <c r="H2469" i="7"/>
  <c r="U2469" i="7" s="1"/>
  <c r="E2469" i="7"/>
  <c r="F2469" i="7" s="1"/>
  <c r="C2469" i="7"/>
  <c r="L2468" i="7"/>
  <c r="K2468" i="7"/>
  <c r="H2468" i="7"/>
  <c r="U2468" i="7" s="1"/>
  <c r="C2468" i="7"/>
  <c r="E2468" i="7" s="1"/>
  <c r="F2468" i="7" s="1"/>
  <c r="L2467" i="7"/>
  <c r="K2467" i="7"/>
  <c r="H2467" i="7"/>
  <c r="U2467" i="7" s="1"/>
  <c r="C2467" i="7"/>
  <c r="E2467" i="7" s="1"/>
  <c r="F2467" i="7" s="1"/>
  <c r="J2467" i="7" s="1"/>
  <c r="L2466" i="7"/>
  <c r="K2466" i="7"/>
  <c r="H2466" i="7"/>
  <c r="U2466" i="7" s="1"/>
  <c r="C2466" i="7"/>
  <c r="E2466" i="7" s="1"/>
  <c r="F2466" i="7" s="1"/>
  <c r="U2465" i="7"/>
  <c r="L2465" i="7"/>
  <c r="K2465" i="7"/>
  <c r="H2465" i="7"/>
  <c r="C2465" i="7"/>
  <c r="E2465" i="7" s="1"/>
  <c r="F2465" i="7" s="1"/>
  <c r="L2464" i="7"/>
  <c r="K2464" i="7"/>
  <c r="H2464" i="7"/>
  <c r="U2464" i="7" s="1"/>
  <c r="C2464" i="7"/>
  <c r="E2464" i="7" s="1"/>
  <c r="F2464" i="7" s="1"/>
  <c r="L2463" i="7"/>
  <c r="K2463" i="7"/>
  <c r="H2463" i="7"/>
  <c r="U2463" i="7" s="1"/>
  <c r="C2463" i="7"/>
  <c r="E2463" i="7" s="1"/>
  <c r="F2463" i="7" s="1"/>
  <c r="U2462" i="7"/>
  <c r="L2462" i="7"/>
  <c r="K2462" i="7"/>
  <c r="H2462" i="7"/>
  <c r="C2462" i="7"/>
  <c r="E2462" i="7" s="1"/>
  <c r="F2462" i="7" s="1"/>
  <c r="L2461" i="7"/>
  <c r="K2461" i="7"/>
  <c r="H2461" i="7"/>
  <c r="U2461" i="7" s="1"/>
  <c r="C2461" i="7"/>
  <c r="E2461" i="7" s="1"/>
  <c r="F2461" i="7" s="1"/>
  <c r="L2460" i="7"/>
  <c r="K2460" i="7"/>
  <c r="H2460" i="7"/>
  <c r="U2460" i="7" s="1"/>
  <c r="C2460" i="7"/>
  <c r="E2460" i="7" s="1"/>
  <c r="F2460" i="7" s="1"/>
  <c r="L2459" i="7"/>
  <c r="K2459" i="7"/>
  <c r="H2459" i="7"/>
  <c r="U2459" i="7" s="1"/>
  <c r="C2459" i="7"/>
  <c r="E2459" i="7" s="1"/>
  <c r="F2459" i="7" s="1"/>
  <c r="U2458" i="7"/>
  <c r="L2458" i="7"/>
  <c r="K2458" i="7"/>
  <c r="H2458" i="7"/>
  <c r="C2458" i="7"/>
  <c r="E2458" i="7" s="1"/>
  <c r="F2458" i="7" s="1"/>
  <c r="L2457" i="7"/>
  <c r="K2457" i="7"/>
  <c r="H2457" i="7"/>
  <c r="U2457" i="7" s="1"/>
  <c r="C2457" i="7"/>
  <c r="E2457" i="7" s="1"/>
  <c r="F2457" i="7" s="1"/>
  <c r="L2456" i="7"/>
  <c r="K2456" i="7"/>
  <c r="H2456" i="7"/>
  <c r="U2456" i="7" s="1"/>
  <c r="C2456" i="7"/>
  <c r="E2456" i="7" s="1"/>
  <c r="F2456" i="7" s="1"/>
  <c r="L2455" i="7"/>
  <c r="K2455" i="7"/>
  <c r="H2455" i="7"/>
  <c r="U2455" i="7" s="1"/>
  <c r="C2455" i="7"/>
  <c r="E2455" i="7" s="1"/>
  <c r="F2455" i="7" s="1"/>
  <c r="L2454" i="7"/>
  <c r="K2454" i="7"/>
  <c r="H2454" i="7"/>
  <c r="U2454" i="7" s="1"/>
  <c r="C2454" i="7"/>
  <c r="E2454" i="7" s="1"/>
  <c r="F2454" i="7" s="1"/>
  <c r="L2453" i="7"/>
  <c r="K2453" i="7"/>
  <c r="J2453" i="7"/>
  <c r="H2453" i="7"/>
  <c r="U2453" i="7" s="1"/>
  <c r="C2453" i="7"/>
  <c r="E2453" i="7" s="1"/>
  <c r="F2453" i="7" s="1"/>
  <c r="L2452" i="7"/>
  <c r="K2452" i="7"/>
  <c r="H2452" i="7"/>
  <c r="U2452" i="7" s="1"/>
  <c r="E2452" i="7"/>
  <c r="F2452" i="7" s="1"/>
  <c r="C2452" i="7"/>
  <c r="L2451" i="7"/>
  <c r="K2451" i="7"/>
  <c r="H2451" i="7"/>
  <c r="U2451" i="7" s="1"/>
  <c r="C2451" i="7"/>
  <c r="E2451" i="7" s="1"/>
  <c r="F2451" i="7" s="1"/>
  <c r="L2450" i="7"/>
  <c r="I2450" i="7" s="1"/>
  <c r="K2450" i="7"/>
  <c r="H2450" i="7"/>
  <c r="U2450" i="7" s="1"/>
  <c r="C2450" i="7"/>
  <c r="E2450" i="7" s="1"/>
  <c r="F2450" i="7" s="1"/>
  <c r="L2449" i="7"/>
  <c r="K2449" i="7"/>
  <c r="H2449" i="7"/>
  <c r="U2449" i="7" s="1"/>
  <c r="C2449" i="7"/>
  <c r="E2449" i="7" s="1"/>
  <c r="F2449" i="7" s="1"/>
  <c r="L2448" i="7"/>
  <c r="K2448" i="7"/>
  <c r="H2448" i="7"/>
  <c r="U2448" i="7" s="1"/>
  <c r="C2448" i="7"/>
  <c r="E2448" i="7" s="1"/>
  <c r="F2448" i="7" s="1"/>
  <c r="L2447" i="7"/>
  <c r="K2447" i="7"/>
  <c r="H2447" i="7"/>
  <c r="U2447" i="7" s="1"/>
  <c r="C2447" i="7"/>
  <c r="E2447" i="7" s="1"/>
  <c r="F2447" i="7" s="1"/>
  <c r="U2446" i="7"/>
  <c r="L2446" i="7"/>
  <c r="K2446" i="7"/>
  <c r="H2446" i="7"/>
  <c r="E2446" i="7"/>
  <c r="F2446" i="7" s="1"/>
  <c r="C2446" i="7"/>
  <c r="L2445" i="7"/>
  <c r="K2445" i="7"/>
  <c r="H2445" i="7"/>
  <c r="U2445" i="7" s="1"/>
  <c r="C2445" i="7"/>
  <c r="E2445" i="7" s="1"/>
  <c r="F2445" i="7" s="1"/>
  <c r="U2444" i="7"/>
  <c r="L2444" i="7"/>
  <c r="K2444" i="7"/>
  <c r="H2444" i="7"/>
  <c r="C2444" i="7"/>
  <c r="E2444" i="7" s="1"/>
  <c r="F2444" i="7" s="1"/>
  <c r="L2443" i="7"/>
  <c r="K2443" i="7"/>
  <c r="H2443" i="7"/>
  <c r="U2443" i="7" s="1"/>
  <c r="C2443" i="7"/>
  <c r="E2443" i="7" s="1"/>
  <c r="F2443" i="7" s="1"/>
  <c r="U2442" i="7"/>
  <c r="L2442" i="7"/>
  <c r="K2442" i="7"/>
  <c r="H2442" i="7"/>
  <c r="F2442" i="7"/>
  <c r="I2442" i="7" s="1"/>
  <c r="C2442" i="7"/>
  <c r="E2442" i="7" s="1"/>
  <c r="U2441" i="7"/>
  <c r="L2441" i="7"/>
  <c r="K2441" i="7"/>
  <c r="H2441" i="7"/>
  <c r="C2441" i="7"/>
  <c r="E2441" i="7" s="1"/>
  <c r="F2441" i="7" s="1"/>
  <c r="U2440" i="7"/>
  <c r="L2440" i="7"/>
  <c r="K2440" i="7"/>
  <c r="H2440" i="7"/>
  <c r="C2440" i="7"/>
  <c r="E2440" i="7" s="1"/>
  <c r="F2440" i="7" s="1"/>
  <c r="L2439" i="7"/>
  <c r="K2439" i="7"/>
  <c r="H2439" i="7"/>
  <c r="U2439" i="7" s="1"/>
  <c r="C2439" i="7"/>
  <c r="E2439" i="7" s="1"/>
  <c r="F2439" i="7" s="1"/>
  <c r="U2438" i="7"/>
  <c r="L2438" i="7"/>
  <c r="K2438" i="7"/>
  <c r="H2438" i="7"/>
  <c r="C2438" i="7"/>
  <c r="E2438" i="7" s="1"/>
  <c r="F2438" i="7" s="1"/>
  <c r="L2437" i="7"/>
  <c r="K2437" i="7"/>
  <c r="H2437" i="7"/>
  <c r="U2437" i="7" s="1"/>
  <c r="C2437" i="7"/>
  <c r="E2437" i="7" s="1"/>
  <c r="F2437" i="7" s="1"/>
  <c r="L2436" i="7"/>
  <c r="K2436" i="7"/>
  <c r="H2436" i="7"/>
  <c r="U2436" i="7" s="1"/>
  <c r="C2436" i="7"/>
  <c r="E2436" i="7" s="1"/>
  <c r="F2436" i="7" s="1"/>
  <c r="U2435" i="7"/>
  <c r="L2435" i="7"/>
  <c r="K2435" i="7"/>
  <c r="H2435" i="7"/>
  <c r="C2435" i="7"/>
  <c r="E2435" i="7" s="1"/>
  <c r="F2435" i="7" s="1"/>
  <c r="L2434" i="7"/>
  <c r="K2434" i="7"/>
  <c r="H2434" i="7"/>
  <c r="U2434" i="7" s="1"/>
  <c r="C2434" i="7"/>
  <c r="E2434" i="7" s="1"/>
  <c r="F2434" i="7" s="1"/>
  <c r="L2433" i="7"/>
  <c r="K2433" i="7"/>
  <c r="H2433" i="7"/>
  <c r="U2433" i="7" s="1"/>
  <c r="C2433" i="7"/>
  <c r="E2433" i="7" s="1"/>
  <c r="F2433" i="7" s="1"/>
  <c r="L2432" i="7"/>
  <c r="K2432" i="7"/>
  <c r="H2432" i="7"/>
  <c r="U2432" i="7" s="1"/>
  <c r="C2432" i="7"/>
  <c r="E2432" i="7" s="1"/>
  <c r="F2432" i="7" s="1"/>
  <c r="L2431" i="7"/>
  <c r="K2431" i="7"/>
  <c r="H2431" i="7"/>
  <c r="U2431" i="7" s="1"/>
  <c r="C2431" i="7"/>
  <c r="E2431" i="7" s="1"/>
  <c r="F2431" i="7" s="1"/>
  <c r="L2430" i="7"/>
  <c r="K2430" i="7"/>
  <c r="H2430" i="7"/>
  <c r="U2430" i="7" s="1"/>
  <c r="C2430" i="7"/>
  <c r="E2430" i="7" s="1"/>
  <c r="F2430" i="7" s="1"/>
  <c r="L2429" i="7"/>
  <c r="K2429" i="7"/>
  <c r="H2429" i="7"/>
  <c r="U2429" i="7" s="1"/>
  <c r="E2429" i="7"/>
  <c r="F2429" i="7" s="1"/>
  <c r="C2429" i="7"/>
  <c r="L2428" i="7"/>
  <c r="K2428" i="7"/>
  <c r="H2428" i="7"/>
  <c r="U2428" i="7" s="1"/>
  <c r="C2428" i="7"/>
  <c r="E2428" i="7" s="1"/>
  <c r="F2428" i="7" s="1"/>
  <c r="L2427" i="7"/>
  <c r="K2427" i="7"/>
  <c r="H2427" i="7"/>
  <c r="U2427" i="7" s="1"/>
  <c r="C2427" i="7"/>
  <c r="E2427" i="7" s="1"/>
  <c r="F2427" i="7" s="1"/>
  <c r="L2426" i="7"/>
  <c r="K2426" i="7"/>
  <c r="H2426" i="7"/>
  <c r="U2426" i="7" s="1"/>
  <c r="C2426" i="7"/>
  <c r="E2426" i="7" s="1"/>
  <c r="F2426" i="7" s="1"/>
  <c r="L2425" i="7"/>
  <c r="K2425" i="7"/>
  <c r="H2425" i="7"/>
  <c r="U2425" i="7" s="1"/>
  <c r="E2425" i="7"/>
  <c r="F2425" i="7" s="1"/>
  <c r="C2425" i="7"/>
  <c r="L2424" i="7"/>
  <c r="K2424" i="7"/>
  <c r="H2424" i="7"/>
  <c r="U2424" i="7" s="1"/>
  <c r="C2424" i="7"/>
  <c r="E2424" i="7" s="1"/>
  <c r="F2424" i="7" s="1"/>
  <c r="L2423" i="7"/>
  <c r="K2423" i="7"/>
  <c r="H2423" i="7"/>
  <c r="U2423" i="7" s="1"/>
  <c r="F2423" i="7"/>
  <c r="C2423" i="7"/>
  <c r="E2423" i="7" s="1"/>
  <c r="L2422" i="7"/>
  <c r="K2422" i="7"/>
  <c r="H2422" i="7"/>
  <c r="U2422" i="7" s="1"/>
  <c r="E2422" i="7"/>
  <c r="F2422" i="7" s="1"/>
  <c r="J2422" i="7" s="1"/>
  <c r="C2422" i="7"/>
  <c r="L2421" i="7"/>
  <c r="K2421" i="7"/>
  <c r="H2421" i="7"/>
  <c r="U2421" i="7" s="1"/>
  <c r="C2421" i="7"/>
  <c r="E2421" i="7" s="1"/>
  <c r="F2421" i="7" s="1"/>
  <c r="L2420" i="7"/>
  <c r="K2420" i="7"/>
  <c r="H2420" i="7"/>
  <c r="U2420" i="7" s="1"/>
  <c r="C2420" i="7"/>
  <c r="E2420" i="7" s="1"/>
  <c r="F2420" i="7" s="1"/>
  <c r="L2419" i="7"/>
  <c r="J2419" i="7" s="1"/>
  <c r="K2419" i="7"/>
  <c r="H2419" i="7"/>
  <c r="U2419" i="7" s="1"/>
  <c r="C2419" i="7"/>
  <c r="E2419" i="7" s="1"/>
  <c r="F2419" i="7" s="1"/>
  <c r="U2418" i="7"/>
  <c r="L2418" i="7"/>
  <c r="K2418" i="7"/>
  <c r="H2418" i="7"/>
  <c r="C2418" i="7"/>
  <c r="E2418" i="7" s="1"/>
  <c r="F2418" i="7" s="1"/>
  <c r="L2417" i="7"/>
  <c r="K2417" i="7"/>
  <c r="H2417" i="7"/>
  <c r="U2417" i="7" s="1"/>
  <c r="C2417" i="7"/>
  <c r="E2417" i="7" s="1"/>
  <c r="F2417" i="7" s="1"/>
  <c r="L2416" i="7"/>
  <c r="K2416" i="7"/>
  <c r="H2416" i="7"/>
  <c r="U2416" i="7" s="1"/>
  <c r="C2416" i="7"/>
  <c r="E2416" i="7" s="1"/>
  <c r="F2416" i="7" s="1"/>
  <c r="L2415" i="7"/>
  <c r="K2415" i="7"/>
  <c r="H2415" i="7"/>
  <c r="U2415" i="7" s="1"/>
  <c r="C2415" i="7"/>
  <c r="E2415" i="7" s="1"/>
  <c r="F2415" i="7" s="1"/>
  <c r="L2414" i="7"/>
  <c r="K2414" i="7"/>
  <c r="H2414" i="7"/>
  <c r="U2414" i="7" s="1"/>
  <c r="C2414" i="7"/>
  <c r="E2414" i="7" s="1"/>
  <c r="F2414" i="7" s="1"/>
  <c r="L2413" i="7"/>
  <c r="K2413" i="7"/>
  <c r="H2413" i="7"/>
  <c r="U2413" i="7" s="1"/>
  <c r="C2413" i="7"/>
  <c r="E2413" i="7" s="1"/>
  <c r="F2413" i="7" s="1"/>
  <c r="U2412" i="7"/>
  <c r="L2412" i="7"/>
  <c r="K2412" i="7"/>
  <c r="H2412" i="7"/>
  <c r="C2412" i="7"/>
  <c r="E2412" i="7" s="1"/>
  <c r="F2412" i="7" s="1"/>
  <c r="U2411" i="7"/>
  <c r="L2411" i="7"/>
  <c r="K2411" i="7"/>
  <c r="H2411" i="7"/>
  <c r="C2411" i="7"/>
  <c r="E2411" i="7" s="1"/>
  <c r="F2411" i="7" s="1"/>
  <c r="U2410" i="7"/>
  <c r="L2410" i="7"/>
  <c r="K2410" i="7"/>
  <c r="H2410" i="7"/>
  <c r="C2410" i="7"/>
  <c r="E2410" i="7" s="1"/>
  <c r="F2410" i="7" s="1"/>
  <c r="L2409" i="7"/>
  <c r="K2409" i="7"/>
  <c r="H2409" i="7"/>
  <c r="U2409" i="7" s="1"/>
  <c r="C2409" i="7"/>
  <c r="E2409" i="7" s="1"/>
  <c r="F2409" i="7" s="1"/>
  <c r="L2408" i="7"/>
  <c r="K2408" i="7"/>
  <c r="H2408" i="7"/>
  <c r="U2408" i="7" s="1"/>
  <c r="C2408" i="7"/>
  <c r="E2408" i="7" s="1"/>
  <c r="F2408" i="7" s="1"/>
  <c r="L2407" i="7"/>
  <c r="K2407" i="7"/>
  <c r="H2407" i="7"/>
  <c r="U2407" i="7" s="1"/>
  <c r="C2407" i="7"/>
  <c r="E2407" i="7" s="1"/>
  <c r="F2407" i="7" s="1"/>
  <c r="L2406" i="7"/>
  <c r="K2406" i="7"/>
  <c r="H2406" i="7"/>
  <c r="U2406" i="7" s="1"/>
  <c r="C2406" i="7"/>
  <c r="E2406" i="7" s="1"/>
  <c r="F2406" i="7" s="1"/>
  <c r="L2405" i="7"/>
  <c r="K2405" i="7"/>
  <c r="H2405" i="7"/>
  <c r="U2405" i="7" s="1"/>
  <c r="E2405" i="7"/>
  <c r="F2405" i="7" s="1"/>
  <c r="J2405" i="7" s="1"/>
  <c r="C2405" i="7"/>
  <c r="L2404" i="7"/>
  <c r="K2404" i="7"/>
  <c r="H2404" i="7"/>
  <c r="U2404" i="7" s="1"/>
  <c r="E2404" i="7"/>
  <c r="F2404" i="7" s="1"/>
  <c r="C2404" i="7"/>
  <c r="L2403" i="7"/>
  <c r="K2403" i="7"/>
  <c r="H2403" i="7"/>
  <c r="U2403" i="7" s="1"/>
  <c r="C2403" i="7"/>
  <c r="E2403" i="7" s="1"/>
  <c r="F2403" i="7" s="1"/>
  <c r="L2402" i="7"/>
  <c r="K2402" i="7"/>
  <c r="H2402" i="7"/>
  <c r="U2402" i="7" s="1"/>
  <c r="C2402" i="7"/>
  <c r="E2402" i="7" s="1"/>
  <c r="F2402" i="7" s="1"/>
  <c r="L2401" i="7"/>
  <c r="K2401" i="7"/>
  <c r="H2401" i="7"/>
  <c r="U2401" i="7" s="1"/>
  <c r="C2401" i="7"/>
  <c r="E2401" i="7" s="1"/>
  <c r="F2401" i="7" s="1"/>
  <c r="L2400" i="7"/>
  <c r="K2400" i="7"/>
  <c r="H2400" i="7"/>
  <c r="U2400" i="7" s="1"/>
  <c r="C2400" i="7"/>
  <c r="E2400" i="7" s="1"/>
  <c r="F2400" i="7" s="1"/>
  <c r="L2399" i="7"/>
  <c r="K2399" i="7"/>
  <c r="H2399" i="7"/>
  <c r="U2399" i="7" s="1"/>
  <c r="C2399" i="7"/>
  <c r="E2399" i="7" s="1"/>
  <c r="F2399" i="7" s="1"/>
  <c r="L2398" i="7"/>
  <c r="K2398" i="7"/>
  <c r="H2398" i="7"/>
  <c r="U2398" i="7" s="1"/>
  <c r="E2398" i="7"/>
  <c r="F2398" i="7" s="1"/>
  <c r="J2398" i="7" s="1"/>
  <c r="C2398" i="7"/>
  <c r="L2397" i="7"/>
  <c r="K2397" i="7"/>
  <c r="H2397" i="7"/>
  <c r="U2397" i="7" s="1"/>
  <c r="C2397" i="7"/>
  <c r="E2397" i="7" s="1"/>
  <c r="F2397" i="7" s="1"/>
  <c r="L2396" i="7"/>
  <c r="K2396" i="7"/>
  <c r="H2396" i="7"/>
  <c r="U2396" i="7" s="1"/>
  <c r="C2396" i="7"/>
  <c r="E2396" i="7" s="1"/>
  <c r="F2396" i="7" s="1"/>
  <c r="L2395" i="7"/>
  <c r="K2395" i="7"/>
  <c r="J2395" i="7"/>
  <c r="H2395" i="7"/>
  <c r="U2395" i="7" s="1"/>
  <c r="C2395" i="7"/>
  <c r="E2395" i="7" s="1"/>
  <c r="F2395" i="7" s="1"/>
  <c r="L2394" i="7"/>
  <c r="K2394" i="7"/>
  <c r="H2394" i="7"/>
  <c r="U2394" i="7" s="1"/>
  <c r="C2394" i="7"/>
  <c r="E2394" i="7" s="1"/>
  <c r="F2394" i="7" s="1"/>
  <c r="L2393" i="7"/>
  <c r="K2393" i="7"/>
  <c r="H2393" i="7"/>
  <c r="U2393" i="7" s="1"/>
  <c r="C2393" i="7"/>
  <c r="E2393" i="7" s="1"/>
  <c r="F2393" i="7" s="1"/>
  <c r="L2392" i="7"/>
  <c r="K2392" i="7"/>
  <c r="H2392" i="7"/>
  <c r="U2392" i="7" s="1"/>
  <c r="C2392" i="7"/>
  <c r="E2392" i="7" s="1"/>
  <c r="F2392" i="7" s="1"/>
  <c r="L2391" i="7"/>
  <c r="K2391" i="7"/>
  <c r="H2391" i="7"/>
  <c r="U2391" i="7" s="1"/>
  <c r="C2391" i="7"/>
  <c r="E2391" i="7" s="1"/>
  <c r="F2391" i="7" s="1"/>
  <c r="U2390" i="7"/>
  <c r="L2390" i="7"/>
  <c r="K2390" i="7"/>
  <c r="H2390" i="7"/>
  <c r="C2390" i="7"/>
  <c r="E2390" i="7" s="1"/>
  <c r="F2390" i="7" s="1"/>
  <c r="L2389" i="7"/>
  <c r="K2389" i="7"/>
  <c r="H2389" i="7"/>
  <c r="U2389" i="7" s="1"/>
  <c r="E2389" i="7"/>
  <c r="F2389" i="7" s="1"/>
  <c r="C2389" i="7"/>
  <c r="L2388" i="7"/>
  <c r="K2388" i="7"/>
  <c r="H2388" i="7"/>
  <c r="U2388" i="7" s="1"/>
  <c r="C2388" i="7"/>
  <c r="E2388" i="7" s="1"/>
  <c r="F2388" i="7" s="1"/>
  <c r="L2387" i="7"/>
  <c r="K2387" i="7"/>
  <c r="H2387" i="7"/>
  <c r="U2387" i="7" s="1"/>
  <c r="C2387" i="7"/>
  <c r="E2387" i="7" s="1"/>
  <c r="F2387" i="7" s="1"/>
  <c r="U2386" i="7"/>
  <c r="L2386" i="7"/>
  <c r="K2386" i="7"/>
  <c r="H2386" i="7"/>
  <c r="C2386" i="7"/>
  <c r="E2386" i="7" s="1"/>
  <c r="F2386" i="7" s="1"/>
  <c r="L2385" i="7"/>
  <c r="K2385" i="7"/>
  <c r="H2385" i="7"/>
  <c r="U2385" i="7" s="1"/>
  <c r="C2385" i="7"/>
  <c r="E2385" i="7" s="1"/>
  <c r="F2385" i="7" s="1"/>
  <c r="L2384" i="7"/>
  <c r="K2384" i="7"/>
  <c r="H2384" i="7"/>
  <c r="U2384" i="7" s="1"/>
  <c r="C2384" i="7"/>
  <c r="E2384" i="7" s="1"/>
  <c r="F2384" i="7" s="1"/>
  <c r="L2383" i="7"/>
  <c r="K2383" i="7"/>
  <c r="H2383" i="7"/>
  <c r="U2383" i="7" s="1"/>
  <c r="C2383" i="7"/>
  <c r="E2383" i="7" s="1"/>
  <c r="F2383" i="7" s="1"/>
  <c r="L2382" i="7"/>
  <c r="K2382" i="7"/>
  <c r="H2382" i="7"/>
  <c r="U2382" i="7" s="1"/>
  <c r="C2382" i="7"/>
  <c r="E2382" i="7" s="1"/>
  <c r="F2382" i="7" s="1"/>
  <c r="L2381" i="7"/>
  <c r="K2381" i="7"/>
  <c r="H2381" i="7"/>
  <c r="U2381" i="7" s="1"/>
  <c r="E2381" i="7"/>
  <c r="F2381" i="7" s="1"/>
  <c r="C2381" i="7"/>
  <c r="L2380" i="7"/>
  <c r="K2380" i="7"/>
  <c r="H2380" i="7"/>
  <c r="U2380" i="7" s="1"/>
  <c r="C2380" i="7"/>
  <c r="E2380" i="7" s="1"/>
  <c r="F2380" i="7" s="1"/>
  <c r="L2379" i="7"/>
  <c r="K2379" i="7"/>
  <c r="H2379" i="7"/>
  <c r="U2379" i="7" s="1"/>
  <c r="C2379" i="7"/>
  <c r="E2379" i="7" s="1"/>
  <c r="F2379" i="7" s="1"/>
  <c r="L2378" i="7"/>
  <c r="K2378" i="7"/>
  <c r="H2378" i="7"/>
  <c r="U2378" i="7" s="1"/>
  <c r="C2378" i="7"/>
  <c r="E2378" i="7" s="1"/>
  <c r="F2378" i="7" s="1"/>
  <c r="L2377" i="7"/>
  <c r="K2377" i="7"/>
  <c r="H2377" i="7"/>
  <c r="U2377" i="7" s="1"/>
  <c r="C2377" i="7"/>
  <c r="E2377" i="7" s="1"/>
  <c r="F2377" i="7" s="1"/>
  <c r="L2376" i="7"/>
  <c r="K2376" i="7"/>
  <c r="H2376" i="7"/>
  <c r="U2376" i="7" s="1"/>
  <c r="E2376" i="7"/>
  <c r="F2376" i="7" s="1"/>
  <c r="C2376" i="7"/>
  <c r="L2375" i="7"/>
  <c r="K2375" i="7"/>
  <c r="H2375" i="7"/>
  <c r="U2375" i="7" s="1"/>
  <c r="C2375" i="7"/>
  <c r="E2375" i="7" s="1"/>
  <c r="F2375" i="7" s="1"/>
  <c r="I2375" i="7" s="1"/>
  <c r="L2374" i="7"/>
  <c r="K2374" i="7"/>
  <c r="H2374" i="7"/>
  <c r="U2374" i="7" s="1"/>
  <c r="E2374" i="7"/>
  <c r="F2374" i="7" s="1"/>
  <c r="C2374" i="7"/>
  <c r="L2373" i="7"/>
  <c r="K2373" i="7"/>
  <c r="H2373" i="7"/>
  <c r="U2373" i="7" s="1"/>
  <c r="C2373" i="7"/>
  <c r="E2373" i="7" s="1"/>
  <c r="F2373" i="7" s="1"/>
  <c r="L2372" i="7"/>
  <c r="K2372" i="7"/>
  <c r="H2372" i="7"/>
  <c r="U2372" i="7" s="1"/>
  <c r="C2372" i="7"/>
  <c r="E2372" i="7" s="1"/>
  <c r="F2372" i="7" s="1"/>
  <c r="U2371" i="7"/>
  <c r="L2371" i="7"/>
  <c r="K2371" i="7"/>
  <c r="H2371" i="7"/>
  <c r="C2371" i="7"/>
  <c r="E2371" i="7" s="1"/>
  <c r="F2371" i="7" s="1"/>
  <c r="L2370" i="7"/>
  <c r="K2370" i="7"/>
  <c r="H2370" i="7"/>
  <c r="U2370" i="7" s="1"/>
  <c r="C2370" i="7"/>
  <c r="E2370" i="7" s="1"/>
  <c r="F2370" i="7" s="1"/>
  <c r="L2369" i="7"/>
  <c r="K2369" i="7"/>
  <c r="H2369" i="7"/>
  <c r="U2369" i="7" s="1"/>
  <c r="C2369" i="7"/>
  <c r="E2369" i="7" s="1"/>
  <c r="F2369" i="7" s="1"/>
  <c r="I2369" i="7" s="1"/>
  <c r="L2368" i="7"/>
  <c r="K2368" i="7"/>
  <c r="H2368" i="7"/>
  <c r="U2368" i="7" s="1"/>
  <c r="E2368" i="7"/>
  <c r="F2368" i="7" s="1"/>
  <c r="C2368" i="7"/>
  <c r="L2367" i="7"/>
  <c r="K2367" i="7"/>
  <c r="H2367" i="7"/>
  <c r="U2367" i="7" s="1"/>
  <c r="C2367" i="7"/>
  <c r="E2367" i="7" s="1"/>
  <c r="F2367" i="7" s="1"/>
  <c r="U2366" i="7"/>
  <c r="L2366" i="7"/>
  <c r="K2366" i="7"/>
  <c r="H2366" i="7"/>
  <c r="C2366" i="7"/>
  <c r="E2366" i="7" s="1"/>
  <c r="F2366" i="7" s="1"/>
  <c r="L2365" i="7"/>
  <c r="K2365" i="7"/>
  <c r="H2365" i="7"/>
  <c r="U2365" i="7" s="1"/>
  <c r="E2365" i="7"/>
  <c r="F2365" i="7" s="1"/>
  <c r="J2365" i="7" s="1"/>
  <c r="C2365" i="7"/>
  <c r="L2364" i="7"/>
  <c r="K2364" i="7"/>
  <c r="H2364" i="7"/>
  <c r="U2364" i="7" s="1"/>
  <c r="C2364" i="7"/>
  <c r="E2364" i="7" s="1"/>
  <c r="F2364" i="7" s="1"/>
  <c r="L2363" i="7"/>
  <c r="K2363" i="7"/>
  <c r="H2363" i="7"/>
  <c r="U2363" i="7" s="1"/>
  <c r="C2363" i="7"/>
  <c r="E2363" i="7" s="1"/>
  <c r="F2363" i="7" s="1"/>
  <c r="L2362" i="7"/>
  <c r="K2362" i="7"/>
  <c r="H2362" i="7"/>
  <c r="U2362" i="7" s="1"/>
  <c r="C2362" i="7"/>
  <c r="E2362" i="7" s="1"/>
  <c r="F2362" i="7" s="1"/>
  <c r="L2361" i="7"/>
  <c r="K2361" i="7"/>
  <c r="H2361" i="7"/>
  <c r="U2361" i="7" s="1"/>
  <c r="C2361" i="7"/>
  <c r="E2361" i="7" s="1"/>
  <c r="F2361" i="7" s="1"/>
  <c r="L2360" i="7"/>
  <c r="K2360" i="7"/>
  <c r="H2360" i="7"/>
  <c r="U2360" i="7" s="1"/>
  <c r="C2360" i="7"/>
  <c r="E2360" i="7" s="1"/>
  <c r="F2360" i="7" s="1"/>
  <c r="L2359" i="7"/>
  <c r="K2359" i="7"/>
  <c r="H2359" i="7"/>
  <c r="U2359" i="7" s="1"/>
  <c r="C2359" i="7"/>
  <c r="E2359" i="7" s="1"/>
  <c r="F2359" i="7" s="1"/>
  <c r="U2358" i="7"/>
  <c r="L2358" i="7"/>
  <c r="K2358" i="7"/>
  <c r="H2358" i="7"/>
  <c r="C2358" i="7"/>
  <c r="E2358" i="7" s="1"/>
  <c r="F2358" i="7" s="1"/>
  <c r="L2357" i="7"/>
  <c r="K2357" i="7"/>
  <c r="H2357" i="7"/>
  <c r="U2357" i="7" s="1"/>
  <c r="C2357" i="7"/>
  <c r="E2357" i="7" s="1"/>
  <c r="F2357" i="7" s="1"/>
  <c r="L2356" i="7"/>
  <c r="K2356" i="7"/>
  <c r="H2356" i="7"/>
  <c r="U2356" i="7" s="1"/>
  <c r="C2356" i="7"/>
  <c r="E2356" i="7" s="1"/>
  <c r="F2356" i="7" s="1"/>
  <c r="U2355" i="7"/>
  <c r="L2355" i="7"/>
  <c r="K2355" i="7"/>
  <c r="H2355" i="7"/>
  <c r="C2355" i="7"/>
  <c r="E2355" i="7" s="1"/>
  <c r="F2355" i="7" s="1"/>
  <c r="L2354" i="7"/>
  <c r="K2354" i="7"/>
  <c r="H2354" i="7"/>
  <c r="U2354" i="7" s="1"/>
  <c r="C2354" i="7"/>
  <c r="E2354" i="7" s="1"/>
  <c r="F2354" i="7" s="1"/>
  <c r="J2354" i="7" s="1"/>
  <c r="L2353" i="7"/>
  <c r="K2353" i="7"/>
  <c r="H2353" i="7"/>
  <c r="U2353" i="7" s="1"/>
  <c r="C2353" i="7"/>
  <c r="E2353" i="7" s="1"/>
  <c r="F2353" i="7" s="1"/>
  <c r="I2353" i="7" s="1"/>
  <c r="L2352" i="7"/>
  <c r="K2352" i="7"/>
  <c r="H2352" i="7"/>
  <c r="U2352" i="7" s="1"/>
  <c r="E2352" i="7"/>
  <c r="F2352" i="7" s="1"/>
  <c r="C2352" i="7"/>
  <c r="L2351" i="7"/>
  <c r="K2351" i="7"/>
  <c r="H2351" i="7"/>
  <c r="U2351" i="7" s="1"/>
  <c r="C2351" i="7"/>
  <c r="E2351" i="7" s="1"/>
  <c r="F2351" i="7" s="1"/>
  <c r="U2350" i="7"/>
  <c r="L2350" i="7"/>
  <c r="K2350" i="7"/>
  <c r="H2350" i="7"/>
  <c r="C2350" i="7"/>
  <c r="E2350" i="7" s="1"/>
  <c r="F2350" i="7" s="1"/>
  <c r="L2349" i="7"/>
  <c r="K2349" i="7"/>
  <c r="H2349" i="7"/>
  <c r="U2349" i="7" s="1"/>
  <c r="C2349" i="7"/>
  <c r="E2349" i="7" s="1"/>
  <c r="F2349" i="7" s="1"/>
  <c r="L2348" i="7"/>
  <c r="K2348" i="7"/>
  <c r="H2348" i="7"/>
  <c r="U2348" i="7" s="1"/>
  <c r="C2348" i="7"/>
  <c r="E2348" i="7" s="1"/>
  <c r="F2348" i="7" s="1"/>
  <c r="L2347" i="7"/>
  <c r="K2347" i="7"/>
  <c r="H2347" i="7"/>
  <c r="U2347" i="7" s="1"/>
  <c r="C2347" i="7"/>
  <c r="E2347" i="7" s="1"/>
  <c r="F2347" i="7" s="1"/>
  <c r="I2347" i="7" s="1"/>
  <c r="L2346" i="7"/>
  <c r="K2346" i="7"/>
  <c r="H2346" i="7"/>
  <c r="U2346" i="7" s="1"/>
  <c r="E2346" i="7"/>
  <c r="F2346" i="7" s="1"/>
  <c r="C2346" i="7"/>
  <c r="L2345" i="7"/>
  <c r="K2345" i="7"/>
  <c r="H2345" i="7"/>
  <c r="U2345" i="7" s="1"/>
  <c r="C2345" i="7"/>
  <c r="E2345" i="7" s="1"/>
  <c r="F2345" i="7" s="1"/>
  <c r="I2345" i="7" s="1"/>
  <c r="L2344" i="7"/>
  <c r="K2344" i="7"/>
  <c r="H2344" i="7"/>
  <c r="U2344" i="7" s="1"/>
  <c r="C2344" i="7"/>
  <c r="E2344" i="7" s="1"/>
  <c r="F2344" i="7" s="1"/>
  <c r="I2344" i="7" s="1"/>
  <c r="L2343" i="7"/>
  <c r="K2343" i="7"/>
  <c r="H2343" i="7"/>
  <c r="U2343" i="7" s="1"/>
  <c r="C2343" i="7"/>
  <c r="E2343" i="7" s="1"/>
  <c r="F2343" i="7" s="1"/>
  <c r="L2342" i="7"/>
  <c r="K2342" i="7"/>
  <c r="H2342" i="7"/>
  <c r="U2342" i="7" s="1"/>
  <c r="C2342" i="7"/>
  <c r="E2342" i="7" s="1"/>
  <c r="F2342" i="7" s="1"/>
  <c r="L2341" i="7"/>
  <c r="K2341" i="7"/>
  <c r="H2341" i="7"/>
  <c r="U2341" i="7" s="1"/>
  <c r="C2341" i="7"/>
  <c r="E2341" i="7" s="1"/>
  <c r="F2341" i="7" s="1"/>
  <c r="L2340" i="7"/>
  <c r="K2340" i="7"/>
  <c r="H2340" i="7"/>
  <c r="U2340" i="7" s="1"/>
  <c r="C2340" i="7"/>
  <c r="E2340" i="7" s="1"/>
  <c r="F2340" i="7" s="1"/>
  <c r="U2339" i="7"/>
  <c r="L2339" i="7"/>
  <c r="K2339" i="7"/>
  <c r="H2339" i="7"/>
  <c r="F2339" i="7"/>
  <c r="J2339" i="7" s="1"/>
  <c r="C2339" i="7"/>
  <c r="E2339" i="7" s="1"/>
  <c r="U2338" i="7"/>
  <c r="L2338" i="7"/>
  <c r="K2338" i="7"/>
  <c r="H2338" i="7"/>
  <c r="C2338" i="7"/>
  <c r="E2338" i="7" s="1"/>
  <c r="F2338" i="7" s="1"/>
  <c r="U2337" i="7"/>
  <c r="L2337" i="7"/>
  <c r="K2337" i="7"/>
  <c r="H2337" i="7"/>
  <c r="C2337" i="7"/>
  <c r="E2337" i="7" s="1"/>
  <c r="F2337" i="7" s="1"/>
  <c r="L2336" i="7"/>
  <c r="K2336" i="7"/>
  <c r="H2336" i="7"/>
  <c r="U2336" i="7" s="1"/>
  <c r="C2336" i="7"/>
  <c r="E2336" i="7" s="1"/>
  <c r="F2336" i="7" s="1"/>
  <c r="L2335" i="7"/>
  <c r="K2335" i="7"/>
  <c r="H2335" i="7"/>
  <c r="U2335" i="7" s="1"/>
  <c r="F2335" i="7"/>
  <c r="C2335" i="7"/>
  <c r="E2335" i="7" s="1"/>
  <c r="L2334" i="7"/>
  <c r="K2334" i="7"/>
  <c r="H2334" i="7"/>
  <c r="U2334" i="7" s="1"/>
  <c r="C2334" i="7"/>
  <c r="E2334" i="7" s="1"/>
  <c r="F2334" i="7" s="1"/>
  <c r="L2333" i="7"/>
  <c r="K2333" i="7"/>
  <c r="H2333" i="7"/>
  <c r="U2333" i="7" s="1"/>
  <c r="C2333" i="7"/>
  <c r="E2333" i="7" s="1"/>
  <c r="F2333" i="7" s="1"/>
  <c r="L2332" i="7"/>
  <c r="K2332" i="7"/>
  <c r="H2332" i="7"/>
  <c r="U2332" i="7" s="1"/>
  <c r="E2332" i="7"/>
  <c r="F2332" i="7" s="1"/>
  <c r="C2332" i="7"/>
  <c r="L2331" i="7"/>
  <c r="K2331" i="7"/>
  <c r="I2331" i="7"/>
  <c r="H2331" i="7"/>
  <c r="U2331" i="7" s="1"/>
  <c r="C2331" i="7"/>
  <c r="E2331" i="7" s="1"/>
  <c r="F2331" i="7" s="1"/>
  <c r="L2330" i="7"/>
  <c r="K2330" i="7"/>
  <c r="H2330" i="7"/>
  <c r="U2330" i="7" s="1"/>
  <c r="C2330" i="7"/>
  <c r="E2330" i="7" s="1"/>
  <c r="F2330" i="7" s="1"/>
  <c r="L2329" i="7"/>
  <c r="K2329" i="7"/>
  <c r="H2329" i="7"/>
  <c r="U2329" i="7" s="1"/>
  <c r="C2329" i="7"/>
  <c r="E2329" i="7" s="1"/>
  <c r="F2329" i="7" s="1"/>
  <c r="L2328" i="7"/>
  <c r="K2328" i="7"/>
  <c r="H2328" i="7"/>
  <c r="U2328" i="7" s="1"/>
  <c r="C2328" i="7"/>
  <c r="E2328" i="7" s="1"/>
  <c r="F2328" i="7" s="1"/>
  <c r="L2327" i="7"/>
  <c r="K2327" i="7"/>
  <c r="H2327" i="7"/>
  <c r="U2327" i="7" s="1"/>
  <c r="C2327" i="7"/>
  <c r="E2327" i="7" s="1"/>
  <c r="F2327" i="7" s="1"/>
  <c r="U2326" i="7"/>
  <c r="L2326" i="7"/>
  <c r="K2326" i="7"/>
  <c r="H2326" i="7"/>
  <c r="C2326" i="7"/>
  <c r="E2326" i="7" s="1"/>
  <c r="F2326" i="7" s="1"/>
  <c r="L2325" i="7"/>
  <c r="K2325" i="7"/>
  <c r="H2325" i="7"/>
  <c r="U2325" i="7" s="1"/>
  <c r="C2325" i="7"/>
  <c r="E2325" i="7" s="1"/>
  <c r="F2325" i="7" s="1"/>
  <c r="L2324" i="7"/>
  <c r="K2324" i="7"/>
  <c r="H2324" i="7"/>
  <c r="U2324" i="7" s="1"/>
  <c r="C2324" i="7"/>
  <c r="E2324" i="7" s="1"/>
  <c r="F2324" i="7" s="1"/>
  <c r="L2323" i="7"/>
  <c r="K2323" i="7"/>
  <c r="H2323" i="7"/>
  <c r="U2323" i="7" s="1"/>
  <c r="C2323" i="7"/>
  <c r="E2323" i="7" s="1"/>
  <c r="F2323" i="7" s="1"/>
  <c r="L2322" i="7"/>
  <c r="K2322" i="7"/>
  <c r="H2322" i="7"/>
  <c r="U2322" i="7" s="1"/>
  <c r="C2322" i="7"/>
  <c r="E2322" i="7" s="1"/>
  <c r="F2322" i="7" s="1"/>
  <c r="U2321" i="7"/>
  <c r="L2321" i="7"/>
  <c r="K2321" i="7"/>
  <c r="H2321" i="7"/>
  <c r="C2321" i="7"/>
  <c r="E2321" i="7" s="1"/>
  <c r="F2321" i="7" s="1"/>
  <c r="L2320" i="7"/>
  <c r="K2320" i="7"/>
  <c r="H2320" i="7"/>
  <c r="U2320" i="7" s="1"/>
  <c r="C2320" i="7"/>
  <c r="E2320" i="7" s="1"/>
  <c r="F2320" i="7" s="1"/>
  <c r="L2319" i="7"/>
  <c r="K2319" i="7"/>
  <c r="H2319" i="7"/>
  <c r="U2319" i="7" s="1"/>
  <c r="C2319" i="7"/>
  <c r="E2319" i="7" s="1"/>
  <c r="F2319" i="7" s="1"/>
  <c r="L2318" i="7"/>
  <c r="K2318" i="7"/>
  <c r="H2318" i="7"/>
  <c r="U2318" i="7" s="1"/>
  <c r="C2318" i="7"/>
  <c r="E2318" i="7" s="1"/>
  <c r="F2318" i="7" s="1"/>
  <c r="L2317" i="7"/>
  <c r="K2317" i="7"/>
  <c r="H2317" i="7"/>
  <c r="U2317" i="7" s="1"/>
  <c r="E2317" i="7"/>
  <c r="F2317" i="7" s="1"/>
  <c r="C2317" i="7"/>
  <c r="L2316" i="7"/>
  <c r="K2316" i="7"/>
  <c r="H2316" i="7"/>
  <c r="U2316" i="7" s="1"/>
  <c r="C2316" i="7"/>
  <c r="E2316" i="7" s="1"/>
  <c r="F2316" i="7" s="1"/>
  <c r="I2316" i="7" s="1"/>
  <c r="L2315" i="7"/>
  <c r="K2315" i="7"/>
  <c r="H2315" i="7"/>
  <c r="U2315" i="7" s="1"/>
  <c r="C2315" i="7"/>
  <c r="E2315" i="7" s="1"/>
  <c r="F2315" i="7" s="1"/>
  <c r="L2314" i="7"/>
  <c r="J2314" i="7" s="1"/>
  <c r="K2314" i="7"/>
  <c r="H2314" i="7"/>
  <c r="U2314" i="7" s="1"/>
  <c r="C2314" i="7"/>
  <c r="E2314" i="7" s="1"/>
  <c r="F2314" i="7" s="1"/>
  <c r="L2313" i="7"/>
  <c r="K2313" i="7"/>
  <c r="H2313" i="7"/>
  <c r="U2313" i="7" s="1"/>
  <c r="C2313" i="7"/>
  <c r="E2313" i="7" s="1"/>
  <c r="F2313" i="7" s="1"/>
  <c r="L2312" i="7"/>
  <c r="K2312" i="7"/>
  <c r="H2312" i="7"/>
  <c r="U2312" i="7" s="1"/>
  <c r="C2312" i="7"/>
  <c r="E2312" i="7" s="1"/>
  <c r="F2312" i="7" s="1"/>
  <c r="L2311" i="7"/>
  <c r="K2311" i="7"/>
  <c r="H2311" i="7"/>
  <c r="U2311" i="7" s="1"/>
  <c r="F2311" i="7"/>
  <c r="C2311" i="7"/>
  <c r="E2311" i="7" s="1"/>
  <c r="L2310" i="7"/>
  <c r="K2310" i="7"/>
  <c r="H2310" i="7"/>
  <c r="U2310" i="7" s="1"/>
  <c r="C2310" i="7"/>
  <c r="E2310" i="7" s="1"/>
  <c r="F2310" i="7" s="1"/>
  <c r="L2309" i="7"/>
  <c r="K2309" i="7"/>
  <c r="H2309" i="7"/>
  <c r="U2309" i="7" s="1"/>
  <c r="C2309" i="7"/>
  <c r="E2309" i="7" s="1"/>
  <c r="F2309" i="7" s="1"/>
  <c r="L2308" i="7"/>
  <c r="K2308" i="7"/>
  <c r="H2308" i="7"/>
  <c r="U2308" i="7" s="1"/>
  <c r="C2308" i="7"/>
  <c r="E2308" i="7" s="1"/>
  <c r="F2308" i="7" s="1"/>
  <c r="L2307" i="7"/>
  <c r="K2307" i="7"/>
  <c r="H2307" i="7"/>
  <c r="U2307" i="7" s="1"/>
  <c r="C2307" i="7"/>
  <c r="E2307" i="7" s="1"/>
  <c r="F2307" i="7" s="1"/>
  <c r="L2306" i="7"/>
  <c r="K2306" i="7"/>
  <c r="H2306" i="7"/>
  <c r="U2306" i="7" s="1"/>
  <c r="C2306" i="7"/>
  <c r="E2306" i="7" s="1"/>
  <c r="F2306" i="7" s="1"/>
  <c r="J2306" i="7" s="1"/>
  <c r="L2305" i="7"/>
  <c r="K2305" i="7"/>
  <c r="H2305" i="7"/>
  <c r="U2305" i="7" s="1"/>
  <c r="C2305" i="7"/>
  <c r="E2305" i="7" s="1"/>
  <c r="F2305" i="7" s="1"/>
  <c r="L2304" i="7"/>
  <c r="K2304" i="7"/>
  <c r="H2304" i="7"/>
  <c r="U2304" i="7" s="1"/>
  <c r="C2304" i="7"/>
  <c r="E2304" i="7" s="1"/>
  <c r="F2304" i="7" s="1"/>
  <c r="L2303" i="7"/>
  <c r="K2303" i="7"/>
  <c r="H2303" i="7"/>
  <c r="U2303" i="7" s="1"/>
  <c r="C2303" i="7"/>
  <c r="E2303" i="7" s="1"/>
  <c r="F2303" i="7" s="1"/>
  <c r="U2302" i="7"/>
  <c r="L2302" i="7"/>
  <c r="K2302" i="7"/>
  <c r="H2302" i="7"/>
  <c r="E2302" i="7"/>
  <c r="F2302" i="7" s="1"/>
  <c r="C2302" i="7"/>
  <c r="L2301" i="7"/>
  <c r="K2301" i="7"/>
  <c r="H2301" i="7"/>
  <c r="U2301" i="7" s="1"/>
  <c r="C2301" i="7"/>
  <c r="E2301" i="7" s="1"/>
  <c r="F2301" i="7" s="1"/>
  <c r="L2300" i="7"/>
  <c r="K2300" i="7"/>
  <c r="J2300" i="7"/>
  <c r="H2300" i="7"/>
  <c r="U2300" i="7" s="1"/>
  <c r="C2300" i="7"/>
  <c r="E2300" i="7" s="1"/>
  <c r="F2300" i="7" s="1"/>
  <c r="L2299" i="7"/>
  <c r="K2299" i="7"/>
  <c r="H2299" i="7"/>
  <c r="U2299" i="7" s="1"/>
  <c r="C2299" i="7"/>
  <c r="E2299" i="7" s="1"/>
  <c r="F2299" i="7" s="1"/>
  <c r="I2299" i="7" s="1"/>
  <c r="U2298" i="7"/>
  <c r="L2298" i="7"/>
  <c r="K2298" i="7"/>
  <c r="H2298" i="7"/>
  <c r="C2298" i="7"/>
  <c r="E2298" i="7" s="1"/>
  <c r="F2298" i="7" s="1"/>
  <c r="U2297" i="7"/>
  <c r="L2297" i="7"/>
  <c r="K2297" i="7"/>
  <c r="H2297" i="7"/>
  <c r="C2297" i="7"/>
  <c r="E2297" i="7" s="1"/>
  <c r="F2297" i="7" s="1"/>
  <c r="I2297" i="7" s="1"/>
  <c r="L2296" i="7"/>
  <c r="K2296" i="7"/>
  <c r="H2296" i="7"/>
  <c r="U2296" i="7" s="1"/>
  <c r="C2296" i="7"/>
  <c r="E2296" i="7" s="1"/>
  <c r="F2296" i="7" s="1"/>
  <c r="I2296" i="7" s="1"/>
  <c r="L2295" i="7"/>
  <c r="K2295" i="7"/>
  <c r="H2295" i="7"/>
  <c r="U2295" i="7" s="1"/>
  <c r="C2295" i="7"/>
  <c r="E2295" i="7" s="1"/>
  <c r="F2295" i="7" s="1"/>
  <c r="L2294" i="7"/>
  <c r="K2294" i="7"/>
  <c r="H2294" i="7"/>
  <c r="U2294" i="7" s="1"/>
  <c r="C2294" i="7"/>
  <c r="E2294" i="7" s="1"/>
  <c r="F2294" i="7" s="1"/>
  <c r="L2293" i="7"/>
  <c r="K2293" i="7"/>
  <c r="H2293" i="7"/>
  <c r="U2293" i="7" s="1"/>
  <c r="C2293" i="7"/>
  <c r="E2293" i="7" s="1"/>
  <c r="F2293" i="7" s="1"/>
  <c r="L2292" i="7"/>
  <c r="K2292" i="7"/>
  <c r="H2292" i="7"/>
  <c r="U2292" i="7" s="1"/>
  <c r="C2292" i="7"/>
  <c r="E2292" i="7" s="1"/>
  <c r="F2292" i="7" s="1"/>
  <c r="L2291" i="7"/>
  <c r="K2291" i="7"/>
  <c r="H2291" i="7"/>
  <c r="U2291" i="7" s="1"/>
  <c r="C2291" i="7"/>
  <c r="E2291" i="7" s="1"/>
  <c r="F2291" i="7" s="1"/>
  <c r="U2290" i="7"/>
  <c r="L2290" i="7"/>
  <c r="K2290" i="7"/>
  <c r="H2290" i="7"/>
  <c r="E2290" i="7"/>
  <c r="F2290" i="7" s="1"/>
  <c r="C2290" i="7"/>
  <c r="L2289" i="7"/>
  <c r="K2289" i="7"/>
  <c r="H2289" i="7"/>
  <c r="U2289" i="7" s="1"/>
  <c r="C2289" i="7"/>
  <c r="E2289" i="7" s="1"/>
  <c r="F2289" i="7" s="1"/>
  <c r="L2288" i="7"/>
  <c r="K2288" i="7"/>
  <c r="H2288" i="7"/>
  <c r="U2288" i="7" s="1"/>
  <c r="C2288" i="7"/>
  <c r="E2288" i="7" s="1"/>
  <c r="F2288" i="7" s="1"/>
  <c r="L2287" i="7"/>
  <c r="K2287" i="7"/>
  <c r="H2287" i="7"/>
  <c r="U2287" i="7" s="1"/>
  <c r="C2287" i="7"/>
  <c r="E2287" i="7" s="1"/>
  <c r="F2287" i="7" s="1"/>
  <c r="L2286" i="7"/>
  <c r="K2286" i="7"/>
  <c r="H2286" i="7"/>
  <c r="U2286" i="7" s="1"/>
  <c r="F2286" i="7"/>
  <c r="C2286" i="7"/>
  <c r="E2286" i="7" s="1"/>
  <c r="L2285" i="7"/>
  <c r="K2285" i="7"/>
  <c r="H2285" i="7"/>
  <c r="U2285" i="7" s="1"/>
  <c r="C2285" i="7"/>
  <c r="E2285" i="7" s="1"/>
  <c r="F2285" i="7" s="1"/>
  <c r="L2284" i="7"/>
  <c r="K2284" i="7"/>
  <c r="H2284" i="7"/>
  <c r="U2284" i="7" s="1"/>
  <c r="C2284" i="7"/>
  <c r="E2284" i="7" s="1"/>
  <c r="F2284" i="7" s="1"/>
  <c r="L2283" i="7"/>
  <c r="K2283" i="7"/>
  <c r="H2283" i="7"/>
  <c r="U2283" i="7" s="1"/>
  <c r="C2283" i="7"/>
  <c r="E2283" i="7" s="1"/>
  <c r="F2283" i="7" s="1"/>
  <c r="I2283" i="7" s="1"/>
  <c r="U2282" i="7"/>
  <c r="L2282" i="7"/>
  <c r="K2282" i="7"/>
  <c r="H2282" i="7"/>
  <c r="E2282" i="7"/>
  <c r="F2282" i="7" s="1"/>
  <c r="C2282" i="7"/>
  <c r="L2281" i="7"/>
  <c r="K2281" i="7"/>
  <c r="H2281" i="7"/>
  <c r="U2281" i="7" s="1"/>
  <c r="C2281" i="7"/>
  <c r="E2281" i="7" s="1"/>
  <c r="F2281" i="7" s="1"/>
  <c r="L2280" i="7"/>
  <c r="K2280" i="7"/>
  <c r="H2280" i="7"/>
  <c r="U2280" i="7" s="1"/>
  <c r="C2280" i="7"/>
  <c r="E2280" i="7" s="1"/>
  <c r="F2280" i="7" s="1"/>
  <c r="L2279" i="7"/>
  <c r="K2279" i="7"/>
  <c r="H2279" i="7"/>
  <c r="U2279" i="7" s="1"/>
  <c r="C2279" i="7"/>
  <c r="E2279" i="7" s="1"/>
  <c r="F2279" i="7" s="1"/>
  <c r="J2279" i="7" s="1"/>
  <c r="L2278" i="7"/>
  <c r="K2278" i="7"/>
  <c r="H2278" i="7"/>
  <c r="U2278" i="7" s="1"/>
  <c r="C2278" i="7"/>
  <c r="E2278" i="7" s="1"/>
  <c r="F2278" i="7" s="1"/>
  <c r="U2277" i="7"/>
  <c r="L2277" i="7"/>
  <c r="K2277" i="7"/>
  <c r="H2277" i="7"/>
  <c r="C2277" i="7"/>
  <c r="E2277" i="7" s="1"/>
  <c r="F2277" i="7" s="1"/>
  <c r="J2277" i="7" s="1"/>
  <c r="L2276" i="7"/>
  <c r="K2276" i="7"/>
  <c r="H2276" i="7"/>
  <c r="U2276" i="7" s="1"/>
  <c r="C2276" i="7"/>
  <c r="E2276" i="7" s="1"/>
  <c r="F2276" i="7" s="1"/>
  <c r="L2275" i="7"/>
  <c r="K2275" i="7"/>
  <c r="H2275" i="7"/>
  <c r="U2275" i="7" s="1"/>
  <c r="C2275" i="7"/>
  <c r="E2275" i="7" s="1"/>
  <c r="F2275" i="7" s="1"/>
  <c r="L2274" i="7"/>
  <c r="K2274" i="7"/>
  <c r="H2274" i="7"/>
  <c r="U2274" i="7" s="1"/>
  <c r="E2274" i="7"/>
  <c r="F2274" i="7" s="1"/>
  <c r="C2274" i="7"/>
  <c r="L2273" i="7"/>
  <c r="K2273" i="7"/>
  <c r="H2273" i="7"/>
  <c r="U2273" i="7" s="1"/>
  <c r="C2273" i="7"/>
  <c r="E2273" i="7" s="1"/>
  <c r="F2273" i="7" s="1"/>
  <c r="L2272" i="7"/>
  <c r="K2272" i="7"/>
  <c r="H2272" i="7"/>
  <c r="U2272" i="7" s="1"/>
  <c r="F2272" i="7"/>
  <c r="I2272" i="7" s="1"/>
  <c r="C2272" i="7"/>
  <c r="E2272" i="7" s="1"/>
  <c r="L2271" i="7"/>
  <c r="K2271" i="7"/>
  <c r="H2271" i="7"/>
  <c r="U2271" i="7" s="1"/>
  <c r="F2271" i="7"/>
  <c r="C2271" i="7"/>
  <c r="E2271" i="7" s="1"/>
  <c r="L2270" i="7"/>
  <c r="K2270" i="7"/>
  <c r="H2270" i="7"/>
  <c r="U2270" i="7" s="1"/>
  <c r="C2270" i="7"/>
  <c r="E2270" i="7" s="1"/>
  <c r="F2270" i="7" s="1"/>
  <c r="L2269" i="7"/>
  <c r="K2269" i="7"/>
  <c r="H2269" i="7"/>
  <c r="U2269" i="7" s="1"/>
  <c r="E2269" i="7"/>
  <c r="F2269" i="7" s="1"/>
  <c r="C2269" i="7"/>
  <c r="L2268" i="7"/>
  <c r="K2268" i="7"/>
  <c r="H2268" i="7"/>
  <c r="U2268" i="7" s="1"/>
  <c r="C2268" i="7"/>
  <c r="E2268" i="7" s="1"/>
  <c r="F2268" i="7" s="1"/>
  <c r="L2267" i="7"/>
  <c r="K2267" i="7"/>
  <c r="H2267" i="7"/>
  <c r="U2267" i="7" s="1"/>
  <c r="C2267" i="7"/>
  <c r="E2267" i="7" s="1"/>
  <c r="F2267" i="7" s="1"/>
  <c r="U2266" i="7"/>
  <c r="L2266" i="7"/>
  <c r="K2266" i="7"/>
  <c r="H2266" i="7"/>
  <c r="C2266" i="7"/>
  <c r="E2266" i="7" s="1"/>
  <c r="F2266" i="7" s="1"/>
  <c r="J2266" i="7" s="1"/>
  <c r="L2265" i="7"/>
  <c r="K2265" i="7"/>
  <c r="H2265" i="7"/>
  <c r="U2265" i="7" s="1"/>
  <c r="C2265" i="7"/>
  <c r="E2265" i="7" s="1"/>
  <c r="F2265" i="7" s="1"/>
  <c r="L2264" i="7"/>
  <c r="K2264" i="7"/>
  <c r="H2264" i="7"/>
  <c r="U2264" i="7" s="1"/>
  <c r="C2264" i="7"/>
  <c r="E2264" i="7" s="1"/>
  <c r="F2264" i="7" s="1"/>
  <c r="L2263" i="7"/>
  <c r="K2263" i="7"/>
  <c r="H2263" i="7"/>
  <c r="U2263" i="7" s="1"/>
  <c r="F2263" i="7"/>
  <c r="C2263" i="7"/>
  <c r="E2263" i="7" s="1"/>
  <c r="L2262" i="7"/>
  <c r="K2262" i="7"/>
  <c r="H2262" i="7"/>
  <c r="U2262" i="7" s="1"/>
  <c r="C2262" i="7"/>
  <c r="E2262" i="7" s="1"/>
  <c r="F2262" i="7" s="1"/>
  <c r="L2261" i="7"/>
  <c r="K2261" i="7"/>
  <c r="H2261" i="7"/>
  <c r="U2261" i="7" s="1"/>
  <c r="C2261" i="7"/>
  <c r="E2261" i="7" s="1"/>
  <c r="F2261" i="7" s="1"/>
  <c r="L2260" i="7"/>
  <c r="K2260" i="7"/>
  <c r="J2260" i="7"/>
  <c r="H2260" i="7"/>
  <c r="U2260" i="7" s="1"/>
  <c r="C2260" i="7"/>
  <c r="E2260" i="7" s="1"/>
  <c r="F2260" i="7" s="1"/>
  <c r="I2260" i="7" s="1"/>
  <c r="U2259" i="7"/>
  <c r="L2259" i="7"/>
  <c r="K2259" i="7"/>
  <c r="H2259" i="7"/>
  <c r="C2259" i="7"/>
  <c r="E2259" i="7" s="1"/>
  <c r="F2259" i="7" s="1"/>
  <c r="L2258" i="7"/>
  <c r="K2258" i="7"/>
  <c r="H2258" i="7"/>
  <c r="U2258" i="7" s="1"/>
  <c r="C2258" i="7"/>
  <c r="E2258" i="7" s="1"/>
  <c r="F2258" i="7" s="1"/>
  <c r="L2257" i="7"/>
  <c r="K2257" i="7"/>
  <c r="H2257" i="7"/>
  <c r="U2257" i="7" s="1"/>
  <c r="C2257" i="7"/>
  <c r="E2257" i="7" s="1"/>
  <c r="F2257" i="7" s="1"/>
  <c r="I2257" i="7" s="1"/>
  <c r="L2256" i="7"/>
  <c r="K2256" i="7"/>
  <c r="H2256" i="7"/>
  <c r="U2256" i="7" s="1"/>
  <c r="F2256" i="7"/>
  <c r="C2256" i="7"/>
  <c r="E2256" i="7" s="1"/>
  <c r="L2255" i="7"/>
  <c r="K2255" i="7"/>
  <c r="H2255" i="7"/>
  <c r="U2255" i="7" s="1"/>
  <c r="C2255" i="7"/>
  <c r="E2255" i="7" s="1"/>
  <c r="F2255" i="7" s="1"/>
  <c r="U2254" i="7"/>
  <c r="L2254" i="7"/>
  <c r="K2254" i="7"/>
  <c r="H2254" i="7"/>
  <c r="C2254" i="7"/>
  <c r="E2254" i="7" s="1"/>
  <c r="F2254" i="7" s="1"/>
  <c r="L2253" i="7"/>
  <c r="K2253" i="7"/>
  <c r="H2253" i="7"/>
  <c r="U2253" i="7" s="1"/>
  <c r="C2253" i="7"/>
  <c r="E2253" i="7" s="1"/>
  <c r="F2253" i="7" s="1"/>
  <c r="U2252" i="7"/>
  <c r="L2252" i="7"/>
  <c r="K2252" i="7"/>
  <c r="H2252" i="7"/>
  <c r="C2252" i="7"/>
  <c r="E2252" i="7" s="1"/>
  <c r="F2252" i="7" s="1"/>
  <c r="I2252" i="7" s="1"/>
  <c r="L2251" i="7"/>
  <c r="K2251" i="7"/>
  <c r="H2251" i="7"/>
  <c r="U2251" i="7" s="1"/>
  <c r="C2251" i="7"/>
  <c r="E2251" i="7" s="1"/>
  <c r="F2251" i="7" s="1"/>
  <c r="L2250" i="7"/>
  <c r="K2250" i="7"/>
  <c r="H2250" i="7"/>
  <c r="U2250" i="7" s="1"/>
  <c r="C2250" i="7"/>
  <c r="E2250" i="7" s="1"/>
  <c r="F2250" i="7" s="1"/>
  <c r="L2249" i="7"/>
  <c r="K2249" i="7"/>
  <c r="H2249" i="7"/>
  <c r="U2249" i="7" s="1"/>
  <c r="E2249" i="7"/>
  <c r="F2249" i="7" s="1"/>
  <c r="C2249" i="7"/>
  <c r="L2248" i="7"/>
  <c r="K2248" i="7"/>
  <c r="H2248" i="7"/>
  <c r="U2248" i="7" s="1"/>
  <c r="C2248" i="7"/>
  <c r="E2248" i="7" s="1"/>
  <c r="F2248" i="7" s="1"/>
  <c r="L2247" i="7"/>
  <c r="K2247" i="7"/>
  <c r="H2247" i="7"/>
  <c r="U2247" i="7" s="1"/>
  <c r="C2247" i="7"/>
  <c r="E2247" i="7" s="1"/>
  <c r="F2247" i="7" s="1"/>
  <c r="L2246" i="7"/>
  <c r="K2246" i="7"/>
  <c r="H2246" i="7"/>
  <c r="U2246" i="7" s="1"/>
  <c r="C2246" i="7"/>
  <c r="E2246" i="7" s="1"/>
  <c r="F2246" i="7" s="1"/>
  <c r="L2245" i="7"/>
  <c r="K2245" i="7"/>
  <c r="H2245" i="7"/>
  <c r="U2245" i="7" s="1"/>
  <c r="C2245" i="7"/>
  <c r="E2245" i="7" s="1"/>
  <c r="F2245" i="7" s="1"/>
  <c r="U2244" i="7"/>
  <c r="L2244" i="7"/>
  <c r="K2244" i="7"/>
  <c r="H2244" i="7"/>
  <c r="C2244" i="7"/>
  <c r="E2244" i="7" s="1"/>
  <c r="F2244" i="7" s="1"/>
  <c r="U2243" i="7"/>
  <c r="L2243" i="7"/>
  <c r="K2243" i="7"/>
  <c r="H2243" i="7"/>
  <c r="C2243" i="7"/>
  <c r="E2243" i="7" s="1"/>
  <c r="F2243" i="7" s="1"/>
  <c r="J2243" i="7" s="1"/>
  <c r="L2242" i="7"/>
  <c r="K2242" i="7"/>
  <c r="H2242" i="7"/>
  <c r="U2242" i="7" s="1"/>
  <c r="C2242" i="7"/>
  <c r="E2242" i="7" s="1"/>
  <c r="F2242" i="7" s="1"/>
  <c r="L2241" i="7"/>
  <c r="K2241" i="7"/>
  <c r="H2241" i="7"/>
  <c r="U2241" i="7" s="1"/>
  <c r="C2241" i="7"/>
  <c r="E2241" i="7" s="1"/>
  <c r="F2241" i="7" s="1"/>
  <c r="L2240" i="7"/>
  <c r="K2240" i="7"/>
  <c r="H2240" i="7"/>
  <c r="U2240" i="7" s="1"/>
  <c r="C2240" i="7"/>
  <c r="E2240" i="7" s="1"/>
  <c r="F2240" i="7" s="1"/>
  <c r="L2239" i="7"/>
  <c r="K2239" i="7"/>
  <c r="H2239" i="7"/>
  <c r="U2239" i="7" s="1"/>
  <c r="C2239" i="7"/>
  <c r="E2239" i="7" s="1"/>
  <c r="F2239" i="7" s="1"/>
  <c r="U2238" i="7"/>
  <c r="L2238" i="7"/>
  <c r="K2238" i="7"/>
  <c r="J2238" i="7"/>
  <c r="H2238" i="7"/>
  <c r="F2238" i="7"/>
  <c r="C2238" i="7"/>
  <c r="E2238" i="7" s="1"/>
  <c r="L2237" i="7"/>
  <c r="K2237" i="7"/>
  <c r="H2237" i="7"/>
  <c r="U2237" i="7" s="1"/>
  <c r="C2237" i="7"/>
  <c r="E2237" i="7" s="1"/>
  <c r="F2237" i="7" s="1"/>
  <c r="L2236" i="7"/>
  <c r="K2236" i="7"/>
  <c r="H2236" i="7"/>
  <c r="U2236" i="7" s="1"/>
  <c r="C2236" i="7"/>
  <c r="E2236" i="7" s="1"/>
  <c r="F2236" i="7" s="1"/>
  <c r="L2235" i="7"/>
  <c r="K2235" i="7"/>
  <c r="H2235" i="7"/>
  <c r="U2235" i="7" s="1"/>
  <c r="C2235" i="7"/>
  <c r="E2235" i="7" s="1"/>
  <c r="F2235" i="7" s="1"/>
  <c r="J2235" i="7" s="1"/>
  <c r="L2234" i="7"/>
  <c r="K2234" i="7"/>
  <c r="H2234" i="7"/>
  <c r="U2234" i="7" s="1"/>
  <c r="C2234" i="7"/>
  <c r="E2234" i="7" s="1"/>
  <c r="F2234" i="7" s="1"/>
  <c r="L2233" i="7"/>
  <c r="K2233" i="7"/>
  <c r="H2233" i="7"/>
  <c r="U2233" i="7" s="1"/>
  <c r="C2233" i="7"/>
  <c r="E2233" i="7" s="1"/>
  <c r="F2233" i="7" s="1"/>
  <c r="I2233" i="7" s="1"/>
  <c r="L2232" i="7"/>
  <c r="K2232" i="7"/>
  <c r="H2232" i="7"/>
  <c r="U2232" i="7" s="1"/>
  <c r="C2232" i="7"/>
  <c r="E2232" i="7" s="1"/>
  <c r="F2232" i="7" s="1"/>
  <c r="L2231" i="7"/>
  <c r="K2231" i="7"/>
  <c r="H2231" i="7"/>
  <c r="U2231" i="7" s="1"/>
  <c r="F2231" i="7"/>
  <c r="J2231" i="7" s="1"/>
  <c r="C2231" i="7"/>
  <c r="E2231" i="7" s="1"/>
  <c r="L2230" i="7"/>
  <c r="K2230" i="7"/>
  <c r="H2230" i="7"/>
  <c r="U2230" i="7" s="1"/>
  <c r="E2230" i="7"/>
  <c r="F2230" i="7" s="1"/>
  <c r="C2230" i="7"/>
  <c r="L2229" i="7"/>
  <c r="K2229" i="7"/>
  <c r="H2229" i="7"/>
  <c r="U2229" i="7" s="1"/>
  <c r="C2229" i="7"/>
  <c r="E2229" i="7" s="1"/>
  <c r="F2229" i="7" s="1"/>
  <c r="I2229" i="7" s="1"/>
  <c r="L2228" i="7"/>
  <c r="K2228" i="7"/>
  <c r="H2228" i="7"/>
  <c r="U2228" i="7" s="1"/>
  <c r="C2228" i="7"/>
  <c r="E2228" i="7" s="1"/>
  <c r="F2228" i="7" s="1"/>
  <c r="I2228" i="7" s="1"/>
  <c r="L2227" i="7"/>
  <c r="K2227" i="7"/>
  <c r="H2227" i="7"/>
  <c r="U2227" i="7" s="1"/>
  <c r="C2227" i="7"/>
  <c r="E2227" i="7" s="1"/>
  <c r="F2227" i="7" s="1"/>
  <c r="L2226" i="7"/>
  <c r="K2226" i="7"/>
  <c r="H2226" i="7"/>
  <c r="U2226" i="7" s="1"/>
  <c r="C2226" i="7"/>
  <c r="E2226" i="7" s="1"/>
  <c r="F2226" i="7" s="1"/>
  <c r="L2225" i="7"/>
  <c r="K2225" i="7"/>
  <c r="H2225" i="7"/>
  <c r="U2225" i="7" s="1"/>
  <c r="C2225" i="7"/>
  <c r="E2225" i="7" s="1"/>
  <c r="F2225" i="7" s="1"/>
  <c r="I2225" i="7" s="1"/>
  <c r="L2224" i="7"/>
  <c r="K2224" i="7"/>
  <c r="H2224" i="7"/>
  <c r="U2224" i="7" s="1"/>
  <c r="C2224" i="7"/>
  <c r="E2224" i="7" s="1"/>
  <c r="F2224" i="7" s="1"/>
  <c r="I2224" i="7" s="1"/>
  <c r="L2223" i="7"/>
  <c r="K2223" i="7"/>
  <c r="H2223" i="7"/>
  <c r="U2223" i="7" s="1"/>
  <c r="C2223" i="7"/>
  <c r="E2223" i="7" s="1"/>
  <c r="F2223" i="7" s="1"/>
  <c r="U2222" i="7"/>
  <c r="L2222" i="7"/>
  <c r="K2222" i="7"/>
  <c r="H2222" i="7"/>
  <c r="C2222" i="7"/>
  <c r="E2222" i="7" s="1"/>
  <c r="F2222" i="7" s="1"/>
  <c r="L2221" i="7"/>
  <c r="K2221" i="7"/>
  <c r="H2221" i="7"/>
  <c r="U2221" i="7" s="1"/>
  <c r="C2221" i="7"/>
  <c r="E2221" i="7" s="1"/>
  <c r="F2221" i="7" s="1"/>
  <c r="L2220" i="7"/>
  <c r="K2220" i="7"/>
  <c r="H2220" i="7"/>
  <c r="U2220" i="7" s="1"/>
  <c r="C2220" i="7"/>
  <c r="E2220" i="7" s="1"/>
  <c r="F2220" i="7" s="1"/>
  <c r="I2220" i="7" s="1"/>
  <c r="L2219" i="7"/>
  <c r="K2219" i="7"/>
  <c r="H2219" i="7"/>
  <c r="U2219" i="7" s="1"/>
  <c r="C2219" i="7"/>
  <c r="E2219" i="7" s="1"/>
  <c r="F2219" i="7" s="1"/>
  <c r="L2218" i="7"/>
  <c r="K2218" i="7"/>
  <c r="H2218" i="7"/>
  <c r="U2218" i="7" s="1"/>
  <c r="E2218" i="7"/>
  <c r="F2218" i="7" s="1"/>
  <c r="C2218" i="7"/>
  <c r="U2217" i="7"/>
  <c r="L2217" i="7"/>
  <c r="K2217" i="7"/>
  <c r="H2217" i="7"/>
  <c r="C2217" i="7"/>
  <c r="E2217" i="7" s="1"/>
  <c r="F2217" i="7" s="1"/>
  <c r="L2216" i="7"/>
  <c r="K2216" i="7"/>
  <c r="H2216" i="7"/>
  <c r="U2216" i="7" s="1"/>
  <c r="E2216" i="7"/>
  <c r="F2216" i="7" s="1"/>
  <c r="C2216" i="7"/>
  <c r="L2215" i="7"/>
  <c r="K2215" i="7"/>
  <c r="H2215" i="7"/>
  <c r="U2215" i="7" s="1"/>
  <c r="C2215" i="7"/>
  <c r="E2215" i="7" s="1"/>
  <c r="F2215" i="7" s="1"/>
  <c r="L2214" i="7"/>
  <c r="K2214" i="7"/>
  <c r="H2214" i="7"/>
  <c r="U2214" i="7" s="1"/>
  <c r="C2214" i="7"/>
  <c r="E2214" i="7" s="1"/>
  <c r="F2214" i="7" s="1"/>
  <c r="L2213" i="7"/>
  <c r="K2213" i="7"/>
  <c r="H2213" i="7"/>
  <c r="U2213" i="7" s="1"/>
  <c r="E2213" i="7"/>
  <c r="F2213" i="7" s="1"/>
  <c r="C2213" i="7"/>
  <c r="L2212" i="7"/>
  <c r="K2212" i="7"/>
  <c r="J2212" i="7"/>
  <c r="H2212" i="7"/>
  <c r="U2212" i="7" s="1"/>
  <c r="C2212" i="7"/>
  <c r="E2212" i="7" s="1"/>
  <c r="F2212" i="7" s="1"/>
  <c r="L2211" i="7"/>
  <c r="K2211" i="7"/>
  <c r="H2211" i="7"/>
  <c r="U2211" i="7" s="1"/>
  <c r="C2211" i="7"/>
  <c r="E2211" i="7" s="1"/>
  <c r="F2211" i="7" s="1"/>
  <c r="L2210" i="7"/>
  <c r="K2210" i="7"/>
  <c r="H2210" i="7"/>
  <c r="U2210" i="7" s="1"/>
  <c r="C2210" i="7"/>
  <c r="E2210" i="7" s="1"/>
  <c r="F2210" i="7" s="1"/>
  <c r="L2209" i="7"/>
  <c r="K2209" i="7"/>
  <c r="H2209" i="7"/>
  <c r="U2209" i="7" s="1"/>
  <c r="C2209" i="7"/>
  <c r="E2209" i="7" s="1"/>
  <c r="F2209" i="7" s="1"/>
  <c r="I2209" i="7" s="1"/>
  <c r="L2208" i="7"/>
  <c r="K2208" i="7"/>
  <c r="H2208" i="7"/>
  <c r="U2208" i="7" s="1"/>
  <c r="C2208" i="7"/>
  <c r="E2208" i="7" s="1"/>
  <c r="F2208" i="7" s="1"/>
  <c r="L2207" i="7"/>
  <c r="K2207" i="7"/>
  <c r="H2207" i="7"/>
  <c r="U2207" i="7" s="1"/>
  <c r="C2207" i="7"/>
  <c r="E2207" i="7" s="1"/>
  <c r="F2207" i="7" s="1"/>
  <c r="L2206" i="7"/>
  <c r="K2206" i="7"/>
  <c r="H2206" i="7"/>
  <c r="U2206" i="7" s="1"/>
  <c r="C2206" i="7"/>
  <c r="E2206" i="7" s="1"/>
  <c r="F2206" i="7" s="1"/>
  <c r="L2205" i="7"/>
  <c r="K2205" i="7"/>
  <c r="H2205" i="7"/>
  <c r="U2205" i="7" s="1"/>
  <c r="E2205" i="7"/>
  <c r="F2205" i="7" s="1"/>
  <c r="C2205" i="7"/>
  <c r="L2204" i="7"/>
  <c r="K2204" i="7"/>
  <c r="H2204" i="7"/>
  <c r="U2204" i="7" s="1"/>
  <c r="C2204" i="7"/>
  <c r="E2204" i="7" s="1"/>
  <c r="F2204" i="7" s="1"/>
  <c r="L2203" i="7"/>
  <c r="K2203" i="7"/>
  <c r="H2203" i="7"/>
  <c r="U2203" i="7" s="1"/>
  <c r="C2203" i="7"/>
  <c r="E2203" i="7" s="1"/>
  <c r="F2203" i="7" s="1"/>
  <c r="L2202" i="7"/>
  <c r="K2202" i="7"/>
  <c r="H2202" i="7"/>
  <c r="U2202" i="7" s="1"/>
  <c r="E2202" i="7"/>
  <c r="F2202" i="7" s="1"/>
  <c r="C2202" i="7"/>
  <c r="L2201" i="7"/>
  <c r="K2201" i="7"/>
  <c r="H2201" i="7"/>
  <c r="U2201" i="7" s="1"/>
  <c r="C2201" i="7"/>
  <c r="E2201" i="7" s="1"/>
  <c r="F2201" i="7" s="1"/>
  <c r="I2201" i="7" s="1"/>
  <c r="L2200" i="7"/>
  <c r="K2200" i="7"/>
  <c r="H2200" i="7"/>
  <c r="U2200" i="7" s="1"/>
  <c r="E2200" i="7"/>
  <c r="F2200" i="7" s="1"/>
  <c r="C2200" i="7"/>
  <c r="L2199" i="7"/>
  <c r="K2199" i="7"/>
  <c r="H2199" i="7"/>
  <c r="U2199" i="7" s="1"/>
  <c r="C2199" i="7"/>
  <c r="E2199" i="7" s="1"/>
  <c r="F2199" i="7" s="1"/>
  <c r="L2198" i="7"/>
  <c r="K2198" i="7"/>
  <c r="H2198" i="7"/>
  <c r="U2198" i="7" s="1"/>
  <c r="C2198" i="7"/>
  <c r="E2198" i="7" s="1"/>
  <c r="F2198" i="7" s="1"/>
  <c r="L2197" i="7"/>
  <c r="K2197" i="7"/>
  <c r="H2197" i="7"/>
  <c r="U2197" i="7" s="1"/>
  <c r="C2197" i="7"/>
  <c r="E2197" i="7" s="1"/>
  <c r="F2197" i="7" s="1"/>
  <c r="L2196" i="7"/>
  <c r="K2196" i="7"/>
  <c r="H2196" i="7"/>
  <c r="U2196" i="7" s="1"/>
  <c r="C2196" i="7"/>
  <c r="E2196" i="7" s="1"/>
  <c r="F2196" i="7" s="1"/>
  <c r="U2195" i="7"/>
  <c r="L2195" i="7"/>
  <c r="K2195" i="7"/>
  <c r="H2195" i="7"/>
  <c r="F2195" i="7"/>
  <c r="I2195" i="7" s="1"/>
  <c r="C2195" i="7"/>
  <c r="E2195" i="7" s="1"/>
  <c r="L2194" i="7"/>
  <c r="K2194" i="7"/>
  <c r="H2194" i="7"/>
  <c r="U2194" i="7" s="1"/>
  <c r="C2194" i="7"/>
  <c r="E2194" i="7" s="1"/>
  <c r="F2194" i="7" s="1"/>
  <c r="L2193" i="7"/>
  <c r="K2193" i="7"/>
  <c r="H2193" i="7"/>
  <c r="U2193" i="7" s="1"/>
  <c r="C2193" i="7"/>
  <c r="E2193" i="7" s="1"/>
  <c r="F2193" i="7" s="1"/>
  <c r="L2192" i="7"/>
  <c r="K2192" i="7"/>
  <c r="H2192" i="7"/>
  <c r="U2192" i="7" s="1"/>
  <c r="C2192" i="7"/>
  <c r="E2192" i="7" s="1"/>
  <c r="F2192" i="7" s="1"/>
  <c r="L2191" i="7"/>
  <c r="K2191" i="7"/>
  <c r="H2191" i="7"/>
  <c r="U2191" i="7" s="1"/>
  <c r="C2191" i="7"/>
  <c r="E2191" i="7" s="1"/>
  <c r="F2191" i="7" s="1"/>
  <c r="L2190" i="7"/>
  <c r="K2190" i="7"/>
  <c r="H2190" i="7"/>
  <c r="U2190" i="7" s="1"/>
  <c r="C2190" i="7"/>
  <c r="E2190" i="7" s="1"/>
  <c r="F2190" i="7" s="1"/>
  <c r="U2189" i="7"/>
  <c r="L2189" i="7"/>
  <c r="K2189" i="7"/>
  <c r="H2189" i="7"/>
  <c r="C2189" i="7"/>
  <c r="E2189" i="7" s="1"/>
  <c r="F2189" i="7" s="1"/>
  <c r="J2189" i="7" s="1"/>
  <c r="L2188" i="7"/>
  <c r="K2188" i="7"/>
  <c r="H2188" i="7"/>
  <c r="U2188" i="7" s="1"/>
  <c r="C2188" i="7"/>
  <c r="E2188" i="7" s="1"/>
  <c r="F2188" i="7" s="1"/>
  <c r="L2187" i="7"/>
  <c r="K2187" i="7"/>
  <c r="H2187" i="7"/>
  <c r="U2187" i="7" s="1"/>
  <c r="F2187" i="7"/>
  <c r="J2187" i="7" s="1"/>
  <c r="C2187" i="7"/>
  <c r="E2187" i="7" s="1"/>
  <c r="L2186" i="7"/>
  <c r="K2186" i="7"/>
  <c r="H2186" i="7"/>
  <c r="U2186" i="7" s="1"/>
  <c r="C2186" i="7"/>
  <c r="E2186" i="7" s="1"/>
  <c r="F2186" i="7" s="1"/>
  <c r="L2185" i="7"/>
  <c r="K2185" i="7"/>
  <c r="H2185" i="7"/>
  <c r="U2185" i="7" s="1"/>
  <c r="C2185" i="7"/>
  <c r="E2185" i="7" s="1"/>
  <c r="F2185" i="7" s="1"/>
  <c r="L2184" i="7"/>
  <c r="K2184" i="7"/>
  <c r="H2184" i="7"/>
  <c r="U2184" i="7" s="1"/>
  <c r="C2184" i="7"/>
  <c r="E2184" i="7" s="1"/>
  <c r="F2184" i="7" s="1"/>
  <c r="L2183" i="7"/>
  <c r="K2183" i="7"/>
  <c r="H2183" i="7"/>
  <c r="U2183" i="7" s="1"/>
  <c r="F2183" i="7"/>
  <c r="C2183" i="7"/>
  <c r="E2183" i="7" s="1"/>
  <c r="L2182" i="7"/>
  <c r="K2182" i="7"/>
  <c r="H2182" i="7"/>
  <c r="U2182" i="7" s="1"/>
  <c r="C2182" i="7"/>
  <c r="E2182" i="7" s="1"/>
  <c r="F2182" i="7" s="1"/>
  <c r="L2181" i="7"/>
  <c r="K2181" i="7"/>
  <c r="H2181" i="7"/>
  <c r="U2181" i="7" s="1"/>
  <c r="C2181" i="7"/>
  <c r="E2181" i="7" s="1"/>
  <c r="F2181" i="7" s="1"/>
  <c r="J2181" i="7" s="1"/>
  <c r="L2180" i="7"/>
  <c r="K2180" i="7"/>
  <c r="H2180" i="7"/>
  <c r="U2180" i="7" s="1"/>
  <c r="C2180" i="7"/>
  <c r="E2180" i="7" s="1"/>
  <c r="F2180" i="7" s="1"/>
  <c r="L2179" i="7"/>
  <c r="K2179" i="7"/>
  <c r="H2179" i="7"/>
  <c r="U2179" i="7" s="1"/>
  <c r="C2179" i="7"/>
  <c r="E2179" i="7" s="1"/>
  <c r="F2179" i="7" s="1"/>
  <c r="L2178" i="7"/>
  <c r="K2178" i="7"/>
  <c r="H2178" i="7"/>
  <c r="U2178" i="7" s="1"/>
  <c r="C2178" i="7"/>
  <c r="E2178" i="7" s="1"/>
  <c r="F2178" i="7" s="1"/>
  <c r="L2177" i="7"/>
  <c r="K2177" i="7"/>
  <c r="H2177" i="7"/>
  <c r="U2177" i="7" s="1"/>
  <c r="C2177" i="7"/>
  <c r="E2177" i="7" s="1"/>
  <c r="F2177" i="7" s="1"/>
  <c r="L2176" i="7"/>
  <c r="K2176" i="7"/>
  <c r="H2176" i="7"/>
  <c r="U2176" i="7" s="1"/>
  <c r="C2176" i="7"/>
  <c r="E2176" i="7" s="1"/>
  <c r="F2176" i="7" s="1"/>
  <c r="I2176" i="7" s="1"/>
  <c r="L2175" i="7"/>
  <c r="K2175" i="7"/>
  <c r="H2175" i="7"/>
  <c r="U2175" i="7" s="1"/>
  <c r="C2175" i="7"/>
  <c r="E2175" i="7" s="1"/>
  <c r="F2175" i="7" s="1"/>
  <c r="J2175" i="7" s="1"/>
  <c r="L2174" i="7"/>
  <c r="K2174" i="7"/>
  <c r="H2174" i="7"/>
  <c r="U2174" i="7" s="1"/>
  <c r="C2174" i="7"/>
  <c r="E2174" i="7" s="1"/>
  <c r="F2174" i="7" s="1"/>
  <c r="U2173" i="7"/>
  <c r="L2173" i="7"/>
  <c r="K2173" i="7"/>
  <c r="H2173" i="7"/>
  <c r="C2173" i="7"/>
  <c r="E2173" i="7" s="1"/>
  <c r="F2173" i="7" s="1"/>
  <c r="J2173" i="7" s="1"/>
  <c r="L2172" i="7"/>
  <c r="K2172" i="7"/>
  <c r="H2172" i="7"/>
  <c r="U2172" i="7" s="1"/>
  <c r="C2172" i="7"/>
  <c r="E2172" i="7" s="1"/>
  <c r="F2172" i="7" s="1"/>
  <c r="L2171" i="7"/>
  <c r="K2171" i="7"/>
  <c r="H2171" i="7"/>
  <c r="U2171" i="7" s="1"/>
  <c r="C2171" i="7"/>
  <c r="E2171" i="7" s="1"/>
  <c r="F2171" i="7" s="1"/>
  <c r="L2170" i="7"/>
  <c r="K2170" i="7"/>
  <c r="H2170" i="7"/>
  <c r="U2170" i="7" s="1"/>
  <c r="C2170" i="7"/>
  <c r="E2170" i="7" s="1"/>
  <c r="F2170" i="7" s="1"/>
  <c r="L2169" i="7"/>
  <c r="K2169" i="7"/>
  <c r="H2169" i="7"/>
  <c r="U2169" i="7" s="1"/>
  <c r="C2169" i="7"/>
  <c r="E2169" i="7" s="1"/>
  <c r="F2169" i="7" s="1"/>
  <c r="L2168" i="7"/>
  <c r="K2168" i="7"/>
  <c r="H2168" i="7"/>
  <c r="U2168" i="7" s="1"/>
  <c r="C2168" i="7"/>
  <c r="E2168" i="7" s="1"/>
  <c r="F2168" i="7" s="1"/>
  <c r="L2167" i="7"/>
  <c r="K2167" i="7"/>
  <c r="H2167" i="7"/>
  <c r="U2167" i="7" s="1"/>
  <c r="C2167" i="7"/>
  <c r="E2167" i="7" s="1"/>
  <c r="F2167" i="7" s="1"/>
  <c r="J2167" i="7" s="1"/>
  <c r="L2166" i="7"/>
  <c r="K2166" i="7"/>
  <c r="H2166" i="7"/>
  <c r="U2166" i="7" s="1"/>
  <c r="F2166" i="7"/>
  <c r="I2166" i="7" s="1"/>
  <c r="C2166" i="7"/>
  <c r="E2166" i="7" s="1"/>
  <c r="L2165" i="7"/>
  <c r="K2165" i="7"/>
  <c r="H2165" i="7"/>
  <c r="U2165" i="7" s="1"/>
  <c r="C2165" i="7"/>
  <c r="E2165" i="7" s="1"/>
  <c r="F2165" i="7" s="1"/>
  <c r="J2165" i="7" s="1"/>
  <c r="L2164" i="7"/>
  <c r="K2164" i="7"/>
  <c r="H2164" i="7"/>
  <c r="U2164" i="7" s="1"/>
  <c r="C2164" i="7"/>
  <c r="E2164" i="7" s="1"/>
  <c r="F2164" i="7" s="1"/>
  <c r="L2163" i="7"/>
  <c r="K2163" i="7"/>
  <c r="H2163" i="7"/>
  <c r="U2163" i="7" s="1"/>
  <c r="C2163" i="7"/>
  <c r="E2163" i="7" s="1"/>
  <c r="F2163" i="7" s="1"/>
  <c r="I2163" i="7" s="1"/>
  <c r="L2162" i="7"/>
  <c r="K2162" i="7"/>
  <c r="H2162" i="7"/>
  <c r="U2162" i="7" s="1"/>
  <c r="C2162" i="7"/>
  <c r="E2162" i="7" s="1"/>
  <c r="F2162" i="7" s="1"/>
  <c r="L2161" i="7"/>
  <c r="K2161" i="7"/>
  <c r="H2161" i="7"/>
  <c r="U2161" i="7" s="1"/>
  <c r="F2161" i="7"/>
  <c r="I2161" i="7" s="1"/>
  <c r="C2161" i="7"/>
  <c r="E2161" i="7" s="1"/>
  <c r="L2160" i="7"/>
  <c r="K2160" i="7"/>
  <c r="H2160" i="7"/>
  <c r="U2160" i="7" s="1"/>
  <c r="E2160" i="7"/>
  <c r="F2160" i="7" s="1"/>
  <c r="C2160" i="7"/>
  <c r="L2159" i="7"/>
  <c r="K2159" i="7"/>
  <c r="H2159" i="7"/>
  <c r="U2159" i="7" s="1"/>
  <c r="C2159" i="7"/>
  <c r="E2159" i="7" s="1"/>
  <c r="F2159" i="7" s="1"/>
  <c r="L2158" i="7"/>
  <c r="K2158" i="7"/>
  <c r="H2158" i="7"/>
  <c r="U2158" i="7" s="1"/>
  <c r="C2158" i="7"/>
  <c r="E2158" i="7" s="1"/>
  <c r="F2158" i="7" s="1"/>
  <c r="J2158" i="7" s="1"/>
  <c r="L2157" i="7"/>
  <c r="K2157" i="7"/>
  <c r="H2157" i="7"/>
  <c r="U2157" i="7" s="1"/>
  <c r="C2157" i="7"/>
  <c r="E2157" i="7" s="1"/>
  <c r="F2157" i="7" s="1"/>
  <c r="L2156" i="7"/>
  <c r="K2156" i="7"/>
  <c r="H2156" i="7"/>
  <c r="U2156" i="7" s="1"/>
  <c r="C2156" i="7"/>
  <c r="E2156" i="7" s="1"/>
  <c r="F2156" i="7" s="1"/>
  <c r="L2155" i="7"/>
  <c r="K2155" i="7"/>
  <c r="H2155" i="7"/>
  <c r="U2155" i="7" s="1"/>
  <c r="C2155" i="7"/>
  <c r="E2155" i="7" s="1"/>
  <c r="F2155" i="7" s="1"/>
  <c r="L2154" i="7"/>
  <c r="K2154" i="7"/>
  <c r="H2154" i="7"/>
  <c r="U2154" i="7" s="1"/>
  <c r="C2154" i="7"/>
  <c r="E2154" i="7" s="1"/>
  <c r="F2154" i="7" s="1"/>
  <c r="L2153" i="7"/>
  <c r="K2153" i="7"/>
  <c r="H2153" i="7"/>
  <c r="U2153" i="7" s="1"/>
  <c r="C2153" i="7"/>
  <c r="E2153" i="7" s="1"/>
  <c r="F2153" i="7" s="1"/>
  <c r="L2152" i="7"/>
  <c r="K2152" i="7"/>
  <c r="H2152" i="7"/>
  <c r="U2152" i="7" s="1"/>
  <c r="C2152" i="7"/>
  <c r="E2152" i="7" s="1"/>
  <c r="F2152" i="7" s="1"/>
  <c r="L2151" i="7"/>
  <c r="K2151" i="7"/>
  <c r="H2151" i="7"/>
  <c r="U2151" i="7" s="1"/>
  <c r="C2151" i="7"/>
  <c r="E2151" i="7" s="1"/>
  <c r="F2151" i="7" s="1"/>
  <c r="L2150" i="7"/>
  <c r="K2150" i="7"/>
  <c r="H2150" i="7"/>
  <c r="U2150" i="7" s="1"/>
  <c r="C2150" i="7"/>
  <c r="E2150" i="7" s="1"/>
  <c r="F2150" i="7" s="1"/>
  <c r="L2149" i="7"/>
  <c r="K2149" i="7"/>
  <c r="H2149" i="7"/>
  <c r="U2149" i="7" s="1"/>
  <c r="C2149" i="7"/>
  <c r="E2149" i="7" s="1"/>
  <c r="F2149" i="7" s="1"/>
  <c r="L2148" i="7"/>
  <c r="K2148" i="7"/>
  <c r="H2148" i="7"/>
  <c r="U2148" i="7" s="1"/>
  <c r="C2148" i="7"/>
  <c r="E2148" i="7" s="1"/>
  <c r="F2148" i="7" s="1"/>
  <c r="U2147" i="7"/>
  <c r="L2147" i="7"/>
  <c r="K2147" i="7"/>
  <c r="H2147" i="7"/>
  <c r="F2147" i="7"/>
  <c r="J2147" i="7" s="1"/>
  <c r="C2147" i="7"/>
  <c r="E2147" i="7" s="1"/>
  <c r="L2146" i="7"/>
  <c r="K2146" i="7"/>
  <c r="H2146" i="7"/>
  <c r="U2146" i="7" s="1"/>
  <c r="C2146" i="7"/>
  <c r="E2146" i="7" s="1"/>
  <c r="F2146" i="7" s="1"/>
  <c r="L2145" i="7"/>
  <c r="K2145" i="7"/>
  <c r="H2145" i="7"/>
  <c r="U2145" i="7" s="1"/>
  <c r="C2145" i="7"/>
  <c r="E2145" i="7" s="1"/>
  <c r="F2145" i="7" s="1"/>
  <c r="L2144" i="7"/>
  <c r="K2144" i="7"/>
  <c r="H2144" i="7"/>
  <c r="U2144" i="7" s="1"/>
  <c r="E2144" i="7"/>
  <c r="F2144" i="7" s="1"/>
  <c r="C2144" i="7"/>
  <c r="L2143" i="7"/>
  <c r="K2143" i="7"/>
  <c r="H2143" i="7"/>
  <c r="U2143" i="7" s="1"/>
  <c r="C2143" i="7"/>
  <c r="E2143" i="7" s="1"/>
  <c r="F2143" i="7" s="1"/>
  <c r="L2142" i="7"/>
  <c r="K2142" i="7"/>
  <c r="H2142" i="7"/>
  <c r="U2142" i="7" s="1"/>
  <c r="C2142" i="7"/>
  <c r="E2142" i="7" s="1"/>
  <c r="F2142" i="7" s="1"/>
  <c r="L2141" i="7"/>
  <c r="K2141" i="7"/>
  <c r="H2141" i="7"/>
  <c r="U2141" i="7" s="1"/>
  <c r="C2141" i="7"/>
  <c r="E2141" i="7" s="1"/>
  <c r="F2141" i="7" s="1"/>
  <c r="I2141" i="7" s="1"/>
  <c r="L2140" i="7"/>
  <c r="K2140" i="7"/>
  <c r="H2140" i="7"/>
  <c r="U2140" i="7" s="1"/>
  <c r="C2140" i="7"/>
  <c r="E2140" i="7" s="1"/>
  <c r="F2140" i="7" s="1"/>
  <c r="I2140" i="7" s="1"/>
  <c r="L2139" i="7"/>
  <c r="K2139" i="7"/>
  <c r="H2139" i="7"/>
  <c r="U2139" i="7" s="1"/>
  <c r="C2139" i="7"/>
  <c r="E2139" i="7" s="1"/>
  <c r="F2139" i="7" s="1"/>
  <c r="L2138" i="7"/>
  <c r="K2138" i="7"/>
  <c r="H2138" i="7"/>
  <c r="U2138" i="7" s="1"/>
  <c r="E2138" i="7"/>
  <c r="F2138" i="7" s="1"/>
  <c r="C2138" i="7"/>
  <c r="L2137" i="7"/>
  <c r="K2137" i="7"/>
  <c r="H2137" i="7"/>
  <c r="U2137" i="7" s="1"/>
  <c r="C2137" i="7"/>
  <c r="E2137" i="7" s="1"/>
  <c r="F2137" i="7" s="1"/>
  <c r="L2136" i="7"/>
  <c r="K2136" i="7"/>
  <c r="H2136" i="7"/>
  <c r="U2136" i="7" s="1"/>
  <c r="C2136" i="7"/>
  <c r="E2136" i="7" s="1"/>
  <c r="F2136" i="7" s="1"/>
  <c r="L2135" i="7"/>
  <c r="K2135" i="7"/>
  <c r="H2135" i="7"/>
  <c r="U2135" i="7" s="1"/>
  <c r="C2135" i="7"/>
  <c r="E2135" i="7" s="1"/>
  <c r="F2135" i="7" s="1"/>
  <c r="L2134" i="7"/>
  <c r="K2134" i="7"/>
  <c r="H2134" i="7"/>
  <c r="U2134" i="7" s="1"/>
  <c r="E2134" i="7"/>
  <c r="F2134" i="7" s="1"/>
  <c r="J2134" i="7" s="1"/>
  <c r="C2134" i="7"/>
  <c r="L2133" i="7"/>
  <c r="K2133" i="7"/>
  <c r="H2133" i="7"/>
  <c r="U2133" i="7" s="1"/>
  <c r="C2133" i="7"/>
  <c r="E2133" i="7" s="1"/>
  <c r="F2133" i="7" s="1"/>
  <c r="L2132" i="7"/>
  <c r="K2132" i="7"/>
  <c r="H2132" i="7"/>
  <c r="U2132" i="7" s="1"/>
  <c r="C2132" i="7"/>
  <c r="E2132" i="7" s="1"/>
  <c r="F2132" i="7" s="1"/>
  <c r="L2131" i="7"/>
  <c r="K2131" i="7"/>
  <c r="J2131" i="7"/>
  <c r="H2131" i="7"/>
  <c r="U2131" i="7" s="1"/>
  <c r="C2131" i="7"/>
  <c r="E2131" i="7" s="1"/>
  <c r="F2131" i="7" s="1"/>
  <c r="I2131" i="7" s="1"/>
  <c r="L2130" i="7"/>
  <c r="K2130" i="7"/>
  <c r="H2130" i="7"/>
  <c r="U2130" i="7" s="1"/>
  <c r="C2130" i="7"/>
  <c r="E2130" i="7" s="1"/>
  <c r="F2130" i="7" s="1"/>
  <c r="L2129" i="7"/>
  <c r="K2129" i="7"/>
  <c r="H2129" i="7"/>
  <c r="U2129" i="7" s="1"/>
  <c r="C2129" i="7"/>
  <c r="E2129" i="7" s="1"/>
  <c r="F2129" i="7" s="1"/>
  <c r="U2128" i="7"/>
  <c r="L2128" i="7"/>
  <c r="K2128" i="7"/>
  <c r="H2128" i="7"/>
  <c r="E2128" i="7"/>
  <c r="F2128" i="7" s="1"/>
  <c r="I2128" i="7" s="1"/>
  <c r="C2128" i="7"/>
  <c r="L2127" i="7"/>
  <c r="K2127" i="7"/>
  <c r="H2127" i="7"/>
  <c r="U2127" i="7" s="1"/>
  <c r="C2127" i="7"/>
  <c r="E2127" i="7" s="1"/>
  <c r="F2127" i="7" s="1"/>
  <c r="J2127" i="7" s="1"/>
  <c r="U2126" i="7"/>
  <c r="L2126" i="7"/>
  <c r="K2126" i="7"/>
  <c r="H2126" i="7"/>
  <c r="C2126" i="7"/>
  <c r="E2126" i="7" s="1"/>
  <c r="F2126" i="7" s="1"/>
  <c r="L2125" i="7"/>
  <c r="K2125" i="7"/>
  <c r="H2125" i="7"/>
  <c r="U2125" i="7" s="1"/>
  <c r="E2125" i="7"/>
  <c r="F2125" i="7" s="1"/>
  <c r="C2125" i="7"/>
  <c r="L2124" i="7"/>
  <c r="K2124" i="7"/>
  <c r="H2124" i="7"/>
  <c r="U2124" i="7" s="1"/>
  <c r="C2124" i="7"/>
  <c r="E2124" i="7" s="1"/>
  <c r="F2124" i="7" s="1"/>
  <c r="U2123" i="7"/>
  <c r="L2123" i="7"/>
  <c r="K2123" i="7"/>
  <c r="H2123" i="7"/>
  <c r="C2123" i="7"/>
  <c r="E2123" i="7" s="1"/>
  <c r="F2123" i="7" s="1"/>
  <c r="L2122" i="7"/>
  <c r="K2122" i="7"/>
  <c r="H2122" i="7"/>
  <c r="U2122" i="7" s="1"/>
  <c r="C2122" i="7"/>
  <c r="E2122" i="7" s="1"/>
  <c r="F2122" i="7" s="1"/>
  <c r="L2121" i="7"/>
  <c r="K2121" i="7"/>
  <c r="H2121" i="7"/>
  <c r="U2121" i="7" s="1"/>
  <c r="F2121" i="7"/>
  <c r="C2121" i="7"/>
  <c r="E2121" i="7" s="1"/>
  <c r="L2120" i="7"/>
  <c r="K2120" i="7"/>
  <c r="H2120" i="7"/>
  <c r="U2120" i="7" s="1"/>
  <c r="C2120" i="7"/>
  <c r="E2120" i="7" s="1"/>
  <c r="F2120" i="7" s="1"/>
  <c r="L2119" i="7"/>
  <c r="K2119" i="7"/>
  <c r="H2119" i="7"/>
  <c r="U2119" i="7" s="1"/>
  <c r="C2119" i="7"/>
  <c r="E2119" i="7" s="1"/>
  <c r="F2119" i="7" s="1"/>
  <c r="J2119" i="7" s="1"/>
  <c r="L2118" i="7"/>
  <c r="K2118" i="7"/>
  <c r="H2118" i="7"/>
  <c r="U2118" i="7" s="1"/>
  <c r="C2118" i="7"/>
  <c r="E2118" i="7" s="1"/>
  <c r="F2118" i="7" s="1"/>
  <c r="L2117" i="7"/>
  <c r="K2117" i="7"/>
  <c r="H2117" i="7"/>
  <c r="U2117" i="7" s="1"/>
  <c r="C2117" i="7"/>
  <c r="E2117" i="7" s="1"/>
  <c r="F2117" i="7" s="1"/>
  <c r="L2116" i="7"/>
  <c r="K2116" i="7"/>
  <c r="H2116" i="7"/>
  <c r="U2116" i="7" s="1"/>
  <c r="C2116" i="7"/>
  <c r="E2116" i="7" s="1"/>
  <c r="F2116" i="7" s="1"/>
  <c r="L2115" i="7"/>
  <c r="K2115" i="7"/>
  <c r="H2115" i="7"/>
  <c r="U2115" i="7" s="1"/>
  <c r="C2115" i="7"/>
  <c r="E2115" i="7" s="1"/>
  <c r="F2115" i="7" s="1"/>
  <c r="J2115" i="7" s="1"/>
  <c r="L2114" i="7"/>
  <c r="K2114" i="7"/>
  <c r="H2114" i="7"/>
  <c r="U2114" i="7" s="1"/>
  <c r="C2114" i="7"/>
  <c r="E2114" i="7" s="1"/>
  <c r="F2114" i="7" s="1"/>
  <c r="L2113" i="7"/>
  <c r="K2113" i="7"/>
  <c r="H2113" i="7"/>
  <c r="U2113" i="7" s="1"/>
  <c r="C2113" i="7"/>
  <c r="E2113" i="7" s="1"/>
  <c r="F2113" i="7" s="1"/>
  <c r="L2112" i="7"/>
  <c r="K2112" i="7"/>
  <c r="H2112" i="7"/>
  <c r="U2112" i="7" s="1"/>
  <c r="E2112" i="7"/>
  <c r="F2112" i="7" s="1"/>
  <c r="C2112" i="7"/>
  <c r="L2111" i="7"/>
  <c r="K2111" i="7"/>
  <c r="H2111" i="7"/>
  <c r="U2111" i="7" s="1"/>
  <c r="F2111" i="7"/>
  <c r="C2111" i="7"/>
  <c r="E2111" i="7" s="1"/>
  <c r="L2110" i="7"/>
  <c r="K2110" i="7"/>
  <c r="H2110" i="7"/>
  <c r="U2110" i="7" s="1"/>
  <c r="C2110" i="7"/>
  <c r="E2110" i="7" s="1"/>
  <c r="F2110" i="7" s="1"/>
  <c r="L2109" i="7"/>
  <c r="K2109" i="7"/>
  <c r="H2109" i="7"/>
  <c r="U2109" i="7" s="1"/>
  <c r="C2109" i="7"/>
  <c r="E2109" i="7" s="1"/>
  <c r="F2109" i="7" s="1"/>
  <c r="U2108" i="7"/>
  <c r="L2108" i="7"/>
  <c r="K2108" i="7"/>
  <c r="H2108" i="7"/>
  <c r="C2108" i="7"/>
  <c r="E2108" i="7" s="1"/>
  <c r="F2108" i="7" s="1"/>
  <c r="L2107" i="7"/>
  <c r="K2107" i="7"/>
  <c r="H2107" i="7"/>
  <c r="U2107" i="7" s="1"/>
  <c r="C2107" i="7"/>
  <c r="E2107" i="7" s="1"/>
  <c r="F2107" i="7" s="1"/>
  <c r="J2107" i="7" s="1"/>
  <c r="L2106" i="7"/>
  <c r="K2106" i="7"/>
  <c r="H2106" i="7"/>
  <c r="U2106" i="7" s="1"/>
  <c r="C2106" i="7"/>
  <c r="E2106" i="7" s="1"/>
  <c r="F2106" i="7" s="1"/>
  <c r="L2105" i="7"/>
  <c r="K2105" i="7"/>
  <c r="H2105" i="7"/>
  <c r="U2105" i="7" s="1"/>
  <c r="C2105" i="7"/>
  <c r="E2105" i="7" s="1"/>
  <c r="F2105" i="7" s="1"/>
  <c r="L2104" i="7"/>
  <c r="K2104" i="7"/>
  <c r="H2104" i="7"/>
  <c r="U2104" i="7" s="1"/>
  <c r="C2104" i="7"/>
  <c r="E2104" i="7" s="1"/>
  <c r="F2104" i="7" s="1"/>
  <c r="L2103" i="7"/>
  <c r="K2103" i="7"/>
  <c r="H2103" i="7"/>
  <c r="U2103" i="7" s="1"/>
  <c r="C2103" i="7"/>
  <c r="E2103" i="7" s="1"/>
  <c r="F2103" i="7" s="1"/>
  <c r="L2102" i="7"/>
  <c r="K2102" i="7"/>
  <c r="H2102" i="7"/>
  <c r="U2102" i="7" s="1"/>
  <c r="C2102" i="7"/>
  <c r="E2102" i="7" s="1"/>
  <c r="F2102" i="7" s="1"/>
  <c r="U2101" i="7"/>
  <c r="L2101" i="7"/>
  <c r="K2101" i="7"/>
  <c r="H2101" i="7"/>
  <c r="C2101" i="7"/>
  <c r="E2101" i="7" s="1"/>
  <c r="F2101" i="7" s="1"/>
  <c r="U2100" i="7"/>
  <c r="L2100" i="7"/>
  <c r="K2100" i="7"/>
  <c r="H2100" i="7"/>
  <c r="C2100" i="7"/>
  <c r="E2100" i="7" s="1"/>
  <c r="F2100" i="7" s="1"/>
  <c r="L2099" i="7"/>
  <c r="K2099" i="7"/>
  <c r="H2099" i="7"/>
  <c r="U2099" i="7" s="1"/>
  <c r="C2099" i="7"/>
  <c r="E2099" i="7" s="1"/>
  <c r="F2099" i="7" s="1"/>
  <c r="I2099" i="7" s="1"/>
  <c r="L2098" i="7"/>
  <c r="K2098" i="7"/>
  <c r="H2098" i="7"/>
  <c r="U2098" i="7" s="1"/>
  <c r="C2098" i="7"/>
  <c r="E2098" i="7" s="1"/>
  <c r="F2098" i="7" s="1"/>
  <c r="L2097" i="7"/>
  <c r="K2097" i="7"/>
  <c r="H2097" i="7"/>
  <c r="U2097" i="7" s="1"/>
  <c r="C2097" i="7"/>
  <c r="E2097" i="7" s="1"/>
  <c r="F2097" i="7" s="1"/>
  <c r="L2096" i="7"/>
  <c r="K2096" i="7"/>
  <c r="H2096" i="7"/>
  <c r="U2096" i="7" s="1"/>
  <c r="C2096" i="7"/>
  <c r="E2096" i="7" s="1"/>
  <c r="F2096" i="7" s="1"/>
  <c r="L2095" i="7"/>
  <c r="K2095" i="7"/>
  <c r="H2095" i="7"/>
  <c r="U2095" i="7" s="1"/>
  <c r="C2095" i="7"/>
  <c r="E2095" i="7" s="1"/>
  <c r="F2095" i="7" s="1"/>
  <c r="L2094" i="7"/>
  <c r="K2094" i="7"/>
  <c r="H2094" i="7"/>
  <c r="U2094" i="7" s="1"/>
  <c r="C2094" i="7"/>
  <c r="E2094" i="7" s="1"/>
  <c r="F2094" i="7" s="1"/>
  <c r="L2093" i="7"/>
  <c r="K2093" i="7"/>
  <c r="H2093" i="7"/>
  <c r="U2093" i="7" s="1"/>
  <c r="E2093" i="7"/>
  <c r="F2093" i="7" s="1"/>
  <c r="C2093" i="7"/>
  <c r="L2092" i="7"/>
  <c r="K2092" i="7"/>
  <c r="H2092" i="7"/>
  <c r="U2092" i="7" s="1"/>
  <c r="C2092" i="7"/>
  <c r="E2092" i="7" s="1"/>
  <c r="F2092" i="7" s="1"/>
  <c r="L2091" i="7"/>
  <c r="K2091" i="7"/>
  <c r="H2091" i="7"/>
  <c r="U2091" i="7" s="1"/>
  <c r="C2091" i="7"/>
  <c r="E2091" i="7" s="1"/>
  <c r="F2091" i="7" s="1"/>
  <c r="L2090" i="7"/>
  <c r="K2090" i="7"/>
  <c r="H2090" i="7"/>
  <c r="U2090" i="7" s="1"/>
  <c r="C2090" i="7"/>
  <c r="E2090" i="7" s="1"/>
  <c r="F2090" i="7" s="1"/>
  <c r="L2089" i="7"/>
  <c r="K2089" i="7"/>
  <c r="H2089" i="7"/>
  <c r="U2089" i="7" s="1"/>
  <c r="C2089" i="7"/>
  <c r="E2089" i="7" s="1"/>
  <c r="F2089" i="7" s="1"/>
  <c r="L2088" i="7"/>
  <c r="K2088" i="7"/>
  <c r="H2088" i="7"/>
  <c r="U2088" i="7" s="1"/>
  <c r="C2088" i="7"/>
  <c r="E2088" i="7" s="1"/>
  <c r="F2088" i="7" s="1"/>
  <c r="L2087" i="7"/>
  <c r="K2087" i="7"/>
  <c r="H2087" i="7"/>
  <c r="U2087" i="7" s="1"/>
  <c r="C2087" i="7"/>
  <c r="E2087" i="7" s="1"/>
  <c r="F2087" i="7" s="1"/>
  <c r="I2087" i="7" s="1"/>
  <c r="L2086" i="7"/>
  <c r="K2086" i="7"/>
  <c r="H2086" i="7"/>
  <c r="U2086" i="7" s="1"/>
  <c r="C2086" i="7"/>
  <c r="E2086" i="7" s="1"/>
  <c r="F2086" i="7" s="1"/>
  <c r="L2085" i="7"/>
  <c r="K2085" i="7"/>
  <c r="H2085" i="7"/>
  <c r="U2085" i="7" s="1"/>
  <c r="C2085" i="7"/>
  <c r="E2085" i="7" s="1"/>
  <c r="F2085" i="7" s="1"/>
  <c r="L2084" i="7"/>
  <c r="K2084" i="7"/>
  <c r="H2084" i="7"/>
  <c r="U2084" i="7" s="1"/>
  <c r="C2084" i="7"/>
  <c r="E2084" i="7" s="1"/>
  <c r="F2084" i="7" s="1"/>
  <c r="L2083" i="7"/>
  <c r="K2083" i="7"/>
  <c r="H2083" i="7"/>
  <c r="U2083" i="7" s="1"/>
  <c r="C2083" i="7"/>
  <c r="E2083" i="7" s="1"/>
  <c r="F2083" i="7" s="1"/>
  <c r="L2082" i="7"/>
  <c r="K2082" i="7"/>
  <c r="H2082" i="7"/>
  <c r="U2082" i="7" s="1"/>
  <c r="C2082" i="7"/>
  <c r="E2082" i="7" s="1"/>
  <c r="F2082" i="7" s="1"/>
  <c r="L2081" i="7"/>
  <c r="K2081" i="7"/>
  <c r="H2081" i="7"/>
  <c r="U2081" i="7" s="1"/>
  <c r="E2081" i="7"/>
  <c r="F2081" i="7" s="1"/>
  <c r="J2081" i="7" s="1"/>
  <c r="C2081" i="7"/>
  <c r="L2080" i="7"/>
  <c r="K2080" i="7"/>
  <c r="H2080" i="7"/>
  <c r="U2080" i="7" s="1"/>
  <c r="C2080" i="7"/>
  <c r="E2080" i="7" s="1"/>
  <c r="F2080" i="7" s="1"/>
  <c r="L2079" i="7"/>
  <c r="K2079" i="7"/>
  <c r="H2079" i="7"/>
  <c r="U2079" i="7" s="1"/>
  <c r="C2079" i="7"/>
  <c r="E2079" i="7" s="1"/>
  <c r="F2079" i="7" s="1"/>
  <c r="L2078" i="7"/>
  <c r="K2078" i="7"/>
  <c r="H2078" i="7"/>
  <c r="U2078" i="7" s="1"/>
  <c r="C2078" i="7"/>
  <c r="E2078" i="7" s="1"/>
  <c r="F2078" i="7" s="1"/>
  <c r="L2077" i="7"/>
  <c r="K2077" i="7"/>
  <c r="H2077" i="7"/>
  <c r="U2077" i="7" s="1"/>
  <c r="C2077" i="7"/>
  <c r="E2077" i="7" s="1"/>
  <c r="F2077" i="7" s="1"/>
  <c r="L2076" i="7"/>
  <c r="K2076" i="7"/>
  <c r="H2076" i="7"/>
  <c r="U2076" i="7" s="1"/>
  <c r="C2076" i="7"/>
  <c r="E2076" i="7" s="1"/>
  <c r="F2076" i="7" s="1"/>
  <c r="L2075" i="7"/>
  <c r="K2075" i="7"/>
  <c r="H2075" i="7"/>
  <c r="U2075" i="7" s="1"/>
  <c r="E2075" i="7"/>
  <c r="F2075" i="7" s="1"/>
  <c r="I2075" i="7" s="1"/>
  <c r="C2075" i="7"/>
  <c r="L2074" i="7"/>
  <c r="K2074" i="7"/>
  <c r="H2074" i="7"/>
  <c r="U2074" i="7" s="1"/>
  <c r="C2074" i="7"/>
  <c r="E2074" i="7" s="1"/>
  <c r="F2074" i="7" s="1"/>
  <c r="L2073" i="7"/>
  <c r="K2073" i="7"/>
  <c r="H2073" i="7"/>
  <c r="U2073" i="7" s="1"/>
  <c r="C2073" i="7"/>
  <c r="E2073" i="7" s="1"/>
  <c r="F2073" i="7" s="1"/>
  <c r="U2072" i="7"/>
  <c r="L2072" i="7"/>
  <c r="K2072" i="7"/>
  <c r="H2072" i="7"/>
  <c r="C2072" i="7"/>
  <c r="E2072" i="7" s="1"/>
  <c r="F2072" i="7" s="1"/>
  <c r="L2071" i="7"/>
  <c r="K2071" i="7"/>
  <c r="H2071" i="7"/>
  <c r="U2071" i="7" s="1"/>
  <c r="C2071" i="7"/>
  <c r="E2071" i="7" s="1"/>
  <c r="F2071" i="7" s="1"/>
  <c r="L2070" i="7"/>
  <c r="K2070" i="7"/>
  <c r="H2070" i="7"/>
  <c r="U2070" i="7" s="1"/>
  <c r="C2070" i="7"/>
  <c r="E2070" i="7" s="1"/>
  <c r="F2070" i="7" s="1"/>
  <c r="L2069" i="7"/>
  <c r="K2069" i="7"/>
  <c r="H2069" i="7"/>
  <c r="U2069" i="7" s="1"/>
  <c r="C2069" i="7"/>
  <c r="E2069" i="7" s="1"/>
  <c r="F2069" i="7" s="1"/>
  <c r="L2068" i="7"/>
  <c r="K2068" i="7"/>
  <c r="H2068" i="7"/>
  <c r="U2068" i="7" s="1"/>
  <c r="C2068" i="7"/>
  <c r="E2068" i="7" s="1"/>
  <c r="F2068" i="7" s="1"/>
  <c r="L2067" i="7"/>
  <c r="K2067" i="7"/>
  <c r="H2067" i="7"/>
  <c r="U2067" i="7" s="1"/>
  <c r="C2067" i="7"/>
  <c r="E2067" i="7" s="1"/>
  <c r="F2067" i="7" s="1"/>
  <c r="L2066" i="7"/>
  <c r="K2066" i="7"/>
  <c r="H2066" i="7"/>
  <c r="U2066" i="7" s="1"/>
  <c r="C2066" i="7"/>
  <c r="E2066" i="7" s="1"/>
  <c r="F2066" i="7" s="1"/>
  <c r="L2065" i="7"/>
  <c r="K2065" i="7"/>
  <c r="H2065" i="7"/>
  <c r="U2065" i="7" s="1"/>
  <c r="C2065" i="7"/>
  <c r="E2065" i="7" s="1"/>
  <c r="F2065" i="7" s="1"/>
  <c r="U2064" i="7"/>
  <c r="L2064" i="7"/>
  <c r="K2064" i="7"/>
  <c r="H2064" i="7"/>
  <c r="E2064" i="7"/>
  <c r="F2064" i="7" s="1"/>
  <c r="C2064" i="7"/>
  <c r="L2063" i="7"/>
  <c r="K2063" i="7"/>
  <c r="H2063" i="7"/>
  <c r="U2063" i="7" s="1"/>
  <c r="C2063" i="7"/>
  <c r="E2063" i="7" s="1"/>
  <c r="F2063" i="7" s="1"/>
  <c r="I2063" i="7" s="1"/>
  <c r="L2062" i="7"/>
  <c r="K2062" i="7"/>
  <c r="H2062" i="7"/>
  <c r="U2062" i="7" s="1"/>
  <c r="C2062" i="7"/>
  <c r="E2062" i="7" s="1"/>
  <c r="F2062" i="7" s="1"/>
  <c r="L2061" i="7"/>
  <c r="K2061" i="7"/>
  <c r="H2061" i="7"/>
  <c r="U2061" i="7" s="1"/>
  <c r="C2061" i="7"/>
  <c r="E2061" i="7" s="1"/>
  <c r="F2061" i="7" s="1"/>
  <c r="L2060" i="7"/>
  <c r="K2060" i="7"/>
  <c r="H2060" i="7"/>
  <c r="U2060" i="7" s="1"/>
  <c r="C2060" i="7"/>
  <c r="E2060" i="7" s="1"/>
  <c r="F2060" i="7" s="1"/>
  <c r="L2059" i="7"/>
  <c r="K2059" i="7"/>
  <c r="H2059" i="7"/>
  <c r="U2059" i="7" s="1"/>
  <c r="C2059" i="7"/>
  <c r="E2059" i="7" s="1"/>
  <c r="F2059" i="7" s="1"/>
  <c r="L2058" i="7"/>
  <c r="K2058" i="7"/>
  <c r="H2058" i="7"/>
  <c r="U2058" i="7" s="1"/>
  <c r="C2058" i="7"/>
  <c r="E2058" i="7" s="1"/>
  <c r="F2058" i="7" s="1"/>
  <c r="L2057" i="7"/>
  <c r="K2057" i="7"/>
  <c r="H2057" i="7"/>
  <c r="U2057" i="7" s="1"/>
  <c r="E2057" i="7"/>
  <c r="F2057" i="7" s="1"/>
  <c r="J2057" i="7" s="1"/>
  <c r="C2057" i="7"/>
  <c r="L2056" i="7"/>
  <c r="K2056" i="7"/>
  <c r="H2056" i="7"/>
  <c r="U2056" i="7" s="1"/>
  <c r="C2056" i="7"/>
  <c r="E2056" i="7" s="1"/>
  <c r="F2056" i="7" s="1"/>
  <c r="L2055" i="7"/>
  <c r="K2055" i="7"/>
  <c r="H2055" i="7"/>
  <c r="U2055" i="7" s="1"/>
  <c r="C2055" i="7"/>
  <c r="E2055" i="7" s="1"/>
  <c r="F2055" i="7" s="1"/>
  <c r="L2054" i="7"/>
  <c r="K2054" i="7"/>
  <c r="H2054" i="7"/>
  <c r="U2054" i="7" s="1"/>
  <c r="C2054" i="7"/>
  <c r="E2054" i="7" s="1"/>
  <c r="F2054" i="7" s="1"/>
  <c r="U2053" i="7"/>
  <c r="L2053" i="7"/>
  <c r="K2053" i="7"/>
  <c r="H2053" i="7"/>
  <c r="C2053" i="7"/>
  <c r="E2053" i="7" s="1"/>
  <c r="F2053" i="7" s="1"/>
  <c r="L2052" i="7"/>
  <c r="K2052" i="7"/>
  <c r="H2052" i="7"/>
  <c r="U2052" i="7" s="1"/>
  <c r="C2052" i="7"/>
  <c r="E2052" i="7" s="1"/>
  <c r="F2052" i="7" s="1"/>
  <c r="I2052" i="7" s="1"/>
  <c r="L2051" i="7"/>
  <c r="K2051" i="7"/>
  <c r="H2051" i="7"/>
  <c r="U2051" i="7" s="1"/>
  <c r="E2051" i="7"/>
  <c r="F2051" i="7" s="1"/>
  <c r="I2051" i="7" s="1"/>
  <c r="C2051" i="7"/>
  <c r="L2050" i="7"/>
  <c r="K2050" i="7"/>
  <c r="H2050" i="7"/>
  <c r="U2050" i="7" s="1"/>
  <c r="C2050" i="7"/>
  <c r="E2050" i="7" s="1"/>
  <c r="F2050" i="7" s="1"/>
  <c r="L2049" i="7"/>
  <c r="K2049" i="7"/>
  <c r="H2049" i="7"/>
  <c r="U2049" i="7" s="1"/>
  <c r="C2049" i="7"/>
  <c r="E2049" i="7" s="1"/>
  <c r="F2049" i="7" s="1"/>
  <c r="L2048" i="7"/>
  <c r="K2048" i="7"/>
  <c r="H2048" i="7"/>
  <c r="U2048" i="7" s="1"/>
  <c r="C2048" i="7"/>
  <c r="E2048" i="7" s="1"/>
  <c r="F2048" i="7" s="1"/>
  <c r="L2047" i="7"/>
  <c r="K2047" i="7"/>
  <c r="H2047" i="7"/>
  <c r="U2047" i="7" s="1"/>
  <c r="C2047" i="7"/>
  <c r="E2047" i="7" s="1"/>
  <c r="F2047" i="7" s="1"/>
  <c r="L2046" i="7"/>
  <c r="K2046" i="7"/>
  <c r="H2046" i="7"/>
  <c r="U2046" i="7" s="1"/>
  <c r="C2046" i="7"/>
  <c r="E2046" i="7" s="1"/>
  <c r="F2046" i="7" s="1"/>
  <c r="U2045" i="7"/>
  <c r="L2045" i="7"/>
  <c r="K2045" i="7"/>
  <c r="H2045" i="7"/>
  <c r="C2045" i="7"/>
  <c r="E2045" i="7" s="1"/>
  <c r="F2045" i="7" s="1"/>
  <c r="U2044" i="7"/>
  <c r="L2044" i="7"/>
  <c r="K2044" i="7"/>
  <c r="H2044" i="7"/>
  <c r="C2044" i="7"/>
  <c r="E2044" i="7" s="1"/>
  <c r="F2044" i="7" s="1"/>
  <c r="L2043" i="7"/>
  <c r="K2043" i="7"/>
  <c r="H2043" i="7"/>
  <c r="U2043" i="7" s="1"/>
  <c r="C2043" i="7"/>
  <c r="E2043" i="7" s="1"/>
  <c r="F2043" i="7" s="1"/>
  <c r="L2042" i="7"/>
  <c r="K2042" i="7"/>
  <c r="H2042" i="7"/>
  <c r="U2042" i="7" s="1"/>
  <c r="F2042" i="7"/>
  <c r="C2042" i="7"/>
  <c r="E2042" i="7" s="1"/>
  <c r="L2041" i="7"/>
  <c r="K2041" i="7"/>
  <c r="H2041" i="7"/>
  <c r="U2041" i="7" s="1"/>
  <c r="C2041" i="7"/>
  <c r="E2041" i="7" s="1"/>
  <c r="F2041" i="7" s="1"/>
  <c r="L2040" i="7"/>
  <c r="K2040" i="7"/>
  <c r="H2040" i="7"/>
  <c r="U2040" i="7" s="1"/>
  <c r="E2040" i="7"/>
  <c r="F2040" i="7" s="1"/>
  <c r="C2040" i="7"/>
  <c r="L2039" i="7"/>
  <c r="K2039" i="7"/>
  <c r="H2039" i="7"/>
  <c r="U2039" i="7" s="1"/>
  <c r="C2039" i="7"/>
  <c r="E2039" i="7" s="1"/>
  <c r="F2039" i="7" s="1"/>
  <c r="L2038" i="7"/>
  <c r="K2038" i="7"/>
  <c r="H2038" i="7"/>
  <c r="U2038" i="7" s="1"/>
  <c r="C2038" i="7"/>
  <c r="E2038" i="7" s="1"/>
  <c r="F2038" i="7" s="1"/>
  <c r="L2037" i="7"/>
  <c r="K2037" i="7"/>
  <c r="H2037" i="7"/>
  <c r="U2037" i="7" s="1"/>
  <c r="C2037" i="7"/>
  <c r="E2037" i="7" s="1"/>
  <c r="F2037" i="7" s="1"/>
  <c r="L2036" i="7"/>
  <c r="K2036" i="7"/>
  <c r="H2036" i="7"/>
  <c r="U2036" i="7" s="1"/>
  <c r="C2036" i="7"/>
  <c r="E2036" i="7" s="1"/>
  <c r="F2036" i="7" s="1"/>
  <c r="L2035" i="7"/>
  <c r="K2035" i="7"/>
  <c r="H2035" i="7"/>
  <c r="U2035" i="7" s="1"/>
  <c r="C2035" i="7"/>
  <c r="E2035" i="7" s="1"/>
  <c r="F2035" i="7" s="1"/>
  <c r="L2034" i="7"/>
  <c r="K2034" i="7"/>
  <c r="H2034" i="7"/>
  <c r="U2034" i="7" s="1"/>
  <c r="C2034" i="7"/>
  <c r="E2034" i="7" s="1"/>
  <c r="F2034" i="7" s="1"/>
  <c r="L2033" i="7"/>
  <c r="K2033" i="7"/>
  <c r="H2033" i="7"/>
  <c r="U2033" i="7" s="1"/>
  <c r="C2033" i="7"/>
  <c r="E2033" i="7" s="1"/>
  <c r="F2033" i="7" s="1"/>
  <c r="U2032" i="7"/>
  <c r="L2032" i="7"/>
  <c r="K2032" i="7"/>
  <c r="H2032" i="7"/>
  <c r="C2032" i="7"/>
  <c r="E2032" i="7" s="1"/>
  <c r="F2032" i="7" s="1"/>
  <c r="L2031" i="7"/>
  <c r="K2031" i="7"/>
  <c r="H2031" i="7"/>
  <c r="U2031" i="7" s="1"/>
  <c r="C2031" i="7"/>
  <c r="E2031" i="7" s="1"/>
  <c r="F2031" i="7" s="1"/>
  <c r="L2030" i="7"/>
  <c r="K2030" i="7"/>
  <c r="H2030" i="7"/>
  <c r="U2030" i="7" s="1"/>
  <c r="F2030" i="7"/>
  <c r="C2030" i="7"/>
  <c r="E2030" i="7" s="1"/>
  <c r="L2029" i="7"/>
  <c r="K2029" i="7"/>
  <c r="H2029" i="7"/>
  <c r="U2029" i="7" s="1"/>
  <c r="C2029" i="7"/>
  <c r="E2029" i="7" s="1"/>
  <c r="F2029" i="7" s="1"/>
  <c r="L2028" i="7"/>
  <c r="K2028" i="7"/>
  <c r="H2028" i="7"/>
  <c r="U2028" i="7" s="1"/>
  <c r="C2028" i="7"/>
  <c r="E2028" i="7" s="1"/>
  <c r="F2028" i="7" s="1"/>
  <c r="L2027" i="7"/>
  <c r="K2027" i="7"/>
  <c r="H2027" i="7"/>
  <c r="U2027" i="7" s="1"/>
  <c r="E2027" i="7"/>
  <c r="F2027" i="7" s="1"/>
  <c r="I2027" i="7" s="1"/>
  <c r="C2027" i="7"/>
  <c r="L2026" i="7"/>
  <c r="K2026" i="7"/>
  <c r="H2026" i="7"/>
  <c r="U2026" i="7" s="1"/>
  <c r="C2026" i="7"/>
  <c r="E2026" i="7" s="1"/>
  <c r="F2026" i="7" s="1"/>
  <c r="L2025" i="7"/>
  <c r="K2025" i="7"/>
  <c r="H2025" i="7"/>
  <c r="U2025" i="7" s="1"/>
  <c r="C2025" i="7"/>
  <c r="E2025" i="7" s="1"/>
  <c r="F2025" i="7" s="1"/>
  <c r="L2024" i="7"/>
  <c r="K2024" i="7"/>
  <c r="H2024" i="7"/>
  <c r="U2024" i="7" s="1"/>
  <c r="C2024" i="7"/>
  <c r="E2024" i="7" s="1"/>
  <c r="F2024" i="7" s="1"/>
  <c r="L2023" i="7"/>
  <c r="K2023" i="7"/>
  <c r="H2023" i="7"/>
  <c r="U2023" i="7" s="1"/>
  <c r="C2023" i="7"/>
  <c r="E2023" i="7" s="1"/>
  <c r="F2023" i="7" s="1"/>
  <c r="L2022" i="7"/>
  <c r="K2022" i="7"/>
  <c r="H2022" i="7"/>
  <c r="U2022" i="7" s="1"/>
  <c r="C2022" i="7"/>
  <c r="E2022" i="7" s="1"/>
  <c r="F2022" i="7" s="1"/>
  <c r="L2021" i="7"/>
  <c r="K2021" i="7"/>
  <c r="H2021" i="7"/>
  <c r="U2021" i="7" s="1"/>
  <c r="C2021" i="7"/>
  <c r="E2021" i="7" s="1"/>
  <c r="F2021" i="7" s="1"/>
  <c r="J2021" i="7" s="1"/>
  <c r="L2020" i="7"/>
  <c r="K2020" i="7"/>
  <c r="H2020" i="7"/>
  <c r="U2020" i="7" s="1"/>
  <c r="C2020" i="7"/>
  <c r="E2020" i="7" s="1"/>
  <c r="F2020" i="7" s="1"/>
  <c r="L2019" i="7"/>
  <c r="K2019" i="7"/>
  <c r="H2019" i="7"/>
  <c r="U2019" i="7" s="1"/>
  <c r="C2019" i="7"/>
  <c r="E2019" i="7" s="1"/>
  <c r="F2019" i="7" s="1"/>
  <c r="L2018" i="7"/>
  <c r="K2018" i="7"/>
  <c r="H2018" i="7"/>
  <c r="U2018" i="7" s="1"/>
  <c r="C2018" i="7"/>
  <c r="E2018" i="7" s="1"/>
  <c r="F2018" i="7" s="1"/>
  <c r="U2017" i="7"/>
  <c r="L2017" i="7"/>
  <c r="K2017" i="7"/>
  <c r="H2017" i="7"/>
  <c r="C2017" i="7"/>
  <c r="E2017" i="7" s="1"/>
  <c r="F2017" i="7" s="1"/>
  <c r="U2016" i="7"/>
  <c r="L2016" i="7"/>
  <c r="K2016" i="7"/>
  <c r="H2016" i="7"/>
  <c r="E2016" i="7"/>
  <c r="F2016" i="7" s="1"/>
  <c r="C2016" i="7"/>
  <c r="L2015" i="7"/>
  <c r="K2015" i="7"/>
  <c r="H2015" i="7"/>
  <c r="U2015" i="7" s="1"/>
  <c r="E2015" i="7"/>
  <c r="F2015" i="7" s="1"/>
  <c r="I2015" i="7" s="1"/>
  <c r="C2015" i="7"/>
  <c r="L2014" i="7"/>
  <c r="K2014" i="7"/>
  <c r="H2014" i="7"/>
  <c r="U2014" i="7" s="1"/>
  <c r="C2014" i="7"/>
  <c r="E2014" i="7" s="1"/>
  <c r="F2014" i="7" s="1"/>
  <c r="L2013" i="7"/>
  <c r="K2013" i="7"/>
  <c r="H2013" i="7"/>
  <c r="U2013" i="7" s="1"/>
  <c r="C2013" i="7"/>
  <c r="E2013" i="7" s="1"/>
  <c r="F2013" i="7" s="1"/>
  <c r="U2012" i="7"/>
  <c r="L2012" i="7"/>
  <c r="K2012" i="7"/>
  <c r="H2012" i="7"/>
  <c r="C2012" i="7"/>
  <c r="E2012" i="7" s="1"/>
  <c r="F2012" i="7" s="1"/>
  <c r="L2011" i="7"/>
  <c r="K2011" i="7"/>
  <c r="H2011" i="7"/>
  <c r="U2011" i="7" s="1"/>
  <c r="C2011" i="7"/>
  <c r="E2011" i="7" s="1"/>
  <c r="F2011" i="7" s="1"/>
  <c r="L2010" i="7"/>
  <c r="K2010" i="7"/>
  <c r="H2010" i="7"/>
  <c r="U2010" i="7" s="1"/>
  <c r="C2010" i="7"/>
  <c r="E2010" i="7" s="1"/>
  <c r="F2010" i="7" s="1"/>
  <c r="L2009" i="7"/>
  <c r="K2009" i="7"/>
  <c r="H2009" i="7"/>
  <c r="U2009" i="7" s="1"/>
  <c r="C2009" i="7"/>
  <c r="E2009" i="7" s="1"/>
  <c r="F2009" i="7" s="1"/>
  <c r="J2009" i="7" s="1"/>
  <c r="U2008" i="7"/>
  <c r="L2008" i="7"/>
  <c r="K2008" i="7"/>
  <c r="H2008" i="7"/>
  <c r="C2008" i="7"/>
  <c r="E2008" i="7" s="1"/>
  <c r="F2008" i="7" s="1"/>
  <c r="L2007" i="7"/>
  <c r="K2007" i="7"/>
  <c r="H2007" i="7"/>
  <c r="U2007" i="7" s="1"/>
  <c r="C2007" i="7"/>
  <c r="E2007" i="7" s="1"/>
  <c r="F2007" i="7" s="1"/>
  <c r="L2006" i="7"/>
  <c r="K2006" i="7"/>
  <c r="H2006" i="7"/>
  <c r="U2006" i="7" s="1"/>
  <c r="F2006" i="7"/>
  <c r="C2006" i="7"/>
  <c r="E2006" i="7" s="1"/>
  <c r="L2005" i="7"/>
  <c r="K2005" i="7"/>
  <c r="H2005" i="7"/>
  <c r="U2005" i="7" s="1"/>
  <c r="C2005" i="7"/>
  <c r="E2005" i="7" s="1"/>
  <c r="F2005" i="7" s="1"/>
  <c r="U2004" i="7"/>
  <c r="L2004" i="7"/>
  <c r="K2004" i="7"/>
  <c r="H2004" i="7"/>
  <c r="C2004" i="7"/>
  <c r="E2004" i="7" s="1"/>
  <c r="F2004" i="7" s="1"/>
  <c r="L2003" i="7"/>
  <c r="K2003" i="7"/>
  <c r="H2003" i="7"/>
  <c r="U2003" i="7" s="1"/>
  <c r="C2003" i="7"/>
  <c r="E2003" i="7" s="1"/>
  <c r="F2003" i="7" s="1"/>
  <c r="L2002" i="7"/>
  <c r="K2002" i="7"/>
  <c r="H2002" i="7"/>
  <c r="U2002" i="7" s="1"/>
  <c r="C2002" i="7"/>
  <c r="E2002" i="7" s="1"/>
  <c r="F2002" i="7" s="1"/>
  <c r="L2001" i="7"/>
  <c r="K2001" i="7"/>
  <c r="H2001" i="7"/>
  <c r="U2001" i="7" s="1"/>
  <c r="C2001" i="7"/>
  <c r="E2001" i="7" s="1"/>
  <c r="F2001" i="7" s="1"/>
  <c r="U2000" i="7"/>
  <c r="L2000" i="7"/>
  <c r="K2000" i="7"/>
  <c r="H2000" i="7"/>
  <c r="C2000" i="7"/>
  <c r="E2000" i="7" s="1"/>
  <c r="F2000" i="7" s="1"/>
  <c r="L1999" i="7"/>
  <c r="K1999" i="7"/>
  <c r="H1999" i="7"/>
  <c r="U1999" i="7" s="1"/>
  <c r="C1999" i="7"/>
  <c r="E1999" i="7" s="1"/>
  <c r="F1999" i="7" s="1"/>
  <c r="L1998" i="7"/>
  <c r="K1998" i="7"/>
  <c r="H1998" i="7"/>
  <c r="U1998" i="7" s="1"/>
  <c r="C1998" i="7"/>
  <c r="E1998" i="7" s="1"/>
  <c r="F1998" i="7" s="1"/>
  <c r="L1997" i="7"/>
  <c r="K1997" i="7"/>
  <c r="H1997" i="7"/>
  <c r="U1997" i="7" s="1"/>
  <c r="C1997" i="7"/>
  <c r="E1997" i="7" s="1"/>
  <c r="F1997" i="7" s="1"/>
  <c r="J1997" i="7" s="1"/>
  <c r="L1996" i="7"/>
  <c r="K1996" i="7"/>
  <c r="H1996" i="7"/>
  <c r="U1996" i="7" s="1"/>
  <c r="C1996" i="7"/>
  <c r="E1996" i="7" s="1"/>
  <c r="F1996" i="7" s="1"/>
  <c r="L1995" i="7"/>
  <c r="K1995" i="7"/>
  <c r="H1995" i="7"/>
  <c r="U1995" i="7" s="1"/>
  <c r="C1995" i="7"/>
  <c r="E1995" i="7" s="1"/>
  <c r="F1995" i="7" s="1"/>
  <c r="L1994" i="7"/>
  <c r="K1994" i="7"/>
  <c r="H1994" i="7"/>
  <c r="U1994" i="7" s="1"/>
  <c r="C1994" i="7"/>
  <c r="E1994" i="7" s="1"/>
  <c r="F1994" i="7" s="1"/>
  <c r="L1993" i="7"/>
  <c r="K1993" i="7"/>
  <c r="H1993" i="7"/>
  <c r="U1993" i="7" s="1"/>
  <c r="C1993" i="7"/>
  <c r="E1993" i="7" s="1"/>
  <c r="F1993" i="7" s="1"/>
  <c r="L1992" i="7"/>
  <c r="K1992" i="7"/>
  <c r="H1992" i="7"/>
  <c r="U1992" i="7" s="1"/>
  <c r="C1992" i="7"/>
  <c r="E1992" i="7" s="1"/>
  <c r="F1992" i="7" s="1"/>
  <c r="L1991" i="7"/>
  <c r="K1991" i="7"/>
  <c r="H1991" i="7"/>
  <c r="U1991" i="7" s="1"/>
  <c r="C1991" i="7"/>
  <c r="E1991" i="7" s="1"/>
  <c r="F1991" i="7" s="1"/>
  <c r="L1990" i="7"/>
  <c r="K1990" i="7"/>
  <c r="H1990" i="7"/>
  <c r="U1990" i="7" s="1"/>
  <c r="C1990" i="7"/>
  <c r="E1990" i="7" s="1"/>
  <c r="F1990" i="7" s="1"/>
  <c r="L1989" i="7"/>
  <c r="K1989" i="7"/>
  <c r="H1989" i="7"/>
  <c r="U1989" i="7" s="1"/>
  <c r="C1989" i="7"/>
  <c r="E1989" i="7" s="1"/>
  <c r="F1989" i="7" s="1"/>
  <c r="L1988" i="7"/>
  <c r="K1988" i="7"/>
  <c r="H1988" i="7"/>
  <c r="U1988" i="7" s="1"/>
  <c r="C1988" i="7"/>
  <c r="E1988" i="7" s="1"/>
  <c r="F1988" i="7" s="1"/>
  <c r="L1987" i="7"/>
  <c r="K1987" i="7"/>
  <c r="H1987" i="7"/>
  <c r="U1987" i="7" s="1"/>
  <c r="C1987" i="7"/>
  <c r="E1987" i="7" s="1"/>
  <c r="F1987" i="7" s="1"/>
  <c r="L1986" i="7"/>
  <c r="K1986" i="7"/>
  <c r="H1986" i="7"/>
  <c r="U1986" i="7" s="1"/>
  <c r="C1986" i="7"/>
  <c r="E1986" i="7" s="1"/>
  <c r="F1986" i="7" s="1"/>
  <c r="L1985" i="7"/>
  <c r="K1985" i="7"/>
  <c r="H1985" i="7"/>
  <c r="U1985" i="7" s="1"/>
  <c r="C1985" i="7"/>
  <c r="E1985" i="7" s="1"/>
  <c r="F1985" i="7" s="1"/>
  <c r="L1984" i="7"/>
  <c r="K1984" i="7"/>
  <c r="H1984" i="7"/>
  <c r="U1984" i="7" s="1"/>
  <c r="C1984" i="7"/>
  <c r="E1984" i="7" s="1"/>
  <c r="F1984" i="7" s="1"/>
  <c r="J1984" i="7" s="1"/>
  <c r="L1983" i="7"/>
  <c r="K1983" i="7"/>
  <c r="H1983" i="7"/>
  <c r="U1983" i="7" s="1"/>
  <c r="C1983" i="7"/>
  <c r="E1983" i="7" s="1"/>
  <c r="F1983" i="7" s="1"/>
  <c r="L1982" i="7"/>
  <c r="K1982" i="7"/>
  <c r="H1982" i="7"/>
  <c r="U1982" i="7" s="1"/>
  <c r="C1982" i="7"/>
  <c r="E1982" i="7" s="1"/>
  <c r="F1982" i="7" s="1"/>
  <c r="L1981" i="7"/>
  <c r="K1981" i="7"/>
  <c r="H1981" i="7"/>
  <c r="U1981" i="7" s="1"/>
  <c r="C1981" i="7"/>
  <c r="E1981" i="7" s="1"/>
  <c r="F1981" i="7" s="1"/>
  <c r="L1980" i="7"/>
  <c r="K1980" i="7"/>
  <c r="H1980" i="7"/>
  <c r="U1980" i="7" s="1"/>
  <c r="C1980" i="7"/>
  <c r="E1980" i="7" s="1"/>
  <c r="F1980" i="7" s="1"/>
  <c r="L1979" i="7"/>
  <c r="K1979" i="7"/>
  <c r="H1979" i="7"/>
  <c r="U1979" i="7" s="1"/>
  <c r="C1979" i="7"/>
  <c r="E1979" i="7" s="1"/>
  <c r="F1979" i="7" s="1"/>
  <c r="L1978" i="7"/>
  <c r="K1978" i="7"/>
  <c r="H1978" i="7"/>
  <c r="U1978" i="7" s="1"/>
  <c r="E1978" i="7"/>
  <c r="F1978" i="7" s="1"/>
  <c r="C1978" i="7"/>
  <c r="L1977" i="7"/>
  <c r="K1977" i="7"/>
  <c r="H1977" i="7"/>
  <c r="U1977" i="7" s="1"/>
  <c r="C1977" i="7"/>
  <c r="E1977" i="7" s="1"/>
  <c r="F1977" i="7" s="1"/>
  <c r="L1976" i="7"/>
  <c r="K1976" i="7"/>
  <c r="J1976" i="7"/>
  <c r="H1976" i="7"/>
  <c r="U1976" i="7" s="1"/>
  <c r="C1976" i="7"/>
  <c r="E1976" i="7" s="1"/>
  <c r="F1976" i="7" s="1"/>
  <c r="L1975" i="7"/>
  <c r="K1975" i="7"/>
  <c r="H1975" i="7"/>
  <c r="U1975" i="7" s="1"/>
  <c r="C1975" i="7"/>
  <c r="E1975" i="7" s="1"/>
  <c r="F1975" i="7" s="1"/>
  <c r="L1974" i="7"/>
  <c r="K1974" i="7"/>
  <c r="H1974" i="7"/>
  <c r="U1974" i="7" s="1"/>
  <c r="C1974" i="7"/>
  <c r="E1974" i="7" s="1"/>
  <c r="F1974" i="7" s="1"/>
  <c r="L1973" i="7"/>
  <c r="K1973" i="7"/>
  <c r="H1973" i="7"/>
  <c r="U1973" i="7" s="1"/>
  <c r="C1973" i="7"/>
  <c r="E1973" i="7" s="1"/>
  <c r="F1973" i="7" s="1"/>
  <c r="L1972" i="7"/>
  <c r="K1972" i="7"/>
  <c r="H1972" i="7"/>
  <c r="U1972" i="7" s="1"/>
  <c r="C1972" i="7"/>
  <c r="E1972" i="7" s="1"/>
  <c r="F1972" i="7" s="1"/>
  <c r="L1971" i="7"/>
  <c r="K1971" i="7"/>
  <c r="H1971" i="7"/>
  <c r="U1971" i="7" s="1"/>
  <c r="C1971" i="7"/>
  <c r="E1971" i="7" s="1"/>
  <c r="F1971" i="7" s="1"/>
  <c r="L1970" i="7"/>
  <c r="K1970" i="7"/>
  <c r="H1970" i="7"/>
  <c r="U1970" i="7" s="1"/>
  <c r="C1970" i="7"/>
  <c r="E1970" i="7" s="1"/>
  <c r="F1970" i="7" s="1"/>
  <c r="L1969" i="7"/>
  <c r="K1969" i="7"/>
  <c r="H1969" i="7"/>
  <c r="U1969" i="7" s="1"/>
  <c r="C1969" i="7"/>
  <c r="E1969" i="7" s="1"/>
  <c r="F1969" i="7" s="1"/>
  <c r="L1968" i="7"/>
  <c r="I1968" i="7" s="1"/>
  <c r="K1968" i="7"/>
  <c r="H1968" i="7"/>
  <c r="U1968" i="7" s="1"/>
  <c r="C1968" i="7"/>
  <c r="E1968" i="7" s="1"/>
  <c r="F1968" i="7" s="1"/>
  <c r="L1967" i="7"/>
  <c r="K1967" i="7"/>
  <c r="H1967" i="7"/>
  <c r="U1967" i="7" s="1"/>
  <c r="C1967" i="7"/>
  <c r="E1967" i="7" s="1"/>
  <c r="F1967" i="7" s="1"/>
  <c r="L1966" i="7"/>
  <c r="K1966" i="7"/>
  <c r="H1966" i="7"/>
  <c r="U1966" i="7" s="1"/>
  <c r="E1966" i="7"/>
  <c r="F1966" i="7" s="1"/>
  <c r="C1966" i="7"/>
  <c r="L1965" i="7"/>
  <c r="K1965" i="7"/>
  <c r="H1965" i="7"/>
  <c r="U1965" i="7" s="1"/>
  <c r="C1965" i="7"/>
  <c r="E1965" i="7" s="1"/>
  <c r="F1965" i="7" s="1"/>
  <c r="L1964" i="7"/>
  <c r="K1964" i="7"/>
  <c r="H1964" i="7"/>
  <c r="U1964" i="7" s="1"/>
  <c r="C1964" i="7"/>
  <c r="E1964" i="7" s="1"/>
  <c r="F1964" i="7" s="1"/>
  <c r="L1963" i="7"/>
  <c r="K1963" i="7"/>
  <c r="H1963" i="7"/>
  <c r="U1963" i="7" s="1"/>
  <c r="C1963" i="7"/>
  <c r="E1963" i="7" s="1"/>
  <c r="F1963" i="7" s="1"/>
  <c r="L1962" i="7"/>
  <c r="K1962" i="7"/>
  <c r="H1962" i="7"/>
  <c r="U1962" i="7" s="1"/>
  <c r="C1962" i="7"/>
  <c r="E1962" i="7" s="1"/>
  <c r="F1962" i="7" s="1"/>
  <c r="L1961" i="7"/>
  <c r="K1961" i="7"/>
  <c r="H1961" i="7"/>
  <c r="U1961" i="7" s="1"/>
  <c r="C1961" i="7"/>
  <c r="E1961" i="7" s="1"/>
  <c r="F1961" i="7" s="1"/>
  <c r="L1960" i="7"/>
  <c r="K1960" i="7"/>
  <c r="H1960" i="7"/>
  <c r="U1960" i="7" s="1"/>
  <c r="E1960" i="7"/>
  <c r="F1960" i="7" s="1"/>
  <c r="C1960" i="7"/>
  <c r="L1959" i="7"/>
  <c r="K1959" i="7"/>
  <c r="H1959" i="7"/>
  <c r="U1959" i="7" s="1"/>
  <c r="C1959" i="7"/>
  <c r="E1959" i="7" s="1"/>
  <c r="F1959" i="7" s="1"/>
  <c r="L1958" i="7"/>
  <c r="K1958" i="7"/>
  <c r="H1958" i="7"/>
  <c r="U1958" i="7" s="1"/>
  <c r="C1958" i="7"/>
  <c r="E1958" i="7" s="1"/>
  <c r="F1958" i="7" s="1"/>
  <c r="L1957" i="7"/>
  <c r="K1957" i="7"/>
  <c r="H1957" i="7"/>
  <c r="U1957" i="7" s="1"/>
  <c r="C1957" i="7"/>
  <c r="E1957" i="7" s="1"/>
  <c r="F1957" i="7" s="1"/>
  <c r="L1956" i="7"/>
  <c r="K1956" i="7"/>
  <c r="H1956" i="7"/>
  <c r="U1956" i="7" s="1"/>
  <c r="C1956" i="7"/>
  <c r="E1956" i="7" s="1"/>
  <c r="F1956" i="7" s="1"/>
  <c r="L1955" i="7"/>
  <c r="K1955" i="7"/>
  <c r="H1955" i="7"/>
  <c r="U1955" i="7" s="1"/>
  <c r="C1955" i="7"/>
  <c r="E1955" i="7" s="1"/>
  <c r="F1955" i="7" s="1"/>
  <c r="L1954" i="7"/>
  <c r="K1954" i="7"/>
  <c r="H1954" i="7"/>
  <c r="U1954" i="7" s="1"/>
  <c r="C1954" i="7"/>
  <c r="E1954" i="7" s="1"/>
  <c r="F1954" i="7" s="1"/>
  <c r="L1953" i="7"/>
  <c r="K1953" i="7"/>
  <c r="H1953" i="7"/>
  <c r="U1953" i="7" s="1"/>
  <c r="C1953" i="7"/>
  <c r="E1953" i="7" s="1"/>
  <c r="F1953" i="7" s="1"/>
  <c r="L1952" i="7"/>
  <c r="K1952" i="7"/>
  <c r="J1952" i="7"/>
  <c r="H1952" i="7"/>
  <c r="U1952" i="7" s="1"/>
  <c r="E1952" i="7"/>
  <c r="F1952" i="7" s="1"/>
  <c r="C1952" i="7"/>
  <c r="L1951" i="7"/>
  <c r="K1951" i="7"/>
  <c r="H1951" i="7"/>
  <c r="U1951" i="7" s="1"/>
  <c r="C1951" i="7"/>
  <c r="E1951" i="7" s="1"/>
  <c r="F1951" i="7" s="1"/>
  <c r="L1950" i="7"/>
  <c r="K1950" i="7"/>
  <c r="H1950" i="7"/>
  <c r="U1950" i="7" s="1"/>
  <c r="C1950" i="7"/>
  <c r="E1950" i="7" s="1"/>
  <c r="F1950" i="7" s="1"/>
  <c r="L1949" i="7"/>
  <c r="K1949" i="7"/>
  <c r="H1949" i="7"/>
  <c r="U1949" i="7" s="1"/>
  <c r="C1949" i="7"/>
  <c r="E1949" i="7" s="1"/>
  <c r="F1949" i="7" s="1"/>
  <c r="L1948" i="7"/>
  <c r="K1948" i="7"/>
  <c r="H1948" i="7"/>
  <c r="U1948" i="7" s="1"/>
  <c r="C1948" i="7"/>
  <c r="E1948" i="7" s="1"/>
  <c r="F1948" i="7" s="1"/>
  <c r="L1947" i="7"/>
  <c r="K1947" i="7"/>
  <c r="H1947" i="7"/>
  <c r="U1947" i="7" s="1"/>
  <c r="C1947" i="7"/>
  <c r="E1947" i="7" s="1"/>
  <c r="F1947" i="7" s="1"/>
  <c r="L1946" i="7"/>
  <c r="K1946" i="7"/>
  <c r="H1946" i="7"/>
  <c r="U1946" i="7" s="1"/>
  <c r="E1946" i="7"/>
  <c r="F1946" i="7" s="1"/>
  <c r="C1946" i="7"/>
  <c r="L1945" i="7"/>
  <c r="K1945" i="7"/>
  <c r="H1945" i="7"/>
  <c r="U1945" i="7" s="1"/>
  <c r="C1945" i="7"/>
  <c r="E1945" i="7" s="1"/>
  <c r="F1945" i="7" s="1"/>
  <c r="L1944" i="7"/>
  <c r="K1944" i="7"/>
  <c r="H1944" i="7"/>
  <c r="U1944" i="7" s="1"/>
  <c r="C1944" i="7"/>
  <c r="E1944" i="7" s="1"/>
  <c r="F1944" i="7" s="1"/>
  <c r="L1943" i="7"/>
  <c r="K1943" i="7"/>
  <c r="H1943" i="7"/>
  <c r="U1943" i="7" s="1"/>
  <c r="C1943" i="7"/>
  <c r="E1943" i="7" s="1"/>
  <c r="F1943" i="7" s="1"/>
  <c r="L1942" i="7"/>
  <c r="K1942" i="7"/>
  <c r="H1942" i="7"/>
  <c r="U1942" i="7" s="1"/>
  <c r="C1942" i="7"/>
  <c r="E1942" i="7" s="1"/>
  <c r="F1942" i="7" s="1"/>
  <c r="L1941" i="7"/>
  <c r="K1941" i="7"/>
  <c r="H1941" i="7"/>
  <c r="U1941" i="7" s="1"/>
  <c r="E1941" i="7"/>
  <c r="F1941" i="7" s="1"/>
  <c r="C1941" i="7"/>
  <c r="L1940" i="7"/>
  <c r="K1940" i="7"/>
  <c r="H1940" i="7"/>
  <c r="U1940" i="7" s="1"/>
  <c r="C1940" i="7"/>
  <c r="E1940" i="7" s="1"/>
  <c r="F1940" i="7" s="1"/>
  <c r="L1939" i="7"/>
  <c r="K1939" i="7"/>
  <c r="H1939" i="7"/>
  <c r="U1939" i="7" s="1"/>
  <c r="C1939" i="7"/>
  <c r="E1939" i="7" s="1"/>
  <c r="F1939" i="7" s="1"/>
  <c r="L1938" i="7"/>
  <c r="K1938" i="7"/>
  <c r="H1938" i="7"/>
  <c r="U1938" i="7" s="1"/>
  <c r="C1938" i="7"/>
  <c r="E1938" i="7" s="1"/>
  <c r="F1938" i="7" s="1"/>
  <c r="L1937" i="7"/>
  <c r="K1937" i="7"/>
  <c r="H1937" i="7"/>
  <c r="U1937" i="7" s="1"/>
  <c r="C1937" i="7"/>
  <c r="E1937" i="7" s="1"/>
  <c r="F1937" i="7" s="1"/>
  <c r="L1936" i="7"/>
  <c r="K1936" i="7"/>
  <c r="H1936" i="7"/>
  <c r="U1936" i="7" s="1"/>
  <c r="E1936" i="7"/>
  <c r="F1936" i="7" s="1"/>
  <c r="C1936" i="7"/>
  <c r="L1935" i="7"/>
  <c r="K1935" i="7"/>
  <c r="H1935" i="7"/>
  <c r="U1935" i="7" s="1"/>
  <c r="C1935" i="7"/>
  <c r="E1935" i="7" s="1"/>
  <c r="F1935" i="7" s="1"/>
  <c r="L1934" i="7"/>
  <c r="K1934" i="7"/>
  <c r="H1934" i="7"/>
  <c r="U1934" i="7" s="1"/>
  <c r="C1934" i="7"/>
  <c r="E1934" i="7" s="1"/>
  <c r="F1934" i="7" s="1"/>
  <c r="L1933" i="7"/>
  <c r="K1933" i="7"/>
  <c r="H1933" i="7"/>
  <c r="U1933" i="7" s="1"/>
  <c r="C1933" i="7"/>
  <c r="E1933" i="7" s="1"/>
  <c r="F1933" i="7" s="1"/>
  <c r="L1932" i="7"/>
  <c r="K1932" i="7"/>
  <c r="H1932" i="7"/>
  <c r="U1932" i="7" s="1"/>
  <c r="C1932" i="7"/>
  <c r="E1932" i="7" s="1"/>
  <c r="F1932" i="7" s="1"/>
  <c r="L1931" i="7"/>
  <c r="K1931" i="7"/>
  <c r="H1931" i="7"/>
  <c r="U1931" i="7" s="1"/>
  <c r="C1931" i="7"/>
  <c r="E1931" i="7" s="1"/>
  <c r="F1931" i="7" s="1"/>
  <c r="L1930" i="7"/>
  <c r="K1930" i="7"/>
  <c r="H1930" i="7"/>
  <c r="U1930" i="7" s="1"/>
  <c r="C1930" i="7"/>
  <c r="E1930" i="7" s="1"/>
  <c r="F1930" i="7" s="1"/>
  <c r="L1929" i="7"/>
  <c r="K1929" i="7"/>
  <c r="H1929" i="7"/>
  <c r="U1929" i="7" s="1"/>
  <c r="C1929" i="7"/>
  <c r="E1929" i="7" s="1"/>
  <c r="F1929" i="7" s="1"/>
  <c r="L1928" i="7"/>
  <c r="K1928" i="7"/>
  <c r="H1928" i="7"/>
  <c r="U1928" i="7" s="1"/>
  <c r="C1928" i="7"/>
  <c r="E1928" i="7" s="1"/>
  <c r="F1928" i="7" s="1"/>
  <c r="L1927" i="7"/>
  <c r="K1927" i="7"/>
  <c r="H1927" i="7"/>
  <c r="U1927" i="7" s="1"/>
  <c r="C1927" i="7"/>
  <c r="E1927" i="7" s="1"/>
  <c r="F1927" i="7" s="1"/>
  <c r="L1926" i="7"/>
  <c r="K1926" i="7"/>
  <c r="H1926" i="7"/>
  <c r="U1926" i="7" s="1"/>
  <c r="C1926" i="7"/>
  <c r="E1926" i="7" s="1"/>
  <c r="F1926" i="7" s="1"/>
  <c r="L1925" i="7"/>
  <c r="K1925" i="7"/>
  <c r="H1925" i="7"/>
  <c r="U1925" i="7" s="1"/>
  <c r="C1925" i="7"/>
  <c r="E1925" i="7" s="1"/>
  <c r="F1925" i="7" s="1"/>
  <c r="L1924" i="7"/>
  <c r="K1924" i="7"/>
  <c r="H1924" i="7"/>
  <c r="U1924" i="7" s="1"/>
  <c r="C1924" i="7"/>
  <c r="E1924" i="7" s="1"/>
  <c r="F1924" i="7" s="1"/>
  <c r="L1923" i="7"/>
  <c r="K1923" i="7"/>
  <c r="H1923" i="7"/>
  <c r="U1923" i="7" s="1"/>
  <c r="C1923" i="7"/>
  <c r="E1923" i="7" s="1"/>
  <c r="F1923" i="7" s="1"/>
  <c r="L1922" i="7"/>
  <c r="K1922" i="7"/>
  <c r="H1922" i="7"/>
  <c r="U1922" i="7" s="1"/>
  <c r="C1922" i="7"/>
  <c r="E1922" i="7" s="1"/>
  <c r="F1922" i="7" s="1"/>
  <c r="L1921" i="7"/>
  <c r="K1921" i="7"/>
  <c r="H1921" i="7"/>
  <c r="U1921" i="7" s="1"/>
  <c r="C1921" i="7"/>
  <c r="E1921" i="7" s="1"/>
  <c r="F1921" i="7" s="1"/>
  <c r="L1920" i="7"/>
  <c r="K1920" i="7"/>
  <c r="H1920" i="7"/>
  <c r="U1920" i="7" s="1"/>
  <c r="E1920" i="7"/>
  <c r="F1920" i="7" s="1"/>
  <c r="C1920" i="7"/>
  <c r="L1919" i="7"/>
  <c r="K1919" i="7"/>
  <c r="H1919" i="7"/>
  <c r="U1919" i="7" s="1"/>
  <c r="C1919" i="7"/>
  <c r="E1919" i="7" s="1"/>
  <c r="F1919" i="7" s="1"/>
  <c r="L1918" i="7"/>
  <c r="K1918" i="7"/>
  <c r="H1918" i="7"/>
  <c r="U1918" i="7" s="1"/>
  <c r="E1918" i="7"/>
  <c r="F1918" i="7" s="1"/>
  <c r="C1918" i="7"/>
  <c r="L1917" i="7"/>
  <c r="K1917" i="7"/>
  <c r="H1917" i="7"/>
  <c r="U1917" i="7" s="1"/>
  <c r="C1917" i="7"/>
  <c r="E1917" i="7" s="1"/>
  <c r="F1917" i="7" s="1"/>
  <c r="L1916" i="7"/>
  <c r="K1916" i="7"/>
  <c r="H1916" i="7"/>
  <c r="U1916" i="7" s="1"/>
  <c r="C1916" i="7"/>
  <c r="E1916" i="7" s="1"/>
  <c r="F1916" i="7" s="1"/>
  <c r="L1915" i="7"/>
  <c r="K1915" i="7"/>
  <c r="H1915" i="7"/>
  <c r="U1915" i="7" s="1"/>
  <c r="C1915" i="7"/>
  <c r="E1915" i="7" s="1"/>
  <c r="F1915" i="7" s="1"/>
  <c r="L1914" i="7"/>
  <c r="K1914" i="7"/>
  <c r="H1914" i="7"/>
  <c r="U1914" i="7" s="1"/>
  <c r="E1914" i="7"/>
  <c r="F1914" i="7" s="1"/>
  <c r="C1914" i="7"/>
  <c r="L1913" i="7"/>
  <c r="K1913" i="7"/>
  <c r="H1913" i="7"/>
  <c r="U1913" i="7" s="1"/>
  <c r="C1913" i="7"/>
  <c r="E1913" i="7" s="1"/>
  <c r="F1913" i="7" s="1"/>
  <c r="J1913" i="7" s="1"/>
  <c r="L1912" i="7"/>
  <c r="K1912" i="7"/>
  <c r="H1912" i="7"/>
  <c r="U1912" i="7" s="1"/>
  <c r="C1912" i="7"/>
  <c r="E1912" i="7" s="1"/>
  <c r="F1912" i="7" s="1"/>
  <c r="L1911" i="7"/>
  <c r="K1911" i="7"/>
  <c r="H1911" i="7"/>
  <c r="U1911" i="7" s="1"/>
  <c r="E1911" i="7"/>
  <c r="F1911" i="7" s="1"/>
  <c r="J1911" i="7" s="1"/>
  <c r="C1911" i="7"/>
  <c r="U1910" i="7"/>
  <c r="L1910" i="7"/>
  <c r="K1910" i="7"/>
  <c r="H1910" i="7"/>
  <c r="C1910" i="7"/>
  <c r="E1910" i="7" s="1"/>
  <c r="F1910" i="7" s="1"/>
  <c r="L1909" i="7"/>
  <c r="K1909" i="7"/>
  <c r="H1909" i="7"/>
  <c r="U1909" i="7" s="1"/>
  <c r="C1909" i="7"/>
  <c r="E1909" i="7" s="1"/>
  <c r="F1909" i="7" s="1"/>
  <c r="L1908" i="7"/>
  <c r="K1908" i="7"/>
  <c r="H1908" i="7"/>
  <c r="U1908" i="7" s="1"/>
  <c r="E1908" i="7"/>
  <c r="F1908" i="7" s="1"/>
  <c r="C1908" i="7"/>
  <c r="L1907" i="7"/>
  <c r="K1907" i="7"/>
  <c r="H1907" i="7"/>
  <c r="U1907" i="7" s="1"/>
  <c r="C1907" i="7"/>
  <c r="E1907" i="7" s="1"/>
  <c r="F1907" i="7" s="1"/>
  <c r="L1906" i="7"/>
  <c r="K1906" i="7"/>
  <c r="H1906" i="7"/>
  <c r="U1906" i="7" s="1"/>
  <c r="C1906" i="7"/>
  <c r="E1906" i="7" s="1"/>
  <c r="F1906" i="7" s="1"/>
  <c r="U1905" i="7"/>
  <c r="L1905" i="7"/>
  <c r="K1905" i="7"/>
  <c r="H1905" i="7"/>
  <c r="C1905" i="7"/>
  <c r="E1905" i="7" s="1"/>
  <c r="F1905" i="7" s="1"/>
  <c r="L1904" i="7"/>
  <c r="K1904" i="7"/>
  <c r="H1904" i="7"/>
  <c r="U1904" i="7" s="1"/>
  <c r="E1904" i="7"/>
  <c r="F1904" i="7" s="1"/>
  <c r="C1904" i="7"/>
  <c r="L1903" i="7"/>
  <c r="K1903" i="7"/>
  <c r="H1903" i="7"/>
  <c r="U1903" i="7" s="1"/>
  <c r="C1903" i="7"/>
  <c r="E1903" i="7" s="1"/>
  <c r="F1903" i="7" s="1"/>
  <c r="L1902" i="7"/>
  <c r="K1902" i="7"/>
  <c r="H1902" i="7"/>
  <c r="U1902" i="7" s="1"/>
  <c r="C1902" i="7"/>
  <c r="E1902" i="7" s="1"/>
  <c r="F1902" i="7" s="1"/>
  <c r="L1901" i="7"/>
  <c r="K1901" i="7"/>
  <c r="H1901" i="7"/>
  <c r="U1901" i="7" s="1"/>
  <c r="E1901" i="7"/>
  <c r="F1901" i="7" s="1"/>
  <c r="C1901" i="7"/>
  <c r="L1900" i="7"/>
  <c r="K1900" i="7"/>
  <c r="H1900" i="7"/>
  <c r="U1900" i="7" s="1"/>
  <c r="C1900" i="7"/>
  <c r="E1900" i="7" s="1"/>
  <c r="F1900" i="7" s="1"/>
  <c r="L1899" i="7"/>
  <c r="K1899" i="7"/>
  <c r="H1899" i="7"/>
  <c r="U1899" i="7" s="1"/>
  <c r="C1899" i="7"/>
  <c r="E1899" i="7" s="1"/>
  <c r="F1899" i="7" s="1"/>
  <c r="L1898" i="7"/>
  <c r="K1898" i="7"/>
  <c r="H1898" i="7"/>
  <c r="U1898" i="7" s="1"/>
  <c r="C1898" i="7"/>
  <c r="E1898" i="7" s="1"/>
  <c r="F1898" i="7" s="1"/>
  <c r="L1897" i="7"/>
  <c r="K1897" i="7"/>
  <c r="H1897" i="7"/>
  <c r="U1897" i="7" s="1"/>
  <c r="C1897" i="7"/>
  <c r="E1897" i="7" s="1"/>
  <c r="F1897" i="7" s="1"/>
  <c r="L1896" i="7"/>
  <c r="K1896" i="7"/>
  <c r="H1896" i="7"/>
  <c r="U1896" i="7" s="1"/>
  <c r="E1896" i="7"/>
  <c r="F1896" i="7" s="1"/>
  <c r="C1896" i="7"/>
  <c r="L1895" i="7"/>
  <c r="K1895" i="7"/>
  <c r="H1895" i="7"/>
  <c r="U1895" i="7" s="1"/>
  <c r="C1895" i="7"/>
  <c r="E1895" i="7" s="1"/>
  <c r="F1895" i="7" s="1"/>
  <c r="U1894" i="7"/>
  <c r="L1894" i="7"/>
  <c r="K1894" i="7"/>
  <c r="H1894" i="7"/>
  <c r="C1894" i="7"/>
  <c r="E1894" i="7" s="1"/>
  <c r="F1894" i="7" s="1"/>
  <c r="U1893" i="7"/>
  <c r="L1893" i="7"/>
  <c r="K1893" i="7"/>
  <c r="H1893" i="7"/>
  <c r="E1893" i="7"/>
  <c r="F1893" i="7" s="1"/>
  <c r="C1893" i="7"/>
  <c r="L1892" i="7"/>
  <c r="K1892" i="7"/>
  <c r="H1892" i="7"/>
  <c r="U1892" i="7" s="1"/>
  <c r="C1892" i="7"/>
  <c r="E1892" i="7" s="1"/>
  <c r="F1892" i="7" s="1"/>
  <c r="L1891" i="7"/>
  <c r="K1891" i="7"/>
  <c r="H1891" i="7"/>
  <c r="U1891" i="7" s="1"/>
  <c r="C1891" i="7"/>
  <c r="E1891" i="7" s="1"/>
  <c r="F1891" i="7" s="1"/>
  <c r="L1890" i="7"/>
  <c r="K1890" i="7"/>
  <c r="H1890" i="7"/>
  <c r="U1890" i="7" s="1"/>
  <c r="C1890" i="7"/>
  <c r="E1890" i="7" s="1"/>
  <c r="F1890" i="7" s="1"/>
  <c r="L1889" i="7"/>
  <c r="K1889" i="7"/>
  <c r="H1889" i="7"/>
  <c r="U1889" i="7" s="1"/>
  <c r="C1889" i="7"/>
  <c r="E1889" i="7" s="1"/>
  <c r="F1889" i="7" s="1"/>
  <c r="U1888" i="7"/>
  <c r="L1888" i="7"/>
  <c r="K1888" i="7"/>
  <c r="H1888" i="7"/>
  <c r="C1888" i="7"/>
  <c r="E1888" i="7" s="1"/>
  <c r="F1888" i="7" s="1"/>
  <c r="L1887" i="7"/>
  <c r="K1887" i="7"/>
  <c r="H1887" i="7"/>
  <c r="U1887" i="7" s="1"/>
  <c r="E1887" i="7"/>
  <c r="F1887" i="7" s="1"/>
  <c r="C1887" i="7"/>
  <c r="L1886" i="7"/>
  <c r="K1886" i="7"/>
  <c r="H1886" i="7"/>
  <c r="U1886" i="7" s="1"/>
  <c r="C1886" i="7"/>
  <c r="E1886" i="7" s="1"/>
  <c r="F1886" i="7" s="1"/>
  <c r="U1885" i="7"/>
  <c r="L1885" i="7"/>
  <c r="K1885" i="7"/>
  <c r="H1885" i="7"/>
  <c r="C1885" i="7"/>
  <c r="E1885" i="7" s="1"/>
  <c r="F1885" i="7" s="1"/>
  <c r="L1884" i="7"/>
  <c r="K1884" i="7"/>
  <c r="H1884" i="7"/>
  <c r="U1884" i="7" s="1"/>
  <c r="E1884" i="7"/>
  <c r="F1884" i="7" s="1"/>
  <c r="C1884" i="7"/>
  <c r="L1883" i="7"/>
  <c r="K1883" i="7"/>
  <c r="H1883" i="7"/>
  <c r="U1883" i="7" s="1"/>
  <c r="C1883" i="7"/>
  <c r="E1883" i="7" s="1"/>
  <c r="F1883" i="7" s="1"/>
  <c r="U1882" i="7"/>
  <c r="L1882" i="7"/>
  <c r="K1882" i="7"/>
  <c r="H1882" i="7"/>
  <c r="C1882" i="7"/>
  <c r="E1882" i="7" s="1"/>
  <c r="F1882" i="7" s="1"/>
  <c r="U1881" i="7"/>
  <c r="L1881" i="7"/>
  <c r="K1881" i="7"/>
  <c r="H1881" i="7"/>
  <c r="C1881" i="7"/>
  <c r="E1881" i="7" s="1"/>
  <c r="F1881" i="7" s="1"/>
  <c r="L1880" i="7"/>
  <c r="K1880" i="7"/>
  <c r="H1880" i="7"/>
  <c r="U1880" i="7" s="1"/>
  <c r="C1880" i="7"/>
  <c r="E1880" i="7" s="1"/>
  <c r="F1880" i="7" s="1"/>
  <c r="L1879" i="7"/>
  <c r="K1879" i="7"/>
  <c r="H1879" i="7"/>
  <c r="U1879" i="7" s="1"/>
  <c r="E1879" i="7"/>
  <c r="F1879" i="7" s="1"/>
  <c r="C1879" i="7"/>
  <c r="L1878" i="7"/>
  <c r="K1878" i="7"/>
  <c r="H1878" i="7"/>
  <c r="U1878" i="7" s="1"/>
  <c r="E1878" i="7"/>
  <c r="F1878" i="7" s="1"/>
  <c r="C1878" i="7"/>
  <c r="L1877" i="7"/>
  <c r="K1877" i="7"/>
  <c r="H1877" i="7"/>
  <c r="U1877" i="7" s="1"/>
  <c r="C1877" i="7"/>
  <c r="E1877" i="7" s="1"/>
  <c r="F1877" i="7" s="1"/>
  <c r="L1876" i="7"/>
  <c r="K1876" i="7"/>
  <c r="H1876" i="7"/>
  <c r="U1876" i="7" s="1"/>
  <c r="E1876" i="7"/>
  <c r="F1876" i="7" s="1"/>
  <c r="C1876" i="7"/>
  <c r="L1875" i="7"/>
  <c r="K1875" i="7"/>
  <c r="H1875" i="7"/>
  <c r="U1875" i="7" s="1"/>
  <c r="C1875" i="7"/>
  <c r="E1875" i="7" s="1"/>
  <c r="F1875" i="7" s="1"/>
  <c r="L1874" i="7"/>
  <c r="K1874" i="7"/>
  <c r="H1874" i="7"/>
  <c r="U1874" i="7" s="1"/>
  <c r="C1874" i="7"/>
  <c r="E1874" i="7" s="1"/>
  <c r="F1874" i="7" s="1"/>
  <c r="L1873" i="7"/>
  <c r="K1873" i="7"/>
  <c r="H1873" i="7"/>
  <c r="U1873" i="7" s="1"/>
  <c r="C1873" i="7"/>
  <c r="E1873" i="7" s="1"/>
  <c r="F1873" i="7" s="1"/>
  <c r="L1872" i="7"/>
  <c r="K1872" i="7"/>
  <c r="H1872" i="7"/>
  <c r="U1872" i="7" s="1"/>
  <c r="C1872" i="7"/>
  <c r="E1872" i="7" s="1"/>
  <c r="F1872" i="7" s="1"/>
  <c r="L1871" i="7"/>
  <c r="K1871" i="7"/>
  <c r="H1871" i="7"/>
  <c r="U1871" i="7" s="1"/>
  <c r="E1871" i="7"/>
  <c r="F1871" i="7" s="1"/>
  <c r="C1871" i="7"/>
  <c r="L1870" i="7"/>
  <c r="K1870" i="7"/>
  <c r="H1870" i="7"/>
  <c r="U1870" i="7" s="1"/>
  <c r="C1870" i="7"/>
  <c r="E1870" i="7" s="1"/>
  <c r="F1870" i="7" s="1"/>
  <c r="L1869" i="7"/>
  <c r="K1869" i="7"/>
  <c r="H1869" i="7"/>
  <c r="U1869" i="7" s="1"/>
  <c r="E1869" i="7"/>
  <c r="F1869" i="7" s="1"/>
  <c r="C1869" i="7"/>
  <c r="L1868" i="7"/>
  <c r="K1868" i="7"/>
  <c r="H1868" i="7"/>
  <c r="U1868" i="7" s="1"/>
  <c r="E1868" i="7"/>
  <c r="F1868" i="7" s="1"/>
  <c r="C1868" i="7"/>
  <c r="L1867" i="7"/>
  <c r="K1867" i="7"/>
  <c r="H1867" i="7"/>
  <c r="U1867" i="7" s="1"/>
  <c r="C1867" i="7"/>
  <c r="E1867" i="7" s="1"/>
  <c r="F1867" i="7" s="1"/>
  <c r="L1866" i="7"/>
  <c r="K1866" i="7"/>
  <c r="H1866" i="7"/>
  <c r="U1866" i="7" s="1"/>
  <c r="C1866" i="7"/>
  <c r="E1866" i="7" s="1"/>
  <c r="F1866" i="7" s="1"/>
  <c r="U1865" i="7"/>
  <c r="L1865" i="7"/>
  <c r="K1865" i="7"/>
  <c r="H1865" i="7"/>
  <c r="E1865" i="7"/>
  <c r="F1865" i="7" s="1"/>
  <c r="C1865" i="7"/>
  <c r="L1864" i="7"/>
  <c r="K1864" i="7"/>
  <c r="H1864" i="7"/>
  <c r="U1864" i="7" s="1"/>
  <c r="C1864" i="7"/>
  <c r="E1864" i="7" s="1"/>
  <c r="F1864" i="7" s="1"/>
  <c r="L1863" i="7"/>
  <c r="K1863" i="7"/>
  <c r="H1863" i="7"/>
  <c r="U1863" i="7" s="1"/>
  <c r="C1863" i="7"/>
  <c r="E1863" i="7" s="1"/>
  <c r="F1863" i="7" s="1"/>
  <c r="L1862" i="7"/>
  <c r="K1862" i="7"/>
  <c r="H1862" i="7"/>
  <c r="U1862" i="7" s="1"/>
  <c r="C1862" i="7"/>
  <c r="E1862" i="7" s="1"/>
  <c r="F1862" i="7" s="1"/>
  <c r="L1861" i="7"/>
  <c r="K1861" i="7"/>
  <c r="H1861" i="7"/>
  <c r="U1861" i="7" s="1"/>
  <c r="C1861" i="7"/>
  <c r="E1861" i="7" s="1"/>
  <c r="F1861" i="7" s="1"/>
  <c r="L1860" i="7"/>
  <c r="K1860" i="7"/>
  <c r="H1860" i="7"/>
  <c r="U1860" i="7" s="1"/>
  <c r="C1860" i="7"/>
  <c r="E1860" i="7" s="1"/>
  <c r="F1860" i="7" s="1"/>
  <c r="L1859" i="7"/>
  <c r="K1859" i="7"/>
  <c r="H1859" i="7"/>
  <c r="U1859" i="7" s="1"/>
  <c r="C1859" i="7"/>
  <c r="E1859" i="7" s="1"/>
  <c r="F1859" i="7" s="1"/>
  <c r="L1858" i="7"/>
  <c r="K1858" i="7"/>
  <c r="H1858" i="7"/>
  <c r="U1858" i="7" s="1"/>
  <c r="E1858" i="7"/>
  <c r="F1858" i="7" s="1"/>
  <c r="C1858" i="7"/>
  <c r="L1857" i="7"/>
  <c r="K1857" i="7"/>
  <c r="H1857" i="7"/>
  <c r="U1857" i="7" s="1"/>
  <c r="C1857" i="7"/>
  <c r="E1857" i="7" s="1"/>
  <c r="F1857" i="7" s="1"/>
  <c r="L1856" i="7"/>
  <c r="K1856" i="7"/>
  <c r="H1856" i="7"/>
  <c r="U1856" i="7" s="1"/>
  <c r="E1856" i="7"/>
  <c r="F1856" i="7" s="1"/>
  <c r="C1856" i="7"/>
  <c r="L1855" i="7"/>
  <c r="K1855" i="7"/>
  <c r="H1855" i="7"/>
  <c r="U1855" i="7" s="1"/>
  <c r="E1855" i="7"/>
  <c r="F1855" i="7" s="1"/>
  <c r="C1855" i="7"/>
  <c r="L1854" i="7"/>
  <c r="K1854" i="7"/>
  <c r="H1854" i="7"/>
  <c r="U1854" i="7" s="1"/>
  <c r="E1854" i="7"/>
  <c r="F1854" i="7" s="1"/>
  <c r="C1854" i="7"/>
  <c r="U1853" i="7"/>
  <c r="L1853" i="7"/>
  <c r="K1853" i="7"/>
  <c r="H1853" i="7"/>
  <c r="C1853" i="7"/>
  <c r="E1853" i="7" s="1"/>
  <c r="F1853" i="7" s="1"/>
  <c r="U1852" i="7"/>
  <c r="L1852" i="7"/>
  <c r="K1852" i="7"/>
  <c r="H1852" i="7"/>
  <c r="E1852" i="7"/>
  <c r="F1852" i="7" s="1"/>
  <c r="C1852" i="7"/>
  <c r="L1851" i="7"/>
  <c r="K1851" i="7"/>
  <c r="H1851" i="7"/>
  <c r="U1851" i="7" s="1"/>
  <c r="C1851" i="7"/>
  <c r="E1851" i="7" s="1"/>
  <c r="F1851" i="7" s="1"/>
  <c r="L1850" i="7"/>
  <c r="K1850" i="7"/>
  <c r="H1850" i="7"/>
  <c r="U1850" i="7" s="1"/>
  <c r="C1850" i="7"/>
  <c r="E1850" i="7" s="1"/>
  <c r="F1850" i="7" s="1"/>
  <c r="U1849" i="7"/>
  <c r="L1849" i="7"/>
  <c r="K1849" i="7"/>
  <c r="H1849" i="7"/>
  <c r="C1849" i="7"/>
  <c r="E1849" i="7" s="1"/>
  <c r="F1849" i="7" s="1"/>
  <c r="L1848" i="7"/>
  <c r="K1848" i="7"/>
  <c r="H1848" i="7"/>
  <c r="U1848" i="7" s="1"/>
  <c r="C1848" i="7"/>
  <c r="E1848" i="7" s="1"/>
  <c r="F1848" i="7" s="1"/>
  <c r="L1847" i="7"/>
  <c r="K1847" i="7"/>
  <c r="H1847" i="7"/>
  <c r="U1847" i="7" s="1"/>
  <c r="C1847" i="7"/>
  <c r="E1847" i="7" s="1"/>
  <c r="F1847" i="7" s="1"/>
  <c r="L1846" i="7"/>
  <c r="K1846" i="7"/>
  <c r="H1846" i="7"/>
  <c r="U1846" i="7" s="1"/>
  <c r="C1846" i="7"/>
  <c r="E1846" i="7" s="1"/>
  <c r="F1846" i="7" s="1"/>
  <c r="U1845" i="7"/>
  <c r="L1845" i="7"/>
  <c r="K1845" i="7"/>
  <c r="H1845" i="7"/>
  <c r="E1845" i="7"/>
  <c r="F1845" i="7" s="1"/>
  <c r="C1845" i="7"/>
  <c r="L1844" i="7"/>
  <c r="K1844" i="7"/>
  <c r="H1844" i="7"/>
  <c r="U1844" i="7" s="1"/>
  <c r="E1844" i="7"/>
  <c r="F1844" i="7" s="1"/>
  <c r="C1844" i="7"/>
  <c r="L1843" i="7"/>
  <c r="K1843" i="7"/>
  <c r="H1843" i="7"/>
  <c r="U1843" i="7" s="1"/>
  <c r="C1843" i="7"/>
  <c r="E1843" i="7" s="1"/>
  <c r="F1843" i="7" s="1"/>
  <c r="L1842" i="7"/>
  <c r="K1842" i="7"/>
  <c r="H1842" i="7"/>
  <c r="U1842" i="7" s="1"/>
  <c r="E1842" i="7"/>
  <c r="F1842" i="7" s="1"/>
  <c r="C1842" i="7"/>
  <c r="L1841" i="7"/>
  <c r="K1841" i="7"/>
  <c r="H1841" i="7"/>
  <c r="U1841" i="7" s="1"/>
  <c r="E1841" i="7"/>
  <c r="F1841" i="7" s="1"/>
  <c r="C1841" i="7"/>
  <c r="L1840" i="7"/>
  <c r="K1840" i="7"/>
  <c r="H1840" i="7"/>
  <c r="U1840" i="7" s="1"/>
  <c r="E1840" i="7"/>
  <c r="F1840" i="7" s="1"/>
  <c r="C1840" i="7"/>
  <c r="L1839" i="7"/>
  <c r="K1839" i="7"/>
  <c r="H1839" i="7"/>
  <c r="U1839" i="7" s="1"/>
  <c r="E1839" i="7"/>
  <c r="F1839" i="7" s="1"/>
  <c r="C1839" i="7"/>
  <c r="L1838" i="7"/>
  <c r="K1838" i="7"/>
  <c r="H1838" i="7"/>
  <c r="U1838" i="7" s="1"/>
  <c r="C1838" i="7"/>
  <c r="E1838" i="7" s="1"/>
  <c r="F1838" i="7" s="1"/>
  <c r="U1837" i="7"/>
  <c r="L1837" i="7"/>
  <c r="K1837" i="7"/>
  <c r="H1837" i="7"/>
  <c r="C1837" i="7"/>
  <c r="E1837" i="7" s="1"/>
  <c r="F1837" i="7" s="1"/>
  <c r="L1836" i="7"/>
  <c r="K1836" i="7"/>
  <c r="H1836" i="7"/>
  <c r="U1836" i="7" s="1"/>
  <c r="E1836" i="7"/>
  <c r="F1836" i="7" s="1"/>
  <c r="C1836" i="7"/>
  <c r="L1835" i="7"/>
  <c r="K1835" i="7"/>
  <c r="H1835" i="7"/>
  <c r="U1835" i="7" s="1"/>
  <c r="C1835" i="7"/>
  <c r="E1835" i="7" s="1"/>
  <c r="F1835" i="7" s="1"/>
  <c r="L1834" i="7"/>
  <c r="K1834" i="7"/>
  <c r="H1834" i="7"/>
  <c r="U1834" i="7" s="1"/>
  <c r="E1834" i="7"/>
  <c r="F1834" i="7" s="1"/>
  <c r="C1834" i="7"/>
  <c r="L1833" i="7"/>
  <c r="K1833" i="7"/>
  <c r="H1833" i="7"/>
  <c r="U1833" i="7" s="1"/>
  <c r="C1833" i="7"/>
  <c r="E1833" i="7" s="1"/>
  <c r="F1833" i="7" s="1"/>
  <c r="L1832" i="7"/>
  <c r="K1832" i="7"/>
  <c r="H1832" i="7"/>
  <c r="U1832" i="7" s="1"/>
  <c r="E1832" i="7"/>
  <c r="F1832" i="7" s="1"/>
  <c r="C1832" i="7"/>
  <c r="L1831" i="7"/>
  <c r="K1831" i="7"/>
  <c r="H1831" i="7"/>
  <c r="U1831" i="7" s="1"/>
  <c r="C1831" i="7"/>
  <c r="E1831" i="7" s="1"/>
  <c r="F1831" i="7" s="1"/>
  <c r="L1830" i="7"/>
  <c r="K1830" i="7"/>
  <c r="H1830" i="7"/>
  <c r="U1830" i="7" s="1"/>
  <c r="C1830" i="7"/>
  <c r="E1830" i="7" s="1"/>
  <c r="F1830" i="7" s="1"/>
  <c r="L1829" i="7"/>
  <c r="K1829" i="7"/>
  <c r="H1829" i="7"/>
  <c r="U1829" i="7" s="1"/>
  <c r="C1829" i="7"/>
  <c r="E1829" i="7" s="1"/>
  <c r="F1829" i="7" s="1"/>
  <c r="L1828" i="7"/>
  <c r="K1828" i="7"/>
  <c r="H1828" i="7"/>
  <c r="U1828" i="7" s="1"/>
  <c r="C1828" i="7"/>
  <c r="E1828" i="7" s="1"/>
  <c r="F1828" i="7" s="1"/>
  <c r="L1827" i="7"/>
  <c r="K1827" i="7"/>
  <c r="H1827" i="7"/>
  <c r="U1827" i="7" s="1"/>
  <c r="C1827" i="7"/>
  <c r="E1827" i="7" s="1"/>
  <c r="F1827" i="7" s="1"/>
  <c r="L1826" i="7"/>
  <c r="K1826" i="7"/>
  <c r="H1826" i="7"/>
  <c r="U1826" i="7" s="1"/>
  <c r="C1826" i="7"/>
  <c r="E1826" i="7" s="1"/>
  <c r="F1826" i="7" s="1"/>
  <c r="L1825" i="7"/>
  <c r="K1825" i="7"/>
  <c r="H1825" i="7"/>
  <c r="U1825" i="7" s="1"/>
  <c r="E1825" i="7"/>
  <c r="F1825" i="7" s="1"/>
  <c r="C1825" i="7"/>
  <c r="U1824" i="7"/>
  <c r="L1824" i="7"/>
  <c r="K1824" i="7"/>
  <c r="H1824" i="7"/>
  <c r="C1824" i="7"/>
  <c r="E1824" i="7" s="1"/>
  <c r="F1824" i="7" s="1"/>
  <c r="L1823" i="7"/>
  <c r="K1823" i="7"/>
  <c r="H1823" i="7"/>
  <c r="U1823" i="7" s="1"/>
  <c r="C1823" i="7"/>
  <c r="E1823" i="7" s="1"/>
  <c r="F1823" i="7" s="1"/>
  <c r="L1822" i="7"/>
  <c r="K1822" i="7"/>
  <c r="H1822" i="7"/>
  <c r="U1822" i="7" s="1"/>
  <c r="C1822" i="7"/>
  <c r="E1822" i="7" s="1"/>
  <c r="F1822" i="7" s="1"/>
  <c r="L1821" i="7"/>
  <c r="K1821" i="7"/>
  <c r="H1821" i="7"/>
  <c r="U1821" i="7" s="1"/>
  <c r="E1821" i="7"/>
  <c r="F1821" i="7" s="1"/>
  <c r="C1821" i="7"/>
  <c r="L1820" i="7"/>
  <c r="K1820" i="7"/>
  <c r="H1820" i="7"/>
  <c r="U1820" i="7" s="1"/>
  <c r="E1820" i="7"/>
  <c r="F1820" i="7" s="1"/>
  <c r="C1820" i="7"/>
  <c r="L1819" i="7"/>
  <c r="K1819" i="7"/>
  <c r="H1819" i="7"/>
  <c r="U1819" i="7" s="1"/>
  <c r="C1819" i="7"/>
  <c r="E1819" i="7" s="1"/>
  <c r="F1819" i="7" s="1"/>
  <c r="L1818" i="7"/>
  <c r="K1818" i="7"/>
  <c r="H1818" i="7"/>
  <c r="U1818" i="7" s="1"/>
  <c r="C1818" i="7"/>
  <c r="E1818" i="7" s="1"/>
  <c r="F1818" i="7" s="1"/>
  <c r="U1817" i="7"/>
  <c r="L1817" i="7"/>
  <c r="K1817" i="7"/>
  <c r="H1817" i="7"/>
  <c r="E1817" i="7"/>
  <c r="F1817" i="7" s="1"/>
  <c r="C1817" i="7"/>
  <c r="L1816" i="7"/>
  <c r="K1816" i="7"/>
  <c r="H1816" i="7"/>
  <c r="U1816" i="7" s="1"/>
  <c r="C1816" i="7"/>
  <c r="E1816" i="7" s="1"/>
  <c r="F1816" i="7" s="1"/>
  <c r="L1815" i="7"/>
  <c r="K1815" i="7"/>
  <c r="H1815" i="7"/>
  <c r="U1815" i="7" s="1"/>
  <c r="E1815" i="7"/>
  <c r="F1815" i="7" s="1"/>
  <c r="C1815" i="7"/>
  <c r="L1814" i="7"/>
  <c r="K1814" i="7"/>
  <c r="H1814" i="7"/>
  <c r="U1814" i="7" s="1"/>
  <c r="E1814" i="7"/>
  <c r="F1814" i="7" s="1"/>
  <c r="C1814" i="7"/>
  <c r="L1813" i="7"/>
  <c r="K1813" i="7"/>
  <c r="H1813" i="7"/>
  <c r="U1813" i="7" s="1"/>
  <c r="E1813" i="7"/>
  <c r="F1813" i="7" s="1"/>
  <c r="C1813" i="7"/>
  <c r="L1812" i="7"/>
  <c r="K1812" i="7"/>
  <c r="H1812" i="7"/>
  <c r="U1812" i="7" s="1"/>
  <c r="E1812" i="7"/>
  <c r="F1812" i="7" s="1"/>
  <c r="C1812" i="7"/>
  <c r="L1811" i="7"/>
  <c r="K1811" i="7"/>
  <c r="H1811" i="7"/>
  <c r="U1811" i="7" s="1"/>
  <c r="C1811" i="7"/>
  <c r="E1811" i="7" s="1"/>
  <c r="F1811" i="7" s="1"/>
  <c r="L1810" i="7"/>
  <c r="K1810" i="7"/>
  <c r="H1810" i="7"/>
  <c r="U1810" i="7" s="1"/>
  <c r="C1810" i="7"/>
  <c r="E1810" i="7" s="1"/>
  <c r="F1810" i="7" s="1"/>
  <c r="L1809" i="7"/>
  <c r="K1809" i="7"/>
  <c r="H1809" i="7"/>
  <c r="U1809" i="7" s="1"/>
  <c r="C1809" i="7"/>
  <c r="E1809" i="7" s="1"/>
  <c r="F1809" i="7" s="1"/>
  <c r="L1808" i="7"/>
  <c r="K1808" i="7"/>
  <c r="H1808" i="7"/>
  <c r="U1808" i="7" s="1"/>
  <c r="E1808" i="7"/>
  <c r="F1808" i="7" s="1"/>
  <c r="C1808" i="7"/>
  <c r="L1807" i="7"/>
  <c r="K1807" i="7"/>
  <c r="H1807" i="7"/>
  <c r="U1807" i="7" s="1"/>
  <c r="C1807" i="7"/>
  <c r="E1807" i="7" s="1"/>
  <c r="F1807" i="7" s="1"/>
  <c r="L1806" i="7"/>
  <c r="K1806" i="7"/>
  <c r="H1806" i="7"/>
  <c r="U1806" i="7" s="1"/>
  <c r="C1806" i="7"/>
  <c r="E1806" i="7" s="1"/>
  <c r="F1806" i="7" s="1"/>
  <c r="U1805" i="7"/>
  <c r="L1805" i="7"/>
  <c r="K1805" i="7"/>
  <c r="H1805" i="7"/>
  <c r="C1805" i="7"/>
  <c r="E1805" i="7" s="1"/>
  <c r="F1805" i="7" s="1"/>
  <c r="L1804" i="7"/>
  <c r="K1804" i="7"/>
  <c r="H1804" i="7"/>
  <c r="U1804" i="7" s="1"/>
  <c r="C1804" i="7"/>
  <c r="E1804" i="7" s="1"/>
  <c r="F1804" i="7" s="1"/>
  <c r="L1803" i="7"/>
  <c r="K1803" i="7"/>
  <c r="H1803" i="7"/>
  <c r="U1803" i="7" s="1"/>
  <c r="C1803" i="7"/>
  <c r="E1803" i="7" s="1"/>
  <c r="F1803" i="7" s="1"/>
  <c r="L1802" i="7"/>
  <c r="K1802" i="7"/>
  <c r="H1802" i="7"/>
  <c r="U1802" i="7" s="1"/>
  <c r="E1802" i="7"/>
  <c r="F1802" i="7" s="1"/>
  <c r="C1802" i="7"/>
  <c r="U1801" i="7"/>
  <c r="L1801" i="7"/>
  <c r="K1801" i="7"/>
  <c r="H1801" i="7"/>
  <c r="C1801" i="7"/>
  <c r="E1801" i="7" s="1"/>
  <c r="F1801" i="7" s="1"/>
  <c r="U1800" i="7"/>
  <c r="L1800" i="7"/>
  <c r="K1800" i="7"/>
  <c r="H1800" i="7"/>
  <c r="E1800" i="7"/>
  <c r="F1800" i="7" s="1"/>
  <c r="C1800" i="7"/>
  <c r="L1799" i="7"/>
  <c r="K1799" i="7"/>
  <c r="H1799" i="7"/>
  <c r="U1799" i="7" s="1"/>
  <c r="C1799" i="7"/>
  <c r="E1799" i="7" s="1"/>
  <c r="F1799" i="7" s="1"/>
  <c r="L1798" i="7"/>
  <c r="K1798" i="7"/>
  <c r="H1798" i="7"/>
  <c r="U1798" i="7" s="1"/>
  <c r="C1798" i="7"/>
  <c r="E1798" i="7" s="1"/>
  <c r="F1798" i="7" s="1"/>
  <c r="L1797" i="7"/>
  <c r="K1797" i="7"/>
  <c r="H1797" i="7"/>
  <c r="U1797" i="7" s="1"/>
  <c r="E1797" i="7"/>
  <c r="F1797" i="7" s="1"/>
  <c r="C1797" i="7"/>
  <c r="L1796" i="7"/>
  <c r="K1796" i="7"/>
  <c r="H1796" i="7"/>
  <c r="U1796" i="7" s="1"/>
  <c r="C1796" i="7"/>
  <c r="E1796" i="7" s="1"/>
  <c r="F1796" i="7" s="1"/>
  <c r="L1795" i="7"/>
  <c r="K1795" i="7"/>
  <c r="H1795" i="7"/>
  <c r="U1795" i="7" s="1"/>
  <c r="C1795" i="7"/>
  <c r="E1795" i="7" s="1"/>
  <c r="F1795" i="7" s="1"/>
  <c r="L1794" i="7"/>
  <c r="K1794" i="7"/>
  <c r="H1794" i="7"/>
  <c r="U1794" i="7" s="1"/>
  <c r="E1794" i="7"/>
  <c r="F1794" i="7" s="1"/>
  <c r="C1794" i="7"/>
  <c r="L1793" i="7"/>
  <c r="K1793" i="7"/>
  <c r="H1793" i="7"/>
  <c r="U1793" i="7" s="1"/>
  <c r="C1793" i="7"/>
  <c r="E1793" i="7" s="1"/>
  <c r="F1793" i="7" s="1"/>
  <c r="U1792" i="7"/>
  <c r="L1792" i="7"/>
  <c r="K1792" i="7"/>
  <c r="H1792" i="7"/>
  <c r="E1792" i="7"/>
  <c r="F1792" i="7" s="1"/>
  <c r="C1792" i="7"/>
  <c r="L1791" i="7"/>
  <c r="K1791" i="7"/>
  <c r="H1791" i="7"/>
  <c r="U1791" i="7" s="1"/>
  <c r="C1791" i="7"/>
  <c r="E1791" i="7" s="1"/>
  <c r="F1791" i="7" s="1"/>
  <c r="L1790" i="7"/>
  <c r="K1790" i="7"/>
  <c r="H1790" i="7"/>
  <c r="U1790" i="7" s="1"/>
  <c r="C1790" i="7"/>
  <c r="E1790" i="7" s="1"/>
  <c r="F1790" i="7" s="1"/>
  <c r="U1789" i="7"/>
  <c r="L1789" i="7"/>
  <c r="K1789" i="7"/>
  <c r="H1789" i="7"/>
  <c r="C1789" i="7"/>
  <c r="E1789" i="7" s="1"/>
  <c r="F1789" i="7" s="1"/>
  <c r="L1788" i="7"/>
  <c r="K1788" i="7"/>
  <c r="H1788" i="7"/>
  <c r="U1788" i="7" s="1"/>
  <c r="E1788" i="7"/>
  <c r="F1788" i="7" s="1"/>
  <c r="C1788" i="7"/>
  <c r="L1787" i="7"/>
  <c r="K1787" i="7"/>
  <c r="H1787" i="7"/>
  <c r="U1787" i="7" s="1"/>
  <c r="C1787" i="7"/>
  <c r="E1787" i="7" s="1"/>
  <c r="F1787" i="7" s="1"/>
  <c r="L1786" i="7"/>
  <c r="K1786" i="7"/>
  <c r="H1786" i="7"/>
  <c r="U1786" i="7" s="1"/>
  <c r="C1786" i="7"/>
  <c r="E1786" i="7" s="1"/>
  <c r="F1786" i="7" s="1"/>
  <c r="L1785" i="7"/>
  <c r="K1785" i="7"/>
  <c r="H1785" i="7"/>
  <c r="U1785" i="7" s="1"/>
  <c r="C1785" i="7"/>
  <c r="E1785" i="7" s="1"/>
  <c r="F1785" i="7" s="1"/>
  <c r="L1784" i="7"/>
  <c r="K1784" i="7"/>
  <c r="H1784" i="7"/>
  <c r="U1784" i="7" s="1"/>
  <c r="C1784" i="7"/>
  <c r="E1784" i="7" s="1"/>
  <c r="F1784" i="7" s="1"/>
  <c r="L1783" i="7"/>
  <c r="K1783" i="7"/>
  <c r="H1783" i="7"/>
  <c r="U1783" i="7" s="1"/>
  <c r="E1783" i="7"/>
  <c r="F1783" i="7" s="1"/>
  <c r="C1783" i="7"/>
  <c r="L1782" i="7"/>
  <c r="K1782" i="7"/>
  <c r="H1782" i="7"/>
  <c r="U1782" i="7" s="1"/>
  <c r="C1782" i="7"/>
  <c r="E1782" i="7" s="1"/>
  <c r="F1782" i="7" s="1"/>
  <c r="U1781" i="7"/>
  <c r="L1781" i="7"/>
  <c r="K1781" i="7"/>
  <c r="H1781" i="7"/>
  <c r="C1781" i="7"/>
  <c r="E1781" i="7" s="1"/>
  <c r="F1781" i="7" s="1"/>
  <c r="L1780" i="7"/>
  <c r="K1780" i="7"/>
  <c r="H1780" i="7"/>
  <c r="U1780" i="7" s="1"/>
  <c r="C1780" i="7"/>
  <c r="E1780" i="7" s="1"/>
  <c r="F1780" i="7" s="1"/>
  <c r="L1779" i="7"/>
  <c r="K1779" i="7"/>
  <c r="H1779" i="7"/>
  <c r="U1779" i="7" s="1"/>
  <c r="C1779" i="7"/>
  <c r="E1779" i="7" s="1"/>
  <c r="F1779" i="7" s="1"/>
  <c r="L1778" i="7"/>
  <c r="K1778" i="7"/>
  <c r="H1778" i="7"/>
  <c r="U1778" i="7" s="1"/>
  <c r="C1778" i="7"/>
  <c r="E1778" i="7" s="1"/>
  <c r="F1778" i="7" s="1"/>
  <c r="L1777" i="7"/>
  <c r="K1777" i="7"/>
  <c r="H1777" i="7"/>
  <c r="U1777" i="7" s="1"/>
  <c r="E1777" i="7"/>
  <c r="F1777" i="7" s="1"/>
  <c r="C1777" i="7"/>
  <c r="U1776" i="7"/>
  <c r="L1776" i="7"/>
  <c r="K1776" i="7"/>
  <c r="H1776" i="7"/>
  <c r="C1776" i="7"/>
  <c r="E1776" i="7" s="1"/>
  <c r="F1776" i="7" s="1"/>
  <c r="L1775" i="7"/>
  <c r="K1775" i="7"/>
  <c r="H1775" i="7"/>
  <c r="U1775" i="7" s="1"/>
  <c r="C1775" i="7"/>
  <c r="E1775" i="7" s="1"/>
  <c r="F1775" i="7" s="1"/>
  <c r="L1774" i="7"/>
  <c r="K1774" i="7"/>
  <c r="H1774" i="7"/>
  <c r="U1774" i="7" s="1"/>
  <c r="C1774" i="7"/>
  <c r="E1774" i="7" s="1"/>
  <c r="F1774" i="7" s="1"/>
  <c r="L1773" i="7"/>
  <c r="K1773" i="7"/>
  <c r="H1773" i="7"/>
  <c r="U1773" i="7" s="1"/>
  <c r="C1773" i="7"/>
  <c r="E1773" i="7" s="1"/>
  <c r="F1773" i="7" s="1"/>
  <c r="L1772" i="7"/>
  <c r="K1772" i="7"/>
  <c r="H1772" i="7"/>
  <c r="U1772" i="7" s="1"/>
  <c r="C1772" i="7"/>
  <c r="E1772" i="7" s="1"/>
  <c r="F1772" i="7" s="1"/>
  <c r="L1771" i="7"/>
  <c r="K1771" i="7"/>
  <c r="H1771" i="7"/>
  <c r="U1771" i="7" s="1"/>
  <c r="E1771" i="7"/>
  <c r="F1771" i="7" s="1"/>
  <c r="C1771" i="7"/>
  <c r="L1770" i="7"/>
  <c r="K1770" i="7"/>
  <c r="H1770" i="7"/>
  <c r="U1770" i="7" s="1"/>
  <c r="C1770" i="7"/>
  <c r="E1770" i="7" s="1"/>
  <c r="F1770" i="7" s="1"/>
  <c r="L1769" i="7"/>
  <c r="K1769" i="7"/>
  <c r="H1769" i="7"/>
  <c r="U1769" i="7" s="1"/>
  <c r="C1769" i="7"/>
  <c r="E1769" i="7" s="1"/>
  <c r="F1769" i="7" s="1"/>
  <c r="L1768" i="7"/>
  <c r="K1768" i="7"/>
  <c r="H1768" i="7"/>
  <c r="U1768" i="7" s="1"/>
  <c r="C1768" i="7"/>
  <c r="E1768" i="7" s="1"/>
  <c r="F1768" i="7" s="1"/>
  <c r="L1767" i="7"/>
  <c r="K1767" i="7"/>
  <c r="H1767" i="7"/>
  <c r="U1767" i="7" s="1"/>
  <c r="C1767" i="7"/>
  <c r="E1767" i="7" s="1"/>
  <c r="F1767" i="7" s="1"/>
  <c r="L1766" i="7"/>
  <c r="K1766" i="7"/>
  <c r="H1766" i="7"/>
  <c r="U1766" i="7" s="1"/>
  <c r="C1766" i="7"/>
  <c r="E1766" i="7" s="1"/>
  <c r="F1766" i="7" s="1"/>
  <c r="L1765" i="7"/>
  <c r="K1765" i="7"/>
  <c r="H1765" i="7"/>
  <c r="U1765" i="7" s="1"/>
  <c r="C1765" i="7"/>
  <c r="E1765" i="7" s="1"/>
  <c r="F1765" i="7" s="1"/>
  <c r="L1764" i="7"/>
  <c r="K1764" i="7"/>
  <c r="H1764" i="7"/>
  <c r="U1764" i="7" s="1"/>
  <c r="E1764" i="7"/>
  <c r="F1764" i="7" s="1"/>
  <c r="C1764" i="7"/>
  <c r="L1763" i="7"/>
  <c r="K1763" i="7"/>
  <c r="H1763" i="7"/>
  <c r="U1763" i="7" s="1"/>
  <c r="C1763" i="7"/>
  <c r="E1763" i="7" s="1"/>
  <c r="F1763" i="7" s="1"/>
  <c r="L1762" i="7"/>
  <c r="K1762" i="7"/>
  <c r="H1762" i="7"/>
  <c r="U1762" i="7" s="1"/>
  <c r="E1762" i="7"/>
  <c r="F1762" i="7" s="1"/>
  <c r="C1762" i="7"/>
  <c r="L1761" i="7"/>
  <c r="K1761" i="7"/>
  <c r="H1761" i="7"/>
  <c r="U1761" i="7" s="1"/>
  <c r="C1761" i="7"/>
  <c r="E1761" i="7" s="1"/>
  <c r="F1761" i="7" s="1"/>
  <c r="L1760" i="7"/>
  <c r="K1760" i="7"/>
  <c r="H1760" i="7"/>
  <c r="U1760" i="7" s="1"/>
  <c r="E1760" i="7"/>
  <c r="F1760" i="7" s="1"/>
  <c r="C1760" i="7"/>
  <c r="L1759" i="7"/>
  <c r="K1759" i="7"/>
  <c r="H1759" i="7"/>
  <c r="U1759" i="7" s="1"/>
  <c r="E1759" i="7"/>
  <c r="F1759" i="7" s="1"/>
  <c r="C1759" i="7"/>
  <c r="L1758" i="7"/>
  <c r="K1758" i="7"/>
  <c r="H1758" i="7"/>
  <c r="U1758" i="7" s="1"/>
  <c r="E1758" i="7"/>
  <c r="F1758" i="7" s="1"/>
  <c r="C1758" i="7"/>
  <c r="L1757" i="7"/>
  <c r="K1757" i="7"/>
  <c r="H1757" i="7"/>
  <c r="U1757" i="7" s="1"/>
  <c r="C1757" i="7"/>
  <c r="E1757" i="7" s="1"/>
  <c r="F1757" i="7" s="1"/>
  <c r="U1756" i="7"/>
  <c r="L1756" i="7"/>
  <c r="K1756" i="7"/>
  <c r="H1756" i="7"/>
  <c r="C1756" i="7"/>
  <c r="E1756" i="7" s="1"/>
  <c r="F1756" i="7" s="1"/>
  <c r="L1755" i="7"/>
  <c r="K1755" i="7"/>
  <c r="H1755" i="7"/>
  <c r="U1755" i="7" s="1"/>
  <c r="C1755" i="7"/>
  <c r="E1755" i="7" s="1"/>
  <c r="F1755" i="7" s="1"/>
  <c r="L1754" i="7"/>
  <c r="K1754" i="7"/>
  <c r="H1754" i="7"/>
  <c r="U1754" i="7" s="1"/>
  <c r="C1754" i="7"/>
  <c r="E1754" i="7" s="1"/>
  <c r="F1754" i="7" s="1"/>
  <c r="L1753" i="7"/>
  <c r="K1753" i="7"/>
  <c r="H1753" i="7"/>
  <c r="U1753" i="7" s="1"/>
  <c r="E1753" i="7"/>
  <c r="F1753" i="7" s="1"/>
  <c r="C1753" i="7"/>
  <c r="U1752" i="7"/>
  <c r="L1752" i="7"/>
  <c r="K1752" i="7"/>
  <c r="H1752" i="7"/>
  <c r="C1752" i="7"/>
  <c r="E1752" i="7" s="1"/>
  <c r="F1752" i="7" s="1"/>
  <c r="L1751" i="7"/>
  <c r="K1751" i="7"/>
  <c r="H1751" i="7"/>
  <c r="U1751" i="7" s="1"/>
  <c r="C1751" i="7"/>
  <c r="E1751" i="7" s="1"/>
  <c r="F1751" i="7" s="1"/>
  <c r="L1750" i="7"/>
  <c r="K1750" i="7"/>
  <c r="H1750" i="7"/>
  <c r="U1750" i="7" s="1"/>
  <c r="C1750" i="7"/>
  <c r="E1750" i="7" s="1"/>
  <c r="F1750" i="7" s="1"/>
  <c r="L1749" i="7"/>
  <c r="K1749" i="7"/>
  <c r="H1749" i="7"/>
  <c r="U1749" i="7" s="1"/>
  <c r="C1749" i="7"/>
  <c r="E1749" i="7" s="1"/>
  <c r="F1749" i="7" s="1"/>
  <c r="L1748" i="7"/>
  <c r="K1748" i="7"/>
  <c r="H1748" i="7"/>
  <c r="U1748" i="7" s="1"/>
  <c r="C1748" i="7"/>
  <c r="E1748" i="7" s="1"/>
  <c r="F1748" i="7" s="1"/>
  <c r="L1747" i="7"/>
  <c r="K1747" i="7"/>
  <c r="H1747" i="7"/>
  <c r="U1747" i="7" s="1"/>
  <c r="C1747" i="7"/>
  <c r="E1747" i="7" s="1"/>
  <c r="F1747" i="7" s="1"/>
  <c r="L1746" i="7"/>
  <c r="K1746" i="7"/>
  <c r="H1746" i="7"/>
  <c r="U1746" i="7" s="1"/>
  <c r="C1746" i="7"/>
  <c r="E1746" i="7" s="1"/>
  <c r="F1746" i="7" s="1"/>
  <c r="L1745" i="7"/>
  <c r="K1745" i="7"/>
  <c r="H1745" i="7"/>
  <c r="U1745" i="7" s="1"/>
  <c r="C1745" i="7"/>
  <c r="E1745" i="7" s="1"/>
  <c r="F1745" i="7" s="1"/>
  <c r="U1744" i="7"/>
  <c r="L1744" i="7"/>
  <c r="K1744" i="7"/>
  <c r="H1744" i="7"/>
  <c r="C1744" i="7"/>
  <c r="E1744" i="7" s="1"/>
  <c r="F1744" i="7" s="1"/>
  <c r="L1743" i="7"/>
  <c r="K1743" i="7"/>
  <c r="H1743" i="7"/>
  <c r="U1743" i="7" s="1"/>
  <c r="E1743" i="7"/>
  <c r="F1743" i="7" s="1"/>
  <c r="C1743" i="7"/>
  <c r="L1742" i="7"/>
  <c r="K1742" i="7"/>
  <c r="H1742" i="7"/>
  <c r="U1742" i="7" s="1"/>
  <c r="E1742" i="7"/>
  <c r="F1742" i="7" s="1"/>
  <c r="C1742" i="7"/>
  <c r="L1741" i="7"/>
  <c r="K1741" i="7"/>
  <c r="H1741" i="7"/>
  <c r="U1741" i="7" s="1"/>
  <c r="C1741" i="7"/>
  <c r="E1741" i="7" s="1"/>
  <c r="F1741" i="7" s="1"/>
  <c r="L1740" i="7"/>
  <c r="K1740" i="7"/>
  <c r="H1740" i="7"/>
  <c r="U1740" i="7" s="1"/>
  <c r="E1740" i="7"/>
  <c r="F1740" i="7" s="1"/>
  <c r="C1740" i="7"/>
  <c r="L1739" i="7"/>
  <c r="K1739" i="7"/>
  <c r="H1739" i="7"/>
  <c r="U1739" i="7" s="1"/>
  <c r="E1739" i="7"/>
  <c r="F1739" i="7" s="1"/>
  <c r="C1739" i="7"/>
  <c r="L1738" i="7"/>
  <c r="K1738" i="7"/>
  <c r="H1738" i="7"/>
  <c r="U1738" i="7" s="1"/>
  <c r="C1738" i="7"/>
  <c r="E1738" i="7" s="1"/>
  <c r="F1738" i="7" s="1"/>
  <c r="L1737" i="7"/>
  <c r="K1737" i="7"/>
  <c r="H1737" i="7"/>
  <c r="U1737" i="7" s="1"/>
  <c r="C1737" i="7"/>
  <c r="E1737" i="7" s="1"/>
  <c r="F1737" i="7" s="1"/>
  <c r="U1736" i="7"/>
  <c r="L1736" i="7"/>
  <c r="K1736" i="7"/>
  <c r="H1736" i="7"/>
  <c r="E1736" i="7"/>
  <c r="F1736" i="7" s="1"/>
  <c r="C1736" i="7"/>
  <c r="L1735" i="7"/>
  <c r="K1735" i="7"/>
  <c r="H1735" i="7"/>
  <c r="U1735" i="7" s="1"/>
  <c r="E1735" i="7"/>
  <c r="F1735" i="7" s="1"/>
  <c r="C1735" i="7"/>
  <c r="L1734" i="7"/>
  <c r="K1734" i="7"/>
  <c r="H1734" i="7"/>
  <c r="U1734" i="7" s="1"/>
  <c r="C1734" i="7"/>
  <c r="E1734" i="7" s="1"/>
  <c r="F1734" i="7" s="1"/>
  <c r="U1733" i="7"/>
  <c r="L1733" i="7"/>
  <c r="K1733" i="7"/>
  <c r="H1733" i="7"/>
  <c r="C1733" i="7"/>
  <c r="E1733" i="7" s="1"/>
  <c r="F1733" i="7" s="1"/>
  <c r="L1732" i="7"/>
  <c r="K1732" i="7"/>
  <c r="H1732" i="7"/>
  <c r="U1732" i="7" s="1"/>
  <c r="C1732" i="7"/>
  <c r="E1732" i="7" s="1"/>
  <c r="F1732" i="7" s="1"/>
  <c r="L1731" i="7"/>
  <c r="K1731" i="7"/>
  <c r="H1731" i="7"/>
  <c r="U1731" i="7" s="1"/>
  <c r="C1731" i="7"/>
  <c r="E1731" i="7" s="1"/>
  <c r="F1731" i="7" s="1"/>
  <c r="L1730" i="7"/>
  <c r="K1730" i="7"/>
  <c r="H1730" i="7"/>
  <c r="U1730" i="7" s="1"/>
  <c r="C1730" i="7"/>
  <c r="E1730" i="7" s="1"/>
  <c r="F1730" i="7" s="1"/>
  <c r="L1729" i="7"/>
  <c r="K1729" i="7"/>
  <c r="H1729" i="7"/>
  <c r="U1729" i="7" s="1"/>
  <c r="C1729" i="7"/>
  <c r="E1729" i="7" s="1"/>
  <c r="F1729" i="7" s="1"/>
  <c r="U1728" i="7"/>
  <c r="L1728" i="7"/>
  <c r="K1728" i="7"/>
  <c r="H1728" i="7"/>
  <c r="C1728" i="7"/>
  <c r="E1728" i="7" s="1"/>
  <c r="F1728" i="7" s="1"/>
  <c r="L1727" i="7"/>
  <c r="K1727" i="7"/>
  <c r="H1727" i="7"/>
  <c r="U1727" i="7" s="1"/>
  <c r="C1727" i="7"/>
  <c r="E1727" i="7" s="1"/>
  <c r="F1727" i="7" s="1"/>
  <c r="L1726" i="7"/>
  <c r="K1726" i="7"/>
  <c r="H1726" i="7"/>
  <c r="U1726" i="7" s="1"/>
  <c r="E1726" i="7"/>
  <c r="F1726" i="7" s="1"/>
  <c r="C1726" i="7"/>
  <c r="L1725" i="7"/>
  <c r="K1725" i="7"/>
  <c r="H1725" i="7"/>
  <c r="U1725" i="7" s="1"/>
  <c r="E1725" i="7"/>
  <c r="F1725" i="7" s="1"/>
  <c r="C1725" i="7"/>
  <c r="U1724" i="7"/>
  <c r="L1724" i="7"/>
  <c r="K1724" i="7"/>
  <c r="H1724" i="7"/>
  <c r="C1724" i="7"/>
  <c r="E1724" i="7" s="1"/>
  <c r="F1724" i="7" s="1"/>
  <c r="L1723" i="7"/>
  <c r="K1723" i="7"/>
  <c r="H1723" i="7"/>
  <c r="U1723" i="7" s="1"/>
  <c r="E1723" i="7"/>
  <c r="F1723" i="7" s="1"/>
  <c r="C1723" i="7"/>
  <c r="L1722" i="7"/>
  <c r="K1722" i="7"/>
  <c r="H1722" i="7"/>
  <c r="U1722" i="7" s="1"/>
  <c r="C1722" i="7"/>
  <c r="E1722" i="7" s="1"/>
  <c r="F1722" i="7" s="1"/>
  <c r="L1721" i="7"/>
  <c r="K1721" i="7"/>
  <c r="H1721" i="7"/>
  <c r="U1721" i="7" s="1"/>
  <c r="E1721" i="7"/>
  <c r="F1721" i="7" s="1"/>
  <c r="C1721" i="7"/>
  <c r="L1720" i="7"/>
  <c r="K1720" i="7"/>
  <c r="H1720" i="7"/>
  <c r="U1720" i="7" s="1"/>
  <c r="C1720" i="7"/>
  <c r="E1720" i="7" s="1"/>
  <c r="F1720" i="7" s="1"/>
  <c r="L1719" i="7"/>
  <c r="K1719" i="7"/>
  <c r="H1719" i="7"/>
  <c r="U1719" i="7" s="1"/>
  <c r="C1719" i="7"/>
  <c r="E1719" i="7" s="1"/>
  <c r="F1719" i="7" s="1"/>
  <c r="L1718" i="7"/>
  <c r="K1718" i="7"/>
  <c r="H1718" i="7"/>
  <c r="U1718" i="7" s="1"/>
  <c r="C1718" i="7"/>
  <c r="E1718" i="7" s="1"/>
  <c r="F1718" i="7" s="1"/>
  <c r="L1717" i="7"/>
  <c r="K1717" i="7"/>
  <c r="H1717" i="7"/>
  <c r="U1717" i="7" s="1"/>
  <c r="C1717" i="7"/>
  <c r="E1717" i="7" s="1"/>
  <c r="F1717" i="7" s="1"/>
  <c r="L1716" i="7"/>
  <c r="K1716" i="7"/>
  <c r="H1716" i="7"/>
  <c r="U1716" i="7" s="1"/>
  <c r="C1716" i="7"/>
  <c r="E1716" i="7" s="1"/>
  <c r="F1716" i="7" s="1"/>
  <c r="L1715" i="7"/>
  <c r="K1715" i="7"/>
  <c r="H1715" i="7"/>
  <c r="U1715" i="7" s="1"/>
  <c r="E1715" i="7"/>
  <c r="F1715" i="7" s="1"/>
  <c r="C1715" i="7"/>
  <c r="L1714" i="7"/>
  <c r="K1714" i="7"/>
  <c r="H1714" i="7"/>
  <c r="U1714" i="7" s="1"/>
  <c r="E1714" i="7"/>
  <c r="F1714" i="7" s="1"/>
  <c r="C1714" i="7"/>
  <c r="L1713" i="7"/>
  <c r="K1713" i="7"/>
  <c r="H1713" i="7"/>
  <c r="U1713" i="7" s="1"/>
  <c r="E1713" i="7"/>
  <c r="F1713" i="7" s="1"/>
  <c r="C1713" i="7"/>
  <c r="L1712" i="7"/>
  <c r="K1712" i="7"/>
  <c r="H1712" i="7"/>
  <c r="U1712" i="7" s="1"/>
  <c r="C1712" i="7"/>
  <c r="E1712" i="7" s="1"/>
  <c r="F1712" i="7" s="1"/>
  <c r="L1711" i="7"/>
  <c r="K1711" i="7"/>
  <c r="H1711" i="7"/>
  <c r="U1711" i="7" s="1"/>
  <c r="C1711" i="7"/>
  <c r="E1711" i="7" s="1"/>
  <c r="F1711" i="7" s="1"/>
  <c r="L1710" i="7"/>
  <c r="K1710" i="7"/>
  <c r="H1710" i="7"/>
  <c r="U1710" i="7" s="1"/>
  <c r="C1710" i="7"/>
  <c r="E1710" i="7" s="1"/>
  <c r="F1710" i="7" s="1"/>
  <c r="U1709" i="7"/>
  <c r="L1709" i="7"/>
  <c r="K1709" i="7"/>
  <c r="H1709" i="7"/>
  <c r="C1709" i="7"/>
  <c r="E1709" i="7" s="1"/>
  <c r="F1709" i="7" s="1"/>
  <c r="L1708" i="7"/>
  <c r="K1708" i="7"/>
  <c r="H1708" i="7"/>
  <c r="U1708" i="7" s="1"/>
  <c r="E1708" i="7"/>
  <c r="F1708" i="7" s="1"/>
  <c r="C1708" i="7"/>
  <c r="L1707" i="7"/>
  <c r="K1707" i="7"/>
  <c r="H1707" i="7"/>
  <c r="U1707" i="7" s="1"/>
  <c r="C1707" i="7"/>
  <c r="E1707" i="7" s="1"/>
  <c r="F1707" i="7" s="1"/>
  <c r="L1706" i="7"/>
  <c r="K1706" i="7"/>
  <c r="H1706" i="7"/>
  <c r="U1706" i="7" s="1"/>
  <c r="E1706" i="7"/>
  <c r="F1706" i="7" s="1"/>
  <c r="C1706" i="7"/>
  <c r="L1705" i="7"/>
  <c r="K1705" i="7"/>
  <c r="H1705" i="7"/>
  <c r="U1705" i="7" s="1"/>
  <c r="E1705" i="7"/>
  <c r="F1705" i="7" s="1"/>
  <c r="C1705" i="7"/>
  <c r="U1704" i="7"/>
  <c r="L1704" i="7"/>
  <c r="K1704" i="7"/>
  <c r="H1704" i="7"/>
  <c r="E1704" i="7"/>
  <c r="F1704" i="7" s="1"/>
  <c r="C1704" i="7"/>
  <c r="L1703" i="7"/>
  <c r="K1703" i="7"/>
  <c r="H1703" i="7"/>
  <c r="U1703" i="7" s="1"/>
  <c r="C1703" i="7"/>
  <c r="E1703" i="7" s="1"/>
  <c r="F1703" i="7" s="1"/>
  <c r="L1702" i="7"/>
  <c r="K1702" i="7"/>
  <c r="H1702" i="7"/>
  <c r="U1702" i="7" s="1"/>
  <c r="C1702" i="7"/>
  <c r="E1702" i="7" s="1"/>
  <c r="F1702" i="7" s="1"/>
  <c r="L1701" i="7"/>
  <c r="K1701" i="7"/>
  <c r="H1701" i="7"/>
  <c r="U1701" i="7" s="1"/>
  <c r="C1701" i="7"/>
  <c r="E1701" i="7" s="1"/>
  <c r="F1701" i="7" s="1"/>
  <c r="L1700" i="7"/>
  <c r="K1700" i="7"/>
  <c r="H1700" i="7"/>
  <c r="U1700" i="7" s="1"/>
  <c r="C1700" i="7"/>
  <c r="E1700" i="7" s="1"/>
  <c r="F1700" i="7" s="1"/>
  <c r="L1699" i="7"/>
  <c r="K1699" i="7"/>
  <c r="H1699" i="7"/>
  <c r="U1699" i="7" s="1"/>
  <c r="C1699" i="7"/>
  <c r="E1699" i="7" s="1"/>
  <c r="F1699" i="7" s="1"/>
  <c r="L1698" i="7"/>
  <c r="K1698" i="7"/>
  <c r="H1698" i="7"/>
  <c r="U1698" i="7" s="1"/>
  <c r="C1698" i="7"/>
  <c r="E1698" i="7" s="1"/>
  <c r="F1698" i="7" s="1"/>
  <c r="L1697" i="7"/>
  <c r="K1697" i="7"/>
  <c r="H1697" i="7"/>
  <c r="U1697" i="7" s="1"/>
  <c r="C1697" i="7"/>
  <c r="E1697" i="7" s="1"/>
  <c r="F1697" i="7" s="1"/>
  <c r="U1696" i="7"/>
  <c r="L1696" i="7"/>
  <c r="K1696" i="7"/>
  <c r="H1696" i="7"/>
  <c r="E1696" i="7"/>
  <c r="F1696" i="7" s="1"/>
  <c r="C1696" i="7"/>
  <c r="L1695" i="7"/>
  <c r="K1695" i="7"/>
  <c r="H1695" i="7"/>
  <c r="U1695" i="7" s="1"/>
  <c r="E1695" i="7"/>
  <c r="F1695" i="7" s="1"/>
  <c r="C1695" i="7"/>
  <c r="L1694" i="7"/>
  <c r="K1694" i="7"/>
  <c r="H1694" i="7"/>
  <c r="U1694" i="7" s="1"/>
  <c r="E1694" i="7"/>
  <c r="F1694" i="7" s="1"/>
  <c r="C1694" i="7"/>
  <c r="L1693" i="7"/>
  <c r="K1693" i="7"/>
  <c r="H1693" i="7"/>
  <c r="U1693" i="7" s="1"/>
  <c r="C1693" i="7"/>
  <c r="E1693" i="7" s="1"/>
  <c r="F1693" i="7" s="1"/>
  <c r="U1692" i="7"/>
  <c r="L1692" i="7"/>
  <c r="K1692" i="7"/>
  <c r="H1692" i="7"/>
  <c r="E1692" i="7"/>
  <c r="F1692" i="7" s="1"/>
  <c r="C1692" i="7"/>
  <c r="L1691" i="7"/>
  <c r="K1691" i="7"/>
  <c r="H1691" i="7"/>
  <c r="U1691" i="7" s="1"/>
  <c r="C1691" i="7"/>
  <c r="E1691" i="7" s="1"/>
  <c r="F1691" i="7" s="1"/>
  <c r="L1690" i="7"/>
  <c r="K1690" i="7"/>
  <c r="H1690" i="7"/>
  <c r="U1690" i="7" s="1"/>
  <c r="E1690" i="7"/>
  <c r="F1690" i="7" s="1"/>
  <c r="C1690" i="7"/>
  <c r="L1689" i="7"/>
  <c r="K1689" i="7"/>
  <c r="H1689" i="7"/>
  <c r="U1689" i="7" s="1"/>
  <c r="C1689" i="7"/>
  <c r="E1689" i="7" s="1"/>
  <c r="F1689" i="7" s="1"/>
  <c r="L1688" i="7"/>
  <c r="K1688" i="7"/>
  <c r="H1688" i="7"/>
  <c r="U1688" i="7" s="1"/>
  <c r="C1688" i="7"/>
  <c r="E1688" i="7" s="1"/>
  <c r="F1688" i="7" s="1"/>
  <c r="L1687" i="7"/>
  <c r="K1687" i="7"/>
  <c r="H1687" i="7"/>
  <c r="U1687" i="7" s="1"/>
  <c r="C1687" i="7"/>
  <c r="E1687" i="7" s="1"/>
  <c r="F1687" i="7" s="1"/>
  <c r="L1686" i="7"/>
  <c r="K1686" i="7"/>
  <c r="H1686" i="7"/>
  <c r="U1686" i="7" s="1"/>
  <c r="C1686" i="7"/>
  <c r="E1686" i="7" s="1"/>
  <c r="F1686" i="7" s="1"/>
  <c r="L1685" i="7"/>
  <c r="K1685" i="7"/>
  <c r="H1685" i="7"/>
  <c r="U1685" i="7" s="1"/>
  <c r="C1685" i="7"/>
  <c r="E1685" i="7" s="1"/>
  <c r="F1685" i="7" s="1"/>
  <c r="L1684" i="7"/>
  <c r="K1684" i="7"/>
  <c r="H1684" i="7"/>
  <c r="U1684" i="7" s="1"/>
  <c r="C1684" i="7"/>
  <c r="E1684" i="7" s="1"/>
  <c r="F1684" i="7" s="1"/>
  <c r="L1683" i="7"/>
  <c r="K1683" i="7"/>
  <c r="H1683" i="7"/>
  <c r="U1683" i="7" s="1"/>
  <c r="C1683" i="7"/>
  <c r="E1683" i="7" s="1"/>
  <c r="F1683" i="7" s="1"/>
  <c r="L1682" i="7"/>
  <c r="K1682" i="7"/>
  <c r="H1682" i="7"/>
  <c r="U1682" i="7" s="1"/>
  <c r="C1682" i="7"/>
  <c r="E1682" i="7" s="1"/>
  <c r="F1682" i="7" s="1"/>
  <c r="U1681" i="7"/>
  <c r="L1681" i="7"/>
  <c r="K1681" i="7"/>
  <c r="H1681" i="7"/>
  <c r="C1681" i="7"/>
  <c r="E1681" i="7" s="1"/>
  <c r="F1681" i="7" s="1"/>
  <c r="L1680" i="7"/>
  <c r="K1680" i="7"/>
  <c r="H1680" i="7"/>
  <c r="U1680" i="7" s="1"/>
  <c r="C1680" i="7"/>
  <c r="E1680" i="7" s="1"/>
  <c r="F1680" i="7" s="1"/>
  <c r="L1679" i="7"/>
  <c r="K1679" i="7"/>
  <c r="H1679" i="7"/>
  <c r="U1679" i="7" s="1"/>
  <c r="C1679" i="7"/>
  <c r="E1679" i="7" s="1"/>
  <c r="F1679" i="7" s="1"/>
  <c r="L1678" i="7"/>
  <c r="K1678" i="7"/>
  <c r="H1678" i="7"/>
  <c r="U1678" i="7" s="1"/>
  <c r="E1678" i="7"/>
  <c r="F1678" i="7" s="1"/>
  <c r="C1678" i="7"/>
  <c r="L1677" i="7"/>
  <c r="K1677" i="7"/>
  <c r="H1677" i="7"/>
  <c r="U1677" i="7" s="1"/>
  <c r="E1677" i="7"/>
  <c r="F1677" i="7" s="1"/>
  <c r="C1677" i="7"/>
  <c r="U1676" i="7"/>
  <c r="L1676" i="7"/>
  <c r="K1676" i="7"/>
  <c r="H1676" i="7"/>
  <c r="C1676" i="7"/>
  <c r="E1676" i="7" s="1"/>
  <c r="F1676" i="7" s="1"/>
  <c r="L1675" i="7"/>
  <c r="K1675" i="7"/>
  <c r="H1675" i="7"/>
  <c r="U1675" i="7" s="1"/>
  <c r="C1675" i="7"/>
  <c r="E1675" i="7" s="1"/>
  <c r="F1675" i="7" s="1"/>
  <c r="L1674" i="7"/>
  <c r="K1674" i="7"/>
  <c r="H1674" i="7"/>
  <c r="U1674" i="7" s="1"/>
  <c r="C1674" i="7"/>
  <c r="E1674" i="7" s="1"/>
  <c r="F1674" i="7" s="1"/>
  <c r="L1673" i="7"/>
  <c r="K1673" i="7"/>
  <c r="H1673" i="7"/>
  <c r="U1673" i="7" s="1"/>
  <c r="C1673" i="7"/>
  <c r="E1673" i="7" s="1"/>
  <c r="F1673" i="7" s="1"/>
  <c r="L1672" i="7"/>
  <c r="K1672" i="7"/>
  <c r="H1672" i="7"/>
  <c r="U1672" i="7" s="1"/>
  <c r="E1672" i="7"/>
  <c r="F1672" i="7" s="1"/>
  <c r="C1672" i="7"/>
  <c r="L1671" i="7"/>
  <c r="K1671" i="7"/>
  <c r="H1671" i="7"/>
  <c r="U1671" i="7" s="1"/>
  <c r="C1671" i="7"/>
  <c r="E1671" i="7" s="1"/>
  <c r="F1671" i="7" s="1"/>
  <c r="L1670" i="7"/>
  <c r="K1670" i="7"/>
  <c r="H1670" i="7"/>
  <c r="U1670" i="7" s="1"/>
  <c r="E1670" i="7"/>
  <c r="F1670" i="7" s="1"/>
  <c r="C1670" i="7"/>
  <c r="L1669" i="7"/>
  <c r="K1669" i="7"/>
  <c r="H1669" i="7"/>
  <c r="U1669" i="7" s="1"/>
  <c r="C1669" i="7"/>
  <c r="E1669" i="7" s="1"/>
  <c r="F1669" i="7" s="1"/>
  <c r="L1668" i="7"/>
  <c r="K1668" i="7"/>
  <c r="H1668" i="7"/>
  <c r="U1668" i="7" s="1"/>
  <c r="E1668" i="7"/>
  <c r="F1668" i="7" s="1"/>
  <c r="C1668" i="7"/>
  <c r="L1667" i="7"/>
  <c r="K1667" i="7"/>
  <c r="H1667" i="7"/>
  <c r="U1667" i="7" s="1"/>
  <c r="E1667" i="7"/>
  <c r="F1667" i="7" s="1"/>
  <c r="C1667" i="7"/>
  <c r="L1666" i="7"/>
  <c r="K1666" i="7"/>
  <c r="H1666" i="7"/>
  <c r="U1666" i="7" s="1"/>
  <c r="C1666" i="7"/>
  <c r="E1666" i="7" s="1"/>
  <c r="F1666" i="7" s="1"/>
  <c r="L1665" i="7"/>
  <c r="K1665" i="7"/>
  <c r="H1665" i="7"/>
  <c r="U1665" i="7" s="1"/>
  <c r="C1665" i="7"/>
  <c r="E1665" i="7" s="1"/>
  <c r="F1665" i="7" s="1"/>
  <c r="L1664" i="7"/>
  <c r="K1664" i="7"/>
  <c r="H1664" i="7"/>
  <c r="U1664" i="7" s="1"/>
  <c r="C1664" i="7"/>
  <c r="E1664" i="7" s="1"/>
  <c r="F1664" i="7" s="1"/>
  <c r="L1663" i="7"/>
  <c r="K1663" i="7"/>
  <c r="H1663" i="7"/>
  <c r="U1663" i="7" s="1"/>
  <c r="C1663" i="7"/>
  <c r="E1663" i="7" s="1"/>
  <c r="F1663" i="7" s="1"/>
  <c r="L1662" i="7"/>
  <c r="K1662" i="7"/>
  <c r="H1662" i="7"/>
  <c r="U1662" i="7" s="1"/>
  <c r="C1662" i="7"/>
  <c r="E1662" i="7" s="1"/>
  <c r="F1662" i="7" s="1"/>
  <c r="U1661" i="7"/>
  <c r="L1661" i="7"/>
  <c r="K1661" i="7"/>
  <c r="H1661" i="7"/>
  <c r="E1661" i="7"/>
  <c r="F1661" i="7" s="1"/>
  <c r="C1661" i="7"/>
  <c r="L1660" i="7"/>
  <c r="K1660" i="7"/>
  <c r="H1660" i="7"/>
  <c r="U1660" i="7" s="1"/>
  <c r="C1660" i="7"/>
  <c r="E1660" i="7" s="1"/>
  <c r="F1660" i="7" s="1"/>
  <c r="L1659" i="7"/>
  <c r="K1659" i="7"/>
  <c r="H1659" i="7"/>
  <c r="U1659" i="7" s="1"/>
  <c r="C1659" i="7"/>
  <c r="E1659" i="7" s="1"/>
  <c r="F1659" i="7" s="1"/>
  <c r="L1658" i="7"/>
  <c r="K1658" i="7"/>
  <c r="H1658" i="7"/>
  <c r="U1658" i="7" s="1"/>
  <c r="E1658" i="7"/>
  <c r="F1658" i="7" s="1"/>
  <c r="C1658" i="7"/>
  <c r="L1657" i="7"/>
  <c r="K1657" i="7"/>
  <c r="H1657" i="7"/>
  <c r="U1657" i="7" s="1"/>
  <c r="E1657" i="7"/>
  <c r="F1657" i="7" s="1"/>
  <c r="C1657" i="7"/>
  <c r="L1656" i="7"/>
  <c r="K1656" i="7"/>
  <c r="H1656" i="7"/>
  <c r="U1656" i="7" s="1"/>
  <c r="E1656" i="7"/>
  <c r="F1656" i="7" s="1"/>
  <c r="C1656" i="7"/>
  <c r="L1655" i="7"/>
  <c r="K1655" i="7"/>
  <c r="H1655" i="7"/>
  <c r="U1655" i="7" s="1"/>
  <c r="C1655" i="7"/>
  <c r="E1655" i="7" s="1"/>
  <c r="F1655" i="7" s="1"/>
  <c r="L1654" i="7"/>
  <c r="K1654" i="7"/>
  <c r="H1654" i="7"/>
  <c r="U1654" i="7" s="1"/>
  <c r="C1654" i="7"/>
  <c r="E1654" i="7" s="1"/>
  <c r="F1654" i="7" s="1"/>
  <c r="L1653" i="7"/>
  <c r="K1653" i="7"/>
  <c r="H1653" i="7"/>
  <c r="U1653" i="7" s="1"/>
  <c r="C1653" i="7"/>
  <c r="E1653" i="7" s="1"/>
  <c r="F1653" i="7" s="1"/>
  <c r="L1652" i="7"/>
  <c r="K1652" i="7"/>
  <c r="H1652" i="7"/>
  <c r="U1652" i="7" s="1"/>
  <c r="C1652" i="7"/>
  <c r="E1652" i="7" s="1"/>
  <c r="F1652" i="7" s="1"/>
  <c r="L1651" i="7"/>
  <c r="K1651" i="7"/>
  <c r="H1651" i="7"/>
  <c r="U1651" i="7" s="1"/>
  <c r="C1651" i="7"/>
  <c r="E1651" i="7" s="1"/>
  <c r="F1651" i="7" s="1"/>
  <c r="L1650" i="7"/>
  <c r="K1650" i="7"/>
  <c r="H1650" i="7"/>
  <c r="U1650" i="7" s="1"/>
  <c r="C1650" i="7"/>
  <c r="E1650" i="7" s="1"/>
  <c r="F1650" i="7" s="1"/>
  <c r="L1649" i="7"/>
  <c r="K1649" i="7"/>
  <c r="H1649" i="7"/>
  <c r="U1649" i="7" s="1"/>
  <c r="C1649" i="7"/>
  <c r="E1649" i="7" s="1"/>
  <c r="F1649" i="7" s="1"/>
  <c r="L1648" i="7"/>
  <c r="K1648" i="7"/>
  <c r="H1648" i="7"/>
  <c r="U1648" i="7" s="1"/>
  <c r="C1648" i="7"/>
  <c r="E1648" i="7" s="1"/>
  <c r="F1648" i="7" s="1"/>
  <c r="L1647" i="7"/>
  <c r="K1647" i="7"/>
  <c r="H1647" i="7"/>
  <c r="U1647" i="7" s="1"/>
  <c r="E1647" i="7"/>
  <c r="F1647" i="7" s="1"/>
  <c r="C1647" i="7"/>
  <c r="L1646" i="7"/>
  <c r="K1646" i="7"/>
  <c r="H1646" i="7"/>
  <c r="U1646" i="7" s="1"/>
  <c r="C1646" i="7"/>
  <c r="E1646" i="7" s="1"/>
  <c r="F1646" i="7" s="1"/>
  <c r="L1645" i="7"/>
  <c r="K1645" i="7"/>
  <c r="H1645" i="7"/>
  <c r="U1645" i="7" s="1"/>
  <c r="E1645" i="7"/>
  <c r="F1645" i="7" s="1"/>
  <c r="C1645" i="7"/>
  <c r="L1644" i="7"/>
  <c r="K1644" i="7"/>
  <c r="H1644" i="7"/>
  <c r="U1644" i="7" s="1"/>
  <c r="C1644" i="7"/>
  <c r="E1644" i="7" s="1"/>
  <c r="F1644" i="7" s="1"/>
  <c r="L1643" i="7"/>
  <c r="K1643" i="7"/>
  <c r="H1643" i="7"/>
  <c r="U1643" i="7" s="1"/>
  <c r="C1643" i="7"/>
  <c r="E1643" i="7" s="1"/>
  <c r="F1643" i="7" s="1"/>
  <c r="L1642" i="7"/>
  <c r="K1642" i="7"/>
  <c r="H1642" i="7"/>
  <c r="U1642" i="7" s="1"/>
  <c r="C1642" i="7"/>
  <c r="E1642" i="7" s="1"/>
  <c r="F1642" i="7" s="1"/>
  <c r="L1641" i="7"/>
  <c r="K1641" i="7"/>
  <c r="H1641" i="7"/>
  <c r="U1641" i="7" s="1"/>
  <c r="E1641" i="7"/>
  <c r="F1641" i="7" s="1"/>
  <c r="C1641" i="7"/>
  <c r="L1640" i="7"/>
  <c r="K1640" i="7"/>
  <c r="H1640" i="7"/>
  <c r="U1640" i="7" s="1"/>
  <c r="E1640" i="7"/>
  <c r="F1640" i="7" s="1"/>
  <c r="C1640" i="7"/>
  <c r="L1639" i="7"/>
  <c r="K1639" i="7"/>
  <c r="H1639" i="7"/>
  <c r="U1639" i="7" s="1"/>
  <c r="C1639" i="7"/>
  <c r="E1639" i="7" s="1"/>
  <c r="F1639" i="7" s="1"/>
  <c r="L1638" i="7"/>
  <c r="K1638" i="7"/>
  <c r="H1638" i="7"/>
  <c r="U1638" i="7" s="1"/>
  <c r="C1638" i="7"/>
  <c r="E1638" i="7" s="1"/>
  <c r="F1638" i="7" s="1"/>
  <c r="U1637" i="7"/>
  <c r="L1637" i="7"/>
  <c r="K1637" i="7"/>
  <c r="H1637" i="7"/>
  <c r="C1637" i="7"/>
  <c r="E1637" i="7" s="1"/>
  <c r="F1637" i="7" s="1"/>
  <c r="L1636" i="7"/>
  <c r="K1636" i="7"/>
  <c r="H1636" i="7"/>
  <c r="U1636" i="7" s="1"/>
  <c r="C1636" i="7"/>
  <c r="E1636" i="7" s="1"/>
  <c r="F1636" i="7" s="1"/>
  <c r="L1635" i="7"/>
  <c r="K1635" i="7"/>
  <c r="H1635" i="7"/>
  <c r="U1635" i="7" s="1"/>
  <c r="C1635" i="7"/>
  <c r="E1635" i="7" s="1"/>
  <c r="F1635" i="7" s="1"/>
  <c r="L1634" i="7"/>
  <c r="K1634" i="7"/>
  <c r="H1634" i="7"/>
  <c r="U1634" i="7" s="1"/>
  <c r="C1634" i="7"/>
  <c r="E1634" i="7" s="1"/>
  <c r="F1634" i="7" s="1"/>
  <c r="L1633" i="7"/>
  <c r="K1633" i="7"/>
  <c r="H1633" i="7"/>
  <c r="U1633" i="7" s="1"/>
  <c r="C1633" i="7"/>
  <c r="E1633" i="7" s="1"/>
  <c r="F1633" i="7" s="1"/>
  <c r="U1632" i="7"/>
  <c r="L1632" i="7"/>
  <c r="K1632" i="7"/>
  <c r="H1632" i="7"/>
  <c r="C1632" i="7"/>
  <c r="E1632" i="7" s="1"/>
  <c r="F1632" i="7" s="1"/>
  <c r="L1631" i="7"/>
  <c r="K1631" i="7"/>
  <c r="H1631" i="7"/>
  <c r="U1631" i="7" s="1"/>
  <c r="E1631" i="7"/>
  <c r="F1631" i="7" s="1"/>
  <c r="C1631" i="7"/>
  <c r="L1630" i="7"/>
  <c r="K1630" i="7"/>
  <c r="H1630" i="7"/>
  <c r="U1630" i="7" s="1"/>
  <c r="E1630" i="7"/>
  <c r="F1630" i="7" s="1"/>
  <c r="C1630" i="7"/>
  <c r="L1629" i="7"/>
  <c r="K1629" i="7"/>
  <c r="H1629" i="7"/>
  <c r="U1629" i="7" s="1"/>
  <c r="C1629" i="7"/>
  <c r="E1629" i="7" s="1"/>
  <c r="F1629" i="7" s="1"/>
  <c r="U1628" i="7"/>
  <c r="L1628" i="7"/>
  <c r="K1628" i="7"/>
  <c r="H1628" i="7"/>
  <c r="E1628" i="7"/>
  <c r="F1628" i="7" s="1"/>
  <c r="C1628" i="7"/>
  <c r="L1627" i="7"/>
  <c r="K1627" i="7"/>
  <c r="H1627" i="7"/>
  <c r="U1627" i="7" s="1"/>
  <c r="C1627" i="7"/>
  <c r="E1627" i="7" s="1"/>
  <c r="F1627" i="7" s="1"/>
  <c r="L1626" i="7"/>
  <c r="K1626" i="7"/>
  <c r="H1626" i="7"/>
  <c r="U1626" i="7" s="1"/>
  <c r="C1626" i="7"/>
  <c r="E1626" i="7" s="1"/>
  <c r="F1626" i="7" s="1"/>
  <c r="J1626" i="7" s="1"/>
  <c r="L1625" i="7"/>
  <c r="K1625" i="7"/>
  <c r="H1625" i="7"/>
  <c r="U1625" i="7" s="1"/>
  <c r="E1625" i="7"/>
  <c r="F1625" i="7" s="1"/>
  <c r="C1625" i="7"/>
  <c r="U1624" i="7"/>
  <c r="L1624" i="7"/>
  <c r="K1624" i="7"/>
  <c r="H1624" i="7"/>
  <c r="C1624" i="7"/>
  <c r="E1624" i="7" s="1"/>
  <c r="F1624" i="7" s="1"/>
  <c r="L1623" i="7"/>
  <c r="K1623" i="7"/>
  <c r="H1623" i="7"/>
  <c r="U1623" i="7" s="1"/>
  <c r="C1623" i="7"/>
  <c r="E1623" i="7" s="1"/>
  <c r="F1623" i="7" s="1"/>
  <c r="L1622" i="7"/>
  <c r="K1622" i="7"/>
  <c r="H1622" i="7"/>
  <c r="U1622" i="7" s="1"/>
  <c r="C1622" i="7"/>
  <c r="E1622" i="7" s="1"/>
  <c r="F1622" i="7" s="1"/>
  <c r="L1621" i="7"/>
  <c r="K1621" i="7"/>
  <c r="H1621" i="7"/>
  <c r="U1621" i="7" s="1"/>
  <c r="C1621" i="7"/>
  <c r="E1621" i="7" s="1"/>
  <c r="F1621" i="7" s="1"/>
  <c r="L1620" i="7"/>
  <c r="K1620" i="7"/>
  <c r="H1620" i="7"/>
  <c r="U1620" i="7" s="1"/>
  <c r="C1620" i="7"/>
  <c r="E1620" i="7" s="1"/>
  <c r="F1620" i="7" s="1"/>
  <c r="J1620" i="7" s="1"/>
  <c r="L1619" i="7"/>
  <c r="K1619" i="7"/>
  <c r="H1619" i="7"/>
  <c r="U1619" i="7" s="1"/>
  <c r="C1619" i="7"/>
  <c r="E1619" i="7" s="1"/>
  <c r="F1619" i="7" s="1"/>
  <c r="L1618" i="7"/>
  <c r="K1618" i="7"/>
  <c r="H1618" i="7"/>
  <c r="U1618" i="7" s="1"/>
  <c r="C1618" i="7"/>
  <c r="E1618" i="7" s="1"/>
  <c r="F1618" i="7" s="1"/>
  <c r="L1617" i="7"/>
  <c r="K1617" i="7"/>
  <c r="H1617" i="7"/>
  <c r="U1617" i="7" s="1"/>
  <c r="C1617" i="7"/>
  <c r="E1617" i="7" s="1"/>
  <c r="F1617" i="7" s="1"/>
  <c r="L1616" i="7"/>
  <c r="K1616" i="7"/>
  <c r="H1616" i="7"/>
  <c r="U1616" i="7" s="1"/>
  <c r="C1616" i="7"/>
  <c r="E1616" i="7" s="1"/>
  <c r="F1616" i="7" s="1"/>
  <c r="L1615" i="7"/>
  <c r="K1615" i="7"/>
  <c r="H1615" i="7"/>
  <c r="U1615" i="7" s="1"/>
  <c r="C1615" i="7"/>
  <c r="E1615" i="7" s="1"/>
  <c r="F1615" i="7" s="1"/>
  <c r="L1614" i="7"/>
  <c r="K1614" i="7"/>
  <c r="I1614" i="7"/>
  <c r="H1614" i="7"/>
  <c r="U1614" i="7" s="1"/>
  <c r="C1614" i="7"/>
  <c r="E1614" i="7" s="1"/>
  <c r="F1614" i="7" s="1"/>
  <c r="J1614" i="7" s="1"/>
  <c r="L1613" i="7"/>
  <c r="K1613" i="7"/>
  <c r="H1613" i="7"/>
  <c r="U1613" i="7" s="1"/>
  <c r="E1613" i="7"/>
  <c r="F1613" i="7" s="1"/>
  <c r="C1613" i="7"/>
  <c r="U1612" i="7"/>
  <c r="L1612" i="7"/>
  <c r="K1612" i="7"/>
  <c r="H1612" i="7"/>
  <c r="C1612" i="7"/>
  <c r="E1612" i="7" s="1"/>
  <c r="F1612" i="7" s="1"/>
  <c r="L1611" i="7"/>
  <c r="K1611" i="7"/>
  <c r="H1611" i="7"/>
  <c r="U1611" i="7" s="1"/>
  <c r="C1611" i="7"/>
  <c r="E1611" i="7" s="1"/>
  <c r="F1611" i="7" s="1"/>
  <c r="L1610" i="7"/>
  <c r="K1610" i="7"/>
  <c r="H1610" i="7"/>
  <c r="U1610" i="7" s="1"/>
  <c r="C1610" i="7"/>
  <c r="E1610" i="7" s="1"/>
  <c r="F1610" i="7" s="1"/>
  <c r="L1609" i="7"/>
  <c r="K1609" i="7"/>
  <c r="H1609" i="7"/>
  <c r="U1609" i="7" s="1"/>
  <c r="C1609" i="7"/>
  <c r="E1609" i="7" s="1"/>
  <c r="F1609" i="7" s="1"/>
  <c r="L1608" i="7"/>
  <c r="K1608" i="7"/>
  <c r="H1608" i="7"/>
  <c r="U1608" i="7" s="1"/>
  <c r="C1608" i="7"/>
  <c r="E1608" i="7" s="1"/>
  <c r="F1608" i="7" s="1"/>
  <c r="J1608" i="7" s="1"/>
  <c r="L1607" i="7"/>
  <c r="K1607" i="7"/>
  <c r="H1607" i="7"/>
  <c r="U1607" i="7" s="1"/>
  <c r="C1607" i="7"/>
  <c r="E1607" i="7" s="1"/>
  <c r="F1607" i="7" s="1"/>
  <c r="L1606" i="7"/>
  <c r="K1606" i="7"/>
  <c r="H1606" i="7"/>
  <c r="U1606" i="7" s="1"/>
  <c r="C1606" i="7"/>
  <c r="E1606" i="7" s="1"/>
  <c r="F1606" i="7" s="1"/>
  <c r="U1605" i="7"/>
  <c r="L1605" i="7"/>
  <c r="K1605" i="7"/>
  <c r="H1605" i="7"/>
  <c r="C1605" i="7"/>
  <c r="E1605" i="7" s="1"/>
  <c r="F1605" i="7" s="1"/>
  <c r="L1604" i="7"/>
  <c r="K1604" i="7"/>
  <c r="H1604" i="7"/>
  <c r="U1604" i="7" s="1"/>
  <c r="C1604" i="7"/>
  <c r="E1604" i="7" s="1"/>
  <c r="F1604" i="7" s="1"/>
  <c r="J1604" i="7" s="1"/>
  <c r="L1603" i="7"/>
  <c r="K1603" i="7"/>
  <c r="H1603" i="7"/>
  <c r="U1603" i="7" s="1"/>
  <c r="C1603" i="7"/>
  <c r="E1603" i="7" s="1"/>
  <c r="F1603" i="7" s="1"/>
  <c r="L1602" i="7"/>
  <c r="K1602" i="7"/>
  <c r="I1602" i="7"/>
  <c r="H1602" i="7"/>
  <c r="U1602" i="7" s="1"/>
  <c r="C1602" i="7"/>
  <c r="E1602" i="7" s="1"/>
  <c r="F1602" i="7" s="1"/>
  <c r="U1601" i="7"/>
  <c r="L1601" i="7"/>
  <c r="K1601" i="7"/>
  <c r="H1601" i="7"/>
  <c r="C1601" i="7"/>
  <c r="E1601" i="7" s="1"/>
  <c r="F1601" i="7" s="1"/>
  <c r="L1600" i="7"/>
  <c r="K1600" i="7"/>
  <c r="H1600" i="7"/>
  <c r="U1600" i="7" s="1"/>
  <c r="E1600" i="7"/>
  <c r="F1600" i="7" s="1"/>
  <c r="C1600" i="7"/>
  <c r="L1599" i="7"/>
  <c r="K1599" i="7"/>
  <c r="H1599" i="7"/>
  <c r="U1599" i="7" s="1"/>
  <c r="C1599" i="7"/>
  <c r="E1599" i="7" s="1"/>
  <c r="F1599" i="7" s="1"/>
  <c r="L1598" i="7"/>
  <c r="K1598" i="7"/>
  <c r="H1598" i="7"/>
  <c r="U1598" i="7" s="1"/>
  <c r="C1598" i="7"/>
  <c r="E1598" i="7" s="1"/>
  <c r="F1598" i="7" s="1"/>
  <c r="L1597" i="7"/>
  <c r="K1597" i="7"/>
  <c r="H1597" i="7"/>
  <c r="U1597" i="7" s="1"/>
  <c r="C1597" i="7"/>
  <c r="E1597" i="7" s="1"/>
  <c r="F1597" i="7" s="1"/>
  <c r="L1596" i="7"/>
  <c r="K1596" i="7"/>
  <c r="H1596" i="7"/>
  <c r="U1596" i="7" s="1"/>
  <c r="C1596" i="7"/>
  <c r="E1596" i="7" s="1"/>
  <c r="F1596" i="7" s="1"/>
  <c r="L1595" i="7"/>
  <c r="K1595" i="7"/>
  <c r="H1595" i="7"/>
  <c r="U1595" i="7" s="1"/>
  <c r="E1595" i="7"/>
  <c r="F1595" i="7" s="1"/>
  <c r="C1595" i="7"/>
  <c r="L1594" i="7"/>
  <c r="K1594" i="7"/>
  <c r="H1594" i="7"/>
  <c r="U1594" i="7" s="1"/>
  <c r="C1594" i="7"/>
  <c r="E1594" i="7" s="1"/>
  <c r="F1594" i="7" s="1"/>
  <c r="L1593" i="7"/>
  <c r="K1593" i="7"/>
  <c r="H1593" i="7"/>
  <c r="U1593" i="7" s="1"/>
  <c r="E1593" i="7"/>
  <c r="F1593" i="7" s="1"/>
  <c r="C1593" i="7"/>
  <c r="L1592" i="7"/>
  <c r="K1592" i="7"/>
  <c r="H1592" i="7"/>
  <c r="U1592" i="7" s="1"/>
  <c r="C1592" i="7"/>
  <c r="E1592" i="7" s="1"/>
  <c r="F1592" i="7" s="1"/>
  <c r="L1591" i="7"/>
  <c r="K1591" i="7"/>
  <c r="H1591" i="7"/>
  <c r="U1591" i="7" s="1"/>
  <c r="C1591" i="7"/>
  <c r="E1591" i="7" s="1"/>
  <c r="F1591" i="7" s="1"/>
  <c r="L1590" i="7"/>
  <c r="K1590" i="7"/>
  <c r="H1590" i="7"/>
  <c r="U1590" i="7" s="1"/>
  <c r="C1590" i="7"/>
  <c r="E1590" i="7" s="1"/>
  <c r="F1590" i="7" s="1"/>
  <c r="L1589" i="7"/>
  <c r="K1589" i="7"/>
  <c r="H1589" i="7"/>
  <c r="U1589" i="7" s="1"/>
  <c r="C1589" i="7"/>
  <c r="E1589" i="7" s="1"/>
  <c r="F1589" i="7" s="1"/>
  <c r="L1588" i="7"/>
  <c r="K1588" i="7"/>
  <c r="H1588" i="7"/>
  <c r="U1588" i="7" s="1"/>
  <c r="E1588" i="7"/>
  <c r="F1588" i="7" s="1"/>
  <c r="J1588" i="7" s="1"/>
  <c r="C1588" i="7"/>
  <c r="L1587" i="7"/>
  <c r="K1587" i="7"/>
  <c r="H1587" i="7"/>
  <c r="U1587" i="7" s="1"/>
  <c r="C1587" i="7"/>
  <c r="E1587" i="7" s="1"/>
  <c r="F1587" i="7" s="1"/>
  <c r="L1586" i="7"/>
  <c r="K1586" i="7"/>
  <c r="H1586" i="7"/>
  <c r="U1586" i="7" s="1"/>
  <c r="C1586" i="7"/>
  <c r="E1586" i="7" s="1"/>
  <c r="F1586" i="7" s="1"/>
  <c r="L1585" i="7"/>
  <c r="K1585" i="7"/>
  <c r="H1585" i="7"/>
  <c r="U1585" i="7" s="1"/>
  <c r="C1585" i="7"/>
  <c r="E1585" i="7" s="1"/>
  <c r="F1585" i="7" s="1"/>
  <c r="L1584" i="7"/>
  <c r="K1584" i="7"/>
  <c r="H1584" i="7"/>
  <c r="U1584" i="7" s="1"/>
  <c r="C1584" i="7"/>
  <c r="E1584" i="7" s="1"/>
  <c r="F1584" i="7" s="1"/>
  <c r="J1584" i="7" s="1"/>
  <c r="L1583" i="7"/>
  <c r="K1583" i="7"/>
  <c r="H1583" i="7"/>
  <c r="U1583" i="7" s="1"/>
  <c r="C1583" i="7"/>
  <c r="E1583" i="7" s="1"/>
  <c r="F1583" i="7" s="1"/>
  <c r="L1582" i="7"/>
  <c r="K1582" i="7"/>
  <c r="H1582" i="7"/>
  <c r="U1582" i="7" s="1"/>
  <c r="E1582" i="7"/>
  <c r="F1582" i="7" s="1"/>
  <c r="C1582" i="7"/>
  <c r="L1581" i="7"/>
  <c r="K1581" i="7"/>
  <c r="H1581" i="7"/>
  <c r="U1581" i="7" s="1"/>
  <c r="C1581" i="7"/>
  <c r="E1581" i="7" s="1"/>
  <c r="F1581" i="7" s="1"/>
  <c r="U1580" i="7"/>
  <c r="L1580" i="7"/>
  <c r="K1580" i="7"/>
  <c r="H1580" i="7"/>
  <c r="E1580" i="7"/>
  <c r="F1580" i="7" s="1"/>
  <c r="J1580" i="7" s="1"/>
  <c r="C1580" i="7"/>
  <c r="L1579" i="7"/>
  <c r="K1579" i="7"/>
  <c r="H1579" i="7"/>
  <c r="U1579" i="7" s="1"/>
  <c r="C1579" i="7"/>
  <c r="E1579" i="7" s="1"/>
  <c r="F1579" i="7" s="1"/>
  <c r="L1578" i="7"/>
  <c r="K1578" i="7"/>
  <c r="H1578" i="7"/>
  <c r="U1578" i="7" s="1"/>
  <c r="E1578" i="7"/>
  <c r="F1578" i="7" s="1"/>
  <c r="C1578" i="7"/>
  <c r="L1577" i="7"/>
  <c r="K1577" i="7"/>
  <c r="H1577" i="7"/>
  <c r="U1577" i="7" s="1"/>
  <c r="C1577" i="7"/>
  <c r="E1577" i="7" s="1"/>
  <c r="F1577" i="7" s="1"/>
  <c r="U1576" i="7"/>
  <c r="L1576" i="7"/>
  <c r="K1576" i="7"/>
  <c r="H1576" i="7"/>
  <c r="C1576" i="7"/>
  <c r="E1576" i="7" s="1"/>
  <c r="F1576" i="7" s="1"/>
  <c r="J1576" i="7" s="1"/>
  <c r="L1575" i="7"/>
  <c r="K1575" i="7"/>
  <c r="H1575" i="7"/>
  <c r="U1575" i="7" s="1"/>
  <c r="C1575" i="7"/>
  <c r="E1575" i="7" s="1"/>
  <c r="F1575" i="7" s="1"/>
  <c r="L1574" i="7"/>
  <c r="K1574" i="7"/>
  <c r="I1574" i="7"/>
  <c r="H1574" i="7"/>
  <c r="U1574" i="7" s="1"/>
  <c r="C1574" i="7"/>
  <c r="E1574" i="7" s="1"/>
  <c r="F1574" i="7" s="1"/>
  <c r="L1573" i="7"/>
  <c r="K1573" i="7"/>
  <c r="H1573" i="7"/>
  <c r="U1573" i="7" s="1"/>
  <c r="E1573" i="7"/>
  <c r="F1573" i="7" s="1"/>
  <c r="C1573" i="7"/>
  <c r="L1572" i="7"/>
  <c r="K1572" i="7"/>
  <c r="H1572" i="7"/>
  <c r="U1572" i="7" s="1"/>
  <c r="C1572" i="7"/>
  <c r="E1572" i="7" s="1"/>
  <c r="F1572" i="7" s="1"/>
  <c r="L1571" i="7"/>
  <c r="K1571" i="7"/>
  <c r="H1571" i="7"/>
  <c r="U1571" i="7" s="1"/>
  <c r="C1571" i="7"/>
  <c r="E1571" i="7" s="1"/>
  <c r="F1571" i="7" s="1"/>
  <c r="L1570" i="7"/>
  <c r="K1570" i="7"/>
  <c r="H1570" i="7"/>
  <c r="U1570" i="7" s="1"/>
  <c r="E1570" i="7"/>
  <c r="F1570" i="7" s="1"/>
  <c r="C1570" i="7"/>
  <c r="L1569" i="7"/>
  <c r="K1569" i="7"/>
  <c r="H1569" i="7"/>
  <c r="U1569" i="7" s="1"/>
  <c r="C1569" i="7"/>
  <c r="E1569" i="7" s="1"/>
  <c r="F1569" i="7" s="1"/>
  <c r="L1568" i="7"/>
  <c r="K1568" i="7"/>
  <c r="H1568" i="7"/>
  <c r="U1568" i="7" s="1"/>
  <c r="C1568" i="7"/>
  <c r="E1568" i="7" s="1"/>
  <c r="F1568" i="7" s="1"/>
  <c r="L1567" i="7"/>
  <c r="K1567" i="7"/>
  <c r="H1567" i="7"/>
  <c r="U1567" i="7" s="1"/>
  <c r="E1567" i="7"/>
  <c r="F1567" i="7" s="1"/>
  <c r="C1567" i="7"/>
  <c r="L1566" i="7"/>
  <c r="K1566" i="7"/>
  <c r="H1566" i="7"/>
  <c r="U1566" i="7" s="1"/>
  <c r="E1566" i="7"/>
  <c r="F1566" i="7" s="1"/>
  <c r="C1566" i="7"/>
  <c r="L1565" i="7"/>
  <c r="K1565" i="7"/>
  <c r="H1565" i="7"/>
  <c r="U1565" i="7" s="1"/>
  <c r="C1565" i="7"/>
  <c r="E1565" i="7" s="1"/>
  <c r="F1565" i="7" s="1"/>
  <c r="L1564" i="7"/>
  <c r="K1564" i="7"/>
  <c r="H1564" i="7"/>
  <c r="U1564" i="7" s="1"/>
  <c r="C1564" i="7"/>
  <c r="E1564" i="7" s="1"/>
  <c r="F1564" i="7" s="1"/>
  <c r="L1563" i="7"/>
  <c r="K1563" i="7"/>
  <c r="H1563" i="7"/>
  <c r="U1563" i="7" s="1"/>
  <c r="C1563" i="7"/>
  <c r="E1563" i="7" s="1"/>
  <c r="F1563" i="7" s="1"/>
  <c r="L1562" i="7"/>
  <c r="K1562" i="7"/>
  <c r="H1562" i="7"/>
  <c r="U1562" i="7" s="1"/>
  <c r="E1562" i="7"/>
  <c r="F1562" i="7" s="1"/>
  <c r="C1562" i="7"/>
  <c r="L1561" i="7"/>
  <c r="K1561" i="7"/>
  <c r="H1561" i="7"/>
  <c r="U1561" i="7" s="1"/>
  <c r="C1561" i="7"/>
  <c r="E1561" i="7" s="1"/>
  <c r="F1561" i="7" s="1"/>
  <c r="L1560" i="7"/>
  <c r="K1560" i="7"/>
  <c r="H1560" i="7"/>
  <c r="U1560" i="7" s="1"/>
  <c r="E1560" i="7"/>
  <c r="F1560" i="7" s="1"/>
  <c r="J1560" i="7" s="1"/>
  <c r="C1560" i="7"/>
  <c r="L1559" i="7"/>
  <c r="K1559" i="7"/>
  <c r="H1559" i="7"/>
  <c r="U1559" i="7" s="1"/>
  <c r="C1559" i="7"/>
  <c r="E1559" i="7" s="1"/>
  <c r="F1559" i="7" s="1"/>
  <c r="L1558" i="7"/>
  <c r="K1558" i="7"/>
  <c r="H1558" i="7"/>
  <c r="U1558" i="7" s="1"/>
  <c r="C1558" i="7"/>
  <c r="E1558" i="7" s="1"/>
  <c r="F1558" i="7" s="1"/>
  <c r="J1558" i="7" s="1"/>
  <c r="U1557" i="7"/>
  <c r="L1557" i="7"/>
  <c r="K1557" i="7"/>
  <c r="H1557" i="7"/>
  <c r="E1557" i="7"/>
  <c r="F1557" i="7" s="1"/>
  <c r="C1557" i="7"/>
  <c r="L1556" i="7"/>
  <c r="K1556" i="7"/>
  <c r="H1556" i="7"/>
  <c r="U1556" i="7" s="1"/>
  <c r="C1556" i="7"/>
  <c r="E1556" i="7" s="1"/>
  <c r="F1556" i="7" s="1"/>
  <c r="J1556" i="7" s="1"/>
  <c r="L1555" i="7"/>
  <c r="K1555" i="7"/>
  <c r="H1555" i="7"/>
  <c r="U1555" i="7" s="1"/>
  <c r="C1555" i="7"/>
  <c r="E1555" i="7" s="1"/>
  <c r="F1555" i="7" s="1"/>
  <c r="L1554" i="7"/>
  <c r="K1554" i="7"/>
  <c r="H1554" i="7"/>
  <c r="U1554" i="7" s="1"/>
  <c r="C1554" i="7"/>
  <c r="E1554" i="7" s="1"/>
  <c r="F1554" i="7" s="1"/>
  <c r="J1554" i="7" s="1"/>
  <c r="L1553" i="7"/>
  <c r="K1553" i="7"/>
  <c r="H1553" i="7"/>
  <c r="U1553" i="7" s="1"/>
  <c r="C1553" i="7"/>
  <c r="E1553" i="7" s="1"/>
  <c r="F1553" i="7" s="1"/>
  <c r="U1552" i="7"/>
  <c r="L1552" i="7"/>
  <c r="K1552" i="7"/>
  <c r="H1552" i="7"/>
  <c r="E1552" i="7"/>
  <c r="F1552" i="7" s="1"/>
  <c r="J1552" i="7" s="1"/>
  <c r="C1552" i="7"/>
  <c r="L1551" i="7"/>
  <c r="K1551" i="7"/>
  <c r="H1551" i="7"/>
  <c r="U1551" i="7" s="1"/>
  <c r="C1551" i="7"/>
  <c r="E1551" i="7" s="1"/>
  <c r="F1551" i="7" s="1"/>
  <c r="L1550" i="7"/>
  <c r="K1550" i="7"/>
  <c r="H1550" i="7"/>
  <c r="U1550" i="7" s="1"/>
  <c r="E1550" i="7"/>
  <c r="F1550" i="7" s="1"/>
  <c r="C1550" i="7"/>
  <c r="L1549" i="7"/>
  <c r="K1549" i="7"/>
  <c r="H1549" i="7"/>
  <c r="U1549" i="7" s="1"/>
  <c r="C1549" i="7"/>
  <c r="E1549" i="7" s="1"/>
  <c r="F1549" i="7" s="1"/>
  <c r="L1548" i="7"/>
  <c r="K1548" i="7"/>
  <c r="H1548" i="7"/>
  <c r="U1548" i="7" s="1"/>
  <c r="E1548" i="7"/>
  <c r="F1548" i="7" s="1"/>
  <c r="J1548" i="7" s="1"/>
  <c r="C1548" i="7"/>
  <c r="L1547" i="7"/>
  <c r="K1547" i="7"/>
  <c r="H1547" i="7"/>
  <c r="U1547" i="7" s="1"/>
  <c r="C1547" i="7"/>
  <c r="E1547" i="7" s="1"/>
  <c r="F1547" i="7" s="1"/>
  <c r="L1546" i="7"/>
  <c r="K1546" i="7"/>
  <c r="H1546" i="7"/>
  <c r="U1546" i="7" s="1"/>
  <c r="C1546" i="7"/>
  <c r="E1546" i="7" s="1"/>
  <c r="F1546" i="7" s="1"/>
  <c r="J1546" i="7" s="1"/>
  <c r="L1545" i="7"/>
  <c r="K1545" i="7"/>
  <c r="H1545" i="7"/>
  <c r="U1545" i="7" s="1"/>
  <c r="C1545" i="7"/>
  <c r="E1545" i="7" s="1"/>
  <c r="F1545" i="7" s="1"/>
  <c r="U1544" i="7"/>
  <c r="L1544" i="7"/>
  <c r="K1544" i="7"/>
  <c r="H1544" i="7"/>
  <c r="C1544" i="7"/>
  <c r="E1544" i="7" s="1"/>
  <c r="F1544" i="7" s="1"/>
  <c r="L1543" i="7"/>
  <c r="K1543" i="7"/>
  <c r="H1543" i="7"/>
  <c r="U1543" i="7" s="1"/>
  <c r="C1543" i="7"/>
  <c r="E1543" i="7" s="1"/>
  <c r="F1543" i="7" s="1"/>
  <c r="L1542" i="7"/>
  <c r="K1542" i="7"/>
  <c r="H1542" i="7"/>
  <c r="U1542" i="7" s="1"/>
  <c r="C1542" i="7"/>
  <c r="E1542" i="7" s="1"/>
  <c r="F1542" i="7" s="1"/>
  <c r="L1541" i="7"/>
  <c r="K1541" i="7"/>
  <c r="H1541" i="7"/>
  <c r="U1541" i="7" s="1"/>
  <c r="C1541" i="7"/>
  <c r="E1541" i="7" s="1"/>
  <c r="F1541" i="7" s="1"/>
  <c r="L1540" i="7"/>
  <c r="K1540" i="7"/>
  <c r="H1540" i="7"/>
  <c r="U1540" i="7" s="1"/>
  <c r="E1540" i="7"/>
  <c r="F1540" i="7" s="1"/>
  <c r="C1540" i="7"/>
  <c r="L1539" i="7"/>
  <c r="K1539" i="7"/>
  <c r="H1539" i="7"/>
  <c r="U1539" i="7" s="1"/>
  <c r="C1539" i="7"/>
  <c r="E1539" i="7" s="1"/>
  <c r="F1539" i="7" s="1"/>
  <c r="L1538" i="7"/>
  <c r="K1538" i="7"/>
  <c r="H1538" i="7"/>
  <c r="U1538" i="7" s="1"/>
  <c r="C1538" i="7"/>
  <c r="E1538" i="7" s="1"/>
  <c r="F1538" i="7" s="1"/>
  <c r="J1538" i="7" s="1"/>
  <c r="L1537" i="7"/>
  <c r="K1537" i="7"/>
  <c r="H1537" i="7"/>
  <c r="U1537" i="7" s="1"/>
  <c r="C1537" i="7"/>
  <c r="E1537" i="7" s="1"/>
  <c r="F1537" i="7" s="1"/>
  <c r="L1536" i="7"/>
  <c r="K1536" i="7"/>
  <c r="H1536" i="7"/>
  <c r="U1536" i="7" s="1"/>
  <c r="E1536" i="7"/>
  <c r="F1536" i="7" s="1"/>
  <c r="C1536" i="7"/>
  <c r="L1535" i="7"/>
  <c r="K1535" i="7"/>
  <c r="H1535" i="7"/>
  <c r="U1535" i="7" s="1"/>
  <c r="E1535" i="7"/>
  <c r="F1535" i="7" s="1"/>
  <c r="C1535" i="7"/>
  <c r="L1534" i="7"/>
  <c r="K1534" i="7"/>
  <c r="H1534" i="7"/>
  <c r="U1534" i="7" s="1"/>
  <c r="C1534" i="7"/>
  <c r="E1534" i="7" s="1"/>
  <c r="F1534" i="7" s="1"/>
  <c r="U1533" i="7"/>
  <c r="L1533" i="7"/>
  <c r="K1533" i="7"/>
  <c r="H1533" i="7"/>
  <c r="C1533" i="7"/>
  <c r="E1533" i="7" s="1"/>
  <c r="F1533" i="7" s="1"/>
  <c r="L1532" i="7"/>
  <c r="K1532" i="7"/>
  <c r="H1532" i="7"/>
  <c r="U1532" i="7" s="1"/>
  <c r="C1532" i="7"/>
  <c r="E1532" i="7" s="1"/>
  <c r="F1532" i="7" s="1"/>
  <c r="J1532" i="7" s="1"/>
  <c r="L1531" i="7"/>
  <c r="K1531" i="7"/>
  <c r="H1531" i="7"/>
  <c r="U1531" i="7" s="1"/>
  <c r="C1531" i="7"/>
  <c r="E1531" i="7" s="1"/>
  <c r="F1531" i="7" s="1"/>
  <c r="L1530" i="7"/>
  <c r="K1530" i="7"/>
  <c r="H1530" i="7"/>
  <c r="U1530" i="7" s="1"/>
  <c r="C1530" i="7"/>
  <c r="E1530" i="7" s="1"/>
  <c r="F1530" i="7" s="1"/>
  <c r="J1530" i="7" s="1"/>
  <c r="L1529" i="7"/>
  <c r="K1529" i="7"/>
  <c r="H1529" i="7"/>
  <c r="U1529" i="7" s="1"/>
  <c r="C1529" i="7"/>
  <c r="E1529" i="7" s="1"/>
  <c r="F1529" i="7" s="1"/>
  <c r="U1528" i="7"/>
  <c r="L1528" i="7"/>
  <c r="K1528" i="7"/>
  <c r="H1528" i="7"/>
  <c r="C1528" i="7"/>
  <c r="E1528" i="7" s="1"/>
  <c r="F1528" i="7" s="1"/>
  <c r="L1527" i="7"/>
  <c r="K1527" i="7"/>
  <c r="H1527" i="7"/>
  <c r="U1527" i="7" s="1"/>
  <c r="C1527" i="7"/>
  <c r="E1527" i="7" s="1"/>
  <c r="F1527" i="7" s="1"/>
  <c r="L1526" i="7"/>
  <c r="K1526" i="7"/>
  <c r="H1526" i="7"/>
  <c r="U1526" i="7" s="1"/>
  <c r="C1526" i="7"/>
  <c r="E1526" i="7" s="1"/>
  <c r="F1526" i="7" s="1"/>
  <c r="J1526" i="7" s="1"/>
  <c r="L1525" i="7"/>
  <c r="K1525" i="7"/>
  <c r="H1525" i="7"/>
  <c r="U1525" i="7" s="1"/>
  <c r="E1525" i="7"/>
  <c r="F1525" i="7" s="1"/>
  <c r="C1525" i="7"/>
  <c r="L1524" i="7"/>
  <c r="K1524" i="7"/>
  <c r="I1524" i="7"/>
  <c r="H1524" i="7"/>
  <c r="U1524" i="7" s="1"/>
  <c r="C1524" i="7"/>
  <c r="E1524" i="7" s="1"/>
  <c r="F1524" i="7" s="1"/>
  <c r="L1523" i="7"/>
  <c r="K1523" i="7"/>
  <c r="H1523" i="7"/>
  <c r="U1523" i="7" s="1"/>
  <c r="C1523" i="7"/>
  <c r="E1523" i="7" s="1"/>
  <c r="F1523" i="7" s="1"/>
  <c r="L1522" i="7"/>
  <c r="K1522" i="7"/>
  <c r="H1522" i="7"/>
  <c r="U1522" i="7" s="1"/>
  <c r="E1522" i="7"/>
  <c r="F1522" i="7" s="1"/>
  <c r="C1522" i="7"/>
  <c r="L1521" i="7"/>
  <c r="K1521" i="7"/>
  <c r="H1521" i="7"/>
  <c r="U1521" i="7" s="1"/>
  <c r="C1521" i="7"/>
  <c r="E1521" i="7" s="1"/>
  <c r="F1521" i="7" s="1"/>
  <c r="U1520" i="7"/>
  <c r="L1520" i="7"/>
  <c r="K1520" i="7"/>
  <c r="H1520" i="7"/>
  <c r="F1520" i="7"/>
  <c r="E1520" i="7"/>
  <c r="C1520" i="7"/>
  <c r="L1519" i="7"/>
  <c r="K1519" i="7"/>
  <c r="H1519" i="7"/>
  <c r="U1519" i="7" s="1"/>
  <c r="C1519" i="7"/>
  <c r="E1519" i="7" s="1"/>
  <c r="F1519" i="7" s="1"/>
  <c r="L1518" i="7"/>
  <c r="K1518" i="7"/>
  <c r="H1518" i="7"/>
  <c r="U1518" i="7" s="1"/>
  <c r="E1518" i="7"/>
  <c r="F1518" i="7" s="1"/>
  <c r="C1518" i="7"/>
  <c r="L1517" i="7"/>
  <c r="K1517" i="7"/>
  <c r="H1517" i="7"/>
  <c r="U1517" i="7" s="1"/>
  <c r="C1517" i="7"/>
  <c r="E1517" i="7" s="1"/>
  <c r="F1517" i="7" s="1"/>
  <c r="L1516" i="7"/>
  <c r="K1516" i="7"/>
  <c r="H1516" i="7"/>
  <c r="U1516" i="7" s="1"/>
  <c r="C1516" i="7"/>
  <c r="E1516" i="7" s="1"/>
  <c r="F1516" i="7" s="1"/>
  <c r="J1516" i="7" s="1"/>
  <c r="L1515" i="7"/>
  <c r="K1515" i="7"/>
  <c r="H1515" i="7"/>
  <c r="U1515" i="7" s="1"/>
  <c r="E1515" i="7"/>
  <c r="F1515" i="7" s="1"/>
  <c r="C1515" i="7"/>
  <c r="L1514" i="7"/>
  <c r="K1514" i="7"/>
  <c r="H1514" i="7"/>
  <c r="U1514" i="7" s="1"/>
  <c r="C1514" i="7"/>
  <c r="E1514" i="7" s="1"/>
  <c r="F1514" i="7" s="1"/>
  <c r="L1513" i="7"/>
  <c r="K1513" i="7"/>
  <c r="H1513" i="7"/>
  <c r="U1513" i="7" s="1"/>
  <c r="E1513" i="7"/>
  <c r="F1513" i="7" s="1"/>
  <c r="C1513" i="7"/>
  <c r="U1512" i="7"/>
  <c r="L1512" i="7"/>
  <c r="K1512" i="7"/>
  <c r="I1512" i="7"/>
  <c r="H1512" i="7"/>
  <c r="C1512" i="7"/>
  <c r="E1512" i="7" s="1"/>
  <c r="F1512" i="7" s="1"/>
  <c r="L1511" i="7"/>
  <c r="K1511" i="7"/>
  <c r="H1511" i="7"/>
  <c r="U1511" i="7" s="1"/>
  <c r="C1511" i="7"/>
  <c r="E1511" i="7" s="1"/>
  <c r="F1511" i="7" s="1"/>
  <c r="L1510" i="7"/>
  <c r="K1510" i="7"/>
  <c r="H1510" i="7"/>
  <c r="U1510" i="7" s="1"/>
  <c r="E1510" i="7"/>
  <c r="F1510" i="7" s="1"/>
  <c r="C1510" i="7"/>
  <c r="L1509" i="7"/>
  <c r="K1509" i="7"/>
  <c r="H1509" i="7"/>
  <c r="U1509" i="7" s="1"/>
  <c r="C1509" i="7"/>
  <c r="E1509" i="7" s="1"/>
  <c r="F1509" i="7" s="1"/>
  <c r="L1508" i="7"/>
  <c r="K1508" i="7"/>
  <c r="H1508" i="7"/>
  <c r="U1508" i="7" s="1"/>
  <c r="F1508" i="7"/>
  <c r="E1508" i="7"/>
  <c r="C1508" i="7"/>
  <c r="L1507" i="7"/>
  <c r="K1507" i="7"/>
  <c r="H1507" i="7"/>
  <c r="U1507" i="7" s="1"/>
  <c r="C1507" i="7"/>
  <c r="E1507" i="7" s="1"/>
  <c r="F1507" i="7" s="1"/>
  <c r="L1506" i="7"/>
  <c r="K1506" i="7"/>
  <c r="H1506" i="7"/>
  <c r="U1506" i="7" s="1"/>
  <c r="C1506" i="7"/>
  <c r="E1506" i="7" s="1"/>
  <c r="F1506" i="7" s="1"/>
  <c r="L1505" i="7"/>
  <c r="K1505" i="7"/>
  <c r="H1505" i="7"/>
  <c r="U1505" i="7" s="1"/>
  <c r="C1505" i="7"/>
  <c r="E1505" i="7" s="1"/>
  <c r="F1505" i="7" s="1"/>
  <c r="L1504" i="7"/>
  <c r="K1504" i="7"/>
  <c r="H1504" i="7"/>
  <c r="U1504" i="7" s="1"/>
  <c r="C1504" i="7"/>
  <c r="E1504" i="7" s="1"/>
  <c r="F1504" i="7" s="1"/>
  <c r="L1503" i="7"/>
  <c r="K1503" i="7"/>
  <c r="H1503" i="7"/>
  <c r="U1503" i="7" s="1"/>
  <c r="C1503" i="7"/>
  <c r="E1503" i="7" s="1"/>
  <c r="F1503" i="7" s="1"/>
  <c r="L1502" i="7"/>
  <c r="K1502" i="7"/>
  <c r="H1502" i="7"/>
  <c r="U1502" i="7" s="1"/>
  <c r="C1502" i="7"/>
  <c r="E1502" i="7" s="1"/>
  <c r="F1502" i="7" s="1"/>
  <c r="L1501" i="7"/>
  <c r="K1501" i="7"/>
  <c r="H1501" i="7"/>
  <c r="U1501" i="7" s="1"/>
  <c r="C1501" i="7"/>
  <c r="E1501" i="7" s="1"/>
  <c r="F1501" i="7" s="1"/>
  <c r="L1500" i="7"/>
  <c r="K1500" i="7"/>
  <c r="H1500" i="7"/>
  <c r="U1500" i="7" s="1"/>
  <c r="C1500" i="7"/>
  <c r="E1500" i="7" s="1"/>
  <c r="F1500" i="7" s="1"/>
  <c r="L1499" i="7"/>
  <c r="K1499" i="7"/>
  <c r="H1499" i="7"/>
  <c r="U1499" i="7" s="1"/>
  <c r="C1499" i="7"/>
  <c r="E1499" i="7" s="1"/>
  <c r="F1499" i="7" s="1"/>
  <c r="I1499" i="7" s="1"/>
  <c r="L1498" i="7"/>
  <c r="K1498" i="7"/>
  <c r="I1498" i="7"/>
  <c r="H1498" i="7"/>
  <c r="U1498" i="7" s="1"/>
  <c r="E1498" i="7"/>
  <c r="F1498" i="7" s="1"/>
  <c r="J1498" i="7" s="1"/>
  <c r="C1498" i="7"/>
  <c r="L1497" i="7"/>
  <c r="K1497" i="7"/>
  <c r="H1497" i="7"/>
  <c r="U1497" i="7" s="1"/>
  <c r="C1497" i="7"/>
  <c r="E1497" i="7" s="1"/>
  <c r="F1497" i="7" s="1"/>
  <c r="U1496" i="7"/>
  <c r="L1496" i="7"/>
  <c r="K1496" i="7"/>
  <c r="H1496" i="7"/>
  <c r="E1496" i="7"/>
  <c r="F1496" i="7" s="1"/>
  <c r="J1496" i="7" s="1"/>
  <c r="C1496" i="7"/>
  <c r="L1495" i="7"/>
  <c r="K1495" i="7"/>
  <c r="H1495" i="7"/>
  <c r="U1495" i="7" s="1"/>
  <c r="C1495" i="7"/>
  <c r="E1495" i="7" s="1"/>
  <c r="F1495" i="7" s="1"/>
  <c r="L1494" i="7"/>
  <c r="K1494" i="7"/>
  <c r="H1494" i="7"/>
  <c r="U1494" i="7" s="1"/>
  <c r="C1494" i="7"/>
  <c r="E1494" i="7" s="1"/>
  <c r="F1494" i="7" s="1"/>
  <c r="L1493" i="7"/>
  <c r="K1493" i="7"/>
  <c r="H1493" i="7"/>
  <c r="U1493" i="7" s="1"/>
  <c r="C1493" i="7"/>
  <c r="E1493" i="7" s="1"/>
  <c r="F1493" i="7" s="1"/>
  <c r="L1492" i="7"/>
  <c r="K1492" i="7"/>
  <c r="H1492" i="7"/>
  <c r="U1492" i="7" s="1"/>
  <c r="C1492" i="7"/>
  <c r="E1492" i="7" s="1"/>
  <c r="F1492" i="7" s="1"/>
  <c r="I1492" i="7" s="1"/>
  <c r="L1491" i="7"/>
  <c r="K1491" i="7"/>
  <c r="H1491" i="7"/>
  <c r="U1491" i="7" s="1"/>
  <c r="E1491" i="7"/>
  <c r="F1491" i="7" s="1"/>
  <c r="C1491" i="7"/>
  <c r="L1490" i="7"/>
  <c r="K1490" i="7"/>
  <c r="H1490" i="7"/>
  <c r="U1490" i="7" s="1"/>
  <c r="E1490" i="7"/>
  <c r="F1490" i="7" s="1"/>
  <c r="C1490" i="7"/>
  <c r="L1489" i="7"/>
  <c r="K1489" i="7"/>
  <c r="H1489" i="7"/>
  <c r="U1489" i="7" s="1"/>
  <c r="C1489" i="7"/>
  <c r="E1489" i="7" s="1"/>
  <c r="F1489" i="7" s="1"/>
  <c r="U1488" i="7"/>
  <c r="L1488" i="7"/>
  <c r="K1488" i="7"/>
  <c r="H1488" i="7"/>
  <c r="C1488" i="7"/>
  <c r="E1488" i="7" s="1"/>
  <c r="F1488" i="7" s="1"/>
  <c r="I1488" i="7" s="1"/>
  <c r="L1487" i="7"/>
  <c r="K1487" i="7"/>
  <c r="H1487" i="7"/>
  <c r="U1487" i="7" s="1"/>
  <c r="C1487" i="7"/>
  <c r="E1487" i="7" s="1"/>
  <c r="F1487" i="7" s="1"/>
  <c r="L1486" i="7"/>
  <c r="K1486" i="7"/>
  <c r="H1486" i="7"/>
  <c r="U1486" i="7" s="1"/>
  <c r="E1486" i="7"/>
  <c r="F1486" i="7" s="1"/>
  <c r="C1486" i="7"/>
  <c r="L1485" i="7"/>
  <c r="K1485" i="7"/>
  <c r="H1485" i="7"/>
  <c r="U1485" i="7" s="1"/>
  <c r="C1485" i="7"/>
  <c r="E1485" i="7" s="1"/>
  <c r="F1485" i="7" s="1"/>
  <c r="U1484" i="7"/>
  <c r="L1484" i="7"/>
  <c r="I1484" i="7" s="1"/>
  <c r="K1484" i="7"/>
  <c r="H1484" i="7"/>
  <c r="C1484" i="7"/>
  <c r="E1484" i="7" s="1"/>
  <c r="F1484" i="7" s="1"/>
  <c r="L1483" i="7"/>
  <c r="K1483" i="7"/>
  <c r="H1483" i="7"/>
  <c r="U1483" i="7" s="1"/>
  <c r="C1483" i="7"/>
  <c r="E1483" i="7" s="1"/>
  <c r="F1483" i="7" s="1"/>
  <c r="L1482" i="7"/>
  <c r="K1482" i="7"/>
  <c r="I1482" i="7"/>
  <c r="H1482" i="7"/>
  <c r="U1482" i="7" s="1"/>
  <c r="C1482" i="7"/>
  <c r="E1482" i="7" s="1"/>
  <c r="F1482" i="7" s="1"/>
  <c r="U1481" i="7"/>
  <c r="L1481" i="7"/>
  <c r="K1481" i="7"/>
  <c r="H1481" i="7"/>
  <c r="C1481" i="7"/>
  <c r="E1481" i="7" s="1"/>
  <c r="F1481" i="7" s="1"/>
  <c r="L1480" i="7"/>
  <c r="K1480" i="7"/>
  <c r="H1480" i="7"/>
  <c r="U1480" i="7" s="1"/>
  <c r="E1480" i="7"/>
  <c r="F1480" i="7" s="1"/>
  <c r="C1480" i="7"/>
  <c r="L1479" i="7"/>
  <c r="K1479" i="7"/>
  <c r="H1479" i="7"/>
  <c r="U1479" i="7" s="1"/>
  <c r="C1479" i="7"/>
  <c r="E1479" i="7" s="1"/>
  <c r="F1479" i="7" s="1"/>
  <c r="L1478" i="7"/>
  <c r="K1478" i="7"/>
  <c r="H1478" i="7"/>
  <c r="U1478" i="7" s="1"/>
  <c r="C1478" i="7"/>
  <c r="E1478" i="7" s="1"/>
  <c r="F1478" i="7" s="1"/>
  <c r="L1477" i="7"/>
  <c r="K1477" i="7"/>
  <c r="H1477" i="7"/>
  <c r="U1477" i="7" s="1"/>
  <c r="C1477" i="7"/>
  <c r="E1477" i="7" s="1"/>
  <c r="F1477" i="7" s="1"/>
  <c r="L1476" i="7"/>
  <c r="K1476" i="7"/>
  <c r="H1476" i="7"/>
  <c r="U1476" i="7" s="1"/>
  <c r="E1476" i="7"/>
  <c r="F1476" i="7" s="1"/>
  <c r="C1476" i="7"/>
  <c r="L1475" i="7"/>
  <c r="K1475" i="7"/>
  <c r="H1475" i="7"/>
  <c r="U1475" i="7" s="1"/>
  <c r="C1475" i="7"/>
  <c r="E1475" i="7" s="1"/>
  <c r="F1475" i="7" s="1"/>
  <c r="L1474" i="7"/>
  <c r="K1474" i="7"/>
  <c r="H1474" i="7"/>
  <c r="U1474" i="7" s="1"/>
  <c r="C1474" i="7"/>
  <c r="E1474" i="7" s="1"/>
  <c r="F1474" i="7" s="1"/>
  <c r="L1473" i="7"/>
  <c r="K1473" i="7"/>
  <c r="H1473" i="7"/>
  <c r="U1473" i="7" s="1"/>
  <c r="C1473" i="7"/>
  <c r="E1473" i="7" s="1"/>
  <c r="F1473" i="7" s="1"/>
  <c r="U1472" i="7"/>
  <c r="L1472" i="7"/>
  <c r="K1472" i="7"/>
  <c r="H1472" i="7"/>
  <c r="C1472" i="7"/>
  <c r="E1472" i="7" s="1"/>
  <c r="F1472" i="7" s="1"/>
  <c r="L1471" i="7"/>
  <c r="K1471" i="7"/>
  <c r="H1471" i="7"/>
  <c r="U1471" i="7" s="1"/>
  <c r="C1471" i="7"/>
  <c r="E1471" i="7" s="1"/>
  <c r="F1471" i="7" s="1"/>
  <c r="I1471" i="7" s="1"/>
  <c r="L1470" i="7"/>
  <c r="K1470" i="7"/>
  <c r="H1470" i="7"/>
  <c r="U1470" i="7" s="1"/>
  <c r="C1470" i="7"/>
  <c r="E1470" i="7" s="1"/>
  <c r="F1470" i="7" s="1"/>
  <c r="L1469" i="7"/>
  <c r="K1469" i="7"/>
  <c r="H1469" i="7"/>
  <c r="U1469" i="7" s="1"/>
  <c r="C1469" i="7"/>
  <c r="E1469" i="7" s="1"/>
  <c r="F1469" i="7" s="1"/>
  <c r="L1468" i="7"/>
  <c r="K1468" i="7"/>
  <c r="H1468" i="7"/>
  <c r="U1468" i="7" s="1"/>
  <c r="F1468" i="7"/>
  <c r="C1468" i="7"/>
  <c r="E1468" i="7" s="1"/>
  <c r="U1467" i="7"/>
  <c r="L1467" i="7"/>
  <c r="K1467" i="7"/>
  <c r="H1467" i="7"/>
  <c r="C1467" i="7"/>
  <c r="E1467" i="7" s="1"/>
  <c r="F1467" i="7" s="1"/>
  <c r="L1466" i="7"/>
  <c r="K1466" i="7"/>
  <c r="H1466" i="7"/>
  <c r="U1466" i="7" s="1"/>
  <c r="E1466" i="7"/>
  <c r="F1466" i="7" s="1"/>
  <c r="C1466" i="7"/>
  <c r="L1465" i="7"/>
  <c r="K1465" i="7"/>
  <c r="H1465" i="7"/>
  <c r="U1465" i="7" s="1"/>
  <c r="C1465" i="7"/>
  <c r="E1465" i="7" s="1"/>
  <c r="F1465" i="7" s="1"/>
  <c r="L1464" i="7"/>
  <c r="K1464" i="7"/>
  <c r="H1464" i="7"/>
  <c r="U1464" i="7" s="1"/>
  <c r="C1464" i="7"/>
  <c r="E1464" i="7" s="1"/>
  <c r="F1464" i="7" s="1"/>
  <c r="I1464" i="7" s="1"/>
  <c r="L1463" i="7"/>
  <c r="K1463" i="7"/>
  <c r="H1463" i="7"/>
  <c r="U1463" i="7" s="1"/>
  <c r="C1463" i="7"/>
  <c r="E1463" i="7" s="1"/>
  <c r="F1463" i="7" s="1"/>
  <c r="L1462" i="7"/>
  <c r="K1462" i="7"/>
  <c r="H1462" i="7"/>
  <c r="U1462" i="7" s="1"/>
  <c r="E1462" i="7"/>
  <c r="F1462" i="7" s="1"/>
  <c r="C1462" i="7"/>
  <c r="L1461" i="7"/>
  <c r="K1461" i="7"/>
  <c r="H1461" i="7"/>
  <c r="U1461" i="7" s="1"/>
  <c r="C1461" i="7"/>
  <c r="E1461" i="7" s="1"/>
  <c r="F1461" i="7" s="1"/>
  <c r="L1460" i="7"/>
  <c r="K1460" i="7"/>
  <c r="H1460" i="7"/>
  <c r="U1460" i="7" s="1"/>
  <c r="F1460" i="7"/>
  <c r="C1460" i="7"/>
  <c r="E1460" i="7" s="1"/>
  <c r="L1459" i="7"/>
  <c r="K1459" i="7"/>
  <c r="H1459" i="7"/>
  <c r="U1459" i="7" s="1"/>
  <c r="C1459" i="7"/>
  <c r="E1459" i="7" s="1"/>
  <c r="F1459" i="7" s="1"/>
  <c r="L1458" i="7"/>
  <c r="K1458" i="7"/>
  <c r="H1458" i="7"/>
  <c r="U1458" i="7" s="1"/>
  <c r="C1458" i="7"/>
  <c r="E1458" i="7" s="1"/>
  <c r="F1458" i="7" s="1"/>
  <c r="L1457" i="7"/>
  <c r="K1457" i="7"/>
  <c r="H1457" i="7"/>
  <c r="U1457" i="7" s="1"/>
  <c r="C1457" i="7"/>
  <c r="E1457" i="7" s="1"/>
  <c r="F1457" i="7" s="1"/>
  <c r="L1456" i="7"/>
  <c r="K1456" i="7"/>
  <c r="H1456" i="7"/>
  <c r="U1456" i="7" s="1"/>
  <c r="E1456" i="7"/>
  <c r="F1456" i="7" s="1"/>
  <c r="C1456" i="7"/>
  <c r="L1455" i="7"/>
  <c r="K1455" i="7"/>
  <c r="H1455" i="7"/>
  <c r="U1455" i="7" s="1"/>
  <c r="C1455" i="7"/>
  <c r="E1455" i="7" s="1"/>
  <c r="F1455" i="7" s="1"/>
  <c r="L1454" i="7"/>
  <c r="K1454" i="7"/>
  <c r="H1454" i="7"/>
  <c r="U1454" i="7" s="1"/>
  <c r="E1454" i="7"/>
  <c r="F1454" i="7" s="1"/>
  <c r="C1454" i="7"/>
  <c r="L1453" i="7"/>
  <c r="K1453" i="7"/>
  <c r="H1453" i="7"/>
  <c r="U1453" i="7" s="1"/>
  <c r="C1453" i="7"/>
  <c r="E1453" i="7" s="1"/>
  <c r="F1453" i="7" s="1"/>
  <c r="U1452" i="7"/>
  <c r="L1452" i="7"/>
  <c r="K1452" i="7"/>
  <c r="H1452" i="7"/>
  <c r="C1452" i="7"/>
  <c r="E1452" i="7" s="1"/>
  <c r="F1452" i="7" s="1"/>
  <c r="L1451" i="7"/>
  <c r="K1451" i="7"/>
  <c r="H1451" i="7"/>
  <c r="U1451" i="7" s="1"/>
  <c r="C1451" i="7"/>
  <c r="E1451" i="7" s="1"/>
  <c r="F1451" i="7" s="1"/>
  <c r="I1451" i="7" s="1"/>
  <c r="L1450" i="7"/>
  <c r="K1450" i="7"/>
  <c r="I1450" i="7"/>
  <c r="H1450" i="7"/>
  <c r="U1450" i="7" s="1"/>
  <c r="C1450" i="7"/>
  <c r="E1450" i="7" s="1"/>
  <c r="F1450" i="7" s="1"/>
  <c r="L1449" i="7"/>
  <c r="K1449" i="7"/>
  <c r="H1449" i="7"/>
  <c r="U1449" i="7" s="1"/>
  <c r="E1449" i="7"/>
  <c r="F1449" i="7" s="1"/>
  <c r="C1449" i="7"/>
  <c r="L1448" i="7"/>
  <c r="K1448" i="7"/>
  <c r="H1448" i="7"/>
  <c r="U1448" i="7" s="1"/>
  <c r="E1448" i="7"/>
  <c r="F1448" i="7" s="1"/>
  <c r="C1448" i="7"/>
  <c r="L1447" i="7"/>
  <c r="K1447" i="7"/>
  <c r="H1447" i="7"/>
  <c r="U1447" i="7" s="1"/>
  <c r="E1447" i="7"/>
  <c r="F1447" i="7" s="1"/>
  <c r="C1447" i="7"/>
  <c r="L1446" i="7"/>
  <c r="K1446" i="7"/>
  <c r="H1446" i="7"/>
  <c r="U1446" i="7" s="1"/>
  <c r="C1446" i="7"/>
  <c r="E1446" i="7" s="1"/>
  <c r="F1446" i="7" s="1"/>
  <c r="L1445" i="7"/>
  <c r="K1445" i="7"/>
  <c r="H1445" i="7"/>
  <c r="U1445" i="7" s="1"/>
  <c r="C1445" i="7"/>
  <c r="E1445" i="7" s="1"/>
  <c r="F1445" i="7" s="1"/>
  <c r="U1444" i="7"/>
  <c r="L1444" i="7"/>
  <c r="K1444" i="7"/>
  <c r="H1444" i="7"/>
  <c r="C1444" i="7"/>
  <c r="E1444" i="7" s="1"/>
  <c r="F1444" i="7" s="1"/>
  <c r="L1443" i="7"/>
  <c r="K1443" i="7"/>
  <c r="H1443" i="7"/>
  <c r="U1443" i="7" s="1"/>
  <c r="E1443" i="7"/>
  <c r="F1443" i="7" s="1"/>
  <c r="C1443" i="7"/>
  <c r="L1442" i="7"/>
  <c r="K1442" i="7"/>
  <c r="H1442" i="7"/>
  <c r="U1442" i="7" s="1"/>
  <c r="E1442" i="7"/>
  <c r="F1442" i="7" s="1"/>
  <c r="C1442" i="7"/>
  <c r="L1441" i="7"/>
  <c r="K1441" i="7"/>
  <c r="H1441" i="7"/>
  <c r="U1441" i="7" s="1"/>
  <c r="C1441" i="7"/>
  <c r="E1441" i="7" s="1"/>
  <c r="F1441" i="7" s="1"/>
  <c r="L1440" i="7"/>
  <c r="K1440" i="7"/>
  <c r="I1440" i="7"/>
  <c r="H1440" i="7"/>
  <c r="U1440" i="7" s="1"/>
  <c r="C1440" i="7"/>
  <c r="E1440" i="7" s="1"/>
  <c r="F1440" i="7" s="1"/>
  <c r="L1439" i="7"/>
  <c r="K1439" i="7"/>
  <c r="H1439" i="7"/>
  <c r="U1439" i="7" s="1"/>
  <c r="C1439" i="7"/>
  <c r="E1439" i="7" s="1"/>
  <c r="F1439" i="7" s="1"/>
  <c r="L1438" i="7"/>
  <c r="K1438" i="7"/>
  <c r="H1438" i="7"/>
  <c r="U1438" i="7" s="1"/>
  <c r="C1438" i="7"/>
  <c r="E1438" i="7" s="1"/>
  <c r="F1438" i="7" s="1"/>
  <c r="L1437" i="7"/>
  <c r="K1437" i="7"/>
  <c r="H1437" i="7"/>
  <c r="U1437" i="7" s="1"/>
  <c r="C1437" i="7"/>
  <c r="E1437" i="7" s="1"/>
  <c r="F1437" i="7" s="1"/>
  <c r="U1436" i="7"/>
  <c r="L1436" i="7"/>
  <c r="K1436" i="7"/>
  <c r="H1436" i="7"/>
  <c r="E1436" i="7"/>
  <c r="F1436" i="7" s="1"/>
  <c r="C1436" i="7"/>
  <c r="L1435" i="7"/>
  <c r="K1435" i="7"/>
  <c r="H1435" i="7"/>
  <c r="U1435" i="7" s="1"/>
  <c r="C1435" i="7"/>
  <c r="E1435" i="7" s="1"/>
  <c r="F1435" i="7" s="1"/>
  <c r="L1434" i="7"/>
  <c r="K1434" i="7"/>
  <c r="H1434" i="7"/>
  <c r="U1434" i="7" s="1"/>
  <c r="E1434" i="7"/>
  <c r="F1434" i="7" s="1"/>
  <c r="C1434" i="7"/>
  <c r="L1433" i="7"/>
  <c r="K1433" i="7"/>
  <c r="H1433" i="7"/>
  <c r="U1433" i="7" s="1"/>
  <c r="C1433" i="7"/>
  <c r="E1433" i="7" s="1"/>
  <c r="F1433" i="7" s="1"/>
  <c r="U1432" i="7"/>
  <c r="L1432" i="7"/>
  <c r="K1432" i="7"/>
  <c r="H1432" i="7"/>
  <c r="F1432" i="7"/>
  <c r="I1432" i="7" s="1"/>
  <c r="E1432" i="7"/>
  <c r="C1432" i="7"/>
  <c r="L1431" i="7"/>
  <c r="K1431" i="7"/>
  <c r="H1431" i="7"/>
  <c r="U1431" i="7" s="1"/>
  <c r="C1431" i="7"/>
  <c r="E1431" i="7" s="1"/>
  <c r="F1431" i="7" s="1"/>
  <c r="L1430" i="7"/>
  <c r="K1430" i="7"/>
  <c r="H1430" i="7"/>
  <c r="U1430" i="7" s="1"/>
  <c r="C1430" i="7"/>
  <c r="E1430" i="7" s="1"/>
  <c r="F1430" i="7" s="1"/>
  <c r="U1429" i="7"/>
  <c r="L1429" i="7"/>
  <c r="K1429" i="7"/>
  <c r="H1429" i="7"/>
  <c r="C1429" i="7"/>
  <c r="E1429" i="7" s="1"/>
  <c r="F1429" i="7" s="1"/>
  <c r="L1428" i="7"/>
  <c r="K1428" i="7"/>
  <c r="H1428" i="7"/>
  <c r="U1428" i="7" s="1"/>
  <c r="C1428" i="7"/>
  <c r="E1428" i="7" s="1"/>
  <c r="F1428" i="7" s="1"/>
  <c r="J1428" i="7" s="1"/>
  <c r="L1427" i="7"/>
  <c r="K1427" i="7"/>
  <c r="H1427" i="7"/>
  <c r="U1427" i="7" s="1"/>
  <c r="C1427" i="7"/>
  <c r="E1427" i="7" s="1"/>
  <c r="F1427" i="7" s="1"/>
  <c r="I1427" i="7" s="1"/>
  <c r="L1426" i="7"/>
  <c r="K1426" i="7"/>
  <c r="I1426" i="7"/>
  <c r="H1426" i="7"/>
  <c r="U1426" i="7" s="1"/>
  <c r="C1426" i="7"/>
  <c r="E1426" i="7" s="1"/>
  <c r="F1426" i="7" s="1"/>
  <c r="L1425" i="7"/>
  <c r="K1425" i="7"/>
  <c r="H1425" i="7"/>
  <c r="U1425" i="7" s="1"/>
  <c r="C1425" i="7"/>
  <c r="E1425" i="7" s="1"/>
  <c r="F1425" i="7" s="1"/>
  <c r="L1424" i="7"/>
  <c r="K1424" i="7"/>
  <c r="H1424" i="7"/>
  <c r="U1424" i="7" s="1"/>
  <c r="C1424" i="7"/>
  <c r="E1424" i="7" s="1"/>
  <c r="F1424" i="7" s="1"/>
  <c r="L1423" i="7"/>
  <c r="K1423" i="7"/>
  <c r="H1423" i="7"/>
  <c r="U1423" i="7" s="1"/>
  <c r="C1423" i="7"/>
  <c r="E1423" i="7" s="1"/>
  <c r="F1423" i="7" s="1"/>
  <c r="L1422" i="7"/>
  <c r="K1422" i="7"/>
  <c r="H1422" i="7"/>
  <c r="U1422" i="7" s="1"/>
  <c r="C1422" i="7"/>
  <c r="E1422" i="7" s="1"/>
  <c r="F1422" i="7" s="1"/>
  <c r="L1421" i="7"/>
  <c r="K1421" i="7"/>
  <c r="H1421" i="7"/>
  <c r="U1421" i="7" s="1"/>
  <c r="C1421" i="7"/>
  <c r="E1421" i="7" s="1"/>
  <c r="F1421" i="7" s="1"/>
  <c r="L1420" i="7"/>
  <c r="K1420" i="7"/>
  <c r="H1420" i="7"/>
  <c r="U1420" i="7" s="1"/>
  <c r="C1420" i="7"/>
  <c r="E1420" i="7" s="1"/>
  <c r="F1420" i="7" s="1"/>
  <c r="L1419" i="7"/>
  <c r="K1419" i="7"/>
  <c r="H1419" i="7"/>
  <c r="U1419" i="7" s="1"/>
  <c r="C1419" i="7"/>
  <c r="E1419" i="7" s="1"/>
  <c r="F1419" i="7" s="1"/>
  <c r="L1418" i="7"/>
  <c r="K1418" i="7"/>
  <c r="H1418" i="7"/>
  <c r="U1418" i="7" s="1"/>
  <c r="C1418" i="7"/>
  <c r="E1418" i="7" s="1"/>
  <c r="F1418" i="7" s="1"/>
  <c r="L1417" i="7"/>
  <c r="K1417" i="7"/>
  <c r="H1417" i="7"/>
  <c r="U1417" i="7" s="1"/>
  <c r="C1417" i="7"/>
  <c r="E1417" i="7" s="1"/>
  <c r="F1417" i="7" s="1"/>
  <c r="L1416" i="7"/>
  <c r="K1416" i="7"/>
  <c r="H1416" i="7"/>
  <c r="U1416" i="7" s="1"/>
  <c r="C1416" i="7"/>
  <c r="E1416" i="7" s="1"/>
  <c r="F1416" i="7" s="1"/>
  <c r="L1415" i="7"/>
  <c r="K1415" i="7"/>
  <c r="H1415" i="7"/>
  <c r="U1415" i="7" s="1"/>
  <c r="C1415" i="7"/>
  <c r="E1415" i="7" s="1"/>
  <c r="F1415" i="7" s="1"/>
  <c r="L1414" i="7"/>
  <c r="K1414" i="7"/>
  <c r="H1414" i="7"/>
  <c r="U1414" i="7" s="1"/>
  <c r="E1414" i="7"/>
  <c r="F1414" i="7" s="1"/>
  <c r="C1414" i="7"/>
  <c r="L1413" i="7"/>
  <c r="K1413" i="7"/>
  <c r="H1413" i="7"/>
  <c r="U1413" i="7" s="1"/>
  <c r="C1413" i="7"/>
  <c r="E1413" i="7" s="1"/>
  <c r="F1413" i="7" s="1"/>
  <c r="U1412" i="7"/>
  <c r="L1412" i="7"/>
  <c r="K1412" i="7"/>
  <c r="H1412" i="7"/>
  <c r="F1412" i="7"/>
  <c r="E1412" i="7"/>
  <c r="C1412" i="7"/>
  <c r="L1411" i="7"/>
  <c r="K1411" i="7"/>
  <c r="H1411" i="7"/>
  <c r="U1411" i="7" s="1"/>
  <c r="E1411" i="7"/>
  <c r="F1411" i="7" s="1"/>
  <c r="C1411" i="7"/>
  <c r="L1410" i="7"/>
  <c r="K1410" i="7"/>
  <c r="H1410" i="7"/>
  <c r="U1410" i="7" s="1"/>
  <c r="C1410" i="7"/>
  <c r="E1410" i="7" s="1"/>
  <c r="F1410" i="7" s="1"/>
  <c r="L1409" i="7"/>
  <c r="K1409" i="7"/>
  <c r="H1409" i="7"/>
  <c r="U1409" i="7" s="1"/>
  <c r="C1409" i="7"/>
  <c r="E1409" i="7" s="1"/>
  <c r="F1409" i="7" s="1"/>
  <c r="U1408" i="7"/>
  <c r="L1408" i="7"/>
  <c r="K1408" i="7"/>
  <c r="H1408" i="7"/>
  <c r="E1408" i="7"/>
  <c r="F1408" i="7" s="1"/>
  <c r="I1408" i="7" s="1"/>
  <c r="C1408" i="7"/>
  <c r="L1407" i="7"/>
  <c r="K1407" i="7"/>
  <c r="H1407" i="7"/>
  <c r="U1407" i="7" s="1"/>
  <c r="E1407" i="7"/>
  <c r="F1407" i="7" s="1"/>
  <c r="C1407" i="7"/>
  <c r="L1406" i="7"/>
  <c r="K1406" i="7"/>
  <c r="H1406" i="7"/>
  <c r="U1406" i="7" s="1"/>
  <c r="E1406" i="7"/>
  <c r="F1406" i="7" s="1"/>
  <c r="C1406" i="7"/>
  <c r="U1405" i="7"/>
  <c r="L1405" i="7"/>
  <c r="K1405" i="7"/>
  <c r="H1405" i="7"/>
  <c r="C1405" i="7"/>
  <c r="E1405" i="7" s="1"/>
  <c r="F1405" i="7" s="1"/>
  <c r="U1404" i="7"/>
  <c r="L1404" i="7"/>
  <c r="K1404" i="7"/>
  <c r="H1404" i="7"/>
  <c r="C1404" i="7"/>
  <c r="E1404" i="7" s="1"/>
  <c r="F1404" i="7" s="1"/>
  <c r="I1404" i="7" s="1"/>
  <c r="L1403" i="7"/>
  <c r="K1403" i="7"/>
  <c r="H1403" i="7"/>
  <c r="U1403" i="7" s="1"/>
  <c r="E1403" i="7"/>
  <c r="F1403" i="7" s="1"/>
  <c r="C1403" i="7"/>
  <c r="L1402" i="7"/>
  <c r="K1402" i="7"/>
  <c r="H1402" i="7"/>
  <c r="U1402" i="7" s="1"/>
  <c r="C1402" i="7"/>
  <c r="E1402" i="7" s="1"/>
  <c r="F1402" i="7" s="1"/>
  <c r="L1401" i="7"/>
  <c r="K1401" i="7"/>
  <c r="H1401" i="7"/>
  <c r="U1401" i="7" s="1"/>
  <c r="C1401" i="7"/>
  <c r="E1401" i="7" s="1"/>
  <c r="F1401" i="7" s="1"/>
  <c r="L1400" i="7"/>
  <c r="K1400" i="7"/>
  <c r="H1400" i="7"/>
  <c r="U1400" i="7" s="1"/>
  <c r="E1400" i="7"/>
  <c r="F1400" i="7" s="1"/>
  <c r="C1400" i="7"/>
  <c r="L1399" i="7"/>
  <c r="K1399" i="7"/>
  <c r="H1399" i="7"/>
  <c r="U1399" i="7" s="1"/>
  <c r="C1399" i="7"/>
  <c r="E1399" i="7" s="1"/>
  <c r="F1399" i="7" s="1"/>
  <c r="L1398" i="7"/>
  <c r="K1398" i="7"/>
  <c r="H1398" i="7"/>
  <c r="U1398" i="7" s="1"/>
  <c r="C1398" i="7"/>
  <c r="E1398" i="7" s="1"/>
  <c r="F1398" i="7" s="1"/>
  <c r="J1398" i="7" s="1"/>
  <c r="L1397" i="7"/>
  <c r="K1397" i="7"/>
  <c r="H1397" i="7"/>
  <c r="U1397" i="7" s="1"/>
  <c r="E1397" i="7"/>
  <c r="F1397" i="7" s="1"/>
  <c r="C1397" i="7"/>
  <c r="L1396" i="7"/>
  <c r="K1396" i="7"/>
  <c r="H1396" i="7"/>
  <c r="U1396" i="7" s="1"/>
  <c r="C1396" i="7"/>
  <c r="E1396" i="7" s="1"/>
  <c r="F1396" i="7" s="1"/>
  <c r="L1395" i="7"/>
  <c r="K1395" i="7"/>
  <c r="H1395" i="7"/>
  <c r="U1395" i="7" s="1"/>
  <c r="C1395" i="7"/>
  <c r="E1395" i="7" s="1"/>
  <c r="F1395" i="7" s="1"/>
  <c r="L1394" i="7"/>
  <c r="K1394" i="7"/>
  <c r="H1394" i="7"/>
  <c r="U1394" i="7" s="1"/>
  <c r="C1394" i="7"/>
  <c r="E1394" i="7" s="1"/>
  <c r="F1394" i="7" s="1"/>
  <c r="L1393" i="7"/>
  <c r="K1393" i="7"/>
  <c r="H1393" i="7"/>
  <c r="U1393" i="7" s="1"/>
  <c r="C1393" i="7"/>
  <c r="E1393" i="7" s="1"/>
  <c r="F1393" i="7" s="1"/>
  <c r="L1392" i="7"/>
  <c r="K1392" i="7"/>
  <c r="H1392" i="7"/>
  <c r="U1392" i="7" s="1"/>
  <c r="C1392" i="7"/>
  <c r="E1392" i="7" s="1"/>
  <c r="F1392" i="7" s="1"/>
  <c r="L1391" i="7"/>
  <c r="K1391" i="7"/>
  <c r="H1391" i="7"/>
  <c r="U1391" i="7" s="1"/>
  <c r="E1391" i="7"/>
  <c r="F1391" i="7" s="1"/>
  <c r="C1391" i="7"/>
  <c r="L1390" i="7"/>
  <c r="K1390" i="7"/>
  <c r="H1390" i="7"/>
  <c r="U1390" i="7" s="1"/>
  <c r="C1390" i="7"/>
  <c r="E1390" i="7" s="1"/>
  <c r="F1390" i="7" s="1"/>
  <c r="L1389" i="7"/>
  <c r="K1389" i="7"/>
  <c r="H1389" i="7"/>
  <c r="U1389" i="7" s="1"/>
  <c r="C1389" i="7"/>
  <c r="E1389" i="7" s="1"/>
  <c r="F1389" i="7" s="1"/>
  <c r="L1388" i="7"/>
  <c r="K1388" i="7"/>
  <c r="H1388" i="7"/>
  <c r="U1388" i="7" s="1"/>
  <c r="C1388" i="7"/>
  <c r="E1388" i="7" s="1"/>
  <c r="F1388" i="7" s="1"/>
  <c r="L1387" i="7"/>
  <c r="K1387" i="7"/>
  <c r="H1387" i="7"/>
  <c r="U1387" i="7" s="1"/>
  <c r="C1387" i="7"/>
  <c r="E1387" i="7" s="1"/>
  <c r="F1387" i="7" s="1"/>
  <c r="L1386" i="7"/>
  <c r="K1386" i="7"/>
  <c r="H1386" i="7"/>
  <c r="U1386" i="7" s="1"/>
  <c r="C1386" i="7"/>
  <c r="E1386" i="7" s="1"/>
  <c r="F1386" i="7" s="1"/>
  <c r="U1385" i="7"/>
  <c r="L1385" i="7"/>
  <c r="K1385" i="7"/>
  <c r="H1385" i="7"/>
  <c r="E1385" i="7"/>
  <c r="F1385" i="7" s="1"/>
  <c r="C1385" i="7"/>
  <c r="L1384" i="7"/>
  <c r="K1384" i="7"/>
  <c r="H1384" i="7"/>
  <c r="U1384" i="7" s="1"/>
  <c r="E1384" i="7"/>
  <c r="F1384" i="7" s="1"/>
  <c r="C1384" i="7"/>
  <c r="L1383" i="7"/>
  <c r="K1383" i="7"/>
  <c r="H1383" i="7"/>
  <c r="U1383" i="7" s="1"/>
  <c r="C1383" i="7"/>
  <c r="E1383" i="7" s="1"/>
  <c r="F1383" i="7" s="1"/>
  <c r="L1382" i="7"/>
  <c r="K1382" i="7"/>
  <c r="H1382" i="7"/>
  <c r="U1382" i="7" s="1"/>
  <c r="C1382" i="7"/>
  <c r="E1382" i="7" s="1"/>
  <c r="F1382" i="7" s="1"/>
  <c r="U1381" i="7"/>
  <c r="L1381" i="7"/>
  <c r="K1381" i="7"/>
  <c r="H1381" i="7"/>
  <c r="C1381" i="7"/>
  <c r="E1381" i="7" s="1"/>
  <c r="F1381" i="7" s="1"/>
  <c r="L1380" i="7"/>
  <c r="K1380" i="7"/>
  <c r="H1380" i="7"/>
  <c r="U1380" i="7" s="1"/>
  <c r="E1380" i="7"/>
  <c r="F1380" i="7" s="1"/>
  <c r="C1380" i="7"/>
  <c r="L1379" i="7"/>
  <c r="K1379" i="7"/>
  <c r="H1379" i="7"/>
  <c r="U1379" i="7" s="1"/>
  <c r="E1379" i="7"/>
  <c r="F1379" i="7" s="1"/>
  <c r="J1379" i="7" s="1"/>
  <c r="C1379" i="7"/>
  <c r="L1378" i="7"/>
  <c r="K1378" i="7"/>
  <c r="H1378" i="7"/>
  <c r="U1378" i="7" s="1"/>
  <c r="C1378" i="7"/>
  <c r="E1378" i="7" s="1"/>
  <c r="F1378" i="7" s="1"/>
  <c r="L1377" i="7"/>
  <c r="K1377" i="7"/>
  <c r="H1377" i="7"/>
  <c r="U1377" i="7" s="1"/>
  <c r="C1377" i="7"/>
  <c r="E1377" i="7" s="1"/>
  <c r="F1377" i="7" s="1"/>
  <c r="L1376" i="7"/>
  <c r="I1376" i="7" s="1"/>
  <c r="K1376" i="7"/>
  <c r="H1376" i="7"/>
  <c r="U1376" i="7" s="1"/>
  <c r="C1376" i="7"/>
  <c r="E1376" i="7" s="1"/>
  <c r="F1376" i="7" s="1"/>
  <c r="L1375" i="7"/>
  <c r="I1375" i="7" s="1"/>
  <c r="K1375" i="7"/>
  <c r="H1375" i="7"/>
  <c r="U1375" i="7" s="1"/>
  <c r="C1375" i="7"/>
  <c r="E1375" i="7" s="1"/>
  <c r="F1375" i="7" s="1"/>
  <c r="L1374" i="7"/>
  <c r="K1374" i="7"/>
  <c r="H1374" i="7"/>
  <c r="U1374" i="7" s="1"/>
  <c r="C1374" i="7"/>
  <c r="E1374" i="7" s="1"/>
  <c r="F1374" i="7" s="1"/>
  <c r="J1374" i="7" s="1"/>
  <c r="L1373" i="7"/>
  <c r="K1373" i="7"/>
  <c r="H1373" i="7"/>
  <c r="U1373" i="7" s="1"/>
  <c r="C1373" i="7"/>
  <c r="E1373" i="7" s="1"/>
  <c r="F1373" i="7" s="1"/>
  <c r="L1372" i="7"/>
  <c r="K1372" i="7"/>
  <c r="H1372" i="7"/>
  <c r="U1372" i="7" s="1"/>
  <c r="C1372" i="7"/>
  <c r="E1372" i="7" s="1"/>
  <c r="F1372" i="7" s="1"/>
  <c r="L1371" i="7"/>
  <c r="K1371" i="7"/>
  <c r="H1371" i="7"/>
  <c r="U1371" i="7" s="1"/>
  <c r="C1371" i="7"/>
  <c r="E1371" i="7" s="1"/>
  <c r="F1371" i="7" s="1"/>
  <c r="L1370" i="7"/>
  <c r="K1370" i="7"/>
  <c r="H1370" i="7"/>
  <c r="U1370" i="7" s="1"/>
  <c r="E1370" i="7"/>
  <c r="F1370" i="7" s="1"/>
  <c r="C1370" i="7"/>
  <c r="L1369" i="7"/>
  <c r="K1369" i="7"/>
  <c r="H1369" i="7"/>
  <c r="U1369" i="7" s="1"/>
  <c r="C1369" i="7"/>
  <c r="E1369" i="7" s="1"/>
  <c r="F1369" i="7" s="1"/>
  <c r="L1368" i="7"/>
  <c r="K1368" i="7"/>
  <c r="H1368" i="7"/>
  <c r="U1368" i="7" s="1"/>
  <c r="C1368" i="7"/>
  <c r="E1368" i="7" s="1"/>
  <c r="F1368" i="7" s="1"/>
  <c r="I1368" i="7" s="1"/>
  <c r="L1367" i="7"/>
  <c r="K1367" i="7"/>
  <c r="H1367" i="7"/>
  <c r="U1367" i="7" s="1"/>
  <c r="C1367" i="7"/>
  <c r="E1367" i="7" s="1"/>
  <c r="F1367" i="7" s="1"/>
  <c r="L1366" i="7"/>
  <c r="K1366" i="7"/>
  <c r="H1366" i="7"/>
  <c r="U1366" i="7" s="1"/>
  <c r="C1366" i="7"/>
  <c r="E1366" i="7" s="1"/>
  <c r="F1366" i="7" s="1"/>
  <c r="L1365" i="7"/>
  <c r="K1365" i="7"/>
  <c r="H1365" i="7"/>
  <c r="U1365" i="7" s="1"/>
  <c r="C1365" i="7"/>
  <c r="E1365" i="7" s="1"/>
  <c r="F1365" i="7" s="1"/>
  <c r="L1364" i="7"/>
  <c r="K1364" i="7"/>
  <c r="H1364" i="7"/>
  <c r="U1364" i="7" s="1"/>
  <c r="C1364" i="7"/>
  <c r="E1364" i="7" s="1"/>
  <c r="F1364" i="7" s="1"/>
  <c r="L1363" i="7"/>
  <c r="K1363" i="7"/>
  <c r="H1363" i="7"/>
  <c r="U1363" i="7" s="1"/>
  <c r="E1363" i="7"/>
  <c r="F1363" i="7" s="1"/>
  <c r="C1363" i="7"/>
  <c r="L1362" i="7"/>
  <c r="K1362" i="7"/>
  <c r="I1362" i="7"/>
  <c r="H1362" i="7"/>
  <c r="U1362" i="7" s="1"/>
  <c r="C1362" i="7"/>
  <c r="E1362" i="7" s="1"/>
  <c r="F1362" i="7" s="1"/>
  <c r="J1362" i="7" s="1"/>
  <c r="U1361" i="7"/>
  <c r="L1361" i="7"/>
  <c r="K1361" i="7"/>
  <c r="H1361" i="7"/>
  <c r="C1361" i="7"/>
  <c r="E1361" i="7" s="1"/>
  <c r="F1361" i="7" s="1"/>
  <c r="L1360" i="7"/>
  <c r="K1360" i="7"/>
  <c r="H1360" i="7"/>
  <c r="U1360" i="7" s="1"/>
  <c r="C1360" i="7"/>
  <c r="E1360" i="7" s="1"/>
  <c r="F1360" i="7" s="1"/>
  <c r="L1359" i="7"/>
  <c r="K1359" i="7"/>
  <c r="H1359" i="7"/>
  <c r="U1359" i="7" s="1"/>
  <c r="C1359" i="7"/>
  <c r="E1359" i="7" s="1"/>
  <c r="F1359" i="7" s="1"/>
  <c r="L1358" i="7"/>
  <c r="K1358" i="7"/>
  <c r="H1358" i="7"/>
  <c r="U1358" i="7" s="1"/>
  <c r="C1358" i="7"/>
  <c r="E1358" i="7" s="1"/>
  <c r="F1358" i="7" s="1"/>
  <c r="L1357" i="7"/>
  <c r="K1357" i="7"/>
  <c r="H1357" i="7"/>
  <c r="U1357" i="7" s="1"/>
  <c r="C1357" i="7"/>
  <c r="E1357" i="7" s="1"/>
  <c r="F1357" i="7" s="1"/>
  <c r="L1356" i="7"/>
  <c r="K1356" i="7"/>
  <c r="H1356" i="7"/>
  <c r="U1356" i="7" s="1"/>
  <c r="C1356" i="7"/>
  <c r="E1356" i="7" s="1"/>
  <c r="F1356" i="7" s="1"/>
  <c r="L1355" i="7"/>
  <c r="K1355" i="7"/>
  <c r="H1355" i="7"/>
  <c r="U1355" i="7" s="1"/>
  <c r="C1355" i="7"/>
  <c r="E1355" i="7" s="1"/>
  <c r="F1355" i="7" s="1"/>
  <c r="L1354" i="7"/>
  <c r="K1354" i="7"/>
  <c r="H1354" i="7"/>
  <c r="U1354" i="7" s="1"/>
  <c r="E1354" i="7"/>
  <c r="F1354" i="7" s="1"/>
  <c r="C1354" i="7"/>
  <c r="L1353" i="7"/>
  <c r="K1353" i="7"/>
  <c r="H1353" i="7"/>
  <c r="U1353" i="7" s="1"/>
  <c r="C1353" i="7"/>
  <c r="E1353" i="7" s="1"/>
  <c r="F1353" i="7" s="1"/>
  <c r="L1352" i="7"/>
  <c r="K1352" i="7"/>
  <c r="H1352" i="7"/>
  <c r="U1352" i="7" s="1"/>
  <c r="F1352" i="7"/>
  <c r="J1352" i="7" s="1"/>
  <c r="E1352" i="7"/>
  <c r="C1352" i="7"/>
  <c r="L1351" i="7"/>
  <c r="K1351" i="7"/>
  <c r="H1351" i="7"/>
  <c r="U1351" i="7" s="1"/>
  <c r="E1351" i="7"/>
  <c r="F1351" i="7" s="1"/>
  <c r="C1351" i="7"/>
  <c r="L1350" i="7"/>
  <c r="K1350" i="7"/>
  <c r="H1350" i="7"/>
  <c r="U1350" i="7" s="1"/>
  <c r="C1350" i="7"/>
  <c r="E1350" i="7" s="1"/>
  <c r="F1350" i="7" s="1"/>
  <c r="L1349" i="7"/>
  <c r="K1349" i="7"/>
  <c r="H1349" i="7"/>
  <c r="U1349" i="7" s="1"/>
  <c r="C1349" i="7"/>
  <c r="E1349" i="7" s="1"/>
  <c r="F1349" i="7" s="1"/>
  <c r="L1348" i="7"/>
  <c r="K1348" i="7"/>
  <c r="H1348" i="7"/>
  <c r="U1348" i="7" s="1"/>
  <c r="C1348" i="7"/>
  <c r="E1348" i="7" s="1"/>
  <c r="F1348" i="7" s="1"/>
  <c r="L1347" i="7"/>
  <c r="K1347" i="7"/>
  <c r="H1347" i="7"/>
  <c r="U1347" i="7" s="1"/>
  <c r="C1347" i="7"/>
  <c r="E1347" i="7" s="1"/>
  <c r="F1347" i="7" s="1"/>
  <c r="L1346" i="7"/>
  <c r="K1346" i="7"/>
  <c r="H1346" i="7"/>
  <c r="U1346" i="7" s="1"/>
  <c r="C1346" i="7"/>
  <c r="E1346" i="7" s="1"/>
  <c r="F1346" i="7" s="1"/>
  <c r="L1345" i="7"/>
  <c r="K1345" i="7"/>
  <c r="H1345" i="7"/>
  <c r="U1345" i="7" s="1"/>
  <c r="C1345" i="7"/>
  <c r="E1345" i="7" s="1"/>
  <c r="F1345" i="7" s="1"/>
  <c r="L1344" i="7"/>
  <c r="K1344" i="7"/>
  <c r="H1344" i="7"/>
  <c r="U1344" i="7" s="1"/>
  <c r="C1344" i="7"/>
  <c r="E1344" i="7" s="1"/>
  <c r="F1344" i="7" s="1"/>
  <c r="I1344" i="7" s="1"/>
  <c r="L1343" i="7"/>
  <c r="K1343" i="7"/>
  <c r="H1343" i="7"/>
  <c r="U1343" i="7" s="1"/>
  <c r="E1343" i="7"/>
  <c r="F1343" i="7" s="1"/>
  <c r="J1343" i="7" s="1"/>
  <c r="C1343" i="7"/>
  <c r="L1342" i="7"/>
  <c r="K1342" i="7"/>
  <c r="H1342" i="7"/>
  <c r="U1342" i="7" s="1"/>
  <c r="C1342" i="7"/>
  <c r="E1342" i="7" s="1"/>
  <c r="F1342" i="7" s="1"/>
  <c r="L1341" i="7"/>
  <c r="K1341" i="7"/>
  <c r="H1341" i="7"/>
  <c r="U1341" i="7" s="1"/>
  <c r="C1341" i="7"/>
  <c r="E1341" i="7" s="1"/>
  <c r="F1341" i="7" s="1"/>
  <c r="L1340" i="7"/>
  <c r="I1340" i="7" s="1"/>
  <c r="K1340" i="7"/>
  <c r="H1340" i="7"/>
  <c r="U1340" i="7" s="1"/>
  <c r="C1340" i="7"/>
  <c r="E1340" i="7" s="1"/>
  <c r="F1340" i="7" s="1"/>
  <c r="L1339" i="7"/>
  <c r="K1339" i="7"/>
  <c r="H1339" i="7"/>
  <c r="U1339" i="7" s="1"/>
  <c r="C1339" i="7"/>
  <c r="E1339" i="7" s="1"/>
  <c r="F1339" i="7" s="1"/>
  <c r="L1338" i="7"/>
  <c r="K1338" i="7"/>
  <c r="H1338" i="7"/>
  <c r="U1338" i="7" s="1"/>
  <c r="E1338" i="7"/>
  <c r="F1338" i="7" s="1"/>
  <c r="C1338" i="7"/>
  <c r="L1337" i="7"/>
  <c r="J1337" i="7" s="1"/>
  <c r="K1337" i="7"/>
  <c r="H1337" i="7"/>
  <c r="U1337" i="7" s="1"/>
  <c r="C1337" i="7"/>
  <c r="E1337" i="7" s="1"/>
  <c r="F1337" i="7" s="1"/>
  <c r="L1336" i="7"/>
  <c r="K1336" i="7"/>
  <c r="H1336" i="7"/>
  <c r="U1336" i="7" s="1"/>
  <c r="F1336" i="7"/>
  <c r="C1336" i="7"/>
  <c r="E1336" i="7" s="1"/>
  <c r="L1335" i="7"/>
  <c r="K1335" i="7"/>
  <c r="H1335" i="7"/>
  <c r="U1335" i="7" s="1"/>
  <c r="C1335" i="7"/>
  <c r="E1335" i="7" s="1"/>
  <c r="F1335" i="7" s="1"/>
  <c r="J1335" i="7" s="1"/>
  <c r="L1334" i="7"/>
  <c r="K1334" i="7"/>
  <c r="H1334" i="7"/>
  <c r="U1334" i="7" s="1"/>
  <c r="C1334" i="7"/>
  <c r="E1334" i="7" s="1"/>
  <c r="F1334" i="7" s="1"/>
  <c r="L1333" i="7"/>
  <c r="K1333" i="7"/>
  <c r="H1333" i="7"/>
  <c r="U1333" i="7" s="1"/>
  <c r="C1333" i="7"/>
  <c r="E1333" i="7" s="1"/>
  <c r="F1333" i="7" s="1"/>
  <c r="L1332" i="7"/>
  <c r="K1332" i="7"/>
  <c r="H1332" i="7"/>
  <c r="U1332" i="7" s="1"/>
  <c r="C1332" i="7"/>
  <c r="E1332" i="7" s="1"/>
  <c r="F1332" i="7" s="1"/>
  <c r="L1331" i="7"/>
  <c r="K1331" i="7"/>
  <c r="H1331" i="7"/>
  <c r="U1331" i="7" s="1"/>
  <c r="E1331" i="7"/>
  <c r="F1331" i="7" s="1"/>
  <c r="C1331" i="7"/>
  <c r="L1330" i="7"/>
  <c r="K1330" i="7"/>
  <c r="H1330" i="7"/>
  <c r="U1330" i="7" s="1"/>
  <c r="E1330" i="7"/>
  <c r="F1330" i="7" s="1"/>
  <c r="C1330" i="7"/>
  <c r="U1329" i="7"/>
  <c r="L1329" i="7"/>
  <c r="K1329" i="7"/>
  <c r="H1329" i="7"/>
  <c r="C1329" i="7"/>
  <c r="E1329" i="7" s="1"/>
  <c r="F1329" i="7" s="1"/>
  <c r="L1328" i="7"/>
  <c r="K1328" i="7"/>
  <c r="H1328" i="7"/>
  <c r="U1328" i="7" s="1"/>
  <c r="E1328" i="7"/>
  <c r="F1328" i="7" s="1"/>
  <c r="C1328" i="7"/>
  <c r="L1327" i="7"/>
  <c r="K1327" i="7"/>
  <c r="J1327" i="7"/>
  <c r="H1327" i="7"/>
  <c r="U1327" i="7" s="1"/>
  <c r="C1327" i="7"/>
  <c r="E1327" i="7" s="1"/>
  <c r="F1327" i="7" s="1"/>
  <c r="L1326" i="7"/>
  <c r="K1326" i="7"/>
  <c r="H1326" i="7"/>
  <c r="U1326" i="7" s="1"/>
  <c r="C1326" i="7"/>
  <c r="E1326" i="7" s="1"/>
  <c r="F1326" i="7" s="1"/>
  <c r="L1325" i="7"/>
  <c r="K1325" i="7"/>
  <c r="H1325" i="7"/>
  <c r="U1325" i="7" s="1"/>
  <c r="C1325" i="7"/>
  <c r="E1325" i="7" s="1"/>
  <c r="F1325" i="7" s="1"/>
  <c r="L1324" i="7"/>
  <c r="K1324" i="7"/>
  <c r="H1324" i="7"/>
  <c r="U1324" i="7" s="1"/>
  <c r="C1324" i="7"/>
  <c r="E1324" i="7" s="1"/>
  <c r="F1324" i="7" s="1"/>
  <c r="L1323" i="7"/>
  <c r="K1323" i="7"/>
  <c r="H1323" i="7"/>
  <c r="U1323" i="7" s="1"/>
  <c r="C1323" i="7"/>
  <c r="E1323" i="7" s="1"/>
  <c r="F1323" i="7" s="1"/>
  <c r="L1322" i="7"/>
  <c r="K1322" i="7"/>
  <c r="H1322" i="7"/>
  <c r="U1322" i="7" s="1"/>
  <c r="C1322" i="7"/>
  <c r="E1322" i="7" s="1"/>
  <c r="F1322" i="7" s="1"/>
  <c r="L1321" i="7"/>
  <c r="K1321" i="7"/>
  <c r="H1321" i="7"/>
  <c r="U1321" i="7" s="1"/>
  <c r="E1321" i="7"/>
  <c r="F1321" i="7" s="1"/>
  <c r="C1321" i="7"/>
  <c r="L1320" i="7"/>
  <c r="K1320" i="7"/>
  <c r="H1320" i="7"/>
  <c r="U1320" i="7" s="1"/>
  <c r="E1320" i="7"/>
  <c r="F1320" i="7" s="1"/>
  <c r="C1320" i="7"/>
  <c r="L1319" i="7"/>
  <c r="K1319" i="7"/>
  <c r="H1319" i="7"/>
  <c r="U1319" i="7" s="1"/>
  <c r="C1319" i="7"/>
  <c r="E1319" i="7" s="1"/>
  <c r="F1319" i="7" s="1"/>
  <c r="L1318" i="7"/>
  <c r="K1318" i="7"/>
  <c r="H1318" i="7"/>
  <c r="U1318" i="7" s="1"/>
  <c r="F1318" i="7"/>
  <c r="C1318" i="7"/>
  <c r="E1318" i="7" s="1"/>
  <c r="L1317" i="7"/>
  <c r="K1317" i="7"/>
  <c r="H1317" i="7"/>
  <c r="U1317" i="7" s="1"/>
  <c r="C1317" i="7"/>
  <c r="E1317" i="7" s="1"/>
  <c r="F1317" i="7" s="1"/>
  <c r="L1316" i="7"/>
  <c r="K1316" i="7"/>
  <c r="H1316" i="7"/>
  <c r="U1316" i="7" s="1"/>
  <c r="C1316" i="7"/>
  <c r="E1316" i="7" s="1"/>
  <c r="F1316" i="7" s="1"/>
  <c r="L1315" i="7"/>
  <c r="K1315" i="7"/>
  <c r="H1315" i="7"/>
  <c r="U1315" i="7" s="1"/>
  <c r="E1315" i="7"/>
  <c r="F1315" i="7" s="1"/>
  <c r="C1315" i="7"/>
  <c r="L1314" i="7"/>
  <c r="K1314" i="7"/>
  <c r="H1314" i="7"/>
  <c r="U1314" i="7" s="1"/>
  <c r="C1314" i="7"/>
  <c r="E1314" i="7" s="1"/>
  <c r="F1314" i="7" s="1"/>
  <c r="U1313" i="7"/>
  <c r="L1313" i="7"/>
  <c r="K1313" i="7"/>
  <c r="H1313" i="7"/>
  <c r="C1313" i="7"/>
  <c r="E1313" i="7" s="1"/>
  <c r="F1313" i="7" s="1"/>
  <c r="L1312" i="7"/>
  <c r="K1312" i="7"/>
  <c r="H1312" i="7"/>
  <c r="U1312" i="7" s="1"/>
  <c r="E1312" i="7"/>
  <c r="F1312" i="7" s="1"/>
  <c r="C1312" i="7"/>
  <c r="L1311" i="7"/>
  <c r="K1311" i="7"/>
  <c r="J1311" i="7"/>
  <c r="H1311" i="7"/>
  <c r="U1311" i="7" s="1"/>
  <c r="E1311" i="7"/>
  <c r="F1311" i="7" s="1"/>
  <c r="I1311" i="7" s="1"/>
  <c r="C1311" i="7"/>
  <c r="L1310" i="7"/>
  <c r="K1310" i="7"/>
  <c r="H1310" i="7"/>
  <c r="U1310" i="7" s="1"/>
  <c r="C1310" i="7"/>
  <c r="E1310" i="7" s="1"/>
  <c r="F1310" i="7" s="1"/>
  <c r="L1309" i="7"/>
  <c r="K1309" i="7"/>
  <c r="H1309" i="7"/>
  <c r="U1309" i="7" s="1"/>
  <c r="C1309" i="7"/>
  <c r="E1309" i="7" s="1"/>
  <c r="F1309" i="7" s="1"/>
  <c r="L1308" i="7"/>
  <c r="K1308" i="7"/>
  <c r="H1308" i="7"/>
  <c r="U1308" i="7" s="1"/>
  <c r="C1308" i="7"/>
  <c r="E1308" i="7" s="1"/>
  <c r="F1308" i="7" s="1"/>
  <c r="L1307" i="7"/>
  <c r="K1307" i="7"/>
  <c r="H1307" i="7"/>
  <c r="U1307" i="7" s="1"/>
  <c r="C1307" i="7"/>
  <c r="E1307" i="7" s="1"/>
  <c r="F1307" i="7" s="1"/>
  <c r="L1306" i="7"/>
  <c r="K1306" i="7"/>
  <c r="H1306" i="7"/>
  <c r="U1306" i="7" s="1"/>
  <c r="E1306" i="7"/>
  <c r="F1306" i="7" s="1"/>
  <c r="C1306" i="7"/>
  <c r="U1305" i="7"/>
  <c r="L1305" i="7"/>
  <c r="K1305" i="7"/>
  <c r="H1305" i="7"/>
  <c r="C1305" i="7"/>
  <c r="E1305" i="7" s="1"/>
  <c r="F1305" i="7" s="1"/>
  <c r="L1304" i="7"/>
  <c r="K1304" i="7"/>
  <c r="H1304" i="7"/>
  <c r="U1304" i="7" s="1"/>
  <c r="C1304" i="7"/>
  <c r="E1304" i="7" s="1"/>
  <c r="F1304" i="7" s="1"/>
  <c r="L1303" i="7"/>
  <c r="K1303" i="7"/>
  <c r="H1303" i="7"/>
  <c r="U1303" i="7" s="1"/>
  <c r="C1303" i="7"/>
  <c r="E1303" i="7" s="1"/>
  <c r="F1303" i="7" s="1"/>
  <c r="J1303" i="7" s="1"/>
  <c r="U1302" i="7"/>
  <c r="L1302" i="7"/>
  <c r="K1302" i="7"/>
  <c r="H1302" i="7"/>
  <c r="C1302" i="7"/>
  <c r="E1302" i="7" s="1"/>
  <c r="F1302" i="7" s="1"/>
  <c r="L1301" i="7"/>
  <c r="K1301" i="7"/>
  <c r="H1301" i="7"/>
  <c r="U1301" i="7" s="1"/>
  <c r="C1301" i="7"/>
  <c r="E1301" i="7" s="1"/>
  <c r="F1301" i="7" s="1"/>
  <c r="L1300" i="7"/>
  <c r="K1300" i="7"/>
  <c r="H1300" i="7"/>
  <c r="U1300" i="7" s="1"/>
  <c r="F1300" i="7"/>
  <c r="E1300" i="7"/>
  <c r="C1300" i="7"/>
  <c r="L1299" i="7"/>
  <c r="K1299" i="7"/>
  <c r="H1299" i="7"/>
  <c r="U1299" i="7" s="1"/>
  <c r="C1299" i="7"/>
  <c r="E1299" i="7" s="1"/>
  <c r="F1299" i="7" s="1"/>
  <c r="L1298" i="7"/>
  <c r="K1298" i="7"/>
  <c r="H1298" i="7"/>
  <c r="U1298" i="7" s="1"/>
  <c r="C1298" i="7"/>
  <c r="E1298" i="7" s="1"/>
  <c r="F1298" i="7" s="1"/>
  <c r="L1297" i="7"/>
  <c r="K1297" i="7"/>
  <c r="H1297" i="7"/>
  <c r="U1297" i="7" s="1"/>
  <c r="C1297" i="7"/>
  <c r="E1297" i="7" s="1"/>
  <c r="F1297" i="7" s="1"/>
  <c r="L1296" i="7"/>
  <c r="K1296" i="7"/>
  <c r="H1296" i="7"/>
  <c r="U1296" i="7" s="1"/>
  <c r="C1296" i="7"/>
  <c r="E1296" i="7" s="1"/>
  <c r="F1296" i="7" s="1"/>
  <c r="L1295" i="7"/>
  <c r="K1295" i="7"/>
  <c r="H1295" i="7"/>
  <c r="U1295" i="7" s="1"/>
  <c r="E1295" i="7"/>
  <c r="F1295" i="7" s="1"/>
  <c r="C1295" i="7"/>
  <c r="L1294" i="7"/>
  <c r="K1294" i="7"/>
  <c r="H1294" i="7"/>
  <c r="U1294" i="7" s="1"/>
  <c r="C1294" i="7"/>
  <c r="E1294" i="7" s="1"/>
  <c r="F1294" i="7" s="1"/>
  <c r="L1293" i="7"/>
  <c r="K1293" i="7"/>
  <c r="H1293" i="7"/>
  <c r="U1293" i="7" s="1"/>
  <c r="C1293" i="7"/>
  <c r="E1293" i="7" s="1"/>
  <c r="F1293" i="7" s="1"/>
  <c r="L1292" i="7"/>
  <c r="K1292" i="7"/>
  <c r="H1292" i="7"/>
  <c r="U1292" i="7" s="1"/>
  <c r="C1292" i="7"/>
  <c r="E1292" i="7" s="1"/>
  <c r="F1292" i="7" s="1"/>
  <c r="L1291" i="7"/>
  <c r="K1291" i="7"/>
  <c r="H1291" i="7"/>
  <c r="U1291" i="7" s="1"/>
  <c r="C1291" i="7"/>
  <c r="E1291" i="7" s="1"/>
  <c r="F1291" i="7" s="1"/>
  <c r="L1290" i="7"/>
  <c r="K1290" i="7"/>
  <c r="H1290" i="7"/>
  <c r="U1290" i="7" s="1"/>
  <c r="C1290" i="7"/>
  <c r="E1290" i="7" s="1"/>
  <c r="F1290" i="7" s="1"/>
  <c r="U1289" i="7"/>
  <c r="L1289" i="7"/>
  <c r="K1289" i="7"/>
  <c r="H1289" i="7"/>
  <c r="C1289" i="7"/>
  <c r="E1289" i="7" s="1"/>
  <c r="F1289" i="7" s="1"/>
  <c r="J1289" i="7" s="1"/>
  <c r="L1288" i="7"/>
  <c r="K1288" i="7"/>
  <c r="H1288" i="7"/>
  <c r="U1288" i="7" s="1"/>
  <c r="E1288" i="7"/>
  <c r="F1288" i="7" s="1"/>
  <c r="C1288" i="7"/>
  <c r="L1287" i="7"/>
  <c r="K1287" i="7"/>
  <c r="H1287" i="7"/>
  <c r="U1287" i="7" s="1"/>
  <c r="C1287" i="7"/>
  <c r="E1287" i="7" s="1"/>
  <c r="F1287" i="7" s="1"/>
  <c r="L1286" i="7"/>
  <c r="K1286" i="7"/>
  <c r="H1286" i="7"/>
  <c r="U1286" i="7" s="1"/>
  <c r="C1286" i="7"/>
  <c r="E1286" i="7" s="1"/>
  <c r="F1286" i="7" s="1"/>
  <c r="L1285" i="7"/>
  <c r="K1285" i="7"/>
  <c r="H1285" i="7"/>
  <c r="U1285" i="7" s="1"/>
  <c r="C1285" i="7"/>
  <c r="E1285" i="7" s="1"/>
  <c r="F1285" i="7" s="1"/>
  <c r="L1284" i="7"/>
  <c r="K1284" i="7"/>
  <c r="H1284" i="7"/>
  <c r="U1284" i="7" s="1"/>
  <c r="C1284" i="7"/>
  <c r="E1284" i="7" s="1"/>
  <c r="F1284" i="7" s="1"/>
  <c r="L1283" i="7"/>
  <c r="K1283" i="7"/>
  <c r="H1283" i="7"/>
  <c r="U1283" i="7" s="1"/>
  <c r="C1283" i="7"/>
  <c r="E1283" i="7" s="1"/>
  <c r="F1283" i="7" s="1"/>
  <c r="L1282" i="7"/>
  <c r="K1282" i="7"/>
  <c r="H1282" i="7"/>
  <c r="U1282" i="7" s="1"/>
  <c r="E1282" i="7"/>
  <c r="F1282" i="7" s="1"/>
  <c r="C1282" i="7"/>
  <c r="L1281" i="7"/>
  <c r="K1281" i="7"/>
  <c r="H1281" i="7"/>
  <c r="U1281" i="7" s="1"/>
  <c r="C1281" i="7"/>
  <c r="E1281" i="7" s="1"/>
  <c r="F1281" i="7" s="1"/>
  <c r="L1280" i="7"/>
  <c r="K1280" i="7"/>
  <c r="H1280" i="7"/>
  <c r="U1280" i="7" s="1"/>
  <c r="C1280" i="7"/>
  <c r="E1280" i="7" s="1"/>
  <c r="F1280" i="7" s="1"/>
  <c r="L1279" i="7"/>
  <c r="K1279" i="7"/>
  <c r="H1279" i="7"/>
  <c r="U1279" i="7" s="1"/>
  <c r="C1279" i="7"/>
  <c r="E1279" i="7" s="1"/>
  <c r="F1279" i="7" s="1"/>
  <c r="L1278" i="7"/>
  <c r="K1278" i="7"/>
  <c r="H1278" i="7"/>
  <c r="U1278" i="7" s="1"/>
  <c r="C1278" i="7"/>
  <c r="E1278" i="7" s="1"/>
  <c r="F1278" i="7" s="1"/>
  <c r="L1277" i="7"/>
  <c r="K1277" i="7"/>
  <c r="H1277" i="7"/>
  <c r="U1277" i="7" s="1"/>
  <c r="C1277" i="7"/>
  <c r="E1277" i="7" s="1"/>
  <c r="F1277" i="7" s="1"/>
  <c r="L1276" i="7"/>
  <c r="K1276" i="7"/>
  <c r="H1276" i="7"/>
  <c r="U1276" i="7" s="1"/>
  <c r="C1276" i="7"/>
  <c r="E1276" i="7" s="1"/>
  <c r="F1276" i="7" s="1"/>
  <c r="L1275" i="7"/>
  <c r="K1275" i="7"/>
  <c r="H1275" i="7"/>
  <c r="U1275" i="7" s="1"/>
  <c r="C1275" i="7"/>
  <c r="E1275" i="7" s="1"/>
  <c r="F1275" i="7" s="1"/>
  <c r="L1274" i="7"/>
  <c r="K1274" i="7"/>
  <c r="H1274" i="7"/>
  <c r="U1274" i="7" s="1"/>
  <c r="C1274" i="7"/>
  <c r="E1274" i="7" s="1"/>
  <c r="F1274" i="7" s="1"/>
  <c r="U1273" i="7"/>
  <c r="L1273" i="7"/>
  <c r="K1273" i="7"/>
  <c r="H1273" i="7"/>
  <c r="C1273" i="7"/>
  <c r="E1273" i="7" s="1"/>
  <c r="F1273" i="7" s="1"/>
  <c r="L1272" i="7"/>
  <c r="K1272" i="7"/>
  <c r="H1272" i="7"/>
  <c r="U1272" i="7" s="1"/>
  <c r="E1272" i="7"/>
  <c r="F1272" i="7" s="1"/>
  <c r="C1272" i="7"/>
  <c r="L1271" i="7"/>
  <c r="K1271" i="7"/>
  <c r="H1271" i="7"/>
  <c r="U1271" i="7" s="1"/>
  <c r="E1271" i="7"/>
  <c r="F1271" i="7" s="1"/>
  <c r="C1271" i="7"/>
  <c r="L1270" i="7"/>
  <c r="K1270" i="7"/>
  <c r="H1270" i="7"/>
  <c r="U1270" i="7" s="1"/>
  <c r="C1270" i="7"/>
  <c r="E1270" i="7" s="1"/>
  <c r="F1270" i="7" s="1"/>
  <c r="U1269" i="7"/>
  <c r="L1269" i="7"/>
  <c r="K1269" i="7"/>
  <c r="H1269" i="7"/>
  <c r="C1269" i="7"/>
  <c r="E1269" i="7" s="1"/>
  <c r="F1269" i="7" s="1"/>
  <c r="L1268" i="7"/>
  <c r="K1268" i="7"/>
  <c r="H1268" i="7"/>
  <c r="U1268" i="7" s="1"/>
  <c r="C1268" i="7"/>
  <c r="E1268" i="7" s="1"/>
  <c r="F1268" i="7" s="1"/>
  <c r="L1267" i="7"/>
  <c r="K1267" i="7"/>
  <c r="H1267" i="7"/>
  <c r="U1267" i="7" s="1"/>
  <c r="C1267" i="7"/>
  <c r="E1267" i="7" s="1"/>
  <c r="F1267" i="7" s="1"/>
  <c r="L1266" i="7"/>
  <c r="K1266" i="7"/>
  <c r="H1266" i="7"/>
  <c r="U1266" i="7" s="1"/>
  <c r="C1266" i="7"/>
  <c r="E1266" i="7" s="1"/>
  <c r="F1266" i="7" s="1"/>
  <c r="U1265" i="7"/>
  <c r="L1265" i="7"/>
  <c r="K1265" i="7"/>
  <c r="H1265" i="7"/>
  <c r="C1265" i="7"/>
  <c r="E1265" i="7" s="1"/>
  <c r="F1265" i="7" s="1"/>
  <c r="I1265" i="7" s="1"/>
  <c r="L1264" i="7"/>
  <c r="K1264" i="7"/>
  <c r="H1264" i="7"/>
  <c r="U1264" i="7" s="1"/>
  <c r="C1264" i="7"/>
  <c r="E1264" i="7" s="1"/>
  <c r="F1264" i="7" s="1"/>
  <c r="L1263" i="7"/>
  <c r="K1263" i="7"/>
  <c r="H1263" i="7"/>
  <c r="U1263" i="7" s="1"/>
  <c r="E1263" i="7"/>
  <c r="F1263" i="7" s="1"/>
  <c r="C1263" i="7"/>
  <c r="L1262" i="7"/>
  <c r="K1262" i="7"/>
  <c r="H1262" i="7"/>
  <c r="U1262" i="7" s="1"/>
  <c r="C1262" i="7"/>
  <c r="E1262" i="7" s="1"/>
  <c r="F1262" i="7" s="1"/>
  <c r="L1261" i="7"/>
  <c r="K1261" i="7"/>
  <c r="H1261" i="7"/>
  <c r="U1261" i="7" s="1"/>
  <c r="C1261" i="7"/>
  <c r="E1261" i="7" s="1"/>
  <c r="F1261" i="7" s="1"/>
  <c r="L1260" i="7"/>
  <c r="K1260" i="7"/>
  <c r="H1260" i="7"/>
  <c r="U1260" i="7" s="1"/>
  <c r="C1260" i="7"/>
  <c r="E1260" i="7" s="1"/>
  <c r="F1260" i="7" s="1"/>
  <c r="L1259" i="7"/>
  <c r="K1259" i="7"/>
  <c r="H1259" i="7"/>
  <c r="U1259" i="7" s="1"/>
  <c r="C1259" i="7"/>
  <c r="E1259" i="7" s="1"/>
  <c r="F1259" i="7" s="1"/>
  <c r="U1258" i="7"/>
  <c r="L1258" i="7"/>
  <c r="K1258" i="7"/>
  <c r="H1258" i="7"/>
  <c r="E1258" i="7"/>
  <c r="F1258" i="7" s="1"/>
  <c r="C1258" i="7"/>
  <c r="L1257" i="7"/>
  <c r="K1257" i="7"/>
  <c r="H1257" i="7"/>
  <c r="U1257" i="7" s="1"/>
  <c r="C1257" i="7"/>
  <c r="E1257" i="7" s="1"/>
  <c r="F1257" i="7" s="1"/>
  <c r="L1256" i="7"/>
  <c r="K1256" i="7"/>
  <c r="H1256" i="7"/>
  <c r="U1256" i="7" s="1"/>
  <c r="E1256" i="7"/>
  <c r="F1256" i="7" s="1"/>
  <c r="C1256" i="7"/>
  <c r="L1255" i="7"/>
  <c r="K1255" i="7"/>
  <c r="H1255" i="7"/>
  <c r="U1255" i="7" s="1"/>
  <c r="C1255" i="7"/>
  <c r="E1255" i="7" s="1"/>
  <c r="F1255" i="7" s="1"/>
  <c r="J1255" i="7" s="1"/>
  <c r="L1254" i="7"/>
  <c r="K1254" i="7"/>
  <c r="H1254" i="7"/>
  <c r="U1254" i="7" s="1"/>
  <c r="C1254" i="7"/>
  <c r="E1254" i="7" s="1"/>
  <c r="F1254" i="7" s="1"/>
  <c r="J1254" i="7" s="1"/>
  <c r="L1253" i="7"/>
  <c r="K1253" i="7"/>
  <c r="H1253" i="7"/>
  <c r="U1253" i="7" s="1"/>
  <c r="C1253" i="7"/>
  <c r="E1253" i="7" s="1"/>
  <c r="F1253" i="7" s="1"/>
  <c r="L1252" i="7"/>
  <c r="K1252" i="7"/>
  <c r="H1252" i="7"/>
  <c r="U1252" i="7" s="1"/>
  <c r="E1252" i="7"/>
  <c r="F1252" i="7" s="1"/>
  <c r="C1252" i="7"/>
  <c r="L1251" i="7"/>
  <c r="K1251" i="7"/>
  <c r="H1251" i="7"/>
  <c r="U1251" i="7" s="1"/>
  <c r="C1251" i="7"/>
  <c r="E1251" i="7" s="1"/>
  <c r="F1251" i="7" s="1"/>
  <c r="L1250" i="7"/>
  <c r="K1250" i="7"/>
  <c r="H1250" i="7"/>
  <c r="U1250" i="7" s="1"/>
  <c r="C1250" i="7"/>
  <c r="E1250" i="7" s="1"/>
  <c r="F1250" i="7" s="1"/>
  <c r="U1249" i="7"/>
  <c r="L1249" i="7"/>
  <c r="K1249" i="7"/>
  <c r="H1249" i="7"/>
  <c r="C1249" i="7"/>
  <c r="E1249" i="7" s="1"/>
  <c r="F1249" i="7" s="1"/>
  <c r="L1248" i="7"/>
  <c r="K1248" i="7"/>
  <c r="H1248" i="7"/>
  <c r="U1248" i="7" s="1"/>
  <c r="E1248" i="7"/>
  <c r="F1248" i="7" s="1"/>
  <c r="C1248" i="7"/>
  <c r="L1247" i="7"/>
  <c r="K1247" i="7"/>
  <c r="I1247" i="7"/>
  <c r="H1247" i="7"/>
  <c r="U1247" i="7" s="1"/>
  <c r="C1247" i="7"/>
  <c r="E1247" i="7" s="1"/>
  <c r="F1247" i="7" s="1"/>
  <c r="J1247" i="7" s="1"/>
  <c r="U1246" i="7"/>
  <c r="L1246" i="7"/>
  <c r="K1246" i="7"/>
  <c r="H1246" i="7"/>
  <c r="C1246" i="7"/>
  <c r="E1246" i="7" s="1"/>
  <c r="F1246" i="7" s="1"/>
  <c r="J1246" i="7" s="1"/>
  <c r="L1245" i="7"/>
  <c r="K1245" i="7"/>
  <c r="H1245" i="7"/>
  <c r="U1245" i="7" s="1"/>
  <c r="C1245" i="7"/>
  <c r="E1245" i="7" s="1"/>
  <c r="F1245" i="7" s="1"/>
  <c r="L1244" i="7"/>
  <c r="K1244" i="7"/>
  <c r="H1244" i="7"/>
  <c r="U1244" i="7" s="1"/>
  <c r="E1244" i="7"/>
  <c r="F1244" i="7" s="1"/>
  <c r="C1244" i="7"/>
  <c r="L1243" i="7"/>
  <c r="K1243" i="7"/>
  <c r="H1243" i="7"/>
  <c r="U1243" i="7" s="1"/>
  <c r="C1243" i="7"/>
  <c r="E1243" i="7" s="1"/>
  <c r="F1243" i="7" s="1"/>
  <c r="L1242" i="7"/>
  <c r="K1242" i="7"/>
  <c r="H1242" i="7"/>
  <c r="U1242" i="7" s="1"/>
  <c r="C1242" i="7"/>
  <c r="E1242" i="7" s="1"/>
  <c r="F1242" i="7" s="1"/>
  <c r="L1241" i="7"/>
  <c r="K1241" i="7"/>
  <c r="H1241" i="7"/>
  <c r="U1241" i="7" s="1"/>
  <c r="C1241" i="7"/>
  <c r="E1241" i="7" s="1"/>
  <c r="F1241" i="7" s="1"/>
  <c r="L1240" i="7"/>
  <c r="K1240" i="7"/>
  <c r="H1240" i="7"/>
  <c r="U1240" i="7" s="1"/>
  <c r="C1240" i="7"/>
  <c r="E1240" i="7" s="1"/>
  <c r="F1240" i="7" s="1"/>
  <c r="L1239" i="7"/>
  <c r="K1239" i="7"/>
  <c r="H1239" i="7"/>
  <c r="U1239" i="7" s="1"/>
  <c r="E1239" i="7"/>
  <c r="F1239" i="7" s="1"/>
  <c r="J1239" i="7" s="1"/>
  <c r="C1239" i="7"/>
  <c r="L1238" i="7"/>
  <c r="K1238" i="7"/>
  <c r="H1238" i="7"/>
  <c r="U1238" i="7" s="1"/>
  <c r="C1238" i="7"/>
  <c r="E1238" i="7" s="1"/>
  <c r="F1238" i="7" s="1"/>
  <c r="L1237" i="7"/>
  <c r="K1237" i="7"/>
  <c r="H1237" i="7"/>
  <c r="U1237" i="7" s="1"/>
  <c r="C1237" i="7"/>
  <c r="E1237" i="7" s="1"/>
  <c r="F1237" i="7" s="1"/>
  <c r="L1236" i="7"/>
  <c r="K1236" i="7"/>
  <c r="H1236" i="7"/>
  <c r="U1236" i="7" s="1"/>
  <c r="F1236" i="7"/>
  <c r="C1236" i="7"/>
  <c r="E1236" i="7" s="1"/>
  <c r="L1235" i="7"/>
  <c r="K1235" i="7"/>
  <c r="I1235" i="7"/>
  <c r="H1235" i="7"/>
  <c r="U1235" i="7" s="1"/>
  <c r="C1235" i="7"/>
  <c r="E1235" i="7" s="1"/>
  <c r="F1235" i="7" s="1"/>
  <c r="L1234" i="7"/>
  <c r="K1234" i="7"/>
  <c r="H1234" i="7"/>
  <c r="U1234" i="7" s="1"/>
  <c r="C1234" i="7"/>
  <c r="E1234" i="7" s="1"/>
  <c r="F1234" i="7" s="1"/>
  <c r="L1233" i="7"/>
  <c r="K1233" i="7"/>
  <c r="H1233" i="7"/>
  <c r="U1233" i="7" s="1"/>
  <c r="C1233" i="7"/>
  <c r="E1233" i="7" s="1"/>
  <c r="F1233" i="7" s="1"/>
  <c r="L1232" i="7"/>
  <c r="K1232" i="7"/>
  <c r="H1232" i="7"/>
  <c r="U1232" i="7" s="1"/>
  <c r="C1232" i="7"/>
  <c r="E1232" i="7" s="1"/>
  <c r="F1232" i="7" s="1"/>
  <c r="L1231" i="7"/>
  <c r="K1231" i="7"/>
  <c r="H1231" i="7"/>
  <c r="U1231" i="7" s="1"/>
  <c r="C1231" i="7"/>
  <c r="E1231" i="7" s="1"/>
  <c r="F1231" i="7" s="1"/>
  <c r="U1230" i="7"/>
  <c r="L1230" i="7"/>
  <c r="K1230" i="7"/>
  <c r="H1230" i="7"/>
  <c r="C1230" i="7"/>
  <c r="E1230" i="7" s="1"/>
  <c r="F1230" i="7" s="1"/>
  <c r="L1229" i="7"/>
  <c r="K1229" i="7"/>
  <c r="H1229" i="7"/>
  <c r="U1229" i="7" s="1"/>
  <c r="C1229" i="7"/>
  <c r="E1229" i="7" s="1"/>
  <c r="F1229" i="7" s="1"/>
  <c r="L1228" i="7"/>
  <c r="K1228" i="7"/>
  <c r="H1228" i="7"/>
  <c r="U1228" i="7" s="1"/>
  <c r="C1228" i="7"/>
  <c r="E1228" i="7" s="1"/>
  <c r="F1228" i="7" s="1"/>
  <c r="L1227" i="7"/>
  <c r="K1227" i="7"/>
  <c r="I1227" i="7"/>
  <c r="H1227" i="7"/>
  <c r="U1227" i="7" s="1"/>
  <c r="C1227" i="7"/>
  <c r="E1227" i="7" s="1"/>
  <c r="F1227" i="7" s="1"/>
  <c r="J1227" i="7" s="1"/>
  <c r="L1226" i="7"/>
  <c r="K1226" i="7"/>
  <c r="H1226" i="7"/>
  <c r="U1226" i="7" s="1"/>
  <c r="C1226" i="7"/>
  <c r="E1226" i="7" s="1"/>
  <c r="F1226" i="7" s="1"/>
  <c r="L1225" i="7"/>
  <c r="K1225" i="7"/>
  <c r="H1225" i="7"/>
  <c r="U1225" i="7" s="1"/>
  <c r="C1225" i="7"/>
  <c r="E1225" i="7" s="1"/>
  <c r="F1225" i="7" s="1"/>
  <c r="L1224" i="7"/>
  <c r="K1224" i="7"/>
  <c r="H1224" i="7"/>
  <c r="U1224" i="7" s="1"/>
  <c r="C1224" i="7"/>
  <c r="E1224" i="7" s="1"/>
  <c r="F1224" i="7" s="1"/>
  <c r="L1223" i="7"/>
  <c r="I1223" i="7" s="1"/>
  <c r="K1223" i="7"/>
  <c r="H1223" i="7"/>
  <c r="U1223" i="7" s="1"/>
  <c r="C1223" i="7"/>
  <c r="E1223" i="7" s="1"/>
  <c r="F1223" i="7" s="1"/>
  <c r="L1222" i="7"/>
  <c r="K1222" i="7"/>
  <c r="H1222" i="7"/>
  <c r="U1222" i="7" s="1"/>
  <c r="C1222" i="7"/>
  <c r="E1222" i="7" s="1"/>
  <c r="F1222" i="7" s="1"/>
  <c r="U1221" i="7"/>
  <c r="L1221" i="7"/>
  <c r="K1221" i="7"/>
  <c r="H1221" i="7"/>
  <c r="C1221" i="7"/>
  <c r="E1221" i="7" s="1"/>
  <c r="F1221" i="7" s="1"/>
  <c r="L1220" i="7"/>
  <c r="K1220" i="7"/>
  <c r="H1220" i="7"/>
  <c r="U1220" i="7" s="1"/>
  <c r="C1220" i="7"/>
  <c r="E1220" i="7" s="1"/>
  <c r="F1220" i="7" s="1"/>
  <c r="L1219" i="7"/>
  <c r="K1219" i="7"/>
  <c r="H1219" i="7"/>
  <c r="U1219" i="7" s="1"/>
  <c r="C1219" i="7"/>
  <c r="E1219" i="7" s="1"/>
  <c r="F1219" i="7" s="1"/>
  <c r="L1218" i="7"/>
  <c r="K1218" i="7"/>
  <c r="H1218" i="7"/>
  <c r="U1218" i="7" s="1"/>
  <c r="E1218" i="7"/>
  <c r="F1218" i="7" s="1"/>
  <c r="C1218" i="7"/>
  <c r="L1217" i="7"/>
  <c r="K1217" i="7"/>
  <c r="H1217" i="7"/>
  <c r="U1217" i="7" s="1"/>
  <c r="C1217" i="7"/>
  <c r="E1217" i="7" s="1"/>
  <c r="F1217" i="7" s="1"/>
  <c r="I1217" i="7" s="1"/>
  <c r="L1216" i="7"/>
  <c r="K1216" i="7"/>
  <c r="H1216" i="7"/>
  <c r="U1216" i="7" s="1"/>
  <c r="E1216" i="7"/>
  <c r="F1216" i="7" s="1"/>
  <c r="C1216" i="7"/>
  <c r="L1215" i="7"/>
  <c r="K1215" i="7"/>
  <c r="H1215" i="7"/>
  <c r="U1215" i="7" s="1"/>
  <c r="C1215" i="7"/>
  <c r="E1215" i="7" s="1"/>
  <c r="F1215" i="7" s="1"/>
  <c r="L1214" i="7"/>
  <c r="K1214" i="7"/>
  <c r="H1214" i="7"/>
  <c r="U1214" i="7" s="1"/>
  <c r="C1214" i="7"/>
  <c r="E1214" i="7" s="1"/>
  <c r="F1214" i="7" s="1"/>
  <c r="L1213" i="7"/>
  <c r="K1213" i="7"/>
  <c r="H1213" i="7"/>
  <c r="U1213" i="7" s="1"/>
  <c r="C1213" i="7"/>
  <c r="E1213" i="7" s="1"/>
  <c r="F1213" i="7" s="1"/>
  <c r="L1212" i="7"/>
  <c r="K1212" i="7"/>
  <c r="H1212" i="7"/>
  <c r="U1212" i="7" s="1"/>
  <c r="C1212" i="7"/>
  <c r="E1212" i="7" s="1"/>
  <c r="F1212" i="7" s="1"/>
  <c r="L1211" i="7"/>
  <c r="K1211" i="7"/>
  <c r="H1211" i="7"/>
  <c r="U1211" i="7" s="1"/>
  <c r="C1211" i="7"/>
  <c r="E1211" i="7" s="1"/>
  <c r="F1211" i="7" s="1"/>
  <c r="L1210" i="7"/>
  <c r="K1210" i="7"/>
  <c r="H1210" i="7"/>
  <c r="U1210" i="7" s="1"/>
  <c r="C1210" i="7"/>
  <c r="E1210" i="7" s="1"/>
  <c r="F1210" i="7" s="1"/>
  <c r="L1209" i="7"/>
  <c r="K1209" i="7"/>
  <c r="H1209" i="7"/>
  <c r="U1209" i="7" s="1"/>
  <c r="C1209" i="7"/>
  <c r="E1209" i="7" s="1"/>
  <c r="F1209" i="7" s="1"/>
  <c r="L1208" i="7"/>
  <c r="K1208" i="7"/>
  <c r="H1208" i="7"/>
  <c r="U1208" i="7" s="1"/>
  <c r="C1208" i="7"/>
  <c r="E1208" i="7" s="1"/>
  <c r="F1208" i="7" s="1"/>
  <c r="L1207" i="7"/>
  <c r="K1207" i="7"/>
  <c r="H1207" i="7"/>
  <c r="U1207" i="7" s="1"/>
  <c r="C1207" i="7"/>
  <c r="E1207" i="7" s="1"/>
  <c r="F1207" i="7" s="1"/>
  <c r="J1207" i="7" s="1"/>
  <c r="L1206" i="7"/>
  <c r="K1206" i="7"/>
  <c r="H1206" i="7"/>
  <c r="U1206" i="7" s="1"/>
  <c r="C1206" i="7"/>
  <c r="E1206" i="7" s="1"/>
  <c r="F1206" i="7" s="1"/>
  <c r="J1206" i="7" s="1"/>
  <c r="L1205" i="7"/>
  <c r="K1205" i="7"/>
  <c r="H1205" i="7"/>
  <c r="U1205" i="7" s="1"/>
  <c r="C1205" i="7"/>
  <c r="E1205" i="7" s="1"/>
  <c r="F1205" i="7" s="1"/>
  <c r="L1204" i="7"/>
  <c r="K1204" i="7"/>
  <c r="H1204" i="7"/>
  <c r="U1204" i="7" s="1"/>
  <c r="E1204" i="7"/>
  <c r="F1204" i="7" s="1"/>
  <c r="C1204" i="7"/>
  <c r="L1203" i="7"/>
  <c r="K1203" i="7"/>
  <c r="H1203" i="7"/>
  <c r="U1203" i="7" s="1"/>
  <c r="C1203" i="7"/>
  <c r="E1203" i="7" s="1"/>
  <c r="F1203" i="7" s="1"/>
  <c r="L1202" i="7"/>
  <c r="K1202" i="7"/>
  <c r="H1202" i="7"/>
  <c r="U1202" i="7" s="1"/>
  <c r="C1202" i="7"/>
  <c r="E1202" i="7" s="1"/>
  <c r="F1202" i="7" s="1"/>
  <c r="U1201" i="7"/>
  <c r="L1201" i="7"/>
  <c r="K1201" i="7"/>
  <c r="H1201" i="7"/>
  <c r="E1201" i="7"/>
  <c r="F1201" i="7" s="1"/>
  <c r="C1201" i="7"/>
  <c r="L1200" i="7"/>
  <c r="K1200" i="7"/>
  <c r="H1200" i="7"/>
  <c r="U1200" i="7" s="1"/>
  <c r="C1200" i="7"/>
  <c r="E1200" i="7" s="1"/>
  <c r="F1200" i="7" s="1"/>
  <c r="L1199" i="7"/>
  <c r="K1199" i="7"/>
  <c r="H1199" i="7"/>
  <c r="U1199" i="7" s="1"/>
  <c r="E1199" i="7"/>
  <c r="F1199" i="7" s="1"/>
  <c r="J1199" i="7" s="1"/>
  <c r="C1199" i="7"/>
  <c r="L1198" i="7"/>
  <c r="K1198" i="7"/>
  <c r="H1198" i="7"/>
  <c r="U1198" i="7" s="1"/>
  <c r="C1198" i="7"/>
  <c r="E1198" i="7" s="1"/>
  <c r="F1198" i="7" s="1"/>
  <c r="L1197" i="7"/>
  <c r="K1197" i="7"/>
  <c r="H1197" i="7"/>
  <c r="U1197" i="7" s="1"/>
  <c r="C1197" i="7"/>
  <c r="E1197" i="7" s="1"/>
  <c r="F1197" i="7" s="1"/>
  <c r="L1196" i="7"/>
  <c r="K1196" i="7"/>
  <c r="H1196" i="7"/>
  <c r="U1196" i="7" s="1"/>
  <c r="C1196" i="7"/>
  <c r="E1196" i="7" s="1"/>
  <c r="F1196" i="7" s="1"/>
  <c r="L1195" i="7"/>
  <c r="K1195" i="7"/>
  <c r="H1195" i="7"/>
  <c r="U1195" i="7" s="1"/>
  <c r="C1195" i="7"/>
  <c r="E1195" i="7" s="1"/>
  <c r="F1195" i="7" s="1"/>
  <c r="L1194" i="7"/>
  <c r="K1194" i="7"/>
  <c r="H1194" i="7"/>
  <c r="U1194" i="7" s="1"/>
  <c r="C1194" i="7"/>
  <c r="E1194" i="7" s="1"/>
  <c r="F1194" i="7" s="1"/>
  <c r="L1193" i="7"/>
  <c r="K1193" i="7"/>
  <c r="H1193" i="7"/>
  <c r="U1193" i="7" s="1"/>
  <c r="C1193" i="7"/>
  <c r="E1193" i="7" s="1"/>
  <c r="F1193" i="7" s="1"/>
  <c r="L1192" i="7"/>
  <c r="K1192" i="7"/>
  <c r="H1192" i="7"/>
  <c r="U1192" i="7" s="1"/>
  <c r="C1192" i="7"/>
  <c r="E1192" i="7" s="1"/>
  <c r="F1192" i="7" s="1"/>
  <c r="L1191" i="7"/>
  <c r="K1191" i="7"/>
  <c r="H1191" i="7"/>
  <c r="U1191" i="7" s="1"/>
  <c r="C1191" i="7"/>
  <c r="E1191" i="7" s="1"/>
  <c r="F1191" i="7" s="1"/>
  <c r="L1190" i="7"/>
  <c r="K1190" i="7"/>
  <c r="H1190" i="7"/>
  <c r="U1190" i="7" s="1"/>
  <c r="C1190" i="7"/>
  <c r="E1190" i="7" s="1"/>
  <c r="F1190" i="7" s="1"/>
  <c r="U1189" i="7"/>
  <c r="L1189" i="7"/>
  <c r="K1189" i="7"/>
  <c r="H1189" i="7"/>
  <c r="C1189" i="7"/>
  <c r="E1189" i="7" s="1"/>
  <c r="F1189" i="7" s="1"/>
  <c r="L1188" i="7"/>
  <c r="K1188" i="7"/>
  <c r="H1188" i="7"/>
  <c r="U1188" i="7" s="1"/>
  <c r="C1188" i="7"/>
  <c r="E1188" i="7" s="1"/>
  <c r="F1188" i="7" s="1"/>
  <c r="L1187" i="7"/>
  <c r="K1187" i="7"/>
  <c r="H1187" i="7"/>
  <c r="U1187" i="7" s="1"/>
  <c r="C1187" i="7"/>
  <c r="E1187" i="7" s="1"/>
  <c r="F1187" i="7" s="1"/>
  <c r="L1186" i="7"/>
  <c r="K1186" i="7"/>
  <c r="H1186" i="7"/>
  <c r="U1186" i="7" s="1"/>
  <c r="E1186" i="7"/>
  <c r="F1186" i="7" s="1"/>
  <c r="C1186" i="7"/>
  <c r="L1185" i="7"/>
  <c r="K1185" i="7"/>
  <c r="H1185" i="7"/>
  <c r="U1185" i="7" s="1"/>
  <c r="C1185" i="7"/>
  <c r="E1185" i="7" s="1"/>
  <c r="F1185" i="7" s="1"/>
  <c r="L1184" i="7"/>
  <c r="K1184" i="7"/>
  <c r="H1184" i="7"/>
  <c r="U1184" i="7" s="1"/>
  <c r="C1184" i="7"/>
  <c r="E1184" i="7" s="1"/>
  <c r="F1184" i="7" s="1"/>
  <c r="L1183" i="7"/>
  <c r="K1183" i="7"/>
  <c r="H1183" i="7"/>
  <c r="U1183" i="7" s="1"/>
  <c r="C1183" i="7"/>
  <c r="E1183" i="7" s="1"/>
  <c r="F1183" i="7" s="1"/>
  <c r="L1182" i="7"/>
  <c r="K1182" i="7"/>
  <c r="I1182" i="7"/>
  <c r="H1182" i="7"/>
  <c r="U1182" i="7" s="1"/>
  <c r="C1182" i="7"/>
  <c r="E1182" i="7" s="1"/>
  <c r="F1182" i="7" s="1"/>
  <c r="L1181" i="7"/>
  <c r="K1181" i="7"/>
  <c r="H1181" i="7"/>
  <c r="U1181" i="7" s="1"/>
  <c r="C1181" i="7"/>
  <c r="E1181" i="7" s="1"/>
  <c r="F1181" i="7" s="1"/>
  <c r="L1180" i="7"/>
  <c r="K1180" i="7"/>
  <c r="H1180" i="7"/>
  <c r="U1180" i="7" s="1"/>
  <c r="C1180" i="7"/>
  <c r="E1180" i="7" s="1"/>
  <c r="F1180" i="7" s="1"/>
  <c r="L1179" i="7"/>
  <c r="K1179" i="7"/>
  <c r="H1179" i="7"/>
  <c r="U1179" i="7" s="1"/>
  <c r="C1179" i="7"/>
  <c r="E1179" i="7" s="1"/>
  <c r="F1179" i="7" s="1"/>
  <c r="J1179" i="7" s="1"/>
  <c r="L1178" i="7"/>
  <c r="K1178" i="7"/>
  <c r="H1178" i="7"/>
  <c r="U1178" i="7" s="1"/>
  <c r="C1178" i="7"/>
  <c r="E1178" i="7" s="1"/>
  <c r="F1178" i="7" s="1"/>
  <c r="L1177" i="7"/>
  <c r="K1177" i="7"/>
  <c r="H1177" i="7"/>
  <c r="U1177" i="7" s="1"/>
  <c r="C1177" i="7"/>
  <c r="E1177" i="7" s="1"/>
  <c r="F1177" i="7" s="1"/>
  <c r="L1176" i="7"/>
  <c r="K1176" i="7"/>
  <c r="H1176" i="7"/>
  <c r="U1176" i="7" s="1"/>
  <c r="F1176" i="7"/>
  <c r="E1176" i="7"/>
  <c r="C1176" i="7"/>
  <c r="L1175" i="7"/>
  <c r="K1175" i="7"/>
  <c r="H1175" i="7"/>
  <c r="U1175" i="7" s="1"/>
  <c r="C1175" i="7"/>
  <c r="E1175" i="7" s="1"/>
  <c r="F1175" i="7" s="1"/>
  <c r="I1175" i="7" s="1"/>
  <c r="L1174" i="7"/>
  <c r="K1174" i="7"/>
  <c r="H1174" i="7"/>
  <c r="U1174" i="7" s="1"/>
  <c r="C1174" i="7"/>
  <c r="E1174" i="7" s="1"/>
  <c r="F1174" i="7" s="1"/>
  <c r="L1173" i="7"/>
  <c r="K1173" i="7"/>
  <c r="H1173" i="7"/>
  <c r="U1173" i="7" s="1"/>
  <c r="C1173" i="7"/>
  <c r="E1173" i="7" s="1"/>
  <c r="F1173" i="7" s="1"/>
  <c r="L1172" i="7"/>
  <c r="K1172" i="7"/>
  <c r="H1172" i="7"/>
  <c r="U1172" i="7" s="1"/>
  <c r="C1172" i="7"/>
  <c r="E1172" i="7" s="1"/>
  <c r="F1172" i="7" s="1"/>
  <c r="L1171" i="7"/>
  <c r="K1171" i="7"/>
  <c r="H1171" i="7"/>
  <c r="U1171" i="7" s="1"/>
  <c r="C1171" i="7"/>
  <c r="E1171" i="7" s="1"/>
  <c r="F1171" i="7" s="1"/>
  <c r="L1170" i="7"/>
  <c r="K1170" i="7"/>
  <c r="H1170" i="7"/>
  <c r="U1170" i="7" s="1"/>
  <c r="C1170" i="7"/>
  <c r="E1170" i="7" s="1"/>
  <c r="F1170" i="7" s="1"/>
  <c r="U1169" i="7"/>
  <c r="L1169" i="7"/>
  <c r="K1169" i="7"/>
  <c r="H1169" i="7"/>
  <c r="C1169" i="7"/>
  <c r="E1169" i="7" s="1"/>
  <c r="F1169" i="7" s="1"/>
  <c r="I1169" i="7" s="1"/>
  <c r="L1168" i="7"/>
  <c r="K1168" i="7"/>
  <c r="H1168" i="7"/>
  <c r="U1168" i="7" s="1"/>
  <c r="F1168" i="7"/>
  <c r="C1168" i="7"/>
  <c r="E1168" i="7" s="1"/>
  <c r="L1167" i="7"/>
  <c r="K1167" i="7"/>
  <c r="H1167" i="7"/>
  <c r="U1167" i="7" s="1"/>
  <c r="C1167" i="7"/>
  <c r="E1167" i="7" s="1"/>
  <c r="F1167" i="7" s="1"/>
  <c r="J1167" i="7" s="1"/>
  <c r="L1166" i="7"/>
  <c r="K1166" i="7"/>
  <c r="H1166" i="7"/>
  <c r="U1166" i="7" s="1"/>
  <c r="C1166" i="7"/>
  <c r="E1166" i="7" s="1"/>
  <c r="F1166" i="7" s="1"/>
  <c r="L1165" i="7"/>
  <c r="K1165" i="7"/>
  <c r="H1165" i="7"/>
  <c r="U1165" i="7" s="1"/>
  <c r="C1165" i="7"/>
  <c r="E1165" i="7" s="1"/>
  <c r="F1165" i="7" s="1"/>
  <c r="U1164" i="7"/>
  <c r="L1164" i="7"/>
  <c r="K1164" i="7"/>
  <c r="H1164" i="7"/>
  <c r="C1164" i="7"/>
  <c r="E1164" i="7" s="1"/>
  <c r="F1164" i="7" s="1"/>
  <c r="L1163" i="7"/>
  <c r="K1163" i="7"/>
  <c r="H1163" i="7"/>
  <c r="U1163" i="7" s="1"/>
  <c r="C1163" i="7"/>
  <c r="E1163" i="7" s="1"/>
  <c r="F1163" i="7" s="1"/>
  <c r="L1162" i="7"/>
  <c r="K1162" i="7"/>
  <c r="H1162" i="7"/>
  <c r="U1162" i="7" s="1"/>
  <c r="E1162" i="7"/>
  <c r="F1162" i="7" s="1"/>
  <c r="C1162" i="7"/>
  <c r="L1161" i="7"/>
  <c r="K1161" i="7"/>
  <c r="H1161" i="7"/>
  <c r="U1161" i="7" s="1"/>
  <c r="C1161" i="7"/>
  <c r="E1161" i="7" s="1"/>
  <c r="F1161" i="7" s="1"/>
  <c r="L1160" i="7"/>
  <c r="K1160" i="7"/>
  <c r="H1160" i="7"/>
  <c r="U1160" i="7" s="1"/>
  <c r="C1160" i="7"/>
  <c r="E1160" i="7" s="1"/>
  <c r="F1160" i="7" s="1"/>
  <c r="L1159" i="7"/>
  <c r="K1159" i="7"/>
  <c r="H1159" i="7"/>
  <c r="U1159" i="7" s="1"/>
  <c r="C1159" i="7"/>
  <c r="E1159" i="7" s="1"/>
  <c r="F1159" i="7" s="1"/>
  <c r="L1158" i="7"/>
  <c r="K1158" i="7"/>
  <c r="H1158" i="7"/>
  <c r="U1158" i="7" s="1"/>
  <c r="C1158" i="7"/>
  <c r="E1158" i="7" s="1"/>
  <c r="F1158" i="7" s="1"/>
  <c r="J1158" i="7" s="1"/>
  <c r="L1157" i="7"/>
  <c r="K1157" i="7"/>
  <c r="H1157" i="7"/>
  <c r="U1157" i="7" s="1"/>
  <c r="C1157" i="7"/>
  <c r="E1157" i="7" s="1"/>
  <c r="F1157" i="7" s="1"/>
  <c r="L1156" i="7"/>
  <c r="K1156" i="7"/>
  <c r="H1156" i="7"/>
  <c r="U1156" i="7" s="1"/>
  <c r="C1156" i="7"/>
  <c r="E1156" i="7" s="1"/>
  <c r="F1156" i="7" s="1"/>
  <c r="L1155" i="7"/>
  <c r="K1155" i="7"/>
  <c r="H1155" i="7"/>
  <c r="U1155" i="7" s="1"/>
  <c r="E1155" i="7"/>
  <c r="F1155" i="7" s="1"/>
  <c r="J1155" i="7" s="1"/>
  <c r="C1155" i="7"/>
  <c r="L1154" i="7"/>
  <c r="K1154" i="7"/>
  <c r="H1154" i="7"/>
  <c r="U1154" i="7" s="1"/>
  <c r="C1154" i="7"/>
  <c r="E1154" i="7" s="1"/>
  <c r="F1154" i="7" s="1"/>
  <c r="L1153" i="7"/>
  <c r="K1153" i="7"/>
  <c r="H1153" i="7"/>
  <c r="U1153" i="7" s="1"/>
  <c r="C1153" i="7"/>
  <c r="E1153" i="7" s="1"/>
  <c r="F1153" i="7" s="1"/>
  <c r="J1153" i="7" s="1"/>
  <c r="L1152" i="7"/>
  <c r="K1152" i="7"/>
  <c r="H1152" i="7"/>
  <c r="U1152" i="7" s="1"/>
  <c r="F1152" i="7"/>
  <c r="J1152" i="7" s="1"/>
  <c r="C1152" i="7"/>
  <c r="E1152" i="7" s="1"/>
  <c r="U1151" i="7"/>
  <c r="L1151" i="7"/>
  <c r="K1151" i="7"/>
  <c r="H1151" i="7"/>
  <c r="C1151" i="7"/>
  <c r="E1151" i="7" s="1"/>
  <c r="F1151" i="7" s="1"/>
  <c r="L1150" i="7"/>
  <c r="K1150" i="7"/>
  <c r="H1150" i="7"/>
  <c r="U1150" i="7" s="1"/>
  <c r="C1150" i="7"/>
  <c r="E1150" i="7" s="1"/>
  <c r="F1150" i="7" s="1"/>
  <c r="J1150" i="7" s="1"/>
  <c r="L1149" i="7"/>
  <c r="K1149" i="7"/>
  <c r="H1149" i="7"/>
  <c r="U1149" i="7" s="1"/>
  <c r="E1149" i="7"/>
  <c r="F1149" i="7" s="1"/>
  <c r="C1149" i="7"/>
  <c r="L1148" i="7"/>
  <c r="K1148" i="7"/>
  <c r="H1148" i="7"/>
  <c r="U1148" i="7" s="1"/>
  <c r="C1148" i="7"/>
  <c r="E1148" i="7" s="1"/>
  <c r="F1148" i="7" s="1"/>
  <c r="L1147" i="7"/>
  <c r="K1147" i="7"/>
  <c r="H1147" i="7"/>
  <c r="U1147" i="7" s="1"/>
  <c r="C1147" i="7"/>
  <c r="E1147" i="7" s="1"/>
  <c r="F1147" i="7" s="1"/>
  <c r="L1146" i="7"/>
  <c r="K1146" i="7"/>
  <c r="H1146" i="7"/>
  <c r="U1146" i="7" s="1"/>
  <c r="C1146" i="7"/>
  <c r="E1146" i="7" s="1"/>
  <c r="F1146" i="7" s="1"/>
  <c r="L1145" i="7"/>
  <c r="K1145" i="7"/>
  <c r="H1145" i="7"/>
  <c r="U1145" i="7" s="1"/>
  <c r="F1145" i="7"/>
  <c r="C1145" i="7"/>
  <c r="E1145" i="7" s="1"/>
  <c r="L1144" i="7"/>
  <c r="K1144" i="7"/>
  <c r="H1144" i="7"/>
  <c r="U1144" i="7" s="1"/>
  <c r="C1144" i="7"/>
  <c r="E1144" i="7" s="1"/>
  <c r="F1144" i="7" s="1"/>
  <c r="U1143" i="7"/>
  <c r="L1143" i="7"/>
  <c r="K1143" i="7"/>
  <c r="H1143" i="7"/>
  <c r="E1143" i="7"/>
  <c r="F1143" i="7" s="1"/>
  <c r="I1143" i="7" s="1"/>
  <c r="C1143" i="7"/>
  <c r="L1142" i="7"/>
  <c r="K1142" i="7"/>
  <c r="H1142" i="7"/>
  <c r="U1142" i="7" s="1"/>
  <c r="C1142" i="7"/>
  <c r="E1142" i="7" s="1"/>
  <c r="F1142" i="7" s="1"/>
  <c r="L1141" i="7"/>
  <c r="K1141" i="7"/>
  <c r="H1141" i="7"/>
  <c r="U1141" i="7" s="1"/>
  <c r="C1141" i="7"/>
  <c r="E1141" i="7" s="1"/>
  <c r="F1141" i="7" s="1"/>
  <c r="L1140" i="7"/>
  <c r="K1140" i="7"/>
  <c r="H1140" i="7"/>
  <c r="U1140" i="7" s="1"/>
  <c r="F1140" i="7"/>
  <c r="C1140" i="7"/>
  <c r="E1140" i="7" s="1"/>
  <c r="L1139" i="7"/>
  <c r="K1139" i="7"/>
  <c r="H1139" i="7"/>
  <c r="U1139" i="7" s="1"/>
  <c r="C1139" i="7"/>
  <c r="E1139" i="7" s="1"/>
  <c r="F1139" i="7" s="1"/>
  <c r="L1138" i="7"/>
  <c r="K1138" i="7"/>
  <c r="H1138" i="7"/>
  <c r="U1138" i="7" s="1"/>
  <c r="C1138" i="7"/>
  <c r="E1138" i="7" s="1"/>
  <c r="F1138" i="7" s="1"/>
  <c r="L1137" i="7"/>
  <c r="K1137" i="7"/>
  <c r="H1137" i="7"/>
  <c r="U1137" i="7" s="1"/>
  <c r="C1137" i="7"/>
  <c r="E1137" i="7" s="1"/>
  <c r="F1137" i="7" s="1"/>
  <c r="L1136" i="7"/>
  <c r="K1136" i="7"/>
  <c r="H1136" i="7"/>
  <c r="U1136" i="7" s="1"/>
  <c r="C1136" i="7"/>
  <c r="E1136" i="7" s="1"/>
  <c r="F1136" i="7" s="1"/>
  <c r="L1135" i="7"/>
  <c r="K1135" i="7"/>
  <c r="H1135" i="7"/>
  <c r="U1135" i="7" s="1"/>
  <c r="C1135" i="7"/>
  <c r="E1135" i="7" s="1"/>
  <c r="F1135" i="7" s="1"/>
  <c r="L1134" i="7"/>
  <c r="J1134" i="7" s="1"/>
  <c r="K1134" i="7"/>
  <c r="H1134" i="7"/>
  <c r="U1134" i="7" s="1"/>
  <c r="C1134" i="7"/>
  <c r="E1134" i="7" s="1"/>
  <c r="F1134" i="7" s="1"/>
  <c r="U1133" i="7"/>
  <c r="L1133" i="7"/>
  <c r="K1133" i="7"/>
  <c r="H1133" i="7"/>
  <c r="C1133" i="7"/>
  <c r="E1133" i="7" s="1"/>
  <c r="F1133" i="7" s="1"/>
  <c r="L1132" i="7"/>
  <c r="K1132" i="7"/>
  <c r="H1132" i="7"/>
  <c r="U1132" i="7" s="1"/>
  <c r="C1132" i="7"/>
  <c r="E1132" i="7" s="1"/>
  <c r="F1132" i="7" s="1"/>
  <c r="U1131" i="7"/>
  <c r="L1131" i="7"/>
  <c r="K1131" i="7"/>
  <c r="J1131" i="7"/>
  <c r="H1131" i="7"/>
  <c r="C1131" i="7"/>
  <c r="E1131" i="7" s="1"/>
  <c r="F1131" i="7" s="1"/>
  <c r="I1131" i="7" s="1"/>
  <c r="L1130" i="7"/>
  <c r="K1130" i="7"/>
  <c r="H1130" i="7"/>
  <c r="U1130" i="7" s="1"/>
  <c r="C1130" i="7"/>
  <c r="E1130" i="7" s="1"/>
  <c r="F1130" i="7" s="1"/>
  <c r="L1129" i="7"/>
  <c r="K1129" i="7"/>
  <c r="H1129" i="7"/>
  <c r="U1129" i="7" s="1"/>
  <c r="C1129" i="7"/>
  <c r="E1129" i="7" s="1"/>
  <c r="F1129" i="7" s="1"/>
  <c r="L1128" i="7"/>
  <c r="K1128" i="7"/>
  <c r="H1128" i="7"/>
  <c r="U1128" i="7" s="1"/>
  <c r="F1128" i="7"/>
  <c r="E1128" i="7"/>
  <c r="C1128" i="7"/>
  <c r="L1127" i="7"/>
  <c r="K1127" i="7"/>
  <c r="H1127" i="7"/>
  <c r="U1127" i="7" s="1"/>
  <c r="C1127" i="7"/>
  <c r="E1127" i="7" s="1"/>
  <c r="F1127" i="7" s="1"/>
  <c r="L1126" i="7"/>
  <c r="K1126" i="7"/>
  <c r="H1126" i="7"/>
  <c r="U1126" i="7" s="1"/>
  <c r="C1126" i="7"/>
  <c r="E1126" i="7" s="1"/>
  <c r="F1126" i="7" s="1"/>
  <c r="L1125" i="7"/>
  <c r="K1125" i="7"/>
  <c r="H1125" i="7"/>
  <c r="U1125" i="7" s="1"/>
  <c r="C1125" i="7"/>
  <c r="E1125" i="7" s="1"/>
  <c r="F1125" i="7" s="1"/>
  <c r="L1124" i="7"/>
  <c r="K1124" i="7"/>
  <c r="H1124" i="7"/>
  <c r="U1124" i="7" s="1"/>
  <c r="C1124" i="7"/>
  <c r="E1124" i="7" s="1"/>
  <c r="F1124" i="7" s="1"/>
  <c r="L1123" i="7"/>
  <c r="K1123" i="7"/>
  <c r="H1123" i="7"/>
  <c r="U1123" i="7" s="1"/>
  <c r="C1123" i="7"/>
  <c r="E1123" i="7" s="1"/>
  <c r="F1123" i="7" s="1"/>
  <c r="L1122" i="7"/>
  <c r="K1122" i="7"/>
  <c r="H1122" i="7"/>
  <c r="U1122" i="7" s="1"/>
  <c r="C1122" i="7"/>
  <c r="E1122" i="7" s="1"/>
  <c r="F1122" i="7" s="1"/>
  <c r="L1121" i="7"/>
  <c r="K1121" i="7"/>
  <c r="H1121" i="7"/>
  <c r="U1121" i="7" s="1"/>
  <c r="C1121" i="7"/>
  <c r="E1121" i="7" s="1"/>
  <c r="F1121" i="7" s="1"/>
  <c r="L1120" i="7"/>
  <c r="K1120" i="7"/>
  <c r="H1120" i="7"/>
  <c r="U1120" i="7" s="1"/>
  <c r="C1120" i="7"/>
  <c r="E1120" i="7" s="1"/>
  <c r="F1120" i="7" s="1"/>
  <c r="L1119" i="7"/>
  <c r="K1119" i="7"/>
  <c r="H1119" i="7"/>
  <c r="U1119" i="7" s="1"/>
  <c r="C1119" i="7"/>
  <c r="E1119" i="7" s="1"/>
  <c r="F1119" i="7" s="1"/>
  <c r="L1118" i="7"/>
  <c r="K1118" i="7"/>
  <c r="H1118" i="7"/>
  <c r="U1118" i="7" s="1"/>
  <c r="C1118" i="7"/>
  <c r="E1118" i="7" s="1"/>
  <c r="F1118" i="7" s="1"/>
  <c r="L1117" i="7"/>
  <c r="K1117" i="7"/>
  <c r="H1117" i="7"/>
  <c r="U1117" i="7" s="1"/>
  <c r="C1117" i="7"/>
  <c r="E1117" i="7" s="1"/>
  <c r="F1117" i="7" s="1"/>
  <c r="L1116" i="7"/>
  <c r="K1116" i="7"/>
  <c r="H1116" i="7"/>
  <c r="U1116" i="7" s="1"/>
  <c r="C1116" i="7"/>
  <c r="E1116" i="7" s="1"/>
  <c r="F1116" i="7" s="1"/>
  <c r="U1115" i="7"/>
  <c r="L1115" i="7"/>
  <c r="K1115" i="7"/>
  <c r="H1115" i="7"/>
  <c r="C1115" i="7"/>
  <c r="E1115" i="7" s="1"/>
  <c r="F1115" i="7" s="1"/>
  <c r="L1114" i="7"/>
  <c r="K1114" i="7"/>
  <c r="H1114" i="7"/>
  <c r="U1114" i="7" s="1"/>
  <c r="E1114" i="7"/>
  <c r="F1114" i="7" s="1"/>
  <c r="C1114" i="7"/>
  <c r="L1113" i="7"/>
  <c r="K1113" i="7"/>
  <c r="H1113" i="7"/>
  <c r="U1113" i="7" s="1"/>
  <c r="C1113" i="7"/>
  <c r="E1113" i="7" s="1"/>
  <c r="F1113" i="7" s="1"/>
  <c r="L1112" i="7"/>
  <c r="K1112" i="7"/>
  <c r="H1112" i="7"/>
  <c r="U1112" i="7" s="1"/>
  <c r="F1112" i="7"/>
  <c r="E1112" i="7"/>
  <c r="C1112" i="7"/>
  <c r="L1111" i="7"/>
  <c r="K1111" i="7"/>
  <c r="H1111" i="7"/>
  <c r="U1111" i="7" s="1"/>
  <c r="C1111" i="7"/>
  <c r="E1111" i="7" s="1"/>
  <c r="F1111" i="7" s="1"/>
  <c r="L1110" i="7"/>
  <c r="K1110" i="7"/>
  <c r="H1110" i="7"/>
  <c r="U1110" i="7" s="1"/>
  <c r="C1110" i="7"/>
  <c r="E1110" i="7" s="1"/>
  <c r="F1110" i="7" s="1"/>
  <c r="L1109" i="7"/>
  <c r="K1109" i="7"/>
  <c r="H1109" i="7"/>
  <c r="U1109" i="7" s="1"/>
  <c r="C1109" i="7"/>
  <c r="E1109" i="7" s="1"/>
  <c r="F1109" i="7" s="1"/>
  <c r="L1108" i="7"/>
  <c r="K1108" i="7"/>
  <c r="H1108" i="7"/>
  <c r="U1108" i="7" s="1"/>
  <c r="C1108" i="7"/>
  <c r="E1108" i="7" s="1"/>
  <c r="F1108" i="7" s="1"/>
  <c r="L1107" i="7"/>
  <c r="K1107" i="7"/>
  <c r="H1107" i="7"/>
  <c r="U1107" i="7" s="1"/>
  <c r="C1107" i="7"/>
  <c r="E1107" i="7" s="1"/>
  <c r="F1107" i="7" s="1"/>
  <c r="L1106" i="7"/>
  <c r="K1106" i="7"/>
  <c r="H1106" i="7"/>
  <c r="U1106" i="7" s="1"/>
  <c r="C1106" i="7"/>
  <c r="E1106" i="7" s="1"/>
  <c r="F1106" i="7" s="1"/>
  <c r="J1106" i="7" s="1"/>
  <c r="L1105" i="7"/>
  <c r="K1105" i="7"/>
  <c r="H1105" i="7"/>
  <c r="U1105" i="7" s="1"/>
  <c r="C1105" i="7"/>
  <c r="E1105" i="7" s="1"/>
  <c r="F1105" i="7" s="1"/>
  <c r="L1104" i="7"/>
  <c r="K1104" i="7"/>
  <c r="H1104" i="7"/>
  <c r="U1104" i="7" s="1"/>
  <c r="C1104" i="7"/>
  <c r="E1104" i="7" s="1"/>
  <c r="F1104" i="7" s="1"/>
  <c r="U1103" i="7"/>
  <c r="L1103" i="7"/>
  <c r="K1103" i="7"/>
  <c r="H1103" i="7"/>
  <c r="C1103" i="7"/>
  <c r="E1103" i="7" s="1"/>
  <c r="F1103" i="7" s="1"/>
  <c r="I1103" i="7" s="1"/>
  <c r="L1102" i="7"/>
  <c r="K1102" i="7"/>
  <c r="H1102" i="7"/>
  <c r="U1102" i="7" s="1"/>
  <c r="C1102" i="7"/>
  <c r="E1102" i="7" s="1"/>
  <c r="F1102" i="7" s="1"/>
  <c r="L1101" i="7"/>
  <c r="K1101" i="7"/>
  <c r="H1101" i="7"/>
  <c r="U1101" i="7" s="1"/>
  <c r="E1101" i="7"/>
  <c r="F1101" i="7" s="1"/>
  <c r="C1101" i="7"/>
  <c r="L1100" i="7"/>
  <c r="K1100" i="7"/>
  <c r="H1100" i="7"/>
  <c r="U1100" i="7" s="1"/>
  <c r="F1100" i="7"/>
  <c r="J1100" i="7" s="1"/>
  <c r="C1100" i="7"/>
  <c r="E1100" i="7" s="1"/>
  <c r="L1099" i="7"/>
  <c r="K1099" i="7"/>
  <c r="H1099" i="7"/>
  <c r="U1099" i="7" s="1"/>
  <c r="C1099" i="7"/>
  <c r="E1099" i="7" s="1"/>
  <c r="F1099" i="7" s="1"/>
  <c r="L1098" i="7"/>
  <c r="K1098" i="7"/>
  <c r="H1098" i="7"/>
  <c r="U1098" i="7" s="1"/>
  <c r="C1098" i="7"/>
  <c r="E1098" i="7" s="1"/>
  <c r="F1098" i="7" s="1"/>
  <c r="L1097" i="7"/>
  <c r="K1097" i="7"/>
  <c r="H1097" i="7"/>
  <c r="U1097" i="7" s="1"/>
  <c r="C1097" i="7"/>
  <c r="E1097" i="7" s="1"/>
  <c r="F1097" i="7" s="1"/>
  <c r="L1096" i="7"/>
  <c r="K1096" i="7"/>
  <c r="H1096" i="7"/>
  <c r="U1096" i="7" s="1"/>
  <c r="F1096" i="7"/>
  <c r="E1096" i="7"/>
  <c r="C1096" i="7"/>
  <c r="L1095" i="7"/>
  <c r="K1095" i="7"/>
  <c r="H1095" i="7"/>
  <c r="U1095" i="7" s="1"/>
  <c r="C1095" i="7"/>
  <c r="E1095" i="7" s="1"/>
  <c r="F1095" i="7" s="1"/>
  <c r="J1095" i="7" s="1"/>
  <c r="L1094" i="7"/>
  <c r="K1094" i="7"/>
  <c r="H1094" i="7"/>
  <c r="U1094" i="7" s="1"/>
  <c r="C1094" i="7"/>
  <c r="E1094" i="7" s="1"/>
  <c r="F1094" i="7" s="1"/>
  <c r="L1093" i="7"/>
  <c r="K1093" i="7"/>
  <c r="H1093" i="7"/>
  <c r="U1093" i="7" s="1"/>
  <c r="C1093" i="7"/>
  <c r="E1093" i="7" s="1"/>
  <c r="F1093" i="7" s="1"/>
  <c r="U1092" i="7"/>
  <c r="L1092" i="7"/>
  <c r="K1092" i="7"/>
  <c r="H1092" i="7"/>
  <c r="C1092" i="7"/>
  <c r="E1092" i="7" s="1"/>
  <c r="F1092" i="7" s="1"/>
  <c r="L1091" i="7"/>
  <c r="K1091" i="7"/>
  <c r="H1091" i="7"/>
  <c r="U1091" i="7" s="1"/>
  <c r="C1091" i="7"/>
  <c r="E1091" i="7" s="1"/>
  <c r="F1091" i="7" s="1"/>
  <c r="L1090" i="7"/>
  <c r="K1090" i="7"/>
  <c r="H1090" i="7"/>
  <c r="U1090" i="7" s="1"/>
  <c r="F1090" i="7"/>
  <c r="C1090" i="7"/>
  <c r="E1090" i="7" s="1"/>
  <c r="L1089" i="7"/>
  <c r="K1089" i="7"/>
  <c r="H1089" i="7"/>
  <c r="U1089" i="7" s="1"/>
  <c r="C1089" i="7"/>
  <c r="E1089" i="7" s="1"/>
  <c r="F1089" i="7" s="1"/>
  <c r="L1088" i="7"/>
  <c r="K1088" i="7"/>
  <c r="H1088" i="7"/>
  <c r="U1088" i="7" s="1"/>
  <c r="C1088" i="7"/>
  <c r="E1088" i="7" s="1"/>
  <c r="F1088" i="7" s="1"/>
  <c r="I1088" i="7" s="1"/>
  <c r="L1087" i="7"/>
  <c r="K1087" i="7"/>
  <c r="H1087" i="7"/>
  <c r="U1087" i="7" s="1"/>
  <c r="E1087" i="7"/>
  <c r="F1087" i="7" s="1"/>
  <c r="J1087" i="7" s="1"/>
  <c r="C1087" i="7"/>
  <c r="L1086" i="7"/>
  <c r="K1086" i="7"/>
  <c r="H1086" i="7"/>
  <c r="U1086" i="7" s="1"/>
  <c r="E1086" i="7"/>
  <c r="F1086" i="7" s="1"/>
  <c r="C1086" i="7"/>
  <c r="L1085" i="7"/>
  <c r="K1085" i="7"/>
  <c r="H1085" i="7"/>
  <c r="U1085" i="7" s="1"/>
  <c r="C1085" i="7"/>
  <c r="E1085" i="7" s="1"/>
  <c r="F1085" i="7" s="1"/>
  <c r="U1084" i="7"/>
  <c r="L1084" i="7"/>
  <c r="K1084" i="7"/>
  <c r="H1084" i="7"/>
  <c r="F1084" i="7"/>
  <c r="I1084" i="7" s="1"/>
  <c r="E1084" i="7"/>
  <c r="C1084" i="7"/>
  <c r="L1083" i="7"/>
  <c r="K1083" i="7"/>
  <c r="H1083" i="7"/>
  <c r="U1083" i="7" s="1"/>
  <c r="C1083" i="7"/>
  <c r="E1083" i="7" s="1"/>
  <c r="F1083" i="7" s="1"/>
  <c r="L1082" i="7"/>
  <c r="K1082" i="7"/>
  <c r="H1082" i="7"/>
  <c r="U1082" i="7" s="1"/>
  <c r="C1082" i="7"/>
  <c r="E1082" i="7" s="1"/>
  <c r="F1082" i="7" s="1"/>
  <c r="L1081" i="7"/>
  <c r="K1081" i="7"/>
  <c r="H1081" i="7"/>
  <c r="U1081" i="7" s="1"/>
  <c r="C1081" i="7"/>
  <c r="E1081" i="7" s="1"/>
  <c r="F1081" i="7" s="1"/>
  <c r="U1080" i="7"/>
  <c r="L1080" i="7"/>
  <c r="K1080" i="7"/>
  <c r="H1080" i="7"/>
  <c r="C1080" i="7"/>
  <c r="E1080" i="7" s="1"/>
  <c r="F1080" i="7" s="1"/>
  <c r="L1079" i="7"/>
  <c r="K1079" i="7"/>
  <c r="H1079" i="7"/>
  <c r="U1079" i="7" s="1"/>
  <c r="C1079" i="7"/>
  <c r="E1079" i="7" s="1"/>
  <c r="F1079" i="7" s="1"/>
  <c r="L1078" i="7"/>
  <c r="K1078" i="7"/>
  <c r="H1078" i="7"/>
  <c r="U1078" i="7" s="1"/>
  <c r="F1078" i="7"/>
  <c r="C1078" i="7"/>
  <c r="E1078" i="7" s="1"/>
  <c r="L1077" i="7"/>
  <c r="J1077" i="7" s="1"/>
  <c r="K1077" i="7"/>
  <c r="H1077" i="7"/>
  <c r="U1077" i="7" s="1"/>
  <c r="C1077" i="7"/>
  <c r="E1077" i="7" s="1"/>
  <c r="F1077" i="7" s="1"/>
  <c r="L1076" i="7"/>
  <c r="K1076" i="7"/>
  <c r="H1076" i="7"/>
  <c r="U1076" i="7" s="1"/>
  <c r="C1076" i="7"/>
  <c r="E1076" i="7" s="1"/>
  <c r="F1076" i="7" s="1"/>
  <c r="L1075" i="7"/>
  <c r="K1075" i="7"/>
  <c r="H1075" i="7"/>
  <c r="U1075" i="7" s="1"/>
  <c r="C1075" i="7"/>
  <c r="E1075" i="7" s="1"/>
  <c r="F1075" i="7" s="1"/>
  <c r="L1074" i="7"/>
  <c r="K1074" i="7"/>
  <c r="H1074" i="7"/>
  <c r="U1074" i="7" s="1"/>
  <c r="C1074" i="7"/>
  <c r="E1074" i="7" s="1"/>
  <c r="F1074" i="7" s="1"/>
  <c r="U1073" i="7"/>
  <c r="L1073" i="7"/>
  <c r="K1073" i="7"/>
  <c r="H1073" i="7"/>
  <c r="C1073" i="7"/>
  <c r="E1073" i="7" s="1"/>
  <c r="F1073" i="7" s="1"/>
  <c r="L1072" i="7"/>
  <c r="K1072" i="7"/>
  <c r="H1072" i="7"/>
  <c r="U1072" i="7" s="1"/>
  <c r="C1072" i="7"/>
  <c r="E1072" i="7" s="1"/>
  <c r="F1072" i="7" s="1"/>
  <c r="L1071" i="7"/>
  <c r="K1071" i="7"/>
  <c r="H1071" i="7"/>
  <c r="U1071" i="7" s="1"/>
  <c r="C1071" i="7"/>
  <c r="E1071" i="7" s="1"/>
  <c r="F1071" i="7" s="1"/>
  <c r="L1070" i="7"/>
  <c r="K1070" i="7"/>
  <c r="H1070" i="7"/>
  <c r="U1070" i="7" s="1"/>
  <c r="C1070" i="7"/>
  <c r="E1070" i="7" s="1"/>
  <c r="F1070" i="7" s="1"/>
  <c r="L1069" i="7"/>
  <c r="K1069" i="7"/>
  <c r="H1069" i="7"/>
  <c r="U1069" i="7" s="1"/>
  <c r="C1069" i="7"/>
  <c r="E1069" i="7" s="1"/>
  <c r="F1069" i="7" s="1"/>
  <c r="L1068" i="7"/>
  <c r="K1068" i="7"/>
  <c r="H1068" i="7"/>
  <c r="U1068" i="7" s="1"/>
  <c r="C1068" i="7"/>
  <c r="E1068" i="7" s="1"/>
  <c r="F1068" i="7" s="1"/>
  <c r="L1067" i="7"/>
  <c r="K1067" i="7"/>
  <c r="H1067" i="7"/>
  <c r="U1067" i="7" s="1"/>
  <c r="C1067" i="7"/>
  <c r="E1067" i="7" s="1"/>
  <c r="F1067" i="7" s="1"/>
  <c r="L1066" i="7"/>
  <c r="K1066" i="7"/>
  <c r="H1066" i="7"/>
  <c r="U1066" i="7" s="1"/>
  <c r="C1066" i="7"/>
  <c r="E1066" i="7" s="1"/>
  <c r="F1066" i="7" s="1"/>
  <c r="L1065" i="7"/>
  <c r="K1065" i="7"/>
  <c r="H1065" i="7"/>
  <c r="U1065" i="7" s="1"/>
  <c r="E1065" i="7"/>
  <c r="F1065" i="7" s="1"/>
  <c r="I1065" i="7" s="1"/>
  <c r="C1065" i="7"/>
  <c r="L1064" i="7"/>
  <c r="K1064" i="7"/>
  <c r="H1064" i="7"/>
  <c r="U1064" i="7" s="1"/>
  <c r="E1064" i="7"/>
  <c r="F1064" i="7" s="1"/>
  <c r="C1064" i="7"/>
  <c r="L1063" i="7"/>
  <c r="K1063" i="7"/>
  <c r="H1063" i="7"/>
  <c r="U1063" i="7" s="1"/>
  <c r="C1063" i="7"/>
  <c r="E1063" i="7" s="1"/>
  <c r="F1063" i="7" s="1"/>
  <c r="L1062" i="7"/>
  <c r="K1062" i="7"/>
  <c r="H1062" i="7"/>
  <c r="U1062" i="7" s="1"/>
  <c r="C1062" i="7"/>
  <c r="E1062" i="7" s="1"/>
  <c r="F1062" i="7" s="1"/>
  <c r="L1061" i="7"/>
  <c r="K1061" i="7"/>
  <c r="H1061" i="7"/>
  <c r="U1061" i="7" s="1"/>
  <c r="C1061" i="7"/>
  <c r="E1061" i="7" s="1"/>
  <c r="F1061" i="7" s="1"/>
  <c r="L1060" i="7"/>
  <c r="K1060" i="7"/>
  <c r="H1060" i="7"/>
  <c r="U1060" i="7" s="1"/>
  <c r="C1060" i="7"/>
  <c r="E1060" i="7" s="1"/>
  <c r="F1060" i="7" s="1"/>
  <c r="U1059" i="7"/>
  <c r="L1059" i="7"/>
  <c r="K1059" i="7"/>
  <c r="H1059" i="7"/>
  <c r="C1059" i="7"/>
  <c r="E1059" i="7" s="1"/>
  <c r="F1059" i="7" s="1"/>
  <c r="L1058" i="7"/>
  <c r="K1058" i="7"/>
  <c r="H1058" i="7"/>
  <c r="U1058" i="7" s="1"/>
  <c r="C1058" i="7"/>
  <c r="E1058" i="7" s="1"/>
  <c r="F1058" i="7" s="1"/>
  <c r="J1058" i="7" s="1"/>
  <c r="L1057" i="7"/>
  <c r="K1057" i="7"/>
  <c r="H1057" i="7"/>
  <c r="U1057" i="7" s="1"/>
  <c r="C1057" i="7"/>
  <c r="E1057" i="7" s="1"/>
  <c r="F1057" i="7" s="1"/>
  <c r="L1056" i="7"/>
  <c r="K1056" i="7"/>
  <c r="H1056" i="7"/>
  <c r="U1056" i="7" s="1"/>
  <c r="F1056" i="7"/>
  <c r="C1056" i="7"/>
  <c r="E1056" i="7" s="1"/>
  <c r="L1055" i="7"/>
  <c r="K1055" i="7"/>
  <c r="H1055" i="7"/>
  <c r="U1055" i="7" s="1"/>
  <c r="C1055" i="7"/>
  <c r="E1055" i="7" s="1"/>
  <c r="F1055" i="7" s="1"/>
  <c r="L1054" i="7"/>
  <c r="K1054" i="7"/>
  <c r="H1054" i="7"/>
  <c r="U1054" i="7" s="1"/>
  <c r="C1054" i="7"/>
  <c r="E1054" i="7" s="1"/>
  <c r="F1054" i="7" s="1"/>
  <c r="L1053" i="7"/>
  <c r="K1053" i="7"/>
  <c r="H1053" i="7"/>
  <c r="U1053" i="7" s="1"/>
  <c r="C1053" i="7"/>
  <c r="E1053" i="7" s="1"/>
  <c r="F1053" i="7" s="1"/>
  <c r="L1052" i="7"/>
  <c r="K1052" i="7"/>
  <c r="H1052" i="7"/>
  <c r="U1052" i="7" s="1"/>
  <c r="E1052" i="7"/>
  <c r="F1052" i="7" s="1"/>
  <c r="C1052" i="7"/>
  <c r="L1051" i="7"/>
  <c r="K1051" i="7"/>
  <c r="H1051" i="7"/>
  <c r="U1051" i="7" s="1"/>
  <c r="C1051" i="7"/>
  <c r="E1051" i="7" s="1"/>
  <c r="F1051" i="7" s="1"/>
  <c r="L1050" i="7"/>
  <c r="K1050" i="7"/>
  <c r="H1050" i="7"/>
  <c r="U1050" i="7" s="1"/>
  <c r="E1050" i="7"/>
  <c r="F1050" i="7" s="1"/>
  <c r="C1050" i="7"/>
  <c r="L1049" i="7"/>
  <c r="K1049" i="7"/>
  <c r="I1049" i="7"/>
  <c r="H1049" i="7"/>
  <c r="U1049" i="7" s="1"/>
  <c r="C1049" i="7"/>
  <c r="E1049" i="7" s="1"/>
  <c r="F1049" i="7" s="1"/>
  <c r="J1049" i="7" s="1"/>
  <c r="U1048" i="7"/>
  <c r="L1048" i="7"/>
  <c r="K1048" i="7"/>
  <c r="H1048" i="7"/>
  <c r="C1048" i="7"/>
  <c r="E1048" i="7" s="1"/>
  <c r="F1048" i="7" s="1"/>
  <c r="L1047" i="7"/>
  <c r="K1047" i="7"/>
  <c r="H1047" i="7"/>
  <c r="U1047" i="7" s="1"/>
  <c r="C1047" i="7"/>
  <c r="E1047" i="7" s="1"/>
  <c r="F1047" i="7" s="1"/>
  <c r="J1047" i="7" s="1"/>
  <c r="L1046" i="7"/>
  <c r="K1046" i="7"/>
  <c r="H1046" i="7"/>
  <c r="U1046" i="7" s="1"/>
  <c r="E1046" i="7"/>
  <c r="F1046" i="7" s="1"/>
  <c r="J1046" i="7" s="1"/>
  <c r="C1046" i="7"/>
  <c r="L1045" i="7"/>
  <c r="K1045" i="7"/>
  <c r="H1045" i="7"/>
  <c r="U1045" i="7" s="1"/>
  <c r="E1045" i="7"/>
  <c r="F1045" i="7" s="1"/>
  <c r="C1045" i="7"/>
  <c r="U1044" i="7"/>
  <c r="L1044" i="7"/>
  <c r="K1044" i="7"/>
  <c r="H1044" i="7"/>
  <c r="C1044" i="7"/>
  <c r="E1044" i="7" s="1"/>
  <c r="F1044" i="7" s="1"/>
  <c r="L1043" i="7"/>
  <c r="K1043" i="7"/>
  <c r="H1043" i="7"/>
  <c r="U1043" i="7" s="1"/>
  <c r="C1043" i="7"/>
  <c r="E1043" i="7" s="1"/>
  <c r="F1043" i="7" s="1"/>
  <c r="L1042" i="7"/>
  <c r="K1042" i="7"/>
  <c r="H1042" i="7"/>
  <c r="U1042" i="7" s="1"/>
  <c r="C1042" i="7"/>
  <c r="E1042" i="7" s="1"/>
  <c r="F1042" i="7" s="1"/>
  <c r="J1042" i="7" s="1"/>
  <c r="L1041" i="7"/>
  <c r="K1041" i="7"/>
  <c r="H1041" i="7"/>
  <c r="U1041" i="7" s="1"/>
  <c r="E1041" i="7"/>
  <c r="F1041" i="7" s="1"/>
  <c r="C1041" i="7"/>
  <c r="L1040" i="7"/>
  <c r="K1040" i="7"/>
  <c r="H1040" i="7"/>
  <c r="U1040" i="7" s="1"/>
  <c r="E1040" i="7"/>
  <c r="F1040" i="7" s="1"/>
  <c r="C1040" i="7"/>
  <c r="L1039" i="7"/>
  <c r="K1039" i="7"/>
  <c r="H1039" i="7"/>
  <c r="U1039" i="7" s="1"/>
  <c r="C1039" i="7"/>
  <c r="E1039" i="7" s="1"/>
  <c r="F1039" i="7" s="1"/>
  <c r="L1038" i="7"/>
  <c r="K1038" i="7"/>
  <c r="H1038" i="7"/>
  <c r="U1038" i="7" s="1"/>
  <c r="E1038" i="7"/>
  <c r="F1038" i="7" s="1"/>
  <c r="C1038" i="7"/>
  <c r="L1037" i="7"/>
  <c r="K1037" i="7"/>
  <c r="H1037" i="7"/>
  <c r="U1037" i="7" s="1"/>
  <c r="E1037" i="7"/>
  <c r="F1037" i="7" s="1"/>
  <c r="C1037" i="7"/>
  <c r="L1036" i="7"/>
  <c r="K1036" i="7"/>
  <c r="H1036" i="7"/>
  <c r="U1036" i="7" s="1"/>
  <c r="C1036" i="7"/>
  <c r="E1036" i="7" s="1"/>
  <c r="F1036" i="7" s="1"/>
  <c r="L1035" i="7"/>
  <c r="K1035" i="7"/>
  <c r="H1035" i="7"/>
  <c r="U1035" i="7" s="1"/>
  <c r="C1035" i="7"/>
  <c r="E1035" i="7" s="1"/>
  <c r="F1035" i="7" s="1"/>
  <c r="I1035" i="7" s="1"/>
  <c r="L1034" i="7"/>
  <c r="K1034" i="7"/>
  <c r="H1034" i="7"/>
  <c r="U1034" i="7" s="1"/>
  <c r="E1034" i="7"/>
  <c r="F1034" i="7" s="1"/>
  <c r="C1034" i="7"/>
  <c r="L1033" i="7"/>
  <c r="K1033" i="7"/>
  <c r="H1033" i="7"/>
  <c r="U1033" i="7" s="1"/>
  <c r="C1033" i="7"/>
  <c r="E1033" i="7" s="1"/>
  <c r="F1033" i="7" s="1"/>
  <c r="L1032" i="7"/>
  <c r="K1032" i="7"/>
  <c r="H1032" i="7"/>
  <c r="U1032" i="7" s="1"/>
  <c r="E1032" i="7"/>
  <c r="F1032" i="7" s="1"/>
  <c r="C1032" i="7"/>
  <c r="U1031" i="7"/>
  <c r="L1031" i="7"/>
  <c r="K1031" i="7"/>
  <c r="H1031" i="7"/>
  <c r="C1031" i="7"/>
  <c r="E1031" i="7" s="1"/>
  <c r="F1031" i="7" s="1"/>
  <c r="L1030" i="7"/>
  <c r="I1030" i="7" s="1"/>
  <c r="K1030" i="7"/>
  <c r="H1030" i="7"/>
  <c r="U1030" i="7" s="1"/>
  <c r="C1030" i="7"/>
  <c r="E1030" i="7" s="1"/>
  <c r="F1030" i="7" s="1"/>
  <c r="L1029" i="7"/>
  <c r="K1029" i="7"/>
  <c r="H1029" i="7"/>
  <c r="U1029" i="7" s="1"/>
  <c r="E1029" i="7"/>
  <c r="F1029" i="7" s="1"/>
  <c r="C1029" i="7"/>
  <c r="L1028" i="7"/>
  <c r="K1028" i="7"/>
  <c r="H1028" i="7"/>
  <c r="U1028" i="7" s="1"/>
  <c r="C1028" i="7"/>
  <c r="E1028" i="7" s="1"/>
  <c r="F1028" i="7" s="1"/>
  <c r="L1027" i="7"/>
  <c r="K1027" i="7"/>
  <c r="H1027" i="7"/>
  <c r="U1027" i="7" s="1"/>
  <c r="C1027" i="7"/>
  <c r="E1027" i="7" s="1"/>
  <c r="F1027" i="7" s="1"/>
  <c r="L1026" i="7"/>
  <c r="K1026" i="7"/>
  <c r="H1026" i="7"/>
  <c r="U1026" i="7" s="1"/>
  <c r="F1026" i="7"/>
  <c r="I1026" i="7" s="1"/>
  <c r="E1026" i="7"/>
  <c r="C1026" i="7"/>
  <c r="L1025" i="7"/>
  <c r="K1025" i="7"/>
  <c r="H1025" i="7"/>
  <c r="U1025" i="7" s="1"/>
  <c r="E1025" i="7"/>
  <c r="F1025" i="7" s="1"/>
  <c r="J1025" i="7" s="1"/>
  <c r="C1025" i="7"/>
  <c r="L1024" i="7"/>
  <c r="K1024" i="7"/>
  <c r="H1024" i="7"/>
  <c r="U1024" i="7" s="1"/>
  <c r="C1024" i="7"/>
  <c r="E1024" i="7" s="1"/>
  <c r="F1024" i="7" s="1"/>
  <c r="L1023" i="7"/>
  <c r="K1023" i="7"/>
  <c r="H1023" i="7"/>
  <c r="U1023" i="7" s="1"/>
  <c r="C1023" i="7"/>
  <c r="E1023" i="7" s="1"/>
  <c r="F1023" i="7" s="1"/>
  <c r="L1022" i="7"/>
  <c r="K1022" i="7"/>
  <c r="H1022" i="7"/>
  <c r="U1022" i="7" s="1"/>
  <c r="C1022" i="7"/>
  <c r="E1022" i="7" s="1"/>
  <c r="F1022" i="7" s="1"/>
  <c r="J1022" i="7" s="1"/>
  <c r="L1021" i="7"/>
  <c r="K1021" i="7"/>
  <c r="H1021" i="7"/>
  <c r="U1021" i="7" s="1"/>
  <c r="E1021" i="7"/>
  <c r="F1021" i="7" s="1"/>
  <c r="C1021" i="7"/>
  <c r="L1020" i="7"/>
  <c r="K1020" i="7"/>
  <c r="H1020" i="7"/>
  <c r="U1020" i="7" s="1"/>
  <c r="E1020" i="7"/>
  <c r="F1020" i="7" s="1"/>
  <c r="C1020" i="7"/>
  <c r="L1019" i="7"/>
  <c r="J1019" i="7" s="1"/>
  <c r="K1019" i="7"/>
  <c r="H1019" i="7"/>
  <c r="U1019" i="7" s="1"/>
  <c r="C1019" i="7"/>
  <c r="E1019" i="7" s="1"/>
  <c r="F1019" i="7" s="1"/>
  <c r="L1018" i="7"/>
  <c r="K1018" i="7"/>
  <c r="H1018" i="7"/>
  <c r="U1018" i="7" s="1"/>
  <c r="C1018" i="7"/>
  <c r="E1018" i="7" s="1"/>
  <c r="F1018" i="7" s="1"/>
  <c r="L1017" i="7"/>
  <c r="K1017" i="7"/>
  <c r="H1017" i="7"/>
  <c r="U1017" i="7" s="1"/>
  <c r="C1017" i="7"/>
  <c r="E1017" i="7" s="1"/>
  <c r="F1017" i="7" s="1"/>
  <c r="L1016" i="7"/>
  <c r="K1016" i="7"/>
  <c r="H1016" i="7"/>
  <c r="U1016" i="7" s="1"/>
  <c r="E1016" i="7"/>
  <c r="F1016" i="7" s="1"/>
  <c r="C1016" i="7"/>
  <c r="L1015" i="7"/>
  <c r="K1015" i="7"/>
  <c r="H1015" i="7"/>
  <c r="U1015" i="7" s="1"/>
  <c r="C1015" i="7"/>
  <c r="E1015" i="7" s="1"/>
  <c r="F1015" i="7" s="1"/>
  <c r="L1014" i="7"/>
  <c r="K1014" i="7"/>
  <c r="H1014" i="7"/>
  <c r="U1014" i="7" s="1"/>
  <c r="C1014" i="7"/>
  <c r="E1014" i="7" s="1"/>
  <c r="F1014" i="7" s="1"/>
  <c r="I1014" i="7" s="1"/>
  <c r="L1013" i="7"/>
  <c r="K1013" i="7"/>
  <c r="H1013" i="7"/>
  <c r="U1013" i="7" s="1"/>
  <c r="E1013" i="7"/>
  <c r="F1013" i="7" s="1"/>
  <c r="C1013" i="7"/>
  <c r="L1012" i="7"/>
  <c r="K1012" i="7"/>
  <c r="H1012" i="7"/>
  <c r="U1012" i="7" s="1"/>
  <c r="C1012" i="7"/>
  <c r="E1012" i="7" s="1"/>
  <c r="F1012" i="7" s="1"/>
  <c r="L1011" i="7"/>
  <c r="K1011" i="7"/>
  <c r="H1011" i="7"/>
  <c r="U1011" i="7" s="1"/>
  <c r="C1011" i="7"/>
  <c r="E1011" i="7" s="1"/>
  <c r="F1011" i="7" s="1"/>
  <c r="L1010" i="7"/>
  <c r="K1010" i="7"/>
  <c r="H1010" i="7"/>
  <c r="U1010" i="7" s="1"/>
  <c r="E1010" i="7"/>
  <c r="F1010" i="7" s="1"/>
  <c r="I1010" i="7" s="1"/>
  <c r="C1010" i="7"/>
  <c r="L1009" i="7"/>
  <c r="K1009" i="7"/>
  <c r="H1009" i="7"/>
  <c r="U1009" i="7" s="1"/>
  <c r="E1009" i="7"/>
  <c r="F1009" i="7" s="1"/>
  <c r="C1009" i="7"/>
  <c r="U1008" i="7"/>
  <c r="L1008" i="7"/>
  <c r="K1008" i="7"/>
  <c r="H1008" i="7"/>
  <c r="C1008" i="7"/>
  <c r="E1008" i="7" s="1"/>
  <c r="F1008" i="7" s="1"/>
  <c r="L1007" i="7"/>
  <c r="K1007" i="7"/>
  <c r="H1007" i="7"/>
  <c r="U1007" i="7" s="1"/>
  <c r="C1007" i="7"/>
  <c r="E1007" i="7" s="1"/>
  <c r="F1007" i="7" s="1"/>
  <c r="L1006" i="7"/>
  <c r="K1006" i="7"/>
  <c r="H1006" i="7"/>
  <c r="U1006" i="7" s="1"/>
  <c r="E1006" i="7"/>
  <c r="F1006" i="7" s="1"/>
  <c r="J1006" i="7" s="1"/>
  <c r="C1006" i="7"/>
  <c r="L1005" i="7"/>
  <c r="K1005" i="7"/>
  <c r="H1005" i="7"/>
  <c r="U1005" i="7" s="1"/>
  <c r="C1005" i="7"/>
  <c r="E1005" i="7" s="1"/>
  <c r="F1005" i="7" s="1"/>
  <c r="L1004" i="7"/>
  <c r="K1004" i="7"/>
  <c r="H1004" i="7"/>
  <c r="U1004" i="7" s="1"/>
  <c r="C1004" i="7"/>
  <c r="E1004" i="7" s="1"/>
  <c r="F1004" i="7" s="1"/>
  <c r="U1003" i="7"/>
  <c r="L1003" i="7"/>
  <c r="K1003" i="7"/>
  <c r="H1003" i="7"/>
  <c r="C1003" i="7"/>
  <c r="E1003" i="7" s="1"/>
  <c r="F1003" i="7" s="1"/>
  <c r="L1002" i="7"/>
  <c r="K1002" i="7"/>
  <c r="H1002" i="7"/>
  <c r="U1002" i="7" s="1"/>
  <c r="F1002" i="7"/>
  <c r="C1002" i="7"/>
  <c r="E1002" i="7" s="1"/>
  <c r="U1001" i="7"/>
  <c r="L1001" i="7"/>
  <c r="K1001" i="7"/>
  <c r="H1001" i="7"/>
  <c r="C1001" i="7"/>
  <c r="E1001" i="7" s="1"/>
  <c r="F1001" i="7" s="1"/>
  <c r="L1000" i="7"/>
  <c r="K1000" i="7"/>
  <c r="H1000" i="7"/>
  <c r="U1000" i="7" s="1"/>
  <c r="C1000" i="7"/>
  <c r="E1000" i="7" s="1"/>
  <c r="F1000" i="7" s="1"/>
  <c r="L999" i="7"/>
  <c r="K999" i="7"/>
  <c r="H999" i="7"/>
  <c r="U999" i="7" s="1"/>
  <c r="C999" i="7"/>
  <c r="E999" i="7" s="1"/>
  <c r="F999" i="7" s="1"/>
  <c r="L998" i="7"/>
  <c r="K998" i="7"/>
  <c r="H998" i="7"/>
  <c r="U998" i="7" s="1"/>
  <c r="E998" i="7"/>
  <c r="F998" i="7" s="1"/>
  <c r="J998" i="7" s="1"/>
  <c r="C998" i="7"/>
  <c r="L997" i="7"/>
  <c r="K997" i="7"/>
  <c r="H997" i="7"/>
  <c r="U997" i="7" s="1"/>
  <c r="C997" i="7"/>
  <c r="E997" i="7" s="1"/>
  <c r="F997" i="7" s="1"/>
  <c r="L996" i="7"/>
  <c r="K996" i="7"/>
  <c r="H996" i="7"/>
  <c r="U996" i="7" s="1"/>
  <c r="C996" i="7"/>
  <c r="E996" i="7" s="1"/>
  <c r="F996" i="7" s="1"/>
  <c r="L995" i="7"/>
  <c r="K995" i="7"/>
  <c r="H995" i="7"/>
  <c r="U995" i="7" s="1"/>
  <c r="C995" i="7"/>
  <c r="E995" i="7" s="1"/>
  <c r="F995" i="7" s="1"/>
  <c r="J995" i="7" s="1"/>
  <c r="L994" i="7"/>
  <c r="K994" i="7"/>
  <c r="H994" i="7"/>
  <c r="U994" i="7" s="1"/>
  <c r="C994" i="7"/>
  <c r="E994" i="7" s="1"/>
  <c r="F994" i="7" s="1"/>
  <c r="J994" i="7" s="1"/>
  <c r="L993" i="7"/>
  <c r="K993" i="7"/>
  <c r="H993" i="7"/>
  <c r="U993" i="7" s="1"/>
  <c r="C993" i="7"/>
  <c r="E993" i="7" s="1"/>
  <c r="F993" i="7" s="1"/>
  <c r="L992" i="7"/>
  <c r="K992" i="7"/>
  <c r="H992" i="7"/>
  <c r="U992" i="7" s="1"/>
  <c r="C992" i="7"/>
  <c r="E992" i="7" s="1"/>
  <c r="F992" i="7" s="1"/>
  <c r="U991" i="7"/>
  <c r="L991" i="7"/>
  <c r="K991" i="7"/>
  <c r="J991" i="7"/>
  <c r="H991" i="7"/>
  <c r="C991" i="7"/>
  <c r="E991" i="7" s="1"/>
  <c r="F991" i="7" s="1"/>
  <c r="I991" i="7" s="1"/>
  <c r="L990" i="7"/>
  <c r="K990" i="7"/>
  <c r="H990" i="7"/>
  <c r="U990" i="7" s="1"/>
  <c r="C990" i="7"/>
  <c r="E990" i="7" s="1"/>
  <c r="F990" i="7" s="1"/>
  <c r="J990" i="7" s="1"/>
  <c r="L989" i="7"/>
  <c r="K989" i="7"/>
  <c r="H989" i="7"/>
  <c r="U989" i="7" s="1"/>
  <c r="E989" i="7"/>
  <c r="F989" i="7" s="1"/>
  <c r="C989" i="7"/>
  <c r="L988" i="7"/>
  <c r="K988" i="7"/>
  <c r="H988" i="7"/>
  <c r="U988" i="7" s="1"/>
  <c r="C988" i="7"/>
  <c r="E988" i="7" s="1"/>
  <c r="F988" i="7" s="1"/>
  <c r="L987" i="7"/>
  <c r="K987" i="7"/>
  <c r="H987" i="7"/>
  <c r="U987" i="7" s="1"/>
  <c r="C987" i="7"/>
  <c r="E987" i="7" s="1"/>
  <c r="F987" i="7" s="1"/>
  <c r="L986" i="7"/>
  <c r="K986" i="7"/>
  <c r="H986" i="7"/>
  <c r="U986" i="7" s="1"/>
  <c r="E986" i="7"/>
  <c r="F986" i="7" s="1"/>
  <c r="C986" i="7"/>
  <c r="L985" i="7"/>
  <c r="K985" i="7"/>
  <c r="H985" i="7"/>
  <c r="U985" i="7" s="1"/>
  <c r="E985" i="7"/>
  <c r="F985" i="7" s="1"/>
  <c r="C985" i="7"/>
  <c r="L984" i="7"/>
  <c r="K984" i="7"/>
  <c r="H984" i="7"/>
  <c r="U984" i="7" s="1"/>
  <c r="C984" i="7"/>
  <c r="E984" i="7" s="1"/>
  <c r="F984" i="7" s="1"/>
  <c r="L983" i="7"/>
  <c r="K983" i="7"/>
  <c r="H983" i="7"/>
  <c r="U983" i="7" s="1"/>
  <c r="C983" i="7"/>
  <c r="E983" i="7" s="1"/>
  <c r="F983" i="7" s="1"/>
  <c r="L982" i="7"/>
  <c r="K982" i="7"/>
  <c r="H982" i="7"/>
  <c r="U982" i="7" s="1"/>
  <c r="E982" i="7"/>
  <c r="F982" i="7" s="1"/>
  <c r="I982" i="7" s="1"/>
  <c r="C982" i="7"/>
  <c r="L981" i="7"/>
  <c r="K981" i="7"/>
  <c r="H981" i="7"/>
  <c r="U981" i="7" s="1"/>
  <c r="E981" i="7"/>
  <c r="F981" i="7" s="1"/>
  <c r="C981" i="7"/>
  <c r="L980" i="7"/>
  <c r="K980" i="7"/>
  <c r="H980" i="7"/>
  <c r="U980" i="7" s="1"/>
  <c r="C980" i="7"/>
  <c r="E980" i="7" s="1"/>
  <c r="F980" i="7" s="1"/>
  <c r="L979" i="7"/>
  <c r="K979" i="7"/>
  <c r="H979" i="7"/>
  <c r="U979" i="7" s="1"/>
  <c r="C979" i="7"/>
  <c r="E979" i="7" s="1"/>
  <c r="F979" i="7" s="1"/>
  <c r="L978" i="7"/>
  <c r="K978" i="7"/>
  <c r="H978" i="7"/>
  <c r="U978" i="7" s="1"/>
  <c r="C978" i="7"/>
  <c r="E978" i="7" s="1"/>
  <c r="F978" i="7" s="1"/>
  <c r="L977" i="7"/>
  <c r="K977" i="7"/>
  <c r="H977" i="7"/>
  <c r="U977" i="7" s="1"/>
  <c r="C977" i="7"/>
  <c r="E977" i="7" s="1"/>
  <c r="F977" i="7" s="1"/>
  <c r="J977" i="7" s="1"/>
  <c r="U976" i="7"/>
  <c r="L976" i="7"/>
  <c r="K976" i="7"/>
  <c r="H976" i="7"/>
  <c r="E976" i="7"/>
  <c r="F976" i="7" s="1"/>
  <c r="C976" i="7"/>
  <c r="L975" i="7"/>
  <c r="K975" i="7"/>
  <c r="H975" i="7"/>
  <c r="U975" i="7" s="1"/>
  <c r="C975" i="7"/>
  <c r="E975" i="7" s="1"/>
  <c r="F975" i="7" s="1"/>
  <c r="L974" i="7"/>
  <c r="K974" i="7"/>
  <c r="H974" i="7"/>
  <c r="U974" i="7" s="1"/>
  <c r="C974" i="7"/>
  <c r="E974" i="7" s="1"/>
  <c r="F974" i="7" s="1"/>
  <c r="J974" i="7" s="1"/>
  <c r="L973" i="7"/>
  <c r="K973" i="7"/>
  <c r="H973" i="7"/>
  <c r="U973" i="7" s="1"/>
  <c r="E973" i="7"/>
  <c r="F973" i="7" s="1"/>
  <c r="C973" i="7"/>
  <c r="U972" i="7"/>
  <c r="L972" i="7"/>
  <c r="K972" i="7"/>
  <c r="H972" i="7"/>
  <c r="C972" i="7"/>
  <c r="E972" i="7" s="1"/>
  <c r="F972" i="7" s="1"/>
  <c r="L971" i="7"/>
  <c r="K971" i="7"/>
  <c r="H971" i="7"/>
  <c r="U971" i="7" s="1"/>
  <c r="C971" i="7"/>
  <c r="E971" i="7" s="1"/>
  <c r="F971" i="7" s="1"/>
  <c r="L970" i="7"/>
  <c r="K970" i="7"/>
  <c r="H970" i="7"/>
  <c r="U970" i="7" s="1"/>
  <c r="C970" i="7"/>
  <c r="E970" i="7" s="1"/>
  <c r="F970" i="7" s="1"/>
  <c r="L969" i="7"/>
  <c r="K969" i="7"/>
  <c r="H969" i="7"/>
  <c r="U969" i="7" s="1"/>
  <c r="C969" i="7"/>
  <c r="E969" i="7" s="1"/>
  <c r="F969" i="7" s="1"/>
  <c r="L968" i="7"/>
  <c r="K968" i="7"/>
  <c r="H968" i="7"/>
  <c r="U968" i="7" s="1"/>
  <c r="E968" i="7"/>
  <c r="F968" i="7" s="1"/>
  <c r="C968" i="7"/>
  <c r="L967" i="7"/>
  <c r="K967" i="7"/>
  <c r="H967" i="7"/>
  <c r="U967" i="7" s="1"/>
  <c r="C967" i="7"/>
  <c r="E967" i="7" s="1"/>
  <c r="F967" i="7" s="1"/>
  <c r="L966" i="7"/>
  <c r="K966" i="7"/>
  <c r="H966" i="7"/>
  <c r="U966" i="7" s="1"/>
  <c r="C966" i="7"/>
  <c r="E966" i="7" s="1"/>
  <c r="F966" i="7" s="1"/>
  <c r="I966" i="7" s="1"/>
  <c r="L965" i="7"/>
  <c r="K965" i="7"/>
  <c r="H965" i="7"/>
  <c r="U965" i="7" s="1"/>
  <c r="C965" i="7"/>
  <c r="E965" i="7" s="1"/>
  <c r="F965" i="7" s="1"/>
  <c r="L964" i="7"/>
  <c r="K964" i="7"/>
  <c r="H964" i="7"/>
  <c r="U964" i="7" s="1"/>
  <c r="C964" i="7"/>
  <c r="E964" i="7" s="1"/>
  <c r="F964" i="7" s="1"/>
  <c r="L963" i="7"/>
  <c r="K963" i="7"/>
  <c r="I963" i="7"/>
  <c r="H963" i="7"/>
  <c r="U963" i="7" s="1"/>
  <c r="C963" i="7"/>
  <c r="E963" i="7" s="1"/>
  <c r="F963" i="7" s="1"/>
  <c r="L962" i="7"/>
  <c r="K962" i="7"/>
  <c r="H962" i="7"/>
  <c r="U962" i="7" s="1"/>
  <c r="C962" i="7"/>
  <c r="E962" i="7" s="1"/>
  <c r="F962" i="7" s="1"/>
  <c r="L961" i="7"/>
  <c r="I961" i="7" s="1"/>
  <c r="K961" i="7"/>
  <c r="H961" i="7"/>
  <c r="U961" i="7" s="1"/>
  <c r="C961" i="7"/>
  <c r="E961" i="7" s="1"/>
  <c r="F961" i="7" s="1"/>
  <c r="L960" i="7"/>
  <c r="K960" i="7"/>
  <c r="H960" i="7"/>
  <c r="U960" i="7" s="1"/>
  <c r="C960" i="7"/>
  <c r="E960" i="7" s="1"/>
  <c r="F960" i="7" s="1"/>
  <c r="U959" i="7"/>
  <c r="L959" i="7"/>
  <c r="K959" i="7"/>
  <c r="H959" i="7"/>
  <c r="C959" i="7"/>
  <c r="E959" i="7" s="1"/>
  <c r="F959" i="7" s="1"/>
  <c r="L958" i="7"/>
  <c r="K958" i="7"/>
  <c r="H958" i="7"/>
  <c r="U958" i="7" s="1"/>
  <c r="E958" i="7"/>
  <c r="F958" i="7" s="1"/>
  <c r="J958" i="7" s="1"/>
  <c r="C958" i="7"/>
  <c r="L957" i="7"/>
  <c r="K957" i="7"/>
  <c r="H957" i="7"/>
  <c r="U957" i="7" s="1"/>
  <c r="C957" i="7"/>
  <c r="E957" i="7" s="1"/>
  <c r="F957" i="7" s="1"/>
  <c r="L956" i="7"/>
  <c r="K956" i="7"/>
  <c r="H956" i="7"/>
  <c r="U956" i="7" s="1"/>
  <c r="C956" i="7"/>
  <c r="E956" i="7" s="1"/>
  <c r="F956" i="7" s="1"/>
  <c r="U955" i="7"/>
  <c r="L955" i="7"/>
  <c r="K955" i="7"/>
  <c r="H955" i="7"/>
  <c r="C955" i="7"/>
  <c r="E955" i="7" s="1"/>
  <c r="F955" i="7" s="1"/>
  <c r="J955" i="7" s="1"/>
  <c r="L954" i="7"/>
  <c r="K954" i="7"/>
  <c r="H954" i="7"/>
  <c r="U954" i="7" s="1"/>
  <c r="C954" i="7"/>
  <c r="E954" i="7" s="1"/>
  <c r="F954" i="7" s="1"/>
  <c r="L953" i="7"/>
  <c r="K953" i="7"/>
  <c r="H953" i="7"/>
  <c r="U953" i="7" s="1"/>
  <c r="E953" i="7"/>
  <c r="F953" i="7" s="1"/>
  <c r="J953" i="7" s="1"/>
  <c r="C953" i="7"/>
  <c r="L952" i="7"/>
  <c r="K952" i="7"/>
  <c r="H952" i="7"/>
  <c r="U952" i="7" s="1"/>
  <c r="C952" i="7"/>
  <c r="E952" i="7" s="1"/>
  <c r="F952" i="7" s="1"/>
  <c r="U951" i="7"/>
  <c r="L951" i="7"/>
  <c r="K951" i="7"/>
  <c r="H951" i="7"/>
  <c r="C951" i="7"/>
  <c r="E951" i="7" s="1"/>
  <c r="F951" i="7" s="1"/>
  <c r="J951" i="7" s="1"/>
  <c r="L950" i="7"/>
  <c r="K950" i="7"/>
  <c r="H950" i="7"/>
  <c r="U950" i="7" s="1"/>
  <c r="C950" i="7"/>
  <c r="E950" i="7" s="1"/>
  <c r="F950" i="7" s="1"/>
  <c r="L949" i="7"/>
  <c r="K949" i="7"/>
  <c r="H949" i="7"/>
  <c r="U949" i="7" s="1"/>
  <c r="C949" i="7"/>
  <c r="E949" i="7" s="1"/>
  <c r="F949" i="7" s="1"/>
  <c r="L948" i="7"/>
  <c r="K948" i="7"/>
  <c r="H948" i="7"/>
  <c r="U948" i="7" s="1"/>
  <c r="C948" i="7"/>
  <c r="E948" i="7" s="1"/>
  <c r="F948" i="7" s="1"/>
  <c r="L947" i="7"/>
  <c r="K947" i="7"/>
  <c r="H947" i="7"/>
  <c r="U947" i="7" s="1"/>
  <c r="C947" i="7"/>
  <c r="E947" i="7" s="1"/>
  <c r="F947" i="7" s="1"/>
  <c r="J947" i="7" s="1"/>
  <c r="L946" i="7"/>
  <c r="K946" i="7"/>
  <c r="H946" i="7"/>
  <c r="U946" i="7" s="1"/>
  <c r="F946" i="7"/>
  <c r="J946" i="7" s="1"/>
  <c r="E946" i="7"/>
  <c r="C946" i="7"/>
  <c r="L945" i="7"/>
  <c r="K945" i="7"/>
  <c r="H945" i="7"/>
  <c r="U945" i="7" s="1"/>
  <c r="E945" i="7"/>
  <c r="F945" i="7" s="1"/>
  <c r="J945" i="7" s="1"/>
  <c r="C945" i="7"/>
  <c r="L944" i="7"/>
  <c r="K944" i="7"/>
  <c r="H944" i="7"/>
  <c r="U944" i="7" s="1"/>
  <c r="C944" i="7"/>
  <c r="E944" i="7" s="1"/>
  <c r="F944" i="7" s="1"/>
  <c r="L943" i="7"/>
  <c r="J943" i="7" s="1"/>
  <c r="K943" i="7"/>
  <c r="H943" i="7"/>
  <c r="U943" i="7" s="1"/>
  <c r="C943" i="7"/>
  <c r="E943" i="7" s="1"/>
  <c r="F943" i="7" s="1"/>
  <c r="L942" i="7"/>
  <c r="K942" i="7"/>
  <c r="H942" i="7"/>
  <c r="U942" i="7" s="1"/>
  <c r="C942" i="7"/>
  <c r="E942" i="7" s="1"/>
  <c r="F942" i="7" s="1"/>
  <c r="J942" i="7" s="1"/>
  <c r="L941" i="7"/>
  <c r="K941" i="7"/>
  <c r="H941" i="7"/>
  <c r="U941" i="7" s="1"/>
  <c r="C941" i="7"/>
  <c r="E941" i="7" s="1"/>
  <c r="F941" i="7" s="1"/>
  <c r="J941" i="7" s="1"/>
  <c r="L940" i="7"/>
  <c r="K940" i="7"/>
  <c r="H940" i="7"/>
  <c r="U940" i="7" s="1"/>
  <c r="E940" i="7"/>
  <c r="F940" i="7" s="1"/>
  <c r="C940" i="7"/>
  <c r="L939" i="7"/>
  <c r="I939" i="7" s="1"/>
  <c r="K939" i="7"/>
  <c r="H939" i="7"/>
  <c r="U939" i="7" s="1"/>
  <c r="C939" i="7"/>
  <c r="E939" i="7" s="1"/>
  <c r="F939" i="7" s="1"/>
  <c r="L938" i="7"/>
  <c r="K938" i="7"/>
  <c r="H938" i="7"/>
  <c r="U938" i="7" s="1"/>
  <c r="C938" i="7"/>
  <c r="E938" i="7" s="1"/>
  <c r="F938" i="7" s="1"/>
  <c r="L937" i="7"/>
  <c r="I937" i="7" s="1"/>
  <c r="K937" i="7"/>
  <c r="H937" i="7"/>
  <c r="U937" i="7" s="1"/>
  <c r="C937" i="7"/>
  <c r="E937" i="7" s="1"/>
  <c r="F937" i="7" s="1"/>
  <c r="L936" i="7"/>
  <c r="K936" i="7"/>
  <c r="H936" i="7"/>
  <c r="U936" i="7" s="1"/>
  <c r="C936" i="7"/>
  <c r="E936" i="7" s="1"/>
  <c r="F936" i="7" s="1"/>
  <c r="L935" i="7"/>
  <c r="K935" i="7"/>
  <c r="H935" i="7"/>
  <c r="U935" i="7" s="1"/>
  <c r="C935" i="7"/>
  <c r="E935" i="7" s="1"/>
  <c r="F935" i="7" s="1"/>
  <c r="L934" i="7"/>
  <c r="K934" i="7"/>
  <c r="H934" i="7"/>
  <c r="U934" i="7" s="1"/>
  <c r="E934" i="7"/>
  <c r="F934" i="7" s="1"/>
  <c r="I934" i="7" s="1"/>
  <c r="C934" i="7"/>
  <c r="L933" i="7"/>
  <c r="K933" i="7"/>
  <c r="H933" i="7"/>
  <c r="U933" i="7" s="1"/>
  <c r="E933" i="7"/>
  <c r="F933" i="7" s="1"/>
  <c r="C933" i="7"/>
  <c r="L932" i="7"/>
  <c r="K932" i="7"/>
  <c r="H932" i="7"/>
  <c r="U932" i="7" s="1"/>
  <c r="C932" i="7"/>
  <c r="E932" i="7" s="1"/>
  <c r="F932" i="7" s="1"/>
  <c r="L931" i="7"/>
  <c r="I931" i="7" s="1"/>
  <c r="K931" i="7"/>
  <c r="H931" i="7"/>
  <c r="U931" i="7" s="1"/>
  <c r="C931" i="7"/>
  <c r="E931" i="7" s="1"/>
  <c r="F931" i="7" s="1"/>
  <c r="L930" i="7"/>
  <c r="I930" i="7" s="1"/>
  <c r="K930" i="7"/>
  <c r="H930" i="7"/>
  <c r="U930" i="7" s="1"/>
  <c r="C930" i="7"/>
  <c r="E930" i="7" s="1"/>
  <c r="F930" i="7" s="1"/>
  <c r="L929" i="7"/>
  <c r="K929" i="7"/>
  <c r="H929" i="7"/>
  <c r="U929" i="7" s="1"/>
  <c r="C929" i="7"/>
  <c r="E929" i="7" s="1"/>
  <c r="F929" i="7" s="1"/>
  <c r="J929" i="7" s="1"/>
  <c r="L928" i="7"/>
  <c r="K928" i="7"/>
  <c r="H928" i="7"/>
  <c r="U928" i="7" s="1"/>
  <c r="E928" i="7"/>
  <c r="F928" i="7" s="1"/>
  <c r="C928" i="7"/>
  <c r="L927" i="7"/>
  <c r="K927" i="7"/>
  <c r="H927" i="7"/>
  <c r="U927" i="7" s="1"/>
  <c r="C927" i="7"/>
  <c r="E927" i="7" s="1"/>
  <c r="F927" i="7" s="1"/>
  <c r="L926" i="7"/>
  <c r="K926" i="7"/>
  <c r="H926" i="7"/>
  <c r="U926" i="7" s="1"/>
  <c r="E926" i="7"/>
  <c r="F926" i="7" s="1"/>
  <c r="J926" i="7" s="1"/>
  <c r="C926" i="7"/>
  <c r="L925" i="7"/>
  <c r="K925" i="7"/>
  <c r="H925" i="7"/>
  <c r="U925" i="7" s="1"/>
  <c r="C925" i="7"/>
  <c r="E925" i="7" s="1"/>
  <c r="F925" i="7" s="1"/>
  <c r="L924" i="7"/>
  <c r="K924" i="7"/>
  <c r="H924" i="7"/>
  <c r="U924" i="7" s="1"/>
  <c r="C924" i="7"/>
  <c r="E924" i="7" s="1"/>
  <c r="F924" i="7" s="1"/>
  <c r="L923" i="7"/>
  <c r="K923" i="7"/>
  <c r="H923" i="7"/>
  <c r="U923" i="7" s="1"/>
  <c r="C923" i="7"/>
  <c r="E923" i="7" s="1"/>
  <c r="F923" i="7" s="1"/>
  <c r="L922" i="7"/>
  <c r="K922" i="7"/>
  <c r="H922" i="7"/>
  <c r="U922" i="7" s="1"/>
  <c r="E922" i="7"/>
  <c r="F922" i="7" s="1"/>
  <c r="C922" i="7"/>
  <c r="L921" i="7"/>
  <c r="I921" i="7" s="1"/>
  <c r="K921" i="7"/>
  <c r="H921" i="7"/>
  <c r="U921" i="7" s="1"/>
  <c r="C921" i="7"/>
  <c r="E921" i="7" s="1"/>
  <c r="F921" i="7" s="1"/>
  <c r="L920" i="7"/>
  <c r="K920" i="7"/>
  <c r="H920" i="7"/>
  <c r="U920" i="7" s="1"/>
  <c r="C920" i="7"/>
  <c r="E920" i="7" s="1"/>
  <c r="F920" i="7" s="1"/>
  <c r="U919" i="7"/>
  <c r="L919" i="7"/>
  <c r="K919" i="7"/>
  <c r="H919" i="7"/>
  <c r="C919" i="7"/>
  <c r="E919" i="7" s="1"/>
  <c r="F919" i="7" s="1"/>
  <c r="L918" i="7"/>
  <c r="I918" i="7" s="1"/>
  <c r="K918" i="7"/>
  <c r="H918" i="7"/>
  <c r="U918" i="7" s="1"/>
  <c r="E918" i="7"/>
  <c r="F918" i="7" s="1"/>
  <c r="C918" i="7"/>
  <c r="L917" i="7"/>
  <c r="K917" i="7"/>
  <c r="H917" i="7"/>
  <c r="U917" i="7" s="1"/>
  <c r="C917" i="7"/>
  <c r="E917" i="7" s="1"/>
  <c r="F917" i="7" s="1"/>
  <c r="L916" i="7"/>
  <c r="K916" i="7"/>
  <c r="H916" i="7"/>
  <c r="U916" i="7" s="1"/>
  <c r="E916" i="7"/>
  <c r="F916" i="7" s="1"/>
  <c r="C916" i="7"/>
  <c r="L915" i="7"/>
  <c r="K915" i="7"/>
  <c r="I915" i="7"/>
  <c r="H915" i="7"/>
  <c r="U915" i="7" s="1"/>
  <c r="C915" i="7"/>
  <c r="E915" i="7" s="1"/>
  <c r="F915" i="7" s="1"/>
  <c r="L914" i="7"/>
  <c r="K914" i="7"/>
  <c r="H914" i="7"/>
  <c r="U914" i="7" s="1"/>
  <c r="C914" i="7"/>
  <c r="E914" i="7" s="1"/>
  <c r="F914" i="7" s="1"/>
  <c r="I914" i="7" s="1"/>
  <c r="L913" i="7"/>
  <c r="K913" i="7"/>
  <c r="I913" i="7"/>
  <c r="H913" i="7"/>
  <c r="U913" i="7" s="1"/>
  <c r="E913" i="7"/>
  <c r="F913" i="7" s="1"/>
  <c r="J913" i="7" s="1"/>
  <c r="C913" i="7"/>
  <c r="L912" i="7"/>
  <c r="K912" i="7"/>
  <c r="H912" i="7"/>
  <c r="U912" i="7" s="1"/>
  <c r="C912" i="7"/>
  <c r="E912" i="7" s="1"/>
  <c r="F912" i="7" s="1"/>
  <c r="U911" i="7"/>
  <c r="L911" i="7"/>
  <c r="K911" i="7"/>
  <c r="H911" i="7"/>
  <c r="C911" i="7"/>
  <c r="E911" i="7" s="1"/>
  <c r="F911" i="7" s="1"/>
  <c r="L910" i="7"/>
  <c r="K910" i="7"/>
  <c r="H910" i="7"/>
  <c r="U910" i="7" s="1"/>
  <c r="C910" i="7"/>
  <c r="E910" i="7" s="1"/>
  <c r="F910" i="7" s="1"/>
  <c r="U909" i="7"/>
  <c r="L909" i="7"/>
  <c r="K909" i="7"/>
  <c r="I909" i="7"/>
  <c r="H909" i="7"/>
  <c r="C909" i="7"/>
  <c r="E909" i="7" s="1"/>
  <c r="F909" i="7" s="1"/>
  <c r="J909" i="7" s="1"/>
  <c r="L908" i="7"/>
  <c r="K908" i="7"/>
  <c r="H908" i="7"/>
  <c r="U908" i="7" s="1"/>
  <c r="C908" i="7"/>
  <c r="E908" i="7" s="1"/>
  <c r="F908" i="7" s="1"/>
  <c r="L907" i="7"/>
  <c r="K907" i="7"/>
  <c r="H907" i="7"/>
  <c r="U907" i="7" s="1"/>
  <c r="C907" i="7"/>
  <c r="E907" i="7" s="1"/>
  <c r="F907" i="7" s="1"/>
  <c r="L906" i="7"/>
  <c r="K906" i="7"/>
  <c r="H906" i="7"/>
  <c r="U906" i="7" s="1"/>
  <c r="C906" i="7"/>
  <c r="E906" i="7" s="1"/>
  <c r="F906" i="7" s="1"/>
  <c r="U905" i="7"/>
  <c r="L905" i="7"/>
  <c r="K905" i="7"/>
  <c r="H905" i="7"/>
  <c r="C905" i="7"/>
  <c r="E905" i="7" s="1"/>
  <c r="F905" i="7" s="1"/>
  <c r="L904" i="7"/>
  <c r="K904" i="7"/>
  <c r="H904" i="7"/>
  <c r="U904" i="7" s="1"/>
  <c r="C904" i="7"/>
  <c r="E904" i="7" s="1"/>
  <c r="F904" i="7" s="1"/>
  <c r="L903" i="7"/>
  <c r="K903" i="7"/>
  <c r="H903" i="7"/>
  <c r="U903" i="7" s="1"/>
  <c r="C903" i="7"/>
  <c r="E903" i="7" s="1"/>
  <c r="F903" i="7" s="1"/>
  <c r="L902" i="7"/>
  <c r="K902" i="7"/>
  <c r="H902" i="7"/>
  <c r="U902" i="7" s="1"/>
  <c r="C902" i="7"/>
  <c r="E902" i="7" s="1"/>
  <c r="F902" i="7" s="1"/>
  <c r="L901" i="7"/>
  <c r="K901" i="7"/>
  <c r="H901" i="7"/>
  <c r="U901" i="7" s="1"/>
  <c r="C901" i="7"/>
  <c r="E901" i="7" s="1"/>
  <c r="F901" i="7" s="1"/>
  <c r="L900" i="7"/>
  <c r="K900" i="7"/>
  <c r="H900" i="7"/>
  <c r="U900" i="7" s="1"/>
  <c r="E900" i="7"/>
  <c r="F900" i="7" s="1"/>
  <c r="C900" i="7"/>
  <c r="U899" i="7"/>
  <c r="L899" i="7"/>
  <c r="K899" i="7"/>
  <c r="H899" i="7"/>
  <c r="C899" i="7"/>
  <c r="E899" i="7" s="1"/>
  <c r="F899" i="7" s="1"/>
  <c r="L898" i="7"/>
  <c r="K898" i="7"/>
  <c r="H898" i="7"/>
  <c r="U898" i="7" s="1"/>
  <c r="C898" i="7"/>
  <c r="E898" i="7" s="1"/>
  <c r="F898" i="7" s="1"/>
  <c r="J898" i="7" s="1"/>
  <c r="L897" i="7"/>
  <c r="K897" i="7"/>
  <c r="H897" i="7"/>
  <c r="U897" i="7" s="1"/>
  <c r="E897" i="7"/>
  <c r="F897" i="7" s="1"/>
  <c r="C897" i="7"/>
  <c r="L896" i="7"/>
  <c r="K896" i="7"/>
  <c r="H896" i="7"/>
  <c r="U896" i="7" s="1"/>
  <c r="E896" i="7"/>
  <c r="F896" i="7" s="1"/>
  <c r="C896" i="7"/>
  <c r="L895" i="7"/>
  <c r="K895" i="7"/>
  <c r="H895" i="7"/>
  <c r="U895" i="7" s="1"/>
  <c r="C895" i="7"/>
  <c r="E895" i="7" s="1"/>
  <c r="F895" i="7" s="1"/>
  <c r="L894" i="7"/>
  <c r="K894" i="7"/>
  <c r="H894" i="7"/>
  <c r="U894" i="7" s="1"/>
  <c r="E894" i="7"/>
  <c r="F894" i="7" s="1"/>
  <c r="J894" i="7" s="1"/>
  <c r="C894" i="7"/>
  <c r="L893" i="7"/>
  <c r="K893" i="7"/>
  <c r="H893" i="7"/>
  <c r="U893" i="7" s="1"/>
  <c r="E893" i="7"/>
  <c r="F893" i="7" s="1"/>
  <c r="C893" i="7"/>
  <c r="L892" i="7"/>
  <c r="K892" i="7"/>
  <c r="H892" i="7"/>
  <c r="U892" i="7" s="1"/>
  <c r="E892" i="7"/>
  <c r="F892" i="7" s="1"/>
  <c r="C892" i="7"/>
  <c r="L891" i="7"/>
  <c r="K891" i="7"/>
  <c r="J891" i="7"/>
  <c r="H891" i="7"/>
  <c r="U891" i="7" s="1"/>
  <c r="C891" i="7"/>
  <c r="E891" i="7" s="1"/>
  <c r="F891" i="7" s="1"/>
  <c r="L890" i="7"/>
  <c r="K890" i="7"/>
  <c r="H890" i="7"/>
  <c r="U890" i="7" s="1"/>
  <c r="C890" i="7"/>
  <c r="E890" i="7" s="1"/>
  <c r="F890" i="7" s="1"/>
  <c r="L889" i="7"/>
  <c r="K889" i="7"/>
  <c r="H889" i="7"/>
  <c r="U889" i="7" s="1"/>
  <c r="C889" i="7"/>
  <c r="E889" i="7" s="1"/>
  <c r="F889" i="7" s="1"/>
  <c r="L888" i="7"/>
  <c r="K888" i="7"/>
  <c r="H888" i="7"/>
  <c r="U888" i="7" s="1"/>
  <c r="E888" i="7"/>
  <c r="F888" i="7" s="1"/>
  <c r="C888" i="7"/>
  <c r="L887" i="7"/>
  <c r="K887" i="7"/>
  <c r="H887" i="7"/>
  <c r="U887" i="7" s="1"/>
  <c r="C887" i="7"/>
  <c r="E887" i="7" s="1"/>
  <c r="F887" i="7" s="1"/>
  <c r="L886" i="7"/>
  <c r="K886" i="7"/>
  <c r="H886" i="7"/>
  <c r="U886" i="7" s="1"/>
  <c r="C886" i="7"/>
  <c r="E886" i="7" s="1"/>
  <c r="F886" i="7" s="1"/>
  <c r="U885" i="7"/>
  <c r="L885" i="7"/>
  <c r="K885" i="7"/>
  <c r="H885" i="7"/>
  <c r="C885" i="7"/>
  <c r="E885" i="7" s="1"/>
  <c r="F885" i="7" s="1"/>
  <c r="L884" i="7"/>
  <c r="K884" i="7"/>
  <c r="H884" i="7"/>
  <c r="U884" i="7" s="1"/>
  <c r="C884" i="7"/>
  <c r="E884" i="7" s="1"/>
  <c r="F884" i="7" s="1"/>
  <c r="L883" i="7"/>
  <c r="K883" i="7"/>
  <c r="H883" i="7"/>
  <c r="U883" i="7" s="1"/>
  <c r="C883" i="7"/>
  <c r="E883" i="7" s="1"/>
  <c r="F883" i="7" s="1"/>
  <c r="L882" i="7"/>
  <c r="K882" i="7"/>
  <c r="H882" i="7"/>
  <c r="U882" i="7" s="1"/>
  <c r="F882" i="7"/>
  <c r="C882" i="7"/>
  <c r="E882" i="7" s="1"/>
  <c r="L881" i="7"/>
  <c r="K881" i="7"/>
  <c r="H881" i="7"/>
  <c r="U881" i="7" s="1"/>
  <c r="C881" i="7"/>
  <c r="E881" i="7" s="1"/>
  <c r="F881" i="7" s="1"/>
  <c r="L880" i="7"/>
  <c r="K880" i="7"/>
  <c r="H880" i="7"/>
  <c r="U880" i="7" s="1"/>
  <c r="C880" i="7"/>
  <c r="E880" i="7" s="1"/>
  <c r="F880" i="7" s="1"/>
  <c r="L879" i="7"/>
  <c r="K879" i="7"/>
  <c r="H879" i="7"/>
  <c r="U879" i="7" s="1"/>
  <c r="C879" i="7"/>
  <c r="E879" i="7" s="1"/>
  <c r="F879" i="7" s="1"/>
  <c r="L878" i="7"/>
  <c r="K878" i="7"/>
  <c r="H878" i="7"/>
  <c r="U878" i="7" s="1"/>
  <c r="E878" i="7"/>
  <c r="F878" i="7" s="1"/>
  <c r="C878" i="7"/>
  <c r="L877" i="7"/>
  <c r="I877" i="7" s="1"/>
  <c r="K877" i="7"/>
  <c r="H877" i="7"/>
  <c r="U877" i="7" s="1"/>
  <c r="C877" i="7"/>
  <c r="E877" i="7" s="1"/>
  <c r="F877" i="7" s="1"/>
  <c r="L876" i="7"/>
  <c r="K876" i="7"/>
  <c r="H876" i="7"/>
  <c r="U876" i="7" s="1"/>
  <c r="C876" i="7"/>
  <c r="E876" i="7" s="1"/>
  <c r="F876" i="7" s="1"/>
  <c r="U875" i="7"/>
  <c r="L875" i="7"/>
  <c r="K875" i="7"/>
  <c r="H875" i="7"/>
  <c r="C875" i="7"/>
  <c r="E875" i="7" s="1"/>
  <c r="F875" i="7" s="1"/>
  <c r="L874" i="7"/>
  <c r="K874" i="7"/>
  <c r="H874" i="7"/>
  <c r="U874" i="7" s="1"/>
  <c r="C874" i="7"/>
  <c r="E874" i="7" s="1"/>
  <c r="F874" i="7" s="1"/>
  <c r="L873" i="7"/>
  <c r="K873" i="7"/>
  <c r="I873" i="7"/>
  <c r="H873" i="7"/>
  <c r="U873" i="7" s="1"/>
  <c r="C873" i="7"/>
  <c r="E873" i="7" s="1"/>
  <c r="F873" i="7" s="1"/>
  <c r="L872" i="7"/>
  <c r="K872" i="7"/>
  <c r="H872" i="7"/>
  <c r="U872" i="7" s="1"/>
  <c r="C872" i="7"/>
  <c r="E872" i="7" s="1"/>
  <c r="F872" i="7" s="1"/>
  <c r="L871" i="7"/>
  <c r="K871" i="7"/>
  <c r="H871" i="7"/>
  <c r="U871" i="7" s="1"/>
  <c r="C871" i="7"/>
  <c r="E871" i="7" s="1"/>
  <c r="F871" i="7" s="1"/>
  <c r="L870" i="7"/>
  <c r="K870" i="7"/>
  <c r="I870" i="7"/>
  <c r="H870" i="7"/>
  <c r="U870" i="7" s="1"/>
  <c r="C870" i="7"/>
  <c r="E870" i="7" s="1"/>
  <c r="F870" i="7" s="1"/>
  <c r="L869" i="7"/>
  <c r="K869" i="7"/>
  <c r="H869" i="7"/>
  <c r="U869" i="7" s="1"/>
  <c r="C869" i="7"/>
  <c r="E869" i="7" s="1"/>
  <c r="F869" i="7" s="1"/>
  <c r="L868" i="7"/>
  <c r="K868" i="7"/>
  <c r="H868" i="7"/>
  <c r="U868" i="7" s="1"/>
  <c r="C868" i="7"/>
  <c r="E868" i="7" s="1"/>
  <c r="F868" i="7" s="1"/>
  <c r="L867" i="7"/>
  <c r="K867" i="7"/>
  <c r="H867" i="7"/>
  <c r="U867" i="7" s="1"/>
  <c r="C867" i="7"/>
  <c r="E867" i="7" s="1"/>
  <c r="F867" i="7" s="1"/>
  <c r="J867" i="7" s="1"/>
  <c r="L866" i="7"/>
  <c r="K866" i="7"/>
  <c r="H866" i="7"/>
  <c r="U866" i="7" s="1"/>
  <c r="E866" i="7"/>
  <c r="F866" i="7" s="1"/>
  <c r="I866" i="7" s="1"/>
  <c r="C866" i="7"/>
  <c r="L865" i="7"/>
  <c r="K865" i="7"/>
  <c r="H865" i="7"/>
  <c r="U865" i="7" s="1"/>
  <c r="C865" i="7"/>
  <c r="E865" i="7" s="1"/>
  <c r="F865" i="7" s="1"/>
  <c r="L864" i="7"/>
  <c r="K864" i="7"/>
  <c r="H864" i="7"/>
  <c r="U864" i="7" s="1"/>
  <c r="C864" i="7"/>
  <c r="E864" i="7" s="1"/>
  <c r="F864" i="7" s="1"/>
  <c r="U863" i="7"/>
  <c r="L863" i="7"/>
  <c r="K863" i="7"/>
  <c r="H863" i="7"/>
  <c r="C863" i="7"/>
  <c r="E863" i="7" s="1"/>
  <c r="F863" i="7" s="1"/>
  <c r="L862" i="7"/>
  <c r="K862" i="7"/>
  <c r="H862" i="7"/>
  <c r="U862" i="7" s="1"/>
  <c r="C862" i="7"/>
  <c r="E862" i="7" s="1"/>
  <c r="F862" i="7" s="1"/>
  <c r="L861" i="7"/>
  <c r="K861" i="7"/>
  <c r="H861" i="7"/>
  <c r="U861" i="7" s="1"/>
  <c r="E861" i="7"/>
  <c r="F861" i="7" s="1"/>
  <c r="C861" i="7"/>
  <c r="L860" i="7"/>
  <c r="K860" i="7"/>
  <c r="H860" i="7"/>
  <c r="U860" i="7" s="1"/>
  <c r="E860" i="7"/>
  <c r="F860" i="7" s="1"/>
  <c r="C860" i="7"/>
  <c r="L859" i="7"/>
  <c r="I859" i="7" s="1"/>
  <c r="K859" i="7"/>
  <c r="H859" i="7"/>
  <c r="U859" i="7" s="1"/>
  <c r="C859" i="7"/>
  <c r="E859" i="7" s="1"/>
  <c r="F859" i="7" s="1"/>
  <c r="L858" i="7"/>
  <c r="K858" i="7"/>
  <c r="H858" i="7"/>
  <c r="U858" i="7" s="1"/>
  <c r="C858" i="7"/>
  <c r="E858" i="7" s="1"/>
  <c r="F858" i="7" s="1"/>
  <c r="U857" i="7"/>
  <c r="L857" i="7"/>
  <c r="K857" i="7"/>
  <c r="H857" i="7"/>
  <c r="E857" i="7"/>
  <c r="F857" i="7" s="1"/>
  <c r="J857" i="7" s="1"/>
  <c r="C857" i="7"/>
  <c r="L856" i="7"/>
  <c r="K856" i="7"/>
  <c r="H856" i="7"/>
  <c r="U856" i="7" s="1"/>
  <c r="C856" i="7"/>
  <c r="E856" i="7" s="1"/>
  <c r="F856" i="7" s="1"/>
  <c r="L855" i="7"/>
  <c r="K855" i="7"/>
  <c r="H855" i="7"/>
  <c r="U855" i="7" s="1"/>
  <c r="C855" i="7"/>
  <c r="E855" i="7" s="1"/>
  <c r="F855" i="7" s="1"/>
  <c r="L854" i="7"/>
  <c r="K854" i="7"/>
  <c r="H854" i="7"/>
  <c r="U854" i="7" s="1"/>
  <c r="E854" i="7"/>
  <c r="F854" i="7" s="1"/>
  <c r="C854" i="7"/>
  <c r="L853" i="7"/>
  <c r="K853" i="7"/>
  <c r="H853" i="7"/>
  <c r="U853" i="7" s="1"/>
  <c r="C853" i="7"/>
  <c r="E853" i="7" s="1"/>
  <c r="F853" i="7" s="1"/>
  <c r="L852" i="7"/>
  <c r="K852" i="7"/>
  <c r="H852" i="7"/>
  <c r="U852" i="7" s="1"/>
  <c r="C852" i="7"/>
  <c r="E852" i="7" s="1"/>
  <c r="F852" i="7" s="1"/>
  <c r="L851" i="7"/>
  <c r="K851" i="7"/>
  <c r="H851" i="7"/>
  <c r="U851" i="7" s="1"/>
  <c r="C851" i="7"/>
  <c r="E851" i="7" s="1"/>
  <c r="F851" i="7" s="1"/>
  <c r="L850" i="7"/>
  <c r="K850" i="7"/>
  <c r="H850" i="7"/>
  <c r="U850" i="7" s="1"/>
  <c r="F850" i="7"/>
  <c r="C850" i="7"/>
  <c r="E850" i="7" s="1"/>
  <c r="L849" i="7"/>
  <c r="K849" i="7"/>
  <c r="H849" i="7"/>
  <c r="U849" i="7" s="1"/>
  <c r="C849" i="7"/>
  <c r="E849" i="7" s="1"/>
  <c r="F849" i="7" s="1"/>
  <c r="U848" i="7"/>
  <c r="L848" i="7"/>
  <c r="K848" i="7"/>
  <c r="H848" i="7"/>
  <c r="E848" i="7"/>
  <c r="F848" i="7" s="1"/>
  <c r="C848" i="7"/>
  <c r="L847" i="7"/>
  <c r="K847" i="7"/>
  <c r="H847" i="7"/>
  <c r="U847" i="7" s="1"/>
  <c r="C847" i="7"/>
  <c r="E847" i="7" s="1"/>
  <c r="F847" i="7" s="1"/>
  <c r="J847" i="7" s="1"/>
  <c r="L846" i="7"/>
  <c r="K846" i="7"/>
  <c r="H846" i="7"/>
  <c r="U846" i="7" s="1"/>
  <c r="C846" i="7"/>
  <c r="E846" i="7" s="1"/>
  <c r="F846" i="7" s="1"/>
  <c r="J846" i="7" s="1"/>
  <c r="L845" i="7"/>
  <c r="K845" i="7"/>
  <c r="H845" i="7"/>
  <c r="U845" i="7" s="1"/>
  <c r="C845" i="7"/>
  <c r="E845" i="7" s="1"/>
  <c r="F845" i="7" s="1"/>
  <c r="L844" i="7"/>
  <c r="K844" i="7"/>
  <c r="H844" i="7"/>
  <c r="U844" i="7" s="1"/>
  <c r="C844" i="7"/>
  <c r="E844" i="7" s="1"/>
  <c r="F844" i="7" s="1"/>
  <c r="L843" i="7"/>
  <c r="K843" i="7"/>
  <c r="H843" i="7"/>
  <c r="U843" i="7" s="1"/>
  <c r="C843" i="7"/>
  <c r="E843" i="7" s="1"/>
  <c r="F843" i="7" s="1"/>
  <c r="L842" i="7"/>
  <c r="K842" i="7"/>
  <c r="H842" i="7"/>
  <c r="U842" i="7" s="1"/>
  <c r="E842" i="7"/>
  <c r="F842" i="7" s="1"/>
  <c r="C842" i="7"/>
  <c r="U841" i="7"/>
  <c r="L841" i="7"/>
  <c r="K841" i="7"/>
  <c r="H841" i="7"/>
  <c r="C841" i="7"/>
  <c r="E841" i="7" s="1"/>
  <c r="F841" i="7" s="1"/>
  <c r="J841" i="7" s="1"/>
  <c r="L840" i="7"/>
  <c r="K840" i="7"/>
  <c r="H840" i="7"/>
  <c r="U840" i="7" s="1"/>
  <c r="C840" i="7"/>
  <c r="E840" i="7" s="1"/>
  <c r="F840" i="7" s="1"/>
  <c r="L839" i="7"/>
  <c r="K839" i="7"/>
  <c r="H839" i="7"/>
  <c r="U839" i="7" s="1"/>
  <c r="C839" i="7"/>
  <c r="E839" i="7" s="1"/>
  <c r="F839" i="7" s="1"/>
  <c r="L838" i="7"/>
  <c r="K838" i="7"/>
  <c r="H838" i="7"/>
  <c r="U838" i="7" s="1"/>
  <c r="C838" i="7"/>
  <c r="E838" i="7" s="1"/>
  <c r="F838" i="7" s="1"/>
  <c r="U837" i="7"/>
  <c r="L837" i="7"/>
  <c r="K837" i="7"/>
  <c r="H837" i="7"/>
  <c r="E837" i="7"/>
  <c r="F837" i="7" s="1"/>
  <c r="C837" i="7"/>
  <c r="L836" i="7"/>
  <c r="K836" i="7"/>
  <c r="H836" i="7"/>
  <c r="U836" i="7" s="1"/>
  <c r="E836" i="7"/>
  <c r="F836" i="7" s="1"/>
  <c r="C836" i="7"/>
  <c r="L835" i="7"/>
  <c r="K835" i="7"/>
  <c r="H835" i="7"/>
  <c r="U835" i="7" s="1"/>
  <c r="C835" i="7"/>
  <c r="E835" i="7" s="1"/>
  <c r="F835" i="7" s="1"/>
  <c r="L834" i="7"/>
  <c r="K834" i="7"/>
  <c r="H834" i="7"/>
  <c r="U834" i="7" s="1"/>
  <c r="C834" i="7"/>
  <c r="E834" i="7" s="1"/>
  <c r="F834" i="7" s="1"/>
  <c r="J834" i="7" s="1"/>
  <c r="L833" i="7"/>
  <c r="K833" i="7"/>
  <c r="H833" i="7"/>
  <c r="U833" i="7" s="1"/>
  <c r="C833" i="7"/>
  <c r="E833" i="7" s="1"/>
  <c r="F833" i="7" s="1"/>
  <c r="U832" i="7"/>
  <c r="L832" i="7"/>
  <c r="K832" i="7"/>
  <c r="H832" i="7"/>
  <c r="E832" i="7"/>
  <c r="F832" i="7" s="1"/>
  <c r="C832" i="7"/>
  <c r="L831" i="7"/>
  <c r="J831" i="7" s="1"/>
  <c r="K831" i="7"/>
  <c r="H831" i="7"/>
  <c r="U831" i="7" s="1"/>
  <c r="C831" i="7"/>
  <c r="E831" i="7" s="1"/>
  <c r="F831" i="7" s="1"/>
  <c r="L830" i="7"/>
  <c r="K830" i="7"/>
  <c r="H830" i="7"/>
  <c r="U830" i="7" s="1"/>
  <c r="C830" i="7"/>
  <c r="E830" i="7" s="1"/>
  <c r="F830" i="7" s="1"/>
  <c r="L829" i="7"/>
  <c r="K829" i="7"/>
  <c r="H829" i="7"/>
  <c r="U829" i="7" s="1"/>
  <c r="E829" i="7"/>
  <c r="F829" i="7" s="1"/>
  <c r="C829" i="7"/>
  <c r="L828" i="7"/>
  <c r="K828" i="7"/>
  <c r="H828" i="7"/>
  <c r="U828" i="7" s="1"/>
  <c r="C828" i="7"/>
  <c r="E828" i="7" s="1"/>
  <c r="F828" i="7" s="1"/>
  <c r="U827" i="7"/>
  <c r="L827" i="7"/>
  <c r="K827" i="7"/>
  <c r="H827" i="7"/>
  <c r="C827" i="7"/>
  <c r="E827" i="7" s="1"/>
  <c r="F827" i="7" s="1"/>
  <c r="L826" i="7"/>
  <c r="K826" i="7"/>
  <c r="H826" i="7"/>
  <c r="U826" i="7" s="1"/>
  <c r="C826" i="7"/>
  <c r="E826" i="7" s="1"/>
  <c r="F826" i="7" s="1"/>
  <c r="L825" i="7"/>
  <c r="K825" i="7"/>
  <c r="H825" i="7"/>
  <c r="U825" i="7" s="1"/>
  <c r="C825" i="7"/>
  <c r="E825" i="7" s="1"/>
  <c r="F825" i="7" s="1"/>
  <c r="L824" i="7"/>
  <c r="K824" i="7"/>
  <c r="H824" i="7"/>
  <c r="U824" i="7" s="1"/>
  <c r="C824" i="7"/>
  <c r="E824" i="7" s="1"/>
  <c r="F824" i="7" s="1"/>
  <c r="L823" i="7"/>
  <c r="K823" i="7"/>
  <c r="H823" i="7"/>
  <c r="U823" i="7" s="1"/>
  <c r="C823" i="7"/>
  <c r="E823" i="7" s="1"/>
  <c r="F823" i="7" s="1"/>
  <c r="L822" i="7"/>
  <c r="K822" i="7"/>
  <c r="H822" i="7"/>
  <c r="U822" i="7" s="1"/>
  <c r="C822" i="7"/>
  <c r="E822" i="7" s="1"/>
  <c r="F822" i="7" s="1"/>
  <c r="L821" i="7"/>
  <c r="K821" i="7"/>
  <c r="H821" i="7"/>
  <c r="U821" i="7" s="1"/>
  <c r="C821" i="7"/>
  <c r="E821" i="7" s="1"/>
  <c r="F821" i="7" s="1"/>
  <c r="L820" i="7"/>
  <c r="K820" i="7"/>
  <c r="H820" i="7"/>
  <c r="U820" i="7" s="1"/>
  <c r="C820" i="7"/>
  <c r="E820" i="7" s="1"/>
  <c r="F820" i="7" s="1"/>
  <c r="L819" i="7"/>
  <c r="K819" i="7"/>
  <c r="H819" i="7"/>
  <c r="U819" i="7" s="1"/>
  <c r="C819" i="7"/>
  <c r="E819" i="7" s="1"/>
  <c r="F819" i="7" s="1"/>
  <c r="I819" i="7" s="1"/>
  <c r="L818" i="7"/>
  <c r="K818" i="7"/>
  <c r="H818" i="7"/>
  <c r="U818" i="7" s="1"/>
  <c r="C818" i="7"/>
  <c r="E818" i="7" s="1"/>
  <c r="F818" i="7" s="1"/>
  <c r="L817" i="7"/>
  <c r="K817" i="7"/>
  <c r="H817" i="7"/>
  <c r="U817" i="7" s="1"/>
  <c r="E817" i="7"/>
  <c r="F817" i="7" s="1"/>
  <c r="J817" i="7" s="1"/>
  <c r="C817" i="7"/>
  <c r="L816" i="7"/>
  <c r="K816" i="7"/>
  <c r="H816" i="7"/>
  <c r="U816" i="7" s="1"/>
  <c r="C816" i="7"/>
  <c r="E816" i="7" s="1"/>
  <c r="F816" i="7" s="1"/>
  <c r="L815" i="7"/>
  <c r="K815" i="7"/>
  <c r="H815" i="7"/>
  <c r="U815" i="7" s="1"/>
  <c r="C815" i="7"/>
  <c r="E815" i="7" s="1"/>
  <c r="F815" i="7" s="1"/>
  <c r="L814" i="7"/>
  <c r="K814" i="7"/>
  <c r="H814" i="7"/>
  <c r="U814" i="7" s="1"/>
  <c r="C814" i="7"/>
  <c r="E814" i="7" s="1"/>
  <c r="F814" i="7" s="1"/>
  <c r="J814" i="7" s="1"/>
  <c r="L813" i="7"/>
  <c r="K813" i="7"/>
  <c r="I813" i="7"/>
  <c r="H813" i="7"/>
  <c r="U813" i="7" s="1"/>
  <c r="E813" i="7"/>
  <c r="F813" i="7" s="1"/>
  <c r="J813" i="7" s="1"/>
  <c r="C813" i="7"/>
  <c r="L812" i="7"/>
  <c r="K812" i="7"/>
  <c r="H812" i="7"/>
  <c r="U812" i="7" s="1"/>
  <c r="E812" i="7"/>
  <c r="F812" i="7" s="1"/>
  <c r="C812" i="7"/>
  <c r="L811" i="7"/>
  <c r="J811" i="7" s="1"/>
  <c r="K811" i="7"/>
  <c r="H811" i="7"/>
  <c r="U811" i="7" s="1"/>
  <c r="C811" i="7"/>
  <c r="E811" i="7" s="1"/>
  <c r="F811" i="7" s="1"/>
  <c r="L810" i="7"/>
  <c r="K810" i="7"/>
  <c r="H810" i="7"/>
  <c r="U810" i="7" s="1"/>
  <c r="E810" i="7"/>
  <c r="F810" i="7" s="1"/>
  <c r="C810" i="7"/>
  <c r="L809" i="7"/>
  <c r="K809" i="7"/>
  <c r="I809" i="7"/>
  <c r="H809" i="7"/>
  <c r="U809" i="7" s="1"/>
  <c r="C809" i="7"/>
  <c r="E809" i="7" s="1"/>
  <c r="F809" i="7" s="1"/>
  <c r="J809" i="7" s="1"/>
  <c r="L808" i="7"/>
  <c r="K808" i="7"/>
  <c r="H808" i="7"/>
  <c r="U808" i="7" s="1"/>
  <c r="C808" i="7"/>
  <c r="E808" i="7" s="1"/>
  <c r="F808" i="7" s="1"/>
  <c r="L807" i="7"/>
  <c r="K807" i="7"/>
  <c r="H807" i="7"/>
  <c r="U807" i="7" s="1"/>
  <c r="C807" i="7"/>
  <c r="E807" i="7" s="1"/>
  <c r="F807" i="7" s="1"/>
  <c r="L806" i="7"/>
  <c r="K806" i="7"/>
  <c r="H806" i="7"/>
  <c r="U806" i="7" s="1"/>
  <c r="C806" i="7"/>
  <c r="E806" i="7" s="1"/>
  <c r="F806" i="7" s="1"/>
  <c r="L805" i="7"/>
  <c r="K805" i="7"/>
  <c r="H805" i="7"/>
  <c r="U805" i="7" s="1"/>
  <c r="E805" i="7"/>
  <c r="F805" i="7" s="1"/>
  <c r="C805" i="7"/>
  <c r="L804" i="7"/>
  <c r="K804" i="7"/>
  <c r="H804" i="7"/>
  <c r="U804" i="7" s="1"/>
  <c r="E804" i="7"/>
  <c r="F804" i="7" s="1"/>
  <c r="C804" i="7"/>
  <c r="L803" i="7"/>
  <c r="K803" i="7"/>
  <c r="H803" i="7"/>
  <c r="U803" i="7" s="1"/>
  <c r="C803" i="7"/>
  <c r="E803" i="7" s="1"/>
  <c r="F803" i="7" s="1"/>
  <c r="L802" i="7"/>
  <c r="K802" i="7"/>
  <c r="H802" i="7"/>
  <c r="U802" i="7" s="1"/>
  <c r="C802" i="7"/>
  <c r="E802" i="7" s="1"/>
  <c r="F802" i="7" s="1"/>
  <c r="L801" i="7"/>
  <c r="K801" i="7"/>
  <c r="H801" i="7"/>
  <c r="U801" i="7" s="1"/>
  <c r="E801" i="7"/>
  <c r="F801" i="7" s="1"/>
  <c r="J801" i="7" s="1"/>
  <c r="C801" i="7"/>
  <c r="U800" i="7"/>
  <c r="L800" i="7"/>
  <c r="K800" i="7"/>
  <c r="H800" i="7"/>
  <c r="C800" i="7"/>
  <c r="E800" i="7" s="1"/>
  <c r="F800" i="7" s="1"/>
  <c r="U799" i="7"/>
  <c r="L799" i="7"/>
  <c r="K799" i="7"/>
  <c r="H799" i="7"/>
  <c r="C799" i="7"/>
  <c r="E799" i="7" s="1"/>
  <c r="F799" i="7" s="1"/>
  <c r="L798" i="7"/>
  <c r="K798" i="7"/>
  <c r="H798" i="7"/>
  <c r="U798" i="7" s="1"/>
  <c r="C798" i="7"/>
  <c r="E798" i="7" s="1"/>
  <c r="F798" i="7" s="1"/>
  <c r="J798" i="7" s="1"/>
  <c r="U797" i="7"/>
  <c r="L797" i="7"/>
  <c r="K797" i="7"/>
  <c r="H797" i="7"/>
  <c r="C797" i="7"/>
  <c r="E797" i="7" s="1"/>
  <c r="F797" i="7" s="1"/>
  <c r="L796" i="7"/>
  <c r="K796" i="7"/>
  <c r="H796" i="7"/>
  <c r="U796" i="7" s="1"/>
  <c r="C796" i="7"/>
  <c r="E796" i="7" s="1"/>
  <c r="F796" i="7" s="1"/>
  <c r="L795" i="7"/>
  <c r="K795" i="7"/>
  <c r="H795" i="7"/>
  <c r="U795" i="7" s="1"/>
  <c r="C795" i="7"/>
  <c r="E795" i="7" s="1"/>
  <c r="F795" i="7" s="1"/>
  <c r="L794" i="7"/>
  <c r="K794" i="7"/>
  <c r="H794" i="7"/>
  <c r="U794" i="7" s="1"/>
  <c r="E794" i="7"/>
  <c r="F794" i="7" s="1"/>
  <c r="C794" i="7"/>
  <c r="L793" i="7"/>
  <c r="K793" i="7"/>
  <c r="H793" i="7"/>
  <c r="U793" i="7" s="1"/>
  <c r="C793" i="7"/>
  <c r="E793" i="7" s="1"/>
  <c r="F793" i="7" s="1"/>
  <c r="J793" i="7" s="1"/>
  <c r="L792" i="7"/>
  <c r="K792" i="7"/>
  <c r="H792" i="7"/>
  <c r="U792" i="7" s="1"/>
  <c r="E792" i="7"/>
  <c r="F792" i="7" s="1"/>
  <c r="C792" i="7"/>
  <c r="L791" i="7"/>
  <c r="K791" i="7"/>
  <c r="H791" i="7"/>
  <c r="U791" i="7" s="1"/>
  <c r="C791" i="7"/>
  <c r="E791" i="7" s="1"/>
  <c r="F791" i="7" s="1"/>
  <c r="L790" i="7"/>
  <c r="K790" i="7"/>
  <c r="H790" i="7"/>
  <c r="U790" i="7" s="1"/>
  <c r="E790" i="7"/>
  <c r="F790" i="7" s="1"/>
  <c r="C790" i="7"/>
  <c r="U789" i="7"/>
  <c r="L789" i="7"/>
  <c r="K789" i="7"/>
  <c r="H789" i="7"/>
  <c r="C789" i="7"/>
  <c r="E789" i="7" s="1"/>
  <c r="F789" i="7" s="1"/>
  <c r="L788" i="7"/>
  <c r="K788" i="7"/>
  <c r="H788" i="7"/>
  <c r="U788" i="7" s="1"/>
  <c r="C788" i="7"/>
  <c r="E788" i="7" s="1"/>
  <c r="F788" i="7" s="1"/>
  <c r="U787" i="7"/>
  <c r="L787" i="7"/>
  <c r="K787" i="7"/>
  <c r="H787" i="7"/>
  <c r="C787" i="7"/>
  <c r="E787" i="7" s="1"/>
  <c r="F787" i="7" s="1"/>
  <c r="I787" i="7" s="1"/>
  <c r="L786" i="7"/>
  <c r="K786" i="7"/>
  <c r="H786" i="7"/>
  <c r="U786" i="7" s="1"/>
  <c r="E786" i="7"/>
  <c r="F786" i="7" s="1"/>
  <c r="C786" i="7"/>
  <c r="L785" i="7"/>
  <c r="K785" i="7"/>
  <c r="H785" i="7"/>
  <c r="U785" i="7" s="1"/>
  <c r="C785" i="7"/>
  <c r="E785" i="7" s="1"/>
  <c r="F785" i="7" s="1"/>
  <c r="L784" i="7"/>
  <c r="K784" i="7"/>
  <c r="H784" i="7"/>
  <c r="U784" i="7" s="1"/>
  <c r="C784" i="7"/>
  <c r="E784" i="7" s="1"/>
  <c r="F784" i="7" s="1"/>
  <c r="L783" i="7"/>
  <c r="K783" i="7"/>
  <c r="H783" i="7"/>
  <c r="U783" i="7" s="1"/>
  <c r="C783" i="7"/>
  <c r="E783" i="7" s="1"/>
  <c r="F783" i="7" s="1"/>
  <c r="L782" i="7"/>
  <c r="K782" i="7"/>
  <c r="H782" i="7"/>
  <c r="U782" i="7" s="1"/>
  <c r="C782" i="7"/>
  <c r="E782" i="7" s="1"/>
  <c r="F782" i="7" s="1"/>
  <c r="J782" i="7" s="1"/>
  <c r="L781" i="7"/>
  <c r="K781" i="7"/>
  <c r="H781" i="7"/>
  <c r="U781" i="7" s="1"/>
  <c r="C781" i="7"/>
  <c r="E781" i="7" s="1"/>
  <c r="F781" i="7" s="1"/>
  <c r="L780" i="7"/>
  <c r="K780" i="7"/>
  <c r="H780" i="7"/>
  <c r="U780" i="7" s="1"/>
  <c r="C780" i="7"/>
  <c r="E780" i="7" s="1"/>
  <c r="F780" i="7" s="1"/>
  <c r="U779" i="7"/>
  <c r="L779" i="7"/>
  <c r="I779" i="7" s="1"/>
  <c r="K779" i="7"/>
  <c r="J779" i="7"/>
  <c r="H779" i="7"/>
  <c r="C779" i="7"/>
  <c r="E779" i="7" s="1"/>
  <c r="F779" i="7" s="1"/>
  <c r="L778" i="7"/>
  <c r="K778" i="7"/>
  <c r="H778" i="7"/>
  <c r="U778" i="7" s="1"/>
  <c r="C778" i="7"/>
  <c r="E778" i="7" s="1"/>
  <c r="F778" i="7" s="1"/>
  <c r="L777" i="7"/>
  <c r="K777" i="7"/>
  <c r="H777" i="7"/>
  <c r="U777" i="7" s="1"/>
  <c r="C777" i="7"/>
  <c r="E777" i="7" s="1"/>
  <c r="F777" i="7" s="1"/>
  <c r="L776" i="7"/>
  <c r="K776" i="7"/>
  <c r="H776" i="7"/>
  <c r="U776" i="7" s="1"/>
  <c r="C776" i="7"/>
  <c r="E776" i="7" s="1"/>
  <c r="F776" i="7" s="1"/>
  <c r="L775" i="7"/>
  <c r="K775" i="7"/>
  <c r="H775" i="7"/>
  <c r="U775" i="7" s="1"/>
  <c r="C775" i="7"/>
  <c r="E775" i="7" s="1"/>
  <c r="F775" i="7" s="1"/>
  <c r="L774" i="7"/>
  <c r="K774" i="7"/>
  <c r="H774" i="7"/>
  <c r="U774" i="7" s="1"/>
  <c r="C774" i="7"/>
  <c r="E774" i="7" s="1"/>
  <c r="F774" i="7" s="1"/>
  <c r="L773" i="7"/>
  <c r="K773" i="7"/>
  <c r="H773" i="7"/>
  <c r="U773" i="7" s="1"/>
  <c r="C773" i="7"/>
  <c r="E773" i="7" s="1"/>
  <c r="F773" i="7" s="1"/>
  <c r="L772" i="7"/>
  <c r="K772" i="7"/>
  <c r="H772" i="7"/>
  <c r="U772" i="7" s="1"/>
  <c r="C772" i="7"/>
  <c r="E772" i="7" s="1"/>
  <c r="F772" i="7" s="1"/>
  <c r="L771" i="7"/>
  <c r="K771" i="7"/>
  <c r="H771" i="7"/>
  <c r="U771" i="7" s="1"/>
  <c r="C771" i="7"/>
  <c r="E771" i="7" s="1"/>
  <c r="F771" i="7" s="1"/>
  <c r="J771" i="7" s="1"/>
  <c r="L770" i="7"/>
  <c r="K770" i="7"/>
  <c r="H770" i="7"/>
  <c r="U770" i="7" s="1"/>
  <c r="E770" i="7"/>
  <c r="F770" i="7" s="1"/>
  <c r="J770" i="7" s="1"/>
  <c r="C770" i="7"/>
  <c r="U769" i="7"/>
  <c r="L769" i="7"/>
  <c r="K769" i="7"/>
  <c r="H769" i="7"/>
  <c r="C769" i="7"/>
  <c r="E769" i="7" s="1"/>
  <c r="F769" i="7" s="1"/>
  <c r="L768" i="7"/>
  <c r="K768" i="7"/>
  <c r="H768" i="7"/>
  <c r="U768" i="7" s="1"/>
  <c r="C768" i="7"/>
  <c r="E768" i="7" s="1"/>
  <c r="F768" i="7" s="1"/>
  <c r="L767" i="7"/>
  <c r="K767" i="7"/>
  <c r="H767" i="7"/>
  <c r="U767" i="7" s="1"/>
  <c r="C767" i="7"/>
  <c r="E767" i="7" s="1"/>
  <c r="F767" i="7" s="1"/>
  <c r="L766" i="7"/>
  <c r="K766" i="7"/>
  <c r="H766" i="7"/>
  <c r="U766" i="7" s="1"/>
  <c r="E766" i="7"/>
  <c r="F766" i="7" s="1"/>
  <c r="J766" i="7" s="1"/>
  <c r="C766" i="7"/>
  <c r="L765" i="7"/>
  <c r="K765" i="7"/>
  <c r="H765" i="7"/>
  <c r="U765" i="7" s="1"/>
  <c r="C765" i="7"/>
  <c r="E765" i="7" s="1"/>
  <c r="F765" i="7" s="1"/>
  <c r="L764" i="7"/>
  <c r="K764" i="7"/>
  <c r="H764" i="7"/>
  <c r="U764" i="7" s="1"/>
  <c r="C764" i="7"/>
  <c r="E764" i="7" s="1"/>
  <c r="F764" i="7" s="1"/>
  <c r="U763" i="7"/>
  <c r="L763" i="7"/>
  <c r="I763" i="7" s="1"/>
  <c r="K763" i="7"/>
  <c r="H763" i="7"/>
  <c r="C763" i="7"/>
  <c r="E763" i="7" s="1"/>
  <c r="F763" i="7" s="1"/>
  <c r="L762" i="7"/>
  <c r="K762" i="7"/>
  <c r="H762" i="7"/>
  <c r="U762" i="7" s="1"/>
  <c r="E762" i="7"/>
  <c r="F762" i="7" s="1"/>
  <c r="C762" i="7"/>
  <c r="U761" i="7"/>
  <c r="L761" i="7"/>
  <c r="K761" i="7"/>
  <c r="H761" i="7"/>
  <c r="C761" i="7"/>
  <c r="E761" i="7" s="1"/>
  <c r="F761" i="7" s="1"/>
  <c r="J761" i="7" s="1"/>
  <c r="L760" i="7"/>
  <c r="K760" i="7"/>
  <c r="H760" i="7"/>
  <c r="U760" i="7" s="1"/>
  <c r="E760" i="7"/>
  <c r="F760" i="7" s="1"/>
  <c r="C760" i="7"/>
  <c r="L759" i="7"/>
  <c r="K759" i="7"/>
  <c r="H759" i="7"/>
  <c r="U759" i="7" s="1"/>
  <c r="C759" i="7"/>
  <c r="E759" i="7" s="1"/>
  <c r="F759" i="7" s="1"/>
  <c r="L758" i="7"/>
  <c r="K758" i="7"/>
  <c r="H758" i="7"/>
  <c r="U758" i="7" s="1"/>
  <c r="E758" i="7"/>
  <c r="F758" i="7" s="1"/>
  <c r="C758" i="7"/>
  <c r="L757" i="7"/>
  <c r="K757" i="7"/>
  <c r="H757" i="7"/>
  <c r="U757" i="7" s="1"/>
  <c r="C757" i="7"/>
  <c r="E757" i="7" s="1"/>
  <c r="F757" i="7" s="1"/>
  <c r="L756" i="7"/>
  <c r="K756" i="7"/>
  <c r="H756" i="7"/>
  <c r="U756" i="7" s="1"/>
  <c r="C756" i="7"/>
  <c r="E756" i="7" s="1"/>
  <c r="F756" i="7" s="1"/>
  <c r="L755" i="7"/>
  <c r="J755" i="7" s="1"/>
  <c r="K755" i="7"/>
  <c r="H755" i="7"/>
  <c r="U755" i="7" s="1"/>
  <c r="C755" i="7"/>
  <c r="E755" i="7" s="1"/>
  <c r="F755" i="7" s="1"/>
  <c r="L754" i="7"/>
  <c r="K754" i="7"/>
  <c r="H754" i="7"/>
  <c r="U754" i="7" s="1"/>
  <c r="E754" i="7"/>
  <c r="F754" i="7" s="1"/>
  <c r="C754" i="7"/>
  <c r="L753" i="7"/>
  <c r="K753" i="7"/>
  <c r="H753" i="7"/>
  <c r="U753" i="7" s="1"/>
  <c r="E753" i="7"/>
  <c r="F753" i="7" s="1"/>
  <c r="C753" i="7"/>
  <c r="L752" i="7"/>
  <c r="K752" i="7"/>
  <c r="H752" i="7"/>
  <c r="U752" i="7" s="1"/>
  <c r="E752" i="7"/>
  <c r="F752" i="7" s="1"/>
  <c r="C752" i="7"/>
  <c r="L751" i="7"/>
  <c r="K751" i="7"/>
  <c r="H751" i="7"/>
  <c r="U751" i="7" s="1"/>
  <c r="C751" i="7"/>
  <c r="E751" i="7" s="1"/>
  <c r="F751" i="7" s="1"/>
  <c r="L750" i="7"/>
  <c r="K750" i="7"/>
  <c r="H750" i="7"/>
  <c r="U750" i="7" s="1"/>
  <c r="C750" i="7"/>
  <c r="E750" i="7" s="1"/>
  <c r="F750" i="7" s="1"/>
  <c r="J750" i="7" s="1"/>
  <c r="L749" i="7"/>
  <c r="K749" i="7"/>
  <c r="H749" i="7"/>
  <c r="U749" i="7" s="1"/>
  <c r="C749" i="7"/>
  <c r="E749" i="7" s="1"/>
  <c r="F749" i="7" s="1"/>
  <c r="L748" i="7"/>
  <c r="K748" i="7"/>
  <c r="H748" i="7"/>
  <c r="U748" i="7" s="1"/>
  <c r="E748" i="7"/>
  <c r="F748" i="7" s="1"/>
  <c r="C748" i="7"/>
  <c r="L747" i="7"/>
  <c r="K747" i="7"/>
  <c r="H747" i="7"/>
  <c r="U747" i="7" s="1"/>
  <c r="C747" i="7"/>
  <c r="E747" i="7" s="1"/>
  <c r="F747" i="7" s="1"/>
  <c r="L746" i="7"/>
  <c r="K746" i="7"/>
  <c r="H746" i="7"/>
  <c r="U746" i="7" s="1"/>
  <c r="C746" i="7"/>
  <c r="E746" i="7" s="1"/>
  <c r="F746" i="7" s="1"/>
  <c r="J746" i="7" s="1"/>
  <c r="U745" i="7"/>
  <c r="L745" i="7"/>
  <c r="K745" i="7"/>
  <c r="H745" i="7"/>
  <c r="C745" i="7"/>
  <c r="E745" i="7" s="1"/>
  <c r="F745" i="7" s="1"/>
  <c r="L744" i="7"/>
  <c r="K744" i="7"/>
  <c r="H744" i="7"/>
  <c r="U744" i="7" s="1"/>
  <c r="C744" i="7"/>
  <c r="E744" i="7" s="1"/>
  <c r="F744" i="7" s="1"/>
  <c r="L743" i="7"/>
  <c r="K743" i="7"/>
  <c r="H743" i="7"/>
  <c r="U743" i="7" s="1"/>
  <c r="C743" i="7"/>
  <c r="E743" i="7" s="1"/>
  <c r="F743" i="7" s="1"/>
  <c r="L742" i="7"/>
  <c r="K742" i="7"/>
  <c r="H742" i="7"/>
  <c r="U742" i="7" s="1"/>
  <c r="C742" i="7"/>
  <c r="E742" i="7" s="1"/>
  <c r="F742" i="7" s="1"/>
  <c r="U741" i="7"/>
  <c r="L741" i="7"/>
  <c r="K741" i="7"/>
  <c r="H741" i="7"/>
  <c r="C741" i="7"/>
  <c r="E741" i="7" s="1"/>
  <c r="F741" i="7" s="1"/>
  <c r="J741" i="7" s="1"/>
  <c r="L740" i="7"/>
  <c r="K740" i="7"/>
  <c r="H740" i="7"/>
  <c r="U740" i="7" s="1"/>
  <c r="C740" i="7"/>
  <c r="E740" i="7" s="1"/>
  <c r="F740" i="7" s="1"/>
  <c r="L739" i="7"/>
  <c r="K739" i="7"/>
  <c r="H739" i="7"/>
  <c r="U739" i="7" s="1"/>
  <c r="C739" i="7"/>
  <c r="E739" i="7" s="1"/>
  <c r="F739" i="7" s="1"/>
  <c r="L738" i="7"/>
  <c r="K738" i="7"/>
  <c r="H738" i="7"/>
  <c r="U738" i="7" s="1"/>
  <c r="C738" i="7"/>
  <c r="E738" i="7" s="1"/>
  <c r="F738" i="7" s="1"/>
  <c r="L737" i="7"/>
  <c r="K737" i="7"/>
  <c r="H737" i="7"/>
  <c r="U737" i="7" s="1"/>
  <c r="C737" i="7"/>
  <c r="E737" i="7" s="1"/>
  <c r="F737" i="7" s="1"/>
  <c r="L736" i="7"/>
  <c r="K736" i="7"/>
  <c r="H736" i="7"/>
  <c r="U736" i="7" s="1"/>
  <c r="C736" i="7"/>
  <c r="E736" i="7" s="1"/>
  <c r="F736" i="7" s="1"/>
  <c r="L735" i="7"/>
  <c r="K735" i="7"/>
  <c r="H735" i="7"/>
  <c r="U735" i="7" s="1"/>
  <c r="C735" i="7"/>
  <c r="E735" i="7" s="1"/>
  <c r="F735" i="7" s="1"/>
  <c r="L734" i="7"/>
  <c r="K734" i="7"/>
  <c r="H734" i="7"/>
  <c r="U734" i="7" s="1"/>
  <c r="C734" i="7"/>
  <c r="E734" i="7" s="1"/>
  <c r="F734" i="7" s="1"/>
  <c r="L733" i="7"/>
  <c r="K733" i="7"/>
  <c r="H733" i="7"/>
  <c r="U733" i="7" s="1"/>
  <c r="C733" i="7"/>
  <c r="E733" i="7" s="1"/>
  <c r="F733" i="7" s="1"/>
  <c r="L732" i="7"/>
  <c r="K732" i="7"/>
  <c r="H732" i="7"/>
  <c r="U732" i="7" s="1"/>
  <c r="E732" i="7"/>
  <c r="F732" i="7" s="1"/>
  <c r="C732" i="7"/>
  <c r="L731" i="7"/>
  <c r="K731" i="7"/>
  <c r="H731" i="7"/>
  <c r="U731" i="7" s="1"/>
  <c r="C731" i="7"/>
  <c r="E731" i="7" s="1"/>
  <c r="F731" i="7" s="1"/>
  <c r="I731" i="7" s="1"/>
  <c r="L730" i="7"/>
  <c r="K730" i="7"/>
  <c r="I730" i="7"/>
  <c r="H730" i="7"/>
  <c r="U730" i="7" s="1"/>
  <c r="C730" i="7"/>
  <c r="E730" i="7" s="1"/>
  <c r="F730" i="7" s="1"/>
  <c r="J730" i="7" s="1"/>
  <c r="L729" i="7"/>
  <c r="K729" i="7"/>
  <c r="H729" i="7"/>
  <c r="U729" i="7" s="1"/>
  <c r="C729" i="7"/>
  <c r="E729" i="7" s="1"/>
  <c r="F729" i="7" s="1"/>
  <c r="L728" i="7"/>
  <c r="K728" i="7"/>
  <c r="H728" i="7"/>
  <c r="U728" i="7" s="1"/>
  <c r="C728" i="7"/>
  <c r="E728" i="7" s="1"/>
  <c r="F728" i="7" s="1"/>
  <c r="L727" i="7"/>
  <c r="J727" i="7" s="1"/>
  <c r="K727" i="7"/>
  <c r="H727" i="7"/>
  <c r="U727" i="7" s="1"/>
  <c r="C727" i="7"/>
  <c r="E727" i="7" s="1"/>
  <c r="F727" i="7" s="1"/>
  <c r="L726" i="7"/>
  <c r="K726" i="7"/>
  <c r="H726" i="7"/>
  <c r="U726" i="7" s="1"/>
  <c r="C726" i="7"/>
  <c r="E726" i="7" s="1"/>
  <c r="F726" i="7" s="1"/>
  <c r="L725" i="7"/>
  <c r="K725" i="7"/>
  <c r="H725" i="7"/>
  <c r="U725" i="7" s="1"/>
  <c r="C725" i="7"/>
  <c r="E725" i="7" s="1"/>
  <c r="F725" i="7" s="1"/>
  <c r="J725" i="7" s="1"/>
  <c r="L724" i="7"/>
  <c r="K724" i="7"/>
  <c r="H724" i="7"/>
  <c r="U724" i="7" s="1"/>
  <c r="C724" i="7"/>
  <c r="E724" i="7" s="1"/>
  <c r="F724" i="7" s="1"/>
  <c r="L723" i="7"/>
  <c r="K723" i="7"/>
  <c r="H723" i="7"/>
  <c r="U723" i="7" s="1"/>
  <c r="C723" i="7"/>
  <c r="E723" i="7" s="1"/>
  <c r="F723" i="7" s="1"/>
  <c r="L722" i="7"/>
  <c r="K722" i="7"/>
  <c r="H722" i="7"/>
  <c r="U722" i="7" s="1"/>
  <c r="E722" i="7"/>
  <c r="F722" i="7" s="1"/>
  <c r="C722" i="7"/>
  <c r="U721" i="7"/>
  <c r="L721" i="7"/>
  <c r="K721" i="7"/>
  <c r="H721" i="7"/>
  <c r="C721" i="7"/>
  <c r="E721" i="7" s="1"/>
  <c r="F721" i="7" s="1"/>
  <c r="L720" i="7"/>
  <c r="K720" i="7"/>
  <c r="H720" i="7"/>
  <c r="U720" i="7" s="1"/>
  <c r="C720" i="7"/>
  <c r="E720" i="7" s="1"/>
  <c r="F720" i="7" s="1"/>
  <c r="U719" i="7"/>
  <c r="L719" i="7"/>
  <c r="K719" i="7"/>
  <c r="H719" i="7"/>
  <c r="C719" i="7"/>
  <c r="E719" i="7" s="1"/>
  <c r="F719" i="7" s="1"/>
  <c r="L718" i="7"/>
  <c r="K718" i="7"/>
  <c r="H718" i="7"/>
  <c r="U718" i="7" s="1"/>
  <c r="E718" i="7"/>
  <c r="F718" i="7" s="1"/>
  <c r="C718" i="7"/>
  <c r="U717" i="7"/>
  <c r="L717" i="7"/>
  <c r="K717" i="7"/>
  <c r="H717" i="7"/>
  <c r="C717" i="7"/>
  <c r="E717" i="7" s="1"/>
  <c r="F717" i="7" s="1"/>
  <c r="L716" i="7"/>
  <c r="K716" i="7"/>
  <c r="H716" i="7"/>
  <c r="U716" i="7" s="1"/>
  <c r="E716" i="7"/>
  <c r="F716" i="7" s="1"/>
  <c r="C716" i="7"/>
  <c r="L715" i="7"/>
  <c r="K715" i="7"/>
  <c r="H715" i="7"/>
  <c r="U715" i="7" s="1"/>
  <c r="C715" i="7"/>
  <c r="E715" i="7" s="1"/>
  <c r="F715" i="7" s="1"/>
  <c r="L714" i="7"/>
  <c r="K714" i="7"/>
  <c r="H714" i="7"/>
  <c r="U714" i="7" s="1"/>
  <c r="C714" i="7"/>
  <c r="E714" i="7" s="1"/>
  <c r="F714" i="7" s="1"/>
  <c r="L713" i="7"/>
  <c r="K713" i="7"/>
  <c r="H713" i="7"/>
  <c r="U713" i="7" s="1"/>
  <c r="C713" i="7"/>
  <c r="E713" i="7" s="1"/>
  <c r="F713" i="7" s="1"/>
  <c r="L712" i="7"/>
  <c r="K712" i="7"/>
  <c r="H712" i="7"/>
  <c r="U712" i="7" s="1"/>
  <c r="C712" i="7"/>
  <c r="E712" i="7" s="1"/>
  <c r="F712" i="7" s="1"/>
  <c r="U711" i="7"/>
  <c r="L711" i="7"/>
  <c r="K711" i="7"/>
  <c r="H711" i="7"/>
  <c r="C711" i="7"/>
  <c r="E711" i="7" s="1"/>
  <c r="F711" i="7" s="1"/>
  <c r="L710" i="7"/>
  <c r="K710" i="7"/>
  <c r="H710" i="7"/>
  <c r="U710" i="7" s="1"/>
  <c r="C710" i="7"/>
  <c r="E710" i="7" s="1"/>
  <c r="F710" i="7" s="1"/>
  <c r="L709" i="7"/>
  <c r="K709" i="7"/>
  <c r="H709" i="7"/>
  <c r="U709" i="7" s="1"/>
  <c r="C709" i="7"/>
  <c r="E709" i="7" s="1"/>
  <c r="F709" i="7" s="1"/>
  <c r="L708" i="7"/>
  <c r="K708" i="7"/>
  <c r="H708" i="7"/>
  <c r="U708" i="7" s="1"/>
  <c r="C708" i="7"/>
  <c r="E708" i="7" s="1"/>
  <c r="F708" i="7" s="1"/>
  <c r="L707" i="7"/>
  <c r="J707" i="7" s="1"/>
  <c r="K707" i="7"/>
  <c r="H707" i="7"/>
  <c r="U707" i="7" s="1"/>
  <c r="C707" i="7"/>
  <c r="E707" i="7" s="1"/>
  <c r="F707" i="7" s="1"/>
  <c r="L706" i="7"/>
  <c r="K706" i="7"/>
  <c r="H706" i="7"/>
  <c r="U706" i="7" s="1"/>
  <c r="C706" i="7"/>
  <c r="E706" i="7" s="1"/>
  <c r="F706" i="7" s="1"/>
  <c r="J706" i="7" s="1"/>
  <c r="L705" i="7"/>
  <c r="K705" i="7"/>
  <c r="H705" i="7"/>
  <c r="U705" i="7" s="1"/>
  <c r="E705" i="7"/>
  <c r="F705" i="7" s="1"/>
  <c r="C705" i="7"/>
  <c r="L704" i="7"/>
  <c r="K704" i="7"/>
  <c r="H704" i="7"/>
  <c r="U704" i="7" s="1"/>
  <c r="E704" i="7"/>
  <c r="F704" i="7" s="1"/>
  <c r="C704" i="7"/>
  <c r="U703" i="7"/>
  <c r="L703" i="7"/>
  <c r="K703" i="7"/>
  <c r="H703" i="7"/>
  <c r="C703" i="7"/>
  <c r="E703" i="7" s="1"/>
  <c r="F703" i="7" s="1"/>
  <c r="I703" i="7" s="1"/>
  <c r="L702" i="7"/>
  <c r="K702" i="7"/>
  <c r="H702" i="7"/>
  <c r="U702" i="7" s="1"/>
  <c r="C702" i="7"/>
  <c r="E702" i="7" s="1"/>
  <c r="F702" i="7" s="1"/>
  <c r="I702" i="7" s="1"/>
  <c r="U701" i="7"/>
  <c r="L701" i="7"/>
  <c r="K701" i="7"/>
  <c r="H701" i="7"/>
  <c r="C701" i="7"/>
  <c r="E701" i="7" s="1"/>
  <c r="F701" i="7" s="1"/>
  <c r="L700" i="7"/>
  <c r="K700" i="7"/>
  <c r="H700" i="7"/>
  <c r="U700" i="7" s="1"/>
  <c r="C700" i="7"/>
  <c r="E700" i="7" s="1"/>
  <c r="F700" i="7" s="1"/>
  <c r="L699" i="7"/>
  <c r="K699" i="7"/>
  <c r="H699" i="7"/>
  <c r="U699" i="7" s="1"/>
  <c r="C699" i="7"/>
  <c r="E699" i="7" s="1"/>
  <c r="F699" i="7" s="1"/>
  <c r="L698" i="7"/>
  <c r="K698" i="7"/>
  <c r="H698" i="7"/>
  <c r="U698" i="7" s="1"/>
  <c r="C698" i="7"/>
  <c r="E698" i="7" s="1"/>
  <c r="F698" i="7" s="1"/>
  <c r="L697" i="7"/>
  <c r="K697" i="7"/>
  <c r="H697" i="7"/>
  <c r="U697" i="7" s="1"/>
  <c r="C697" i="7"/>
  <c r="E697" i="7" s="1"/>
  <c r="F697" i="7" s="1"/>
  <c r="L696" i="7"/>
  <c r="K696" i="7"/>
  <c r="H696" i="7"/>
  <c r="U696" i="7" s="1"/>
  <c r="C696" i="7"/>
  <c r="E696" i="7" s="1"/>
  <c r="F696" i="7" s="1"/>
  <c r="L695" i="7"/>
  <c r="K695" i="7"/>
  <c r="H695" i="7"/>
  <c r="U695" i="7" s="1"/>
  <c r="C695" i="7"/>
  <c r="E695" i="7" s="1"/>
  <c r="F695" i="7" s="1"/>
  <c r="L694" i="7"/>
  <c r="K694" i="7"/>
  <c r="H694" i="7"/>
  <c r="U694" i="7" s="1"/>
  <c r="C694" i="7"/>
  <c r="E694" i="7" s="1"/>
  <c r="F694" i="7" s="1"/>
  <c r="U693" i="7"/>
  <c r="L693" i="7"/>
  <c r="K693" i="7"/>
  <c r="H693" i="7"/>
  <c r="E693" i="7"/>
  <c r="F693" i="7" s="1"/>
  <c r="C693" i="7"/>
  <c r="L692" i="7"/>
  <c r="K692" i="7"/>
  <c r="H692" i="7"/>
  <c r="U692" i="7" s="1"/>
  <c r="E692" i="7"/>
  <c r="F692" i="7" s="1"/>
  <c r="C692" i="7"/>
  <c r="L691" i="7"/>
  <c r="K691" i="7"/>
  <c r="H691" i="7"/>
  <c r="U691" i="7" s="1"/>
  <c r="C691" i="7"/>
  <c r="E691" i="7" s="1"/>
  <c r="F691" i="7" s="1"/>
  <c r="L690" i="7"/>
  <c r="K690" i="7"/>
  <c r="H690" i="7"/>
  <c r="U690" i="7" s="1"/>
  <c r="E690" i="7"/>
  <c r="F690" i="7" s="1"/>
  <c r="C690" i="7"/>
  <c r="L689" i="7"/>
  <c r="K689" i="7"/>
  <c r="H689" i="7"/>
  <c r="U689" i="7" s="1"/>
  <c r="E689" i="7"/>
  <c r="F689" i="7" s="1"/>
  <c r="C689" i="7"/>
  <c r="U688" i="7"/>
  <c r="L688" i="7"/>
  <c r="K688" i="7"/>
  <c r="H688" i="7"/>
  <c r="C688" i="7"/>
  <c r="E688" i="7" s="1"/>
  <c r="F688" i="7" s="1"/>
  <c r="L687" i="7"/>
  <c r="K687" i="7"/>
  <c r="H687" i="7"/>
  <c r="U687" i="7" s="1"/>
  <c r="C687" i="7"/>
  <c r="E687" i="7" s="1"/>
  <c r="F687" i="7" s="1"/>
  <c r="J687" i="7" s="1"/>
  <c r="L686" i="7"/>
  <c r="K686" i="7"/>
  <c r="H686" i="7"/>
  <c r="U686" i="7" s="1"/>
  <c r="C686" i="7"/>
  <c r="E686" i="7" s="1"/>
  <c r="F686" i="7" s="1"/>
  <c r="L685" i="7"/>
  <c r="K685" i="7"/>
  <c r="H685" i="7"/>
  <c r="U685" i="7" s="1"/>
  <c r="F685" i="7"/>
  <c r="J685" i="7" s="1"/>
  <c r="C685" i="7"/>
  <c r="E685" i="7" s="1"/>
  <c r="L684" i="7"/>
  <c r="K684" i="7"/>
  <c r="H684" i="7"/>
  <c r="U684" i="7" s="1"/>
  <c r="E684" i="7"/>
  <c r="F684" i="7" s="1"/>
  <c r="C684" i="7"/>
  <c r="L683" i="7"/>
  <c r="J683" i="7" s="1"/>
  <c r="K683" i="7"/>
  <c r="H683" i="7"/>
  <c r="U683" i="7" s="1"/>
  <c r="C683" i="7"/>
  <c r="E683" i="7" s="1"/>
  <c r="F683" i="7" s="1"/>
  <c r="L682" i="7"/>
  <c r="K682" i="7"/>
  <c r="H682" i="7"/>
  <c r="U682" i="7" s="1"/>
  <c r="C682" i="7"/>
  <c r="E682" i="7" s="1"/>
  <c r="F682" i="7" s="1"/>
  <c r="I682" i="7" s="1"/>
  <c r="L681" i="7"/>
  <c r="K681" i="7"/>
  <c r="H681" i="7"/>
  <c r="U681" i="7" s="1"/>
  <c r="F681" i="7"/>
  <c r="C681" i="7"/>
  <c r="E681" i="7" s="1"/>
  <c r="L680" i="7"/>
  <c r="K680" i="7"/>
  <c r="H680" i="7"/>
  <c r="U680" i="7" s="1"/>
  <c r="E680" i="7"/>
  <c r="F680" i="7" s="1"/>
  <c r="C680" i="7"/>
  <c r="L679" i="7"/>
  <c r="K679" i="7"/>
  <c r="H679" i="7"/>
  <c r="U679" i="7" s="1"/>
  <c r="C679" i="7"/>
  <c r="E679" i="7" s="1"/>
  <c r="F679" i="7" s="1"/>
  <c r="L678" i="7"/>
  <c r="K678" i="7"/>
  <c r="H678" i="7"/>
  <c r="U678" i="7" s="1"/>
  <c r="C678" i="7"/>
  <c r="E678" i="7" s="1"/>
  <c r="F678" i="7" s="1"/>
  <c r="J678" i="7" s="1"/>
  <c r="L677" i="7"/>
  <c r="K677" i="7"/>
  <c r="H677" i="7"/>
  <c r="U677" i="7" s="1"/>
  <c r="F677" i="7"/>
  <c r="C677" i="7"/>
  <c r="E677" i="7" s="1"/>
  <c r="L676" i="7"/>
  <c r="K676" i="7"/>
  <c r="H676" i="7"/>
  <c r="U676" i="7" s="1"/>
  <c r="E676" i="7"/>
  <c r="F676" i="7" s="1"/>
  <c r="C676" i="7"/>
  <c r="L675" i="7"/>
  <c r="K675" i="7"/>
  <c r="H675" i="7"/>
  <c r="U675" i="7" s="1"/>
  <c r="C675" i="7"/>
  <c r="E675" i="7" s="1"/>
  <c r="F675" i="7" s="1"/>
  <c r="L674" i="7"/>
  <c r="K674" i="7"/>
  <c r="H674" i="7"/>
  <c r="U674" i="7" s="1"/>
  <c r="C674" i="7"/>
  <c r="E674" i="7" s="1"/>
  <c r="F674" i="7" s="1"/>
  <c r="U673" i="7"/>
  <c r="L673" i="7"/>
  <c r="K673" i="7"/>
  <c r="H673" i="7"/>
  <c r="C673" i="7"/>
  <c r="E673" i="7" s="1"/>
  <c r="F673" i="7" s="1"/>
  <c r="L672" i="7"/>
  <c r="K672" i="7"/>
  <c r="H672" i="7"/>
  <c r="U672" i="7" s="1"/>
  <c r="C672" i="7"/>
  <c r="E672" i="7" s="1"/>
  <c r="F672" i="7" s="1"/>
  <c r="L671" i="7"/>
  <c r="K671" i="7"/>
  <c r="H671" i="7"/>
  <c r="U671" i="7" s="1"/>
  <c r="C671" i="7"/>
  <c r="E671" i="7" s="1"/>
  <c r="F671" i="7" s="1"/>
  <c r="L670" i="7"/>
  <c r="K670" i="7"/>
  <c r="H670" i="7"/>
  <c r="U670" i="7" s="1"/>
  <c r="F670" i="7"/>
  <c r="C670" i="7"/>
  <c r="E670" i="7" s="1"/>
  <c r="U669" i="7"/>
  <c r="L669" i="7"/>
  <c r="K669" i="7"/>
  <c r="H669" i="7"/>
  <c r="C669" i="7"/>
  <c r="E669" i="7" s="1"/>
  <c r="F669" i="7" s="1"/>
  <c r="L668" i="7"/>
  <c r="K668" i="7"/>
  <c r="H668" i="7"/>
  <c r="U668" i="7" s="1"/>
  <c r="C668" i="7"/>
  <c r="E668" i="7" s="1"/>
  <c r="F668" i="7" s="1"/>
  <c r="U667" i="7"/>
  <c r="L667" i="7"/>
  <c r="K667" i="7"/>
  <c r="H667" i="7"/>
  <c r="C667" i="7"/>
  <c r="E667" i="7" s="1"/>
  <c r="F667" i="7" s="1"/>
  <c r="L666" i="7"/>
  <c r="K666" i="7"/>
  <c r="H666" i="7"/>
  <c r="U666" i="7" s="1"/>
  <c r="C666" i="7"/>
  <c r="E666" i="7" s="1"/>
  <c r="F666" i="7" s="1"/>
  <c r="L665" i="7"/>
  <c r="K665" i="7"/>
  <c r="H665" i="7"/>
  <c r="U665" i="7" s="1"/>
  <c r="C665" i="7"/>
  <c r="E665" i="7" s="1"/>
  <c r="F665" i="7" s="1"/>
  <c r="L664" i="7"/>
  <c r="K664" i="7"/>
  <c r="H664" i="7"/>
  <c r="U664" i="7" s="1"/>
  <c r="C664" i="7"/>
  <c r="E664" i="7" s="1"/>
  <c r="F664" i="7" s="1"/>
  <c r="L663" i="7"/>
  <c r="K663" i="7"/>
  <c r="H663" i="7"/>
  <c r="U663" i="7" s="1"/>
  <c r="C663" i="7"/>
  <c r="E663" i="7" s="1"/>
  <c r="F663" i="7" s="1"/>
  <c r="L662" i="7"/>
  <c r="K662" i="7"/>
  <c r="H662" i="7"/>
  <c r="U662" i="7" s="1"/>
  <c r="C662" i="7"/>
  <c r="E662" i="7" s="1"/>
  <c r="F662" i="7" s="1"/>
  <c r="L661" i="7"/>
  <c r="K661" i="7"/>
  <c r="H661" i="7"/>
  <c r="U661" i="7" s="1"/>
  <c r="E661" i="7"/>
  <c r="F661" i="7" s="1"/>
  <c r="C661" i="7"/>
  <c r="L660" i="7"/>
  <c r="K660" i="7"/>
  <c r="H660" i="7"/>
  <c r="U660" i="7" s="1"/>
  <c r="E660" i="7"/>
  <c r="F660" i="7" s="1"/>
  <c r="C660" i="7"/>
  <c r="L659" i="7"/>
  <c r="K659" i="7"/>
  <c r="H659" i="7"/>
  <c r="U659" i="7" s="1"/>
  <c r="C659" i="7"/>
  <c r="E659" i="7" s="1"/>
  <c r="F659" i="7" s="1"/>
  <c r="I659" i="7" s="1"/>
  <c r="L658" i="7"/>
  <c r="K658" i="7"/>
  <c r="H658" i="7"/>
  <c r="U658" i="7" s="1"/>
  <c r="C658" i="7"/>
  <c r="E658" i="7" s="1"/>
  <c r="F658" i="7" s="1"/>
  <c r="J658" i="7" s="1"/>
  <c r="L657" i="7"/>
  <c r="K657" i="7"/>
  <c r="H657" i="7"/>
  <c r="U657" i="7" s="1"/>
  <c r="C657" i="7"/>
  <c r="E657" i="7" s="1"/>
  <c r="F657" i="7" s="1"/>
  <c r="L656" i="7"/>
  <c r="K656" i="7"/>
  <c r="H656" i="7"/>
  <c r="U656" i="7" s="1"/>
  <c r="C656" i="7"/>
  <c r="E656" i="7" s="1"/>
  <c r="F656" i="7" s="1"/>
  <c r="L655" i="7"/>
  <c r="K655" i="7"/>
  <c r="H655" i="7"/>
  <c r="U655" i="7" s="1"/>
  <c r="C655" i="7"/>
  <c r="E655" i="7" s="1"/>
  <c r="F655" i="7" s="1"/>
  <c r="I655" i="7" s="1"/>
  <c r="L654" i="7"/>
  <c r="K654" i="7"/>
  <c r="H654" i="7"/>
  <c r="U654" i="7" s="1"/>
  <c r="C654" i="7"/>
  <c r="E654" i="7" s="1"/>
  <c r="F654" i="7" s="1"/>
  <c r="L653" i="7"/>
  <c r="K653" i="7"/>
  <c r="H653" i="7"/>
  <c r="U653" i="7" s="1"/>
  <c r="C653" i="7"/>
  <c r="E653" i="7" s="1"/>
  <c r="F653" i="7" s="1"/>
  <c r="L652" i="7"/>
  <c r="K652" i="7"/>
  <c r="H652" i="7"/>
  <c r="U652" i="7" s="1"/>
  <c r="C652" i="7"/>
  <c r="E652" i="7" s="1"/>
  <c r="F652" i="7" s="1"/>
  <c r="L651" i="7"/>
  <c r="K651" i="7"/>
  <c r="H651" i="7"/>
  <c r="U651" i="7" s="1"/>
  <c r="C651" i="7"/>
  <c r="E651" i="7" s="1"/>
  <c r="F651" i="7" s="1"/>
  <c r="L650" i="7"/>
  <c r="K650" i="7"/>
  <c r="H650" i="7"/>
  <c r="U650" i="7" s="1"/>
  <c r="C650" i="7"/>
  <c r="E650" i="7" s="1"/>
  <c r="F650" i="7" s="1"/>
  <c r="L649" i="7"/>
  <c r="K649" i="7"/>
  <c r="H649" i="7"/>
  <c r="U649" i="7" s="1"/>
  <c r="E649" i="7"/>
  <c r="F649" i="7" s="1"/>
  <c r="C649" i="7"/>
  <c r="L648" i="7"/>
  <c r="K648" i="7"/>
  <c r="H648" i="7"/>
  <c r="U648" i="7" s="1"/>
  <c r="C648" i="7"/>
  <c r="E648" i="7" s="1"/>
  <c r="F648" i="7" s="1"/>
  <c r="L647" i="7"/>
  <c r="K647" i="7"/>
  <c r="H647" i="7"/>
  <c r="U647" i="7" s="1"/>
  <c r="C647" i="7"/>
  <c r="E647" i="7" s="1"/>
  <c r="F647" i="7" s="1"/>
  <c r="L646" i="7"/>
  <c r="K646" i="7"/>
  <c r="H646" i="7"/>
  <c r="U646" i="7" s="1"/>
  <c r="E646" i="7"/>
  <c r="F646" i="7" s="1"/>
  <c r="C646" i="7"/>
  <c r="L645" i="7"/>
  <c r="K645" i="7"/>
  <c r="H645" i="7"/>
  <c r="U645" i="7" s="1"/>
  <c r="C645" i="7"/>
  <c r="E645" i="7" s="1"/>
  <c r="F645" i="7" s="1"/>
  <c r="J645" i="7" s="1"/>
  <c r="L644" i="7"/>
  <c r="K644" i="7"/>
  <c r="H644" i="7"/>
  <c r="U644" i="7" s="1"/>
  <c r="C644" i="7"/>
  <c r="E644" i="7" s="1"/>
  <c r="F644" i="7" s="1"/>
  <c r="L643" i="7"/>
  <c r="K643" i="7"/>
  <c r="H643" i="7"/>
  <c r="U643" i="7" s="1"/>
  <c r="C643" i="7"/>
  <c r="E643" i="7" s="1"/>
  <c r="F643" i="7" s="1"/>
  <c r="L642" i="7"/>
  <c r="K642" i="7"/>
  <c r="H642" i="7"/>
  <c r="U642" i="7" s="1"/>
  <c r="C642" i="7"/>
  <c r="E642" i="7" s="1"/>
  <c r="F642" i="7" s="1"/>
  <c r="L641" i="7"/>
  <c r="K641" i="7"/>
  <c r="H641" i="7"/>
  <c r="U641" i="7" s="1"/>
  <c r="E641" i="7"/>
  <c r="F641" i="7" s="1"/>
  <c r="C641" i="7"/>
  <c r="L640" i="7"/>
  <c r="K640" i="7"/>
  <c r="H640" i="7"/>
  <c r="U640" i="7" s="1"/>
  <c r="C640" i="7"/>
  <c r="E640" i="7" s="1"/>
  <c r="F640" i="7" s="1"/>
  <c r="U639" i="7"/>
  <c r="L639" i="7"/>
  <c r="K639" i="7"/>
  <c r="H639" i="7"/>
  <c r="C639" i="7"/>
  <c r="E639" i="7" s="1"/>
  <c r="F639" i="7" s="1"/>
  <c r="L638" i="7"/>
  <c r="K638" i="7"/>
  <c r="H638" i="7"/>
  <c r="U638" i="7" s="1"/>
  <c r="C638" i="7"/>
  <c r="E638" i="7" s="1"/>
  <c r="F638" i="7" s="1"/>
  <c r="L637" i="7"/>
  <c r="K637" i="7"/>
  <c r="H637" i="7"/>
  <c r="U637" i="7" s="1"/>
  <c r="C637" i="7"/>
  <c r="E637" i="7" s="1"/>
  <c r="F637" i="7" s="1"/>
  <c r="L636" i="7"/>
  <c r="K636" i="7"/>
  <c r="H636" i="7"/>
  <c r="U636" i="7" s="1"/>
  <c r="C636" i="7"/>
  <c r="E636" i="7" s="1"/>
  <c r="F636" i="7" s="1"/>
  <c r="L635" i="7"/>
  <c r="K635" i="7"/>
  <c r="H635" i="7"/>
  <c r="U635" i="7" s="1"/>
  <c r="C635" i="7"/>
  <c r="E635" i="7" s="1"/>
  <c r="F635" i="7" s="1"/>
  <c r="J635" i="7" s="1"/>
  <c r="L634" i="7"/>
  <c r="K634" i="7"/>
  <c r="H634" i="7"/>
  <c r="U634" i="7" s="1"/>
  <c r="C634" i="7"/>
  <c r="E634" i="7" s="1"/>
  <c r="F634" i="7" s="1"/>
  <c r="L633" i="7"/>
  <c r="K633" i="7"/>
  <c r="H633" i="7"/>
  <c r="U633" i="7" s="1"/>
  <c r="C633" i="7"/>
  <c r="E633" i="7" s="1"/>
  <c r="F633" i="7" s="1"/>
  <c r="L632" i="7"/>
  <c r="K632" i="7"/>
  <c r="H632" i="7"/>
  <c r="U632" i="7" s="1"/>
  <c r="C632" i="7"/>
  <c r="E632" i="7" s="1"/>
  <c r="F632" i="7" s="1"/>
  <c r="L631" i="7"/>
  <c r="K631" i="7"/>
  <c r="H631" i="7"/>
  <c r="U631" i="7" s="1"/>
  <c r="C631" i="7"/>
  <c r="E631" i="7" s="1"/>
  <c r="F631" i="7" s="1"/>
  <c r="L630" i="7"/>
  <c r="K630" i="7"/>
  <c r="H630" i="7"/>
  <c r="U630" i="7" s="1"/>
  <c r="C630" i="7"/>
  <c r="E630" i="7" s="1"/>
  <c r="F630" i="7" s="1"/>
  <c r="U629" i="7"/>
  <c r="L629" i="7"/>
  <c r="K629" i="7"/>
  <c r="H629" i="7"/>
  <c r="C629" i="7"/>
  <c r="E629" i="7" s="1"/>
  <c r="F629" i="7" s="1"/>
  <c r="J629" i="7" s="1"/>
  <c r="L628" i="7"/>
  <c r="K628" i="7"/>
  <c r="H628" i="7"/>
  <c r="U628" i="7" s="1"/>
  <c r="E628" i="7"/>
  <c r="F628" i="7" s="1"/>
  <c r="C628" i="7"/>
  <c r="U627" i="7"/>
  <c r="L627" i="7"/>
  <c r="K627" i="7"/>
  <c r="H627" i="7"/>
  <c r="C627" i="7"/>
  <c r="E627" i="7" s="1"/>
  <c r="F627" i="7" s="1"/>
  <c r="J627" i="7" s="1"/>
  <c r="L626" i="7"/>
  <c r="K626" i="7"/>
  <c r="H626" i="7"/>
  <c r="U626" i="7" s="1"/>
  <c r="E626" i="7"/>
  <c r="F626" i="7" s="1"/>
  <c r="I626" i="7" s="1"/>
  <c r="C626" i="7"/>
  <c r="L625" i="7"/>
  <c r="K625" i="7"/>
  <c r="H625" i="7"/>
  <c r="U625" i="7" s="1"/>
  <c r="C625" i="7"/>
  <c r="E625" i="7" s="1"/>
  <c r="F625" i="7" s="1"/>
  <c r="L624" i="7"/>
  <c r="K624" i="7"/>
  <c r="H624" i="7"/>
  <c r="U624" i="7" s="1"/>
  <c r="C624" i="7"/>
  <c r="E624" i="7" s="1"/>
  <c r="F624" i="7" s="1"/>
  <c r="L623" i="7"/>
  <c r="K623" i="7"/>
  <c r="H623" i="7"/>
  <c r="U623" i="7" s="1"/>
  <c r="C623" i="7"/>
  <c r="E623" i="7" s="1"/>
  <c r="F623" i="7" s="1"/>
  <c r="L622" i="7"/>
  <c r="K622" i="7"/>
  <c r="H622" i="7"/>
  <c r="U622" i="7" s="1"/>
  <c r="C622" i="7"/>
  <c r="E622" i="7" s="1"/>
  <c r="F622" i="7" s="1"/>
  <c r="I622" i="7" s="1"/>
  <c r="L621" i="7"/>
  <c r="K621" i="7"/>
  <c r="H621" i="7"/>
  <c r="U621" i="7" s="1"/>
  <c r="C621" i="7"/>
  <c r="E621" i="7" s="1"/>
  <c r="F621" i="7" s="1"/>
  <c r="U620" i="7"/>
  <c r="L620" i="7"/>
  <c r="K620" i="7"/>
  <c r="H620" i="7"/>
  <c r="E620" i="7"/>
  <c r="F620" i="7" s="1"/>
  <c r="C620" i="7"/>
  <c r="L619" i="7"/>
  <c r="K619" i="7"/>
  <c r="H619" i="7"/>
  <c r="U619" i="7" s="1"/>
  <c r="C619" i="7"/>
  <c r="E619" i="7" s="1"/>
  <c r="F619" i="7" s="1"/>
  <c r="L618" i="7"/>
  <c r="K618" i="7"/>
  <c r="H618" i="7"/>
  <c r="U618" i="7" s="1"/>
  <c r="C618" i="7"/>
  <c r="E618" i="7" s="1"/>
  <c r="F618" i="7" s="1"/>
  <c r="L617" i="7"/>
  <c r="K617" i="7"/>
  <c r="H617" i="7"/>
  <c r="U617" i="7" s="1"/>
  <c r="C617" i="7"/>
  <c r="E617" i="7" s="1"/>
  <c r="F617" i="7" s="1"/>
  <c r="L616" i="7"/>
  <c r="K616" i="7"/>
  <c r="H616" i="7"/>
  <c r="U616" i="7" s="1"/>
  <c r="C616" i="7"/>
  <c r="E616" i="7" s="1"/>
  <c r="F616" i="7" s="1"/>
  <c r="L615" i="7"/>
  <c r="K615" i="7"/>
  <c r="H615" i="7"/>
  <c r="U615" i="7" s="1"/>
  <c r="C615" i="7"/>
  <c r="E615" i="7" s="1"/>
  <c r="F615" i="7" s="1"/>
  <c r="L614" i="7"/>
  <c r="K614" i="7"/>
  <c r="H614" i="7"/>
  <c r="U614" i="7" s="1"/>
  <c r="C614" i="7"/>
  <c r="E614" i="7" s="1"/>
  <c r="F614" i="7" s="1"/>
  <c r="J614" i="7" s="1"/>
  <c r="L613" i="7"/>
  <c r="K613" i="7"/>
  <c r="H613" i="7"/>
  <c r="U613" i="7" s="1"/>
  <c r="E613" i="7"/>
  <c r="F613" i="7" s="1"/>
  <c r="C613" i="7"/>
  <c r="L612" i="7"/>
  <c r="K612" i="7"/>
  <c r="H612" i="7"/>
  <c r="U612" i="7" s="1"/>
  <c r="C612" i="7"/>
  <c r="E612" i="7" s="1"/>
  <c r="F612" i="7" s="1"/>
  <c r="L611" i="7"/>
  <c r="K611" i="7"/>
  <c r="H611" i="7"/>
  <c r="U611" i="7" s="1"/>
  <c r="C611" i="7"/>
  <c r="E611" i="7" s="1"/>
  <c r="F611" i="7" s="1"/>
  <c r="J611" i="7" s="1"/>
  <c r="L610" i="7"/>
  <c r="K610" i="7"/>
  <c r="H610" i="7"/>
  <c r="U610" i="7" s="1"/>
  <c r="E610" i="7"/>
  <c r="F610" i="7" s="1"/>
  <c r="C610" i="7"/>
  <c r="L609" i="7"/>
  <c r="K609" i="7"/>
  <c r="H609" i="7"/>
  <c r="U609" i="7" s="1"/>
  <c r="E609" i="7"/>
  <c r="F609" i="7" s="1"/>
  <c r="C609" i="7"/>
  <c r="L608" i="7"/>
  <c r="K608" i="7"/>
  <c r="H608" i="7"/>
  <c r="U608" i="7" s="1"/>
  <c r="E608" i="7"/>
  <c r="F608" i="7" s="1"/>
  <c r="C608" i="7"/>
  <c r="L607" i="7"/>
  <c r="K607" i="7"/>
  <c r="H607" i="7"/>
  <c r="U607" i="7" s="1"/>
  <c r="C607" i="7"/>
  <c r="E607" i="7" s="1"/>
  <c r="F607" i="7" s="1"/>
  <c r="L606" i="7"/>
  <c r="K606" i="7"/>
  <c r="H606" i="7"/>
  <c r="U606" i="7" s="1"/>
  <c r="C606" i="7"/>
  <c r="E606" i="7" s="1"/>
  <c r="F606" i="7" s="1"/>
  <c r="J606" i="7" s="1"/>
  <c r="L605" i="7"/>
  <c r="K605" i="7"/>
  <c r="H605" i="7"/>
  <c r="U605" i="7" s="1"/>
  <c r="E605" i="7"/>
  <c r="F605" i="7" s="1"/>
  <c r="C605" i="7"/>
  <c r="L604" i="7"/>
  <c r="K604" i="7"/>
  <c r="H604" i="7"/>
  <c r="U604" i="7" s="1"/>
  <c r="C604" i="7"/>
  <c r="E604" i="7" s="1"/>
  <c r="F604" i="7" s="1"/>
  <c r="L603" i="7"/>
  <c r="K603" i="7"/>
  <c r="H603" i="7"/>
  <c r="U603" i="7" s="1"/>
  <c r="C603" i="7"/>
  <c r="E603" i="7" s="1"/>
  <c r="F603" i="7" s="1"/>
  <c r="L602" i="7"/>
  <c r="K602" i="7"/>
  <c r="H602" i="7"/>
  <c r="U602" i="7" s="1"/>
  <c r="C602" i="7"/>
  <c r="E602" i="7" s="1"/>
  <c r="F602" i="7" s="1"/>
  <c r="I602" i="7" s="1"/>
  <c r="U601" i="7"/>
  <c r="L601" i="7"/>
  <c r="K601" i="7"/>
  <c r="H601" i="7"/>
  <c r="E601" i="7"/>
  <c r="F601" i="7" s="1"/>
  <c r="C601" i="7"/>
  <c r="U600" i="7"/>
  <c r="L600" i="7"/>
  <c r="K600" i="7"/>
  <c r="H600" i="7"/>
  <c r="C600" i="7"/>
  <c r="E600" i="7" s="1"/>
  <c r="F600" i="7" s="1"/>
  <c r="U599" i="7"/>
  <c r="L599" i="7"/>
  <c r="K599" i="7"/>
  <c r="H599" i="7"/>
  <c r="C599" i="7"/>
  <c r="E599" i="7" s="1"/>
  <c r="F599" i="7" s="1"/>
  <c r="L598" i="7"/>
  <c r="K598" i="7"/>
  <c r="H598" i="7"/>
  <c r="U598" i="7" s="1"/>
  <c r="E598" i="7"/>
  <c r="F598" i="7" s="1"/>
  <c r="C598" i="7"/>
  <c r="L597" i="7"/>
  <c r="K597" i="7"/>
  <c r="H597" i="7"/>
  <c r="U597" i="7" s="1"/>
  <c r="E597" i="7"/>
  <c r="F597" i="7" s="1"/>
  <c r="C597" i="7"/>
  <c r="L596" i="7"/>
  <c r="K596" i="7"/>
  <c r="H596" i="7"/>
  <c r="U596" i="7" s="1"/>
  <c r="C596" i="7"/>
  <c r="E596" i="7" s="1"/>
  <c r="F596" i="7" s="1"/>
  <c r="L595" i="7"/>
  <c r="K595" i="7"/>
  <c r="H595" i="7"/>
  <c r="U595" i="7" s="1"/>
  <c r="C595" i="7"/>
  <c r="E595" i="7" s="1"/>
  <c r="F595" i="7" s="1"/>
  <c r="L594" i="7"/>
  <c r="K594" i="7"/>
  <c r="H594" i="7"/>
  <c r="U594" i="7" s="1"/>
  <c r="C594" i="7"/>
  <c r="E594" i="7" s="1"/>
  <c r="F594" i="7" s="1"/>
  <c r="J594" i="7" s="1"/>
  <c r="U593" i="7"/>
  <c r="L593" i="7"/>
  <c r="K593" i="7"/>
  <c r="H593" i="7"/>
  <c r="E593" i="7"/>
  <c r="F593" i="7" s="1"/>
  <c r="C593" i="7"/>
  <c r="U592" i="7"/>
  <c r="L592" i="7"/>
  <c r="K592" i="7"/>
  <c r="H592" i="7"/>
  <c r="C592" i="7"/>
  <c r="E592" i="7" s="1"/>
  <c r="F592" i="7" s="1"/>
  <c r="L591" i="7"/>
  <c r="K591" i="7"/>
  <c r="H591" i="7"/>
  <c r="U591" i="7" s="1"/>
  <c r="C591" i="7"/>
  <c r="E591" i="7" s="1"/>
  <c r="F591" i="7" s="1"/>
  <c r="L590" i="7"/>
  <c r="K590" i="7"/>
  <c r="H590" i="7"/>
  <c r="U590" i="7" s="1"/>
  <c r="C590" i="7"/>
  <c r="E590" i="7" s="1"/>
  <c r="F590" i="7" s="1"/>
  <c r="L589" i="7"/>
  <c r="K589" i="7"/>
  <c r="H589" i="7"/>
  <c r="U589" i="7" s="1"/>
  <c r="C589" i="7"/>
  <c r="E589" i="7" s="1"/>
  <c r="F589" i="7" s="1"/>
  <c r="L588" i="7"/>
  <c r="K588" i="7"/>
  <c r="H588" i="7"/>
  <c r="U588" i="7" s="1"/>
  <c r="C588" i="7"/>
  <c r="E588" i="7" s="1"/>
  <c r="F588" i="7" s="1"/>
  <c r="U587" i="7"/>
  <c r="L587" i="7"/>
  <c r="J587" i="7" s="1"/>
  <c r="K587" i="7"/>
  <c r="H587" i="7"/>
  <c r="C587" i="7"/>
  <c r="E587" i="7" s="1"/>
  <c r="F587" i="7" s="1"/>
  <c r="L586" i="7"/>
  <c r="K586" i="7"/>
  <c r="H586" i="7"/>
  <c r="U586" i="7" s="1"/>
  <c r="C586" i="7"/>
  <c r="E586" i="7" s="1"/>
  <c r="F586" i="7" s="1"/>
  <c r="L585" i="7"/>
  <c r="K585" i="7"/>
  <c r="H585" i="7"/>
  <c r="U585" i="7" s="1"/>
  <c r="C585" i="7"/>
  <c r="E585" i="7" s="1"/>
  <c r="F585" i="7" s="1"/>
  <c r="L584" i="7"/>
  <c r="K584" i="7"/>
  <c r="H584" i="7"/>
  <c r="U584" i="7" s="1"/>
  <c r="E584" i="7"/>
  <c r="F584" i="7" s="1"/>
  <c r="C584" i="7"/>
  <c r="L583" i="7"/>
  <c r="K583" i="7"/>
  <c r="H583" i="7"/>
  <c r="U583" i="7" s="1"/>
  <c r="C583" i="7"/>
  <c r="E583" i="7" s="1"/>
  <c r="F583" i="7" s="1"/>
  <c r="I583" i="7" s="1"/>
  <c r="L582" i="7"/>
  <c r="K582" i="7"/>
  <c r="H582" i="7"/>
  <c r="U582" i="7" s="1"/>
  <c r="C582" i="7"/>
  <c r="E582" i="7" s="1"/>
  <c r="F582" i="7" s="1"/>
  <c r="U581" i="7"/>
  <c r="L581" i="7"/>
  <c r="K581" i="7"/>
  <c r="H581" i="7"/>
  <c r="C581" i="7"/>
  <c r="E581" i="7" s="1"/>
  <c r="F581" i="7" s="1"/>
  <c r="L580" i="7"/>
  <c r="K580" i="7"/>
  <c r="H580" i="7"/>
  <c r="U580" i="7" s="1"/>
  <c r="C580" i="7"/>
  <c r="E580" i="7" s="1"/>
  <c r="F580" i="7" s="1"/>
  <c r="L579" i="7"/>
  <c r="K579" i="7"/>
  <c r="H579" i="7"/>
  <c r="U579" i="7" s="1"/>
  <c r="C579" i="7"/>
  <c r="E579" i="7" s="1"/>
  <c r="F579" i="7" s="1"/>
  <c r="L578" i="7"/>
  <c r="K578" i="7"/>
  <c r="H578" i="7"/>
  <c r="U578" i="7" s="1"/>
  <c r="E578" i="7"/>
  <c r="F578" i="7" s="1"/>
  <c r="J578" i="7" s="1"/>
  <c r="C578" i="7"/>
  <c r="U577" i="7"/>
  <c r="L577" i="7"/>
  <c r="K577" i="7"/>
  <c r="H577" i="7"/>
  <c r="C577" i="7"/>
  <c r="E577" i="7" s="1"/>
  <c r="F577" i="7" s="1"/>
  <c r="U576" i="7"/>
  <c r="L576" i="7"/>
  <c r="K576" i="7"/>
  <c r="H576" i="7"/>
  <c r="C576" i="7"/>
  <c r="E576" i="7" s="1"/>
  <c r="F576" i="7" s="1"/>
  <c r="L575" i="7"/>
  <c r="K575" i="7"/>
  <c r="H575" i="7"/>
  <c r="U575" i="7" s="1"/>
  <c r="C575" i="7"/>
  <c r="E575" i="7" s="1"/>
  <c r="F575" i="7" s="1"/>
  <c r="L574" i="7"/>
  <c r="K574" i="7"/>
  <c r="H574" i="7"/>
  <c r="U574" i="7" s="1"/>
  <c r="F574" i="7"/>
  <c r="J574" i="7" s="1"/>
  <c r="E574" i="7"/>
  <c r="C574" i="7"/>
  <c r="U573" i="7"/>
  <c r="L573" i="7"/>
  <c r="K573" i="7"/>
  <c r="H573" i="7"/>
  <c r="C573" i="7"/>
  <c r="E573" i="7" s="1"/>
  <c r="F573" i="7" s="1"/>
  <c r="L572" i="7"/>
  <c r="K572" i="7"/>
  <c r="H572" i="7"/>
  <c r="U572" i="7" s="1"/>
  <c r="C572" i="7"/>
  <c r="E572" i="7" s="1"/>
  <c r="F572" i="7" s="1"/>
  <c r="L571" i="7"/>
  <c r="K571" i="7"/>
  <c r="H571" i="7"/>
  <c r="U571" i="7" s="1"/>
  <c r="C571" i="7"/>
  <c r="E571" i="7" s="1"/>
  <c r="F571" i="7" s="1"/>
  <c r="J571" i="7" s="1"/>
  <c r="L570" i="7"/>
  <c r="K570" i="7"/>
  <c r="H570" i="7"/>
  <c r="U570" i="7" s="1"/>
  <c r="C570" i="7"/>
  <c r="E570" i="7" s="1"/>
  <c r="F570" i="7" s="1"/>
  <c r="L569" i="7"/>
  <c r="K569" i="7"/>
  <c r="H569" i="7"/>
  <c r="U569" i="7" s="1"/>
  <c r="C569" i="7"/>
  <c r="E569" i="7" s="1"/>
  <c r="F569" i="7" s="1"/>
  <c r="L568" i="7"/>
  <c r="K568" i="7"/>
  <c r="H568" i="7"/>
  <c r="U568" i="7" s="1"/>
  <c r="C568" i="7"/>
  <c r="E568" i="7" s="1"/>
  <c r="F568" i="7" s="1"/>
  <c r="U567" i="7"/>
  <c r="L567" i="7"/>
  <c r="K567" i="7"/>
  <c r="H567" i="7"/>
  <c r="C567" i="7"/>
  <c r="E567" i="7" s="1"/>
  <c r="F567" i="7" s="1"/>
  <c r="L566" i="7"/>
  <c r="J566" i="7" s="1"/>
  <c r="K566" i="7"/>
  <c r="H566" i="7"/>
  <c r="U566" i="7" s="1"/>
  <c r="C566" i="7"/>
  <c r="E566" i="7" s="1"/>
  <c r="F566" i="7" s="1"/>
  <c r="L565" i="7"/>
  <c r="K565" i="7"/>
  <c r="H565" i="7"/>
  <c r="U565" i="7" s="1"/>
  <c r="C565" i="7"/>
  <c r="E565" i="7" s="1"/>
  <c r="F565" i="7" s="1"/>
  <c r="L564" i="7"/>
  <c r="K564" i="7"/>
  <c r="H564" i="7"/>
  <c r="U564" i="7" s="1"/>
  <c r="E564" i="7"/>
  <c r="F564" i="7" s="1"/>
  <c r="C564" i="7"/>
  <c r="U563" i="7"/>
  <c r="L563" i="7"/>
  <c r="K563" i="7"/>
  <c r="H563" i="7"/>
  <c r="C563" i="7"/>
  <c r="E563" i="7" s="1"/>
  <c r="F563" i="7" s="1"/>
  <c r="J563" i="7" s="1"/>
  <c r="L562" i="7"/>
  <c r="K562" i="7"/>
  <c r="H562" i="7"/>
  <c r="U562" i="7" s="1"/>
  <c r="C562" i="7"/>
  <c r="E562" i="7" s="1"/>
  <c r="F562" i="7" s="1"/>
  <c r="U561" i="7"/>
  <c r="L561" i="7"/>
  <c r="K561" i="7"/>
  <c r="H561" i="7"/>
  <c r="E561" i="7"/>
  <c r="F561" i="7" s="1"/>
  <c r="C561" i="7"/>
  <c r="L560" i="7"/>
  <c r="K560" i="7"/>
  <c r="H560" i="7"/>
  <c r="U560" i="7" s="1"/>
  <c r="E560" i="7"/>
  <c r="F560" i="7" s="1"/>
  <c r="C560" i="7"/>
  <c r="U559" i="7"/>
  <c r="L559" i="7"/>
  <c r="K559" i="7"/>
  <c r="H559" i="7"/>
  <c r="C559" i="7"/>
  <c r="E559" i="7" s="1"/>
  <c r="F559" i="7" s="1"/>
  <c r="L558" i="7"/>
  <c r="K558" i="7"/>
  <c r="H558" i="7"/>
  <c r="U558" i="7" s="1"/>
  <c r="C558" i="7"/>
  <c r="E558" i="7" s="1"/>
  <c r="F558" i="7" s="1"/>
  <c r="I558" i="7" s="1"/>
  <c r="U557" i="7"/>
  <c r="L557" i="7"/>
  <c r="K557" i="7"/>
  <c r="H557" i="7"/>
  <c r="C557" i="7"/>
  <c r="E557" i="7" s="1"/>
  <c r="F557" i="7" s="1"/>
  <c r="U556" i="7"/>
  <c r="L556" i="7"/>
  <c r="K556" i="7"/>
  <c r="H556" i="7"/>
  <c r="C556" i="7"/>
  <c r="E556" i="7" s="1"/>
  <c r="F556" i="7" s="1"/>
  <c r="U555" i="7"/>
  <c r="L555" i="7"/>
  <c r="K555" i="7"/>
  <c r="H555" i="7"/>
  <c r="C555" i="7"/>
  <c r="E555" i="7" s="1"/>
  <c r="F555" i="7" s="1"/>
  <c r="L554" i="7"/>
  <c r="J554" i="7" s="1"/>
  <c r="K554" i="7"/>
  <c r="H554" i="7"/>
  <c r="U554" i="7" s="1"/>
  <c r="E554" i="7"/>
  <c r="F554" i="7" s="1"/>
  <c r="C554" i="7"/>
  <c r="L553" i="7"/>
  <c r="K553" i="7"/>
  <c r="H553" i="7"/>
  <c r="U553" i="7" s="1"/>
  <c r="C553" i="7"/>
  <c r="E553" i="7" s="1"/>
  <c r="F553" i="7" s="1"/>
  <c r="L552" i="7"/>
  <c r="K552" i="7"/>
  <c r="H552" i="7"/>
  <c r="U552" i="7" s="1"/>
  <c r="E552" i="7"/>
  <c r="F552" i="7" s="1"/>
  <c r="C552" i="7"/>
  <c r="L551" i="7"/>
  <c r="K551" i="7"/>
  <c r="H551" i="7"/>
  <c r="U551" i="7" s="1"/>
  <c r="C551" i="7"/>
  <c r="E551" i="7" s="1"/>
  <c r="F551" i="7" s="1"/>
  <c r="L550" i="7"/>
  <c r="K550" i="7"/>
  <c r="H550" i="7"/>
  <c r="U550" i="7" s="1"/>
  <c r="C550" i="7"/>
  <c r="E550" i="7" s="1"/>
  <c r="F550" i="7" s="1"/>
  <c r="U549" i="7"/>
  <c r="L549" i="7"/>
  <c r="K549" i="7"/>
  <c r="H549" i="7"/>
  <c r="E549" i="7"/>
  <c r="F549" i="7" s="1"/>
  <c r="C549" i="7"/>
  <c r="L548" i="7"/>
  <c r="K548" i="7"/>
  <c r="H548" i="7"/>
  <c r="U548" i="7" s="1"/>
  <c r="E548" i="7"/>
  <c r="F548" i="7" s="1"/>
  <c r="C548" i="7"/>
  <c r="U547" i="7"/>
  <c r="L547" i="7"/>
  <c r="K547" i="7"/>
  <c r="H547" i="7"/>
  <c r="C547" i="7"/>
  <c r="E547" i="7" s="1"/>
  <c r="F547" i="7" s="1"/>
  <c r="L546" i="7"/>
  <c r="K546" i="7"/>
  <c r="H546" i="7"/>
  <c r="U546" i="7" s="1"/>
  <c r="C546" i="7"/>
  <c r="E546" i="7" s="1"/>
  <c r="F546" i="7" s="1"/>
  <c r="U545" i="7"/>
  <c r="L545" i="7"/>
  <c r="K545" i="7"/>
  <c r="H545" i="7"/>
  <c r="C545" i="7"/>
  <c r="E545" i="7" s="1"/>
  <c r="F545" i="7" s="1"/>
  <c r="L544" i="7"/>
  <c r="K544" i="7"/>
  <c r="H544" i="7"/>
  <c r="U544" i="7" s="1"/>
  <c r="C544" i="7"/>
  <c r="E544" i="7" s="1"/>
  <c r="F544" i="7" s="1"/>
  <c r="L543" i="7"/>
  <c r="K543" i="7"/>
  <c r="H543" i="7"/>
  <c r="U543" i="7" s="1"/>
  <c r="C543" i="7"/>
  <c r="E543" i="7" s="1"/>
  <c r="F543" i="7" s="1"/>
  <c r="J543" i="7" s="1"/>
  <c r="L542" i="7"/>
  <c r="K542" i="7"/>
  <c r="H542" i="7"/>
  <c r="U542" i="7" s="1"/>
  <c r="C542" i="7"/>
  <c r="E542" i="7" s="1"/>
  <c r="F542" i="7" s="1"/>
  <c r="U541" i="7"/>
  <c r="L541" i="7"/>
  <c r="K541" i="7"/>
  <c r="H541" i="7"/>
  <c r="C541" i="7"/>
  <c r="E541" i="7" s="1"/>
  <c r="F541" i="7" s="1"/>
  <c r="L540" i="7"/>
  <c r="K540" i="7"/>
  <c r="H540" i="7"/>
  <c r="U540" i="7" s="1"/>
  <c r="C540" i="7"/>
  <c r="E540" i="7" s="1"/>
  <c r="F540" i="7" s="1"/>
  <c r="L539" i="7"/>
  <c r="K539" i="7"/>
  <c r="H539" i="7"/>
  <c r="U539" i="7" s="1"/>
  <c r="C539" i="7"/>
  <c r="E539" i="7" s="1"/>
  <c r="F539" i="7" s="1"/>
  <c r="L538" i="7"/>
  <c r="K538" i="7"/>
  <c r="J538" i="7"/>
  <c r="H538" i="7"/>
  <c r="U538" i="7" s="1"/>
  <c r="C538" i="7"/>
  <c r="E538" i="7" s="1"/>
  <c r="F538" i="7" s="1"/>
  <c r="U537" i="7"/>
  <c r="L537" i="7"/>
  <c r="K537" i="7"/>
  <c r="H537" i="7"/>
  <c r="C537" i="7"/>
  <c r="E537" i="7" s="1"/>
  <c r="F537" i="7" s="1"/>
  <c r="U536" i="7"/>
  <c r="L536" i="7"/>
  <c r="K536" i="7"/>
  <c r="H536" i="7"/>
  <c r="E536" i="7"/>
  <c r="F536" i="7" s="1"/>
  <c r="C536" i="7"/>
  <c r="L535" i="7"/>
  <c r="K535" i="7"/>
  <c r="H535" i="7"/>
  <c r="U535" i="7" s="1"/>
  <c r="C535" i="7"/>
  <c r="E535" i="7" s="1"/>
  <c r="F535" i="7" s="1"/>
  <c r="L534" i="7"/>
  <c r="K534" i="7"/>
  <c r="H534" i="7"/>
  <c r="U534" i="7" s="1"/>
  <c r="C534" i="7"/>
  <c r="E534" i="7" s="1"/>
  <c r="F534" i="7" s="1"/>
  <c r="J534" i="7" s="1"/>
  <c r="L533" i="7"/>
  <c r="K533" i="7"/>
  <c r="H533" i="7"/>
  <c r="U533" i="7" s="1"/>
  <c r="C533" i="7"/>
  <c r="E533" i="7" s="1"/>
  <c r="F533" i="7" s="1"/>
  <c r="L532" i="7"/>
  <c r="K532" i="7"/>
  <c r="H532" i="7"/>
  <c r="U532" i="7" s="1"/>
  <c r="E532" i="7"/>
  <c r="F532" i="7" s="1"/>
  <c r="C532" i="7"/>
  <c r="L531" i="7"/>
  <c r="K531" i="7"/>
  <c r="H531" i="7"/>
  <c r="U531" i="7" s="1"/>
  <c r="C531" i="7"/>
  <c r="E531" i="7" s="1"/>
  <c r="F531" i="7" s="1"/>
  <c r="L530" i="7"/>
  <c r="K530" i="7"/>
  <c r="H530" i="7"/>
  <c r="U530" i="7" s="1"/>
  <c r="C530" i="7"/>
  <c r="E530" i="7" s="1"/>
  <c r="F530" i="7" s="1"/>
  <c r="U529" i="7"/>
  <c r="L529" i="7"/>
  <c r="K529" i="7"/>
  <c r="H529" i="7"/>
  <c r="C529" i="7"/>
  <c r="E529" i="7" s="1"/>
  <c r="F529" i="7" s="1"/>
  <c r="L528" i="7"/>
  <c r="K528" i="7"/>
  <c r="H528" i="7"/>
  <c r="U528" i="7" s="1"/>
  <c r="C528" i="7"/>
  <c r="E528" i="7" s="1"/>
  <c r="F528" i="7" s="1"/>
  <c r="U527" i="7"/>
  <c r="L527" i="7"/>
  <c r="K527" i="7"/>
  <c r="H527" i="7"/>
  <c r="C527" i="7"/>
  <c r="E527" i="7" s="1"/>
  <c r="F527" i="7" s="1"/>
  <c r="L526" i="7"/>
  <c r="K526" i="7"/>
  <c r="H526" i="7"/>
  <c r="U526" i="7" s="1"/>
  <c r="C526" i="7"/>
  <c r="E526" i="7" s="1"/>
  <c r="F526" i="7" s="1"/>
  <c r="L525" i="7"/>
  <c r="K525" i="7"/>
  <c r="H525" i="7"/>
  <c r="U525" i="7" s="1"/>
  <c r="C525" i="7"/>
  <c r="E525" i="7" s="1"/>
  <c r="F525" i="7" s="1"/>
  <c r="L524" i="7"/>
  <c r="K524" i="7"/>
  <c r="H524" i="7"/>
  <c r="U524" i="7" s="1"/>
  <c r="C524" i="7"/>
  <c r="E524" i="7" s="1"/>
  <c r="F524" i="7" s="1"/>
  <c r="L523" i="7"/>
  <c r="K523" i="7"/>
  <c r="H523" i="7"/>
  <c r="U523" i="7" s="1"/>
  <c r="C523" i="7"/>
  <c r="E523" i="7" s="1"/>
  <c r="F523" i="7" s="1"/>
  <c r="L522" i="7"/>
  <c r="K522" i="7"/>
  <c r="H522" i="7"/>
  <c r="U522" i="7" s="1"/>
  <c r="E522" i="7"/>
  <c r="F522" i="7" s="1"/>
  <c r="C522" i="7"/>
  <c r="L521" i="7"/>
  <c r="K521" i="7"/>
  <c r="H521" i="7"/>
  <c r="U521" i="7" s="1"/>
  <c r="C521" i="7"/>
  <c r="E521" i="7" s="1"/>
  <c r="F521" i="7" s="1"/>
  <c r="L520" i="7"/>
  <c r="K520" i="7"/>
  <c r="H520" i="7"/>
  <c r="U520" i="7" s="1"/>
  <c r="C520" i="7"/>
  <c r="E520" i="7" s="1"/>
  <c r="F520" i="7" s="1"/>
  <c r="L519" i="7"/>
  <c r="K519" i="7"/>
  <c r="H519" i="7"/>
  <c r="U519" i="7" s="1"/>
  <c r="C519" i="7"/>
  <c r="E519" i="7" s="1"/>
  <c r="F519" i="7" s="1"/>
  <c r="L518" i="7"/>
  <c r="K518" i="7"/>
  <c r="H518" i="7"/>
  <c r="U518" i="7" s="1"/>
  <c r="C518" i="7"/>
  <c r="E518" i="7" s="1"/>
  <c r="F518" i="7" s="1"/>
  <c r="L517" i="7"/>
  <c r="K517" i="7"/>
  <c r="H517" i="7"/>
  <c r="U517" i="7" s="1"/>
  <c r="C517" i="7"/>
  <c r="E517" i="7" s="1"/>
  <c r="F517" i="7" s="1"/>
  <c r="L516" i="7"/>
  <c r="K516" i="7"/>
  <c r="H516" i="7"/>
  <c r="U516" i="7" s="1"/>
  <c r="C516" i="7"/>
  <c r="E516" i="7" s="1"/>
  <c r="F516" i="7" s="1"/>
  <c r="L515" i="7"/>
  <c r="K515" i="7"/>
  <c r="H515" i="7"/>
  <c r="U515" i="7" s="1"/>
  <c r="C515" i="7"/>
  <c r="E515" i="7" s="1"/>
  <c r="F515" i="7" s="1"/>
  <c r="L514" i="7"/>
  <c r="K514" i="7"/>
  <c r="H514" i="7"/>
  <c r="U514" i="7" s="1"/>
  <c r="C514" i="7"/>
  <c r="E514" i="7" s="1"/>
  <c r="F514" i="7" s="1"/>
  <c r="L513" i="7"/>
  <c r="K513" i="7"/>
  <c r="H513" i="7"/>
  <c r="U513" i="7" s="1"/>
  <c r="C513" i="7"/>
  <c r="E513" i="7" s="1"/>
  <c r="F513" i="7" s="1"/>
  <c r="L512" i="7"/>
  <c r="K512" i="7"/>
  <c r="H512" i="7"/>
  <c r="U512" i="7" s="1"/>
  <c r="C512" i="7"/>
  <c r="E512" i="7" s="1"/>
  <c r="F512" i="7" s="1"/>
  <c r="L511" i="7"/>
  <c r="K511" i="7"/>
  <c r="H511" i="7"/>
  <c r="U511" i="7" s="1"/>
  <c r="C511" i="7"/>
  <c r="E511" i="7" s="1"/>
  <c r="F511" i="7" s="1"/>
  <c r="L510" i="7"/>
  <c r="K510" i="7"/>
  <c r="H510" i="7"/>
  <c r="U510" i="7" s="1"/>
  <c r="C510" i="7"/>
  <c r="E510" i="7" s="1"/>
  <c r="F510" i="7" s="1"/>
  <c r="L509" i="7"/>
  <c r="K509" i="7"/>
  <c r="H509" i="7"/>
  <c r="U509" i="7" s="1"/>
  <c r="C509" i="7"/>
  <c r="E509" i="7" s="1"/>
  <c r="F509" i="7" s="1"/>
  <c r="L508" i="7"/>
  <c r="K508" i="7"/>
  <c r="H508" i="7"/>
  <c r="U508" i="7" s="1"/>
  <c r="C508" i="7"/>
  <c r="E508" i="7" s="1"/>
  <c r="F508" i="7" s="1"/>
  <c r="L507" i="7"/>
  <c r="I507" i="7" s="1"/>
  <c r="K507" i="7"/>
  <c r="H507" i="7"/>
  <c r="U507" i="7" s="1"/>
  <c r="C507" i="7"/>
  <c r="E507" i="7" s="1"/>
  <c r="F507" i="7" s="1"/>
  <c r="L506" i="7"/>
  <c r="K506" i="7"/>
  <c r="H506" i="7"/>
  <c r="U506" i="7" s="1"/>
  <c r="C506" i="7"/>
  <c r="E506" i="7" s="1"/>
  <c r="F506" i="7" s="1"/>
  <c r="L505" i="7"/>
  <c r="K505" i="7"/>
  <c r="H505" i="7"/>
  <c r="U505" i="7" s="1"/>
  <c r="C505" i="7"/>
  <c r="E505" i="7" s="1"/>
  <c r="F505" i="7" s="1"/>
  <c r="U504" i="7"/>
  <c r="L504" i="7"/>
  <c r="K504" i="7"/>
  <c r="H504" i="7"/>
  <c r="C504" i="7"/>
  <c r="E504" i="7" s="1"/>
  <c r="F504" i="7" s="1"/>
  <c r="L503" i="7"/>
  <c r="K503" i="7"/>
  <c r="H503" i="7"/>
  <c r="U503" i="7" s="1"/>
  <c r="C503" i="7"/>
  <c r="E503" i="7" s="1"/>
  <c r="F503" i="7" s="1"/>
  <c r="L502" i="7"/>
  <c r="K502" i="7"/>
  <c r="H502" i="7"/>
  <c r="U502" i="7" s="1"/>
  <c r="E502" i="7"/>
  <c r="F502" i="7" s="1"/>
  <c r="C502" i="7"/>
  <c r="L501" i="7"/>
  <c r="K501" i="7"/>
  <c r="H501" i="7"/>
  <c r="U501" i="7" s="1"/>
  <c r="C501" i="7"/>
  <c r="E501" i="7" s="1"/>
  <c r="F501" i="7" s="1"/>
  <c r="L500" i="7"/>
  <c r="K500" i="7"/>
  <c r="H500" i="7"/>
  <c r="U500" i="7" s="1"/>
  <c r="C500" i="7"/>
  <c r="E500" i="7" s="1"/>
  <c r="F500" i="7" s="1"/>
  <c r="U499" i="7"/>
  <c r="L499" i="7"/>
  <c r="K499" i="7"/>
  <c r="H499" i="7"/>
  <c r="C499" i="7"/>
  <c r="E499" i="7" s="1"/>
  <c r="F499" i="7" s="1"/>
  <c r="L498" i="7"/>
  <c r="K498" i="7"/>
  <c r="H498" i="7"/>
  <c r="U498" i="7" s="1"/>
  <c r="C498" i="7"/>
  <c r="E498" i="7" s="1"/>
  <c r="F498" i="7" s="1"/>
  <c r="U497" i="7"/>
  <c r="L497" i="7"/>
  <c r="K497" i="7"/>
  <c r="H497" i="7"/>
  <c r="C497" i="7"/>
  <c r="E497" i="7" s="1"/>
  <c r="F497" i="7" s="1"/>
  <c r="L496" i="7"/>
  <c r="K496" i="7"/>
  <c r="H496" i="7"/>
  <c r="U496" i="7" s="1"/>
  <c r="C496" i="7"/>
  <c r="E496" i="7" s="1"/>
  <c r="F496" i="7" s="1"/>
  <c r="L495" i="7"/>
  <c r="K495" i="7"/>
  <c r="H495" i="7"/>
  <c r="U495" i="7" s="1"/>
  <c r="C495" i="7"/>
  <c r="E495" i="7" s="1"/>
  <c r="F495" i="7" s="1"/>
  <c r="J495" i="7" s="1"/>
  <c r="L494" i="7"/>
  <c r="K494" i="7"/>
  <c r="H494" i="7"/>
  <c r="U494" i="7" s="1"/>
  <c r="E494" i="7"/>
  <c r="F494" i="7" s="1"/>
  <c r="C494" i="7"/>
  <c r="L493" i="7"/>
  <c r="K493" i="7"/>
  <c r="H493" i="7"/>
  <c r="U493" i="7" s="1"/>
  <c r="C493" i="7"/>
  <c r="E493" i="7" s="1"/>
  <c r="F493" i="7" s="1"/>
  <c r="L492" i="7"/>
  <c r="K492" i="7"/>
  <c r="H492" i="7"/>
  <c r="U492" i="7" s="1"/>
  <c r="E492" i="7"/>
  <c r="F492" i="7" s="1"/>
  <c r="C492" i="7"/>
  <c r="U491" i="7"/>
  <c r="L491" i="7"/>
  <c r="K491" i="7"/>
  <c r="H491" i="7"/>
  <c r="C491" i="7"/>
  <c r="E491" i="7" s="1"/>
  <c r="F491" i="7" s="1"/>
  <c r="J491" i="7" s="1"/>
  <c r="L490" i="7"/>
  <c r="K490" i="7"/>
  <c r="H490" i="7"/>
  <c r="U490" i="7" s="1"/>
  <c r="C490" i="7"/>
  <c r="E490" i="7" s="1"/>
  <c r="F490" i="7" s="1"/>
  <c r="J490" i="7" s="1"/>
  <c r="L489" i="7"/>
  <c r="I489" i="7" s="1"/>
  <c r="K489" i="7"/>
  <c r="H489" i="7"/>
  <c r="U489" i="7" s="1"/>
  <c r="C489" i="7"/>
  <c r="E489" i="7" s="1"/>
  <c r="F489" i="7" s="1"/>
  <c r="L488" i="7"/>
  <c r="K488" i="7"/>
  <c r="H488" i="7"/>
  <c r="U488" i="7" s="1"/>
  <c r="C488" i="7"/>
  <c r="E488" i="7" s="1"/>
  <c r="F488" i="7" s="1"/>
  <c r="U487" i="7"/>
  <c r="L487" i="7"/>
  <c r="K487" i="7"/>
  <c r="H487" i="7"/>
  <c r="C487" i="7"/>
  <c r="E487" i="7" s="1"/>
  <c r="F487" i="7" s="1"/>
  <c r="L486" i="7"/>
  <c r="K486" i="7"/>
  <c r="H486" i="7"/>
  <c r="U486" i="7" s="1"/>
  <c r="C486" i="7"/>
  <c r="E486" i="7" s="1"/>
  <c r="F486" i="7" s="1"/>
  <c r="I486" i="7" s="1"/>
  <c r="U485" i="7"/>
  <c r="L485" i="7"/>
  <c r="K485" i="7"/>
  <c r="H485" i="7"/>
  <c r="C485" i="7"/>
  <c r="E485" i="7" s="1"/>
  <c r="F485" i="7" s="1"/>
  <c r="L484" i="7"/>
  <c r="K484" i="7"/>
  <c r="H484" i="7"/>
  <c r="U484" i="7" s="1"/>
  <c r="C484" i="7"/>
  <c r="E484" i="7" s="1"/>
  <c r="F484" i="7" s="1"/>
  <c r="L483" i="7"/>
  <c r="K483" i="7"/>
  <c r="H483" i="7"/>
  <c r="U483" i="7" s="1"/>
  <c r="C483" i="7"/>
  <c r="E483" i="7" s="1"/>
  <c r="F483" i="7" s="1"/>
  <c r="L482" i="7"/>
  <c r="K482" i="7"/>
  <c r="H482" i="7"/>
  <c r="U482" i="7" s="1"/>
  <c r="C482" i="7"/>
  <c r="E482" i="7" s="1"/>
  <c r="F482" i="7" s="1"/>
  <c r="U481" i="7"/>
  <c r="L481" i="7"/>
  <c r="K481" i="7"/>
  <c r="H481" i="7"/>
  <c r="C481" i="7"/>
  <c r="E481" i="7" s="1"/>
  <c r="F481" i="7" s="1"/>
  <c r="L480" i="7"/>
  <c r="K480" i="7"/>
  <c r="H480" i="7"/>
  <c r="U480" i="7" s="1"/>
  <c r="C480" i="7"/>
  <c r="E480" i="7" s="1"/>
  <c r="F480" i="7" s="1"/>
  <c r="L479" i="7"/>
  <c r="K479" i="7"/>
  <c r="H479" i="7"/>
  <c r="U479" i="7" s="1"/>
  <c r="C479" i="7"/>
  <c r="E479" i="7" s="1"/>
  <c r="F479" i="7" s="1"/>
  <c r="I479" i="7" s="1"/>
  <c r="L478" i="7"/>
  <c r="K478" i="7"/>
  <c r="H478" i="7"/>
  <c r="U478" i="7" s="1"/>
  <c r="C478" i="7"/>
  <c r="E478" i="7" s="1"/>
  <c r="F478" i="7" s="1"/>
  <c r="L477" i="7"/>
  <c r="K477" i="7"/>
  <c r="H477" i="7"/>
  <c r="U477" i="7" s="1"/>
  <c r="C477" i="7"/>
  <c r="E477" i="7" s="1"/>
  <c r="F477" i="7" s="1"/>
  <c r="U476" i="7"/>
  <c r="L476" i="7"/>
  <c r="K476" i="7"/>
  <c r="H476" i="7"/>
  <c r="C476" i="7"/>
  <c r="E476" i="7" s="1"/>
  <c r="F476" i="7" s="1"/>
  <c r="L475" i="7"/>
  <c r="K475" i="7"/>
  <c r="H475" i="7"/>
  <c r="U475" i="7" s="1"/>
  <c r="C475" i="7"/>
  <c r="E475" i="7" s="1"/>
  <c r="F475" i="7" s="1"/>
  <c r="L474" i="7"/>
  <c r="K474" i="7"/>
  <c r="H474" i="7"/>
  <c r="U474" i="7" s="1"/>
  <c r="C474" i="7"/>
  <c r="E474" i="7" s="1"/>
  <c r="F474" i="7" s="1"/>
  <c r="L473" i="7"/>
  <c r="K473" i="7"/>
  <c r="H473" i="7"/>
  <c r="U473" i="7" s="1"/>
  <c r="C473" i="7"/>
  <c r="E473" i="7" s="1"/>
  <c r="F473" i="7" s="1"/>
  <c r="L472" i="7"/>
  <c r="K472" i="7"/>
  <c r="H472" i="7"/>
  <c r="U472" i="7" s="1"/>
  <c r="C472" i="7"/>
  <c r="E472" i="7" s="1"/>
  <c r="F472" i="7" s="1"/>
  <c r="L471" i="7"/>
  <c r="K471" i="7"/>
  <c r="H471" i="7"/>
  <c r="U471" i="7" s="1"/>
  <c r="C471" i="7"/>
  <c r="E471" i="7" s="1"/>
  <c r="F471" i="7" s="1"/>
  <c r="L470" i="7"/>
  <c r="K470" i="7"/>
  <c r="H470" i="7"/>
  <c r="U470" i="7" s="1"/>
  <c r="C470" i="7"/>
  <c r="E470" i="7" s="1"/>
  <c r="F470" i="7" s="1"/>
  <c r="U469" i="7"/>
  <c r="L469" i="7"/>
  <c r="K469" i="7"/>
  <c r="H469" i="7"/>
  <c r="C469" i="7"/>
  <c r="E469" i="7" s="1"/>
  <c r="F469" i="7" s="1"/>
  <c r="U468" i="7"/>
  <c r="L468" i="7"/>
  <c r="K468" i="7"/>
  <c r="H468" i="7"/>
  <c r="C468" i="7"/>
  <c r="E468" i="7" s="1"/>
  <c r="F468" i="7" s="1"/>
  <c r="L467" i="7"/>
  <c r="K467" i="7"/>
  <c r="H467" i="7"/>
  <c r="U467" i="7" s="1"/>
  <c r="C467" i="7"/>
  <c r="E467" i="7" s="1"/>
  <c r="F467" i="7" s="1"/>
  <c r="L466" i="7"/>
  <c r="K466" i="7"/>
  <c r="H466" i="7"/>
  <c r="U466" i="7" s="1"/>
  <c r="C466" i="7"/>
  <c r="E466" i="7" s="1"/>
  <c r="F466" i="7" s="1"/>
  <c r="U465" i="7"/>
  <c r="L465" i="7"/>
  <c r="K465" i="7"/>
  <c r="H465" i="7"/>
  <c r="C465" i="7"/>
  <c r="E465" i="7" s="1"/>
  <c r="F465" i="7" s="1"/>
  <c r="L464" i="7"/>
  <c r="K464" i="7"/>
  <c r="H464" i="7"/>
  <c r="U464" i="7" s="1"/>
  <c r="C464" i="7"/>
  <c r="E464" i="7" s="1"/>
  <c r="F464" i="7" s="1"/>
  <c r="L463" i="7"/>
  <c r="K463" i="7"/>
  <c r="H463" i="7"/>
  <c r="U463" i="7" s="1"/>
  <c r="C463" i="7"/>
  <c r="E463" i="7" s="1"/>
  <c r="F463" i="7" s="1"/>
  <c r="L462" i="7"/>
  <c r="K462" i="7"/>
  <c r="H462" i="7"/>
  <c r="U462" i="7" s="1"/>
  <c r="E462" i="7"/>
  <c r="F462" i="7" s="1"/>
  <c r="C462" i="7"/>
  <c r="L461" i="7"/>
  <c r="K461" i="7"/>
  <c r="H461" i="7"/>
  <c r="U461" i="7" s="1"/>
  <c r="C461" i="7"/>
  <c r="E461" i="7" s="1"/>
  <c r="F461" i="7" s="1"/>
  <c r="L460" i="7"/>
  <c r="K460" i="7"/>
  <c r="H460" i="7"/>
  <c r="U460" i="7" s="1"/>
  <c r="C460" i="7"/>
  <c r="E460" i="7" s="1"/>
  <c r="F460" i="7" s="1"/>
  <c r="U459" i="7"/>
  <c r="L459" i="7"/>
  <c r="K459" i="7"/>
  <c r="H459" i="7"/>
  <c r="C459" i="7"/>
  <c r="E459" i="7" s="1"/>
  <c r="F459" i="7" s="1"/>
  <c r="L458" i="7"/>
  <c r="K458" i="7"/>
  <c r="H458" i="7"/>
  <c r="U458" i="7" s="1"/>
  <c r="E458" i="7"/>
  <c r="F458" i="7" s="1"/>
  <c r="C458" i="7"/>
  <c r="L457" i="7"/>
  <c r="K457" i="7"/>
  <c r="H457" i="7"/>
  <c r="U457" i="7" s="1"/>
  <c r="C457" i="7"/>
  <c r="E457" i="7" s="1"/>
  <c r="F457" i="7" s="1"/>
  <c r="L456" i="7"/>
  <c r="K456" i="7"/>
  <c r="H456" i="7"/>
  <c r="U456" i="7" s="1"/>
  <c r="C456" i="7"/>
  <c r="E456" i="7" s="1"/>
  <c r="F456" i="7" s="1"/>
  <c r="L455" i="7"/>
  <c r="J455" i="7" s="1"/>
  <c r="K455" i="7"/>
  <c r="H455" i="7"/>
  <c r="U455" i="7" s="1"/>
  <c r="C455" i="7"/>
  <c r="E455" i="7" s="1"/>
  <c r="F455" i="7" s="1"/>
  <c r="L454" i="7"/>
  <c r="K454" i="7"/>
  <c r="H454" i="7"/>
  <c r="U454" i="7" s="1"/>
  <c r="C454" i="7"/>
  <c r="E454" i="7" s="1"/>
  <c r="F454" i="7" s="1"/>
  <c r="L453" i="7"/>
  <c r="K453" i="7"/>
  <c r="H453" i="7"/>
  <c r="U453" i="7" s="1"/>
  <c r="C453" i="7"/>
  <c r="E453" i="7" s="1"/>
  <c r="F453" i="7" s="1"/>
  <c r="L452" i="7"/>
  <c r="K452" i="7"/>
  <c r="H452" i="7"/>
  <c r="U452" i="7" s="1"/>
  <c r="C452" i="7"/>
  <c r="E452" i="7" s="1"/>
  <c r="F452" i="7" s="1"/>
  <c r="L451" i="7"/>
  <c r="K451" i="7"/>
  <c r="H451" i="7"/>
  <c r="U451" i="7" s="1"/>
  <c r="C451" i="7"/>
  <c r="E451" i="7" s="1"/>
  <c r="F451" i="7" s="1"/>
  <c r="L450" i="7"/>
  <c r="K450" i="7"/>
  <c r="H450" i="7"/>
  <c r="U450" i="7" s="1"/>
  <c r="E450" i="7"/>
  <c r="F450" i="7" s="1"/>
  <c r="I450" i="7" s="1"/>
  <c r="C450" i="7"/>
  <c r="L449" i="7"/>
  <c r="K449" i="7"/>
  <c r="H449" i="7"/>
  <c r="U449" i="7" s="1"/>
  <c r="C449" i="7"/>
  <c r="E449" i="7" s="1"/>
  <c r="F449" i="7" s="1"/>
  <c r="L448" i="7"/>
  <c r="K448" i="7"/>
  <c r="H448" i="7"/>
  <c r="U448" i="7" s="1"/>
  <c r="C448" i="7"/>
  <c r="E448" i="7" s="1"/>
  <c r="F448" i="7" s="1"/>
  <c r="L447" i="7"/>
  <c r="K447" i="7"/>
  <c r="H447" i="7"/>
  <c r="U447" i="7" s="1"/>
  <c r="C447" i="7"/>
  <c r="E447" i="7" s="1"/>
  <c r="F447" i="7" s="1"/>
  <c r="I447" i="7" s="1"/>
  <c r="L446" i="7"/>
  <c r="K446" i="7"/>
  <c r="H446" i="7"/>
  <c r="U446" i="7" s="1"/>
  <c r="F446" i="7"/>
  <c r="E446" i="7"/>
  <c r="C446" i="7"/>
  <c r="L445" i="7"/>
  <c r="K445" i="7"/>
  <c r="H445" i="7"/>
  <c r="U445" i="7" s="1"/>
  <c r="C445" i="7"/>
  <c r="E445" i="7" s="1"/>
  <c r="F445" i="7" s="1"/>
  <c r="U444" i="7"/>
  <c r="L444" i="7"/>
  <c r="K444" i="7"/>
  <c r="H444" i="7"/>
  <c r="E444" i="7"/>
  <c r="F444" i="7" s="1"/>
  <c r="C444" i="7"/>
  <c r="L443" i="7"/>
  <c r="K443" i="7"/>
  <c r="H443" i="7"/>
  <c r="U443" i="7" s="1"/>
  <c r="C443" i="7"/>
  <c r="E443" i="7" s="1"/>
  <c r="F443" i="7" s="1"/>
  <c r="L442" i="7"/>
  <c r="K442" i="7"/>
  <c r="H442" i="7"/>
  <c r="U442" i="7" s="1"/>
  <c r="C442" i="7"/>
  <c r="E442" i="7" s="1"/>
  <c r="F442" i="7" s="1"/>
  <c r="U441" i="7"/>
  <c r="L441" i="7"/>
  <c r="K441" i="7"/>
  <c r="H441" i="7"/>
  <c r="C441" i="7"/>
  <c r="E441" i="7" s="1"/>
  <c r="F441" i="7" s="1"/>
  <c r="L440" i="7"/>
  <c r="K440" i="7"/>
  <c r="H440" i="7"/>
  <c r="U440" i="7" s="1"/>
  <c r="C440" i="7"/>
  <c r="E440" i="7" s="1"/>
  <c r="F440" i="7" s="1"/>
  <c r="U439" i="7"/>
  <c r="L439" i="7"/>
  <c r="K439" i="7"/>
  <c r="H439" i="7"/>
  <c r="C439" i="7"/>
  <c r="E439" i="7" s="1"/>
  <c r="F439" i="7" s="1"/>
  <c r="L438" i="7"/>
  <c r="K438" i="7"/>
  <c r="H438" i="7"/>
  <c r="U438" i="7" s="1"/>
  <c r="C438" i="7"/>
  <c r="E438" i="7" s="1"/>
  <c r="F438" i="7" s="1"/>
  <c r="L437" i="7"/>
  <c r="K437" i="7"/>
  <c r="H437" i="7"/>
  <c r="U437" i="7" s="1"/>
  <c r="C437" i="7"/>
  <c r="E437" i="7" s="1"/>
  <c r="F437" i="7" s="1"/>
  <c r="J437" i="7" s="1"/>
  <c r="L436" i="7"/>
  <c r="K436" i="7"/>
  <c r="H436" i="7"/>
  <c r="U436" i="7" s="1"/>
  <c r="C436" i="7"/>
  <c r="E436" i="7" s="1"/>
  <c r="F436" i="7" s="1"/>
  <c r="L435" i="7"/>
  <c r="J435" i="7" s="1"/>
  <c r="K435" i="7"/>
  <c r="H435" i="7"/>
  <c r="U435" i="7" s="1"/>
  <c r="C435" i="7"/>
  <c r="E435" i="7" s="1"/>
  <c r="F435" i="7" s="1"/>
  <c r="L434" i="7"/>
  <c r="K434" i="7"/>
  <c r="H434" i="7"/>
  <c r="U434" i="7" s="1"/>
  <c r="C434" i="7"/>
  <c r="E434" i="7" s="1"/>
  <c r="F434" i="7" s="1"/>
  <c r="U433" i="7"/>
  <c r="L433" i="7"/>
  <c r="K433" i="7"/>
  <c r="H433" i="7"/>
  <c r="C433" i="7"/>
  <c r="E433" i="7" s="1"/>
  <c r="F433" i="7" s="1"/>
  <c r="L432" i="7"/>
  <c r="K432" i="7"/>
  <c r="H432" i="7"/>
  <c r="U432" i="7" s="1"/>
  <c r="C432" i="7"/>
  <c r="E432" i="7" s="1"/>
  <c r="F432" i="7" s="1"/>
  <c r="L431" i="7"/>
  <c r="K431" i="7"/>
  <c r="H431" i="7"/>
  <c r="U431" i="7" s="1"/>
  <c r="C431" i="7"/>
  <c r="E431" i="7" s="1"/>
  <c r="F431" i="7" s="1"/>
  <c r="L430" i="7"/>
  <c r="K430" i="7"/>
  <c r="H430" i="7"/>
  <c r="U430" i="7" s="1"/>
  <c r="E430" i="7"/>
  <c r="F430" i="7" s="1"/>
  <c r="C430" i="7"/>
  <c r="U429" i="7"/>
  <c r="L429" i="7"/>
  <c r="K429" i="7"/>
  <c r="H429" i="7"/>
  <c r="C429" i="7"/>
  <c r="E429" i="7" s="1"/>
  <c r="F429" i="7" s="1"/>
  <c r="U428" i="7"/>
  <c r="L428" i="7"/>
  <c r="K428" i="7"/>
  <c r="H428" i="7"/>
  <c r="C428" i="7"/>
  <c r="E428" i="7" s="1"/>
  <c r="F428" i="7" s="1"/>
  <c r="L427" i="7"/>
  <c r="K427" i="7"/>
  <c r="H427" i="7"/>
  <c r="U427" i="7" s="1"/>
  <c r="C427" i="7"/>
  <c r="E427" i="7" s="1"/>
  <c r="F427" i="7" s="1"/>
  <c r="L426" i="7"/>
  <c r="K426" i="7"/>
  <c r="H426" i="7"/>
  <c r="U426" i="7" s="1"/>
  <c r="E426" i="7"/>
  <c r="F426" i="7" s="1"/>
  <c r="C426" i="7"/>
  <c r="L425" i="7"/>
  <c r="K425" i="7"/>
  <c r="H425" i="7"/>
  <c r="U425" i="7" s="1"/>
  <c r="C425" i="7"/>
  <c r="E425" i="7" s="1"/>
  <c r="F425" i="7" s="1"/>
  <c r="U424" i="7"/>
  <c r="L424" i="7"/>
  <c r="K424" i="7"/>
  <c r="H424" i="7"/>
  <c r="C424" i="7"/>
  <c r="E424" i="7" s="1"/>
  <c r="F424" i="7" s="1"/>
  <c r="L423" i="7"/>
  <c r="K423" i="7"/>
  <c r="H423" i="7"/>
  <c r="U423" i="7" s="1"/>
  <c r="C423" i="7"/>
  <c r="E423" i="7" s="1"/>
  <c r="F423" i="7" s="1"/>
  <c r="L422" i="7"/>
  <c r="K422" i="7"/>
  <c r="H422" i="7"/>
  <c r="U422" i="7" s="1"/>
  <c r="E422" i="7"/>
  <c r="F422" i="7" s="1"/>
  <c r="C422" i="7"/>
  <c r="L421" i="7"/>
  <c r="K421" i="7"/>
  <c r="H421" i="7"/>
  <c r="U421" i="7" s="1"/>
  <c r="F421" i="7"/>
  <c r="C421" i="7"/>
  <c r="E421" i="7" s="1"/>
  <c r="L420" i="7"/>
  <c r="K420" i="7"/>
  <c r="H420" i="7"/>
  <c r="U420" i="7" s="1"/>
  <c r="C420" i="7"/>
  <c r="E420" i="7" s="1"/>
  <c r="F420" i="7" s="1"/>
  <c r="L419" i="7"/>
  <c r="K419" i="7"/>
  <c r="J419" i="7"/>
  <c r="H419" i="7"/>
  <c r="U419" i="7" s="1"/>
  <c r="C419" i="7"/>
  <c r="E419" i="7" s="1"/>
  <c r="F419" i="7" s="1"/>
  <c r="L418" i="7"/>
  <c r="K418" i="7"/>
  <c r="H418" i="7"/>
  <c r="U418" i="7" s="1"/>
  <c r="C418" i="7"/>
  <c r="E418" i="7" s="1"/>
  <c r="F418" i="7" s="1"/>
  <c r="L417" i="7"/>
  <c r="K417" i="7"/>
  <c r="H417" i="7"/>
  <c r="U417" i="7" s="1"/>
  <c r="C417" i="7"/>
  <c r="E417" i="7" s="1"/>
  <c r="F417" i="7" s="1"/>
  <c r="L416" i="7"/>
  <c r="K416" i="7"/>
  <c r="H416" i="7"/>
  <c r="U416" i="7" s="1"/>
  <c r="E416" i="7"/>
  <c r="F416" i="7" s="1"/>
  <c r="C416" i="7"/>
  <c r="L415" i="7"/>
  <c r="K415" i="7"/>
  <c r="H415" i="7"/>
  <c r="U415" i="7" s="1"/>
  <c r="C415" i="7"/>
  <c r="E415" i="7" s="1"/>
  <c r="F415" i="7" s="1"/>
  <c r="L414" i="7"/>
  <c r="K414" i="7"/>
  <c r="H414" i="7"/>
  <c r="U414" i="7" s="1"/>
  <c r="C414" i="7"/>
  <c r="E414" i="7" s="1"/>
  <c r="F414" i="7" s="1"/>
  <c r="L413" i="7"/>
  <c r="K413" i="7"/>
  <c r="H413" i="7"/>
  <c r="U413" i="7" s="1"/>
  <c r="C413" i="7"/>
  <c r="E413" i="7" s="1"/>
  <c r="F413" i="7" s="1"/>
  <c r="L412" i="7"/>
  <c r="K412" i="7"/>
  <c r="H412" i="7"/>
  <c r="U412" i="7" s="1"/>
  <c r="C412" i="7"/>
  <c r="E412" i="7" s="1"/>
  <c r="F412" i="7" s="1"/>
  <c r="L411" i="7"/>
  <c r="K411" i="7"/>
  <c r="J411" i="7"/>
  <c r="H411" i="7"/>
  <c r="U411" i="7" s="1"/>
  <c r="C411" i="7"/>
  <c r="E411" i="7" s="1"/>
  <c r="F411" i="7" s="1"/>
  <c r="L410" i="7"/>
  <c r="K410" i="7"/>
  <c r="H410" i="7"/>
  <c r="U410" i="7" s="1"/>
  <c r="C410" i="7"/>
  <c r="E410" i="7" s="1"/>
  <c r="F410" i="7" s="1"/>
  <c r="L409" i="7"/>
  <c r="K409" i="7"/>
  <c r="H409" i="7"/>
  <c r="U409" i="7" s="1"/>
  <c r="C409" i="7"/>
  <c r="E409" i="7" s="1"/>
  <c r="F409" i="7" s="1"/>
  <c r="L408" i="7"/>
  <c r="K408" i="7"/>
  <c r="H408" i="7"/>
  <c r="U408" i="7" s="1"/>
  <c r="C408" i="7"/>
  <c r="E408" i="7" s="1"/>
  <c r="F408" i="7" s="1"/>
  <c r="U407" i="7"/>
  <c r="L407" i="7"/>
  <c r="K407" i="7"/>
  <c r="H407" i="7"/>
  <c r="C407" i="7"/>
  <c r="E407" i="7" s="1"/>
  <c r="F407" i="7" s="1"/>
  <c r="L406" i="7"/>
  <c r="K406" i="7"/>
  <c r="H406" i="7"/>
  <c r="U406" i="7" s="1"/>
  <c r="C406" i="7"/>
  <c r="E406" i="7" s="1"/>
  <c r="F406" i="7" s="1"/>
  <c r="J406" i="7" s="1"/>
  <c r="L405" i="7"/>
  <c r="K405" i="7"/>
  <c r="H405" i="7"/>
  <c r="U405" i="7" s="1"/>
  <c r="C405" i="7"/>
  <c r="E405" i="7" s="1"/>
  <c r="F405" i="7" s="1"/>
  <c r="L404" i="7"/>
  <c r="K404" i="7"/>
  <c r="H404" i="7"/>
  <c r="U404" i="7" s="1"/>
  <c r="C404" i="7"/>
  <c r="E404" i="7" s="1"/>
  <c r="F404" i="7" s="1"/>
  <c r="L403" i="7"/>
  <c r="K403" i="7"/>
  <c r="H403" i="7"/>
  <c r="U403" i="7" s="1"/>
  <c r="C403" i="7"/>
  <c r="E403" i="7" s="1"/>
  <c r="F403" i="7" s="1"/>
  <c r="L402" i="7"/>
  <c r="K402" i="7"/>
  <c r="H402" i="7"/>
  <c r="U402" i="7" s="1"/>
  <c r="C402" i="7"/>
  <c r="E402" i="7" s="1"/>
  <c r="F402" i="7" s="1"/>
  <c r="L401" i="7"/>
  <c r="K401" i="7"/>
  <c r="H401" i="7"/>
  <c r="U401" i="7" s="1"/>
  <c r="C401" i="7"/>
  <c r="E401" i="7" s="1"/>
  <c r="F401" i="7" s="1"/>
  <c r="L400" i="7"/>
  <c r="K400" i="7"/>
  <c r="H400" i="7"/>
  <c r="U400" i="7" s="1"/>
  <c r="C400" i="7"/>
  <c r="E400" i="7" s="1"/>
  <c r="F400" i="7" s="1"/>
  <c r="L399" i="7"/>
  <c r="K399" i="7"/>
  <c r="H399" i="7"/>
  <c r="U399" i="7" s="1"/>
  <c r="C399" i="7"/>
  <c r="E399" i="7" s="1"/>
  <c r="F399" i="7" s="1"/>
  <c r="L398" i="7"/>
  <c r="K398" i="7"/>
  <c r="H398" i="7"/>
  <c r="U398" i="7" s="1"/>
  <c r="E398" i="7"/>
  <c r="F398" i="7" s="1"/>
  <c r="C398" i="7"/>
  <c r="L397" i="7"/>
  <c r="K397" i="7"/>
  <c r="H397" i="7"/>
  <c r="U397" i="7" s="1"/>
  <c r="C397" i="7"/>
  <c r="E397" i="7" s="1"/>
  <c r="F397" i="7" s="1"/>
  <c r="L396" i="7"/>
  <c r="K396" i="7"/>
  <c r="H396" i="7"/>
  <c r="U396" i="7" s="1"/>
  <c r="C396" i="7"/>
  <c r="E396" i="7" s="1"/>
  <c r="F396" i="7" s="1"/>
  <c r="U395" i="7"/>
  <c r="L395" i="7"/>
  <c r="K395" i="7"/>
  <c r="H395" i="7"/>
  <c r="C395" i="7"/>
  <c r="E395" i="7" s="1"/>
  <c r="F395" i="7" s="1"/>
  <c r="L394" i="7"/>
  <c r="K394" i="7"/>
  <c r="H394" i="7"/>
  <c r="U394" i="7" s="1"/>
  <c r="C394" i="7"/>
  <c r="E394" i="7" s="1"/>
  <c r="F394" i="7" s="1"/>
  <c r="L393" i="7"/>
  <c r="K393" i="7"/>
  <c r="H393" i="7"/>
  <c r="U393" i="7" s="1"/>
  <c r="C393" i="7"/>
  <c r="E393" i="7" s="1"/>
  <c r="F393" i="7" s="1"/>
  <c r="L392" i="7"/>
  <c r="K392" i="7"/>
  <c r="H392" i="7"/>
  <c r="U392" i="7" s="1"/>
  <c r="C392" i="7"/>
  <c r="E392" i="7" s="1"/>
  <c r="F392" i="7" s="1"/>
  <c r="L391" i="7"/>
  <c r="K391" i="7"/>
  <c r="H391" i="7"/>
  <c r="U391" i="7" s="1"/>
  <c r="C391" i="7"/>
  <c r="E391" i="7" s="1"/>
  <c r="F391" i="7" s="1"/>
  <c r="L390" i="7"/>
  <c r="K390" i="7"/>
  <c r="H390" i="7"/>
  <c r="U390" i="7" s="1"/>
  <c r="C390" i="7"/>
  <c r="E390" i="7" s="1"/>
  <c r="F390" i="7" s="1"/>
  <c r="J390" i="7" s="1"/>
  <c r="L389" i="7"/>
  <c r="K389" i="7"/>
  <c r="H389" i="7"/>
  <c r="U389" i="7" s="1"/>
  <c r="C389" i="7"/>
  <c r="E389" i="7" s="1"/>
  <c r="F389" i="7" s="1"/>
  <c r="L388" i="7"/>
  <c r="K388" i="7"/>
  <c r="H388" i="7"/>
  <c r="U388" i="7" s="1"/>
  <c r="C388" i="7"/>
  <c r="E388" i="7" s="1"/>
  <c r="F388" i="7" s="1"/>
  <c r="U387" i="7"/>
  <c r="L387" i="7"/>
  <c r="K387" i="7"/>
  <c r="H387" i="7"/>
  <c r="C387" i="7"/>
  <c r="E387" i="7" s="1"/>
  <c r="F387" i="7" s="1"/>
  <c r="J387" i="7" s="1"/>
  <c r="L386" i="7"/>
  <c r="K386" i="7"/>
  <c r="H386" i="7"/>
  <c r="U386" i="7" s="1"/>
  <c r="C386" i="7"/>
  <c r="E386" i="7" s="1"/>
  <c r="F386" i="7" s="1"/>
  <c r="U385" i="7"/>
  <c r="L385" i="7"/>
  <c r="K385" i="7"/>
  <c r="H385" i="7"/>
  <c r="C385" i="7"/>
  <c r="E385" i="7" s="1"/>
  <c r="F385" i="7" s="1"/>
  <c r="L384" i="7"/>
  <c r="K384" i="7"/>
  <c r="H384" i="7"/>
  <c r="U384" i="7" s="1"/>
  <c r="C384" i="7"/>
  <c r="E384" i="7" s="1"/>
  <c r="F384" i="7" s="1"/>
  <c r="L383" i="7"/>
  <c r="K383" i="7"/>
  <c r="H383" i="7"/>
  <c r="U383" i="7" s="1"/>
  <c r="C383" i="7"/>
  <c r="E383" i="7" s="1"/>
  <c r="F383" i="7" s="1"/>
  <c r="L382" i="7"/>
  <c r="K382" i="7"/>
  <c r="H382" i="7"/>
  <c r="U382" i="7" s="1"/>
  <c r="F382" i="7"/>
  <c r="C382" i="7"/>
  <c r="E382" i="7" s="1"/>
  <c r="L381" i="7"/>
  <c r="K381" i="7"/>
  <c r="H381" i="7"/>
  <c r="U381" i="7" s="1"/>
  <c r="C381" i="7"/>
  <c r="E381" i="7" s="1"/>
  <c r="F381" i="7" s="1"/>
  <c r="L380" i="7"/>
  <c r="K380" i="7"/>
  <c r="H380" i="7"/>
  <c r="U380" i="7" s="1"/>
  <c r="C380" i="7"/>
  <c r="E380" i="7" s="1"/>
  <c r="F380" i="7" s="1"/>
  <c r="L379" i="7"/>
  <c r="K379" i="7"/>
  <c r="H379" i="7"/>
  <c r="U379" i="7" s="1"/>
  <c r="C379" i="7"/>
  <c r="E379" i="7" s="1"/>
  <c r="F379" i="7" s="1"/>
  <c r="L378" i="7"/>
  <c r="K378" i="7"/>
  <c r="H378" i="7"/>
  <c r="U378" i="7" s="1"/>
  <c r="C378" i="7"/>
  <c r="E378" i="7" s="1"/>
  <c r="F378" i="7" s="1"/>
  <c r="L377" i="7"/>
  <c r="K377" i="7"/>
  <c r="H377" i="7"/>
  <c r="U377" i="7" s="1"/>
  <c r="C377" i="7"/>
  <c r="E377" i="7" s="1"/>
  <c r="F377" i="7" s="1"/>
  <c r="L376" i="7"/>
  <c r="K376" i="7"/>
  <c r="H376" i="7"/>
  <c r="U376" i="7" s="1"/>
  <c r="E376" i="7"/>
  <c r="F376" i="7" s="1"/>
  <c r="C376" i="7"/>
  <c r="L375" i="7"/>
  <c r="K375" i="7"/>
  <c r="H375" i="7"/>
  <c r="U375" i="7" s="1"/>
  <c r="C375" i="7"/>
  <c r="E375" i="7" s="1"/>
  <c r="F375" i="7" s="1"/>
  <c r="L374" i="7"/>
  <c r="K374" i="7"/>
  <c r="H374" i="7"/>
  <c r="U374" i="7" s="1"/>
  <c r="C374" i="7"/>
  <c r="E374" i="7" s="1"/>
  <c r="F374" i="7" s="1"/>
  <c r="U373" i="7"/>
  <c r="L373" i="7"/>
  <c r="K373" i="7"/>
  <c r="H373" i="7"/>
  <c r="C373" i="7"/>
  <c r="E373" i="7" s="1"/>
  <c r="F373" i="7" s="1"/>
  <c r="L372" i="7"/>
  <c r="K372" i="7"/>
  <c r="H372" i="7"/>
  <c r="U372" i="7" s="1"/>
  <c r="C372" i="7"/>
  <c r="E372" i="7" s="1"/>
  <c r="F372" i="7" s="1"/>
  <c r="U371" i="7"/>
  <c r="L371" i="7"/>
  <c r="K371" i="7"/>
  <c r="H371" i="7"/>
  <c r="C371" i="7"/>
  <c r="E371" i="7" s="1"/>
  <c r="F371" i="7" s="1"/>
  <c r="L370" i="7"/>
  <c r="K370" i="7"/>
  <c r="H370" i="7"/>
  <c r="U370" i="7" s="1"/>
  <c r="C370" i="7"/>
  <c r="E370" i="7" s="1"/>
  <c r="F370" i="7" s="1"/>
  <c r="U369" i="7"/>
  <c r="L369" i="7"/>
  <c r="K369" i="7"/>
  <c r="H369" i="7"/>
  <c r="C369" i="7"/>
  <c r="E369" i="7" s="1"/>
  <c r="F369" i="7" s="1"/>
  <c r="L368" i="7"/>
  <c r="K368" i="7"/>
  <c r="H368" i="7"/>
  <c r="U368" i="7" s="1"/>
  <c r="C368" i="7"/>
  <c r="E368" i="7" s="1"/>
  <c r="F368" i="7" s="1"/>
  <c r="L367" i="7"/>
  <c r="K367" i="7"/>
  <c r="H367" i="7"/>
  <c r="U367" i="7" s="1"/>
  <c r="C367" i="7"/>
  <c r="E367" i="7" s="1"/>
  <c r="F367" i="7" s="1"/>
  <c r="L366" i="7"/>
  <c r="K366" i="7"/>
  <c r="H366" i="7"/>
  <c r="U366" i="7" s="1"/>
  <c r="C366" i="7"/>
  <c r="E366" i="7" s="1"/>
  <c r="F366" i="7" s="1"/>
  <c r="L365" i="7"/>
  <c r="K365" i="7"/>
  <c r="H365" i="7"/>
  <c r="U365" i="7" s="1"/>
  <c r="C365" i="7"/>
  <c r="E365" i="7" s="1"/>
  <c r="F365" i="7" s="1"/>
  <c r="L364" i="7"/>
  <c r="K364" i="7"/>
  <c r="H364" i="7"/>
  <c r="U364" i="7" s="1"/>
  <c r="C364" i="7"/>
  <c r="E364" i="7" s="1"/>
  <c r="F364" i="7" s="1"/>
  <c r="L363" i="7"/>
  <c r="K363" i="7"/>
  <c r="I363" i="7"/>
  <c r="H363" i="7"/>
  <c r="U363" i="7" s="1"/>
  <c r="C363" i="7"/>
  <c r="E363" i="7" s="1"/>
  <c r="F363" i="7" s="1"/>
  <c r="J363" i="7" s="1"/>
  <c r="L362" i="7"/>
  <c r="K362" i="7"/>
  <c r="H362" i="7"/>
  <c r="U362" i="7" s="1"/>
  <c r="C362" i="7"/>
  <c r="E362" i="7" s="1"/>
  <c r="F362" i="7" s="1"/>
  <c r="J362" i="7" s="1"/>
  <c r="L361" i="7"/>
  <c r="K361" i="7"/>
  <c r="H361" i="7"/>
  <c r="U361" i="7" s="1"/>
  <c r="C361" i="7"/>
  <c r="E361" i="7" s="1"/>
  <c r="F361" i="7" s="1"/>
  <c r="L360" i="7"/>
  <c r="K360" i="7"/>
  <c r="H360" i="7"/>
  <c r="U360" i="7" s="1"/>
  <c r="C360" i="7"/>
  <c r="E360" i="7" s="1"/>
  <c r="F360" i="7" s="1"/>
  <c r="L359" i="7"/>
  <c r="K359" i="7"/>
  <c r="H359" i="7"/>
  <c r="U359" i="7" s="1"/>
  <c r="C359" i="7"/>
  <c r="E359" i="7" s="1"/>
  <c r="F359" i="7" s="1"/>
  <c r="L358" i="7"/>
  <c r="K358" i="7"/>
  <c r="H358" i="7"/>
  <c r="U358" i="7" s="1"/>
  <c r="C358" i="7"/>
  <c r="E358" i="7" s="1"/>
  <c r="F358" i="7" s="1"/>
  <c r="L357" i="7"/>
  <c r="K357" i="7"/>
  <c r="H357" i="7"/>
  <c r="U357" i="7" s="1"/>
  <c r="C357" i="7"/>
  <c r="E357" i="7" s="1"/>
  <c r="F357" i="7" s="1"/>
  <c r="L356" i="7"/>
  <c r="K356" i="7"/>
  <c r="H356" i="7"/>
  <c r="U356" i="7" s="1"/>
  <c r="C356" i="7"/>
  <c r="E356" i="7" s="1"/>
  <c r="F356" i="7" s="1"/>
  <c r="L355" i="7"/>
  <c r="K355" i="7"/>
  <c r="H355" i="7"/>
  <c r="U355" i="7" s="1"/>
  <c r="C355" i="7"/>
  <c r="E355" i="7" s="1"/>
  <c r="F355" i="7" s="1"/>
  <c r="L354" i="7"/>
  <c r="K354" i="7"/>
  <c r="H354" i="7"/>
  <c r="U354" i="7" s="1"/>
  <c r="C354" i="7"/>
  <c r="E354" i="7" s="1"/>
  <c r="F354" i="7" s="1"/>
  <c r="L353" i="7"/>
  <c r="K353" i="7"/>
  <c r="H353" i="7"/>
  <c r="U353" i="7" s="1"/>
  <c r="C353" i="7"/>
  <c r="E353" i="7" s="1"/>
  <c r="F353" i="7" s="1"/>
  <c r="U352" i="7"/>
  <c r="L352" i="7"/>
  <c r="K352" i="7"/>
  <c r="H352" i="7"/>
  <c r="C352" i="7"/>
  <c r="E352" i="7" s="1"/>
  <c r="F352" i="7" s="1"/>
  <c r="U351" i="7"/>
  <c r="L351" i="7"/>
  <c r="K351" i="7"/>
  <c r="H351" i="7"/>
  <c r="C351" i="7"/>
  <c r="E351" i="7" s="1"/>
  <c r="F351" i="7" s="1"/>
  <c r="L350" i="7"/>
  <c r="K350" i="7"/>
  <c r="H350" i="7"/>
  <c r="U350" i="7" s="1"/>
  <c r="E350" i="7"/>
  <c r="F350" i="7" s="1"/>
  <c r="C350" i="7"/>
  <c r="U349" i="7"/>
  <c r="L349" i="7"/>
  <c r="K349" i="7"/>
  <c r="H349" i="7"/>
  <c r="C349" i="7"/>
  <c r="E349" i="7" s="1"/>
  <c r="F349" i="7" s="1"/>
  <c r="L348" i="7"/>
  <c r="K348" i="7"/>
  <c r="H348" i="7"/>
  <c r="U348" i="7" s="1"/>
  <c r="C348" i="7"/>
  <c r="E348" i="7" s="1"/>
  <c r="F348" i="7" s="1"/>
  <c r="L347" i="7"/>
  <c r="K347" i="7"/>
  <c r="H347" i="7"/>
  <c r="U347" i="7" s="1"/>
  <c r="C347" i="7"/>
  <c r="E347" i="7" s="1"/>
  <c r="F347" i="7" s="1"/>
  <c r="L346" i="7"/>
  <c r="K346" i="7"/>
  <c r="H346" i="7"/>
  <c r="U346" i="7" s="1"/>
  <c r="C346" i="7"/>
  <c r="E346" i="7" s="1"/>
  <c r="F346" i="7" s="1"/>
  <c r="L345" i="7"/>
  <c r="K345" i="7"/>
  <c r="H345" i="7"/>
  <c r="U345" i="7" s="1"/>
  <c r="C345" i="7"/>
  <c r="E345" i="7" s="1"/>
  <c r="F345" i="7" s="1"/>
  <c r="L344" i="7"/>
  <c r="K344" i="7"/>
  <c r="H344" i="7"/>
  <c r="U344" i="7" s="1"/>
  <c r="C344" i="7"/>
  <c r="E344" i="7" s="1"/>
  <c r="F344" i="7" s="1"/>
  <c r="L343" i="7"/>
  <c r="K343" i="7"/>
  <c r="H343" i="7"/>
  <c r="U343" i="7" s="1"/>
  <c r="C343" i="7"/>
  <c r="E343" i="7" s="1"/>
  <c r="F343" i="7" s="1"/>
  <c r="L342" i="7"/>
  <c r="K342" i="7"/>
  <c r="H342" i="7"/>
  <c r="U342" i="7" s="1"/>
  <c r="C342" i="7"/>
  <c r="E342" i="7" s="1"/>
  <c r="F342" i="7" s="1"/>
  <c r="L341" i="7"/>
  <c r="K341" i="7"/>
  <c r="H341" i="7"/>
  <c r="U341" i="7" s="1"/>
  <c r="C341" i="7"/>
  <c r="E341" i="7" s="1"/>
  <c r="F341" i="7" s="1"/>
  <c r="L340" i="7"/>
  <c r="K340" i="7"/>
  <c r="H340" i="7"/>
  <c r="U340" i="7" s="1"/>
  <c r="C340" i="7"/>
  <c r="E340" i="7" s="1"/>
  <c r="F340" i="7" s="1"/>
  <c r="L339" i="7"/>
  <c r="K339" i="7"/>
  <c r="H339" i="7"/>
  <c r="U339" i="7" s="1"/>
  <c r="C339" i="7"/>
  <c r="E339" i="7" s="1"/>
  <c r="F339" i="7" s="1"/>
  <c r="J339" i="7" s="1"/>
  <c r="L338" i="7"/>
  <c r="K338" i="7"/>
  <c r="H338" i="7"/>
  <c r="U338" i="7" s="1"/>
  <c r="E338" i="7"/>
  <c r="F338" i="7" s="1"/>
  <c r="C338" i="7"/>
  <c r="L337" i="7"/>
  <c r="K337" i="7"/>
  <c r="H337" i="7"/>
  <c r="U337" i="7" s="1"/>
  <c r="C337" i="7"/>
  <c r="E337" i="7" s="1"/>
  <c r="F337" i="7" s="1"/>
  <c r="L336" i="7"/>
  <c r="K336" i="7"/>
  <c r="H336" i="7"/>
  <c r="U336" i="7" s="1"/>
  <c r="E336" i="7"/>
  <c r="F336" i="7" s="1"/>
  <c r="C336" i="7"/>
  <c r="L335" i="7"/>
  <c r="K335" i="7"/>
  <c r="H335" i="7"/>
  <c r="U335" i="7" s="1"/>
  <c r="C335" i="7"/>
  <c r="E335" i="7" s="1"/>
  <c r="F335" i="7" s="1"/>
  <c r="L334" i="7"/>
  <c r="K334" i="7"/>
  <c r="H334" i="7"/>
  <c r="U334" i="7" s="1"/>
  <c r="C334" i="7"/>
  <c r="E334" i="7" s="1"/>
  <c r="F334" i="7" s="1"/>
  <c r="I334" i="7" s="1"/>
  <c r="L333" i="7"/>
  <c r="K333" i="7"/>
  <c r="H333" i="7"/>
  <c r="U333" i="7" s="1"/>
  <c r="E333" i="7"/>
  <c r="F333" i="7" s="1"/>
  <c r="C333" i="7"/>
  <c r="U332" i="7"/>
  <c r="L332" i="7"/>
  <c r="K332" i="7"/>
  <c r="H332" i="7"/>
  <c r="C332" i="7"/>
  <c r="E332" i="7" s="1"/>
  <c r="F332" i="7" s="1"/>
  <c r="L331" i="7"/>
  <c r="K331" i="7"/>
  <c r="J331" i="7"/>
  <c r="H331" i="7"/>
  <c r="U331" i="7" s="1"/>
  <c r="C331" i="7"/>
  <c r="E331" i="7" s="1"/>
  <c r="F331" i="7" s="1"/>
  <c r="L330" i="7"/>
  <c r="K330" i="7"/>
  <c r="H330" i="7"/>
  <c r="U330" i="7" s="1"/>
  <c r="C330" i="7"/>
  <c r="E330" i="7" s="1"/>
  <c r="F330" i="7" s="1"/>
  <c r="L329" i="7"/>
  <c r="K329" i="7"/>
  <c r="H329" i="7"/>
  <c r="U329" i="7" s="1"/>
  <c r="C329" i="7"/>
  <c r="E329" i="7" s="1"/>
  <c r="F329" i="7" s="1"/>
  <c r="L328" i="7"/>
  <c r="K328" i="7"/>
  <c r="H328" i="7"/>
  <c r="U328" i="7" s="1"/>
  <c r="C328" i="7"/>
  <c r="E328" i="7" s="1"/>
  <c r="F328" i="7" s="1"/>
  <c r="L327" i="7"/>
  <c r="K327" i="7"/>
  <c r="H327" i="7"/>
  <c r="U327" i="7" s="1"/>
  <c r="C327" i="7"/>
  <c r="E327" i="7" s="1"/>
  <c r="F327" i="7" s="1"/>
  <c r="L326" i="7"/>
  <c r="K326" i="7"/>
  <c r="H326" i="7"/>
  <c r="U326" i="7" s="1"/>
  <c r="E326" i="7"/>
  <c r="F326" i="7" s="1"/>
  <c r="C326" i="7"/>
  <c r="L325" i="7"/>
  <c r="K325" i="7"/>
  <c r="H325" i="7"/>
  <c r="U325" i="7" s="1"/>
  <c r="C325" i="7"/>
  <c r="E325" i="7" s="1"/>
  <c r="F325" i="7" s="1"/>
  <c r="L324" i="7"/>
  <c r="K324" i="7"/>
  <c r="H324" i="7"/>
  <c r="U324" i="7" s="1"/>
  <c r="E324" i="7"/>
  <c r="F324" i="7" s="1"/>
  <c r="C324" i="7"/>
  <c r="L323" i="7"/>
  <c r="K323" i="7"/>
  <c r="H323" i="7"/>
  <c r="U323" i="7" s="1"/>
  <c r="C323" i="7"/>
  <c r="E323" i="7" s="1"/>
  <c r="F323" i="7" s="1"/>
  <c r="L322" i="7"/>
  <c r="K322" i="7"/>
  <c r="H322" i="7"/>
  <c r="U322" i="7" s="1"/>
  <c r="E322" i="7"/>
  <c r="F322" i="7" s="1"/>
  <c r="C322" i="7"/>
  <c r="L321" i="7"/>
  <c r="K321" i="7"/>
  <c r="H321" i="7"/>
  <c r="U321" i="7" s="1"/>
  <c r="C321" i="7"/>
  <c r="E321" i="7" s="1"/>
  <c r="F321" i="7" s="1"/>
  <c r="L320" i="7"/>
  <c r="K320" i="7"/>
  <c r="H320" i="7"/>
  <c r="U320" i="7" s="1"/>
  <c r="C320" i="7"/>
  <c r="E320" i="7" s="1"/>
  <c r="F320" i="7" s="1"/>
  <c r="U319" i="7"/>
  <c r="L319" i="7"/>
  <c r="K319" i="7"/>
  <c r="H319" i="7"/>
  <c r="C319" i="7"/>
  <c r="E319" i="7" s="1"/>
  <c r="F319" i="7" s="1"/>
  <c r="I319" i="7" s="1"/>
  <c r="L318" i="7"/>
  <c r="K318" i="7"/>
  <c r="H318" i="7"/>
  <c r="U318" i="7" s="1"/>
  <c r="C318" i="7"/>
  <c r="E318" i="7" s="1"/>
  <c r="F318" i="7" s="1"/>
  <c r="L317" i="7"/>
  <c r="K317" i="7"/>
  <c r="H317" i="7"/>
  <c r="U317" i="7" s="1"/>
  <c r="C317" i="7"/>
  <c r="E317" i="7" s="1"/>
  <c r="F317" i="7" s="1"/>
  <c r="L316" i="7"/>
  <c r="K316" i="7"/>
  <c r="H316" i="7"/>
  <c r="U316" i="7" s="1"/>
  <c r="C316" i="7"/>
  <c r="E316" i="7" s="1"/>
  <c r="F316" i="7" s="1"/>
  <c r="L315" i="7"/>
  <c r="K315" i="7"/>
  <c r="H315" i="7"/>
  <c r="U315" i="7" s="1"/>
  <c r="C315" i="7"/>
  <c r="E315" i="7" s="1"/>
  <c r="F315" i="7" s="1"/>
  <c r="L314" i="7"/>
  <c r="K314" i="7"/>
  <c r="H314" i="7"/>
  <c r="U314" i="7" s="1"/>
  <c r="C314" i="7"/>
  <c r="E314" i="7" s="1"/>
  <c r="F314" i="7" s="1"/>
  <c r="L313" i="7"/>
  <c r="K313" i="7"/>
  <c r="H313" i="7"/>
  <c r="U313" i="7" s="1"/>
  <c r="E313" i="7"/>
  <c r="F313" i="7" s="1"/>
  <c r="C313" i="7"/>
  <c r="U312" i="7"/>
  <c r="L312" i="7"/>
  <c r="K312" i="7"/>
  <c r="H312" i="7"/>
  <c r="C312" i="7"/>
  <c r="E312" i="7" s="1"/>
  <c r="F312" i="7" s="1"/>
  <c r="U311" i="7"/>
  <c r="L311" i="7"/>
  <c r="K311" i="7"/>
  <c r="H311" i="7"/>
  <c r="C311" i="7"/>
  <c r="E311" i="7" s="1"/>
  <c r="F311" i="7" s="1"/>
  <c r="L310" i="7"/>
  <c r="K310" i="7"/>
  <c r="H310" i="7"/>
  <c r="U310" i="7" s="1"/>
  <c r="C310" i="7"/>
  <c r="E310" i="7" s="1"/>
  <c r="F310" i="7" s="1"/>
  <c r="U309" i="7"/>
  <c r="L309" i="7"/>
  <c r="K309" i="7"/>
  <c r="H309" i="7"/>
  <c r="C309" i="7"/>
  <c r="E309" i="7" s="1"/>
  <c r="F309" i="7" s="1"/>
  <c r="U308" i="7"/>
  <c r="L308" i="7"/>
  <c r="K308" i="7"/>
  <c r="H308" i="7"/>
  <c r="C308" i="7"/>
  <c r="E308" i="7" s="1"/>
  <c r="F308" i="7" s="1"/>
  <c r="L307" i="7"/>
  <c r="K307" i="7"/>
  <c r="H307" i="7"/>
  <c r="U307" i="7" s="1"/>
  <c r="C307" i="7"/>
  <c r="E307" i="7" s="1"/>
  <c r="F307" i="7" s="1"/>
  <c r="L306" i="7"/>
  <c r="K306" i="7"/>
  <c r="H306" i="7"/>
  <c r="U306" i="7" s="1"/>
  <c r="C306" i="7"/>
  <c r="E306" i="7" s="1"/>
  <c r="F306" i="7" s="1"/>
  <c r="L305" i="7"/>
  <c r="K305" i="7"/>
  <c r="H305" i="7"/>
  <c r="U305" i="7" s="1"/>
  <c r="C305" i="7"/>
  <c r="E305" i="7" s="1"/>
  <c r="F305" i="7" s="1"/>
  <c r="U304" i="7"/>
  <c r="L304" i="7"/>
  <c r="K304" i="7"/>
  <c r="H304" i="7"/>
  <c r="C304" i="7"/>
  <c r="E304" i="7" s="1"/>
  <c r="F304" i="7" s="1"/>
  <c r="U303" i="7"/>
  <c r="L303" i="7"/>
  <c r="K303" i="7"/>
  <c r="H303" i="7"/>
  <c r="C303" i="7"/>
  <c r="E303" i="7" s="1"/>
  <c r="F303" i="7" s="1"/>
  <c r="L302" i="7"/>
  <c r="K302" i="7"/>
  <c r="H302" i="7"/>
  <c r="U302" i="7" s="1"/>
  <c r="C302" i="7"/>
  <c r="E302" i="7" s="1"/>
  <c r="F302" i="7" s="1"/>
  <c r="L301" i="7"/>
  <c r="K301" i="7"/>
  <c r="H301" i="7"/>
  <c r="U301" i="7" s="1"/>
  <c r="C301" i="7"/>
  <c r="E301" i="7" s="1"/>
  <c r="F301" i="7" s="1"/>
  <c r="L300" i="7"/>
  <c r="K300" i="7"/>
  <c r="H300" i="7"/>
  <c r="U300" i="7" s="1"/>
  <c r="C300" i="7"/>
  <c r="E300" i="7" s="1"/>
  <c r="F300" i="7" s="1"/>
  <c r="L299" i="7"/>
  <c r="K299" i="7"/>
  <c r="H299" i="7"/>
  <c r="U299" i="7" s="1"/>
  <c r="C299" i="7"/>
  <c r="E299" i="7" s="1"/>
  <c r="F299" i="7" s="1"/>
  <c r="L298" i="7"/>
  <c r="K298" i="7"/>
  <c r="H298" i="7"/>
  <c r="U298" i="7" s="1"/>
  <c r="C298" i="7"/>
  <c r="E298" i="7" s="1"/>
  <c r="F298" i="7" s="1"/>
  <c r="L297" i="7"/>
  <c r="K297" i="7"/>
  <c r="H297" i="7"/>
  <c r="U297" i="7" s="1"/>
  <c r="C297" i="7"/>
  <c r="E297" i="7" s="1"/>
  <c r="F297" i="7" s="1"/>
  <c r="L296" i="7"/>
  <c r="K296" i="7"/>
  <c r="H296" i="7"/>
  <c r="U296" i="7" s="1"/>
  <c r="C296" i="7"/>
  <c r="E296" i="7" s="1"/>
  <c r="F296" i="7" s="1"/>
  <c r="L295" i="7"/>
  <c r="K295" i="7"/>
  <c r="H295" i="7"/>
  <c r="U295" i="7" s="1"/>
  <c r="C295" i="7"/>
  <c r="E295" i="7" s="1"/>
  <c r="F295" i="7" s="1"/>
  <c r="I295" i="7" s="1"/>
  <c r="L294" i="7"/>
  <c r="K294" i="7"/>
  <c r="H294" i="7"/>
  <c r="U294" i="7" s="1"/>
  <c r="E294" i="7"/>
  <c r="F294" i="7" s="1"/>
  <c r="C294" i="7"/>
  <c r="U293" i="7"/>
  <c r="L293" i="7"/>
  <c r="K293" i="7"/>
  <c r="H293" i="7"/>
  <c r="C293" i="7"/>
  <c r="E293" i="7" s="1"/>
  <c r="F293" i="7" s="1"/>
  <c r="L292" i="7"/>
  <c r="K292" i="7"/>
  <c r="H292" i="7"/>
  <c r="U292" i="7" s="1"/>
  <c r="C292" i="7"/>
  <c r="E292" i="7" s="1"/>
  <c r="F292" i="7" s="1"/>
  <c r="L291" i="7"/>
  <c r="K291" i="7"/>
  <c r="H291" i="7"/>
  <c r="U291" i="7" s="1"/>
  <c r="C291" i="7"/>
  <c r="E291" i="7" s="1"/>
  <c r="F291" i="7" s="1"/>
  <c r="L290" i="7"/>
  <c r="K290" i="7"/>
  <c r="H290" i="7"/>
  <c r="U290" i="7" s="1"/>
  <c r="C290" i="7"/>
  <c r="E290" i="7" s="1"/>
  <c r="F290" i="7" s="1"/>
  <c r="U289" i="7"/>
  <c r="L289" i="7"/>
  <c r="K289" i="7"/>
  <c r="H289" i="7"/>
  <c r="C289" i="7"/>
  <c r="E289" i="7" s="1"/>
  <c r="F289" i="7" s="1"/>
  <c r="L288" i="7"/>
  <c r="K288" i="7"/>
  <c r="H288" i="7"/>
  <c r="U288" i="7" s="1"/>
  <c r="C288" i="7"/>
  <c r="E288" i="7" s="1"/>
  <c r="F288" i="7" s="1"/>
  <c r="L287" i="7"/>
  <c r="K287" i="7"/>
  <c r="H287" i="7"/>
  <c r="U287" i="7" s="1"/>
  <c r="C287" i="7"/>
  <c r="E287" i="7" s="1"/>
  <c r="F287" i="7" s="1"/>
  <c r="L286" i="7"/>
  <c r="K286" i="7"/>
  <c r="H286" i="7"/>
  <c r="U286" i="7" s="1"/>
  <c r="C286" i="7"/>
  <c r="E286" i="7" s="1"/>
  <c r="F286" i="7" s="1"/>
  <c r="J286" i="7" s="1"/>
  <c r="U285" i="7"/>
  <c r="L285" i="7"/>
  <c r="K285" i="7"/>
  <c r="H285" i="7"/>
  <c r="C285" i="7"/>
  <c r="E285" i="7" s="1"/>
  <c r="F285" i="7" s="1"/>
  <c r="L284" i="7"/>
  <c r="K284" i="7"/>
  <c r="H284" i="7"/>
  <c r="U284" i="7" s="1"/>
  <c r="C284" i="7"/>
  <c r="E284" i="7" s="1"/>
  <c r="F284" i="7" s="1"/>
  <c r="L283" i="7"/>
  <c r="K283" i="7"/>
  <c r="I283" i="7"/>
  <c r="H283" i="7"/>
  <c r="U283" i="7" s="1"/>
  <c r="C283" i="7"/>
  <c r="E283" i="7" s="1"/>
  <c r="F283" i="7" s="1"/>
  <c r="L282" i="7"/>
  <c r="K282" i="7"/>
  <c r="H282" i="7"/>
  <c r="U282" i="7" s="1"/>
  <c r="C282" i="7"/>
  <c r="E282" i="7" s="1"/>
  <c r="F282" i="7" s="1"/>
  <c r="L281" i="7"/>
  <c r="K281" i="7"/>
  <c r="H281" i="7"/>
  <c r="U281" i="7" s="1"/>
  <c r="C281" i="7"/>
  <c r="E281" i="7" s="1"/>
  <c r="F281" i="7" s="1"/>
  <c r="I281" i="7" s="1"/>
  <c r="L280" i="7"/>
  <c r="K280" i="7"/>
  <c r="H280" i="7"/>
  <c r="U280" i="7" s="1"/>
  <c r="C280" i="7"/>
  <c r="E280" i="7" s="1"/>
  <c r="F280" i="7" s="1"/>
  <c r="L279" i="7"/>
  <c r="K279" i="7"/>
  <c r="H279" i="7"/>
  <c r="U279" i="7" s="1"/>
  <c r="C279" i="7"/>
  <c r="E279" i="7" s="1"/>
  <c r="F279" i="7" s="1"/>
  <c r="L278" i="7"/>
  <c r="K278" i="7"/>
  <c r="H278" i="7"/>
  <c r="U278" i="7" s="1"/>
  <c r="C278" i="7"/>
  <c r="E278" i="7" s="1"/>
  <c r="F278" i="7" s="1"/>
  <c r="L277" i="7"/>
  <c r="K277" i="7"/>
  <c r="H277" i="7"/>
  <c r="U277" i="7" s="1"/>
  <c r="C277" i="7"/>
  <c r="E277" i="7" s="1"/>
  <c r="F277" i="7" s="1"/>
  <c r="L276" i="7"/>
  <c r="K276" i="7"/>
  <c r="H276" i="7"/>
  <c r="U276" i="7" s="1"/>
  <c r="C276" i="7"/>
  <c r="E276" i="7" s="1"/>
  <c r="F276" i="7" s="1"/>
  <c r="L275" i="7"/>
  <c r="K275" i="7"/>
  <c r="H275" i="7"/>
  <c r="U275" i="7" s="1"/>
  <c r="C275" i="7"/>
  <c r="E275" i="7" s="1"/>
  <c r="F275" i="7" s="1"/>
  <c r="L274" i="7"/>
  <c r="K274" i="7"/>
  <c r="H274" i="7"/>
  <c r="U274" i="7" s="1"/>
  <c r="C274" i="7"/>
  <c r="E274" i="7" s="1"/>
  <c r="F274" i="7" s="1"/>
  <c r="L273" i="7"/>
  <c r="K273" i="7"/>
  <c r="H273" i="7"/>
  <c r="U273" i="7" s="1"/>
  <c r="C273" i="7"/>
  <c r="E273" i="7" s="1"/>
  <c r="F273" i="7" s="1"/>
  <c r="J273" i="7" s="1"/>
  <c r="L272" i="7"/>
  <c r="K272" i="7"/>
  <c r="H272" i="7"/>
  <c r="U272" i="7" s="1"/>
  <c r="C272" i="7"/>
  <c r="E272" i="7" s="1"/>
  <c r="F272" i="7" s="1"/>
  <c r="U271" i="7"/>
  <c r="L271" i="7"/>
  <c r="K271" i="7"/>
  <c r="H271" i="7"/>
  <c r="C271" i="7"/>
  <c r="E271" i="7" s="1"/>
  <c r="F271" i="7" s="1"/>
  <c r="I271" i="7" s="1"/>
  <c r="L270" i="7"/>
  <c r="K270" i="7"/>
  <c r="H270" i="7"/>
  <c r="U270" i="7" s="1"/>
  <c r="E270" i="7"/>
  <c r="F270" i="7" s="1"/>
  <c r="C270" i="7"/>
  <c r="L269" i="7"/>
  <c r="K269" i="7"/>
  <c r="H269" i="7"/>
  <c r="U269" i="7" s="1"/>
  <c r="C269" i="7"/>
  <c r="E269" i="7" s="1"/>
  <c r="F269" i="7" s="1"/>
  <c r="L268" i="7"/>
  <c r="K268" i="7"/>
  <c r="H268" i="7"/>
  <c r="U268" i="7" s="1"/>
  <c r="C268" i="7"/>
  <c r="E268" i="7" s="1"/>
  <c r="F268" i="7" s="1"/>
  <c r="L267" i="7"/>
  <c r="K267" i="7"/>
  <c r="H267" i="7"/>
  <c r="U267" i="7" s="1"/>
  <c r="C267" i="7"/>
  <c r="E267" i="7" s="1"/>
  <c r="F267" i="7" s="1"/>
  <c r="L266" i="7"/>
  <c r="K266" i="7"/>
  <c r="H266" i="7"/>
  <c r="U266" i="7" s="1"/>
  <c r="C266" i="7"/>
  <c r="E266" i="7" s="1"/>
  <c r="F266" i="7" s="1"/>
  <c r="L265" i="7"/>
  <c r="K265" i="7"/>
  <c r="H265" i="7"/>
  <c r="U265" i="7" s="1"/>
  <c r="E265" i="7"/>
  <c r="F265" i="7" s="1"/>
  <c r="C265" i="7"/>
  <c r="L264" i="7"/>
  <c r="K264" i="7"/>
  <c r="H264" i="7"/>
  <c r="U264" i="7" s="1"/>
  <c r="C264" i="7"/>
  <c r="E264" i="7" s="1"/>
  <c r="F264" i="7" s="1"/>
  <c r="L263" i="7"/>
  <c r="K263" i="7"/>
  <c r="H263" i="7"/>
  <c r="U263" i="7" s="1"/>
  <c r="C263" i="7"/>
  <c r="E263" i="7" s="1"/>
  <c r="F263" i="7" s="1"/>
  <c r="L262" i="7"/>
  <c r="K262" i="7"/>
  <c r="H262" i="7"/>
  <c r="U262" i="7" s="1"/>
  <c r="C262" i="7"/>
  <c r="E262" i="7" s="1"/>
  <c r="F262" i="7" s="1"/>
  <c r="U261" i="7"/>
  <c r="L261" i="7"/>
  <c r="K261" i="7"/>
  <c r="H261" i="7"/>
  <c r="C261" i="7"/>
  <c r="E261" i="7" s="1"/>
  <c r="F261" i="7" s="1"/>
  <c r="L260" i="7"/>
  <c r="K260" i="7"/>
  <c r="H260" i="7"/>
  <c r="U260" i="7" s="1"/>
  <c r="C260" i="7"/>
  <c r="E260" i="7" s="1"/>
  <c r="F260" i="7" s="1"/>
  <c r="U259" i="7"/>
  <c r="L259" i="7"/>
  <c r="K259" i="7"/>
  <c r="H259" i="7"/>
  <c r="C259" i="7"/>
  <c r="E259" i="7" s="1"/>
  <c r="F259" i="7" s="1"/>
  <c r="L258" i="7"/>
  <c r="K258" i="7"/>
  <c r="H258" i="7"/>
  <c r="U258" i="7" s="1"/>
  <c r="C258" i="7"/>
  <c r="E258" i="7" s="1"/>
  <c r="F258" i="7" s="1"/>
  <c r="L257" i="7"/>
  <c r="K257" i="7"/>
  <c r="H257" i="7"/>
  <c r="U257" i="7" s="1"/>
  <c r="C257" i="7"/>
  <c r="E257" i="7" s="1"/>
  <c r="F257" i="7" s="1"/>
  <c r="L256" i="7"/>
  <c r="K256" i="7"/>
  <c r="H256" i="7"/>
  <c r="U256" i="7" s="1"/>
  <c r="C256" i="7"/>
  <c r="E256" i="7" s="1"/>
  <c r="F256" i="7" s="1"/>
  <c r="L255" i="7"/>
  <c r="K255" i="7"/>
  <c r="H255" i="7"/>
  <c r="U255" i="7" s="1"/>
  <c r="C255" i="7"/>
  <c r="E255" i="7" s="1"/>
  <c r="F255" i="7" s="1"/>
  <c r="L254" i="7"/>
  <c r="K254" i="7"/>
  <c r="H254" i="7"/>
  <c r="U254" i="7" s="1"/>
  <c r="C254" i="7"/>
  <c r="E254" i="7" s="1"/>
  <c r="F254" i="7" s="1"/>
  <c r="L253" i="7"/>
  <c r="K253" i="7"/>
  <c r="H253" i="7"/>
  <c r="U253" i="7" s="1"/>
  <c r="F253" i="7"/>
  <c r="C253" i="7"/>
  <c r="E253" i="7" s="1"/>
  <c r="L252" i="7"/>
  <c r="K252" i="7"/>
  <c r="H252" i="7"/>
  <c r="U252" i="7" s="1"/>
  <c r="C252" i="7"/>
  <c r="E252" i="7" s="1"/>
  <c r="F252" i="7" s="1"/>
  <c r="L251" i="7"/>
  <c r="K251" i="7"/>
  <c r="J251" i="7"/>
  <c r="H251" i="7"/>
  <c r="U251" i="7" s="1"/>
  <c r="C251" i="7"/>
  <c r="E251" i="7" s="1"/>
  <c r="F251" i="7" s="1"/>
  <c r="L250" i="7"/>
  <c r="K250" i="7"/>
  <c r="H250" i="7"/>
  <c r="U250" i="7" s="1"/>
  <c r="C250" i="7"/>
  <c r="E250" i="7" s="1"/>
  <c r="F250" i="7" s="1"/>
  <c r="J250" i="7" s="1"/>
  <c r="L249" i="7"/>
  <c r="K249" i="7"/>
  <c r="H249" i="7"/>
  <c r="U249" i="7" s="1"/>
  <c r="C249" i="7"/>
  <c r="E249" i="7" s="1"/>
  <c r="F249" i="7" s="1"/>
  <c r="L248" i="7"/>
  <c r="K248" i="7"/>
  <c r="H248" i="7"/>
  <c r="U248" i="7" s="1"/>
  <c r="C248" i="7"/>
  <c r="E248" i="7" s="1"/>
  <c r="F248" i="7" s="1"/>
  <c r="L247" i="7"/>
  <c r="K247" i="7"/>
  <c r="H247" i="7"/>
  <c r="U247" i="7" s="1"/>
  <c r="C247" i="7"/>
  <c r="E247" i="7" s="1"/>
  <c r="F247" i="7" s="1"/>
  <c r="L246" i="7"/>
  <c r="K246" i="7"/>
  <c r="H246" i="7"/>
  <c r="U246" i="7" s="1"/>
  <c r="E246" i="7"/>
  <c r="F246" i="7" s="1"/>
  <c r="C246" i="7"/>
  <c r="L245" i="7"/>
  <c r="K245" i="7"/>
  <c r="H245" i="7"/>
  <c r="U245" i="7" s="1"/>
  <c r="C245" i="7"/>
  <c r="E245" i="7" s="1"/>
  <c r="F245" i="7" s="1"/>
  <c r="L244" i="7"/>
  <c r="K244" i="7"/>
  <c r="H244" i="7"/>
  <c r="U244" i="7" s="1"/>
  <c r="C244" i="7"/>
  <c r="E244" i="7" s="1"/>
  <c r="F244" i="7" s="1"/>
  <c r="U243" i="7"/>
  <c r="L243" i="7"/>
  <c r="K243" i="7"/>
  <c r="H243" i="7"/>
  <c r="C243" i="7"/>
  <c r="E243" i="7" s="1"/>
  <c r="F243" i="7" s="1"/>
  <c r="L242" i="7"/>
  <c r="K242" i="7"/>
  <c r="H242" i="7"/>
  <c r="U242" i="7" s="1"/>
  <c r="C242" i="7"/>
  <c r="E242" i="7" s="1"/>
  <c r="F242" i="7" s="1"/>
  <c r="L241" i="7"/>
  <c r="K241" i="7"/>
  <c r="H241" i="7"/>
  <c r="U241" i="7" s="1"/>
  <c r="E241" i="7"/>
  <c r="F241" i="7" s="1"/>
  <c r="C241" i="7"/>
  <c r="L240" i="7"/>
  <c r="K240" i="7"/>
  <c r="H240" i="7"/>
  <c r="U240" i="7" s="1"/>
  <c r="C240" i="7"/>
  <c r="E240" i="7" s="1"/>
  <c r="F240" i="7" s="1"/>
  <c r="L239" i="7"/>
  <c r="I239" i="7" s="1"/>
  <c r="K239" i="7"/>
  <c r="H239" i="7"/>
  <c r="U239" i="7" s="1"/>
  <c r="C239" i="7"/>
  <c r="E239" i="7" s="1"/>
  <c r="F239" i="7" s="1"/>
  <c r="J239" i="7" s="1"/>
  <c r="L238" i="7"/>
  <c r="K238" i="7"/>
  <c r="H238" i="7"/>
  <c r="U238" i="7" s="1"/>
  <c r="E238" i="7"/>
  <c r="F238" i="7" s="1"/>
  <c r="C238" i="7"/>
  <c r="U237" i="7"/>
  <c r="L237" i="7"/>
  <c r="K237" i="7"/>
  <c r="H237" i="7"/>
  <c r="C237" i="7"/>
  <c r="E237" i="7" s="1"/>
  <c r="F237" i="7" s="1"/>
  <c r="L236" i="7"/>
  <c r="K236" i="7"/>
  <c r="H236" i="7"/>
  <c r="U236" i="7" s="1"/>
  <c r="C236" i="7"/>
  <c r="E236" i="7" s="1"/>
  <c r="F236" i="7" s="1"/>
  <c r="L235" i="7"/>
  <c r="K235" i="7"/>
  <c r="H235" i="7"/>
  <c r="U235" i="7" s="1"/>
  <c r="C235" i="7"/>
  <c r="E235" i="7" s="1"/>
  <c r="F235" i="7" s="1"/>
  <c r="L234" i="7"/>
  <c r="K234" i="7"/>
  <c r="H234" i="7"/>
  <c r="U234" i="7" s="1"/>
  <c r="E234" i="7"/>
  <c r="F234" i="7" s="1"/>
  <c r="C234" i="7"/>
  <c r="L233" i="7"/>
  <c r="K233" i="7"/>
  <c r="H233" i="7"/>
  <c r="U233" i="7" s="1"/>
  <c r="C233" i="7"/>
  <c r="E233" i="7" s="1"/>
  <c r="F233" i="7" s="1"/>
  <c r="L232" i="7"/>
  <c r="K232" i="7"/>
  <c r="H232" i="7"/>
  <c r="U232" i="7" s="1"/>
  <c r="C232" i="7"/>
  <c r="E232" i="7" s="1"/>
  <c r="F232" i="7" s="1"/>
  <c r="L231" i="7"/>
  <c r="I231" i="7" s="1"/>
  <c r="K231" i="7"/>
  <c r="H231" i="7"/>
  <c r="U231" i="7" s="1"/>
  <c r="C231" i="7"/>
  <c r="E231" i="7" s="1"/>
  <c r="F231" i="7" s="1"/>
  <c r="L230" i="7"/>
  <c r="K230" i="7"/>
  <c r="H230" i="7"/>
  <c r="U230" i="7" s="1"/>
  <c r="C230" i="7"/>
  <c r="E230" i="7" s="1"/>
  <c r="F230" i="7" s="1"/>
  <c r="I230" i="7" s="1"/>
  <c r="U229" i="7"/>
  <c r="L229" i="7"/>
  <c r="K229" i="7"/>
  <c r="H229" i="7"/>
  <c r="C229" i="7"/>
  <c r="E229" i="7" s="1"/>
  <c r="F229" i="7" s="1"/>
  <c r="L228" i="7"/>
  <c r="K228" i="7"/>
  <c r="H228" i="7"/>
  <c r="U228" i="7" s="1"/>
  <c r="C228" i="7"/>
  <c r="E228" i="7" s="1"/>
  <c r="F228" i="7" s="1"/>
  <c r="L227" i="7"/>
  <c r="K227" i="7"/>
  <c r="H227" i="7"/>
  <c r="U227" i="7" s="1"/>
  <c r="C227" i="7"/>
  <c r="E227" i="7" s="1"/>
  <c r="F227" i="7" s="1"/>
  <c r="I227" i="7" s="1"/>
  <c r="L226" i="7"/>
  <c r="K226" i="7"/>
  <c r="H226" i="7"/>
  <c r="U226" i="7" s="1"/>
  <c r="C226" i="7"/>
  <c r="E226" i="7" s="1"/>
  <c r="F226" i="7" s="1"/>
  <c r="I226" i="7" s="1"/>
  <c r="L225" i="7"/>
  <c r="K225" i="7"/>
  <c r="H225" i="7"/>
  <c r="U225" i="7" s="1"/>
  <c r="C225" i="7"/>
  <c r="E225" i="7" s="1"/>
  <c r="F225" i="7" s="1"/>
  <c r="U224" i="7"/>
  <c r="L224" i="7"/>
  <c r="K224" i="7"/>
  <c r="H224" i="7"/>
  <c r="C224" i="7"/>
  <c r="E224" i="7" s="1"/>
  <c r="F224" i="7" s="1"/>
  <c r="U223" i="7"/>
  <c r="L223" i="7"/>
  <c r="K223" i="7"/>
  <c r="H223" i="7"/>
  <c r="C223" i="7"/>
  <c r="E223" i="7" s="1"/>
  <c r="F223" i="7" s="1"/>
  <c r="L222" i="7"/>
  <c r="K222" i="7"/>
  <c r="H222" i="7"/>
  <c r="U222" i="7" s="1"/>
  <c r="C222" i="7"/>
  <c r="E222" i="7" s="1"/>
  <c r="F222" i="7" s="1"/>
  <c r="L221" i="7"/>
  <c r="K221" i="7"/>
  <c r="H221" i="7"/>
  <c r="U221" i="7" s="1"/>
  <c r="C221" i="7"/>
  <c r="E221" i="7" s="1"/>
  <c r="F221" i="7" s="1"/>
  <c r="L220" i="7"/>
  <c r="K220" i="7"/>
  <c r="H220" i="7"/>
  <c r="U220" i="7" s="1"/>
  <c r="C220" i="7"/>
  <c r="E220" i="7" s="1"/>
  <c r="F220" i="7" s="1"/>
  <c r="L219" i="7"/>
  <c r="K219" i="7"/>
  <c r="H219" i="7"/>
  <c r="U219" i="7" s="1"/>
  <c r="C219" i="7"/>
  <c r="E219" i="7" s="1"/>
  <c r="F219" i="7" s="1"/>
  <c r="L218" i="7"/>
  <c r="K218" i="7"/>
  <c r="H218" i="7"/>
  <c r="U218" i="7" s="1"/>
  <c r="C218" i="7"/>
  <c r="E218" i="7" s="1"/>
  <c r="F218" i="7" s="1"/>
  <c r="L217" i="7"/>
  <c r="K217" i="7"/>
  <c r="H217" i="7"/>
  <c r="U217" i="7" s="1"/>
  <c r="C217" i="7"/>
  <c r="E217" i="7" s="1"/>
  <c r="F217" i="7" s="1"/>
  <c r="L216" i="7"/>
  <c r="K216" i="7"/>
  <c r="H216" i="7"/>
  <c r="U216" i="7" s="1"/>
  <c r="C216" i="7"/>
  <c r="E216" i="7" s="1"/>
  <c r="F216" i="7" s="1"/>
  <c r="L215" i="7"/>
  <c r="K215" i="7"/>
  <c r="H215" i="7"/>
  <c r="U215" i="7" s="1"/>
  <c r="C215" i="7"/>
  <c r="E215" i="7" s="1"/>
  <c r="F215" i="7" s="1"/>
  <c r="L214" i="7"/>
  <c r="K214" i="7"/>
  <c r="H214" i="7"/>
  <c r="U214" i="7" s="1"/>
  <c r="C214" i="7"/>
  <c r="E214" i="7" s="1"/>
  <c r="F214" i="7" s="1"/>
  <c r="L213" i="7"/>
  <c r="K213" i="7"/>
  <c r="H213" i="7"/>
  <c r="U213" i="7" s="1"/>
  <c r="C213" i="7"/>
  <c r="E213" i="7" s="1"/>
  <c r="F213" i="7" s="1"/>
  <c r="L212" i="7"/>
  <c r="K212" i="7"/>
  <c r="H212" i="7"/>
  <c r="U212" i="7" s="1"/>
  <c r="C212" i="7"/>
  <c r="E212" i="7" s="1"/>
  <c r="F212" i="7" s="1"/>
  <c r="L211" i="7"/>
  <c r="K211" i="7"/>
  <c r="H211" i="7"/>
  <c r="U211" i="7" s="1"/>
  <c r="C211" i="7"/>
  <c r="E211" i="7" s="1"/>
  <c r="F211" i="7" s="1"/>
  <c r="I211" i="7" s="1"/>
  <c r="L210" i="7"/>
  <c r="K210" i="7"/>
  <c r="H210" i="7"/>
  <c r="U210" i="7" s="1"/>
  <c r="E210" i="7"/>
  <c r="F210" i="7" s="1"/>
  <c r="C210" i="7"/>
  <c r="L209" i="7"/>
  <c r="K209" i="7"/>
  <c r="H209" i="7"/>
  <c r="U209" i="7" s="1"/>
  <c r="C209" i="7"/>
  <c r="E209" i="7" s="1"/>
  <c r="F209" i="7" s="1"/>
  <c r="U208" i="7"/>
  <c r="L208" i="7"/>
  <c r="K208" i="7"/>
  <c r="H208" i="7"/>
  <c r="C208" i="7"/>
  <c r="E208" i="7" s="1"/>
  <c r="F208" i="7" s="1"/>
  <c r="L207" i="7"/>
  <c r="K207" i="7"/>
  <c r="H207" i="7"/>
  <c r="U207" i="7" s="1"/>
  <c r="C207" i="7"/>
  <c r="E207" i="7" s="1"/>
  <c r="F207" i="7" s="1"/>
  <c r="J207" i="7" s="1"/>
  <c r="L206" i="7"/>
  <c r="K206" i="7"/>
  <c r="H206" i="7"/>
  <c r="U206" i="7" s="1"/>
  <c r="E206" i="7"/>
  <c r="F206" i="7" s="1"/>
  <c r="C206" i="7"/>
  <c r="U205" i="7"/>
  <c r="L205" i="7"/>
  <c r="K205" i="7"/>
  <c r="H205" i="7"/>
  <c r="C205" i="7"/>
  <c r="E205" i="7" s="1"/>
  <c r="F205" i="7" s="1"/>
  <c r="L204" i="7"/>
  <c r="K204" i="7"/>
  <c r="H204" i="7"/>
  <c r="U204" i="7" s="1"/>
  <c r="C204" i="7"/>
  <c r="E204" i="7" s="1"/>
  <c r="F204" i="7" s="1"/>
  <c r="U203" i="7"/>
  <c r="L203" i="7"/>
  <c r="K203" i="7"/>
  <c r="H203" i="7"/>
  <c r="C203" i="7"/>
  <c r="E203" i="7" s="1"/>
  <c r="F203" i="7" s="1"/>
  <c r="L202" i="7"/>
  <c r="K202" i="7"/>
  <c r="H202" i="7"/>
  <c r="U202" i="7" s="1"/>
  <c r="C202" i="7"/>
  <c r="E202" i="7" s="1"/>
  <c r="F202" i="7" s="1"/>
  <c r="L201" i="7"/>
  <c r="K201" i="7"/>
  <c r="H201" i="7"/>
  <c r="U201" i="7" s="1"/>
  <c r="C201" i="7"/>
  <c r="E201" i="7" s="1"/>
  <c r="F201" i="7" s="1"/>
  <c r="U200" i="7"/>
  <c r="L200" i="7"/>
  <c r="K200" i="7"/>
  <c r="H200" i="7"/>
  <c r="E200" i="7"/>
  <c r="F200" i="7" s="1"/>
  <c r="C200" i="7"/>
  <c r="L199" i="7"/>
  <c r="K199" i="7"/>
  <c r="H199" i="7"/>
  <c r="U199" i="7" s="1"/>
  <c r="C199" i="7"/>
  <c r="E199" i="7" s="1"/>
  <c r="F199" i="7" s="1"/>
  <c r="L198" i="7"/>
  <c r="K198" i="7"/>
  <c r="H198" i="7"/>
  <c r="U198" i="7" s="1"/>
  <c r="C198" i="7"/>
  <c r="E198" i="7" s="1"/>
  <c r="F198" i="7" s="1"/>
  <c r="L197" i="7"/>
  <c r="K197" i="7"/>
  <c r="H197" i="7"/>
  <c r="U197" i="7" s="1"/>
  <c r="C197" i="7"/>
  <c r="E197" i="7" s="1"/>
  <c r="F197" i="7" s="1"/>
  <c r="J197" i="7" s="1"/>
  <c r="U196" i="7"/>
  <c r="L196" i="7"/>
  <c r="K196" i="7"/>
  <c r="H196" i="7"/>
  <c r="C196" i="7"/>
  <c r="E196" i="7" s="1"/>
  <c r="F196" i="7" s="1"/>
  <c r="U195" i="7"/>
  <c r="L195" i="7"/>
  <c r="K195" i="7"/>
  <c r="H195" i="7"/>
  <c r="C195" i="7"/>
  <c r="E195" i="7" s="1"/>
  <c r="F195" i="7" s="1"/>
  <c r="L194" i="7"/>
  <c r="K194" i="7"/>
  <c r="H194" i="7"/>
  <c r="U194" i="7" s="1"/>
  <c r="C194" i="7"/>
  <c r="E194" i="7" s="1"/>
  <c r="F194" i="7" s="1"/>
  <c r="U193" i="7"/>
  <c r="L193" i="7"/>
  <c r="K193" i="7"/>
  <c r="H193" i="7"/>
  <c r="C193" i="7"/>
  <c r="E193" i="7" s="1"/>
  <c r="F193" i="7" s="1"/>
  <c r="L192" i="7"/>
  <c r="K192" i="7"/>
  <c r="H192" i="7"/>
  <c r="U192" i="7" s="1"/>
  <c r="C192" i="7"/>
  <c r="E192" i="7" s="1"/>
  <c r="F192" i="7" s="1"/>
  <c r="L191" i="7"/>
  <c r="K191" i="7"/>
  <c r="H191" i="7"/>
  <c r="U191" i="7" s="1"/>
  <c r="C191" i="7"/>
  <c r="E191" i="7" s="1"/>
  <c r="F191" i="7" s="1"/>
  <c r="L190" i="7"/>
  <c r="K190" i="7"/>
  <c r="H190" i="7"/>
  <c r="U190" i="7" s="1"/>
  <c r="C190" i="7"/>
  <c r="E190" i="7" s="1"/>
  <c r="F190" i="7" s="1"/>
  <c r="L189" i="7"/>
  <c r="K189" i="7"/>
  <c r="H189" i="7"/>
  <c r="U189" i="7" s="1"/>
  <c r="C189" i="7"/>
  <c r="E189" i="7" s="1"/>
  <c r="F189" i="7" s="1"/>
  <c r="L188" i="7"/>
  <c r="K188" i="7"/>
  <c r="H188" i="7"/>
  <c r="U188" i="7" s="1"/>
  <c r="E188" i="7"/>
  <c r="F188" i="7" s="1"/>
  <c r="C188" i="7"/>
  <c r="L187" i="7"/>
  <c r="K187" i="7"/>
  <c r="H187" i="7"/>
  <c r="U187" i="7" s="1"/>
  <c r="C187" i="7"/>
  <c r="E187" i="7" s="1"/>
  <c r="F187" i="7" s="1"/>
  <c r="L186" i="7"/>
  <c r="K186" i="7"/>
  <c r="H186" i="7"/>
  <c r="U186" i="7" s="1"/>
  <c r="C186" i="7"/>
  <c r="E186" i="7" s="1"/>
  <c r="F186" i="7" s="1"/>
  <c r="L185" i="7"/>
  <c r="I185" i="7" s="1"/>
  <c r="K185" i="7"/>
  <c r="H185" i="7"/>
  <c r="U185" i="7" s="1"/>
  <c r="C185" i="7"/>
  <c r="E185" i="7" s="1"/>
  <c r="F185" i="7" s="1"/>
  <c r="J185" i="7" s="1"/>
  <c r="L184" i="7"/>
  <c r="K184" i="7"/>
  <c r="H184" i="7"/>
  <c r="U184" i="7" s="1"/>
  <c r="C184" i="7"/>
  <c r="E184" i="7" s="1"/>
  <c r="F184" i="7" s="1"/>
  <c r="L183" i="7"/>
  <c r="I183" i="7" s="1"/>
  <c r="K183" i="7"/>
  <c r="H183" i="7"/>
  <c r="U183" i="7" s="1"/>
  <c r="C183" i="7"/>
  <c r="E183" i="7" s="1"/>
  <c r="F183" i="7" s="1"/>
  <c r="L182" i="7"/>
  <c r="K182" i="7"/>
  <c r="H182" i="7"/>
  <c r="U182" i="7" s="1"/>
  <c r="C182" i="7"/>
  <c r="E182" i="7" s="1"/>
  <c r="F182" i="7" s="1"/>
  <c r="L181" i="7"/>
  <c r="K181" i="7"/>
  <c r="H181" i="7"/>
  <c r="U181" i="7" s="1"/>
  <c r="C181" i="7"/>
  <c r="E181" i="7" s="1"/>
  <c r="F181" i="7" s="1"/>
  <c r="L180" i="7"/>
  <c r="K180" i="7"/>
  <c r="H180" i="7"/>
  <c r="U180" i="7" s="1"/>
  <c r="C180" i="7"/>
  <c r="E180" i="7" s="1"/>
  <c r="F180" i="7" s="1"/>
  <c r="L179" i="7"/>
  <c r="K179" i="7"/>
  <c r="H179" i="7"/>
  <c r="U179" i="7" s="1"/>
  <c r="C179" i="7"/>
  <c r="E179" i="7" s="1"/>
  <c r="F179" i="7" s="1"/>
  <c r="L178" i="7"/>
  <c r="K178" i="7"/>
  <c r="H178" i="7"/>
  <c r="U178" i="7" s="1"/>
  <c r="C178" i="7"/>
  <c r="E178" i="7" s="1"/>
  <c r="F178" i="7" s="1"/>
  <c r="L177" i="7"/>
  <c r="K177" i="7"/>
  <c r="H177" i="7"/>
  <c r="U177" i="7" s="1"/>
  <c r="C177" i="7"/>
  <c r="E177" i="7" s="1"/>
  <c r="F177" i="7" s="1"/>
  <c r="L176" i="7"/>
  <c r="K176" i="7"/>
  <c r="H176" i="7"/>
  <c r="U176" i="7" s="1"/>
  <c r="E176" i="7"/>
  <c r="F176" i="7" s="1"/>
  <c r="C176" i="7"/>
  <c r="L175" i="7"/>
  <c r="K175" i="7"/>
  <c r="H175" i="7"/>
  <c r="U175" i="7" s="1"/>
  <c r="C175" i="7"/>
  <c r="E175" i="7" s="1"/>
  <c r="F175" i="7" s="1"/>
  <c r="U174" i="7"/>
  <c r="L174" i="7"/>
  <c r="K174" i="7"/>
  <c r="H174" i="7"/>
  <c r="C174" i="7"/>
  <c r="E174" i="7" s="1"/>
  <c r="F174" i="7" s="1"/>
  <c r="L173" i="7"/>
  <c r="K173" i="7"/>
  <c r="H173" i="7"/>
  <c r="U173" i="7" s="1"/>
  <c r="C173" i="7"/>
  <c r="E173" i="7" s="1"/>
  <c r="F173" i="7" s="1"/>
  <c r="I173" i="7" s="1"/>
  <c r="L172" i="7"/>
  <c r="K172" i="7"/>
  <c r="H172" i="7"/>
  <c r="U172" i="7" s="1"/>
  <c r="C172" i="7"/>
  <c r="E172" i="7" s="1"/>
  <c r="F172" i="7" s="1"/>
  <c r="L171" i="7"/>
  <c r="K171" i="7"/>
  <c r="H171" i="7"/>
  <c r="U171" i="7" s="1"/>
  <c r="C171" i="7"/>
  <c r="E171" i="7" s="1"/>
  <c r="F171" i="7" s="1"/>
  <c r="J171" i="7" s="1"/>
  <c r="L170" i="7"/>
  <c r="K170" i="7"/>
  <c r="H170" i="7"/>
  <c r="U170" i="7" s="1"/>
  <c r="C170" i="7"/>
  <c r="E170" i="7" s="1"/>
  <c r="F170" i="7" s="1"/>
  <c r="L169" i="7"/>
  <c r="K169" i="7"/>
  <c r="H169" i="7"/>
  <c r="U169" i="7" s="1"/>
  <c r="C169" i="7"/>
  <c r="E169" i="7" s="1"/>
  <c r="F169" i="7" s="1"/>
  <c r="L168" i="7"/>
  <c r="K168" i="7"/>
  <c r="H168" i="7"/>
  <c r="U168" i="7" s="1"/>
  <c r="C168" i="7"/>
  <c r="E168" i="7" s="1"/>
  <c r="F168" i="7" s="1"/>
  <c r="U167" i="7"/>
  <c r="L167" i="7"/>
  <c r="K167" i="7"/>
  <c r="H167" i="7"/>
  <c r="C167" i="7"/>
  <c r="E167" i="7" s="1"/>
  <c r="F167" i="7" s="1"/>
  <c r="L166" i="7"/>
  <c r="K166" i="7"/>
  <c r="H166" i="7"/>
  <c r="U166" i="7" s="1"/>
  <c r="C166" i="7"/>
  <c r="E166" i="7" s="1"/>
  <c r="F166" i="7" s="1"/>
  <c r="L165" i="7"/>
  <c r="K165" i="7"/>
  <c r="H165" i="7"/>
  <c r="U165" i="7" s="1"/>
  <c r="C165" i="7"/>
  <c r="E165" i="7" s="1"/>
  <c r="F165" i="7" s="1"/>
  <c r="L164" i="7"/>
  <c r="K164" i="7"/>
  <c r="H164" i="7"/>
  <c r="U164" i="7" s="1"/>
  <c r="E164" i="7"/>
  <c r="F164" i="7" s="1"/>
  <c r="C164" i="7"/>
  <c r="L163" i="7"/>
  <c r="K163" i="7"/>
  <c r="H163" i="7"/>
  <c r="U163" i="7" s="1"/>
  <c r="C163" i="7"/>
  <c r="E163" i="7" s="1"/>
  <c r="F163" i="7" s="1"/>
  <c r="L162" i="7"/>
  <c r="K162" i="7"/>
  <c r="H162" i="7"/>
  <c r="U162" i="7" s="1"/>
  <c r="C162" i="7"/>
  <c r="E162" i="7" s="1"/>
  <c r="F162" i="7" s="1"/>
  <c r="L161" i="7"/>
  <c r="K161" i="7"/>
  <c r="H161" i="7"/>
  <c r="U161" i="7" s="1"/>
  <c r="C161" i="7"/>
  <c r="E161" i="7" s="1"/>
  <c r="F161" i="7" s="1"/>
  <c r="I161" i="7" s="1"/>
  <c r="L160" i="7"/>
  <c r="K160" i="7"/>
  <c r="H160" i="7"/>
  <c r="U160" i="7" s="1"/>
  <c r="E160" i="7"/>
  <c r="F160" i="7" s="1"/>
  <c r="C160" i="7"/>
  <c r="L159" i="7"/>
  <c r="K159" i="7"/>
  <c r="I159" i="7"/>
  <c r="H159" i="7"/>
  <c r="U159" i="7" s="1"/>
  <c r="C159" i="7"/>
  <c r="E159" i="7" s="1"/>
  <c r="F159" i="7" s="1"/>
  <c r="L158" i="7"/>
  <c r="K158" i="7"/>
  <c r="H158" i="7"/>
  <c r="U158" i="7" s="1"/>
  <c r="C158" i="7"/>
  <c r="E158" i="7" s="1"/>
  <c r="F158" i="7" s="1"/>
  <c r="L157" i="7"/>
  <c r="K157" i="7"/>
  <c r="H157" i="7"/>
  <c r="U157" i="7" s="1"/>
  <c r="C157" i="7"/>
  <c r="E157" i="7" s="1"/>
  <c r="F157" i="7" s="1"/>
  <c r="U156" i="7"/>
  <c r="L156" i="7"/>
  <c r="K156" i="7"/>
  <c r="H156" i="7"/>
  <c r="C156" i="7"/>
  <c r="E156" i="7" s="1"/>
  <c r="F156" i="7" s="1"/>
  <c r="L155" i="7"/>
  <c r="K155" i="7"/>
  <c r="H155" i="7"/>
  <c r="U155" i="7" s="1"/>
  <c r="C155" i="7"/>
  <c r="E155" i="7" s="1"/>
  <c r="F155" i="7" s="1"/>
  <c r="I155" i="7" s="1"/>
  <c r="L154" i="7"/>
  <c r="K154" i="7"/>
  <c r="H154" i="7"/>
  <c r="U154" i="7" s="1"/>
  <c r="C154" i="7"/>
  <c r="E154" i="7" s="1"/>
  <c r="F154" i="7" s="1"/>
  <c r="L153" i="7"/>
  <c r="K153" i="7"/>
  <c r="H153" i="7"/>
  <c r="U153" i="7" s="1"/>
  <c r="C153" i="7"/>
  <c r="E153" i="7" s="1"/>
  <c r="F153" i="7" s="1"/>
  <c r="L152" i="7"/>
  <c r="K152" i="7"/>
  <c r="H152" i="7"/>
  <c r="U152" i="7" s="1"/>
  <c r="C152" i="7"/>
  <c r="E152" i="7" s="1"/>
  <c r="F152" i="7" s="1"/>
  <c r="L151" i="7"/>
  <c r="K151" i="7"/>
  <c r="H151" i="7"/>
  <c r="U151" i="7" s="1"/>
  <c r="C151" i="7"/>
  <c r="E151" i="7" s="1"/>
  <c r="F151" i="7" s="1"/>
  <c r="L150" i="7"/>
  <c r="K150" i="7"/>
  <c r="H150" i="7"/>
  <c r="U150" i="7" s="1"/>
  <c r="C150" i="7"/>
  <c r="E150" i="7" s="1"/>
  <c r="F150" i="7" s="1"/>
  <c r="L149" i="7"/>
  <c r="J149" i="7" s="1"/>
  <c r="K149" i="7"/>
  <c r="H149" i="7"/>
  <c r="U149" i="7" s="1"/>
  <c r="C149" i="7"/>
  <c r="E149" i="7" s="1"/>
  <c r="F149" i="7" s="1"/>
  <c r="L148" i="7"/>
  <c r="K148" i="7"/>
  <c r="H148" i="7"/>
  <c r="U148" i="7" s="1"/>
  <c r="C148" i="7"/>
  <c r="E148" i="7" s="1"/>
  <c r="F148" i="7" s="1"/>
  <c r="L147" i="7"/>
  <c r="K147" i="7"/>
  <c r="I147" i="7"/>
  <c r="H147" i="7"/>
  <c r="U147" i="7" s="1"/>
  <c r="C147" i="7"/>
  <c r="E147" i="7" s="1"/>
  <c r="F147" i="7" s="1"/>
  <c r="L146" i="7"/>
  <c r="K146" i="7"/>
  <c r="H146" i="7"/>
  <c r="U146" i="7" s="1"/>
  <c r="C146" i="7"/>
  <c r="E146" i="7" s="1"/>
  <c r="F146" i="7" s="1"/>
  <c r="L145" i="7"/>
  <c r="K145" i="7"/>
  <c r="H145" i="7"/>
  <c r="U145" i="7" s="1"/>
  <c r="C145" i="7"/>
  <c r="E145" i="7" s="1"/>
  <c r="F145" i="7" s="1"/>
  <c r="L144" i="7"/>
  <c r="K144" i="7"/>
  <c r="H144" i="7"/>
  <c r="U144" i="7" s="1"/>
  <c r="C144" i="7"/>
  <c r="E144" i="7" s="1"/>
  <c r="F144" i="7" s="1"/>
  <c r="L143" i="7"/>
  <c r="K143" i="7"/>
  <c r="H143" i="7"/>
  <c r="U143" i="7" s="1"/>
  <c r="C143" i="7"/>
  <c r="E143" i="7" s="1"/>
  <c r="F143" i="7" s="1"/>
  <c r="L142" i="7"/>
  <c r="K142" i="7"/>
  <c r="H142" i="7"/>
  <c r="U142" i="7" s="1"/>
  <c r="E142" i="7"/>
  <c r="F142" i="7" s="1"/>
  <c r="C142" i="7"/>
  <c r="L141" i="7"/>
  <c r="K141" i="7"/>
  <c r="H141" i="7"/>
  <c r="U141" i="7" s="1"/>
  <c r="C141" i="7"/>
  <c r="E141" i="7" s="1"/>
  <c r="F141" i="7" s="1"/>
  <c r="J141" i="7" s="1"/>
  <c r="L140" i="7"/>
  <c r="K140" i="7"/>
  <c r="H140" i="7"/>
  <c r="U140" i="7" s="1"/>
  <c r="C140" i="7"/>
  <c r="E140" i="7" s="1"/>
  <c r="F140" i="7" s="1"/>
  <c r="L139" i="7"/>
  <c r="K139" i="7"/>
  <c r="H139" i="7"/>
  <c r="U139" i="7" s="1"/>
  <c r="C139" i="7"/>
  <c r="E139" i="7" s="1"/>
  <c r="F139" i="7" s="1"/>
  <c r="L138" i="7"/>
  <c r="K138" i="7"/>
  <c r="H138" i="7"/>
  <c r="U138" i="7" s="1"/>
  <c r="C138" i="7"/>
  <c r="E138" i="7" s="1"/>
  <c r="F138" i="7" s="1"/>
  <c r="L137" i="7"/>
  <c r="K137" i="7"/>
  <c r="H137" i="7"/>
  <c r="U137" i="7" s="1"/>
  <c r="C137" i="7"/>
  <c r="E137" i="7" s="1"/>
  <c r="F137" i="7" s="1"/>
  <c r="L136" i="7"/>
  <c r="K136" i="7"/>
  <c r="H136" i="7"/>
  <c r="U136" i="7" s="1"/>
  <c r="C136" i="7"/>
  <c r="E136" i="7" s="1"/>
  <c r="F136" i="7" s="1"/>
  <c r="L135" i="7"/>
  <c r="K135" i="7"/>
  <c r="H135" i="7"/>
  <c r="U135" i="7" s="1"/>
  <c r="C135" i="7"/>
  <c r="E135" i="7" s="1"/>
  <c r="F135" i="7" s="1"/>
  <c r="L134" i="7"/>
  <c r="K134" i="7"/>
  <c r="H134" i="7"/>
  <c r="U134" i="7" s="1"/>
  <c r="C134" i="7"/>
  <c r="E134" i="7" s="1"/>
  <c r="F134" i="7" s="1"/>
  <c r="J134" i="7" s="1"/>
  <c r="L133" i="7"/>
  <c r="K133" i="7"/>
  <c r="H133" i="7"/>
  <c r="U133" i="7" s="1"/>
  <c r="C133" i="7"/>
  <c r="E133" i="7" s="1"/>
  <c r="F133" i="7" s="1"/>
  <c r="L132" i="7"/>
  <c r="K132" i="7"/>
  <c r="H132" i="7"/>
  <c r="U132" i="7" s="1"/>
  <c r="C132" i="7"/>
  <c r="E132" i="7" s="1"/>
  <c r="F132" i="7" s="1"/>
  <c r="L131" i="7"/>
  <c r="K131" i="7"/>
  <c r="H131" i="7"/>
  <c r="U131" i="7" s="1"/>
  <c r="C131" i="7"/>
  <c r="E131" i="7" s="1"/>
  <c r="F131" i="7" s="1"/>
  <c r="L130" i="7"/>
  <c r="K130" i="7"/>
  <c r="H130" i="7"/>
  <c r="U130" i="7" s="1"/>
  <c r="C130" i="7"/>
  <c r="E130" i="7" s="1"/>
  <c r="F130" i="7" s="1"/>
  <c r="J130" i="7" s="1"/>
  <c r="U129" i="7"/>
  <c r="L129" i="7"/>
  <c r="K129" i="7"/>
  <c r="H129" i="7"/>
  <c r="C129" i="7"/>
  <c r="E129" i="7" s="1"/>
  <c r="F129" i="7" s="1"/>
  <c r="L128" i="7"/>
  <c r="K128" i="7"/>
  <c r="H128" i="7"/>
  <c r="U128" i="7" s="1"/>
  <c r="C128" i="7"/>
  <c r="E128" i="7" s="1"/>
  <c r="F128" i="7" s="1"/>
  <c r="L127" i="7"/>
  <c r="K127" i="7"/>
  <c r="H127" i="7"/>
  <c r="U127" i="7" s="1"/>
  <c r="C127" i="7"/>
  <c r="E127" i="7" s="1"/>
  <c r="F127" i="7" s="1"/>
  <c r="L126" i="7"/>
  <c r="K126" i="7"/>
  <c r="H126" i="7"/>
  <c r="U126" i="7" s="1"/>
  <c r="C126" i="7"/>
  <c r="E126" i="7" s="1"/>
  <c r="F126" i="7" s="1"/>
  <c r="L125" i="7"/>
  <c r="K125" i="7"/>
  <c r="H125" i="7"/>
  <c r="U125" i="7" s="1"/>
  <c r="C125" i="7"/>
  <c r="E125" i="7" s="1"/>
  <c r="F125" i="7" s="1"/>
  <c r="L124" i="7"/>
  <c r="K124" i="7"/>
  <c r="H124" i="7"/>
  <c r="U124" i="7" s="1"/>
  <c r="C124" i="7"/>
  <c r="E124" i="7" s="1"/>
  <c r="F124" i="7" s="1"/>
  <c r="U123" i="7"/>
  <c r="L123" i="7"/>
  <c r="K123" i="7"/>
  <c r="H123" i="7"/>
  <c r="C123" i="7"/>
  <c r="E123" i="7" s="1"/>
  <c r="F123" i="7" s="1"/>
  <c r="L122" i="7"/>
  <c r="K122" i="7"/>
  <c r="H122" i="7"/>
  <c r="U122" i="7" s="1"/>
  <c r="C122" i="7"/>
  <c r="E122" i="7" s="1"/>
  <c r="F122" i="7" s="1"/>
  <c r="J122" i="7" s="1"/>
  <c r="L121" i="7"/>
  <c r="K121" i="7"/>
  <c r="H121" i="7"/>
  <c r="U121" i="7" s="1"/>
  <c r="C121" i="7"/>
  <c r="E121" i="7" s="1"/>
  <c r="F121" i="7" s="1"/>
  <c r="L120" i="7"/>
  <c r="K120" i="7"/>
  <c r="H120" i="7"/>
  <c r="U120" i="7" s="1"/>
  <c r="C120" i="7"/>
  <c r="E120" i="7" s="1"/>
  <c r="F120" i="7" s="1"/>
  <c r="U119" i="7"/>
  <c r="L119" i="7"/>
  <c r="K119" i="7"/>
  <c r="H119" i="7"/>
  <c r="C119" i="7"/>
  <c r="E119" i="7" s="1"/>
  <c r="F119" i="7" s="1"/>
  <c r="L118" i="7"/>
  <c r="K118" i="7"/>
  <c r="H118" i="7"/>
  <c r="U118" i="7" s="1"/>
  <c r="C118" i="7"/>
  <c r="E118" i="7" s="1"/>
  <c r="F118" i="7" s="1"/>
  <c r="I118" i="7" s="1"/>
  <c r="L117" i="7"/>
  <c r="K117" i="7"/>
  <c r="H117" i="7"/>
  <c r="U117" i="7" s="1"/>
  <c r="C117" i="7"/>
  <c r="E117" i="7" s="1"/>
  <c r="F117" i="7" s="1"/>
  <c r="L116" i="7"/>
  <c r="K116" i="7"/>
  <c r="H116" i="7"/>
  <c r="U116" i="7" s="1"/>
  <c r="C116" i="7"/>
  <c r="E116" i="7" s="1"/>
  <c r="F116" i="7" s="1"/>
  <c r="L115" i="7"/>
  <c r="K115" i="7"/>
  <c r="H115" i="7"/>
  <c r="U115" i="7" s="1"/>
  <c r="C115" i="7"/>
  <c r="E115" i="7" s="1"/>
  <c r="F115" i="7" s="1"/>
  <c r="L114" i="7"/>
  <c r="K114" i="7"/>
  <c r="H114" i="7"/>
  <c r="U114" i="7" s="1"/>
  <c r="C114" i="7"/>
  <c r="E114" i="7" s="1"/>
  <c r="F114" i="7" s="1"/>
  <c r="U113" i="7"/>
  <c r="L113" i="7"/>
  <c r="K113" i="7"/>
  <c r="H113" i="7"/>
  <c r="C113" i="7"/>
  <c r="E113" i="7" s="1"/>
  <c r="F113" i="7" s="1"/>
  <c r="I113" i="7" s="1"/>
  <c r="L112" i="7"/>
  <c r="K112" i="7"/>
  <c r="H112" i="7"/>
  <c r="U112" i="7" s="1"/>
  <c r="E112" i="7"/>
  <c r="F112" i="7" s="1"/>
  <c r="C112" i="7"/>
  <c r="U111" i="7"/>
  <c r="L111" i="7"/>
  <c r="K111" i="7"/>
  <c r="H111" i="7"/>
  <c r="C111" i="7"/>
  <c r="E111" i="7" s="1"/>
  <c r="F111" i="7" s="1"/>
  <c r="L110" i="7"/>
  <c r="K110" i="7"/>
  <c r="H110" i="7"/>
  <c r="U110" i="7" s="1"/>
  <c r="C110" i="7"/>
  <c r="E110" i="7" s="1"/>
  <c r="F110" i="7" s="1"/>
  <c r="I110" i="7" s="1"/>
  <c r="L109" i="7"/>
  <c r="K109" i="7"/>
  <c r="H109" i="7"/>
  <c r="U109" i="7" s="1"/>
  <c r="E109" i="7"/>
  <c r="F109" i="7" s="1"/>
  <c r="C109" i="7"/>
  <c r="L108" i="7"/>
  <c r="K108" i="7"/>
  <c r="H108" i="7"/>
  <c r="U108" i="7" s="1"/>
  <c r="C108" i="7"/>
  <c r="E108" i="7" s="1"/>
  <c r="F108" i="7" s="1"/>
  <c r="U107" i="7"/>
  <c r="L107" i="7"/>
  <c r="K107" i="7"/>
  <c r="H107" i="7"/>
  <c r="C107" i="7"/>
  <c r="E107" i="7" s="1"/>
  <c r="F107" i="7" s="1"/>
  <c r="L106" i="7"/>
  <c r="K106" i="7"/>
  <c r="H106" i="7"/>
  <c r="U106" i="7" s="1"/>
  <c r="E106" i="7"/>
  <c r="F106" i="7" s="1"/>
  <c r="C106" i="7"/>
  <c r="U105" i="7"/>
  <c r="L105" i="7"/>
  <c r="K105" i="7"/>
  <c r="H105" i="7"/>
  <c r="C105" i="7"/>
  <c r="E105" i="7" s="1"/>
  <c r="F105" i="7" s="1"/>
  <c r="L104" i="7"/>
  <c r="K104" i="7"/>
  <c r="H104" i="7"/>
  <c r="U104" i="7" s="1"/>
  <c r="C104" i="7"/>
  <c r="E104" i="7" s="1"/>
  <c r="F104" i="7" s="1"/>
  <c r="L103" i="7"/>
  <c r="K103" i="7"/>
  <c r="H103" i="7"/>
  <c r="U103" i="7" s="1"/>
  <c r="C103" i="7"/>
  <c r="E103" i="7" s="1"/>
  <c r="F103" i="7" s="1"/>
  <c r="L102" i="7"/>
  <c r="K102" i="7"/>
  <c r="H102" i="7"/>
  <c r="U102" i="7" s="1"/>
  <c r="F102" i="7"/>
  <c r="C102" i="7"/>
  <c r="E102" i="7" s="1"/>
  <c r="L101" i="7"/>
  <c r="K101" i="7"/>
  <c r="H101" i="7"/>
  <c r="U101" i="7" s="1"/>
  <c r="C101" i="7"/>
  <c r="E101" i="7" s="1"/>
  <c r="F101" i="7" s="1"/>
  <c r="L100" i="7"/>
  <c r="K100" i="7"/>
  <c r="H100" i="7"/>
  <c r="U100" i="7" s="1"/>
  <c r="C100" i="7"/>
  <c r="E100" i="7" s="1"/>
  <c r="F100" i="7" s="1"/>
  <c r="L99" i="7"/>
  <c r="I99" i="7" s="1"/>
  <c r="K99" i="7"/>
  <c r="H99" i="7"/>
  <c r="U99" i="7" s="1"/>
  <c r="C99" i="7"/>
  <c r="E99" i="7" s="1"/>
  <c r="F99" i="7" s="1"/>
  <c r="L98" i="7"/>
  <c r="K98" i="7"/>
  <c r="H98" i="7"/>
  <c r="U98" i="7" s="1"/>
  <c r="C98" i="7"/>
  <c r="E98" i="7" s="1"/>
  <c r="F98" i="7" s="1"/>
  <c r="I98" i="7" s="1"/>
  <c r="U97" i="7"/>
  <c r="L97" i="7"/>
  <c r="K97" i="7"/>
  <c r="H97" i="7"/>
  <c r="C97" i="7"/>
  <c r="E97" i="7" s="1"/>
  <c r="F97" i="7" s="1"/>
  <c r="L96" i="7"/>
  <c r="K96" i="7"/>
  <c r="H96" i="7"/>
  <c r="U96" i="7" s="1"/>
  <c r="C96" i="7"/>
  <c r="E96" i="7" s="1"/>
  <c r="F96" i="7" s="1"/>
  <c r="L95" i="7"/>
  <c r="K95" i="7"/>
  <c r="H95" i="7"/>
  <c r="U95" i="7" s="1"/>
  <c r="C95" i="7"/>
  <c r="E95" i="7" s="1"/>
  <c r="F95" i="7" s="1"/>
  <c r="L94" i="7"/>
  <c r="K94" i="7"/>
  <c r="H94" i="7"/>
  <c r="U94" i="7" s="1"/>
  <c r="C94" i="7"/>
  <c r="E94" i="7" s="1"/>
  <c r="F94" i="7" s="1"/>
  <c r="L93" i="7"/>
  <c r="K93" i="7"/>
  <c r="H93" i="7"/>
  <c r="U93" i="7" s="1"/>
  <c r="C93" i="7"/>
  <c r="E93" i="7" s="1"/>
  <c r="F93" i="7" s="1"/>
  <c r="L92" i="7"/>
  <c r="K92" i="7"/>
  <c r="H92" i="7"/>
  <c r="U92" i="7" s="1"/>
  <c r="C92" i="7"/>
  <c r="E92" i="7" s="1"/>
  <c r="F92" i="7" s="1"/>
  <c r="U91" i="7"/>
  <c r="L91" i="7"/>
  <c r="I91" i="7" s="1"/>
  <c r="K91" i="7"/>
  <c r="H91" i="7"/>
  <c r="C91" i="7"/>
  <c r="E91" i="7" s="1"/>
  <c r="F91" i="7" s="1"/>
  <c r="L90" i="7"/>
  <c r="K90" i="7"/>
  <c r="H90" i="7"/>
  <c r="U90" i="7" s="1"/>
  <c r="C90" i="7"/>
  <c r="E90" i="7" s="1"/>
  <c r="F90" i="7" s="1"/>
  <c r="U89" i="7"/>
  <c r="L89" i="7"/>
  <c r="K89" i="7"/>
  <c r="J89" i="7"/>
  <c r="H89" i="7"/>
  <c r="C89" i="7"/>
  <c r="E89" i="7" s="1"/>
  <c r="F89" i="7" s="1"/>
  <c r="L88" i="7"/>
  <c r="K88" i="7"/>
  <c r="H88" i="7"/>
  <c r="U88" i="7" s="1"/>
  <c r="C88" i="7"/>
  <c r="E88" i="7" s="1"/>
  <c r="F88" i="7" s="1"/>
  <c r="U87" i="7"/>
  <c r="L87" i="7"/>
  <c r="K87" i="7"/>
  <c r="H87" i="7"/>
  <c r="C87" i="7"/>
  <c r="E87" i="7" s="1"/>
  <c r="F87" i="7" s="1"/>
  <c r="L86" i="7"/>
  <c r="K86" i="7"/>
  <c r="H86" i="7"/>
  <c r="U86" i="7" s="1"/>
  <c r="C86" i="7"/>
  <c r="E86" i="7" s="1"/>
  <c r="F86" i="7" s="1"/>
  <c r="L85" i="7"/>
  <c r="K85" i="7"/>
  <c r="H85" i="7"/>
  <c r="U85" i="7" s="1"/>
  <c r="C85" i="7"/>
  <c r="E85" i="7" s="1"/>
  <c r="F85" i="7" s="1"/>
  <c r="L84" i="7"/>
  <c r="K84" i="7"/>
  <c r="H84" i="7"/>
  <c r="U84" i="7" s="1"/>
  <c r="E84" i="7"/>
  <c r="F84" i="7" s="1"/>
  <c r="C84" i="7"/>
  <c r="L83" i="7"/>
  <c r="K83" i="7"/>
  <c r="H83" i="7"/>
  <c r="U83" i="7" s="1"/>
  <c r="C83" i="7"/>
  <c r="E83" i="7" s="1"/>
  <c r="F83" i="7" s="1"/>
  <c r="L82" i="7"/>
  <c r="K82" i="7"/>
  <c r="H82" i="7"/>
  <c r="U82" i="7" s="1"/>
  <c r="C82" i="7"/>
  <c r="E82" i="7" s="1"/>
  <c r="F82" i="7" s="1"/>
  <c r="L81" i="7"/>
  <c r="K81" i="7"/>
  <c r="H81" i="7"/>
  <c r="U81" i="7" s="1"/>
  <c r="C81" i="7"/>
  <c r="E81" i="7" s="1"/>
  <c r="F81" i="7" s="1"/>
  <c r="L80" i="7"/>
  <c r="K80" i="7"/>
  <c r="H80" i="7"/>
  <c r="U80" i="7" s="1"/>
  <c r="C80" i="7"/>
  <c r="E80" i="7" s="1"/>
  <c r="F80" i="7" s="1"/>
  <c r="L79" i="7"/>
  <c r="K79" i="7"/>
  <c r="H79" i="7"/>
  <c r="U79" i="7" s="1"/>
  <c r="C79" i="7"/>
  <c r="E79" i="7" s="1"/>
  <c r="F79" i="7" s="1"/>
  <c r="L78" i="7"/>
  <c r="K78" i="7"/>
  <c r="H78" i="7"/>
  <c r="U78" i="7" s="1"/>
  <c r="C78" i="7"/>
  <c r="E78" i="7" s="1"/>
  <c r="F78" i="7" s="1"/>
  <c r="U77" i="7"/>
  <c r="L77" i="7"/>
  <c r="K77" i="7"/>
  <c r="H77" i="7"/>
  <c r="C77" i="7"/>
  <c r="E77" i="7" s="1"/>
  <c r="F77" i="7" s="1"/>
  <c r="L76" i="7"/>
  <c r="K76" i="7"/>
  <c r="H76" i="7"/>
  <c r="U76" i="7" s="1"/>
  <c r="E76" i="7"/>
  <c r="F76" i="7" s="1"/>
  <c r="C76" i="7"/>
  <c r="U75" i="7"/>
  <c r="L75" i="7"/>
  <c r="K75" i="7"/>
  <c r="H75" i="7"/>
  <c r="C75" i="7"/>
  <c r="E75" i="7" s="1"/>
  <c r="F75" i="7" s="1"/>
  <c r="L74" i="7"/>
  <c r="K74" i="7"/>
  <c r="H74" i="7"/>
  <c r="U74" i="7" s="1"/>
  <c r="C74" i="7"/>
  <c r="E74" i="7" s="1"/>
  <c r="F74" i="7" s="1"/>
  <c r="L73" i="7"/>
  <c r="K73" i="7"/>
  <c r="H73" i="7"/>
  <c r="U73" i="7" s="1"/>
  <c r="C73" i="7"/>
  <c r="E73" i="7" s="1"/>
  <c r="F73" i="7" s="1"/>
  <c r="L72" i="7"/>
  <c r="K72" i="7"/>
  <c r="H72" i="7"/>
  <c r="U72" i="7" s="1"/>
  <c r="C72" i="7"/>
  <c r="E72" i="7" s="1"/>
  <c r="F72" i="7" s="1"/>
  <c r="L71" i="7"/>
  <c r="K71" i="7"/>
  <c r="H71" i="7"/>
  <c r="U71" i="7" s="1"/>
  <c r="C71" i="7"/>
  <c r="E71" i="7" s="1"/>
  <c r="F71" i="7" s="1"/>
  <c r="L70" i="7"/>
  <c r="K70" i="7"/>
  <c r="H70" i="7"/>
  <c r="U70" i="7" s="1"/>
  <c r="C70" i="7"/>
  <c r="E70" i="7" s="1"/>
  <c r="F70" i="7" s="1"/>
  <c r="U69" i="7"/>
  <c r="L69" i="7"/>
  <c r="K69" i="7"/>
  <c r="H69" i="7"/>
  <c r="C69" i="7"/>
  <c r="E69" i="7" s="1"/>
  <c r="F69" i="7" s="1"/>
  <c r="L68" i="7"/>
  <c r="K68" i="7"/>
  <c r="H68" i="7"/>
  <c r="U68" i="7" s="1"/>
  <c r="C68" i="7"/>
  <c r="E68" i="7" s="1"/>
  <c r="F68" i="7" s="1"/>
  <c r="L67" i="7"/>
  <c r="K67" i="7"/>
  <c r="H67" i="7"/>
  <c r="U67" i="7" s="1"/>
  <c r="C67" i="7"/>
  <c r="E67" i="7" s="1"/>
  <c r="F67" i="7" s="1"/>
  <c r="L66" i="7"/>
  <c r="K66" i="7"/>
  <c r="H66" i="7"/>
  <c r="U66" i="7" s="1"/>
  <c r="C66" i="7"/>
  <c r="E66" i="7" s="1"/>
  <c r="F66" i="7" s="1"/>
  <c r="L65" i="7"/>
  <c r="K65" i="7"/>
  <c r="H65" i="7"/>
  <c r="U65" i="7" s="1"/>
  <c r="C65" i="7"/>
  <c r="E65" i="7" s="1"/>
  <c r="F65" i="7" s="1"/>
  <c r="L64" i="7"/>
  <c r="K64" i="7"/>
  <c r="H64" i="7"/>
  <c r="U64" i="7" s="1"/>
  <c r="C64" i="7"/>
  <c r="E64" i="7" s="1"/>
  <c r="F64" i="7" s="1"/>
  <c r="L63" i="7"/>
  <c r="K63" i="7"/>
  <c r="H63" i="7"/>
  <c r="U63" i="7" s="1"/>
  <c r="C63" i="7"/>
  <c r="E63" i="7" s="1"/>
  <c r="F63" i="7" s="1"/>
  <c r="L62" i="7"/>
  <c r="K62" i="7"/>
  <c r="H62" i="7"/>
  <c r="U62" i="7" s="1"/>
  <c r="C62" i="7"/>
  <c r="E62" i="7" s="1"/>
  <c r="F62" i="7" s="1"/>
  <c r="J62" i="7" s="1"/>
  <c r="L61" i="7"/>
  <c r="K61" i="7"/>
  <c r="H61" i="7"/>
  <c r="U61" i="7" s="1"/>
  <c r="C61" i="7"/>
  <c r="E61" i="7" s="1"/>
  <c r="F61" i="7" s="1"/>
  <c r="L60" i="7"/>
  <c r="K60" i="7"/>
  <c r="H60" i="7"/>
  <c r="U60" i="7" s="1"/>
  <c r="C60" i="7"/>
  <c r="E60" i="7" s="1"/>
  <c r="F60" i="7" s="1"/>
  <c r="L59" i="7"/>
  <c r="K59" i="7"/>
  <c r="H59" i="7"/>
  <c r="U59" i="7" s="1"/>
  <c r="C59" i="7"/>
  <c r="E59" i="7" s="1"/>
  <c r="F59" i="7" s="1"/>
  <c r="J59" i="7" s="1"/>
  <c r="L58" i="7"/>
  <c r="K58" i="7"/>
  <c r="H58" i="7"/>
  <c r="U58" i="7" s="1"/>
  <c r="C58" i="7"/>
  <c r="E58" i="7" s="1"/>
  <c r="F58" i="7" s="1"/>
  <c r="L57" i="7"/>
  <c r="K57" i="7"/>
  <c r="H57" i="7"/>
  <c r="U57" i="7" s="1"/>
  <c r="C57" i="7"/>
  <c r="E57" i="7" s="1"/>
  <c r="F57" i="7" s="1"/>
  <c r="J57" i="7" s="1"/>
  <c r="L56" i="7"/>
  <c r="K56" i="7"/>
  <c r="H56" i="7"/>
  <c r="U56" i="7" s="1"/>
  <c r="C56" i="7"/>
  <c r="E56" i="7" s="1"/>
  <c r="F56" i="7" s="1"/>
  <c r="L55" i="7"/>
  <c r="K55" i="7"/>
  <c r="H55" i="7"/>
  <c r="U55" i="7" s="1"/>
  <c r="C55" i="7"/>
  <c r="E55" i="7" s="1"/>
  <c r="F55" i="7" s="1"/>
  <c r="L54" i="7"/>
  <c r="K54" i="7"/>
  <c r="H54" i="7"/>
  <c r="U54" i="7" s="1"/>
  <c r="C54" i="7"/>
  <c r="E54" i="7" s="1"/>
  <c r="F54" i="7" s="1"/>
  <c r="U53" i="7"/>
  <c r="L53" i="7"/>
  <c r="K53" i="7"/>
  <c r="H53" i="7"/>
  <c r="C53" i="7"/>
  <c r="E53" i="7" s="1"/>
  <c r="F53" i="7" s="1"/>
  <c r="L52" i="7"/>
  <c r="K52" i="7"/>
  <c r="H52" i="7"/>
  <c r="U52" i="7" s="1"/>
  <c r="C52" i="7"/>
  <c r="E52" i="7" s="1"/>
  <c r="F52" i="7" s="1"/>
  <c r="U51" i="7"/>
  <c r="L51" i="7"/>
  <c r="K51" i="7"/>
  <c r="I51" i="7"/>
  <c r="H51" i="7"/>
  <c r="C51" i="7"/>
  <c r="E51" i="7" s="1"/>
  <c r="F51" i="7" s="1"/>
  <c r="L50" i="7"/>
  <c r="K50" i="7"/>
  <c r="H50" i="7"/>
  <c r="U50" i="7" s="1"/>
  <c r="C50" i="7"/>
  <c r="E50" i="7" s="1"/>
  <c r="F50" i="7" s="1"/>
  <c r="L49" i="7"/>
  <c r="K49" i="7"/>
  <c r="H49" i="7"/>
  <c r="U49" i="7" s="1"/>
  <c r="C49" i="7"/>
  <c r="E49" i="7" s="1"/>
  <c r="F49" i="7" s="1"/>
  <c r="L48" i="7"/>
  <c r="K48" i="7"/>
  <c r="H48" i="7"/>
  <c r="U48" i="7" s="1"/>
  <c r="C48" i="7"/>
  <c r="E48" i="7" s="1"/>
  <c r="F48" i="7" s="1"/>
  <c r="L47" i="7"/>
  <c r="K47" i="7"/>
  <c r="H47" i="7"/>
  <c r="U47" i="7" s="1"/>
  <c r="C47" i="7"/>
  <c r="E47" i="7" s="1"/>
  <c r="F47" i="7" s="1"/>
  <c r="L46" i="7"/>
  <c r="K46" i="7"/>
  <c r="H46" i="7"/>
  <c r="U46" i="7" s="1"/>
  <c r="C46" i="7"/>
  <c r="E46" i="7" s="1"/>
  <c r="F46" i="7" s="1"/>
  <c r="J46" i="7" s="1"/>
  <c r="L45" i="7"/>
  <c r="K45" i="7"/>
  <c r="H45" i="7"/>
  <c r="U45" i="7" s="1"/>
  <c r="F45" i="7"/>
  <c r="C45" i="7"/>
  <c r="E45" i="7" s="1"/>
  <c r="L44" i="7"/>
  <c r="K44" i="7"/>
  <c r="H44" i="7"/>
  <c r="U44" i="7" s="1"/>
  <c r="C44" i="7"/>
  <c r="E44" i="7" s="1"/>
  <c r="F44" i="7" s="1"/>
  <c r="L43" i="7"/>
  <c r="K43" i="7"/>
  <c r="H43" i="7"/>
  <c r="U43" i="7" s="1"/>
  <c r="C43" i="7"/>
  <c r="E43" i="7" s="1"/>
  <c r="F43" i="7" s="1"/>
  <c r="L42" i="7"/>
  <c r="K42" i="7"/>
  <c r="H42" i="7"/>
  <c r="U42" i="7" s="1"/>
  <c r="C42" i="7"/>
  <c r="E42" i="7" s="1"/>
  <c r="F42" i="7" s="1"/>
  <c r="L41" i="7"/>
  <c r="K41" i="7"/>
  <c r="H41" i="7"/>
  <c r="U41" i="7" s="1"/>
  <c r="C41" i="7"/>
  <c r="E41" i="7" s="1"/>
  <c r="F41" i="7" s="1"/>
  <c r="I41" i="7" s="1"/>
  <c r="L40" i="7"/>
  <c r="K40" i="7"/>
  <c r="H40" i="7"/>
  <c r="U40" i="7" s="1"/>
  <c r="E40" i="7"/>
  <c r="F40" i="7" s="1"/>
  <c r="C40" i="7"/>
  <c r="L39" i="7"/>
  <c r="K39" i="7"/>
  <c r="H39" i="7"/>
  <c r="U39" i="7" s="1"/>
  <c r="C39" i="7"/>
  <c r="E39" i="7" s="1"/>
  <c r="F39" i="7" s="1"/>
  <c r="L38" i="7"/>
  <c r="K38" i="7"/>
  <c r="H38" i="7"/>
  <c r="U38" i="7" s="1"/>
  <c r="C38" i="7"/>
  <c r="E38" i="7" s="1"/>
  <c r="F38" i="7" s="1"/>
  <c r="U37" i="7"/>
  <c r="L37" i="7"/>
  <c r="K37" i="7"/>
  <c r="H37" i="7"/>
  <c r="C37" i="7"/>
  <c r="E37" i="7" s="1"/>
  <c r="F37" i="7" s="1"/>
  <c r="L36" i="7"/>
  <c r="K36" i="7"/>
  <c r="H36" i="7"/>
  <c r="U36" i="7" s="1"/>
  <c r="C36" i="7"/>
  <c r="E36" i="7" s="1"/>
  <c r="F36" i="7" s="1"/>
  <c r="L35" i="7"/>
  <c r="K35" i="7"/>
  <c r="H35" i="7"/>
  <c r="U35" i="7" s="1"/>
  <c r="C35" i="7"/>
  <c r="E35" i="7" s="1"/>
  <c r="F35" i="7" s="1"/>
  <c r="L34" i="7"/>
  <c r="K34" i="7"/>
  <c r="H34" i="7"/>
  <c r="U34" i="7" s="1"/>
  <c r="C34" i="7"/>
  <c r="E34" i="7" s="1"/>
  <c r="F34" i="7" s="1"/>
  <c r="J34" i="7" s="1"/>
  <c r="L33" i="7"/>
  <c r="K33" i="7"/>
  <c r="H33" i="7"/>
  <c r="U33" i="7" s="1"/>
  <c r="C33" i="7"/>
  <c r="E33" i="7" s="1"/>
  <c r="F33" i="7" s="1"/>
  <c r="L32" i="7"/>
  <c r="K32" i="7"/>
  <c r="H32" i="7"/>
  <c r="U32" i="7" s="1"/>
  <c r="C32" i="7"/>
  <c r="E32" i="7" s="1"/>
  <c r="F32" i="7" s="1"/>
  <c r="L31" i="7"/>
  <c r="K31" i="7"/>
  <c r="H31" i="7"/>
  <c r="U31" i="7" s="1"/>
  <c r="C31" i="7"/>
  <c r="E31" i="7" s="1"/>
  <c r="F31" i="7" s="1"/>
  <c r="U30" i="7"/>
  <c r="L30" i="7"/>
  <c r="K30" i="7"/>
  <c r="H30" i="7"/>
  <c r="E30" i="7"/>
  <c r="F30" i="7" s="1"/>
  <c r="C30" i="7"/>
  <c r="L29" i="7"/>
  <c r="K29" i="7"/>
  <c r="H29" i="7"/>
  <c r="U29" i="7" s="1"/>
  <c r="C29" i="7"/>
  <c r="E29" i="7" s="1"/>
  <c r="F29" i="7" s="1"/>
  <c r="I29" i="7" s="1"/>
  <c r="L28" i="7"/>
  <c r="K28" i="7"/>
  <c r="H28" i="7"/>
  <c r="U28" i="7" s="1"/>
  <c r="C28" i="7"/>
  <c r="E28" i="7" s="1"/>
  <c r="F28" i="7" s="1"/>
  <c r="L27" i="7"/>
  <c r="K27" i="7"/>
  <c r="H27" i="7"/>
  <c r="U27" i="7" s="1"/>
  <c r="C27" i="7"/>
  <c r="E27" i="7" s="1"/>
  <c r="F27" i="7" s="1"/>
  <c r="L26" i="7"/>
  <c r="K26" i="7"/>
  <c r="H26" i="7"/>
  <c r="U26" i="7" s="1"/>
  <c r="C26" i="7"/>
  <c r="E26" i="7" s="1"/>
  <c r="F26" i="7" s="1"/>
  <c r="L25" i="7"/>
  <c r="K25" i="7"/>
  <c r="H25" i="7"/>
  <c r="U25" i="7" s="1"/>
  <c r="C25" i="7"/>
  <c r="E25" i="7" s="1"/>
  <c r="F25" i="7" s="1"/>
  <c r="L24" i="7"/>
  <c r="K24" i="7"/>
  <c r="H24" i="7"/>
  <c r="U24" i="7" s="1"/>
  <c r="E24" i="7"/>
  <c r="F24" i="7" s="1"/>
  <c r="C24" i="7"/>
  <c r="L23" i="7"/>
  <c r="K23" i="7"/>
  <c r="J23" i="7"/>
  <c r="H23" i="7"/>
  <c r="U23" i="7" s="1"/>
  <c r="C23" i="7"/>
  <c r="E23" i="7" s="1"/>
  <c r="F23" i="7" s="1"/>
  <c r="I23" i="7" s="1"/>
  <c r="L22" i="7"/>
  <c r="K22" i="7"/>
  <c r="H22" i="7"/>
  <c r="U22" i="7" s="1"/>
  <c r="C22" i="7"/>
  <c r="E22" i="7" s="1"/>
  <c r="F22" i="7" s="1"/>
  <c r="L21" i="7"/>
  <c r="K21" i="7"/>
  <c r="H21" i="7"/>
  <c r="U21" i="7" s="1"/>
  <c r="C21" i="7"/>
  <c r="E21" i="7" s="1"/>
  <c r="F21" i="7" s="1"/>
  <c r="L20" i="7"/>
  <c r="K20" i="7"/>
  <c r="H20" i="7"/>
  <c r="U20" i="7" s="1"/>
  <c r="C20" i="7"/>
  <c r="E20" i="7" s="1"/>
  <c r="F20" i="7" s="1"/>
  <c r="L19" i="7"/>
  <c r="K19" i="7"/>
  <c r="H19" i="7"/>
  <c r="U19" i="7" s="1"/>
  <c r="C19" i="7"/>
  <c r="E19" i="7" s="1"/>
  <c r="F19" i="7" s="1"/>
  <c r="L18" i="7"/>
  <c r="K18" i="7"/>
  <c r="H18" i="7"/>
  <c r="U18" i="7" s="1"/>
  <c r="C18" i="7"/>
  <c r="E18" i="7" s="1"/>
  <c r="F18" i="7" s="1"/>
  <c r="L17" i="7"/>
  <c r="K17" i="7"/>
  <c r="H17" i="7"/>
  <c r="U17" i="7" s="1"/>
  <c r="C17" i="7"/>
  <c r="E17" i="7" s="1"/>
  <c r="F17" i="7" s="1"/>
  <c r="J17" i="7" s="1"/>
  <c r="T16" i="7"/>
  <c r="L16" i="7"/>
  <c r="K16" i="7"/>
  <c r="H16" i="7"/>
  <c r="U16" i="7" s="1"/>
  <c r="C16" i="7"/>
  <c r="E16" i="7" s="1"/>
  <c r="F16" i="7" s="1"/>
  <c r="J16" i="7" s="1"/>
  <c r="T15" i="7"/>
  <c r="L15" i="7"/>
  <c r="K15" i="7"/>
  <c r="H15" i="7"/>
  <c r="U15" i="7" s="1"/>
  <c r="C15" i="7"/>
  <c r="E15" i="7" s="1"/>
  <c r="F15" i="7" s="1"/>
  <c r="U14" i="7"/>
  <c r="T14" i="7"/>
  <c r="L14" i="7"/>
  <c r="K14" i="7"/>
  <c r="H14" i="7"/>
  <c r="C14" i="7"/>
  <c r="E14" i="7" s="1"/>
  <c r="F14" i="7" s="1"/>
  <c r="T13" i="7"/>
  <c r="L13" i="7"/>
  <c r="K13" i="7"/>
  <c r="H13" i="7"/>
  <c r="U13" i="7" s="1"/>
  <c r="C13" i="7"/>
  <c r="E13" i="7" s="1"/>
  <c r="F13" i="7" s="1"/>
  <c r="L12" i="7"/>
  <c r="K12" i="7"/>
  <c r="H12" i="7"/>
  <c r="U12" i="7" s="1"/>
  <c r="C12" i="7"/>
  <c r="E12" i="7" s="1"/>
  <c r="F12" i="7" s="1"/>
  <c r="L11" i="7"/>
  <c r="K11" i="7"/>
  <c r="H11" i="7"/>
  <c r="U11" i="7" s="1"/>
  <c r="C11" i="7"/>
  <c r="E11" i="7" s="1"/>
  <c r="F11" i="7" s="1"/>
  <c r="L10" i="7"/>
  <c r="K10" i="7"/>
  <c r="H10" i="7"/>
  <c r="U10" i="7" s="1"/>
  <c r="C10" i="7"/>
  <c r="E10" i="7" s="1"/>
  <c r="F10" i="7" s="1"/>
  <c r="L9" i="7"/>
  <c r="K9" i="7"/>
  <c r="H9" i="7"/>
  <c r="U9" i="7" s="1"/>
  <c r="C9" i="7"/>
  <c r="E9" i="7" s="1"/>
  <c r="F9" i="7" s="1"/>
  <c r="L8" i="7"/>
  <c r="K8" i="7"/>
  <c r="H8" i="7"/>
  <c r="U8" i="7" s="1"/>
  <c r="C8" i="7"/>
  <c r="E8" i="7" s="1"/>
  <c r="F8" i="7" s="1"/>
  <c r="J8" i="7" s="1"/>
  <c r="L7" i="7"/>
  <c r="K7" i="7"/>
  <c r="H7" i="7"/>
  <c r="U7" i="7" s="1"/>
  <c r="C7" i="7"/>
  <c r="E7" i="7" s="1"/>
  <c r="F7" i="7" s="1"/>
  <c r="L6" i="7"/>
  <c r="K6" i="7"/>
  <c r="H6" i="7"/>
  <c r="U6" i="7" s="1"/>
  <c r="C6" i="7"/>
  <c r="E6" i="7" s="1"/>
  <c r="F6" i="7" s="1"/>
  <c r="L5" i="7"/>
  <c r="K5" i="7"/>
  <c r="H5" i="7"/>
  <c r="U5" i="7" s="1"/>
  <c r="C5" i="7"/>
  <c r="E5" i="7" s="1"/>
  <c r="F5" i="7" s="1"/>
  <c r="H4" i="7"/>
  <c r="U4" i="7" s="1"/>
  <c r="C4" i="7"/>
  <c r="L4" i="7" s="1"/>
  <c r="K4" i="7" s="1"/>
  <c r="J3" i="7"/>
  <c r="I3" i="7"/>
  <c r="C3" i="7"/>
  <c r="J2" i="7"/>
  <c r="I2" i="7"/>
  <c r="C2" i="7"/>
  <c r="V200" i="6"/>
  <c r="Q200" i="6"/>
  <c r="P200" i="6"/>
  <c r="O200" i="6"/>
  <c r="D200" i="6"/>
  <c r="V199" i="6"/>
  <c r="Q199" i="6"/>
  <c r="P199" i="6"/>
  <c r="O199" i="6"/>
  <c r="D199" i="6"/>
  <c r="V198" i="6"/>
  <c r="Q198" i="6"/>
  <c r="P198" i="6"/>
  <c r="O198" i="6"/>
  <c r="D198" i="6"/>
  <c r="V197" i="6"/>
  <c r="Q197" i="6"/>
  <c r="P197" i="6"/>
  <c r="O197" i="6"/>
  <c r="D197" i="6"/>
  <c r="V196" i="6"/>
  <c r="Q196" i="6"/>
  <c r="P196" i="6"/>
  <c r="O196" i="6"/>
  <c r="D196" i="6"/>
  <c r="V195" i="6"/>
  <c r="Q195" i="6"/>
  <c r="P195" i="6"/>
  <c r="O195" i="6"/>
  <c r="D195" i="6"/>
  <c r="V194" i="6"/>
  <c r="Q194" i="6"/>
  <c r="P194" i="6"/>
  <c r="O194" i="6"/>
  <c r="D194" i="6"/>
  <c r="V193" i="6"/>
  <c r="Q193" i="6"/>
  <c r="P193" i="6"/>
  <c r="O193" i="6"/>
  <c r="D193" i="6"/>
  <c r="V192" i="6"/>
  <c r="Q192" i="6"/>
  <c r="P192" i="6"/>
  <c r="O192" i="6"/>
  <c r="D192" i="6"/>
  <c r="V191" i="6"/>
  <c r="Q191" i="6"/>
  <c r="P191" i="6"/>
  <c r="O191" i="6"/>
  <c r="D191" i="6"/>
  <c r="V190" i="6"/>
  <c r="Q190" i="6"/>
  <c r="P190" i="6"/>
  <c r="O190" i="6"/>
  <c r="D190" i="6"/>
  <c r="V189" i="6"/>
  <c r="Q189" i="6"/>
  <c r="P189" i="6"/>
  <c r="O189" i="6"/>
  <c r="D189" i="6"/>
  <c r="V188" i="6"/>
  <c r="Q188" i="6"/>
  <c r="P188" i="6"/>
  <c r="O188" i="6"/>
  <c r="D188" i="6"/>
  <c r="V187" i="6"/>
  <c r="Q187" i="6"/>
  <c r="P187" i="6"/>
  <c r="O187" i="6"/>
  <c r="D187" i="6"/>
  <c r="V186" i="6"/>
  <c r="Q186" i="6"/>
  <c r="P186" i="6"/>
  <c r="O186" i="6"/>
  <c r="D186" i="6"/>
  <c r="V185" i="6"/>
  <c r="Q185" i="6"/>
  <c r="P185" i="6"/>
  <c r="O185" i="6"/>
  <c r="D185" i="6"/>
  <c r="V184" i="6"/>
  <c r="Q184" i="6"/>
  <c r="P184" i="6"/>
  <c r="O184" i="6"/>
  <c r="D184" i="6"/>
  <c r="V183" i="6"/>
  <c r="Q183" i="6"/>
  <c r="P183" i="6"/>
  <c r="O183" i="6"/>
  <c r="D183" i="6"/>
  <c r="V182" i="6"/>
  <c r="Q182" i="6"/>
  <c r="P182" i="6"/>
  <c r="O182" i="6"/>
  <c r="D182" i="6"/>
  <c r="V181" i="6"/>
  <c r="Q181" i="6"/>
  <c r="P181" i="6"/>
  <c r="O181" i="6"/>
  <c r="D181" i="6"/>
  <c r="V180" i="6"/>
  <c r="Q180" i="6"/>
  <c r="P180" i="6"/>
  <c r="O180" i="6"/>
  <c r="D180" i="6"/>
  <c r="V179" i="6"/>
  <c r="Q179" i="6"/>
  <c r="P179" i="6"/>
  <c r="O179" i="6"/>
  <c r="D179" i="6"/>
  <c r="V178" i="6"/>
  <c r="Q178" i="6"/>
  <c r="P178" i="6"/>
  <c r="O178" i="6"/>
  <c r="D178" i="6"/>
  <c r="V177" i="6"/>
  <c r="Q177" i="6"/>
  <c r="P177" i="6"/>
  <c r="O177" i="6"/>
  <c r="D177" i="6"/>
  <c r="V176" i="6"/>
  <c r="Q176" i="6"/>
  <c r="P176" i="6"/>
  <c r="O176" i="6"/>
  <c r="D176" i="6"/>
  <c r="V175" i="6"/>
  <c r="Q175" i="6"/>
  <c r="P175" i="6"/>
  <c r="O175" i="6"/>
  <c r="D175" i="6"/>
  <c r="V174" i="6"/>
  <c r="Q174" i="6"/>
  <c r="P174" i="6"/>
  <c r="O174" i="6"/>
  <c r="D174" i="6"/>
  <c r="V173" i="6"/>
  <c r="Q173" i="6"/>
  <c r="P173" i="6"/>
  <c r="O173" i="6"/>
  <c r="D173" i="6"/>
  <c r="V172" i="6"/>
  <c r="Q172" i="6"/>
  <c r="P172" i="6"/>
  <c r="O172" i="6"/>
  <c r="D172" i="6"/>
  <c r="V171" i="6"/>
  <c r="Q171" i="6"/>
  <c r="P171" i="6"/>
  <c r="O171" i="6"/>
  <c r="D171" i="6"/>
  <c r="V170" i="6"/>
  <c r="Q170" i="6"/>
  <c r="P170" i="6"/>
  <c r="O170" i="6"/>
  <c r="D170" i="6"/>
  <c r="V169" i="6"/>
  <c r="Q169" i="6"/>
  <c r="P169" i="6"/>
  <c r="O169" i="6"/>
  <c r="D169" i="6"/>
  <c r="V168" i="6"/>
  <c r="Q168" i="6"/>
  <c r="P168" i="6"/>
  <c r="O168" i="6"/>
  <c r="D168" i="6"/>
  <c r="V167" i="6"/>
  <c r="Q167" i="6"/>
  <c r="P167" i="6"/>
  <c r="O167" i="6"/>
  <c r="D167" i="6"/>
  <c r="V166" i="6"/>
  <c r="Q166" i="6"/>
  <c r="P166" i="6"/>
  <c r="O166" i="6"/>
  <c r="D166" i="6"/>
  <c r="V165" i="6"/>
  <c r="Q165" i="6"/>
  <c r="P165" i="6"/>
  <c r="O165" i="6"/>
  <c r="D165" i="6"/>
  <c r="V164" i="6"/>
  <c r="Q164" i="6"/>
  <c r="P164" i="6"/>
  <c r="O164" i="6"/>
  <c r="D164" i="6"/>
  <c r="V163" i="6"/>
  <c r="Q163" i="6"/>
  <c r="P163" i="6"/>
  <c r="O163" i="6"/>
  <c r="D163" i="6"/>
  <c r="V162" i="6"/>
  <c r="Q162" i="6"/>
  <c r="P162" i="6"/>
  <c r="O162" i="6"/>
  <c r="D162" i="6"/>
  <c r="V161" i="6"/>
  <c r="Q161" i="6"/>
  <c r="P161" i="6"/>
  <c r="O161" i="6"/>
  <c r="D161" i="6"/>
  <c r="V160" i="6"/>
  <c r="Q160" i="6"/>
  <c r="P160" i="6"/>
  <c r="O160" i="6"/>
  <c r="D160" i="6"/>
  <c r="V159" i="6"/>
  <c r="Q159" i="6"/>
  <c r="P159" i="6"/>
  <c r="O159" i="6"/>
  <c r="D159" i="6"/>
  <c r="V158" i="6"/>
  <c r="Q158" i="6"/>
  <c r="P158" i="6"/>
  <c r="O158" i="6"/>
  <c r="D158" i="6"/>
  <c r="V157" i="6"/>
  <c r="Q157" i="6"/>
  <c r="P157" i="6"/>
  <c r="O157" i="6"/>
  <c r="D157" i="6"/>
  <c r="V156" i="6"/>
  <c r="Q156" i="6"/>
  <c r="P156" i="6"/>
  <c r="O156" i="6"/>
  <c r="D156" i="6"/>
  <c r="V155" i="6"/>
  <c r="Q155" i="6"/>
  <c r="P155" i="6"/>
  <c r="O155" i="6"/>
  <c r="D155" i="6"/>
  <c r="V154" i="6"/>
  <c r="Q154" i="6"/>
  <c r="P154" i="6"/>
  <c r="O154" i="6"/>
  <c r="D154" i="6"/>
  <c r="V153" i="6"/>
  <c r="Q153" i="6"/>
  <c r="P153" i="6"/>
  <c r="O153" i="6"/>
  <c r="D153" i="6"/>
  <c r="V152" i="6"/>
  <c r="Q152" i="6"/>
  <c r="P152" i="6"/>
  <c r="O152" i="6"/>
  <c r="D152" i="6"/>
  <c r="V151" i="6"/>
  <c r="Q151" i="6"/>
  <c r="P151" i="6"/>
  <c r="O151" i="6"/>
  <c r="D151" i="6"/>
  <c r="V150" i="6"/>
  <c r="Q150" i="6"/>
  <c r="P150" i="6"/>
  <c r="O150" i="6"/>
  <c r="D150" i="6"/>
  <c r="V149" i="6"/>
  <c r="Q149" i="6"/>
  <c r="P149" i="6"/>
  <c r="O149" i="6"/>
  <c r="D149" i="6"/>
  <c r="V148" i="6"/>
  <c r="Q148" i="6"/>
  <c r="P148" i="6"/>
  <c r="O148" i="6"/>
  <c r="D148" i="6"/>
  <c r="V147" i="6"/>
  <c r="Q147" i="6"/>
  <c r="P147" i="6"/>
  <c r="O147" i="6"/>
  <c r="D147" i="6"/>
  <c r="V146" i="6"/>
  <c r="Q146" i="6"/>
  <c r="P146" i="6"/>
  <c r="O146" i="6"/>
  <c r="D146" i="6"/>
  <c r="V145" i="6"/>
  <c r="Q145" i="6"/>
  <c r="P145" i="6"/>
  <c r="O145" i="6"/>
  <c r="D145" i="6"/>
  <c r="V144" i="6"/>
  <c r="Q144" i="6"/>
  <c r="P144" i="6"/>
  <c r="O144" i="6"/>
  <c r="D144" i="6"/>
  <c r="V143" i="6"/>
  <c r="Q143" i="6"/>
  <c r="P143" i="6"/>
  <c r="O143" i="6"/>
  <c r="D143" i="6"/>
  <c r="V142" i="6"/>
  <c r="Q142" i="6"/>
  <c r="P142" i="6"/>
  <c r="O142" i="6"/>
  <c r="D142" i="6"/>
  <c r="V141" i="6"/>
  <c r="Q141" i="6"/>
  <c r="P141" i="6"/>
  <c r="O141" i="6"/>
  <c r="D141" i="6"/>
  <c r="V140" i="6"/>
  <c r="Q140" i="6"/>
  <c r="P140" i="6"/>
  <c r="O140" i="6"/>
  <c r="D140" i="6"/>
  <c r="V139" i="6"/>
  <c r="Q139" i="6"/>
  <c r="P139" i="6"/>
  <c r="O139" i="6"/>
  <c r="D139" i="6"/>
  <c r="V138" i="6"/>
  <c r="Q138" i="6"/>
  <c r="P138" i="6"/>
  <c r="O138" i="6"/>
  <c r="D138" i="6"/>
  <c r="V137" i="6"/>
  <c r="Q137" i="6"/>
  <c r="P137" i="6"/>
  <c r="O137" i="6"/>
  <c r="D137" i="6"/>
  <c r="V136" i="6"/>
  <c r="Q136" i="6"/>
  <c r="P136" i="6"/>
  <c r="O136" i="6"/>
  <c r="D136" i="6"/>
  <c r="V135" i="6"/>
  <c r="Q135" i="6"/>
  <c r="P135" i="6"/>
  <c r="O135" i="6"/>
  <c r="D135" i="6"/>
  <c r="V134" i="6"/>
  <c r="Q134" i="6"/>
  <c r="P134" i="6"/>
  <c r="O134" i="6"/>
  <c r="D134" i="6"/>
  <c r="V133" i="6"/>
  <c r="Q133" i="6"/>
  <c r="P133" i="6"/>
  <c r="O133" i="6"/>
  <c r="D133" i="6"/>
  <c r="V132" i="6"/>
  <c r="Q132" i="6"/>
  <c r="P132" i="6"/>
  <c r="O132" i="6"/>
  <c r="D132" i="6"/>
  <c r="V131" i="6"/>
  <c r="Q131" i="6"/>
  <c r="P131" i="6"/>
  <c r="O131" i="6"/>
  <c r="D131" i="6"/>
  <c r="V130" i="6"/>
  <c r="Q130" i="6"/>
  <c r="P130" i="6"/>
  <c r="O130" i="6"/>
  <c r="D130" i="6"/>
  <c r="V129" i="6"/>
  <c r="Q129" i="6"/>
  <c r="P129" i="6"/>
  <c r="O129" i="6"/>
  <c r="D129" i="6"/>
  <c r="V128" i="6"/>
  <c r="Q128" i="6"/>
  <c r="P128" i="6"/>
  <c r="O128" i="6"/>
  <c r="D128" i="6"/>
  <c r="V127" i="6"/>
  <c r="Q127" i="6"/>
  <c r="P127" i="6"/>
  <c r="O127" i="6"/>
  <c r="D127" i="6"/>
  <c r="V126" i="6"/>
  <c r="Q126" i="6"/>
  <c r="P126" i="6"/>
  <c r="O126" i="6"/>
  <c r="D126" i="6"/>
  <c r="V125" i="6"/>
  <c r="Q125" i="6"/>
  <c r="P125" i="6"/>
  <c r="O125" i="6"/>
  <c r="D125" i="6"/>
  <c r="V124" i="6"/>
  <c r="Q124" i="6"/>
  <c r="P124" i="6"/>
  <c r="O124" i="6"/>
  <c r="D124" i="6"/>
  <c r="V123" i="6"/>
  <c r="Q123" i="6"/>
  <c r="P123" i="6"/>
  <c r="O123" i="6"/>
  <c r="D123" i="6"/>
  <c r="V122" i="6"/>
  <c r="Q122" i="6"/>
  <c r="P122" i="6"/>
  <c r="O122" i="6"/>
  <c r="D122" i="6"/>
  <c r="V121" i="6"/>
  <c r="Q121" i="6"/>
  <c r="P121" i="6"/>
  <c r="O121" i="6"/>
  <c r="D121" i="6"/>
  <c r="V120" i="6"/>
  <c r="Q120" i="6"/>
  <c r="P120" i="6"/>
  <c r="O120" i="6"/>
  <c r="D120" i="6"/>
  <c r="V119" i="6"/>
  <c r="Q119" i="6"/>
  <c r="P119" i="6"/>
  <c r="O119" i="6"/>
  <c r="D119" i="6"/>
  <c r="V118" i="6"/>
  <c r="Q118" i="6"/>
  <c r="P118" i="6"/>
  <c r="O118" i="6"/>
  <c r="D118" i="6"/>
  <c r="V117" i="6"/>
  <c r="Q117" i="6"/>
  <c r="P117" i="6"/>
  <c r="O117" i="6"/>
  <c r="D117" i="6"/>
  <c r="V116" i="6"/>
  <c r="Q116" i="6"/>
  <c r="P116" i="6"/>
  <c r="O116" i="6"/>
  <c r="D116" i="6"/>
  <c r="V115" i="6"/>
  <c r="Q115" i="6"/>
  <c r="P115" i="6"/>
  <c r="O115" i="6"/>
  <c r="D115" i="6"/>
  <c r="V114" i="6"/>
  <c r="Q114" i="6"/>
  <c r="P114" i="6"/>
  <c r="O114" i="6"/>
  <c r="D114" i="6"/>
  <c r="V113" i="6"/>
  <c r="Q113" i="6"/>
  <c r="P113" i="6"/>
  <c r="O113" i="6"/>
  <c r="D113" i="6"/>
  <c r="V112" i="6"/>
  <c r="Q112" i="6"/>
  <c r="P112" i="6"/>
  <c r="O112" i="6"/>
  <c r="D112" i="6"/>
  <c r="V111" i="6"/>
  <c r="Q111" i="6"/>
  <c r="P111" i="6"/>
  <c r="O111" i="6"/>
  <c r="D111" i="6"/>
  <c r="V110" i="6"/>
  <c r="Q110" i="6"/>
  <c r="P110" i="6"/>
  <c r="O110" i="6"/>
  <c r="D110" i="6"/>
  <c r="V109" i="6"/>
  <c r="Q109" i="6"/>
  <c r="P109" i="6"/>
  <c r="O109" i="6"/>
  <c r="D109" i="6"/>
  <c r="V108" i="6"/>
  <c r="Q108" i="6"/>
  <c r="P108" i="6"/>
  <c r="O108" i="6"/>
  <c r="D108" i="6"/>
  <c r="V107" i="6"/>
  <c r="Q107" i="6"/>
  <c r="P107" i="6"/>
  <c r="O107" i="6"/>
  <c r="D107" i="6"/>
  <c r="V106" i="6"/>
  <c r="Q106" i="6"/>
  <c r="P106" i="6"/>
  <c r="O106" i="6"/>
  <c r="D106" i="6"/>
  <c r="V105" i="6"/>
  <c r="Q105" i="6"/>
  <c r="P105" i="6"/>
  <c r="O105" i="6"/>
  <c r="D105" i="6"/>
  <c r="V104" i="6"/>
  <c r="Q104" i="6"/>
  <c r="P104" i="6"/>
  <c r="O104" i="6"/>
  <c r="D104" i="6"/>
  <c r="V103" i="6"/>
  <c r="Q103" i="6"/>
  <c r="P103" i="6"/>
  <c r="O103" i="6"/>
  <c r="D103" i="6"/>
  <c r="V102" i="6"/>
  <c r="Q102" i="6"/>
  <c r="P102" i="6"/>
  <c r="O102" i="6"/>
  <c r="D102" i="6"/>
  <c r="V101" i="6"/>
  <c r="Q101" i="6"/>
  <c r="P101" i="6"/>
  <c r="O101" i="6"/>
  <c r="D101" i="6"/>
  <c r="V100" i="6"/>
  <c r="Q100" i="6"/>
  <c r="P100" i="6"/>
  <c r="O100" i="6"/>
  <c r="D100" i="6"/>
  <c r="V99" i="6"/>
  <c r="Q99" i="6"/>
  <c r="P99" i="6"/>
  <c r="O99" i="6"/>
  <c r="D99" i="6"/>
  <c r="V98" i="6"/>
  <c r="Q98" i="6"/>
  <c r="P98" i="6"/>
  <c r="O98" i="6"/>
  <c r="D98" i="6"/>
  <c r="V97" i="6"/>
  <c r="Q97" i="6"/>
  <c r="P97" i="6"/>
  <c r="O97" i="6"/>
  <c r="D97" i="6"/>
  <c r="V96" i="6"/>
  <c r="Q96" i="6"/>
  <c r="P96" i="6"/>
  <c r="O96" i="6"/>
  <c r="D96" i="6"/>
  <c r="V95" i="6"/>
  <c r="Q95" i="6"/>
  <c r="P95" i="6"/>
  <c r="O95" i="6"/>
  <c r="D95" i="6"/>
  <c r="V94" i="6"/>
  <c r="Q94" i="6"/>
  <c r="P94" i="6"/>
  <c r="O94" i="6"/>
  <c r="D94" i="6"/>
  <c r="V93" i="6"/>
  <c r="Q93" i="6"/>
  <c r="P93" i="6"/>
  <c r="O93" i="6"/>
  <c r="D93" i="6"/>
  <c r="V92" i="6"/>
  <c r="Q92" i="6"/>
  <c r="P92" i="6"/>
  <c r="O92" i="6"/>
  <c r="D92" i="6"/>
  <c r="V91" i="6"/>
  <c r="Q91" i="6"/>
  <c r="P91" i="6"/>
  <c r="O91" i="6"/>
  <c r="D91" i="6"/>
  <c r="V90" i="6"/>
  <c r="Q90" i="6"/>
  <c r="P90" i="6"/>
  <c r="O90" i="6"/>
  <c r="D90" i="6"/>
  <c r="V89" i="6"/>
  <c r="Q89" i="6"/>
  <c r="P89" i="6"/>
  <c r="O89" i="6"/>
  <c r="D89" i="6"/>
  <c r="V88" i="6"/>
  <c r="Q88" i="6"/>
  <c r="P88" i="6"/>
  <c r="O88" i="6"/>
  <c r="D88" i="6"/>
  <c r="V87" i="6"/>
  <c r="Q87" i="6"/>
  <c r="P87" i="6"/>
  <c r="O87" i="6"/>
  <c r="D87" i="6"/>
  <c r="V86" i="6"/>
  <c r="Q86" i="6"/>
  <c r="P86" i="6"/>
  <c r="O86" i="6"/>
  <c r="D86" i="6"/>
  <c r="V85" i="6"/>
  <c r="Q85" i="6"/>
  <c r="P85" i="6"/>
  <c r="O85" i="6"/>
  <c r="D85" i="6"/>
  <c r="V84" i="6"/>
  <c r="Q84" i="6"/>
  <c r="P84" i="6"/>
  <c r="O84" i="6"/>
  <c r="D84" i="6"/>
  <c r="V83" i="6"/>
  <c r="Q83" i="6"/>
  <c r="P83" i="6"/>
  <c r="O83" i="6"/>
  <c r="D83" i="6"/>
  <c r="V82" i="6"/>
  <c r="Q82" i="6"/>
  <c r="P82" i="6"/>
  <c r="O82" i="6"/>
  <c r="D82" i="6"/>
  <c r="V81" i="6"/>
  <c r="Q81" i="6"/>
  <c r="P81" i="6"/>
  <c r="O81" i="6"/>
  <c r="D81" i="6"/>
  <c r="V80" i="6"/>
  <c r="Q80" i="6"/>
  <c r="P80" i="6"/>
  <c r="O80" i="6"/>
  <c r="D80" i="6"/>
  <c r="V79" i="6"/>
  <c r="Q79" i="6"/>
  <c r="P79" i="6"/>
  <c r="O79" i="6"/>
  <c r="D79" i="6"/>
  <c r="V78" i="6"/>
  <c r="Q78" i="6"/>
  <c r="P78" i="6"/>
  <c r="O78" i="6"/>
  <c r="D78" i="6"/>
  <c r="V77" i="6"/>
  <c r="Q77" i="6"/>
  <c r="P77" i="6"/>
  <c r="O77" i="6"/>
  <c r="D77" i="6"/>
  <c r="V76" i="6"/>
  <c r="Q76" i="6"/>
  <c r="P76" i="6"/>
  <c r="O76" i="6"/>
  <c r="D76" i="6"/>
  <c r="V75" i="6"/>
  <c r="Q75" i="6"/>
  <c r="P75" i="6"/>
  <c r="O75" i="6"/>
  <c r="D75" i="6"/>
  <c r="V74" i="6"/>
  <c r="Q74" i="6"/>
  <c r="P74" i="6"/>
  <c r="O74" i="6"/>
  <c r="D74" i="6"/>
  <c r="V73" i="6"/>
  <c r="Q73" i="6"/>
  <c r="P73" i="6"/>
  <c r="O73" i="6"/>
  <c r="D73" i="6"/>
  <c r="V72" i="6"/>
  <c r="Q72" i="6"/>
  <c r="P72" i="6"/>
  <c r="O72" i="6"/>
  <c r="D72" i="6"/>
  <c r="V71" i="6"/>
  <c r="Q71" i="6"/>
  <c r="P71" i="6"/>
  <c r="O71" i="6"/>
  <c r="D71" i="6"/>
  <c r="V70" i="6"/>
  <c r="Q70" i="6"/>
  <c r="P70" i="6"/>
  <c r="O70" i="6"/>
  <c r="D70" i="6"/>
  <c r="V69" i="6"/>
  <c r="Q69" i="6"/>
  <c r="P69" i="6"/>
  <c r="O69" i="6"/>
  <c r="D69" i="6"/>
  <c r="V68" i="6"/>
  <c r="Q68" i="6"/>
  <c r="P68" i="6"/>
  <c r="O68" i="6"/>
  <c r="D68" i="6"/>
  <c r="V67" i="6"/>
  <c r="Q67" i="6"/>
  <c r="P67" i="6"/>
  <c r="O67" i="6"/>
  <c r="D67" i="6"/>
  <c r="V66" i="6"/>
  <c r="Q66" i="6"/>
  <c r="P66" i="6"/>
  <c r="O66" i="6"/>
  <c r="D66" i="6"/>
  <c r="V65" i="6"/>
  <c r="Q65" i="6"/>
  <c r="P65" i="6"/>
  <c r="O65" i="6"/>
  <c r="D65" i="6"/>
  <c r="V64" i="6"/>
  <c r="Q64" i="6"/>
  <c r="P64" i="6"/>
  <c r="O64" i="6"/>
  <c r="D64" i="6"/>
  <c r="V63" i="6"/>
  <c r="Q63" i="6"/>
  <c r="P63" i="6"/>
  <c r="O63" i="6"/>
  <c r="D63" i="6"/>
  <c r="V62" i="6"/>
  <c r="Q62" i="6"/>
  <c r="P62" i="6"/>
  <c r="O62" i="6"/>
  <c r="D62" i="6"/>
  <c r="V61" i="6"/>
  <c r="Q61" i="6"/>
  <c r="P61" i="6"/>
  <c r="O61" i="6"/>
  <c r="D61" i="6"/>
  <c r="V60" i="6"/>
  <c r="Q60" i="6"/>
  <c r="P60" i="6"/>
  <c r="O60" i="6"/>
  <c r="D60" i="6"/>
  <c r="V59" i="6"/>
  <c r="Q59" i="6"/>
  <c r="P59" i="6"/>
  <c r="O59" i="6"/>
  <c r="D59" i="6"/>
  <c r="V58" i="6"/>
  <c r="Q58" i="6"/>
  <c r="P58" i="6"/>
  <c r="O58" i="6"/>
  <c r="D58" i="6"/>
  <c r="V57" i="6"/>
  <c r="Q57" i="6"/>
  <c r="P57" i="6"/>
  <c r="O57" i="6"/>
  <c r="D57" i="6"/>
  <c r="V56" i="6"/>
  <c r="Q56" i="6"/>
  <c r="P56" i="6"/>
  <c r="O56" i="6"/>
  <c r="D56" i="6"/>
  <c r="V55" i="6"/>
  <c r="Q55" i="6"/>
  <c r="P55" i="6"/>
  <c r="O55" i="6"/>
  <c r="D55" i="6"/>
  <c r="V54" i="6"/>
  <c r="Q54" i="6"/>
  <c r="P54" i="6"/>
  <c r="O54" i="6"/>
  <c r="D54" i="6"/>
  <c r="V53" i="6"/>
  <c r="Q53" i="6"/>
  <c r="P53" i="6"/>
  <c r="O53" i="6"/>
  <c r="D53" i="6"/>
  <c r="V52" i="6"/>
  <c r="Q52" i="6"/>
  <c r="P52" i="6"/>
  <c r="O52" i="6"/>
  <c r="D52" i="6"/>
  <c r="V51" i="6"/>
  <c r="Q51" i="6"/>
  <c r="P51" i="6"/>
  <c r="O51" i="6"/>
  <c r="D51" i="6"/>
  <c r="V50" i="6"/>
  <c r="Q50" i="6"/>
  <c r="P50" i="6"/>
  <c r="O50" i="6"/>
  <c r="D50" i="6"/>
  <c r="V49" i="6"/>
  <c r="Q49" i="6"/>
  <c r="P49" i="6"/>
  <c r="O49" i="6"/>
  <c r="D49" i="6"/>
  <c r="V48" i="6"/>
  <c r="Q48" i="6"/>
  <c r="P48" i="6"/>
  <c r="O48" i="6"/>
  <c r="D48" i="6"/>
  <c r="V47" i="6"/>
  <c r="Q47" i="6"/>
  <c r="P47" i="6"/>
  <c r="O47" i="6"/>
  <c r="D47" i="6"/>
  <c r="V46" i="6"/>
  <c r="Q46" i="6"/>
  <c r="P46" i="6"/>
  <c r="O46" i="6"/>
  <c r="D46" i="6"/>
  <c r="V45" i="6"/>
  <c r="Q45" i="6"/>
  <c r="P45" i="6"/>
  <c r="O45" i="6"/>
  <c r="D45" i="6"/>
  <c r="V44" i="6"/>
  <c r="Q44" i="6"/>
  <c r="P44" i="6"/>
  <c r="O44" i="6"/>
  <c r="D44" i="6"/>
  <c r="V43" i="6"/>
  <c r="Q43" i="6"/>
  <c r="P43" i="6"/>
  <c r="O43" i="6"/>
  <c r="D43" i="6"/>
  <c r="V42" i="6"/>
  <c r="Q42" i="6"/>
  <c r="P42" i="6"/>
  <c r="O42" i="6"/>
  <c r="D42" i="6"/>
  <c r="V41" i="6"/>
  <c r="Q41" i="6"/>
  <c r="P41" i="6"/>
  <c r="O41" i="6"/>
  <c r="D41" i="6"/>
  <c r="V40" i="6"/>
  <c r="Q40" i="6"/>
  <c r="P40" i="6"/>
  <c r="O40" i="6"/>
  <c r="D40" i="6"/>
  <c r="V39" i="6"/>
  <c r="Q39" i="6"/>
  <c r="P39" i="6"/>
  <c r="O39" i="6"/>
  <c r="D39" i="6"/>
  <c r="V38" i="6"/>
  <c r="Q38" i="6"/>
  <c r="P38" i="6"/>
  <c r="O38" i="6"/>
  <c r="D38" i="6"/>
  <c r="V37" i="6"/>
  <c r="Q37" i="6"/>
  <c r="P37" i="6"/>
  <c r="O37" i="6"/>
  <c r="D37" i="6"/>
  <c r="V36" i="6"/>
  <c r="Q36" i="6"/>
  <c r="P36" i="6"/>
  <c r="O36" i="6"/>
  <c r="D36" i="6"/>
  <c r="V35" i="6"/>
  <c r="Q35" i="6"/>
  <c r="P35" i="6"/>
  <c r="O35" i="6"/>
  <c r="D35" i="6"/>
  <c r="V34" i="6"/>
  <c r="Q34" i="6"/>
  <c r="P34" i="6"/>
  <c r="O34" i="6"/>
  <c r="D34" i="6"/>
  <c r="V33" i="6"/>
  <c r="Q33" i="6"/>
  <c r="P33" i="6"/>
  <c r="O33" i="6"/>
  <c r="D33" i="6"/>
  <c r="V32" i="6"/>
  <c r="Q32" i="6"/>
  <c r="P32" i="6"/>
  <c r="O32" i="6"/>
  <c r="D32" i="6"/>
  <c r="V31" i="6"/>
  <c r="Q31" i="6"/>
  <c r="P31" i="6"/>
  <c r="O31" i="6"/>
  <c r="D31" i="6"/>
  <c r="V30" i="6"/>
  <c r="Q30" i="6"/>
  <c r="P30" i="6"/>
  <c r="O30" i="6"/>
  <c r="D30" i="6"/>
  <c r="V29" i="6"/>
  <c r="Q29" i="6"/>
  <c r="P29" i="6"/>
  <c r="O29" i="6"/>
  <c r="D29" i="6"/>
  <c r="V28" i="6"/>
  <c r="Q28" i="6"/>
  <c r="P28" i="6"/>
  <c r="O28" i="6"/>
  <c r="D28" i="6"/>
  <c r="V27" i="6"/>
  <c r="Q27" i="6"/>
  <c r="P27" i="6"/>
  <c r="O27" i="6"/>
  <c r="D27" i="6"/>
  <c r="V26" i="6"/>
  <c r="Q26" i="6"/>
  <c r="P26" i="6"/>
  <c r="O26" i="6"/>
  <c r="D26" i="6"/>
  <c r="V25" i="6"/>
  <c r="Q25" i="6"/>
  <c r="P25" i="6"/>
  <c r="O25" i="6"/>
  <c r="D25" i="6"/>
  <c r="V24" i="6"/>
  <c r="Q24" i="6"/>
  <c r="P24" i="6"/>
  <c r="O24" i="6"/>
  <c r="D24" i="6"/>
  <c r="V23" i="6"/>
  <c r="Q23" i="6"/>
  <c r="P23" i="6"/>
  <c r="O23" i="6"/>
  <c r="D23" i="6"/>
  <c r="V22" i="6"/>
  <c r="Q22" i="6"/>
  <c r="P22" i="6"/>
  <c r="O22" i="6"/>
  <c r="D22" i="6"/>
  <c r="V21" i="6"/>
  <c r="Q21" i="6"/>
  <c r="P21" i="6"/>
  <c r="O21" i="6"/>
  <c r="D21" i="6"/>
  <c r="V20" i="6"/>
  <c r="Q20" i="6"/>
  <c r="P20" i="6"/>
  <c r="O20" i="6"/>
  <c r="D20" i="6"/>
  <c r="V19" i="6"/>
  <c r="Q19" i="6"/>
  <c r="P19" i="6"/>
  <c r="O19" i="6"/>
  <c r="D19" i="6"/>
  <c r="V18" i="6"/>
  <c r="Q18" i="6"/>
  <c r="P18" i="6"/>
  <c r="O18" i="6"/>
  <c r="D18" i="6"/>
  <c r="V17" i="6"/>
  <c r="Q17" i="6"/>
  <c r="P17" i="6"/>
  <c r="O17" i="6"/>
  <c r="D17" i="6"/>
  <c r="V16" i="6"/>
  <c r="Q16" i="6"/>
  <c r="P16" i="6"/>
  <c r="O16" i="6"/>
  <c r="D16" i="6"/>
  <c r="V15" i="6"/>
  <c r="Q15" i="6"/>
  <c r="P15" i="6"/>
  <c r="O15" i="6"/>
  <c r="D15" i="6"/>
  <c r="V14" i="6"/>
  <c r="Q14" i="6"/>
  <c r="P14" i="6"/>
  <c r="O14" i="6"/>
  <c r="D14" i="6"/>
  <c r="V13" i="6"/>
  <c r="Q13" i="6"/>
  <c r="P13" i="6"/>
  <c r="O13" i="6"/>
  <c r="D13" i="6"/>
  <c r="V12" i="6"/>
  <c r="Q12" i="6"/>
  <c r="P12" i="6"/>
  <c r="O12" i="6"/>
  <c r="D12" i="6"/>
  <c r="V11" i="6"/>
  <c r="Q11" i="6"/>
  <c r="P11" i="6"/>
  <c r="O11" i="6"/>
  <c r="D11" i="6"/>
  <c r="V10" i="6"/>
  <c r="Q10" i="6"/>
  <c r="P10" i="6"/>
  <c r="O10" i="6"/>
  <c r="D10" i="6"/>
  <c r="V9" i="6"/>
  <c r="Q9" i="6"/>
  <c r="P9" i="6"/>
  <c r="O9" i="6"/>
  <c r="D9" i="6"/>
  <c r="V8" i="6"/>
  <c r="Q8" i="6"/>
  <c r="P8" i="6"/>
  <c r="O8" i="6"/>
  <c r="D8" i="6"/>
  <c r="V7" i="6"/>
  <c r="Q7" i="6"/>
  <c r="P7" i="6"/>
  <c r="O7" i="6"/>
  <c r="D7" i="6"/>
  <c r="AG6" i="6"/>
  <c r="AB6" i="6" s="1"/>
  <c r="Y6" i="6"/>
  <c r="V6" i="6"/>
  <c r="T6" i="6"/>
  <c r="S6" i="6"/>
  <c r="Q6" i="6"/>
  <c r="P6" i="6"/>
  <c r="O6" i="6"/>
  <c r="D6" i="6"/>
  <c r="AG5" i="6"/>
  <c r="AE5" i="6" s="1"/>
  <c r="AF5" i="6"/>
  <c r="AC5" i="6"/>
  <c r="AB5" i="6"/>
  <c r="Y5" i="6"/>
  <c r="V5" i="6"/>
  <c r="T5" i="6"/>
  <c r="S5" i="6"/>
  <c r="Q5" i="6"/>
  <c r="P5" i="6"/>
  <c r="O5" i="6"/>
  <c r="D5" i="6"/>
  <c r="AG4" i="6"/>
  <c r="Y4" i="6"/>
  <c r="V4" i="6"/>
  <c r="T4" i="6"/>
  <c r="S4" i="6"/>
  <c r="Q4" i="6"/>
  <c r="P4" i="6"/>
  <c r="O4" i="6"/>
  <c r="D4" i="6"/>
  <c r="AG3" i="6"/>
  <c r="AE3" i="6" s="1"/>
  <c r="Y3" i="6"/>
  <c r="V3" i="6"/>
  <c r="T3" i="6"/>
  <c r="S3" i="6"/>
  <c r="Q3" i="6"/>
  <c r="P3" i="6"/>
  <c r="O3" i="6"/>
  <c r="D3" i="6"/>
  <c r="AG2" i="6"/>
  <c r="Y2" i="6"/>
  <c r="V2" i="6"/>
  <c r="T2" i="6"/>
  <c r="S2" i="6"/>
  <c r="Q2" i="6"/>
  <c r="P2" i="6"/>
  <c r="O2" i="6"/>
  <c r="D2" i="6"/>
  <c r="AC201" i="5"/>
  <c r="U201" i="5"/>
  <c r="T201" i="5"/>
  <c r="R201" i="5"/>
  <c r="P201" i="5"/>
  <c r="N201" i="5"/>
  <c r="L201" i="5"/>
  <c r="J201" i="5"/>
  <c r="H201" i="5"/>
  <c r="F201" i="5"/>
  <c r="D201" i="5"/>
  <c r="BI200" i="5"/>
  <c r="BF200" i="5"/>
  <c r="BE200" i="5"/>
  <c r="BA200" i="5"/>
  <c r="AW200" i="5"/>
  <c r="AS200" i="5"/>
  <c r="AO200" i="5"/>
  <c r="AN200" i="5"/>
  <c r="AM200" i="5"/>
  <c r="AL200" i="5"/>
  <c r="AK200" i="5"/>
  <c r="AJ200" i="5"/>
  <c r="AI200" i="5"/>
  <c r="AH200" i="5"/>
  <c r="AG200" i="5"/>
  <c r="AF200" i="5"/>
  <c r="AE200" i="5"/>
  <c r="AD200" i="5"/>
  <c r="V200" i="5"/>
  <c r="U200" i="5"/>
  <c r="B200" i="5"/>
  <c r="D200" i="5" s="1"/>
  <c r="BI199" i="5"/>
  <c r="BF199" i="5"/>
  <c r="BE199" i="5"/>
  <c r="BA199" i="5"/>
  <c r="AW199" i="5"/>
  <c r="AS199" i="5"/>
  <c r="AO199" i="5"/>
  <c r="AN199" i="5"/>
  <c r="AM199" i="5"/>
  <c r="AL199" i="5"/>
  <c r="AK199" i="5"/>
  <c r="AJ199" i="5"/>
  <c r="AI199" i="5"/>
  <c r="AH199" i="5"/>
  <c r="AG199" i="5"/>
  <c r="AF199" i="5"/>
  <c r="AE199" i="5"/>
  <c r="AD199" i="5"/>
  <c r="V199" i="5"/>
  <c r="U199" i="5"/>
  <c r="B199" i="5"/>
  <c r="D199" i="5" s="1"/>
  <c r="BI198" i="5"/>
  <c r="BF198" i="5"/>
  <c r="BE198" i="5"/>
  <c r="BA198" i="5"/>
  <c r="AW198" i="5"/>
  <c r="AS198" i="5"/>
  <c r="AO198" i="5"/>
  <c r="AN198" i="5"/>
  <c r="AM198" i="5"/>
  <c r="AL198" i="5"/>
  <c r="AK198" i="5"/>
  <c r="AJ198" i="5"/>
  <c r="AI198" i="5"/>
  <c r="AH198" i="5"/>
  <c r="AG198" i="5"/>
  <c r="AF198" i="5"/>
  <c r="AE198" i="5"/>
  <c r="AD198" i="5"/>
  <c r="V198" i="5"/>
  <c r="U198" i="5"/>
  <c r="B198" i="5"/>
  <c r="D198" i="5" s="1"/>
  <c r="BI197" i="5"/>
  <c r="BF197" i="5"/>
  <c r="BE197" i="5"/>
  <c r="BA197" i="5"/>
  <c r="AW197" i="5"/>
  <c r="AS197" i="5"/>
  <c r="AO197" i="5"/>
  <c r="AN197" i="5"/>
  <c r="AM197" i="5"/>
  <c r="AL197" i="5"/>
  <c r="AK197" i="5"/>
  <c r="AJ197" i="5"/>
  <c r="AI197" i="5"/>
  <c r="AH197" i="5"/>
  <c r="AG197" i="5"/>
  <c r="AF197" i="5"/>
  <c r="AE197" i="5"/>
  <c r="AD197" i="5"/>
  <c r="V197" i="5"/>
  <c r="U197" i="5"/>
  <c r="B197" i="5"/>
  <c r="D197" i="5" s="1"/>
  <c r="BI196" i="5"/>
  <c r="BF196" i="5"/>
  <c r="BE196" i="5"/>
  <c r="BA196" i="5"/>
  <c r="AW196" i="5"/>
  <c r="AS196" i="5"/>
  <c r="AO196" i="5"/>
  <c r="AN196" i="5"/>
  <c r="AM196" i="5"/>
  <c r="AL196" i="5"/>
  <c r="AK196" i="5"/>
  <c r="AJ196" i="5"/>
  <c r="AI196" i="5"/>
  <c r="AH196" i="5"/>
  <c r="AG196" i="5"/>
  <c r="AF196" i="5"/>
  <c r="AE196" i="5"/>
  <c r="AD196" i="5"/>
  <c r="V196" i="5"/>
  <c r="U196" i="5"/>
  <c r="B196" i="5"/>
  <c r="D196" i="5" s="1"/>
  <c r="BI195" i="5"/>
  <c r="BF195" i="5"/>
  <c r="BE195" i="5"/>
  <c r="BA195" i="5"/>
  <c r="AW195" i="5"/>
  <c r="AS195" i="5"/>
  <c r="AO195" i="5"/>
  <c r="AN195" i="5"/>
  <c r="AM195" i="5"/>
  <c r="AL195" i="5"/>
  <c r="AK195" i="5"/>
  <c r="AJ195" i="5"/>
  <c r="AI195" i="5"/>
  <c r="AH195" i="5"/>
  <c r="AG195" i="5"/>
  <c r="AF195" i="5"/>
  <c r="AE195" i="5"/>
  <c r="AD195" i="5"/>
  <c r="V195" i="5"/>
  <c r="U195" i="5"/>
  <c r="B195" i="5"/>
  <c r="D195" i="5" s="1"/>
  <c r="BI194" i="5"/>
  <c r="BF194" i="5"/>
  <c r="BE194" i="5"/>
  <c r="BA194" i="5"/>
  <c r="AW194" i="5"/>
  <c r="AS194" i="5"/>
  <c r="AO194" i="5"/>
  <c r="AN194" i="5"/>
  <c r="AM194" i="5"/>
  <c r="AL194" i="5"/>
  <c r="AK194" i="5"/>
  <c r="AJ194" i="5"/>
  <c r="AI194" i="5"/>
  <c r="AH194" i="5"/>
  <c r="AG194" i="5"/>
  <c r="AF194" i="5"/>
  <c r="AE194" i="5"/>
  <c r="AD194" i="5"/>
  <c r="V194" i="5"/>
  <c r="U194" i="5"/>
  <c r="B194" i="5"/>
  <c r="D194" i="5" s="1"/>
  <c r="BI193" i="5"/>
  <c r="BF193" i="5"/>
  <c r="BE193" i="5"/>
  <c r="BA193" i="5"/>
  <c r="AW193" i="5"/>
  <c r="AS193" i="5"/>
  <c r="AO193" i="5"/>
  <c r="AN193" i="5"/>
  <c r="AM193" i="5"/>
  <c r="AL193" i="5"/>
  <c r="AK193" i="5"/>
  <c r="AJ193" i="5"/>
  <c r="AI193" i="5"/>
  <c r="AH193" i="5"/>
  <c r="AG193" i="5"/>
  <c r="AF193" i="5"/>
  <c r="AE193" i="5"/>
  <c r="AD193" i="5"/>
  <c r="V193" i="5"/>
  <c r="U193" i="5"/>
  <c r="B193" i="5"/>
  <c r="D193" i="5" s="1"/>
  <c r="BI192" i="5"/>
  <c r="BF192" i="5"/>
  <c r="BE192" i="5"/>
  <c r="BA192" i="5"/>
  <c r="AW192" i="5"/>
  <c r="AS192" i="5"/>
  <c r="AO192" i="5"/>
  <c r="AN192" i="5"/>
  <c r="AM192" i="5"/>
  <c r="AL192" i="5"/>
  <c r="AK192" i="5"/>
  <c r="AJ192" i="5"/>
  <c r="AI192" i="5"/>
  <c r="AH192" i="5"/>
  <c r="AG192" i="5"/>
  <c r="AF192" i="5"/>
  <c r="AE192" i="5"/>
  <c r="AD192" i="5"/>
  <c r="V192" i="5"/>
  <c r="U192" i="5"/>
  <c r="B192" i="5"/>
  <c r="D192" i="5" s="1"/>
  <c r="BI191" i="5"/>
  <c r="BF191" i="5"/>
  <c r="BE191" i="5"/>
  <c r="BA191" i="5"/>
  <c r="AW191" i="5"/>
  <c r="AS191" i="5"/>
  <c r="AO191" i="5"/>
  <c r="AN191" i="5"/>
  <c r="AM191" i="5"/>
  <c r="AL191" i="5"/>
  <c r="AK191" i="5"/>
  <c r="AJ191" i="5"/>
  <c r="AI191" i="5"/>
  <c r="AH191" i="5"/>
  <c r="AG191" i="5"/>
  <c r="AF191" i="5"/>
  <c r="AE191" i="5"/>
  <c r="AD191" i="5"/>
  <c r="V191" i="5"/>
  <c r="U191" i="5"/>
  <c r="B191" i="5"/>
  <c r="D191" i="5" s="1"/>
  <c r="BI190" i="5"/>
  <c r="BF190" i="5"/>
  <c r="BE190" i="5"/>
  <c r="BA190" i="5"/>
  <c r="AW190" i="5"/>
  <c r="AS190" i="5"/>
  <c r="AO190" i="5"/>
  <c r="AN190" i="5"/>
  <c r="AM190" i="5"/>
  <c r="AL190" i="5"/>
  <c r="AK190" i="5"/>
  <c r="AJ190" i="5"/>
  <c r="AI190" i="5"/>
  <c r="AH190" i="5"/>
  <c r="AG190" i="5"/>
  <c r="AF190" i="5"/>
  <c r="AE190" i="5"/>
  <c r="AD190" i="5"/>
  <c r="V190" i="5"/>
  <c r="U190" i="5"/>
  <c r="B190" i="5"/>
  <c r="D190" i="5" s="1"/>
  <c r="BI189" i="5"/>
  <c r="BF189" i="5"/>
  <c r="BE189" i="5"/>
  <c r="BA189" i="5"/>
  <c r="AW189" i="5"/>
  <c r="AS189" i="5"/>
  <c r="AO189" i="5"/>
  <c r="AN189" i="5"/>
  <c r="AM189" i="5"/>
  <c r="AL189" i="5"/>
  <c r="AK189" i="5"/>
  <c r="AJ189" i="5"/>
  <c r="AI189" i="5"/>
  <c r="AH189" i="5"/>
  <c r="AG189" i="5"/>
  <c r="AF189" i="5"/>
  <c r="AE189" i="5"/>
  <c r="AD189" i="5"/>
  <c r="V189" i="5"/>
  <c r="U189" i="5"/>
  <c r="B189" i="5"/>
  <c r="D189" i="5" s="1"/>
  <c r="BI188" i="5"/>
  <c r="BF188" i="5"/>
  <c r="BE188" i="5"/>
  <c r="BA188" i="5"/>
  <c r="AW188" i="5"/>
  <c r="AS188" i="5"/>
  <c r="AO188" i="5"/>
  <c r="AN188" i="5"/>
  <c r="AM188" i="5"/>
  <c r="AL188" i="5"/>
  <c r="AK188" i="5"/>
  <c r="AJ188" i="5"/>
  <c r="AI188" i="5"/>
  <c r="AH188" i="5"/>
  <c r="AG188" i="5"/>
  <c r="AF188" i="5"/>
  <c r="AE188" i="5"/>
  <c r="AD188" i="5"/>
  <c r="V188" i="5"/>
  <c r="U188" i="5"/>
  <c r="B188" i="5"/>
  <c r="D188" i="5" s="1"/>
  <c r="BI187" i="5"/>
  <c r="BF187" i="5"/>
  <c r="BE187" i="5"/>
  <c r="BA187" i="5"/>
  <c r="AW187" i="5"/>
  <c r="AS187" i="5"/>
  <c r="AO187" i="5"/>
  <c r="AN187" i="5"/>
  <c r="AM187" i="5"/>
  <c r="AL187" i="5"/>
  <c r="AK187" i="5"/>
  <c r="AJ187" i="5"/>
  <c r="AI187" i="5"/>
  <c r="AH187" i="5"/>
  <c r="AG187" i="5"/>
  <c r="AF187" i="5"/>
  <c r="AE187" i="5"/>
  <c r="AD187" i="5"/>
  <c r="V187" i="5"/>
  <c r="U187" i="5"/>
  <c r="B187" i="5"/>
  <c r="D187" i="5" s="1"/>
  <c r="BI186" i="5"/>
  <c r="BF186" i="5"/>
  <c r="BE186" i="5"/>
  <c r="BA186" i="5"/>
  <c r="AW186" i="5"/>
  <c r="AS186" i="5"/>
  <c r="AO186" i="5"/>
  <c r="AN186" i="5"/>
  <c r="AM186" i="5"/>
  <c r="AL186" i="5"/>
  <c r="AK186" i="5"/>
  <c r="AJ186" i="5"/>
  <c r="AI186" i="5"/>
  <c r="AH186" i="5"/>
  <c r="AG186" i="5"/>
  <c r="AF186" i="5"/>
  <c r="AE186" i="5"/>
  <c r="AD186" i="5"/>
  <c r="V186" i="5"/>
  <c r="U186" i="5"/>
  <c r="B186" i="5"/>
  <c r="D186" i="5" s="1"/>
  <c r="BI185" i="5"/>
  <c r="BF185" i="5"/>
  <c r="BE185" i="5"/>
  <c r="BA185" i="5"/>
  <c r="AW185" i="5"/>
  <c r="AS185" i="5"/>
  <c r="AO185" i="5"/>
  <c r="AN185" i="5"/>
  <c r="AM185" i="5"/>
  <c r="AL185" i="5"/>
  <c r="AK185" i="5"/>
  <c r="AJ185" i="5"/>
  <c r="AI185" i="5"/>
  <c r="AH185" i="5"/>
  <c r="AG185" i="5"/>
  <c r="AF185" i="5"/>
  <c r="AE185" i="5"/>
  <c r="AD185" i="5"/>
  <c r="V185" i="5"/>
  <c r="U185" i="5"/>
  <c r="B185" i="5"/>
  <c r="D185" i="5" s="1"/>
  <c r="BI184" i="5"/>
  <c r="BF184" i="5"/>
  <c r="BE184" i="5"/>
  <c r="BA184" i="5"/>
  <c r="AW184" i="5"/>
  <c r="AS184" i="5"/>
  <c r="AO184" i="5"/>
  <c r="AN184" i="5"/>
  <c r="AM184" i="5"/>
  <c r="AL184" i="5"/>
  <c r="AK184" i="5"/>
  <c r="AJ184" i="5"/>
  <c r="AI184" i="5"/>
  <c r="AH184" i="5"/>
  <c r="AG184" i="5"/>
  <c r="AF184" i="5"/>
  <c r="AE184" i="5"/>
  <c r="AD184" i="5"/>
  <c r="V184" i="5"/>
  <c r="U184" i="5"/>
  <c r="B184" i="5"/>
  <c r="D184" i="5" s="1"/>
  <c r="BI183" i="5"/>
  <c r="BF183" i="5"/>
  <c r="BE183" i="5"/>
  <c r="BA183" i="5"/>
  <c r="AW183" i="5"/>
  <c r="AS183" i="5"/>
  <c r="AO183" i="5"/>
  <c r="AN183" i="5"/>
  <c r="AM183" i="5"/>
  <c r="AL183" i="5"/>
  <c r="AK183" i="5"/>
  <c r="AJ183" i="5"/>
  <c r="AI183" i="5"/>
  <c r="AH183" i="5"/>
  <c r="AG183" i="5"/>
  <c r="AF183" i="5"/>
  <c r="AE183" i="5"/>
  <c r="AD183" i="5"/>
  <c r="V183" i="5"/>
  <c r="U183" i="5"/>
  <c r="B183" i="5"/>
  <c r="D183" i="5" s="1"/>
  <c r="BI182" i="5"/>
  <c r="BF182" i="5"/>
  <c r="BE182" i="5"/>
  <c r="BA182" i="5"/>
  <c r="AW182" i="5"/>
  <c r="AS182" i="5"/>
  <c r="AO182" i="5"/>
  <c r="AN182" i="5"/>
  <c r="AM182" i="5"/>
  <c r="AL182" i="5"/>
  <c r="AK182" i="5"/>
  <c r="AJ182" i="5"/>
  <c r="AI182" i="5"/>
  <c r="AH182" i="5"/>
  <c r="AG182" i="5"/>
  <c r="AF182" i="5"/>
  <c r="AE182" i="5"/>
  <c r="AD182" i="5"/>
  <c r="V182" i="5"/>
  <c r="U182" i="5"/>
  <c r="B182" i="5"/>
  <c r="D182" i="5" s="1"/>
  <c r="BI181" i="5"/>
  <c r="BF181" i="5"/>
  <c r="BE181" i="5"/>
  <c r="BA181" i="5"/>
  <c r="AW181" i="5"/>
  <c r="AS181" i="5"/>
  <c r="AO181" i="5"/>
  <c r="AN181" i="5"/>
  <c r="AM181" i="5"/>
  <c r="AL181" i="5"/>
  <c r="AK181" i="5"/>
  <c r="AJ181" i="5"/>
  <c r="AI181" i="5"/>
  <c r="AH181" i="5"/>
  <c r="AG181" i="5"/>
  <c r="AF181" i="5"/>
  <c r="AE181" i="5"/>
  <c r="AD181" i="5"/>
  <c r="V181" i="5"/>
  <c r="U181" i="5"/>
  <c r="B181" i="5"/>
  <c r="D181" i="5" s="1"/>
  <c r="BI180" i="5"/>
  <c r="BF180" i="5"/>
  <c r="BE180" i="5"/>
  <c r="BA180" i="5"/>
  <c r="AW180" i="5"/>
  <c r="AS180" i="5"/>
  <c r="AO180" i="5"/>
  <c r="AN180" i="5"/>
  <c r="AM180" i="5"/>
  <c r="AL180" i="5"/>
  <c r="AK180" i="5"/>
  <c r="AJ180" i="5"/>
  <c r="AI180" i="5"/>
  <c r="AH180" i="5"/>
  <c r="AG180" i="5"/>
  <c r="AF180" i="5"/>
  <c r="AE180" i="5"/>
  <c r="AD180" i="5"/>
  <c r="V180" i="5"/>
  <c r="U180" i="5"/>
  <c r="B180" i="5"/>
  <c r="D180" i="5" s="1"/>
  <c r="BI179" i="5"/>
  <c r="BF179" i="5"/>
  <c r="BE179" i="5"/>
  <c r="BA179" i="5"/>
  <c r="AW179" i="5"/>
  <c r="AS179" i="5"/>
  <c r="AO179" i="5"/>
  <c r="AN179" i="5"/>
  <c r="AM179" i="5"/>
  <c r="AL179" i="5"/>
  <c r="AK179" i="5"/>
  <c r="AJ179" i="5"/>
  <c r="AI179" i="5"/>
  <c r="AH179" i="5"/>
  <c r="AG179" i="5"/>
  <c r="AF179" i="5"/>
  <c r="AE179" i="5"/>
  <c r="AD179" i="5"/>
  <c r="V179" i="5"/>
  <c r="U179" i="5"/>
  <c r="B179" i="5"/>
  <c r="D179" i="5" s="1"/>
  <c r="BI178" i="5"/>
  <c r="BF178" i="5"/>
  <c r="BE178" i="5"/>
  <c r="BA178" i="5"/>
  <c r="AW178" i="5"/>
  <c r="AS178" i="5"/>
  <c r="AO178" i="5"/>
  <c r="AN178" i="5"/>
  <c r="AM178" i="5"/>
  <c r="AL178" i="5"/>
  <c r="AK178" i="5"/>
  <c r="AJ178" i="5"/>
  <c r="AI178" i="5"/>
  <c r="AH178" i="5"/>
  <c r="AG178" i="5"/>
  <c r="AF178" i="5"/>
  <c r="AE178" i="5"/>
  <c r="AD178" i="5"/>
  <c r="V178" i="5"/>
  <c r="U178" i="5"/>
  <c r="B178" i="5"/>
  <c r="D178" i="5" s="1"/>
  <c r="BI177" i="5"/>
  <c r="BF177" i="5"/>
  <c r="BE177" i="5"/>
  <c r="BA177" i="5"/>
  <c r="AW177" i="5"/>
  <c r="AS177" i="5"/>
  <c r="AO177" i="5"/>
  <c r="AN177" i="5"/>
  <c r="AM177" i="5"/>
  <c r="AL177" i="5"/>
  <c r="AK177" i="5"/>
  <c r="AJ177" i="5"/>
  <c r="AI177" i="5"/>
  <c r="AH177" i="5"/>
  <c r="AG177" i="5"/>
  <c r="AF177" i="5"/>
  <c r="AE177" i="5"/>
  <c r="AD177" i="5"/>
  <c r="V177" i="5"/>
  <c r="U177" i="5"/>
  <c r="B177" i="5"/>
  <c r="D177" i="5" s="1"/>
  <c r="BI176" i="5"/>
  <c r="BF176" i="5"/>
  <c r="BE176" i="5"/>
  <c r="BA176" i="5"/>
  <c r="AW176" i="5"/>
  <c r="AS176" i="5"/>
  <c r="AO176" i="5"/>
  <c r="AN176" i="5"/>
  <c r="AM176" i="5"/>
  <c r="AL176" i="5"/>
  <c r="AK176" i="5"/>
  <c r="AJ176" i="5"/>
  <c r="AI176" i="5"/>
  <c r="AH176" i="5"/>
  <c r="AG176" i="5"/>
  <c r="AF176" i="5"/>
  <c r="AE176" i="5"/>
  <c r="AD176" i="5"/>
  <c r="V176" i="5"/>
  <c r="U176" i="5"/>
  <c r="B176" i="5"/>
  <c r="D176" i="5" s="1"/>
  <c r="BI175" i="5"/>
  <c r="BF175" i="5"/>
  <c r="BE175" i="5"/>
  <c r="BA175" i="5"/>
  <c r="AW175" i="5"/>
  <c r="AS175" i="5"/>
  <c r="AO175" i="5"/>
  <c r="AN175" i="5"/>
  <c r="AM175" i="5"/>
  <c r="AL175" i="5"/>
  <c r="AK175" i="5"/>
  <c r="AJ175" i="5"/>
  <c r="AI175" i="5"/>
  <c r="AH175" i="5"/>
  <c r="AG175" i="5"/>
  <c r="AF175" i="5"/>
  <c r="AE175" i="5"/>
  <c r="AD175" i="5"/>
  <c r="V175" i="5"/>
  <c r="U175" i="5"/>
  <c r="B175" i="5"/>
  <c r="D175" i="5" s="1"/>
  <c r="BI174" i="5"/>
  <c r="BF174" i="5"/>
  <c r="BE174" i="5"/>
  <c r="BA174" i="5"/>
  <c r="AW174" i="5"/>
  <c r="AS174" i="5"/>
  <c r="AO174" i="5"/>
  <c r="AN174" i="5"/>
  <c r="AM174" i="5"/>
  <c r="AL174" i="5"/>
  <c r="AK174" i="5"/>
  <c r="AJ174" i="5"/>
  <c r="AI174" i="5"/>
  <c r="AH174" i="5"/>
  <c r="AG174" i="5"/>
  <c r="AF174" i="5"/>
  <c r="AE174" i="5"/>
  <c r="AD174" i="5"/>
  <c r="V174" i="5"/>
  <c r="U174" i="5"/>
  <c r="B174" i="5"/>
  <c r="D174" i="5" s="1"/>
  <c r="BI173" i="5"/>
  <c r="BF173" i="5"/>
  <c r="BE173" i="5"/>
  <c r="BA173" i="5"/>
  <c r="AW173" i="5"/>
  <c r="AS173" i="5"/>
  <c r="AO173" i="5"/>
  <c r="AN173" i="5"/>
  <c r="AM173" i="5"/>
  <c r="AL173" i="5"/>
  <c r="AK173" i="5"/>
  <c r="AJ173" i="5"/>
  <c r="AI173" i="5"/>
  <c r="AH173" i="5"/>
  <c r="AG173" i="5"/>
  <c r="AF173" i="5"/>
  <c r="AE173" i="5"/>
  <c r="AD173" i="5"/>
  <c r="V173" i="5"/>
  <c r="U173" i="5"/>
  <c r="B173" i="5"/>
  <c r="D173" i="5" s="1"/>
  <c r="BI172" i="5"/>
  <c r="BF172" i="5"/>
  <c r="BE172" i="5"/>
  <c r="BA172" i="5"/>
  <c r="AW172" i="5"/>
  <c r="AS172" i="5"/>
  <c r="AO172" i="5"/>
  <c r="AN172" i="5"/>
  <c r="AM172" i="5"/>
  <c r="AL172" i="5"/>
  <c r="AK172" i="5"/>
  <c r="AJ172" i="5"/>
  <c r="AI172" i="5"/>
  <c r="AH172" i="5"/>
  <c r="AG172" i="5"/>
  <c r="AF172" i="5"/>
  <c r="AE172" i="5"/>
  <c r="AD172" i="5"/>
  <c r="V172" i="5"/>
  <c r="U172" i="5"/>
  <c r="B172" i="5"/>
  <c r="D172" i="5" s="1"/>
  <c r="BI171" i="5"/>
  <c r="BF171" i="5"/>
  <c r="BE171" i="5"/>
  <c r="BA171" i="5"/>
  <c r="AW171" i="5"/>
  <c r="AS171" i="5"/>
  <c r="AO171" i="5"/>
  <c r="AN171" i="5"/>
  <c r="AM171" i="5"/>
  <c r="AL171" i="5"/>
  <c r="AK171" i="5"/>
  <c r="AJ171" i="5"/>
  <c r="AI171" i="5"/>
  <c r="AH171" i="5"/>
  <c r="AG171" i="5"/>
  <c r="AF171" i="5"/>
  <c r="AE171" i="5"/>
  <c r="AD171" i="5"/>
  <c r="V171" i="5"/>
  <c r="U171" i="5"/>
  <c r="B171" i="5"/>
  <c r="D171" i="5" s="1"/>
  <c r="BI170" i="5"/>
  <c r="BF170" i="5"/>
  <c r="BE170" i="5"/>
  <c r="BA170" i="5"/>
  <c r="AW170" i="5"/>
  <c r="AS170" i="5"/>
  <c r="AO170" i="5"/>
  <c r="AN170" i="5"/>
  <c r="AM170" i="5"/>
  <c r="AL170" i="5"/>
  <c r="AK170" i="5"/>
  <c r="AJ170" i="5"/>
  <c r="AI170" i="5"/>
  <c r="AH170" i="5"/>
  <c r="AG170" i="5"/>
  <c r="AF170" i="5"/>
  <c r="AE170" i="5"/>
  <c r="AD170" i="5"/>
  <c r="V170" i="5"/>
  <c r="U170" i="5"/>
  <c r="B170" i="5"/>
  <c r="D170" i="5" s="1"/>
  <c r="BI169" i="5"/>
  <c r="BF169" i="5"/>
  <c r="BE169" i="5"/>
  <c r="BA169" i="5"/>
  <c r="AW169" i="5"/>
  <c r="AS169" i="5"/>
  <c r="AP169" i="5"/>
  <c r="AO169" i="5"/>
  <c r="AN169" i="5"/>
  <c r="AM169" i="5"/>
  <c r="AL169" i="5"/>
  <c r="AK169" i="5"/>
  <c r="AJ169" i="5"/>
  <c r="AI169" i="5"/>
  <c r="AH169" i="5"/>
  <c r="AG169" i="5"/>
  <c r="AF169" i="5"/>
  <c r="AE169" i="5"/>
  <c r="AD169" i="5"/>
  <c r="AC169" i="5"/>
  <c r="AB169" i="5"/>
  <c r="V169" i="5"/>
  <c r="U169" i="5"/>
  <c r="B169" i="5"/>
  <c r="D169" i="5" s="1"/>
  <c r="BI168" i="5"/>
  <c r="BF168" i="5"/>
  <c r="BE168" i="5"/>
  <c r="BA168" i="5"/>
  <c r="AW168" i="5"/>
  <c r="AS168" i="5"/>
  <c r="AO168" i="5"/>
  <c r="AN168" i="5"/>
  <c r="AM168" i="5"/>
  <c r="AL168" i="5"/>
  <c r="AK168" i="5"/>
  <c r="AJ168" i="5"/>
  <c r="AI168" i="5"/>
  <c r="AH168" i="5"/>
  <c r="AG168" i="5"/>
  <c r="AF168" i="5"/>
  <c r="AE168" i="5"/>
  <c r="AD168" i="5"/>
  <c r="V168" i="5"/>
  <c r="U168" i="5"/>
  <c r="B168" i="5"/>
  <c r="D168" i="5" s="1"/>
  <c r="BI167" i="5"/>
  <c r="BF167" i="5"/>
  <c r="BE167" i="5"/>
  <c r="BA167" i="5"/>
  <c r="AW167" i="5"/>
  <c r="AS167" i="5"/>
  <c r="AO167" i="5"/>
  <c r="AN167" i="5"/>
  <c r="AM167" i="5"/>
  <c r="AL167" i="5"/>
  <c r="AK167" i="5"/>
  <c r="AJ167" i="5"/>
  <c r="AI167" i="5"/>
  <c r="AH167" i="5"/>
  <c r="AG167" i="5"/>
  <c r="AF167" i="5"/>
  <c r="AE167" i="5"/>
  <c r="AD167" i="5"/>
  <c r="V167" i="5"/>
  <c r="U167" i="5"/>
  <c r="B167" i="5"/>
  <c r="D167" i="5" s="1"/>
  <c r="BI166" i="5"/>
  <c r="BF166" i="5"/>
  <c r="BE166" i="5"/>
  <c r="BA166" i="5"/>
  <c r="AW166" i="5"/>
  <c r="AS166" i="5"/>
  <c r="AO166" i="5"/>
  <c r="AN166" i="5"/>
  <c r="AM166" i="5"/>
  <c r="AL166" i="5"/>
  <c r="AK166" i="5"/>
  <c r="AJ166" i="5"/>
  <c r="AI166" i="5"/>
  <c r="AH166" i="5"/>
  <c r="AG166" i="5"/>
  <c r="AF166" i="5"/>
  <c r="AE166" i="5"/>
  <c r="AD166" i="5"/>
  <c r="V166" i="5"/>
  <c r="U166" i="5"/>
  <c r="B166" i="5"/>
  <c r="D166" i="5" s="1"/>
  <c r="BI165" i="5"/>
  <c r="BF165" i="5"/>
  <c r="BE165" i="5"/>
  <c r="BA165" i="5"/>
  <c r="AW165" i="5"/>
  <c r="AS165" i="5"/>
  <c r="AO165" i="5"/>
  <c r="AN165" i="5"/>
  <c r="AM165" i="5"/>
  <c r="AL165" i="5"/>
  <c r="AK165" i="5"/>
  <c r="AJ165" i="5"/>
  <c r="AI165" i="5"/>
  <c r="AH165" i="5"/>
  <c r="AG165" i="5"/>
  <c r="AF165" i="5"/>
  <c r="AE165" i="5"/>
  <c r="AD165" i="5"/>
  <c r="V165" i="5"/>
  <c r="U165" i="5"/>
  <c r="B165" i="5"/>
  <c r="D165" i="5" s="1"/>
  <c r="BI164" i="5"/>
  <c r="BF164" i="5"/>
  <c r="BE164" i="5"/>
  <c r="BA164" i="5"/>
  <c r="AW164" i="5"/>
  <c r="AS164" i="5"/>
  <c r="AO164" i="5"/>
  <c r="AN164" i="5"/>
  <c r="AM164" i="5"/>
  <c r="AL164" i="5"/>
  <c r="AK164" i="5"/>
  <c r="AJ164" i="5"/>
  <c r="AI164" i="5"/>
  <c r="AH164" i="5"/>
  <c r="AG164" i="5"/>
  <c r="AF164" i="5"/>
  <c r="AE164" i="5"/>
  <c r="AD164" i="5"/>
  <c r="V164" i="5"/>
  <c r="U164" i="5"/>
  <c r="D164" i="5"/>
  <c r="B164" i="5"/>
  <c r="BI163" i="5"/>
  <c r="BF163" i="5"/>
  <c r="BE163" i="5"/>
  <c r="BA163" i="5"/>
  <c r="AW163" i="5"/>
  <c r="AS163" i="5"/>
  <c r="AO163" i="5"/>
  <c r="AN163" i="5"/>
  <c r="AM163" i="5"/>
  <c r="AL163" i="5"/>
  <c r="AK163" i="5"/>
  <c r="AJ163" i="5"/>
  <c r="AI163" i="5"/>
  <c r="AH163" i="5"/>
  <c r="AG163" i="5"/>
  <c r="AF163" i="5"/>
  <c r="AE163" i="5"/>
  <c r="AD163" i="5"/>
  <c r="V163" i="5"/>
  <c r="U163" i="5"/>
  <c r="B163" i="5"/>
  <c r="D163" i="5" s="1"/>
  <c r="BI162" i="5"/>
  <c r="BF162" i="5"/>
  <c r="BE162" i="5"/>
  <c r="BA162" i="5"/>
  <c r="AW162" i="5"/>
  <c r="AS162" i="5"/>
  <c r="AO162" i="5"/>
  <c r="AN162" i="5"/>
  <c r="AM162" i="5"/>
  <c r="AL162" i="5"/>
  <c r="AK162" i="5"/>
  <c r="AJ162" i="5"/>
  <c r="AI162" i="5"/>
  <c r="AH162" i="5"/>
  <c r="AG162" i="5"/>
  <c r="AF162" i="5"/>
  <c r="AE162" i="5"/>
  <c r="AD162" i="5"/>
  <c r="V162" i="5"/>
  <c r="U162" i="5"/>
  <c r="B162" i="5"/>
  <c r="D162" i="5" s="1"/>
  <c r="BI161" i="5"/>
  <c r="BF161" i="5"/>
  <c r="BE161" i="5"/>
  <c r="BA161" i="5"/>
  <c r="AW161" i="5"/>
  <c r="AS161" i="5"/>
  <c r="AO161" i="5"/>
  <c r="AN161" i="5"/>
  <c r="AM161" i="5"/>
  <c r="AL161" i="5"/>
  <c r="AK161" i="5"/>
  <c r="AJ161" i="5"/>
  <c r="AI161" i="5"/>
  <c r="AH161" i="5"/>
  <c r="AG161" i="5"/>
  <c r="AF161" i="5"/>
  <c r="AE161" i="5"/>
  <c r="AD161" i="5"/>
  <c r="V161" i="5"/>
  <c r="U161" i="5"/>
  <c r="M161" i="5"/>
  <c r="B161" i="5"/>
  <c r="D161" i="5" s="1"/>
  <c r="BI160" i="5"/>
  <c r="BF160" i="5"/>
  <c r="BE160" i="5"/>
  <c r="BA160" i="5"/>
  <c r="AW160" i="5"/>
  <c r="AS160" i="5"/>
  <c r="AO160" i="5"/>
  <c r="AN160" i="5"/>
  <c r="AM160" i="5"/>
  <c r="AL160" i="5"/>
  <c r="AK160" i="5"/>
  <c r="AJ160" i="5"/>
  <c r="AI160" i="5"/>
  <c r="AH160" i="5"/>
  <c r="AG160" i="5"/>
  <c r="AF160" i="5"/>
  <c r="AE160" i="5"/>
  <c r="AD160" i="5"/>
  <c r="V160" i="5"/>
  <c r="U160" i="5"/>
  <c r="B160" i="5"/>
  <c r="D160" i="5" s="1"/>
  <c r="BI159" i="5"/>
  <c r="BF159" i="5"/>
  <c r="BE159" i="5"/>
  <c r="BA159" i="5"/>
  <c r="AW159" i="5"/>
  <c r="AS159" i="5"/>
  <c r="AO159" i="5"/>
  <c r="AN159" i="5"/>
  <c r="AM159" i="5"/>
  <c r="AL159" i="5"/>
  <c r="AK159" i="5"/>
  <c r="AJ159" i="5"/>
  <c r="AI159" i="5"/>
  <c r="AH159" i="5"/>
  <c r="AG159" i="5"/>
  <c r="AF159" i="5"/>
  <c r="AE159" i="5"/>
  <c r="AD159" i="5"/>
  <c r="V159" i="5"/>
  <c r="U159" i="5"/>
  <c r="B159" i="5"/>
  <c r="D159" i="5" s="1"/>
  <c r="BI158" i="5"/>
  <c r="BF158" i="5"/>
  <c r="BE158" i="5"/>
  <c r="BA158" i="5"/>
  <c r="AW158" i="5"/>
  <c r="AS158" i="5"/>
  <c r="AO158" i="5"/>
  <c r="AN158" i="5"/>
  <c r="AM158" i="5"/>
  <c r="AL158" i="5"/>
  <c r="AK158" i="5"/>
  <c r="AJ158" i="5"/>
  <c r="AI158" i="5"/>
  <c r="AH158" i="5"/>
  <c r="AG158" i="5"/>
  <c r="AF158" i="5"/>
  <c r="AE158" i="5"/>
  <c r="AD158" i="5"/>
  <c r="V158" i="5"/>
  <c r="U158" i="5"/>
  <c r="B158" i="5"/>
  <c r="D158" i="5" s="1"/>
  <c r="BI157" i="5"/>
  <c r="BF157" i="5"/>
  <c r="BE157" i="5"/>
  <c r="BA157" i="5"/>
  <c r="AW157" i="5"/>
  <c r="AS157" i="5"/>
  <c r="AO157" i="5"/>
  <c r="AN157" i="5"/>
  <c r="AM157" i="5"/>
  <c r="AL157" i="5"/>
  <c r="AK157" i="5"/>
  <c r="AJ157" i="5"/>
  <c r="AI157" i="5"/>
  <c r="AH157" i="5"/>
  <c r="AG157" i="5"/>
  <c r="AF157" i="5"/>
  <c r="AE157" i="5"/>
  <c r="AD157" i="5"/>
  <c r="V157" i="5"/>
  <c r="U157" i="5"/>
  <c r="B157" i="5"/>
  <c r="D157" i="5" s="1"/>
  <c r="BI156" i="5"/>
  <c r="BF156" i="5"/>
  <c r="BE156" i="5"/>
  <c r="BA156" i="5"/>
  <c r="AW156" i="5"/>
  <c r="AS156" i="5"/>
  <c r="AO156" i="5"/>
  <c r="AN156" i="5"/>
  <c r="AM156" i="5"/>
  <c r="AL156" i="5"/>
  <c r="AK156" i="5"/>
  <c r="AJ156" i="5"/>
  <c r="AI156" i="5"/>
  <c r="AH156" i="5"/>
  <c r="AG156" i="5"/>
  <c r="AF156" i="5"/>
  <c r="AE156" i="5"/>
  <c r="AD156" i="5"/>
  <c r="V156" i="5"/>
  <c r="U156" i="5"/>
  <c r="B156" i="5"/>
  <c r="D156" i="5" s="1"/>
  <c r="BI155" i="5"/>
  <c r="BF155" i="5"/>
  <c r="BE155" i="5"/>
  <c r="BA155" i="5"/>
  <c r="AW155" i="5"/>
  <c r="AS155" i="5"/>
  <c r="AO155" i="5"/>
  <c r="AN155" i="5"/>
  <c r="AM155" i="5"/>
  <c r="AL155" i="5"/>
  <c r="AK155" i="5"/>
  <c r="AJ155" i="5"/>
  <c r="AI155" i="5"/>
  <c r="AH155" i="5"/>
  <c r="AG155" i="5"/>
  <c r="AF155" i="5"/>
  <c r="AE155" i="5"/>
  <c r="AD155" i="5"/>
  <c r="V155" i="5"/>
  <c r="U155" i="5"/>
  <c r="B155" i="5"/>
  <c r="D155" i="5" s="1"/>
  <c r="BI154" i="5"/>
  <c r="BF154" i="5"/>
  <c r="BE154" i="5"/>
  <c r="BA154" i="5"/>
  <c r="AW154" i="5"/>
  <c r="AS154" i="5"/>
  <c r="AO154" i="5"/>
  <c r="AN154" i="5"/>
  <c r="AM154" i="5"/>
  <c r="AL154" i="5"/>
  <c r="AK154" i="5"/>
  <c r="AJ154" i="5"/>
  <c r="AI154" i="5"/>
  <c r="AH154" i="5"/>
  <c r="AG154" i="5"/>
  <c r="AF154" i="5"/>
  <c r="AE154" i="5"/>
  <c r="AD154" i="5"/>
  <c r="V154" i="5"/>
  <c r="U154" i="5"/>
  <c r="B154" i="5"/>
  <c r="D154" i="5" s="1"/>
  <c r="BI153" i="5"/>
  <c r="BF153" i="5"/>
  <c r="BE153" i="5"/>
  <c r="BA153" i="5"/>
  <c r="AW153" i="5"/>
  <c r="AS153" i="5"/>
  <c r="AO153" i="5"/>
  <c r="AN153" i="5"/>
  <c r="AM153" i="5"/>
  <c r="AL153" i="5"/>
  <c r="AK153" i="5"/>
  <c r="AJ153" i="5"/>
  <c r="AI153" i="5"/>
  <c r="AH153" i="5"/>
  <c r="AG153" i="5"/>
  <c r="AF153" i="5"/>
  <c r="AE153" i="5"/>
  <c r="AD153" i="5"/>
  <c r="V153" i="5"/>
  <c r="U153" i="5"/>
  <c r="D153" i="5"/>
  <c r="B153" i="5"/>
  <c r="BI152" i="5"/>
  <c r="BF152" i="5"/>
  <c r="BE152" i="5"/>
  <c r="BA152" i="5"/>
  <c r="AW152" i="5"/>
  <c r="AS152" i="5"/>
  <c r="AO152" i="5"/>
  <c r="AN152" i="5"/>
  <c r="AM152" i="5"/>
  <c r="AL152" i="5"/>
  <c r="AK152" i="5"/>
  <c r="AJ152" i="5"/>
  <c r="AI152" i="5"/>
  <c r="AH152" i="5"/>
  <c r="AG152" i="5"/>
  <c r="AF152" i="5"/>
  <c r="AE152" i="5"/>
  <c r="AD152" i="5"/>
  <c r="V152" i="5"/>
  <c r="U152" i="5"/>
  <c r="B152" i="5"/>
  <c r="D152" i="5" s="1"/>
  <c r="BI151" i="5"/>
  <c r="BF151" i="5"/>
  <c r="BE151" i="5"/>
  <c r="BA151" i="5"/>
  <c r="AW151" i="5"/>
  <c r="AS151" i="5"/>
  <c r="AO151" i="5"/>
  <c r="AN151" i="5"/>
  <c r="AM151" i="5"/>
  <c r="AL151" i="5"/>
  <c r="AK151" i="5"/>
  <c r="AJ151" i="5"/>
  <c r="AI151" i="5"/>
  <c r="AH151" i="5"/>
  <c r="AG151" i="5"/>
  <c r="AF151" i="5"/>
  <c r="AE151" i="5"/>
  <c r="AD151" i="5"/>
  <c r="V151" i="5"/>
  <c r="U151" i="5"/>
  <c r="B151" i="5"/>
  <c r="D151" i="5" s="1"/>
  <c r="BI150" i="5"/>
  <c r="BF150" i="5"/>
  <c r="BE150" i="5"/>
  <c r="BA150" i="5"/>
  <c r="AW150" i="5"/>
  <c r="AS150" i="5"/>
  <c r="AO150" i="5"/>
  <c r="AN150" i="5"/>
  <c r="AM150" i="5"/>
  <c r="AL150" i="5"/>
  <c r="AK150" i="5"/>
  <c r="AJ150" i="5"/>
  <c r="AI150" i="5"/>
  <c r="AH150" i="5"/>
  <c r="AG150" i="5"/>
  <c r="AF150" i="5"/>
  <c r="AE150" i="5"/>
  <c r="AD150" i="5"/>
  <c r="V150" i="5"/>
  <c r="U150" i="5"/>
  <c r="B150" i="5"/>
  <c r="D150" i="5" s="1"/>
  <c r="BI149" i="5"/>
  <c r="BF149" i="5"/>
  <c r="BE149" i="5"/>
  <c r="BA149" i="5"/>
  <c r="AW149" i="5"/>
  <c r="AS149" i="5"/>
  <c r="AO149" i="5"/>
  <c r="AN149" i="5"/>
  <c r="AM149" i="5"/>
  <c r="AL149" i="5"/>
  <c r="AK149" i="5"/>
  <c r="AJ149" i="5"/>
  <c r="AI149" i="5"/>
  <c r="AH149" i="5"/>
  <c r="AG149" i="5"/>
  <c r="AF149" i="5"/>
  <c r="AE149" i="5"/>
  <c r="AD149" i="5"/>
  <c r="V149" i="5"/>
  <c r="U149" i="5"/>
  <c r="B149" i="5"/>
  <c r="D149" i="5" s="1"/>
  <c r="BI148" i="5"/>
  <c r="BF148" i="5"/>
  <c r="BE148" i="5"/>
  <c r="BA148" i="5"/>
  <c r="AW148" i="5"/>
  <c r="AS148" i="5"/>
  <c r="AO148" i="5"/>
  <c r="AN148" i="5"/>
  <c r="AM148" i="5"/>
  <c r="AL148" i="5"/>
  <c r="AK148" i="5"/>
  <c r="AJ148" i="5"/>
  <c r="AI148" i="5"/>
  <c r="AH148" i="5"/>
  <c r="AG148" i="5"/>
  <c r="AF148" i="5"/>
  <c r="AE148" i="5"/>
  <c r="AD148" i="5"/>
  <c r="V148" i="5"/>
  <c r="U148" i="5"/>
  <c r="D148" i="5"/>
  <c r="B148" i="5"/>
  <c r="BI147" i="5"/>
  <c r="BF147" i="5"/>
  <c r="BE147" i="5"/>
  <c r="BA147" i="5"/>
  <c r="AW147" i="5"/>
  <c r="AS147" i="5"/>
  <c r="AO147" i="5"/>
  <c r="AN147" i="5"/>
  <c r="AM147" i="5"/>
  <c r="AL147" i="5"/>
  <c r="AK147" i="5"/>
  <c r="AJ147" i="5"/>
  <c r="AI147" i="5"/>
  <c r="AH147" i="5"/>
  <c r="AG147" i="5"/>
  <c r="AF147" i="5"/>
  <c r="AE147" i="5"/>
  <c r="AD147" i="5"/>
  <c r="V147" i="5"/>
  <c r="U147" i="5"/>
  <c r="B147" i="5"/>
  <c r="D147" i="5" s="1"/>
  <c r="BI146" i="5"/>
  <c r="BF146" i="5"/>
  <c r="BE146" i="5"/>
  <c r="BA146" i="5"/>
  <c r="AW146" i="5"/>
  <c r="AS146" i="5"/>
  <c r="AO146" i="5"/>
  <c r="AN146" i="5"/>
  <c r="AM146" i="5"/>
  <c r="AL146" i="5"/>
  <c r="AK146" i="5"/>
  <c r="AJ146" i="5"/>
  <c r="AI146" i="5"/>
  <c r="AH146" i="5"/>
  <c r="AG146" i="5"/>
  <c r="AF146" i="5"/>
  <c r="AE146" i="5"/>
  <c r="AD146" i="5"/>
  <c r="V146" i="5"/>
  <c r="U146" i="5"/>
  <c r="B146" i="5"/>
  <c r="D146" i="5" s="1"/>
  <c r="BI145" i="5"/>
  <c r="BF145" i="5"/>
  <c r="BE145" i="5"/>
  <c r="BA145" i="5"/>
  <c r="AW145" i="5"/>
  <c r="AS145" i="5"/>
  <c r="AO145" i="5"/>
  <c r="AN145" i="5"/>
  <c r="AM145" i="5"/>
  <c r="AL145" i="5"/>
  <c r="AK145" i="5"/>
  <c r="AJ145" i="5"/>
  <c r="AI145" i="5"/>
  <c r="AH145" i="5"/>
  <c r="AG145" i="5"/>
  <c r="AF145" i="5"/>
  <c r="AE145" i="5"/>
  <c r="AD145" i="5"/>
  <c r="AB145" i="5"/>
  <c r="AP145" i="5" s="1"/>
  <c r="V145" i="5"/>
  <c r="U145" i="5"/>
  <c r="B145" i="5"/>
  <c r="D145" i="5" s="1"/>
  <c r="BI144" i="5"/>
  <c r="BF144" i="5"/>
  <c r="BE144" i="5"/>
  <c r="BA144" i="5"/>
  <c r="AW144" i="5"/>
  <c r="AS144" i="5"/>
  <c r="AO144" i="5"/>
  <c r="AN144" i="5"/>
  <c r="AM144" i="5"/>
  <c r="AL144" i="5"/>
  <c r="AK144" i="5"/>
  <c r="AJ144" i="5"/>
  <c r="AI144" i="5"/>
  <c r="AH144" i="5"/>
  <c r="AG144" i="5"/>
  <c r="AF144" i="5"/>
  <c r="AE144" i="5"/>
  <c r="AD144" i="5"/>
  <c r="V144" i="5"/>
  <c r="U144" i="5"/>
  <c r="B144" i="5"/>
  <c r="D144" i="5" s="1"/>
  <c r="BI143" i="5"/>
  <c r="BF143" i="5"/>
  <c r="BE143" i="5"/>
  <c r="BA143" i="5"/>
  <c r="AW143" i="5"/>
  <c r="AS143" i="5"/>
  <c r="AO143" i="5"/>
  <c r="AN143" i="5"/>
  <c r="AM143" i="5"/>
  <c r="AL143" i="5"/>
  <c r="AK143" i="5"/>
  <c r="AJ143" i="5"/>
  <c r="AI143" i="5"/>
  <c r="AH143" i="5"/>
  <c r="AG143" i="5"/>
  <c r="AF143" i="5"/>
  <c r="AE143" i="5"/>
  <c r="AD143" i="5"/>
  <c r="V143" i="5"/>
  <c r="U143" i="5"/>
  <c r="B143" i="5"/>
  <c r="D143" i="5" s="1"/>
  <c r="BI142" i="5"/>
  <c r="BF142" i="5"/>
  <c r="BE142" i="5"/>
  <c r="BA142" i="5"/>
  <c r="AW142" i="5"/>
  <c r="AS142" i="5"/>
  <c r="AO142" i="5"/>
  <c r="AN142" i="5"/>
  <c r="AM142" i="5"/>
  <c r="AL142" i="5"/>
  <c r="AK142" i="5"/>
  <c r="AJ142" i="5"/>
  <c r="AI142" i="5"/>
  <c r="AH142" i="5"/>
  <c r="AG142" i="5"/>
  <c r="AF142" i="5"/>
  <c r="AE142" i="5"/>
  <c r="AD142" i="5"/>
  <c r="V142" i="5"/>
  <c r="U142" i="5"/>
  <c r="B142" i="5"/>
  <c r="D142" i="5" s="1"/>
  <c r="BI141" i="5"/>
  <c r="BF141" i="5"/>
  <c r="BE141" i="5"/>
  <c r="BA141" i="5"/>
  <c r="AW141" i="5"/>
  <c r="AS141" i="5"/>
  <c r="AO141" i="5"/>
  <c r="AN141" i="5"/>
  <c r="AM141" i="5"/>
  <c r="AL141" i="5"/>
  <c r="AK141" i="5"/>
  <c r="AJ141" i="5"/>
  <c r="AI141" i="5"/>
  <c r="AH141" i="5"/>
  <c r="AG141" i="5"/>
  <c r="AF141" i="5"/>
  <c r="AE141" i="5"/>
  <c r="AD141" i="5"/>
  <c r="V141" i="5"/>
  <c r="U141" i="5"/>
  <c r="B141" i="5"/>
  <c r="D141" i="5" s="1"/>
  <c r="BI140" i="5"/>
  <c r="BF140" i="5"/>
  <c r="BE140" i="5"/>
  <c r="BA140" i="5"/>
  <c r="AW140" i="5"/>
  <c r="AS140" i="5"/>
  <c r="AO140" i="5"/>
  <c r="AN140" i="5"/>
  <c r="AM140" i="5"/>
  <c r="AL140" i="5"/>
  <c r="AK140" i="5"/>
  <c r="AJ140" i="5"/>
  <c r="AI140" i="5"/>
  <c r="AH140" i="5"/>
  <c r="AG140" i="5"/>
  <c r="AF140" i="5"/>
  <c r="AE140" i="5"/>
  <c r="AD140" i="5"/>
  <c r="V140" i="5"/>
  <c r="U140" i="5"/>
  <c r="B140" i="5"/>
  <c r="D140" i="5" s="1"/>
  <c r="BI139" i="5"/>
  <c r="BF139" i="5"/>
  <c r="BE139" i="5"/>
  <c r="BA139" i="5"/>
  <c r="AW139" i="5"/>
  <c r="AS139" i="5"/>
  <c r="AO139" i="5"/>
  <c r="AN139" i="5"/>
  <c r="AM139" i="5"/>
  <c r="AL139" i="5"/>
  <c r="AK139" i="5"/>
  <c r="AJ139" i="5"/>
  <c r="AI139" i="5"/>
  <c r="AH139" i="5"/>
  <c r="AG139" i="5"/>
  <c r="AF139" i="5"/>
  <c r="AE139" i="5"/>
  <c r="AD139" i="5"/>
  <c r="V139" i="5"/>
  <c r="U139" i="5"/>
  <c r="B139" i="5"/>
  <c r="D139" i="5" s="1"/>
  <c r="BI138" i="5"/>
  <c r="BF138" i="5"/>
  <c r="BE138" i="5"/>
  <c r="BA138" i="5"/>
  <c r="AW138" i="5"/>
  <c r="AS138" i="5"/>
  <c r="AO138" i="5"/>
  <c r="AN138" i="5"/>
  <c r="AM138" i="5"/>
  <c r="AL138" i="5"/>
  <c r="AK138" i="5"/>
  <c r="AJ138" i="5"/>
  <c r="AI138" i="5"/>
  <c r="AH138" i="5"/>
  <c r="AG138" i="5"/>
  <c r="AF138" i="5"/>
  <c r="AE138" i="5"/>
  <c r="AD138" i="5"/>
  <c r="V138" i="5"/>
  <c r="U138" i="5"/>
  <c r="B138" i="5"/>
  <c r="D138" i="5" s="1"/>
  <c r="BI137" i="5"/>
  <c r="BF137" i="5"/>
  <c r="BE137" i="5"/>
  <c r="BA137" i="5"/>
  <c r="AW137" i="5"/>
  <c r="AS137" i="5"/>
  <c r="AO137" i="5"/>
  <c r="AN137" i="5"/>
  <c r="AM137" i="5"/>
  <c r="AL137" i="5"/>
  <c r="AK137" i="5"/>
  <c r="AJ137" i="5"/>
  <c r="AI137" i="5"/>
  <c r="AH137" i="5"/>
  <c r="AG137" i="5"/>
  <c r="AF137" i="5"/>
  <c r="AE137" i="5"/>
  <c r="AD137" i="5"/>
  <c r="V137" i="5"/>
  <c r="U137" i="5"/>
  <c r="B137" i="5"/>
  <c r="D137" i="5" s="1"/>
  <c r="BI136" i="5"/>
  <c r="BF136" i="5"/>
  <c r="BE136" i="5"/>
  <c r="BA136" i="5"/>
  <c r="AW136" i="5"/>
  <c r="AS136" i="5"/>
  <c r="AO136" i="5"/>
  <c r="AN136" i="5"/>
  <c r="AM136" i="5"/>
  <c r="AL136" i="5"/>
  <c r="AK136" i="5"/>
  <c r="AJ136" i="5"/>
  <c r="AI136" i="5"/>
  <c r="AH136" i="5"/>
  <c r="AG136" i="5"/>
  <c r="AF136" i="5"/>
  <c r="AE136" i="5"/>
  <c r="AD136" i="5"/>
  <c r="V136" i="5"/>
  <c r="U136" i="5"/>
  <c r="B136" i="5"/>
  <c r="D136" i="5" s="1"/>
  <c r="BI135" i="5"/>
  <c r="BF135" i="5"/>
  <c r="BE135" i="5"/>
  <c r="BA135" i="5"/>
  <c r="AW135" i="5"/>
  <c r="AS135" i="5"/>
  <c r="AO135" i="5"/>
  <c r="AN135" i="5"/>
  <c r="AM135" i="5"/>
  <c r="AL135" i="5"/>
  <c r="AK135" i="5"/>
  <c r="AJ135" i="5"/>
  <c r="AI135" i="5"/>
  <c r="AH135" i="5"/>
  <c r="AG135" i="5"/>
  <c r="AF135" i="5"/>
  <c r="AE135" i="5"/>
  <c r="AD135" i="5"/>
  <c r="V135" i="5"/>
  <c r="U135" i="5"/>
  <c r="B135" i="5"/>
  <c r="D135" i="5" s="1"/>
  <c r="BI134" i="5"/>
  <c r="BF134" i="5"/>
  <c r="BE134" i="5"/>
  <c r="BA134" i="5"/>
  <c r="AW134" i="5"/>
  <c r="AS134" i="5"/>
  <c r="AO134" i="5"/>
  <c r="AN134" i="5"/>
  <c r="AM134" i="5"/>
  <c r="AL134" i="5"/>
  <c r="AK134" i="5"/>
  <c r="AJ134" i="5"/>
  <c r="AI134" i="5"/>
  <c r="AH134" i="5"/>
  <c r="AG134" i="5"/>
  <c r="AF134" i="5"/>
  <c r="AE134" i="5"/>
  <c r="AD134" i="5"/>
  <c r="V134" i="5"/>
  <c r="U134" i="5"/>
  <c r="B134" i="5"/>
  <c r="D134" i="5" s="1"/>
  <c r="BI133" i="5"/>
  <c r="BF133" i="5"/>
  <c r="BE133" i="5"/>
  <c r="BA133" i="5"/>
  <c r="AW133" i="5"/>
  <c r="AS133" i="5"/>
  <c r="AO133" i="5"/>
  <c r="AN133" i="5"/>
  <c r="AM133" i="5"/>
  <c r="AL133" i="5"/>
  <c r="AK133" i="5"/>
  <c r="AJ133" i="5"/>
  <c r="AI133" i="5"/>
  <c r="AH133" i="5"/>
  <c r="AG133" i="5"/>
  <c r="AF133" i="5"/>
  <c r="AE133" i="5"/>
  <c r="AD133" i="5"/>
  <c r="V133" i="5"/>
  <c r="U133" i="5"/>
  <c r="B133" i="5"/>
  <c r="D133" i="5" s="1"/>
  <c r="BI132" i="5"/>
  <c r="BF132" i="5"/>
  <c r="BE132" i="5"/>
  <c r="BA132" i="5"/>
  <c r="AW132" i="5"/>
  <c r="AS132" i="5"/>
  <c r="AO132" i="5"/>
  <c r="AN132" i="5"/>
  <c r="AM132" i="5"/>
  <c r="AL132" i="5"/>
  <c r="AK132" i="5"/>
  <c r="AJ132" i="5"/>
  <c r="AI132" i="5"/>
  <c r="AH132" i="5"/>
  <c r="AG132" i="5"/>
  <c r="AF132" i="5"/>
  <c r="AE132" i="5"/>
  <c r="AD132" i="5"/>
  <c r="V132" i="5"/>
  <c r="U132" i="5"/>
  <c r="B132" i="5"/>
  <c r="D132" i="5" s="1"/>
  <c r="BI131" i="5"/>
  <c r="BF131" i="5"/>
  <c r="BE131" i="5"/>
  <c r="BA131" i="5"/>
  <c r="AW131" i="5"/>
  <c r="AS131" i="5"/>
  <c r="AO131" i="5"/>
  <c r="AN131" i="5"/>
  <c r="AM131" i="5"/>
  <c r="AL131" i="5"/>
  <c r="AK131" i="5"/>
  <c r="AJ131" i="5"/>
  <c r="AI131" i="5"/>
  <c r="AH131" i="5"/>
  <c r="AG131" i="5"/>
  <c r="AF131" i="5"/>
  <c r="AE131" i="5"/>
  <c r="AD131" i="5"/>
  <c r="V131" i="5"/>
  <c r="U131" i="5"/>
  <c r="B131" i="5"/>
  <c r="D131" i="5" s="1"/>
  <c r="BI130" i="5"/>
  <c r="BF130" i="5"/>
  <c r="BE130" i="5"/>
  <c r="BA130" i="5"/>
  <c r="AW130" i="5"/>
  <c r="AS130" i="5"/>
  <c r="AO130" i="5"/>
  <c r="AN130" i="5"/>
  <c r="AM130" i="5"/>
  <c r="AL130" i="5"/>
  <c r="AK130" i="5"/>
  <c r="AJ130" i="5"/>
  <c r="AI130" i="5"/>
  <c r="AH130" i="5"/>
  <c r="AG130" i="5"/>
  <c r="AF130" i="5"/>
  <c r="AE130" i="5"/>
  <c r="AD130" i="5"/>
  <c r="V130" i="5"/>
  <c r="U130" i="5"/>
  <c r="B130" i="5"/>
  <c r="D130" i="5" s="1"/>
  <c r="BI129" i="5"/>
  <c r="BF129" i="5"/>
  <c r="BE129" i="5"/>
  <c r="BA129" i="5"/>
  <c r="AW129" i="5"/>
  <c r="AS129" i="5"/>
  <c r="AO129" i="5"/>
  <c r="AN129" i="5"/>
  <c r="AM129" i="5"/>
  <c r="AL129" i="5"/>
  <c r="AK129" i="5"/>
  <c r="AJ129" i="5"/>
  <c r="AI129" i="5"/>
  <c r="AH129" i="5"/>
  <c r="AG129" i="5"/>
  <c r="AF129" i="5"/>
  <c r="AE129" i="5"/>
  <c r="AD129" i="5"/>
  <c r="V129" i="5"/>
  <c r="U129" i="5"/>
  <c r="B129" i="5"/>
  <c r="D129" i="5" s="1"/>
  <c r="BI128" i="5"/>
  <c r="BF128" i="5"/>
  <c r="BE128" i="5"/>
  <c r="BA128" i="5"/>
  <c r="AW128" i="5"/>
  <c r="AS128" i="5"/>
  <c r="AO128" i="5"/>
  <c r="AN128" i="5"/>
  <c r="AM128" i="5"/>
  <c r="AL128" i="5"/>
  <c r="AK128" i="5"/>
  <c r="AJ128" i="5"/>
  <c r="AI128" i="5"/>
  <c r="AH128" i="5"/>
  <c r="AG128" i="5"/>
  <c r="AF128" i="5"/>
  <c r="AE128" i="5"/>
  <c r="AD128" i="5"/>
  <c r="V128" i="5"/>
  <c r="U128" i="5"/>
  <c r="B128" i="5"/>
  <c r="D128" i="5" s="1"/>
  <c r="BI127" i="5"/>
  <c r="BF127" i="5"/>
  <c r="BE127" i="5"/>
  <c r="BA127" i="5"/>
  <c r="AW127" i="5"/>
  <c r="AS127" i="5"/>
  <c r="AO127" i="5"/>
  <c r="AN127" i="5"/>
  <c r="AM127" i="5"/>
  <c r="AL127" i="5"/>
  <c r="AK127" i="5"/>
  <c r="AJ127" i="5"/>
  <c r="AI127" i="5"/>
  <c r="AH127" i="5"/>
  <c r="AG127" i="5"/>
  <c r="AF127" i="5"/>
  <c r="AE127" i="5"/>
  <c r="AD127" i="5"/>
  <c r="V127" i="5"/>
  <c r="U127" i="5"/>
  <c r="B127" i="5"/>
  <c r="D127" i="5" s="1"/>
  <c r="BI126" i="5"/>
  <c r="BF126" i="5"/>
  <c r="BE126" i="5"/>
  <c r="BA126" i="5"/>
  <c r="AW126" i="5"/>
  <c r="AS126" i="5"/>
  <c r="AO126" i="5"/>
  <c r="AN126" i="5"/>
  <c r="AM126" i="5"/>
  <c r="AL126" i="5"/>
  <c r="AK126" i="5"/>
  <c r="AJ126" i="5"/>
  <c r="AI126" i="5"/>
  <c r="AH126" i="5"/>
  <c r="AG126" i="5"/>
  <c r="AF126" i="5"/>
  <c r="AE126" i="5"/>
  <c r="AD126" i="5"/>
  <c r="V126" i="5"/>
  <c r="U126" i="5"/>
  <c r="B126" i="5"/>
  <c r="D126" i="5" s="1"/>
  <c r="BI125" i="5"/>
  <c r="BF125" i="5"/>
  <c r="BE125" i="5"/>
  <c r="BA125" i="5"/>
  <c r="AW125" i="5"/>
  <c r="AS125" i="5"/>
  <c r="AO125" i="5"/>
  <c r="AN125" i="5"/>
  <c r="AM125" i="5"/>
  <c r="AL125" i="5"/>
  <c r="AK125" i="5"/>
  <c r="AJ125" i="5"/>
  <c r="AI125" i="5"/>
  <c r="AH125" i="5"/>
  <c r="AG125" i="5"/>
  <c r="AF125" i="5"/>
  <c r="AE125" i="5"/>
  <c r="AD125" i="5"/>
  <c r="V125" i="5"/>
  <c r="U125" i="5"/>
  <c r="B125" i="5"/>
  <c r="D125" i="5" s="1"/>
  <c r="BI124" i="5"/>
  <c r="BF124" i="5"/>
  <c r="BE124" i="5"/>
  <c r="BA124" i="5"/>
  <c r="AW124" i="5"/>
  <c r="AS124" i="5"/>
  <c r="AO124" i="5"/>
  <c r="AN124" i="5"/>
  <c r="AM124" i="5"/>
  <c r="AL124" i="5"/>
  <c r="AK124" i="5"/>
  <c r="AJ124" i="5"/>
  <c r="AI124" i="5"/>
  <c r="AH124" i="5"/>
  <c r="AG124" i="5"/>
  <c r="AF124" i="5"/>
  <c r="AE124" i="5"/>
  <c r="AD124" i="5"/>
  <c r="V124" i="5"/>
  <c r="U124" i="5"/>
  <c r="B124" i="5"/>
  <c r="D124" i="5" s="1"/>
  <c r="BI123" i="5"/>
  <c r="BF123" i="5"/>
  <c r="BE123" i="5"/>
  <c r="BA123" i="5"/>
  <c r="AW123" i="5"/>
  <c r="AS123" i="5"/>
  <c r="AO123" i="5"/>
  <c r="AN123" i="5"/>
  <c r="AM123" i="5"/>
  <c r="AL123" i="5"/>
  <c r="AK123" i="5"/>
  <c r="AJ123" i="5"/>
  <c r="AI123" i="5"/>
  <c r="AH123" i="5"/>
  <c r="AG123" i="5"/>
  <c r="AF123" i="5"/>
  <c r="AE123" i="5"/>
  <c r="AD123" i="5"/>
  <c r="V123" i="5"/>
  <c r="U123" i="5"/>
  <c r="B123" i="5"/>
  <c r="D123" i="5" s="1"/>
  <c r="BI122" i="5"/>
  <c r="BF122" i="5"/>
  <c r="BE122" i="5"/>
  <c r="BA122" i="5"/>
  <c r="AW122" i="5"/>
  <c r="AS122" i="5"/>
  <c r="AO122" i="5"/>
  <c r="AN122" i="5"/>
  <c r="AM122" i="5"/>
  <c r="AL122" i="5"/>
  <c r="AK122" i="5"/>
  <c r="AJ122" i="5"/>
  <c r="AI122" i="5"/>
  <c r="AH122" i="5"/>
  <c r="AG122" i="5"/>
  <c r="AF122" i="5"/>
  <c r="AE122" i="5"/>
  <c r="AD122" i="5"/>
  <c r="V122" i="5"/>
  <c r="U122" i="5"/>
  <c r="B122" i="5"/>
  <c r="D122" i="5" s="1"/>
  <c r="BI121" i="5"/>
  <c r="BF121" i="5"/>
  <c r="BE121" i="5"/>
  <c r="BA121" i="5"/>
  <c r="AW121" i="5"/>
  <c r="AS121" i="5"/>
  <c r="AO121" i="5"/>
  <c r="AN121" i="5"/>
  <c r="AM121" i="5"/>
  <c r="AL121" i="5"/>
  <c r="AK121" i="5"/>
  <c r="AJ121" i="5"/>
  <c r="AI121" i="5"/>
  <c r="AH121" i="5"/>
  <c r="AG121" i="5"/>
  <c r="AF121" i="5"/>
  <c r="AE121" i="5"/>
  <c r="AD121" i="5"/>
  <c r="V121" i="5"/>
  <c r="U121" i="5"/>
  <c r="B121" i="5"/>
  <c r="D121" i="5" s="1"/>
  <c r="BI120" i="5"/>
  <c r="BF120" i="5"/>
  <c r="BE120" i="5"/>
  <c r="BA120" i="5"/>
  <c r="AW120" i="5"/>
  <c r="AS120" i="5"/>
  <c r="AO120" i="5"/>
  <c r="AN120" i="5"/>
  <c r="AM120" i="5"/>
  <c r="AL120" i="5"/>
  <c r="AK120" i="5"/>
  <c r="AJ120" i="5"/>
  <c r="AI120" i="5"/>
  <c r="AH120" i="5"/>
  <c r="AG120" i="5"/>
  <c r="AF120" i="5"/>
  <c r="AE120" i="5"/>
  <c r="AD120" i="5"/>
  <c r="V120" i="5"/>
  <c r="U120" i="5"/>
  <c r="B120" i="5"/>
  <c r="D120" i="5" s="1"/>
  <c r="BI119" i="5"/>
  <c r="BF119" i="5"/>
  <c r="BE119" i="5"/>
  <c r="BA119" i="5"/>
  <c r="AW119" i="5"/>
  <c r="AS119" i="5"/>
  <c r="AO119" i="5"/>
  <c r="AN119" i="5"/>
  <c r="AM119" i="5"/>
  <c r="AL119" i="5"/>
  <c r="AK119" i="5"/>
  <c r="AJ119" i="5"/>
  <c r="AI119" i="5"/>
  <c r="AH119" i="5"/>
  <c r="AG119" i="5"/>
  <c r="AF119" i="5"/>
  <c r="AE119" i="5"/>
  <c r="AD119" i="5"/>
  <c r="V119" i="5"/>
  <c r="U119" i="5"/>
  <c r="B119" i="5"/>
  <c r="D119" i="5" s="1"/>
  <c r="BI118" i="5"/>
  <c r="BF118" i="5"/>
  <c r="BE118" i="5"/>
  <c r="BA118" i="5"/>
  <c r="AW118" i="5"/>
  <c r="AS118" i="5"/>
  <c r="AO118" i="5"/>
  <c r="AN118" i="5"/>
  <c r="AM118" i="5"/>
  <c r="AL118" i="5"/>
  <c r="AK118" i="5"/>
  <c r="AJ118" i="5"/>
  <c r="AI118" i="5"/>
  <c r="AH118" i="5"/>
  <c r="AG118" i="5"/>
  <c r="AF118" i="5"/>
  <c r="AE118" i="5"/>
  <c r="AD118" i="5"/>
  <c r="V118" i="5"/>
  <c r="U118" i="5"/>
  <c r="B118" i="5"/>
  <c r="D118" i="5" s="1"/>
  <c r="BI117" i="5"/>
  <c r="BF117" i="5"/>
  <c r="BE117" i="5"/>
  <c r="BA117" i="5"/>
  <c r="AW117" i="5"/>
  <c r="AS117" i="5"/>
  <c r="AO117" i="5"/>
  <c r="AN117" i="5"/>
  <c r="AM117" i="5"/>
  <c r="AL117" i="5"/>
  <c r="AK117" i="5"/>
  <c r="AJ117" i="5"/>
  <c r="AI117" i="5"/>
  <c r="AH117" i="5"/>
  <c r="AG117" i="5"/>
  <c r="AF117" i="5"/>
  <c r="AE117" i="5"/>
  <c r="AD117" i="5"/>
  <c r="V117" i="5"/>
  <c r="U117" i="5"/>
  <c r="B117" i="5"/>
  <c r="D117" i="5" s="1"/>
  <c r="BI116" i="5"/>
  <c r="BF116" i="5"/>
  <c r="BE116" i="5"/>
  <c r="BA116" i="5"/>
  <c r="AW116" i="5"/>
  <c r="AS116" i="5"/>
  <c r="AO116" i="5"/>
  <c r="AN116" i="5"/>
  <c r="AM116" i="5"/>
  <c r="AL116" i="5"/>
  <c r="AK116" i="5"/>
  <c r="AJ116" i="5"/>
  <c r="AI116" i="5"/>
  <c r="AH116" i="5"/>
  <c r="AG116" i="5"/>
  <c r="AF116" i="5"/>
  <c r="AE116" i="5"/>
  <c r="AD116" i="5"/>
  <c r="AB116" i="5"/>
  <c r="V116" i="5"/>
  <c r="U116" i="5"/>
  <c r="B116" i="5"/>
  <c r="D116" i="5" s="1"/>
  <c r="BI115" i="5"/>
  <c r="BF115" i="5"/>
  <c r="BE115" i="5"/>
  <c r="BA115" i="5"/>
  <c r="AW115" i="5"/>
  <c r="AS115" i="5"/>
  <c r="AO115" i="5"/>
  <c r="AN115" i="5"/>
  <c r="AM115" i="5"/>
  <c r="AL115" i="5"/>
  <c r="AK115" i="5"/>
  <c r="AJ115" i="5"/>
  <c r="AI115" i="5"/>
  <c r="AH115" i="5"/>
  <c r="AG115" i="5"/>
  <c r="AF115" i="5"/>
  <c r="AE115" i="5"/>
  <c r="AD115" i="5"/>
  <c r="V115" i="5"/>
  <c r="U115" i="5"/>
  <c r="B115" i="5"/>
  <c r="D115" i="5" s="1"/>
  <c r="BI114" i="5"/>
  <c r="BF114" i="5"/>
  <c r="BE114" i="5"/>
  <c r="BA114" i="5"/>
  <c r="AW114" i="5"/>
  <c r="AS114" i="5"/>
  <c r="AO114" i="5"/>
  <c r="AN114" i="5"/>
  <c r="AM114" i="5"/>
  <c r="AL114" i="5"/>
  <c r="AK114" i="5"/>
  <c r="AJ114" i="5"/>
  <c r="AI114" i="5"/>
  <c r="AH114" i="5"/>
  <c r="AG114" i="5"/>
  <c r="AF114" i="5"/>
  <c r="AE114" i="5"/>
  <c r="AD114" i="5"/>
  <c r="V114" i="5"/>
  <c r="U114" i="5"/>
  <c r="B114" i="5"/>
  <c r="D114" i="5" s="1"/>
  <c r="BI113" i="5"/>
  <c r="BF113" i="5"/>
  <c r="BE113" i="5"/>
  <c r="BA113" i="5"/>
  <c r="AW113" i="5"/>
  <c r="AS113" i="5"/>
  <c r="AO113" i="5"/>
  <c r="AN113" i="5"/>
  <c r="AM113" i="5"/>
  <c r="AL113" i="5"/>
  <c r="AK113" i="5"/>
  <c r="AJ113" i="5"/>
  <c r="AI113" i="5"/>
  <c r="AH113" i="5"/>
  <c r="AG113" i="5"/>
  <c r="AF113" i="5"/>
  <c r="AE113" i="5"/>
  <c r="AD113" i="5"/>
  <c r="V113" i="5"/>
  <c r="U113" i="5"/>
  <c r="B113" i="5"/>
  <c r="D113" i="5" s="1"/>
  <c r="BI112" i="5"/>
  <c r="BF112" i="5"/>
  <c r="BE112" i="5"/>
  <c r="BA112" i="5"/>
  <c r="AW112" i="5"/>
  <c r="AS112" i="5"/>
  <c r="AO112" i="5"/>
  <c r="AN112" i="5"/>
  <c r="AM112" i="5"/>
  <c r="AL112" i="5"/>
  <c r="AK112" i="5"/>
  <c r="AJ112" i="5"/>
  <c r="AI112" i="5"/>
  <c r="AH112" i="5"/>
  <c r="AG112" i="5"/>
  <c r="AF112" i="5"/>
  <c r="AE112" i="5"/>
  <c r="AD112" i="5"/>
  <c r="V112" i="5"/>
  <c r="U112" i="5"/>
  <c r="B112" i="5"/>
  <c r="D112" i="5" s="1"/>
  <c r="BI111" i="5"/>
  <c r="BF111" i="5"/>
  <c r="BE111" i="5"/>
  <c r="BA111" i="5"/>
  <c r="AW111" i="5"/>
  <c r="AS111" i="5"/>
  <c r="AO111" i="5"/>
  <c r="AN111" i="5"/>
  <c r="AM111" i="5"/>
  <c r="AL111" i="5"/>
  <c r="AK111" i="5"/>
  <c r="AJ111" i="5"/>
  <c r="AI111" i="5"/>
  <c r="AH111" i="5"/>
  <c r="AG111" i="5"/>
  <c r="AF111" i="5"/>
  <c r="AE111" i="5"/>
  <c r="AD111" i="5"/>
  <c r="V111" i="5"/>
  <c r="U111" i="5"/>
  <c r="B111" i="5"/>
  <c r="D111" i="5" s="1"/>
  <c r="BI110" i="5"/>
  <c r="BF110" i="5"/>
  <c r="BE110" i="5"/>
  <c r="BA110" i="5"/>
  <c r="AW110" i="5"/>
  <c r="AS110" i="5"/>
  <c r="AO110" i="5"/>
  <c r="AN110" i="5"/>
  <c r="AM110" i="5"/>
  <c r="AL110" i="5"/>
  <c r="AK110" i="5"/>
  <c r="AJ110" i="5"/>
  <c r="AI110" i="5"/>
  <c r="AH110" i="5"/>
  <c r="AG110" i="5"/>
  <c r="AF110" i="5"/>
  <c r="AE110" i="5"/>
  <c r="AD110" i="5"/>
  <c r="V110" i="5"/>
  <c r="U110" i="5"/>
  <c r="B110" i="5"/>
  <c r="D110" i="5" s="1"/>
  <c r="BI109" i="5"/>
  <c r="BF109" i="5"/>
  <c r="BE109" i="5"/>
  <c r="BA109" i="5"/>
  <c r="AW109" i="5"/>
  <c r="AS109" i="5"/>
  <c r="AO109" i="5"/>
  <c r="AN109" i="5"/>
  <c r="AM109" i="5"/>
  <c r="AL109" i="5"/>
  <c r="AK109" i="5"/>
  <c r="AJ109" i="5"/>
  <c r="AI109" i="5"/>
  <c r="AH109" i="5"/>
  <c r="AG109" i="5"/>
  <c r="AF109" i="5"/>
  <c r="AE109" i="5"/>
  <c r="AD109" i="5"/>
  <c r="AB109" i="5"/>
  <c r="AP109" i="5" s="1"/>
  <c r="V109" i="5"/>
  <c r="U109" i="5"/>
  <c r="Q109" i="5"/>
  <c r="BB109" i="5" s="1"/>
  <c r="B109" i="5"/>
  <c r="D109" i="5" s="1"/>
  <c r="BI108" i="5"/>
  <c r="BF108" i="5"/>
  <c r="BE108" i="5"/>
  <c r="BA108" i="5"/>
  <c r="AW108" i="5"/>
  <c r="AS108" i="5"/>
  <c r="AO108" i="5"/>
  <c r="AN108" i="5"/>
  <c r="AM108" i="5"/>
  <c r="AL108" i="5"/>
  <c r="AK108" i="5"/>
  <c r="AJ108" i="5"/>
  <c r="AI108" i="5"/>
  <c r="AH108" i="5"/>
  <c r="AG108" i="5"/>
  <c r="AF108" i="5"/>
  <c r="AE108" i="5"/>
  <c r="AD108" i="5"/>
  <c r="V108" i="5"/>
  <c r="U108" i="5"/>
  <c r="D108" i="5"/>
  <c r="B108" i="5"/>
  <c r="BI107" i="5"/>
  <c r="BF107" i="5"/>
  <c r="BE107" i="5"/>
  <c r="BA107" i="5"/>
  <c r="AW107" i="5"/>
  <c r="AS107" i="5"/>
  <c r="AO107" i="5"/>
  <c r="AN107" i="5"/>
  <c r="AM107" i="5"/>
  <c r="AL107" i="5"/>
  <c r="AK107" i="5"/>
  <c r="AJ107" i="5"/>
  <c r="AI107" i="5"/>
  <c r="AH107" i="5"/>
  <c r="AG107" i="5"/>
  <c r="AF107" i="5"/>
  <c r="AE107" i="5"/>
  <c r="AD107" i="5"/>
  <c r="V107" i="5"/>
  <c r="U107" i="5"/>
  <c r="B107" i="5"/>
  <c r="D107" i="5" s="1"/>
  <c r="BI106" i="5"/>
  <c r="BF106" i="5"/>
  <c r="BE106" i="5"/>
  <c r="BA106" i="5"/>
  <c r="AW106" i="5"/>
  <c r="AS106" i="5"/>
  <c r="AO106" i="5"/>
  <c r="AN106" i="5"/>
  <c r="AM106" i="5"/>
  <c r="AL106" i="5"/>
  <c r="AK106" i="5"/>
  <c r="AJ106" i="5"/>
  <c r="AI106" i="5"/>
  <c r="AH106" i="5"/>
  <c r="AG106" i="5"/>
  <c r="AF106" i="5"/>
  <c r="AE106" i="5"/>
  <c r="AD106" i="5"/>
  <c r="V106" i="5"/>
  <c r="U106" i="5"/>
  <c r="D106" i="5"/>
  <c r="B106" i="5"/>
  <c r="BI105" i="5"/>
  <c r="BF105" i="5"/>
  <c r="BE105" i="5"/>
  <c r="BA105" i="5"/>
  <c r="AW105" i="5"/>
  <c r="AS105" i="5"/>
  <c r="AO105" i="5"/>
  <c r="AN105" i="5"/>
  <c r="AM105" i="5"/>
  <c r="AL105" i="5"/>
  <c r="AK105" i="5"/>
  <c r="AJ105" i="5"/>
  <c r="AI105" i="5"/>
  <c r="AH105" i="5"/>
  <c r="AG105" i="5"/>
  <c r="AF105" i="5"/>
  <c r="AE105" i="5"/>
  <c r="AD105" i="5"/>
  <c r="V105" i="5"/>
  <c r="U105" i="5"/>
  <c r="B105" i="5"/>
  <c r="D105" i="5" s="1"/>
  <c r="BI104" i="5"/>
  <c r="BF104" i="5"/>
  <c r="BE104" i="5"/>
  <c r="BA104" i="5"/>
  <c r="AW104" i="5"/>
  <c r="AS104" i="5"/>
  <c r="AO104" i="5"/>
  <c r="AN104" i="5"/>
  <c r="AM104" i="5"/>
  <c r="AL104" i="5"/>
  <c r="AK104" i="5"/>
  <c r="AJ104" i="5"/>
  <c r="AI104" i="5"/>
  <c r="AH104" i="5"/>
  <c r="AG104" i="5"/>
  <c r="AF104" i="5"/>
  <c r="AE104" i="5"/>
  <c r="AD104" i="5"/>
  <c r="V104" i="5"/>
  <c r="U104" i="5"/>
  <c r="B104" i="5"/>
  <c r="D104" i="5" s="1"/>
  <c r="BI103" i="5"/>
  <c r="BF103" i="5"/>
  <c r="BE103" i="5"/>
  <c r="BA103" i="5"/>
  <c r="AW103" i="5"/>
  <c r="AS103" i="5"/>
  <c r="AO103" i="5"/>
  <c r="AN103" i="5"/>
  <c r="AM103" i="5"/>
  <c r="AL103" i="5"/>
  <c r="AK103" i="5"/>
  <c r="AJ103" i="5"/>
  <c r="AI103" i="5"/>
  <c r="AH103" i="5"/>
  <c r="AG103" i="5"/>
  <c r="AF103" i="5"/>
  <c r="AE103" i="5"/>
  <c r="AD103" i="5"/>
  <c r="AB103" i="5"/>
  <c r="V103" i="5"/>
  <c r="U103" i="5"/>
  <c r="B103" i="5"/>
  <c r="D103" i="5" s="1"/>
  <c r="BI102" i="5"/>
  <c r="BF102" i="5"/>
  <c r="BE102" i="5"/>
  <c r="BA102" i="5"/>
  <c r="AW102" i="5"/>
  <c r="AS102" i="5"/>
  <c r="AO102" i="5"/>
  <c r="AN102" i="5"/>
  <c r="AM102" i="5"/>
  <c r="AL102" i="5"/>
  <c r="AK102" i="5"/>
  <c r="AJ102" i="5"/>
  <c r="AI102" i="5"/>
  <c r="AH102" i="5"/>
  <c r="AG102" i="5"/>
  <c r="AF102" i="5"/>
  <c r="AE102" i="5"/>
  <c r="AD102" i="5"/>
  <c r="V102" i="5"/>
  <c r="U102" i="5"/>
  <c r="B102" i="5"/>
  <c r="D102" i="5" s="1"/>
  <c r="BI101" i="5"/>
  <c r="BF101" i="5"/>
  <c r="BE101" i="5"/>
  <c r="BA101" i="5"/>
  <c r="AW101" i="5"/>
  <c r="AS101" i="5"/>
  <c r="AO101" i="5"/>
  <c r="AN101" i="5"/>
  <c r="AM101" i="5"/>
  <c r="AL101" i="5"/>
  <c r="AK101" i="5"/>
  <c r="AJ101" i="5"/>
  <c r="AI101" i="5"/>
  <c r="AH101" i="5"/>
  <c r="AG101" i="5"/>
  <c r="AF101" i="5"/>
  <c r="AE101" i="5"/>
  <c r="AD101" i="5"/>
  <c r="V101" i="5"/>
  <c r="U101" i="5"/>
  <c r="B101" i="5"/>
  <c r="D101" i="5" s="1"/>
  <c r="BI100" i="5"/>
  <c r="BF100" i="5"/>
  <c r="BE100" i="5"/>
  <c r="BA100" i="5"/>
  <c r="AW100" i="5"/>
  <c r="AS100" i="5"/>
  <c r="AO100" i="5"/>
  <c r="AN100" i="5"/>
  <c r="AM100" i="5"/>
  <c r="AL100" i="5"/>
  <c r="AK100" i="5"/>
  <c r="AJ100" i="5"/>
  <c r="AI100" i="5"/>
  <c r="AH100" i="5"/>
  <c r="AG100" i="5"/>
  <c r="AF100" i="5"/>
  <c r="AE100" i="5"/>
  <c r="AD100" i="5"/>
  <c r="AB100" i="5"/>
  <c r="AC100" i="5" s="1"/>
  <c r="V100" i="5"/>
  <c r="U100" i="5"/>
  <c r="T100" i="5"/>
  <c r="B100" i="5"/>
  <c r="D100" i="5" s="1"/>
  <c r="BI99" i="5"/>
  <c r="BF99" i="5"/>
  <c r="BE99" i="5"/>
  <c r="BA99" i="5"/>
  <c r="AW99" i="5"/>
  <c r="AS99" i="5"/>
  <c r="AO99" i="5"/>
  <c r="AN99" i="5"/>
  <c r="AM99" i="5"/>
  <c r="AL99" i="5"/>
  <c r="AK99" i="5"/>
  <c r="AJ99" i="5"/>
  <c r="AI99" i="5"/>
  <c r="AH99" i="5"/>
  <c r="AG99" i="5"/>
  <c r="AF99" i="5"/>
  <c r="AE99" i="5"/>
  <c r="AD99" i="5"/>
  <c r="V99" i="5"/>
  <c r="U99" i="5"/>
  <c r="B99" i="5"/>
  <c r="D99" i="5" s="1"/>
  <c r="BI98" i="5"/>
  <c r="BF98" i="5"/>
  <c r="BE98" i="5"/>
  <c r="BA98" i="5"/>
  <c r="AW98" i="5"/>
  <c r="AS98" i="5"/>
  <c r="AO98" i="5"/>
  <c r="AN98" i="5"/>
  <c r="AM98" i="5"/>
  <c r="AL98" i="5"/>
  <c r="AK98" i="5"/>
  <c r="AJ98" i="5"/>
  <c r="AI98" i="5"/>
  <c r="AH98" i="5"/>
  <c r="AG98" i="5"/>
  <c r="AF98" i="5"/>
  <c r="AE98" i="5"/>
  <c r="AD98" i="5"/>
  <c r="V98" i="5"/>
  <c r="U98" i="5"/>
  <c r="B98" i="5"/>
  <c r="D98" i="5" s="1"/>
  <c r="BI97" i="5"/>
  <c r="BF97" i="5"/>
  <c r="BE97" i="5"/>
  <c r="BA97" i="5"/>
  <c r="AW97" i="5"/>
  <c r="AS97" i="5"/>
  <c r="AO97" i="5"/>
  <c r="AN97" i="5"/>
  <c r="AM97" i="5"/>
  <c r="AL97" i="5"/>
  <c r="AK97" i="5"/>
  <c r="AJ97" i="5"/>
  <c r="AI97" i="5"/>
  <c r="AH97" i="5"/>
  <c r="AG97" i="5"/>
  <c r="AF97" i="5"/>
  <c r="AE97" i="5"/>
  <c r="AD97" i="5"/>
  <c r="V97" i="5"/>
  <c r="U97" i="5"/>
  <c r="B97" i="5"/>
  <c r="D97" i="5" s="1"/>
  <c r="BI96" i="5"/>
  <c r="BF96" i="5"/>
  <c r="BE96" i="5"/>
  <c r="BA96" i="5"/>
  <c r="AW96" i="5"/>
  <c r="AS96" i="5"/>
  <c r="AO96" i="5"/>
  <c r="AN96" i="5"/>
  <c r="AM96" i="5"/>
  <c r="AL96" i="5"/>
  <c r="AK96" i="5"/>
  <c r="AJ96" i="5"/>
  <c r="AI96" i="5"/>
  <c r="AH96" i="5"/>
  <c r="AG96" i="5"/>
  <c r="AF96" i="5"/>
  <c r="AE96" i="5"/>
  <c r="AD96" i="5"/>
  <c r="V96" i="5"/>
  <c r="U96" i="5"/>
  <c r="B96" i="5"/>
  <c r="D96" i="5" s="1"/>
  <c r="BI95" i="5"/>
  <c r="BF95" i="5"/>
  <c r="BE95" i="5"/>
  <c r="BA95" i="5"/>
  <c r="AW95" i="5"/>
  <c r="AS95" i="5"/>
  <c r="AO95" i="5"/>
  <c r="AN95" i="5"/>
  <c r="AM95" i="5"/>
  <c r="AL95" i="5"/>
  <c r="AK95" i="5"/>
  <c r="AJ95" i="5"/>
  <c r="AI95" i="5"/>
  <c r="AH95" i="5"/>
  <c r="AG95" i="5"/>
  <c r="AF95" i="5"/>
  <c r="AE95" i="5"/>
  <c r="AD95" i="5"/>
  <c r="V95" i="5"/>
  <c r="U95" i="5"/>
  <c r="D95" i="5"/>
  <c r="B95" i="5"/>
  <c r="BI94" i="5"/>
  <c r="BF94" i="5"/>
  <c r="BE94" i="5"/>
  <c r="BA94" i="5"/>
  <c r="AW94" i="5"/>
  <c r="AS94" i="5"/>
  <c r="AO94" i="5"/>
  <c r="AN94" i="5"/>
  <c r="AM94" i="5"/>
  <c r="AL94" i="5"/>
  <c r="AK94" i="5"/>
  <c r="AJ94" i="5"/>
  <c r="AI94" i="5"/>
  <c r="AH94" i="5"/>
  <c r="AG94" i="5"/>
  <c r="AF94" i="5"/>
  <c r="AE94" i="5"/>
  <c r="AD94" i="5"/>
  <c r="V94" i="5"/>
  <c r="U94" i="5"/>
  <c r="B94" i="5"/>
  <c r="D94" i="5" s="1"/>
  <c r="BI93" i="5"/>
  <c r="BF93" i="5"/>
  <c r="BE93" i="5"/>
  <c r="BA93" i="5"/>
  <c r="AW93" i="5"/>
  <c r="AS93" i="5"/>
  <c r="AO93" i="5"/>
  <c r="AN93" i="5"/>
  <c r="AM93" i="5"/>
  <c r="AL93" i="5"/>
  <c r="AK93" i="5"/>
  <c r="AJ93" i="5"/>
  <c r="AI93" i="5"/>
  <c r="AH93" i="5"/>
  <c r="AG93" i="5"/>
  <c r="AF93" i="5"/>
  <c r="AE93" i="5"/>
  <c r="AD93" i="5"/>
  <c r="V93" i="5"/>
  <c r="U93" i="5"/>
  <c r="B93" i="5"/>
  <c r="D93" i="5" s="1"/>
  <c r="BI92" i="5"/>
  <c r="BF92" i="5"/>
  <c r="BE92" i="5"/>
  <c r="BA92" i="5"/>
  <c r="AW92" i="5"/>
  <c r="AS92" i="5"/>
  <c r="AO92" i="5"/>
  <c r="AN92" i="5"/>
  <c r="AM92" i="5"/>
  <c r="AL92" i="5"/>
  <c r="AK92" i="5"/>
  <c r="AJ92" i="5"/>
  <c r="AI92" i="5"/>
  <c r="AH92" i="5"/>
  <c r="AG92" i="5"/>
  <c r="AF92" i="5"/>
  <c r="AE92" i="5"/>
  <c r="AD92" i="5"/>
  <c r="V92" i="5"/>
  <c r="U92" i="5"/>
  <c r="B92" i="5"/>
  <c r="D92" i="5" s="1"/>
  <c r="BI91" i="5"/>
  <c r="BF91" i="5"/>
  <c r="BE91" i="5"/>
  <c r="BA91" i="5"/>
  <c r="AW91" i="5"/>
  <c r="AS91" i="5"/>
  <c r="AO91" i="5"/>
  <c r="AN91" i="5"/>
  <c r="AM91" i="5"/>
  <c r="AL91" i="5"/>
  <c r="AK91" i="5"/>
  <c r="AJ91" i="5"/>
  <c r="AI91" i="5"/>
  <c r="AH91" i="5"/>
  <c r="AG91" i="5"/>
  <c r="AF91" i="5"/>
  <c r="AE91" i="5"/>
  <c r="AD91" i="5"/>
  <c r="AB91" i="5"/>
  <c r="V91" i="5"/>
  <c r="U91" i="5"/>
  <c r="B91" i="5"/>
  <c r="D91" i="5" s="1"/>
  <c r="BI90" i="5"/>
  <c r="BF90" i="5"/>
  <c r="BE90" i="5"/>
  <c r="BA90" i="5"/>
  <c r="AW90" i="5"/>
  <c r="AS90" i="5"/>
  <c r="AO90" i="5"/>
  <c r="AN90" i="5"/>
  <c r="AM90" i="5"/>
  <c r="AL90" i="5"/>
  <c r="AK90" i="5"/>
  <c r="AJ90" i="5"/>
  <c r="AI90" i="5"/>
  <c r="AH90" i="5"/>
  <c r="AG90" i="5"/>
  <c r="AF90" i="5"/>
  <c r="AE90" i="5"/>
  <c r="AD90" i="5"/>
  <c r="V90" i="5"/>
  <c r="U90" i="5"/>
  <c r="B90" i="5"/>
  <c r="D90" i="5" s="1"/>
  <c r="BI89" i="5"/>
  <c r="BF89" i="5"/>
  <c r="BE89" i="5"/>
  <c r="BA89" i="5"/>
  <c r="AW89" i="5"/>
  <c r="AS89" i="5"/>
  <c r="AO89" i="5"/>
  <c r="AN89" i="5"/>
  <c r="AM89" i="5"/>
  <c r="AL89" i="5"/>
  <c r="AK89" i="5"/>
  <c r="AJ89" i="5"/>
  <c r="AI89" i="5"/>
  <c r="AH89" i="5"/>
  <c r="AG89" i="5"/>
  <c r="AF89" i="5"/>
  <c r="AE89" i="5"/>
  <c r="AD89" i="5"/>
  <c r="V89" i="5"/>
  <c r="U89" i="5"/>
  <c r="B89" i="5"/>
  <c r="D89" i="5" s="1"/>
  <c r="BI88" i="5"/>
  <c r="BF88" i="5"/>
  <c r="BE88" i="5"/>
  <c r="BA88" i="5"/>
  <c r="AW88" i="5"/>
  <c r="AS88" i="5"/>
  <c r="AO88" i="5"/>
  <c r="AN88" i="5"/>
  <c r="AM88" i="5"/>
  <c r="AL88" i="5"/>
  <c r="AK88" i="5"/>
  <c r="AJ88" i="5"/>
  <c r="AI88" i="5"/>
  <c r="AH88" i="5"/>
  <c r="AG88" i="5"/>
  <c r="AF88" i="5"/>
  <c r="AE88" i="5"/>
  <c r="AD88" i="5"/>
  <c r="V88" i="5"/>
  <c r="U88" i="5"/>
  <c r="Q88" i="5"/>
  <c r="BB88" i="5" s="1"/>
  <c r="B88" i="5"/>
  <c r="D88" i="5" s="1"/>
  <c r="BI87" i="5"/>
  <c r="BF87" i="5"/>
  <c r="BE87" i="5"/>
  <c r="BA87" i="5"/>
  <c r="AW87" i="5"/>
  <c r="AS87" i="5"/>
  <c r="AO87" i="5"/>
  <c r="AN87" i="5"/>
  <c r="AM87" i="5"/>
  <c r="AL87" i="5"/>
  <c r="AK87" i="5"/>
  <c r="AJ87" i="5"/>
  <c r="AI87" i="5"/>
  <c r="AH87" i="5"/>
  <c r="AG87" i="5"/>
  <c r="AF87" i="5"/>
  <c r="AE87" i="5"/>
  <c r="AD87" i="5"/>
  <c r="V87" i="5"/>
  <c r="U87" i="5"/>
  <c r="B87" i="5"/>
  <c r="D87" i="5" s="1"/>
  <c r="BI86" i="5"/>
  <c r="BF86" i="5"/>
  <c r="BE86" i="5"/>
  <c r="BA86" i="5"/>
  <c r="AW86" i="5"/>
  <c r="AS86" i="5"/>
  <c r="AO86" i="5"/>
  <c r="AN86" i="5"/>
  <c r="AM86" i="5"/>
  <c r="AL86" i="5"/>
  <c r="AK86" i="5"/>
  <c r="AJ86" i="5"/>
  <c r="AI86" i="5"/>
  <c r="AH86" i="5"/>
  <c r="AG86" i="5"/>
  <c r="AF86" i="5"/>
  <c r="AE86" i="5"/>
  <c r="AD86" i="5"/>
  <c r="V86" i="5"/>
  <c r="U86" i="5"/>
  <c r="D86" i="5"/>
  <c r="B86" i="5"/>
  <c r="BI85" i="5"/>
  <c r="BF85" i="5"/>
  <c r="BE85" i="5"/>
  <c r="BA85" i="5"/>
  <c r="AW85" i="5"/>
  <c r="AS85" i="5"/>
  <c r="AO85" i="5"/>
  <c r="AN85" i="5"/>
  <c r="AM85" i="5"/>
  <c r="AL85" i="5"/>
  <c r="AK85" i="5"/>
  <c r="AJ85" i="5"/>
  <c r="AI85" i="5"/>
  <c r="AH85" i="5"/>
  <c r="AG85" i="5"/>
  <c r="AF85" i="5"/>
  <c r="AE85" i="5"/>
  <c r="AD85" i="5"/>
  <c r="V85" i="5"/>
  <c r="U85" i="5"/>
  <c r="B85" i="5"/>
  <c r="D85" i="5" s="1"/>
  <c r="BI84" i="5"/>
  <c r="BF84" i="5"/>
  <c r="BE84" i="5"/>
  <c r="BA84" i="5"/>
  <c r="AW84" i="5"/>
  <c r="AS84" i="5"/>
  <c r="AO84" i="5"/>
  <c r="AN84" i="5"/>
  <c r="AM84" i="5"/>
  <c r="AL84" i="5"/>
  <c r="AK84" i="5"/>
  <c r="AJ84" i="5"/>
  <c r="AI84" i="5"/>
  <c r="AH84" i="5"/>
  <c r="AG84" i="5"/>
  <c r="AF84" i="5"/>
  <c r="AE84" i="5"/>
  <c r="AD84" i="5"/>
  <c r="V84" i="5"/>
  <c r="U84" i="5"/>
  <c r="D84" i="5"/>
  <c r="B84" i="5"/>
  <c r="BI83" i="5"/>
  <c r="BF83" i="5"/>
  <c r="BE83" i="5"/>
  <c r="BA83" i="5"/>
  <c r="AW83" i="5"/>
  <c r="AS83" i="5"/>
  <c r="AO83" i="5"/>
  <c r="AN83" i="5"/>
  <c r="AM83" i="5"/>
  <c r="AL83" i="5"/>
  <c r="AK83" i="5"/>
  <c r="AJ83" i="5"/>
  <c r="AI83" i="5"/>
  <c r="AH83" i="5"/>
  <c r="AG83" i="5"/>
  <c r="AF83" i="5"/>
  <c r="AE83" i="5"/>
  <c r="AD83" i="5"/>
  <c r="V83" i="5"/>
  <c r="U83" i="5"/>
  <c r="B83" i="5"/>
  <c r="D83" i="5" s="1"/>
  <c r="BI82" i="5"/>
  <c r="BF82" i="5"/>
  <c r="BE82" i="5"/>
  <c r="BA82" i="5"/>
  <c r="AW82" i="5"/>
  <c r="AS82" i="5"/>
  <c r="AO82" i="5"/>
  <c r="AN82" i="5"/>
  <c r="AM82" i="5"/>
  <c r="AL82" i="5"/>
  <c r="AK82" i="5"/>
  <c r="AJ82" i="5"/>
  <c r="AI82" i="5"/>
  <c r="AH82" i="5"/>
  <c r="AG82" i="5"/>
  <c r="AF82" i="5"/>
  <c r="AE82" i="5"/>
  <c r="AD82" i="5"/>
  <c r="V82" i="5"/>
  <c r="U82" i="5"/>
  <c r="B82" i="5"/>
  <c r="D82" i="5" s="1"/>
  <c r="BI81" i="5"/>
  <c r="BF81" i="5"/>
  <c r="BE81" i="5"/>
  <c r="BA81" i="5"/>
  <c r="AW81" i="5"/>
  <c r="AS81" i="5"/>
  <c r="AO81" i="5"/>
  <c r="AN81" i="5"/>
  <c r="AM81" i="5"/>
  <c r="AL81" i="5"/>
  <c r="AK81" i="5"/>
  <c r="AJ81" i="5"/>
  <c r="AI81" i="5"/>
  <c r="AH81" i="5"/>
  <c r="AG81" i="5"/>
  <c r="AF81" i="5"/>
  <c r="AE81" i="5"/>
  <c r="AD81" i="5"/>
  <c r="V81" i="5"/>
  <c r="U81" i="5"/>
  <c r="B81" i="5"/>
  <c r="D81" i="5" s="1"/>
  <c r="BI80" i="5"/>
  <c r="BF80" i="5"/>
  <c r="BE80" i="5"/>
  <c r="BA80" i="5"/>
  <c r="AW80" i="5"/>
  <c r="AS80" i="5"/>
  <c r="AO80" i="5"/>
  <c r="AN80" i="5"/>
  <c r="AM80" i="5"/>
  <c r="AL80" i="5"/>
  <c r="AK80" i="5"/>
  <c r="AJ80" i="5"/>
  <c r="AI80" i="5"/>
  <c r="AH80" i="5"/>
  <c r="AG80" i="5"/>
  <c r="AF80" i="5"/>
  <c r="AE80" i="5"/>
  <c r="AD80" i="5"/>
  <c r="V80" i="5"/>
  <c r="U80" i="5"/>
  <c r="B80" i="5"/>
  <c r="D80" i="5" s="1"/>
  <c r="BI79" i="5"/>
  <c r="BF79" i="5"/>
  <c r="BE79" i="5"/>
  <c r="BA79" i="5"/>
  <c r="AW79" i="5"/>
  <c r="AS79" i="5"/>
  <c r="AO79" i="5"/>
  <c r="AN79" i="5"/>
  <c r="AM79" i="5"/>
  <c r="AL79" i="5"/>
  <c r="AK79" i="5"/>
  <c r="AJ79" i="5"/>
  <c r="AI79" i="5"/>
  <c r="AH79" i="5"/>
  <c r="AG79" i="5"/>
  <c r="AF79" i="5"/>
  <c r="AE79" i="5"/>
  <c r="AD79" i="5"/>
  <c r="V79" i="5"/>
  <c r="U79" i="5"/>
  <c r="B79" i="5"/>
  <c r="D79" i="5" s="1"/>
  <c r="BI78" i="5"/>
  <c r="BF78" i="5"/>
  <c r="BE78" i="5"/>
  <c r="BA78" i="5"/>
  <c r="AW78" i="5"/>
  <c r="AS78" i="5"/>
  <c r="AO78" i="5"/>
  <c r="AN78" i="5"/>
  <c r="AM78" i="5"/>
  <c r="AL78" i="5"/>
  <c r="AK78" i="5"/>
  <c r="AJ78" i="5"/>
  <c r="AI78" i="5"/>
  <c r="AH78" i="5"/>
  <c r="AG78" i="5"/>
  <c r="AF78" i="5"/>
  <c r="AE78" i="5"/>
  <c r="AD78" i="5"/>
  <c r="V78" i="5"/>
  <c r="U78" i="5"/>
  <c r="B78" i="5"/>
  <c r="D78" i="5" s="1"/>
  <c r="BI77" i="5"/>
  <c r="BF77" i="5"/>
  <c r="BE77" i="5"/>
  <c r="BA77" i="5"/>
  <c r="AW77" i="5"/>
  <c r="AS77" i="5"/>
  <c r="AO77" i="5"/>
  <c r="AN77" i="5"/>
  <c r="AM77" i="5"/>
  <c r="AL77" i="5"/>
  <c r="AK77" i="5"/>
  <c r="AJ77" i="5"/>
  <c r="AI77" i="5"/>
  <c r="AH77" i="5"/>
  <c r="AG77" i="5"/>
  <c r="AF77" i="5"/>
  <c r="AE77" i="5"/>
  <c r="AD77" i="5"/>
  <c r="V77" i="5"/>
  <c r="U77" i="5"/>
  <c r="B77" i="5"/>
  <c r="D77" i="5" s="1"/>
  <c r="BI76" i="5"/>
  <c r="BF76" i="5"/>
  <c r="BE76" i="5"/>
  <c r="BA76" i="5"/>
  <c r="AW76" i="5"/>
  <c r="AS76" i="5"/>
  <c r="AO76" i="5"/>
  <c r="AN76" i="5"/>
  <c r="AM76" i="5"/>
  <c r="AL76" i="5"/>
  <c r="AK76" i="5"/>
  <c r="AJ76" i="5"/>
  <c r="AI76" i="5"/>
  <c r="AH76" i="5"/>
  <c r="AG76" i="5"/>
  <c r="AF76" i="5"/>
  <c r="AE76" i="5"/>
  <c r="AD76" i="5"/>
  <c r="V76" i="5"/>
  <c r="U76" i="5"/>
  <c r="B76" i="5"/>
  <c r="D76" i="5" s="1"/>
  <c r="BI75" i="5"/>
  <c r="BF75" i="5"/>
  <c r="BE75" i="5"/>
  <c r="BA75" i="5"/>
  <c r="AW75" i="5"/>
  <c r="AS75" i="5"/>
  <c r="AO75" i="5"/>
  <c r="AN75" i="5"/>
  <c r="AM75" i="5"/>
  <c r="AL75" i="5"/>
  <c r="AK75" i="5"/>
  <c r="AJ75" i="5"/>
  <c r="AI75" i="5"/>
  <c r="AH75" i="5"/>
  <c r="AG75" i="5"/>
  <c r="AF75" i="5"/>
  <c r="AE75" i="5"/>
  <c r="AD75" i="5"/>
  <c r="V75" i="5"/>
  <c r="U75" i="5"/>
  <c r="B75" i="5"/>
  <c r="D75" i="5" s="1"/>
  <c r="BI74" i="5"/>
  <c r="BF74" i="5"/>
  <c r="BE74" i="5"/>
  <c r="BA74" i="5"/>
  <c r="AW74" i="5"/>
  <c r="AS74" i="5"/>
  <c r="AO74" i="5"/>
  <c r="AN74" i="5"/>
  <c r="AM74" i="5"/>
  <c r="AL74" i="5"/>
  <c r="AK74" i="5"/>
  <c r="AJ74" i="5"/>
  <c r="AI74" i="5"/>
  <c r="AH74" i="5"/>
  <c r="AG74" i="5"/>
  <c r="AF74" i="5"/>
  <c r="AE74" i="5"/>
  <c r="AD74" i="5"/>
  <c r="V74" i="5"/>
  <c r="U74" i="5"/>
  <c r="B74" i="5"/>
  <c r="D74" i="5" s="1"/>
  <c r="BI73" i="5"/>
  <c r="BF73" i="5"/>
  <c r="BE73" i="5"/>
  <c r="BA73" i="5"/>
  <c r="AW73" i="5"/>
  <c r="AS73" i="5"/>
  <c r="AO73" i="5"/>
  <c r="AN73" i="5"/>
  <c r="AM73" i="5"/>
  <c r="AL73" i="5"/>
  <c r="AK73" i="5"/>
  <c r="AJ73" i="5"/>
  <c r="AI73" i="5"/>
  <c r="AH73" i="5"/>
  <c r="AG73" i="5"/>
  <c r="AF73" i="5"/>
  <c r="AE73" i="5"/>
  <c r="AD73" i="5"/>
  <c r="V73" i="5"/>
  <c r="U73" i="5"/>
  <c r="B73" i="5"/>
  <c r="D73" i="5" s="1"/>
  <c r="BI72" i="5"/>
  <c r="BF72" i="5"/>
  <c r="BE72" i="5"/>
  <c r="BA72" i="5"/>
  <c r="AW72" i="5"/>
  <c r="AS72" i="5"/>
  <c r="AO72" i="5"/>
  <c r="AN72" i="5"/>
  <c r="AM72" i="5"/>
  <c r="AL72" i="5"/>
  <c r="AK72" i="5"/>
  <c r="AJ72" i="5"/>
  <c r="AI72" i="5"/>
  <c r="AH72" i="5"/>
  <c r="AG72" i="5"/>
  <c r="AF72" i="5"/>
  <c r="AE72" i="5"/>
  <c r="AD72" i="5"/>
  <c r="V72" i="5"/>
  <c r="U72" i="5"/>
  <c r="B72" i="5"/>
  <c r="D72" i="5" s="1"/>
  <c r="BI71" i="5"/>
  <c r="BF71" i="5"/>
  <c r="BE71" i="5"/>
  <c r="BA71" i="5"/>
  <c r="AW71" i="5"/>
  <c r="AS71" i="5"/>
  <c r="AO71" i="5"/>
  <c r="AN71" i="5"/>
  <c r="AM71" i="5"/>
  <c r="AL71" i="5"/>
  <c r="AK71" i="5"/>
  <c r="AJ71" i="5"/>
  <c r="AI71" i="5"/>
  <c r="AH71" i="5"/>
  <c r="AG71" i="5"/>
  <c r="AF71" i="5"/>
  <c r="AE71" i="5"/>
  <c r="AD71" i="5"/>
  <c r="V71" i="5"/>
  <c r="U71" i="5"/>
  <c r="B71" i="5"/>
  <c r="D71" i="5" s="1"/>
  <c r="BI70" i="5"/>
  <c r="BF70" i="5"/>
  <c r="BE70" i="5"/>
  <c r="BA70" i="5"/>
  <c r="AW70" i="5"/>
  <c r="AS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V70" i="5"/>
  <c r="U70" i="5"/>
  <c r="B70" i="5"/>
  <c r="D70" i="5" s="1"/>
  <c r="BI69" i="5"/>
  <c r="BF69" i="5"/>
  <c r="BE69" i="5"/>
  <c r="BA69" i="5"/>
  <c r="AW69" i="5"/>
  <c r="AS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V69" i="5"/>
  <c r="U69" i="5"/>
  <c r="B69" i="5"/>
  <c r="D69" i="5" s="1"/>
  <c r="BI68" i="5"/>
  <c r="BF68" i="5"/>
  <c r="BE68" i="5"/>
  <c r="BA68" i="5"/>
  <c r="AW68" i="5"/>
  <c r="AS68" i="5"/>
  <c r="AO68" i="5"/>
  <c r="AN68" i="5"/>
  <c r="AM68" i="5"/>
  <c r="AL68" i="5"/>
  <c r="AK68" i="5"/>
  <c r="AJ68" i="5"/>
  <c r="AI68" i="5"/>
  <c r="AH68" i="5"/>
  <c r="AG68" i="5"/>
  <c r="AF68" i="5"/>
  <c r="AE68" i="5"/>
  <c r="AD68" i="5"/>
  <c r="V68" i="5"/>
  <c r="U68" i="5"/>
  <c r="B68" i="5"/>
  <c r="D68" i="5" s="1"/>
  <c r="BI67" i="5"/>
  <c r="BF67" i="5"/>
  <c r="BE67" i="5"/>
  <c r="BA67" i="5"/>
  <c r="AW67" i="5"/>
  <c r="AS67" i="5"/>
  <c r="AO67" i="5"/>
  <c r="AN67" i="5"/>
  <c r="AM67" i="5"/>
  <c r="AL67" i="5"/>
  <c r="AK67" i="5"/>
  <c r="AJ67" i="5"/>
  <c r="AI67" i="5"/>
  <c r="AH67" i="5"/>
  <c r="AG67" i="5"/>
  <c r="AF67" i="5"/>
  <c r="AE67" i="5"/>
  <c r="AD67" i="5"/>
  <c r="V67" i="5"/>
  <c r="U67" i="5"/>
  <c r="B67" i="5"/>
  <c r="D67" i="5" s="1"/>
  <c r="BI66" i="5"/>
  <c r="BF66" i="5"/>
  <c r="BE66" i="5"/>
  <c r="BA66" i="5"/>
  <c r="AW66" i="5"/>
  <c r="AS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V66" i="5"/>
  <c r="U66" i="5"/>
  <c r="B66" i="5"/>
  <c r="D66" i="5" s="1"/>
  <c r="BI65" i="5"/>
  <c r="BF65" i="5"/>
  <c r="BE65" i="5"/>
  <c r="BA65" i="5"/>
  <c r="AW65" i="5"/>
  <c r="AS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V65" i="5"/>
  <c r="U65" i="5"/>
  <c r="B65" i="5"/>
  <c r="D65" i="5" s="1"/>
  <c r="BI64" i="5"/>
  <c r="BF64" i="5"/>
  <c r="BE64" i="5"/>
  <c r="BA64" i="5"/>
  <c r="AW64" i="5"/>
  <c r="AS64" i="5"/>
  <c r="AO64" i="5"/>
  <c r="AN64" i="5"/>
  <c r="AM64" i="5"/>
  <c r="AL64" i="5"/>
  <c r="AK64" i="5"/>
  <c r="AJ64" i="5"/>
  <c r="AI64" i="5"/>
  <c r="AH64" i="5"/>
  <c r="AG64" i="5"/>
  <c r="AF64" i="5"/>
  <c r="AE64" i="5"/>
  <c r="AD64" i="5"/>
  <c r="V64" i="5"/>
  <c r="U64" i="5"/>
  <c r="Q64" i="5"/>
  <c r="BB64" i="5" s="1"/>
  <c r="D64" i="5"/>
  <c r="B64" i="5"/>
  <c r="BI63" i="5"/>
  <c r="BF63" i="5"/>
  <c r="BE63" i="5"/>
  <c r="BA63" i="5"/>
  <c r="AW63" i="5"/>
  <c r="AS63" i="5"/>
  <c r="AO63" i="5"/>
  <c r="AN63" i="5"/>
  <c r="AM63" i="5"/>
  <c r="AL63" i="5"/>
  <c r="AK63" i="5"/>
  <c r="AJ63" i="5"/>
  <c r="AI63" i="5"/>
  <c r="AH63" i="5"/>
  <c r="AG63" i="5"/>
  <c r="AF63" i="5"/>
  <c r="AE63" i="5"/>
  <c r="AD63" i="5"/>
  <c r="V63" i="5"/>
  <c r="U63" i="5"/>
  <c r="B63" i="5"/>
  <c r="D63" i="5" s="1"/>
  <c r="BI62" i="5"/>
  <c r="BF62" i="5"/>
  <c r="BE62" i="5"/>
  <c r="BA62" i="5"/>
  <c r="AW62" i="5"/>
  <c r="AS62" i="5"/>
  <c r="AO62" i="5"/>
  <c r="AN62" i="5"/>
  <c r="AM62" i="5"/>
  <c r="AL62" i="5"/>
  <c r="AK62" i="5"/>
  <c r="AJ62" i="5"/>
  <c r="AI62" i="5"/>
  <c r="AH62" i="5"/>
  <c r="AG62" i="5"/>
  <c r="AF62" i="5"/>
  <c r="AE62" i="5"/>
  <c r="AD62" i="5"/>
  <c r="V62" i="5"/>
  <c r="U62" i="5"/>
  <c r="B62" i="5"/>
  <c r="D62" i="5" s="1"/>
  <c r="BI61" i="5"/>
  <c r="BF61" i="5"/>
  <c r="BE61" i="5"/>
  <c r="BA61" i="5"/>
  <c r="AW61" i="5"/>
  <c r="AS61" i="5"/>
  <c r="AO61" i="5"/>
  <c r="AN61" i="5"/>
  <c r="AM61" i="5"/>
  <c r="AL61" i="5"/>
  <c r="AK61" i="5"/>
  <c r="AJ61" i="5"/>
  <c r="AI61" i="5"/>
  <c r="AH61" i="5"/>
  <c r="AG61" i="5"/>
  <c r="AF61" i="5"/>
  <c r="AE61" i="5"/>
  <c r="AD61" i="5"/>
  <c r="V61" i="5"/>
  <c r="U61" i="5"/>
  <c r="B61" i="5"/>
  <c r="D61" i="5" s="1"/>
  <c r="BI60" i="5"/>
  <c r="BF60" i="5"/>
  <c r="BE60" i="5"/>
  <c r="BA60" i="5"/>
  <c r="AW60" i="5"/>
  <c r="AS60" i="5"/>
  <c r="AO60" i="5"/>
  <c r="AN60" i="5"/>
  <c r="AM60" i="5"/>
  <c r="AL60" i="5"/>
  <c r="AK60" i="5"/>
  <c r="AJ60" i="5"/>
  <c r="AI60" i="5"/>
  <c r="AH60" i="5"/>
  <c r="AG60" i="5"/>
  <c r="AF60" i="5"/>
  <c r="AE60" i="5"/>
  <c r="AD60" i="5"/>
  <c r="V60" i="5"/>
  <c r="U60" i="5"/>
  <c r="B60" i="5"/>
  <c r="D60" i="5" s="1"/>
  <c r="BI59" i="5"/>
  <c r="BF59" i="5"/>
  <c r="BE59" i="5"/>
  <c r="BA59" i="5"/>
  <c r="AW59" i="5"/>
  <c r="AS59" i="5"/>
  <c r="AO59" i="5"/>
  <c r="AN59" i="5"/>
  <c r="AM59" i="5"/>
  <c r="AL59" i="5"/>
  <c r="AK59" i="5"/>
  <c r="AJ59" i="5"/>
  <c r="AI59" i="5"/>
  <c r="AH59" i="5"/>
  <c r="AG59" i="5"/>
  <c r="AF59" i="5"/>
  <c r="AE59" i="5"/>
  <c r="AD59" i="5"/>
  <c r="V59" i="5"/>
  <c r="U59" i="5"/>
  <c r="B59" i="5"/>
  <c r="D59" i="5" s="1"/>
  <c r="BI58" i="5"/>
  <c r="BF58" i="5"/>
  <c r="BE58" i="5"/>
  <c r="BA58" i="5"/>
  <c r="AW58" i="5"/>
  <c r="AS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V58" i="5"/>
  <c r="U58" i="5"/>
  <c r="Q58" i="5"/>
  <c r="B58" i="5"/>
  <c r="D58" i="5" s="1"/>
  <c r="BI57" i="5"/>
  <c r="BF57" i="5"/>
  <c r="BE57" i="5"/>
  <c r="BA57" i="5"/>
  <c r="AW57" i="5"/>
  <c r="AS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V57" i="5"/>
  <c r="U57" i="5"/>
  <c r="B57" i="5"/>
  <c r="D57" i="5" s="1"/>
  <c r="BI56" i="5"/>
  <c r="BF56" i="5"/>
  <c r="BE56" i="5"/>
  <c r="BA56" i="5"/>
  <c r="AW56" i="5"/>
  <c r="AS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V56" i="5"/>
  <c r="U56" i="5"/>
  <c r="B56" i="5"/>
  <c r="D56" i="5" s="1"/>
  <c r="BI55" i="5"/>
  <c r="BF55" i="5"/>
  <c r="BE55" i="5"/>
  <c r="BA55" i="5"/>
  <c r="AW55" i="5"/>
  <c r="AS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V55" i="5"/>
  <c r="U55" i="5"/>
  <c r="B55" i="5"/>
  <c r="D55" i="5" s="1"/>
  <c r="BI54" i="5"/>
  <c r="BF54" i="5"/>
  <c r="BE54" i="5"/>
  <c r="BA54" i="5"/>
  <c r="AW54" i="5"/>
  <c r="AS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V54" i="5"/>
  <c r="U54" i="5"/>
  <c r="B54" i="5"/>
  <c r="D54" i="5" s="1"/>
  <c r="BI53" i="5"/>
  <c r="BF53" i="5"/>
  <c r="BE53" i="5"/>
  <c r="BA53" i="5"/>
  <c r="AW53" i="5"/>
  <c r="AS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V53" i="5"/>
  <c r="U53" i="5"/>
  <c r="B53" i="5"/>
  <c r="D53" i="5" s="1"/>
  <c r="BI52" i="5"/>
  <c r="BF52" i="5"/>
  <c r="BE52" i="5"/>
  <c r="BA52" i="5"/>
  <c r="AW52" i="5"/>
  <c r="AS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V52" i="5"/>
  <c r="U52" i="5"/>
  <c r="B52" i="5"/>
  <c r="D52" i="5" s="1"/>
  <c r="BI51" i="5"/>
  <c r="BF51" i="5"/>
  <c r="BE51" i="5"/>
  <c r="BA51" i="5"/>
  <c r="AW51" i="5"/>
  <c r="AS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V51" i="5"/>
  <c r="U51" i="5"/>
  <c r="B51" i="5"/>
  <c r="D51" i="5" s="1"/>
  <c r="BI50" i="5"/>
  <c r="BF50" i="5"/>
  <c r="BE50" i="5"/>
  <c r="BA50" i="5"/>
  <c r="AW50" i="5"/>
  <c r="AS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V50" i="5"/>
  <c r="U50" i="5"/>
  <c r="B50" i="5"/>
  <c r="D50" i="5" s="1"/>
  <c r="BI49" i="5"/>
  <c r="BF49" i="5"/>
  <c r="BE49" i="5"/>
  <c r="BA49" i="5"/>
  <c r="AW49" i="5"/>
  <c r="AS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V49" i="5"/>
  <c r="U49" i="5"/>
  <c r="B49" i="5"/>
  <c r="D49" i="5" s="1"/>
  <c r="BI48" i="5"/>
  <c r="BF48" i="5"/>
  <c r="BE48" i="5"/>
  <c r="BA48" i="5"/>
  <c r="AW48" i="5"/>
  <c r="AS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V48" i="5"/>
  <c r="U48" i="5"/>
  <c r="B48" i="5"/>
  <c r="D48" i="5" s="1"/>
  <c r="BI47" i="5"/>
  <c r="BF47" i="5"/>
  <c r="BE47" i="5"/>
  <c r="BA47" i="5"/>
  <c r="AW47" i="5"/>
  <c r="AS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V47" i="5"/>
  <c r="U47" i="5"/>
  <c r="B47" i="5"/>
  <c r="D47" i="5" s="1"/>
  <c r="BI46" i="5"/>
  <c r="BF46" i="5"/>
  <c r="BE46" i="5"/>
  <c r="BA46" i="5"/>
  <c r="AW46" i="5"/>
  <c r="AS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AB46" i="5"/>
  <c r="V46" i="5"/>
  <c r="U46" i="5"/>
  <c r="Q46" i="5"/>
  <c r="BB46" i="5" s="1"/>
  <c r="B46" i="5"/>
  <c r="D46" i="5" s="1"/>
  <c r="BI45" i="5"/>
  <c r="BF45" i="5"/>
  <c r="BE45" i="5"/>
  <c r="BA45" i="5"/>
  <c r="AW45" i="5"/>
  <c r="AS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V45" i="5"/>
  <c r="U45" i="5"/>
  <c r="B45" i="5"/>
  <c r="D45" i="5" s="1"/>
  <c r="BI44" i="5"/>
  <c r="BF44" i="5"/>
  <c r="BE44" i="5"/>
  <c r="BA44" i="5"/>
  <c r="AW44" i="5"/>
  <c r="AS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V44" i="5"/>
  <c r="U44" i="5"/>
  <c r="B44" i="5"/>
  <c r="D44" i="5" s="1"/>
  <c r="BI43" i="5"/>
  <c r="BF43" i="5"/>
  <c r="BE43" i="5"/>
  <c r="BA43" i="5"/>
  <c r="AW43" i="5"/>
  <c r="AS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V43" i="5"/>
  <c r="U43" i="5"/>
  <c r="B43" i="5"/>
  <c r="D43" i="5" s="1"/>
  <c r="BI42" i="5"/>
  <c r="BF42" i="5"/>
  <c r="BE42" i="5"/>
  <c r="BA42" i="5"/>
  <c r="AW42" i="5"/>
  <c r="AS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V42" i="5"/>
  <c r="U42" i="5"/>
  <c r="B42" i="5"/>
  <c r="D42" i="5" s="1"/>
  <c r="BI41" i="5"/>
  <c r="BF41" i="5"/>
  <c r="BE41" i="5"/>
  <c r="BA41" i="5"/>
  <c r="AW41" i="5"/>
  <c r="AS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V41" i="5"/>
  <c r="U41" i="5"/>
  <c r="B41" i="5"/>
  <c r="D41" i="5" s="1"/>
  <c r="BI40" i="5"/>
  <c r="BF40" i="5"/>
  <c r="BE40" i="5"/>
  <c r="BA40" i="5"/>
  <c r="AW40" i="5"/>
  <c r="AS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V40" i="5"/>
  <c r="U40" i="5"/>
  <c r="M40" i="5"/>
  <c r="B40" i="5"/>
  <c r="D40" i="5" s="1"/>
  <c r="BI39" i="5"/>
  <c r="BF39" i="5"/>
  <c r="BE39" i="5"/>
  <c r="BA39" i="5"/>
  <c r="AW39" i="5"/>
  <c r="AS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V39" i="5"/>
  <c r="U39" i="5"/>
  <c r="B39" i="5"/>
  <c r="D39" i="5" s="1"/>
  <c r="BI38" i="5"/>
  <c r="BF38" i="5"/>
  <c r="BE38" i="5"/>
  <c r="BA38" i="5"/>
  <c r="AW38" i="5"/>
  <c r="AS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V38" i="5"/>
  <c r="U38" i="5"/>
  <c r="B38" i="5"/>
  <c r="D38" i="5" s="1"/>
  <c r="BI37" i="5"/>
  <c r="BF37" i="5"/>
  <c r="BE37" i="5"/>
  <c r="BA37" i="5"/>
  <c r="AW37" i="5"/>
  <c r="AS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V37" i="5"/>
  <c r="U37" i="5"/>
  <c r="B37" i="5"/>
  <c r="D37" i="5" s="1"/>
  <c r="BI36" i="5"/>
  <c r="BF36" i="5"/>
  <c r="BE36" i="5"/>
  <c r="BA36" i="5"/>
  <c r="AW36" i="5"/>
  <c r="AS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V36" i="5"/>
  <c r="U36" i="5"/>
  <c r="B36" i="5"/>
  <c r="D36" i="5" s="1"/>
  <c r="BI35" i="5"/>
  <c r="BF35" i="5"/>
  <c r="BE35" i="5"/>
  <c r="BA35" i="5"/>
  <c r="AW35" i="5"/>
  <c r="AS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V35" i="5"/>
  <c r="U35" i="5"/>
  <c r="B35" i="5"/>
  <c r="D35" i="5" s="1"/>
  <c r="BI34" i="5"/>
  <c r="BF34" i="5"/>
  <c r="BE34" i="5"/>
  <c r="BA34" i="5"/>
  <c r="AW34" i="5"/>
  <c r="AS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V34" i="5"/>
  <c r="U34" i="5"/>
  <c r="M34" i="5"/>
  <c r="AT34" i="5" s="1"/>
  <c r="B34" i="5"/>
  <c r="D34" i="5" s="1"/>
  <c r="BI33" i="5"/>
  <c r="BF33" i="5"/>
  <c r="BE33" i="5"/>
  <c r="BA33" i="5"/>
  <c r="AW33" i="5"/>
  <c r="AS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V33" i="5"/>
  <c r="U33" i="5"/>
  <c r="O33" i="5"/>
  <c r="B33" i="5"/>
  <c r="D33" i="5" s="1"/>
  <c r="BI32" i="5"/>
  <c r="BF32" i="5"/>
  <c r="BE32" i="5"/>
  <c r="BA32" i="5"/>
  <c r="AW32" i="5"/>
  <c r="AS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V32" i="5"/>
  <c r="U32" i="5"/>
  <c r="B32" i="5"/>
  <c r="D32" i="5" s="1"/>
  <c r="BI31" i="5"/>
  <c r="BF31" i="5"/>
  <c r="BE31" i="5"/>
  <c r="BA31" i="5"/>
  <c r="AW31" i="5"/>
  <c r="AS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V31" i="5"/>
  <c r="U31" i="5"/>
  <c r="B31" i="5"/>
  <c r="D31" i="5" s="1"/>
  <c r="BI30" i="5"/>
  <c r="BF30" i="5"/>
  <c r="BE30" i="5"/>
  <c r="BA30" i="5"/>
  <c r="AW30" i="5"/>
  <c r="AS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V30" i="5"/>
  <c r="U30" i="5"/>
  <c r="B30" i="5"/>
  <c r="D30" i="5" s="1"/>
  <c r="BI29" i="5"/>
  <c r="BF29" i="5"/>
  <c r="BE29" i="5"/>
  <c r="BA29" i="5"/>
  <c r="AW29" i="5"/>
  <c r="AS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V29" i="5"/>
  <c r="U29" i="5"/>
  <c r="D29" i="5"/>
  <c r="B29" i="5"/>
  <c r="BI28" i="5"/>
  <c r="BF28" i="5"/>
  <c r="BE28" i="5"/>
  <c r="BA28" i="5"/>
  <c r="AW28" i="5"/>
  <c r="AS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V28" i="5"/>
  <c r="U28" i="5"/>
  <c r="B28" i="5"/>
  <c r="D28" i="5" s="1"/>
  <c r="BI27" i="5"/>
  <c r="BF27" i="5"/>
  <c r="BE27" i="5"/>
  <c r="BA27" i="5"/>
  <c r="AW27" i="5"/>
  <c r="AS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V27" i="5"/>
  <c r="U27" i="5"/>
  <c r="B27" i="5"/>
  <c r="D27" i="5" s="1"/>
  <c r="BI26" i="5"/>
  <c r="BF26" i="5"/>
  <c r="BE26" i="5"/>
  <c r="BA26" i="5"/>
  <c r="AW26" i="5"/>
  <c r="AS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V26" i="5"/>
  <c r="U26" i="5"/>
  <c r="B26" i="5"/>
  <c r="D26" i="5" s="1"/>
  <c r="BI25" i="5"/>
  <c r="BF25" i="5"/>
  <c r="BE25" i="5"/>
  <c r="BA25" i="5"/>
  <c r="AW25" i="5"/>
  <c r="AS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V25" i="5"/>
  <c r="U25" i="5"/>
  <c r="B25" i="5"/>
  <c r="D25" i="5" s="1"/>
  <c r="BI24" i="5"/>
  <c r="BF24" i="5"/>
  <c r="BE24" i="5"/>
  <c r="BA24" i="5"/>
  <c r="AW24" i="5"/>
  <c r="AS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V24" i="5"/>
  <c r="U24" i="5"/>
  <c r="B24" i="5"/>
  <c r="D24" i="5" s="1"/>
  <c r="BI23" i="5"/>
  <c r="BF23" i="5"/>
  <c r="BE23" i="5"/>
  <c r="BA23" i="5"/>
  <c r="AW23" i="5"/>
  <c r="AS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V23" i="5"/>
  <c r="U23" i="5"/>
  <c r="D23" i="5"/>
  <c r="B23" i="5"/>
  <c r="BI22" i="5"/>
  <c r="BF22" i="5"/>
  <c r="BE22" i="5"/>
  <c r="BA22" i="5"/>
  <c r="AW22" i="5"/>
  <c r="AS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V22" i="5"/>
  <c r="U22" i="5"/>
  <c r="B22" i="5"/>
  <c r="D22" i="5" s="1"/>
  <c r="BI21" i="5"/>
  <c r="BF21" i="5"/>
  <c r="BE21" i="5"/>
  <c r="BA21" i="5"/>
  <c r="AW21" i="5"/>
  <c r="AS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V21" i="5"/>
  <c r="U21" i="5"/>
  <c r="B21" i="5"/>
  <c r="D21" i="5" s="1"/>
  <c r="BI20" i="5"/>
  <c r="BF20" i="5"/>
  <c r="BE20" i="5"/>
  <c r="BA20" i="5"/>
  <c r="AW20" i="5"/>
  <c r="AS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V20" i="5"/>
  <c r="U20" i="5"/>
  <c r="B20" i="5"/>
  <c r="D20" i="5" s="1"/>
  <c r="BI19" i="5"/>
  <c r="BF19" i="5"/>
  <c r="BE19" i="5"/>
  <c r="BA19" i="5"/>
  <c r="AW19" i="5"/>
  <c r="AS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B19" i="5"/>
  <c r="AP19" i="5" s="1"/>
  <c r="V19" i="5"/>
  <c r="U19" i="5"/>
  <c r="B19" i="5"/>
  <c r="D19" i="5" s="1"/>
  <c r="BI18" i="5"/>
  <c r="BF18" i="5"/>
  <c r="BE18" i="5"/>
  <c r="BA18" i="5"/>
  <c r="AW18" i="5"/>
  <c r="AS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V18" i="5"/>
  <c r="U18" i="5"/>
  <c r="B18" i="5"/>
  <c r="D18" i="5" s="1"/>
  <c r="BI17" i="5"/>
  <c r="BF17" i="5"/>
  <c r="BE17" i="5"/>
  <c r="BA17" i="5"/>
  <c r="AW17" i="5"/>
  <c r="AS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V17" i="5"/>
  <c r="U17" i="5"/>
  <c r="B17" i="5"/>
  <c r="D17" i="5" s="1"/>
  <c r="BI16" i="5"/>
  <c r="BF16" i="5"/>
  <c r="BE16" i="5"/>
  <c r="BA16" i="5"/>
  <c r="AW16" i="5"/>
  <c r="AS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V16" i="5"/>
  <c r="U16" i="5"/>
  <c r="B16" i="5"/>
  <c r="D16" i="5" s="1"/>
  <c r="BI15" i="5"/>
  <c r="BF15" i="5"/>
  <c r="BE15" i="5"/>
  <c r="BA15" i="5"/>
  <c r="AW15" i="5"/>
  <c r="AS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V15" i="5"/>
  <c r="U15" i="5"/>
  <c r="B15" i="5"/>
  <c r="D15" i="5" s="1"/>
  <c r="BI14" i="5"/>
  <c r="BF14" i="5"/>
  <c r="BE14" i="5"/>
  <c r="BA14" i="5"/>
  <c r="AW14" i="5"/>
  <c r="AS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V14" i="5"/>
  <c r="U14" i="5"/>
  <c r="B14" i="5"/>
  <c r="D14" i="5" s="1"/>
  <c r="BI13" i="5"/>
  <c r="BF13" i="5"/>
  <c r="BE13" i="5"/>
  <c r="BA13" i="5"/>
  <c r="AW13" i="5"/>
  <c r="AS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V13" i="5"/>
  <c r="U13" i="5"/>
  <c r="B13" i="5"/>
  <c r="D13" i="5" s="1"/>
  <c r="BI12" i="5"/>
  <c r="BF12" i="5"/>
  <c r="BE12" i="5"/>
  <c r="BA12" i="5"/>
  <c r="AW12" i="5"/>
  <c r="AS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V12" i="5"/>
  <c r="U12" i="5"/>
  <c r="B12" i="5"/>
  <c r="D12" i="5" s="1"/>
  <c r="BI11" i="5"/>
  <c r="BF11" i="5"/>
  <c r="BE11" i="5"/>
  <c r="BA11" i="5"/>
  <c r="AW11" i="5"/>
  <c r="AS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V11" i="5"/>
  <c r="U11" i="5"/>
  <c r="B11" i="5"/>
  <c r="D11" i="5" s="1"/>
  <c r="BI10" i="5"/>
  <c r="BF10" i="5"/>
  <c r="BE10" i="5"/>
  <c r="BA10" i="5"/>
  <c r="AW10" i="5"/>
  <c r="AS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V10" i="5"/>
  <c r="U10" i="5"/>
  <c r="B10" i="5"/>
  <c r="D10" i="5" s="1"/>
  <c r="BI9" i="5"/>
  <c r="BF9" i="5"/>
  <c r="BE9" i="5"/>
  <c r="BA9" i="5"/>
  <c r="AW9" i="5"/>
  <c r="AS9" i="5"/>
  <c r="AO9" i="5"/>
  <c r="AN9" i="5"/>
  <c r="AM9" i="5"/>
  <c r="AL9" i="5"/>
  <c r="AK9" i="5"/>
  <c r="AJ9" i="5"/>
  <c r="AI9" i="5"/>
  <c r="AH9" i="5"/>
  <c r="AG9" i="5"/>
  <c r="AF9" i="5"/>
  <c r="AE9" i="5"/>
  <c r="AD9" i="5"/>
  <c r="V9" i="5"/>
  <c r="U9" i="5"/>
  <c r="B9" i="5"/>
  <c r="D9" i="5" s="1"/>
  <c r="BI8" i="5"/>
  <c r="BF8" i="5"/>
  <c r="BE8" i="5"/>
  <c r="BA8" i="5"/>
  <c r="AW8" i="5"/>
  <c r="AS8" i="5"/>
  <c r="AO8" i="5"/>
  <c r="AN8" i="5"/>
  <c r="AM8" i="5"/>
  <c r="AL8" i="5"/>
  <c r="AK8" i="5"/>
  <c r="AJ8" i="5"/>
  <c r="AI8" i="5"/>
  <c r="AH8" i="5"/>
  <c r="AG8" i="5"/>
  <c r="AF8" i="5"/>
  <c r="AE8" i="5"/>
  <c r="AD8" i="5"/>
  <c r="V8" i="5"/>
  <c r="U8" i="5"/>
  <c r="B8" i="5"/>
  <c r="D8" i="5" s="1"/>
  <c r="BI7" i="5"/>
  <c r="BF7" i="5"/>
  <c r="BE7" i="5"/>
  <c r="BA7" i="5"/>
  <c r="AW7" i="5"/>
  <c r="AS7" i="5"/>
  <c r="AO7" i="5"/>
  <c r="AN7" i="5"/>
  <c r="AM7" i="5"/>
  <c r="AL7" i="5"/>
  <c r="AK7" i="5"/>
  <c r="AJ7" i="5"/>
  <c r="AI7" i="5"/>
  <c r="AH7" i="5"/>
  <c r="AG7" i="5"/>
  <c r="AF7" i="5"/>
  <c r="AE7" i="5"/>
  <c r="AD7" i="5"/>
  <c r="V7" i="5"/>
  <c r="U7" i="5"/>
  <c r="B7" i="5"/>
  <c r="D7" i="5" s="1"/>
  <c r="BI6" i="5"/>
  <c r="BF6" i="5"/>
  <c r="BE6" i="5"/>
  <c r="BA6" i="5"/>
  <c r="AW6" i="5"/>
  <c r="AS6" i="5"/>
  <c r="AO6" i="5"/>
  <c r="AN6" i="5"/>
  <c r="AM6" i="5"/>
  <c r="AL6" i="5"/>
  <c r="AK6" i="5"/>
  <c r="AJ6" i="5"/>
  <c r="AI6" i="5"/>
  <c r="AH6" i="5"/>
  <c r="AG6" i="5"/>
  <c r="AF6" i="5"/>
  <c r="AE6" i="5"/>
  <c r="AD6" i="5"/>
  <c r="Y6" i="5"/>
  <c r="X6" i="5"/>
  <c r="V6" i="5"/>
  <c r="U6" i="5"/>
  <c r="B6" i="5"/>
  <c r="D6" i="5" s="1"/>
  <c r="BI5" i="5"/>
  <c r="BF5" i="5"/>
  <c r="BE5" i="5"/>
  <c r="BA5" i="5"/>
  <c r="AW5" i="5"/>
  <c r="AS5" i="5"/>
  <c r="AO5" i="5"/>
  <c r="AN5" i="5"/>
  <c r="AM5" i="5"/>
  <c r="AL5" i="5"/>
  <c r="AK5" i="5"/>
  <c r="AJ5" i="5"/>
  <c r="AI5" i="5"/>
  <c r="AH5" i="5"/>
  <c r="AG5" i="5"/>
  <c r="AF5" i="5"/>
  <c r="AE5" i="5"/>
  <c r="AD5" i="5"/>
  <c r="Y5" i="5"/>
  <c r="X5" i="5"/>
  <c r="V5" i="5"/>
  <c r="U5" i="5"/>
  <c r="B5" i="5"/>
  <c r="BF4" i="5"/>
  <c r="BE4" i="5"/>
  <c r="BA4" i="5"/>
  <c r="AW4" i="5"/>
  <c r="AS4" i="5"/>
  <c r="AT4" i="5" s="1"/>
  <c r="AO4" i="5"/>
  <c r="Y4" i="5"/>
  <c r="X4" i="5"/>
  <c r="D4" i="5"/>
  <c r="BF3" i="5"/>
  <c r="BE3" i="5"/>
  <c r="BA3" i="5"/>
  <c r="AW3" i="5"/>
  <c r="AS3" i="5"/>
  <c r="AT3" i="5" s="1"/>
  <c r="AO3" i="5"/>
  <c r="Y3" i="5"/>
  <c r="X3" i="5"/>
  <c r="D3" i="5"/>
  <c r="BF2" i="5"/>
  <c r="BE2" i="5"/>
  <c r="BA2" i="5"/>
  <c r="AW2" i="5"/>
  <c r="AS2" i="5"/>
  <c r="AT2" i="5" s="1"/>
  <c r="AO2" i="5"/>
  <c r="Y2" i="5"/>
  <c r="X2" i="5"/>
  <c r="D2" i="5"/>
  <c r="T1" i="5"/>
  <c r="S1" i="5"/>
  <c r="R1" i="5"/>
  <c r="Q1" i="5"/>
  <c r="P1" i="5"/>
  <c r="O1" i="5"/>
  <c r="N1" i="5"/>
  <c r="M1" i="5"/>
  <c r="L1" i="5"/>
  <c r="K1" i="5"/>
  <c r="J1" i="5"/>
  <c r="I1" i="5"/>
  <c r="H1" i="5"/>
  <c r="G1" i="5"/>
  <c r="F1" i="5"/>
  <c r="E1" i="5"/>
  <c r="C74" i="4"/>
  <c r="B12" i="14" s="1"/>
  <c r="F73" i="4"/>
  <c r="E73" i="4"/>
  <c r="B73" i="4"/>
  <c r="D73" i="4" s="1"/>
  <c r="F72" i="4"/>
  <c r="E72" i="4"/>
  <c r="B72" i="4"/>
  <c r="D72" i="4" s="1"/>
  <c r="F71" i="4"/>
  <c r="E71" i="4"/>
  <c r="B71" i="4"/>
  <c r="D71" i="4" s="1"/>
  <c r="F70" i="4"/>
  <c r="E70" i="4"/>
  <c r="B70" i="4"/>
  <c r="D70" i="4" s="1"/>
  <c r="F69" i="4"/>
  <c r="E69" i="4"/>
  <c r="B69" i="4"/>
  <c r="D69" i="4" s="1"/>
  <c r="F68" i="4"/>
  <c r="E68" i="4"/>
  <c r="B68" i="4"/>
  <c r="D68" i="4" s="1"/>
  <c r="F67" i="4"/>
  <c r="E67" i="4"/>
  <c r="B67" i="4"/>
  <c r="D67" i="4" s="1"/>
  <c r="F66" i="4"/>
  <c r="E66" i="4"/>
  <c r="B66" i="4"/>
  <c r="D66" i="4" s="1"/>
  <c r="F65" i="4"/>
  <c r="E65" i="4"/>
  <c r="B65" i="4"/>
  <c r="D65" i="4" s="1"/>
  <c r="F64" i="4"/>
  <c r="E64" i="4"/>
  <c r="B64" i="4"/>
  <c r="D64" i="4" s="1"/>
  <c r="F63" i="4"/>
  <c r="E63" i="4"/>
  <c r="B63" i="4"/>
  <c r="D63" i="4" s="1"/>
  <c r="F62" i="4"/>
  <c r="E62" i="4"/>
  <c r="B62" i="4"/>
  <c r="D62" i="4" s="1"/>
  <c r="F61" i="4"/>
  <c r="E61" i="4"/>
  <c r="D61" i="4"/>
  <c r="B61" i="4"/>
  <c r="F60" i="4"/>
  <c r="E60" i="4"/>
  <c r="B60" i="4"/>
  <c r="D60" i="4" s="1"/>
  <c r="F59" i="4"/>
  <c r="E59" i="4"/>
  <c r="B59" i="4"/>
  <c r="D59" i="4" s="1"/>
  <c r="F58" i="4"/>
  <c r="E58" i="4"/>
  <c r="B58" i="4"/>
  <c r="D58" i="4" s="1"/>
  <c r="F57" i="4"/>
  <c r="E57" i="4"/>
  <c r="B57" i="4"/>
  <c r="D57" i="4" s="1"/>
  <c r="F56" i="4"/>
  <c r="E56" i="4"/>
  <c r="B56" i="4"/>
  <c r="D56" i="4" s="1"/>
  <c r="F55" i="4"/>
  <c r="E55" i="4"/>
  <c r="B55" i="4"/>
  <c r="D55" i="4" s="1"/>
  <c r="F54" i="4"/>
  <c r="E54" i="4"/>
  <c r="B54" i="4"/>
  <c r="D54" i="4" s="1"/>
  <c r="F53" i="4"/>
  <c r="E53" i="4"/>
  <c r="B53" i="4"/>
  <c r="D53" i="4" s="1"/>
  <c r="F52" i="4"/>
  <c r="E52" i="4"/>
  <c r="B52" i="4"/>
  <c r="D52" i="4" s="1"/>
  <c r="F51" i="4"/>
  <c r="E51" i="4"/>
  <c r="B51" i="4"/>
  <c r="D51" i="4" s="1"/>
  <c r="F50" i="4"/>
  <c r="E50" i="4"/>
  <c r="B50" i="4"/>
  <c r="D50" i="4" s="1"/>
  <c r="F49" i="4"/>
  <c r="E49" i="4"/>
  <c r="D49" i="4"/>
  <c r="B49" i="4"/>
  <c r="F48" i="4"/>
  <c r="E48" i="4"/>
  <c r="B48" i="4"/>
  <c r="D48" i="4" s="1"/>
  <c r="F47" i="4"/>
  <c r="E47" i="4"/>
  <c r="B47" i="4"/>
  <c r="D47" i="4" s="1"/>
  <c r="F46" i="4"/>
  <c r="E46" i="4"/>
  <c r="B46" i="4"/>
  <c r="D46" i="4" s="1"/>
  <c r="F45" i="4"/>
  <c r="E45" i="4"/>
  <c r="B45" i="4"/>
  <c r="D45" i="4" s="1"/>
  <c r="F44" i="4"/>
  <c r="E44" i="4"/>
  <c r="B44" i="4"/>
  <c r="D44" i="4" s="1"/>
  <c r="F43" i="4"/>
  <c r="E43" i="4"/>
  <c r="B43" i="4"/>
  <c r="D43" i="4" s="1"/>
  <c r="F42" i="4"/>
  <c r="E42" i="4"/>
  <c r="B42" i="4"/>
  <c r="D42" i="4" s="1"/>
  <c r="F41" i="4"/>
  <c r="E41" i="4"/>
  <c r="B41" i="4"/>
  <c r="D41" i="4" s="1"/>
  <c r="F40" i="4"/>
  <c r="E40" i="4"/>
  <c r="B40" i="4"/>
  <c r="D40" i="4" s="1"/>
  <c r="F39" i="4"/>
  <c r="E39" i="4"/>
  <c r="B39" i="4"/>
  <c r="D39" i="4" s="1"/>
  <c r="F38" i="4"/>
  <c r="E38" i="4"/>
  <c r="B38" i="4"/>
  <c r="D38" i="4" s="1"/>
  <c r="F37" i="4"/>
  <c r="E37" i="4"/>
  <c r="B37" i="4"/>
  <c r="D37" i="4" s="1"/>
  <c r="F36" i="4"/>
  <c r="E36" i="4"/>
  <c r="B36" i="4"/>
  <c r="D36" i="4" s="1"/>
  <c r="F35" i="4"/>
  <c r="E35" i="4"/>
  <c r="B35" i="4"/>
  <c r="D35" i="4" s="1"/>
  <c r="F34" i="4"/>
  <c r="E34" i="4"/>
  <c r="D34" i="4"/>
  <c r="B34" i="4"/>
  <c r="F33" i="4"/>
  <c r="E33" i="4"/>
  <c r="B33" i="4"/>
  <c r="D33" i="4" s="1"/>
  <c r="F32" i="4"/>
  <c r="E32" i="4"/>
  <c r="B32" i="4"/>
  <c r="D32" i="4" s="1"/>
  <c r="F31" i="4"/>
  <c r="E31" i="4"/>
  <c r="B31" i="4"/>
  <c r="D31" i="4" s="1"/>
  <c r="F30" i="4"/>
  <c r="E30" i="4"/>
  <c r="B30" i="4"/>
  <c r="D30" i="4" s="1"/>
  <c r="F29" i="4"/>
  <c r="E29" i="4"/>
  <c r="B29" i="4"/>
  <c r="D29" i="4" s="1"/>
  <c r="F28" i="4"/>
  <c r="E28" i="4"/>
  <c r="B28" i="4"/>
  <c r="D28" i="4" s="1"/>
  <c r="F27" i="4"/>
  <c r="E27" i="4"/>
  <c r="B27" i="4"/>
  <c r="D27" i="4" s="1"/>
  <c r="F26" i="4"/>
  <c r="E26" i="4"/>
  <c r="B26" i="4"/>
  <c r="D26" i="4" s="1"/>
  <c r="F25" i="4"/>
  <c r="E25" i="4"/>
  <c r="B25" i="4"/>
  <c r="D25" i="4" s="1"/>
  <c r="F24" i="4"/>
  <c r="E24" i="4"/>
  <c r="B24" i="4"/>
  <c r="D24" i="4" s="1"/>
  <c r="F23" i="4"/>
  <c r="E23" i="4"/>
  <c r="B23" i="4"/>
  <c r="D23" i="4" s="1"/>
  <c r="F22" i="4"/>
  <c r="E22" i="4"/>
  <c r="B22" i="4"/>
  <c r="D22" i="4" s="1"/>
  <c r="F21" i="4"/>
  <c r="E21" i="4"/>
  <c r="B21" i="4"/>
  <c r="D21" i="4" s="1"/>
  <c r="F20" i="4"/>
  <c r="E20" i="4"/>
  <c r="B20" i="4"/>
  <c r="D20" i="4" s="1"/>
  <c r="F19" i="4"/>
  <c r="E19" i="4"/>
  <c r="B19" i="4"/>
  <c r="D19" i="4" s="1"/>
  <c r="F18" i="4"/>
  <c r="E18" i="4"/>
  <c r="B18" i="4"/>
  <c r="D18" i="4" s="1"/>
  <c r="F17" i="4"/>
  <c r="E17" i="4"/>
  <c r="B17" i="4"/>
  <c r="D17" i="4" s="1"/>
  <c r="F16" i="4"/>
  <c r="E16" i="4"/>
  <c r="D16" i="4"/>
  <c r="B16" i="4"/>
  <c r="F15" i="4"/>
  <c r="E15" i="4"/>
  <c r="B15" i="4"/>
  <c r="D15" i="4" s="1"/>
  <c r="F14" i="4"/>
  <c r="E14" i="4"/>
  <c r="B14" i="4"/>
  <c r="D14" i="4" s="1"/>
  <c r="F13" i="4"/>
  <c r="E13" i="4"/>
  <c r="B13" i="4"/>
  <c r="D13" i="4" s="1"/>
  <c r="F12" i="4"/>
  <c r="E12" i="4"/>
  <c r="B12" i="4"/>
  <c r="D12" i="4" s="1"/>
  <c r="F11" i="4"/>
  <c r="E11" i="4"/>
  <c r="B11" i="4"/>
  <c r="D11" i="4" s="1"/>
  <c r="F10" i="4"/>
  <c r="E10" i="4"/>
  <c r="B10" i="4"/>
  <c r="D10" i="4" s="1"/>
  <c r="F9" i="4"/>
  <c r="E9" i="4"/>
  <c r="B9" i="4"/>
  <c r="D9" i="4" s="1"/>
  <c r="F8" i="4"/>
  <c r="E8" i="4"/>
  <c r="B8" i="4"/>
  <c r="D8" i="4" s="1"/>
  <c r="F7" i="4"/>
  <c r="E7" i="4"/>
  <c r="B7" i="4"/>
  <c r="D7" i="4" s="1"/>
  <c r="F6" i="4"/>
  <c r="E6" i="4"/>
  <c r="B6" i="4"/>
  <c r="D6" i="4" s="1"/>
  <c r="F5" i="4"/>
  <c r="E5" i="4"/>
  <c r="B5" i="4"/>
  <c r="D5" i="4" s="1"/>
  <c r="F4" i="4"/>
  <c r="E4" i="4"/>
  <c r="B4" i="4"/>
  <c r="D4" i="4" s="1"/>
  <c r="F3" i="4"/>
  <c r="E3" i="4"/>
  <c r="B3" i="4"/>
  <c r="D3" i="4" s="1"/>
  <c r="F2" i="4"/>
  <c r="E2" i="4"/>
  <c r="B2" i="4"/>
  <c r="B15" i="3"/>
  <c r="F15" i="3" s="1"/>
  <c r="B262" i="15" s="1"/>
  <c r="B14" i="3"/>
  <c r="F14" i="3" s="1"/>
  <c r="B261" i="15" s="1"/>
  <c r="B13" i="3"/>
  <c r="F13" i="3" s="1"/>
  <c r="B260" i="15" s="1"/>
  <c r="B12" i="3"/>
  <c r="F12" i="3" s="1"/>
  <c r="B259" i="15" s="1"/>
  <c r="E11" i="3"/>
  <c r="D11" i="3"/>
  <c r="B11" i="3"/>
  <c r="F6" i="3"/>
  <c r="U6" i="6" s="1"/>
  <c r="F2" i="3"/>
  <c r="G203" i="1"/>
  <c r="F203" i="1"/>
  <c r="E203" i="1"/>
  <c r="D203" i="1"/>
  <c r="C203" i="1"/>
  <c r="B203" i="1"/>
  <c r="A203" i="1"/>
  <c r="B202" i="1"/>
  <c r="A202" i="1"/>
  <c r="B201" i="1"/>
  <c r="A201" i="1"/>
  <c r="B200" i="1"/>
  <c r="A200" i="1"/>
  <c r="B199" i="1"/>
  <c r="A199" i="1"/>
  <c r="B198" i="1"/>
  <c r="A198" i="1"/>
  <c r="B197" i="1"/>
  <c r="A197" i="1"/>
  <c r="B196" i="1"/>
  <c r="A196" i="1"/>
  <c r="B195" i="1"/>
  <c r="A195" i="1"/>
  <c r="B194" i="1"/>
  <c r="A194" i="1"/>
  <c r="B193" i="1"/>
  <c r="A193" i="1"/>
  <c r="B192" i="1"/>
  <c r="A192" i="1"/>
  <c r="B191" i="1"/>
  <c r="A191" i="1"/>
  <c r="B190" i="1"/>
  <c r="A190" i="1"/>
  <c r="B189" i="1"/>
  <c r="A189" i="1"/>
  <c r="B188" i="1"/>
  <c r="A188" i="1"/>
  <c r="B187" i="1"/>
  <c r="A187" i="1"/>
  <c r="B186" i="1"/>
  <c r="A186" i="1"/>
  <c r="B185" i="1"/>
  <c r="A185" i="1"/>
  <c r="B184" i="1"/>
  <c r="A184" i="1"/>
  <c r="B183" i="1"/>
  <c r="A183" i="1"/>
  <c r="B182" i="1"/>
  <c r="A182" i="1"/>
  <c r="B181" i="1"/>
  <c r="A181" i="1"/>
  <c r="B180" i="1"/>
  <c r="A180" i="1"/>
  <c r="B179" i="1"/>
  <c r="A179" i="1"/>
  <c r="B178" i="1"/>
  <c r="A178" i="1"/>
  <c r="B177" i="1"/>
  <c r="A177" i="1"/>
  <c r="B176" i="1"/>
  <c r="A176" i="1"/>
  <c r="B175" i="1"/>
  <c r="A175" i="1"/>
  <c r="B174" i="1"/>
  <c r="A174" i="1"/>
  <c r="B173" i="1"/>
  <c r="A173" i="1"/>
  <c r="B172" i="1"/>
  <c r="A172" i="1"/>
  <c r="B171" i="1"/>
  <c r="A171" i="1"/>
  <c r="B170" i="1"/>
  <c r="A170" i="1"/>
  <c r="B169" i="1"/>
  <c r="A169" i="1"/>
  <c r="B168" i="1"/>
  <c r="A168" i="1"/>
  <c r="G167" i="1"/>
  <c r="F167" i="1"/>
  <c r="E167" i="1"/>
  <c r="D167" i="1"/>
  <c r="C167" i="1"/>
  <c r="B167" i="1"/>
  <c r="A167" i="1"/>
  <c r="B166" i="1"/>
  <c r="A166" i="1"/>
  <c r="B165" i="1"/>
  <c r="A165" i="1"/>
  <c r="B164" i="1"/>
  <c r="A164" i="1"/>
  <c r="B163" i="1"/>
  <c r="A163" i="1"/>
  <c r="B162" i="1"/>
  <c r="A162" i="1"/>
  <c r="B161" i="1"/>
  <c r="A161" i="1"/>
  <c r="B160" i="1"/>
  <c r="A160" i="1"/>
  <c r="B159" i="1"/>
  <c r="A159" i="1"/>
  <c r="B158" i="1"/>
  <c r="A158" i="1"/>
  <c r="D157" i="1"/>
  <c r="B157" i="1"/>
  <c r="A157" i="1"/>
  <c r="B156" i="1"/>
  <c r="A156" i="1"/>
  <c r="B155" i="1"/>
  <c r="A155" i="1"/>
  <c r="B154" i="1"/>
  <c r="A154" i="1"/>
  <c r="B153" i="1"/>
  <c r="A153" i="1"/>
  <c r="B152" i="1"/>
  <c r="A152" i="1"/>
  <c r="B151" i="1"/>
  <c r="A151" i="1"/>
  <c r="B150" i="1"/>
  <c r="A150" i="1"/>
  <c r="B149" i="1"/>
  <c r="A149" i="1"/>
  <c r="E148" i="1"/>
  <c r="B148" i="1"/>
  <c r="A148" i="1"/>
  <c r="B147" i="1"/>
  <c r="A147" i="1"/>
  <c r="B146" i="1"/>
  <c r="A146" i="1"/>
  <c r="B145" i="1"/>
  <c r="A145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B138" i="1"/>
  <c r="A138" i="1"/>
  <c r="B137" i="1"/>
  <c r="A137" i="1"/>
  <c r="B136" i="1"/>
  <c r="A136" i="1"/>
  <c r="B135" i="1"/>
  <c r="A135" i="1"/>
  <c r="B134" i="1"/>
  <c r="A134" i="1"/>
  <c r="B133" i="1"/>
  <c r="A133" i="1"/>
  <c r="B132" i="1"/>
  <c r="A132" i="1"/>
  <c r="F131" i="1"/>
  <c r="D131" i="1"/>
  <c r="C131" i="1"/>
  <c r="B131" i="1"/>
  <c r="A131" i="1"/>
  <c r="B130" i="1"/>
  <c r="A130" i="1"/>
  <c r="B129" i="1"/>
  <c r="A129" i="1"/>
  <c r="B128" i="1"/>
  <c r="A128" i="1"/>
  <c r="B127" i="1"/>
  <c r="A127" i="1"/>
  <c r="B126" i="1"/>
  <c r="A126" i="1"/>
  <c r="B125" i="1"/>
  <c r="A125" i="1"/>
  <c r="B124" i="1"/>
  <c r="A124" i="1"/>
  <c r="B123" i="1"/>
  <c r="A123" i="1"/>
  <c r="B122" i="1"/>
  <c r="A122" i="1"/>
  <c r="B121" i="1"/>
  <c r="A121" i="1"/>
  <c r="B120" i="1"/>
  <c r="A120" i="1"/>
  <c r="B119" i="1"/>
  <c r="A119" i="1"/>
  <c r="F118" i="1"/>
  <c r="B118" i="1"/>
  <c r="A118" i="1"/>
  <c r="B117" i="1"/>
  <c r="A117" i="1"/>
  <c r="B116" i="1"/>
  <c r="A116" i="1"/>
  <c r="B115" i="1"/>
  <c r="A115" i="1"/>
  <c r="B114" i="1"/>
  <c r="A114" i="1"/>
  <c r="B113" i="1"/>
  <c r="A113" i="1"/>
  <c r="B112" i="1"/>
  <c r="A112" i="1"/>
  <c r="E111" i="1"/>
  <c r="B111" i="1"/>
  <c r="A111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B88" i="1"/>
  <c r="A88" i="1"/>
  <c r="B87" i="1"/>
  <c r="A87" i="1"/>
  <c r="B86" i="1"/>
  <c r="A86" i="1"/>
  <c r="B85" i="1"/>
  <c r="A85" i="1"/>
  <c r="B84" i="1"/>
  <c r="A84" i="1"/>
  <c r="B83" i="1"/>
  <c r="A83" i="1"/>
  <c r="B82" i="1"/>
  <c r="A82" i="1"/>
  <c r="B81" i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F66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F48" i="1"/>
  <c r="D48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G35" i="1"/>
  <c r="D35" i="1"/>
  <c r="C35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A6" i="1"/>
  <c r="A5" i="1"/>
  <c r="A4" i="1"/>
  <c r="B14" i="2"/>
  <c r="B4" i="14" s="1"/>
  <c r="B13" i="2"/>
  <c r="B12" i="2"/>
  <c r="B9" i="2"/>
  <c r="U6" i="12"/>
  <c r="U3" i="12"/>
  <c r="Q3" i="12"/>
  <c r="I9" i="9"/>
  <c r="J1618" i="7" l="1"/>
  <c r="I1618" i="7"/>
  <c r="J889" i="7"/>
  <c r="I889" i="7"/>
  <c r="J25" i="7"/>
  <c r="I25" i="7"/>
  <c r="J505" i="7"/>
  <c r="I505" i="7"/>
  <c r="I43" i="7"/>
  <c r="I149" i="7"/>
  <c r="I203" i="7"/>
  <c r="J137" i="7"/>
  <c r="I167" i="7"/>
  <c r="I290" i="7"/>
  <c r="I562" i="7"/>
  <c r="I679" i="7"/>
  <c r="J743" i="7"/>
  <c r="I751" i="7"/>
  <c r="J769" i="7"/>
  <c r="J910" i="7"/>
  <c r="J969" i="7"/>
  <c r="I969" i="7"/>
  <c r="J1031" i="7"/>
  <c r="J1112" i="7"/>
  <c r="I1112" i="7"/>
  <c r="J1159" i="7"/>
  <c r="J1458" i="7"/>
  <c r="J1568" i="7"/>
  <c r="I2039" i="7"/>
  <c r="I2919" i="7"/>
  <c r="F74" i="4"/>
  <c r="I13" i="7"/>
  <c r="J33" i="7"/>
  <c r="J95" i="7"/>
  <c r="I170" i="7"/>
  <c r="J175" i="7"/>
  <c r="I331" i="7"/>
  <c r="I535" i="7"/>
  <c r="I579" i="7"/>
  <c r="J631" i="7"/>
  <c r="J902" i="7"/>
  <c r="I902" i="7"/>
  <c r="J2247" i="7"/>
  <c r="I2247" i="7"/>
  <c r="J2149" i="7"/>
  <c r="I2149" i="7"/>
  <c r="J2203" i="7"/>
  <c r="I2203" i="7"/>
  <c r="I2457" i="7"/>
  <c r="J2457" i="7"/>
  <c r="I2942" i="7"/>
  <c r="J2942" i="7"/>
  <c r="I8" i="7"/>
  <c r="I122" i="7"/>
  <c r="J682" i="7"/>
  <c r="J2341" i="7"/>
  <c r="I2341" i="7"/>
  <c r="I235" i="7"/>
  <c r="J583" i="7"/>
  <c r="J989" i="7"/>
  <c r="I989" i="7"/>
  <c r="I2100" i="7"/>
  <c r="J2100" i="7"/>
  <c r="I611" i="7"/>
  <c r="J973" i="7"/>
  <c r="I973" i="7"/>
  <c r="I2153" i="7"/>
  <c r="J2153" i="7"/>
  <c r="I2573" i="7"/>
  <c r="J2573" i="7"/>
  <c r="J143" i="7"/>
  <c r="C12" i="3"/>
  <c r="D12" i="3" s="1"/>
  <c r="AC145" i="5"/>
  <c r="J101" i="7"/>
  <c r="J111" i="7"/>
  <c r="I187" i="7"/>
  <c r="I195" i="7"/>
  <c r="J215" i="7"/>
  <c r="I291" i="7"/>
  <c r="I379" i="7"/>
  <c r="J549" i="7"/>
  <c r="I578" i="7"/>
  <c r="I755" i="7"/>
  <c r="J807" i="7"/>
  <c r="J1043" i="7"/>
  <c r="I1043" i="7"/>
  <c r="J1622" i="7"/>
  <c r="I1622" i="7"/>
  <c r="J173" i="7"/>
  <c r="I27" i="7"/>
  <c r="J74" i="7"/>
  <c r="J79" i="7"/>
  <c r="I143" i="7"/>
  <c r="I166" i="7"/>
  <c r="J243" i="7"/>
  <c r="J410" i="7"/>
  <c r="J663" i="7"/>
  <c r="I685" i="7"/>
  <c r="J893" i="7"/>
  <c r="I893" i="7"/>
  <c r="J2179" i="7"/>
  <c r="J113" i="7"/>
  <c r="J94" i="7"/>
  <c r="J109" i="7"/>
  <c r="I111" i="7"/>
  <c r="J121" i="7"/>
  <c r="J179" i="7"/>
  <c r="I215" i="7"/>
  <c r="J335" i="7"/>
  <c r="I335" i="7"/>
  <c r="J539" i="7"/>
  <c r="I607" i="7"/>
  <c r="J711" i="7"/>
  <c r="J802" i="7"/>
  <c r="J829" i="7"/>
  <c r="J1001" i="7"/>
  <c r="I1001" i="7"/>
  <c r="I1051" i="7"/>
  <c r="J1051" i="7"/>
  <c r="I1120" i="7"/>
  <c r="J1120" i="7"/>
  <c r="I347" i="7"/>
  <c r="J465" i="7"/>
  <c r="J615" i="7"/>
  <c r="J626" i="7"/>
  <c r="I706" i="7"/>
  <c r="J845" i="7"/>
  <c r="J950" i="7"/>
  <c r="J985" i="7"/>
  <c r="I985" i="7"/>
  <c r="J1098" i="7"/>
  <c r="J1612" i="7"/>
  <c r="I2426" i="7"/>
  <c r="J2426" i="7"/>
  <c r="J247" i="7"/>
  <c r="I259" i="7"/>
  <c r="I275" i="7"/>
  <c r="I403" i="7"/>
  <c r="I459" i="7"/>
  <c r="I538" i="7"/>
  <c r="J567" i="7"/>
  <c r="I621" i="7"/>
  <c r="I683" i="7"/>
  <c r="J735" i="7"/>
  <c r="J830" i="7"/>
  <c r="J862" i="7"/>
  <c r="I1416" i="7"/>
  <c r="J1448" i="7"/>
  <c r="I1448" i="7"/>
  <c r="J1925" i="7"/>
  <c r="I1925" i="7"/>
  <c r="J1928" i="7"/>
  <c r="I2003" i="7"/>
  <c r="J2261" i="7"/>
  <c r="J2319" i="7"/>
  <c r="J2371" i="7"/>
  <c r="I2371" i="7"/>
  <c r="J2385" i="7"/>
  <c r="J2412" i="7"/>
  <c r="I2429" i="7"/>
  <c r="J2494" i="7"/>
  <c r="J3753" i="7"/>
  <c r="I3753" i="7"/>
  <c r="I1041" i="7"/>
  <c r="I1187" i="7"/>
  <c r="J1287" i="7"/>
  <c r="I1508" i="7"/>
  <c r="J1594" i="7"/>
  <c r="I1594" i="7"/>
  <c r="I2237" i="7"/>
  <c r="J2237" i="7"/>
  <c r="J2402" i="7"/>
  <c r="I2402" i="7"/>
  <c r="I2505" i="7"/>
  <c r="J2505" i="7"/>
  <c r="I3515" i="7"/>
  <c r="J3515" i="7"/>
  <c r="I831" i="7"/>
  <c r="J1504" i="7"/>
  <c r="I1504" i="7"/>
  <c r="J323" i="7"/>
  <c r="I399" i="7"/>
  <c r="J417" i="7"/>
  <c r="I427" i="7"/>
  <c r="J651" i="7"/>
  <c r="J759" i="7"/>
  <c r="J823" i="7"/>
  <c r="J843" i="7"/>
  <c r="I1055" i="7"/>
  <c r="J1219" i="7"/>
  <c r="I1243" i="7"/>
  <c r="J1294" i="7"/>
  <c r="I1339" i="7"/>
  <c r="I1363" i="7"/>
  <c r="I1444" i="7"/>
  <c r="J2744" i="7"/>
  <c r="J271" i="7"/>
  <c r="J399" i="7"/>
  <c r="I463" i="7"/>
  <c r="J489" i="7"/>
  <c r="I511" i="7"/>
  <c r="I559" i="7"/>
  <c r="I566" i="7"/>
  <c r="I667" i="7"/>
  <c r="J675" i="7"/>
  <c r="J806" i="7"/>
  <c r="J882" i="7"/>
  <c r="I993" i="7"/>
  <c r="J1191" i="7"/>
  <c r="I1392" i="7"/>
  <c r="I1476" i="7"/>
  <c r="J1502" i="7"/>
  <c r="I1502" i="7"/>
  <c r="J1528" i="7"/>
  <c r="I2227" i="7"/>
  <c r="J2227" i="7"/>
  <c r="J2367" i="7"/>
  <c r="J2788" i="7"/>
  <c r="I3596" i="7"/>
  <c r="J3596" i="7"/>
  <c r="J925" i="7"/>
  <c r="I925" i="7"/>
  <c r="J1017" i="7"/>
  <c r="J1038" i="7"/>
  <c r="I1114" i="7"/>
  <c r="J1114" i="7"/>
  <c r="J1275" i="7"/>
  <c r="I1275" i="7"/>
  <c r="J1321" i="7"/>
  <c r="I1415" i="7"/>
  <c r="I1436" i="7"/>
  <c r="I1460" i="7"/>
  <c r="J1590" i="7"/>
  <c r="I1590" i="7"/>
  <c r="J2290" i="7"/>
  <c r="I2534" i="7"/>
  <c r="J2534" i="7"/>
  <c r="J957" i="7"/>
  <c r="I957" i="7"/>
  <c r="J1080" i="7"/>
  <c r="I1412" i="7"/>
  <c r="I2054" i="7"/>
  <c r="J3517" i="7"/>
  <c r="I3517" i="7"/>
  <c r="J903" i="7"/>
  <c r="J975" i="7"/>
  <c r="I978" i="7"/>
  <c r="I1039" i="7"/>
  <c r="J1193" i="7"/>
  <c r="J1271" i="7"/>
  <c r="I1315" i="7"/>
  <c r="J1326" i="7"/>
  <c r="I1380" i="7"/>
  <c r="I1384" i="7"/>
  <c r="J1522" i="7"/>
  <c r="J1550" i="7"/>
  <c r="J1960" i="7"/>
  <c r="I2040" i="7"/>
  <c r="J2118" i="7"/>
  <c r="I2191" i="7"/>
  <c r="J2197" i="7"/>
  <c r="I2212" i="7"/>
  <c r="I2315" i="7"/>
  <c r="I2329" i="7"/>
  <c r="I2393" i="7"/>
  <c r="I2529" i="7"/>
  <c r="J2574" i="7"/>
  <c r="J2674" i="7"/>
  <c r="I2674" i="7"/>
  <c r="I2856" i="7"/>
  <c r="J3477" i="7"/>
  <c r="I3477" i="7"/>
  <c r="I1239" i="7"/>
  <c r="I1364" i="7"/>
  <c r="I1452" i="7"/>
  <c r="I1920" i="7"/>
  <c r="J2606" i="7"/>
  <c r="I2606" i="7"/>
  <c r="J2848" i="7"/>
  <c r="J3007" i="7"/>
  <c r="I3299" i="7"/>
  <c r="J3299" i="7"/>
  <c r="J3435" i="7"/>
  <c r="I3435" i="7"/>
  <c r="J887" i="7"/>
  <c r="I962" i="7"/>
  <c r="J967" i="7"/>
  <c r="J979" i="7"/>
  <c r="J1171" i="7"/>
  <c r="J1350" i="7"/>
  <c r="J1388" i="7"/>
  <c r="J1410" i="7"/>
  <c r="I1475" i="7"/>
  <c r="J1596" i="7"/>
  <c r="J2033" i="7"/>
  <c r="J2117" i="7"/>
  <c r="I2190" i="7"/>
  <c r="J2267" i="7"/>
  <c r="J2598" i="7"/>
  <c r="J3360" i="7"/>
  <c r="I4058" i="7"/>
  <c r="J4400" i="7"/>
  <c r="I4423" i="7"/>
  <c r="J4610" i="7"/>
  <c r="I4610" i="7"/>
  <c r="I861" i="7"/>
  <c r="J1066" i="7"/>
  <c r="I1199" i="7"/>
  <c r="I1331" i="7"/>
  <c r="J1426" i="7"/>
  <c r="J2301" i="7"/>
  <c r="J2491" i="7"/>
  <c r="I2593" i="7"/>
  <c r="I2632" i="7"/>
  <c r="J2632" i="7"/>
  <c r="I3593" i="7"/>
  <c r="J3593" i="7"/>
  <c r="J838" i="7"/>
  <c r="J873" i="7"/>
  <c r="I875" i="7"/>
  <c r="I923" i="7"/>
  <c r="J963" i="7"/>
  <c r="J987" i="7"/>
  <c r="J1110" i="7"/>
  <c r="J1182" i="7"/>
  <c r="I1231" i="7"/>
  <c r="J1386" i="7"/>
  <c r="J1424" i="7"/>
  <c r="I1439" i="7"/>
  <c r="I1478" i="7"/>
  <c r="I1506" i="7"/>
  <c r="J1512" i="7"/>
  <c r="J1524" i="7"/>
  <c r="J1534" i="7"/>
  <c r="J1544" i="7"/>
  <c r="J1592" i="7"/>
  <c r="I1936" i="7"/>
  <c r="J2255" i="7"/>
  <c r="I3691" i="7"/>
  <c r="I1456" i="7"/>
  <c r="J1474" i="7"/>
  <c r="I2107" i="7"/>
  <c r="I2157" i="7"/>
  <c r="J2206" i="7"/>
  <c r="I2275" i="7"/>
  <c r="J2423" i="7"/>
  <c r="J2948" i="7"/>
  <c r="I3323" i="7"/>
  <c r="J3323" i="7"/>
  <c r="J3507" i="7"/>
  <c r="I3507" i="7"/>
  <c r="J4943" i="7"/>
  <c r="I4943" i="7"/>
  <c r="I1472" i="7"/>
  <c r="I2115" i="7"/>
  <c r="J2157" i="7"/>
  <c r="I2206" i="7"/>
  <c r="I2244" i="7"/>
  <c r="J2307" i="7"/>
  <c r="I2406" i="7"/>
  <c r="I2561" i="7"/>
  <c r="I2625" i="7"/>
  <c r="I2636" i="7"/>
  <c r="I3288" i="7"/>
  <c r="J3288" i="7"/>
  <c r="I3351" i="7"/>
  <c r="I2628" i="7"/>
  <c r="J2845" i="7"/>
  <c r="I3027" i="7"/>
  <c r="J3050" i="7"/>
  <c r="I3126" i="7"/>
  <c r="J3168" i="7"/>
  <c r="J3291" i="7"/>
  <c r="I3331" i="7"/>
  <c r="J3939" i="7"/>
  <c r="I3939" i="7"/>
  <c r="J3974" i="7"/>
  <c r="I4296" i="7"/>
  <c r="J4664" i="7"/>
  <c r="L140" i="9"/>
  <c r="E140" i="9"/>
  <c r="D140" i="9"/>
  <c r="K140" i="9"/>
  <c r="F140" i="9"/>
  <c r="L116" i="10"/>
  <c r="E116" i="10"/>
  <c r="G116" i="10" s="1"/>
  <c r="D116" i="10"/>
  <c r="K116" i="10"/>
  <c r="B116" i="10"/>
  <c r="I2987" i="7"/>
  <c r="I3058" i="7"/>
  <c r="I3506" i="7"/>
  <c r="J3506" i="7"/>
  <c r="I3521" i="7"/>
  <c r="I3541" i="7"/>
  <c r="I4057" i="7"/>
  <c r="J3958" i="7"/>
  <c r="I4063" i="7"/>
  <c r="J4063" i="7"/>
  <c r="J4225" i="7"/>
  <c r="I4225" i="7"/>
  <c r="I4315" i="7"/>
  <c r="J4405" i="7"/>
  <c r="J4408" i="7"/>
  <c r="I4408" i="7"/>
  <c r="J2338" i="7"/>
  <c r="I2453" i="7"/>
  <c r="I2621" i="7"/>
  <c r="J2760" i="7"/>
  <c r="I2964" i="7"/>
  <c r="J2988" i="7"/>
  <c r="J2996" i="7"/>
  <c r="I3036" i="7"/>
  <c r="I3064" i="7"/>
  <c r="I3079" i="7"/>
  <c r="J3122" i="7"/>
  <c r="I3246" i="7"/>
  <c r="J3384" i="7"/>
  <c r="J3521" i="7"/>
  <c r="I3527" i="7"/>
  <c r="J3698" i="7"/>
  <c r="J3821" i="7"/>
  <c r="J3963" i="7"/>
  <c r="I4020" i="7"/>
  <c r="J4524" i="7"/>
  <c r="I2545" i="7"/>
  <c r="I2566" i="7"/>
  <c r="J2590" i="7"/>
  <c r="I2783" i="7"/>
  <c r="J2791" i="7"/>
  <c r="J2851" i="7"/>
  <c r="J2972" i="7"/>
  <c r="J3179" i="7"/>
  <c r="I3287" i="7"/>
  <c r="I3454" i="7"/>
  <c r="J3471" i="7"/>
  <c r="I3613" i="7"/>
  <c r="J4177" i="7"/>
  <c r="J4648" i="7"/>
  <c r="E181" i="10"/>
  <c r="G181" i="10" s="1"/>
  <c r="D181" i="10"/>
  <c r="K145" i="10"/>
  <c r="L145" i="10"/>
  <c r="D145" i="10"/>
  <c r="B145" i="10"/>
  <c r="N162" i="10"/>
  <c r="E162" i="10"/>
  <c r="G162" i="10" s="1"/>
  <c r="D162" i="10"/>
  <c r="S99" i="11"/>
  <c r="AJ99" i="11"/>
  <c r="I2884" i="7"/>
  <c r="J2931" i="7"/>
  <c r="J2999" i="7"/>
  <c r="J3088" i="7"/>
  <c r="J3228" i="7"/>
  <c r="I3244" i="7"/>
  <c r="J3372" i="7"/>
  <c r="I3459" i="7"/>
  <c r="I3479" i="7"/>
  <c r="I3588" i="7"/>
  <c r="J3606" i="7"/>
  <c r="I3966" i="7"/>
  <c r="I4117" i="7"/>
  <c r="I4542" i="7"/>
  <c r="N94" i="10"/>
  <c r="B94" i="10"/>
  <c r="I2474" i="7"/>
  <c r="I3570" i="7"/>
  <c r="J3570" i="7"/>
  <c r="J4751" i="7"/>
  <c r="I4751" i="7"/>
  <c r="L104" i="9"/>
  <c r="E104" i="9"/>
  <c r="B104" i="9"/>
  <c r="H3" i="10"/>
  <c r="F3" i="10"/>
  <c r="I4982" i="7"/>
  <c r="J4982" i="7"/>
  <c r="J2357" i="7"/>
  <c r="J2386" i="7"/>
  <c r="J2409" i="7"/>
  <c r="I2449" i="7"/>
  <c r="I2459" i="7"/>
  <c r="J2810" i="7"/>
  <c r="J2815" i="7"/>
  <c r="J2908" i="7"/>
  <c r="J3156" i="7"/>
  <c r="J3216" i="7"/>
  <c r="I3303" i="7"/>
  <c r="J3351" i="7"/>
  <c r="I3356" i="7"/>
  <c r="J3419" i="7"/>
  <c r="I3439" i="7"/>
  <c r="I3446" i="7"/>
  <c r="I3681" i="7"/>
  <c r="I3927" i="7"/>
  <c r="I4121" i="7"/>
  <c r="I4562" i="7"/>
  <c r="J2690" i="7"/>
  <c r="I2896" i="7"/>
  <c r="J2947" i="7"/>
  <c r="J2971" i="7"/>
  <c r="I3063" i="7"/>
  <c r="J3268" i="7"/>
  <c r="I3404" i="7"/>
  <c r="J3495" i="7"/>
  <c r="I3557" i="7"/>
  <c r="I3665" i="7"/>
  <c r="I3769" i="7"/>
  <c r="I3979" i="7"/>
  <c r="J3979" i="7"/>
  <c r="J4194" i="7"/>
  <c r="I4194" i="7"/>
  <c r="I4543" i="7"/>
  <c r="E88" i="9"/>
  <c r="D88" i="9"/>
  <c r="F122" i="9"/>
  <c r="E122" i="9"/>
  <c r="D122" i="9"/>
  <c r="C122" i="9"/>
  <c r="B122" i="9"/>
  <c r="F188" i="9"/>
  <c r="K188" i="9"/>
  <c r="E188" i="9"/>
  <c r="L61" i="10"/>
  <c r="K61" i="10"/>
  <c r="B102" i="10"/>
  <c r="N102" i="10"/>
  <c r="M102" i="10" s="1"/>
  <c r="L102" i="10"/>
  <c r="K102" i="10"/>
  <c r="AC22" i="11"/>
  <c r="W22" i="11"/>
  <c r="E22" i="11"/>
  <c r="AB22" i="5" s="1"/>
  <c r="AP22" i="5" s="1"/>
  <c r="V22" i="11"/>
  <c r="D22" i="11"/>
  <c r="AL22" i="11"/>
  <c r="S22" i="11"/>
  <c r="C22" i="11"/>
  <c r="AJ22" i="11"/>
  <c r="R22" i="11"/>
  <c r="Q22" i="5" s="1"/>
  <c r="B22" i="11"/>
  <c r="AE22" i="11"/>
  <c r="N22" i="11"/>
  <c r="AD22" i="11"/>
  <c r="L22" i="11"/>
  <c r="AB22" i="11"/>
  <c r="AA22" i="11"/>
  <c r="Z22" i="11"/>
  <c r="X22" i="11"/>
  <c r="Q22" i="11"/>
  <c r="J22" i="11"/>
  <c r="I22" i="11"/>
  <c r="Y36" i="11"/>
  <c r="X36" i="11"/>
  <c r="F36" i="11"/>
  <c r="W36" i="11"/>
  <c r="E36" i="11"/>
  <c r="V36" i="11"/>
  <c r="C36" i="11"/>
  <c r="AL36" i="11"/>
  <c r="T36" i="11"/>
  <c r="B36" i="11"/>
  <c r="AI36" i="11"/>
  <c r="N36" i="11"/>
  <c r="O36" i="5" s="1"/>
  <c r="AH36" i="11"/>
  <c r="M36" i="11"/>
  <c r="AJ36" i="11"/>
  <c r="AE36" i="11"/>
  <c r="AC36" i="11"/>
  <c r="AA36" i="11"/>
  <c r="Z36" i="11"/>
  <c r="L36" i="11"/>
  <c r="K36" i="11"/>
  <c r="M209" i="15"/>
  <c r="N209" i="15"/>
  <c r="L209" i="15"/>
  <c r="I3670" i="7"/>
  <c r="I3801" i="7"/>
  <c r="J4028" i="7"/>
  <c r="J4207" i="7"/>
  <c r="I4514" i="7"/>
  <c r="I4519" i="7"/>
  <c r="J4565" i="7"/>
  <c r="I4570" i="7"/>
  <c r="J4605" i="7"/>
  <c r="J4615" i="7"/>
  <c r="I4948" i="7"/>
  <c r="J11" i="8"/>
  <c r="J64" i="8"/>
  <c r="J70" i="8"/>
  <c r="J110" i="8"/>
  <c r="J142" i="8"/>
  <c r="J175" i="8"/>
  <c r="L44" i="9"/>
  <c r="K44" i="9"/>
  <c r="F44" i="9"/>
  <c r="C44" i="9"/>
  <c r="B44" i="9"/>
  <c r="F51" i="9"/>
  <c r="E51" i="9"/>
  <c r="B88" i="9"/>
  <c r="L116" i="9"/>
  <c r="E116" i="9"/>
  <c r="B116" i="9"/>
  <c r="K122" i="9"/>
  <c r="L128" i="9"/>
  <c r="K128" i="9"/>
  <c r="F128" i="9"/>
  <c r="E128" i="9"/>
  <c r="E154" i="9"/>
  <c r="D154" i="9"/>
  <c r="C154" i="9"/>
  <c r="K32" i="10"/>
  <c r="B61" i="10"/>
  <c r="D102" i="10"/>
  <c r="B187" i="10"/>
  <c r="D187" i="10"/>
  <c r="I196" i="10"/>
  <c r="G22" i="11"/>
  <c r="G36" i="11"/>
  <c r="Z120" i="11"/>
  <c r="Y120" i="11"/>
  <c r="K120" i="11"/>
  <c r="AJ120" i="11"/>
  <c r="X120" i="11"/>
  <c r="AK120" i="11"/>
  <c r="H120" i="11"/>
  <c r="J4831" i="7"/>
  <c r="I4996" i="7"/>
  <c r="N44" i="9"/>
  <c r="C88" i="9"/>
  <c r="N110" i="9"/>
  <c r="L122" i="9"/>
  <c r="M18" i="10"/>
  <c r="D61" i="10"/>
  <c r="N158" i="10"/>
  <c r="K158" i="10"/>
  <c r="D158" i="10"/>
  <c r="K22" i="11"/>
  <c r="H36" i="11"/>
  <c r="G120" i="11"/>
  <c r="AD177" i="11"/>
  <c r="L177" i="11"/>
  <c r="K177" i="11"/>
  <c r="G177" i="11"/>
  <c r="AK177" i="11"/>
  <c r="F177" i="11"/>
  <c r="AC177" i="11"/>
  <c r="AJ177" i="11"/>
  <c r="AI177" i="11"/>
  <c r="S177" i="11"/>
  <c r="R177" i="11"/>
  <c r="M177" i="11"/>
  <c r="E177" i="11"/>
  <c r="Q118" i="12"/>
  <c r="Z118" i="12"/>
  <c r="AA118" i="12"/>
  <c r="R118" i="12"/>
  <c r="R129" i="13"/>
  <c r="O129" i="13"/>
  <c r="T129" i="13"/>
  <c r="B130" i="12"/>
  <c r="A227" i="15"/>
  <c r="U175" i="13"/>
  <c r="T175" i="13"/>
  <c r="S175" i="13"/>
  <c r="O175" i="13"/>
  <c r="N175" i="13"/>
  <c r="V175" i="13"/>
  <c r="Q175" i="13"/>
  <c r="P175" i="13"/>
  <c r="M198" i="15"/>
  <c r="O198" i="15"/>
  <c r="N198" i="15"/>
  <c r="K198" i="15"/>
  <c r="Q251" i="15"/>
  <c r="P251" i="15"/>
  <c r="J4091" i="7"/>
  <c r="J4134" i="7"/>
  <c r="I4157" i="7"/>
  <c r="J4173" i="7"/>
  <c r="I4538" i="7"/>
  <c r="J4632" i="7"/>
  <c r="I4775" i="7"/>
  <c r="J4907" i="7"/>
  <c r="J4948" i="7"/>
  <c r="J5" i="8"/>
  <c r="J8" i="8"/>
  <c r="D22" i="9"/>
  <c r="F22" i="9"/>
  <c r="E22" i="9"/>
  <c r="E44" i="9"/>
  <c r="F52" i="9"/>
  <c r="E52" i="9"/>
  <c r="B52" i="9"/>
  <c r="L63" i="9"/>
  <c r="E63" i="9"/>
  <c r="D63" i="9"/>
  <c r="F88" i="9"/>
  <c r="E111" i="9"/>
  <c r="L111" i="9"/>
  <c r="K111" i="9"/>
  <c r="F111" i="9"/>
  <c r="C111" i="9"/>
  <c r="B111" i="9"/>
  <c r="K116" i="9"/>
  <c r="D123" i="9"/>
  <c r="L123" i="9"/>
  <c r="E123" i="9"/>
  <c r="B123" i="9"/>
  <c r="K197" i="9"/>
  <c r="D197" i="9"/>
  <c r="P22" i="11"/>
  <c r="R36" i="11"/>
  <c r="Q36" i="5" s="1"/>
  <c r="AD61" i="11"/>
  <c r="AG61" i="11"/>
  <c r="AC61" i="11"/>
  <c r="V61" i="11"/>
  <c r="T61" i="11"/>
  <c r="O61" i="11"/>
  <c r="E61" i="11"/>
  <c r="AI61" i="11"/>
  <c r="R61" i="11"/>
  <c r="AC119" i="12"/>
  <c r="Q119" i="12"/>
  <c r="V119" i="12"/>
  <c r="J3656" i="7"/>
  <c r="I3668" i="7"/>
  <c r="I3785" i="7"/>
  <c r="J4252" i="7"/>
  <c r="J4773" i="7"/>
  <c r="J4895" i="7"/>
  <c r="I4920" i="7"/>
  <c r="J32" i="8"/>
  <c r="J58" i="8"/>
  <c r="J84" i="8"/>
  <c r="J87" i="8"/>
  <c r="J154" i="8"/>
  <c r="L18" i="9"/>
  <c r="F18" i="9"/>
  <c r="L38" i="9"/>
  <c r="E38" i="9"/>
  <c r="D38" i="9"/>
  <c r="C63" i="9"/>
  <c r="F123" i="9"/>
  <c r="B130" i="9"/>
  <c r="L135" i="9"/>
  <c r="K135" i="9"/>
  <c r="Q135" i="9" s="1"/>
  <c r="F135" i="9"/>
  <c r="C135" i="9"/>
  <c r="B135" i="9"/>
  <c r="I62" i="10"/>
  <c r="B62" i="10"/>
  <c r="I91" i="10"/>
  <c r="D151" i="10"/>
  <c r="B151" i="10"/>
  <c r="E151" i="10"/>
  <c r="F163" i="10"/>
  <c r="AA4" i="11"/>
  <c r="J4" i="11"/>
  <c r="C4" i="11"/>
  <c r="B4" i="11"/>
  <c r="B6" i="1" s="1"/>
  <c r="AB4" i="11"/>
  <c r="V4" i="11"/>
  <c r="R4" i="11"/>
  <c r="P4" i="11"/>
  <c r="AG22" i="11"/>
  <c r="S36" i="11"/>
  <c r="AL58" i="11"/>
  <c r="AD58" i="11"/>
  <c r="L58" i="11"/>
  <c r="AB58" i="11"/>
  <c r="K58" i="11"/>
  <c r="D60" i="1" s="1"/>
  <c r="AA58" i="11"/>
  <c r="J58" i="11"/>
  <c r="Z58" i="11"/>
  <c r="G58" i="11"/>
  <c r="C60" i="1" s="1"/>
  <c r="U58" i="11"/>
  <c r="D58" i="11"/>
  <c r="AJ58" i="11"/>
  <c r="S58" i="11"/>
  <c r="F60" i="1" s="1"/>
  <c r="C58" i="11"/>
  <c r="Q58" i="11"/>
  <c r="P58" i="11"/>
  <c r="N58" i="11"/>
  <c r="O58" i="5" s="1"/>
  <c r="F58" i="11"/>
  <c r="E58" i="11"/>
  <c r="AB58" i="5" s="1"/>
  <c r="AP58" i="5" s="1"/>
  <c r="AG58" i="11"/>
  <c r="AE58" i="11"/>
  <c r="C61" i="11"/>
  <c r="AK107" i="11"/>
  <c r="AG107" i="11"/>
  <c r="Y107" i="11"/>
  <c r="R107" i="11"/>
  <c r="AE177" i="11"/>
  <c r="Q123" i="9"/>
  <c r="E58" i="10"/>
  <c r="G58" i="10" s="1"/>
  <c r="I58" i="10"/>
  <c r="B58" i="10"/>
  <c r="AH22" i="11"/>
  <c r="AK36" i="11"/>
  <c r="Z138" i="11"/>
  <c r="T138" i="11"/>
  <c r="E138" i="11"/>
  <c r="AJ147" i="11"/>
  <c r="M147" i="11"/>
  <c r="X147" i="11"/>
  <c r="R147" i="11"/>
  <c r="R120" i="13"/>
  <c r="V120" i="13"/>
  <c r="U120" i="13"/>
  <c r="P120" i="13"/>
  <c r="O120" i="13"/>
  <c r="S120" i="13"/>
  <c r="Q120" i="13"/>
  <c r="N120" i="13"/>
  <c r="B121" i="12"/>
  <c r="B120" i="13"/>
  <c r="J147" i="8"/>
  <c r="F55" i="9"/>
  <c r="E55" i="9"/>
  <c r="E86" i="9"/>
  <c r="L86" i="9"/>
  <c r="C86" i="9"/>
  <c r="B86" i="9"/>
  <c r="D106" i="9"/>
  <c r="C106" i="9"/>
  <c r="E151" i="9"/>
  <c r="D151" i="9"/>
  <c r="F170" i="9"/>
  <c r="E170" i="9"/>
  <c r="F191" i="9"/>
  <c r="K191" i="9"/>
  <c r="D191" i="9"/>
  <c r="I16" i="10"/>
  <c r="N58" i="10"/>
  <c r="D211" i="10"/>
  <c r="Z32" i="11"/>
  <c r="AE62" i="11"/>
  <c r="AD62" i="11"/>
  <c r="N62" i="11"/>
  <c r="M62" i="11"/>
  <c r="S62" i="11"/>
  <c r="P62" i="11"/>
  <c r="I62" i="11"/>
  <c r="AK135" i="11"/>
  <c r="S135" i="11"/>
  <c r="Q135" i="11"/>
  <c r="H135" i="11"/>
  <c r="AL135" i="11"/>
  <c r="AF135" i="11"/>
  <c r="L135" i="11"/>
  <c r="E135" i="11"/>
  <c r="AA135" i="11"/>
  <c r="Z135" i="11"/>
  <c r="AJ157" i="11"/>
  <c r="Q157" i="11"/>
  <c r="N157" i="11"/>
  <c r="C157" i="11"/>
  <c r="AD157" i="11"/>
  <c r="V157" i="11"/>
  <c r="T157" i="11"/>
  <c r="J157" i="11"/>
  <c r="R116" i="13"/>
  <c r="S116" i="13"/>
  <c r="Q116" i="13"/>
  <c r="P116" i="13"/>
  <c r="B116" i="13"/>
  <c r="O116" i="13"/>
  <c r="N116" i="13"/>
  <c r="U116" i="13"/>
  <c r="V116" i="13"/>
  <c r="B134" i="13"/>
  <c r="B135" i="12"/>
  <c r="N187" i="13"/>
  <c r="B188" i="12"/>
  <c r="J3833" i="7"/>
  <c r="J3947" i="7"/>
  <c r="J4143" i="7"/>
  <c r="J4148" i="7"/>
  <c r="I4330" i="7"/>
  <c r="J4333" i="7"/>
  <c r="J4380" i="7"/>
  <c r="J4388" i="7"/>
  <c r="I4447" i="7"/>
  <c r="J4468" i="7"/>
  <c r="J4526" i="7"/>
  <c r="J4625" i="7"/>
  <c r="J4635" i="7"/>
  <c r="J4744" i="7"/>
  <c r="J4840" i="7"/>
  <c r="J4848" i="7"/>
  <c r="J4888" i="7"/>
  <c r="I4965" i="7"/>
  <c r="J9" i="8"/>
  <c r="J51" i="8"/>
  <c r="J125" i="8"/>
  <c r="J144" i="8"/>
  <c r="J155" i="8"/>
  <c r="F38" i="9"/>
  <c r="E46" i="9"/>
  <c r="D46" i="9"/>
  <c r="C46" i="9"/>
  <c r="C55" i="9"/>
  <c r="D70" i="9"/>
  <c r="C70" i="9"/>
  <c r="L74" i="9"/>
  <c r="D74" i="9"/>
  <c r="C74" i="9"/>
  <c r="B74" i="9"/>
  <c r="F86" i="9"/>
  <c r="D95" i="9"/>
  <c r="K144" i="9"/>
  <c r="F144" i="9"/>
  <c r="B144" i="9"/>
  <c r="C151" i="9"/>
  <c r="L171" i="9"/>
  <c r="K171" i="9"/>
  <c r="C191" i="9"/>
  <c r="M144" i="10"/>
  <c r="R13" i="11"/>
  <c r="Q13" i="11"/>
  <c r="L13" i="11"/>
  <c r="AF13" i="11"/>
  <c r="F13" i="11"/>
  <c r="AC13" i="11"/>
  <c r="D13" i="11"/>
  <c r="Y13" i="11"/>
  <c r="X13" i="11"/>
  <c r="W13" i="11"/>
  <c r="J13" i="11"/>
  <c r="I13" i="11"/>
  <c r="AC47" i="11"/>
  <c r="AH47" i="11"/>
  <c r="O47" i="11"/>
  <c r="N47" i="11"/>
  <c r="H62" i="11"/>
  <c r="C135" i="11"/>
  <c r="S97" i="12"/>
  <c r="AC97" i="12"/>
  <c r="AB97" i="12"/>
  <c r="J3572" i="7"/>
  <c r="J3631" i="7"/>
  <c r="I3638" i="7"/>
  <c r="J3710" i="7"/>
  <c r="I3761" i="7"/>
  <c r="I4003" i="7"/>
  <c r="I4050" i="7"/>
  <c r="I4089" i="7"/>
  <c r="J4111" i="7"/>
  <c r="J4211" i="7"/>
  <c r="I4221" i="7"/>
  <c r="I4287" i="7"/>
  <c r="I4361" i="7"/>
  <c r="I4462" i="7"/>
  <c r="J4679" i="7"/>
  <c r="I4755" i="7"/>
  <c r="J4758" i="7"/>
  <c r="I4827" i="7"/>
  <c r="I4835" i="7"/>
  <c r="I4875" i="7"/>
  <c r="J19" i="8"/>
  <c r="D55" i="9"/>
  <c r="K86" i="9"/>
  <c r="F103" i="9"/>
  <c r="L103" i="9"/>
  <c r="K103" i="9"/>
  <c r="L108" i="9"/>
  <c r="K108" i="9"/>
  <c r="I101" i="10"/>
  <c r="N101" i="10"/>
  <c r="AA5" i="11"/>
  <c r="Z6" i="12" s="1"/>
  <c r="V5" i="11"/>
  <c r="N5" i="11"/>
  <c r="L5" i="11"/>
  <c r="AJ5" i="11"/>
  <c r="AI5" i="11"/>
  <c r="K5" i="11"/>
  <c r="AH29" i="11"/>
  <c r="Q29" i="11"/>
  <c r="P29" i="11"/>
  <c r="H29" i="11"/>
  <c r="G29" i="11"/>
  <c r="AK29" i="11"/>
  <c r="AJ29" i="11"/>
  <c r="AB29" i="11"/>
  <c r="AA29" i="11"/>
  <c r="AH154" i="11"/>
  <c r="J154" i="11"/>
  <c r="AJ154" i="11"/>
  <c r="E154" i="11"/>
  <c r="AB154" i="5" s="1"/>
  <c r="AC154" i="5" s="1"/>
  <c r="AC154" i="11"/>
  <c r="C154" i="11"/>
  <c r="V154" i="11"/>
  <c r="AI154" i="11"/>
  <c r="AB154" i="11"/>
  <c r="AA154" i="11"/>
  <c r="M154" i="11"/>
  <c r="L154" i="11"/>
  <c r="W154" i="11"/>
  <c r="P154" i="11"/>
  <c r="K154" i="11"/>
  <c r="J3000" i="7"/>
  <c r="I3022" i="7"/>
  <c r="I3030" i="7"/>
  <c r="J3431" i="7"/>
  <c r="I3525" i="7"/>
  <c r="I3545" i="7"/>
  <c r="J3605" i="7"/>
  <c r="I3617" i="7"/>
  <c r="I3659" i="7"/>
  <c r="I3661" i="7"/>
  <c r="I3693" i="7"/>
  <c r="J3702" i="7"/>
  <c r="I3713" i="7"/>
  <c r="J3729" i="7"/>
  <c r="J3817" i="7"/>
  <c r="I3833" i="7"/>
  <c r="I3909" i="7"/>
  <c r="J3950" i="7"/>
  <c r="J4027" i="7"/>
  <c r="I4034" i="7"/>
  <c r="J4094" i="7"/>
  <c r="J4169" i="7"/>
  <c r="I4269" i="7"/>
  <c r="I4380" i="7"/>
  <c r="I4577" i="7"/>
  <c r="J4612" i="7"/>
  <c r="J4711" i="7"/>
  <c r="J4830" i="7"/>
  <c r="I4888" i="7"/>
  <c r="I4924" i="7"/>
  <c r="J4960" i="7"/>
  <c r="J41" i="8"/>
  <c r="J112" i="8"/>
  <c r="C35" i="9"/>
  <c r="B35" i="9"/>
  <c r="L97" i="9"/>
  <c r="K97" i="9"/>
  <c r="F97" i="9"/>
  <c r="E97" i="9"/>
  <c r="D97" i="9"/>
  <c r="N97" i="9" s="1"/>
  <c r="C103" i="9"/>
  <c r="B64" i="10"/>
  <c r="K101" i="10"/>
  <c r="L110" i="10"/>
  <c r="N123" i="10"/>
  <c r="K123" i="10"/>
  <c r="D123" i="10"/>
  <c r="B123" i="10"/>
  <c r="N141" i="10"/>
  <c r="K141" i="10"/>
  <c r="D141" i="10"/>
  <c r="K173" i="10"/>
  <c r="L173" i="10"/>
  <c r="N173" i="10"/>
  <c r="E173" i="10"/>
  <c r="G173" i="10" s="1"/>
  <c r="AB13" i="11"/>
  <c r="S29" i="11"/>
  <c r="AC43" i="11"/>
  <c r="AH43" i="11"/>
  <c r="Q43" i="11"/>
  <c r="L43" i="11"/>
  <c r="AG43" i="11"/>
  <c r="AF43" i="11"/>
  <c r="AH58" i="11"/>
  <c r="D154" i="11"/>
  <c r="Z38" i="12"/>
  <c r="T38" i="12"/>
  <c r="Y81" i="12"/>
  <c r="U81" i="12"/>
  <c r="S81" i="12"/>
  <c r="R81" i="12"/>
  <c r="AA81" i="12"/>
  <c r="Z81" i="12"/>
  <c r="W81" i="12"/>
  <c r="AC81" i="12"/>
  <c r="Q81" i="12"/>
  <c r="X81" i="12"/>
  <c r="T81" i="12"/>
  <c r="I3533" i="7"/>
  <c r="I3631" i="7"/>
  <c r="J3647" i="7"/>
  <c r="J3761" i="7"/>
  <c r="I4053" i="7"/>
  <c r="I4095" i="7"/>
  <c r="I4214" i="7"/>
  <c r="J4450" i="7"/>
  <c r="J82" i="8"/>
  <c r="J86" i="8"/>
  <c r="J99" i="8"/>
  <c r="J137" i="8"/>
  <c r="J152" i="8"/>
  <c r="J196" i="8"/>
  <c r="L92" i="9"/>
  <c r="D92" i="9"/>
  <c r="C92" i="9"/>
  <c r="D121" i="9"/>
  <c r="C121" i="9"/>
  <c r="E127" i="9"/>
  <c r="D127" i="9"/>
  <c r="N119" i="10"/>
  <c r="E119" i="10"/>
  <c r="G119" i="10" s="1"/>
  <c r="N195" i="10"/>
  <c r="B195" i="10"/>
  <c r="D195" i="10"/>
  <c r="AI13" i="11"/>
  <c r="AE24" i="11"/>
  <c r="T24" i="11"/>
  <c r="O24" i="11"/>
  <c r="AI24" i="11"/>
  <c r="AI58" i="11"/>
  <c r="AH65" i="11"/>
  <c r="X65" i="11"/>
  <c r="U65" i="11"/>
  <c r="O65" i="11"/>
  <c r="N65" i="11"/>
  <c r="G65" i="11"/>
  <c r="B65" i="11"/>
  <c r="AL65" i="11"/>
  <c r="AK65" i="11"/>
  <c r="L65" i="11"/>
  <c r="J65" i="11"/>
  <c r="M65" i="5" s="1"/>
  <c r="AT65" i="5" s="1"/>
  <c r="S192" i="11"/>
  <c r="AL192" i="11"/>
  <c r="AC192" i="11"/>
  <c r="W192" i="11"/>
  <c r="AG192" i="11"/>
  <c r="N192" i="11"/>
  <c r="L192" i="11"/>
  <c r="I192" i="11"/>
  <c r="K75" i="9"/>
  <c r="Q75" i="9" s="1"/>
  <c r="F110" i="9"/>
  <c r="K190" i="9"/>
  <c r="I80" i="10"/>
  <c r="D203" i="10"/>
  <c r="N203" i="10"/>
  <c r="L203" i="10"/>
  <c r="T6" i="11"/>
  <c r="I14" i="11"/>
  <c r="H14" i="11"/>
  <c r="AL14" i="11"/>
  <c r="C14" i="11"/>
  <c r="AE14" i="11"/>
  <c r="W14" i="11"/>
  <c r="AL16" i="11"/>
  <c r="AB16" i="11"/>
  <c r="K16" i="11"/>
  <c r="AA16" i="11"/>
  <c r="J16" i="11"/>
  <c r="Z16" i="11"/>
  <c r="G16" i="11"/>
  <c r="X16" i="11"/>
  <c r="F16" i="11"/>
  <c r="AJ16" i="11"/>
  <c r="S16" i="11"/>
  <c r="C16" i="11"/>
  <c r="AI16" i="11"/>
  <c r="R16" i="11"/>
  <c r="B16" i="11"/>
  <c r="AH16" i="11"/>
  <c r="S39" i="11"/>
  <c r="AI39" i="11"/>
  <c r="U39" i="11"/>
  <c r="R69" i="11"/>
  <c r="AL69" i="11"/>
  <c r="AE69" i="11"/>
  <c r="N69" i="11"/>
  <c r="M69" i="11"/>
  <c r="AJ85" i="11"/>
  <c r="H85" i="11"/>
  <c r="AG85" i="11"/>
  <c r="E85" i="11"/>
  <c r="W85" i="11"/>
  <c r="AC85" i="11"/>
  <c r="AA85" i="11"/>
  <c r="V85" i="11"/>
  <c r="U85" i="11"/>
  <c r="P85" i="11"/>
  <c r="F85" i="11"/>
  <c r="D85" i="11"/>
  <c r="S126" i="12"/>
  <c r="AB126" i="12"/>
  <c r="R126" i="12"/>
  <c r="X126" i="12"/>
  <c r="O38" i="13"/>
  <c r="Q38" i="13"/>
  <c r="B39" i="12"/>
  <c r="P38" i="13"/>
  <c r="T45" i="13"/>
  <c r="V45" i="13"/>
  <c r="U45" i="13"/>
  <c r="R45" i="13"/>
  <c r="B46" i="12"/>
  <c r="B45" i="13"/>
  <c r="W56" i="13"/>
  <c r="P56" i="13"/>
  <c r="O56" i="13"/>
  <c r="B57" i="12"/>
  <c r="Q56" i="13"/>
  <c r="B56" i="13"/>
  <c r="J71" i="8"/>
  <c r="J96" i="8"/>
  <c r="J106" i="8"/>
  <c r="J148" i="8"/>
  <c r="J193" i="8"/>
  <c r="B40" i="9"/>
  <c r="L75" i="9"/>
  <c r="B100" i="9"/>
  <c r="K110" i="9"/>
  <c r="C186" i="9"/>
  <c r="L190" i="9"/>
  <c r="B45" i="10"/>
  <c r="N74" i="10"/>
  <c r="B80" i="10"/>
  <c r="E89" i="10"/>
  <c r="G89" i="10" s="1"/>
  <c r="L95" i="10"/>
  <c r="D131" i="10"/>
  <c r="F131" i="10" s="1"/>
  <c r="U6" i="11"/>
  <c r="Z10" i="11"/>
  <c r="X10" i="11"/>
  <c r="R10" i="11"/>
  <c r="J14" i="11"/>
  <c r="M14" i="5" s="1"/>
  <c r="AT14" i="5" s="1"/>
  <c r="D16" i="11"/>
  <c r="K39" i="11"/>
  <c r="S41" i="11"/>
  <c r="V52" i="11"/>
  <c r="Q52" i="5" s="1"/>
  <c r="BB52" i="5" s="1"/>
  <c r="AG52" i="11"/>
  <c r="AD52" i="11"/>
  <c r="S52" i="11"/>
  <c r="G52" i="11"/>
  <c r="E52" i="11"/>
  <c r="K69" i="11"/>
  <c r="AJ81" i="11"/>
  <c r="AL81" i="11"/>
  <c r="AI81" i="11"/>
  <c r="AD81" i="11"/>
  <c r="W81" i="11"/>
  <c r="K81" i="11"/>
  <c r="F81" i="11"/>
  <c r="J85" i="11"/>
  <c r="D92" i="11"/>
  <c r="M92" i="11"/>
  <c r="F92" i="11"/>
  <c r="AI153" i="11"/>
  <c r="Y153" i="11"/>
  <c r="AC153" i="11"/>
  <c r="Z153" i="11"/>
  <c r="O153" i="11"/>
  <c r="G153" i="11"/>
  <c r="E153" i="11"/>
  <c r="AA180" i="11"/>
  <c r="H180" i="11"/>
  <c r="Z180" i="11"/>
  <c r="G180" i="11"/>
  <c r="X180" i="11"/>
  <c r="D180" i="11"/>
  <c r="W180" i="11"/>
  <c r="C180" i="11"/>
  <c r="AJ180" i="11"/>
  <c r="N180" i="11"/>
  <c r="AG180" i="11"/>
  <c r="AD180" i="11"/>
  <c r="AC180" i="11"/>
  <c r="U180" i="11"/>
  <c r="T180" i="11"/>
  <c r="K180" i="11"/>
  <c r="J180" i="11"/>
  <c r="F199" i="12"/>
  <c r="X198" i="11"/>
  <c r="I198" i="11"/>
  <c r="AL198" i="11"/>
  <c r="V198" i="11"/>
  <c r="G198" i="11"/>
  <c r="C200" i="1" s="1"/>
  <c r="AJ198" i="11"/>
  <c r="U198" i="11"/>
  <c r="F198" i="11"/>
  <c r="AE198" i="11"/>
  <c r="N198" i="11"/>
  <c r="O198" i="5" s="1"/>
  <c r="AC198" i="11"/>
  <c r="L198" i="11"/>
  <c r="AI198" i="11"/>
  <c r="J198" i="11"/>
  <c r="M198" i="5" s="1"/>
  <c r="AT198" i="5" s="1"/>
  <c r="AH198" i="11"/>
  <c r="H198" i="11"/>
  <c r="AG198" i="11"/>
  <c r="E198" i="11"/>
  <c r="AB198" i="5" s="1"/>
  <c r="AP198" i="5" s="1"/>
  <c r="AF198" i="11"/>
  <c r="C198" i="11"/>
  <c r="T198" i="11"/>
  <c r="W198" i="11"/>
  <c r="G200" i="1" s="1"/>
  <c r="S198" i="11"/>
  <c r="F200" i="1" s="1"/>
  <c r="R198" i="11"/>
  <c r="Q198" i="11"/>
  <c r="K198" i="11"/>
  <c r="D200" i="1" s="1"/>
  <c r="Y16" i="12"/>
  <c r="R16" i="12"/>
  <c r="AB16" i="12"/>
  <c r="AA16" i="12"/>
  <c r="AC89" i="12"/>
  <c r="V89" i="12"/>
  <c r="S89" i="12"/>
  <c r="AB89" i="12"/>
  <c r="AA89" i="12"/>
  <c r="W89" i="12"/>
  <c r="R89" i="12"/>
  <c r="Q89" i="12"/>
  <c r="I52" i="10"/>
  <c r="I99" i="10"/>
  <c r="B152" i="10"/>
  <c r="D152" i="10"/>
  <c r="AF86" i="11"/>
  <c r="F86" i="11"/>
  <c r="AB86" i="11"/>
  <c r="Y86" i="11"/>
  <c r="Z102" i="11"/>
  <c r="J102" i="11"/>
  <c r="AH108" i="11"/>
  <c r="Z108" i="11"/>
  <c r="AG108" i="11"/>
  <c r="T108" i="11"/>
  <c r="AF193" i="11"/>
  <c r="S193" i="11"/>
  <c r="L193" i="11"/>
  <c r="AH193" i="11"/>
  <c r="H193" i="11"/>
  <c r="Z59" i="12"/>
  <c r="T59" i="12"/>
  <c r="S59" i="12"/>
  <c r="J10" i="8"/>
  <c r="J81" i="8"/>
  <c r="B48" i="9"/>
  <c r="E56" i="9"/>
  <c r="E61" i="9"/>
  <c r="E68" i="9"/>
  <c r="C71" i="9"/>
  <c r="C115" i="9"/>
  <c r="C179" i="9"/>
  <c r="D18" i="10"/>
  <c r="B44" i="10"/>
  <c r="B72" i="10"/>
  <c r="B96" i="10"/>
  <c r="B115" i="10"/>
  <c r="B127" i="10"/>
  <c r="B129" i="10"/>
  <c r="L131" i="10"/>
  <c r="B139" i="10"/>
  <c r="E152" i="10"/>
  <c r="G152" i="10" s="1"/>
  <c r="AH6" i="11"/>
  <c r="AH10" i="11"/>
  <c r="AF14" i="11"/>
  <c r="P16" i="11"/>
  <c r="M25" i="11"/>
  <c r="U25" i="11"/>
  <c r="O25" i="11"/>
  <c r="I25" i="11"/>
  <c r="F25" i="11"/>
  <c r="AK25" i="11"/>
  <c r="AI40" i="11"/>
  <c r="AH40" i="11"/>
  <c r="F40" i="11"/>
  <c r="AG40" i="11"/>
  <c r="E40" i="11"/>
  <c r="AB40" i="5" s="1"/>
  <c r="AP40" i="5" s="1"/>
  <c r="AA40" i="11"/>
  <c r="D40" i="11"/>
  <c r="Z40" i="11"/>
  <c r="B40" i="11"/>
  <c r="U40" i="11"/>
  <c r="S40" i="11"/>
  <c r="AK48" i="11"/>
  <c r="W48" i="11"/>
  <c r="Q81" i="11"/>
  <c r="T86" i="11"/>
  <c r="W102" i="11"/>
  <c r="S108" i="11"/>
  <c r="AH180" i="11"/>
  <c r="C199" i="11"/>
  <c r="X199" i="11"/>
  <c r="S199" i="11"/>
  <c r="H199" i="11"/>
  <c r="Y32" i="12"/>
  <c r="Z32" i="12"/>
  <c r="V32" i="12"/>
  <c r="T32" i="12"/>
  <c r="S32" i="12"/>
  <c r="AA32" i="12"/>
  <c r="W32" i="12"/>
  <c r="Q32" i="12"/>
  <c r="O84" i="13"/>
  <c r="N84" i="13"/>
  <c r="S84" i="13"/>
  <c r="B85" i="12"/>
  <c r="P84" i="13"/>
  <c r="J4999" i="7"/>
  <c r="J53" i="8"/>
  <c r="J91" i="8"/>
  <c r="J123" i="8"/>
  <c r="J132" i="8"/>
  <c r="F48" i="9"/>
  <c r="F61" i="9"/>
  <c r="D71" i="9"/>
  <c r="B87" i="9"/>
  <c r="C91" i="9"/>
  <c r="B93" i="9"/>
  <c r="D115" i="9"/>
  <c r="N115" i="9" s="1"/>
  <c r="B172" i="9"/>
  <c r="D179" i="9"/>
  <c r="B183" i="9"/>
  <c r="E18" i="10"/>
  <c r="G18" i="10" s="1"/>
  <c r="N19" i="10"/>
  <c r="B31" i="10"/>
  <c r="D44" i="10"/>
  <c r="B46" i="10"/>
  <c r="D72" i="10"/>
  <c r="I106" i="10"/>
  <c r="D115" i="10"/>
  <c r="E127" i="10"/>
  <c r="I129" i="10"/>
  <c r="I152" i="10"/>
  <c r="J152" i="10" s="1"/>
  <c r="AI10" i="11"/>
  <c r="AG14" i="11"/>
  <c r="Q16" i="11"/>
  <c r="AC60" i="11"/>
  <c r="R60" i="11"/>
  <c r="K60" i="11"/>
  <c r="J60" i="11"/>
  <c r="U115" i="11"/>
  <c r="AH115" i="11"/>
  <c r="AD115" i="11"/>
  <c r="K115" i="11"/>
  <c r="T115" i="11"/>
  <c r="Q115" i="11"/>
  <c r="AA121" i="11"/>
  <c r="AB121" i="11"/>
  <c r="J121" i="11"/>
  <c r="X121" i="11"/>
  <c r="I121" i="11"/>
  <c r="AL121" i="11"/>
  <c r="V121" i="11"/>
  <c r="G121" i="11"/>
  <c r="AG121" i="11"/>
  <c r="R121" i="11"/>
  <c r="Q121" i="5" s="1"/>
  <c r="C121" i="11"/>
  <c r="AF121" i="11"/>
  <c r="H121" i="11"/>
  <c r="AE121" i="11"/>
  <c r="F121" i="11"/>
  <c r="AD121" i="11"/>
  <c r="E121" i="11"/>
  <c r="AB121" i="5" s="1"/>
  <c r="AC121" i="11"/>
  <c r="D121" i="11"/>
  <c r="W121" i="11"/>
  <c r="B121" i="11"/>
  <c r="S121" i="11"/>
  <c r="Q121" i="11"/>
  <c r="AL180" i="11"/>
  <c r="AB55" i="12"/>
  <c r="U55" i="12"/>
  <c r="T55" i="12"/>
  <c r="Y55" i="12"/>
  <c r="AA55" i="12"/>
  <c r="X55" i="12"/>
  <c r="Q123" i="12"/>
  <c r="V123" i="12"/>
  <c r="Y195" i="12"/>
  <c r="AB195" i="12"/>
  <c r="AA195" i="12"/>
  <c r="S195" i="12"/>
  <c r="R195" i="12"/>
  <c r="V195" i="12"/>
  <c r="U195" i="12"/>
  <c r="T195" i="12"/>
  <c r="Q39" i="9"/>
  <c r="K48" i="9"/>
  <c r="K61" i="9"/>
  <c r="E115" i="9"/>
  <c r="E179" i="9"/>
  <c r="E44" i="10"/>
  <c r="G44" i="10" s="1"/>
  <c r="E72" i="10"/>
  <c r="G72" i="10" s="1"/>
  <c r="K96" i="10"/>
  <c r="E115" i="10"/>
  <c r="G115" i="10" s="1"/>
  <c r="I127" i="10"/>
  <c r="K129" i="10"/>
  <c r="K152" i="10"/>
  <c r="B166" i="10"/>
  <c r="E166" i="10"/>
  <c r="G166" i="10" s="1"/>
  <c r="B198" i="10"/>
  <c r="K198" i="10"/>
  <c r="D198" i="10"/>
  <c r="M198" i="10" s="1"/>
  <c r="AC6" i="11"/>
  <c r="S6" i="11"/>
  <c r="AL6" i="11"/>
  <c r="O6" i="11"/>
  <c r="AK6" i="11"/>
  <c r="M6" i="11"/>
  <c r="AD6" i="11"/>
  <c r="F6" i="11"/>
  <c r="Y6" i="11"/>
  <c r="E6" i="11"/>
  <c r="AB6" i="5" s="1"/>
  <c r="AE11" i="11"/>
  <c r="AA11" i="11"/>
  <c r="X11" i="11"/>
  <c r="P11" i="11"/>
  <c r="G11" i="11"/>
  <c r="B11" i="11"/>
  <c r="C13" i="1" s="1"/>
  <c r="AK14" i="11"/>
  <c r="U16" i="11"/>
  <c r="AJ75" i="11"/>
  <c r="W75" i="11"/>
  <c r="R75" i="11"/>
  <c r="K75" i="11"/>
  <c r="E75" i="11"/>
  <c r="D75" i="11"/>
  <c r="X179" i="11"/>
  <c r="Y179" i="11"/>
  <c r="T179" i="11"/>
  <c r="S179" i="11"/>
  <c r="P179" i="11"/>
  <c r="AG179" i="11"/>
  <c r="G179" i="11"/>
  <c r="AK179" i="11"/>
  <c r="AF179" i="11"/>
  <c r="AE179" i="11"/>
  <c r="AC179" i="11"/>
  <c r="Z179" i="11"/>
  <c r="K179" i="11"/>
  <c r="F179" i="11"/>
  <c r="AJ181" i="11"/>
  <c r="V181" i="11"/>
  <c r="U181" i="11"/>
  <c r="I181" i="11"/>
  <c r="H181" i="11"/>
  <c r="AK181" i="11"/>
  <c r="X181" i="11"/>
  <c r="B181" i="11"/>
  <c r="AL186" i="11"/>
  <c r="AE186" i="11"/>
  <c r="X186" i="11"/>
  <c r="M186" i="11"/>
  <c r="V186" i="11"/>
  <c r="S186" i="11"/>
  <c r="Q186" i="11"/>
  <c r="AB71" i="12"/>
  <c r="Q71" i="12"/>
  <c r="J50" i="8"/>
  <c r="J140" i="8"/>
  <c r="B5" i="9"/>
  <c r="F43" i="9"/>
  <c r="B45" i="9"/>
  <c r="N56" i="9"/>
  <c r="D85" i="9"/>
  <c r="B129" i="9"/>
  <c r="E37" i="10"/>
  <c r="N53" i="10"/>
  <c r="L96" i="10"/>
  <c r="D120" i="10"/>
  <c r="F120" i="10" s="1"/>
  <c r="K127" i="10"/>
  <c r="L152" i="10"/>
  <c r="E156" i="10"/>
  <c r="D156" i="10"/>
  <c r="B156" i="10"/>
  <c r="N166" i="10"/>
  <c r="N170" i="10"/>
  <c r="D170" i="10"/>
  <c r="B186" i="10"/>
  <c r="E186" i="10"/>
  <c r="D186" i="10"/>
  <c r="E198" i="10"/>
  <c r="G198" i="10" s="1"/>
  <c r="I206" i="10"/>
  <c r="J206" i="10" s="1"/>
  <c r="L206" i="10"/>
  <c r="K206" i="10"/>
  <c r="C6" i="11"/>
  <c r="H11" i="11"/>
  <c r="V16" i="11"/>
  <c r="N21" i="11"/>
  <c r="Q21" i="11"/>
  <c r="P21" i="11"/>
  <c r="AC31" i="11"/>
  <c r="L31" i="11"/>
  <c r="J31" i="11"/>
  <c r="I31" i="11"/>
  <c r="H31" i="11"/>
  <c r="AK31" i="11"/>
  <c r="AI31" i="11"/>
  <c r="AF60" i="11"/>
  <c r="AC64" i="11"/>
  <c r="AG64" i="11"/>
  <c r="P64" i="11"/>
  <c r="AE64" i="11"/>
  <c r="N64" i="11"/>
  <c r="AD64" i="11"/>
  <c r="L64" i="11"/>
  <c r="AB64" i="11"/>
  <c r="K64" i="11"/>
  <c r="D66" i="1" s="1"/>
  <c r="X64" i="11"/>
  <c r="G64" i="11"/>
  <c r="C66" i="1" s="1"/>
  <c r="W64" i="11"/>
  <c r="G66" i="1" s="1"/>
  <c r="E64" i="11"/>
  <c r="AB64" i="5" s="1"/>
  <c r="AC64" i="5" s="1"/>
  <c r="AH64" i="11"/>
  <c r="Z75" i="11"/>
  <c r="L115" i="11"/>
  <c r="O121" i="11"/>
  <c r="L164" i="12"/>
  <c r="W163" i="11"/>
  <c r="E163" i="11"/>
  <c r="AB163" i="5" s="1"/>
  <c r="U163" i="11"/>
  <c r="D163" i="11"/>
  <c r="AL163" i="11"/>
  <c r="T163" i="11"/>
  <c r="C163" i="11"/>
  <c r="AJ163" i="11"/>
  <c r="R163" i="11"/>
  <c r="B163" i="11"/>
  <c r="AD163" i="11"/>
  <c r="L163" i="11"/>
  <c r="O163" i="11"/>
  <c r="K163" i="11"/>
  <c r="J163" i="11"/>
  <c r="AH163" i="11"/>
  <c r="H163" i="11"/>
  <c r="AG163" i="11"/>
  <c r="G163" i="11"/>
  <c r="AB163" i="11"/>
  <c r="Z163" i="11"/>
  <c r="B179" i="11"/>
  <c r="AC181" i="11"/>
  <c r="I186" i="11"/>
  <c r="U34" i="12"/>
  <c r="V34" i="12"/>
  <c r="AC42" i="12"/>
  <c r="X42" i="12"/>
  <c r="V42" i="12"/>
  <c r="R42" i="12"/>
  <c r="AA42" i="12"/>
  <c r="AC55" i="12"/>
  <c r="L144" i="10"/>
  <c r="Q28" i="11"/>
  <c r="AH28" i="11"/>
  <c r="J70" i="11"/>
  <c r="AB70" i="5" s="1"/>
  <c r="AG70" i="11"/>
  <c r="AE72" i="11"/>
  <c r="AD73" i="11"/>
  <c r="L78" i="11"/>
  <c r="J82" i="11"/>
  <c r="AJ82" i="11"/>
  <c r="Q105" i="11"/>
  <c r="S105" i="11"/>
  <c r="Y122" i="11"/>
  <c r="AC122" i="11"/>
  <c r="D122" i="11"/>
  <c r="AB122" i="11"/>
  <c r="C122" i="11"/>
  <c r="T122" i="11"/>
  <c r="N122" i="11"/>
  <c r="AK122" i="11"/>
  <c r="M124" i="11"/>
  <c r="W126" i="11"/>
  <c r="AJ126" i="11"/>
  <c r="AG126" i="11"/>
  <c r="AC126" i="11"/>
  <c r="G126" i="11"/>
  <c r="AD132" i="11"/>
  <c r="AL132" i="11"/>
  <c r="R132" i="11"/>
  <c r="Q160" i="11"/>
  <c r="L160" i="11"/>
  <c r="I160" i="11"/>
  <c r="AJ160" i="11"/>
  <c r="AK170" i="11"/>
  <c r="AF170" i="11"/>
  <c r="S13" i="12"/>
  <c r="Y13" i="12"/>
  <c r="V13" i="12"/>
  <c r="W13" i="12"/>
  <c r="T30" i="12"/>
  <c r="AC30" i="12"/>
  <c r="Z30" i="12"/>
  <c r="Y30" i="12"/>
  <c r="AA30" i="12"/>
  <c r="X30" i="12"/>
  <c r="U30" i="12"/>
  <c r="R30" i="12"/>
  <c r="AA63" i="12"/>
  <c r="W63" i="12"/>
  <c r="R63" i="12"/>
  <c r="Q63" i="12"/>
  <c r="AC63" i="12"/>
  <c r="AB63" i="12"/>
  <c r="Y63" i="12"/>
  <c r="X63" i="12"/>
  <c r="U63" i="12"/>
  <c r="Z112" i="12"/>
  <c r="V112" i="12"/>
  <c r="AA133" i="12"/>
  <c r="Y133" i="12"/>
  <c r="V168" i="12"/>
  <c r="X168" i="12"/>
  <c r="W168" i="12"/>
  <c r="U176" i="12"/>
  <c r="Q176" i="12"/>
  <c r="Y176" i="12"/>
  <c r="T176" i="12"/>
  <c r="S176" i="12"/>
  <c r="AB176" i="12"/>
  <c r="AA176" i="12"/>
  <c r="T199" i="12"/>
  <c r="U199" i="12"/>
  <c r="Z199" i="12"/>
  <c r="S199" i="12"/>
  <c r="Q199" i="12"/>
  <c r="P10" i="13"/>
  <c r="S10" i="13"/>
  <c r="R10" i="13"/>
  <c r="B10" i="13"/>
  <c r="W10" i="13"/>
  <c r="U10" i="13"/>
  <c r="Q10" i="13"/>
  <c r="S88" i="13"/>
  <c r="R88" i="13"/>
  <c r="P88" i="13"/>
  <c r="B89" i="12"/>
  <c r="V88" i="13"/>
  <c r="O88" i="13"/>
  <c r="N88" i="13"/>
  <c r="V150" i="13"/>
  <c r="B151" i="12"/>
  <c r="B176" i="12"/>
  <c r="F3" i="11"/>
  <c r="AC9" i="11"/>
  <c r="B28" i="11"/>
  <c r="R28" i="11"/>
  <c r="AJ28" i="11"/>
  <c r="L34" i="11"/>
  <c r="T45" i="11"/>
  <c r="G46" i="11"/>
  <c r="C48" i="1" s="1"/>
  <c r="Z46" i="11"/>
  <c r="J66" i="11"/>
  <c r="L70" i="11"/>
  <c r="AI70" i="11"/>
  <c r="AF72" i="11"/>
  <c r="AI73" i="11"/>
  <c r="K76" i="11"/>
  <c r="S78" i="11"/>
  <c r="K82" i="11"/>
  <c r="AL82" i="11"/>
  <c r="X90" i="11"/>
  <c r="S90" i="11"/>
  <c r="K90" i="11"/>
  <c r="H90" i="11"/>
  <c r="W97" i="11"/>
  <c r="C105" i="11"/>
  <c r="AE114" i="11"/>
  <c r="AD114" i="11"/>
  <c r="AC114" i="11"/>
  <c r="R114" i="11"/>
  <c r="E114" i="11"/>
  <c r="AL117" i="11"/>
  <c r="AA117" i="11"/>
  <c r="G122" i="11"/>
  <c r="Q124" i="11"/>
  <c r="E126" i="11"/>
  <c r="AL128" i="11"/>
  <c r="J128" i="11"/>
  <c r="H128" i="11"/>
  <c r="F132" i="11"/>
  <c r="AI142" i="11"/>
  <c r="AA142" i="11"/>
  <c r="E142" i="11"/>
  <c r="AB145" i="11"/>
  <c r="AF145" i="11"/>
  <c r="G145" i="11"/>
  <c r="AE145" i="11"/>
  <c r="F145" i="11"/>
  <c r="X145" i="11"/>
  <c r="B145" i="11"/>
  <c r="R145" i="11"/>
  <c r="AJ145" i="11"/>
  <c r="U152" i="11"/>
  <c r="N152" i="11"/>
  <c r="D152" i="11"/>
  <c r="V160" i="11"/>
  <c r="Y162" i="11"/>
  <c r="Q170" i="11"/>
  <c r="Q74" i="12"/>
  <c r="W112" i="12"/>
  <c r="R168" i="12"/>
  <c r="R176" i="12"/>
  <c r="Y180" i="12"/>
  <c r="AC180" i="12"/>
  <c r="R83" i="13"/>
  <c r="S83" i="13"/>
  <c r="B83" i="13"/>
  <c r="B88" i="13"/>
  <c r="Q82" i="11"/>
  <c r="AG124" i="11"/>
  <c r="AK167" i="11"/>
  <c r="M167" i="11"/>
  <c r="P172" i="11"/>
  <c r="O172" i="11"/>
  <c r="I172" i="11"/>
  <c r="E172" i="11"/>
  <c r="Y44" i="12"/>
  <c r="Z44" i="12"/>
  <c r="X44" i="12"/>
  <c r="S44" i="12"/>
  <c r="R52" i="12"/>
  <c r="S52" i="12"/>
  <c r="T52" i="12"/>
  <c r="AC98" i="12"/>
  <c r="Q98" i="12"/>
  <c r="AB102" i="12"/>
  <c r="R102" i="12"/>
  <c r="AC135" i="12"/>
  <c r="V135" i="12"/>
  <c r="I149" i="10"/>
  <c r="L179" i="10"/>
  <c r="G28" i="11"/>
  <c r="X28" i="11"/>
  <c r="S33" i="11"/>
  <c r="F35" i="1" s="1"/>
  <c r="AK33" i="11"/>
  <c r="U34" i="11"/>
  <c r="AJ45" i="11"/>
  <c r="N46" i="11"/>
  <c r="AE46" i="11"/>
  <c r="O55" i="11"/>
  <c r="R57" i="11"/>
  <c r="AH66" i="11"/>
  <c r="O68" i="11"/>
  <c r="T70" i="11"/>
  <c r="G72" i="11"/>
  <c r="E73" i="11"/>
  <c r="AL76" i="11"/>
  <c r="AD79" i="11"/>
  <c r="S82" i="11"/>
  <c r="AC90" i="11"/>
  <c r="AL95" i="11"/>
  <c r="Z95" i="11"/>
  <c r="S95" i="11"/>
  <c r="AC105" i="11"/>
  <c r="N114" i="11"/>
  <c r="O114" i="5" s="1"/>
  <c r="AX114" i="5" s="1"/>
  <c r="AF117" i="11"/>
  <c r="O122" i="11"/>
  <c r="AF126" i="11"/>
  <c r="AG128" i="11"/>
  <c r="Y142" i="11"/>
  <c r="N145" i="11"/>
  <c r="AI161" i="11"/>
  <c r="W161" i="11"/>
  <c r="O161" i="11"/>
  <c r="K161" i="11"/>
  <c r="AI167" i="11"/>
  <c r="C172" i="11"/>
  <c r="Y68" i="12"/>
  <c r="Q68" i="12"/>
  <c r="X68" i="12"/>
  <c r="T98" i="12"/>
  <c r="W59" i="13"/>
  <c r="Q59" i="13"/>
  <c r="P59" i="13"/>
  <c r="U59" i="13"/>
  <c r="O59" i="13"/>
  <c r="V59" i="13"/>
  <c r="V65" i="13"/>
  <c r="B66" i="12"/>
  <c r="V70" i="11"/>
  <c r="Q70" i="5" s="1"/>
  <c r="BB70" i="5" s="1"/>
  <c r="H72" i="11"/>
  <c r="J73" i="11"/>
  <c r="W82" i="11"/>
  <c r="AB97" i="11"/>
  <c r="L97" i="11"/>
  <c r="AL97" i="11"/>
  <c r="K97" i="11"/>
  <c r="AH97" i="11"/>
  <c r="I97" i="11"/>
  <c r="Z97" i="11"/>
  <c r="C97" i="11"/>
  <c r="AI97" i="11"/>
  <c r="AL105" i="11"/>
  <c r="C119" i="12"/>
  <c r="V118" i="11"/>
  <c r="P122" i="11"/>
  <c r="AL125" i="11"/>
  <c r="Z125" i="11"/>
  <c r="W125" i="11"/>
  <c r="M125" i="11"/>
  <c r="T127" i="11"/>
  <c r="AG127" i="11"/>
  <c r="R127" i="11"/>
  <c r="J130" i="11"/>
  <c r="C130" i="11"/>
  <c r="AA139" i="11"/>
  <c r="AL139" i="11"/>
  <c r="T139" i="11"/>
  <c r="C139" i="11"/>
  <c r="AJ139" i="11"/>
  <c r="R139" i="11"/>
  <c r="B139" i="11"/>
  <c r="AG139" i="11"/>
  <c r="P139" i="11"/>
  <c r="AB139" i="11"/>
  <c r="J139" i="11"/>
  <c r="AB139" i="5" s="1"/>
  <c r="AC139" i="5" s="1"/>
  <c r="Z139" i="11"/>
  <c r="W143" i="11"/>
  <c r="N143" i="11"/>
  <c r="O145" i="11"/>
  <c r="G161" i="11"/>
  <c r="AD168" i="11"/>
  <c r="R168" i="11"/>
  <c r="U172" i="11"/>
  <c r="AD194" i="11"/>
  <c r="AF194" i="11"/>
  <c r="J194" i="11"/>
  <c r="AB194" i="11"/>
  <c r="G194" i="11"/>
  <c r="AA194" i="11"/>
  <c r="F194" i="11"/>
  <c r="T194" i="11"/>
  <c r="P194" i="11"/>
  <c r="Y194" i="11"/>
  <c r="W194" i="11"/>
  <c r="V194" i="11"/>
  <c r="N194" i="11"/>
  <c r="C194" i="11"/>
  <c r="Q44" i="12"/>
  <c r="W68" i="12"/>
  <c r="X79" i="12"/>
  <c r="AC79" i="12"/>
  <c r="U79" i="12"/>
  <c r="Q79" i="12"/>
  <c r="AA79" i="12"/>
  <c r="N163" i="10"/>
  <c r="L23" i="11"/>
  <c r="J28" i="11"/>
  <c r="AA28" i="11"/>
  <c r="AA34" i="11"/>
  <c r="Q46" i="11"/>
  <c r="AH46" i="11"/>
  <c r="V55" i="11"/>
  <c r="AA68" i="11"/>
  <c r="D70" i="11"/>
  <c r="W70" i="11"/>
  <c r="J72" i="11"/>
  <c r="S77" i="11"/>
  <c r="X82" i="11"/>
  <c r="AC96" i="11"/>
  <c r="X96" i="11"/>
  <c r="V96" i="11"/>
  <c r="J96" i="11"/>
  <c r="AB96" i="5" s="1"/>
  <c r="D97" i="11"/>
  <c r="AJ114" i="11"/>
  <c r="W118" i="11"/>
  <c r="S122" i="11"/>
  <c r="G125" i="11"/>
  <c r="G127" i="11"/>
  <c r="Y144" i="11"/>
  <c r="R144" i="11"/>
  <c r="S145" i="11"/>
  <c r="AA172" i="11"/>
  <c r="V190" i="11"/>
  <c r="K190" i="11"/>
  <c r="I190" i="11"/>
  <c r="AB44" i="12"/>
  <c r="AA130" i="12"/>
  <c r="T130" i="12"/>
  <c r="AB130" i="12"/>
  <c r="U130" i="12"/>
  <c r="V47" i="13"/>
  <c r="A118" i="15"/>
  <c r="V66" i="13"/>
  <c r="U66" i="13"/>
  <c r="S66" i="13"/>
  <c r="N66" i="13"/>
  <c r="Q66" i="13"/>
  <c r="O66" i="13"/>
  <c r="B67" i="12"/>
  <c r="B66" i="13"/>
  <c r="W66" i="13"/>
  <c r="Z82" i="11"/>
  <c r="AK89" i="11"/>
  <c r="N89" i="11"/>
  <c r="AB104" i="11"/>
  <c r="AA104" i="11"/>
  <c r="U104" i="11"/>
  <c r="AA113" i="11"/>
  <c r="Z113" i="11"/>
  <c r="U113" i="11"/>
  <c r="N113" i="11"/>
  <c r="AI124" i="11"/>
  <c r="U124" i="11"/>
  <c r="R124" i="11"/>
  <c r="P124" i="11"/>
  <c r="AJ124" i="11"/>
  <c r="D124" i="11"/>
  <c r="AK158" i="11"/>
  <c r="Q158" i="11"/>
  <c r="AC172" i="11"/>
  <c r="B190" i="11"/>
  <c r="Y45" i="12"/>
  <c r="Z45" i="12"/>
  <c r="V45" i="12"/>
  <c r="R45" i="12"/>
  <c r="W45" i="12"/>
  <c r="Q45" i="12"/>
  <c r="Y69" i="12"/>
  <c r="V69" i="12"/>
  <c r="Q69" i="12"/>
  <c r="AA69" i="12"/>
  <c r="U69" i="12"/>
  <c r="V146" i="12"/>
  <c r="Z146" i="12"/>
  <c r="Y146" i="12"/>
  <c r="S146" i="12"/>
  <c r="S150" i="12"/>
  <c r="AB150" i="12"/>
  <c r="AA150" i="12"/>
  <c r="AF84" i="11"/>
  <c r="U88" i="11"/>
  <c r="U91" i="11"/>
  <c r="L100" i="11"/>
  <c r="AL100" i="11"/>
  <c r="G103" i="11"/>
  <c r="V103" i="11"/>
  <c r="Q103" i="5" s="1"/>
  <c r="BB103" i="5" s="1"/>
  <c r="AL103" i="11"/>
  <c r="K109" i="11"/>
  <c r="D111" i="1" s="1"/>
  <c r="AI109" i="11"/>
  <c r="AG112" i="11"/>
  <c r="M116" i="11"/>
  <c r="K119" i="11"/>
  <c r="AL119" i="11"/>
  <c r="AA129" i="11"/>
  <c r="O164" i="11"/>
  <c r="H169" i="11"/>
  <c r="Z169" i="11"/>
  <c r="AJ175" i="11"/>
  <c r="AC9" i="12"/>
  <c r="AA9" i="12"/>
  <c r="S9" i="12"/>
  <c r="R9" i="12"/>
  <c r="Y60" i="12"/>
  <c r="R60" i="12"/>
  <c r="W60" i="12"/>
  <c r="U60" i="12"/>
  <c r="AA113" i="12"/>
  <c r="X113" i="12"/>
  <c r="U113" i="12"/>
  <c r="S127" i="12"/>
  <c r="Q127" i="12"/>
  <c r="AA165" i="12"/>
  <c r="Z165" i="12"/>
  <c r="S20" i="13"/>
  <c r="R20" i="13"/>
  <c r="B21" i="12"/>
  <c r="V20" i="13"/>
  <c r="T20" i="13"/>
  <c r="U99" i="13"/>
  <c r="O99" i="13"/>
  <c r="N99" i="13"/>
  <c r="B142" i="13"/>
  <c r="V142" i="13"/>
  <c r="U142" i="13"/>
  <c r="P142" i="13"/>
  <c r="O142" i="13"/>
  <c r="B143" i="12"/>
  <c r="T142" i="13"/>
  <c r="S142" i="13"/>
  <c r="V171" i="13"/>
  <c r="U171" i="13"/>
  <c r="T171" i="13"/>
  <c r="S171" i="13"/>
  <c r="L166" i="15"/>
  <c r="P166" i="15"/>
  <c r="O166" i="15"/>
  <c r="N166" i="15"/>
  <c r="M166" i="15"/>
  <c r="Q87" i="15"/>
  <c r="M87" i="15"/>
  <c r="L87" i="15"/>
  <c r="K87" i="15"/>
  <c r="Q96" i="15"/>
  <c r="O96" i="15"/>
  <c r="M96" i="15"/>
  <c r="L212" i="15"/>
  <c r="Q212" i="15"/>
  <c r="P212" i="15"/>
  <c r="N212" i="15"/>
  <c r="X18" i="12"/>
  <c r="V18" i="12"/>
  <c r="AB33" i="12"/>
  <c r="X33" i="12"/>
  <c r="W33" i="12"/>
  <c r="Q33" i="12"/>
  <c r="AA43" i="12"/>
  <c r="AC43" i="12"/>
  <c r="AB43" i="12"/>
  <c r="T43" i="12"/>
  <c r="Q43" i="12"/>
  <c r="AC82" i="12"/>
  <c r="AB82" i="12"/>
  <c r="Y125" i="12"/>
  <c r="Q125" i="12"/>
  <c r="X125" i="12"/>
  <c r="U125" i="12"/>
  <c r="S139" i="12"/>
  <c r="T139" i="12"/>
  <c r="Q139" i="12"/>
  <c r="Y142" i="12"/>
  <c r="Q142" i="12"/>
  <c r="U142" i="12"/>
  <c r="T142" i="12"/>
  <c r="T200" i="12"/>
  <c r="AA200" i="12"/>
  <c r="X200" i="12"/>
  <c r="V11" i="13"/>
  <c r="S11" i="13"/>
  <c r="V52" i="13"/>
  <c r="S52" i="13"/>
  <c r="Q52" i="13"/>
  <c r="B52" i="13"/>
  <c r="F88" i="11"/>
  <c r="AD88" i="11"/>
  <c r="F91" i="11"/>
  <c r="AB91" i="11"/>
  <c r="T100" i="11"/>
  <c r="K103" i="11"/>
  <c r="AC103" i="11"/>
  <c r="S109" i="11"/>
  <c r="F111" i="1" s="1"/>
  <c r="U116" i="11"/>
  <c r="T119" i="11"/>
  <c r="Q123" i="11"/>
  <c r="H129" i="11"/>
  <c r="AK129" i="11"/>
  <c r="L136" i="11"/>
  <c r="I146" i="11"/>
  <c r="AE164" i="11"/>
  <c r="O169" i="11"/>
  <c r="AE169" i="11"/>
  <c r="AH182" i="11"/>
  <c r="X27" i="12"/>
  <c r="Q27" i="12"/>
  <c r="R33" i="12"/>
  <c r="AA60" i="12"/>
  <c r="Y86" i="12"/>
  <c r="U86" i="12"/>
  <c r="X92" i="12"/>
  <c r="S92" i="12"/>
  <c r="AB114" i="12"/>
  <c r="R114" i="12"/>
  <c r="Q114" i="12"/>
  <c r="S125" i="12"/>
  <c r="X127" i="12"/>
  <c r="R142" i="12"/>
  <c r="R73" i="13"/>
  <c r="B74" i="12"/>
  <c r="B73" i="13"/>
  <c r="W109" i="13"/>
  <c r="B110" i="12"/>
  <c r="P157" i="13"/>
  <c r="R157" i="13"/>
  <c r="O157" i="13"/>
  <c r="O165" i="13"/>
  <c r="N165" i="13"/>
  <c r="V165" i="13"/>
  <c r="U165" i="13"/>
  <c r="P165" i="13"/>
  <c r="B165" i="13"/>
  <c r="B166" i="12"/>
  <c r="AF164" i="11"/>
  <c r="Z165" i="11"/>
  <c r="P169" i="11"/>
  <c r="AG169" i="11"/>
  <c r="T18" i="12"/>
  <c r="S33" i="12"/>
  <c r="U43" i="12"/>
  <c r="AB60" i="12"/>
  <c r="AB80" i="12"/>
  <c r="W80" i="12"/>
  <c r="V80" i="12"/>
  <c r="Q82" i="12"/>
  <c r="AA106" i="12"/>
  <c r="T125" i="12"/>
  <c r="X128" i="12"/>
  <c r="U128" i="12"/>
  <c r="R128" i="12"/>
  <c r="AA128" i="12"/>
  <c r="AA131" i="12"/>
  <c r="V131" i="12"/>
  <c r="V139" i="12"/>
  <c r="S142" i="12"/>
  <c r="AB144" i="12"/>
  <c r="W144" i="12"/>
  <c r="U144" i="12"/>
  <c r="U151" i="12"/>
  <c r="V154" i="12"/>
  <c r="R24" i="13"/>
  <c r="Q24" i="13"/>
  <c r="V24" i="13"/>
  <c r="U24" i="13"/>
  <c r="P24" i="13"/>
  <c r="B25" i="12"/>
  <c r="B154" i="12"/>
  <c r="K184" i="15"/>
  <c r="Q184" i="15"/>
  <c r="M184" i="15"/>
  <c r="H84" i="11"/>
  <c r="I88" i="11"/>
  <c r="AF88" i="11"/>
  <c r="I91" i="11"/>
  <c r="AD91" i="11"/>
  <c r="Z100" i="11"/>
  <c r="P103" i="11"/>
  <c r="AE103" i="11"/>
  <c r="X106" i="11"/>
  <c r="W109" i="11"/>
  <c r="G111" i="1" s="1"/>
  <c r="AC116" i="11"/>
  <c r="AA119" i="11"/>
  <c r="X123" i="11"/>
  <c r="N129" i="11"/>
  <c r="O129" i="5" s="1"/>
  <c r="AX129" i="5" s="1"/>
  <c r="R136" i="11"/>
  <c r="S146" i="11"/>
  <c r="F148" i="1" s="1"/>
  <c r="AL164" i="11"/>
  <c r="Q169" i="11"/>
  <c r="AH169" i="11"/>
  <c r="S197" i="11"/>
  <c r="AF197" i="11"/>
  <c r="V197" i="11"/>
  <c r="T197" i="11"/>
  <c r="AL197" i="11"/>
  <c r="D197" i="11"/>
  <c r="AJ197" i="11"/>
  <c r="B197" i="11"/>
  <c r="U18" i="12"/>
  <c r="AA28" i="12"/>
  <c r="X28" i="12"/>
  <c r="V28" i="12"/>
  <c r="T28" i="12"/>
  <c r="T33" i="12"/>
  <c r="V43" i="12"/>
  <c r="AA61" i="12"/>
  <c r="U61" i="12"/>
  <c r="R61" i="12"/>
  <c r="AB61" i="12"/>
  <c r="AA73" i="12"/>
  <c r="W73" i="12"/>
  <c r="W83" i="12"/>
  <c r="S83" i="12"/>
  <c r="AB83" i="12"/>
  <c r="Y101" i="12"/>
  <c r="S101" i="12"/>
  <c r="Q101" i="12"/>
  <c r="Z101" i="12"/>
  <c r="W101" i="12"/>
  <c r="U114" i="12"/>
  <c r="Z125" i="12"/>
  <c r="AA137" i="12"/>
  <c r="T137" i="12"/>
  <c r="V142" i="12"/>
  <c r="X151" i="12"/>
  <c r="W154" i="12"/>
  <c r="A110" i="15"/>
  <c r="U58" i="13"/>
  <c r="S58" i="13"/>
  <c r="Q58" i="13"/>
  <c r="N58" i="13"/>
  <c r="V58" i="13"/>
  <c r="P58" i="13"/>
  <c r="O58" i="13"/>
  <c r="R79" i="13"/>
  <c r="P79" i="13"/>
  <c r="U79" i="13"/>
  <c r="O79" i="13"/>
  <c r="U102" i="13"/>
  <c r="S102" i="13"/>
  <c r="Q102" i="13"/>
  <c r="O64" i="15"/>
  <c r="Q64" i="15"/>
  <c r="P64" i="15"/>
  <c r="N64" i="15"/>
  <c r="L64" i="15"/>
  <c r="K64" i="15"/>
  <c r="P75" i="15"/>
  <c r="Q75" i="15"/>
  <c r="N221" i="15"/>
  <c r="L221" i="15"/>
  <c r="Q103" i="11"/>
  <c r="AF103" i="11"/>
  <c r="C119" i="11"/>
  <c r="AB119" i="11"/>
  <c r="AC123" i="11"/>
  <c r="O129" i="11"/>
  <c r="E131" i="1" s="1"/>
  <c r="AB136" i="11"/>
  <c r="T146" i="11"/>
  <c r="D164" i="11"/>
  <c r="AD165" i="11"/>
  <c r="B169" i="11"/>
  <c r="R169" i="11"/>
  <c r="AJ169" i="11"/>
  <c r="J175" i="11"/>
  <c r="M175" i="5" s="1"/>
  <c r="AD187" i="11"/>
  <c r="V187" i="11"/>
  <c r="Q187" i="5" s="1"/>
  <c r="E187" i="11"/>
  <c r="H197" i="11"/>
  <c r="Y19" i="12"/>
  <c r="AC19" i="12"/>
  <c r="X19" i="12"/>
  <c r="U31" i="12"/>
  <c r="AA31" i="12"/>
  <c r="Y31" i="12"/>
  <c r="U33" i="12"/>
  <c r="X43" i="12"/>
  <c r="X54" i="12"/>
  <c r="Z54" i="12"/>
  <c r="R54" i="12"/>
  <c r="AC58" i="12"/>
  <c r="R58" i="12"/>
  <c r="Q58" i="12"/>
  <c r="AB64" i="12"/>
  <c r="AA64" i="12"/>
  <c r="X64" i="12"/>
  <c r="W64" i="12"/>
  <c r="U83" i="12"/>
  <c r="AA90" i="12"/>
  <c r="V90" i="12"/>
  <c r="R90" i="12"/>
  <c r="W93" i="12"/>
  <c r="X115" i="12"/>
  <c r="Y115" i="12"/>
  <c r="T115" i="12"/>
  <c r="S115" i="12"/>
  <c r="AA125" i="12"/>
  <c r="Z142" i="12"/>
  <c r="R145" i="12"/>
  <c r="X145" i="12"/>
  <c r="T145" i="12"/>
  <c r="AC149" i="12"/>
  <c r="AB149" i="12"/>
  <c r="AC167" i="12"/>
  <c r="Z167" i="12"/>
  <c r="Y167" i="12"/>
  <c r="Y193" i="12"/>
  <c r="X193" i="12"/>
  <c r="Z197" i="12"/>
  <c r="AA197" i="12"/>
  <c r="T197" i="12"/>
  <c r="AB197" i="12"/>
  <c r="X197" i="12"/>
  <c r="R197" i="12"/>
  <c r="Q197" i="12"/>
  <c r="S32" i="13"/>
  <c r="W32" i="13"/>
  <c r="V32" i="13"/>
  <c r="Q32" i="13"/>
  <c r="U32" i="13"/>
  <c r="R32" i="13"/>
  <c r="B33" i="12"/>
  <c r="B58" i="13"/>
  <c r="S136" i="13"/>
  <c r="Q136" i="13"/>
  <c r="V136" i="13"/>
  <c r="U136" i="13"/>
  <c r="O75" i="15"/>
  <c r="AA48" i="12"/>
  <c r="X72" i="12"/>
  <c r="V96" i="12"/>
  <c r="S104" i="12"/>
  <c r="X143" i="12"/>
  <c r="U152" i="12"/>
  <c r="Z161" i="12"/>
  <c r="Z185" i="12"/>
  <c r="U185" i="12"/>
  <c r="Q185" i="12"/>
  <c r="V64" i="13"/>
  <c r="O64" i="13"/>
  <c r="N64" i="13"/>
  <c r="V75" i="13"/>
  <c r="P75" i="13"/>
  <c r="O75" i="13"/>
  <c r="S80" i="13"/>
  <c r="V100" i="13"/>
  <c r="S100" i="13"/>
  <c r="P100" i="13"/>
  <c r="O154" i="13"/>
  <c r="V154" i="13"/>
  <c r="V163" i="13"/>
  <c r="V176" i="13"/>
  <c r="S181" i="13"/>
  <c r="Q181" i="13"/>
  <c r="Q193" i="13"/>
  <c r="K104" i="15"/>
  <c r="O104" i="15"/>
  <c r="M104" i="15"/>
  <c r="M204" i="15"/>
  <c r="Q204" i="15"/>
  <c r="P204" i="15"/>
  <c r="O204" i="15"/>
  <c r="N204" i="15"/>
  <c r="N213" i="15"/>
  <c r="Q213" i="15"/>
  <c r="O213" i="15"/>
  <c r="V196" i="11"/>
  <c r="T11" i="12"/>
  <c r="AB48" i="12"/>
  <c r="Z72" i="12"/>
  <c r="W96" i="12"/>
  <c r="T104" i="12"/>
  <c r="AA138" i="12"/>
  <c r="Y143" i="12"/>
  <c r="X152" i="12"/>
  <c r="AA161" i="12"/>
  <c r="Y166" i="12"/>
  <c r="R166" i="12"/>
  <c r="V174" i="12"/>
  <c r="V177" i="12"/>
  <c r="S177" i="12"/>
  <c r="R185" i="12"/>
  <c r="J202" i="12"/>
  <c r="T30" i="13"/>
  <c r="U30" i="13"/>
  <c r="B30" i="13"/>
  <c r="V68" i="13"/>
  <c r="Q68" i="13"/>
  <c r="P68" i="13"/>
  <c r="T80" i="13"/>
  <c r="T87" i="13"/>
  <c r="S87" i="13"/>
  <c r="Q108" i="13"/>
  <c r="S108" i="13"/>
  <c r="N108" i="13"/>
  <c r="Q128" i="13"/>
  <c r="B128" i="13"/>
  <c r="R161" i="13"/>
  <c r="O161" i="13"/>
  <c r="V170" i="13"/>
  <c r="Q170" i="13"/>
  <c r="B170" i="13"/>
  <c r="W176" i="13"/>
  <c r="R193" i="13"/>
  <c r="Q116" i="15"/>
  <c r="L116" i="15"/>
  <c r="K124" i="15"/>
  <c r="Q124" i="15"/>
  <c r="M124" i="15"/>
  <c r="K204" i="15"/>
  <c r="K213" i="15"/>
  <c r="AB172" i="12"/>
  <c r="X172" i="12"/>
  <c r="S12" i="13"/>
  <c r="V12" i="13"/>
  <c r="R12" i="13"/>
  <c r="Q26" i="13"/>
  <c r="U26" i="13"/>
  <c r="S26" i="13"/>
  <c r="O41" i="13"/>
  <c r="W41" i="13"/>
  <c r="V41" i="13"/>
  <c r="Q41" i="13"/>
  <c r="P41" i="13"/>
  <c r="U44" i="13"/>
  <c r="S44" i="13"/>
  <c r="R53" i="13"/>
  <c r="P53" i="13"/>
  <c r="W64" i="13"/>
  <c r="Q75" i="13"/>
  <c r="P139" i="13"/>
  <c r="O139" i="13"/>
  <c r="T154" i="13"/>
  <c r="P164" i="13"/>
  <c r="B165" i="12"/>
  <c r="N164" i="13"/>
  <c r="L90" i="15"/>
  <c r="M90" i="15"/>
  <c r="L124" i="15"/>
  <c r="M149" i="15"/>
  <c r="L149" i="15"/>
  <c r="O187" i="15"/>
  <c r="M187" i="15"/>
  <c r="L187" i="15"/>
  <c r="P237" i="15"/>
  <c r="N237" i="15"/>
  <c r="M237" i="15"/>
  <c r="Q244" i="15"/>
  <c r="N244" i="15"/>
  <c r="L244" i="15"/>
  <c r="B103" i="12"/>
  <c r="V140" i="13"/>
  <c r="N140" i="13"/>
  <c r="Q180" i="13"/>
  <c r="T180" i="13"/>
  <c r="R180" i="13"/>
  <c r="P180" i="13"/>
  <c r="B180" i="13"/>
  <c r="Q66" i="15"/>
  <c r="N66" i="15"/>
  <c r="M190" i="15"/>
  <c r="Q190" i="15"/>
  <c r="Q199" i="15"/>
  <c r="N199" i="15"/>
  <c r="Q232" i="15"/>
  <c r="P232" i="15"/>
  <c r="O232" i="15"/>
  <c r="N232" i="15"/>
  <c r="AC84" i="12"/>
  <c r="R170" i="12"/>
  <c r="U170" i="12"/>
  <c r="W172" i="12"/>
  <c r="X185" i="12"/>
  <c r="AC202" i="12"/>
  <c r="Z202" i="12"/>
  <c r="Q202" i="12"/>
  <c r="O5" i="13"/>
  <c r="U5" i="13"/>
  <c r="Q5" i="13"/>
  <c r="B11" i="12"/>
  <c r="W27" i="13"/>
  <c r="Q27" i="13"/>
  <c r="P27" i="13"/>
  <c r="W75" i="13"/>
  <c r="B144" i="13"/>
  <c r="R148" i="13"/>
  <c r="S148" i="13"/>
  <c r="N148" i="13"/>
  <c r="A215" i="15"/>
  <c r="T163" i="13"/>
  <c r="S163" i="13"/>
  <c r="Q163" i="13"/>
  <c r="N163" i="13"/>
  <c r="U192" i="13"/>
  <c r="T192" i="13"/>
  <c r="L110" i="15"/>
  <c r="K110" i="15"/>
  <c r="P142" i="15"/>
  <c r="N142" i="15"/>
  <c r="L142" i="15"/>
  <c r="O153" i="15"/>
  <c r="P153" i="15"/>
  <c r="M153" i="15"/>
  <c r="L153" i="15"/>
  <c r="Q168" i="15"/>
  <c r="O168" i="15"/>
  <c r="M168" i="15"/>
  <c r="L190" i="15"/>
  <c r="M199" i="15"/>
  <c r="K232" i="15"/>
  <c r="J196" i="11"/>
  <c r="M196" i="5" s="1"/>
  <c r="AT196" i="5" s="1"/>
  <c r="AE196" i="11"/>
  <c r="U111" i="12"/>
  <c r="AA116" i="12"/>
  <c r="B141" i="12"/>
  <c r="B152" i="12"/>
  <c r="AA185" i="12"/>
  <c r="Y188" i="12"/>
  <c r="Q188" i="12"/>
  <c r="U72" i="13"/>
  <c r="W72" i="13"/>
  <c r="V72" i="13"/>
  <c r="T118" i="13"/>
  <c r="P118" i="13"/>
  <c r="U130" i="13"/>
  <c r="T130" i="13"/>
  <c r="P133" i="13"/>
  <c r="O133" i="13"/>
  <c r="N180" i="13"/>
  <c r="F35" i="15"/>
  <c r="H4" i="15"/>
  <c r="P59" i="15"/>
  <c r="O59" i="15"/>
  <c r="K59" i="15"/>
  <c r="K122" i="15"/>
  <c r="M122" i="15"/>
  <c r="K153" i="15"/>
  <c r="L168" i="15"/>
  <c r="M233" i="15"/>
  <c r="O233" i="15"/>
  <c r="Q196" i="12"/>
  <c r="V196" i="12"/>
  <c r="S55" i="13"/>
  <c r="O55" i="13"/>
  <c r="V63" i="13"/>
  <c r="S63" i="13"/>
  <c r="A132" i="15"/>
  <c r="O80" i="13"/>
  <c r="N80" i="13"/>
  <c r="W80" i="13"/>
  <c r="P107" i="13"/>
  <c r="O107" i="13"/>
  <c r="N107" i="13"/>
  <c r="U176" i="13"/>
  <c r="T176" i="13"/>
  <c r="O180" i="13"/>
  <c r="O193" i="13"/>
  <c r="N193" i="13"/>
  <c r="V193" i="13"/>
  <c r="U193" i="13"/>
  <c r="P68" i="15"/>
  <c r="N68" i="15"/>
  <c r="M68" i="15"/>
  <c r="L68" i="15"/>
  <c r="Q85" i="15"/>
  <c r="P85" i="15"/>
  <c r="K112" i="15"/>
  <c r="O112" i="15"/>
  <c r="L248" i="15"/>
  <c r="Q248" i="15"/>
  <c r="AK196" i="11"/>
  <c r="Q48" i="12"/>
  <c r="S67" i="12"/>
  <c r="Q72" i="12"/>
  <c r="W85" i="12"/>
  <c r="Q96" i="12"/>
  <c r="X105" i="12"/>
  <c r="R109" i="12"/>
  <c r="AA111" i="12"/>
  <c r="R143" i="12"/>
  <c r="AC157" i="12"/>
  <c r="S161" i="12"/>
  <c r="Y170" i="12"/>
  <c r="T173" i="12"/>
  <c r="AB186" i="12"/>
  <c r="Q186" i="12"/>
  <c r="T188" i="12"/>
  <c r="W196" i="12"/>
  <c r="D202" i="12"/>
  <c r="W202" i="12"/>
  <c r="N5" i="13"/>
  <c r="V7" i="13"/>
  <c r="N7" i="13"/>
  <c r="N13" i="13"/>
  <c r="T49" i="13"/>
  <c r="S49" i="13"/>
  <c r="B49" i="13"/>
  <c r="Q85" i="13"/>
  <c r="V89" i="13"/>
  <c r="R89" i="13"/>
  <c r="B89" i="13"/>
  <c r="O115" i="13"/>
  <c r="R118" i="13"/>
  <c r="R133" i="13"/>
  <c r="U148" i="13"/>
  <c r="O163" i="13"/>
  <c r="A231" i="15"/>
  <c r="S179" i="13"/>
  <c r="Q179" i="13"/>
  <c r="P179" i="13"/>
  <c r="B179" i="13"/>
  <c r="U180" i="13"/>
  <c r="B193" i="13"/>
  <c r="W200" i="13"/>
  <c r="S200" i="13"/>
  <c r="R200" i="13"/>
  <c r="O200" i="13"/>
  <c r="M112" i="15"/>
  <c r="N161" i="15"/>
  <c r="L161" i="15"/>
  <c r="K161" i="15"/>
  <c r="Q170" i="15"/>
  <c r="M170" i="15"/>
  <c r="Q193" i="15"/>
  <c r="P193" i="15"/>
  <c r="O224" i="15"/>
  <c r="M62" i="15"/>
  <c r="P102" i="15"/>
  <c r="Q127" i="15"/>
  <c r="P245" i="15"/>
  <c r="T33" i="13"/>
  <c r="U42" i="13"/>
  <c r="N62" i="15"/>
  <c r="O108" i="15"/>
  <c r="O121" i="15"/>
  <c r="K134" i="15"/>
  <c r="P140" i="15"/>
  <c r="M165" i="15"/>
  <c r="L203" i="15"/>
  <c r="K206" i="15"/>
  <c r="O208" i="15"/>
  <c r="K227" i="15"/>
  <c r="K229" i="15"/>
  <c r="P242" i="15"/>
  <c r="Q245" i="15"/>
  <c r="W190" i="12"/>
  <c r="V6" i="13"/>
  <c r="B97" i="13"/>
  <c r="B152" i="13"/>
  <c r="B158" i="13"/>
  <c r="B185" i="13"/>
  <c r="L134" i="15"/>
  <c r="O165" i="15"/>
  <c r="N179" i="15"/>
  <c r="P203" i="15"/>
  <c r="P208" i="15"/>
  <c r="P223" i="15"/>
  <c r="L227" i="15"/>
  <c r="Q242" i="15"/>
  <c r="Q51" i="13"/>
  <c r="V70" i="13"/>
  <c r="V97" i="13"/>
  <c r="B132" i="12"/>
  <c r="B147" i="12"/>
  <c r="S152" i="13"/>
  <c r="P158" i="13"/>
  <c r="T185" i="13"/>
  <c r="AA183" i="12"/>
  <c r="Z194" i="12"/>
  <c r="B23" i="13"/>
  <c r="O34" i="13"/>
  <c r="P46" i="13"/>
  <c r="B82" i="13"/>
  <c r="W97" i="13"/>
  <c r="B125" i="12"/>
  <c r="U152" i="13"/>
  <c r="T158" i="13"/>
  <c r="B171" i="12"/>
  <c r="B178" i="12"/>
  <c r="B196" i="12"/>
  <c r="L61" i="15"/>
  <c r="K127" i="15"/>
  <c r="Q129" i="15"/>
  <c r="P136" i="15"/>
  <c r="N176" i="15"/>
  <c r="K181" i="15"/>
  <c r="O217" i="15"/>
  <c r="Q227" i="15"/>
  <c r="V152" i="13"/>
  <c r="N61" i="15"/>
  <c r="L127" i="15"/>
  <c r="P181" i="15"/>
  <c r="Q61" i="15"/>
  <c r="N76" i="15"/>
  <c r="O95" i="15"/>
  <c r="P101" i="15"/>
  <c r="O105" i="15"/>
  <c r="L111" i="15"/>
  <c r="O117" i="15"/>
  <c r="M127" i="15"/>
  <c r="Q176" i="15"/>
  <c r="K200" i="15"/>
  <c r="K228" i="15"/>
  <c r="P230" i="15"/>
  <c r="P241" i="15"/>
  <c r="K245" i="15"/>
  <c r="K250" i="15"/>
  <c r="P95" i="15"/>
  <c r="L245" i="15"/>
  <c r="N250" i="15"/>
  <c r="J182" i="7"/>
  <c r="I182" i="7"/>
  <c r="E74" i="4"/>
  <c r="I50" i="7"/>
  <c r="J50" i="7"/>
  <c r="J71" i="7"/>
  <c r="I71" i="7"/>
  <c r="J83" i="7"/>
  <c r="I83" i="7"/>
  <c r="J498" i="7"/>
  <c r="I498" i="7"/>
  <c r="I754" i="7"/>
  <c r="J754" i="7"/>
  <c r="J865" i="7"/>
  <c r="I865" i="7"/>
  <c r="AC109" i="5"/>
  <c r="I443" i="7"/>
  <c r="J443" i="7"/>
  <c r="I402" i="7"/>
  <c r="J402" i="7"/>
  <c r="J45" i="7"/>
  <c r="I45" i="7"/>
  <c r="J290" i="7"/>
  <c r="J378" i="7"/>
  <c r="I378" i="7"/>
  <c r="I514" i="7"/>
  <c r="J514" i="7"/>
  <c r="AP64" i="5"/>
  <c r="I17" i="7"/>
  <c r="J35" i="7"/>
  <c r="I35" i="7"/>
  <c r="J61" i="7"/>
  <c r="I61" i="7"/>
  <c r="I74" i="7"/>
  <c r="J334" i="7"/>
  <c r="I806" i="7"/>
  <c r="AP91" i="5"/>
  <c r="AC91" i="5"/>
  <c r="J38" i="7"/>
  <c r="J367" i="7"/>
  <c r="I367" i="7"/>
  <c r="J441" i="7"/>
  <c r="I441" i="7"/>
  <c r="J1387" i="7"/>
  <c r="I1387" i="7"/>
  <c r="J298" i="7"/>
  <c r="I298" i="7"/>
  <c r="J354" i="7"/>
  <c r="I354" i="7"/>
  <c r="J53" i="7"/>
  <c r="I53" i="7"/>
  <c r="J258" i="7"/>
  <c r="I258" i="7"/>
  <c r="J266" i="7"/>
  <c r="I266" i="7"/>
  <c r="J797" i="7"/>
  <c r="I797" i="7"/>
  <c r="J86" i="7"/>
  <c r="I86" i="7"/>
  <c r="I109" i="7"/>
  <c r="J131" i="7"/>
  <c r="I131" i="7"/>
  <c r="J202" i="7"/>
  <c r="I202" i="7"/>
  <c r="I286" i="7"/>
  <c r="I634" i="7"/>
  <c r="J634" i="7"/>
  <c r="J697" i="7"/>
  <c r="I697" i="7"/>
  <c r="I758" i="7"/>
  <c r="J758" i="7"/>
  <c r="J1420" i="7"/>
  <c r="I1420" i="7"/>
  <c r="J1586" i="7"/>
  <c r="I1586" i="7"/>
  <c r="AP46" i="5"/>
  <c r="AC46" i="5"/>
  <c r="T12" i="7"/>
  <c r="T17" i="7" s="1"/>
  <c r="T18" i="7" s="1"/>
  <c r="L2" i="7"/>
  <c r="K2" i="7" s="1"/>
  <c r="J11" i="7"/>
  <c r="I11" i="7"/>
  <c r="I26" i="7"/>
  <c r="J26" i="7"/>
  <c r="J31" i="7"/>
  <c r="I31" i="7"/>
  <c r="J73" i="7"/>
  <c r="I73" i="7"/>
  <c r="J107" i="7"/>
  <c r="I107" i="7"/>
  <c r="I462" i="7"/>
  <c r="J462" i="7"/>
  <c r="I510" i="7"/>
  <c r="J510" i="7"/>
  <c r="J14" i="7"/>
  <c r="I14" i="7"/>
  <c r="J157" i="7"/>
  <c r="I157" i="7"/>
  <c r="J198" i="7"/>
  <c r="I198" i="7"/>
  <c r="J303" i="7"/>
  <c r="I303" i="7"/>
  <c r="I414" i="7"/>
  <c r="J414" i="7"/>
  <c r="J515" i="7"/>
  <c r="I515" i="7"/>
  <c r="I593" i="7"/>
  <c r="I614" i="7"/>
  <c r="J674" i="7"/>
  <c r="J825" i="7"/>
  <c r="I825" i="7"/>
  <c r="I619" i="7"/>
  <c r="J619" i="7"/>
  <c r="J369" i="7"/>
  <c r="I369" i="7"/>
  <c r="J470" i="7"/>
  <c r="I470" i="7"/>
  <c r="I795" i="7"/>
  <c r="J795" i="7"/>
  <c r="J1033" i="7"/>
  <c r="I1033" i="7"/>
  <c r="J1072" i="7"/>
  <c r="I1072" i="7"/>
  <c r="J77" i="7"/>
  <c r="I77" i="7"/>
  <c r="J310" i="7"/>
  <c r="I310" i="7"/>
  <c r="I343" i="7"/>
  <c r="J343" i="7"/>
  <c r="J371" i="7"/>
  <c r="I371" i="7"/>
  <c r="I382" i="7"/>
  <c r="J382" i="7"/>
  <c r="J431" i="7"/>
  <c r="I431" i="7"/>
  <c r="J475" i="7"/>
  <c r="I475" i="7"/>
  <c r="J597" i="7"/>
  <c r="I597" i="7"/>
  <c r="I22" i="7"/>
  <c r="J22" i="7"/>
  <c r="J47" i="7"/>
  <c r="I47" i="7"/>
  <c r="J98" i="7"/>
  <c r="J119" i="7"/>
  <c r="I119" i="7"/>
  <c r="I262" i="7"/>
  <c r="J262" i="7"/>
  <c r="J10" i="7"/>
  <c r="J142" i="7"/>
  <c r="J155" i="7"/>
  <c r="J159" i="7"/>
  <c r="J161" i="7"/>
  <c r="J167" i="7"/>
  <c r="J214" i="7"/>
  <c r="J227" i="7"/>
  <c r="I246" i="7"/>
  <c r="J301" i="7"/>
  <c r="I419" i="7"/>
  <c r="J427" i="7"/>
  <c r="I435" i="7"/>
  <c r="J558" i="7"/>
  <c r="I571" i="7"/>
  <c r="J659" i="7"/>
  <c r="J871" i="7"/>
  <c r="J878" i="7"/>
  <c r="I907" i="7"/>
  <c r="J907" i="7"/>
  <c r="J1015" i="7"/>
  <c r="I1017" i="7"/>
  <c r="J1086" i="7"/>
  <c r="I1086" i="7"/>
  <c r="I1095" i="7"/>
  <c r="J1917" i="7"/>
  <c r="I1917" i="7"/>
  <c r="J1973" i="7"/>
  <c r="I1973" i="7"/>
  <c r="I2004" i="7"/>
  <c r="J2004" i="7"/>
  <c r="I3612" i="7"/>
  <c r="J3612" i="7"/>
  <c r="J210" i="7"/>
  <c r="I263" i="7"/>
  <c r="I294" i="7"/>
  <c r="J326" i="7"/>
  <c r="J586" i="7"/>
  <c r="I586" i="7"/>
  <c r="I599" i="7"/>
  <c r="J883" i="7"/>
  <c r="I883" i="7"/>
  <c r="I955" i="7"/>
  <c r="J1055" i="7"/>
  <c r="I1159" i="7"/>
  <c r="I1201" i="7"/>
  <c r="J1201" i="7"/>
  <c r="I1372" i="7"/>
  <c r="J1566" i="7"/>
  <c r="I1566" i="7"/>
  <c r="J1606" i="7"/>
  <c r="I1606" i="7"/>
  <c r="I2234" i="7"/>
  <c r="J2234" i="7"/>
  <c r="I2241" i="7"/>
  <c r="J2241" i="7"/>
  <c r="J2481" i="7"/>
  <c r="I2481" i="7"/>
  <c r="J2769" i="7"/>
  <c r="I2769" i="7"/>
  <c r="I767" i="7"/>
  <c r="J767" i="7"/>
  <c r="I1053" i="7"/>
  <c r="J1053" i="7"/>
  <c r="I1076" i="7"/>
  <c r="J2381" i="7"/>
  <c r="I2381" i="7"/>
  <c r="J2754" i="7"/>
  <c r="I2754" i="7"/>
  <c r="I2767" i="7"/>
  <c r="J2767" i="7"/>
  <c r="J1011" i="7"/>
  <c r="I1011" i="7"/>
  <c r="J29" i="7"/>
  <c r="J41" i="7"/>
  <c r="J82" i="7"/>
  <c r="I137" i="7"/>
  <c r="I207" i="7"/>
  <c r="J242" i="7"/>
  <c r="J295" i="7"/>
  <c r="I323" i="7"/>
  <c r="J447" i="7"/>
  <c r="I543" i="7"/>
  <c r="I563" i="7"/>
  <c r="J579" i="7"/>
  <c r="J582" i="7"/>
  <c r="I582" i="7"/>
  <c r="J667" i="7"/>
  <c r="J702" i="7"/>
  <c r="I769" i="7"/>
  <c r="J803" i="7"/>
  <c r="J849" i="7"/>
  <c r="J921" i="7"/>
  <c r="I945" i="7"/>
  <c r="I971" i="7"/>
  <c r="J1136" i="7"/>
  <c r="I1167" i="7"/>
  <c r="J1223" i="7"/>
  <c r="J1340" i="7"/>
  <c r="J1400" i="7"/>
  <c r="I1400" i="7"/>
  <c r="I2121" i="7"/>
  <c r="J2121" i="7"/>
  <c r="AC198" i="5"/>
  <c r="AB3" i="6"/>
  <c r="I89" i="7"/>
  <c r="J125" i="7"/>
  <c r="J178" i="7"/>
  <c r="J281" i="7"/>
  <c r="I339" i="7"/>
  <c r="J351" i="7"/>
  <c r="J391" i="7"/>
  <c r="I411" i="7"/>
  <c r="J486" i="7"/>
  <c r="I539" i="7"/>
  <c r="I627" i="7"/>
  <c r="J698" i="7"/>
  <c r="I735" i="7"/>
  <c r="J774" i="7"/>
  <c r="I841" i="7"/>
  <c r="I845" i="7"/>
  <c r="I847" i="7"/>
  <c r="J877" i="7"/>
  <c r="J886" i="7"/>
  <c r="I941" i="7"/>
  <c r="J961" i="7"/>
  <c r="J993" i="7"/>
  <c r="J1009" i="7"/>
  <c r="I1009" i="7"/>
  <c r="J1064" i="7"/>
  <c r="I1064" i="7"/>
  <c r="J1084" i="7"/>
  <c r="I1094" i="7"/>
  <c r="I1098" i="7"/>
  <c r="J1103" i="7"/>
  <c r="J1270" i="7"/>
  <c r="J1295" i="7"/>
  <c r="I1295" i="7"/>
  <c r="J2269" i="7"/>
  <c r="I2269" i="7"/>
  <c r="I2284" i="7"/>
  <c r="J2284" i="7"/>
  <c r="J2295" i="7"/>
  <c r="I2295" i="7"/>
  <c r="AC3" i="6"/>
  <c r="I16" i="7"/>
  <c r="I59" i="7"/>
  <c r="I95" i="7"/>
  <c r="I139" i="7"/>
  <c r="J195" i="7"/>
  <c r="J211" i="7"/>
  <c r="J235" i="7"/>
  <c r="J285" i="7"/>
  <c r="J467" i="7"/>
  <c r="J478" i="7"/>
  <c r="J621" i="7"/>
  <c r="J630" i="7"/>
  <c r="I630" i="7"/>
  <c r="J726" i="7"/>
  <c r="J763" i="7"/>
  <c r="J861" i="7"/>
  <c r="J937" i="7"/>
  <c r="J939" i="7"/>
  <c r="J1041" i="7"/>
  <c r="J1075" i="7"/>
  <c r="I1075" i="7"/>
  <c r="I1092" i="7"/>
  <c r="J1092" i="7"/>
  <c r="J1175" i="7"/>
  <c r="J1195" i="7"/>
  <c r="I1195" i="7"/>
  <c r="J1941" i="7"/>
  <c r="I1941" i="7"/>
  <c r="I2076" i="7"/>
  <c r="J2076" i="7"/>
  <c r="J3199" i="7"/>
  <c r="I3199" i="7"/>
  <c r="J3469" i="7"/>
  <c r="I3469" i="7"/>
  <c r="I3476" i="7"/>
  <c r="J3476" i="7"/>
  <c r="I3569" i="7"/>
  <c r="J3569" i="7"/>
  <c r="J9" i="7"/>
  <c r="J65" i="7"/>
  <c r="J75" i="7"/>
  <c r="J105" i="7"/>
  <c r="J110" i="7"/>
  <c r="J233" i="7"/>
  <c r="J314" i="7"/>
  <c r="J559" i="7"/>
  <c r="J607" i="7"/>
  <c r="J649" i="7"/>
  <c r="J717" i="7"/>
  <c r="I843" i="7"/>
  <c r="J875" i="7"/>
  <c r="J897" i="7"/>
  <c r="J983" i="7"/>
  <c r="J1021" i="7"/>
  <c r="I1021" i="7"/>
  <c r="I1062" i="7"/>
  <c r="J1062" i="7"/>
  <c r="J1351" i="7"/>
  <c r="I1351" i="7"/>
  <c r="I1356" i="7"/>
  <c r="J1438" i="7"/>
  <c r="I1438" i="7"/>
  <c r="J1610" i="7"/>
  <c r="I1610" i="7"/>
  <c r="I2207" i="7"/>
  <c r="J2207" i="7"/>
  <c r="J63" i="7"/>
  <c r="I101" i="7"/>
  <c r="J177" i="7"/>
  <c r="I179" i="7"/>
  <c r="J203" i="7"/>
  <c r="J315" i="7"/>
  <c r="J319" i="7"/>
  <c r="J383" i="7"/>
  <c r="I387" i="7"/>
  <c r="I707" i="7"/>
  <c r="J911" i="7"/>
  <c r="I1139" i="7"/>
  <c r="J1139" i="7"/>
  <c r="J1198" i="7"/>
  <c r="J1235" i="7"/>
  <c r="J1364" i="7"/>
  <c r="J1562" i="7"/>
  <c r="I1562" i="7"/>
  <c r="J1933" i="7"/>
  <c r="I1933" i="7"/>
  <c r="I2180" i="7"/>
  <c r="J2180" i="7"/>
  <c r="I2401" i="7"/>
  <c r="J2401" i="7"/>
  <c r="I2684" i="7"/>
  <c r="J2684" i="7"/>
  <c r="I2740" i="7"/>
  <c r="J2740" i="7"/>
  <c r="I79" i="7"/>
  <c r="J169" i="7"/>
  <c r="J170" i="7"/>
  <c r="J265" i="7"/>
  <c r="J267" i="7"/>
  <c r="I358" i="7"/>
  <c r="J430" i="7"/>
  <c r="I437" i="7"/>
  <c r="J450" i="7"/>
  <c r="I455" i="7"/>
  <c r="J459" i="7"/>
  <c r="I465" i="7"/>
  <c r="J479" i="7"/>
  <c r="I482" i="7"/>
  <c r="J482" i="7"/>
  <c r="J535" i="7"/>
  <c r="J679" i="7"/>
  <c r="J699" i="7"/>
  <c r="I699" i="7"/>
  <c r="J731" i="7"/>
  <c r="I761" i="7"/>
  <c r="I793" i="7"/>
  <c r="J833" i="7"/>
  <c r="I833" i="7"/>
  <c r="J1005" i="7"/>
  <c r="I1005" i="7"/>
  <c r="J1037" i="7"/>
  <c r="I1037" i="7"/>
  <c r="J1251" i="7"/>
  <c r="I1251" i="7"/>
  <c r="J1578" i="7"/>
  <c r="I1578" i="7"/>
  <c r="J2622" i="7"/>
  <c r="I2622" i="7"/>
  <c r="J1142" i="7"/>
  <c r="I1142" i="7"/>
  <c r="J1203" i="7"/>
  <c r="I1203" i="7"/>
  <c r="J1399" i="7"/>
  <c r="I1399" i="7"/>
  <c r="J1494" i="7"/>
  <c r="I1494" i="7"/>
  <c r="J1598" i="7"/>
  <c r="I1598" i="7"/>
  <c r="I2028" i="7"/>
  <c r="J2028" i="7"/>
  <c r="I2521" i="7"/>
  <c r="J2521" i="7"/>
  <c r="I158" i="7"/>
  <c r="I169" i="7"/>
  <c r="I250" i="7"/>
  <c r="J259" i="7"/>
  <c r="I265" i="7"/>
  <c r="I267" i="7"/>
  <c r="J358" i="7"/>
  <c r="J379" i="7"/>
  <c r="J463" i="7"/>
  <c r="J562" i="7"/>
  <c r="J593" i="7"/>
  <c r="J703" i="7"/>
  <c r="I750" i="7"/>
  <c r="J787" i="7"/>
  <c r="I829" i="7"/>
  <c r="I857" i="7"/>
  <c r="J905" i="7"/>
  <c r="I905" i="7"/>
  <c r="I953" i="7"/>
  <c r="I979" i="7"/>
  <c r="J1035" i="7"/>
  <c r="J1088" i="7"/>
  <c r="I1116" i="7"/>
  <c r="J1116" i="7"/>
  <c r="J1299" i="7"/>
  <c r="I1299" i="7"/>
  <c r="I1424" i="7"/>
  <c r="J1981" i="7"/>
  <c r="I1981" i="7"/>
  <c r="J2483" i="7"/>
  <c r="I2483" i="7"/>
  <c r="I2541" i="7"/>
  <c r="J2541" i="7"/>
  <c r="I2549" i="7"/>
  <c r="J2549" i="7"/>
  <c r="I2557" i="7"/>
  <c r="J2557" i="7"/>
  <c r="J2133" i="7"/>
  <c r="I2133" i="7"/>
  <c r="J2138" i="7"/>
  <c r="I2138" i="7"/>
  <c r="I2654" i="7"/>
  <c r="J2654" i="7"/>
  <c r="I2724" i="7"/>
  <c r="J2724" i="7"/>
  <c r="J507" i="7"/>
  <c r="J519" i="7"/>
  <c r="J610" i="7"/>
  <c r="J655" i="7"/>
  <c r="I687" i="7"/>
  <c r="I727" i="7"/>
  <c r="J751" i="7"/>
  <c r="J775" i="7"/>
  <c r="J819" i="7"/>
  <c r="I891" i="7"/>
  <c r="I1147" i="7"/>
  <c r="I1191" i="7"/>
  <c r="J1267" i="7"/>
  <c r="J1291" i="7"/>
  <c r="I1291" i="7"/>
  <c r="J1376" i="7"/>
  <c r="J1414" i="7"/>
  <c r="I1414" i="7"/>
  <c r="J1462" i="7"/>
  <c r="I1462" i="7"/>
  <c r="J1478" i="7"/>
  <c r="J1506" i="7"/>
  <c r="J1508" i="7"/>
  <c r="J1564" i="7"/>
  <c r="J2446" i="7"/>
  <c r="I2446" i="7"/>
  <c r="J2673" i="7"/>
  <c r="I2673" i="7"/>
  <c r="I3540" i="7"/>
  <c r="J3540" i="7"/>
  <c r="J1323" i="7"/>
  <c r="I1323" i="7"/>
  <c r="I1352" i="7"/>
  <c r="J1359" i="7"/>
  <c r="I1383" i="7"/>
  <c r="J1403" i="7"/>
  <c r="I1480" i="7"/>
  <c r="J1536" i="7"/>
  <c r="J1616" i="7"/>
  <c r="J1936" i="7"/>
  <c r="J2093" i="7"/>
  <c r="J2239" i="7"/>
  <c r="I2239" i="7"/>
  <c r="I2533" i="7"/>
  <c r="J2533" i="7"/>
  <c r="I2609" i="7"/>
  <c r="I2634" i="7"/>
  <c r="J2634" i="7"/>
  <c r="I3255" i="7"/>
  <c r="J3255" i="7"/>
  <c r="I1396" i="7"/>
  <c r="I1944" i="7"/>
  <c r="J1944" i="7"/>
  <c r="I2088" i="7"/>
  <c r="J2088" i="7"/>
  <c r="J2303" i="7"/>
  <c r="J2416" i="7"/>
  <c r="I2780" i="7"/>
  <c r="J2780" i="7"/>
  <c r="I2980" i="7"/>
  <c r="J2980" i="7"/>
  <c r="I3222" i="7"/>
  <c r="J3222" i="7"/>
  <c r="J3610" i="7"/>
  <c r="I3610" i="7"/>
  <c r="J511" i="7"/>
  <c r="J791" i="7"/>
  <c r="I811" i="7"/>
  <c r="J855" i="7"/>
  <c r="I1003" i="7"/>
  <c r="J1039" i="7"/>
  <c r="I1348" i="7"/>
  <c r="J1518" i="7"/>
  <c r="J1520" i="7"/>
  <c r="J1965" i="7"/>
  <c r="I1965" i="7"/>
  <c r="J2163" i="7"/>
  <c r="J2245" i="7"/>
  <c r="I2245" i="7"/>
  <c r="I2333" i="7"/>
  <c r="J2333" i="7"/>
  <c r="I3276" i="7"/>
  <c r="J3276" i="7"/>
  <c r="J1315" i="7"/>
  <c r="J1331" i="7"/>
  <c r="J1363" i="7"/>
  <c r="J2213" i="7"/>
  <c r="J2221" i="7"/>
  <c r="I2425" i="7"/>
  <c r="J2425" i="7"/>
  <c r="I2692" i="7"/>
  <c r="J2692" i="7"/>
  <c r="J487" i="7"/>
  <c r="J551" i="7"/>
  <c r="I675" i="7"/>
  <c r="J839" i="7"/>
  <c r="J851" i="7"/>
  <c r="J899" i="7"/>
  <c r="J915" i="7"/>
  <c r="J919" i="7"/>
  <c r="J931" i="7"/>
  <c r="J935" i="7"/>
  <c r="I943" i="7"/>
  <c r="I987" i="7"/>
  <c r="J999" i="7"/>
  <c r="J1003" i="7"/>
  <c r="J1027" i="7"/>
  <c r="I1066" i="7"/>
  <c r="I1077" i="7"/>
  <c r="I1101" i="7"/>
  <c r="J1101" i="7"/>
  <c r="J1130" i="7"/>
  <c r="J1215" i="7"/>
  <c r="J1231" i="7"/>
  <c r="J1263" i="7"/>
  <c r="J1375" i="7"/>
  <c r="J1434" i="7"/>
  <c r="J1452" i="7"/>
  <c r="I1516" i="7"/>
  <c r="I1518" i="7"/>
  <c r="I1520" i="7"/>
  <c r="J1570" i="7"/>
  <c r="I1570" i="7"/>
  <c r="J1582" i="7"/>
  <c r="I1582" i="7"/>
  <c r="J1957" i="7"/>
  <c r="I1957" i="7"/>
  <c r="I2064" i="7"/>
  <c r="J2064" i="7"/>
  <c r="J2161" i="7"/>
  <c r="J2369" i="7"/>
  <c r="I2597" i="7"/>
  <c r="J2597" i="7"/>
  <c r="I2600" i="7"/>
  <c r="J2708" i="7"/>
  <c r="I2708" i="7"/>
  <c r="J2756" i="7"/>
  <c r="I2756" i="7"/>
  <c r="I1271" i="7"/>
  <c r="J1283" i="7"/>
  <c r="J1466" i="7"/>
  <c r="I1468" i="7"/>
  <c r="J1949" i="7"/>
  <c r="I1949" i="7"/>
  <c r="I1991" i="7"/>
  <c r="J2045" i="7"/>
  <c r="J2125" i="7"/>
  <c r="I2125" i="7"/>
  <c r="J2253" i="7"/>
  <c r="I2253" i="7"/>
  <c r="J2285" i="7"/>
  <c r="I2285" i="7"/>
  <c r="I2321" i="7"/>
  <c r="J2321" i="7"/>
  <c r="I2464" i="7"/>
  <c r="J2464" i="7"/>
  <c r="I1327" i="7"/>
  <c r="J1482" i="7"/>
  <c r="J2123" i="7"/>
  <c r="I2123" i="7"/>
  <c r="I2313" i="7"/>
  <c r="J2313" i="7"/>
  <c r="I2680" i="7"/>
  <c r="J2680" i="7"/>
  <c r="I2759" i="7"/>
  <c r="J2759" i="7"/>
  <c r="J1540" i="7"/>
  <c r="J1542" i="7"/>
  <c r="I2006" i="7"/>
  <c r="I2104" i="7"/>
  <c r="J2104" i="7"/>
  <c r="J2323" i="7"/>
  <c r="J2387" i="7"/>
  <c r="I2392" i="7"/>
  <c r="J2392" i="7"/>
  <c r="J2439" i="7"/>
  <c r="I2439" i="7"/>
  <c r="I2727" i="7"/>
  <c r="J2727" i="7"/>
  <c r="I2975" i="7"/>
  <c r="J2975" i="7"/>
  <c r="J3136" i="7"/>
  <c r="I3147" i="7"/>
  <c r="J3147" i="7"/>
  <c r="J2246" i="7"/>
  <c r="I2246" i="7"/>
  <c r="I2309" i="7"/>
  <c r="J2309" i="7"/>
  <c r="I2454" i="7"/>
  <c r="J2454" i="7"/>
  <c r="I2519" i="7"/>
  <c r="J2519" i="7"/>
  <c r="J2687" i="7"/>
  <c r="I2687" i="7"/>
  <c r="I2772" i="7"/>
  <c r="J2772" i="7"/>
  <c r="I2812" i="7"/>
  <c r="J2812" i="7"/>
  <c r="I3150" i="7"/>
  <c r="J3150" i="7"/>
  <c r="I3579" i="7"/>
  <c r="J3579" i="7"/>
  <c r="I1303" i="7"/>
  <c r="I1428" i="7"/>
  <c r="I1487" i="7"/>
  <c r="I1491" i="7"/>
  <c r="I1992" i="7"/>
  <c r="J1992" i="7"/>
  <c r="J2052" i="7"/>
  <c r="I2235" i="7"/>
  <c r="I2338" i="7"/>
  <c r="J2347" i="7"/>
  <c r="I2357" i="7"/>
  <c r="I2537" i="7"/>
  <c r="I2581" i="7"/>
  <c r="I2823" i="7"/>
  <c r="J2823" i="7"/>
  <c r="I2870" i="7"/>
  <c r="J2870" i="7"/>
  <c r="J3399" i="7"/>
  <c r="I3399" i="7"/>
  <c r="I2193" i="7"/>
  <c r="I2259" i="7"/>
  <c r="J2259" i="7"/>
  <c r="J2293" i="7"/>
  <c r="I2293" i="7"/>
  <c r="J2435" i="7"/>
  <c r="I2435" i="7"/>
  <c r="I2502" i="7"/>
  <c r="J2502" i="7"/>
  <c r="I2565" i="7"/>
  <c r="J2565" i="7"/>
  <c r="I2668" i="7"/>
  <c r="J2668" i="7"/>
  <c r="J2738" i="7"/>
  <c r="I2738" i="7"/>
  <c r="I2966" i="7"/>
  <c r="J2966" i="7"/>
  <c r="J3003" i="7"/>
  <c r="I3003" i="7"/>
  <c r="J3367" i="7"/>
  <c r="I3367" i="7"/>
  <c r="I3467" i="7"/>
  <c r="J3467" i="7"/>
  <c r="J1968" i="7"/>
  <c r="I2016" i="7"/>
  <c r="J2016" i="7"/>
  <c r="J2174" i="7"/>
  <c r="J2198" i="7"/>
  <c r="J2271" i="7"/>
  <c r="I2310" i="7"/>
  <c r="J2343" i="7"/>
  <c r="I2343" i="7"/>
  <c r="J2403" i="7"/>
  <c r="I2403" i="7"/>
  <c r="J2415" i="7"/>
  <c r="I2415" i="7"/>
  <c r="J2743" i="7"/>
  <c r="I2743" i="7"/>
  <c r="J2786" i="7"/>
  <c r="I2786" i="7"/>
  <c r="J1127" i="7"/>
  <c r="I1134" i="7"/>
  <c r="J1187" i="7"/>
  <c r="J1243" i="7"/>
  <c r="I1249" i="7"/>
  <c r="J1339" i="7"/>
  <c r="I1360" i="7"/>
  <c r="J1450" i="7"/>
  <c r="J1574" i="7"/>
  <c r="J1920" i="7"/>
  <c r="I2078" i="7"/>
  <c r="I2102" i="7"/>
  <c r="I2172" i="7"/>
  <c r="J2172" i="7"/>
  <c r="J2193" i="7"/>
  <c r="J2205" i="7"/>
  <c r="J2229" i="7"/>
  <c r="J2329" i="7"/>
  <c r="J2393" i="7"/>
  <c r="I2447" i="7"/>
  <c r="J2447" i="7"/>
  <c r="I2495" i="7"/>
  <c r="J2495" i="7"/>
  <c r="I2577" i="7"/>
  <c r="I2614" i="7"/>
  <c r="J2614" i="7"/>
  <c r="J2746" i="7"/>
  <c r="I2746" i="7"/>
  <c r="I2764" i="7"/>
  <c r="J2764" i="7"/>
  <c r="I2898" i="7"/>
  <c r="I2959" i="7"/>
  <c r="J2959" i="7"/>
  <c r="J1174" i="7"/>
  <c r="I1207" i="7"/>
  <c r="I1255" i="7"/>
  <c r="I1335" i="7"/>
  <c r="J1371" i="7"/>
  <c r="I1388" i="7"/>
  <c r="J1391" i="7"/>
  <c r="J1490" i="7"/>
  <c r="J1572" i="7"/>
  <c r="J1600" i="7"/>
  <c r="J1602" i="7"/>
  <c r="I1952" i="7"/>
  <c r="J2040" i="7"/>
  <c r="I2134" i="7"/>
  <c r="I2165" i="7"/>
  <c r="J2176" i="7"/>
  <c r="J2361" i="7"/>
  <c r="I2430" i="7"/>
  <c r="J2430" i="7"/>
  <c r="I2433" i="7"/>
  <c r="J2433" i="7"/>
  <c r="J2515" i="7"/>
  <c r="I2553" i="7"/>
  <c r="I2558" i="7"/>
  <c r="J2558" i="7"/>
  <c r="I2584" i="7"/>
  <c r="J2584" i="7"/>
  <c r="I2589" i="7"/>
  <c r="J2589" i="7"/>
  <c r="I2646" i="7"/>
  <c r="J2646" i="7"/>
  <c r="I2696" i="7"/>
  <c r="I2791" i="7"/>
  <c r="I2840" i="7"/>
  <c r="J2840" i="7"/>
  <c r="J2843" i="7"/>
  <c r="I2843" i="7"/>
  <c r="J2946" i="7"/>
  <c r="I2946" i="7"/>
  <c r="J4783" i="7"/>
  <c r="I4783" i="7"/>
  <c r="J1347" i="7"/>
  <c r="I1496" i="7"/>
  <c r="I1500" i="7"/>
  <c r="J2186" i="7"/>
  <c r="I2290" i="7"/>
  <c r="J2315" i="7"/>
  <c r="J2317" i="7"/>
  <c r="J2443" i="7"/>
  <c r="I2443" i="7"/>
  <c r="J2450" i="7"/>
  <c r="J2459" i="7"/>
  <c r="J2582" i="7"/>
  <c r="I2582" i="7"/>
  <c r="J2798" i="7"/>
  <c r="J2867" i="7"/>
  <c r="I2867" i="7"/>
  <c r="I3026" i="7"/>
  <c r="I3500" i="7"/>
  <c r="J3500" i="7"/>
  <c r="I3514" i="7"/>
  <c r="J3514" i="7"/>
  <c r="J4270" i="7"/>
  <c r="I4270" i="7"/>
  <c r="J4456" i="7"/>
  <c r="I4456" i="7"/>
  <c r="I1928" i="7"/>
  <c r="I1976" i="7"/>
  <c r="I1994" i="7"/>
  <c r="J2069" i="7"/>
  <c r="I2108" i="7"/>
  <c r="J2141" i="7"/>
  <c r="J2195" i="7"/>
  <c r="I2238" i="7"/>
  <c r="J2275" i="7"/>
  <c r="I2282" i="7"/>
  <c r="J2282" i="7"/>
  <c r="I2286" i="7"/>
  <c r="I2324" i="7"/>
  <c r="J2348" i="7"/>
  <c r="J2362" i="7"/>
  <c r="J2507" i="7"/>
  <c r="I2616" i="7"/>
  <c r="I2648" i="7"/>
  <c r="J2657" i="7"/>
  <c r="I2703" i="7"/>
  <c r="J2706" i="7"/>
  <c r="J2715" i="7"/>
  <c r="I2991" i="7"/>
  <c r="J2991" i="7"/>
  <c r="J3011" i="7"/>
  <c r="I3011" i="7"/>
  <c r="J3447" i="7"/>
  <c r="I3447" i="7"/>
  <c r="J3493" i="7"/>
  <c r="I3493" i="7"/>
  <c r="I3524" i="7"/>
  <c r="J3524" i="7"/>
  <c r="J3677" i="7"/>
  <c r="I3677" i="7"/>
  <c r="J4160" i="7"/>
  <c r="I4160" i="7"/>
  <c r="J4200" i="7"/>
  <c r="I4200" i="7"/>
  <c r="J4208" i="7"/>
  <c r="I4208" i="7"/>
  <c r="J4538" i="7"/>
  <c r="J4562" i="7"/>
  <c r="I1984" i="7"/>
  <c r="I2066" i="7"/>
  <c r="I2126" i="7"/>
  <c r="J2251" i="7"/>
  <c r="I2307" i="7"/>
  <c r="J2331" i="7"/>
  <c r="J2355" i="7"/>
  <c r="I2473" i="7"/>
  <c r="J2655" i="7"/>
  <c r="I2655" i="7"/>
  <c r="I2878" i="7"/>
  <c r="J2878" i="7"/>
  <c r="J3114" i="7"/>
  <c r="J4228" i="7"/>
  <c r="I4228" i="7"/>
  <c r="J4504" i="7"/>
  <c r="I4504" i="7"/>
  <c r="J4879" i="7"/>
  <c r="I4879" i="7"/>
  <c r="I4478" i="7"/>
  <c r="J4478" i="7"/>
  <c r="J4640" i="7"/>
  <c r="I4640" i="7"/>
  <c r="I2135" i="7"/>
  <c r="J2155" i="7"/>
  <c r="I2258" i="7"/>
  <c r="I2471" i="7"/>
  <c r="I2478" i="7"/>
  <c r="J2478" i="7"/>
  <c r="I2550" i="7"/>
  <c r="I2644" i="7"/>
  <c r="J2644" i="7"/>
  <c r="I2804" i="7"/>
  <c r="J2804" i="7"/>
  <c r="I2887" i="7"/>
  <c r="J2887" i="7"/>
  <c r="J3194" i="7"/>
  <c r="I3194" i="7"/>
  <c r="I4190" i="7"/>
  <c r="J4190" i="7"/>
  <c r="I4473" i="7"/>
  <c r="J4473" i="7"/>
  <c r="I2395" i="7"/>
  <c r="J2778" i="7"/>
  <c r="I2778" i="7"/>
  <c r="J2792" i="7"/>
  <c r="J2954" i="7"/>
  <c r="I3099" i="7"/>
  <c r="J3099" i="7"/>
  <c r="J3327" i="7"/>
  <c r="I3327" i="7"/>
  <c r="J4047" i="7"/>
  <c r="I4047" i="7"/>
  <c r="I4055" i="7"/>
  <c r="J4055" i="7"/>
  <c r="J4122" i="7"/>
  <c r="I4122" i="7"/>
  <c r="J4340" i="7"/>
  <c r="I4340" i="7"/>
  <c r="I2042" i="7"/>
  <c r="J2159" i="7"/>
  <c r="J2258" i="7"/>
  <c r="I2412" i="7"/>
  <c r="J2429" i="7"/>
  <c r="I2440" i="7"/>
  <c r="J2440" i="7"/>
  <c r="J2442" i="7"/>
  <c r="J2471" i="7"/>
  <c r="J2550" i="7"/>
  <c r="I2601" i="7"/>
  <c r="J2658" i="7"/>
  <c r="I2700" i="7"/>
  <c r="I2711" i="7"/>
  <c r="J2711" i="7"/>
  <c r="J2730" i="7"/>
  <c r="I2748" i="7"/>
  <c r="J2748" i="7"/>
  <c r="I2788" i="7"/>
  <c r="J3315" i="7"/>
  <c r="I3315" i="7"/>
  <c r="I3564" i="7"/>
  <c r="J3564" i="7"/>
  <c r="I3733" i="7"/>
  <c r="J3741" i="7"/>
  <c r="I3741" i="7"/>
  <c r="J3853" i="7"/>
  <c r="I3853" i="7"/>
  <c r="J3897" i="7"/>
  <c r="J3934" i="7"/>
  <c r="I3934" i="7"/>
  <c r="J3942" i="7"/>
  <c r="I3985" i="7"/>
  <c r="I4039" i="7"/>
  <c r="J4039" i="7"/>
  <c r="J3692" i="7"/>
  <c r="I3817" i="7"/>
  <c r="I3123" i="7"/>
  <c r="J3123" i="7"/>
  <c r="I3243" i="7"/>
  <c r="J3243" i="7"/>
  <c r="J3700" i="7"/>
  <c r="J3931" i="7"/>
  <c r="I3931" i="7"/>
  <c r="I4014" i="7"/>
  <c r="J4014" i="7"/>
  <c r="J4017" i="7"/>
  <c r="I4017" i="7"/>
  <c r="I1960" i="7"/>
  <c r="I2018" i="7"/>
  <c r="I2090" i="7"/>
  <c r="I2179" i="7"/>
  <c r="J2283" i="7"/>
  <c r="J2299" i="7"/>
  <c r="I2378" i="7"/>
  <c r="J2378" i="7"/>
  <c r="I2419" i="7"/>
  <c r="I2488" i="7"/>
  <c r="I2922" i="7"/>
  <c r="J2922" i="7"/>
  <c r="J3953" i="7"/>
  <c r="I3953" i="7"/>
  <c r="J2183" i="7"/>
  <c r="J2327" i="7"/>
  <c r="J2410" i="7"/>
  <c r="J2522" i="7"/>
  <c r="J2722" i="7"/>
  <c r="I2799" i="7"/>
  <c r="J2801" i="7"/>
  <c r="I2858" i="7"/>
  <c r="I2894" i="7"/>
  <c r="J2955" i="7"/>
  <c r="I3023" i="7"/>
  <c r="I3056" i="7"/>
  <c r="I3174" i="7"/>
  <c r="J3558" i="7"/>
  <c r="I3558" i="7"/>
  <c r="I3565" i="7"/>
  <c r="J3672" i="7"/>
  <c r="J3940" i="7"/>
  <c r="I3940" i="7"/>
  <c r="J3971" i="7"/>
  <c r="I3971" i="7"/>
  <c r="J4066" i="7"/>
  <c r="I4066" i="7"/>
  <c r="I4097" i="7"/>
  <c r="J4097" i="7"/>
  <c r="I4135" i="7"/>
  <c r="J4135" i="7"/>
  <c r="I4169" i="7"/>
  <c r="I4803" i="7"/>
  <c r="J4803" i="7"/>
  <c r="L43" i="10"/>
  <c r="D43" i="10"/>
  <c r="B43" i="10"/>
  <c r="N43" i="10"/>
  <c r="K43" i="10"/>
  <c r="I43" i="10"/>
  <c r="E43" i="10"/>
  <c r="G43" i="10" s="1"/>
  <c r="I2815" i="7"/>
  <c r="I2927" i="7"/>
  <c r="I2988" i="7"/>
  <c r="I3046" i="7"/>
  <c r="J3046" i="7"/>
  <c r="I3051" i="7"/>
  <c r="J3051" i="7"/>
  <c r="I3111" i="7"/>
  <c r="J3111" i="7"/>
  <c r="I3118" i="7"/>
  <c r="I3248" i="7"/>
  <c r="I3347" i="7"/>
  <c r="J3347" i="7"/>
  <c r="I3620" i="7"/>
  <c r="J3620" i="7"/>
  <c r="J4188" i="7"/>
  <c r="I4188" i="7"/>
  <c r="J4710" i="7"/>
  <c r="I4710" i="7"/>
  <c r="J4727" i="7"/>
  <c r="I4727" i="7"/>
  <c r="C76" i="9"/>
  <c r="B76" i="9"/>
  <c r="F76" i="9"/>
  <c r="E76" i="9"/>
  <c r="D76" i="9"/>
  <c r="L145" i="9"/>
  <c r="K145" i="9"/>
  <c r="E145" i="9"/>
  <c r="D145" i="9"/>
  <c r="F145" i="9"/>
  <c r="C145" i="9"/>
  <c r="J2836" i="7"/>
  <c r="I2911" i="7"/>
  <c r="J3108" i="7"/>
  <c r="J3132" i="7"/>
  <c r="J3227" i="7"/>
  <c r="I3227" i="7"/>
  <c r="I3311" i="7"/>
  <c r="J3311" i="7"/>
  <c r="I3390" i="7"/>
  <c r="J3390" i="7"/>
  <c r="I3395" i="7"/>
  <c r="J3395" i="7"/>
  <c r="I3548" i="7"/>
  <c r="J3548" i="7"/>
  <c r="J3613" i="7"/>
  <c r="I3721" i="7"/>
  <c r="J3721" i="7"/>
  <c r="I4138" i="7"/>
  <c r="J4138" i="7"/>
  <c r="J4428" i="7"/>
  <c r="I4428" i="7"/>
  <c r="I4741" i="7"/>
  <c r="J4741" i="7"/>
  <c r="J4823" i="7"/>
  <c r="I4823" i="7"/>
  <c r="J2828" i="7"/>
  <c r="J2831" i="7"/>
  <c r="I2979" i="7"/>
  <c r="I2984" i="7"/>
  <c r="I3203" i="7"/>
  <c r="I3251" i="7"/>
  <c r="J3251" i="7"/>
  <c r="I3371" i="7"/>
  <c r="J3371" i="7"/>
  <c r="J3378" i="7"/>
  <c r="I3383" i="7"/>
  <c r="J3383" i="7"/>
  <c r="I3388" i="7"/>
  <c r="J3388" i="7"/>
  <c r="I3575" i="7"/>
  <c r="J3686" i="7"/>
  <c r="J3805" i="7"/>
  <c r="I3805" i="7"/>
  <c r="J3969" i="7"/>
  <c r="I3969" i="7"/>
  <c r="J4354" i="7"/>
  <c r="I4354" i="7"/>
  <c r="J4442" i="7"/>
  <c r="I4442" i="7"/>
  <c r="I2836" i="7"/>
  <c r="I2854" i="7"/>
  <c r="I2874" i="7"/>
  <c r="J2911" i="7"/>
  <c r="I2972" i="7"/>
  <c r="I2982" i="7"/>
  <c r="J2982" i="7"/>
  <c r="I2999" i="7"/>
  <c r="J3036" i="7"/>
  <c r="I3054" i="7"/>
  <c r="J3170" i="7"/>
  <c r="I3195" i="7"/>
  <c r="J3195" i="7"/>
  <c r="J3573" i="7"/>
  <c r="I3573" i="7"/>
  <c r="I3578" i="7"/>
  <c r="J3640" i="7"/>
  <c r="I3640" i="7"/>
  <c r="J3982" i="7"/>
  <c r="I3982" i="7"/>
  <c r="I4761" i="7"/>
  <c r="J4761" i="7"/>
  <c r="I2030" i="7"/>
  <c r="I2215" i="7"/>
  <c r="I2314" i="7"/>
  <c r="J2474" i="7"/>
  <c r="I2542" i="7"/>
  <c r="I2574" i="7"/>
  <c r="I2671" i="7"/>
  <c r="I2716" i="7"/>
  <c r="I2732" i="7"/>
  <c r="I2842" i="7"/>
  <c r="J2842" i="7"/>
  <c r="J2895" i="7"/>
  <c r="I2900" i="7"/>
  <c r="J2902" i="7"/>
  <c r="J2939" i="7"/>
  <c r="J3004" i="7"/>
  <c r="I3052" i="7"/>
  <c r="J3079" i="7"/>
  <c r="I3198" i="7"/>
  <c r="J3198" i="7"/>
  <c r="I3208" i="7"/>
  <c r="J3244" i="7"/>
  <c r="I3263" i="7"/>
  <c r="I3466" i="7"/>
  <c r="J3466" i="7"/>
  <c r="I3497" i="7"/>
  <c r="J3497" i="7"/>
  <c r="J3557" i="7"/>
  <c r="J3597" i="7"/>
  <c r="I3597" i="7"/>
  <c r="J3621" i="7"/>
  <c r="J3645" i="7"/>
  <c r="I3645" i="7"/>
  <c r="I3686" i="7"/>
  <c r="I3797" i="7"/>
  <c r="J3797" i="7"/>
  <c r="I3913" i="7"/>
  <c r="J3913" i="7"/>
  <c r="J3998" i="7"/>
  <c r="I3998" i="7"/>
  <c r="I4070" i="7"/>
  <c r="J4070" i="7"/>
  <c r="I4126" i="7"/>
  <c r="J4126" i="7"/>
  <c r="J4490" i="7"/>
  <c r="I4490" i="7"/>
  <c r="J2770" i="7"/>
  <c r="I2796" i="7"/>
  <c r="J2802" i="7"/>
  <c r="J2919" i="7"/>
  <c r="I2956" i="7"/>
  <c r="J2987" i="7"/>
  <c r="I3007" i="7"/>
  <c r="J3034" i="7"/>
  <c r="I3083" i="7"/>
  <c r="J3095" i="7"/>
  <c r="J3103" i="7"/>
  <c r="I3124" i="7"/>
  <c r="J3126" i="7"/>
  <c r="J3151" i="7"/>
  <c r="I3202" i="7"/>
  <c r="I3264" i="7"/>
  <c r="I3430" i="7"/>
  <c r="J3538" i="7"/>
  <c r="I3538" i="7"/>
  <c r="I3572" i="7"/>
  <c r="J3661" i="7"/>
  <c r="J3688" i="7"/>
  <c r="I3688" i="7"/>
  <c r="J3693" i="7"/>
  <c r="I3944" i="7"/>
  <c r="J4304" i="7"/>
  <c r="I4304" i="7"/>
  <c r="I4617" i="7"/>
  <c r="J4617" i="7"/>
  <c r="J4697" i="7"/>
  <c r="AC37" i="11"/>
  <c r="AF37" i="11"/>
  <c r="C37" i="11"/>
  <c r="M37" i="11"/>
  <c r="AJ37" i="11"/>
  <c r="AB37" i="11"/>
  <c r="Y37" i="11"/>
  <c r="X37" i="11"/>
  <c r="W37" i="11"/>
  <c r="K37" i="11"/>
  <c r="J37" i="11"/>
  <c r="I37" i="11"/>
  <c r="AK37" i="11"/>
  <c r="V37" i="11"/>
  <c r="Q37" i="11"/>
  <c r="H37" i="11"/>
  <c r="J2818" i="7"/>
  <c r="J2906" i="7"/>
  <c r="J2916" i="7"/>
  <c r="I2940" i="7"/>
  <c r="I2996" i="7"/>
  <c r="I3000" i="7"/>
  <c r="I3104" i="7"/>
  <c r="I3152" i="7"/>
  <c r="I3159" i="7"/>
  <c r="J3375" i="7"/>
  <c r="I3375" i="7"/>
  <c r="I3499" i="7"/>
  <c r="J3499" i="7"/>
  <c r="J3654" i="7"/>
  <c r="I3654" i="7"/>
  <c r="J3676" i="7"/>
  <c r="J3955" i="7"/>
  <c r="I3955" i="7"/>
  <c r="J4202" i="7"/>
  <c r="I4202" i="7"/>
  <c r="J4596" i="7"/>
  <c r="I4596" i="7"/>
  <c r="J4620" i="7"/>
  <c r="I4620" i="7"/>
  <c r="J4660" i="7"/>
  <c r="I4660" i="7"/>
  <c r="J4950" i="7"/>
  <c r="I4950" i="7"/>
  <c r="I140" i="10"/>
  <c r="B140" i="10"/>
  <c r="J2834" i="7"/>
  <c r="J2952" i="7"/>
  <c r="J3055" i="7"/>
  <c r="I3196" i="7"/>
  <c r="J3223" i="7"/>
  <c r="I3232" i="7"/>
  <c r="I3484" i="7"/>
  <c r="I3650" i="7"/>
  <c r="J3650" i="7"/>
  <c r="J3679" i="7"/>
  <c r="I3706" i="7"/>
  <c r="J3725" i="7"/>
  <c r="I3725" i="7"/>
  <c r="I3749" i="7"/>
  <c r="J3749" i="7"/>
  <c r="J3849" i="7"/>
  <c r="I3849" i="7"/>
  <c r="I3950" i="7"/>
  <c r="J4034" i="7"/>
  <c r="J4104" i="7"/>
  <c r="I4148" i="7"/>
  <c r="J4266" i="7"/>
  <c r="J4297" i="7"/>
  <c r="I4297" i="7"/>
  <c r="J4626" i="7"/>
  <c r="J4642" i="7"/>
  <c r="I4642" i="7"/>
  <c r="J4670" i="7"/>
  <c r="I4670" i="7"/>
  <c r="J4687" i="7"/>
  <c r="J4910" i="7"/>
  <c r="I4910" i="7"/>
  <c r="D177" i="10"/>
  <c r="K177" i="10"/>
  <c r="B177" i="10"/>
  <c r="L188" i="10"/>
  <c r="K188" i="10"/>
  <c r="E188" i="10"/>
  <c r="G188" i="10" s="1"/>
  <c r="I188" i="10"/>
  <c r="D188" i="10"/>
  <c r="B188" i="10"/>
  <c r="I2834" i="7"/>
  <c r="J2872" i="7"/>
  <c r="J2920" i="7"/>
  <c r="I2944" i="7"/>
  <c r="I2948" i="7"/>
  <c r="I2952" i="7"/>
  <c r="I3012" i="7"/>
  <c r="J3098" i="7"/>
  <c r="J3127" i="7"/>
  <c r="J3196" i="7"/>
  <c r="J3232" i="7"/>
  <c r="I3267" i="7"/>
  <c r="I3335" i="7"/>
  <c r="J3403" i="7"/>
  <c r="J3459" i="7"/>
  <c r="J3533" i="7"/>
  <c r="I3679" i="7"/>
  <c r="I3793" i="7"/>
  <c r="J3793" i="7"/>
  <c r="J3809" i="7"/>
  <c r="J3909" i="7"/>
  <c r="J3923" i="7"/>
  <c r="I3923" i="7"/>
  <c r="I4235" i="7"/>
  <c r="J4235" i="7"/>
  <c r="J4352" i="7"/>
  <c r="I4352" i="7"/>
  <c r="J4476" i="7"/>
  <c r="I4476" i="7"/>
  <c r="J4650" i="7"/>
  <c r="K93" i="10"/>
  <c r="I93" i="10"/>
  <c r="J3988" i="7"/>
  <c r="I3988" i="7"/>
  <c r="J4071" i="7"/>
  <c r="I4071" i="7"/>
  <c r="I4314" i="7"/>
  <c r="J4314" i="7"/>
  <c r="I4379" i="7"/>
  <c r="I4534" i="7"/>
  <c r="J4534" i="7"/>
  <c r="J4552" i="7"/>
  <c r="I4552" i="7"/>
  <c r="I4821" i="7"/>
  <c r="J4821" i="7"/>
  <c r="N61" i="9"/>
  <c r="G30" i="10"/>
  <c r="F30" i="10"/>
  <c r="I3438" i="7"/>
  <c r="I3503" i="7"/>
  <c r="I3546" i="7"/>
  <c r="I3586" i="7"/>
  <c r="J3629" i="7"/>
  <c r="I3629" i="7"/>
  <c r="J3670" i="7"/>
  <c r="J4290" i="7"/>
  <c r="I4290" i="7"/>
  <c r="J4345" i="7"/>
  <c r="I4345" i="7"/>
  <c r="I4466" i="7"/>
  <c r="J4466" i="7"/>
  <c r="I4688" i="7"/>
  <c r="J4688" i="7"/>
  <c r="I4861" i="7"/>
  <c r="J4861" i="7"/>
  <c r="I3580" i="7"/>
  <c r="J3580" i="7"/>
  <c r="I3673" i="7"/>
  <c r="I3675" i="7"/>
  <c r="I3729" i="7"/>
  <c r="J3789" i="7"/>
  <c r="J4001" i="7"/>
  <c r="I4001" i="7"/>
  <c r="J4043" i="7"/>
  <c r="J4204" i="7"/>
  <c r="I4204" i="7"/>
  <c r="I4283" i="7"/>
  <c r="J4283" i="7"/>
  <c r="J4440" i="7"/>
  <c r="I4440" i="7"/>
  <c r="I4574" i="7"/>
  <c r="J4574" i="7"/>
  <c r="J4799" i="7"/>
  <c r="I4799" i="7"/>
  <c r="I2908" i="7"/>
  <c r="I2924" i="7"/>
  <c r="I2947" i="7"/>
  <c r="J2964" i="7"/>
  <c r="J3027" i="7"/>
  <c r="J3336" i="7"/>
  <c r="J3483" i="7"/>
  <c r="I3483" i="7"/>
  <c r="J3501" i="7"/>
  <c r="I3501" i="7"/>
  <c r="J3525" i="7"/>
  <c r="J3549" i="7"/>
  <c r="I3698" i="7"/>
  <c r="I3745" i="7"/>
  <c r="J3745" i="7"/>
  <c r="I3765" i="7"/>
  <c r="J3837" i="7"/>
  <c r="J4011" i="7"/>
  <c r="I4011" i="7"/>
  <c r="J4117" i="7"/>
  <c r="J4153" i="7"/>
  <c r="J4372" i="7"/>
  <c r="J4438" i="7"/>
  <c r="I4438" i="7"/>
  <c r="I4686" i="7"/>
  <c r="J4686" i="7"/>
  <c r="J4775" i="7"/>
  <c r="I3861" i="7"/>
  <c r="I3877" i="7"/>
  <c r="I4146" i="7"/>
  <c r="I4375" i="7"/>
  <c r="I4700" i="7"/>
  <c r="J4718" i="7"/>
  <c r="I4813" i="7"/>
  <c r="J4813" i="7"/>
  <c r="I4871" i="7"/>
  <c r="J4871" i="7"/>
  <c r="I4912" i="7"/>
  <c r="J4912" i="7"/>
  <c r="J4922" i="7"/>
  <c r="I4922" i="7"/>
  <c r="J2" i="8"/>
  <c r="C10" i="9"/>
  <c r="B10" i="9"/>
  <c r="K10" i="9"/>
  <c r="E10" i="9"/>
  <c r="D10" i="9"/>
  <c r="C117" i="9"/>
  <c r="B117" i="9"/>
  <c r="D97" i="10"/>
  <c r="B97" i="10"/>
  <c r="L97" i="10"/>
  <c r="J4050" i="7"/>
  <c r="J4219" i="7"/>
  <c r="I4328" i="7"/>
  <c r="J4447" i="7"/>
  <c r="J4557" i="7"/>
  <c r="J4567" i="7"/>
  <c r="I4572" i="7"/>
  <c r="J4643" i="7"/>
  <c r="I4648" i="7"/>
  <c r="J4705" i="7"/>
  <c r="J160" i="8"/>
  <c r="G160" i="8"/>
  <c r="F136" i="9"/>
  <c r="E136" i="9"/>
  <c r="C136" i="9"/>
  <c r="B136" i="9"/>
  <c r="D136" i="9"/>
  <c r="F150" i="10"/>
  <c r="G150" i="10"/>
  <c r="I3379" i="7"/>
  <c r="I3423" i="7"/>
  <c r="I3587" i="7"/>
  <c r="I3813" i="7"/>
  <c r="I3947" i="7"/>
  <c r="I4027" i="7"/>
  <c r="I4111" i="7"/>
  <c r="J4174" i="7"/>
  <c r="J4186" i="7"/>
  <c r="I4193" i="7"/>
  <c r="I4213" i="7"/>
  <c r="I4231" i="7"/>
  <c r="J4244" i="7"/>
  <c r="J4262" i="7"/>
  <c r="I4264" i="7"/>
  <c r="J4269" i="7"/>
  <c r="I4285" i="7"/>
  <c r="I4359" i="7"/>
  <c r="I4388" i="7"/>
  <c r="J4403" i="7"/>
  <c r="J4418" i="7"/>
  <c r="I4517" i="7"/>
  <c r="I4524" i="7"/>
  <c r="I4527" i="7"/>
  <c r="J4548" i="7"/>
  <c r="I4575" i="7"/>
  <c r="J4582" i="7"/>
  <c r="I4658" i="7"/>
  <c r="I4679" i="7"/>
  <c r="J4731" i="7"/>
  <c r="J4755" i="7"/>
  <c r="J4934" i="7"/>
  <c r="I4934" i="7"/>
  <c r="D49" i="9"/>
  <c r="C49" i="9"/>
  <c r="F49" i="9"/>
  <c r="E49" i="9"/>
  <c r="L49" i="9"/>
  <c r="K49" i="9"/>
  <c r="B114" i="10"/>
  <c r="L114" i="10"/>
  <c r="K114" i="10"/>
  <c r="E114" i="10"/>
  <c r="G114" i="10" s="1"/>
  <c r="N114" i="10"/>
  <c r="D114" i="10"/>
  <c r="I3460" i="7"/>
  <c r="I3992" i="7"/>
  <c r="I4019" i="7"/>
  <c r="J4073" i="7"/>
  <c r="J4121" i="7"/>
  <c r="J4182" i="7"/>
  <c r="J4276" i="7"/>
  <c r="J4324" i="7"/>
  <c r="I4779" i="7"/>
  <c r="I4828" i="7"/>
  <c r="J4878" i="7"/>
  <c r="J4995" i="7"/>
  <c r="J3423" i="7"/>
  <c r="J3531" i="7"/>
  <c r="J3587" i="7"/>
  <c r="J3638" i="7"/>
  <c r="J3663" i="7"/>
  <c r="J3681" i="7"/>
  <c r="J3813" i="7"/>
  <c r="I3829" i="7"/>
  <c r="I3873" i="7"/>
  <c r="J3995" i="7"/>
  <c r="J4003" i="7"/>
  <c r="I4094" i="7"/>
  <c r="J4107" i="7"/>
  <c r="J4157" i="7"/>
  <c r="I4173" i="7"/>
  <c r="J4233" i="7"/>
  <c r="I4258" i="7"/>
  <c r="J4359" i="7"/>
  <c r="J4383" i="7"/>
  <c r="J4462" i="7"/>
  <c r="I4479" i="7"/>
  <c r="J4510" i="7"/>
  <c r="J4527" i="7"/>
  <c r="I4537" i="7"/>
  <c r="J4537" i="7"/>
  <c r="I4548" i="7"/>
  <c r="J4575" i="7"/>
  <c r="J4580" i="7"/>
  <c r="J4658" i="7"/>
  <c r="J4708" i="7"/>
  <c r="Q26" i="9"/>
  <c r="D31" i="9"/>
  <c r="C31" i="9"/>
  <c r="L31" i="9"/>
  <c r="K31" i="9"/>
  <c r="F31" i="9"/>
  <c r="K99" i="9"/>
  <c r="F99" i="9"/>
  <c r="L99" i="9"/>
  <c r="E99" i="9"/>
  <c r="D99" i="9"/>
  <c r="C99" i="9"/>
  <c r="B99" i="9"/>
  <c r="F148" i="9"/>
  <c r="D148" i="9"/>
  <c r="C148" i="9"/>
  <c r="E148" i="9"/>
  <c r="B148" i="9"/>
  <c r="K169" i="9"/>
  <c r="F169" i="9"/>
  <c r="L169" i="9"/>
  <c r="C169" i="9"/>
  <c r="L60" i="10"/>
  <c r="K60" i="10"/>
  <c r="D60" i="10"/>
  <c r="F60" i="10" s="1"/>
  <c r="B60" i="10"/>
  <c r="N60" i="10"/>
  <c r="E60" i="10"/>
  <c r="G60" i="10" s="1"/>
  <c r="F72" i="10"/>
  <c r="J4054" i="7"/>
  <c r="J4103" i="7"/>
  <c r="I4129" i="7"/>
  <c r="I4171" i="7"/>
  <c r="J4179" i="7"/>
  <c r="I4189" i="7"/>
  <c r="I4234" i="7"/>
  <c r="J4265" i="7"/>
  <c r="J4310" i="7"/>
  <c r="J4357" i="7"/>
  <c r="J4448" i="7"/>
  <c r="J4460" i="7"/>
  <c r="J4630" i="7"/>
  <c r="J4668" i="7"/>
  <c r="I4809" i="7"/>
  <c r="J4809" i="7"/>
  <c r="I4851" i="7"/>
  <c r="J4851" i="7"/>
  <c r="J4886" i="7"/>
  <c r="I4886" i="7"/>
  <c r="J4926" i="7"/>
  <c r="I4926" i="7"/>
  <c r="F7" i="9"/>
  <c r="C7" i="9"/>
  <c r="B7" i="9"/>
  <c r="K7" i="9"/>
  <c r="E7" i="9"/>
  <c r="L7" i="9"/>
  <c r="D7" i="9"/>
  <c r="L67" i="9"/>
  <c r="K67" i="9"/>
  <c r="N67" i="9"/>
  <c r="F67" i="9"/>
  <c r="E67" i="9"/>
  <c r="D67" i="9"/>
  <c r="C67" i="9"/>
  <c r="K173" i="9"/>
  <c r="F173" i="9"/>
  <c r="Q173" i="9"/>
  <c r="E173" i="9"/>
  <c r="D173" i="9"/>
  <c r="C173" i="9"/>
  <c r="J4108" i="7"/>
  <c r="I4134" i="7"/>
  <c r="I4279" i="7"/>
  <c r="J4346" i="7"/>
  <c r="J4371" i="7"/>
  <c r="J4470" i="7"/>
  <c r="I4470" i="7"/>
  <c r="J4564" i="7"/>
  <c r="J4680" i="7"/>
  <c r="J4704" i="7"/>
  <c r="J4759" i="7"/>
  <c r="I4759" i="7"/>
  <c r="I3627" i="7"/>
  <c r="I3641" i="7"/>
  <c r="I3643" i="7"/>
  <c r="I3657" i="7"/>
  <c r="I3666" i="7"/>
  <c r="J3695" i="7"/>
  <c r="J3927" i="7"/>
  <c r="J3987" i="7"/>
  <c r="I4054" i="7"/>
  <c r="I4069" i="7"/>
  <c r="I4076" i="7"/>
  <c r="J4082" i="7"/>
  <c r="J4171" i="7"/>
  <c r="J4221" i="7"/>
  <c r="J4234" i="7"/>
  <c r="J4242" i="7"/>
  <c r="J4296" i="7"/>
  <c r="J4307" i="7"/>
  <c r="J4402" i="7"/>
  <c r="J4422" i="7"/>
  <c r="I4427" i="7"/>
  <c r="J4458" i="7"/>
  <c r="I4460" i="7"/>
  <c r="I4506" i="7"/>
  <c r="J4506" i="7"/>
  <c r="J4544" i="7"/>
  <c r="I4630" i="7"/>
  <c r="J4663" i="7"/>
  <c r="I4668" i="7"/>
  <c r="I4749" i="7"/>
  <c r="J4749" i="7"/>
  <c r="I4780" i="7"/>
  <c r="I4831" i="7"/>
  <c r="J4970" i="7"/>
  <c r="I4970" i="7"/>
  <c r="K23" i="9"/>
  <c r="D23" i="9"/>
  <c r="N23" i="9" s="1"/>
  <c r="C23" i="9"/>
  <c r="B23" i="9"/>
  <c r="L23" i="9"/>
  <c r="J170" i="8"/>
  <c r="J177" i="8"/>
  <c r="D15" i="9"/>
  <c r="C15" i="9"/>
  <c r="N19" i="9"/>
  <c r="L146" i="9"/>
  <c r="K146" i="9"/>
  <c r="F146" i="9"/>
  <c r="E146" i="9"/>
  <c r="D146" i="9"/>
  <c r="N146" i="9" s="1"/>
  <c r="C146" i="9"/>
  <c r="J4484" i="7"/>
  <c r="J4516" i="7"/>
  <c r="J4532" i="7"/>
  <c r="J4547" i="7"/>
  <c r="I4712" i="7"/>
  <c r="I4732" i="7"/>
  <c r="J4776" i="7"/>
  <c r="J4896" i="7"/>
  <c r="J69" i="8"/>
  <c r="B15" i="9"/>
  <c r="L24" i="9"/>
  <c r="K24" i="9"/>
  <c r="F24" i="9"/>
  <c r="E24" i="9"/>
  <c r="K96" i="9"/>
  <c r="B96" i="9"/>
  <c r="L96" i="9"/>
  <c r="F96" i="9"/>
  <c r="B146" i="9"/>
  <c r="D180" i="9"/>
  <c r="C180" i="9"/>
  <c r="L86" i="10"/>
  <c r="B90" i="10"/>
  <c r="N90" i="10"/>
  <c r="L90" i="10"/>
  <c r="E90" i="10"/>
  <c r="G90" i="10" s="1"/>
  <c r="D90" i="10"/>
  <c r="D108" i="10"/>
  <c r="B108" i="10"/>
  <c r="N108" i="10"/>
  <c r="L108" i="10"/>
  <c r="K108" i="10"/>
  <c r="E108" i="10"/>
  <c r="G108" i="10" s="1"/>
  <c r="E168" i="10"/>
  <c r="G168" i="10" s="1"/>
  <c r="N168" i="10"/>
  <c r="M168" i="10" s="1"/>
  <c r="L168" i="10"/>
  <c r="D168" i="10"/>
  <c r="K168" i="10"/>
  <c r="B168" i="10"/>
  <c r="I4859" i="7"/>
  <c r="I4903" i="7"/>
  <c r="J34" i="8"/>
  <c r="F16" i="9"/>
  <c r="E16" i="9"/>
  <c r="D16" i="9"/>
  <c r="L50" i="9"/>
  <c r="N50" i="9" s="1"/>
  <c r="K50" i="9"/>
  <c r="F50" i="9"/>
  <c r="E50" i="9"/>
  <c r="D50" i="9"/>
  <c r="C50" i="9"/>
  <c r="B50" i="9"/>
  <c r="L156" i="9"/>
  <c r="K156" i="9"/>
  <c r="F156" i="9"/>
  <c r="B156" i="9"/>
  <c r="E176" i="9"/>
  <c r="D176" i="9"/>
  <c r="J4807" i="7"/>
  <c r="B16" i="9"/>
  <c r="D57" i="9"/>
  <c r="C57" i="9"/>
  <c r="F82" i="9"/>
  <c r="D82" i="9"/>
  <c r="C82" i="9"/>
  <c r="B82" i="9"/>
  <c r="L139" i="9"/>
  <c r="K139" i="9"/>
  <c r="F139" i="9"/>
  <c r="E139" i="9"/>
  <c r="C160" i="9"/>
  <c r="B160" i="9"/>
  <c r="F160" i="9"/>
  <c r="E160" i="9"/>
  <c r="K177" i="9"/>
  <c r="E177" i="9"/>
  <c r="L177" i="9"/>
  <c r="D177" i="9"/>
  <c r="Q177" i="9" s="1"/>
  <c r="C181" i="9"/>
  <c r="B181" i="9"/>
  <c r="L181" i="9"/>
  <c r="K181" i="9"/>
  <c r="F181" i="9"/>
  <c r="M31" i="10"/>
  <c r="F31" i="10"/>
  <c r="L73" i="10"/>
  <c r="K73" i="10"/>
  <c r="E73" i="10"/>
  <c r="G73" i="10" s="1"/>
  <c r="D73" i="10"/>
  <c r="K87" i="10"/>
  <c r="I87" i="10"/>
  <c r="N87" i="10"/>
  <c r="L109" i="10"/>
  <c r="K109" i="10"/>
  <c r="E109" i="10"/>
  <c r="G109" i="10" s="1"/>
  <c r="D109" i="10"/>
  <c r="J4792" i="7"/>
  <c r="J4797" i="7"/>
  <c r="I4845" i="7"/>
  <c r="J4845" i="7"/>
  <c r="I4852" i="7"/>
  <c r="I4857" i="7"/>
  <c r="J4924" i="7"/>
  <c r="I4958" i="7"/>
  <c r="J178" i="8"/>
  <c r="J182" i="8"/>
  <c r="C16" i="9"/>
  <c r="K21" i="9"/>
  <c r="F21" i="9"/>
  <c r="C21" i="9"/>
  <c r="B21" i="9"/>
  <c r="F28" i="9"/>
  <c r="E28" i="9"/>
  <c r="D28" i="9"/>
  <c r="D51" i="9"/>
  <c r="Q51" i="9" s="1"/>
  <c r="C51" i="9"/>
  <c r="L51" i="9"/>
  <c r="B57" i="9"/>
  <c r="N104" i="9"/>
  <c r="K104" i="9"/>
  <c r="F104" i="9"/>
  <c r="D104" i="9"/>
  <c r="C104" i="9"/>
  <c r="C139" i="9"/>
  <c r="C152" i="9"/>
  <c r="B152" i="9"/>
  <c r="L152" i="9"/>
  <c r="N152" i="9" s="1"/>
  <c r="K152" i="9"/>
  <c r="F152" i="9"/>
  <c r="K160" i="9"/>
  <c r="B177" i="9"/>
  <c r="F196" i="9"/>
  <c r="K196" i="9"/>
  <c r="E196" i="9"/>
  <c r="L24" i="10"/>
  <c r="K24" i="10"/>
  <c r="E24" i="10"/>
  <c r="G24" i="10" s="1"/>
  <c r="N24" i="10"/>
  <c r="D24" i="10"/>
  <c r="I34" i="10"/>
  <c r="E34" i="10"/>
  <c r="G34" i="10" s="1"/>
  <c r="B34" i="10"/>
  <c r="I70" i="10"/>
  <c r="E70" i="10"/>
  <c r="G70" i="10" s="1"/>
  <c r="B70" i="10"/>
  <c r="B73" i="10"/>
  <c r="B87" i="10"/>
  <c r="D99" i="10"/>
  <c r="B109" i="10"/>
  <c r="AK42" i="11"/>
  <c r="Y42" i="11"/>
  <c r="F42" i="11"/>
  <c r="X42" i="11"/>
  <c r="E42" i="11"/>
  <c r="V42" i="11"/>
  <c r="C42" i="11"/>
  <c r="AL42" i="11"/>
  <c r="S42" i="11"/>
  <c r="AH42" i="11"/>
  <c r="M42" i="11"/>
  <c r="N42" i="11"/>
  <c r="L42" i="11"/>
  <c r="K42" i="11"/>
  <c r="J42" i="11"/>
  <c r="M42" i="5" s="1"/>
  <c r="AT42" i="5" s="1"/>
  <c r="AJ42" i="11"/>
  <c r="G42" i="11"/>
  <c r="AC42" i="11"/>
  <c r="AA42" i="11"/>
  <c r="Z42" i="11"/>
  <c r="AI42" i="11"/>
  <c r="AF42" i="11"/>
  <c r="T42" i="11"/>
  <c r="R42" i="11"/>
  <c r="J4862" i="7"/>
  <c r="J4872" i="7"/>
  <c r="F79" i="9"/>
  <c r="E79" i="9"/>
  <c r="D79" i="9"/>
  <c r="C79" i="9"/>
  <c r="L84" i="9"/>
  <c r="F84" i="9"/>
  <c r="Q87" i="9"/>
  <c r="D139" i="9"/>
  <c r="C177" i="9"/>
  <c r="L41" i="10"/>
  <c r="K41" i="10"/>
  <c r="D87" i="10"/>
  <c r="E132" i="10"/>
  <c r="G132" i="10" s="1"/>
  <c r="D132" i="10"/>
  <c r="B132" i="10"/>
  <c r="N132" i="10"/>
  <c r="L132" i="10"/>
  <c r="L136" i="10"/>
  <c r="N136" i="10"/>
  <c r="I136" i="10"/>
  <c r="D199" i="10"/>
  <c r="B199" i="10"/>
  <c r="K199" i="10"/>
  <c r="I199" i="10"/>
  <c r="N199" i="10"/>
  <c r="M199" i="10" s="1"/>
  <c r="L199" i="10"/>
  <c r="E199" i="10"/>
  <c r="G199" i="10" s="1"/>
  <c r="I4303" i="7"/>
  <c r="J4436" i="7"/>
  <c r="J4576" i="7"/>
  <c r="J4613" i="7"/>
  <c r="I4627" i="7"/>
  <c r="J4677" i="7"/>
  <c r="J4684" i="7"/>
  <c r="J4698" i="7"/>
  <c r="I4765" i="7"/>
  <c r="I4787" i="7"/>
  <c r="J4787" i="7"/>
  <c r="J4837" i="7"/>
  <c r="J4855" i="7"/>
  <c r="J4857" i="7"/>
  <c r="J62" i="8"/>
  <c r="E21" i="9"/>
  <c r="N37" i="9"/>
  <c r="K79" i="9"/>
  <c r="B84" i="9"/>
  <c r="N100" i="10"/>
  <c r="I100" i="10"/>
  <c r="B100" i="10"/>
  <c r="N125" i="10"/>
  <c r="L125" i="10"/>
  <c r="J77" i="8"/>
  <c r="E19" i="9"/>
  <c r="D19" i="9"/>
  <c r="L26" i="9"/>
  <c r="N26" i="9" s="1"/>
  <c r="K26" i="9"/>
  <c r="F26" i="9"/>
  <c r="E26" i="9"/>
  <c r="F80" i="9"/>
  <c r="E80" i="9"/>
  <c r="D80" i="9"/>
  <c r="N80" i="9" s="1"/>
  <c r="C80" i="9"/>
  <c r="B80" i="9"/>
  <c r="L109" i="9"/>
  <c r="N109" i="9" s="1"/>
  <c r="K109" i="9"/>
  <c r="F109" i="9"/>
  <c r="E109" i="9"/>
  <c r="D109" i="9"/>
  <c r="C109" i="9"/>
  <c r="K133" i="9"/>
  <c r="F133" i="9"/>
  <c r="D133" i="9"/>
  <c r="C133" i="9"/>
  <c r="L133" i="9"/>
  <c r="N133" i="9" s="1"/>
  <c r="E133" i="9"/>
  <c r="B126" i="10"/>
  <c r="N126" i="10"/>
  <c r="L126" i="10"/>
  <c r="K126" i="10"/>
  <c r="E204" i="10"/>
  <c r="G204" i="10" s="1"/>
  <c r="D204" i="10"/>
  <c r="L204" i="10"/>
  <c r="K204" i="10"/>
  <c r="N204" i="10"/>
  <c r="B204" i="10"/>
  <c r="T74" i="11"/>
  <c r="S74" i="11"/>
  <c r="P74" i="11"/>
  <c r="M74" i="11"/>
  <c r="G74" i="11"/>
  <c r="AK74" i="11"/>
  <c r="AB74" i="11"/>
  <c r="Y74" i="11"/>
  <c r="AC94" i="11"/>
  <c r="P94" i="11"/>
  <c r="C94" i="11"/>
  <c r="AB94" i="11"/>
  <c r="O94" i="11"/>
  <c r="B94" i="11"/>
  <c r="X94" i="11"/>
  <c r="I94" i="11"/>
  <c r="W94" i="11"/>
  <c r="H94" i="11"/>
  <c r="AL94" i="11"/>
  <c r="V94" i="11"/>
  <c r="G94" i="11"/>
  <c r="AJ94" i="11"/>
  <c r="U94" i="11"/>
  <c r="F94" i="11"/>
  <c r="AI94" i="11"/>
  <c r="T94" i="11"/>
  <c r="E94" i="11"/>
  <c r="AB94" i="5" s="1"/>
  <c r="AF94" i="11"/>
  <c r="Q94" i="11"/>
  <c r="AE94" i="11"/>
  <c r="N94" i="11"/>
  <c r="AG94" i="11"/>
  <c r="AD94" i="11"/>
  <c r="AA94" i="11"/>
  <c r="Z94" i="11"/>
  <c r="S94" i="11"/>
  <c r="K94" i="11"/>
  <c r="J94" i="11"/>
  <c r="D94" i="11"/>
  <c r="AH94" i="11"/>
  <c r="R94" i="11"/>
  <c r="L94" i="11"/>
  <c r="I4313" i="7"/>
  <c r="J4488" i="7"/>
  <c r="J4500" i="7"/>
  <c r="I4591" i="7"/>
  <c r="J4673" i="7"/>
  <c r="J4721" i="7"/>
  <c r="J4768" i="7"/>
  <c r="I4905" i="7"/>
  <c r="J20" i="8"/>
  <c r="J36" i="8"/>
  <c r="J93" i="8"/>
  <c r="J166" i="8"/>
  <c r="J173" i="8"/>
  <c r="J183" i="8"/>
  <c r="C19" i="9"/>
  <c r="C26" i="9"/>
  <c r="F34" i="9"/>
  <c r="E34" i="9"/>
  <c r="D34" i="9"/>
  <c r="N68" i="9"/>
  <c r="K80" i="9"/>
  <c r="F98" i="9"/>
  <c r="E98" i="9"/>
  <c r="C98" i="9"/>
  <c r="B98" i="9"/>
  <c r="L98" i="9"/>
  <c r="N98" i="9" s="1"/>
  <c r="K98" i="9"/>
  <c r="L189" i="9"/>
  <c r="E189" i="9"/>
  <c r="D189" i="9"/>
  <c r="K189" i="9"/>
  <c r="C189" i="9"/>
  <c r="B189" i="9"/>
  <c r="D126" i="10"/>
  <c r="M126" i="10" s="1"/>
  <c r="H74" i="11"/>
  <c r="J4766" i="7"/>
  <c r="I4804" i="7"/>
  <c r="I4811" i="7"/>
  <c r="I4979" i="7"/>
  <c r="J4992" i="7"/>
  <c r="J161" i="8"/>
  <c r="J164" i="8"/>
  <c r="E5" i="9"/>
  <c r="F9" i="9"/>
  <c r="E9" i="9"/>
  <c r="K13" i="9"/>
  <c r="C20" i="9"/>
  <c r="B20" i="9"/>
  <c r="F63" i="9"/>
  <c r="E74" i="9"/>
  <c r="K85" i="9"/>
  <c r="F87" i="9"/>
  <c r="N122" i="9"/>
  <c r="L159" i="9"/>
  <c r="K159" i="9"/>
  <c r="E162" i="9"/>
  <c r="C162" i="9"/>
  <c r="L199" i="9"/>
  <c r="M48" i="10"/>
  <c r="N51" i="10"/>
  <c r="K51" i="10"/>
  <c r="B54" i="10"/>
  <c r="N54" i="10"/>
  <c r="L54" i="10"/>
  <c r="E54" i="10"/>
  <c r="G54" i="10" s="1"/>
  <c r="D54" i="10"/>
  <c r="N59" i="10"/>
  <c r="I59" i="10"/>
  <c r="I67" i="10"/>
  <c r="L91" i="10"/>
  <c r="K91" i="10"/>
  <c r="I123" i="10"/>
  <c r="I158" i="10"/>
  <c r="I178" i="10"/>
  <c r="I201" i="10"/>
  <c r="AA17" i="11"/>
  <c r="S17" i="11"/>
  <c r="AB17" i="11"/>
  <c r="H17" i="11"/>
  <c r="AL17" i="11"/>
  <c r="L17" i="11"/>
  <c r="AK17" i="11"/>
  <c r="J17" i="11"/>
  <c r="M17" i="5" s="1"/>
  <c r="AT17" i="5" s="1"/>
  <c r="AG17" i="11"/>
  <c r="I17" i="11"/>
  <c r="AF17" i="11"/>
  <c r="D17" i="11"/>
  <c r="X17" i="11"/>
  <c r="V17" i="11"/>
  <c r="Q17" i="11"/>
  <c r="AE17" i="11"/>
  <c r="Z17" i="11"/>
  <c r="Y17" i="11"/>
  <c r="P17" i="11"/>
  <c r="I4975" i="7"/>
  <c r="F5" i="9"/>
  <c r="B9" i="9"/>
  <c r="L13" i="9"/>
  <c r="N13" i="9" s="1"/>
  <c r="D20" i="9"/>
  <c r="N20" i="9" s="1"/>
  <c r="B22" i="9"/>
  <c r="D32" i="9"/>
  <c r="N32" i="9" s="1"/>
  <c r="C32" i="9"/>
  <c r="C43" i="9"/>
  <c r="D52" i="9"/>
  <c r="C52" i="9"/>
  <c r="Q56" i="9"/>
  <c r="B59" i="9"/>
  <c r="L62" i="9"/>
  <c r="N62" i="9" s="1"/>
  <c r="K62" i="9"/>
  <c r="K63" i="9"/>
  <c r="Q63" i="9" s="1"/>
  <c r="L85" i="9"/>
  <c r="L121" i="9"/>
  <c r="N121" i="9" s="1"/>
  <c r="F121" i="9"/>
  <c r="E121" i="9"/>
  <c r="B159" i="9"/>
  <c r="B162" i="9"/>
  <c r="B171" i="9"/>
  <c r="K184" i="9"/>
  <c r="K200" i="9"/>
  <c r="Q200" i="9" s="1"/>
  <c r="E200" i="9"/>
  <c r="D200" i="9"/>
  <c r="I22" i="10"/>
  <c r="K30" i="10"/>
  <c r="B51" i="10"/>
  <c r="K54" i="10"/>
  <c r="B57" i="10"/>
  <c r="D59" i="10"/>
  <c r="F59" i="10" s="1"/>
  <c r="B66" i="10"/>
  <c r="N66" i="10"/>
  <c r="M66" i="10" s="1"/>
  <c r="K66" i="10"/>
  <c r="J67" i="10"/>
  <c r="N76" i="10"/>
  <c r="I76" i="10"/>
  <c r="D79" i="10"/>
  <c r="F79" i="10" s="1"/>
  <c r="B79" i="10"/>
  <c r="K85" i="10"/>
  <c r="E85" i="10"/>
  <c r="G85" i="10" s="1"/>
  <c r="D85" i="10"/>
  <c r="B91" i="10"/>
  <c r="M95" i="10"/>
  <c r="E101" i="10"/>
  <c r="G101" i="10" s="1"/>
  <c r="N111" i="10"/>
  <c r="K111" i="10"/>
  <c r="D111" i="10"/>
  <c r="K120" i="10"/>
  <c r="E139" i="10"/>
  <c r="G139" i="10" s="1"/>
  <c r="L139" i="10"/>
  <c r="N139" i="10"/>
  <c r="I139" i="10"/>
  <c r="J139" i="10" s="1"/>
  <c r="D139" i="10"/>
  <c r="F139" i="10" s="1"/>
  <c r="L151" i="10"/>
  <c r="N151" i="10"/>
  <c r="M151" i="10" s="1"/>
  <c r="F156" i="10"/>
  <c r="G156" i="10"/>
  <c r="F162" i="10"/>
  <c r="M186" i="10"/>
  <c r="D207" i="10"/>
  <c r="I211" i="10"/>
  <c r="E211" i="10"/>
  <c r="G211" i="10" s="1"/>
  <c r="N211" i="10"/>
  <c r="L211" i="10"/>
  <c r="B211" i="10"/>
  <c r="B17" i="11"/>
  <c r="I4893" i="7"/>
  <c r="J4916" i="7"/>
  <c r="I4955" i="7"/>
  <c r="J4998" i="7"/>
  <c r="K5" i="9"/>
  <c r="C9" i="9"/>
  <c r="E20" i="9"/>
  <c r="C22" i="9"/>
  <c r="D43" i="9"/>
  <c r="N43" i="9" s="1"/>
  <c r="C59" i="9"/>
  <c r="L127" i="9"/>
  <c r="N127" i="9" s="1"/>
  <c r="K127" i="9"/>
  <c r="Q140" i="9"/>
  <c r="C140" i="9"/>
  <c r="B140" i="9"/>
  <c r="D157" i="9"/>
  <c r="C157" i="9"/>
  <c r="C159" i="9"/>
  <c r="D163" i="9"/>
  <c r="C163" i="9"/>
  <c r="C171" i="9"/>
  <c r="F197" i="9"/>
  <c r="E197" i="9"/>
  <c r="I28" i="10"/>
  <c r="I32" i="10"/>
  <c r="N36" i="10"/>
  <c r="L36" i="10"/>
  <c r="D51" i="10"/>
  <c r="E59" i="10"/>
  <c r="G59" i="10" s="1"/>
  <c r="D91" i="10"/>
  <c r="I94" i="10"/>
  <c r="E94" i="10"/>
  <c r="G94" i="10" s="1"/>
  <c r="D105" i="10"/>
  <c r="B105" i="10"/>
  <c r="L120" i="10"/>
  <c r="I142" i="10"/>
  <c r="B142" i="10"/>
  <c r="I195" i="10"/>
  <c r="C17" i="11"/>
  <c r="J4800" i="7"/>
  <c r="J4814" i="7"/>
  <c r="J4838" i="7"/>
  <c r="J4864" i="7"/>
  <c r="I4941" i="7"/>
  <c r="G76" i="8"/>
  <c r="J105" i="8"/>
  <c r="J194" i="8"/>
  <c r="D9" i="9"/>
  <c r="N9" i="9" s="1"/>
  <c r="F20" i="9"/>
  <c r="D64" i="9"/>
  <c r="C64" i="9"/>
  <c r="Q92" i="9"/>
  <c r="F92" i="9"/>
  <c r="K134" i="9"/>
  <c r="F134" i="9"/>
  <c r="D159" i="9"/>
  <c r="D171" i="9"/>
  <c r="Q182" i="9"/>
  <c r="B42" i="10"/>
  <c r="N42" i="10"/>
  <c r="L42" i="10"/>
  <c r="E42" i="10"/>
  <c r="G42" i="10" s="1"/>
  <c r="D42" i="10"/>
  <c r="I51" i="10"/>
  <c r="N55" i="10"/>
  <c r="L55" i="10"/>
  <c r="I57" i="10"/>
  <c r="J57" i="10" s="1"/>
  <c r="N72" i="10"/>
  <c r="M72" i="10" s="1"/>
  <c r="K72" i="10"/>
  <c r="K81" i="10"/>
  <c r="E91" i="10"/>
  <c r="G91" i="10" s="1"/>
  <c r="L115" i="10"/>
  <c r="K115" i="10"/>
  <c r="E137" i="10"/>
  <c r="G137" i="10" s="1"/>
  <c r="L137" i="10"/>
  <c r="K137" i="10"/>
  <c r="N159" i="10"/>
  <c r="I159" i="10"/>
  <c r="D159" i="10"/>
  <c r="L208" i="10"/>
  <c r="I208" i="10"/>
  <c r="B208" i="10"/>
  <c r="N17" i="11"/>
  <c r="I4869" i="7"/>
  <c r="I4876" i="7"/>
  <c r="I4907" i="7"/>
  <c r="I4972" i="7"/>
  <c r="J21" i="8"/>
  <c r="J45" i="8"/>
  <c r="J74" i="8"/>
  <c r="F25" i="9"/>
  <c r="E25" i="9"/>
  <c r="D27" i="9"/>
  <c r="C27" i="9"/>
  <c r="Q68" i="9"/>
  <c r="E106" i="9"/>
  <c r="F106" i="9"/>
  <c r="C147" i="9"/>
  <c r="B147" i="9"/>
  <c r="L151" i="9"/>
  <c r="K151" i="9"/>
  <c r="E153" i="9"/>
  <c r="C153" i="9"/>
  <c r="B153" i="9"/>
  <c r="I164" i="10"/>
  <c r="I128" i="10"/>
  <c r="I189" i="10"/>
  <c r="I184" i="10"/>
  <c r="I166" i="10"/>
  <c r="I170" i="10"/>
  <c r="I153" i="10"/>
  <c r="J153" i="10" s="1"/>
  <c r="I163" i="10"/>
  <c r="I23" i="10"/>
  <c r="E23" i="10"/>
  <c r="G23" i="10" s="1"/>
  <c r="D23" i="10"/>
  <c r="N29" i="10"/>
  <c r="L29" i="10"/>
  <c r="I29" i="10"/>
  <c r="I64" i="10"/>
  <c r="I79" i="10"/>
  <c r="I103" i="10"/>
  <c r="D103" i="10"/>
  <c r="B103" i="10"/>
  <c r="I124" i="10"/>
  <c r="I131" i="10"/>
  <c r="I137" i="10"/>
  <c r="N143" i="10"/>
  <c r="M143" i="10" s="1"/>
  <c r="I143" i="10"/>
  <c r="E143" i="10"/>
  <c r="G143" i="10" s="1"/>
  <c r="N165" i="10"/>
  <c r="I165" i="10"/>
  <c r="D165" i="10"/>
  <c r="I4989" i="7"/>
  <c r="J92" i="8"/>
  <c r="J116" i="8"/>
  <c r="K37" i="9"/>
  <c r="F37" i="9"/>
  <c r="C128" i="9"/>
  <c r="B128" i="9"/>
  <c r="L158" i="9"/>
  <c r="K158" i="9"/>
  <c r="E158" i="9"/>
  <c r="D158" i="9"/>
  <c r="N165" i="9"/>
  <c r="K165" i="9"/>
  <c r="Q165" i="9" s="1"/>
  <c r="E165" i="9"/>
  <c r="K195" i="9"/>
  <c r="E195" i="9"/>
  <c r="C195" i="9"/>
  <c r="B195" i="9"/>
  <c r="N26" i="10"/>
  <c r="E26" i="10"/>
  <c r="G26" i="10" s="1"/>
  <c r="D26" i="10"/>
  <c r="I55" i="10"/>
  <c r="N67" i="10"/>
  <c r="M67" i="10" s="1"/>
  <c r="L67" i="10"/>
  <c r="K67" i="10"/>
  <c r="I74" i="10"/>
  <c r="B78" i="10"/>
  <c r="N78" i="10"/>
  <c r="M84" i="10"/>
  <c r="F84" i="10"/>
  <c r="K103" i="10"/>
  <c r="I115" i="10"/>
  <c r="I117" i="10"/>
  <c r="M163" i="10"/>
  <c r="K171" i="10"/>
  <c r="I171" i="10"/>
  <c r="I203" i="10"/>
  <c r="I4931" i="7"/>
  <c r="I4968" i="7"/>
  <c r="J31" i="8"/>
  <c r="J43" i="8"/>
  <c r="J52" i="8"/>
  <c r="C37" i="9"/>
  <c r="L55" i="9"/>
  <c r="N55" i="9" s="1"/>
  <c r="K55" i="9"/>
  <c r="D61" i="9"/>
  <c r="C61" i="9"/>
  <c r="N71" i="9"/>
  <c r="K74" i="9"/>
  <c r="F74" i="9"/>
  <c r="L87" i="9"/>
  <c r="E87" i="9"/>
  <c r="F108" i="9"/>
  <c r="B108" i="9"/>
  <c r="F112" i="9"/>
  <c r="E112" i="9"/>
  <c r="F124" i="9"/>
  <c r="D124" i="9"/>
  <c r="C124" i="9"/>
  <c r="D128" i="9"/>
  <c r="N128" i="9" s="1"/>
  <c r="D141" i="9"/>
  <c r="E141" i="9"/>
  <c r="C141" i="9"/>
  <c r="K147" i="9"/>
  <c r="Q147" i="9" s="1"/>
  <c r="F151" i="9"/>
  <c r="B158" i="9"/>
  <c r="B165" i="9"/>
  <c r="D188" i="9"/>
  <c r="D195" i="9"/>
  <c r="B26" i="10"/>
  <c r="B30" i="10"/>
  <c r="M30" i="10"/>
  <c r="L30" i="10"/>
  <c r="K50" i="10"/>
  <c r="I50" i="10"/>
  <c r="N62" i="10"/>
  <c r="E62" i="10"/>
  <c r="G62" i="10" s="1"/>
  <c r="D62" i="10"/>
  <c r="L103" i="10"/>
  <c r="E130" i="10"/>
  <c r="G130" i="10" s="1"/>
  <c r="I130" i="10"/>
  <c r="B130" i="10"/>
  <c r="I160" i="10"/>
  <c r="D180" i="10"/>
  <c r="M180" i="10" s="1"/>
  <c r="B180" i="10"/>
  <c r="L180" i="10"/>
  <c r="N180" i="10"/>
  <c r="K180" i="10"/>
  <c r="N194" i="10"/>
  <c r="L194" i="10"/>
  <c r="K194" i="10"/>
  <c r="I200" i="10"/>
  <c r="E200" i="10"/>
  <c r="G200" i="10" s="1"/>
  <c r="AB8" i="11"/>
  <c r="O8" i="11"/>
  <c r="N8" i="11"/>
  <c r="AA49" i="11"/>
  <c r="P49" i="11"/>
  <c r="AD49" i="11"/>
  <c r="Y49" i="11"/>
  <c r="E49" i="13" s="1"/>
  <c r="H50" i="12" s="1"/>
  <c r="X49" i="11"/>
  <c r="L49" i="11"/>
  <c r="B162" i="10"/>
  <c r="L162" i="10"/>
  <c r="K162" i="10"/>
  <c r="K175" i="10"/>
  <c r="I175" i="10"/>
  <c r="J175" i="10" s="1"/>
  <c r="N175" i="10"/>
  <c r="M175" i="10" s="1"/>
  <c r="F191" i="10"/>
  <c r="N201" i="10"/>
  <c r="D201" i="10"/>
  <c r="B201" i="10"/>
  <c r="M203" i="10"/>
  <c r="AC51" i="11"/>
  <c r="AI51" i="11"/>
  <c r="Z51" i="11"/>
  <c r="W51" i="11"/>
  <c r="T51" i="11"/>
  <c r="H51" i="11"/>
  <c r="AK51" i="11"/>
  <c r="AJ51" i="11"/>
  <c r="I51" i="11"/>
  <c r="G51" i="11"/>
  <c r="F51" i="11"/>
  <c r="C12" i="11"/>
  <c r="Z12" i="11"/>
  <c r="AA12" i="11"/>
  <c r="R12" i="11"/>
  <c r="N12" i="11"/>
  <c r="M12" i="11"/>
  <c r="AK131" i="11"/>
  <c r="S131" i="11"/>
  <c r="AE131" i="11"/>
  <c r="K131" i="11"/>
  <c r="Y131" i="11"/>
  <c r="G131" i="11"/>
  <c r="AB131" i="11"/>
  <c r="C131" i="11"/>
  <c r="AA131" i="11"/>
  <c r="B131" i="11"/>
  <c r="V131" i="11"/>
  <c r="AL131" i="11"/>
  <c r="M131" i="11"/>
  <c r="AI131" i="11"/>
  <c r="I131" i="11"/>
  <c r="AH131" i="11"/>
  <c r="AF131" i="11"/>
  <c r="W131" i="11"/>
  <c r="O131" i="11"/>
  <c r="N131" i="11"/>
  <c r="U131" i="11"/>
  <c r="T131" i="11"/>
  <c r="H131" i="11"/>
  <c r="L12" i="11"/>
  <c r="AE26" i="11"/>
  <c r="M26" i="11"/>
  <c r="AK26" i="11"/>
  <c r="T26" i="11"/>
  <c r="C26" i="11"/>
  <c r="R26" i="11"/>
  <c r="Q26" i="5" s="1"/>
  <c r="AI26" i="11"/>
  <c r="P26" i="11"/>
  <c r="AH26" i="11"/>
  <c r="N26" i="11"/>
  <c r="AG26" i="11"/>
  <c r="K26" i="11"/>
  <c r="Z26" i="11"/>
  <c r="F26" i="11"/>
  <c r="Y26" i="11"/>
  <c r="D26" i="11"/>
  <c r="V26" i="11"/>
  <c r="B26" i="11"/>
  <c r="U51" i="11"/>
  <c r="D131" i="11"/>
  <c r="Z108" i="12"/>
  <c r="Q108" i="12"/>
  <c r="V108" i="12"/>
  <c r="U108" i="12"/>
  <c r="AC108" i="12"/>
  <c r="AA108" i="12"/>
  <c r="X108" i="12"/>
  <c r="T108" i="12"/>
  <c r="S108" i="12"/>
  <c r="R108" i="12"/>
  <c r="AB108" i="12"/>
  <c r="W108" i="12"/>
  <c r="I134" i="10"/>
  <c r="E134" i="10"/>
  <c r="G134" i="10" s="1"/>
  <c r="B150" i="10"/>
  <c r="K150" i="10"/>
  <c r="N150" i="10"/>
  <c r="M150" i="10" s="1"/>
  <c r="E175" i="10"/>
  <c r="G175" i="10" s="1"/>
  <c r="I187" i="10"/>
  <c r="E187" i="10"/>
  <c r="N187" i="10"/>
  <c r="M187" i="10"/>
  <c r="D189" i="10"/>
  <c r="B189" i="10"/>
  <c r="L192" i="10"/>
  <c r="K192" i="10"/>
  <c r="AE10" i="11"/>
  <c r="Q10" i="11"/>
  <c r="C10" i="11"/>
  <c r="AL10" i="11"/>
  <c r="W10" i="11"/>
  <c r="I10" i="11"/>
  <c r="AG10" i="11"/>
  <c r="O10" i="11"/>
  <c r="AD10" i="11"/>
  <c r="N10" i="11"/>
  <c r="O10" i="5" s="1"/>
  <c r="AX10" i="5" s="1"/>
  <c r="AC10" i="11"/>
  <c r="L10" i="11"/>
  <c r="AB10" i="11"/>
  <c r="K10" i="11"/>
  <c r="V10" i="11"/>
  <c r="Q10" i="5" s="1"/>
  <c r="E10" i="11"/>
  <c r="U10" i="11"/>
  <c r="D10" i="11"/>
  <c r="AJ10" i="11"/>
  <c r="S10" i="11"/>
  <c r="B10" i="11"/>
  <c r="AC12" i="11"/>
  <c r="G26" i="11"/>
  <c r="G80" i="11"/>
  <c r="F80" i="11"/>
  <c r="AK80" i="11"/>
  <c r="D80" i="11"/>
  <c r="AE80" i="11"/>
  <c r="T80" i="11"/>
  <c r="S80" i="11"/>
  <c r="AF80" i="11"/>
  <c r="AB80" i="11"/>
  <c r="Y80" i="11"/>
  <c r="R80" i="11"/>
  <c r="P80" i="11"/>
  <c r="AB99" i="11"/>
  <c r="F99" i="11"/>
  <c r="E99" i="11"/>
  <c r="AI99" i="11"/>
  <c r="AF99" i="11"/>
  <c r="AD99" i="11"/>
  <c r="AA99" i="11"/>
  <c r="V99" i="11"/>
  <c r="P99" i="11"/>
  <c r="M99" i="11"/>
  <c r="R99" i="11"/>
  <c r="Q99" i="5" s="1"/>
  <c r="D99" i="11"/>
  <c r="B99" i="11"/>
  <c r="F101" i="1" s="1"/>
  <c r="Y171" i="11"/>
  <c r="S171" i="11"/>
  <c r="M171" i="11"/>
  <c r="AL171" i="11"/>
  <c r="B171" i="11"/>
  <c r="AI171" i="11"/>
  <c r="AC171" i="11"/>
  <c r="Q171" i="11"/>
  <c r="O171" i="11"/>
  <c r="L171" i="11"/>
  <c r="AD171" i="11"/>
  <c r="F171" i="11"/>
  <c r="AJ171" i="11"/>
  <c r="M162" i="10"/>
  <c r="I202" i="10"/>
  <c r="AF12" i="11"/>
  <c r="AH18" i="11"/>
  <c r="O18" i="11"/>
  <c r="AG38" i="11"/>
  <c r="M38" i="11"/>
  <c r="S38" i="11"/>
  <c r="N38" i="11"/>
  <c r="D38" i="11"/>
  <c r="H80" i="11"/>
  <c r="T2" i="11"/>
  <c r="P2" i="11"/>
  <c r="J2" i="11"/>
  <c r="B13" i="10" s="1"/>
  <c r="AB2" i="11"/>
  <c r="AA2" i="11"/>
  <c r="AJ59" i="11"/>
  <c r="AF59" i="11"/>
  <c r="AE59" i="11"/>
  <c r="AA59" i="11"/>
  <c r="U59" i="11"/>
  <c r="L59" i="11"/>
  <c r="Z59" i="11"/>
  <c r="O59" i="11"/>
  <c r="M59" i="11"/>
  <c r="J59" i="11"/>
  <c r="I59" i="11"/>
  <c r="AJ87" i="11"/>
  <c r="N87" i="11"/>
  <c r="O87" i="5" s="1"/>
  <c r="AX87" i="5" s="1"/>
  <c r="K87" i="11"/>
  <c r="AL87" i="11"/>
  <c r="F87" i="11"/>
  <c r="AI87" i="11"/>
  <c r="E87" i="11"/>
  <c r="AD87" i="11"/>
  <c r="D87" i="11"/>
  <c r="Z87" i="11"/>
  <c r="W87" i="11"/>
  <c r="R87" i="11"/>
  <c r="Q87" i="11"/>
  <c r="P87" i="11"/>
  <c r="AJ111" i="11"/>
  <c r="S111" i="11"/>
  <c r="O111" i="11"/>
  <c r="F111" i="11"/>
  <c r="AH111" i="11"/>
  <c r="Y111" i="11"/>
  <c r="F111" i="13" s="1"/>
  <c r="K112" i="12" s="1"/>
  <c r="W111" i="11"/>
  <c r="H111" i="11"/>
  <c r="X111" i="11"/>
  <c r="E111" i="11"/>
  <c r="B111" i="11"/>
  <c r="J192" i="8"/>
  <c r="D86" i="9"/>
  <c r="N86" i="9" s="1"/>
  <c r="E91" i="9"/>
  <c r="E103" i="9"/>
  <c r="D111" i="9"/>
  <c r="Q111" i="9" s="1"/>
  <c r="C116" i="9"/>
  <c r="D118" i="9"/>
  <c r="C123" i="9"/>
  <c r="C130" i="9"/>
  <c r="C172" i="9"/>
  <c r="C183" i="9"/>
  <c r="D186" i="9"/>
  <c r="E191" i="9"/>
  <c r="D19" i="10"/>
  <c r="I45" i="10"/>
  <c r="J45" i="10" s="1"/>
  <c r="I65" i="10"/>
  <c r="K74" i="10"/>
  <c r="E80" i="10"/>
  <c r="G80" i="10" s="1"/>
  <c r="D96" i="10"/>
  <c r="F96" i="10" s="1"/>
  <c r="E102" i="10"/>
  <c r="G102" i="10" s="1"/>
  <c r="D117" i="10"/>
  <c r="J117" i="10" s="1"/>
  <c r="L150" i="10"/>
  <c r="B174" i="10"/>
  <c r="N174" i="10"/>
  <c r="L181" i="10"/>
  <c r="K181" i="10"/>
  <c r="K187" i="10"/>
  <c r="N189" i="10"/>
  <c r="E192" i="10"/>
  <c r="G192" i="10" s="1"/>
  <c r="E202" i="10"/>
  <c r="G202" i="10" s="1"/>
  <c r="B210" i="10"/>
  <c r="E210" i="10"/>
  <c r="G210" i="10" s="1"/>
  <c r="D210" i="10"/>
  <c r="L210" i="10"/>
  <c r="K210" i="10"/>
  <c r="B2" i="11"/>
  <c r="B4" i="1" s="1"/>
  <c r="J10" i="11"/>
  <c r="M10" i="5" s="1"/>
  <c r="AT10" i="5" s="1"/>
  <c r="S26" i="11"/>
  <c r="R32" i="11"/>
  <c r="AF32" i="11"/>
  <c r="AB32" i="11"/>
  <c r="N32" i="11"/>
  <c r="M32" i="11"/>
  <c r="K32" i="11"/>
  <c r="Q35" i="11"/>
  <c r="AF35" i="11"/>
  <c r="AB35" i="11"/>
  <c r="AA35" i="11"/>
  <c r="M35" i="11"/>
  <c r="L35" i="11"/>
  <c r="C35" i="11"/>
  <c r="AB38" i="11"/>
  <c r="B59" i="11"/>
  <c r="B87" i="11"/>
  <c r="AL111" i="11"/>
  <c r="D116" i="9"/>
  <c r="N116" i="9" s="1"/>
  <c r="B138" i="10"/>
  <c r="E138" i="10"/>
  <c r="G138" i="10" s="1"/>
  <c r="D138" i="10"/>
  <c r="L138" i="10"/>
  <c r="K138" i="10"/>
  <c r="E167" i="10"/>
  <c r="G167" i="10" s="1"/>
  <c r="D167" i="10"/>
  <c r="L167" i="10"/>
  <c r="I167" i="10"/>
  <c r="D174" i="10"/>
  <c r="F174" i="10" s="1"/>
  <c r="B181" i="10"/>
  <c r="L187" i="10"/>
  <c r="F198" i="10"/>
  <c r="N202" i="10"/>
  <c r="C2" i="11"/>
  <c r="P10" i="11"/>
  <c r="U26" i="11"/>
  <c r="C32" i="11"/>
  <c r="N35" i="11"/>
  <c r="AH59" i="11"/>
  <c r="AB87" i="11"/>
  <c r="E145" i="10"/>
  <c r="G145" i="10" s="1"/>
  <c r="K153" i="10"/>
  <c r="L158" i="10"/>
  <c r="I173" i="10"/>
  <c r="K186" i="10"/>
  <c r="K195" i="10"/>
  <c r="E206" i="10"/>
  <c r="G206" i="10" s="1"/>
  <c r="D4" i="11"/>
  <c r="E4" i="11" s="1"/>
  <c r="AD4" i="11"/>
  <c r="Q6" i="11"/>
  <c r="AF6" i="11"/>
  <c r="Y7" i="11"/>
  <c r="AJ13" i="11"/>
  <c r="U13" i="11"/>
  <c r="E13" i="11"/>
  <c r="AB13" i="5" s="1"/>
  <c r="AA13" i="11"/>
  <c r="K13" i="11"/>
  <c r="T13" i="11"/>
  <c r="AA14" i="11"/>
  <c r="R14" i="11"/>
  <c r="Z14" i="11"/>
  <c r="D14" i="11"/>
  <c r="Y14" i="11"/>
  <c r="AK19" i="11"/>
  <c r="AJ19" i="11"/>
  <c r="R19" i="11"/>
  <c r="Q19" i="5" s="1"/>
  <c r="BB19" i="5" s="1"/>
  <c r="Y19" i="11"/>
  <c r="F19" i="11"/>
  <c r="X19" i="11"/>
  <c r="Y23" i="11"/>
  <c r="K25" i="11"/>
  <c r="P27" i="11"/>
  <c r="J29" i="11"/>
  <c r="AF29" i="11"/>
  <c r="E34" i="11"/>
  <c r="AB34" i="5" s="1"/>
  <c r="W34" i="11"/>
  <c r="N39" i="11"/>
  <c r="AL39" i="11"/>
  <c r="P40" i="11"/>
  <c r="R43" i="11"/>
  <c r="Y48" i="11"/>
  <c r="E48" i="13" s="1"/>
  <c r="H49" i="12" s="1"/>
  <c r="L52" i="11"/>
  <c r="AH52" i="11"/>
  <c r="AD57" i="11"/>
  <c r="AC57" i="11"/>
  <c r="E57" i="11"/>
  <c r="AB57" i="11"/>
  <c r="D57" i="11"/>
  <c r="Z57" i="11"/>
  <c r="B57" i="11"/>
  <c r="U57" i="11"/>
  <c r="P57" i="11"/>
  <c r="AH60" i="11"/>
  <c r="Y60" i="11"/>
  <c r="X60" i="11"/>
  <c r="S60" i="11"/>
  <c r="M60" i="11"/>
  <c r="AJ60" i="11"/>
  <c r="H60" i="11"/>
  <c r="J61" i="11"/>
  <c r="AB61" i="5" s="1"/>
  <c r="AA62" i="11"/>
  <c r="G62" i="11"/>
  <c r="Z62" i="11"/>
  <c r="F62" i="11"/>
  <c r="Y62" i="11"/>
  <c r="D62" i="11"/>
  <c r="T62" i="11"/>
  <c r="B62" i="11"/>
  <c r="AG62" i="11"/>
  <c r="O62" i="11"/>
  <c r="AF62" i="11"/>
  <c r="V66" i="11"/>
  <c r="P67" i="11"/>
  <c r="AJ73" i="11"/>
  <c r="AB73" i="11"/>
  <c r="I73" i="11"/>
  <c r="AA73" i="11"/>
  <c r="H73" i="11"/>
  <c r="W73" i="11"/>
  <c r="F73" i="11"/>
  <c r="U73" i="11"/>
  <c r="D73" i="11"/>
  <c r="AH73" i="11"/>
  <c r="Q73" i="11"/>
  <c r="AF73" i="11"/>
  <c r="R76" i="11"/>
  <c r="AK104" i="11"/>
  <c r="T104" i="11"/>
  <c r="C104" i="11"/>
  <c r="AJ104" i="11"/>
  <c r="S104" i="11"/>
  <c r="B104" i="11"/>
  <c r="AL104" i="11"/>
  <c r="O104" i="11"/>
  <c r="AH104" i="11"/>
  <c r="N104" i="11"/>
  <c r="AG104" i="11"/>
  <c r="L104" i="11"/>
  <c r="AD104" i="11"/>
  <c r="J104" i="11"/>
  <c r="AC104" i="11"/>
  <c r="I104" i="11"/>
  <c r="Y104" i="11"/>
  <c r="F104" i="11"/>
  <c r="X104" i="11"/>
  <c r="D104" i="11"/>
  <c r="G105" i="11"/>
  <c r="L186" i="10"/>
  <c r="F4" i="11"/>
  <c r="AE4" i="11"/>
  <c r="B6" i="11"/>
  <c r="R6" i="11"/>
  <c r="AG6" i="11"/>
  <c r="AA7" i="11"/>
  <c r="AB11" i="11"/>
  <c r="M11" i="11"/>
  <c r="Y11" i="11"/>
  <c r="AJ11" i="11"/>
  <c r="C13" i="11"/>
  <c r="V13" i="11"/>
  <c r="Q13" i="5" s="1"/>
  <c r="BB13" i="5" s="1"/>
  <c r="B14" i="11"/>
  <c r="AB14" i="11"/>
  <c r="AA19" i="11"/>
  <c r="Z23" i="11"/>
  <c r="L29" i="11"/>
  <c r="AG29" i="11"/>
  <c r="F34" i="11"/>
  <c r="X34" i="11"/>
  <c r="R39" i="11"/>
  <c r="AE40" i="11"/>
  <c r="Q40" i="11"/>
  <c r="C40" i="11"/>
  <c r="AD40" i="11"/>
  <c r="AL40" i="11"/>
  <c r="W40" i="11"/>
  <c r="G42" i="1" s="1"/>
  <c r="I40" i="11"/>
  <c r="R40" i="11"/>
  <c r="AJ40" i="11"/>
  <c r="W43" i="11"/>
  <c r="E47" i="11"/>
  <c r="AC48" i="11"/>
  <c r="N52" i="11"/>
  <c r="O52" i="5" s="1"/>
  <c r="AX52" i="5" s="1"/>
  <c r="AJ52" i="11"/>
  <c r="I57" i="11"/>
  <c r="G60" i="11"/>
  <c r="K61" i="11"/>
  <c r="C62" i="11"/>
  <c r="AL62" i="11"/>
  <c r="R67" i="11"/>
  <c r="C73" i="11"/>
  <c r="AG73" i="11"/>
  <c r="S76" i="11"/>
  <c r="AG78" i="11"/>
  <c r="W78" i="11"/>
  <c r="V78" i="11"/>
  <c r="T78" i="11"/>
  <c r="Q78" i="11"/>
  <c r="AH78" i="11"/>
  <c r="J78" i="11"/>
  <c r="AB78" i="5" s="1"/>
  <c r="AF78" i="11"/>
  <c r="H78" i="11"/>
  <c r="G104" i="11"/>
  <c r="N29" i="11"/>
  <c r="O52" i="11"/>
  <c r="AL63" i="11"/>
  <c r="AJ63" i="11"/>
  <c r="Y63" i="11"/>
  <c r="B63" i="11"/>
  <c r="F65" i="1" s="1"/>
  <c r="AG102" i="11"/>
  <c r="AJ102" i="11"/>
  <c r="U102" i="11"/>
  <c r="R102" i="11"/>
  <c r="AK39" i="11"/>
  <c r="X39" i="11"/>
  <c r="E39" i="11"/>
  <c r="AF39" i="11"/>
  <c r="L39" i="11"/>
  <c r="Y39" i="11"/>
  <c r="Z48" i="11"/>
  <c r="AJ48" i="11"/>
  <c r="K48" i="11"/>
  <c r="AI48" i="11"/>
  <c r="H48" i="11"/>
  <c r="AH48" i="11"/>
  <c r="G48" i="11"/>
  <c r="AA48" i="11"/>
  <c r="E48" i="11"/>
  <c r="V48" i="11"/>
  <c r="AD76" i="11"/>
  <c r="Q76" i="11"/>
  <c r="D76" i="11"/>
  <c r="AC76" i="11"/>
  <c r="P76" i="11"/>
  <c r="C76" i="11"/>
  <c r="AB76" i="11"/>
  <c r="O76" i="11"/>
  <c r="B76" i="11"/>
  <c r="Z76" i="11"/>
  <c r="L76" i="11"/>
  <c r="AI76" i="11"/>
  <c r="V76" i="11"/>
  <c r="I76" i="11"/>
  <c r="AH76" i="11"/>
  <c r="U76" i="11"/>
  <c r="H76" i="11"/>
  <c r="AA76" i="11"/>
  <c r="AJ93" i="11"/>
  <c r="P93" i="11"/>
  <c r="N93" i="11"/>
  <c r="Z93" i="11"/>
  <c r="W93" i="11"/>
  <c r="R93" i="11"/>
  <c r="Q93" i="11"/>
  <c r="K93" i="11"/>
  <c r="AL93" i="11"/>
  <c r="D93" i="11"/>
  <c r="AI93" i="11"/>
  <c r="B93" i="11"/>
  <c r="R3" i="11"/>
  <c r="AK7" i="11"/>
  <c r="L7" i="11"/>
  <c r="V29" i="11"/>
  <c r="E29" i="11"/>
  <c r="AE29" i="11"/>
  <c r="M29" i="11"/>
  <c r="T29" i="11"/>
  <c r="O30" i="11"/>
  <c r="D39" i="11"/>
  <c r="Z39" i="11"/>
  <c r="AB43" i="11"/>
  <c r="AA43" i="11"/>
  <c r="E43" i="11"/>
  <c r="Y43" i="11"/>
  <c r="D43" i="11"/>
  <c r="X43" i="11"/>
  <c r="C43" i="11"/>
  <c r="T43" i="11"/>
  <c r="AK43" i="11"/>
  <c r="O43" i="11"/>
  <c r="F48" i="11"/>
  <c r="AJ67" i="11"/>
  <c r="V67" i="11"/>
  <c r="E67" i="11"/>
  <c r="AB67" i="5" s="1"/>
  <c r="U67" i="11"/>
  <c r="D67" i="11"/>
  <c r="T67" i="11"/>
  <c r="C67" i="11"/>
  <c r="AH67" i="11"/>
  <c r="Q67" i="11"/>
  <c r="AD67" i="11"/>
  <c r="K67" i="11"/>
  <c r="AF67" i="11"/>
  <c r="E76" i="11"/>
  <c r="AE76" i="11"/>
  <c r="E93" i="11"/>
  <c r="Z110" i="11"/>
  <c r="AB110" i="11"/>
  <c r="G110" i="11"/>
  <c r="AA110" i="11"/>
  <c r="E110" i="11"/>
  <c r="AB110" i="5" s="1"/>
  <c r="V110" i="11"/>
  <c r="B110" i="11"/>
  <c r="AJ110" i="11"/>
  <c r="N110" i="11"/>
  <c r="AG110" i="11"/>
  <c r="M110" i="11"/>
  <c r="AK110" i="11"/>
  <c r="AD110" i="11"/>
  <c r="AC110" i="11"/>
  <c r="X110" i="11"/>
  <c r="U110" i="11"/>
  <c r="O110" i="11"/>
  <c r="J110" i="11"/>
  <c r="AB21" i="12"/>
  <c r="Q21" i="12"/>
  <c r="Z21" i="12"/>
  <c r="V21" i="12"/>
  <c r="U21" i="12"/>
  <c r="T21" i="12"/>
  <c r="AC21" i="12"/>
  <c r="AA21" i="12"/>
  <c r="X21" i="12"/>
  <c r="S21" i="12"/>
  <c r="R21" i="12"/>
  <c r="W21" i="12"/>
  <c r="Z3" i="11"/>
  <c r="A14" i="10" s="1"/>
  <c r="W5" i="11"/>
  <c r="D7" i="11"/>
  <c r="B29" i="11"/>
  <c r="U29" i="11"/>
  <c r="Q30" i="11"/>
  <c r="F39" i="11"/>
  <c r="AB39" i="11"/>
  <c r="I43" i="11"/>
  <c r="M48" i="11"/>
  <c r="Z52" i="11"/>
  <c r="K52" i="11"/>
  <c r="X52" i="11"/>
  <c r="J52" i="11"/>
  <c r="AL52" i="11"/>
  <c r="W52" i="11"/>
  <c r="I52" i="11"/>
  <c r="AI52" i="11"/>
  <c r="U52" i="11"/>
  <c r="F52" i="11"/>
  <c r="AE52" i="11"/>
  <c r="Q52" i="11"/>
  <c r="C52" i="11"/>
  <c r="AA52" i="11"/>
  <c r="AL56" i="11"/>
  <c r="P56" i="11"/>
  <c r="F67" i="11"/>
  <c r="AG67" i="11"/>
  <c r="F76" i="11"/>
  <c r="AF76" i="11"/>
  <c r="F93" i="11"/>
  <c r="D110" i="11"/>
  <c r="Z4" i="11"/>
  <c r="A15" i="10" s="1"/>
  <c r="X5" i="11"/>
  <c r="K6" i="11"/>
  <c r="Z6" i="11"/>
  <c r="K7" i="11"/>
  <c r="N9" i="11"/>
  <c r="U11" i="11"/>
  <c r="M13" i="11"/>
  <c r="AG13" i="11"/>
  <c r="P14" i="11"/>
  <c r="O19" i="11"/>
  <c r="I20" i="11"/>
  <c r="AB25" i="11"/>
  <c r="AI25" i="11"/>
  <c r="H25" i="11"/>
  <c r="T25" i="11"/>
  <c r="AH25" i="11"/>
  <c r="C29" i="11"/>
  <c r="Y29" i="11"/>
  <c r="AE30" i="11"/>
  <c r="Q34" i="11"/>
  <c r="G39" i="11"/>
  <c r="AC39" i="11"/>
  <c r="K40" i="11"/>
  <c r="D42" i="1" s="1"/>
  <c r="AB40" i="11"/>
  <c r="J43" i="11"/>
  <c r="AH44" i="11"/>
  <c r="N48" i="11"/>
  <c r="B52" i="11"/>
  <c r="AB52" i="11"/>
  <c r="M54" i="11"/>
  <c r="F56" i="11"/>
  <c r="AE57" i="11"/>
  <c r="AI60" i="11"/>
  <c r="U62" i="11"/>
  <c r="AJ66" i="11"/>
  <c r="T66" i="11"/>
  <c r="S66" i="11"/>
  <c r="M66" i="11"/>
  <c r="AK66" i="11"/>
  <c r="K66" i="11"/>
  <c r="AF66" i="11"/>
  <c r="G66" i="11"/>
  <c r="H67" i="11"/>
  <c r="AI67" i="11"/>
  <c r="T73" i="11"/>
  <c r="G76" i="11"/>
  <c r="AG76" i="11"/>
  <c r="AC78" i="11"/>
  <c r="AB93" i="11"/>
  <c r="AJ105" i="11"/>
  <c r="V105" i="11"/>
  <c r="Q105" i="5" s="1"/>
  <c r="BB105" i="5" s="1"/>
  <c r="AI105" i="11"/>
  <c r="T105" i="11"/>
  <c r="Z105" i="11"/>
  <c r="L105" i="11"/>
  <c r="Y105" i="11"/>
  <c r="K105" i="11"/>
  <c r="AK105" i="11"/>
  <c r="P105" i="11"/>
  <c r="AH105" i="11"/>
  <c r="O105" i="11"/>
  <c r="AF105" i="11"/>
  <c r="M105" i="11"/>
  <c r="AE105" i="11"/>
  <c r="J105" i="11"/>
  <c r="AD105" i="11"/>
  <c r="H105" i="11"/>
  <c r="X105" i="11"/>
  <c r="E105" i="11"/>
  <c r="W105" i="11"/>
  <c r="D105" i="11"/>
  <c r="H110" i="11"/>
  <c r="AG149" i="11"/>
  <c r="AI149" i="11"/>
  <c r="AF149" i="11"/>
  <c r="T149" i="11"/>
  <c r="M149" i="11"/>
  <c r="V149" i="11"/>
  <c r="S149" i="11"/>
  <c r="N149" i="11"/>
  <c r="I149" i="11"/>
  <c r="Z149" i="11"/>
  <c r="C149" i="11"/>
  <c r="M206" i="10"/>
  <c r="L6" i="11"/>
  <c r="M7" i="11"/>
  <c r="V11" i="11"/>
  <c r="O13" i="11"/>
  <c r="AH13" i="11"/>
  <c r="S14" i="11"/>
  <c r="T19" i="11"/>
  <c r="J20" i="11"/>
  <c r="J23" i="11"/>
  <c r="E25" i="11"/>
  <c r="AJ25" i="11"/>
  <c r="D29" i="11"/>
  <c r="Z29" i="11"/>
  <c r="AJ30" i="11"/>
  <c r="AD34" i="11"/>
  <c r="P34" i="11"/>
  <c r="B34" i="11"/>
  <c r="AJ34" i="11"/>
  <c r="V34" i="11"/>
  <c r="G34" i="11"/>
  <c r="R34" i="11"/>
  <c r="AI34" i="11"/>
  <c r="I39" i="11"/>
  <c r="AG39" i="11"/>
  <c r="L40" i="11"/>
  <c r="AC40" i="11"/>
  <c r="K43" i="11"/>
  <c r="S48" i="11"/>
  <c r="D52" i="11"/>
  <c r="AC52" i="11"/>
  <c r="AA54" i="11"/>
  <c r="O56" i="11"/>
  <c r="AI57" i="11"/>
  <c r="AJ61" i="11"/>
  <c r="AB61" i="11"/>
  <c r="I61" i="11"/>
  <c r="AA61" i="11"/>
  <c r="H61" i="11"/>
  <c r="W61" i="11"/>
  <c r="F61" i="11"/>
  <c r="U61" i="11"/>
  <c r="D61" i="11"/>
  <c r="AH61" i="11"/>
  <c r="Q61" i="11"/>
  <c r="AF61" i="11"/>
  <c r="AB62" i="11"/>
  <c r="H66" i="11"/>
  <c r="I67" i="11"/>
  <c r="V73" i="11"/>
  <c r="Q73" i="5" s="1"/>
  <c r="BB73" i="5" s="1"/>
  <c r="J76" i="11"/>
  <c r="M76" i="5" s="1"/>
  <c r="AJ76" i="11"/>
  <c r="AE78" i="11"/>
  <c r="AC93" i="11"/>
  <c r="B105" i="11"/>
  <c r="Q110" i="11"/>
  <c r="AF133" i="11"/>
  <c r="S133" i="11"/>
  <c r="F133" i="11"/>
  <c r="AB133" i="11"/>
  <c r="O133" i="11"/>
  <c r="B133" i="11"/>
  <c r="AL133" i="11"/>
  <c r="X133" i="11"/>
  <c r="K133" i="11"/>
  <c r="AA133" i="11"/>
  <c r="I133" i="11"/>
  <c r="Z133" i="11"/>
  <c r="H133" i="11"/>
  <c r="V133" i="11"/>
  <c r="Q133" i="5" s="1"/>
  <c r="BB133" i="5" s="1"/>
  <c r="E133" i="11"/>
  <c r="AG133" i="11"/>
  <c r="P133" i="11"/>
  <c r="AE133" i="11"/>
  <c r="N133" i="11"/>
  <c r="O133" i="5" s="1"/>
  <c r="AX133" i="5" s="1"/>
  <c r="L133" i="11"/>
  <c r="J133" i="11"/>
  <c r="AJ133" i="11"/>
  <c r="G133" i="11"/>
  <c r="AI133" i="11"/>
  <c r="D133" i="11"/>
  <c r="AH133" i="11"/>
  <c r="C133" i="11"/>
  <c r="W133" i="11"/>
  <c r="U133" i="11"/>
  <c r="Z178" i="11"/>
  <c r="X178" i="11"/>
  <c r="W178" i="11"/>
  <c r="R178" i="11"/>
  <c r="P178" i="11"/>
  <c r="AJ178" i="11"/>
  <c r="J178" i="11"/>
  <c r="AF178" i="11"/>
  <c r="AE178" i="11"/>
  <c r="D178" i="11"/>
  <c r="AD178" i="11"/>
  <c r="Y178" i="11"/>
  <c r="S178" i="11"/>
  <c r="L178" i="11"/>
  <c r="AL178" i="11"/>
  <c r="F178" i="11"/>
  <c r="C178" i="11"/>
  <c r="AB75" i="11"/>
  <c r="N82" i="11"/>
  <c r="AA82" i="11"/>
  <c r="X84" i="11"/>
  <c r="V89" i="11"/>
  <c r="N115" i="11"/>
  <c r="AL115" i="11"/>
  <c r="AI120" i="11"/>
  <c r="Q120" i="11"/>
  <c r="AF120" i="11"/>
  <c r="N120" i="11"/>
  <c r="AD120" i="11"/>
  <c r="L120" i="11"/>
  <c r="W120" i="11"/>
  <c r="F120" i="11"/>
  <c r="AL120" i="11"/>
  <c r="U120" i="11"/>
  <c r="E120" i="11"/>
  <c r="AC120" i="11"/>
  <c r="N127" i="11"/>
  <c r="AI127" i="11"/>
  <c r="T15" i="12"/>
  <c r="AA15" i="12"/>
  <c r="AB15" i="12"/>
  <c r="Y15" i="12"/>
  <c r="X15" i="12"/>
  <c r="AC15" i="12"/>
  <c r="Z37" i="12"/>
  <c r="S37" i="12"/>
  <c r="C116" i="12"/>
  <c r="Z155" i="12"/>
  <c r="AB155" i="12"/>
  <c r="U155" i="12"/>
  <c r="R155" i="12"/>
  <c r="Q155" i="12"/>
  <c r="O16" i="11"/>
  <c r="E18" i="1" s="1"/>
  <c r="AC16" i="11"/>
  <c r="F22" i="11"/>
  <c r="U22" i="11"/>
  <c r="AI22" i="11"/>
  <c r="F28" i="11"/>
  <c r="U28" i="11"/>
  <c r="AI28" i="11"/>
  <c r="AJ31" i="11"/>
  <c r="Q33" i="11"/>
  <c r="AF33" i="11"/>
  <c r="Q36" i="11"/>
  <c r="AF36" i="11"/>
  <c r="N45" i="11"/>
  <c r="O46" i="11"/>
  <c r="E48" i="1" s="1"/>
  <c r="AC46" i="11"/>
  <c r="AJ53" i="11"/>
  <c r="P55" i="11"/>
  <c r="O58" i="11"/>
  <c r="E60" i="1" s="1"/>
  <c r="AC58" i="11"/>
  <c r="F64" i="11"/>
  <c r="U64" i="11"/>
  <c r="AI64" i="11"/>
  <c r="S65" i="11"/>
  <c r="F67" i="1" s="1"/>
  <c r="S68" i="11"/>
  <c r="AC69" i="11"/>
  <c r="H70" i="11"/>
  <c r="U70" i="11"/>
  <c r="AH70" i="11"/>
  <c r="L72" i="11"/>
  <c r="AJ72" i="11"/>
  <c r="B75" i="11"/>
  <c r="AC75" i="11"/>
  <c r="O79" i="11"/>
  <c r="AF79" i="11"/>
  <c r="N81" i="11"/>
  <c r="B82" i="11"/>
  <c r="O82" i="11"/>
  <c r="AB82" i="11"/>
  <c r="E84" i="11"/>
  <c r="AC84" i="11"/>
  <c r="I85" i="11"/>
  <c r="AB85" i="11"/>
  <c r="G88" i="11"/>
  <c r="T88" i="11"/>
  <c r="AG88" i="11"/>
  <c r="X89" i="11"/>
  <c r="T90" i="11"/>
  <c r="AG96" i="11"/>
  <c r="Q96" i="11"/>
  <c r="AJ96" i="11"/>
  <c r="L96" i="11"/>
  <c r="AE96" i="11"/>
  <c r="AC98" i="11"/>
  <c r="H98" i="11"/>
  <c r="B98" i="11"/>
  <c r="O115" i="11"/>
  <c r="AB116" i="11"/>
  <c r="H116" i="11"/>
  <c r="AA116" i="11"/>
  <c r="G116" i="11"/>
  <c r="C118" i="1" s="1"/>
  <c r="V116" i="11"/>
  <c r="D116" i="11"/>
  <c r="AH116" i="11"/>
  <c r="O116" i="11"/>
  <c r="E118" i="1" s="1"/>
  <c r="AG116" i="11"/>
  <c r="N116" i="11"/>
  <c r="M116" i="5" s="1"/>
  <c r="AT116" i="5" s="1"/>
  <c r="AE116" i="11"/>
  <c r="B120" i="11"/>
  <c r="AE120" i="11"/>
  <c r="V125" i="11"/>
  <c r="O127" i="11"/>
  <c r="AL127" i="11"/>
  <c r="AI148" i="11"/>
  <c r="V148" i="11"/>
  <c r="E148" i="11"/>
  <c r="T151" i="11"/>
  <c r="S157" i="11"/>
  <c r="AL173" i="11"/>
  <c r="AI173" i="11"/>
  <c r="W173" i="11"/>
  <c r="N173" i="11"/>
  <c r="H173" i="11"/>
  <c r="M173" i="11"/>
  <c r="B173" i="11"/>
  <c r="T76" i="12"/>
  <c r="S76" i="12"/>
  <c r="AB76" i="12"/>
  <c r="V76" i="12"/>
  <c r="U45" i="11"/>
  <c r="W55" i="11"/>
  <c r="Y65" i="11"/>
  <c r="AD68" i="11"/>
  <c r="AI69" i="11"/>
  <c r="K70" i="11"/>
  <c r="X70" i="11"/>
  <c r="AL70" i="11"/>
  <c r="T72" i="11"/>
  <c r="F75" i="11"/>
  <c r="AL75" i="11"/>
  <c r="R79" i="11"/>
  <c r="AI79" i="11"/>
  <c r="R81" i="11"/>
  <c r="E82" i="11"/>
  <c r="AB82" i="5" s="1"/>
  <c r="R82" i="11"/>
  <c r="AE82" i="11"/>
  <c r="J84" i="11"/>
  <c r="AH84" i="11"/>
  <c r="O85" i="11"/>
  <c r="AF85" i="11"/>
  <c r="J88" i="11"/>
  <c r="W88" i="11"/>
  <c r="AL88" i="11"/>
  <c r="AJ112" i="11"/>
  <c r="M112" i="11"/>
  <c r="AH112" i="11"/>
  <c r="K112" i="11"/>
  <c r="AD112" i="11"/>
  <c r="I112" i="11"/>
  <c r="U112" i="11"/>
  <c r="Q112" i="11"/>
  <c r="AB113" i="11"/>
  <c r="S113" i="11"/>
  <c r="AK113" i="11"/>
  <c r="O113" i="11"/>
  <c r="AH113" i="11"/>
  <c r="K113" i="11"/>
  <c r="Y113" i="11"/>
  <c r="C113" i="11"/>
  <c r="W113" i="11"/>
  <c r="B113" i="11"/>
  <c r="AI113" i="11"/>
  <c r="AI117" i="11"/>
  <c r="L117" i="11"/>
  <c r="H117" i="11"/>
  <c r="AK117" i="11"/>
  <c r="F117" i="11"/>
  <c r="T117" i="11"/>
  <c r="R117" i="11"/>
  <c r="I120" i="11"/>
  <c r="U176" i="11"/>
  <c r="N176" i="11"/>
  <c r="M176" i="11"/>
  <c r="H176" i="11"/>
  <c r="C176" i="11"/>
  <c r="AG176" i="11"/>
  <c r="AA176" i="11"/>
  <c r="AK176" i="11"/>
  <c r="AF176" i="11"/>
  <c r="Z176" i="11"/>
  <c r="T176" i="11"/>
  <c r="S89" i="11"/>
  <c r="Z89" i="11"/>
  <c r="Y89" i="11"/>
  <c r="AL89" i="11"/>
  <c r="AF101" i="11"/>
  <c r="R101" i="11"/>
  <c r="P101" i="11"/>
  <c r="AF115" i="11"/>
  <c r="S115" i="11"/>
  <c r="F115" i="11"/>
  <c r="AE115" i="11"/>
  <c r="R115" i="11"/>
  <c r="Q115" i="5" s="1"/>
  <c r="BB115" i="5" s="1"/>
  <c r="E115" i="11"/>
  <c r="AC115" i="11"/>
  <c r="P115" i="11"/>
  <c r="C115" i="11"/>
  <c r="AJ115" i="11"/>
  <c r="W115" i="11"/>
  <c r="J115" i="11"/>
  <c r="M115" i="5" s="1"/>
  <c r="AI115" i="11"/>
  <c r="V115" i="11"/>
  <c r="I115" i="11"/>
  <c r="X115" i="11"/>
  <c r="AH127" i="11"/>
  <c r="Z127" i="11"/>
  <c r="L127" i="11"/>
  <c r="X127" i="11"/>
  <c r="K127" i="11"/>
  <c r="AJ127" i="11"/>
  <c r="V127" i="11"/>
  <c r="Q127" i="5" s="1"/>
  <c r="BB127" i="5" s="1"/>
  <c r="I127" i="11"/>
  <c r="AD127" i="11"/>
  <c r="Q127" i="11"/>
  <c r="D127" i="11"/>
  <c r="AC127" i="11"/>
  <c r="P127" i="11"/>
  <c r="C127" i="11"/>
  <c r="U127" i="11"/>
  <c r="AG151" i="11"/>
  <c r="AF156" i="11"/>
  <c r="AK156" i="11"/>
  <c r="AJ156" i="11"/>
  <c r="S156" i="11"/>
  <c r="T156" i="11"/>
  <c r="G156" i="11"/>
  <c r="AF157" i="11"/>
  <c r="B176" i="11"/>
  <c r="Y45" i="11"/>
  <c r="G45" i="13" s="1"/>
  <c r="AB55" i="11"/>
  <c r="C65" i="11"/>
  <c r="AA65" i="11"/>
  <c r="AG68" i="11"/>
  <c r="N70" i="11"/>
  <c r="AA70" i="11"/>
  <c r="W72" i="11"/>
  <c r="N75" i="11"/>
  <c r="O75" i="5" s="1"/>
  <c r="AX75" i="5" s="1"/>
  <c r="V77" i="11"/>
  <c r="D79" i="11"/>
  <c r="U79" i="11"/>
  <c r="Z81" i="11"/>
  <c r="G82" i="11"/>
  <c r="T82" i="11"/>
  <c r="AG82" i="11"/>
  <c r="L84" i="11"/>
  <c r="AJ84" i="11"/>
  <c r="Q85" i="11"/>
  <c r="AH85" i="11"/>
  <c r="L88" i="11"/>
  <c r="Z88" i="11"/>
  <c r="B89" i="11"/>
  <c r="AG90" i="11"/>
  <c r="Q90" i="11"/>
  <c r="AJ90" i="11"/>
  <c r="L90" i="11"/>
  <c r="AE90" i="11"/>
  <c r="N101" i="11"/>
  <c r="E112" i="11"/>
  <c r="H113" i="11"/>
  <c r="B115" i="11"/>
  <c r="Z115" i="11"/>
  <c r="G117" i="11"/>
  <c r="C119" i="1" s="1"/>
  <c r="M120" i="11"/>
  <c r="B127" i="11"/>
  <c r="W127" i="11"/>
  <c r="O137" i="11"/>
  <c r="W137" i="11"/>
  <c r="U137" i="11"/>
  <c r="J137" i="11"/>
  <c r="M137" i="5" s="1"/>
  <c r="AT137" i="5" s="1"/>
  <c r="AG137" i="11"/>
  <c r="D137" i="11"/>
  <c r="AB137" i="11"/>
  <c r="Y137" i="11"/>
  <c r="P137" i="11"/>
  <c r="N137" i="11"/>
  <c r="AK150" i="11"/>
  <c r="R150" i="11"/>
  <c r="I176" i="11"/>
  <c r="AE185" i="11"/>
  <c r="N185" i="11"/>
  <c r="F185" i="11"/>
  <c r="AJ185" i="11"/>
  <c r="AC185" i="11"/>
  <c r="E45" i="11"/>
  <c r="AB45" i="11"/>
  <c r="P50" i="11"/>
  <c r="E55" i="11"/>
  <c r="AD55" i="11"/>
  <c r="AE65" i="11"/>
  <c r="B70" i="11"/>
  <c r="O70" i="11"/>
  <c r="AB70" i="11"/>
  <c r="X72" i="11"/>
  <c r="P75" i="11"/>
  <c r="X77" i="11"/>
  <c r="E79" i="11"/>
  <c r="AB79" i="5" s="1"/>
  <c r="V79" i="11"/>
  <c r="AB81" i="11"/>
  <c r="H82" i="11"/>
  <c r="U82" i="11"/>
  <c r="AH82" i="11"/>
  <c r="Q84" i="11"/>
  <c r="R85" i="11"/>
  <c r="AI85" i="11"/>
  <c r="N88" i="11"/>
  <c r="O88" i="5" s="1"/>
  <c r="AA88" i="11"/>
  <c r="G89" i="11"/>
  <c r="E90" i="11"/>
  <c r="AB90" i="5" s="1"/>
  <c r="AF90" i="11"/>
  <c r="Y95" i="11"/>
  <c r="N95" i="11"/>
  <c r="M95" i="11"/>
  <c r="X101" i="11"/>
  <c r="J112" i="11"/>
  <c r="I113" i="11"/>
  <c r="D115" i="11"/>
  <c r="AA115" i="11"/>
  <c r="O117" i="11"/>
  <c r="E119" i="1" s="1"/>
  <c r="S120" i="11"/>
  <c r="AF125" i="11"/>
  <c r="AH125" i="11"/>
  <c r="J125" i="11"/>
  <c r="AE125" i="11"/>
  <c r="H125" i="11"/>
  <c r="AA125" i="11"/>
  <c r="D125" i="11"/>
  <c r="S125" i="11"/>
  <c r="N125" i="11"/>
  <c r="E127" i="11"/>
  <c r="AB127" i="5" s="1"/>
  <c r="AA127" i="11"/>
  <c r="AI132" i="11"/>
  <c r="W132" i="11"/>
  <c r="Q132" i="11"/>
  <c r="AK132" i="11"/>
  <c r="G132" i="11"/>
  <c r="U132" i="11"/>
  <c r="S132" i="11"/>
  <c r="M132" i="11"/>
  <c r="AG132" i="11"/>
  <c r="AF132" i="11"/>
  <c r="V134" i="11"/>
  <c r="M134" i="11"/>
  <c r="AH134" i="11"/>
  <c r="AA134" i="11"/>
  <c r="B134" i="11"/>
  <c r="H137" i="11"/>
  <c r="AI151" i="11"/>
  <c r="V151" i="11"/>
  <c r="I151" i="11"/>
  <c r="AH151" i="11"/>
  <c r="U151" i="11"/>
  <c r="H151" i="11"/>
  <c r="AE151" i="11"/>
  <c r="R151" i="11"/>
  <c r="E151" i="11"/>
  <c r="AB151" i="11"/>
  <c r="O151" i="11"/>
  <c r="B151" i="11"/>
  <c r="AF151" i="11"/>
  <c r="L151" i="11"/>
  <c r="AD151" i="11"/>
  <c r="K151" i="11"/>
  <c r="AC151" i="11"/>
  <c r="J151" i="11"/>
  <c r="M151" i="5" s="1"/>
  <c r="AA151" i="11"/>
  <c r="G151" i="11"/>
  <c r="S151" i="11"/>
  <c r="AL151" i="11"/>
  <c r="Q151" i="11"/>
  <c r="Z157" i="11"/>
  <c r="L157" i="11"/>
  <c r="AL157" i="11"/>
  <c r="X157" i="11"/>
  <c r="K157" i="11"/>
  <c r="AH157" i="11"/>
  <c r="U157" i="11"/>
  <c r="H157" i="11"/>
  <c r="AE157" i="11"/>
  <c r="R157" i="11"/>
  <c r="E157" i="11"/>
  <c r="AB157" i="5" s="1"/>
  <c r="AC157" i="11"/>
  <c r="I157" i="11"/>
  <c r="AB157" i="11"/>
  <c r="G157" i="11"/>
  <c r="AA157" i="11"/>
  <c r="F157" i="11"/>
  <c r="W157" i="11"/>
  <c r="D157" i="11"/>
  <c r="AI157" i="11"/>
  <c r="P157" i="11"/>
  <c r="AG157" i="11"/>
  <c r="O157" i="11"/>
  <c r="AJ162" i="11"/>
  <c r="L162" i="11"/>
  <c r="AI162" i="11"/>
  <c r="I162" i="11"/>
  <c r="AE162" i="11"/>
  <c r="E162" i="11"/>
  <c r="X162" i="11"/>
  <c r="R162" i="11"/>
  <c r="Q162" i="11"/>
  <c r="M162" i="11"/>
  <c r="H162" i="11"/>
  <c r="AF162" i="11"/>
  <c r="AC162" i="11"/>
  <c r="AK166" i="11"/>
  <c r="AH166" i="11"/>
  <c r="X166" i="11"/>
  <c r="AF175" i="11"/>
  <c r="S175" i="11"/>
  <c r="F175" i="11"/>
  <c r="AE175" i="11"/>
  <c r="R175" i="11"/>
  <c r="E175" i="11"/>
  <c r="AB175" i="5" s="1"/>
  <c r="AC175" i="5" s="1"/>
  <c r="AC175" i="11"/>
  <c r="P175" i="11"/>
  <c r="C175" i="11"/>
  <c r="AB175" i="11"/>
  <c r="O175" i="11"/>
  <c r="B175" i="11"/>
  <c r="AL175" i="11"/>
  <c r="X175" i="11"/>
  <c r="K175" i="11"/>
  <c r="AI175" i="11"/>
  <c r="V175" i="11"/>
  <c r="I175" i="11"/>
  <c r="Z175" i="11"/>
  <c r="W175" i="11"/>
  <c r="U175" i="11"/>
  <c r="T175" i="11"/>
  <c r="AH175" i="11"/>
  <c r="H175" i="11"/>
  <c r="AG175" i="11"/>
  <c r="G175" i="11"/>
  <c r="AL176" i="11"/>
  <c r="P185" i="11"/>
  <c r="J188" i="11"/>
  <c r="H188" i="11"/>
  <c r="G188" i="11"/>
  <c r="AC188" i="11"/>
  <c r="AB188" i="11"/>
  <c r="Z188" i="11"/>
  <c r="R195" i="11"/>
  <c r="O196" i="12"/>
  <c r="AG195" i="11"/>
  <c r="AJ195" i="11"/>
  <c r="U195" i="11"/>
  <c r="L195" i="11"/>
  <c r="I195" i="11"/>
  <c r="B195" i="11"/>
  <c r="I16" i="11"/>
  <c r="W16" i="11"/>
  <c r="G18" i="1" s="1"/>
  <c r="O22" i="11"/>
  <c r="E24" i="1" s="1"/>
  <c r="O28" i="11"/>
  <c r="E30" i="1" s="1"/>
  <c r="V31" i="11"/>
  <c r="I33" i="11"/>
  <c r="J36" i="11"/>
  <c r="F45" i="11"/>
  <c r="AC45" i="11"/>
  <c r="I46" i="11"/>
  <c r="W46" i="11"/>
  <c r="G48" i="1" s="1"/>
  <c r="F55" i="11"/>
  <c r="AF55" i="11"/>
  <c r="I58" i="11"/>
  <c r="W58" i="11"/>
  <c r="G60" i="1" s="1"/>
  <c r="O64" i="11"/>
  <c r="E66" i="1" s="1"/>
  <c r="I65" i="11"/>
  <c r="AG65" i="11"/>
  <c r="G68" i="11"/>
  <c r="G69" i="11"/>
  <c r="C70" i="11"/>
  <c r="P70" i="11"/>
  <c r="E72" i="11"/>
  <c r="AB72" i="5" s="1"/>
  <c r="AC72" i="5" s="1"/>
  <c r="AC72" i="11"/>
  <c r="Q75" i="11"/>
  <c r="F79" i="11"/>
  <c r="W79" i="11"/>
  <c r="B81" i="11"/>
  <c r="AC81" i="11"/>
  <c r="I82" i="11"/>
  <c r="V82" i="11"/>
  <c r="S84" i="11"/>
  <c r="C85" i="11"/>
  <c r="T85" i="11"/>
  <c r="B88" i="11"/>
  <c r="O88" i="11"/>
  <c r="AB88" i="11"/>
  <c r="J89" i="11"/>
  <c r="M89" i="5" s="1"/>
  <c r="AT89" i="5" s="1"/>
  <c r="G90" i="11"/>
  <c r="AH90" i="11"/>
  <c r="L95" i="11"/>
  <c r="AE101" i="11"/>
  <c r="O112" i="11"/>
  <c r="J113" i="11"/>
  <c r="M113" i="5" s="1"/>
  <c r="G115" i="11"/>
  <c r="AB115" i="11"/>
  <c r="Q117" i="11"/>
  <c r="T120" i="11"/>
  <c r="B125" i="11"/>
  <c r="F127" i="11"/>
  <c r="AB127" i="11"/>
  <c r="B132" i="11"/>
  <c r="Q134" i="11"/>
  <c r="I137" i="11"/>
  <c r="C151" i="11"/>
  <c r="B157" i="11"/>
  <c r="G162" i="11"/>
  <c r="U166" i="11"/>
  <c r="D175" i="11"/>
  <c r="U185" i="11"/>
  <c r="P188" i="11"/>
  <c r="O195" i="11"/>
  <c r="Q91" i="11"/>
  <c r="AH91" i="11"/>
  <c r="T97" i="11"/>
  <c r="U100" i="11"/>
  <c r="N103" i="11"/>
  <c r="AA103" i="11"/>
  <c r="G109" i="11"/>
  <c r="C111" i="1" s="1"/>
  <c r="T109" i="11"/>
  <c r="AG109" i="11"/>
  <c r="F114" i="11"/>
  <c r="AG114" i="11"/>
  <c r="AG118" i="11"/>
  <c r="U119" i="11"/>
  <c r="L121" i="11"/>
  <c r="Z121" i="11"/>
  <c r="H123" i="11"/>
  <c r="AC124" i="11"/>
  <c r="P128" i="11"/>
  <c r="V130" i="11"/>
  <c r="AI130" i="11"/>
  <c r="U130" i="11"/>
  <c r="E130" i="11"/>
  <c r="AB130" i="5" s="1"/>
  <c r="AC130" i="5" s="1"/>
  <c r="F136" i="11"/>
  <c r="AI136" i="11"/>
  <c r="W138" i="11"/>
  <c r="AL138" i="11"/>
  <c r="N138" i="11"/>
  <c r="J142" i="11"/>
  <c r="AB142" i="5" s="1"/>
  <c r="AP142" i="5" s="1"/>
  <c r="H145" i="11"/>
  <c r="Z147" i="11"/>
  <c r="L153" i="11"/>
  <c r="AK172" i="11"/>
  <c r="K172" i="11"/>
  <c r="AI172" i="11"/>
  <c r="J172" i="11"/>
  <c r="AB172" i="5" s="1"/>
  <c r="AB172" i="11"/>
  <c r="D172" i="11"/>
  <c r="W172" i="11"/>
  <c r="Q172" i="11"/>
  <c r="Y36" i="12"/>
  <c r="AB36" i="12"/>
  <c r="AA36" i="12"/>
  <c r="Z36" i="12"/>
  <c r="W36" i="12"/>
  <c r="U36" i="12"/>
  <c r="S36" i="12"/>
  <c r="R36" i="12"/>
  <c r="Q36" i="12"/>
  <c r="AC36" i="12"/>
  <c r="X36" i="12"/>
  <c r="T36" i="12"/>
  <c r="W29" i="13"/>
  <c r="R29" i="13"/>
  <c r="O29" i="13"/>
  <c r="N29" i="13"/>
  <c r="Q29" i="13"/>
  <c r="P29" i="13"/>
  <c r="B30" i="12"/>
  <c r="R91" i="11"/>
  <c r="Q91" i="5" s="1"/>
  <c r="AI91" i="11"/>
  <c r="U97" i="11"/>
  <c r="C100" i="11"/>
  <c r="X100" i="11"/>
  <c r="B103" i="11"/>
  <c r="O103" i="11"/>
  <c r="P106" i="11"/>
  <c r="Q108" i="11"/>
  <c r="H109" i="11"/>
  <c r="U109" i="11"/>
  <c r="AH109" i="11"/>
  <c r="H114" i="11"/>
  <c r="AI114" i="11"/>
  <c r="N121" i="11"/>
  <c r="K123" i="11"/>
  <c r="Q128" i="11"/>
  <c r="I136" i="11"/>
  <c r="AJ136" i="11"/>
  <c r="L142" i="11"/>
  <c r="AG152" i="11"/>
  <c r="AE152" i="11"/>
  <c r="AB152" i="11"/>
  <c r="O152" i="11"/>
  <c r="H152" i="11"/>
  <c r="N153" i="11"/>
  <c r="AI155" i="11"/>
  <c r="V155" i="11"/>
  <c r="U155" i="11"/>
  <c r="J155" i="11"/>
  <c r="AL155" i="11"/>
  <c r="C155" i="11"/>
  <c r="X191" i="11"/>
  <c r="M191" i="11"/>
  <c r="Z191" i="11"/>
  <c r="W191" i="11"/>
  <c r="S191" i="11"/>
  <c r="P191" i="11"/>
  <c r="K191" i="11"/>
  <c r="I191" i="11"/>
  <c r="H191" i="11"/>
  <c r="G191" i="11"/>
  <c r="AI191" i="11"/>
  <c r="AG191" i="11"/>
  <c r="AF191" i="11"/>
  <c r="Y199" i="11"/>
  <c r="G199" i="13" s="1"/>
  <c r="V199" i="11"/>
  <c r="F199" i="11"/>
  <c r="AE199" i="11"/>
  <c r="M199" i="11"/>
  <c r="AC199" i="11"/>
  <c r="L199" i="11"/>
  <c r="AB199" i="11"/>
  <c r="I199" i="11"/>
  <c r="U199" i="11"/>
  <c r="T199" i="11"/>
  <c r="R199" i="11"/>
  <c r="Q199" i="11"/>
  <c r="AK199" i="11"/>
  <c r="O199" i="11"/>
  <c r="AH199" i="11"/>
  <c r="G199" i="11"/>
  <c r="AG199" i="11"/>
  <c r="E199" i="11"/>
  <c r="AF199" i="11"/>
  <c r="D199" i="11"/>
  <c r="W9" i="13"/>
  <c r="V9" i="13"/>
  <c r="P9" i="13"/>
  <c r="N202" i="15"/>
  <c r="M202" i="15"/>
  <c r="L202" i="15"/>
  <c r="S92" i="13"/>
  <c r="R92" i="13"/>
  <c r="N109" i="11"/>
  <c r="AA109" i="11"/>
  <c r="S114" i="11"/>
  <c r="F116" i="1" s="1"/>
  <c r="Y123" i="11"/>
  <c r="F123" i="13" s="1"/>
  <c r="U136" i="11"/>
  <c r="AC142" i="11"/>
  <c r="E147" i="11"/>
  <c r="C147" i="11"/>
  <c r="AD147" i="11"/>
  <c r="W147" i="11"/>
  <c r="AA152" i="11"/>
  <c r="AD153" i="11"/>
  <c r="O155" i="11"/>
  <c r="E157" i="1" s="1"/>
  <c r="W174" i="11"/>
  <c r="Q174" i="11"/>
  <c r="AA199" i="11"/>
  <c r="AC22" i="12"/>
  <c r="Y22" i="12"/>
  <c r="X22" i="12"/>
  <c r="V22" i="12"/>
  <c r="R22" i="12"/>
  <c r="AB22" i="12"/>
  <c r="Y56" i="12"/>
  <c r="AB56" i="12"/>
  <c r="AA56" i="12"/>
  <c r="Z56" i="12"/>
  <c r="W56" i="12"/>
  <c r="V56" i="12"/>
  <c r="S56" i="12"/>
  <c r="Q56" i="12"/>
  <c r="AC56" i="12"/>
  <c r="X56" i="12"/>
  <c r="T56" i="12"/>
  <c r="V136" i="11"/>
  <c r="Q136" i="5" s="1"/>
  <c r="AG142" i="11"/>
  <c r="AD145" i="11"/>
  <c r="Q145" i="11"/>
  <c r="D145" i="11"/>
  <c r="AC145" i="11"/>
  <c r="P145" i="11"/>
  <c r="C145" i="11"/>
  <c r="Z145" i="11"/>
  <c r="L145" i="11"/>
  <c r="AI145" i="11"/>
  <c r="V145" i="11"/>
  <c r="Q145" i="5" s="1"/>
  <c r="BB145" i="5" s="1"/>
  <c r="I145" i="11"/>
  <c r="T145" i="11"/>
  <c r="G147" i="11"/>
  <c r="AF152" i="11"/>
  <c r="Y155" i="11"/>
  <c r="AK159" i="11"/>
  <c r="N159" i="11"/>
  <c r="Y172" i="11"/>
  <c r="K174" i="11"/>
  <c r="AJ199" i="11"/>
  <c r="Y178" i="12"/>
  <c r="R178" i="12"/>
  <c r="Q178" i="12"/>
  <c r="AC178" i="12"/>
  <c r="AA178" i="12"/>
  <c r="W178" i="12"/>
  <c r="V178" i="12"/>
  <c r="U178" i="12"/>
  <c r="X178" i="12"/>
  <c r="T178" i="12"/>
  <c r="S178" i="12"/>
  <c r="AB178" i="12"/>
  <c r="Z178" i="12"/>
  <c r="U107" i="11"/>
  <c r="C109" i="11"/>
  <c r="P109" i="11"/>
  <c r="AC109" i="11"/>
  <c r="X114" i="11"/>
  <c r="AD123" i="11"/>
  <c r="O128" i="11"/>
  <c r="Y128" i="11"/>
  <c r="N128" i="11"/>
  <c r="M128" i="5" s="1"/>
  <c r="AT128" i="5" s="1"/>
  <c r="AJ153" i="11"/>
  <c r="X153" i="11"/>
  <c r="S153" i="11"/>
  <c r="M153" i="11"/>
  <c r="AE153" i="11"/>
  <c r="F153" i="11"/>
  <c r="AL153" i="11"/>
  <c r="Z155" i="11"/>
  <c r="R174" i="11"/>
  <c r="S22" i="12"/>
  <c r="Y57" i="12"/>
  <c r="Z57" i="12"/>
  <c r="X57" i="12"/>
  <c r="W57" i="12"/>
  <c r="U57" i="12"/>
  <c r="T57" i="12"/>
  <c r="R57" i="12"/>
  <c r="Q57" i="12"/>
  <c r="AC57" i="12"/>
  <c r="AB57" i="12"/>
  <c r="V57" i="12"/>
  <c r="S57" i="12"/>
  <c r="X107" i="11"/>
  <c r="D109" i="11"/>
  <c r="Q109" i="11"/>
  <c r="Y114" i="11"/>
  <c r="D114" i="13" s="1"/>
  <c r="E115" i="12" s="1"/>
  <c r="P118" i="11"/>
  <c r="B123" i="11"/>
  <c r="B128" i="11"/>
  <c r="E130" i="1" s="1"/>
  <c r="AG136" i="11"/>
  <c r="O136" i="11"/>
  <c r="AD136" i="11"/>
  <c r="M136" i="11"/>
  <c r="AA136" i="11"/>
  <c r="J136" i="11"/>
  <c r="W136" i="11"/>
  <c r="E136" i="11"/>
  <c r="Y136" i="11"/>
  <c r="AJ142" i="11"/>
  <c r="X142" i="11"/>
  <c r="V142" i="11"/>
  <c r="M142" i="11"/>
  <c r="AH142" i="11"/>
  <c r="I142" i="11"/>
  <c r="Y143" i="11"/>
  <c r="AF143" i="11"/>
  <c r="G143" i="11"/>
  <c r="Q147" i="11"/>
  <c r="B153" i="11"/>
  <c r="AE155" i="11"/>
  <c r="P160" i="11"/>
  <c r="M160" i="11"/>
  <c r="C160" i="11"/>
  <c r="AG160" i="11"/>
  <c r="AI174" i="11"/>
  <c r="AB183" i="11"/>
  <c r="AG183" i="11"/>
  <c r="D183" i="11"/>
  <c r="Q183" i="11"/>
  <c r="M183" i="11"/>
  <c r="K183" i="11"/>
  <c r="E183" i="11"/>
  <c r="AB183" i="5" s="1"/>
  <c r="C183" i="11"/>
  <c r="AH183" i="11"/>
  <c r="AF183" i="11"/>
  <c r="Z183" i="11"/>
  <c r="Y183" i="11"/>
  <c r="T183" i="11"/>
  <c r="Y12" i="12"/>
  <c r="AA12" i="12"/>
  <c r="R12" i="12"/>
  <c r="Q12" i="12"/>
  <c r="AC12" i="12"/>
  <c r="Z12" i="12"/>
  <c r="X12" i="12"/>
  <c r="W12" i="12"/>
  <c r="T12" i="12"/>
  <c r="S12" i="12"/>
  <c r="Q17" i="12"/>
  <c r="AC17" i="12"/>
  <c r="T17" i="12"/>
  <c r="S17" i="12"/>
  <c r="R17" i="12"/>
  <c r="Z22" i="12"/>
  <c r="B93" i="12"/>
  <c r="T182" i="11"/>
  <c r="AJ187" i="11"/>
  <c r="U187" i="11"/>
  <c r="G187" i="11"/>
  <c r="AA187" i="11"/>
  <c r="L187" i="11"/>
  <c r="Y187" i="11"/>
  <c r="D187" i="13" s="1"/>
  <c r="E188" i="12" s="1"/>
  <c r="K187" i="11"/>
  <c r="X187" i="11"/>
  <c r="J187" i="11"/>
  <c r="AB187" i="5" s="1"/>
  <c r="T187" i="11"/>
  <c r="O192" i="11"/>
  <c r="X103" i="12"/>
  <c r="Q103" i="12"/>
  <c r="AC103" i="12"/>
  <c r="AB103" i="12"/>
  <c r="W103" i="12"/>
  <c r="V103" i="12"/>
  <c r="T103" i="12"/>
  <c r="S103" i="12"/>
  <c r="R103" i="12"/>
  <c r="W182" i="11"/>
  <c r="R192" i="11"/>
  <c r="Y8" i="12"/>
  <c r="V8" i="12"/>
  <c r="AB8" i="12"/>
  <c r="AA8" i="12"/>
  <c r="Z8" i="12"/>
  <c r="Y23" i="12"/>
  <c r="W23" i="12"/>
  <c r="R41" i="12"/>
  <c r="Y41" i="12"/>
  <c r="S41" i="12"/>
  <c r="U46" i="12"/>
  <c r="AB46" i="12"/>
  <c r="Z46" i="12"/>
  <c r="X46" i="12"/>
  <c r="R46" i="12"/>
  <c r="Q46" i="12"/>
  <c r="U103" i="12"/>
  <c r="T129" i="11"/>
  <c r="M135" i="11"/>
  <c r="F139" i="11"/>
  <c r="S139" i="11"/>
  <c r="F141" i="1" s="1"/>
  <c r="AF139" i="11"/>
  <c r="U144" i="11"/>
  <c r="Y146" i="11"/>
  <c r="Q154" i="11"/>
  <c r="AG161" i="11"/>
  <c r="F163" i="11"/>
  <c r="S163" i="11"/>
  <c r="F165" i="1" s="1"/>
  <c r="AF163" i="11"/>
  <c r="M164" i="11"/>
  <c r="X165" i="11"/>
  <c r="F169" i="11"/>
  <c r="S169" i="11"/>
  <c r="F171" i="1" s="1"/>
  <c r="AF169" i="11"/>
  <c r="W177" i="11"/>
  <c r="R179" i="11"/>
  <c r="AB180" i="11"/>
  <c r="O180" i="11"/>
  <c r="B180" i="11"/>
  <c r="AF180" i="11"/>
  <c r="S180" i="11"/>
  <c r="F180" i="11"/>
  <c r="AE180" i="11"/>
  <c r="R180" i="11"/>
  <c r="Q180" i="11"/>
  <c r="AI180" i="11"/>
  <c r="W186" i="11"/>
  <c r="AJ186" i="11"/>
  <c r="G186" i="11"/>
  <c r="AG186" i="11"/>
  <c r="F186" i="11"/>
  <c r="AF186" i="11"/>
  <c r="C186" i="11"/>
  <c r="D187" i="11"/>
  <c r="W187" i="11"/>
  <c r="J193" i="11"/>
  <c r="M197" i="11"/>
  <c r="AK197" i="11"/>
  <c r="U9" i="12"/>
  <c r="AB73" i="12"/>
  <c r="Z73" i="12"/>
  <c r="Y73" i="12"/>
  <c r="U73" i="12"/>
  <c r="S73" i="12"/>
  <c r="R73" i="12"/>
  <c r="Y103" i="12"/>
  <c r="A221" i="15"/>
  <c r="W169" i="13"/>
  <c r="P169" i="13"/>
  <c r="O169" i="13"/>
  <c r="N169" i="13"/>
  <c r="B169" i="13"/>
  <c r="V169" i="13"/>
  <c r="U169" i="13"/>
  <c r="T169" i="13"/>
  <c r="B170" i="12"/>
  <c r="S169" i="13"/>
  <c r="Q169" i="13"/>
  <c r="Y182" i="11"/>
  <c r="V182" i="11"/>
  <c r="AC182" i="11"/>
  <c r="AB182" i="11"/>
  <c r="G182" i="11"/>
  <c r="AA182" i="11"/>
  <c r="F182" i="11"/>
  <c r="AI182" i="11"/>
  <c r="F189" i="11"/>
  <c r="AB189" i="11"/>
  <c r="Z189" i="11"/>
  <c r="P189" i="11"/>
  <c r="AE192" i="11"/>
  <c r="Q192" i="11"/>
  <c r="B192" i="11"/>
  <c r="AJ192" i="11"/>
  <c r="V192" i="11"/>
  <c r="H192" i="11"/>
  <c r="AI192" i="11"/>
  <c r="U192" i="11"/>
  <c r="G192" i="11"/>
  <c r="AH192" i="11"/>
  <c r="T192" i="11"/>
  <c r="F192" i="11"/>
  <c r="X192" i="11"/>
  <c r="R14" i="12"/>
  <c r="Z14" i="12"/>
  <c r="Y14" i="12"/>
  <c r="W14" i="12"/>
  <c r="Y20" i="12"/>
  <c r="Q20" i="12"/>
  <c r="AB20" i="12"/>
  <c r="X20" i="12"/>
  <c r="W20" i="12"/>
  <c r="V20" i="12"/>
  <c r="Y24" i="12"/>
  <c r="AA24" i="12"/>
  <c r="Z24" i="12"/>
  <c r="U24" i="12"/>
  <c r="R24" i="12"/>
  <c r="Q24" i="12"/>
  <c r="W27" i="12"/>
  <c r="U27" i="12"/>
  <c r="R27" i="12"/>
  <c r="AC27" i="12"/>
  <c r="Y38" i="12"/>
  <c r="W38" i="12"/>
  <c r="V38" i="12"/>
  <c r="R38" i="12"/>
  <c r="AC38" i="12"/>
  <c r="AC41" i="12"/>
  <c r="AC46" i="12"/>
  <c r="V189" i="12"/>
  <c r="X189" i="12"/>
  <c r="W189" i="12"/>
  <c r="U189" i="12"/>
  <c r="T189" i="12"/>
  <c r="S189" i="12"/>
  <c r="AB189" i="12"/>
  <c r="AA189" i="12"/>
  <c r="Z189" i="12"/>
  <c r="Y189" i="12"/>
  <c r="E129" i="11"/>
  <c r="Z129" i="11"/>
  <c r="W135" i="11"/>
  <c r="I139" i="11"/>
  <c r="V139" i="11"/>
  <c r="Q139" i="5" s="1"/>
  <c r="BB139" i="5" s="1"/>
  <c r="AI139" i="11"/>
  <c r="AK144" i="11"/>
  <c r="AF146" i="11"/>
  <c r="X154" i="11"/>
  <c r="I163" i="11"/>
  <c r="V163" i="11"/>
  <c r="Q163" i="5" s="1"/>
  <c r="BB163" i="5" s="1"/>
  <c r="AI163" i="11"/>
  <c r="S164" i="11"/>
  <c r="E165" i="11"/>
  <c r="AC165" i="11"/>
  <c r="I169" i="11"/>
  <c r="V169" i="11"/>
  <c r="Q169" i="5" s="1"/>
  <c r="BB169" i="5" s="1"/>
  <c r="AI169" i="11"/>
  <c r="E180" i="11"/>
  <c r="AB180" i="5" s="1"/>
  <c r="V180" i="11"/>
  <c r="AA181" i="11"/>
  <c r="AL181" i="11"/>
  <c r="G181" i="11"/>
  <c r="C183" i="1" s="1"/>
  <c r="Q181" i="11"/>
  <c r="N181" i="11"/>
  <c r="E182" i="11"/>
  <c r="AB182" i="5" s="1"/>
  <c r="AC182" i="5" s="1"/>
  <c r="AJ182" i="11"/>
  <c r="N186" i="11"/>
  <c r="H187" i="11"/>
  <c r="AE187" i="11"/>
  <c r="H189" i="11"/>
  <c r="C192" i="11"/>
  <c r="Z192" i="11"/>
  <c r="AG193" i="11"/>
  <c r="T8" i="12"/>
  <c r="AB99" i="12"/>
  <c r="AC99" i="12"/>
  <c r="S99" i="12"/>
  <c r="S106" i="12"/>
  <c r="Z106" i="12"/>
  <c r="Y106" i="12"/>
  <c r="AB106" i="12"/>
  <c r="V106" i="12"/>
  <c r="U106" i="12"/>
  <c r="R106" i="12"/>
  <c r="Q106" i="12"/>
  <c r="H182" i="11"/>
  <c r="AK182" i="11"/>
  <c r="X184" i="11"/>
  <c r="O184" i="11"/>
  <c r="K184" i="11"/>
  <c r="K189" i="11"/>
  <c r="E192" i="11"/>
  <c r="AA192" i="11"/>
  <c r="T14" i="12"/>
  <c r="S20" i="12"/>
  <c r="S24" i="12"/>
  <c r="AC29" i="12"/>
  <c r="AA29" i="12"/>
  <c r="Y29" i="12"/>
  <c r="R29" i="12"/>
  <c r="Q29" i="12"/>
  <c r="Z49" i="12"/>
  <c r="W49" i="12"/>
  <c r="U88" i="12"/>
  <c r="T88" i="12"/>
  <c r="V88" i="12"/>
  <c r="R88" i="12"/>
  <c r="AB88" i="12"/>
  <c r="AA88" i="12"/>
  <c r="Z120" i="12"/>
  <c r="S120" i="12"/>
  <c r="R120" i="12"/>
  <c r="Q120" i="12"/>
  <c r="X120" i="12"/>
  <c r="W120" i="12"/>
  <c r="V120" i="12"/>
  <c r="AC120" i="12"/>
  <c r="U120" i="12"/>
  <c r="T120" i="12"/>
  <c r="U134" i="12"/>
  <c r="S134" i="12"/>
  <c r="R134" i="12"/>
  <c r="W134" i="12"/>
  <c r="V114" i="13"/>
  <c r="B115" i="12"/>
  <c r="U186" i="13"/>
  <c r="P186" i="13"/>
  <c r="O186" i="13"/>
  <c r="Z164" i="11"/>
  <c r="L182" i="11"/>
  <c r="P187" i="11"/>
  <c r="AH187" i="11"/>
  <c r="AJ189" i="11"/>
  <c r="J192" i="11"/>
  <c r="M192" i="5" s="1"/>
  <c r="AT192" i="5" s="1"/>
  <c r="AD192" i="11"/>
  <c r="AC8" i="12"/>
  <c r="S10" i="12"/>
  <c r="AB14" i="12"/>
  <c r="Z20" i="12"/>
  <c r="W24" i="12"/>
  <c r="AB27" i="12"/>
  <c r="T29" i="12"/>
  <c r="AB38" i="12"/>
  <c r="Y50" i="12"/>
  <c r="R50" i="12"/>
  <c r="Q50" i="12"/>
  <c r="W65" i="12"/>
  <c r="V65" i="12"/>
  <c r="Q65" i="12"/>
  <c r="W88" i="12"/>
  <c r="Y95" i="12"/>
  <c r="U95" i="12"/>
  <c r="T95" i="12"/>
  <c r="W95" i="12"/>
  <c r="Q95" i="12"/>
  <c r="AB95" i="12"/>
  <c r="AA95" i="12"/>
  <c r="Z102" i="12"/>
  <c r="AA102" i="12"/>
  <c r="X102" i="12"/>
  <c r="V102" i="12"/>
  <c r="Q102" i="12"/>
  <c r="Y120" i="12"/>
  <c r="T164" i="12"/>
  <c r="AB164" i="12"/>
  <c r="AA164" i="12"/>
  <c r="Y164" i="12"/>
  <c r="S164" i="12"/>
  <c r="R164" i="12"/>
  <c r="Q164" i="12"/>
  <c r="X164" i="12"/>
  <c r="U164" i="12"/>
  <c r="L129" i="11"/>
  <c r="AI129" i="11"/>
  <c r="N139" i="11"/>
  <c r="G146" i="11"/>
  <c r="C148" i="1" s="1"/>
  <c r="AG154" i="11"/>
  <c r="N163" i="11"/>
  <c r="AA163" i="11"/>
  <c r="B164" i="11"/>
  <c r="AB164" i="11"/>
  <c r="M165" i="11"/>
  <c r="AL165" i="11"/>
  <c r="N169" i="11"/>
  <c r="N170" i="11"/>
  <c r="M182" i="11"/>
  <c r="Q187" i="11"/>
  <c r="AK187" i="11"/>
  <c r="R190" i="11"/>
  <c r="Q190" i="5" s="1"/>
  <c r="L190" i="11"/>
  <c r="AI190" i="11"/>
  <c r="AG190" i="11"/>
  <c r="AE190" i="11"/>
  <c r="K192" i="11"/>
  <c r="AF192" i="11"/>
  <c r="W197" i="11"/>
  <c r="G199" i="1" s="1"/>
  <c r="E197" i="11"/>
  <c r="AC197" i="11"/>
  <c r="L197" i="11"/>
  <c r="AB197" i="11"/>
  <c r="K197" i="11"/>
  <c r="D199" i="1" s="1"/>
  <c r="Z197" i="11"/>
  <c r="J197" i="11"/>
  <c r="M197" i="5" s="1"/>
  <c r="AT197" i="5" s="1"/>
  <c r="Y197" i="11"/>
  <c r="AB9" i="12"/>
  <c r="T9" i="12"/>
  <c r="Z9" i="12"/>
  <c r="X9" i="12"/>
  <c r="W9" i="12"/>
  <c r="AC14" i="12"/>
  <c r="AA19" i="12"/>
  <c r="AB19" i="12"/>
  <c r="V19" i="12"/>
  <c r="U19" i="12"/>
  <c r="T19" i="12"/>
  <c r="AA20" i="12"/>
  <c r="X24" i="12"/>
  <c r="W29" i="12"/>
  <c r="AB70" i="12"/>
  <c r="S70" i="12"/>
  <c r="R70" i="12"/>
  <c r="Z70" i="12"/>
  <c r="Y70" i="12"/>
  <c r="X70" i="12"/>
  <c r="X88" i="12"/>
  <c r="X95" i="12"/>
  <c r="S174" i="13"/>
  <c r="P174" i="13"/>
  <c r="V174" i="13"/>
  <c r="N174" i="13"/>
  <c r="T174" i="13"/>
  <c r="R174" i="13"/>
  <c r="Q174" i="13"/>
  <c r="O174" i="13"/>
  <c r="B174" i="13"/>
  <c r="B175" i="12"/>
  <c r="Q194" i="11"/>
  <c r="AI194" i="11"/>
  <c r="P196" i="11"/>
  <c r="AG196" i="11"/>
  <c r="AB31" i="12"/>
  <c r="AB32" i="12"/>
  <c r="Z33" i="12"/>
  <c r="S43" i="12"/>
  <c r="T44" i="12"/>
  <c r="S45" i="12"/>
  <c r="X47" i="12"/>
  <c r="W48" i="12"/>
  <c r="W52" i="12"/>
  <c r="AA54" i="12"/>
  <c r="U59" i="12"/>
  <c r="AC60" i="12"/>
  <c r="T67" i="12"/>
  <c r="Z68" i="12"/>
  <c r="W69" i="12"/>
  <c r="R72" i="12"/>
  <c r="S79" i="12"/>
  <c r="Z80" i="12"/>
  <c r="Z84" i="12"/>
  <c r="V86" i="12"/>
  <c r="AB94" i="12"/>
  <c r="AA94" i="12"/>
  <c r="S109" i="12"/>
  <c r="Y135" i="12"/>
  <c r="Y154" i="12"/>
  <c r="U154" i="12"/>
  <c r="T154" i="12"/>
  <c r="S154" i="12"/>
  <c r="Q154" i="12"/>
  <c r="AB154" i="12"/>
  <c r="AA154" i="12"/>
  <c r="Z154" i="12"/>
  <c r="T47" i="13"/>
  <c r="S47" i="13"/>
  <c r="Q47" i="13"/>
  <c r="P47" i="13"/>
  <c r="O47" i="13"/>
  <c r="B47" i="13"/>
  <c r="W47" i="13"/>
  <c r="A130" i="15"/>
  <c r="Q78" i="13"/>
  <c r="W78" i="13"/>
  <c r="V78" i="13"/>
  <c r="U78" i="13"/>
  <c r="P78" i="13"/>
  <c r="O78" i="13"/>
  <c r="N78" i="13"/>
  <c r="B78" i="13"/>
  <c r="M99" i="15"/>
  <c r="L99" i="15"/>
  <c r="N174" i="15"/>
  <c r="M174" i="15"/>
  <c r="K174" i="15"/>
  <c r="Q174" i="15"/>
  <c r="O222" i="15"/>
  <c r="N222" i="15"/>
  <c r="K222" i="15"/>
  <c r="B194" i="11"/>
  <c r="R194" i="11"/>
  <c r="AK194" i="11"/>
  <c r="B196" i="11"/>
  <c r="R196" i="11"/>
  <c r="AH196" i="11"/>
  <c r="AC31" i="12"/>
  <c r="AC32" i="12"/>
  <c r="AA33" i="12"/>
  <c r="V44" i="12"/>
  <c r="T45" i="12"/>
  <c r="Y47" i="12"/>
  <c r="X48" i="12"/>
  <c r="AB52" i="12"/>
  <c r="AC54" i="12"/>
  <c r="U67" i="12"/>
  <c r="AA68" i="12"/>
  <c r="X69" i="12"/>
  <c r="S72" i="12"/>
  <c r="AA80" i="12"/>
  <c r="AA84" i="12"/>
  <c r="Y87" i="12"/>
  <c r="AB87" i="12"/>
  <c r="AB92" i="12"/>
  <c r="R92" i="12"/>
  <c r="Q92" i="12"/>
  <c r="X109" i="12"/>
  <c r="Y113" i="12"/>
  <c r="R113" i="12"/>
  <c r="AC113" i="12"/>
  <c r="W113" i="12"/>
  <c r="V113" i="12"/>
  <c r="Y118" i="12"/>
  <c r="V118" i="12"/>
  <c r="U118" i="12"/>
  <c r="S118" i="12"/>
  <c r="AB118" i="12"/>
  <c r="Y130" i="12"/>
  <c r="S130" i="12"/>
  <c r="R130" i="12"/>
  <c r="Q130" i="12"/>
  <c r="AC130" i="12"/>
  <c r="Z130" i="12"/>
  <c r="W130" i="12"/>
  <c r="V130" i="12"/>
  <c r="W132" i="12"/>
  <c r="U132" i="12"/>
  <c r="S22" i="13"/>
  <c r="R22" i="13"/>
  <c r="Q22" i="13"/>
  <c r="P22" i="13"/>
  <c r="A102" i="15"/>
  <c r="Q50" i="13"/>
  <c r="W50" i="13"/>
  <c r="V50" i="13"/>
  <c r="U50" i="13"/>
  <c r="O50" i="13"/>
  <c r="N50" i="13"/>
  <c r="V126" i="13"/>
  <c r="O126" i="13"/>
  <c r="T126" i="13"/>
  <c r="B126" i="13"/>
  <c r="AI196" i="11"/>
  <c r="AC33" i="12"/>
  <c r="W44" i="12"/>
  <c r="U45" i="12"/>
  <c r="Z47" i="12"/>
  <c r="Z48" i="12"/>
  <c r="Q60" i="12"/>
  <c r="R64" i="12"/>
  <c r="AA67" i="12"/>
  <c r="AB68" i="12"/>
  <c r="Z69" i="12"/>
  <c r="T72" i="12"/>
  <c r="Q75" i="12"/>
  <c r="Y89" i="12"/>
  <c r="U89" i="12"/>
  <c r="T89" i="12"/>
  <c r="Q94" i="12"/>
  <c r="Z96" i="12"/>
  <c r="U96" i="12"/>
  <c r="T96" i="12"/>
  <c r="Y109" i="12"/>
  <c r="Q113" i="12"/>
  <c r="Q133" i="12"/>
  <c r="AC133" i="12"/>
  <c r="X133" i="12"/>
  <c r="T133" i="12"/>
  <c r="S133" i="12"/>
  <c r="R154" i="12"/>
  <c r="Z173" i="12"/>
  <c r="AB173" i="12"/>
  <c r="AA173" i="12"/>
  <c r="X173" i="12"/>
  <c r="V173" i="12"/>
  <c r="S173" i="12"/>
  <c r="R173" i="12"/>
  <c r="Q173" i="12"/>
  <c r="V187" i="12"/>
  <c r="AC187" i="12"/>
  <c r="Z187" i="12"/>
  <c r="Y187" i="12"/>
  <c r="X187" i="12"/>
  <c r="T187" i="12"/>
  <c r="S187" i="12"/>
  <c r="R187" i="12"/>
  <c r="Z191" i="12"/>
  <c r="X191" i="12"/>
  <c r="V191" i="12"/>
  <c r="Q191" i="12"/>
  <c r="R47" i="13"/>
  <c r="B50" i="13"/>
  <c r="Q57" i="13"/>
  <c r="W57" i="13"/>
  <c r="V57" i="13"/>
  <c r="S57" i="13"/>
  <c r="R57" i="13"/>
  <c r="P57" i="13"/>
  <c r="O57" i="13"/>
  <c r="S78" i="13"/>
  <c r="A225" i="15"/>
  <c r="P173" i="13"/>
  <c r="W173" i="13"/>
  <c r="V173" i="13"/>
  <c r="U173" i="13"/>
  <c r="O173" i="13"/>
  <c r="N173" i="13"/>
  <c r="S173" i="13"/>
  <c r="Q173" i="13"/>
  <c r="B174" i="12"/>
  <c r="AB69" i="12"/>
  <c r="AA82" i="12"/>
  <c r="X82" i="12"/>
  <c r="T143" i="13"/>
  <c r="R143" i="13"/>
  <c r="P143" i="13"/>
  <c r="W143" i="13"/>
  <c r="U143" i="13"/>
  <c r="B144" i="12"/>
  <c r="O143" i="13"/>
  <c r="Q253" i="15"/>
  <c r="P253" i="15"/>
  <c r="O253" i="15"/>
  <c r="AA44" i="12"/>
  <c r="X45" i="12"/>
  <c r="AC48" i="12"/>
  <c r="AC69" i="12"/>
  <c r="Y80" i="12"/>
  <c r="X80" i="12"/>
  <c r="Y84" i="12"/>
  <c r="Q84" i="12"/>
  <c r="W84" i="12"/>
  <c r="Y93" i="12"/>
  <c r="T93" i="12"/>
  <c r="AA93" i="12"/>
  <c r="Z93" i="12"/>
  <c r="AC110" i="12"/>
  <c r="U110" i="12"/>
  <c r="Q121" i="12"/>
  <c r="X121" i="12"/>
  <c r="W121" i="12"/>
  <c r="T121" i="12"/>
  <c r="Y137" i="12"/>
  <c r="Z137" i="12"/>
  <c r="X137" i="12"/>
  <c r="W137" i="12"/>
  <c r="U137" i="12"/>
  <c r="R137" i="12"/>
  <c r="Q137" i="12"/>
  <c r="AC137" i="12"/>
  <c r="Y149" i="12"/>
  <c r="U149" i="12"/>
  <c r="T149" i="12"/>
  <c r="S149" i="12"/>
  <c r="Q149" i="12"/>
  <c r="AA149" i="12"/>
  <c r="Z149" i="12"/>
  <c r="X149" i="12"/>
  <c r="AC192" i="12"/>
  <c r="AB192" i="12"/>
  <c r="X192" i="12"/>
  <c r="W192" i="12"/>
  <c r="V192" i="12"/>
  <c r="S192" i="12"/>
  <c r="Q192" i="12"/>
  <c r="B90" i="13"/>
  <c r="V90" i="13"/>
  <c r="U90" i="13"/>
  <c r="R90" i="13"/>
  <c r="Q90" i="13"/>
  <c r="R112" i="13"/>
  <c r="Q112" i="13"/>
  <c r="P112" i="13"/>
  <c r="V112" i="13"/>
  <c r="B113" i="12"/>
  <c r="O112" i="13"/>
  <c r="N112" i="13"/>
  <c r="P153" i="13"/>
  <c r="O153" i="13"/>
  <c r="R153" i="13"/>
  <c r="W153" i="13"/>
  <c r="T153" i="13"/>
  <c r="AC44" i="12"/>
  <c r="AA45" i="12"/>
  <c r="T54" i="12"/>
  <c r="S68" i="12"/>
  <c r="R69" i="12"/>
  <c r="Z71" i="12"/>
  <c r="Q80" i="12"/>
  <c r="R82" i="12"/>
  <c r="R84" i="12"/>
  <c r="Y85" i="12"/>
  <c r="R93" i="12"/>
  <c r="V110" i="12"/>
  <c r="T129" i="12"/>
  <c r="S129" i="12"/>
  <c r="Z129" i="12"/>
  <c r="X129" i="12"/>
  <c r="W129" i="12"/>
  <c r="R131" i="12"/>
  <c r="Q131" i="12"/>
  <c r="AB131" i="12"/>
  <c r="Y131" i="12"/>
  <c r="X131" i="12"/>
  <c r="W131" i="12"/>
  <c r="S137" i="12"/>
  <c r="AC159" i="12"/>
  <c r="Y159" i="12"/>
  <c r="R159" i="12"/>
  <c r="T192" i="12"/>
  <c r="S28" i="13"/>
  <c r="U28" i="13"/>
  <c r="T28" i="13"/>
  <c r="R28" i="13"/>
  <c r="P28" i="13"/>
  <c r="N86" i="13"/>
  <c r="T86" i="13"/>
  <c r="S86" i="13"/>
  <c r="Q86" i="13"/>
  <c r="V86" i="13"/>
  <c r="O86" i="13"/>
  <c r="B86" i="13"/>
  <c r="Q65" i="15"/>
  <c r="M65" i="15"/>
  <c r="L65" i="15"/>
  <c r="K84" i="15"/>
  <c r="Q84" i="15"/>
  <c r="M84" i="15"/>
  <c r="L84" i="15"/>
  <c r="O119" i="15"/>
  <c r="N119" i="15"/>
  <c r="P119" i="15"/>
  <c r="M119" i="15"/>
  <c r="L172" i="15"/>
  <c r="N172" i="15"/>
  <c r="M172" i="15"/>
  <c r="K172" i="15"/>
  <c r="P172" i="15"/>
  <c r="O172" i="15"/>
  <c r="AB45" i="12"/>
  <c r="R48" i="12"/>
  <c r="V54" i="12"/>
  <c r="T68" i="12"/>
  <c r="S69" i="12"/>
  <c r="S80" i="12"/>
  <c r="U82" i="12"/>
  <c r="Z85" i="12"/>
  <c r="AC91" i="12"/>
  <c r="T91" i="12"/>
  <c r="Z109" i="12"/>
  <c r="W109" i="12"/>
  <c r="V109" i="12"/>
  <c r="W110" i="12"/>
  <c r="AB112" i="12"/>
  <c r="U112" i="12"/>
  <c r="AA174" i="12"/>
  <c r="Z174" i="12"/>
  <c r="Y174" i="12"/>
  <c r="W174" i="12"/>
  <c r="R174" i="12"/>
  <c r="Q174" i="12"/>
  <c r="Z181" i="12"/>
  <c r="X181" i="12"/>
  <c r="T181" i="12"/>
  <c r="Q181" i="12"/>
  <c r="AC181" i="12"/>
  <c r="U192" i="12"/>
  <c r="B28" i="13"/>
  <c r="S112" i="13"/>
  <c r="V122" i="13"/>
  <c r="Q122" i="13"/>
  <c r="B123" i="12"/>
  <c r="Q168" i="13"/>
  <c r="W168" i="13"/>
  <c r="O168" i="13"/>
  <c r="N168" i="13"/>
  <c r="P168" i="13"/>
  <c r="B168" i="13"/>
  <c r="U168" i="13"/>
  <c r="T168" i="13"/>
  <c r="R168" i="13"/>
  <c r="U188" i="13"/>
  <c r="O188" i="13"/>
  <c r="B188" i="13"/>
  <c r="V188" i="13"/>
  <c r="R188" i="13"/>
  <c r="Q133" i="15"/>
  <c r="K133" i="15"/>
  <c r="P133" i="15"/>
  <c r="M133" i="15"/>
  <c r="K139" i="15"/>
  <c r="O139" i="15"/>
  <c r="O145" i="15"/>
  <c r="Q145" i="15"/>
  <c r="P145" i="15"/>
  <c r="K145" i="15"/>
  <c r="M145" i="15"/>
  <c r="L145" i="15"/>
  <c r="M194" i="11"/>
  <c r="L196" i="11"/>
  <c r="O198" i="11"/>
  <c r="E200" i="1" s="1"/>
  <c r="AD198" i="11"/>
  <c r="Y28" i="12"/>
  <c r="Q31" i="12"/>
  <c r="X32" i="12"/>
  <c r="V33" i="12"/>
  <c r="AC45" i="12"/>
  <c r="S48" i="12"/>
  <c r="Q59" i="12"/>
  <c r="Z60" i="12"/>
  <c r="V68" i="12"/>
  <c r="T69" i="12"/>
  <c r="AC72" i="12"/>
  <c r="R79" i="12"/>
  <c r="T79" i="12"/>
  <c r="T80" i="12"/>
  <c r="Z82" i="12"/>
  <c r="T84" i="12"/>
  <c r="Z89" i="12"/>
  <c r="U93" i="12"/>
  <c r="X96" i="12"/>
  <c r="Z110" i="12"/>
  <c r="AB113" i="12"/>
  <c r="U129" i="12"/>
  <c r="U131" i="12"/>
  <c r="Q135" i="12"/>
  <c r="AA135" i="12"/>
  <c r="T135" i="12"/>
  <c r="S135" i="12"/>
  <c r="V137" i="12"/>
  <c r="W149" i="12"/>
  <c r="V156" i="12"/>
  <c r="S156" i="12"/>
  <c r="R156" i="12"/>
  <c r="Q156" i="12"/>
  <c r="T159" i="12"/>
  <c r="S174" i="12"/>
  <c r="W193" i="12"/>
  <c r="AB193" i="12"/>
  <c r="AA193" i="12"/>
  <c r="T193" i="12"/>
  <c r="S193" i="12"/>
  <c r="R193" i="12"/>
  <c r="N11" i="13"/>
  <c r="R11" i="13"/>
  <c r="Q11" i="13"/>
  <c r="P11" i="13"/>
  <c r="B11" i="13"/>
  <c r="W11" i="13"/>
  <c r="P86" i="13"/>
  <c r="U112" i="13"/>
  <c r="R166" i="13"/>
  <c r="S166" i="13"/>
  <c r="B167" i="12"/>
  <c r="L139" i="15"/>
  <c r="X150" i="12"/>
  <c r="Y151" i="12"/>
  <c r="AB161" i="12"/>
  <c r="AC166" i="12"/>
  <c r="Y168" i="12"/>
  <c r="AA184" i="12"/>
  <c r="S15" i="13"/>
  <c r="V19" i="13"/>
  <c r="B19" i="13"/>
  <c r="V23" i="13"/>
  <c r="U38" i="13"/>
  <c r="V40" i="13"/>
  <c r="U52" i="13"/>
  <c r="S54" i="13"/>
  <c r="U62" i="13"/>
  <c r="A122" i="15"/>
  <c r="N70" i="13"/>
  <c r="U70" i="13"/>
  <c r="S70" i="13"/>
  <c r="Q70" i="13"/>
  <c r="U76" i="13"/>
  <c r="Q79" i="13"/>
  <c r="T79" i="13"/>
  <c r="A136" i="15"/>
  <c r="Q84" i="13"/>
  <c r="W84" i="13"/>
  <c r="V84" i="13"/>
  <c r="U84" i="13"/>
  <c r="B197" i="13"/>
  <c r="V197" i="13"/>
  <c r="U197" i="13"/>
  <c r="S197" i="13"/>
  <c r="P197" i="13"/>
  <c r="N197" i="13"/>
  <c r="P72" i="15"/>
  <c r="Q72" i="15"/>
  <c r="Q185" i="15"/>
  <c r="N185" i="15"/>
  <c r="K185" i="15"/>
  <c r="Q191" i="15"/>
  <c r="O191" i="15"/>
  <c r="N191" i="15"/>
  <c r="M191" i="15"/>
  <c r="L191" i="15"/>
  <c r="X114" i="12"/>
  <c r="V125" i="12"/>
  <c r="AC126" i="12"/>
  <c r="AC139" i="12"/>
  <c r="AC142" i="12"/>
  <c r="Y148" i="12"/>
  <c r="Y150" i="12"/>
  <c r="AC161" i="12"/>
  <c r="AC168" i="12"/>
  <c r="W170" i="12"/>
  <c r="V183" i="12"/>
  <c r="AC184" i="12"/>
  <c r="AC185" i="12"/>
  <c r="Z188" i="12"/>
  <c r="AA190" i="12"/>
  <c r="AA194" i="12"/>
  <c r="U202" i="12"/>
  <c r="W13" i="13"/>
  <c r="W20" i="13"/>
  <c r="B24" i="13"/>
  <c r="T24" i="13"/>
  <c r="B26" i="13"/>
  <c r="R27" i="13"/>
  <c r="B39" i="13"/>
  <c r="V39" i="13"/>
  <c r="W40" i="13"/>
  <c r="U46" i="13"/>
  <c r="U54" i="13"/>
  <c r="V56" i="13"/>
  <c r="U64" i="13"/>
  <c r="U68" i="13"/>
  <c r="B70" i="13"/>
  <c r="O72" i="13"/>
  <c r="B79" i="13"/>
  <c r="O82" i="13"/>
  <c r="B84" i="13"/>
  <c r="U89" i="13"/>
  <c r="U93" i="13"/>
  <c r="R93" i="13"/>
  <c r="O93" i="13"/>
  <c r="T97" i="13"/>
  <c r="R144" i="13"/>
  <c r="N144" i="13"/>
  <c r="V144" i="13"/>
  <c r="U144" i="13"/>
  <c r="S144" i="13"/>
  <c r="P144" i="13"/>
  <c r="O144" i="13"/>
  <c r="T189" i="13"/>
  <c r="P189" i="13"/>
  <c r="O189" i="13"/>
  <c r="N72" i="15"/>
  <c r="K108" i="15"/>
  <c r="M108" i="15"/>
  <c r="L108" i="15"/>
  <c r="Q108" i="15"/>
  <c r="O180" i="15"/>
  <c r="N180" i="15"/>
  <c r="M180" i="15"/>
  <c r="L180" i="15"/>
  <c r="K180" i="15"/>
  <c r="Q180" i="15"/>
  <c r="Q192" i="15"/>
  <c r="N192" i="15"/>
  <c r="M192" i="15"/>
  <c r="L192" i="15"/>
  <c r="P192" i="15"/>
  <c r="O192" i="15"/>
  <c r="K192" i="15"/>
  <c r="AB81" i="12"/>
  <c r="Y90" i="12"/>
  <c r="AC101" i="12"/>
  <c r="T123" i="12"/>
  <c r="W125" i="12"/>
  <c r="Z150" i="12"/>
  <c r="AA158" i="12"/>
  <c r="Q161" i="12"/>
  <c r="Q166" i="12"/>
  <c r="X170" i="12"/>
  <c r="T172" i="12"/>
  <c r="AC188" i="12"/>
  <c r="AB190" i="12"/>
  <c r="B200" i="12"/>
  <c r="V202" i="12"/>
  <c r="W14" i="13"/>
  <c r="Q14" i="13"/>
  <c r="N19" i="13"/>
  <c r="N21" i="13"/>
  <c r="V21" i="13"/>
  <c r="Q37" i="13"/>
  <c r="W53" i="13"/>
  <c r="U53" i="13"/>
  <c r="Q63" i="13"/>
  <c r="P63" i="13"/>
  <c r="O63" i="13"/>
  <c r="Q77" i="13"/>
  <c r="R77" i="13"/>
  <c r="B77" i="13"/>
  <c r="T100" i="13"/>
  <c r="N100" i="13"/>
  <c r="B100" i="13"/>
  <c r="B103" i="13"/>
  <c r="U103" i="13"/>
  <c r="P103" i="13"/>
  <c r="U106" i="13"/>
  <c r="P106" i="13"/>
  <c r="P129" i="13"/>
  <c r="W129" i="13"/>
  <c r="V129" i="13"/>
  <c r="W131" i="13"/>
  <c r="U131" i="13"/>
  <c r="T131" i="13"/>
  <c r="T155" i="13"/>
  <c r="A223" i="15"/>
  <c r="W171" i="13"/>
  <c r="P171" i="13"/>
  <c r="O171" i="13"/>
  <c r="N171" i="13"/>
  <c r="Q171" i="13"/>
  <c r="B171" i="13"/>
  <c r="P194" i="13"/>
  <c r="O194" i="13"/>
  <c r="W194" i="13"/>
  <c r="U194" i="13"/>
  <c r="T198" i="13"/>
  <c r="S198" i="13"/>
  <c r="R198" i="13"/>
  <c r="O198" i="13"/>
  <c r="T43" i="13"/>
  <c r="W43" i="13"/>
  <c r="A104" i="15"/>
  <c r="W52" i="13"/>
  <c r="N52" i="13"/>
  <c r="A128" i="15"/>
  <c r="V76" i="13"/>
  <c r="N76" i="13"/>
  <c r="B76" i="13"/>
  <c r="Q83" i="13"/>
  <c r="W83" i="13"/>
  <c r="V83" i="13"/>
  <c r="U83" i="13"/>
  <c r="R132" i="13"/>
  <c r="O132" i="13"/>
  <c r="N132" i="13"/>
  <c r="V134" i="13"/>
  <c r="U134" i="13"/>
  <c r="T134" i="13"/>
  <c r="P145" i="13"/>
  <c r="W145" i="13"/>
  <c r="T145" i="13"/>
  <c r="V190" i="13"/>
  <c r="P190" i="13"/>
  <c r="O190" i="13"/>
  <c r="P188" i="15"/>
  <c r="O188" i="15"/>
  <c r="N188" i="15"/>
  <c r="M188" i="15"/>
  <c r="L188" i="15"/>
  <c r="P210" i="15"/>
  <c r="O210" i="15"/>
  <c r="N210" i="15"/>
  <c r="A106" i="15"/>
  <c r="Q54" i="13"/>
  <c r="W54" i="13"/>
  <c r="A114" i="15"/>
  <c r="W62" i="13"/>
  <c r="N62" i="13"/>
  <c r="B62" i="13"/>
  <c r="R87" i="13"/>
  <c r="W87" i="13"/>
  <c r="V87" i="13"/>
  <c r="U110" i="13"/>
  <c r="V110" i="13"/>
  <c r="P125" i="13"/>
  <c r="R125" i="13"/>
  <c r="O125" i="13"/>
  <c r="S195" i="13"/>
  <c r="B195" i="13"/>
  <c r="T195" i="13"/>
  <c r="R195" i="13"/>
  <c r="Q195" i="13"/>
  <c r="P195" i="13"/>
  <c r="N195" i="13"/>
  <c r="P93" i="15"/>
  <c r="O93" i="15"/>
  <c r="M93" i="15"/>
  <c r="M182" i="15"/>
  <c r="K182" i="15"/>
  <c r="M218" i="15"/>
  <c r="Q218" i="15"/>
  <c r="P218" i="15"/>
  <c r="O218" i="15"/>
  <c r="N218" i="15"/>
  <c r="L218" i="15"/>
  <c r="K218" i="15"/>
  <c r="AC125" i="12"/>
  <c r="Q150" i="12"/>
  <c r="Q151" i="12"/>
  <c r="Q157" i="12"/>
  <c r="V161" i="12"/>
  <c r="V166" i="12"/>
  <c r="T168" i="12"/>
  <c r="S171" i="12"/>
  <c r="Y172" i="12"/>
  <c r="W19" i="13"/>
  <c r="V26" i="13"/>
  <c r="B40" i="13"/>
  <c r="P43" i="13"/>
  <c r="B46" i="13"/>
  <c r="Q46" i="13"/>
  <c r="B54" i="13"/>
  <c r="A108" i="15"/>
  <c r="N56" i="13"/>
  <c r="U56" i="13"/>
  <c r="S56" i="13"/>
  <c r="A120" i="15"/>
  <c r="O68" i="13"/>
  <c r="N68" i="13"/>
  <c r="O76" i="13"/>
  <c r="W79" i="13"/>
  <c r="T84" i="13"/>
  <c r="B87" i="13"/>
  <c r="S101" i="13"/>
  <c r="N101" i="13"/>
  <c r="T101" i="13"/>
  <c r="P101" i="13"/>
  <c r="O145" i="13"/>
  <c r="R151" i="13"/>
  <c r="N57" i="15"/>
  <c r="K57" i="15"/>
  <c r="Q188" i="15"/>
  <c r="R150" i="12"/>
  <c r="S151" i="12"/>
  <c r="R157" i="12"/>
  <c r="W161" i="12"/>
  <c r="W166" i="12"/>
  <c r="U168" i="12"/>
  <c r="T171" i="12"/>
  <c r="AA172" i="12"/>
  <c r="T184" i="12"/>
  <c r="Y202" i="12"/>
  <c r="AB202" i="12"/>
  <c r="T202" i="12"/>
  <c r="G202" i="12"/>
  <c r="N15" i="13"/>
  <c r="P17" i="13"/>
  <c r="N23" i="13"/>
  <c r="S25" i="13"/>
  <c r="R25" i="13"/>
  <c r="W26" i="13"/>
  <c r="N38" i="13"/>
  <c r="Q43" i="13"/>
  <c r="O52" i="13"/>
  <c r="O62" i="13"/>
  <c r="A116" i="15"/>
  <c r="S64" i="13"/>
  <c r="Q64" i="13"/>
  <c r="P64" i="13"/>
  <c r="B68" i="13"/>
  <c r="T73" i="13"/>
  <c r="P76" i="13"/>
  <c r="O83" i="13"/>
  <c r="P89" i="13"/>
  <c r="O89" i="13"/>
  <c r="N89" i="13"/>
  <c r="U111" i="13"/>
  <c r="T111" i="13"/>
  <c r="O111" i="13"/>
  <c r="N111" i="13"/>
  <c r="T125" i="13"/>
  <c r="P132" i="13"/>
  <c r="O134" i="13"/>
  <c r="R145" i="13"/>
  <c r="T151" i="13"/>
  <c r="T159" i="13"/>
  <c r="R159" i="13"/>
  <c r="P159" i="13"/>
  <c r="V162" i="13"/>
  <c r="O162" i="13"/>
  <c r="B162" i="13"/>
  <c r="W170" i="13"/>
  <c r="P170" i="13"/>
  <c r="O170" i="13"/>
  <c r="N170" i="13"/>
  <c r="U170" i="13"/>
  <c r="T170" i="13"/>
  <c r="S172" i="13"/>
  <c r="V172" i="13"/>
  <c r="Q172" i="13"/>
  <c r="P172" i="13"/>
  <c r="B172" i="13"/>
  <c r="M236" i="15"/>
  <c r="O236" i="15"/>
  <c r="N236" i="15"/>
  <c r="L236" i="15"/>
  <c r="Q236" i="15"/>
  <c r="V81" i="12"/>
  <c r="V101" i="12"/>
  <c r="Y111" i="12"/>
  <c r="W115" i="12"/>
  <c r="Z116" i="12"/>
  <c r="R125" i="12"/>
  <c r="Q136" i="12"/>
  <c r="W142" i="12"/>
  <c r="T151" i="12"/>
  <c r="AA157" i="12"/>
  <c r="X161" i="12"/>
  <c r="Z166" i="12"/>
  <c r="P202" i="12"/>
  <c r="O15" i="13"/>
  <c r="V17" i="13"/>
  <c r="O27" i="13"/>
  <c r="B27" i="13"/>
  <c r="V27" i="13"/>
  <c r="P40" i="13"/>
  <c r="P52" i="13"/>
  <c r="N54" i="13"/>
  <c r="P62" i="13"/>
  <c r="B64" i="13"/>
  <c r="A124" i="15"/>
  <c r="S72" i="13"/>
  <c r="Q72" i="13"/>
  <c r="P72" i="13"/>
  <c r="W73" i="13"/>
  <c r="Q76" i="13"/>
  <c r="A134" i="15"/>
  <c r="P82" i="13"/>
  <c r="V82" i="13"/>
  <c r="U82" i="13"/>
  <c r="T82" i="13"/>
  <c r="P83" i="13"/>
  <c r="P87" i="13"/>
  <c r="P97" i="13"/>
  <c r="O97" i="13"/>
  <c r="N97" i="13"/>
  <c r="S99" i="13"/>
  <c r="R99" i="13"/>
  <c r="P99" i="13"/>
  <c r="P102" i="13"/>
  <c r="O102" i="13"/>
  <c r="N102" i="13"/>
  <c r="U119" i="13"/>
  <c r="N119" i="13"/>
  <c r="T119" i="13"/>
  <c r="R119" i="13"/>
  <c r="V125" i="13"/>
  <c r="R128" i="13"/>
  <c r="P128" i="13"/>
  <c r="N128" i="13"/>
  <c r="V128" i="13"/>
  <c r="U128" i="13"/>
  <c r="S128" i="13"/>
  <c r="Q132" i="13"/>
  <c r="N135" i="13"/>
  <c r="W135" i="13"/>
  <c r="P141" i="13"/>
  <c r="W141" i="13"/>
  <c r="V181" i="13"/>
  <c r="U181" i="13"/>
  <c r="N181" i="13"/>
  <c r="B181" i="13"/>
  <c r="P181" i="13"/>
  <c r="O181" i="13"/>
  <c r="T181" i="13"/>
  <c r="P83" i="15"/>
  <c r="O83" i="15"/>
  <c r="L83" i="15"/>
  <c r="Q197" i="15"/>
  <c r="P197" i="15"/>
  <c r="M197" i="15"/>
  <c r="L197" i="15"/>
  <c r="K197" i="15"/>
  <c r="O197" i="15"/>
  <c r="N197" i="15"/>
  <c r="K236" i="15"/>
  <c r="R98" i="13"/>
  <c r="O108" i="13"/>
  <c r="R115" i="13"/>
  <c r="T133" i="13"/>
  <c r="S140" i="13"/>
  <c r="P149" i="13"/>
  <c r="O149" i="13"/>
  <c r="Q156" i="13"/>
  <c r="P160" i="13"/>
  <c r="S177" i="13"/>
  <c r="P82" i="15"/>
  <c r="M82" i="15"/>
  <c r="P158" i="15"/>
  <c r="M158" i="15"/>
  <c r="K158" i="15"/>
  <c r="Q201" i="15"/>
  <c r="P201" i="15"/>
  <c r="O201" i="15"/>
  <c r="N201" i="15"/>
  <c r="B74" i="13"/>
  <c r="B75" i="13"/>
  <c r="B80" i="13"/>
  <c r="B96" i="13"/>
  <c r="S98" i="13"/>
  <c r="P105" i="13"/>
  <c r="R105" i="13"/>
  <c r="P108" i="13"/>
  <c r="U115" i="13"/>
  <c r="V133" i="13"/>
  <c r="R136" i="13"/>
  <c r="P136" i="13"/>
  <c r="O136" i="13"/>
  <c r="N136" i="13"/>
  <c r="U140" i="13"/>
  <c r="S156" i="13"/>
  <c r="T177" i="13"/>
  <c r="V192" i="13"/>
  <c r="B192" i="13"/>
  <c r="K82" i="15"/>
  <c r="O159" i="15"/>
  <c r="Q159" i="15"/>
  <c r="M159" i="15"/>
  <c r="L159" i="15"/>
  <c r="K201" i="15"/>
  <c r="Q240" i="15"/>
  <c r="N240" i="15"/>
  <c r="L247" i="15"/>
  <c r="AC197" i="12"/>
  <c r="W49" i="13"/>
  <c r="P60" i="13"/>
  <c r="P66" i="13"/>
  <c r="T81" i="13"/>
  <c r="T98" i="13"/>
  <c r="B105" i="13"/>
  <c r="O121" i="13"/>
  <c r="B124" i="13"/>
  <c r="W133" i="13"/>
  <c r="B136" i="13"/>
  <c r="R147" i="13"/>
  <c r="R149" i="13"/>
  <c r="P161" i="13"/>
  <c r="W161" i="13"/>
  <c r="A217" i="15"/>
  <c r="T165" i="13"/>
  <c r="S165" i="13"/>
  <c r="Q165" i="13"/>
  <c r="A219" i="15"/>
  <c r="V167" i="13"/>
  <c r="O167" i="13"/>
  <c r="N167" i="13"/>
  <c r="L82" i="15"/>
  <c r="L118" i="15"/>
  <c r="Q143" i="15"/>
  <c r="M143" i="15"/>
  <c r="L143" i="15"/>
  <c r="O149" i="15"/>
  <c r="Q149" i="15"/>
  <c r="P149" i="15"/>
  <c r="K149" i="15"/>
  <c r="K159" i="15"/>
  <c r="Q235" i="15"/>
  <c r="P235" i="15"/>
  <c r="O235" i="15"/>
  <c r="N235" i="15"/>
  <c r="L235" i="15"/>
  <c r="K235" i="15"/>
  <c r="K240" i="15"/>
  <c r="K88" i="15"/>
  <c r="P88" i="15"/>
  <c r="O88" i="15"/>
  <c r="K120" i="15"/>
  <c r="O120" i="15"/>
  <c r="M120" i="15"/>
  <c r="L120" i="15"/>
  <c r="L131" i="15"/>
  <c r="M131" i="15"/>
  <c r="K131" i="15"/>
  <c r="Q131" i="15"/>
  <c r="P131" i="15"/>
  <c r="M194" i="15"/>
  <c r="L194" i="15"/>
  <c r="K194" i="15"/>
  <c r="N88" i="15"/>
  <c r="K116" i="15"/>
  <c r="O116" i="15"/>
  <c r="M116" i="15"/>
  <c r="P120" i="15"/>
  <c r="N131" i="15"/>
  <c r="O135" i="15"/>
  <c r="O175" i="15"/>
  <c r="N175" i="15"/>
  <c r="M175" i="15"/>
  <c r="K175" i="15"/>
  <c r="N178" i="15"/>
  <c r="N194" i="15"/>
  <c r="R108" i="13"/>
  <c r="U108" i="13"/>
  <c r="P137" i="13"/>
  <c r="W137" i="13"/>
  <c r="R140" i="13"/>
  <c r="Q140" i="13"/>
  <c r="P140" i="13"/>
  <c r="O140" i="13"/>
  <c r="R156" i="13"/>
  <c r="O156" i="13"/>
  <c r="N156" i="13"/>
  <c r="R160" i="13"/>
  <c r="N160" i="13"/>
  <c r="V160" i="13"/>
  <c r="U160" i="13"/>
  <c r="S160" i="13"/>
  <c r="A229" i="15"/>
  <c r="W177" i="13"/>
  <c r="P177" i="13"/>
  <c r="O177" i="13"/>
  <c r="N177" i="13"/>
  <c r="M58" i="15"/>
  <c r="L58" i="15"/>
  <c r="Q58" i="15"/>
  <c r="P58" i="15"/>
  <c r="Q88" i="15"/>
  <c r="Q120" i="15"/>
  <c r="O131" i="15"/>
  <c r="O136" i="15"/>
  <c r="N136" i="15"/>
  <c r="O141" i="15"/>
  <c r="M141" i="15"/>
  <c r="L141" i="15"/>
  <c r="K141" i="15"/>
  <c r="L162" i="15"/>
  <c r="O162" i="15"/>
  <c r="N162" i="15"/>
  <c r="M162" i="15"/>
  <c r="L195" i="15"/>
  <c r="Q195" i="15"/>
  <c r="P195" i="15"/>
  <c r="O195" i="15"/>
  <c r="M195" i="15"/>
  <c r="M251" i="15"/>
  <c r="O251" i="15"/>
  <c r="N251" i="15"/>
  <c r="L251" i="15"/>
  <c r="V197" i="12"/>
  <c r="V10" i="13"/>
  <c r="U74" i="13"/>
  <c r="U80" i="13"/>
  <c r="W105" i="13"/>
  <c r="B108" i="13"/>
  <c r="U124" i="13"/>
  <c r="B140" i="13"/>
  <c r="U146" i="13"/>
  <c r="V146" i="13"/>
  <c r="T146" i="13"/>
  <c r="P146" i="13"/>
  <c r="B156" i="13"/>
  <c r="B160" i="13"/>
  <c r="B177" i="13"/>
  <c r="K58" i="15"/>
  <c r="O85" i="15"/>
  <c r="M85" i="15"/>
  <c r="M95" i="15"/>
  <c r="P116" i="15"/>
  <c r="M136" i="15"/>
  <c r="P141" i="15"/>
  <c r="K162" i="15"/>
  <c r="M224" i="15"/>
  <c r="N224" i="15"/>
  <c r="L224" i="15"/>
  <c r="K224" i="15"/>
  <c r="K251" i="15"/>
  <c r="O148" i="13"/>
  <c r="O152" i="13"/>
  <c r="T157" i="13"/>
  <c r="W175" i="13"/>
  <c r="P185" i="13"/>
  <c r="O61" i="15"/>
  <c r="M64" i="15"/>
  <c r="O76" i="15"/>
  <c r="N79" i="15"/>
  <c r="P96" i="15"/>
  <c r="P104" i="15"/>
  <c r="P112" i="15"/>
  <c r="M134" i="15"/>
  <c r="P165" i="15"/>
  <c r="N168" i="15"/>
  <c r="N184" i="15"/>
  <c r="N187" i="15"/>
  <c r="P198" i="15"/>
  <c r="O205" i="15"/>
  <c r="O207" i="15"/>
  <c r="O209" i="15"/>
  <c r="P211" i="15"/>
  <c r="O226" i="15"/>
  <c r="Q230" i="15"/>
  <c r="P233" i="15"/>
  <c r="O244" i="15"/>
  <c r="P148" i="13"/>
  <c r="P152" i="13"/>
  <c r="W157" i="13"/>
  <c r="R185" i="13"/>
  <c r="P76" i="15"/>
  <c r="O79" i="15"/>
  <c r="Q104" i="15"/>
  <c r="Q112" i="15"/>
  <c r="Q165" i="15"/>
  <c r="O184" i="15"/>
  <c r="P187" i="15"/>
  <c r="Q198" i="15"/>
  <c r="P205" i="15"/>
  <c r="Q207" i="15"/>
  <c r="P209" i="15"/>
  <c r="P226" i="15"/>
  <c r="Q233" i="15"/>
  <c r="P244" i="15"/>
  <c r="Q148" i="13"/>
  <c r="O150" i="13"/>
  <c r="Q152" i="13"/>
  <c r="B175" i="13"/>
  <c r="S185" i="13"/>
  <c r="Q76" i="15"/>
  <c r="P79" i="15"/>
  <c r="M123" i="15"/>
  <c r="O134" i="15"/>
  <c r="L179" i="15"/>
  <c r="P184" i="15"/>
  <c r="Q187" i="15"/>
  <c r="L204" i="15"/>
  <c r="Q209" i="15"/>
  <c r="K215" i="15"/>
  <c r="P217" i="15"/>
  <c r="L242" i="15"/>
  <c r="E253" i="15"/>
  <c r="N92" i="15"/>
  <c r="O124" i="15"/>
  <c r="O142" i="15"/>
  <c r="M161" i="15"/>
  <c r="P170" i="15"/>
  <c r="O173" i="15"/>
  <c r="P177" i="15"/>
  <c r="N193" i="15"/>
  <c r="L198" i="15"/>
  <c r="N200" i="15"/>
  <c r="K205" i="15"/>
  <c r="K211" i="15"/>
  <c r="M213" i="15"/>
  <c r="L223" i="15"/>
  <c r="K233" i="15"/>
  <c r="O237" i="15"/>
  <c r="K241" i="15"/>
  <c r="O250" i="15"/>
  <c r="F253" i="15"/>
  <c r="L76" i="15"/>
  <c r="K79" i="15"/>
  <c r="O92" i="15"/>
  <c r="L96" i="15"/>
  <c r="L104" i="15"/>
  <c r="L112" i="15"/>
  <c r="P124" i="15"/>
  <c r="O161" i="15"/>
  <c r="L165" i="15"/>
  <c r="K187" i="15"/>
  <c r="O193" i="15"/>
  <c r="L205" i="15"/>
  <c r="K209" i="15"/>
  <c r="K226" i="15"/>
  <c r="L233" i="15"/>
  <c r="N241" i="15"/>
  <c r="K244" i="15"/>
  <c r="P250" i="15"/>
  <c r="C28" i="16"/>
  <c r="D28" i="16" s="1"/>
  <c r="I1" i="9"/>
  <c r="AD3" i="6"/>
  <c r="E12" i="3"/>
  <c r="E13" i="3" s="1"/>
  <c r="E14" i="3" s="1"/>
  <c r="E15" i="3" s="1"/>
  <c r="N197" i="6"/>
  <c r="N191" i="6"/>
  <c r="N185" i="6"/>
  <c r="N179" i="6"/>
  <c r="N173" i="6"/>
  <c r="N167" i="6"/>
  <c r="N161" i="6"/>
  <c r="N155" i="6"/>
  <c r="N149" i="6"/>
  <c r="N143" i="6"/>
  <c r="N137" i="6"/>
  <c r="N131" i="6"/>
  <c r="N125" i="6"/>
  <c r="N119" i="6"/>
  <c r="N113" i="6"/>
  <c r="N107" i="6"/>
  <c r="N101" i="6"/>
  <c r="N95" i="6"/>
  <c r="N89" i="6"/>
  <c r="N83" i="6"/>
  <c r="N77" i="6"/>
  <c r="N71" i="6"/>
  <c r="N65" i="6"/>
  <c r="N59" i="6"/>
  <c r="N53" i="6"/>
  <c r="N47" i="6"/>
  <c r="N41" i="6"/>
  <c r="N35" i="6"/>
  <c r="N29" i="6"/>
  <c r="N23" i="6"/>
  <c r="N17" i="6"/>
  <c r="N11" i="6"/>
  <c r="N6" i="6"/>
  <c r="N3" i="6"/>
  <c r="N198" i="6"/>
  <c r="N192" i="6"/>
  <c r="N186" i="6"/>
  <c r="N180" i="6"/>
  <c r="N174" i="6"/>
  <c r="N168" i="6"/>
  <c r="N162" i="6"/>
  <c r="N156" i="6"/>
  <c r="N150" i="6"/>
  <c r="N144" i="6"/>
  <c r="N138" i="6"/>
  <c r="N132" i="6"/>
  <c r="N126" i="6"/>
  <c r="N120" i="6"/>
  <c r="N194" i="6"/>
  <c r="N190" i="6"/>
  <c r="N176" i="6"/>
  <c r="N172" i="6"/>
  <c r="N158" i="6"/>
  <c r="N154" i="6"/>
  <c r="N140" i="6"/>
  <c r="N136" i="6"/>
  <c r="N122" i="6"/>
  <c r="N88" i="6"/>
  <c r="N80" i="6"/>
  <c r="N67" i="6"/>
  <c r="N63" i="6"/>
  <c r="N58" i="6"/>
  <c r="N44" i="6"/>
  <c r="N39" i="6"/>
  <c r="N34" i="6"/>
  <c r="N20" i="6"/>
  <c r="N15" i="6"/>
  <c r="N10" i="6"/>
  <c r="N188" i="6"/>
  <c r="N184" i="6"/>
  <c r="N170" i="6"/>
  <c r="N166" i="6"/>
  <c r="N152" i="6"/>
  <c r="N148" i="6"/>
  <c r="N134" i="6"/>
  <c r="N130" i="6"/>
  <c r="N115" i="6"/>
  <c r="N111" i="6"/>
  <c r="N102" i="6"/>
  <c r="N64" i="6"/>
  <c r="N55" i="6"/>
  <c r="N31" i="6"/>
  <c r="N7" i="6"/>
  <c r="N199" i="6"/>
  <c r="N181" i="6"/>
  <c r="N163" i="6"/>
  <c r="N145" i="6"/>
  <c r="N127" i="6"/>
  <c r="N116" i="6"/>
  <c r="N103" i="6"/>
  <c r="N99" i="6"/>
  <c r="N90" i="6"/>
  <c r="N56" i="6"/>
  <c r="N51" i="6"/>
  <c r="N46" i="6"/>
  <c r="N32" i="6"/>
  <c r="N27" i="6"/>
  <c r="N22" i="6"/>
  <c r="N8" i="6"/>
  <c r="N5" i="6"/>
  <c r="N118" i="6"/>
  <c r="N112" i="6"/>
  <c r="N109" i="6"/>
  <c r="N84" i="6"/>
  <c r="N81" i="6"/>
  <c r="N78" i="6"/>
  <c r="N40" i="6"/>
  <c r="N37" i="6"/>
  <c r="N24" i="6"/>
  <c r="N177" i="6"/>
  <c r="N141" i="6"/>
  <c r="N106" i="6"/>
  <c r="N100" i="6"/>
  <c r="N72" i="6"/>
  <c r="N69" i="6"/>
  <c r="N66" i="6"/>
  <c r="N183" i="6"/>
  <c r="N147" i="6"/>
  <c r="N110" i="6"/>
  <c r="N94" i="6"/>
  <c r="N91" i="6"/>
  <c r="N79" i="6"/>
  <c r="N38" i="6"/>
  <c r="N28" i="6"/>
  <c r="N25" i="6"/>
  <c r="N165" i="6"/>
  <c r="N124" i="6"/>
  <c r="N114" i="6"/>
  <c r="N74" i="6"/>
  <c r="N50" i="6"/>
  <c r="N16" i="6"/>
  <c r="N160" i="6"/>
  <c r="N153" i="6"/>
  <c r="N146" i="6"/>
  <c r="N117" i="6"/>
  <c r="N87" i="6"/>
  <c r="N45" i="6"/>
  <c r="N19" i="6"/>
  <c r="N14" i="6"/>
  <c r="N196" i="6"/>
  <c r="N189" i="6"/>
  <c r="N182" i="6"/>
  <c r="N139" i="6"/>
  <c r="N97" i="6"/>
  <c r="N92" i="6"/>
  <c r="N48" i="6"/>
  <c r="N43" i="6"/>
  <c r="N4" i="6"/>
  <c r="N175" i="6"/>
  <c r="N105" i="6"/>
  <c r="N82" i="6"/>
  <c r="N62" i="6"/>
  <c r="N187" i="6"/>
  <c r="N75" i="6"/>
  <c r="N33" i="6"/>
  <c r="N142" i="6"/>
  <c r="N135" i="6"/>
  <c r="N123" i="6"/>
  <c r="N108" i="6"/>
  <c r="N98" i="6"/>
  <c r="N85" i="6"/>
  <c r="N54" i="6"/>
  <c r="N49" i="6"/>
  <c r="N9" i="6"/>
  <c r="N178" i="6"/>
  <c r="N171" i="6"/>
  <c r="N159" i="6"/>
  <c r="N128" i="6"/>
  <c r="N93" i="6"/>
  <c r="N12" i="6"/>
  <c r="N200" i="6"/>
  <c r="N157" i="6"/>
  <c r="N133" i="6"/>
  <c r="N96" i="6"/>
  <c r="N86" i="6"/>
  <c r="N60" i="6"/>
  <c r="N26" i="6"/>
  <c r="N13" i="6"/>
  <c r="N2" i="6"/>
  <c r="N129" i="6"/>
  <c r="N104" i="6"/>
  <c r="N61" i="6"/>
  <c r="N21" i="6"/>
  <c r="N164" i="6"/>
  <c r="N151" i="6"/>
  <c r="N52" i="6"/>
  <c r="N121" i="6"/>
  <c r="N73" i="6"/>
  <c r="N30" i="6"/>
  <c r="N70" i="6"/>
  <c r="N57" i="6"/>
  <c r="N36" i="6"/>
  <c r="N68" i="6"/>
  <c r="N169" i="6"/>
  <c r="N76" i="6"/>
  <c r="N42" i="6"/>
  <c r="N195" i="6"/>
  <c r="N193" i="6"/>
  <c r="N18" i="6"/>
  <c r="C14" i="3"/>
  <c r="D14" i="3" s="1"/>
  <c r="B44" i="15"/>
  <c r="W61" i="15"/>
  <c r="W63" i="15"/>
  <c r="B11" i="15"/>
  <c r="W62" i="15"/>
  <c r="B13" i="15"/>
  <c r="W65" i="15"/>
  <c r="W64" i="15"/>
  <c r="B12" i="15"/>
  <c r="B14" i="15"/>
  <c r="B10" i="15"/>
  <c r="B20" i="14"/>
  <c r="Z6" i="5"/>
  <c r="E3" i="7"/>
  <c r="F3" i="7" s="1"/>
  <c r="P5" i="7"/>
  <c r="R7" i="7"/>
  <c r="R6" i="7"/>
  <c r="S5" i="7"/>
  <c r="Q7" i="7"/>
  <c r="Q6" i="7"/>
  <c r="O5" i="7"/>
  <c r="N4" i="7"/>
  <c r="O3" i="7"/>
  <c r="P16" i="7"/>
  <c r="Q15" i="7"/>
  <c r="S14" i="7"/>
  <c r="N16" i="7"/>
  <c r="O15" i="7"/>
  <c r="Q14" i="7"/>
  <c r="O13" i="7"/>
  <c r="R12" i="7"/>
  <c r="P7" i="7"/>
  <c r="S12" i="7"/>
  <c r="N7" i="7"/>
  <c r="N3" i="7"/>
  <c r="Q12" i="7"/>
  <c r="L3" i="7"/>
  <c r="K3" i="7" s="1"/>
  <c r="N13" i="7"/>
  <c r="O12" i="7"/>
  <c r="R14" i="7"/>
  <c r="N12" i="7"/>
  <c r="T5" i="7"/>
  <c r="S15" i="7"/>
  <c r="R15" i="7"/>
  <c r="T3" i="7"/>
  <c r="S16" i="7"/>
  <c r="P15" i="7"/>
  <c r="T7" i="7"/>
  <c r="R3" i="7"/>
  <c r="R16" i="7"/>
  <c r="N15" i="7"/>
  <c r="P12" i="7"/>
  <c r="S7" i="7"/>
  <c r="N5" i="7"/>
  <c r="Q3" i="7"/>
  <c r="O16" i="7"/>
  <c r="P3" i="7"/>
  <c r="T6" i="7"/>
  <c r="J145" i="7"/>
  <c r="I145" i="7"/>
  <c r="D2" i="4"/>
  <c r="BB26" i="5"/>
  <c r="AX88" i="5"/>
  <c r="BB99" i="5"/>
  <c r="AP130" i="5"/>
  <c r="AC142" i="5"/>
  <c r="AP172" i="5"/>
  <c r="AC172" i="5"/>
  <c r="J49" i="7"/>
  <c r="I49" i="7"/>
  <c r="J93" i="7"/>
  <c r="I93" i="7"/>
  <c r="J129" i="7"/>
  <c r="I129" i="7"/>
  <c r="J213" i="7"/>
  <c r="I213" i="7"/>
  <c r="J297" i="7"/>
  <c r="I297" i="7"/>
  <c r="P6" i="7"/>
  <c r="J97" i="7"/>
  <c r="I97" i="7"/>
  <c r="J127" i="7"/>
  <c r="I127" i="7"/>
  <c r="J245" i="7"/>
  <c r="I245" i="7"/>
  <c r="BB36" i="5"/>
  <c r="AT40" i="5"/>
  <c r="AT151" i="5"/>
  <c r="AX33" i="5"/>
  <c r="BB121" i="5"/>
  <c r="J81" i="7"/>
  <c r="I81" i="7"/>
  <c r="I125" i="7"/>
  <c r="I154" i="7"/>
  <c r="J154" i="7"/>
  <c r="J156" i="7"/>
  <c r="I156" i="7"/>
  <c r="J168" i="7"/>
  <c r="I168" i="7"/>
  <c r="J209" i="7"/>
  <c r="I209" i="7"/>
  <c r="H258" i="15"/>
  <c r="L2" i="13"/>
  <c r="U2" i="6"/>
  <c r="J20" i="7"/>
  <c r="I20" i="7"/>
  <c r="J24" i="7"/>
  <c r="I24" i="7"/>
  <c r="J193" i="7"/>
  <c r="I193" i="7"/>
  <c r="F3" i="3"/>
  <c r="D11" i="15" s="1"/>
  <c r="C15" i="3"/>
  <c r="D15" i="3" s="1"/>
  <c r="D14" i="15" s="1"/>
  <c r="AP103" i="5"/>
  <c r="AC103" i="5"/>
  <c r="I191" i="7"/>
  <c r="J191" i="7"/>
  <c r="J502" i="7"/>
  <c r="I502" i="7"/>
  <c r="J661" i="7"/>
  <c r="I661" i="7"/>
  <c r="AC70" i="5"/>
  <c r="AX198" i="5"/>
  <c r="J5" i="7"/>
  <c r="I5" i="7"/>
  <c r="J150" i="7"/>
  <c r="I150" i="7"/>
  <c r="J189" i="7"/>
  <c r="I189" i="7"/>
  <c r="J241" i="7"/>
  <c r="I241" i="7"/>
  <c r="AX58" i="5"/>
  <c r="AP70" i="5"/>
  <c r="AC82" i="5"/>
  <c r="AP100" i="5"/>
  <c r="AC127" i="5"/>
  <c r="AT161" i="5"/>
  <c r="AF4" i="6"/>
  <c r="AB4" i="6"/>
  <c r="AC4" i="6"/>
  <c r="AE4" i="6"/>
  <c r="I70" i="7"/>
  <c r="J70" i="7"/>
  <c r="J146" i="7"/>
  <c r="I146" i="7"/>
  <c r="J181" i="7"/>
  <c r="I181" i="7"/>
  <c r="J277" i="7"/>
  <c r="I277" i="7"/>
  <c r="I374" i="7"/>
  <c r="J374" i="7"/>
  <c r="J377" i="7"/>
  <c r="I377" i="7"/>
  <c r="J381" i="7"/>
  <c r="I381" i="7"/>
  <c r="I183" i="8"/>
  <c r="I171" i="8"/>
  <c r="I159" i="8"/>
  <c r="I147" i="8"/>
  <c r="I135" i="8"/>
  <c r="I123" i="8"/>
  <c r="I111" i="8"/>
  <c r="I99" i="8"/>
  <c r="I87" i="8"/>
  <c r="I75" i="8"/>
  <c r="I63" i="8"/>
  <c r="I51" i="8"/>
  <c r="I39" i="8"/>
  <c r="I27" i="8"/>
  <c r="I15" i="8"/>
  <c r="I3" i="8"/>
  <c r="I182" i="8"/>
  <c r="I170" i="8"/>
  <c r="I158" i="8"/>
  <c r="I146" i="8"/>
  <c r="I134" i="8"/>
  <c r="I122" i="8"/>
  <c r="I110" i="8"/>
  <c r="I200" i="8"/>
  <c r="I185" i="8"/>
  <c r="I173" i="8"/>
  <c r="I161" i="8"/>
  <c r="I149" i="8"/>
  <c r="I137" i="8"/>
  <c r="I125" i="8"/>
  <c r="I113" i="8"/>
  <c r="I101" i="8"/>
  <c r="I89" i="8"/>
  <c r="I77" i="8"/>
  <c r="I65" i="8"/>
  <c r="I53" i="8"/>
  <c r="I41" i="8"/>
  <c r="I29" i="8"/>
  <c r="I17" i="8"/>
  <c r="I5" i="8"/>
  <c r="I184" i="8"/>
  <c r="I168" i="8"/>
  <c r="I143" i="8"/>
  <c r="I132" i="8"/>
  <c r="I107" i="8"/>
  <c r="I83" i="8"/>
  <c r="I64" i="8"/>
  <c r="I62" i="8"/>
  <c r="I36" i="8"/>
  <c r="I21" i="8"/>
  <c r="I19" i="8"/>
  <c r="I10" i="8"/>
  <c r="I179" i="8"/>
  <c r="I177" i="8"/>
  <c r="I141" i="8"/>
  <c r="I105" i="8"/>
  <c r="I96" i="8"/>
  <c r="I81" i="8"/>
  <c r="I79" i="8"/>
  <c r="I70" i="8"/>
  <c r="I154" i="8"/>
  <c r="I118" i="8"/>
  <c r="I38" i="8"/>
  <c r="I12" i="8"/>
  <c r="I98" i="8"/>
  <c r="I72" i="8"/>
  <c r="I46" i="8"/>
  <c r="I195" i="8"/>
  <c r="I190" i="8"/>
  <c r="I167" i="8"/>
  <c r="I156" i="8"/>
  <c r="I131" i="8"/>
  <c r="I120" i="8"/>
  <c r="I14" i="8"/>
  <c r="I155" i="8"/>
  <c r="I144" i="8"/>
  <c r="I119" i="8"/>
  <c r="I108" i="8"/>
  <c r="I84" i="8"/>
  <c r="I58" i="8"/>
  <c r="I194" i="8"/>
  <c r="I180" i="8"/>
  <c r="I47" i="8"/>
  <c r="I28" i="8"/>
  <c r="I26" i="8"/>
  <c r="I192" i="8"/>
  <c r="I74" i="8"/>
  <c r="I71" i="8"/>
  <c r="I45" i="8"/>
  <c r="I34" i="8"/>
  <c r="I24" i="8"/>
  <c r="I189" i="8"/>
  <c r="I103" i="8"/>
  <c r="I88" i="8"/>
  <c r="I86" i="8"/>
  <c r="I76" i="8"/>
  <c r="I139" i="8"/>
  <c r="I178" i="8"/>
  <c r="I50" i="8"/>
  <c r="I31" i="8"/>
  <c r="I11" i="8"/>
  <c r="I191" i="8"/>
  <c r="I94" i="8"/>
  <c r="I23" i="8"/>
  <c r="I2" i="8"/>
  <c r="I175" i="8"/>
  <c r="I112" i="8"/>
  <c r="I33" i="8"/>
  <c r="I4" i="8"/>
  <c r="I148" i="8"/>
  <c r="I130" i="8"/>
  <c r="I82" i="8"/>
  <c r="I60" i="8"/>
  <c r="I43" i="8"/>
  <c r="I142" i="8"/>
  <c r="I166" i="8"/>
  <c r="I22" i="8"/>
  <c r="I160" i="8"/>
  <c r="I91" i="8"/>
  <c r="I48" i="8"/>
  <c r="I93" i="8"/>
  <c r="I95" i="8"/>
  <c r="I106" i="8"/>
  <c r="I124" i="8"/>
  <c r="I129" i="8"/>
  <c r="C13" i="3"/>
  <c r="D13" i="3" s="1"/>
  <c r="B20" i="15"/>
  <c r="H262" i="15"/>
  <c r="L6" i="13"/>
  <c r="D5" i="5"/>
  <c r="AC22" i="5"/>
  <c r="BB22" i="5"/>
  <c r="AP82" i="5"/>
  <c r="AC94" i="5"/>
  <c r="AC116" i="5"/>
  <c r="AP127" i="5"/>
  <c r="AP163" i="5"/>
  <c r="AC163" i="5"/>
  <c r="BB190" i="5"/>
  <c r="J52" i="7"/>
  <c r="I52" i="7"/>
  <c r="I58" i="7"/>
  <c r="J58" i="7"/>
  <c r="J60" i="7"/>
  <c r="I60" i="7"/>
  <c r="I177" i="7"/>
  <c r="I218" i="7"/>
  <c r="J218" i="7"/>
  <c r="T75" i="15"/>
  <c r="D10" i="15"/>
  <c r="AB2" i="6"/>
  <c r="AE2" i="6"/>
  <c r="AC2" i="6"/>
  <c r="AF2" i="6"/>
  <c r="J19" i="7"/>
  <c r="I19" i="7"/>
  <c r="J100" i="7"/>
  <c r="I100" i="7"/>
  <c r="I106" i="7"/>
  <c r="J106" i="7"/>
  <c r="J108" i="7"/>
  <c r="I108" i="7"/>
  <c r="J120" i="7"/>
  <c r="I120" i="7"/>
  <c r="J132" i="7"/>
  <c r="I132" i="7"/>
  <c r="J345" i="7"/>
  <c r="I345" i="7"/>
  <c r="J373" i="7"/>
  <c r="I373" i="7"/>
  <c r="I1329" i="7"/>
  <c r="J1329" i="7"/>
  <c r="AC40" i="5"/>
  <c r="AP94" i="5"/>
  <c r="AC96" i="5"/>
  <c r="AP116" i="5"/>
  <c r="C11" i="3"/>
  <c r="Z2" i="5"/>
  <c r="BB10" i="5"/>
  <c r="AC19" i="5"/>
  <c r="AX36" i="5"/>
  <c r="AP72" i="5"/>
  <c r="AT76" i="5"/>
  <c r="BB91" i="5"/>
  <c r="AP96" i="5"/>
  <c r="AT113" i="5"/>
  <c r="BB136" i="5"/>
  <c r="BB187" i="5"/>
  <c r="I12" i="7"/>
  <c r="J12" i="7"/>
  <c r="J54" i="7"/>
  <c r="I54" i="7"/>
  <c r="J257" i="7"/>
  <c r="I257" i="7"/>
  <c r="I258" i="15"/>
  <c r="AD2" i="6"/>
  <c r="AC58" i="5"/>
  <c r="BB58" i="5"/>
  <c r="I134" i="7"/>
  <c r="J249" i="7"/>
  <c r="I249" i="7"/>
  <c r="J305" i="7"/>
  <c r="I305" i="7"/>
  <c r="AP187" i="5"/>
  <c r="AC187" i="5"/>
  <c r="J18" i="7"/>
  <c r="I18" i="7"/>
  <c r="J115" i="7"/>
  <c r="I115" i="7"/>
  <c r="J136" i="7"/>
  <c r="I136" i="7"/>
  <c r="J138" i="7"/>
  <c r="I138" i="7"/>
  <c r="J163" i="7"/>
  <c r="I163" i="7"/>
  <c r="J204" i="7"/>
  <c r="I204" i="7"/>
  <c r="J236" i="7"/>
  <c r="I236" i="7"/>
  <c r="J330" i="7"/>
  <c r="I330" i="7"/>
  <c r="J332" i="7"/>
  <c r="I332" i="7"/>
  <c r="J396" i="7"/>
  <c r="I396" i="7"/>
  <c r="J426" i="7"/>
  <c r="I426" i="7"/>
  <c r="J557" i="7"/>
  <c r="I557" i="7"/>
  <c r="J895" i="7"/>
  <c r="I895" i="7"/>
  <c r="J917" i="7"/>
  <c r="I917" i="7"/>
  <c r="J1278" i="7"/>
  <c r="I1278" i="7"/>
  <c r="J144" i="7"/>
  <c r="I144" i="7"/>
  <c r="J224" i="7"/>
  <c r="I224" i="7"/>
  <c r="J232" i="7"/>
  <c r="I232" i="7"/>
  <c r="J234" i="7"/>
  <c r="I234" i="7"/>
  <c r="J238" i="7"/>
  <c r="I238" i="7"/>
  <c r="J260" i="7"/>
  <c r="I260" i="7"/>
  <c r="J278" i="7"/>
  <c r="I278" i="7"/>
  <c r="J288" i="7"/>
  <c r="I288" i="7"/>
  <c r="J385" i="7"/>
  <c r="I385" i="7"/>
  <c r="J407" i="7"/>
  <c r="I407" i="7"/>
  <c r="J480" i="7"/>
  <c r="I480" i="7"/>
  <c r="J520" i="7"/>
  <c r="I520" i="7"/>
  <c r="I531" i="7"/>
  <c r="J531" i="7"/>
  <c r="J536" i="7"/>
  <c r="I536" i="7"/>
  <c r="J555" i="7"/>
  <c r="I555" i="7"/>
  <c r="J786" i="7"/>
  <c r="J790" i="7"/>
  <c r="J794" i="7"/>
  <c r="I794" i="7"/>
  <c r="J879" i="7"/>
  <c r="I879" i="7"/>
  <c r="J881" i="7"/>
  <c r="I881" i="7"/>
  <c r="I1149" i="7"/>
  <c r="J1149" i="7"/>
  <c r="I10" i="7"/>
  <c r="J13" i="7"/>
  <c r="I33" i="7"/>
  <c r="J37" i="7"/>
  <c r="I37" i="7"/>
  <c r="J56" i="7"/>
  <c r="I56" i="7"/>
  <c r="I75" i="7"/>
  <c r="I121" i="7"/>
  <c r="J123" i="7"/>
  <c r="I171" i="7"/>
  <c r="I175" i="7"/>
  <c r="J222" i="7"/>
  <c r="J254" i="7"/>
  <c r="I254" i="7"/>
  <c r="J307" i="7"/>
  <c r="I307" i="7"/>
  <c r="J309" i="7"/>
  <c r="I309" i="7"/>
  <c r="J311" i="7"/>
  <c r="I311" i="7"/>
  <c r="J394" i="7"/>
  <c r="I394" i="7"/>
  <c r="J405" i="7"/>
  <c r="I405" i="7"/>
  <c r="I478" i="7"/>
  <c r="J485" i="7"/>
  <c r="I485" i="7"/>
  <c r="J525" i="7"/>
  <c r="I525" i="7"/>
  <c r="J553" i="7"/>
  <c r="I553" i="7"/>
  <c r="J752" i="7"/>
  <c r="I752" i="7"/>
  <c r="J815" i="7"/>
  <c r="I827" i="7"/>
  <c r="J827" i="7"/>
  <c r="I1057" i="7"/>
  <c r="J1057" i="7"/>
  <c r="I1073" i="7"/>
  <c r="I1091" i="7"/>
  <c r="J1091" i="7"/>
  <c r="J1250" i="7"/>
  <c r="I1250" i="7"/>
  <c r="J1252" i="7"/>
  <c r="I1252" i="7"/>
  <c r="J1256" i="7"/>
  <c r="I1256" i="7"/>
  <c r="J464" i="7"/>
  <c r="I464" i="7"/>
  <c r="I466" i="7"/>
  <c r="J466" i="7"/>
  <c r="I506" i="7"/>
  <c r="J506" i="7"/>
  <c r="J512" i="7"/>
  <c r="I512" i="7"/>
  <c r="J518" i="7"/>
  <c r="I518" i="7"/>
  <c r="I786" i="7"/>
  <c r="I790" i="7"/>
  <c r="J863" i="7"/>
  <c r="I863" i="7"/>
  <c r="J7" i="7"/>
  <c r="I7" i="7"/>
  <c r="I62" i="7"/>
  <c r="J85" i="7"/>
  <c r="I85" i="7"/>
  <c r="J104" i="7"/>
  <c r="I104" i="7"/>
  <c r="I123" i="7"/>
  <c r="J148" i="7"/>
  <c r="I148" i="7"/>
  <c r="I222" i="7"/>
  <c r="J226" i="7"/>
  <c r="J230" i="7"/>
  <c r="J269" i="7"/>
  <c r="I269" i="7"/>
  <c r="J283" i="7"/>
  <c r="J293" i="7"/>
  <c r="I293" i="7"/>
  <c r="I301" i="7"/>
  <c r="J439" i="7"/>
  <c r="I439" i="7"/>
  <c r="J665" i="7"/>
  <c r="I665" i="7"/>
  <c r="J669" i="7"/>
  <c r="I669" i="7"/>
  <c r="I698" i="7"/>
  <c r="J712" i="7"/>
  <c r="I712" i="7"/>
  <c r="J742" i="7"/>
  <c r="I742" i="7"/>
  <c r="J778" i="7"/>
  <c r="I778" i="7"/>
  <c r="I1027" i="7"/>
  <c r="J1073" i="7"/>
  <c r="J1183" i="7"/>
  <c r="I1183" i="7"/>
  <c r="J1190" i="7"/>
  <c r="I1190" i="7"/>
  <c r="J1212" i="7"/>
  <c r="I1212" i="7"/>
  <c r="J1238" i="7"/>
  <c r="I1238" i="7"/>
  <c r="J1248" i="7"/>
  <c r="I1248" i="7"/>
  <c r="J66" i="7"/>
  <c r="I66" i="7"/>
  <c r="J68" i="7"/>
  <c r="I68" i="7"/>
  <c r="J72" i="7"/>
  <c r="I72" i="7"/>
  <c r="J102" i="7"/>
  <c r="I102" i="7"/>
  <c r="J152" i="7"/>
  <c r="I152" i="7"/>
  <c r="J199" i="7"/>
  <c r="I199" i="7"/>
  <c r="J201" i="7"/>
  <c r="I201" i="7"/>
  <c r="J205" i="7"/>
  <c r="I205" i="7"/>
  <c r="J261" i="7"/>
  <c r="I261" i="7"/>
  <c r="J279" i="7"/>
  <c r="I279" i="7"/>
  <c r="J452" i="7"/>
  <c r="I452" i="7"/>
  <c r="J454" i="7"/>
  <c r="I454" i="7"/>
  <c r="J477" i="7"/>
  <c r="I477" i="7"/>
  <c r="J481" i="7"/>
  <c r="I481" i="7"/>
  <c r="I570" i="7"/>
  <c r="J570" i="7"/>
  <c r="J637" i="7"/>
  <c r="I637" i="7"/>
  <c r="J694" i="7"/>
  <c r="I694" i="7"/>
  <c r="J704" i="7"/>
  <c r="I704" i="7"/>
  <c r="I723" i="7"/>
  <c r="J723" i="7"/>
  <c r="J776" i="7"/>
  <c r="I776" i="7"/>
  <c r="J799" i="7"/>
  <c r="I799" i="7"/>
  <c r="J1000" i="7"/>
  <c r="I1000" i="7"/>
  <c r="J133" i="7"/>
  <c r="I133" i="7"/>
  <c r="J255" i="7"/>
  <c r="I255" i="7"/>
  <c r="J289" i="7"/>
  <c r="I289" i="7"/>
  <c r="J350" i="7"/>
  <c r="I350" i="7"/>
  <c r="J365" i="7"/>
  <c r="I365" i="7"/>
  <c r="J469" i="7"/>
  <c r="I469" i="7"/>
  <c r="J537" i="7"/>
  <c r="I537" i="7"/>
  <c r="J581" i="7"/>
  <c r="I581" i="7"/>
  <c r="J585" i="7"/>
  <c r="I585" i="7"/>
  <c r="J646" i="7"/>
  <c r="I646" i="7"/>
  <c r="J653" i="7"/>
  <c r="I653" i="7"/>
  <c r="I690" i="7"/>
  <c r="J690" i="7"/>
  <c r="J710" i="7"/>
  <c r="I710" i="7"/>
  <c r="J728" i="7"/>
  <c r="I728" i="7"/>
  <c r="J749" i="7"/>
  <c r="I749" i="7"/>
  <c r="J783" i="7"/>
  <c r="I783" i="7"/>
  <c r="J785" i="7"/>
  <c r="I785" i="7"/>
  <c r="I1113" i="7"/>
  <c r="J1113" i="7"/>
  <c r="J21" i="7"/>
  <c r="I21" i="7"/>
  <c r="J42" i="7"/>
  <c r="I42" i="7"/>
  <c r="J114" i="7"/>
  <c r="I114" i="7"/>
  <c r="J116" i="7"/>
  <c r="I116" i="7"/>
  <c r="J118" i="7"/>
  <c r="J162" i="7"/>
  <c r="I162" i="7"/>
  <c r="J164" i="7"/>
  <c r="I164" i="7"/>
  <c r="J166" i="7"/>
  <c r="J174" i="7"/>
  <c r="I174" i="7"/>
  <c r="I197" i="7"/>
  <c r="J221" i="7"/>
  <c r="I221" i="7"/>
  <c r="J223" i="7"/>
  <c r="I223" i="7"/>
  <c r="I243" i="7"/>
  <c r="I247" i="7"/>
  <c r="J253" i="7"/>
  <c r="I253" i="7"/>
  <c r="I273" i="7"/>
  <c r="J275" i="7"/>
  <c r="I285" i="7"/>
  <c r="J287" i="7"/>
  <c r="I287" i="7"/>
  <c r="J359" i="7"/>
  <c r="I359" i="7"/>
  <c r="J361" i="7"/>
  <c r="I361" i="7"/>
  <c r="J625" i="7"/>
  <c r="I625" i="7"/>
  <c r="J633" i="7"/>
  <c r="I633" i="7"/>
  <c r="J747" i="7"/>
  <c r="I747" i="7"/>
  <c r="J753" i="7"/>
  <c r="I753" i="7"/>
  <c r="J757" i="7"/>
  <c r="I757" i="7"/>
  <c r="J986" i="7"/>
  <c r="I986" i="7"/>
  <c r="J1002" i="7"/>
  <c r="I1002" i="7"/>
  <c r="J1016" i="7"/>
  <c r="I1016" i="7"/>
  <c r="J1048" i="7"/>
  <c r="I1048" i="7"/>
  <c r="I1105" i="7"/>
  <c r="J1105" i="7"/>
  <c r="J1123" i="7"/>
  <c r="I1123" i="7"/>
  <c r="AP154" i="5"/>
  <c r="AP175" i="5"/>
  <c r="AP182" i="5"/>
  <c r="I9" i="7"/>
  <c r="J40" i="7"/>
  <c r="I40" i="7"/>
  <c r="I141" i="7"/>
  <c r="J158" i="7"/>
  <c r="J217" i="7"/>
  <c r="I217" i="7"/>
  <c r="J219" i="7"/>
  <c r="I219" i="7"/>
  <c r="J229" i="7"/>
  <c r="I229" i="7"/>
  <c r="J312" i="7"/>
  <c r="I312" i="7"/>
  <c r="I314" i="7"/>
  <c r="J325" i="7"/>
  <c r="I325" i="7"/>
  <c r="J337" i="7"/>
  <c r="I337" i="7"/>
  <c r="J357" i="7"/>
  <c r="I357" i="7"/>
  <c r="J393" i="7"/>
  <c r="I393" i="7"/>
  <c r="J421" i="7"/>
  <c r="I421" i="7"/>
  <c r="J446" i="7"/>
  <c r="I446" i="7"/>
  <c r="J461" i="7"/>
  <c r="I461" i="7"/>
  <c r="J560" i="7"/>
  <c r="I560" i="7"/>
  <c r="J617" i="7"/>
  <c r="I617" i="7"/>
  <c r="I629" i="7"/>
  <c r="I631" i="7"/>
  <c r="J745" i="7"/>
  <c r="I745" i="7"/>
  <c r="J890" i="7"/>
  <c r="I890" i="7"/>
  <c r="I1305" i="7"/>
  <c r="J1305" i="7"/>
  <c r="J1366" i="7"/>
  <c r="I1366" i="7"/>
  <c r="AT115" i="5"/>
  <c r="J6" i="7"/>
  <c r="I6" i="7"/>
  <c r="J36" i="7"/>
  <c r="I36" i="7"/>
  <c r="J69" i="7"/>
  <c r="I69" i="7"/>
  <c r="J90" i="7"/>
  <c r="I90" i="7"/>
  <c r="J153" i="7"/>
  <c r="I153" i="7"/>
  <c r="J184" i="7"/>
  <c r="I184" i="7"/>
  <c r="J186" i="7"/>
  <c r="I186" i="7"/>
  <c r="J321" i="7"/>
  <c r="I321" i="7"/>
  <c r="J353" i="7"/>
  <c r="I353" i="7"/>
  <c r="J355" i="7"/>
  <c r="I355" i="7"/>
  <c r="J404" i="7"/>
  <c r="I404" i="7"/>
  <c r="J438" i="7"/>
  <c r="I438" i="7"/>
  <c r="I442" i="7"/>
  <c r="J442" i="7"/>
  <c r="J573" i="7"/>
  <c r="I573" i="7"/>
  <c r="J613" i="7"/>
  <c r="I613" i="7"/>
  <c r="I642" i="7"/>
  <c r="J642" i="7"/>
  <c r="J695" i="7"/>
  <c r="I695" i="7"/>
  <c r="I715" i="7"/>
  <c r="J715" i="7"/>
  <c r="J874" i="7"/>
  <c r="I874" i="7"/>
  <c r="J1279" i="7"/>
  <c r="I1279" i="7"/>
  <c r="J1319" i="7"/>
  <c r="I1319" i="7"/>
  <c r="J27" i="7"/>
  <c r="J67" i="7"/>
  <c r="I67" i="7"/>
  <c r="J88" i="7"/>
  <c r="I88" i="7"/>
  <c r="J180" i="7"/>
  <c r="I180" i="7"/>
  <c r="J306" i="7"/>
  <c r="J346" i="7"/>
  <c r="I346" i="7"/>
  <c r="J398" i="7"/>
  <c r="I398" i="7"/>
  <c r="J436" i="7"/>
  <c r="I436" i="7"/>
  <c r="J550" i="7"/>
  <c r="I550" i="7"/>
  <c r="J605" i="7"/>
  <c r="I605" i="7"/>
  <c r="I882" i="7"/>
  <c r="I886" i="7"/>
  <c r="AT175" i="5"/>
  <c r="AE6" i="6"/>
  <c r="AF6" i="6"/>
  <c r="AC6" i="6"/>
  <c r="I38" i="7"/>
  <c r="I63" i="7"/>
  <c r="I65" i="7"/>
  <c r="J84" i="7"/>
  <c r="I84" i="7"/>
  <c r="J117" i="7"/>
  <c r="I117" i="7"/>
  <c r="J165" i="7"/>
  <c r="I165" i="7"/>
  <c r="J206" i="7"/>
  <c r="I206" i="7"/>
  <c r="J268" i="7"/>
  <c r="I268" i="7"/>
  <c r="J270" i="7"/>
  <c r="I270" i="7"/>
  <c r="J317" i="7"/>
  <c r="I317" i="7"/>
  <c r="J413" i="7"/>
  <c r="I413" i="7"/>
  <c r="J434" i="7"/>
  <c r="I434" i="7"/>
  <c r="I522" i="7"/>
  <c r="J522" i="7"/>
  <c r="I927" i="7"/>
  <c r="J927" i="7"/>
  <c r="I1297" i="7"/>
  <c r="J1297" i="7"/>
  <c r="J1310" i="7"/>
  <c r="I1310" i="7"/>
  <c r="J1417" i="7"/>
  <c r="I1417" i="7"/>
  <c r="AF3" i="6"/>
  <c r="J51" i="7"/>
  <c r="J99" i="7"/>
  <c r="J147" i="7"/>
  <c r="J208" i="7"/>
  <c r="I208" i="7"/>
  <c r="J225" i="7"/>
  <c r="I225" i="7"/>
  <c r="J272" i="7"/>
  <c r="I272" i="7"/>
  <c r="J313" i="7"/>
  <c r="I313" i="7"/>
  <c r="J328" i="7"/>
  <c r="I328" i="7"/>
  <c r="J386" i="7"/>
  <c r="I386" i="7"/>
  <c r="J401" i="7"/>
  <c r="I401" i="7"/>
  <c r="J409" i="7"/>
  <c r="I409" i="7"/>
  <c r="J415" i="7"/>
  <c r="I415" i="7"/>
  <c r="I430" i="7"/>
  <c r="J471" i="7"/>
  <c r="I471" i="7"/>
  <c r="I483" i="7"/>
  <c r="J483" i="7"/>
  <c r="J561" i="7"/>
  <c r="I561" i="7"/>
  <c r="J565" i="7"/>
  <c r="I565" i="7"/>
  <c r="J603" i="7"/>
  <c r="I603" i="7"/>
  <c r="J638" i="7"/>
  <c r="I638" i="7"/>
  <c r="I691" i="7"/>
  <c r="J691" i="7"/>
  <c r="J693" i="7"/>
  <c r="I693" i="7"/>
  <c r="J722" i="7"/>
  <c r="I722" i="7"/>
  <c r="J923" i="7"/>
  <c r="J959" i="7"/>
  <c r="J1210" i="7"/>
  <c r="I1210" i="7"/>
  <c r="I1287" i="7"/>
  <c r="J1314" i="7"/>
  <c r="I1314" i="7"/>
  <c r="J1318" i="7"/>
  <c r="I1318" i="7"/>
  <c r="J28" i="7"/>
  <c r="I28" i="7"/>
  <c r="J44" i="7"/>
  <c r="I44" i="7"/>
  <c r="I46" i="7"/>
  <c r="J76" i="7"/>
  <c r="I76" i="7"/>
  <c r="J92" i="7"/>
  <c r="I92" i="7"/>
  <c r="I94" i="7"/>
  <c r="J124" i="7"/>
  <c r="I124" i="7"/>
  <c r="J140" i="7"/>
  <c r="I140" i="7"/>
  <c r="I142" i="7"/>
  <c r="J172" i="7"/>
  <c r="I172" i="7"/>
  <c r="J188" i="7"/>
  <c r="I188" i="7"/>
  <c r="I210" i="7"/>
  <c r="J240" i="7"/>
  <c r="I240" i="7"/>
  <c r="I242" i="7"/>
  <c r="J263" i="7"/>
  <c r="I322" i="7"/>
  <c r="J322" i="7"/>
  <c r="I326" i="7"/>
  <c r="J338" i="7"/>
  <c r="I338" i="7"/>
  <c r="J349" i="7"/>
  <c r="I349" i="7"/>
  <c r="J397" i="7"/>
  <c r="I397" i="7"/>
  <c r="J453" i="7"/>
  <c r="I453" i="7"/>
  <c r="J457" i="7"/>
  <c r="I457" i="7"/>
  <c r="J591" i="7"/>
  <c r="J709" i="7"/>
  <c r="I709" i="7"/>
  <c r="J777" i="7"/>
  <c r="I777" i="7"/>
  <c r="J826" i="7"/>
  <c r="I826" i="7"/>
  <c r="J859" i="7"/>
  <c r="J869" i="7"/>
  <c r="I869" i="7"/>
  <c r="J1034" i="7"/>
  <c r="I1034" i="7"/>
  <c r="J1050" i="7"/>
  <c r="I1050" i="7"/>
  <c r="J1230" i="7"/>
  <c r="I1230" i="7"/>
  <c r="I1281" i="7"/>
  <c r="J1281" i="7"/>
  <c r="J1308" i="7"/>
  <c r="I1308" i="7"/>
  <c r="J1312" i="7"/>
  <c r="I1312" i="7"/>
  <c r="J1405" i="7"/>
  <c r="I1405" i="7"/>
  <c r="J55" i="7"/>
  <c r="J103" i="7"/>
  <c r="J151" i="7"/>
  <c r="J190" i="7"/>
  <c r="J192" i="7"/>
  <c r="I192" i="7"/>
  <c r="J246" i="7"/>
  <c r="J248" i="7"/>
  <c r="I248" i="7"/>
  <c r="I274" i="7"/>
  <c r="J274" i="7"/>
  <c r="J280" i="7"/>
  <c r="I280" i="7"/>
  <c r="J284" i="7"/>
  <c r="I284" i="7"/>
  <c r="I391" i="7"/>
  <c r="I418" i="7"/>
  <c r="J418" i="7"/>
  <c r="J422" i="7"/>
  <c r="I523" i="7"/>
  <c r="J523" i="7"/>
  <c r="J530" i="7"/>
  <c r="I530" i="7"/>
  <c r="J576" i="7"/>
  <c r="I576" i="7"/>
  <c r="J580" i="7"/>
  <c r="I580" i="7"/>
  <c r="J601" i="7"/>
  <c r="I601" i="7"/>
  <c r="J636" i="7"/>
  <c r="I636" i="7"/>
  <c r="J681" i="7"/>
  <c r="I681" i="7"/>
  <c r="J689" i="7"/>
  <c r="I689" i="7"/>
  <c r="J729" i="7"/>
  <c r="I729" i="7"/>
  <c r="J733" i="7"/>
  <c r="I733" i="7"/>
  <c r="J737" i="7"/>
  <c r="I737" i="7"/>
  <c r="J822" i="7"/>
  <c r="I822" i="7"/>
  <c r="J965" i="7"/>
  <c r="I965" i="7"/>
  <c r="I975" i="7"/>
  <c r="J1090" i="7"/>
  <c r="I1090" i="7"/>
  <c r="J1146" i="7"/>
  <c r="I1146" i="7"/>
  <c r="I1257" i="7"/>
  <c r="J1257" i="7"/>
  <c r="J1346" i="7"/>
  <c r="I1346" i="7"/>
  <c r="N14" i="7"/>
  <c r="J15" i="7"/>
  <c r="I15" i="7"/>
  <c r="J30" i="7"/>
  <c r="I30" i="7"/>
  <c r="J39" i="7"/>
  <c r="J48" i="7"/>
  <c r="I48" i="7"/>
  <c r="J78" i="7"/>
  <c r="I78" i="7"/>
  <c r="J87" i="7"/>
  <c r="J96" i="7"/>
  <c r="I96" i="7"/>
  <c r="J126" i="7"/>
  <c r="I126" i="7"/>
  <c r="J135" i="7"/>
  <c r="J183" i="7"/>
  <c r="J282" i="7"/>
  <c r="I282" i="7"/>
  <c r="J318" i="7"/>
  <c r="I318" i="7"/>
  <c r="J368" i="7"/>
  <c r="I368" i="7"/>
  <c r="I370" i="7"/>
  <c r="J370" i="7"/>
  <c r="I395" i="7"/>
  <c r="J395" i="7"/>
  <c r="J416" i="7"/>
  <c r="I416" i="7"/>
  <c r="J449" i="7"/>
  <c r="I449" i="7"/>
  <c r="J484" i="7"/>
  <c r="I484" i="7"/>
  <c r="J503" i="7"/>
  <c r="I503" i="7"/>
  <c r="J541" i="7"/>
  <c r="I541" i="7"/>
  <c r="J545" i="7"/>
  <c r="I545" i="7"/>
  <c r="J589" i="7"/>
  <c r="I589" i="7"/>
  <c r="I618" i="7"/>
  <c r="J618" i="7"/>
  <c r="J654" i="7"/>
  <c r="I654" i="7"/>
  <c r="J677" i="7"/>
  <c r="I677" i="7"/>
  <c r="J718" i="7"/>
  <c r="I718" i="7"/>
  <c r="J764" i="7"/>
  <c r="I764" i="7"/>
  <c r="J818" i="7"/>
  <c r="I818" i="7"/>
  <c r="J853" i="7"/>
  <c r="I853" i="7"/>
  <c r="J971" i="7"/>
  <c r="J1007" i="7"/>
  <c r="J1063" i="7"/>
  <c r="I1063" i="7"/>
  <c r="J1163" i="7"/>
  <c r="I1163" i="7"/>
  <c r="J1180" i="7"/>
  <c r="I1180" i="7"/>
  <c r="J1342" i="7"/>
  <c r="I1342" i="7"/>
  <c r="J1430" i="7"/>
  <c r="I1430" i="7"/>
  <c r="J32" i="7"/>
  <c r="I32" i="7"/>
  <c r="I34" i="7"/>
  <c r="I55" i="7"/>
  <c r="J64" i="7"/>
  <c r="I64" i="7"/>
  <c r="J80" i="7"/>
  <c r="I80" i="7"/>
  <c r="I82" i="7"/>
  <c r="I103" i="7"/>
  <c r="J112" i="7"/>
  <c r="I112" i="7"/>
  <c r="J128" i="7"/>
  <c r="I128" i="7"/>
  <c r="I130" i="7"/>
  <c r="I151" i="7"/>
  <c r="J160" i="7"/>
  <c r="I160" i="7"/>
  <c r="J176" i="7"/>
  <c r="I176" i="7"/>
  <c r="I178" i="7"/>
  <c r="I190" i="7"/>
  <c r="J194" i="7"/>
  <c r="I194" i="7"/>
  <c r="I214" i="7"/>
  <c r="I233" i="7"/>
  <c r="J237" i="7"/>
  <c r="I237" i="7"/>
  <c r="J252" i="7"/>
  <c r="I252" i="7"/>
  <c r="J302" i="7"/>
  <c r="I302" i="7"/>
  <c r="J329" i="7"/>
  <c r="I329" i="7"/>
  <c r="J341" i="7"/>
  <c r="I341" i="7"/>
  <c r="J366" i="7"/>
  <c r="I366" i="7"/>
  <c r="J389" i="7"/>
  <c r="I389" i="7"/>
  <c r="J445" i="7"/>
  <c r="I445" i="7"/>
  <c r="J474" i="7"/>
  <c r="I474" i="7"/>
  <c r="J497" i="7"/>
  <c r="I497" i="7"/>
  <c r="I499" i="7"/>
  <c r="J499" i="7"/>
  <c r="J501" i="7"/>
  <c r="I501" i="7"/>
  <c r="J517" i="7"/>
  <c r="I517" i="7"/>
  <c r="J533" i="7"/>
  <c r="I533" i="7"/>
  <c r="J639" i="7"/>
  <c r="I639" i="7"/>
  <c r="J641" i="7"/>
  <c r="I641" i="7"/>
  <c r="J662" i="7"/>
  <c r="J673" i="7"/>
  <c r="I673" i="7"/>
  <c r="I714" i="7"/>
  <c r="J714" i="7"/>
  <c r="J762" i="7"/>
  <c r="I762" i="7"/>
  <c r="J810" i="7"/>
  <c r="I810" i="7"/>
  <c r="J837" i="7"/>
  <c r="I837" i="7"/>
  <c r="J906" i="7"/>
  <c r="I906" i="7"/>
  <c r="J920" i="7"/>
  <c r="I920" i="7"/>
  <c r="I1061" i="7"/>
  <c r="J1061" i="7"/>
  <c r="I1102" i="7"/>
  <c r="J1102" i="7"/>
  <c r="I1161" i="7"/>
  <c r="J1161" i="7"/>
  <c r="I1213" i="7"/>
  <c r="J1213" i="7"/>
  <c r="J1222" i="7"/>
  <c r="I1222" i="7"/>
  <c r="J1266" i="7"/>
  <c r="I1266" i="7"/>
  <c r="J1286" i="7"/>
  <c r="I1286" i="7"/>
  <c r="J1304" i="7"/>
  <c r="I1304" i="7"/>
  <c r="I39" i="7"/>
  <c r="J43" i="7"/>
  <c r="I57" i="7"/>
  <c r="I87" i="7"/>
  <c r="J91" i="7"/>
  <c r="I105" i="7"/>
  <c r="I135" i="7"/>
  <c r="J139" i="7"/>
  <c r="J187" i="7"/>
  <c r="J200" i="7"/>
  <c r="I200" i="7"/>
  <c r="J296" i="7"/>
  <c r="I296" i="7"/>
  <c r="J333" i="7"/>
  <c r="I333" i="7"/>
  <c r="I362" i="7"/>
  <c r="J425" i="7"/>
  <c r="I425" i="7"/>
  <c r="J429" i="7"/>
  <c r="I429" i="7"/>
  <c r="J433" i="7"/>
  <c r="I433" i="7"/>
  <c r="I491" i="7"/>
  <c r="J493" i="7"/>
  <c r="I493" i="7"/>
  <c r="I495" i="7"/>
  <c r="J526" i="7"/>
  <c r="I526" i="7"/>
  <c r="J671" i="7"/>
  <c r="I671" i="7"/>
  <c r="J773" i="7"/>
  <c r="I773" i="7"/>
  <c r="J792" i="7"/>
  <c r="I792" i="7"/>
  <c r="J796" i="7"/>
  <c r="I796" i="7"/>
  <c r="J835" i="7"/>
  <c r="I835" i="7"/>
  <c r="I849" i="7"/>
  <c r="J888" i="7"/>
  <c r="I888" i="7"/>
  <c r="J892" i="7"/>
  <c r="I892" i="7"/>
  <c r="J952" i="7"/>
  <c r="I952" i="7"/>
  <c r="J1013" i="7"/>
  <c r="I1013" i="7"/>
  <c r="I1023" i="7"/>
  <c r="J1071" i="7"/>
  <c r="I1071" i="7"/>
  <c r="I1083" i="7"/>
  <c r="J1083" i="7"/>
  <c r="J1122" i="7"/>
  <c r="I1122" i="7"/>
  <c r="I1174" i="7"/>
  <c r="J1176" i="7"/>
  <c r="I1176" i="7"/>
  <c r="J1249" i="7"/>
  <c r="J1262" i="7"/>
  <c r="I1262" i="7"/>
  <c r="J1264" i="7"/>
  <c r="I1264" i="7"/>
  <c r="J1393" i="7"/>
  <c r="I1393" i="7"/>
  <c r="J1418" i="7"/>
  <c r="I1418" i="7"/>
  <c r="J765" i="7"/>
  <c r="I765" i="7"/>
  <c r="J780" i="7"/>
  <c r="I780" i="7"/>
  <c r="I802" i="7"/>
  <c r="J858" i="7"/>
  <c r="I858" i="7"/>
  <c r="I898" i="7"/>
  <c r="J938" i="7"/>
  <c r="I938" i="7"/>
  <c r="J954" i="7"/>
  <c r="I954" i="7"/>
  <c r="J968" i="7"/>
  <c r="I968" i="7"/>
  <c r="J1023" i="7"/>
  <c r="J1079" i="7"/>
  <c r="I1079" i="7"/>
  <c r="J1135" i="7"/>
  <c r="I1135" i="7"/>
  <c r="I1155" i="7"/>
  <c r="J1260" i="7"/>
  <c r="I1260" i="7"/>
  <c r="J348" i="7"/>
  <c r="I348" i="7"/>
  <c r="J423" i="7"/>
  <c r="I423" i="7"/>
  <c r="J432" i="7"/>
  <c r="I432" i="7"/>
  <c r="I547" i="7"/>
  <c r="J547" i="7"/>
  <c r="J568" i="7"/>
  <c r="I568" i="7"/>
  <c r="J584" i="7"/>
  <c r="I584" i="7"/>
  <c r="J609" i="7"/>
  <c r="I609" i="7"/>
  <c r="I739" i="7"/>
  <c r="J739" i="7"/>
  <c r="J760" i="7"/>
  <c r="I760" i="7"/>
  <c r="J808" i="7"/>
  <c r="I808" i="7"/>
  <c r="J812" i="7"/>
  <c r="I812" i="7"/>
  <c r="J904" i="7"/>
  <c r="I904" i="7"/>
  <c r="J908" i="7"/>
  <c r="I908" i="7"/>
  <c r="J956" i="7"/>
  <c r="I956" i="7"/>
  <c r="J1004" i="7"/>
  <c r="I1004" i="7"/>
  <c r="J1052" i="7"/>
  <c r="I1052" i="7"/>
  <c r="I1054" i="7"/>
  <c r="J1054" i="7"/>
  <c r="J1067" i="7"/>
  <c r="I1067" i="7"/>
  <c r="I1069" i="7"/>
  <c r="J1069" i="7"/>
  <c r="J1119" i="7"/>
  <c r="I1119" i="7"/>
  <c r="I1129" i="7"/>
  <c r="J1129" i="7"/>
  <c r="I1133" i="7"/>
  <c r="J1133" i="7"/>
  <c r="J1151" i="7"/>
  <c r="I1151" i="7"/>
  <c r="I1165" i="7"/>
  <c r="J1165" i="7"/>
  <c r="J1200" i="7"/>
  <c r="I1200" i="7"/>
  <c r="J1202" i="7"/>
  <c r="I1202" i="7"/>
  <c r="J1204" i="7"/>
  <c r="I1204" i="7"/>
  <c r="J1208" i="7"/>
  <c r="I1208" i="7"/>
  <c r="I1273" i="7"/>
  <c r="J1273" i="7"/>
  <c r="J1378" i="7"/>
  <c r="I1378" i="7"/>
  <c r="J1382" i="7"/>
  <c r="I1382" i="7"/>
  <c r="I1395" i="7"/>
  <c r="J1395" i="7"/>
  <c r="J1547" i="7"/>
  <c r="I1547" i="7"/>
  <c r="J1581" i="7"/>
  <c r="I1581" i="7"/>
  <c r="J1583" i="7"/>
  <c r="I1583" i="7"/>
  <c r="E4" i="7"/>
  <c r="F4" i="7" s="1"/>
  <c r="J220" i="7"/>
  <c r="I220" i="7"/>
  <c r="J300" i="7"/>
  <c r="I300" i="7"/>
  <c r="J375" i="7"/>
  <c r="I375" i="7"/>
  <c r="J384" i="7"/>
  <c r="I384" i="7"/>
  <c r="J488" i="7"/>
  <c r="I488" i="7"/>
  <c r="J528" i="7"/>
  <c r="I528" i="7"/>
  <c r="J532" i="7"/>
  <c r="I532" i="7"/>
  <c r="I549" i="7"/>
  <c r="I551" i="7"/>
  <c r="I574" i="7"/>
  <c r="J588" i="7"/>
  <c r="I588" i="7"/>
  <c r="J590" i="7"/>
  <c r="I590" i="7"/>
  <c r="J623" i="7"/>
  <c r="I623" i="7"/>
  <c r="I650" i="7"/>
  <c r="J720" i="7"/>
  <c r="I720" i="7"/>
  <c r="J724" i="7"/>
  <c r="I724" i="7"/>
  <c r="I741" i="7"/>
  <c r="I743" i="7"/>
  <c r="I770" i="7"/>
  <c r="I774" i="7"/>
  <c r="J781" i="7"/>
  <c r="I781" i="7"/>
  <c r="J824" i="7"/>
  <c r="I824" i="7"/>
  <c r="J828" i="7"/>
  <c r="I828" i="7"/>
  <c r="I851" i="7"/>
  <c r="I929" i="7"/>
  <c r="J933" i="7"/>
  <c r="I933" i="7"/>
  <c r="I946" i="7"/>
  <c r="I950" i="7"/>
  <c r="I977" i="7"/>
  <c r="J981" i="7"/>
  <c r="I981" i="7"/>
  <c r="I994" i="7"/>
  <c r="I998" i="7"/>
  <c r="I1025" i="7"/>
  <c r="J1029" i="7"/>
  <c r="I1029" i="7"/>
  <c r="I1042" i="7"/>
  <c r="I1046" i="7"/>
  <c r="I1137" i="7"/>
  <c r="J1137" i="7"/>
  <c r="I1157" i="7"/>
  <c r="J1157" i="7"/>
  <c r="J1178" i="7"/>
  <c r="I1178" i="7"/>
  <c r="J1258" i="7"/>
  <c r="I1258" i="7"/>
  <c r="J1302" i="7"/>
  <c r="I1302" i="7"/>
  <c r="J1306" i="7"/>
  <c r="I1306" i="7"/>
  <c r="J1316" i="7"/>
  <c r="I1316" i="7"/>
  <c r="J1370" i="7"/>
  <c r="I1370" i="7"/>
  <c r="I1374" i="7"/>
  <c r="J1543" i="7"/>
  <c r="I1543" i="7"/>
  <c r="J1573" i="7"/>
  <c r="I1573" i="7"/>
  <c r="J1575" i="7"/>
  <c r="I1575" i="7"/>
  <c r="J1621" i="7"/>
  <c r="I1621" i="7"/>
  <c r="J1623" i="7"/>
  <c r="I1623" i="7"/>
  <c r="J212" i="7"/>
  <c r="I212" i="7"/>
  <c r="J244" i="7"/>
  <c r="I244" i="7"/>
  <c r="I251" i="7"/>
  <c r="J291" i="7"/>
  <c r="J327" i="7"/>
  <c r="I327" i="7"/>
  <c r="J336" i="7"/>
  <c r="I336" i="7"/>
  <c r="J440" i="7"/>
  <c r="I440" i="7"/>
  <c r="J472" i="7"/>
  <c r="I472" i="7"/>
  <c r="I534" i="7"/>
  <c r="J569" i="7"/>
  <c r="I569" i="7"/>
  <c r="J577" i="7"/>
  <c r="I577" i="7"/>
  <c r="I594" i="7"/>
  <c r="I635" i="7"/>
  <c r="J650" i="7"/>
  <c r="J656" i="7"/>
  <c r="I656" i="7"/>
  <c r="I658" i="7"/>
  <c r="I726" i="7"/>
  <c r="J840" i="7"/>
  <c r="I840" i="7"/>
  <c r="J844" i="7"/>
  <c r="I844" i="7"/>
  <c r="I867" i="7"/>
  <c r="J914" i="7"/>
  <c r="J918" i="7"/>
  <c r="J924" i="7"/>
  <c r="I924" i="7"/>
  <c r="J962" i="7"/>
  <c r="J966" i="7"/>
  <c r="J972" i="7"/>
  <c r="I972" i="7"/>
  <c r="J1010" i="7"/>
  <c r="J1014" i="7"/>
  <c r="J1020" i="7"/>
  <c r="I1020" i="7"/>
  <c r="I1058" i="7"/>
  <c r="J1172" i="7"/>
  <c r="I1172" i="7"/>
  <c r="I1193" i="7"/>
  <c r="J1211" i="7"/>
  <c r="I1211" i="7"/>
  <c r="J1226" i="7"/>
  <c r="I1226" i="7"/>
  <c r="J1228" i="7"/>
  <c r="I1228" i="7"/>
  <c r="J1296" i="7"/>
  <c r="I1296" i="7"/>
  <c r="J1298" i="7"/>
  <c r="I1298" i="7"/>
  <c r="J1300" i="7"/>
  <c r="I1300" i="7"/>
  <c r="J1334" i="7"/>
  <c r="I1334" i="7"/>
  <c r="J1406" i="7"/>
  <c r="I1406" i="7"/>
  <c r="J1437" i="7"/>
  <c r="I1437" i="7"/>
  <c r="J1455" i="7"/>
  <c r="I1455" i="7"/>
  <c r="J1461" i="7"/>
  <c r="I1461" i="7"/>
  <c r="J1463" i="7"/>
  <c r="I1463" i="7"/>
  <c r="J1539" i="7"/>
  <c r="I1539" i="7"/>
  <c r="J1565" i="7"/>
  <c r="I1565" i="7"/>
  <c r="J1567" i="7"/>
  <c r="I1567" i="7"/>
  <c r="J1613" i="7"/>
  <c r="I1613" i="7"/>
  <c r="J1615" i="7"/>
  <c r="I1615" i="7"/>
  <c r="J320" i="7"/>
  <c r="I320" i="7"/>
  <c r="J356" i="7"/>
  <c r="I356" i="7"/>
  <c r="J388" i="7"/>
  <c r="I388" i="7"/>
  <c r="J456" i="7"/>
  <c r="I456" i="7"/>
  <c r="J476" i="7"/>
  <c r="I476" i="7"/>
  <c r="J509" i="7"/>
  <c r="I509" i="7"/>
  <c r="J540" i="7"/>
  <c r="I540" i="7"/>
  <c r="J542" i="7"/>
  <c r="I542" i="7"/>
  <c r="J575" i="7"/>
  <c r="I575" i="7"/>
  <c r="J598" i="7"/>
  <c r="I598" i="7"/>
  <c r="I666" i="7"/>
  <c r="J666" i="7"/>
  <c r="J672" i="7"/>
  <c r="I672" i="7"/>
  <c r="J676" i="7"/>
  <c r="I676" i="7"/>
  <c r="J701" i="7"/>
  <c r="I701" i="7"/>
  <c r="J732" i="7"/>
  <c r="I732" i="7"/>
  <c r="J734" i="7"/>
  <c r="I734" i="7"/>
  <c r="J789" i="7"/>
  <c r="I789" i="7"/>
  <c r="J842" i="7"/>
  <c r="I842" i="7"/>
  <c r="J885" i="7"/>
  <c r="I885" i="7"/>
  <c r="J922" i="7"/>
  <c r="I922" i="7"/>
  <c r="J970" i="7"/>
  <c r="I970" i="7"/>
  <c r="J1018" i="7"/>
  <c r="I1018" i="7"/>
  <c r="J1070" i="7"/>
  <c r="I1070" i="7"/>
  <c r="I1089" i="7"/>
  <c r="J1089" i="7"/>
  <c r="J1166" i="7"/>
  <c r="I1166" i="7"/>
  <c r="J1170" i="7"/>
  <c r="I1170" i="7"/>
  <c r="I1185" i="7"/>
  <c r="J1185" i="7"/>
  <c r="I1205" i="7"/>
  <c r="J1205" i="7"/>
  <c r="I1209" i="7"/>
  <c r="J1209" i="7"/>
  <c r="J1224" i="7"/>
  <c r="I1224" i="7"/>
  <c r="J1328" i="7"/>
  <c r="I1328" i="7"/>
  <c r="J1402" i="7"/>
  <c r="I1402" i="7"/>
  <c r="J1510" i="7"/>
  <c r="I1510" i="7"/>
  <c r="J1514" i="7"/>
  <c r="I1514" i="7"/>
  <c r="J1537" i="7"/>
  <c r="I1537" i="7"/>
  <c r="J1561" i="7"/>
  <c r="I1561" i="7"/>
  <c r="J1563" i="7"/>
  <c r="I1563" i="7"/>
  <c r="J1609" i="7"/>
  <c r="I1609" i="7"/>
  <c r="J1611" i="7"/>
  <c r="I1611" i="7"/>
  <c r="J392" i="7"/>
  <c r="I392" i="7"/>
  <c r="J424" i="7"/>
  <c r="I424" i="7"/>
  <c r="J451" i="7"/>
  <c r="J492" i="7"/>
  <c r="I492" i="7"/>
  <c r="J513" i="7"/>
  <c r="I513" i="7"/>
  <c r="I643" i="7"/>
  <c r="J643" i="7"/>
  <c r="J647" i="7"/>
  <c r="J664" i="7"/>
  <c r="I664" i="7"/>
  <c r="J670" i="7"/>
  <c r="J680" i="7"/>
  <c r="I680" i="7"/>
  <c r="J705" i="7"/>
  <c r="I705" i="7"/>
  <c r="J856" i="7"/>
  <c r="I856" i="7"/>
  <c r="J860" i="7"/>
  <c r="I860" i="7"/>
  <c r="J949" i="7"/>
  <c r="I949" i="7"/>
  <c r="J997" i="7"/>
  <c r="I997" i="7"/>
  <c r="J1045" i="7"/>
  <c r="I1045" i="7"/>
  <c r="I1093" i="7"/>
  <c r="J1093" i="7"/>
  <c r="I1097" i="7"/>
  <c r="J1097" i="7"/>
  <c r="I1099" i="7"/>
  <c r="J1099" i="7"/>
  <c r="J1168" i="7"/>
  <c r="I1168" i="7"/>
  <c r="J1220" i="7"/>
  <c r="I1220" i="7"/>
  <c r="I1261" i="7"/>
  <c r="J1261" i="7"/>
  <c r="J1274" i="7"/>
  <c r="I1274" i="7"/>
  <c r="J1276" i="7"/>
  <c r="I1276" i="7"/>
  <c r="I1313" i="7"/>
  <c r="J1332" i="7"/>
  <c r="I1332" i="7"/>
  <c r="J1336" i="7"/>
  <c r="I1336" i="7"/>
  <c r="J1354" i="7"/>
  <c r="I1354" i="7"/>
  <c r="J1358" i="7"/>
  <c r="I1358" i="7"/>
  <c r="J1431" i="7"/>
  <c r="I1431" i="7"/>
  <c r="J1433" i="7"/>
  <c r="I1433" i="7"/>
  <c r="J1441" i="7"/>
  <c r="I1441" i="7"/>
  <c r="J1469" i="7"/>
  <c r="I1469" i="7"/>
  <c r="J1535" i="7"/>
  <c r="I1535" i="7"/>
  <c r="J1559" i="7"/>
  <c r="I1559" i="7"/>
  <c r="J1605" i="7"/>
  <c r="I1605" i="7"/>
  <c r="J1607" i="7"/>
  <c r="I1607" i="7"/>
  <c r="I299" i="7"/>
  <c r="J308" i="7"/>
  <c r="I308" i="7"/>
  <c r="J340" i="7"/>
  <c r="I340" i="7"/>
  <c r="J342" i="7"/>
  <c r="J347" i="7"/>
  <c r="I390" i="7"/>
  <c r="I406" i="7"/>
  <c r="J408" i="7"/>
  <c r="I408" i="7"/>
  <c r="J428" i="7"/>
  <c r="I428" i="7"/>
  <c r="I458" i="7"/>
  <c r="I467" i="7"/>
  <c r="I490" i="7"/>
  <c r="J494" i="7"/>
  <c r="I494" i="7"/>
  <c r="J521" i="7"/>
  <c r="I521" i="7"/>
  <c r="J529" i="7"/>
  <c r="I529" i="7"/>
  <c r="I546" i="7"/>
  <c r="I587" i="7"/>
  <c r="J602" i="7"/>
  <c r="J608" i="7"/>
  <c r="I608" i="7"/>
  <c r="I610" i="7"/>
  <c r="I674" i="7"/>
  <c r="I678" i="7"/>
  <c r="J713" i="7"/>
  <c r="I713" i="7"/>
  <c r="J721" i="7"/>
  <c r="I721" i="7"/>
  <c r="I738" i="7"/>
  <c r="I771" i="7"/>
  <c r="I801" i="7"/>
  <c r="J805" i="7"/>
  <c r="I805" i="7"/>
  <c r="I815" i="7"/>
  <c r="I834" i="7"/>
  <c r="I838" i="7"/>
  <c r="J850" i="7"/>
  <c r="J854" i="7"/>
  <c r="I897" i="7"/>
  <c r="J901" i="7"/>
  <c r="I901" i="7"/>
  <c r="J936" i="7"/>
  <c r="I936" i="7"/>
  <c r="I947" i="7"/>
  <c r="J984" i="7"/>
  <c r="I984" i="7"/>
  <c r="I995" i="7"/>
  <c r="J1032" i="7"/>
  <c r="I1032" i="7"/>
  <c r="I1068" i="7"/>
  <c r="J1068" i="7"/>
  <c r="J1118" i="7"/>
  <c r="I1118" i="7"/>
  <c r="J1126" i="7"/>
  <c r="I1126" i="7"/>
  <c r="J1154" i="7"/>
  <c r="I1154" i="7"/>
  <c r="J1164" i="7"/>
  <c r="I1164" i="7"/>
  <c r="J1218" i="7"/>
  <c r="I1218" i="7"/>
  <c r="I1241" i="7"/>
  <c r="J1259" i="7"/>
  <c r="I1259" i="7"/>
  <c r="J1307" i="7"/>
  <c r="I1307" i="7"/>
  <c r="J1338" i="7"/>
  <c r="I1338" i="7"/>
  <c r="J1394" i="7"/>
  <c r="I1394" i="7"/>
  <c r="I1398" i="7"/>
  <c r="J1413" i="7"/>
  <c r="I1413" i="7"/>
  <c r="J1473" i="7"/>
  <c r="I1473" i="7"/>
  <c r="J196" i="7"/>
  <c r="I196" i="7"/>
  <c r="J231" i="7"/>
  <c r="I306" i="7"/>
  <c r="I315" i="7"/>
  <c r="J344" i="7"/>
  <c r="I344" i="7"/>
  <c r="I351" i="7"/>
  <c r="J376" i="7"/>
  <c r="I376" i="7"/>
  <c r="I383" i="7"/>
  <c r="J403" i="7"/>
  <c r="I417" i="7"/>
  <c r="I422" i="7"/>
  <c r="J444" i="7"/>
  <c r="I444" i="7"/>
  <c r="I451" i="7"/>
  <c r="I487" i="7"/>
  <c r="J527" i="7"/>
  <c r="I527" i="7"/>
  <c r="I554" i="7"/>
  <c r="I591" i="7"/>
  <c r="I606" i="7"/>
  <c r="J624" i="7"/>
  <c r="I624" i="7"/>
  <c r="J628" i="7"/>
  <c r="I628" i="7"/>
  <c r="I645" i="7"/>
  <c r="I647" i="7"/>
  <c r="I662" i="7"/>
  <c r="I670" i="7"/>
  <c r="J684" i="7"/>
  <c r="I684" i="7"/>
  <c r="J686" i="7"/>
  <c r="I686" i="7"/>
  <c r="J719" i="7"/>
  <c r="I719" i="7"/>
  <c r="I746" i="7"/>
  <c r="I803" i="7"/>
  <c r="J872" i="7"/>
  <c r="I872" i="7"/>
  <c r="J876" i="7"/>
  <c r="I876" i="7"/>
  <c r="I899" i="7"/>
  <c r="I911" i="7"/>
  <c r="J930" i="7"/>
  <c r="J934" i="7"/>
  <c r="J940" i="7"/>
  <c r="I940" i="7"/>
  <c r="I959" i="7"/>
  <c r="J978" i="7"/>
  <c r="J982" i="7"/>
  <c r="J988" i="7"/>
  <c r="I988" i="7"/>
  <c r="I1007" i="7"/>
  <c r="J1026" i="7"/>
  <c r="J1030" i="7"/>
  <c r="J1036" i="7"/>
  <c r="I1036" i="7"/>
  <c r="J1059" i="7"/>
  <c r="I1059" i="7"/>
  <c r="J1111" i="7"/>
  <c r="I1111" i="7"/>
  <c r="I1130" i="7"/>
  <c r="J1138" i="7"/>
  <c r="I1138" i="7"/>
  <c r="J1148" i="7"/>
  <c r="I1148" i="7"/>
  <c r="I1150" i="7"/>
  <c r="J1162" i="7"/>
  <c r="I1162" i="7"/>
  <c r="J1214" i="7"/>
  <c r="I1214" i="7"/>
  <c r="J1216" i="7"/>
  <c r="I1216" i="7"/>
  <c r="I1233" i="7"/>
  <c r="J1233" i="7"/>
  <c r="I1253" i="7"/>
  <c r="J1253" i="7"/>
  <c r="I1270" i="7"/>
  <c r="J1272" i="7"/>
  <c r="I1272" i="7"/>
  <c r="I1289" i="7"/>
  <c r="J1313" i="7"/>
  <c r="I1321" i="7"/>
  <c r="I1350" i="7"/>
  <c r="J1390" i="7"/>
  <c r="I1390" i="7"/>
  <c r="J1419" i="7"/>
  <c r="I1419" i="7"/>
  <c r="J1429" i="7"/>
  <c r="I1429" i="7"/>
  <c r="J1477" i="7"/>
  <c r="I1477" i="7"/>
  <c r="J1479" i="7"/>
  <c r="I1479" i="7"/>
  <c r="J216" i="7"/>
  <c r="I216" i="7"/>
  <c r="J264" i="7"/>
  <c r="I264" i="7"/>
  <c r="J292" i="7"/>
  <c r="I292" i="7"/>
  <c r="J294" i="7"/>
  <c r="J299" i="7"/>
  <c r="I342" i="7"/>
  <c r="J360" i="7"/>
  <c r="I360" i="7"/>
  <c r="J380" i="7"/>
  <c r="I380" i="7"/>
  <c r="I410" i="7"/>
  <c r="J458" i="7"/>
  <c r="J473" i="7"/>
  <c r="I473" i="7"/>
  <c r="J546" i="7"/>
  <c r="I595" i="7"/>
  <c r="J595" i="7"/>
  <c r="J599" i="7"/>
  <c r="J616" i="7"/>
  <c r="I616" i="7"/>
  <c r="J622" i="7"/>
  <c r="J632" i="7"/>
  <c r="I632" i="7"/>
  <c r="I649" i="7"/>
  <c r="I651" i="7"/>
  <c r="J657" i="7"/>
  <c r="I657" i="7"/>
  <c r="I717" i="7"/>
  <c r="I725" i="7"/>
  <c r="J738" i="7"/>
  <c r="I817" i="7"/>
  <c r="J821" i="7"/>
  <c r="I821" i="7"/>
  <c r="I850" i="7"/>
  <c r="I854" i="7"/>
  <c r="J866" i="7"/>
  <c r="J870" i="7"/>
  <c r="I1019" i="7"/>
  <c r="J1082" i="7"/>
  <c r="I1082" i="7"/>
  <c r="I1109" i="7"/>
  <c r="J1109" i="7"/>
  <c r="I1136" i="7"/>
  <c r="J1140" i="7"/>
  <c r="I1140" i="7"/>
  <c r="J1156" i="7"/>
  <c r="I1156" i="7"/>
  <c r="J1160" i="7"/>
  <c r="I1160" i="7"/>
  <c r="J1241" i="7"/>
  <c r="J1268" i="7"/>
  <c r="I1268" i="7"/>
  <c r="I1301" i="7"/>
  <c r="J1301" i="7"/>
  <c r="J1407" i="7"/>
  <c r="I1407" i="7"/>
  <c r="J1409" i="7"/>
  <c r="I1409" i="7"/>
  <c r="J256" i="7"/>
  <c r="I256" i="7"/>
  <c r="J304" i="7"/>
  <c r="I304" i="7"/>
  <c r="J352" i="7"/>
  <c r="I352" i="7"/>
  <c r="J400" i="7"/>
  <c r="I400" i="7"/>
  <c r="J448" i="7"/>
  <c r="I448" i="7"/>
  <c r="J496" i="7"/>
  <c r="I496" i="7"/>
  <c r="I519" i="7"/>
  <c r="J544" i="7"/>
  <c r="I544" i="7"/>
  <c r="I567" i="7"/>
  <c r="J592" i="7"/>
  <c r="I592" i="7"/>
  <c r="I615" i="7"/>
  <c r="J640" i="7"/>
  <c r="I640" i="7"/>
  <c r="I663" i="7"/>
  <c r="J688" i="7"/>
  <c r="I688" i="7"/>
  <c r="I711" i="7"/>
  <c r="J736" i="7"/>
  <c r="I736" i="7"/>
  <c r="I759" i="7"/>
  <c r="J768" i="7"/>
  <c r="I768" i="7"/>
  <c r="I775" i="7"/>
  <c r="J784" i="7"/>
  <c r="I784" i="7"/>
  <c r="I791" i="7"/>
  <c r="J800" i="7"/>
  <c r="I800" i="7"/>
  <c r="I807" i="7"/>
  <c r="J816" i="7"/>
  <c r="I816" i="7"/>
  <c r="I823" i="7"/>
  <c r="J832" i="7"/>
  <c r="I832" i="7"/>
  <c r="I839" i="7"/>
  <c r="J848" i="7"/>
  <c r="I848" i="7"/>
  <c r="I855" i="7"/>
  <c r="J864" i="7"/>
  <c r="I864" i="7"/>
  <c r="I871" i="7"/>
  <c r="J880" i="7"/>
  <c r="I880" i="7"/>
  <c r="I887" i="7"/>
  <c r="J896" i="7"/>
  <c r="I896" i="7"/>
  <c r="I903" i="7"/>
  <c r="J912" i="7"/>
  <c r="I912" i="7"/>
  <c r="I919" i="7"/>
  <c r="J928" i="7"/>
  <c r="I928" i="7"/>
  <c r="I935" i="7"/>
  <c r="J944" i="7"/>
  <c r="I944" i="7"/>
  <c r="I951" i="7"/>
  <c r="J960" i="7"/>
  <c r="I960" i="7"/>
  <c r="I967" i="7"/>
  <c r="J976" i="7"/>
  <c r="I976" i="7"/>
  <c r="I983" i="7"/>
  <c r="J992" i="7"/>
  <c r="I992" i="7"/>
  <c r="I999" i="7"/>
  <c r="J1008" i="7"/>
  <c r="I1008" i="7"/>
  <c r="I1015" i="7"/>
  <c r="J1024" i="7"/>
  <c r="I1024" i="7"/>
  <c r="I1031" i="7"/>
  <c r="J1040" i="7"/>
  <c r="I1040" i="7"/>
  <c r="I1047" i="7"/>
  <c r="J1076" i="7"/>
  <c r="J1108" i="7"/>
  <c r="I1108" i="7"/>
  <c r="I1110" i="7"/>
  <c r="I1152" i="7"/>
  <c r="J1192" i="7"/>
  <c r="I1192" i="7"/>
  <c r="J1194" i="7"/>
  <c r="I1194" i="7"/>
  <c r="J1196" i="7"/>
  <c r="I1196" i="7"/>
  <c r="I1215" i="7"/>
  <c r="J1240" i="7"/>
  <c r="I1240" i="7"/>
  <c r="J1242" i="7"/>
  <c r="I1242" i="7"/>
  <c r="J1244" i="7"/>
  <c r="I1244" i="7"/>
  <c r="I1263" i="7"/>
  <c r="J1288" i="7"/>
  <c r="I1288" i="7"/>
  <c r="J1290" i="7"/>
  <c r="I1290" i="7"/>
  <c r="J1292" i="7"/>
  <c r="I1292" i="7"/>
  <c r="J1324" i="7"/>
  <c r="I1324" i="7"/>
  <c r="I1337" i="7"/>
  <c r="J1345" i="7"/>
  <c r="I1345" i="7"/>
  <c r="I1347" i="7"/>
  <c r="J1353" i="7"/>
  <c r="I1353" i="7"/>
  <c r="J1361" i="7"/>
  <c r="I1361" i="7"/>
  <c r="J1442" i="7"/>
  <c r="I1442" i="7"/>
  <c r="J1470" i="7"/>
  <c r="I1470" i="7"/>
  <c r="J1489" i="7"/>
  <c r="I1489" i="7"/>
  <c r="J1497" i="7"/>
  <c r="I1497" i="7"/>
  <c r="J1501" i="7"/>
  <c r="I1501" i="7"/>
  <c r="J1515" i="7"/>
  <c r="I1515" i="7"/>
  <c r="J1527" i="7"/>
  <c r="I1527" i="7"/>
  <c r="J1551" i="7"/>
  <c r="I1551" i="7"/>
  <c r="J1589" i="7"/>
  <c r="I1589" i="7"/>
  <c r="J1591" i="7"/>
  <c r="I1591" i="7"/>
  <c r="J1631" i="7"/>
  <c r="I1631" i="7"/>
  <c r="J1655" i="7"/>
  <c r="I1655" i="7"/>
  <c r="J1679" i="7"/>
  <c r="I1679" i="7"/>
  <c r="J1703" i="7"/>
  <c r="I1703" i="7"/>
  <c r="J1727" i="7"/>
  <c r="I1727" i="7"/>
  <c r="J1751" i="7"/>
  <c r="I1751" i="7"/>
  <c r="J1775" i="7"/>
  <c r="I1775" i="7"/>
  <c r="J1799" i="7"/>
  <c r="I1799" i="7"/>
  <c r="J1823" i="7"/>
  <c r="I1823" i="7"/>
  <c r="J1847" i="7"/>
  <c r="I1847" i="7"/>
  <c r="J1873" i="7"/>
  <c r="I1873" i="7"/>
  <c r="J1875" i="7"/>
  <c r="I1875" i="7"/>
  <c r="J1890" i="7"/>
  <c r="I1890" i="7"/>
  <c r="J1903" i="7"/>
  <c r="I1903" i="7"/>
  <c r="J1919" i="7"/>
  <c r="I1919" i="7"/>
  <c r="J1929" i="7"/>
  <c r="I1929" i="7"/>
  <c r="J1934" i="7"/>
  <c r="I1934" i="7"/>
  <c r="J1967" i="7"/>
  <c r="I1967" i="7"/>
  <c r="J1977" i="7"/>
  <c r="I1977" i="7"/>
  <c r="J1982" i="7"/>
  <c r="I1982" i="7"/>
  <c r="J1990" i="7"/>
  <c r="I1990" i="7"/>
  <c r="J2024" i="7"/>
  <c r="I2024" i="7"/>
  <c r="I2031" i="7"/>
  <c r="J2031" i="7"/>
  <c r="J2053" i="7"/>
  <c r="I2053" i="7"/>
  <c r="J2070" i="7"/>
  <c r="I2070" i="7"/>
  <c r="J2080" i="7"/>
  <c r="I2080" i="7"/>
  <c r="J2085" i="7"/>
  <c r="I2085" i="7"/>
  <c r="J2106" i="7"/>
  <c r="I2106" i="7"/>
  <c r="I2160" i="7"/>
  <c r="J2160" i="7"/>
  <c r="J2218" i="7"/>
  <c r="I2218" i="7"/>
  <c r="J2322" i="7"/>
  <c r="I2322" i="7"/>
  <c r="I2364" i="7"/>
  <c r="J2364" i="7"/>
  <c r="I2377" i="7"/>
  <c r="J2377" i="7"/>
  <c r="I2432" i="7"/>
  <c r="J2432" i="7"/>
  <c r="J2470" i="7"/>
  <c r="I2470" i="7"/>
  <c r="I2504" i="7"/>
  <c r="J2504" i="7"/>
  <c r="I2536" i="7"/>
  <c r="J2536" i="7"/>
  <c r="I2568" i="7"/>
  <c r="J2568" i="7"/>
  <c r="J2860" i="7"/>
  <c r="I2860" i="7"/>
  <c r="J228" i="7"/>
  <c r="I228" i="7"/>
  <c r="J276" i="7"/>
  <c r="I276" i="7"/>
  <c r="J324" i="7"/>
  <c r="I324" i="7"/>
  <c r="J372" i="7"/>
  <c r="I372" i="7"/>
  <c r="J420" i="7"/>
  <c r="I420" i="7"/>
  <c r="J468" i="7"/>
  <c r="I468" i="7"/>
  <c r="J516" i="7"/>
  <c r="I516" i="7"/>
  <c r="J564" i="7"/>
  <c r="I564" i="7"/>
  <c r="J612" i="7"/>
  <c r="I612" i="7"/>
  <c r="J660" i="7"/>
  <c r="I660" i="7"/>
  <c r="J708" i="7"/>
  <c r="I708" i="7"/>
  <c r="J756" i="7"/>
  <c r="I756" i="7"/>
  <c r="I766" i="7"/>
  <c r="I782" i="7"/>
  <c r="I798" i="7"/>
  <c r="I814" i="7"/>
  <c r="I830" i="7"/>
  <c r="I846" i="7"/>
  <c r="I862" i="7"/>
  <c r="I878" i="7"/>
  <c r="I894" i="7"/>
  <c r="I910" i="7"/>
  <c r="I926" i="7"/>
  <c r="I942" i="7"/>
  <c r="I958" i="7"/>
  <c r="I974" i="7"/>
  <c r="I990" i="7"/>
  <c r="I1006" i="7"/>
  <c r="I1022" i="7"/>
  <c r="I1038" i="7"/>
  <c r="J1056" i="7"/>
  <c r="I1056" i="7"/>
  <c r="J1065" i="7"/>
  <c r="J1078" i="7"/>
  <c r="I1078" i="7"/>
  <c r="I1087" i="7"/>
  <c r="I1106" i="7"/>
  <c r="I1117" i="7"/>
  <c r="J1117" i="7"/>
  <c r="I1121" i="7"/>
  <c r="J1132" i="7"/>
  <c r="I1132" i="7"/>
  <c r="J1143" i="7"/>
  <c r="I1145" i="7"/>
  <c r="J1145" i="7"/>
  <c r="J1169" i="7"/>
  <c r="I1171" i="7"/>
  <c r="I1177" i="7"/>
  <c r="I1181" i="7"/>
  <c r="J1181" i="7"/>
  <c r="I1198" i="7"/>
  <c r="J1217" i="7"/>
  <c r="I1219" i="7"/>
  <c r="I1225" i="7"/>
  <c r="I1229" i="7"/>
  <c r="J1229" i="7"/>
  <c r="I1246" i="7"/>
  <c r="J1265" i="7"/>
  <c r="I1267" i="7"/>
  <c r="I1277" i="7"/>
  <c r="J1277" i="7"/>
  <c r="I1294" i="7"/>
  <c r="I1317" i="7"/>
  <c r="J1317" i="7"/>
  <c r="I1326" i="7"/>
  <c r="J1341" i="7"/>
  <c r="I1341" i="7"/>
  <c r="J1349" i="7"/>
  <c r="I1349" i="7"/>
  <c r="J1422" i="7"/>
  <c r="I1422" i="7"/>
  <c r="J1493" i="7"/>
  <c r="I1493" i="7"/>
  <c r="J1495" i="7"/>
  <c r="I1495" i="7"/>
  <c r="J1509" i="7"/>
  <c r="I1509" i="7"/>
  <c r="J1513" i="7"/>
  <c r="I1513" i="7"/>
  <c r="J1517" i="7"/>
  <c r="I1517" i="7"/>
  <c r="J1519" i="7"/>
  <c r="I1519" i="7"/>
  <c r="J1521" i="7"/>
  <c r="I1521" i="7"/>
  <c r="J1525" i="7"/>
  <c r="I1525" i="7"/>
  <c r="J1549" i="7"/>
  <c r="I1549" i="7"/>
  <c r="J1585" i="7"/>
  <c r="I1585" i="7"/>
  <c r="J1587" i="7"/>
  <c r="I1587" i="7"/>
  <c r="J1629" i="7"/>
  <c r="I1629" i="7"/>
  <c r="J1640" i="7"/>
  <c r="I1640" i="7"/>
  <c r="J1642" i="7"/>
  <c r="I1642" i="7"/>
  <c r="J1653" i="7"/>
  <c r="I1653" i="7"/>
  <c r="J1664" i="7"/>
  <c r="I1664" i="7"/>
  <c r="J1666" i="7"/>
  <c r="I1666" i="7"/>
  <c r="J1677" i="7"/>
  <c r="I1677" i="7"/>
  <c r="J1688" i="7"/>
  <c r="I1688" i="7"/>
  <c r="J1690" i="7"/>
  <c r="I1690" i="7"/>
  <c r="J1701" i="7"/>
  <c r="I1701" i="7"/>
  <c r="J1712" i="7"/>
  <c r="I1712" i="7"/>
  <c r="J1714" i="7"/>
  <c r="I1714" i="7"/>
  <c r="J1725" i="7"/>
  <c r="I1725" i="7"/>
  <c r="J1736" i="7"/>
  <c r="I1736" i="7"/>
  <c r="J1738" i="7"/>
  <c r="I1738" i="7"/>
  <c r="J1749" i="7"/>
  <c r="I1749" i="7"/>
  <c r="J1760" i="7"/>
  <c r="I1760" i="7"/>
  <c r="J1762" i="7"/>
  <c r="I1762" i="7"/>
  <c r="J1773" i="7"/>
  <c r="I1773" i="7"/>
  <c r="J1784" i="7"/>
  <c r="I1784" i="7"/>
  <c r="J1786" i="7"/>
  <c r="I1786" i="7"/>
  <c r="J1797" i="7"/>
  <c r="I1797" i="7"/>
  <c r="J1808" i="7"/>
  <c r="I1808" i="7"/>
  <c r="J1810" i="7"/>
  <c r="I1810" i="7"/>
  <c r="J1821" i="7"/>
  <c r="I1821" i="7"/>
  <c r="J1832" i="7"/>
  <c r="I1832" i="7"/>
  <c r="J1834" i="7"/>
  <c r="I1834" i="7"/>
  <c r="J1845" i="7"/>
  <c r="I1845" i="7"/>
  <c r="J1856" i="7"/>
  <c r="I1856" i="7"/>
  <c r="J1858" i="7"/>
  <c r="I1858" i="7"/>
  <c r="J1869" i="7"/>
  <c r="I1869" i="7"/>
  <c r="J1871" i="7"/>
  <c r="I1871" i="7"/>
  <c r="J1888" i="7"/>
  <c r="I1888" i="7"/>
  <c r="J1901" i="7"/>
  <c r="I1901" i="7"/>
  <c r="J1912" i="7"/>
  <c r="I1912" i="7"/>
  <c r="J1914" i="7"/>
  <c r="I1914" i="7"/>
  <c r="J1932" i="7"/>
  <c r="I1932" i="7"/>
  <c r="J1947" i="7"/>
  <c r="I1947" i="7"/>
  <c r="J1962" i="7"/>
  <c r="I1962" i="7"/>
  <c r="J1980" i="7"/>
  <c r="I1980" i="7"/>
  <c r="J2012" i="7"/>
  <c r="I2012" i="7"/>
  <c r="I2019" i="7"/>
  <c r="J2019" i="7"/>
  <c r="J2041" i="7"/>
  <c r="I2041" i="7"/>
  <c r="J2058" i="7"/>
  <c r="I2058" i="7"/>
  <c r="J2068" i="7"/>
  <c r="I2068" i="7"/>
  <c r="J2073" i="7"/>
  <c r="I2073" i="7"/>
  <c r="J2150" i="7"/>
  <c r="I2150" i="7"/>
  <c r="J2154" i="7"/>
  <c r="I2154" i="7"/>
  <c r="I2216" i="7"/>
  <c r="J2216" i="7"/>
  <c r="I2248" i="7"/>
  <c r="J2248" i="7"/>
  <c r="I2262" i="7"/>
  <c r="J2262" i="7"/>
  <c r="I2273" i="7"/>
  <c r="J2273" i="7"/>
  <c r="J2302" i="7"/>
  <c r="I2302" i="7"/>
  <c r="J2342" i="7"/>
  <c r="I2342" i="7"/>
  <c r="J316" i="7"/>
  <c r="I316" i="7"/>
  <c r="J364" i="7"/>
  <c r="I364" i="7"/>
  <c r="J412" i="7"/>
  <c r="I412" i="7"/>
  <c r="J460" i="7"/>
  <c r="I460" i="7"/>
  <c r="J508" i="7"/>
  <c r="I508" i="7"/>
  <c r="J556" i="7"/>
  <c r="I556" i="7"/>
  <c r="J604" i="7"/>
  <c r="I604" i="7"/>
  <c r="J652" i="7"/>
  <c r="I652" i="7"/>
  <c r="J700" i="7"/>
  <c r="I700" i="7"/>
  <c r="J748" i="7"/>
  <c r="I748" i="7"/>
  <c r="J772" i="7"/>
  <c r="I772" i="7"/>
  <c r="J788" i="7"/>
  <c r="I788" i="7"/>
  <c r="J804" i="7"/>
  <c r="I804" i="7"/>
  <c r="J820" i="7"/>
  <c r="I820" i="7"/>
  <c r="J836" i="7"/>
  <c r="I836" i="7"/>
  <c r="J852" i="7"/>
  <c r="I852" i="7"/>
  <c r="J868" i="7"/>
  <c r="I868" i="7"/>
  <c r="J884" i="7"/>
  <c r="I884" i="7"/>
  <c r="J900" i="7"/>
  <c r="I900" i="7"/>
  <c r="J916" i="7"/>
  <c r="I916" i="7"/>
  <c r="J932" i="7"/>
  <c r="I932" i="7"/>
  <c r="J948" i="7"/>
  <c r="I948" i="7"/>
  <c r="J964" i="7"/>
  <c r="I964" i="7"/>
  <c r="J980" i="7"/>
  <c r="I980" i="7"/>
  <c r="J996" i="7"/>
  <c r="I996" i="7"/>
  <c r="J1012" i="7"/>
  <c r="I1012" i="7"/>
  <c r="J1028" i="7"/>
  <c r="I1028" i="7"/>
  <c r="J1044" i="7"/>
  <c r="I1044" i="7"/>
  <c r="J1060" i="7"/>
  <c r="I1060" i="7"/>
  <c r="I1080" i="7"/>
  <c r="J1094" i="7"/>
  <c r="J1096" i="7"/>
  <c r="J1121" i="7"/>
  <c r="I1125" i="7"/>
  <c r="J1125" i="7"/>
  <c r="I1127" i="7"/>
  <c r="J1147" i="7"/>
  <c r="I1158" i="7"/>
  <c r="J1177" i="7"/>
  <c r="I1179" i="7"/>
  <c r="I1189" i="7"/>
  <c r="J1189" i="7"/>
  <c r="I1206" i="7"/>
  <c r="J1225" i="7"/>
  <c r="I1237" i="7"/>
  <c r="J1237" i="7"/>
  <c r="I1254" i="7"/>
  <c r="I1285" i="7"/>
  <c r="J1285" i="7"/>
  <c r="J1330" i="7"/>
  <c r="I1330" i="7"/>
  <c r="J1457" i="7"/>
  <c r="I1457" i="7"/>
  <c r="J1480" i="7"/>
  <c r="J1545" i="7"/>
  <c r="I1545" i="7"/>
  <c r="J1577" i="7"/>
  <c r="I1577" i="7"/>
  <c r="J1579" i="7"/>
  <c r="I1579" i="7"/>
  <c r="J1636" i="7"/>
  <c r="I1636" i="7"/>
  <c r="J1638" i="7"/>
  <c r="I1638" i="7"/>
  <c r="J1649" i="7"/>
  <c r="I1649" i="7"/>
  <c r="J1660" i="7"/>
  <c r="I1660" i="7"/>
  <c r="J1662" i="7"/>
  <c r="I1662" i="7"/>
  <c r="J1673" i="7"/>
  <c r="I1673" i="7"/>
  <c r="J1684" i="7"/>
  <c r="I1684" i="7"/>
  <c r="J1686" i="7"/>
  <c r="I1686" i="7"/>
  <c r="J1697" i="7"/>
  <c r="I1697" i="7"/>
  <c r="J1708" i="7"/>
  <c r="I1708" i="7"/>
  <c r="J1710" i="7"/>
  <c r="I1710" i="7"/>
  <c r="J1721" i="7"/>
  <c r="I1721" i="7"/>
  <c r="J1732" i="7"/>
  <c r="I1732" i="7"/>
  <c r="J1734" i="7"/>
  <c r="I1734" i="7"/>
  <c r="J1745" i="7"/>
  <c r="I1745" i="7"/>
  <c r="J1756" i="7"/>
  <c r="I1756" i="7"/>
  <c r="J1758" i="7"/>
  <c r="I1758" i="7"/>
  <c r="J1769" i="7"/>
  <c r="I1769" i="7"/>
  <c r="J500" i="7"/>
  <c r="I500" i="7"/>
  <c r="J548" i="7"/>
  <c r="I548" i="7"/>
  <c r="J596" i="7"/>
  <c r="I596" i="7"/>
  <c r="J644" i="7"/>
  <c r="I644" i="7"/>
  <c r="J692" i="7"/>
  <c r="I692" i="7"/>
  <c r="J740" i="7"/>
  <c r="I740" i="7"/>
  <c r="J1107" i="7"/>
  <c r="I1107" i="7"/>
  <c r="I1153" i="7"/>
  <c r="I1197" i="7"/>
  <c r="J1197" i="7"/>
  <c r="I1245" i="7"/>
  <c r="J1245" i="7"/>
  <c r="I1283" i="7"/>
  <c r="I1293" i="7"/>
  <c r="J1293" i="7"/>
  <c r="I1325" i="7"/>
  <c r="J1325" i="7"/>
  <c r="I1386" i="7"/>
  <c r="J1443" i="7"/>
  <c r="I1443" i="7"/>
  <c r="J1453" i="7"/>
  <c r="I1453" i="7"/>
  <c r="J1486" i="7"/>
  <c r="I1486" i="7"/>
  <c r="J1541" i="7"/>
  <c r="I1541" i="7"/>
  <c r="J1569" i="7"/>
  <c r="I1569" i="7"/>
  <c r="J1571" i="7"/>
  <c r="I1571" i="7"/>
  <c r="J1617" i="7"/>
  <c r="I1617" i="7"/>
  <c r="J1619" i="7"/>
  <c r="I1619" i="7"/>
  <c r="J1632" i="7"/>
  <c r="I1632" i="7"/>
  <c r="J1634" i="7"/>
  <c r="I1634" i="7"/>
  <c r="J1645" i="7"/>
  <c r="I1645" i="7"/>
  <c r="J1656" i="7"/>
  <c r="I1656" i="7"/>
  <c r="J1658" i="7"/>
  <c r="I1658" i="7"/>
  <c r="J1669" i="7"/>
  <c r="I1669" i="7"/>
  <c r="J1680" i="7"/>
  <c r="I1680" i="7"/>
  <c r="J1682" i="7"/>
  <c r="I1682" i="7"/>
  <c r="J1693" i="7"/>
  <c r="I1693" i="7"/>
  <c r="J1704" i="7"/>
  <c r="I1704" i="7"/>
  <c r="J1706" i="7"/>
  <c r="I1706" i="7"/>
  <c r="J1717" i="7"/>
  <c r="I1717" i="7"/>
  <c r="J1728" i="7"/>
  <c r="I1728" i="7"/>
  <c r="J1730" i="7"/>
  <c r="I1730" i="7"/>
  <c r="J1741" i="7"/>
  <c r="I1741" i="7"/>
  <c r="J1752" i="7"/>
  <c r="I1752" i="7"/>
  <c r="J1754" i="7"/>
  <c r="I1754" i="7"/>
  <c r="J1765" i="7"/>
  <c r="I1765" i="7"/>
  <c r="J1776" i="7"/>
  <c r="I1776" i="7"/>
  <c r="J1778" i="7"/>
  <c r="I1778" i="7"/>
  <c r="J1789" i="7"/>
  <c r="I1789" i="7"/>
  <c r="J1800" i="7"/>
  <c r="I1800" i="7"/>
  <c r="J1802" i="7"/>
  <c r="I1802" i="7"/>
  <c r="J1813" i="7"/>
  <c r="I1813" i="7"/>
  <c r="J1824" i="7"/>
  <c r="I1824" i="7"/>
  <c r="J1826" i="7"/>
  <c r="I1826" i="7"/>
  <c r="J1837" i="7"/>
  <c r="I1837" i="7"/>
  <c r="J1848" i="7"/>
  <c r="I1848" i="7"/>
  <c r="J1850" i="7"/>
  <c r="I1850" i="7"/>
  <c r="J1861" i="7"/>
  <c r="I1861" i="7"/>
  <c r="J1876" i="7"/>
  <c r="I1876" i="7"/>
  <c r="J1878" i="7"/>
  <c r="I1878" i="7"/>
  <c r="J1893" i="7"/>
  <c r="I1893" i="7"/>
  <c r="J1904" i="7"/>
  <c r="I1904" i="7"/>
  <c r="J1915" i="7"/>
  <c r="I1915" i="7"/>
  <c r="J1930" i="7"/>
  <c r="I1930" i="7"/>
  <c r="J1948" i="7"/>
  <c r="I1948" i="7"/>
  <c r="J1963" i="7"/>
  <c r="I1963" i="7"/>
  <c r="J1978" i="7"/>
  <c r="I1978" i="7"/>
  <c r="J1993" i="7"/>
  <c r="I1993" i="7"/>
  <c r="J2010" i="7"/>
  <c r="I2010" i="7"/>
  <c r="J2020" i="7"/>
  <c r="I2020" i="7"/>
  <c r="J2025" i="7"/>
  <c r="I2025" i="7"/>
  <c r="I2059" i="7"/>
  <c r="J2059" i="7"/>
  <c r="J2074" i="7"/>
  <c r="I2074" i="7"/>
  <c r="I2116" i="7"/>
  <c r="J2116" i="7"/>
  <c r="I2142" i="7"/>
  <c r="J2142" i="7"/>
  <c r="J2219" i="7"/>
  <c r="I2219" i="7"/>
  <c r="J2278" i="7"/>
  <c r="I2278" i="7"/>
  <c r="I2336" i="7"/>
  <c r="J2336" i="7"/>
  <c r="I2358" i="7"/>
  <c r="J2358" i="7"/>
  <c r="J2414" i="7"/>
  <c r="I2414" i="7"/>
  <c r="J2418" i="7"/>
  <c r="I2418" i="7"/>
  <c r="J2683" i="7"/>
  <c r="I2683" i="7"/>
  <c r="I1309" i="7"/>
  <c r="J1309" i="7"/>
  <c r="I1333" i="7"/>
  <c r="J1333" i="7"/>
  <c r="J1381" i="7"/>
  <c r="I1381" i="7"/>
  <c r="J1389" i="7"/>
  <c r="I1389" i="7"/>
  <c r="J1397" i="7"/>
  <c r="I1397" i="7"/>
  <c r="J1401" i="7"/>
  <c r="I1401" i="7"/>
  <c r="J1533" i="7"/>
  <c r="I1533" i="7"/>
  <c r="J1557" i="7"/>
  <c r="I1557" i="7"/>
  <c r="J1601" i="7"/>
  <c r="I1601" i="7"/>
  <c r="J1603" i="7"/>
  <c r="I1603" i="7"/>
  <c r="J504" i="7"/>
  <c r="I504" i="7"/>
  <c r="J552" i="7"/>
  <c r="I552" i="7"/>
  <c r="J600" i="7"/>
  <c r="I600" i="7"/>
  <c r="J648" i="7"/>
  <c r="I648" i="7"/>
  <c r="J696" i="7"/>
  <c r="I696" i="7"/>
  <c r="J744" i="7"/>
  <c r="I744" i="7"/>
  <c r="I1081" i="7"/>
  <c r="J1081" i="7"/>
  <c r="I1085" i="7"/>
  <c r="J1085" i="7"/>
  <c r="J1104" i="7"/>
  <c r="I1104" i="7"/>
  <c r="J1124" i="7"/>
  <c r="I1124" i="7"/>
  <c r="J1184" i="7"/>
  <c r="I1184" i="7"/>
  <c r="J1186" i="7"/>
  <c r="I1186" i="7"/>
  <c r="J1188" i="7"/>
  <c r="I1188" i="7"/>
  <c r="J1232" i="7"/>
  <c r="I1232" i="7"/>
  <c r="J1234" i="7"/>
  <c r="I1234" i="7"/>
  <c r="J1236" i="7"/>
  <c r="I1236" i="7"/>
  <c r="J1280" i="7"/>
  <c r="I1280" i="7"/>
  <c r="J1282" i="7"/>
  <c r="I1282" i="7"/>
  <c r="J1284" i="7"/>
  <c r="I1284" i="7"/>
  <c r="J1320" i="7"/>
  <c r="I1320" i="7"/>
  <c r="J1367" i="7"/>
  <c r="J1369" i="7"/>
  <c r="I1369" i="7"/>
  <c r="I1371" i="7"/>
  <c r="J1377" i="7"/>
  <c r="I1377" i="7"/>
  <c r="J1385" i="7"/>
  <c r="I1385" i="7"/>
  <c r="J1531" i="7"/>
  <c r="I1531" i="7"/>
  <c r="J1555" i="7"/>
  <c r="I1555" i="7"/>
  <c r="J1597" i="7"/>
  <c r="I1597" i="7"/>
  <c r="J1599" i="7"/>
  <c r="I1599" i="7"/>
  <c r="J524" i="7"/>
  <c r="I524" i="7"/>
  <c r="J572" i="7"/>
  <c r="I572" i="7"/>
  <c r="J620" i="7"/>
  <c r="I620" i="7"/>
  <c r="J668" i="7"/>
  <c r="I668" i="7"/>
  <c r="J716" i="7"/>
  <c r="I716" i="7"/>
  <c r="J1074" i="7"/>
  <c r="I1074" i="7"/>
  <c r="J1115" i="7"/>
  <c r="I1115" i="7"/>
  <c r="I1141" i="7"/>
  <c r="J1141" i="7"/>
  <c r="I1173" i="7"/>
  <c r="J1173" i="7"/>
  <c r="I1221" i="7"/>
  <c r="J1221" i="7"/>
  <c r="I1269" i="7"/>
  <c r="J1269" i="7"/>
  <c r="J1322" i="7"/>
  <c r="I1322" i="7"/>
  <c r="J1355" i="7"/>
  <c r="J1357" i="7"/>
  <c r="I1357" i="7"/>
  <c r="I1359" i="7"/>
  <c r="J1365" i="7"/>
  <c r="I1365" i="7"/>
  <c r="J1373" i="7"/>
  <c r="I1373" i="7"/>
  <c r="J1383" i="7"/>
  <c r="J1444" i="7"/>
  <c r="J1446" i="7"/>
  <c r="I1446" i="7"/>
  <c r="J1454" i="7"/>
  <c r="I1454" i="7"/>
  <c r="J1464" i="7"/>
  <c r="J1485" i="7"/>
  <c r="I1485" i="7"/>
  <c r="J1529" i="7"/>
  <c r="I1529" i="7"/>
  <c r="J1553" i="7"/>
  <c r="I1553" i="7"/>
  <c r="J1593" i="7"/>
  <c r="I1593" i="7"/>
  <c r="J1595" i="7"/>
  <c r="I1595" i="7"/>
  <c r="J1411" i="7"/>
  <c r="J1435" i="7"/>
  <c r="J1459" i="7"/>
  <c r="J1475" i="7"/>
  <c r="J1491" i="7"/>
  <c r="J1500" i="7"/>
  <c r="J1523" i="7"/>
  <c r="I1523" i="7"/>
  <c r="J1625" i="7"/>
  <c r="I1625" i="7"/>
  <c r="J1627" i="7"/>
  <c r="I1627" i="7"/>
  <c r="J1651" i="7"/>
  <c r="I1651" i="7"/>
  <c r="J1675" i="7"/>
  <c r="I1675" i="7"/>
  <c r="J1699" i="7"/>
  <c r="I1699" i="7"/>
  <c r="J1723" i="7"/>
  <c r="I1723" i="7"/>
  <c r="J1747" i="7"/>
  <c r="I1747" i="7"/>
  <c r="J1771" i="7"/>
  <c r="I1771" i="7"/>
  <c r="J1795" i="7"/>
  <c r="I1795" i="7"/>
  <c r="J1819" i="7"/>
  <c r="I1819" i="7"/>
  <c r="J1843" i="7"/>
  <c r="I1843" i="7"/>
  <c r="J1867" i="7"/>
  <c r="I1867" i="7"/>
  <c r="J1886" i="7"/>
  <c r="I1886" i="7"/>
  <c r="J1899" i="7"/>
  <c r="I1899" i="7"/>
  <c r="J1910" i="7"/>
  <c r="I1910" i="7"/>
  <c r="J1927" i="7"/>
  <c r="I1927" i="7"/>
  <c r="J1937" i="7"/>
  <c r="I1937" i="7"/>
  <c r="J1942" i="7"/>
  <c r="I1942" i="7"/>
  <c r="J1975" i="7"/>
  <c r="I1975" i="7"/>
  <c r="J1985" i="7"/>
  <c r="I1985" i="7"/>
  <c r="J2000" i="7"/>
  <c r="I2000" i="7"/>
  <c r="I2007" i="7"/>
  <c r="J2007" i="7"/>
  <c r="J2029" i="7"/>
  <c r="I2029" i="7"/>
  <c r="J2046" i="7"/>
  <c r="I2046" i="7"/>
  <c r="J2056" i="7"/>
  <c r="I2056" i="7"/>
  <c r="J2061" i="7"/>
  <c r="I2061" i="7"/>
  <c r="I2095" i="7"/>
  <c r="J2095" i="7"/>
  <c r="I2113" i="7"/>
  <c r="J2113" i="7"/>
  <c r="I2120" i="7"/>
  <c r="J2120" i="7"/>
  <c r="J2122" i="7"/>
  <c r="I2122" i="7"/>
  <c r="I2185" i="7"/>
  <c r="J2185" i="7"/>
  <c r="I2204" i="7"/>
  <c r="J2204" i="7"/>
  <c r="J2210" i="7"/>
  <c r="I2210" i="7"/>
  <c r="I2214" i="7"/>
  <c r="J2214" i="7"/>
  <c r="J2223" i="7"/>
  <c r="I2223" i="7"/>
  <c r="J2294" i="7"/>
  <c r="I2294" i="7"/>
  <c r="J2346" i="7"/>
  <c r="I2346" i="7"/>
  <c r="I2384" i="7"/>
  <c r="J2384" i="7"/>
  <c r="I2428" i="7"/>
  <c r="J2428" i="7"/>
  <c r="I2608" i="7"/>
  <c r="J2608" i="7"/>
  <c r="J1780" i="7"/>
  <c r="I1780" i="7"/>
  <c r="J1782" i="7"/>
  <c r="I1782" i="7"/>
  <c r="J1793" i="7"/>
  <c r="I1793" i="7"/>
  <c r="J1804" i="7"/>
  <c r="I1804" i="7"/>
  <c r="J1806" i="7"/>
  <c r="I1806" i="7"/>
  <c r="J1817" i="7"/>
  <c r="I1817" i="7"/>
  <c r="J1828" i="7"/>
  <c r="I1828" i="7"/>
  <c r="J1830" i="7"/>
  <c r="I1830" i="7"/>
  <c r="J1841" i="7"/>
  <c r="I1841" i="7"/>
  <c r="J1852" i="7"/>
  <c r="I1852" i="7"/>
  <c r="J1854" i="7"/>
  <c r="I1854" i="7"/>
  <c r="J1865" i="7"/>
  <c r="I1865" i="7"/>
  <c r="J1884" i="7"/>
  <c r="I1884" i="7"/>
  <c r="J1897" i="7"/>
  <c r="I1897" i="7"/>
  <c r="J1908" i="7"/>
  <c r="I1908" i="7"/>
  <c r="J1922" i="7"/>
  <c r="I1922" i="7"/>
  <c r="J1940" i="7"/>
  <c r="I1940" i="7"/>
  <c r="J1955" i="7"/>
  <c r="I1955" i="7"/>
  <c r="J1970" i="7"/>
  <c r="I1970" i="7"/>
  <c r="J1988" i="7"/>
  <c r="I1988" i="7"/>
  <c r="I1995" i="7"/>
  <c r="J1995" i="7"/>
  <c r="J2017" i="7"/>
  <c r="I2017" i="7"/>
  <c r="J2034" i="7"/>
  <c r="I2034" i="7"/>
  <c r="J2044" i="7"/>
  <c r="I2044" i="7"/>
  <c r="J2049" i="7"/>
  <c r="I2049" i="7"/>
  <c r="I2083" i="7"/>
  <c r="J2083" i="7"/>
  <c r="J2098" i="7"/>
  <c r="I2098" i="7"/>
  <c r="I2124" i="7"/>
  <c r="J2124" i="7"/>
  <c r="I2132" i="7"/>
  <c r="J2132" i="7"/>
  <c r="I2148" i="7"/>
  <c r="J2148" i="7"/>
  <c r="J2171" i="7"/>
  <c r="I2171" i="7"/>
  <c r="I2200" i="7"/>
  <c r="J2200" i="7"/>
  <c r="J2202" i="7"/>
  <c r="I2202" i="7"/>
  <c r="J2298" i="7"/>
  <c r="I2298" i="7"/>
  <c r="I2340" i="7"/>
  <c r="J2340" i="7"/>
  <c r="I2360" i="7"/>
  <c r="J2360" i="7"/>
  <c r="I2380" i="7"/>
  <c r="J2380" i="7"/>
  <c r="J2391" i="7"/>
  <c r="I2391" i="7"/>
  <c r="J2466" i="7"/>
  <c r="I2466" i="7"/>
  <c r="I2528" i="7"/>
  <c r="J2528" i="7"/>
  <c r="I2560" i="7"/>
  <c r="J2560" i="7"/>
  <c r="J1344" i="7"/>
  <c r="J1356" i="7"/>
  <c r="J1368" i="7"/>
  <c r="J1380" i="7"/>
  <c r="J1392" i="7"/>
  <c r="J1404" i="7"/>
  <c r="I1411" i="7"/>
  <c r="J1415" i="7"/>
  <c r="I1435" i="7"/>
  <c r="J1439" i="7"/>
  <c r="I1459" i="7"/>
  <c r="I1466" i="7"/>
  <c r="J1468" i="7"/>
  <c r="J1484" i="7"/>
  <c r="J1647" i="7"/>
  <c r="I1647" i="7"/>
  <c r="J1671" i="7"/>
  <c r="I1671" i="7"/>
  <c r="J1695" i="7"/>
  <c r="I1695" i="7"/>
  <c r="J1719" i="7"/>
  <c r="I1719" i="7"/>
  <c r="J1743" i="7"/>
  <c r="I1743" i="7"/>
  <c r="J1767" i="7"/>
  <c r="I1767" i="7"/>
  <c r="J1791" i="7"/>
  <c r="I1791" i="7"/>
  <c r="J1815" i="7"/>
  <c r="I1815" i="7"/>
  <c r="J1839" i="7"/>
  <c r="I1839" i="7"/>
  <c r="J1863" i="7"/>
  <c r="I1863" i="7"/>
  <c r="J1880" i="7"/>
  <c r="I1880" i="7"/>
  <c r="J1882" i="7"/>
  <c r="I1882" i="7"/>
  <c r="J1895" i="7"/>
  <c r="I1895" i="7"/>
  <c r="J1906" i="7"/>
  <c r="I1906" i="7"/>
  <c r="J1935" i="7"/>
  <c r="I1935" i="7"/>
  <c r="J1945" i="7"/>
  <c r="I1945" i="7"/>
  <c r="J1950" i="7"/>
  <c r="I1950" i="7"/>
  <c r="J1983" i="7"/>
  <c r="I1983" i="7"/>
  <c r="J2005" i="7"/>
  <c r="I2005" i="7"/>
  <c r="J2022" i="7"/>
  <c r="I2022" i="7"/>
  <c r="J2032" i="7"/>
  <c r="I2032" i="7"/>
  <c r="J2037" i="7"/>
  <c r="I2037" i="7"/>
  <c r="I2071" i="7"/>
  <c r="J2071" i="7"/>
  <c r="J2086" i="7"/>
  <c r="I2086" i="7"/>
  <c r="J2130" i="7"/>
  <c r="I2130" i="7"/>
  <c r="J2146" i="7"/>
  <c r="I2146" i="7"/>
  <c r="J2169" i="7"/>
  <c r="I2169" i="7"/>
  <c r="I2192" i="7"/>
  <c r="J2192" i="7"/>
  <c r="I2208" i="7"/>
  <c r="J2208" i="7"/>
  <c r="J2265" i="7"/>
  <c r="I2265" i="7"/>
  <c r="I2292" i="7"/>
  <c r="J2292" i="7"/>
  <c r="I2382" i="7"/>
  <c r="J2382" i="7"/>
  <c r="J2511" i="7"/>
  <c r="I2511" i="7"/>
  <c r="J3173" i="7"/>
  <c r="I3173" i="7"/>
  <c r="J1643" i="7"/>
  <c r="I1643" i="7"/>
  <c r="J1667" i="7"/>
  <c r="I1667" i="7"/>
  <c r="J1691" i="7"/>
  <c r="I1691" i="7"/>
  <c r="J1715" i="7"/>
  <c r="I1715" i="7"/>
  <c r="J1739" i="7"/>
  <c r="I1739" i="7"/>
  <c r="J1763" i="7"/>
  <c r="I1763" i="7"/>
  <c r="J1787" i="7"/>
  <c r="I1787" i="7"/>
  <c r="J1811" i="7"/>
  <c r="I1811" i="7"/>
  <c r="J1835" i="7"/>
  <c r="I1835" i="7"/>
  <c r="J1859" i="7"/>
  <c r="I1859" i="7"/>
  <c r="J1872" i="7"/>
  <c r="I1872" i="7"/>
  <c r="J1874" i="7"/>
  <c r="I1874" i="7"/>
  <c r="J1891" i="7"/>
  <c r="I1891" i="7"/>
  <c r="J1902" i="7"/>
  <c r="I1902" i="7"/>
  <c r="J1943" i="7"/>
  <c r="I1943" i="7"/>
  <c r="J1953" i="7"/>
  <c r="I1953" i="7"/>
  <c r="J1958" i="7"/>
  <c r="I1958" i="7"/>
  <c r="J1998" i="7"/>
  <c r="I1998" i="7"/>
  <c r="J2008" i="7"/>
  <c r="I2008" i="7"/>
  <c r="J2013" i="7"/>
  <c r="I2013" i="7"/>
  <c r="I2047" i="7"/>
  <c r="J2047" i="7"/>
  <c r="J2062" i="7"/>
  <c r="I2062" i="7"/>
  <c r="J2096" i="7"/>
  <c r="I2096" i="7"/>
  <c r="J2103" i="7"/>
  <c r="I2103" i="7"/>
  <c r="J2109" i="7"/>
  <c r="I2109" i="7"/>
  <c r="J2114" i="7"/>
  <c r="I2114" i="7"/>
  <c r="I2136" i="7"/>
  <c r="J2136" i="7"/>
  <c r="J2151" i="7"/>
  <c r="I2151" i="7"/>
  <c r="I2177" i="7"/>
  <c r="J2177" i="7"/>
  <c r="I2188" i="7"/>
  <c r="J2188" i="7"/>
  <c r="J2194" i="7"/>
  <c r="I2194" i="7"/>
  <c r="I2196" i="7"/>
  <c r="J2196" i="7"/>
  <c r="J2217" i="7"/>
  <c r="I2217" i="7"/>
  <c r="I2288" i="7"/>
  <c r="J2288" i="7"/>
  <c r="I2305" i="7"/>
  <c r="J2305" i="7"/>
  <c r="I2356" i="7"/>
  <c r="J2356" i="7"/>
  <c r="I2456" i="7"/>
  <c r="J2456" i="7"/>
  <c r="I2552" i="7"/>
  <c r="J2552" i="7"/>
  <c r="J2707" i="7"/>
  <c r="I2707" i="7"/>
  <c r="J1408" i="7"/>
  <c r="J1432" i="7"/>
  <c r="J1456" i="7"/>
  <c r="J1472" i="7"/>
  <c r="J1488" i="7"/>
  <c r="J1499" i="7"/>
  <c r="J1628" i="7"/>
  <c r="I1628" i="7"/>
  <c r="J1630" i="7"/>
  <c r="I1630" i="7"/>
  <c r="J1641" i="7"/>
  <c r="I1641" i="7"/>
  <c r="J1652" i="7"/>
  <c r="I1652" i="7"/>
  <c r="J1654" i="7"/>
  <c r="I1654" i="7"/>
  <c r="J1665" i="7"/>
  <c r="I1665" i="7"/>
  <c r="J1676" i="7"/>
  <c r="I1676" i="7"/>
  <c r="J1678" i="7"/>
  <c r="I1678" i="7"/>
  <c r="J1689" i="7"/>
  <c r="I1689" i="7"/>
  <c r="J1700" i="7"/>
  <c r="I1700" i="7"/>
  <c r="J1702" i="7"/>
  <c r="I1702" i="7"/>
  <c r="J1713" i="7"/>
  <c r="I1713" i="7"/>
  <c r="J1724" i="7"/>
  <c r="I1724" i="7"/>
  <c r="J1726" i="7"/>
  <c r="I1726" i="7"/>
  <c r="J1737" i="7"/>
  <c r="I1737" i="7"/>
  <c r="J1748" i="7"/>
  <c r="I1748" i="7"/>
  <c r="J1750" i="7"/>
  <c r="I1750" i="7"/>
  <c r="J1761" i="7"/>
  <c r="I1761" i="7"/>
  <c r="J1772" i="7"/>
  <c r="I1772" i="7"/>
  <c r="J1774" i="7"/>
  <c r="I1774" i="7"/>
  <c r="J1785" i="7"/>
  <c r="I1785" i="7"/>
  <c r="J1796" i="7"/>
  <c r="I1796" i="7"/>
  <c r="J1798" i="7"/>
  <c r="I1798" i="7"/>
  <c r="J1809" i="7"/>
  <c r="I1809" i="7"/>
  <c r="J1820" i="7"/>
  <c r="I1820" i="7"/>
  <c r="J1822" i="7"/>
  <c r="I1822" i="7"/>
  <c r="J1833" i="7"/>
  <c r="I1833" i="7"/>
  <c r="J1844" i="7"/>
  <c r="I1844" i="7"/>
  <c r="J1846" i="7"/>
  <c r="I1846" i="7"/>
  <c r="J1857" i="7"/>
  <c r="I1857" i="7"/>
  <c r="J1868" i="7"/>
  <c r="I1868" i="7"/>
  <c r="J1870" i="7"/>
  <c r="I1870" i="7"/>
  <c r="J1889" i="7"/>
  <c r="I1889" i="7"/>
  <c r="J1900" i="7"/>
  <c r="I1900" i="7"/>
  <c r="J1923" i="7"/>
  <c r="I1923" i="7"/>
  <c r="J1938" i="7"/>
  <c r="I1938" i="7"/>
  <c r="J1956" i="7"/>
  <c r="I1956" i="7"/>
  <c r="J1971" i="7"/>
  <c r="I1971" i="7"/>
  <c r="J1986" i="7"/>
  <c r="I1986" i="7"/>
  <c r="J1996" i="7"/>
  <c r="I1996" i="7"/>
  <c r="J2001" i="7"/>
  <c r="I2001" i="7"/>
  <c r="I2035" i="7"/>
  <c r="J2035" i="7"/>
  <c r="J2050" i="7"/>
  <c r="I2050" i="7"/>
  <c r="J2084" i="7"/>
  <c r="I2084" i="7"/>
  <c r="I2091" i="7"/>
  <c r="J2091" i="7"/>
  <c r="I2105" i="7"/>
  <c r="J2105" i="7"/>
  <c r="J2211" i="7"/>
  <c r="I2211" i="7"/>
  <c r="I2249" i="7"/>
  <c r="J2249" i="7"/>
  <c r="J2270" i="7"/>
  <c r="I2270" i="7"/>
  <c r="J2274" i="7"/>
  <c r="I2274" i="7"/>
  <c r="J2330" i="7"/>
  <c r="I2330" i="7"/>
  <c r="I2334" i="7"/>
  <c r="J2334" i="7"/>
  <c r="J2363" i="7"/>
  <c r="I2363" i="7"/>
  <c r="J2374" i="7"/>
  <c r="I2374" i="7"/>
  <c r="J2486" i="7"/>
  <c r="I2486" i="7"/>
  <c r="I2592" i="7"/>
  <c r="J2592" i="7"/>
  <c r="J2720" i="7"/>
  <c r="I2720" i="7"/>
  <c r="J2835" i="7"/>
  <c r="I2835" i="7"/>
  <c r="J1348" i="7"/>
  <c r="J1360" i="7"/>
  <c r="J1372" i="7"/>
  <c r="J1384" i="7"/>
  <c r="J1396" i="7"/>
  <c r="J1421" i="7"/>
  <c r="I1421" i="7"/>
  <c r="J1423" i="7"/>
  <c r="J1445" i="7"/>
  <c r="I1445" i="7"/>
  <c r="J1447" i="7"/>
  <c r="J1465" i="7"/>
  <c r="I1465" i="7"/>
  <c r="J1467" i="7"/>
  <c r="J1481" i="7"/>
  <c r="I1481" i="7"/>
  <c r="J1483" i="7"/>
  <c r="J1624" i="7"/>
  <c r="I1624" i="7"/>
  <c r="J1639" i="7"/>
  <c r="I1639" i="7"/>
  <c r="J1663" i="7"/>
  <c r="I1663" i="7"/>
  <c r="J1687" i="7"/>
  <c r="I1687" i="7"/>
  <c r="J1711" i="7"/>
  <c r="I1711" i="7"/>
  <c r="J1735" i="7"/>
  <c r="I1735" i="7"/>
  <c r="J1759" i="7"/>
  <c r="I1759" i="7"/>
  <c r="J1783" i="7"/>
  <c r="I1783" i="7"/>
  <c r="J1807" i="7"/>
  <c r="I1807" i="7"/>
  <c r="J1831" i="7"/>
  <c r="I1831" i="7"/>
  <c r="J1855" i="7"/>
  <c r="I1855" i="7"/>
  <c r="J1887" i="7"/>
  <c r="I1887" i="7"/>
  <c r="J1898" i="7"/>
  <c r="I1898" i="7"/>
  <c r="J1918" i="7"/>
  <c r="I1918" i="7"/>
  <c r="J1951" i="7"/>
  <c r="I1951" i="7"/>
  <c r="J1961" i="7"/>
  <c r="I1961" i="7"/>
  <c r="J1966" i="7"/>
  <c r="I1966" i="7"/>
  <c r="J1989" i="7"/>
  <c r="I1989" i="7"/>
  <c r="I2023" i="7"/>
  <c r="J2023" i="7"/>
  <c r="J2038" i="7"/>
  <c r="I2038" i="7"/>
  <c r="J2072" i="7"/>
  <c r="I2072" i="7"/>
  <c r="I2079" i="7"/>
  <c r="J2079" i="7"/>
  <c r="J2101" i="7"/>
  <c r="I2101" i="7"/>
  <c r="J2226" i="7"/>
  <c r="I2226" i="7"/>
  <c r="J2230" i="7"/>
  <c r="I2230" i="7"/>
  <c r="I2484" i="7"/>
  <c r="J2484" i="7"/>
  <c r="J2875" i="7"/>
  <c r="I2875" i="7"/>
  <c r="I1100" i="7"/>
  <c r="J1128" i="7"/>
  <c r="J1144" i="7"/>
  <c r="J1412" i="7"/>
  <c r="J1436" i="7"/>
  <c r="J1503" i="7"/>
  <c r="I1503" i="7"/>
  <c r="J1637" i="7"/>
  <c r="I1637" i="7"/>
  <c r="J1648" i="7"/>
  <c r="I1648" i="7"/>
  <c r="J1650" i="7"/>
  <c r="I1650" i="7"/>
  <c r="J1661" i="7"/>
  <c r="I1661" i="7"/>
  <c r="J1672" i="7"/>
  <c r="I1672" i="7"/>
  <c r="J1674" i="7"/>
  <c r="I1674" i="7"/>
  <c r="J1685" i="7"/>
  <c r="I1685" i="7"/>
  <c r="J1696" i="7"/>
  <c r="I1696" i="7"/>
  <c r="J1698" i="7"/>
  <c r="I1698" i="7"/>
  <c r="J1709" i="7"/>
  <c r="I1709" i="7"/>
  <c r="J1720" i="7"/>
  <c r="I1720" i="7"/>
  <c r="J1722" i="7"/>
  <c r="I1722" i="7"/>
  <c r="J1733" i="7"/>
  <c r="I1733" i="7"/>
  <c r="J1744" i="7"/>
  <c r="I1744" i="7"/>
  <c r="J1746" i="7"/>
  <c r="I1746" i="7"/>
  <c r="J1757" i="7"/>
  <c r="I1757" i="7"/>
  <c r="J1768" i="7"/>
  <c r="I1768" i="7"/>
  <c r="J1770" i="7"/>
  <c r="I1770" i="7"/>
  <c r="J1781" i="7"/>
  <c r="I1781" i="7"/>
  <c r="J1792" i="7"/>
  <c r="I1792" i="7"/>
  <c r="J1794" i="7"/>
  <c r="I1794" i="7"/>
  <c r="J1805" i="7"/>
  <c r="I1805" i="7"/>
  <c r="J1816" i="7"/>
  <c r="I1816" i="7"/>
  <c r="J1818" i="7"/>
  <c r="I1818" i="7"/>
  <c r="J1829" i="7"/>
  <c r="I1829" i="7"/>
  <c r="J1840" i="7"/>
  <c r="I1840" i="7"/>
  <c r="J1842" i="7"/>
  <c r="I1842" i="7"/>
  <c r="J1853" i="7"/>
  <c r="I1853" i="7"/>
  <c r="J1864" i="7"/>
  <c r="I1864" i="7"/>
  <c r="J1866" i="7"/>
  <c r="I1866" i="7"/>
  <c r="J1885" i="7"/>
  <c r="I1885" i="7"/>
  <c r="J1896" i="7"/>
  <c r="I1896" i="7"/>
  <c r="J1909" i="7"/>
  <c r="I1909" i="7"/>
  <c r="J1916" i="7"/>
  <c r="I1916" i="7"/>
  <c r="J1931" i="7"/>
  <c r="I1931" i="7"/>
  <c r="J1946" i="7"/>
  <c r="I1946" i="7"/>
  <c r="J1964" i="7"/>
  <c r="I1964" i="7"/>
  <c r="J1979" i="7"/>
  <c r="I1979" i="7"/>
  <c r="I2011" i="7"/>
  <c r="J2011" i="7"/>
  <c r="J2026" i="7"/>
  <c r="I2026" i="7"/>
  <c r="J2060" i="7"/>
  <c r="I2060" i="7"/>
  <c r="I2067" i="7"/>
  <c r="J2067" i="7"/>
  <c r="J2089" i="7"/>
  <c r="I2089" i="7"/>
  <c r="I2112" i="7"/>
  <c r="J2112" i="7"/>
  <c r="J2182" i="7"/>
  <c r="I2182" i="7"/>
  <c r="J2199" i="7"/>
  <c r="I2199" i="7"/>
  <c r="J2222" i="7"/>
  <c r="I2222" i="7"/>
  <c r="I2236" i="7"/>
  <c r="J2236" i="7"/>
  <c r="I2268" i="7"/>
  <c r="J2268" i="7"/>
  <c r="I2308" i="7"/>
  <c r="J2308" i="7"/>
  <c r="J2326" i="7"/>
  <c r="I2326" i="7"/>
  <c r="I2368" i="7"/>
  <c r="J2368" i="7"/>
  <c r="J2370" i="7"/>
  <c r="I2370" i="7"/>
  <c r="J2438" i="7"/>
  <c r="I2438" i="7"/>
  <c r="I2544" i="7"/>
  <c r="J2544" i="7"/>
  <c r="I2576" i="7"/>
  <c r="J2576" i="7"/>
  <c r="I2624" i="7"/>
  <c r="J2624" i="7"/>
  <c r="J2873" i="7"/>
  <c r="I2873" i="7"/>
  <c r="C12" i="15"/>
  <c r="T29" i="15"/>
  <c r="T30" i="15" s="1"/>
  <c r="T42" i="15"/>
  <c r="T45" i="15"/>
  <c r="C10" i="15"/>
  <c r="E10" i="15" s="1"/>
  <c r="T28" i="15"/>
  <c r="A23" i="16" s="1"/>
  <c r="E16" i="16" s="1"/>
  <c r="C13" i="15"/>
  <c r="E13" i="15" s="1"/>
  <c r="C14" i="15"/>
  <c r="Q16" i="7"/>
  <c r="O7" i="7"/>
  <c r="S6" i="7"/>
  <c r="O4" i="7"/>
  <c r="S3" i="7"/>
  <c r="Q5" i="7"/>
  <c r="N6" i="7"/>
  <c r="O14" i="7"/>
  <c r="I1096" i="7"/>
  <c r="I1343" i="7"/>
  <c r="I1355" i="7"/>
  <c r="I1367" i="7"/>
  <c r="I1379" i="7"/>
  <c r="I1391" i="7"/>
  <c r="I1403" i="7"/>
  <c r="I1410" i="7"/>
  <c r="I1423" i="7"/>
  <c r="J1425" i="7"/>
  <c r="I1425" i="7"/>
  <c r="J1427" i="7"/>
  <c r="I1434" i="7"/>
  <c r="I1447" i="7"/>
  <c r="J1449" i="7"/>
  <c r="I1449" i="7"/>
  <c r="J1451" i="7"/>
  <c r="I1458" i="7"/>
  <c r="J1460" i="7"/>
  <c r="I1467" i="7"/>
  <c r="I1474" i="7"/>
  <c r="J1476" i="7"/>
  <c r="I1483" i="7"/>
  <c r="I1490" i="7"/>
  <c r="J1492" i="7"/>
  <c r="J1505" i="7"/>
  <c r="I1505" i="7"/>
  <c r="J1507" i="7"/>
  <c r="I1507" i="7"/>
  <c r="I1522" i="7"/>
  <c r="I1528" i="7"/>
  <c r="I1532" i="7"/>
  <c r="I1536" i="7"/>
  <c r="I1540" i="7"/>
  <c r="I1544" i="7"/>
  <c r="I1548" i="7"/>
  <c r="I1552" i="7"/>
  <c r="I1556" i="7"/>
  <c r="I1560" i="7"/>
  <c r="I1564" i="7"/>
  <c r="I1568" i="7"/>
  <c r="I1572" i="7"/>
  <c r="I1576" i="7"/>
  <c r="I1580" i="7"/>
  <c r="I1584" i="7"/>
  <c r="I1588" i="7"/>
  <c r="I1592" i="7"/>
  <c r="I1596" i="7"/>
  <c r="I1600" i="7"/>
  <c r="I1604" i="7"/>
  <c r="I1608" i="7"/>
  <c r="I1612" i="7"/>
  <c r="I1616" i="7"/>
  <c r="I1620" i="7"/>
  <c r="I1626" i="7"/>
  <c r="J1635" i="7"/>
  <c r="I1635" i="7"/>
  <c r="J1659" i="7"/>
  <c r="I1659" i="7"/>
  <c r="J1683" i="7"/>
  <c r="I1683" i="7"/>
  <c r="J1707" i="7"/>
  <c r="I1707" i="7"/>
  <c r="J1731" i="7"/>
  <c r="I1731" i="7"/>
  <c r="J1755" i="7"/>
  <c r="I1755" i="7"/>
  <c r="J1779" i="7"/>
  <c r="I1779" i="7"/>
  <c r="J1803" i="7"/>
  <c r="I1803" i="7"/>
  <c r="J1827" i="7"/>
  <c r="I1827" i="7"/>
  <c r="J1851" i="7"/>
  <c r="I1851" i="7"/>
  <c r="J1881" i="7"/>
  <c r="I1881" i="7"/>
  <c r="J1883" i="7"/>
  <c r="I1883" i="7"/>
  <c r="J1894" i="7"/>
  <c r="I1894" i="7"/>
  <c r="J1907" i="7"/>
  <c r="I1907" i="7"/>
  <c r="J1921" i="7"/>
  <c r="I1921" i="7"/>
  <c r="J1926" i="7"/>
  <c r="I1926" i="7"/>
  <c r="J1959" i="7"/>
  <c r="I1959" i="7"/>
  <c r="J1969" i="7"/>
  <c r="I1969" i="7"/>
  <c r="J1974" i="7"/>
  <c r="I1974" i="7"/>
  <c r="I1999" i="7"/>
  <c r="J1999" i="7"/>
  <c r="J2014" i="7"/>
  <c r="I2014" i="7"/>
  <c r="J2048" i="7"/>
  <c r="I2048" i="7"/>
  <c r="I2055" i="7"/>
  <c r="J2055" i="7"/>
  <c r="J2077" i="7"/>
  <c r="I2077" i="7"/>
  <c r="J2094" i="7"/>
  <c r="I2094" i="7"/>
  <c r="J2139" i="7"/>
  <c r="I2139" i="7"/>
  <c r="I2164" i="7"/>
  <c r="J2164" i="7"/>
  <c r="J2170" i="7"/>
  <c r="I2170" i="7"/>
  <c r="J2178" i="7"/>
  <c r="I2178" i="7"/>
  <c r="I2240" i="7"/>
  <c r="J2240" i="7"/>
  <c r="J2242" i="7"/>
  <c r="I2242" i="7"/>
  <c r="J2337" i="7"/>
  <c r="I2337" i="7"/>
  <c r="J2350" i="7"/>
  <c r="I2350" i="7"/>
  <c r="J2394" i="7"/>
  <c r="I2394" i="7"/>
  <c r="J2463" i="7"/>
  <c r="I2463" i="7"/>
  <c r="J2677" i="7"/>
  <c r="I2677" i="7"/>
  <c r="E2" i="7"/>
  <c r="F2" i="7" s="1"/>
  <c r="R5" i="7"/>
  <c r="O6" i="7"/>
  <c r="P14" i="7"/>
  <c r="I1128" i="7"/>
  <c r="I1144" i="7"/>
  <c r="J1416" i="7"/>
  <c r="J1440" i="7"/>
  <c r="J1471" i="7"/>
  <c r="J1487" i="7"/>
  <c r="J1511" i="7"/>
  <c r="I1511" i="7"/>
  <c r="I1526" i="7"/>
  <c r="I1530" i="7"/>
  <c r="I1534" i="7"/>
  <c r="I1538" i="7"/>
  <c r="I1542" i="7"/>
  <c r="I1546" i="7"/>
  <c r="I1550" i="7"/>
  <c r="I1554" i="7"/>
  <c r="I1558" i="7"/>
  <c r="J1633" i="7"/>
  <c r="I1633" i="7"/>
  <c r="J1644" i="7"/>
  <c r="I1644" i="7"/>
  <c r="J1646" i="7"/>
  <c r="I1646" i="7"/>
  <c r="J1657" i="7"/>
  <c r="I1657" i="7"/>
  <c r="J1668" i="7"/>
  <c r="I1668" i="7"/>
  <c r="J1670" i="7"/>
  <c r="I1670" i="7"/>
  <c r="J1681" i="7"/>
  <c r="I1681" i="7"/>
  <c r="J1692" i="7"/>
  <c r="I1692" i="7"/>
  <c r="J1694" i="7"/>
  <c r="I1694" i="7"/>
  <c r="J1705" i="7"/>
  <c r="I1705" i="7"/>
  <c r="J1716" i="7"/>
  <c r="I1716" i="7"/>
  <c r="J1718" i="7"/>
  <c r="I1718" i="7"/>
  <c r="J1729" i="7"/>
  <c r="I1729" i="7"/>
  <c r="J1740" i="7"/>
  <c r="I1740" i="7"/>
  <c r="J1742" i="7"/>
  <c r="I1742" i="7"/>
  <c r="J1753" i="7"/>
  <c r="I1753" i="7"/>
  <c r="J1764" i="7"/>
  <c r="I1764" i="7"/>
  <c r="J1766" i="7"/>
  <c r="I1766" i="7"/>
  <c r="J1777" i="7"/>
  <c r="I1777" i="7"/>
  <c r="J1788" i="7"/>
  <c r="I1788" i="7"/>
  <c r="J1790" i="7"/>
  <c r="I1790" i="7"/>
  <c r="J1801" i="7"/>
  <c r="I1801" i="7"/>
  <c r="J1812" i="7"/>
  <c r="I1812" i="7"/>
  <c r="J1814" i="7"/>
  <c r="I1814" i="7"/>
  <c r="J1825" i="7"/>
  <c r="I1825" i="7"/>
  <c r="J1836" i="7"/>
  <c r="I1836" i="7"/>
  <c r="J1838" i="7"/>
  <c r="I1838" i="7"/>
  <c r="J1849" i="7"/>
  <c r="I1849" i="7"/>
  <c r="J1860" i="7"/>
  <c r="I1860" i="7"/>
  <c r="J1862" i="7"/>
  <c r="I1862" i="7"/>
  <c r="J1877" i="7"/>
  <c r="I1877" i="7"/>
  <c r="J1879" i="7"/>
  <c r="I1879" i="7"/>
  <c r="J1892" i="7"/>
  <c r="I1892" i="7"/>
  <c r="J1905" i="7"/>
  <c r="I1905" i="7"/>
  <c r="J1924" i="7"/>
  <c r="I1924" i="7"/>
  <c r="J1939" i="7"/>
  <c r="I1939" i="7"/>
  <c r="J1954" i="7"/>
  <c r="I1954" i="7"/>
  <c r="J1972" i="7"/>
  <c r="I1972" i="7"/>
  <c r="I1987" i="7"/>
  <c r="J1987" i="7"/>
  <c r="J2002" i="7"/>
  <c r="I2002" i="7"/>
  <c r="J2036" i="7"/>
  <c r="I2036" i="7"/>
  <c r="I2043" i="7"/>
  <c r="J2043" i="7"/>
  <c r="J2065" i="7"/>
  <c r="I2065" i="7"/>
  <c r="J2082" i="7"/>
  <c r="I2082" i="7"/>
  <c r="J2092" i="7"/>
  <c r="I2092" i="7"/>
  <c r="J2097" i="7"/>
  <c r="I2097" i="7"/>
  <c r="J2110" i="7"/>
  <c r="I2110" i="7"/>
  <c r="I2129" i="7"/>
  <c r="J2129" i="7"/>
  <c r="I2137" i="7"/>
  <c r="J2137" i="7"/>
  <c r="J2145" i="7"/>
  <c r="I2145" i="7"/>
  <c r="I2152" i="7"/>
  <c r="J2152" i="7"/>
  <c r="I2156" i="7"/>
  <c r="J2156" i="7"/>
  <c r="J2162" i="7"/>
  <c r="I2162" i="7"/>
  <c r="I2168" i="7"/>
  <c r="J2168" i="7"/>
  <c r="I2250" i="7"/>
  <c r="J2250" i="7"/>
  <c r="J2254" i="7"/>
  <c r="I2254" i="7"/>
  <c r="I2264" i="7"/>
  <c r="J2264" i="7"/>
  <c r="I2281" i="7"/>
  <c r="J2281" i="7"/>
  <c r="J2289" i="7"/>
  <c r="I2289" i="7"/>
  <c r="J2291" i="7"/>
  <c r="I2291" i="7"/>
  <c r="I2320" i="7"/>
  <c r="J2320" i="7"/>
  <c r="I2388" i="7"/>
  <c r="J2388" i="7"/>
  <c r="J2411" i="7"/>
  <c r="I2411" i="7"/>
  <c r="I2144" i="7"/>
  <c r="J2144" i="7"/>
  <c r="I2312" i="7"/>
  <c r="J2312" i="7"/>
  <c r="I2352" i="7"/>
  <c r="J2352" i="7"/>
  <c r="J2359" i="7"/>
  <c r="I2359" i="7"/>
  <c r="J2366" i="7"/>
  <c r="I2366" i="7"/>
  <c r="I2397" i="7"/>
  <c r="J2397" i="7"/>
  <c r="I2408" i="7"/>
  <c r="J2408" i="7"/>
  <c r="I2421" i="7"/>
  <c r="J2421" i="7"/>
  <c r="I2472" i="7"/>
  <c r="J2472" i="7"/>
  <c r="I2516" i="7"/>
  <c r="J2516" i="7"/>
  <c r="I2524" i="7"/>
  <c r="J2524" i="7"/>
  <c r="I2532" i="7"/>
  <c r="J2532" i="7"/>
  <c r="I2540" i="7"/>
  <c r="J2540" i="7"/>
  <c r="I2548" i="7"/>
  <c r="J2548" i="7"/>
  <c r="I2556" i="7"/>
  <c r="J2556" i="7"/>
  <c r="I2564" i="7"/>
  <c r="J2564" i="7"/>
  <c r="I2572" i="7"/>
  <c r="J2572" i="7"/>
  <c r="I2607" i="7"/>
  <c r="J2607" i="7"/>
  <c r="I2611" i="7"/>
  <c r="J2611" i="7"/>
  <c r="I2651" i="7"/>
  <c r="J2651" i="7"/>
  <c r="I2670" i="7"/>
  <c r="J2670" i="7"/>
  <c r="J2681" i="7"/>
  <c r="I2681" i="7"/>
  <c r="J2685" i="7"/>
  <c r="I2685" i="7"/>
  <c r="J2721" i="7"/>
  <c r="I2721" i="7"/>
  <c r="J2736" i="7"/>
  <c r="I2736" i="7"/>
  <c r="J2765" i="7"/>
  <c r="I2765" i="7"/>
  <c r="J2797" i="7"/>
  <c r="I2797" i="7"/>
  <c r="J2838" i="7"/>
  <c r="I2838" i="7"/>
  <c r="J2847" i="7"/>
  <c r="I2847" i="7"/>
  <c r="J2868" i="7"/>
  <c r="I2868" i="7"/>
  <c r="J2891" i="7"/>
  <c r="I2891" i="7"/>
  <c r="J2923" i="7"/>
  <c r="I2923" i="7"/>
  <c r="I2930" i="7"/>
  <c r="J2930" i="7"/>
  <c r="J3090" i="7"/>
  <c r="I3090" i="7"/>
  <c r="J3509" i="7"/>
  <c r="I3509" i="7"/>
  <c r="I3513" i="7"/>
  <c r="J3513" i="7"/>
  <c r="J2166" i="7"/>
  <c r="I2174" i="7"/>
  <c r="J2201" i="7"/>
  <c r="J2209" i="7"/>
  <c r="J2220" i="7"/>
  <c r="J2228" i="7"/>
  <c r="J2272" i="7"/>
  <c r="J2287" i="7"/>
  <c r="I2287" i="7"/>
  <c r="J2310" i="7"/>
  <c r="I2317" i="7"/>
  <c r="J2324" i="7"/>
  <c r="J2345" i="7"/>
  <c r="J2379" i="7"/>
  <c r="I2386" i="7"/>
  <c r="I2399" i="7"/>
  <c r="J2406" i="7"/>
  <c r="I2423" i="7"/>
  <c r="I2490" i="7"/>
  <c r="I2494" i="7"/>
  <c r="I2496" i="7"/>
  <c r="J2496" i="7"/>
  <c r="I2498" i="7"/>
  <c r="J2512" i="7"/>
  <c r="J2526" i="7"/>
  <c r="I2530" i="7"/>
  <c r="J2530" i="7"/>
  <c r="I2538" i="7"/>
  <c r="J2538" i="7"/>
  <c r="I2546" i="7"/>
  <c r="J2546" i="7"/>
  <c r="I2554" i="7"/>
  <c r="J2554" i="7"/>
  <c r="I2562" i="7"/>
  <c r="J2562" i="7"/>
  <c r="I2570" i="7"/>
  <c r="J2570" i="7"/>
  <c r="I2580" i="7"/>
  <c r="J2580" i="7"/>
  <c r="J2605" i="7"/>
  <c r="I2615" i="7"/>
  <c r="J2615" i="7"/>
  <c r="I2619" i="7"/>
  <c r="J2619" i="7"/>
  <c r="J2629" i="7"/>
  <c r="I2629" i="7"/>
  <c r="I2638" i="7"/>
  <c r="J2638" i="7"/>
  <c r="J2649" i="7"/>
  <c r="I2649" i="7"/>
  <c r="I2657" i="7"/>
  <c r="J2675" i="7"/>
  <c r="I2675" i="7"/>
  <c r="I2698" i="7"/>
  <c r="J2719" i="7"/>
  <c r="I2719" i="7"/>
  <c r="I2734" i="7"/>
  <c r="J2734" i="7"/>
  <c r="J2755" i="7"/>
  <c r="I2755" i="7"/>
  <c r="I2776" i="7"/>
  <c r="J2776" i="7"/>
  <c r="J2787" i="7"/>
  <c r="I2787" i="7"/>
  <c r="I2810" i="7"/>
  <c r="J2832" i="7"/>
  <c r="I2832" i="7"/>
  <c r="J3010" i="7"/>
  <c r="I3010" i="7"/>
  <c r="J3035" i="7"/>
  <c r="I3035" i="7"/>
  <c r="J3042" i="7"/>
  <c r="I3042" i="7"/>
  <c r="J3061" i="7"/>
  <c r="I3061" i="7"/>
  <c r="J3186" i="7"/>
  <c r="I3186" i="7"/>
  <c r="J3209" i="7"/>
  <c r="I3209" i="7"/>
  <c r="I3326" i="7"/>
  <c r="J3326" i="7"/>
  <c r="I3400" i="7"/>
  <c r="J3400" i="7"/>
  <c r="I1911" i="7"/>
  <c r="J1991" i="7"/>
  <c r="J2003" i="7"/>
  <c r="J2015" i="7"/>
  <c r="J2027" i="7"/>
  <c r="J2039" i="7"/>
  <c r="J2051" i="7"/>
  <c r="J2063" i="7"/>
  <c r="J2075" i="7"/>
  <c r="J2087" i="7"/>
  <c r="J2099" i="7"/>
  <c r="J2128" i="7"/>
  <c r="I2147" i="7"/>
  <c r="I2155" i="7"/>
  <c r="I2158" i="7"/>
  <c r="I2187" i="7"/>
  <c r="J2190" i="7"/>
  <c r="I2198" i="7"/>
  <c r="J2225" i="7"/>
  <c r="J2233" i="7"/>
  <c r="J2244" i="7"/>
  <c r="J2252" i="7"/>
  <c r="J2257" i="7"/>
  <c r="I2267" i="7"/>
  <c r="I2277" i="7"/>
  <c r="J2297" i="7"/>
  <c r="I2319" i="7"/>
  <c r="I2354" i="7"/>
  <c r="I2361" i="7"/>
  <c r="J2375" i="7"/>
  <c r="J2390" i="7"/>
  <c r="I2390" i="7"/>
  <c r="I2410" i="7"/>
  <c r="J2427" i="7"/>
  <c r="I2427" i="7"/>
  <c r="I2514" i="7"/>
  <c r="I2518" i="7"/>
  <c r="I2520" i="7"/>
  <c r="J2520" i="7"/>
  <c r="I2522" i="7"/>
  <c r="I2578" i="7"/>
  <c r="J2578" i="7"/>
  <c r="I2588" i="7"/>
  <c r="J2588" i="7"/>
  <c r="J2613" i="7"/>
  <c r="I2623" i="7"/>
  <c r="J2623" i="7"/>
  <c r="I2627" i="7"/>
  <c r="J2627" i="7"/>
  <c r="J2645" i="7"/>
  <c r="I2645" i="7"/>
  <c r="I2647" i="7"/>
  <c r="J2647" i="7"/>
  <c r="I2666" i="7"/>
  <c r="J2679" i="7"/>
  <c r="J2694" i="7"/>
  <c r="I2694" i="7"/>
  <c r="I2730" i="7"/>
  <c r="J2747" i="7"/>
  <c r="I2747" i="7"/>
  <c r="I2808" i="7"/>
  <c r="J2808" i="7"/>
  <c r="J2826" i="7"/>
  <c r="I2826" i="7"/>
  <c r="J2862" i="7"/>
  <c r="I2862" i="7"/>
  <c r="I2879" i="7"/>
  <c r="J2928" i="7"/>
  <c r="I2928" i="7"/>
  <c r="J3008" i="7"/>
  <c r="I3008" i="7"/>
  <c r="I3059" i="7"/>
  <c r="J3059" i="7"/>
  <c r="J3110" i="7"/>
  <c r="I3110" i="7"/>
  <c r="J3205" i="7"/>
  <c r="I3205" i="7"/>
  <c r="J3254" i="7"/>
  <c r="I3254" i="7"/>
  <c r="I2117" i="7"/>
  <c r="I2279" i="7"/>
  <c r="I2328" i="7"/>
  <c r="J2328" i="7"/>
  <c r="J2335" i="7"/>
  <c r="I2335" i="7"/>
  <c r="I2349" i="7"/>
  <c r="J2349" i="7"/>
  <c r="I2379" i="7"/>
  <c r="J2399" i="7"/>
  <c r="I2416" i="7"/>
  <c r="J2431" i="7"/>
  <c r="I2431" i="7"/>
  <c r="J2437" i="7"/>
  <c r="I2437" i="7"/>
  <c r="J2441" i="7"/>
  <c r="I2441" i="7"/>
  <c r="I2445" i="7"/>
  <c r="J2445" i="7"/>
  <c r="J2451" i="7"/>
  <c r="I2451" i="7"/>
  <c r="J2455" i="7"/>
  <c r="I2455" i="7"/>
  <c r="J2461" i="7"/>
  <c r="I2461" i="7"/>
  <c r="I2586" i="7"/>
  <c r="J2586" i="7"/>
  <c r="I2596" i="7"/>
  <c r="J2596" i="7"/>
  <c r="J2621" i="7"/>
  <c r="I2643" i="7"/>
  <c r="J2643" i="7"/>
  <c r="I2664" i="7"/>
  <c r="J2664" i="7"/>
  <c r="J2713" i="7"/>
  <c r="I2713" i="7"/>
  <c r="I2715" i="7"/>
  <c r="J2717" i="7"/>
  <c r="I2717" i="7"/>
  <c r="J2726" i="7"/>
  <c r="I2726" i="7"/>
  <c r="J2745" i="7"/>
  <c r="I2745" i="7"/>
  <c r="J2749" i="7"/>
  <c r="I2749" i="7"/>
  <c r="J2757" i="7"/>
  <c r="I2757" i="7"/>
  <c r="J2774" i="7"/>
  <c r="I2774" i="7"/>
  <c r="J2783" i="7"/>
  <c r="J2789" i="7"/>
  <c r="I2789" i="7"/>
  <c r="I2817" i="7"/>
  <c r="J2869" i="7"/>
  <c r="I2869" i="7"/>
  <c r="J2871" i="7"/>
  <c r="I2871" i="7"/>
  <c r="J2912" i="7"/>
  <c r="I2912" i="7"/>
  <c r="J2914" i="7"/>
  <c r="I2914" i="7"/>
  <c r="J2921" i="7"/>
  <c r="I2921" i="7"/>
  <c r="J2926" i="7"/>
  <c r="I2926" i="7"/>
  <c r="J2986" i="7"/>
  <c r="I2986" i="7"/>
  <c r="J3125" i="7"/>
  <c r="I3125" i="7"/>
  <c r="J3175" i="7"/>
  <c r="I3175" i="7"/>
  <c r="J3221" i="7"/>
  <c r="I3221" i="7"/>
  <c r="J3241" i="7"/>
  <c r="I3241" i="7"/>
  <c r="I2184" i="7"/>
  <c r="J2184" i="7"/>
  <c r="I2304" i="7"/>
  <c r="J2304" i="7"/>
  <c r="J2465" i="7"/>
  <c r="I2465" i="7"/>
  <c r="I2469" i="7"/>
  <c r="J2469" i="7"/>
  <c r="J2475" i="7"/>
  <c r="I2475" i="7"/>
  <c r="J2479" i="7"/>
  <c r="I2479" i="7"/>
  <c r="J2485" i="7"/>
  <c r="I2485" i="7"/>
  <c r="I2594" i="7"/>
  <c r="J2594" i="7"/>
  <c r="I2604" i="7"/>
  <c r="J2604" i="7"/>
  <c r="J2682" i="7"/>
  <c r="I2682" i="7"/>
  <c r="J2688" i="7"/>
  <c r="I2688" i="7"/>
  <c r="J2705" i="7"/>
  <c r="I2705" i="7"/>
  <c r="J2739" i="7"/>
  <c r="I2739" i="7"/>
  <c r="J2762" i="7"/>
  <c r="I2762" i="7"/>
  <c r="I2766" i="7"/>
  <c r="J2766" i="7"/>
  <c r="J2779" i="7"/>
  <c r="I2779" i="7"/>
  <c r="J2794" i="7"/>
  <c r="I2794" i="7"/>
  <c r="J2806" i="7"/>
  <c r="I2806" i="7"/>
  <c r="J2841" i="7"/>
  <c r="I2841" i="7"/>
  <c r="I2882" i="7"/>
  <c r="J2882" i="7"/>
  <c r="J2910" i="7"/>
  <c r="I2910" i="7"/>
  <c r="J2977" i="7"/>
  <c r="I2977" i="7"/>
  <c r="J3017" i="7"/>
  <c r="I3017" i="7"/>
  <c r="J3139" i="7"/>
  <c r="I3139" i="7"/>
  <c r="J3203" i="7"/>
  <c r="J3234" i="7"/>
  <c r="I3234" i="7"/>
  <c r="J3239" i="7"/>
  <c r="I3239" i="7"/>
  <c r="I2111" i="7"/>
  <c r="J2143" i="7"/>
  <c r="I2276" i="7"/>
  <c r="I2351" i="7"/>
  <c r="I2372" i="7"/>
  <c r="J2372" i="7"/>
  <c r="J2383" i="7"/>
  <c r="I2383" i="7"/>
  <c r="J2489" i="7"/>
  <c r="I2489" i="7"/>
  <c r="I2493" i="7"/>
  <c r="J2493" i="7"/>
  <c r="J2499" i="7"/>
  <c r="I2499" i="7"/>
  <c r="J2503" i="7"/>
  <c r="I2503" i="7"/>
  <c r="J2509" i="7"/>
  <c r="I2509" i="7"/>
  <c r="I2602" i="7"/>
  <c r="J2602" i="7"/>
  <c r="I2612" i="7"/>
  <c r="J2612" i="7"/>
  <c r="J2630" i="7"/>
  <c r="I2630" i="7"/>
  <c r="J2662" i="7"/>
  <c r="I2662" i="7"/>
  <c r="J2671" i="7"/>
  <c r="J2699" i="7"/>
  <c r="I2699" i="7"/>
  <c r="J2709" i="7"/>
  <c r="I2709" i="7"/>
  <c r="J2737" i="7"/>
  <c r="I2737" i="7"/>
  <c r="J2741" i="7"/>
  <c r="I2741" i="7"/>
  <c r="J2751" i="7"/>
  <c r="I2751" i="7"/>
  <c r="J2811" i="7"/>
  <c r="I2811" i="7"/>
  <c r="J2820" i="7"/>
  <c r="I2820" i="7"/>
  <c r="J2839" i="7"/>
  <c r="I2839" i="7"/>
  <c r="J2876" i="7"/>
  <c r="I2876" i="7"/>
  <c r="I2899" i="7"/>
  <c r="J2899" i="7"/>
  <c r="J3158" i="7"/>
  <c r="I3158" i="7"/>
  <c r="J3162" i="7"/>
  <c r="I3162" i="7"/>
  <c r="I3171" i="7"/>
  <c r="J3171" i="7"/>
  <c r="I3426" i="7"/>
  <c r="J3426" i="7"/>
  <c r="I1913" i="7"/>
  <c r="I2119" i="7"/>
  <c r="I2127" i="7"/>
  <c r="I2173" i="7"/>
  <c r="I2181" i="7"/>
  <c r="I2186" i="7"/>
  <c r="I2189" i="7"/>
  <c r="J2224" i="7"/>
  <c r="I2232" i="7"/>
  <c r="J2232" i="7"/>
  <c r="I2243" i="7"/>
  <c r="I2251" i="7"/>
  <c r="I2256" i="7"/>
  <c r="J2256" i="7"/>
  <c r="I2266" i="7"/>
  <c r="I2271" i="7"/>
  <c r="J2296" i="7"/>
  <c r="I2306" i="7"/>
  <c r="J2311" i="7"/>
  <c r="I2311" i="7"/>
  <c r="J2316" i="7"/>
  <c r="J2318" i="7"/>
  <c r="I2318" i="7"/>
  <c r="I2323" i="7"/>
  <c r="I2325" i="7"/>
  <c r="J2325" i="7"/>
  <c r="I2332" i="7"/>
  <c r="J2332" i="7"/>
  <c r="J2344" i="7"/>
  <c r="I2385" i="7"/>
  <c r="I2396" i="7"/>
  <c r="J2396" i="7"/>
  <c r="I2405" i="7"/>
  <c r="J2407" i="7"/>
  <c r="I2407" i="7"/>
  <c r="I2420" i="7"/>
  <c r="J2420" i="7"/>
  <c r="J2449" i="7"/>
  <c r="I2467" i="7"/>
  <c r="J2477" i="7"/>
  <c r="I2487" i="7"/>
  <c r="I2507" i="7"/>
  <c r="J2513" i="7"/>
  <c r="I2513" i="7"/>
  <c r="I2517" i="7"/>
  <c r="J2517" i="7"/>
  <c r="J2523" i="7"/>
  <c r="I2523" i="7"/>
  <c r="I2527" i="7"/>
  <c r="J2527" i="7"/>
  <c r="I2598" i="7"/>
  <c r="J2600" i="7"/>
  <c r="I2610" i="7"/>
  <c r="J2610" i="7"/>
  <c r="I2620" i="7"/>
  <c r="J2620" i="7"/>
  <c r="J2641" i="7"/>
  <c r="I2641" i="7"/>
  <c r="I2650" i="7"/>
  <c r="J2650" i="7"/>
  <c r="J2667" i="7"/>
  <c r="I2667" i="7"/>
  <c r="J2701" i="7"/>
  <c r="I2701" i="7"/>
  <c r="J2833" i="7"/>
  <c r="I2833" i="7"/>
  <c r="J2854" i="7"/>
  <c r="J2856" i="7"/>
  <c r="J2897" i="7"/>
  <c r="I2897" i="7"/>
  <c r="J2960" i="7"/>
  <c r="I2960" i="7"/>
  <c r="J2962" i="7"/>
  <c r="I2962" i="7"/>
  <c r="J3002" i="7"/>
  <c r="I3002" i="7"/>
  <c r="J3101" i="7"/>
  <c r="I3101" i="7"/>
  <c r="J3130" i="7"/>
  <c r="I3130" i="7"/>
  <c r="J3137" i="7"/>
  <c r="I3137" i="7"/>
  <c r="J3190" i="7"/>
  <c r="I3190" i="7"/>
  <c r="I3604" i="7"/>
  <c r="J3604" i="7"/>
  <c r="J3664" i="7"/>
  <c r="I3664" i="7"/>
  <c r="I3682" i="7"/>
  <c r="J3682" i="7"/>
  <c r="J3771" i="7"/>
  <c r="I3771" i="7"/>
  <c r="J3776" i="7"/>
  <c r="I3776" i="7"/>
  <c r="J3804" i="7"/>
  <c r="I3804" i="7"/>
  <c r="J3840" i="7"/>
  <c r="I3840" i="7"/>
  <c r="J2111" i="7"/>
  <c r="I2143" i="7"/>
  <c r="I2159" i="7"/>
  <c r="J2191" i="7"/>
  <c r="I2197" i="7"/>
  <c r="I2205" i="7"/>
  <c r="I2213" i="7"/>
  <c r="I2261" i="7"/>
  <c r="J2276" i="7"/>
  <c r="I2301" i="7"/>
  <c r="J2351" i="7"/>
  <c r="I2365" i="7"/>
  <c r="I2376" i="7"/>
  <c r="J2376" i="7"/>
  <c r="I2409" i="7"/>
  <c r="I2531" i="7"/>
  <c r="J2531" i="7"/>
  <c r="I2539" i="7"/>
  <c r="J2539" i="7"/>
  <c r="I2547" i="7"/>
  <c r="J2547" i="7"/>
  <c r="I2555" i="7"/>
  <c r="J2555" i="7"/>
  <c r="I2563" i="7"/>
  <c r="J2563" i="7"/>
  <c r="I2571" i="7"/>
  <c r="J2571" i="7"/>
  <c r="I2618" i="7"/>
  <c r="J2618" i="7"/>
  <c r="I2639" i="7"/>
  <c r="J2639" i="7"/>
  <c r="J2676" i="7"/>
  <c r="I2676" i="7"/>
  <c r="J2714" i="7"/>
  <c r="I2714" i="7"/>
  <c r="I2718" i="7"/>
  <c r="J2758" i="7"/>
  <c r="I2758" i="7"/>
  <c r="J2790" i="7"/>
  <c r="I2790" i="7"/>
  <c r="J2850" i="7"/>
  <c r="I2850" i="7"/>
  <c r="I2863" i="7"/>
  <c r="J2863" i="7"/>
  <c r="J2890" i="7"/>
  <c r="I2890" i="7"/>
  <c r="J2917" i="7"/>
  <c r="I2917" i="7"/>
  <c r="J2936" i="7"/>
  <c r="I2936" i="7"/>
  <c r="I2943" i="7"/>
  <c r="J2943" i="7"/>
  <c r="I3106" i="7"/>
  <c r="J3106" i="7"/>
  <c r="I1997" i="7"/>
  <c r="I2009" i="7"/>
  <c r="I2021" i="7"/>
  <c r="I2033" i="7"/>
  <c r="I2045" i="7"/>
  <c r="I2057" i="7"/>
  <c r="I2069" i="7"/>
  <c r="I2081" i="7"/>
  <c r="I2093" i="7"/>
  <c r="J2108" i="7"/>
  <c r="J2135" i="7"/>
  <c r="J2140" i="7"/>
  <c r="I2167" i="7"/>
  <c r="I2175" i="7"/>
  <c r="I2183" i="7"/>
  <c r="J2215" i="7"/>
  <c r="I2221" i="7"/>
  <c r="J2263" i="7"/>
  <c r="I2263" i="7"/>
  <c r="J2286" i="7"/>
  <c r="I2303" i="7"/>
  <c r="I2327" i="7"/>
  <c r="I2339" i="7"/>
  <c r="I2348" i="7"/>
  <c r="J2353" i="7"/>
  <c r="I2367" i="7"/>
  <c r="I2387" i="7"/>
  <c r="J2389" i="7"/>
  <c r="I2389" i="7"/>
  <c r="I2398" i="7"/>
  <c r="I2400" i="7"/>
  <c r="J2400" i="7"/>
  <c r="I2422" i="7"/>
  <c r="I2424" i="7"/>
  <c r="J2424" i="7"/>
  <c r="J2434" i="7"/>
  <c r="I2434" i="7"/>
  <c r="J2458" i="7"/>
  <c r="I2458" i="7"/>
  <c r="J2497" i="7"/>
  <c r="I2515" i="7"/>
  <c r="J2525" i="7"/>
  <c r="I2535" i="7"/>
  <c r="J2535" i="7"/>
  <c r="I2543" i="7"/>
  <c r="J2543" i="7"/>
  <c r="I2551" i="7"/>
  <c r="J2551" i="7"/>
  <c r="I2559" i="7"/>
  <c r="J2559" i="7"/>
  <c r="I2567" i="7"/>
  <c r="J2567" i="7"/>
  <c r="I2575" i="7"/>
  <c r="J2575" i="7"/>
  <c r="I2579" i="7"/>
  <c r="J2579" i="7"/>
  <c r="J2616" i="7"/>
  <c r="I2626" i="7"/>
  <c r="J2626" i="7"/>
  <c r="J2637" i="7"/>
  <c r="I2637" i="7"/>
  <c r="I2731" i="7"/>
  <c r="J2735" i="7"/>
  <c r="I2750" i="7"/>
  <c r="J2752" i="7"/>
  <c r="I2752" i="7"/>
  <c r="J2771" i="7"/>
  <c r="I2771" i="7"/>
  <c r="J2775" i="7"/>
  <c r="I2775" i="7"/>
  <c r="J2784" i="7"/>
  <c r="I2784" i="7"/>
  <c r="J2827" i="7"/>
  <c r="J2846" i="7"/>
  <c r="I2846" i="7"/>
  <c r="I2848" i="7"/>
  <c r="J2888" i="7"/>
  <c r="I2888" i="7"/>
  <c r="I2958" i="7"/>
  <c r="I2978" i="7"/>
  <c r="J2978" i="7"/>
  <c r="J3053" i="7"/>
  <c r="I3053" i="7"/>
  <c r="J3085" i="7"/>
  <c r="I3085" i="7"/>
  <c r="J3133" i="7"/>
  <c r="I3133" i="7"/>
  <c r="I3154" i="7"/>
  <c r="J3154" i="7"/>
  <c r="I3298" i="7"/>
  <c r="J3298" i="7"/>
  <c r="I3350" i="7"/>
  <c r="J3350" i="7"/>
  <c r="J3412" i="7"/>
  <c r="I3412" i="7"/>
  <c r="I3414" i="7"/>
  <c r="J3414" i="7"/>
  <c r="I3418" i="7"/>
  <c r="J3418" i="7"/>
  <c r="I3530" i="7"/>
  <c r="J3530" i="7"/>
  <c r="J3622" i="7"/>
  <c r="I3622" i="7"/>
  <c r="I3626" i="7"/>
  <c r="J3626" i="7"/>
  <c r="J3635" i="7"/>
  <c r="I3635" i="7"/>
  <c r="I3642" i="7"/>
  <c r="J3642" i="7"/>
  <c r="J1994" i="7"/>
  <c r="J2006" i="7"/>
  <c r="J2018" i="7"/>
  <c r="J2030" i="7"/>
  <c r="J2042" i="7"/>
  <c r="J2054" i="7"/>
  <c r="J2066" i="7"/>
  <c r="J2078" i="7"/>
  <c r="J2090" i="7"/>
  <c r="J2102" i="7"/>
  <c r="I2118" i="7"/>
  <c r="J2126" i="7"/>
  <c r="I2355" i="7"/>
  <c r="I2362" i="7"/>
  <c r="I2404" i="7"/>
  <c r="J2404" i="7"/>
  <c r="J2413" i="7"/>
  <c r="I2413" i="7"/>
  <c r="I2436" i="7"/>
  <c r="J2436" i="7"/>
  <c r="I2444" i="7"/>
  <c r="J2444" i="7"/>
  <c r="I2452" i="7"/>
  <c r="J2452" i="7"/>
  <c r="I2460" i="7"/>
  <c r="J2460" i="7"/>
  <c r="J2462" i="7"/>
  <c r="I2462" i="7"/>
  <c r="I2480" i="7"/>
  <c r="J2480" i="7"/>
  <c r="J2482" i="7"/>
  <c r="I2482" i="7"/>
  <c r="I2583" i="7"/>
  <c r="J2583" i="7"/>
  <c r="I2587" i="7"/>
  <c r="J2587" i="7"/>
  <c r="J2633" i="7"/>
  <c r="I2633" i="7"/>
  <c r="I2635" i="7"/>
  <c r="J2635" i="7"/>
  <c r="J2691" i="7"/>
  <c r="I2691" i="7"/>
  <c r="J2693" i="7"/>
  <c r="I2693" i="7"/>
  <c r="J2733" i="7"/>
  <c r="I2733" i="7"/>
  <c r="J2773" i="7"/>
  <c r="I2773" i="7"/>
  <c r="J2803" i="7"/>
  <c r="I2803" i="7"/>
  <c r="J2807" i="7"/>
  <c r="I2807" i="7"/>
  <c r="J2816" i="7"/>
  <c r="I2816" i="7"/>
  <c r="J2844" i="7"/>
  <c r="I2844" i="7"/>
  <c r="I2934" i="7"/>
  <c r="J2934" i="7"/>
  <c r="J3283" i="7"/>
  <c r="I3283" i="7"/>
  <c r="I2231" i="7"/>
  <c r="I2255" i="7"/>
  <c r="I2300" i="7"/>
  <c r="J2417" i="7"/>
  <c r="I2417" i="7"/>
  <c r="I2468" i="7"/>
  <c r="J2468" i="7"/>
  <c r="I2476" i="7"/>
  <c r="J2476" i="7"/>
  <c r="J2506" i="7"/>
  <c r="I2506" i="7"/>
  <c r="I2591" i="7"/>
  <c r="J2591" i="7"/>
  <c r="I2595" i="7"/>
  <c r="J2595" i="7"/>
  <c r="I2631" i="7"/>
  <c r="J2631" i="7"/>
  <c r="J2642" i="7"/>
  <c r="I2642" i="7"/>
  <c r="J2659" i="7"/>
  <c r="I2659" i="7"/>
  <c r="J2663" i="7"/>
  <c r="I2663" i="7"/>
  <c r="J2672" i="7"/>
  <c r="I2672" i="7"/>
  <c r="J2689" i="7"/>
  <c r="I2689" i="7"/>
  <c r="I2702" i="7"/>
  <c r="J2702" i="7"/>
  <c r="J2704" i="7"/>
  <c r="I2704" i="7"/>
  <c r="J2723" i="7"/>
  <c r="I2723" i="7"/>
  <c r="J2725" i="7"/>
  <c r="I2725" i="7"/>
  <c r="J2742" i="7"/>
  <c r="I2742" i="7"/>
  <c r="J2750" i="7"/>
  <c r="J2763" i="7"/>
  <c r="I2763" i="7"/>
  <c r="I2782" i="7"/>
  <c r="J2782" i="7"/>
  <c r="J2795" i="7"/>
  <c r="I2795" i="7"/>
  <c r="J2805" i="7"/>
  <c r="I2805" i="7"/>
  <c r="J2825" i="7"/>
  <c r="I2825" i="7"/>
  <c r="I2827" i="7"/>
  <c r="J2829" i="7"/>
  <c r="I2829" i="7"/>
  <c r="I2831" i="7"/>
  <c r="I2886" i="7"/>
  <c r="J2886" i="7"/>
  <c r="J2927" i="7"/>
  <c r="J3614" i="7"/>
  <c r="I3614" i="7"/>
  <c r="I3616" i="7"/>
  <c r="J3616" i="7"/>
  <c r="I3618" i="7"/>
  <c r="J3618" i="7"/>
  <c r="I2280" i="7"/>
  <c r="J2280" i="7"/>
  <c r="I2373" i="7"/>
  <c r="J2373" i="7"/>
  <c r="I2448" i="7"/>
  <c r="J2448" i="7"/>
  <c r="I2492" i="7"/>
  <c r="J2492" i="7"/>
  <c r="I2500" i="7"/>
  <c r="J2500" i="7"/>
  <c r="I2508" i="7"/>
  <c r="J2508" i="7"/>
  <c r="J2510" i="7"/>
  <c r="I2510" i="7"/>
  <c r="I2599" i="7"/>
  <c r="J2599" i="7"/>
  <c r="I2603" i="7"/>
  <c r="J2603" i="7"/>
  <c r="J2653" i="7"/>
  <c r="I2653" i="7"/>
  <c r="J2661" i="7"/>
  <c r="I2661" i="7"/>
  <c r="J2761" i="7"/>
  <c r="I2761" i="7"/>
  <c r="J2793" i="7"/>
  <c r="I2793" i="7"/>
  <c r="I2814" i="7"/>
  <c r="J2814" i="7"/>
  <c r="J2819" i="7"/>
  <c r="I2819" i="7"/>
  <c r="J2821" i="7"/>
  <c r="I2821" i="7"/>
  <c r="J3047" i="7"/>
  <c r="I3047" i="7"/>
  <c r="J3065" i="7"/>
  <c r="I3065" i="7"/>
  <c r="I3107" i="7"/>
  <c r="J3107" i="7"/>
  <c r="J3225" i="7"/>
  <c r="I3225" i="7"/>
  <c r="J3279" i="7"/>
  <c r="I3279" i="7"/>
  <c r="I3334" i="7"/>
  <c r="J3334" i="7"/>
  <c r="I3342" i="7"/>
  <c r="J3342" i="7"/>
  <c r="I3560" i="7"/>
  <c r="J3560" i="7"/>
  <c r="I3562" i="7"/>
  <c r="J3562" i="7"/>
  <c r="J2678" i="7"/>
  <c r="I2678" i="7"/>
  <c r="J2822" i="7"/>
  <c r="I2822" i="7"/>
  <c r="I2824" i="7"/>
  <c r="J2857" i="7"/>
  <c r="I2857" i="7"/>
  <c r="J2880" i="7"/>
  <c r="I2880" i="7"/>
  <c r="J2885" i="7"/>
  <c r="I2885" i="7"/>
  <c r="J2889" i="7"/>
  <c r="I2889" i="7"/>
  <c r="J2915" i="7"/>
  <c r="I2915" i="7"/>
  <c r="J2924" i="7"/>
  <c r="J2957" i="7"/>
  <c r="I2957" i="7"/>
  <c r="J2961" i="7"/>
  <c r="I2961" i="7"/>
  <c r="J3018" i="7"/>
  <c r="I3018" i="7"/>
  <c r="J3020" i="7"/>
  <c r="I3020" i="7"/>
  <c r="J3086" i="7"/>
  <c r="I3086" i="7"/>
  <c r="J3131" i="7"/>
  <c r="I3131" i="7"/>
  <c r="J3143" i="7"/>
  <c r="I3143" i="7"/>
  <c r="J3183" i="7"/>
  <c r="I3183" i="7"/>
  <c r="I3250" i="7"/>
  <c r="J3250" i="7"/>
  <c r="I3312" i="7"/>
  <c r="J3312" i="7"/>
  <c r="J3440" i="7"/>
  <c r="I3440" i="7"/>
  <c r="I3442" i="7"/>
  <c r="J3442" i="7"/>
  <c r="J2628" i="7"/>
  <c r="J2640" i="7"/>
  <c r="J2652" i="7"/>
  <c r="J2697" i="7"/>
  <c r="I2697" i="7"/>
  <c r="I2706" i="7"/>
  <c r="I2798" i="7"/>
  <c r="J2849" i="7"/>
  <c r="I2849" i="7"/>
  <c r="J2853" i="7"/>
  <c r="I2853" i="7"/>
  <c r="J2855" i="7"/>
  <c r="I2855" i="7"/>
  <c r="J2866" i="7"/>
  <c r="I2866" i="7"/>
  <c r="J2981" i="7"/>
  <c r="I2981" i="7"/>
  <c r="J2998" i="7"/>
  <c r="I2998" i="7"/>
  <c r="J3016" i="7"/>
  <c r="I3016" i="7"/>
  <c r="J3041" i="7"/>
  <c r="I3041" i="7"/>
  <c r="J3057" i="7"/>
  <c r="I3057" i="7"/>
  <c r="J3077" i="7"/>
  <c r="I3077" i="7"/>
  <c r="J3105" i="7"/>
  <c r="I3105" i="7"/>
  <c r="I3116" i="7"/>
  <c r="J3116" i="7"/>
  <c r="I3179" i="7"/>
  <c r="J3181" i="7"/>
  <c r="I3181" i="7"/>
  <c r="I3188" i="7"/>
  <c r="J3188" i="7"/>
  <c r="I3310" i="7"/>
  <c r="J3310" i="7"/>
  <c r="J3343" i="7"/>
  <c r="I3343" i="7"/>
  <c r="I3366" i="7"/>
  <c r="J3366" i="7"/>
  <c r="I3382" i="7"/>
  <c r="J3382" i="7"/>
  <c r="I3492" i="7"/>
  <c r="J3492" i="7"/>
  <c r="I3496" i="7"/>
  <c r="J3496" i="7"/>
  <c r="J3529" i="7"/>
  <c r="I3529" i="7"/>
  <c r="I3537" i="7"/>
  <c r="J3537" i="7"/>
  <c r="I3539" i="7"/>
  <c r="J3539" i="7"/>
  <c r="I3555" i="7"/>
  <c r="J3555" i="7"/>
  <c r="J2656" i="7"/>
  <c r="I2656" i="7"/>
  <c r="J2669" i="7"/>
  <c r="I2669" i="7"/>
  <c r="I2686" i="7"/>
  <c r="J2710" i="7"/>
  <c r="I2710" i="7"/>
  <c r="I2712" i="7"/>
  <c r="J2753" i="7"/>
  <c r="J2768" i="7"/>
  <c r="I2768" i="7"/>
  <c r="J2781" i="7"/>
  <c r="I2781" i="7"/>
  <c r="J2785" i="7"/>
  <c r="J2800" i="7"/>
  <c r="I2800" i="7"/>
  <c r="J2813" i="7"/>
  <c r="I2813" i="7"/>
  <c r="I2830" i="7"/>
  <c r="J2968" i="7"/>
  <c r="I2968" i="7"/>
  <c r="J2970" i="7"/>
  <c r="I2970" i="7"/>
  <c r="I2974" i="7"/>
  <c r="J2974" i="7"/>
  <c r="I2983" i="7"/>
  <c r="J2985" i="7"/>
  <c r="I2985" i="7"/>
  <c r="J2994" i="7"/>
  <c r="I2994" i="7"/>
  <c r="J3021" i="7"/>
  <c r="I3021" i="7"/>
  <c r="J3025" i="7"/>
  <c r="I3025" i="7"/>
  <c r="I3039" i="7"/>
  <c r="J3138" i="7"/>
  <c r="I3138" i="7"/>
  <c r="J3141" i="7"/>
  <c r="I3141" i="7"/>
  <c r="I3148" i="7"/>
  <c r="J3148" i="7"/>
  <c r="J3191" i="7"/>
  <c r="I3191" i="7"/>
  <c r="J3235" i="7"/>
  <c r="I3235" i="7"/>
  <c r="I3282" i="7"/>
  <c r="J3282" i="7"/>
  <c r="J3295" i="7"/>
  <c r="I3295" i="7"/>
  <c r="I3362" i="7"/>
  <c r="J3362" i="7"/>
  <c r="I3370" i="7"/>
  <c r="J3370" i="7"/>
  <c r="I3434" i="7"/>
  <c r="J3434" i="7"/>
  <c r="J3451" i="7"/>
  <c r="I3451" i="7"/>
  <c r="I3482" i="7"/>
  <c r="J3482" i="7"/>
  <c r="I3488" i="7"/>
  <c r="J3488" i="7"/>
  <c r="J3490" i="7"/>
  <c r="I3490" i="7"/>
  <c r="J2729" i="7"/>
  <c r="I2729" i="7"/>
  <c r="J2883" i="7"/>
  <c r="I2883" i="7"/>
  <c r="I2903" i="7"/>
  <c r="J2903" i="7"/>
  <c r="J2929" i="7"/>
  <c r="I2929" i="7"/>
  <c r="J2938" i="7"/>
  <c r="I2938" i="7"/>
  <c r="I2990" i="7"/>
  <c r="J2990" i="7"/>
  <c r="J2992" i="7"/>
  <c r="J3037" i="7"/>
  <c r="I3037" i="7"/>
  <c r="J3062" i="7"/>
  <c r="I3062" i="7"/>
  <c r="J3082" i="7"/>
  <c r="I3082" i="7"/>
  <c r="J3118" i="7"/>
  <c r="J3146" i="7"/>
  <c r="I3146" i="7"/>
  <c r="I3220" i="7"/>
  <c r="J3220" i="7"/>
  <c r="J3231" i="7"/>
  <c r="I3231" i="7"/>
  <c r="J3337" i="7"/>
  <c r="I3337" i="7"/>
  <c r="I3352" i="7"/>
  <c r="J3352" i="7"/>
  <c r="I3358" i="7"/>
  <c r="J3358" i="7"/>
  <c r="J3424" i="7"/>
  <c r="I3424" i="7"/>
  <c r="J3486" i="7"/>
  <c r="I3486" i="7"/>
  <c r="J3876" i="7"/>
  <c r="I3876" i="7"/>
  <c r="J4056" i="7"/>
  <c r="I4056" i="7"/>
  <c r="I4338" i="7"/>
  <c r="J4338" i="7"/>
  <c r="I4358" i="7"/>
  <c r="J4358" i="7"/>
  <c r="I4437" i="7"/>
  <c r="J4437" i="7"/>
  <c r="J2529" i="7"/>
  <c r="J2537" i="7"/>
  <c r="J2545" i="7"/>
  <c r="J2553" i="7"/>
  <c r="J2561" i="7"/>
  <c r="J2569" i="7"/>
  <c r="J2577" i="7"/>
  <c r="J2585" i="7"/>
  <c r="J2593" i="7"/>
  <c r="J2601" i="7"/>
  <c r="J2609" i="7"/>
  <c r="J2617" i="7"/>
  <c r="J2625" i="7"/>
  <c r="I2658" i="7"/>
  <c r="J2686" i="7"/>
  <c r="J2712" i="7"/>
  <c r="I2744" i="7"/>
  <c r="I2753" i="7"/>
  <c r="I2770" i="7"/>
  <c r="I2785" i="7"/>
  <c r="I2802" i="7"/>
  <c r="J2830" i="7"/>
  <c r="I2851" i="7"/>
  <c r="J2901" i="7"/>
  <c r="I2901" i="7"/>
  <c r="I2918" i="7"/>
  <c r="J2918" i="7"/>
  <c r="I2920" i="7"/>
  <c r="J2925" i="7"/>
  <c r="I2925" i="7"/>
  <c r="I2931" i="7"/>
  <c r="J2983" i="7"/>
  <c r="J3019" i="7"/>
  <c r="I3019" i="7"/>
  <c r="J3039" i="7"/>
  <c r="J3049" i="7"/>
  <c r="I3049" i="7"/>
  <c r="J3071" i="7"/>
  <c r="J3075" i="7"/>
  <c r="I3080" i="7"/>
  <c r="J3080" i="7"/>
  <c r="J3134" i="7"/>
  <c r="I3134" i="7"/>
  <c r="J3229" i="7"/>
  <c r="I3229" i="7"/>
  <c r="I3278" i="7"/>
  <c r="J3278" i="7"/>
  <c r="J3293" i="7"/>
  <c r="I3293" i="7"/>
  <c r="I3422" i="7"/>
  <c r="J3422" i="7"/>
  <c r="J3443" i="7"/>
  <c r="I3443" i="7"/>
  <c r="J3455" i="7"/>
  <c r="I3455" i="7"/>
  <c r="J3461" i="7"/>
  <c r="I3461" i="7"/>
  <c r="J2892" i="7"/>
  <c r="I2892" i="7"/>
  <c r="I2932" i="7"/>
  <c r="J2932" i="7"/>
  <c r="J2997" i="7"/>
  <c r="I2997" i="7"/>
  <c r="J3006" i="7"/>
  <c r="I3006" i="7"/>
  <c r="I3040" i="7"/>
  <c r="J3040" i="7"/>
  <c r="J3067" i="7"/>
  <c r="I3067" i="7"/>
  <c r="I3076" i="7"/>
  <c r="J3076" i="7"/>
  <c r="J3078" i="7"/>
  <c r="I3078" i="7"/>
  <c r="I3092" i="7"/>
  <c r="J3092" i="7"/>
  <c r="J3149" i="7"/>
  <c r="I3149" i="7"/>
  <c r="I3270" i="7"/>
  <c r="J3270" i="7"/>
  <c r="I3410" i="7"/>
  <c r="J3410" i="7"/>
  <c r="I3600" i="7"/>
  <c r="J3600" i="7"/>
  <c r="I3602" i="7"/>
  <c r="J3602" i="7"/>
  <c r="I3689" i="7"/>
  <c r="J3689" i="7"/>
  <c r="J3774" i="7"/>
  <c r="I3774" i="7"/>
  <c r="J3812" i="7"/>
  <c r="I3812" i="7"/>
  <c r="I3825" i="7"/>
  <c r="J3825" i="7"/>
  <c r="I3893" i="7"/>
  <c r="J3893" i="7"/>
  <c r="J3917" i="7"/>
  <c r="I3917" i="7"/>
  <c r="J2636" i="7"/>
  <c r="J2648" i="7"/>
  <c r="J2696" i="7"/>
  <c r="I2728" i="7"/>
  <c r="J2865" i="7"/>
  <c r="I2865" i="7"/>
  <c r="J2884" i="7"/>
  <c r="J2893" i="7"/>
  <c r="I2893" i="7"/>
  <c r="I2906" i="7"/>
  <c r="J2965" i="7"/>
  <c r="I2965" i="7"/>
  <c r="I2971" i="7"/>
  <c r="J2973" i="7"/>
  <c r="I2973" i="7"/>
  <c r="J3013" i="7"/>
  <c r="I3013" i="7"/>
  <c r="J3015" i="7"/>
  <c r="I3015" i="7"/>
  <c r="J3029" i="7"/>
  <c r="I3029" i="7"/>
  <c r="I3038" i="7"/>
  <c r="J3038" i="7"/>
  <c r="J3074" i="7"/>
  <c r="I3074" i="7"/>
  <c r="J3109" i="7"/>
  <c r="I3109" i="7"/>
  <c r="J3113" i="7"/>
  <c r="I3113" i="7"/>
  <c r="J3115" i="7"/>
  <c r="I3115" i="7"/>
  <c r="J3165" i="7"/>
  <c r="I3165" i="7"/>
  <c r="J3201" i="7"/>
  <c r="I3201" i="7"/>
  <c r="J3214" i="7"/>
  <c r="J3264" i="7"/>
  <c r="I3266" i="7"/>
  <c r="J3266" i="7"/>
  <c r="I3328" i="7"/>
  <c r="J3328" i="7"/>
  <c r="J3377" i="7"/>
  <c r="I3377" i="7"/>
  <c r="J3542" i="7"/>
  <c r="I3542" i="7"/>
  <c r="I3544" i="7"/>
  <c r="J3544" i="7"/>
  <c r="J2665" i="7"/>
  <c r="I2665" i="7"/>
  <c r="I2760" i="7"/>
  <c r="J2777" i="7"/>
  <c r="I2777" i="7"/>
  <c r="I2792" i="7"/>
  <c r="J2809" i="7"/>
  <c r="I2809" i="7"/>
  <c r="I2818" i="7"/>
  <c r="J2837" i="7"/>
  <c r="I2837" i="7"/>
  <c r="I2859" i="7"/>
  <c r="J2861" i="7"/>
  <c r="I2861" i="7"/>
  <c r="J2909" i="7"/>
  <c r="I2909" i="7"/>
  <c r="J2913" i="7"/>
  <c r="I2913" i="7"/>
  <c r="J2950" i="7"/>
  <c r="I2950" i="7"/>
  <c r="I2954" i="7"/>
  <c r="J2963" i="7"/>
  <c r="I2963" i="7"/>
  <c r="J3054" i="7"/>
  <c r="I3068" i="7"/>
  <c r="J3068" i="7"/>
  <c r="I3070" i="7"/>
  <c r="J3070" i="7"/>
  <c r="J3093" i="7"/>
  <c r="I3093" i="7"/>
  <c r="J3197" i="7"/>
  <c r="I3197" i="7"/>
  <c r="J3206" i="7"/>
  <c r="I3206" i="7"/>
  <c r="J3258" i="7"/>
  <c r="I3258" i="7"/>
  <c r="I3322" i="7"/>
  <c r="J3322" i="7"/>
  <c r="J3546" i="7"/>
  <c r="I3568" i="7"/>
  <c r="J3568" i="7"/>
  <c r="I3585" i="7"/>
  <c r="J3585" i="7"/>
  <c r="J2881" i="7"/>
  <c r="I2881" i="7"/>
  <c r="I2907" i="7"/>
  <c r="J2933" i="7"/>
  <c r="I2933" i="7"/>
  <c r="J2949" i="7"/>
  <c r="I2949" i="7"/>
  <c r="I2955" i="7"/>
  <c r="I2976" i="7"/>
  <c r="J2989" i="7"/>
  <c r="I2989" i="7"/>
  <c r="J2993" i="7"/>
  <c r="I2993" i="7"/>
  <c r="J3001" i="7"/>
  <c r="I3001" i="7"/>
  <c r="J3005" i="7"/>
  <c r="I3005" i="7"/>
  <c r="J3022" i="7"/>
  <c r="J3026" i="7"/>
  <c r="J3043" i="7"/>
  <c r="I3043" i="7"/>
  <c r="J3058" i="7"/>
  <c r="I3066" i="7"/>
  <c r="J3069" i="7"/>
  <c r="I3069" i="7"/>
  <c r="J3083" i="7"/>
  <c r="J3094" i="7"/>
  <c r="J3102" i="7"/>
  <c r="J3121" i="7"/>
  <c r="I3121" i="7"/>
  <c r="J3153" i="7"/>
  <c r="I3153" i="7"/>
  <c r="J3159" i="7"/>
  <c r="I3172" i="7"/>
  <c r="J3172" i="7"/>
  <c r="J3202" i="7"/>
  <c r="J3219" i="7"/>
  <c r="J3246" i="7"/>
  <c r="J3253" i="7"/>
  <c r="I3253" i="7"/>
  <c r="J3257" i="7"/>
  <c r="I3257" i="7"/>
  <c r="J3267" i="7"/>
  <c r="I3286" i="7"/>
  <c r="J3286" i="7"/>
  <c r="J3319" i="7"/>
  <c r="I3319" i="7"/>
  <c r="J3359" i="7"/>
  <c r="I3359" i="7"/>
  <c r="J3411" i="7"/>
  <c r="I3411" i="7"/>
  <c r="J3425" i="7"/>
  <c r="I3425" i="7"/>
  <c r="I3450" i="7"/>
  <c r="J3450" i="7"/>
  <c r="J3481" i="7"/>
  <c r="I3481" i="7"/>
  <c r="I3489" i="7"/>
  <c r="J3489" i="7"/>
  <c r="J3578" i="7"/>
  <c r="I3634" i="7"/>
  <c r="J3634" i="7"/>
  <c r="J3699" i="7"/>
  <c r="I3699" i="7"/>
  <c r="J3780" i="7"/>
  <c r="I3780" i="7"/>
  <c r="J3808" i="7"/>
  <c r="I3808" i="7"/>
  <c r="J3816" i="7"/>
  <c r="I3816" i="7"/>
  <c r="J3226" i="7"/>
  <c r="I3226" i="7"/>
  <c r="J3230" i="7"/>
  <c r="I3230" i="7"/>
  <c r="I3290" i="7"/>
  <c r="J3290" i="7"/>
  <c r="I3294" i="7"/>
  <c r="J3294" i="7"/>
  <c r="J3339" i="7"/>
  <c r="I3339" i="7"/>
  <c r="J3361" i="7"/>
  <c r="I3361" i="7"/>
  <c r="J3407" i="7"/>
  <c r="I3407" i="7"/>
  <c r="J3417" i="7"/>
  <c r="I3417" i="7"/>
  <c r="J3444" i="7"/>
  <c r="I3444" i="7"/>
  <c r="J3448" i="7"/>
  <c r="I3448" i="7"/>
  <c r="J3456" i="7"/>
  <c r="I3456" i="7"/>
  <c r="I3556" i="7"/>
  <c r="J3556" i="7"/>
  <c r="I3619" i="7"/>
  <c r="J3619" i="7"/>
  <c r="J3697" i="7"/>
  <c r="I3697" i="7"/>
  <c r="J3754" i="7"/>
  <c r="I3754" i="7"/>
  <c r="J3757" i="7"/>
  <c r="I3757" i="7"/>
  <c r="I2935" i="7"/>
  <c r="J2937" i="7"/>
  <c r="I2937" i="7"/>
  <c r="J2967" i="7"/>
  <c r="I2967" i="7"/>
  <c r="J2969" i="7"/>
  <c r="I2969" i="7"/>
  <c r="J3009" i="7"/>
  <c r="I3009" i="7"/>
  <c r="J3073" i="7"/>
  <c r="I3073" i="7"/>
  <c r="J3145" i="7"/>
  <c r="I3145" i="7"/>
  <c r="J3185" i="7"/>
  <c r="I3185" i="7"/>
  <c r="J3187" i="7"/>
  <c r="I3187" i="7"/>
  <c r="J3211" i="7"/>
  <c r="I3211" i="7"/>
  <c r="I3224" i="7"/>
  <c r="J3224" i="7"/>
  <c r="J3249" i="7"/>
  <c r="I3249" i="7"/>
  <c r="I3274" i="7"/>
  <c r="J3274" i="7"/>
  <c r="J3307" i="7"/>
  <c r="I3307" i="7"/>
  <c r="J3317" i="7"/>
  <c r="I3317" i="7"/>
  <c r="J3329" i="7"/>
  <c r="I3329" i="7"/>
  <c r="J3387" i="7"/>
  <c r="I3387" i="7"/>
  <c r="J3409" i="7"/>
  <c r="I3409" i="7"/>
  <c r="J3550" i="7"/>
  <c r="I3550" i="7"/>
  <c r="I3554" i="7"/>
  <c r="J3554" i="7"/>
  <c r="I3571" i="7"/>
  <c r="J3571" i="7"/>
  <c r="I3592" i="7"/>
  <c r="J3592" i="7"/>
  <c r="I3636" i="7"/>
  <c r="J3726" i="7"/>
  <c r="I3726" i="7"/>
  <c r="J3736" i="7"/>
  <c r="I3736" i="7"/>
  <c r="J4260" i="7"/>
  <c r="I4260" i="7"/>
  <c r="I4295" i="7"/>
  <c r="J4295" i="7"/>
  <c r="J4374" i="7"/>
  <c r="I4374" i="7"/>
  <c r="I4381" i="7"/>
  <c r="J4381" i="7"/>
  <c r="I4475" i="7"/>
  <c r="J4475" i="7"/>
  <c r="I4477" i="7"/>
  <c r="J4477" i="7"/>
  <c r="I4683" i="7"/>
  <c r="J4683" i="7"/>
  <c r="I4981" i="7"/>
  <c r="J4981" i="7"/>
  <c r="I2902" i="7"/>
  <c r="J2935" i="7"/>
  <c r="I3031" i="7"/>
  <c r="J3033" i="7"/>
  <c r="I3033" i="7"/>
  <c r="I3044" i="7"/>
  <c r="J3044" i="7"/>
  <c r="J3063" i="7"/>
  <c r="J3097" i="7"/>
  <c r="I3097" i="7"/>
  <c r="I3128" i="7"/>
  <c r="J3128" i="7"/>
  <c r="J3166" i="7"/>
  <c r="J3177" i="7"/>
  <c r="I3177" i="7"/>
  <c r="I3262" i="7"/>
  <c r="J3262" i="7"/>
  <c r="J3305" i="7"/>
  <c r="I3305" i="7"/>
  <c r="J3379" i="7"/>
  <c r="J3385" i="7"/>
  <c r="I3385" i="7"/>
  <c r="J3391" i="7"/>
  <c r="I3391" i="7"/>
  <c r="J3428" i="7"/>
  <c r="I3428" i="7"/>
  <c r="I3468" i="7"/>
  <c r="J3468" i="7"/>
  <c r="I3472" i="7"/>
  <c r="J3472" i="7"/>
  <c r="I3474" i="7"/>
  <c r="J3474" i="7"/>
  <c r="I3523" i="7"/>
  <c r="J3523" i="7"/>
  <c r="J3577" i="7"/>
  <c r="I3577" i="7"/>
  <c r="J3648" i="7"/>
  <c r="I3648" i="7"/>
  <c r="J3993" i="7"/>
  <c r="I3993" i="7"/>
  <c r="J4026" i="7"/>
  <c r="I4026" i="7"/>
  <c r="I4101" i="7"/>
  <c r="J4101" i="7"/>
  <c r="J4550" i="7"/>
  <c r="I4550" i="7"/>
  <c r="J3946" i="7"/>
  <c r="I3946" i="7"/>
  <c r="J3956" i="7"/>
  <c r="I3956" i="7"/>
  <c r="J3975" i="7"/>
  <c r="I3975" i="7"/>
  <c r="I3989" i="7"/>
  <c r="J3989" i="7"/>
  <c r="J4083" i="7"/>
  <c r="I4083" i="7"/>
  <c r="J4090" i="7"/>
  <c r="I4090" i="7"/>
  <c r="J2940" i="7"/>
  <c r="J3045" i="7"/>
  <c r="I3045" i="7"/>
  <c r="J3135" i="7"/>
  <c r="I3135" i="7"/>
  <c r="J3167" i="7"/>
  <c r="I3167" i="7"/>
  <c r="J3169" i="7"/>
  <c r="I3169" i="7"/>
  <c r="J3193" i="7"/>
  <c r="I3193" i="7"/>
  <c r="I3314" i="7"/>
  <c r="J3314" i="7"/>
  <c r="I3318" i="7"/>
  <c r="J3318" i="7"/>
  <c r="I3332" i="7"/>
  <c r="J3332" i="7"/>
  <c r="I3346" i="7"/>
  <c r="J3346" i="7"/>
  <c r="I3354" i="7"/>
  <c r="J3354" i="7"/>
  <c r="I3376" i="7"/>
  <c r="J3376" i="7"/>
  <c r="I3406" i="7"/>
  <c r="J3406" i="7"/>
  <c r="J3463" i="7"/>
  <c r="I3463" i="7"/>
  <c r="I3465" i="7"/>
  <c r="J3465" i="7"/>
  <c r="J3574" i="7"/>
  <c r="I3574" i="7"/>
  <c r="I3595" i="7"/>
  <c r="J3595" i="7"/>
  <c r="J3633" i="7"/>
  <c r="I3633" i="7"/>
  <c r="J3651" i="7"/>
  <c r="I3651" i="7"/>
  <c r="J3653" i="7"/>
  <c r="I3653" i="7"/>
  <c r="I3658" i="7"/>
  <c r="J3658" i="7"/>
  <c r="J3662" i="7"/>
  <c r="I3662" i="7"/>
  <c r="I3717" i="7"/>
  <c r="J3717" i="7"/>
  <c r="J3802" i="7"/>
  <c r="I3802" i="7"/>
  <c r="J3820" i="7"/>
  <c r="I3820" i="7"/>
  <c r="J3828" i="7"/>
  <c r="I3828" i="7"/>
  <c r="J3861" i="7"/>
  <c r="J3864" i="7"/>
  <c r="I3864" i="7"/>
  <c r="I2852" i="7"/>
  <c r="I2864" i="7"/>
  <c r="J2877" i="7"/>
  <c r="I2877" i="7"/>
  <c r="I3028" i="7"/>
  <c r="J3032" i="7"/>
  <c r="J3089" i="7"/>
  <c r="I3089" i="7"/>
  <c r="J3091" i="7"/>
  <c r="I3091" i="7"/>
  <c r="J3129" i="7"/>
  <c r="I3129" i="7"/>
  <c r="J3271" i="7"/>
  <c r="I3271" i="7"/>
  <c r="J3281" i="7"/>
  <c r="I3281" i="7"/>
  <c r="I3338" i="7"/>
  <c r="J3338" i="7"/>
  <c r="I3344" i="7"/>
  <c r="J3344" i="7"/>
  <c r="I3380" i="7"/>
  <c r="J3380" i="7"/>
  <c r="I3394" i="7"/>
  <c r="J3394" i="7"/>
  <c r="I3402" i="7"/>
  <c r="J3402" i="7"/>
  <c r="J3441" i="7"/>
  <c r="I3441" i="7"/>
  <c r="I3508" i="7"/>
  <c r="J3508" i="7"/>
  <c r="I3547" i="7"/>
  <c r="J3547" i="7"/>
  <c r="J3649" i="7"/>
  <c r="I3649" i="7"/>
  <c r="J3667" i="7"/>
  <c r="I3667" i="7"/>
  <c r="J3748" i="7"/>
  <c r="I3748" i="7"/>
  <c r="J3756" i="7"/>
  <c r="I3756" i="7"/>
  <c r="J3764" i="7"/>
  <c r="I3764" i="7"/>
  <c r="J4298" i="7"/>
  <c r="I4298" i="7"/>
  <c r="J4373" i="7"/>
  <c r="I4373" i="7"/>
  <c r="I4385" i="7"/>
  <c r="J4385" i="7"/>
  <c r="J4508" i="7"/>
  <c r="I4508" i="7"/>
  <c r="J2905" i="7"/>
  <c r="I2905" i="7"/>
  <c r="J3087" i="7"/>
  <c r="I3087" i="7"/>
  <c r="J3117" i="7"/>
  <c r="I3117" i="7"/>
  <c r="J3163" i="7"/>
  <c r="I3163" i="7"/>
  <c r="J3178" i="7"/>
  <c r="I3178" i="7"/>
  <c r="J3182" i="7"/>
  <c r="I3182" i="7"/>
  <c r="J3189" i="7"/>
  <c r="I3189" i="7"/>
  <c r="J3210" i="7"/>
  <c r="I3210" i="7"/>
  <c r="J3213" i="7"/>
  <c r="I3213" i="7"/>
  <c r="J3238" i="7"/>
  <c r="I3238" i="7"/>
  <c r="I3242" i="7"/>
  <c r="J3300" i="7"/>
  <c r="I3302" i="7"/>
  <c r="J3302" i="7"/>
  <c r="I3306" i="7"/>
  <c r="J3306" i="7"/>
  <c r="J3330" i="7"/>
  <c r="I3386" i="7"/>
  <c r="J3386" i="7"/>
  <c r="I3392" i="7"/>
  <c r="J3392" i="7"/>
  <c r="J3398" i="7"/>
  <c r="J3427" i="7"/>
  <c r="I3427" i="7"/>
  <c r="J3510" i="7"/>
  <c r="I3510" i="7"/>
  <c r="I3520" i="7"/>
  <c r="J3520" i="7"/>
  <c r="J3583" i="7"/>
  <c r="I3583" i="7"/>
  <c r="J3601" i="7"/>
  <c r="I3601" i="7"/>
  <c r="I3674" i="7"/>
  <c r="J3674" i="7"/>
  <c r="J3683" i="7"/>
  <c r="I3683" i="7"/>
  <c r="J3735" i="7"/>
  <c r="I3735" i="7"/>
  <c r="J2852" i="7"/>
  <c r="J2864" i="7"/>
  <c r="J2894" i="7"/>
  <c r="J2896" i="7"/>
  <c r="J2941" i="7"/>
  <c r="I2941" i="7"/>
  <c r="J2945" i="7"/>
  <c r="I2945" i="7"/>
  <c r="I2951" i="7"/>
  <c r="J2953" i="7"/>
  <c r="I2953" i="7"/>
  <c r="J3014" i="7"/>
  <c r="J3028" i="7"/>
  <c r="J3030" i="7"/>
  <c r="I3032" i="7"/>
  <c r="J3081" i="7"/>
  <c r="I3081" i="7"/>
  <c r="I3098" i="7"/>
  <c r="J3100" i="7"/>
  <c r="J3119" i="7"/>
  <c r="I3140" i="7"/>
  <c r="J3140" i="7"/>
  <c r="I3155" i="7"/>
  <c r="J3157" i="7"/>
  <c r="I3157" i="7"/>
  <c r="J3161" i="7"/>
  <c r="I3161" i="7"/>
  <c r="I3176" i="7"/>
  <c r="J3176" i="7"/>
  <c r="J3215" i="7"/>
  <c r="I3215" i="7"/>
  <c r="J3217" i="7"/>
  <c r="I3217" i="7"/>
  <c r="I3223" i="7"/>
  <c r="I3236" i="7"/>
  <c r="J3236" i="7"/>
  <c r="J3259" i="7"/>
  <c r="I3259" i="7"/>
  <c r="J3269" i="7"/>
  <c r="I3269" i="7"/>
  <c r="J3363" i="7"/>
  <c r="I3363" i="7"/>
  <c r="J3365" i="7"/>
  <c r="I3365" i="7"/>
  <c r="J3433" i="7"/>
  <c r="I3433" i="7"/>
  <c r="I3528" i="7"/>
  <c r="J3528" i="7"/>
  <c r="I3532" i="7"/>
  <c r="J3532" i="7"/>
  <c r="I3563" i="7"/>
  <c r="J3563" i="7"/>
  <c r="I3609" i="7"/>
  <c r="J3609" i="7"/>
  <c r="I3611" i="7"/>
  <c r="J3611" i="7"/>
  <c r="I3690" i="7"/>
  <c r="J3690" i="7"/>
  <c r="J3694" i="7"/>
  <c r="I3694" i="7"/>
  <c r="J3703" i="7"/>
  <c r="I3703" i="7"/>
  <c r="J3894" i="7"/>
  <c r="I3894" i="7"/>
  <c r="J3902" i="7"/>
  <c r="I3902" i="7"/>
  <c r="J3943" i="7"/>
  <c r="I3943" i="7"/>
  <c r="J4007" i="7"/>
  <c r="I4007" i="7"/>
  <c r="I4038" i="7"/>
  <c r="J4038" i="7"/>
  <c r="I3072" i="7"/>
  <c r="I3120" i="7"/>
  <c r="I3168" i="7"/>
  <c r="I3216" i="7"/>
  <c r="I3324" i="7"/>
  <c r="J3357" i="7"/>
  <c r="I3357" i="7"/>
  <c r="I3372" i="7"/>
  <c r="J3405" i="7"/>
  <c r="I3405" i="7"/>
  <c r="J3449" i="7"/>
  <c r="I3449" i="7"/>
  <c r="J3470" i="7"/>
  <c r="I3470" i="7"/>
  <c r="J3503" i="7"/>
  <c r="J3519" i="7"/>
  <c r="J3582" i="7"/>
  <c r="J3591" i="7"/>
  <c r="J3632" i="7"/>
  <c r="I3632" i="7"/>
  <c r="I3705" i="7"/>
  <c r="J3705" i="7"/>
  <c r="J3720" i="7"/>
  <c r="I3720" i="7"/>
  <c r="J3732" i="7"/>
  <c r="I3732" i="7"/>
  <c r="J3740" i="7"/>
  <c r="I3740" i="7"/>
  <c r="J3869" i="7"/>
  <c r="I3869" i="7"/>
  <c r="J3898" i="7"/>
  <c r="I3898" i="7"/>
  <c r="I4223" i="7"/>
  <c r="J4223" i="7"/>
  <c r="J4232" i="7"/>
  <c r="I4232" i="7"/>
  <c r="J4250" i="7"/>
  <c r="I4250" i="7"/>
  <c r="J4256" i="7"/>
  <c r="I4256" i="7"/>
  <c r="I4263" i="7"/>
  <c r="J4263" i="7"/>
  <c r="J4268" i="7"/>
  <c r="I4268" i="7"/>
  <c r="I4309" i="7"/>
  <c r="J4309" i="7"/>
  <c r="I4571" i="7"/>
  <c r="J4571" i="7"/>
  <c r="J3349" i="7"/>
  <c r="I3349" i="7"/>
  <c r="J3397" i="7"/>
  <c r="I3397" i="7"/>
  <c r="J3421" i="7"/>
  <c r="I3421" i="7"/>
  <c r="J3437" i="7"/>
  <c r="I3437" i="7"/>
  <c r="J3505" i="7"/>
  <c r="I3505" i="7"/>
  <c r="I3512" i="7"/>
  <c r="J3512" i="7"/>
  <c r="J3535" i="7"/>
  <c r="I3535" i="7"/>
  <c r="I3552" i="7"/>
  <c r="J3552" i="7"/>
  <c r="J3566" i="7"/>
  <c r="I3566" i="7"/>
  <c r="I3584" i="7"/>
  <c r="J3584" i="7"/>
  <c r="J3607" i="7"/>
  <c r="I3607" i="7"/>
  <c r="I3624" i="7"/>
  <c r="J3624" i="7"/>
  <c r="J3671" i="7"/>
  <c r="I3671" i="7"/>
  <c r="J3701" i="7"/>
  <c r="I3701" i="7"/>
  <c r="J3708" i="7"/>
  <c r="I3708" i="7"/>
  <c r="J3751" i="7"/>
  <c r="I3751" i="7"/>
  <c r="I3777" i="7"/>
  <c r="J3777" i="7"/>
  <c r="I3841" i="7"/>
  <c r="J3841" i="7"/>
  <c r="J3856" i="7"/>
  <c r="I3856" i="7"/>
  <c r="J3872" i="7"/>
  <c r="I3872" i="7"/>
  <c r="I3925" i="7"/>
  <c r="J3925" i="7"/>
  <c r="J3959" i="7"/>
  <c r="I3959" i="7"/>
  <c r="J4000" i="7"/>
  <c r="I4000" i="7"/>
  <c r="J4004" i="7"/>
  <c r="I4004" i="7"/>
  <c r="J4029" i="7"/>
  <c r="I4029" i="7"/>
  <c r="J4068" i="7"/>
  <c r="I4068" i="7"/>
  <c r="J4124" i="7"/>
  <c r="I4124" i="7"/>
  <c r="J4133" i="7"/>
  <c r="I4133" i="7"/>
  <c r="J4142" i="7"/>
  <c r="I4142" i="7"/>
  <c r="J4158" i="7"/>
  <c r="I4158" i="7"/>
  <c r="J4164" i="7"/>
  <c r="I4164" i="7"/>
  <c r="J4178" i="7"/>
  <c r="I4178" i="7"/>
  <c r="J4192" i="7"/>
  <c r="I4192" i="7"/>
  <c r="J4286" i="7"/>
  <c r="I4286" i="7"/>
  <c r="I4391" i="7"/>
  <c r="J4391" i="7"/>
  <c r="I4415" i="7"/>
  <c r="J4415" i="7"/>
  <c r="I4426" i="7"/>
  <c r="J4426" i="7"/>
  <c r="I4501" i="7"/>
  <c r="J4501" i="7"/>
  <c r="I4516" i="7"/>
  <c r="I4657" i="7"/>
  <c r="J4657" i="7"/>
  <c r="J4699" i="7"/>
  <c r="I4699" i="7"/>
  <c r="I3084" i="7"/>
  <c r="I3132" i="7"/>
  <c r="I3180" i="7"/>
  <c r="I3228" i="7"/>
  <c r="J3261" i="7"/>
  <c r="I3261" i="7"/>
  <c r="I3268" i="7"/>
  <c r="J3273" i="7"/>
  <c r="I3273" i="7"/>
  <c r="I3280" i="7"/>
  <c r="J3285" i="7"/>
  <c r="I3285" i="7"/>
  <c r="I3292" i="7"/>
  <c r="J3297" i="7"/>
  <c r="I3297" i="7"/>
  <c r="I3304" i="7"/>
  <c r="J3309" i="7"/>
  <c r="I3309" i="7"/>
  <c r="I3316" i="7"/>
  <c r="J3321" i="7"/>
  <c r="I3321" i="7"/>
  <c r="I3336" i="7"/>
  <c r="J3369" i="7"/>
  <c r="I3369" i="7"/>
  <c r="I3384" i="7"/>
  <c r="J3478" i="7"/>
  <c r="I3478" i="7"/>
  <c r="J3494" i="7"/>
  <c r="I3494" i="7"/>
  <c r="J3527" i="7"/>
  <c r="J3599" i="7"/>
  <c r="J3630" i="7"/>
  <c r="I3630" i="7"/>
  <c r="J3665" i="7"/>
  <c r="J3680" i="7"/>
  <c r="I3680" i="7"/>
  <c r="J3718" i="7"/>
  <c r="I3718" i="7"/>
  <c r="J3738" i="7"/>
  <c r="I3738" i="7"/>
  <c r="J3772" i="7"/>
  <c r="I3772" i="7"/>
  <c r="J3790" i="7"/>
  <c r="I3790" i="7"/>
  <c r="J3836" i="7"/>
  <c r="I3836" i="7"/>
  <c r="J3888" i="7"/>
  <c r="I3888" i="7"/>
  <c r="J3904" i="7"/>
  <c r="I3904" i="7"/>
  <c r="J3920" i="7"/>
  <c r="I3920" i="7"/>
  <c r="I3965" i="7"/>
  <c r="J3965" i="7"/>
  <c r="J4093" i="7"/>
  <c r="I4093" i="7"/>
  <c r="J4261" i="7"/>
  <c r="I4261" i="7"/>
  <c r="J4321" i="7"/>
  <c r="I4321" i="7"/>
  <c r="J4337" i="7"/>
  <c r="I4337" i="7"/>
  <c r="J4344" i="7"/>
  <c r="I4344" i="7"/>
  <c r="I4363" i="7"/>
  <c r="J4363" i="7"/>
  <c r="J4368" i="7"/>
  <c r="I4368" i="7"/>
  <c r="J4480" i="7"/>
  <c r="I4480" i="7"/>
  <c r="J3064" i="7"/>
  <c r="J3112" i="7"/>
  <c r="J3160" i="7"/>
  <c r="J3208" i="7"/>
  <c r="J3233" i="7"/>
  <c r="I3233" i="7"/>
  <c r="J3256" i="7"/>
  <c r="J3341" i="7"/>
  <c r="I3341" i="7"/>
  <c r="J3364" i="7"/>
  <c r="J3389" i="7"/>
  <c r="I3389" i="7"/>
  <c r="J3416" i="7"/>
  <c r="I3416" i="7"/>
  <c r="J3432" i="7"/>
  <c r="I3432" i="7"/>
  <c r="J3453" i="7"/>
  <c r="I3453" i="7"/>
  <c r="I3480" i="7"/>
  <c r="J3480" i="7"/>
  <c r="I3485" i="7"/>
  <c r="J3487" i="7"/>
  <c r="I3487" i="7"/>
  <c r="J3543" i="7"/>
  <c r="I3561" i="7"/>
  <c r="J3561" i="7"/>
  <c r="J3615" i="7"/>
  <c r="J3639" i="7"/>
  <c r="I3639" i="7"/>
  <c r="J3641" i="7"/>
  <c r="J3652" i="7"/>
  <c r="I3656" i="7"/>
  <c r="J3669" i="7"/>
  <c r="I3669" i="7"/>
  <c r="I3684" i="7"/>
  <c r="J3844" i="7"/>
  <c r="I3844" i="7"/>
  <c r="J3862" i="7"/>
  <c r="I3862" i="7"/>
  <c r="J4075" i="7"/>
  <c r="I4075" i="7"/>
  <c r="I4104" i="7"/>
  <c r="J4156" i="7"/>
  <c r="I4156" i="7"/>
  <c r="J4172" i="7"/>
  <c r="I4172" i="7"/>
  <c r="J4176" i="7"/>
  <c r="I4176" i="7"/>
  <c r="I4431" i="7"/>
  <c r="J4431" i="7"/>
  <c r="I3048" i="7"/>
  <c r="J3056" i="7"/>
  <c r="I3096" i="7"/>
  <c r="J3104" i="7"/>
  <c r="I3144" i="7"/>
  <c r="J3152" i="7"/>
  <c r="I3192" i="7"/>
  <c r="J3200" i="7"/>
  <c r="I3240" i="7"/>
  <c r="J3248" i="7"/>
  <c r="J3333" i="7"/>
  <c r="I3333" i="7"/>
  <c r="I3348" i="7"/>
  <c r="J3356" i="7"/>
  <c r="J3381" i="7"/>
  <c r="I3381" i="7"/>
  <c r="I3396" i="7"/>
  <c r="J3404" i="7"/>
  <c r="J3460" i="7"/>
  <c r="J3498" i="7"/>
  <c r="J3502" i="7"/>
  <c r="I3502" i="7"/>
  <c r="J3516" i="7"/>
  <c r="J3518" i="7"/>
  <c r="I3518" i="7"/>
  <c r="I3534" i="7"/>
  <c r="I3536" i="7"/>
  <c r="J3536" i="7"/>
  <c r="J3545" i="7"/>
  <c r="J3559" i="7"/>
  <c r="I3559" i="7"/>
  <c r="I3576" i="7"/>
  <c r="J3576" i="7"/>
  <c r="I3581" i="7"/>
  <c r="J3588" i="7"/>
  <c r="J3590" i="7"/>
  <c r="I3590" i="7"/>
  <c r="I3606" i="7"/>
  <c r="I3608" i="7"/>
  <c r="J3608" i="7"/>
  <c r="J3617" i="7"/>
  <c r="J3637" i="7"/>
  <c r="I3637" i="7"/>
  <c r="I3652" i="7"/>
  <c r="J3678" i="7"/>
  <c r="I3678" i="7"/>
  <c r="J3709" i="7"/>
  <c r="I3709" i="7"/>
  <c r="J3803" i="7"/>
  <c r="I3803" i="7"/>
  <c r="I3933" i="7"/>
  <c r="J3933" i="7"/>
  <c r="J3945" i="7"/>
  <c r="I3945" i="7"/>
  <c r="J4084" i="7"/>
  <c r="I4084" i="7"/>
  <c r="I4331" i="7"/>
  <c r="J4331" i="7"/>
  <c r="J4342" i="7"/>
  <c r="I4342" i="7"/>
  <c r="J4366" i="7"/>
  <c r="I4366" i="7"/>
  <c r="J4472" i="7"/>
  <c r="I4472" i="7"/>
  <c r="I4497" i="7"/>
  <c r="J4497" i="7"/>
  <c r="I3164" i="7"/>
  <c r="I3212" i="7"/>
  <c r="J3245" i="7"/>
  <c r="I3245" i="7"/>
  <c r="I3260" i="7"/>
  <c r="J3265" i="7"/>
  <c r="I3265" i="7"/>
  <c r="I3272" i="7"/>
  <c r="J3277" i="7"/>
  <c r="I3277" i="7"/>
  <c r="I3284" i="7"/>
  <c r="J3289" i="7"/>
  <c r="I3289" i="7"/>
  <c r="I3296" i="7"/>
  <c r="J3301" i="7"/>
  <c r="I3301" i="7"/>
  <c r="I3308" i="7"/>
  <c r="J3313" i="7"/>
  <c r="I3313" i="7"/>
  <c r="I3320" i="7"/>
  <c r="J3353" i="7"/>
  <c r="I3353" i="7"/>
  <c r="I3368" i="7"/>
  <c r="J3401" i="7"/>
  <c r="I3401" i="7"/>
  <c r="J3420" i="7"/>
  <c r="I3420" i="7"/>
  <c r="J3436" i="7"/>
  <c r="I3436" i="7"/>
  <c r="J3462" i="7"/>
  <c r="I3504" i="7"/>
  <c r="J3504" i="7"/>
  <c r="J3511" i="7"/>
  <c r="I3511" i="7"/>
  <c r="J3551" i="7"/>
  <c r="J3623" i="7"/>
  <c r="J3687" i="7"/>
  <c r="I3687" i="7"/>
  <c r="J3714" i="7"/>
  <c r="I3714" i="7"/>
  <c r="J3752" i="7"/>
  <c r="I3752" i="7"/>
  <c r="J3760" i="7"/>
  <c r="I3760" i="7"/>
  <c r="J3768" i="7"/>
  <c r="I3768" i="7"/>
  <c r="J3773" i="7"/>
  <c r="I3773" i="7"/>
  <c r="J3788" i="7"/>
  <c r="I3788" i="7"/>
  <c r="J3824" i="7"/>
  <c r="I3824" i="7"/>
  <c r="J3832" i="7"/>
  <c r="I3832" i="7"/>
  <c r="J3860" i="7"/>
  <c r="I3860" i="7"/>
  <c r="I3889" i="7"/>
  <c r="J3889" i="7"/>
  <c r="I3941" i="7"/>
  <c r="J3941" i="7"/>
  <c r="I4013" i="7"/>
  <c r="J4013" i="7"/>
  <c r="J4030" i="7"/>
  <c r="I4030" i="7"/>
  <c r="J4049" i="7"/>
  <c r="I4049" i="7"/>
  <c r="J4278" i="7"/>
  <c r="I4278" i="7"/>
  <c r="I4429" i="7"/>
  <c r="J4429" i="7"/>
  <c r="J3048" i="7"/>
  <c r="I3088" i="7"/>
  <c r="J3096" i="7"/>
  <c r="I3136" i="7"/>
  <c r="J3144" i="7"/>
  <c r="I3184" i="7"/>
  <c r="J3192" i="7"/>
  <c r="J3240" i="7"/>
  <c r="J3325" i="7"/>
  <c r="I3325" i="7"/>
  <c r="I3340" i="7"/>
  <c r="J3348" i="7"/>
  <c r="J3373" i="7"/>
  <c r="I3373" i="7"/>
  <c r="J3396" i="7"/>
  <c r="J3413" i="7"/>
  <c r="I3413" i="7"/>
  <c r="J3429" i="7"/>
  <c r="I3429" i="7"/>
  <c r="J3445" i="7"/>
  <c r="I3445" i="7"/>
  <c r="J3457" i="7"/>
  <c r="I3457" i="7"/>
  <c r="I3464" i="7"/>
  <c r="J3464" i="7"/>
  <c r="J3473" i="7"/>
  <c r="J3491" i="7"/>
  <c r="J3567" i="7"/>
  <c r="J3646" i="7"/>
  <c r="I3646" i="7"/>
  <c r="J3696" i="7"/>
  <c r="I3696" i="7"/>
  <c r="J3712" i="7"/>
  <c r="I3712" i="7"/>
  <c r="J3734" i="7"/>
  <c r="I3734" i="7"/>
  <c r="J3796" i="7"/>
  <c r="I3796" i="7"/>
  <c r="J3819" i="7"/>
  <c r="I3819" i="7"/>
  <c r="I3845" i="7"/>
  <c r="J3845" i="7"/>
  <c r="J3908" i="7"/>
  <c r="I3908" i="7"/>
  <c r="J3968" i="7"/>
  <c r="I3968" i="7"/>
  <c r="J4096" i="7"/>
  <c r="I4096" i="7"/>
  <c r="I4301" i="7"/>
  <c r="J4301" i="7"/>
  <c r="J4349" i="7"/>
  <c r="I4349" i="7"/>
  <c r="I3060" i="7"/>
  <c r="I3108" i="7"/>
  <c r="I3156" i="7"/>
  <c r="J3164" i="7"/>
  <c r="I3204" i="7"/>
  <c r="J3212" i="7"/>
  <c r="J3237" i="7"/>
  <c r="I3237" i="7"/>
  <c r="I3252" i="7"/>
  <c r="J3260" i="7"/>
  <c r="J3272" i="7"/>
  <c r="J3284" i="7"/>
  <c r="J3296" i="7"/>
  <c r="J3308" i="7"/>
  <c r="J3320" i="7"/>
  <c r="J3345" i="7"/>
  <c r="I3345" i="7"/>
  <c r="I3360" i="7"/>
  <c r="J3368" i="7"/>
  <c r="J3393" i="7"/>
  <c r="I3393" i="7"/>
  <c r="I3408" i="7"/>
  <c r="J3452" i="7"/>
  <c r="I3452" i="7"/>
  <c r="I3462" i="7"/>
  <c r="J3479" i="7"/>
  <c r="J3484" i="7"/>
  <c r="J3522" i="7"/>
  <c r="J3526" i="7"/>
  <c r="I3526" i="7"/>
  <c r="I3549" i="7"/>
  <c r="I3551" i="7"/>
  <c r="J3553" i="7"/>
  <c r="I3553" i="7"/>
  <c r="J3594" i="7"/>
  <c r="J3598" i="7"/>
  <c r="I3598" i="7"/>
  <c r="I3621" i="7"/>
  <c r="I3623" i="7"/>
  <c r="J3625" i="7"/>
  <c r="I3625" i="7"/>
  <c r="J3655" i="7"/>
  <c r="I3655" i="7"/>
  <c r="J3657" i="7"/>
  <c r="J3668" i="7"/>
  <c r="I3672" i="7"/>
  <c r="J3685" i="7"/>
  <c r="I3685" i="7"/>
  <c r="I3700" i="7"/>
  <c r="I3704" i="7"/>
  <c r="J3742" i="7"/>
  <c r="I3742" i="7"/>
  <c r="J3755" i="7"/>
  <c r="I3755" i="7"/>
  <c r="I3781" i="7"/>
  <c r="J3781" i="7"/>
  <c r="J3786" i="7"/>
  <c r="I3786" i="7"/>
  <c r="J3892" i="7"/>
  <c r="I3892" i="7"/>
  <c r="J3991" i="7"/>
  <c r="I3991" i="7"/>
  <c r="J4218" i="7"/>
  <c r="I4218" i="7"/>
  <c r="J4292" i="7"/>
  <c r="I4292" i="7"/>
  <c r="J4520" i="7"/>
  <c r="I4520" i="7"/>
  <c r="I4529" i="7"/>
  <c r="J4529" i="7"/>
  <c r="I4581" i="7"/>
  <c r="J4581" i="7"/>
  <c r="J4586" i="7"/>
  <c r="I4586" i="7"/>
  <c r="I4667" i="7"/>
  <c r="J4667" i="7"/>
  <c r="I4881" i="7"/>
  <c r="J4881" i="7"/>
  <c r="J3707" i="7"/>
  <c r="I3707" i="7"/>
  <c r="J3716" i="7"/>
  <c r="I3716" i="7"/>
  <c r="J3728" i="7"/>
  <c r="I3728" i="7"/>
  <c r="J3750" i="7"/>
  <c r="I3750" i="7"/>
  <c r="J3767" i="7"/>
  <c r="I3767" i="7"/>
  <c r="J3784" i="7"/>
  <c r="I3784" i="7"/>
  <c r="J3806" i="7"/>
  <c r="I3806" i="7"/>
  <c r="J3818" i="7"/>
  <c r="I3818" i="7"/>
  <c r="J3835" i="7"/>
  <c r="I3835" i="7"/>
  <c r="J3852" i="7"/>
  <c r="I3852" i="7"/>
  <c r="J3879" i="7"/>
  <c r="I3879" i="7"/>
  <c r="J3910" i="7"/>
  <c r="I3910" i="7"/>
  <c r="J3918" i="7"/>
  <c r="I3918" i="7"/>
  <c r="J3928" i="7"/>
  <c r="I3928" i="7"/>
  <c r="I3981" i="7"/>
  <c r="J3981" i="7"/>
  <c r="J4036" i="7"/>
  <c r="I4036" i="7"/>
  <c r="I4065" i="7"/>
  <c r="J4065" i="7"/>
  <c r="J4116" i="7"/>
  <c r="I4116" i="7"/>
  <c r="J4145" i="7"/>
  <c r="I4145" i="7"/>
  <c r="J4165" i="7"/>
  <c r="I4165" i="7"/>
  <c r="J4197" i="7"/>
  <c r="I4197" i="7"/>
  <c r="J4245" i="7"/>
  <c r="I4245" i="7"/>
  <c r="I4311" i="7"/>
  <c r="J4311" i="7"/>
  <c r="J4362" i="7"/>
  <c r="I4362" i="7"/>
  <c r="I4411" i="7"/>
  <c r="J4411" i="7"/>
  <c r="J4424" i="7"/>
  <c r="I4424" i="7"/>
  <c r="I4465" i="7"/>
  <c r="J4465" i="7"/>
  <c r="J4528" i="7"/>
  <c r="I4528" i="7"/>
  <c r="I4637" i="7"/>
  <c r="J4637" i="7"/>
  <c r="J4858" i="7"/>
  <c r="I4858" i="7"/>
  <c r="I3471" i="7"/>
  <c r="I3495" i="7"/>
  <c r="I3519" i="7"/>
  <c r="I3543" i="7"/>
  <c r="I3567" i="7"/>
  <c r="I3591" i="7"/>
  <c r="I3615" i="7"/>
  <c r="I3628" i="7"/>
  <c r="I3644" i="7"/>
  <c r="I3660" i="7"/>
  <c r="I3676" i="7"/>
  <c r="I3692" i="7"/>
  <c r="J3733" i="7"/>
  <c r="J3782" i="7"/>
  <c r="I3782" i="7"/>
  <c r="I3789" i="7"/>
  <c r="J3799" i="7"/>
  <c r="I3799" i="7"/>
  <c r="J3838" i="7"/>
  <c r="I3838" i="7"/>
  <c r="J3850" i="7"/>
  <c r="I3850" i="7"/>
  <c r="J3857" i="7"/>
  <c r="J3867" i="7"/>
  <c r="I3867" i="7"/>
  <c r="J3882" i="7"/>
  <c r="I3882" i="7"/>
  <c r="J3900" i="7"/>
  <c r="I3900" i="7"/>
  <c r="J3905" i="7"/>
  <c r="I3957" i="7"/>
  <c r="J3957" i="7"/>
  <c r="J3961" i="7"/>
  <c r="I3961" i="7"/>
  <c r="J4008" i="7"/>
  <c r="I4008" i="7"/>
  <c r="J4041" i="7"/>
  <c r="I4041" i="7"/>
  <c r="J4061" i="7"/>
  <c r="I4061" i="7"/>
  <c r="J4105" i="7"/>
  <c r="I4275" i="7"/>
  <c r="J4275" i="7"/>
  <c r="J4318" i="7"/>
  <c r="I4318" i="7"/>
  <c r="J4325" i="7"/>
  <c r="I4325" i="7"/>
  <c r="J4332" i="7"/>
  <c r="I4332" i="7"/>
  <c r="I4402" i="7"/>
  <c r="I4407" i="7"/>
  <c r="J4407" i="7"/>
  <c r="I4409" i="7"/>
  <c r="J4409" i="7"/>
  <c r="I4445" i="7"/>
  <c r="J4445" i="7"/>
  <c r="I4483" i="7"/>
  <c r="J4483" i="7"/>
  <c r="J4546" i="7"/>
  <c r="I4546" i="7"/>
  <c r="J4558" i="7"/>
  <c r="I4558" i="7"/>
  <c r="J4569" i="7"/>
  <c r="J4690" i="7"/>
  <c r="I4690" i="7"/>
  <c r="J3719" i="7"/>
  <c r="I3719" i="7"/>
  <c r="J3758" i="7"/>
  <c r="I3758" i="7"/>
  <c r="J3770" i="7"/>
  <c r="I3770" i="7"/>
  <c r="J3787" i="7"/>
  <c r="I3787" i="7"/>
  <c r="J3870" i="7"/>
  <c r="I3870" i="7"/>
  <c r="J3885" i="7"/>
  <c r="I3885" i="7"/>
  <c r="I3949" i="7"/>
  <c r="J3949" i="7"/>
  <c r="J4016" i="7"/>
  <c r="I4016" i="7"/>
  <c r="J4022" i="7"/>
  <c r="I4022" i="7"/>
  <c r="J4114" i="7"/>
  <c r="I4114" i="7"/>
  <c r="J4136" i="7"/>
  <c r="I4136" i="7"/>
  <c r="J4150" i="7"/>
  <c r="I4150" i="7"/>
  <c r="I4237" i="7"/>
  <c r="J4237" i="7"/>
  <c r="I4323" i="7"/>
  <c r="J4323" i="7"/>
  <c r="J4356" i="7"/>
  <c r="I4356" i="7"/>
  <c r="J4369" i="7"/>
  <c r="I4369" i="7"/>
  <c r="J4377" i="7"/>
  <c r="I4377" i="7"/>
  <c r="J4384" i="7"/>
  <c r="I4384" i="7"/>
  <c r="J4414" i="7"/>
  <c r="I4414" i="7"/>
  <c r="I4495" i="7"/>
  <c r="J4495" i="7"/>
  <c r="I4513" i="7"/>
  <c r="J4513" i="7"/>
  <c r="I4551" i="7"/>
  <c r="J4551" i="7"/>
  <c r="I4655" i="7"/>
  <c r="J4655" i="7"/>
  <c r="J3627" i="7"/>
  <c r="J3643" i="7"/>
  <c r="J3659" i="7"/>
  <c r="J3675" i="7"/>
  <c r="J3691" i="7"/>
  <c r="I3710" i="7"/>
  <c r="J3724" i="7"/>
  <c r="I3724" i="7"/>
  <c r="J3765" i="7"/>
  <c r="J3792" i="7"/>
  <c r="I3792" i="7"/>
  <c r="J3814" i="7"/>
  <c r="I3814" i="7"/>
  <c r="I3821" i="7"/>
  <c r="J3831" i="7"/>
  <c r="I3831" i="7"/>
  <c r="J3848" i="7"/>
  <c r="I3848" i="7"/>
  <c r="J3877" i="7"/>
  <c r="J3880" i="7"/>
  <c r="I3880" i="7"/>
  <c r="J3916" i="7"/>
  <c r="I3916" i="7"/>
  <c r="J3921" i="7"/>
  <c r="J4033" i="7"/>
  <c r="I4033" i="7"/>
  <c r="I4046" i="7"/>
  <c r="J4046" i="7"/>
  <c r="J4052" i="7"/>
  <c r="I4052" i="7"/>
  <c r="J4085" i="7"/>
  <c r="I4085" i="7"/>
  <c r="J4119" i="7"/>
  <c r="I4119" i="7"/>
  <c r="I4175" i="7"/>
  <c r="J4175" i="7"/>
  <c r="J4198" i="7"/>
  <c r="I4198" i="7"/>
  <c r="J4213" i="7"/>
  <c r="J4289" i="7"/>
  <c r="I4289" i="7"/>
  <c r="J4341" i="7"/>
  <c r="I4341" i="7"/>
  <c r="J4396" i="7"/>
  <c r="I4396" i="7"/>
  <c r="I4400" i="7"/>
  <c r="I4425" i="7"/>
  <c r="J4425" i="7"/>
  <c r="I4531" i="7"/>
  <c r="J4531" i="7"/>
  <c r="I4533" i="7"/>
  <c r="J4533" i="7"/>
  <c r="J4556" i="7"/>
  <c r="I4556" i="7"/>
  <c r="I4561" i="7"/>
  <c r="J4561" i="7"/>
  <c r="I4597" i="7"/>
  <c r="J4597" i="7"/>
  <c r="I4629" i="7"/>
  <c r="J4629" i="7"/>
  <c r="J4638" i="7"/>
  <c r="I4638" i="7"/>
  <c r="I4757" i="7"/>
  <c r="J4757" i="7"/>
  <c r="I4785" i="7"/>
  <c r="J4785" i="7"/>
  <c r="J3715" i="7"/>
  <c r="I3715" i="7"/>
  <c r="J3722" i="7"/>
  <c r="I3722" i="7"/>
  <c r="J3739" i="7"/>
  <c r="I3739" i="7"/>
  <c r="J3846" i="7"/>
  <c r="I3846" i="7"/>
  <c r="J3863" i="7"/>
  <c r="I3863" i="7"/>
  <c r="J3868" i="7"/>
  <c r="I3868" i="7"/>
  <c r="J3901" i="7"/>
  <c r="I3901" i="7"/>
  <c r="J3924" i="7"/>
  <c r="I3924" i="7"/>
  <c r="J3984" i="7"/>
  <c r="I3984" i="7"/>
  <c r="J3994" i="7"/>
  <c r="I3994" i="7"/>
  <c r="I4031" i="7"/>
  <c r="J4031" i="7"/>
  <c r="J4044" i="7"/>
  <c r="I4044" i="7"/>
  <c r="J4064" i="7"/>
  <c r="I4064" i="7"/>
  <c r="J4072" i="7"/>
  <c r="I4072" i="7"/>
  <c r="J4088" i="7"/>
  <c r="I4088" i="7"/>
  <c r="J4099" i="7"/>
  <c r="I4099" i="7"/>
  <c r="I4139" i="7"/>
  <c r="J4139" i="7"/>
  <c r="J4185" i="7"/>
  <c r="I4185" i="7"/>
  <c r="I4203" i="7"/>
  <c r="J4203" i="7"/>
  <c r="J4205" i="7"/>
  <c r="I4205" i="7"/>
  <c r="J4209" i="7"/>
  <c r="I4209" i="7"/>
  <c r="I4244" i="7"/>
  <c r="J4249" i="7"/>
  <c r="I4249" i="7"/>
  <c r="I4280" i="7"/>
  <c r="J4294" i="7"/>
  <c r="I4294" i="7"/>
  <c r="J4326" i="7"/>
  <c r="I4326" i="7"/>
  <c r="J4382" i="7"/>
  <c r="I4382" i="7"/>
  <c r="I4389" i="7"/>
  <c r="J4389" i="7"/>
  <c r="I4435" i="7"/>
  <c r="J4435" i="7"/>
  <c r="J4486" i="7"/>
  <c r="I4486" i="7"/>
  <c r="I4491" i="7"/>
  <c r="J4491" i="7"/>
  <c r="I4493" i="7"/>
  <c r="J4493" i="7"/>
  <c r="I4518" i="7"/>
  <c r="J4518" i="7"/>
  <c r="J4540" i="7"/>
  <c r="I4540" i="7"/>
  <c r="I4544" i="7"/>
  <c r="I4607" i="7"/>
  <c r="J4607" i="7"/>
  <c r="I4833" i="7"/>
  <c r="J4833" i="7"/>
  <c r="J3744" i="7"/>
  <c r="I3744" i="7"/>
  <c r="J3766" i="7"/>
  <c r="I3766" i="7"/>
  <c r="J3783" i="7"/>
  <c r="I3783" i="7"/>
  <c r="J3800" i="7"/>
  <c r="I3800" i="7"/>
  <c r="J3822" i="7"/>
  <c r="I3822" i="7"/>
  <c r="J3834" i="7"/>
  <c r="I3834" i="7"/>
  <c r="J3851" i="7"/>
  <c r="I3851" i="7"/>
  <c r="J3878" i="7"/>
  <c r="I3878" i="7"/>
  <c r="J3886" i="7"/>
  <c r="I3886" i="7"/>
  <c r="J3896" i="7"/>
  <c r="I3896" i="7"/>
  <c r="J3914" i="7"/>
  <c r="I3914" i="7"/>
  <c r="J3929" i="7"/>
  <c r="I3929" i="7"/>
  <c r="J3960" i="7"/>
  <c r="I3960" i="7"/>
  <c r="J3976" i="7"/>
  <c r="I3976" i="7"/>
  <c r="J3978" i="7"/>
  <c r="I3978" i="7"/>
  <c r="J4042" i="7"/>
  <c r="I4042" i="7"/>
  <c r="J4062" i="7"/>
  <c r="I4062" i="7"/>
  <c r="J4106" i="7"/>
  <c r="I4106" i="7"/>
  <c r="J4144" i="7"/>
  <c r="I4144" i="7"/>
  <c r="I4151" i="7"/>
  <c r="J4151" i="7"/>
  <c r="J4201" i="7"/>
  <c r="I4201" i="7"/>
  <c r="J4238" i="7"/>
  <c r="I4238" i="7"/>
  <c r="I4247" i="7"/>
  <c r="J4247" i="7"/>
  <c r="J4305" i="7"/>
  <c r="I4305" i="7"/>
  <c r="I4351" i="7"/>
  <c r="J4351" i="7"/>
  <c r="I4417" i="7"/>
  <c r="J4417" i="7"/>
  <c r="I4439" i="7"/>
  <c r="J4439" i="7"/>
  <c r="I4453" i="7"/>
  <c r="J4453" i="7"/>
  <c r="J4536" i="7"/>
  <c r="I4536" i="7"/>
  <c r="J4554" i="7"/>
  <c r="I4554" i="7"/>
  <c r="J4634" i="7"/>
  <c r="I4634" i="7"/>
  <c r="I4883" i="7"/>
  <c r="J4883" i="7"/>
  <c r="J3798" i="7"/>
  <c r="I3798" i="7"/>
  <c r="J3815" i="7"/>
  <c r="I3815" i="7"/>
  <c r="J3854" i="7"/>
  <c r="I3854" i="7"/>
  <c r="J3866" i="7"/>
  <c r="I3866" i="7"/>
  <c r="J3912" i="7"/>
  <c r="I3912" i="7"/>
  <c r="J3952" i="7"/>
  <c r="I3952" i="7"/>
  <c r="I4005" i="7"/>
  <c r="J4005" i="7"/>
  <c r="J4009" i="7"/>
  <c r="I4009" i="7"/>
  <c r="J4025" i="7"/>
  <c r="I4025" i="7"/>
  <c r="J4060" i="7"/>
  <c r="I4060" i="7"/>
  <c r="I4086" i="7"/>
  <c r="J4086" i="7"/>
  <c r="J4120" i="7"/>
  <c r="I4120" i="7"/>
  <c r="I4167" i="7"/>
  <c r="J4167" i="7"/>
  <c r="I4199" i="7"/>
  <c r="J4199" i="7"/>
  <c r="J4212" i="7"/>
  <c r="I4212" i="7"/>
  <c r="J4272" i="7"/>
  <c r="I4272" i="7"/>
  <c r="J4308" i="7"/>
  <c r="I4308" i="7"/>
  <c r="I4433" i="7"/>
  <c r="J4433" i="7"/>
  <c r="J4444" i="7"/>
  <c r="I4444" i="7"/>
  <c r="J4482" i="7"/>
  <c r="I4482" i="7"/>
  <c r="I4503" i="7"/>
  <c r="J4503" i="7"/>
  <c r="I4505" i="7"/>
  <c r="J4505" i="7"/>
  <c r="I4525" i="7"/>
  <c r="J4525" i="7"/>
  <c r="I4545" i="7"/>
  <c r="J4545" i="7"/>
  <c r="J4714" i="7"/>
  <c r="I4714" i="7"/>
  <c r="I4724" i="7"/>
  <c r="J4724" i="7"/>
  <c r="J4791" i="7"/>
  <c r="I4791" i="7"/>
  <c r="I4817" i="7"/>
  <c r="J4817" i="7"/>
  <c r="I4829" i="7"/>
  <c r="J4829" i="7"/>
  <c r="J3723" i="7"/>
  <c r="I3723" i="7"/>
  <c r="J3830" i="7"/>
  <c r="I3830" i="7"/>
  <c r="I3837" i="7"/>
  <c r="J3847" i="7"/>
  <c r="I3847" i="7"/>
  <c r="J3884" i="7"/>
  <c r="I3884" i="7"/>
  <c r="J3930" i="7"/>
  <c r="I3930" i="7"/>
  <c r="I3936" i="7"/>
  <c r="J3938" i="7"/>
  <c r="I3938" i="7"/>
  <c r="I3972" i="7"/>
  <c r="I3997" i="7"/>
  <c r="J3997" i="7"/>
  <c r="J4078" i="7"/>
  <c r="I4078" i="7"/>
  <c r="I4091" i="7"/>
  <c r="J4109" i="7"/>
  <c r="I4109" i="7"/>
  <c r="I4118" i="7"/>
  <c r="J4118" i="7"/>
  <c r="I4131" i="7"/>
  <c r="J4131" i="7"/>
  <c r="J4140" i="7"/>
  <c r="I4140" i="7"/>
  <c r="J4154" i="7"/>
  <c r="I4154" i="7"/>
  <c r="J4230" i="7"/>
  <c r="I4230" i="7"/>
  <c r="J4306" i="7"/>
  <c r="I4306" i="7"/>
  <c r="J4334" i="7"/>
  <c r="I4334" i="7"/>
  <c r="J4376" i="7"/>
  <c r="I4376" i="7"/>
  <c r="I4395" i="7"/>
  <c r="J4395" i="7"/>
  <c r="J4404" i="7"/>
  <c r="I4404" i="7"/>
  <c r="I4413" i="7"/>
  <c r="J4413" i="7"/>
  <c r="J4454" i="7"/>
  <c r="I4454" i="7"/>
  <c r="I4467" i="7"/>
  <c r="J4467" i="7"/>
  <c r="J4584" i="7"/>
  <c r="I4584" i="7"/>
  <c r="I4589" i="7"/>
  <c r="J4589" i="7"/>
  <c r="I4665" i="7"/>
  <c r="J4665" i="7"/>
  <c r="J4956" i="7"/>
  <c r="I4956" i="7"/>
  <c r="I4964" i="7"/>
  <c r="J4964" i="7"/>
  <c r="J3935" i="7"/>
  <c r="I3935" i="7"/>
  <c r="J3948" i="7"/>
  <c r="I3948" i="7"/>
  <c r="J3970" i="7"/>
  <c r="I3970" i="7"/>
  <c r="J3983" i="7"/>
  <c r="I3983" i="7"/>
  <c r="J3996" i="7"/>
  <c r="I3996" i="7"/>
  <c r="J4018" i="7"/>
  <c r="I4018" i="7"/>
  <c r="J4113" i="7"/>
  <c r="I4113" i="7"/>
  <c r="J4130" i="7"/>
  <c r="I4130" i="7"/>
  <c r="J4149" i="7"/>
  <c r="I4149" i="7"/>
  <c r="J4181" i="7"/>
  <c r="I4181" i="7"/>
  <c r="J4248" i="7"/>
  <c r="I4248" i="7"/>
  <c r="I4271" i="7"/>
  <c r="J4271" i="7"/>
  <c r="J4273" i="7"/>
  <c r="I4273" i="7"/>
  <c r="J4320" i="7"/>
  <c r="I4320" i="7"/>
  <c r="J4322" i="7"/>
  <c r="I4322" i="7"/>
  <c r="I4387" i="7"/>
  <c r="I4393" i="7"/>
  <c r="J4393" i="7"/>
  <c r="I4421" i="7"/>
  <c r="J4421" i="7"/>
  <c r="J4432" i="7"/>
  <c r="I4432" i="7"/>
  <c r="I4449" i="7"/>
  <c r="J4449" i="7"/>
  <c r="I4583" i="7"/>
  <c r="J4583" i="7"/>
  <c r="J4692" i="7"/>
  <c r="I4692" i="7"/>
  <c r="J4810" i="7"/>
  <c r="I4810" i="7"/>
  <c r="I4853" i="7"/>
  <c r="J4853" i="7"/>
  <c r="J3727" i="7"/>
  <c r="I3727" i="7"/>
  <c r="J3743" i="7"/>
  <c r="I3743" i="7"/>
  <c r="J3759" i="7"/>
  <c r="I3759" i="7"/>
  <c r="J3775" i="7"/>
  <c r="I3775" i="7"/>
  <c r="J3791" i="7"/>
  <c r="I3791" i="7"/>
  <c r="J3807" i="7"/>
  <c r="I3807" i="7"/>
  <c r="J3823" i="7"/>
  <c r="I3823" i="7"/>
  <c r="J3839" i="7"/>
  <c r="I3839" i="7"/>
  <c r="J3855" i="7"/>
  <c r="I3855" i="7"/>
  <c r="J3871" i="7"/>
  <c r="I3871" i="7"/>
  <c r="J3887" i="7"/>
  <c r="I3887" i="7"/>
  <c r="J3903" i="7"/>
  <c r="I3903" i="7"/>
  <c r="J3919" i="7"/>
  <c r="I3919" i="7"/>
  <c r="J4024" i="7"/>
  <c r="I4024" i="7"/>
  <c r="J4040" i="7"/>
  <c r="I4040" i="7"/>
  <c r="J4048" i="7"/>
  <c r="I4048" i="7"/>
  <c r="J4058" i="7"/>
  <c r="J4074" i="7"/>
  <c r="I4074" i="7"/>
  <c r="I4082" i="7"/>
  <c r="J4128" i="7"/>
  <c r="I4128" i="7"/>
  <c r="I4141" i="7"/>
  <c r="J4196" i="7"/>
  <c r="I4196" i="7"/>
  <c r="J4240" i="7"/>
  <c r="I4240" i="7"/>
  <c r="I4267" i="7"/>
  <c r="J4267" i="7"/>
  <c r="I4282" i="7"/>
  <c r="J4282" i="7"/>
  <c r="J4288" i="7"/>
  <c r="I4288" i="7"/>
  <c r="I4333" i="7"/>
  <c r="I4343" i="7"/>
  <c r="J4343" i="7"/>
  <c r="J4353" i="7"/>
  <c r="I4353" i="7"/>
  <c r="I4357" i="7"/>
  <c r="J4361" i="7"/>
  <c r="I4419" i="7"/>
  <c r="J4419" i="7"/>
  <c r="I4481" i="7"/>
  <c r="J4481" i="7"/>
  <c r="I4553" i="7"/>
  <c r="J4553" i="7"/>
  <c r="J4560" i="7"/>
  <c r="I4560" i="7"/>
  <c r="J4588" i="7"/>
  <c r="I4588" i="7"/>
  <c r="J4602" i="7"/>
  <c r="I4602" i="7"/>
  <c r="I4609" i="7"/>
  <c r="J4609" i="7"/>
  <c r="I4739" i="7"/>
  <c r="J4739" i="7"/>
  <c r="J4815" i="7"/>
  <c r="I4815" i="7"/>
  <c r="J4867" i="7"/>
  <c r="I4867" i="7"/>
  <c r="J4911" i="7"/>
  <c r="I4911" i="7"/>
  <c r="J119" i="8"/>
  <c r="L138" i="8"/>
  <c r="J138" i="8" s="1"/>
  <c r="I138" i="8"/>
  <c r="J4703" i="7"/>
  <c r="I4703" i="7"/>
  <c r="J4839" i="7"/>
  <c r="I4839" i="7"/>
  <c r="I4865" i="7"/>
  <c r="J4865" i="7"/>
  <c r="I4877" i="7"/>
  <c r="J4877" i="7"/>
  <c r="I4974" i="7"/>
  <c r="J5001" i="7"/>
  <c r="I5001" i="7"/>
  <c r="N157" i="9"/>
  <c r="J3883" i="7"/>
  <c r="I3883" i="7"/>
  <c r="J3899" i="7"/>
  <c r="I3899" i="7"/>
  <c r="J3915" i="7"/>
  <c r="I3915" i="7"/>
  <c r="J3926" i="7"/>
  <c r="I3926" i="7"/>
  <c r="J3932" i="7"/>
  <c r="I3932" i="7"/>
  <c r="J3954" i="7"/>
  <c r="I3954" i="7"/>
  <c r="J3967" i="7"/>
  <c r="I3967" i="7"/>
  <c r="J3980" i="7"/>
  <c r="I3980" i="7"/>
  <c r="J4002" i="7"/>
  <c r="I4002" i="7"/>
  <c r="J4015" i="7"/>
  <c r="I4015" i="7"/>
  <c r="J4152" i="7"/>
  <c r="I4152" i="7"/>
  <c r="J4184" i="7"/>
  <c r="I4184" i="7"/>
  <c r="J4224" i="7"/>
  <c r="I4224" i="7"/>
  <c r="I4251" i="7"/>
  <c r="J4251" i="7"/>
  <c r="I4255" i="7"/>
  <c r="J4255" i="7"/>
  <c r="J4257" i="7"/>
  <c r="I4257" i="7"/>
  <c r="I4299" i="7"/>
  <c r="J4299" i="7"/>
  <c r="J4316" i="7"/>
  <c r="I4316" i="7"/>
  <c r="I4327" i="7"/>
  <c r="J4327" i="7"/>
  <c r="J4329" i="7"/>
  <c r="I4329" i="7"/>
  <c r="J4350" i="7"/>
  <c r="I4350" i="7"/>
  <c r="J4364" i="7"/>
  <c r="I4364" i="7"/>
  <c r="J4394" i="7"/>
  <c r="I4394" i="7"/>
  <c r="I4443" i="7"/>
  <c r="J4443" i="7"/>
  <c r="J4452" i="7"/>
  <c r="I4452" i="7"/>
  <c r="I4521" i="7"/>
  <c r="J4521" i="7"/>
  <c r="I4549" i="7"/>
  <c r="J4549" i="7"/>
  <c r="J4730" i="7"/>
  <c r="I4730" i="7"/>
  <c r="I4737" i="7"/>
  <c r="J4737" i="7"/>
  <c r="J4747" i="7"/>
  <c r="I4747" i="7"/>
  <c r="J4863" i="7"/>
  <c r="I4863" i="7"/>
  <c r="J4954" i="7"/>
  <c r="I4954" i="7"/>
  <c r="J3706" i="7"/>
  <c r="J3730" i="7"/>
  <c r="I3730" i="7"/>
  <c r="J3746" i="7"/>
  <c r="I3746" i="7"/>
  <c r="J3762" i="7"/>
  <c r="I3762" i="7"/>
  <c r="J3778" i="7"/>
  <c r="I3778" i="7"/>
  <c r="J3794" i="7"/>
  <c r="I3794" i="7"/>
  <c r="J3810" i="7"/>
  <c r="I3810" i="7"/>
  <c r="J3826" i="7"/>
  <c r="I3826" i="7"/>
  <c r="J3842" i="7"/>
  <c r="I3842" i="7"/>
  <c r="J3858" i="7"/>
  <c r="I3858" i="7"/>
  <c r="J3874" i="7"/>
  <c r="I3874" i="7"/>
  <c r="J3890" i="7"/>
  <c r="I3890" i="7"/>
  <c r="J3906" i="7"/>
  <c r="I3906" i="7"/>
  <c r="J3922" i="7"/>
  <c r="I3922" i="7"/>
  <c r="J4045" i="7"/>
  <c r="I4045" i="7"/>
  <c r="J4077" i="7"/>
  <c r="I4077" i="7"/>
  <c r="J4087" i="7"/>
  <c r="I4087" i="7"/>
  <c r="J4112" i="7"/>
  <c r="I4112" i="7"/>
  <c r="J4137" i="7"/>
  <c r="I4137" i="7"/>
  <c r="I4177" i="7"/>
  <c r="J4220" i="7"/>
  <c r="I4220" i="7"/>
  <c r="J4222" i="7"/>
  <c r="I4222" i="7"/>
  <c r="J4236" i="7"/>
  <c r="I4236" i="7"/>
  <c r="J4312" i="7"/>
  <c r="I4312" i="7"/>
  <c r="J4348" i="7"/>
  <c r="I4348" i="7"/>
  <c r="I4405" i="7"/>
  <c r="I4441" i="7"/>
  <c r="J4441" i="7"/>
  <c r="I4463" i="7"/>
  <c r="J4463" i="7"/>
  <c r="I4474" i="7"/>
  <c r="J4474" i="7"/>
  <c r="I4573" i="7"/>
  <c r="J4573" i="7"/>
  <c r="I4693" i="7"/>
  <c r="J4693" i="7"/>
  <c r="J4908" i="7"/>
  <c r="I4908" i="7"/>
  <c r="I4929" i="7"/>
  <c r="J4929" i="7"/>
  <c r="J3895" i="7"/>
  <c r="I3895" i="7"/>
  <c r="J3911" i="7"/>
  <c r="I3911" i="7"/>
  <c r="I3973" i="7"/>
  <c r="J4021" i="7"/>
  <c r="I4021" i="7"/>
  <c r="J4037" i="7"/>
  <c r="I4037" i="7"/>
  <c r="J4059" i="7"/>
  <c r="I4059" i="7"/>
  <c r="J4067" i="7"/>
  <c r="I4067" i="7"/>
  <c r="J4110" i="7"/>
  <c r="I4110" i="7"/>
  <c r="J4125" i="7"/>
  <c r="I4125" i="7"/>
  <c r="J4129" i="7"/>
  <c r="J4170" i="7"/>
  <c r="I4170" i="7"/>
  <c r="I4291" i="7"/>
  <c r="J4291" i="7"/>
  <c r="I4319" i="7"/>
  <c r="J4319" i="7"/>
  <c r="J4336" i="7"/>
  <c r="I4336" i="7"/>
  <c r="J4392" i="7"/>
  <c r="I4392" i="7"/>
  <c r="I4397" i="7"/>
  <c r="J4397" i="7"/>
  <c r="I4399" i="7"/>
  <c r="J4399" i="7"/>
  <c r="I4401" i="7"/>
  <c r="J4401" i="7"/>
  <c r="J4446" i="7"/>
  <c r="I4446" i="7"/>
  <c r="I4461" i="7"/>
  <c r="J4461" i="7"/>
  <c r="I4487" i="7"/>
  <c r="J4487" i="7"/>
  <c r="J4498" i="7"/>
  <c r="I4498" i="7"/>
  <c r="J4594" i="7"/>
  <c r="I4594" i="7"/>
  <c r="I4619" i="7"/>
  <c r="J4619" i="7"/>
  <c r="J4678" i="7"/>
  <c r="I4678" i="7"/>
  <c r="I4709" i="7"/>
  <c r="J4709" i="7"/>
  <c r="J4716" i="7"/>
  <c r="I4716" i="7"/>
  <c r="J4726" i="7"/>
  <c r="I4726" i="7"/>
  <c r="J4771" i="7"/>
  <c r="I4771" i="7"/>
  <c r="J4795" i="7"/>
  <c r="I4795" i="7"/>
  <c r="J3951" i="7"/>
  <c r="I3951" i="7"/>
  <c r="J3962" i="7"/>
  <c r="I3962" i="7"/>
  <c r="J3964" i="7"/>
  <c r="I3964" i="7"/>
  <c r="J3986" i="7"/>
  <c r="I3986" i="7"/>
  <c r="J3999" i="7"/>
  <c r="I3999" i="7"/>
  <c r="J4010" i="7"/>
  <c r="I4010" i="7"/>
  <c r="J4012" i="7"/>
  <c r="I4012" i="7"/>
  <c r="J4079" i="7"/>
  <c r="I4079" i="7"/>
  <c r="I4159" i="7"/>
  <c r="J4159" i="7"/>
  <c r="J4161" i="7"/>
  <c r="I4161" i="7"/>
  <c r="J4168" i="7"/>
  <c r="I4168" i="7"/>
  <c r="J4180" i="7"/>
  <c r="I4180" i="7"/>
  <c r="I4187" i="7"/>
  <c r="J4187" i="7"/>
  <c r="I4191" i="7"/>
  <c r="J4191" i="7"/>
  <c r="I4195" i="7"/>
  <c r="J4195" i="7"/>
  <c r="J4206" i="7"/>
  <c r="I4206" i="7"/>
  <c r="I4239" i="7"/>
  <c r="J4239" i="7"/>
  <c r="J4241" i="7"/>
  <c r="I4241" i="7"/>
  <c r="J4302" i="7"/>
  <c r="I4302" i="7"/>
  <c r="J4360" i="7"/>
  <c r="I4360" i="7"/>
  <c r="J4386" i="7"/>
  <c r="I4386" i="7"/>
  <c r="J4390" i="7"/>
  <c r="I4390" i="7"/>
  <c r="J4412" i="7"/>
  <c r="I4412" i="7"/>
  <c r="I4455" i="7"/>
  <c r="J4455" i="7"/>
  <c r="I4457" i="7"/>
  <c r="J4457" i="7"/>
  <c r="I4522" i="7"/>
  <c r="J4522" i="7"/>
  <c r="I4541" i="7"/>
  <c r="J4541" i="7"/>
  <c r="I4559" i="7"/>
  <c r="J4559" i="7"/>
  <c r="I4671" i="7"/>
  <c r="J4671" i="7"/>
  <c r="J4743" i="7"/>
  <c r="I4743" i="7"/>
  <c r="I4769" i="7"/>
  <c r="J4769" i="7"/>
  <c r="I4781" i="7"/>
  <c r="J4781" i="7"/>
  <c r="J4932" i="7"/>
  <c r="I4932" i="7"/>
  <c r="J3973" i="7"/>
  <c r="I4051" i="7"/>
  <c r="J4051" i="7"/>
  <c r="J4100" i="7"/>
  <c r="I4100" i="7"/>
  <c r="I4123" i="7"/>
  <c r="J4123" i="7"/>
  <c r="J4193" i="7"/>
  <c r="J4229" i="7"/>
  <c r="I4229" i="7"/>
  <c r="I4266" i="7"/>
  <c r="J4281" i="7"/>
  <c r="I4281" i="7"/>
  <c r="J4287" i="7"/>
  <c r="J4293" i="7"/>
  <c r="I4293" i="7"/>
  <c r="J4300" i="7"/>
  <c r="I4300" i="7"/>
  <c r="J4365" i="7"/>
  <c r="I4365" i="7"/>
  <c r="I4367" i="7"/>
  <c r="J4367" i="7"/>
  <c r="I4420" i="7"/>
  <c r="I4468" i="7"/>
  <c r="J4511" i="7"/>
  <c r="I4535" i="7"/>
  <c r="J4535" i="7"/>
  <c r="I4582" i="7"/>
  <c r="J4606" i="7"/>
  <c r="I4606" i="7"/>
  <c r="J4652" i="7"/>
  <c r="I4652" i="7"/>
  <c r="I4669" i="7"/>
  <c r="J4669" i="7"/>
  <c r="J4694" i="7"/>
  <c r="I4694" i="7"/>
  <c r="J4762" i="7"/>
  <c r="I4762" i="7"/>
  <c r="I4805" i="7"/>
  <c r="J4805" i="7"/>
  <c r="I4885" i="7"/>
  <c r="J4885" i="7"/>
  <c r="J3711" i="7"/>
  <c r="I3711" i="7"/>
  <c r="J3731" i="7"/>
  <c r="I3731" i="7"/>
  <c r="J3747" i="7"/>
  <c r="I3747" i="7"/>
  <c r="J3763" i="7"/>
  <c r="I3763" i="7"/>
  <c r="J3779" i="7"/>
  <c r="I3779" i="7"/>
  <c r="J3795" i="7"/>
  <c r="I3795" i="7"/>
  <c r="J3811" i="7"/>
  <c r="I3811" i="7"/>
  <c r="J3827" i="7"/>
  <c r="I3827" i="7"/>
  <c r="J3843" i="7"/>
  <c r="I3843" i="7"/>
  <c r="J3859" i="7"/>
  <c r="I3859" i="7"/>
  <c r="J3875" i="7"/>
  <c r="I3875" i="7"/>
  <c r="J3891" i="7"/>
  <c r="I3891" i="7"/>
  <c r="J3907" i="7"/>
  <c r="I3907" i="7"/>
  <c r="J3944" i="7"/>
  <c r="J3977" i="7"/>
  <c r="I3977" i="7"/>
  <c r="J3992" i="7"/>
  <c r="J4032" i="7"/>
  <c r="I4032" i="7"/>
  <c r="J4053" i="7"/>
  <c r="J4057" i="7"/>
  <c r="J4069" i="7"/>
  <c r="I4073" i="7"/>
  <c r="J4080" i="7"/>
  <c r="I4080" i="7"/>
  <c r="J4102" i="7"/>
  <c r="J4115" i="7"/>
  <c r="I4115" i="7"/>
  <c r="J4166" i="7"/>
  <c r="I4166" i="7"/>
  <c r="I4216" i="7"/>
  <c r="J4254" i="7"/>
  <c r="I4254" i="7"/>
  <c r="J4277" i="7"/>
  <c r="I4277" i="7"/>
  <c r="J4285" i="7"/>
  <c r="J4317" i="7"/>
  <c r="I4317" i="7"/>
  <c r="J4330" i="7"/>
  <c r="J4375" i="7"/>
  <c r="J4406" i="7"/>
  <c r="I4406" i="7"/>
  <c r="J4410" i="7"/>
  <c r="I4410" i="7"/>
  <c r="J4434" i="7"/>
  <c r="I4434" i="7"/>
  <c r="J4464" i="7"/>
  <c r="I4464" i="7"/>
  <c r="I4485" i="7"/>
  <c r="J4485" i="7"/>
  <c r="J4492" i="7"/>
  <c r="I4492" i="7"/>
  <c r="J4494" i="7"/>
  <c r="I4494" i="7"/>
  <c r="J4578" i="7"/>
  <c r="I4578" i="7"/>
  <c r="I4580" i="7"/>
  <c r="J4590" i="7"/>
  <c r="I4590" i="7"/>
  <c r="I4599" i="7"/>
  <c r="J4599" i="7"/>
  <c r="J4604" i="7"/>
  <c r="I4604" i="7"/>
  <c r="J4767" i="7"/>
  <c r="I4767" i="7"/>
  <c r="J4819" i="7"/>
  <c r="I4819" i="7"/>
  <c r="J4843" i="7"/>
  <c r="I4843" i="7"/>
  <c r="J4682" i="7"/>
  <c r="I4682" i="7"/>
  <c r="I4707" i="7"/>
  <c r="J4707" i="7"/>
  <c r="J4734" i="7"/>
  <c r="I4734" i="7"/>
  <c r="J4778" i="7"/>
  <c r="I4778" i="7"/>
  <c r="J4826" i="7"/>
  <c r="I4826" i="7"/>
  <c r="J4874" i="7"/>
  <c r="I4874" i="7"/>
  <c r="I4899" i="7"/>
  <c r="J4899" i="7"/>
  <c r="J4935" i="7"/>
  <c r="I4935" i="7"/>
  <c r="J4966" i="7"/>
  <c r="I4966" i="7"/>
  <c r="L13" i="8"/>
  <c r="J13" i="8" s="1"/>
  <c r="I13" i="8"/>
  <c r="L35" i="8"/>
  <c r="J35" i="8" s="1"/>
  <c r="I35" i="8"/>
  <c r="I67" i="8"/>
  <c r="L67" i="8"/>
  <c r="J67" i="8" s="1"/>
  <c r="L127" i="8"/>
  <c r="J127" i="8" s="1"/>
  <c r="I127" i="8"/>
  <c r="I4507" i="7"/>
  <c r="J4507" i="7"/>
  <c r="J4608" i="7"/>
  <c r="I4608" i="7"/>
  <c r="J4618" i="7"/>
  <c r="I4618" i="7"/>
  <c r="I4651" i="7"/>
  <c r="J4651" i="7"/>
  <c r="I4661" i="7"/>
  <c r="J4661" i="7"/>
  <c r="I4676" i="7"/>
  <c r="J4676" i="7"/>
  <c r="J4774" i="7"/>
  <c r="I4774" i="7"/>
  <c r="J4822" i="7"/>
  <c r="I4822" i="7"/>
  <c r="J4870" i="7"/>
  <c r="I4870" i="7"/>
  <c r="I4889" i="7"/>
  <c r="J4889" i="7"/>
  <c r="J4902" i="7"/>
  <c r="I4902" i="7"/>
  <c r="I4925" i="7"/>
  <c r="J4925" i="7"/>
  <c r="I4977" i="7"/>
  <c r="J4977" i="7"/>
  <c r="N151" i="9"/>
  <c r="I4147" i="7"/>
  <c r="J4147" i="7"/>
  <c r="I4339" i="7"/>
  <c r="J4339" i="7"/>
  <c r="J4370" i="7"/>
  <c r="I4370" i="7"/>
  <c r="I4459" i="7"/>
  <c r="J4459" i="7"/>
  <c r="J4598" i="7"/>
  <c r="I4598" i="7"/>
  <c r="J4614" i="7"/>
  <c r="I4614" i="7"/>
  <c r="J4624" i="7"/>
  <c r="I4624" i="7"/>
  <c r="J4628" i="7"/>
  <c r="I4628" i="7"/>
  <c r="I4647" i="7"/>
  <c r="J4647" i="7"/>
  <c r="I4649" i="7"/>
  <c r="J4649" i="7"/>
  <c r="J4674" i="7"/>
  <c r="I4674" i="7"/>
  <c r="I4717" i="7"/>
  <c r="J4717" i="7"/>
  <c r="J4728" i="7"/>
  <c r="I4728" i="7"/>
  <c r="J4887" i="7"/>
  <c r="I4887" i="7"/>
  <c r="I4921" i="7"/>
  <c r="J4921" i="7"/>
  <c r="I4969" i="7"/>
  <c r="J4969" i="7"/>
  <c r="N49" i="9"/>
  <c r="J4568" i="7"/>
  <c r="I4568" i="7"/>
  <c r="I4685" i="7"/>
  <c r="J4685" i="7"/>
  <c r="I4900" i="7"/>
  <c r="J4900" i="7"/>
  <c r="I4923" i="7"/>
  <c r="J4923" i="7"/>
  <c r="I4971" i="7"/>
  <c r="J4971" i="7"/>
  <c r="I4973" i="7"/>
  <c r="J4973" i="7"/>
  <c r="J4987" i="7"/>
  <c r="I4987" i="7"/>
  <c r="I4997" i="7"/>
  <c r="J4997" i="7"/>
  <c r="L57" i="8"/>
  <c r="J57" i="8" s="1"/>
  <c r="I57" i="8"/>
  <c r="G60" i="8"/>
  <c r="J60" i="8"/>
  <c r="L163" i="8"/>
  <c r="J163" i="8" s="1"/>
  <c r="I163" i="8"/>
  <c r="L174" i="8"/>
  <c r="J174" i="8" s="1"/>
  <c r="I174" i="8"/>
  <c r="I3942" i="7"/>
  <c r="I3958" i="7"/>
  <c r="I3974" i="7"/>
  <c r="I3990" i="7"/>
  <c r="I4006" i="7"/>
  <c r="J4035" i="7"/>
  <c r="I4043" i="7"/>
  <c r="I4098" i="7"/>
  <c r="I4103" i="7"/>
  <c r="I4108" i="7"/>
  <c r="J4189" i="7"/>
  <c r="I4210" i="7"/>
  <c r="J4215" i="7"/>
  <c r="J4227" i="7"/>
  <c r="I4246" i="7"/>
  <c r="I4253" i="7"/>
  <c r="I4265" i="7"/>
  <c r="J4279" i="7"/>
  <c r="I4284" i="7"/>
  <c r="I4310" i="7"/>
  <c r="J4315" i="7"/>
  <c r="I4372" i="7"/>
  <c r="J4379" i="7"/>
  <c r="I4430" i="7"/>
  <c r="I4448" i="7"/>
  <c r="I4450" i="7"/>
  <c r="I4515" i="7"/>
  <c r="J4515" i="7"/>
  <c r="I4526" i="7"/>
  <c r="J4539" i="7"/>
  <c r="I4564" i="7"/>
  <c r="J4566" i="7"/>
  <c r="I4592" i="7"/>
  <c r="I4622" i="7"/>
  <c r="I4632" i="7"/>
  <c r="I4639" i="7"/>
  <c r="J4639" i="7"/>
  <c r="I4641" i="7"/>
  <c r="J4641" i="7"/>
  <c r="J4645" i="7"/>
  <c r="J4672" i="7"/>
  <c r="I4672" i="7"/>
  <c r="I4689" i="7"/>
  <c r="J4689" i="7"/>
  <c r="J4706" i="7"/>
  <c r="I4706" i="7"/>
  <c r="J4712" i="7"/>
  <c r="J4722" i="7"/>
  <c r="I4722" i="7"/>
  <c r="J4740" i="7"/>
  <c r="I4740" i="7"/>
  <c r="J4754" i="7"/>
  <c r="I4754" i="7"/>
  <c r="J4802" i="7"/>
  <c r="I4802" i="7"/>
  <c r="J4850" i="7"/>
  <c r="I4850" i="7"/>
  <c r="J4919" i="7"/>
  <c r="I4919" i="7"/>
  <c r="I4957" i="7"/>
  <c r="J4957" i="7"/>
  <c r="J4967" i="7"/>
  <c r="I4967" i="7"/>
  <c r="J4983" i="7"/>
  <c r="I4983" i="7"/>
  <c r="I4985" i="7"/>
  <c r="J4985" i="7"/>
  <c r="I9" i="8"/>
  <c r="G180" i="8"/>
  <c r="J180" i="8"/>
  <c r="J4092" i="7"/>
  <c r="I4186" i="7"/>
  <c r="I4383" i="7"/>
  <c r="J4530" i="7"/>
  <c r="I4530" i="7"/>
  <c r="J4543" i="7"/>
  <c r="I4555" i="7"/>
  <c r="J4555" i="7"/>
  <c r="I4557" i="7"/>
  <c r="J4570" i="7"/>
  <c r="J4577" i="7"/>
  <c r="J4579" i="7"/>
  <c r="I4585" i="7"/>
  <c r="I4612" i="7"/>
  <c r="J4696" i="7"/>
  <c r="I4696" i="7"/>
  <c r="I4735" i="7"/>
  <c r="J4786" i="7"/>
  <c r="I4786" i="7"/>
  <c r="J4834" i="7"/>
  <c r="I4834" i="7"/>
  <c r="I4917" i="7"/>
  <c r="J4917" i="7"/>
  <c r="I7" i="8"/>
  <c r="I115" i="8"/>
  <c r="L172" i="8"/>
  <c r="J172" i="8" s="1"/>
  <c r="I172" i="8"/>
  <c r="F145" i="10"/>
  <c r="I4105" i="7"/>
  <c r="I4179" i="7"/>
  <c r="I4207" i="7"/>
  <c r="I4217" i="7"/>
  <c r="I4219" i="7"/>
  <c r="J4231" i="7"/>
  <c r="I4243" i="7"/>
  <c r="J4243" i="7"/>
  <c r="I4262" i="7"/>
  <c r="J4274" i="7"/>
  <c r="I4274" i="7"/>
  <c r="I4324" i="7"/>
  <c r="J4416" i="7"/>
  <c r="I4416" i="7"/>
  <c r="J4423" i="7"/>
  <c r="J4502" i="7"/>
  <c r="I4502" i="7"/>
  <c r="J4517" i="7"/>
  <c r="J4519" i="7"/>
  <c r="I4587" i="7"/>
  <c r="J4654" i="7"/>
  <c r="I4654" i="7"/>
  <c r="J4656" i="7"/>
  <c r="I4656" i="7"/>
  <c r="J4662" i="7"/>
  <c r="I4662" i="7"/>
  <c r="J4666" i="7"/>
  <c r="I4666" i="7"/>
  <c r="J4681" i="7"/>
  <c r="J4720" i="7"/>
  <c r="I4720" i="7"/>
  <c r="J4738" i="7"/>
  <c r="I4738" i="7"/>
  <c r="I4745" i="7"/>
  <c r="J4745" i="7"/>
  <c r="J4763" i="7"/>
  <c r="J4779" i="7"/>
  <c r="I4793" i="7"/>
  <c r="J4793" i="7"/>
  <c r="J4811" i="7"/>
  <c r="J4827" i="7"/>
  <c r="I4841" i="7"/>
  <c r="J4841" i="7"/>
  <c r="J4859" i="7"/>
  <c r="J4875" i="7"/>
  <c r="J4884" i="7"/>
  <c r="I4884" i="7"/>
  <c r="J4894" i="7"/>
  <c r="I4894" i="7"/>
  <c r="I4896" i="7"/>
  <c r="I4898" i="7"/>
  <c r="J4930" i="7"/>
  <c r="I4930" i="7"/>
  <c r="I4945" i="7"/>
  <c r="J4945" i="7"/>
  <c r="I4953" i="7"/>
  <c r="J4953" i="7"/>
  <c r="I4961" i="7"/>
  <c r="J4961" i="7"/>
  <c r="J4963" i="7"/>
  <c r="I4963" i="7"/>
  <c r="J4965" i="7"/>
  <c r="L40" i="8"/>
  <c r="J40" i="8" s="1"/>
  <c r="I40" i="8"/>
  <c r="I4092" i="7"/>
  <c r="I4132" i="7"/>
  <c r="I4378" i="7"/>
  <c r="I4469" i="7"/>
  <c r="I4489" i="7"/>
  <c r="J4512" i="7"/>
  <c r="I4512" i="7"/>
  <c r="I4603" i="7"/>
  <c r="J4603" i="7"/>
  <c r="I4605" i="7"/>
  <c r="I4615" i="7"/>
  <c r="I4633" i="7"/>
  <c r="J4633" i="7"/>
  <c r="J4750" i="7"/>
  <c r="I4750" i="7"/>
  <c r="J4798" i="7"/>
  <c r="I4798" i="7"/>
  <c r="J4846" i="7"/>
  <c r="I4846" i="7"/>
  <c r="I4901" i="7"/>
  <c r="J4901" i="7"/>
  <c r="I4913" i="7"/>
  <c r="J4913" i="7"/>
  <c r="J4915" i="7"/>
  <c r="I4915" i="7"/>
  <c r="J4928" i="7"/>
  <c r="I4928" i="7"/>
  <c r="I4937" i="7"/>
  <c r="J4937" i="7"/>
  <c r="I4947" i="7"/>
  <c r="J4947" i="7"/>
  <c r="I4949" i="7"/>
  <c r="J4949" i="7"/>
  <c r="J4978" i="7"/>
  <c r="I4978" i="7"/>
  <c r="J4980" i="7"/>
  <c r="I4980" i="7"/>
  <c r="L69" i="9"/>
  <c r="K69" i="9"/>
  <c r="F69" i="9"/>
  <c r="E69" i="9"/>
  <c r="D69" i="9"/>
  <c r="C69" i="9"/>
  <c r="B69" i="9"/>
  <c r="E38" i="10"/>
  <c r="G38" i="10" s="1"/>
  <c r="D38" i="10"/>
  <c r="B38" i="10"/>
  <c r="N38" i="10"/>
  <c r="L38" i="10"/>
  <c r="K38" i="10"/>
  <c r="I38" i="10"/>
  <c r="G127" i="10"/>
  <c r="F127" i="10"/>
  <c r="J4076" i="7"/>
  <c r="I4127" i="7"/>
  <c r="J4127" i="7"/>
  <c r="I4143" i="7"/>
  <c r="I4155" i="7"/>
  <c r="J4155" i="7"/>
  <c r="I4183" i="7"/>
  <c r="J4226" i="7"/>
  <c r="I4226" i="7"/>
  <c r="I4335" i="7"/>
  <c r="I4347" i="7"/>
  <c r="J4347" i="7"/>
  <c r="I4371" i="7"/>
  <c r="J4427" i="7"/>
  <c r="I4471" i="7"/>
  <c r="I4496" i="7"/>
  <c r="I4510" i="7"/>
  <c r="J4523" i="7"/>
  <c r="I4563" i="7"/>
  <c r="J4563" i="7"/>
  <c r="I4565" i="7"/>
  <c r="I4567" i="7"/>
  <c r="J4587" i="7"/>
  <c r="I4593" i="7"/>
  <c r="J4593" i="7"/>
  <c r="I4601" i="7"/>
  <c r="J4601" i="7"/>
  <c r="I4613" i="7"/>
  <c r="I4623" i="7"/>
  <c r="J4623" i="7"/>
  <c r="I4625" i="7"/>
  <c r="J4644" i="7"/>
  <c r="I4644" i="7"/>
  <c r="I4713" i="7"/>
  <c r="J4713" i="7"/>
  <c r="I4718" i="7"/>
  <c r="I4789" i="7"/>
  <c r="I4837" i="7"/>
  <c r="I4933" i="7"/>
  <c r="J4933" i="7"/>
  <c r="J4939" i="7"/>
  <c r="I4939" i="7"/>
  <c r="J4976" i="7"/>
  <c r="I4976" i="7"/>
  <c r="I4988" i="7"/>
  <c r="J4990" i="7"/>
  <c r="I4990" i="7"/>
  <c r="J4994" i="7"/>
  <c r="I4994" i="7"/>
  <c r="L18" i="8"/>
  <c r="J18" i="8" s="1"/>
  <c r="I18" i="8"/>
  <c r="J4904" i="7"/>
  <c r="I4904" i="7"/>
  <c r="L16" i="8"/>
  <c r="J16" i="8" s="1"/>
  <c r="I16" i="8"/>
  <c r="I44" i="8"/>
  <c r="L44" i="8"/>
  <c r="J44" i="8" s="1"/>
  <c r="L54" i="8"/>
  <c r="J54" i="8" s="1"/>
  <c r="I54" i="8"/>
  <c r="L102" i="8"/>
  <c r="J102" i="8" s="1"/>
  <c r="I102" i="8"/>
  <c r="I153" i="8"/>
  <c r="K107" i="9"/>
  <c r="F107" i="9"/>
  <c r="E107" i="9"/>
  <c r="L107" i="9"/>
  <c r="N107" i="9" s="1"/>
  <c r="D107" i="9"/>
  <c r="Q107" i="9" s="1"/>
  <c r="C107" i="9"/>
  <c r="E120" i="9"/>
  <c r="D120" i="9"/>
  <c r="C120" i="9"/>
  <c r="L120" i="9"/>
  <c r="K120" i="9"/>
  <c r="F120" i="9"/>
  <c r="J4906" i="7"/>
  <c r="I4906" i="7"/>
  <c r="J4938" i="7"/>
  <c r="I4938" i="7"/>
  <c r="L73" i="8"/>
  <c r="J73" i="8" s="1"/>
  <c r="I73" i="8"/>
  <c r="I117" i="8"/>
  <c r="L136" i="8"/>
  <c r="J136" i="8" s="1"/>
  <c r="I136" i="8"/>
  <c r="N79" i="9"/>
  <c r="B107" i="9"/>
  <c r="B120" i="9"/>
  <c r="J4702" i="7"/>
  <c r="I4702" i="7"/>
  <c r="J4746" i="7"/>
  <c r="I4746" i="7"/>
  <c r="I4748" i="7"/>
  <c r="J4764" i="7"/>
  <c r="I4764" i="7"/>
  <c r="J4770" i="7"/>
  <c r="I4770" i="7"/>
  <c r="I4772" i="7"/>
  <c r="J4788" i="7"/>
  <c r="I4788" i="7"/>
  <c r="J4794" i="7"/>
  <c r="I4794" i="7"/>
  <c r="I4796" i="7"/>
  <c r="J4812" i="7"/>
  <c r="I4812" i="7"/>
  <c r="J4818" i="7"/>
  <c r="I4818" i="7"/>
  <c r="I4820" i="7"/>
  <c r="J4836" i="7"/>
  <c r="I4836" i="7"/>
  <c r="J4842" i="7"/>
  <c r="I4842" i="7"/>
  <c r="I4844" i="7"/>
  <c r="J4860" i="7"/>
  <c r="I4860" i="7"/>
  <c r="J4866" i="7"/>
  <c r="I4866" i="7"/>
  <c r="I4868" i="7"/>
  <c r="J4891" i="7"/>
  <c r="I4891" i="7"/>
  <c r="I4897" i="7"/>
  <c r="J4897" i="7"/>
  <c r="I4936" i="7"/>
  <c r="I4940" i="7"/>
  <c r="J4942" i="7"/>
  <c r="I4942" i="7"/>
  <c r="J4944" i="7"/>
  <c r="I4960" i="7"/>
  <c r="J4962" i="7"/>
  <c r="I4962" i="7"/>
  <c r="G120" i="8"/>
  <c r="J120" i="8"/>
  <c r="L153" i="8"/>
  <c r="J153" i="8" s="1"/>
  <c r="Q5" i="9"/>
  <c r="K47" i="9"/>
  <c r="F47" i="9"/>
  <c r="E47" i="9"/>
  <c r="L47" i="9"/>
  <c r="D47" i="9"/>
  <c r="C47" i="9"/>
  <c r="B47" i="9"/>
  <c r="J4611" i="7"/>
  <c r="I4616" i="7"/>
  <c r="I4626" i="7"/>
  <c r="J4659" i="7"/>
  <c r="I4664" i="7"/>
  <c r="I4680" i="7"/>
  <c r="I4687" i="7"/>
  <c r="I4691" i="7"/>
  <c r="J4700" i="7"/>
  <c r="I4742" i="7"/>
  <c r="I4752" i="7"/>
  <c r="J4756" i="7"/>
  <c r="J4760" i="7"/>
  <c r="I4760" i="7"/>
  <c r="I4766" i="7"/>
  <c r="I4776" i="7"/>
  <c r="J4780" i="7"/>
  <c r="J4784" i="7"/>
  <c r="I4784" i="7"/>
  <c r="I4790" i="7"/>
  <c r="I4800" i="7"/>
  <c r="J4804" i="7"/>
  <c r="J4808" i="7"/>
  <c r="I4808" i="7"/>
  <c r="I4814" i="7"/>
  <c r="I4824" i="7"/>
  <c r="J4828" i="7"/>
  <c r="J4832" i="7"/>
  <c r="I4832" i="7"/>
  <c r="I4838" i="7"/>
  <c r="I4848" i="7"/>
  <c r="J4852" i="7"/>
  <c r="J4856" i="7"/>
  <c r="I4856" i="7"/>
  <c r="I4862" i="7"/>
  <c r="I4872" i="7"/>
  <c r="J4876" i="7"/>
  <c r="J4880" i="7"/>
  <c r="I4880" i="7"/>
  <c r="J4893" i="7"/>
  <c r="I4895" i="7"/>
  <c r="J4927" i="7"/>
  <c r="I4951" i="7"/>
  <c r="J4989" i="7"/>
  <c r="I4993" i="7"/>
  <c r="J4993" i="7"/>
  <c r="J5000" i="7"/>
  <c r="I5000" i="7"/>
  <c r="I52" i="8"/>
  <c r="L55" i="8"/>
  <c r="J55" i="8" s="1"/>
  <c r="I55" i="8"/>
  <c r="L61" i="8"/>
  <c r="J61" i="8" s="1"/>
  <c r="I61" i="8"/>
  <c r="L100" i="8"/>
  <c r="J100" i="8" s="1"/>
  <c r="I100" i="8"/>
  <c r="L117" i="8"/>
  <c r="J117" i="8" s="1"/>
  <c r="J4621" i="7"/>
  <c r="J4631" i="7"/>
  <c r="I4636" i="7"/>
  <c r="I4646" i="7"/>
  <c r="I4684" i="7"/>
  <c r="I4704" i="7"/>
  <c r="I4711" i="7"/>
  <c r="I4715" i="7"/>
  <c r="I4725" i="7"/>
  <c r="J4736" i="7"/>
  <c r="I4736" i="7"/>
  <c r="I4744" i="7"/>
  <c r="J4748" i="7"/>
  <c r="I4758" i="7"/>
  <c r="I4768" i="7"/>
  <c r="J4772" i="7"/>
  <c r="I4782" i="7"/>
  <c r="I4792" i="7"/>
  <c r="J4796" i="7"/>
  <c r="I4806" i="7"/>
  <c r="I4816" i="7"/>
  <c r="J4820" i="7"/>
  <c r="I4830" i="7"/>
  <c r="I4840" i="7"/>
  <c r="J4844" i="7"/>
  <c r="I4854" i="7"/>
  <c r="I4864" i="7"/>
  <c r="J4868" i="7"/>
  <c r="I4878" i="7"/>
  <c r="J4882" i="7"/>
  <c r="I4882" i="7"/>
  <c r="J4914" i="7"/>
  <c r="I4914" i="7"/>
  <c r="J4940" i="7"/>
  <c r="I4944" i="7"/>
  <c r="J4955" i="7"/>
  <c r="J4975" i="7"/>
  <c r="I4991" i="7"/>
  <c r="I4998" i="7"/>
  <c r="L42" i="8"/>
  <c r="J42" i="8" s="1"/>
  <c r="I42" i="8"/>
  <c r="J131" i="8"/>
  <c r="I151" i="8"/>
  <c r="J189" i="8"/>
  <c r="E30" i="9"/>
  <c r="D30" i="9"/>
  <c r="C30" i="9"/>
  <c r="L30" i="9"/>
  <c r="K30" i="9"/>
  <c r="F30" i="9"/>
  <c r="N38" i="9"/>
  <c r="E90" i="9"/>
  <c r="D90" i="9"/>
  <c r="Q90" i="9" s="1"/>
  <c r="C90" i="9"/>
  <c r="L90" i="9"/>
  <c r="K90" i="9"/>
  <c r="F90" i="9"/>
  <c r="B90" i="9"/>
  <c r="K113" i="9"/>
  <c r="F113" i="9"/>
  <c r="E113" i="9"/>
  <c r="D113" i="9"/>
  <c r="C113" i="9"/>
  <c r="B113" i="9"/>
  <c r="L113" i="9"/>
  <c r="N171" i="9"/>
  <c r="D197" i="10"/>
  <c r="M197" i="10" s="1"/>
  <c r="B197" i="10"/>
  <c r="K197" i="10"/>
  <c r="I197" i="10"/>
  <c r="N197" i="10"/>
  <c r="L197" i="10"/>
  <c r="E197" i="10"/>
  <c r="G197" i="10" s="1"/>
  <c r="I4163" i="7"/>
  <c r="I4211" i="7"/>
  <c r="I4259" i="7"/>
  <c r="I4307" i="7"/>
  <c r="I4355" i="7"/>
  <c r="I4403" i="7"/>
  <c r="I4451" i="7"/>
  <c r="I4499" i="7"/>
  <c r="I4547" i="7"/>
  <c r="I4595" i="7"/>
  <c r="I4643" i="7"/>
  <c r="I4673" i="7"/>
  <c r="J4691" i="7"/>
  <c r="I4695" i="7"/>
  <c r="I4708" i="7"/>
  <c r="J4719" i="7"/>
  <c r="I4719" i="7"/>
  <c r="I4721" i="7"/>
  <c r="I4916" i="7"/>
  <c r="J4918" i="7"/>
  <c r="I4918" i="7"/>
  <c r="J4920" i="7"/>
  <c r="I4927" i="7"/>
  <c r="J4931" i="7"/>
  <c r="I4946" i="7"/>
  <c r="J4968" i="7"/>
  <c r="I4995" i="7"/>
  <c r="J14" i="8"/>
  <c r="J26" i="8"/>
  <c r="L162" i="8"/>
  <c r="J162" i="8" s="1"/>
  <c r="I162" i="8"/>
  <c r="L165" i="8"/>
  <c r="J165" i="8" s="1"/>
  <c r="I165" i="8"/>
  <c r="K149" i="9"/>
  <c r="F149" i="9"/>
  <c r="E149" i="9"/>
  <c r="D149" i="9"/>
  <c r="C149" i="9"/>
  <c r="B149" i="9"/>
  <c r="L149" i="9"/>
  <c r="F108" i="10"/>
  <c r="M108" i="10"/>
  <c r="I4653" i="7"/>
  <c r="I4663" i="7"/>
  <c r="I4677" i="7"/>
  <c r="I4697" i="7"/>
  <c r="J4723" i="7"/>
  <c r="I4723" i="7"/>
  <c r="I4729" i="7"/>
  <c r="J4729" i="7"/>
  <c r="J4903" i="7"/>
  <c r="I4909" i="7"/>
  <c r="J4986" i="7"/>
  <c r="I4986" i="7"/>
  <c r="L126" i="8"/>
  <c r="J126" i="8" s="1"/>
  <c r="I126" i="8"/>
  <c r="K41" i="9"/>
  <c r="Q41" i="9" s="1"/>
  <c r="F41" i="9"/>
  <c r="E41" i="9"/>
  <c r="D41" i="9"/>
  <c r="C41" i="9"/>
  <c r="B41" i="9"/>
  <c r="L41" i="9"/>
  <c r="N41" i="9" s="1"/>
  <c r="N183" i="9"/>
  <c r="I4635" i="7"/>
  <c r="J4675" i="7"/>
  <c r="I4675" i="7"/>
  <c r="I4701" i="7"/>
  <c r="I4731" i="7"/>
  <c r="I4733" i="7"/>
  <c r="J4733" i="7"/>
  <c r="I4753" i="7"/>
  <c r="J4753" i="7"/>
  <c r="I4777" i="7"/>
  <c r="J4777" i="7"/>
  <c r="I4801" i="7"/>
  <c r="J4801" i="7"/>
  <c r="I4825" i="7"/>
  <c r="J4825" i="7"/>
  <c r="I4849" i="7"/>
  <c r="J4849" i="7"/>
  <c r="I4873" i="7"/>
  <c r="J4873" i="7"/>
  <c r="J4890" i="7"/>
  <c r="I4890" i="7"/>
  <c r="J4952" i="7"/>
  <c r="I4952" i="7"/>
  <c r="J4959" i="7"/>
  <c r="I4959" i="7"/>
  <c r="G48" i="8"/>
  <c r="J48" i="8"/>
  <c r="I56" i="8"/>
  <c r="L56" i="8"/>
  <c r="J56" i="8" s="1"/>
  <c r="L59" i="8"/>
  <c r="J59" i="8" s="1"/>
  <c r="I59" i="8"/>
  <c r="I69" i="8"/>
  <c r="I187" i="8"/>
  <c r="N5" i="9"/>
  <c r="N140" i="9"/>
  <c r="K168" i="9"/>
  <c r="F168" i="9"/>
  <c r="L168" i="9"/>
  <c r="E168" i="9"/>
  <c r="D168" i="9"/>
  <c r="Q168" i="9" s="1"/>
  <c r="C168" i="9"/>
  <c r="N195" i="9"/>
  <c r="F155" i="10"/>
  <c r="I157" i="10"/>
  <c r="N157" i="10"/>
  <c r="L157" i="10"/>
  <c r="E157" i="10"/>
  <c r="G157" i="10" s="1"/>
  <c r="B157" i="10"/>
  <c r="K157" i="10"/>
  <c r="D157" i="10"/>
  <c r="J157" i="10" s="1"/>
  <c r="I80" i="8"/>
  <c r="L97" i="8"/>
  <c r="J97" i="8" s="1"/>
  <c r="I97" i="8"/>
  <c r="L197" i="8"/>
  <c r="J197" i="8" s="1"/>
  <c r="I197" i="8"/>
  <c r="K174" i="9"/>
  <c r="F174" i="9"/>
  <c r="D174" i="9"/>
  <c r="Q174" i="9" s="1"/>
  <c r="C174" i="9"/>
  <c r="B174" i="9"/>
  <c r="L174" i="9"/>
  <c r="N174" i="9" s="1"/>
  <c r="E174" i="9"/>
  <c r="G48" i="10"/>
  <c r="F48" i="10"/>
  <c r="I133" i="10"/>
  <c r="N133" i="10"/>
  <c r="L133" i="10"/>
  <c r="E133" i="10"/>
  <c r="G133" i="10" s="1"/>
  <c r="K133" i="10"/>
  <c r="D133" i="10"/>
  <c r="M133" i="10" s="1"/>
  <c r="B133" i="10"/>
  <c r="E147" i="10"/>
  <c r="G147" i="10" s="1"/>
  <c r="L147" i="10"/>
  <c r="I147" i="10"/>
  <c r="B147" i="10"/>
  <c r="N147" i="10"/>
  <c r="I20" i="8"/>
  <c r="L37" i="8"/>
  <c r="J37" i="8" s="1"/>
  <c r="I37" i="8"/>
  <c r="L78" i="8"/>
  <c r="J78" i="8" s="1"/>
  <c r="I78" i="8"/>
  <c r="J95" i="8"/>
  <c r="I104" i="8"/>
  <c r="L133" i="8"/>
  <c r="J133" i="8" s="1"/>
  <c r="I133" i="8"/>
  <c r="I140" i="8"/>
  <c r="L169" i="8"/>
  <c r="J169" i="8" s="1"/>
  <c r="I169" i="8"/>
  <c r="I176" i="8"/>
  <c r="F14" i="9"/>
  <c r="E14" i="9"/>
  <c r="D14" i="9"/>
  <c r="Q14" i="9" s="1"/>
  <c r="C14" i="9"/>
  <c r="L14" i="9"/>
  <c r="Q16" i="9"/>
  <c r="E36" i="9"/>
  <c r="D36" i="9"/>
  <c r="Q36" i="9" s="1"/>
  <c r="C36" i="9"/>
  <c r="L36" i="9"/>
  <c r="F36" i="9"/>
  <c r="B36" i="9"/>
  <c r="E72" i="9"/>
  <c r="D72" i="9"/>
  <c r="C72" i="9"/>
  <c r="L72" i="9"/>
  <c r="K72" i="9"/>
  <c r="F72" i="9"/>
  <c r="K77" i="9"/>
  <c r="F77" i="9"/>
  <c r="E77" i="9"/>
  <c r="D77" i="9"/>
  <c r="C77" i="9"/>
  <c r="B77" i="9"/>
  <c r="N91" i="9"/>
  <c r="K101" i="9"/>
  <c r="F101" i="9"/>
  <c r="E101" i="9"/>
  <c r="D101" i="9"/>
  <c r="C101" i="9"/>
  <c r="B101" i="9"/>
  <c r="L101" i="9"/>
  <c r="L117" i="9"/>
  <c r="K117" i="9"/>
  <c r="F117" i="9"/>
  <c r="E117" i="9"/>
  <c r="D117" i="9"/>
  <c r="Q117" i="9" s="1"/>
  <c r="E175" i="9"/>
  <c r="D175" i="9"/>
  <c r="K175" i="9"/>
  <c r="F175" i="9"/>
  <c r="C175" i="9"/>
  <c r="L175" i="9"/>
  <c r="B175" i="9"/>
  <c r="N177" i="9"/>
  <c r="K198" i="9"/>
  <c r="Q198" i="9" s="1"/>
  <c r="F198" i="9"/>
  <c r="N198" i="9"/>
  <c r="L198" i="9"/>
  <c r="E198" i="9"/>
  <c r="C198" i="9"/>
  <c r="B198" i="9"/>
  <c r="E16" i="10"/>
  <c r="G16" i="10" s="1"/>
  <c r="D16" i="10"/>
  <c r="J16" i="10" s="1"/>
  <c r="K16" i="10"/>
  <c r="B16" i="10"/>
  <c r="N16" i="10"/>
  <c r="M16" i="10"/>
  <c r="L16" i="10"/>
  <c r="D147" i="10"/>
  <c r="L181" i="8"/>
  <c r="J181" i="8" s="1"/>
  <c r="I181" i="8"/>
  <c r="I188" i="8"/>
  <c r="I198" i="8"/>
  <c r="L6" i="9"/>
  <c r="B6" i="9"/>
  <c r="K6" i="9"/>
  <c r="C6" i="9"/>
  <c r="F11" i="9"/>
  <c r="E11" i="9"/>
  <c r="C11" i="9"/>
  <c r="B11" i="9"/>
  <c r="F17" i="9"/>
  <c r="E17" i="9"/>
  <c r="K17" i="9"/>
  <c r="Q17" i="9" s="1"/>
  <c r="C17" i="9"/>
  <c r="B17" i="9"/>
  <c r="N25" i="9"/>
  <c r="L58" i="9"/>
  <c r="K58" i="9"/>
  <c r="E58" i="9"/>
  <c r="C58" i="9"/>
  <c r="B58" i="9"/>
  <c r="K83" i="9"/>
  <c r="F83" i="9"/>
  <c r="E83" i="9"/>
  <c r="L83" i="9"/>
  <c r="C83" i="9"/>
  <c r="B83" i="9"/>
  <c r="L94" i="9"/>
  <c r="K94" i="9"/>
  <c r="E94" i="9"/>
  <c r="D94" i="9"/>
  <c r="C94" i="9"/>
  <c r="B94" i="9"/>
  <c r="K155" i="9"/>
  <c r="F155" i="9"/>
  <c r="E155" i="9"/>
  <c r="L155" i="9"/>
  <c r="D155" i="9"/>
  <c r="C155" i="9"/>
  <c r="E187" i="9"/>
  <c r="D187" i="9"/>
  <c r="F187" i="9"/>
  <c r="C187" i="9"/>
  <c r="B187" i="9"/>
  <c r="L187" i="9"/>
  <c r="N187" i="9" s="1"/>
  <c r="J55" i="10"/>
  <c r="F55" i="10"/>
  <c r="M55" i="10"/>
  <c r="K71" i="10"/>
  <c r="J71" i="10"/>
  <c r="B71" i="10"/>
  <c r="N71" i="10"/>
  <c r="L71" i="10"/>
  <c r="I71" i="10"/>
  <c r="E71" i="10"/>
  <c r="G71" i="10" s="1"/>
  <c r="D71" i="10"/>
  <c r="M90" i="10"/>
  <c r="F90" i="10"/>
  <c r="I68" i="8"/>
  <c r="L85" i="8"/>
  <c r="J85" i="8" s="1"/>
  <c r="I85" i="8"/>
  <c r="L109" i="8"/>
  <c r="J109" i="8" s="1"/>
  <c r="I109" i="8"/>
  <c r="I116" i="8"/>
  <c r="L145" i="8"/>
  <c r="J145" i="8" s="1"/>
  <c r="I145" i="8"/>
  <c r="I152" i="8"/>
  <c r="K2" i="9"/>
  <c r="D6" i="9"/>
  <c r="Q6" i="9" s="1"/>
  <c r="D8" i="9"/>
  <c r="Q8" i="9" s="1"/>
  <c r="C8" i="9"/>
  <c r="B8" i="9"/>
  <c r="L8" i="9"/>
  <c r="E8" i="9"/>
  <c r="D11" i="9"/>
  <c r="D17" i="9"/>
  <c r="D58" i="9"/>
  <c r="Q58" i="9" s="1"/>
  <c r="D83" i="9"/>
  <c r="F94" i="9"/>
  <c r="N103" i="9"/>
  <c r="K125" i="9"/>
  <c r="F125" i="9"/>
  <c r="E125" i="9"/>
  <c r="D125" i="9"/>
  <c r="C125" i="9"/>
  <c r="B125" i="9"/>
  <c r="E138" i="9"/>
  <c r="D138" i="9"/>
  <c r="C138" i="9"/>
  <c r="L138" i="9"/>
  <c r="K138" i="9"/>
  <c r="F138" i="9"/>
  <c r="B155" i="9"/>
  <c r="D178" i="9"/>
  <c r="L178" i="9"/>
  <c r="F178" i="9"/>
  <c r="C178" i="9"/>
  <c r="B178" i="9"/>
  <c r="K187" i="9"/>
  <c r="E40" i="10"/>
  <c r="G40" i="10" s="1"/>
  <c r="D40" i="10"/>
  <c r="K40" i="10"/>
  <c r="L40" i="10"/>
  <c r="N40" i="10"/>
  <c r="B40" i="10"/>
  <c r="I8" i="8"/>
  <c r="L25" i="8"/>
  <c r="J25" i="8" s="1"/>
  <c r="I25" i="8"/>
  <c r="L66" i="8"/>
  <c r="J66" i="8" s="1"/>
  <c r="I66" i="8"/>
  <c r="J83" i="8"/>
  <c r="J107" i="8"/>
  <c r="J143" i="8"/>
  <c r="J156" i="8"/>
  <c r="L186" i="8"/>
  <c r="J186" i="8" s="1"/>
  <c r="I186" i="8"/>
  <c r="L198" i="8"/>
  <c r="J198" i="8" s="1"/>
  <c r="E6" i="9"/>
  <c r="F8" i="9"/>
  <c r="K11" i="9"/>
  <c r="L17" i="9"/>
  <c r="N17" i="9" s="1"/>
  <c r="F58" i="9"/>
  <c r="N74" i="9"/>
  <c r="K95" i="9"/>
  <c r="Q95" i="9" s="1"/>
  <c r="F95" i="9"/>
  <c r="E95" i="9"/>
  <c r="N95" i="9"/>
  <c r="B95" i="9"/>
  <c r="Q104" i="9"/>
  <c r="L125" i="9"/>
  <c r="B138" i="9"/>
  <c r="L142" i="9"/>
  <c r="K142" i="9"/>
  <c r="N142" i="9"/>
  <c r="E142" i="9"/>
  <c r="D142" i="9"/>
  <c r="C142" i="9"/>
  <c r="B142" i="9"/>
  <c r="D166" i="9"/>
  <c r="L166" i="9"/>
  <c r="K166" i="9"/>
  <c r="Q166" i="9" s="1"/>
  <c r="F166" i="9"/>
  <c r="E166" i="9"/>
  <c r="C166" i="9"/>
  <c r="B166" i="9"/>
  <c r="E178" i="9"/>
  <c r="L21" i="10"/>
  <c r="E21" i="10"/>
  <c r="G21" i="10" s="1"/>
  <c r="N21" i="10"/>
  <c r="I21" i="10"/>
  <c r="K21" i="10"/>
  <c r="E88" i="10"/>
  <c r="G88" i="10" s="1"/>
  <c r="D88" i="10"/>
  <c r="K88" i="10"/>
  <c r="B88" i="10"/>
  <c r="I88" i="10"/>
  <c r="J88" i="10" s="1"/>
  <c r="N88" i="10"/>
  <c r="M88" i="10" s="1"/>
  <c r="E182" i="10"/>
  <c r="G182" i="10" s="1"/>
  <c r="D182" i="10"/>
  <c r="B182" i="10"/>
  <c r="N182" i="10"/>
  <c r="L182" i="10"/>
  <c r="I182" i="10"/>
  <c r="K182" i="10"/>
  <c r="L6" i="8"/>
  <c r="J6" i="8" s="1"/>
  <c r="I6" i="8"/>
  <c r="J23" i="8"/>
  <c r="I92" i="8"/>
  <c r="L114" i="8"/>
  <c r="J114" i="8" s="1"/>
  <c r="I114" i="8"/>
  <c r="L150" i="8"/>
  <c r="J150" i="8" s="1"/>
  <c r="I150" i="8"/>
  <c r="L188" i="8"/>
  <c r="J188" i="8" s="1"/>
  <c r="F6" i="9"/>
  <c r="L11" i="9"/>
  <c r="Q44" i="9"/>
  <c r="C95" i="9"/>
  <c r="Q125" i="9"/>
  <c r="K131" i="9"/>
  <c r="Q131" i="9" s="1"/>
  <c r="F131" i="9"/>
  <c r="E131" i="9"/>
  <c r="L131" i="9"/>
  <c r="C131" i="9"/>
  <c r="B131" i="9"/>
  <c r="F142" i="9"/>
  <c r="K178" i="9"/>
  <c r="B21" i="10"/>
  <c r="L88" i="10"/>
  <c r="I32" i="8"/>
  <c r="L49" i="8"/>
  <c r="J49" i="8" s="1"/>
  <c r="I49" i="8"/>
  <c r="L90" i="8"/>
  <c r="J90" i="8" s="1"/>
  <c r="I90" i="8"/>
  <c r="I199" i="8"/>
  <c r="L199" i="8"/>
  <c r="J199" i="8" s="1"/>
  <c r="Q20" i="9"/>
  <c r="Q27" i="9"/>
  <c r="E66" i="9"/>
  <c r="D66" i="9"/>
  <c r="C66" i="9"/>
  <c r="L66" i="9"/>
  <c r="K66" i="9"/>
  <c r="F66" i="9"/>
  <c r="B66" i="9"/>
  <c r="K143" i="9"/>
  <c r="Q143" i="9" s="1"/>
  <c r="F143" i="9"/>
  <c r="E143" i="9"/>
  <c r="N143" i="9"/>
  <c r="B143" i="9"/>
  <c r="Q152" i="9"/>
  <c r="D21" i="10"/>
  <c r="J21" i="10" s="1"/>
  <c r="M36" i="10"/>
  <c r="F36" i="10"/>
  <c r="I40" i="10"/>
  <c r="N92" i="10"/>
  <c r="L92" i="10"/>
  <c r="K92" i="10"/>
  <c r="D92" i="10"/>
  <c r="J92" i="10" s="1"/>
  <c r="I92" i="10"/>
  <c r="E92" i="10"/>
  <c r="G92" i="10" s="1"/>
  <c r="B92" i="10"/>
  <c r="L30" i="8"/>
  <c r="J30" i="8" s="1"/>
  <c r="I30" i="8"/>
  <c r="J47" i="8"/>
  <c r="L121" i="8"/>
  <c r="J121" i="8" s="1"/>
  <c r="I121" i="8"/>
  <c r="I128" i="8"/>
  <c r="L157" i="8"/>
  <c r="J157" i="8" s="1"/>
  <c r="I157" i="8"/>
  <c r="I164" i="8"/>
  <c r="K3" i="9"/>
  <c r="L33" i="9"/>
  <c r="N33" i="9" s="1"/>
  <c r="K33" i="9"/>
  <c r="Q33" i="9" s="1"/>
  <c r="F33" i="9"/>
  <c r="E33" i="9"/>
  <c r="C33" i="9"/>
  <c r="B33" i="9"/>
  <c r="N85" i="9"/>
  <c r="N92" i="9"/>
  <c r="C143" i="9"/>
  <c r="E163" i="9"/>
  <c r="L163" i="9"/>
  <c r="K163" i="9"/>
  <c r="Q163" i="9" s="1"/>
  <c r="F163" i="9"/>
  <c r="B163" i="9"/>
  <c r="L185" i="9"/>
  <c r="B185" i="9"/>
  <c r="K185" i="9"/>
  <c r="F185" i="9"/>
  <c r="E185" i="9"/>
  <c r="D185" i="9"/>
  <c r="Q185" i="9" s="1"/>
  <c r="I13" i="10"/>
  <c r="D13" i="10" s="1"/>
  <c r="N13" i="10"/>
  <c r="L13" i="10"/>
  <c r="G78" i="10"/>
  <c r="F78" i="10"/>
  <c r="E49" i="10"/>
  <c r="G49" i="10" s="1"/>
  <c r="E75" i="10"/>
  <c r="G75" i="10" s="1"/>
  <c r="L75" i="10"/>
  <c r="I75" i="10"/>
  <c r="N75" i="10"/>
  <c r="M75" i="10"/>
  <c r="K75" i="10"/>
  <c r="D75" i="10"/>
  <c r="F116" i="10"/>
  <c r="E124" i="10"/>
  <c r="G124" i="10" s="1"/>
  <c r="D124" i="10"/>
  <c r="K124" i="10"/>
  <c r="B124" i="10"/>
  <c r="N124" i="10"/>
  <c r="L124" i="10"/>
  <c r="D149" i="10"/>
  <c r="J149" i="10" s="1"/>
  <c r="B149" i="10"/>
  <c r="N149" i="10"/>
  <c r="E149" i="10"/>
  <c r="G149" i="10" s="1"/>
  <c r="L149" i="10"/>
  <c r="K18" i="9"/>
  <c r="Q21" i="9"/>
  <c r="Q32" i="9"/>
  <c r="L118" i="9"/>
  <c r="N118" i="9" s="1"/>
  <c r="K118" i="9"/>
  <c r="Q118" i="9" s="1"/>
  <c r="L119" i="9"/>
  <c r="N119" i="9" s="1"/>
  <c r="B167" i="9"/>
  <c r="L167" i="9"/>
  <c r="N167" i="9" s="1"/>
  <c r="K167" i="9"/>
  <c r="Q167" i="9" s="1"/>
  <c r="F167" i="9"/>
  <c r="N20" i="10"/>
  <c r="M20" i="10" s="1"/>
  <c r="L20" i="10"/>
  <c r="K20" i="10"/>
  <c r="I20" i="10"/>
  <c r="J20" i="10" s="1"/>
  <c r="E20" i="10"/>
  <c r="G20" i="10" s="1"/>
  <c r="E28" i="10"/>
  <c r="G28" i="10" s="1"/>
  <c r="D28" i="10"/>
  <c r="K28" i="10"/>
  <c r="N28" i="10"/>
  <c r="L28" i="10"/>
  <c r="J43" i="10"/>
  <c r="F43" i="10"/>
  <c r="N56" i="10"/>
  <c r="M56" i="10" s="1"/>
  <c r="L56" i="10"/>
  <c r="K56" i="10"/>
  <c r="I56" i="10"/>
  <c r="J56" i="10" s="1"/>
  <c r="D113" i="10"/>
  <c r="B113" i="10"/>
  <c r="N113" i="10"/>
  <c r="M113" i="10"/>
  <c r="L113" i="10"/>
  <c r="K113" i="10"/>
  <c r="I113" i="10"/>
  <c r="E113" i="10"/>
  <c r="G113" i="10" s="1"/>
  <c r="B122" i="10"/>
  <c r="E122" i="10"/>
  <c r="G122" i="10" s="1"/>
  <c r="D122" i="10"/>
  <c r="N122" i="10"/>
  <c r="L122" i="10"/>
  <c r="G60" i="13"/>
  <c r="E60" i="13"/>
  <c r="H61" i="12" s="1"/>
  <c r="D60" i="13"/>
  <c r="E61" i="12" s="1"/>
  <c r="F60" i="13"/>
  <c r="K61" i="12" s="1"/>
  <c r="I196" i="8"/>
  <c r="F12" i="9"/>
  <c r="L16" i="9"/>
  <c r="N16" i="9" s="1"/>
  <c r="K16" i="9"/>
  <c r="L45" i="9"/>
  <c r="N45" i="9" s="1"/>
  <c r="K45" i="9"/>
  <c r="Q45" i="9" s="1"/>
  <c r="F45" i="9"/>
  <c r="E48" i="9"/>
  <c r="D48" i="9"/>
  <c r="N48" i="9" s="1"/>
  <c r="C48" i="9"/>
  <c r="Q48" i="9"/>
  <c r="K53" i="9"/>
  <c r="F53" i="9"/>
  <c r="E53" i="9"/>
  <c r="D53" i="9"/>
  <c r="C53" i="9"/>
  <c r="B53" i="9"/>
  <c r="L70" i="9"/>
  <c r="K70" i="9"/>
  <c r="Q70" i="9" s="1"/>
  <c r="N70" i="9"/>
  <c r="E78" i="9"/>
  <c r="D78" i="9"/>
  <c r="C78" i="9"/>
  <c r="L78" i="9"/>
  <c r="K78" i="9"/>
  <c r="F78" i="9"/>
  <c r="N105" i="9"/>
  <c r="L105" i="9"/>
  <c r="K105" i="9"/>
  <c r="Q105" i="9" s="1"/>
  <c r="F105" i="9"/>
  <c r="E108" i="9"/>
  <c r="D108" i="9"/>
  <c r="Q108" i="9" s="1"/>
  <c r="C108" i="9"/>
  <c r="B118" i="9"/>
  <c r="E126" i="9"/>
  <c r="D126" i="9"/>
  <c r="C126" i="9"/>
  <c r="L126" i="9"/>
  <c r="K126" i="9"/>
  <c r="F126" i="9"/>
  <c r="L153" i="9"/>
  <c r="K153" i="9"/>
  <c r="Q153" i="9" s="1"/>
  <c r="F153" i="9"/>
  <c r="E156" i="9"/>
  <c r="D156" i="9"/>
  <c r="C156" i="9"/>
  <c r="Q156" i="9"/>
  <c r="B161" i="9"/>
  <c r="L161" i="9"/>
  <c r="N161" i="9" s="1"/>
  <c r="K161" i="9"/>
  <c r="F161" i="9"/>
  <c r="E161" i="9"/>
  <c r="D161" i="9"/>
  <c r="C167" i="9"/>
  <c r="Q171" i="9"/>
  <c r="K180" i="9"/>
  <c r="F180" i="9"/>
  <c r="Q180" i="9"/>
  <c r="L180" i="9"/>
  <c r="N180" i="9" s="1"/>
  <c r="E180" i="9"/>
  <c r="E193" i="9"/>
  <c r="D193" i="9"/>
  <c r="N193" i="9" s="1"/>
  <c r="K193" i="9"/>
  <c r="F193" i="9"/>
  <c r="C193" i="9"/>
  <c r="Q195" i="9"/>
  <c r="B20" i="10"/>
  <c r="B28" i="10"/>
  <c r="L46" i="10"/>
  <c r="K46" i="10"/>
  <c r="D46" i="10"/>
  <c r="E46" i="10"/>
  <c r="G46" i="10" s="1"/>
  <c r="B56" i="10"/>
  <c r="M78" i="10"/>
  <c r="M115" i="10"/>
  <c r="J115" i="10"/>
  <c r="I122" i="10"/>
  <c r="K149" i="10"/>
  <c r="J191" i="8"/>
  <c r="I193" i="8"/>
  <c r="Q9" i="9"/>
  <c r="K35" i="9"/>
  <c r="Q35" i="9" s="1"/>
  <c r="F35" i="9"/>
  <c r="E35" i="9"/>
  <c r="L57" i="9"/>
  <c r="N57" i="9" s="1"/>
  <c r="K57" i="9"/>
  <c r="Q57" i="9" s="1"/>
  <c r="F57" i="9"/>
  <c r="E60" i="9"/>
  <c r="D60" i="9"/>
  <c r="C60" i="9"/>
  <c r="Q60" i="9"/>
  <c r="K65" i="9"/>
  <c r="F65" i="9"/>
  <c r="E65" i="9"/>
  <c r="D65" i="9"/>
  <c r="C65" i="9"/>
  <c r="B65" i="9"/>
  <c r="L82" i="9"/>
  <c r="N82" i="9" s="1"/>
  <c r="K82" i="9"/>
  <c r="Q82" i="9" s="1"/>
  <c r="L130" i="9"/>
  <c r="K130" i="9"/>
  <c r="Q130" i="9" s="1"/>
  <c r="E167" i="9"/>
  <c r="F26" i="10"/>
  <c r="F42" i="10"/>
  <c r="E56" i="10"/>
  <c r="G56" i="10" s="1"/>
  <c r="K86" i="10"/>
  <c r="I86" i="10"/>
  <c r="E86" i="10"/>
  <c r="G86" i="10" s="1"/>
  <c r="D86" i="10"/>
  <c r="B86" i="10"/>
  <c r="E99" i="10"/>
  <c r="G99" i="10" s="1"/>
  <c r="L99" i="10"/>
  <c r="N99" i="10"/>
  <c r="M99" i="10" s="1"/>
  <c r="B99" i="10"/>
  <c r="K99" i="10"/>
  <c r="J99" i="10"/>
  <c r="M114" i="10"/>
  <c r="F115" i="10"/>
  <c r="D161" i="10"/>
  <c r="J161" i="10" s="1"/>
  <c r="B161" i="10"/>
  <c r="K161" i="10"/>
  <c r="I161" i="10"/>
  <c r="N161" i="10"/>
  <c r="L161" i="10"/>
  <c r="E161" i="10"/>
  <c r="G161" i="10" s="1"/>
  <c r="E15" i="9"/>
  <c r="L34" i="9"/>
  <c r="N34" i="9" s="1"/>
  <c r="K34" i="9"/>
  <c r="Q34" i="9" s="1"/>
  <c r="L35" i="9"/>
  <c r="N35" i="9" s="1"/>
  <c r="E42" i="9"/>
  <c r="D42" i="9"/>
  <c r="C42" i="9"/>
  <c r="L42" i="9"/>
  <c r="K42" i="9"/>
  <c r="F42" i="9"/>
  <c r="E57" i="9"/>
  <c r="K59" i="9"/>
  <c r="F59" i="9"/>
  <c r="E59" i="9"/>
  <c r="L60" i="9"/>
  <c r="L81" i="9"/>
  <c r="K81" i="9"/>
  <c r="F81" i="9"/>
  <c r="E82" i="9"/>
  <c r="E84" i="9"/>
  <c r="D84" i="9"/>
  <c r="C84" i="9"/>
  <c r="E102" i="9"/>
  <c r="D102" i="9"/>
  <c r="C102" i="9"/>
  <c r="L102" i="9"/>
  <c r="K102" i="9"/>
  <c r="F102" i="9"/>
  <c r="L129" i="9"/>
  <c r="N129" i="9" s="1"/>
  <c r="K129" i="9"/>
  <c r="F129" i="9"/>
  <c r="E130" i="9"/>
  <c r="E132" i="9"/>
  <c r="D132" i="9"/>
  <c r="C132" i="9"/>
  <c r="E150" i="9"/>
  <c r="D150" i="9"/>
  <c r="C150" i="9"/>
  <c r="L150" i="9"/>
  <c r="K150" i="9"/>
  <c r="Q150" i="9" s="1"/>
  <c r="F150" i="9"/>
  <c r="L162" i="9"/>
  <c r="N162" i="9" s="1"/>
  <c r="K162" i="9"/>
  <c r="F162" i="9"/>
  <c r="M42" i="10"/>
  <c r="E52" i="10"/>
  <c r="G52" i="10" s="1"/>
  <c r="D52" i="10"/>
  <c r="K52" i="10"/>
  <c r="B52" i="10"/>
  <c r="N52" i="10"/>
  <c r="L52" i="10"/>
  <c r="I61" i="10"/>
  <c r="J61" i="10" s="1"/>
  <c r="N61" i="10"/>
  <c r="M61" i="10" s="1"/>
  <c r="E61" i="10"/>
  <c r="G61" i="10" s="1"/>
  <c r="L69" i="10"/>
  <c r="E69" i="10"/>
  <c r="G69" i="10" s="1"/>
  <c r="I69" i="10"/>
  <c r="J69" i="10" s="1"/>
  <c r="B69" i="10"/>
  <c r="N69" i="10"/>
  <c r="M69" i="10" s="1"/>
  <c r="K83" i="10"/>
  <c r="B83" i="10"/>
  <c r="L83" i="10"/>
  <c r="I83" i="10"/>
  <c r="J83" i="10" s="1"/>
  <c r="N83" i="10"/>
  <c r="M83" i="10" s="1"/>
  <c r="E83" i="10"/>
  <c r="G83" i="10" s="1"/>
  <c r="M169" i="10"/>
  <c r="D209" i="10"/>
  <c r="F209" i="10" s="1"/>
  <c r="B209" i="10"/>
  <c r="L209" i="10"/>
  <c r="N209" i="10"/>
  <c r="K209" i="10"/>
  <c r="I209" i="10"/>
  <c r="F15" i="9"/>
  <c r="D18" i="9"/>
  <c r="N18" i="9" s="1"/>
  <c r="C18" i="9"/>
  <c r="Q23" i="9"/>
  <c r="Q80" i="9"/>
  <c r="K89" i="9"/>
  <c r="F89" i="9"/>
  <c r="E89" i="9"/>
  <c r="D89" i="9"/>
  <c r="C89" i="9"/>
  <c r="B89" i="9"/>
  <c r="K119" i="9"/>
  <c r="Q119" i="9" s="1"/>
  <c r="F119" i="9"/>
  <c r="E119" i="9"/>
  <c r="Q128" i="9"/>
  <c r="K137" i="9"/>
  <c r="F137" i="9"/>
  <c r="E137" i="9"/>
  <c r="D137" i="9"/>
  <c r="C137" i="9"/>
  <c r="B137" i="9"/>
  <c r="K192" i="9"/>
  <c r="F192" i="9"/>
  <c r="D192" i="9"/>
  <c r="Q192" i="9" s="1"/>
  <c r="C192" i="9"/>
  <c r="B192" i="9"/>
  <c r="I25" i="10"/>
  <c r="N25" i="10"/>
  <c r="E25" i="10"/>
  <c r="G25" i="10" s="1"/>
  <c r="L25" i="10"/>
  <c r="E27" i="10"/>
  <c r="G27" i="10" s="1"/>
  <c r="L27" i="10"/>
  <c r="N27" i="10"/>
  <c r="I27" i="10"/>
  <c r="D27" i="10"/>
  <c r="K35" i="10"/>
  <c r="B35" i="10"/>
  <c r="N35" i="10"/>
  <c r="I35" i="10"/>
  <c r="E35" i="10"/>
  <c r="G35" i="10" s="1"/>
  <c r="D35" i="10"/>
  <c r="M35" i="10" s="1"/>
  <c r="I49" i="10"/>
  <c r="N49" i="10"/>
  <c r="L49" i="10"/>
  <c r="E63" i="10"/>
  <c r="G63" i="10" s="1"/>
  <c r="L63" i="10"/>
  <c r="N63" i="10"/>
  <c r="K63" i="10"/>
  <c r="I63" i="10"/>
  <c r="J63" i="10" s="1"/>
  <c r="F80" i="10"/>
  <c r="J80" i="10"/>
  <c r="M119" i="10"/>
  <c r="F119" i="10"/>
  <c r="G126" i="10"/>
  <c r="F126" i="10"/>
  <c r="E26" i="13"/>
  <c r="F26" i="13"/>
  <c r="K27" i="12" s="1"/>
  <c r="G26" i="13"/>
  <c r="D26" i="13"/>
  <c r="K15" i="9"/>
  <c r="Q15" i="9" s="1"/>
  <c r="B18" i="9"/>
  <c r="K29" i="9"/>
  <c r="F29" i="9"/>
  <c r="E29" i="9"/>
  <c r="D29" i="9"/>
  <c r="Q29" i="9" s="1"/>
  <c r="C29" i="9"/>
  <c r="B29" i="9"/>
  <c r="N31" i="9"/>
  <c r="L46" i="9"/>
  <c r="N46" i="9" s="1"/>
  <c r="K46" i="9"/>
  <c r="Q46" i="9" s="1"/>
  <c r="E54" i="9"/>
  <c r="D54" i="9"/>
  <c r="C54" i="9"/>
  <c r="L54" i="9"/>
  <c r="K54" i="9"/>
  <c r="F54" i="9"/>
  <c r="K71" i="9"/>
  <c r="F71" i="9"/>
  <c r="E71" i="9"/>
  <c r="Q71" i="9"/>
  <c r="N73" i="9"/>
  <c r="L89" i="9"/>
  <c r="N89" i="9" s="1"/>
  <c r="L106" i="9"/>
  <c r="N106" i="9" s="1"/>
  <c r="K106" i="9"/>
  <c r="Q106" i="9" s="1"/>
  <c r="B119" i="9"/>
  <c r="C129" i="9"/>
  <c r="F132" i="9"/>
  <c r="N134" i="9"/>
  <c r="L137" i="9"/>
  <c r="N137" i="9" s="1"/>
  <c r="L154" i="9"/>
  <c r="K154" i="9"/>
  <c r="Q154" i="9" s="1"/>
  <c r="N154" i="9"/>
  <c r="C170" i="9"/>
  <c r="B170" i="9"/>
  <c r="L170" i="9"/>
  <c r="N170" i="9" s="1"/>
  <c r="K170" i="9"/>
  <c r="K186" i="9"/>
  <c r="Q186" i="9" s="1"/>
  <c r="F186" i="9"/>
  <c r="L186" i="9"/>
  <c r="E192" i="9"/>
  <c r="C194" i="9"/>
  <c r="B194" i="9"/>
  <c r="L194" i="9"/>
  <c r="K194" i="9"/>
  <c r="F194" i="9"/>
  <c r="E194" i="9"/>
  <c r="D194" i="9"/>
  <c r="Q194" i="9" s="1"/>
  <c r="D196" i="9"/>
  <c r="Q196" i="9" s="1"/>
  <c r="L196" i="9"/>
  <c r="D17" i="10"/>
  <c r="B17" i="10"/>
  <c r="K17" i="10"/>
  <c r="I17" i="10"/>
  <c r="J17" i="10" s="1"/>
  <c r="B25" i="10"/>
  <c r="B27" i="10"/>
  <c r="M33" i="10"/>
  <c r="L33" i="10"/>
  <c r="E33" i="10"/>
  <c r="G33" i="10" s="1"/>
  <c r="I33" i="10"/>
  <c r="J33" i="10" s="1"/>
  <c r="N33" i="10"/>
  <c r="K33" i="10"/>
  <c r="L35" i="10"/>
  <c r="B49" i="10"/>
  <c r="B63" i="10"/>
  <c r="M87" i="10"/>
  <c r="J87" i="10"/>
  <c r="F179" i="10"/>
  <c r="M179" i="10"/>
  <c r="G186" i="10"/>
  <c r="F186" i="10"/>
  <c r="D12" i="9"/>
  <c r="N12" i="9" s="1"/>
  <c r="C12" i="9"/>
  <c r="L15" i="9"/>
  <c r="N15" i="9" s="1"/>
  <c r="E18" i="9"/>
  <c r="L29" i="9"/>
  <c r="B46" i="9"/>
  <c r="B54" i="9"/>
  <c r="D59" i="9"/>
  <c r="N59" i="9" s="1"/>
  <c r="B71" i="9"/>
  <c r="D81" i="9"/>
  <c r="K84" i="9"/>
  <c r="Q84" i="9" s="1"/>
  <c r="L93" i="9"/>
  <c r="K93" i="9"/>
  <c r="Q93" i="9" s="1"/>
  <c r="F93" i="9"/>
  <c r="E96" i="9"/>
  <c r="D96" i="9"/>
  <c r="Q96" i="9" s="1"/>
  <c r="C96" i="9"/>
  <c r="B106" i="9"/>
  <c r="E114" i="9"/>
  <c r="D114" i="9"/>
  <c r="C114" i="9"/>
  <c r="L114" i="9"/>
  <c r="K114" i="9"/>
  <c r="F114" i="9"/>
  <c r="C119" i="9"/>
  <c r="D129" i="9"/>
  <c r="K132" i="9"/>
  <c r="N141" i="9"/>
  <c r="L141" i="9"/>
  <c r="K141" i="9"/>
  <c r="Q141" i="9" s="1"/>
  <c r="F141" i="9"/>
  <c r="E144" i="9"/>
  <c r="D144" i="9"/>
  <c r="C144" i="9"/>
  <c r="Q144" i="9"/>
  <c r="N150" i="9"/>
  <c r="B154" i="9"/>
  <c r="D162" i="9"/>
  <c r="D170" i="9"/>
  <c r="B186" i="9"/>
  <c r="C188" i="9"/>
  <c r="B188" i="9"/>
  <c r="L188" i="9"/>
  <c r="N188" i="9" s="1"/>
  <c r="Q188" i="9"/>
  <c r="L192" i="9"/>
  <c r="B196" i="9"/>
  <c r="E17" i="10"/>
  <c r="G17" i="10" s="1"/>
  <c r="D25" i="10"/>
  <c r="K27" i="10"/>
  <c r="B33" i="10"/>
  <c r="F44" i="10"/>
  <c r="D49" i="10"/>
  <c r="M49" i="10" s="1"/>
  <c r="D63" i="10"/>
  <c r="K69" i="10"/>
  <c r="M79" i="10"/>
  <c r="J79" i="10"/>
  <c r="J91" i="10"/>
  <c r="M91" i="10"/>
  <c r="N104" i="10"/>
  <c r="E104" i="10"/>
  <c r="G104" i="10" s="1"/>
  <c r="D104" i="10"/>
  <c r="M104" i="10" s="1"/>
  <c r="L104" i="10"/>
  <c r="K104" i="10"/>
  <c r="I104" i="10"/>
  <c r="K107" i="10"/>
  <c r="B107" i="10"/>
  <c r="N107" i="10"/>
  <c r="D107" i="10"/>
  <c r="F107" i="10" s="1"/>
  <c r="L107" i="10"/>
  <c r="I107" i="10"/>
  <c r="E135" i="10"/>
  <c r="G135" i="10" s="1"/>
  <c r="L135" i="10"/>
  <c r="N135" i="10"/>
  <c r="B135" i="10"/>
  <c r="K135" i="10"/>
  <c r="I135" i="10"/>
  <c r="D135" i="10"/>
  <c r="M135" i="10" s="1"/>
  <c r="F144" i="10"/>
  <c r="G144" i="10"/>
  <c r="F205" i="10"/>
  <c r="F207" i="10"/>
  <c r="E183" i="10"/>
  <c r="G183" i="10" s="1"/>
  <c r="L183" i="10"/>
  <c r="I183" i="10"/>
  <c r="J183" i="10" s="1"/>
  <c r="D185" i="10"/>
  <c r="B185" i="10"/>
  <c r="N185" i="10"/>
  <c r="M185" i="10"/>
  <c r="E185" i="10"/>
  <c r="G185" i="10" s="1"/>
  <c r="I193" i="10"/>
  <c r="N193" i="10"/>
  <c r="L193" i="10"/>
  <c r="E193" i="10"/>
  <c r="G193" i="10" s="1"/>
  <c r="D193" i="10"/>
  <c r="B193" i="10"/>
  <c r="E39" i="10"/>
  <c r="G39" i="10" s="1"/>
  <c r="L39" i="10"/>
  <c r="I39" i="10"/>
  <c r="J39" i="10" s="1"/>
  <c r="K47" i="10"/>
  <c r="B47" i="10"/>
  <c r="L47" i="10"/>
  <c r="I47" i="10"/>
  <c r="J54" i="10"/>
  <c r="N68" i="10"/>
  <c r="E68" i="10"/>
  <c r="G68" i="10" s="1"/>
  <c r="D68" i="10"/>
  <c r="M68" i="10" s="1"/>
  <c r="D77" i="10"/>
  <c r="B77" i="10"/>
  <c r="N77" i="10"/>
  <c r="M77" i="10"/>
  <c r="L98" i="10"/>
  <c r="K98" i="10"/>
  <c r="L106" i="10"/>
  <c r="K106" i="10"/>
  <c r="D106" i="10"/>
  <c r="J106" i="10" s="1"/>
  <c r="N106" i="10"/>
  <c r="M111" i="10"/>
  <c r="L154" i="10"/>
  <c r="K154" i="10"/>
  <c r="D154" i="10"/>
  <c r="E154" i="10"/>
  <c r="G154" i="10" s="1"/>
  <c r="N154" i="10"/>
  <c r="M159" i="10"/>
  <c r="J159" i="10"/>
  <c r="B183" i="10"/>
  <c r="I185" i="10"/>
  <c r="J185" i="10" s="1"/>
  <c r="M195" i="10"/>
  <c r="J195" i="10"/>
  <c r="Y141" i="15"/>
  <c r="X141" i="15"/>
  <c r="L142" i="12"/>
  <c r="O142" i="12"/>
  <c r="I142" i="12"/>
  <c r="C142" i="12"/>
  <c r="D142" i="12" s="1"/>
  <c r="F142" i="12"/>
  <c r="AH141" i="11"/>
  <c r="V141" i="11"/>
  <c r="J141" i="11"/>
  <c r="AG141" i="11"/>
  <c r="U141" i="11"/>
  <c r="I141" i="11"/>
  <c r="AF141" i="11"/>
  <c r="T141" i="11"/>
  <c r="H141" i="11"/>
  <c r="AB141" i="11"/>
  <c r="P141" i="11"/>
  <c r="D141" i="11"/>
  <c r="AD141" i="11"/>
  <c r="M141" i="11"/>
  <c r="Y141" i="11"/>
  <c r="F141" i="11"/>
  <c r="W141" i="11"/>
  <c r="C141" i="11"/>
  <c r="AL141" i="11"/>
  <c r="S141" i="11"/>
  <c r="B141" i="11"/>
  <c r="AK141" i="11"/>
  <c r="L141" i="11"/>
  <c r="AJ141" i="11"/>
  <c r="K141" i="11"/>
  <c r="AI141" i="11"/>
  <c r="G141" i="11"/>
  <c r="AE141" i="11"/>
  <c r="E141" i="11"/>
  <c r="AA141" i="11"/>
  <c r="Z141" i="11"/>
  <c r="X141" i="11"/>
  <c r="Q141" i="11"/>
  <c r="O141" i="11"/>
  <c r="AC141" i="11"/>
  <c r="R141" i="11"/>
  <c r="N141" i="11"/>
  <c r="B39" i="10"/>
  <c r="D47" i="10"/>
  <c r="M47" i="10" s="1"/>
  <c r="B68" i="10"/>
  <c r="E77" i="10"/>
  <c r="G77" i="10" s="1"/>
  <c r="L93" i="10"/>
  <c r="E93" i="10"/>
  <c r="G93" i="10" s="1"/>
  <c r="N93" i="10"/>
  <c r="M93" i="10" s="1"/>
  <c r="B98" i="10"/>
  <c r="B106" i="10"/>
  <c r="E110" i="10"/>
  <c r="G110" i="10" s="1"/>
  <c r="D110" i="10"/>
  <c r="B110" i="10"/>
  <c r="L118" i="10"/>
  <c r="K118" i="10"/>
  <c r="D118" i="10"/>
  <c r="J118" i="10" s="1"/>
  <c r="E118" i="10"/>
  <c r="G118" i="10" s="1"/>
  <c r="I121" i="10"/>
  <c r="N121" i="10"/>
  <c r="L121" i="10"/>
  <c r="E121" i="10"/>
  <c r="G121" i="10" s="1"/>
  <c r="B121" i="10"/>
  <c r="E148" i="10"/>
  <c r="G148" i="10" s="1"/>
  <c r="D148" i="10"/>
  <c r="K148" i="10"/>
  <c r="L148" i="10"/>
  <c r="B148" i="10"/>
  <c r="G151" i="10"/>
  <c r="F151" i="10"/>
  <c r="B154" i="10"/>
  <c r="M156" i="10"/>
  <c r="E172" i="10"/>
  <c r="G172" i="10" s="1"/>
  <c r="D172" i="10"/>
  <c r="K172" i="10"/>
  <c r="B172" i="10"/>
  <c r="I172" i="10"/>
  <c r="N176" i="10"/>
  <c r="E176" i="10"/>
  <c r="G176" i="10" s="1"/>
  <c r="D176" i="10"/>
  <c r="L176" i="10"/>
  <c r="D183" i="10"/>
  <c r="K185" i="10"/>
  <c r="X83" i="15"/>
  <c r="Y83" i="15"/>
  <c r="O84" i="12"/>
  <c r="C84" i="12"/>
  <c r="L84" i="12"/>
  <c r="I84" i="12"/>
  <c r="F84" i="12"/>
  <c r="AD83" i="11"/>
  <c r="R83" i="11"/>
  <c r="F83" i="11"/>
  <c r="AC83" i="11"/>
  <c r="Q83" i="11"/>
  <c r="E83" i="11"/>
  <c r="AB83" i="11"/>
  <c r="P83" i="11"/>
  <c r="D83" i="11"/>
  <c r="AA83" i="11"/>
  <c r="O83" i="11"/>
  <c r="C83" i="11"/>
  <c r="AI83" i="11"/>
  <c r="W83" i="11"/>
  <c r="K83" i="11"/>
  <c r="AG83" i="11"/>
  <c r="U83" i="11"/>
  <c r="I83" i="11"/>
  <c r="AF83" i="11"/>
  <c r="T83" i="11"/>
  <c r="H83" i="11"/>
  <c r="X83" i="11"/>
  <c r="V83" i="11"/>
  <c r="S83" i="11"/>
  <c r="N83" i="11"/>
  <c r="M83" i="11"/>
  <c r="AL83" i="11"/>
  <c r="L83" i="11"/>
  <c r="AJ83" i="11"/>
  <c r="G83" i="11"/>
  <c r="AH83" i="11"/>
  <c r="B83" i="11"/>
  <c r="AK83" i="11"/>
  <c r="AE83" i="11"/>
  <c r="Z83" i="11"/>
  <c r="Y83" i="11"/>
  <c r="G83" i="13" s="1"/>
  <c r="L28" i="9"/>
  <c r="K28" i="9"/>
  <c r="Q28" i="9" s="1"/>
  <c r="L40" i="9"/>
  <c r="K40" i="9"/>
  <c r="Q40" i="9" s="1"/>
  <c r="L52" i="9"/>
  <c r="K52" i="9"/>
  <c r="Q52" i="9" s="1"/>
  <c r="L64" i="9"/>
  <c r="K64" i="9"/>
  <c r="Q64" i="9" s="1"/>
  <c r="L76" i="9"/>
  <c r="K76" i="9"/>
  <c r="Q76" i="9" s="1"/>
  <c r="L88" i="9"/>
  <c r="K88" i="9"/>
  <c r="Q88" i="9" s="1"/>
  <c r="L100" i="9"/>
  <c r="K100" i="9"/>
  <c r="Q100" i="9" s="1"/>
  <c r="L112" i="9"/>
  <c r="K112" i="9"/>
  <c r="Q112" i="9" s="1"/>
  <c r="L124" i="9"/>
  <c r="K124" i="9"/>
  <c r="Q124" i="9" s="1"/>
  <c r="L136" i="9"/>
  <c r="K136" i="9"/>
  <c r="Q136" i="9" s="1"/>
  <c r="L148" i="9"/>
  <c r="K148" i="9"/>
  <c r="Q148" i="9" s="1"/>
  <c r="D160" i="9"/>
  <c r="L160" i="9"/>
  <c r="E169" i="9"/>
  <c r="D169" i="9"/>
  <c r="Q169" i="9" s="1"/>
  <c r="C176" i="9"/>
  <c r="B176" i="9"/>
  <c r="L176" i="9"/>
  <c r="N176" i="9" s="1"/>
  <c r="K176" i="9"/>
  <c r="Q176" i="9" s="1"/>
  <c r="F176" i="9"/>
  <c r="D184" i="9"/>
  <c r="Q184" i="9" s="1"/>
  <c r="F184" i="9"/>
  <c r="E184" i="9"/>
  <c r="C184" i="9"/>
  <c r="L197" i="9"/>
  <c r="N197" i="9" s="1"/>
  <c r="B197" i="9"/>
  <c r="Q197" i="9"/>
  <c r="N32" i="10"/>
  <c r="E32" i="10"/>
  <c r="G32" i="10" s="1"/>
  <c r="D32" i="10"/>
  <c r="D39" i="10"/>
  <c r="D41" i="10"/>
  <c r="B41" i="10"/>
  <c r="N41" i="10"/>
  <c r="M41" i="10" s="1"/>
  <c r="E47" i="10"/>
  <c r="G47" i="10" s="1"/>
  <c r="B50" i="10"/>
  <c r="F54" i="10"/>
  <c r="M62" i="10"/>
  <c r="L62" i="10"/>
  <c r="K62" i="10"/>
  <c r="J62" i="10"/>
  <c r="I68" i="10"/>
  <c r="L70" i="10"/>
  <c r="K70" i="10"/>
  <c r="D70" i="10"/>
  <c r="F70" i="10" s="1"/>
  <c r="N70" i="10"/>
  <c r="D89" i="10"/>
  <c r="B89" i="10"/>
  <c r="K89" i="10"/>
  <c r="I89" i="10"/>
  <c r="B93" i="10"/>
  <c r="D98" i="10"/>
  <c r="E106" i="10"/>
  <c r="G106" i="10" s="1"/>
  <c r="I110" i="10"/>
  <c r="B118" i="10"/>
  <c r="D121" i="10"/>
  <c r="F121" i="10" s="1"/>
  <c r="D125" i="10"/>
  <c r="B125" i="10"/>
  <c r="K125" i="10"/>
  <c r="I125" i="10"/>
  <c r="J125" i="10" s="1"/>
  <c r="E146" i="10"/>
  <c r="G146" i="10" s="1"/>
  <c r="D146" i="10"/>
  <c r="M146" i="10" s="1"/>
  <c r="B146" i="10"/>
  <c r="L146" i="10"/>
  <c r="I154" i="10"/>
  <c r="B176" i="10"/>
  <c r="F181" i="10"/>
  <c r="K183" i="10"/>
  <c r="L185" i="10"/>
  <c r="L190" i="10"/>
  <c r="K190" i="10"/>
  <c r="D190" i="10"/>
  <c r="E190" i="10"/>
  <c r="G190" i="10" s="1"/>
  <c r="N190" i="10"/>
  <c r="K193" i="10"/>
  <c r="J83" i="11"/>
  <c r="M83" i="5" s="1"/>
  <c r="N27" i="9"/>
  <c r="N39" i="9"/>
  <c r="N51" i="9"/>
  <c r="N63" i="9"/>
  <c r="N75" i="9"/>
  <c r="N87" i="9"/>
  <c r="N99" i="9"/>
  <c r="N111" i="9"/>
  <c r="N123" i="9"/>
  <c r="N135" i="9"/>
  <c r="N147" i="9"/>
  <c r="N159" i="9"/>
  <c r="L179" i="9"/>
  <c r="N179" i="9" s="1"/>
  <c r="B179" i="9"/>
  <c r="Q179" i="9"/>
  <c r="Q183" i="9"/>
  <c r="B184" i="9"/>
  <c r="C197" i="9"/>
  <c r="F19" i="10"/>
  <c r="B32" i="10"/>
  <c r="K39" i="10"/>
  <c r="E41" i="10"/>
  <c r="G41" i="10" s="1"/>
  <c r="D50" i="10"/>
  <c r="M50" i="10" s="1"/>
  <c r="M57" i="10"/>
  <c r="L57" i="10"/>
  <c r="E57" i="10"/>
  <c r="N57" i="10"/>
  <c r="E74" i="10"/>
  <c r="G74" i="10" s="1"/>
  <c r="D74" i="10"/>
  <c r="M74" i="10" s="1"/>
  <c r="B74" i="10"/>
  <c r="L82" i="10"/>
  <c r="K82" i="10"/>
  <c r="D82" i="10"/>
  <c r="E82" i="10"/>
  <c r="G82" i="10" s="1"/>
  <c r="I85" i="10"/>
  <c r="J85" i="10" s="1"/>
  <c r="N85" i="10"/>
  <c r="M85" i="10" s="1"/>
  <c r="L85" i="10"/>
  <c r="D93" i="10"/>
  <c r="E98" i="10"/>
  <c r="G98" i="10" s="1"/>
  <c r="E100" i="10"/>
  <c r="G100" i="10" s="1"/>
  <c r="D100" i="10"/>
  <c r="K100" i="10"/>
  <c r="E112" i="10"/>
  <c r="G112" i="10" s="1"/>
  <c r="D112" i="10"/>
  <c r="F112" i="10" s="1"/>
  <c r="K112" i="10"/>
  <c r="L112" i="10"/>
  <c r="I118" i="10"/>
  <c r="J120" i="10"/>
  <c r="E125" i="10"/>
  <c r="G125" i="10" s="1"/>
  <c r="I146" i="10"/>
  <c r="M158" i="10"/>
  <c r="B158" i="10"/>
  <c r="J158" i="10"/>
  <c r="E158" i="10"/>
  <c r="G158" i="10" s="1"/>
  <c r="F170" i="10"/>
  <c r="L172" i="10"/>
  <c r="I176" i="10"/>
  <c r="N183" i="10"/>
  <c r="G187" i="10"/>
  <c r="F187" i="10"/>
  <c r="B190" i="10"/>
  <c r="M192" i="10"/>
  <c r="J199" i="10"/>
  <c r="M210" i="10"/>
  <c r="L10" i="9"/>
  <c r="N10" i="9" s="1"/>
  <c r="N21" i="9"/>
  <c r="L22" i="9"/>
  <c r="K22" i="9"/>
  <c r="Q22" i="9" s="1"/>
  <c r="F23" i="9"/>
  <c r="E23" i="9"/>
  <c r="D24" i="9"/>
  <c r="N24" i="9" s="1"/>
  <c r="C24" i="9"/>
  <c r="B26" i="9"/>
  <c r="B27" i="9"/>
  <c r="Q38" i="9"/>
  <c r="B39" i="9"/>
  <c r="Q50" i="9"/>
  <c r="B51" i="9"/>
  <c r="Q62" i="9"/>
  <c r="B63" i="9"/>
  <c r="Q74" i="9"/>
  <c r="B75" i="9"/>
  <c r="Q86" i="9"/>
  <c r="Q98" i="9"/>
  <c r="Q110" i="9"/>
  <c r="Q122" i="9"/>
  <c r="Q134" i="9"/>
  <c r="Q146" i="9"/>
  <c r="Q158" i="9"/>
  <c r="C164" i="9"/>
  <c r="L164" i="9"/>
  <c r="K164" i="9"/>
  <c r="Q164" i="9" s="1"/>
  <c r="F164" i="9"/>
  <c r="Q189" i="9"/>
  <c r="M26" i="10"/>
  <c r="L26" i="10"/>
  <c r="K26" i="10"/>
  <c r="L34" i="10"/>
  <c r="K34" i="10"/>
  <c r="D34" i="10"/>
  <c r="F34" i="10" s="1"/>
  <c r="N34" i="10"/>
  <c r="M39" i="10"/>
  <c r="E50" i="10"/>
  <c r="G50" i="10" s="1"/>
  <c r="J51" i="10"/>
  <c r="D53" i="10"/>
  <c r="B53" i="10"/>
  <c r="K53" i="10"/>
  <c r="I53" i="10"/>
  <c r="F62" i="10"/>
  <c r="K68" i="10"/>
  <c r="I77" i="10"/>
  <c r="I98" i="10"/>
  <c r="K110" i="10"/>
  <c r="J121" i="10"/>
  <c r="M123" i="10"/>
  <c r="J123" i="10"/>
  <c r="M134" i="10"/>
  <c r="L134" i="10"/>
  <c r="K134" i="10"/>
  <c r="J134" i="10"/>
  <c r="B134" i="10"/>
  <c r="E136" i="10"/>
  <c r="G136" i="10" s="1"/>
  <c r="D136" i="10"/>
  <c r="K136" i="10"/>
  <c r="B136" i="10"/>
  <c r="J136" i="10"/>
  <c r="I148" i="10"/>
  <c r="J163" i="10"/>
  <c r="M172" i="10"/>
  <c r="K176" i="10"/>
  <c r="G180" i="10"/>
  <c r="F180" i="10"/>
  <c r="M194" i="10"/>
  <c r="B194" i="10"/>
  <c r="I194" i="10"/>
  <c r="J194" i="10" s="1"/>
  <c r="E194" i="10"/>
  <c r="G194" i="10" s="1"/>
  <c r="Y9" i="15"/>
  <c r="X9" i="15"/>
  <c r="O10" i="12"/>
  <c r="C10" i="12"/>
  <c r="D10" i="12" s="1"/>
  <c r="I10" i="12"/>
  <c r="L10" i="12"/>
  <c r="F10" i="12"/>
  <c r="AH9" i="11"/>
  <c r="V9" i="11"/>
  <c r="J9" i="11"/>
  <c r="M9" i="5" s="1"/>
  <c r="Z9" i="11"/>
  <c r="M9" i="11"/>
  <c r="AL9" i="11"/>
  <c r="Y9" i="11"/>
  <c r="E9" i="13" s="1"/>
  <c r="H10" i="12" s="1"/>
  <c r="L9" i="11"/>
  <c r="AK9" i="11"/>
  <c r="X9" i="11"/>
  <c r="K9" i="11"/>
  <c r="AJ9" i="11"/>
  <c r="W9" i="11"/>
  <c r="I9" i="11"/>
  <c r="AI9" i="11"/>
  <c r="U9" i="11"/>
  <c r="H9" i="11"/>
  <c r="AG9" i="11"/>
  <c r="T9" i="11"/>
  <c r="G9" i="11"/>
  <c r="AE9" i="11"/>
  <c r="R9" i="11"/>
  <c r="E9" i="11"/>
  <c r="AD9" i="11"/>
  <c r="Q9" i="11"/>
  <c r="D9" i="11"/>
  <c r="AF9" i="11"/>
  <c r="AB9" i="11"/>
  <c r="AA9" i="11"/>
  <c r="S9" i="11"/>
  <c r="P9" i="11"/>
  <c r="F9" i="11"/>
  <c r="C9" i="11"/>
  <c r="B9" i="11"/>
  <c r="X41" i="15"/>
  <c r="Y41" i="15"/>
  <c r="I42" i="12"/>
  <c r="O42" i="12"/>
  <c r="L42" i="12"/>
  <c r="C42" i="12"/>
  <c r="F42" i="12"/>
  <c r="AD41" i="11"/>
  <c r="R41" i="11"/>
  <c r="F41" i="11"/>
  <c r="AI41" i="11"/>
  <c r="W41" i="11"/>
  <c r="K41" i="11"/>
  <c r="Z41" i="11"/>
  <c r="L41" i="11"/>
  <c r="Y41" i="11"/>
  <c r="J41" i="11"/>
  <c r="AL41" i="11"/>
  <c r="X41" i="11"/>
  <c r="I41" i="11"/>
  <c r="AK41" i="11"/>
  <c r="V41" i="11"/>
  <c r="H41" i="11"/>
  <c r="AJ41" i="11"/>
  <c r="U41" i="11"/>
  <c r="G41" i="11"/>
  <c r="AH41" i="11"/>
  <c r="T41" i="11"/>
  <c r="E41" i="11"/>
  <c r="AB41" i="5" s="1"/>
  <c r="AF41" i="11"/>
  <c r="Q41" i="11"/>
  <c r="C41" i="11"/>
  <c r="AE41" i="11"/>
  <c r="P41" i="11"/>
  <c r="B41" i="11"/>
  <c r="AA41" i="11"/>
  <c r="O41" i="11"/>
  <c r="N41" i="11"/>
  <c r="M41" i="11"/>
  <c r="D41" i="11"/>
  <c r="AG41" i="11"/>
  <c r="AC41" i="11"/>
  <c r="Y44" i="15"/>
  <c r="X44" i="15"/>
  <c r="C45" i="12"/>
  <c r="D45" i="12" s="1"/>
  <c r="O45" i="12"/>
  <c r="F45" i="12"/>
  <c r="L45" i="12"/>
  <c r="AJ44" i="11"/>
  <c r="X44" i="11"/>
  <c r="L44" i="11"/>
  <c r="AC44" i="11"/>
  <c r="Q44" i="11"/>
  <c r="E44" i="11"/>
  <c r="I45" i="12"/>
  <c r="AA44" i="11"/>
  <c r="M44" i="11"/>
  <c r="Z44" i="11"/>
  <c r="K44" i="11"/>
  <c r="Y44" i="11"/>
  <c r="E44" i="13" s="1"/>
  <c r="H45" i="12" s="1"/>
  <c r="J44" i="11"/>
  <c r="AL44" i="11"/>
  <c r="W44" i="11"/>
  <c r="I44" i="11"/>
  <c r="AK44" i="11"/>
  <c r="V44" i="11"/>
  <c r="H44" i="11"/>
  <c r="AI44" i="11"/>
  <c r="U44" i="11"/>
  <c r="G44" i="11"/>
  <c r="AG44" i="11"/>
  <c r="S44" i="11"/>
  <c r="D44" i="11"/>
  <c r="AF44" i="11"/>
  <c r="R44" i="11"/>
  <c r="C44" i="11"/>
  <c r="AE44" i="11"/>
  <c r="AD44" i="11"/>
  <c r="AB44" i="11"/>
  <c r="T44" i="11"/>
  <c r="N44" i="11"/>
  <c r="F44" i="11"/>
  <c r="B44" i="11"/>
  <c r="E64" i="10"/>
  <c r="G64" i="10" s="1"/>
  <c r="D64" i="10"/>
  <c r="M64" i="10" s="1"/>
  <c r="K64" i="10"/>
  <c r="E76" i="10"/>
  <c r="G76" i="10" s="1"/>
  <c r="D76" i="10"/>
  <c r="F76" i="10" s="1"/>
  <c r="K76" i="10"/>
  <c r="L76" i="10"/>
  <c r="J76" i="10"/>
  <c r="I97" i="10"/>
  <c r="J97" i="10" s="1"/>
  <c r="N97" i="10"/>
  <c r="M97" i="10" s="1"/>
  <c r="E97" i="10"/>
  <c r="G97" i="10" s="1"/>
  <c r="M105" i="10"/>
  <c r="L105" i="10"/>
  <c r="E105" i="10"/>
  <c r="G105" i="10" s="1"/>
  <c r="I105" i="10"/>
  <c r="J105" i="10" s="1"/>
  <c r="M120" i="10"/>
  <c r="F134" i="10"/>
  <c r="N140" i="10"/>
  <c r="E140" i="10"/>
  <c r="G140" i="10" s="1"/>
  <c r="D140" i="10"/>
  <c r="L140" i="10"/>
  <c r="E160" i="10"/>
  <c r="G160" i="10" s="1"/>
  <c r="D160" i="10"/>
  <c r="K160" i="10"/>
  <c r="B160" i="10"/>
  <c r="E196" i="10"/>
  <c r="G196" i="10" s="1"/>
  <c r="D196" i="10"/>
  <c r="J196" i="10" s="1"/>
  <c r="K196" i="10"/>
  <c r="B196" i="10"/>
  <c r="N196" i="10"/>
  <c r="K97" i="10"/>
  <c r="E111" i="10"/>
  <c r="G111" i="10" s="1"/>
  <c r="L111" i="10"/>
  <c r="I111" i="10"/>
  <c r="J111" i="10" s="1"/>
  <c r="J127" i="10"/>
  <c r="K140" i="10"/>
  <c r="N160" i="10"/>
  <c r="I169" i="10"/>
  <c r="J169" i="10" s="1"/>
  <c r="N169" i="10"/>
  <c r="L169" i="10"/>
  <c r="E169" i="10"/>
  <c r="G169" i="10" s="1"/>
  <c r="E171" i="10"/>
  <c r="G171" i="10" s="1"/>
  <c r="L171" i="10"/>
  <c r="N171" i="10"/>
  <c r="D171" i="10"/>
  <c r="M171" i="10" s="1"/>
  <c r="B171" i="10"/>
  <c r="E207" i="10"/>
  <c r="G207" i="10" s="1"/>
  <c r="N207" i="10"/>
  <c r="M207" i="10" s="1"/>
  <c r="L207" i="10"/>
  <c r="B207" i="10"/>
  <c r="I207" i="10"/>
  <c r="J207" i="10" s="1"/>
  <c r="X50" i="15"/>
  <c r="Y50" i="15"/>
  <c r="I51" i="12"/>
  <c r="F51" i="12"/>
  <c r="C51" i="12"/>
  <c r="D51" i="12" s="1"/>
  <c r="O51" i="12"/>
  <c r="L51" i="12"/>
  <c r="AJ50" i="11"/>
  <c r="X50" i="11"/>
  <c r="L50" i="11"/>
  <c r="AC50" i="11"/>
  <c r="Q50" i="11"/>
  <c r="E50" i="11"/>
  <c r="AB50" i="11"/>
  <c r="N50" i="11"/>
  <c r="AA50" i="11"/>
  <c r="M50" i="11"/>
  <c r="Z50" i="11"/>
  <c r="K50" i="11"/>
  <c r="Y50" i="11"/>
  <c r="J50" i="11"/>
  <c r="AL50" i="11"/>
  <c r="W50" i="11"/>
  <c r="I50" i="11"/>
  <c r="AK50" i="11"/>
  <c r="V50" i="11"/>
  <c r="H50" i="11"/>
  <c r="AH50" i="11"/>
  <c r="T50" i="11"/>
  <c r="F50" i="11"/>
  <c r="AG50" i="11"/>
  <c r="S50" i="11"/>
  <c r="D50" i="11"/>
  <c r="R50" i="11"/>
  <c r="O50" i="11"/>
  <c r="G50" i="11"/>
  <c r="C50" i="11"/>
  <c r="B50" i="11"/>
  <c r="AF50" i="11"/>
  <c r="AE50" i="11"/>
  <c r="AD50" i="11"/>
  <c r="D63" i="13"/>
  <c r="E64" i="12" s="1"/>
  <c r="F63" i="13"/>
  <c r="E63" i="13"/>
  <c r="H64" i="12" s="1"/>
  <c r="N128" i="10"/>
  <c r="D129" i="10"/>
  <c r="M129" i="10" s="1"/>
  <c r="L142" i="10"/>
  <c r="K142" i="10"/>
  <c r="D142" i="10"/>
  <c r="J142" i="10" s="1"/>
  <c r="N164" i="10"/>
  <c r="L178" i="10"/>
  <c r="K178" i="10"/>
  <c r="D178" i="10"/>
  <c r="J178" i="10" s="1"/>
  <c r="J192" i="10"/>
  <c r="N200" i="10"/>
  <c r="V3" i="11"/>
  <c r="J3" i="11"/>
  <c r="B14" i="10" s="1"/>
  <c r="AC3" i="11"/>
  <c r="AA3" i="11"/>
  <c r="Z4" i="12" s="1"/>
  <c r="C3" i="11"/>
  <c r="Y8" i="15"/>
  <c r="X8" i="15"/>
  <c r="F9" i="12"/>
  <c r="C9" i="12"/>
  <c r="D9" i="12" s="1"/>
  <c r="L9" i="12"/>
  <c r="I9" i="12"/>
  <c r="O9" i="12"/>
  <c r="AJ8" i="11"/>
  <c r="X8" i="11"/>
  <c r="L8" i="11"/>
  <c r="AL8" i="11"/>
  <c r="Y8" i="11"/>
  <c r="E8" i="13" s="1"/>
  <c r="H9" i="12" s="1"/>
  <c r="K8" i="11"/>
  <c r="AK8" i="11"/>
  <c r="W8" i="11"/>
  <c r="J8" i="11"/>
  <c r="M8" i="5" s="1"/>
  <c r="AI8" i="11"/>
  <c r="V8" i="11"/>
  <c r="I8" i="11"/>
  <c r="AH8" i="11"/>
  <c r="U8" i="11"/>
  <c r="H8" i="11"/>
  <c r="AG8" i="11"/>
  <c r="T8" i="11"/>
  <c r="G8" i="11"/>
  <c r="AF8" i="11"/>
  <c r="S8" i="11"/>
  <c r="F8" i="11"/>
  <c r="AD8" i="11"/>
  <c r="Q8" i="11"/>
  <c r="D8" i="11"/>
  <c r="AC8" i="11"/>
  <c r="P8" i="11"/>
  <c r="C8" i="11"/>
  <c r="AC18" i="11"/>
  <c r="Y21" i="15"/>
  <c r="X21" i="15"/>
  <c r="O22" i="12"/>
  <c r="C22" i="12"/>
  <c r="D22" i="12" s="1"/>
  <c r="I22" i="12"/>
  <c r="L22" i="12"/>
  <c r="F22" i="12"/>
  <c r="AH21" i="11"/>
  <c r="V21" i="11"/>
  <c r="J21" i="11"/>
  <c r="M21" i="5" s="1"/>
  <c r="AA21" i="11"/>
  <c r="O21" i="11"/>
  <c r="C21" i="11"/>
  <c r="AB21" i="11"/>
  <c r="M21" i="11"/>
  <c r="Z21" i="11"/>
  <c r="L21" i="11"/>
  <c r="Y21" i="11"/>
  <c r="D21" i="13" s="1"/>
  <c r="E22" i="12" s="1"/>
  <c r="K21" i="11"/>
  <c r="AL21" i="11"/>
  <c r="X21" i="11"/>
  <c r="I21" i="11"/>
  <c r="AK21" i="11"/>
  <c r="W21" i="11"/>
  <c r="H21" i="11"/>
  <c r="AJ21" i="11"/>
  <c r="U21" i="11"/>
  <c r="G21" i="11"/>
  <c r="AG21" i="11"/>
  <c r="S21" i="11"/>
  <c r="E21" i="11"/>
  <c r="AF21" i="11"/>
  <c r="R21" i="11"/>
  <c r="D21" i="11"/>
  <c r="AC24" i="11"/>
  <c r="Y30" i="15"/>
  <c r="X30" i="15"/>
  <c r="F31" i="12"/>
  <c r="C31" i="12"/>
  <c r="D31" i="12" s="1"/>
  <c r="L31" i="12"/>
  <c r="I31" i="12"/>
  <c r="O31" i="12"/>
  <c r="AB30" i="11"/>
  <c r="P30" i="11"/>
  <c r="D30" i="11"/>
  <c r="AG30" i="11"/>
  <c r="U30" i="11"/>
  <c r="I30" i="11"/>
  <c r="AC30" i="11"/>
  <c r="N30" i="11"/>
  <c r="AA30" i="11"/>
  <c r="M30" i="11"/>
  <c r="Z30" i="11"/>
  <c r="L30" i="11"/>
  <c r="Y30" i="11"/>
  <c r="K30" i="11"/>
  <c r="AL30" i="11"/>
  <c r="X30" i="11"/>
  <c r="J30" i="11"/>
  <c r="AK30" i="11"/>
  <c r="W30" i="11"/>
  <c r="H30" i="11"/>
  <c r="AI30" i="11"/>
  <c r="T30" i="11"/>
  <c r="F30" i="11"/>
  <c r="AH30" i="11"/>
  <c r="S30" i="11"/>
  <c r="E30" i="11"/>
  <c r="Y54" i="15"/>
  <c r="X54" i="15"/>
  <c r="F55" i="12"/>
  <c r="C55" i="12"/>
  <c r="D55" i="12" s="1"/>
  <c r="O55" i="12"/>
  <c r="L55" i="12"/>
  <c r="AB54" i="11"/>
  <c r="P54" i="11"/>
  <c r="D54" i="11"/>
  <c r="AL54" i="11"/>
  <c r="Z54" i="11"/>
  <c r="N54" i="11"/>
  <c r="O54" i="5" s="1"/>
  <c r="B54" i="11"/>
  <c r="I55" i="12"/>
  <c r="AG54" i="11"/>
  <c r="U54" i="11"/>
  <c r="I54" i="11"/>
  <c r="Y54" i="11"/>
  <c r="J54" i="11"/>
  <c r="X54" i="11"/>
  <c r="H54" i="11"/>
  <c r="W54" i="11"/>
  <c r="G54" i="11"/>
  <c r="AK54" i="11"/>
  <c r="V54" i="11"/>
  <c r="Q54" i="5" s="1"/>
  <c r="F54" i="11"/>
  <c r="AJ54" i="11"/>
  <c r="T54" i="11"/>
  <c r="E54" i="11"/>
  <c r="AI54" i="11"/>
  <c r="S54" i="11"/>
  <c r="C54" i="11"/>
  <c r="AF54" i="11"/>
  <c r="Q54" i="11"/>
  <c r="AE54" i="11"/>
  <c r="O54" i="11"/>
  <c r="E57" i="13"/>
  <c r="H58" i="12" s="1"/>
  <c r="D57" i="13"/>
  <c r="E58" i="12" s="1"/>
  <c r="F57" i="13"/>
  <c r="K58" i="12" s="1"/>
  <c r="F63" i="11"/>
  <c r="M170" i="10"/>
  <c r="E184" i="10"/>
  <c r="G184" i="10" s="1"/>
  <c r="D184" i="10"/>
  <c r="K184" i="10"/>
  <c r="J211" i="10"/>
  <c r="B3" i="11"/>
  <c r="T3" i="11"/>
  <c r="B8" i="11"/>
  <c r="Y15" i="15"/>
  <c r="X15" i="15"/>
  <c r="I16" i="12"/>
  <c r="C16" i="12"/>
  <c r="D16" i="12" s="1"/>
  <c r="L16" i="12"/>
  <c r="F16" i="12"/>
  <c r="O16" i="12"/>
  <c r="AH15" i="11"/>
  <c r="V15" i="11"/>
  <c r="J15" i="11"/>
  <c r="M15" i="5" s="1"/>
  <c r="AA15" i="11"/>
  <c r="O15" i="11"/>
  <c r="C15" i="11"/>
  <c r="Z15" i="11"/>
  <c r="L15" i="11"/>
  <c r="Y15" i="11"/>
  <c r="D15" i="13" s="1"/>
  <c r="E16" i="12" s="1"/>
  <c r="K15" i="11"/>
  <c r="AL15" i="11"/>
  <c r="X15" i="11"/>
  <c r="I15" i="11"/>
  <c r="AK15" i="11"/>
  <c r="W15" i="11"/>
  <c r="H15" i="11"/>
  <c r="AJ15" i="11"/>
  <c r="U15" i="11"/>
  <c r="G15" i="11"/>
  <c r="AI15" i="11"/>
  <c r="T15" i="11"/>
  <c r="F15" i="11"/>
  <c r="AF15" i="11"/>
  <c r="R15" i="11"/>
  <c r="D15" i="11"/>
  <c r="AE15" i="11"/>
  <c r="Q15" i="11"/>
  <c r="B15" i="11"/>
  <c r="AD18" i="11"/>
  <c r="B21" i="11"/>
  <c r="G23" i="13"/>
  <c r="F23" i="13"/>
  <c r="K24" i="12" s="1"/>
  <c r="AD24" i="11"/>
  <c r="Y27" i="15"/>
  <c r="X27" i="15"/>
  <c r="I28" i="12"/>
  <c r="L28" i="12"/>
  <c r="C28" i="12"/>
  <c r="D28" i="12" s="1"/>
  <c r="F28" i="12"/>
  <c r="O28" i="12"/>
  <c r="AH27" i="11"/>
  <c r="V27" i="11"/>
  <c r="J27" i="11"/>
  <c r="M27" i="5" s="1"/>
  <c r="AA27" i="11"/>
  <c r="O27" i="11"/>
  <c r="C27" i="11"/>
  <c r="AC27" i="11"/>
  <c r="N27" i="11"/>
  <c r="AB27" i="11"/>
  <c r="M27" i="11"/>
  <c r="Z27" i="11"/>
  <c r="L27" i="11"/>
  <c r="Y27" i="11"/>
  <c r="K27" i="11"/>
  <c r="AL27" i="11"/>
  <c r="X27" i="11"/>
  <c r="I27" i="11"/>
  <c r="AK27" i="11"/>
  <c r="W27" i="11"/>
  <c r="H27" i="11"/>
  <c r="AI27" i="11"/>
  <c r="T27" i="11"/>
  <c r="F27" i="11"/>
  <c r="AG27" i="11"/>
  <c r="S27" i="11"/>
  <c r="E27" i="11"/>
  <c r="B30" i="11"/>
  <c r="Y47" i="15"/>
  <c r="X47" i="15"/>
  <c r="C48" i="12"/>
  <c r="I48" i="12"/>
  <c r="F48" i="12"/>
  <c r="O48" i="12"/>
  <c r="L48" i="12"/>
  <c r="AD47" i="11"/>
  <c r="R47" i="11"/>
  <c r="F47" i="11"/>
  <c r="AI47" i="11"/>
  <c r="W47" i="11"/>
  <c r="K47" i="11"/>
  <c r="AA47" i="11"/>
  <c r="M47" i="11"/>
  <c r="Z47" i="11"/>
  <c r="L47" i="11"/>
  <c r="Y47" i="11"/>
  <c r="E47" i="13" s="1"/>
  <c r="H48" i="12" s="1"/>
  <c r="J48" i="12" s="1"/>
  <c r="J47" i="11"/>
  <c r="AL47" i="11"/>
  <c r="X47" i="11"/>
  <c r="I47" i="11"/>
  <c r="AK47" i="11"/>
  <c r="V47" i="11"/>
  <c r="H47" i="11"/>
  <c r="AJ47" i="11"/>
  <c r="U47" i="11"/>
  <c r="G47" i="11"/>
  <c r="AG47" i="11"/>
  <c r="S47" i="11"/>
  <c r="D47" i="11"/>
  <c r="AF47" i="11"/>
  <c r="Q47" i="11"/>
  <c r="C47" i="11"/>
  <c r="Y53" i="15"/>
  <c r="X53" i="15"/>
  <c r="O54" i="12"/>
  <c r="I54" i="12"/>
  <c r="L54" i="12"/>
  <c r="C54" i="12"/>
  <c r="D54" i="12" s="1"/>
  <c r="AD53" i="11"/>
  <c r="R53" i="11"/>
  <c r="F53" i="11"/>
  <c r="AB53" i="11"/>
  <c r="P53" i="11"/>
  <c r="D53" i="11"/>
  <c r="F54" i="12"/>
  <c r="G54" i="12" s="1"/>
  <c r="AI53" i="11"/>
  <c r="W53" i="11"/>
  <c r="K53" i="11"/>
  <c r="AF53" i="11"/>
  <c r="O53" i="11"/>
  <c r="AE53" i="11"/>
  <c r="N53" i="11"/>
  <c r="O53" i="5" s="1"/>
  <c r="AC53" i="11"/>
  <c r="M53" i="11"/>
  <c r="AA53" i="11"/>
  <c r="L53" i="11"/>
  <c r="Z53" i="11"/>
  <c r="J53" i="11"/>
  <c r="M53" i="5" s="1"/>
  <c r="Y53" i="11"/>
  <c r="D53" i="13" s="1"/>
  <c r="E54" i="12" s="1"/>
  <c r="I53" i="11"/>
  <c r="AL53" i="11"/>
  <c r="V53" i="11"/>
  <c r="G53" i="11"/>
  <c r="AK53" i="11"/>
  <c r="U53" i="11"/>
  <c r="E53" i="11"/>
  <c r="K54" i="11"/>
  <c r="X56" i="15"/>
  <c r="Y56" i="15"/>
  <c r="F57" i="12"/>
  <c r="C57" i="12"/>
  <c r="O57" i="12"/>
  <c r="I57" i="12"/>
  <c r="L57" i="12"/>
  <c r="AJ56" i="11"/>
  <c r="X56" i="11"/>
  <c r="L56" i="11"/>
  <c r="AH56" i="11"/>
  <c r="V56" i="11"/>
  <c r="J56" i="11"/>
  <c r="AC56" i="11"/>
  <c r="Q56" i="11"/>
  <c r="E56" i="11"/>
  <c r="AD56" i="11"/>
  <c r="N56" i="11"/>
  <c r="AB56" i="11"/>
  <c r="M56" i="11"/>
  <c r="AA56" i="11"/>
  <c r="K56" i="11"/>
  <c r="Z56" i="11"/>
  <c r="I56" i="11"/>
  <c r="Y56" i="11"/>
  <c r="H56" i="11"/>
  <c r="W56" i="11"/>
  <c r="G56" i="11"/>
  <c r="AK56" i="11"/>
  <c r="T56" i="11"/>
  <c r="D56" i="11"/>
  <c r="AI56" i="11"/>
  <c r="S56" i="11"/>
  <c r="C56" i="11"/>
  <c r="Q63" i="11"/>
  <c r="K119" i="10"/>
  <c r="B119" i="10"/>
  <c r="D128" i="10"/>
  <c r="F128" i="10" s="1"/>
  <c r="M141" i="10"/>
  <c r="L141" i="10"/>
  <c r="E141" i="10"/>
  <c r="G141" i="10" s="1"/>
  <c r="E142" i="10"/>
  <c r="G142" i="10" s="1"/>
  <c r="K155" i="10"/>
  <c r="B155" i="10"/>
  <c r="D164" i="10"/>
  <c r="F164" i="10" s="1"/>
  <c r="B170" i="10"/>
  <c r="L177" i="10"/>
  <c r="E177" i="10"/>
  <c r="E178" i="10"/>
  <c r="G178" i="10" s="1"/>
  <c r="B184" i="10"/>
  <c r="K191" i="10"/>
  <c r="B191" i="10"/>
  <c r="D200" i="10"/>
  <c r="F200" i="10" s="1"/>
  <c r="I205" i="10"/>
  <c r="J205" i="10" s="1"/>
  <c r="B205" i="10"/>
  <c r="N205" i="10"/>
  <c r="M205" i="10" s="1"/>
  <c r="F2" i="11"/>
  <c r="D3" i="11"/>
  <c r="G6" i="13"/>
  <c r="D6" i="13"/>
  <c r="E6" i="13"/>
  <c r="F6" i="13"/>
  <c r="E8" i="11"/>
  <c r="E15" i="11"/>
  <c r="X20" i="15"/>
  <c r="Y20" i="15"/>
  <c r="C21" i="12"/>
  <c r="D21" i="12" s="1"/>
  <c r="O21" i="12"/>
  <c r="F21" i="12"/>
  <c r="L21" i="12"/>
  <c r="I21" i="12"/>
  <c r="AJ20" i="11"/>
  <c r="X20" i="11"/>
  <c r="L20" i="11"/>
  <c r="AC20" i="11"/>
  <c r="Q20" i="11"/>
  <c r="E20" i="11"/>
  <c r="AB20" i="5" s="1"/>
  <c r="AK20" i="11"/>
  <c r="V20" i="11"/>
  <c r="H20" i="11"/>
  <c r="AI20" i="11"/>
  <c r="U20" i="11"/>
  <c r="G20" i="11"/>
  <c r="AH20" i="11"/>
  <c r="T20" i="11"/>
  <c r="F20" i="11"/>
  <c r="AG20" i="11"/>
  <c r="S20" i="11"/>
  <c r="D20" i="11"/>
  <c r="AF20" i="11"/>
  <c r="R20" i="11"/>
  <c r="Q20" i="5" s="1"/>
  <c r="C20" i="11"/>
  <c r="AE20" i="11"/>
  <c r="P20" i="11"/>
  <c r="B20" i="11"/>
  <c r="AB20" i="11"/>
  <c r="N20" i="11"/>
  <c r="AA20" i="11"/>
  <c r="M20" i="11"/>
  <c r="F21" i="11"/>
  <c r="B27" i="11"/>
  <c r="G29" i="13"/>
  <c r="F29" i="13"/>
  <c r="K30" i="12" s="1"/>
  <c r="E29" i="13"/>
  <c r="H30" i="12" s="1"/>
  <c r="J30" i="12" s="1"/>
  <c r="C30" i="11"/>
  <c r="O38" i="11"/>
  <c r="B47" i="11"/>
  <c r="B53" i="11"/>
  <c r="L54" i="11"/>
  <c r="B56" i="11"/>
  <c r="R63" i="11"/>
  <c r="Y92" i="15"/>
  <c r="X92" i="15"/>
  <c r="O93" i="12"/>
  <c r="L93" i="12"/>
  <c r="I93" i="12"/>
  <c r="F93" i="12"/>
  <c r="C93" i="12"/>
  <c r="AJ92" i="11"/>
  <c r="X92" i="11"/>
  <c r="L92" i="11"/>
  <c r="AI92" i="11"/>
  <c r="W92" i="11"/>
  <c r="K92" i="11"/>
  <c r="AH92" i="11"/>
  <c r="V92" i="11"/>
  <c r="J92" i="11"/>
  <c r="AG92" i="11"/>
  <c r="U92" i="11"/>
  <c r="I92" i="11"/>
  <c r="AC92" i="11"/>
  <c r="Q92" i="11"/>
  <c r="E92" i="11"/>
  <c r="AA92" i="11"/>
  <c r="O92" i="11"/>
  <c r="C92" i="11"/>
  <c r="AL92" i="11"/>
  <c r="Z92" i="11"/>
  <c r="N92" i="11"/>
  <c r="B92" i="11"/>
  <c r="AB92" i="11"/>
  <c r="Y92" i="11"/>
  <c r="G92" i="13" s="1"/>
  <c r="T92" i="11"/>
  <c r="S92" i="11"/>
  <c r="R92" i="11"/>
  <c r="Q92" i="5" s="1"/>
  <c r="P92" i="11"/>
  <c r="H92" i="11"/>
  <c r="AK92" i="11"/>
  <c r="G92" i="11"/>
  <c r="Y18" i="15"/>
  <c r="X18" i="15"/>
  <c r="F19" i="12"/>
  <c r="L19" i="12"/>
  <c r="C19" i="12"/>
  <c r="D19" i="12" s="1"/>
  <c r="I19" i="12"/>
  <c r="O19" i="12"/>
  <c r="AB18" i="11"/>
  <c r="P18" i="11"/>
  <c r="D18" i="11"/>
  <c r="AG18" i="11"/>
  <c r="U18" i="11"/>
  <c r="I18" i="11"/>
  <c r="Z18" i="11"/>
  <c r="L18" i="11"/>
  <c r="Y18" i="11"/>
  <c r="E18" i="13" s="1"/>
  <c r="H19" i="12" s="1"/>
  <c r="K18" i="11"/>
  <c r="AL18" i="11"/>
  <c r="X18" i="11"/>
  <c r="J18" i="11"/>
  <c r="M18" i="5" s="1"/>
  <c r="AK18" i="11"/>
  <c r="W18" i="11"/>
  <c r="H18" i="11"/>
  <c r="AJ18" i="11"/>
  <c r="V18" i="11"/>
  <c r="G18" i="11"/>
  <c r="AI18" i="11"/>
  <c r="T18" i="11"/>
  <c r="F18" i="11"/>
  <c r="AF18" i="11"/>
  <c r="R18" i="11"/>
  <c r="Q18" i="5" s="1"/>
  <c r="C18" i="11"/>
  <c r="AE18" i="11"/>
  <c r="Q18" i="11"/>
  <c r="B18" i="11"/>
  <c r="X24" i="15"/>
  <c r="Y24" i="15"/>
  <c r="L25" i="12"/>
  <c r="F25" i="12"/>
  <c r="O25" i="12"/>
  <c r="I25" i="12"/>
  <c r="C25" i="12"/>
  <c r="D25" i="12" s="1"/>
  <c r="AB24" i="11"/>
  <c r="P24" i="11"/>
  <c r="D24" i="11"/>
  <c r="AG24" i="11"/>
  <c r="U24" i="11"/>
  <c r="I24" i="11"/>
  <c r="AA24" i="11"/>
  <c r="M24" i="11"/>
  <c r="Z24" i="11"/>
  <c r="L24" i="11"/>
  <c r="Y24" i="11"/>
  <c r="G24" i="13" s="1"/>
  <c r="K24" i="11"/>
  <c r="AL24" i="11"/>
  <c r="X24" i="11"/>
  <c r="J24" i="11"/>
  <c r="AK24" i="11"/>
  <c r="W24" i="11"/>
  <c r="H24" i="11"/>
  <c r="AJ24" i="11"/>
  <c r="V24" i="11"/>
  <c r="G24" i="11"/>
  <c r="AH24" i="11"/>
  <c r="S24" i="11"/>
  <c r="E24" i="11"/>
  <c r="AB24" i="5" s="1"/>
  <c r="AF24" i="11"/>
  <c r="R24" i="11"/>
  <c r="Q24" i="5" s="1"/>
  <c r="C24" i="11"/>
  <c r="X71" i="15"/>
  <c r="Y71" i="15"/>
  <c r="I72" i="12"/>
  <c r="F72" i="12"/>
  <c r="O72" i="12"/>
  <c r="L72" i="12"/>
  <c r="C72" i="12"/>
  <c r="D72" i="12" s="1"/>
  <c r="AD71" i="11"/>
  <c r="R71" i="11"/>
  <c r="F71" i="11"/>
  <c r="AC71" i="11"/>
  <c r="Q71" i="11"/>
  <c r="E71" i="11"/>
  <c r="AB71" i="11"/>
  <c r="P71" i="11"/>
  <c r="D71" i="11"/>
  <c r="AA71" i="11"/>
  <c r="O71" i="11"/>
  <c r="C71" i="11"/>
  <c r="AI71" i="11"/>
  <c r="W71" i="11"/>
  <c r="K71" i="11"/>
  <c r="AF71" i="11"/>
  <c r="T71" i="11"/>
  <c r="H71" i="11"/>
  <c r="AK71" i="11"/>
  <c r="M71" i="11"/>
  <c r="AJ71" i="11"/>
  <c r="L71" i="11"/>
  <c r="AH71" i="11"/>
  <c r="J71" i="11"/>
  <c r="AG71" i="11"/>
  <c r="I71" i="11"/>
  <c r="AE71" i="11"/>
  <c r="G71" i="11"/>
  <c r="Z71" i="11"/>
  <c r="B71" i="11"/>
  <c r="X71" i="11"/>
  <c r="V71" i="11"/>
  <c r="P101" i="12"/>
  <c r="Q13" i="9"/>
  <c r="Q19" i="9"/>
  <c r="Q25" i="9"/>
  <c r="Q31" i="9"/>
  <c r="Q37" i="9"/>
  <c r="Q43" i="9"/>
  <c r="Q49" i="9"/>
  <c r="Q55" i="9"/>
  <c r="Q61" i="9"/>
  <c r="Q67" i="9"/>
  <c r="Q73" i="9"/>
  <c r="Q79" i="9"/>
  <c r="Q85" i="9"/>
  <c r="Q91" i="9"/>
  <c r="Q97" i="9"/>
  <c r="Q103" i="9"/>
  <c r="Q109" i="9"/>
  <c r="Q115" i="9"/>
  <c r="Q121" i="9"/>
  <c r="Q127" i="9"/>
  <c r="Q133" i="9"/>
  <c r="Q139" i="9"/>
  <c r="Q145" i="9"/>
  <c r="Q151" i="9"/>
  <c r="Q157" i="9"/>
  <c r="I204" i="10"/>
  <c r="J204" i="10" s="1"/>
  <c r="I192" i="10"/>
  <c r="I180" i="10"/>
  <c r="J180" i="10" s="1"/>
  <c r="I168" i="10"/>
  <c r="J168" i="10" s="1"/>
  <c r="I156" i="10"/>
  <c r="J156" i="10" s="1"/>
  <c r="I144" i="10"/>
  <c r="J144" i="10" s="1"/>
  <c r="I132" i="10"/>
  <c r="J132" i="10" s="1"/>
  <c r="I120" i="10"/>
  <c r="I108" i="10"/>
  <c r="I96" i="10"/>
  <c r="J96" i="10" s="1"/>
  <c r="I84" i="10"/>
  <c r="J84" i="10" s="1"/>
  <c r="I72" i="10"/>
  <c r="J72" i="10" s="1"/>
  <c r="I60" i="10"/>
  <c r="J60" i="10" s="1"/>
  <c r="I48" i="10"/>
  <c r="J48" i="10" s="1"/>
  <c r="I36" i="10"/>
  <c r="J36" i="10" s="1"/>
  <c r="I24" i="10"/>
  <c r="J24" i="10" s="1"/>
  <c r="K23" i="10"/>
  <c r="J23" i="10"/>
  <c r="B23" i="10"/>
  <c r="M45" i="10"/>
  <c r="L45" i="10"/>
  <c r="E45" i="10"/>
  <c r="K59" i="10"/>
  <c r="J59" i="10"/>
  <c r="B59" i="10"/>
  <c r="M81" i="10"/>
  <c r="L81" i="10"/>
  <c r="E81" i="10"/>
  <c r="K95" i="10"/>
  <c r="B95" i="10"/>
  <c r="M117" i="10"/>
  <c r="L117" i="10"/>
  <c r="E117" i="10"/>
  <c r="K131" i="10"/>
  <c r="J131" i="10"/>
  <c r="B131" i="10"/>
  <c r="M153" i="10"/>
  <c r="L153" i="10"/>
  <c r="E153" i="10"/>
  <c r="J164" i="10"/>
  <c r="K167" i="10"/>
  <c r="J167" i="10"/>
  <c r="B167" i="10"/>
  <c r="J170" i="10"/>
  <c r="J184" i="10"/>
  <c r="M189" i="10"/>
  <c r="L189" i="10"/>
  <c r="E189" i="10"/>
  <c r="K203" i="10"/>
  <c r="J203" i="10"/>
  <c r="E203" i="10"/>
  <c r="B203" i="10"/>
  <c r="E208" i="10"/>
  <c r="G208" i="10" s="1"/>
  <c r="D208" i="10"/>
  <c r="M208" i="10" s="1"/>
  <c r="K208" i="10"/>
  <c r="AD2" i="11"/>
  <c r="AB3" i="11"/>
  <c r="Y5" i="15"/>
  <c r="X5" i="15"/>
  <c r="F6" i="12"/>
  <c r="O6" i="12"/>
  <c r="I6" i="12"/>
  <c r="C6" i="12"/>
  <c r="AD5" i="11"/>
  <c r="R5" i="11"/>
  <c r="F5" i="11"/>
  <c r="L6" i="12"/>
  <c r="AH5" i="11"/>
  <c r="U5" i="11"/>
  <c r="H5" i="11"/>
  <c r="AG5" i="11"/>
  <c r="T5" i="11"/>
  <c r="G5" i="11"/>
  <c r="AF5" i="11"/>
  <c r="S5" i="11"/>
  <c r="E5" i="11"/>
  <c r="AE5" i="11"/>
  <c r="Q5" i="11"/>
  <c r="D5" i="11"/>
  <c r="AC5" i="11"/>
  <c r="P5" i="11"/>
  <c r="C5" i="11"/>
  <c r="AB5" i="11"/>
  <c r="O5" i="11"/>
  <c r="B5" i="11"/>
  <c r="Z5" i="11"/>
  <c r="M5" i="11"/>
  <c r="AL5" i="11"/>
  <c r="AA6" i="12" s="1"/>
  <c r="Y5" i="11"/>
  <c r="F5" i="13" s="1"/>
  <c r="K6" i="12" s="1"/>
  <c r="AK5" i="11"/>
  <c r="R8" i="11"/>
  <c r="S15" i="11"/>
  <c r="E18" i="11"/>
  <c r="O20" i="11"/>
  <c r="T21" i="11"/>
  <c r="B24" i="11"/>
  <c r="Q27" i="11"/>
  <c r="R30" i="11"/>
  <c r="AD38" i="11"/>
  <c r="P47" i="11"/>
  <c r="S53" i="11"/>
  <c r="AC54" i="11"/>
  <c r="R56" i="11"/>
  <c r="AK63" i="11"/>
  <c r="N71" i="11"/>
  <c r="AD92" i="11"/>
  <c r="E112" i="13"/>
  <c r="H113" i="12" s="1"/>
  <c r="D112" i="13"/>
  <c r="E113" i="12" s="1"/>
  <c r="G113" i="12" s="1"/>
  <c r="G112" i="13"/>
  <c r="B13" i="9"/>
  <c r="B19" i="9"/>
  <c r="B25" i="9"/>
  <c r="B31" i="9"/>
  <c r="B37" i="9"/>
  <c r="B43" i="9"/>
  <c r="B49" i="9"/>
  <c r="B55" i="9"/>
  <c r="B61" i="9"/>
  <c r="B67" i="9"/>
  <c r="B73" i="9"/>
  <c r="B79" i="9"/>
  <c r="B85" i="9"/>
  <c r="B91" i="9"/>
  <c r="B97" i="9"/>
  <c r="B103" i="9"/>
  <c r="B109" i="9"/>
  <c r="B115" i="9"/>
  <c r="B121" i="9"/>
  <c r="B127" i="9"/>
  <c r="B133" i="9"/>
  <c r="B139" i="9"/>
  <c r="B145" i="9"/>
  <c r="B151" i="9"/>
  <c r="B157" i="9"/>
  <c r="L173" i="9"/>
  <c r="N173" i="9" s="1"/>
  <c r="B173" i="9"/>
  <c r="C182" i="9"/>
  <c r="B182" i="9"/>
  <c r="L182" i="9"/>
  <c r="N182" i="9" s="1"/>
  <c r="L191" i="9"/>
  <c r="N191" i="9" s="1"/>
  <c r="B191" i="9"/>
  <c r="C200" i="9"/>
  <c r="B200" i="9"/>
  <c r="L200" i="9"/>
  <c r="N200" i="9" s="1"/>
  <c r="L15" i="10"/>
  <c r="D29" i="10"/>
  <c r="J29" i="10" s="1"/>
  <c r="B29" i="10"/>
  <c r="I37" i="10"/>
  <c r="J37" i="10" s="1"/>
  <c r="N37" i="10"/>
  <c r="M37" i="10" s="1"/>
  <c r="E51" i="10"/>
  <c r="G51" i="10" s="1"/>
  <c r="L51" i="10"/>
  <c r="D65" i="10"/>
  <c r="J65" i="10" s="1"/>
  <c r="B65" i="10"/>
  <c r="I73" i="10"/>
  <c r="J73" i="10" s="1"/>
  <c r="N73" i="10"/>
  <c r="M73" i="10" s="1"/>
  <c r="E87" i="10"/>
  <c r="G87" i="10" s="1"/>
  <c r="L87" i="10"/>
  <c r="D101" i="10"/>
  <c r="J101" i="10" s="1"/>
  <c r="B101" i="10"/>
  <c r="I109" i="10"/>
  <c r="J109" i="10" s="1"/>
  <c r="N109" i="10"/>
  <c r="M109" i="10" s="1"/>
  <c r="I119" i="10"/>
  <c r="J119" i="10" s="1"/>
  <c r="E123" i="10"/>
  <c r="G123" i="10" s="1"/>
  <c r="L123" i="10"/>
  <c r="K128" i="10"/>
  <c r="D137" i="10"/>
  <c r="J137" i="10" s="1"/>
  <c r="B137" i="10"/>
  <c r="I141" i="10"/>
  <c r="J141" i="10" s="1"/>
  <c r="I145" i="10"/>
  <c r="J145" i="10" s="1"/>
  <c r="N145" i="10"/>
  <c r="M145" i="10" s="1"/>
  <c r="I155" i="10"/>
  <c r="J155" i="10" s="1"/>
  <c r="E159" i="10"/>
  <c r="G159" i="10" s="1"/>
  <c r="L159" i="10"/>
  <c r="K164" i="10"/>
  <c r="K170" i="10"/>
  <c r="D173" i="10"/>
  <c r="J173" i="10" s="1"/>
  <c r="B173" i="10"/>
  <c r="I177" i="10"/>
  <c r="J177" i="10" s="1"/>
  <c r="I181" i="10"/>
  <c r="J181" i="10" s="1"/>
  <c r="N181" i="10"/>
  <c r="M181" i="10" s="1"/>
  <c r="L184" i="10"/>
  <c r="I191" i="10"/>
  <c r="J191" i="10" s="1"/>
  <c r="E195" i="10"/>
  <c r="G195" i="10" s="1"/>
  <c r="L195" i="10"/>
  <c r="K200" i="10"/>
  <c r="K205" i="10"/>
  <c r="M211" i="10"/>
  <c r="N2" i="11"/>
  <c r="AF2" i="11"/>
  <c r="L3" i="11"/>
  <c r="O3" i="5" s="1"/>
  <c r="AD3" i="11"/>
  <c r="I5" i="11"/>
  <c r="Z8" i="11"/>
  <c r="AB15" i="11"/>
  <c r="M18" i="11"/>
  <c r="W20" i="11"/>
  <c r="AC21" i="11"/>
  <c r="X23" i="15"/>
  <c r="Y23" i="15"/>
  <c r="I24" i="12"/>
  <c r="F24" i="12"/>
  <c r="L24" i="12"/>
  <c r="C24" i="12"/>
  <c r="D24" i="12" s="1"/>
  <c r="O24" i="12"/>
  <c r="AD23" i="11"/>
  <c r="R23" i="11"/>
  <c r="F23" i="11"/>
  <c r="AI23" i="11"/>
  <c r="W23" i="11"/>
  <c r="K23" i="11"/>
  <c r="AK23" i="11"/>
  <c r="V23" i="11"/>
  <c r="H23" i="11"/>
  <c r="AJ23" i="11"/>
  <c r="U23" i="11"/>
  <c r="G23" i="11"/>
  <c r="AH23" i="11"/>
  <c r="T23" i="11"/>
  <c r="E23" i="11"/>
  <c r="AB23" i="5" s="1"/>
  <c r="AG23" i="11"/>
  <c r="S23" i="11"/>
  <c r="D23" i="11"/>
  <c r="AF23" i="11"/>
  <c r="Q23" i="11"/>
  <c r="C23" i="11"/>
  <c r="AE23" i="11"/>
  <c r="P23" i="11"/>
  <c r="B23" i="11"/>
  <c r="AB23" i="11"/>
  <c r="N23" i="11"/>
  <c r="AA23" i="11"/>
  <c r="M23" i="11"/>
  <c r="F24" i="11"/>
  <c r="R27" i="11"/>
  <c r="V30" i="11"/>
  <c r="T47" i="11"/>
  <c r="X49" i="15"/>
  <c r="Y49" i="15"/>
  <c r="O50" i="12"/>
  <c r="C50" i="12"/>
  <c r="D50" i="12" s="1"/>
  <c r="L50" i="12"/>
  <c r="F50" i="12"/>
  <c r="I50" i="12"/>
  <c r="J50" i="12" s="1"/>
  <c r="AL49" i="11"/>
  <c r="Z49" i="11"/>
  <c r="N49" i="11"/>
  <c r="B49" i="11"/>
  <c r="AE49" i="11"/>
  <c r="S49" i="11"/>
  <c r="G49" i="11"/>
  <c r="AK49" i="11"/>
  <c r="W49" i="11"/>
  <c r="I49" i="11"/>
  <c r="AJ49" i="11"/>
  <c r="V49" i="11"/>
  <c r="H49" i="11"/>
  <c r="AI49" i="11"/>
  <c r="U49" i="11"/>
  <c r="F49" i="11"/>
  <c r="AH49" i="11"/>
  <c r="T49" i="11"/>
  <c r="E49" i="11"/>
  <c r="AG49" i="11"/>
  <c r="R49" i="11"/>
  <c r="D49" i="11"/>
  <c r="AF49" i="11"/>
  <c r="Q49" i="11"/>
  <c r="C49" i="11"/>
  <c r="AC49" i="11"/>
  <c r="O49" i="11"/>
  <c r="AB49" i="11"/>
  <c r="M49" i="11"/>
  <c r="T53" i="11"/>
  <c r="AD54" i="11"/>
  <c r="U56" i="11"/>
  <c r="S71" i="11"/>
  <c r="AE92" i="11"/>
  <c r="D172" i="9"/>
  <c r="Q172" i="9" s="1"/>
  <c r="E181" i="9"/>
  <c r="D181" i="9"/>
  <c r="D190" i="9"/>
  <c r="Q190" i="9" s="1"/>
  <c r="E199" i="9"/>
  <c r="D199" i="9"/>
  <c r="N199" i="9" s="1"/>
  <c r="B15" i="10"/>
  <c r="L22" i="10"/>
  <c r="K22" i="10"/>
  <c r="D22" i="10"/>
  <c r="N44" i="10"/>
  <c r="M44" i="10" s="1"/>
  <c r="L58" i="10"/>
  <c r="K58" i="10"/>
  <c r="D58" i="10"/>
  <c r="N80" i="10"/>
  <c r="M80" i="10" s="1"/>
  <c r="L94" i="10"/>
  <c r="K94" i="10"/>
  <c r="D94" i="10"/>
  <c r="J108" i="10"/>
  <c r="N116" i="10"/>
  <c r="M116" i="10" s="1"/>
  <c r="L119" i="10"/>
  <c r="L128" i="10"/>
  <c r="L130" i="10"/>
  <c r="K130" i="10"/>
  <c r="D130" i="10"/>
  <c r="N142" i="10"/>
  <c r="N152" i="10"/>
  <c r="M152" i="10"/>
  <c r="L155" i="10"/>
  <c r="L164" i="10"/>
  <c r="L166" i="10"/>
  <c r="K166" i="10"/>
  <c r="D166" i="10"/>
  <c r="L170" i="10"/>
  <c r="N178" i="10"/>
  <c r="N188" i="10"/>
  <c r="M188" i="10" s="1"/>
  <c r="L191" i="10"/>
  <c r="L200" i="10"/>
  <c r="L202" i="10"/>
  <c r="K202" i="10"/>
  <c r="D202" i="10"/>
  <c r="L205" i="10"/>
  <c r="AE3" i="11"/>
  <c r="J5" i="11"/>
  <c r="M5" i="5" s="1"/>
  <c r="E7" i="13"/>
  <c r="H8" i="12" s="1"/>
  <c r="F7" i="13"/>
  <c r="K8" i="12" s="1"/>
  <c r="AA8" i="11"/>
  <c r="AC15" i="11"/>
  <c r="N18" i="11"/>
  <c r="Y20" i="11"/>
  <c r="E20" i="13" s="1"/>
  <c r="H21" i="12" s="1"/>
  <c r="AD21" i="11"/>
  <c r="I23" i="11"/>
  <c r="N24" i="11"/>
  <c r="U27" i="11"/>
  <c r="AD30" i="11"/>
  <c r="AB47" i="11"/>
  <c r="J49" i="11"/>
  <c r="X53" i="11"/>
  <c r="AH54" i="11"/>
  <c r="AE56" i="11"/>
  <c r="U71" i="11"/>
  <c r="Y77" i="15"/>
  <c r="X77" i="15"/>
  <c r="F78" i="12"/>
  <c r="O78" i="12"/>
  <c r="C78" i="12"/>
  <c r="D78" i="12" s="1"/>
  <c r="L78" i="12"/>
  <c r="I78" i="12"/>
  <c r="AD77" i="11"/>
  <c r="R77" i="11"/>
  <c r="Q77" i="5" s="1"/>
  <c r="F77" i="11"/>
  <c r="AC77" i="11"/>
  <c r="Q77" i="11"/>
  <c r="E77" i="11"/>
  <c r="AB77" i="11"/>
  <c r="P77" i="11"/>
  <c r="D77" i="11"/>
  <c r="AA77" i="11"/>
  <c r="O77" i="11"/>
  <c r="C77" i="11"/>
  <c r="AI77" i="11"/>
  <c r="W77" i="11"/>
  <c r="K77" i="11"/>
  <c r="AG77" i="11"/>
  <c r="U77" i="11"/>
  <c r="I77" i="11"/>
  <c r="AF77" i="11"/>
  <c r="T77" i="11"/>
  <c r="H77" i="11"/>
  <c r="N77" i="11"/>
  <c r="M77" i="11"/>
  <c r="AL77" i="11"/>
  <c r="L77" i="11"/>
  <c r="AK77" i="11"/>
  <c r="J77" i="11"/>
  <c r="AJ77" i="11"/>
  <c r="G77" i="11"/>
  <c r="AH77" i="11"/>
  <c r="B77" i="11"/>
  <c r="Z77" i="11"/>
  <c r="Y77" i="11"/>
  <c r="E77" i="13" s="1"/>
  <c r="H78" i="12" s="1"/>
  <c r="G86" i="13"/>
  <c r="E86" i="13"/>
  <c r="H87" i="12" s="1"/>
  <c r="D86" i="13"/>
  <c r="E87" i="12" s="1"/>
  <c r="G87" i="12" s="1"/>
  <c r="F86" i="13"/>
  <c r="K87" i="12" s="1"/>
  <c r="AF92" i="11"/>
  <c r="L129" i="10"/>
  <c r="E129" i="10"/>
  <c r="G129" i="10" s="1"/>
  <c r="K143" i="10"/>
  <c r="J143" i="10"/>
  <c r="B143" i="10"/>
  <c r="F152" i="10"/>
  <c r="N155" i="10"/>
  <c r="M155" i="10" s="1"/>
  <c r="M165" i="10"/>
  <c r="L165" i="10"/>
  <c r="E165" i="10"/>
  <c r="N177" i="10"/>
  <c r="M177" i="10" s="1"/>
  <c r="K179" i="10"/>
  <c r="B179" i="10"/>
  <c r="F188" i="10"/>
  <c r="N191" i="10"/>
  <c r="M191" i="10" s="1"/>
  <c r="M201" i="10"/>
  <c r="L201" i="10"/>
  <c r="E201" i="10"/>
  <c r="T24" i="15"/>
  <c r="L2" i="11"/>
  <c r="AE2" i="11"/>
  <c r="AC2" i="11"/>
  <c r="E2" i="11"/>
  <c r="Y2" i="11" s="1"/>
  <c r="R2" i="11"/>
  <c r="Q2" i="5" s="1"/>
  <c r="P3" i="11"/>
  <c r="AE8" i="11"/>
  <c r="AG15" i="11"/>
  <c r="S18" i="11"/>
  <c r="AD20" i="11"/>
  <c r="AI21" i="11"/>
  <c r="Q24" i="11"/>
  <c r="AE27" i="11"/>
  <c r="AF30" i="11"/>
  <c r="Y38" i="15"/>
  <c r="X38" i="15"/>
  <c r="F39" i="12"/>
  <c r="C39" i="12"/>
  <c r="D39" i="12" s="1"/>
  <c r="L39" i="12"/>
  <c r="I39" i="12"/>
  <c r="O39" i="12"/>
  <c r="AJ38" i="11"/>
  <c r="X38" i="11"/>
  <c r="L38" i="11"/>
  <c r="AC38" i="11"/>
  <c r="Q38" i="11"/>
  <c r="E38" i="11"/>
  <c r="AB38" i="5" s="1"/>
  <c r="Z38" i="11"/>
  <c r="K38" i="11"/>
  <c r="Y38" i="11"/>
  <c r="E38" i="13" s="1"/>
  <c r="H39" i="12" s="1"/>
  <c r="J38" i="11"/>
  <c r="M38" i="5" s="1"/>
  <c r="AL38" i="11"/>
  <c r="W38" i="11"/>
  <c r="I38" i="11"/>
  <c r="AK38" i="11"/>
  <c r="V38" i="11"/>
  <c r="H38" i="11"/>
  <c r="AI38" i="11"/>
  <c r="U38" i="11"/>
  <c r="G38" i="11"/>
  <c r="AH38" i="11"/>
  <c r="T38" i="11"/>
  <c r="F38" i="11"/>
  <c r="AF38" i="11"/>
  <c r="R38" i="11"/>
  <c r="C38" i="11"/>
  <c r="AE38" i="11"/>
  <c r="P38" i="11"/>
  <c r="B38" i="11"/>
  <c r="AE47" i="11"/>
  <c r="X63" i="15"/>
  <c r="Y63" i="15"/>
  <c r="I64" i="12"/>
  <c r="F64" i="12"/>
  <c r="O64" i="12"/>
  <c r="L64" i="12"/>
  <c r="C64" i="12"/>
  <c r="D64" i="12" s="1"/>
  <c r="AH63" i="11"/>
  <c r="V63" i="11"/>
  <c r="J63" i="11"/>
  <c r="AG63" i="11"/>
  <c r="U63" i="11"/>
  <c r="I63" i="11"/>
  <c r="AF63" i="11"/>
  <c r="T63" i="11"/>
  <c r="H63" i="11"/>
  <c r="AA63" i="11"/>
  <c r="O63" i="11"/>
  <c r="C63" i="11"/>
  <c r="AI63" i="11"/>
  <c r="P63" i="11"/>
  <c r="AE63" i="11"/>
  <c r="N63" i="11"/>
  <c r="AD63" i="11"/>
  <c r="M63" i="11"/>
  <c r="AC63" i="11"/>
  <c r="L63" i="11"/>
  <c r="AB63" i="11"/>
  <c r="K63" i="11"/>
  <c r="Z63" i="11"/>
  <c r="G63" i="11"/>
  <c r="C65" i="1" s="1"/>
  <c r="X63" i="11"/>
  <c r="E63" i="11"/>
  <c r="W63" i="11"/>
  <c r="D63" i="11"/>
  <c r="G66" i="13"/>
  <c r="F66" i="13"/>
  <c r="K67" i="12" s="1"/>
  <c r="M67" i="12" s="1"/>
  <c r="D66" i="13"/>
  <c r="E67" i="12" s="1"/>
  <c r="E66" i="13"/>
  <c r="H67" i="12" s="1"/>
  <c r="AL71" i="11"/>
  <c r="X7" i="15"/>
  <c r="Y7" i="15"/>
  <c r="I8" i="12"/>
  <c r="F8" i="12"/>
  <c r="O8" i="12"/>
  <c r="C8" i="12"/>
  <c r="D8" i="12" s="1"/>
  <c r="L8" i="12"/>
  <c r="AL7" i="11"/>
  <c r="Z7" i="11"/>
  <c r="N7" i="11"/>
  <c r="B7" i="11"/>
  <c r="O7" i="11"/>
  <c r="AB7" i="11"/>
  <c r="Y12" i="15"/>
  <c r="X12" i="15"/>
  <c r="L13" i="12"/>
  <c r="I13" i="12"/>
  <c r="C13" i="12"/>
  <c r="D13" i="12" s="1"/>
  <c r="F13" i="12"/>
  <c r="O13" i="12"/>
  <c r="AB12" i="11"/>
  <c r="P12" i="11"/>
  <c r="D12" i="11"/>
  <c r="AG12" i="11"/>
  <c r="U12" i="11"/>
  <c r="I12" i="11"/>
  <c r="O12" i="11"/>
  <c r="AD12" i="11"/>
  <c r="X32" i="15"/>
  <c r="Y32" i="15"/>
  <c r="F33" i="12"/>
  <c r="L33" i="12"/>
  <c r="C33" i="12"/>
  <c r="D33" i="12" s="1"/>
  <c r="O33" i="12"/>
  <c r="I33" i="12"/>
  <c r="AJ32" i="11"/>
  <c r="X32" i="11"/>
  <c r="L32" i="11"/>
  <c r="AC32" i="11"/>
  <c r="Q32" i="11"/>
  <c r="E32" i="11"/>
  <c r="O32" i="11"/>
  <c r="AD32" i="11"/>
  <c r="Y35" i="15"/>
  <c r="X35" i="15"/>
  <c r="L36" i="12"/>
  <c r="O36" i="12"/>
  <c r="I36" i="12"/>
  <c r="F36" i="12"/>
  <c r="C36" i="12"/>
  <c r="D36" i="12" s="1"/>
  <c r="AD35" i="11"/>
  <c r="R35" i="11"/>
  <c r="F35" i="11"/>
  <c r="AI35" i="11"/>
  <c r="W35" i="11"/>
  <c r="K35" i="11"/>
  <c r="O35" i="11"/>
  <c r="AC35" i="11"/>
  <c r="D37" i="13"/>
  <c r="E38" i="12" s="1"/>
  <c r="G38" i="12" s="1"/>
  <c r="E37" i="13"/>
  <c r="H38" i="12" s="1"/>
  <c r="F37" i="13"/>
  <c r="K38" i="12" s="1"/>
  <c r="X51" i="11"/>
  <c r="AL51" i="11"/>
  <c r="F62" i="13"/>
  <c r="E62" i="13"/>
  <c r="G62" i="13"/>
  <c r="D62" i="13"/>
  <c r="E63" i="12" s="1"/>
  <c r="Y86" i="15"/>
  <c r="X86" i="15"/>
  <c r="L87" i="12"/>
  <c r="I87" i="12"/>
  <c r="F87" i="12"/>
  <c r="C87" i="12"/>
  <c r="D87" i="12" s="1"/>
  <c r="O87" i="12"/>
  <c r="AJ86" i="11"/>
  <c r="X86" i="11"/>
  <c r="L86" i="11"/>
  <c r="AI86" i="11"/>
  <c r="W86" i="11"/>
  <c r="K86" i="11"/>
  <c r="AH86" i="11"/>
  <c r="V86" i="11"/>
  <c r="J86" i="11"/>
  <c r="AG86" i="11"/>
  <c r="U86" i="11"/>
  <c r="I86" i="11"/>
  <c r="AC86" i="11"/>
  <c r="Q86" i="11"/>
  <c r="E86" i="11"/>
  <c r="AA86" i="11"/>
  <c r="O86" i="11"/>
  <c r="C86" i="11"/>
  <c r="AL86" i="11"/>
  <c r="Z86" i="11"/>
  <c r="N86" i="11"/>
  <c r="B86" i="11"/>
  <c r="AD86" i="11"/>
  <c r="G107" i="13"/>
  <c r="F107" i="13"/>
  <c r="K108" i="12" s="1"/>
  <c r="M108" i="12" s="1"/>
  <c r="D107" i="13"/>
  <c r="E108" i="12" s="1"/>
  <c r="G113" i="13"/>
  <c r="E113" i="13"/>
  <c r="H114" i="12" s="1"/>
  <c r="D113" i="13"/>
  <c r="E114" i="12" s="1"/>
  <c r="F113" i="13"/>
  <c r="K114" i="12" s="1"/>
  <c r="E144" i="13"/>
  <c r="H145" i="12" s="1"/>
  <c r="J145" i="12" s="1"/>
  <c r="D144" i="13"/>
  <c r="E145" i="12" s="1"/>
  <c r="G145" i="12" s="1"/>
  <c r="G144" i="13"/>
  <c r="F165" i="9"/>
  <c r="F171" i="9"/>
  <c r="F177" i="9"/>
  <c r="F183" i="9"/>
  <c r="F189" i="9"/>
  <c r="F195" i="9"/>
  <c r="I18" i="10"/>
  <c r="J18" i="10" s="1"/>
  <c r="I30" i="10"/>
  <c r="J30" i="10" s="1"/>
  <c r="I42" i="10"/>
  <c r="J42" i="10" s="1"/>
  <c r="I54" i="10"/>
  <c r="I66" i="10"/>
  <c r="J66" i="10" s="1"/>
  <c r="I78" i="10"/>
  <c r="J78" i="10" s="1"/>
  <c r="I90" i="10"/>
  <c r="J90" i="10" s="1"/>
  <c r="I102" i="10"/>
  <c r="J102" i="10" s="1"/>
  <c r="I114" i="10"/>
  <c r="J114" i="10" s="1"/>
  <c r="I126" i="10"/>
  <c r="J126" i="10" s="1"/>
  <c r="I138" i="10"/>
  <c r="J138" i="10" s="1"/>
  <c r="I150" i="10"/>
  <c r="J150" i="10" s="1"/>
  <c r="I162" i="10"/>
  <c r="J162" i="10" s="1"/>
  <c r="I174" i="10"/>
  <c r="J174" i="10" s="1"/>
  <c r="I186" i="10"/>
  <c r="J186" i="10" s="1"/>
  <c r="I198" i="10"/>
  <c r="J198" i="10" s="1"/>
  <c r="I210" i="10"/>
  <c r="J210" i="10" s="1"/>
  <c r="AF4" i="11"/>
  <c r="Y4" i="11"/>
  <c r="G4" i="13" s="1"/>
  <c r="X6" i="15"/>
  <c r="Y6" i="15"/>
  <c r="F7" i="12"/>
  <c r="C7" i="12"/>
  <c r="D7" i="12" s="1"/>
  <c r="I7" i="12"/>
  <c r="L7" i="12"/>
  <c r="AB6" i="11"/>
  <c r="P6" i="11"/>
  <c r="D6" i="11"/>
  <c r="O7" i="12"/>
  <c r="N6" i="11"/>
  <c r="AA6" i="11"/>
  <c r="C7" i="11"/>
  <c r="P7" i="11"/>
  <c r="AC7" i="11"/>
  <c r="L11" i="11"/>
  <c r="Z11" i="11"/>
  <c r="B12" i="11"/>
  <c r="Q12" i="11"/>
  <c r="AE12" i="11"/>
  <c r="M14" i="11"/>
  <c r="M17" i="11"/>
  <c r="I19" i="11"/>
  <c r="W19" i="11"/>
  <c r="J25" i="11"/>
  <c r="X25" i="11"/>
  <c r="Y26" i="15"/>
  <c r="X26" i="15"/>
  <c r="O27" i="12"/>
  <c r="I27" i="12"/>
  <c r="L27" i="12"/>
  <c r="C27" i="12"/>
  <c r="D27" i="12" s="1"/>
  <c r="F27" i="12"/>
  <c r="AJ26" i="11"/>
  <c r="X26" i="11"/>
  <c r="L26" i="11"/>
  <c r="AC26" i="11"/>
  <c r="Q26" i="11"/>
  <c r="E26" i="11"/>
  <c r="AB26" i="5" s="1"/>
  <c r="O26" i="11"/>
  <c r="E28" i="1" s="1"/>
  <c r="AD26" i="11"/>
  <c r="Y29" i="15"/>
  <c r="X29" i="15"/>
  <c r="F30" i="12"/>
  <c r="G30" i="12" s="1"/>
  <c r="L30" i="12"/>
  <c r="C30" i="12"/>
  <c r="D30" i="12" s="1"/>
  <c r="O30" i="12"/>
  <c r="I30" i="12"/>
  <c r="AD29" i="11"/>
  <c r="R29" i="11"/>
  <c r="F29" i="11"/>
  <c r="AI29" i="11"/>
  <c r="W29" i="11"/>
  <c r="G31" i="1" s="1"/>
  <c r="K29" i="11"/>
  <c r="D31" i="1" s="1"/>
  <c r="O29" i="11"/>
  <c r="E31" i="1" s="1"/>
  <c r="AC29" i="11"/>
  <c r="K31" i="11"/>
  <c r="Y31" i="11"/>
  <c r="E31" i="13" s="1"/>
  <c r="H32" i="12" s="1"/>
  <c r="B32" i="11"/>
  <c r="P32" i="11"/>
  <c r="AE32" i="11"/>
  <c r="B35" i="11"/>
  <c r="P35" i="11"/>
  <c r="AE35" i="11"/>
  <c r="L37" i="11"/>
  <c r="AA37" i="11"/>
  <c r="H39" i="11"/>
  <c r="W39" i="11"/>
  <c r="H42" i="11"/>
  <c r="W42" i="11"/>
  <c r="M43" i="11"/>
  <c r="I45" i="11"/>
  <c r="X45" i="11"/>
  <c r="AL45" i="11"/>
  <c r="J48" i="11"/>
  <c r="X48" i="11"/>
  <c r="AL48" i="11"/>
  <c r="K51" i="11"/>
  <c r="Y51" i="11"/>
  <c r="G51" i="13" s="1"/>
  <c r="J55" i="11"/>
  <c r="AA55" i="11"/>
  <c r="N57" i="11"/>
  <c r="O57" i="5" s="1"/>
  <c r="N59" i="11"/>
  <c r="AG59" i="11"/>
  <c r="L60" i="11"/>
  <c r="AE60" i="11"/>
  <c r="M68" i="11"/>
  <c r="AF68" i="11"/>
  <c r="P69" i="11"/>
  <c r="AK69" i="11"/>
  <c r="R74" i="11"/>
  <c r="G80" i="13"/>
  <c r="F80" i="13"/>
  <c r="K81" i="12" s="1"/>
  <c r="E80" i="13"/>
  <c r="H81" i="12" s="1"/>
  <c r="D80" i="13"/>
  <c r="E81" i="12" s="1"/>
  <c r="D86" i="11"/>
  <c r="AE86" i="11"/>
  <c r="V95" i="11"/>
  <c r="AA101" i="11"/>
  <c r="Y102" i="11"/>
  <c r="AD106" i="11"/>
  <c r="Z107" i="11"/>
  <c r="AD108" i="11"/>
  <c r="AK118" i="11"/>
  <c r="G129" i="13"/>
  <c r="E129" i="13"/>
  <c r="D129" i="13"/>
  <c r="E130" i="12" s="1"/>
  <c r="F129" i="13"/>
  <c r="K130" i="12" s="1"/>
  <c r="X150" i="15"/>
  <c r="Y150" i="15"/>
  <c r="O151" i="12"/>
  <c r="C151" i="12"/>
  <c r="D151" i="12" s="1"/>
  <c r="I151" i="12"/>
  <c r="L151" i="12"/>
  <c r="F151" i="12"/>
  <c r="AB150" i="11"/>
  <c r="P150" i="11"/>
  <c r="D150" i="11"/>
  <c r="AA150" i="11"/>
  <c r="O150" i="11"/>
  <c r="C150" i="11"/>
  <c r="AL150" i="11"/>
  <c r="Z150" i="11"/>
  <c r="N150" i="11"/>
  <c r="O150" i="5" s="1"/>
  <c r="B150" i="11"/>
  <c r="AH150" i="11"/>
  <c r="V150" i="11"/>
  <c r="Q150" i="5" s="1"/>
  <c r="J150" i="11"/>
  <c r="M150" i="5" s="1"/>
  <c r="AF150" i="11"/>
  <c r="M150" i="11"/>
  <c r="AC150" i="11"/>
  <c r="I150" i="11"/>
  <c r="Y150" i="11"/>
  <c r="F150" i="13" s="1"/>
  <c r="K151" i="12" s="1"/>
  <c r="H150" i="11"/>
  <c r="W150" i="11"/>
  <c r="F150" i="11"/>
  <c r="U150" i="11"/>
  <c r="E150" i="11"/>
  <c r="AJ150" i="11"/>
  <c r="S150" i="11"/>
  <c r="Q150" i="11"/>
  <c r="L150" i="11"/>
  <c r="K150" i="11"/>
  <c r="G150" i="11"/>
  <c r="AI150" i="11"/>
  <c r="AG150" i="11"/>
  <c r="AE150" i="11"/>
  <c r="X150" i="11"/>
  <c r="T150" i="11"/>
  <c r="E171" i="13"/>
  <c r="D171" i="13"/>
  <c r="E172" i="12" s="1"/>
  <c r="G171" i="13"/>
  <c r="F171" i="13"/>
  <c r="E7" i="11"/>
  <c r="R7" i="11"/>
  <c r="AE7" i="11"/>
  <c r="N11" i="11"/>
  <c r="E12" i="11"/>
  <c r="S12" i="11"/>
  <c r="AH12" i="11"/>
  <c r="Y14" i="15"/>
  <c r="X14" i="15"/>
  <c r="F15" i="12"/>
  <c r="C15" i="12"/>
  <c r="D15" i="12" s="1"/>
  <c r="I15" i="12"/>
  <c r="O15" i="12"/>
  <c r="L15" i="12"/>
  <c r="AJ14" i="11"/>
  <c r="X14" i="11"/>
  <c r="L14" i="11"/>
  <c r="AC14" i="11"/>
  <c r="Q14" i="11"/>
  <c r="E14" i="11"/>
  <c r="AB14" i="5" s="1"/>
  <c r="O14" i="11"/>
  <c r="AD14" i="11"/>
  <c r="Y17" i="15"/>
  <c r="X17" i="15"/>
  <c r="I18" i="12"/>
  <c r="F18" i="12"/>
  <c r="O18" i="12"/>
  <c r="L18" i="12"/>
  <c r="C18" i="12"/>
  <c r="D18" i="12" s="1"/>
  <c r="AD17" i="11"/>
  <c r="R17" i="11"/>
  <c r="F17" i="11"/>
  <c r="AI17" i="11"/>
  <c r="W17" i="11"/>
  <c r="K17" i="11"/>
  <c r="O17" i="11"/>
  <c r="AC17" i="11"/>
  <c r="F19" i="13"/>
  <c r="K20" i="12" s="1"/>
  <c r="G19" i="13"/>
  <c r="E19" i="13"/>
  <c r="H20" i="12" s="1"/>
  <c r="L25" i="11"/>
  <c r="AA25" i="11"/>
  <c r="M31" i="11"/>
  <c r="AB31" i="11"/>
  <c r="D32" i="11"/>
  <c r="S32" i="11"/>
  <c r="AG32" i="11"/>
  <c r="D35" i="11"/>
  <c r="S35" i="11"/>
  <c r="AG35" i="11"/>
  <c r="O37" i="11"/>
  <c r="F39" i="13"/>
  <c r="G39" i="13"/>
  <c r="E39" i="13"/>
  <c r="H40" i="12" s="1"/>
  <c r="D42" i="13"/>
  <c r="F42" i="13"/>
  <c r="Y43" i="15"/>
  <c r="X43" i="15"/>
  <c r="I44" i="12"/>
  <c r="F44" i="12"/>
  <c r="L44" i="12"/>
  <c r="C44" i="12"/>
  <c r="D44" i="12" s="1"/>
  <c r="O44" i="12"/>
  <c r="AL43" i="11"/>
  <c r="Z43" i="11"/>
  <c r="N43" i="11"/>
  <c r="B43" i="11"/>
  <c r="AE43" i="11"/>
  <c r="S43" i="11"/>
  <c r="G43" i="11"/>
  <c r="P43" i="11"/>
  <c r="AD43" i="11"/>
  <c r="L45" i="11"/>
  <c r="L48" i="11"/>
  <c r="M51" i="11"/>
  <c r="AB51" i="11"/>
  <c r="M55" i="11"/>
  <c r="Y57" i="15"/>
  <c r="X57" i="15"/>
  <c r="O58" i="12"/>
  <c r="C58" i="12"/>
  <c r="D58" i="12" s="1"/>
  <c r="L58" i="12"/>
  <c r="F58" i="12"/>
  <c r="I58" i="12"/>
  <c r="AH57" i="11"/>
  <c r="V57" i="11"/>
  <c r="Q57" i="5" s="1"/>
  <c r="J57" i="11"/>
  <c r="AF57" i="11"/>
  <c r="T57" i="11"/>
  <c r="H57" i="11"/>
  <c r="AA57" i="11"/>
  <c r="O57" i="11"/>
  <c r="E59" i="1" s="1"/>
  <c r="C57" i="11"/>
  <c r="Q57" i="11"/>
  <c r="AG57" i="11"/>
  <c r="S59" i="11"/>
  <c r="Q60" i="11"/>
  <c r="M65" i="11"/>
  <c r="Q66" i="11"/>
  <c r="P68" i="11"/>
  <c r="Y80" i="15"/>
  <c r="X80" i="15"/>
  <c r="F81" i="12"/>
  <c r="O81" i="12"/>
  <c r="C81" i="12"/>
  <c r="D81" i="12" s="1"/>
  <c r="L81" i="12"/>
  <c r="I81" i="12"/>
  <c r="AJ80" i="11"/>
  <c r="X80" i="11"/>
  <c r="L80" i="11"/>
  <c r="AI80" i="11"/>
  <c r="W80" i="11"/>
  <c r="K80" i="11"/>
  <c r="AH80" i="11"/>
  <c r="V80" i="11"/>
  <c r="Q80" i="5" s="1"/>
  <c r="J80" i="11"/>
  <c r="AG80" i="11"/>
  <c r="U80" i="11"/>
  <c r="I80" i="11"/>
  <c r="AC80" i="11"/>
  <c r="Q80" i="11"/>
  <c r="E80" i="11"/>
  <c r="AA80" i="11"/>
  <c r="O80" i="11"/>
  <c r="C80" i="11"/>
  <c r="AL80" i="11"/>
  <c r="Z80" i="11"/>
  <c r="N80" i="11"/>
  <c r="O80" i="5" s="1"/>
  <c r="B80" i="11"/>
  <c r="AD80" i="11"/>
  <c r="G86" i="11"/>
  <c r="AK86" i="11"/>
  <c r="Y98" i="15"/>
  <c r="X98" i="15"/>
  <c r="L99" i="12"/>
  <c r="I99" i="12"/>
  <c r="F99" i="12"/>
  <c r="C99" i="12"/>
  <c r="O99" i="12"/>
  <c r="AI98" i="11"/>
  <c r="W98" i="11"/>
  <c r="G100" i="1" s="1"/>
  <c r="K98" i="11"/>
  <c r="D100" i="1" s="1"/>
  <c r="AF98" i="11"/>
  <c r="S98" i="11"/>
  <c r="F100" i="1" s="1"/>
  <c r="F98" i="11"/>
  <c r="AJ98" i="11"/>
  <c r="U98" i="11"/>
  <c r="G98" i="11"/>
  <c r="C100" i="1" s="1"/>
  <c r="AH98" i="11"/>
  <c r="T98" i="11"/>
  <c r="E98" i="11"/>
  <c r="AG98" i="11"/>
  <c r="R98" i="11"/>
  <c r="D98" i="11"/>
  <c r="AE98" i="11"/>
  <c r="Q98" i="11"/>
  <c r="C98" i="11"/>
  <c r="AA98" i="11"/>
  <c r="M98" i="11"/>
  <c r="Y98" i="11"/>
  <c r="G98" i="13" s="1"/>
  <c r="J98" i="11"/>
  <c r="M98" i="5" s="1"/>
  <c r="AL98" i="11"/>
  <c r="X98" i="11"/>
  <c r="I98" i="11"/>
  <c r="AK98" i="11"/>
  <c r="AD150" i="11"/>
  <c r="F7" i="11"/>
  <c r="S7" i="11"/>
  <c r="AF7" i="11"/>
  <c r="X11" i="15"/>
  <c r="Y11" i="15"/>
  <c r="L12" i="12"/>
  <c r="F12" i="12"/>
  <c r="O12" i="12"/>
  <c r="I12" i="12"/>
  <c r="C12" i="12"/>
  <c r="D12" i="12" s="1"/>
  <c r="AD11" i="11"/>
  <c r="R11" i="11"/>
  <c r="Q11" i="5" s="1"/>
  <c r="F11" i="11"/>
  <c r="AI11" i="11"/>
  <c r="W11" i="11"/>
  <c r="K11" i="11"/>
  <c r="O11" i="11"/>
  <c r="AC11" i="11"/>
  <c r="F12" i="11"/>
  <c r="T12" i="11"/>
  <c r="AI12" i="11"/>
  <c r="E13" i="13"/>
  <c r="H14" i="12" s="1"/>
  <c r="G13" i="13"/>
  <c r="O31" i="11"/>
  <c r="F32" i="11"/>
  <c r="T32" i="11"/>
  <c r="AH32" i="11"/>
  <c r="D33" i="13"/>
  <c r="G33" i="13"/>
  <c r="E35" i="11"/>
  <c r="T35" i="11"/>
  <c r="AH35" i="11"/>
  <c r="X37" i="15"/>
  <c r="Y37" i="15"/>
  <c r="O38" i="12"/>
  <c r="C38" i="12"/>
  <c r="D38" i="12" s="1"/>
  <c r="L38" i="12"/>
  <c r="F38" i="12"/>
  <c r="I38" i="12"/>
  <c r="AL37" i="11"/>
  <c r="Z37" i="11"/>
  <c r="N37" i="11"/>
  <c r="B37" i="11"/>
  <c r="AE37" i="11"/>
  <c r="S37" i="11"/>
  <c r="G37" i="11"/>
  <c r="P37" i="11"/>
  <c r="AD37" i="11"/>
  <c r="N51" i="11"/>
  <c r="O51" i="5" s="1"/>
  <c r="Y59" i="15"/>
  <c r="X59" i="15"/>
  <c r="O60" i="12"/>
  <c r="I60" i="12"/>
  <c r="L60" i="12"/>
  <c r="C60" i="12"/>
  <c r="F60" i="12"/>
  <c r="AD59" i="11"/>
  <c r="R59" i="11"/>
  <c r="F59" i="11"/>
  <c r="AC59" i="11"/>
  <c r="Q59" i="11"/>
  <c r="E59" i="11"/>
  <c r="AB59" i="5" s="1"/>
  <c r="AB59" i="11"/>
  <c r="P59" i="11"/>
  <c r="D59" i="11"/>
  <c r="AI59" i="11"/>
  <c r="W59" i="11"/>
  <c r="K59" i="11"/>
  <c r="T59" i="11"/>
  <c r="AK59" i="11"/>
  <c r="X69" i="15"/>
  <c r="Y69" i="15"/>
  <c r="O70" i="12"/>
  <c r="C70" i="12"/>
  <c r="D70" i="12" s="1"/>
  <c r="F70" i="12"/>
  <c r="L70" i="12"/>
  <c r="I70" i="12"/>
  <c r="AH69" i="11"/>
  <c r="V69" i="11"/>
  <c r="Q69" i="5" s="1"/>
  <c r="J69" i="11"/>
  <c r="M69" i="5" s="1"/>
  <c r="AG69" i="11"/>
  <c r="U69" i="11"/>
  <c r="I69" i="11"/>
  <c r="AF69" i="11"/>
  <c r="T69" i="11"/>
  <c r="H69" i="11"/>
  <c r="AA69" i="11"/>
  <c r="O69" i="11"/>
  <c r="C69" i="11"/>
  <c r="AJ69" i="11"/>
  <c r="X69" i="11"/>
  <c r="L69" i="11"/>
  <c r="S69" i="11"/>
  <c r="F74" i="13"/>
  <c r="K75" i="12" s="1"/>
  <c r="E74" i="13"/>
  <c r="H75" i="12" s="1"/>
  <c r="G74" i="13"/>
  <c r="D74" i="13"/>
  <c r="E75" i="12" s="1"/>
  <c r="H86" i="11"/>
  <c r="Y107" i="15"/>
  <c r="X107" i="15"/>
  <c r="F108" i="12"/>
  <c r="C108" i="12"/>
  <c r="D108" i="12" s="1"/>
  <c r="O108" i="12"/>
  <c r="L108" i="12"/>
  <c r="I108" i="12"/>
  <c r="AC107" i="11"/>
  <c r="Q107" i="11"/>
  <c r="E107" i="11"/>
  <c r="AD107" i="11"/>
  <c r="P107" i="11"/>
  <c r="C107" i="11"/>
  <c r="AI107" i="11"/>
  <c r="V107" i="11"/>
  <c r="Q107" i="5" s="1"/>
  <c r="I107" i="11"/>
  <c r="AF107" i="11"/>
  <c r="O107" i="11"/>
  <c r="AE107" i="11"/>
  <c r="N107" i="11"/>
  <c r="O107" i="5" s="1"/>
  <c r="AB107" i="11"/>
  <c r="M107" i="11"/>
  <c r="AA107" i="11"/>
  <c r="L107" i="11"/>
  <c r="AL107" i="11"/>
  <c r="W107" i="11"/>
  <c r="G107" i="11"/>
  <c r="AJ107" i="11"/>
  <c r="T107" i="11"/>
  <c r="D107" i="11"/>
  <c r="AH107" i="11"/>
  <c r="S107" i="11"/>
  <c r="B107" i="11"/>
  <c r="Y108" i="15"/>
  <c r="X108" i="15"/>
  <c r="I109" i="12"/>
  <c r="C109" i="12"/>
  <c r="D109" i="12" s="1"/>
  <c r="O109" i="12"/>
  <c r="L109" i="12"/>
  <c r="F109" i="12"/>
  <c r="AA108" i="11"/>
  <c r="O108" i="11"/>
  <c r="C108" i="11"/>
  <c r="AE108" i="11"/>
  <c r="R108" i="11"/>
  <c r="Q108" i="5" s="1"/>
  <c r="E108" i="11"/>
  <c r="AJ108" i="11"/>
  <c r="W108" i="11"/>
  <c r="J108" i="11"/>
  <c r="M108" i="5" s="1"/>
  <c r="Y108" i="11"/>
  <c r="I108" i="11"/>
  <c r="X108" i="11"/>
  <c r="H108" i="11"/>
  <c r="AL108" i="11"/>
  <c r="V108" i="11"/>
  <c r="G108" i="11"/>
  <c r="AK108" i="11"/>
  <c r="U108" i="11"/>
  <c r="F108" i="11"/>
  <c r="AF108" i="11"/>
  <c r="P108" i="11"/>
  <c r="AC108" i="11"/>
  <c r="M108" i="11"/>
  <c r="AB108" i="11"/>
  <c r="L108" i="11"/>
  <c r="AI108" i="11"/>
  <c r="G120" i="13"/>
  <c r="D120" i="13"/>
  <c r="E120" i="13"/>
  <c r="H121" i="12" s="1"/>
  <c r="J121" i="12" s="1"/>
  <c r="G7" i="11"/>
  <c r="T7" i="11"/>
  <c r="AG7" i="11"/>
  <c r="G12" i="11"/>
  <c r="V12" i="11"/>
  <c r="Q12" i="5" s="1"/>
  <c r="AJ12" i="11"/>
  <c r="Y31" i="15"/>
  <c r="X31" i="15"/>
  <c r="I32" i="12"/>
  <c r="F32" i="12"/>
  <c r="L32" i="12"/>
  <c r="C32" i="12"/>
  <c r="D32" i="12" s="1"/>
  <c r="AL31" i="11"/>
  <c r="Z31" i="11"/>
  <c r="N31" i="11"/>
  <c r="B31" i="11"/>
  <c r="AE31" i="11"/>
  <c r="S31" i="11"/>
  <c r="G31" i="11"/>
  <c r="O32" i="12"/>
  <c r="P31" i="11"/>
  <c r="AD31" i="11"/>
  <c r="G32" i="11"/>
  <c r="U32" i="11"/>
  <c r="AI32" i="11"/>
  <c r="G35" i="11"/>
  <c r="U35" i="11"/>
  <c r="AJ35" i="11"/>
  <c r="Y51" i="15"/>
  <c r="X51" i="15"/>
  <c r="I52" i="12"/>
  <c r="O52" i="12"/>
  <c r="L52" i="12"/>
  <c r="F52" i="12"/>
  <c r="C52" i="12"/>
  <c r="D52" i="12" s="1"/>
  <c r="AH51" i="11"/>
  <c r="V51" i="11"/>
  <c r="J51" i="11"/>
  <c r="AA51" i="11"/>
  <c r="O51" i="11"/>
  <c r="C51" i="11"/>
  <c r="P51" i="11"/>
  <c r="AD51" i="11"/>
  <c r="B69" i="11"/>
  <c r="W69" i="11"/>
  <c r="M86" i="11"/>
  <c r="X95" i="15"/>
  <c r="Y95" i="15"/>
  <c r="L96" i="12"/>
  <c r="I96" i="12"/>
  <c r="O96" i="12"/>
  <c r="F96" i="12"/>
  <c r="C96" i="12"/>
  <c r="D96" i="12" s="1"/>
  <c r="AD95" i="11"/>
  <c r="R95" i="11"/>
  <c r="F95" i="11"/>
  <c r="AC95" i="11"/>
  <c r="Q95" i="11"/>
  <c r="E95" i="11"/>
  <c r="AB95" i="11"/>
  <c r="P95" i="11"/>
  <c r="D95" i="11"/>
  <c r="AA95" i="11"/>
  <c r="O95" i="11"/>
  <c r="C95" i="11"/>
  <c r="AI95" i="11"/>
  <c r="W95" i="11"/>
  <c r="L95" i="5" s="1"/>
  <c r="K95" i="11"/>
  <c r="AG95" i="11"/>
  <c r="U95" i="11"/>
  <c r="I95" i="11"/>
  <c r="AF95" i="11"/>
  <c r="T95" i="11"/>
  <c r="H95" i="11"/>
  <c r="AE95" i="11"/>
  <c r="Y101" i="15"/>
  <c r="X101" i="15"/>
  <c r="I102" i="12"/>
  <c r="F102" i="12"/>
  <c r="O102" i="12"/>
  <c r="C102" i="12"/>
  <c r="D102" i="12" s="1"/>
  <c r="L102" i="12"/>
  <c r="AC101" i="11"/>
  <c r="Q101" i="11"/>
  <c r="E101" i="11"/>
  <c r="AJ101" i="11"/>
  <c r="W101" i="11"/>
  <c r="J101" i="11"/>
  <c r="M101" i="5" s="1"/>
  <c r="AB101" i="11"/>
  <c r="O101" i="11"/>
  <c r="AL101" i="11"/>
  <c r="V101" i="11"/>
  <c r="Q101" i="5" s="1"/>
  <c r="G101" i="11"/>
  <c r="AK101" i="11"/>
  <c r="U101" i="11"/>
  <c r="F101" i="11"/>
  <c r="AI101" i="11"/>
  <c r="T101" i="11"/>
  <c r="D101" i="11"/>
  <c r="AH101" i="11"/>
  <c r="S101" i="11"/>
  <c r="C101" i="11"/>
  <c r="AD101" i="11"/>
  <c r="M101" i="11"/>
  <c r="Z101" i="11"/>
  <c r="K101" i="11"/>
  <c r="Y101" i="11"/>
  <c r="G101" i="13" s="1"/>
  <c r="I101" i="11"/>
  <c r="Y102" i="15"/>
  <c r="X102" i="15"/>
  <c r="O103" i="12"/>
  <c r="C103" i="12"/>
  <c r="D103" i="12" s="1"/>
  <c r="I103" i="12"/>
  <c r="F103" i="12"/>
  <c r="L103" i="12"/>
  <c r="AA102" i="11"/>
  <c r="O102" i="11"/>
  <c r="C102" i="11"/>
  <c r="AK102" i="11"/>
  <c r="X102" i="11"/>
  <c r="K102" i="11"/>
  <c r="AD102" i="11"/>
  <c r="Q102" i="11"/>
  <c r="D102" i="11"/>
  <c r="AF102" i="11"/>
  <c r="P102" i="11"/>
  <c r="AE102" i="11"/>
  <c r="N102" i="11"/>
  <c r="AC102" i="11"/>
  <c r="M102" i="11"/>
  <c r="AB102" i="11"/>
  <c r="L102" i="11"/>
  <c r="AL102" i="11"/>
  <c r="V102" i="11"/>
  <c r="Q102" i="5" s="1"/>
  <c r="G102" i="11"/>
  <c r="AI102" i="11"/>
  <c r="T102" i="11"/>
  <c r="E102" i="11"/>
  <c r="AB102" i="5" s="1"/>
  <c r="AH102" i="11"/>
  <c r="S102" i="11"/>
  <c r="B102" i="11"/>
  <c r="G105" i="13"/>
  <c r="F105" i="13"/>
  <c r="E105" i="13"/>
  <c r="D105" i="13"/>
  <c r="Y106" i="15"/>
  <c r="X106" i="15"/>
  <c r="F107" i="12"/>
  <c r="I107" i="12"/>
  <c r="C107" i="12"/>
  <c r="D107" i="12" s="1"/>
  <c r="L107" i="12"/>
  <c r="O107" i="12"/>
  <c r="AE106" i="11"/>
  <c r="S106" i="11"/>
  <c r="G106" i="11"/>
  <c r="AB106" i="11"/>
  <c r="O106" i="11"/>
  <c r="B106" i="11"/>
  <c r="AH106" i="11"/>
  <c r="U106" i="11"/>
  <c r="H106" i="11"/>
  <c r="AL106" i="11"/>
  <c r="W106" i="11"/>
  <c r="F106" i="11"/>
  <c r="AK106" i="11"/>
  <c r="V106" i="11"/>
  <c r="E106" i="11"/>
  <c r="AJ106" i="11"/>
  <c r="T106" i="11"/>
  <c r="D106" i="11"/>
  <c r="AI106" i="11"/>
  <c r="R106" i="11"/>
  <c r="C106" i="11"/>
  <c r="AC106" i="11"/>
  <c r="M106" i="11"/>
  <c r="Z106" i="11"/>
  <c r="K106" i="11"/>
  <c r="Y106" i="11"/>
  <c r="G106" i="13" s="1"/>
  <c r="J106" i="11"/>
  <c r="F107" i="11"/>
  <c r="B108" i="11"/>
  <c r="Y140" i="15"/>
  <c r="X140" i="15"/>
  <c r="F141" i="12"/>
  <c r="I141" i="12"/>
  <c r="C141" i="12"/>
  <c r="O141" i="12"/>
  <c r="L141" i="12"/>
  <c r="AJ140" i="11"/>
  <c r="X140" i="11"/>
  <c r="L140" i="11"/>
  <c r="AI140" i="11"/>
  <c r="W140" i="11"/>
  <c r="K140" i="11"/>
  <c r="AH140" i="11"/>
  <c r="V140" i="11"/>
  <c r="AD140" i="11"/>
  <c r="R140" i="11"/>
  <c r="F140" i="11"/>
  <c r="AF140" i="11"/>
  <c r="O140" i="11"/>
  <c r="AA140" i="11"/>
  <c r="I140" i="11"/>
  <c r="Y140" i="11"/>
  <c r="F140" i="13" s="1"/>
  <c r="K141" i="12" s="1"/>
  <c r="G140" i="11"/>
  <c r="U140" i="11"/>
  <c r="E140" i="11"/>
  <c r="T140" i="11"/>
  <c r="S140" i="11"/>
  <c r="Q140" i="11"/>
  <c r="P140" i="11"/>
  <c r="AL140" i="11"/>
  <c r="M140" i="11"/>
  <c r="AK140" i="11"/>
  <c r="J140" i="11"/>
  <c r="AG140" i="11"/>
  <c r="H140" i="11"/>
  <c r="AC140" i="11"/>
  <c r="C140" i="11"/>
  <c r="AB140" i="11"/>
  <c r="B140" i="11"/>
  <c r="H7" i="11"/>
  <c r="U7" i="11"/>
  <c r="AH7" i="11"/>
  <c r="C11" i="11"/>
  <c r="Q11" i="11"/>
  <c r="AF11" i="11"/>
  <c r="H12" i="11"/>
  <c r="W12" i="11"/>
  <c r="AK12" i="11"/>
  <c r="Y25" i="15"/>
  <c r="X25" i="15"/>
  <c r="O26" i="12"/>
  <c r="C26" i="12"/>
  <c r="D26" i="12" s="1"/>
  <c r="L26" i="12"/>
  <c r="M26" i="12" s="1"/>
  <c r="I26" i="12"/>
  <c r="F26" i="12"/>
  <c r="AL25" i="11"/>
  <c r="Z25" i="11"/>
  <c r="N25" i="11"/>
  <c r="B25" i="11"/>
  <c r="AE25" i="11"/>
  <c r="S25" i="11"/>
  <c r="G25" i="11"/>
  <c r="P25" i="11"/>
  <c r="AD25" i="11"/>
  <c r="C31" i="11"/>
  <c r="Q31" i="11"/>
  <c r="AF31" i="11"/>
  <c r="H32" i="11"/>
  <c r="V32" i="11"/>
  <c r="Q32" i="5" s="1"/>
  <c r="AK32" i="11"/>
  <c r="H35" i="11"/>
  <c r="V35" i="11"/>
  <c r="AK35" i="11"/>
  <c r="D37" i="11"/>
  <c r="R37" i="11"/>
  <c r="Q37" i="5" s="1"/>
  <c r="AG37" i="11"/>
  <c r="Y45" i="15"/>
  <c r="X45" i="15"/>
  <c r="O46" i="12"/>
  <c r="C46" i="12"/>
  <c r="D46" i="12" s="1"/>
  <c r="F46" i="12"/>
  <c r="L46" i="12"/>
  <c r="I46" i="12"/>
  <c r="J46" i="12" s="1"/>
  <c r="AH45" i="11"/>
  <c r="V45" i="11"/>
  <c r="J45" i="11"/>
  <c r="AA45" i="11"/>
  <c r="O45" i="11"/>
  <c r="C45" i="11"/>
  <c r="P45" i="11"/>
  <c r="AD45" i="11"/>
  <c r="X48" i="15"/>
  <c r="Y48" i="15"/>
  <c r="L49" i="12"/>
  <c r="I49" i="12"/>
  <c r="J49" i="12" s="1"/>
  <c r="C49" i="12"/>
  <c r="D49" i="12" s="1"/>
  <c r="O49" i="12"/>
  <c r="F49" i="12"/>
  <c r="AB48" i="11"/>
  <c r="P48" i="11"/>
  <c r="D48" i="11"/>
  <c r="AG48" i="11"/>
  <c r="U48" i="11"/>
  <c r="I48" i="11"/>
  <c r="O48" i="11"/>
  <c r="AD48" i="11"/>
  <c r="B51" i="11"/>
  <c r="Q51" i="11"/>
  <c r="AE51" i="11"/>
  <c r="Y55" i="15"/>
  <c r="X55" i="15"/>
  <c r="I56" i="12"/>
  <c r="F56" i="12"/>
  <c r="C56" i="12"/>
  <c r="D56" i="12" s="1"/>
  <c r="L56" i="12"/>
  <c r="O56" i="12"/>
  <c r="AL55" i="11"/>
  <c r="Z55" i="11"/>
  <c r="N55" i="11"/>
  <c r="B55" i="11"/>
  <c r="AJ55" i="11"/>
  <c r="X55" i="11"/>
  <c r="L55" i="11"/>
  <c r="AE55" i="11"/>
  <c r="S55" i="11"/>
  <c r="G55" i="11"/>
  <c r="Q55" i="11"/>
  <c r="AG55" i="11"/>
  <c r="C59" i="11"/>
  <c r="V59" i="11"/>
  <c r="Y60" i="15"/>
  <c r="X60" i="15"/>
  <c r="L61" i="12"/>
  <c r="O61" i="12"/>
  <c r="I61" i="12"/>
  <c r="F61" i="12"/>
  <c r="C61" i="12"/>
  <c r="D61" i="12" s="1"/>
  <c r="AB60" i="11"/>
  <c r="P60" i="11"/>
  <c r="D60" i="11"/>
  <c r="AA60" i="11"/>
  <c r="O60" i="11"/>
  <c r="C60" i="11"/>
  <c r="AL60" i="11"/>
  <c r="Z60" i="11"/>
  <c r="N60" i="11"/>
  <c r="B60" i="11"/>
  <c r="AG60" i="11"/>
  <c r="U60" i="11"/>
  <c r="I60" i="11"/>
  <c r="T60" i="11"/>
  <c r="AK60" i="11"/>
  <c r="Y68" i="15"/>
  <c r="X68" i="15"/>
  <c r="C69" i="12"/>
  <c r="D69" i="12" s="1"/>
  <c r="L69" i="12"/>
  <c r="F69" i="12"/>
  <c r="I69" i="12"/>
  <c r="O69" i="12"/>
  <c r="AJ68" i="11"/>
  <c r="X68" i="11"/>
  <c r="L68" i="11"/>
  <c r="AI68" i="11"/>
  <c r="W68" i="11"/>
  <c r="K68" i="11"/>
  <c r="AH68" i="11"/>
  <c r="V68" i="11"/>
  <c r="Q68" i="5" s="1"/>
  <c r="J68" i="11"/>
  <c r="AC68" i="11"/>
  <c r="Q68" i="11"/>
  <c r="E68" i="11"/>
  <c r="AL68" i="11"/>
  <c r="Z68" i="11"/>
  <c r="N68" i="11"/>
  <c r="O68" i="5" s="1"/>
  <c r="B68" i="11"/>
  <c r="T68" i="11"/>
  <c r="D69" i="11"/>
  <c r="Y69" i="11"/>
  <c r="G69" i="13" s="1"/>
  <c r="X74" i="15"/>
  <c r="Y74" i="15"/>
  <c r="O75" i="12"/>
  <c r="L75" i="12"/>
  <c r="F75" i="12"/>
  <c r="I75" i="12"/>
  <c r="C75" i="12"/>
  <c r="D75" i="12" s="1"/>
  <c r="AJ74" i="11"/>
  <c r="X74" i="11"/>
  <c r="L74" i="11"/>
  <c r="AI74" i="11"/>
  <c r="W74" i="11"/>
  <c r="K74" i="11"/>
  <c r="AH74" i="11"/>
  <c r="V74" i="11"/>
  <c r="J74" i="11"/>
  <c r="AG74" i="11"/>
  <c r="U74" i="11"/>
  <c r="I74" i="11"/>
  <c r="AC74" i="11"/>
  <c r="Q74" i="11"/>
  <c r="E74" i="11"/>
  <c r="AA74" i="11"/>
  <c r="O74" i="11"/>
  <c r="C74" i="11"/>
  <c r="AL74" i="11"/>
  <c r="Z74" i="11"/>
  <c r="N74" i="11"/>
  <c r="O74" i="5" s="1"/>
  <c r="B74" i="11"/>
  <c r="AD74" i="11"/>
  <c r="P86" i="11"/>
  <c r="G89" i="13"/>
  <c r="F89" i="13"/>
  <c r="D89" i="13"/>
  <c r="E89" i="13"/>
  <c r="H90" i="12" s="1"/>
  <c r="B95" i="11"/>
  <c r="AH95" i="11"/>
  <c r="B101" i="11"/>
  <c r="F102" i="11"/>
  <c r="I106" i="11"/>
  <c r="H107" i="11"/>
  <c r="D108" i="11"/>
  <c r="G116" i="13"/>
  <c r="E116" i="13"/>
  <c r="D116" i="13"/>
  <c r="D140" i="11"/>
  <c r="I7" i="11"/>
  <c r="V7" i="11"/>
  <c r="AI7" i="11"/>
  <c r="D11" i="11"/>
  <c r="S11" i="11"/>
  <c r="AG11" i="11"/>
  <c r="J12" i="11"/>
  <c r="M12" i="5" s="1"/>
  <c r="X12" i="11"/>
  <c r="AL12" i="11"/>
  <c r="F14" i="11"/>
  <c r="T14" i="11"/>
  <c r="AH14" i="11"/>
  <c r="E17" i="11"/>
  <c r="AB17" i="5" s="1"/>
  <c r="T17" i="11"/>
  <c r="AH17" i="11"/>
  <c r="Y19" i="15"/>
  <c r="X19" i="15"/>
  <c r="I20" i="12"/>
  <c r="F20" i="12"/>
  <c r="L20" i="12"/>
  <c r="O20" i="12"/>
  <c r="C20" i="12"/>
  <c r="D20" i="12" s="1"/>
  <c r="AL19" i="11"/>
  <c r="Z19" i="11"/>
  <c r="N19" i="11"/>
  <c r="B19" i="11"/>
  <c r="AE19" i="11"/>
  <c r="S19" i="11"/>
  <c r="G19" i="11"/>
  <c r="P19" i="11"/>
  <c r="AD19" i="11"/>
  <c r="C25" i="11"/>
  <c r="Q25" i="11"/>
  <c r="AF25" i="11"/>
  <c r="D31" i="11"/>
  <c r="R31" i="11"/>
  <c r="Q31" i="5" s="1"/>
  <c r="AG31" i="11"/>
  <c r="I32" i="11"/>
  <c r="W32" i="11"/>
  <c r="AL32" i="11"/>
  <c r="I35" i="11"/>
  <c r="X35" i="11"/>
  <c r="AL35" i="11"/>
  <c r="E37" i="11"/>
  <c r="AB37" i="5" s="1"/>
  <c r="T37" i="11"/>
  <c r="AH37" i="11"/>
  <c r="X39" i="15"/>
  <c r="Y39" i="15"/>
  <c r="I40" i="12"/>
  <c r="J40" i="12" s="1"/>
  <c r="C40" i="12"/>
  <c r="D40" i="12" s="1"/>
  <c r="O40" i="12"/>
  <c r="F40" i="12"/>
  <c r="L40" i="12"/>
  <c r="AH39" i="11"/>
  <c r="V39" i="11"/>
  <c r="Q39" i="5" s="1"/>
  <c r="J39" i="11"/>
  <c r="AA39" i="11"/>
  <c r="O39" i="11"/>
  <c r="H39" i="5" s="1"/>
  <c r="C39" i="11"/>
  <c r="P39" i="11"/>
  <c r="AD39" i="11"/>
  <c r="X42" i="15"/>
  <c r="Y42" i="15"/>
  <c r="F43" i="12"/>
  <c r="L43" i="12"/>
  <c r="I43" i="12"/>
  <c r="C43" i="12"/>
  <c r="D43" i="12" s="1"/>
  <c r="O43" i="12"/>
  <c r="AB42" i="11"/>
  <c r="P42" i="11"/>
  <c r="D42" i="11"/>
  <c r="AG42" i="11"/>
  <c r="U42" i="11"/>
  <c r="I42" i="11"/>
  <c r="O42" i="11"/>
  <c r="AD42" i="11"/>
  <c r="F43" i="11"/>
  <c r="U43" i="11"/>
  <c r="AI43" i="11"/>
  <c r="B45" i="11"/>
  <c r="Q45" i="11"/>
  <c r="AE45" i="11"/>
  <c r="B48" i="11"/>
  <c r="Q48" i="11"/>
  <c r="AE48" i="11"/>
  <c r="D51" i="11"/>
  <c r="R51" i="11"/>
  <c r="Q51" i="5" s="1"/>
  <c r="AF51" i="11"/>
  <c r="C55" i="11"/>
  <c r="R55" i="11"/>
  <c r="Q55" i="5" s="1"/>
  <c r="AH55" i="11"/>
  <c r="F57" i="11"/>
  <c r="W57" i="11"/>
  <c r="G59" i="1" s="1"/>
  <c r="AL57" i="11"/>
  <c r="G59" i="11"/>
  <c r="C61" i="1" s="1"/>
  <c r="X59" i="11"/>
  <c r="E60" i="11"/>
  <c r="AB60" i="5" s="1"/>
  <c r="V60" i="11"/>
  <c r="Q60" i="5" s="1"/>
  <c r="Y66" i="15"/>
  <c r="X66" i="15"/>
  <c r="F67" i="12"/>
  <c r="G67" i="12" s="1"/>
  <c r="O67" i="12"/>
  <c r="I67" i="12"/>
  <c r="L67" i="12"/>
  <c r="C67" i="12"/>
  <c r="D67" i="12" s="1"/>
  <c r="AB66" i="11"/>
  <c r="P66" i="11"/>
  <c r="D66" i="11"/>
  <c r="AA66" i="11"/>
  <c r="O66" i="11"/>
  <c r="C66" i="11"/>
  <c r="AL66" i="11"/>
  <c r="Z66" i="11"/>
  <c r="N66" i="11"/>
  <c r="B66" i="11"/>
  <c r="AG66" i="11"/>
  <c r="U66" i="11"/>
  <c r="I66" i="11"/>
  <c r="AD66" i="11"/>
  <c r="R66" i="11"/>
  <c r="Q66" i="5" s="1"/>
  <c r="F66" i="11"/>
  <c r="W66" i="11"/>
  <c r="C68" i="11"/>
  <c r="U68" i="11"/>
  <c r="E69" i="11"/>
  <c r="Z69" i="11"/>
  <c r="D74" i="11"/>
  <c r="AE74" i="11"/>
  <c r="R86" i="11"/>
  <c r="G95" i="11"/>
  <c r="AJ95" i="11"/>
  <c r="H101" i="11"/>
  <c r="H102" i="11"/>
  <c r="L106" i="11"/>
  <c r="J107" i="11"/>
  <c r="K108" i="11"/>
  <c r="Y118" i="15"/>
  <c r="X118" i="15"/>
  <c r="F119" i="12"/>
  <c r="L119" i="12"/>
  <c r="I119" i="12"/>
  <c r="O119" i="12"/>
  <c r="AF118" i="11"/>
  <c r="T118" i="11"/>
  <c r="H118" i="11"/>
  <c r="AE118" i="11"/>
  <c r="S118" i="11"/>
  <c r="G118" i="11"/>
  <c r="AL118" i="11"/>
  <c r="Z118" i="11"/>
  <c r="N118" i="11"/>
  <c r="B118" i="11"/>
  <c r="AC118" i="11"/>
  <c r="M118" i="11"/>
  <c r="X118" i="11"/>
  <c r="I118" i="11"/>
  <c r="AJ118" i="11"/>
  <c r="U118" i="11"/>
  <c r="D118" i="11"/>
  <c r="AD118" i="11"/>
  <c r="J118" i="11"/>
  <c r="AB118" i="11"/>
  <c r="F118" i="11"/>
  <c r="AA118" i="11"/>
  <c r="E118" i="11"/>
  <c r="Y118" i="11"/>
  <c r="G118" i="13" s="1"/>
  <c r="C118" i="11"/>
  <c r="R118" i="11"/>
  <c r="Q118" i="5" s="1"/>
  <c r="Q118" i="11"/>
  <c r="AI118" i="11"/>
  <c r="O118" i="11"/>
  <c r="AH118" i="11"/>
  <c r="L118" i="11"/>
  <c r="D132" i="13"/>
  <c r="E133" i="12" s="1"/>
  <c r="G133" i="12" s="1"/>
  <c r="E132" i="13"/>
  <c r="H133" i="12" s="1"/>
  <c r="G132" i="13"/>
  <c r="N140" i="11"/>
  <c r="O140" i="5" s="1"/>
  <c r="D143" i="13"/>
  <c r="E144" i="12" s="1"/>
  <c r="G143" i="13"/>
  <c r="F143" i="13"/>
  <c r="K144" i="12" s="1"/>
  <c r="H4" i="11"/>
  <c r="I4" i="11" s="1"/>
  <c r="T4" i="11"/>
  <c r="AG4" i="11"/>
  <c r="AL4" i="11" s="1"/>
  <c r="AA5" i="12" s="1"/>
  <c r="I6" i="11"/>
  <c r="V6" i="11"/>
  <c r="Q6" i="5" s="1"/>
  <c r="AI6" i="11"/>
  <c r="J7" i="11"/>
  <c r="W7" i="11"/>
  <c r="AJ7" i="11"/>
  <c r="E11" i="11"/>
  <c r="AB11" i="5" s="1"/>
  <c r="T11" i="11"/>
  <c r="AH11" i="11"/>
  <c r="K12" i="11"/>
  <c r="Y12" i="11"/>
  <c r="Y13" i="15"/>
  <c r="X13" i="15"/>
  <c r="O14" i="12"/>
  <c r="C14" i="12"/>
  <c r="L14" i="12"/>
  <c r="I14" i="12"/>
  <c r="F14" i="12"/>
  <c r="AL13" i="11"/>
  <c r="Z13" i="11"/>
  <c r="N13" i="11"/>
  <c r="B13" i="11"/>
  <c r="AE13" i="11"/>
  <c r="S13" i="11"/>
  <c r="G13" i="11"/>
  <c r="P13" i="11"/>
  <c r="AD13" i="11"/>
  <c r="G14" i="11"/>
  <c r="C16" i="1" s="1"/>
  <c r="U14" i="11"/>
  <c r="AI14" i="11"/>
  <c r="G17" i="11"/>
  <c r="C19" i="1" s="1"/>
  <c r="U17" i="11"/>
  <c r="AJ17" i="11"/>
  <c r="C19" i="11"/>
  <c r="Q19" i="11"/>
  <c r="AF19" i="11"/>
  <c r="D25" i="11"/>
  <c r="R25" i="11"/>
  <c r="Q25" i="5" s="1"/>
  <c r="AG25" i="11"/>
  <c r="I26" i="11"/>
  <c r="W26" i="11"/>
  <c r="G28" i="1" s="1"/>
  <c r="AL26" i="11"/>
  <c r="I29" i="11"/>
  <c r="X29" i="11"/>
  <c r="AL29" i="11"/>
  <c r="E31" i="11"/>
  <c r="AB31" i="5" s="1"/>
  <c r="T31" i="11"/>
  <c r="AH31" i="11"/>
  <c r="J32" i="11"/>
  <c r="M32" i="5" s="1"/>
  <c r="Y32" i="11"/>
  <c r="Y33" i="15"/>
  <c r="X33" i="15"/>
  <c r="O34" i="12"/>
  <c r="C34" i="12"/>
  <c r="D34" i="12" s="1"/>
  <c r="I34" i="12"/>
  <c r="F34" i="12"/>
  <c r="L34" i="12"/>
  <c r="AH33" i="11"/>
  <c r="V33" i="11"/>
  <c r="Q33" i="5" s="1"/>
  <c r="J33" i="11"/>
  <c r="AA33" i="11"/>
  <c r="O33" i="11"/>
  <c r="C33" i="11"/>
  <c r="P33" i="11"/>
  <c r="AD33" i="11"/>
  <c r="J35" i="11"/>
  <c r="M35" i="5" s="1"/>
  <c r="Y35" i="11"/>
  <c r="G35" i="13" s="1"/>
  <c r="Y36" i="15"/>
  <c r="X36" i="15"/>
  <c r="L37" i="12"/>
  <c r="C37" i="12"/>
  <c r="D37" i="12" s="1"/>
  <c r="I37" i="12"/>
  <c r="F37" i="12"/>
  <c r="O37" i="12"/>
  <c r="AB36" i="11"/>
  <c r="P36" i="11"/>
  <c r="D36" i="11"/>
  <c r="AG36" i="11"/>
  <c r="U36" i="11"/>
  <c r="I36" i="11"/>
  <c r="O36" i="11"/>
  <c r="AD36" i="11"/>
  <c r="F37" i="11"/>
  <c r="U37" i="11"/>
  <c r="AI37" i="11"/>
  <c r="B39" i="11"/>
  <c r="Q39" i="11"/>
  <c r="AE39" i="11"/>
  <c r="B42" i="11"/>
  <c r="Q42" i="11"/>
  <c r="AE42" i="11"/>
  <c r="H43" i="11"/>
  <c r="V43" i="11"/>
  <c r="Q43" i="5" s="1"/>
  <c r="AJ43" i="11"/>
  <c r="D45" i="11"/>
  <c r="R45" i="11"/>
  <c r="AF45" i="11"/>
  <c r="C48" i="11"/>
  <c r="R48" i="11"/>
  <c r="AF48" i="11"/>
  <c r="E51" i="11"/>
  <c r="S51" i="11"/>
  <c r="AG51" i="11"/>
  <c r="D55" i="11"/>
  <c r="T55" i="11"/>
  <c r="AI55" i="11"/>
  <c r="G57" i="11"/>
  <c r="C59" i="1" s="1"/>
  <c r="X57" i="11"/>
  <c r="H59" i="11"/>
  <c r="Y59" i="11"/>
  <c r="D59" i="13" s="1"/>
  <c r="E60" i="12" s="1"/>
  <c r="F60" i="11"/>
  <c r="W60" i="11"/>
  <c r="Y62" i="15"/>
  <c r="X62" i="15"/>
  <c r="F63" i="12"/>
  <c r="O63" i="12"/>
  <c r="L63" i="12"/>
  <c r="I63" i="12"/>
  <c r="C63" i="12"/>
  <c r="AJ62" i="11"/>
  <c r="X62" i="11"/>
  <c r="L62" i="11"/>
  <c r="AI62" i="11"/>
  <c r="W62" i="11"/>
  <c r="K62" i="11"/>
  <c r="AH62" i="11"/>
  <c r="V62" i="11"/>
  <c r="J62" i="11"/>
  <c r="M62" i="5" s="1"/>
  <c r="AC62" i="11"/>
  <c r="Q62" i="11"/>
  <c r="E62" i="11"/>
  <c r="AB62" i="5" s="1"/>
  <c r="R62" i="11"/>
  <c r="AK62" i="11"/>
  <c r="X65" i="15"/>
  <c r="Y65" i="15"/>
  <c r="O66" i="12"/>
  <c r="L66" i="12"/>
  <c r="F66" i="12"/>
  <c r="I66" i="12"/>
  <c r="C66" i="12"/>
  <c r="D66" i="12" s="1"/>
  <c r="AD65" i="11"/>
  <c r="R65" i="11"/>
  <c r="F65" i="11"/>
  <c r="AC65" i="11"/>
  <c r="Q65" i="11"/>
  <c r="E65" i="11"/>
  <c r="AB65" i="5" s="1"/>
  <c r="AB65" i="11"/>
  <c r="P65" i="11"/>
  <c r="D65" i="11"/>
  <c r="AI65" i="11"/>
  <c r="W65" i="11"/>
  <c r="K65" i="11"/>
  <c r="AF65" i="11"/>
  <c r="T65" i="11"/>
  <c r="H65" i="11"/>
  <c r="V65" i="11"/>
  <c r="E66" i="11"/>
  <c r="AB66" i="5" s="1"/>
  <c r="X66" i="11"/>
  <c r="D68" i="11"/>
  <c r="Y68" i="11"/>
  <c r="F69" i="11"/>
  <c r="AB69" i="11"/>
  <c r="F74" i="11"/>
  <c r="AF74" i="11"/>
  <c r="M80" i="11"/>
  <c r="S86" i="11"/>
  <c r="Y89" i="15"/>
  <c r="X89" i="15"/>
  <c r="C90" i="12"/>
  <c r="D90" i="12" s="1"/>
  <c r="O90" i="12"/>
  <c r="L90" i="12"/>
  <c r="I90" i="12"/>
  <c r="F90" i="12"/>
  <c r="AD89" i="11"/>
  <c r="R89" i="11"/>
  <c r="F89" i="11"/>
  <c r="AC89" i="11"/>
  <c r="Q89" i="11"/>
  <c r="E89" i="11"/>
  <c r="AB89" i="5" s="1"/>
  <c r="AB89" i="11"/>
  <c r="P89" i="11"/>
  <c r="D89" i="11"/>
  <c r="AA89" i="11"/>
  <c r="O89" i="11"/>
  <c r="C89" i="11"/>
  <c r="AI89" i="11"/>
  <c r="W89" i="11"/>
  <c r="K89" i="11"/>
  <c r="AG89" i="11"/>
  <c r="U89" i="11"/>
  <c r="I89" i="11"/>
  <c r="AF89" i="11"/>
  <c r="T89" i="11"/>
  <c r="H89" i="11"/>
  <c r="AE89" i="11"/>
  <c r="J95" i="11"/>
  <c r="M95" i="5" s="1"/>
  <c r="AK95" i="11"/>
  <c r="O98" i="11"/>
  <c r="E100" i="1" s="1"/>
  <c r="L101" i="11"/>
  <c r="I102" i="11"/>
  <c r="N106" i="11"/>
  <c r="K107" i="11"/>
  <c r="N108" i="11"/>
  <c r="K118" i="11"/>
  <c r="Z140" i="11"/>
  <c r="F72" i="11"/>
  <c r="R72" i="11"/>
  <c r="Q72" i="5" s="1"/>
  <c r="AD72" i="11"/>
  <c r="L75" i="11"/>
  <c r="X75" i="11"/>
  <c r="F78" i="11"/>
  <c r="R78" i="11"/>
  <c r="Q78" i="5" s="1"/>
  <c r="AD78" i="11"/>
  <c r="L81" i="11"/>
  <c r="X81" i="11"/>
  <c r="F84" i="11"/>
  <c r="R84" i="11"/>
  <c r="Q84" i="5" s="1"/>
  <c r="AD84" i="11"/>
  <c r="L87" i="11"/>
  <c r="X87" i="11"/>
  <c r="F90" i="11"/>
  <c r="R90" i="11"/>
  <c r="Q90" i="5" s="1"/>
  <c r="AD90" i="11"/>
  <c r="L93" i="11"/>
  <c r="X93" i="11"/>
  <c r="F96" i="11"/>
  <c r="R96" i="11"/>
  <c r="Q96" i="5" s="1"/>
  <c r="AD96" i="11"/>
  <c r="N99" i="11"/>
  <c r="O99" i="5" s="1"/>
  <c r="Q111" i="11"/>
  <c r="AC117" i="11"/>
  <c r="Y123" i="15"/>
  <c r="X123" i="15"/>
  <c r="F124" i="12"/>
  <c r="L124" i="12"/>
  <c r="I124" i="12"/>
  <c r="C124" i="12"/>
  <c r="AH123" i="11"/>
  <c r="V123" i="11"/>
  <c r="J123" i="11"/>
  <c r="AG123" i="11"/>
  <c r="U123" i="11"/>
  <c r="I123" i="11"/>
  <c r="AB123" i="11"/>
  <c r="P123" i="11"/>
  <c r="D123" i="11"/>
  <c r="AK123" i="11"/>
  <c r="T123" i="11"/>
  <c r="E123" i="11"/>
  <c r="AE123" i="11"/>
  <c r="O123" i="11"/>
  <c r="O124" i="12"/>
  <c r="AA123" i="11"/>
  <c r="L123" i="11"/>
  <c r="W123" i="11"/>
  <c r="I128" i="11"/>
  <c r="AF128" i="11"/>
  <c r="O134" i="11"/>
  <c r="E136" i="1" s="1"/>
  <c r="Y135" i="15"/>
  <c r="X135" i="15"/>
  <c r="F136" i="12"/>
  <c r="I136" i="12"/>
  <c r="O136" i="12"/>
  <c r="L136" i="12"/>
  <c r="C136" i="12"/>
  <c r="D136" i="12" s="1"/>
  <c r="AH135" i="11"/>
  <c r="V135" i="11"/>
  <c r="J135" i="11"/>
  <c r="AG135" i="11"/>
  <c r="U135" i="11"/>
  <c r="I135" i="11"/>
  <c r="AB135" i="11"/>
  <c r="P135" i="11"/>
  <c r="D135" i="11"/>
  <c r="X135" i="11"/>
  <c r="G135" i="11"/>
  <c r="AI135" i="11"/>
  <c r="R135" i="11"/>
  <c r="B135" i="11"/>
  <c r="AE135" i="11"/>
  <c r="O135" i="11"/>
  <c r="AD135" i="11"/>
  <c r="N135" i="11"/>
  <c r="Y135" i="11"/>
  <c r="R138" i="11"/>
  <c r="T143" i="11"/>
  <c r="H144" i="11"/>
  <c r="AI144" i="11"/>
  <c r="X148" i="11"/>
  <c r="M156" i="11"/>
  <c r="T158" i="11"/>
  <c r="D162" i="13"/>
  <c r="E163" i="12" s="1"/>
  <c r="G162" i="13"/>
  <c r="V166" i="11"/>
  <c r="O170" i="11"/>
  <c r="X75" i="15"/>
  <c r="Y75" i="15"/>
  <c r="I76" i="12"/>
  <c r="O76" i="12"/>
  <c r="L76" i="12"/>
  <c r="F76" i="12"/>
  <c r="C76" i="12"/>
  <c r="D76" i="12" s="1"/>
  <c r="M75" i="11"/>
  <c r="Y75" i="11"/>
  <c r="AK75" i="11"/>
  <c r="Y81" i="15"/>
  <c r="X81" i="15"/>
  <c r="O82" i="12"/>
  <c r="C82" i="12"/>
  <c r="D82" i="12" s="1"/>
  <c r="L82" i="12"/>
  <c r="I82" i="12"/>
  <c r="F82" i="12"/>
  <c r="M81" i="11"/>
  <c r="Y81" i="11"/>
  <c r="F81" i="13" s="1"/>
  <c r="K82" i="12" s="1"/>
  <c r="M82" i="12" s="1"/>
  <c r="AK81" i="11"/>
  <c r="X87" i="15"/>
  <c r="Y87" i="15"/>
  <c r="I88" i="12"/>
  <c r="F88" i="12"/>
  <c r="O88" i="12"/>
  <c r="L88" i="12"/>
  <c r="C88" i="12"/>
  <c r="D88" i="12" s="1"/>
  <c r="M87" i="11"/>
  <c r="Y87" i="11"/>
  <c r="G87" i="13" s="1"/>
  <c r="AK87" i="11"/>
  <c r="Y93" i="15"/>
  <c r="X93" i="15"/>
  <c r="L94" i="12"/>
  <c r="O94" i="12"/>
  <c r="I94" i="12"/>
  <c r="F94" i="12"/>
  <c r="C94" i="12"/>
  <c r="D94" i="12" s="1"/>
  <c r="M93" i="11"/>
  <c r="Y93" i="11"/>
  <c r="D93" i="13" s="1"/>
  <c r="AK93" i="11"/>
  <c r="X99" i="15"/>
  <c r="Y99" i="15"/>
  <c r="F100" i="12"/>
  <c r="L100" i="12"/>
  <c r="I100" i="12"/>
  <c r="C100" i="12"/>
  <c r="D100" i="12" s="1"/>
  <c r="O100" i="12"/>
  <c r="AG99" i="11"/>
  <c r="U99" i="11"/>
  <c r="I99" i="11"/>
  <c r="AH99" i="11"/>
  <c r="T99" i="11"/>
  <c r="G99" i="11"/>
  <c r="C101" i="1" s="1"/>
  <c r="O99" i="11"/>
  <c r="E101" i="1" s="1"/>
  <c r="AC99" i="11"/>
  <c r="Y111" i="15"/>
  <c r="X111" i="15"/>
  <c r="F112" i="12"/>
  <c r="C112" i="12"/>
  <c r="D112" i="12" s="1"/>
  <c r="O112" i="12"/>
  <c r="I112" i="12"/>
  <c r="L112" i="12"/>
  <c r="AG111" i="11"/>
  <c r="U111" i="11"/>
  <c r="I111" i="11"/>
  <c r="AB111" i="11"/>
  <c r="AI111" i="11"/>
  <c r="T111" i="11"/>
  <c r="G111" i="11"/>
  <c r="C113" i="1" s="1"/>
  <c r="AD111" i="11"/>
  <c r="P111" i="11"/>
  <c r="C111" i="11"/>
  <c r="Z111" i="11"/>
  <c r="M111" i="11"/>
  <c r="R111" i="11"/>
  <c r="AK111" i="11"/>
  <c r="Y126" i="15"/>
  <c r="X126" i="15"/>
  <c r="O127" i="12"/>
  <c r="C127" i="12"/>
  <c r="D127" i="12" s="1"/>
  <c r="L127" i="12"/>
  <c r="I127" i="12"/>
  <c r="F127" i="12"/>
  <c r="AB126" i="11"/>
  <c r="P126" i="11"/>
  <c r="D126" i="11"/>
  <c r="AA126" i="11"/>
  <c r="O126" i="11"/>
  <c r="C126" i="11"/>
  <c r="AH126" i="11"/>
  <c r="V126" i="11"/>
  <c r="J126" i="11"/>
  <c r="AI126" i="11"/>
  <c r="S126" i="11"/>
  <c r="B126" i="11"/>
  <c r="AD126" i="11"/>
  <c r="M126" i="11"/>
  <c r="Z126" i="11"/>
  <c r="K126" i="11"/>
  <c r="Y126" i="11"/>
  <c r="I126" i="11"/>
  <c r="X126" i="11"/>
  <c r="X130" i="15"/>
  <c r="Y130" i="15"/>
  <c r="O131" i="12"/>
  <c r="C131" i="12"/>
  <c r="D131" i="12" s="1"/>
  <c r="I131" i="12"/>
  <c r="F131" i="12"/>
  <c r="L131" i="12"/>
  <c r="AF130" i="11"/>
  <c r="T130" i="11"/>
  <c r="H130" i="11"/>
  <c r="AE130" i="11"/>
  <c r="S130" i="11"/>
  <c r="G130" i="11"/>
  <c r="AL130" i="11"/>
  <c r="Z130" i="11"/>
  <c r="N130" i="11"/>
  <c r="B130" i="11"/>
  <c r="AG130" i="11"/>
  <c r="P130" i="11"/>
  <c r="AA130" i="11"/>
  <c r="K130" i="11"/>
  <c r="X130" i="11"/>
  <c r="I130" i="11"/>
  <c r="W130" i="11"/>
  <c r="F130" i="11"/>
  <c r="Y130" i="11"/>
  <c r="F130" i="13" s="1"/>
  <c r="K131" i="12" s="1"/>
  <c r="F131" i="13"/>
  <c r="D131" i="13"/>
  <c r="G131" i="13"/>
  <c r="P134" i="11"/>
  <c r="S138" i="11"/>
  <c r="V143" i="11"/>
  <c r="AB148" i="11"/>
  <c r="X168" i="15"/>
  <c r="Y168" i="15"/>
  <c r="I169" i="12"/>
  <c r="F169" i="12"/>
  <c r="C169" i="12"/>
  <c r="D169" i="12" s="1"/>
  <c r="O169" i="12"/>
  <c r="L169" i="12"/>
  <c r="AB168" i="11"/>
  <c r="P168" i="11"/>
  <c r="D168" i="11"/>
  <c r="AA168" i="11"/>
  <c r="O168" i="11"/>
  <c r="C168" i="11"/>
  <c r="AL168" i="11"/>
  <c r="Z168" i="11"/>
  <c r="N168" i="11"/>
  <c r="O168" i="5" s="1"/>
  <c r="B168" i="11"/>
  <c r="AH168" i="11"/>
  <c r="V168" i="11"/>
  <c r="Q168" i="5" s="1"/>
  <c r="J168" i="11"/>
  <c r="AJ168" i="11"/>
  <c r="S168" i="11"/>
  <c r="AF168" i="11"/>
  <c r="M168" i="11"/>
  <c r="AE168" i="11"/>
  <c r="L168" i="11"/>
  <c r="AC168" i="11"/>
  <c r="I168" i="11"/>
  <c r="Y168" i="11"/>
  <c r="G168" i="13" s="1"/>
  <c r="H168" i="11"/>
  <c r="X168" i="11"/>
  <c r="G168" i="11"/>
  <c r="W168" i="11"/>
  <c r="F168" i="11"/>
  <c r="U168" i="11"/>
  <c r="E168" i="11"/>
  <c r="Z39" i="12"/>
  <c r="V39" i="12"/>
  <c r="S39" i="12"/>
  <c r="W39" i="12"/>
  <c r="R39" i="12"/>
  <c r="Q39" i="12"/>
  <c r="Y39" i="12"/>
  <c r="AA39" i="12"/>
  <c r="X39" i="12"/>
  <c r="U39" i="12"/>
  <c r="T39" i="12"/>
  <c r="AC39" i="12"/>
  <c r="AB39" i="12"/>
  <c r="X10" i="15"/>
  <c r="Y10" i="15"/>
  <c r="F11" i="12"/>
  <c r="O11" i="12"/>
  <c r="C11" i="12"/>
  <c r="D11" i="12" s="1"/>
  <c r="L11" i="12"/>
  <c r="I11" i="12"/>
  <c r="M10" i="11"/>
  <c r="Y10" i="11"/>
  <c r="AK10" i="11"/>
  <c r="X16" i="15"/>
  <c r="Y16" i="15"/>
  <c r="L17" i="12"/>
  <c r="I17" i="12"/>
  <c r="F17" i="12"/>
  <c r="O17" i="12"/>
  <c r="C17" i="12"/>
  <c r="D17" i="12" s="1"/>
  <c r="M16" i="11"/>
  <c r="Y16" i="11"/>
  <c r="F16" i="13" s="1"/>
  <c r="AK16" i="11"/>
  <c r="Y22" i="15"/>
  <c r="X22" i="15"/>
  <c r="F23" i="12"/>
  <c r="O23" i="12"/>
  <c r="C23" i="12"/>
  <c r="D23" i="12" s="1"/>
  <c r="I23" i="12"/>
  <c r="L23" i="12"/>
  <c r="M22" i="11"/>
  <c r="Y22" i="11"/>
  <c r="E22" i="13" s="1"/>
  <c r="AK22" i="11"/>
  <c r="X28" i="15"/>
  <c r="Y28" i="15"/>
  <c r="L29" i="12"/>
  <c r="I29" i="12"/>
  <c r="C29" i="12"/>
  <c r="O29" i="12"/>
  <c r="M28" i="11"/>
  <c r="Y28" i="11"/>
  <c r="F28" i="13" s="1"/>
  <c r="AK28" i="11"/>
  <c r="Y34" i="15"/>
  <c r="X34" i="15"/>
  <c r="F35" i="12"/>
  <c r="O35" i="12"/>
  <c r="C35" i="12"/>
  <c r="D35" i="12" s="1"/>
  <c r="L35" i="12"/>
  <c r="M34" i="11"/>
  <c r="Y34" i="11"/>
  <c r="AK34" i="11"/>
  <c r="Y40" i="15"/>
  <c r="X40" i="15"/>
  <c r="L41" i="12"/>
  <c r="I41" i="12"/>
  <c r="F41" i="12"/>
  <c r="C41" i="12"/>
  <c r="D41" i="12" s="1"/>
  <c r="O41" i="12"/>
  <c r="M40" i="11"/>
  <c r="Y40" i="11"/>
  <c r="E40" i="13" s="1"/>
  <c r="AK40" i="11"/>
  <c r="Y46" i="15"/>
  <c r="X46" i="15"/>
  <c r="F47" i="12"/>
  <c r="O47" i="12"/>
  <c r="C47" i="12"/>
  <c r="D47" i="12" s="1"/>
  <c r="I47" i="12"/>
  <c r="L47" i="12"/>
  <c r="M46" i="11"/>
  <c r="Y46" i="11"/>
  <c r="AK46" i="11"/>
  <c r="X52" i="15"/>
  <c r="Y52" i="15"/>
  <c r="L53" i="12"/>
  <c r="I53" i="12"/>
  <c r="F53" i="12"/>
  <c r="C53" i="12"/>
  <c r="D53" i="12" s="1"/>
  <c r="O53" i="12"/>
  <c r="M52" i="11"/>
  <c r="Y52" i="11"/>
  <c r="AK52" i="11"/>
  <c r="Y58" i="15"/>
  <c r="X58" i="15"/>
  <c r="F59" i="12"/>
  <c r="O59" i="12"/>
  <c r="C59" i="12"/>
  <c r="I59" i="12"/>
  <c r="L59" i="12"/>
  <c r="M58" i="11"/>
  <c r="Y58" i="11"/>
  <c r="AK58" i="11"/>
  <c r="G61" i="11"/>
  <c r="S61" i="11"/>
  <c r="AE61" i="11"/>
  <c r="X64" i="15"/>
  <c r="Y64" i="15"/>
  <c r="L65" i="12"/>
  <c r="I65" i="12"/>
  <c r="C65" i="12"/>
  <c r="D65" i="12" s="1"/>
  <c r="F65" i="12"/>
  <c r="O65" i="12"/>
  <c r="M64" i="11"/>
  <c r="Y64" i="11"/>
  <c r="AK64" i="11"/>
  <c r="G67" i="11"/>
  <c r="S67" i="11"/>
  <c r="AE67" i="11"/>
  <c r="Y70" i="15"/>
  <c r="X70" i="15"/>
  <c r="F71" i="12"/>
  <c r="O71" i="12"/>
  <c r="C71" i="12"/>
  <c r="D71" i="12" s="1"/>
  <c r="I71" i="12"/>
  <c r="L71" i="12"/>
  <c r="M70" i="11"/>
  <c r="Y70" i="11"/>
  <c r="AK70" i="11"/>
  <c r="I72" i="11"/>
  <c r="U72" i="11"/>
  <c r="G73" i="11"/>
  <c r="S73" i="11"/>
  <c r="AE73" i="11"/>
  <c r="C75" i="11"/>
  <c r="O75" i="11"/>
  <c r="AA75" i="11"/>
  <c r="Y76" i="15"/>
  <c r="X76" i="15"/>
  <c r="L77" i="12"/>
  <c r="I77" i="12"/>
  <c r="F77" i="12"/>
  <c r="C77" i="12"/>
  <c r="D77" i="12" s="1"/>
  <c r="O77" i="12"/>
  <c r="M76" i="11"/>
  <c r="Y76" i="11"/>
  <c r="AK76" i="11"/>
  <c r="I78" i="11"/>
  <c r="U78" i="11"/>
  <c r="G79" i="11"/>
  <c r="S79" i="11"/>
  <c r="AE79" i="11"/>
  <c r="C81" i="11"/>
  <c r="O81" i="11"/>
  <c r="AA81" i="11"/>
  <c r="Y82" i="15"/>
  <c r="X82" i="15"/>
  <c r="F83" i="12"/>
  <c r="O83" i="12"/>
  <c r="C83" i="12"/>
  <c r="D83" i="12" s="1"/>
  <c r="L83" i="12"/>
  <c r="I83" i="12"/>
  <c r="M82" i="11"/>
  <c r="Y82" i="11"/>
  <c r="AK82" i="11"/>
  <c r="I84" i="11"/>
  <c r="U84" i="11"/>
  <c r="G85" i="11"/>
  <c r="S85" i="11"/>
  <c r="AE85" i="11"/>
  <c r="C87" i="11"/>
  <c r="O87" i="11"/>
  <c r="AA87" i="11"/>
  <c r="Y88" i="15"/>
  <c r="X88" i="15"/>
  <c r="L89" i="12"/>
  <c r="C89" i="12"/>
  <c r="D89" i="12" s="1"/>
  <c r="O89" i="12"/>
  <c r="I89" i="12"/>
  <c r="F89" i="12"/>
  <c r="M88" i="11"/>
  <c r="Y88" i="11"/>
  <c r="G88" i="13" s="1"/>
  <c r="AK88" i="11"/>
  <c r="I90" i="11"/>
  <c r="U90" i="11"/>
  <c r="G91" i="11"/>
  <c r="S91" i="11"/>
  <c r="AE91" i="11"/>
  <c r="C93" i="11"/>
  <c r="O93" i="11"/>
  <c r="AA93" i="11"/>
  <c r="Y94" i="15"/>
  <c r="X94" i="15"/>
  <c r="F95" i="12"/>
  <c r="O95" i="12"/>
  <c r="L95" i="12"/>
  <c r="I95" i="12"/>
  <c r="C95" i="12"/>
  <c r="D95" i="12" s="1"/>
  <c r="M94" i="11"/>
  <c r="Y94" i="11"/>
  <c r="D94" i="13" s="1"/>
  <c r="AK94" i="11"/>
  <c r="I96" i="11"/>
  <c r="U96" i="11"/>
  <c r="H97" i="11"/>
  <c r="V97" i="11"/>
  <c r="AJ97" i="11"/>
  <c r="C99" i="11"/>
  <c r="Q99" i="11"/>
  <c r="AE99" i="11"/>
  <c r="H100" i="11"/>
  <c r="W100" i="11"/>
  <c r="L100" i="5" s="1"/>
  <c r="AK100" i="11"/>
  <c r="Y104" i="15"/>
  <c r="X104" i="15"/>
  <c r="I105" i="12"/>
  <c r="F105" i="12"/>
  <c r="C105" i="12"/>
  <c r="D105" i="12" s="1"/>
  <c r="O105" i="12"/>
  <c r="L105" i="12"/>
  <c r="AI104" i="11"/>
  <c r="W104" i="11"/>
  <c r="K104" i="11"/>
  <c r="Z104" i="11"/>
  <c r="M104" i="11"/>
  <c r="AE104" i="11"/>
  <c r="R104" i="11"/>
  <c r="E104" i="11"/>
  <c r="AB104" i="5" s="1"/>
  <c r="P104" i="11"/>
  <c r="AF104" i="11"/>
  <c r="I110" i="11"/>
  <c r="D111" i="11"/>
  <c r="V111" i="11"/>
  <c r="Y112" i="15"/>
  <c r="X112" i="15"/>
  <c r="L113" i="12"/>
  <c r="C113" i="12"/>
  <c r="D113" i="12" s="1"/>
  <c r="O113" i="12"/>
  <c r="I113" i="12"/>
  <c r="F113" i="12"/>
  <c r="AF112" i="11"/>
  <c r="T112" i="11"/>
  <c r="H112" i="11"/>
  <c r="AE112" i="11"/>
  <c r="S112" i="11"/>
  <c r="G112" i="11"/>
  <c r="AL112" i="11"/>
  <c r="Z112" i="11"/>
  <c r="N112" i="11"/>
  <c r="B112" i="11"/>
  <c r="AB112" i="11"/>
  <c r="L112" i="11"/>
  <c r="W112" i="11"/>
  <c r="F112" i="11"/>
  <c r="AI112" i="11"/>
  <c r="R112" i="11"/>
  <c r="Q112" i="5" s="1"/>
  <c r="C112" i="11"/>
  <c r="X112" i="11"/>
  <c r="I114" i="11"/>
  <c r="M117" i="11"/>
  <c r="Y119" i="15"/>
  <c r="X119" i="15"/>
  <c r="C120" i="12"/>
  <c r="D120" i="12" s="1"/>
  <c r="O120" i="12"/>
  <c r="L120" i="12"/>
  <c r="I120" i="12"/>
  <c r="F120" i="12"/>
  <c r="AD119" i="11"/>
  <c r="R119" i="11"/>
  <c r="F119" i="11"/>
  <c r="AC119" i="11"/>
  <c r="Q119" i="11"/>
  <c r="E119" i="11"/>
  <c r="AB119" i="5" s="1"/>
  <c r="AJ119" i="11"/>
  <c r="X119" i="11"/>
  <c r="L119" i="11"/>
  <c r="W119" i="11"/>
  <c r="H119" i="11"/>
  <c r="AH119" i="11"/>
  <c r="S119" i="11"/>
  <c r="J119" i="5" s="1"/>
  <c r="B119" i="11"/>
  <c r="AE119" i="11"/>
  <c r="N119" i="11"/>
  <c r="V119" i="11"/>
  <c r="Y122" i="15"/>
  <c r="X122" i="15"/>
  <c r="L123" i="12"/>
  <c r="O123" i="12"/>
  <c r="I123" i="12"/>
  <c r="F123" i="12"/>
  <c r="C123" i="12"/>
  <c r="D123" i="12" s="1"/>
  <c r="AJ122" i="11"/>
  <c r="X122" i="11"/>
  <c r="L122" i="11"/>
  <c r="AI122" i="11"/>
  <c r="W122" i="11"/>
  <c r="K122" i="11"/>
  <c r="AD122" i="11"/>
  <c r="R122" i="11"/>
  <c r="F122" i="11"/>
  <c r="AA122" i="11"/>
  <c r="J122" i="11"/>
  <c r="M122" i="5" s="1"/>
  <c r="AL122" i="11"/>
  <c r="U122" i="11"/>
  <c r="E122" i="11"/>
  <c r="AB122" i="5" s="1"/>
  <c r="AG122" i="11"/>
  <c r="Q122" i="11"/>
  <c r="B122" i="11"/>
  <c r="V122" i="11"/>
  <c r="F123" i="11"/>
  <c r="Z123" i="11"/>
  <c r="L124" i="11"/>
  <c r="F126" i="11"/>
  <c r="AE126" i="11"/>
  <c r="D130" i="11"/>
  <c r="AC130" i="11"/>
  <c r="I132" i="11"/>
  <c r="S134" i="11"/>
  <c r="F136" i="1" s="1"/>
  <c r="F135" i="11"/>
  <c r="AC135" i="11"/>
  <c r="M137" i="11"/>
  <c r="AK137" i="11"/>
  <c r="L144" i="11"/>
  <c r="Y147" i="15"/>
  <c r="X147" i="15"/>
  <c r="F148" i="12"/>
  <c r="C148" i="12"/>
  <c r="D148" i="12" s="1"/>
  <c r="I148" i="12"/>
  <c r="O148" i="12"/>
  <c r="L148" i="12"/>
  <c r="AH147" i="11"/>
  <c r="V147" i="11"/>
  <c r="Q147" i="5" s="1"/>
  <c r="J147" i="11"/>
  <c r="AG147" i="11"/>
  <c r="U147" i="11"/>
  <c r="I147" i="11"/>
  <c r="AF147" i="11"/>
  <c r="T147" i="11"/>
  <c r="H147" i="11"/>
  <c r="AB147" i="11"/>
  <c r="P147" i="11"/>
  <c r="D147" i="11"/>
  <c r="AL147" i="11"/>
  <c r="S147" i="11"/>
  <c r="B147" i="11"/>
  <c r="AI147" i="11"/>
  <c r="O147" i="11"/>
  <c r="AE147" i="11"/>
  <c r="N147" i="11"/>
  <c r="O147" i="5" s="1"/>
  <c r="AC147" i="11"/>
  <c r="L147" i="11"/>
  <c r="AA147" i="11"/>
  <c r="K147" i="11"/>
  <c r="Y147" i="11"/>
  <c r="G147" i="13" s="1"/>
  <c r="F147" i="11"/>
  <c r="AK147" i="11"/>
  <c r="W156" i="11"/>
  <c r="Q168" i="11"/>
  <c r="AE170" i="11"/>
  <c r="U40" i="12"/>
  <c r="AC40" i="12"/>
  <c r="Q40" i="12"/>
  <c r="Z40" i="12"/>
  <c r="X40" i="12"/>
  <c r="T40" i="12"/>
  <c r="S40" i="12"/>
  <c r="AA40" i="12"/>
  <c r="Y40" i="12"/>
  <c r="V40" i="12"/>
  <c r="R40" i="12"/>
  <c r="D119" i="13"/>
  <c r="G119" i="13"/>
  <c r="F119" i="13"/>
  <c r="K120" i="12" s="1"/>
  <c r="X138" i="15"/>
  <c r="Y138" i="15"/>
  <c r="O139" i="12"/>
  <c r="C139" i="12"/>
  <c r="D139" i="12" s="1"/>
  <c r="I139" i="12"/>
  <c r="F139" i="12"/>
  <c r="L139" i="12"/>
  <c r="AB138" i="11"/>
  <c r="P138" i="11"/>
  <c r="D138" i="11"/>
  <c r="AA138" i="11"/>
  <c r="O138" i="11"/>
  <c r="C138" i="11"/>
  <c r="AH138" i="11"/>
  <c r="V138" i="11"/>
  <c r="J138" i="11"/>
  <c r="AK138" i="11"/>
  <c r="U138" i="11"/>
  <c r="F138" i="11"/>
  <c r="AF138" i="11"/>
  <c r="Q138" i="11"/>
  <c r="AD138" i="11"/>
  <c r="M138" i="11"/>
  <c r="AC138" i="11"/>
  <c r="L138" i="11"/>
  <c r="X138" i="11"/>
  <c r="Y143" i="15"/>
  <c r="X143" i="15"/>
  <c r="O144" i="12"/>
  <c r="C144" i="12"/>
  <c r="F144" i="12"/>
  <c r="L144" i="12"/>
  <c r="I144" i="12"/>
  <c r="AD143" i="11"/>
  <c r="R143" i="11"/>
  <c r="F143" i="11"/>
  <c r="AC143" i="11"/>
  <c r="Q143" i="11"/>
  <c r="E143" i="11"/>
  <c r="AB143" i="11"/>
  <c r="P143" i="11"/>
  <c r="D143" i="11"/>
  <c r="AJ143" i="11"/>
  <c r="X143" i="11"/>
  <c r="L143" i="11"/>
  <c r="Z143" i="11"/>
  <c r="I143" i="11"/>
  <c r="AL143" i="11"/>
  <c r="U143" i="11"/>
  <c r="B143" i="11"/>
  <c r="AI143" i="11"/>
  <c r="S143" i="11"/>
  <c r="AH143" i="11"/>
  <c r="O143" i="11"/>
  <c r="AA143" i="11"/>
  <c r="Y148" i="15"/>
  <c r="X148" i="15"/>
  <c r="C149" i="12"/>
  <c r="D149" i="12" s="1"/>
  <c r="O149" i="12"/>
  <c r="L149" i="12"/>
  <c r="I149" i="12"/>
  <c r="F149" i="12"/>
  <c r="AF148" i="11"/>
  <c r="T148" i="11"/>
  <c r="H148" i="11"/>
  <c r="AE148" i="11"/>
  <c r="S148" i="11"/>
  <c r="G148" i="11"/>
  <c r="AD148" i="11"/>
  <c r="R148" i="11"/>
  <c r="Q148" i="5" s="1"/>
  <c r="F148" i="11"/>
  <c r="AL148" i="11"/>
  <c r="Z148" i="11"/>
  <c r="N148" i="11"/>
  <c r="B148" i="11"/>
  <c r="AJ148" i="11"/>
  <c r="Q148" i="11"/>
  <c r="AG148" i="11"/>
  <c r="M148" i="11"/>
  <c r="AC148" i="11"/>
  <c r="L148" i="11"/>
  <c r="AA148" i="11"/>
  <c r="J148" i="11"/>
  <c r="Y148" i="11"/>
  <c r="I148" i="11"/>
  <c r="W148" i="11"/>
  <c r="D148" i="11"/>
  <c r="AK148" i="11"/>
  <c r="D153" i="13"/>
  <c r="E154" i="12" s="1"/>
  <c r="E153" i="13"/>
  <c r="G153" i="13"/>
  <c r="F153" i="13"/>
  <c r="F155" i="13"/>
  <c r="K156" i="12" s="1"/>
  <c r="D155" i="13"/>
  <c r="X159" i="15"/>
  <c r="Y159" i="15"/>
  <c r="F160" i="12"/>
  <c r="I160" i="12"/>
  <c r="C160" i="12"/>
  <c r="D160" i="12" s="1"/>
  <c r="O160" i="12"/>
  <c r="L160" i="12"/>
  <c r="AH159" i="11"/>
  <c r="V159" i="11"/>
  <c r="J159" i="11"/>
  <c r="M159" i="5" s="1"/>
  <c r="AG159" i="11"/>
  <c r="U159" i="11"/>
  <c r="I159" i="11"/>
  <c r="AF159" i="11"/>
  <c r="T159" i="11"/>
  <c r="H159" i="11"/>
  <c r="AB159" i="11"/>
  <c r="P159" i="11"/>
  <c r="D159" i="11"/>
  <c r="AJ159" i="11"/>
  <c r="Q159" i="11"/>
  <c r="AD159" i="11"/>
  <c r="M159" i="11"/>
  <c r="AC159" i="11"/>
  <c r="L159" i="11"/>
  <c r="Z159" i="11"/>
  <c r="G159" i="11"/>
  <c r="Y159" i="11"/>
  <c r="E159" i="13" s="1"/>
  <c r="H160" i="12" s="1"/>
  <c r="J160" i="12" s="1"/>
  <c r="F159" i="11"/>
  <c r="X159" i="11"/>
  <c r="E159" i="11"/>
  <c r="W159" i="11"/>
  <c r="C159" i="11"/>
  <c r="AL159" i="11"/>
  <c r="S159" i="11"/>
  <c r="B159" i="11"/>
  <c r="F164" i="13"/>
  <c r="E164" i="13"/>
  <c r="X167" i="15"/>
  <c r="Y167" i="15"/>
  <c r="O168" i="12"/>
  <c r="C168" i="12"/>
  <c r="L168" i="12"/>
  <c r="I168" i="12"/>
  <c r="F168" i="12"/>
  <c r="AD167" i="11"/>
  <c r="R167" i="11"/>
  <c r="F167" i="11"/>
  <c r="AC167" i="11"/>
  <c r="Q167" i="11"/>
  <c r="E167" i="11"/>
  <c r="AB167" i="11"/>
  <c r="P167" i="11"/>
  <c r="D167" i="11"/>
  <c r="AJ167" i="11"/>
  <c r="X167" i="11"/>
  <c r="L167" i="11"/>
  <c r="AL167" i="11"/>
  <c r="U167" i="11"/>
  <c r="B167" i="11"/>
  <c r="AH167" i="11"/>
  <c r="O167" i="11"/>
  <c r="AG167" i="11"/>
  <c r="N167" i="11"/>
  <c r="AE167" i="11"/>
  <c r="K167" i="11"/>
  <c r="AA167" i="11"/>
  <c r="J167" i="11"/>
  <c r="Z167" i="11"/>
  <c r="I167" i="11"/>
  <c r="Y167" i="11"/>
  <c r="H167" i="11"/>
  <c r="W167" i="11"/>
  <c r="G167" i="11"/>
  <c r="S26" i="12"/>
  <c r="AA26" i="12"/>
  <c r="X26" i="12"/>
  <c r="AC26" i="12"/>
  <c r="Y26" i="12"/>
  <c r="W26" i="12"/>
  <c r="T26" i="12"/>
  <c r="Q26" i="12"/>
  <c r="Z26" i="12"/>
  <c r="V26" i="12"/>
  <c r="U26" i="12"/>
  <c r="R26" i="12"/>
  <c r="X134" i="15"/>
  <c r="Y134" i="15"/>
  <c r="L135" i="12"/>
  <c r="F135" i="12"/>
  <c r="C135" i="12"/>
  <c r="D135" i="12" s="1"/>
  <c r="O135" i="12"/>
  <c r="I135" i="12"/>
  <c r="AJ134" i="11"/>
  <c r="X134" i="11"/>
  <c r="L134" i="11"/>
  <c r="AI134" i="11"/>
  <c r="W134" i="11"/>
  <c r="G136" i="1" s="1"/>
  <c r="K134" i="11"/>
  <c r="D136" i="1" s="1"/>
  <c r="AD134" i="11"/>
  <c r="R134" i="11"/>
  <c r="Q134" i="5" s="1"/>
  <c r="F134" i="11"/>
  <c r="AC134" i="11"/>
  <c r="N134" i="11"/>
  <c r="Y134" i="11"/>
  <c r="F134" i="13" s="1"/>
  <c r="K135" i="12" s="1"/>
  <c r="H134" i="11"/>
  <c r="AL134" i="11"/>
  <c r="U134" i="11"/>
  <c r="E134" i="11"/>
  <c r="AK134" i="11"/>
  <c r="T134" i="11"/>
  <c r="D134" i="11"/>
  <c r="Z134" i="11"/>
  <c r="K135" i="11"/>
  <c r="AJ135" i="11"/>
  <c r="B138" i="11"/>
  <c r="Y138" i="11"/>
  <c r="E138" i="13" s="1"/>
  <c r="H139" i="12" s="1"/>
  <c r="J139" i="12" s="1"/>
  <c r="C143" i="11"/>
  <c r="AE143" i="11"/>
  <c r="T144" i="11"/>
  <c r="C148" i="11"/>
  <c r="X149" i="15"/>
  <c r="Y149" i="15"/>
  <c r="I150" i="12"/>
  <c r="O150" i="12"/>
  <c r="C150" i="12"/>
  <c r="D150" i="12" s="1"/>
  <c r="L150" i="12"/>
  <c r="F150" i="12"/>
  <c r="AD149" i="11"/>
  <c r="R149" i="11"/>
  <c r="F149" i="11"/>
  <c r="AC149" i="11"/>
  <c r="Q149" i="11"/>
  <c r="E149" i="11"/>
  <c r="AB149" i="11"/>
  <c r="P149" i="11"/>
  <c r="D149" i="11"/>
  <c r="AJ149" i="11"/>
  <c r="X149" i="11"/>
  <c r="L149" i="11"/>
  <c r="AH149" i="11"/>
  <c r="O149" i="11"/>
  <c r="AE149" i="11"/>
  <c r="K149" i="11"/>
  <c r="AA149" i="11"/>
  <c r="J149" i="11"/>
  <c r="M149" i="5" s="1"/>
  <c r="Y149" i="11"/>
  <c r="H149" i="11"/>
  <c r="W149" i="11"/>
  <c r="G149" i="11"/>
  <c r="AL149" i="11"/>
  <c r="U149" i="11"/>
  <c r="B149" i="11"/>
  <c r="AK149" i="11"/>
  <c r="K159" i="11"/>
  <c r="C167" i="11"/>
  <c r="T168" i="11"/>
  <c r="F29" i="12"/>
  <c r="W40" i="12"/>
  <c r="Y72" i="15"/>
  <c r="X72" i="15"/>
  <c r="L73" i="12"/>
  <c r="I73" i="12"/>
  <c r="F73" i="12"/>
  <c r="O73" i="12"/>
  <c r="C73" i="12"/>
  <c r="D73" i="12" s="1"/>
  <c r="M72" i="11"/>
  <c r="Y72" i="11"/>
  <c r="AK72" i="11"/>
  <c r="G75" i="11"/>
  <c r="C77" i="1" s="1"/>
  <c r="S75" i="11"/>
  <c r="AE75" i="11"/>
  <c r="Y78" i="15"/>
  <c r="X78" i="15"/>
  <c r="F79" i="12"/>
  <c r="C79" i="12"/>
  <c r="D79" i="12" s="1"/>
  <c r="O79" i="12"/>
  <c r="L79" i="12"/>
  <c r="I79" i="12"/>
  <c r="M78" i="11"/>
  <c r="Y78" i="11"/>
  <c r="AK78" i="11"/>
  <c r="G81" i="11"/>
  <c r="C83" i="1" s="1"/>
  <c r="S81" i="11"/>
  <c r="AE81" i="11"/>
  <c r="Y84" i="15"/>
  <c r="X84" i="15"/>
  <c r="L85" i="12"/>
  <c r="I85" i="12"/>
  <c r="F85" i="12"/>
  <c r="C85" i="12"/>
  <c r="D85" i="12" s="1"/>
  <c r="O85" i="12"/>
  <c r="M84" i="11"/>
  <c r="Y84" i="11"/>
  <c r="AK84" i="11"/>
  <c r="G87" i="11"/>
  <c r="C89" i="1" s="1"/>
  <c r="S87" i="11"/>
  <c r="AE87" i="11"/>
  <c r="Y90" i="15"/>
  <c r="X90" i="15"/>
  <c r="O91" i="12"/>
  <c r="C91" i="12"/>
  <c r="D91" i="12" s="1"/>
  <c r="L91" i="12"/>
  <c r="F91" i="12"/>
  <c r="I91" i="12"/>
  <c r="M90" i="11"/>
  <c r="Y90" i="11"/>
  <c r="D90" i="13" s="1"/>
  <c r="E91" i="12" s="1"/>
  <c r="AK90" i="11"/>
  <c r="G93" i="11"/>
  <c r="C95" i="1" s="1"/>
  <c r="S93" i="11"/>
  <c r="AE93" i="11"/>
  <c r="X96" i="15"/>
  <c r="Y96" i="15"/>
  <c r="I97" i="12"/>
  <c r="L97" i="12"/>
  <c r="F97" i="12"/>
  <c r="C97" i="12"/>
  <c r="D97" i="12" s="1"/>
  <c r="O97" i="12"/>
  <c r="M96" i="11"/>
  <c r="Y96" i="11"/>
  <c r="E96" i="13" s="1"/>
  <c r="H97" i="12" s="1"/>
  <c r="AK96" i="11"/>
  <c r="H99" i="11"/>
  <c r="W99" i="11"/>
  <c r="G101" i="1" s="1"/>
  <c r="AK99" i="11"/>
  <c r="J111" i="11"/>
  <c r="AA111" i="11"/>
  <c r="N126" i="11"/>
  <c r="AK126" i="11"/>
  <c r="D128" i="13"/>
  <c r="E128" i="13"/>
  <c r="G128" i="13"/>
  <c r="M130" i="11"/>
  <c r="AJ130" i="11"/>
  <c r="C134" i="11"/>
  <c r="AB134" i="11"/>
  <c r="G138" i="11"/>
  <c r="AE138" i="11"/>
  <c r="H143" i="11"/>
  <c r="AG143" i="11"/>
  <c r="K148" i="11"/>
  <c r="Y158" i="15"/>
  <c r="X158" i="15"/>
  <c r="L159" i="12"/>
  <c r="C159" i="12"/>
  <c r="D159" i="12" s="1"/>
  <c r="O159" i="12"/>
  <c r="I159" i="12"/>
  <c r="F159" i="12"/>
  <c r="AJ158" i="11"/>
  <c r="X158" i="11"/>
  <c r="L158" i="11"/>
  <c r="AI158" i="11"/>
  <c r="W158" i="11"/>
  <c r="K158" i="11"/>
  <c r="AH158" i="11"/>
  <c r="V158" i="11"/>
  <c r="J158" i="11"/>
  <c r="AD158" i="11"/>
  <c r="R158" i="11"/>
  <c r="F158" i="11"/>
  <c r="AL158" i="11"/>
  <c r="S158" i="11"/>
  <c r="B158" i="11"/>
  <c r="AF158" i="11"/>
  <c r="O158" i="11"/>
  <c r="AE158" i="11"/>
  <c r="N158" i="11"/>
  <c r="AB158" i="11"/>
  <c r="I158" i="11"/>
  <c r="AA158" i="11"/>
  <c r="H158" i="11"/>
  <c r="Z158" i="11"/>
  <c r="G158" i="11"/>
  <c r="Y158" i="11"/>
  <c r="E158" i="13" s="1"/>
  <c r="H159" i="12" s="1"/>
  <c r="E158" i="11"/>
  <c r="U158" i="11"/>
  <c r="D158" i="11"/>
  <c r="O159" i="11"/>
  <c r="Y166" i="15"/>
  <c r="X166" i="15"/>
  <c r="O167" i="12"/>
  <c r="I167" i="12"/>
  <c r="L167" i="12"/>
  <c r="F167" i="12"/>
  <c r="C167" i="12"/>
  <c r="D167" i="12" s="1"/>
  <c r="AF166" i="11"/>
  <c r="T166" i="11"/>
  <c r="H166" i="11"/>
  <c r="AE166" i="11"/>
  <c r="S166" i="11"/>
  <c r="G166" i="11"/>
  <c r="AD166" i="11"/>
  <c r="R166" i="11"/>
  <c r="F166" i="11"/>
  <c r="AL166" i="11"/>
  <c r="Z166" i="11"/>
  <c r="N166" i="11"/>
  <c r="O166" i="5" s="1"/>
  <c r="B166" i="11"/>
  <c r="W166" i="11"/>
  <c r="D166" i="11"/>
  <c r="AJ166" i="11"/>
  <c r="Q166" i="11"/>
  <c r="AI166" i="11"/>
  <c r="P166" i="11"/>
  <c r="AG166" i="11"/>
  <c r="M166" i="11"/>
  <c r="AC166" i="11"/>
  <c r="L166" i="11"/>
  <c r="AB166" i="11"/>
  <c r="K166" i="11"/>
  <c r="AA166" i="11"/>
  <c r="J166" i="11"/>
  <c r="Y166" i="11"/>
  <c r="D166" i="13" s="1"/>
  <c r="E167" i="12" s="1"/>
  <c r="I166" i="11"/>
  <c r="S167" i="11"/>
  <c r="AG168" i="11"/>
  <c r="Y200" i="15"/>
  <c r="X200" i="15"/>
  <c r="F201" i="12"/>
  <c r="L201" i="12"/>
  <c r="C201" i="12"/>
  <c r="D201" i="12" s="1"/>
  <c r="I201" i="12"/>
  <c r="AJ200" i="11"/>
  <c r="X200" i="11"/>
  <c r="L200" i="11"/>
  <c r="O201" i="12"/>
  <c r="AG200" i="11"/>
  <c r="U200" i="11"/>
  <c r="I200" i="11"/>
  <c r="AI200" i="11"/>
  <c r="T200" i="11"/>
  <c r="F200" i="11"/>
  <c r="AE200" i="11"/>
  <c r="Q200" i="11"/>
  <c r="C200" i="11"/>
  <c r="AD200" i="11"/>
  <c r="P200" i="11"/>
  <c r="B200" i="11"/>
  <c r="AA200" i="11"/>
  <c r="H200" i="11"/>
  <c r="AL200" i="11"/>
  <c r="R200" i="11"/>
  <c r="Q200" i="5" s="1"/>
  <c r="AK200" i="11"/>
  <c r="O200" i="11"/>
  <c r="N200" i="11"/>
  <c r="K200" i="11"/>
  <c r="AH200" i="11"/>
  <c r="J200" i="11"/>
  <c r="AF200" i="11"/>
  <c r="G200" i="11"/>
  <c r="Y200" i="11"/>
  <c r="W200" i="11"/>
  <c r="V200" i="11"/>
  <c r="S200" i="11"/>
  <c r="AB200" i="11"/>
  <c r="Z200" i="11"/>
  <c r="M200" i="11"/>
  <c r="E200" i="11"/>
  <c r="D200" i="11"/>
  <c r="AB26" i="12"/>
  <c r="I35" i="12"/>
  <c r="L61" i="11"/>
  <c r="X61" i="11"/>
  <c r="L67" i="11"/>
  <c r="X67" i="11"/>
  <c r="B72" i="11"/>
  <c r="N72" i="11"/>
  <c r="Z72" i="11"/>
  <c r="AL72" i="11"/>
  <c r="L73" i="11"/>
  <c r="X73" i="11"/>
  <c r="H75" i="11"/>
  <c r="T75" i="11"/>
  <c r="AF75" i="11"/>
  <c r="B78" i="11"/>
  <c r="N78" i="11"/>
  <c r="Z78" i="11"/>
  <c r="AL78" i="11"/>
  <c r="L79" i="11"/>
  <c r="X79" i="11"/>
  <c r="H81" i="11"/>
  <c r="T81" i="11"/>
  <c r="AF81" i="11"/>
  <c r="B84" i="11"/>
  <c r="N84" i="11"/>
  <c r="Z84" i="11"/>
  <c r="AL84" i="11"/>
  <c r="L85" i="11"/>
  <c r="X85" i="11"/>
  <c r="H87" i="11"/>
  <c r="T87" i="11"/>
  <c r="AF87" i="11"/>
  <c r="B90" i="11"/>
  <c r="N90" i="11"/>
  <c r="Z90" i="11"/>
  <c r="AL90" i="11"/>
  <c r="L91" i="11"/>
  <c r="X91" i="11"/>
  <c r="H93" i="11"/>
  <c r="T93" i="11"/>
  <c r="AF93" i="11"/>
  <c r="B96" i="11"/>
  <c r="N96" i="11"/>
  <c r="Z96" i="11"/>
  <c r="AL96" i="11"/>
  <c r="N97" i="11"/>
  <c r="J99" i="11"/>
  <c r="X99" i="11"/>
  <c r="AL99" i="11"/>
  <c r="N100" i="11"/>
  <c r="Y110" i="15"/>
  <c r="X110" i="15"/>
  <c r="C111" i="12"/>
  <c r="D111" i="12" s="1"/>
  <c r="O111" i="12"/>
  <c r="L111" i="12"/>
  <c r="I111" i="12"/>
  <c r="F111" i="12"/>
  <c r="AI110" i="11"/>
  <c r="W110" i="11"/>
  <c r="G112" i="1" s="1"/>
  <c r="K110" i="11"/>
  <c r="D112" i="1" s="1"/>
  <c r="AF110" i="11"/>
  <c r="S110" i="11"/>
  <c r="F112" i="1" s="1"/>
  <c r="F110" i="11"/>
  <c r="AL110" i="11"/>
  <c r="Y110" i="11"/>
  <c r="G110" i="13" s="1"/>
  <c r="L110" i="11"/>
  <c r="P110" i="11"/>
  <c r="AE110" i="11"/>
  <c r="K111" i="11"/>
  <c r="AC111" i="11"/>
  <c r="Y117" i="15"/>
  <c r="X117" i="15"/>
  <c r="L118" i="12"/>
  <c r="O118" i="12"/>
  <c r="I118" i="12"/>
  <c r="F118" i="12"/>
  <c r="C118" i="12"/>
  <c r="D118" i="12" s="1"/>
  <c r="AH117" i="11"/>
  <c r="V117" i="11"/>
  <c r="Q117" i="5" s="1"/>
  <c r="J117" i="11"/>
  <c r="AG117" i="11"/>
  <c r="U117" i="11"/>
  <c r="I117" i="11"/>
  <c r="AB117" i="11"/>
  <c r="P117" i="11"/>
  <c r="D117" i="11"/>
  <c r="AJ117" i="11"/>
  <c r="S117" i="11"/>
  <c r="C117" i="11"/>
  <c r="AD117" i="11"/>
  <c r="N117" i="11"/>
  <c r="O117" i="5" s="1"/>
  <c r="Z117" i="11"/>
  <c r="K117" i="11"/>
  <c r="W117" i="11"/>
  <c r="N123" i="11"/>
  <c r="AJ123" i="11"/>
  <c r="Q126" i="11"/>
  <c r="AL126" i="11"/>
  <c r="Y128" i="15"/>
  <c r="X128" i="15"/>
  <c r="F129" i="12"/>
  <c r="O129" i="12"/>
  <c r="L129" i="12"/>
  <c r="I129" i="12"/>
  <c r="C129" i="12"/>
  <c r="D129" i="12" s="1"/>
  <c r="AJ128" i="11"/>
  <c r="X128" i="11"/>
  <c r="L128" i="11"/>
  <c r="AI128" i="11"/>
  <c r="W128" i="11"/>
  <c r="K128" i="11"/>
  <c r="AD128" i="11"/>
  <c r="R128" i="11"/>
  <c r="F128" i="11"/>
  <c r="AB128" i="11"/>
  <c r="M128" i="11"/>
  <c r="V128" i="11"/>
  <c r="G128" i="11"/>
  <c r="C130" i="1" s="1"/>
  <c r="AK128" i="11"/>
  <c r="T128" i="11"/>
  <c r="D128" i="11"/>
  <c r="AH128" i="11"/>
  <c r="S128" i="11"/>
  <c r="C128" i="11"/>
  <c r="Z128" i="11"/>
  <c r="O130" i="11"/>
  <c r="AK130" i="11"/>
  <c r="G134" i="11"/>
  <c r="C136" i="1" s="1"/>
  <c r="AE134" i="11"/>
  <c r="H138" i="11"/>
  <c r="AG138" i="11"/>
  <c r="J143" i="11"/>
  <c r="M143" i="5" s="1"/>
  <c r="AK143" i="11"/>
  <c r="O148" i="11"/>
  <c r="C158" i="11"/>
  <c r="R159" i="11"/>
  <c r="C166" i="11"/>
  <c r="T167" i="11"/>
  <c r="AI168" i="11"/>
  <c r="F172" i="13"/>
  <c r="K173" i="12" s="1"/>
  <c r="M173" i="12" s="1"/>
  <c r="D172" i="13"/>
  <c r="E173" i="12" s="1"/>
  <c r="G173" i="12" s="1"/>
  <c r="AC200" i="11"/>
  <c r="Y61" i="15"/>
  <c r="X61" i="15"/>
  <c r="O62" i="12"/>
  <c r="C62" i="12"/>
  <c r="D62" i="12" s="1"/>
  <c r="L62" i="12"/>
  <c r="I62" i="12"/>
  <c r="F62" i="12"/>
  <c r="M61" i="11"/>
  <c r="Y61" i="11"/>
  <c r="D61" i="13" s="1"/>
  <c r="E62" i="12" s="1"/>
  <c r="AK61" i="11"/>
  <c r="Y67" i="15"/>
  <c r="X67" i="15"/>
  <c r="I68" i="12"/>
  <c r="F68" i="12"/>
  <c r="C68" i="12"/>
  <c r="D68" i="12" s="1"/>
  <c r="O68" i="12"/>
  <c r="L68" i="12"/>
  <c r="M67" i="11"/>
  <c r="Y67" i="11"/>
  <c r="F67" i="13" s="1"/>
  <c r="AK67" i="11"/>
  <c r="C72" i="11"/>
  <c r="O72" i="11"/>
  <c r="AA72" i="11"/>
  <c r="X73" i="15"/>
  <c r="Y73" i="15"/>
  <c r="O74" i="12"/>
  <c r="C74" i="12"/>
  <c r="L74" i="12"/>
  <c r="I74" i="12"/>
  <c r="F74" i="12"/>
  <c r="M73" i="11"/>
  <c r="Y73" i="11"/>
  <c r="AK73" i="11"/>
  <c r="I75" i="11"/>
  <c r="U75" i="11"/>
  <c r="AG75" i="11"/>
  <c r="C78" i="11"/>
  <c r="O78" i="11"/>
  <c r="AA78" i="11"/>
  <c r="X79" i="15"/>
  <c r="Y79" i="15"/>
  <c r="I80" i="12"/>
  <c r="F80" i="12"/>
  <c r="O80" i="12"/>
  <c r="C80" i="12"/>
  <c r="D80" i="12" s="1"/>
  <c r="L80" i="12"/>
  <c r="M79" i="11"/>
  <c r="Y79" i="11"/>
  <c r="G79" i="13" s="1"/>
  <c r="AK79" i="11"/>
  <c r="I81" i="11"/>
  <c r="U81" i="11"/>
  <c r="AG81" i="11"/>
  <c r="C84" i="11"/>
  <c r="O84" i="11"/>
  <c r="AA84" i="11"/>
  <c r="Y85" i="15"/>
  <c r="X85" i="15"/>
  <c r="O86" i="12"/>
  <c r="C86" i="12"/>
  <c r="D86" i="12" s="1"/>
  <c r="L86" i="12"/>
  <c r="F86" i="12"/>
  <c r="I86" i="12"/>
  <c r="M85" i="11"/>
  <c r="Y85" i="11"/>
  <c r="F85" i="13" s="1"/>
  <c r="K86" i="12" s="1"/>
  <c r="AK85" i="11"/>
  <c r="I87" i="11"/>
  <c r="U87" i="11"/>
  <c r="AG87" i="11"/>
  <c r="C90" i="11"/>
  <c r="O90" i="11"/>
  <c r="AA90" i="11"/>
  <c r="X91" i="15"/>
  <c r="Y91" i="15"/>
  <c r="I92" i="12"/>
  <c r="O92" i="12"/>
  <c r="L92" i="12"/>
  <c r="F92" i="12"/>
  <c r="C92" i="12"/>
  <c r="D92" i="12" s="1"/>
  <c r="M91" i="11"/>
  <c r="Y91" i="11"/>
  <c r="E91" i="13" s="1"/>
  <c r="H92" i="12" s="1"/>
  <c r="AK91" i="11"/>
  <c r="I93" i="11"/>
  <c r="U93" i="11"/>
  <c r="AG93" i="11"/>
  <c r="C96" i="11"/>
  <c r="O96" i="11"/>
  <c r="AA96" i="11"/>
  <c r="Y97" i="15"/>
  <c r="X97" i="15"/>
  <c r="O98" i="12"/>
  <c r="C98" i="12"/>
  <c r="D98" i="12" s="1"/>
  <c r="L98" i="12"/>
  <c r="I98" i="12"/>
  <c r="F98" i="12"/>
  <c r="AK97" i="11"/>
  <c r="Y97" i="11"/>
  <c r="M97" i="11"/>
  <c r="AE97" i="11"/>
  <c r="R97" i="11"/>
  <c r="E97" i="11"/>
  <c r="AB97" i="5" s="1"/>
  <c r="O97" i="11"/>
  <c r="AC97" i="11"/>
  <c r="K99" i="11"/>
  <c r="D101" i="1" s="1"/>
  <c r="Y99" i="11"/>
  <c r="G99" i="13" s="1"/>
  <c r="X100" i="15"/>
  <c r="Y100" i="15"/>
  <c r="L101" i="12"/>
  <c r="M101" i="12" s="1"/>
  <c r="I101" i="12"/>
  <c r="F101" i="12"/>
  <c r="C101" i="12"/>
  <c r="D101" i="12" s="1"/>
  <c r="O101" i="12"/>
  <c r="AE100" i="11"/>
  <c r="S100" i="11"/>
  <c r="G100" i="11"/>
  <c r="AI100" i="11"/>
  <c r="V100" i="11"/>
  <c r="Q100" i="5" s="1"/>
  <c r="I100" i="11"/>
  <c r="O100" i="11"/>
  <c r="H100" i="5" s="1"/>
  <c r="AC100" i="11"/>
  <c r="L111" i="11"/>
  <c r="AE111" i="11"/>
  <c r="R126" i="11"/>
  <c r="Q130" i="11"/>
  <c r="I134" i="11"/>
  <c r="AF134" i="11"/>
  <c r="G137" i="13"/>
  <c r="E137" i="13"/>
  <c r="H138" i="12" s="1"/>
  <c r="J138" i="12" s="1"/>
  <c r="D137" i="13"/>
  <c r="E138" i="12" s="1"/>
  <c r="F137" i="13"/>
  <c r="K138" i="12" s="1"/>
  <c r="I138" i="11"/>
  <c r="AI138" i="11"/>
  <c r="K143" i="11"/>
  <c r="Y144" i="15"/>
  <c r="X144" i="15"/>
  <c r="I145" i="12"/>
  <c r="C145" i="12"/>
  <c r="D145" i="12" s="1"/>
  <c r="F145" i="12"/>
  <c r="O145" i="12"/>
  <c r="L145" i="12"/>
  <c r="AB144" i="11"/>
  <c r="P144" i="11"/>
  <c r="D144" i="11"/>
  <c r="AA144" i="11"/>
  <c r="O144" i="11"/>
  <c r="C144" i="11"/>
  <c r="AL144" i="11"/>
  <c r="Z144" i="11"/>
  <c r="N144" i="11"/>
  <c r="O144" i="5" s="1"/>
  <c r="B144" i="11"/>
  <c r="AH144" i="11"/>
  <c r="V144" i="11"/>
  <c r="Q144" i="5" s="1"/>
  <c r="J144" i="11"/>
  <c r="X144" i="11"/>
  <c r="G144" i="11"/>
  <c r="AJ144" i="11"/>
  <c r="S144" i="11"/>
  <c r="AG144" i="11"/>
  <c r="Q144" i="11"/>
  <c r="AF144" i="11"/>
  <c r="M144" i="11"/>
  <c r="AC144" i="11"/>
  <c r="P148" i="11"/>
  <c r="Y156" i="15"/>
  <c r="X156" i="15"/>
  <c r="I157" i="12"/>
  <c r="L157" i="12"/>
  <c r="C157" i="12"/>
  <c r="D157" i="12" s="1"/>
  <c r="O157" i="12"/>
  <c r="F157" i="12"/>
  <c r="AB156" i="11"/>
  <c r="P156" i="11"/>
  <c r="D156" i="11"/>
  <c r="AA156" i="11"/>
  <c r="O156" i="11"/>
  <c r="C156" i="11"/>
  <c r="AL156" i="11"/>
  <c r="Z156" i="11"/>
  <c r="N156" i="11"/>
  <c r="O156" i="5" s="1"/>
  <c r="B156" i="11"/>
  <c r="AH156" i="11"/>
  <c r="V156" i="11"/>
  <c r="J156" i="11"/>
  <c r="U156" i="11"/>
  <c r="E156" i="11"/>
  <c r="AI156" i="11"/>
  <c r="R156" i="11"/>
  <c r="AG156" i="11"/>
  <c r="Q156" i="11"/>
  <c r="AE156" i="11"/>
  <c r="L156" i="11"/>
  <c r="AD156" i="11"/>
  <c r="K156" i="11"/>
  <c r="AC156" i="11"/>
  <c r="I156" i="11"/>
  <c r="Y156" i="11"/>
  <c r="H156" i="11"/>
  <c r="M158" i="11"/>
  <c r="AA159" i="11"/>
  <c r="G160" i="13"/>
  <c r="E160" i="13"/>
  <c r="H161" i="12" s="1"/>
  <c r="D160" i="13"/>
  <c r="E161" i="12" s="1"/>
  <c r="E166" i="11"/>
  <c r="V167" i="11"/>
  <c r="AK168" i="11"/>
  <c r="Y170" i="15"/>
  <c r="X170" i="15"/>
  <c r="L171" i="12"/>
  <c r="I171" i="12"/>
  <c r="C171" i="12"/>
  <c r="D171" i="12" s="1"/>
  <c r="O171" i="12"/>
  <c r="F171" i="12"/>
  <c r="AJ170" i="11"/>
  <c r="X170" i="11"/>
  <c r="L170" i="11"/>
  <c r="AI170" i="11"/>
  <c r="W170" i="11"/>
  <c r="K170" i="11"/>
  <c r="AH170" i="11"/>
  <c r="V170" i="11"/>
  <c r="J170" i="11"/>
  <c r="M170" i="5" s="1"/>
  <c r="AD170" i="11"/>
  <c r="R170" i="11"/>
  <c r="F170" i="11"/>
  <c r="AG170" i="11"/>
  <c r="P170" i="11"/>
  <c r="AC170" i="11"/>
  <c r="M170" i="11"/>
  <c r="AB170" i="11"/>
  <c r="I170" i="11"/>
  <c r="Z170" i="11"/>
  <c r="G170" i="11"/>
  <c r="Y170" i="11"/>
  <c r="E170" i="11"/>
  <c r="U170" i="11"/>
  <c r="D170" i="11"/>
  <c r="T170" i="11"/>
  <c r="C170" i="11"/>
  <c r="AL170" i="11"/>
  <c r="S170" i="11"/>
  <c r="B170" i="11"/>
  <c r="H10" i="11"/>
  <c r="T10" i="11"/>
  <c r="AF10" i="11"/>
  <c r="H16" i="11"/>
  <c r="T16" i="11"/>
  <c r="AF16" i="11"/>
  <c r="H22" i="11"/>
  <c r="T22" i="11"/>
  <c r="AF22" i="11"/>
  <c r="H28" i="11"/>
  <c r="T28" i="11"/>
  <c r="AF28" i="11"/>
  <c r="H34" i="11"/>
  <c r="T34" i="11"/>
  <c r="AF34" i="11"/>
  <c r="H40" i="11"/>
  <c r="T40" i="11"/>
  <c r="AF40" i="11"/>
  <c r="H46" i="11"/>
  <c r="T46" i="11"/>
  <c r="AF46" i="11"/>
  <c r="H52" i="11"/>
  <c r="T52" i="11"/>
  <c r="AF52" i="11"/>
  <c r="H58" i="11"/>
  <c r="T58" i="11"/>
  <c r="AF58" i="11"/>
  <c r="B61" i="11"/>
  <c r="N61" i="11"/>
  <c r="Z61" i="11"/>
  <c r="AL61" i="11"/>
  <c r="H64" i="11"/>
  <c r="T64" i="11"/>
  <c r="AF64" i="11"/>
  <c r="B67" i="11"/>
  <c r="N67" i="11"/>
  <c r="Z67" i="11"/>
  <c r="AL67" i="11"/>
  <c r="D72" i="11"/>
  <c r="P72" i="11"/>
  <c r="AB72" i="11"/>
  <c r="B73" i="11"/>
  <c r="N73" i="11"/>
  <c r="Z73" i="11"/>
  <c r="AL73" i="11"/>
  <c r="J75" i="11"/>
  <c r="V75" i="11"/>
  <c r="Q75" i="5" s="1"/>
  <c r="AH75" i="11"/>
  <c r="D78" i="11"/>
  <c r="P78" i="11"/>
  <c r="AB78" i="11"/>
  <c r="B79" i="11"/>
  <c r="N79" i="11"/>
  <c r="Z79" i="11"/>
  <c r="AL79" i="11"/>
  <c r="J81" i="11"/>
  <c r="V81" i="11"/>
  <c r="Q81" i="5" s="1"/>
  <c r="AH81" i="11"/>
  <c r="D84" i="11"/>
  <c r="P84" i="11"/>
  <c r="AB84" i="11"/>
  <c r="B85" i="11"/>
  <c r="N85" i="11"/>
  <c r="Z85" i="11"/>
  <c r="AL85" i="11"/>
  <c r="J87" i="11"/>
  <c r="V87" i="11"/>
  <c r="Q87" i="5" s="1"/>
  <c r="AH87" i="11"/>
  <c r="D90" i="11"/>
  <c r="P90" i="11"/>
  <c r="AB90" i="11"/>
  <c r="B91" i="11"/>
  <c r="N91" i="11"/>
  <c r="Z91" i="11"/>
  <c r="AL91" i="11"/>
  <c r="J93" i="11"/>
  <c r="V93" i="11"/>
  <c r="Q93" i="5" s="1"/>
  <c r="AH93" i="11"/>
  <c r="D96" i="11"/>
  <c r="P96" i="11"/>
  <c r="AB96" i="11"/>
  <c r="B97" i="11"/>
  <c r="P97" i="11"/>
  <c r="AD97" i="11"/>
  <c r="L99" i="11"/>
  <c r="Z99" i="11"/>
  <c r="B100" i="11"/>
  <c r="P100" i="11"/>
  <c r="AD100" i="11"/>
  <c r="C110" i="11"/>
  <c r="R110" i="11"/>
  <c r="AH110" i="11"/>
  <c r="N111" i="11"/>
  <c r="AF111" i="11"/>
  <c r="X114" i="15"/>
  <c r="Y114" i="15"/>
  <c r="O115" i="12"/>
  <c r="C115" i="12"/>
  <c r="D115" i="12" s="1"/>
  <c r="L115" i="12"/>
  <c r="I115" i="12"/>
  <c r="F115" i="12"/>
  <c r="G115" i="12" s="1"/>
  <c r="AB114" i="11"/>
  <c r="P114" i="11"/>
  <c r="D114" i="11"/>
  <c r="AA114" i="11"/>
  <c r="O114" i="11"/>
  <c r="E116" i="1" s="1"/>
  <c r="C114" i="11"/>
  <c r="AH114" i="11"/>
  <c r="V114" i="11"/>
  <c r="Q114" i="5" s="1"/>
  <c r="J114" i="11"/>
  <c r="AF114" i="11"/>
  <c r="Q114" i="11"/>
  <c r="Z114" i="11"/>
  <c r="K114" i="11"/>
  <c r="D116" i="1" s="1"/>
  <c r="AL114" i="11"/>
  <c r="W114" i="11"/>
  <c r="G116" i="1" s="1"/>
  <c r="G114" i="11"/>
  <c r="C116" i="1" s="1"/>
  <c r="U114" i="11"/>
  <c r="E117" i="11"/>
  <c r="AB117" i="5" s="1"/>
  <c r="Y117" i="11"/>
  <c r="G117" i="13" s="1"/>
  <c r="R123" i="11"/>
  <c r="Y124" i="15"/>
  <c r="X124" i="15"/>
  <c r="I125" i="12"/>
  <c r="O125" i="12"/>
  <c r="L125" i="12"/>
  <c r="F125" i="12"/>
  <c r="C125" i="12"/>
  <c r="D125" i="12" s="1"/>
  <c r="AF124" i="11"/>
  <c r="T124" i="11"/>
  <c r="H124" i="11"/>
  <c r="AE124" i="11"/>
  <c r="S124" i="11"/>
  <c r="G124" i="11"/>
  <c r="AL124" i="11"/>
  <c r="Z124" i="11"/>
  <c r="N124" i="11"/>
  <c r="O124" i="5" s="1"/>
  <c r="B124" i="11"/>
  <c r="AD124" i="11"/>
  <c r="O124" i="11"/>
  <c r="Y124" i="11"/>
  <c r="F124" i="13" s="1"/>
  <c r="K125" i="12" s="1"/>
  <c r="M125" i="12" s="1"/>
  <c r="J124" i="11"/>
  <c r="M124" i="5" s="1"/>
  <c r="W124" i="11"/>
  <c r="F124" i="11"/>
  <c r="AK124" i="11"/>
  <c r="V124" i="11"/>
  <c r="Q124" i="5" s="1"/>
  <c r="E124" i="11"/>
  <c r="AA124" i="11"/>
  <c r="T126" i="11"/>
  <c r="E128" i="11"/>
  <c r="AB128" i="5" s="1"/>
  <c r="AC128" i="11"/>
  <c r="R130" i="11"/>
  <c r="Q130" i="5" s="1"/>
  <c r="Y132" i="15"/>
  <c r="X132" i="15"/>
  <c r="I133" i="12"/>
  <c r="L133" i="12"/>
  <c r="O133" i="12"/>
  <c r="F133" i="12"/>
  <c r="C133" i="12"/>
  <c r="D133" i="12" s="1"/>
  <c r="AB132" i="11"/>
  <c r="P132" i="11"/>
  <c r="D132" i="11"/>
  <c r="AA132" i="11"/>
  <c r="O132" i="11"/>
  <c r="C132" i="11"/>
  <c r="AH132" i="11"/>
  <c r="V132" i="11"/>
  <c r="Q132" i="5" s="1"/>
  <c r="J132" i="11"/>
  <c r="AJ132" i="11"/>
  <c r="T132" i="11"/>
  <c r="E132" i="11"/>
  <c r="AE132" i="11"/>
  <c r="N132" i="11"/>
  <c r="O132" i="5" s="1"/>
  <c r="AC132" i="11"/>
  <c r="L132" i="11"/>
  <c r="Z132" i="11"/>
  <c r="K132" i="11"/>
  <c r="X132" i="11"/>
  <c r="J134" i="11"/>
  <c r="M134" i="5" s="1"/>
  <c r="AG134" i="11"/>
  <c r="T135" i="11"/>
  <c r="Y137" i="15"/>
  <c r="X137" i="15"/>
  <c r="I138" i="12"/>
  <c r="C138" i="12"/>
  <c r="D138" i="12" s="1"/>
  <c r="F138" i="12"/>
  <c r="O138" i="12"/>
  <c r="L138" i="12"/>
  <c r="AD137" i="11"/>
  <c r="R137" i="11"/>
  <c r="F137" i="11"/>
  <c r="AC137" i="11"/>
  <c r="Q137" i="11"/>
  <c r="E137" i="11"/>
  <c r="AB137" i="5" s="1"/>
  <c r="AJ137" i="11"/>
  <c r="X137" i="11"/>
  <c r="L137" i="11"/>
  <c r="AA137" i="11"/>
  <c r="K137" i="11"/>
  <c r="AL137" i="11"/>
  <c r="V137" i="11"/>
  <c r="G137" i="11"/>
  <c r="AI137" i="11"/>
  <c r="T137" i="11"/>
  <c r="C137" i="11"/>
  <c r="AH137" i="11"/>
  <c r="S137" i="11"/>
  <c r="B137" i="11"/>
  <c r="Z137" i="11"/>
  <c r="K138" i="11"/>
  <c r="AJ138" i="11"/>
  <c r="D142" i="13"/>
  <c r="E143" i="12" s="1"/>
  <c r="G143" i="12" s="1"/>
  <c r="G142" i="13"/>
  <c r="M143" i="11"/>
  <c r="E144" i="11"/>
  <c r="AD144" i="11"/>
  <c r="U148" i="11"/>
  <c r="F156" i="11"/>
  <c r="P158" i="11"/>
  <c r="AE159" i="11"/>
  <c r="O166" i="11"/>
  <c r="AF167" i="11"/>
  <c r="H170" i="11"/>
  <c r="Y184" i="15"/>
  <c r="X184" i="15"/>
  <c r="C185" i="12"/>
  <c r="F185" i="12"/>
  <c r="O185" i="12"/>
  <c r="L185" i="12"/>
  <c r="I185" i="12"/>
  <c r="AC184" i="11"/>
  <c r="Q184" i="11"/>
  <c r="E184" i="11"/>
  <c r="AH184" i="11"/>
  <c r="V184" i="11"/>
  <c r="J184" i="11"/>
  <c r="AE184" i="11"/>
  <c r="P184" i="11"/>
  <c r="B184" i="11"/>
  <c r="AB184" i="11"/>
  <c r="N184" i="11"/>
  <c r="AA184" i="11"/>
  <c r="M184" i="11"/>
  <c r="Z184" i="11"/>
  <c r="L184" i="11"/>
  <c r="AJ184" i="11"/>
  <c r="U184" i="11"/>
  <c r="G184" i="11"/>
  <c r="AI184" i="11"/>
  <c r="T184" i="11"/>
  <c r="F184" i="11"/>
  <c r="AG184" i="11"/>
  <c r="S184" i="11"/>
  <c r="D184" i="11"/>
  <c r="AF184" i="11"/>
  <c r="R184" i="11"/>
  <c r="C184" i="11"/>
  <c r="W184" i="11"/>
  <c r="I184" i="11"/>
  <c r="H184" i="11"/>
  <c r="AL184" i="11"/>
  <c r="AK184" i="11"/>
  <c r="AD184" i="11"/>
  <c r="Y184" i="11"/>
  <c r="D184" i="13" s="1"/>
  <c r="E185" i="12" s="1"/>
  <c r="G185" i="12" s="1"/>
  <c r="Y174" i="15"/>
  <c r="X174" i="15"/>
  <c r="O175" i="12"/>
  <c r="C175" i="12"/>
  <c r="D175" i="12" s="1"/>
  <c r="I175" i="12"/>
  <c r="L175" i="12"/>
  <c r="F175" i="12"/>
  <c r="AB174" i="11"/>
  <c r="P174" i="11"/>
  <c r="D174" i="11"/>
  <c r="AA174" i="11"/>
  <c r="O174" i="11"/>
  <c r="C174" i="11"/>
  <c r="AL174" i="11"/>
  <c r="Z174" i="11"/>
  <c r="N174" i="11"/>
  <c r="O174" i="5" s="1"/>
  <c r="B174" i="11"/>
  <c r="AH174" i="11"/>
  <c r="V174" i="11"/>
  <c r="Q174" i="5" s="1"/>
  <c r="J174" i="11"/>
  <c r="AG174" i="11"/>
  <c r="U174" i="11"/>
  <c r="AF174" i="11"/>
  <c r="T174" i="11"/>
  <c r="H174" i="11"/>
  <c r="X174" i="11"/>
  <c r="H146" i="11"/>
  <c r="AA146" i="11"/>
  <c r="P152" i="11"/>
  <c r="AA155" i="11"/>
  <c r="X160" i="15"/>
  <c r="Y160" i="15"/>
  <c r="C161" i="12"/>
  <c r="D161" i="12" s="1"/>
  <c r="F161" i="12"/>
  <c r="I161" i="12"/>
  <c r="O161" i="12"/>
  <c r="L161" i="12"/>
  <c r="AF160" i="11"/>
  <c r="T160" i="11"/>
  <c r="H160" i="11"/>
  <c r="AE160" i="11"/>
  <c r="S160" i="11"/>
  <c r="G160" i="11"/>
  <c r="AD160" i="11"/>
  <c r="R160" i="11"/>
  <c r="Q160" i="5" s="1"/>
  <c r="F160" i="11"/>
  <c r="AL160" i="11"/>
  <c r="Z160" i="11"/>
  <c r="N160" i="11"/>
  <c r="B160" i="11"/>
  <c r="U160" i="11"/>
  <c r="AK160" i="11"/>
  <c r="S161" i="11"/>
  <c r="X171" i="15"/>
  <c r="Y171" i="15"/>
  <c r="F172" i="12"/>
  <c r="G172" i="12" s="1"/>
  <c r="L172" i="12"/>
  <c r="C172" i="12"/>
  <c r="D172" i="12" s="1"/>
  <c r="O172" i="12"/>
  <c r="I172" i="12"/>
  <c r="AH171" i="11"/>
  <c r="V171" i="11"/>
  <c r="J171" i="11"/>
  <c r="AG171" i="11"/>
  <c r="U171" i="11"/>
  <c r="I171" i="11"/>
  <c r="AF171" i="11"/>
  <c r="T171" i="11"/>
  <c r="H171" i="11"/>
  <c r="AB171" i="11"/>
  <c r="P171" i="11"/>
  <c r="D171" i="11"/>
  <c r="R171" i="11"/>
  <c r="AK171" i="11"/>
  <c r="Y173" i="15"/>
  <c r="X173" i="15"/>
  <c r="I174" i="12"/>
  <c r="O174" i="12"/>
  <c r="C174" i="12"/>
  <c r="D174" i="12" s="1"/>
  <c r="F174" i="12"/>
  <c r="L174" i="12"/>
  <c r="AD173" i="11"/>
  <c r="R173" i="11"/>
  <c r="F173" i="11"/>
  <c r="AC173" i="11"/>
  <c r="Q173" i="11"/>
  <c r="E173" i="11"/>
  <c r="AB173" i="11"/>
  <c r="P173" i="11"/>
  <c r="D173" i="11"/>
  <c r="AJ173" i="11"/>
  <c r="X173" i="11"/>
  <c r="L173" i="11"/>
  <c r="AH173" i="11"/>
  <c r="V173" i="11"/>
  <c r="J173" i="11"/>
  <c r="M173" i="5" s="1"/>
  <c r="U173" i="11"/>
  <c r="E174" i="11"/>
  <c r="Y174" i="11"/>
  <c r="X25" i="12"/>
  <c r="T25" i="12"/>
  <c r="AC25" i="12"/>
  <c r="Q25" i="12"/>
  <c r="Z25" i="12"/>
  <c r="V25" i="12"/>
  <c r="U25" i="12"/>
  <c r="AB25" i="12"/>
  <c r="R25" i="12"/>
  <c r="AA25" i="12"/>
  <c r="Y25" i="12"/>
  <c r="W25" i="12"/>
  <c r="S25" i="12"/>
  <c r="Y152" i="15"/>
  <c r="X152" i="15"/>
  <c r="F153" i="12"/>
  <c r="I153" i="12"/>
  <c r="L153" i="12"/>
  <c r="C153" i="12"/>
  <c r="D153" i="12" s="1"/>
  <c r="O153" i="12"/>
  <c r="AJ152" i="11"/>
  <c r="X152" i="11"/>
  <c r="L152" i="11"/>
  <c r="AI152" i="11"/>
  <c r="W152" i="11"/>
  <c r="K152" i="11"/>
  <c r="AH152" i="11"/>
  <c r="V152" i="11"/>
  <c r="J152" i="11"/>
  <c r="M152" i="5" s="1"/>
  <c r="AD152" i="11"/>
  <c r="R152" i="11"/>
  <c r="F152" i="11"/>
  <c r="Q152" i="11"/>
  <c r="AK152" i="11"/>
  <c r="Y161" i="15"/>
  <c r="X161" i="15"/>
  <c r="I162" i="12"/>
  <c r="O162" i="12"/>
  <c r="F162" i="12"/>
  <c r="C162" i="12"/>
  <c r="D162" i="12" s="1"/>
  <c r="L162" i="12"/>
  <c r="AD161" i="11"/>
  <c r="R161" i="11"/>
  <c r="F161" i="11"/>
  <c r="AC161" i="11"/>
  <c r="Q161" i="11"/>
  <c r="E161" i="11"/>
  <c r="AB161" i="5" s="1"/>
  <c r="AB161" i="11"/>
  <c r="P161" i="11"/>
  <c r="D161" i="11"/>
  <c r="AJ161" i="11"/>
  <c r="X161" i="11"/>
  <c r="L161" i="11"/>
  <c r="T161" i="11"/>
  <c r="AK161" i="11"/>
  <c r="F174" i="11"/>
  <c r="AC174" i="11"/>
  <c r="AB53" i="12"/>
  <c r="X53" i="12"/>
  <c r="U53" i="12"/>
  <c r="R53" i="12"/>
  <c r="AC53" i="12"/>
  <c r="AA53" i="12"/>
  <c r="Q53" i="12"/>
  <c r="Z53" i="12"/>
  <c r="Y53" i="12"/>
  <c r="T53" i="12"/>
  <c r="W53" i="12"/>
  <c r="V53" i="12"/>
  <c r="M113" i="11"/>
  <c r="X116" i="15"/>
  <c r="Y116" i="15"/>
  <c r="L117" i="12"/>
  <c r="I117" i="12"/>
  <c r="F117" i="12"/>
  <c r="C117" i="12"/>
  <c r="D117" i="12" s="1"/>
  <c r="O117" i="12"/>
  <c r="AJ116" i="11"/>
  <c r="X116" i="11"/>
  <c r="L116" i="11"/>
  <c r="AI116" i="11"/>
  <c r="W116" i="11"/>
  <c r="K116" i="11"/>
  <c r="AD116" i="11"/>
  <c r="R116" i="11"/>
  <c r="F116" i="11"/>
  <c r="P116" i="11"/>
  <c r="AF116" i="11"/>
  <c r="O125" i="11"/>
  <c r="M129" i="11"/>
  <c r="Y131" i="15"/>
  <c r="X131" i="15"/>
  <c r="O132" i="12"/>
  <c r="C132" i="12"/>
  <c r="D132" i="12" s="1"/>
  <c r="I132" i="12"/>
  <c r="F132" i="12"/>
  <c r="L132" i="12"/>
  <c r="AD131" i="11"/>
  <c r="R131" i="11"/>
  <c r="F131" i="11"/>
  <c r="AC131" i="11"/>
  <c r="Q131" i="11"/>
  <c r="E131" i="11"/>
  <c r="AB131" i="5" s="1"/>
  <c r="AJ131" i="11"/>
  <c r="X131" i="11"/>
  <c r="L131" i="11"/>
  <c r="P131" i="11"/>
  <c r="AG131" i="11"/>
  <c r="Q142" i="11"/>
  <c r="M146" i="11"/>
  <c r="AC146" i="11"/>
  <c r="B152" i="11"/>
  <c r="S152" i="11"/>
  <c r="AL152" i="11"/>
  <c r="Q153" i="11"/>
  <c r="O154" i="11"/>
  <c r="M155" i="11"/>
  <c r="AF155" i="11"/>
  <c r="D160" i="11"/>
  <c r="W160" i="11"/>
  <c r="B161" i="11"/>
  <c r="U161" i="11"/>
  <c r="AL161" i="11"/>
  <c r="S162" i="11"/>
  <c r="P164" i="11"/>
  <c r="N165" i="11"/>
  <c r="O165" i="5" s="1"/>
  <c r="C171" i="11"/>
  <c r="W171" i="11"/>
  <c r="Y172" i="15"/>
  <c r="X172" i="15"/>
  <c r="I173" i="12"/>
  <c r="L173" i="12"/>
  <c r="O173" i="12"/>
  <c r="F173" i="12"/>
  <c r="C173" i="12"/>
  <c r="D173" i="12" s="1"/>
  <c r="AF172" i="11"/>
  <c r="T172" i="11"/>
  <c r="H172" i="11"/>
  <c r="AE172" i="11"/>
  <c r="S172" i="11"/>
  <c r="G172" i="11"/>
  <c r="AD172" i="11"/>
  <c r="R172" i="11"/>
  <c r="Q172" i="5" s="1"/>
  <c r="F172" i="11"/>
  <c r="AL172" i="11"/>
  <c r="Z172" i="11"/>
  <c r="N172" i="11"/>
  <c r="B172" i="11"/>
  <c r="AJ172" i="11"/>
  <c r="X172" i="11"/>
  <c r="L172" i="11"/>
  <c r="V172" i="11"/>
  <c r="C173" i="11"/>
  <c r="Y173" i="11"/>
  <c r="G174" i="11"/>
  <c r="AD174" i="11"/>
  <c r="O176" i="11"/>
  <c r="X177" i="15"/>
  <c r="Y177" i="15"/>
  <c r="L178" i="12"/>
  <c r="I178" i="12"/>
  <c r="O178" i="12"/>
  <c r="F178" i="12"/>
  <c r="C178" i="12"/>
  <c r="D178" i="12" s="1"/>
  <c r="AH177" i="11"/>
  <c r="V177" i="11"/>
  <c r="Q177" i="5" s="1"/>
  <c r="J177" i="11"/>
  <c r="AG177" i="11"/>
  <c r="U177" i="11"/>
  <c r="I177" i="11"/>
  <c r="AF177" i="11"/>
  <c r="T177" i="11"/>
  <c r="H177" i="11"/>
  <c r="AB177" i="11"/>
  <c r="P177" i="11"/>
  <c r="D177" i="11"/>
  <c r="AA177" i="11"/>
  <c r="O177" i="11"/>
  <c r="C177" i="11"/>
  <c r="AL177" i="11"/>
  <c r="Z177" i="11"/>
  <c r="N177" i="11"/>
  <c r="O177" i="5" s="1"/>
  <c r="B177" i="11"/>
  <c r="Y177" i="11"/>
  <c r="Z5" i="12"/>
  <c r="D14" i="12"/>
  <c r="X125" i="15"/>
  <c r="Y125" i="15"/>
  <c r="I126" i="12"/>
  <c r="C126" i="12"/>
  <c r="D126" i="12" s="1"/>
  <c r="L126" i="12"/>
  <c r="O126" i="12"/>
  <c r="F126" i="12"/>
  <c r="AD125" i="11"/>
  <c r="R125" i="11"/>
  <c r="F125" i="11"/>
  <c r="AC125" i="11"/>
  <c r="Q125" i="11"/>
  <c r="E125" i="11"/>
  <c r="AB125" i="5" s="1"/>
  <c r="AJ125" i="11"/>
  <c r="X125" i="11"/>
  <c r="L125" i="11"/>
  <c r="P125" i="11"/>
  <c r="AG125" i="11"/>
  <c r="D136" i="13"/>
  <c r="E137" i="12" s="1"/>
  <c r="E136" i="13"/>
  <c r="H137" i="12" s="1"/>
  <c r="G136" i="13"/>
  <c r="X142" i="15"/>
  <c r="Y142" i="15"/>
  <c r="O143" i="12"/>
  <c r="F143" i="12"/>
  <c r="L143" i="12"/>
  <c r="C143" i="12"/>
  <c r="I143" i="12"/>
  <c r="AF142" i="11"/>
  <c r="T142" i="11"/>
  <c r="H142" i="11"/>
  <c r="AE142" i="11"/>
  <c r="S142" i="11"/>
  <c r="G142" i="11"/>
  <c r="AD142" i="11"/>
  <c r="R142" i="11"/>
  <c r="Q142" i="5" s="1"/>
  <c r="F142" i="11"/>
  <c r="AL142" i="11"/>
  <c r="Z142" i="11"/>
  <c r="N142" i="11"/>
  <c r="B142" i="11"/>
  <c r="U142" i="11"/>
  <c r="AK142" i="11"/>
  <c r="N146" i="11"/>
  <c r="AE146" i="11"/>
  <c r="C152" i="11"/>
  <c r="T152" i="11"/>
  <c r="Y153" i="15"/>
  <c r="X153" i="15"/>
  <c r="L154" i="12"/>
  <c r="F154" i="12"/>
  <c r="I154" i="12"/>
  <c r="C154" i="12"/>
  <c r="D154" i="12" s="1"/>
  <c r="O154" i="12"/>
  <c r="AH153" i="11"/>
  <c r="V153" i="11"/>
  <c r="J153" i="11"/>
  <c r="AG153" i="11"/>
  <c r="U153" i="11"/>
  <c r="I153" i="11"/>
  <c r="AF153" i="11"/>
  <c r="T153" i="11"/>
  <c r="H153" i="11"/>
  <c r="AB153" i="11"/>
  <c r="P153" i="11"/>
  <c r="D153" i="11"/>
  <c r="R153" i="11"/>
  <c r="AK153" i="11"/>
  <c r="N155" i="11"/>
  <c r="AG155" i="11"/>
  <c r="E160" i="11"/>
  <c r="X160" i="11"/>
  <c r="C161" i="11"/>
  <c r="V161" i="11"/>
  <c r="Y162" i="15"/>
  <c r="X162" i="15"/>
  <c r="O163" i="12"/>
  <c r="C163" i="12"/>
  <c r="D163" i="12" s="1"/>
  <c r="L163" i="12"/>
  <c r="I163" i="12"/>
  <c r="F163" i="12"/>
  <c r="AB162" i="11"/>
  <c r="P162" i="11"/>
  <c r="D162" i="11"/>
  <c r="AA162" i="11"/>
  <c r="O162" i="11"/>
  <c r="C162" i="11"/>
  <c r="AL162" i="11"/>
  <c r="Z162" i="11"/>
  <c r="N162" i="11"/>
  <c r="O162" i="5" s="1"/>
  <c r="B162" i="11"/>
  <c r="AH162" i="11"/>
  <c r="V162" i="11"/>
  <c r="Q162" i="5" s="1"/>
  <c r="J162" i="11"/>
  <c r="T162" i="11"/>
  <c r="AK162" i="11"/>
  <c r="X164" i="15"/>
  <c r="Y164" i="15"/>
  <c r="F165" i="12"/>
  <c r="C165" i="12"/>
  <c r="D165" i="12" s="1"/>
  <c r="L165" i="12"/>
  <c r="O165" i="12"/>
  <c r="I165" i="12"/>
  <c r="AJ164" i="11"/>
  <c r="X164" i="11"/>
  <c r="L164" i="11"/>
  <c r="AI164" i="11"/>
  <c r="W164" i="11"/>
  <c r="K164" i="11"/>
  <c r="AH164" i="11"/>
  <c r="V164" i="11"/>
  <c r="J164" i="11"/>
  <c r="AD164" i="11"/>
  <c r="R164" i="11"/>
  <c r="F164" i="11"/>
  <c r="Q164" i="11"/>
  <c r="AK164" i="11"/>
  <c r="E171" i="11"/>
  <c r="AB171" i="5" s="1"/>
  <c r="X171" i="11"/>
  <c r="G173" i="11"/>
  <c r="C175" i="1" s="1"/>
  <c r="Z173" i="11"/>
  <c r="I174" i="11"/>
  <c r="AE174" i="11"/>
  <c r="S176" i="11"/>
  <c r="X185" i="15"/>
  <c r="Y185" i="15"/>
  <c r="I186" i="12"/>
  <c r="O186" i="12"/>
  <c r="L186" i="12"/>
  <c r="F186" i="12"/>
  <c r="AD185" i="11"/>
  <c r="C186" i="12"/>
  <c r="D186" i="12" s="1"/>
  <c r="AA185" i="11"/>
  <c r="O185" i="11"/>
  <c r="C185" i="11"/>
  <c r="AG185" i="11"/>
  <c r="T185" i="11"/>
  <c r="H185" i="11"/>
  <c r="AK185" i="11"/>
  <c r="V185" i="11"/>
  <c r="G185" i="11"/>
  <c r="AI185" i="11"/>
  <c r="S185" i="11"/>
  <c r="E185" i="11"/>
  <c r="AH185" i="11"/>
  <c r="R185" i="11"/>
  <c r="D185" i="11"/>
  <c r="AF185" i="11"/>
  <c r="Q185" i="11"/>
  <c r="B185" i="11"/>
  <c r="Z185" i="11"/>
  <c r="L185" i="11"/>
  <c r="Y185" i="11"/>
  <c r="D185" i="13" s="1"/>
  <c r="E186" i="12" s="1"/>
  <c r="G186" i="12" s="1"/>
  <c r="K185" i="11"/>
  <c r="X185" i="11"/>
  <c r="J185" i="11"/>
  <c r="M185" i="5" s="1"/>
  <c r="AL185" i="11"/>
  <c r="W185" i="11"/>
  <c r="I185" i="11"/>
  <c r="X37" i="12"/>
  <c r="T37" i="12"/>
  <c r="AC37" i="12"/>
  <c r="Q37" i="12"/>
  <c r="R37" i="12"/>
  <c r="AB37" i="12"/>
  <c r="W37" i="12"/>
  <c r="J37" i="12"/>
  <c r="AA37" i="12"/>
  <c r="Y37" i="12"/>
  <c r="V37" i="12"/>
  <c r="U37" i="12"/>
  <c r="S53" i="12"/>
  <c r="X113" i="15"/>
  <c r="Y113" i="15"/>
  <c r="O114" i="12"/>
  <c r="L114" i="12"/>
  <c r="I114" i="12"/>
  <c r="F114" i="12"/>
  <c r="C114" i="12"/>
  <c r="D114" i="12" s="1"/>
  <c r="AD113" i="11"/>
  <c r="R113" i="11"/>
  <c r="F113" i="11"/>
  <c r="AC113" i="11"/>
  <c r="Q113" i="11"/>
  <c r="E113" i="11"/>
  <c r="AB113" i="5" s="1"/>
  <c r="AJ113" i="11"/>
  <c r="X113" i="11"/>
  <c r="L113" i="11"/>
  <c r="P113" i="11"/>
  <c r="AG113" i="11"/>
  <c r="C125" i="11"/>
  <c r="T125" i="11"/>
  <c r="AI125" i="11"/>
  <c r="Y129" i="15"/>
  <c r="X129" i="15"/>
  <c r="L130" i="12"/>
  <c r="I130" i="12"/>
  <c r="C130" i="12"/>
  <c r="D130" i="12" s="1"/>
  <c r="O130" i="12"/>
  <c r="F130" i="12"/>
  <c r="AH129" i="11"/>
  <c r="V129" i="11"/>
  <c r="Q129" i="5" s="1"/>
  <c r="J129" i="11"/>
  <c r="AG129" i="11"/>
  <c r="U129" i="11"/>
  <c r="I129" i="11"/>
  <c r="AB129" i="11"/>
  <c r="P129" i="11"/>
  <c r="D129" i="11"/>
  <c r="Q129" i="11"/>
  <c r="AF129" i="11"/>
  <c r="D142" i="11"/>
  <c r="W142" i="11"/>
  <c r="P146" i="11"/>
  <c r="E152" i="11"/>
  <c r="Y152" i="11"/>
  <c r="F152" i="13" s="1"/>
  <c r="K153" i="12" s="1"/>
  <c r="C153" i="11"/>
  <c r="W153" i="11"/>
  <c r="X154" i="15"/>
  <c r="Y154" i="15"/>
  <c r="F155" i="12"/>
  <c r="O155" i="12"/>
  <c r="L155" i="12"/>
  <c r="I155" i="12"/>
  <c r="C155" i="12"/>
  <c r="D155" i="12" s="1"/>
  <c r="AF154" i="11"/>
  <c r="T154" i="11"/>
  <c r="H154" i="11"/>
  <c r="AE154" i="11"/>
  <c r="S154" i="11"/>
  <c r="G154" i="11"/>
  <c r="AD154" i="11"/>
  <c r="R154" i="11"/>
  <c r="Q154" i="5" s="1"/>
  <c r="F154" i="11"/>
  <c r="AL154" i="11"/>
  <c r="Z154" i="11"/>
  <c r="N154" i="11"/>
  <c r="B154" i="11"/>
  <c r="U154" i="11"/>
  <c r="AK154" i="11"/>
  <c r="S155" i="11"/>
  <c r="J160" i="11"/>
  <c r="AA160" i="11"/>
  <c r="H161" i="11"/>
  <c r="Y161" i="11"/>
  <c r="F162" i="11"/>
  <c r="W162" i="11"/>
  <c r="C164" i="11"/>
  <c r="T164" i="11"/>
  <c r="Y165" i="15"/>
  <c r="X165" i="15"/>
  <c r="L166" i="12"/>
  <c r="C166" i="12"/>
  <c r="D166" i="12" s="1"/>
  <c r="O166" i="12"/>
  <c r="I166" i="12"/>
  <c r="F166" i="12"/>
  <c r="AH165" i="11"/>
  <c r="V165" i="11"/>
  <c r="J165" i="11"/>
  <c r="AG165" i="11"/>
  <c r="U165" i="11"/>
  <c r="I165" i="11"/>
  <c r="AF165" i="11"/>
  <c r="T165" i="11"/>
  <c r="H165" i="11"/>
  <c r="AB165" i="11"/>
  <c r="P165" i="11"/>
  <c r="D165" i="11"/>
  <c r="R165" i="11"/>
  <c r="AK165" i="11"/>
  <c r="G171" i="11"/>
  <c r="C173" i="1" s="1"/>
  <c r="Z171" i="11"/>
  <c r="I173" i="11"/>
  <c r="AE173" i="11"/>
  <c r="L174" i="11"/>
  <c r="AJ174" i="11"/>
  <c r="M185" i="11"/>
  <c r="X146" i="15"/>
  <c r="Y146" i="15"/>
  <c r="L147" i="12"/>
  <c r="C147" i="12"/>
  <c r="D147" i="12" s="1"/>
  <c r="O147" i="12"/>
  <c r="I147" i="12"/>
  <c r="F147" i="12"/>
  <c r="AJ146" i="11"/>
  <c r="X146" i="11"/>
  <c r="L146" i="11"/>
  <c r="AI146" i="11"/>
  <c r="W146" i="11"/>
  <c r="K146" i="11"/>
  <c r="AH146" i="11"/>
  <c r="V146" i="11"/>
  <c r="J146" i="11"/>
  <c r="AD146" i="11"/>
  <c r="R146" i="11"/>
  <c r="F146" i="11"/>
  <c r="Q146" i="11"/>
  <c r="AK146" i="11"/>
  <c r="G152" i="11"/>
  <c r="Z152" i="11"/>
  <c r="Y155" i="15"/>
  <c r="X155" i="15"/>
  <c r="O156" i="12"/>
  <c r="C156" i="12"/>
  <c r="D156" i="12" s="1"/>
  <c r="F156" i="12"/>
  <c r="I156" i="12"/>
  <c r="L156" i="12"/>
  <c r="AD155" i="11"/>
  <c r="R155" i="11"/>
  <c r="Q155" i="5" s="1"/>
  <c r="F155" i="11"/>
  <c r="AC155" i="11"/>
  <c r="Q155" i="11"/>
  <c r="E155" i="11"/>
  <c r="AB155" i="5" s="1"/>
  <c r="AB155" i="11"/>
  <c r="P155" i="11"/>
  <c r="D155" i="11"/>
  <c r="AJ155" i="11"/>
  <c r="X155" i="11"/>
  <c r="L155" i="11"/>
  <c r="T155" i="11"/>
  <c r="AK155" i="11"/>
  <c r="K160" i="11"/>
  <c r="AB160" i="11"/>
  <c r="I161" i="11"/>
  <c r="Z161" i="11"/>
  <c r="K171" i="11"/>
  <c r="AA171" i="11"/>
  <c r="K173" i="11"/>
  <c r="AF173" i="11"/>
  <c r="M174" i="11"/>
  <c r="AK174" i="11"/>
  <c r="X176" i="15"/>
  <c r="Y176" i="15"/>
  <c r="F177" i="12"/>
  <c r="I177" i="12"/>
  <c r="L177" i="12"/>
  <c r="O177" i="12"/>
  <c r="C177" i="12"/>
  <c r="D177" i="12" s="1"/>
  <c r="AJ176" i="11"/>
  <c r="X176" i="11"/>
  <c r="L176" i="11"/>
  <c r="AI176" i="11"/>
  <c r="W176" i="11"/>
  <c r="K176" i="11"/>
  <c r="AH176" i="11"/>
  <c r="V176" i="11"/>
  <c r="J176" i="11"/>
  <c r="M176" i="5" s="1"/>
  <c r="AD176" i="11"/>
  <c r="R176" i="11"/>
  <c r="F176" i="11"/>
  <c r="AC176" i="11"/>
  <c r="Q176" i="11"/>
  <c r="E176" i="11"/>
  <c r="AB176" i="11"/>
  <c r="P176" i="11"/>
  <c r="D176" i="11"/>
  <c r="Y176" i="11"/>
  <c r="D176" i="13" s="1"/>
  <c r="E177" i="12" s="1"/>
  <c r="Y105" i="15"/>
  <c r="X105" i="15"/>
  <c r="L106" i="12"/>
  <c r="F106" i="12"/>
  <c r="C106" i="12"/>
  <c r="O106" i="12"/>
  <c r="I106" i="12"/>
  <c r="AG105" i="11"/>
  <c r="U105" i="11"/>
  <c r="I105" i="11"/>
  <c r="N105" i="11"/>
  <c r="AA105" i="11"/>
  <c r="G113" i="11"/>
  <c r="C115" i="1" s="1"/>
  <c r="V113" i="11"/>
  <c r="AL113" i="11"/>
  <c r="I116" i="11"/>
  <c r="Z116" i="11"/>
  <c r="Y120" i="15"/>
  <c r="X120" i="15"/>
  <c r="I121" i="12"/>
  <c r="L121" i="12"/>
  <c r="O121" i="12"/>
  <c r="F121" i="12"/>
  <c r="C121" i="12"/>
  <c r="D121" i="12" s="1"/>
  <c r="AB120" i="11"/>
  <c r="P120" i="11"/>
  <c r="D120" i="11"/>
  <c r="AA120" i="11"/>
  <c r="O120" i="11"/>
  <c r="C120" i="11"/>
  <c r="AH120" i="11"/>
  <c r="V120" i="11"/>
  <c r="J120" i="11"/>
  <c r="R120" i="11"/>
  <c r="AG120" i="11"/>
  <c r="I125" i="11"/>
  <c r="Y125" i="11"/>
  <c r="F129" i="11"/>
  <c r="W129" i="11"/>
  <c r="G131" i="1" s="1"/>
  <c r="AL129" i="11"/>
  <c r="J131" i="11"/>
  <c r="M131" i="5" s="1"/>
  <c r="Z131" i="11"/>
  <c r="Y136" i="15"/>
  <c r="X136" i="15"/>
  <c r="O137" i="12"/>
  <c r="L137" i="12"/>
  <c r="F137" i="12"/>
  <c r="I137" i="12"/>
  <c r="C137" i="12"/>
  <c r="D137" i="12" s="1"/>
  <c r="AF136" i="11"/>
  <c r="T136" i="11"/>
  <c r="H136" i="11"/>
  <c r="AE136" i="11"/>
  <c r="S136" i="11"/>
  <c r="G136" i="11"/>
  <c r="AL136" i="11"/>
  <c r="Z136" i="11"/>
  <c r="N136" i="11"/>
  <c r="B136" i="11"/>
  <c r="Q136" i="11"/>
  <c r="AH136" i="11"/>
  <c r="K142" i="11"/>
  <c r="AB142" i="11"/>
  <c r="D146" i="11"/>
  <c r="U146" i="11"/>
  <c r="M152" i="11"/>
  <c r="AC152" i="11"/>
  <c r="K153" i="11"/>
  <c r="AA153" i="11"/>
  <c r="I154" i="11"/>
  <c r="Y154" i="11"/>
  <c r="D154" i="13" s="1"/>
  <c r="E155" i="12" s="1"/>
  <c r="G155" i="11"/>
  <c r="C157" i="1" s="1"/>
  <c r="W155" i="11"/>
  <c r="O160" i="11"/>
  <c r="AH160" i="11"/>
  <c r="M161" i="11"/>
  <c r="AF161" i="11"/>
  <c r="K162" i="11"/>
  <c r="AD162" i="11"/>
  <c r="H164" i="11"/>
  <c r="AA164" i="11"/>
  <c r="F165" i="11"/>
  <c r="Y165" i="11"/>
  <c r="N171" i="11"/>
  <c r="O171" i="5" s="1"/>
  <c r="AE171" i="11"/>
  <c r="M172" i="11"/>
  <c r="AH172" i="11"/>
  <c r="O173" i="11"/>
  <c r="AK173" i="11"/>
  <c r="S174" i="11"/>
  <c r="G176" i="11"/>
  <c r="C178" i="1" s="1"/>
  <c r="AE176" i="11"/>
  <c r="Q177" i="11"/>
  <c r="AB185" i="11"/>
  <c r="X188" i="15"/>
  <c r="Y188" i="15"/>
  <c r="F189" i="12"/>
  <c r="O189" i="12"/>
  <c r="C189" i="12"/>
  <c r="D189" i="12" s="1"/>
  <c r="I189" i="12"/>
  <c r="AJ188" i="11"/>
  <c r="X188" i="11"/>
  <c r="L188" i="11"/>
  <c r="AG188" i="11"/>
  <c r="U188" i="11"/>
  <c r="I188" i="11"/>
  <c r="L189" i="12"/>
  <c r="AF188" i="11"/>
  <c r="R188" i="11"/>
  <c r="Q188" i="5" s="1"/>
  <c r="D188" i="11"/>
  <c r="AA188" i="11"/>
  <c r="K188" i="11"/>
  <c r="AH188" i="11"/>
  <c r="Q188" i="11"/>
  <c r="B188" i="11"/>
  <c r="T188" i="11"/>
  <c r="X189" i="15"/>
  <c r="Y189" i="15"/>
  <c r="L190" i="12"/>
  <c r="O190" i="12"/>
  <c r="F190" i="12"/>
  <c r="I190" i="12"/>
  <c r="C190" i="12"/>
  <c r="D190" i="12" s="1"/>
  <c r="AH189" i="11"/>
  <c r="V189" i="11"/>
  <c r="J189" i="11"/>
  <c r="AE189" i="11"/>
  <c r="S189" i="11"/>
  <c r="G189" i="11"/>
  <c r="AL189" i="11"/>
  <c r="X189" i="11"/>
  <c r="I189" i="11"/>
  <c r="AG189" i="11"/>
  <c r="AK189" i="11"/>
  <c r="T189" i="11"/>
  <c r="D189" i="11"/>
  <c r="AA189" i="11"/>
  <c r="L189" i="11"/>
  <c r="R189" i="11"/>
  <c r="Y193" i="15"/>
  <c r="X193" i="15"/>
  <c r="I194" i="12"/>
  <c r="L194" i="12"/>
  <c r="F194" i="12"/>
  <c r="AL193" i="11"/>
  <c r="Z193" i="11"/>
  <c r="N193" i="11"/>
  <c r="B193" i="11"/>
  <c r="O194" i="12"/>
  <c r="AI193" i="11"/>
  <c r="W193" i="11"/>
  <c r="K193" i="11"/>
  <c r="C194" i="12"/>
  <c r="D194" i="12" s="1"/>
  <c r="AC193" i="11"/>
  <c r="O193" i="11"/>
  <c r="X193" i="11"/>
  <c r="I193" i="11"/>
  <c r="AE193" i="11"/>
  <c r="M193" i="11"/>
  <c r="U193" i="11"/>
  <c r="E193" i="11"/>
  <c r="AB193" i="5" s="1"/>
  <c r="AK193" i="11"/>
  <c r="T193" i="11"/>
  <c r="D193" i="11"/>
  <c r="Y193" i="11"/>
  <c r="F193" i="13" s="1"/>
  <c r="K194" i="12" s="1"/>
  <c r="M194" i="12" s="1"/>
  <c r="Z195" i="11"/>
  <c r="R7" i="12"/>
  <c r="Z7" i="12"/>
  <c r="W7" i="12"/>
  <c r="X7" i="12"/>
  <c r="T7" i="12"/>
  <c r="S7" i="12"/>
  <c r="Q7" i="12"/>
  <c r="AC7" i="12"/>
  <c r="AB7" i="12"/>
  <c r="W11" i="12"/>
  <c r="V35" i="12"/>
  <c r="R35" i="12"/>
  <c r="AA35" i="12"/>
  <c r="AB35" i="12"/>
  <c r="Z35" i="12"/>
  <c r="T35" i="12"/>
  <c r="S35" i="12"/>
  <c r="Y35" i="12"/>
  <c r="M178" i="11"/>
  <c r="Y179" i="15"/>
  <c r="X179" i="15"/>
  <c r="O180" i="12"/>
  <c r="C180" i="12"/>
  <c r="D180" i="12" s="1"/>
  <c r="I180" i="12"/>
  <c r="F180" i="12"/>
  <c r="L180" i="12"/>
  <c r="AA179" i="11"/>
  <c r="O179" i="11"/>
  <c r="C179" i="11"/>
  <c r="N179" i="11"/>
  <c r="O179" i="5" s="1"/>
  <c r="AB179" i="11"/>
  <c r="C181" i="11"/>
  <c r="R181" i="11"/>
  <c r="AF181" i="11"/>
  <c r="N183" i="11"/>
  <c r="X186" i="15"/>
  <c r="Y186" i="15"/>
  <c r="O187" i="12"/>
  <c r="C187" i="12"/>
  <c r="D187" i="12" s="1"/>
  <c r="F187" i="12"/>
  <c r="I187" i="12"/>
  <c r="L187" i="12"/>
  <c r="AB186" i="11"/>
  <c r="P186" i="11"/>
  <c r="D186" i="11"/>
  <c r="Z186" i="11"/>
  <c r="AD186" i="11"/>
  <c r="O186" i="11"/>
  <c r="B186" i="11"/>
  <c r="AI186" i="11"/>
  <c r="U186" i="11"/>
  <c r="H186" i="11"/>
  <c r="R186" i="11"/>
  <c r="AH186" i="11"/>
  <c r="C188" i="11"/>
  <c r="V188" i="11"/>
  <c r="B189" i="11"/>
  <c r="U189" i="11"/>
  <c r="C190" i="11"/>
  <c r="Z190" i="11"/>
  <c r="C193" i="11"/>
  <c r="AA193" i="11"/>
  <c r="F194" i="13"/>
  <c r="K195" i="12" s="1"/>
  <c r="M195" i="12" s="1"/>
  <c r="D194" i="13"/>
  <c r="E194" i="13"/>
  <c r="H195" i="12" s="1"/>
  <c r="G194" i="13"/>
  <c r="C195" i="11"/>
  <c r="AA195" i="11"/>
  <c r="AA10" i="12"/>
  <c r="W10" i="12"/>
  <c r="T10" i="12"/>
  <c r="AC10" i="12"/>
  <c r="Y10" i="12"/>
  <c r="X10" i="12"/>
  <c r="V10" i="12"/>
  <c r="AB10" i="12"/>
  <c r="AA34" i="12"/>
  <c r="W34" i="12"/>
  <c r="T34" i="12"/>
  <c r="AC34" i="12"/>
  <c r="Y34" i="12"/>
  <c r="X34" i="12"/>
  <c r="Q34" i="12"/>
  <c r="AB34" i="12"/>
  <c r="Z34" i="12"/>
  <c r="AC35" i="12"/>
  <c r="D84" i="12"/>
  <c r="AC122" i="12"/>
  <c r="Q122" i="12"/>
  <c r="AB122" i="12"/>
  <c r="AA122" i="12"/>
  <c r="Z122" i="12"/>
  <c r="Y122" i="12"/>
  <c r="X122" i="12"/>
  <c r="W122" i="12"/>
  <c r="V122" i="12"/>
  <c r="U122" i="12"/>
  <c r="S122" i="12"/>
  <c r="R122" i="12"/>
  <c r="T122" i="12"/>
  <c r="Y178" i="15"/>
  <c r="X178" i="15"/>
  <c r="L179" i="12"/>
  <c r="I179" i="12"/>
  <c r="F179" i="12"/>
  <c r="O179" i="12"/>
  <c r="C179" i="12"/>
  <c r="D179" i="12" s="1"/>
  <c r="AC178" i="11"/>
  <c r="Q178" i="11"/>
  <c r="E178" i="11"/>
  <c r="AB178" i="5" s="1"/>
  <c r="N178" i="11"/>
  <c r="AA178" i="11"/>
  <c r="E181" i="11"/>
  <c r="S181" i="11"/>
  <c r="AG181" i="11"/>
  <c r="Y183" i="15"/>
  <c r="X183" i="15"/>
  <c r="F184" i="12"/>
  <c r="C184" i="12"/>
  <c r="D184" i="12" s="1"/>
  <c r="O184" i="12"/>
  <c r="I184" i="12"/>
  <c r="L184" i="12"/>
  <c r="AE183" i="11"/>
  <c r="S183" i="11"/>
  <c r="G183" i="11"/>
  <c r="AJ183" i="11"/>
  <c r="X183" i="11"/>
  <c r="L183" i="11"/>
  <c r="O183" i="11"/>
  <c r="AC183" i="11"/>
  <c r="E188" i="11"/>
  <c r="AB188" i="5" s="1"/>
  <c r="W188" i="11"/>
  <c r="C189" i="11"/>
  <c r="W189" i="11"/>
  <c r="D190" i="11"/>
  <c r="AA190" i="11"/>
  <c r="F193" i="11"/>
  <c r="AB193" i="11"/>
  <c r="F195" i="11"/>
  <c r="AB195" i="11"/>
  <c r="V11" i="12"/>
  <c r="R11" i="12"/>
  <c r="AA11" i="12"/>
  <c r="AB11" i="12"/>
  <c r="Z11" i="12"/>
  <c r="Q11" i="12"/>
  <c r="Y11" i="12"/>
  <c r="X11" i="12"/>
  <c r="B178" i="11"/>
  <c r="O178" i="11"/>
  <c r="AB178" i="11"/>
  <c r="D179" i="11"/>
  <c r="Q179" i="11"/>
  <c r="AD179" i="11"/>
  <c r="F181" i="11"/>
  <c r="T181" i="11"/>
  <c r="AH181" i="11"/>
  <c r="K182" i="11"/>
  <c r="B183" i="11"/>
  <c r="P183" i="11"/>
  <c r="AD183" i="11"/>
  <c r="E186" i="11"/>
  <c r="T186" i="11"/>
  <c r="AK186" i="11"/>
  <c r="F188" i="11"/>
  <c r="Y188" i="11"/>
  <c r="D188" i="13" s="1"/>
  <c r="E189" i="12" s="1"/>
  <c r="E189" i="11"/>
  <c r="Y189" i="11"/>
  <c r="E189" i="13" s="1"/>
  <c r="H190" i="12" s="1"/>
  <c r="G190" i="11"/>
  <c r="C192" i="1" s="1"/>
  <c r="AD190" i="11"/>
  <c r="G193" i="11"/>
  <c r="AD193" i="11"/>
  <c r="H195" i="11"/>
  <c r="AF195" i="11"/>
  <c r="X49" i="12"/>
  <c r="T49" i="12"/>
  <c r="AC49" i="12"/>
  <c r="Q49" i="12"/>
  <c r="Y49" i="12"/>
  <c r="U49" i="12"/>
  <c r="S49" i="12"/>
  <c r="R49" i="12"/>
  <c r="AB49" i="12"/>
  <c r="AA49" i="12"/>
  <c r="S107" i="12"/>
  <c r="R107" i="12"/>
  <c r="W107" i="12"/>
  <c r="V107" i="12"/>
  <c r="U107" i="12"/>
  <c r="T107" i="12"/>
  <c r="Q107" i="12"/>
  <c r="AB107" i="12"/>
  <c r="AA107" i="12"/>
  <c r="AC107" i="12"/>
  <c r="Z107" i="12"/>
  <c r="Y107" i="12"/>
  <c r="X107" i="12"/>
  <c r="X147" i="12"/>
  <c r="W147" i="12"/>
  <c r="AB147" i="12"/>
  <c r="S147" i="12"/>
  <c r="Q147" i="12"/>
  <c r="Z147" i="12"/>
  <c r="R147" i="12"/>
  <c r="V147" i="12"/>
  <c r="U147" i="12"/>
  <c r="T147" i="12"/>
  <c r="AC147" i="12"/>
  <c r="AA147" i="12"/>
  <c r="Y147" i="12"/>
  <c r="G178" i="11"/>
  <c r="T178" i="11"/>
  <c r="AG178" i="11"/>
  <c r="H179" i="11"/>
  <c r="U179" i="11"/>
  <c r="AH179" i="11"/>
  <c r="J181" i="11"/>
  <c r="M181" i="5" s="1"/>
  <c r="Y181" i="11"/>
  <c r="Y182" i="15"/>
  <c r="X182" i="15"/>
  <c r="L183" i="12"/>
  <c r="I183" i="12"/>
  <c r="F183" i="12"/>
  <c r="O183" i="12"/>
  <c r="C183" i="12"/>
  <c r="D183" i="12" s="1"/>
  <c r="AG182" i="11"/>
  <c r="U182" i="11"/>
  <c r="I182" i="11"/>
  <c r="AL182" i="11"/>
  <c r="Z182" i="11"/>
  <c r="N182" i="11"/>
  <c r="B182" i="11"/>
  <c r="P182" i="11"/>
  <c r="AD182" i="11"/>
  <c r="F183" i="11"/>
  <c r="U183" i="11"/>
  <c r="AI183" i="11"/>
  <c r="J186" i="11"/>
  <c r="M186" i="5" s="1"/>
  <c r="Y186" i="11"/>
  <c r="G186" i="13" s="1"/>
  <c r="M188" i="11"/>
  <c r="AD188" i="11"/>
  <c r="M189" i="11"/>
  <c r="AD189" i="11"/>
  <c r="M190" i="11"/>
  <c r="AJ190" i="11"/>
  <c r="P193" i="11"/>
  <c r="AJ193" i="11"/>
  <c r="P195" i="11"/>
  <c r="AL195" i="11"/>
  <c r="G197" i="13"/>
  <c r="D197" i="13"/>
  <c r="V23" i="12"/>
  <c r="R23" i="12"/>
  <c r="AA23" i="12"/>
  <c r="X23" i="12"/>
  <c r="T23" i="12"/>
  <c r="S23" i="12"/>
  <c r="U23" i="12"/>
  <c r="Q23" i="12"/>
  <c r="AB23" i="12"/>
  <c r="S62" i="12"/>
  <c r="AA62" i="12"/>
  <c r="X62" i="12"/>
  <c r="U62" i="12"/>
  <c r="T62" i="12"/>
  <c r="R62" i="12"/>
  <c r="AC62" i="12"/>
  <c r="AB62" i="12"/>
  <c r="W62" i="12"/>
  <c r="V62" i="12"/>
  <c r="R141" i="12"/>
  <c r="AC141" i="12"/>
  <c r="Q141" i="12"/>
  <c r="W141" i="12"/>
  <c r="U141" i="12"/>
  <c r="AA141" i="12"/>
  <c r="AB141" i="12"/>
  <c r="Z141" i="12"/>
  <c r="D141" i="12"/>
  <c r="Y141" i="12"/>
  <c r="V141" i="12"/>
  <c r="T141" i="12"/>
  <c r="S141" i="12"/>
  <c r="X141" i="12"/>
  <c r="Y103" i="15"/>
  <c r="X103" i="15"/>
  <c r="I104" i="12"/>
  <c r="F104" i="12"/>
  <c r="C104" i="12"/>
  <c r="D104" i="12" s="1"/>
  <c r="O104" i="12"/>
  <c r="L104" i="12"/>
  <c r="M103" i="11"/>
  <c r="Y103" i="11"/>
  <c r="D103" i="13" s="1"/>
  <c r="AK103" i="11"/>
  <c r="Y109" i="15"/>
  <c r="X109" i="15"/>
  <c r="O110" i="12"/>
  <c r="C110" i="12"/>
  <c r="D110" i="12" s="1"/>
  <c r="F110" i="12"/>
  <c r="L110" i="12"/>
  <c r="I110" i="12"/>
  <c r="M109" i="11"/>
  <c r="Y109" i="11"/>
  <c r="E109" i="13" s="1"/>
  <c r="AK109" i="11"/>
  <c r="Y115" i="15"/>
  <c r="X115" i="15"/>
  <c r="I116" i="12"/>
  <c r="O116" i="12"/>
  <c r="L116" i="12"/>
  <c r="F116" i="12"/>
  <c r="M115" i="11"/>
  <c r="Y115" i="11"/>
  <c r="G115" i="13" s="1"/>
  <c r="AK115" i="11"/>
  <c r="Y121" i="15"/>
  <c r="X121" i="15"/>
  <c r="L122" i="12"/>
  <c r="I122" i="12"/>
  <c r="F122" i="12"/>
  <c r="C122" i="12"/>
  <c r="D122" i="12" s="1"/>
  <c r="O122" i="12"/>
  <c r="M121" i="11"/>
  <c r="Y121" i="11"/>
  <c r="AK121" i="11"/>
  <c r="Y127" i="15"/>
  <c r="X127" i="15"/>
  <c r="C128" i="12"/>
  <c r="D128" i="12" s="1"/>
  <c r="O128" i="12"/>
  <c r="F128" i="12"/>
  <c r="L128" i="12"/>
  <c r="I128" i="12"/>
  <c r="M127" i="11"/>
  <c r="Y127" i="11"/>
  <c r="E127" i="13" s="1"/>
  <c r="AK127" i="11"/>
  <c r="Y133" i="15"/>
  <c r="X133" i="15"/>
  <c r="I134" i="12"/>
  <c r="F134" i="12"/>
  <c r="L134" i="12"/>
  <c r="C134" i="12"/>
  <c r="D134" i="12" s="1"/>
  <c r="O134" i="12"/>
  <c r="M133" i="11"/>
  <c r="Y133" i="11"/>
  <c r="AK133" i="11"/>
  <c r="Y139" i="15"/>
  <c r="X139" i="15"/>
  <c r="C140" i="12"/>
  <c r="D140" i="12" s="1"/>
  <c r="F140" i="12"/>
  <c r="O140" i="12"/>
  <c r="I140" i="12"/>
  <c r="L140" i="12"/>
  <c r="M139" i="11"/>
  <c r="Y139" i="11"/>
  <c r="F139" i="13" s="1"/>
  <c r="AK139" i="11"/>
  <c r="Y145" i="15"/>
  <c r="X145" i="15"/>
  <c r="F146" i="12"/>
  <c r="O146" i="12"/>
  <c r="L146" i="12"/>
  <c r="I146" i="12"/>
  <c r="C146" i="12"/>
  <c r="M145" i="11"/>
  <c r="Y145" i="11"/>
  <c r="AK145" i="11"/>
  <c r="X151" i="15"/>
  <c r="Y151" i="15"/>
  <c r="O152" i="12"/>
  <c r="F152" i="12"/>
  <c r="C152" i="12"/>
  <c r="D152" i="12" s="1"/>
  <c r="L152" i="12"/>
  <c r="I152" i="12"/>
  <c r="M151" i="11"/>
  <c r="Y151" i="11"/>
  <c r="F151" i="13" s="1"/>
  <c r="AK151" i="11"/>
  <c r="X157" i="15"/>
  <c r="Y157" i="15"/>
  <c r="F158" i="12"/>
  <c r="I158" i="12"/>
  <c r="C158" i="12"/>
  <c r="O158" i="12"/>
  <c r="L158" i="12"/>
  <c r="M157" i="11"/>
  <c r="Y157" i="11"/>
  <c r="AK157" i="11"/>
  <c r="Y163" i="15"/>
  <c r="X163" i="15"/>
  <c r="O164" i="12"/>
  <c r="F164" i="12"/>
  <c r="I164" i="12"/>
  <c r="C164" i="12"/>
  <c r="M163" i="11"/>
  <c r="Y163" i="11"/>
  <c r="AK163" i="11"/>
  <c r="Y169" i="15"/>
  <c r="X169" i="15"/>
  <c r="L170" i="12"/>
  <c r="C170" i="12"/>
  <c r="D170" i="12" s="1"/>
  <c r="O170" i="12"/>
  <c r="I170" i="12"/>
  <c r="F170" i="12"/>
  <c r="M169" i="11"/>
  <c r="Y169" i="11"/>
  <c r="AK169" i="11"/>
  <c r="Y175" i="15"/>
  <c r="X175" i="15"/>
  <c r="O176" i="12"/>
  <c r="I176" i="12"/>
  <c r="L176" i="12"/>
  <c r="F176" i="12"/>
  <c r="C176" i="12"/>
  <c r="D176" i="12" s="1"/>
  <c r="M175" i="11"/>
  <c r="Y175" i="11"/>
  <c r="AK175" i="11"/>
  <c r="H178" i="11"/>
  <c r="U178" i="11"/>
  <c r="AH178" i="11"/>
  <c r="I179" i="11"/>
  <c r="V179" i="11"/>
  <c r="Q179" i="5" s="1"/>
  <c r="AI179" i="11"/>
  <c r="L181" i="11"/>
  <c r="Z181" i="11"/>
  <c r="C182" i="11"/>
  <c r="Q182" i="11"/>
  <c r="AE182" i="11"/>
  <c r="H183" i="11"/>
  <c r="V183" i="11"/>
  <c r="Q183" i="5" s="1"/>
  <c r="AK183" i="11"/>
  <c r="K186" i="11"/>
  <c r="AA186" i="11"/>
  <c r="N188" i="11"/>
  <c r="AE188" i="11"/>
  <c r="N189" i="11"/>
  <c r="AF189" i="11"/>
  <c r="O190" i="11"/>
  <c r="E192" i="1" s="1"/>
  <c r="AK190" i="11"/>
  <c r="Q193" i="11"/>
  <c r="Q195" i="11"/>
  <c r="U7" i="12"/>
  <c r="Q10" i="12"/>
  <c r="AB17" i="12"/>
  <c r="X17" i="12"/>
  <c r="U17" i="12"/>
  <c r="AA17" i="12"/>
  <c r="W17" i="12"/>
  <c r="V17" i="12"/>
  <c r="Z17" i="12"/>
  <c r="Y17" i="12"/>
  <c r="W18" i="12"/>
  <c r="S18" i="12"/>
  <c r="AB18" i="12"/>
  <c r="Z18" i="12"/>
  <c r="Y18" i="12"/>
  <c r="AC18" i="12"/>
  <c r="R18" i="12"/>
  <c r="Q18" i="12"/>
  <c r="AA18" i="12"/>
  <c r="AC23" i="12"/>
  <c r="R34" i="12"/>
  <c r="Q35" i="12"/>
  <c r="AB77" i="12"/>
  <c r="X77" i="12"/>
  <c r="U77" i="12"/>
  <c r="T77" i="12"/>
  <c r="Z77" i="12"/>
  <c r="Y77" i="12"/>
  <c r="W77" i="12"/>
  <c r="V77" i="12"/>
  <c r="S77" i="12"/>
  <c r="AC77" i="12"/>
  <c r="AA77" i="12"/>
  <c r="R77" i="12"/>
  <c r="Q77" i="12"/>
  <c r="I178" i="11"/>
  <c r="V178" i="11"/>
  <c r="Q178" i="5" s="1"/>
  <c r="AI178" i="11"/>
  <c r="J179" i="11"/>
  <c r="W179" i="11"/>
  <c r="AJ179" i="11"/>
  <c r="M181" i="11"/>
  <c r="D182" i="11"/>
  <c r="R182" i="11"/>
  <c r="Q182" i="5" s="1"/>
  <c r="AF182" i="11"/>
  <c r="I183" i="11"/>
  <c r="W183" i="11"/>
  <c r="AL183" i="11"/>
  <c r="L186" i="11"/>
  <c r="AC186" i="11"/>
  <c r="O188" i="11"/>
  <c r="AI188" i="11"/>
  <c r="O189" i="11"/>
  <c r="AI189" i="11"/>
  <c r="Y191" i="15"/>
  <c r="X191" i="15"/>
  <c r="O192" i="12"/>
  <c r="C192" i="12"/>
  <c r="D192" i="12" s="1"/>
  <c r="I192" i="12"/>
  <c r="L192" i="12"/>
  <c r="AD191" i="11"/>
  <c r="R191" i="11"/>
  <c r="F191" i="11"/>
  <c r="AA191" i="11"/>
  <c r="O191" i="11"/>
  <c r="C191" i="11"/>
  <c r="F192" i="12"/>
  <c r="AH191" i="11"/>
  <c r="T191" i="11"/>
  <c r="E191" i="11"/>
  <c r="AB191" i="5" s="1"/>
  <c r="AC191" i="11"/>
  <c r="N191" i="11"/>
  <c r="AE191" i="11"/>
  <c r="L191" i="11"/>
  <c r="AL191" i="11"/>
  <c r="V191" i="11"/>
  <c r="D191" i="11"/>
  <c r="AK191" i="11"/>
  <c r="U191" i="11"/>
  <c r="B191" i="11"/>
  <c r="Y191" i="11"/>
  <c r="D191" i="13" s="1"/>
  <c r="E192" i="12" s="1"/>
  <c r="R193" i="11"/>
  <c r="Z3" i="12"/>
  <c r="V7" i="12"/>
  <c r="R10" i="12"/>
  <c r="S11" i="12"/>
  <c r="S34" i="12"/>
  <c r="U35" i="12"/>
  <c r="V49" i="12"/>
  <c r="Z51" i="12"/>
  <c r="V51" i="12"/>
  <c r="S51" i="12"/>
  <c r="AC51" i="12"/>
  <c r="Y51" i="12"/>
  <c r="X51" i="12"/>
  <c r="W51" i="12"/>
  <c r="T51" i="12"/>
  <c r="R51" i="12"/>
  <c r="Q51" i="12"/>
  <c r="Q62" i="12"/>
  <c r="F179" i="13"/>
  <c r="D179" i="13"/>
  <c r="G179" i="13"/>
  <c r="E179" i="13"/>
  <c r="H180" i="12" s="1"/>
  <c r="Y181" i="15"/>
  <c r="X181" i="15"/>
  <c r="C182" i="12"/>
  <c r="D182" i="12" s="1"/>
  <c r="O182" i="12"/>
  <c r="F182" i="12"/>
  <c r="L182" i="12"/>
  <c r="I182" i="12"/>
  <c r="AI181" i="11"/>
  <c r="W181" i="11"/>
  <c r="K181" i="11"/>
  <c r="AB181" i="11"/>
  <c r="P181" i="11"/>
  <c r="D181" i="11"/>
  <c r="O181" i="11"/>
  <c r="AD181" i="11"/>
  <c r="S188" i="11"/>
  <c r="AL188" i="11"/>
  <c r="Q189" i="11"/>
  <c r="X190" i="15"/>
  <c r="Y190" i="15"/>
  <c r="I191" i="12"/>
  <c r="L191" i="12"/>
  <c r="C191" i="12"/>
  <c r="D191" i="12" s="1"/>
  <c r="O191" i="12"/>
  <c r="F191" i="12"/>
  <c r="AF190" i="11"/>
  <c r="T190" i="11"/>
  <c r="H190" i="11"/>
  <c r="AC190" i="11"/>
  <c r="Q190" i="11"/>
  <c r="E190" i="11"/>
  <c r="AB190" i="11"/>
  <c r="N190" i="11"/>
  <c r="O190" i="5" s="1"/>
  <c r="AL190" i="11"/>
  <c r="X190" i="11"/>
  <c r="J190" i="11"/>
  <c r="M190" i="5" s="1"/>
  <c r="AH190" i="11"/>
  <c r="P190" i="11"/>
  <c r="Y190" i="11"/>
  <c r="E190" i="13" s="1"/>
  <c r="H191" i="12" s="1"/>
  <c r="W190" i="11"/>
  <c r="G192" i="1" s="1"/>
  <c r="F190" i="11"/>
  <c r="U190" i="11"/>
  <c r="V193" i="11"/>
  <c r="Y195" i="15"/>
  <c r="X195" i="15"/>
  <c r="F196" i="12"/>
  <c r="C196" i="12"/>
  <c r="D196" i="12" s="1"/>
  <c r="L196" i="12"/>
  <c r="I196" i="12"/>
  <c r="AH195" i="11"/>
  <c r="V195" i="11"/>
  <c r="Q195" i="5" s="1"/>
  <c r="J195" i="11"/>
  <c r="AE195" i="11"/>
  <c r="S195" i="11"/>
  <c r="F197" i="1" s="1"/>
  <c r="G195" i="11"/>
  <c r="C197" i="1" s="1"/>
  <c r="Y195" i="11"/>
  <c r="F195" i="13" s="1"/>
  <c r="K196" i="12" s="1"/>
  <c r="K195" i="11"/>
  <c r="D197" i="1" s="1"/>
  <c r="AI195" i="11"/>
  <c r="T195" i="11"/>
  <c r="E195" i="11"/>
  <c r="AB195" i="5" s="1"/>
  <c r="W195" i="11"/>
  <c r="G197" i="1" s="1"/>
  <c r="D195" i="11"/>
  <c r="AD195" i="11"/>
  <c r="N195" i="11"/>
  <c r="O195" i="5" s="1"/>
  <c r="AC195" i="11"/>
  <c r="M195" i="11"/>
  <c r="X195" i="11"/>
  <c r="AA7" i="12"/>
  <c r="U10" i="12"/>
  <c r="U11" i="12"/>
  <c r="X35" i="12"/>
  <c r="D59" i="12"/>
  <c r="Z27" i="12"/>
  <c r="V27" i="12"/>
  <c r="S27" i="12"/>
  <c r="AA27" i="12"/>
  <c r="Y27" i="12"/>
  <c r="T27" i="12"/>
  <c r="AB29" i="12"/>
  <c r="D29" i="12"/>
  <c r="X29" i="12"/>
  <c r="U29" i="12"/>
  <c r="S29" i="12"/>
  <c r="V29" i="12"/>
  <c r="Q41" i="12"/>
  <c r="T50" i="12"/>
  <c r="X13" i="12"/>
  <c r="T13" i="12"/>
  <c r="AC13" i="12"/>
  <c r="Q13" i="12"/>
  <c r="R13" i="12"/>
  <c r="AB13" i="12"/>
  <c r="U13" i="12"/>
  <c r="Z15" i="12"/>
  <c r="V15" i="12"/>
  <c r="S15" i="12"/>
  <c r="W15" i="12"/>
  <c r="R15" i="12"/>
  <c r="Q15" i="12"/>
  <c r="U15" i="12"/>
  <c r="R31" i="12"/>
  <c r="Z31" i="12"/>
  <c r="W31" i="12"/>
  <c r="X31" i="12"/>
  <c r="T31" i="12"/>
  <c r="S31" i="12"/>
  <c r="V31" i="12"/>
  <c r="AA46" i="12"/>
  <c r="W46" i="12"/>
  <c r="T46" i="12"/>
  <c r="S46" i="12"/>
  <c r="V46" i="12"/>
  <c r="AA58" i="12"/>
  <c r="W58" i="12"/>
  <c r="T58" i="12"/>
  <c r="AB58" i="12"/>
  <c r="Z58" i="12"/>
  <c r="V58" i="12"/>
  <c r="U58" i="12"/>
  <c r="S58" i="12"/>
  <c r="V59" i="12"/>
  <c r="R59" i="12"/>
  <c r="AA59" i="12"/>
  <c r="AC59" i="12"/>
  <c r="Y59" i="12"/>
  <c r="X59" i="12"/>
  <c r="W59" i="12"/>
  <c r="AB59" i="12"/>
  <c r="W66" i="12"/>
  <c r="S66" i="12"/>
  <c r="AB66" i="12"/>
  <c r="AC66" i="12"/>
  <c r="AA66" i="12"/>
  <c r="X66" i="12"/>
  <c r="V66" i="12"/>
  <c r="U66" i="12"/>
  <c r="S50" i="12"/>
  <c r="AA50" i="12"/>
  <c r="X50" i="12"/>
  <c r="AB50" i="12"/>
  <c r="W50" i="12"/>
  <c r="V50" i="12"/>
  <c r="U50" i="12"/>
  <c r="Z50" i="12"/>
  <c r="V71" i="12"/>
  <c r="R71" i="12"/>
  <c r="AA71" i="12"/>
  <c r="Y71" i="12"/>
  <c r="X71" i="12"/>
  <c r="W71" i="12"/>
  <c r="U71" i="12"/>
  <c r="T71" i="12"/>
  <c r="AC71" i="12"/>
  <c r="AB41" i="12"/>
  <c r="X41" i="12"/>
  <c r="U41" i="12"/>
  <c r="AA41" i="12"/>
  <c r="W41" i="12"/>
  <c r="V41" i="12"/>
  <c r="T41" i="12"/>
  <c r="D48" i="12"/>
  <c r="AC50" i="12"/>
  <c r="AB65" i="12"/>
  <c r="X65" i="12"/>
  <c r="U65" i="12"/>
  <c r="AC65" i="12"/>
  <c r="AA65" i="12"/>
  <c r="Z65" i="12"/>
  <c r="Y65" i="12"/>
  <c r="T65" i="12"/>
  <c r="S65" i="12"/>
  <c r="R65" i="12"/>
  <c r="S74" i="12"/>
  <c r="AA74" i="12"/>
  <c r="X74" i="12"/>
  <c r="AC74" i="12"/>
  <c r="AB74" i="12"/>
  <c r="Z74" i="12"/>
  <c r="Y74" i="12"/>
  <c r="U74" i="12"/>
  <c r="T74" i="12"/>
  <c r="D74" i="12"/>
  <c r="R74" i="12"/>
  <c r="AC117" i="12"/>
  <c r="Q117" i="12"/>
  <c r="AB117" i="12"/>
  <c r="AA117" i="12"/>
  <c r="Z117" i="12"/>
  <c r="Y117" i="12"/>
  <c r="X117" i="12"/>
  <c r="W117" i="12"/>
  <c r="U117" i="12"/>
  <c r="T117" i="12"/>
  <c r="V117" i="12"/>
  <c r="S117" i="12"/>
  <c r="R100" i="12"/>
  <c r="AC100" i="12"/>
  <c r="Q100" i="12"/>
  <c r="Z100" i="12"/>
  <c r="Y100" i="12"/>
  <c r="X100" i="12"/>
  <c r="W100" i="12"/>
  <c r="V100" i="12"/>
  <c r="U100" i="12"/>
  <c r="S100" i="12"/>
  <c r="AB100" i="12"/>
  <c r="AA100" i="12"/>
  <c r="H59" i="13"/>
  <c r="B60" i="12"/>
  <c r="Y180" i="15"/>
  <c r="X180" i="15"/>
  <c r="I181" i="12"/>
  <c r="F181" i="12"/>
  <c r="O181" i="12"/>
  <c r="L181" i="12"/>
  <c r="C181" i="12"/>
  <c r="D181" i="12" s="1"/>
  <c r="M180" i="11"/>
  <c r="Y180" i="11"/>
  <c r="AK180" i="11"/>
  <c r="U16" i="12"/>
  <c r="AC16" i="12"/>
  <c r="Q16" i="12"/>
  <c r="Z16" i="12"/>
  <c r="X16" i="12"/>
  <c r="T16" i="12"/>
  <c r="S16" i="12"/>
  <c r="W16" i="12"/>
  <c r="W42" i="12"/>
  <c r="S42" i="12"/>
  <c r="AB42" i="12"/>
  <c r="D42" i="12"/>
  <c r="Z42" i="12"/>
  <c r="Y42" i="12"/>
  <c r="U42" i="12"/>
  <c r="U52" i="12"/>
  <c r="AC52" i="12"/>
  <c r="Q52" i="12"/>
  <c r="Z52" i="12"/>
  <c r="AA52" i="12"/>
  <c r="Y52" i="12"/>
  <c r="X52" i="12"/>
  <c r="V52" i="12"/>
  <c r="D57" i="12"/>
  <c r="R66" i="12"/>
  <c r="S71" i="12"/>
  <c r="D116" i="12"/>
  <c r="R55" i="12"/>
  <c r="Z55" i="12"/>
  <c r="W55" i="12"/>
  <c r="Y61" i="12"/>
  <c r="V67" i="12"/>
  <c r="T75" i="12"/>
  <c r="W76" i="12"/>
  <c r="W78" i="12"/>
  <c r="S78" i="12"/>
  <c r="R78" i="12"/>
  <c r="AB78" i="12"/>
  <c r="AA78" i="12"/>
  <c r="V78" i="12"/>
  <c r="Y194" i="15"/>
  <c r="X194" i="15"/>
  <c r="L195" i="12"/>
  <c r="F195" i="12"/>
  <c r="C195" i="12"/>
  <c r="D195" i="12" s="1"/>
  <c r="O195" i="12"/>
  <c r="I195" i="12"/>
  <c r="J195" i="12" s="1"/>
  <c r="AJ194" i="11"/>
  <c r="X194" i="11"/>
  <c r="L194" i="11"/>
  <c r="AG194" i="11"/>
  <c r="U194" i="11"/>
  <c r="I194" i="11"/>
  <c r="O194" i="11"/>
  <c r="AC194" i="11"/>
  <c r="G196" i="13"/>
  <c r="F196" i="13"/>
  <c r="D196" i="13"/>
  <c r="X197" i="15"/>
  <c r="Y197" i="15"/>
  <c r="I198" i="12"/>
  <c r="C198" i="12"/>
  <c r="L198" i="12"/>
  <c r="O198" i="12"/>
  <c r="F198" i="12"/>
  <c r="AD197" i="11"/>
  <c r="R197" i="11"/>
  <c r="F197" i="11"/>
  <c r="AA197" i="11"/>
  <c r="O197" i="11"/>
  <c r="C197" i="11"/>
  <c r="P197" i="11"/>
  <c r="AE197" i="11"/>
  <c r="J199" i="11"/>
  <c r="W30" i="12"/>
  <c r="S30" i="12"/>
  <c r="AB30" i="12"/>
  <c r="Q30" i="12"/>
  <c r="V47" i="12"/>
  <c r="R47" i="12"/>
  <c r="AA47" i="12"/>
  <c r="Q47" i="12"/>
  <c r="Q55" i="12"/>
  <c r="Z61" i="12"/>
  <c r="U64" i="12"/>
  <c r="AC64" i="12"/>
  <c r="Q64" i="12"/>
  <c r="Z64" i="12"/>
  <c r="X67" i="12"/>
  <c r="X73" i="12"/>
  <c r="T73" i="12"/>
  <c r="AC73" i="12"/>
  <c r="Q73" i="12"/>
  <c r="U75" i="12"/>
  <c r="X76" i="12"/>
  <c r="X78" i="12"/>
  <c r="R86" i="12"/>
  <c r="W99" i="12"/>
  <c r="V99" i="12"/>
  <c r="AA99" i="12"/>
  <c r="Z99" i="12"/>
  <c r="Y99" i="12"/>
  <c r="X99" i="12"/>
  <c r="U99" i="12"/>
  <c r="T99" i="12"/>
  <c r="R99" i="12"/>
  <c r="D99" i="12"/>
  <c r="Q99" i="12"/>
  <c r="S160" i="12"/>
  <c r="R160" i="12"/>
  <c r="T160" i="12"/>
  <c r="Y160" i="12"/>
  <c r="W160" i="12"/>
  <c r="X160" i="12"/>
  <c r="AC160" i="12"/>
  <c r="AB160" i="12"/>
  <c r="AA160" i="12"/>
  <c r="Q160" i="12"/>
  <c r="U160" i="12"/>
  <c r="A119" i="15"/>
  <c r="N67" i="13"/>
  <c r="Q67" i="13"/>
  <c r="P67" i="13"/>
  <c r="V67" i="13"/>
  <c r="T67" i="13"/>
  <c r="H67" i="13"/>
  <c r="R67" i="13"/>
  <c r="O67" i="13"/>
  <c r="W67" i="13"/>
  <c r="U67" i="13"/>
  <c r="B67" i="13"/>
  <c r="S67" i="13"/>
  <c r="S14" i="12"/>
  <c r="AA14" i="12"/>
  <c r="X14" i="12"/>
  <c r="Q14" i="12"/>
  <c r="AA22" i="12"/>
  <c r="W22" i="12"/>
  <c r="T22" i="12"/>
  <c r="Q22" i="12"/>
  <c r="S38" i="12"/>
  <c r="AA38" i="12"/>
  <c r="X38" i="12"/>
  <c r="Q38" i="12"/>
  <c r="W54" i="12"/>
  <c r="S54" i="12"/>
  <c r="AB54" i="12"/>
  <c r="Q54" i="12"/>
  <c r="S55" i="12"/>
  <c r="Z63" i="12"/>
  <c r="V63" i="12"/>
  <c r="S63" i="12"/>
  <c r="Y67" i="12"/>
  <c r="W75" i="12"/>
  <c r="AA76" i="12"/>
  <c r="Y78" i="12"/>
  <c r="T86" i="12"/>
  <c r="H6" i="13"/>
  <c r="Y187" i="15"/>
  <c r="X187" i="15"/>
  <c r="O188" i="12"/>
  <c r="C188" i="12"/>
  <c r="L188" i="12"/>
  <c r="I188" i="12"/>
  <c r="F188" i="12"/>
  <c r="G188" i="12" s="1"/>
  <c r="AL187" i="11"/>
  <c r="Z187" i="11"/>
  <c r="N187" i="11"/>
  <c r="B187" i="11"/>
  <c r="AI187" i="11"/>
  <c r="O187" i="11"/>
  <c r="AB187" i="11"/>
  <c r="E194" i="11"/>
  <c r="AB194" i="5" s="1"/>
  <c r="S194" i="11"/>
  <c r="AH194" i="11"/>
  <c r="Y196" i="15"/>
  <c r="X196" i="15"/>
  <c r="O197" i="12"/>
  <c r="I197" i="12"/>
  <c r="L197" i="12"/>
  <c r="F197" i="12"/>
  <c r="C197" i="12"/>
  <c r="D197" i="12" s="1"/>
  <c r="AF196" i="11"/>
  <c r="T196" i="11"/>
  <c r="H196" i="11"/>
  <c r="AC196" i="11"/>
  <c r="Q196" i="11"/>
  <c r="E196" i="11"/>
  <c r="AB196" i="5" s="1"/>
  <c r="O196" i="11"/>
  <c r="AD196" i="11"/>
  <c r="G197" i="11"/>
  <c r="C199" i="1" s="1"/>
  <c r="U197" i="11"/>
  <c r="AI197" i="11"/>
  <c r="Y199" i="15"/>
  <c r="X199" i="15"/>
  <c r="C200" i="12"/>
  <c r="D200" i="12" s="1"/>
  <c r="L200" i="12"/>
  <c r="I200" i="12"/>
  <c r="O200" i="12"/>
  <c r="F200" i="12"/>
  <c r="AL199" i="11"/>
  <c r="Z199" i="11"/>
  <c r="N199" i="11"/>
  <c r="O199" i="5" s="1"/>
  <c r="B199" i="11"/>
  <c r="AI199" i="11"/>
  <c r="W199" i="11"/>
  <c r="K199" i="11"/>
  <c r="P199" i="11"/>
  <c r="AD199" i="11"/>
  <c r="U14" i="12"/>
  <c r="R19" i="12"/>
  <c r="Z19" i="12"/>
  <c r="W19" i="12"/>
  <c r="U22" i="12"/>
  <c r="U28" i="12"/>
  <c r="AC28" i="12"/>
  <c r="Q28" i="12"/>
  <c r="Z28" i="12"/>
  <c r="V30" i="12"/>
  <c r="U38" i="12"/>
  <c r="R43" i="12"/>
  <c r="Z43" i="12"/>
  <c r="W43" i="12"/>
  <c r="W47" i="12"/>
  <c r="U54" i="12"/>
  <c r="V55" i="12"/>
  <c r="D63" i="12"/>
  <c r="T63" i="12"/>
  <c r="V64" i="12"/>
  <c r="AA70" i="12"/>
  <c r="W70" i="12"/>
  <c r="T70" i="12"/>
  <c r="Q70" i="12"/>
  <c r="V73" i="12"/>
  <c r="AA75" i="12"/>
  <c r="X85" i="12"/>
  <c r="V85" i="12"/>
  <c r="U85" i="12"/>
  <c r="T85" i="12"/>
  <c r="S85" i="12"/>
  <c r="AC85" i="12"/>
  <c r="Q85" i="12"/>
  <c r="AB85" i="12"/>
  <c r="AA85" i="12"/>
  <c r="AB98" i="12"/>
  <c r="AA98" i="12"/>
  <c r="Z98" i="12"/>
  <c r="Y98" i="12"/>
  <c r="X98" i="12"/>
  <c r="W98" i="12"/>
  <c r="V98" i="12"/>
  <c r="U98" i="12"/>
  <c r="S98" i="12"/>
  <c r="R98" i="12"/>
  <c r="X61" i="12"/>
  <c r="T61" i="12"/>
  <c r="AC61" i="12"/>
  <c r="Q61" i="12"/>
  <c r="AB75" i="12"/>
  <c r="V83" i="12"/>
  <c r="T83" i="12"/>
  <c r="R83" i="12"/>
  <c r="AC83" i="12"/>
  <c r="Q83" i="12"/>
  <c r="AA83" i="12"/>
  <c r="Z83" i="12"/>
  <c r="X83" i="12"/>
  <c r="S86" i="12"/>
  <c r="AC86" i="12"/>
  <c r="Q86" i="12"/>
  <c r="AB86" i="12"/>
  <c r="AA86" i="12"/>
  <c r="Z86" i="12"/>
  <c r="X86" i="12"/>
  <c r="W86" i="12"/>
  <c r="Z87" i="12"/>
  <c r="X87" i="12"/>
  <c r="W87" i="12"/>
  <c r="V87" i="12"/>
  <c r="U87" i="12"/>
  <c r="S87" i="12"/>
  <c r="R87" i="12"/>
  <c r="AA87" i="12"/>
  <c r="R67" i="12"/>
  <c r="Z67" i="12"/>
  <c r="W67" i="12"/>
  <c r="D106" i="12"/>
  <c r="S124" i="12"/>
  <c r="R124" i="12"/>
  <c r="AA124" i="12"/>
  <c r="Z124" i="12"/>
  <c r="Y124" i="12"/>
  <c r="AC124" i="12"/>
  <c r="AB124" i="12"/>
  <c r="X124" i="12"/>
  <c r="W124" i="12"/>
  <c r="D124" i="12"/>
  <c r="V124" i="12"/>
  <c r="U124" i="12"/>
  <c r="Q124" i="12"/>
  <c r="AA132" i="12"/>
  <c r="Z132" i="12"/>
  <c r="V132" i="12"/>
  <c r="AC132" i="12"/>
  <c r="Y132" i="12"/>
  <c r="AB132" i="12"/>
  <c r="X132" i="12"/>
  <c r="T132" i="12"/>
  <c r="S132" i="12"/>
  <c r="R132" i="12"/>
  <c r="Q132" i="12"/>
  <c r="U76" i="12"/>
  <c r="AC76" i="12"/>
  <c r="Q76" i="12"/>
  <c r="Z76" i="12"/>
  <c r="Y76" i="12"/>
  <c r="R76" i="12"/>
  <c r="U97" i="12"/>
  <c r="T97" i="12"/>
  <c r="AA97" i="12"/>
  <c r="Z97" i="12"/>
  <c r="Y97" i="12"/>
  <c r="X97" i="12"/>
  <c r="W97" i="12"/>
  <c r="V97" i="12"/>
  <c r="R97" i="12"/>
  <c r="Q97" i="12"/>
  <c r="R153" i="12"/>
  <c r="AC153" i="12"/>
  <c r="Q153" i="12"/>
  <c r="W153" i="12"/>
  <c r="AB153" i="12"/>
  <c r="Z153" i="12"/>
  <c r="V153" i="12"/>
  <c r="AA153" i="12"/>
  <c r="Y153" i="12"/>
  <c r="X153" i="12"/>
  <c r="U153" i="12"/>
  <c r="T153" i="12"/>
  <c r="S153" i="12"/>
  <c r="Z75" i="12"/>
  <c r="V75" i="12"/>
  <c r="S75" i="12"/>
  <c r="AC105" i="12"/>
  <c r="Q105" i="12"/>
  <c r="AB105" i="12"/>
  <c r="W105" i="12"/>
  <c r="V105" i="12"/>
  <c r="U105" i="12"/>
  <c r="T105" i="12"/>
  <c r="S105" i="12"/>
  <c r="R105" i="12"/>
  <c r="AA105" i="12"/>
  <c r="S119" i="12"/>
  <c r="R119" i="12"/>
  <c r="AB119" i="12"/>
  <c r="AA119" i="12"/>
  <c r="Z119" i="12"/>
  <c r="Y119" i="12"/>
  <c r="X119" i="12"/>
  <c r="W119" i="12"/>
  <c r="U119" i="12"/>
  <c r="T119" i="12"/>
  <c r="D119" i="12"/>
  <c r="R165" i="12"/>
  <c r="AC165" i="12"/>
  <c r="Q165" i="12"/>
  <c r="AB165" i="12"/>
  <c r="U165" i="12"/>
  <c r="S165" i="12"/>
  <c r="Y165" i="12"/>
  <c r="V165" i="12"/>
  <c r="T165" i="12"/>
  <c r="X165" i="12"/>
  <c r="W165" i="12"/>
  <c r="AB175" i="12"/>
  <c r="AA175" i="12"/>
  <c r="W175" i="12"/>
  <c r="Z175" i="12"/>
  <c r="Q175" i="12"/>
  <c r="Y175" i="12"/>
  <c r="U175" i="12"/>
  <c r="S175" i="12"/>
  <c r="R175" i="12"/>
  <c r="AC175" i="12"/>
  <c r="X175" i="12"/>
  <c r="V175" i="12"/>
  <c r="T175" i="12"/>
  <c r="V79" i="12"/>
  <c r="S82" i="12"/>
  <c r="Y88" i="12"/>
  <c r="W90" i="12"/>
  <c r="U91" i="12"/>
  <c r="T92" i="12"/>
  <c r="T94" i="12"/>
  <c r="T102" i="12"/>
  <c r="S102" i="12"/>
  <c r="AC102" i="12"/>
  <c r="X110" i="12"/>
  <c r="X112" i="12"/>
  <c r="V114" i="12"/>
  <c r="Y121" i="12"/>
  <c r="Y123" i="12"/>
  <c r="AB127" i="12"/>
  <c r="AA127" i="12"/>
  <c r="R127" i="12"/>
  <c r="AC127" i="12"/>
  <c r="Z127" i="12"/>
  <c r="Y127" i="12"/>
  <c r="U127" i="12"/>
  <c r="T134" i="12"/>
  <c r="AA144" i="12"/>
  <c r="Z144" i="12"/>
  <c r="AC144" i="12"/>
  <c r="T144" i="12"/>
  <c r="R144" i="12"/>
  <c r="D144" i="12"/>
  <c r="Y144" i="12"/>
  <c r="S144" i="12"/>
  <c r="V145" i="12"/>
  <c r="U145" i="12"/>
  <c r="AB145" i="12"/>
  <c r="S145" i="12"/>
  <c r="Q145" i="12"/>
  <c r="AA145" i="12"/>
  <c r="AC145" i="12"/>
  <c r="Z145" i="12"/>
  <c r="S148" i="12"/>
  <c r="R148" i="12"/>
  <c r="AA148" i="12"/>
  <c r="T148" i="12"/>
  <c r="W148" i="12"/>
  <c r="AC148" i="12"/>
  <c r="AB148" i="12"/>
  <c r="W155" i="12"/>
  <c r="V158" i="12"/>
  <c r="AB159" i="12"/>
  <c r="W180" i="12"/>
  <c r="A60" i="15"/>
  <c r="O8" i="13"/>
  <c r="N8" i="13"/>
  <c r="W8" i="13"/>
  <c r="V8" i="13"/>
  <c r="T8" i="13"/>
  <c r="Q8" i="13"/>
  <c r="H8" i="13"/>
  <c r="P8" i="13"/>
  <c r="B8" i="13"/>
  <c r="S8" i="13"/>
  <c r="R8" i="13"/>
  <c r="F8" i="13"/>
  <c r="K9" i="12" s="1"/>
  <c r="M9" i="12" s="1"/>
  <c r="Y192" i="15"/>
  <c r="X192" i="15"/>
  <c r="I193" i="12"/>
  <c r="L193" i="12"/>
  <c r="F193" i="12"/>
  <c r="C193" i="12"/>
  <c r="D193" i="12" s="1"/>
  <c r="O193" i="12"/>
  <c r="M192" i="11"/>
  <c r="Y192" i="11"/>
  <c r="AK192" i="11"/>
  <c r="X198" i="15"/>
  <c r="Y198" i="15"/>
  <c r="O199" i="12"/>
  <c r="C199" i="12"/>
  <c r="D199" i="12" s="1"/>
  <c r="L199" i="12"/>
  <c r="I199" i="12"/>
  <c r="M198" i="11"/>
  <c r="Y198" i="11"/>
  <c r="AK198" i="11"/>
  <c r="R8" i="12"/>
  <c r="Y9" i="12"/>
  <c r="V12" i="12"/>
  <c r="R20" i="12"/>
  <c r="Y21" i="12"/>
  <c r="V24" i="12"/>
  <c r="R32" i="12"/>
  <c r="Y33" i="12"/>
  <c r="V36" i="12"/>
  <c r="R44" i="12"/>
  <c r="V48" i="12"/>
  <c r="R56" i="12"/>
  <c r="V60" i="12"/>
  <c r="R68" i="12"/>
  <c r="J72" i="12"/>
  <c r="V72" i="12"/>
  <c r="W79" i="12"/>
  <c r="R80" i="12"/>
  <c r="T82" i="12"/>
  <c r="V84" i="12"/>
  <c r="Z88" i="12"/>
  <c r="X90" i="12"/>
  <c r="V91" i="12"/>
  <c r="W92" i="12"/>
  <c r="V93" i="12"/>
  <c r="U94" i="12"/>
  <c r="V95" i="12"/>
  <c r="AA103" i="12"/>
  <c r="Z103" i="12"/>
  <c r="V104" i="12"/>
  <c r="U104" i="12"/>
  <c r="AC104" i="12"/>
  <c r="X106" i="12"/>
  <c r="W106" i="12"/>
  <c r="AC106" i="12"/>
  <c r="Y110" i="12"/>
  <c r="Y112" i="12"/>
  <c r="W114" i="12"/>
  <c r="U115" i="12"/>
  <c r="T116" i="12"/>
  <c r="T118" i="12"/>
  <c r="AC121" i="12"/>
  <c r="AC123" i="12"/>
  <c r="V127" i="12"/>
  <c r="V169" i="12"/>
  <c r="U169" i="12"/>
  <c r="AA169" i="12"/>
  <c r="R169" i="12"/>
  <c r="Y169" i="12"/>
  <c r="T169" i="12"/>
  <c r="AC169" i="12"/>
  <c r="AB169" i="12"/>
  <c r="Z169" i="12"/>
  <c r="Q169" i="12"/>
  <c r="X171" i="12"/>
  <c r="W171" i="12"/>
  <c r="AA171" i="12"/>
  <c r="R171" i="12"/>
  <c r="AC171" i="12"/>
  <c r="U171" i="12"/>
  <c r="Q171" i="12"/>
  <c r="Z171" i="12"/>
  <c r="R201" i="12"/>
  <c r="AC201" i="12"/>
  <c r="Q201" i="12"/>
  <c r="V201" i="12"/>
  <c r="AA201" i="12"/>
  <c r="Y201" i="12"/>
  <c r="X201" i="12"/>
  <c r="AB201" i="12"/>
  <c r="U201" i="12"/>
  <c r="Z201" i="12"/>
  <c r="W201" i="12"/>
  <c r="T201" i="12"/>
  <c r="Y79" i="12"/>
  <c r="V82" i="12"/>
  <c r="X91" i="12"/>
  <c r="Y92" i="12"/>
  <c r="Y94" i="12"/>
  <c r="M112" i="12"/>
  <c r="AA112" i="12"/>
  <c r="Y114" i="12"/>
  <c r="AC134" i="12"/>
  <c r="Q134" i="12"/>
  <c r="AB134" i="12"/>
  <c r="V134" i="12"/>
  <c r="AA134" i="12"/>
  <c r="Y134" i="12"/>
  <c r="Z134" i="12"/>
  <c r="X134" i="12"/>
  <c r="T155" i="12"/>
  <c r="S155" i="12"/>
  <c r="V155" i="12"/>
  <c r="AA155" i="12"/>
  <c r="Y155" i="12"/>
  <c r="X155" i="12"/>
  <c r="AC155" i="12"/>
  <c r="X159" i="12"/>
  <c r="W159" i="12"/>
  <c r="S159" i="12"/>
  <c r="Z159" i="12"/>
  <c r="V159" i="12"/>
  <c r="U159" i="12"/>
  <c r="AA159" i="12"/>
  <c r="T167" i="12"/>
  <c r="S167" i="12"/>
  <c r="AA167" i="12"/>
  <c r="R167" i="12"/>
  <c r="Q167" i="12"/>
  <c r="AB167" i="12"/>
  <c r="X167" i="12"/>
  <c r="W167" i="12"/>
  <c r="V167" i="12"/>
  <c r="U167" i="12"/>
  <c r="D192" i="11"/>
  <c r="P192" i="11"/>
  <c r="AB192" i="11"/>
  <c r="D198" i="11"/>
  <c r="P198" i="11"/>
  <c r="AB198" i="11"/>
  <c r="U8" i="12"/>
  <c r="U20" i="12"/>
  <c r="U32" i="12"/>
  <c r="U44" i="12"/>
  <c r="U56" i="12"/>
  <c r="U68" i="12"/>
  <c r="Z79" i="12"/>
  <c r="U80" i="12"/>
  <c r="W82" i="12"/>
  <c r="Q88" i="12"/>
  <c r="AC88" i="12"/>
  <c r="Y91" i="12"/>
  <c r="Z92" i="12"/>
  <c r="Z94" i="12"/>
  <c r="U102" i="12"/>
  <c r="U109" i="12"/>
  <c r="T109" i="12"/>
  <c r="AC109" i="12"/>
  <c r="W111" i="12"/>
  <c r="V111" i="12"/>
  <c r="AC111" i="12"/>
  <c r="Z114" i="12"/>
  <c r="W128" i="12"/>
  <c r="V128" i="12"/>
  <c r="Q128" i="12"/>
  <c r="AC128" i="12"/>
  <c r="AB128" i="12"/>
  <c r="T128" i="12"/>
  <c r="T136" i="12"/>
  <c r="U138" i="12"/>
  <c r="T138" i="12"/>
  <c r="Q138" i="12"/>
  <c r="X138" i="12"/>
  <c r="V138" i="12"/>
  <c r="R138" i="12"/>
  <c r="Z138" i="12"/>
  <c r="M145" i="12"/>
  <c r="AB151" i="12"/>
  <c r="AA151" i="12"/>
  <c r="W151" i="12"/>
  <c r="Z151" i="12"/>
  <c r="R151" i="12"/>
  <c r="AC151" i="12"/>
  <c r="AA156" i="12"/>
  <c r="Z156" i="12"/>
  <c r="T156" i="12"/>
  <c r="Y156" i="12"/>
  <c r="W156" i="12"/>
  <c r="X156" i="12"/>
  <c r="AC156" i="12"/>
  <c r="AB91" i="12"/>
  <c r="AA92" i="12"/>
  <c r="AB110" i="12"/>
  <c r="AA110" i="12"/>
  <c r="Q110" i="12"/>
  <c r="R112" i="12"/>
  <c r="AC112" i="12"/>
  <c r="Q112" i="12"/>
  <c r="AA114" i="12"/>
  <c r="AC158" i="12"/>
  <c r="Q158" i="12"/>
  <c r="AB158" i="12"/>
  <c r="D158" i="12"/>
  <c r="T158" i="12"/>
  <c r="Y158" i="12"/>
  <c r="W158" i="12"/>
  <c r="X158" i="12"/>
  <c r="U158" i="12"/>
  <c r="S158" i="12"/>
  <c r="R158" i="12"/>
  <c r="U198" i="12"/>
  <c r="T198" i="12"/>
  <c r="W198" i="12"/>
  <c r="Q198" i="12"/>
  <c r="AB198" i="12"/>
  <c r="Z198" i="12"/>
  <c r="Y198" i="12"/>
  <c r="AC198" i="12"/>
  <c r="D198" i="12"/>
  <c r="S198" i="12"/>
  <c r="AA198" i="12"/>
  <c r="X198" i="12"/>
  <c r="R198" i="12"/>
  <c r="H97" i="13"/>
  <c r="AB79" i="12"/>
  <c r="Y82" i="12"/>
  <c r="S88" i="12"/>
  <c r="T90" i="12"/>
  <c r="S90" i="12"/>
  <c r="AC90" i="12"/>
  <c r="W102" i="12"/>
  <c r="R110" i="12"/>
  <c r="Q144" i="12"/>
  <c r="A70" i="15"/>
  <c r="O18" i="13"/>
  <c r="N18" i="13"/>
  <c r="P18" i="13"/>
  <c r="W18" i="13"/>
  <c r="B18" i="13"/>
  <c r="T18" i="13"/>
  <c r="Q18" i="13"/>
  <c r="V18" i="13"/>
  <c r="H18" i="13"/>
  <c r="S18" i="13"/>
  <c r="R18" i="13"/>
  <c r="AA91" i="12"/>
  <c r="Z91" i="12"/>
  <c r="V92" i="12"/>
  <c r="U92" i="12"/>
  <c r="AC92" i="12"/>
  <c r="X94" i="12"/>
  <c r="W94" i="12"/>
  <c r="AC94" i="12"/>
  <c r="S110" i="12"/>
  <c r="S112" i="12"/>
  <c r="T114" i="12"/>
  <c r="S114" i="12"/>
  <c r="AC114" i="12"/>
  <c r="V121" i="12"/>
  <c r="U121" i="12"/>
  <c r="AB121" i="12"/>
  <c r="AA121" i="12"/>
  <c r="Z121" i="12"/>
  <c r="R121" i="12"/>
  <c r="X123" i="12"/>
  <c r="W123" i="12"/>
  <c r="AB123" i="12"/>
  <c r="AA123" i="12"/>
  <c r="Z123" i="12"/>
  <c r="R123" i="12"/>
  <c r="U126" i="12"/>
  <c r="T126" i="12"/>
  <c r="Q126" i="12"/>
  <c r="AA126" i="12"/>
  <c r="Z126" i="12"/>
  <c r="Y126" i="12"/>
  <c r="V126" i="12"/>
  <c r="S136" i="12"/>
  <c r="R136" i="12"/>
  <c r="V136" i="12"/>
  <c r="AA136" i="12"/>
  <c r="Y136" i="12"/>
  <c r="AB136" i="12"/>
  <c r="Z136" i="12"/>
  <c r="X136" i="12"/>
  <c r="AC136" i="12"/>
  <c r="AA180" i="12"/>
  <c r="Z180" i="12"/>
  <c r="S180" i="12"/>
  <c r="X180" i="12"/>
  <c r="V180" i="12"/>
  <c r="U180" i="12"/>
  <c r="Q180" i="12"/>
  <c r="T180" i="12"/>
  <c r="R180" i="12"/>
  <c r="AB180" i="12"/>
  <c r="Q90" i="12"/>
  <c r="Q91" i="12"/>
  <c r="AC93" i="12"/>
  <c r="Q93" i="12"/>
  <c r="AB93" i="12"/>
  <c r="D93" i="12"/>
  <c r="S95" i="12"/>
  <c r="R95" i="12"/>
  <c r="AC95" i="12"/>
  <c r="Y102" i="12"/>
  <c r="T110" i="12"/>
  <c r="T112" i="12"/>
  <c r="AA115" i="12"/>
  <c r="Z115" i="12"/>
  <c r="V116" i="12"/>
  <c r="U116" i="12"/>
  <c r="AC116" i="12"/>
  <c r="X118" i="12"/>
  <c r="W118" i="12"/>
  <c r="AC118" i="12"/>
  <c r="S121" i="12"/>
  <c r="S123" i="12"/>
  <c r="W126" i="12"/>
  <c r="AB139" i="12"/>
  <c r="AA139" i="12"/>
  <c r="R139" i="12"/>
  <c r="W139" i="12"/>
  <c r="U139" i="12"/>
  <c r="Z139" i="12"/>
  <c r="Y139" i="12"/>
  <c r="X139" i="12"/>
  <c r="V144" i="12"/>
  <c r="W145" i="12"/>
  <c r="V148" i="12"/>
  <c r="Q159" i="12"/>
  <c r="V198" i="12"/>
  <c r="U18" i="13"/>
  <c r="R188" i="12"/>
  <c r="A68" i="15"/>
  <c r="O16" i="13"/>
  <c r="N16" i="13"/>
  <c r="W16" i="13"/>
  <c r="D16" i="13"/>
  <c r="S16" i="13"/>
  <c r="R16" i="13"/>
  <c r="B16" i="13"/>
  <c r="T16" i="13"/>
  <c r="H16" i="13"/>
  <c r="Q16" i="13"/>
  <c r="A87" i="15"/>
  <c r="N35" i="13"/>
  <c r="H35" i="13"/>
  <c r="T35" i="13"/>
  <c r="P35" i="13"/>
  <c r="O35" i="13"/>
  <c r="S35" i="13"/>
  <c r="R35" i="13"/>
  <c r="B35" i="13"/>
  <c r="W35" i="13"/>
  <c r="V35" i="13"/>
  <c r="A123" i="15"/>
  <c r="N71" i="13"/>
  <c r="G71" i="13"/>
  <c r="F71" i="13"/>
  <c r="K72" i="12" s="1"/>
  <c r="M72" i="12" s="1"/>
  <c r="E71" i="13"/>
  <c r="H72" i="12" s="1"/>
  <c r="R71" i="13"/>
  <c r="D71" i="13"/>
  <c r="E72" i="12" s="1"/>
  <c r="V71" i="13"/>
  <c r="U71" i="13"/>
  <c r="T71" i="13"/>
  <c r="S71" i="13"/>
  <c r="Q71" i="13"/>
  <c r="P71" i="13"/>
  <c r="O71" i="13"/>
  <c r="B71" i="13"/>
  <c r="W71" i="13"/>
  <c r="F13" i="13"/>
  <c r="K14" i="12" s="1"/>
  <c r="M14" i="12" s="1"/>
  <c r="Q35" i="13"/>
  <c r="D39" i="13"/>
  <c r="W188" i="12"/>
  <c r="V188" i="12"/>
  <c r="U188" i="12"/>
  <c r="S188" i="12"/>
  <c r="AA188" i="12"/>
  <c r="X188" i="12"/>
  <c r="AB188" i="12"/>
  <c r="A88" i="15"/>
  <c r="T36" i="13"/>
  <c r="U36" i="13"/>
  <c r="S36" i="13"/>
  <c r="B36" i="13"/>
  <c r="O36" i="13"/>
  <c r="F36" i="13"/>
  <c r="R36" i="5" s="1"/>
  <c r="E36" i="13"/>
  <c r="H37" i="12" s="1"/>
  <c r="R36" i="13"/>
  <c r="Q36" i="13"/>
  <c r="H36" i="13"/>
  <c r="W36" i="13"/>
  <c r="N36" i="13"/>
  <c r="X89" i="12"/>
  <c r="Y96" i="12"/>
  <c r="X101" i="12"/>
  <c r="Y108" i="12"/>
  <c r="AA120" i="12"/>
  <c r="U146" i="12"/>
  <c r="D164" i="12"/>
  <c r="T177" i="12"/>
  <c r="R179" i="12"/>
  <c r="D188" i="12"/>
  <c r="S196" i="12"/>
  <c r="R196" i="12"/>
  <c r="Y196" i="12"/>
  <c r="U196" i="12"/>
  <c r="AB196" i="12"/>
  <c r="AA196" i="12"/>
  <c r="AC196" i="12"/>
  <c r="Z196" i="12"/>
  <c r="T196" i="12"/>
  <c r="A69" i="15"/>
  <c r="U17" i="13"/>
  <c r="D17" i="13"/>
  <c r="T17" i="13"/>
  <c r="R17" i="13"/>
  <c r="N17" i="13"/>
  <c r="H17" i="13"/>
  <c r="B17" i="13"/>
  <c r="S17" i="13"/>
  <c r="O17" i="13"/>
  <c r="F17" i="13"/>
  <c r="E17" i="13"/>
  <c r="H18" i="12" s="1"/>
  <c r="G17" i="13"/>
  <c r="W17" i="13"/>
  <c r="D36" i="13"/>
  <c r="E42" i="13"/>
  <c r="H43" i="12" s="1"/>
  <c r="AB120" i="12"/>
  <c r="D143" i="12"/>
  <c r="V157" i="12"/>
  <c r="U157" i="12"/>
  <c r="S157" i="12"/>
  <c r="Z157" i="12"/>
  <c r="X157" i="12"/>
  <c r="W157" i="12"/>
  <c r="Y157" i="12"/>
  <c r="T191" i="12"/>
  <c r="S191" i="12"/>
  <c r="AA191" i="12"/>
  <c r="W191" i="12"/>
  <c r="R191" i="12"/>
  <c r="Y191" i="12"/>
  <c r="U191" i="12"/>
  <c r="AC191" i="12"/>
  <c r="W200" i="12"/>
  <c r="V200" i="12"/>
  <c r="U200" i="12"/>
  <c r="Q200" i="12"/>
  <c r="AB200" i="12"/>
  <c r="Z200" i="12"/>
  <c r="Y200" i="12"/>
  <c r="S200" i="12"/>
  <c r="R200" i="12"/>
  <c r="AC200" i="12"/>
  <c r="G11" i="13"/>
  <c r="H12" i="13"/>
  <c r="G36" i="13"/>
  <c r="H51" i="13"/>
  <c r="R129" i="12"/>
  <c r="AC129" i="12"/>
  <c r="Q129" i="12"/>
  <c r="Y129" i="12"/>
  <c r="V133" i="12"/>
  <c r="U133" i="12"/>
  <c r="W133" i="12"/>
  <c r="AB133" i="12"/>
  <c r="Z133" i="12"/>
  <c r="R133" i="12"/>
  <c r="X135" i="12"/>
  <c r="W135" i="12"/>
  <c r="U135" i="12"/>
  <c r="AB135" i="12"/>
  <c r="Z135" i="12"/>
  <c r="R135" i="12"/>
  <c r="AC146" i="12"/>
  <c r="Q146" i="12"/>
  <c r="AB146" i="12"/>
  <c r="D146" i="12"/>
  <c r="AA146" i="12"/>
  <c r="T146" i="12"/>
  <c r="R146" i="12"/>
  <c r="X146" i="12"/>
  <c r="W146" i="12"/>
  <c r="R177" i="12"/>
  <c r="AC177" i="12"/>
  <c r="Q177" i="12"/>
  <c r="W177" i="12"/>
  <c r="AB177" i="12"/>
  <c r="Z177" i="12"/>
  <c r="U177" i="12"/>
  <c r="X177" i="12"/>
  <c r="T179" i="12"/>
  <c r="S179" i="12"/>
  <c r="U179" i="12"/>
  <c r="Z179" i="12"/>
  <c r="X179" i="12"/>
  <c r="V179" i="12"/>
  <c r="AB179" i="12"/>
  <c r="Y179" i="12"/>
  <c r="P36" i="13"/>
  <c r="A117" i="15"/>
  <c r="N65" i="13"/>
  <c r="G65" i="13"/>
  <c r="F65" i="13"/>
  <c r="E65" i="13"/>
  <c r="R65" i="13"/>
  <c r="U65" i="13"/>
  <c r="T65" i="13"/>
  <c r="S65" i="13"/>
  <c r="Q65" i="13"/>
  <c r="P65" i="13"/>
  <c r="O65" i="13"/>
  <c r="H65" i="13"/>
  <c r="B65" i="13"/>
  <c r="W65" i="13"/>
  <c r="D65" i="13"/>
  <c r="A66" i="15"/>
  <c r="O14" i="13"/>
  <c r="N14" i="13"/>
  <c r="R14" i="13"/>
  <c r="G14" i="13"/>
  <c r="F14" i="13"/>
  <c r="B14" i="13"/>
  <c r="T14" i="13"/>
  <c r="P14" i="13"/>
  <c r="E14" i="13"/>
  <c r="D14" i="13"/>
  <c r="H14" i="13"/>
  <c r="V14" i="13"/>
  <c r="V36" i="13"/>
  <c r="AA186" i="12"/>
  <c r="O9" i="13"/>
  <c r="E23" i="13"/>
  <c r="A83" i="15"/>
  <c r="N31" i="13"/>
  <c r="V31" i="13"/>
  <c r="U31" i="13"/>
  <c r="R31" i="13"/>
  <c r="H31" i="13"/>
  <c r="S31" i="13"/>
  <c r="B31" i="13"/>
  <c r="W31" i="13"/>
  <c r="A156" i="15"/>
  <c r="W104" i="13"/>
  <c r="F104" i="13"/>
  <c r="E104" i="13"/>
  <c r="U104" i="13"/>
  <c r="P104" i="13"/>
  <c r="O104" i="13"/>
  <c r="N104" i="13"/>
  <c r="G104" i="13"/>
  <c r="D104" i="13"/>
  <c r="E105" i="12" s="1"/>
  <c r="V104" i="13"/>
  <c r="B104" i="13"/>
  <c r="S104" i="13"/>
  <c r="R104" i="13"/>
  <c r="Q104" i="13"/>
  <c r="T104" i="13"/>
  <c r="H104" i="13"/>
  <c r="A107" i="15"/>
  <c r="N55" i="13"/>
  <c r="G55" i="13"/>
  <c r="Q55" i="13"/>
  <c r="P55" i="13"/>
  <c r="V55" i="13"/>
  <c r="R55" i="13"/>
  <c r="E55" i="13"/>
  <c r="H56" i="12" s="1"/>
  <c r="D55" i="13"/>
  <c r="E56" i="12" s="1"/>
  <c r="W55" i="13"/>
  <c r="U55" i="13"/>
  <c r="T55" i="13"/>
  <c r="H55" i="13"/>
  <c r="B55" i="13"/>
  <c r="AB163" i="12"/>
  <c r="AA163" i="12"/>
  <c r="U163" i="12"/>
  <c r="S163" i="12"/>
  <c r="V163" i="12"/>
  <c r="AC182" i="12"/>
  <c r="Q182" i="12"/>
  <c r="AB182" i="12"/>
  <c r="S182" i="12"/>
  <c r="X182" i="12"/>
  <c r="V182" i="12"/>
  <c r="U182" i="12"/>
  <c r="S184" i="12"/>
  <c r="R184" i="12"/>
  <c r="Q184" i="12"/>
  <c r="X184" i="12"/>
  <c r="V184" i="12"/>
  <c r="U184" i="12"/>
  <c r="A57" i="15"/>
  <c r="W5" i="13"/>
  <c r="H5" i="13"/>
  <c r="V5" i="13"/>
  <c r="G5" i="13"/>
  <c r="N6" i="12" s="1"/>
  <c r="E5" i="13"/>
  <c r="H6" i="12" s="1"/>
  <c r="T5" i="13"/>
  <c r="B5" i="13"/>
  <c r="P5" i="13"/>
  <c r="D5" i="13"/>
  <c r="E6" i="12" s="1"/>
  <c r="A59" i="15"/>
  <c r="U7" i="13"/>
  <c r="D7" i="13"/>
  <c r="E8" i="12" s="1"/>
  <c r="G8" i="12" s="1"/>
  <c r="T7" i="13"/>
  <c r="H7" i="13"/>
  <c r="G7" i="13"/>
  <c r="W7" i="13"/>
  <c r="B7" i="13"/>
  <c r="R7" i="13"/>
  <c r="P7" i="13"/>
  <c r="O7" i="13"/>
  <c r="O31" i="13"/>
  <c r="F55" i="13"/>
  <c r="K56" i="12" s="1"/>
  <c r="M56" i="12" s="1"/>
  <c r="A113" i="15"/>
  <c r="N61" i="13"/>
  <c r="G61" i="13"/>
  <c r="Q61" i="13"/>
  <c r="P61" i="13"/>
  <c r="V61" i="13"/>
  <c r="S61" i="13"/>
  <c r="U61" i="13"/>
  <c r="T61" i="13"/>
  <c r="R61" i="13"/>
  <c r="O61" i="13"/>
  <c r="H61" i="13"/>
  <c r="B61" i="13"/>
  <c r="U186" i="12"/>
  <c r="T186" i="12"/>
  <c r="W186" i="12"/>
  <c r="S186" i="12"/>
  <c r="R186" i="12"/>
  <c r="AC194" i="12"/>
  <c r="Q194" i="12"/>
  <c r="AB194" i="12"/>
  <c r="Y194" i="12"/>
  <c r="U194" i="12"/>
  <c r="R194" i="12"/>
  <c r="V194" i="12"/>
  <c r="A54" i="15"/>
  <c r="A61" i="15"/>
  <c r="U9" i="13"/>
  <c r="T9" i="13"/>
  <c r="R9" i="13"/>
  <c r="Q9" i="13"/>
  <c r="S9" i="13"/>
  <c r="N9" i="13"/>
  <c r="H33" i="13"/>
  <c r="W140" i="12"/>
  <c r="V140" i="12"/>
  <c r="Q140" i="12"/>
  <c r="X140" i="12"/>
  <c r="T140" i="12"/>
  <c r="S140" i="12"/>
  <c r="AC163" i="12"/>
  <c r="V181" i="12"/>
  <c r="U181" i="12"/>
  <c r="R181" i="12"/>
  <c r="Y181" i="12"/>
  <c r="W181" i="12"/>
  <c r="S181" i="12"/>
  <c r="X183" i="12"/>
  <c r="W183" i="12"/>
  <c r="R183" i="12"/>
  <c r="Y183" i="12"/>
  <c r="U183" i="12"/>
  <c r="G183" i="12"/>
  <c r="S183" i="12"/>
  <c r="AB184" i="12"/>
  <c r="V186" i="12"/>
  <c r="W194" i="12"/>
  <c r="AB199" i="12"/>
  <c r="AA199" i="12"/>
  <c r="V199" i="12"/>
  <c r="R199" i="12"/>
  <c r="AC199" i="12"/>
  <c r="Y199" i="12"/>
  <c r="X199" i="12"/>
  <c r="W199" i="12"/>
  <c r="B9" i="13"/>
  <c r="A77" i="15"/>
  <c r="U25" i="13"/>
  <c r="D25" i="13"/>
  <c r="E26" i="12" s="1"/>
  <c r="G26" i="12" s="1"/>
  <c r="T25" i="13"/>
  <c r="N25" i="13"/>
  <c r="E25" i="13"/>
  <c r="H26" i="12" s="1"/>
  <c r="W25" i="13"/>
  <c r="V25" i="13"/>
  <c r="P25" i="13"/>
  <c r="G25" i="13"/>
  <c r="B25" i="13"/>
  <c r="A96" i="15"/>
  <c r="T44" i="13"/>
  <c r="P44" i="13"/>
  <c r="O44" i="13"/>
  <c r="V44" i="13"/>
  <c r="B44" i="13"/>
  <c r="Q44" i="13"/>
  <c r="N44" i="13"/>
  <c r="W44" i="13"/>
  <c r="R44" i="13"/>
  <c r="A100" i="15"/>
  <c r="T48" i="13"/>
  <c r="U48" i="13"/>
  <c r="S48" i="13"/>
  <c r="B48" i="13"/>
  <c r="W48" i="13"/>
  <c r="P48" i="13"/>
  <c r="O48" i="13"/>
  <c r="D48" i="13"/>
  <c r="E49" i="12" s="1"/>
  <c r="V48" i="13"/>
  <c r="N48" i="13"/>
  <c r="G48" i="13"/>
  <c r="F48" i="13"/>
  <c r="K49" i="12" s="1"/>
  <c r="A55" i="15"/>
  <c r="A90" i="15"/>
  <c r="T38" i="13"/>
  <c r="W38" i="13"/>
  <c r="V38" i="13"/>
  <c r="S38" i="13"/>
  <c r="R38" i="13"/>
  <c r="F43" i="13"/>
  <c r="K44" i="12" s="1"/>
  <c r="P45" i="13"/>
  <c r="F49" i="13"/>
  <c r="K50" i="12" s="1"/>
  <c r="H53" i="13"/>
  <c r="O77" i="13"/>
  <c r="O81" i="13"/>
  <c r="H85" i="13"/>
  <c r="A144" i="15"/>
  <c r="W92" i="13"/>
  <c r="Q92" i="13"/>
  <c r="O92" i="13"/>
  <c r="P92" i="13"/>
  <c r="N92" i="13"/>
  <c r="V92" i="13"/>
  <c r="B92" i="13"/>
  <c r="U92" i="13"/>
  <c r="T92" i="13"/>
  <c r="S93" i="13"/>
  <c r="E95" i="13"/>
  <c r="H96" i="12" s="1"/>
  <c r="AA168" i="12"/>
  <c r="Z168" i="12"/>
  <c r="Q168" i="12"/>
  <c r="AC170" i="12"/>
  <c r="Q170" i="12"/>
  <c r="AB170" i="12"/>
  <c r="S172" i="12"/>
  <c r="R172" i="12"/>
  <c r="AC172" i="12"/>
  <c r="AA192" i="12"/>
  <c r="Z192" i="12"/>
  <c r="V193" i="12"/>
  <c r="U193" i="12"/>
  <c r="AC193" i="12"/>
  <c r="X195" i="12"/>
  <c r="W195" i="12"/>
  <c r="AC195" i="12"/>
  <c r="A80" i="15"/>
  <c r="O28" i="13"/>
  <c r="N28" i="13"/>
  <c r="Q28" i="13"/>
  <c r="W28" i="13"/>
  <c r="A82" i="15"/>
  <c r="O30" i="13"/>
  <c r="N30" i="13"/>
  <c r="V30" i="13"/>
  <c r="R30" i="13"/>
  <c r="Q30" i="13"/>
  <c r="W30" i="13"/>
  <c r="A84" i="15"/>
  <c r="T32" i="13"/>
  <c r="P32" i="13"/>
  <c r="O32" i="13"/>
  <c r="N32" i="13"/>
  <c r="E32" i="13"/>
  <c r="D32" i="13"/>
  <c r="E33" i="12" s="1"/>
  <c r="G33" i="12" s="1"/>
  <c r="A89" i="15"/>
  <c r="N37" i="13"/>
  <c r="P37" i="13"/>
  <c r="O37" i="13"/>
  <c r="G37" i="13"/>
  <c r="W37" i="13"/>
  <c r="V37" i="13"/>
  <c r="B37" i="13"/>
  <c r="B38" i="13"/>
  <c r="G43" i="13"/>
  <c r="Q45" i="13"/>
  <c r="R49" i="13"/>
  <c r="O53" i="13"/>
  <c r="A111" i="15"/>
  <c r="N59" i="13"/>
  <c r="R59" i="13"/>
  <c r="B59" i="13"/>
  <c r="T59" i="13"/>
  <c r="S59" i="13"/>
  <c r="R81" i="13"/>
  <c r="F95" i="13"/>
  <c r="H102" i="13"/>
  <c r="T131" i="12"/>
  <c r="S131" i="12"/>
  <c r="AC131" i="12"/>
  <c r="U150" i="12"/>
  <c r="T150" i="12"/>
  <c r="AC150" i="12"/>
  <c r="W152" i="12"/>
  <c r="V152" i="12"/>
  <c r="AC152" i="12"/>
  <c r="S168" i="12"/>
  <c r="S170" i="12"/>
  <c r="Q172" i="12"/>
  <c r="U174" i="12"/>
  <c r="T174" i="12"/>
  <c r="AC174" i="12"/>
  <c r="W176" i="12"/>
  <c r="V176" i="12"/>
  <c r="AC176" i="12"/>
  <c r="R192" i="12"/>
  <c r="Q193" i="12"/>
  <c r="Q195" i="12"/>
  <c r="O43" i="13"/>
  <c r="Q53" i="13"/>
  <c r="H69" i="13"/>
  <c r="A125" i="15"/>
  <c r="N73" i="13"/>
  <c r="Q73" i="13"/>
  <c r="P73" i="13"/>
  <c r="V73" i="13"/>
  <c r="U73" i="13"/>
  <c r="O73" i="13"/>
  <c r="H73" i="13"/>
  <c r="H92" i="13"/>
  <c r="A236" i="15"/>
  <c r="Q184" i="13"/>
  <c r="P184" i="13"/>
  <c r="N184" i="13"/>
  <c r="W184" i="13"/>
  <c r="B184" i="13"/>
  <c r="T184" i="13"/>
  <c r="S184" i="13"/>
  <c r="R184" i="13"/>
  <c r="U184" i="13"/>
  <c r="O184" i="13"/>
  <c r="H184" i="13"/>
  <c r="B185" i="12"/>
  <c r="V184" i="13"/>
  <c r="A56" i="15"/>
  <c r="V53" i="13"/>
  <c r="A129" i="15"/>
  <c r="N77" i="13"/>
  <c r="W77" i="13"/>
  <c r="V77" i="13"/>
  <c r="S77" i="13"/>
  <c r="P77" i="13"/>
  <c r="U77" i="13"/>
  <c r="T77" i="13"/>
  <c r="A145" i="15"/>
  <c r="Q93" i="13"/>
  <c r="W93" i="13"/>
  <c r="N93" i="13"/>
  <c r="H93" i="13"/>
  <c r="V93" i="13"/>
  <c r="B93" i="13"/>
  <c r="T93" i="13"/>
  <c r="A97" i="15"/>
  <c r="N45" i="13"/>
  <c r="F45" i="13"/>
  <c r="K46" i="12" s="1"/>
  <c r="W45" i="13"/>
  <c r="E45" i="13"/>
  <c r="H46" i="12" s="1"/>
  <c r="S45" i="13"/>
  <c r="O45" i="13"/>
  <c r="H45" i="13"/>
  <c r="A101" i="15"/>
  <c r="N49" i="13"/>
  <c r="G49" i="13"/>
  <c r="Q49" i="13"/>
  <c r="P49" i="13"/>
  <c r="U49" i="13"/>
  <c r="O49" i="13"/>
  <c r="H49" i="13"/>
  <c r="A143" i="15"/>
  <c r="Q91" i="13"/>
  <c r="V91" i="13"/>
  <c r="T91" i="13"/>
  <c r="B91" i="13"/>
  <c r="R91" i="13"/>
  <c r="P91" i="13"/>
  <c r="H91" i="13"/>
  <c r="G91" i="13"/>
  <c r="W91" i="13"/>
  <c r="N91" i="13"/>
  <c r="A105" i="15"/>
  <c r="N53" i="13"/>
  <c r="E53" i="13"/>
  <c r="H54" i="12" s="1"/>
  <c r="T53" i="13"/>
  <c r="S53" i="13"/>
  <c r="A133" i="15"/>
  <c r="N81" i="13"/>
  <c r="Q81" i="13"/>
  <c r="P81" i="13"/>
  <c r="V81" i="13"/>
  <c r="S81" i="13"/>
  <c r="H83" i="13"/>
  <c r="A137" i="15"/>
  <c r="N85" i="13"/>
  <c r="W85" i="13"/>
  <c r="V85" i="13"/>
  <c r="S85" i="13"/>
  <c r="R85" i="13"/>
  <c r="P85" i="13"/>
  <c r="B85" i="13"/>
  <c r="U85" i="13"/>
  <c r="T85" i="13"/>
  <c r="A158" i="15"/>
  <c r="W106" i="13"/>
  <c r="N106" i="13"/>
  <c r="V106" i="13"/>
  <c r="B106" i="13"/>
  <c r="T106" i="13"/>
  <c r="S106" i="13"/>
  <c r="Q106" i="13"/>
  <c r="O106" i="13"/>
  <c r="R106" i="13"/>
  <c r="A169" i="15"/>
  <c r="S117" i="13"/>
  <c r="B117" i="13"/>
  <c r="Q117" i="13"/>
  <c r="P117" i="13"/>
  <c r="N117" i="13"/>
  <c r="V117" i="13"/>
  <c r="U117" i="13"/>
  <c r="R117" i="13"/>
  <c r="H117" i="13"/>
  <c r="W117" i="13"/>
  <c r="T117" i="13"/>
  <c r="O117" i="13"/>
  <c r="H133" i="13"/>
  <c r="A95" i="15"/>
  <c r="N43" i="13"/>
  <c r="V43" i="13"/>
  <c r="D43" i="13"/>
  <c r="E44" i="12" s="1"/>
  <c r="U43" i="13"/>
  <c r="E43" i="13"/>
  <c r="H44" i="12" s="1"/>
  <c r="S43" i="13"/>
  <c r="R43" i="13"/>
  <c r="B53" i="13"/>
  <c r="B81" i="13"/>
  <c r="O91" i="13"/>
  <c r="A147" i="15"/>
  <c r="Q95" i="13"/>
  <c r="O95" i="13"/>
  <c r="H95" i="13"/>
  <c r="D95" i="13"/>
  <c r="E96" i="12" s="1"/>
  <c r="W95" i="13"/>
  <c r="T95" i="13"/>
  <c r="S95" i="13"/>
  <c r="P95" i="13"/>
  <c r="N95" i="13"/>
  <c r="G95" i="13"/>
  <c r="T143" i="12"/>
  <c r="S143" i="12"/>
  <c r="AC143" i="12"/>
  <c r="U162" i="12"/>
  <c r="T162" i="12"/>
  <c r="AC162" i="12"/>
  <c r="W164" i="12"/>
  <c r="V164" i="12"/>
  <c r="AC164" i="12"/>
  <c r="AB168" i="12"/>
  <c r="Z170" i="12"/>
  <c r="Z172" i="12"/>
  <c r="AB187" i="12"/>
  <c r="AA187" i="12"/>
  <c r="Q187" i="12"/>
  <c r="R189" i="12"/>
  <c r="AC189" i="12"/>
  <c r="Q189" i="12"/>
  <c r="Y192" i="12"/>
  <c r="Z193" i="12"/>
  <c r="Z195" i="12"/>
  <c r="A63" i="15"/>
  <c r="U11" i="13"/>
  <c r="D11" i="13"/>
  <c r="E12" i="12" s="1"/>
  <c r="T11" i="13"/>
  <c r="O11" i="13"/>
  <c r="F11" i="13"/>
  <c r="K12" i="12" s="1"/>
  <c r="E11" i="13"/>
  <c r="H12" i="12" s="1"/>
  <c r="A65" i="15"/>
  <c r="U13" i="13"/>
  <c r="D13" i="13"/>
  <c r="E14" i="12" s="1"/>
  <c r="T13" i="13"/>
  <c r="V13" i="13"/>
  <c r="B13" i="13"/>
  <c r="P13" i="13"/>
  <c r="O13" i="13"/>
  <c r="A67" i="15"/>
  <c r="U15" i="13"/>
  <c r="T15" i="13"/>
  <c r="H15" i="13"/>
  <c r="W15" i="13"/>
  <c r="V15" i="13"/>
  <c r="B15" i="13"/>
  <c r="A72" i="15"/>
  <c r="O20" i="13"/>
  <c r="N20" i="13"/>
  <c r="U20" i="13"/>
  <c r="B20" i="13"/>
  <c r="Q20" i="13"/>
  <c r="P20" i="13"/>
  <c r="A73" i="15"/>
  <c r="U21" i="13"/>
  <c r="T21" i="13"/>
  <c r="P21" i="13"/>
  <c r="A74" i="15"/>
  <c r="O22" i="13"/>
  <c r="N22" i="13"/>
  <c r="V22" i="13"/>
  <c r="U22" i="13"/>
  <c r="B22" i="13"/>
  <c r="A75" i="15"/>
  <c r="U23" i="13"/>
  <c r="D23" i="13"/>
  <c r="E24" i="12" s="1"/>
  <c r="T23" i="13"/>
  <c r="W23" i="13"/>
  <c r="Q23" i="13"/>
  <c r="P23" i="13"/>
  <c r="A76" i="15"/>
  <c r="O24" i="13"/>
  <c r="N24" i="13"/>
  <c r="S24" i="13"/>
  <c r="H24" i="13"/>
  <c r="W24" i="13"/>
  <c r="A91" i="15"/>
  <c r="N39" i="13"/>
  <c r="R39" i="13"/>
  <c r="Q39" i="13"/>
  <c r="W39" i="13"/>
  <c r="S39" i="13"/>
  <c r="P39" i="13"/>
  <c r="A92" i="15"/>
  <c r="T40" i="13"/>
  <c r="S40" i="13"/>
  <c r="O40" i="13"/>
  <c r="N40" i="13"/>
  <c r="A94" i="15"/>
  <c r="T42" i="13"/>
  <c r="N42" i="13"/>
  <c r="H42" i="13"/>
  <c r="G42" i="13"/>
  <c r="W42" i="13"/>
  <c r="V42" i="13"/>
  <c r="B42" i="13"/>
  <c r="B43" i="13"/>
  <c r="D45" i="13"/>
  <c r="E46" i="12" s="1"/>
  <c r="D49" i="13"/>
  <c r="E50" i="12" s="1"/>
  <c r="S73" i="13"/>
  <c r="S91" i="13"/>
  <c r="P93" i="13"/>
  <c r="B95" i="13"/>
  <c r="H106" i="13"/>
  <c r="A162" i="15"/>
  <c r="H110" i="13"/>
  <c r="W110" i="13"/>
  <c r="N110" i="13"/>
  <c r="T110" i="13"/>
  <c r="S110" i="13"/>
  <c r="R110" i="13"/>
  <c r="P110" i="13"/>
  <c r="O110" i="13"/>
  <c r="B110" i="13"/>
  <c r="Q110" i="13"/>
  <c r="H125" i="13"/>
  <c r="A190" i="15"/>
  <c r="H138" i="13"/>
  <c r="W138" i="13"/>
  <c r="R138" i="13"/>
  <c r="Q138" i="13"/>
  <c r="N138" i="13"/>
  <c r="U138" i="13"/>
  <c r="T138" i="13"/>
  <c r="S138" i="13"/>
  <c r="P138" i="13"/>
  <c r="B138" i="13"/>
  <c r="A234" i="15"/>
  <c r="Q182" i="13"/>
  <c r="H182" i="13"/>
  <c r="W182" i="13"/>
  <c r="D182" i="13"/>
  <c r="E183" i="12" s="1"/>
  <c r="U182" i="13"/>
  <c r="B182" i="13"/>
  <c r="O182" i="13"/>
  <c r="G182" i="13"/>
  <c r="F182" i="13"/>
  <c r="K183" i="12" s="1"/>
  <c r="M183" i="12" s="1"/>
  <c r="E182" i="13"/>
  <c r="H183" i="12" s="1"/>
  <c r="V182" i="13"/>
  <c r="T182" i="13"/>
  <c r="S182" i="13"/>
  <c r="R182" i="13"/>
  <c r="P182" i="13"/>
  <c r="N182" i="13"/>
  <c r="R114" i="13"/>
  <c r="A174" i="15"/>
  <c r="H122" i="13"/>
  <c r="W122" i="13"/>
  <c r="F122" i="13"/>
  <c r="K123" i="12" s="1"/>
  <c r="N122" i="13"/>
  <c r="E122" i="13"/>
  <c r="H123" i="12" s="1"/>
  <c r="J123" i="12" s="1"/>
  <c r="U122" i="13"/>
  <c r="T122" i="13"/>
  <c r="S122" i="13"/>
  <c r="R122" i="13"/>
  <c r="P122" i="13"/>
  <c r="O122" i="13"/>
  <c r="D122" i="13"/>
  <c r="E123" i="12" s="1"/>
  <c r="G123" i="12" s="1"/>
  <c r="B122" i="13"/>
  <c r="H10" i="13"/>
  <c r="A64" i="15"/>
  <c r="O12" i="13"/>
  <c r="N12" i="13"/>
  <c r="T12" i="13"/>
  <c r="N27" i="13"/>
  <c r="A81" i="15"/>
  <c r="U29" i="13"/>
  <c r="D29" i="13"/>
  <c r="E30" i="12" s="1"/>
  <c r="T29" i="13"/>
  <c r="S29" i="13"/>
  <c r="A85" i="15"/>
  <c r="N33" i="13"/>
  <c r="F33" i="13"/>
  <c r="W33" i="13"/>
  <c r="E33" i="13"/>
  <c r="H34" i="12" s="1"/>
  <c r="U33" i="13"/>
  <c r="H63" i="13"/>
  <c r="R109" i="13"/>
  <c r="T114" i="13"/>
  <c r="O138" i="13"/>
  <c r="A206" i="15"/>
  <c r="H154" i="13"/>
  <c r="W154" i="13"/>
  <c r="S154" i="13"/>
  <c r="R154" i="13"/>
  <c r="Q154" i="13"/>
  <c r="N154" i="13"/>
  <c r="E154" i="13"/>
  <c r="H155" i="12" s="1"/>
  <c r="J155" i="12" s="1"/>
  <c r="B154" i="13"/>
  <c r="U154" i="13"/>
  <c r="P154" i="13"/>
  <c r="G183" i="13"/>
  <c r="A58" i="15"/>
  <c r="O6" i="13"/>
  <c r="N6" i="13"/>
  <c r="R6" i="13"/>
  <c r="B12" i="13"/>
  <c r="U12" i="13"/>
  <c r="A71" i="15"/>
  <c r="U19" i="13"/>
  <c r="D19" i="13"/>
  <c r="E20" i="12" s="1"/>
  <c r="T19" i="13"/>
  <c r="S19" i="13"/>
  <c r="A78" i="15"/>
  <c r="O26" i="13"/>
  <c r="N26" i="13"/>
  <c r="T26" i="13"/>
  <c r="B29" i="13"/>
  <c r="V29" i="13"/>
  <c r="B33" i="13"/>
  <c r="V33" i="13"/>
  <c r="A99" i="15"/>
  <c r="N47" i="13"/>
  <c r="H47" i="13"/>
  <c r="U47" i="13"/>
  <c r="H57" i="13"/>
  <c r="A142" i="15"/>
  <c r="W90" i="13"/>
  <c r="F90" i="13"/>
  <c r="K91" i="12" s="1"/>
  <c r="M91" i="12" s="1"/>
  <c r="N90" i="13"/>
  <c r="G90" i="13"/>
  <c r="T90" i="13"/>
  <c r="S90" i="13"/>
  <c r="P90" i="13"/>
  <c r="O90" i="13"/>
  <c r="A155" i="15"/>
  <c r="Q103" i="13"/>
  <c r="O103" i="13"/>
  <c r="H103" i="13"/>
  <c r="T103" i="13"/>
  <c r="S103" i="13"/>
  <c r="R103" i="13"/>
  <c r="N103" i="13"/>
  <c r="G103" i="13"/>
  <c r="E103" i="13"/>
  <c r="W103" i="13"/>
  <c r="G122" i="13"/>
  <c r="V138" i="13"/>
  <c r="H165" i="13"/>
  <c r="H173" i="13"/>
  <c r="A62" i="15"/>
  <c r="O10" i="13"/>
  <c r="N10" i="13"/>
  <c r="T10" i="13"/>
  <c r="A79" i="15"/>
  <c r="U27" i="13"/>
  <c r="T27" i="13"/>
  <c r="S27" i="13"/>
  <c r="A131" i="15"/>
  <c r="N79" i="13"/>
  <c r="H79" i="13"/>
  <c r="V79" i="13"/>
  <c r="S79" i="13"/>
  <c r="H90" i="13"/>
  <c r="F103" i="13"/>
  <c r="H121" i="13"/>
  <c r="A161" i="15"/>
  <c r="S109" i="13"/>
  <c r="B109" i="13"/>
  <c r="Q109" i="13"/>
  <c r="P109" i="13"/>
  <c r="N109" i="13"/>
  <c r="V109" i="13"/>
  <c r="U109" i="13"/>
  <c r="T109" i="13"/>
  <c r="O109" i="13"/>
  <c r="H109" i="13"/>
  <c r="A166" i="15"/>
  <c r="H114" i="13"/>
  <c r="W114" i="13"/>
  <c r="F114" i="13"/>
  <c r="K115" i="12" s="1"/>
  <c r="M115" i="12" s="1"/>
  <c r="N114" i="13"/>
  <c r="E114" i="13"/>
  <c r="Q114" i="13"/>
  <c r="P114" i="13"/>
  <c r="O114" i="13"/>
  <c r="G114" i="13"/>
  <c r="B114" i="13"/>
  <c r="U114" i="13"/>
  <c r="S114" i="13"/>
  <c r="H129" i="13"/>
  <c r="A202" i="15"/>
  <c r="H150" i="13"/>
  <c r="W150" i="13"/>
  <c r="R150" i="13"/>
  <c r="Q150" i="13"/>
  <c r="N150" i="13"/>
  <c r="E150" i="13"/>
  <c r="H151" i="12" s="1"/>
  <c r="J151" i="12" s="1"/>
  <c r="U150" i="13"/>
  <c r="T150" i="13"/>
  <c r="S150" i="13"/>
  <c r="P150" i="13"/>
  <c r="B150" i="13"/>
  <c r="H167" i="13"/>
  <c r="B168" i="12"/>
  <c r="A163" i="15"/>
  <c r="S111" i="13"/>
  <c r="B111" i="13"/>
  <c r="Q111" i="13"/>
  <c r="E111" i="13"/>
  <c r="V111" i="13"/>
  <c r="W111" i="13"/>
  <c r="O118" i="13"/>
  <c r="A175" i="15"/>
  <c r="S123" i="13"/>
  <c r="B123" i="13"/>
  <c r="Q123" i="13"/>
  <c r="E123" i="13"/>
  <c r="H124" i="12" s="1"/>
  <c r="V123" i="13"/>
  <c r="W123" i="13"/>
  <c r="A191" i="15"/>
  <c r="S139" i="13"/>
  <c r="B139" i="13"/>
  <c r="Q139" i="13"/>
  <c r="N139" i="13"/>
  <c r="H139" i="13"/>
  <c r="V139" i="13"/>
  <c r="S146" i="13"/>
  <c r="A203" i="15"/>
  <c r="S151" i="13"/>
  <c r="B151" i="13"/>
  <c r="Q151" i="13"/>
  <c r="O151" i="13"/>
  <c r="N151" i="13"/>
  <c r="H151" i="13"/>
  <c r="V151" i="13"/>
  <c r="E215" i="15"/>
  <c r="B215" i="15"/>
  <c r="H215" i="15"/>
  <c r="G215" i="15"/>
  <c r="F215" i="15"/>
  <c r="C215" i="15"/>
  <c r="D215" i="15"/>
  <c r="N178" i="13"/>
  <c r="A139" i="15"/>
  <c r="Q87" i="13"/>
  <c r="O87" i="13"/>
  <c r="H87" i="13"/>
  <c r="U87" i="13"/>
  <c r="Q88" i="13"/>
  <c r="Q94" i="13"/>
  <c r="A150" i="15"/>
  <c r="W98" i="13"/>
  <c r="F98" i="13"/>
  <c r="K99" i="12" s="1"/>
  <c r="N98" i="13"/>
  <c r="U98" i="13"/>
  <c r="R100" i="13"/>
  <c r="O101" i="13"/>
  <c r="D111" i="13"/>
  <c r="E112" i="12" s="1"/>
  <c r="A165" i="15"/>
  <c r="S113" i="13"/>
  <c r="B113" i="13"/>
  <c r="Q113" i="13"/>
  <c r="P113" i="13"/>
  <c r="N113" i="13"/>
  <c r="W113" i="13"/>
  <c r="Q118" i="13"/>
  <c r="D123" i="13"/>
  <c r="A178" i="15"/>
  <c r="H126" i="13"/>
  <c r="W126" i="13"/>
  <c r="F126" i="13"/>
  <c r="K127" i="12" s="1"/>
  <c r="M127" i="12" s="1"/>
  <c r="Q126" i="13"/>
  <c r="N126" i="13"/>
  <c r="A179" i="15"/>
  <c r="S127" i="13"/>
  <c r="B127" i="13"/>
  <c r="Q127" i="13"/>
  <c r="H127" i="13"/>
  <c r="V127" i="13"/>
  <c r="H130" i="13"/>
  <c r="W130" i="13"/>
  <c r="A182" i="15"/>
  <c r="Q130" i="13"/>
  <c r="N130" i="13"/>
  <c r="A183" i="15"/>
  <c r="S131" i="13"/>
  <c r="B131" i="13"/>
  <c r="Q131" i="13"/>
  <c r="H131" i="13"/>
  <c r="E131" i="13"/>
  <c r="V131" i="13"/>
  <c r="A186" i="15"/>
  <c r="H134" i="13"/>
  <c r="W134" i="13"/>
  <c r="Q134" i="13"/>
  <c r="N134" i="13"/>
  <c r="E134" i="13"/>
  <c r="H135" i="12" s="1"/>
  <c r="J135" i="12" s="1"/>
  <c r="A187" i="15"/>
  <c r="S135" i="13"/>
  <c r="B135" i="13"/>
  <c r="Q135" i="13"/>
  <c r="H135" i="13"/>
  <c r="V135" i="13"/>
  <c r="A214" i="15"/>
  <c r="H162" i="13"/>
  <c r="W162" i="13"/>
  <c r="F162" i="13"/>
  <c r="K163" i="12" s="1"/>
  <c r="S162" i="13"/>
  <c r="R162" i="13"/>
  <c r="Q162" i="13"/>
  <c r="N162" i="13"/>
  <c r="E162" i="13"/>
  <c r="H163" i="12" s="1"/>
  <c r="H163" i="13"/>
  <c r="A216" i="15"/>
  <c r="G164" i="13"/>
  <c r="O164" i="13"/>
  <c r="H164" i="13"/>
  <c r="D164" i="13"/>
  <c r="E165" i="12" s="1"/>
  <c r="G165" i="12" s="1"/>
  <c r="W164" i="13"/>
  <c r="V164" i="13"/>
  <c r="B164" i="13"/>
  <c r="S164" i="13"/>
  <c r="Q164" i="13"/>
  <c r="A218" i="15"/>
  <c r="Q166" i="13"/>
  <c r="O166" i="13"/>
  <c r="P166" i="13"/>
  <c r="N166" i="13"/>
  <c r="H166" i="13"/>
  <c r="V166" i="13"/>
  <c r="B166" i="13"/>
  <c r="A151" i="15"/>
  <c r="Q99" i="13"/>
  <c r="V99" i="13"/>
  <c r="T99" i="13"/>
  <c r="B99" i="13"/>
  <c r="W99" i="13"/>
  <c r="R101" i="13"/>
  <c r="G111" i="13"/>
  <c r="A167" i="15"/>
  <c r="S115" i="13"/>
  <c r="B115" i="13"/>
  <c r="Q115" i="13"/>
  <c r="V115" i="13"/>
  <c r="W115" i="13"/>
  <c r="S118" i="13"/>
  <c r="G123" i="13"/>
  <c r="A199" i="15"/>
  <c r="S147" i="13"/>
  <c r="B147" i="13"/>
  <c r="Q147" i="13"/>
  <c r="N147" i="13"/>
  <c r="H147" i="13"/>
  <c r="E147" i="13"/>
  <c r="H148" i="12" s="1"/>
  <c r="J148" i="12" s="1"/>
  <c r="V147" i="13"/>
  <c r="A207" i="15"/>
  <c r="S155" i="13"/>
  <c r="B155" i="13"/>
  <c r="Q155" i="13"/>
  <c r="O155" i="13"/>
  <c r="N155" i="13"/>
  <c r="H155" i="13"/>
  <c r="E155" i="13"/>
  <c r="V155" i="13"/>
  <c r="H169" i="13"/>
  <c r="A239" i="15"/>
  <c r="W187" i="13"/>
  <c r="F187" i="13"/>
  <c r="K188" i="12" s="1"/>
  <c r="O187" i="13"/>
  <c r="R187" i="13"/>
  <c r="P187" i="13"/>
  <c r="B187" i="13"/>
  <c r="U187" i="13"/>
  <c r="T187" i="13"/>
  <c r="S187" i="13"/>
  <c r="H187" i="13"/>
  <c r="G187" i="13"/>
  <c r="E187" i="13"/>
  <c r="H188" i="12" s="1"/>
  <c r="J188" i="12" s="1"/>
  <c r="A140" i="15"/>
  <c r="W88" i="13"/>
  <c r="U88" i="13"/>
  <c r="T88" i="13"/>
  <c r="A146" i="15"/>
  <c r="W94" i="13"/>
  <c r="F94" i="13"/>
  <c r="T94" i="13"/>
  <c r="B94" i="13"/>
  <c r="R94" i="13"/>
  <c r="V94" i="13"/>
  <c r="A152" i="15"/>
  <c r="W100" i="13"/>
  <c r="F100" i="13"/>
  <c r="K101" i="12" s="1"/>
  <c r="Q100" i="13"/>
  <c r="O100" i="13"/>
  <c r="U100" i="13"/>
  <c r="H111" i="13"/>
  <c r="H123" i="13"/>
  <c r="A198" i="15"/>
  <c r="H146" i="13"/>
  <c r="W146" i="13"/>
  <c r="F146" i="13"/>
  <c r="R146" i="13"/>
  <c r="Q146" i="13"/>
  <c r="N146" i="13"/>
  <c r="E146" i="13"/>
  <c r="H179" i="13"/>
  <c r="A153" i="15"/>
  <c r="Q101" i="13"/>
  <c r="W101" i="13"/>
  <c r="E101" i="13"/>
  <c r="U101" i="13"/>
  <c r="A170" i="15"/>
  <c r="H118" i="13"/>
  <c r="W118" i="13"/>
  <c r="N118" i="13"/>
  <c r="V118" i="13"/>
  <c r="A230" i="15"/>
  <c r="G178" i="13"/>
  <c r="Q178" i="13"/>
  <c r="O178" i="13"/>
  <c r="D178" i="13"/>
  <c r="W178" i="13"/>
  <c r="V178" i="13"/>
  <c r="B178" i="13"/>
  <c r="S178" i="13"/>
  <c r="R178" i="13"/>
  <c r="P178" i="13"/>
  <c r="X130" i="12"/>
  <c r="X142" i="12"/>
  <c r="X154" i="12"/>
  <c r="X166" i="12"/>
  <c r="Y173" i="12"/>
  <c r="Y185" i="12"/>
  <c r="Y197" i="12"/>
  <c r="A93" i="15"/>
  <c r="N41" i="13"/>
  <c r="S41" i="13"/>
  <c r="A103" i="15"/>
  <c r="N51" i="13"/>
  <c r="T51" i="13"/>
  <c r="A109" i="15"/>
  <c r="N57" i="13"/>
  <c r="G57" i="13"/>
  <c r="T57" i="13"/>
  <c r="A115" i="15"/>
  <c r="N63" i="13"/>
  <c r="G63" i="13"/>
  <c r="T63" i="13"/>
  <c r="A121" i="15"/>
  <c r="N69" i="13"/>
  <c r="T69" i="13"/>
  <c r="D88" i="13"/>
  <c r="O98" i="13"/>
  <c r="D100" i="13"/>
  <c r="B101" i="13"/>
  <c r="V101" i="13"/>
  <c r="A159" i="15"/>
  <c r="S107" i="13"/>
  <c r="B107" i="13"/>
  <c r="Q107" i="13"/>
  <c r="E107" i="13"/>
  <c r="H108" i="12" s="1"/>
  <c r="V107" i="13"/>
  <c r="W107" i="13"/>
  <c r="P111" i="13"/>
  <c r="H113" i="13"/>
  <c r="B118" i="13"/>
  <c r="A171" i="15"/>
  <c r="S119" i="13"/>
  <c r="B119" i="13"/>
  <c r="Q119" i="13"/>
  <c r="E119" i="13"/>
  <c r="V119" i="13"/>
  <c r="W119" i="13"/>
  <c r="U121" i="13"/>
  <c r="P123" i="13"/>
  <c r="P126" i="13"/>
  <c r="O127" i="13"/>
  <c r="P130" i="13"/>
  <c r="O131" i="13"/>
  <c r="P134" i="13"/>
  <c r="O135" i="13"/>
  <c r="T139" i="13"/>
  <c r="A195" i="15"/>
  <c r="S143" i="13"/>
  <c r="B143" i="13"/>
  <c r="Q143" i="13"/>
  <c r="N143" i="13"/>
  <c r="H143" i="13"/>
  <c r="E143" i="13"/>
  <c r="H144" i="12" s="1"/>
  <c r="V143" i="13"/>
  <c r="D146" i="13"/>
  <c r="E147" i="12" s="1"/>
  <c r="U151" i="13"/>
  <c r="G155" i="13"/>
  <c r="A211" i="15"/>
  <c r="S159" i="13"/>
  <c r="B159" i="13"/>
  <c r="Q159" i="13"/>
  <c r="O159" i="13"/>
  <c r="N159" i="13"/>
  <c r="H159" i="13"/>
  <c r="V159" i="13"/>
  <c r="P162" i="13"/>
  <c r="R164" i="13"/>
  <c r="T166" i="13"/>
  <c r="A228" i="15"/>
  <c r="O176" i="13"/>
  <c r="H176" i="13"/>
  <c r="S176" i="13"/>
  <c r="R176" i="13"/>
  <c r="Q176" i="13"/>
  <c r="H181" i="13"/>
  <c r="Q187" i="13"/>
  <c r="M130" i="12"/>
  <c r="M202" i="12"/>
  <c r="A86" i="15"/>
  <c r="T34" i="13"/>
  <c r="R34" i="13"/>
  <c r="B41" i="13"/>
  <c r="T41" i="13"/>
  <c r="A98" i="15"/>
  <c r="T46" i="13"/>
  <c r="R46" i="13"/>
  <c r="B51" i="13"/>
  <c r="U51" i="13"/>
  <c r="B57" i="13"/>
  <c r="U57" i="13"/>
  <c r="B63" i="13"/>
  <c r="U63" i="13"/>
  <c r="B69" i="13"/>
  <c r="U69" i="13"/>
  <c r="A127" i="15"/>
  <c r="N75" i="13"/>
  <c r="T75" i="13"/>
  <c r="A135" i="15"/>
  <c r="N83" i="13"/>
  <c r="T83" i="13"/>
  <c r="N87" i="13"/>
  <c r="G94" i="13"/>
  <c r="A148" i="15"/>
  <c r="W96" i="13"/>
  <c r="F96" i="13"/>
  <c r="K97" i="12" s="1"/>
  <c r="U96" i="13"/>
  <c r="T96" i="13"/>
  <c r="P98" i="13"/>
  <c r="H99" i="13"/>
  <c r="E100" i="13"/>
  <c r="H101" i="12" s="1"/>
  <c r="A154" i="15"/>
  <c r="W102" i="13"/>
  <c r="F102" i="13"/>
  <c r="K103" i="12" s="1"/>
  <c r="T102" i="13"/>
  <c r="B102" i="13"/>
  <c r="R102" i="13"/>
  <c r="V102" i="13"/>
  <c r="R111" i="13"/>
  <c r="O113" i="13"/>
  <c r="H115" i="13"/>
  <c r="R123" i="13"/>
  <c r="R126" i="13"/>
  <c r="P127" i="13"/>
  <c r="R130" i="13"/>
  <c r="P131" i="13"/>
  <c r="R134" i="13"/>
  <c r="P135" i="13"/>
  <c r="U139" i="13"/>
  <c r="A194" i="15"/>
  <c r="H142" i="13"/>
  <c r="W142" i="13"/>
  <c r="F142" i="13"/>
  <c r="K143" i="12" s="1"/>
  <c r="R142" i="13"/>
  <c r="Q142" i="13"/>
  <c r="N142" i="13"/>
  <c r="E142" i="13"/>
  <c r="H143" i="12" s="1"/>
  <c r="G146" i="13"/>
  <c r="O147" i="13"/>
  <c r="W151" i="13"/>
  <c r="P155" i="13"/>
  <c r="T162" i="13"/>
  <c r="T164" i="13"/>
  <c r="U166" i="13"/>
  <c r="B176" i="13"/>
  <c r="E178" i="13"/>
  <c r="H179" i="12" s="1"/>
  <c r="V187" i="13"/>
  <c r="A251" i="15"/>
  <c r="W199" i="13"/>
  <c r="F199" i="13"/>
  <c r="K200" i="12" s="1"/>
  <c r="U199" i="13"/>
  <c r="P199" i="13"/>
  <c r="H199" i="13"/>
  <c r="E199" i="13"/>
  <c r="H200" i="12" s="1"/>
  <c r="S199" i="13"/>
  <c r="V199" i="13"/>
  <c r="T199" i="13"/>
  <c r="R199" i="13"/>
  <c r="Q199" i="13"/>
  <c r="O199" i="13"/>
  <c r="D199" i="13"/>
  <c r="E200" i="12" s="1"/>
  <c r="G200" i="12" s="1"/>
  <c r="B199" i="13"/>
  <c r="R113" i="13"/>
  <c r="N115" i="13"/>
  <c r="A173" i="15"/>
  <c r="S121" i="13"/>
  <c r="B121" i="13"/>
  <c r="Q121" i="13"/>
  <c r="P121" i="13"/>
  <c r="N121" i="13"/>
  <c r="W121" i="13"/>
  <c r="T123" i="13"/>
  <c r="S126" i="13"/>
  <c r="R127" i="13"/>
  <c r="S130" i="13"/>
  <c r="R131" i="13"/>
  <c r="S134" i="13"/>
  <c r="R135" i="13"/>
  <c r="W139" i="13"/>
  <c r="O146" i="13"/>
  <c r="P147" i="13"/>
  <c r="R155" i="13"/>
  <c r="A210" i="15"/>
  <c r="H158" i="13"/>
  <c r="W158" i="13"/>
  <c r="S158" i="13"/>
  <c r="R158" i="13"/>
  <c r="Q158" i="13"/>
  <c r="N158" i="13"/>
  <c r="U162" i="13"/>
  <c r="U164" i="13"/>
  <c r="W166" i="13"/>
  <c r="F178" i="13"/>
  <c r="H178" i="13"/>
  <c r="A235" i="15"/>
  <c r="W183" i="13"/>
  <c r="F183" i="13"/>
  <c r="K184" i="12" s="1"/>
  <c r="U183" i="13"/>
  <c r="R183" i="13"/>
  <c r="P183" i="13"/>
  <c r="H183" i="13"/>
  <c r="E183" i="13"/>
  <c r="H184" i="12" s="1"/>
  <c r="D183" i="13"/>
  <c r="E184" i="12" s="1"/>
  <c r="T183" i="13"/>
  <c r="S183" i="13"/>
  <c r="Q183" i="13"/>
  <c r="D102" i="15"/>
  <c r="B102" i="15"/>
  <c r="G102" i="15"/>
  <c r="H102" i="15"/>
  <c r="F102" i="15"/>
  <c r="E102" i="15"/>
  <c r="C102" i="15"/>
  <c r="R50" i="13"/>
  <c r="H104" i="15"/>
  <c r="G104" i="15"/>
  <c r="D104" i="15"/>
  <c r="C104" i="15"/>
  <c r="B104" i="15"/>
  <c r="F104" i="15"/>
  <c r="E104" i="15"/>
  <c r="R52" i="13"/>
  <c r="D106" i="15"/>
  <c r="C106" i="15"/>
  <c r="B106" i="15"/>
  <c r="G106" i="15"/>
  <c r="H106" i="15"/>
  <c r="F106" i="15"/>
  <c r="E106" i="15"/>
  <c r="R54" i="13"/>
  <c r="H108" i="15"/>
  <c r="G108" i="15"/>
  <c r="B108" i="15"/>
  <c r="F108" i="15"/>
  <c r="D108" i="15"/>
  <c r="C108" i="15"/>
  <c r="R56" i="13"/>
  <c r="D110" i="15"/>
  <c r="C110" i="15"/>
  <c r="B110" i="15"/>
  <c r="G110" i="15"/>
  <c r="H110" i="15"/>
  <c r="F110" i="15"/>
  <c r="E110" i="15"/>
  <c r="R58" i="13"/>
  <c r="H112" i="15"/>
  <c r="G112" i="15"/>
  <c r="F112" i="15"/>
  <c r="E112" i="15"/>
  <c r="D112" i="15"/>
  <c r="C112" i="15"/>
  <c r="B112" i="15"/>
  <c r="R60" i="13"/>
  <c r="D114" i="15"/>
  <c r="C114" i="15"/>
  <c r="B114" i="15"/>
  <c r="G114" i="15"/>
  <c r="F114" i="15"/>
  <c r="E114" i="15"/>
  <c r="H114" i="15"/>
  <c r="R62" i="13"/>
  <c r="H116" i="15"/>
  <c r="G116" i="15"/>
  <c r="F116" i="15"/>
  <c r="D116" i="15"/>
  <c r="C116" i="15"/>
  <c r="E116" i="15"/>
  <c r="B116" i="15"/>
  <c r="R64" i="13"/>
  <c r="D118" i="15"/>
  <c r="C118" i="15"/>
  <c r="B118" i="15"/>
  <c r="G118" i="15"/>
  <c r="H118" i="15"/>
  <c r="F118" i="15"/>
  <c r="E118" i="15"/>
  <c r="R66" i="13"/>
  <c r="H120" i="15"/>
  <c r="G120" i="15"/>
  <c r="F120" i="15"/>
  <c r="E120" i="15"/>
  <c r="D120" i="15"/>
  <c r="B120" i="15"/>
  <c r="C120" i="15"/>
  <c r="R68" i="13"/>
  <c r="D122" i="15"/>
  <c r="C122" i="15"/>
  <c r="B122" i="15"/>
  <c r="G122" i="15"/>
  <c r="H122" i="15"/>
  <c r="F122" i="15"/>
  <c r="E122" i="15"/>
  <c r="R70" i="13"/>
  <c r="H124" i="15"/>
  <c r="G124" i="15"/>
  <c r="F124" i="15"/>
  <c r="E124" i="15"/>
  <c r="D124" i="15"/>
  <c r="C124" i="15"/>
  <c r="B124" i="15"/>
  <c r="R72" i="13"/>
  <c r="D126" i="15"/>
  <c r="C126" i="15"/>
  <c r="B126" i="15"/>
  <c r="G126" i="15"/>
  <c r="H126" i="15"/>
  <c r="F126" i="15"/>
  <c r="E126" i="15"/>
  <c r="R74" i="13"/>
  <c r="B128" i="15"/>
  <c r="E128" i="15"/>
  <c r="H128" i="15"/>
  <c r="G128" i="15"/>
  <c r="F128" i="15"/>
  <c r="D128" i="15"/>
  <c r="C128" i="15"/>
  <c r="R76" i="13"/>
  <c r="E130" i="15"/>
  <c r="D130" i="15"/>
  <c r="B130" i="15"/>
  <c r="G130" i="15"/>
  <c r="F130" i="15"/>
  <c r="C130" i="15"/>
  <c r="H130" i="15"/>
  <c r="R78" i="13"/>
  <c r="D132" i="15"/>
  <c r="C132" i="15"/>
  <c r="B132" i="15"/>
  <c r="G132" i="15"/>
  <c r="H132" i="15"/>
  <c r="F132" i="15"/>
  <c r="E132" i="15"/>
  <c r="R80" i="13"/>
  <c r="E134" i="15"/>
  <c r="D134" i="15"/>
  <c r="F134" i="15"/>
  <c r="C134" i="15"/>
  <c r="B134" i="15"/>
  <c r="H134" i="15"/>
  <c r="G134" i="15"/>
  <c r="R82" i="13"/>
  <c r="F136" i="15"/>
  <c r="E136" i="15"/>
  <c r="D136" i="15"/>
  <c r="C136" i="15"/>
  <c r="H136" i="15"/>
  <c r="B136" i="15"/>
  <c r="G136" i="15"/>
  <c r="R84" i="13"/>
  <c r="A138" i="15"/>
  <c r="W86" i="13"/>
  <c r="R86" i="13"/>
  <c r="N125" i="13"/>
  <c r="N129" i="13"/>
  <c r="N133" i="13"/>
  <c r="N137" i="13"/>
  <c r="N141" i="13"/>
  <c r="N145" i="13"/>
  <c r="N149" i="13"/>
  <c r="N153" i="13"/>
  <c r="N157" i="13"/>
  <c r="N161" i="13"/>
  <c r="H172" i="13"/>
  <c r="O185" i="13"/>
  <c r="H192" i="13"/>
  <c r="S196" i="13"/>
  <c r="A250" i="15"/>
  <c r="Q198" i="13"/>
  <c r="H198" i="13"/>
  <c r="U198" i="13"/>
  <c r="P198" i="13"/>
  <c r="N198" i="13"/>
  <c r="W198" i="13"/>
  <c r="Q74" i="15"/>
  <c r="P74" i="15"/>
  <c r="N74" i="15"/>
  <c r="M74" i="15"/>
  <c r="K74" i="15"/>
  <c r="O74" i="15"/>
  <c r="L74" i="15"/>
  <c r="N172" i="13"/>
  <c r="H186" i="13"/>
  <c r="O192" i="13"/>
  <c r="D42" i="15"/>
  <c r="B42" i="15"/>
  <c r="K56" i="15"/>
  <c r="K54" i="15"/>
  <c r="T50" i="13"/>
  <c r="T52" i="13"/>
  <c r="T54" i="13"/>
  <c r="T56" i="13"/>
  <c r="T58" i="13"/>
  <c r="T60" i="13"/>
  <c r="T62" i="13"/>
  <c r="T64" i="13"/>
  <c r="T66" i="13"/>
  <c r="T68" i="13"/>
  <c r="T70" i="13"/>
  <c r="T72" i="13"/>
  <c r="A141" i="15"/>
  <c r="Q89" i="13"/>
  <c r="S89" i="13"/>
  <c r="A149" i="15"/>
  <c r="Q97" i="13"/>
  <c r="S97" i="13"/>
  <c r="A157" i="15"/>
  <c r="Q105" i="13"/>
  <c r="S105" i="13"/>
  <c r="A160" i="15"/>
  <c r="H108" i="13"/>
  <c r="W108" i="13"/>
  <c r="T108" i="13"/>
  <c r="A164" i="15"/>
  <c r="H112" i="13"/>
  <c r="W112" i="13"/>
  <c r="F112" i="13"/>
  <c r="K113" i="12" s="1"/>
  <c r="T112" i="13"/>
  <c r="A168" i="15"/>
  <c r="H116" i="13"/>
  <c r="W116" i="13"/>
  <c r="F116" i="13"/>
  <c r="T116" i="13"/>
  <c r="A172" i="15"/>
  <c r="H120" i="13"/>
  <c r="W120" i="13"/>
  <c r="F120" i="13"/>
  <c r="T120" i="13"/>
  <c r="A176" i="15"/>
  <c r="H124" i="13"/>
  <c r="W124" i="13"/>
  <c r="T124" i="13"/>
  <c r="A180" i="15"/>
  <c r="H128" i="13"/>
  <c r="W128" i="13"/>
  <c r="F128" i="13"/>
  <c r="K129" i="12" s="1"/>
  <c r="T128" i="13"/>
  <c r="A184" i="15"/>
  <c r="H132" i="13"/>
  <c r="W132" i="13"/>
  <c r="F132" i="13"/>
  <c r="T132" i="13"/>
  <c r="A188" i="15"/>
  <c r="H136" i="13"/>
  <c r="W136" i="13"/>
  <c r="F136" i="13"/>
  <c r="K137" i="12" s="1"/>
  <c r="T136" i="13"/>
  <c r="A192" i="15"/>
  <c r="H140" i="13"/>
  <c r="W140" i="13"/>
  <c r="T140" i="13"/>
  <c r="A196" i="15"/>
  <c r="H144" i="13"/>
  <c r="W144" i="13"/>
  <c r="F144" i="13"/>
  <c r="K145" i="12" s="1"/>
  <c r="T144" i="13"/>
  <c r="H148" i="13"/>
  <c r="W148" i="13"/>
  <c r="F148" i="13"/>
  <c r="K149" i="12" s="1"/>
  <c r="M149" i="12" s="1"/>
  <c r="A200" i="15"/>
  <c r="T148" i="13"/>
  <c r="A204" i="15"/>
  <c r="H152" i="13"/>
  <c r="W152" i="13"/>
  <c r="T152" i="13"/>
  <c r="A208" i="15"/>
  <c r="H156" i="13"/>
  <c r="W156" i="13"/>
  <c r="F156" i="13"/>
  <c r="K157" i="12" s="1"/>
  <c r="T156" i="13"/>
  <c r="A212" i="15"/>
  <c r="H160" i="13"/>
  <c r="W160" i="13"/>
  <c r="F160" i="13"/>
  <c r="K161" i="12" s="1"/>
  <c r="M161" i="12" s="1"/>
  <c r="T160" i="13"/>
  <c r="O172" i="13"/>
  <c r="A226" i="15"/>
  <c r="H174" i="13"/>
  <c r="W174" i="13"/>
  <c r="U174" i="13"/>
  <c r="N186" i="13"/>
  <c r="H188" i="13"/>
  <c r="N189" i="13"/>
  <c r="N190" i="13"/>
  <c r="H191" i="13"/>
  <c r="S192" i="13"/>
  <c r="A249" i="15"/>
  <c r="W197" i="13"/>
  <c r="F197" i="13"/>
  <c r="R197" i="13"/>
  <c r="H197" i="13"/>
  <c r="T197" i="13"/>
  <c r="Q197" i="13"/>
  <c r="O197" i="13"/>
  <c r="E197" i="13"/>
  <c r="H198" i="12" s="1"/>
  <c r="E108" i="15"/>
  <c r="A177" i="15"/>
  <c r="S125" i="13"/>
  <c r="B125" i="13"/>
  <c r="Q125" i="13"/>
  <c r="U125" i="13"/>
  <c r="A181" i="15"/>
  <c r="S129" i="13"/>
  <c r="B129" i="13"/>
  <c r="Q129" i="13"/>
  <c r="U129" i="13"/>
  <c r="A185" i="15"/>
  <c r="S133" i="13"/>
  <c r="B133" i="13"/>
  <c r="Q133" i="13"/>
  <c r="U133" i="13"/>
  <c r="A189" i="15"/>
  <c r="S137" i="13"/>
  <c r="B137" i="13"/>
  <c r="Q137" i="13"/>
  <c r="U137" i="13"/>
  <c r="A193" i="15"/>
  <c r="S141" i="13"/>
  <c r="B141" i="13"/>
  <c r="Q141" i="13"/>
  <c r="U141" i="13"/>
  <c r="A197" i="15"/>
  <c r="S145" i="13"/>
  <c r="B145" i="13"/>
  <c r="Q145" i="13"/>
  <c r="U145" i="13"/>
  <c r="A201" i="15"/>
  <c r="S149" i="13"/>
  <c r="B149" i="13"/>
  <c r="Q149" i="13"/>
  <c r="U149" i="13"/>
  <c r="A205" i="15"/>
  <c r="S153" i="13"/>
  <c r="B153" i="13"/>
  <c r="Q153" i="13"/>
  <c r="U153" i="13"/>
  <c r="A209" i="15"/>
  <c r="S157" i="13"/>
  <c r="B157" i="13"/>
  <c r="Q157" i="13"/>
  <c r="U157" i="13"/>
  <c r="A213" i="15"/>
  <c r="S161" i="13"/>
  <c r="B161" i="13"/>
  <c r="Q161" i="13"/>
  <c r="U161" i="13"/>
  <c r="H171" i="13"/>
  <c r="R172" i="13"/>
  <c r="R186" i="13"/>
  <c r="S188" i="13"/>
  <c r="Q189" i="13"/>
  <c r="R190" i="13"/>
  <c r="T191" i="13"/>
  <c r="A248" i="15"/>
  <c r="Q196" i="13"/>
  <c r="W196" i="13"/>
  <c r="E196" i="13"/>
  <c r="H197" i="12" s="1"/>
  <c r="R196" i="13"/>
  <c r="V196" i="13"/>
  <c r="B196" i="13"/>
  <c r="T196" i="13"/>
  <c r="P196" i="13"/>
  <c r="H196" i="13"/>
  <c r="V137" i="13"/>
  <c r="V141" i="13"/>
  <c r="V145" i="13"/>
  <c r="V149" i="13"/>
  <c r="V153" i="13"/>
  <c r="V157" i="13"/>
  <c r="V161" i="13"/>
  <c r="A237" i="15"/>
  <c r="W185" i="13"/>
  <c r="V185" i="13"/>
  <c r="U185" i="13"/>
  <c r="T188" i="13"/>
  <c r="S189" i="13"/>
  <c r="T190" i="13"/>
  <c r="T44" i="15"/>
  <c r="A224" i="15"/>
  <c r="G172" i="13"/>
  <c r="W172" i="13"/>
  <c r="E172" i="13"/>
  <c r="H173" i="12" s="1"/>
  <c r="U172" i="13"/>
  <c r="T172" i="13"/>
  <c r="A238" i="15"/>
  <c r="Q186" i="13"/>
  <c r="T186" i="13"/>
  <c r="B186" i="13"/>
  <c r="V186" i="13"/>
  <c r="S186" i="13"/>
  <c r="W186" i="13"/>
  <c r="A244" i="15"/>
  <c r="Q192" i="13"/>
  <c r="P192" i="13"/>
  <c r="R192" i="13"/>
  <c r="N192" i="13"/>
  <c r="W192" i="13"/>
  <c r="N97" i="15"/>
  <c r="L97" i="15"/>
  <c r="K97" i="15"/>
  <c r="Q97" i="15"/>
  <c r="P97" i="15"/>
  <c r="O97" i="15"/>
  <c r="M97" i="15"/>
  <c r="A243" i="15"/>
  <c r="W191" i="13"/>
  <c r="U191" i="13"/>
  <c r="P191" i="13"/>
  <c r="S191" i="13"/>
  <c r="Q191" i="13"/>
  <c r="N191" i="13"/>
  <c r="Q94" i="15"/>
  <c r="O94" i="15"/>
  <c r="N94" i="15"/>
  <c r="P94" i="15"/>
  <c r="M94" i="15"/>
  <c r="L94" i="15"/>
  <c r="K94" i="15"/>
  <c r="Q98" i="15"/>
  <c r="O98" i="15"/>
  <c r="N98" i="15"/>
  <c r="P98" i="15"/>
  <c r="L98" i="15"/>
  <c r="K98" i="15"/>
  <c r="M98" i="15"/>
  <c r="A240" i="15"/>
  <c r="Q188" i="13"/>
  <c r="W188" i="13"/>
  <c r="P188" i="13"/>
  <c r="N188" i="13"/>
  <c r="A241" i="15"/>
  <c r="W189" i="13"/>
  <c r="R189" i="13"/>
  <c r="H189" i="13"/>
  <c r="V189" i="13"/>
  <c r="A242" i="15"/>
  <c r="Q190" i="13"/>
  <c r="H190" i="13"/>
  <c r="W190" i="13"/>
  <c r="U190" i="13"/>
  <c r="B190" i="13"/>
  <c r="S190" i="13"/>
  <c r="B191" i="13"/>
  <c r="M66" i="15"/>
  <c r="K66" i="15"/>
  <c r="P66" i="15"/>
  <c r="O66" i="15"/>
  <c r="L66" i="15"/>
  <c r="N89" i="15"/>
  <c r="L89" i="15"/>
  <c r="K89" i="15"/>
  <c r="Q89" i="15"/>
  <c r="P89" i="15"/>
  <c r="O89" i="15"/>
  <c r="M89" i="15"/>
  <c r="A222" i="15"/>
  <c r="S170" i="13"/>
  <c r="A246" i="15"/>
  <c r="Q194" i="13"/>
  <c r="T194" i="13"/>
  <c r="B194" i="13"/>
  <c r="N194" i="13"/>
  <c r="V194" i="13"/>
  <c r="A252" i="15"/>
  <c r="Q200" i="13"/>
  <c r="P200" i="13"/>
  <c r="U200" i="13"/>
  <c r="D33" i="15"/>
  <c r="E33" i="15" s="1"/>
  <c r="O69" i="15"/>
  <c r="N69" i="15"/>
  <c r="M69" i="15"/>
  <c r="Q69" i="15"/>
  <c r="P69" i="15"/>
  <c r="L69" i="15"/>
  <c r="K69" i="15"/>
  <c r="N109" i="15"/>
  <c r="M109" i="15"/>
  <c r="L109" i="15"/>
  <c r="K109" i="15"/>
  <c r="Q109" i="15"/>
  <c r="P109" i="15"/>
  <c r="O109" i="15"/>
  <c r="A220" i="15"/>
  <c r="S168" i="13"/>
  <c r="A232" i="15"/>
  <c r="G180" i="13"/>
  <c r="S180" i="13"/>
  <c r="A247" i="15"/>
  <c r="W195" i="13"/>
  <c r="O195" i="13"/>
  <c r="V195" i="13"/>
  <c r="U195" i="13"/>
  <c r="M55" i="15"/>
  <c r="L55" i="15"/>
  <c r="K80" i="15"/>
  <c r="Q80" i="15"/>
  <c r="N80" i="15"/>
  <c r="M80" i="15"/>
  <c r="P80" i="15"/>
  <c r="O80" i="15"/>
  <c r="L80" i="15"/>
  <c r="D21" i="16"/>
  <c r="D16" i="15"/>
  <c r="K55" i="15"/>
  <c r="Q57" i="15"/>
  <c r="P57" i="15"/>
  <c r="O57" i="15"/>
  <c r="M57" i="15"/>
  <c r="L57" i="15"/>
  <c r="K70" i="15"/>
  <c r="Q70" i="15"/>
  <c r="P70" i="15"/>
  <c r="O70" i="15"/>
  <c r="N70" i="15"/>
  <c r="M70" i="15"/>
  <c r="L70" i="15"/>
  <c r="Q73" i="15"/>
  <c r="O73" i="15"/>
  <c r="N73" i="15"/>
  <c r="M73" i="15"/>
  <c r="L73" i="15"/>
  <c r="K73" i="15"/>
  <c r="M61" i="15"/>
  <c r="Q91" i="15"/>
  <c r="M91" i="15"/>
  <c r="L91" i="15"/>
  <c r="K91" i="15"/>
  <c r="Q107" i="15"/>
  <c r="K107" i="15"/>
  <c r="P107" i="15"/>
  <c r="O107" i="15"/>
  <c r="M107" i="15"/>
  <c r="L107" i="15"/>
  <c r="N91" i="15"/>
  <c r="N107" i="15"/>
  <c r="O67" i="15"/>
  <c r="M67" i="15"/>
  <c r="P67" i="15"/>
  <c r="N67" i="15"/>
  <c r="L67" i="15"/>
  <c r="Q68" i="15"/>
  <c r="O68" i="15"/>
  <c r="N75" i="15"/>
  <c r="M75" i="15"/>
  <c r="L75" i="15"/>
  <c r="Q78" i="15"/>
  <c r="O78" i="15"/>
  <c r="N78" i="15"/>
  <c r="M78" i="15"/>
  <c r="L78" i="15"/>
  <c r="K78" i="15"/>
  <c r="O91" i="15"/>
  <c r="A245" i="15"/>
  <c r="W193" i="13"/>
  <c r="S193" i="13"/>
  <c r="E75" i="16"/>
  <c r="A71" i="16"/>
  <c r="D75" i="16"/>
  <c r="A70" i="16"/>
  <c r="B23" i="16"/>
  <c r="A81" i="16"/>
  <c r="C75" i="16"/>
  <c r="A69" i="16"/>
  <c r="B5" i="16"/>
  <c r="B75" i="16"/>
  <c r="B77" i="16"/>
  <c r="B74" i="16"/>
  <c r="E76" i="16"/>
  <c r="E73" i="16"/>
  <c r="D76" i="16"/>
  <c r="D73" i="16"/>
  <c r="C74" i="16"/>
  <c r="C73" i="16"/>
  <c r="B73" i="16"/>
  <c r="A84" i="16"/>
  <c r="C23" i="16"/>
  <c r="G262" i="15"/>
  <c r="D8" i="16"/>
  <c r="F262" i="15"/>
  <c r="E77" i="16"/>
  <c r="C77" i="16"/>
  <c r="C262" i="15"/>
  <c r="D261" i="15"/>
  <c r="C76" i="16"/>
  <c r="D77" i="16"/>
  <c r="B76" i="16"/>
  <c r="D23" i="16"/>
  <c r="C258" i="15"/>
  <c r="E74" i="16"/>
  <c r="C261" i="15"/>
  <c r="D74" i="16"/>
  <c r="A4" i="16"/>
  <c r="D259" i="15"/>
  <c r="A8" i="16"/>
  <c r="D262" i="15"/>
  <c r="D260" i="15"/>
  <c r="D258" i="15"/>
  <c r="C260" i="15"/>
  <c r="C259" i="15"/>
  <c r="E14" i="15"/>
  <c r="T35" i="15"/>
  <c r="N59" i="15"/>
  <c r="M59" i="15"/>
  <c r="L59" i="15"/>
  <c r="P61" i="15"/>
  <c r="K67" i="15"/>
  <c r="K68" i="15"/>
  <c r="K75" i="15"/>
  <c r="P78" i="15"/>
  <c r="Q83" i="15"/>
  <c r="N83" i="15"/>
  <c r="M83" i="15"/>
  <c r="P91" i="15"/>
  <c r="T36" i="15"/>
  <c r="Q63" i="15"/>
  <c r="P63" i="15"/>
  <c r="O63" i="15"/>
  <c r="N63" i="15"/>
  <c r="T34" i="15"/>
  <c r="T46" i="15"/>
  <c r="Q60" i="15"/>
  <c r="P60" i="15"/>
  <c r="O60" i="15"/>
  <c r="K63" i="15"/>
  <c r="N125" i="15"/>
  <c r="M125" i="15"/>
  <c r="L125" i="15"/>
  <c r="K125" i="15"/>
  <c r="Q125" i="15"/>
  <c r="P125" i="15"/>
  <c r="L63" i="15"/>
  <c r="Q106" i="15"/>
  <c r="P106" i="15"/>
  <c r="O106" i="15"/>
  <c r="N106" i="15"/>
  <c r="L106" i="15"/>
  <c r="K106" i="15"/>
  <c r="O125" i="15"/>
  <c r="L144" i="15"/>
  <c r="K144" i="15"/>
  <c r="Q144" i="15"/>
  <c r="O144" i="15"/>
  <c r="N144" i="15"/>
  <c r="P144" i="15"/>
  <c r="M144" i="15"/>
  <c r="R163" i="13"/>
  <c r="D217" i="15"/>
  <c r="C217" i="15"/>
  <c r="H217" i="15"/>
  <c r="F217" i="15"/>
  <c r="E217" i="15"/>
  <c r="G217" i="15"/>
  <c r="B217" i="15"/>
  <c r="R165" i="13"/>
  <c r="H219" i="15"/>
  <c r="F219" i="15"/>
  <c r="C219" i="15"/>
  <c r="G219" i="15"/>
  <c r="D219" i="15"/>
  <c r="B219" i="15"/>
  <c r="E219" i="15"/>
  <c r="R167" i="13"/>
  <c r="E221" i="15"/>
  <c r="B221" i="15"/>
  <c r="H221" i="15"/>
  <c r="G221" i="15"/>
  <c r="D221" i="15"/>
  <c r="F221" i="15"/>
  <c r="C221" i="15"/>
  <c r="R169" i="13"/>
  <c r="D223" i="15"/>
  <c r="H223" i="15"/>
  <c r="E223" i="15"/>
  <c r="C223" i="15"/>
  <c r="B223" i="15"/>
  <c r="G223" i="15"/>
  <c r="F223" i="15"/>
  <c r="R171" i="13"/>
  <c r="H225" i="15"/>
  <c r="F225" i="15"/>
  <c r="B225" i="15"/>
  <c r="E225" i="15"/>
  <c r="D225" i="15"/>
  <c r="C225" i="15"/>
  <c r="G225" i="15"/>
  <c r="R173" i="13"/>
  <c r="F227" i="15"/>
  <c r="G227" i="15"/>
  <c r="E227" i="15"/>
  <c r="D227" i="15"/>
  <c r="C227" i="15"/>
  <c r="H227" i="15"/>
  <c r="B227" i="15"/>
  <c r="R175" i="13"/>
  <c r="D229" i="15"/>
  <c r="H229" i="15"/>
  <c r="G229" i="15"/>
  <c r="C229" i="15"/>
  <c r="F229" i="15"/>
  <c r="E229" i="15"/>
  <c r="B229" i="15"/>
  <c r="R177" i="13"/>
  <c r="H231" i="15"/>
  <c r="B231" i="15"/>
  <c r="G231" i="15"/>
  <c r="E231" i="15"/>
  <c r="F231" i="15"/>
  <c r="C231" i="15"/>
  <c r="D231" i="15"/>
  <c r="R179" i="13"/>
  <c r="A233" i="15"/>
  <c r="W181" i="13"/>
  <c r="R181" i="13"/>
  <c r="L54" i="15"/>
  <c r="L56" i="15"/>
  <c r="L60" i="15"/>
  <c r="M63" i="15"/>
  <c r="M71" i="15"/>
  <c r="K71" i="15"/>
  <c r="P71" i="15"/>
  <c r="O71" i="15"/>
  <c r="N71" i="15"/>
  <c r="O72" i="15"/>
  <c r="M72" i="15"/>
  <c r="M106" i="15"/>
  <c r="E12" i="15"/>
  <c r="M54" i="15"/>
  <c r="M56" i="15"/>
  <c r="M60" i="15"/>
  <c r="L71" i="15"/>
  <c r="K72" i="15"/>
  <c r="N81" i="15"/>
  <c r="L81" i="15"/>
  <c r="K81" i="15"/>
  <c r="P81" i="15"/>
  <c r="O81" i="15"/>
  <c r="M81" i="15"/>
  <c r="Q86" i="15"/>
  <c r="O86" i="15"/>
  <c r="N86" i="15"/>
  <c r="P86" i="15"/>
  <c r="M86" i="15"/>
  <c r="Q103" i="15"/>
  <c r="K103" i="15"/>
  <c r="O103" i="15"/>
  <c r="N103" i="15"/>
  <c r="Q126" i="15"/>
  <c r="P126" i="15"/>
  <c r="O126" i="15"/>
  <c r="N126" i="15"/>
  <c r="L126" i="15"/>
  <c r="O167" i="15"/>
  <c r="M167" i="15"/>
  <c r="Q167" i="15"/>
  <c r="P167" i="15"/>
  <c r="N167" i="15"/>
  <c r="L167" i="15"/>
  <c r="K167" i="15"/>
  <c r="N60" i="15"/>
  <c r="K65" i="15"/>
  <c r="P65" i="15"/>
  <c r="O65" i="15"/>
  <c r="N65" i="15"/>
  <c r="Q71" i="15"/>
  <c r="L72" i="15"/>
  <c r="Q81" i="15"/>
  <c r="K86" i="15"/>
  <c r="L103" i="15"/>
  <c r="K126" i="15"/>
  <c r="Q138" i="15"/>
  <c r="K138" i="15"/>
  <c r="M138" i="15"/>
  <c r="O138" i="15"/>
  <c r="N138" i="15"/>
  <c r="N77" i="15"/>
  <c r="L77" i="15"/>
  <c r="K77" i="15"/>
  <c r="Q90" i="15"/>
  <c r="O90" i="15"/>
  <c r="N90" i="15"/>
  <c r="P92" i="15"/>
  <c r="N93" i="15"/>
  <c r="L93" i="15"/>
  <c r="K93" i="15"/>
  <c r="N105" i="15"/>
  <c r="M105" i="15"/>
  <c r="L105" i="15"/>
  <c r="K105" i="15"/>
  <c r="Q105" i="15"/>
  <c r="L132" i="15"/>
  <c r="K132" i="15"/>
  <c r="Q132" i="15"/>
  <c r="P132" i="15"/>
  <c r="N132" i="15"/>
  <c r="Q92" i="15"/>
  <c r="Q99" i="15"/>
  <c r="K99" i="15"/>
  <c r="Q110" i="15"/>
  <c r="P110" i="15"/>
  <c r="O110" i="15"/>
  <c r="N110" i="15"/>
  <c r="Q111" i="15"/>
  <c r="K111" i="15"/>
  <c r="M132" i="15"/>
  <c r="K100" i="15"/>
  <c r="N100" i="15"/>
  <c r="Q114" i="15"/>
  <c r="P114" i="15"/>
  <c r="O114" i="15"/>
  <c r="N114" i="15"/>
  <c r="Q115" i="15"/>
  <c r="K115" i="15"/>
  <c r="Q130" i="15"/>
  <c r="P130" i="15"/>
  <c r="O130" i="15"/>
  <c r="N130" i="15"/>
  <c r="L130" i="15"/>
  <c r="O137" i="15"/>
  <c r="N137" i="15"/>
  <c r="P137" i="15"/>
  <c r="M137" i="15"/>
  <c r="L137" i="15"/>
  <c r="K137" i="15"/>
  <c r="Q77" i="15"/>
  <c r="N84" i="15"/>
  <c r="N87" i="15"/>
  <c r="P90" i="15"/>
  <c r="Q93" i="15"/>
  <c r="N99" i="15"/>
  <c r="L100" i="15"/>
  <c r="M110" i="15"/>
  <c r="N111" i="15"/>
  <c r="N113" i="15"/>
  <c r="M113" i="15"/>
  <c r="L113" i="15"/>
  <c r="K113" i="15"/>
  <c r="Q113" i="15"/>
  <c r="K114" i="15"/>
  <c r="L115" i="15"/>
  <c r="K130" i="15"/>
  <c r="Q137" i="15"/>
  <c r="L152" i="15"/>
  <c r="K152" i="15"/>
  <c r="Q152" i="15"/>
  <c r="P152" i="15"/>
  <c r="O152" i="15"/>
  <c r="N152" i="15"/>
  <c r="M152" i="15"/>
  <c r="O84" i="15"/>
  <c r="O87" i="15"/>
  <c r="L88" i="15"/>
  <c r="Q95" i="15"/>
  <c r="K95" i="15"/>
  <c r="O99" i="15"/>
  <c r="M100" i="15"/>
  <c r="O111" i="15"/>
  <c r="O113" i="15"/>
  <c r="L114" i="15"/>
  <c r="M115" i="15"/>
  <c r="Q118" i="15"/>
  <c r="P118" i="15"/>
  <c r="O118" i="15"/>
  <c r="N118" i="15"/>
  <c r="Q119" i="15"/>
  <c r="K119" i="15"/>
  <c r="M130" i="15"/>
  <c r="Q150" i="15"/>
  <c r="M150" i="15"/>
  <c r="L150" i="15"/>
  <c r="K150" i="15"/>
  <c r="P150" i="15"/>
  <c r="O150" i="15"/>
  <c r="N150" i="15"/>
  <c r="Q62" i="15"/>
  <c r="O62" i="15"/>
  <c r="Q82" i="15"/>
  <c r="O82" i="15"/>
  <c r="N82" i="15"/>
  <c r="P84" i="15"/>
  <c r="N85" i="15"/>
  <c r="L85" i="15"/>
  <c r="K85" i="15"/>
  <c r="P87" i="15"/>
  <c r="M88" i="15"/>
  <c r="L95" i="15"/>
  <c r="P99" i="15"/>
  <c r="O100" i="15"/>
  <c r="N101" i="15"/>
  <c r="L101" i="15"/>
  <c r="K101" i="15"/>
  <c r="Q101" i="15"/>
  <c r="P111" i="15"/>
  <c r="P113" i="15"/>
  <c r="M114" i="15"/>
  <c r="N115" i="15"/>
  <c r="N117" i="15"/>
  <c r="M117" i="15"/>
  <c r="L117" i="15"/>
  <c r="K117" i="15"/>
  <c r="Q117" i="15"/>
  <c r="K118" i="15"/>
  <c r="L119" i="15"/>
  <c r="N139" i="15"/>
  <c r="Q139" i="15"/>
  <c r="P139" i="15"/>
  <c r="M139" i="15"/>
  <c r="K96" i="15"/>
  <c r="N96" i="15"/>
  <c r="P100" i="15"/>
  <c r="Q102" i="15"/>
  <c r="O102" i="15"/>
  <c r="N102" i="15"/>
  <c r="O115" i="15"/>
  <c r="Q122" i="15"/>
  <c r="P122" i="15"/>
  <c r="O122" i="15"/>
  <c r="N122" i="15"/>
  <c r="Q123" i="15"/>
  <c r="K123" i="15"/>
  <c r="N135" i="15"/>
  <c r="M135" i="15"/>
  <c r="L135" i="15"/>
  <c r="K135" i="15"/>
  <c r="Q135" i="15"/>
  <c r="P147" i="15"/>
  <c r="O147" i="15"/>
  <c r="N147" i="15"/>
  <c r="Q147" i="15"/>
  <c r="L147" i="15"/>
  <c r="K147" i="15"/>
  <c r="N121" i="15"/>
  <c r="M121" i="15"/>
  <c r="L121" i="15"/>
  <c r="K121" i="15"/>
  <c r="Q121" i="15"/>
  <c r="Q171" i="15"/>
  <c r="L171" i="15"/>
  <c r="P171" i="15"/>
  <c r="O171" i="15"/>
  <c r="N171" i="15"/>
  <c r="M171" i="15"/>
  <c r="K171" i="15"/>
  <c r="N104" i="15"/>
  <c r="N108" i="15"/>
  <c r="N112" i="15"/>
  <c r="N116" i="15"/>
  <c r="N120" i="15"/>
  <c r="N124" i="15"/>
  <c r="L136" i="15"/>
  <c r="K136" i="15"/>
  <c r="Q142" i="15"/>
  <c r="M142" i="15"/>
  <c r="K142" i="15"/>
  <c r="P143" i="15"/>
  <c r="O143" i="15"/>
  <c r="N143" i="15"/>
  <c r="P182" i="15"/>
  <c r="O182" i="15"/>
  <c r="N182" i="15"/>
  <c r="L182" i="15"/>
  <c r="Q182" i="15"/>
  <c r="Q220" i="15"/>
  <c r="N220" i="15"/>
  <c r="P220" i="15"/>
  <c r="O220" i="15"/>
  <c r="M220" i="15"/>
  <c r="L220" i="15"/>
  <c r="K220" i="15"/>
  <c r="O163" i="15"/>
  <c r="M163" i="15"/>
  <c r="N163" i="15"/>
  <c r="L163" i="15"/>
  <c r="K163" i="15"/>
  <c r="Q146" i="15"/>
  <c r="M146" i="15"/>
  <c r="L146" i="15"/>
  <c r="K146" i="15"/>
  <c r="L148" i="15"/>
  <c r="K148" i="15"/>
  <c r="Q148" i="15"/>
  <c r="N156" i="15"/>
  <c r="L156" i="15"/>
  <c r="K156" i="15"/>
  <c r="Q156" i="15"/>
  <c r="Q163" i="15"/>
  <c r="L169" i="15"/>
  <c r="O169" i="15"/>
  <c r="P169" i="15"/>
  <c r="N169" i="15"/>
  <c r="M169" i="15"/>
  <c r="L128" i="15"/>
  <c r="K128" i="15"/>
  <c r="N146" i="15"/>
  <c r="M148" i="15"/>
  <c r="P151" i="15"/>
  <c r="O151" i="15"/>
  <c r="N151" i="15"/>
  <c r="K155" i="15"/>
  <c r="P155" i="15"/>
  <c r="O155" i="15"/>
  <c r="N155" i="15"/>
  <c r="M156" i="15"/>
  <c r="K169" i="15"/>
  <c r="N183" i="15"/>
  <c r="Q183" i="15"/>
  <c r="P183" i="15"/>
  <c r="O183" i="15"/>
  <c r="M183" i="15"/>
  <c r="P186" i="15"/>
  <c r="O186" i="15"/>
  <c r="Q186" i="15"/>
  <c r="M186" i="15"/>
  <c r="N186" i="15"/>
  <c r="L186" i="15"/>
  <c r="N128" i="15"/>
  <c r="P134" i="15"/>
  <c r="L140" i="15"/>
  <c r="K140" i="15"/>
  <c r="Q140" i="15"/>
  <c r="P146" i="15"/>
  <c r="O148" i="15"/>
  <c r="L151" i="15"/>
  <c r="Q154" i="15"/>
  <c r="M154" i="15"/>
  <c r="L154" i="15"/>
  <c r="K154" i="15"/>
  <c r="M155" i="15"/>
  <c r="P156" i="15"/>
  <c r="K183" i="15"/>
  <c r="K186" i="15"/>
  <c r="O196" i="15"/>
  <c r="M196" i="15"/>
  <c r="L196" i="15"/>
  <c r="P196" i="15"/>
  <c r="N196" i="15"/>
  <c r="O128" i="15"/>
  <c r="O133" i="15"/>
  <c r="N133" i="15"/>
  <c r="M140" i="15"/>
  <c r="P148" i="15"/>
  <c r="M151" i="15"/>
  <c r="N154" i="15"/>
  <c r="Q155" i="15"/>
  <c r="K160" i="15"/>
  <c r="L160" i="15"/>
  <c r="Q160" i="15"/>
  <c r="P160" i="15"/>
  <c r="O160" i="15"/>
  <c r="P164" i="15"/>
  <c r="K164" i="15"/>
  <c r="Q164" i="15"/>
  <c r="O164" i="15"/>
  <c r="N164" i="15"/>
  <c r="L183" i="15"/>
  <c r="K196" i="15"/>
  <c r="P128" i="15"/>
  <c r="Q151" i="15"/>
  <c r="M189" i="15"/>
  <c r="L189" i="15"/>
  <c r="P189" i="15"/>
  <c r="Q189" i="15"/>
  <c r="O189" i="15"/>
  <c r="N189" i="15"/>
  <c r="K189" i="15"/>
  <c r="Q128" i="15"/>
  <c r="O129" i="15"/>
  <c r="N129" i="15"/>
  <c r="L133" i="15"/>
  <c r="O140" i="15"/>
  <c r="P154" i="15"/>
  <c r="N160" i="15"/>
  <c r="M164" i="15"/>
  <c r="Q214" i="15"/>
  <c r="M214" i="15"/>
  <c r="N214" i="15"/>
  <c r="L214" i="15"/>
  <c r="K214" i="15"/>
  <c r="P214" i="15"/>
  <c r="O214" i="15"/>
  <c r="N158" i="15"/>
  <c r="O179" i="15"/>
  <c r="P185" i="15"/>
  <c r="O158" i="15"/>
  <c r="O170" i="15"/>
  <c r="N170" i="15"/>
  <c r="L170" i="15"/>
  <c r="Q175" i="15"/>
  <c r="L175" i="15"/>
  <c r="P179" i="15"/>
  <c r="O200" i="15"/>
  <c r="P200" i="15"/>
  <c r="M200" i="15"/>
  <c r="L200" i="15"/>
  <c r="L246" i="15"/>
  <c r="K246" i="15"/>
  <c r="Q246" i="15"/>
  <c r="P246" i="15"/>
  <c r="O246" i="15"/>
  <c r="N246" i="15"/>
  <c r="M246" i="15"/>
  <c r="P249" i="15"/>
  <c r="O249" i="15"/>
  <c r="M249" i="15"/>
  <c r="L249" i="15"/>
  <c r="K249" i="15"/>
  <c r="Q249" i="15"/>
  <c r="N249" i="15"/>
  <c r="Q179" i="15"/>
  <c r="M181" i="15"/>
  <c r="L181" i="15"/>
  <c r="N181" i="15"/>
  <c r="Q234" i="15"/>
  <c r="P234" i="15"/>
  <c r="M234" i="15"/>
  <c r="O234" i="15"/>
  <c r="N234" i="15"/>
  <c r="K234" i="15"/>
  <c r="Q243" i="15"/>
  <c r="P243" i="15"/>
  <c r="O243" i="15"/>
  <c r="M243" i="15"/>
  <c r="N243" i="15"/>
  <c r="N141" i="15"/>
  <c r="N145" i="15"/>
  <c r="N149" i="15"/>
  <c r="N153" i="15"/>
  <c r="O157" i="15"/>
  <c r="N159" i="15"/>
  <c r="P161" i="15"/>
  <c r="P175" i="15"/>
  <c r="Q181" i="15"/>
  <c r="P190" i="15"/>
  <c r="O190" i="15"/>
  <c r="N190" i="15"/>
  <c r="K243" i="15"/>
  <c r="P157" i="15"/>
  <c r="P159" i="15"/>
  <c r="Q161" i="15"/>
  <c r="K165" i="15"/>
  <c r="P168" i="15"/>
  <c r="K168" i="15"/>
  <c r="M177" i="15"/>
  <c r="L177" i="15"/>
  <c r="K177" i="15"/>
  <c r="K190" i="15"/>
  <c r="K191" i="15"/>
  <c r="P191" i="15"/>
  <c r="L243" i="15"/>
  <c r="P178" i="15"/>
  <c r="O178" i="15"/>
  <c r="M178" i="15"/>
  <c r="K178" i="15"/>
  <c r="L219" i="15"/>
  <c r="Q219" i="15"/>
  <c r="P219" i="15"/>
  <c r="O219" i="15"/>
  <c r="N219" i="15"/>
  <c r="M219" i="15"/>
  <c r="K219" i="15"/>
  <c r="L158" i="15"/>
  <c r="Q158" i="15"/>
  <c r="L178" i="15"/>
  <c r="K179" i="15"/>
  <c r="M185" i="15"/>
  <c r="L185" i="15"/>
  <c r="O185" i="15"/>
  <c r="P225" i="15"/>
  <c r="M225" i="15"/>
  <c r="O225" i="15"/>
  <c r="Q225" i="15"/>
  <c r="N225" i="15"/>
  <c r="L199" i="15"/>
  <c r="P199" i="15"/>
  <c r="O199" i="15"/>
  <c r="Q202" i="15"/>
  <c r="P202" i="15"/>
  <c r="Q247" i="15"/>
  <c r="P247" i="15"/>
  <c r="N247" i="15"/>
  <c r="M247" i="15"/>
  <c r="Q162" i="15"/>
  <c r="Q166" i="15"/>
  <c r="Q172" i="15"/>
  <c r="M173" i="15"/>
  <c r="L173" i="15"/>
  <c r="P194" i="15"/>
  <c r="O194" i="15"/>
  <c r="K199" i="15"/>
  <c r="K202" i="15"/>
  <c r="Q203" i="15"/>
  <c r="N203" i="15"/>
  <c r="O203" i="15"/>
  <c r="M203" i="15"/>
  <c r="P222" i="15"/>
  <c r="L222" i="15"/>
  <c r="Q222" i="15"/>
  <c r="M222" i="15"/>
  <c r="K247" i="15"/>
  <c r="O202" i="15"/>
  <c r="M239" i="15"/>
  <c r="P239" i="15"/>
  <c r="O239" i="15"/>
  <c r="K239" i="15"/>
  <c r="N239" i="15"/>
  <c r="Q252" i="15"/>
  <c r="P252" i="15"/>
  <c r="O252" i="15"/>
  <c r="M252" i="15"/>
  <c r="N252" i="15"/>
  <c r="L252" i="15"/>
  <c r="P174" i="15"/>
  <c r="O174" i="15"/>
  <c r="Q194" i="15"/>
  <c r="K195" i="15"/>
  <c r="P231" i="15"/>
  <c r="O231" i="15"/>
  <c r="L231" i="15"/>
  <c r="Q231" i="15"/>
  <c r="N231" i="15"/>
  <c r="M231" i="15"/>
  <c r="K231" i="15"/>
  <c r="L239" i="15"/>
  <c r="K252" i="15"/>
  <c r="L210" i="15"/>
  <c r="Q210" i="15"/>
  <c r="P216" i="15"/>
  <c r="M216" i="15"/>
  <c r="O216" i="15"/>
  <c r="N216" i="15"/>
  <c r="L216" i="15"/>
  <c r="Q223" i="15"/>
  <c r="M223" i="15"/>
  <c r="N223" i="15"/>
  <c r="L174" i="15"/>
  <c r="M193" i="15"/>
  <c r="L193" i="15"/>
  <c r="N195" i="15"/>
  <c r="M201" i="15"/>
  <c r="L201" i="15"/>
  <c r="K210" i="15"/>
  <c r="K216" i="15"/>
  <c r="K223" i="15"/>
  <c r="L228" i="15"/>
  <c r="Q228" i="15"/>
  <c r="O228" i="15"/>
  <c r="M221" i="15"/>
  <c r="O221" i="15"/>
  <c r="K221" i="15"/>
  <c r="Q238" i="15"/>
  <c r="N238" i="15"/>
  <c r="P213" i="15"/>
  <c r="L213" i="15"/>
  <c r="P221" i="15"/>
  <c r="M238" i="15"/>
  <c r="M206" i="15"/>
  <c r="P206" i="15"/>
  <c r="P207" i="15"/>
  <c r="M207" i="15"/>
  <c r="Q221" i="15"/>
  <c r="L237" i="15"/>
  <c r="K237" i="15"/>
  <c r="Q237" i="15"/>
  <c r="O238" i="15"/>
  <c r="Q211" i="15"/>
  <c r="N211" i="15"/>
  <c r="M212" i="15"/>
  <c r="O212" i="15"/>
  <c r="K212" i="15"/>
  <c r="M230" i="15"/>
  <c r="O230" i="15"/>
  <c r="K230" i="15"/>
  <c r="P238" i="15"/>
  <c r="D253" i="15"/>
  <c r="C253" i="15"/>
  <c r="B253" i="15"/>
  <c r="Q229" i="15"/>
  <c r="N229" i="15"/>
  <c r="P240" i="15"/>
  <c r="O240" i="15"/>
  <c r="M240" i="15"/>
  <c r="L240" i="15"/>
  <c r="M248" i="15"/>
  <c r="P248" i="15"/>
  <c r="O248" i="15"/>
  <c r="N248" i="15"/>
  <c r="K248" i="15"/>
  <c r="P215" i="15"/>
  <c r="P224" i="15"/>
  <c r="M208" i="15"/>
  <c r="M217" i="15"/>
  <c r="M226" i="15"/>
  <c r="M235" i="15"/>
  <c r="M244" i="15"/>
  <c r="N263" i="15"/>
  <c r="L232" i="15"/>
  <c r="L241" i="15"/>
  <c r="L250" i="15"/>
  <c r="C29" i="16"/>
  <c r="D29" i="16" s="1"/>
  <c r="M232" i="15"/>
  <c r="M241" i="15"/>
  <c r="M250" i="15"/>
  <c r="C30" i="16"/>
  <c r="D30" i="16" s="1"/>
  <c r="X6" i="12"/>
  <c r="U5" i="12"/>
  <c r="T3" i="12"/>
  <c r="Q6" i="12"/>
  <c r="T6" i="12"/>
  <c r="Y6" i="12"/>
  <c r="Q5" i="12"/>
  <c r="V6" i="12"/>
  <c r="U4" i="12"/>
  <c r="S3" i="12"/>
  <c r="Q4" i="12"/>
  <c r="S6" i="12"/>
  <c r="S4" i="12"/>
  <c r="S5" i="12"/>
  <c r="T4" i="7" l="1"/>
  <c r="D44" i="15"/>
  <c r="M129" i="12"/>
  <c r="F9" i="13"/>
  <c r="K10" i="12" s="1"/>
  <c r="M10" i="12" s="1"/>
  <c r="D24" i="13"/>
  <c r="E25" i="12" s="1"/>
  <c r="G25" i="12" s="1"/>
  <c r="G62" i="12"/>
  <c r="O77" i="5"/>
  <c r="M137" i="12"/>
  <c r="M189" i="5"/>
  <c r="J184" i="12"/>
  <c r="F138" i="13"/>
  <c r="K139" i="12" s="1"/>
  <c r="M139" i="12" s="1"/>
  <c r="G50" i="12"/>
  <c r="F106" i="13"/>
  <c r="K107" i="12" s="1"/>
  <c r="M107" i="12" s="1"/>
  <c r="G184" i="13"/>
  <c r="T184" i="5" s="1"/>
  <c r="M44" i="12"/>
  <c r="G49" i="12"/>
  <c r="F61" i="13"/>
  <c r="K62" i="12" s="1"/>
  <c r="M62" i="12" s="1"/>
  <c r="Q126" i="5"/>
  <c r="J75" i="12"/>
  <c r="AB71" i="5"/>
  <c r="G16" i="12"/>
  <c r="O41" i="5"/>
  <c r="J53" i="10"/>
  <c r="J68" i="10"/>
  <c r="M193" i="10"/>
  <c r="M40" i="10"/>
  <c r="Q187" i="9"/>
  <c r="J133" i="10"/>
  <c r="M125" i="5"/>
  <c r="AT125" i="5" s="1"/>
  <c r="AB84" i="5"/>
  <c r="F192" i="10"/>
  <c r="O64" i="5"/>
  <c r="AX64" i="5" s="1"/>
  <c r="M64" i="5"/>
  <c r="AT64" i="5" s="1"/>
  <c r="M131" i="10"/>
  <c r="Q4" i="5"/>
  <c r="BB4" i="5" s="1"/>
  <c r="O4" i="5"/>
  <c r="AX4" i="5" s="1"/>
  <c r="G38" i="1"/>
  <c r="F38" i="1"/>
  <c r="D38" i="1"/>
  <c r="C38" i="1"/>
  <c r="J198" i="12"/>
  <c r="O54" i="15"/>
  <c r="D151" i="13"/>
  <c r="N151" i="5" s="1"/>
  <c r="G96" i="12"/>
  <c r="D117" i="13"/>
  <c r="E118" i="12" s="1"/>
  <c r="G118" i="12" s="1"/>
  <c r="G9" i="13"/>
  <c r="N10" i="12" s="1"/>
  <c r="P10" i="12" s="1"/>
  <c r="G189" i="12"/>
  <c r="J78" i="12"/>
  <c r="J200" i="12"/>
  <c r="F88" i="13"/>
  <c r="E110" i="13"/>
  <c r="H111" i="12" s="1"/>
  <c r="J111" i="12" s="1"/>
  <c r="E184" i="13"/>
  <c r="H185" i="12" s="1"/>
  <c r="AB158" i="5"/>
  <c r="AP158" i="5" s="1"/>
  <c r="AR158" i="5" s="1"/>
  <c r="M144" i="12"/>
  <c r="J90" i="12"/>
  <c r="M7" i="5"/>
  <c r="O118" i="5"/>
  <c r="G75" i="12"/>
  <c r="M20" i="12"/>
  <c r="G81" i="12"/>
  <c r="M58" i="12"/>
  <c r="M30" i="5"/>
  <c r="Q50" i="5"/>
  <c r="M160" i="10"/>
  <c r="M44" i="5"/>
  <c r="AT44" i="5" s="1"/>
  <c r="J154" i="10"/>
  <c r="M106" i="10"/>
  <c r="J75" i="10"/>
  <c r="Q142" i="9"/>
  <c r="M71" i="10"/>
  <c r="N94" i="9"/>
  <c r="Q149" i="9"/>
  <c r="N30" i="9"/>
  <c r="AB76" i="5"/>
  <c r="O39" i="5"/>
  <c r="AX39" i="5" s="1"/>
  <c r="O32" i="5"/>
  <c r="AX32" i="5" s="1"/>
  <c r="N158" i="9"/>
  <c r="D192" i="1"/>
  <c r="F192" i="1"/>
  <c r="C181" i="1"/>
  <c r="F181" i="1"/>
  <c r="D181" i="1"/>
  <c r="G165" i="1"/>
  <c r="E165" i="1"/>
  <c r="D165" i="1"/>
  <c r="C165" i="1"/>
  <c r="G37" i="10"/>
  <c r="F37" i="10"/>
  <c r="N117" i="9"/>
  <c r="J197" i="10"/>
  <c r="AR154" i="5"/>
  <c r="F143" i="10"/>
  <c r="M132" i="10"/>
  <c r="M194" i="5"/>
  <c r="AT194" i="5" s="1"/>
  <c r="O69" i="5"/>
  <c r="AX69" i="5" s="1"/>
  <c r="M58" i="5"/>
  <c r="AT58" i="5" s="1"/>
  <c r="I116" i="10"/>
  <c r="J116" i="10" s="1"/>
  <c r="I190" i="10"/>
  <c r="I46" i="10"/>
  <c r="I179" i="10"/>
  <c r="J179" i="10" s="1"/>
  <c r="I31" i="10"/>
  <c r="J31" i="10" s="1"/>
  <c r="I19" i="10"/>
  <c r="I82" i="10"/>
  <c r="I41" i="10"/>
  <c r="J41" i="10" s="1"/>
  <c r="I112" i="10"/>
  <c r="I81" i="10"/>
  <c r="J81" i="10" s="1"/>
  <c r="F85" i="10"/>
  <c r="N189" i="9"/>
  <c r="F109" i="10"/>
  <c r="M43" i="10"/>
  <c r="Q28" i="5"/>
  <c r="BB28" i="5" s="1"/>
  <c r="O28" i="5"/>
  <c r="AX28" i="5" s="1"/>
  <c r="Q191" i="9"/>
  <c r="J58" i="12"/>
  <c r="G177" i="12"/>
  <c r="M87" i="12"/>
  <c r="M61" i="12"/>
  <c r="D171" i="1"/>
  <c r="G171" i="1"/>
  <c r="E171" i="1"/>
  <c r="C171" i="1"/>
  <c r="C30" i="1"/>
  <c r="G30" i="1"/>
  <c r="F30" i="1"/>
  <c r="D30" i="1"/>
  <c r="E67" i="1"/>
  <c r="C67" i="1"/>
  <c r="Q175" i="9"/>
  <c r="O101" i="5"/>
  <c r="AX101" i="5" s="1"/>
  <c r="M28" i="5"/>
  <c r="AT28" i="5" s="1"/>
  <c r="AB28" i="5"/>
  <c r="AQ28" i="5" s="1"/>
  <c r="G141" i="1"/>
  <c r="E141" i="1"/>
  <c r="D141" i="1"/>
  <c r="C141" i="1"/>
  <c r="D123" i="1"/>
  <c r="C123" i="1"/>
  <c r="F123" i="1"/>
  <c r="E123" i="1"/>
  <c r="G123" i="1"/>
  <c r="N125" i="9"/>
  <c r="N149" i="9"/>
  <c r="Q199" i="5"/>
  <c r="BB199" i="5" s="1"/>
  <c r="Q85" i="5"/>
  <c r="BB85" i="5" s="1"/>
  <c r="AB29" i="5"/>
  <c r="AP29" i="5" s="1"/>
  <c r="AR29" i="5" s="1"/>
  <c r="J187" i="10"/>
  <c r="F204" i="10"/>
  <c r="N145" i="9"/>
  <c r="AP139" i="5"/>
  <c r="M46" i="5"/>
  <c r="AT46" i="5" s="1"/>
  <c r="O46" i="5"/>
  <c r="AX46" i="5" s="1"/>
  <c r="C147" i="1"/>
  <c r="G147" i="1"/>
  <c r="E147" i="1"/>
  <c r="D147" i="1"/>
  <c r="F147" i="1"/>
  <c r="AP6" i="5"/>
  <c r="AC6" i="5"/>
  <c r="C42" i="1"/>
  <c r="F42" i="1"/>
  <c r="E42" i="1"/>
  <c r="Q61" i="5"/>
  <c r="BB61" i="5" s="1"/>
  <c r="O22" i="5"/>
  <c r="AX22" i="5" s="1"/>
  <c r="I26" i="10"/>
  <c r="J26" i="10" s="1"/>
  <c r="AB136" i="5"/>
  <c r="O94" i="5"/>
  <c r="AX94" i="5" s="1"/>
  <c r="F199" i="1"/>
  <c r="O145" i="5"/>
  <c r="AX145" i="5" s="1"/>
  <c r="M145" i="5"/>
  <c r="AT145" i="5" s="1"/>
  <c r="M16" i="5"/>
  <c r="AT16" i="5" s="1"/>
  <c r="AB16" i="5"/>
  <c r="AQ16" i="5" s="1"/>
  <c r="I44" i="10"/>
  <c r="J44" i="10" s="1"/>
  <c r="F147" i="10"/>
  <c r="J12" i="12"/>
  <c r="F117" i="13"/>
  <c r="K118" i="12" s="1"/>
  <c r="E59" i="13"/>
  <c r="H59" i="5" s="1"/>
  <c r="F44" i="13"/>
  <c r="K45" i="12" s="1"/>
  <c r="M45" i="12" s="1"/>
  <c r="E21" i="13"/>
  <c r="H22" i="12" s="1"/>
  <c r="J22" i="12" s="1"/>
  <c r="L119" i="5"/>
  <c r="F184" i="10"/>
  <c r="M54" i="5"/>
  <c r="M154" i="10"/>
  <c r="F124" i="10"/>
  <c r="Q72" i="9"/>
  <c r="M51" i="10"/>
  <c r="Q42" i="5"/>
  <c r="BB42" i="5" s="1"/>
  <c r="N7" i="9"/>
  <c r="Q10" i="9"/>
  <c r="AP121" i="5"/>
  <c r="AC121" i="5"/>
  <c r="Q198" i="5"/>
  <c r="BB198" i="5" s="1"/>
  <c r="AB85" i="5"/>
  <c r="M157" i="5"/>
  <c r="AT157" i="5" s="1"/>
  <c r="I151" i="10"/>
  <c r="J151" i="10" s="1"/>
  <c r="F24" i="1"/>
  <c r="D24" i="1"/>
  <c r="C24" i="1"/>
  <c r="G24" i="1"/>
  <c r="J190" i="10"/>
  <c r="Q141" i="5"/>
  <c r="BB141" i="5" s="1"/>
  <c r="E117" i="13"/>
  <c r="H118" i="12" s="1"/>
  <c r="J118" i="12" s="1"/>
  <c r="M49" i="12"/>
  <c r="AB50" i="5"/>
  <c r="AQ50" i="5" s="1"/>
  <c r="F33" i="10"/>
  <c r="M180" i="5"/>
  <c r="AT180" i="5" s="1"/>
  <c r="F18" i="1"/>
  <c r="C18" i="1"/>
  <c r="D18" i="1"/>
  <c r="J197" i="12"/>
  <c r="F158" i="13"/>
  <c r="K159" i="12" s="1"/>
  <c r="M159" i="12" s="1"/>
  <c r="E28" i="13"/>
  <c r="J190" i="12"/>
  <c r="M27" i="12"/>
  <c r="J27" i="10"/>
  <c r="G81" i="13"/>
  <c r="T81" i="5" s="1"/>
  <c r="J180" i="12"/>
  <c r="O25" i="5"/>
  <c r="M178" i="10"/>
  <c r="F79" i="13"/>
  <c r="K80" i="12" s="1"/>
  <c r="M80" i="12" s="1"/>
  <c r="J108" i="12"/>
  <c r="J163" i="12"/>
  <c r="F77" i="13"/>
  <c r="K78" i="12" s="1"/>
  <c r="G59" i="13"/>
  <c r="M50" i="12"/>
  <c r="G44" i="13"/>
  <c r="L44" i="5" s="1"/>
  <c r="G184" i="12"/>
  <c r="J124" i="12"/>
  <c r="G93" i="13"/>
  <c r="F184" i="13"/>
  <c r="K185" i="12" s="1"/>
  <c r="M185" i="12" s="1"/>
  <c r="D92" i="13"/>
  <c r="E93" i="12" s="1"/>
  <c r="G93" i="12" s="1"/>
  <c r="E61" i="13"/>
  <c r="H62" i="12" s="1"/>
  <c r="J62" i="12" s="1"/>
  <c r="G105" i="12"/>
  <c r="F31" i="13"/>
  <c r="K32" i="12" s="1"/>
  <c r="J191" i="12"/>
  <c r="AB186" i="5"/>
  <c r="AB174" i="5"/>
  <c r="AQ174" i="5" s="1"/>
  <c r="G14" i="12"/>
  <c r="M151" i="12"/>
  <c r="J21" i="12"/>
  <c r="J9" i="12"/>
  <c r="M161" i="10"/>
  <c r="Q83" i="9"/>
  <c r="Q113" i="9"/>
  <c r="Q47" i="9"/>
  <c r="F73" i="10"/>
  <c r="AB73" i="5"/>
  <c r="F18" i="10"/>
  <c r="Q16" i="5"/>
  <c r="BB16" i="5" s="1"/>
  <c r="O16" i="5"/>
  <c r="AX16" i="5" s="1"/>
  <c r="I95" i="10"/>
  <c r="J95" i="10" s="1"/>
  <c r="M22" i="5"/>
  <c r="AT22" i="5" s="1"/>
  <c r="K2" i="11"/>
  <c r="T2" i="13" s="1"/>
  <c r="G2" i="11"/>
  <c r="S2" i="13" s="1"/>
  <c r="N58" i="9"/>
  <c r="J101" i="12"/>
  <c r="G147" i="12"/>
  <c r="E118" i="13"/>
  <c r="H119" i="12" s="1"/>
  <c r="J119" i="12" s="1"/>
  <c r="G112" i="12"/>
  <c r="D150" i="13"/>
  <c r="E151" i="12" s="1"/>
  <c r="G151" i="12" s="1"/>
  <c r="G22" i="13"/>
  <c r="N23" i="12" s="1"/>
  <c r="P23" i="12" s="1"/>
  <c r="F53" i="13"/>
  <c r="K54" i="12" s="1"/>
  <c r="F92" i="13"/>
  <c r="K93" i="12" s="1"/>
  <c r="M93" i="12" s="1"/>
  <c r="J26" i="12"/>
  <c r="O55" i="5"/>
  <c r="AB107" i="5"/>
  <c r="AQ107" i="5" s="1"/>
  <c r="M114" i="12"/>
  <c r="O49" i="5"/>
  <c r="AX49" i="5" s="1"/>
  <c r="Q27" i="5"/>
  <c r="F23" i="5"/>
  <c r="O92" i="5"/>
  <c r="G22" i="12"/>
  <c r="G64" i="12"/>
  <c r="J193" i="10"/>
  <c r="J113" i="10"/>
  <c r="Q54" i="15"/>
  <c r="F189" i="13"/>
  <c r="K190" i="12" s="1"/>
  <c r="M190" i="12" s="1"/>
  <c r="J179" i="12"/>
  <c r="G150" i="13"/>
  <c r="N151" i="12" s="1"/>
  <c r="P151" i="12" s="1"/>
  <c r="G53" i="13"/>
  <c r="L53" i="5" s="1"/>
  <c r="G56" i="12"/>
  <c r="O167" i="5"/>
  <c r="O148" i="5"/>
  <c r="AB168" i="5"/>
  <c r="AP168" i="5" s="1"/>
  <c r="AR168" i="5" s="1"/>
  <c r="M141" i="12"/>
  <c r="G114" i="12"/>
  <c r="G63" i="12"/>
  <c r="M8" i="12"/>
  <c r="M209" i="10"/>
  <c r="F176" i="13"/>
  <c r="K177" i="12" s="1"/>
  <c r="M177" i="12" s="1"/>
  <c r="G151" i="13"/>
  <c r="T151" i="5" s="1"/>
  <c r="J44" i="12"/>
  <c r="N4" i="13"/>
  <c r="J43" i="12"/>
  <c r="AB156" i="5"/>
  <c r="M86" i="12"/>
  <c r="M120" i="12"/>
  <c r="AB123" i="5"/>
  <c r="AP123" i="5" s="1"/>
  <c r="AR123" i="5" s="1"/>
  <c r="AB74" i="5"/>
  <c r="AB86" i="5"/>
  <c r="AC86" i="5" s="1"/>
  <c r="AB15" i="5"/>
  <c r="AP15" i="5" s="1"/>
  <c r="AR15" i="5" s="1"/>
  <c r="O50" i="5"/>
  <c r="AX50" i="5" s="1"/>
  <c r="J70" i="10"/>
  <c r="Q83" i="5"/>
  <c r="BB83" i="5" s="1"/>
  <c r="AB141" i="5"/>
  <c r="AP141" i="5" s="1"/>
  <c r="AR141" i="5" s="1"/>
  <c r="J77" i="10"/>
  <c r="Q59" i="9"/>
  <c r="M92" i="10"/>
  <c r="G188" i="13"/>
  <c r="N189" i="12" s="1"/>
  <c r="P189" i="12" s="1"/>
  <c r="M113" i="12"/>
  <c r="E94" i="13"/>
  <c r="E115" i="13"/>
  <c r="D109" i="13"/>
  <c r="E110" i="12" s="1"/>
  <c r="G110" i="12" s="1"/>
  <c r="G154" i="13"/>
  <c r="T154" i="5" s="1"/>
  <c r="M123" i="12"/>
  <c r="M46" i="12"/>
  <c r="D8" i="13"/>
  <c r="E9" i="12" s="1"/>
  <c r="G9" i="12" s="1"/>
  <c r="M153" i="12"/>
  <c r="AB132" i="5"/>
  <c r="AC132" i="5" s="1"/>
  <c r="G167" i="12"/>
  <c r="G91" i="12"/>
  <c r="G108" i="12"/>
  <c r="J87" i="12"/>
  <c r="N172" i="9"/>
  <c r="Q63" i="5"/>
  <c r="BB63" i="5" s="1"/>
  <c r="AB8" i="5"/>
  <c r="AC8" i="5" s="1"/>
  <c r="O30" i="5"/>
  <c r="M196" i="10"/>
  <c r="J10" i="12"/>
  <c r="F158" i="10"/>
  <c r="M70" i="10"/>
  <c r="F176" i="10"/>
  <c r="J104" i="10"/>
  <c r="F63" i="10"/>
  <c r="Q170" i="9"/>
  <c r="F35" i="10"/>
  <c r="N185" i="9"/>
  <c r="Q178" i="9"/>
  <c r="N83" i="9"/>
  <c r="N6" i="9"/>
  <c r="AR187" i="5"/>
  <c r="AP183" i="5"/>
  <c r="AR183" i="5" s="1"/>
  <c r="AC183" i="5"/>
  <c r="Q82" i="5"/>
  <c r="BB82" i="5" s="1"/>
  <c r="F122" i="1"/>
  <c r="D122" i="1"/>
  <c r="C122" i="1"/>
  <c r="G122" i="1"/>
  <c r="M127" i="5"/>
  <c r="AT127" i="5" s="1"/>
  <c r="O127" i="5"/>
  <c r="AX127" i="5" s="1"/>
  <c r="G135" i="1"/>
  <c r="F135" i="1"/>
  <c r="E135" i="1"/>
  <c r="C135" i="1"/>
  <c r="D135" i="1"/>
  <c r="AC29" i="5"/>
  <c r="G12" i="1"/>
  <c r="F12" i="1"/>
  <c r="D12" i="1"/>
  <c r="C12" i="1"/>
  <c r="E12" i="1"/>
  <c r="J97" i="12"/>
  <c r="AB152" i="5"/>
  <c r="M200" i="5"/>
  <c r="AT200" i="5" s="1"/>
  <c r="O126" i="5"/>
  <c r="M97" i="12"/>
  <c r="M24" i="5"/>
  <c r="N24" i="5" s="1"/>
  <c r="F140" i="10"/>
  <c r="J112" i="10"/>
  <c r="F169" i="10"/>
  <c r="N90" i="9"/>
  <c r="AR91" i="5"/>
  <c r="AB192" i="5"/>
  <c r="F155" i="1"/>
  <c r="E155" i="1"/>
  <c r="C155" i="1"/>
  <c r="G159" i="1"/>
  <c r="F159" i="1"/>
  <c r="D159" i="1"/>
  <c r="C159" i="1"/>
  <c r="E159" i="1"/>
  <c r="C72" i="1"/>
  <c r="F72" i="1"/>
  <c r="G72" i="1"/>
  <c r="E72" i="1"/>
  <c r="D72" i="1"/>
  <c r="AB115" i="5"/>
  <c r="AQ115" i="5" s="1"/>
  <c r="D77" i="1"/>
  <c r="G77" i="1"/>
  <c r="N15" i="10"/>
  <c r="I15" i="10"/>
  <c r="D15" i="10" s="1"/>
  <c r="J19" i="10"/>
  <c r="M19" i="10"/>
  <c r="M23" i="10"/>
  <c r="F23" i="10"/>
  <c r="M139" i="5"/>
  <c r="AT139" i="5" s="1"/>
  <c r="O139" i="5"/>
  <c r="AX139" i="5" s="1"/>
  <c r="O192" i="5"/>
  <c r="AX192" i="5" s="1"/>
  <c r="Q192" i="5"/>
  <c r="BB192" i="5" s="1"/>
  <c r="O103" i="5"/>
  <c r="AX103" i="5" s="1"/>
  <c r="M103" i="5"/>
  <c r="AT103" i="5" s="1"/>
  <c r="AB36" i="5"/>
  <c r="M36" i="5"/>
  <c r="AT36" i="5" s="1"/>
  <c r="N46" i="12"/>
  <c r="P46" i="12" s="1"/>
  <c r="T45" i="5"/>
  <c r="O115" i="5"/>
  <c r="AX115" i="5" s="1"/>
  <c r="O93" i="5"/>
  <c r="AX93" i="5" s="1"/>
  <c r="G78" i="1"/>
  <c r="F78" i="1"/>
  <c r="E78" i="1"/>
  <c r="C78" i="1"/>
  <c r="D78" i="1"/>
  <c r="Q67" i="5"/>
  <c r="BB67" i="5" s="1"/>
  <c r="O40" i="5"/>
  <c r="AX40" i="5" s="1"/>
  <c r="Q40" i="5"/>
  <c r="BB40" i="5" s="1"/>
  <c r="F138" i="10"/>
  <c r="M138" i="10"/>
  <c r="M174" i="10"/>
  <c r="F28" i="1"/>
  <c r="D28" i="1"/>
  <c r="C28" i="1"/>
  <c r="F19" i="1"/>
  <c r="N139" i="9"/>
  <c r="AB35" i="5"/>
  <c r="AC35" i="5" s="1"/>
  <c r="E188" i="13"/>
  <c r="H189" i="12" s="1"/>
  <c r="J189" i="12" s="1"/>
  <c r="E130" i="13"/>
  <c r="H131" i="12" s="1"/>
  <c r="J131" i="12" s="1"/>
  <c r="J34" i="12"/>
  <c r="E92" i="13"/>
  <c r="H93" i="12" s="1"/>
  <c r="J18" i="12"/>
  <c r="D60" i="12"/>
  <c r="M196" i="12"/>
  <c r="G192" i="12"/>
  <c r="G155" i="12"/>
  <c r="AB51" i="5"/>
  <c r="M99" i="12"/>
  <c r="M24" i="12"/>
  <c r="F148" i="10"/>
  <c r="F110" i="10"/>
  <c r="O141" i="5"/>
  <c r="F104" i="10"/>
  <c r="Q69" i="9"/>
  <c r="AQ96" i="5"/>
  <c r="K124" i="12"/>
  <c r="M124" i="12" s="1"/>
  <c r="J123" i="5"/>
  <c r="G105" i="1"/>
  <c r="F105" i="1"/>
  <c r="D105" i="1"/>
  <c r="C105" i="1"/>
  <c r="E105" i="1"/>
  <c r="F177" i="1"/>
  <c r="G177" i="1"/>
  <c r="C177" i="1"/>
  <c r="E177" i="1"/>
  <c r="D177" i="1"/>
  <c r="G129" i="1"/>
  <c r="E129" i="1"/>
  <c r="D129" i="1"/>
  <c r="C129" i="1"/>
  <c r="F129" i="1"/>
  <c r="AB133" i="5"/>
  <c r="AB43" i="5"/>
  <c r="AQ43" i="5" s="1"/>
  <c r="M104" i="5"/>
  <c r="AT104" i="5" s="1"/>
  <c r="F113" i="1"/>
  <c r="E113" i="1"/>
  <c r="G113" i="1"/>
  <c r="Q159" i="9"/>
  <c r="Q94" i="5"/>
  <c r="BB94" i="5" s="1"/>
  <c r="Q7" i="9"/>
  <c r="Q99" i="9"/>
  <c r="Q65" i="9"/>
  <c r="N113" i="9"/>
  <c r="AR182" i="5"/>
  <c r="AR121" i="5"/>
  <c r="AB197" i="5"/>
  <c r="F91" i="1"/>
  <c r="C91" i="1"/>
  <c r="Q79" i="5"/>
  <c r="BB79" i="5" s="1"/>
  <c r="Q34" i="5"/>
  <c r="BB34" i="5" s="1"/>
  <c r="O34" i="5"/>
  <c r="AX34" i="5" s="1"/>
  <c r="AB105" i="5"/>
  <c r="AP67" i="5"/>
  <c r="AC67" i="5"/>
  <c r="AC78" i="5"/>
  <c r="AP78" i="5"/>
  <c r="AR78" i="5" s="1"/>
  <c r="G8" i="1"/>
  <c r="E8" i="1"/>
  <c r="D8" i="1"/>
  <c r="C8" i="1"/>
  <c r="F8" i="1"/>
  <c r="AP13" i="5"/>
  <c r="AC13" i="5"/>
  <c r="F210" i="10"/>
  <c r="F173" i="1"/>
  <c r="E173" i="1"/>
  <c r="F132" i="10"/>
  <c r="AB42" i="5"/>
  <c r="M103" i="12"/>
  <c r="D77" i="13"/>
  <c r="E78" i="12" s="1"/>
  <c r="G78" i="12" s="1"/>
  <c r="F15" i="13"/>
  <c r="K16" i="12" s="1"/>
  <c r="O86" i="5"/>
  <c r="J67" i="12"/>
  <c r="E3" i="11"/>
  <c r="Y3" i="11" s="1"/>
  <c r="F41" i="10"/>
  <c r="Q132" i="9"/>
  <c r="N194" i="9"/>
  <c r="Q120" i="9"/>
  <c r="AQ175" i="5"/>
  <c r="O169" i="5"/>
  <c r="AX169" i="5" s="1"/>
  <c r="M169" i="5"/>
  <c r="AT169" i="5" s="1"/>
  <c r="F194" i="1"/>
  <c r="D194" i="1"/>
  <c r="G194" i="1"/>
  <c r="E194" i="1"/>
  <c r="C194" i="1"/>
  <c r="G134" i="1"/>
  <c r="F134" i="1"/>
  <c r="C134" i="1"/>
  <c r="G83" i="1"/>
  <c r="D83" i="1"/>
  <c r="G153" i="1"/>
  <c r="F153" i="1"/>
  <c r="E153" i="1"/>
  <c r="D153" i="1"/>
  <c r="C153" i="1"/>
  <c r="G95" i="1"/>
  <c r="D95" i="1"/>
  <c r="Q76" i="5"/>
  <c r="BB76" i="5" s="1"/>
  <c r="O76" i="5"/>
  <c r="AX76" i="5" s="1"/>
  <c r="F59" i="1"/>
  <c r="D59" i="1"/>
  <c r="AB10" i="5"/>
  <c r="M59" i="10"/>
  <c r="Q55" i="15"/>
  <c r="D139" i="13"/>
  <c r="E140" i="12" s="1"/>
  <c r="G140" i="12" s="1"/>
  <c r="F154" i="13"/>
  <c r="K155" i="12" s="1"/>
  <c r="M155" i="12" s="1"/>
  <c r="J183" i="12"/>
  <c r="G138" i="13"/>
  <c r="T138" i="5" s="1"/>
  <c r="F110" i="13"/>
  <c r="K111" i="12" s="1"/>
  <c r="D106" i="13"/>
  <c r="E107" i="12" s="1"/>
  <c r="G107" i="12" s="1"/>
  <c r="D44" i="13"/>
  <c r="E45" i="12" s="1"/>
  <c r="D31" i="13"/>
  <c r="E32" i="12" s="1"/>
  <c r="G32" i="12" s="1"/>
  <c r="D35" i="13"/>
  <c r="E36" i="12" s="1"/>
  <c r="G36" i="12" s="1"/>
  <c r="G8" i="13"/>
  <c r="T8" i="5" s="1"/>
  <c r="O189" i="5"/>
  <c r="AB176" i="5"/>
  <c r="AQ176" i="5" s="1"/>
  <c r="G137" i="12"/>
  <c r="G161" i="12"/>
  <c r="Q158" i="5"/>
  <c r="BB158" i="5" s="1"/>
  <c r="J159" i="12"/>
  <c r="Q135" i="5"/>
  <c r="AB69" i="5"/>
  <c r="AB140" i="5"/>
  <c r="M81" i="12"/>
  <c r="M142" i="10"/>
  <c r="AB18" i="5"/>
  <c r="AP18" i="5" s="1"/>
  <c r="AR18" i="5" s="1"/>
  <c r="J19" i="12"/>
  <c r="M56" i="5"/>
  <c r="AT56" i="5" s="1"/>
  <c r="AB30" i="5"/>
  <c r="F194" i="10"/>
  <c r="Q44" i="5"/>
  <c r="R44" i="5" s="1"/>
  <c r="J146" i="10"/>
  <c r="F172" i="10"/>
  <c r="M107" i="10"/>
  <c r="F61" i="10"/>
  <c r="F27" i="10"/>
  <c r="J61" i="12"/>
  <c r="Q138" i="9"/>
  <c r="Q94" i="9"/>
  <c r="J38" i="10"/>
  <c r="AR175" i="5"/>
  <c r="AQ100" i="5"/>
  <c r="O180" i="5"/>
  <c r="AX180" i="5" s="1"/>
  <c r="Q180" i="5"/>
  <c r="BB180" i="5" s="1"/>
  <c r="O109" i="5"/>
  <c r="AX109" i="5" s="1"/>
  <c r="M109" i="5"/>
  <c r="AT109" i="5" s="1"/>
  <c r="M121" i="5"/>
  <c r="AT121" i="5" s="1"/>
  <c r="O121" i="5"/>
  <c r="AX121" i="5" s="1"/>
  <c r="AB88" i="5"/>
  <c r="M88" i="5"/>
  <c r="AT88" i="5" s="1"/>
  <c r="O82" i="5"/>
  <c r="AX82" i="5" s="1"/>
  <c r="M82" i="5"/>
  <c r="AT82" i="5" s="1"/>
  <c r="C31" i="1"/>
  <c r="F31" i="1"/>
  <c r="G16" i="1"/>
  <c r="F16" i="1"/>
  <c r="D16" i="1"/>
  <c r="J111" i="5"/>
  <c r="F103" i="10"/>
  <c r="M103" i="10"/>
  <c r="J103" i="10"/>
  <c r="M94" i="5"/>
  <c r="AT94" i="5" s="1"/>
  <c r="G96" i="1"/>
  <c r="F96" i="1"/>
  <c r="D96" i="1"/>
  <c r="C96" i="1"/>
  <c r="E96" i="1"/>
  <c r="Q196" i="5"/>
  <c r="BB196" i="5" s="1"/>
  <c r="BD196" i="5" s="1"/>
  <c r="O196" i="5"/>
  <c r="AX196" i="5" s="1"/>
  <c r="AC157" i="5"/>
  <c r="AP157" i="5"/>
  <c r="AC90" i="5"/>
  <c r="AP90" i="5"/>
  <c r="AC79" i="5"/>
  <c r="AP79" i="5"/>
  <c r="F117" i="1"/>
  <c r="E117" i="1"/>
  <c r="D117" i="1"/>
  <c r="C117" i="1"/>
  <c r="G117" i="1"/>
  <c r="G107" i="1"/>
  <c r="F107" i="1"/>
  <c r="D107" i="1"/>
  <c r="C107" i="1"/>
  <c r="E107" i="1"/>
  <c r="AP61" i="5"/>
  <c r="AR61" i="5" s="1"/>
  <c r="AC61" i="5"/>
  <c r="G89" i="1"/>
  <c r="D89" i="1"/>
  <c r="Q116" i="9"/>
  <c r="J188" i="10"/>
  <c r="M184" i="12"/>
  <c r="J133" i="12"/>
  <c r="G130" i="12"/>
  <c r="J39" i="12"/>
  <c r="J54" i="12"/>
  <c r="G77" i="13"/>
  <c r="N78" i="12" s="1"/>
  <c r="P78" i="12" s="1"/>
  <c r="F35" i="13"/>
  <c r="K36" i="12" s="1"/>
  <c r="M36" i="12" s="1"/>
  <c r="J92" i="12"/>
  <c r="AB21" i="5"/>
  <c r="F25" i="10"/>
  <c r="Q24" i="9"/>
  <c r="F157" i="10"/>
  <c r="T8" i="7"/>
  <c r="C198" i="1"/>
  <c r="F198" i="1"/>
  <c r="D198" i="1"/>
  <c r="G198" i="1"/>
  <c r="C127" i="1"/>
  <c r="G127" i="1"/>
  <c r="D127" i="1"/>
  <c r="F127" i="1"/>
  <c r="Q157" i="5"/>
  <c r="BB157" i="5" s="1"/>
  <c r="O157" i="5"/>
  <c r="AX157" i="5" s="1"/>
  <c r="AB151" i="5"/>
  <c r="AQ151" i="5" s="1"/>
  <c r="F175" i="1"/>
  <c r="G175" i="1"/>
  <c r="G84" i="1"/>
  <c r="D84" i="1"/>
  <c r="F84" i="1"/>
  <c r="E84" i="1"/>
  <c r="C84" i="1"/>
  <c r="F36" i="1"/>
  <c r="E36" i="1"/>
  <c r="D36" i="1"/>
  <c r="C36" i="1"/>
  <c r="G36" i="1"/>
  <c r="AB52" i="5"/>
  <c r="M52" i="5"/>
  <c r="AT52" i="5" s="1"/>
  <c r="AP34" i="5"/>
  <c r="AC34" i="5"/>
  <c r="E61" i="1"/>
  <c r="F91" i="10"/>
  <c r="M96" i="10"/>
  <c r="F24" i="10"/>
  <c r="M38" i="10"/>
  <c r="AR82" i="5"/>
  <c r="F166" i="1"/>
  <c r="E166" i="1"/>
  <c r="C166" i="1"/>
  <c r="E197" i="1"/>
  <c r="O151" i="5"/>
  <c r="AX151" i="5" s="1"/>
  <c r="Q151" i="5"/>
  <c r="BB151" i="5" s="1"/>
  <c r="AB112" i="5"/>
  <c r="O70" i="5"/>
  <c r="AX70" i="5" s="1"/>
  <c r="AZ70" i="5" s="1"/>
  <c r="M70" i="5"/>
  <c r="AT70" i="5" s="1"/>
  <c r="O81" i="5"/>
  <c r="AX81" i="5" s="1"/>
  <c r="M133" i="5"/>
  <c r="AT133" i="5" s="1"/>
  <c r="D54" i="1"/>
  <c r="C54" i="1"/>
  <c r="G54" i="1"/>
  <c r="F54" i="1"/>
  <c r="E54" i="1"/>
  <c r="N14" i="10"/>
  <c r="I14" i="10"/>
  <c r="D14" i="10" s="1"/>
  <c r="J14" i="10" s="1"/>
  <c r="L14" i="10"/>
  <c r="E112" i="1"/>
  <c r="C112" i="1"/>
  <c r="M167" i="10"/>
  <c r="F167" i="10"/>
  <c r="F206" i="10"/>
  <c r="O12" i="5"/>
  <c r="AX12" i="5" s="1"/>
  <c r="J165" i="10"/>
  <c r="J189" i="10"/>
  <c r="M139" i="10"/>
  <c r="J201" i="10"/>
  <c r="M204" i="10"/>
  <c r="F199" i="10"/>
  <c r="O42" i="5"/>
  <c r="AX42" i="5" s="1"/>
  <c r="M24" i="10"/>
  <c r="F168" i="10"/>
  <c r="F114" i="10"/>
  <c r="Q11" i="9"/>
  <c r="N168" i="9"/>
  <c r="F188" i="13"/>
  <c r="K189" i="12" s="1"/>
  <c r="M189" i="12" s="1"/>
  <c r="M143" i="12"/>
  <c r="E176" i="13"/>
  <c r="H177" i="12" s="1"/>
  <c r="J177" i="12" s="1"/>
  <c r="J144" i="12"/>
  <c r="M188" i="12"/>
  <c r="E151" i="13"/>
  <c r="H152" i="12" s="1"/>
  <c r="J152" i="12" s="1"/>
  <c r="E90" i="13"/>
  <c r="H91" i="12" s="1"/>
  <c r="J91" i="12" s="1"/>
  <c r="D110" i="13"/>
  <c r="E106" i="13"/>
  <c r="H107" i="12" s="1"/>
  <c r="J107" i="12" s="1"/>
  <c r="J56" i="12"/>
  <c r="D67" i="13"/>
  <c r="E68" i="12" s="1"/>
  <c r="G68" i="12" s="1"/>
  <c r="AB173" i="5"/>
  <c r="AC173" i="5" s="1"/>
  <c r="AB184" i="5"/>
  <c r="AQ184" i="5" s="1"/>
  <c r="AB170" i="5"/>
  <c r="J100" i="5"/>
  <c r="AB167" i="5"/>
  <c r="AQ167" i="5" s="1"/>
  <c r="M140" i="5"/>
  <c r="M106" i="5"/>
  <c r="N106" i="5" s="1"/>
  <c r="M32" i="12"/>
  <c r="M75" i="12"/>
  <c r="Q59" i="5"/>
  <c r="M80" i="5"/>
  <c r="J114" i="12"/>
  <c r="M63" i="5"/>
  <c r="N63" i="5" s="1"/>
  <c r="F160" i="10"/>
  <c r="N169" i="9"/>
  <c r="J107" i="10"/>
  <c r="F17" i="10"/>
  <c r="J209" i="10"/>
  <c r="N60" i="9"/>
  <c r="F86" i="10"/>
  <c r="F122" i="10"/>
  <c r="AQ182" i="5"/>
  <c r="Q194" i="5"/>
  <c r="BB194" i="5" s="1"/>
  <c r="O194" i="5"/>
  <c r="AX194" i="5" s="1"/>
  <c r="F125" i="1"/>
  <c r="D125" i="1"/>
  <c r="C125" i="1"/>
  <c r="F90" i="1"/>
  <c r="E90" i="1"/>
  <c r="D90" i="1"/>
  <c r="C90" i="1"/>
  <c r="G90" i="1"/>
  <c r="Q175" i="5"/>
  <c r="BB175" i="5" s="1"/>
  <c r="O175" i="5"/>
  <c r="AX175" i="5" s="1"/>
  <c r="G115" i="1"/>
  <c r="F115" i="1"/>
  <c r="E115" i="1"/>
  <c r="D115" i="1"/>
  <c r="M110" i="5"/>
  <c r="AT110" i="5" s="1"/>
  <c r="M29" i="5"/>
  <c r="AT29" i="5" s="1"/>
  <c r="O26" i="5"/>
  <c r="AX26" i="5" s="1"/>
  <c r="M26" i="5"/>
  <c r="AT26" i="5" s="1"/>
  <c r="G133" i="1"/>
  <c r="F133" i="1"/>
  <c r="E133" i="1"/>
  <c r="D133" i="1"/>
  <c r="C133" i="1"/>
  <c r="F211" i="10"/>
  <c r="F175" i="10"/>
  <c r="M54" i="10"/>
  <c r="F102" i="10"/>
  <c r="M12" i="12"/>
  <c r="M156" i="12"/>
  <c r="G163" i="12"/>
  <c r="AB166" i="5"/>
  <c r="AC166" i="5" s="1"/>
  <c r="N166" i="9"/>
  <c r="Q155" i="9"/>
  <c r="G196" i="1"/>
  <c r="D196" i="1"/>
  <c r="C196" i="1"/>
  <c r="O163" i="5"/>
  <c r="AX163" i="5" s="1"/>
  <c r="M163" i="5"/>
  <c r="AT163" i="5" s="1"/>
  <c r="AP180" i="5"/>
  <c r="AC180" i="5"/>
  <c r="E182" i="1"/>
  <c r="G182" i="1"/>
  <c r="F182" i="1"/>
  <c r="D182" i="1"/>
  <c r="C182" i="1"/>
  <c r="N200" i="12"/>
  <c r="P200" i="12" s="1"/>
  <c r="T199" i="5"/>
  <c r="AP110" i="5"/>
  <c r="AC110" i="5"/>
  <c r="F106" i="1"/>
  <c r="E106" i="1"/>
  <c r="C106" i="1"/>
  <c r="F64" i="1"/>
  <c r="E64" i="1"/>
  <c r="C64" i="1"/>
  <c r="O14" i="5"/>
  <c r="AX14" i="5" s="1"/>
  <c r="Q14" i="5"/>
  <c r="BB14" i="5" s="1"/>
  <c r="AD4" i="5"/>
  <c r="AB4" i="5"/>
  <c r="AP4" i="5" s="1"/>
  <c r="M60" i="10"/>
  <c r="K68" i="12"/>
  <c r="M68" i="12" s="1"/>
  <c r="R67" i="5"/>
  <c r="N187" i="12"/>
  <c r="P187" i="12" s="1"/>
  <c r="L186" i="5"/>
  <c r="T186" i="5"/>
  <c r="N89" i="12"/>
  <c r="P89" i="12" s="1"/>
  <c r="L88" i="5"/>
  <c r="T88" i="5"/>
  <c r="N107" i="12"/>
  <c r="P107" i="12" s="1"/>
  <c r="T106" i="5"/>
  <c r="K17" i="12"/>
  <c r="M17" i="12" s="1"/>
  <c r="J16" i="5"/>
  <c r="N36" i="12"/>
  <c r="P36" i="12" s="1"/>
  <c r="T35" i="5"/>
  <c r="N5" i="12"/>
  <c r="T4" i="5"/>
  <c r="N100" i="12"/>
  <c r="P100" i="12" s="1"/>
  <c r="T99" i="5"/>
  <c r="N148" i="12"/>
  <c r="P148" i="12" s="1"/>
  <c r="T147" i="5"/>
  <c r="J13" i="10"/>
  <c r="M13" i="10"/>
  <c r="AQ10" i="5"/>
  <c r="D16" i="3"/>
  <c r="E16" i="3"/>
  <c r="H5" i="16"/>
  <c r="H259" i="15"/>
  <c r="L3" i="13"/>
  <c r="D4" i="13" s="1"/>
  <c r="D56" i="15" s="1"/>
  <c r="U3" i="6"/>
  <c r="Z3" i="5"/>
  <c r="B11" i="2"/>
  <c r="B10" i="2" s="1"/>
  <c r="F4" i="3"/>
  <c r="AR130" i="5"/>
  <c r="AR4" i="5"/>
  <c r="AR58" i="5"/>
  <c r="H251" i="15"/>
  <c r="F251" i="15"/>
  <c r="E251" i="15"/>
  <c r="D251" i="15"/>
  <c r="B251" i="15"/>
  <c r="G251" i="15"/>
  <c r="C251" i="15"/>
  <c r="E171" i="15"/>
  <c r="F171" i="15"/>
  <c r="C171" i="15"/>
  <c r="H171" i="15"/>
  <c r="G171" i="15"/>
  <c r="D171" i="15"/>
  <c r="B171" i="15"/>
  <c r="H102" i="12"/>
  <c r="J102" i="12" s="1"/>
  <c r="H116" i="12"/>
  <c r="J116" i="12" s="1"/>
  <c r="H115" i="5"/>
  <c r="H115" i="12"/>
  <c r="J115" i="12" s="1"/>
  <c r="P114" i="5"/>
  <c r="N91" i="12"/>
  <c r="P91" i="12" s="1"/>
  <c r="T90" i="5"/>
  <c r="G81" i="15"/>
  <c r="F81" i="15"/>
  <c r="H81" i="15"/>
  <c r="E81" i="15"/>
  <c r="D81" i="15"/>
  <c r="C81" i="15"/>
  <c r="B81" i="15"/>
  <c r="D162" i="15"/>
  <c r="H162" i="15"/>
  <c r="C162" i="15"/>
  <c r="B162" i="15"/>
  <c r="E162" i="15"/>
  <c r="G162" i="15"/>
  <c r="F162" i="15"/>
  <c r="H182" i="5"/>
  <c r="F182" i="5"/>
  <c r="J182" i="5"/>
  <c r="L182" i="5"/>
  <c r="Q181" i="5"/>
  <c r="O181" i="5"/>
  <c r="O193" i="5"/>
  <c r="M193" i="5"/>
  <c r="G178" i="1"/>
  <c r="BB177" i="5"/>
  <c r="L172" i="5"/>
  <c r="F172" i="5"/>
  <c r="H172" i="5"/>
  <c r="J172" i="5"/>
  <c r="Q137" i="5"/>
  <c r="O137" i="5"/>
  <c r="F117" i="5"/>
  <c r="D119" i="1"/>
  <c r="G80" i="1"/>
  <c r="E80" i="1"/>
  <c r="F80" i="1"/>
  <c r="D80" i="1"/>
  <c r="C80" i="1"/>
  <c r="E200" i="13"/>
  <c r="H201" i="12" s="1"/>
  <c r="J201" i="12" s="1"/>
  <c r="G200" i="13"/>
  <c r="D200" i="13"/>
  <c r="E201" i="12" s="1"/>
  <c r="G201" i="12" s="1"/>
  <c r="H158" i="5"/>
  <c r="J158" i="5"/>
  <c r="AX126" i="5"/>
  <c r="F89" i="1"/>
  <c r="AT149" i="5"/>
  <c r="AB149" i="5"/>
  <c r="G169" i="1"/>
  <c r="E169" i="1"/>
  <c r="D169" i="1"/>
  <c r="C169" i="1"/>
  <c r="F169" i="1"/>
  <c r="R112" i="5"/>
  <c r="BB112" i="5"/>
  <c r="D106" i="1"/>
  <c r="F104" i="5"/>
  <c r="H41" i="12"/>
  <c r="J41" i="12" s="1"/>
  <c r="H40" i="5"/>
  <c r="E94" i="12"/>
  <c r="G94" i="12" s="1"/>
  <c r="F93" i="5"/>
  <c r="AB135" i="5"/>
  <c r="M135" i="5"/>
  <c r="AQ66" i="5"/>
  <c r="AP66" i="5"/>
  <c r="AR66" i="5" s="1"/>
  <c r="AC66" i="5"/>
  <c r="AT7" i="5"/>
  <c r="N7" i="5"/>
  <c r="AC60" i="5"/>
  <c r="AQ60" i="5"/>
  <c r="AP60" i="5"/>
  <c r="AR60" i="5" s="1"/>
  <c r="L35" i="5"/>
  <c r="J35" i="5"/>
  <c r="H117" i="12"/>
  <c r="J117" i="12" s="1"/>
  <c r="H116" i="5"/>
  <c r="E142" i="1"/>
  <c r="C142" i="1"/>
  <c r="D142" i="1"/>
  <c r="G142" i="1"/>
  <c r="F142" i="1"/>
  <c r="K106" i="12"/>
  <c r="M106" i="12" s="1"/>
  <c r="J105" i="5"/>
  <c r="G71" i="1"/>
  <c r="F71" i="1"/>
  <c r="E71" i="1"/>
  <c r="D71" i="1"/>
  <c r="C71" i="1"/>
  <c r="AX51" i="5"/>
  <c r="E34" i="12"/>
  <c r="G34" i="12" s="1"/>
  <c r="F33" i="5"/>
  <c r="F11" i="5"/>
  <c r="D13" i="1"/>
  <c r="AX80" i="5"/>
  <c r="P80" i="5"/>
  <c r="N40" i="12"/>
  <c r="P40" i="12" s="1"/>
  <c r="T39" i="5"/>
  <c r="N172" i="12"/>
  <c r="P172" i="12" s="1"/>
  <c r="T171" i="5"/>
  <c r="AT150" i="5"/>
  <c r="M59" i="5"/>
  <c r="O59" i="5"/>
  <c r="F7" i="5"/>
  <c r="L7" i="5"/>
  <c r="J7" i="5"/>
  <c r="H7" i="5"/>
  <c r="Q47" i="5"/>
  <c r="O47" i="5"/>
  <c r="F32" i="10"/>
  <c r="J32" i="10"/>
  <c r="AX141" i="5"/>
  <c r="N42" i="9"/>
  <c r="H233" i="15"/>
  <c r="F233" i="15"/>
  <c r="E233" i="15"/>
  <c r="B233" i="15"/>
  <c r="C233" i="15"/>
  <c r="G233" i="15"/>
  <c r="D233" i="15"/>
  <c r="N181" i="12"/>
  <c r="P181" i="12" s="1"/>
  <c r="T180" i="5"/>
  <c r="L180" i="5"/>
  <c r="H252" i="15"/>
  <c r="F252" i="15"/>
  <c r="E252" i="15"/>
  <c r="C252" i="15"/>
  <c r="B252" i="15"/>
  <c r="G252" i="15"/>
  <c r="D252" i="15"/>
  <c r="E197" i="15"/>
  <c r="D197" i="15"/>
  <c r="C197" i="15"/>
  <c r="H197" i="15"/>
  <c r="B197" i="15"/>
  <c r="F197" i="15"/>
  <c r="G197" i="15"/>
  <c r="H249" i="15"/>
  <c r="B249" i="15"/>
  <c r="G249" i="15"/>
  <c r="F249" i="15"/>
  <c r="C249" i="15"/>
  <c r="E249" i="15"/>
  <c r="D249" i="15"/>
  <c r="D226" i="15"/>
  <c r="C226" i="15"/>
  <c r="G226" i="15"/>
  <c r="F226" i="15"/>
  <c r="E226" i="15"/>
  <c r="B226" i="15"/>
  <c r="H226" i="15"/>
  <c r="H188" i="15"/>
  <c r="B188" i="15"/>
  <c r="G188" i="15"/>
  <c r="C188" i="15"/>
  <c r="F188" i="15"/>
  <c r="E188" i="15"/>
  <c r="D188" i="15"/>
  <c r="N84" i="12"/>
  <c r="P84" i="12" s="1"/>
  <c r="T83" i="5"/>
  <c r="N116" i="12"/>
  <c r="P116" i="12" s="1"/>
  <c r="T115" i="5"/>
  <c r="L115" i="5"/>
  <c r="E101" i="12"/>
  <c r="G101" i="12" s="1"/>
  <c r="F100" i="5"/>
  <c r="D93" i="15"/>
  <c r="C93" i="15"/>
  <c r="B93" i="15"/>
  <c r="H93" i="15"/>
  <c r="G93" i="15"/>
  <c r="E93" i="15"/>
  <c r="F93" i="15"/>
  <c r="N179" i="12"/>
  <c r="P179" i="12" s="1"/>
  <c r="L178" i="5"/>
  <c r="T178" i="5"/>
  <c r="N102" i="12"/>
  <c r="P102" i="12" s="1"/>
  <c r="T101" i="5"/>
  <c r="K95" i="12"/>
  <c r="M95" i="12" s="1"/>
  <c r="J94" i="5"/>
  <c r="H156" i="12"/>
  <c r="J156" i="12" s="1"/>
  <c r="H155" i="5"/>
  <c r="F175" i="15"/>
  <c r="E175" i="15"/>
  <c r="D175" i="15"/>
  <c r="B175" i="15"/>
  <c r="H175" i="15"/>
  <c r="G175" i="15"/>
  <c r="C175" i="15"/>
  <c r="N80" i="12"/>
  <c r="P80" i="12" s="1"/>
  <c r="T79" i="5"/>
  <c r="N43" i="12"/>
  <c r="P43" i="12" s="1"/>
  <c r="T42" i="5"/>
  <c r="B133" i="15"/>
  <c r="H133" i="15"/>
  <c r="F133" i="15"/>
  <c r="G133" i="15"/>
  <c r="E133" i="15"/>
  <c r="D133" i="15"/>
  <c r="C133" i="15"/>
  <c r="N92" i="12"/>
  <c r="P92" i="12" s="1"/>
  <c r="T91" i="5"/>
  <c r="B145" i="15"/>
  <c r="H145" i="15"/>
  <c r="G145" i="15"/>
  <c r="C145" i="15"/>
  <c r="F145" i="15"/>
  <c r="E145" i="15"/>
  <c r="D145" i="15"/>
  <c r="F236" i="15"/>
  <c r="H236" i="15"/>
  <c r="G236" i="15"/>
  <c r="C236" i="15"/>
  <c r="E236" i="15"/>
  <c r="B236" i="15"/>
  <c r="D236" i="15"/>
  <c r="H66" i="12"/>
  <c r="J66" i="12" s="1"/>
  <c r="H65" i="5"/>
  <c r="E17" i="12"/>
  <c r="G17" i="12" s="1"/>
  <c r="N16" i="5"/>
  <c r="F16" i="5"/>
  <c r="O55" i="15"/>
  <c r="D232" i="15"/>
  <c r="H232" i="15"/>
  <c r="E232" i="15"/>
  <c r="B232" i="15"/>
  <c r="G232" i="15"/>
  <c r="F232" i="15"/>
  <c r="C232" i="15"/>
  <c r="E177" i="15"/>
  <c r="C177" i="15"/>
  <c r="H177" i="15"/>
  <c r="B177" i="15"/>
  <c r="D177" i="15"/>
  <c r="F177" i="15"/>
  <c r="G177" i="15"/>
  <c r="E168" i="15"/>
  <c r="C168" i="15"/>
  <c r="H168" i="15"/>
  <c r="B168" i="15"/>
  <c r="F168" i="15"/>
  <c r="D168" i="15"/>
  <c r="G168" i="15"/>
  <c r="G115" i="15"/>
  <c r="F115" i="15"/>
  <c r="E115" i="15"/>
  <c r="D115" i="15"/>
  <c r="C115" i="15"/>
  <c r="B115" i="15"/>
  <c r="H115" i="15"/>
  <c r="E230" i="15"/>
  <c r="D230" i="15"/>
  <c r="H230" i="15"/>
  <c r="G230" i="15"/>
  <c r="B230" i="15"/>
  <c r="C230" i="15"/>
  <c r="F230" i="15"/>
  <c r="H128" i="12"/>
  <c r="J128" i="12" s="1"/>
  <c r="H127" i="5"/>
  <c r="C178" i="15"/>
  <c r="B178" i="15"/>
  <c r="E178" i="15"/>
  <c r="H178" i="15"/>
  <c r="G178" i="15"/>
  <c r="F178" i="15"/>
  <c r="D178" i="15"/>
  <c r="H151" i="5"/>
  <c r="H202" i="15"/>
  <c r="C202" i="15"/>
  <c r="B202" i="15"/>
  <c r="D202" i="15"/>
  <c r="G202" i="15"/>
  <c r="F202" i="15"/>
  <c r="E202" i="15"/>
  <c r="H62" i="15"/>
  <c r="G62" i="15"/>
  <c r="C62" i="15"/>
  <c r="B62" i="15"/>
  <c r="E62" i="15"/>
  <c r="D62" i="15"/>
  <c r="F62" i="15"/>
  <c r="H76" i="15"/>
  <c r="G76" i="15"/>
  <c r="F76" i="15"/>
  <c r="E76" i="15"/>
  <c r="D76" i="15"/>
  <c r="C76" i="15"/>
  <c r="B76" i="15"/>
  <c r="B67" i="15"/>
  <c r="E67" i="15"/>
  <c r="D67" i="15"/>
  <c r="C67" i="15"/>
  <c r="G67" i="15"/>
  <c r="H67" i="15"/>
  <c r="F67" i="15"/>
  <c r="D158" i="15"/>
  <c r="G158" i="15"/>
  <c r="F158" i="15"/>
  <c r="C158" i="15"/>
  <c r="B158" i="15"/>
  <c r="H158" i="15"/>
  <c r="E158" i="15"/>
  <c r="B137" i="15"/>
  <c r="H137" i="15"/>
  <c r="D137" i="15"/>
  <c r="F137" i="15"/>
  <c r="E137" i="15"/>
  <c r="G137" i="15"/>
  <c r="C137" i="15"/>
  <c r="D97" i="15"/>
  <c r="F97" i="15"/>
  <c r="E97" i="15"/>
  <c r="C97" i="15"/>
  <c r="B97" i="15"/>
  <c r="H97" i="15"/>
  <c r="G97" i="15"/>
  <c r="H60" i="12"/>
  <c r="J60" i="12" s="1"/>
  <c r="H84" i="15"/>
  <c r="G84" i="15"/>
  <c r="F84" i="15"/>
  <c r="C84" i="15"/>
  <c r="B84" i="15"/>
  <c r="E84" i="15"/>
  <c r="D84" i="15"/>
  <c r="H105" i="12"/>
  <c r="J105" i="12" s="1"/>
  <c r="H104" i="5"/>
  <c r="E15" i="12"/>
  <c r="G15" i="12" s="1"/>
  <c r="F14" i="5"/>
  <c r="E66" i="12"/>
  <c r="G66" i="12" s="1"/>
  <c r="N65" i="5"/>
  <c r="K66" i="12"/>
  <c r="M66" i="12" s="1"/>
  <c r="J65" i="5"/>
  <c r="N37" i="12"/>
  <c r="P37" i="12" s="1"/>
  <c r="T36" i="5"/>
  <c r="L36" i="5"/>
  <c r="O197" i="5"/>
  <c r="Q197" i="5"/>
  <c r="E197" i="12"/>
  <c r="G197" i="12" s="1"/>
  <c r="F196" i="5"/>
  <c r="AT190" i="5"/>
  <c r="G163" i="13"/>
  <c r="D163" i="13"/>
  <c r="F163" i="13"/>
  <c r="E163" i="13"/>
  <c r="D157" i="13"/>
  <c r="G157" i="13"/>
  <c r="E157" i="13"/>
  <c r="F157" i="13"/>
  <c r="N198" i="12"/>
  <c r="P198" i="12" s="1"/>
  <c r="T197" i="5"/>
  <c r="L197" i="5"/>
  <c r="AT186" i="5"/>
  <c r="AT181" i="5"/>
  <c r="C180" i="1"/>
  <c r="F180" i="1"/>
  <c r="G180" i="1"/>
  <c r="E180" i="1"/>
  <c r="D180" i="1"/>
  <c r="AX179" i="5"/>
  <c r="P179" i="5"/>
  <c r="L113" i="5"/>
  <c r="H113" i="5"/>
  <c r="J113" i="5"/>
  <c r="F113" i="5"/>
  <c r="G187" i="1"/>
  <c r="F187" i="1"/>
  <c r="E187" i="1"/>
  <c r="D187" i="1"/>
  <c r="C187" i="1"/>
  <c r="N137" i="12"/>
  <c r="P137" i="12" s="1"/>
  <c r="T136" i="5"/>
  <c r="Q125" i="5"/>
  <c r="O125" i="5"/>
  <c r="F173" i="13"/>
  <c r="E173" i="13"/>
  <c r="H174" i="12" s="1"/>
  <c r="J174" i="12" s="1"/>
  <c r="D173" i="13"/>
  <c r="E174" i="12" s="1"/>
  <c r="G174" i="12" s="1"/>
  <c r="G173" i="13"/>
  <c r="G163" i="1"/>
  <c r="F163" i="1"/>
  <c r="E163" i="1"/>
  <c r="D163" i="1"/>
  <c r="C163" i="1"/>
  <c r="AP174" i="5"/>
  <c r="AR174" i="5" s="1"/>
  <c r="Q184" i="5"/>
  <c r="Q110" i="5"/>
  <c r="O110" i="5"/>
  <c r="BB87" i="5"/>
  <c r="L79" i="5"/>
  <c r="O73" i="5"/>
  <c r="M73" i="5"/>
  <c r="H61" i="5"/>
  <c r="F61" i="5"/>
  <c r="L61" i="5"/>
  <c r="AP166" i="5"/>
  <c r="AR166" i="5" s="1"/>
  <c r="AX156" i="5"/>
  <c r="J128" i="5"/>
  <c r="F130" i="1"/>
  <c r="F128" i="5"/>
  <c r="D130" i="1"/>
  <c r="F111" i="5"/>
  <c r="D113" i="1"/>
  <c r="J90" i="5"/>
  <c r="L90" i="5"/>
  <c r="F90" i="5"/>
  <c r="D86" i="1"/>
  <c r="G86" i="1"/>
  <c r="F86" i="1"/>
  <c r="E86" i="1"/>
  <c r="C86" i="1"/>
  <c r="E84" i="13"/>
  <c r="H85" i="12" s="1"/>
  <c r="J85" i="12" s="1"/>
  <c r="D84" i="13"/>
  <c r="E85" i="12" s="1"/>
  <c r="G85" i="12" s="1"/>
  <c r="F84" i="13"/>
  <c r="K85" i="12" s="1"/>
  <c r="M85" i="12" s="1"/>
  <c r="G84" i="13"/>
  <c r="L84" i="5" s="1"/>
  <c r="D161" i="1"/>
  <c r="C161" i="1"/>
  <c r="G161" i="1"/>
  <c r="F161" i="1"/>
  <c r="E161" i="1"/>
  <c r="E120" i="12"/>
  <c r="G120" i="12" s="1"/>
  <c r="F119" i="5"/>
  <c r="G10" i="13"/>
  <c r="E10" i="13"/>
  <c r="D10" i="13"/>
  <c r="F10" i="13"/>
  <c r="F75" i="13"/>
  <c r="K76" i="12" s="1"/>
  <c r="M76" i="12" s="1"/>
  <c r="D75" i="13"/>
  <c r="E75" i="13"/>
  <c r="H75" i="5" s="1"/>
  <c r="L89" i="5"/>
  <c r="G91" i="1"/>
  <c r="Q89" i="5"/>
  <c r="O89" i="5"/>
  <c r="Q65" i="5"/>
  <c r="O65" i="5"/>
  <c r="AQ31" i="5"/>
  <c r="AP31" i="5"/>
  <c r="AR31" i="5" s="1"/>
  <c r="AC31" i="5"/>
  <c r="F15" i="1"/>
  <c r="E15" i="1"/>
  <c r="C15" i="1"/>
  <c r="D15" i="1"/>
  <c r="G15" i="1"/>
  <c r="G68" i="1"/>
  <c r="E68" i="1"/>
  <c r="F68" i="1"/>
  <c r="D68" i="1"/>
  <c r="C68" i="1"/>
  <c r="L57" i="5"/>
  <c r="J57" i="5"/>
  <c r="H57" i="5"/>
  <c r="F57" i="5"/>
  <c r="H32" i="5"/>
  <c r="F32" i="5"/>
  <c r="AT12" i="5"/>
  <c r="F76" i="1"/>
  <c r="G76" i="1"/>
  <c r="E76" i="1"/>
  <c r="D76" i="1"/>
  <c r="C76" i="1"/>
  <c r="AX68" i="5"/>
  <c r="G57" i="1"/>
  <c r="F57" i="1"/>
  <c r="E57" i="1"/>
  <c r="D57" i="1"/>
  <c r="C57" i="1"/>
  <c r="BB32" i="5"/>
  <c r="O102" i="5"/>
  <c r="M102" i="5"/>
  <c r="D101" i="13"/>
  <c r="E102" i="12" s="1"/>
  <c r="G102" i="12" s="1"/>
  <c r="F101" i="13"/>
  <c r="K102" i="12" s="1"/>
  <c r="M102" i="12" s="1"/>
  <c r="E121" i="12"/>
  <c r="G121" i="12" s="1"/>
  <c r="F120" i="5"/>
  <c r="L59" i="5"/>
  <c r="G61" i="1"/>
  <c r="G152" i="1"/>
  <c r="F152" i="1"/>
  <c r="D152" i="1"/>
  <c r="C152" i="1"/>
  <c r="E152" i="1"/>
  <c r="N81" i="12"/>
  <c r="P81" i="12" s="1"/>
  <c r="T80" i="5"/>
  <c r="AB55" i="5"/>
  <c r="M55" i="5"/>
  <c r="L39" i="5"/>
  <c r="N114" i="12"/>
  <c r="P114" i="12" s="1"/>
  <c r="T113" i="5"/>
  <c r="AQ86" i="5"/>
  <c r="AP86" i="5"/>
  <c r="AR86" i="5" s="1"/>
  <c r="N67" i="12"/>
  <c r="P67" i="12" s="1"/>
  <c r="T66" i="5"/>
  <c r="AJ2" i="5"/>
  <c r="D4" i="1"/>
  <c r="G201" i="10"/>
  <c r="F201" i="10"/>
  <c r="N87" i="12"/>
  <c r="P87" i="12" s="1"/>
  <c r="T86" i="5"/>
  <c r="AX77" i="5"/>
  <c r="P77" i="5"/>
  <c r="M49" i="5"/>
  <c r="J8" i="12"/>
  <c r="M94" i="10"/>
  <c r="J94" i="10"/>
  <c r="F94" i="10"/>
  <c r="M22" i="10"/>
  <c r="J22" i="10"/>
  <c r="F22" i="10"/>
  <c r="D26" i="1"/>
  <c r="G26" i="1"/>
  <c r="F26" i="1"/>
  <c r="E26" i="1"/>
  <c r="C26" i="1"/>
  <c r="F208" i="10"/>
  <c r="J208" i="10"/>
  <c r="H18" i="5"/>
  <c r="D29" i="1"/>
  <c r="C29" i="1"/>
  <c r="G29" i="1"/>
  <c r="F29" i="1"/>
  <c r="E29" i="1"/>
  <c r="AQ20" i="5"/>
  <c r="AC20" i="5"/>
  <c r="AP20" i="5"/>
  <c r="AR20" i="5" s="1"/>
  <c r="C2" i="13"/>
  <c r="N2" i="13"/>
  <c r="D2" i="13"/>
  <c r="F47" i="13"/>
  <c r="K48" i="12" s="1"/>
  <c r="M48" i="12" s="1"/>
  <c r="D47" i="13"/>
  <c r="E48" i="12" s="1"/>
  <c r="G48" i="12" s="1"/>
  <c r="N24" i="12"/>
  <c r="P24" i="12" s="1"/>
  <c r="T23" i="5"/>
  <c r="F54" i="13"/>
  <c r="K55" i="12" s="1"/>
  <c r="M55" i="12" s="1"/>
  <c r="E54" i="13"/>
  <c r="H55" i="12" s="1"/>
  <c r="J55" i="12" s="1"/>
  <c r="D54" i="13"/>
  <c r="E55" i="12" s="1"/>
  <c r="G55" i="12" s="1"/>
  <c r="G54" i="13"/>
  <c r="L54" i="5" s="1"/>
  <c r="H21" i="5"/>
  <c r="F21" i="5"/>
  <c r="M140" i="10"/>
  <c r="AT83" i="5"/>
  <c r="F89" i="10"/>
  <c r="M89" i="10"/>
  <c r="M176" i="10"/>
  <c r="Q54" i="9"/>
  <c r="N27" i="12"/>
  <c r="P27" i="12" s="1"/>
  <c r="T26" i="5"/>
  <c r="N163" i="9"/>
  <c r="R136" i="5"/>
  <c r="I260" i="15"/>
  <c r="AZ33" i="5" s="1"/>
  <c r="AD4" i="6"/>
  <c r="AQ82" i="5"/>
  <c r="AQ88" i="5"/>
  <c r="F195" i="6"/>
  <c r="F189" i="6"/>
  <c r="F183" i="6"/>
  <c r="F177" i="6"/>
  <c r="F171" i="6"/>
  <c r="F165" i="6"/>
  <c r="F159" i="6"/>
  <c r="F153" i="6"/>
  <c r="F147" i="6"/>
  <c r="F141" i="6"/>
  <c r="F135" i="6"/>
  <c r="F129" i="6"/>
  <c r="F123" i="6"/>
  <c r="F117" i="6"/>
  <c r="F111" i="6"/>
  <c r="F105" i="6"/>
  <c r="F99" i="6"/>
  <c r="F93" i="6"/>
  <c r="F87" i="6"/>
  <c r="F81" i="6"/>
  <c r="F75" i="6"/>
  <c r="F69" i="6"/>
  <c r="F63" i="6"/>
  <c r="F57" i="6"/>
  <c r="F51" i="6"/>
  <c r="F45" i="6"/>
  <c r="F39" i="6"/>
  <c r="F33" i="6"/>
  <c r="F27" i="6"/>
  <c r="F21" i="6"/>
  <c r="F15" i="6"/>
  <c r="F9" i="6"/>
  <c r="F5" i="6"/>
  <c r="F2" i="6"/>
  <c r="F196" i="6"/>
  <c r="F190" i="6"/>
  <c r="F184" i="6"/>
  <c r="F178" i="6"/>
  <c r="F172" i="6"/>
  <c r="F166" i="6"/>
  <c r="F160" i="6"/>
  <c r="F154" i="6"/>
  <c r="F148" i="6"/>
  <c r="F142" i="6"/>
  <c r="F136" i="6"/>
  <c r="F130" i="6"/>
  <c r="F124" i="6"/>
  <c r="F200" i="6"/>
  <c r="F182" i="6"/>
  <c r="F164" i="6"/>
  <c r="F146" i="6"/>
  <c r="F128" i="6"/>
  <c r="F104" i="6"/>
  <c r="F100" i="6"/>
  <c r="F91" i="6"/>
  <c r="F78" i="6"/>
  <c r="F52" i="6"/>
  <c r="F47" i="6"/>
  <c r="F42" i="6"/>
  <c r="F28" i="6"/>
  <c r="F23" i="6"/>
  <c r="F18" i="6"/>
  <c r="F194" i="6"/>
  <c r="F176" i="6"/>
  <c r="F158" i="6"/>
  <c r="F140" i="6"/>
  <c r="F122" i="6"/>
  <c r="F101" i="6"/>
  <c r="F80" i="6"/>
  <c r="F76" i="6"/>
  <c r="F67" i="6"/>
  <c r="F44" i="6"/>
  <c r="F20" i="6"/>
  <c r="F191" i="6"/>
  <c r="F187" i="6"/>
  <c r="F173" i="6"/>
  <c r="F169" i="6"/>
  <c r="F155" i="6"/>
  <c r="F151" i="6"/>
  <c r="F137" i="6"/>
  <c r="F133" i="6"/>
  <c r="F114" i="6"/>
  <c r="F89" i="6"/>
  <c r="F68" i="6"/>
  <c r="F64" i="6"/>
  <c r="F59" i="6"/>
  <c r="F54" i="6"/>
  <c r="F40" i="6"/>
  <c r="F35" i="6"/>
  <c r="F30" i="6"/>
  <c r="F16" i="6"/>
  <c r="F11" i="6"/>
  <c r="F198" i="6"/>
  <c r="F162" i="6"/>
  <c r="F126" i="6"/>
  <c r="F108" i="6"/>
  <c r="F71" i="6"/>
  <c r="F62" i="6"/>
  <c r="F49" i="6"/>
  <c r="F17" i="6"/>
  <c r="F14" i="6"/>
  <c r="F4" i="6"/>
  <c r="F193" i="6"/>
  <c r="F168" i="6"/>
  <c r="F157" i="6"/>
  <c r="F132" i="6"/>
  <c r="F121" i="6"/>
  <c r="F118" i="6"/>
  <c r="F112" i="6"/>
  <c r="F185" i="6"/>
  <c r="F149" i="6"/>
  <c r="F115" i="6"/>
  <c r="F109" i="6"/>
  <c r="F106" i="6"/>
  <c r="F90" i="6"/>
  <c r="F84" i="6"/>
  <c r="F56" i="6"/>
  <c r="F53" i="6"/>
  <c r="F50" i="6"/>
  <c r="F24" i="6"/>
  <c r="F8" i="6"/>
  <c r="F6" i="6"/>
  <c r="F181" i="6"/>
  <c r="F143" i="6"/>
  <c r="F138" i="6"/>
  <c r="F131" i="6"/>
  <c r="F116" i="6"/>
  <c r="F86" i="6"/>
  <c r="F60" i="6"/>
  <c r="F55" i="6"/>
  <c r="F10" i="6"/>
  <c r="F179" i="6"/>
  <c r="F174" i="6"/>
  <c r="F167" i="6"/>
  <c r="F150" i="6"/>
  <c r="F119" i="6"/>
  <c r="F94" i="6"/>
  <c r="F73" i="6"/>
  <c r="F29" i="6"/>
  <c r="F13" i="6"/>
  <c r="F186" i="6"/>
  <c r="F66" i="6"/>
  <c r="F58" i="6"/>
  <c r="F37" i="6"/>
  <c r="F134" i="6"/>
  <c r="F97" i="6"/>
  <c r="F79" i="6"/>
  <c r="F61" i="6"/>
  <c r="F32" i="6"/>
  <c r="F139" i="6"/>
  <c r="F127" i="6"/>
  <c r="F92" i="6"/>
  <c r="F82" i="6"/>
  <c r="F48" i="6"/>
  <c r="F22" i="6"/>
  <c r="F175" i="6"/>
  <c r="F163" i="6"/>
  <c r="F144" i="6"/>
  <c r="F125" i="6"/>
  <c r="F120" i="6"/>
  <c r="F110" i="6"/>
  <c r="F199" i="6"/>
  <c r="F180" i="6"/>
  <c r="F161" i="6"/>
  <c r="F156" i="6"/>
  <c r="F95" i="6"/>
  <c r="F88" i="6"/>
  <c r="F72" i="6"/>
  <c r="F46" i="6"/>
  <c r="F38" i="6"/>
  <c r="F25" i="6"/>
  <c r="F113" i="6"/>
  <c r="F103" i="6"/>
  <c r="F83" i="6"/>
  <c r="F65" i="6"/>
  <c r="F41" i="6"/>
  <c r="F188" i="6"/>
  <c r="F145" i="6"/>
  <c r="F96" i="6"/>
  <c r="F34" i="6"/>
  <c r="F26" i="6"/>
  <c r="F197" i="6"/>
  <c r="F102" i="6"/>
  <c r="F3" i="6"/>
  <c r="F7" i="6"/>
  <c r="F170" i="6"/>
  <c r="F77" i="6"/>
  <c r="F43" i="6"/>
  <c r="F192" i="6"/>
  <c r="F19" i="6"/>
  <c r="F152" i="6"/>
  <c r="F107" i="6"/>
  <c r="F70" i="6"/>
  <c r="F36" i="6"/>
  <c r="F12" i="6"/>
  <c r="F85" i="6"/>
  <c r="F74" i="6"/>
  <c r="F98" i="6"/>
  <c r="F31" i="6"/>
  <c r="AQ46" i="5"/>
  <c r="AR6" i="5"/>
  <c r="AR145" i="5"/>
  <c r="D241" i="15"/>
  <c r="H241" i="15"/>
  <c r="E241" i="15"/>
  <c r="C241" i="15"/>
  <c r="F241" i="15"/>
  <c r="G241" i="15"/>
  <c r="B241" i="15"/>
  <c r="H205" i="15"/>
  <c r="E205" i="15"/>
  <c r="G205" i="15"/>
  <c r="F205" i="15"/>
  <c r="D205" i="15"/>
  <c r="C205" i="15"/>
  <c r="B205" i="15"/>
  <c r="B196" i="15"/>
  <c r="G196" i="15"/>
  <c r="E196" i="15"/>
  <c r="D196" i="15"/>
  <c r="H196" i="15"/>
  <c r="F196" i="15"/>
  <c r="C196" i="15"/>
  <c r="K133" i="12"/>
  <c r="M133" i="12" s="1"/>
  <c r="J132" i="5"/>
  <c r="D157" i="15"/>
  <c r="B157" i="15"/>
  <c r="H157" i="15"/>
  <c r="G157" i="15"/>
  <c r="F157" i="15"/>
  <c r="E157" i="15"/>
  <c r="C157" i="15"/>
  <c r="E191" i="13"/>
  <c r="H192" i="12" s="1"/>
  <c r="J192" i="12" s="1"/>
  <c r="H135" i="15"/>
  <c r="G135" i="15"/>
  <c r="F135" i="15"/>
  <c r="B135" i="15"/>
  <c r="E135" i="15"/>
  <c r="D135" i="15"/>
  <c r="C135" i="15"/>
  <c r="B153" i="15"/>
  <c r="H153" i="15"/>
  <c r="G153" i="15"/>
  <c r="F153" i="15"/>
  <c r="E153" i="15"/>
  <c r="D153" i="15"/>
  <c r="C153" i="15"/>
  <c r="E146" i="15"/>
  <c r="D146" i="15"/>
  <c r="F146" i="15"/>
  <c r="H146" i="15"/>
  <c r="G146" i="15"/>
  <c r="B146" i="15"/>
  <c r="C146" i="15"/>
  <c r="B167" i="15"/>
  <c r="G167" i="15"/>
  <c r="H167" i="15"/>
  <c r="F167" i="15"/>
  <c r="E167" i="15"/>
  <c r="D167" i="15"/>
  <c r="C167" i="15"/>
  <c r="M163" i="12"/>
  <c r="F187" i="15"/>
  <c r="E187" i="15"/>
  <c r="G187" i="15"/>
  <c r="D187" i="15"/>
  <c r="C187" i="15"/>
  <c r="B187" i="15"/>
  <c r="H187" i="15"/>
  <c r="E124" i="12"/>
  <c r="G124" i="12" s="1"/>
  <c r="F123" i="5"/>
  <c r="H139" i="15"/>
  <c r="G139" i="15"/>
  <c r="C139" i="15"/>
  <c r="B139" i="15"/>
  <c r="F139" i="15"/>
  <c r="E139" i="15"/>
  <c r="D139" i="15"/>
  <c r="H131" i="15"/>
  <c r="G131" i="15"/>
  <c r="F131" i="15"/>
  <c r="D131" i="15"/>
  <c r="E131" i="15"/>
  <c r="C131" i="15"/>
  <c r="B131" i="15"/>
  <c r="E142" i="15"/>
  <c r="D142" i="15"/>
  <c r="F142" i="15"/>
  <c r="C142" i="15"/>
  <c r="B142" i="15"/>
  <c r="H142" i="15"/>
  <c r="G142" i="15"/>
  <c r="G12" i="12"/>
  <c r="F93" i="13"/>
  <c r="K94" i="12" s="1"/>
  <c r="M94" i="12" s="1"/>
  <c r="G38" i="13"/>
  <c r="F59" i="13"/>
  <c r="K60" i="12" s="1"/>
  <c r="M60" i="12" s="1"/>
  <c r="N38" i="12"/>
  <c r="P38" i="12" s="1"/>
  <c r="T37" i="5"/>
  <c r="N8" i="12"/>
  <c r="P8" i="12" s="1"/>
  <c r="T7" i="5"/>
  <c r="K105" i="12"/>
  <c r="M105" i="12" s="1"/>
  <c r="J104" i="5"/>
  <c r="H15" i="12"/>
  <c r="J15" i="12" s="1"/>
  <c r="N66" i="12"/>
  <c r="P66" i="12" s="1"/>
  <c r="T65" i="5"/>
  <c r="G87" i="15"/>
  <c r="E87" i="15"/>
  <c r="D87" i="15"/>
  <c r="H87" i="15"/>
  <c r="F87" i="15"/>
  <c r="B87" i="15"/>
  <c r="C87" i="15"/>
  <c r="G67" i="13"/>
  <c r="K197" i="12"/>
  <c r="M197" i="12" s="1"/>
  <c r="J196" i="5"/>
  <c r="M16" i="12"/>
  <c r="E195" i="13"/>
  <c r="H196" i="12" s="1"/>
  <c r="J196" i="12" s="1"/>
  <c r="G195" i="13"/>
  <c r="L195" i="5" s="1"/>
  <c r="E183" i="1"/>
  <c r="BB182" i="5"/>
  <c r="R182" i="5"/>
  <c r="K152" i="12"/>
  <c r="M152" i="12" s="1"/>
  <c r="R151" i="5"/>
  <c r="J151" i="5"/>
  <c r="J195" i="5"/>
  <c r="F153" i="5"/>
  <c r="D155" i="1"/>
  <c r="L136" i="5"/>
  <c r="J136" i="5"/>
  <c r="H136" i="5"/>
  <c r="F136" i="5"/>
  <c r="D161" i="13"/>
  <c r="G161" i="13"/>
  <c r="L161" i="5" s="1"/>
  <c r="F161" i="13"/>
  <c r="K162" i="12" s="1"/>
  <c r="M162" i="12" s="1"/>
  <c r="E161" i="13"/>
  <c r="H162" i="12" s="1"/>
  <c r="J162" i="12" s="1"/>
  <c r="R154" i="5"/>
  <c r="BB154" i="5"/>
  <c r="C144" i="1"/>
  <c r="F144" i="1"/>
  <c r="G144" i="1"/>
  <c r="E144" i="1"/>
  <c r="D144" i="1"/>
  <c r="J137" i="12"/>
  <c r="AP161" i="5"/>
  <c r="AR161" i="5" s="1"/>
  <c r="AC161" i="5"/>
  <c r="AQ161" i="5"/>
  <c r="F132" i="5"/>
  <c r="D134" i="1"/>
  <c r="M87" i="5"/>
  <c r="AB87" i="5"/>
  <c r="F75" i="1"/>
  <c r="E75" i="1"/>
  <c r="C75" i="1"/>
  <c r="D75" i="1"/>
  <c r="G75" i="1"/>
  <c r="Q170" i="5"/>
  <c r="O170" i="5"/>
  <c r="L128" i="5"/>
  <c r="G130" i="1"/>
  <c r="M99" i="5"/>
  <c r="AB99" i="5"/>
  <c r="M158" i="5"/>
  <c r="J81" i="5"/>
  <c r="F83" i="1"/>
  <c r="Q149" i="5"/>
  <c r="O149" i="5"/>
  <c r="AB134" i="5"/>
  <c r="M167" i="5"/>
  <c r="E148" i="13"/>
  <c r="H149" i="12" s="1"/>
  <c r="J149" i="12" s="1"/>
  <c r="D148" i="13"/>
  <c r="E149" i="12" s="1"/>
  <c r="G149" i="12" s="1"/>
  <c r="G148" i="13"/>
  <c r="L148" i="5" s="1"/>
  <c r="J148" i="5"/>
  <c r="AB143" i="5"/>
  <c r="AQ119" i="5"/>
  <c r="AP119" i="5"/>
  <c r="AR119" i="5" s="1"/>
  <c r="AC119" i="5"/>
  <c r="E76" i="13"/>
  <c r="G76" i="13"/>
  <c r="F76" i="13"/>
  <c r="D76" i="13"/>
  <c r="F168" i="13"/>
  <c r="K169" i="12" s="1"/>
  <c r="M169" i="12" s="1"/>
  <c r="D168" i="13"/>
  <c r="E169" i="12" s="1"/>
  <c r="G169" i="12" s="1"/>
  <c r="E168" i="13"/>
  <c r="H169" i="12" s="1"/>
  <c r="J169" i="12" s="1"/>
  <c r="G170" i="1"/>
  <c r="F170" i="1"/>
  <c r="E170" i="1"/>
  <c r="D170" i="1"/>
  <c r="C170" i="1"/>
  <c r="N132" i="12"/>
  <c r="P132" i="12" s="1"/>
  <c r="L131" i="5"/>
  <c r="T131" i="5"/>
  <c r="C132" i="1"/>
  <c r="G132" i="1"/>
  <c r="F132" i="1"/>
  <c r="E132" i="1"/>
  <c r="D132" i="1"/>
  <c r="L123" i="5"/>
  <c r="G125" i="1"/>
  <c r="BB90" i="5"/>
  <c r="R90" i="5"/>
  <c r="Q62" i="5"/>
  <c r="O62" i="5"/>
  <c r="Q48" i="5"/>
  <c r="O48" i="5"/>
  <c r="AT35" i="5"/>
  <c r="N35" i="5"/>
  <c r="H29" i="5"/>
  <c r="F29" i="5"/>
  <c r="L29" i="5"/>
  <c r="J29" i="5"/>
  <c r="M13" i="5"/>
  <c r="O13" i="5"/>
  <c r="O66" i="5"/>
  <c r="M66" i="5"/>
  <c r="AX74" i="5"/>
  <c r="P74" i="5"/>
  <c r="M74" i="5"/>
  <c r="P55" i="5"/>
  <c r="AX55" i="5"/>
  <c r="H25" i="5"/>
  <c r="L25" i="5"/>
  <c r="J25" i="5"/>
  <c r="F25" i="5"/>
  <c r="Q106" i="5"/>
  <c r="N121" i="12"/>
  <c r="P121" i="12" s="1"/>
  <c r="L120" i="5"/>
  <c r="T120" i="5"/>
  <c r="AP107" i="5"/>
  <c r="AR107" i="5" s="1"/>
  <c r="AC107" i="5"/>
  <c r="BB11" i="5"/>
  <c r="R11" i="5"/>
  <c r="AX150" i="5"/>
  <c r="P150" i="5"/>
  <c r="Q74" i="5"/>
  <c r="E51" i="13"/>
  <c r="H52" i="12" s="1"/>
  <c r="J52" i="12" s="1"/>
  <c r="D51" i="13"/>
  <c r="E52" i="12" s="1"/>
  <c r="G52" i="12" s="1"/>
  <c r="F51" i="13"/>
  <c r="K52" i="12" s="1"/>
  <c r="M52" i="12" s="1"/>
  <c r="AB25" i="5"/>
  <c r="M25" i="5"/>
  <c r="O63" i="5"/>
  <c r="W2" i="11"/>
  <c r="AT5" i="5"/>
  <c r="M184" i="10"/>
  <c r="H49" i="5"/>
  <c r="L49" i="5"/>
  <c r="J49" i="5"/>
  <c r="F49" i="5"/>
  <c r="J113" i="12"/>
  <c r="J128" i="10"/>
  <c r="BB92" i="5"/>
  <c r="AB92" i="5"/>
  <c r="F56" i="13"/>
  <c r="K57" i="12" s="1"/>
  <c r="M57" i="12" s="1"/>
  <c r="E56" i="13"/>
  <c r="D56" i="13"/>
  <c r="E57" i="12" s="1"/>
  <c r="G57" i="12" s="1"/>
  <c r="G56" i="13"/>
  <c r="L56" i="5" s="1"/>
  <c r="G23" i="1"/>
  <c r="F23" i="1"/>
  <c r="E23" i="1"/>
  <c r="D23" i="1"/>
  <c r="C23" i="1"/>
  <c r="AB54" i="5"/>
  <c r="AQ21" i="5"/>
  <c r="AP21" i="5"/>
  <c r="AR21" i="5" s="1"/>
  <c r="AC21" i="5"/>
  <c r="Q3" i="5"/>
  <c r="M200" i="10"/>
  <c r="J129" i="10"/>
  <c r="F129" i="10"/>
  <c r="O44" i="5"/>
  <c r="F123" i="10"/>
  <c r="M53" i="10"/>
  <c r="F53" i="10"/>
  <c r="F93" i="10"/>
  <c r="J93" i="10"/>
  <c r="F125" i="10"/>
  <c r="N184" i="9"/>
  <c r="N136" i="9"/>
  <c r="N88" i="9"/>
  <c r="N40" i="9"/>
  <c r="AB83" i="5"/>
  <c r="J148" i="10"/>
  <c r="G143" i="1"/>
  <c r="F143" i="1"/>
  <c r="E143" i="1"/>
  <c r="D143" i="1"/>
  <c r="C143" i="1"/>
  <c r="J47" i="10"/>
  <c r="N130" i="9"/>
  <c r="Q193" i="9"/>
  <c r="Q161" i="9"/>
  <c r="N126" i="9"/>
  <c r="Q78" i="9"/>
  <c r="Q53" i="9"/>
  <c r="M122" i="10"/>
  <c r="M149" i="10"/>
  <c r="F182" i="10"/>
  <c r="F40" i="10"/>
  <c r="N178" i="9"/>
  <c r="N8" i="9"/>
  <c r="N101" i="9"/>
  <c r="Q30" i="9"/>
  <c r="I4" i="7"/>
  <c r="J4" i="7"/>
  <c r="P196" i="5"/>
  <c r="P39" i="5"/>
  <c r="AR22" i="5"/>
  <c r="F99" i="10"/>
  <c r="N77" i="9"/>
  <c r="N72" i="9"/>
  <c r="F197" i="10"/>
  <c r="P4" i="7"/>
  <c r="H2" i="7"/>
  <c r="AQ94" i="5"/>
  <c r="AR70" i="5"/>
  <c r="AQ70" i="5"/>
  <c r="P115" i="5"/>
  <c r="J258" i="15"/>
  <c r="AR172" i="5"/>
  <c r="N18" i="7"/>
  <c r="N17" i="7"/>
  <c r="AQ130" i="5"/>
  <c r="AQ19" i="5"/>
  <c r="D247" i="15"/>
  <c r="H247" i="15"/>
  <c r="G247" i="15"/>
  <c r="E247" i="15"/>
  <c r="C247" i="15"/>
  <c r="B247" i="15"/>
  <c r="F247" i="15"/>
  <c r="D244" i="15"/>
  <c r="C244" i="15"/>
  <c r="B244" i="15"/>
  <c r="H244" i="15"/>
  <c r="G244" i="15"/>
  <c r="E244" i="15"/>
  <c r="F244" i="15"/>
  <c r="N173" i="12"/>
  <c r="P173" i="12" s="1"/>
  <c r="T172" i="5"/>
  <c r="H189" i="15"/>
  <c r="F189" i="15"/>
  <c r="D189" i="15"/>
  <c r="C189" i="15"/>
  <c r="B189" i="15"/>
  <c r="G189" i="15"/>
  <c r="E189" i="15"/>
  <c r="K198" i="12"/>
  <c r="M198" i="12" s="1"/>
  <c r="J197" i="5"/>
  <c r="H180" i="15"/>
  <c r="E180" i="15"/>
  <c r="G180" i="15"/>
  <c r="F180" i="15"/>
  <c r="D180" i="15"/>
  <c r="C180" i="15"/>
  <c r="B180" i="15"/>
  <c r="K117" i="12"/>
  <c r="M117" i="12" s="1"/>
  <c r="J116" i="5"/>
  <c r="O56" i="15"/>
  <c r="K179" i="12"/>
  <c r="M179" i="12" s="1"/>
  <c r="J178" i="5"/>
  <c r="G154" i="15"/>
  <c r="E154" i="15"/>
  <c r="D154" i="15"/>
  <c r="F154" i="15"/>
  <c r="C154" i="15"/>
  <c r="H154" i="15"/>
  <c r="B154" i="15"/>
  <c r="L81" i="5"/>
  <c r="N94" i="12"/>
  <c r="P94" i="12" s="1"/>
  <c r="T93" i="5"/>
  <c r="L93" i="5"/>
  <c r="D125" i="15"/>
  <c r="G125" i="15"/>
  <c r="F125" i="15"/>
  <c r="E125" i="15"/>
  <c r="C125" i="15"/>
  <c r="B125" i="15"/>
  <c r="H125" i="15"/>
  <c r="D90" i="15"/>
  <c r="B90" i="15"/>
  <c r="E90" i="15"/>
  <c r="C90" i="15"/>
  <c r="H90" i="15"/>
  <c r="G90" i="15"/>
  <c r="F90" i="15"/>
  <c r="G123" i="15"/>
  <c r="F123" i="15"/>
  <c r="E123" i="15"/>
  <c r="D123" i="15"/>
  <c r="H123" i="15"/>
  <c r="C123" i="15"/>
  <c r="B123" i="15"/>
  <c r="AQ195" i="5"/>
  <c r="AP195" i="5"/>
  <c r="AR195" i="5" s="1"/>
  <c r="AC195" i="5"/>
  <c r="E180" i="13"/>
  <c r="D180" i="13"/>
  <c r="F180" i="13"/>
  <c r="E198" i="12"/>
  <c r="G198" i="12" s="1"/>
  <c r="F197" i="5"/>
  <c r="H178" i="5"/>
  <c r="AC178" i="5"/>
  <c r="AP178" i="5"/>
  <c r="AR178" i="5" s="1"/>
  <c r="AQ178" i="5"/>
  <c r="M136" i="5"/>
  <c r="O136" i="5"/>
  <c r="G125" i="13"/>
  <c r="E125" i="13"/>
  <c r="H126" i="12" s="1"/>
  <c r="J126" i="12" s="1"/>
  <c r="D125" i="13"/>
  <c r="F125" i="13"/>
  <c r="AC176" i="5"/>
  <c r="BB129" i="5"/>
  <c r="R129" i="5"/>
  <c r="AQ171" i="5"/>
  <c r="AC171" i="5"/>
  <c r="AP171" i="5"/>
  <c r="AR171" i="5" s="1"/>
  <c r="BB172" i="5"/>
  <c r="R172" i="5"/>
  <c r="AT134" i="5"/>
  <c r="BB124" i="5"/>
  <c r="R124" i="5"/>
  <c r="M81" i="5"/>
  <c r="AB81" i="5"/>
  <c r="F73" i="13"/>
  <c r="J73" i="5" s="1"/>
  <c r="E73" i="13"/>
  <c r="H74" i="12" s="1"/>
  <c r="J74" i="12" s="1"/>
  <c r="D73" i="13"/>
  <c r="E74" i="12" s="1"/>
  <c r="G74" i="12" s="1"/>
  <c r="AB111" i="5"/>
  <c r="M111" i="5"/>
  <c r="N120" i="12"/>
  <c r="P120" i="12" s="1"/>
  <c r="T119" i="5"/>
  <c r="E95" i="1"/>
  <c r="D126" i="13"/>
  <c r="E127" i="12" s="1"/>
  <c r="G127" i="12" s="1"/>
  <c r="G126" i="13"/>
  <c r="BB135" i="5"/>
  <c r="BB78" i="5"/>
  <c r="F89" i="5"/>
  <c r="D91" i="1"/>
  <c r="AQ51" i="5"/>
  <c r="AP51" i="5"/>
  <c r="AR51" i="5" s="1"/>
  <c r="AC51" i="5"/>
  <c r="G44" i="1"/>
  <c r="F44" i="1"/>
  <c r="D44" i="1"/>
  <c r="C44" i="1"/>
  <c r="E44" i="1"/>
  <c r="R6" i="5"/>
  <c r="BB6" i="5"/>
  <c r="M118" i="5"/>
  <c r="F118" i="5"/>
  <c r="L118" i="5"/>
  <c r="D50" i="1"/>
  <c r="G50" i="1"/>
  <c r="F50" i="1"/>
  <c r="E50" i="1"/>
  <c r="C50" i="1"/>
  <c r="E70" i="1"/>
  <c r="C70" i="1"/>
  <c r="D70" i="1"/>
  <c r="G70" i="1"/>
  <c r="F70" i="1"/>
  <c r="AX25" i="5"/>
  <c r="P25" i="5"/>
  <c r="AQ140" i="5"/>
  <c r="AP140" i="5"/>
  <c r="AR140" i="5" s="1"/>
  <c r="AC140" i="5"/>
  <c r="G104" i="1"/>
  <c r="F104" i="1"/>
  <c r="D104" i="1"/>
  <c r="C104" i="1"/>
  <c r="E104" i="1"/>
  <c r="N20" i="12"/>
  <c r="P20" i="12" s="1"/>
  <c r="T19" i="5"/>
  <c r="AB150" i="5"/>
  <c r="Q181" i="9"/>
  <c r="N113" i="12"/>
  <c r="P113" i="12" s="1"/>
  <c r="T112" i="5"/>
  <c r="E7" i="1"/>
  <c r="G7" i="1"/>
  <c r="F7" i="1"/>
  <c r="D7" i="1"/>
  <c r="C7" i="1"/>
  <c r="BB18" i="5"/>
  <c r="N30" i="12"/>
  <c r="P30" i="12" s="1"/>
  <c r="T29" i="5"/>
  <c r="G177" i="10"/>
  <c r="F177" i="10"/>
  <c r="J53" i="5"/>
  <c r="H53" i="5"/>
  <c r="F53" i="5"/>
  <c r="AB47" i="5"/>
  <c r="M47" i="5"/>
  <c r="G27" i="13"/>
  <c r="L27" i="5" s="1"/>
  <c r="E27" i="13"/>
  <c r="H28" i="12" s="1"/>
  <c r="J28" i="12" s="1"/>
  <c r="F27" i="13"/>
  <c r="K28" i="12" s="1"/>
  <c r="M28" i="12" s="1"/>
  <c r="Q21" i="5"/>
  <c r="O21" i="5"/>
  <c r="AP50" i="5"/>
  <c r="AR50" i="5" s="1"/>
  <c r="J140" i="10"/>
  <c r="E46" i="1"/>
  <c r="C46" i="1"/>
  <c r="D46" i="1"/>
  <c r="G46" i="1"/>
  <c r="F46" i="1"/>
  <c r="AT9" i="5"/>
  <c r="F74" i="10"/>
  <c r="J74" i="10"/>
  <c r="M32" i="10"/>
  <c r="F85" i="1"/>
  <c r="G85" i="1"/>
  <c r="E85" i="1"/>
  <c r="D85" i="1"/>
  <c r="C85" i="1"/>
  <c r="J176" i="10"/>
  <c r="E27" i="12"/>
  <c r="G27" i="12" s="1"/>
  <c r="N26" i="5"/>
  <c r="N78" i="9"/>
  <c r="J122" i="10"/>
  <c r="N131" i="9"/>
  <c r="N169" i="12"/>
  <c r="P169" i="12" s="1"/>
  <c r="T168" i="5"/>
  <c r="D190" i="13"/>
  <c r="E191" i="12" s="1"/>
  <c r="G191" i="12" s="1"/>
  <c r="H176" i="15"/>
  <c r="D176" i="15"/>
  <c r="G176" i="15"/>
  <c r="F176" i="15"/>
  <c r="E176" i="15"/>
  <c r="C176" i="15"/>
  <c r="B176" i="15"/>
  <c r="G191" i="13"/>
  <c r="L191" i="5" s="1"/>
  <c r="F190" i="13"/>
  <c r="J190" i="5" s="1"/>
  <c r="H95" i="12"/>
  <c r="J95" i="12" s="1"/>
  <c r="H94" i="5"/>
  <c r="P94" i="5"/>
  <c r="N58" i="12"/>
  <c r="P58" i="12" s="1"/>
  <c r="T57" i="5"/>
  <c r="N112" i="12"/>
  <c r="P112" i="12" s="1"/>
  <c r="L111" i="5"/>
  <c r="T111" i="5"/>
  <c r="D166" i="15"/>
  <c r="G166" i="15"/>
  <c r="F166" i="15"/>
  <c r="E166" i="15"/>
  <c r="C166" i="15"/>
  <c r="H166" i="15"/>
  <c r="B166" i="15"/>
  <c r="H58" i="15"/>
  <c r="G58" i="15"/>
  <c r="F58" i="15"/>
  <c r="D58" i="15"/>
  <c r="C58" i="15"/>
  <c r="B58" i="15"/>
  <c r="E58" i="15"/>
  <c r="K34" i="12"/>
  <c r="M34" i="12" s="1"/>
  <c r="J33" i="5"/>
  <c r="H64" i="15"/>
  <c r="F64" i="15"/>
  <c r="G64" i="15"/>
  <c r="E64" i="15"/>
  <c r="D64" i="15"/>
  <c r="B64" i="15"/>
  <c r="C64" i="15"/>
  <c r="F74" i="15"/>
  <c r="D74" i="15"/>
  <c r="G74" i="15"/>
  <c r="E74" i="15"/>
  <c r="C74" i="15"/>
  <c r="H74" i="15"/>
  <c r="B74" i="15"/>
  <c r="G44" i="12"/>
  <c r="H80" i="15"/>
  <c r="G80" i="15"/>
  <c r="C80" i="15"/>
  <c r="B80" i="15"/>
  <c r="F80" i="15"/>
  <c r="E80" i="15"/>
  <c r="D80" i="15"/>
  <c r="C77" i="15"/>
  <c r="B77" i="15"/>
  <c r="D77" i="15"/>
  <c r="H77" i="15"/>
  <c r="G77" i="15"/>
  <c r="F77" i="15"/>
  <c r="E77" i="15"/>
  <c r="N62" i="12"/>
  <c r="P62" i="12" s="1"/>
  <c r="T61" i="5"/>
  <c r="D40" i="13"/>
  <c r="H70" i="15"/>
  <c r="G70" i="15"/>
  <c r="F70" i="15"/>
  <c r="E70" i="15"/>
  <c r="D70" i="15"/>
  <c r="C70" i="15"/>
  <c r="B70" i="15"/>
  <c r="G198" i="13"/>
  <c r="D198" i="13"/>
  <c r="E198" i="13"/>
  <c r="D192" i="13"/>
  <c r="E192" i="13"/>
  <c r="G201" i="1"/>
  <c r="C201" i="1"/>
  <c r="F201" i="1"/>
  <c r="E201" i="1"/>
  <c r="D201" i="1"/>
  <c r="N197" i="12"/>
  <c r="P197" i="12" s="1"/>
  <c r="L196" i="5"/>
  <c r="T196" i="5"/>
  <c r="H190" i="5"/>
  <c r="AX189" i="5"/>
  <c r="P189" i="5"/>
  <c r="F145" i="13"/>
  <c r="E145" i="13"/>
  <c r="D145" i="13"/>
  <c r="G145" i="13"/>
  <c r="D185" i="1"/>
  <c r="C185" i="1"/>
  <c r="G185" i="1"/>
  <c r="F185" i="1"/>
  <c r="E185" i="1"/>
  <c r="G188" i="1"/>
  <c r="E188" i="1"/>
  <c r="F188" i="1"/>
  <c r="D188" i="1"/>
  <c r="C188" i="1"/>
  <c r="H179" i="5"/>
  <c r="E181" i="1"/>
  <c r="Q120" i="5"/>
  <c r="O120" i="5"/>
  <c r="M162" i="5"/>
  <c r="AB162" i="5"/>
  <c r="F69" i="10"/>
  <c r="Q42" i="9"/>
  <c r="J182" i="10"/>
  <c r="N36" i="9"/>
  <c r="J147" i="10"/>
  <c r="N144" i="9"/>
  <c r="N137" i="5"/>
  <c r="AR67" i="5"/>
  <c r="AQ36" i="5"/>
  <c r="AQ172" i="5"/>
  <c r="D220" i="15"/>
  <c r="H220" i="15"/>
  <c r="C220" i="15"/>
  <c r="E220" i="15"/>
  <c r="B220" i="15"/>
  <c r="F220" i="15"/>
  <c r="G220" i="15"/>
  <c r="G192" i="13"/>
  <c r="E248" i="15"/>
  <c r="D248" i="15"/>
  <c r="B248" i="15"/>
  <c r="H248" i="15"/>
  <c r="G248" i="15"/>
  <c r="F248" i="15"/>
  <c r="C248" i="15"/>
  <c r="H213" i="15"/>
  <c r="B213" i="15"/>
  <c r="G213" i="15"/>
  <c r="C213" i="15"/>
  <c r="F213" i="15"/>
  <c r="E213" i="15"/>
  <c r="D213" i="15"/>
  <c r="D204" i="15"/>
  <c r="C204" i="15"/>
  <c r="B204" i="15"/>
  <c r="H204" i="15"/>
  <c r="E204" i="15"/>
  <c r="G204" i="15"/>
  <c r="F204" i="15"/>
  <c r="G190" i="13"/>
  <c r="L190" i="5" s="1"/>
  <c r="D189" i="13"/>
  <c r="E190" i="12" s="1"/>
  <c r="G190" i="12" s="1"/>
  <c r="D173" i="15"/>
  <c r="B173" i="15"/>
  <c r="H173" i="15"/>
  <c r="G173" i="15"/>
  <c r="F173" i="15"/>
  <c r="E173" i="15"/>
  <c r="C173" i="15"/>
  <c r="C194" i="15"/>
  <c r="B194" i="15"/>
  <c r="D194" i="15"/>
  <c r="G194" i="15"/>
  <c r="F194" i="15"/>
  <c r="E194" i="15"/>
  <c r="H194" i="15"/>
  <c r="G75" i="13"/>
  <c r="E89" i="12"/>
  <c r="G89" i="12" s="1"/>
  <c r="F88" i="5"/>
  <c r="N88" i="5"/>
  <c r="H147" i="12"/>
  <c r="J147" i="12" s="1"/>
  <c r="H146" i="5"/>
  <c r="B199" i="15"/>
  <c r="E199" i="15"/>
  <c r="C199" i="15"/>
  <c r="G199" i="15"/>
  <c r="F199" i="15"/>
  <c r="D199" i="15"/>
  <c r="H199" i="15"/>
  <c r="F183" i="15"/>
  <c r="E183" i="15"/>
  <c r="H183" i="15"/>
  <c r="D183" i="15"/>
  <c r="G183" i="15"/>
  <c r="C183" i="15"/>
  <c r="B183" i="15"/>
  <c r="H112" i="12"/>
  <c r="J112" i="12" s="1"/>
  <c r="H111" i="5"/>
  <c r="F109" i="5"/>
  <c r="H161" i="15"/>
  <c r="D161" i="15"/>
  <c r="B161" i="15"/>
  <c r="G161" i="15"/>
  <c r="F161" i="15"/>
  <c r="E161" i="15"/>
  <c r="C161" i="15"/>
  <c r="H155" i="15"/>
  <c r="G155" i="15"/>
  <c r="C155" i="15"/>
  <c r="B155" i="15"/>
  <c r="F155" i="15"/>
  <c r="E155" i="15"/>
  <c r="D155" i="15"/>
  <c r="D78" i="15"/>
  <c r="B78" i="15"/>
  <c r="F78" i="15"/>
  <c r="C78" i="15"/>
  <c r="H78" i="15"/>
  <c r="G78" i="15"/>
  <c r="E78" i="15"/>
  <c r="N184" i="12"/>
  <c r="P184" i="12" s="1"/>
  <c r="T183" i="5"/>
  <c r="M78" i="12"/>
  <c r="D94" i="15"/>
  <c r="B94" i="15"/>
  <c r="G94" i="15"/>
  <c r="F94" i="15"/>
  <c r="H94" i="15"/>
  <c r="E94" i="15"/>
  <c r="C94" i="15"/>
  <c r="F21" i="13"/>
  <c r="K22" i="12" s="1"/>
  <c r="M22" i="12" s="1"/>
  <c r="F63" i="15"/>
  <c r="D63" i="15"/>
  <c r="G63" i="15"/>
  <c r="E63" i="15"/>
  <c r="B63" i="15"/>
  <c r="H63" i="15"/>
  <c r="C63" i="15"/>
  <c r="E81" i="13"/>
  <c r="H81" i="5" s="1"/>
  <c r="M54" i="12"/>
  <c r="J96" i="12"/>
  <c r="F38" i="13"/>
  <c r="K39" i="12" s="1"/>
  <c r="M39" i="12" s="1"/>
  <c r="N49" i="12"/>
  <c r="P49" i="12" s="1"/>
  <c r="T48" i="5"/>
  <c r="H96" i="15"/>
  <c r="G96" i="15"/>
  <c r="F96" i="15"/>
  <c r="E96" i="15"/>
  <c r="D96" i="15"/>
  <c r="C96" i="15"/>
  <c r="B96" i="15"/>
  <c r="G2" i="13"/>
  <c r="G54" i="15" s="1"/>
  <c r="F156" i="15"/>
  <c r="E156" i="15"/>
  <c r="D156" i="15"/>
  <c r="C156" i="15"/>
  <c r="H156" i="15"/>
  <c r="G156" i="15"/>
  <c r="B156" i="15"/>
  <c r="G83" i="15"/>
  <c r="E83" i="15"/>
  <c r="D83" i="15"/>
  <c r="C83" i="15"/>
  <c r="B83" i="15"/>
  <c r="H83" i="15"/>
  <c r="F83" i="15"/>
  <c r="D117" i="15"/>
  <c r="H117" i="15"/>
  <c r="G117" i="15"/>
  <c r="F117" i="15"/>
  <c r="C117" i="15"/>
  <c r="B117" i="15"/>
  <c r="E117" i="15"/>
  <c r="G72" i="12"/>
  <c r="D68" i="15"/>
  <c r="B68" i="15"/>
  <c r="G68" i="15"/>
  <c r="F68" i="15"/>
  <c r="E68" i="15"/>
  <c r="C68" i="15"/>
  <c r="H68" i="15"/>
  <c r="F18" i="13"/>
  <c r="K19" i="12" s="1"/>
  <c r="M19" i="12" s="1"/>
  <c r="AX199" i="5"/>
  <c r="P199" i="5"/>
  <c r="AP194" i="5"/>
  <c r="AR194" i="5" s="1"/>
  <c r="AC194" i="5"/>
  <c r="AQ194" i="5"/>
  <c r="G119" i="15"/>
  <c r="F119" i="15"/>
  <c r="E119" i="15"/>
  <c r="D119" i="15"/>
  <c r="H119" i="15"/>
  <c r="C119" i="15"/>
  <c r="B119" i="15"/>
  <c r="AX190" i="5"/>
  <c r="P190" i="5"/>
  <c r="F191" i="5"/>
  <c r="K140" i="12"/>
  <c r="M140" i="12" s="1"/>
  <c r="R139" i="5"/>
  <c r="J139" i="5"/>
  <c r="E193" i="13"/>
  <c r="H194" i="12" s="1"/>
  <c r="J194" i="12" s="1"/>
  <c r="D193" i="13"/>
  <c r="E194" i="12" s="1"/>
  <c r="G194" i="12" s="1"/>
  <c r="AB120" i="5"/>
  <c r="M120" i="5"/>
  <c r="Q176" i="5"/>
  <c r="O176" i="5"/>
  <c r="F173" i="5"/>
  <c r="D175" i="1"/>
  <c r="Q146" i="5"/>
  <c r="Q164" i="5"/>
  <c r="O164" i="5"/>
  <c r="R162" i="5"/>
  <c r="BB162" i="5"/>
  <c r="D177" i="13"/>
  <c r="E178" i="12" s="1"/>
  <c r="G178" i="12" s="1"/>
  <c r="G177" i="13"/>
  <c r="L177" i="5" s="1"/>
  <c r="F177" i="13"/>
  <c r="K178" i="12" s="1"/>
  <c r="M178" i="12" s="1"/>
  <c r="E177" i="13"/>
  <c r="H178" i="12" s="1"/>
  <c r="J178" i="12" s="1"/>
  <c r="O116" i="5"/>
  <c r="Q116" i="5"/>
  <c r="Q173" i="5"/>
  <c r="O173" i="5"/>
  <c r="O184" i="5"/>
  <c r="G139" i="1"/>
  <c r="F139" i="1"/>
  <c r="E139" i="1"/>
  <c r="D139" i="1"/>
  <c r="C139" i="1"/>
  <c r="AT124" i="5"/>
  <c r="Q123" i="5"/>
  <c r="R114" i="5"/>
  <c r="BB114" i="5"/>
  <c r="M93" i="5"/>
  <c r="AB93" i="5"/>
  <c r="G81" i="1"/>
  <c r="C81" i="1"/>
  <c r="F81" i="1"/>
  <c r="E81" i="1"/>
  <c r="D81" i="1"/>
  <c r="F63" i="1"/>
  <c r="E63" i="1"/>
  <c r="C63" i="1"/>
  <c r="D63" i="1"/>
  <c r="G63" i="1"/>
  <c r="D170" i="13"/>
  <c r="E171" i="12" s="1"/>
  <c r="G171" i="12" s="1"/>
  <c r="F170" i="13"/>
  <c r="K171" i="12" s="1"/>
  <c r="M171" i="12" s="1"/>
  <c r="E170" i="13"/>
  <c r="H171" i="12" s="1"/>
  <c r="J171" i="12" s="1"/>
  <c r="AT170" i="5"/>
  <c r="N161" i="12"/>
  <c r="P161" i="12" s="1"/>
  <c r="T160" i="5"/>
  <c r="AC97" i="5"/>
  <c r="AP97" i="5"/>
  <c r="AR97" i="5" s="1"/>
  <c r="AQ97" i="5"/>
  <c r="AT143" i="5"/>
  <c r="N143" i="5"/>
  <c r="J96" i="5"/>
  <c r="H96" i="5"/>
  <c r="G92" i="1"/>
  <c r="F92" i="1"/>
  <c r="D92" i="1"/>
  <c r="C92" i="1"/>
  <c r="E92" i="1"/>
  <c r="O200" i="5"/>
  <c r="M166" i="5"/>
  <c r="O158" i="5"/>
  <c r="H134" i="5"/>
  <c r="J134" i="5"/>
  <c r="E156" i="12"/>
  <c r="G156" i="12" s="1"/>
  <c r="F155" i="5"/>
  <c r="R148" i="5"/>
  <c r="BB148" i="5"/>
  <c r="AB138" i="5"/>
  <c r="M138" i="5"/>
  <c r="AX147" i="5"/>
  <c r="P147" i="5"/>
  <c r="M119" i="5"/>
  <c r="O119" i="5"/>
  <c r="F114" i="1"/>
  <c r="E114" i="1"/>
  <c r="D114" i="1"/>
  <c r="C114" i="1"/>
  <c r="G114" i="1"/>
  <c r="K132" i="12"/>
  <c r="M132" i="12" s="1"/>
  <c r="J131" i="5"/>
  <c r="Q111" i="5"/>
  <c r="N95" i="5"/>
  <c r="AT95" i="5"/>
  <c r="E91" i="1"/>
  <c r="H89" i="5"/>
  <c r="L65" i="5"/>
  <c r="G67" i="1"/>
  <c r="H13" i="5"/>
  <c r="L13" i="5"/>
  <c r="J13" i="5"/>
  <c r="F13" i="5"/>
  <c r="J66" i="5"/>
  <c r="H66" i="5"/>
  <c r="F66" i="5"/>
  <c r="L66" i="5"/>
  <c r="O19" i="5"/>
  <c r="M19" i="5"/>
  <c r="G103" i="1"/>
  <c r="F103" i="1"/>
  <c r="E103" i="1"/>
  <c r="D103" i="1"/>
  <c r="C103" i="1"/>
  <c r="J74" i="5"/>
  <c r="F74" i="5"/>
  <c r="L74" i="5"/>
  <c r="H74" i="5"/>
  <c r="AB68" i="5"/>
  <c r="F55" i="5"/>
  <c r="L55" i="5"/>
  <c r="J55" i="5"/>
  <c r="H55" i="5"/>
  <c r="AT140" i="5"/>
  <c r="C108" i="1"/>
  <c r="F108" i="1"/>
  <c r="G108" i="1"/>
  <c r="E108" i="1"/>
  <c r="D108" i="1"/>
  <c r="R101" i="5"/>
  <c r="BB101" i="5"/>
  <c r="AB95" i="5"/>
  <c r="M51" i="5"/>
  <c r="AX107" i="5"/>
  <c r="P107" i="5"/>
  <c r="F39" i="1"/>
  <c r="E39" i="1"/>
  <c r="C39" i="1"/>
  <c r="D39" i="1"/>
  <c r="G39" i="1"/>
  <c r="J14" i="12"/>
  <c r="AB80" i="5"/>
  <c r="F17" i="5"/>
  <c r="D19" i="1"/>
  <c r="AB12" i="5"/>
  <c r="H150" i="5"/>
  <c r="J150" i="5"/>
  <c r="J48" i="5"/>
  <c r="F48" i="5"/>
  <c r="L48" i="5"/>
  <c r="H48" i="5"/>
  <c r="O6" i="5"/>
  <c r="M6" i="5"/>
  <c r="N108" i="12"/>
  <c r="P108" i="12" s="1"/>
  <c r="T107" i="5"/>
  <c r="H63" i="12"/>
  <c r="J63" i="12" s="1"/>
  <c r="H62" i="5"/>
  <c r="AB63" i="5"/>
  <c r="G79" i="1"/>
  <c r="F79" i="1"/>
  <c r="E79" i="1"/>
  <c r="D79" i="1"/>
  <c r="C79" i="1"/>
  <c r="J23" i="5"/>
  <c r="L23" i="5"/>
  <c r="M101" i="10"/>
  <c r="F101" i="10"/>
  <c r="O71" i="5"/>
  <c r="AQ18" i="5"/>
  <c r="E58" i="1"/>
  <c r="D58" i="1"/>
  <c r="G58" i="1"/>
  <c r="C58" i="1"/>
  <c r="F58" i="1"/>
  <c r="D17" i="1"/>
  <c r="C17" i="1"/>
  <c r="G17" i="1"/>
  <c r="F17" i="1"/>
  <c r="E17" i="1"/>
  <c r="AX30" i="5"/>
  <c r="M50" i="5"/>
  <c r="AB9" i="5"/>
  <c r="J172" i="10"/>
  <c r="M148" i="10"/>
  <c r="F77" i="10"/>
  <c r="Q12" i="9"/>
  <c r="F87" i="10"/>
  <c r="M25" i="10"/>
  <c r="F105" i="10"/>
  <c r="J86" i="10"/>
  <c r="F46" i="10"/>
  <c r="J46" i="10"/>
  <c r="M46" i="10"/>
  <c r="Q126" i="9"/>
  <c r="AG2" i="11"/>
  <c r="AL2" i="11" s="1"/>
  <c r="D195" i="13"/>
  <c r="E196" i="12" s="1"/>
  <c r="G196" i="12" s="1"/>
  <c r="F191" i="13"/>
  <c r="K192" i="12" s="1"/>
  <c r="M192" i="12" s="1"/>
  <c r="D238" i="15"/>
  <c r="H238" i="15"/>
  <c r="G238" i="15"/>
  <c r="E238" i="15"/>
  <c r="C238" i="15"/>
  <c r="F238" i="15"/>
  <c r="B238" i="15"/>
  <c r="G193" i="15"/>
  <c r="B193" i="15"/>
  <c r="C193" i="15"/>
  <c r="H193" i="15"/>
  <c r="F193" i="15"/>
  <c r="E193" i="15"/>
  <c r="D193" i="15"/>
  <c r="H184" i="15"/>
  <c r="F184" i="15"/>
  <c r="D184" i="15"/>
  <c r="C184" i="15"/>
  <c r="B184" i="15"/>
  <c r="G184" i="15"/>
  <c r="E184" i="15"/>
  <c r="K121" i="12"/>
  <c r="M121" i="12" s="1"/>
  <c r="J120" i="5"/>
  <c r="B149" i="15"/>
  <c r="H149" i="15"/>
  <c r="G149" i="15"/>
  <c r="D149" i="15"/>
  <c r="F149" i="15"/>
  <c r="E149" i="15"/>
  <c r="C149" i="15"/>
  <c r="G189" i="13"/>
  <c r="L189" i="5" s="1"/>
  <c r="F198" i="13"/>
  <c r="D118" i="13"/>
  <c r="E119" i="12" s="1"/>
  <c r="G119" i="12" s="1"/>
  <c r="D98" i="15"/>
  <c r="B98" i="15"/>
  <c r="G98" i="15"/>
  <c r="C98" i="15"/>
  <c r="H98" i="15"/>
  <c r="F98" i="15"/>
  <c r="E98" i="15"/>
  <c r="G176" i="13"/>
  <c r="L176" i="5" s="1"/>
  <c r="N88" i="12"/>
  <c r="P88" i="12" s="1"/>
  <c r="L87" i="5"/>
  <c r="T87" i="5"/>
  <c r="D109" i="15"/>
  <c r="H109" i="15"/>
  <c r="G109" i="15"/>
  <c r="F109" i="15"/>
  <c r="E109" i="15"/>
  <c r="C109" i="15"/>
  <c r="B109" i="15"/>
  <c r="F118" i="13"/>
  <c r="K119" i="12" s="1"/>
  <c r="M119" i="12" s="1"/>
  <c r="E88" i="13"/>
  <c r="G139" i="13"/>
  <c r="D214" i="15"/>
  <c r="H214" i="15"/>
  <c r="E214" i="15"/>
  <c r="C214" i="15"/>
  <c r="B214" i="15"/>
  <c r="G214" i="15"/>
  <c r="F214" i="15"/>
  <c r="F191" i="15"/>
  <c r="E191" i="15"/>
  <c r="H191" i="15"/>
  <c r="G191" i="15"/>
  <c r="D191" i="15"/>
  <c r="C191" i="15"/>
  <c r="B191" i="15"/>
  <c r="F109" i="13"/>
  <c r="N123" i="12"/>
  <c r="P123" i="12" s="1"/>
  <c r="T122" i="5"/>
  <c r="G47" i="13"/>
  <c r="H85" i="15"/>
  <c r="G85" i="15"/>
  <c r="D85" i="15"/>
  <c r="C85" i="15"/>
  <c r="F85" i="15"/>
  <c r="E85" i="15"/>
  <c r="B85" i="15"/>
  <c r="D138" i="13"/>
  <c r="E139" i="12" s="1"/>
  <c r="G139" i="12" s="1"/>
  <c r="G21" i="13"/>
  <c r="L21" i="5" s="1"/>
  <c r="B72" i="15"/>
  <c r="G72" i="15"/>
  <c r="F72" i="15"/>
  <c r="E72" i="15"/>
  <c r="H72" i="15"/>
  <c r="D72" i="15"/>
  <c r="C72" i="15"/>
  <c r="M118" i="12"/>
  <c r="D101" i="15"/>
  <c r="H101" i="15"/>
  <c r="G101" i="15"/>
  <c r="F101" i="15"/>
  <c r="C101" i="15"/>
  <c r="B101" i="15"/>
  <c r="E101" i="15"/>
  <c r="G56" i="15"/>
  <c r="G111" i="15"/>
  <c r="F111" i="15"/>
  <c r="E111" i="15"/>
  <c r="D111" i="15"/>
  <c r="H111" i="15"/>
  <c r="C111" i="15"/>
  <c r="B111" i="15"/>
  <c r="D38" i="13"/>
  <c r="E39" i="12" s="1"/>
  <c r="G39" i="12" s="1"/>
  <c r="T44" i="5"/>
  <c r="D113" i="15"/>
  <c r="H113" i="15"/>
  <c r="F113" i="15"/>
  <c r="E113" i="15"/>
  <c r="G113" i="15"/>
  <c r="C113" i="15"/>
  <c r="B113" i="15"/>
  <c r="H24" i="12"/>
  <c r="J24" i="12" s="1"/>
  <c r="H23" i="5"/>
  <c r="G16" i="13"/>
  <c r="E35" i="13"/>
  <c r="H36" i="12" s="1"/>
  <c r="J36" i="12" s="1"/>
  <c r="E16" i="13"/>
  <c r="G18" i="13"/>
  <c r="L18" i="5" s="1"/>
  <c r="E67" i="13"/>
  <c r="H68" i="12" s="1"/>
  <c r="J68" i="12" s="1"/>
  <c r="H194" i="5"/>
  <c r="E196" i="1"/>
  <c r="Q191" i="5"/>
  <c r="M188" i="5"/>
  <c r="O188" i="5"/>
  <c r="R179" i="5"/>
  <c r="BB179" i="5"/>
  <c r="G133" i="13"/>
  <c r="E133" i="13"/>
  <c r="D133" i="13"/>
  <c r="F133" i="13"/>
  <c r="O105" i="5"/>
  <c r="M105" i="5"/>
  <c r="M160" i="5"/>
  <c r="O185" i="5"/>
  <c r="Q185" i="5"/>
  <c r="AB160" i="5"/>
  <c r="J142" i="5"/>
  <c r="F142" i="5"/>
  <c r="L142" i="5"/>
  <c r="H142" i="5"/>
  <c r="G179" i="1"/>
  <c r="F179" i="1"/>
  <c r="E179" i="1"/>
  <c r="D179" i="1"/>
  <c r="C179" i="1"/>
  <c r="Q171" i="5"/>
  <c r="M174" i="5"/>
  <c r="E124" i="13"/>
  <c r="H125" i="12" s="1"/>
  <c r="J125" i="12" s="1"/>
  <c r="D124" i="13"/>
  <c r="E125" i="12" s="1"/>
  <c r="G125" i="12" s="1"/>
  <c r="G124" i="13"/>
  <c r="L124" i="5" s="1"/>
  <c r="F102" i="1"/>
  <c r="E102" i="1"/>
  <c r="D102" i="1"/>
  <c r="C102" i="1"/>
  <c r="G102" i="1"/>
  <c r="H91" i="5"/>
  <c r="L91" i="5"/>
  <c r="O85" i="5"/>
  <c r="M85" i="5"/>
  <c r="Q156" i="5"/>
  <c r="Q97" i="5"/>
  <c r="E79" i="13"/>
  <c r="H80" i="12" s="1"/>
  <c r="J80" i="12" s="1"/>
  <c r="D79" i="13"/>
  <c r="E80" i="12" s="1"/>
  <c r="G80" i="12" s="1"/>
  <c r="L126" i="5"/>
  <c r="J126" i="5"/>
  <c r="N111" i="12"/>
  <c r="P111" i="12" s="1"/>
  <c r="T110" i="5"/>
  <c r="G96" i="13"/>
  <c r="D96" i="13"/>
  <c r="E97" i="12" s="1"/>
  <c r="G97" i="12" s="1"/>
  <c r="E78" i="13"/>
  <c r="H79" i="12" s="1"/>
  <c r="J79" i="12" s="1"/>
  <c r="D78" i="13"/>
  <c r="E79" i="12" s="1"/>
  <c r="G79" i="12" s="1"/>
  <c r="G78" i="13"/>
  <c r="F78" i="13"/>
  <c r="K79" i="12" s="1"/>
  <c r="M79" i="12" s="1"/>
  <c r="L143" i="5"/>
  <c r="J143" i="5"/>
  <c r="H143" i="5"/>
  <c r="F143" i="5"/>
  <c r="H122" i="5"/>
  <c r="F122" i="5"/>
  <c r="L122" i="5"/>
  <c r="J122" i="5"/>
  <c r="M112" i="5"/>
  <c r="O112" i="5"/>
  <c r="AP104" i="5"/>
  <c r="AR104" i="5" s="1"/>
  <c r="AQ104" i="5"/>
  <c r="AC104" i="5"/>
  <c r="F82" i="13"/>
  <c r="E82" i="13"/>
  <c r="G82" i="13"/>
  <c r="D82" i="13"/>
  <c r="L168" i="5"/>
  <c r="J168" i="5"/>
  <c r="D130" i="13"/>
  <c r="E131" i="12" s="1"/>
  <c r="G131" i="12" s="1"/>
  <c r="G130" i="13"/>
  <c r="L130" i="5"/>
  <c r="J130" i="5"/>
  <c r="H130" i="5"/>
  <c r="G128" i="1"/>
  <c r="E128" i="1"/>
  <c r="F128" i="1"/>
  <c r="D128" i="1"/>
  <c r="C128" i="1"/>
  <c r="Q138" i="5"/>
  <c r="O138" i="5"/>
  <c r="M123" i="5"/>
  <c r="BB72" i="5"/>
  <c r="Q45" i="5"/>
  <c r="O45" i="5"/>
  <c r="F26" i="5"/>
  <c r="L26" i="5"/>
  <c r="J26" i="5"/>
  <c r="H26" i="5"/>
  <c r="BB118" i="5"/>
  <c r="M107" i="5"/>
  <c r="BB55" i="5"/>
  <c r="R55" i="5"/>
  <c r="BB31" i="5"/>
  <c r="R31" i="5"/>
  <c r="D53" i="1"/>
  <c r="C53" i="1"/>
  <c r="G53" i="1"/>
  <c r="F53" i="1"/>
  <c r="E53" i="1"/>
  <c r="M45" i="5"/>
  <c r="AB45" i="5"/>
  <c r="D110" i="1"/>
  <c r="G110" i="1"/>
  <c r="F110" i="1"/>
  <c r="E110" i="1"/>
  <c r="C110" i="1"/>
  <c r="J101" i="5"/>
  <c r="L101" i="5"/>
  <c r="H101" i="5"/>
  <c r="C33" i="1"/>
  <c r="G33" i="1"/>
  <c r="F33" i="1"/>
  <c r="E33" i="1"/>
  <c r="D33" i="1"/>
  <c r="N75" i="12"/>
  <c r="P75" i="12" s="1"/>
  <c r="T74" i="5"/>
  <c r="O37" i="5"/>
  <c r="M37" i="5"/>
  <c r="G45" i="1"/>
  <c r="C45" i="1"/>
  <c r="F45" i="1"/>
  <c r="E45" i="1"/>
  <c r="D45" i="1"/>
  <c r="L17" i="5"/>
  <c r="G19" i="1"/>
  <c r="M11" i="5"/>
  <c r="O11" i="5"/>
  <c r="E102" i="13"/>
  <c r="H103" i="12" s="1"/>
  <c r="J103" i="12" s="1"/>
  <c r="D102" i="13"/>
  <c r="E103" i="12" s="1"/>
  <c r="G103" i="12" s="1"/>
  <c r="G102" i="13"/>
  <c r="K63" i="12"/>
  <c r="M63" i="12" s="1"/>
  <c r="J62" i="5"/>
  <c r="Q35" i="5"/>
  <c r="O35" i="5"/>
  <c r="G40" i="1"/>
  <c r="F40" i="1"/>
  <c r="E40" i="1"/>
  <c r="D40" i="1"/>
  <c r="C40" i="1"/>
  <c r="AB77" i="5"/>
  <c r="O24" i="5"/>
  <c r="O2" i="11"/>
  <c r="J130" i="10"/>
  <c r="M130" i="10"/>
  <c r="F130" i="10"/>
  <c r="O2" i="5"/>
  <c r="F203" i="10"/>
  <c r="G203" i="10"/>
  <c r="N93" i="12"/>
  <c r="P93" i="12" s="1"/>
  <c r="T92" i="5"/>
  <c r="O20" i="5"/>
  <c r="M20" i="5"/>
  <c r="AQ15" i="5"/>
  <c r="F56" i="5"/>
  <c r="O27" i="5"/>
  <c r="AT15" i="5"/>
  <c r="N15" i="5"/>
  <c r="G58" i="12"/>
  <c r="F178" i="10"/>
  <c r="J64" i="12"/>
  <c r="F50" i="13"/>
  <c r="K51" i="12" s="1"/>
  <c r="M51" i="12" s="1"/>
  <c r="E50" i="13"/>
  <c r="H51" i="12" s="1"/>
  <c r="J51" i="12" s="1"/>
  <c r="G50" i="13"/>
  <c r="L50" i="5" s="1"/>
  <c r="D50" i="13"/>
  <c r="E51" i="12" s="1"/>
  <c r="G51" i="12" s="1"/>
  <c r="J160" i="10"/>
  <c r="M76" i="10"/>
  <c r="AB44" i="5"/>
  <c r="Q41" i="5"/>
  <c r="G11" i="1"/>
  <c r="F11" i="1"/>
  <c r="E11" i="1"/>
  <c r="D11" i="1"/>
  <c r="C11" i="1"/>
  <c r="Q9" i="5"/>
  <c r="O9" i="5"/>
  <c r="M136" i="10"/>
  <c r="F136" i="10"/>
  <c r="M112" i="10"/>
  <c r="G57" i="10"/>
  <c r="F57" i="10"/>
  <c r="F146" i="10"/>
  <c r="N124" i="9"/>
  <c r="N76" i="9"/>
  <c r="N28" i="9"/>
  <c r="L83" i="5"/>
  <c r="F159" i="10"/>
  <c r="F106" i="10"/>
  <c r="F68" i="10"/>
  <c r="F49" i="10"/>
  <c r="N192" i="9"/>
  <c r="Q162" i="9"/>
  <c r="N196" i="9"/>
  <c r="M63" i="10"/>
  <c r="G61" i="12"/>
  <c r="F75" i="10"/>
  <c r="N108" i="9"/>
  <c r="M182" i="10"/>
  <c r="M147" i="10"/>
  <c r="F56" i="10"/>
  <c r="M157" i="10"/>
  <c r="R194" i="5"/>
  <c r="N196" i="5"/>
  <c r="AQ154" i="5"/>
  <c r="H177" i="13"/>
  <c r="H170" i="13"/>
  <c r="H175" i="13"/>
  <c r="H180" i="13"/>
  <c r="H161" i="13"/>
  <c r="H149" i="13"/>
  <c r="H137" i="13"/>
  <c r="H84" i="13"/>
  <c r="H76" i="13"/>
  <c r="H195" i="13"/>
  <c r="H168" i="13"/>
  <c r="H157" i="13"/>
  <c r="H86" i="13"/>
  <c r="H78" i="13"/>
  <c r="H200" i="13"/>
  <c r="H185" i="13"/>
  <c r="H141" i="13"/>
  <c r="H96" i="13"/>
  <c r="H89" i="13"/>
  <c r="H80" i="13"/>
  <c r="H145" i="13"/>
  <c r="H101" i="13"/>
  <c r="H193" i="13"/>
  <c r="H88" i="13"/>
  <c r="H70" i="13"/>
  <c r="H194" i="13"/>
  <c r="H68" i="13"/>
  <c r="H50" i="13"/>
  <c r="H74" i="13"/>
  <c r="H54" i="13"/>
  <c r="H119" i="13"/>
  <c r="H153" i="13"/>
  <c r="H98" i="13"/>
  <c r="H82" i="13"/>
  <c r="H75" i="13"/>
  <c r="H66" i="13"/>
  <c r="H72" i="13"/>
  <c r="H37" i="13"/>
  <c r="H32" i="13"/>
  <c r="H29" i="13"/>
  <c r="H28" i="13"/>
  <c r="H107" i="13"/>
  <c r="H62" i="13"/>
  <c r="H40" i="13"/>
  <c r="H22" i="13"/>
  <c r="H13" i="13"/>
  <c r="H100" i="13"/>
  <c r="H56" i="13"/>
  <c r="H105" i="13"/>
  <c r="H34" i="13"/>
  <c r="H58" i="13"/>
  <c r="H30" i="13"/>
  <c r="H21" i="13"/>
  <c r="H77" i="13"/>
  <c r="H94" i="13"/>
  <c r="H46" i="13"/>
  <c r="H48" i="13"/>
  <c r="H38" i="13"/>
  <c r="H52" i="13"/>
  <c r="H19" i="13"/>
  <c r="H9" i="13"/>
  <c r="H39" i="13"/>
  <c r="H20" i="13"/>
  <c r="H43" i="13"/>
  <c r="H81" i="13"/>
  <c r="H27" i="13"/>
  <c r="H26" i="13"/>
  <c r="H11" i="13"/>
  <c r="H44" i="13"/>
  <c r="H41" i="13"/>
  <c r="H25" i="13"/>
  <c r="H23" i="13"/>
  <c r="H64" i="13"/>
  <c r="H60" i="13"/>
  <c r="H71" i="13"/>
  <c r="AQ34" i="5"/>
  <c r="AR142" i="5"/>
  <c r="P33" i="5"/>
  <c r="O17" i="7"/>
  <c r="O18" i="7" s="1"/>
  <c r="R13" i="5"/>
  <c r="R26" i="5"/>
  <c r="AR19" i="5"/>
  <c r="H210" i="15"/>
  <c r="F210" i="15"/>
  <c r="C210" i="15"/>
  <c r="G210" i="15"/>
  <c r="E210" i="15"/>
  <c r="D210" i="15"/>
  <c r="B210" i="15"/>
  <c r="D86" i="15"/>
  <c r="B86" i="15"/>
  <c r="F86" i="15"/>
  <c r="E86" i="15"/>
  <c r="C86" i="15"/>
  <c r="H86" i="15"/>
  <c r="G86" i="15"/>
  <c r="H165" i="15"/>
  <c r="F165" i="15"/>
  <c r="C165" i="15"/>
  <c r="B165" i="15"/>
  <c r="E165" i="15"/>
  <c r="D165" i="15"/>
  <c r="G165" i="15"/>
  <c r="D73" i="15"/>
  <c r="B73" i="15"/>
  <c r="H73" i="15"/>
  <c r="G73" i="15"/>
  <c r="F73" i="15"/>
  <c r="E73" i="15"/>
  <c r="C73" i="15"/>
  <c r="B129" i="15"/>
  <c r="H129" i="15"/>
  <c r="G129" i="15"/>
  <c r="F129" i="15"/>
  <c r="D129" i="15"/>
  <c r="E129" i="15"/>
  <c r="C129" i="15"/>
  <c r="H29" i="12"/>
  <c r="J29" i="12" s="1"/>
  <c r="H28" i="5"/>
  <c r="AP196" i="5"/>
  <c r="AR196" i="5" s="1"/>
  <c r="AC196" i="5"/>
  <c r="AQ196" i="5"/>
  <c r="H197" i="5"/>
  <c r="E199" i="1"/>
  <c r="K180" i="12"/>
  <c r="M180" i="12" s="1"/>
  <c r="J179" i="5"/>
  <c r="J183" i="5"/>
  <c r="F183" i="5"/>
  <c r="L183" i="5"/>
  <c r="H183" i="5"/>
  <c r="N195" i="12"/>
  <c r="P195" i="12" s="1"/>
  <c r="T194" i="5"/>
  <c r="L194" i="5"/>
  <c r="N189" i="5"/>
  <c r="AT189" i="5"/>
  <c r="P171" i="5"/>
  <c r="AX171" i="5"/>
  <c r="L146" i="5"/>
  <c r="G148" i="1"/>
  <c r="M154" i="5"/>
  <c r="O154" i="5"/>
  <c r="G152" i="13"/>
  <c r="E152" i="13"/>
  <c r="H153" i="12" s="1"/>
  <c r="J153" i="12" s="1"/>
  <c r="D152" i="13"/>
  <c r="E153" i="12" s="1"/>
  <c r="G153" i="12" s="1"/>
  <c r="L164" i="5"/>
  <c r="G166" i="1"/>
  <c r="H176" i="5"/>
  <c r="E178" i="1"/>
  <c r="E154" i="1"/>
  <c r="D154" i="1"/>
  <c r="G154" i="1"/>
  <c r="C154" i="1"/>
  <c r="F154" i="1"/>
  <c r="H160" i="5"/>
  <c r="L160" i="5"/>
  <c r="J160" i="5"/>
  <c r="F160" i="5"/>
  <c r="F114" i="5"/>
  <c r="J114" i="5"/>
  <c r="L114" i="5"/>
  <c r="H114" i="5"/>
  <c r="F99" i="1"/>
  <c r="E99" i="1"/>
  <c r="C99" i="1"/>
  <c r="D99" i="1"/>
  <c r="G99" i="1"/>
  <c r="AB75" i="5"/>
  <c r="M75" i="5"/>
  <c r="AX144" i="5"/>
  <c r="P144" i="5"/>
  <c r="R134" i="5"/>
  <c r="BB134" i="5"/>
  <c r="L147" i="5"/>
  <c r="H147" i="5"/>
  <c r="L62" i="5"/>
  <c r="G64" i="1"/>
  <c r="N32" i="5"/>
  <c r="AT32" i="5"/>
  <c r="AX118" i="5"/>
  <c r="P118" i="5"/>
  <c r="N90" i="12"/>
  <c r="P90" i="12" s="1"/>
  <c r="T89" i="5"/>
  <c r="AQ14" i="5"/>
  <c r="AP14" i="5"/>
  <c r="AR14" i="5" s="1"/>
  <c r="AC14" i="5"/>
  <c r="E34" i="1"/>
  <c r="D34" i="1"/>
  <c r="C34" i="1"/>
  <c r="G34" i="1"/>
  <c r="F34" i="1"/>
  <c r="G165" i="10"/>
  <c r="F165" i="10"/>
  <c r="AT27" i="5"/>
  <c r="F41" i="13"/>
  <c r="K42" i="12" s="1"/>
  <c r="M42" i="12" s="1"/>
  <c r="E41" i="13"/>
  <c r="H42" i="12" s="1"/>
  <c r="J42" i="12" s="1"/>
  <c r="G41" i="13"/>
  <c r="D41" i="13"/>
  <c r="E42" i="12" s="1"/>
  <c r="G42" i="12" s="1"/>
  <c r="N65" i="9"/>
  <c r="N113" i="5"/>
  <c r="AR163" i="5"/>
  <c r="AR139" i="5"/>
  <c r="AR13" i="5"/>
  <c r="F174" i="13"/>
  <c r="K175" i="12" s="1"/>
  <c r="M175" i="12" s="1"/>
  <c r="D174" i="13"/>
  <c r="E175" i="12" s="1"/>
  <c r="G175" i="12" s="1"/>
  <c r="D158" i="1"/>
  <c r="G158" i="1"/>
  <c r="F158" i="1"/>
  <c r="E158" i="1"/>
  <c r="C158" i="1"/>
  <c r="Q159" i="5"/>
  <c r="O159" i="5"/>
  <c r="BB117" i="5"/>
  <c r="R117" i="5"/>
  <c r="M84" i="5"/>
  <c r="O84" i="5"/>
  <c r="BB168" i="5"/>
  <c r="F106" i="5"/>
  <c r="L106" i="5"/>
  <c r="H106" i="5"/>
  <c r="F59" i="5"/>
  <c r="D61" i="1"/>
  <c r="F80" i="5"/>
  <c r="L80" i="5"/>
  <c r="J80" i="5"/>
  <c r="H80" i="5"/>
  <c r="H172" i="12"/>
  <c r="J172" i="12" s="1"/>
  <c r="H171" i="5"/>
  <c r="N130" i="12"/>
  <c r="P130" i="12" s="1"/>
  <c r="T129" i="5"/>
  <c r="X2" i="15"/>
  <c r="AT54" i="5"/>
  <c r="H8" i="5"/>
  <c r="F8" i="5"/>
  <c r="J8" i="5"/>
  <c r="AX41" i="5"/>
  <c r="J28" i="10"/>
  <c r="F28" i="10"/>
  <c r="G185" i="15"/>
  <c r="E185" i="15"/>
  <c r="H185" i="15"/>
  <c r="F185" i="15"/>
  <c r="D185" i="15"/>
  <c r="B185" i="15"/>
  <c r="C185" i="15"/>
  <c r="N99" i="12"/>
  <c r="P99" i="12" s="1"/>
  <c r="T98" i="5"/>
  <c r="H234" i="15"/>
  <c r="F234" i="15"/>
  <c r="E234" i="15"/>
  <c r="C234" i="15"/>
  <c r="B234" i="15"/>
  <c r="G234" i="15"/>
  <c r="D234" i="15"/>
  <c r="E85" i="13"/>
  <c r="H86" i="12" s="1"/>
  <c r="J86" i="12" s="1"/>
  <c r="D81" i="13"/>
  <c r="N50" i="12"/>
  <c r="P50" i="12" s="1"/>
  <c r="T49" i="5"/>
  <c r="N60" i="12"/>
  <c r="P60" i="12" s="1"/>
  <c r="T59" i="5"/>
  <c r="H100" i="15"/>
  <c r="G100" i="15"/>
  <c r="E100" i="15"/>
  <c r="D100" i="15"/>
  <c r="B100" i="15"/>
  <c r="F100" i="15"/>
  <c r="C100" i="15"/>
  <c r="N12" i="12"/>
  <c r="P12" i="12" s="1"/>
  <c r="T11" i="5"/>
  <c r="H88" i="15"/>
  <c r="G88" i="15"/>
  <c r="D88" i="15"/>
  <c r="C88" i="15"/>
  <c r="F88" i="15"/>
  <c r="B88" i="15"/>
  <c r="E88" i="15"/>
  <c r="E40" i="12"/>
  <c r="G40" i="12" s="1"/>
  <c r="F39" i="5"/>
  <c r="J194" i="5"/>
  <c r="F196" i="1"/>
  <c r="M142" i="5"/>
  <c r="O142" i="5"/>
  <c r="AT173" i="5"/>
  <c r="M171" i="5"/>
  <c r="H132" i="5"/>
  <c r="E134" i="1"/>
  <c r="AB114" i="5"/>
  <c r="M114" i="5"/>
  <c r="BB93" i="5"/>
  <c r="J85" i="5"/>
  <c r="O79" i="5"/>
  <c r="M79" i="5"/>
  <c r="O61" i="5"/>
  <c r="M61" i="5"/>
  <c r="AQ170" i="5"/>
  <c r="AC170" i="5"/>
  <c r="AP170" i="5"/>
  <c r="AR170" i="5" s="1"/>
  <c r="J161" i="12"/>
  <c r="J156" i="5"/>
  <c r="R126" i="5"/>
  <c r="BB126" i="5"/>
  <c r="J117" i="5"/>
  <c r="F119" i="1"/>
  <c r="O97" i="5"/>
  <c r="M97" i="5"/>
  <c r="O90" i="5"/>
  <c r="M90" i="5"/>
  <c r="AB200" i="5"/>
  <c r="F166" i="13"/>
  <c r="K167" i="12" s="1"/>
  <c r="M167" i="12" s="1"/>
  <c r="E166" i="13"/>
  <c r="H167" i="12" s="1"/>
  <c r="J167" i="12" s="1"/>
  <c r="E151" i="1"/>
  <c r="G151" i="1"/>
  <c r="F151" i="1"/>
  <c r="D151" i="1"/>
  <c r="C151" i="1"/>
  <c r="H159" i="5"/>
  <c r="AT159" i="5"/>
  <c r="AB148" i="5"/>
  <c r="M148" i="5"/>
  <c r="G145" i="1"/>
  <c r="E145" i="1"/>
  <c r="D145" i="1"/>
  <c r="C145" i="1"/>
  <c r="F145" i="1"/>
  <c r="AQ122" i="5"/>
  <c r="AC122" i="5"/>
  <c r="AP122" i="5"/>
  <c r="AR122" i="5" s="1"/>
  <c r="E77" i="1"/>
  <c r="G64" i="13"/>
  <c r="E64" i="13"/>
  <c r="F64" i="13"/>
  <c r="D64" i="13"/>
  <c r="AX168" i="5"/>
  <c r="E132" i="12"/>
  <c r="G132" i="12" s="1"/>
  <c r="F131" i="5"/>
  <c r="M130" i="5"/>
  <c r="O130" i="5"/>
  <c r="F65" i="5"/>
  <c r="D67" i="1"/>
  <c r="AQ62" i="5"/>
  <c r="AP62" i="5"/>
  <c r="AR62" i="5" s="1"/>
  <c r="AC62" i="5"/>
  <c r="G60" i="12"/>
  <c r="D41" i="1"/>
  <c r="C41" i="1"/>
  <c r="G41" i="1"/>
  <c r="F41" i="1"/>
  <c r="E41" i="1"/>
  <c r="E12" i="13"/>
  <c r="D12" i="13"/>
  <c r="E13" i="12" s="1"/>
  <c r="G13" i="12" s="1"/>
  <c r="G12" i="13"/>
  <c r="AP69" i="5"/>
  <c r="AR69" i="5" s="1"/>
  <c r="AC69" i="5"/>
  <c r="AQ69" i="5"/>
  <c r="G47" i="1"/>
  <c r="F47" i="1"/>
  <c r="E47" i="1"/>
  <c r="D47" i="1"/>
  <c r="C47" i="1"/>
  <c r="G21" i="1"/>
  <c r="C21" i="1"/>
  <c r="F21" i="1"/>
  <c r="E21" i="1"/>
  <c r="D21" i="1"/>
  <c r="J11" i="5"/>
  <c r="F13" i="1"/>
  <c r="E140" i="13"/>
  <c r="H141" i="12" s="1"/>
  <c r="J141" i="12" s="1"/>
  <c r="D140" i="13"/>
  <c r="E141" i="12" s="1"/>
  <c r="G141" i="12" s="1"/>
  <c r="G140" i="13"/>
  <c r="AP102" i="5"/>
  <c r="AR102" i="5" s="1"/>
  <c r="AQ102" i="5"/>
  <c r="AC102" i="5"/>
  <c r="G109" i="1"/>
  <c r="E109" i="1"/>
  <c r="D109" i="1"/>
  <c r="C109" i="1"/>
  <c r="F109" i="1"/>
  <c r="N14" i="12"/>
  <c r="P14" i="12" s="1"/>
  <c r="T13" i="5"/>
  <c r="E19" i="1"/>
  <c r="H17" i="5"/>
  <c r="N63" i="12"/>
  <c r="P63" i="12" s="1"/>
  <c r="T62" i="5"/>
  <c r="L63" i="5"/>
  <c r="G65" i="1"/>
  <c r="AC38" i="5"/>
  <c r="AQ38" i="5"/>
  <c r="AP38" i="5"/>
  <c r="AR38" i="5" s="1"/>
  <c r="BB27" i="5"/>
  <c r="AX3" i="5"/>
  <c r="H20" i="5"/>
  <c r="G117" i="10"/>
  <c r="F117" i="10"/>
  <c r="G45" i="10"/>
  <c r="F45" i="10"/>
  <c r="G73" i="1"/>
  <c r="E73" i="1"/>
  <c r="C73" i="1"/>
  <c r="D73" i="1"/>
  <c r="F73" i="1"/>
  <c r="AP71" i="5"/>
  <c r="AR71" i="5" s="1"/>
  <c r="AQ71" i="5"/>
  <c r="AC71" i="5"/>
  <c r="AT53" i="5"/>
  <c r="N53" i="5"/>
  <c r="M128" i="10"/>
  <c r="BB50" i="5"/>
  <c r="F50" i="5"/>
  <c r="H50" i="5"/>
  <c r="E43" i="1"/>
  <c r="G43" i="1"/>
  <c r="F43" i="1"/>
  <c r="D43" i="1"/>
  <c r="C43" i="1"/>
  <c r="F118" i="10"/>
  <c r="M118" i="10"/>
  <c r="N96" i="9"/>
  <c r="H27" i="12"/>
  <c r="J27" i="12" s="1"/>
  <c r="F52" i="10"/>
  <c r="J52" i="10"/>
  <c r="F111" i="10"/>
  <c r="Q56" i="15"/>
  <c r="H246" i="15"/>
  <c r="G246" i="15"/>
  <c r="F246" i="15"/>
  <c r="E246" i="15"/>
  <c r="C246" i="15"/>
  <c r="B246" i="15"/>
  <c r="D246" i="15"/>
  <c r="E212" i="15"/>
  <c r="H212" i="15"/>
  <c r="G212" i="15"/>
  <c r="F212" i="15"/>
  <c r="D212" i="15"/>
  <c r="C212" i="15"/>
  <c r="B212" i="15"/>
  <c r="B200" i="15"/>
  <c r="G200" i="15"/>
  <c r="F200" i="15"/>
  <c r="E200" i="15"/>
  <c r="D200" i="15"/>
  <c r="H200" i="15"/>
  <c r="C200" i="15"/>
  <c r="E164" i="15"/>
  <c r="C164" i="15"/>
  <c r="H164" i="15"/>
  <c r="G164" i="15"/>
  <c r="F164" i="15"/>
  <c r="D164" i="15"/>
  <c r="B164" i="15"/>
  <c r="H127" i="15"/>
  <c r="G127" i="15"/>
  <c r="F127" i="15"/>
  <c r="E127" i="15"/>
  <c r="D127" i="15"/>
  <c r="B127" i="15"/>
  <c r="C127" i="15"/>
  <c r="H228" i="15"/>
  <c r="F228" i="15"/>
  <c r="C228" i="15"/>
  <c r="E228" i="15"/>
  <c r="D228" i="15"/>
  <c r="B228" i="15"/>
  <c r="G228" i="15"/>
  <c r="D211" i="15"/>
  <c r="H211" i="15"/>
  <c r="C211" i="15"/>
  <c r="G211" i="15"/>
  <c r="F211" i="15"/>
  <c r="E211" i="15"/>
  <c r="B211" i="15"/>
  <c r="G195" i="15"/>
  <c r="F195" i="15"/>
  <c r="C195" i="15"/>
  <c r="D195" i="15"/>
  <c r="B195" i="15"/>
  <c r="E195" i="15"/>
  <c r="H195" i="15"/>
  <c r="H120" i="12"/>
  <c r="J120" i="12" s="1"/>
  <c r="H119" i="5"/>
  <c r="K89" i="12"/>
  <c r="M89" i="12" s="1"/>
  <c r="J88" i="5"/>
  <c r="R88" i="5"/>
  <c r="N124" i="12"/>
  <c r="P124" i="12" s="1"/>
  <c r="T123" i="5"/>
  <c r="N165" i="12"/>
  <c r="P165" i="12" s="1"/>
  <c r="T164" i="5"/>
  <c r="E152" i="12"/>
  <c r="G152" i="12" s="1"/>
  <c r="F151" i="5"/>
  <c r="M135" i="12"/>
  <c r="F179" i="15"/>
  <c r="E179" i="15"/>
  <c r="G179" i="15"/>
  <c r="C179" i="15"/>
  <c r="H179" i="15"/>
  <c r="D179" i="15"/>
  <c r="B179" i="15"/>
  <c r="N115" i="12"/>
  <c r="P115" i="12" s="1"/>
  <c r="T114" i="5"/>
  <c r="K104" i="12"/>
  <c r="M104" i="12" s="1"/>
  <c r="J103" i="5"/>
  <c r="R103" i="5"/>
  <c r="D27" i="13"/>
  <c r="E28" i="12" s="1"/>
  <c r="G28" i="12" s="1"/>
  <c r="N139" i="12"/>
  <c r="P139" i="12" s="1"/>
  <c r="L138" i="5"/>
  <c r="C190" i="15"/>
  <c r="B190" i="15"/>
  <c r="H190" i="15"/>
  <c r="D190" i="15"/>
  <c r="G190" i="15"/>
  <c r="F190" i="15"/>
  <c r="E190" i="15"/>
  <c r="G91" i="15"/>
  <c r="E91" i="15"/>
  <c r="D91" i="15"/>
  <c r="F91" i="15"/>
  <c r="C91" i="15"/>
  <c r="B91" i="15"/>
  <c r="H91" i="15"/>
  <c r="G24" i="12"/>
  <c r="G95" i="15"/>
  <c r="E95" i="15"/>
  <c r="D95" i="15"/>
  <c r="H95" i="15"/>
  <c r="B95" i="15"/>
  <c r="F95" i="15"/>
  <c r="C95" i="15"/>
  <c r="D91" i="13"/>
  <c r="E92" i="12" s="1"/>
  <c r="G92" i="12" s="1"/>
  <c r="F89" i="15"/>
  <c r="E89" i="15"/>
  <c r="D89" i="15"/>
  <c r="H89" i="15"/>
  <c r="G89" i="15"/>
  <c r="C89" i="15"/>
  <c r="B89" i="15"/>
  <c r="F144" i="15"/>
  <c r="E144" i="15"/>
  <c r="D144" i="15"/>
  <c r="B144" i="15"/>
  <c r="H144" i="15"/>
  <c r="G144" i="15"/>
  <c r="C144" i="15"/>
  <c r="N26" i="12"/>
  <c r="P26" i="12" s="1"/>
  <c r="T25" i="5"/>
  <c r="H57" i="15"/>
  <c r="G57" i="15"/>
  <c r="E57" i="15"/>
  <c r="D57" i="15"/>
  <c r="C57" i="15"/>
  <c r="B57" i="15"/>
  <c r="F57" i="15"/>
  <c r="K15" i="12"/>
  <c r="M15" i="12" s="1"/>
  <c r="R14" i="5"/>
  <c r="J14" i="5"/>
  <c r="D60" i="15"/>
  <c r="C60" i="15"/>
  <c r="B60" i="15"/>
  <c r="H60" i="15"/>
  <c r="F60" i="15"/>
  <c r="E60" i="15"/>
  <c r="G60" i="15"/>
  <c r="F199" i="5"/>
  <c r="L199" i="5"/>
  <c r="J199" i="5"/>
  <c r="H199" i="5"/>
  <c r="M199" i="5"/>
  <c r="AB199" i="5"/>
  <c r="P195" i="5"/>
  <c r="AX195" i="5"/>
  <c r="M195" i="5"/>
  <c r="AB190" i="5"/>
  <c r="D183" i="1"/>
  <c r="L179" i="5"/>
  <c r="G181" i="1"/>
  <c r="F127" i="13"/>
  <c r="D127" i="13"/>
  <c r="G127" i="13"/>
  <c r="H189" i="5"/>
  <c r="J189" i="5"/>
  <c r="R188" i="5"/>
  <c r="BB188" i="5"/>
  <c r="E175" i="1"/>
  <c r="N176" i="5"/>
  <c r="AT176" i="5"/>
  <c r="F171" i="5"/>
  <c r="D173" i="1"/>
  <c r="AB146" i="5"/>
  <c r="M146" i="5"/>
  <c r="F157" i="1"/>
  <c r="J155" i="5"/>
  <c r="J185" i="5"/>
  <c r="F185" i="5"/>
  <c r="F178" i="1"/>
  <c r="M164" i="5"/>
  <c r="AB164" i="5"/>
  <c r="G164" i="1"/>
  <c r="F164" i="1"/>
  <c r="D164" i="1"/>
  <c r="E164" i="1"/>
  <c r="C164" i="1"/>
  <c r="AX177" i="5"/>
  <c r="L171" i="5"/>
  <c r="G173" i="1"/>
  <c r="F116" i="5"/>
  <c r="D118" i="1"/>
  <c r="Q161" i="5"/>
  <c r="O161" i="5"/>
  <c r="BB174" i="5"/>
  <c r="F186" i="1"/>
  <c r="E186" i="1"/>
  <c r="D186" i="1"/>
  <c r="G186" i="1"/>
  <c r="C186" i="1"/>
  <c r="AQ137" i="5"/>
  <c r="AC137" i="5"/>
  <c r="AP137" i="5"/>
  <c r="AR137" i="5" s="1"/>
  <c r="P132" i="5"/>
  <c r="AX132" i="5"/>
  <c r="R130" i="5"/>
  <c r="BB130" i="5"/>
  <c r="AQ117" i="5"/>
  <c r="AC117" i="5"/>
  <c r="AP117" i="5"/>
  <c r="AR117" i="5" s="1"/>
  <c r="F87" i="1"/>
  <c r="D87" i="1"/>
  <c r="E87" i="1"/>
  <c r="C87" i="1"/>
  <c r="G87" i="1"/>
  <c r="L67" i="5"/>
  <c r="J67" i="5"/>
  <c r="M144" i="5"/>
  <c r="H110" i="5"/>
  <c r="F110" i="5"/>
  <c r="L110" i="5"/>
  <c r="J110" i="5"/>
  <c r="M96" i="5"/>
  <c r="O96" i="5"/>
  <c r="O72" i="5"/>
  <c r="M72" i="5"/>
  <c r="C168" i="1"/>
  <c r="F168" i="1"/>
  <c r="G168" i="1"/>
  <c r="E168" i="1"/>
  <c r="D168" i="1"/>
  <c r="N129" i="12"/>
  <c r="P129" i="12" s="1"/>
  <c r="T128" i="5"/>
  <c r="F95" i="1"/>
  <c r="F77" i="1"/>
  <c r="D134" i="13"/>
  <c r="E135" i="12" s="1"/>
  <c r="G135" i="12" s="1"/>
  <c r="G134" i="13"/>
  <c r="L134" i="5" s="1"/>
  <c r="AX167" i="5"/>
  <c r="AB159" i="5"/>
  <c r="K154" i="12"/>
  <c r="M154" i="12" s="1"/>
  <c r="J153" i="5"/>
  <c r="Q143" i="5"/>
  <c r="O143" i="5"/>
  <c r="AT122" i="5"/>
  <c r="N122" i="5"/>
  <c r="G121" i="1"/>
  <c r="E121" i="1"/>
  <c r="D121" i="1"/>
  <c r="C121" i="1"/>
  <c r="F121" i="1"/>
  <c r="Q119" i="5"/>
  <c r="O104" i="5"/>
  <c r="Q104" i="5"/>
  <c r="E83" i="1"/>
  <c r="F135" i="13"/>
  <c r="D135" i="13"/>
  <c r="E136" i="12" s="1"/>
  <c r="G136" i="12" s="1"/>
  <c r="G135" i="13"/>
  <c r="H123" i="5"/>
  <c r="E125" i="1"/>
  <c r="AT62" i="5"/>
  <c r="N62" i="5"/>
  <c r="H33" i="5"/>
  <c r="E35" i="1"/>
  <c r="N144" i="12"/>
  <c r="P144" i="12" s="1"/>
  <c r="T143" i="5"/>
  <c r="AB39" i="5"/>
  <c r="M39" i="5"/>
  <c r="J19" i="5"/>
  <c r="H19" i="5"/>
  <c r="F19" i="5"/>
  <c r="L19" i="5"/>
  <c r="G97" i="1"/>
  <c r="E97" i="1"/>
  <c r="D97" i="1"/>
  <c r="C97" i="1"/>
  <c r="F97" i="1"/>
  <c r="M31" i="5"/>
  <c r="O31" i="5"/>
  <c r="AP59" i="5"/>
  <c r="AR59" i="5" s="1"/>
  <c r="AQ59" i="5"/>
  <c r="AC59" i="5"/>
  <c r="Q98" i="5"/>
  <c r="O98" i="5"/>
  <c r="M57" i="5"/>
  <c r="AB57" i="5"/>
  <c r="O43" i="5"/>
  <c r="M43" i="5"/>
  <c r="M48" i="5"/>
  <c r="AB48" i="5"/>
  <c r="BI4" i="5"/>
  <c r="F88" i="1"/>
  <c r="G88" i="1"/>
  <c r="E88" i="1"/>
  <c r="D88" i="1"/>
  <c r="C88" i="1"/>
  <c r="F51" i="5"/>
  <c r="L51" i="5"/>
  <c r="BB2" i="5"/>
  <c r="Q199" i="9"/>
  <c r="Q49" i="5"/>
  <c r="AP23" i="5"/>
  <c r="AR23" i="5" s="1"/>
  <c r="AQ23" i="5"/>
  <c r="AC23" i="5"/>
  <c r="M29" i="10"/>
  <c r="F29" i="10"/>
  <c r="Q56" i="5"/>
  <c r="O8" i="5"/>
  <c r="Q8" i="5"/>
  <c r="E55" i="1"/>
  <c r="G55" i="1"/>
  <c r="F55" i="1"/>
  <c r="D55" i="1"/>
  <c r="C55" i="1"/>
  <c r="AQ8" i="5"/>
  <c r="AP8" i="5"/>
  <c r="AR8" i="5" s="1"/>
  <c r="E10" i="1"/>
  <c r="D10" i="1"/>
  <c r="C10" i="1"/>
  <c r="G10" i="1"/>
  <c r="F10" i="1"/>
  <c r="BB54" i="5"/>
  <c r="G56" i="1"/>
  <c r="F56" i="1"/>
  <c r="D56" i="1"/>
  <c r="C56" i="1"/>
  <c r="E56" i="1"/>
  <c r="K64" i="12"/>
  <c r="M64" i="12" s="1"/>
  <c r="J63" i="5"/>
  <c r="F190" i="10"/>
  <c r="M190" i="10"/>
  <c r="F51" i="10"/>
  <c r="AQ141" i="5"/>
  <c r="AC141" i="5"/>
  <c r="Q114" i="9"/>
  <c r="J35" i="10"/>
  <c r="J25" i="10"/>
  <c r="M86" i="10"/>
  <c r="F149" i="10"/>
  <c r="N138" i="9"/>
  <c r="Q102" i="9"/>
  <c r="Q81" i="9"/>
  <c r="J49" i="10"/>
  <c r="F71" i="10"/>
  <c r="F20" i="10"/>
  <c r="N11" i="9"/>
  <c r="Q101" i="9"/>
  <c r="F141" i="10"/>
  <c r="F38" i="10"/>
  <c r="N197" i="5"/>
  <c r="AR116" i="5"/>
  <c r="AQ163" i="5"/>
  <c r="AR157" i="5"/>
  <c r="AQ84" i="5"/>
  <c r="P36" i="5"/>
  <c r="AR103" i="5"/>
  <c r="N29" i="5"/>
  <c r="AQ142" i="5"/>
  <c r="H3" i="7"/>
  <c r="U3" i="7" s="1"/>
  <c r="AQ4" i="5"/>
  <c r="AR40" i="5"/>
  <c r="AQ42" i="5"/>
  <c r="N188" i="12"/>
  <c r="P188" i="12" s="1"/>
  <c r="T187" i="5"/>
  <c r="F169" i="13"/>
  <c r="E169" i="13"/>
  <c r="D169" i="13"/>
  <c r="G169" i="13"/>
  <c r="D186" i="13"/>
  <c r="E187" i="12" s="1"/>
  <c r="G187" i="12" s="1"/>
  <c r="E186" i="13"/>
  <c r="H187" i="12" s="1"/>
  <c r="J187" i="12" s="1"/>
  <c r="F186" i="13"/>
  <c r="F181" i="13"/>
  <c r="K182" i="12" s="1"/>
  <c r="M182" i="12" s="1"/>
  <c r="G181" i="13"/>
  <c r="L181" i="5" s="1"/>
  <c r="E181" i="13"/>
  <c r="H182" i="12" s="1"/>
  <c r="J182" i="12" s="1"/>
  <c r="D181" i="13"/>
  <c r="E182" i="12" s="1"/>
  <c r="G182" i="12" s="1"/>
  <c r="AQ186" i="5"/>
  <c r="AP186" i="5"/>
  <c r="AR186" i="5" s="1"/>
  <c r="AC186" i="5"/>
  <c r="AQ188" i="5"/>
  <c r="AC188" i="5"/>
  <c r="AP188" i="5"/>
  <c r="AR188" i="5" s="1"/>
  <c r="E195" i="12"/>
  <c r="G195" i="12" s="1"/>
  <c r="F194" i="5"/>
  <c r="J193" i="5"/>
  <c r="F193" i="5"/>
  <c r="E190" i="1"/>
  <c r="D190" i="1"/>
  <c r="C190" i="1"/>
  <c r="G190" i="1"/>
  <c r="F190" i="1"/>
  <c r="J154" i="5"/>
  <c r="H154" i="5"/>
  <c r="F154" i="5"/>
  <c r="Q113" i="5"/>
  <c r="O113" i="5"/>
  <c r="H125" i="5"/>
  <c r="E127" i="1"/>
  <c r="R160" i="5"/>
  <c r="BB160" i="5"/>
  <c r="L137" i="5"/>
  <c r="J137" i="5"/>
  <c r="F137" i="5"/>
  <c r="H137" i="5"/>
  <c r="BB132" i="5"/>
  <c r="R132" i="5"/>
  <c r="L144" i="5"/>
  <c r="J144" i="5"/>
  <c r="F144" i="5"/>
  <c r="H144" i="5"/>
  <c r="F99" i="13"/>
  <c r="J99" i="5" s="1"/>
  <c r="E99" i="13"/>
  <c r="H100" i="12" s="1"/>
  <c r="J100" i="12" s="1"/>
  <c r="AX117" i="5"/>
  <c r="AZ117" i="5" s="1"/>
  <c r="L99" i="5"/>
  <c r="K165" i="12"/>
  <c r="M165" i="12" s="1"/>
  <c r="J164" i="5"/>
  <c r="AX148" i="5"/>
  <c r="G124" i="1"/>
  <c r="F124" i="1"/>
  <c r="E124" i="1"/>
  <c r="D124" i="1"/>
  <c r="C124" i="1"/>
  <c r="BB108" i="5"/>
  <c r="M17" i="10"/>
  <c r="Q77" i="9"/>
  <c r="N14" i="9"/>
  <c r="N114" i="9"/>
  <c r="AQ58" i="5"/>
  <c r="AR72" i="5"/>
  <c r="AR127" i="5"/>
  <c r="AQ22" i="5"/>
  <c r="AQ127" i="5"/>
  <c r="R19" i="5"/>
  <c r="B58" i="16"/>
  <c r="A83" i="16"/>
  <c r="B57" i="16"/>
  <c r="D15" i="16"/>
  <c r="B56" i="16"/>
  <c r="B19" i="16"/>
  <c r="C15" i="16"/>
  <c r="J6" i="16"/>
  <c r="A3" i="16" s="1"/>
  <c r="A80" i="16"/>
  <c r="B55" i="16"/>
  <c r="A85" i="16"/>
  <c r="B25" i="16"/>
  <c r="B35" i="16"/>
  <c r="A86" i="16"/>
  <c r="A24" i="16"/>
  <c r="A15" i="16"/>
  <c r="C85" i="16"/>
  <c r="B18" i="16"/>
  <c r="C83" i="16"/>
  <c r="E25" i="16"/>
  <c r="B17" i="16"/>
  <c r="D25" i="16"/>
  <c r="B20" i="16"/>
  <c r="B16" i="16"/>
  <c r="B15" i="16"/>
  <c r="C25" i="16"/>
  <c r="H242" i="15"/>
  <c r="F242" i="15"/>
  <c r="E242" i="15"/>
  <c r="D242" i="15"/>
  <c r="B242" i="15"/>
  <c r="G242" i="15"/>
  <c r="C242" i="15"/>
  <c r="H243" i="15"/>
  <c r="F243" i="15"/>
  <c r="E243" i="15"/>
  <c r="C243" i="15"/>
  <c r="B243" i="15"/>
  <c r="D243" i="15"/>
  <c r="G243" i="15"/>
  <c r="F192" i="13"/>
  <c r="E185" i="13"/>
  <c r="H186" i="12" s="1"/>
  <c r="J186" i="12" s="1"/>
  <c r="E201" i="15"/>
  <c r="G201" i="15"/>
  <c r="F201" i="15"/>
  <c r="D201" i="15"/>
  <c r="C201" i="15"/>
  <c r="B201" i="15"/>
  <c r="H201" i="15"/>
  <c r="H192" i="15"/>
  <c r="C192" i="15"/>
  <c r="G192" i="15"/>
  <c r="F192" i="15"/>
  <c r="E192" i="15"/>
  <c r="D192" i="15"/>
  <c r="B192" i="15"/>
  <c r="F148" i="15"/>
  <c r="E148" i="15"/>
  <c r="D148" i="15"/>
  <c r="C148" i="15"/>
  <c r="H148" i="15"/>
  <c r="B148" i="15"/>
  <c r="G148" i="15"/>
  <c r="N156" i="12"/>
  <c r="P156" i="12" s="1"/>
  <c r="T155" i="5"/>
  <c r="N70" i="12"/>
  <c r="P70" i="12" s="1"/>
  <c r="T69" i="5"/>
  <c r="N52" i="12"/>
  <c r="P52" i="12" s="1"/>
  <c r="T51" i="5"/>
  <c r="F152" i="15"/>
  <c r="E152" i="15"/>
  <c r="D152" i="15"/>
  <c r="H152" i="15"/>
  <c r="G152" i="15"/>
  <c r="C152" i="15"/>
  <c r="B152" i="15"/>
  <c r="H207" i="15"/>
  <c r="B207" i="15"/>
  <c r="G207" i="15"/>
  <c r="F207" i="15"/>
  <c r="C207" i="15"/>
  <c r="E207" i="15"/>
  <c r="D207" i="15"/>
  <c r="H216" i="15"/>
  <c r="F216" i="15"/>
  <c r="B216" i="15"/>
  <c r="G216" i="15"/>
  <c r="E216" i="15"/>
  <c r="C216" i="15"/>
  <c r="D216" i="15"/>
  <c r="F139" i="5"/>
  <c r="N139" i="5"/>
  <c r="E126" i="13"/>
  <c r="H127" i="12" s="1"/>
  <c r="J127" i="12" s="1"/>
  <c r="E150" i="15"/>
  <c r="D150" i="15"/>
  <c r="H150" i="15"/>
  <c r="G150" i="15"/>
  <c r="B150" i="15"/>
  <c r="F150" i="15"/>
  <c r="C150" i="15"/>
  <c r="H104" i="12"/>
  <c r="J104" i="12" s="1"/>
  <c r="H103" i="5"/>
  <c r="G20" i="12"/>
  <c r="E206" i="15"/>
  <c r="B206" i="15"/>
  <c r="H206" i="15"/>
  <c r="G206" i="15"/>
  <c r="F206" i="15"/>
  <c r="D206" i="15"/>
  <c r="C206" i="15"/>
  <c r="C174" i="15"/>
  <c r="B174" i="15"/>
  <c r="D174" i="15"/>
  <c r="F174" i="15"/>
  <c r="E174" i="15"/>
  <c r="H174" i="15"/>
  <c r="G174" i="15"/>
  <c r="N183" i="12"/>
  <c r="P183" i="12" s="1"/>
  <c r="T182" i="5"/>
  <c r="M111" i="12"/>
  <c r="G46" i="12"/>
  <c r="H147" i="15"/>
  <c r="G147" i="15"/>
  <c r="C147" i="15"/>
  <c r="B147" i="15"/>
  <c r="E147" i="15"/>
  <c r="F147" i="15"/>
  <c r="D147" i="15"/>
  <c r="D105" i="15"/>
  <c r="C105" i="15"/>
  <c r="B105" i="15"/>
  <c r="F105" i="15"/>
  <c r="E105" i="15"/>
  <c r="H105" i="15"/>
  <c r="G105" i="15"/>
  <c r="J185" i="12"/>
  <c r="K96" i="12"/>
  <c r="M96" i="12" s="1"/>
  <c r="J95" i="5"/>
  <c r="D59" i="15"/>
  <c r="C59" i="15"/>
  <c r="B59" i="15"/>
  <c r="H59" i="15"/>
  <c r="F59" i="15"/>
  <c r="G59" i="15"/>
  <c r="E59" i="15"/>
  <c r="N15" i="12"/>
  <c r="P15" i="12" s="1"/>
  <c r="L14" i="5"/>
  <c r="T14" i="5"/>
  <c r="E37" i="12"/>
  <c r="G37" i="12" s="1"/>
  <c r="F36" i="5"/>
  <c r="E18" i="12"/>
  <c r="G18" i="12" s="1"/>
  <c r="N17" i="5"/>
  <c r="BB195" i="5"/>
  <c r="R195" i="5"/>
  <c r="G183" i="1"/>
  <c r="M191" i="5"/>
  <c r="O191" i="5"/>
  <c r="AB179" i="5"/>
  <c r="M179" i="5"/>
  <c r="F121" i="13"/>
  <c r="D121" i="13"/>
  <c r="G121" i="13"/>
  <c r="E121" i="13"/>
  <c r="G184" i="1"/>
  <c r="F184" i="1"/>
  <c r="E184" i="1"/>
  <c r="D184" i="1"/>
  <c r="C184" i="1"/>
  <c r="AB189" i="5"/>
  <c r="G191" i="1"/>
  <c r="F191" i="1"/>
  <c r="E191" i="1"/>
  <c r="D191" i="1"/>
  <c r="C191" i="1"/>
  <c r="AQ155" i="5"/>
  <c r="AP155" i="5"/>
  <c r="AR155" i="5" s="1"/>
  <c r="AC155" i="5"/>
  <c r="AT185" i="5"/>
  <c r="N185" i="5"/>
  <c r="AB185" i="5"/>
  <c r="P162" i="5"/>
  <c r="AX162" i="5"/>
  <c r="O155" i="5"/>
  <c r="M155" i="5"/>
  <c r="M153" i="5"/>
  <c r="AB153" i="5"/>
  <c r="R142" i="5"/>
  <c r="BB142" i="5"/>
  <c r="F174" i="1"/>
  <c r="E174" i="1"/>
  <c r="D174" i="1"/>
  <c r="G174" i="1"/>
  <c r="C174" i="1"/>
  <c r="AQ131" i="5"/>
  <c r="AP131" i="5"/>
  <c r="AR131" i="5" s="1"/>
  <c r="AC131" i="5"/>
  <c r="L116" i="5"/>
  <c r="G118" i="1"/>
  <c r="F162" i="1"/>
  <c r="E162" i="1"/>
  <c r="D162" i="1"/>
  <c r="C162" i="1"/>
  <c r="G162" i="1"/>
  <c r="O91" i="5"/>
  <c r="M91" i="5"/>
  <c r="AP156" i="5"/>
  <c r="AR156" i="5" s="1"/>
  <c r="AC156" i="5"/>
  <c r="AQ156" i="5"/>
  <c r="BB144" i="5"/>
  <c r="R144" i="5"/>
  <c r="D98" i="1"/>
  <c r="G98" i="1"/>
  <c r="F98" i="1"/>
  <c r="E98" i="1"/>
  <c r="C98" i="1"/>
  <c r="L78" i="5"/>
  <c r="J78" i="5"/>
  <c r="H78" i="5"/>
  <c r="G74" i="1"/>
  <c r="F74" i="1"/>
  <c r="E74" i="1"/>
  <c r="D74" i="1"/>
  <c r="C74" i="1"/>
  <c r="BB200" i="5"/>
  <c r="AX166" i="5"/>
  <c r="H129" i="12"/>
  <c r="J129" i="12" s="1"/>
  <c r="H128" i="5"/>
  <c r="G140" i="1"/>
  <c r="E140" i="1"/>
  <c r="F140" i="1"/>
  <c r="D140" i="1"/>
  <c r="C140" i="1"/>
  <c r="O134" i="5"/>
  <c r="N154" i="12"/>
  <c r="P154" i="12" s="1"/>
  <c r="T153" i="5"/>
  <c r="J112" i="5"/>
  <c r="F112" i="5"/>
  <c r="L112" i="5"/>
  <c r="H112" i="5"/>
  <c r="F58" i="13"/>
  <c r="G58" i="13"/>
  <c r="D58" i="13"/>
  <c r="E58" i="13"/>
  <c r="AQ168" i="5"/>
  <c r="AC168" i="5"/>
  <c r="O135" i="5"/>
  <c r="AX99" i="5"/>
  <c r="BB84" i="5"/>
  <c r="R84" i="5"/>
  <c r="F68" i="13"/>
  <c r="K69" i="12" s="1"/>
  <c r="M69" i="12" s="1"/>
  <c r="E68" i="13"/>
  <c r="H69" i="12" s="1"/>
  <c r="J69" i="12" s="1"/>
  <c r="G68" i="13"/>
  <c r="D68" i="13"/>
  <c r="E69" i="12" s="1"/>
  <c r="G69" i="12" s="1"/>
  <c r="AP11" i="5"/>
  <c r="AR11" i="5" s="1"/>
  <c r="AQ11" i="5"/>
  <c r="AC11" i="5"/>
  <c r="G144" i="12"/>
  <c r="N119" i="12"/>
  <c r="P119" i="12" s="1"/>
  <c r="T118" i="5"/>
  <c r="BB39" i="5"/>
  <c r="R39" i="5"/>
  <c r="AQ17" i="5"/>
  <c r="AP17" i="5"/>
  <c r="AR17" i="5" s="1"/>
  <c r="AC17" i="5"/>
  <c r="M68" i="5"/>
  <c r="G62" i="1"/>
  <c r="F62" i="1"/>
  <c r="E62" i="1"/>
  <c r="D62" i="1"/>
  <c r="C62" i="1"/>
  <c r="R37" i="5"/>
  <c r="BB37" i="5"/>
  <c r="L140" i="5"/>
  <c r="J140" i="5"/>
  <c r="H140" i="5"/>
  <c r="AB106" i="5"/>
  <c r="R102" i="5"/>
  <c r="BB102" i="5"/>
  <c r="F95" i="5"/>
  <c r="BB12" i="5"/>
  <c r="G108" i="13"/>
  <c r="L108" i="5" s="1"/>
  <c r="D108" i="13"/>
  <c r="E109" i="12" s="1"/>
  <c r="G109" i="12" s="1"/>
  <c r="E108" i="13"/>
  <c r="H109" i="12" s="1"/>
  <c r="J109" i="12" s="1"/>
  <c r="H37" i="5"/>
  <c r="L37" i="5"/>
  <c r="J37" i="5"/>
  <c r="F37" i="5"/>
  <c r="BB57" i="5"/>
  <c r="R57" i="5"/>
  <c r="K43" i="12"/>
  <c r="M43" i="12" s="1"/>
  <c r="J42" i="5"/>
  <c r="R42" i="5"/>
  <c r="Q7" i="5"/>
  <c r="L45" i="5"/>
  <c r="J45" i="5"/>
  <c r="H45" i="5"/>
  <c r="F45" i="5"/>
  <c r="G37" i="1"/>
  <c r="E37" i="1"/>
  <c r="D37" i="1"/>
  <c r="C37" i="1"/>
  <c r="F37" i="1"/>
  <c r="Q29" i="5"/>
  <c r="O29" i="5"/>
  <c r="C4" i="13"/>
  <c r="C56" i="15" s="1"/>
  <c r="B4" i="13"/>
  <c r="B56" i="15" s="1"/>
  <c r="O4" i="13"/>
  <c r="S4" i="11"/>
  <c r="G4" i="11"/>
  <c r="O4" i="11"/>
  <c r="K4" i="11"/>
  <c r="W4" i="11"/>
  <c r="L4" i="5" s="1"/>
  <c r="N145" i="12"/>
  <c r="P145" i="12" s="1"/>
  <c r="T144" i="5"/>
  <c r="AX86" i="5"/>
  <c r="P86" i="5"/>
  <c r="M86" i="5"/>
  <c r="AB32" i="5"/>
  <c r="G9" i="1"/>
  <c r="C9" i="1"/>
  <c r="F9" i="1"/>
  <c r="E9" i="1"/>
  <c r="D9" i="1"/>
  <c r="H63" i="5"/>
  <c r="E65" i="1"/>
  <c r="I2" i="11"/>
  <c r="O2" i="13" s="1"/>
  <c r="AB2" i="5"/>
  <c r="AD2" i="5"/>
  <c r="C3" i="12"/>
  <c r="J202" i="10"/>
  <c r="F202" i="10"/>
  <c r="M202" i="10"/>
  <c r="J166" i="10"/>
  <c r="M166" i="10"/>
  <c r="F166" i="10"/>
  <c r="F58" i="10"/>
  <c r="M58" i="10"/>
  <c r="J58" i="10"/>
  <c r="O23" i="5"/>
  <c r="M23" i="5"/>
  <c r="Q23" i="5"/>
  <c r="M173" i="10"/>
  <c r="F173" i="10"/>
  <c r="M137" i="10"/>
  <c r="F137" i="10"/>
  <c r="G153" i="10"/>
  <c r="F153" i="10"/>
  <c r="Q71" i="5"/>
  <c r="AT24" i="5"/>
  <c r="E94" i="1"/>
  <c r="C94" i="1"/>
  <c r="D94" i="1"/>
  <c r="G94" i="1"/>
  <c r="F94" i="1"/>
  <c r="G49" i="1"/>
  <c r="E49" i="1"/>
  <c r="D49" i="1"/>
  <c r="F49" i="1"/>
  <c r="C49" i="1"/>
  <c r="E22" i="1"/>
  <c r="D22" i="1"/>
  <c r="C22" i="1"/>
  <c r="G22" i="1"/>
  <c r="F22" i="1"/>
  <c r="K7" i="12"/>
  <c r="M7" i="12" s="1"/>
  <c r="J6" i="5"/>
  <c r="AB53" i="5"/>
  <c r="AY54" i="5"/>
  <c r="AX54" i="5"/>
  <c r="AT30" i="5"/>
  <c r="AT8" i="5"/>
  <c r="N8" i="5"/>
  <c r="J34" i="10"/>
  <c r="AH4" i="11"/>
  <c r="AE4" i="5"/>
  <c r="F98" i="10"/>
  <c r="O83" i="5"/>
  <c r="F135" i="10"/>
  <c r="N61" i="12"/>
  <c r="P61" i="12" s="1"/>
  <c r="T60" i="5"/>
  <c r="E23" i="16"/>
  <c r="G170" i="13"/>
  <c r="J173" i="12"/>
  <c r="G185" i="13"/>
  <c r="F181" i="15"/>
  <c r="D181" i="15"/>
  <c r="B181" i="15"/>
  <c r="H181" i="15"/>
  <c r="G181" i="15"/>
  <c r="E181" i="15"/>
  <c r="C181" i="15"/>
  <c r="E174" i="13"/>
  <c r="H175" i="12" s="1"/>
  <c r="J175" i="12" s="1"/>
  <c r="M157" i="12"/>
  <c r="H172" i="15"/>
  <c r="C172" i="15"/>
  <c r="D172" i="15"/>
  <c r="B172" i="15"/>
  <c r="G172" i="15"/>
  <c r="F172" i="15"/>
  <c r="E172" i="15"/>
  <c r="F108" i="13"/>
  <c r="K109" i="12" s="1"/>
  <c r="M109" i="12" s="1"/>
  <c r="B141" i="15"/>
  <c r="G141" i="15"/>
  <c r="H141" i="15"/>
  <c r="F141" i="15"/>
  <c r="E141" i="15"/>
  <c r="C141" i="15"/>
  <c r="D141" i="15"/>
  <c r="D235" i="15"/>
  <c r="C235" i="15"/>
  <c r="B235" i="15"/>
  <c r="H235" i="15"/>
  <c r="G235" i="15"/>
  <c r="F235" i="15"/>
  <c r="E235" i="15"/>
  <c r="M200" i="12"/>
  <c r="N147" i="12"/>
  <c r="P147" i="12" s="1"/>
  <c r="T146" i="5"/>
  <c r="N95" i="12"/>
  <c r="P95" i="12" s="1"/>
  <c r="T94" i="5"/>
  <c r="L94" i="5"/>
  <c r="B170" i="15"/>
  <c r="F170" i="15"/>
  <c r="D170" i="15"/>
  <c r="C170" i="15"/>
  <c r="H170" i="15"/>
  <c r="G170" i="15"/>
  <c r="E170" i="15"/>
  <c r="K147" i="12"/>
  <c r="M147" i="12" s="1"/>
  <c r="J146" i="5"/>
  <c r="D140" i="15"/>
  <c r="G140" i="15"/>
  <c r="F140" i="15"/>
  <c r="B140" i="15"/>
  <c r="E140" i="15"/>
  <c r="C140" i="15"/>
  <c r="H140" i="15"/>
  <c r="N152" i="12"/>
  <c r="P152" i="12" s="1"/>
  <c r="D99" i="13"/>
  <c r="E100" i="12" s="1"/>
  <c r="G100" i="12" s="1"/>
  <c r="G166" i="13"/>
  <c r="C182" i="15"/>
  <c r="B182" i="15"/>
  <c r="F182" i="15"/>
  <c r="H182" i="15"/>
  <c r="G182" i="15"/>
  <c r="E182" i="15"/>
  <c r="D182" i="15"/>
  <c r="D203" i="15"/>
  <c r="C203" i="15"/>
  <c r="B203" i="15"/>
  <c r="H203" i="15"/>
  <c r="E203" i="15"/>
  <c r="G203" i="15"/>
  <c r="F203" i="15"/>
  <c r="B163" i="15"/>
  <c r="G163" i="15"/>
  <c r="F163" i="15"/>
  <c r="E163" i="15"/>
  <c r="D163" i="15"/>
  <c r="C163" i="15"/>
  <c r="H163" i="15"/>
  <c r="G79" i="15"/>
  <c r="E79" i="15"/>
  <c r="D79" i="15"/>
  <c r="H79" i="15"/>
  <c r="F79" i="15"/>
  <c r="C79" i="15"/>
  <c r="B79" i="15"/>
  <c r="N104" i="12"/>
  <c r="P104" i="12" s="1"/>
  <c r="L103" i="5"/>
  <c r="T103" i="5"/>
  <c r="G99" i="15"/>
  <c r="E99" i="15"/>
  <c r="D99" i="15"/>
  <c r="H99" i="15"/>
  <c r="C99" i="15"/>
  <c r="B99" i="15"/>
  <c r="F99" i="15"/>
  <c r="N118" i="12"/>
  <c r="P118" i="12" s="1"/>
  <c r="T117" i="5"/>
  <c r="F40" i="13"/>
  <c r="N25" i="12"/>
  <c r="P25" i="12" s="1"/>
  <c r="T24" i="5"/>
  <c r="H75" i="15"/>
  <c r="F75" i="15"/>
  <c r="C75" i="15"/>
  <c r="B75" i="15"/>
  <c r="E75" i="15"/>
  <c r="G75" i="15"/>
  <c r="D75" i="15"/>
  <c r="F91" i="13"/>
  <c r="E93" i="13"/>
  <c r="H93" i="5" s="1"/>
  <c r="D185" i="12"/>
  <c r="G73" i="13"/>
  <c r="L73" i="5" s="1"/>
  <c r="H33" i="12"/>
  <c r="J33" i="12" s="1"/>
  <c r="P32" i="5"/>
  <c r="D82" i="15"/>
  <c r="B82" i="15"/>
  <c r="H82" i="15"/>
  <c r="G82" i="15"/>
  <c r="C82" i="15"/>
  <c r="E82" i="15"/>
  <c r="F82" i="15"/>
  <c r="G45" i="12"/>
  <c r="D54" i="15"/>
  <c r="C54" i="15"/>
  <c r="H23" i="12"/>
  <c r="J23" i="12" s="1"/>
  <c r="H22" i="5"/>
  <c r="N105" i="12"/>
  <c r="P105" i="12" s="1"/>
  <c r="T104" i="5"/>
  <c r="N72" i="12"/>
  <c r="P72" i="12" s="1"/>
  <c r="T71" i="5"/>
  <c r="N9" i="12"/>
  <c r="P9" i="12" s="1"/>
  <c r="G189" i="1"/>
  <c r="F189" i="1"/>
  <c r="E189" i="1"/>
  <c r="D189" i="1"/>
  <c r="C189" i="1"/>
  <c r="N180" i="12"/>
  <c r="P180" i="12" s="1"/>
  <c r="T179" i="5"/>
  <c r="F115" i="13"/>
  <c r="D115" i="13"/>
  <c r="H110" i="12"/>
  <c r="J110" i="12" s="1"/>
  <c r="H109" i="5"/>
  <c r="P109" i="5"/>
  <c r="M182" i="5"/>
  <c r="O182" i="5"/>
  <c r="F183" i="1"/>
  <c r="O183" i="5"/>
  <c r="M183" i="5"/>
  <c r="AP193" i="5"/>
  <c r="AR193" i="5" s="1"/>
  <c r="AC193" i="5"/>
  <c r="AQ193" i="5"/>
  <c r="AT131" i="5"/>
  <c r="N131" i="5"/>
  <c r="H120" i="5"/>
  <c r="E122" i="1"/>
  <c r="G155" i="1"/>
  <c r="L153" i="5"/>
  <c r="AP113" i="5"/>
  <c r="AR113" i="5" s="1"/>
  <c r="AQ113" i="5"/>
  <c r="AC113" i="5"/>
  <c r="H177" i="5"/>
  <c r="J177" i="5"/>
  <c r="O172" i="5"/>
  <c r="M172" i="5"/>
  <c r="AX165" i="5"/>
  <c r="L152" i="5"/>
  <c r="J152" i="5"/>
  <c r="H152" i="5"/>
  <c r="F152" i="5"/>
  <c r="O160" i="5"/>
  <c r="G176" i="1"/>
  <c r="E176" i="1"/>
  <c r="F176" i="1"/>
  <c r="D176" i="1"/>
  <c r="C176" i="1"/>
  <c r="J184" i="5"/>
  <c r="F184" i="5"/>
  <c r="L184" i="5"/>
  <c r="H184" i="5"/>
  <c r="AP128" i="5"/>
  <c r="AR128" i="5" s="1"/>
  <c r="AC128" i="5"/>
  <c r="AQ128" i="5"/>
  <c r="F126" i="1"/>
  <c r="D126" i="1"/>
  <c r="G126" i="1"/>
  <c r="E126" i="1"/>
  <c r="C126" i="1"/>
  <c r="G93" i="1"/>
  <c r="C93" i="1"/>
  <c r="F93" i="1"/>
  <c r="E93" i="1"/>
  <c r="D93" i="1"/>
  <c r="O67" i="5"/>
  <c r="M67" i="5"/>
  <c r="G172" i="1"/>
  <c r="F172" i="1"/>
  <c r="E172" i="1"/>
  <c r="D172" i="1"/>
  <c r="C172" i="1"/>
  <c r="G156" i="13"/>
  <c r="E156" i="13"/>
  <c r="H157" i="12" s="1"/>
  <c r="J157" i="12" s="1"/>
  <c r="D156" i="13"/>
  <c r="E157" i="12" s="1"/>
  <c r="G157" i="12" s="1"/>
  <c r="M138" i="12"/>
  <c r="G97" i="13"/>
  <c r="F97" i="13"/>
  <c r="D97" i="13"/>
  <c r="E97" i="13"/>
  <c r="H98" i="12" s="1"/>
  <c r="J98" i="12" s="1"/>
  <c r="O123" i="5"/>
  <c r="F200" i="5"/>
  <c r="L200" i="5"/>
  <c r="AC158" i="5"/>
  <c r="G160" i="1"/>
  <c r="F160" i="1"/>
  <c r="E160" i="1"/>
  <c r="D160" i="1"/>
  <c r="C160" i="1"/>
  <c r="E129" i="12"/>
  <c r="G129" i="12" s="1"/>
  <c r="N128" i="5"/>
  <c r="H154" i="12"/>
  <c r="J154" i="12" s="1"/>
  <c r="H153" i="5"/>
  <c r="H138" i="5"/>
  <c r="D149" i="1"/>
  <c r="C149" i="1"/>
  <c r="G149" i="1"/>
  <c r="F149" i="1"/>
  <c r="E149" i="1"/>
  <c r="M147" i="5"/>
  <c r="AB147" i="5"/>
  <c r="G52" i="13"/>
  <c r="F52" i="13"/>
  <c r="E52" i="13"/>
  <c r="D52" i="13"/>
  <c r="M126" i="5"/>
  <c r="AB126" i="5"/>
  <c r="AC123" i="5"/>
  <c r="BB43" i="5"/>
  <c r="R43" i="5"/>
  <c r="E38" i="1"/>
  <c r="H36" i="5"/>
  <c r="M33" i="5"/>
  <c r="AB33" i="5"/>
  <c r="P140" i="5"/>
  <c r="AX140" i="5"/>
  <c r="AZ140" i="5" s="1"/>
  <c r="AB118" i="5"/>
  <c r="BB66" i="5"/>
  <c r="R66" i="5"/>
  <c r="BB51" i="5"/>
  <c r="H42" i="5"/>
  <c r="E90" i="12"/>
  <c r="G90" i="12" s="1"/>
  <c r="N89" i="5"/>
  <c r="AC74" i="5"/>
  <c r="AQ74" i="5"/>
  <c r="AP74" i="5"/>
  <c r="AR74" i="5" s="1"/>
  <c r="R68" i="5"/>
  <c r="BB68" i="5"/>
  <c r="BD68" i="5" s="1"/>
  <c r="O60" i="5"/>
  <c r="M60" i="5"/>
  <c r="E106" i="12"/>
  <c r="G106" i="12" s="1"/>
  <c r="F105" i="5"/>
  <c r="L102" i="5"/>
  <c r="J102" i="5"/>
  <c r="AT101" i="5"/>
  <c r="N101" i="5"/>
  <c r="Q95" i="5"/>
  <c r="O95" i="5"/>
  <c r="L31" i="5"/>
  <c r="J31" i="5"/>
  <c r="H31" i="5"/>
  <c r="AT108" i="5"/>
  <c r="AP35" i="5"/>
  <c r="AR35" i="5" s="1"/>
  <c r="AQ35" i="5"/>
  <c r="AB98" i="5"/>
  <c r="L43" i="5"/>
  <c r="J43" i="5"/>
  <c r="H43" i="5"/>
  <c r="F43" i="5"/>
  <c r="E43" i="12"/>
  <c r="G43" i="12" s="1"/>
  <c r="N42" i="5"/>
  <c r="F42" i="5"/>
  <c r="Q17" i="5"/>
  <c r="O17" i="5"/>
  <c r="AB7" i="5"/>
  <c r="M4" i="11"/>
  <c r="M38" i="12"/>
  <c r="O7" i="5"/>
  <c r="D65" i="1"/>
  <c r="F63" i="5"/>
  <c r="F3" i="12"/>
  <c r="M77" i="5"/>
  <c r="G20" i="13"/>
  <c r="L20" i="5" s="1"/>
  <c r="D20" i="13"/>
  <c r="F20" i="13"/>
  <c r="K21" i="12" s="1"/>
  <c r="M21" i="12" s="1"/>
  <c r="AB49" i="5"/>
  <c r="Q5" i="5"/>
  <c r="O5" i="5"/>
  <c r="J200" i="10"/>
  <c r="BC24" i="5"/>
  <c r="BB24" i="5"/>
  <c r="G20" i="1"/>
  <c r="E20" i="1"/>
  <c r="F20" i="1"/>
  <c r="D20" i="1"/>
  <c r="C20" i="1"/>
  <c r="AY92" i="5"/>
  <c r="AX92" i="5"/>
  <c r="P92" i="5"/>
  <c r="M92" i="5"/>
  <c r="H7" i="12"/>
  <c r="J7" i="12" s="1"/>
  <c r="H6" i="5"/>
  <c r="Q15" i="5"/>
  <c r="O15" i="5"/>
  <c r="M164" i="10"/>
  <c r="BB44" i="5"/>
  <c r="L41" i="5"/>
  <c r="H41" i="5"/>
  <c r="M34" i="10"/>
  <c r="F82" i="10"/>
  <c r="J82" i="10"/>
  <c r="M82" i="10"/>
  <c r="F50" i="10"/>
  <c r="J50" i="10"/>
  <c r="N160" i="9"/>
  <c r="N112" i="9"/>
  <c r="N64" i="9"/>
  <c r="F83" i="13"/>
  <c r="K84" i="12" s="1"/>
  <c r="M84" i="12" s="1"/>
  <c r="E83" i="13"/>
  <c r="H84" i="12" s="1"/>
  <c r="J84" i="12" s="1"/>
  <c r="D83" i="13"/>
  <c r="E84" i="12" s="1"/>
  <c r="G84" i="12" s="1"/>
  <c r="F183" i="10"/>
  <c r="F47" i="10"/>
  <c r="F141" i="13"/>
  <c r="K142" i="12" s="1"/>
  <c r="M142" i="12" s="1"/>
  <c r="D141" i="13"/>
  <c r="E142" i="12" s="1"/>
  <c r="G142" i="12" s="1"/>
  <c r="E141" i="13"/>
  <c r="H142" i="12" s="1"/>
  <c r="J142" i="12" s="1"/>
  <c r="G141" i="13"/>
  <c r="L141" i="5" s="1"/>
  <c r="M141" i="5"/>
  <c r="J98" i="10"/>
  <c r="F185" i="10"/>
  <c r="N81" i="9"/>
  <c r="F21" i="10"/>
  <c r="M21" i="10"/>
  <c r="G193" i="13"/>
  <c r="L193" i="5" s="1"/>
  <c r="T37" i="15"/>
  <c r="B59" i="16" s="1"/>
  <c r="H245" i="15"/>
  <c r="F245" i="15"/>
  <c r="G245" i="15"/>
  <c r="C245" i="15"/>
  <c r="E245" i="15"/>
  <c r="D245" i="15"/>
  <c r="B245" i="15"/>
  <c r="F200" i="13"/>
  <c r="K201" i="12" s="1"/>
  <c r="M201" i="12" s="1"/>
  <c r="H222" i="15"/>
  <c r="B222" i="15"/>
  <c r="G222" i="15"/>
  <c r="C222" i="15"/>
  <c r="F222" i="15"/>
  <c r="E222" i="15"/>
  <c r="D222" i="15"/>
  <c r="H240" i="15"/>
  <c r="B240" i="15"/>
  <c r="G240" i="15"/>
  <c r="F240" i="15"/>
  <c r="E240" i="15"/>
  <c r="D240" i="15"/>
  <c r="C240" i="15"/>
  <c r="F185" i="13"/>
  <c r="K186" i="12" s="1"/>
  <c r="M186" i="12" s="1"/>
  <c r="F209" i="15"/>
  <c r="H209" i="15"/>
  <c r="G209" i="15"/>
  <c r="E209" i="15"/>
  <c r="C209" i="15"/>
  <c r="B209" i="15"/>
  <c r="D209" i="15"/>
  <c r="E138" i="15"/>
  <c r="D138" i="15"/>
  <c r="H138" i="15"/>
  <c r="G138" i="15"/>
  <c r="F138" i="15"/>
  <c r="C138" i="15"/>
  <c r="B138" i="15"/>
  <c r="J143" i="12"/>
  <c r="B159" i="15"/>
  <c r="G159" i="15"/>
  <c r="C159" i="15"/>
  <c r="H159" i="15"/>
  <c r="F159" i="15"/>
  <c r="E159" i="15"/>
  <c r="D159" i="15"/>
  <c r="D121" i="15"/>
  <c r="H121" i="15"/>
  <c r="G121" i="15"/>
  <c r="F121" i="15"/>
  <c r="E121" i="15"/>
  <c r="C121" i="15"/>
  <c r="B121" i="15"/>
  <c r="G103" i="15"/>
  <c r="E103" i="15"/>
  <c r="D103" i="15"/>
  <c r="F103" i="15"/>
  <c r="C103" i="15"/>
  <c r="B103" i="15"/>
  <c r="H103" i="15"/>
  <c r="E179" i="12"/>
  <c r="G179" i="12" s="1"/>
  <c r="F178" i="5"/>
  <c r="E239" i="15"/>
  <c r="D239" i="15"/>
  <c r="B239" i="15"/>
  <c r="C239" i="15"/>
  <c r="G239" i="15"/>
  <c r="H239" i="15"/>
  <c r="F239" i="15"/>
  <c r="F218" i="15"/>
  <c r="H218" i="15"/>
  <c r="E218" i="15"/>
  <c r="D218" i="15"/>
  <c r="C218" i="15"/>
  <c r="B218" i="15"/>
  <c r="G218" i="15"/>
  <c r="E135" i="13"/>
  <c r="H136" i="12" s="1"/>
  <c r="J136" i="12" s="1"/>
  <c r="C186" i="15"/>
  <c r="B186" i="15"/>
  <c r="G186" i="15"/>
  <c r="H186" i="15"/>
  <c r="F186" i="15"/>
  <c r="E186" i="15"/>
  <c r="D186" i="15"/>
  <c r="M131" i="12"/>
  <c r="D168" i="12"/>
  <c r="F12" i="13"/>
  <c r="K13" i="12" s="1"/>
  <c r="M13" i="12" s="1"/>
  <c r="H71" i="15"/>
  <c r="G71" i="15"/>
  <c r="F71" i="15"/>
  <c r="D71" i="15"/>
  <c r="C71" i="15"/>
  <c r="E71" i="15"/>
  <c r="B71" i="15"/>
  <c r="G109" i="13"/>
  <c r="G40" i="13"/>
  <c r="H65" i="15"/>
  <c r="G65" i="15"/>
  <c r="F65" i="15"/>
  <c r="E65" i="15"/>
  <c r="D65" i="15"/>
  <c r="C65" i="15"/>
  <c r="B65" i="15"/>
  <c r="N96" i="12"/>
  <c r="P96" i="12" s="1"/>
  <c r="T95" i="5"/>
  <c r="D85" i="13"/>
  <c r="E86" i="12" s="1"/>
  <c r="G86" i="12" s="1"/>
  <c r="H143" i="15"/>
  <c r="G143" i="15"/>
  <c r="C143" i="15"/>
  <c r="B143" i="15"/>
  <c r="D143" i="15"/>
  <c r="E143" i="15"/>
  <c r="F143" i="15"/>
  <c r="N185" i="12"/>
  <c r="P185" i="12" s="1"/>
  <c r="N44" i="12"/>
  <c r="P44" i="12" s="1"/>
  <c r="T43" i="5"/>
  <c r="D9" i="13"/>
  <c r="E10" i="12" s="1"/>
  <c r="G10" i="12" s="1"/>
  <c r="N56" i="12"/>
  <c r="P56" i="12" s="1"/>
  <c r="T55" i="5"/>
  <c r="G31" i="13"/>
  <c r="N18" i="12"/>
  <c r="P18" i="12" s="1"/>
  <c r="T17" i="5"/>
  <c r="G69" i="15"/>
  <c r="E69" i="15"/>
  <c r="H69" i="15"/>
  <c r="F69" i="15"/>
  <c r="C69" i="15"/>
  <c r="D69" i="15"/>
  <c r="B69" i="15"/>
  <c r="K37" i="12"/>
  <c r="M37" i="12" s="1"/>
  <c r="J36" i="5"/>
  <c r="D18" i="13"/>
  <c r="E19" i="12" s="1"/>
  <c r="G19" i="12" s="1"/>
  <c r="H196" i="5"/>
  <c r="E198" i="1"/>
  <c r="M187" i="5"/>
  <c r="O187" i="5"/>
  <c r="E180" i="12"/>
  <c r="G180" i="12" s="1"/>
  <c r="F179" i="5"/>
  <c r="Q193" i="5"/>
  <c r="AQ191" i="5"/>
  <c r="AP191" i="5"/>
  <c r="AR191" i="5" s="1"/>
  <c r="AC191" i="5"/>
  <c r="R178" i="5"/>
  <c r="BB178" i="5"/>
  <c r="R183" i="5"/>
  <c r="BB183" i="5"/>
  <c r="BD183" i="5" s="1"/>
  <c r="E104" i="12"/>
  <c r="G104" i="12" s="1"/>
  <c r="N103" i="5"/>
  <c r="F103" i="5"/>
  <c r="AB181" i="5"/>
  <c r="F195" i="1"/>
  <c r="E195" i="1"/>
  <c r="C195" i="1"/>
  <c r="D195" i="1"/>
  <c r="G195" i="1"/>
  <c r="Q189" i="5"/>
  <c r="L155" i="5"/>
  <c r="G157" i="1"/>
  <c r="L129" i="5"/>
  <c r="J129" i="5"/>
  <c r="H129" i="5"/>
  <c r="F129" i="5"/>
  <c r="D178" i="1"/>
  <c r="F176" i="5"/>
  <c r="F146" i="5"/>
  <c r="D148" i="1"/>
  <c r="AB165" i="5"/>
  <c r="M165" i="5"/>
  <c r="C156" i="1"/>
  <c r="G156" i="1"/>
  <c r="F156" i="1"/>
  <c r="E156" i="1"/>
  <c r="D156" i="1"/>
  <c r="F164" i="5"/>
  <c r="D166" i="1"/>
  <c r="L162" i="5"/>
  <c r="J162" i="5"/>
  <c r="H162" i="5"/>
  <c r="F162" i="5"/>
  <c r="Q153" i="5"/>
  <c r="O153" i="5"/>
  <c r="AQ125" i="5"/>
  <c r="AP125" i="5"/>
  <c r="AR125" i="5" s="1"/>
  <c r="AC125" i="5"/>
  <c r="AB177" i="5"/>
  <c r="M177" i="5"/>
  <c r="O152" i="5"/>
  <c r="Q152" i="5"/>
  <c r="AX174" i="5"/>
  <c r="AY174" i="5"/>
  <c r="M184" i="5"/>
  <c r="AB144" i="5"/>
  <c r="AX124" i="5"/>
  <c r="AZ124" i="5" s="1"/>
  <c r="P124" i="5"/>
  <c r="R75" i="5"/>
  <c r="BB75" i="5"/>
  <c r="G69" i="1"/>
  <c r="F69" i="1"/>
  <c r="E69" i="1"/>
  <c r="D69" i="1"/>
  <c r="C69" i="1"/>
  <c r="M156" i="5"/>
  <c r="G146" i="1"/>
  <c r="F146" i="1"/>
  <c r="E146" i="1"/>
  <c r="D146" i="1"/>
  <c r="C146" i="1"/>
  <c r="G138" i="12"/>
  <c r="BB100" i="5"/>
  <c r="R100" i="5"/>
  <c r="G119" i="1"/>
  <c r="L117" i="5"/>
  <c r="O78" i="5"/>
  <c r="M78" i="5"/>
  <c r="J166" i="5"/>
  <c r="F166" i="5"/>
  <c r="L166" i="5"/>
  <c r="G158" i="13"/>
  <c r="D158" i="13"/>
  <c r="E159" i="12" s="1"/>
  <c r="G159" i="12" s="1"/>
  <c r="G72" i="13"/>
  <c r="L72" i="5" s="1"/>
  <c r="D72" i="13"/>
  <c r="E73" i="12" s="1"/>
  <c r="G73" i="12" s="1"/>
  <c r="F72" i="13"/>
  <c r="K73" i="12" s="1"/>
  <c r="M73" i="12" s="1"/>
  <c r="E72" i="13"/>
  <c r="H73" i="12" s="1"/>
  <c r="J73" i="12" s="1"/>
  <c r="G149" i="13"/>
  <c r="L149" i="5" s="1"/>
  <c r="E149" i="13"/>
  <c r="H150" i="12" s="1"/>
  <c r="J150" i="12" s="1"/>
  <c r="D149" i="13"/>
  <c r="E150" i="12" s="1"/>
  <c r="G150" i="12" s="1"/>
  <c r="F149" i="13"/>
  <c r="K150" i="12" s="1"/>
  <c r="M150" i="12" s="1"/>
  <c r="F135" i="5"/>
  <c r="D159" i="13"/>
  <c r="E160" i="12" s="1"/>
  <c r="G160" i="12" s="1"/>
  <c r="G159" i="13"/>
  <c r="F159" i="13"/>
  <c r="K160" i="12" s="1"/>
  <c r="M160" i="12" s="1"/>
  <c r="G154" i="12"/>
  <c r="BB147" i="5"/>
  <c r="O122" i="5"/>
  <c r="Q122" i="5"/>
  <c r="E89" i="1"/>
  <c r="E46" i="13"/>
  <c r="D46" i="13"/>
  <c r="G46" i="13"/>
  <c r="F46" i="13"/>
  <c r="N163" i="12"/>
  <c r="P163" i="12" s="1"/>
  <c r="T162" i="5"/>
  <c r="H135" i="5"/>
  <c r="BB96" i="5"/>
  <c r="R96" i="5"/>
  <c r="O108" i="5"/>
  <c r="AP89" i="5"/>
  <c r="AR89" i="5" s="1"/>
  <c r="AC89" i="5"/>
  <c r="AQ89" i="5"/>
  <c r="AQ65" i="5"/>
  <c r="AP65" i="5"/>
  <c r="AR65" i="5" s="1"/>
  <c r="AC65" i="5"/>
  <c r="F62" i="5"/>
  <c r="D64" i="1"/>
  <c r="BB33" i="5"/>
  <c r="R33" i="5"/>
  <c r="G32" i="13"/>
  <c r="F32" i="13"/>
  <c r="K33" i="12" s="1"/>
  <c r="M33" i="12" s="1"/>
  <c r="R25" i="5"/>
  <c r="BB25" i="5"/>
  <c r="N133" i="12"/>
  <c r="P133" i="12" s="1"/>
  <c r="L132" i="5"/>
  <c r="T132" i="5"/>
  <c r="C120" i="1"/>
  <c r="F120" i="1"/>
  <c r="G120" i="1"/>
  <c r="E120" i="1"/>
  <c r="D120" i="1"/>
  <c r="R60" i="5"/>
  <c r="BB60" i="5"/>
  <c r="AQ37" i="5"/>
  <c r="AP37" i="5"/>
  <c r="AR37" i="5" s="1"/>
  <c r="AC37" i="5"/>
  <c r="E117" i="12"/>
  <c r="G117" i="12" s="1"/>
  <c r="N116" i="5"/>
  <c r="K90" i="12"/>
  <c r="M90" i="12" s="1"/>
  <c r="J89" i="5"/>
  <c r="E69" i="13"/>
  <c r="H69" i="5" s="1"/>
  <c r="D69" i="13"/>
  <c r="F69" i="13"/>
  <c r="K70" i="12" s="1"/>
  <c r="M70" i="12" s="1"/>
  <c r="Q140" i="5"/>
  <c r="H106" i="12"/>
  <c r="J106" i="12" s="1"/>
  <c r="H105" i="5"/>
  <c r="L69" i="5"/>
  <c r="BB107" i="5"/>
  <c r="R107" i="5"/>
  <c r="AT69" i="5"/>
  <c r="N34" i="12"/>
  <c r="P34" i="12" s="1"/>
  <c r="L33" i="5"/>
  <c r="T33" i="5"/>
  <c r="H11" i="5"/>
  <c r="E13" i="1"/>
  <c r="L98" i="5"/>
  <c r="J98" i="5"/>
  <c r="E82" i="1"/>
  <c r="D82" i="1"/>
  <c r="C82" i="1"/>
  <c r="G82" i="1"/>
  <c r="F82" i="1"/>
  <c r="F61" i="1"/>
  <c r="E16" i="1"/>
  <c r="H14" i="5"/>
  <c r="K172" i="12"/>
  <c r="M172" i="12" s="1"/>
  <c r="J171" i="5"/>
  <c r="AQ26" i="5"/>
  <c r="AP26" i="5"/>
  <c r="AR26" i="5" s="1"/>
  <c r="AC26" i="5"/>
  <c r="D14" i="1"/>
  <c r="G14" i="1"/>
  <c r="F14" i="1"/>
  <c r="E14" i="1"/>
  <c r="C14" i="1"/>
  <c r="J86" i="5"/>
  <c r="F86" i="5"/>
  <c r="L86" i="5"/>
  <c r="H86" i="5"/>
  <c r="J38" i="12"/>
  <c r="L71" i="5"/>
  <c r="H71" i="5"/>
  <c r="J71" i="5"/>
  <c r="F71" i="5"/>
  <c r="Q38" i="5"/>
  <c r="O38" i="5"/>
  <c r="R77" i="5"/>
  <c r="BB77" i="5"/>
  <c r="O18" i="5"/>
  <c r="N190" i="9"/>
  <c r="G25" i="1"/>
  <c r="E25" i="1"/>
  <c r="D25" i="1"/>
  <c r="C25" i="1"/>
  <c r="F25" i="1"/>
  <c r="AB5" i="5"/>
  <c r="G189" i="10"/>
  <c r="F189" i="10"/>
  <c r="F81" i="10"/>
  <c r="G81" i="10"/>
  <c r="M71" i="5"/>
  <c r="L24" i="5"/>
  <c r="F24" i="5"/>
  <c r="E7" i="12"/>
  <c r="G7" i="12" s="1"/>
  <c r="F6" i="5"/>
  <c r="O56" i="5"/>
  <c r="P53" i="5"/>
  <c r="AX53" i="5"/>
  <c r="Q53" i="5"/>
  <c r="J15" i="5"/>
  <c r="F15" i="5"/>
  <c r="B5" i="1"/>
  <c r="J44" i="5"/>
  <c r="H44" i="5"/>
  <c r="F44" i="5"/>
  <c r="AQ41" i="5"/>
  <c r="AP41" i="5"/>
  <c r="AR41" i="5" s="1"/>
  <c r="AC41" i="5"/>
  <c r="M41" i="5"/>
  <c r="H9" i="5"/>
  <c r="L9" i="5"/>
  <c r="J9" i="5"/>
  <c r="J110" i="10"/>
  <c r="F39" i="10"/>
  <c r="Q160" i="9"/>
  <c r="M110" i="10"/>
  <c r="F154" i="10"/>
  <c r="F193" i="10"/>
  <c r="J135" i="10"/>
  <c r="N102" i="9"/>
  <c r="N93" i="9"/>
  <c r="N186" i="9"/>
  <c r="F97" i="10"/>
  <c r="Q137" i="9"/>
  <c r="Q18" i="9"/>
  <c r="N153" i="9"/>
  <c r="M28" i="10"/>
  <c r="M124" i="10"/>
  <c r="F92" i="10"/>
  <c r="N66" i="9"/>
  <c r="N175" i="9"/>
  <c r="F133" i="10"/>
  <c r="N132" i="9"/>
  <c r="N120" i="9"/>
  <c r="N69" i="9"/>
  <c r="R187" i="5"/>
  <c r="N8" i="7"/>
  <c r="N9" i="7" s="1"/>
  <c r="P194" i="5"/>
  <c r="I261" i="15"/>
  <c r="BD157" i="5" s="1"/>
  <c r="AD5" i="6"/>
  <c r="AQ76" i="5"/>
  <c r="I259" i="15"/>
  <c r="AV64" i="5" s="1"/>
  <c r="AR109" i="5"/>
  <c r="J60" i="5"/>
  <c r="F60" i="5"/>
  <c r="L60" i="5"/>
  <c r="H60" i="5"/>
  <c r="BB69" i="5"/>
  <c r="BB59" i="5"/>
  <c r="BC59" i="5"/>
  <c r="AT98" i="5"/>
  <c r="N80" i="5"/>
  <c r="AT80" i="5"/>
  <c r="F38" i="5"/>
  <c r="J38" i="5"/>
  <c r="H38" i="5"/>
  <c r="L38" i="5"/>
  <c r="AC24" i="5"/>
  <c r="AQ24" i="5"/>
  <c r="AP24" i="5"/>
  <c r="AR24" i="5" s="1"/>
  <c r="F92" i="5"/>
  <c r="L92" i="5"/>
  <c r="N7" i="12"/>
  <c r="P7" i="12" s="1"/>
  <c r="T6" i="5"/>
  <c r="L6" i="5"/>
  <c r="G32" i="1"/>
  <c r="E32" i="1"/>
  <c r="F32" i="1"/>
  <c r="D32" i="1"/>
  <c r="C32" i="1"/>
  <c r="AQ30" i="5"/>
  <c r="AC30" i="5"/>
  <c r="AP30" i="5"/>
  <c r="AR30" i="5" s="1"/>
  <c r="J64" i="10"/>
  <c r="F64" i="10"/>
  <c r="N164" i="9"/>
  <c r="N155" i="9"/>
  <c r="J40" i="10"/>
  <c r="F16" i="10"/>
  <c r="Q129" i="9"/>
  <c r="N53" i="9"/>
  <c r="N47" i="9"/>
  <c r="N104" i="5"/>
  <c r="R199" i="5"/>
  <c r="R105" i="5"/>
  <c r="N14" i="5"/>
  <c r="AR100" i="5"/>
  <c r="R85" i="5"/>
  <c r="AQ136" i="5"/>
  <c r="O8" i="7"/>
  <c r="O9" i="7" s="1"/>
  <c r="B15" i="15"/>
  <c r="B41" i="15" s="1"/>
  <c r="F10" i="15"/>
  <c r="E224" i="15"/>
  <c r="B224" i="15"/>
  <c r="F224" i="15"/>
  <c r="D224" i="15"/>
  <c r="C224" i="15"/>
  <c r="H224" i="15"/>
  <c r="G224" i="15"/>
  <c r="H237" i="15"/>
  <c r="G237" i="15"/>
  <c r="F237" i="15"/>
  <c r="C237" i="15"/>
  <c r="E237" i="15"/>
  <c r="B237" i="15"/>
  <c r="D237" i="15"/>
  <c r="G174" i="13"/>
  <c r="D208" i="15"/>
  <c r="H208" i="15"/>
  <c r="G208" i="15"/>
  <c r="B208" i="15"/>
  <c r="F208" i="15"/>
  <c r="E208" i="15"/>
  <c r="C208" i="15"/>
  <c r="E160" i="15"/>
  <c r="H160" i="15"/>
  <c r="G160" i="15"/>
  <c r="B160" i="15"/>
  <c r="F160" i="15"/>
  <c r="C160" i="15"/>
  <c r="D160" i="15"/>
  <c r="F42" i="15"/>
  <c r="H42" i="15" s="1"/>
  <c r="D250" i="15"/>
  <c r="H250" i="15"/>
  <c r="G250" i="15"/>
  <c r="E250" i="15"/>
  <c r="C250" i="15"/>
  <c r="B250" i="15"/>
  <c r="F250" i="15"/>
  <c r="N64" i="12"/>
  <c r="P64" i="12" s="1"/>
  <c r="T63" i="5"/>
  <c r="H198" i="15"/>
  <c r="G198" i="15"/>
  <c r="C198" i="15"/>
  <c r="B198" i="15"/>
  <c r="F198" i="15"/>
  <c r="E198" i="15"/>
  <c r="D198" i="15"/>
  <c r="H151" i="15"/>
  <c r="G151" i="15"/>
  <c r="C151" i="15"/>
  <c r="B151" i="15"/>
  <c r="F151" i="15"/>
  <c r="D151" i="15"/>
  <c r="E151" i="15"/>
  <c r="H132" i="12"/>
  <c r="J132" i="12" s="1"/>
  <c r="H131" i="5"/>
  <c r="E139" i="13"/>
  <c r="E111" i="12"/>
  <c r="G111" i="12" s="1"/>
  <c r="N110" i="5"/>
  <c r="H92" i="15"/>
  <c r="G92" i="15"/>
  <c r="F92" i="15"/>
  <c r="E92" i="15"/>
  <c r="D92" i="15"/>
  <c r="C92" i="15"/>
  <c r="B92" i="15"/>
  <c r="H169" i="15"/>
  <c r="F169" i="15"/>
  <c r="G169" i="15"/>
  <c r="E169" i="15"/>
  <c r="D169" i="15"/>
  <c r="C169" i="15"/>
  <c r="B169" i="15"/>
  <c r="G85" i="13"/>
  <c r="K29" i="12"/>
  <c r="M29" i="12" s="1"/>
  <c r="J28" i="5"/>
  <c r="J93" i="12"/>
  <c r="G61" i="15"/>
  <c r="F61" i="15"/>
  <c r="E61" i="15"/>
  <c r="H61" i="15"/>
  <c r="D61" i="15"/>
  <c r="C61" i="15"/>
  <c r="B61" i="15"/>
  <c r="G107" i="15"/>
  <c r="F107" i="15"/>
  <c r="E107" i="15"/>
  <c r="D107" i="15"/>
  <c r="C107" i="15"/>
  <c r="B107" i="15"/>
  <c r="H107" i="15"/>
  <c r="G66" i="15"/>
  <c r="F66" i="15"/>
  <c r="E66" i="15"/>
  <c r="H66" i="15"/>
  <c r="D66" i="15"/>
  <c r="C66" i="15"/>
  <c r="B66" i="15"/>
  <c r="K18" i="12"/>
  <c r="M18" i="12" s="1"/>
  <c r="J17" i="5"/>
  <c r="L187" i="5"/>
  <c r="F187" i="5"/>
  <c r="H187" i="5"/>
  <c r="J187" i="5"/>
  <c r="L188" i="5"/>
  <c r="F188" i="5"/>
  <c r="G193" i="1"/>
  <c r="E193" i="1"/>
  <c r="D193" i="1"/>
  <c r="C193" i="1"/>
  <c r="F193" i="1"/>
  <c r="D175" i="13"/>
  <c r="G175" i="13"/>
  <c r="F175" i="13"/>
  <c r="E175" i="13"/>
  <c r="O178" i="5"/>
  <c r="M178" i="5"/>
  <c r="O186" i="5"/>
  <c r="Q186" i="5"/>
  <c r="D165" i="13"/>
  <c r="G165" i="13"/>
  <c r="E165" i="13"/>
  <c r="P165" i="5" s="1"/>
  <c r="F165" i="13"/>
  <c r="F138" i="1"/>
  <c r="E138" i="1"/>
  <c r="D138" i="1"/>
  <c r="G138" i="1"/>
  <c r="C138" i="1"/>
  <c r="BB155" i="5"/>
  <c r="R155" i="5"/>
  <c r="Q165" i="5"/>
  <c r="AQ152" i="5"/>
  <c r="AC152" i="5"/>
  <c r="AP152" i="5"/>
  <c r="AR152" i="5" s="1"/>
  <c r="AB129" i="5"/>
  <c r="M129" i="5"/>
  <c r="O146" i="5"/>
  <c r="F161" i="5"/>
  <c r="H161" i="5"/>
  <c r="Q131" i="5"/>
  <c r="O131" i="5"/>
  <c r="AT152" i="5"/>
  <c r="H174" i="5"/>
  <c r="N143" i="12"/>
  <c r="P143" i="12" s="1"/>
  <c r="T142" i="5"/>
  <c r="M132" i="5"/>
  <c r="AB124" i="5"/>
  <c r="H124" i="5"/>
  <c r="F124" i="5"/>
  <c r="J124" i="5"/>
  <c r="O111" i="5"/>
  <c r="BB81" i="5"/>
  <c r="R81" i="5"/>
  <c r="F73" i="5"/>
  <c r="N138" i="12"/>
  <c r="P138" i="12" s="1"/>
  <c r="T137" i="5"/>
  <c r="O128" i="5"/>
  <c r="Q128" i="5"/>
  <c r="M117" i="5"/>
  <c r="O100" i="5"/>
  <c r="M100" i="5"/>
  <c r="E202" i="1"/>
  <c r="D202" i="1"/>
  <c r="C202" i="1"/>
  <c r="G202" i="1"/>
  <c r="F202" i="1"/>
  <c r="Q166" i="5"/>
  <c r="F167" i="13"/>
  <c r="K168" i="12" s="1"/>
  <c r="M168" i="12" s="1"/>
  <c r="D167" i="13"/>
  <c r="E168" i="12" s="1"/>
  <c r="G168" i="12" s="1"/>
  <c r="G167" i="13"/>
  <c r="L167" i="5" s="1"/>
  <c r="E167" i="13"/>
  <c r="H168" i="12" s="1"/>
  <c r="J168" i="12" s="1"/>
  <c r="Q167" i="5"/>
  <c r="H165" i="12"/>
  <c r="J165" i="12" s="1"/>
  <c r="H164" i="5"/>
  <c r="F150" i="1"/>
  <c r="E150" i="1"/>
  <c r="D150" i="1"/>
  <c r="G150" i="1"/>
  <c r="C150" i="1"/>
  <c r="F147" i="13"/>
  <c r="K148" i="12" s="1"/>
  <c r="M148" i="12" s="1"/>
  <c r="D147" i="13"/>
  <c r="E148" i="12" s="1"/>
  <c r="G148" i="12" s="1"/>
  <c r="L104" i="5"/>
  <c r="G106" i="1"/>
  <c r="E95" i="12"/>
  <c r="G95" i="12" s="1"/>
  <c r="F94" i="5"/>
  <c r="N94" i="5"/>
  <c r="D70" i="13"/>
  <c r="E70" i="13"/>
  <c r="G70" i="13"/>
  <c r="F70" i="13"/>
  <c r="D34" i="13"/>
  <c r="F34" i="13"/>
  <c r="G34" i="13"/>
  <c r="E34" i="13"/>
  <c r="G28" i="13"/>
  <c r="D28" i="13"/>
  <c r="D22" i="13"/>
  <c r="F22" i="13"/>
  <c r="M168" i="5"/>
  <c r="D87" i="13"/>
  <c r="F87" i="13"/>
  <c r="K88" i="12" s="1"/>
  <c r="M88" i="12" s="1"/>
  <c r="E87" i="13"/>
  <c r="H87" i="5" s="1"/>
  <c r="D137" i="1"/>
  <c r="C137" i="1"/>
  <c r="G137" i="1"/>
  <c r="F137" i="1"/>
  <c r="E137" i="1"/>
  <c r="O106" i="5"/>
  <c r="Q86" i="5"/>
  <c r="J12" i="5"/>
  <c r="L12" i="5"/>
  <c r="H12" i="5"/>
  <c r="F12" i="5"/>
  <c r="N117" i="12"/>
  <c r="P117" i="12" s="1"/>
  <c r="T116" i="5"/>
  <c r="F27" i="1"/>
  <c r="D27" i="1"/>
  <c r="E27" i="1"/>
  <c r="C27" i="1"/>
  <c r="G27" i="1"/>
  <c r="N106" i="12"/>
  <c r="P106" i="12" s="1"/>
  <c r="L105" i="5"/>
  <c r="T105" i="5"/>
  <c r="AB101" i="5"/>
  <c r="H95" i="5"/>
  <c r="AB108" i="5"/>
  <c r="L107" i="5"/>
  <c r="J107" i="5"/>
  <c r="H107" i="5"/>
  <c r="F107" i="5"/>
  <c r="L11" i="5"/>
  <c r="G13" i="1"/>
  <c r="D98" i="13"/>
  <c r="E99" i="12" s="1"/>
  <c r="G99" i="12" s="1"/>
  <c r="E98" i="13"/>
  <c r="H99" i="12" s="1"/>
  <c r="J99" i="12" s="1"/>
  <c r="BC80" i="5"/>
  <c r="BB80" i="5"/>
  <c r="R80" i="5"/>
  <c r="K40" i="12"/>
  <c r="M40" i="12" s="1"/>
  <c r="J39" i="5"/>
  <c r="J20" i="12"/>
  <c r="R150" i="5"/>
  <c r="BB150" i="5"/>
  <c r="BD150" i="5" s="1"/>
  <c r="H130" i="12"/>
  <c r="J130" i="12" s="1"/>
  <c r="P129" i="5"/>
  <c r="J81" i="12"/>
  <c r="AX57" i="5"/>
  <c r="AZ57" i="5" s="1"/>
  <c r="P57" i="5"/>
  <c r="L42" i="5"/>
  <c r="J32" i="12"/>
  <c r="AT38" i="5"/>
  <c r="N38" i="5"/>
  <c r="S2" i="11"/>
  <c r="J77" i="5"/>
  <c r="H77" i="5"/>
  <c r="F77" i="5"/>
  <c r="N181" i="9"/>
  <c r="F51" i="1"/>
  <c r="E51" i="1"/>
  <c r="C51" i="1"/>
  <c r="D51" i="1"/>
  <c r="G51" i="1"/>
  <c r="F65" i="10"/>
  <c r="M65" i="10"/>
  <c r="Q30" i="5"/>
  <c r="F24" i="13"/>
  <c r="K25" i="12" s="1"/>
  <c r="M25" i="12" s="1"/>
  <c r="E24" i="13"/>
  <c r="H25" i="12" s="1"/>
  <c r="J25" i="12" s="1"/>
  <c r="AT18" i="5"/>
  <c r="N18" i="5"/>
  <c r="M30" i="12"/>
  <c r="BB20" i="5"/>
  <c r="R20" i="5"/>
  <c r="AB56" i="5"/>
  <c r="L47" i="5"/>
  <c r="J47" i="5"/>
  <c r="H47" i="5"/>
  <c r="F47" i="5"/>
  <c r="AB27" i="5"/>
  <c r="E15" i="13"/>
  <c r="H16" i="12" s="1"/>
  <c r="J16" i="12" s="1"/>
  <c r="G15" i="13"/>
  <c r="F30" i="13"/>
  <c r="K31" i="12" s="1"/>
  <c r="M31" i="12" s="1"/>
  <c r="G30" i="13"/>
  <c r="D30" i="13"/>
  <c r="E31" i="12" s="1"/>
  <c r="G31" i="12" s="1"/>
  <c r="E30" i="13"/>
  <c r="H31" i="12" s="1"/>
  <c r="J31" i="12" s="1"/>
  <c r="N21" i="5"/>
  <c r="AT21" i="5"/>
  <c r="F142" i="10"/>
  <c r="G52" i="1"/>
  <c r="F52" i="1"/>
  <c r="E52" i="1"/>
  <c r="D52" i="1"/>
  <c r="C52" i="1"/>
  <c r="F171" i="10"/>
  <c r="J171" i="10"/>
  <c r="F196" i="10"/>
  <c r="J45" i="12"/>
  <c r="N22" i="9"/>
  <c r="J100" i="10"/>
  <c r="F100" i="10"/>
  <c r="M100" i="10"/>
  <c r="M125" i="10"/>
  <c r="J89" i="10"/>
  <c r="N148" i="9"/>
  <c r="N100" i="9"/>
  <c r="N52" i="9"/>
  <c r="M121" i="10"/>
  <c r="F195" i="10"/>
  <c r="M98" i="10"/>
  <c r="M183" i="10"/>
  <c r="N29" i="9"/>
  <c r="N54" i="9"/>
  <c r="F83" i="10"/>
  <c r="M27" i="10"/>
  <c r="Q89" i="9"/>
  <c r="M52" i="10"/>
  <c r="F161" i="10"/>
  <c r="F113" i="10"/>
  <c r="J124" i="10"/>
  <c r="N84" i="9"/>
  <c r="Q66" i="9"/>
  <c r="F88" i="10"/>
  <c r="N156" i="9"/>
  <c r="P103" i="5"/>
  <c r="L258" i="15"/>
  <c r="AQ157" i="5"/>
  <c r="AR198" i="5"/>
  <c r="AQ198" i="5"/>
  <c r="AQ110" i="5"/>
  <c r="AQ121" i="5"/>
  <c r="AQ133" i="5"/>
  <c r="AQ180" i="5"/>
  <c r="AQ183" i="5"/>
  <c r="AQ169" i="5"/>
  <c r="AQ145" i="5"/>
  <c r="AQ109" i="5"/>
  <c r="AR110" i="5"/>
  <c r="AQ90" i="5"/>
  <c r="AQ72" i="5"/>
  <c r="AQ52" i="5"/>
  <c r="AQ40" i="5"/>
  <c r="AQ73" i="5"/>
  <c r="AQ192" i="5"/>
  <c r="AQ139" i="5"/>
  <c r="AQ67" i="5"/>
  <c r="AQ13" i="5"/>
  <c r="AQ64" i="5"/>
  <c r="AR46" i="5"/>
  <c r="AQ78" i="5"/>
  <c r="AR64" i="5"/>
  <c r="AQ112" i="5"/>
  <c r="AQ103" i="5"/>
  <c r="AQ197" i="5"/>
  <c r="AQ105" i="5"/>
  <c r="AR169" i="5"/>
  <c r="AQ91" i="5"/>
  <c r="AQ6" i="5"/>
  <c r="AQ187" i="5"/>
  <c r="AQ79" i="5"/>
  <c r="AQ61" i="5"/>
  <c r="AQ29" i="5"/>
  <c r="AR180" i="5"/>
  <c r="AR90" i="5"/>
  <c r="AQ85" i="5"/>
  <c r="AR96" i="5"/>
  <c r="AR94" i="5"/>
  <c r="T74" i="15"/>
  <c r="T73" i="15"/>
  <c r="T72" i="15"/>
  <c r="T71" i="15"/>
  <c r="T70" i="15"/>
  <c r="AQ116" i="5"/>
  <c r="I262" i="15"/>
  <c r="J262" i="15" s="1"/>
  <c r="AD6" i="6"/>
  <c r="AR79" i="5"/>
  <c r="P22" i="5"/>
  <c r="T9" i="7"/>
  <c r="F14" i="15"/>
  <c r="AR34" i="5"/>
  <c r="T5" i="12"/>
  <c r="T4" i="12"/>
  <c r="W6" i="12"/>
  <c r="R79" i="5" l="1"/>
  <c r="P14" i="5"/>
  <c r="T22" i="5"/>
  <c r="P28" i="5"/>
  <c r="N45" i="12"/>
  <c r="P45" i="12" s="1"/>
  <c r="J188" i="5"/>
  <c r="AT106" i="5"/>
  <c r="P117" i="5"/>
  <c r="R61" i="5"/>
  <c r="L22" i="5"/>
  <c r="P101" i="5"/>
  <c r="BD192" i="5"/>
  <c r="AP73" i="5"/>
  <c r="AR73" i="5" s="1"/>
  <c r="AC73" i="5"/>
  <c r="L77" i="5"/>
  <c r="J161" i="5"/>
  <c r="AP184" i="5"/>
  <c r="AR184" i="5" s="1"/>
  <c r="R50" i="5"/>
  <c r="AT63" i="5"/>
  <c r="L8" i="5"/>
  <c r="J79" i="5"/>
  <c r="N44" i="5"/>
  <c r="J92" i="5"/>
  <c r="AC184" i="5"/>
  <c r="T9" i="5"/>
  <c r="AC15" i="5"/>
  <c r="AC18" i="5"/>
  <c r="F150" i="5"/>
  <c r="H117" i="5"/>
  <c r="N150" i="5"/>
  <c r="BD83" i="5"/>
  <c r="N194" i="5"/>
  <c r="L151" i="5"/>
  <c r="N98" i="5"/>
  <c r="BC107" i="5"/>
  <c r="F41" i="5"/>
  <c r="H102" i="5"/>
  <c r="L154" i="5"/>
  <c r="R54" i="5"/>
  <c r="J51" i="5"/>
  <c r="J176" i="5"/>
  <c r="H108" i="5"/>
  <c r="H191" i="5"/>
  <c r="AC50" i="5"/>
  <c r="J27" i="5"/>
  <c r="AC84" i="5"/>
  <c r="AP84" i="5"/>
  <c r="AR84" i="5" s="1"/>
  <c r="AP16" i="5"/>
  <c r="AR16" i="5" s="1"/>
  <c r="AC16" i="5"/>
  <c r="AQ166" i="5"/>
  <c r="F35" i="5"/>
  <c r="N155" i="12"/>
  <c r="P155" i="12" s="1"/>
  <c r="R16" i="5"/>
  <c r="J54" i="5"/>
  <c r="T77" i="5"/>
  <c r="J75" i="5"/>
  <c r="P42" i="5"/>
  <c r="N82" i="12"/>
  <c r="P82" i="12" s="1"/>
  <c r="T150" i="5"/>
  <c r="C4" i="1"/>
  <c r="F174" i="5"/>
  <c r="J41" i="5"/>
  <c r="AP132" i="5"/>
  <c r="AR132" i="5" s="1"/>
  <c r="F189" i="5"/>
  <c r="R63" i="5"/>
  <c r="L150" i="5"/>
  <c r="H73" i="5"/>
  <c r="R94" i="5"/>
  <c r="F98" i="5"/>
  <c r="AQ123" i="5"/>
  <c r="AQ173" i="5"/>
  <c r="N152" i="5"/>
  <c r="J24" i="5"/>
  <c r="BC60" i="5"/>
  <c r="AQ158" i="5"/>
  <c r="AP173" i="5"/>
  <c r="AR173" i="5" s="1"/>
  <c r="J106" i="5"/>
  <c r="N109" i="5"/>
  <c r="AP176" i="5"/>
  <c r="AR176" i="5" s="1"/>
  <c r="H90" i="5"/>
  <c r="J61" i="5"/>
  <c r="AC174" i="5"/>
  <c r="AI2" i="5"/>
  <c r="AP85" i="5"/>
  <c r="AR85" i="5" s="1"/>
  <c r="AC85" i="5"/>
  <c r="AP76" i="5"/>
  <c r="AR76" i="5" s="1"/>
  <c r="AC76" i="5"/>
  <c r="AP28" i="5"/>
  <c r="AR28" i="5" s="1"/>
  <c r="AC28" i="5"/>
  <c r="H188" i="5"/>
  <c r="H193" i="5"/>
  <c r="R27" i="5"/>
  <c r="N173" i="5"/>
  <c r="F126" i="5"/>
  <c r="B2" i="13"/>
  <c r="B54" i="15" s="1"/>
  <c r="AG3" i="11"/>
  <c r="AL3" i="11" s="1"/>
  <c r="W41" i="15" s="1"/>
  <c r="J138" i="5"/>
  <c r="AB3" i="5"/>
  <c r="AP136" i="5"/>
  <c r="AR136" i="5" s="1"/>
  <c r="AC136" i="5"/>
  <c r="R28" i="5"/>
  <c r="BC150" i="5"/>
  <c r="AU152" i="5"/>
  <c r="AU98" i="5"/>
  <c r="P174" i="5"/>
  <c r="AZ92" i="5"/>
  <c r="R12" i="5"/>
  <c r="BC37" i="5"/>
  <c r="BD39" i="5"/>
  <c r="AZ162" i="5"/>
  <c r="P148" i="5"/>
  <c r="F168" i="5"/>
  <c r="F190" i="5"/>
  <c r="BC78" i="5"/>
  <c r="P141" i="5"/>
  <c r="AP88" i="5"/>
  <c r="AR88" i="5" s="1"/>
  <c r="AC88" i="5"/>
  <c r="AC42" i="5"/>
  <c r="AP42" i="5"/>
  <c r="AR42" i="5" s="1"/>
  <c r="AP133" i="5"/>
  <c r="AR133" i="5" s="1"/>
  <c r="AC133" i="5"/>
  <c r="AC115" i="5"/>
  <c r="AP115" i="5"/>
  <c r="AR115" i="5" s="1"/>
  <c r="R147" i="5"/>
  <c r="BC100" i="5"/>
  <c r="BC43" i="5"/>
  <c r="BD99" i="5"/>
  <c r="AZ3" i="5"/>
  <c r="H85" i="5"/>
  <c r="J147" i="5"/>
  <c r="AZ171" i="5"/>
  <c r="M14" i="10"/>
  <c r="T53" i="5"/>
  <c r="AZ30" i="5"/>
  <c r="P8" i="7"/>
  <c r="P9" i="7" s="1"/>
  <c r="H79" i="5"/>
  <c r="P40" i="5"/>
  <c r="AV98" i="5"/>
  <c r="AV38" i="5"/>
  <c r="R141" i="5"/>
  <c r="AU38" i="5"/>
  <c r="BD59" i="5"/>
  <c r="N108" i="5"/>
  <c r="F177" i="5"/>
  <c r="BC141" i="5"/>
  <c r="BD20" i="5"/>
  <c r="R69" i="5"/>
  <c r="AY53" i="5"/>
  <c r="BC93" i="5"/>
  <c r="BD28" i="5"/>
  <c r="N54" i="12"/>
  <c r="P54" i="12" s="1"/>
  <c r="BD129" i="5"/>
  <c r="AZ150" i="5"/>
  <c r="AP52" i="5"/>
  <c r="AR52" i="5" s="1"/>
  <c r="AC52" i="5"/>
  <c r="AC192" i="5"/>
  <c r="AP192" i="5"/>
  <c r="AR192" i="5" s="1"/>
  <c r="BD51" i="5"/>
  <c r="BD43" i="5"/>
  <c r="BD102" i="5"/>
  <c r="AZ166" i="5"/>
  <c r="BC132" i="5"/>
  <c r="BC160" i="5"/>
  <c r="BC20" i="5"/>
  <c r="BD155" i="5"/>
  <c r="BD69" i="5"/>
  <c r="BD75" i="5"/>
  <c r="BC44" i="5"/>
  <c r="F31" i="5"/>
  <c r="BD57" i="5"/>
  <c r="AP167" i="5"/>
  <c r="AR167" i="5" s="1"/>
  <c r="AY166" i="5"/>
  <c r="H173" i="5"/>
  <c r="P26" i="5"/>
  <c r="P168" i="5"/>
  <c r="BC162" i="5"/>
  <c r="H186" i="5"/>
  <c r="F148" i="5"/>
  <c r="BD154" i="5"/>
  <c r="H195" i="5"/>
  <c r="R196" i="5"/>
  <c r="N181" i="5"/>
  <c r="BD112" i="5"/>
  <c r="F158" i="5"/>
  <c r="AC151" i="5"/>
  <c r="AP151" i="5"/>
  <c r="AR151" i="5" s="1"/>
  <c r="AP105" i="5"/>
  <c r="AR105" i="5" s="1"/>
  <c r="AC105" i="5"/>
  <c r="N36" i="5"/>
  <c r="BD36" i="5"/>
  <c r="BD32" i="5"/>
  <c r="AY57" i="5"/>
  <c r="AZ88" i="5"/>
  <c r="BD66" i="5"/>
  <c r="AQ132" i="5"/>
  <c r="AC167" i="5"/>
  <c r="R108" i="5"/>
  <c r="BD132" i="5"/>
  <c r="P151" i="5"/>
  <c r="AV122" i="5"/>
  <c r="AZ168" i="5"/>
  <c r="P49" i="5"/>
  <c r="BC124" i="5"/>
  <c r="BC77" i="5"/>
  <c r="BD12" i="5"/>
  <c r="BD187" i="5"/>
  <c r="BD16" i="5"/>
  <c r="AZ54" i="5"/>
  <c r="BC200" i="5"/>
  <c r="BD195" i="5"/>
  <c r="BD108" i="5"/>
  <c r="F99" i="5"/>
  <c r="AZ177" i="5"/>
  <c r="J68" i="5"/>
  <c r="J20" i="5"/>
  <c r="AZ51" i="5"/>
  <c r="AZ58" i="5"/>
  <c r="AY177" i="5"/>
  <c r="BC188" i="5"/>
  <c r="N54" i="5"/>
  <c r="AZ118" i="5"/>
  <c r="BC72" i="5"/>
  <c r="H149" i="5"/>
  <c r="BC114" i="5"/>
  <c r="N134" i="5"/>
  <c r="F27" i="5"/>
  <c r="I3" i="11"/>
  <c r="AE3" i="5" s="1"/>
  <c r="BD175" i="5"/>
  <c r="BC81" i="5"/>
  <c r="J174" i="5"/>
  <c r="H92" i="5"/>
  <c r="AZ196" i="5"/>
  <c r="BD25" i="5"/>
  <c r="BD178" i="5"/>
  <c r="H200" i="5"/>
  <c r="J181" i="5"/>
  <c r="BC2" i="5"/>
  <c r="H67" i="5"/>
  <c r="BD130" i="5"/>
  <c r="M15" i="10"/>
  <c r="BD101" i="5"/>
  <c r="H118" i="5"/>
  <c r="R158" i="5"/>
  <c r="R92" i="5"/>
  <c r="AZ74" i="5"/>
  <c r="AD3" i="5"/>
  <c r="F67" i="5"/>
  <c r="R174" i="5"/>
  <c r="T188" i="5"/>
  <c r="R118" i="5"/>
  <c r="H168" i="5"/>
  <c r="J15" i="10"/>
  <c r="AZ147" i="5"/>
  <c r="N124" i="5"/>
  <c r="P127" i="5"/>
  <c r="AC197" i="5"/>
  <c r="AP197" i="5"/>
  <c r="AR197" i="5" s="1"/>
  <c r="AC36" i="5"/>
  <c r="AP36" i="5"/>
  <c r="AR36" i="5" s="1"/>
  <c r="AY165" i="5"/>
  <c r="AZ167" i="5"/>
  <c r="BC174" i="5"/>
  <c r="BC63" i="5"/>
  <c r="J159" i="5"/>
  <c r="BD58" i="5"/>
  <c r="BC118" i="5"/>
  <c r="F72" i="5"/>
  <c r="BD6" i="5"/>
  <c r="F79" i="5"/>
  <c r="R177" i="5"/>
  <c r="AP112" i="5"/>
  <c r="AR112" i="5" s="1"/>
  <c r="AC112" i="5"/>
  <c r="AC10" i="5"/>
  <c r="AP10" i="5"/>
  <c r="AR10" i="5" s="1"/>
  <c r="AP43" i="5"/>
  <c r="AR43" i="5" s="1"/>
  <c r="AC43" i="5"/>
  <c r="K35" i="12"/>
  <c r="M35" i="12" s="1"/>
  <c r="J34" i="5"/>
  <c r="R34" i="5"/>
  <c r="AV152" i="5"/>
  <c r="N166" i="12"/>
  <c r="P166" i="12" s="1"/>
  <c r="L165" i="5"/>
  <c r="T165" i="5"/>
  <c r="N175" i="12"/>
  <c r="P175" i="12" s="1"/>
  <c r="T174" i="5"/>
  <c r="R59" i="5"/>
  <c r="AV139" i="5"/>
  <c r="H98" i="5"/>
  <c r="K47" i="12"/>
  <c r="M47" i="12" s="1"/>
  <c r="R46" i="5"/>
  <c r="J46" i="5"/>
  <c r="BD100" i="5"/>
  <c r="R152" i="5"/>
  <c r="BC152" i="5"/>
  <c r="BB152" i="5"/>
  <c r="BD152" i="5" s="1"/>
  <c r="R15" i="5"/>
  <c r="BC15" i="5"/>
  <c r="BB15" i="5"/>
  <c r="BD15" i="5" s="1"/>
  <c r="BD24" i="5"/>
  <c r="AQ33" i="5"/>
  <c r="AP33" i="5"/>
  <c r="AR33" i="5" s="1"/>
  <c r="AC33" i="5"/>
  <c r="E53" i="12"/>
  <c r="G53" i="12" s="1"/>
  <c r="F52" i="5"/>
  <c r="N52" i="5"/>
  <c r="N157" i="12"/>
  <c r="P157" i="12" s="1"/>
  <c r="T156" i="5"/>
  <c r="AT183" i="5"/>
  <c r="AV183" i="5" s="1"/>
  <c r="N183" i="5"/>
  <c r="AU183" i="5"/>
  <c r="K92" i="12"/>
  <c r="M92" i="12" s="1"/>
  <c r="R91" i="5"/>
  <c r="AU8" i="5"/>
  <c r="AU23" i="5"/>
  <c r="N23" i="5"/>
  <c r="AT23" i="5"/>
  <c r="AV23" i="5" s="1"/>
  <c r="AQ106" i="5"/>
  <c r="AC106" i="5"/>
  <c r="AP106" i="5"/>
  <c r="AR106" i="5" s="1"/>
  <c r="P99" i="5"/>
  <c r="BC144" i="5"/>
  <c r="AV185" i="5"/>
  <c r="K187" i="12"/>
  <c r="M187" i="12" s="1"/>
  <c r="J186" i="5"/>
  <c r="BD54" i="5"/>
  <c r="AT43" i="5"/>
  <c r="AV43" i="5" s="1"/>
  <c r="AU43" i="5"/>
  <c r="N43" i="5"/>
  <c r="BC104" i="5"/>
  <c r="R104" i="5"/>
  <c r="BB104" i="5"/>
  <c r="BD104" i="5" s="1"/>
  <c r="BC143" i="5"/>
  <c r="BB143" i="5"/>
  <c r="BD143" i="5" s="1"/>
  <c r="R143" i="5"/>
  <c r="J93" i="5"/>
  <c r="AQ164" i="5"/>
  <c r="AC164" i="5"/>
  <c r="AP164" i="5"/>
  <c r="AR164" i="5" s="1"/>
  <c r="AU53" i="5"/>
  <c r="K65" i="12"/>
  <c r="M65" i="12" s="1"/>
  <c r="J64" i="5"/>
  <c r="R64" i="5"/>
  <c r="H97" i="5"/>
  <c r="AU61" i="5"/>
  <c r="AT61" i="5"/>
  <c r="AV61" i="5" s="1"/>
  <c r="N61" i="5"/>
  <c r="AC114" i="5"/>
  <c r="AQ114" i="5"/>
  <c r="AP114" i="5"/>
  <c r="AR114" i="5" s="1"/>
  <c r="AY41" i="5"/>
  <c r="R168" i="5"/>
  <c r="BC159" i="5"/>
  <c r="BB159" i="5"/>
  <c r="BD159" i="5" s="1"/>
  <c r="R159" i="5"/>
  <c r="AZ198" i="5"/>
  <c r="AZ144" i="5"/>
  <c r="AU189" i="5"/>
  <c r="N11" i="5"/>
  <c r="AU11" i="5"/>
  <c r="AT11" i="5"/>
  <c r="AV11" i="5" s="1"/>
  <c r="BC45" i="5"/>
  <c r="BB45" i="5"/>
  <c r="BD45" i="5" s="1"/>
  <c r="R45" i="5"/>
  <c r="H83" i="12"/>
  <c r="J83" i="12" s="1"/>
  <c r="H82" i="5"/>
  <c r="P82" i="5"/>
  <c r="N97" i="12"/>
  <c r="P97" i="12" s="1"/>
  <c r="T96" i="5"/>
  <c r="P85" i="5"/>
  <c r="AX85" i="5"/>
  <c r="AZ85" i="5" s="1"/>
  <c r="AY85" i="5"/>
  <c r="AQ160" i="5"/>
  <c r="AP160" i="5"/>
  <c r="AR160" i="5" s="1"/>
  <c r="AC160" i="5"/>
  <c r="N140" i="5"/>
  <c r="AP138" i="5"/>
  <c r="AR138" i="5" s="1"/>
  <c r="AC138" i="5"/>
  <c r="AQ138" i="5"/>
  <c r="AX200" i="5"/>
  <c r="AZ200" i="5" s="1"/>
  <c r="AY200" i="5"/>
  <c r="P200" i="5"/>
  <c r="F96" i="5"/>
  <c r="AU170" i="5"/>
  <c r="AP120" i="5"/>
  <c r="AR120" i="5" s="1"/>
  <c r="AC120" i="5"/>
  <c r="AQ120" i="5"/>
  <c r="AZ190" i="5"/>
  <c r="AZ103" i="5"/>
  <c r="AZ189" i="5"/>
  <c r="AP47" i="5"/>
  <c r="AR47" i="5" s="1"/>
  <c r="AQ47" i="5"/>
  <c r="AC47" i="5"/>
  <c r="R18" i="5"/>
  <c r="AY25" i="5"/>
  <c r="BC135" i="5"/>
  <c r="E126" i="12"/>
  <c r="G126" i="12" s="1"/>
  <c r="F125" i="5"/>
  <c r="N125" i="5"/>
  <c r="E181" i="12"/>
  <c r="G181" i="12" s="1"/>
  <c r="F180" i="5"/>
  <c r="N180" i="5"/>
  <c r="AZ46" i="5"/>
  <c r="AZ163" i="5"/>
  <c r="N56" i="5"/>
  <c r="AX63" i="5"/>
  <c r="AZ63" i="5" s="1"/>
  <c r="AY63" i="5"/>
  <c r="P63" i="5"/>
  <c r="BD11" i="5"/>
  <c r="AZ55" i="5"/>
  <c r="BC90" i="5"/>
  <c r="AY149" i="5"/>
  <c r="AX149" i="5"/>
  <c r="AZ149" i="5" s="1"/>
  <c r="P149" i="5"/>
  <c r="E162" i="12"/>
  <c r="G162" i="12" s="1"/>
  <c r="N161" i="5"/>
  <c r="AV115" i="5"/>
  <c r="N12" i="5"/>
  <c r="P65" i="5"/>
  <c r="AY65" i="5"/>
  <c r="AX65" i="5"/>
  <c r="AZ65" i="5" s="1"/>
  <c r="N11" i="12"/>
  <c r="P11" i="12" s="1"/>
  <c r="L10" i="5"/>
  <c r="T10" i="5"/>
  <c r="AU200" i="5"/>
  <c r="BC87" i="5"/>
  <c r="N174" i="12"/>
  <c r="P174" i="12" s="1"/>
  <c r="T173" i="5"/>
  <c r="L173" i="5"/>
  <c r="N158" i="12"/>
  <c r="P158" i="12" s="1"/>
  <c r="T157" i="5"/>
  <c r="L157" i="5"/>
  <c r="P197" i="5"/>
  <c r="AY197" i="5"/>
  <c r="AX197" i="5"/>
  <c r="AZ197" i="5" s="1"/>
  <c r="P50" i="5"/>
  <c r="P126" i="5"/>
  <c r="AX137" i="5"/>
  <c r="AZ137" i="5" s="1"/>
  <c r="AY137" i="5"/>
  <c r="P137" i="5"/>
  <c r="P193" i="5"/>
  <c r="AX193" i="5"/>
  <c r="AZ193" i="5" s="1"/>
  <c r="AY193" i="5"/>
  <c r="B6" i="16"/>
  <c r="F16" i="3"/>
  <c r="N30" i="5"/>
  <c r="P23" i="5"/>
  <c r="AY23" i="5"/>
  <c r="AX23" i="5"/>
  <c r="AZ23" i="5" s="1"/>
  <c r="E258" i="15"/>
  <c r="AQ2" i="5"/>
  <c r="AP2" i="5"/>
  <c r="AR2" i="5" s="1"/>
  <c r="AC2" i="5"/>
  <c r="AZ86" i="5"/>
  <c r="AV106" i="5"/>
  <c r="AZ99" i="5"/>
  <c r="BC142" i="5"/>
  <c r="BC108" i="5"/>
  <c r="BD160" i="5"/>
  <c r="BC54" i="5"/>
  <c r="BC49" i="5"/>
  <c r="BB49" i="5"/>
  <c r="BD49" i="5" s="1"/>
  <c r="R49" i="5"/>
  <c r="P43" i="5"/>
  <c r="AY43" i="5"/>
  <c r="AX43" i="5"/>
  <c r="AZ43" i="5" s="1"/>
  <c r="P104" i="5"/>
  <c r="AY104" i="5"/>
  <c r="AX104" i="5"/>
  <c r="AZ104" i="5" s="1"/>
  <c r="AT164" i="5"/>
  <c r="AV164" i="5" s="1"/>
  <c r="AU164" i="5"/>
  <c r="N164" i="5"/>
  <c r="AY195" i="5"/>
  <c r="AV53" i="5"/>
  <c r="H65" i="12"/>
  <c r="J65" i="12" s="1"/>
  <c r="H64" i="5"/>
  <c r="P64" i="5"/>
  <c r="AU148" i="5"/>
  <c r="N148" i="5"/>
  <c r="AT148" i="5"/>
  <c r="AV148" i="5" s="1"/>
  <c r="BD126" i="5"/>
  <c r="AX61" i="5"/>
  <c r="AZ61" i="5" s="1"/>
  <c r="AY61" i="5"/>
  <c r="P61" i="5"/>
  <c r="BC168" i="5"/>
  <c r="N42" i="12"/>
  <c r="P42" i="12" s="1"/>
  <c r="T41" i="5"/>
  <c r="AU75" i="5"/>
  <c r="AT75" i="5"/>
  <c r="AV75" i="5" s="1"/>
  <c r="N75" i="5"/>
  <c r="BD55" i="5"/>
  <c r="R72" i="5"/>
  <c r="F130" i="5"/>
  <c r="K83" i="12"/>
  <c r="M83" i="12" s="1"/>
  <c r="J82" i="5"/>
  <c r="R82" i="5"/>
  <c r="J91" i="5"/>
  <c r="N174" i="5"/>
  <c r="AU174" i="5"/>
  <c r="AT174" i="5"/>
  <c r="AV174" i="5" s="1"/>
  <c r="R185" i="5"/>
  <c r="BC185" i="5"/>
  <c r="BB185" i="5"/>
  <c r="BD185" i="5" s="1"/>
  <c r="P188" i="5"/>
  <c r="AY188" i="5"/>
  <c r="AX188" i="5"/>
  <c r="AZ188" i="5" s="1"/>
  <c r="AC12" i="5"/>
  <c r="AQ12" i="5"/>
  <c r="AP12" i="5"/>
  <c r="AR12" i="5" s="1"/>
  <c r="AZ107" i="5"/>
  <c r="AU140" i="5"/>
  <c r="BD148" i="5"/>
  <c r="H72" i="5"/>
  <c r="BD162" i="5"/>
  <c r="AY190" i="5"/>
  <c r="AZ199" i="5"/>
  <c r="BD194" i="5"/>
  <c r="H193" i="12"/>
  <c r="J193" i="12" s="1"/>
  <c r="H192" i="5"/>
  <c r="P192" i="5"/>
  <c r="E41" i="12"/>
  <c r="G41" i="12" s="1"/>
  <c r="F40" i="5"/>
  <c r="N40" i="5"/>
  <c r="AP150" i="5"/>
  <c r="AR150" i="5" s="1"/>
  <c r="AQ150" i="5"/>
  <c r="AC150" i="5"/>
  <c r="J118" i="5"/>
  <c r="N127" i="12"/>
  <c r="P127" i="12" s="1"/>
  <c r="T126" i="5"/>
  <c r="BD172" i="5"/>
  <c r="H181" i="12"/>
  <c r="J181" i="12" s="1"/>
  <c r="H180" i="5"/>
  <c r="P180" i="5"/>
  <c r="AZ121" i="5"/>
  <c r="BC3" i="5"/>
  <c r="BB3" i="5"/>
  <c r="BD3" i="5" s="1"/>
  <c r="AV56" i="5"/>
  <c r="AU25" i="5"/>
  <c r="AT25" i="5"/>
  <c r="AV25" i="5" s="1"/>
  <c r="N25" i="5"/>
  <c r="AY55" i="5"/>
  <c r="R149" i="5"/>
  <c r="BC149" i="5"/>
  <c r="BB149" i="5"/>
  <c r="BD149" i="5" s="1"/>
  <c r="N68" i="12"/>
  <c r="P68" i="12" s="1"/>
  <c r="T67" i="5"/>
  <c r="J21" i="5"/>
  <c r="AV12" i="5"/>
  <c r="R65" i="5"/>
  <c r="BC65" i="5"/>
  <c r="BB65" i="5"/>
  <c r="BD65" i="5" s="1"/>
  <c r="AV200" i="5"/>
  <c r="AY110" i="5"/>
  <c r="AX110" i="5"/>
  <c r="AZ110" i="5" s="1"/>
  <c r="P110" i="5"/>
  <c r="AV181" i="5"/>
  <c r="E158" i="12"/>
  <c r="G158" i="12" s="1"/>
  <c r="F157" i="5"/>
  <c r="N157" i="5"/>
  <c r="AZ50" i="5"/>
  <c r="AZ80" i="5"/>
  <c r="H35" i="5"/>
  <c r="AU135" i="5"/>
  <c r="AT135" i="5"/>
  <c r="AV135" i="5" s="1"/>
  <c r="N135" i="5"/>
  <c r="AY126" i="5"/>
  <c r="R137" i="5"/>
  <c r="BB137" i="5"/>
  <c r="BD137" i="5" s="1"/>
  <c r="BC137" i="5"/>
  <c r="AX181" i="5"/>
  <c r="AZ181" i="5" s="1"/>
  <c r="AY181" i="5"/>
  <c r="P181" i="5"/>
  <c r="AV133" i="5"/>
  <c r="N16" i="12"/>
  <c r="P16" i="12" s="1"/>
  <c r="T15" i="5"/>
  <c r="AP108" i="5"/>
  <c r="AR108" i="5" s="1"/>
  <c r="AC108" i="5"/>
  <c r="AQ108" i="5"/>
  <c r="H88" i="12"/>
  <c r="J88" i="12" s="1"/>
  <c r="P87" i="5"/>
  <c r="K71" i="12"/>
  <c r="M71" i="12" s="1"/>
  <c r="J70" i="5"/>
  <c r="R70" i="5"/>
  <c r="AC124" i="5"/>
  <c r="AP124" i="5"/>
  <c r="AR124" i="5" s="1"/>
  <c r="AQ124" i="5"/>
  <c r="BC131" i="5"/>
  <c r="BB131" i="5"/>
  <c r="BD131" i="5" s="1"/>
  <c r="R131" i="5"/>
  <c r="BC186" i="5"/>
  <c r="R186" i="5"/>
  <c r="BB186" i="5"/>
  <c r="BD186" i="5" s="1"/>
  <c r="L261" i="15"/>
  <c r="K261" i="15"/>
  <c r="BD198" i="5"/>
  <c r="BC169" i="5"/>
  <c r="BC151" i="5"/>
  <c r="BC139" i="5"/>
  <c r="BC103" i="5"/>
  <c r="BC198" i="5"/>
  <c r="BD133" i="5"/>
  <c r="BC115" i="5"/>
  <c r="BC127" i="5"/>
  <c r="BD169" i="5"/>
  <c r="BD151" i="5"/>
  <c r="BD139" i="5"/>
  <c r="BD52" i="5"/>
  <c r="BC40" i="5"/>
  <c r="BC19" i="5"/>
  <c r="BC52" i="5"/>
  <c r="BC42" i="5"/>
  <c r="BD64" i="5"/>
  <c r="BC73" i="5"/>
  <c r="BD14" i="5"/>
  <c r="BC109" i="5"/>
  <c r="BD76" i="5"/>
  <c r="BC67" i="5"/>
  <c r="BC13" i="5"/>
  <c r="BC145" i="5"/>
  <c r="BD88" i="5"/>
  <c r="BC76" i="5"/>
  <c r="BC64" i="5"/>
  <c r="BC14" i="5"/>
  <c r="BC121" i="5"/>
  <c r="BC163" i="5"/>
  <c r="BC133" i="5"/>
  <c r="BC99" i="5"/>
  <c r="BD40" i="5"/>
  <c r="BC88" i="5"/>
  <c r="BC10" i="5"/>
  <c r="BC199" i="5"/>
  <c r="BD73" i="5"/>
  <c r="BD67" i="5"/>
  <c r="BC16" i="5"/>
  <c r="BD180" i="5"/>
  <c r="BC46" i="5"/>
  <c r="BC187" i="5"/>
  <c r="BC196" i="5"/>
  <c r="BD85" i="5"/>
  <c r="BD34" i="5"/>
  <c r="BC28" i="5"/>
  <c r="BD13" i="5"/>
  <c r="BD94" i="5"/>
  <c r="BD145" i="5"/>
  <c r="BC192" i="5"/>
  <c r="BC94" i="5"/>
  <c r="BC180" i="5"/>
  <c r="BD115" i="5"/>
  <c r="BD46" i="5"/>
  <c r="BD109" i="5"/>
  <c r="BC194" i="5"/>
  <c r="BD103" i="5"/>
  <c r="BC22" i="5"/>
  <c r="BD105" i="5"/>
  <c r="BC26" i="5"/>
  <c r="BC82" i="5"/>
  <c r="BC85" i="5"/>
  <c r="BC175" i="5"/>
  <c r="BC79" i="5"/>
  <c r="BD19" i="5"/>
  <c r="BC34" i="5"/>
  <c r="BC190" i="5"/>
  <c r="BC157" i="5"/>
  <c r="BD61" i="5"/>
  <c r="BC36" i="5"/>
  <c r="BC136" i="5"/>
  <c r="BC105" i="5"/>
  <c r="BD70" i="5"/>
  <c r="BD82" i="5"/>
  <c r="BC58" i="5"/>
  <c r="BC91" i="5"/>
  <c r="BD163" i="5"/>
  <c r="BD127" i="5"/>
  <c r="BD4" i="5"/>
  <c r="BD42" i="5"/>
  <c r="BC61" i="5"/>
  <c r="BC70" i="5"/>
  <c r="BC4" i="5"/>
  <c r="BD199" i="5"/>
  <c r="J59" i="5"/>
  <c r="BD60" i="5"/>
  <c r="BC25" i="5"/>
  <c r="E47" i="12"/>
  <c r="G47" i="12" s="1"/>
  <c r="N46" i="5"/>
  <c r="F46" i="5"/>
  <c r="H166" i="5"/>
  <c r="BC75" i="5"/>
  <c r="AU177" i="5"/>
  <c r="AT177" i="5"/>
  <c r="AV177" i="5" s="1"/>
  <c r="N177" i="5"/>
  <c r="AP181" i="5"/>
  <c r="AR181" i="5" s="1"/>
  <c r="AC181" i="5"/>
  <c r="AQ181" i="5"/>
  <c r="R24" i="5"/>
  <c r="BC51" i="5"/>
  <c r="K53" i="12"/>
  <c r="M53" i="12" s="1"/>
  <c r="J52" i="5"/>
  <c r="R52" i="5"/>
  <c r="J200" i="5"/>
  <c r="AZ165" i="5"/>
  <c r="AV30" i="5"/>
  <c r="AV24" i="5"/>
  <c r="AH2" i="11"/>
  <c r="AE2" i="5"/>
  <c r="M2" i="11"/>
  <c r="AY86" i="5"/>
  <c r="AU106" i="5"/>
  <c r="AY99" i="5"/>
  <c r="BD144" i="5"/>
  <c r="AP153" i="5"/>
  <c r="AR153" i="5" s="1"/>
  <c r="AQ153" i="5"/>
  <c r="AC153" i="5"/>
  <c r="AP57" i="5"/>
  <c r="AR57" i="5" s="1"/>
  <c r="AQ57" i="5"/>
  <c r="AC57" i="5"/>
  <c r="BC119" i="5"/>
  <c r="BB119" i="5"/>
  <c r="BD119" i="5" s="1"/>
  <c r="R119" i="5"/>
  <c r="AU176" i="5"/>
  <c r="N128" i="12"/>
  <c r="P128" i="12" s="1"/>
  <c r="T127" i="5"/>
  <c r="L127" i="5"/>
  <c r="AP199" i="5"/>
  <c r="AR199" i="5" s="1"/>
  <c r="AC199" i="5"/>
  <c r="AQ199" i="5"/>
  <c r="BD63" i="5"/>
  <c r="N13" i="12"/>
  <c r="P13" i="12" s="1"/>
  <c r="T12" i="5"/>
  <c r="N65" i="12"/>
  <c r="P65" i="12" s="1"/>
  <c r="T64" i="5"/>
  <c r="L64" i="5"/>
  <c r="AQ148" i="5"/>
  <c r="AC148" i="5"/>
  <c r="AP148" i="5"/>
  <c r="AR148" i="5" s="1"/>
  <c r="BC126" i="5"/>
  <c r="AT79" i="5"/>
  <c r="AV79" i="5" s="1"/>
  <c r="N79" i="5"/>
  <c r="AU79" i="5"/>
  <c r="J167" i="5"/>
  <c r="AP75" i="5"/>
  <c r="AR75" i="5" s="1"/>
  <c r="AC75" i="5"/>
  <c r="AQ75" i="5"/>
  <c r="F83" i="5"/>
  <c r="R41" i="5"/>
  <c r="BC41" i="5"/>
  <c r="BB41" i="5"/>
  <c r="BD41" i="5" s="1"/>
  <c r="AV15" i="5"/>
  <c r="AQ45" i="5"/>
  <c r="AP45" i="5"/>
  <c r="AR45" i="5" s="1"/>
  <c r="AC45" i="5"/>
  <c r="BC55" i="5"/>
  <c r="BD72" i="5"/>
  <c r="R171" i="5"/>
  <c r="BC171" i="5"/>
  <c r="BB171" i="5"/>
  <c r="BD171" i="5" s="1"/>
  <c r="P185" i="5"/>
  <c r="AY185" i="5"/>
  <c r="AX185" i="5"/>
  <c r="AZ185" i="5" s="1"/>
  <c r="AT188" i="5"/>
  <c r="AV188" i="5" s="1"/>
  <c r="N188" i="5"/>
  <c r="AU188" i="5"/>
  <c r="AU51" i="5"/>
  <c r="AT51" i="5"/>
  <c r="AV51" i="5" s="1"/>
  <c r="N51" i="5"/>
  <c r="AV140" i="5"/>
  <c r="BC148" i="5"/>
  <c r="AU143" i="5"/>
  <c r="AP93" i="5"/>
  <c r="AR93" i="5" s="1"/>
  <c r="AQ93" i="5"/>
  <c r="AC93" i="5"/>
  <c r="AY199" i="5"/>
  <c r="AQ162" i="5"/>
  <c r="AC162" i="5"/>
  <c r="AP162" i="5"/>
  <c r="AR162" i="5" s="1"/>
  <c r="E193" i="12"/>
  <c r="G193" i="12" s="1"/>
  <c r="F192" i="5"/>
  <c r="N192" i="5"/>
  <c r="AZ25" i="5"/>
  <c r="K74" i="12"/>
  <c r="M74" i="12" s="1"/>
  <c r="R73" i="5"/>
  <c r="N126" i="12"/>
  <c r="P126" i="12" s="1"/>
  <c r="T125" i="5"/>
  <c r="L125" i="5"/>
  <c r="N57" i="12"/>
  <c r="P57" i="12" s="1"/>
  <c r="T56" i="5"/>
  <c r="AQ25" i="5"/>
  <c r="AP25" i="5"/>
  <c r="AR25" i="5" s="1"/>
  <c r="AC25" i="5"/>
  <c r="AQ143" i="5"/>
  <c r="AP143" i="5"/>
  <c r="AR143" i="5" s="1"/>
  <c r="AC143" i="5"/>
  <c r="BC182" i="5"/>
  <c r="E3" i="12"/>
  <c r="G3" i="12" s="1"/>
  <c r="N2" i="5"/>
  <c r="Y2" i="15"/>
  <c r="N54" i="15"/>
  <c r="P54" i="15" s="1"/>
  <c r="E13" i="10"/>
  <c r="J18" i="5"/>
  <c r="AT55" i="5"/>
  <c r="AV55" i="5" s="1"/>
  <c r="N55" i="5"/>
  <c r="AU55" i="5"/>
  <c r="AU12" i="5"/>
  <c r="AX89" i="5"/>
  <c r="AZ89" i="5" s="1"/>
  <c r="P89" i="5"/>
  <c r="AY89" i="5"/>
  <c r="N200" i="5"/>
  <c r="BC110" i="5"/>
  <c r="BB110" i="5"/>
  <c r="BD110" i="5" s="1"/>
  <c r="R110" i="5"/>
  <c r="AU181" i="5"/>
  <c r="H164" i="12"/>
  <c r="J164" i="12" s="1"/>
  <c r="H163" i="5"/>
  <c r="P163" i="5"/>
  <c r="AY50" i="5"/>
  <c r="AY80" i="5"/>
  <c r="AP135" i="5"/>
  <c r="AR135" i="5" s="1"/>
  <c r="AC135" i="5"/>
  <c r="AQ135" i="5"/>
  <c r="H84" i="5"/>
  <c r="R181" i="5"/>
  <c r="BC181" i="5"/>
  <c r="BB181" i="5"/>
  <c r="BD181" i="5" s="1"/>
  <c r="AZ127" i="5"/>
  <c r="AZ36" i="5"/>
  <c r="AY111" i="5"/>
  <c r="AX111" i="5"/>
  <c r="AZ111" i="5" s="1"/>
  <c r="P111" i="5"/>
  <c r="AP165" i="5"/>
  <c r="AR165" i="5" s="1"/>
  <c r="AC165" i="5"/>
  <c r="AQ165" i="5"/>
  <c r="AY160" i="5"/>
  <c r="AX160" i="5"/>
  <c r="AZ160" i="5" s="1"/>
  <c r="P160" i="5"/>
  <c r="E116" i="12"/>
  <c r="G116" i="12" s="1"/>
  <c r="F115" i="5"/>
  <c r="N115" i="5"/>
  <c r="N31" i="12"/>
  <c r="P31" i="12" s="1"/>
  <c r="T30" i="5"/>
  <c r="R166" i="5"/>
  <c r="BB166" i="5"/>
  <c r="BD166" i="5" s="1"/>
  <c r="BC166" i="5"/>
  <c r="AY131" i="5"/>
  <c r="AX131" i="5"/>
  <c r="AZ131" i="5" s="1"/>
  <c r="P131" i="5"/>
  <c r="BB165" i="5"/>
  <c r="BD165" i="5" s="1"/>
  <c r="BC165" i="5"/>
  <c r="R165" i="5"/>
  <c r="E166" i="12"/>
  <c r="G166" i="12" s="1"/>
  <c r="F165" i="5"/>
  <c r="N86" i="12"/>
  <c r="P86" i="12" s="1"/>
  <c r="T85" i="5"/>
  <c r="AY56" i="5"/>
  <c r="AX56" i="5"/>
  <c r="AZ56" i="5" s="1"/>
  <c r="P56" i="5"/>
  <c r="AQ5" i="5"/>
  <c r="AP5" i="5"/>
  <c r="AR5" i="5" s="1"/>
  <c r="N160" i="12"/>
  <c r="P160" i="12" s="1"/>
  <c r="T159" i="5"/>
  <c r="N159" i="12"/>
  <c r="P159" i="12" s="1"/>
  <c r="T158" i="5"/>
  <c r="P152" i="5"/>
  <c r="AY152" i="5"/>
  <c r="AX152" i="5"/>
  <c r="AZ152" i="5" s="1"/>
  <c r="N33" i="5"/>
  <c r="AT33" i="5"/>
  <c r="AV33" i="5" s="1"/>
  <c r="AU33" i="5"/>
  <c r="H53" i="12"/>
  <c r="J53" i="12" s="1"/>
  <c r="H52" i="5"/>
  <c r="P52" i="5"/>
  <c r="P183" i="5"/>
  <c r="AY183" i="5"/>
  <c r="AX183" i="5"/>
  <c r="AZ183" i="5" s="1"/>
  <c r="N186" i="12"/>
  <c r="P186" i="12" s="1"/>
  <c r="T185" i="5"/>
  <c r="AV18" i="5"/>
  <c r="N71" i="12"/>
  <c r="P71" i="12" s="1"/>
  <c r="L70" i="5"/>
  <c r="T70" i="5"/>
  <c r="AT132" i="5"/>
  <c r="AV132" i="5" s="1"/>
  <c r="N132" i="5"/>
  <c r="AU132" i="5"/>
  <c r="AY186" i="5"/>
  <c r="AX186" i="5"/>
  <c r="AZ186" i="5" s="1"/>
  <c r="P186" i="5"/>
  <c r="F30" i="5"/>
  <c r="AY38" i="5"/>
  <c r="AX38" i="5"/>
  <c r="AZ38" i="5" s="1"/>
  <c r="P38" i="5"/>
  <c r="BC140" i="5"/>
  <c r="R140" i="5"/>
  <c r="BB140" i="5"/>
  <c r="BD140" i="5" s="1"/>
  <c r="H47" i="12"/>
  <c r="J47" i="12" s="1"/>
  <c r="H46" i="5"/>
  <c r="P46" i="5"/>
  <c r="AP177" i="5"/>
  <c r="AR177" i="5" s="1"/>
  <c r="AC177" i="5"/>
  <c r="AQ177" i="5"/>
  <c r="BB193" i="5"/>
  <c r="BD193" i="5" s="1"/>
  <c r="BC193" i="5"/>
  <c r="R193" i="5"/>
  <c r="AU92" i="5"/>
  <c r="N92" i="5"/>
  <c r="AT92" i="5"/>
  <c r="AV92" i="5" s="1"/>
  <c r="P7" i="5"/>
  <c r="AY7" i="5"/>
  <c r="AX7" i="5"/>
  <c r="AZ7" i="5" s="1"/>
  <c r="AU60" i="5"/>
  <c r="N60" i="5"/>
  <c r="AT60" i="5"/>
  <c r="AV60" i="5" s="1"/>
  <c r="N53" i="12"/>
  <c r="P53" i="12" s="1"/>
  <c r="T52" i="5"/>
  <c r="L52" i="5"/>
  <c r="N167" i="12"/>
  <c r="P167" i="12" s="1"/>
  <c r="T166" i="5"/>
  <c r="N171" i="12"/>
  <c r="P171" i="12" s="1"/>
  <c r="T170" i="5"/>
  <c r="P83" i="5"/>
  <c r="AY83" i="5"/>
  <c r="AX83" i="5"/>
  <c r="AZ83" i="5" s="1"/>
  <c r="AU30" i="5"/>
  <c r="AU24" i="5"/>
  <c r="H4" i="13"/>
  <c r="H56" i="15" s="1"/>
  <c r="B5" i="12"/>
  <c r="AC4" i="5"/>
  <c r="R7" i="5"/>
  <c r="BC7" i="5"/>
  <c r="BB7" i="5"/>
  <c r="BD7" i="5" s="1"/>
  <c r="AY135" i="5"/>
  <c r="AX135" i="5"/>
  <c r="AZ135" i="5" s="1"/>
  <c r="P135" i="5"/>
  <c r="F78" i="5"/>
  <c r="AU153" i="5"/>
  <c r="N153" i="5"/>
  <c r="AT153" i="5"/>
  <c r="AV153" i="5" s="1"/>
  <c r="H122" i="12"/>
  <c r="J122" i="12" s="1"/>
  <c r="H121" i="5"/>
  <c r="P121" i="5"/>
  <c r="B22" i="16"/>
  <c r="D16" i="16"/>
  <c r="C16" i="16" s="1"/>
  <c r="D19" i="16"/>
  <c r="C19" i="16" s="1"/>
  <c r="N170" i="12"/>
  <c r="P170" i="12" s="1"/>
  <c r="T169" i="5"/>
  <c r="L169" i="5"/>
  <c r="AV113" i="5"/>
  <c r="N57" i="5"/>
  <c r="AU57" i="5"/>
  <c r="AT57" i="5"/>
  <c r="AV57" i="5" s="1"/>
  <c r="AV62" i="5"/>
  <c r="AC159" i="5"/>
  <c r="AP159" i="5"/>
  <c r="AR159" i="5" s="1"/>
  <c r="AQ159" i="5"/>
  <c r="AV176" i="5"/>
  <c r="E128" i="12"/>
  <c r="G128" i="12" s="1"/>
  <c r="F127" i="5"/>
  <c r="N127" i="5"/>
  <c r="AT199" i="5"/>
  <c r="AV199" i="5" s="1"/>
  <c r="N199" i="5"/>
  <c r="AU199" i="5"/>
  <c r="AU159" i="5"/>
  <c r="P79" i="5"/>
  <c r="AY79" i="5"/>
  <c r="AX79" i="5"/>
  <c r="AZ79" i="5" s="1"/>
  <c r="AT171" i="5"/>
  <c r="AV171" i="5" s="1"/>
  <c r="AU171" i="5"/>
  <c r="N171" i="5"/>
  <c r="F167" i="5"/>
  <c r="N153" i="12"/>
  <c r="P153" i="12" s="1"/>
  <c r="T152" i="5"/>
  <c r="J83" i="5"/>
  <c r="AQ44" i="5"/>
  <c r="AP44" i="5"/>
  <c r="AR44" i="5" s="1"/>
  <c r="AC44" i="5"/>
  <c r="AU15" i="5"/>
  <c r="N45" i="5"/>
  <c r="AU45" i="5"/>
  <c r="AT45" i="5"/>
  <c r="AV45" i="5" s="1"/>
  <c r="AT107" i="5"/>
  <c r="AV107" i="5" s="1"/>
  <c r="N107" i="5"/>
  <c r="AU107" i="5"/>
  <c r="H126" i="5"/>
  <c r="F91" i="5"/>
  <c r="AU160" i="5"/>
  <c r="AT160" i="5"/>
  <c r="AV160" i="5" s="1"/>
  <c r="N160" i="5"/>
  <c r="BB191" i="5"/>
  <c r="BD191" i="5" s="1"/>
  <c r="R191" i="5"/>
  <c r="BC191" i="5"/>
  <c r="AC9" i="5"/>
  <c r="AQ9" i="5"/>
  <c r="AP9" i="5"/>
  <c r="AR9" i="5" s="1"/>
  <c r="AU6" i="5"/>
  <c r="AT6" i="5"/>
  <c r="AV6" i="5" s="1"/>
  <c r="N6" i="5"/>
  <c r="AP95" i="5"/>
  <c r="AR95" i="5" s="1"/>
  <c r="AC95" i="5"/>
  <c r="AQ95" i="5"/>
  <c r="AT93" i="5"/>
  <c r="AV93" i="5" s="1"/>
  <c r="N93" i="5"/>
  <c r="AU93" i="5"/>
  <c r="AU162" i="5"/>
  <c r="AT162" i="5"/>
  <c r="AV162" i="5" s="1"/>
  <c r="N162" i="5"/>
  <c r="H199" i="12"/>
  <c r="J199" i="12" s="1"/>
  <c r="H198" i="5"/>
  <c r="P198" i="5"/>
  <c r="AP81" i="5"/>
  <c r="AR81" i="5" s="1"/>
  <c r="AQ81" i="5"/>
  <c r="AC81" i="5"/>
  <c r="AX136" i="5"/>
  <c r="AZ136" i="5" s="1"/>
  <c r="P136" i="5"/>
  <c r="AY136" i="5"/>
  <c r="AV40" i="5"/>
  <c r="Q17" i="7"/>
  <c r="Q4" i="7"/>
  <c r="U2" i="7"/>
  <c r="Q13" i="7"/>
  <c r="C11" i="15"/>
  <c r="AV52" i="5"/>
  <c r="AU74" i="5"/>
  <c r="AT74" i="5"/>
  <c r="AV74" i="5" s="1"/>
  <c r="N74" i="5"/>
  <c r="AC55" i="5"/>
  <c r="AQ55" i="5"/>
  <c r="AP55" i="5"/>
  <c r="AR55" i="5" s="1"/>
  <c r="BB89" i="5"/>
  <c r="BD89" i="5" s="1"/>
  <c r="R89" i="5"/>
  <c r="BC89" i="5"/>
  <c r="BB184" i="5"/>
  <c r="BD184" i="5" s="1"/>
  <c r="R184" i="5"/>
  <c r="BC184" i="5"/>
  <c r="K174" i="12"/>
  <c r="M174" i="12" s="1"/>
  <c r="J173" i="5"/>
  <c r="K164" i="12"/>
  <c r="M164" i="12" s="1"/>
  <c r="J163" i="5"/>
  <c r="R163" i="5"/>
  <c r="AY59" i="5"/>
  <c r="AX59" i="5"/>
  <c r="AZ59" i="5" s="1"/>
  <c r="P59" i="5"/>
  <c r="H260" i="15"/>
  <c r="J260" i="15" s="1"/>
  <c r="L4" i="13"/>
  <c r="U4" i="6"/>
  <c r="Z4" i="5"/>
  <c r="F5" i="3"/>
  <c r="D12" i="15"/>
  <c r="AQ3" i="5"/>
  <c r="AP3" i="5"/>
  <c r="AR3" i="5" s="1"/>
  <c r="BD141" i="5"/>
  <c r="AQ27" i="5"/>
  <c r="AP27" i="5"/>
  <c r="AR27" i="5" s="1"/>
  <c r="AC27" i="5"/>
  <c r="AU18" i="5"/>
  <c r="BD80" i="5"/>
  <c r="AQ101" i="5"/>
  <c r="AC101" i="5"/>
  <c r="AP101" i="5"/>
  <c r="AR101" i="5" s="1"/>
  <c r="E88" i="12"/>
  <c r="G88" i="12" s="1"/>
  <c r="F87" i="5"/>
  <c r="H71" i="12"/>
  <c r="J71" i="12" s="1"/>
  <c r="H70" i="5"/>
  <c r="P70" i="5"/>
  <c r="BC155" i="5"/>
  <c r="AT178" i="5"/>
  <c r="AV178" i="5" s="1"/>
  <c r="N178" i="5"/>
  <c r="AU178" i="5"/>
  <c r="BC69" i="5"/>
  <c r="J30" i="5"/>
  <c r="BB38" i="5"/>
  <c r="BD38" i="5" s="1"/>
  <c r="R38" i="5"/>
  <c r="BC38" i="5"/>
  <c r="AY124" i="5"/>
  <c r="AY5" i="5"/>
  <c r="AX5" i="5"/>
  <c r="AZ5" i="5" s="1"/>
  <c r="AC98" i="5"/>
  <c r="AQ98" i="5"/>
  <c r="AP98" i="5"/>
  <c r="AR98" i="5" s="1"/>
  <c r="P95" i="5"/>
  <c r="AY95" i="5"/>
  <c r="AX95" i="5"/>
  <c r="AZ95" i="5" s="1"/>
  <c r="AY60" i="5"/>
  <c r="AX60" i="5"/>
  <c r="AZ60" i="5" s="1"/>
  <c r="P60" i="5"/>
  <c r="R51" i="5"/>
  <c r="AQ147" i="5"/>
  <c r="AC147" i="5"/>
  <c r="AP147" i="5"/>
  <c r="AR147" i="5" s="1"/>
  <c r="AY123" i="5"/>
  <c r="AX123" i="5"/>
  <c r="AZ123" i="5" s="1"/>
  <c r="P123" i="5"/>
  <c r="P182" i="5"/>
  <c r="AX182" i="5"/>
  <c r="AZ182" i="5" s="1"/>
  <c r="AY182" i="5"/>
  <c r="P54" i="5"/>
  <c r="BB71" i="5"/>
  <c r="BD71" i="5" s="1"/>
  <c r="R71" i="5"/>
  <c r="BC71" i="5"/>
  <c r="AY29" i="5"/>
  <c r="AX29" i="5"/>
  <c r="AZ29" i="5" s="1"/>
  <c r="P29" i="5"/>
  <c r="N109" i="12"/>
  <c r="P109" i="12" s="1"/>
  <c r="T108" i="5"/>
  <c r="F140" i="5"/>
  <c r="N68" i="5"/>
  <c r="AU68" i="5"/>
  <c r="AT68" i="5"/>
  <c r="AV68" i="5" s="1"/>
  <c r="P166" i="5"/>
  <c r="AU155" i="5"/>
  <c r="N155" i="5"/>
  <c r="AT155" i="5"/>
  <c r="AV155" i="5" s="1"/>
  <c r="N122" i="12"/>
  <c r="P122" i="12" s="1"/>
  <c r="L121" i="5"/>
  <c r="T121" i="5"/>
  <c r="BC195" i="5"/>
  <c r="D20" i="16"/>
  <c r="C20" i="16" s="1"/>
  <c r="H99" i="5"/>
  <c r="E170" i="12"/>
  <c r="G170" i="12" s="1"/>
  <c r="F169" i="5"/>
  <c r="N169" i="5"/>
  <c r="AV125" i="5"/>
  <c r="BD2" i="5"/>
  <c r="AY98" i="5"/>
  <c r="P98" i="5"/>
  <c r="AX98" i="5"/>
  <c r="AZ98" i="5" s="1"/>
  <c r="AU62" i="5"/>
  <c r="AY167" i="5"/>
  <c r="AU144" i="5"/>
  <c r="N144" i="5"/>
  <c r="AT144" i="5"/>
  <c r="AV144" i="5" s="1"/>
  <c r="P177" i="5"/>
  <c r="K128" i="12"/>
  <c r="M128" i="12" s="1"/>
  <c r="R127" i="5"/>
  <c r="J127" i="5"/>
  <c r="J50" i="5"/>
  <c r="N141" i="12"/>
  <c r="P141" i="12" s="1"/>
  <c r="T140" i="5"/>
  <c r="H13" i="12"/>
  <c r="J13" i="12" s="1"/>
  <c r="P12" i="5"/>
  <c r="P130" i="5"/>
  <c r="AY130" i="5"/>
  <c r="AX130" i="5"/>
  <c r="AZ130" i="5" s="1"/>
  <c r="N159" i="5"/>
  <c r="F156" i="5"/>
  <c r="F85" i="5"/>
  <c r="AU173" i="5"/>
  <c r="N27" i="5"/>
  <c r="P154" i="5"/>
  <c r="AY154" i="5"/>
  <c r="AX154" i="5"/>
  <c r="AZ154" i="5" s="1"/>
  <c r="H83" i="5"/>
  <c r="AX27" i="5"/>
  <c r="AZ27" i="5" s="1"/>
  <c r="AY27" i="5"/>
  <c r="P27" i="5"/>
  <c r="E260" i="15"/>
  <c r="AY2" i="5"/>
  <c r="AX2" i="5"/>
  <c r="AZ2" i="5" s="1"/>
  <c r="P35" i="5"/>
  <c r="AY35" i="5"/>
  <c r="AX35" i="5"/>
  <c r="AZ35" i="5" s="1"/>
  <c r="BD118" i="5"/>
  <c r="AT123" i="5"/>
  <c r="AV123" i="5" s="1"/>
  <c r="N123" i="5"/>
  <c r="AU123" i="5"/>
  <c r="N131" i="12"/>
  <c r="P131" i="12" s="1"/>
  <c r="T130" i="5"/>
  <c r="J149" i="5"/>
  <c r="N105" i="5"/>
  <c r="AU105" i="5"/>
  <c r="AT105" i="5"/>
  <c r="AV105" i="5" s="1"/>
  <c r="N48" i="12"/>
  <c r="P48" i="12" s="1"/>
  <c r="T47" i="5"/>
  <c r="AU50" i="5"/>
  <c r="N50" i="5"/>
  <c r="AT50" i="5"/>
  <c r="AV50" i="5" s="1"/>
  <c r="AY6" i="5"/>
  <c r="AX6" i="5"/>
  <c r="AZ6" i="5" s="1"/>
  <c r="P6" i="5"/>
  <c r="AQ80" i="5"/>
  <c r="AP80" i="5"/>
  <c r="AR80" i="5" s="1"/>
  <c r="AC80" i="5"/>
  <c r="BC101" i="5"/>
  <c r="J72" i="5"/>
  <c r="AV143" i="5"/>
  <c r="BD114" i="5"/>
  <c r="AY184" i="5"/>
  <c r="P184" i="5"/>
  <c r="AX184" i="5"/>
  <c r="AZ184" i="5" s="1"/>
  <c r="AY164" i="5"/>
  <c r="P164" i="5"/>
  <c r="AX164" i="5"/>
  <c r="AZ164" i="5" s="1"/>
  <c r="N76" i="12"/>
  <c r="P76" i="12" s="1"/>
  <c r="T75" i="5"/>
  <c r="L75" i="5"/>
  <c r="AX120" i="5"/>
  <c r="AZ120" i="5" s="1"/>
  <c r="P120" i="5"/>
  <c r="AY120" i="5"/>
  <c r="E199" i="12"/>
  <c r="G199" i="12" s="1"/>
  <c r="F198" i="5"/>
  <c r="N198" i="5"/>
  <c r="AT81" i="5"/>
  <c r="AV81" i="5" s="1"/>
  <c r="N81" i="5"/>
  <c r="AU81" i="5"/>
  <c r="AU136" i="5"/>
  <c r="N136" i="5"/>
  <c r="AT136" i="5"/>
  <c r="AV136" i="5" s="1"/>
  <c r="AV151" i="5"/>
  <c r="H57" i="12"/>
  <c r="J57" i="12" s="1"/>
  <c r="H56" i="5"/>
  <c r="AV35" i="5"/>
  <c r="AU158" i="5"/>
  <c r="AT158" i="5"/>
  <c r="AV158" i="5" s="1"/>
  <c r="N158" i="5"/>
  <c r="AQ87" i="5"/>
  <c r="AP87" i="5"/>
  <c r="AR87" i="5" s="1"/>
  <c r="AC87" i="5"/>
  <c r="BD182" i="5"/>
  <c r="N39" i="12"/>
  <c r="P39" i="12" s="1"/>
  <c r="T38" i="5"/>
  <c r="N55" i="12"/>
  <c r="P55" i="12" s="1"/>
  <c r="T54" i="5"/>
  <c r="B3" i="12"/>
  <c r="D3" i="12" s="1"/>
  <c r="H2" i="13"/>
  <c r="H54" i="15" s="1"/>
  <c r="F18" i="5"/>
  <c r="P68" i="5"/>
  <c r="J32" i="5"/>
  <c r="N73" i="5"/>
  <c r="AU73" i="5"/>
  <c r="AT73" i="5"/>
  <c r="AV73" i="5" s="1"/>
  <c r="AY125" i="5"/>
  <c r="P125" i="5"/>
  <c r="AX125" i="5"/>
  <c r="AZ125" i="5" s="1"/>
  <c r="N186" i="5"/>
  <c r="E164" i="12"/>
  <c r="G164" i="12" s="1"/>
  <c r="F163" i="5"/>
  <c r="N163" i="5"/>
  <c r="AZ141" i="5"/>
  <c r="AT59" i="5"/>
  <c r="AV59" i="5" s="1"/>
  <c r="N59" i="5"/>
  <c r="AU59" i="5"/>
  <c r="F84" i="5"/>
  <c r="AV175" i="5"/>
  <c r="H30" i="5"/>
  <c r="N33" i="12"/>
  <c r="P33" i="12" s="1"/>
  <c r="T32" i="5"/>
  <c r="BC5" i="5"/>
  <c r="BB5" i="5"/>
  <c r="BD5" i="5" s="1"/>
  <c r="AU172" i="5"/>
  <c r="N172" i="5"/>
  <c r="AT172" i="5"/>
  <c r="AV172" i="5" s="1"/>
  <c r="E122" i="12"/>
  <c r="G122" i="12" s="1"/>
  <c r="F121" i="5"/>
  <c r="N121" i="5"/>
  <c r="N130" i="5"/>
  <c r="AU130" i="5"/>
  <c r="AT130" i="5"/>
  <c r="AV130" i="5" s="1"/>
  <c r="AQ200" i="5"/>
  <c r="AC200" i="5"/>
  <c r="AP200" i="5"/>
  <c r="AR200" i="5" s="1"/>
  <c r="AT154" i="5"/>
  <c r="AV154" i="5" s="1"/>
  <c r="N154" i="5"/>
  <c r="AU154" i="5"/>
  <c r="BB35" i="5"/>
  <c r="BD35" i="5" s="1"/>
  <c r="R35" i="5"/>
  <c r="BC35" i="5"/>
  <c r="AY105" i="5"/>
  <c r="AX105" i="5"/>
  <c r="AZ105" i="5" s="1"/>
  <c r="P105" i="5"/>
  <c r="P30" i="5"/>
  <c r="AT19" i="5"/>
  <c r="AV19" i="5" s="1"/>
  <c r="AU19" i="5"/>
  <c r="N19" i="5"/>
  <c r="P173" i="5"/>
  <c r="AX173" i="5"/>
  <c r="AZ173" i="5" s="1"/>
  <c r="AY173" i="5"/>
  <c r="BC164" i="5"/>
  <c r="BB164" i="5"/>
  <c r="BD164" i="5" s="1"/>
  <c r="R164" i="5"/>
  <c r="BB120" i="5"/>
  <c r="BD120" i="5" s="1"/>
  <c r="BC120" i="5"/>
  <c r="R120" i="5"/>
  <c r="N199" i="12"/>
  <c r="P199" i="12" s="1"/>
  <c r="T198" i="5"/>
  <c r="L198" i="5"/>
  <c r="N118" i="5"/>
  <c r="AT118" i="5"/>
  <c r="AV118" i="5" s="1"/>
  <c r="AU118" i="5"/>
  <c r="AQ54" i="5"/>
  <c r="AP54" i="5"/>
  <c r="AR54" i="5" s="1"/>
  <c r="AC54" i="5"/>
  <c r="AU35" i="5"/>
  <c r="AQ99" i="5"/>
  <c r="AP99" i="5"/>
  <c r="AR99" i="5" s="1"/>
  <c r="AC99" i="5"/>
  <c r="N87" i="5"/>
  <c r="AU87" i="5"/>
  <c r="AT87" i="5"/>
  <c r="AV87" i="5" s="1"/>
  <c r="L260" i="15"/>
  <c r="K260" i="15"/>
  <c r="AY157" i="5"/>
  <c r="AZ169" i="5"/>
  <c r="AY129" i="5"/>
  <c r="AY114" i="5"/>
  <c r="AY133" i="5"/>
  <c r="AY28" i="5"/>
  <c r="AY103" i="5"/>
  <c r="AY169" i="5"/>
  <c r="AZ39" i="5"/>
  <c r="AY40" i="5"/>
  <c r="AY39" i="5"/>
  <c r="AZ42" i="5"/>
  <c r="AY69" i="5"/>
  <c r="AZ32" i="5"/>
  <c r="AZ22" i="5"/>
  <c r="AY175" i="5"/>
  <c r="AY75" i="5"/>
  <c r="AY52" i="5"/>
  <c r="AZ94" i="5"/>
  <c r="AY32" i="5"/>
  <c r="AY109" i="5"/>
  <c r="AY94" i="5"/>
  <c r="AZ82" i="5"/>
  <c r="AZ34" i="5"/>
  <c r="AY101" i="5"/>
  <c r="AY82" i="5"/>
  <c r="AZ76" i="5"/>
  <c r="AY151" i="5"/>
  <c r="AY4" i="5"/>
  <c r="AY139" i="5"/>
  <c r="AZ129" i="5"/>
  <c r="AZ157" i="5"/>
  <c r="AY93" i="5"/>
  <c r="AY22" i="5"/>
  <c r="AY70" i="5"/>
  <c r="AZ14" i="5"/>
  <c r="AY34" i="5"/>
  <c r="AY194" i="5"/>
  <c r="AZ101" i="5"/>
  <c r="AZ145" i="5"/>
  <c r="AY36" i="5"/>
  <c r="AY88" i="5"/>
  <c r="AY10" i="5"/>
  <c r="AZ16" i="5"/>
  <c r="AZ75" i="5"/>
  <c r="AY26" i="5"/>
  <c r="AY198" i="5"/>
  <c r="AY76" i="5"/>
  <c r="AZ40" i="5"/>
  <c r="AZ4" i="5"/>
  <c r="AZ69" i="5"/>
  <c r="AY42" i="5"/>
  <c r="AZ109" i="5"/>
  <c r="AZ52" i="5"/>
  <c r="AZ10" i="5"/>
  <c r="AY145" i="5"/>
  <c r="AZ139" i="5"/>
  <c r="AY163" i="5"/>
  <c r="AZ28" i="5"/>
  <c r="AY58" i="5"/>
  <c r="AY12" i="5"/>
  <c r="AY16" i="5"/>
  <c r="AY46" i="5"/>
  <c r="AZ87" i="5"/>
  <c r="AY33" i="5"/>
  <c r="AZ114" i="5"/>
  <c r="AZ12" i="5"/>
  <c r="AY14" i="5"/>
  <c r="AY87" i="5"/>
  <c r="AY196" i="5"/>
  <c r="AY64" i="5"/>
  <c r="AY115" i="5"/>
  <c r="AZ175" i="5"/>
  <c r="AZ194" i="5"/>
  <c r="AY81" i="5"/>
  <c r="AY121" i="5"/>
  <c r="AZ192" i="5"/>
  <c r="AY127" i="5"/>
  <c r="AY180" i="5"/>
  <c r="AY192" i="5"/>
  <c r="AZ115" i="5"/>
  <c r="AZ133" i="5"/>
  <c r="AV83" i="5"/>
  <c r="AZ68" i="5"/>
  <c r="AX73" i="5"/>
  <c r="AZ73" i="5" s="1"/>
  <c r="AY73" i="5"/>
  <c r="P73" i="5"/>
  <c r="R125" i="5"/>
  <c r="BC125" i="5"/>
  <c r="BB125" i="5"/>
  <c r="BD125" i="5" s="1"/>
  <c r="AY179" i="5"/>
  <c r="AU186" i="5"/>
  <c r="N164" i="12"/>
  <c r="P164" i="12" s="1"/>
  <c r="L163" i="5"/>
  <c r="T163" i="5"/>
  <c r="AY141" i="5"/>
  <c r="AP149" i="5"/>
  <c r="AR149" i="5" s="1"/>
  <c r="AC149" i="5"/>
  <c r="AQ149" i="5"/>
  <c r="L158" i="5"/>
  <c r="J84" i="5"/>
  <c r="AT168" i="5"/>
  <c r="AV168" i="5" s="1"/>
  <c r="AU168" i="5"/>
  <c r="N168" i="5"/>
  <c r="E71" i="12"/>
  <c r="G71" i="12" s="1"/>
  <c r="N70" i="5"/>
  <c r="F70" i="5"/>
  <c r="AY178" i="5"/>
  <c r="AX178" i="5"/>
  <c r="AZ178" i="5" s="1"/>
  <c r="P178" i="5"/>
  <c r="F9" i="5"/>
  <c r="E70" i="12"/>
  <c r="G70" i="12" s="1"/>
  <c r="F69" i="5"/>
  <c r="AY108" i="5"/>
  <c r="AX108" i="5"/>
  <c r="AZ108" i="5" s="1"/>
  <c r="P108" i="5"/>
  <c r="R29" i="5"/>
  <c r="BB29" i="5"/>
  <c r="BD29" i="5" s="1"/>
  <c r="BC29" i="5"/>
  <c r="AY155" i="5"/>
  <c r="P155" i="5"/>
  <c r="AX155" i="5"/>
  <c r="AZ155" i="5" s="1"/>
  <c r="R8" i="5"/>
  <c r="BC8" i="5"/>
  <c r="BB8" i="5"/>
  <c r="BD8" i="5" s="1"/>
  <c r="BC98" i="5"/>
  <c r="BB98" i="5"/>
  <c r="BD98" i="5" s="1"/>
  <c r="R98" i="5"/>
  <c r="AV63" i="5"/>
  <c r="AV159" i="5"/>
  <c r="H156" i="5"/>
  <c r="H167" i="5"/>
  <c r="AY138" i="5"/>
  <c r="AX138" i="5"/>
  <c r="AZ138" i="5" s="1"/>
  <c r="P138" i="5"/>
  <c r="AX112" i="5"/>
  <c r="AZ112" i="5" s="1"/>
  <c r="P112" i="5"/>
  <c r="AY112" i="5"/>
  <c r="K23" i="12"/>
  <c r="M23" i="12" s="1"/>
  <c r="J22" i="5"/>
  <c r="R22" i="5"/>
  <c r="H140" i="12"/>
  <c r="J140" i="12" s="1"/>
  <c r="H139" i="5"/>
  <c r="P139" i="5"/>
  <c r="AV80" i="5"/>
  <c r="H15" i="5"/>
  <c r="AV69" i="5"/>
  <c r="H70" i="12"/>
  <c r="J70" i="12" s="1"/>
  <c r="P69" i="5"/>
  <c r="AU78" i="5"/>
  <c r="AT78" i="5"/>
  <c r="AV78" i="5" s="1"/>
  <c r="N78" i="5"/>
  <c r="AY187" i="5"/>
  <c r="P187" i="5"/>
  <c r="AX187" i="5"/>
  <c r="AZ187" i="5" s="1"/>
  <c r="AQ7" i="5"/>
  <c r="AP7" i="5"/>
  <c r="AR7" i="5" s="1"/>
  <c r="AC7" i="5"/>
  <c r="E98" i="12"/>
  <c r="G98" i="12" s="1"/>
  <c r="F97" i="5"/>
  <c r="P172" i="5"/>
  <c r="AX172" i="5"/>
  <c r="AZ172" i="5" s="1"/>
  <c r="AY172" i="5"/>
  <c r="AU131" i="5"/>
  <c r="T4" i="13"/>
  <c r="AJ4" i="5"/>
  <c r="D6" i="1"/>
  <c r="F5" i="12"/>
  <c r="N69" i="12"/>
  <c r="P69" i="12" s="1"/>
  <c r="T68" i="5"/>
  <c r="K122" i="12"/>
  <c r="M122" i="12" s="1"/>
  <c r="J121" i="5"/>
  <c r="R121" i="5"/>
  <c r="AX8" i="5"/>
  <c r="AZ8" i="5" s="1"/>
  <c r="P8" i="5"/>
  <c r="AY8" i="5"/>
  <c r="AU63" i="5"/>
  <c r="L159" i="5"/>
  <c r="AU90" i="5"/>
  <c r="N90" i="5"/>
  <c r="AT90" i="5"/>
  <c r="AV90" i="5" s="1"/>
  <c r="AV173" i="5"/>
  <c r="AV54" i="5"/>
  <c r="P84" i="5"/>
  <c r="AY84" i="5"/>
  <c r="AX84" i="5"/>
  <c r="AZ84" i="5" s="1"/>
  <c r="AU27" i="5"/>
  <c r="F147" i="5"/>
  <c r="AV161" i="5"/>
  <c r="R138" i="5"/>
  <c r="BB138" i="5"/>
  <c r="BD138" i="5" s="1"/>
  <c r="BC138" i="5"/>
  <c r="AU112" i="5"/>
  <c r="N112" i="5"/>
  <c r="AT112" i="5"/>
  <c r="AV112" i="5" s="1"/>
  <c r="F149" i="5"/>
  <c r="K134" i="12"/>
  <c r="M134" i="12" s="1"/>
  <c r="J133" i="5"/>
  <c r="R133" i="5"/>
  <c r="L2" i="5"/>
  <c r="BI2" i="5"/>
  <c r="F2" i="5"/>
  <c r="AA3" i="12"/>
  <c r="P19" i="5"/>
  <c r="AY19" i="5"/>
  <c r="AX19" i="5"/>
  <c r="AZ19" i="5" s="1"/>
  <c r="P119" i="5"/>
  <c r="AY119" i="5"/>
  <c r="AX119" i="5"/>
  <c r="AZ119" i="5" s="1"/>
  <c r="R173" i="5"/>
  <c r="BC173" i="5"/>
  <c r="BB173" i="5"/>
  <c r="BD173" i="5" s="1"/>
  <c r="BC146" i="5"/>
  <c r="BB146" i="5"/>
  <c r="BD146" i="5" s="1"/>
  <c r="R146" i="5"/>
  <c r="N193" i="12"/>
  <c r="P193" i="12" s="1"/>
  <c r="T192" i="5"/>
  <c r="L192" i="5"/>
  <c r="N146" i="12"/>
  <c r="P146" i="12" s="1"/>
  <c r="T145" i="5"/>
  <c r="L145" i="5"/>
  <c r="AV9" i="5"/>
  <c r="AY21" i="5"/>
  <c r="AX21" i="5"/>
  <c r="AZ21" i="5" s="1"/>
  <c r="P21" i="5"/>
  <c r="R74" i="5"/>
  <c r="BC74" i="5"/>
  <c r="BB74" i="5"/>
  <c r="BD74" i="5" s="1"/>
  <c r="AY74" i="5"/>
  <c r="AY48" i="5"/>
  <c r="AX48" i="5"/>
  <c r="AZ48" i="5" s="1"/>
  <c r="P48" i="5"/>
  <c r="H148" i="5"/>
  <c r="N99" i="5"/>
  <c r="AU99" i="5"/>
  <c r="AT99" i="5"/>
  <c r="AV99" i="5" s="1"/>
  <c r="H181" i="5"/>
  <c r="BD22" i="5"/>
  <c r="N83" i="5"/>
  <c r="AU102" i="5"/>
  <c r="AT102" i="5"/>
  <c r="AV102" i="5" s="1"/>
  <c r="N102" i="5"/>
  <c r="AY68" i="5"/>
  <c r="L32" i="5"/>
  <c r="H76" i="12"/>
  <c r="J76" i="12" s="1"/>
  <c r="P75" i="5"/>
  <c r="AY156" i="5"/>
  <c r="AV186" i="5"/>
  <c r="N190" i="5"/>
  <c r="H27" i="5"/>
  <c r="AV150" i="5"/>
  <c r="N149" i="5"/>
  <c r="H196" i="6"/>
  <c r="H190" i="6"/>
  <c r="H184" i="6"/>
  <c r="H178" i="6"/>
  <c r="H172" i="6"/>
  <c r="H166" i="6"/>
  <c r="H160" i="6"/>
  <c r="H154" i="6"/>
  <c r="H148" i="6"/>
  <c r="H142" i="6"/>
  <c r="H136" i="6"/>
  <c r="H130" i="6"/>
  <c r="H124" i="6"/>
  <c r="H118" i="6"/>
  <c r="H112" i="6"/>
  <c r="H106" i="6"/>
  <c r="H100" i="6"/>
  <c r="H94" i="6"/>
  <c r="H88" i="6"/>
  <c r="H82" i="6"/>
  <c r="H76" i="6"/>
  <c r="H70" i="6"/>
  <c r="H64" i="6"/>
  <c r="H117" i="6"/>
  <c r="H108" i="6"/>
  <c r="H83" i="6"/>
  <c r="H62" i="6"/>
  <c r="H57" i="6"/>
  <c r="H38" i="6"/>
  <c r="H33" i="6"/>
  <c r="H14" i="6"/>
  <c r="H9" i="6"/>
  <c r="H110" i="6"/>
  <c r="H97" i="6"/>
  <c r="H93" i="6"/>
  <c r="H84" i="6"/>
  <c r="H49" i="6"/>
  <c r="H25" i="6"/>
  <c r="H4" i="6"/>
  <c r="H198" i="6"/>
  <c r="H195" i="6"/>
  <c r="H180" i="6"/>
  <c r="H177" i="6"/>
  <c r="H162" i="6"/>
  <c r="H159" i="6"/>
  <c r="H144" i="6"/>
  <c r="H141" i="6"/>
  <c r="H126" i="6"/>
  <c r="H123" i="6"/>
  <c r="H119" i="6"/>
  <c r="H98" i="6"/>
  <c r="H85" i="6"/>
  <c r="H81" i="6"/>
  <c r="H72" i="6"/>
  <c r="H50" i="6"/>
  <c r="H45" i="6"/>
  <c r="H26" i="6"/>
  <c r="H21" i="6"/>
  <c r="H2" i="6"/>
  <c r="H187" i="6"/>
  <c r="H179" i="6"/>
  <c r="H151" i="6"/>
  <c r="H143" i="6"/>
  <c r="H102" i="6"/>
  <c r="H96" i="6"/>
  <c r="H68" i="6"/>
  <c r="H65" i="6"/>
  <c r="H46" i="6"/>
  <c r="H43" i="6"/>
  <c r="H36" i="6"/>
  <c r="H185" i="6"/>
  <c r="H182" i="6"/>
  <c r="H171" i="6"/>
  <c r="H149" i="6"/>
  <c r="H146" i="6"/>
  <c r="H135" i="6"/>
  <c r="H115" i="6"/>
  <c r="H109" i="6"/>
  <c r="H90" i="6"/>
  <c r="H59" i="6"/>
  <c r="H56" i="6"/>
  <c r="H53" i="6"/>
  <c r="H24" i="6"/>
  <c r="H11" i="6"/>
  <c r="H8" i="6"/>
  <c r="H6" i="6"/>
  <c r="H188" i="6"/>
  <c r="H152" i="6"/>
  <c r="H78" i="6"/>
  <c r="H63" i="6"/>
  <c r="H37" i="6"/>
  <c r="H34" i="6"/>
  <c r="H15" i="6"/>
  <c r="H200" i="6"/>
  <c r="H174" i="6"/>
  <c r="H169" i="6"/>
  <c r="H167" i="6"/>
  <c r="H150" i="6"/>
  <c r="H99" i="6"/>
  <c r="H73" i="6"/>
  <c r="H47" i="6"/>
  <c r="H29" i="6"/>
  <c r="H13" i="6"/>
  <c r="H186" i="6"/>
  <c r="H155" i="6"/>
  <c r="H129" i="6"/>
  <c r="H91" i="6"/>
  <c r="H89" i="6"/>
  <c r="H66" i="6"/>
  <c r="H58" i="6"/>
  <c r="H42" i="6"/>
  <c r="H16" i="6"/>
  <c r="H191" i="6"/>
  <c r="H165" i="6"/>
  <c r="H134" i="6"/>
  <c r="H122" i="6"/>
  <c r="H114" i="6"/>
  <c r="H104" i="6"/>
  <c r="H79" i="6"/>
  <c r="H71" i="6"/>
  <c r="H61" i="6"/>
  <c r="H32" i="6"/>
  <c r="H5" i="6"/>
  <c r="H170" i="6"/>
  <c r="H158" i="6"/>
  <c r="H107" i="6"/>
  <c r="H87" i="6"/>
  <c r="H77" i="6"/>
  <c r="H74" i="6"/>
  <c r="H40" i="6"/>
  <c r="H27" i="6"/>
  <c r="H19" i="6"/>
  <c r="H189" i="6"/>
  <c r="H175" i="6"/>
  <c r="H163" i="6"/>
  <c r="H132" i="6"/>
  <c r="H125" i="6"/>
  <c r="H120" i="6"/>
  <c r="H105" i="6"/>
  <c r="H35" i="6"/>
  <c r="H30" i="6"/>
  <c r="H199" i="6"/>
  <c r="H168" i="6"/>
  <c r="H161" i="6"/>
  <c r="H156" i="6"/>
  <c r="H137" i="6"/>
  <c r="H95" i="6"/>
  <c r="H75" i="6"/>
  <c r="H51" i="6"/>
  <c r="H17" i="6"/>
  <c r="H197" i="6"/>
  <c r="H192" i="6"/>
  <c r="H173" i="6"/>
  <c r="H147" i="6"/>
  <c r="H80" i="6"/>
  <c r="H67" i="6"/>
  <c r="H20" i="6"/>
  <c r="H3" i="6"/>
  <c r="H176" i="6"/>
  <c r="H121" i="6"/>
  <c r="H31" i="6"/>
  <c r="H23" i="6"/>
  <c r="H12" i="6"/>
  <c r="H7" i="6"/>
  <c r="H193" i="6"/>
  <c r="H181" i="6"/>
  <c r="H164" i="6"/>
  <c r="H138" i="6"/>
  <c r="H133" i="6"/>
  <c r="H131" i="6"/>
  <c r="H116" i="6"/>
  <c r="H101" i="6"/>
  <c r="H86" i="6"/>
  <c r="H60" i="6"/>
  <c r="H55" i="6"/>
  <c r="H39" i="6"/>
  <c r="H18" i="6"/>
  <c r="H10" i="6"/>
  <c r="H153" i="6"/>
  <c r="H48" i="6"/>
  <c r="H22" i="6"/>
  <c r="H157" i="6"/>
  <c r="H128" i="6"/>
  <c r="H69" i="6"/>
  <c r="H54" i="6"/>
  <c r="H52" i="6"/>
  <c r="H139" i="6"/>
  <c r="H41" i="6"/>
  <c r="H28" i="6"/>
  <c r="H194" i="6"/>
  <c r="H183" i="6"/>
  <c r="H103" i="6"/>
  <c r="H145" i="6"/>
  <c r="H127" i="6"/>
  <c r="H92" i="6"/>
  <c r="H111" i="6"/>
  <c r="H140" i="6"/>
  <c r="H113" i="6"/>
  <c r="H44" i="6"/>
  <c r="G3" i="13"/>
  <c r="E3" i="13"/>
  <c r="C3" i="13"/>
  <c r="G3" i="11"/>
  <c r="B3" i="13" s="1"/>
  <c r="B55" i="15" s="1"/>
  <c r="W3" i="11"/>
  <c r="K3" i="11"/>
  <c r="S3" i="11"/>
  <c r="W44" i="15" s="1"/>
  <c r="O3" i="11"/>
  <c r="D3" i="13"/>
  <c r="O3" i="13"/>
  <c r="N3" i="13"/>
  <c r="N29" i="12"/>
  <c r="P29" i="12" s="1"/>
  <c r="T28" i="5"/>
  <c r="L28" i="5"/>
  <c r="E21" i="12"/>
  <c r="G21" i="12" s="1"/>
  <c r="F20" i="5"/>
  <c r="V4" i="13"/>
  <c r="AL4" i="5"/>
  <c r="F6" i="1"/>
  <c r="L5" i="12"/>
  <c r="L262" i="15"/>
  <c r="K262" i="15"/>
  <c r="BG191" i="5"/>
  <c r="BH196" i="5"/>
  <c r="BG184" i="5"/>
  <c r="BG172" i="5"/>
  <c r="BG160" i="5"/>
  <c r="BG197" i="5"/>
  <c r="BG182" i="5"/>
  <c r="BG170" i="5"/>
  <c r="BG200" i="5"/>
  <c r="BG168" i="5"/>
  <c r="BH162" i="5"/>
  <c r="BG153" i="5"/>
  <c r="BH152" i="5"/>
  <c r="BH191" i="5"/>
  <c r="BG188" i="5"/>
  <c r="BG185" i="5"/>
  <c r="BH182" i="5"/>
  <c r="BG178" i="5"/>
  <c r="BG175" i="5"/>
  <c r="BG151" i="5"/>
  <c r="BG139" i="5"/>
  <c r="BG127" i="5"/>
  <c r="BG115" i="5"/>
  <c r="BG103" i="5"/>
  <c r="BH195" i="5"/>
  <c r="BG193" i="5"/>
  <c r="BG169" i="5"/>
  <c r="BG165" i="5"/>
  <c r="BG150" i="5"/>
  <c r="BG138" i="5"/>
  <c r="BG126" i="5"/>
  <c r="BG114" i="5"/>
  <c r="BG102" i="5"/>
  <c r="BG199" i="5"/>
  <c r="BG198" i="5"/>
  <c r="BH172" i="5"/>
  <c r="BG143" i="5"/>
  <c r="BG137" i="5"/>
  <c r="BG132" i="5"/>
  <c r="BH186" i="5"/>
  <c r="BG179" i="5"/>
  <c r="BG164" i="5"/>
  <c r="BG152" i="5"/>
  <c r="BG147" i="5"/>
  <c r="BH141" i="5"/>
  <c r="BH133" i="5"/>
  <c r="BH115" i="5"/>
  <c r="BG104" i="5"/>
  <c r="BG96" i="5"/>
  <c r="BG84" i="5"/>
  <c r="BG186" i="5"/>
  <c r="BH175" i="5"/>
  <c r="BH168" i="5"/>
  <c r="BH154" i="5"/>
  <c r="BG141" i="5"/>
  <c r="BG133" i="5"/>
  <c r="BG111" i="5"/>
  <c r="BG107" i="5"/>
  <c r="BG101" i="5"/>
  <c r="BG95" i="5"/>
  <c r="BG83" i="5"/>
  <c r="BG190" i="5"/>
  <c r="BG158" i="5"/>
  <c r="BG154" i="5"/>
  <c r="BG130" i="5"/>
  <c r="BG181" i="5"/>
  <c r="BH180" i="5"/>
  <c r="BH178" i="5"/>
  <c r="BG174" i="5"/>
  <c r="BG167" i="5"/>
  <c r="BG163" i="5"/>
  <c r="BG148" i="5"/>
  <c r="BH145" i="5"/>
  <c r="BH134" i="5"/>
  <c r="BH127" i="5"/>
  <c r="BH123" i="5"/>
  <c r="BG119" i="5"/>
  <c r="BG113" i="5"/>
  <c r="BH108" i="5"/>
  <c r="BG97" i="5"/>
  <c r="BG92" i="5"/>
  <c r="BH91" i="5"/>
  <c r="BG80" i="5"/>
  <c r="BH79" i="5"/>
  <c r="BH188" i="5"/>
  <c r="BG166" i="5"/>
  <c r="BG162" i="5"/>
  <c r="BG142" i="5"/>
  <c r="BH128" i="5"/>
  <c r="BG124" i="5"/>
  <c r="BG117" i="5"/>
  <c r="BG90" i="5"/>
  <c r="BG78" i="5"/>
  <c r="BG66" i="5"/>
  <c r="BG54" i="5"/>
  <c r="BG42" i="5"/>
  <c r="BG30" i="5"/>
  <c r="BG18" i="5"/>
  <c r="BG6" i="5"/>
  <c r="BG195" i="5"/>
  <c r="BG183" i="5"/>
  <c r="BG177" i="5"/>
  <c r="BG173" i="5"/>
  <c r="BG155" i="5"/>
  <c r="BG149" i="5"/>
  <c r="BG135" i="5"/>
  <c r="BG125" i="5"/>
  <c r="BG120" i="5"/>
  <c r="BG106" i="5"/>
  <c r="BG98" i="5"/>
  <c r="BG88" i="5"/>
  <c r="BG76" i="5"/>
  <c r="BG64" i="5"/>
  <c r="BG52" i="5"/>
  <c r="BH199" i="5"/>
  <c r="BG192" i="5"/>
  <c r="BG176" i="5"/>
  <c r="BG161" i="5"/>
  <c r="BH143" i="5"/>
  <c r="BG140" i="5"/>
  <c r="BH132" i="5"/>
  <c r="BG121" i="5"/>
  <c r="BH118" i="5"/>
  <c r="BG110" i="5"/>
  <c r="BG187" i="5"/>
  <c r="BH184" i="5"/>
  <c r="BG146" i="5"/>
  <c r="BH142" i="5"/>
  <c r="BH140" i="5"/>
  <c r="BG134" i="5"/>
  <c r="BH119" i="5"/>
  <c r="BG94" i="5"/>
  <c r="BG73" i="5"/>
  <c r="BH70" i="5"/>
  <c r="BG63" i="5"/>
  <c r="BH59" i="5"/>
  <c r="BG56" i="5"/>
  <c r="BG44" i="5"/>
  <c r="BG43" i="5"/>
  <c r="BH34" i="5"/>
  <c r="BG33" i="5"/>
  <c r="BG12" i="5"/>
  <c r="BH16" i="5"/>
  <c r="BG14" i="5"/>
  <c r="BG159" i="5"/>
  <c r="BG136" i="5"/>
  <c r="BG128" i="5"/>
  <c r="BH96" i="5"/>
  <c r="BG82" i="5"/>
  <c r="BG70" i="5"/>
  <c r="BH67" i="5"/>
  <c r="BG59" i="5"/>
  <c r="BG53" i="5"/>
  <c r="BG34" i="5"/>
  <c r="BG23" i="5"/>
  <c r="BG13" i="5"/>
  <c r="BG109" i="5"/>
  <c r="BG89" i="5"/>
  <c r="BG67" i="5"/>
  <c r="BG49" i="5"/>
  <c r="BG196" i="5"/>
  <c r="BH116" i="5"/>
  <c r="BH100" i="5"/>
  <c r="BH84" i="5"/>
  <c r="BG45" i="5"/>
  <c r="BG180" i="5"/>
  <c r="BH161" i="5"/>
  <c r="BG145" i="5"/>
  <c r="BG116" i="5"/>
  <c r="BG100" i="5"/>
  <c r="BG46" i="5"/>
  <c r="BG35" i="5"/>
  <c r="BG16" i="5"/>
  <c r="BG15" i="5"/>
  <c r="BG50" i="5"/>
  <c r="BG36" i="5"/>
  <c r="BH26" i="5"/>
  <c r="BG25" i="5"/>
  <c r="BG17" i="5"/>
  <c r="BH2" i="5"/>
  <c r="BG68" i="5"/>
  <c r="BG57" i="5"/>
  <c r="BH37" i="5"/>
  <c r="BG26" i="5"/>
  <c r="BG3" i="5"/>
  <c r="BG2" i="5"/>
  <c r="BG144" i="5"/>
  <c r="BG108" i="5"/>
  <c r="BG74" i="5"/>
  <c r="BH68" i="5"/>
  <c r="BG60" i="5"/>
  <c r="BH57" i="5"/>
  <c r="BH3" i="5"/>
  <c r="BH27" i="5"/>
  <c r="BG171" i="5"/>
  <c r="BH163" i="5"/>
  <c r="BG156" i="5"/>
  <c r="BH151" i="5"/>
  <c r="BH117" i="5"/>
  <c r="BH98" i="5"/>
  <c r="BH93" i="5"/>
  <c r="BH71" i="5"/>
  <c r="BH28" i="5"/>
  <c r="BH8" i="5"/>
  <c r="BH7" i="5"/>
  <c r="BH5" i="5"/>
  <c r="BH192" i="5"/>
  <c r="BH177" i="5"/>
  <c r="BH139" i="5"/>
  <c r="BH105" i="5"/>
  <c r="BH99" i="5"/>
  <c r="BG93" i="5"/>
  <c r="BH86" i="5"/>
  <c r="BH81" i="5"/>
  <c r="BG71" i="5"/>
  <c r="BG65" i="5"/>
  <c r="BH61" i="5"/>
  <c r="BH47" i="5"/>
  <c r="BH38" i="5"/>
  <c r="BG37" i="5"/>
  <c r="BG28" i="5"/>
  <c r="BG27" i="5"/>
  <c r="BG8" i="5"/>
  <c r="BG7" i="5"/>
  <c r="BG5" i="5"/>
  <c r="BH4" i="5"/>
  <c r="BG189" i="5"/>
  <c r="BH174" i="5"/>
  <c r="BH170" i="5"/>
  <c r="BG157" i="5"/>
  <c r="BH155" i="5"/>
  <c r="BH135" i="5"/>
  <c r="BG129" i="5"/>
  <c r="BG122" i="5"/>
  <c r="BG112" i="5"/>
  <c r="BH106" i="5"/>
  <c r="BG105" i="5"/>
  <c r="BH104" i="5"/>
  <c r="BG99" i="5"/>
  <c r="BH92" i="5"/>
  <c r="BG87" i="5"/>
  <c r="BG86" i="5"/>
  <c r="BG81" i="5"/>
  <c r="BG61" i="5"/>
  <c r="BH58" i="5"/>
  <c r="BG51" i="5"/>
  <c r="BG47" i="5"/>
  <c r="BH40" i="5"/>
  <c r="BH39" i="5"/>
  <c r="BG38" i="5"/>
  <c r="BG29" i="5"/>
  <c r="BH19" i="5"/>
  <c r="BG4" i="5"/>
  <c r="BH103" i="5"/>
  <c r="BG77" i="5"/>
  <c r="BG58" i="5"/>
  <c r="BH55" i="5"/>
  <c r="BG40" i="5"/>
  <c r="BG39" i="5"/>
  <c r="BG20" i="5"/>
  <c r="BG19" i="5"/>
  <c r="BG9" i="5"/>
  <c r="BH185" i="5"/>
  <c r="BG131" i="5"/>
  <c r="BG91" i="5"/>
  <c r="BG72" i="5"/>
  <c r="BH66" i="5"/>
  <c r="BG62" i="5"/>
  <c r="BG55" i="5"/>
  <c r="BH52" i="5"/>
  <c r="BG41" i="5"/>
  <c r="BH30" i="5"/>
  <c r="BH21" i="5"/>
  <c r="BG10" i="5"/>
  <c r="BG194" i="5"/>
  <c r="BH176" i="5"/>
  <c r="BG118" i="5"/>
  <c r="BH85" i="5"/>
  <c r="BG79" i="5"/>
  <c r="BG75" i="5"/>
  <c r="BG69" i="5"/>
  <c r="BG48" i="5"/>
  <c r="BG32" i="5"/>
  <c r="BH31" i="5"/>
  <c r="BG21" i="5"/>
  <c r="BH44" i="5"/>
  <c r="BH43" i="5"/>
  <c r="BH33" i="5"/>
  <c r="BG31" i="5"/>
  <c r="BG24" i="5"/>
  <c r="BH15" i="5"/>
  <c r="BH173" i="5"/>
  <c r="BH167" i="5"/>
  <c r="BH148" i="5"/>
  <c r="BG123" i="5"/>
  <c r="BG85" i="5"/>
  <c r="BH73" i="5"/>
  <c r="BH56" i="5"/>
  <c r="BG22" i="5"/>
  <c r="BH12" i="5"/>
  <c r="BG11" i="5"/>
  <c r="BH9" i="5"/>
  <c r="BH72" i="5"/>
  <c r="BH62" i="5"/>
  <c r="BH64" i="5"/>
  <c r="BH120" i="5"/>
  <c r="BH131" i="5"/>
  <c r="BH129" i="5"/>
  <c r="BH144" i="5"/>
  <c r="BH136" i="5"/>
  <c r="BH23" i="5"/>
  <c r="BH11" i="5"/>
  <c r="BH50" i="5"/>
  <c r="BH75" i="5"/>
  <c r="BH87" i="5"/>
  <c r="BH158" i="5"/>
  <c r="BH150" i="5"/>
  <c r="BH193" i="5"/>
  <c r="BH22" i="5"/>
  <c r="BH69" i="5"/>
  <c r="BH90" i="5"/>
  <c r="BH101" i="5"/>
  <c r="BH63" i="5"/>
  <c r="BH35" i="5"/>
  <c r="BH194" i="5"/>
  <c r="BH65" i="5"/>
  <c r="BH190" i="5"/>
  <c r="BH83" i="5"/>
  <c r="BH159" i="5"/>
  <c r="BH114" i="5"/>
  <c r="BH107" i="5"/>
  <c r="BH187" i="5"/>
  <c r="BH169" i="5"/>
  <c r="BH124" i="5"/>
  <c r="BH137" i="5"/>
  <c r="BH20" i="5"/>
  <c r="BH49" i="5"/>
  <c r="BH10" i="5"/>
  <c r="BH41" i="5"/>
  <c r="BH29" i="5"/>
  <c r="BH130" i="5"/>
  <c r="BH138" i="5"/>
  <c r="BH18" i="5"/>
  <c r="BH80" i="5"/>
  <c r="BH42" i="5"/>
  <c r="BH112" i="5"/>
  <c r="BH157" i="5"/>
  <c r="BH111" i="5"/>
  <c r="BH102" i="5"/>
  <c r="BH181" i="5"/>
  <c r="BH97" i="5"/>
  <c r="BH45" i="5"/>
  <c r="BH88" i="5"/>
  <c r="BH125" i="5"/>
  <c r="BH113" i="5"/>
  <c r="BH160" i="5"/>
  <c r="BH147" i="5"/>
  <c r="BH89" i="5"/>
  <c r="BH164" i="5"/>
  <c r="BH36" i="5"/>
  <c r="BH76" i="5"/>
  <c r="BH14" i="5"/>
  <c r="BH122" i="5"/>
  <c r="BH189" i="5"/>
  <c r="BH156" i="5"/>
  <c r="BH17" i="5"/>
  <c r="BH53" i="5"/>
  <c r="BH183" i="5"/>
  <c r="BH179" i="5"/>
  <c r="BH171" i="5"/>
  <c r="BH46" i="5"/>
  <c r="BH48" i="5"/>
  <c r="BH32" i="5"/>
  <c r="BH6" i="5"/>
  <c r="BH82" i="5"/>
  <c r="BH74" i="5"/>
  <c r="BH121" i="5"/>
  <c r="BH54" i="5"/>
  <c r="BH25" i="5"/>
  <c r="BH110" i="5"/>
  <c r="BH149" i="5"/>
  <c r="BH95" i="5"/>
  <c r="BH200" i="5"/>
  <c r="BH198" i="5"/>
  <c r="BH165" i="5"/>
  <c r="BH78" i="5"/>
  <c r="BH166" i="5"/>
  <c r="BH13" i="5"/>
  <c r="BH60" i="5"/>
  <c r="BH24" i="5"/>
  <c r="BH197" i="5"/>
  <c r="BH77" i="5"/>
  <c r="BH51" i="5"/>
  <c r="BH153" i="5"/>
  <c r="BH109" i="5"/>
  <c r="BH94" i="5"/>
  <c r="BH146" i="5"/>
  <c r="BH126" i="5"/>
  <c r="E35" i="12"/>
  <c r="G35" i="12" s="1"/>
  <c r="N34" i="5"/>
  <c r="F34" i="5"/>
  <c r="N47" i="12"/>
  <c r="P47" i="12" s="1"/>
  <c r="L46" i="5"/>
  <c r="T46" i="5"/>
  <c r="AU69" i="5"/>
  <c r="BD33" i="5"/>
  <c r="BD96" i="5"/>
  <c r="AY122" i="5"/>
  <c r="P122" i="5"/>
  <c r="AX122" i="5"/>
  <c r="AZ122" i="5" s="1"/>
  <c r="N150" i="12"/>
  <c r="P150" i="12" s="1"/>
  <c r="T149" i="5"/>
  <c r="AY78" i="5"/>
  <c r="AX78" i="5"/>
  <c r="AZ78" i="5" s="1"/>
  <c r="P78" i="5"/>
  <c r="N156" i="5"/>
  <c r="AU156" i="5"/>
  <c r="AT156" i="5"/>
  <c r="AV156" i="5" s="1"/>
  <c r="AP144" i="5"/>
  <c r="AR144" i="5" s="1"/>
  <c r="AC144" i="5"/>
  <c r="AQ144" i="5"/>
  <c r="AY153" i="5"/>
  <c r="AX153" i="5"/>
  <c r="AZ153" i="5" s="1"/>
  <c r="P153" i="5"/>
  <c r="BC183" i="5"/>
  <c r="N187" i="5"/>
  <c r="AU187" i="5"/>
  <c r="AT187" i="5"/>
  <c r="AV187" i="5" s="1"/>
  <c r="N142" i="12"/>
  <c r="P142" i="12" s="1"/>
  <c r="T141" i="5"/>
  <c r="AP49" i="5"/>
  <c r="AR49" i="5" s="1"/>
  <c r="AQ49" i="5"/>
  <c r="AC49" i="5"/>
  <c r="AY17" i="5"/>
  <c r="AX17" i="5"/>
  <c r="AZ17" i="5" s="1"/>
  <c r="P17" i="5"/>
  <c r="AV101" i="5"/>
  <c r="BC68" i="5"/>
  <c r="BC66" i="5"/>
  <c r="K98" i="12"/>
  <c r="M98" i="12" s="1"/>
  <c r="J97" i="5"/>
  <c r="P67" i="5"/>
  <c r="AY67" i="5"/>
  <c r="AX67" i="5"/>
  <c r="AZ67" i="5" s="1"/>
  <c r="N74" i="12"/>
  <c r="P74" i="12" s="1"/>
  <c r="T73" i="5"/>
  <c r="AQ53" i="5"/>
  <c r="AC53" i="5"/>
  <c r="AP53" i="5"/>
  <c r="AR53" i="5" s="1"/>
  <c r="AK4" i="5"/>
  <c r="E6" i="1"/>
  <c r="I5" i="12"/>
  <c r="U4" i="13"/>
  <c r="BC57" i="5"/>
  <c r="BC12" i="5"/>
  <c r="H59" i="12"/>
  <c r="J59" i="12" s="1"/>
  <c r="H58" i="5"/>
  <c r="P58" i="5"/>
  <c r="BD200" i="5"/>
  <c r="AY91" i="5"/>
  <c r="P91" i="5"/>
  <c r="AX91" i="5"/>
  <c r="AZ91" i="5" s="1"/>
  <c r="AY162" i="5"/>
  <c r="F186" i="5"/>
  <c r="BC56" i="5"/>
  <c r="BB56" i="5"/>
  <c r="BD56" i="5" s="1"/>
  <c r="R56" i="5"/>
  <c r="E261" i="15"/>
  <c r="N136" i="12"/>
  <c r="P136" i="12" s="1"/>
  <c r="L135" i="5"/>
  <c r="T135" i="5"/>
  <c r="N135" i="12"/>
  <c r="P135" i="12" s="1"/>
  <c r="T134" i="5"/>
  <c r="BC130" i="5"/>
  <c r="BD174" i="5"/>
  <c r="L185" i="5"/>
  <c r="BD188" i="5"/>
  <c r="BD50" i="5"/>
  <c r="F68" i="5"/>
  <c r="AY90" i="5"/>
  <c r="AX90" i="5"/>
  <c r="AZ90" i="5" s="1"/>
  <c r="P90" i="5"/>
  <c r="L156" i="5"/>
  <c r="L85" i="5"/>
  <c r="AY142" i="5"/>
  <c r="AX142" i="5"/>
  <c r="AZ142" i="5" s="1"/>
  <c r="P142" i="5"/>
  <c r="AU54" i="5"/>
  <c r="AU84" i="5"/>
  <c r="AT84" i="5"/>
  <c r="AV84" i="5" s="1"/>
  <c r="N84" i="5"/>
  <c r="AV76" i="5"/>
  <c r="AY118" i="5"/>
  <c r="BC134" i="5"/>
  <c r="AY9" i="5"/>
  <c r="AX9" i="5"/>
  <c r="AZ9" i="5" s="1"/>
  <c r="P9" i="5"/>
  <c r="N51" i="12"/>
  <c r="P51" i="12" s="1"/>
  <c r="T50" i="5"/>
  <c r="F101" i="5"/>
  <c r="E134" i="12"/>
  <c r="G134" i="12" s="1"/>
  <c r="F133" i="5"/>
  <c r="N133" i="5"/>
  <c r="N19" i="12"/>
  <c r="P19" i="12" s="1"/>
  <c r="T18" i="5"/>
  <c r="N22" i="12"/>
  <c r="P22" i="12" s="1"/>
  <c r="T21" i="5"/>
  <c r="K110" i="12"/>
  <c r="M110" i="12" s="1"/>
  <c r="J109" i="5"/>
  <c r="R109" i="5"/>
  <c r="AY30" i="5"/>
  <c r="AQ68" i="5"/>
  <c r="AP68" i="5"/>
  <c r="AR68" i="5" s="1"/>
  <c r="AC68" i="5"/>
  <c r="AV95" i="5"/>
  <c r="N119" i="5"/>
  <c r="AU119" i="5"/>
  <c r="AT119" i="5"/>
  <c r="AV119" i="5" s="1"/>
  <c r="BB123" i="5"/>
  <c r="BD123" i="5" s="1"/>
  <c r="R123" i="5"/>
  <c r="BC123" i="5"/>
  <c r="R116" i="5"/>
  <c r="BB116" i="5"/>
  <c r="BD116" i="5" s="1"/>
  <c r="BC116" i="5"/>
  <c r="J191" i="5"/>
  <c r="BD121" i="5"/>
  <c r="E146" i="12"/>
  <c r="G146" i="12" s="1"/>
  <c r="F145" i="5"/>
  <c r="N145" i="5"/>
  <c r="AU9" i="5"/>
  <c r="BC21" i="5"/>
  <c r="R21" i="5"/>
  <c r="BB21" i="5"/>
  <c r="BD21" i="5" s="1"/>
  <c r="BC6" i="5"/>
  <c r="R78" i="5"/>
  <c r="AT111" i="5"/>
  <c r="AV111" i="5" s="1"/>
  <c r="N111" i="5"/>
  <c r="AU111" i="5"/>
  <c r="BD124" i="5"/>
  <c r="BC129" i="5"/>
  <c r="BD79" i="5"/>
  <c r="AP83" i="5"/>
  <c r="AR83" i="5" s="1"/>
  <c r="AQ83" i="5"/>
  <c r="AC83" i="5"/>
  <c r="AQ92" i="5"/>
  <c r="AP92" i="5"/>
  <c r="AR92" i="5" s="1"/>
  <c r="AC92" i="5"/>
  <c r="AV5" i="5"/>
  <c r="BC106" i="5"/>
  <c r="BB106" i="5"/>
  <c r="BD106" i="5" s="1"/>
  <c r="R106" i="5"/>
  <c r="AU66" i="5"/>
  <c r="AT66" i="5"/>
  <c r="AV66" i="5" s="1"/>
  <c r="N66" i="5"/>
  <c r="BC48" i="5"/>
  <c r="BB48" i="5"/>
  <c r="BD48" i="5" s="1"/>
  <c r="R48" i="5"/>
  <c r="E77" i="12"/>
  <c r="G77" i="12" s="1"/>
  <c r="F76" i="5"/>
  <c r="N76" i="5"/>
  <c r="N149" i="12"/>
  <c r="P149" i="12" s="1"/>
  <c r="T148" i="5"/>
  <c r="N196" i="12"/>
  <c r="P196" i="12" s="1"/>
  <c r="T195" i="5"/>
  <c r="AZ26" i="5"/>
  <c r="AU83" i="5"/>
  <c r="AU49" i="5"/>
  <c r="AT49" i="5"/>
  <c r="AV49" i="5" s="1"/>
  <c r="N49" i="5"/>
  <c r="AY102" i="5"/>
  <c r="AX102" i="5"/>
  <c r="AZ102" i="5" s="1"/>
  <c r="P102" i="5"/>
  <c r="E76" i="12"/>
  <c r="G76" i="12" s="1"/>
  <c r="F75" i="5"/>
  <c r="AZ156" i="5"/>
  <c r="AZ179" i="5"/>
  <c r="AV190" i="5"/>
  <c r="AY47" i="5"/>
  <c r="AX47" i="5"/>
  <c r="AZ47" i="5" s="1"/>
  <c r="P47" i="5"/>
  <c r="AU150" i="5"/>
  <c r="P51" i="5"/>
  <c r="AV149" i="5"/>
  <c r="N201" i="12"/>
  <c r="P201" i="12" s="1"/>
  <c r="T200" i="5"/>
  <c r="BC177" i="5"/>
  <c r="E5" i="12"/>
  <c r="N4" i="5"/>
  <c r="E15" i="10"/>
  <c r="Y4" i="15"/>
  <c r="N56" i="15"/>
  <c r="P56" i="15" s="1"/>
  <c r="H24" i="5"/>
  <c r="Q4" i="11"/>
  <c r="AI4" i="11"/>
  <c r="AF4" i="5"/>
  <c r="P4" i="13"/>
  <c r="R95" i="5"/>
  <c r="BB95" i="5"/>
  <c r="BD95" i="5" s="1"/>
  <c r="BC95" i="5"/>
  <c r="AT147" i="5"/>
  <c r="AV147" i="5" s="1"/>
  <c r="N147" i="5"/>
  <c r="AU147" i="5"/>
  <c r="AU182" i="5"/>
  <c r="AT182" i="5"/>
  <c r="AV182" i="5" s="1"/>
  <c r="N182" i="5"/>
  <c r="W4" i="13"/>
  <c r="G6" i="1"/>
  <c r="AM4" i="5"/>
  <c r="O5" i="12"/>
  <c r="P5" i="12" s="1"/>
  <c r="C35" i="16"/>
  <c r="H170" i="12"/>
  <c r="J170" i="12" s="1"/>
  <c r="P169" i="5"/>
  <c r="H169" i="5"/>
  <c r="AV127" i="5"/>
  <c r="P167" i="5"/>
  <c r="H185" i="5"/>
  <c r="AV27" i="5"/>
  <c r="H176" i="12"/>
  <c r="J176" i="12" s="1"/>
  <c r="H175" i="5"/>
  <c r="P175" i="5"/>
  <c r="L30" i="5"/>
  <c r="BC122" i="5"/>
  <c r="R122" i="5"/>
  <c r="BB122" i="5"/>
  <c r="BD122" i="5" s="1"/>
  <c r="N141" i="5"/>
  <c r="AU141" i="5"/>
  <c r="AT141" i="5"/>
  <c r="AV141" i="5" s="1"/>
  <c r="AT67" i="5"/>
  <c r="AV67" i="5" s="1"/>
  <c r="N67" i="5"/>
  <c r="AU67" i="5"/>
  <c r="AT91" i="5"/>
  <c r="AV91" i="5" s="1"/>
  <c r="N91" i="5"/>
  <c r="AU91" i="5"/>
  <c r="K170" i="12"/>
  <c r="M170" i="12" s="1"/>
  <c r="J169" i="5"/>
  <c r="R169" i="5"/>
  <c r="AV21" i="5"/>
  <c r="BB30" i="5"/>
  <c r="BD30" i="5" s="1"/>
  <c r="BC30" i="5"/>
  <c r="R30" i="5"/>
  <c r="R86" i="5"/>
  <c r="BC86" i="5"/>
  <c r="BB86" i="5"/>
  <c r="BD86" i="5" s="1"/>
  <c r="E23" i="12"/>
  <c r="G23" i="12" s="1"/>
  <c r="N22" i="5"/>
  <c r="F22" i="5"/>
  <c r="N100" i="5"/>
  <c r="AU100" i="5"/>
  <c r="AT100" i="5"/>
  <c r="AV100" i="5" s="1"/>
  <c r="AY146" i="5"/>
  <c r="AX146" i="5"/>
  <c r="AZ146" i="5" s="1"/>
  <c r="P146" i="5"/>
  <c r="K176" i="12"/>
  <c r="M176" i="12" s="1"/>
  <c r="J175" i="5"/>
  <c r="R175" i="5"/>
  <c r="AU41" i="5"/>
  <c r="AT41" i="5"/>
  <c r="AV41" i="5" s="1"/>
  <c r="N41" i="5"/>
  <c r="F54" i="5"/>
  <c r="AU21" i="5"/>
  <c r="AY106" i="5"/>
  <c r="P106" i="5"/>
  <c r="AX106" i="5"/>
  <c r="AZ106" i="5" s="1"/>
  <c r="E29" i="12"/>
  <c r="G29" i="12" s="1"/>
  <c r="F28" i="5"/>
  <c r="N28" i="5"/>
  <c r="BC167" i="5"/>
  <c r="BB167" i="5"/>
  <c r="BD167" i="5" s="1"/>
  <c r="R167" i="5"/>
  <c r="AX100" i="5"/>
  <c r="AZ100" i="5" s="1"/>
  <c r="AY100" i="5"/>
  <c r="P100" i="5"/>
  <c r="BD81" i="5"/>
  <c r="L174" i="5"/>
  <c r="N129" i="5"/>
  <c r="AU129" i="5"/>
  <c r="AT129" i="5"/>
  <c r="AV129" i="5" s="1"/>
  <c r="N176" i="12"/>
  <c r="P176" i="12" s="1"/>
  <c r="L175" i="5"/>
  <c r="T175" i="5"/>
  <c r="BD26" i="5"/>
  <c r="AU80" i="5"/>
  <c r="H54" i="5"/>
  <c r="L15" i="5"/>
  <c r="AU71" i="5"/>
  <c r="AT71" i="5"/>
  <c r="AV71" i="5" s="1"/>
  <c r="N71" i="5"/>
  <c r="N69" i="5"/>
  <c r="BC33" i="5"/>
  <c r="BC96" i="5"/>
  <c r="BD147" i="5"/>
  <c r="AU184" i="5"/>
  <c r="N184" i="5"/>
  <c r="AT184" i="5"/>
  <c r="AV184" i="5" s="1"/>
  <c r="R153" i="5"/>
  <c r="BB153" i="5"/>
  <c r="BD153" i="5" s="1"/>
  <c r="BC153" i="5"/>
  <c r="AT165" i="5"/>
  <c r="AV165" i="5" s="1"/>
  <c r="N165" i="5"/>
  <c r="AU165" i="5"/>
  <c r="BB189" i="5"/>
  <c r="BD189" i="5" s="1"/>
  <c r="R189" i="5"/>
  <c r="BC189" i="5"/>
  <c r="BD44" i="5"/>
  <c r="R17" i="5"/>
  <c r="BC17" i="5"/>
  <c r="BB17" i="5"/>
  <c r="BD17" i="5" s="1"/>
  <c r="J69" i="5"/>
  <c r="AU101" i="5"/>
  <c r="AQ118" i="5"/>
  <c r="AP118" i="5"/>
  <c r="AR118" i="5" s="1"/>
  <c r="AC118" i="5"/>
  <c r="N98" i="12"/>
  <c r="P98" i="12" s="1"/>
  <c r="L97" i="5"/>
  <c r="T97" i="5"/>
  <c r="AV131" i="5"/>
  <c r="AI4" i="5"/>
  <c r="C6" i="1"/>
  <c r="X4" i="15"/>
  <c r="C5" i="12"/>
  <c r="S4" i="13"/>
  <c r="BD37" i="5"/>
  <c r="E59" i="12"/>
  <c r="G59" i="12" s="1"/>
  <c r="F58" i="5"/>
  <c r="N58" i="5"/>
  <c r="AY134" i="5"/>
  <c r="AX134" i="5"/>
  <c r="AZ134" i="5" s="1"/>
  <c r="P134" i="5"/>
  <c r="R200" i="5"/>
  <c r="AT179" i="5"/>
  <c r="AV179" i="5" s="1"/>
  <c r="N179" i="5"/>
  <c r="AU179" i="5"/>
  <c r="AY117" i="5"/>
  <c r="BC83" i="5"/>
  <c r="J56" i="5"/>
  <c r="H51" i="5"/>
  <c r="F4" i="5"/>
  <c r="AU39" i="5"/>
  <c r="AT39" i="5"/>
  <c r="AV39" i="5" s="1"/>
  <c r="N39" i="5"/>
  <c r="AU72" i="5"/>
  <c r="AT72" i="5"/>
  <c r="AV72" i="5" s="1"/>
  <c r="N72" i="5"/>
  <c r="AZ132" i="5"/>
  <c r="F181" i="5"/>
  <c r="BC50" i="5"/>
  <c r="AY3" i="5"/>
  <c r="H68" i="5"/>
  <c r="F159" i="5"/>
  <c r="AT97" i="5"/>
  <c r="AV97" i="5" s="1"/>
  <c r="N97" i="5"/>
  <c r="AU97" i="5"/>
  <c r="R93" i="5"/>
  <c r="N142" i="5"/>
  <c r="AU142" i="5"/>
  <c r="AT142" i="5"/>
  <c r="AV142" i="5" s="1"/>
  <c r="BC117" i="5"/>
  <c r="BD134" i="5"/>
  <c r="AY171" i="5"/>
  <c r="BB9" i="5"/>
  <c r="BD9" i="5" s="1"/>
  <c r="R9" i="5"/>
  <c r="BC9" i="5"/>
  <c r="U2" i="13"/>
  <c r="AK2" i="5"/>
  <c r="E4" i="1"/>
  <c r="I3" i="12"/>
  <c r="N103" i="12"/>
  <c r="P103" i="12" s="1"/>
  <c r="T102" i="5"/>
  <c r="AU37" i="5"/>
  <c r="AT37" i="5"/>
  <c r="AV37" i="5" s="1"/>
  <c r="N37" i="5"/>
  <c r="N79" i="12"/>
  <c r="P79" i="12" s="1"/>
  <c r="T78" i="5"/>
  <c r="H134" i="12"/>
  <c r="J134" i="12" s="1"/>
  <c r="H133" i="5"/>
  <c r="P133" i="5"/>
  <c r="H17" i="12"/>
  <c r="J17" i="12" s="1"/>
  <c r="H16" i="5"/>
  <c r="P16" i="5"/>
  <c r="K199" i="12"/>
  <c r="M199" i="12" s="1"/>
  <c r="J198" i="5"/>
  <c r="R198" i="5"/>
  <c r="F134" i="5"/>
  <c r="AU124" i="5"/>
  <c r="P116" i="5"/>
  <c r="AX116" i="5"/>
  <c r="AZ116" i="5" s="1"/>
  <c r="AY116" i="5"/>
  <c r="N191" i="12"/>
  <c r="P191" i="12" s="1"/>
  <c r="T190" i="5"/>
  <c r="H146" i="12"/>
  <c r="J146" i="12" s="1"/>
  <c r="H145" i="5"/>
  <c r="P145" i="5"/>
  <c r="N9" i="5"/>
  <c r="AY49" i="5"/>
  <c r="BD78" i="5"/>
  <c r="AP111" i="5"/>
  <c r="AR111" i="5" s="1"/>
  <c r="AQ111" i="5"/>
  <c r="AC111" i="5"/>
  <c r="AU134" i="5"/>
  <c r="BD136" i="5"/>
  <c r="BD92" i="5"/>
  <c r="AU5" i="5"/>
  <c r="AY150" i="5"/>
  <c r="AY66" i="5"/>
  <c r="AX66" i="5"/>
  <c r="AZ66" i="5" s="1"/>
  <c r="P66" i="5"/>
  <c r="AY62" i="5"/>
  <c r="AX62" i="5"/>
  <c r="AZ62" i="5" s="1"/>
  <c r="P62" i="5"/>
  <c r="K77" i="12"/>
  <c r="M77" i="12" s="1"/>
  <c r="J76" i="5"/>
  <c r="R76" i="5"/>
  <c r="F138" i="5"/>
  <c r="BC154" i="5"/>
  <c r="F195" i="5"/>
  <c r="BD91" i="5"/>
  <c r="AY77" i="5"/>
  <c r="R32" i="5"/>
  <c r="N85" i="12"/>
  <c r="P85" i="12" s="1"/>
  <c r="T84" i="5"/>
  <c r="P156" i="5"/>
  <c r="AU190" i="5"/>
  <c r="BB47" i="5"/>
  <c r="BD47" i="5" s="1"/>
  <c r="R47" i="5"/>
  <c r="BC47" i="5"/>
  <c r="AY51" i="5"/>
  <c r="AU7" i="5"/>
  <c r="AU149" i="5"/>
  <c r="H170" i="5"/>
  <c r="BD177" i="5"/>
  <c r="J259" i="15"/>
  <c r="N59" i="12"/>
  <c r="P59" i="12" s="1"/>
  <c r="T58" i="5"/>
  <c r="L58" i="5"/>
  <c r="AQ185" i="5"/>
  <c r="AC185" i="5"/>
  <c r="AP185" i="5"/>
  <c r="AR185" i="5" s="1"/>
  <c r="AY113" i="5"/>
  <c r="AX113" i="5"/>
  <c r="AZ113" i="5" s="1"/>
  <c r="P113" i="5"/>
  <c r="P31" i="5"/>
  <c r="AY31" i="5"/>
  <c r="AX31" i="5"/>
  <c r="AZ31" i="5" s="1"/>
  <c r="AP39" i="5"/>
  <c r="AR39" i="5" s="1"/>
  <c r="AC39" i="5"/>
  <c r="AQ39" i="5"/>
  <c r="AY72" i="5"/>
  <c r="AX72" i="5"/>
  <c r="AZ72" i="5" s="1"/>
  <c r="P72" i="5"/>
  <c r="AC190" i="5"/>
  <c r="AP190" i="5"/>
  <c r="AR190" i="5" s="1"/>
  <c r="AQ190" i="5"/>
  <c r="AX97" i="5"/>
  <c r="AZ97" i="5" s="1"/>
  <c r="P97" i="5"/>
  <c r="AY97" i="5"/>
  <c r="AU20" i="5"/>
  <c r="AT20" i="5"/>
  <c r="AV20" i="5" s="1"/>
  <c r="N20" i="5"/>
  <c r="P24" i="5"/>
  <c r="AY24" i="5"/>
  <c r="AX24" i="5"/>
  <c r="AZ24" i="5" s="1"/>
  <c r="AY37" i="5"/>
  <c r="AX37" i="5"/>
  <c r="AZ37" i="5" s="1"/>
  <c r="P37" i="5"/>
  <c r="R97" i="5"/>
  <c r="BC97" i="5"/>
  <c r="BB97" i="5"/>
  <c r="BD97" i="5" s="1"/>
  <c r="N134" i="12"/>
  <c r="P134" i="12" s="1"/>
  <c r="T133" i="5"/>
  <c r="L133" i="5"/>
  <c r="N190" i="12"/>
  <c r="P190" i="12" s="1"/>
  <c r="T189" i="5"/>
  <c r="F141" i="5"/>
  <c r="AY71" i="5"/>
  <c r="AX71" i="5"/>
  <c r="AZ71" i="5" s="1"/>
  <c r="P71" i="5"/>
  <c r="AU95" i="5"/>
  <c r="AX176" i="5"/>
  <c r="AZ176" i="5" s="1"/>
  <c r="AY176" i="5"/>
  <c r="P176" i="5"/>
  <c r="N3" i="12"/>
  <c r="T2" i="5"/>
  <c r="K146" i="12"/>
  <c r="M146" i="12" s="1"/>
  <c r="J145" i="5"/>
  <c r="R145" i="5"/>
  <c r="K191" i="12"/>
  <c r="M191" i="12" s="1"/>
  <c r="R190" i="5"/>
  <c r="P44" i="5"/>
  <c r="AY44" i="5"/>
  <c r="AX44" i="5"/>
  <c r="AZ44" i="5" s="1"/>
  <c r="E259" i="15"/>
  <c r="P13" i="5"/>
  <c r="AY13" i="5"/>
  <c r="AX13" i="5"/>
  <c r="AZ13" i="5" s="1"/>
  <c r="BC62" i="5"/>
  <c r="BB62" i="5"/>
  <c r="BD62" i="5" s="1"/>
  <c r="R62" i="5"/>
  <c r="N77" i="12"/>
  <c r="P77" i="12" s="1"/>
  <c r="T76" i="5"/>
  <c r="L76" i="5"/>
  <c r="AY170" i="5"/>
  <c r="AX170" i="5"/>
  <c r="AZ170" i="5" s="1"/>
  <c r="P170" i="5"/>
  <c r="K11" i="12"/>
  <c r="M11" i="12" s="1"/>
  <c r="J10" i="5"/>
  <c r="R10" i="5"/>
  <c r="AV7" i="5"/>
  <c r="F170" i="5"/>
  <c r="D6" i="16"/>
  <c r="G3" i="16" s="1"/>
  <c r="B208" i="1"/>
  <c r="N117" i="5"/>
  <c r="AT117" i="5"/>
  <c r="AV117" i="5" s="1"/>
  <c r="AU117" i="5"/>
  <c r="AP189" i="5"/>
  <c r="AR189" i="5" s="1"/>
  <c r="AQ189" i="5"/>
  <c r="AC189" i="5"/>
  <c r="AQ179" i="5"/>
  <c r="AP179" i="5"/>
  <c r="AR179" i="5" s="1"/>
  <c r="AC179" i="5"/>
  <c r="K136" i="12"/>
  <c r="M136" i="12" s="1"/>
  <c r="J135" i="5"/>
  <c r="H35" i="12"/>
  <c r="J35" i="12" s="1"/>
  <c r="P34" i="5"/>
  <c r="H34" i="5"/>
  <c r="N168" i="12"/>
  <c r="P168" i="12" s="1"/>
  <c r="T167" i="5"/>
  <c r="BC128" i="5"/>
  <c r="BB128" i="5"/>
  <c r="BD128" i="5" s="1"/>
  <c r="R128" i="5"/>
  <c r="K166" i="12"/>
  <c r="M166" i="12" s="1"/>
  <c r="J165" i="5"/>
  <c r="AV103" i="5"/>
  <c r="AZ53" i="5"/>
  <c r="BD77" i="5"/>
  <c r="BD107" i="5"/>
  <c r="BC147" i="5"/>
  <c r="AZ174" i="5"/>
  <c r="BC178" i="5"/>
  <c r="N32" i="12"/>
  <c r="P32" i="12" s="1"/>
  <c r="T31" i="5"/>
  <c r="N41" i="12"/>
  <c r="P41" i="12" s="1"/>
  <c r="T40" i="5"/>
  <c r="L40" i="5"/>
  <c r="N194" i="12"/>
  <c r="P194" i="12" s="1"/>
  <c r="T193" i="5"/>
  <c r="N21" i="12"/>
  <c r="P21" i="12" s="1"/>
  <c r="T20" i="5"/>
  <c r="AV108" i="5"/>
  <c r="F102" i="5"/>
  <c r="AY140" i="5"/>
  <c r="AC126" i="5"/>
  <c r="AQ126" i="5"/>
  <c r="AP126" i="5"/>
  <c r="AR126" i="5" s="1"/>
  <c r="K116" i="12"/>
  <c r="M116" i="12" s="1"/>
  <c r="R115" i="5"/>
  <c r="J115" i="5"/>
  <c r="K41" i="12"/>
  <c r="M41" i="12" s="1"/>
  <c r="J40" i="5"/>
  <c r="R40" i="5"/>
  <c r="AP32" i="5"/>
  <c r="AR32" i="5" s="1"/>
  <c r="AC32" i="5"/>
  <c r="AQ32" i="5"/>
  <c r="BC102" i="5"/>
  <c r="BC39" i="5"/>
  <c r="BD84" i="5"/>
  <c r="K59" i="12"/>
  <c r="M59" i="12" s="1"/>
  <c r="J58" i="5"/>
  <c r="R58" i="5"/>
  <c r="AU185" i="5"/>
  <c r="AX191" i="5"/>
  <c r="AZ191" i="5" s="1"/>
  <c r="P191" i="5"/>
  <c r="AY191" i="5"/>
  <c r="K193" i="12"/>
  <c r="M193" i="12" s="1"/>
  <c r="J192" i="5"/>
  <c r="R192" i="5"/>
  <c r="AY148" i="5"/>
  <c r="K100" i="12"/>
  <c r="M100" i="12" s="1"/>
  <c r="R99" i="5"/>
  <c r="R113" i="5"/>
  <c r="BC113" i="5"/>
  <c r="BB113" i="5"/>
  <c r="BD113" i="5" s="1"/>
  <c r="N182" i="12"/>
  <c r="P182" i="12" s="1"/>
  <c r="T181" i="5"/>
  <c r="R83" i="5"/>
  <c r="AC48" i="5"/>
  <c r="AQ48" i="5"/>
  <c r="AP48" i="5"/>
  <c r="AR48" i="5" s="1"/>
  <c r="AT31" i="5"/>
  <c r="AV31" i="5" s="1"/>
  <c r="N31" i="5"/>
  <c r="AU31" i="5"/>
  <c r="AU122" i="5"/>
  <c r="P96" i="5"/>
  <c r="AY96" i="5"/>
  <c r="AX96" i="5"/>
  <c r="AZ96" i="5" s="1"/>
  <c r="AY132" i="5"/>
  <c r="P161" i="5"/>
  <c r="AY161" i="5"/>
  <c r="AX161" i="5"/>
  <c r="AZ161" i="5" s="1"/>
  <c r="AT146" i="5"/>
  <c r="AV146" i="5" s="1"/>
  <c r="AU146" i="5"/>
  <c r="N146" i="5"/>
  <c r="N195" i="5"/>
  <c r="AU195" i="5"/>
  <c r="AT195" i="5"/>
  <c r="AV195" i="5" s="1"/>
  <c r="BD27" i="5"/>
  <c r="F108" i="5"/>
  <c r="L68" i="5"/>
  <c r="AY168" i="5"/>
  <c r="BD93" i="5"/>
  <c r="P41" i="5"/>
  <c r="BD117" i="5"/>
  <c r="AZ151" i="5"/>
  <c r="AV32" i="5"/>
  <c r="AY144" i="5"/>
  <c r="AY20" i="5"/>
  <c r="AX20" i="5"/>
  <c r="AZ20" i="5" s="1"/>
  <c r="P20" i="5"/>
  <c r="AQ77" i="5"/>
  <c r="AP77" i="5"/>
  <c r="AR77" i="5" s="1"/>
  <c r="AC77" i="5"/>
  <c r="BD31" i="5"/>
  <c r="E83" i="12"/>
  <c r="G83" i="12" s="1"/>
  <c r="F82" i="5"/>
  <c r="N82" i="5"/>
  <c r="BB156" i="5"/>
  <c r="BD156" i="5" s="1"/>
  <c r="BC156" i="5"/>
  <c r="R156" i="5"/>
  <c r="N125" i="12"/>
  <c r="P125" i="12" s="1"/>
  <c r="T124" i="5"/>
  <c r="BD179" i="5"/>
  <c r="N17" i="12"/>
  <c r="P17" i="12" s="1"/>
  <c r="T16" i="5"/>
  <c r="L16" i="5"/>
  <c r="N140" i="12"/>
  <c r="P140" i="12" s="1"/>
  <c r="L139" i="5"/>
  <c r="T139" i="5"/>
  <c r="J141" i="5"/>
  <c r="AQ63" i="5"/>
  <c r="AP63" i="5"/>
  <c r="AR63" i="5" s="1"/>
  <c r="AC63" i="5"/>
  <c r="BB111" i="5"/>
  <c r="BD111" i="5" s="1"/>
  <c r="R111" i="5"/>
  <c r="BC111" i="5"/>
  <c r="AY147" i="5"/>
  <c r="AY158" i="5"/>
  <c r="AX158" i="5"/>
  <c r="AZ158" i="5" s="1"/>
  <c r="P158" i="5"/>
  <c r="AV170" i="5"/>
  <c r="AV124" i="5"/>
  <c r="BC176" i="5"/>
  <c r="R176" i="5"/>
  <c r="BB176" i="5"/>
  <c r="BD176" i="5" s="1"/>
  <c r="H82" i="12"/>
  <c r="J82" i="12" s="1"/>
  <c r="P81" i="5"/>
  <c r="N192" i="12"/>
  <c r="P192" i="12" s="1"/>
  <c r="T191" i="5"/>
  <c r="N28" i="12"/>
  <c r="P28" i="12" s="1"/>
  <c r="T27" i="5"/>
  <c r="BD18" i="5"/>
  <c r="AZ49" i="5"/>
  <c r="R135" i="5"/>
  <c r="BC158" i="5"/>
  <c r="AV134" i="5"/>
  <c r="BD190" i="5"/>
  <c r="T38" i="15"/>
  <c r="G22" i="16" s="1"/>
  <c r="E22" i="16" s="1"/>
  <c r="T43" i="15"/>
  <c r="T39" i="15" s="1"/>
  <c r="D45" i="15"/>
  <c r="S4" i="7"/>
  <c r="S8" i="7"/>
  <c r="S13" i="7"/>
  <c r="S17" i="7" s="1"/>
  <c r="BC92" i="5"/>
  <c r="AU13" i="5"/>
  <c r="AT13" i="5"/>
  <c r="AV13" i="5" s="1"/>
  <c r="N13" i="5"/>
  <c r="H77" i="12"/>
  <c r="J77" i="12" s="1"/>
  <c r="P76" i="5"/>
  <c r="H76" i="5"/>
  <c r="AU167" i="5"/>
  <c r="N167" i="5"/>
  <c r="AT167" i="5"/>
  <c r="AV167" i="5" s="1"/>
  <c r="R170" i="5"/>
  <c r="BB170" i="5"/>
  <c r="BD170" i="5" s="1"/>
  <c r="BC170" i="5"/>
  <c r="AZ93" i="5"/>
  <c r="AZ77" i="5"/>
  <c r="BC32" i="5"/>
  <c r="E11" i="12"/>
  <c r="G11" i="12" s="1"/>
  <c r="F10" i="5"/>
  <c r="N10" i="5"/>
  <c r="BD87" i="5"/>
  <c r="K158" i="12"/>
  <c r="M158" i="12" s="1"/>
  <c r="J157" i="5"/>
  <c r="R157" i="5"/>
  <c r="AV44" i="5"/>
  <c r="J87" i="5"/>
  <c r="J170" i="5"/>
  <c r="AZ180" i="5"/>
  <c r="AQ56" i="5"/>
  <c r="AP56" i="5"/>
  <c r="AR56" i="5" s="1"/>
  <c r="AC56" i="5"/>
  <c r="AL2" i="5"/>
  <c r="F4" i="1"/>
  <c r="L3" i="12"/>
  <c r="V2" i="13"/>
  <c r="AQ129" i="5"/>
  <c r="AP129" i="5"/>
  <c r="AR129" i="5" s="1"/>
  <c r="AC129" i="5"/>
  <c r="E176" i="12"/>
  <c r="G176" i="12" s="1"/>
  <c r="F175" i="5"/>
  <c r="N175" i="5"/>
  <c r="R53" i="5"/>
  <c r="BC53" i="5"/>
  <c r="BB53" i="5"/>
  <c r="BD53" i="5" s="1"/>
  <c r="AY18" i="5"/>
  <c r="AX18" i="5"/>
  <c r="AZ18" i="5" s="1"/>
  <c r="P18" i="5"/>
  <c r="N35" i="12"/>
  <c r="P35" i="12" s="1"/>
  <c r="L34" i="5"/>
  <c r="T34" i="5"/>
  <c r="P128" i="5"/>
  <c r="AX128" i="5"/>
  <c r="AZ128" i="5" s="1"/>
  <c r="AY128" i="5"/>
  <c r="H166" i="12"/>
  <c r="J166" i="12" s="1"/>
  <c r="H165" i="5"/>
  <c r="L259" i="15"/>
  <c r="AU163" i="5"/>
  <c r="AV157" i="5"/>
  <c r="AU145" i="5"/>
  <c r="AU110" i="5"/>
  <c r="AU88" i="5"/>
  <c r="AU137" i="5"/>
  <c r="AV192" i="5"/>
  <c r="AU157" i="5"/>
  <c r="AU121" i="5"/>
  <c r="AV88" i="5"/>
  <c r="AU70" i="5"/>
  <c r="AU34" i="5"/>
  <c r="AV16" i="5"/>
  <c r="AU46" i="5"/>
  <c r="AU17" i="5"/>
  <c r="AU16" i="5"/>
  <c r="AU26" i="5"/>
  <c r="AV3" i="5"/>
  <c r="AU3" i="5"/>
  <c r="AU2" i="5"/>
  <c r="AV104" i="5"/>
  <c r="AV28" i="5"/>
  <c r="AU169" i="5"/>
  <c r="AU125" i="5"/>
  <c r="AU113" i="5"/>
  <c r="AU65" i="5"/>
  <c r="AV4" i="5"/>
  <c r="AV58" i="5"/>
  <c r="AU4" i="5"/>
  <c r="AU128" i="5"/>
  <c r="AU58" i="5"/>
  <c r="AU10" i="5"/>
  <c r="AV110" i="5"/>
  <c r="AV42" i="5"/>
  <c r="AV22" i="5"/>
  <c r="AV116" i="5"/>
  <c r="AU94" i="5"/>
  <c r="AU22" i="5"/>
  <c r="AV34" i="5"/>
  <c r="AU116" i="5"/>
  <c r="AU89" i="5"/>
  <c r="AU82" i="5"/>
  <c r="AV70" i="5"/>
  <c r="AV14" i="5"/>
  <c r="AU28" i="5"/>
  <c r="AU180" i="5"/>
  <c r="AU42" i="5"/>
  <c r="AU192" i="5"/>
  <c r="AV180" i="5"/>
  <c r="AU76" i="5"/>
  <c r="AU103" i="5"/>
  <c r="AU139" i="5"/>
  <c r="AU29" i="5"/>
  <c r="AV137" i="5"/>
  <c r="AV29" i="5"/>
  <c r="AV17" i="5"/>
  <c r="AU109" i="5"/>
  <c r="AV197" i="5"/>
  <c r="AV163" i="5"/>
  <c r="AU104" i="5"/>
  <c r="AV10" i="5"/>
  <c r="AV36" i="5"/>
  <c r="AV89" i="5"/>
  <c r="AU127" i="5"/>
  <c r="AU197" i="5"/>
  <c r="AU40" i="5"/>
  <c r="AV94" i="5"/>
  <c r="AV2" i="5"/>
  <c r="AU196" i="5"/>
  <c r="AU198" i="5"/>
  <c r="AU14" i="5"/>
  <c r="AU64" i="5"/>
  <c r="AV82" i="5"/>
  <c r="AU36" i="5"/>
  <c r="AV26" i="5"/>
  <c r="AU151" i="5"/>
  <c r="AV121" i="5"/>
  <c r="AV46" i="5"/>
  <c r="AU161" i="5"/>
  <c r="AV109" i="5"/>
  <c r="AV145" i="5"/>
  <c r="AU52" i="5"/>
  <c r="AU194" i="5"/>
  <c r="AU115" i="5"/>
  <c r="AU133" i="5"/>
  <c r="AV198" i="5"/>
  <c r="AV65" i="5"/>
  <c r="AV196" i="5"/>
  <c r="AU175" i="5"/>
  <c r="AV194" i="5"/>
  <c r="AV128" i="5"/>
  <c r="N73" i="12"/>
  <c r="P73" i="12" s="1"/>
  <c r="T72" i="5"/>
  <c r="N110" i="12"/>
  <c r="P110" i="12" s="1"/>
  <c r="T109" i="5"/>
  <c r="L109" i="5"/>
  <c r="AX15" i="5"/>
  <c r="AZ15" i="5" s="1"/>
  <c r="P15" i="5"/>
  <c r="AY15" i="5"/>
  <c r="AT77" i="5"/>
  <c r="AV77" i="5" s="1"/>
  <c r="AU77" i="5"/>
  <c r="N77" i="5"/>
  <c r="AU108" i="5"/>
  <c r="AU126" i="5"/>
  <c r="AT126" i="5"/>
  <c r="AV126" i="5" s="1"/>
  <c r="N126" i="5"/>
  <c r="H94" i="12"/>
  <c r="J94" i="12" s="1"/>
  <c r="P93" i="5"/>
  <c r="AV8" i="5"/>
  <c r="BB23" i="5"/>
  <c r="BD23" i="5" s="1"/>
  <c r="BC23" i="5"/>
  <c r="R23" i="5"/>
  <c r="N86" i="5"/>
  <c r="AU86" i="5"/>
  <c r="AT86" i="5"/>
  <c r="AV86" i="5" s="1"/>
  <c r="BC84" i="5"/>
  <c r="BD142" i="5"/>
  <c r="AU191" i="5"/>
  <c r="N191" i="5"/>
  <c r="AT191" i="5"/>
  <c r="AV191" i="5" s="1"/>
  <c r="D18" i="16"/>
  <c r="C18" i="16"/>
  <c r="AZ148" i="5"/>
  <c r="AU48" i="5"/>
  <c r="AT48" i="5"/>
  <c r="AV48" i="5" s="1"/>
  <c r="N48" i="5"/>
  <c r="AX143" i="5"/>
  <c r="AZ143" i="5" s="1"/>
  <c r="P143" i="5"/>
  <c r="AY143" i="5"/>
  <c r="AU96" i="5"/>
  <c r="AT96" i="5"/>
  <c r="AV96" i="5" s="1"/>
  <c r="N96" i="5"/>
  <c r="BB161" i="5"/>
  <c r="BD161" i="5" s="1"/>
  <c r="BC161" i="5"/>
  <c r="R161" i="5"/>
  <c r="AQ146" i="5"/>
  <c r="AP146" i="5"/>
  <c r="AR146" i="5" s="1"/>
  <c r="AC146" i="5"/>
  <c r="AZ195" i="5"/>
  <c r="BC27" i="5"/>
  <c r="J108" i="5"/>
  <c r="E65" i="12"/>
  <c r="G65" i="12" s="1"/>
  <c r="F64" i="5"/>
  <c r="N64" i="5"/>
  <c r="AU114" i="5"/>
  <c r="N114" i="5"/>
  <c r="AT114" i="5"/>
  <c r="AV114" i="5" s="1"/>
  <c r="E82" i="12"/>
  <c r="G82" i="12" s="1"/>
  <c r="F81" i="5"/>
  <c r="AZ41" i="5"/>
  <c r="BD168" i="5"/>
  <c r="AY159" i="5"/>
  <c r="AX159" i="5"/>
  <c r="AZ159" i="5" s="1"/>
  <c r="P159" i="5"/>
  <c r="AU32" i="5"/>
  <c r="AV189" i="5"/>
  <c r="AY11" i="5"/>
  <c r="AX11" i="5"/>
  <c r="AZ11" i="5" s="1"/>
  <c r="P11" i="5"/>
  <c r="BC31" i="5"/>
  <c r="P45" i="5"/>
  <c r="AY45" i="5"/>
  <c r="AX45" i="5"/>
  <c r="AZ45" i="5" s="1"/>
  <c r="N83" i="12"/>
  <c r="P83" i="12" s="1"/>
  <c r="T82" i="5"/>
  <c r="L82" i="5"/>
  <c r="AT85" i="5"/>
  <c r="AV85" i="5" s="1"/>
  <c r="AU85" i="5"/>
  <c r="N85" i="5"/>
  <c r="BC179" i="5"/>
  <c r="H89" i="12"/>
  <c r="J89" i="12" s="1"/>
  <c r="H88" i="5"/>
  <c r="P88" i="5"/>
  <c r="N177" i="12"/>
  <c r="P177" i="12" s="1"/>
  <c r="T176" i="5"/>
  <c r="H141" i="5"/>
  <c r="AY107" i="5"/>
  <c r="AU138" i="5"/>
  <c r="AT138" i="5"/>
  <c r="AV138" i="5" s="1"/>
  <c r="N138" i="5"/>
  <c r="AU166" i="5"/>
  <c r="N166" i="5"/>
  <c r="AT166" i="5"/>
  <c r="AV166" i="5" s="1"/>
  <c r="L96" i="5"/>
  <c r="N170" i="5"/>
  <c r="N178" i="12"/>
  <c r="P178" i="12" s="1"/>
  <c r="T177" i="5"/>
  <c r="AT120" i="5"/>
  <c r="AV120" i="5" s="1"/>
  <c r="N120" i="5"/>
  <c r="AU120" i="5"/>
  <c r="AZ81" i="5"/>
  <c r="AY189" i="5"/>
  <c r="AU47" i="5"/>
  <c r="AT47" i="5"/>
  <c r="AV47" i="5" s="1"/>
  <c r="N47" i="5"/>
  <c r="BC18" i="5"/>
  <c r="BD135" i="5"/>
  <c r="BD158" i="5"/>
  <c r="BC172" i="5"/>
  <c r="K126" i="12"/>
  <c r="M126" i="12" s="1"/>
  <c r="J125" i="5"/>
  <c r="K181" i="12"/>
  <c r="M181" i="12" s="1"/>
  <c r="J180" i="5"/>
  <c r="R180" i="5"/>
  <c r="BD10" i="5"/>
  <c r="R13" i="7"/>
  <c r="R17" i="7"/>
  <c r="R4" i="7"/>
  <c r="R8" i="7" s="1"/>
  <c r="AU56" i="5"/>
  <c r="AM2" i="5"/>
  <c r="G4" i="1"/>
  <c r="W2" i="13"/>
  <c r="O3" i="12"/>
  <c r="BC11" i="5"/>
  <c r="BD90" i="5"/>
  <c r="AP134" i="5"/>
  <c r="AR134" i="5" s="1"/>
  <c r="AQ134" i="5"/>
  <c r="AC134" i="5"/>
  <c r="N162" i="12"/>
  <c r="P162" i="12" s="1"/>
  <c r="T161" i="5"/>
  <c r="AV169" i="5"/>
  <c r="H11" i="12"/>
  <c r="J11" i="12" s="1"/>
  <c r="H10" i="5"/>
  <c r="P10" i="5"/>
  <c r="R87" i="5"/>
  <c r="H158" i="12"/>
  <c r="J158" i="12" s="1"/>
  <c r="H157" i="5"/>
  <c r="P157" i="5"/>
  <c r="R197" i="5"/>
  <c r="BC197" i="5"/>
  <c r="BB197" i="5"/>
  <c r="BD197" i="5" s="1"/>
  <c r="AU44" i="5"/>
  <c r="BC112" i="5"/>
  <c r="AZ126" i="5"/>
  <c r="L170" i="5"/>
  <c r="AT193" i="5"/>
  <c r="AV193" i="5" s="1"/>
  <c r="N193" i="5"/>
  <c r="AU193" i="5"/>
  <c r="AZ64" i="5"/>
  <c r="V5" i="12"/>
  <c r="V3" i="12"/>
  <c r="AH3" i="11" l="1"/>
  <c r="AA4" i="12"/>
  <c r="BI3" i="5"/>
  <c r="M3" i="11"/>
  <c r="P3" i="13" s="1"/>
  <c r="L263" i="15"/>
  <c r="K259" i="15"/>
  <c r="M259" i="15" s="1"/>
  <c r="O259" i="15" s="1"/>
  <c r="F3" i="5"/>
  <c r="F5" i="5" s="1"/>
  <c r="P3" i="12"/>
  <c r="X3" i="15"/>
  <c r="T21" i="15" s="1"/>
  <c r="A6" i="16"/>
  <c r="C8" i="16"/>
  <c r="B61" i="16"/>
  <c r="F259" i="15"/>
  <c r="G259" i="15"/>
  <c r="E4" i="12"/>
  <c r="E14" i="10"/>
  <c r="N3" i="5"/>
  <c r="Y3" i="15"/>
  <c r="T23" i="15" s="1"/>
  <c r="D35" i="15" s="1"/>
  <c r="N55" i="15"/>
  <c r="P55" i="15" s="1"/>
  <c r="D55" i="15"/>
  <c r="T41" i="15"/>
  <c r="T47" i="15" s="1"/>
  <c r="C84" i="16" s="1"/>
  <c r="S18" i="7"/>
  <c r="G261" i="15"/>
  <c r="F261" i="15"/>
  <c r="W3" i="13"/>
  <c r="AM3" i="5"/>
  <c r="O4" i="12"/>
  <c r="G5" i="1"/>
  <c r="G204" i="1" s="1"/>
  <c r="E2" i="13"/>
  <c r="E4" i="13"/>
  <c r="G5" i="12"/>
  <c r="Q18" i="7"/>
  <c r="D5" i="12"/>
  <c r="K258" i="15"/>
  <c r="H4" i="12"/>
  <c r="E55" i="15"/>
  <c r="P3" i="5"/>
  <c r="R18" i="7"/>
  <c r="AK3" i="5"/>
  <c r="I4" i="12"/>
  <c r="U3" i="13"/>
  <c r="E5" i="1"/>
  <c r="E204" i="1" s="1"/>
  <c r="N4" i="12"/>
  <c r="T3" i="5"/>
  <c r="T5" i="5" s="1"/>
  <c r="G55" i="15"/>
  <c r="E11" i="15"/>
  <c r="D17" i="16" s="1"/>
  <c r="C17" i="16" s="1"/>
  <c r="C15" i="15"/>
  <c r="I3" i="9"/>
  <c r="S9" i="7"/>
  <c r="M262" i="15"/>
  <c r="O262" i="15" s="1"/>
  <c r="AI3" i="5"/>
  <c r="C4" i="12"/>
  <c r="S3" i="13"/>
  <c r="C5" i="1"/>
  <c r="C204" i="1" s="1"/>
  <c r="B26" i="16" s="1"/>
  <c r="P13" i="7"/>
  <c r="G258" i="15"/>
  <c r="F258" i="15"/>
  <c r="R9" i="7"/>
  <c r="H3" i="13"/>
  <c r="H55" i="15" s="1"/>
  <c r="B4" i="12"/>
  <c r="C55" i="15"/>
  <c r="G260" i="15"/>
  <c r="F260" i="15"/>
  <c r="T22" i="15"/>
  <c r="AF2" i="5"/>
  <c r="Q2" i="11"/>
  <c r="AI2" i="11"/>
  <c r="P2" i="13"/>
  <c r="Q8" i="7"/>
  <c r="Q9" i="7" s="1"/>
  <c r="AC3" i="5"/>
  <c r="AC5" i="5" s="1"/>
  <c r="G13" i="10"/>
  <c r="F13" i="10"/>
  <c r="K13" i="10"/>
  <c r="AJ4" i="11"/>
  <c r="U4" i="11"/>
  <c r="AG4" i="5"/>
  <c r="Q4" i="13"/>
  <c r="M260" i="15"/>
  <c r="O260" i="15" s="1"/>
  <c r="M261" i="15"/>
  <c r="O261" i="15" s="1"/>
  <c r="L3" i="5"/>
  <c r="L5" i="5" s="1"/>
  <c r="V3" i="13"/>
  <c r="AL3" i="5"/>
  <c r="L4" i="12"/>
  <c r="F5" i="1"/>
  <c r="F204" i="1" s="1"/>
  <c r="T27" i="15"/>
  <c r="F12" i="15"/>
  <c r="D15" i="15"/>
  <c r="F41" i="15" s="1"/>
  <c r="N5" i="5"/>
  <c r="B12" i="16"/>
  <c r="B29" i="15"/>
  <c r="W45" i="15"/>
  <c r="H261" i="15"/>
  <c r="J261" i="15" s="1"/>
  <c r="L5" i="13"/>
  <c r="U5" i="6"/>
  <c r="Z5" i="5"/>
  <c r="D13" i="15"/>
  <c r="F13" i="15" s="1"/>
  <c r="T3" i="13"/>
  <c r="AJ3" i="5"/>
  <c r="F4" i="12"/>
  <c r="T26" i="15"/>
  <c r="B32" i="15"/>
  <c r="D5" i="1"/>
  <c r="D204" i="1" s="1"/>
  <c r="B27" i="16" s="1"/>
  <c r="W43" i="15"/>
  <c r="AF3" i="5"/>
  <c r="Q3" i="11"/>
  <c r="AI3" i="11"/>
  <c r="H3" i="5"/>
  <c r="G15" i="10"/>
  <c r="K15" i="10"/>
  <c r="F15" i="10"/>
  <c r="W42" i="15"/>
  <c r="J196" i="6"/>
  <c r="J190" i="6"/>
  <c r="J184" i="6"/>
  <c r="J178" i="6"/>
  <c r="J172" i="6"/>
  <c r="J166" i="6"/>
  <c r="J160" i="6"/>
  <c r="J154" i="6"/>
  <c r="J148" i="6"/>
  <c r="J142" i="6"/>
  <c r="J136" i="6"/>
  <c r="J130" i="6"/>
  <c r="J124" i="6"/>
  <c r="J118" i="6"/>
  <c r="J112" i="6"/>
  <c r="J106" i="6"/>
  <c r="J100" i="6"/>
  <c r="J94" i="6"/>
  <c r="J88" i="6"/>
  <c r="J82" i="6"/>
  <c r="J76" i="6"/>
  <c r="J70" i="6"/>
  <c r="J64" i="6"/>
  <c r="J58" i="6"/>
  <c r="J52" i="6"/>
  <c r="J46" i="6"/>
  <c r="J40" i="6"/>
  <c r="J34" i="6"/>
  <c r="J28" i="6"/>
  <c r="J22" i="6"/>
  <c r="J16" i="6"/>
  <c r="J10" i="6"/>
  <c r="J197" i="6"/>
  <c r="J191" i="6"/>
  <c r="J185" i="6"/>
  <c r="J179" i="6"/>
  <c r="J173" i="6"/>
  <c r="J167" i="6"/>
  <c r="J161" i="6"/>
  <c r="J155" i="6"/>
  <c r="J149" i="6"/>
  <c r="J143" i="6"/>
  <c r="J137" i="6"/>
  <c r="J131" i="6"/>
  <c r="J125" i="6"/>
  <c r="J193" i="6"/>
  <c r="J175" i="6"/>
  <c r="J157" i="6"/>
  <c r="J139" i="6"/>
  <c r="J121" i="6"/>
  <c r="J113" i="6"/>
  <c r="J92" i="6"/>
  <c r="J79" i="6"/>
  <c r="J75" i="6"/>
  <c r="J66" i="6"/>
  <c r="J43" i="6"/>
  <c r="J19" i="6"/>
  <c r="J6" i="6"/>
  <c r="J187" i="6"/>
  <c r="J169" i="6"/>
  <c r="J151" i="6"/>
  <c r="J133" i="6"/>
  <c r="J114" i="6"/>
  <c r="J89" i="6"/>
  <c r="J68" i="6"/>
  <c r="J59" i="6"/>
  <c r="J54" i="6"/>
  <c r="J35" i="6"/>
  <c r="J30" i="6"/>
  <c r="J11" i="6"/>
  <c r="J188" i="6"/>
  <c r="J170" i="6"/>
  <c r="J152" i="6"/>
  <c r="J134" i="6"/>
  <c r="J115" i="6"/>
  <c r="J111" i="6"/>
  <c r="J102" i="6"/>
  <c r="J77" i="6"/>
  <c r="J55" i="6"/>
  <c r="J31" i="6"/>
  <c r="J7" i="6"/>
  <c r="J168" i="6"/>
  <c r="J132" i="6"/>
  <c r="J93" i="6"/>
  <c r="J87" i="6"/>
  <c r="J33" i="6"/>
  <c r="J27" i="6"/>
  <c r="J84" i="6"/>
  <c r="J78" i="6"/>
  <c r="J63" i="6"/>
  <c r="J50" i="6"/>
  <c r="J37" i="6"/>
  <c r="J21" i="6"/>
  <c r="J15" i="6"/>
  <c r="J199" i="6"/>
  <c r="J177" i="6"/>
  <c r="J174" i="6"/>
  <c r="J163" i="6"/>
  <c r="J141" i="6"/>
  <c r="J138" i="6"/>
  <c r="J127" i="6"/>
  <c r="J103" i="6"/>
  <c r="J97" i="6"/>
  <c r="J72" i="6"/>
  <c r="J69" i="6"/>
  <c r="J44" i="6"/>
  <c r="J18" i="6"/>
  <c r="J186" i="6"/>
  <c r="J162" i="6"/>
  <c r="J129" i="6"/>
  <c r="J119" i="6"/>
  <c r="J109" i="6"/>
  <c r="J91" i="6"/>
  <c r="J42" i="6"/>
  <c r="J198" i="6"/>
  <c r="J165" i="6"/>
  <c r="J122" i="6"/>
  <c r="J104" i="6"/>
  <c r="J71" i="6"/>
  <c r="J61" i="6"/>
  <c r="J32" i="6"/>
  <c r="J24" i="6"/>
  <c r="J5" i="6"/>
  <c r="J158" i="6"/>
  <c r="J146" i="6"/>
  <c r="J107" i="6"/>
  <c r="J74" i="6"/>
  <c r="J53" i="6"/>
  <c r="J45" i="6"/>
  <c r="J8" i="6"/>
  <c r="J194" i="6"/>
  <c r="J182" i="6"/>
  <c r="J153" i="6"/>
  <c r="J117" i="6"/>
  <c r="J48" i="6"/>
  <c r="J14" i="6"/>
  <c r="J156" i="6"/>
  <c r="J144" i="6"/>
  <c r="J110" i="6"/>
  <c r="J95" i="6"/>
  <c r="J62" i="6"/>
  <c r="J51" i="6"/>
  <c r="J17" i="6"/>
  <c r="J192" i="6"/>
  <c r="J180" i="6"/>
  <c r="J147" i="6"/>
  <c r="J80" i="6"/>
  <c r="J67" i="6"/>
  <c r="J38" i="6"/>
  <c r="J25" i="6"/>
  <c r="J20" i="6"/>
  <c r="J3" i="6"/>
  <c r="J183" i="6"/>
  <c r="J140" i="6"/>
  <c r="J135" i="6"/>
  <c r="J123" i="6"/>
  <c r="J98" i="6"/>
  <c r="J90" i="6"/>
  <c r="J85" i="6"/>
  <c r="J41" i="6"/>
  <c r="J195" i="6"/>
  <c r="J145" i="6"/>
  <c r="J128" i="6"/>
  <c r="J36" i="6"/>
  <c r="J200" i="6"/>
  <c r="J150" i="6"/>
  <c r="J126" i="6"/>
  <c r="J99" i="6"/>
  <c r="J81" i="6"/>
  <c r="J73" i="6"/>
  <c r="J47" i="6"/>
  <c r="J29" i="6"/>
  <c r="J13" i="6"/>
  <c r="J65" i="6"/>
  <c r="J4" i="6"/>
  <c r="J164" i="6"/>
  <c r="J108" i="6"/>
  <c r="J56" i="6"/>
  <c r="J9" i="6"/>
  <c r="J159" i="6"/>
  <c r="J86" i="6"/>
  <c r="J60" i="6"/>
  <c r="J39" i="6"/>
  <c r="J26" i="6"/>
  <c r="J181" i="6"/>
  <c r="J116" i="6"/>
  <c r="J101" i="6"/>
  <c r="J176" i="6"/>
  <c r="J105" i="6"/>
  <c r="J49" i="6"/>
  <c r="J23" i="6"/>
  <c r="J12" i="6"/>
  <c r="J83" i="6"/>
  <c r="J57" i="6"/>
  <c r="J120" i="6"/>
  <c r="J189" i="6"/>
  <c r="J171" i="6"/>
  <c r="J96" i="6"/>
  <c r="J2" i="6"/>
  <c r="Y5" i="12"/>
  <c r="W5" i="12"/>
  <c r="W3" i="12"/>
  <c r="X3" i="12"/>
  <c r="V4" i="12"/>
  <c r="X5" i="12"/>
  <c r="Y3" i="12"/>
  <c r="W46" i="15" l="1"/>
  <c r="J4" i="12"/>
  <c r="W66" i="15"/>
  <c r="AK4" i="11"/>
  <c r="AH4" i="5"/>
  <c r="R4" i="13"/>
  <c r="G4" i="12"/>
  <c r="E15" i="15"/>
  <c r="D41" i="15"/>
  <c r="G14" i="10"/>
  <c r="F14" i="10"/>
  <c r="K14" i="10"/>
  <c r="AJ3" i="11"/>
  <c r="AG3" i="5"/>
  <c r="U3" i="11"/>
  <c r="Q3" i="13"/>
  <c r="U2" i="11"/>
  <c r="AG2" i="5"/>
  <c r="AJ2" i="11"/>
  <c r="Q2" i="13"/>
  <c r="F11" i="15"/>
  <c r="F2" i="13"/>
  <c r="F4" i="13"/>
  <c r="F3" i="13"/>
  <c r="C26" i="16"/>
  <c r="D26" i="16" s="1"/>
  <c r="S19" i="7"/>
  <c r="M19" i="7"/>
  <c r="M258" i="15"/>
  <c r="K263" i="15"/>
  <c r="L197" i="6"/>
  <c r="L191" i="6"/>
  <c r="L185" i="6"/>
  <c r="L179" i="6"/>
  <c r="L173" i="6"/>
  <c r="L167" i="6"/>
  <c r="L161" i="6"/>
  <c r="L155" i="6"/>
  <c r="L149" i="6"/>
  <c r="L143" i="6"/>
  <c r="L137" i="6"/>
  <c r="L131" i="6"/>
  <c r="L125" i="6"/>
  <c r="L119" i="6"/>
  <c r="L113" i="6"/>
  <c r="L107" i="6"/>
  <c r="L101" i="6"/>
  <c r="L95" i="6"/>
  <c r="L89" i="6"/>
  <c r="L83" i="6"/>
  <c r="L77" i="6"/>
  <c r="L71" i="6"/>
  <c r="L65" i="6"/>
  <c r="L186" i="6"/>
  <c r="L183" i="6"/>
  <c r="L168" i="6"/>
  <c r="L165" i="6"/>
  <c r="L150" i="6"/>
  <c r="L147" i="6"/>
  <c r="L132" i="6"/>
  <c r="L129" i="6"/>
  <c r="L109" i="6"/>
  <c r="L105" i="6"/>
  <c r="L96" i="6"/>
  <c r="L53" i="6"/>
  <c r="L48" i="6"/>
  <c r="L29" i="6"/>
  <c r="L24" i="6"/>
  <c r="L198" i="6"/>
  <c r="L195" i="6"/>
  <c r="L180" i="6"/>
  <c r="L177" i="6"/>
  <c r="L162" i="6"/>
  <c r="L159" i="6"/>
  <c r="L144" i="6"/>
  <c r="L141" i="6"/>
  <c r="L126" i="6"/>
  <c r="L123" i="6"/>
  <c r="L106" i="6"/>
  <c r="L98" i="6"/>
  <c r="L85" i="6"/>
  <c r="L81" i="6"/>
  <c r="L72" i="6"/>
  <c r="L50" i="6"/>
  <c r="L45" i="6"/>
  <c r="L40" i="6"/>
  <c r="L26" i="6"/>
  <c r="L21" i="6"/>
  <c r="L16" i="6"/>
  <c r="L2" i="6"/>
  <c r="L94" i="6"/>
  <c r="L86" i="6"/>
  <c r="L73" i="6"/>
  <c r="L69" i="6"/>
  <c r="L60" i="6"/>
  <c r="L41" i="6"/>
  <c r="L36" i="6"/>
  <c r="L17" i="6"/>
  <c r="L12" i="6"/>
  <c r="L193" i="6"/>
  <c r="L182" i="6"/>
  <c r="L171" i="6"/>
  <c r="L157" i="6"/>
  <c r="L146" i="6"/>
  <c r="L135" i="6"/>
  <c r="L121" i="6"/>
  <c r="L90" i="6"/>
  <c r="L75" i="6"/>
  <c r="L56" i="6"/>
  <c r="L30" i="6"/>
  <c r="L8" i="6"/>
  <c r="L199" i="6"/>
  <c r="L196" i="6"/>
  <c r="L188" i="6"/>
  <c r="L174" i="6"/>
  <c r="L163" i="6"/>
  <c r="L160" i="6"/>
  <c r="L152" i="6"/>
  <c r="L138" i="6"/>
  <c r="L127" i="6"/>
  <c r="L124" i="6"/>
  <c r="L103" i="6"/>
  <c r="L97" i="6"/>
  <c r="L44" i="6"/>
  <c r="L34" i="6"/>
  <c r="L18" i="6"/>
  <c r="L194" i="6"/>
  <c r="L166" i="6"/>
  <c r="L158" i="6"/>
  <c r="L130" i="6"/>
  <c r="L122" i="6"/>
  <c r="L100" i="6"/>
  <c r="L88" i="6"/>
  <c r="L66" i="6"/>
  <c r="L47" i="6"/>
  <c r="L31" i="6"/>
  <c r="L3" i="6"/>
  <c r="L148" i="6"/>
  <c r="L136" i="6"/>
  <c r="L104" i="6"/>
  <c r="L61" i="6"/>
  <c r="L58" i="6"/>
  <c r="L32" i="6"/>
  <c r="L5" i="6"/>
  <c r="L184" i="6"/>
  <c r="L172" i="6"/>
  <c r="L134" i="6"/>
  <c r="L114" i="6"/>
  <c r="L79" i="6"/>
  <c r="L74" i="6"/>
  <c r="L37" i="6"/>
  <c r="L170" i="6"/>
  <c r="L153" i="6"/>
  <c r="L117" i="6"/>
  <c r="L87" i="6"/>
  <c r="L84" i="6"/>
  <c r="L27" i="6"/>
  <c r="L19" i="6"/>
  <c r="L14" i="6"/>
  <c r="L189" i="6"/>
  <c r="L139" i="6"/>
  <c r="L120" i="6"/>
  <c r="L112" i="6"/>
  <c r="L102" i="6"/>
  <c r="L92" i="6"/>
  <c r="L64" i="6"/>
  <c r="L43" i="6"/>
  <c r="L22" i="6"/>
  <c r="L4" i="6"/>
  <c r="L192" i="6"/>
  <c r="L151" i="6"/>
  <c r="L80" i="6"/>
  <c r="L67" i="6"/>
  <c r="L38" i="6"/>
  <c r="L25" i="6"/>
  <c r="L20" i="6"/>
  <c r="L187" i="6"/>
  <c r="L140" i="6"/>
  <c r="L115" i="6"/>
  <c r="L59" i="6"/>
  <c r="L46" i="6"/>
  <c r="L33" i="6"/>
  <c r="L176" i="6"/>
  <c r="L154" i="6"/>
  <c r="L142" i="6"/>
  <c r="L118" i="6"/>
  <c r="L108" i="6"/>
  <c r="L54" i="6"/>
  <c r="L49" i="6"/>
  <c r="L28" i="6"/>
  <c r="L23" i="6"/>
  <c r="L15" i="6"/>
  <c r="L9" i="6"/>
  <c r="L181" i="6"/>
  <c r="L164" i="6"/>
  <c r="L116" i="6"/>
  <c r="L111" i="6"/>
  <c r="L78" i="6"/>
  <c r="L70" i="6"/>
  <c r="L63" i="6"/>
  <c r="L57" i="6"/>
  <c r="L52" i="6"/>
  <c r="L39" i="6"/>
  <c r="L169" i="6"/>
  <c r="L91" i="6"/>
  <c r="L76" i="6"/>
  <c r="L68" i="6"/>
  <c r="L42" i="6"/>
  <c r="L175" i="6"/>
  <c r="L128" i="6"/>
  <c r="L13" i="6"/>
  <c r="L7" i="6"/>
  <c r="L93" i="6"/>
  <c r="L82" i="6"/>
  <c r="L35" i="6"/>
  <c r="L11" i="6"/>
  <c r="L6" i="6"/>
  <c r="L110" i="6"/>
  <c r="L190" i="6"/>
  <c r="L62" i="6"/>
  <c r="L99" i="6"/>
  <c r="L145" i="6"/>
  <c r="L200" i="6"/>
  <c r="L178" i="6"/>
  <c r="L156" i="6"/>
  <c r="L55" i="6"/>
  <c r="L51" i="6"/>
  <c r="L10" i="6"/>
  <c r="L133" i="6"/>
  <c r="P17" i="7"/>
  <c r="P18" i="7" s="1"/>
  <c r="C27" i="16"/>
  <c r="B37" i="16" s="1"/>
  <c r="C37" i="16" s="1"/>
  <c r="P4" i="12"/>
  <c r="P6" i="12" s="1"/>
  <c r="X4" i="11"/>
  <c r="H5" i="12"/>
  <c r="J5" i="12" s="1"/>
  <c r="P4" i="5"/>
  <c r="H4" i="5"/>
  <c r="E56" i="15"/>
  <c r="AD201" i="15"/>
  <c r="AC201" i="15"/>
  <c r="AB201" i="15"/>
  <c r="W57" i="15"/>
  <c r="W67" i="15"/>
  <c r="W47" i="15"/>
  <c r="R6" i="12"/>
  <c r="AC6" i="12"/>
  <c r="AC5" i="12"/>
  <c r="R5" i="12"/>
  <c r="AB8" i="15"/>
  <c r="AC49" i="15"/>
  <c r="AD63" i="15"/>
  <c r="AB86" i="15"/>
  <c r="AB26" i="15"/>
  <c r="AB14" i="15"/>
  <c r="AD107" i="15"/>
  <c r="AC101" i="15"/>
  <c r="AB102" i="15"/>
  <c r="AC25" i="15"/>
  <c r="AB60" i="15"/>
  <c r="AB68" i="15"/>
  <c r="AC42" i="15"/>
  <c r="AC62" i="15"/>
  <c r="AB65" i="15"/>
  <c r="AC89" i="15"/>
  <c r="AD81" i="15"/>
  <c r="AC111" i="15"/>
  <c r="AB10" i="15"/>
  <c r="AC64" i="15"/>
  <c r="AD76" i="15"/>
  <c r="AD112" i="15"/>
  <c r="AD122" i="15"/>
  <c r="AD134" i="15"/>
  <c r="AB149" i="15"/>
  <c r="AB84" i="15"/>
  <c r="AC200" i="15"/>
  <c r="AD117" i="15"/>
  <c r="AD73" i="15"/>
  <c r="AC91" i="15"/>
  <c r="AC100" i="15"/>
  <c r="AC184" i="15"/>
  <c r="AC171" i="15"/>
  <c r="AB173" i="15"/>
  <c r="AC125" i="15"/>
  <c r="AD142" i="15"/>
  <c r="AD129" i="15"/>
  <c r="AC146" i="15"/>
  <c r="AC176" i="15"/>
  <c r="AD188" i="15"/>
  <c r="AB179" i="15"/>
  <c r="AC178" i="15"/>
  <c r="AC182" i="15"/>
  <c r="AD139" i="15"/>
  <c r="AD157" i="15"/>
  <c r="AB163" i="15"/>
  <c r="AD169" i="15"/>
  <c r="AD191" i="15"/>
  <c r="AD180" i="15"/>
  <c r="AD196" i="15"/>
  <c r="AC9" i="15"/>
  <c r="AD27" i="15"/>
  <c r="AB49" i="15"/>
  <c r="AD102" i="15"/>
  <c r="AB25" i="15"/>
  <c r="AD55" i="15"/>
  <c r="AC65" i="15"/>
  <c r="AD9" i="15"/>
  <c r="AC8" i="15"/>
  <c r="AD21" i="15"/>
  <c r="AD54" i="15"/>
  <c r="AC27" i="15"/>
  <c r="AD47" i="15"/>
  <c r="AB18" i="15"/>
  <c r="AC32" i="15"/>
  <c r="AD26" i="15"/>
  <c r="AD11" i="15"/>
  <c r="AB59" i="15"/>
  <c r="AB69" i="15"/>
  <c r="AD101" i="15"/>
  <c r="AC48" i="15"/>
  <c r="AD42" i="15"/>
  <c r="AC36" i="15"/>
  <c r="AB135" i="15"/>
  <c r="AC75" i="15"/>
  <c r="AB81" i="15"/>
  <c r="AB93" i="15"/>
  <c r="AD16" i="15"/>
  <c r="AB28" i="15"/>
  <c r="AD34" i="15"/>
  <c r="AD40" i="15"/>
  <c r="AB70" i="15"/>
  <c r="AD94" i="15"/>
  <c r="AC104" i="15"/>
  <c r="AB112" i="15"/>
  <c r="AD138" i="15"/>
  <c r="AD200" i="15"/>
  <c r="AC110" i="15"/>
  <c r="AB117" i="15"/>
  <c r="AB73" i="15"/>
  <c r="AB85" i="15"/>
  <c r="AD100" i="15"/>
  <c r="AD170" i="15"/>
  <c r="AB114" i="15"/>
  <c r="AD116" i="15"/>
  <c r="AB131" i="15"/>
  <c r="AB177" i="15"/>
  <c r="AB142" i="15"/>
  <c r="AC162" i="15"/>
  <c r="AC164" i="15"/>
  <c r="AC113" i="15"/>
  <c r="AC165" i="15"/>
  <c r="AB155" i="15"/>
  <c r="AB176" i="15"/>
  <c r="AC120" i="15"/>
  <c r="AD189" i="15"/>
  <c r="AB157" i="15"/>
  <c r="AC163" i="15"/>
  <c r="AC169" i="15"/>
  <c r="AB3" i="12"/>
  <c r="AC194" i="15"/>
  <c r="AD197" i="15"/>
  <c r="AD141" i="15"/>
  <c r="AC21" i="15"/>
  <c r="AC30" i="15"/>
  <c r="AB54" i="15"/>
  <c r="AB27" i="15"/>
  <c r="AB47" i="15"/>
  <c r="AD18" i="15"/>
  <c r="AD7" i="15"/>
  <c r="AB32" i="15"/>
  <c r="AB48" i="15"/>
  <c r="AB42" i="15"/>
  <c r="AD66" i="15"/>
  <c r="AD33" i="15"/>
  <c r="AB36" i="15"/>
  <c r="AB62" i="15"/>
  <c r="AD135" i="15"/>
  <c r="AD87" i="15"/>
  <c r="AB99" i="15"/>
  <c r="AB168" i="15"/>
  <c r="AC10" i="15"/>
  <c r="AC16" i="15"/>
  <c r="AC28" i="15"/>
  <c r="AC34" i="15"/>
  <c r="AC40" i="15"/>
  <c r="AC70" i="15"/>
  <c r="AC94" i="15"/>
  <c r="AB104" i="15"/>
  <c r="AC147" i="15"/>
  <c r="AC138" i="15"/>
  <c r="AD167" i="15"/>
  <c r="AC72" i="15"/>
  <c r="AD158" i="15"/>
  <c r="AC170" i="15"/>
  <c r="AD137" i="15"/>
  <c r="AC116" i="15"/>
  <c r="AB164" i="15"/>
  <c r="AB113" i="15"/>
  <c r="AB129" i="15"/>
  <c r="AD146" i="15"/>
  <c r="AB120" i="15"/>
  <c r="AB188" i="15"/>
  <c r="AB189" i="15"/>
  <c r="AD193" i="15"/>
  <c r="AD178" i="15"/>
  <c r="AB103" i="15"/>
  <c r="AC175" i="15"/>
  <c r="AD190" i="15"/>
  <c r="AB180" i="15"/>
  <c r="AC197" i="15"/>
  <c r="C11" i="16"/>
  <c r="AB141" i="15"/>
  <c r="AD44" i="15"/>
  <c r="AB21" i="15"/>
  <c r="AD30" i="15"/>
  <c r="AC53" i="15"/>
  <c r="AC18" i="15"/>
  <c r="AB7" i="15"/>
  <c r="AC69" i="15"/>
  <c r="AB95" i="15"/>
  <c r="AC102" i="15"/>
  <c r="AB106" i="15"/>
  <c r="AC74" i="15"/>
  <c r="AC66" i="15"/>
  <c r="AB33" i="15"/>
  <c r="AC87" i="15"/>
  <c r="AD130" i="15"/>
  <c r="AB16" i="15"/>
  <c r="AD22" i="15"/>
  <c r="AB34" i="15"/>
  <c r="AB40" i="15"/>
  <c r="AC88" i="15"/>
  <c r="AB147" i="15"/>
  <c r="AC148" i="15"/>
  <c r="AB72" i="15"/>
  <c r="AC158" i="15"/>
  <c r="AD85" i="15"/>
  <c r="AD97" i="15"/>
  <c r="AD114" i="15"/>
  <c r="AC137" i="15"/>
  <c r="AB116" i="15"/>
  <c r="AD131" i="15"/>
  <c r="AD177" i="15"/>
  <c r="AD153" i="15"/>
  <c r="AB154" i="15"/>
  <c r="AB165" i="15"/>
  <c r="AB193" i="15"/>
  <c r="AD186" i="15"/>
  <c r="AD182" i="15"/>
  <c r="AB109" i="15"/>
  <c r="AD175" i="15"/>
  <c r="AC190" i="15"/>
  <c r="AD187" i="15"/>
  <c r="AB76" i="15"/>
  <c r="AC84" i="15"/>
  <c r="AB174" i="15"/>
  <c r="AD125" i="15"/>
  <c r="AD179" i="15"/>
  <c r="AB145" i="15"/>
  <c r="AB151" i="15"/>
  <c r="AB191" i="15"/>
  <c r="AC44" i="15"/>
  <c r="AC54" i="15"/>
  <c r="AC47" i="15"/>
  <c r="AB53" i="15"/>
  <c r="AD24" i="15"/>
  <c r="AD71" i="15"/>
  <c r="AD5" i="15"/>
  <c r="AC23" i="15"/>
  <c r="AD77" i="15"/>
  <c r="AC38" i="15"/>
  <c r="AB4" i="15"/>
  <c r="AC29" i="15"/>
  <c r="AD150" i="15"/>
  <c r="AD17" i="15"/>
  <c r="AD43" i="15"/>
  <c r="AB57" i="15"/>
  <c r="AD59" i="15"/>
  <c r="AD106" i="15"/>
  <c r="AB74" i="15"/>
  <c r="AD39" i="15"/>
  <c r="AB66" i="15"/>
  <c r="AD93" i="15"/>
  <c r="AC130" i="15"/>
  <c r="AD168" i="15"/>
  <c r="AC22" i="15"/>
  <c r="AD28" i="15"/>
  <c r="AD46" i="15"/>
  <c r="AD52" i="15"/>
  <c r="AD58" i="15"/>
  <c r="AB88" i="15"/>
  <c r="AD147" i="15"/>
  <c r="AB138" i="15"/>
  <c r="AB148" i="15"/>
  <c r="AC167" i="15"/>
  <c r="AD90" i="15"/>
  <c r="AD110" i="15"/>
  <c r="AC85" i="15"/>
  <c r="AC97" i="15"/>
  <c r="AC114" i="15"/>
  <c r="AB137" i="15"/>
  <c r="AC177" i="15"/>
  <c r="AC153" i="15"/>
  <c r="AD155" i="15"/>
  <c r="AD105" i="15"/>
  <c r="AC136" i="15"/>
  <c r="AB115" i="15"/>
  <c r="AD121" i="15"/>
  <c r="AB175" i="15"/>
  <c r="AC181" i="15"/>
  <c r="AB190" i="15"/>
  <c r="AD194" i="15"/>
  <c r="AC187" i="15"/>
  <c r="AD83" i="15"/>
  <c r="AC41" i="15"/>
  <c r="AC15" i="15"/>
  <c r="AD53" i="15"/>
  <c r="AB56" i="15"/>
  <c r="AC20" i="15"/>
  <c r="AD12" i="15"/>
  <c r="AC35" i="15"/>
  <c r="AB80" i="15"/>
  <c r="AC98" i="15"/>
  <c r="AB37" i="15"/>
  <c r="AB31" i="15"/>
  <c r="AC19" i="15"/>
  <c r="AB118" i="15"/>
  <c r="AC52" i="15"/>
  <c r="AD143" i="15"/>
  <c r="AB159" i="15"/>
  <c r="AC78" i="15"/>
  <c r="AB96" i="15"/>
  <c r="AC166" i="15"/>
  <c r="AD128" i="15"/>
  <c r="AD67" i="15"/>
  <c r="AB156" i="15"/>
  <c r="AD124" i="15"/>
  <c r="AD132" i="15"/>
  <c r="AC160" i="15"/>
  <c r="AD152" i="15"/>
  <c r="AB172" i="15"/>
  <c r="AB5" i="12"/>
  <c r="AB63" i="15"/>
  <c r="AC86" i="15"/>
  <c r="AC26" i="15"/>
  <c r="AC14" i="15"/>
  <c r="AD62" i="15"/>
  <c r="AD123" i="15"/>
  <c r="AC159" i="15"/>
  <c r="AC79" i="15"/>
  <c r="AB144" i="15"/>
  <c r="AD184" i="15"/>
  <c r="AD171" i="15"/>
  <c r="AB167" i="15"/>
  <c r="AD48" i="15"/>
  <c r="AC13" i="15"/>
  <c r="AB89" i="15"/>
  <c r="AC135" i="15"/>
  <c r="AD75" i="15"/>
  <c r="AB87" i="15"/>
  <c r="AB110" i="15"/>
  <c r="AC117" i="15"/>
  <c r="AC73" i="15"/>
  <c r="AB100" i="15"/>
  <c r="AB170" i="15"/>
  <c r="AB184" i="15"/>
  <c r="AC131" i="15"/>
  <c r="AD113" i="15"/>
  <c r="AC129" i="15"/>
  <c r="AD120" i="15"/>
  <c r="AC179" i="15"/>
  <c r="AB182" i="15"/>
  <c r="R3" i="12"/>
  <c r="AC180" i="15"/>
  <c r="AB198" i="15"/>
  <c r="AB83" i="15"/>
  <c r="AB44" i="15"/>
  <c r="AB30" i="15"/>
  <c r="AC24" i="15"/>
  <c r="AC71" i="15"/>
  <c r="AB5" i="15"/>
  <c r="AC77" i="15"/>
  <c r="AB38" i="15"/>
  <c r="AC7" i="15"/>
  <c r="AD6" i="15"/>
  <c r="AB29" i="15"/>
  <c r="AC150" i="15"/>
  <c r="AB17" i="15"/>
  <c r="AC43" i="15"/>
  <c r="AB98" i="15"/>
  <c r="AD37" i="15"/>
  <c r="AC59" i="15"/>
  <c r="AD69" i="15"/>
  <c r="AD31" i="15"/>
  <c r="AD95" i="15"/>
  <c r="AC106" i="15"/>
  <c r="AD45" i="15"/>
  <c r="AB39" i="15"/>
  <c r="AC33" i="15"/>
  <c r="AC4" i="12"/>
  <c r="AC93" i="15"/>
  <c r="AD99" i="15"/>
  <c r="AB130" i="15"/>
  <c r="AC168" i="15"/>
  <c r="AC46" i="15"/>
  <c r="AB52" i="15"/>
  <c r="AC58" i="15"/>
  <c r="AD88" i="15"/>
  <c r="AB119" i="15"/>
  <c r="AC143" i="15"/>
  <c r="AD148" i="15"/>
  <c r="AC90" i="15"/>
  <c r="AB97" i="15"/>
  <c r="AD156" i="15"/>
  <c r="AC161" i="15"/>
  <c r="AD172" i="15"/>
  <c r="AB153" i="15"/>
  <c r="AD185" i="15"/>
  <c r="AD154" i="15"/>
  <c r="AD165" i="15"/>
  <c r="AC105" i="15"/>
  <c r="AB136" i="15"/>
  <c r="AC186" i="15"/>
  <c r="AD103" i="15"/>
  <c r="AB121" i="15"/>
  <c r="AC127" i="15"/>
  <c r="AC195" i="15"/>
  <c r="AB194" i="15"/>
  <c r="AB187" i="15"/>
  <c r="AC141" i="15"/>
  <c r="AD41" i="15"/>
  <c r="AD15" i="15"/>
  <c r="AD56" i="15"/>
  <c r="AB24" i="15"/>
  <c r="AB71" i="15"/>
  <c r="AC5" i="15"/>
  <c r="AD23" i="15"/>
  <c r="AB77" i="15"/>
  <c r="AB2" i="15"/>
  <c r="AD2" i="15" s="1"/>
  <c r="AB12" i="15"/>
  <c r="AD35" i="15"/>
  <c r="AC6" i="15"/>
  <c r="AB150" i="15"/>
  <c r="AC17" i="15"/>
  <c r="AB43" i="15"/>
  <c r="AC57" i="15"/>
  <c r="AC80" i="15"/>
  <c r="AD98" i="15"/>
  <c r="AC37" i="15"/>
  <c r="AC31" i="15"/>
  <c r="AC95" i="15"/>
  <c r="AD140" i="15"/>
  <c r="AB45" i="15"/>
  <c r="AD74" i="15"/>
  <c r="AD19" i="15"/>
  <c r="AC39" i="15"/>
  <c r="AB123" i="15"/>
  <c r="AC99" i="15"/>
  <c r="AB46" i="15"/>
  <c r="AB58" i="15"/>
  <c r="AB82" i="15"/>
  <c r="AB143" i="15"/>
  <c r="AD72" i="15"/>
  <c r="AD78" i="15"/>
  <c r="AB90" i="15"/>
  <c r="AC96" i="15"/>
  <c r="AB158" i="15"/>
  <c r="AD166" i="15"/>
  <c r="AB128" i="15"/>
  <c r="AB79" i="15"/>
  <c r="AC156" i="15"/>
  <c r="AD160" i="15"/>
  <c r="AC172" i="15"/>
  <c r="AB185" i="15"/>
  <c r="AC154" i="15"/>
  <c r="AB105" i="15"/>
  <c r="AC193" i="15"/>
  <c r="AB186" i="15"/>
  <c r="AC183" i="15"/>
  <c r="AC103" i="15"/>
  <c r="AD109" i="15"/>
  <c r="AB127" i="15"/>
  <c r="AC133" i="15"/>
  <c r="AD181" i="15"/>
  <c r="AB195" i="15"/>
  <c r="AC199" i="15"/>
  <c r="AD183" i="15"/>
  <c r="AC109" i="15"/>
  <c r="AD115" i="15"/>
  <c r="AC121" i="15"/>
  <c r="AD127" i="15"/>
  <c r="AD133" i="15"/>
  <c r="AC139" i="15"/>
  <c r="AC3" i="12"/>
  <c r="AB181" i="15"/>
  <c r="AB9" i="15"/>
  <c r="AB50" i="15"/>
  <c r="AD20" i="15"/>
  <c r="AD92" i="15"/>
  <c r="AD49" i="15"/>
  <c r="AD80" i="15"/>
  <c r="AB11" i="15"/>
  <c r="AB108" i="15"/>
  <c r="AB51" i="15"/>
  <c r="AD25" i="15"/>
  <c r="AC68" i="15"/>
  <c r="AD65" i="15"/>
  <c r="AD89" i="15"/>
  <c r="AB75" i="15"/>
  <c r="AD10" i="15"/>
  <c r="AD64" i="15"/>
  <c r="AC82" i="15"/>
  <c r="AC149" i="15"/>
  <c r="AB61" i="15"/>
  <c r="AD91" i="15"/>
  <c r="AD176" i="15"/>
  <c r="AB178" i="15"/>
  <c r="AB196" i="15"/>
  <c r="AB199" i="15"/>
  <c r="AD151" i="15"/>
  <c r="AC157" i="15"/>
  <c r="AD163" i="15"/>
  <c r="AB169" i="15"/>
  <c r="AC83" i="15"/>
  <c r="AB41" i="15"/>
  <c r="AD50" i="15"/>
  <c r="AB20" i="15"/>
  <c r="AC92" i="15"/>
  <c r="AB23" i="15"/>
  <c r="AD38" i="15"/>
  <c r="AB35" i="15"/>
  <c r="AB6" i="15"/>
  <c r="AD29" i="15"/>
  <c r="AD57" i="15"/>
  <c r="AB107" i="15"/>
  <c r="AD108" i="15"/>
  <c r="AD51" i="15"/>
  <c r="AC140" i="15"/>
  <c r="AC45" i="15"/>
  <c r="AC55" i="15"/>
  <c r="AD60" i="15"/>
  <c r="AB19" i="15"/>
  <c r="AD118" i="15"/>
  <c r="AD13" i="15"/>
  <c r="AB111" i="15"/>
  <c r="AB126" i="15"/>
  <c r="AB64" i="15"/>
  <c r="AD119" i="15"/>
  <c r="AB122" i="15"/>
  <c r="AC134" i="15"/>
  <c r="AB78" i="15"/>
  <c r="AB166" i="15"/>
  <c r="AC128" i="15"/>
  <c r="AD61" i="15"/>
  <c r="AC67" i="15"/>
  <c r="AB91" i="15"/>
  <c r="AD144" i="15"/>
  <c r="AC124" i="15"/>
  <c r="AC132" i="15"/>
  <c r="AD174" i="15"/>
  <c r="AB160" i="15"/>
  <c r="AB171" i="15"/>
  <c r="AD173" i="15"/>
  <c r="AC152" i="15"/>
  <c r="AD161" i="15"/>
  <c r="AC185" i="15"/>
  <c r="AD136" i="15"/>
  <c r="AB183" i="15"/>
  <c r="AC115" i="15"/>
  <c r="AB133" i="15"/>
  <c r="AB139" i="15"/>
  <c r="AD145" i="15"/>
  <c r="AB6" i="12"/>
  <c r="AD192" i="15"/>
  <c r="AC50" i="15"/>
  <c r="AB15" i="15"/>
  <c r="AC56" i="15"/>
  <c r="AB92" i="15"/>
  <c r="AC63" i="15"/>
  <c r="AC12" i="15"/>
  <c r="AD86" i="15"/>
  <c r="AD14" i="15"/>
  <c r="AC108" i="15"/>
  <c r="AC51" i="15"/>
  <c r="AB140" i="15"/>
  <c r="AB55" i="15"/>
  <c r="AC60" i="15"/>
  <c r="AD68" i="15"/>
  <c r="AC118" i="15"/>
  <c r="AB13" i="15"/>
  <c r="AC123" i="15"/>
  <c r="AB4" i="12"/>
  <c r="R4" i="12"/>
  <c r="AD126" i="15"/>
  <c r="AC76" i="15"/>
  <c r="AD82" i="15"/>
  <c r="AC119" i="15"/>
  <c r="AC122" i="15"/>
  <c r="AD159" i="15"/>
  <c r="AB134" i="15"/>
  <c r="AD149" i="15"/>
  <c r="AD96" i="15"/>
  <c r="AC61" i="15"/>
  <c r="AB67" i="15"/>
  <c r="AD79" i="15"/>
  <c r="AC144" i="15"/>
  <c r="AB124" i="15"/>
  <c r="AB132" i="15"/>
  <c r="AC174" i="15"/>
  <c r="AC173" i="15"/>
  <c r="AB152" i="15"/>
  <c r="AB161" i="15"/>
  <c r="AD162" i="15"/>
  <c r="AC145" i="15"/>
  <c r="AC151" i="15"/>
  <c r="AC191" i="15"/>
  <c r="AD195" i="15"/>
  <c r="AC196" i="15"/>
  <c r="AD199" i="15"/>
  <c r="AC192" i="15"/>
  <c r="AC198" i="15"/>
  <c r="AB192" i="15"/>
  <c r="AD198" i="15"/>
  <c r="AB3" i="15"/>
  <c r="AD3" i="15" s="1"/>
  <c r="AD8" i="15"/>
  <c r="AD32" i="15"/>
  <c r="AC11" i="15"/>
  <c r="AC107" i="15"/>
  <c r="AB101" i="15"/>
  <c r="AD36" i="15"/>
  <c r="AC81" i="15"/>
  <c r="AD111" i="15"/>
  <c r="AC126" i="15"/>
  <c r="AB22" i="15"/>
  <c r="AD70" i="15"/>
  <c r="AB94" i="15"/>
  <c r="AD104" i="15"/>
  <c r="AC112" i="15"/>
  <c r="AD84" i="15"/>
  <c r="AB200" i="15"/>
  <c r="AB125" i="15"/>
  <c r="AC142" i="15"/>
  <c r="AB162" i="15"/>
  <c r="AD164" i="15"/>
  <c r="AB146" i="15"/>
  <c r="AC155" i="15"/>
  <c r="AC188" i="15"/>
  <c r="AC189" i="15"/>
  <c r="AB197" i="15"/>
  <c r="C32" i="15"/>
  <c r="T25" i="15"/>
  <c r="T40" i="15"/>
  <c r="C86" i="16" s="1"/>
  <c r="H3" i="12"/>
  <c r="J3" i="12" s="1"/>
  <c r="E54" i="15"/>
  <c r="H2" i="5"/>
  <c r="P2" i="5"/>
  <c r="B35" i="15"/>
  <c r="D4" i="12"/>
  <c r="D6" i="12" s="1"/>
  <c r="Y4" i="12"/>
  <c r="X4" i="12"/>
  <c r="W4" i="12"/>
  <c r="H5" i="5" l="1"/>
  <c r="J6" i="12"/>
  <c r="P5" i="5"/>
  <c r="F20" i="15"/>
  <c r="AC2" i="15"/>
  <c r="AD4" i="15"/>
  <c r="AC4" i="15" s="1"/>
  <c r="K3" i="12"/>
  <c r="M3" i="12" s="1"/>
  <c r="R2" i="5"/>
  <c r="F54" i="15"/>
  <c r="J2" i="5"/>
  <c r="K4" i="12"/>
  <c r="M4" i="12" s="1"/>
  <c r="F55" i="15"/>
  <c r="R3" i="5"/>
  <c r="J3" i="5"/>
  <c r="K5" i="12"/>
  <c r="M5" i="12" s="1"/>
  <c r="R4" i="5"/>
  <c r="F56" i="15"/>
  <c r="J4" i="5"/>
  <c r="AC3" i="15"/>
  <c r="G6" i="12"/>
  <c r="D32" i="15"/>
  <c r="E32" i="15" s="1"/>
  <c r="M263" i="15"/>
  <c r="A265" i="15" s="1"/>
  <c r="O258" i="15"/>
  <c r="AH2" i="5"/>
  <c r="AK2" i="11"/>
  <c r="R2" i="13"/>
  <c r="X2" i="11"/>
  <c r="AN4" i="5"/>
  <c r="V4" i="5"/>
  <c r="U4" i="5"/>
  <c r="B26" i="15"/>
  <c r="B84" i="16"/>
  <c r="D27" i="16"/>
  <c r="AH3" i="5"/>
  <c r="AK3" i="11"/>
  <c r="R3" i="13"/>
  <c r="X3" i="11"/>
  <c r="F15" i="15"/>
  <c r="F16" i="15"/>
  <c r="B16" i="15"/>
  <c r="C35" i="15"/>
  <c r="A9" i="10"/>
  <c r="I10" i="9"/>
  <c r="I2" i="9"/>
  <c r="W49" i="15"/>
  <c r="B8" i="14"/>
  <c r="R5" i="5" l="1"/>
  <c r="A39" i="16"/>
  <c r="E35" i="16" s="1"/>
  <c r="I4" i="9"/>
  <c r="I11" i="9"/>
  <c r="J5" i="5"/>
  <c r="B22" i="15"/>
  <c r="E35" i="15"/>
  <c r="B86" i="16"/>
  <c r="B65" i="16"/>
  <c r="C5" i="16"/>
  <c r="B28" i="15"/>
  <c r="B207" i="1"/>
  <c r="M6" i="12"/>
  <c r="D22" i="16"/>
  <c r="B21" i="15"/>
  <c r="H41" i="15"/>
  <c r="H14" i="16"/>
  <c r="E4" i="16" s="1"/>
  <c r="J41" i="15"/>
  <c r="W53" i="15"/>
  <c r="AN3" i="5"/>
  <c r="V3" i="5"/>
  <c r="U3" i="5"/>
  <c r="W54" i="15"/>
  <c r="AN2" i="5"/>
  <c r="V2" i="5"/>
  <c r="U2" i="5"/>
  <c r="B36" i="16"/>
  <c r="W50" i="15"/>
  <c r="B85" i="16"/>
  <c r="B23" i="15" l="1"/>
  <c r="H44" i="15"/>
  <c r="F36" i="15" s="1"/>
  <c r="H24" i="16" s="1"/>
  <c r="C10" i="16"/>
  <c r="B10" i="16"/>
  <c r="H10" i="16"/>
  <c r="B38" i="16"/>
  <c r="H33" i="16" s="1"/>
  <c r="H4" i="16" s="1"/>
  <c r="B63" i="16"/>
  <c r="C36" i="16"/>
  <c r="B83" i="16"/>
  <c r="B87" i="16" s="1"/>
  <c r="C87" i="16" s="1"/>
  <c r="W55" i="15"/>
  <c r="W56" i="15" s="1"/>
  <c r="W48" i="15"/>
  <c r="F32" i="15"/>
  <c r="D5" i="16"/>
  <c r="B60" i="16"/>
  <c r="E6" i="16"/>
  <c r="E8" i="16"/>
  <c r="B62" i="16"/>
  <c r="C22" i="16"/>
  <c r="B270" i="15"/>
  <c r="I7" i="9"/>
  <c r="R177" i="9"/>
  <c r="R32" i="9"/>
  <c r="O182" i="9"/>
  <c r="O200" i="9"/>
  <c r="R195" i="9"/>
  <c r="R193" i="9"/>
  <c r="O183" i="9"/>
  <c r="I6" i="9"/>
  <c r="B7" i="14" s="1"/>
  <c r="I5" i="9"/>
  <c r="I8" i="9" s="1"/>
  <c r="O173" i="9"/>
  <c r="O165" i="9"/>
  <c r="R116" i="9"/>
  <c r="R63" i="9"/>
  <c r="R152" i="9"/>
  <c r="R104" i="9"/>
  <c r="R44" i="9"/>
  <c r="O176" i="9"/>
  <c r="R128" i="9"/>
  <c r="O88" i="9"/>
  <c r="O22" i="9"/>
  <c r="O15" i="9"/>
  <c r="O191" i="9"/>
  <c r="R184" i="9"/>
  <c r="R123" i="9"/>
  <c r="O28" i="9"/>
  <c r="R147" i="9"/>
  <c r="R9" i="9"/>
  <c r="R39" i="9"/>
  <c r="R165" i="9"/>
  <c r="R99" i="9"/>
  <c r="R80" i="9"/>
  <c r="O23" i="9"/>
  <c r="O7" i="9"/>
  <c r="R71" i="9"/>
  <c r="O13" i="9"/>
  <c r="O136" i="9"/>
  <c r="O64" i="9"/>
  <c r="D3" i="9"/>
  <c r="O186" i="9"/>
  <c r="P115" i="9"/>
  <c r="O55" i="9"/>
  <c r="P67" i="9"/>
  <c r="O67" i="9"/>
  <c r="R111" i="9"/>
  <c r="R68" i="9"/>
  <c r="O127" i="9"/>
  <c r="O198" i="9"/>
  <c r="R135" i="9"/>
  <c r="P23" i="9"/>
  <c r="R53" i="9"/>
  <c r="O195" i="9"/>
  <c r="P121" i="9"/>
  <c r="R174" i="9"/>
  <c r="R19" i="9"/>
  <c r="P55" i="9"/>
  <c r="O189" i="9"/>
  <c r="R94" i="9"/>
  <c r="R95" i="9"/>
  <c r="R145" i="9"/>
  <c r="R12" i="9"/>
  <c r="P9" i="9"/>
  <c r="O167" i="9"/>
  <c r="O61" i="9"/>
  <c r="R108" i="9"/>
  <c r="O57" i="9"/>
  <c r="R62" i="9"/>
  <c r="O82" i="9"/>
  <c r="R21" i="9"/>
  <c r="R84" i="9"/>
  <c r="R192" i="9"/>
  <c r="R127" i="9"/>
  <c r="R157" i="9"/>
  <c r="R144" i="9"/>
  <c r="R172" i="9"/>
  <c r="O26" i="9"/>
  <c r="O56" i="9"/>
  <c r="O92" i="9"/>
  <c r="O128" i="9"/>
  <c r="P56" i="9"/>
  <c r="P128" i="9"/>
  <c r="R200" i="9"/>
  <c r="O151" i="9"/>
  <c r="O107" i="9"/>
  <c r="R90" i="9"/>
  <c r="R149" i="9"/>
  <c r="O124" i="9"/>
  <c r="O14" i="9"/>
  <c r="O17" i="9"/>
  <c r="O85" i="9"/>
  <c r="R61" i="9"/>
  <c r="O27" i="9"/>
  <c r="R173" i="9"/>
  <c r="R56" i="9"/>
  <c r="O113" i="9"/>
  <c r="R183" i="9"/>
  <c r="R97" i="9"/>
  <c r="R199" i="9"/>
  <c r="R74" i="9"/>
  <c r="P109" i="9"/>
  <c r="O33" i="9"/>
  <c r="O91" i="9"/>
  <c r="R121" i="9"/>
  <c r="R190" i="9"/>
  <c r="R48" i="9"/>
  <c r="R85" i="9"/>
  <c r="O148" i="9"/>
  <c r="O62" i="9"/>
  <c r="O98" i="9"/>
  <c r="O134" i="9"/>
  <c r="P62" i="9"/>
  <c r="P98" i="9"/>
  <c r="R115" i="9"/>
  <c r="R92" i="9"/>
  <c r="O137" i="9"/>
  <c r="R23" i="9"/>
  <c r="O105" i="9"/>
  <c r="R110" i="9"/>
  <c r="R180" i="9"/>
  <c r="R103" i="9"/>
  <c r="R86" i="9"/>
  <c r="O97" i="9"/>
  <c r="O141" i="9"/>
  <c r="R146" i="9"/>
  <c r="O188" i="9"/>
  <c r="R179" i="9"/>
  <c r="P19" i="9"/>
  <c r="R166" i="9"/>
  <c r="P6" i="9"/>
  <c r="E3" i="9"/>
  <c r="O185" i="9"/>
  <c r="R139" i="9"/>
  <c r="R31" i="9"/>
  <c r="P70" i="9"/>
  <c r="P34" i="9"/>
  <c r="O100" i="9"/>
  <c r="R171" i="9"/>
  <c r="R20" i="9"/>
  <c r="R57" i="9"/>
  <c r="R7" i="9"/>
  <c r="R197" i="9"/>
  <c r="O39" i="9"/>
  <c r="O87" i="9"/>
  <c r="O135" i="9"/>
  <c r="O32" i="9"/>
  <c r="O68" i="9"/>
  <c r="O104" i="9"/>
  <c r="O140" i="9"/>
  <c r="P32" i="9"/>
  <c r="P68" i="9"/>
  <c r="P104" i="9"/>
  <c r="P140" i="9"/>
  <c r="R182" i="9"/>
  <c r="P174" i="9"/>
  <c r="R72" i="9"/>
  <c r="R198" i="9"/>
  <c r="O6" i="9"/>
  <c r="O25" i="9"/>
  <c r="D2" i="9"/>
  <c r="R169" i="9"/>
  <c r="O66" i="9"/>
  <c r="O163" i="9"/>
  <c r="O89" i="9"/>
  <c r="O45" i="9"/>
  <c r="R50" i="9"/>
  <c r="O70" i="9"/>
  <c r="O34" i="9"/>
  <c r="R181" i="9"/>
  <c r="O145" i="9"/>
  <c r="P46" i="9"/>
  <c r="R189" i="9"/>
  <c r="O196" i="9"/>
  <c r="O21" i="9"/>
  <c r="O76" i="9"/>
  <c r="L3" i="9"/>
  <c r="O130" i="9"/>
  <c r="R37" i="9"/>
  <c r="R49" i="9"/>
  <c r="O106" i="9"/>
  <c r="R194" i="9"/>
  <c r="O12" i="9"/>
  <c r="O184" i="9"/>
  <c r="O197" i="9"/>
  <c r="P20" i="9"/>
  <c r="O44" i="9"/>
  <c r="O80" i="9"/>
  <c r="O116" i="9"/>
  <c r="O152" i="9"/>
  <c r="P44" i="9"/>
  <c r="P80" i="9"/>
  <c r="P116" i="9"/>
  <c r="P152" i="9"/>
  <c r="R51" i="9"/>
  <c r="O118" i="9"/>
  <c r="P127" i="9"/>
  <c r="R159" i="9"/>
  <c r="P97" i="9"/>
  <c r="O190" i="9"/>
  <c r="P165" i="9"/>
  <c r="P13" i="9"/>
  <c r="R107" i="9"/>
  <c r="O171" i="9"/>
  <c r="O41" i="9"/>
  <c r="R24" i="9"/>
  <c r="O187" i="9"/>
  <c r="O31" i="9"/>
  <c r="O143" i="9"/>
  <c r="R91" i="9"/>
  <c r="D4" i="9"/>
  <c r="O46" i="9"/>
  <c r="P179" i="9"/>
  <c r="R25" i="9"/>
  <c r="O38" i="9"/>
  <c r="O74" i="9"/>
  <c r="O110" i="9"/>
  <c r="O146" i="9"/>
  <c r="P110" i="9"/>
  <c r="P146" i="9"/>
  <c r="O115" i="9"/>
  <c r="R73" i="9"/>
  <c r="O73" i="9"/>
  <c r="R65" i="9"/>
  <c r="P197" i="9"/>
  <c r="O51" i="9"/>
  <c r="O99" i="9"/>
  <c r="O147" i="9"/>
  <c r="O179" i="9"/>
  <c r="R10" i="9"/>
  <c r="O172" i="9"/>
  <c r="L2" i="9"/>
  <c r="O8" i="9"/>
  <c r="O178" i="9"/>
  <c r="P133" i="9"/>
  <c r="O101" i="9"/>
  <c r="P189" i="9"/>
  <c r="O112" i="9"/>
  <c r="R143" i="9"/>
  <c r="O16" i="9"/>
  <c r="O72" i="9"/>
  <c r="R87" i="9"/>
  <c r="O117" i="9"/>
  <c r="O58" i="9"/>
  <c r="R187" i="9"/>
  <c r="O52" i="9"/>
  <c r="O95" i="9"/>
  <c r="R122" i="9"/>
  <c r="R43" i="9"/>
  <c r="R151" i="9"/>
  <c r="O19" i="9"/>
  <c r="R118" i="9"/>
  <c r="O71" i="9"/>
  <c r="P26" i="9"/>
  <c r="P139" i="9"/>
  <c r="O139" i="9"/>
  <c r="R27" i="9"/>
  <c r="R59" i="9"/>
  <c r="O79" i="9"/>
  <c r="R41" i="9"/>
  <c r="R140" i="9"/>
  <c r="P61" i="9"/>
  <c r="P145" i="9"/>
  <c r="R6" i="9"/>
  <c r="O83" i="9"/>
  <c r="R83" i="9"/>
  <c r="P5" i="9"/>
  <c r="E4" i="9"/>
  <c r="O35" i="9"/>
  <c r="L4" i="9"/>
  <c r="O40" i="9"/>
  <c r="R13" i="9"/>
  <c r="O119" i="9"/>
  <c r="O20" i="9"/>
  <c r="E2" i="9"/>
  <c r="P43" i="9"/>
  <c r="P95" i="9"/>
  <c r="O133" i="9"/>
  <c r="R142" i="9"/>
  <c r="R55" i="9"/>
  <c r="O131" i="9"/>
  <c r="R58" i="9"/>
  <c r="O121" i="9"/>
  <c r="O164" i="9"/>
  <c r="O5" i="9"/>
  <c r="R38" i="9"/>
  <c r="P90" i="9"/>
  <c r="R113" i="9"/>
  <c r="O149" i="9"/>
  <c r="R5" i="9"/>
  <c r="O174" i="9"/>
  <c r="O43" i="9"/>
  <c r="R77" i="9"/>
  <c r="O109" i="9"/>
  <c r="O177" i="9"/>
  <c r="P58" i="9"/>
  <c r="R156" i="9"/>
  <c r="O9" i="9"/>
  <c r="P37" i="9"/>
  <c r="R133" i="9"/>
  <c r="O59" i="9"/>
  <c r="R132" i="9"/>
  <c r="P71" i="9"/>
  <c r="R109" i="9"/>
  <c r="O154" i="9"/>
  <c r="R82" i="9"/>
  <c r="R96" i="9"/>
  <c r="R188" i="9"/>
  <c r="O169" i="9"/>
  <c r="O63" i="9"/>
  <c r="O111" i="9"/>
  <c r="O159" i="9"/>
  <c r="O50" i="9"/>
  <c r="O86" i="9"/>
  <c r="O122" i="9"/>
  <c r="O158" i="9"/>
  <c r="P50" i="9"/>
  <c r="P86" i="9"/>
  <c r="P122" i="9"/>
  <c r="P158" i="9"/>
  <c r="P10" i="9"/>
  <c r="R16" i="9"/>
  <c r="O153" i="9"/>
  <c r="R158" i="9"/>
  <c r="R67" i="9"/>
  <c r="R134" i="9"/>
  <c r="O162" i="9"/>
  <c r="R18" i="9"/>
  <c r="O10" i="9"/>
  <c r="O37" i="9"/>
  <c r="R79" i="9"/>
  <c r="R35" i="9"/>
  <c r="O93" i="9"/>
  <c r="R98" i="9"/>
  <c r="O75" i="9"/>
  <c r="O123" i="9"/>
  <c r="O157" i="9"/>
  <c r="O49" i="9"/>
  <c r="R75" i="9"/>
  <c r="R69" i="9"/>
  <c r="R120" i="9"/>
  <c r="O180" i="9"/>
  <c r="P7" i="9"/>
  <c r="O90" i="9"/>
  <c r="R26" i="9"/>
  <c r="P41" i="9"/>
  <c r="R168" i="9"/>
  <c r="O103" i="9"/>
  <c r="O192" i="9"/>
  <c r="P125" i="9"/>
  <c r="P118" i="9"/>
  <c r="P188" i="9"/>
  <c r="P30" i="9"/>
  <c r="P117" i="9"/>
  <c r="P33" i="9"/>
  <c r="P194" i="9"/>
  <c r="R167" i="9"/>
  <c r="R88" i="9"/>
  <c r="O155" i="9"/>
  <c r="O181" i="9"/>
  <c r="P85" i="9"/>
  <c r="R160" i="9"/>
  <c r="R93" i="9"/>
  <c r="P27" i="9"/>
  <c r="R66" i="9"/>
  <c r="P195" i="9"/>
  <c r="R100" i="9"/>
  <c r="R130" i="9"/>
  <c r="R14" i="9"/>
  <c r="P59" i="9"/>
  <c r="O81" i="9"/>
  <c r="P149" i="9"/>
  <c r="R138" i="9"/>
  <c r="P154" i="9"/>
  <c r="R60" i="9"/>
  <c r="R131" i="9"/>
  <c r="R162" i="9"/>
  <c r="R124" i="9"/>
  <c r="O132" i="9"/>
  <c r="R186" i="9"/>
  <c r="O166" i="9"/>
  <c r="P73" i="9"/>
  <c r="R176" i="9"/>
  <c r="P48" i="9"/>
  <c r="P45" i="9"/>
  <c r="O30" i="9"/>
  <c r="P113" i="9"/>
  <c r="P162" i="9"/>
  <c r="R40" i="9"/>
  <c r="R185" i="9"/>
  <c r="R175" i="9"/>
  <c r="O94" i="9"/>
  <c r="P63" i="9"/>
  <c r="P147" i="9"/>
  <c r="R102" i="9"/>
  <c r="R81" i="9"/>
  <c r="P183" i="9"/>
  <c r="P198" i="9"/>
  <c r="P166" i="9"/>
  <c r="P89" i="9"/>
  <c r="R163" i="9"/>
  <c r="P21" i="9"/>
  <c r="O84" i="9"/>
  <c r="O193" i="9"/>
  <c r="R76" i="9"/>
  <c r="P25" i="9"/>
  <c r="P99" i="9"/>
  <c r="R36" i="9"/>
  <c r="O24" i="9"/>
  <c r="R153" i="9"/>
  <c r="O160" i="9"/>
  <c r="R34" i="9"/>
  <c r="R117" i="9"/>
  <c r="R137" i="9"/>
  <c r="P173" i="9"/>
  <c r="R22" i="9"/>
  <c r="R52" i="9"/>
  <c r="R54" i="9"/>
  <c r="P91" i="9"/>
  <c r="R15" i="9"/>
  <c r="O36" i="9"/>
  <c r="R112" i="9"/>
  <c r="O168" i="9"/>
  <c r="R178" i="9"/>
  <c r="P167" i="9"/>
  <c r="P18" i="9"/>
  <c r="P193" i="9"/>
  <c r="O194" i="9"/>
  <c r="O126" i="9"/>
  <c r="R28" i="9"/>
  <c r="R141" i="9"/>
  <c r="O175" i="9"/>
  <c r="P51" i="9"/>
  <c r="O156" i="9"/>
  <c r="P161" i="9"/>
  <c r="P105" i="9"/>
  <c r="P123" i="9"/>
  <c r="O150" i="9"/>
  <c r="R11" i="9"/>
  <c r="P134" i="9"/>
  <c r="O125" i="9"/>
  <c r="O142" i="9"/>
  <c r="P142" i="9"/>
  <c r="P74" i="9"/>
  <c r="O108" i="9"/>
  <c r="O161" i="9"/>
  <c r="R30" i="9"/>
  <c r="P31" i="9"/>
  <c r="P171" i="9"/>
  <c r="R114" i="9"/>
  <c r="P191" i="9"/>
  <c r="R45" i="9"/>
  <c r="R161" i="9"/>
  <c r="O29" i="9"/>
  <c r="O54" i="9"/>
  <c r="O69" i="9"/>
  <c r="P49" i="9"/>
  <c r="R125" i="9"/>
  <c r="P143" i="9"/>
  <c r="R8" i="9"/>
  <c r="P170" i="9"/>
  <c r="P187" i="9"/>
  <c r="R33" i="9"/>
  <c r="R126" i="9"/>
  <c r="O47" i="9"/>
  <c r="P137" i="9"/>
  <c r="P94" i="9"/>
  <c r="P168" i="9"/>
  <c r="R47" i="9"/>
  <c r="O65" i="9"/>
  <c r="R17" i="9"/>
  <c r="P177" i="9"/>
  <c r="R150" i="9"/>
  <c r="P135" i="9"/>
  <c r="P176" i="9"/>
  <c r="R64" i="9"/>
  <c r="R70" i="9"/>
  <c r="R164" i="9"/>
  <c r="P157" i="9"/>
  <c r="P82" i="9"/>
  <c r="P24" i="9"/>
  <c r="P38" i="9"/>
  <c r="P57" i="9"/>
  <c r="P16" i="9"/>
  <c r="O60" i="9"/>
  <c r="P129" i="9"/>
  <c r="R89" i="9"/>
  <c r="R101" i="9"/>
  <c r="P159" i="9"/>
  <c r="O18" i="9"/>
  <c r="R154" i="9"/>
  <c r="P182" i="9"/>
  <c r="O102" i="9"/>
  <c r="R119" i="9"/>
  <c r="O96" i="9"/>
  <c r="P87" i="9"/>
  <c r="R46" i="9"/>
  <c r="O11" i="9"/>
  <c r="R148" i="9"/>
  <c r="R29" i="9"/>
  <c r="P119" i="9"/>
  <c r="P169" i="9"/>
  <c r="P107" i="9"/>
  <c r="P185" i="9"/>
  <c r="O77" i="9"/>
  <c r="P199" i="9"/>
  <c r="P79" i="9"/>
  <c r="O78" i="9"/>
  <c r="P111" i="9"/>
  <c r="O42" i="9"/>
  <c r="P103" i="9"/>
  <c r="R105" i="9"/>
  <c r="O120" i="9"/>
  <c r="O199" i="9"/>
  <c r="P39" i="9"/>
  <c r="O114" i="9"/>
  <c r="R129" i="9"/>
  <c r="P200" i="9"/>
  <c r="P151" i="9"/>
  <c r="O48" i="9"/>
  <c r="P92" i="9"/>
  <c r="P60" i="9"/>
  <c r="R155" i="9"/>
  <c r="R170" i="9"/>
  <c r="O129" i="9"/>
  <c r="R42" i="9"/>
  <c r="O144" i="9"/>
  <c r="R191" i="9"/>
  <c r="R136" i="9"/>
  <c r="R78" i="9"/>
  <c r="P172" i="9"/>
  <c r="P12" i="9"/>
  <c r="O138" i="9"/>
  <c r="P150" i="9"/>
  <c r="P17" i="9"/>
  <c r="P35" i="9"/>
  <c r="P83" i="9"/>
  <c r="P106" i="9"/>
  <c r="P180" i="9"/>
  <c r="O170" i="9"/>
  <c r="P15" i="9"/>
  <c r="R196" i="9"/>
  <c r="O53" i="9"/>
  <c r="R106" i="9"/>
  <c r="P141" i="9"/>
  <c r="P75" i="9"/>
  <c r="P66" i="9"/>
  <c r="P181" i="9"/>
  <c r="P47" i="9"/>
  <c r="P65" i="9"/>
  <c r="P88" i="9"/>
  <c r="P186" i="9"/>
  <c r="P144" i="9"/>
  <c r="P131" i="9"/>
  <c r="P84" i="9"/>
  <c r="P160" i="9"/>
  <c r="P77" i="9"/>
  <c r="P100" i="9"/>
  <c r="P101" i="9"/>
  <c r="P120" i="9"/>
  <c r="P126" i="9"/>
  <c r="P163" i="9"/>
  <c r="P153" i="9"/>
  <c r="P156" i="9"/>
  <c r="P192" i="9"/>
  <c r="P184" i="9"/>
  <c r="P164" i="9"/>
  <c r="P8" i="9"/>
  <c r="P29" i="9"/>
  <c r="P132" i="9"/>
  <c r="P178" i="9"/>
  <c r="P72" i="9"/>
  <c r="P102" i="9"/>
  <c r="P175" i="9"/>
  <c r="P36" i="9"/>
  <c r="P130" i="9"/>
  <c r="P155" i="9"/>
  <c r="P196" i="9"/>
  <c r="P148" i="9"/>
  <c r="P40" i="9"/>
  <c r="P78" i="9"/>
  <c r="P28" i="9"/>
  <c r="P114" i="9"/>
  <c r="P53" i="9"/>
  <c r="P93" i="9"/>
  <c r="P64" i="9"/>
  <c r="P138" i="9"/>
  <c r="P54" i="9"/>
  <c r="P112" i="9"/>
  <c r="P190" i="9"/>
  <c r="P14" i="9"/>
  <c r="P108" i="9"/>
  <c r="P124" i="9"/>
  <c r="P22" i="9"/>
  <c r="P76" i="9"/>
  <c r="P52" i="9"/>
  <c r="P136" i="9"/>
  <c r="P42" i="9"/>
  <c r="P96" i="9"/>
  <c r="P69" i="9"/>
  <c r="P81" i="9"/>
  <c r="P11" i="9"/>
  <c r="R3" i="9" l="1"/>
  <c r="B268" i="15"/>
  <c r="B11" i="14"/>
  <c r="B21" i="14"/>
  <c r="M195" i="9"/>
  <c r="M177" i="9"/>
  <c r="M189" i="9"/>
  <c r="M152" i="9"/>
  <c r="M151" i="9"/>
  <c r="M133" i="9"/>
  <c r="M104" i="9"/>
  <c r="M103" i="9"/>
  <c r="M85" i="9"/>
  <c r="M44" i="9"/>
  <c r="M43" i="9"/>
  <c r="M20" i="9"/>
  <c r="M5" i="9"/>
  <c r="M150" i="9"/>
  <c r="M102" i="9"/>
  <c r="M42" i="9"/>
  <c r="M26" i="9"/>
  <c r="M9" i="9"/>
  <c r="M7" i="9"/>
  <c r="M171" i="9"/>
  <c r="M134" i="9"/>
  <c r="M86" i="9"/>
  <c r="M73" i="9"/>
  <c r="M32" i="9"/>
  <c r="M31" i="9"/>
  <c r="M190" i="9"/>
  <c r="M182" i="9"/>
  <c r="M140" i="9"/>
  <c r="M139" i="9"/>
  <c r="M121" i="9"/>
  <c r="M92" i="9"/>
  <c r="M91" i="9"/>
  <c r="M16" i="9"/>
  <c r="M144" i="9"/>
  <c r="M126" i="9"/>
  <c r="M96" i="9"/>
  <c r="M78" i="9"/>
  <c r="M53" i="9"/>
  <c r="M13" i="9"/>
  <c r="M184" i="9"/>
  <c r="M181" i="9"/>
  <c r="M165" i="9"/>
  <c r="M145" i="9"/>
  <c r="M116" i="9"/>
  <c r="M115" i="9"/>
  <c r="M97" i="9"/>
  <c r="M132" i="9"/>
  <c r="M114" i="9"/>
  <c r="M84" i="9"/>
  <c r="M59" i="9"/>
  <c r="M56" i="9"/>
  <c r="M55" i="9"/>
  <c r="M38" i="9"/>
  <c r="M24" i="9"/>
  <c r="M19" i="9"/>
  <c r="M199" i="9"/>
  <c r="M131" i="9"/>
  <c r="M122" i="9"/>
  <c r="M25" i="9"/>
  <c r="M157" i="9"/>
  <c r="M127" i="9"/>
  <c r="M98" i="9"/>
  <c r="M68" i="9"/>
  <c r="M67" i="9"/>
  <c r="M128" i="9"/>
  <c r="M74" i="9"/>
  <c r="M49" i="9"/>
  <c r="M22" i="9"/>
  <c r="M158" i="9"/>
  <c r="M109" i="9"/>
  <c r="M65" i="9"/>
  <c r="M50" i="9"/>
  <c r="M110" i="9"/>
  <c r="M79" i="9"/>
  <c r="M54" i="9"/>
  <c r="M23" i="9"/>
  <c r="M172" i="9"/>
  <c r="M61" i="9"/>
  <c r="M37" i="9"/>
  <c r="M163" i="9"/>
  <c r="M156" i="9"/>
  <c r="M192" i="9"/>
  <c r="M183" i="9"/>
  <c r="M108" i="9"/>
  <c r="M18" i="9"/>
  <c r="M62" i="9"/>
  <c r="M12" i="9"/>
  <c r="M29" i="9"/>
  <c r="M175" i="9"/>
  <c r="M80" i="9"/>
  <c r="M146" i="9"/>
  <c r="M193" i="9"/>
  <c r="M36" i="9"/>
  <c r="M71" i="9"/>
  <c r="M48" i="9"/>
  <c r="M200" i="9"/>
  <c r="M178" i="9"/>
  <c r="M142" i="9"/>
  <c r="M89" i="9"/>
  <c r="M63" i="9"/>
  <c r="M111" i="9"/>
  <c r="M159" i="9"/>
  <c r="M174" i="9"/>
  <c r="M117" i="9"/>
  <c r="M166" i="9"/>
  <c r="M179" i="9"/>
  <c r="M107" i="9"/>
  <c r="M90" i="9"/>
  <c r="M6" i="9"/>
  <c r="M94" i="9"/>
  <c r="M95" i="9"/>
  <c r="M138" i="9"/>
  <c r="M57" i="9"/>
  <c r="M129" i="9"/>
  <c r="M46" i="9"/>
  <c r="M137" i="9"/>
  <c r="M64" i="9"/>
  <c r="M112" i="9"/>
  <c r="M197" i="9"/>
  <c r="M164" i="9"/>
  <c r="M17" i="9"/>
  <c r="M153" i="9"/>
  <c r="M162" i="9"/>
  <c r="M186" i="9"/>
  <c r="M93" i="9"/>
  <c r="M27" i="9"/>
  <c r="M75" i="9"/>
  <c r="M123" i="9"/>
  <c r="M33" i="9"/>
  <c r="M161" i="9"/>
  <c r="M130" i="9"/>
  <c r="M81" i="9"/>
  <c r="M106" i="9"/>
  <c r="M160" i="9"/>
  <c r="M69" i="9"/>
  <c r="M120" i="9"/>
  <c r="M113" i="9"/>
  <c r="M83" i="9"/>
  <c r="M11" i="9"/>
  <c r="C3" i="9"/>
  <c r="F3" i="9" s="1"/>
  <c r="M167" i="9"/>
  <c r="M105" i="9"/>
  <c r="M119" i="9"/>
  <c r="M180" i="9"/>
  <c r="M35" i="9"/>
  <c r="M141" i="9"/>
  <c r="M188" i="9"/>
  <c r="M28" i="9"/>
  <c r="M76" i="9"/>
  <c r="M124" i="9"/>
  <c r="M176" i="9"/>
  <c r="M10" i="9"/>
  <c r="C4" i="9"/>
  <c r="F4" i="9" s="1"/>
  <c r="M82" i="9"/>
  <c r="M4" i="9"/>
  <c r="N4" i="9" s="1"/>
  <c r="P4" i="9" s="1"/>
  <c r="M40" i="9"/>
  <c r="M88" i="9"/>
  <c r="M136" i="9"/>
  <c r="M148" i="9"/>
  <c r="M168" i="9"/>
  <c r="C2" i="9"/>
  <c r="F2" i="9" s="1"/>
  <c r="M125" i="9"/>
  <c r="M66" i="9"/>
  <c r="M154" i="9"/>
  <c r="M39" i="9"/>
  <c r="M87" i="9"/>
  <c r="M135" i="9"/>
  <c r="M3" i="9"/>
  <c r="N3" i="9" s="1"/>
  <c r="P3" i="9" s="1"/>
  <c r="M185" i="9"/>
  <c r="M118" i="9"/>
  <c r="M45" i="9"/>
  <c r="M60" i="9"/>
  <c r="M191" i="9"/>
  <c r="M30" i="9"/>
  <c r="M41" i="9"/>
  <c r="M72" i="9"/>
  <c r="M198" i="9"/>
  <c r="M58" i="9"/>
  <c r="M187" i="9"/>
  <c r="M2" i="9"/>
  <c r="N2" i="9" s="1"/>
  <c r="M194" i="9"/>
  <c r="M52" i="9"/>
  <c r="M100" i="9"/>
  <c r="M169" i="9"/>
  <c r="M21" i="9"/>
  <c r="M173" i="9"/>
  <c r="M47" i="9"/>
  <c r="M14" i="9"/>
  <c r="M101" i="9"/>
  <c r="M77" i="9"/>
  <c r="M155" i="9"/>
  <c r="M143" i="9"/>
  <c r="M170" i="9"/>
  <c r="M196" i="9"/>
  <c r="M51" i="9"/>
  <c r="M99" i="9"/>
  <c r="M147" i="9"/>
  <c r="M8" i="9"/>
  <c r="M70" i="9"/>
  <c r="M15" i="9"/>
  <c r="M34" i="9"/>
  <c r="M149" i="9"/>
  <c r="B11" i="16"/>
  <c r="H11" i="16"/>
  <c r="R4" i="9"/>
  <c r="O4" i="9"/>
  <c r="Q4" i="9"/>
  <c r="R2" i="9"/>
  <c r="B269" i="15"/>
  <c r="B22" i="14"/>
  <c r="C38" i="16"/>
  <c r="G5" i="16"/>
  <c r="B64" i="16"/>
  <c r="O3" i="9"/>
  <c r="Q3" i="9"/>
  <c r="W51" i="15"/>
  <c r="B13" i="16" s="1"/>
  <c r="B66" i="16" s="1"/>
  <c r="Q2" i="9"/>
  <c r="O2" i="9"/>
  <c r="B271" i="15" l="1"/>
  <c r="B275" i="15"/>
  <c r="E26" i="15"/>
  <c r="B272" i="15"/>
  <c r="B276" i="15"/>
  <c r="W52" i="15"/>
  <c r="H13" i="16" s="1"/>
  <c r="B273" i="15"/>
  <c r="P2" i="9"/>
  <c r="B274" i="15" s="1"/>
  <c r="B16" i="14"/>
  <c r="B23" i="14" s="1"/>
  <c r="B19" i="14"/>
  <c r="J4" i="15"/>
  <c r="H8" i="16"/>
  <c r="B3" i="16" l="1"/>
  <c r="C4" i="16"/>
  <c r="J5" i="16"/>
  <c r="B67" i="16" l="1"/>
  <c r="G1" i="16"/>
  <c r="G2" i="16"/>
  <c r="B7" i="16"/>
  <c r="A7" i="16"/>
</calcChain>
</file>

<file path=xl/sharedStrings.xml><?xml version="1.0" encoding="utf-8"?>
<sst xmlns="http://schemas.openxmlformats.org/spreadsheetml/2006/main" count="40748" uniqueCount="601">
  <si>
    <t>MODO DE LEITURA</t>
  </si>
  <si>
    <t>PC (Pedidos de Compra)</t>
  </si>
  <si>
    <t>Ciclo vigente (em execução)</t>
  </si>
  <si>
    <t>C1</t>
  </si>
  <si>
    <t>DATA DE CORTE DA APURAÇÃO</t>
  </si>
  <si>
    <t>Última data considerada nos cálculos, PCs, competências e resultados da apuração.</t>
  </si>
  <si>
    <t>C0 e ciclos fora da analise</t>
  </si>
  <si>
    <t>Preencher FINANCEIRO: coluna B com o nome do ciclo (ex: c0, c1), coluna C com o valor efetivamente pago. Se vazio, o sistema usa calculo por itens/estoque.</t>
  </si>
  <si>
    <t>RESUMO DO REAJUSTE</t>
  </si>
  <si>
    <t>VALOR</t>
  </si>
  <si>
    <t>Índice utilizado</t>
  </si>
  <si>
    <t>IST (Anatel)</t>
  </si>
  <si>
    <t>Data-base original</t>
  </si>
  <si>
    <t>Quantidade de ciclos desta análise</t>
  </si>
  <si>
    <t>Variação histórica integral até o ciclo vigente</t>
  </si>
  <si>
    <t>Fator histórico integral (até o ciclo vigente)</t>
  </si>
  <si>
    <t>Último ciclo considerado nesta apuração</t>
  </si>
  <si>
    <t>Início do último ciclo considerado</t>
  </si>
  <si>
    <t>Data de geracao do arquivo</t>
  </si>
  <si>
    <t>Modelo de Coleta</t>
  </si>
  <si>
    <t>11.0</t>
  </si>
  <si>
    <t>Gerado pelo Cl8us</t>
  </si>
  <si>
    <t>comparativo_VTA - REFERENCIA (nao aparece na web; nao e VTA de pagamento)</t>
  </si>
  <si>
    <t>BLOCO 1 - EVOLUCAO DO REMANESCENTE A PRECOS ORIGINAIS (sem reajuste)</t>
  </si>
  <si>
    <t>ITEM</t>
  </si>
  <si>
    <t>VU_ORIGINAL</t>
  </si>
  <si>
    <t>C0</t>
  </si>
  <si>
    <t>C2</t>
  </si>
  <si>
    <t>C3</t>
  </si>
  <si>
    <t>C4</t>
  </si>
  <si>
    <t>TOTAL</t>
  </si>
  <si>
    <t>BLOCO 2 - COMPARACAO DE REFERENCIA - NAO UTILIZAR COMO VTA OU VALOR DE PAGAMENTO</t>
  </si>
  <si>
    <t>VTA pelo metodo aplicado</t>
  </si>
  <si>
    <t>Contrato original integralmente reajustado ate o ciclo atual - REFERENCIA APENAS</t>
  </si>
  <si>
    <t>O valor integralmente reajustado e apenas um cenario comparativo. Ele pressupoe que todo o contrato original permanecesse sujeito ao fator acumulado final, desconsiderando a execucao ocorrida em ciclos distintos e a reducao do saldo remanescente. Nao utilizar este valor como VTA, retroativo ou base de pagamento.</t>
  </si>
  <si>
    <t>COMPUTAR_NESTA_APURACAO</t>
  </si>
  <si>
    <t>CICLO</t>
  </si>
  <si>
    <t>DATA_INICIO</t>
  </si>
  <si>
    <t>DATA_FIM</t>
  </si>
  <si>
    <t>PERCENTUAL_DO_CICLO</t>
  </si>
  <si>
    <t>FATOR_ACUMULADO</t>
  </si>
  <si>
    <t>SITUACAO</t>
  </si>
  <si>
    <t>INICIO_EFEITO_FINANCEIRO</t>
  </si>
  <si>
    <t>TIPO_REGISTRO</t>
  </si>
  <si>
    <t>ORDEM</t>
  </si>
  <si>
    <t>COMPETENCIA</t>
  </si>
  <si>
    <t>VALOR_INDICE</t>
  </si>
  <si>
    <t>FATOR_MENSAL</t>
  </si>
  <si>
    <t>VARIACAO_FINAL</t>
  </si>
  <si>
    <t>METODO_FONTE</t>
  </si>
  <si>
    <t>Nao</t>
  </si>
  <si>
    <t>Sim</t>
  </si>
  <si>
    <t>TEMPESTIVO</t>
  </si>
  <si>
    <t>N/A</t>
  </si>
  <si>
    <t>MEMORIA DO FATOR APLICAVEL A APURACAO</t>
  </si>
  <si>
    <t>COMPUTA?</t>
  </si>
  <si>
    <t>PERCENTUAL</t>
  </si>
  <si>
    <t>FATOR</t>
  </si>
  <si>
    <t>FATOR_ACUMULADO_APURACAO</t>
  </si>
  <si>
    <t>STATUS</t>
  </si>
  <si>
    <t>EXISTE REAJUSTE ANTERIOR FORMALIZADO? (Sim/Não; vazio=não comprovado)</t>
  </si>
  <si>
    <t>Base</t>
  </si>
  <si>
    <t>TOTAL APURACAO</t>
  </si>
  <si>
    <t>VALOR_PAGO</t>
  </si>
  <si>
    <t>FATOR_APLICAVEL</t>
  </si>
  <si>
    <t>VALOR_ATUALIZADO</t>
  </si>
  <si>
    <t>DELTA</t>
  </si>
  <si>
    <t>EFEITO_FINANCEIRO</t>
  </si>
  <si>
    <t>ITEM
(NOVO ITEM: use N001, N002...; QTD_BASE_ORIGINAL fica 0 automaticamente - nao digite; informe o VU_ORIGINAL)</t>
  </si>
  <si>
    <t>QTD_BASE_ORIGINAL
(NOVO ITEM: deixar vazio - assume 0 automaticamente)</t>
  </si>
  <si>
    <t>VALOR_TOTAL</t>
  </si>
  <si>
    <t>CHECK</t>
  </si>
  <si>
    <t>CHECK_QTD</t>
  </si>
  <si>
    <t>FATOR_PROPRIO</t>
  </si>
  <si>
    <t>EXECUÇÃO IMPLÍCITA C0 — INFORMATIVO</t>
  </si>
  <si>
    <t>QTD_EXECUTADA_C0</t>
  </si>
  <si>
    <t>VALOR_EXECUTADO_C0</t>
  </si>
  <si>
    <t>QTD_CONTRATADA_VIGENTE_C0</t>
  </si>
  <si>
    <t>QTD_CONTRATADA_VIGENTE_C1</t>
  </si>
  <si>
    <t>QTD_CONTRATADA_VIGENTE_C2</t>
  </si>
  <si>
    <t>QTD_CONTRATADA_VIGENTE_C3</t>
  </si>
  <si>
    <t>QTD_CONTRATADA_VIGENTE_C4</t>
  </si>
  <si>
    <t>QTD_REM_AJUSTADA_C0</t>
  </si>
  <si>
    <t>QTD_REM_AJUSTADA_C1</t>
  </si>
  <si>
    <t>QTD_REM_AJUSTADA_C2</t>
  </si>
  <si>
    <t>QTD_REM_AJUSTADA_C3</t>
  </si>
  <si>
    <t>QTD_REM_AJUSTADA_C4</t>
  </si>
  <si>
    <t>CHECK_POSICAO_CONTRATUAL</t>
  </si>
  <si>
    <t>QTD_COBERTA_C0</t>
  </si>
  <si>
    <t>QTD_NAO_COBERTA_C0</t>
  </si>
  <si>
    <t>PARCELA_A_C0</t>
  </si>
  <si>
    <t>PARCELA_B_C0</t>
  </si>
  <si>
    <t>QTD_COBERTA_C1</t>
  </si>
  <si>
    <t>QTD_NAO_COBERTA_C1</t>
  </si>
  <si>
    <t>PARCELA_A_C1</t>
  </si>
  <si>
    <t>PARCELA_B_C1</t>
  </si>
  <si>
    <t>QTD_COBERTA_C2</t>
  </si>
  <si>
    <t>QTD_NAO_COBERTA_C2</t>
  </si>
  <si>
    <t>PARCELA_A_C2</t>
  </si>
  <si>
    <t>PARCELA_B_C2</t>
  </si>
  <si>
    <t>QTD_COBERTA_C3</t>
  </si>
  <si>
    <t>QTD_NAO_COBERTA_C3</t>
  </si>
  <si>
    <t>PARCELA_A_C3</t>
  </si>
  <si>
    <t>PARCELA_B_C3</t>
  </si>
  <si>
    <t>QTD_COBERTA_C4</t>
  </si>
  <si>
    <t>QTD_NAO_COBERTA_C4</t>
  </si>
  <si>
    <t>PARCELA_A_C4</t>
  </si>
  <si>
    <t>PARCELA_B_C4</t>
  </si>
  <si>
    <t>CICLO_NASCIMENTO_DATA (AUTO)</t>
  </si>
  <si>
    <t>ITEM-001</t>
  </si>
  <si>
    <t>ITEM-002</t>
  </si>
  <si>
    <t>ITEM-003</t>
  </si>
  <si>
    <t>QTD_CONTRATADA</t>
  </si>
  <si>
    <t>QTD_CONS_C0</t>
  </si>
  <si>
    <t>VALOR_CONS_C0</t>
  </si>
  <si>
    <t>QTD_CONS_C1</t>
  </si>
  <si>
    <t>VALOR_CONS_C1</t>
  </si>
  <si>
    <t>QTD_CONS_C2</t>
  </si>
  <si>
    <t>VALOR_CONS_C2</t>
  </si>
  <si>
    <t>QTD_CONS_C3</t>
  </si>
  <si>
    <t>VALOR_CONS_C3</t>
  </si>
  <si>
    <t>QTD_CONS_C4</t>
  </si>
  <si>
    <t>VALOR_CONS_C4</t>
  </si>
  <si>
    <t>CONS_QTD_TOTAL</t>
  </si>
  <si>
    <t>CONS_VALOR_TOTAL</t>
  </si>
  <si>
    <t>Remanescente atualizado (base) do item</t>
  </si>
  <si>
    <t>AJUSTE_CICLO</t>
  </si>
  <si>
    <t>AJUSTE_VALOR_CALCULADO</t>
  </si>
  <si>
    <t>AJUSTE_TIPO</t>
  </si>
  <si>
    <t>AJUSTE_VALOR_INFORMADO</t>
  </si>
  <si>
    <t>AJUSTE_VALOR_PAGO_CONSIDERADO</t>
  </si>
  <si>
    <t>AJUSTE_GLOSA</t>
  </si>
  <si>
    <t>AJUSTE_FATOR_NOVO</t>
  </si>
  <si>
    <t>AJUSTE_VALOR_PAGO_ATUALIZADO</t>
  </si>
  <si>
    <t>AJUSTE_RETROATIVO</t>
  </si>
  <si>
    <t>AJUSTE_STATUS</t>
  </si>
  <si>
    <t>AJUSTES DA EXECUCAO - VALOR PAGO / GLOSAS (OPCIONAL)</t>
  </si>
  <si>
    <t>Preencha somente quando o valor pago considerado na execucao do ciclo diferir do valor calculado pelos itens consumidos.</t>
  </si>
  <si>
    <t>AJUSTE_TIPO vazio = comportamento normal. Escolha 'Valor pago' para informar o valor bruto reconhecido apos a glosa, ou 'Glosa' para informar o total glosado no ciclo.</t>
  </si>
  <si>
    <t>Valor pago = valor bruto da execucao economicamente reconhecida, ANTES do reajuste que esta sendo apurado neste ciclo mas JA com os reajustes anteriores ja formalizados. Nao e valor liquido: IR, ISS, INSS e demais retencoes tributarias nao sao glosa.</t>
  </si>
  <si>
    <t>Compare sempre com AJUSTE_VALOR_CALCULADO: ele ja esta na mesma base monetaria do que se pagava no ciclo (QTD x VU_ORIGINAL x fator vigente anterior). AJUSTE_FATOR_NOVO e so o reajuste novo do ciclo - o acumulado nunca e reaplicado sobre um valor que ja o contem.</t>
  </si>
  <si>
    <t>A glosa e financeira: nao altera quantidade consumida nem devolve saldo ao remanescente. Uma glosa que alcance dois ciclos deve ser segregada entre eles.</t>
  </si>
  <si>
    <t>NUMERO_PC</t>
  </si>
  <si>
    <t>DATA_PC</t>
  </si>
  <si>
    <t>CICLO_PC</t>
  </si>
  <si>
    <t>VALOR_PC</t>
  </si>
  <si>
    <t>PC_PAGO_A_CONTRATADA</t>
  </si>
  <si>
    <t>RETROATIVO RECONHECIDO</t>
  </si>
  <si>
    <t>VALOR_ATUALIZADO_EM_ANALISE</t>
  </si>
  <si>
    <t>RETROATIVO POTENCIAL</t>
  </si>
  <si>
    <t>CHECK_PC_FINANCEIRO</t>
  </si>
  <si>
    <t>EFEITO_FINANCEIRO_PC</t>
  </si>
  <si>
    <t>TODOS OS PCs CADASTRADOS POR CICLO</t>
  </si>
  <si>
    <t>VALOR_CONSIDERADO</t>
  </si>
  <si>
    <t>COMPUTA_VTA</t>
  </si>
  <si>
    <t>TIPO_PARCELA</t>
  </si>
  <si>
    <t>ORIGEM_DADO</t>
  </si>
  <si>
    <t>TIPO_FINANCEIRO</t>
  </si>
  <si>
    <t>FONTE_PARCELA</t>
  </si>
  <si>
    <t>JA_REFLETIDO_EM</t>
  </si>
  <si>
    <t>STATUS_CONSOLIDACAO</t>
  </si>
  <si>
    <t>JUSTIFICATIVA_VTA</t>
  </si>
  <si>
    <t>PC-2024-001</t>
  </si>
  <si>
    <t>QTD. DE PCs</t>
  </si>
  <si>
    <t>VALOR ORIGINAL TOTAL</t>
  </si>
  <si>
    <t>VALOR DOS PCs COM FATOR DO CICLO</t>
  </si>
  <si>
    <t>VALOR EM ANÁLISE - NÃO PAGOS (ÁREA GEST.)</t>
  </si>
  <si>
    <t>QTD. COM ALERTA</t>
  </si>
  <si>
    <t>PC em analise</t>
  </si>
  <si>
    <t>Pedido de Compra</t>
  </si>
  <si>
    <t>Impacto Potencial</t>
  </si>
  <si>
    <t>PC</t>
  </si>
  <si>
    <t>NAO_COMPUTADO</t>
  </si>
  <si>
    <t>Estrutura Fase 1: sem impacto no VTA oficial</t>
  </si>
  <si>
    <t>PC-2024-002</t>
  </si>
  <si>
    <t>PC-2024-003</t>
  </si>
  <si>
    <t>Outras situações / fora dos ciclos</t>
  </si>
  <si>
    <t>PCs CONSIDERADOS NA APURAÇÃO ATÉ A DATA DE CORTE</t>
  </si>
  <si>
    <t>Ciclo</t>
  </si>
  <si>
    <t>PCs pagos/reconhecidos</t>
  </si>
  <si>
    <t>Valor original reconhecido</t>
  </si>
  <si>
    <t>Valor atualizado reconhecido</t>
  </si>
  <si>
    <t>Retroativo reconhecido</t>
  </si>
  <si>
    <t>Valor em análise — não pagos (regra vigente)</t>
  </si>
  <si>
    <t>Retroativo potencial</t>
  </si>
  <si>
    <t>Fora da data de corte</t>
  </si>
  <si>
    <t>COMO OS PCs SÃO TRATADOS</t>
  </si>
  <si>
    <t>PC pago e dentro da data de corte: integra a execução considerada.</t>
  </si>
  <si>
    <t>PC não pago e com data do PC até o corte: permanece em análise pela área gestora.</t>
  </si>
  <si>
    <t>C0: não recebe reajuste e não gera retroativo.</t>
  </si>
  <si>
    <t>C1 em diante: pode receber reajuste conforme os efeitos financeiros.</t>
  </si>
  <si>
    <t>PC pago + efeito financeiro: retroativo reconhecido.</t>
  </si>
  <si>
    <t>PC não pago + efeito financeiro: retroativo potencial.</t>
  </si>
  <si>
    <t>PC não pago + sem efeito financeiro: permanece em análise; só há retroativo potencial quando houver efeito financeiro.</t>
  </si>
  <si>
    <t>Valor original = PC reconhecido antes do reajuste; valor em análise = registro vigente dos PCs ainda em análise.</t>
  </si>
  <si>
    <t>PC posterior à data de corte: não participa desta apuração.</t>
  </si>
  <si>
    <t>ITEM
(NOVO ITEM: cadastrar em itens_Remanesc PRIMEIRO - N001, N002...; QTD_BASE_ORIGINAL fica 0 automaticamente; informar o VU_ORIGINAL. Depois, a data e a quantidade aqui.)</t>
  </si>
  <si>
    <t>Data do aditivo</t>
  </si>
  <si>
    <t>Ciclo/Marco</t>
  </si>
  <si>
    <t>TIPO DE ALTERAÇÃO FORMALIZADA</t>
  </si>
  <si>
    <t>Quantidade acrescida/suprimida</t>
  </si>
  <si>
    <t>Valor unitario original</t>
  </si>
  <si>
    <t>Valor original da alteracao</t>
  </si>
  <si>
    <t>Aplicar reajuste? (Sim/Nao)</t>
  </si>
  <si>
    <t>Fator acumulado aplicavel</t>
  </si>
  <si>
    <t>Valor atualizado da alteracao (QTD x VU atualizado)</t>
  </si>
  <si>
    <t>CONSIDERADO NO CÁLCULO FINANCEIRO? (SIM/NÃO)</t>
  </si>
  <si>
    <t>DELTA_QTD_CONTRATUAL</t>
  </si>
  <si>
    <t>QTD_REM_ATUAL</t>
  </si>
  <si>
    <t>QTD_CONTRATADA_NA_DATA</t>
  </si>
  <si>
    <t>QTD_REM_REFERENCIA</t>
  </si>
  <si>
    <t>ORIGEM / SITUACAO</t>
  </si>
  <si>
    <t>CICLO DA POSICAO FISICA (CICLO_EM_EXECUCAO)</t>
  </si>
  <si>
    <t>POSICAO ATUAL COMPLETA?</t>
  </si>
  <si>
    <t>CICLO DA ULTIMA FOTOGRAFIA VALIDA</t>
  </si>
  <si>
    <t>CICLO DE REFERENCIA</t>
  </si>
  <si>
    <t>DATA DA POSICAO DE REFERENCIA</t>
  </si>
  <si>
    <t>DATA DE ABERTURA DO CICLO DE REFERENCIA</t>
  </si>
  <si>
    <t>FATOR ACUM. DO CICLO DE REFERENCIA</t>
  </si>
  <si>
    <t>ORIGEM DA POSICAO</t>
  </si>
  <si>
    <t>DATA DA POSICAO FISICA (CICLO_EM_EXECUCAO)</t>
  </si>
  <si>
    <t>STATUS DA REFERENCIA FISICA</t>
  </si>
  <si>
    <t>VALIDACAO TEMPORAL DA POSICAO</t>
  </si>
  <si>
    <t>POSIÇÃO FÍSICA ATUAL DO REMANESCENTE NO CICLO EM EXECUÇÃO</t>
  </si>
  <si>
    <t>CICLO_EM_EXECUCAO_LAYOUT_VERSION</t>
  </si>
  <si>
    <t>2_ITEMIZADO</t>
  </si>
  <si>
    <t>CICLO EM EXECUÇÃO (AUTO)</t>
  </si>
  <si>
    <t>DATA DE INÍCIO DO CICLO (AUTO)</t>
  </si>
  <si>
    <t>DATA DA POSIÇÃO FÍSICA (PREENCHER)</t>
  </si>
  <si>
    <t>VALOR TOTAL ATUALIZADO REMANESCENTE NA DATA DA POSIÇÃO (AUTO)</t>
  </si>
  <si>
    <t>ITEM (AUTO)</t>
  </si>
  <si>
    <t>QTD REMANESCENTE NO INÍCIO DO CICLO (AUTO)</t>
  </si>
  <si>
    <t>QTD REMANESCENTE NA DATA DA POSIÇÃO (PREENCHER)</t>
  </si>
  <si>
    <t>QTD CONSUMIDA NO CICLO ATÉ A DATA (AUTO)</t>
  </si>
  <si>
    <t>VU ATUALIZADO (AUTO)</t>
  </si>
  <si>
    <t>VALOR CONSUMIDO (AUTO)</t>
  </si>
  <si>
    <t>VALOR REMANESCENTE ATUALIZADO (AUTO)</t>
  </si>
  <si>
    <t>ALTERACOES_LIQUIDAS_NO_PERIODO</t>
  </si>
  <si>
    <t>CHECK_FISICO</t>
  </si>
  <si>
    <t>STATUS_POSICAO</t>
  </si>
  <si>
    <t>CONSUMO_ITENS_CONFERENCIA</t>
  </si>
  <si>
    <t>DIVERGENCIA_CONSUMO</t>
  </si>
  <si>
    <t>QTD_REGISTROS_CONSUMO</t>
  </si>
  <si>
    <t>QTD_EVENTOS_POSITIVOS_ATE_DATA</t>
  </si>
  <si>
    <t>QTD_BASE_ORIGINAL</t>
  </si>
  <si>
    <t>DELTA_C0</t>
  </si>
  <si>
    <t>QTD_CONTRATADA_C0</t>
  </si>
  <si>
    <t>QTD_REM_BASE_C0</t>
  </si>
  <si>
    <t>DELTA_C1</t>
  </si>
  <si>
    <t>QTD_CONTRATADA_C1</t>
  </si>
  <si>
    <t>QTD_REM_BASE_C1</t>
  </si>
  <si>
    <t>DELTA_C2</t>
  </si>
  <si>
    <t>QTD_CONTRATADA_C2</t>
  </si>
  <si>
    <t>QTD_REM_BASE_C2</t>
  </si>
  <si>
    <t>DELTA_C3</t>
  </si>
  <si>
    <t>QTD_CONTRATADA_C3</t>
  </si>
  <si>
    <t>QTD_REM_BASE_C3</t>
  </si>
  <si>
    <t>DELTA_C4</t>
  </si>
  <si>
    <t>QTD_CONTRATADA_C4</t>
  </si>
  <si>
    <t>QTD_REM_BASE_C4</t>
  </si>
  <si>
    <t>CICLO_NASCIMENTO</t>
  </si>
  <si>
    <t>EH_NOVO_ITEM</t>
  </si>
  <si>
    <t>DATA_EFEITO_INICIAL</t>
  </si>
  <si>
    <t>DELTA_POSTERIOR_ABERTURA_C0</t>
  </si>
  <si>
    <t>DELTA_POSTERIOR_ABERTURA_C1</t>
  </si>
  <si>
    <t>DELTA_POSTERIOR_ABERTURA_C2</t>
  </si>
  <si>
    <t>DELTA_POSTERIOR_ABERTURA_C3</t>
  </si>
  <si>
    <t>DELTA_POSTERIOR_ABERTURA_C4</t>
  </si>
  <si>
    <t>QTD_CONTRATUAL_ABERTURA_C0</t>
  </si>
  <si>
    <t>QTD_CONTRATUAL_ABERTURA_C1</t>
  </si>
  <si>
    <t>QTD_CONTRATUAL_ABERTURA_C2</t>
  </si>
  <si>
    <t>QTD_CONTRATUAL_ABERTURA_C3</t>
  </si>
  <si>
    <t>QTD_CONTRATUAL_ABERTURA_C4</t>
  </si>
  <si>
    <t>CICLO_NASCIMENTO_DATA</t>
  </si>
  <si>
    <t>Item</t>
  </si>
  <si>
    <t>POSIÇÃO AJUSTADA POR CICLO (AUTO — INCLUI ALTERAÇÕES CONTRATUAIS APLICÁVEIS)</t>
  </si>
  <si>
    <t>POSIÇÃO FÍSICA ATUAL (AUTO — ORIGEM: CICLO_EM_EXECUCAO)</t>
  </si>
  <si>
    <t>APLICABILIDADE TEMPORAL NA ABERTURA (AUTO — ORIGEM: DATA DE EFEITO DA ALTERAÇÃO CONTRATUAL)</t>
  </si>
  <si>
    <t>Esta data pertence ao acréscimo, à supressão ou ao novo item. Não corresponde ao início do efeito financeiro do reajuste.</t>
  </si>
  <si>
    <t>VU ATUALIZADO C0</t>
  </si>
  <si>
    <t>QTD RESTANTE C0</t>
  </si>
  <si>
    <t>TOTAL R$ C0</t>
  </si>
  <si>
    <t>VU ATUALIZADO C1</t>
  </si>
  <si>
    <t>QTD RESTANTE C1</t>
  </si>
  <si>
    <t>TOTAL R$ C1</t>
  </si>
  <si>
    <t>VU ATUALIZADO C2</t>
  </si>
  <si>
    <t>QTD RESTANTE C2</t>
  </si>
  <si>
    <t>TOTAL R$ C2</t>
  </si>
  <si>
    <t>VU ATUALIZADO C3</t>
  </si>
  <si>
    <t>QTD RESTANTE C3</t>
  </si>
  <si>
    <t>TOTAL R$ C3</t>
  </si>
  <si>
    <t>VU ATUALIZADO C4</t>
  </si>
  <si>
    <t>QTD RESTANTE C4</t>
  </si>
  <si>
    <t>TOTAL R$ C4</t>
  </si>
  <si>
    <t>DATA DA POSIÇÃO FÍSICA (AUTO)</t>
  </si>
  <si>
    <t>CICLO DA ULTIMA ABERTURA (AUTO)</t>
  </si>
  <si>
    <t>QTD REMANESCENTE NA ABERTURA (AUTO)</t>
  </si>
  <si>
    <t>QTD CONSUMIDA DESDE ABERTURA (AUTO)</t>
  </si>
  <si>
    <t>QTD REMANESCENTE NA DATA DA POSIÇÃO (AUTO)</t>
  </si>
  <si>
    <t>VU ATUALIZADO NA DATA (AUTO)</t>
  </si>
  <si>
    <t>VALOR CONSUMIDO ATUALIZADO (AUTO)</t>
  </si>
  <si>
    <t>STATUS DA POSICAO ATUAL (AUTO)</t>
  </si>
  <si>
    <t>DATA DE EFEITO DA ALTERAÇÃO CONTRATUAL — AUTO</t>
  </si>
  <si>
    <t>CICLO DE NASCIMENTO POR DATA (AUTO)</t>
  </si>
  <si>
    <t>APLICAVEL NA ABERTURA ADOTADA? (AUTO)</t>
  </si>
  <si>
    <t>QTD CONTRATUAL NA ABERTURA ADOTADA (AUTO)</t>
  </si>
  <si>
    <t>QTD_C0</t>
  </si>
  <si>
    <t>VU_C0</t>
  </si>
  <si>
    <t>VU_C1</t>
  </si>
  <si>
    <t>VU_C2</t>
  </si>
  <si>
    <t>VU_C3</t>
  </si>
  <si>
    <t>VU_C4</t>
  </si>
  <si>
    <t>VARIACAO_ACUMULADA</t>
  </si>
  <si>
    <t>QTD_VIGENTE_C0</t>
  </si>
  <si>
    <t>QTD_VIGENTE_C1</t>
  </si>
  <si>
    <t>QTD_VIGENTE_C2</t>
  </si>
  <si>
    <t>QTD_VIGENTE_C3</t>
  </si>
  <si>
    <t>QTD_VIGENTE_C4</t>
  </si>
  <si>
    <t>COBERTURA TEMPORAL - POSICAO FISICA NO CICLO EM EXECUCAO  |  diagnostico GCC/automatico; NAO altera o VTA (B23/B25/B26)</t>
  </si>
  <si>
    <t>Metodo de apuracao (CONTROLE!B1)</t>
  </si>
  <si>
    <t>BLOCO A - MARCOS</t>
  </si>
  <si>
    <t>DATA DE GERAÇÃO/ANÁLISE — AUTO</t>
  </si>
  <si>
    <t>Ciclo atual (em execucao)</t>
  </si>
  <si>
    <t>Inicio do ciclo atual</t>
  </si>
  <si>
    <t>DATA DE ABERTURA DO CICLO DE REFERÊNCIA — AUTO</t>
  </si>
  <si>
    <t>DATA DA POSIÇÃO FÍSICA — AUTO (CICLO_EM_EXECUCAO)</t>
  </si>
  <si>
    <t>Automatico: apresenta a data informada em CICLO_EM_EXECUCAO quando a posicao itemizada estiver completa e valida. Caso contrario, permanece vazio.</t>
  </si>
  <si>
    <t>BLOCO B - ULTIMA EVIDENCIA x COBERTURA CONFIRMADA</t>
  </si>
  <si>
    <t>POSIÇÃO FÍSICA CONSIDERADA ATÉ — AUTO</t>
  </si>
  <si>
    <t>ÚLTIMA COMPETÊNCIA FINANCEIRA COM PAGAMENTO — AUTO</t>
  </si>
  <si>
    <t>FINANCEIRO CONFERIDO ATÉ — OPCIONAL</t>
  </si>
  <si>
    <t>ÚLTIMO PC CONSIDERADO ATÉ O CORTE — AUTO</t>
  </si>
  <si>
    <t>Automático: maior DATA_PC menor ou igual à data de corte da apuração. PCs posteriores permanecem cadastrados e não alteram a cobertura oficial.</t>
  </si>
  <si>
    <t>PCS CONFERIDOS ATÉ — OPCIONAL</t>
  </si>
  <si>
    <t>Inicio da projecao temporal</t>
  </si>
  <si>
    <t>EXISTEM PCS POSTERIORES AO CORTE?</t>
  </si>
  <si>
    <t>PCs posteriores ao corte não entram no retroativo nem no total considerado até o corte; a existência deles não é erro.</t>
  </si>
  <si>
    <t>BLOCO C - DECISAO</t>
  </si>
  <si>
    <t>Modo temporal</t>
  </si>
  <si>
    <t>Fonte temporal principal</t>
  </si>
  <si>
    <t>Posicao observada (data)</t>
  </si>
  <si>
    <t>Posicao observada (origem)</t>
  </si>
  <si>
    <t>Posicao projetada</t>
  </si>
  <si>
    <t>LEGENDA - QUEM PREENCHE O QUE</t>
  </si>
  <si>
    <t>FISCAL</t>
  </si>
  <si>
    <t>Amarelo: itens_Remanesc, itens_Consumidos, itens_PC, aditivos, financeiro, CICLO_EM_EXECUCAO (data e quantidades da posição física) e CONTROLE!B3 (data de corte da apuração).</t>
  </si>
  <si>
    <t>GCC</t>
  </si>
  <si>
    <t>Amarelo: FINANCEIRO CONFERIDO ATÉ (B13) e PCS CONFERIDOS ATÉ (B15). A data de geração/análise (B4) é automática.</t>
  </si>
  <si>
    <t>AUTOMATICO</t>
  </si>
  <si>
    <t>Derivado de CONTROLE/parametros/posicao_referencia/financeiro/itens_PC (MAX = ultima evidencia).</t>
  </si>
  <si>
    <t>PROJECAO</t>
  </si>
  <si>
    <t>Laranja claro: estimativa (nunca fato observado; so a partir da cobertura confirmada/fisica).</t>
  </si>
  <si>
    <t>RESULTADOS CONSOLIDADOS — REAJUSTE CONTRATUAL</t>
  </si>
  <si>
    <t>VTA-PC aux: C0 fisico por item ((abertura C0 - abertura C1) x VU_C0)</t>
  </si>
  <si>
    <t>VTA-PC aux: remanescente por item (ROUND(VU_vig,2)*QREM_vig)</t>
  </si>
  <si>
    <t>aux: remanescente por item na abertura selecionada (W46)</t>
  </si>
  <si>
    <t>Regra essencial: resultado incompleto ou manual é preferível a uma conclusão sem base. Nenhuma fonte substitui outra silenciosamente e nenhum método de retroativo é somado a outro.</t>
  </si>
  <si>
    <t>Método oficial do retroativo</t>
  </si>
  <si>
    <t>Tolerância</t>
  </si>
  <si>
    <t>Ciclo vigente</t>
  </si>
  <si>
    <t>Origem do remanescente</t>
  </si>
  <si>
    <t>Status geral</t>
  </si>
  <si>
    <t>Retroativo manual oficial</t>
  </si>
  <si>
    <t>Justificativa do retroativo manual</t>
  </si>
  <si>
    <t>Preencha o valor manual somente quando a apuração exigir decisão humana. A justificativa é obrigatória e o valor manual prevalece apenas no total oficial, sem criar rateio fictício por ciclo.</t>
  </si>
  <si>
    <t>EIXO 1 — VALOR RETROATIVO | um método oficial; os demais são conferência</t>
  </si>
  <si>
    <t>Financeiro pago</t>
  </si>
  <si>
    <t>PCs pagos</t>
  </si>
  <si>
    <t>Itens consumidos</t>
  </si>
  <si>
    <t>Método selecionado</t>
  </si>
  <si>
    <t>Situação do ciclo</t>
  </si>
  <si>
    <t>RETROATIVO OFICIAL</t>
  </si>
  <si>
    <t>Origem</t>
  </si>
  <si>
    <t>Status</t>
  </si>
  <si>
    <t>EIXO 2 - VU REAJUSTADO: evolucao cronologica item a item disponivel na memoria detalhada abaixo.</t>
  </si>
  <si>
    <t>EIXO 3 — VTA | composição automática somente quando a base é segura</t>
  </si>
  <si>
    <t>VTA-PC (metodo PC) - auxiliar (espelha o motor Python)</t>
  </si>
  <si>
    <t>Valor original do contrato</t>
  </si>
  <si>
    <t>Desembolsado (Financeiro)</t>
  </si>
  <si>
    <t>Execucao Consumida Atualizada</t>
  </si>
  <si>
    <t>Ciclo vigente (numero)</t>
  </si>
  <si>
    <t>Retroativo oficial</t>
  </si>
  <si>
    <t>C0 executado (valor considerado: PC C0 ou movimentacao fisica x VU_C0)</t>
  </si>
  <si>
    <t>Ajuste do remanescente</t>
  </si>
  <si>
    <t>Execucao PC (ciclos 1..vigente-1, VALOR CONSIDERADO = base + retroativo)</t>
  </si>
  <si>
    <t>VTA calculado</t>
  </si>
  <si>
    <t>Remanescente fisico atualizado (item a item, ciclo vigente)</t>
  </si>
  <si>
    <t>Ajuste manual (+/-)</t>
  </si>
  <si>
    <t>Justificativa do ajuste</t>
  </si>
  <si>
    <t>Base itemizada presente?</t>
  </si>
  <si>
    <t>VTA manual oficial</t>
  </si>
  <si>
    <t>Justificativa do VTA manual</t>
  </si>
  <si>
    <t>VTA-PC (metodo aplicado)</t>
  </si>
  <si>
    <t>VTA FINAL</t>
  </si>
  <si>
    <t>Itens sem remanescente do ciclo vigente</t>
  </si>
  <si>
    <t>Aditivos marcados como considerados exigem prova de que a base contratual ja os incorpora. A planilha so dispensa o calculo manual quando a reconciliacao das duas decomposicoes do VTA e a trava anti-dupla-contagem fecham ambas em 0,00; caso contrario, segue exigindo decisao humana.</t>
  </si>
  <si>
    <t>Itens sem base p/ C0 fisico (X)</t>
  </si>
  <si>
    <t>COMPARACAO DE REFERENCIA - VTA pelo metodo aplicado</t>
  </si>
  <si>
    <t>Valor meramente comparativo. Nao utilizar como VTA, retroativo ou base de pagamento.</t>
  </si>
  <si>
    <t>PCs sem efeito financeiro (qtd)</t>
  </si>
  <si>
    <t>COMPARACAO DE REFERENCIA - Contrato original integralmente reajustado</t>
  </si>
  <si>
    <t>PCs sem efeito financeiro (valor-base)</t>
  </si>
  <si>
    <t>EIXO 4 — QUANTIDADE E VALOR REMANESCENTE | sem e com reajuste</t>
  </si>
  <si>
    <t>PCs sem efeito financeiro (dif. nao reconhecida)</t>
  </si>
  <si>
    <t>Fonte</t>
  </si>
  <si>
    <t>Quantidade</t>
  </si>
  <si>
    <t>Valor sem reajuste</t>
  </si>
  <si>
    <t>Valor com reajuste</t>
  </si>
  <si>
    <t>Ajuste</t>
  </si>
  <si>
    <t>Status / origem</t>
  </si>
  <si>
    <t>Limite da data de corte (CONTROLE!B3; sem corte = 31/12/9999)</t>
  </si>
  <si>
    <t>Informado em itens_Remanesc</t>
  </si>
  <si>
    <t>Derivado de itens_Consumidos</t>
  </si>
  <si>
    <t>Total cadastrado de PCs (inventario integral do arquivo)</t>
  </si>
  <si>
    <t>Físico por PC</t>
  </si>
  <si>
    <t>NÃO DISPONÍVEL — SEM INFERÊNCIA</t>
  </si>
  <si>
    <t>Total considerado ate a data de corte</t>
  </si>
  <si>
    <t>OFICIAL (conforme CONTROLE)</t>
  </si>
  <si>
    <t>Total enquadrado nos ciclos (ate o corte)</t>
  </si>
  <si>
    <t>STATUS DO REMANESCENTE</t>
  </si>
  <si>
    <t>Total com efeito financeiro (ate o corte)</t>
  </si>
  <si>
    <t>Total sem efeito financeiro (ate o corte)</t>
  </si>
  <si>
    <t>Retroativo potencial de PCs em analise (ate o corte)</t>
  </si>
  <si>
    <t>Retroativo potencial INCORPORADO ao VTA (soma das parcelas POSITIVAS, PC a PC, de todos os ciclos ate a data de corte)</t>
  </si>
  <si>
    <t>APOIO AO CÁLCULO MANUAL | dados mínimos, sem criar resultado</t>
  </si>
  <si>
    <t>VTA-PC antes da parcela potencial</t>
  </si>
  <si>
    <t>APOIO — DECOMPOSICOES DO VTA (3 REFERENCIAS)</t>
  </si>
  <si>
    <t>Retro Financeiro</t>
  </si>
  <si>
    <t>Retro PCs</t>
  </si>
  <si>
    <t>Retro Itens</t>
  </si>
  <si>
    <t>Retro oficial</t>
  </si>
  <si>
    <t>Retroativo potencial APURADO liquido (informativo; pode ser negativo e nunca e o valor somado ao VTA)</t>
  </si>
  <si>
    <t>Abertura C0 completa?</t>
  </si>
  <si>
    <t>Fator cheio do ciclo</t>
  </si>
  <si>
    <t>Fator da apuração</t>
  </si>
  <si>
    <t>Base praticada</t>
  </si>
  <si>
    <t>Delta de fator</t>
  </si>
  <si>
    <t>Potencial POSITIVO C0 (itens_PC!J &gt; 0, ate a data de corte)</t>
  </si>
  <si>
    <t>Abertura C1 completa?</t>
  </si>
  <si>
    <t>Potencial POSITIVO C1 (itens_PC!J &gt; 0, ate a data de corte)</t>
  </si>
  <si>
    <t>Abertura C2 completa?</t>
  </si>
  <si>
    <t>Linhas incompletas — Financeiro</t>
  </si>
  <si>
    <t>Erros — PCs</t>
  </si>
  <si>
    <t>Erros — Itens</t>
  </si>
  <si>
    <t>Erros — Remanescente</t>
  </si>
  <si>
    <t>Itens-base incompletos</t>
  </si>
  <si>
    <t>Potencial POSITIVO C2 (itens_PC!J &gt; 0, ate a data de corte)</t>
  </si>
  <si>
    <t>Abertura C3 completa?</t>
  </si>
  <si>
    <t>Aditivos marcados como considerados</t>
  </si>
  <si>
    <t>Delta potencial de PCs não pagos</t>
  </si>
  <si>
    <t>Potencial POSITIVO C3 (itens_PC!J &gt; 0, ate a data de corte)</t>
  </si>
  <si>
    <t>Abertura C4 completa?</t>
  </si>
  <si>
    <t>Potencial POSITIVO C4 (itens_PC!J &gt; 0, ate a data de corte)</t>
  </si>
  <si>
    <t>Ciclo da ultima abertura completa (num)</t>
  </si>
  <si>
    <t>Parcela potencial NEGATIVA apurada (permanece visivel; nao reduz o VTA nem compensa parcela positiva)</t>
  </si>
  <si>
    <t>Motivo de nao adocao das aberturas posteriores</t>
  </si>
  <si>
    <t>FORMA 2 — VTA ultima abertura disponivel</t>
  </si>
  <si>
    <t>CICLO_EM_EXECUCAO disponivel/utilizado?</t>
  </si>
  <si>
    <t>FORMA 1 — VTA posicao atual</t>
  </si>
  <si>
    <t>Reconciliacao (Posicao atual − Ultima abertura)</t>
  </si>
  <si>
    <t>EIXO 2 — EVOLUÇÃO DO VU POR ITEM | somente valores unitários</t>
  </si>
  <si>
    <t>MEMÓRIA DO REMANESCENTE POR ITEM</t>
  </si>
  <si>
    <t>Status reconciliacao</t>
  </si>
  <si>
    <t>QTD BASE</t>
  </si>
  <si>
    <t>VU C0</t>
  </si>
  <si>
    <t>VU C1</t>
  </si>
  <si>
    <t>VU C2</t>
  </si>
  <si>
    <t>VU C3</t>
  </si>
  <si>
    <t>VU C4</t>
  </si>
  <si>
    <t>VARIAÇÃO ACUMULADA</t>
  </si>
  <si>
    <t>QTD INFORMADA</t>
  </si>
  <si>
    <t>QTD DERIVADA</t>
  </si>
  <si>
    <t>VU ORIGINAL</t>
  </si>
  <si>
    <t>VU VIGENTE</t>
  </si>
  <si>
    <t>VALOR SEM</t>
  </si>
  <si>
    <t>VALOR COM</t>
  </si>
  <si>
    <t>FORMA 2 - remanescente na abertura (data de efeito)</t>
  </si>
  <si>
    <t>FORMA 2 - alteracoes contratuais posteriores a abertura</t>
  </si>
  <si>
    <t>Trava anti-dupla-contagem (deve ser 0,00)</t>
  </si>
  <si>
    <t>Status da decomposicao temporal</t>
  </si>
  <si>
    <t>Itens incluidos apos a abertura adotada (qtd)</t>
  </si>
  <si>
    <t>APOIO - EXECUCAO HISTORICA PELO METODO OFICIAL</t>
  </si>
  <si>
    <t>Financeiro considerado C0 (financeiro!E)</t>
  </si>
  <si>
    <t>Financeiro considerado C1 (financeiro!E)</t>
  </si>
  <si>
    <t>Financeiro considerado C2 (financeiro!E)</t>
  </si>
  <si>
    <t>Financeiro considerado C3 (financeiro!E)</t>
  </si>
  <si>
    <t>Financeiro considerado C4 (financeiro!E)</t>
  </si>
  <si>
    <t>Historico pelo metodo oficial ate o ciclo vigente (exclusivo)</t>
  </si>
  <si>
    <t>Historico pelo metodo oficial ate a abertura adotada (exclusivo)</t>
  </si>
  <si>
    <t>AJUSTES DA EXECUCAO - VALOR PAGO / GLOSA (metodo Itens)</t>
  </si>
  <si>
    <t>Valor calculado da execucao (ciclos ajustados)</t>
  </si>
  <si>
    <t>Glosa total</t>
  </si>
  <si>
    <t>Valor pago considerado</t>
  </si>
  <si>
    <t>Valor pago atualizado</t>
  </si>
  <si>
    <t>Retroativo do valor pago</t>
  </si>
  <si>
    <t>Status dos ajustes</t>
  </si>
  <si>
    <t>EIXO 5 - EXECUCAO HISTORICA FORA DA ANALISE | apoio a decisao; so integra o VTA via VALOR ADOTADO (governado, nunca automatico)</t>
  </si>
  <si>
    <t>SITUACAO DO CICLO</t>
  </si>
  <si>
    <t>FONTE</t>
  </si>
  <si>
    <t>COBERTURA</t>
  </si>
  <si>
    <t>QTD EXECUTADA RECONSTRUIDA</t>
  </si>
  <si>
    <t>QTD COBERTA</t>
  </si>
  <si>
    <t>QTD NAO COBERTA</t>
  </si>
  <si>
    <t>FATOR CHEIO</t>
  </si>
  <si>
    <t>FATOR BASE PRATICADO</t>
  </si>
  <si>
    <t>DELTA DO FATOR DA APURACAO</t>
  </si>
  <si>
    <t>ATUALIZACAO ANTERIOR POTENCIAL</t>
  </si>
  <si>
    <t>ATUALIZACAO ATUAL NAO COBERTA</t>
  </si>
  <si>
    <t>COMPLEMENTO HISTORICO POTENCIAL</t>
  </si>
  <si>
    <t>VALOR ADOTADO</t>
  </si>
  <si>
    <t>STATUS / CHECK</t>
  </si>
  <si>
    <t>TOTAIS</t>
  </si>
  <si>
    <t>TOTAL ADOTADO -&gt;</t>
  </si>
  <si>
    <t>PARCELA A = atualizacao anterior praticada (QTD_EXEC*VU*(fator_base-1)); PARCELA B = atualizacao atual nao coberta (QTD_NAO_COB*VU*(fator_cheio-fator_base)). VALOR ADOTADO e decisao humana (vazio padrao, zero ok, negativo nao).</t>
  </si>
  <si>
    <t>POSICAO DE REFERENCIA DO CONTRATO | valor de referencia - NAO e o VTA; B23 (VTA calculado) e B26 (VTA FINAL) permanecem o VTA oficial</t>
  </si>
  <si>
    <t>Data da posicao de referencia</t>
  </si>
  <si>
    <t>Origem da posicao de referencia</t>
  </si>
  <si>
    <t>Ciclo de referencia</t>
  </si>
  <si>
    <t>Valor remanescente na abertura do ciclo de referencia</t>
  </si>
  <si>
    <t>Valor remanescente atualizado na posicao de referencia</t>
  </si>
  <si>
    <t>Qtd executada desde a abertura (reconciliavel)</t>
  </si>
  <si>
    <t>Valor executado desde a abertura (reconciliavel)</t>
  </si>
  <si>
    <t>Status da reconciliacao</t>
  </si>
  <si>
    <t>Identidade de conservacao (abertura+delta = exec+referencia)</t>
  </si>
  <si>
    <t>Resultado de referencia (Etapa 3). O valor remanescente atualizado na posicao de referencia NAO e o VTA: B23 e B26 permanecem o VTA oficial. Sem posicao atual completa, usa-se a ultima fotografia historica valida (abertura do ciclo) e a execucao desde a abertura e 0. Manual completo prevalece; execucao nao inferida por tempo; sem TODAY()/HOJE().</t>
  </si>
  <si>
    <t>NOTAS TECNICAS</t>
  </si>
  <si>
    <t>Referência do retroativo por itens: Σ quantidade consumida no ciclo × VU original × (fator cheio do ciclo − fator-base praticado). O fator-base praticado é o fator cheio dividido pelo fator desta apuração.</t>
  </si>
  <si>
    <t>Referência do VTA: valor original do contrato + retroativo oficial + (remanescente atualizado − remanescente em base original). Aditivos ou bases contraditórias impedem o fechamento automático.</t>
  </si>
  <si>
    <t>Síntese executiva e memória auditável da apuração</t>
  </si>
  <si>
    <t>RETROATIVO RECONHECIDO A PAGAR</t>
  </si>
  <si>
    <t>REMANESCENTE ATUALIZADO</t>
  </si>
  <si>
    <t>1. COMO O VTA FOI CALCULADO</t>
  </si>
  <si>
    <t>[AUDITORIA INTERNA] Posicao fisica atual - nao e VTA</t>
  </si>
  <si>
    <t>CICLO_EM_EXECUCAO (fiscal) + itens_PC (C0/encerrados)</t>
  </si>
  <si>
    <t>[AUDITORIA INTERNA] Ultima posicao de abertura - nao e VTA</t>
  </si>
  <si>
    <t>itens_PC!O+Q (valor considerado) + posicao_contratual (G/K/O/S/W) x historico_VU</t>
  </si>
  <si>
    <t>[AUDITORIA INTERNA] Contrato original integralmente reajustado - comparativo</t>
  </si>
  <si>
    <t>SUMPRODUCT(posicao_contratual!B x C) x RESULTADOS!H5 (fator historico integral)</t>
  </si>
  <si>
    <t>comparativo_VTA!B208</t>
  </si>
  <si>
    <t>COMPARATIVO — NAO E VTA OFICIAL</t>
  </si>
  <si>
    <t>[AUDITORIA INTERNA] Reconciliacao (posicao atual - ultima abertura)</t>
  </si>
  <si>
    <t>Diferenca entre FORMA 1 e FORMA 2 (0 = reconciliado)</t>
  </si>
  <si>
    <t>MEMORIA!W50 − MEMORIA!W48</t>
  </si>
  <si>
    <t>Ajuste manual não rateado</t>
  </si>
  <si>
    <t>Ciclo em execução</t>
  </si>
  <si>
    <t>Saldo = remanescente atualizado na abertura do ciclo − executado atualizado até a data.</t>
  </si>
  <si>
    <t>Data de referência utilizada</t>
  </si>
  <si>
    <t>Valor executado atualizado até a data</t>
  </si>
  <si>
    <t>Remanescente atualizado na abertura do ciclo</t>
  </si>
  <si>
    <t>Saldo remanescente atualizado</t>
  </si>
  <si>
    <t>5. AJUSTES MANUAIS</t>
  </si>
  <si>
    <t>USAR SOMENTE QUANDO NECESSÁRIO</t>
  </si>
  <si>
    <t>Tipo</t>
  </si>
  <si>
    <t>Valor (+/-)</t>
  </si>
  <si>
    <t>Justificativa</t>
  </si>
  <si>
    <t>Responsável</t>
  </si>
  <si>
    <t>Data</t>
  </si>
  <si>
    <t>Aplicar?</t>
  </si>
  <si>
    <t>Situação</t>
  </si>
  <si>
    <t>Ajuste do VTA</t>
  </si>
  <si>
    <t>VTA manual substitutivo</t>
  </si>
  <si>
    <t>Complemento histórico</t>
  </si>
  <si>
    <t>6. TOTAIS E INDICADORES DE CONFERÊNCIA</t>
  </si>
  <si>
    <t>Medida</t>
  </si>
  <si>
    <t>Valor</t>
  </si>
  <si>
    <t>O QUE ESTE VALOR REPRESENTA</t>
  </si>
  <si>
    <t>1. Total cadastrado de Pedidos de Compra</t>
  </si>
  <si>
    <t>Todos os PCs informados, sem aplicar a data de corte.</t>
  </si>
  <si>
    <t>2. Total até a data de corte</t>
  </si>
  <si>
    <t>Total dos PCs com data igual ou anterior à data de corte.</t>
  </si>
  <si>
    <t>3. Total distribuído nos ciclos</t>
  </si>
  <si>
    <t>PCs localizados nos ciclos contratuais e dentro da data de corte.</t>
  </si>
  <si>
    <t>4. Total com efeito financeiro</t>
  </si>
  <si>
    <t>PCs alcançados pelos efeitos financeiros do respectivo ciclo.</t>
  </si>
  <si>
    <t>5. Total sem efeito financeiro</t>
  </si>
  <si>
    <t>PCs anteriores ao início dos efeitos financeiros do ciclo.</t>
  </si>
  <si>
    <t>6. Retroativo reconhecido</t>
  </si>
  <si>
    <t>Diferença reconhecida dos PCs pagos e alcançados pelos efeitos financeiros. É o retroativo a pagar.</t>
  </si>
  <si>
    <t>7. Retroativo potencial — POTENCIAL</t>
  </si>
  <si>
    <t>Soma de TODAS as parcelas potenciais positivas dos PCs em análise até a data de corte — inclusive as do ciclo vigente. O VTA a incorpora por critério prudencial. Não é retroativo reconhecido nem valor a pagar.</t>
  </si>
  <si>
    <t>8. Retroativo considerado no VTA</t>
  </si>
  <si>
    <t>Soma da medida 6 com a medida 7: o retroativo total que o Valor Total Atualizado já considera.</t>
  </si>
  <si>
    <t>9. Execução do ciclo atual</t>
  </si>
  <si>
    <t>Execução registrada para o ciclo em andamento.</t>
  </si>
  <si>
    <t>10. Saldo remanescente atual</t>
  </si>
  <si>
    <t>Saldo atualizado que ainda falta executar.</t>
  </si>
  <si>
    <t>11. VTA oficial</t>
  </si>
  <si>
    <t>Valor Total Atualizado apurado pelo método selecionado. No método de Pedidos de Compra ele já inclui a medida 7.</t>
  </si>
  <si>
    <t>12. Diferença entre as formas de cálculo</t>
  </si>
  <si>
    <t>R$ 0,00 indica que as duas formas de cálculo chegaram ao mesmo valor.</t>
  </si>
  <si>
    <t>13. Resultado da apuração</t>
  </si>
  <si>
    <t>Situação final apresentada por esta aba.</t>
  </si>
  <si>
    <t>7. METODOLOGIA DO VTA</t>
  </si>
  <si>
    <t>Valor informado</t>
  </si>
  <si>
    <t>Valor estimado</t>
  </si>
  <si>
    <t>Diferença</t>
  </si>
  <si>
    <t>Resultado</t>
  </si>
  <si>
    <t>9. VALOR TOTAL ATUALIZADO DO CONTRATO</t>
  </si>
  <si>
    <t>Parcela</t>
  </si>
  <si>
    <t>De onde vem</t>
  </si>
  <si>
    <t>Diferença entre as formas de cálculo (deve ser R$ 0,00)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</si>
</sst>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\R\$\ #,##0.00"/>
    <numFmt numFmtId="165" formatCode="mm/yyyy"/>
    <numFmt numFmtId="166" formatCode="\R\$\ #,##0.00;[Red]\-\R\$\ #,##0.00"/>
    <numFmt numFmtId="167" formatCode="#,##0.0000"/>
    <numFmt numFmtId="168" formatCode="0.0%"/>
    <numFmt numFmtId="169" formatCode="0.000000"/>
    <numFmt numFmtId="170" formatCode="\R\$\ #,##0.0000;[Red]\-\R\$\ #,##0.0000"/>
    <numFmt numFmtId="171" formatCode="dd/mm/yyyy;@"/>
    <numFmt numFmtId="172" formatCode="mm/yyyy;@"/>
    <numFmt numFmtId="173" formatCode="0.0000%"/>
    <numFmt numFmtId="174" formatCode="&quot;R$&quot;\ #,##0.00"/>
    <numFmt numFmtId="175" formatCode="0.0000"/>
    <numFmt numFmtId="176" formatCode="&quot;MÉTODO   &quot;@"/>
    <numFmt numFmtId="177" formatCode=";;;"/>
    <numFmt numFmtId="178" formatCode="&quot;CICLO ATUAL   &quot;@"/>
    <numFmt numFmtId="179" formatCode="&quot;DATA DE CORTE   &quot;dd/mm/yyyy;;;&quot;DATA DE CORTE   —&quot;"/>
    <numFmt numFmtId="180" formatCode="&quot;R$&quot;\ #,##0.00;\-&quot;R$&quot;\ #,##0.00;&quot;R$&quot;\ 0.00;&quot;—&quot;"/>
    <numFmt numFmtId="181" formatCode="dd/mm/yyyy;;&quot;—&quot;;&quot;—&quot;"/>
    <numFmt numFmtId="182" formatCode="&quot;R$&quot;\ #,##0.00;\-&quot;R$&quot;\ #,##0.00;&quot;R$&quot;\ 0.00;&quot;-&quot;"/>
    <numFmt numFmtId="183" formatCode="&quot;VARIAÇÃO ACUMULADA   &quot;0.00%;;;&quot;VARIAÇÃO ACUMULADA   —&quot;"/>
    <numFmt numFmtId="184" formatCode="#.##000"/>
    <numFmt numFmtId="185" formatCode="0,000,000"/>
    <numFmt numFmtId="186" formatCode="yyyy\-mm\-dd"/>
  </numFmts>
  <fonts count="93" x14ac:knownFonts="1">
    <font>
      <sz val="11"/>
      <color theme="1"/>
      <name val="Calibri"/>
    </font>
    <font>
      <b/>
      <sz val="11"/>
      <color rgb="FF065F46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i/>
      <sz val="10"/>
      <color rgb="FF595959"/>
      <name val="Calibri"/>
      <family val="2"/>
    </font>
    <font>
      <sz val="10"/>
      <name val="Calibri"/>
      <family val="2"/>
    </font>
    <font>
      <b/>
      <sz val="10"/>
      <color rgb="FF1F4E79"/>
      <name val="Calibri"/>
      <family val="2"/>
    </font>
    <font>
      <b/>
      <sz val="10"/>
      <color rgb="FF1F3864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b/>
      <sz val="10"/>
      <color rgb="FF4472C4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sz val="10"/>
      <color theme="1"/>
      <name val="Aptos"/>
      <family val="2"/>
    </font>
    <font>
      <b/>
      <sz val="10"/>
      <color theme="1"/>
      <name val="Calibri"/>
      <family val="2"/>
    </font>
    <font>
      <b/>
      <sz val="10"/>
      <color theme="1"/>
      <name val="Aptos"/>
      <family val="2"/>
    </font>
    <font>
      <b/>
      <sz val="10"/>
      <color rgb="FF9C0006"/>
      <name val="Aptos"/>
      <family val="2"/>
    </font>
    <font>
      <sz val="10"/>
      <color theme="1"/>
      <name val="Calibri"/>
      <family val="2"/>
    </font>
    <font>
      <sz val="10"/>
      <name val="Calibri"/>
      <family val="2"/>
    </font>
    <font>
      <i/>
      <sz val="10"/>
      <color rgb="FF595959"/>
      <name val="Calibri"/>
      <family val="2"/>
    </font>
    <font>
      <sz val="10"/>
      <color rgb="FF595959"/>
      <name val="Calibri"/>
      <family val="2"/>
    </font>
    <font>
      <b/>
      <sz val="9"/>
      <color rgb="FF595959"/>
      <name val="Calibri"/>
      <family val="2"/>
    </font>
    <font>
      <b/>
      <sz val="10"/>
      <color rgb="FF595959"/>
      <name val="Calibri"/>
      <family val="2"/>
    </font>
    <font>
      <sz val="10"/>
      <color rgb="FF172B4D"/>
      <name val="Aptos"/>
      <family val="2"/>
    </font>
    <font>
      <b/>
      <sz val="10"/>
      <color rgb="FF0B2D5C"/>
      <name val="Aptos"/>
      <family val="2"/>
    </font>
    <font>
      <i/>
      <sz val="10"/>
      <color rgb="FF7A4E00"/>
      <name val="Calibri"/>
      <family val="2"/>
    </font>
    <font>
      <b/>
      <sz val="10"/>
      <color rgb="FF0B2D5C"/>
      <name val="Calibri"/>
      <family val="2"/>
    </font>
    <font>
      <i/>
      <sz val="10"/>
      <color rgb="FF5B6573"/>
      <name val="Calibri"/>
      <family val="2"/>
    </font>
    <font>
      <sz val="10"/>
      <color rgb="FF172B4D"/>
      <name val="Calibri"/>
      <family val="2"/>
    </font>
    <font>
      <b/>
      <sz val="10"/>
      <color rgb="FF123B63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0"/>
      <color rgb="FFFFFFFF"/>
      <name val="Calibri"/>
      <family val="2"/>
    </font>
    <font>
      <b/>
      <sz val="10"/>
      <color rgb="FF0B2D5C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i/>
      <sz val="10"/>
      <color rgb="FF172B4D"/>
      <name val="Aptos"/>
      <family val="2"/>
    </font>
    <font>
      <sz val="10"/>
      <color rgb="FF595959"/>
      <name val="Calibri"/>
      <family val="2"/>
    </font>
    <font>
      <b/>
      <sz val="15"/>
      <color rgb="FFFFFFFF"/>
      <name val="Calibri"/>
      <family val="2"/>
    </font>
    <font>
      <b/>
      <sz val="10"/>
      <color rgb="FF595959"/>
      <name val="Calibri"/>
      <family val="2"/>
    </font>
    <font>
      <b/>
      <sz val="11"/>
      <color rgb="FF595959"/>
      <name val="Calibri"/>
      <family val="2"/>
    </font>
    <font>
      <sz val="11"/>
      <color rgb="FF595959"/>
      <name val="Calibri"/>
      <family val="2"/>
    </font>
    <font>
      <b/>
      <sz val="10"/>
      <color rgb="FFFFFFFF"/>
      <name val="Aptos"/>
      <family val="2"/>
    </font>
    <font>
      <b/>
      <sz val="9"/>
      <name val="Aptos"/>
      <family val="2"/>
    </font>
    <font>
      <sz val="10"/>
      <color rgb="FFDCE9F5"/>
      <name val="Calibri"/>
      <family val="2"/>
    </font>
    <font>
      <b/>
      <sz val="13"/>
      <color rgb="FF1F4E78"/>
      <name val="Calibri"/>
      <family val="2"/>
    </font>
    <font>
      <sz val="9"/>
      <color rgb="FF595959"/>
      <name val="Calibri"/>
      <family val="2"/>
    </font>
    <font>
      <sz val="9"/>
      <color rgb="FFDCE9F5"/>
      <name val="Calibri"/>
      <family val="2"/>
    </font>
    <font>
      <b/>
      <sz val="10"/>
      <color rgb="FF1F4E78"/>
      <name val="Calibri"/>
      <family val="2"/>
    </font>
    <font>
      <b/>
      <sz val="8"/>
      <color rgb="FF595959"/>
      <name val="Calibri"/>
      <family val="2"/>
    </font>
    <font>
      <b/>
      <sz val="11"/>
      <color rgb="FF1F4E78"/>
      <name val="Calibri"/>
      <family val="2"/>
    </font>
    <font>
      <sz val="8"/>
      <color rgb="FFDCE9F5"/>
      <name val="Calibri"/>
      <family val="2"/>
    </font>
    <font>
      <b/>
      <sz val="15"/>
      <color rgb="FF1F4E78"/>
      <name val="Calibri"/>
      <family val="2"/>
    </font>
    <font>
      <b/>
      <sz val="9"/>
      <color rgb="FF595959"/>
      <name val="Calibri"/>
      <family val="2"/>
    </font>
    <font>
      <b/>
      <sz val="9"/>
      <color rgb="FFFFFFFF"/>
      <name val="Calibri"/>
      <family val="2"/>
    </font>
    <font>
      <sz val="9"/>
      <color rgb="FF1F4E78"/>
      <name val="Calibri"/>
      <family val="2"/>
    </font>
    <font>
      <b/>
      <sz val="9"/>
      <color rgb="FFDCE9F5"/>
      <name val="Calibri"/>
      <family val="2"/>
    </font>
    <font>
      <b/>
      <sz val="18"/>
      <color rgb="FFFFFFFF"/>
      <name val="Calibri"/>
      <family val="2"/>
    </font>
    <font>
      <sz val="9"/>
      <color rgb="FFFAFAFA"/>
      <name val="Calibri"/>
      <family val="2"/>
    </font>
    <font>
      <sz val="9"/>
      <color rgb="FFFFFFFF"/>
      <name val="Calibri"/>
      <family val="2"/>
    </font>
    <font>
      <sz val="9"/>
      <color rgb="FFF7F9FB"/>
      <name val="Calibri"/>
      <family val="2"/>
    </font>
    <font>
      <b/>
      <sz val="9"/>
      <color rgb="FF1F4E78"/>
      <name val="Calibri"/>
      <family val="2"/>
    </font>
    <font>
      <b/>
      <sz val="11"/>
      <color rgb="FF404040"/>
      <name val="Calibri"/>
      <family val="2"/>
    </font>
    <font>
      <sz val="8"/>
      <color rgb="FF595959"/>
      <name val="Calibri"/>
      <family val="2"/>
    </font>
    <font>
      <sz val="10"/>
      <color theme="1"/>
      <name val="Calibri"/>
      <family val="2"/>
    </font>
    <font>
      <b/>
      <sz val="8"/>
      <color rgb="FFFFFFFF"/>
      <name val="Calibri"/>
      <family val="2"/>
    </font>
    <font>
      <i/>
      <sz val="8"/>
      <color rgb="FF595959"/>
      <name val="Calibri"/>
      <family val="2"/>
    </font>
    <font>
      <b/>
      <sz val="12"/>
      <color rgb="FF202020"/>
      <name val="Arial"/>
      <family val="2"/>
    </font>
    <font>
      <sz val="10"/>
      <color rgb="FF1F3864"/>
      <name val="Calibri"/>
      <family val="2"/>
    </font>
    <font>
      <sz val="9"/>
      <color rgb="FF1F3864"/>
      <name val="Calibri"/>
      <family val="2"/>
    </font>
    <font>
      <i/>
      <sz val="9"/>
      <color rgb="FF595959"/>
      <name val="Calibri"/>
      <family val="2"/>
    </font>
    <font>
      <b/>
      <sz val="12"/>
      <color rgb="FFFFFFFF"/>
      <name val="Calibri"/>
      <family val="2"/>
    </font>
    <font>
      <sz val="9"/>
      <color rgb="FF7F6000"/>
      <name val="Calibri"/>
      <family val="2"/>
    </font>
    <font>
      <b/>
      <sz val="11"/>
      <color rgb="FF7F6000"/>
      <name val="Calibri"/>
      <family val="2"/>
    </font>
    <font>
      <b/>
      <sz val="9"/>
      <color rgb="FF1F3864"/>
      <name val="Calibri"/>
      <family val="2"/>
    </font>
    <font>
      <b/>
      <sz val="9"/>
      <color rgb="FF7F6000"/>
      <name val="Calibri"/>
      <family val="2"/>
    </font>
    <font>
      <b/>
      <sz val="11"/>
      <color rgb="FF1F3864"/>
      <name val="Calibri"/>
      <family val="2"/>
    </font>
    <font>
      <b/>
      <sz val="10"/>
      <color rgb="FF7F6000"/>
      <name val="Calibri"/>
      <family val="2"/>
    </font>
    <font>
      <b/>
      <sz val="16"/>
      <color rgb="FFFFFFFF"/>
      <name val="Aptos Display"/>
    </font>
    <font>
      <b/>
      <sz val="10"/>
      <color rgb="FFFFFFFF"/>
      <name val="Aptos"/>
    </font>
    <font>
      <b/>
      <sz val="11"/>
      <color rgb="FF1F1F1F"/>
      <name val="Aptos"/>
    </font>
    <font>
      <b/>
      <sz val="14"/>
      <color rgb="FF3F2A00"/>
      <name val="Aptos Display"/>
    </font>
    <font>
      <b/>
      <sz val="12"/>
      <color rgb="FFFFFFFF"/>
      <name val="Aptos Display"/>
    </font>
    <font>
      <b/>
      <sz val="22"/>
      <color rgb="FFFFFFFF"/>
      <name val="Aptos Display"/>
    </font>
    <font>
      <b/>
      <sz val="10"/>
      <color rgb="FF3F2A00"/>
      <name val="Aptos"/>
    </font>
    <font>
      <sz val="10"/>
      <color rgb="FF1F1F1F"/>
      <name val="Aptos"/>
    </font>
    <font>
      <b/>
      <sz val="10"/>
      <color rgb="FF1F1F1F"/>
      <name val="Calibri"/>
      <family val="2"/>
    </font>
    <font>
      <b/>
      <sz val="9"/>
      <color rgb="FF1F1F1F"/>
      <name val="Calibri"/>
      <family val="2"/>
    </font>
    <font>
      <i/>
      <sz val="9"/>
      <color rgb="FF666666"/>
      <name val="Calibri"/>
    </font>
    <font>
      <sz val="9"/>
      <color rgb="FF666666"/>
      <name val="Calibri"/>
    </font>
  </fonts>
  <fills count="75">
    <fill>
      <patternFill patternType="none"/>
    </fill>
    <fill>
      <patternFill patternType="gray125"/>
    </fill>
    <fill>
      <patternFill patternType="solid">
        <fgColor rgb="FFFEF9C3"/>
      </patternFill>
    </fill>
    <fill>
      <patternFill patternType="solid">
        <fgColor rgb="FFF3F4F6"/>
      </patternFill>
    </fill>
    <fill>
      <patternFill patternType="solid">
        <fgColor rgb="FFEAF2F8"/>
      </patternFill>
    </fill>
    <fill>
      <patternFill patternType="solid">
        <fgColor rgb="FF1F4E79"/>
      </patternFill>
    </fill>
    <fill>
      <patternFill patternType="solid">
        <fgColor rgb="FFE2F0D9"/>
      </patternFill>
    </fill>
    <fill>
      <patternFill patternType="solid">
        <fgColor rgb="FFC0C0C0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9CA3AF"/>
      </patternFill>
    </fill>
    <fill>
      <patternFill patternType="solid">
        <fgColor rgb="FF8BAD9A"/>
      </patternFill>
    </fill>
    <fill>
      <patternFill patternType="solid">
        <fgColor rgb="FFE5EAF0"/>
      </patternFill>
    </fill>
    <fill>
      <patternFill patternType="solid">
        <fgColor rgb="FFFFEB9C"/>
      </patternFill>
    </fill>
    <fill>
      <patternFill patternType="solid">
        <fgColor rgb="FFE2EFDA"/>
      </patternFill>
    </fill>
    <fill>
      <patternFill patternType="solid">
        <fgColor rgb="FF404040"/>
      </patternFill>
    </fill>
    <fill>
      <patternFill patternType="solid">
        <fgColor rgb="FFEBF3FB"/>
      </patternFill>
    </fill>
    <fill>
      <patternFill patternType="solid">
        <fgColor rgb="FF375623"/>
      </patternFill>
    </fill>
    <fill>
      <patternFill patternType="solid">
        <fgColor rgb="FF70AD47"/>
      </patternFill>
    </fill>
    <fill>
      <patternFill patternType="solid">
        <fgColor rgb="FF7F3F00"/>
      </patternFill>
    </fill>
    <fill>
      <patternFill patternType="solid">
        <fgColor rgb="FFBF5700"/>
      </patternFill>
    </fill>
    <fill>
      <patternFill patternType="solid">
        <fgColor rgb="FF4472C4"/>
      </patternFill>
    </fill>
    <fill>
      <patternFill patternType="solid">
        <fgColor rgb="FF7030A0"/>
      </patternFill>
    </fill>
    <fill>
      <patternFill patternType="solid">
        <fgColor rgb="FFEADCF8"/>
      </patternFill>
    </fill>
    <fill>
      <patternFill patternType="solid">
        <fgColor rgb="FFD6E4F0"/>
      </patternFill>
    </fill>
    <fill>
      <patternFill patternType="solid">
        <fgColor rgb="FFD9E1F2"/>
      </patternFill>
    </fill>
    <fill>
      <patternFill patternType="solid">
        <fgColor theme="6" tint="0.79989013336588644"/>
        <bgColor indexed="65"/>
      </patternFill>
    </fill>
    <fill>
      <patternFill patternType="solid">
        <fgColor rgb="FFEDEDED"/>
      </patternFill>
    </fill>
    <fill>
      <patternFill patternType="solid">
        <fgColor theme="8" tint="0.79989013336588644"/>
        <bgColor indexed="65"/>
      </patternFill>
    </fill>
    <fill>
      <patternFill patternType="solid">
        <fgColor rgb="FF0B2D5C"/>
      </patternFill>
    </fill>
    <fill>
      <patternFill patternType="solid">
        <fgColor rgb="FFFFF7E6"/>
      </patternFill>
    </fill>
    <fill>
      <patternFill patternType="solid">
        <fgColor rgb="FFC6D9E8"/>
      </patternFill>
    </fill>
    <fill>
      <patternFill patternType="solid">
        <fgColor rgb="FFF7E7B2"/>
      </patternFill>
    </fill>
    <fill>
      <patternFill patternType="solid">
        <fgColor rgb="FFEEF4F8"/>
      </patternFill>
    </fill>
    <fill>
      <patternFill patternType="solid">
        <fgColor rgb="FFF3F3F3"/>
      </patternFill>
    </fill>
    <fill>
      <patternFill patternType="solid">
        <fgColor rgb="FF8A1538"/>
      </patternFill>
    </fill>
    <fill>
      <patternFill patternType="solid">
        <fgColor rgb="FFFAFCFD"/>
      </patternFill>
    </fill>
    <fill>
      <patternFill patternType="solid">
        <fgColor rgb="FFF7E7B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8A153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EF4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7F7F7F"/>
      </patternFill>
    </fill>
    <fill>
      <patternFill patternType="solid">
        <fgColor rgb="FF7F3F00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0F5B50"/>
      </patternFill>
    </fill>
    <fill>
      <patternFill patternType="solid">
        <fgColor rgb="FF4F5B66"/>
      </patternFill>
    </fill>
    <fill>
      <patternFill patternType="solid">
        <fgColor rgb="FFF2F2F2"/>
      </patternFill>
    </fill>
    <fill>
      <patternFill patternType="solid">
        <fgColor rgb="FFFFC000"/>
      </patternFill>
    </fill>
    <fill>
      <patternFill patternType="solid">
        <fgColor rgb="FF1F4E78"/>
      </patternFill>
    </fill>
    <fill>
      <patternFill patternType="solid">
        <fgColor rgb="FFE67E22"/>
      </patternFill>
    </fill>
    <fill>
      <patternFill patternType="solid">
        <fgColor rgb="FFE8F5F1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C6EFCE"/>
      </patternFill>
    </fill>
  </fills>
  <borders count="10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AB7C4"/>
      </left>
      <right style="thin">
        <color rgb="FFAAB7C4"/>
      </right>
      <top style="thin">
        <color rgb="FFAAB7C4"/>
      </top>
      <bottom style="thin">
        <color rgb="FFAAB7C4"/>
      </bottom>
      <diagonal/>
    </border>
    <border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  <diagonal/>
    </border>
    <border>
      <left style="hair">
        <color rgb="FFD3DBE2"/>
      </left>
      <right style="hair">
        <color rgb="FFD3DBE2"/>
      </right>
      <top style="hair">
        <color rgb="FFD3DBE2"/>
      </top>
      <bottom style="hair">
        <color rgb="FFD3DBE2"/>
      </bottom>
      <diagonal/>
    </border>
    <border>
      <left/>
      <right/>
      <top style="thin">
        <color rgb="FFB8C4CE"/>
      </top>
      <bottom style="thin">
        <color rgb="FFB8C4CE"/>
      </bottom>
      <diagonal/>
    </border>
    <border>
      <left/>
      <right style="thin">
        <color rgb="FFB8C4CE"/>
      </right>
      <top style="thin">
        <color rgb="FFB8C4CE"/>
      </top>
      <bottom style="thin">
        <color rgb="FFB8C4CE"/>
      </bottom>
      <diagonal/>
    </border>
    <border>
      <left/>
      <right/>
      <top style="thin">
        <color rgb="FFAAB7C4"/>
      </top>
      <bottom style="thin">
        <color rgb="FFAAB7C4"/>
      </bottom>
      <diagonal/>
    </border>
    <border>
      <left/>
      <right style="thin">
        <color rgb="FFAAB7C4"/>
      </right>
      <top style="thin">
        <color rgb="FFAAB7C4"/>
      </top>
      <bottom style="thin">
        <color rgb="FFAAB7C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/>
      <bottom style="hair">
        <color rgb="FFD3DBE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BFBFBF"/>
      </top>
      <bottom style="thin">
        <color rgb="FFD9D9D9"/>
      </bottom>
      <diagonal/>
    </border>
    <border>
      <left style="thin">
        <color rgb="FFBFBFBF"/>
      </left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/>
      <diagonal/>
    </border>
    <border>
      <left/>
      <right/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/>
      <diagonal/>
    </border>
    <border>
      <left style="thin">
        <color rgb="FFB0C4D8"/>
      </left>
      <right style="thin">
        <color rgb="FFB0C4D8"/>
      </right>
      <top/>
      <bottom style="thin">
        <color rgb="FFB0C4D8"/>
      </bottom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  <border>
      <left style="thin">
        <color rgb="FFD6DCE4"/>
      </left>
      <right style="thin">
        <color rgb="FFD6DCE4"/>
      </right>
      <top style="thin">
        <color rgb="FFD6DCE4"/>
      </top>
      <bottom/>
      <diagonal/>
    </border>
    <border>
      <left style="thin">
        <color rgb="FFD6DCE4"/>
      </left>
      <right/>
      <top style="thin">
        <color rgb="FFD6DCE4"/>
      </top>
      <bottom/>
      <diagonal/>
    </border>
    <border>
      <left/>
      <right/>
      <top style="thin">
        <color rgb="FFD6DCE4"/>
      </top>
      <bottom/>
      <diagonal/>
    </border>
    <border>
      <left/>
      <right style="thin">
        <color rgb="FFD6DCE4"/>
      </right>
      <top style="thin">
        <color rgb="FFD6DCE4"/>
      </top>
      <bottom/>
      <diagonal/>
    </border>
    <border>
      <left/>
      <right style="thin">
        <color rgb="FFB0C4D8"/>
      </right>
      <top/>
      <bottom/>
      <diagonal/>
    </border>
    <border>
      <left style="thin">
        <color rgb="FFB0C4D8"/>
      </left>
      <right/>
      <top/>
      <bottom/>
      <diagonal/>
    </border>
    <border>
      <left style="thin">
        <color rgb="FFD6DCE4"/>
      </left>
      <right/>
      <top/>
      <bottom/>
      <diagonal/>
    </border>
    <border>
      <left style="thin">
        <color rgb="FFB0C4D8"/>
      </left>
      <right/>
      <top style="thin">
        <color rgb="FFB0C4D8"/>
      </top>
      <bottom style="thin">
        <color rgb="FFB0C4D8"/>
      </bottom>
      <diagonal/>
    </border>
    <border>
      <left style="thin">
        <color rgb="FFB0C4D8"/>
      </left>
      <right/>
      <top style="thin">
        <color rgb="FFB0C4D8"/>
      </top>
      <bottom/>
      <diagonal/>
    </border>
    <border>
      <left/>
      <right style="thin">
        <color rgb="FFD6DCE4"/>
      </right>
      <top/>
      <bottom/>
      <diagonal/>
    </border>
    <border>
      <left style="thin">
        <color rgb="FFD6DCE4"/>
      </left>
      <right style="thin">
        <color rgb="FFD6DCE4"/>
      </right>
      <top/>
      <bottom/>
      <diagonal/>
    </border>
    <border>
      <left/>
      <right/>
      <top/>
      <bottom style="thin">
        <color rgb="FFD6DCE4"/>
      </bottom>
      <diagonal/>
    </border>
    <border>
      <left style="thin">
        <color indexed="64"/>
      </left>
      <right/>
      <top style="thin">
        <color rgb="FFD9D9D9"/>
      </top>
      <bottom style="thin">
        <color indexed="64"/>
      </bottom>
      <diagonal/>
    </border>
    <border>
      <left/>
      <right/>
      <top style="thin">
        <color rgb="FFD9D9D9"/>
      </top>
      <bottom style="thin">
        <color indexed="64"/>
      </bottom>
      <diagonal/>
    </border>
    <border>
      <left/>
      <right style="thin">
        <color indexed="64"/>
      </right>
      <top style="thin">
        <color rgb="FFD9D9D9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rgb="FFD1D5DB"/>
      </right>
      <top style="thin">
        <color auto="1"/>
      </top>
      <bottom style="thin">
        <color rgb="FFD1D5DB"/>
      </bottom>
      <diagonal/>
    </border>
    <border>
      <left style="thin">
        <color auto="1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rgb="FFD9D9D9"/>
      </right>
      <top style="thin">
        <color rgb="FFBFBFBF"/>
      </top>
      <bottom style="thin">
        <color rgb="FFD9D9D9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/>
      <diagonal/>
    </border>
    <border>
      <left style="thin">
        <color rgb="FFBFBFBF"/>
      </left>
      <right style="thin">
        <color rgb="FFBFBFBF"/>
      </right>
      <top style="medium">
        <color rgb="FF9DC3E6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9DC3E6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medium">
        <color rgb="FF9DC3E6"/>
      </top>
      <bottom style="thin">
        <color rgb="FFBFBFBF"/>
      </bottom>
      <diagonal/>
    </border>
    <border>
      <left/>
      <right style="thin">
        <color rgb="FFBFBFBF"/>
      </right>
      <top style="medium">
        <color rgb="FF9DC3E6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rgb="FFBFBFBF"/>
      </left>
      <right style="thin">
        <color indexed="64"/>
      </right>
      <top/>
      <bottom style="thin">
        <color auto="1"/>
      </bottom>
      <diagonal/>
    </border>
    <border>
      <left style="thin">
        <color rgb="FFBFBFBF"/>
      </left>
      <right style="thin">
        <color indexed="64"/>
      </right>
      <top/>
      <bottom/>
      <diagonal/>
    </border>
    <border>
      <left style="thin">
        <color rgb="FFD1D5DB"/>
      </left>
      <right style="thin">
        <color indexed="64"/>
      </right>
      <top style="thin">
        <color auto="1"/>
      </top>
      <bottom/>
      <diagonal/>
    </border>
    <border>
      <left style="thin">
        <color rgb="FFD1D5DB"/>
      </left>
      <right style="thin">
        <color indexed="64"/>
      </right>
      <top/>
      <bottom/>
      <diagonal/>
    </border>
    <border>
      <left/>
      <right style="thin">
        <color rgb="FFB0C4D8"/>
      </right>
      <top/>
      <bottom style="thin">
        <color rgb="FFB0C4D8"/>
      </bottom>
      <diagonal/>
    </border>
    <border>
      <left/>
      <right/>
      <top style="thin">
        <color rgb="FFB0C4D8"/>
      </top>
      <bottom/>
      <diagonal/>
    </border>
    <border>
      <left/>
      <right/>
      <top/>
      <bottom style="thin">
        <color rgb="FFB0C4D8"/>
      </bottom>
      <diagonal/>
    </border>
    <border>
      <left style="thin">
        <color rgb="FFB0C4D8"/>
      </left>
      <right style="thin">
        <color rgb="FFB0C4D8"/>
      </right>
      <top/>
      <bottom/>
      <diagonal/>
    </border>
    <border>
      <left style="medium">
        <color rgb="FF0F5B50"/>
      </left>
      <right style="medium">
        <color rgb="FF0F5B50"/>
      </right>
      <top style="medium">
        <color rgb="FF0F5B50"/>
      </top>
      <bottom style="medium">
        <color rgb="FF0F5B5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ck">
        <color rgb="FF9C6500"/>
      </left>
      <right style="thick">
        <color rgb="FF9C6500"/>
      </right>
      <top style="thick">
        <color rgb="FF9C6500"/>
      </top>
      <bottom style="thick">
        <color rgb="FF9C6500"/>
      </bottom>
      <diagonal/>
    </border>
    <border>
      <left style="thick">
        <color rgb="FF1F4E78"/>
      </left>
      <right style="thick">
        <color rgb="FF1F4E78"/>
      </right>
      <top style="thick">
        <color rgb="FF1F4E78"/>
      </top>
      <bottom style="thick">
        <color rgb="FF1F4E78"/>
      </bottom>
      <diagonal/>
    </border>
    <border>
      <left style="medium">
        <color rgb="FFE67E22"/>
      </left>
      <right style="medium">
        <color rgb="FFE67E22"/>
      </right>
      <top style="medium">
        <color rgb="FFE67E22"/>
      </top>
      <bottom style="medium">
        <color rgb="FFE67E22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medium">
        <color rgb="FF0F5B50"/>
      </top>
      <bottom style="medium">
        <color rgb="FF0F5B50"/>
      </bottom>
      <diagonal/>
    </border>
    <border>
      <left/>
      <right style="medium">
        <color rgb="FF0F5B50"/>
      </right>
      <top style="medium">
        <color rgb="FF0F5B50"/>
      </top>
      <bottom style="medium">
        <color rgb="FF0F5B50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/>
      <top style="thick">
        <color rgb="FF9C6500"/>
      </top>
      <bottom style="thick">
        <color rgb="FF9C6500"/>
      </bottom>
      <diagonal/>
    </border>
    <border>
      <left/>
      <right style="thick">
        <color rgb="FF9C6500"/>
      </right>
      <top style="thick">
        <color rgb="FF9C6500"/>
      </top>
      <bottom style="thick">
        <color rgb="FF9C6500"/>
      </bottom>
      <diagonal/>
    </border>
    <border>
      <left/>
      <right/>
      <top style="thick">
        <color rgb="FF1F4E78"/>
      </top>
      <bottom/>
      <diagonal/>
    </border>
    <border>
      <left/>
      <right style="thick">
        <color rgb="FF1F4E78"/>
      </right>
      <top style="thick">
        <color rgb="FF1F4E78"/>
      </top>
      <bottom/>
      <diagonal/>
    </border>
    <border>
      <left/>
      <right/>
      <top style="thick">
        <color rgb="FF1F4E78"/>
      </top>
      <bottom style="thick">
        <color rgb="FF1F4E78"/>
      </bottom>
      <diagonal/>
    </border>
    <border>
      <left/>
      <right style="thick">
        <color rgb="FF1F4E78"/>
      </right>
      <top style="thick">
        <color rgb="FF1F4E78"/>
      </top>
      <bottom style="thick">
        <color rgb="FF1F4E78"/>
      </bottom>
      <diagonal/>
    </border>
    <border>
      <left style="thick">
        <color rgb="FF1F4E78"/>
      </left>
      <right/>
      <top/>
      <bottom style="thick">
        <color rgb="FF1F4E78"/>
      </bottom>
      <diagonal/>
    </border>
    <border>
      <left/>
      <right/>
      <top/>
      <bottom style="thick">
        <color rgb="FF1F4E78"/>
      </bottom>
      <diagonal/>
    </border>
    <border>
      <left/>
      <right style="thick">
        <color rgb="FF1F4E78"/>
      </right>
      <top/>
      <bottom style="thick">
        <color rgb="FF1F4E78"/>
      </bottom>
      <diagonal/>
    </border>
  </borders>
  <cellStyleXfs count="1">
    <xf numFmtId="0" fontId="0" fillId="0" borderId="37"/>
  </cellStyleXfs>
  <cellXfs count="531">
    <xf numFmtId="0" fontId="0" fillId="0" borderId="0" xfId="0" applyBorder="1"/>
    <xf numFmtId="0" fontId="1" fillId="0" borderId="0" xfId="0" applyFont="1" applyBorder="1"/>
    <xf numFmtId="0" fontId="3" fillId="0" borderId="0" xfId="0" applyFont="1" applyBorder="1"/>
    <xf numFmtId="0" fontId="0" fillId="13" borderId="0" xfId="0" applyFill="1" applyBorder="1"/>
    <xf numFmtId="0" fontId="4" fillId="0" borderId="2" xfId="0" applyFont="1" applyBorder="1"/>
    <xf numFmtId="0" fontId="9" fillId="5" borderId="3" xfId="0" applyFont="1" applyFill="1" applyBorder="1" applyAlignment="1">
      <alignment horizontal="center" vertical="center"/>
    </xf>
    <xf numFmtId="0" fontId="10" fillId="25" borderId="3" xfId="0" applyFont="1" applyFill="1" applyBorder="1" applyAlignment="1">
      <alignment vertical="center"/>
    </xf>
    <xf numFmtId="49" fontId="6" fillId="17" borderId="3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1" fontId="6" fillId="17" borderId="3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0" fontId="9" fillId="0" borderId="2" xfId="0" applyFont="1" applyBorder="1" applyAlignment="1">
      <alignment horizontal="center" vertical="center" wrapText="1"/>
    </xf>
    <xf numFmtId="0" fontId="14" fillId="0" borderId="2" xfId="0" applyFont="1" applyBorder="1"/>
    <xf numFmtId="0" fontId="14" fillId="0" borderId="7" xfId="0" applyFont="1" applyBorder="1"/>
    <xf numFmtId="14" fontId="14" fillId="0" borderId="7" xfId="0" applyNumberFormat="1" applyFont="1" applyBorder="1"/>
    <xf numFmtId="0" fontId="16" fillId="0" borderId="2" xfId="0" applyFont="1" applyBorder="1"/>
    <xf numFmtId="0" fontId="11" fillId="19" borderId="3" xfId="0" applyFont="1" applyFill="1" applyBorder="1" applyAlignment="1">
      <alignment horizontal="center" vertical="center" wrapText="1"/>
    </xf>
    <xf numFmtId="0" fontId="11" fillId="21" borderId="3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22" borderId="3" xfId="0" applyFont="1" applyFill="1" applyBorder="1" applyAlignment="1">
      <alignment horizontal="center" vertical="center" wrapText="1"/>
    </xf>
    <xf numFmtId="4" fontId="15" fillId="0" borderId="7" xfId="0" applyNumberFormat="1" applyFont="1" applyBorder="1"/>
    <xf numFmtId="164" fontId="15" fillId="0" borderId="7" xfId="0" applyNumberFormat="1" applyFont="1" applyBorder="1"/>
    <xf numFmtId="0" fontId="10" fillId="10" borderId="7" xfId="0" applyFont="1" applyFill="1" applyBorder="1" applyAlignment="1">
      <alignment horizontal="center"/>
    </xf>
    <xf numFmtId="0" fontId="17" fillId="0" borderId="2" xfId="0" applyFont="1" applyBorder="1"/>
    <xf numFmtId="0" fontId="18" fillId="0" borderId="2" xfId="0" applyFont="1" applyBorder="1"/>
    <xf numFmtId="0" fontId="14" fillId="0" borderId="0" xfId="0" applyFont="1" applyBorder="1"/>
    <xf numFmtId="0" fontId="13" fillId="23" borderId="3" xfId="0" applyFont="1" applyFill="1" applyBorder="1" applyAlignment="1">
      <alignment horizontal="center" vertical="center" wrapText="1"/>
    </xf>
    <xf numFmtId="164" fontId="11" fillId="19" borderId="3" xfId="0" applyNumberFormat="1" applyFont="1" applyFill="1" applyBorder="1" applyAlignment="1">
      <alignment horizontal="center" vertical="center" wrapText="1"/>
    </xf>
    <xf numFmtId="0" fontId="5" fillId="0" borderId="7" xfId="0" applyFont="1" applyBorder="1"/>
    <xf numFmtId="4" fontId="14" fillId="0" borderId="2" xfId="0" applyNumberFormat="1" applyFont="1" applyBorder="1"/>
    <xf numFmtId="164" fontId="14" fillId="0" borderId="2" xfId="0" applyNumberFormat="1" applyFont="1" applyBorder="1"/>
    <xf numFmtId="0" fontId="13" fillId="20" borderId="6" xfId="0" applyFont="1" applyFill="1" applyBorder="1" applyAlignment="1">
      <alignment horizontal="center" vertical="center" wrapText="1"/>
    </xf>
    <xf numFmtId="165" fontId="6" fillId="17" borderId="3" xfId="0" applyNumberFormat="1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 wrapText="1"/>
    </xf>
    <xf numFmtId="0" fontId="13" fillId="18" borderId="3" xfId="0" applyFont="1" applyFill="1" applyBorder="1" applyAlignment="1">
      <alignment horizontal="center" vertical="center" wrapText="1"/>
    </xf>
    <xf numFmtId="0" fontId="13" fillId="20" borderId="3" xfId="0" applyFont="1" applyFill="1" applyBorder="1" applyAlignment="1">
      <alignment horizontal="center" vertical="center" wrapText="1"/>
    </xf>
    <xf numFmtId="0" fontId="13" fillId="16" borderId="3" xfId="0" applyFont="1" applyFill="1" applyBorder="1" applyAlignment="1">
      <alignment horizontal="center" vertical="center" wrapText="1"/>
    </xf>
    <xf numFmtId="4" fontId="15" fillId="0" borderId="2" xfId="0" applyNumberFormat="1" applyFont="1" applyBorder="1"/>
    <xf numFmtId="164" fontId="15" fillId="0" borderId="2" xfId="0" applyNumberFormat="1" applyFont="1" applyBorder="1"/>
    <xf numFmtId="0" fontId="13" fillId="5" borderId="3" xfId="0" applyFont="1" applyFill="1" applyBorder="1" applyAlignment="1">
      <alignment horizontal="center" vertical="center"/>
    </xf>
    <xf numFmtId="4" fontId="13" fillId="5" borderId="3" xfId="0" applyNumberFormat="1" applyFont="1" applyFill="1" applyBorder="1" applyAlignment="1">
      <alignment horizontal="center" vertical="center"/>
    </xf>
    <xf numFmtId="164" fontId="13" fillId="5" borderId="3" xfId="0" applyNumberFormat="1" applyFont="1" applyFill="1" applyBorder="1" applyAlignment="1">
      <alignment horizontal="center" vertical="center"/>
    </xf>
    <xf numFmtId="4" fontId="7" fillId="9" borderId="3" xfId="0" applyNumberFormat="1" applyFont="1" applyFill="1" applyBorder="1" applyAlignment="1">
      <alignment horizontal="center" vertical="center"/>
    </xf>
    <xf numFmtId="164" fontId="7" fillId="9" borderId="3" xfId="0" applyNumberFormat="1" applyFont="1" applyFill="1" applyBorder="1" applyAlignment="1">
      <alignment horizontal="center" vertical="center"/>
    </xf>
    <xf numFmtId="4" fontId="7" fillId="14" borderId="3" xfId="0" applyNumberFormat="1" applyFont="1" applyFill="1" applyBorder="1" applyAlignment="1">
      <alignment horizontal="center" vertical="center"/>
    </xf>
    <xf numFmtId="164" fontId="7" fillId="14" borderId="3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16" borderId="3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 wrapText="1"/>
    </xf>
    <xf numFmtId="4" fontId="13" fillId="5" borderId="3" xfId="0" applyNumberFormat="1" applyFont="1" applyFill="1" applyBorder="1" applyAlignment="1">
      <alignment horizontal="center" vertical="center" wrapText="1"/>
    </xf>
    <xf numFmtId="164" fontId="13" fillId="5" borderId="3" xfId="0" applyNumberFormat="1" applyFont="1" applyFill="1" applyBorder="1" applyAlignment="1">
      <alignment horizontal="center" vertical="center" wrapText="1"/>
    </xf>
    <xf numFmtId="0" fontId="13" fillId="11" borderId="7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 vertical="center" wrapText="1"/>
    </xf>
    <xf numFmtId="0" fontId="10" fillId="7" borderId="10" xfId="0" applyFont="1" applyFill="1" applyBorder="1"/>
    <xf numFmtId="164" fontId="10" fillId="7" borderId="10" xfId="0" applyNumberFormat="1" applyFont="1" applyFill="1" applyBorder="1"/>
    <xf numFmtId="164" fontId="13" fillId="18" borderId="3" xfId="0" applyNumberFormat="1" applyFont="1" applyFill="1" applyBorder="1" applyAlignment="1">
      <alignment horizontal="center" vertical="center" wrapText="1"/>
    </xf>
    <xf numFmtId="0" fontId="25" fillId="0" borderId="0" xfId="0" applyFont="1" applyBorder="1" applyAlignment="1">
      <alignment vertical="center"/>
    </xf>
    <xf numFmtId="0" fontId="25" fillId="0" borderId="11" xfId="0" applyFont="1" applyBorder="1" applyAlignment="1">
      <alignment vertical="center"/>
    </xf>
    <xf numFmtId="0" fontId="25" fillId="0" borderId="12" xfId="0" applyFont="1" applyBorder="1" applyAlignment="1">
      <alignment vertical="center"/>
    </xf>
    <xf numFmtId="166" fontId="25" fillId="33" borderId="11" xfId="0" applyNumberFormat="1" applyFont="1" applyFill="1" applyBorder="1" applyAlignment="1">
      <alignment vertical="center"/>
    </xf>
    <xf numFmtId="2" fontId="25" fillId="34" borderId="12" xfId="0" applyNumberFormat="1" applyFont="1" applyFill="1" applyBorder="1" applyAlignment="1">
      <alignment vertical="center"/>
    </xf>
    <xf numFmtId="166" fontId="25" fillId="34" borderId="12" xfId="0" applyNumberFormat="1" applyFont="1" applyFill="1" applyBorder="1" applyAlignment="1">
      <alignment vertical="center"/>
    </xf>
    <xf numFmtId="0" fontId="13" fillId="8" borderId="18" xfId="0" applyFont="1" applyFill="1" applyBorder="1" applyAlignment="1">
      <alignment horizontal="center" vertical="center" wrapText="1"/>
    </xf>
    <xf numFmtId="167" fontId="22" fillId="28" borderId="18" xfId="0" applyNumberFormat="1" applyFont="1" applyFill="1" applyBorder="1" applyAlignment="1">
      <alignment vertical="center"/>
    </xf>
    <xf numFmtId="14" fontId="13" fillId="8" borderId="18" xfId="0" applyNumberFormat="1" applyFont="1" applyFill="1" applyBorder="1" applyAlignment="1">
      <alignment horizontal="center" vertical="center" wrapText="1"/>
    </xf>
    <xf numFmtId="0" fontId="22" fillId="28" borderId="18" xfId="0" applyFont="1" applyFill="1" applyBorder="1" applyAlignment="1">
      <alignment horizontal="center" vertical="center"/>
    </xf>
    <xf numFmtId="10" fontId="22" fillId="28" borderId="18" xfId="0" applyNumberFormat="1" applyFont="1" applyFill="1" applyBorder="1" applyAlignment="1">
      <alignment horizontal="center" vertical="center"/>
    </xf>
    <xf numFmtId="167" fontId="22" fillId="28" borderId="18" xfId="0" applyNumberFormat="1" applyFont="1" applyFill="1" applyBorder="1" applyAlignment="1">
      <alignment horizontal="center" vertical="center"/>
    </xf>
    <xf numFmtId="0" fontId="22" fillId="15" borderId="18" xfId="0" applyFont="1" applyFill="1" applyBorder="1" applyAlignment="1">
      <alignment horizontal="center" vertical="center"/>
    </xf>
    <xf numFmtId="10" fontId="22" fillId="15" borderId="18" xfId="0" applyNumberFormat="1" applyFont="1" applyFill="1" applyBorder="1" applyAlignment="1">
      <alignment horizontal="center" vertical="center"/>
    </xf>
    <xf numFmtId="167" fontId="22" fillId="15" borderId="18" xfId="0" applyNumberFormat="1" applyFont="1" applyFill="1" applyBorder="1" applyAlignment="1">
      <alignment horizontal="center" vertical="center"/>
    </xf>
    <xf numFmtId="0" fontId="24" fillId="26" borderId="18" xfId="0" applyFont="1" applyFill="1" applyBorder="1" applyAlignment="1">
      <alignment horizontal="center" vertical="center"/>
    </xf>
    <xf numFmtId="0" fontId="23" fillId="26" borderId="18" xfId="0" applyFont="1" applyFill="1" applyBorder="1" applyAlignment="1">
      <alignment horizontal="center" vertical="center"/>
    </xf>
    <xf numFmtId="14" fontId="23" fillId="26" borderId="18" xfId="0" applyNumberFormat="1" applyFont="1" applyFill="1" applyBorder="1" applyAlignment="1">
      <alignment horizontal="center" vertical="center"/>
    </xf>
    <xf numFmtId="167" fontId="24" fillId="26" borderId="18" xfId="0" applyNumberFormat="1" applyFont="1" applyFill="1" applyBorder="1" applyAlignment="1">
      <alignment horizontal="center" vertical="center"/>
    </xf>
    <xf numFmtId="165" fontId="22" fillId="0" borderId="18" xfId="0" applyNumberFormat="1" applyFont="1" applyBorder="1"/>
    <xf numFmtId="164" fontId="22" fillId="9" borderId="18" xfId="0" applyNumberFormat="1" applyFont="1" applyFill="1" applyBorder="1"/>
    <xf numFmtId="167" fontId="22" fillId="28" borderId="18" xfId="0" applyNumberFormat="1" applyFont="1" applyFill="1" applyBorder="1"/>
    <xf numFmtId="164" fontId="22" fillId="28" borderId="18" xfId="0" applyNumberFormat="1" applyFont="1" applyFill="1" applyBorder="1"/>
    <xf numFmtId="0" fontId="22" fillId="0" borderId="18" xfId="0" applyFont="1" applyBorder="1" applyAlignment="1">
      <alignment horizontal="center"/>
    </xf>
    <xf numFmtId="0" fontId="15" fillId="9" borderId="18" xfId="0" applyFont="1" applyFill="1" applyBorder="1"/>
    <xf numFmtId="4" fontId="15" fillId="9" borderId="18" xfId="0" applyNumberFormat="1" applyFont="1" applyFill="1" applyBorder="1"/>
    <xf numFmtId="164" fontId="15" fillId="9" borderId="18" xfId="0" applyNumberFormat="1" applyFont="1" applyFill="1" applyBorder="1"/>
    <xf numFmtId="4" fontId="8" fillId="9" borderId="18" xfId="0" applyNumberFormat="1" applyFont="1" applyFill="1" applyBorder="1"/>
    <xf numFmtId="4" fontId="22" fillId="28" borderId="18" xfId="0" applyNumberFormat="1" applyFont="1" applyFill="1" applyBorder="1"/>
    <xf numFmtId="0" fontId="22" fillId="28" borderId="18" xfId="0" applyFont="1" applyFill="1" applyBorder="1"/>
    <xf numFmtId="0" fontId="10" fillId="28" borderId="18" xfId="0" applyFont="1" applyFill="1" applyBorder="1" applyAlignment="1">
      <alignment horizontal="center"/>
    </xf>
    <xf numFmtId="0" fontId="21" fillId="28" borderId="18" xfId="0" applyFont="1" applyFill="1" applyBorder="1" applyAlignment="1">
      <alignment horizontal="center"/>
    </xf>
    <xf numFmtId="10" fontId="21" fillId="28" borderId="18" xfId="0" applyNumberFormat="1" applyFont="1" applyFill="1" applyBorder="1"/>
    <xf numFmtId="167" fontId="21" fillId="28" borderId="18" xfId="0" applyNumberFormat="1" applyFont="1" applyFill="1" applyBorder="1"/>
    <xf numFmtId="164" fontId="22" fillId="28" borderId="18" xfId="0" applyNumberFormat="1" applyFont="1" applyFill="1" applyBorder="1" applyAlignment="1">
      <alignment horizontal="center" vertical="center" wrapText="1"/>
    </xf>
    <xf numFmtId="0" fontId="22" fillId="28" borderId="18" xfId="0" applyFont="1" applyFill="1" applyBorder="1" applyAlignment="1">
      <alignment horizontal="center" vertical="center" wrapText="1"/>
    </xf>
    <xf numFmtId="0" fontId="14" fillId="9" borderId="18" xfId="0" applyFont="1" applyFill="1" applyBorder="1"/>
    <xf numFmtId="4" fontId="14" fillId="9" borderId="18" xfId="0" applyNumberFormat="1" applyFont="1" applyFill="1" applyBorder="1"/>
    <xf numFmtId="164" fontId="14" fillId="9" borderId="18" xfId="0" applyNumberFormat="1" applyFont="1" applyFill="1" applyBorder="1"/>
    <xf numFmtId="0" fontId="21" fillId="10" borderId="7" xfId="0" applyFont="1" applyFill="1" applyBorder="1" applyAlignment="1">
      <alignment horizontal="center"/>
    </xf>
    <xf numFmtId="10" fontId="21" fillId="10" borderId="7" xfId="0" applyNumberFormat="1" applyFont="1" applyFill="1" applyBorder="1"/>
    <xf numFmtId="167" fontId="21" fillId="10" borderId="7" xfId="0" applyNumberFormat="1" applyFont="1" applyFill="1" applyBorder="1"/>
    <xf numFmtId="0" fontId="22" fillId="28" borderId="18" xfId="0" applyFont="1" applyFill="1" applyBorder="1" applyAlignment="1">
      <alignment horizontal="center"/>
    </xf>
    <xf numFmtId="0" fontId="20" fillId="24" borderId="7" xfId="0" applyFont="1" applyFill="1" applyBorder="1" applyAlignment="1">
      <alignment horizontal="center" vertical="center" wrapText="1"/>
    </xf>
    <xf numFmtId="0" fontId="20" fillId="24" borderId="3" xfId="0" applyFont="1" applyFill="1" applyBorder="1" applyAlignment="1">
      <alignment horizontal="center" vertical="center" wrapText="1"/>
    </xf>
    <xf numFmtId="0" fontId="20" fillId="24" borderId="3" xfId="0" applyFont="1" applyFill="1" applyBorder="1" applyAlignment="1">
      <alignment horizontal="left" vertical="center" wrapText="1"/>
    </xf>
    <xf numFmtId="0" fontId="6" fillId="9" borderId="18" xfId="0" applyFont="1" applyFill="1" applyBorder="1" applyAlignment="1">
      <alignment vertical="center"/>
    </xf>
    <xf numFmtId="4" fontId="6" fillId="9" borderId="18" xfId="0" applyNumberFormat="1" applyFont="1" applyFill="1" applyBorder="1" applyAlignment="1">
      <alignment vertical="center"/>
    </xf>
    <xf numFmtId="164" fontId="22" fillId="28" borderId="18" xfId="0" applyNumberFormat="1" applyFont="1" applyFill="1" applyBorder="1" applyAlignment="1">
      <alignment vertical="center"/>
    </xf>
    <xf numFmtId="0" fontId="19" fillId="3" borderId="18" xfId="0" applyFont="1" applyFill="1" applyBorder="1"/>
    <xf numFmtId="164" fontId="19" fillId="4" borderId="18" xfId="0" applyNumberFormat="1" applyFont="1" applyFill="1" applyBorder="1"/>
    <xf numFmtId="4" fontId="19" fillId="4" borderId="18" xfId="0" applyNumberFormat="1" applyFont="1" applyFill="1" applyBorder="1"/>
    <xf numFmtId="164" fontId="19" fillId="6" borderId="18" xfId="0" applyNumberFormat="1" applyFont="1" applyFill="1" applyBorder="1"/>
    <xf numFmtId="4" fontId="19" fillId="6" borderId="18" xfId="0" applyNumberFormat="1" applyFont="1" applyFill="1" applyBorder="1"/>
    <xf numFmtId="164" fontId="19" fillId="29" borderId="18" xfId="0" applyNumberFormat="1" applyFont="1" applyFill="1" applyBorder="1"/>
    <xf numFmtId="164" fontId="19" fillId="27" borderId="18" xfId="0" applyNumberFormat="1" applyFont="1" applyFill="1" applyBorder="1"/>
    <xf numFmtId="0" fontId="19" fillId="0" borderId="18" xfId="0" applyFont="1" applyBorder="1"/>
    <xf numFmtId="10" fontId="22" fillId="28" borderId="18" xfId="0" applyNumberFormat="1" applyFont="1" applyFill="1" applyBorder="1"/>
    <xf numFmtId="0" fontId="28" fillId="32" borderId="11" xfId="0" applyFont="1" applyFill="1" applyBorder="1" applyAlignment="1">
      <alignment vertical="center" wrapText="1"/>
    </xf>
    <xf numFmtId="168" fontId="28" fillId="33" borderId="11" xfId="0" applyNumberFormat="1" applyFont="1" applyFill="1" applyBorder="1" applyAlignment="1">
      <alignment vertical="center"/>
    </xf>
    <xf numFmtId="0" fontId="28" fillId="34" borderId="11" xfId="0" applyFont="1" applyFill="1" applyBorder="1" applyAlignment="1">
      <alignment vertical="center" wrapText="1"/>
    </xf>
    <xf numFmtId="0" fontId="13" fillId="30" borderId="12" xfId="0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vertical="center"/>
    </xf>
    <xf numFmtId="166" fontId="30" fillId="0" borderId="12" xfId="0" applyNumberFormat="1" applyFont="1" applyBorder="1" applyAlignment="1">
      <alignment vertical="center"/>
    </xf>
    <xf numFmtId="0" fontId="30" fillId="0" borderId="12" xfId="0" applyFont="1" applyBorder="1" applyAlignment="1">
      <alignment vertical="center" wrapText="1"/>
    </xf>
    <xf numFmtId="0" fontId="28" fillId="32" borderId="12" xfId="0" applyFont="1" applyFill="1" applyBorder="1" applyAlignment="1">
      <alignment vertical="center"/>
    </xf>
    <xf numFmtId="166" fontId="28" fillId="32" borderId="12" xfId="0" applyNumberFormat="1" applyFont="1" applyFill="1" applyBorder="1" applyAlignment="1">
      <alignment vertical="center"/>
    </xf>
    <xf numFmtId="0" fontId="28" fillId="32" borderId="12" xfId="0" applyFont="1" applyFill="1" applyBorder="1" applyAlignment="1">
      <alignment vertical="center" wrapText="1"/>
    </xf>
    <xf numFmtId="166" fontId="28" fillId="34" borderId="11" xfId="0" applyNumberFormat="1" applyFont="1" applyFill="1" applyBorder="1" applyAlignment="1">
      <alignment vertical="center" wrapText="1"/>
    </xf>
    <xf numFmtId="166" fontId="30" fillId="34" borderId="11" xfId="0" applyNumberFormat="1" applyFont="1" applyFill="1" applyBorder="1" applyAlignment="1">
      <alignment vertical="center"/>
    </xf>
    <xf numFmtId="166" fontId="28" fillId="34" borderId="11" xfId="0" applyNumberFormat="1" applyFont="1" applyFill="1" applyBorder="1" applyAlignment="1">
      <alignment vertical="center"/>
    </xf>
    <xf numFmtId="2" fontId="30" fillId="34" borderId="12" xfId="0" applyNumberFormat="1" applyFont="1" applyFill="1" applyBorder="1" applyAlignment="1">
      <alignment vertical="center"/>
    </xf>
    <xf numFmtId="166" fontId="30" fillId="34" borderId="12" xfId="0" applyNumberFormat="1" applyFont="1" applyFill="1" applyBorder="1" applyAlignment="1">
      <alignment vertical="center"/>
    </xf>
    <xf numFmtId="0" fontId="30" fillId="34" borderId="12" xfId="0" applyFont="1" applyFill="1" applyBorder="1" applyAlignment="1">
      <alignment vertical="center" wrapText="1"/>
    </xf>
    <xf numFmtId="0" fontId="28" fillId="34" borderId="12" xfId="0" applyFont="1" applyFill="1" applyBorder="1" applyAlignment="1">
      <alignment vertical="center" wrapText="1"/>
    </xf>
    <xf numFmtId="166" fontId="28" fillId="32" borderId="12" xfId="0" applyNumberFormat="1" applyFont="1" applyFill="1" applyBorder="1" applyAlignment="1">
      <alignment vertical="center" wrapText="1"/>
    </xf>
    <xf numFmtId="0" fontId="30" fillId="34" borderId="12" xfId="0" applyFont="1" applyFill="1" applyBorder="1" applyAlignment="1">
      <alignment vertical="center"/>
    </xf>
    <xf numFmtId="169" fontId="30" fillId="34" borderId="12" xfId="0" applyNumberFormat="1" applyFont="1" applyFill="1" applyBorder="1" applyAlignment="1">
      <alignment vertical="center"/>
    </xf>
    <xf numFmtId="169" fontId="28" fillId="32" borderId="12" xfId="0" applyNumberFormat="1" applyFont="1" applyFill="1" applyBorder="1" applyAlignment="1">
      <alignment vertical="center" wrapText="1"/>
    </xf>
    <xf numFmtId="0" fontId="13" fillId="30" borderId="13" xfId="0" applyFont="1" applyFill="1" applyBorder="1" applyAlignment="1">
      <alignment horizontal="center" vertical="center" wrapText="1"/>
    </xf>
    <xf numFmtId="0" fontId="30" fillId="37" borderId="13" xfId="0" applyFont="1" applyFill="1" applyBorder="1" applyAlignment="1">
      <alignment vertical="center"/>
    </xf>
    <xf numFmtId="2" fontId="30" fillId="37" borderId="13" xfId="0" applyNumberFormat="1" applyFont="1" applyFill="1" applyBorder="1" applyAlignment="1">
      <alignment vertical="center"/>
    </xf>
    <xf numFmtId="170" fontId="30" fillId="37" borderId="13" xfId="0" applyNumberFormat="1" applyFont="1" applyFill="1" applyBorder="1" applyAlignment="1">
      <alignment vertical="center"/>
    </xf>
    <xf numFmtId="10" fontId="30" fillId="37" borderId="13" xfId="0" applyNumberFormat="1" applyFont="1" applyFill="1" applyBorder="1" applyAlignment="1">
      <alignment vertical="center"/>
    </xf>
    <xf numFmtId="166" fontId="30" fillId="37" borderId="13" xfId="0" applyNumberFormat="1" applyFont="1" applyFill="1" applyBorder="1" applyAlignment="1">
      <alignment vertical="center"/>
    </xf>
    <xf numFmtId="0" fontId="30" fillId="37" borderId="13" xfId="0" applyFont="1" applyFill="1" applyBorder="1" applyAlignment="1">
      <alignment vertical="center" wrapText="1"/>
    </xf>
    <xf numFmtId="165" fontId="22" fillId="28" borderId="18" xfId="0" applyNumberFormat="1" applyFont="1" applyFill="1" applyBorder="1"/>
    <xf numFmtId="10" fontId="24" fillId="26" borderId="18" xfId="0" applyNumberFormat="1" applyFont="1" applyFill="1" applyBorder="1"/>
    <xf numFmtId="4" fontId="19" fillId="28" borderId="18" xfId="0" applyNumberFormat="1" applyFont="1" applyFill="1" applyBorder="1"/>
    <xf numFmtId="0" fontId="19" fillId="28" borderId="18" xfId="0" applyFont="1" applyFill="1" applyBorder="1"/>
    <xf numFmtId="4" fontId="21" fillId="28" borderId="18" xfId="0" applyNumberFormat="1" applyFont="1" applyFill="1" applyBorder="1"/>
    <xf numFmtId="0" fontId="22" fillId="28" borderId="18" xfId="0" applyFont="1" applyFill="1" applyBorder="1" applyAlignment="1">
      <alignment vertical="center"/>
    </xf>
    <xf numFmtId="165" fontId="22" fillId="28" borderId="18" xfId="0" applyNumberFormat="1" applyFont="1" applyFill="1" applyBorder="1" applyAlignment="1">
      <alignment vertical="center"/>
    </xf>
    <xf numFmtId="10" fontId="22" fillId="28" borderId="18" xfId="0" applyNumberFormat="1" applyFont="1" applyFill="1" applyBorder="1" applyAlignment="1">
      <alignment vertical="center"/>
    </xf>
    <xf numFmtId="0" fontId="31" fillId="28" borderId="18" xfId="0" applyFont="1" applyFill="1" applyBorder="1" applyAlignment="1">
      <alignment vertical="center"/>
    </xf>
    <xf numFmtId="165" fontId="31" fillId="28" borderId="18" xfId="0" applyNumberFormat="1" applyFont="1" applyFill="1" applyBorder="1" applyAlignment="1">
      <alignment vertical="center"/>
    </xf>
    <xf numFmtId="10" fontId="31" fillId="28" borderId="18" xfId="0" applyNumberFormat="1" applyFont="1" applyFill="1" applyBorder="1" applyAlignment="1">
      <alignment vertical="center"/>
    </xf>
    <xf numFmtId="165" fontId="31" fillId="28" borderId="18" xfId="0" applyNumberFormat="1" applyFont="1" applyFill="1" applyBorder="1"/>
    <xf numFmtId="0" fontId="31" fillId="28" borderId="18" xfId="0" applyFont="1" applyFill="1" applyBorder="1" applyAlignment="1">
      <alignment horizontal="center"/>
    </xf>
    <xf numFmtId="0" fontId="0" fillId="0" borderId="2" xfId="0" applyBorder="1"/>
    <xf numFmtId="0" fontId="2" fillId="2" borderId="19" xfId="0" applyFont="1" applyFill="1" applyBorder="1"/>
    <xf numFmtId="0" fontId="32" fillId="40" borderId="18" xfId="0" applyFont="1" applyFill="1" applyBorder="1" applyAlignment="1">
      <alignment horizontal="center" vertical="center" wrapText="1"/>
    </xf>
    <xf numFmtId="4" fontId="19" fillId="41" borderId="18" xfId="0" applyNumberFormat="1" applyFont="1" applyFill="1" applyBorder="1"/>
    <xf numFmtId="0" fontId="13" fillId="8" borderId="22" xfId="0" applyFont="1" applyFill="1" applyBorder="1" applyAlignment="1">
      <alignment horizontal="center" vertical="center" wrapText="1"/>
    </xf>
    <xf numFmtId="4" fontId="19" fillId="28" borderId="22" xfId="0" applyNumberFormat="1" applyFont="1" applyFill="1" applyBorder="1"/>
    <xf numFmtId="0" fontId="32" fillId="40" borderId="21" xfId="0" applyFont="1" applyFill="1" applyBorder="1" applyAlignment="1">
      <alignment horizontal="center" vertical="center" wrapText="1"/>
    </xf>
    <xf numFmtId="4" fontId="19" fillId="41" borderId="21" xfId="0" applyNumberFormat="1" applyFont="1" applyFill="1" applyBorder="1"/>
    <xf numFmtId="0" fontId="32" fillId="42" borderId="18" xfId="0" applyFont="1" applyFill="1" applyBorder="1" applyAlignment="1">
      <alignment horizontal="center" vertical="center" wrapText="1"/>
    </xf>
    <xf numFmtId="4" fontId="19" fillId="43" borderId="18" xfId="0" applyNumberFormat="1" applyFont="1" applyFill="1" applyBorder="1"/>
    <xf numFmtId="0" fontId="32" fillId="40" borderId="22" xfId="0" applyFont="1" applyFill="1" applyBorder="1" applyAlignment="1">
      <alignment horizontal="center" vertical="center" wrapText="1"/>
    </xf>
    <xf numFmtId="4" fontId="19" fillId="41" borderId="22" xfId="0" applyNumberFormat="1" applyFont="1" applyFill="1" applyBorder="1"/>
    <xf numFmtId="0" fontId="32" fillId="42" borderId="21" xfId="0" applyFont="1" applyFill="1" applyBorder="1" applyAlignment="1">
      <alignment horizontal="center" vertical="center" wrapText="1"/>
    </xf>
    <xf numFmtId="4" fontId="19" fillId="43" borderId="21" xfId="0" applyNumberFormat="1" applyFont="1" applyFill="1" applyBorder="1"/>
    <xf numFmtId="0" fontId="32" fillId="42" borderId="22" xfId="0" applyFont="1" applyFill="1" applyBorder="1" applyAlignment="1">
      <alignment horizontal="center" vertical="center" wrapText="1"/>
    </xf>
    <xf numFmtId="4" fontId="19" fillId="43" borderId="22" xfId="0" applyNumberFormat="1" applyFont="1" applyFill="1" applyBorder="1"/>
    <xf numFmtId="171" fontId="22" fillId="28" borderId="18" xfId="0" applyNumberFormat="1" applyFont="1" applyFill="1" applyBorder="1" applyAlignment="1">
      <alignment vertical="center"/>
    </xf>
    <xf numFmtId="171" fontId="31" fillId="28" borderId="18" xfId="0" applyNumberFormat="1" applyFont="1" applyFill="1" applyBorder="1" applyAlignment="1">
      <alignment vertical="center"/>
    </xf>
    <xf numFmtId="171" fontId="22" fillId="0" borderId="18" xfId="0" applyNumberFormat="1" applyFont="1" applyBorder="1" applyAlignment="1">
      <alignment vertical="center"/>
    </xf>
    <xf numFmtId="172" fontId="3" fillId="0" borderId="0" xfId="0" applyNumberFormat="1" applyFont="1" applyBorder="1"/>
    <xf numFmtId="173" fontId="3" fillId="0" borderId="0" xfId="0" applyNumberFormat="1" applyFont="1" applyBorder="1"/>
    <xf numFmtId="169" fontId="3" fillId="0" borderId="0" xfId="0" applyNumberFormat="1" applyFont="1" applyBorder="1"/>
    <xf numFmtId="0" fontId="13" fillId="36" borderId="2" xfId="0" applyFont="1" applyFill="1" applyBorder="1" applyAlignment="1">
      <alignment horizontal="left" vertical="center"/>
    </xf>
    <xf numFmtId="39" fontId="0" fillId="0" borderId="0" xfId="0" applyNumberFormat="1" applyBorder="1"/>
    <xf numFmtId="169" fontId="0" fillId="0" borderId="0" xfId="0" applyNumberFormat="1" applyBorder="1"/>
    <xf numFmtId="14" fontId="0" fillId="0" borderId="0" xfId="0" applyNumberFormat="1" applyBorder="1"/>
    <xf numFmtId="0" fontId="22" fillId="0" borderId="18" xfId="0" applyFont="1" applyBorder="1"/>
    <xf numFmtId="0" fontId="35" fillId="38" borderId="11" xfId="0" applyFont="1" applyFill="1" applyBorder="1" applyAlignment="1">
      <alignment vertical="center"/>
    </xf>
    <xf numFmtId="0" fontId="36" fillId="46" borderId="0" xfId="0" applyFont="1" applyFill="1" applyBorder="1"/>
    <xf numFmtId="0" fontId="13" fillId="5" borderId="30" xfId="0" applyFont="1" applyFill="1" applyBorder="1" applyAlignment="1">
      <alignment horizontal="center" vertical="center" wrapText="1"/>
    </xf>
    <xf numFmtId="14" fontId="6" fillId="9" borderId="18" xfId="0" applyNumberFormat="1" applyFont="1" applyFill="1" applyBorder="1" applyAlignment="1">
      <alignment vertical="center"/>
    </xf>
    <xf numFmtId="14" fontId="6" fillId="17" borderId="3" xfId="0" applyNumberFormat="1" applyFont="1" applyFill="1" applyBorder="1" applyAlignment="1">
      <alignment horizontal="center" vertical="center"/>
    </xf>
    <xf numFmtId="14" fontId="6" fillId="47" borderId="3" xfId="0" applyNumberFormat="1" applyFont="1" applyFill="1" applyBorder="1" applyAlignment="1">
      <alignment horizontal="center" vertical="center"/>
    </xf>
    <xf numFmtId="0" fontId="37" fillId="0" borderId="0" xfId="0" applyFont="1" applyBorder="1"/>
    <xf numFmtId="0" fontId="38" fillId="0" borderId="2" xfId="0" applyFont="1" applyBorder="1"/>
    <xf numFmtId="174" fontId="0" fillId="0" borderId="0" xfId="0" applyNumberFormat="1" applyBorder="1"/>
    <xf numFmtId="0" fontId="22" fillId="48" borderId="18" xfId="0" applyFont="1" applyFill="1" applyBorder="1" applyAlignment="1">
      <alignment vertical="center"/>
    </xf>
    <xf numFmtId="165" fontId="22" fillId="48" borderId="18" xfId="0" applyNumberFormat="1" applyFont="1" applyFill="1" applyBorder="1" applyAlignment="1">
      <alignment vertical="center"/>
    </xf>
    <xf numFmtId="10" fontId="22" fillId="48" borderId="18" xfId="0" applyNumberFormat="1" applyFont="1" applyFill="1" applyBorder="1" applyAlignment="1">
      <alignment vertical="center"/>
    </xf>
    <xf numFmtId="167" fontId="22" fillId="48" borderId="18" xfId="0" applyNumberFormat="1" applyFont="1" applyFill="1" applyBorder="1" applyAlignment="1">
      <alignment vertical="center"/>
    </xf>
    <xf numFmtId="174" fontId="19" fillId="28" borderId="18" xfId="0" applyNumberFormat="1" applyFont="1" applyFill="1" applyBorder="1"/>
    <xf numFmtId="0" fontId="0" fillId="43" borderId="0" xfId="0" applyFill="1" applyBorder="1"/>
    <xf numFmtId="174" fontId="25" fillId="0" borderId="0" xfId="0" applyNumberFormat="1" applyFont="1" applyBorder="1" applyAlignment="1">
      <alignment vertical="center"/>
    </xf>
    <xf numFmtId="0" fontId="39" fillId="0" borderId="0" xfId="0" applyFont="1" applyBorder="1" applyAlignment="1">
      <alignment vertical="center"/>
    </xf>
    <xf numFmtId="173" fontId="6" fillId="17" borderId="3" xfId="0" applyNumberFormat="1" applyFont="1" applyFill="1" applyBorder="1" applyAlignment="1">
      <alignment horizontal="center" vertical="center"/>
    </xf>
    <xf numFmtId="169" fontId="6" fillId="17" borderId="3" xfId="0" applyNumberFormat="1" applyFont="1" applyFill="1" applyBorder="1" applyAlignment="1">
      <alignment horizontal="center" vertical="center"/>
    </xf>
    <xf numFmtId="175" fontId="22" fillId="28" borderId="18" xfId="0" applyNumberFormat="1" applyFont="1" applyFill="1" applyBorder="1"/>
    <xf numFmtId="0" fontId="22" fillId="28" borderId="18" xfId="0" applyFont="1" applyFill="1" applyBorder="1" applyAlignment="1">
      <alignment wrapText="1"/>
    </xf>
    <xf numFmtId="0" fontId="43" fillId="0" borderId="0" xfId="0" applyFont="1" applyBorder="1"/>
    <xf numFmtId="0" fontId="44" fillId="0" borderId="0" xfId="0" applyFont="1" applyBorder="1"/>
    <xf numFmtId="0" fontId="33" fillId="44" borderId="0" xfId="0" applyFont="1" applyFill="1" applyBorder="1" applyAlignment="1">
      <alignment wrapText="1"/>
    </xf>
    <xf numFmtId="4" fontId="0" fillId="0" borderId="0" xfId="0" applyNumberFormat="1" applyBorder="1"/>
    <xf numFmtId="171" fontId="0" fillId="0" borderId="0" xfId="0" applyNumberFormat="1" applyBorder="1"/>
    <xf numFmtId="0" fontId="46" fillId="0" borderId="0" xfId="0" applyFont="1" applyBorder="1" applyAlignment="1">
      <alignment horizontal="center" vertical="center" wrapText="1"/>
    </xf>
    <xf numFmtId="0" fontId="13" fillId="23" borderId="5" xfId="0" applyFont="1" applyFill="1" applyBorder="1" applyAlignment="1">
      <alignment horizontal="center" vertical="center" wrapText="1"/>
    </xf>
    <xf numFmtId="0" fontId="14" fillId="0" borderId="22" xfId="0" applyFont="1" applyBorder="1"/>
    <xf numFmtId="0" fontId="20" fillId="24" borderId="9" xfId="0" applyFont="1" applyFill="1" applyBorder="1" applyAlignment="1">
      <alignment horizontal="center" vertical="center" wrapText="1"/>
    </xf>
    <xf numFmtId="0" fontId="34" fillId="54" borderId="30" xfId="0" applyFont="1" applyFill="1" applyBorder="1" applyAlignment="1">
      <alignment horizontal="center" vertical="center" wrapText="1"/>
    </xf>
    <xf numFmtId="164" fontId="40" fillId="48" borderId="18" xfId="0" applyNumberFormat="1" applyFont="1" applyFill="1" applyBorder="1" applyAlignment="1">
      <alignment horizontal="center" vertical="center" wrapText="1"/>
    </xf>
    <xf numFmtId="0" fontId="33" fillId="44" borderId="24" xfId="0" applyFont="1" applyFill="1" applyBorder="1"/>
    <xf numFmtId="0" fontId="0" fillId="45" borderId="25" xfId="0" applyFill="1" applyBorder="1" applyAlignment="1">
      <alignment horizontal="left"/>
    </xf>
    <xf numFmtId="39" fontId="15" fillId="48" borderId="18" xfId="0" applyNumberFormat="1" applyFont="1" applyFill="1" applyBorder="1"/>
    <xf numFmtId="39" fontId="15" fillId="9" borderId="18" xfId="0" applyNumberFormat="1" applyFont="1" applyFill="1" applyBorder="1"/>
    <xf numFmtId="49" fontId="15" fillId="9" borderId="18" xfId="0" applyNumberFormat="1" applyFont="1" applyFill="1" applyBorder="1"/>
    <xf numFmtId="0" fontId="33" fillId="44" borderId="26" xfId="0" applyFont="1" applyFill="1" applyBorder="1"/>
    <xf numFmtId="0" fontId="0" fillId="45" borderId="27" xfId="0" applyFill="1" applyBorder="1" applyAlignment="1">
      <alignment horizontal="left"/>
    </xf>
    <xf numFmtId="14" fontId="0" fillId="45" borderId="27" xfId="0" applyNumberFormat="1" applyFill="1" applyBorder="1" applyAlignment="1">
      <alignment horizontal="left"/>
    </xf>
    <xf numFmtId="169" fontId="0" fillId="45" borderId="27" xfId="0" applyNumberFormat="1" applyFill="1" applyBorder="1" applyAlignment="1">
      <alignment horizontal="left"/>
    </xf>
    <xf numFmtId="0" fontId="33" fillId="44" borderId="28" xfId="0" applyFont="1" applyFill="1" applyBorder="1"/>
    <xf numFmtId="0" fontId="0" fillId="45" borderId="29" xfId="0" applyFill="1" applyBorder="1" applyAlignment="1">
      <alignment horizontal="left"/>
    </xf>
    <xf numFmtId="0" fontId="0" fillId="0" borderId="0" xfId="0" applyBorder="1" applyAlignment="1">
      <alignment horizontal="left"/>
    </xf>
    <xf numFmtId="0" fontId="6" fillId="17" borderId="3" xfId="0" applyFont="1" applyFill="1" applyBorder="1" applyAlignment="1">
      <alignment horizontal="center" vertical="center"/>
    </xf>
    <xf numFmtId="0" fontId="22" fillId="28" borderId="36" xfId="0" applyFont="1" applyFill="1" applyBorder="1" applyAlignment="1">
      <alignment vertical="center"/>
    </xf>
    <xf numFmtId="0" fontId="14" fillId="0" borderId="37" xfId="0" applyFont="1"/>
    <xf numFmtId="14" fontId="14" fillId="0" borderId="37" xfId="0" applyNumberFormat="1" applyFont="1"/>
    <xf numFmtId="175" fontId="14" fillId="0" borderId="37" xfId="0" applyNumberFormat="1" applyFont="1"/>
    <xf numFmtId="0" fontId="49" fillId="39" borderId="41" xfId="0" applyFont="1" applyFill="1" applyBorder="1" applyAlignment="1" applyProtection="1">
      <alignment vertical="center" wrapText="1"/>
      <protection locked="0"/>
    </xf>
    <xf numFmtId="14" fontId="49" fillId="39" borderId="41" xfId="0" applyNumberFormat="1" applyFont="1" applyFill="1" applyBorder="1" applyAlignment="1" applyProtection="1">
      <alignment vertical="center"/>
      <protection locked="0"/>
    </xf>
    <xf numFmtId="0" fontId="49" fillId="39" borderId="41" xfId="0" applyFont="1" applyFill="1" applyBorder="1" applyAlignment="1" applyProtection="1">
      <alignment vertical="center"/>
      <protection locked="0"/>
    </xf>
    <xf numFmtId="174" fontId="49" fillId="39" borderId="41" xfId="0" applyNumberFormat="1" applyFont="1" applyFill="1" applyBorder="1" applyAlignment="1" applyProtection="1">
      <alignment horizontal="right" vertical="center"/>
      <protection locked="0"/>
    </xf>
    <xf numFmtId="174" fontId="49" fillId="39" borderId="42" xfId="0" applyNumberFormat="1" applyFont="1" applyFill="1" applyBorder="1" applyAlignment="1" applyProtection="1">
      <alignment horizontal="right" vertical="center"/>
      <protection locked="0"/>
    </xf>
    <xf numFmtId="0" fontId="49" fillId="39" borderId="42" xfId="0" applyFont="1" applyFill="1" applyBorder="1" applyAlignment="1" applyProtection="1">
      <alignment vertical="center" wrapText="1"/>
      <protection locked="0"/>
    </xf>
    <xf numFmtId="14" fontId="49" fillId="39" borderId="42" xfId="0" applyNumberFormat="1" applyFont="1" applyFill="1" applyBorder="1" applyAlignment="1" applyProtection="1">
      <alignment vertical="center"/>
      <protection locked="0"/>
    </xf>
    <xf numFmtId="0" fontId="49" fillId="39" borderId="42" xfId="0" applyFont="1" applyFill="1" applyBorder="1" applyAlignment="1" applyProtection="1">
      <alignment vertical="center"/>
      <protection locked="0"/>
    </xf>
    <xf numFmtId="0" fontId="40" fillId="0" borderId="0" xfId="0" applyFont="1" applyBorder="1"/>
    <xf numFmtId="176" fontId="56" fillId="59" borderId="37" xfId="0" applyNumberFormat="1" applyFont="1" applyFill="1" applyAlignment="1">
      <alignment horizontal="left" vertical="center" indent="1"/>
    </xf>
    <xf numFmtId="177" fontId="63" fillId="59" borderId="37" xfId="0" applyNumberFormat="1" applyFont="1" applyFill="1" applyAlignment="1">
      <alignment horizontal="center" vertical="center"/>
    </xf>
    <xf numFmtId="178" fontId="56" fillId="59" borderId="37" xfId="0" applyNumberFormat="1" applyFont="1" applyFill="1" applyAlignment="1">
      <alignment horizontal="left" vertical="center" indent="1"/>
    </xf>
    <xf numFmtId="179" fontId="56" fillId="59" borderId="37" xfId="0" applyNumberFormat="1" applyFont="1" applyFill="1" applyAlignment="1">
      <alignment horizontal="left" vertical="center" indent="1"/>
    </xf>
    <xf numFmtId="177" fontId="58" fillId="49" borderId="37" xfId="0" applyNumberFormat="1" applyFont="1" applyFill="1" applyAlignment="1">
      <alignment horizontal="left" vertical="center"/>
    </xf>
    <xf numFmtId="177" fontId="61" fillId="58" borderId="48" xfId="0" applyNumberFormat="1" applyFont="1" applyFill="1" applyBorder="1" applyAlignment="1">
      <alignment horizontal="left" vertical="center"/>
    </xf>
    <xf numFmtId="177" fontId="61" fillId="58" borderId="51" xfId="0" applyNumberFormat="1" applyFont="1" applyFill="1" applyBorder="1" applyAlignment="1">
      <alignment horizontal="left" vertical="center"/>
    </xf>
    <xf numFmtId="0" fontId="49" fillId="0" borderId="0" xfId="0" applyFont="1" applyBorder="1"/>
    <xf numFmtId="0" fontId="36" fillId="0" borderId="37" xfId="0" applyFont="1" applyAlignment="1">
      <alignment horizontal="left" vertical="center"/>
    </xf>
    <xf numFmtId="0" fontId="36" fillId="0" borderId="37" xfId="0" applyFont="1" applyAlignment="1">
      <alignment vertical="center"/>
    </xf>
    <xf numFmtId="177" fontId="62" fillId="0" borderId="37" xfId="0" applyNumberFormat="1" applyFont="1" applyAlignment="1">
      <alignment horizontal="center" vertical="center"/>
    </xf>
    <xf numFmtId="0" fontId="59" fillId="49" borderId="37" xfId="0" applyFont="1" applyFill="1" applyAlignment="1">
      <alignment horizontal="right" vertical="center" wrapText="1"/>
    </xf>
    <xf numFmtId="0" fontId="51" fillId="50" borderId="40" xfId="0" applyFont="1" applyFill="1" applyBorder="1" applyAlignment="1">
      <alignment horizontal="left" vertical="center" wrapText="1" indent="1"/>
    </xf>
    <xf numFmtId="180" fontId="48" fillId="50" borderId="40" xfId="0" applyNumberFormat="1" applyFont="1" applyFill="1" applyBorder="1" applyAlignment="1">
      <alignment horizontal="right" vertical="center" wrapText="1"/>
    </xf>
    <xf numFmtId="0" fontId="40" fillId="49" borderId="37" xfId="0" applyFont="1" applyFill="1" applyAlignment="1">
      <alignment vertical="center"/>
    </xf>
    <xf numFmtId="0" fontId="40" fillId="51" borderId="40" xfId="0" applyFont="1" applyFill="1" applyBorder="1" applyAlignment="1">
      <alignment horizontal="left" vertical="center" indent="1"/>
    </xf>
    <xf numFmtId="180" fontId="40" fillId="51" borderId="40" xfId="0" applyNumberFormat="1" applyFont="1" applyFill="1" applyBorder="1" applyAlignment="1">
      <alignment horizontal="right" vertical="center"/>
    </xf>
    <xf numFmtId="0" fontId="40" fillId="51" borderId="38" xfId="0" applyFont="1" applyFill="1" applyBorder="1" applyAlignment="1">
      <alignment horizontal="left" vertical="center" indent="1"/>
    </xf>
    <xf numFmtId="180" fontId="40" fillId="51" borderId="38" xfId="0" applyNumberFormat="1" applyFont="1" applyFill="1" applyBorder="1" applyAlignment="1">
      <alignment horizontal="right" vertical="center"/>
    </xf>
    <xf numFmtId="0" fontId="53" fillId="52" borderId="33" xfId="0" applyFont="1" applyFill="1" applyBorder="1" applyAlignment="1">
      <alignment horizontal="left" vertical="center" indent="1"/>
    </xf>
    <xf numFmtId="180" fontId="53" fillId="52" borderId="33" xfId="0" applyNumberFormat="1" applyFont="1" applyFill="1" applyBorder="1" applyAlignment="1">
      <alignment horizontal="right" vertical="center"/>
    </xf>
    <xf numFmtId="0" fontId="40" fillId="0" borderId="37" xfId="0" applyFont="1" applyAlignment="1">
      <alignment vertical="center"/>
    </xf>
    <xf numFmtId="0" fontId="36" fillId="49" borderId="37" xfId="0" applyFont="1" applyFill="1" applyAlignment="1">
      <alignment horizontal="left" vertical="center" indent="1"/>
    </xf>
    <xf numFmtId="0" fontId="36" fillId="49" borderId="37" xfId="0" applyFont="1" applyFill="1" applyAlignment="1">
      <alignment vertical="center"/>
    </xf>
    <xf numFmtId="0" fontId="56" fillId="44" borderId="52" xfId="0" applyFont="1" applyFill="1" applyBorder="1" applyAlignment="1">
      <alignment horizontal="center" vertical="center"/>
    </xf>
    <xf numFmtId="0" fontId="57" fillId="56" borderId="33" xfId="0" applyFont="1" applyFill="1" applyBorder="1" applyAlignment="1">
      <alignment horizontal="left" vertical="center" wrapText="1" indent="1"/>
    </xf>
    <xf numFmtId="0" fontId="57" fillId="56" borderId="33" xfId="0" applyFont="1" applyFill="1" applyBorder="1" applyAlignment="1">
      <alignment horizontal="right" vertical="center" wrapText="1" indent="1"/>
    </xf>
    <xf numFmtId="0" fontId="57" fillId="56" borderId="50" xfId="0" applyFont="1" applyFill="1" applyBorder="1" applyAlignment="1">
      <alignment horizontal="right" vertical="center" wrapText="1" indent="1"/>
    </xf>
    <xf numFmtId="0" fontId="40" fillId="0" borderId="0" xfId="0" applyFont="1" applyBorder="1" applyAlignment="1">
      <alignment vertical="center"/>
    </xf>
    <xf numFmtId="0" fontId="40" fillId="51" borderId="33" xfId="0" applyFont="1" applyFill="1" applyBorder="1" applyAlignment="1">
      <alignment horizontal="left" vertical="center" indent="1"/>
    </xf>
    <xf numFmtId="180" fontId="40" fillId="51" borderId="33" xfId="0" applyNumberFormat="1" applyFont="1" applyFill="1" applyBorder="1" applyAlignment="1">
      <alignment horizontal="right" vertical="center"/>
    </xf>
    <xf numFmtId="49" fontId="40" fillId="51" borderId="38" xfId="0" applyNumberFormat="1" applyFont="1" applyFill="1" applyBorder="1" applyAlignment="1">
      <alignment horizontal="right" vertical="center"/>
    </xf>
    <xf numFmtId="181" fontId="40" fillId="51" borderId="38" xfId="0" applyNumberFormat="1" applyFont="1" applyFill="1" applyBorder="1" applyAlignment="1">
      <alignment horizontal="right" vertical="center"/>
    </xf>
    <xf numFmtId="0" fontId="42" fillId="44" borderId="52" xfId="0" applyFont="1" applyFill="1" applyBorder="1" applyAlignment="1">
      <alignment horizontal="left" vertical="center" indent="1"/>
    </xf>
    <xf numFmtId="0" fontId="42" fillId="44" borderId="52" xfId="0" applyFont="1" applyFill="1" applyBorder="1" applyAlignment="1">
      <alignment vertical="center"/>
    </xf>
    <xf numFmtId="0" fontId="52" fillId="57" borderId="42" xfId="0" applyFont="1" applyFill="1" applyBorder="1" applyAlignment="1">
      <alignment horizontal="left" vertical="center" wrapText="1" indent="1"/>
    </xf>
    <xf numFmtId="0" fontId="49" fillId="51" borderId="41" xfId="0" applyFont="1" applyFill="1" applyBorder="1" applyAlignment="1">
      <alignment horizontal="left" vertical="center" indent="1"/>
    </xf>
    <xf numFmtId="0" fontId="49" fillId="51" borderId="41" xfId="0" applyFont="1" applyFill="1" applyBorder="1" applyAlignment="1">
      <alignment vertical="center"/>
    </xf>
    <xf numFmtId="0" fontId="52" fillId="51" borderId="41" xfId="0" applyFont="1" applyFill="1" applyBorder="1" applyAlignment="1">
      <alignment horizontal="center" vertical="center"/>
    </xf>
    <xf numFmtId="0" fontId="49" fillId="51" borderId="42" xfId="0" applyFont="1" applyFill="1" applyBorder="1" applyAlignment="1">
      <alignment horizontal="left" vertical="center" indent="1"/>
    </xf>
    <xf numFmtId="0" fontId="49" fillId="51" borderId="42" xfId="0" applyFont="1" applyFill="1" applyBorder="1" applyAlignment="1">
      <alignment vertical="center"/>
    </xf>
    <xf numFmtId="0" fontId="52" fillId="51" borderId="42" xfId="0" applyFont="1" applyFill="1" applyBorder="1" applyAlignment="1">
      <alignment horizontal="center" vertical="center"/>
    </xf>
    <xf numFmtId="0" fontId="49" fillId="59" borderId="37" xfId="0" applyFont="1" applyFill="1" applyAlignment="1">
      <alignment horizontal="left" vertical="center"/>
    </xf>
    <xf numFmtId="0" fontId="59" fillId="49" borderId="43" xfId="0" applyFont="1" applyFill="1" applyBorder="1" applyAlignment="1">
      <alignment horizontal="left" vertical="center" indent="1"/>
    </xf>
    <xf numFmtId="0" fontId="40" fillId="49" borderId="44" xfId="0" applyFont="1" applyFill="1" applyBorder="1" applyAlignment="1">
      <alignment horizontal="left" vertical="center"/>
    </xf>
    <xf numFmtId="0" fontId="40" fillId="58" borderId="44" xfId="0" applyFont="1" applyFill="1" applyBorder="1" applyAlignment="1">
      <alignment horizontal="left" vertical="center"/>
    </xf>
    <xf numFmtId="0" fontId="60" fillId="49" borderId="48" xfId="0" applyFont="1" applyFill="1" applyBorder="1" applyAlignment="1">
      <alignment horizontal="right" vertical="center"/>
    </xf>
    <xf numFmtId="0" fontId="54" fillId="49" borderId="48" xfId="0" applyFont="1" applyFill="1" applyBorder="1" applyAlignment="1">
      <alignment horizontal="left" vertical="center" indent="1"/>
    </xf>
    <xf numFmtId="0" fontId="40" fillId="58" borderId="37" xfId="0" applyFont="1" applyFill="1" applyAlignment="1">
      <alignment horizontal="left" vertical="center"/>
    </xf>
    <xf numFmtId="0" fontId="40" fillId="58" borderId="51" xfId="0" applyFont="1" applyFill="1" applyBorder="1" applyAlignment="1">
      <alignment horizontal="left" vertical="center"/>
    </xf>
    <xf numFmtId="0" fontId="56" fillId="0" borderId="37" xfId="0" applyFont="1" applyAlignment="1">
      <alignment horizontal="left" vertical="center" indent="1"/>
    </xf>
    <xf numFmtId="180" fontId="55" fillId="58" borderId="37" xfId="0" applyNumberFormat="1" applyFont="1" applyFill="1" applyAlignment="1">
      <alignment horizontal="right" vertical="center" indent="1" shrinkToFit="1"/>
    </xf>
    <xf numFmtId="0" fontId="64" fillId="51" borderId="38" xfId="0" applyFont="1" applyFill="1" applyBorder="1" applyAlignment="1">
      <alignment horizontal="left" vertical="center" wrapText="1" indent="1"/>
    </xf>
    <xf numFmtId="180" fontId="65" fillId="51" borderId="38" xfId="0" applyNumberFormat="1" applyFont="1" applyFill="1" applyBorder="1" applyAlignment="1">
      <alignment horizontal="right" vertical="center" wrapText="1"/>
    </xf>
    <xf numFmtId="0" fontId="64" fillId="51" borderId="33" xfId="0" applyFont="1" applyFill="1" applyBorder="1" applyAlignment="1">
      <alignment horizontal="left" vertical="center" wrapText="1"/>
    </xf>
    <xf numFmtId="180" fontId="65" fillId="51" borderId="33" xfId="0" applyNumberFormat="1" applyFont="1" applyFill="1" applyBorder="1" applyAlignment="1">
      <alignment horizontal="right" vertical="center" wrapText="1"/>
    </xf>
    <xf numFmtId="0" fontId="66" fillId="50" borderId="40" xfId="0" applyFont="1" applyFill="1" applyBorder="1" applyAlignment="1">
      <alignment vertical="center" wrapText="1"/>
    </xf>
    <xf numFmtId="0" fontId="66" fillId="51" borderId="38" xfId="0" applyFont="1" applyFill="1" applyBorder="1" applyAlignment="1">
      <alignment vertical="center" wrapText="1"/>
    </xf>
    <xf numFmtId="0" fontId="66" fillId="51" borderId="33" xfId="0" applyFont="1" applyFill="1" applyBorder="1" applyAlignment="1">
      <alignment vertical="center" wrapText="1"/>
    </xf>
    <xf numFmtId="0" fontId="33" fillId="60" borderId="54" xfId="0" applyFont="1" applyFill="1" applyBorder="1"/>
    <xf numFmtId="0" fontId="33" fillId="60" borderId="55" xfId="0" applyFont="1" applyFill="1" applyBorder="1"/>
    <xf numFmtId="164" fontId="33" fillId="60" borderId="55" xfId="0" applyNumberFormat="1" applyFont="1" applyFill="1" applyBorder="1"/>
    <xf numFmtId="0" fontId="33" fillId="60" borderId="56" xfId="0" applyFont="1" applyFill="1" applyBorder="1"/>
    <xf numFmtId="14" fontId="67" fillId="55" borderId="1" xfId="0" applyNumberFormat="1" applyFont="1" applyFill="1" applyBorder="1" applyAlignment="1" applyProtection="1">
      <alignment horizontal="center" vertical="center"/>
      <protection locked="0"/>
    </xf>
    <xf numFmtId="14" fontId="67" fillId="2" borderId="1" xfId="0" applyNumberFormat="1" applyFont="1" applyFill="1" applyBorder="1" applyAlignment="1" applyProtection="1">
      <alignment horizontal="center" vertical="center"/>
      <protection locked="0"/>
    </xf>
    <xf numFmtId="0" fontId="6" fillId="47" borderId="3" xfId="0" applyFont="1" applyFill="1" applyBorder="1" applyAlignment="1">
      <alignment horizontal="center" vertical="center"/>
    </xf>
    <xf numFmtId="0" fontId="67" fillId="2" borderId="59" xfId="0" applyFont="1" applyFill="1" applyBorder="1" applyProtection="1">
      <protection locked="0"/>
    </xf>
    <xf numFmtId="0" fontId="67" fillId="2" borderId="60" xfId="0" applyFont="1" applyFill="1" applyBorder="1" applyProtection="1">
      <protection locked="0"/>
    </xf>
    <xf numFmtId="0" fontId="6" fillId="17" borderId="61" xfId="0" applyFont="1" applyFill="1" applyBorder="1" applyAlignment="1">
      <alignment horizontal="center" vertical="center"/>
    </xf>
    <xf numFmtId="0" fontId="6" fillId="47" borderId="62" xfId="0" applyFont="1" applyFill="1" applyBorder="1" applyAlignment="1">
      <alignment horizontal="center" vertical="center"/>
    </xf>
    <xf numFmtId="0" fontId="67" fillId="0" borderId="0" xfId="0" applyFont="1" applyBorder="1" applyAlignment="1">
      <alignment vertical="center" wrapText="1"/>
    </xf>
    <xf numFmtId="177" fontId="40" fillId="0" borderId="0" xfId="0" applyNumberFormat="1" applyFont="1" applyBorder="1"/>
    <xf numFmtId="0" fontId="68" fillId="49" borderId="44" xfId="0" applyFont="1" applyFill="1" applyBorder="1" applyAlignment="1">
      <alignment horizontal="center" vertical="center"/>
    </xf>
    <xf numFmtId="0" fontId="64" fillId="58" borderId="43" xfId="0" applyFont="1" applyFill="1" applyBorder="1" applyAlignment="1">
      <alignment horizontal="left" vertical="center" indent="1"/>
    </xf>
    <xf numFmtId="0" fontId="52" fillId="58" borderId="44" xfId="0" applyFont="1" applyFill="1" applyBorder="1" applyAlignment="1">
      <alignment horizontal="center" vertical="center"/>
    </xf>
    <xf numFmtId="0" fontId="52" fillId="58" borderId="45" xfId="0" applyFont="1" applyFill="1" applyBorder="1" applyAlignment="1">
      <alignment horizontal="center" vertical="center"/>
    </xf>
    <xf numFmtId="0" fontId="68" fillId="49" borderId="37" xfId="0" applyFont="1" applyFill="1" applyAlignment="1">
      <alignment horizontal="left" vertical="center"/>
    </xf>
    <xf numFmtId="0" fontId="66" fillId="58" borderId="37" xfId="0" applyFont="1" applyFill="1" applyAlignment="1">
      <alignment horizontal="left" vertical="center" indent="1"/>
    </xf>
    <xf numFmtId="0" fontId="66" fillId="58" borderId="48" xfId="0" applyFont="1" applyFill="1" applyBorder="1" applyAlignment="1">
      <alignment horizontal="left" vertical="center" indent="1"/>
    </xf>
    <xf numFmtId="0" fontId="49" fillId="44" borderId="38" xfId="0" applyFont="1" applyFill="1" applyBorder="1" applyAlignment="1">
      <alignment horizontal="left" vertical="center" indent="1"/>
    </xf>
    <xf numFmtId="180" fontId="49" fillId="44" borderId="38" xfId="0" applyNumberFormat="1" applyFont="1" applyFill="1" applyBorder="1" applyAlignment="1">
      <alignment horizontal="right" vertical="center"/>
    </xf>
    <xf numFmtId="177" fontId="69" fillId="0" borderId="37" xfId="0" applyNumberFormat="1" applyFont="1" applyAlignment="1">
      <alignment vertical="top"/>
    </xf>
    <xf numFmtId="0" fontId="69" fillId="44" borderId="52" xfId="0" applyFont="1" applyFill="1" applyBorder="1" applyAlignment="1">
      <alignment horizontal="left" vertical="center"/>
    </xf>
    <xf numFmtId="0" fontId="70" fillId="62" borderId="20" xfId="0" applyFont="1" applyFill="1" applyBorder="1" applyAlignment="1" applyProtection="1">
      <alignment horizontal="center" vertical="center"/>
      <protection locked="0"/>
    </xf>
    <xf numFmtId="180" fontId="41" fillId="49" borderId="37" xfId="0" applyNumberFormat="1" applyFont="1" applyFill="1" applyAlignment="1">
      <alignment horizontal="right" vertical="center" indent="1"/>
    </xf>
    <xf numFmtId="172" fontId="22" fillId="28" borderId="18" xfId="0" applyNumberFormat="1" applyFont="1" applyFill="1" applyBorder="1" applyAlignment="1">
      <alignment vertical="center"/>
    </xf>
    <xf numFmtId="172" fontId="31" fillId="28" borderId="18" xfId="0" applyNumberFormat="1" applyFont="1" applyFill="1" applyBorder="1" applyAlignment="1">
      <alignment vertical="center"/>
    </xf>
    <xf numFmtId="172" fontId="22" fillId="0" borderId="18" xfId="0" applyNumberFormat="1" applyFont="1" applyBorder="1" applyAlignment="1">
      <alignment vertical="center"/>
    </xf>
    <xf numFmtId="171" fontId="3" fillId="2" borderId="1" xfId="0" applyNumberFormat="1" applyFont="1" applyFill="1" applyBorder="1" applyProtection="1">
      <protection locked="0"/>
    </xf>
    <xf numFmtId="0" fontId="71" fillId="51" borderId="3" xfId="0" applyFont="1" applyFill="1" applyBorder="1" applyAlignment="1">
      <alignment horizontal="left" indent="1"/>
    </xf>
    <xf numFmtId="0" fontId="8" fillId="52" borderId="3" xfId="0" applyFont="1" applyFill="1" applyBorder="1" applyAlignment="1">
      <alignment vertical="center" wrapText="1"/>
    </xf>
    <xf numFmtId="0" fontId="71" fillId="51" borderId="3" xfId="0" applyFont="1" applyFill="1" applyBorder="1" applyAlignment="1">
      <alignment horizontal="center"/>
    </xf>
    <xf numFmtId="0" fontId="49" fillId="51" borderId="3" xfId="0" applyFont="1" applyFill="1" applyBorder="1" applyAlignment="1">
      <alignment horizontal="center" wrapText="1"/>
    </xf>
    <xf numFmtId="0" fontId="8" fillId="52" borderId="3" xfId="0" applyFont="1" applyFill="1" applyBorder="1" applyAlignment="1">
      <alignment vertical="center"/>
    </xf>
    <xf numFmtId="0" fontId="8" fillId="52" borderId="3" xfId="0" applyFont="1" applyFill="1" applyBorder="1" applyAlignment="1">
      <alignment horizontal="right" vertical="center"/>
    </xf>
    <xf numFmtId="0" fontId="71" fillId="51" borderId="3" xfId="0" applyFont="1" applyFill="1" applyBorder="1" applyAlignment="1">
      <alignment horizontal="left"/>
    </xf>
    <xf numFmtId="0" fontId="72" fillId="51" borderId="3" xfId="0" applyFont="1" applyFill="1" applyBorder="1" applyAlignment="1">
      <alignment horizontal="left" wrapText="1"/>
    </xf>
    <xf numFmtId="0" fontId="57" fillId="49" borderId="3" xfId="0" applyFont="1" applyFill="1" applyBorder="1" applyAlignment="1">
      <alignment horizontal="left" wrapText="1"/>
    </xf>
    <xf numFmtId="0" fontId="36" fillId="49" borderId="3" xfId="0" applyFont="1" applyFill="1" applyBorder="1"/>
    <xf numFmtId="0" fontId="49" fillId="44" borderId="3" xfId="0" applyFont="1" applyFill="1" applyBorder="1" applyAlignment="1">
      <alignment horizontal="left" wrapText="1"/>
    </xf>
    <xf numFmtId="0" fontId="49" fillId="44" borderId="3" xfId="0" applyFont="1" applyFill="1" applyBorder="1"/>
    <xf numFmtId="180" fontId="71" fillId="51" borderId="3" xfId="0" applyNumberFormat="1" applyFont="1" applyFill="1" applyBorder="1" applyAlignment="1">
      <alignment horizontal="right"/>
    </xf>
    <xf numFmtId="180" fontId="8" fillId="51" borderId="3" xfId="0" applyNumberFormat="1" applyFont="1" applyFill="1" applyBorder="1" applyAlignment="1">
      <alignment horizontal="right"/>
    </xf>
    <xf numFmtId="180" fontId="36" fillId="49" borderId="3" xfId="0" applyNumberFormat="1" applyFont="1" applyFill="1" applyBorder="1" applyAlignment="1">
      <alignment horizontal="right"/>
    </xf>
    <xf numFmtId="180" fontId="49" fillId="44" borderId="3" xfId="0" applyNumberFormat="1" applyFont="1" applyFill="1" applyBorder="1" applyAlignment="1">
      <alignment horizontal="right"/>
    </xf>
    <xf numFmtId="0" fontId="77" fillId="52" borderId="3" xfId="0" applyFont="1" applyFill="1" applyBorder="1" applyAlignment="1">
      <alignment horizontal="center" vertical="center" wrapText="1"/>
    </xf>
    <xf numFmtId="0" fontId="22" fillId="28" borderId="22" xfId="0" applyFont="1" applyFill="1" applyBorder="1" applyAlignment="1">
      <alignment horizontal="center" vertical="center" wrapText="1"/>
    </xf>
    <xf numFmtId="164" fontId="40" fillId="48" borderId="65" xfId="0" applyNumberFormat="1" applyFont="1" applyFill="1" applyBorder="1" applyAlignment="1">
      <alignment horizontal="center" vertical="center" wrapText="1"/>
    </xf>
    <xf numFmtId="164" fontId="40" fillId="48" borderId="9" xfId="0" applyNumberFormat="1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 wrapText="1"/>
    </xf>
    <xf numFmtId="3" fontId="20" fillId="9" borderId="3" xfId="0" applyNumberFormat="1" applyFont="1" applyFill="1" applyBorder="1" applyAlignment="1">
      <alignment horizontal="center" vertical="center" wrapText="1"/>
    </xf>
    <xf numFmtId="180" fontId="20" fillId="9" borderId="3" xfId="0" applyNumberFormat="1" applyFont="1" applyFill="1" applyBorder="1" applyAlignment="1">
      <alignment horizontal="right" vertical="center" wrapText="1"/>
    </xf>
    <xf numFmtId="0" fontId="14" fillId="0" borderId="3" xfId="0" applyFont="1" applyBorder="1" applyAlignment="1">
      <alignment horizontal="center"/>
    </xf>
    <xf numFmtId="180" fontId="14" fillId="0" borderId="3" xfId="0" applyNumberFormat="1" applyFont="1" applyBorder="1" applyAlignment="1">
      <alignment horizontal="right"/>
    </xf>
    <xf numFmtId="0" fontId="77" fillId="52" borderId="3" xfId="0" applyFont="1" applyFill="1" applyBorder="1" applyAlignment="1">
      <alignment horizontal="left" vertical="center" wrapText="1"/>
    </xf>
    <xf numFmtId="0" fontId="77" fillId="52" borderId="3" xfId="0" applyFont="1" applyFill="1" applyBorder="1" applyAlignment="1">
      <alignment horizontal="right" vertical="center" wrapText="1"/>
    </xf>
    <xf numFmtId="0" fontId="40" fillId="0" borderId="37" xfId="0" applyFont="1"/>
    <xf numFmtId="0" fontId="71" fillId="51" borderId="67" xfId="0" applyFont="1" applyFill="1" applyBorder="1" applyAlignment="1">
      <alignment horizontal="center"/>
    </xf>
    <xf numFmtId="180" fontId="71" fillId="51" borderId="67" xfId="0" applyNumberFormat="1" applyFont="1" applyFill="1" applyBorder="1" applyAlignment="1">
      <alignment horizontal="right"/>
    </xf>
    <xf numFmtId="0" fontId="49" fillId="51" borderId="67" xfId="0" applyFont="1" applyFill="1" applyBorder="1" applyAlignment="1">
      <alignment horizontal="center" wrapText="1"/>
    </xf>
    <xf numFmtId="0" fontId="71" fillId="0" borderId="37" xfId="0" applyFont="1" applyAlignment="1">
      <alignment horizontal="left" vertical="center"/>
    </xf>
    <xf numFmtId="0" fontId="73" fillId="0" borderId="37" xfId="0" applyFont="1"/>
    <xf numFmtId="180" fontId="0" fillId="0" borderId="0" xfId="0" applyNumberFormat="1" applyBorder="1"/>
    <xf numFmtId="0" fontId="16" fillId="63" borderId="67" xfId="0" applyFont="1" applyFill="1" applyBorder="1" applyAlignment="1">
      <alignment horizontal="center"/>
    </xf>
    <xf numFmtId="180" fontId="16" fillId="63" borderId="67" xfId="0" applyNumberFormat="1" applyFont="1" applyFill="1" applyBorder="1" applyAlignment="1">
      <alignment horizontal="right"/>
    </xf>
    <xf numFmtId="0" fontId="78" fillId="0" borderId="37" xfId="0" applyFont="1" applyAlignment="1">
      <alignment horizontal="left" vertical="center"/>
    </xf>
    <xf numFmtId="180" fontId="78" fillId="0" borderId="37" xfId="0" applyNumberFormat="1" applyFont="1" applyAlignment="1">
      <alignment horizontal="right" vertical="center"/>
    </xf>
    <xf numFmtId="0" fontId="77" fillId="0" borderId="37" xfId="0" applyFont="1" applyAlignment="1">
      <alignment horizontal="left" vertical="center"/>
    </xf>
    <xf numFmtId="180" fontId="77" fillId="0" borderId="37" xfId="0" applyNumberFormat="1" applyFont="1" applyAlignment="1">
      <alignment horizontal="right" vertical="center"/>
    </xf>
    <xf numFmtId="0" fontId="8" fillId="51" borderId="3" xfId="0" applyFont="1" applyFill="1" applyBorder="1" applyAlignment="1">
      <alignment horizontal="right"/>
    </xf>
    <xf numFmtId="182" fontId="0" fillId="0" borderId="0" xfId="0" applyNumberFormat="1" applyBorder="1"/>
    <xf numFmtId="0" fontId="10" fillId="63" borderId="67" xfId="0" applyFont="1" applyFill="1" applyBorder="1" applyAlignment="1">
      <alignment horizontal="center" vertical="center" wrapText="1"/>
    </xf>
    <xf numFmtId="3" fontId="10" fillId="63" borderId="67" xfId="0" applyNumberFormat="1" applyFont="1" applyFill="1" applyBorder="1" applyAlignment="1">
      <alignment horizontal="center" vertical="center" wrapText="1"/>
    </xf>
    <xf numFmtId="180" fontId="10" fillId="63" borderId="67" xfId="0" applyNumberFormat="1" applyFont="1" applyFill="1" applyBorder="1" applyAlignment="1">
      <alignment horizontal="right" vertical="center" wrapText="1"/>
    </xf>
    <xf numFmtId="0" fontId="8" fillId="52" borderId="71" xfId="0" applyFont="1" applyFill="1" applyBorder="1" applyAlignment="1">
      <alignment horizontal="center"/>
    </xf>
    <xf numFmtId="3" fontId="8" fillId="52" borderId="71" xfId="0" applyNumberFormat="1" applyFont="1" applyFill="1" applyBorder="1" applyAlignment="1">
      <alignment horizontal="center"/>
    </xf>
    <xf numFmtId="180" fontId="8" fillId="52" borderId="71" xfId="0" applyNumberFormat="1" applyFont="1" applyFill="1" applyBorder="1" applyAlignment="1">
      <alignment horizontal="right"/>
    </xf>
    <xf numFmtId="3" fontId="8" fillId="52" borderId="71" xfId="0" applyNumberFormat="1" applyFont="1" applyFill="1" applyBorder="1"/>
    <xf numFmtId="0" fontId="16" fillId="63" borderId="67" xfId="0" applyFont="1" applyFill="1" applyBorder="1" applyAlignment="1">
      <alignment horizontal="center" vertical="center" wrapText="1"/>
    </xf>
    <xf numFmtId="0" fontId="8" fillId="52" borderId="72" xfId="0" applyFont="1" applyFill="1" applyBorder="1" applyAlignment="1">
      <alignment horizontal="center"/>
    </xf>
    <xf numFmtId="180" fontId="8" fillId="52" borderId="72" xfId="0" applyNumberFormat="1" applyFont="1" applyFill="1" applyBorder="1" applyAlignment="1">
      <alignment horizontal="right"/>
    </xf>
    <xf numFmtId="180" fontId="80" fillId="64" borderId="71" xfId="0" applyNumberFormat="1" applyFont="1" applyFill="1" applyBorder="1" applyAlignment="1">
      <alignment horizontal="right"/>
    </xf>
    <xf numFmtId="180" fontId="80" fillId="64" borderId="72" xfId="0" applyNumberFormat="1" applyFont="1" applyFill="1" applyBorder="1" applyAlignment="1">
      <alignment horizontal="right"/>
    </xf>
    <xf numFmtId="0" fontId="33" fillId="0" borderId="0" xfId="0" applyFont="1" applyBorder="1"/>
    <xf numFmtId="184" fontId="0" fillId="0" borderId="0" xfId="0" applyNumberFormat="1" applyBorder="1"/>
    <xf numFmtId="185" fontId="0" fillId="0" borderId="0" xfId="0" applyNumberFormat="1" applyBorder="1"/>
    <xf numFmtId="0" fontId="91" fillId="0" borderId="2" xfId="0" applyFont="1" applyBorder="1"/>
    <xf numFmtId="0" fontId="92" fillId="0" borderId="2" xfId="0" applyFont="1" applyBorder="1"/>
    <xf numFmtId="0" fontId="89" fillId="74" borderId="6" xfId="0" applyFont="1" applyFill="1" applyBorder="1" applyAlignment="1">
      <alignment horizontal="center" vertical="center" wrapText="1"/>
    </xf>
    <xf numFmtId="0" fontId="89" fillId="67" borderId="6" xfId="0" applyFont="1" applyFill="1" applyBorder="1" applyAlignment="1">
      <alignment horizontal="center" vertical="center" wrapText="1"/>
    </xf>
    <xf numFmtId="0" fontId="89" fillId="14" borderId="6" xfId="0" applyFont="1" applyFill="1" applyBorder="1" applyAlignment="1">
      <alignment horizontal="center" vertical="center" wrapText="1"/>
    </xf>
    <xf numFmtId="49" fontId="0" fillId="39" borderId="18" xfId="0" applyNumberFormat="1" applyFill="1" applyBorder="1" applyAlignment="1" applyProtection="1">
      <alignment horizontal="left"/>
      <protection locked="0"/>
    </xf>
    <xf numFmtId="14" fontId="6" fillId="9" borderId="31" xfId="0" applyNumberFormat="1" applyFont="1" applyFill="1" applyBorder="1" applyProtection="1">
      <protection locked="0"/>
    </xf>
    <xf numFmtId="164" fontId="6" fillId="9" borderId="18" xfId="0" applyNumberFormat="1" applyFont="1" applyFill="1" applyBorder="1" applyProtection="1">
      <protection locked="0"/>
    </xf>
    <xf numFmtId="0" fontId="6" fillId="9" borderId="18" xfId="0" applyFont="1" applyFill="1" applyBorder="1" applyAlignment="1" applyProtection="1">
      <alignment horizontal="center" vertical="center" wrapText="1"/>
      <protection locked="0"/>
    </xf>
    <xf numFmtId="0" fontId="90" fillId="74" borderId="3" xfId="0" applyFont="1" applyFill="1" applyBorder="1" applyAlignment="1">
      <alignment horizontal="center" vertical="center" wrapText="1"/>
    </xf>
    <xf numFmtId="0" fontId="90" fillId="67" borderId="3" xfId="0" applyFont="1" applyFill="1" applyBorder="1" applyAlignment="1">
      <alignment horizontal="center" vertical="center" wrapText="1"/>
    </xf>
    <xf numFmtId="0" fontId="90" fillId="14" borderId="3" xfId="0" applyFont="1" applyFill="1" applyBorder="1" applyAlignment="1">
      <alignment horizontal="center" vertical="center" wrapText="1"/>
    </xf>
    <xf numFmtId="180" fontId="20" fillId="74" borderId="3" xfId="0" applyNumberFormat="1" applyFont="1" applyFill="1" applyBorder="1" applyAlignment="1">
      <alignment horizontal="right" vertical="center" wrapText="1"/>
    </xf>
    <xf numFmtId="180" fontId="20" fillId="67" borderId="3" xfId="0" applyNumberFormat="1" applyFont="1" applyFill="1" applyBorder="1" applyAlignment="1">
      <alignment horizontal="right" vertical="center" wrapText="1"/>
    </xf>
    <xf numFmtId="180" fontId="20" fillId="14" borderId="3" xfId="0" applyNumberFormat="1" applyFont="1" applyFill="1" applyBorder="1" applyAlignment="1">
      <alignment horizontal="right" vertical="center" wrapText="1"/>
    </xf>
    <xf numFmtId="180" fontId="10" fillId="74" borderId="67" xfId="0" applyNumberFormat="1" applyFont="1" applyFill="1" applyBorder="1" applyAlignment="1">
      <alignment horizontal="right" vertical="center" wrapText="1"/>
    </xf>
    <xf numFmtId="180" fontId="10" fillId="67" borderId="67" xfId="0" applyNumberFormat="1" applyFont="1" applyFill="1" applyBorder="1" applyAlignment="1">
      <alignment horizontal="right" vertical="center" wrapText="1"/>
    </xf>
    <xf numFmtId="180" fontId="10" fillId="14" borderId="67" xfId="0" applyNumberFormat="1" applyFont="1" applyFill="1" applyBorder="1" applyAlignment="1">
      <alignment horizontal="right" vertical="center" wrapText="1"/>
    </xf>
    <xf numFmtId="180" fontId="14" fillId="74" borderId="3" xfId="0" applyNumberFormat="1" applyFont="1" applyFill="1" applyBorder="1" applyAlignment="1">
      <alignment horizontal="right"/>
    </xf>
    <xf numFmtId="180" fontId="14" fillId="67" borderId="3" xfId="0" applyNumberFormat="1" applyFont="1" applyFill="1" applyBorder="1" applyAlignment="1">
      <alignment horizontal="right"/>
    </xf>
    <xf numFmtId="180" fontId="14" fillId="14" borderId="3" xfId="0" applyNumberFormat="1" applyFont="1" applyFill="1" applyBorder="1" applyAlignment="1">
      <alignment horizontal="right"/>
    </xf>
    <xf numFmtId="180" fontId="16" fillId="74" borderId="67" xfId="0" applyNumberFormat="1" applyFont="1" applyFill="1" applyBorder="1" applyAlignment="1">
      <alignment horizontal="right"/>
    </xf>
    <xf numFmtId="180" fontId="16" fillId="67" borderId="67" xfId="0" applyNumberFormat="1" applyFont="1" applyFill="1" applyBorder="1" applyAlignment="1">
      <alignment horizontal="right"/>
    </xf>
    <xf numFmtId="180" fontId="16" fillId="14" borderId="67" xfId="0" applyNumberFormat="1" applyFont="1" applyFill="1" applyBorder="1" applyAlignment="1">
      <alignment horizontal="right"/>
    </xf>
    <xf numFmtId="0" fontId="82" fillId="66" borderId="87" xfId="0" applyFont="1" applyFill="1" applyBorder="1" applyAlignment="1">
      <alignment horizontal="center" vertical="center" wrapText="1"/>
    </xf>
    <xf numFmtId="0" fontId="83" fillId="67" borderId="87" xfId="0" applyFont="1" applyFill="1" applyBorder="1" applyAlignment="1">
      <alignment horizontal="center" vertical="center"/>
    </xf>
    <xf numFmtId="0" fontId="82" fillId="65" borderId="87" xfId="0" applyFont="1" applyFill="1" applyBorder="1" applyAlignment="1">
      <alignment horizontal="center" vertical="center" wrapText="1"/>
    </xf>
    <xf numFmtId="0" fontId="82" fillId="70" borderId="87" xfId="0" applyFont="1" applyFill="1" applyBorder="1" applyAlignment="1">
      <alignment horizontal="center" vertical="center" wrapText="1"/>
    </xf>
    <xf numFmtId="0" fontId="82" fillId="69" borderId="87" xfId="0" applyFont="1" applyFill="1" applyBorder="1" applyAlignment="1">
      <alignment horizontal="center" vertical="center" wrapText="1"/>
    </xf>
    <xf numFmtId="0" fontId="88" fillId="67" borderId="87" xfId="0" applyFont="1" applyFill="1" applyBorder="1" applyAlignment="1">
      <alignment horizontal="left" vertical="center"/>
    </xf>
    <xf numFmtId="4" fontId="88" fillId="71" borderId="87" xfId="0" applyNumberFormat="1" applyFont="1" applyFill="1" applyBorder="1" applyAlignment="1">
      <alignment horizontal="right" vertical="center"/>
    </xf>
    <xf numFmtId="4" fontId="88" fillId="72" borderId="90" xfId="0" applyNumberFormat="1" applyFont="1" applyFill="1" applyBorder="1" applyAlignment="1" applyProtection="1">
      <alignment horizontal="right" vertical="center"/>
      <protection locked="0"/>
    </xf>
    <xf numFmtId="164" fontId="88" fillId="73" borderId="87" xfId="0" applyNumberFormat="1" applyFont="1" applyFill="1" applyBorder="1" applyAlignment="1">
      <alignment horizontal="right" vertical="center"/>
    </xf>
    <xf numFmtId="186" fontId="0" fillId="0" borderId="0" xfId="0" applyNumberFormat="1" applyBorder="1"/>
    <xf numFmtId="0" fontId="7" fillId="0" borderId="36" xfId="0" applyFont="1" applyBorder="1"/>
    <xf numFmtId="0" fontId="0" fillId="0" borderId="8" xfId="0" applyBorder="1"/>
    <xf numFmtId="0" fontId="0" fillId="0" borderId="9" xfId="0" applyBorder="1"/>
    <xf numFmtId="0" fontId="36" fillId="49" borderId="30" xfId="0" applyFont="1" applyFill="1" applyBorder="1" applyAlignment="1">
      <alignment horizontal="left" vertical="center"/>
    </xf>
    <xf numFmtId="0" fontId="0" fillId="0" borderId="0" xfId="0" applyBorder="1"/>
    <xf numFmtId="0" fontId="0" fillId="0" borderId="66" xfId="0" applyBorder="1"/>
    <xf numFmtId="0" fontId="72" fillId="63" borderId="36" xfId="0" applyFont="1" applyFill="1" applyBorder="1" applyAlignment="1">
      <alignment horizontal="left" vertical="center" wrapText="1"/>
    </xf>
    <xf numFmtId="0" fontId="36" fillId="49" borderId="74" xfId="0" applyFont="1" applyFill="1" applyBorder="1" applyAlignment="1">
      <alignment horizontal="left" vertical="center" wrapText="1"/>
    </xf>
    <xf numFmtId="0" fontId="0" fillId="0" borderId="68" xfId="0" applyBorder="1"/>
    <xf numFmtId="0" fontId="0" fillId="0" borderId="69" xfId="0" applyBorder="1"/>
    <xf numFmtId="0" fontId="77" fillId="52" borderId="71" xfId="0" applyFont="1" applyFill="1" applyBorder="1" applyAlignment="1">
      <alignment horizontal="left" vertical="center" wrapText="1"/>
    </xf>
    <xf numFmtId="0" fontId="0" fillId="0" borderId="75" xfId="0" applyBorder="1"/>
    <xf numFmtId="0" fontId="0" fillId="0" borderId="76" xfId="0" applyBorder="1"/>
    <xf numFmtId="182" fontId="79" fillId="52" borderId="71" xfId="0" applyNumberFormat="1" applyFont="1" applyFill="1" applyBorder="1" applyAlignment="1">
      <alignment horizontal="right" vertical="center" wrapText="1"/>
    </xf>
    <xf numFmtId="0" fontId="36" fillId="49" borderId="73" xfId="0" applyFont="1" applyFill="1" applyBorder="1" applyAlignment="1">
      <alignment horizontal="left" vertical="center"/>
    </xf>
    <xf numFmtId="0" fontId="0" fillId="0" borderId="70" xfId="0" applyBorder="1"/>
    <xf numFmtId="14" fontId="83" fillId="67" borderId="87" xfId="0" applyNumberFormat="1" applyFont="1" applyFill="1" applyBorder="1" applyAlignment="1">
      <alignment horizontal="center" vertical="center"/>
    </xf>
    <xf numFmtId="0" fontId="0" fillId="0" borderId="91" xfId="0" applyBorder="1"/>
    <xf numFmtId="0" fontId="81" fillId="65" borderId="86" xfId="0" applyFont="1" applyFill="1" applyBorder="1" applyAlignment="1">
      <alignment horizontal="center" vertical="center"/>
    </xf>
    <xf numFmtId="0" fontId="0" fillId="0" borderId="92" xfId="0" applyBorder="1"/>
    <xf numFmtId="0" fontId="0" fillId="0" borderId="93" xfId="0" applyBorder="1"/>
    <xf numFmtId="0" fontId="87" fillId="9" borderId="87" xfId="0" applyFont="1" applyFill="1" applyBorder="1" applyAlignment="1">
      <alignment horizontal="center" vertical="center" wrapText="1"/>
    </xf>
    <xf numFmtId="0" fontId="0" fillId="0" borderId="94" xfId="0" applyBorder="1"/>
    <xf numFmtId="0" fontId="84" fillId="68" borderId="88" xfId="0" applyFont="1" applyFill="1" applyBorder="1" applyAlignment="1">
      <alignment horizontal="center" vertical="center" wrapText="1"/>
    </xf>
    <xf numFmtId="0" fontId="0" fillId="0" borderId="95" xfId="0" applyBorder="1"/>
    <xf numFmtId="0" fontId="0" fillId="0" borderId="96" xfId="0" applyBorder="1"/>
    <xf numFmtId="0" fontId="85" fillId="69" borderId="89" xfId="0" applyFont="1" applyFill="1" applyBorder="1" applyAlignment="1">
      <alignment horizontal="center" vertical="center" wrapText="1"/>
    </xf>
    <xf numFmtId="0" fontId="0" fillId="0" borderId="99" xfId="0" applyBorder="1"/>
    <xf numFmtId="0" fontId="0" fillId="0" borderId="100" xfId="0" applyBorder="1"/>
    <xf numFmtId="164" fontId="86" fillId="69" borderId="89" xfId="0" applyNumberFormat="1" applyFont="1" applyFill="1" applyBorder="1" applyAlignment="1">
      <alignment horizontal="center" vertical="center" wrapText="1"/>
    </xf>
    <xf numFmtId="0" fontId="0" fillId="0" borderId="97" xfId="0" applyBorder="1"/>
    <xf numFmtId="0" fontId="0" fillId="0" borderId="98" xfId="0" applyBorder="1"/>
    <xf numFmtId="0" fontId="0" fillId="0" borderId="101" xfId="0" applyBorder="1"/>
    <xf numFmtId="0" fontId="0" fillId="0" borderId="102" xfId="0" applyBorder="1"/>
    <xf numFmtId="0" fontId="0" fillId="0" borderId="103" xfId="0" applyBorder="1"/>
    <xf numFmtId="14" fontId="84" fillId="68" borderId="88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95" xfId="0" applyBorder="1" applyProtection="1">
      <protection locked="0"/>
    </xf>
    <xf numFmtId="0" fontId="0" fillId="0" borderId="96" xfId="0" applyBorder="1" applyProtection="1">
      <protection locked="0"/>
    </xf>
    <xf numFmtId="0" fontId="82" fillId="66" borderId="87" xfId="0" applyFont="1" applyFill="1" applyBorder="1" applyAlignment="1">
      <alignment horizontal="center" vertical="center" wrapText="1"/>
    </xf>
    <xf numFmtId="0" fontId="36" fillId="49" borderId="32" xfId="0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45" fillId="53" borderId="37" xfId="0" applyFont="1" applyFill="1" applyAlignment="1">
      <alignment horizontal="center" vertical="center" wrapText="1"/>
    </xf>
    <xf numFmtId="0" fontId="0" fillId="0" borderId="37" xfId="0" applyAlignment="1">
      <alignment wrapText="1"/>
    </xf>
    <xf numFmtId="0" fontId="0" fillId="0" borderId="6" xfId="0" applyBorder="1"/>
    <xf numFmtId="0" fontId="34" fillId="61" borderId="77" xfId="0" applyFont="1" applyFill="1" applyBorder="1" applyAlignment="1">
      <alignment horizontal="center" vertical="center"/>
    </xf>
    <xf numFmtId="0" fontId="0" fillId="0" borderId="57" xfId="0" applyBorder="1"/>
    <xf numFmtId="0" fontId="0" fillId="0" borderId="58" xfId="0" applyBorder="1"/>
    <xf numFmtId="0" fontId="67" fillId="0" borderId="78" xfId="0" applyFont="1" applyBorder="1"/>
    <xf numFmtId="0" fontId="0" fillId="0" borderId="64" xfId="0" applyBorder="1"/>
    <xf numFmtId="0" fontId="67" fillId="0" borderId="79" xfId="0" applyFont="1" applyBorder="1"/>
    <xf numFmtId="0" fontId="0" fillId="0" borderId="27" xfId="0" applyBorder="1"/>
    <xf numFmtId="0" fontId="67" fillId="0" borderId="80" xfId="0" applyFont="1" applyBorder="1"/>
    <xf numFmtId="0" fontId="0" fillId="0" borderId="63" xfId="0" applyBorder="1"/>
    <xf numFmtId="0" fontId="67" fillId="0" borderId="81" xfId="0" applyFont="1" applyBorder="1"/>
    <xf numFmtId="0" fontId="13" fillId="30" borderId="37" xfId="0" applyFont="1" applyFill="1" applyAlignment="1">
      <alignment horizontal="left" vertical="center"/>
    </xf>
    <xf numFmtId="0" fontId="26" fillId="34" borderId="12" xfId="0" applyFont="1" applyFill="1" applyBorder="1" applyAlignment="1">
      <alignment vertical="center" wrapText="1"/>
    </xf>
    <xf numFmtId="0" fontId="0" fillId="0" borderId="14" xfId="0" applyBorder="1"/>
    <xf numFmtId="0" fontId="0" fillId="0" borderId="15" xfId="0" applyBorder="1"/>
    <xf numFmtId="0" fontId="13" fillId="36" borderId="37" xfId="0" applyFont="1" applyFill="1" applyAlignment="1">
      <alignment horizontal="left" vertical="center"/>
    </xf>
    <xf numFmtId="0" fontId="29" fillId="35" borderId="37" xfId="0" applyFont="1" applyFill="1" applyAlignment="1">
      <alignment vertical="center" wrapText="1"/>
    </xf>
    <xf numFmtId="0" fontId="34" fillId="46" borderId="37" xfId="0" applyFont="1" applyFill="1" applyAlignment="1">
      <alignment vertical="center" wrapText="1"/>
    </xf>
    <xf numFmtId="0" fontId="27" fillId="31" borderId="37" xfId="0" applyFont="1" applyFill="1" applyAlignment="1">
      <alignment vertical="center" wrapText="1"/>
    </xf>
    <xf numFmtId="0" fontId="13" fillId="36" borderId="23" xfId="0" applyFont="1" applyFill="1" applyBorder="1" applyAlignment="1">
      <alignment horizontal="left" vertical="center"/>
    </xf>
    <xf numFmtId="0" fontId="0" fillId="0" borderId="23" xfId="0" applyBorder="1"/>
    <xf numFmtId="0" fontId="25" fillId="33" borderId="11" xfId="0" applyFont="1" applyFill="1" applyBorder="1" applyAlignment="1">
      <alignment vertical="center" wrapText="1"/>
    </xf>
    <xf numFmtId="0" fontId="0" fillId="0" borderId="16" xfId="0" applyBorder="1"/>
    <xf numFmtId="0" fontId="0" fillId="0" borderId="17" xfId="0" applyBorder="1"/>
    <xf numFmtId="0" fontId="28" fillId="34" borderId="11" xfId="0" applyFont="1" applyFill="1" applyBorder="1" applyAlignment="1">
      <alignment vertical="center" wrapText="1"/>
    </xf>
    <xf numFmtId="0" fontId="36" fillId="49" borderId="37" xfId="0" applyFont="1" applyFill="1" applyAlignment="1">
      <alignment horizontal="left" vertical="center" indent="1"/>
    </xf>
    <xf numFmtId="0" fontId="40" fillId="0" borderId="0" xfId="0" applyFont="1" applyBorder="1"/>
    <xf numFmtId="0" fontId="49" fillId="51" borderId="3" xfId="0" applyFont="1" applyFill="1" applyBorder="1" applyAlignment="1">
      <alignment horizontal="left" wrapText="1"/>
    </xf>
    <xf numFmtId="0" fontId="66" fillId="51" borderId="38" xfId="0" applyFont="1" applyFill="1" applyBorder="1" applyAlignment="1">
      <alignment vertical="center" wrapText="1"/>
    </xf>
    <xf numFmtId="0" fontId="0" fillId="0" borderId="35" xfId="0" applyBorder="1"/>
    <xf numFmtId="0" fontId="77" fillId="52" borderId="3" xfId="0" applyFont="1" applyFill="1" applyBorder="1" applyAlignment="1">
      <alignment horizontal="center" vertical="center" wrapText="1"/>
    </xf>
    <xf numFmtId="177" fontId="69" fillId="0" borderId="37" xfId="0" applyNumberFormat="1" applyFont="1" applyAlignment="1">
      <alignment horizontal="left" vertical="center"/>
    </xf>
    <xf numFmtId="0" fontId="40" fillId="0" borderId="49" xfId="0" applyFont="1" applyBorder="1" applyAlignment="1">
      <alignment vertical="center" wrapText="1"/>
    </xf>
    <xf numFmtId="0" fontId="0" fillId="0" borderId="34" xfId="0" applyBorder="1"/>
    <xf numFmtId="0" fontId="50" fillId="49" borderId="37" xfId="0" applyFont="1" applyFill="1" applyAlignment="1">
      <alignment horizontal="center" vertical="center" wrapText="1"/>
    </xf>
    <xf numFmtId="0" fontId="66" fillId="50" borderId="40" xfId="0" applyFont="1" applyFill="1" applyBorder="1" applyAlignment="1">
      <alignment vertical="center" wrapText="1"/>
    </xf>
    <xf numFmtId="0" fontId="0" fillId="0" borderId="82" xfId="0" applyBorder="1"/>
    <xf numFmtId="0" fontId="69" fillId="0" borderId="85" xfId="0" applyFont="1" applyBorder="1" applyAlignment="1">
      <alignment horizontal="left" vertical="top" wrapText="1" indent="1"/>
    </xf>
    <xf numFmtId="0" fontId="0" fillId="0" borderId="46" xfId="0" applyBorder="1"/>
    <xf numFmtId="0" fontId="0" fillId="0" borderId="47" xfId="0" applyBorder="1"/>
    <xf numFmtId="0" fontId="69" fillId="0" borderId="37" xfId="0" applyFont="1" applyAlignment="1">
      <alignment horizontal="left" vertical="center" wrapText="1"/>
    </xf>
    <xf numFmtId="0" fontId="74" fillId="49" borderId="37" xfId="0" applyFont="1" applyFill="1" applyAlignment="1">
      <alignment horizontal="left" vertical="center"/>
    </xf>
    <xf numFmtId="0" fontId="69" fillId="0" borderId="38" xfId="0" applyFont="1" applyBorder="1" applyAlignment="1">
      <alignment horizontal="left" vertical="center" indent="1"/>
    </xf>
    <xf numFmtId="0" fontId="47" fillId="49" borderId="37" xfId="0" applyFont="1" applyFill="1" applyAlignment="1">
      <alignment horizontal="left" vertical="center" indent="1"/>
    </xf>
    <xf numFmtId="0" fontId="71" fillId="63" borderId="37" xfId="0" applyFont="1" applyFill="1" applyAlignment="1">
      <alignment horizontal="left" vertical="center" wrapText="1"/>
    </xf>
    <xf numFmtId="0" fontId="49" fillId="0" borderId="37" xfId="0" applyFont="1" applyAlignment="1">
      <alignment horizontal="left" vertical="center" indent="1"/>
    </xf>
    <xf numFmtId="0" fontId="71" fillId="63" borderId="37" xfId="0" applyFont="1" applyFill="1" applyAlignment="1">
      <alignment horizontal="left" wrapText="1"/>
    </xf>
    <xf numFmtId="183" fontId="56" fillId="59" borderId="53" xfId="0" applyNumberFormat="1" applyFont="1" applyFill="1" applyBorder="1" applyAlignment="1">
      <alignment horizontal="left" vertical="center" indent="1"/>
    </xf>
    <xf numFmtId="0" fontId="0" fillId="0" borderId="53" xfId="0" applyBorder="1"/>
    <xf numFmtId="177" fontId="69" fillId="0" borderId="37" xfId="0" applyNumberFormat="1" applyFont="1" applyAlignment="1">
      <alignment vertical="top"/>
    </xf>
    <xf numFmtId="0" fontId="66" fillId="51" borderId="33" xfId="0" applyFont="1" applyFill="1" applyBorder="1" applyAlignment="1">
      <alignment vertical="center" wrapText="1"/>
    </xf>
    <xf numFmtId="0" fontId="0" fillId="0" borderId="83" xfId="0" applyBorder="1"/>
    <xf numFmtId="0" fontId="0" fillId="0" borderId="39" xfId="0" applyBorder="1"/>
    <xf numFmtId="0" fontId="36" fillId="49" borderId="37" xfId="0" applyFont="1" applyFill="1" applyAlignment="1">
      <alignment horizontal="left" vertical="center"/>
    </xf>
    <xf numFmtId="0" fontId="36" fillId="49" borderId="52" xfId="0" applyFont="1" applyFill="1" applyBorder="1" applyAlignment="1">
      <alignment horizontal="left" vertical="center" indent="1"/>
    </xf>
    <xf numFmtId="0" fontId="0" fillId="0" borderId="51" xfId="0" applyBorder="1"/>
    <xf numFmtId="0" fontId="69" fillId="0" borderId="33" xfId="0" applyFont="1" applyBorder="1" applyAlignment="1">
      <alignment horizontal="left" vertical="center" indent="1"/>
    </xf>
    <xf numFmtId="0" fontId="48" fillId="44" borderId="37" xfId="0" applyFont="1" applyFill="1" applyAlignment="1">
      <alignment horizontal="center" vertical="center"/>
    </xf>
    <xf numFmtId="0" fontId="41" fillId="49" borderId="37" xfId="0" applyFont="1" applyFill="1" applyAlignment="1">
      <alignment horizontal="left" vertical="center" indent="1"/>
    </xf>
    <xf numFmtId="0" fontId="69" fillId="0" borderId="37" xfId="0" applyFont="1" applyAlignment="1">
      <alignment horizontal="left" wrapText="1"/>
    </xf>
    <xf numFmtId="180" fontId="55" fillId="58" borderId="51" xfId="0" applyNumberFormat="1" applyFont="1" applyFill="1" applyBorder="1" applyAlignment="1">
      <alignment horizontal="right" vertical="center" indent="1" shrinkToFit="1"/>
    </xf>
    <xf numFmtId="0" fontId="69" fillId="0" borderId="47" xfId="0" applyFont="1" applyBorder="1" applyAlignment="1">
      <alignment horizontal="left" vertical="top" wrapText="1" indent="1"/>
    </xf>
    <xf numFmtId="0" fontId="75" fillId="0" borderId="47" xfId="0" applyFont="1" applyBorder="1" applyAlignment="1">
      <alignment horizontal="left" vertical="center" wrapText="1"/>
    </xf>
    <xf numFmtId="180" fontId="76" fillId="0" borderId="37" xfId="0" applyNumberFormat="1" applyFont="1" applyAlignment="1">
      <alignment horizontal="right" vertical="center"/>
    </xf>
    <xf numFmtId="0" fontId="0" fillId="0" borderId="84" xfId="0" applyBorder="1"/>
  </cellXfs>
  <cellStyles count="1">
    <cellStyle name="Normal" xfId="0" builtinId="0"/>
  </cellStyles>
  <dxfs count="74"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ont>
        <b/>
        <color rgb="FF595959"/>
      </font>
      <fill>
        <patternFill>
          <bgColor rgb="FFC6E0B4"/>
        </patternFill>
      </fill>
    </dxf>
    <dxf>
      <font>
        <b/>
        <color rgb="FF595959"/>
      </font>
      <fill>
        <patternFill>
          <bgColor rgb="FFFFF2CC"/>
        </patternFill>
      </fill>
    </dxf>
    <dxf>
      <font>
        <b/>
        <color rgb="FF595959"/>
      </font>
      <fill>
        <patternFill>
          <bgColor rgb="FFF4CCCC"/>
        </patternFill>
      </fill>
    </dxf>
    <dxf>
      <font>
        <b/>
      </font>
      <fill>
        <patternFill>
          <bgColor rgb="FFC6E0B4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595959"/>
      </font>
      <fill>
        <patternFill>
          <bgColor rgb="FFC6E0B4"/>
        </patternFill>
      </fill>
    </dxf>
    <dxf>
      <font>
        <b/>
        <color rgb="FF595959"/>
      </font>
      <fill>
        <patternFill>
          <bgColor rgb="FFFFF2CC"/>
        </patternFill>
      </fill>
    </dxf>
    <dxf>
      <font>
        <b/>
        <color rgb="FF595959"/>
      </font>
      <fill>
        <patternFill>
          <bgColor rgb="FFF4CCCC"/>
        </patternFill>
      </fill>
    </dxf>
    <dxf>
      <font>
        <color rgb="FF1F3864"/>
      </font>
      <fill>
        <patternFill>
          <bgColor rgb="FFFAFAFA"/>
        </patternFill>
      </fill>
    </dxf>
    <dxf>
      <fill>
        <patternFill>
          <bgColor rgb="FFE2EFDA"/>
        </patternFill>
      </fill>
    </dxf>
    <dxf>
      <font>
        <color rgb="FF7F6000"/>
      </font>
      <fill>
        <patternFill>
          <bgColor rgb="FFFFF4CC"/>
        </patternFill>
      </fill>
    </dxf>
    <dxf>
      <font>
        <b/>
        <color rgb="FF595959"/>
      </font>
      <fill>
        <patternFill>
          <bgColor rgb="FFFFF2CC"/>
        </patternFill>
      </fill>
    </dxf>
    <dxf>
      <font>
        <b/>
        <color rgb="FF595959"/>
      </font>
      <fill>
        <patternFill>
          <bgColor rgb="FFF4CCCC"/>
        </patternFill>
      </fill>
    </dxf>
    <dxf>
      <font>
        <b/>
        <color rgb="FF595959"/>
      </font>
      <fill>
        <patternFill>
          <bgColor rgb="FFC6E0B4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ont>
        <color rgb="FF7F6000"/>
      </font>
      <fill>
        <patternFill>
          <bgColor rgb="FFFFF4CC"/>
        </patternFill>
      </fill>
    </dxf>
    <dxf>
      <font>
        <color rgb="FF7F6000"/>
      </font>
      <fill>
        <patternFill>
          <bgColor rgb="FFFFF4CC"/>
        </patternFill>
      </fill>
    </dxf>
    <dxf>
      <font>
        <color rgb="FF7F6000"/>
      </font>
      <fill>
        <patternFill>
          <bgColor rgb="FFFFF4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1F4E79"/>
      </font>
      <fill>
        <patternFill patternType="solid">
          <fgColor rgb="FFD9E1F2"/>
        </patternFill>
      </fill>
    </dxf>
    <dxf>
      <font>
        <b/>
        <sz val="14"/>
        <color rgb="FF9C0006"/>
        <name val="Aptos Display"/>
      </font>
      <fill>
        <patternFill patternType="solid">
          <fgColor rgb="FFFFE699"/>
        </patternFill>
      </fill>
    </dxf>
    <dxf>
      <fill>
        <patternFill patternType="solid">
          <fgColor rgb="FFFFC7CE"/>
        </patternFill>
      </fill>
    </dxf>
    <dxf>
      <font>
        <sz val="10"/>
        <color rgb="FF7F7F7F"/>
        <name val="Aptos"/>
      </font>
      <fill>
        <patternFill patternType="solid">
          <fgColor rgb="FFD9D9D9"/>
        </patternFill>
      </fill>
    </dxf>
    <dxf>
      <font>
        <b/>
        <color rgb="FF1F4E79"/>
      </font>
      <fill>
        <patternFill patternType="solid">
          <fgColor rgb="FFD9E1F2"/>
        </patternFill>
      </fill>
    </dxf>
    <dxf>
      <fill>
        <patternFill>
          <bgColor rgb="FFEBE0F5"/>
        </patternFill>
      </fill>
    </dxf>
    <dxf>
      <fill>
        <patternFill>
          <bgColor rgb="FFFCE4D6"/>
        </patternFill>
      </fill>
    </dxf>
    <dxf>
      <fill>
        <patternFill>
          <bgColor rgb="FFFFF9C3"/>
        </patternFill>
      </fill>
    </dxf>
    <dxf>
      <fill>
        <patternFill>
          <bgColor rgb="FFE2F0D9"/>
        </patternFill>
      </fill>
    </dxf>
    <dxf>
      <fill>
        <patternFill>
          <bgColor rgb="FFEAF2F8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sz val="11"/>
        <color rgb="FF9C0006"/>
        <name val="Calibri"/>
      </font>
      <fill>
        <patternFill>
          <bgColor rgb="FFFFC7CE"/>
        </patternFill>
      </fill>
    </dxf>
    <dxf>
      <font>
        <color rgb="FF7F6000"/>
      </font>
      <fill>
        <patternFill>
          <bgColor rgb="FFFFF4CC"/>
        </patternFill>
      </fill>
    </dxf>
    <dxf>
      <font>
        <color rgb="FF7F6000"/>
      </font>
      <fill>
        <patternFill>
          <bgColor rgb="FFFFF4CC"/>
        </patternFill>
      </fill>
    </dxf>
    <dxf>
      <fill>
        <patternFill>
          <bgColor rgb="FFF4CCCC"/>
        </patternFill>
      </fill>
    </dxf>
    <dxf>
      <fill>
        <patternFill>
          <bgColor rgb="FFFFE69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  <bgColor rgb="FFD9D9D9"/>
        </patternFill>
      </fill>
    </dxf>
    <dxf>
      <font>
        <b/>
        <color rgb="FF1F4E79"/>
      </font>
      <fill>
        <patternFill patternType="solid">
          <fgColor rgb="FFD9E1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CE4D6"/>
          <bgColor rgb="FFFCE4D6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EF9C3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CA3AF"/>
      <rgbColor rgb="FF003366"/>
      <rgbColor rgb="FF339966"/>
      <rgbColor rgb="FF003300"/>
      <rgbColor rgb="FF333300"/>
      <rgbColor rgb="FF993300"/>
      <rgbColor rgb="FF993366"/>
      <rgbColor rgb="FF6D28D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0"/>
  <sheetViews>
    <sheetView workbookViewId="0"/>
  </sheetViews>
  <sheetFormatPr defaultRowHeight="14.5" x14ac:dyDescent="0.35"/>
  <cols>
    <col min="1" max="1" width="40.6328125" customWidth="1"/>
    <col min="2" max="7" width="16.6328125" customWidth="1"/>
  </cols>
  <sheetData>
    <row r="1" spans="1:7" x14ac:dyDescent="0.35">
      <c r="A1" t="s">
        <v>22</v>
      </c>
    </row>
    <row r="2" spans="1:7" x14ac:dyDescent="0.35">
      <c r="A2" t="s">
        <v>23</v>
      </c>
    </row>
    <row r="3" spans="1:7" x14ac:dyDescent="0.35">
      <c r="A3" t="s">
        <v>24</v>
      </c>
      <c r="B3" t="s">
        <v>25</v>
      </c>
      <c r="C3" t="s">
        <v>26</v>
      </c>
      <c r="D3" t="s">
        <v>3</v>
      </c>
      <c r="E3" t="s">
        <v>27</v>
      </c>
      <c r="F3" t="s">
        <v>28</v>
      </c>
      <c r="G3" t="s">
        <v>29</v>
      </c>
    </row>
    <row r="4" spans="1:7" x14ac:dyDescent="0.35">
      <c r="A4" t="str">
        <f>IF(posicao_contratual!A2="","",posicao_contratual!A2)</f>
        <v>ITEM-001</v>
      </c>
      <c r="B4" s="191">
        <f>IF(posicao_contratual!A2="","",posicao_contratual!B2)</f>
        <v>250</v>
      </c>
      <c r="C4" s="191">
        <f>IF(OR(posicao_contratual!A2="",NOT(ISNUMBER(posicao_contratual!B2)),NOT(ISNUMBER(posicao_contratual!G2))),"",ROUND(posicao_contratual!B2*posicao_contratual!G2,2))</f>
        <v>30000</v>
      </c>
      <c r="D4" s="191">
        <f>IF(OR(posicao_contratual!A2="",NOT(ISNUMBER(posicao_contratual!B2)),NOT(ISNUMBER(posicao_contratual!K2))),"",ROUND(posicao_contratual!B2*posicao_contratual!K2,2))</f>
        <v>30000</v>
      </c>
      <c r="E4" s="191">
        <f>IF(OR(posicao_contratual!A2="",NOT(ISNUMBER(posicao_contratual!B2)),NOT(ISNUMBER(posicao_contratual!O2))),"",ROUND(posicao_contratual!B2*posicao_contratual!O2,2))</f>
        <v>30000</v>
      </c>
      <c r="F4" s="191">
        <f>IF(OR(posicao_contratual!A2="",NOT(ISNUMBER(posicao_contratual!B2)),NOT(ISNUMBER(posicao_contratual!S2))),"",ROUND(posicao_contratual!B2*posicao_contratual!S2,2))</f>
        <v>30000</v>
      </c>
      <c r="G4" s="191">
        <f>IF(OR(posicao_contratual!A2="",NOT(ISNUMBER(posicao_contratual!B2)),NOT(ISNUMBER(posicao_contratual!W2))),"",ROUND(posicao_contratual!B2*posicao_contratual!W2,2))</f>
        <v>30000</v>
      </c>
    </row>
    <row r="5" spans="1:7" x14ac:dyDescent="0.35">
      <c r="A5" t="str">
        <f>IF(posicao_contratual!A3="","",posicao_contratual!A3)</f>
        <v>ITEM-002</v>
      </c>
      <c r="B5" s="191">
        <f>IF(posicao_contratual!A3="","",posicao_contratual!B3)</f>
        <v>1500</v>
      </c>
      <c r="C5" s="191">
        <f>IF(OR(posicao_contratual!A3="",NOT(ISNUMBER(posicao_contratual!B3)),NOT(ISNUMBER(posicao_contratual!G3))),"",ROUND(posicao_contratual!B3*posicao_contratual!G3,2))</f>
        <v>120000</v>
      </c>
      <c r="D5" s="191">
        <f>IF(OR(posicao_contratual!A3="",NOT(ISNUMBER(posicao_contratual!B3)),NOT(ISNUMBER(posicao_contratual!K3))),"",ROUND(posicao_contratual!B3*posicao_contratual!K3,2))</f>
        <v>120000</v>
      </c>
      <c r="E5" s="191">
        <f>IF(OR(posicao_contratual!A3="",NOT(ISNUMBER(posicao_contratual!B3)),NOT(ISNUMBER(posicao_contratual!O3))),"",ROUND(posicao_contratual!B3*posicao_contratual!O3,2))</f>
        <v>120000</v>
      </c>
      <c r="F5" s="191">
        <f>IF(OR(posicao_contratual!A3="",NOT(ISNUMBER(posicao_contratual!B3)),NOT(ISNUMBER(posicao_contratual!S3))),"",ROUND(posicao_contratual!B3*posicao_contratual!S3,2))</f>
        <v>120000</v>
      </c>
      <c r="G5" s="191">
        <f>IF(OR(posicao_contratual!A3="",NOT(ISNUMBER(posicao_contratual!B3)),NOT(ISNUMBER(posicao_contratual!W3))),"",ROUND(posicao_contratual!B3*posicao_contratual!W3,2))</f>
        <v>120000</v>
      </c>
    </row>
    <row r="6" spans="1:7" x14ac:dyDescent="0.35">
      <c r="A6" t="str">
        <f>IF(posicao_contratual!A4="","",posicao_contratual!A4)</f>
        <v>ITEM-003</v>
      </c>
      <c r="B6" s="191">
        <f>IF(posicao_contratual!A4="","",posicao_contratual!B4)</f>
        <v>3200</v>
      </c>
      <c r="C6" s="191">
        <f>IF(OR(posicao_contratual!A4="",NOT(ISNUMBER(posicao_contratual!B4)),NOT(ISNUMBER(posicao_contratual!G4))),"",ROUND(posicao_contratual!B4*posicao_contratual!G4,2))</f>
        <v>128000</v>
      </c>
      <c r="D6" s="191">
        <f>IF(OR(posicao_contratual!A4="",NOT(ISNUMBER(posicao_contratual!B4)),NOT(ISNUMBER(posicao_contratual!K4))),"",ROUND(posicao_contratual!B4*posicao_contratual!K4,2))</f>
        <v>128000</v>
      </c>
      <c r="E6" s="191">
        <f>IF(OR(posicao_contratual!A4="",NOT(ISNUMBER(posicao_contratual!B4)),NOT(ISNUMBER(posicao_contratual!O4))),"",ROUND(posicao_contratual!B4*posicao_contratual!O4,2))</f>
        <v>128000</v>
      </c>
      <c r="F6" s="191">
        <f>IF(OR(posicao_contratual!A4="",NOT(ISNUMBER(posicao_contratual!B4)),NOT(ISNUMBER(posicao_contratual!S4))),"",ROUND(posicao_contratual!B4*posicao_contratual!S4,2))</f>
        <v>128000</v>
      </c>
      <c r="G6" s="191">
        <f>IF(OR(posicao_contratual!A4="",NOT(ISNUMBER(posicao_contratual!B4)),NOT(ISNUMBER(posicao_contratual!W4))),"",ROUND(posicao_contratual!B4*posicao_contratual!W4,2))</f>
        <v>128000</v>
      </c>
    </row>
    <row r="7" spans="1:7" x14ac:dyDescent="0.35">
      <c r="A7" t="str">
        <f>IF(posicao_contratual!A5="","",posicao_contratual!A5)</f>
        <v/>
      </c>
      <c r="B7" s="191" t="str">
        <f>IF(posicao_contratual!A5="","",posicao_contratual!B5)</f>
        <v/>
      </c>
      <c r="C7" s="191" t="str">
        <f>IF(OR(posicao_contratual!A5="",NOT(ISNUMBER(posicao_contratual!B5)),NOT(ISNUMBER(posicao_contratual!G5))),"",ROUND(posicao_contratual!B5*posicao_contratual!G5,2))</f>
        <v/>
      </c>
      <c r="D7" s="191" t="str">
        <f>IF(OR(posicao_contratual!A5="",NOT(ISNUMBER(posicao_contratual!B5)),NOT(ISNUMBER(posicao_contratual!K5))),"",ROUND(posicao_contratual!B5*posicao_contratual!K5,2))</f>
        <v/>
      </c>
      <c r="E7" s="191" t="str">
        <f>IF(OR(posicao_contratual!A5="",NOT(ISNUMBER(posicao_contratual!B5)),NOT(ISNUMBER(posicao_contratual!O5))),"",ROUND(posicao_contratual!B5*posicao_contratual!O5,2))</f>
        <v/>
      </c>
      <c r="F7" s="191" t="str">
        <f>IF(OR(posicao_contratual!A5="",NOT(ISNUMBER(posicao_contratual!B5)),NOT(ISNUMBER(posicao_contratual!S5))),"",ROUND(posicao_contratual!B5*posicao_contratual!S5,2))</f>
        <v/>
      </c>
      <c r="G7" s="191" t="str">
        <f>IF(OR(posicao_contratual!A5="",NOT(ISNUMBER(posicao_contratual!B5)),NOT(ISNUMBER(posicao_contratual!W5))),"",ROUND(posicao_contratual!B5*posicao_contratual!W5,2))</f>
        <v/>
      </c>
    </row>
    <row r="8" spans="1:7" x14ac:dyDescent="0.35">
      <c r="A8" t="str">
        <f>IF(posicao_contratual!A6="","",posicao_contratual!A6)</f>
        <v/>
      </c>
      <c r="B8" s="191" t="str">
        <f>IF(posicao_contratual!A6="","",posicao_contratual!B6)</f>
        <v/>
      </c>
      <c r="C8" s="191" t="str">
        <f>IF(OR(posicao_contratual!A6="",NOT(ISNUMBER(posicao_contratual!B6)),NOT(ISNUMBER(posicao_contratual!G6))),"",ROUND(posicao_contratual!B6*posicao_contratual!G6,2))</f>
        <v/>
      </c>
      <c r="D8" s="191" t="str">
        <f>IF(OR(posicao_contratual!A6="",NOT(ISNUMBER(posicao_contratual!B6)),NOT(ISNUMBER(posicao_contratual!K6))),"",ROUND(posicao_contratual!B6*posicao_contratual!K6,2))</f>
        <v/>
      </c>
      <c r="E8" s="191" t="str">
        <f>IF(OR(posicao_contratual!A6="",NOT(ISNUMBER(posicao_contratual!B6)),NOT(ISNUMBER(posicao_contratual!O6))),"",ROUND(posicao_contratual!B6*posicao_contratual!O6,2))</f>
        <v/>
      </c>
      <c r="F8" s="191" t="str">
        <f>IF(OR(posicao_contratual!A6="",NOT(ISNUMBER(posicao_contratual!B6)),NOT(ISNUMBER(posicao_contratual!S6))),"",ROUND(posicao_contratual!B6*posicao_contratual!S6,2))</f>
        <v/>
      </c>
      <c r="G8" s="191" t="str">
        <f>IF(OR(posicao_contratual!A6="",NOT(ISNUMBER(posicao_contratual!B6)),NOT(ISNUMBER(posicao_contratual!W6))),"",ROUND(posicao_contratual!B6*posicao_contratual!W6,2))</f>
        <v/>
      </c>
    </row>
    <row r="9" spans="1:7" x14ac:dyDescent="0.35">
      <c r="A9" t="str">
        <f>IF(posicao_contratual!A7="","",posicao_contratual!A7)</f>
        <v/>
      </c>
      <c r="B9" s="191" t="str">
        <f>IF(posicao_contratual!A7="","",posicao_contratual!B7)</f>
        <v/>
      </c>
      <c r="C9" s="191" t="str">
        <f>IF(OR(posicao_contratual!A7="",NOT(ISNUMBER(posicao_contratual!B7)),NOT(ISNUMBER(posicao_contratual!G7))),"",ROUND(posicao_contratual!B7*posicao_contratual!G7,2))</f>
        <v/>
      </c>
      <c r="D9" s="191" t="str">
        <f>IF(OR(posicao_contratual!A7="",NOT(ISNUMBER(posicao_contratual!B7)),NOT(ISNUMBER(posicao_contratual!K7))),"",ROUND(posicao_contratual!B7*posicao_contratual!K7,2))</f>
        <v/>
      </c>
      <c r="E9" s="191" t="str">
        <f>IF(OR(posicao_contratual!A7="",NOT(ISNUMBER(posicao_contratual!B7)),NOT(ISNUMBER(posicao_contratual!O7))),"",ROUND(posicao_contratual!B7*posicao_contratual!O7,2))</f>
        <v/>
      </c>
      <c r="F9" s="191" t="str">
        <f>IF(OR(posicao_contratual!A7="",NOT(ISNUMBER(posicao_contratual!B7)),NOT(ISNUMBER(posicao_contratual!S7))),"",ROUND(posicao_contratual!B7*posicao_contratual!S7,2))</f>
        <v/>
      </c>
      <c r="G9" s="191" t="str">
        <f>IF(OR(posicao_contratual!A7="",NOT(ISNUMBER(posicao_contratual!B7)),NOT(ISNUMBER(posicao_contratual!W7))),"",ROUND(posicao_contratual!B7*posicao_contratual!W7,2))</f>
        <v/>
      </c>
    </row>
    <row r="10" spans="1:7" x14ac:dyDescent="0.35">
      <c r="A10" t="str">
        <f>IF(posicao_contratual!A8="","",posicao_contratual!A8)</f>
        <v/>
      </c>
      <c r="B10" s="191" t="str">
        <f>IF(posicao_contratual!A8="","",posicao_contratual!B8)</f>
        <v/>
      </c>
      <c r="C10" s="191" t="str">
        <f>IF(OR(posicao_contratual!A8="",NOT(ISNUMBER(posicao_contratual!B8)),NOT(ISNUMBER(posicao_contratual!G8))),"",ROUND(posicao_contratual!B8*posicao_contratual!G8,2))</f>
        <v/>
      </c>
      <c r="D10" s="191" t="str">
        <f>IF(OR(posicao_contratual!A8="",NOT(ISNUMBER(posicao_contratual!B8)),NOT(ISNUMBER(posicao_contratual!K8))),"",ROUND(posicao_contratual!B8*posicao_contratual!K8,2))</f>
        <v/>
      </c>
      <c r="E10" s="191" t="str">
        <f>IF(OR(posicao_contratual!A8="",NOT(ISNUMBER(posicao_contratual!B8)),NOT(ISNUMBER(posicao_contratual!O8))),"",ROUND(posicao_contratual!B8*posicao_contratual!O8,2))</f>
        <v/>
      </c>
      <c r="F10" s="191" t="str">
        <f>IF(OR(posicao_contratual!A8="",NOT(ISNUMBER(posicao_contratual!B8)),NOT(ISNUMBER(posicao_contratual!S8))),"",ROUND(posicao_contratual!B8*posicao_contratual!S8,2))</f>
        <v/>
      </c>
      <c r="G10" s="191" t="str">
        <f>IF(OR(posicao_contratual!A8="",NOT(ISNUMBER(posicao_contratual!B8)),NOT(ISNUMBER(posicao_contratual!W8))),"",ROUND(posicao_contratual!B8*posicao_contratual!W8,2))</f>
        <v/>
      </c>
    </row>
    <row r="11" spans="1:7" x14ac:dyDescent="0.35">
      <c r="A11" t="str">
        <f>IF(posicao_contratual!A9="","",posicao_contratual!A9)</f>
        <v/>
      </c>
      <c r="B11" s="191" t="str">
        <f>IF(posicao_contratual!A9="","",posicao_contratual!B9)</f>
        <v/>
      </c>
      <c r="C11" s="191" t="str">
        <f>IF(OR(posicao_contratual!A9="",NOT(ISNUMBER(posicao_contratual!B9)),NOT(ISNUMBER(posicao_contratual!G9))),"",ROUND(posicao_contratual!B9*posicao_contratual!G9,2))</f>
        <v/>
      </c>
      <c r="D11" s="191" t="str">
        <f>IF(OR(posicao_contratual!A9="",NOT(ISNUMBER(posicao_contratual!B9)),NOT(ISNUMBER(posicao_contratual!K9))),"",ROUND(posicao_contratual!B9*posicao_contratual!K9,2))</f>
        <v/>
      </c>
      <c r="E11" s="191" t="str">
        <f>IF(OR(posicao_contratual!A9="",NOT(ISNUMBER(posicao_contratual!B9)),NOT(ISNUMBER(posicao_contratual!O9))),"",ROUND(posicao_contratual!B9*posicao_contratual!O9,2))</f>
        <v/>
      </c>
      <c r="F11" s="191" t="str">
        <f>IF(OR(posicao_contratual!A9="",NOT(ISNUMBER(posicao_contratual!B9)),NOT(ISNUMBER(posicao_contratual!S9))),"",ROUND(posicao_contratual!B9*posicao_contratual!S9,2))</f>
        <v/>
      </c>
      <c r="G11" s="191" t="str">
        <f>IF(OR(posicao_contratual!A9="",NOT(ISNUMBER(posicao_contratual!B9)),NOT(ISNUMBER(posicao_contratual!W9))),"",ROUND(posicao_contratual!B9*posicao_contratual!W9,2))</f>
        <v/>
      </c>
    </row>
    <row r="12" spans="1:7" x14ac:dyDescent="0.35">
      <c r="A12" t="str">
        <f>IF(posicao_contratual!A10="","",posicao_contratual!A10)</f>
        <v/>
      </c>
      <c r="B12" s="191" t="str">
        <f>IF(posicao_contratual!A10="","",posicao_contratual!B10)</f>
        <v/>
      </c>
      <c r="C12" s="191" t="str">
        <f>IF(OR(posicao_contratual!A10="",NOT(ISNUMBER(posicao_contratual!B10)),NOT(ISNUMBER(posicao_contratual!G10))),"",ROUND(posicao_contratual!B10*posicao_contratual!G10,2))</f>
        <v/>
      </c>
      <c r="D12" s="191" t="str">
        <f>IF(OR(posicao_contratual!A10="",NOT(ISNUMBER(posicao_contratual!B10)),NOT(ISNUMBER(posicao_contratual!K10))),"",ROUND(posicao_contratual!B10*posicao_contratual!K10,2))</f>
        <v/>
      </c>
      <c r="E12" s="191" t="str">
        <f>IF(OR(posicao_contratual!A10="",NOT(ISNUMBER(posicao_contratual!B10)),NOT(ISNUMBER(posicao_contratual!O10))),"",ROUND(posicao_contratual!B10*posicao_contratual!O10,2))</f>
        <v/>
      </c>
      <c r="F12" s="191" t="str">
        <f>IF(OR(posicao_contratual!A10="",NOT(ISNUMBER(posicao_contratual!B10)),NOT(ISNUMBER(posicao_contratual!S10))),"",ROUND(posicao_contratual!B10*posicao_contratual!S10,2))</f>
        <v/>
      </c>
      <c r="G12" s="191" t="str">
        <f>IF(OR(posicao_contratual!A10="",NOT(ISNUMBER(posicao_contratual!B10)),NOT(ISNUMBER(posicao_contratual!W10))),"",ROUND(posicao_contratual!B10*posicao_contratual!W10,2))</f>
        <v/>
      </c>
    </row>
    <row r="13" spans="1:7" x14ac:dyDescent="0.35">
      <c r="A13" t="str">
        <f>IF(posicao_contratual!A11="","",posicao_contratual!A11)</f>
        <v/>
      </c>
      <c r="B13" s="191" t="str">
        <f>IF(posicao_contratual!A11="","",posicao_contratual!B11)</f>
        <v/>
      </c>
      <c r="C13" s="191" t="str">
        <f>IF(OR(posicao_contratual!A11="",NOT(ISNUMBER(posicao_contratual!B11)),NOT(ISNUMBER(posicao_contratual!G11))),"",ROUND(posicao_contratual!B11*posicao_contratual!G11,2))</f>
        <v/>
      </c>
      <c r="D13" s="191" t="str">
        <f>IF(OR(posicao_contratual!A11="",NOT(ISNUMBER(posicao_contratual!B11)),NOT(ISNUMBER(posicao_contratual!K11))),"",ROUND(posicao_contratual!B11*posicao_contratual!K11,2))</f>
        <v/>
      </c>
      <c r="E13" s="191" t="str">
        <f>IF(OR(posicao_contratual!A11="",NOT(ISNUMBER(posicao_contratual!B11)),NOT(ISNUMBER(posicao_contratual!O11))),"",ROUND(posicao_contratual!B11*posicao_contratual!O11,2))</f>
        <v/>
      </c>
      <c r="F13" s="191" t="str">
        <f>IF(OR(posicao_contratual!A11="",NOT(ISNUMBER(posicao_contratual!B11)),NOT(ISNUMBER(posicao_contratual!S11))),"",ROUND(posicao_contratual!B11*posicao_contratual!S11,2))</f>
        <v/>
      </c>
      <c r="G13" s="191" t="str">
        <f>IF(OR(posicao_contratual!A11="",NOT(ISNUMBER(posicao_contratual!B11)),NOT(ISNUMBER(posicao_contratual!W11))),"",ROUND(posicao_contratual!B11*posicao_contratual!W11,2))</f>
        <v/>
      </c>
    </row>
    <row r="14" spans="1:7" x14ac:dyDescent="0.35">
      <c r="A14" t="str">
        <f>IF(posicao_contratual!A12="","",posicao_contratual!A12)</f>
        <v/>
      </c>
      <c r="B14" s="191" t="str">
        <f>IF(posicao_contratual!A12="","",posicao_contratual!B12)</f>
        <v/>
      </c>
      <c r="C14" s="191" t="str">
        <f>IF(OR(posicao_contratual!A12="",NOT(ISNUMBER(posicao_contratual!B12)),NOT(ISNUMBER(posicao_contratual!G12))),"",ROUND(posicao_contratual!B12*posicao_contratual!G12,2))</f>
        <v/>
      </c>
      <c r="D14" s="191" t="str">
        <f>IF(OR(posicao_contratual!A12="",NOT(ISNUMBER(posicao_contratual!B12)),NOT(ISNUMBER(posicao_contratual!K12))),"",ROUND(posicao_contratual!B12*posicao_contratual!K12,2))</f>
        <v/>
      </c>
      <c r="E14" s="191" t="str">
        <f>IF(OR(posicao_contratual!A12="",NOT(ISNUMBER(posicao_contratual!B12)),NOT(ISNUMBER(posicao_contratual!O12))),"",ROUND(posicao_contratual!B12*posicao_contratual!O12,2))</f>
        <v/>
      </c>
      <c r="F14" s="191" t="str">
        <f>IF(OR(posicao_contratual!A12="",NOT(ISNUMBER(posicao_contratual!B12)),NOT(ISNUMBER(posicao_contratual!S12))),"",ROUND(posicao_contratual!B12*posicao_contratual!S12,2))</f>
        <v/>
      </c>
      <c r="G14" s="191" t="str">
        <f>IF(OR(posicao_contratual!A12="",NOT(ISNUMBER(posicao_contratual!B12)),NOT(ISNUMBER(posicao_contratual!W12))),"",ROUND(posicao_contratual!B12*posicao_contratual!W12,2))</f>
        <v/>
      </c>
    </row>
    <row r="15" spans="1:7" x14ac:dyDescent="0.35">
      <c r="A15" t="str">
        <f>IF(posicao_contratual!A13="","",posicao_contratual!A13)</f>
        <v/>
      </c>
      <c r="B15" s="191" t="str">
        <f>IF(posicao_contratual!A13="","",posicao_contratual!B13)</f>
        <v/>
      </c>
      <c r="C15" s="191" t="str">
        <f>IF(OR(posicao_contratual!A13="",NOT(ISNUMBER(posicao_contratual!B13)),NOT(ISNUMBER(posicao_contratual!G13))),"",ROUND(posicao_contratual!B13*posicao_contratual!G13,2))</f>
        <v/>
      </c>
      <c r="D15" s="191" t="str">
        <f>IF(OR(posicao_contratual!A13="",NOT(ISNUMBER(posicao_contratual!B13)),NOT(ISNUMBER(posicao_contratual!K13))),"",ROUND(posicao_contratual!B13*posicao_contratual!K13,2))</f>
        <v/>
      </c>
      <c r="E15" s="191" t="str">
        <f>IF(OR(posicao_contratual!A13="",NOT(ISNUMBER(posicao_contratual!B13)),NOT(ISNUMBER(posicao_contratual!O13))),"",ROUND(posicao_contratual!B13*posicao_contratual!O13,2))</f>
        <v/>
      </c>
      <c r="F15" s="191" t="str">
        <f>IF(OR(posicao_contratual!A13="",NOT(ISNUMBER(posicao_contratual!B13)),NOT(ISNUMBER(posicao_contratual!S13))),"",ROUND(posicao_contratual!B13*posicao_contratual!S13,2))</f>
        <v/>
      </c>
      <c r="G15" s="191" t="str">
        <f>IF(OR(posicao_contratual!A13="",NOT(ISNUMBER(posicao_contratual!B13)),NOT(ISNUMBER(posicao_contratual!W13))),"",ROUND(posicao_contratual!B13*posicao_contratual!W13,2))</f>
        <v/>
      </c>
    </row>
    <row r="16" spans="1:7" x14ac:dyDescent="0.35">
      <c r="A16" t="str">
        <f>IF(posicao_contratual!A14="","",posicao_contratual!A14)</f>
        <v/>
      </c>
      <c r="B16" s="191" t="str">
        <f>IF(posicao_contratual!A14="","",posicao_contratual!B14)</f>
        <v/>
      </c>
      <c r="C16" s="191" t="str">
        <f>IF(OR(posicao_contratual!A14="",NOT(ISNUMBER(posicao_contratual!B14)),NOT(ISNUMBER(posicao_contratual!G14))),"",ROUND(posicao_contratual!B14*posicao_contratual!G14,2))</f>
        <v/>
      </c>
      <c r="D16" s="191" t="str">
        <f>IF(OR(posicao_contratual!A14="",NOT(ISNUMBER(posicao_contratual!B14)),NOT(ISNUMBER(posicao_contratual!K14))),"",ROUND(posicao_contratual!B14*posicao_contratual!K14,2))</f>
        <v/>
      </c>
      <c r="E16" s="191" t="str">
        <f>IF(OR(posicao_contratual!A14="",NOT(ISNUMBER(posicao_contratual!B14)),NOT(ISNUMBER(posicao_contratual!O14))),"",ROUND(posicao_contratual!B14*posicao_contratual!O14,2))</f>
        <v/>
      </c>
      <c r="F16" s="191" t="str">
        <f>IF(OR(posicao_contratual!A14="",NOT(ISNUMBER(posicao_contratual!B14)),NOT(ISNUMBER(posicao_contratual!S14))),"",ROUND(posicao_contratual!B14*posicao_contratual!S14,2))</f>
        <v/>
      </c>
      <c r="G16" s="191" t="str">
        <f>IF(OR(posicao_contratual!A14="",NOT(ISNUMBER(posicao_contratual!B14)),NOT(ISNUMBER(posicao_contratual!W14))),"",ROUND(posicao_contratual!B14*posicao_contratual!W14,2))</f>
        <v/>
      </c>
    </row>
    <row r="17" spans="1:7" x14ac:dyDescent="0.35">
      <c r="A17" t="str">
        <f>IF(posicao_contratual!A15="","",posicao_contratual!A15)</f>
        <v/>
      </c>
      <c r="B17" s="191" t="str">
        <f>IF(posicao_contratual!A15="","",posicao_contratual!B15)</f>
        <v/>
      </c>
      <c r="C17" s="191" t="str">
        <f>IF(OR(posicao_contratual!A15="",NOT(ISNUMBER(posicao_contratual!B15)),NOT(ISNUMBER(posicao_contratual!G15))),"",ROUND(posicao_contratual!B15*posicao_contratual!G15,2))</f>
        <v/>
      </c>
      <c r="D17" s="191" t="str">
        <f>IF(OR(posicao_contratual!A15="",NOT(ISNUMBER(posicao_contratual!B15)),NOT(ISNUMBER(posicao_contratual!K15))),"",ROUND(posicao_contratual!B15*posicao_contratual!K15,2))</f>
        <v/>
      </c>
      <c r="E17" s="191" t="str">
        <f>IF(OR(posicao_contratual!A15="",NOT(ISNUMBER(posicao_contratual!B15)),NOT(ISNUMBER(posicao_contratual!O15))),"",ROUND(posicao_contratual!B15*posicao_contratual!O15,2))</f>
        <v/>
      </c>
      <c r="F17" s="191" t="str">
        <f>IF(OR(posicao_contratual!A15="",NOT(ISNUMBER(posicao_contratual!B15)),NOT(ISNUMBER(posicao_contratual!S15))),"",ROUND(posicao_contratual!B15*posicao_contratual!S15,2))</f>
        <v/>
      </c>
      <c r="G17" s="191" t="str">
        <f>IF(OR(posicao_contratual!A15="",NOT(ISNUMBER(posicao_contratual!B15)),NOT(ISNUMBER(posicao_contratual!W15))),"",ROUND(posicao_contratual!B15*posicao_contratual!W15,2))</f>
        <v/>
      </c>
    </row>
    <row r="18" spans="1:7" x14ac:dyDescent="0.35">
      <c r="A18" t="str">
        <f>IF(posicao_contratual!A16="","",posicao_contratual!A16)</f>
        <v/>
      </c>
      <c r="B18" s="191" t="str">
        <f>IF(posicao_contratual!A16="","",posicao_contratual!B16)</f>
        <v/>
      </c>
      <c r="C18" s="191" t="str">
        <f>IF(OR(posicao_contratual!A16="",NOT(ISNUMBER(posicao_contratual!B16)),NOT(ISNUMBER(posicao_contratual!G16))),"",ROUND(posicao_contratual!B16*posicao_contratual!G16,2))</f>
        <v/>
      </c>
      <c r="D18" s="191" t="str">
        <f>IF(OR(posicao_contratual!A16="",NOT(ISNUMBER(posicao_contratual!B16)),NOT(ISNUMBER(posicao_contratual!K16))),"",ROUND(posicao_contratual!B16*posicao_contratual!K16,2))</f>
        <v/>
      </c>
      <c r="E18" s="191" t="str">
        <f>IF(OR(posicao_contratual!A16="",NOT(ISNUMBER(posicao_contratual!B16)),NOT(ISNUMBER(posicao_contratual!O16))),"",ROUND(posicao_contratual!B16*posicao_contratual!O16,2))</f>
        <v/>
      </c>
      <c r="F18" s="191" t="str">
        <f>IF(OR(posicao_contratual!A16="",NOT(ISNUMBER(posicao_contratual!B16)),NOT(ISNUMBER(posicao_contratual!S16))),"",ROUND(posicao_contratual!B16*posicao_contratual!S16,2))</f>
        <v/>
      </c>
      <c r="G18" s="191" t="str">
        <f>IF(OR(posicao_contratual!A16="",NOT(ISNUMBER(posicao_contratual!B16)),NOT(ISNUMBER(posicao_contratual!W16))),"",ROUND(posicao_contratual!B16*posicao_contratual!W16,2))</f>
        <v/>
      </c>
    </row>
    <row r="19" spans="1:7" x14ac:dyDescent="0.35">
      <c r="A19" t="str">
        <f>IF(posicao_contratual!A17="","",posicao_contratual!A17)</f>
        <v/>
      </c>
      <c r="B19" s="191" t="str">
        <f>IF(posicao_contratual!A17="","",posicao_contratual!B17)</f>
        <v/>
      </c>
      <c r="C19" s="191" t="str">
        <f>IF(OR(posicao_contratual!A17="",NOT(ISNUMBER(posicao_contratual!B17)),NOT(ISNUMBER(posicao_contratual!G17))),"",ROUND(posicao_contratual!B17*posicao_contratual!G17,2))</f>
        <v/>
      </c>
      <c r="D19" s="191" t="str">
        <f>IF(OR(posicao_contratual!A17="",NOT(ISNUMBER(posicao_contratual!B17)),NOT(ISNUMBER(posicao_contratual!K17))),"",ROUND(posicao_contratual!B17*posicao_contratual!K17,2))</f>
        <v/>
      </c>
      <c r="E19" s="191" t="str">
        <f>IF(OR(posicao_contratual!A17="",NOT(ISNUMBER(posicao_contratual!B17)),NOT(ISNUMBER(posicao_contratual!O17))),"",ROUND(posicao_contratual!B17*posicao_contratual!O17,2))</f>
        <v/>
      </c>
      <c r="F19" s="191" t="str">
        <f>IF(OR(posicao_contratual!A17="",NOT(ISNUMBER(posicao_contratual!B17)),NOT(ISNUMBER(posicao_contratual!S17))),"",ROUND(posicao_contratual!B17*posicao_contratual!S17,2))</f>
        <v/>
      </c>
      <c r="G19" s="191" t="str">
        <f>IF(OR(posicao_contratual!A17="",NOT(ISNUMBER(posicao_contratual!B17)),NOT(ISNUMBER(posicao_contratual!W17))),"",ROUND(posicao_contratual!B17*posicao_contratual!W17,2))</f>
        <v/>
      </c>
    </row>
    <row r="20" spans="1:7" x14ac:dyDescent="0.35">
      <c r="A20" t="str">
        <f>IF(posicao_contratual!A18="","",posicao_contratual!A18)</f>
        <v/>
      </c>
      <c r="B20" s="191" t="str">
        <f>IF(posicao_contratual!A18="","",posicao_contratual!B18)</f>
        <v/>
      </c>
      <c r="C20" s="191" t="str">
        <f>IF(OR(posicao_contratual!A18="",NOT(ISNUMBER(posicao_contratual!B18)),NOT(ISNUMBER(posicao_contratual!G18))),"",ROUND(posicao_contratual!B18*posicao_contratual!G18,2))</f>
        <v/>
      </c>
      <c r="D20" s="191" t="str">
        <f>IF(OR(posicao_contratual!A18="",NOT(ISNUMBER(posicao_contratual!B18)),NOT(ISNUMBER(posicao_contratual!K18))),"",ROUND(posicao_contratual!B18*posicao_contratual!K18,2))</f>
        <v/>
      </c>
      <c r="E20" s="191" t="str">
        <f>IF(OR(posicao_contratual!A18="",NOT(ISNUMBER(posicao_contratual!B18)),NOT(ISNUMBER(posicao_contratual!O18))),"",ROUND(posicao_contratual!B18*posicao_contratual!O18,2))</f>
        <v/>
      </c>
      <c r="F20" s="191" t="str">
        <f>IF(OR(posicao_contratual!A18="",NOT(ISNUMBER(posicao_contratual!B18)),NOT(ISNUMBER(posicao_contratual!S18))),"",ROUND(posicao_contratual!B18*posicao_contratual!S18,2))</f>
        <v/>
      </c>
      <c r="G20" s="191" t="str">
        <f>IF(OR(posicao_contratual!A18="",NOT(ISNUMBER(posicao_contratual!B18)),NOT(ISNUMBER(posicao_contratual!W18))),"",ROUND(posicao_contratual!B18*posicao_contratual!W18,2))</f>
        <v/>
      </c>
    </row>
    <row r="21" spans="1:7" x14ac:dyDescent="0.35">
      <c r="A21" t="str">
        <f>IF(posicao_contratual!A19="","",posicao_contratual!A19)</f>
        <v/>
      </c>
      <c r="B21" s="191" t="str">
        <f>IF(posicao_contratual!A19="","",posicao_contratual!B19)</f>
        <v/>
      </c>
      <c r="C21" s="191" t="str">
        <f>IF(OR(posicao_contratual!A19="",NOT(ISNUMBER(posicao_contratual!B19)),NOT(ISNUMBER(posicao_contratual!G19))),"",ROUND(posicao_contratual!B19*posicao_contratual!G19,2))</f>
        <v/>
      </c>
      <c r="D21" s="191" t="str">
        <f>IF(OR(posicao_contratual!A19="",NOT(ISNUMBER(posicao_contratual!B19)),NOT(ISNUMBER(posicao_contratual!K19))),"",ROUND(posicao_contratual!B19*posicao_contratual!K19,2))</f>
        <v/>
      </c>
      <c r="E21" s="191" t="str">
        <f>IF(OR(posicao_contratual!A19="",NOT(ISNUMBER(posicao_contratual!B19)),NOT(ISNUMBER(posicao_contratual!O19))),"",ROUND(posicao_contratual!B19*posicao_contratual!O19,2))</f>
        <v/>
      </c>
      <c r="F21" s="191" t="str">
        <f>IF(OR(posicao_contratual!A19="",NOT(ISNUMBER(posicao_contratual!B19)),NOT(ISNUMBER(posicao_contratual!S19))),"",ROUND(posicao_contratual!B19*posicao_contratual!S19,2))</f>
        <v/>
      </c>
      <c r="G21" s="191" t="str">
        <f>IF(OR(posicao_contratual!A19="",NOT(ISNUMBER(posicao_contratual!B19)),NOT(ISNUMBER(posicao_contratual!W19))),"",ROUND(posicao_contratual!B19*posicao_contratual!W19,2))</f>
        <v/>
      </c>
    </row>
    <row r="22" spans="1:7" x14ac:dyDescent="0.35">
      <c r="A22" t="str">
        <f>IF(posicao_contratual!A20="","",posicao_contratual!A20)</f>
        <v/>
      </c>
      <c r="B22" s="191" t="str">
        <f>IF(posicao_contratual!A20="","",posicao_contratual!B20)</f>
        <v/>
      </c>
      <c r="C22" s="191" t="str">
        <f>IF(OR(posicao_contratual!A20="",NOT(ISNUMBER(posicao_contratual!B20)),NOT(ISNUMBER(posicao_contratual!G20))),"",ROUND(posicao_contratual!B20*posicao_contratual!G20,2))</f>
        <v/>
      </c>
      <c r="D22" s="191" t="str">
        <f>IF(OR(posicao_contratual!A20="",NOT(ISNUMBER(posicao_contratual!B20)),NOT(ISNUMBER(posicao_contratual!K20))),"",ROUND(posicao_contratual!B20*posicao_contratual!K20,2))</f>
        <v/>
      </c>
      <c r="E22" s="191" t="str">
        <f>IF(OR(posicao_contratual!A20="",NOT(ISNUMBER(posicao_contratual!B20)),NOT(ISNUMBER(posicao_contratual!O20))),"",ROUND(posicao_contratual!B20*posicao_contratual!O20,2))</f>
        <v/>
      </c>
      <c r="F22" s="191" t="str">
        <f>IF(OR(posicao_contratual!A20="",NOT(ISNUMBER(posicao_contratual!B20)),NOT(ISNUMBER(posicao_contratual!S20))),"",ROUND(posicao_contratual!B20*posicao_contratual!S20,2))</f>
        <v/>
      </c>
      <c r="G22" s="191" t="str">
        <f>IF(OR(posicao_contratual!A20="",NOT(ISNUMBER(posicao_contratual!B20)),NOT(ISNUMBER(posicao_contratual!W20))),"",ROUND(posicao_contratual!B20*posicao_contratual!W20,2))</f>
        <v/>
      </c>
    </row>
    <row r="23" spans="1:7" x14ac:dyDescent="0.35">
      <c r="A23" t="str">
        <f>IF(posicao_contratual!A21="","",posicao_contratual!A21)</f>
        <v/>
      </c>
      <c r="B23" s="191" t="str">
        <f>IF(posicao_contratual!A21="","",posicao_contratual!B21)</f>
        <v/>
      </c>
      <c r="C23" s="191" t="str">
        <f>IF(OR(posicao_contratual!A21="",NOT(ISNUMBER(posicao_contratual!B21)),NOT(ISNUMBER(posicao_contratual!G21))),"",ROUND(posicao_contratual!B21*posicao_contratual!G21,2))</f>
        <v/>
      </c>
      <c r="D23" s="191" t="str">
        <f>IF(OR(posicao_contratual!A21="",NOT(ISNUMBER(posicao_contratual!B21)),NOT(ISNUMBER(posicao_contratual!K21))),"",ROUND(posicao_contratual!B21*posicao_contratual!K21,2))</f>
        <v/>
      </c>
      <c r="E23" s="191" t="str">
        <f>IF(OR(posicao_contratual!A21="",NOT(ISNUMBER(posicao_contratual!B21)),NOT(ISNUMBER(posicao_contratual!O21))),"",ROUND(posicao_contratual!B21*posicao_contratual!O21,2))</f>
        <v/>
      </c>
      <c r="F23" s="191" t="str">
        <f>IF(OR(posicao_contratual!A21="",NOT(ISNUMBER(posicao_contratual!B21)),NOT(ISNUMBER(posicao_contratual!S21))),"",ROUND(posicao_contratual!B21*posicao_contratual!S21,2))</f>
        <v/>
      </c>
      <c r="G23" s="191" t="str">
        <f>IF(OR(posicao_contratual!A21="",NOT(ISNUMBER(posicao_contratual!B21)),NOT(ISNUMBER(posicao_contratual!W21))),"",ROUND(posicao_contratual!B21*posicao_contratual!W21,2))</f>
        <v/>
      </c>
    </row>
    <row r="24" spans="1:7" x14ac:dyDescent="0.35">
      <c r="A24" t="str">
        <f>IF(posicao_contratual!A22="","",posicao_contratual!A22)</f>
        <v/>
      </c>
      <c r="B24" s="191" t="str">
        <f>IF(posicao_contratual!A22="","",posicao_contratual!B22)</f>
        <v/>
      </c>
      <c r="C24" s="191" t="str">
        <f>IF(OR(posicao_contratual!A22="",NOT(ISNUMBER(posicao_contratual!B22)),NOT(ISNUMBER(posicao_contratual!G22))),"",ROUND(posicao_contratual!B22*posicao_contratual!G22,2))</f>
        <v/>
      </c>
      <c r="D24" s="191" t="str">
        <f>IF(OR(posicao_contratual!A22="",NOT(ISNUMBER(posicao_contratual!B22)),NOT(ISNUMBER(posicao_contratual!K22))),"",ROUND(posicao_contratual!B22*posicao_contratual!K22,2))</f>
        <v/>
      </c>
      <c r="E24" s="191" t="str">
        <f>IF(OR(posicao_contratual!A22="",NOT(ISNUMBER(posicao_contratual!B22)),NOT(ISNUMBER(posicao_contratual!O22))),"",ROUND(posicao_contratual!B22*posicao_contratual!O22,2))</f>
        <v/>
      </c>
      <c r="F24" s="191" t="str">
        <f>IF(OR(posicao_contratual!A22="",NOT(ISNUMBER(posicao_contratual!B22)),NOT(ISNUMBER(posicao_contratual!S22))),"",ROUND(posicao_contratual!B22*posicao_contratual!S22,2))</f>
        <v/>
      </c>
      <c r="G24" s="191" t="str">
        <f>IF(OR(posicao_contratual!A22="",NOT(ISNUMBER(posicao_contratual!B22)),NOT(ISNUMBER(posicao_contratual!W22))),"",ROUND(posicao_contratual!B22*posicao_contratual!W22,2))</f>
        <v/>
      </c>
    </row>
    <row r="25" spans="1:7" x14ac:dyDescent="0.35">
      <c r="A25" t="str">
        <f>IF(posicao_contratual!A23="","",posicao_contratual!A23)</f>
        <v/>
      </c>
      <c r="B25" s="191" t="str">
        <f>IF(posicao_contratual!A23="","",posicao_contratual!B23)</f>
        <v/>
      </c>
      <c r="C25" s="191" t="str">
        <f>IF(OR(posicao_contratual!A23="",NOT(ISNUMBER(posicao_contratual!B23)),NOT(ISNUMBER(posicao_contratual!G23))),"",ROUND(posicao_contratual!B23*posicao_contratual!G23,2))</f>
        <v/>
      </c>
      <c r="D25" s="191" t="str">
        <f>IF(OR(posicao_contratual!A23="",NOT(ISNUMBER(posicao_contratual!B23)),NOT(ISNUMBER(posicao_contratual!K23))),"",ROUND(posicao_contratual!B23*posicao_contratual!K23,2))</f>
        <v/>
      </c>
      <c r="E25" s="191" t="str">
        <f>IF(OR(posicao_contratual!A23="",NOT(ISNUMBER(posicao_contratual!B23)),NOT(ISNUMBER(posicao_contratual!O23))),"",ROUND(posicao_contratual!B23*posicao_contratual!O23,2))</f>
        <v/>
      </c>
      <c r="F25" s="191" t="str">
        <f>IF(OR(posicao_contratual!A23="",NOT(ISNUMBER(posicao_contratual!B23)),NOT(ISNUMBER(posicao_contratual!S23))),"",ROUND(posicao_contratual!B23*posicao_contratual!S23,2))</f>
        <v/>
      </c>
      <c r="G25" s="191" t="str">
        <f>IF(OR(posicao_contratual!A23="",NOT(ISNUMBER(posicao_contratual!B23)),NOT(ISNUMBER(posicao_contratual!W23))),"",ROUND(posicao_contratual!B23*posicao_contratual!W23,2))</f>
        <v/>
      </c>
    </row>
    <row r="26" spans="1:7" x14ac:dyDescent="0.35">
      <c r="A26" t="str">
        <f>IF(posicao_contratual!A24="","",posicao_contratual!A24)</f>
        <v/>
      </c>
      <c r="B26" s="191" t="str">
        <f>IF(posicao_contratual!A24="","",posicao_contratual!B24)</f>
        <v/>
      </c>
      <c r="C26" s="191" t="str">
        <f>IF(OR(posicao_contratual!A24="",NOT(ISNUMBER(posicao_contratual!B24)),NOT(ISNUMBER(posicao_contratual!G24))),"",ROUND(posicao_contratual!B24*posicao_contratual!G24,2))</f>
        <v/>
      </c>
      <c r="D26" s="191" t="str">
        <f>IF(OR(posicao_contratual!A24="",NOT(ISNUMBER(posicao_contratual!B24)),NOT(ISNUMBER(posicao_contratual!K24))),"",ROUND(posicao_contratual!B24*posicao_contratual!K24,2))</f>
        <v/>
      </c>
      <c r="E26" s="191" t="str">
        <f>IF(OR(posicao_contratual!A24="",NOT(ISNUMBER(posicao_contratual!B24)),NOT(ISNUMBER(posicao_contratual!O24))),"",ROUND(posicao_contratual!B24*posicao_contratual!O24,2))</f>
        <v/>
      </c>
      <c r="F26" s="191" t="str">
        <f>IF(OR(posicao_contratual!A24="",NOT(ISNUMBER(posicao_contratual!B24)),NOT(ISNUMBER(posicao_contratual!S24))),"",ROUND(posicao_contratual!B24*posicao_contratual!S24,2))</f>
        <v/>
      </c>
      <c r="G26" s="191" t="str">
        <f>IF(OR(posicao_contratual!A24="",NOT(ISNUMBER(posicao_contratual!B24)),NOT(ISNUMBER(posicao_contratual!W24))),"",ROUND(posicao_contratual!B24*posicao_contratual!W24,2))</f>
        <v/>
      </c>
    </row>
    <row r="27" spans="1:7" x14ac:dyDescent="0.35">
      <c r="A27" t="str">
        <f>IF(posicao_contratual!A25="","",posicao_contratual!A25)</f>
        <v/>
      </c>
      <c r="B27" s="191" t="str">
        <f>IF(posicao_contratual!A25="","",posicao_contratual!B25)</f>
        <v/>
      </c>
      <c r="C27" s="191" t="str">
        <f>IF(OR(posicao_contratual!A25="",NOT(ISNUMBER(posicao_contratual!B25)),NOT(ISNUMBER(posicao_contratual!G25))),"",ROUND(posicao_contratual!B25*posicao_contratual!G25,2))</f>
        <v/>
      </c>
      <c r="D27" s="191" t="str">
        <f>IF(OR(posicao_contratual!A25="",NOT(ISNUMBER(posicao_contratual!B25)),NOT(ISNUMBER(posicao_contratual!K25))),"",ROUND(posicao_contratual!B25*posicao_contratual!K25,2))</f>
        <v/>
      </c>
      <c r="E27" s="191" t="str">
        <f>IF(OR(posicao_contratual!A25="",NOT(ISNUMBER(posicao_contratual!B25)),NOT(ISNUMBER(posicao_contratual!O25))),"",ROUND(posicao_contratual!B25*posicao_contratual!O25,2))</f>
        <v/>
      </c>
      <c r="F27" s="191" t="str">
        <f>IF(OR(posicao_contratual!A25="",NOT(ISNUMBER(posicao_contratual!B25)),NOT(ISNUMBER(posicao_contratual!S25))),"",ROUND(posicao_contratual!B25*posicao_contratual!S25,2))</f>
        <v/>
      </c>
      <c r="G27" s="191" t="str">
        <f>IF(OR(posicao_contratual!A25="",NOT(ISNUMBER(posicao_contratual!B25)),NOT(ISNUMBER(posicao_contratual!W25))),"",ROUND(posicao_contratual!B25*posicao_contratual!W25,2))</f>
        <v/>
      </c>
    </row>
    <row r="28" spans="1:7" x14ac:dyDescent="0.35">
      <c r="A28" t="str">
        <f>IF(posicao_contratual!A26="","",posicao_contratual!A26)</f>
        <v/>
      </c>
      <c r="B28" s="191" t="str">
        <f>IF(posicao_contratual!A26="","",posicao_contratual!B26)</f>
        <v/>
      </c>
      <c r="C28" s="191" t="str">
        <f>IF(OR(posicao_contratual!A26="",NOT(ISNUMBER(posicao_contratual!B26)),NOT(ISNUMBER(posicao_contratual!G26))),"",ROUND(posicao_contratual!B26*posicao_contratual!G26,2))</f>
        <v/>
      </c>
      <c r="D28" s="191" t="str">
        <f>IF(OR(posicao_contratual!A26="",NOT(ISNUMBER(posicao_contratual!B26)),NOT(ISNUMBER(posicao_contratual!K26))),"",ROUND(posicao_contratual!B26*posicao_contratual!K26,2))</f>
        <v/>
      </c>
      <c r="E28" s="191" t="str">
        <f>IF(OR(posicao_contratual!A26="",NOT(ISNUMBER(posicao_contratual!B26)),NOT(ISNUMBER(posicao_contratual!O26))),"",ROUND(posicao_contratual!B26*posicao_contratual!O26,2))</f>
        <v/>
      </c>
      <c r="F28" s="191" t="str">
        <f>IF(OR(posicao_contratual!A26="",NOT(ISNUMBER(posicao_contratual!B26)),NOT(ISNUMBER(posicao_contratual!S26))),"",ROUND(posicao_contratual!B26*posicao_contratual!S26,2))</f>
        <v/>
      </c>
      <c r="G28" s="191" t="str">
        <f>IF(OR(posicao_contratual!A26="",NOT(ISNUMBER(posicao_contratual!B26)),NOT(ISNUMBER(posicao_contratual!W26))),"",ROUND(posicao_contratual!B26*posicao_contratual!W26,2))</f>
        <v/>
      </c>
    </row>
    <row r="29" spans="1:7" x14ac:dyDescent="0.35">
      <c r="A29" t="str">
        <f>IF(posicao_contratual!A27="","",posicao_contratual!A27)</f>
        <v/>
      </c>
      <c r="B29" s="191" t="str">
        <f>IF(posicao_contratual!A27="","",posicao_contratual!B27)</f>
        <v/>
      </c>
      <c r="C29" s="191" t="str">
        <f>IF(OR(posicao_contratual!A27="",NOT(ISNUMBER(posicao_contratual!B27)),NOT(ISNUMBER(posicao_contratual!G27))),"",ROUND(posicao_contratual!B27*posicao_contratual!G27,2))</f>
        <v/>
      </c>
      <c r="D29" s="191" t="str">
        <f>IF(OR(posicao_contratual!A27="",NOT(ISNUMBER(posicao_contratual!B27)),NOT(ISNUMBER(posicao_contratual!K27))),"",ROUND(posicao_contratual!B27*posicao_contratual!K27,2))</f>
        <v/>
      </c>
      <c r="E29" s="191" t="str">
        <f>IF(OR(posicao_contratual!A27="",NOT(ISNUMBER(posicao_contratual!B27)),NOT(ISNUMBER(posicao_contratual!O27))),"",ROUND(posicao_contratual!B27*posicao_contratual!O27,2))</f>
        <v/>
      </c>
      <c r="F29" s="191" t="str">
        <f>IF(OR(posicao_contratual!A27="",NOT(ISNUMBER(posicao_contratual!B27)),NOT(ISNUMBER(posicao_contratual!S27))),"",ROUND(posicao_contratual!B27*posicao_contratual!S27,2))</f>
        <v/>
      </c>
      <c r="G29" s="191" t="str">
        <f>IF(OR(posicao_contratual!A27="",NOT(ISNUMBER(posicao_contratual!B27)),NOT(ISNUMBER(posicao_contratual!W27))),"",ROUND(posicao_contratual!B27*posicao_contratual!W27,2))</f>
        <v/>
      </c>
    </row>
    <row r="30" spans="1:7" x14ac:dyDescent="0.35">
      <c r="A30" t="str">
        <f>IF(posicao_contratual!A28="","",posicao_contratual!A28)</f>
        <v/>
      </c>
      <c r="B30" s="191" t="str">
        <f>IF(posicao_contratual!A28="","",posicao_contratual!B28)</f>
        <v/>
      </c>
      <c r="C30" s="191" t="str">
        <f>IF(OR(posicao_contratual!A28="",NOT(ISNUMBER(posicao_contratual!B28)),NOT(ISNUMBER(posicao_contratual!G28))),"",ROUND(posicao_contratual!B28*posicao_contratual!G28,2))</f>
        <v/>
      </c>
      <c r="D30" s="191" t="str">
        <f>IF(OR(posicao_contratual!A28="",NOT(ISNUMBER(posicao_contratual!B28)),NOT(ISNUMBER(posicao_contratual!K28))),"",ROUND(posicao_contratual!B28*posicao_contratual!K28,2))</f>
        <v/>
      </c>
      <c r="E30" s="191" t="str">
        <f>IF(OR(posicao_contratual!A28="",NOT(ISNUMBER(posicao_contratual!B28)),NOT(ISNUMBER(posicao_contratual!O28))),"",ROUND(posicao_contratual!B28*posicao_contratual!O28,2))</f>
        <v/>
      </c>
      <c r="F30" s="191" t="str">
        <f>IF(OR(posicao_contratual!A28="",NOT(ISNUMBER(posicao_contratual!B28)),NOT(ISNUMBER(posicao_contratual!S28))),"",ROUND(posicao_contratual!B28*posicao_contratual!S28,2))</f>
        <v/>
      </c>
      <c r="G30" s="191" t="str">
        <f>IF(OR(posicao_contratual!A28="",NOT(ISNUMBER(posicao_contratual!B28)),NOT(ISNUMBER(posicao_contratual!W28))),"",ROUND(posicao_contratual!B28*posicao_contratual!W28,2))</f>
        <v/>
      </c>
    </row>
    <row r="31" spans="1:7" x14ac:dyDescent="0.35">
      <c r="A31" t="str">
        <f>IF(posicao_contratual!A29="","",posicao_contratual!A29)</f>
        <v/>
      </c>
      <c r="B31" s="191" t="str">
        <f>IF(posicao_contratual!A29="","",posicao_contratual!B29)</f>
        <v/>
      </c>
      <c r="C31" s="191" t="str">
        <f>IF(OR(posicao_contratual!A29="",NOT(ISNUMBER(posicao_contratual!B29)),NOT(ISNUMBER(posicao_contratual!G29))),"",ROUND(posicao_contratual!B29*posicao_contratual!G29,2))</f>
        <v/>
      </c>
      <c r="D31" s="191" t="str">
        <f>IF(OR(posicao_contratual!A29="",NOT(ISNUMBER(posicao_contratual!B29)),NOT(ISNUMBER(posicao_contratual!K29))),"",ROUND(posicao_contratual!B29*posicao_contratual!K29,2))</f>
        <v/>
      </c>
      <c r="E31" s="191" t="str">
        <f>IF(OR(posicao_contratual!A29="",NOT(ISNUMBER(posicao_contratual!B29)),NOT(ISNUMBER(posicao_contratual!O29))),"",ROUND(posicao_contratual!B29*posicao_contratual!O29,2))</f>
        <v/>
      </c>
      <c r="F31" s="191" t="str">
        <f>IF(OR(posicao_contratual!A29="",NOT(ISNUMBER(posicao_contratual!B29)),NOT(ISNUMBER(posicao_contratual!S29))),"",ROUND(posicao_contratual!B29*posicao_contratual!S29,2))</f>
        <v/>
      </c>
      <c r="G31" s="191" t="str">
        <f>IF(OR(posicao_contratual!A29="",NOT(ISNUMBER(posicao_contratual!B29)),NOT(ISNUMBER(posicao_contratual!W29))),"",ROUND(posicao_contratual!B29*posicao_contratual!W29,2))</f>
        <v/>
      </c>
    </row>
    <row r="32" spans="1:7" x14ac:dyDescent="0.35">
      <c r="A32" t="str">
        <f>IF(posicao_contratual!A30="","",posicao_contratual!A30)</f>
        <v/>
      </c>
      <c r="B32" s="191" t="str">
        <f>IF(posicao_contratual!A30="","",posicao_contratual!B30)</f>
        <v/>
      </c>
      <c r="C32" s="191" t="str">
        <f>IF(OR(posicao_contratual!A30="",NOT(ISNUMBER(posicao_contratual!B30)),NOT(ISNUMBER(posicao_contratual!G30))),"",ROUND(posicao_contratual!B30*posicao_contratual!G30,2))</f>
        <v/>
      </c>
      <c r="D32" s="191" t="str">
        <f>IF(OR(posicao_contratual!A30="",NOT(ISNUMBER(posicao_contratual!B30)),NOT(ISNUMBER(posicao_contratual!K30))),"",ROUND(posicao_contratual!B30*posicao_contratual!K30,2))</f>
        <v/>
      </c>
      <c r="E32" s="191" t="str">
        <f>IF(OR(posicao_contratual!A30="",NOT(ISNUMBER(posicao_contratual!B30)),NOT(ISNUMBER(posicao_contratual!O30))),"",ROUND(posicao_contratual!B30*posicao_contratual!O30,2))</f>
        <v/>
      </c>
      <c r="F32" s="191" t="str">
        <f>IF(OR(posicao_contratual!A30="",NOT(ISNUMBER(posicao_contratual!B30)),NOT(ISNUMBER(posicao_contratual!S30))),"",ROUND(posicao_contratual!B30*posicao_contratual!S30,2))</f>
        <v/>
      </c>
      <c r="G32" s="191" t="str">
        <f>IF(OR(posicao_contratual!A30="",NOT(ISNUMBER(posicao_contratual!B30)),NOT(ISNUMBER(posicao_contratual!W30))),"",ROUND(posicao_contratual!B30*posicao_contratual!W30,2))</f>
        <v/>
      </c>
    </row>
    <row r="33" spans="1:7" x14ac:dyDescent="0.35">
      <c r="A33" t="str">
        <f>IF(posicao_contratual!A31="","",posicao_contratual!A31)</f>
        <v/>
      </c>
      <c r="B33" s="191" t="str">
        <f>IF(posicao_contratual!A31="","",posicao_contratual!B31)</f>
        <v/>
      </c>
      <c r="C33" s="191" t="str">
        <f>IF(OR(posicao_contratual!A31="",NOT(ISNUMBER(posicao_contratual!B31)),NOT(ISNUMBER(posicao_contratual!G31))),"",ROUND(posicao_contratual!B31*posicao_contratual!G31,2))</f>
        <v/>
      </c>
      <c r="D33" s="191" t="str">
        <f>IF(OR(posicao_contratual!A31="",NOT(ISNUMBER(posicao_contratual!B31)),NOT(ISNUMBER(posicao_contratual!K31))),"",ROUND(posicao_contratual!B31*posicao_contratual!K31,2))</f>
        <v/>
      </c>
      <c r="E33" s="191" t="str">
        <f>IF(OR(posicao_contratual!A31="",NOT(ISNUMBER(posicao_contratual!B31)),NOT(ISNUMBER(posicao_contratual!O31))),"",ROUND(posicao_contratual!B31*posicao_contratual!O31,2))</f>
        <v/>
      </c>
      <c r="F33" s="191" t="str">
        <f>IF(OR(posicao_contratual!A31="",NOT(ISNUMBER(posicao_contratual!B31)),NOT(ISNUMBER(posicao_contratual!S31))),"",ROUND(posicao_contratual!B31*posicao_contratual!S31,2))</f>
        <v/>
      </c>
      <c r="G33" s="191" t="str">
        <f>IF(OR(posicao_contratual!A31="",NOT(ISNUMBER(posicao_contratual!B31)),NOT(ISNUMBER(posicao_contratual!W31))),"",ROUND(posicao_contratual!B31*posicao_contratual!W31,2))</f>
        <v/>
      </c>
    </row>
    <row r="34" spans="1:7" x14ac:dyDescent="0.35">
      <c r="A34" t="str">
        <f>IF(posicao_contratual!A32="","",posicao_contratual!A32)</f>
        <v/>
      </c>
      <c r="B34" s="191" t="str">
        <f>IF(posicao_contratual!A32="","",posicao_contratual!B32)</f>
        <v/>
      </c>
      <c r="C34" s="191" t="str">
        <f>IF(OR(posicao_contratual!A32="",NOT(ISNUMBER(posicao_contratual!B32)),NOT(ISNUMBER(posicao_contratual!G32))),"",ROUND(posicao_contratual!B32*posicao_contratual!G32,2))</f>
        <v/>
      </c>
      <c r="D34" s="191" t="str">
        <f>IF(OR(posicao_contratual!A32="",NOT(ISNUMBER(posicao_contratual!B32)),NOT(ISNUMBER(posicao_contratual!K32))),"",ROUND(posicao_contratual!B32*posicao_contratual!K32,2))</f>
        <v/>
      </c>
      <c r="E34" s="191" t="str">
        <f>IF(OR(posicao_contratual!A32="",NOT(ISNUMBER(posicao_contratual!B32)),NOT(ISNUMBER(posicao_contratual!O32))),"",ROUND(posicao_contratual!B32*posicao_contratual!O32,2))</f>
        <v/>
      </c>
      <c r="F34" s="191" t="str">
        <f>IF(OR(posicao_contratual!A32="",NOT(ISNUMBER(posicao_contratual!B32)),NOT(ISNUMBER(posicao_contratual!S32))),"",ROUND(posicao_contratual!B32*posicao_contratual!S32,2))</f>
        <v/>
      </c>
      <c r="G34" s="191" t="str">
        <f>IF(OR(posicao_contratual!A32="",NOT(ISNUMBER(posicao_contratual!B32)),NOT(ISNUMBER(posicao_contratual!W32))),"",ROUND(posicao_contratual!B32*posicao_contratual!W32,2))</f>
        <v/>
      </c>
    </row>
    <row r="35" spans="1:7" x14ac:dyDescent="0.35">
      <c r="A35" t="str">
        <f>IF(posicao_contratual!A33="","",posicao_contratual!A33)</f>
        <v/>
      </c>
      <c r="B35" s="191" t="str">
        <f>IF(posicao_contratual!A33="","",posicao_contratual!B33)</f>
        <v/>
      </c>
      <c r="C35" s="191" t="str">
        <f>IF(OR(posicao_contratual!A33="",NOT(ISNUMBER(posicao_contratual!B33)),NOT(ISNUMBER(posicao_contratual!G33))),"",ROUND(posicao_contratual!B33*posicao_contratual!G33,2))</f>
        <v/>
      </c>
      <c r="D35" s="191" t="str">
        <f>IF(OR(posicao_contratual!A33="",NOT(ISNUMBER(posicao_contratual!B33)),NOT(ISNUMBER(posicao_contratual!K33))),"",ROUND(posicao_contratual!B33*posicao_contratual!K33,2))</f>
        <v/>
      </c>
      <c r="E35" s="191" t="str">
        <f>IF(OR(posicao_contratual!A33="",NOT(ISNUMBER(posicao_contratual!B33)),NOT(ISNUMBER(posicao_contratual!O33))),"",ROUND(posicao_contratual!B33*posicao_contratual!O33,2))</f>
        <v/>
      </c>
      <c r="F35" s="191" t="str">
        <f>IF(OR(posicao_contratual!A33="",NOT(ISNUMBER(posicao_contratual!B33)),NOT(ISNUMBER(posicao_contratual!S33))),"",ROUND(posicao_contratual!B33*posicao_contratual!S33,2))</f>
        <v/>
      </c>
      <c r="G35" s="191" t="str">
        <f>IF(OR(posicao_contratual!A33="",NOT(ISNUMBER(posicao_contratual!B33)),NOT(ISNUMBER(posicao_contratual!W33))),"",ROUND(posicao_contratual!B33*posicao_contratual!W33,2))</f>
        <v/>
      </c>
    </row>
    <row r="36" spans="1:7" x14ac:dyDescent="0.35">
      <c r="A36" t="str">
        <f>IF(posicao_contratual!A34="","",posicao_contratual!A34)</f>
        <v/>
      </c>
      <c r="B36" s="191" t="str">
        <f>IF(posicao_contratual!A34="","",posicao_contratual!B34)</f>
        <v/>
      </c>
      <c r="C36" s="191" t="str">
        <f>IF(OR(posicao_contratual!A34="",NOT(ISNUMBER(posicao_contratual!B34)),NOT(ISNUMBER(posicao_contratual!G34))),"",ROUND(posicao_contratual!B34*posicao_contratual!G34,2))</f>
        <v/>
      </c>
      <c r="D36" s="191" t="str">
        <f>IF(OR(posicao_contratual!A34="",NOT(ISNUMBER(posicao_contratual!B34)),NOT(ISNUMBER(posicao_contratual!K34))),"",ROUND(posicao_contratual!B34*posicao_contratual!K34,2))</f>
        <v/>
      </c>
      <c r="E36" s="191" t="str">
        <f>IF(OR(posicao_contratual!A34="",NOT(ISNUMBER(posicao_contratual!B34)),NOT(ISNUMBER(posicao_contratual!O34))),"",ROUND(posicao_contratual!B34*posicao_contratual!O34,2))</f>
        <v/>
      </c>
      <c r="F36" s="191" t="str">
        <f>IF(OR(posicao_contratual!A34="",NOT(ISNUMBER(posicao_contratual!B34)),NOT(ISNUMBER(posicao_contratual!S34))),"",ROUND(posicao_contratual!B34*posicao_contratual!S34,2))</f>
        <v/>
      </c>
      <c r="G36" s="191" t="str">
        <f>IF(OR(posicao_contratual!A34="",NOT(ISNUMBER(posicao_contratual!B34)),NOT(ISNUMBER(posicao_contratual!W34))),"",ROUND(posicao_contratual!B34*posicao_contratual!W34,2))</f>
        <v/>
      </c>
    </row>
    <row r="37" spans="1:7" x14ac:dyDescent="0.35">
      <c r="A37" t="str">
        <f>IF(posicao_contratual!A35="","",posicao_contratual!A35)</f>
        <v/>
      </c>
      <c r="B37" s="191" t="str">
        <f>IF(posicao_contratual!A35="","",posicao_contratual!B35)</f>
        <v/>
      </c>
      <c r="C37" s="191" t="str">
        <f>IF(OR(posicao_contratual!A35="",NOT(ISNUMBER(posicao_contratual!B35)),NOT(ISNUMBER(posicao_contratual!G35))),"",ROUND(posicao_contratual!B35*posicao_contratual!G35,2))</f>
        <v/>
      </c>
      <c r="D37" s="191" t="str">
        <f>IF(OR(posicao_contratual!A35="",NOT(ISNUMBER(posicao_contratual!B35)),NOT(ISNUMBER(posicao_contratual!K35))),"",ROUND(posicao_contratual!B35*posicao_contratual!K35,2))</f>
        <v/>
      </c>
      <c r="E37" s="191" t="str">
        <f>IF(OR(posicao_contratual!A35="",NOT(ISNUMBER(posicao_contratual!B35)),NOT(ISNUMBER(posicao_contratual!O35))),"",ROUND(posicao_contratual!B35*posicao_contratual!O35,2))</f>
        <v/>
      </c>
      <c r="F37" s="191" t="str">
        <f>IF(OR(posicao_contratual!A35="",NOT(ISNUMBER(posicao_contratual!B35)),NOT(ISNUMBER(posicao_contratual!S35))),"",ROUND(posicao_contratual!B35*posicao_contratual!S35,2))</f>
        <v/>
      </c>
      <c r="G37" s="191" t="str">
        <f>IF(OR(posicao_contratual!A35="",NOT(ISNUMBER(posicao_contratual!B35)),NOT(ISNUMBER(posicao_contratual!W35))),"",ROUND(posicao_contratual!B35*posicao_contratual!W35,2))</f>
        <v/>
      </c>
    </row>
    <row r="38" spans="1:7" x14ac:dyDescent="0.35">
      <c r="A38" t="str">
        <f>IF(posicao_contratual!A36="","",posicao_contratual!A36)</f>
        <v/>
      </c>
      <c r="B38" s="191" t="str">
        <f>IF(posicao_contratual!A36="","",posicao_contratual!B36)</f>
        <v/>
      </c>
      <c r="C38" s="191" t="str">
        <f>IF(OR(posicao_contratual!A36="",NOT(ISNUMBER(posicao_contratual!B36)),NOT(ISNUMBER(posicao_contratual!G36))),"",ROUND(posicao_contratual!B36*posicao_contratual!G36,2))</f>
        <v/>
      </c>
      <c r="D38" s="191" t="str">
        <f>IF(OR(posicao_contratual!A36="",NOT(ISNUMBER(posicao_contratual!B36)),NOT(ISNUMBER(posicao_contratual!K36))),"",ROUND(posicao_contratual!B36*posicao_contratual!K36,2))</f>
        <v/>
      </c>
      <c r="E38" s="191" t="str">
        <f>IF(OR(posicao_contratual!A36="",NOT(ISNUMBER(posicao_contratual!B36)),NOT(ISNUMBER(posicao_contratual!O36))),"",ROUND(posicao_contratual!B36*posicao_contratual!O36,2))</f>
        <v/>
      </c>
      <c r="F38" s="191" t="str">
        <f>IF(OR(posicao_contratual!A36="",NOT(ISNUMBER(posicao_contratual!B36)),NOT(ISNUMBER(posicao_contratual!S36))),"",ROUND(posicao_contratual!B36*posicao_contratual!S36,2))</f>
        <v/>
      </c>
      <c r="G38" s="191" t="str">
        <f>IF(OR(posicao_contratual!A36="",NOT(ISNUMBER(posicao_contratual!B36)),NOT(ISNUMBER(posicao_contratual!W36))),"",ROUND(posicao_contratual!B36*posicao_contratual!W36,2))</f>
        <v/>
      </c>
    </row>
    <row r="39" spans="1:7" x14ac:dyDescent="0.35">
      <c r="A39" t="str">
        <f>IF(posicao_contratual!A37="","",posicao_contratual!A37)</f>
        <v/>
      </c>
      <c r="B39" s="191" t="str">
        <f>IF(posicao_contratual!A37="","",posicao_contratual!B37)</f>
        <v/>
      </c>
      <c r="C39" s="191" t="str">
        <f>IF(OR(posicao_contratual!A37="",NOT(ISNUMBER(posicao_contratual!B37)),NOT(ISNUMBER(posicao_contratual!G37))),"",ROUND(posicao_contratual!B37*posicao_contratual!G37,2))</f>
        <v/>
      </c>
      <c r="D39" s="191" t="str">
        <f>IF(OR(posicao_contratual!A37="",NOT(ISNUMBER(posicao_contratual!B37)),NOT(ISNUMBER(posicao_contratual!K37))),"",ROUND(posicao_contratual!B37*posicao_contratual!K37,2))</f>
        <v/>
      </c>
      <c r="E39" s="191" t="str">
        <f>IF(OR(posicao_contratual!A37="",NOT(ISNUMBER(posicao_contratual!B37)),NOT(ISNUMBER(posicao_contratual!O37))),"",ROUND(posicao_contratual!B37*posicao_contratual!O37,2))</f>
        <v/>
      </c>
      <c r="F39" s="191" t="str">
        <f>IF(OR(posicao_contratual!A37="",NOT(ISNUMBER(posicao_contratual!B37)),NOT(ISNUMBER(posicao_contratual!S37))),"",ROUND(posicao_contratual!B37*posicao_contratual!S37,2))</f>
        <v/>
      </c>
      <c r="G39" s="191" t="str">
        <f>IF(OR(posicao_contratual!A37="",NOT(ISNUMBER(posicao_contratual!B37)),NOT(ISNUMBER(posicao_contratual!W37))),"",ROUND(posicao_contratual!B37*posicao_contratual!W37,2))</f>
        <v/>
      </c>
    </row>
    <row r="40" spans="1:7" x14ac:dyDescent="0.35">
      <c r="A40" t="str">
        <f>IF(posicao_contratual!A38="","",posicao_contratual!A38)</f>
        <v/>
      </c>
      <c r="B40" s="191" t="str">
        <f>IF(posicao_contratual!A38="","",posicao_contratual!B38)</f>
        <v/>
      </c>
      <c r="C40" s="191" t="str">
        <f>IF(OR(posicao_contratual!A38="",NOT(ISNUMBER(posicao_contratual!B38)),NOT(ISNUMBER(posicao_contratual!G38))),"",ROUND(posicao_contratual!B38*posicao_contratual!G38,2))</f>
        <v/>
      </c>
      <c r="D40" s="191" t="str">
        <f>IF(OR(posicao_contratual!A38="",NOT(ISNUMBER(posicao_contratual!B38)),NOT(ISNUMBER(posicao_contratual!K38))),"",ROUND(posicao_contratual!B38*posicao_contratual!K38,2))</f>
        <v/>
      </c>
      <c r="E40" s="191" t="str">
        <f>IF(OR(posicao_contratual!A38="",NOT(ISNUMBER(posicao_contratual!B38)),NOT(ISNUMBER(posicao_contratual!O38))),"",ROUND(posicao_contratual!B38*posicao_contratual!O38,2))</f>
        <v/>
      </c>
      <c r="F40" s="191" t="str">
        <f>IF(OR(posicao_contratual!A38="",NOT(ISNUMBER(posicao_contratual!B38)),NOT(ISNUMBER(posicao_contratual!S38))),"",ROUND(posicao_contratual!B38*posicao_contratual!S38,2))</f>
        <v/>
      </c>
      <c r="G40" s="191" t="str">
        <f>IF(OR(posicao_contratual!A38="",NOT(ISNUMBER(posicao_contratual!B38)),NOT(ISNUMBER(posicao_contratual!W38))),"",ROUND(posicao_contratual!B38*posicao_contratual!W38,2))</f>
        <v/>
      </c>
    </row>
    <row r="41" spans="1:7" x14ac:dyDescent="0.35">
      <c r="A41" t="str">
        <f>IF(posicao_contratual!A39="","",posicao_contratual!A39)</f>
        <v/>
      </c>
      <c r="B41" s="191" t="str">
        <f>IF(posicao_contratual!A39="","",posicao_contratual!B39)</f>
        <v/>
      </c>
      <c r="C41" s="191" t="str">
        <f>IF(OR(posicao_contratual!A39="",NOT(ISNUMBER(posicao_contratual!B39)),NOT(ISNUMBER(posicao_contratual!G39))),"",ROUND(posicao_contratual!B39*posicao_contratual!G39,2))</f>
        <v/>
      </c>
      <c r="D41" s="191" t="str">
        <f>IF(OR(posicao_contratual!A39="",NOT(ISNUMBER(posicao_contratual!B39)),NOT(ISNUMBER(posicao_contratual!K39))),"",ROUND(posicao_contratual!B39*posicao_contratual!K39,2))</f>
        <v/>
      </c>
      <c r="E41" s="191" t="str">
        <f>IF(OR(posicao_contratual!A39="",NOT(ISNUMBER(posicao_contratual!B39)),NOT(ISNUMBER(posicao_contratual!O39))),"",ROUND(posicao_contratual!B39*posicao_contratual!O39,2))</f>
        <v/>
      </c>
      <c r="F41" s="191" t="str">
        <f>IF(OR(posicao_contratual!A39="",NOT(ISNUMBER(posicao_contratual!B39)),NOT(ISNUMBER(posicao_contratual!S39))),"",ROUND(posicao_contratual!B39*posicao_contratual!S39,2))</f>
        <v/>
      </c>
      <c r="G41" s="191" t="str">
        <f>IF(OR(posicao_contratual!A39="",NOT(ISNUMBER(posicao_contratual!B39)),NOT(ISNUMBER(posicao_contratual!W39))),"",ROUND(posicao_contratual!B39*posicao_contratual!W39,2))</f>
        <v/>
      </c>
    </row>
    <row r="42" spans="1:7" x14ac:dyDescent="0.35">
      <c r="A42" t="str">
        <f>IF(posicao_contratual!A40="","",posicao_contratual!A40)</f>
        <v/>
      </c>
      <c r="B42" s="191" t="str">
        <f>IF(posicao_contratual!A40="","",posicao_contratual!B40)</f>
        <v/>
      </c>
      <c r="C42" s="191" t="str">
        <f>IF(OR(posicao_contratual!A40="",NOT(ISNUMBER(posicao_contratual!B40)),NOT(ISNUMBER(posicao_contratual!G40))),"",ROUND(posicao_contratual!B40*posicao_contratual!G40,2))</f>
        <v/>
      </c>
      <c r="D42" s="191" t="str">
        <f>IF(OR(posicao_contratual!A40="",NOT(ISNUMBER(posicao_contratual!B40)),NOT(ISNUMBER(posicao_contratual!K40))),"",ROUND(posicao_contratual!B40*posicao_contratual!K40,2))</f>
        <v/>
      </c>
      <c r="E42" s="191" t="str">
        <f>IF(OR(posicao_contratual!A40="",NOT(ISNUMBER(posicao_contratual!B40)),NOT(ISNUMBER(posicao_contratual!O40))),"",ROUND(posicao_contratual!B40*posicao_contratual!O40,2))</f>
        <v/>
      </c>
      <c r="F42" s="191" t="str">
        <f>IF(OR(posicao_contratual!A40="",NOT(ISNUMBER(posicao_contratual!B40)),NOT(ISNUMBER(posicao_contratual!S40))),"",ROUND(posicao_contratual!B40*posicao_contratual!S40,2))</f>
        <v/>
      </c>
      <c r="G42" s="191" t="str">
        <f>IF(OR(posicao_contratual!A40="",NOT(ISNUMBER(posicao_contratual!B40)),NOT(ISNUMBER(posicao_contratual!W40))),"",ROUND(posicao_contratual!B40*posicao_contratual!W40,2))</f>
        <v/>
      </c>
    </row>
    <row r="43" spans="1:7" x14ac:dyDescent="0.35">
      <c r="A43" t="str">
        <f>IF(posicao_contratual!A41="","",posicao_contratual!A41)</f>
        <v/>
      </c>
      <c r="B43" s="191" t="str">
        <f>IF(posicao_contratual!A41="","",posicao_contratual!B41)</f>
        <v/>
      </c>
      <c r="C43" s="191" t="str">
        <f>IF(OR(posicao_contratual!A41="",NOT(ISNUMBER(posicao_contratual!B41)),NOT(ISNUMBER(posicao_contratual!G41))),"",ROUND(posicao_contratual!B41*posicao_contratual!G41,2))</f>
        <v/>
      </c>
      <c r="D43" s="191" t="str">
        <f>IF(OR(posicao_contratual!A41="",NOT(ISNUMBER(posicao_contratual!B41)),NOT(ISNUMBER(posicao_contratual!K41))),"",ROUND(posicao_contratual!B41*posicao_contratual!K41,2))</f>
        <v/>
      </c>
      <c r="E43" s="191" t="str">
        <f>IF(OR(posicao_contratual!A41="",NOT(ISNUMBER(posicao_contratual!B41)),NOT(ISNUMBER(posicao_contratual!O41))),"",ROUND(posicao_contratual!B41*posicao_contratual!O41,2))</f>
        <v/>
      </c>
      <c r="F43" s="191" t="str">
        <f>IF(OR(posicao_contratual!A41="",NOT(ISNUMBER(posicao_contratual!B41)),NOT(ISNUMBER(posicao_contratual!S41))),"",ROUND(posicao_contratual!B41*posicao_contratual!S41,2))</f>
        <v/>
      </c>
      <c r="G43" s="191" t="str">
        <f>IF(OR(posicao_contratual!A41="",NOT(ISNUMBER(posicao_contratual!B41)),NOT(ISNUMBER(posicao_contratual!W41))),"",ROUND(posicao_contratual!B41*posicao_contratual!W41,2))</f>
        <v/>
      </c>
    </row>
    <row r="44" spans="1:7" x14ac:dyDescent="0.35">
      <c r="A44" t="str">
        <f>IF(posicao_contratual!A42="","",posicao_contratual!A42)</f>
        <v/>
      </c>
      <c r="B44" s="191" t="str">
        <f>IF(posicao_contratual!A42="","",posicao_contratual!B42)</f>
        <v/>
      </c>
      <c r="C44" s="191" t="str">
        <f>IF(OR(posicao_contratual!A42="",NOT(ISNUMBER(posicao_contratual!B42)),NOT(ISNUMBER(posicao_contratual!G42))),"",ROUND(posicao_contratual!B42*posicao_contratual!G42,2))</f>
        <v/>
      </c>
      <c r="D44" s="191" t="str">
        <f>IF(OR(posicao_contratual!A42="",NOT(ISNUMBER(posicao_contratual!B42)),NOT(ISNUMBER(posicao_contratual!K42))),"",ROUND(posicao_contratual!B42*posicao_contratual!K42,2))</f>
        <v/>
      </c>
      <c r="E44" s="191" t="str">
        <f>IF(OR(posicao_contratual!A42="",NOT(ISNUMBER(posicao_contratual!B42)),NOT(ISNUMBER(posicao_contratual!O42))),"",ROUND(posicao_contratual!B42*posicao_contratual!O42,2))</f>
        <v/>
      </c>
      <c r="F44" s="191" t="str">
        <f>IF(OR(posicao_contratual!A42="",NOT(ISNUMBER(posicao_contratual!B42)),NOT(ISNUMBER(posicao_contratual!S42))),"",ROUND(posicao_contratual!B42*posicao_contratual!S42,2))</f>
        <v/>
      </c>
      <c r="G44" s="191" t="str">
        <f>IF(OR(posicao_contratual!A42="",NOT(ISNUMBER(posicao_contratual!B42)),NOT(ISNUMBER(posicao_contratual!W42))),"",ROUND(posicao_contratual!B42*posicao_contratual!W42,2))</f>
        <v/>
      </c>
    </row>
    <row r="45" spans="1:7" x14ac:dyDescent="0.35">
      <c r="A45" t="str">
        <f>IF(posicao_contratual!A43="","",posicao_contratual!A43)</f>
        <v/>
      </c>
      <c r="B45" s="191" t="str">
        <f>IF(posicao_contratual!A43="","",posicao_contratual!B43)</f>
        <v/>
      </c>
      <c r="C45" s="191" t="str">
        <f>IF(OR(posicao_contratual!A43="",NOT(ISNUMBER(posicao_contratual!B43)),NOT(ISNUMBER(posicao_contratual!G43))),"",ROUND(posicao_contratual!B43*posicao_contratual!G43,2))</f>
        <v/>
      </c>
      <c r="D45" s="191" t="str">
        <f>IF(OR(posicao_contratual!A43="",NOT(ISNUMBER(posicao_contratual!B43)),NOT(ISNUMBER(posicao_contratual!K43))),"",ROUND(posicao_contratual!B43*posicao_contratual!K43,2))</f>
        <v/>
      </c>
      <c r="E45" s="191" t="str">
        <f>IF(OR(posicao_contratual!A43="",NOT(ISNUMBER(posicao_contratual!B43)),NOT(ISNUMBER(posicao_contratual!O43))),"",ROUND(posicao_contratual!B43*posicao_contratual!O43,2))</f>
        <v/>
      </c>
      <c r="F45" s="191" t="str">
        <f>IF(OR(posicao_contratual!A43="",NOT(ISNUMBER(posicao_contratual!B43)),NOT(ISNUMBER(posicao_contratual!S43))),"",ROUND(posicao_contratual!B43*posicao_contratual!S43,2))</f>
        <v/>
      </c>
      <c r="G45" s="191" t="str">
        <f>IF(OR(posicao_contratual!A43="",NOT(ISNUMBER(posicao_contratual!B43)),NOT(ISNUMBER(posicao_contratual!W43))),"",ROUND(posicao_contratual!B43*posicao_contratual!W43,2))</f>
        <v/>
      </c>
    </row>
    <row r="46" spans="1:7" x14ac:dyDescent="0.35">
      <c r="A46" t="str">
        <f>IF(posicao_contratual!A44="","",posicao_contratual!A44)</f>
        <v/>
      </c>
      <c r="B46" s="191" t="str">
        <f>IF(posicao_contratual!A44="","",posicao_contratual!B44)</f>
        <v/>
      </c>
      <c r="C46" s="191" t="str">
        <f>IF(OR(posicao_contratual!A44="",NOT(ISNUMBER(posicao_contratual!B44)),NOT(ISNUMBER(posicao_contratual!G44))),"",ROUND(posicao_contratual!B44*posicao_contratual!G44,2))</f>
        <v/>
      </c>
      <c r="D46" s="191" t="str">
        <f>IF(OR(posicao_contratual!A44="",NOT(ISNUMBER(posicao_contratual!B44)),NOT(ISNUMBER(posicao_contratual!K44))),"",ROUND(posicao_contratual!B44*posicao_contratual!K44,2))</f>
        <v/>
      </c>
      <c r="E46" s="191" t="str">
        <f>IF(OR(posicao_contratual!A44="",NOT(ISNUMBER(posicao_contratual!B44)),NOT(ISNUMBER(posicao_contratual!O44))),"",ROUND(posicao_contratual!B44*posicao_contratual!O44,2))</f>
        <v/>
      </c>
      <c r="F46" s="191" t="str">
        <f>IF(OR(posicao_contratual!A44="",NOT(ISNUMBER(posicao_contratual!B44)),NOT(ISNUMBER(posicao_contratual!S44))),"",ROUND(posicao_contratual!B44*posicao_contratual!S44,2))</f>
        <v/>
      </c>
      <c r="G46" s="191" t="str">
        <f>IF(OR(posicao_contratual!A44="",NOT(ISNUMBER(posicao_contratual!B44)),NOT(ISNUMBER(posicao_contratual!W44))),"",ROUND(posicao_contratual!B44*posicao_contratual!W44,2))</f>
        <v/>
      </c>
    </row>
    <row r="47" spans="1:7" x14ac:dyDescent="0.35">
      <c r="A47" t="str">
        <f>IF(posicao_contratual!A45="","",posicao_contratual!A45)</f>
        <v/>
      </c>
      <c r="B47" s="191" t="str">
        <f>IF(posicao_contratual!A45="","",posicao_contratual!B45)</f>
        <v/>
      </c>
      <c r="C47" s="191" t="str">
        <f>IF(OR(posicao_contratual!A45="",NOT(ISNUMBER(posicao_contratual!B45)),NOT(ISNUMBER(posicao_contratual!G45))),"",ROUND(posicao_contratual!B45*posicao_contratual!G45,2))</f>
        <v/>
      </c>
      <c r="D47" s="191" t="str">
        <f>IF(OR(posicao_contratual!A45="",NOT(ISNUMBER(posicao_contratual!B45)),NOT(ISNUMBER(posicao_contratual!K45))),"",ROUND(posicao_contratual!B45*posicao_contratual!K45,2))</f>
        <v/>
      </c>
      <c r="E47" s="191" t="str">
        <f>IF(OR(posicao_contratual!A45="",NOT(ISNUMBER(posicao_contratual!B45)),NOT(ISNUMBER(posicao_contratual!O45))),"",ROUND(posicao_contratual!B45*posicao_contratual!O45,2))</f>
        <v/>
      </c>
      <c r="F47" s="191" t="str">
        <f>IF(OR(posicao_contratual!A45="",NOT(ISNUMBER(posicao_contratual!B45)),NOT(ISNUMBER(posicao_contratual!S45))),"",ROUND(posicao_contratual!B45*posicao_contratual!S45,2))</f>
        <v/>
      </c>
      <c r="G47" s="191" t="str">
        <f>IF(OR(posicao_contratual!A45="",NOT(ISNUMBER(posicao_contratual!B45)),NOT(ISNUMBER(posicao_contratual!W45))),"",ROUND(posicao_contratual!B45*posicao_contratual!W45,2))</f>
        <v/>
      </c>
    </row>
    <row r="48" spans="1:7" x14ac:dyDescent="0.35">
      <c r="A48" t="str">
        <f>IF(posicao_contratual!A46="","",posicao_contratual!A46)</f>
        <v/>
      </c>
      <c r="B48" s="191" t="str">
        <f>IF(posicao_contratual!A46="","",posicao_contratual!B46)</f>
        <v/>
      </c>
      <c r="C48" s="191" t="str">
        <f>IF(OR(posicao_contratual!A46="",NOT(ISNUMBER(posicao_contratual!B46)),NOT(ISNUMBER(posicao_contratual!G46))),"",ROUND(posicao_contratual!B46*posicao_contratual!G46,2))</f>
        <v/>
      </c>
      <c r="D48" s="191" t="str">
        <f>IF(OR(posicao_contratual!A46="",NOT(ISNUMBER(posicao_contratual!B46)),NOT(ISNUMBER(posicao_contratual!K46))),"",ROUND(posicao_contratual!B46*posicao_contratual!K46,2))</f>
        <v/>
      </c>
      <c r="E48" s="191" t="str">
        <f>IF(OR(posicao_contratual!A46="",NOT(ISNUMBER(posicao_contratual!B46)),NOT(ISNUMBER(posicao_contratual!O46))),"",ROUND(posicao_contratual!B46*posicao_contratual!O46,2))</f>
        <v/>
      </c>
      <c r="F48" s="191" t="str">
        <f>IF(OR(posicao_contratual!A46="",NOT(ISNUMBER(posicao_contratual!B46)),NOT(ISNUMBER(posicao_contratual!S46))),"",ROUND(posicao_contratual!B46*posicao_contratual!S46,2))</f>
        <v/>
      </c>
      <c r="G48" s="191" t="str">
        <f>IF(OR(posicao_contratual!A46="",NOT(ISNUMBER(posicao_contratual!B46)),NOT(ISNUMBER(posicao_contratual!W46))),"",ROUND(posicao_contratual!B46*posicao_contratual!W46,2))</f>
        <v/>
      </c>
    </row>
    <row r="49" spans="1:7" x14ac:dyDescent="0.35">
      <c r="A49" t="str">
        <f>IF(posicao_contratual!A47="","",posicao_contratual!A47)</f>
        <v/>
      </c>
      <c r="B49" s="191" t="str">
        <f>IF(posicao_contratual!A47="","",posicao_contratual!B47)</f>
        <v/>
      </c>
      <c r="C49" s="191" t="str">
        <f>IF(OR(posicao_contratual!A47="",NOT(ISNUMBER(posicao_contratual!B47)),NOT(ISNUMBER(posicao_contratual!G47))),"",ROUND(posicao_contratual!B47*posicao_contratual!G47,2))</f>
        <v/>
      </c>
      <c r="D49" s="191" t="str">
        <f>IF(OR(posicao_contratual!A47="",NOT(ISNUMBER(posicao_contratual!B47)),NOT(ISNUMBER(posicao_contratual!K47))),"",ROUND(posicao_contratual!B47*posicao_contratual!K47,2))</f>
        <v/>
      </c>
      <c r="E49" s="191" t="str">
        <f>IF(OR(posicao_contratual!A47="",NOT(ISNUMBER(posicao_contratual!B47)),NOT(ISNUMBER(posicao_contratual!O47))),"",ROUND(posicao_contratual!B47*posicao_contratual!O47,2))</f>
        <v/>
      </c>
      <c r="F49" s="191" t="str">
        <f>IF(OR(posicao_contratual!A47="",NOT(ISNUMBER(posicao_contratual!B47)),NOT(ISNUMBER(posicao_contratual!S47))),"",ROUND(posicao_contratual!B47*posicao_contratual!S47,2))</f>
        <v/>
      </c>
      <c r="G49" s="191" t="str">
        <f>IF(OR(posicao_contratual!A47="",NOT(ISNUMBER(posicao_contratual!B47)),NOT(ISNUMBER(posicao_contratual!W47))),"",ROUND(posicao_contratual!B47*posicao_contratual!W47,2))</f>
        <v/>
      </c>
    </row>
    <row r="50" spans="1:7" x14ac:dyDescent="0.35">
      <c r="A50" t="str">
        <f>IF(posicao_contratual!A48="","",posicao_contratual!A48)</f>
        <v/>
      </c>
      <c r="B50" s="191" t="str">
        <f>IF(posicao_contratual!A48="","",posicao_contratual!B48)</f>
        <v/>
      </c>
      <c r="C50" s="191" t="str">
        <f>IF(OR(posicao_contratual!A48="",NOT(ISNUMBER(posicao_contratual!B48)),NOT(ISNUMBER(posicao_contratual!G48))),"",ROUND(posicao_contratual!B48*posicao_contratual!G48,2))</f>
        <v/>
      </c>
      <c r="D50" s="191" t="str">
        <f>IF(OR(posicao_contratual!A48="",NOT(ISNUMBER(posicao_contratual!B48)),NOT(ISNUMBER(posicao_contratual!K48))),"",ROUND(posicao_contratual!B48*posicao_contratual!K48,2))</f>
        <v/>
      </c>
      <c r="E50" s="191" t="str">
        <f>IF(OR(posicao_contratual!A48="",NOT(ISNUMBER(posicao_contratual!B48)),NOT(ISNUMBER(posicao_contratual!O48))),"",ROUND(posicao_contratual!B48*posicao_contratual!O48,2))</f>
        <v/>
      </c>
      <c r="F50" s="191" t="str">
        <f>IF(OR(posicao_contratual!A48="",NOT(ISNUMBER(posicao_contratual!B48)),NOT(ISNUMBER(posicao_contratual!S48))),"",ROUND(posicao_contratual!B48*posicao_contratual!S48,2))</f>
        <v/>
      </c>
      <c r="G50" s="191" t="str">
        <f>IF(OR(posicao_contratual!A48="",NOT(ISNUMBER(posicao_contratual!B48)),NOT(ISNUMBER(posicao_contratual!W48))),"",ROUND(posicao_contratual!B48*posicao_contratual!W48,2))</f>
        <v/>
      </c>
    </row>
    <row r="51" spans="1:7" x14ac:dyDescent="0.35">
      <c r="A51" t="str">
        <f>IF(posicao_contratual!A49="","",posicao_contratual!A49)</f>
        <v/>
      </c>
      <c r="B51" s="191" t="str">
        <f>IF(posicao_contratual!A49="","",posicao_contratual!B49)</f>
        <v/>
      </c>
      <c r="C51" s="191" t="str">
        <f>IF(OR(posicao_contratual!A49="",NOT(ISNUMBER(posicao_contratual!B49)),NOT(ISNUMBER(posicao_contratual!G49))),"",ROUND(posicao_contratual!B49*posicao_contratual!G49,2))</f>
        <v/>
      </c>
      <c r="D51" s="191" t="str">
        <f>IF(OR(posicao_contratual!A49="",NOT(ISNUMBER(posicao_contratual!B49)),NOT(ISNUMBER(posicao_contratual!K49))),"",ROUND(posicao_contratual!B49*posicao_contratual!K49,2))</f>
        <v/>
      </c>
      <c r="E51" s="191" t="str">
        <f>IF(OR(posicao_contratual!A49="",NOT(ISNUMBER(posicao_contratual!B49)),NOT(ISNUMBER(posicao_contratual!O49))),"",ROUND(posicao_contratual!B49*posicao_contratual!O49,2))</f>
        <v/>
      </c>
      <c r="F51" s="191" t="str">
        <f>IF(OR(posicao_contratual!A49="",NOT(ISNUMBER(posicao_contratual!B49)),NOT(ISNUMBER(posicao_contratual!S49))),"",ROUND(posicao_contratual!B49*posicao_contratual!S49,2))</f>
        <v/>
      </c>
      <c r="G51" s="191" t="str">
        <f>IF(OR(posicao_contratual!A49="",NOT(ISNUMBER(posicao_contratual!B49)),NOT(ISNUMBER(posicao_contratual!W49))),"",ROUND(posicao_contratual!B49*posicao_contratual!W49,2))</f>
        <v/>
      </c>
    </row>
    <row r="52" spans="1:7" x14ac:dyDescent="0.35">
      <c r="A52" t="str">
        <f>IF(posicao_contratual!A50="","",posicao_contratual!A50)</f>
        <v/>
      </c>
      <c r="B52" s="191" t="str">
        <f>IF(posicao_contratual!A50="","",posicao_contratual!B50)</f>
        <v/>
      </c>
      <c r="C52" s="191" t="str">
        <f>IF(OR(posicao_contratual!A50="",NOT(ISNUMBER(posicao_contratual!B50)),NOT(ISNUMBER(posicao_contratual!G50))),"",ROUND(posicao_contratual!B50*posicao_contratual!G50,2))</f>
        <v/>
      </c>
      <c r="D52" s="191" t="str">
        <f>IF(OR(posicao_contratual!A50="",NOT(ISNUMBER(posicao_contratual!B50)),NOT(ISNUMBER(posicao_contratual!K50))),"",ROUND(posicao_contratual!B50*posicao_contratual!K50,2))</f>
        <v/>
      </c>
      <c r="E52" s="191" t="str">
        <f>IF(OR(posicao_contratual!A50="",NOT(ISNUMBER(posicao_contratual!B50)),NOT(ISNUMBER(posicao_contratual!O50))),"",ROUND(posicao_contratual!B50*posicao_contratual!O50,2))</f>
        <v/>
      </c>
      <c r="F52" s="191" t="str">
        <f>IF(OR(posicao_contratual!A50="",NOT(ISNUMBER(posicao_contratual!B50)),NOT(ISNUMBER(posicao_contratual!S50))),"",ROUND(posicao_contratual!B50*posicao_contratual!S50,2))</f>
        <v/>
      </c>
      <c r="G52" s="191" t="str">
        <f>IF(OR(posicao_contratual!A50="",NOT(ISNUMBER(posicao_contratual!B50)),NOT(ISNUMBER(posicao_contratual!W50))),"",ROUND(posicao_contratual!B50*posicao_contratual!W50,2))</f>
        <v/>
      </c>
    </row>
    <row r="53" spans="1:7" x14ac:dyDescent="0.35">
      <c r="A53" t="str">
        <f>IF(posicao_contratual!A51="","",posicao_contratual!A51)</f>
        <v/>
      </c>
      <c r="B53" s="191" t="str">
        <f>IF(posicao_contratual!A51="","",posicao_contratual!B51)</f>
        <v/>
      </c>
      <c r="C53" s="191" t="str">
        <f>IF(OR(posicao_contratual!A51="",NOT(ISNUMBER(posicao_contratual!B51)),NOT(ISNUMBER(posicao_contratual!G51))),"",ROUND(posicao_contratual!B51*posicao_contratual!G51,2))</f>
        <v/>
      </c>
      <c r="D53" s="191" t="str">
        <f>IF(OR(posicao_contratual!A51="",NOT(ISNUMBER(posicao_contratual!B51)),NOT(ISNUMBER(posicao_contratual!K51))),"",ROUND(posicao_contratual!B51*posicao_contratual!K51,2))</f>
        <v/>
      </c>
      <c r="E53" s="191" t="str">
        <f>IF(OR(posicao_contratual!A51="",NOT(ISNUMBER(posicao_contratual!B51)),NOT(ISNUMBER(posicao_contratual!O51))),"",ROUND(posicao_contratual!B51*posicao_contratual!O51,2))</f>
        <v/>
      </c>
      <c r="F53" s="191" t="str">
        <f>IF(OR(posicao_contratual!A51="",NOT(ISNUMBER(posicao_contratual!B51)),NOT(ISNUMBER(posicao_contratual!S51))),"",ROUND(posicao_contratual!B51*posicao_contratual!S51,2))</f>
        <v/>
      </c>
      <c r="G53" s="191" t="str">
        <f>IF(OR(posicao_contratual!A51="",NOT(ISNUMBER(posicao_contratual!B51)),NOT(ISNUMBER(posicao_contratual!W51))),"",ROUND(posicao_contratual!B51*posicao_contratual!W51,2))</f>
        <v/>
      </c>
    </row>
    <row r="54" spans="1:7" x14ac:dyDescent="0.35">
      <c r="A54" t="str">
        <f>IF(posicao_contratual!A52="","",posicao_contratual!A52)</f>
        <v/>
      </c>
      <c r="B54" s="191" t="str">
        <f>IF(posicao_contratual!A52="","",posicao_contratual!B52)</f>
        <v/>
      </c>
      <c r="C54" s="191" t="str">
        <f>IF(OR(posicao_contratual!A52="",NOT(ISNUMBER(posicao_contratual!B52)),NOT(ISNUMBER(posicao_contratual!G52))),"",ROUND(posicao_contratual!B52*posicao_contratual!G52,2))</f>
        <v/>
      </c>
      <c r="D54" s="191" t="str">
        <f>IF(OR(posicao_contratual!A52="",NOT(ISNUMBER(posicao_contratual!B52)),NOT(ISNUMBER(posicao_contratual!K52))),"",ROUND(posicao_contratual!B52*posicao_contratual!K52,2))</f>
        <v/>
      </c>
      <c r="E54" s="191" t="str">
        <f>IF(OR(posicao_contratual!A52="",NOT(ISNUMBER(posicao_contratual!B52)),NOT(ISNUMBER(posicao_contratual!O52))),"",ROUND(posicao_contratual!B52*posicao_contratual!O52,2))</f>
        <v/>
      </c>
      <c r="F54" s="191" t="str">
        <f>IF(OR(posicao_contratual!A52="",NOT(ISNUMBER(posicao_contratual!B52)),NOT(ISNUMBER(posicao_contratual!S52))),"",ROUND(posicao_contratual!B52*posicao_contratual!S52,2))</f>
        <v/>
      </c>
      <c r="G54" s="191" t="str">
        <f>IF(OR(posicao_contratual!A52="",NOT(ISNUMBER(posicao_contratual!B52)),NOT(ISNUMBER(posicao_contratual!W52))),"",ROUND(posicao_contratual!B52*posicao_contratual!W52,2))</f>
        <v/>
      </c>
    </row>
    <row r="55" spans="1:7" x14ac:dyDescent="0.35">
      <c r="A55" t="str">
        <f>IF(posicao_contratual!A53="","",posicao_contratual!A53)</f>
        <v/>
      </c>
      <c r="B55" s="191" t="str">
        <f>IF(posicao_contratual!A53="","",posicao_contratual!B53)</f>
        <v/>
      </c>
      <c r="C55" s="191" t="str">
        <f>IF(OR(posicao_contratual!A53="",NOT(ISNUMBER(posicao_contratual!B53)),NOT(ISNUMBER(posicao_contratual!G53))),"",ROUND(posicao_contratual!B53*posicao_contratual!G53,2))</f>
        <v/>
      </c>
      <c r="D55" s="191" t="str">
        <f>IF(OR(posicao_contratual!A53="",NOT(ISNUMBER(posicao_contratual!B53)),NOT(ISNUMBER(posicao_contratual!K53))),"",ROUND(posicao_contratual!B53*posicao_contratual!K53,2))</f>
        <v/>
      </c>
      <c r="E55" s="191" t="str">
        <f>IF(OR(posicao_contratual!A53="",NOT(ISNUMBER(posicao_contratual!B53)),NOT(ISNUMBER(posicao_contratual!O53))),"",ROUND(posicao_contratual!B53*posicao_contratual!O53,2))</f>
        <v/>
      </c>
      <c r="F55" s="191" t="str">
        <f>IF(OR(posicao_contratual!A53="",NOT(ISNUMBER(posicao_contratual!B53)),NOT(ISNUMBER(posicao_contratual!S53))),"",ROUND(posicao_contratual!B53*posicao_contratual!S53,2))</f>
        <v/>
      </c>
      <c r="G55" s="191" t="str">
        <f>IF(OR(posicao_contratual!A53="",NOT(ISNUMBER(posicao_contratual!B53)),NOT(ISNUMBER(posicao_contratual!W53))),"",ROUND(posicao_contratual!B53*posicao_contratual!W53,2))</f>
        <v/>
      </c>
    </row>
    <row r="56" spans="1:7" x14ac:dyDescent="0.35">
      <c r="A56" t="str">
        <f>IF(posicao_contratual!A54="","",posicao_contratual!A54)</f>
        <v/>
      </c>
      <c r="B56" s="191" t="str">
        <f>IF(posicao_contratual!A54="","",posicao_contratual!B54)</f>
        <v/>
      </c>
      <c r="C56" s="191" t="str">
        <f>IF(OR(posicao_contratual!A54="",NOT(ISNUMBER(posicao_contratual!B54)),NOT(ISNUMBER(posicao_contratual!G54))),"",ROUND(posicao_contratual!B54*posicao_contratual!G54,2))</f>
        <v/>
      </c>
      <c r="D56" s="191" t="str">
        <f>IF(OR(posicao_contratual!A54="",NOT(ISNUMBER(posicao_contratual!B54)),NOT(ISNUMBER(posicao_contratual!K54))),"",ROUND(posicao_contratual!B54*posicao_contratual!K54,2))</f>
        <v/>
      </c>
      <c r="E56" s="191" t="str">
        <f>IF(OR(posicao_contratual!A54="",NOT(ISNUMBER(posicao_contratual!B54)),NOT(ISNUMBER(posicao_contratual!O54))),"",ROUND(posicao_contratual!B54*posicao_contratual!O54,2))</f>
        <v/>
      </c>
      <c r="F56" s="191" t="str">
        <f>IF(OR(posicao_contratual!A54="",NOT(ISNUMBER(posicao_contratual!B54)),NOT(ISNUMBER(posicao_contratual!S54))),"",ROUND(posicao_contratual!B54*posicao_contratual!S54,2))</f>
        <v/>
      </c>
      <c r="G56" s="191" t="str">
        <f>IF(OR(posicao_contratual!A54="",NOT(ISNUMBER(posicao_contratual!B54)),NOT(ISNUMBER(posicao_contratual!W54))),"",ROUND(posicao_contratual!B54*posicao_contratual!W54,2))</f>
        <v/>
      </c>
    </row>
    <row r="57" spans="1:7" x14ac:dyDescent="0.35">
      <c r="A57" t="str">
        <f>IF(posicao_contratual!A55="","",posicao_contratual!A55)</f>
        <v/>
      </c>
      <c r="B57" s="191" t="str">
        <f>IF(posicao_contratual!A55="","",posicao_contratual!B55)</f>
        <v/>
      </c>
      <c r="C57" s="191" t="str">
        <f>IF(OR(posicao_contratual!A55="",NOT(ISNUMBER(posicao_contratual!B55)),NOT(ISNUMBER(posicao_contratual!G55))),"",ROUND(posicao_contratual!B55*posicao_contratual!G55,2))</f>
        <v/>
      </c>
      <c r="D57" s="191" t="str">
        <f>IF(OR(posicao_contratual!A55="",NOT(ISNUMBER(posicao_contratual!B55)),NOT(ISNUMBER(posicao_contratual!K55))),"",ROUND(posicao_contratual!B55*posicao_contratual!K55,2))</f>
        <v/>
      </c>
      <c r="E57" s="191" t="str">
        <f>IF(OR(posicao_contratual!A55="",NOT(ISNUMBER(posicao_contratual!B55)),NOT(ISNUMBER(posicao_contratual!O55))),"",ROUND(posicao_contratual!B55*posicao_contratual!O55,2))</f>
        <v/>
      </c>
      <c r="F57" s="191" t="str">
        <f>IF(OR(posicao_contratual!A55="",NOT(ISNUMBER(posicao_contratual!B55)),NOT(ISNUMBER(posicao_contratual!S55))),"",ROUND(posicao_contratual!B55*posicao_contratual!S55,2))</f>
        <v/>
      </c>
      <c r="G57" s="191" t="str">
        <f>IF(OR(posicao_contratual!A55="",NOT(ISNUMBER(posicao_contratual!B55)),NOT(ISNUMBER(posicao_contratual!W55))),"",ROUND(posicao_contratual!B55*posicao_contratual!W55,2))</f>
        <v/>
      </c>
    </row>
    <row r="58" spans="1:7" x14ac:dyDescent="0.35">
      <c r="A58" t="str">
        <f>IF(posicao_contratual!A56="","",posicao_contratual!A56)</f>
        <v/>
      </c>
      <c r="B58" s="191" t="str">
        <f>IF(posicao_contratual!A56="","",posicao_contratual!B56)</f>
        <v/>
      </c>
      <c r="C58" s="191" t="str">
        <f>IF(OR(posicao_contratual!A56="",NOT(ISNUMBER(posicao_contratual!B56)),NOT(ISNUMBER(posicao_contratual!G56))),"",ROUND(posicao_contratual!B56*posicao_contratual!G56,2))</f>
        <v/>
      </c>
      <c r="D58" s="191" t="str">
        <f>IF(OR(posicao_contratual!A56="",NOT(ISNUMBER(posicao_contratual!B56)),NOT(ISNUMBER(posicao_contratual!K56))),"",ROUND(posicao_contratual!B56*posicao_contratual!K56,2))</f>
        <v/>
      </c>
      <c r="E58" s="191" t="str">
        <f>IF(OR(posicao_contratual!A56="",NOT(ISNUMBER(posicao_contratual!B56)),NOT(ISNUMBER(posicao_contratual!O56))),"",ROUND(posicao_contratual!B56*posicao_contratual!O56,2))</f>
        <v/>
      </c>
      <c r="F58" s="191" t="str">
        <f>IF(OR(posicao_contratual!A56="",NOT(ISNUMBER(posicao_contratual!B56)),NOT(ISNUMBER(posicao_contratual!S56))),"",ROUND(posicao_contratual!B56*posicao_contratual!S56,2))</f>
        <v/>
      </c>
      <c r="G58" s="191" t="str">
        <f>IF(OR(posicao_contratual!A56="",NOT(ISNUMBER(posicao_contratual!B56)),NOT(ISNUMBER(posicao_contratual!W56))),"",ROUND(posicao_contratual!B56*posicao_contratual!W56,2))</f>
        <v/>
      </c>
    </row>
    <row r="59" spans="1:7" x14ac:dyDescent="0.35">
      <c r="A59" t="str">
        <f>IF(posicao_contratual!A57="","",posicao_contratual!A57)</f>
        <v/>
      </c>
      <c r="B59" s="191" t="str">
        <f>IF(posicao_contratual!A57="","",posicao_contratual!B57)</f>
        <v/>
      </c>
      <c r="C59" s="191" t="str">
        <f>IF(OR(posicao_contratual!A57="",NOT(ISNUMBER(posicao_contratual!B57)),NOT(ISNUMBER(posicao_contratual!G57))),"",ROUND(posicao_contratual!B57*posicao_contratual!G57,2))</f>
        <v/>
      </c>
      <c r="D59" s="191" t="str">
        <f>IF(OR(posicao_contratual!A57="",NOT(ISNUMBER(posicao_contratual!B57)),NOT(ISNUMBER(posicao_contratual!K57))),"",ROUND(posicao_contratual!B57*posicao_contratual!K57,2))</f>
        <v/>
      </c>
      <c r="E59" s="191" t="str">
        <f>IF(OR(posicao_contratual!A57="",NOT(ISNUMBER(posicao_contratual!B57)),NOT(ISNUMBER(posicao_contratual!O57))),"",ROUND(posicao_contratual!B57*posicao_contratual!O57,2))</f>
        <v/>
      </c>
      <c r="F59" s="191" t="str">
        <f>IF(OR(posicao_contratual!A57="",NOT(ISNUMBER(posicao_contratual!B57)),NOT(ISNUMBER(posicao_contratual!S57))),"",ROUND(posicao_contratual!B57*posicao_contratual!S57,2))</f>
        <v/>
      </c>
      <c r="G59" s="191" t="str">
        <f>IF(OR(posicao_contratual!A57="",NOT(ISNUMBER(posicao_contratual!B57)),NOT(ISNUMBER(posicao_contratual!W57))),"",ROUND(posicao_contratual!B57*posicao_contratual!W57,2))</f>
        <v/>
      </c>
    </row>
    <row r="60" spans="1:7" x14ac:dyDescent="0.35">
      <c r="A60" t="str">
        <f>IF(posicao_contratual!A58="","",posicao_contratual!A58)</f>
        <v/>
      </c>
      <c r="B60" s="191" t="str">
        <f>IF(posicao_contratual!A58="","",posicao_contratual!B58)</f>
        <v/>
      </c>
      <c r="C60" s="191" t="str">
        <f>IF(OR(posicao_contratual!A58="",NOT(ISNUMBER(posicao_contratual!B58)),NOT(ISNUMBER(posicao_contratual!G58))),"",ROUND(posicao_contratual!B58*posicao_contratual!G58,2))</f>
        <v/>
      </c>
      <c r="D60" s="191" t="str">
        <f>IF(OR(posicao_contratual!A58="",NOT(ISNUMBER(posicao_contratual!B58)),NOT(ISNUMBER(posicao_contratual!K58))),"",ROUND(posicao_contratual!B58*posicao_contratual!K58,2))</f>
        <v/>
      </c>
      <c r="E60" s="191" t="str">
        <f>IF(OR(posicao_contratual!A58="",NOT(ISNUMBER(posicao_contratual!B58)),NOT(ISNUMBER(posicao_contratual!O58))),"",ROUND(posicao_contratual!B58*posicao_contratual!O58,2))</f>
        <v/>
      </c>
      <c r="F60" s="191" t="str">
        <f>IF(OR(posicao_contratual!A58="",NOT(ISNUMBER(posicao_contratual!B58)),NOT(ISNUMBER(posicao_contratual!S58))),"",ROUND(posicao_contratual!B58*posicao_contratual!S58,2))</f>
        <v/>
      </c>
      <c r="G60" s="191" t="str">
        <f>IF(OR(posicao_contratual!A58="",NOT(ISNUMBER(posicao_contratual!B58)),NOT(ISNUMBER(posicao_contratual!W58))),"",ROUND(posicao_contratual!B58*posicao_contratual!W58,2))</f>
        <v/>
      </c>
    </row>
    <row r="61" spans="1:7" x14ac:dyDescent="0.35">
      <c r="A61" t="str">
        <f>IF(posicao_contratual!A59="","",posicao_contratual!A59)</f>
        <v/>
      </c>
      <c r="B61" s="191" t="str">
        <f>IF(posicao_contratual!A59="","",posicao_contratual!B59)</f>
        <v/>
      </c>
      <c r="C61" s="191" t="str">
        <f>IF(OR(posicao_contratual!A59="",NOT(ISNUMBER(posicao_contratual!B59)),NOT(ISNUMBER(posicao_contratual!G59))),"",ROUND(posicao_contratual!B59*posicao_contratual!G59,2))</f>
        <v/>
      </c>
      <c r="D61" s="191" t="str">
        <f>IF(OR(posicao_contratual!A59="",NOT(ISNUMBER(posicao_contratual!B59)),NOT(ISNUMBER(posicao_contratual!K59))),"",ROUND(posicao_contratual!B59*posicao_contratual!K59,2))</f>
        <v/>
      </c>
      <c r="E61" s="191" t="str">
        <f>IF(OR(posicao_contratual!A59="",NOT(ISNUMBER(posicao_contratual!B59)),NOT(ISNUMBER(posicao_contratual!O59))),"",ROUND(posicao_contratual!B59*posicao_contratual!O59,2))</f>
        <v/>
      </c>
      <c r="F61" s="191" t="str">
        <f>IF(OR(posicao_contratual!A59="",NOT(ISNUMBER(posicao_contratual!B59)),NOT(ISNUMBER(posicao_contratual!S59))),"",ROUND(posicao_contratual!B59*posicao_contratual!S59,2))</f>
        <v/>
      </c>
      <c r="G61" s="191" t="str">
        <f>IF(OR(posicao_contratual!A59="",NOT(ISNUMBER(posicao_contratual!B59)),NOT(ISNUMBER(posicao_contratual!W59))),"",ROUND(posicao_contratual!B59*posicao_contratual!W59,2))</f>
        <v/>
      </c>
    </row>
    <row r="62" spans="1:7" x14ac:dyDescent="0.35">
      <c r="A62" t="str">
        <f>IF(posicao_contratual!A60="","",posicao_contratual!A60)</f>
        <v/>
      </c>
      <c r="B62" s="191" t="str">
        <f>IF(posicao_contratual!A60="","",posicao_contratual!B60)</f>
        <v/>
      </c>
      <c r="C62" s="191" t="str">
        <f>IF(OR(posicao_contratual!A60="",NOT(ISNUMBER(posicao_contratual!B60)),NOT(ISNUMBER(posicao_contratual!G60))),"",ROUND(posicao_contratual!B60*posicao_contratual!G60,2))</f>
        <v/>
      </c>
      <c r="D62" s="191" t="str">
        <f>IF(OR(posicao_contratual!A60="",NOT(ISNUMBER(posicao_contratual!B60)),NOT(ISNUMBER(posicao_contratual!K60))),"",ROUND(posicao_contratual!B60*posicao_contratual!K60,2))</f>
        <v/>
      </c>
      <c r="E62" s="191" t="str">
        <f>IF(OR(posicao_contratual!A60="",NOT(ISNUMBER(posicao_contratual!B60)),NOT(ISNUMBER(posicao_contratual!O60))),"",ROUND(posicao_contratual!B60*posicao_contratual!O60,2))</f>
        <v/>
      </c>
      <c r="F62" s="191" t="str">
        <f>IF(OR(posicao_contratual!A60="",NOT(ISNUMBER(posicao_contratual!B60)),NOT(ISNUMBER(posicao_contratual!S60))),"",ROUND(posicao_contratual!B60*posicao_contratual!S60,2))</f>
        <v/>
      </c>
      <c r="G62" s="191" t="str">
        <f>IF(OR(posicao_contratual!A60="",NOT(ISNUMBER(posicao_contratual!B60)),NOT(ISNUMBER(posicao_contratual!W60))),"",ROUND(posicao_contratual!B60*posicao_contratual!W60,2))</f>
        <v/>
      </c>
    </row>
    <row r="63" spans="1:7" x14ac:dyDescent="0.35">
      <c r="A63" t="str">
        <f>IF(posicao_contratual!A61="","",posicao_contratual!A61)</f>
        <v/>
      </c>
      <c r="B63" s="191" t="str">
        <f>IF(posicao_contratual!A61="","",posicao_contratual!B61)</f>
        <v/>
      </c>
      <c r="C63" s="191" t="str">
        <f>IF(OR(posicao_contratual!A61="",NOT(ISNUMBER(posicao_contratual!B61)),NOT(ISNUMBER(posicao_contratual!G61))),"",ROUND(posicao_contratual!B61*posicao_contratual!G61,2))</f>
        <v/>
      </c>
      <c r="D63" s="191" t="str">
        <f>IF(OR(posicao_contratual!A61="",NOT(ISNUMBER(posicao_contratual!B61)),NOT(ISNUMBER(posicao_contratual!K61))),"",ROUND(posicao_contratual!B61*posicao_contratual!K61,2))</f>
        <v/>
      </c>
      <c r="E63" s="191" t="str">
        <f>IF(OR(posicao_contratual!A61="",NOT(ISNUMBER(posicao_contratual!B61)),NOT(ISNUMBER(posicao_contratual!O61))),"",ROUND(posicao_contratual!B61*posicao_contratual!O61,2))</f>
        <v/>
      </c>
      <c r="F63" s="191" t="str">
        <f>IF(OR(posicao_contratual!A61="",NOT(ISNUMBER(posicao_contratual!B61)),NOT(ISNUMBER(posicao_contratual!S61))),"",ROUND(posicao_contratual!B61*posicao_contratual!S61,2))</f>
        <v/>
      </c>
      <c r="G63" s="191" t="str">
        <f>IF(OR(posicao_contratual!A61="",NOT(ISNUMBER(posicao_contratual!B61)),NOT(ISNUMBER(posicao_contratual!W61))),"",ROUND(posicao_contratual!B61*posicao_contratual!W61,2))</f>
        <v/>
      </c>
    </row>
    <row r="64" spans="1:7" x14ac:dyDescent="0.35">
      <c r="A64" t="str">
        <f>IF(posicao_contratual!A62="","",posicao_contratual!A62)</f>
        <v/>
      </c>
      <c r="B64" s="191" t="str">
        <f>IF(posicao_contratual!A62="","",posicao_contratual!B62)</f>
        <v/>
      </c>
      <c r="C64" s="191" t="str">
        <f>IF(OR(posicao_contratual!A62="",NOT(ISNUMBER(posicao_contratual!B62)),NOT(ISNUMBER(posicao_contratual!G62))),"",ROUND(posicao_contratual!B62*posicao_contratual!G62,2))</f>
        <v/>
      </c>
      <c r="D64" s="191" t="str">
        <f>IF(OR(posicao_contratual!A62="",NOT(ISNUMBER(posicao_contratual!B62)),NOT(ISNUMBER(posicao_contratual!K62))),"",ROUND(posicao_contratual!B62*posicao_contratual!K62,2))</f>
        <v/>
      </c>
      <c r="E64" s="191" t="str">
        <f>IF(OR(posicao_contratual!A62="",NOT(ISNUMBER(posicao_contratual!B62)),NOT(ISNUMBER(posicao_contratual!O62))),"",ROUND(posicao_contratual!B62*posicao_contratual!O62,2))</f>
        <v/>
      </c>
      <c r="F64" s="191" t="str">
        <f>IF(OR(posicao_contratual!A62="",NOT(ISNUMBER(posicao_contratual!B62)),NOT(ISNUMBER(posicao_contratual!S62))),"",ROUND(posicao_contratual!B62*posicao_contratual!S62,2))</f>
        <v/>
      </c>
      <c r="G64" s="191" t="str">
        <f>IF(OR(posicao_contratual!A62="",NOT(ISNUMBER(posicao_contratual!B62)),NOT(ISNUMBER(posicao_contratual!W62))),"",ROUND(posicao_contratual!B62*posicao_contratual!W62,2))</f>
        <v/>
      </c>
    </row>
    <row r="65" spans="1:7" x14ac:dyDescent="0.35">
      <c r="A65" t="str">
        <f>IF(posicao_contratual!A63="","",posicao_contratual!A63)</f>
        <v/>
      </c>
      <c r="B65" s="191" t="str">
        <f>IF(posicao_contratual!A63="","",posicao_contratual!B63)</f>
        <v/>
      </c>
      <c r="C65" s="191" t="str">
        <f>IF(OR(posicao_contratual!A63="",NOT(ISNUMBER(posicao_contratual!B63)),NOT(ISNUMBER(posicao_contratual!G63))),"",ROUND(posicao_contratual!B63*posicao_contratual!G63,2))</f>
        <v/>
      </c>
      <c r="D65" s="191" t="str">
        <f>IF(OR(posicao_contratual!A63="",NOT(ISNUMBER(posicao_contratual!B63)),NOT(ISNUMBER(posicao_contratual!K63))),"",ROUND(posicao_contratual!B63*posicao_contratual!K63,2))</f>
        <v/>
      </c>
      <c r="E65" s="191" t="str">
        <f>IF(OR(posicao_contratual!A63="",NOT(ISNUMBER(posicao_contratual!B63)),NOT(ISNUMBER(posicao_contratual!O63))),"",ROUND(posicao_contratual!B63*posicao_contratual!O63,2))</f>
        <v/>
      </c>
      <c r="F65" s="191" t="str">
        <f>IF(OR(posicao_contratual!A63="",NOT(ISNUMBER(posicao_contratual!B63)),NOT(ISNUMBER(posicao_contratual!S63))),"",ROUND(posicao_contratual!B63*posicao_contratual!S63,2))</f>
        <v/>
      </c>
      <c r="G65" s="191" t="str">
        <f>IF(OR(posicao_contratual!A63="",NOT(ISNUMBER(posicao_contratual!B63)),NOT(ISNUMBER(posicao_contratual!W63))),"",ROUND(posicao_contratual!B63*posicao_contratual!W63,2))</f>
        <v/>
      </c>
    </row>
    <row r="66" spans="1:7" x14ac:dyDescent="0.35">
      <c r="A66" t="str">
        <f>IF(posicao_contratual!A64="","",posicao_contratual!A64)</f>
        <v/>
      </c>
      <c r="B66" s="191" t="str">
        <f>IF(posicao_contratual!A64="","",posicao_contratual!B64)</f>
        <v/>
      </c>
      <c r="C66" s="191" t="str">
        <f>IF(OR(posicao_contratual!A64="",NOT(ISNUMBER(posicao_contratual!B64)),NOT(ISNUMBER(posicao_contratual!G64))),"",ROUND(posicao_contratual!B64*posicao_contratual!G64,2))</f>
        <v/>
      </c>
      <c r="D66" s="191" t="str">
        <f>IF(OR(posicao_contratual!A64="",NOT(ISNUMBER(posicao_contratual!B64)),NOT(ISNUMBER(posicao_contratual!K64))),"",ROUND(posicao_contratual!B64*posicao_contratual!K64,2))</f>
        <v/>
      </c>
      <c r="E66" s="191" t="str">
        <f>IF(OR(posicao_contratual!A64="",NOT(ISNUMBER(posicao_contratual!B64)),NOT(ISNUMBER(posicao_contratual!O64))),"",ROUND(posicao_contratual!B64*posicao_contratual!O64,2))</f>
        <v/>
      </c>
      <c r="F66" s="191" t="str">
        <f>IF(OR(posicao_contratual!A64="",NOT(ISNUMBER(posicao_contratual!B64)),NOT(ISNUMBER(posicao_contratual!S64))),"",ROUND(posicao_contratual!B64*posicao_contratual!S64,2))</f>
        <v/>
      </c>
      <c r="G66" s="191" t="str">
        <f>IF(OR(posicao_contratual!A64="",NOT(ISNUMBER(posicao_contratual!B64)),NOT(ISNUMBER(posicao_contratual!W64))),"",ROUND(posicao_contratual!B64*posicao_contratual!W64,2))</f>
        <v/>
      </c>
    </row>
    <row r="67" spans="1:7" x14ac:dyDescent="0.35">
      <c r="A67" t="str">
        <f>IF(posicao_contratual!A65="","",posicao_contratual!A65)</f>
        <v/>
      </c>
      <c r="B67" s="191" t="str">
        <f>IF(posicao_contratual!A65="","",posicao_contratual!B65)</f>
        <v/>
      </c>
      <c r="C67" s="191" t="str">
        <f>IF(OR(posicao_contratual!A65="",NOT(ISNUMBER(posicao_contratual!B65)),NOT(ISNUMBER(posicao_contratual!G65))),"",ROUND(posicao_contratual!B65*posicao_contratual!G65,2))</f>
        <v/>
      </c>
      <c r="D67" s="191" t="str">
        <f>IF(OR(posicao_contratual!A65="",NOT(ISNUMBER(posicao_contratual!B65)),NOT(ISNUMBER(posicao_contratual!K65))),"",ROUND(posicao_contratual!B65*posicao_contratual!K65,2))</f>
        <v/>
      </c>
      <c r="E67" s="191" t="str">
        <f>IF(OR(posicao_contratual!A65="",NOT(ISNUMBER(posicao_contratual!B65)),NOT(ISNUMBER(posicao_contratual!O65))),"",ROUND(posicao_contratual!B65*posicao_contratual!O65,2))</f>
        <v/>
      </c>
      <c r="F67" s="191" t="str">
        <f>IF(OR(posicao_contratual!A65="",NOT(ISNUMBER(posicao_contratual!B65)),NOT(ISNUMBER(posicao_contratual!S65))),"",ROUND(posicao_contratual!B65*posicao_contratual!S65,2))</f>
        <v/>
      </c>
      <c r="G67" s="191" t="str">
        <f>IF(OR(posicao_contratual!A65="",NOT(ISNUMBER(posicao_contratual!B65)),NOT(ISNUMBER(posicao_contratual!W65))),"",ROUND(posicao_contratual!B65*posicao_contratual!W65,2))</f>
        <v/>
      </c>
    </row>
    <row r="68" spans="1:7" x14ac:dyDescent="0.35">
      <c r="A68" t="str">
        <f>IF(posicao_contratual!A66="","",posicao_contratual!A66)</f>
        <v/>
      </c>
      <c r="B68" s="191" t="str">
        <f>IF(posicao_contratual!A66="","",posicao_contratual!B66)</f>
        <v/>
      </c>
      <c r="C68" s="191" t="str">
        <f>IF(OR(posicao_contratual!A66="",NOT(ISNUMBER(posicao_contratual!B66)),NOT(ISNUMBER(posicao_contratual!G66))),"",ROUND(posicao_contratual!B66*posicao_contratual!G66,2))</f>
        <v/>
      </c>
      <c r="D68" s="191" t="str">
        <f>IF(OR(posicao_contratual!A66="",NOT(ISNUMBER(posicao_contratual!B66)),NOT(ISNUMBER(posicao_contratual!K66))),"",ROUND(posicao_contratual!B66*posicao_contratual!K66,2))</f>
        <v/>
      </c>
      <c r="E68" s="191" t="str">
        <f>IF(OR(posicao_contratual!A66="",NOT(ISNUMBER(posicao_contratual!B66)),NOT(ISNUMBER(posicao_contratual!O66))),"",ROUND(posicao_contratual!B66*posicao_contratual!O66,2))</f>
        <v/>
      </c>
      <c r="F68" s="191" t="str">
        <f>IF(OR(posicao_contratual!A66="",NOT(ISNUMBER(posicao_contratual!B66)),NOT(ISNUMBER(posicao_contratual!S66))),"",ROUND(posicao_contratual!B66*posicao_contratual!S66,2))</f>
        <v/>
      </c>
      <c r="G68" s="191" t="str">
        <f>IF(OR(posicao_contratual!A66="",NOT(ISNUMBER(posicao_contratual!B66)),NOT(ISNUMBER(posicao_contratual!W66))),"",ROUND(posicao_contratual!B66*posicao_contratual!W66,2))</f>
        <v/>
      </c>
    </row>
    <row r="69" spans="1:7" x14ac:dyDescent="0.35">
      <c r="A69" t="str">
        <f>IF(posicao_contratual!A67="","",posicao_contratual!A67)</f>
        <v/>
      </c>
      <c r="B69" s="191" t="str">
        <f>IF(posicao_contratual!A67="","",posicao_contratual!B67)</f>
        <v/>
      </c>
      <c r="C69" s="191" t="str">
        <f>IF(OR(posicao_contratual!A67="",NOT(ISNUMBER(posicao_contratual!B67)),NOT(ISNUMBER(posicao_contratual!G67))),"",ROUND(posicao_contratual!B67*posicao_contratual!G67,2))</f>
        <v/>
      </c>
      <c r="D69" s="191" t="str">
        <f>IF(OR(posicao_contratual!A67="",NOT(ISNUMBER(posicao_contratual!B67)),NOT(ISNUMBER(posicao_contratual!K67))),"",ROUND(posicao_contratual!B67*posicao_contratual!K67,2))</f>
        <v/>
      </c>
      <c r="E69" s="191" t="str">
        <f>IF(OR(posicao_contratual!A67="",NOT(ISNUMBER(posicao_contratual!B67)),NOT(ISNUMBER(posicao_contratual!O67))),"",ROUND(posicao_contratual!B67*posicao_contratual!O67,2))</f>
        <v/>
      </c>
      <c r="F69" s="191" t="str">
        <f>IF(OR(posicao_contratual!A67="",NOT(ISNUMBER(posicao_contratual!B67)),NOT(ISNUMBER(posicao_contratual!S67))),"",ROUND(posicao_contratual!B67*posicao_contratual!S67,2))</f>
        <v/>
      </c>
      <c r="G69" s="191" t="str">
        <f>IF(OR(posicao_contratual!A67="",NOT(ISNUMBER(posicao_contratual!B67)),NOT(ISNUMBER(posicao_contratual!W67))),"",ROUND(posicao_contratual!B67*posicao_contratual!W67,2))</f>
        <v/>
      </c>
    </row>
    <row r="70" spans="1:7" x14ac:dyDescent="0.35">
      <c r="A70" t="str">
        <f>IF(posicao_contratual!A68="","",posicao_contratual!A68)</f>
        <v/>
      </c>
      <c r="B70" s="191" t="str">
        <f>IF(posicao_contratual!A68="","",posicao_contratual!B68)</f>
        <v/>
      </c>
      <c r="C70" s="191" t="str">
        <f>IF(OR(posicao_contratual!A68="",NOT(ISNUMBER(posicao_contratual!B68)),NOT(ISNUMBER(posicao_contratual!G68))),"",ROUND(posicao_contratual!B68*posicao_contratual!G68,2))</f>
        <v/>
      </c>
      <c r="D70" s="191" t="str">
        <f>IF(OR(posicao_contratual!A68="",NOT(ISNUMBER(posicao_contratual!B68)),NOT(ISNUMBER(posicao_contratual!K68))),"",ROUND(posicao_contratual!B68*posicao_contratual!K68,2))</f>
        <v/>
      </c>
      <c r="E70" s="191" t="str">
        <f>IF(OR(posicao_contratual!A68="",NOT(ISNUMBER(posicao_contratual!B68)),NOT(ISNUMBER(posicao_contratual!O68))),"",ROUND(posicao_contratual!B68*posicao_contratual!O68,2))</f>
        <v/>
      </c>
      <c r="F70" s="191" t="str">
        <f>IF(OR(posicao_contratual!A68="",NOT(ISNUMBER(posicao_contratual!B68)),NOT(ISNUMBER(posicao_contratual!S68))),"",ROUND(posicao_contratual!B68*posicao_contratual!S68,2))</f>
        <v/>
      </c>
      <c r="G70" s="191" t="str">
        <f>IF(OR(posicao_contratual!A68="",NOT(ISNUMBER(posicao_contratual!B68)),NOT(ISNUMBER(posicao_contratual!W68))),"",ROUND(posicao_contratual!B68*posicao_contratual!W68,2))</f>
        <v/>
      </c>
    </row>
    <row r="71" spans="1:7" x14ac:dyDescent="0.35">
      <c r="A71" t="str">
        <f>IF(posicao_contratual!A69="","",posicao_contratual!A69)</f>
        <v/>
      </c>
      <c r="B71" s="191" t="str">
        <f>IF(posicao_contratual!A69="","",posicao_contratual!B69)</f>
        <v/>
      </c>
      <c r="C71" s="191" t="str">
        <f>IF(OR(posicao_contratual!A69="",NOT(ISNUMBER(posicao_contratual!B69)),NOT(ISNUMBER(posicao_contratual!G69))),"",ROUND(posicao_contratual!B69*posicao_contratual!G69,2))</f>
        <v/>
      </c>
      <c r="D71" s="191" t="str">
        <f>IF(OR(posicao_contratual!A69="",NOT(ISNUMBER(posicao_contratual!B69)),NOT(ISNUMBER(posicao_contratual!K69))),"",ROUND(posicao_contratual!B69*posicao_contratual!K69,2))</f>
        <v/>
      </c>
      <c r="E71" s="191" t="str">
        <f>IF(OR(posicao_contratual!A69="",NOT(ISNUMBER(posicao_contratual!B69)),NOT(ISNUMBER(posicao_contratual!O69))),"",ROUND(posicao_contratual!B69*posicao_contratual!O69,2))</f>
        <v/>
      </c>
      <c r="F71" s="191" t="str">
        <f>IF(OR(posicao_contratual!A69="",NOT(ISNUMBER(posicao_contratual!B69)),NOT(ISNUMBER(posicao_contratual!S69))),"",ROUND(posicao_contratual!B69*posicao_contratual!S69,2))</f>
        <v/>
      </c>
      <c r="G71" s="191" t="str">
        <f>IF(OR(posicao_contratual!A69="",NOT(ISNUMBER(posicao_contratual!B69)),NOT(ISNUMBER(posicao_contratual!W69))),"",ROUND(posicao_contratual!B69*posicao_contratual!W69,2))</f>
        <v/>
      </c>
    </row>
    <row r="72" spans="1:7" x14ac:dyDescent="0.35">
      <c r="A72" t="str">
        <f>IF(posicao_contratual!A70="","",posicao_contratual!A70)</f>
        <v/>
      </c>
      <c r="B72" s="191" t="str">
        <f>IF(posicao_contratual!A70="","",posicao_contratual!B70)</f>
        <v/>
      </c>
      <c r="C72" s="191" t="str">
        <f>IF(OR(posicao_contratual!A70="",NOT(ISNUMBER(posicao_contratual!B70)),NOT(ISNUMBER(posicao_contratual!G70))),"",ROUND(posicao_contratual!B70*posicao_contratual!G70,2))</f>
        <v/>
      </c>
      <c r="D72" s="191" t="str">
        <f>IF(OR(posicao_contratual!A70="",NOT(ISNUMBER(posicao_contratual!B70)),NOT(ISNUMBER(posicao_contratual!K70))),"",ROUND(posicao_contratual!B70*posicao_contratual!K70,2))</f>
        <v/>
      </c>
      <c r="E72" s="191" t="str">
        <f>IF(OR(posicao_contratual!A70="",NOT(ISNUMBER(posicao_contratual!B70)),NOT(ISNUMBER(posicao_contratual!O70))),"",ROUND(posicao_contratual!B70*posicao_contratual!O70,2))</f>
        <v/>
      </c>
      <c r="F72" s="191" t="str">
        <f>IF(OR(posicao_contratual!A70="",NOT(ISNUMBER(posicao_contratual!B70)),NOT(ISNUMBER(posicao_contratual!S70))),"",ROUND(posicao_contratual!B70*posicao_contratual!S70,2))</f>
        <v/>
      </c>
      <c r="G72" s="191" t="str">
        <f>IF(OR(posicao_contratual!A70="",NOT(ISNUMBER(posicao_contratual!B70)),NOT(ISNUMBER(posicao_contratual!W70))),"",ROUND(posicao_contratual!B70*posicao_contratual!W70,2))</f>
        <v/>
      </c>
    </row>
    <row r="73" spans="1:7" x14ac:dyDescent="0.35">
      <c r="A73" t="str">
        <f>IF(posicao_contratual!A71="","",posicao_contratual!A71)</f>
        <v/>
      </c>
      <c r="B73" s="191" t="str">
        <f>IF(posicao_contratual!A71="","",posicao_contratual!B71)</f>
        <v/>
      </c>
      <c r="C73" s="191" t="str">
        <f>IF(OR(posicao_contratual!A71="",NOT(ISNUMBER(posicao_contratual!B71)),NOT(ISNUMBER(posicao_contratual!G71))),"",ROUND(posicao_contratual!B71*posicao_contratual!G71,2))</f>
        <v/>
      </c>
      <c r="D73" s="191" t="str">
        <f>IF(OR(posicao_contratual!A71="",NOT(ISNUMBER(posicao_contratual!B71)),NOT(ISNUMBER(posicao_contratual!K71))),"",ROUND(posicao_contratual!B71*posicao_contratual!K71,2))</f>
        <v/>
      </c>
      <c r="E73" s="191" t="str">
        <f>IF(OR(posicao_contratual!A71="",NOT(ISNUMBER(posicao_contratual!B71)),NOT(ISNUMBER(posicao_contratual!O71))),"",ROUND(posicao_contratual!B71*posicao_contratual!O71,2))</f>
        <v/>
      </c>
      <c r="F73" s="191" t="str">
        <f>IF(OR(posicao_contratual!A71="",NOT(ISNUMBER(posicao_contratual!B71)),NOT(ISNUMBER(posicao_contratual!S71))),"",ROUND(posicao_contratual!B71*posicao_contratual!S71,2))</f>
        <v/>
      </c>
      <c r="G73" s="191" t="str">
        <f>IF(OR(posicao_contratual!A71="",NOT(ISNUMBER(posicao_contratual!B71)),NOT(ISNUMBER(posicao_contratual!W71))),"",ROUND(posicao_contratual!B71*posicao_contratual!W71,2))</f>
        <v/>
      </c>
    </row>
    <row r="74" spans="1:7" x14ac:dyDescent="0.35">
      <c r="A74" t="str">
        <f>IF(posicao_contratual!A72="","",posicao_contratual!A72)</f>
        <v/>
      </c>
      <c r="B74" s="191" t="str">
        <f>IF(posicao_contratual!A72="","",posicao_contratual!B72)</f>
        <v/>
      </c>
      <c r="C74" s="191" t="str">
        <f>IF(OR(posicao_contratual!A72="",NOT(ISNUMBER(posicao_contratual!B72)),NOT(ISNUMBER(posicao_contratual!G72))),"",ROUND(posicao_contratual!B72*posicao_contratual!G72,2))</f>
        <v/>
      </c>
      <c r="D74" s="191" t="str">
        <f>IF(OR(posicao_contratual!A72="",NOT(ISNUMBER(posicao_contratual!B72)),NOT(ISNUMBER(posicao_contratual!K72))),"",ROUND(posicao_contratual!B72*posicao_contratual!K72,2))</f>
        <v/>
      </c>
      <c r="E74" s="191" t="str">
        <f>IF(OR(posicao_contratual!A72="",NOT(ISNUMBER(posicao_contratual!B72)),NOT(ISNUMBER(posicao_contratual!O72))),"",ROUND(posicao_contratual!B72*posicao_contratual!O72,2))</f>
        <v/>
      </c>
      <c r="F74" s="191" t="str">
        <f>IF(OR(posicao_contratual!A72="",NOT(ISNUMBER(posicao_contratual!B72)),NOT(ISNUMBER(posicao_contratual!S72))),"",ROUND(posicao_contratual!B72*posicao_contratual!S72,2))</f>
        <v/>
      </c>
      <c r="G74" s="191" t="str">
        <f>IF(OR(posicao_contratual!A72="",NOT(ISNUMBER(posicao_contratual!B72)),NOT(ISNUMBER(posicao_contratual!W72))),"",ROUND(posicao_contratual!B72*posicao_contratual!W72,2))</f>
        <v/>
      </c>
    </row>
    <row r="75" spans="1:7" x14ac:dyDescent="0.35">
      <c r="A75" t="str">
        <f>IF(posicao_contratual!A73="","",posicao_contratual!A73)</f>
        <v/>
      </c>
      <c r="B75" s="191" t="str">
        <f>IF(posicao_contratual!A73="","",posicao_contratual!B73)</f>
        <v/>
      </c>
      <c r="C75" s="191" t="str">
        <f>IF(OR(posicao_contratual!A73="",NOT(ISNUMBER(posicao_contratual!B73)),NOT(ISNUMBER(posicao_contratual!G73))),"",ROUND(posicao_contratual!B73*posicao_contratual!G73,2))</f>
        <v/>
      </c>
      <c r="D75" s="191" t="str">
        <f>IF(OR(posicao_contratual!A73="",NOT(ISNUMBER(posicao_contratual!B73)),NOT(ISNUMBER(posicao_contratual!K73))),"",ROUND(posicao_contratual!B73*posicao_contratual!K73,2))</f>
        <v/>
      </c>
      <c r="E75" s="191" t="str">
        <f>IF(OR(posicao_contratual!A73="",NOT(ISNUMBER(posicao_contratual!B73)),NOT(ISNUMBER(posicao_contratual!O73))),"",ROUND(posicao_contratual!B73*posicao_contratual!O73,2))</f>
        <v/>
      </c>
      <c r="F75" s="191" t="str">
        <f>IF(OR(posicao_contratual!A73="",NOT(ISNUMBER(posicao_contratual!B73)),NOT(ISNUMBER(posicao_contratual!S73))),"",ROUND(posicao_contratual!B73*posicao_contratual!S73,2))</f>
        <v/>
      </c>
      <c r="G75" s="191" t="str">
        <f>IF(OR(posicao_contratual!A73="",NOT(ISNUMBER(posicao_contratual!B73)),NOT(ISNUMBER(posicao_contratual!W73))),"",ROUND(posicao_contratual!B73*posicao_contratual!W73,2))</f>
        <v/>
      </c>
    </row>
    <row r="76" spans="1:7" x14ac:dyDescent="0.35">
      <c r="A76" t="str">
        <f>IF(posicao_contratual!A74="","",posicao_contratual!A74)</f>
        <v/>
      </c>
      <c r="B76" s="191" t="str">
        <f>IF(posicao_contratual!A74="","",posicao_contratual!B74)</f>
        <v/>
      </c>
      <c r="C76" s="191" t="str">
        <f>IF(OR(posicao_contratual!A74="",NOT(ISNUMBER(posicao_contratual!B74)),NOT(ISNUMBER(posicao_contratual!G74))),"",ROUND(posicao_contratual!B74*posicao_contratual!G74,2))</f>
        <v/>
      </c>
      <c r="D76" s="191" t="str">
        <f>IF(OR(posicao_contratual!A74="",NOT(ISNUMBER(posicao_contratual!B74)),NOT(ISNUMBER(posicao_contratual!K74))),"",ROUND(posicao_contratual!B74*posicao_contratual!K74,2))</f>
        <v/>
      </c>
      <c r="E76" s="191" t="str">
        <f>IF(OR(posicao_contratual!A74="",NOT(ISNUMBER(posicao_contratual!B74)),NOT(ISNUMBER(posicao_contratual!O74))),"",ROUND(posicao_contratual!B74*posicao_contratual!O74,2))</f>
        <v/>
      </c>
      <c r="F76" s="191" t="str">
        <f>IF(OR(posicao_contratual!A74="",NOT(ISNUMBER(posicao_contratual!B74)),NOT(ISNUMBER(posicao_contratual!S74))),"",ROUND(posicao_contratual!B74*posicao_contratual!S74,2))</f>
        <v/>
      </c>
      <c r="G76" s="191" t="str">
        <f>IF(OR(posicao_contratual!A74="",NOT(ISNUMBER(posicao_contratual!B74)),NOT(ISNUMBER(posicao_contratual!W74))),"",ROUND(posicao_contratual!B74*posicao_contratual!W74,2))</f>
        <v/>
      </c>
    </row>
    <row r="77" spans="1:7" x14ac:dyDescent="0.35">
      <c r="A77" t="str">
        <f>IF(posicao_contratual!A75="","",posicao_contratual!A75)</f>
        <v/>
      </c>
      <c r="B77" s="191" t="str">
        <f>IF(posicao_contratual!A75="","",posicao_contratual!B75)</f>
        <v/>
      </c>
      <c r="C77" s="191" t="str">
        <f>IF(OR(posicao_contratual!A75="",NOT(ISNUMBER(posicao_contratual!B75)),NOT(ISNUMBER(posicao_contratual!G75))),"",ROUND(posicao_contratual!B75*posicao_contratual!G75,2))</f>
        <v/>
      </c>
      <c r="D77" s="191" t="str">
        <f>IF(OR(posicao_contratual!A75="",NOT(ISNUMBER(posicao_contratual!B75)),NOT(ISNUMBER(posicao_contratual!K75))),"",ROUND(posicao_contratual!B75*posicao_contratual!K75,2))</f>
        <v/>
      </c>
      <c r="E77" s="191" t="str">
        <f>IF(OR(posicao_contratual!A75="",NOT(ISNUMBER(posicao_contratual!B75)),NOT(ISNUMBER(posicao_contratual!O75))),"",ROUND(posicao_contratual!B75*posicao_contratual!O75,2))</f>
        <v/>
      </c>
      <c r="F77" s="191" t="str">
        <f>IF(OR(posicao_contratual!A75="",NOT(ISNUMBER(posicao_contratual!B75)),NOT(ISNUMBER(posicao_contratual!S75))),"",ROUND(posicao_contratual!B75*posicao_contratual!S75,2))</f>
        <v/>
      </c>
      <c r="G77" s="191" t="str">
        <f>IF(OR(posicao_contratual!A75="",NOT(ISNUMBER(posicao_contratual!B75)),NOT(ISNUMBER(posicao_contratual!W75))),"",ROUND(posicao_contratual!B75*posicao_contratual!W75,2))</f>
        <v/>
      </c>
    </row>
    <row r="78" spans="1:7" x14ac:dyDescent="0.35">
      <c r="A78" t="str">
        <f>IF(posicao_contratual!A76="","",posicao_contratual!A76)</f>
        <v/>
      </c>
      <c r="B78" s="191" t="str">
        <f>IF(posicao_contratual!A76="","",posicao_contratual!B76)</f>
        <v/>
      </c>
      <c r="C78" s="191" t="str">
        <f>IF(OR(posicao_contratual!A76="",NOT(ISNUMBER(posicao_contratual!B76)),NOT(ISNUMBER(posicao_contratual!G76))),"",ROUND(posicao_contratual!B76*posicao_contratual!G76,2))</f>
        <v/>
      </c>
      <c r="D78" s="191" t="str">
        <f>IF(OR(posicao_contratual!A76="",NOT(ISNUMBER(posicao_contratual!B76)),NOT(ISNUMBER(posicao_contratual!K76))),"",ROUND(posicao_contratual!B76*posicao_contratual!K76,2))</f>
        <v/>
      </c>
      <c r="E78" s="191" t="str">
        <f>IF(OR(posicao_contratual!A76="",NOT(ISNUMBER(posicao_contratual!B76)),NOT(ISNUMBER(posicao_contratual!O76))),"",ROUND(posicao_contratual!B76*posicao_contratual!O76,2))</f>
        <v/>
      </c>
      <c r="F78" s="191" t="str">
        <f>IF(OR(posicao_contratual!A76="",NOT(ISNUMBER(posicao_contratual!B76)),NOT(ISNUMBER(posicao_contratual!S76))),"",ROUND(posicao_contratual!B76*posicao_contratual!S76,2))</f>
        <v/>
      </c>
      <c r="G78" s="191" t="str">
        <f>IF(OR(posicao_contratual!A76="",NOT(ISNUMBER(posicao_contratual!B76)),NOT(ISNUMBER(posicao_contratual!W76))),"",ROUND(posicao_contratual!B76*posicao_contratual!W76,2))</f>
        <v/>
      </c>
    </row>
    <row r="79" spans="1:7" x14ac:dyDescent="0.35">
      <c r="A79" t="str">
        <f>IF(posicao_contratual!A77="","",posicao_contratual!A77)</f>
        <v/>
      </c>
      <c r="B79" s="191" t="str">
        <f>IF(posicao_contratual!A77="","",posicao_contratual!B77)</f>
        <v/>
      </c>
      <c r="C79" s="191" t="str">
        <f>IF(OR(posicao_contratual!A77="",NOT(ISNUMBER(posicao_contratual!B77)),NOT(ISNUMBER(posicao_contratual!G77))),"",ROUND(posicao_contratual!B77*posicao_contratual!G77,2))</f>
        <v/>
      </c>
      <c r="D79" s="191" t="str">
        <f>IF(OR(posicao_contratual!A77="",NOT(ISNUMBER(posicao_contratual!B77)),NOT(ISNUMBER(posicao_contratual!K77))),"",ROUND(posicao_contratual!B77*posicao_contratual!K77,2))</f>
        <v/>
      </c>
      <c r="E79" s="191" t="str">
        <f>IF(OR(posicao_contratual!A77="",NOT(ISNUMBER(posicao_contratual!B77)),NOT(ISNUMBER(posicao_contratual!O77))),"",ROUND(posicao_contratual!B77*posicao_contratual!O77,2))</f>
        <v/>
      </c>
      <c r="F79" s="191" t="str">
        <f>IF(OR(posicao_contratual!A77="",NOT(ISNUMBER(posicao_contratual!B77)),NOT(ISNUMBER(posicao_contratual!S77))),"",ROUND(posicao_contratual!B77*posicao_contratual!S77,2))</f>
        <v/>
      </c>
      <c r="G79" s="191" t="str">
        <f>IF(OR(posicao_contratual!A77="",NOT(ISNUMBER(posicao_contratual!B77)),NOT(ISNUMBER(posicao_contratual!W77))),"",ROUND(posicao_contratual!B77*posicao_contratual!W77,2))</f>
        <v/>
      </c>
    </row>
    <row r="80" spans="1:7" x14ac:dyDescent="0.35">
      <c r="A80" t="str">
        <f>IF(posicao_contratual!A78="","",posicao_contratual!A78)</f>
        <v/>
      </c>
      <c r="B80" s="191" t="str">
        <f>IF(posicao_contratual!A78="","",posicao_contratual!B78)</f>
        <v/>
      </c>
      <c r="C80" s="191" t="str">
        <f>IF(OR(posicao_contratual!A78="",NOT(ISNUMBER(posicao_contratual!B78)),NOT(ISNUMBER(posicao_contratual!G78))),"",ROUND(posicao_contratual!B78*posicao_contratual!G78,2))</f>
        <v/>
      </c>
      <c r="D80" s="191" t="str">
        <f>IF(OR(posicao_contratual!A78="",NOT(ISNUMBER(posicao_contratual!B78)),NOT(ISNUMBER(posicao_contratual!K78))),"",ROUND(posicao_contratual!B78*posicao_contratual!K78,2))</f>
        <v/>
      </c>
      <c r="E80" s="191" t="str">
        <f>IF(OR(posicao_contratual!A78="",NOT(ISNUMBER(posicao_contratual!B78)),NOT(ISNUMBER(posicao_contratual!O78))),"",ROUND(posicao_contratual!B78*posicao_contratual!O78,2))</f>
        <v/>
      </c>
      <c r="F80" s="191" t="str">
        <f>IF(OR(posicao_contratual!A78="",NOT(ISNUMBER(posicao_contratual!B78)),NOT(ISNUMBER(posicao_contratual!S78))),"",ROUND(posicao_contratual!B78*posicao_contratual!S78,2))</f>
        <v/>
      </c>
      <c r="G80" s="191" t="str">
        <f>IF(OR(posicao_contratual!A78="",NOT(ISNUMBER(posicao_contratual!B78)),NOT(ISNUMBER(posicao_contratual!W78))),"",ROUND(posicao_contratual!B78*posicao_contratual!W78,2))</f>
        <v/>
      </c>
    </row>
    <row r="81" spans="1:7" x14ac:dyDescent="0.35">
      <c r="A81" t="str">
        <f>IF(posicao_contratual!A79="","",posicao_contratual!A79)</f>
        <v/>
      </c>
      <c r="B81" s="191" t="str">
        <f>IF(posicao_contratual!A79="","",posicao_contratual!B79)</f>
        <v/>
      </c>
      <c r="C81" s="191" t="str">
        <f>IF(OR(posicao_contratual!A79="",NOT(ISNUMBER(posicao_contratual!B79)),NOT(ISNUMBER(posicao_contratual!G79))),"",ROUND(posicao_contratual!B79*posicao_contratual!G79,2))</f>
        <v/>
      </c>
      <c r="D81" s="191" t="str">
        <f>IF(OR(posicao_contratual!A79="",NOT(ISNUMBER(posicao_contratual!B79)),NOT(ISNUMBER(posicao_contratual!K79))),"",ROUND(posicao_contratual!B79*posicao_contratual!K79,2))</f>
        <v/>
      </c>
      <c r="E81" s="191" t="str">
        <f>IF(OR(posicao_contratual!A79="",NOT(ISNUMBER(posicao_contratual!B79)),NOT(ISNUMBER(posicao_contratual!O79))),"",ROUND(posicao_contratual!B79*posicao_contratual!O79,2))</f>
        <v/>
      </c>
      <c r="F81" s="191" t="str">
        <f>IF(OR(posicao_contratual!A79="",NOT(ISNUMBER(posicao_contratual!B79)),NOT(ISNUMBER(posicao_contratual!S79))),"",ROUND(posicao_contratual!B79*posicao_contratual!S79,2))</f>
        <v/>
      </c>
      <c r="G81" s="191" t="str">
        <f>IF(OR(posicao_contratual!A79="",NOT(ISNUMBER(posicao_contratual!B79)),NOT(ISNUMBER(posicao_contratual!W79))),"",ROUND(posicao_contratual!B79*posicao_contratual!W79,2))</f>
        <v/>
      </c>
    </row>
    <row r="82" spans="1:7" x14ac:dyDescent="0.35">
      <c r="A82" t="str">
        <f>IF(posicao_contratual!A80="","",posicao_contratual!A80)</f>
        <v/>
      </c>
      <c r="B82" s="191" t="str">
        <f>IF(posicao_contratual!A80="","",posicao_contratual!B80)</f>
        <v/>
      </c>
      <c r="C82" s="191" t="str">
        <f>IF(OR(posicao_contratual!A80="",NOT(ISNUMBER(posicao_contratual!B80)),NOT(ISNUMBER(posicao_contratual!G80))),"",ROUND(posicao_contratual!B80*posicao_contratual!G80,2))</f>
        <v/>
      </c>
      <c r="D82" s="191" t="str">
        <f>IF(OR(posicao_contratual!A80="",NOT(ISNUMBER(posicao_contratual!B80)),NOT(ISNUMBER(posicao_contratual!K80))),"",ROUND(posicao_contratual!B80*posicao_contratual!K80,2))</f>
        <v/>
      </c>
      <c r="E82" s="191" t="str">
        <f>IF(OR(posicao_contratual!A80="",NOT(ISNUMBER(posicao_contratual!B80)),NOT(ISNUMBER(posicao_contratual!O80))),"",ROUND(posicao_contratual!B80*posicao_contratual!O80,2))</f>
        <v/>
      </c>
      <c r="F82" s="191" t="str">
        <f>IF(OR(posicao_contratual!A80="",NOT(ISNUMBER(posicao_contratual!B80)),NOT(ISNUMBER(posicao_contratual!S80))),"",ROUND(posicao_contratual!B80*posicao_contratual!S80,2))</f>
        <v/>
      </c>
      <c r="G82" s="191" t="str">
        <f>IF(OR(posicao_contratual!A80="",NOT(ISNUMBER(posicao_contratual!B80)),NOT(ISNUMBER(posicao_contratual!W80))),"",ROUND(posicao_contratual!B80*posicao_contratual!W80,2))</f>
        <v/>
      </c>
    </row>
    <row r="83" spans="1:7" x14ac:dyDescent="0.35">
      <c r="A83" t="str">
        <f>IF(posicao_contratual!A81="","",posicao_contratual!A81)</f>
        <v/>
      </c>
      <c r="B83" s="191" t="str">
        <f>IF(posicao_contratual!A81="","",posicao_contratual!B81)</f>
        <v/>
      </c>
      <c r="C83" s="191" t="str">
        <f>IF(OR(posicao_contratual!A81="",NOT(ISNUMBER(posicao_contratual!B81)),NOT(ISNUMBER(posicao_contratual!G81))),"",ROUND(posicao_contratual!B81*posicao_contratual!G81,2))</f>
        <v/>
      </c>
      <c r="D83" s="191" t="str">
        <f>IF(OR(posicao_contratual!A81="",NOT(ISNUMBER(posicao_contratual!B81)),NOT(ISNUMBER(posicao_contratual!K81))),"",ROUND(posicao_contratual!B81*posicao_contratual!K81,2))</f>
        <v/>
      </c>
      <c r="E83" s="191" t="str">
        <f>IF(OR(posicao_contratual!A81="",NOT(ISNUMBER(posicao_contratual!B81)),NOT(ISNUMBER(posicao_contratual!O81))),"",ROUND(posicao_contratual!B81*posicao_contratual!O81,2))</f>
        <v/>
      </c>
      <c r="F83" s="191" t="str">
        <f>IF(OR(posicao_contratual!A81="",NOT(ISNUMBER(posicao_contratual!B81)),NOT(ISNUMBER(posicao_contratual!S81))),"",ROUND(posicao_contratual!B81*posicao_contratual!S81,2))</f>
        <v/>
      </c>
      <c r="G83" s="191" t="str">
        <f>IF(OR(posicao_contratual!A81="",NOT(ISNUMBER(posicao_contratual!B81)),NOT(ISNUMBER(posicao_contratual!W81))),"",ROUND(posicao_contratual!B81*posicao_contratual!W81,2))</f>
        <v/>
      </c>
    </row>
    <row r="84" spans="1:7" x14ac:dyDescent="0.35">
      <c r="A84" t="str">
        <f>IF(posicao_contratual!A82="","",posicao_contratual!A82)</f>
        <v/>
      </c>
      <c r="B84" s="191" t="str">
        <f>IF(posicao_contratual!A82="","",posicao_contratual!B82)</f>
        <v/>
      </c>
      <c r="C84" s="191" t="str">
        <f>IF(OR(posicao_contratual!A82="",NOT(ISNUMBER(posicao_contratual!B82)),NOT(ISNUMBER(posicao_contratual!G82))),"",ROUND(posicao_contratual!B82*posicao_contratual!G82,2))</f>
        <v/>
      </c>
      <c r="D84" s="191" t="str">
        <f>IF(OR(posicao_contratual!A82="",NOT(ISNUMBER(posicao_contratual!B82)),NOT(ISNUMBER(posicao_contratual!K82))),"",ROUND(posicao_contratual!B82*posicao_contratual!K82,2))</f>
        <v/>
      </c>
      <c r="E84" s="191" t="str">
        <f>IF(OR(posicao_contratual!A82="",NOT(ISNUMBER(posicao_contratual!B82)),NOT(ISNUMBER(posicao_contratual!O82))),"",ROUND(posicao_contratual!B82*posicao_contratual!O82,2))</f>
        <v/>
      </c>
      <c r="F84" s="191" t="str">
        <f>IF(OR(posicao_contratual!A82="",NOT(ISNUMBER(posicao_contratual!B82)),NOT(ISNUMBER(posicao_contratual!S82))),"",ROUND(posicao_contratual!B82*posicao_contratual!S82,2))</f>
        <v/>
      </c>
      <c r="G84" s="191" t="str">
        <f>IF(OR(posicao_contratual!A82="",NOT(ISNUMBER(posicao_contratual!B82)),NOT(ISNUMBER(posicao_contratual!W82))),"",ROUND(posicao_contratual!B82*posicao_contratual!W82,2))</f>
        <v/>
      </c>
    </row>
    <row r="85" spans="1:7" x14ac:dyDescent="0.35">
      <c r="A85" t="str">
        <f>IF(posicao_contratual!A83="","",posicao_contratual!A83)</f>
        <v/>
      </c>
      <c r="B85" s="191" t="str">
        <f>IF(posicao_contratual!A83="","",posicao_contratual!B83)</f>
        <v/>
      </c>
      <c r="C85" s="191" t="str">
        <f>IF(OR(posicao_contratual!A83="",NOT(ISNUMBER(posicao_contratual!B83)),NOT(ISNUMBER(posicao_contratual!G83))),"",ROUND(posicao_contratual!B83*posicao_contratual!G83,2))</f>
        <v/>
      </c>
      <c r="D85" s="191" t="str">
        <f>IF(OR(posicao_contratual!A83="",NOT(ISNUMBER(posicao_contratual!B83)),NOT(ISNUMBER(posicao_contratual!K83))),"",ROUND(posicao_contratual!B83*posicao_contratual!K83,2))</f>
        <v/>
      </c>
      <c r="E85" s="191" t="str">
        <f>IF(OR(posicao_contratual!A83="",NOT(ISNUMBER(posicao_contratual!B83)),NOT(ISNUMBER(posicao_contratual!O83))),"",ROUND(posicao_contratual!B83*posicao_contratual!O83,2))</f>
        <v/>
      </c>
      <c r="F85" s="191" t="str">
        <f>IF(OR(posicao_contratual!A83="",NOT(ISNUMBER(posicao_contratual!B83)),NOT(ISNUMBER(posicao_contratual!S83))),"",ROUND(posicao_contratual!B83*posicao_contratual!S83,2))</f>
        <v/>
      </c>
      <c r="G85" s="191" t="str">
        <f>IF(OR(posicao_contratual!A83="",NOT(ISNUMBER(posicao_contratual!B83)),NOT(ISNUMBER(posicao_contratual!W83))),"",ROUND(posicao_contratual!B83*posicao_contratual!W83,2))</f>
        <v/>
      </c>
    </row>
    <row r="86" spans="1:7" x14ac:dyDescent="0.35">
      <c r="A86" t="str">
        <f>IF(posicao_contratual!A84="","",posicao_contratual!A84)</f>
        <v/>
      </c>
      <c r="B86" s="191" t="str">
        <f>IF(posicao_contratual!A84="","",posicao_contratual!B84)</f>
        <v/>
      </c>
      <c r="C86" s="191" t="str">
        <f>IF(OR(posicao_contratual!A84="",NOT(ISNUMBER(posicao_contratual!B84)),NOT(ISNUMBER(posicao_contratual!G84))),"",ROUND(posicao_contratual!B84*posicao_contratual!G84,2))</f>
        <v/>
      </c>
      <c r="D86" s="191" t="str">
        <f>IF(OR(posicao_contratual!A84="",NOT(ISNUMBER(posicao_contratual!B84)),NOT(ISNUMBER(posicao_contratual!K84))),"",ROUND(posicao_contratual!B84*posicao_contratual!K84,2))</f>
        <v/>
      </c>
      <c r="E86" s="191" t="str">
        <f>IF(OR(posicao_contratual!A84="",NOT(ISNUMBER(posicao_contratual!B84)),NOT(ISNUMBER(posicao_contratual!O84))),"",ROUND(posicao_contratual!B84*posicao_contratual!O84,2))</f>
        <v/>
      </c>
      <c r="F86" s="191" t="str">
        <f>IF(OR(posicao_contratual!A84="",NOT(ISNUMBER(posicao_contratual!B84)),NOT(ISNUMBER(posicao_contratual!S84))),"",ROUND(posicao_contratual!B84*posicao_contratual!S84,2))</f>
        <v/>
      </c>
      <c r="G86" s="191" t="str">
        <f>IF(OR(posicao_contratual!A84="",NOT(ISNUMBER(posicao_contratual!B84)),NOT(ISNUMBER(posicao_contratual!W84))),"",ROUND(posicao_contratual!B84*posicao_contratual!W84,2))</f>
        <v/>
      </c>
    </row>
    <row r="87" spans="1:7" x14ac:dyDescent="0.35">
      <c r="A87" t="str">
        <f>IF(posicao_contratual!A85="","",posicao_contratual!A85)</f>
        <v/>
      </c>
      <c r="B87" s="191" t="str">
        <f>IF(posicao_contratual!A85="","",posicao_contratual!B85)</f>
        <v/>
      </c>
      <c r="C87" s="191" t="str">
        <f>IF(OR(posicao_contratual!A85="",NOT(ISNUMBER(posicao_contratual!B85)),NOT(ISNUMBER(posicao_contratual!G85))),"",ROUND(posicao_contratual!B85*posicao_contratual!G85,2))</f>
        <v/>
      </c>
      <c r="D87" s="191" t="str">
        <f>IF(OR(posicao_contratual!A85="",NOT(ISNUMBER(posicao_contratual!B85)),NOT(ISNUMBER(posicao_contratual!K85))),"",ROUND(posicao_contratual!B85*posicao_contratual!K85,2))</f>
        <v/>
      </c>
      <c r="E87" s="191" t="str">
        <f>IF(OR(posicao_contratual!A85="",NOT(ISNUMBER(posicao_contratual!B85)),NOT(ISNUMBER(posicao_contratual!O85))),"",ROUND(posicao_contratual!B85*posicao_contratual!O85,2))</f>
        <v/>
      </c>
      <c r="F87" s="191" t="str">
        <f>IF(OR(posicao_contratual!A85="",NOT(ISNUMBER(posicao_contratual!B85)),NOT(ISNUMBER(posicao_contratual!S85))),"",ROUND(posicao_contratual!B85*posicao_contratual!S85,2))</f>
        <v/>
      </c>
      <c r="G87" s="191" t="str">
        <f>IF(OR(posicao_contratual!A85="",NOT(ISNUMBER(posicao_contratual!B85)),NOT(ISNUMBER(posicao_contratual!W85))),"",ROUND(posicao_contratual!B85*posicao_contratual!W85,2))</f>
        <v/>
      </c>
    </row>
    <row r="88" spans="1:7" x14ac:dyDescent="0.35">
      <c r="A88" t="str">
        <f>IF(posicao_contratual!A86="","",posicao_contratual!A86)</f>
        <v/>
      </c>
      <c r="B88" s="191" t="str">
        <f>IF(posicao_contratual!A86="","",posicao_contratual!B86)</f>
        <v/>
      </c>
      <c r="C88" s="191" t="str">
        <f>IF(OR(posicao_contratual!A86="",NOT(ISNUMBER(posicao_contratual!B86)),NOT(ISNUMBER(posicao_contratual!G86))),"",ROUND(posicao_contratual!B86*posicao_contratual!G86,2))</f>
        <v/>
      </c>
      <c r="D88" s="191" t="str">
        <f>IF(OR(posicao_contratual!A86="",NOT(ISNUMBER(posicao_contratual!B86)),NOT(ISNUMBER(posicao_contratual!K86))),"",ROUND(posicao_contratual!B86*posicao_contratual!K86,2))</f>
        <v/>
      </c>
      <c r="E88" s="191" t="str">
        <f>IF(OR(posicao_contratual!A86="",NOT(ISNUMBER(posicao_contratual!B86)),NOT(ISNUMBER(posicao_contratual!O86))),"",ROUND(posicao_contratual!B86*posicao_contratual!O86,2))</f>
        <v/>
      </c>
      <c r="F88" s="191" t="str">
        <f>IF(OR(posicao_contratual!A86="",NOT(ISNUMBER(posicao_contratual!B86)),NOT(ISNUMBER(posicao_contratual!S86))),"",ROUND(posicao_contratual!B86*posicao_contratual!S86,2))</f>
        <v/>
      </c>
      <c r="G88" s="191" t="str">
        <f>IF(OR(posicao_contratual!A86="",NOT(ISNUMBER(posicao_contratual!B86)),NOT(ISNUMBER(posicao_contratual!W86))),"",ROUND(posicao_contratual!B86*posicao_contratual!W86,2))</f>
        <v/>
      </c>
    </row>
    <row r="89" spans="1:7" x14ac:dyDescent="0.35">
      <c r="A89" t="str">
        <f>IF(posicao_contratual!A87="","",posicao_contratual!A87)</f>
        <v/>
      </c>
      <c r="B89" s="191" t="str">
        <f>IF(posicao_contratual!A87="","",posicao_contratual!B87)</f>
        <v/>
      </c>
      <c r="C89" s="191" t="str">
        <f>IF(OR(posicao_contratual!A87="",NOT(ISNUMBER(posicao_contratual!B87)),NOT(ISNUMBER(posicao_contratual!G87))),"",ROUND(posicao_contratual!B87*posicao_contratual!G87,2))</f>
        <v/>
      </c>
      <c r="D89" s="191" t="str">
        <f>IF(OR(posicao_contratual!A87="",NOT(ISNUMBER(posicao_contratual!B87)),NOT(ISNUMBER(posicao_contratual!K87))),"",ROUND(posicao_contratual!B87*posicao_contratual!K87,2))</f>
        <v/>
      </c>
      <c r="E89" s="191" t="str">
        <f>IF(OR(posicao_contratual!A87="",NOT(ISNUMBER(posicao_contratual!B87)),NOT(ISNUMBER(posicao_contratual!O87))),"",ROUND(posicao_contratual!B87*posicao_contratual!O87,2))</f>
        <v/>
      </c>
      <c r="F89" s="191" t="str">
        <f>IF(OR(posicao_contratual!A87="",NOT(ISNUMBER(posicao_contratual!B87)),NOT(ISNUMBER(posicao_contratual!S87))),"",ROUND(posicao_contratual!B87*posicao_contratual!S87,2))</f>
        <v/>
      </c>
      <c r="G89" s="191" t="str">
        <f>IF(OR(posicao_contratual!A87="",NOT(ISNUMBER(posicao_contratual!B87)),NOT(ISNUMBER(posicao_contratual!W87))),"",ROUND(posicao_contratual!B87*posicao_contratual!W87,2))</f>
        <v/>
      </c>
    </row>
    <row r="90" spans="1:7" x14ac:dyDescent="0.35">
      <c r="A90" t="str">
        <f>IF(posicao_contratual!A88="","",posicao_contratual!A88)</f>
        <v/>
      </c>
      <c r="B90" s="191" t="str">
        <f>IF(posicao_contratual!A88="","",posicao_contratual!B88)</f>
        <v/>
      </c>
      <c r="C90" s="191" t="str">
        <f>IF(OR(posicao_contratual!A88="",NOT(ISNUMBER(posicao_contratual!B88)),NOT(ISNUMBER(posicao_contratual!G88))),"",ROUND(posicao_contratual!B88*posicao_contratual!G88,2))</f>
        <v/>
      </c>
      <c r="D90" s="191" t="str">
        <f>IF(OR(posicao_contratual!A88="",NOT(ISNUMBER(posicao_contratual!B88)),NOT(ISNUMBER(posicao_contratual!K88))),"",ROUND(posicao_contratual!B88*posicao_contratual!K88,2))</f>
        <v/>
      </c>
      <c r="E90" s="191" t="str">
        <f>IF(OR(posicao_contratual!A88="",NOT(ISNUMBER(posicao_contratual!B88)),NOT(ISNUMBER(posicao_contratual!O88))),"",ROUND(posicao_contratual!B88*posicao_contratual!O88,2))</f>
        <v/>
      </c>
      <c r="F90" s="191" t="str">
        <f>IF(OR(posicao_contratual!A88="",NOT(ISNUMBER(posicao_contratual!B88)),NOT(ISNUMBER(posicao_contratual!S88))),"",ROUND(posicao_contratual!B88*posicao_contratual!S88,2))</f>
        <v/>
      </c>
      <c r="G90" s="191" t="str">
        <f>IF(OR(posicao_contratual!A88="",NOT(ISNUMBER(posicao_contratual!B88)),NOT(ISNUMBER(posicao_contratual!W88))),"",ROUND(posicao_contratual!B88*posicao_contratual!W88,2))</f>
        <v/>
      </c>
    </row>
    <row r="91" spans="1:7" x14ac:dyDescent="0.35">
      <c r="A91" t="str">
        <f>IF(posicao_contratual!A89="","",posicao_contratual!A89)</f>
        <v/>
      </c>
      <c r="B91" s="191" t="str">
        <f>IF(posicao_contratual!A89="","",posicao_contratual!B89)</f>
        <v/>
      </c>
      <c r="C91" s="191" t="str">
        <f>IF(OR(posicao_contratual!A89="",NOT(ISNUMBER(posicao_contratual!B89)),NOT(ISNUMBER(posicao_contratual!G89))),"",ROUND(posicao_contratual!B89*posicao_contratual!G89,2))</f>
        <v/>
      </c>
      <c r="D91" s="191" t="str">
        <f>IF(OR(posicao_contratual!A89="",NOT(ISNUMBER(posicao_contratual!B89)),NOT(ISNUMBER(posicao_contratual!K89))),"",ROUND(posicao_contratual!B89*posicao_contratual!K89,2))</f>
        <v/>
      </c>
      <c r="E91" s="191" t="str">
        <f>IF(OR(posicao_contratual!A89="",NOT(ISNUMBER(posicao_contratual!B89)),NOT(ISNUMBER(posicao_contratual!O89))),"",ROUND(posicao_contratual!B89*posicao_contratual!O89,2))</f>
        <v/>
      </c>
      <c r="F91" s="191" t="str">
        <f>IF(OR(posicao_contratual!A89="",NOT(ISNUMBER(posicao_contratual!B89)),NOT(ISNUMBER(posicao_contratual!S89))),"",ROUND(posicao_contratual!B89*posicao_contratual!S89,2))</f>
        <v/>
      </c>
      <c r="G91" s="191" t="str">
        <f>IF(OR(posicao_contratual!A89="",NOT(ISNUMBER(posicao_contratual!B89)),NOT(ISNUMBER(posicao_contratual!W89))),"",ROUND(posicao_contratual!B89*posicao_contratual!W89,2))</f>
        <v/>
      </c>
    </row>
    <row r="92" spans="1:7" x14ac:dyDescent="0.35">
      <c r="A92" t="str">
        <f>IF(posicao_contratual!A90="","",posicao_contratual!A90)</f>
        <v/>
      </c>
      <c r="B92" s="191" t="str">
        <f>IF(posicao_contratual!A90="","",posicao_contratual!B90)</f>
        <v/>
      </c>
      <c r="C92" s="191" t="str">
        <f>IF(OR(posicao_contratual!A90="",NOT(ISNUMBER(posicao_contratual!B90)),NOT(ISNUMBER(posicao_contratual!G90))),"",ROUND(posicao_contratual!B90*posicao_contratual!G90,2))</f>
        <v/>
      </c>
      <c r="D92" s="191" t="str">
        <f>IF(OR(posicao_contratual!A90="",NOT(ISNUMBER(posicao_contratual!B90)),NOT(ISNUMBER(posicao_contratual!K90))),"",ROUND(posicao_contratual!B90*posicao_contratual!K90,2))</f>
        <v/>
      </c>
      <c r="E92" s="191" t="str">
        <f>IF(OR(posicao_contratual!A90="",NOT(ISNUMBER(posicao_contratual!B90)),NOT(ISNUMBER(posicao_contratual!O90))),"",ROUND(posicao_contratual!B90*posicao_contratual!O90,2))</f>
        <v/>
      </c>
      <c r="F92" s="191" t="str">
        <f>IF(OR(posicao_contratual!A90="",NOT(ISNUMBER(posicao_contratual!B90)),NOT(ISNUMBER(posicao_contratual!S90))),"",ROUND(posicao_contratual!B90*posicao_contratual!S90,2))</f>
        <v/>
      </c>
      <c r="G92" s="191" t="str">
        <f>IF(OR(posicao_contratual!A90="",NOT(ISNUMBER(posicao_contratual!B90)),NOT(ISNUMBER(posicao_contratual!W90))),"",ROUND(posicao_contratual!B90*posicao_contratual!W90,2))</f>
        <v/>
      </c>
    </row>
    <row r="93" spans="1:7" x14ac:dyDescent="0.35">
      <c r="A93" t="str">
        <f>IF(posicao_contratual!A91="","",posicao_contratual!A91)</f>
        <v/>
      </c>
      <c r="B93" s="191" t="str">
        <f>IF(posicao_contratual!A91="","",posicao_contratual!B91)</f>
        <v/>
      </c>
      <c r="C93" s="191" t="str">
        <f>IF(OR(posicao_contratual!A91="",NOT(ISNUMBER(posicao_contratual!B91)),NOT(ISNUMBER(posicao_contratual!G91))),"",ROUND(posicao_contratual!B91*posicao_contratual!G91,2))</f>
        <v/>
      </c>
      <c r="D93" s="191" t="str">
        <f>IF(OR(posicao_contratual!A91="",NOT(ISNUMBER(posicao_contratual!B91)),NOT(ISNUMBER(posicao_contratual!K91))),"",ROUND(posicao_contratual!B91*posicao_contratual!K91,2))</f>
        <v/>
      </c>
      <c r="E93" s="191" t="str">
        <f>IF(OR(posicao_contratual!A91="",NOT(ISNUMBER(posicao_contratual!B91)),NOT(ISNUMBER(posicao_contratual!O91))),"",ROUND(posicao_contratual!B91*posicao_contratual!O91,2))</f>
        <v/>
      </c>
      <c r="F93" s="191" t="str">
        <f>IF(OR(posicao_contratual!A91="",NOT(ISNUMBER(posicao_contratual!B91)),NOT(ISNUMBER(posicao_contratual!S91))),"",ROUND(posicao_contratual!B91*posicao_contratual!S91,2))</f>
        <v/>
      </c>
      <c r="G93" s="191" t="str">
        <f>IF(OR(posicao_contratual!A91="",NOT(ISNUMBER(posicao_contratual!B91)),NOT(ISNUMBER(posicao_contratual!W91))),"",ROUND(posicao_contratual!B91*posicao_contratual!W91,2))</f>
        <v/>
      </c>
    </row>
    <row r="94" spans="1:7" x14ac:dyDescent="0.35">
      <c r="A94" t="str">
        <f>IF(posicao_contratual!A92="","",posicao_contratual!A92)</f>
        <v/>
      </c>
      <c r="B94" s="191" t="str">
        <f>IF(posicao_contratual!A92="","",posicao_contratual!B92)</f>
        <v/>
      </c>
      <c r="C94" s="191" t="str">
        <f>IF(OR(posicao_contratual!A92="",NOT(ISNUMBER(posicao_contratual!B92)),NOT(ISNUMBER(posicao_contratual!G92))),"",ROUND(posicao_contratual!B92*posicao_contratual!G92,2))</f>
        <v/>
      </c>
      <c r="D94" s="191" t="str">
        <f>IF(OR(posicao_contratual!A92="",NOT(ISNUMBER(posicao_contratual!B92)),NOT(ISNUMBER(posicao_contratual!K92))),"",ROUND(posicao_contratual!B92*posicao_contratual!K92,2))</f>
        <v/>
      </c>
      <c r="E94" s="191" t="str">
        <f>IF(OR(posicao_contratual!A92="",NOT(ISNUMBER(posicao_contratual!B92)),NOT(ISNUMBER(posicao_contratual!O92))),"",ROUND(posicao_contratual!B92*posicao_contratual!O92,2))</f>
        <v/>
      </c>
      <c r="F94" s="191" t="str">
        <f>IF(OR(posicao_contratual!A92="",NOT(ISNUMBER(posicao_contratual!B92)),NOT(ISNUMBER(posicao_contratual!S92))),"",ROUND(posicao_contratual!B92*posicao_contratual!S92,2))</f>
        <v/>
      </c>
      <c r="G94" s="191" t="str">
        <f>IF(OR(posicao_contratual!A92="",NOT(ISNUMBER(posicao_contratual!B92)),NOT(ISNUMBER(posicao_contratual!W92))),"",ROUND(posicao_contratual!B92*posicao_contratual!W92,2))</f>
        <v/>
      </c>
    </row>
    <row r="95" spans="1:7" x14ac:dyDescent="0.35">
      <c r="A95" t="str">
        <f>IF(posicao_contratual!A93="","",posicao_contratual!A93)</f>
        <v/>
      </c>
      <c r="B95" s="191" t="str">
        <f>IF(posicao_contratual!A93="","",posicao_contratual!B93)</f>
        <v/>
      </c>
      <c r="C95" s="191" t="str">
        <f>IF(OR(posicao_contratual!A93="",NOT(ISNUMBER(posicao_contratual!B93)),NOT(ISNUMBER(posicao_contratual!G93))),"",ROUND(posicao_contratual!B93*posicao_contratual!G93,2))</f>
        <v/>
      </c>
      <c r="D95" s="191" t="str">
        <f>IF(OR(posicao_contratual!A93="",NOT(ISNUMBER(posicao_contratual!B93)),NOT(ISNUMBER(posicao_contratual!K93))),"",ROUND(posicao_contratual!B93*posicao_contratual!K93,2))</f>
        <v/>
      </c>
      <c r="E95" s="191" t="str">
        <f>IF(OR(posicao_contratual!A93="",NOT(ISNUMBER(posicao_contratual!B93)),NOT(ISNUMBER(posicao_contratual!O93))),"",ROUND(posicao_contratual!B93*posicao_contratual!O93,2))</f>
        <v/>
      </c>
      <c r="F95" s="191" t="str">
        <f>IF(OR(posicao_contratual!A93="",NOT(ISNUMBER(posicao_contratual!B93)),NOT(ISNUMBER(posicao_contratual!S93))),"",ROUND(posicao_contratual!B93*posicao_contratual!S93,2))</f>
        <v/>
      </c>
      <c r="G95" s="191" t="str">
        <f>IF(OR(posicao_contratual!A93="",NOT(ISNUMBER(posicao_contratual!B93)),NOT(ISNUMBER(posicao_contratual!W93))),"",ROUND(posicao_contratual!B93*posicao_contratual!W93,2))</f>
        <v/>
      </c>
    </row>
    <row r="96" spans="1:7" x14ac:dyDescent="0.35">
      <c r="A96" t="str">
        <f>IF(posicao_contratual!A94="","",posicao_contratual!A94)</f>
        <v/>
      </c>
      <c r="B96" s="191" t="str">
        <f>IF(posicao_contratual!A94="","",posicao_contratual!B94)</f>
        <v/>
      </c>
      <c r="C96" s="191" t="str">
        <f>IF(OR(posicao_contratual!A94="",NOT(ISNUMBER(posicao_contratual!B94)),NOT(ISNUMBER(posicao_contratual!G94))),"",ROUND(posicao_contratual!B94*posicao_contratual!G94,2))</f>
        <v/>
      </c>
      <c r="D96" s="191" t="str">
        <f>IF(OR(posicao_contratual!A94="",NOT(ISNUMBER(posicao_contratual!B94)),NOT(ISNUMBER(posicao_contratual!K94))),"",ROUND(posicao_contratual!B94*posicao_contratual!K94,2))</f>
        <v/>
      </c>
      <c r="E96" s="191" t="str">
        <f>IF(OR(posicao_contratual!A94="",NOT(ISNUMBER(posicao_contratual!B94)),NOT(ISNUMBER(posicao_contratual!O94))),"",ROUND(posicao_contratual!B94*posicao_contratual!O94,2))</f>
        <v/>
      </c>
      <c r="F96" s="191" t="str">
        <f>IF(OR(posicao_contratual!A94="",NOT(ISNUMBER(posicao_contratual!B94)),NOT(ISNUMBER(posicao_contratual!S94))),"",ROUND(posicao_contratual!B94*posicao_contratual!S94,2))</f>
        <v/>
      </c>
      <c r="G96" s="191" t="str">
        <f>IF(OR(posicao_contratual!A94="",NOT(ISNUMBER(posicao_contratual!B94)),NOT(ISNUMBER(posicao_contratual!W94))),"",ROUND(posicao_contratual!B94*posicao_contratual!W94,2))</f>
        <v/>
      </c>
    </row>
    <row r="97" spans="1:7" x14ac:dyDescent="0.35">
      <c r="A97" t="str">
        <f>IF(posicao_contratual!A95="","",posicao_contratual!A95)</f>
        <v/>
      </c>
      <c r="B97" s="191" t="str">
        <f>IF(posicao_contratual!A95="","",posicao_contratual!B95)</f>
        <v/>
      </c>
      <c r="C97" s="191" t="str">
        <f>IF(OR(posicao_contratual!A95="",NOT(ISNUMBER(posicao_contratual!B95)),NOT(ISNUMBER(posicao_contratual!G95))),"",ROUND(posicao_contratual!B95*posicao_contratual!G95,2))</f>
        <v/>
      </c>
      <c r="D97" s="191" t="str">
        <f>IF(OR(posicao_contratual!A95="",NOT(ISNUMBER(posicao_contratual!B95)),NOT(ISNUMBER(posicao_contratual!K95))),"",ROUND(posicao_contratual!B95*posicao_contratual!K95,2))</f>
        <v/>
      </c>
      <c r="E97" s="191" t="str">
        <f>IF(OR(posicao_contratual!A95="",NOT(ISNUMBER(posicao_contratual!B95)),NOT(ISNUMBER(posicao_contratual!O95))),"",ROUND(posicao_contratual!B95*posicao_contratual!O95,2))</f>
        <v/>
      </c>
      <c r="F97" s="191" t="str">
        <f>IF(OR(posicao_contratual!A95="",NOT(ISNUMBER(posicao_contratual!B95)),NOT(ISNUMBER(posicao_contratual!S95))),"",ROUND(posicao_contratual!B95*posicao_contratual!S95,2))</f>
        <v/>
      </c>
      <c r="G97" s="191" t="str">
        <f>IF(OR(posicao_contratual!A95="",NOT(ISNUMBER(posicao_contratual!B95)),NOT(ISNUMBER(posicao_contratual!W95))),"",ROUND(posicao_contratual!B95*posicao_contratual!W95,2))</f>
        <v/>
      </c>
    </row>
    <row r="98" spans="1:7" x14ac:dyDescent="0.35">
      <c r="A98" t="str">
        <f>IF(posicao_contratual!A96="","",posicao_contratual!A96)</f>
        <v/>
      </c>
      <c r="B98" s="191" t="str">
        <f>IF(posicao_contratual!A96="","",posicao_contratual!B96)</f>
        <v/>
      </c>
      <c r="C98" s="191" t="str">
        <f>IF(OR(posicao_contratual!A96="",NOT(ISNUMBER(posicao_contratual!B96)),NOT(ISNUMBER(posicao_contratual!G96))),"",ROUND(posicao_contratual!B96*posicao_contratual!G96,2))</f>
        <v/>
      </c>
      <c r="D98" s="191" t="str">
        <f>IF(OR(posicao_contratual!A96="",NOT(ISNUMBER(posicao_contratual!B96)),NOT(ISNUMBER(posicao_contratual!K96))),"",ROUND(posicao_contratual!B96*posicao_contratual!K96,2))</f>
        <v/>
      </c>
      <c r="E98" s="191" t="str">
        <f>IF(OR(posicao_contratual!A96="",NOT(ISNUMBER(posicao_contratual!B96)),NOT(ISNUMBER(posicao_contratual!O96))),"",ROUND(posicao_contratual!B96*posicao_contratual!O96,2))</f>
        <v/>
      </c>
      <c r="F98" s="191" t="str">
        <f>IF(OR(posicao_contratual!A96="",NOT(ISNUMBER(posicao_contratual!B96)),NOT(ISNUMBER(posicao_contratual!S96))),"",ROUND(posicao_contratual!B96*posicao_contratual!S96,2))</f>
        <v/>
      </c>
      <c r="G98" s="191" t="str">
        <f>IF(OR(posicao_contratual!A96="",NOT(ISNUMBER(posicao_contratual!B96)),NOT(ISNUMBER(posicao_contratual!W96))),"",ROUND(posicao_contratual!B96*posicao_contratual!W96,2))</f>
        <v/>
      </c>
    </row>
    <row r="99" spans="1:7" x14ac:dyDescent="0.35">
      <c r="A99" t="str">
        <f>IF(posicao_contratual!A97="","",posicao_contratual!A97)</f>
        <v/>
      </c>
      <c r="B99" s="191" t="str">
        <f>IF(posicao_contratual!A97="","",posicao_contratual!B97)</f>
        <v/>
      </c>
      <c r="C99" s="191" t="str">
        <f>IF(OR(posicao_contratual!A97="",NOT(ISNUMBER(posicao_contratual!B97)),NOT(ISNUMBER(posicao_contratual!G97))),"",ROUND(posicao_contratual!B97*posicao_contratual!G97,2))</f>
        <v/>
      </c>
      <c r="D99" s="191" t="str">
        <f>IF(OR(posicao_contratual!A97="",NOT(ISNUMBER(posicao_contratual!B97)),NOT(ISNUMBER(posicao_contratual!K97))),"",ROUND(posicao_contratual!B97*posicao_contratual!K97,2))</f>
        <v/>
      </c>
      <c r="E99" s="191" t="str">
        <f>IF(OR(posicao_contratual!A97="",NOT(ISNUMBER(posicao_contratual!B97)),NOT(ISNUMBER(posicao_contratual!O97))),"",ROUND(posicao_contratual!B97*posicao_contratual!O97,2))</f>
        <v/>
      </c>
      <c r="F99" s="191" t="str">
        <f>IF(OR(posicao_contratual!A97="",NOT(ISNUMBER(posicao_contratual!B97)),NOT(ISNUMBER(posicao_contratual!S97))),"",ROUND(posicao_contratual!B97*posicao_contratual!S97,2))</f>
        <v/>
      </c>
      <c r="G99" s="191" t="str">
        <f>IF(OR(posicao_contratual!A97="",NOT(ISNUMBER(posicao_contratual!B97)),NOT(ISNUMBER(posicao_contratual!W97))),"",ROUND(posicao_contratual!B97*posicao_contratual!W97,2))</f>
        <v/>
      </c>
    </row>
    <row r="100" spans="1:7" x14ac:dyDescent="0.35">
      <c r="A100" t="str">
        <f>IF(posicao_contratual!A98="","",posicao_contratual!A98)</f>
        <v/>
      </c>
      <c r="B100" s="191" t="str">
        <f>IF(posicao_contratual!A98="","",posicao_contratual!B98)</f>
        <v/>
      </c>
      <c r="C100" s="191" t="str">
        <f>IF(OR(posicao_contratual!A98="",NOT(ISNUMBER(posicao_contratual!B98)),NOT(ISNUMBER(posicao_contratual!G98))),"",ROUND(posicao_contratual!B98*posicao_contratual!G98,2))</f>
        <v/>
      </c>
      <c r="D100" s="191" t="str">
        <f>IF(OR(posicao_contratual!A98="",NOT(ISNUMBER(posicao_contratual!B98)),NOT(ISNUMBER(posicao_contratual!K98))),"",ROUND(posicao_contratual!B98*posicao_contratual!K98,2))</f>
        <v/>
      </c>
      <c r="E100" s="191" t="str">
        <f>IF(OR(posicao_contratual!A98="",NOT(ISNUMBER(posicao_contratual!B98)),NOT(ISNUMBER(posicao_contratual!O98))),"",ROUND(posicao_contratual!B98*posicao_contratual!O98,2))</f>
        <v/>
      </c>
      <c r="F100" s="191" t="str">
        <f>IF(OR(posicao_contratual!A98="",NOT(ISNUMBER(posicao_contratual!B98)),NOT(ISNUMBER(posicao_contratual!S98))),"",ROUND(posicao_contratual!B98*posicao_contratual!S98,2))</f>
        <v/>
      </c>
      <c r="G100" s="191" t="str">
        <f>IF(OR(posicao_contratual!A98="",NOT(ISNUMBER(posicao_contratual!B98)),NOT(ISNUMBER(posicao_contratual!W98))),"",ROUND(posicao_contratual!B98*posicao_contratual!W98,2))</f>
        <v/>
      </c>
    </row>
    <row r="101" spans="1:7" x14ac:dyDescent="0.35">
      <c r="A101" t="str">
        <f>IF(posicao_contratual!A99="","",posicao_contratual!A99)</f>
        <v/>
      </c>
      <c r="B101" s="191" t="str">
        <f>IF(posicao_contratual!A99="","",posicao_contratual!B99)</f>
        <v/>
      </c>
      <c r="C101" s="191" t="str">
        <f>IF(OR(posicao_contratual!A99="",NOT(ISNUMBER(posicao_contratual!B99)),NOT(ISNUMBER(posicao_contratual!G99))),"",ROUND(posicao_contratual!B99*posicao_contratual!G99,2))</f>
        <v/>
      </c>
      <c r="D101" s="191" t="str">
        <f>IF(OR(posicao_contratual!A99="",NOT(ISNUMBER(posicao_contratual!B99)),NOT(ISNUMBER(posicao_contratual!K99))),"",ROUND(posicao_contratual!B99*posicao_contratual!K99,2))</f>
        <v/>
      </c>
      <c r="E101" s="191" t="str">
        <f>IF(OR(posicao_contratual!A99="",NOT(ISNUMBER(posicao_contratual!B99)),NOT(ISNUMBER(posicao_contratual!O99))),"",ROUND(posicao_contratual!B99*posicao_contratual!O99,2))</f>
        <v/>
      </c>
      <c r="F101" s="191" t="str">
        <f>IF(OR(posicao_contratual!A99="",NOT(ISNUMBER(posicao_contratual!B99)),NOT(ISNUMBER(posicao_contratual!S99))),"",ROUND(posicao_contratual!B99*posicao_contratual!S99,2))</f>
        <v/>
      </c>
      <c r="G101" s="191" t="str">
        <f>IF(OR(posicao_contratual!A99="",NOT(ISNUMBER(posicao_contratual!B99)),NOT(ISNUMBER(posicao_contratual!W99))),"",ROUND(posicao_contratual!B99*posicao_contratual!W99,2))</f>
        <v/>
      </c>
    </row>
    <row r="102" spans="1:7" x14ac:dyDescent="0.35">
      <c r="A102" t="str">
        <f>IF(posicao_contratual!A100="","",posicao_contratual!A100)</f>
        <v/>
      </c>
      <c r="B102" s="191" t="str">
        <f>IF(posicao_contratual!A100="","",posicao_contratual!B100)</f>
        <v/>
      </c>
      <c r="C102" s="191" t="str">
        <f>IF(OR(posicao_contratual!A100="",NOT(ISNUMBER(posicao_contratual!B100)),NOT(ISNUMBER(posicao_contratual!G100))),"",ROUND(posicao_contratual!B100*posicao_contratual!G100,2))</f>
        <v/>
      </c>
      <c r="D102" s="191" t="str">
        <f>IF(OR(posicao_contratual!A100="",NOT(ISNUMBER(posicao_contratual!B100)),NOT(ISNUMBER(posicao_contratual!K100))),"",ROUND(posicao_contratual!B100*posicao_contratual!K100,2))</f>
        <v/>
      </c>
      <c r="E102" s="191" t="str">
        <f>IF(OR(posicao_contratual!A100="",NOT(ISNUMBER(posicao_contratual!B100)),NOT(ISNUMBER(posicao_contratual!O100))),"",ROUND(posicao_contratual!B100*posicao_contratual!O100,2))</f>
        <v/>
      </c>
      <c r="F102" s="191" t="str">
        <f>IF(OR(posicao_contratual!A100="",NOT(ISNUMBER(posicao_contratual!B100)),NOT(ISNUMBER(posicao_contratual!S100))),"",ROUND(posicao_contratual!B100*posicao_contratual!S100,2))</f>
        <v/>
      </c>
      <c r="G102" s="191" t="str">
        <f>IF(OR(posicao_contratual!A100="",NOT(ISNUMBER(posicao_contratual!B100)),NOT(ISNUMBER(posicao_contratual!W100))),"",ROUND(posicao_contratual!B100*posicao_contratual!W100,2))</f>
        <v/>
      </c>
    </row>
    <row r="103" spans="1:7" x14ac:dyDescent="0.35">
      <c r="A103" t="str">
        <f>IF(posicao_contratual!A101="","",posicao_contratual!A101)</f>
        <v/>
      </c>
      <c r="B103" s="191" t="str">
        <f>IF(posicao_contratual!A101="","",posicao_contratual!B101)</f>
        <v/>
      </c>
      <c r="C103" s="191" t="str">
        <f>IF(OR(posicao_contratual!A101="",NOT(ISNUMBER(posicao_contratual!B101)),NOT(ISNUMBER(posicao_contratual!G101))),"",ROUND(posicao_contratual!B101*posicao_contratual!G101,2))</f>
        <v/>
      </c>
      <c r="D103" s="191" t="str">
        <f>IF(OR(posicao_contratual!A101="",NOT(ISNUMBER(posicao_contratual!B101)),NOT(ISNUMBER(posicao_contratual!K101))),"",ROUND(posicao_contratual!B101*posicao_contratual!K101,2))</f>
        <v/>
      </c>
      <c r="E103" s="191" t="str">
        <f>IF(OR(posicao_contratual!A101="",NOT(ISNUMBER(posicao_contratual!B101)),NOT(ISNUMBER(posicao_contratual!O101))),"",ROUND(posicao_contratual!B101*posicao_contratual!O101,2))</f>
        <v/>
      </c>
      <c r="F103" s="191" t="str">
        <f>IF(OR(posicao_contratual!A101="",NOT(ISNUMBER(posicao_contratual!B101)),NOT(ISNUMBER(posicao_contratual!S101))),"",ROUND(posicao_contratual!B101*posicao_contratual!S101,2))</f>
        <v/>
      </c>
      <c r="G103" s="191" t="str">
        <f>IF(OR(posicao_contratual!A101="",NOT(ISNUMBER(posicao_contratual!B101)),NOT(ISNUMBER(posicao_contratual!W101))),"",ROUND(posicao_contratual!B101*posicao_contratual!W101,2))</f>
        <v/>
      </c>
    </row>
    <row r="104" spans="1:7" x14ac:dyDescent="0.35">
      <c r="A104" t="str">
        <f>IF(posicao_contratual!A102="","",posicao_contratual!A102)</f>
        <v/>
      </c>
      <c r="B104" s="191" t="str">
        <f>IF(posicao_contratual!A102="","",posicao_contratual!B102)</f>
        <v/>
      </c>
      <c r="C104" s="191" t="str">
        <f>IF(OR(posicao_contratual!A102="",NOT(ISNUMBER(posicao_contratual!B102)),NOT(ISNUMBER(posicao_contratual!G102))),"",ROUND(posicao_contratual!B102*posicao_contratual!G102,2))</f>
        <v/>
      </c>
      <c r="D104" s="191" t="str">
        <f>IF(OR(posicao_contratual!A102="",NOT(ISNUMBER(posicao_contratual!B102)),NOT(ISNUMBER(posicao_contratual!K102))),"",ROUND(posicao_contratual!B102*posicao_contratual!K102,2))</f>
        <v/>
      </c>
      <c r="E104" s="191" t="str">
        <f>IF(OR(posicao_contratual!A102="",NOT(ISNUMBER(posicao_contratual!B102)),NOT(ISNUMBER(posicao_contratual!O102))),"",ROUND(posicao_contratual!B102*posicao_contratual!O102,2))</f>
        <v/>
      </c>
      <c r="F104" s="191" t="str">
        <f>IF(OR(posicao_contratual!A102="",NOT(ISNUMBER(posicao_contratual!B102)),NOT(ISNUMBER(posicao_contratual!S102))),"",ROUND(posicao_contratual!B102*posicao_contratual!S102,2))</f>
        <v/>
      </c>
      <c r="G104" s="191" t="str">
        <f>IF(OR(posicao_contratual!A102="",NOT(ISNUMBER(posicao_contratual!B102)),NOT(ISNUMBER(posicao_contratual!W102))),"",ROUND(posicao_contratual!B102*posicao_contratual!W102,2))</f>
        <v/>
      </c>
    </row>
    <row r="105" spans="1:7" x14ac:dyDescent="0.35">
      <c r="A105" t="str">
        <f>IF(posicao_contratual!A103="","",posicao_contratual!A103)</f>
        <v/>
      </c>
      <c r="B105" s="191" t="str">
        <f>IF(posicao_contratual!A103="","",posicao_contratual!B103)</f>
        <v/>
      </c>
      <c r="C105" s="191" t="str">
        <f>IF(OR(posicao_contratual!A103="",NOT(ISNUMBER(posicao_contratual!B103)),NOT(ISNUMBER(posicao_contratual!G103))),"",ROUND(posicao_contratual!B103*posicao_contratual!G103,2))</f>
        <v/>
      </c>
      <c r="D105" s="191" t="str">
        <f>IF(OR(posicao_contratual!A103="",NOT(ISNUMBER(posicao_contratual!B103)),NOT(ISNUMBER(posicao_contratual!K103))),"",ROUND(posicao_contratual!B103*posicao_contratual!K103,2))</f>
        <v/>
      </c>
      <c r="E105" s="191" t="str">
        <f>IF(OR(posicao_contratual!A103="",NOT(ISNUMBER(posicao_contratual!B103)),NOT(ISNUMBER(posicao_contratual!O103))),"",ROUND(posicao_contratual!B103*posicao_contratual!O103,2))</f>
        <v/>
      </c>
      <c r="F105" s="191" t="str">
        <f>IF(OR(posicao_contratual!A103="",NOT(ISNUMBER(posicao_contratual!B103)),NOT(ISNUMBER(posicao_contratual!S103))),"",ROUND(posicao_contratual!B103*posicao_contratual!S103,2))</f>
        <v/>
      </c>
      <c r="G105" s="191" t="str">
        <f>IF(OR(posicao_contratual!A103="",NOT(ISNUMBER(posicao_contratual!B103)),NOT(ISNUMBER(posicao_contratual!W103))),"",ROUND(posicao_contratual!B103*posicao_contratual!W103,2))</f>
        <v/>
      </c>
    </row>
    <row r="106" spans="1:7" x14ac:dyDescent="0.35">
      <c r="A106" t="str">
        <f>IF(posicao_contratual!A104="","",posicao_contratual!A104)</f>
        <v/>
      </c>
      <c r="B106" s="191" t="str">
        <f>IF(posicao_contratual!A104="","",posicao_contratual!B104)</f>
        <v/>
      </c>
      <c r="C106" s="191" t="str">
        <f>IF(OR(posicao_contratual!A104="",NOT(ISNUMBER(posicao_contratual!B104)),NOT(ISNUMBER(posicao_contratual!G104))),"",ROUND(posicao_contratual!B104*posicao_contratual!G104,2))</f>
        <v/>
      </c>
      <c r="D106" s="191" t="str">
        <f>IF(OR(posicao_contratual!A104="",NOT(ISNUMBER(posicao_contratual!B104)),NOT(ISNUMBER(posicao_contratual!K104))),"",ROUND(posicao_contratual!B104*posicao_contratual!K104,2))</f>
        <v/>
      </c>
      <c r="E106" s="191" t="str">
        <f>IF(OR(posicao_contratual!A104="",NOT(ISNUMBER(posicao_contratual!B104)),NOT(ISNUMBER(posicao_contratual!O104))),"",ROUND(posicao_contratual!B104*posicao_contratual!O104,2))</f>
        <v/>
      </c>
      <c r="F106" s="191" t="str">
        <f>IF(OR(posicao_contratual!A104="",NOT(ISNUMBER(posicao_contratual!B104)),NOT(ISNUMBER(posicao_contratual!S104))),"",ROUND(posicao_contratual!B104*posicao_contratual!S104,2))</f>
        <v/>
      </c>
      <c r="G106" s="191" t="str">
        <f>IF(OR(posicao_contratual!A104="",NOT(ISNUMBER(posicao_contratual!B104)),NOT(ISNUMBER(posicao_contratual!W104))),"",ROUND(posicao_contratual!B104*posicao_contratual!W104,2))</f>
        <v/>
      </c>
    </row>
    <row r="107" spans="1:7" x14ac:dyDescent="0.35">
      <c r="A107" t="str">
        <f>IF(posicao_contratual!A105="","",posicao_contratual!A105)</f>
        <v/>
      </c>
      <c r="B107" s="191" t="str">
        <f>IF(posicao_contratual!A105="","",posicao_contratual!B105)</f>
        <v/>
      </c>
      <c r="C107" s="191" t="str">
        <f>IF(OR(posicao_contratual!A105="",NOT(ISNUMBER(posicao_contratual!B105)),NOT(ISNUMBER(posicao_contratual!G105))),"",ROUND(posicao_contratual!B105*posicao_contratual!G105,2))</f>
        <v/>
      </c>
      <c r="D107" s="191" t="str">
        <f>IF(OR(posicao_contratual!A105="",NOT(ISNUMBER(posicao_contratual!B105)),NOT(ISNUMBER(posicao_contratual!K105))),"",ROUND(posicao_contratual!B105*posicao_contratual!K105,2))</f>
        <v/>
      </c>
      <c r="E107" s="191" t="str">
        <f>IF(OR(posicao_contratual!A105="",NOT(ISNUMBER(posicao_contratual!B105)),NOT(ISNUMBER(posicao_contratual!O105))),"",ROUND(posicao_contratual!B105*posicao_contratual!O105,2))</f>
        <v/>
      </c>
      <c r="F107" s="191" t="str">
        <f>IF(OR(posicao_contratual!A105="",NOT(ISNUMBER(posicao_contratual!B105)),NOT(ISNUMBER(posicao_contratual!S105))),"",ROUND(posicao_contratual!B105*posicao_contratual!S105,2))</f>
        <v/>
      </c>
      <c r="G107" s="191" t="str">
        <f>IF(OR(posicao_contratual!A105="",NOT(ISNUMBER(posicao_contratual!B105)),NOT(ISNUMBER(posicao_contratual!W105))),"",ROUND(posicao_contratual!B105*posicao_contratual!W105,2))</f>
        <v/>
      </c>
    </row>
    <row r="108" spans="1:7" x14ac:dyDescent="0.35">
      <c r="A108" t="str">
        <f>IF(posicao_contratual!A106="","",posicao_contratual!A106)</f>
        <v/>
      </c>
      <c r="B108" s="191" t="str">
        <f>IF(posicao_contratual!A106="","",posicao_contratual!B106)</f>
        <v/>
      </c>
      <c r="C108" s="191" t="str">
        <f>IF(OR(posicao_contratual!A106="",NOT(ISNUMBER(posicao_contratual!B106)),NOT(ISNUMBER(posicao_contratual!G106))),"",ROUND(posicao_contratual!B106*posicao_contratual!G106,2))</f>
        <v/>
      </c>
      <c r="D108" s="191" t="str">
        <f>IF(OR(posicao_contratual!A106="",NOT(ISNUMBER(posicao_contratual!B106)),NOT(ISNUMBER(posicao_contratual!K106))),"",ROUND(posicao_contratual!B106*posicao_contratual!K106,2))</f>
        <v/>
      </c>
      <c r="E108" s="191" t="str">
        <f>IF(OR(posicao_contratual!A106="",NOT(ISNUMBER(posicao_contratual!B106)),NOT(ISNUMBER(posicao_contratual!O106))),"",ROUND(posicao_contratual!B106*posicao_contratual!O106,2))</f>
        <v/>
      </c>
      <c r="F108" s="191" t="str">
        <f>IF(OR(posicao_contratual!A106="",NOT(ISNUMBER(posicao_contratual!B106)),NOT(ISNUMBER(posicao_contratual!S106))),"",ROUND(posicao_contratual!B106*posicao_contratual!S106,2))</f>
        <v/>
      </c>
      <c r="G108" s="191" t="str">
        <f>IF(OR(posicao_contratual!A106="",NOT(ISNUMBER(posicao_contratual!B106)),NOT(ISNUMBER(posicao_contratual!W106))),"",ROUND(posicao_contratual!B106*posicao_contratual!W106,2))</f>
        <v/>
      </c>
    </row>
    <row r="109" spans="1:7" x14ac:dyDescent="0.35">
      <c r="A109" t="str">
        <f>IF(posicao_contratual!A107="","",posicao_contratual!A107)</f>
        <v/>
      </c>
      <c r="B109" s="191" t="str">
        <f>IF(posicao_contratual!A107="","",posicao_contratual!B107)</f>
        <v/>
      </c>
      <c r="C109" s="191" t="str">
        <f>IF(OR(posicao_contratual!A107="",NOT(ISNUMBER(posicao_contratual!B107)),NOT(ISNUMBER(posicao_contratual!G107))),"",ROUND(posicao_contratual!B107*posicao_contratual!G107,2))</f>
        <v/>
      </c>
      <c r="D109" s="191" t="str">
        <f>IF(OR(posicao_contratual!A107="",NOT(ISNUMBER(posicao_contratual!B107)),NOT(ISNUMBER(posicao_contratual!K107))),"",ROUND(posicao_contratual!B107*posicao_contratual!K107,2))</f>
        <v/>
      </c>
      <c r="E109" s="191" t="str">
        <f>IF(OR(posicao_contratual!A107="",NOT(ISNUMBER(posicao_contratual!B107)),NOT(ISNUMBER(posicao_contratual!O107))),"",ROUND(posicao_contratual!B107*posicao_contratual!O107,2))</f>
        <v/>
      </c>
      <c r="F109" s="191" t="str">
        <f>IF(OR(posicao_contratual!A107="",NOT(ISNUMBER(posicao_contratual!B107)),NOT(ISNUMBER(posicao_contratual!S107))),"",ROUND(posicao_contratual!B107*posicao_contratual!S107,2))</f>
        <v/>
      </c>
      <c r="G109" s="191" t="str">
        <f>IF(OR(posicao_contratual!A107="",NOT(ISNUMBER(posicao_contratual!B107)),NOT(ISNUMBER(posicao_contratual!W107))),"",ROUND(posicao_contratual!B107*posicao_contratual!W107,2))</f>
        <v/>
      </c>
    </row>
    <row r="110" spans="1:7" x14ac:dyDescent="0.35">
      <c r="A110" t="str">
        <f>IF(posicao_contratual!A108="","",posicao_contratual!A108)</f>
        <v/>
      </c>
      <c r="B110" s="191" t="str">
        <f>IF(posicao_contratual!A108="","",posicao_contratual!B108)</f>
        <v/>
      </c>
      <c r="C110" s="191" t="str">
        <f>IF(OR(posicao_contratual!A108="",NOT(ISNUMBER(posicao_contratual!B108)),NOT(ISNUMBER(posicao_contratual!G108))),"",ROUND(posicao_contratual!B108*posicao_contratual!G108,2))</f>
        <v/>
      </c>
      <c r="D110" s="191" t="str">
        <f>IF(OR(posicao_contratual!A108="",NOT(ISNUMBER(posicao_contratual!B108)),NOT(ISNUMBER(posicao_contratual!K108))),"",ROUND(posicao_contratual!B108*posicao_contratual!K108,2))</f>
        <v/>
      </c>
      <c r="E110" s="191" t="str">
        <f>IF(OR(posicao_contratual!A108="",NOT(ISNUMBER(posicao_contratual!B108)),NOT(ISNUMBER(posicao_contratual!O108))),"",ROUND(posicao_contratual!B108*posicao_contratual!O108,2))</f>
        <v/>
      </c>
      <c r="F110" s="191" t="str">
        <f>IF(OR(posicao_contratual!A108="",NOT(ISNUMBER(posicao_contratual!B108)),NOT(ISNUMBER(posicao_contratual!S108))),"",ROUND(posicao_contratual!B108*posicao_contratual!S108,2))</f>
        <v/>
      </c>
      <c r="G110" s="191" t="str">
        <f>IF(OR(posicao_contratual!A108="",NOT(ISNUMBER(posicao_contratual!B108)),NOT(ISNUMBER(posicao_contratual!W108))),"",ROUND(posicao_contratual!B108*posicao_contratual!W108,2))</f>
        <v/>
      </c>
    </row>
    <row r="111" spans="1:7" x14ac:dyDescent="0.35">
      <c r="A111" t="str">
        <f>IF(posicao_contratual!A109="","",posicao_contratual!A109)</f>
        <v/>
      </c>
      <c r="B111" s="191" t="str">
        <f>IF(posicao_contratual!A109="","",posicao_contratual!B109)</f>
        <v/>
      </c>
      <c r="C111" s="191" t="str">
        <f>IF(OR(posicao_contratual!A109="",NOT(ISNUMBER(posicao_contratual!B109)),NOT(ISNUMBER(posicao_contratual!G109))),"",ROUND(posicao_contratual!B109*posicao_contratual!G109,2))</f>
        <v/>
      </c>
      <c r="D111" s="191" t="str">
        <f>IF(OR(posicao_contratual!A109="",NOT(ISNUMBER(posicao_contratual!B109)),NOT(ISNUMBER(posicao_contratual!K109))),"",ROUND(posicao_contratual!B109*posicao_contratual!K109,2))</f>
        <v/>
      </c>
      <c r="E111" s="191" t="str">
        <f>IF(OR(posicao_contratual!A109="",NOT(ISNUMBER(posicao_contratual!B109)),NOT(ISNUMBER(posicao_contratual!O109))),"",ROUND(posicao_contratual!B109*posicao_contratual!O109,2))</f>
        <v/>
      </c>
      <c r="F111" s="191" t="str">
        <f>IF(OR(posicao_contratual!A109="",NOT(ISNUMBER(posicao_contratual!B109)),NOT(ISNUMBER(posicao_contratual!S109))),"",ROUND(posicao_contratual!B109*posicao_contratual!S109,2))</f>
        <v/>
      </c>
      <c r="G111" s="191" t="str">
        <f>IF(OR(posicao_contratual!A109="",NOT(ISNUMBER(posicao_contratual!B109)),NOT(ISNUMBER(posicao_contratual!W109))),"",ROUND(posicao_contratual!B109*posicao_contratual!W109,2))</f>
        <v/>
      </c>
    </row>
    <row r="112" spans="1:7" x14ac:dyDescent="0.35">
      <c r="A112" t="str">
        <f>IF(posicao_contratual!A110="","",posicao_contratual!A110)</f>
        <v/>
      </c>
      <c r="B112" s="191" t="str">
        <f>IF(posicao_contratual!A110="","",posicao_contratual!B110)</f>
        <v/>
      </c>
      <c r="C112" s="191" t="str">
        <f>IF(OR(posicao_contratual!A110="",NOT(ISNUMBER(posicao_contratual!B110)),NOT(ISNUMBER(posicao_contratual!G110))),"",ROUND(posicao_contratual!B110*posicao_contratual!G110,2))</f>
        <v/>
      </c>
      <c r="D112" s="191" t="str">
        <f>IF(OR(posicao_contratual!A110="",NOT(ISNUMBER(posicao_contratual!B110)),NOT(ISNUMBER(posicao_contratual!K110))),"",ROUND(posicao_contratual!B110*posicao_contratual!K110,2))</f>
        <v/>
      </c>
      <c r="E112" s="191" t="str">
        <f>IF(OR(posicao_contratual!A110="",NOT(ISNUMBER(posicao_contratual!B110)),NOT(ISNUMBER(posicao_contratual!O110))),"",ROUND(posicao_contratual!B110*posicao_contratual!O110,2))</f>
        <v/>
      </c>
      <c r="F112" s="191" t="str">
        <f>IF(OR(posicao_contratual!A110="",NOT(ISNUMBER(posicao_contratual!B110)),NOT(ISNUMBER(posicao_contratual!S110))),"",ROUND(posicao_contratual!B110*posicao_contratual!S110,2))</f>
        <v/>
      </c>
      <c r="G112" s="191" t="str">
        <f>IF(OR(posicao_contratual!A110="",NOT(ISNUMBER(posicao_contratual!B110)),NOT(ISNUMBER(posicao_contratual!W110))),"",ROUND(posicao_contratual!B110*posicao_contratual!W110,2))</f>
        <v/>
      </c>
    </row>
    <row r="113" spans="1:7" x14ac:dyDescent="0.35">
      <c r="A113" t="str">
        <f>IF(posicao_contratual!A111="","",posicao_contratual!A111)</f>
        <v/>
      </c>
      <c r="B113" s="191" t="str">
        <f>IF(posicao_contratual!A111="","",posicao_contratual!B111)</f>
        <v/>
      </c>
      <c r="C113" s="191" t="str">
        <f>IF(OR(posicao_contratual!A111="",NOT(ISNUMBER(posicao_contratual!B111)),NOT(ISNUMBER(posicao_contratual!G111))),"",ROUND(posicao_contratual!B111*posicao_contratual!G111,2))</f>
        <v/>
      </c>
      <c r="D113" s="191" t="str">
        <f>IF(OR(posicao_contratual!A111="",NOT(ISNUMBER(posicao_contratual!B111)),NOT(ISNUMBER(posicao_contratual!K111))),"",ROUND(posicao_contratual!B111*posicao_contratual!K111,2))</f>
        <v/>
      </c>
      <c r="E113" s="191" t="str">
        <f>IF(OR(posicao_contratual!A111="",NOT(ISNUMBER(posicao_contratual!B111)),NOT(ISNUMBER(posicao_contratual!O111))),"",ROUND(posicao_contratual!B111*posicao_contratual!O111,2))</f>
        <v/>
      </c>
      <c r="F113" s="191" t="str">
        <f>IF(OR(posicao_contratual!A111="",NOT(ISNUMBER(posicao_contratual!B111)),NOT(ISNUMBER(posicao_contratual!S111))),"",ROUND(posicao_contratual!B111*posicao_contratual!S111,2))</f>
        <v/>
      </c>
      <c r="G113" s="191" t="str">
        <f>IF(OR(posicao_contratual!A111="",NOT(ISNUMBER(posicao_contratual!B111)),NOT(ISNUMBER(posicao_contratual!W111))),"",ROUND(posicao_contratual!B111*posicao_contratual!W111,2))</f>
        <v/>
      </c>
    </row>
    <row r="114" spans="1:7" x14ac:dyDescent="0.35">
      <c r="A114" t="str">
        <f>IF(posicao_contratual!A112="","",posicao_contratual!A112)</f>
        <v/>
      </c>
      <c r="B114" s="191" t="str">
        <f>IF(posicao_contratual!A112="","",posicao_contratual!B112)</f>
        <v/>
      </c>
      <c r="C114" s="191" t="str">
        <f>IF(OR(posicao_contratual!A112="",NOT(ISNUMBER(posicao_contratual!B112)),NOT(ISNUMBER(posicao_contratual!G112))),"",ROUND(posicao_contratual!B112*posicao_contratual!G112,2))</f>
        <v/>
      </c>
      <c r="D114" s="191" t="str">
        <f>IF(OR(posicao_contratual!A112="",NOT(ISNUMBER(posicao_contratual!B112)),NOT(ISNUMBER(posicao_contratual!K112))),"",ROUND(posicao_contratual!B112*posicao_contratual!K112,2))</f>
        <v/>
      </c>
      <c r="E114" s="191" t="str">
        <f>IF(OR(posicao_contratual!A112="",NOT(ISNUMBER(posicao_contratual!B112)),NOT(ISNUMBER(posicao_contratual!O112))),"",ROUND(posicao_contratual!B112*posicao_contratual!O112,2))</f>
        <v/>
      </c>
      <c r="F114" s="191" t="str">
        <f>IF(OR(posicao_contratual!A112="",NOT(ISNUMBER(posicao_contratual!B112)),NOT(ISNUMBER(posicao_contratual!S112))),"",ROUND(posicao_contratual!B112*posicao_contratual!S112,2))</f>
        <v/>
      </c>
      <c r="G114" s="191" t="str">
        <f>IF(OR(posicao_contratual!A112="",NOT(ISNUMBER(posicao_contratual!B112)),NOT(ISNUMBER(posicao_contratual!W112))),"",ROUND(posicao_contratual!B112*posicao_contratual!W112,2))</f>
        <v/>
      </c>
    </row>
    <row r="115" spans="1:7" x14ac:dyDescent="0.35">
      <c r="A115" t="str">
        <f>IF(posicao_contratual!A113="","",posicao_contratual!A113)</f>
        <v/>
      </c>
      <c r="B115" s="191" t="str">
        <f>IF(posicao_contratual!A113="","",posicao_contratual!B113)</f>
        <v/>
      </c>
      <c r="C115" s="191" t="str">
        <f>IF(OR(posicao_contratual!A113="",NOT(ISNUMBER(posicao_contratual!B113)),NOT(ISNUMBER(posicao_contratual!G113))),"",ROUND(posicao_contratual!B113*posicao_contratual!G113,2))</f>
        <v/>
      </c>
      <c r="D115" s="191" t="str">
        <f>IF(OR(posicao_contratual!A113="",NOT(ISNUMBER(posicao_contratual!B113)),NOT(ISNUMBER(posicao_contratual!K113))),"",ROUND(posicao_contratual!B113*posicao_contratual!K113,2))</f>
        <v/>
      </c>
      <c r="E115" s="191" t="str">
        <f>IF(OR(posicao_contratual!A113="",NOT(ISNUMBER(posicao_contratual!B113)),NOT(ISNUMBER(posicao_contratual!O113))),"",ROUND(posicao_contratual!B113*posicao_contratual!O113,2))</f>
        <v/>
      </c>
      <c r="F115" s="191" t="str">
        <f>IF(OR(posicao_contratual!A113="",NOT(ISNUMBER(posicao_contratual!B113)),NOT(ISNUMBER(posicao_contratual!S113))),"",ROUND(posicao_contratual!B113*posicao_contratual!S113,2))</f>
        <v/>
      </c>
      <c r="G115" s="191" t="str">
        <f>IF(OR(posicao_contratual!A113="",NOT(ISNUMBER(posicao_contratual!B113)),NOT(ISNUMBER(posicao_contratual!W113))),"",ROUND(posicao_contratual!B113*posicao_contratual!W113,2))</f>
        <v/>
      </c>
    </row>
    <row r="116" spans="1:7" x14ac:dyDescent="0.35">
      <c r="A116" t="str">
        <f>IF(posicao_contratual!A114="","",posicao_contratual!A114)</f>
        <v/>
      </c>
      <c r="B116" s="191" t="str">
        <f>IF(posicao_contratual!A114="","",posicao_contratual!B114)</f>
        <v/>
      </c>
      <c r="C116" s="191" t="str">
        <f>IF(OR(posicao_contratual!A114="",NOT(ISNUMBER(posicao_contratual!B114)),NOT(ISNUMBER(posicao_contratual!G114))),"",ROUND(posicao_contratual!B114*posicao_contratual!G114,2))</f>
        <v/>
      </c>
      <c r="D116" s="191" t="str">
        <f>IF(OR(posicao_contratual!A114="",NOT(ISNUMBER(posicao_contratual!B114)),NOT(ISNUMBER(posicao_contratual!K114))),"",ROUND(posicao_contratual!B114*posicao_contratual!K114,2))</f>
        <v/>
      </c>
      <c r="E116" s="191" t="str">
        <f>IF(OR(posicao_contratual!A114="",NOT(ISNUMBER(posicao_contratual!B114)),NOT(ISNUMBER(posicao_contratual!O114))),"",ROUND(posicao_contratual!B114*posicao_contratual!O114,2))</f>
        <v/>
      </c>
      <c r="F116" s="191" t="str">
        <f>IF(OR(posicao_contratual!A114="",NOT(ISNUMBER(posicao_contratual!B114)),NOT(ISNUMBER(posicao_contratual!S114))),"",ROUND(posicao_contratual!B114*posicao_contratual!S114,2))</f>
        <v/>
      </c>
      <c r="G116" s="191" t="str">
        <f>IF(OR(posicao_contratual!A114="",NOT(ISNUMBER(posicao_contratual!B114)),NOT(ISNUMBER(posicao_contratual!W114))),"",ROUND(posicao_contratual!B114*posicao_contratual!W114,2))</f>
        <v/>
      </c>
    </row>
    <row r="117" spans="1:7" x14ac:dyDescent="0.35">
      <c r="A117" t="str">
        <f>IF(posicao_contratual!A115="","",posicao_contratual!A115)</f>
        <v/>
      </c>
      <c r="B117" s="191" t="str">
        <f>IF(posicao_contratual!A115="","",posicao_contratual!B115)</f>
        <v/>
      </c>
      <c r="C117" s="191" t="str">
        <f>IF(OR(posicao_contratual!A115="",NOT(ISNUMBER(posicao_contratual!B115)),NOT(ISNUMBER(posicao_contratual!G115))),"",ROUND(posicao_contratual!B115*posicao_contratual!G115,2))</f>
        <v/>
      </c>
      <c r="D117" s="191" t="str">
        <f>IF(OR(posicao_contratual!A115="",NOT(ISNUMBER(posicao_contratual!B115)),NOT(ISNUMBER(posicao_contratual!K115))),"",ROUND(posicao_contratual!B115*posicao_contratual!K115,2))</f>
        <v/>
      </c>
      <c r="E117" s="191" t="str">
        <f>IF(OR(posicao_contratual!A115="",NOT(ISNUMBER(posicao_contratual!B115)),NOT(ISNUMBER(posicao_contratual!O115))),"",ROUND(posicao_contratual!B115*posicao_contratual!O115,2))</f>
        <v/>
      </c>
      <c r="F117" s="191" t="str">
        <f>IF(OR(posicao_contratual!A115="",NOT(ISNUMBER(posicao_contratual!B115)),NOT(ISNUMBER(posicao_contratual!S115))),"",ROUND(posicao_contratual!B115*posicao_contratual!S115,2))</f>
        <v/>
      </c>
      <c r="G117" s="191" t="str">
        <f>IF(OR(posicao_contratual!A115="",NOT(ISNUMBER(posicao_contratual!B115)),NOT(ISNUMBER(posicao_contratual!W115))),"",ROUND(posicao_contratual!B115*posicao_contratual!W115,2))</f>
        <v/>
      </c>
    </row>
    <row r="118" spans="1:7" x14ac:dyDescent="0.35">
      <c r="A118" t="str">
        <f>IF(posicao_contratual!A116="","",posicao_contratual!A116)</f>
        <v/>
      </c>
      <c r="B118" s="191" t="str">
        <f>IF(posicao_contratual!A116="","",posicao_contratual!B116)</f>
        <v/>
      </c>
      <c r="C118" s="191" t="str">
        <f>IF(OR(posicao_contratual!A116="",NOT(ISNUMBER(posicao_contratual!B116)),NOT(ISNUMBER(posicao_contratual!G116))),"",ROUND(posicao_contratual!B116*posicao_contratual!G116,2))</f>
        <v/>
      </c>
      <c r="D118" s="191" t="str">
        <f>IF(OR(posicao_contratual!A116="",NOT(ISNUMBER(posicao_contratual!B116)),NOT(ISNUMBER(posicao_contratual!K116))),"",ROUND(posicao_contratual!B116*posicao_contratual!K116,2))</f>
        <v/>
      </c>
      <c r="E118" s="191" t="str">
        <f>IF(OR(posicao_contratual!A116="",NOT(ISNUMBER(posicao_contratual!B116)),NOT(ISNUMBER(posicao_contratual!O116))),"",ROUND(posicao_contratual!B116*posicao_contratual!O116,2))</f>
        <v/>
      </c>
      <c r="F118" s="191" t="str">
        <f>IF(OR(posicao_contratual!A116="",NOT(ISNUMBER(posicao_contratual!B116)),NOT(ISNUMBER(posicao_contratual!S116))),"",ROUND(posicao_contratual!B116*posicao_contratual!S116,2))</f>
        <v/>
      </c>
      <c r="G118" s="191" t="str">
        <f>IF(OR(posicao_contratual!A116="",NOT(ISNUMBER(posicao_contratual!B116)),NOT(ISNUMBER(posicao_contratual!W116))),"",ROUND(posicao_contratual!B116*posicao_contratual!W116,2))</f>
        <v/>
      </c>
    </row>
    <row r="119" spans="1:7" x14ac:dyDescent="0.35">
      <c r="A119" t="str">
        <f>IF(posicao_contratual!A117="","",posicao_contratual!A117)</f>
        <v/>
      </c>
      <c r="B119" s="191" t="str">
        <f>IF(posicao_contratual!A117="","",posicao_contratual!B117)</f>
        <v/>
      </c>
      <c r="C119" s="191" t="str">
        <f>IF(OR(posicao_contratual!A117="",NOT(ISNUMBER(posicao_contratual!B117)),NOT(ISNUMBER(posicao_contratual!G117))),"",ROUND(posicao_contratual!B117*posicao_contratual!G117,2))</f>
        <v/>
      </c>
      <c r="D119" s="191" t="str">
        <f>IF(OR(posicao_contratual!A117="",NOT(ISNUMBER(posicao_contratual!B117)),NOT(ISNUMBER(posicao_contratual!K117))),"",ROUND(posicao_contratual!B117*posicao_contratual!K117,2))</f>
        <v/>
      </c>
      <c r="E119" s="191" t="str">
        <f>IF(OR(posicao_contratual!A117="",NOT(ISNUMBER(posicao_contratual!B117)),NOT(ISNUMBER(posicao_contratual!O117))),"",ROUND(posicao_contratual!B117*posicao_contratual!O117,2))</f>
        <v/>
      </c>
      <c r="F119" s="191" t="str">
        <f>IF(OR(posicao_contratual!A117="",NOT(ISNUMBER(posicao_contratual!B117)),NOT(ISNUMBER(posicao_contratual!S117))),"",ROUND(posicao_contratual!B117*posicao_contratual!S117,2))</f>
        <v/>
      </c>
      <c r="G119" s="191" t="str">
        <f>IF(OR(posicao_contratual!A117="",NOT(ISNUMBER(posicao_contratual!B117)),NOT(ISNUMBER(posicao_contratual!W117))),"",ROUND(posicao_contratual!B117*posicao_contratual!W117,2))</f>
        <v/>
      </c>
    </row>
    <row r="120" spans="1:7" x14ac:dyDescent="0.35">
      <c r="A120" t="str">
        <f>IF(posicao_contratual!A118="","",posicao_contratual!A118)</f>
        <v/>
      </c>
      <c r="B120" s="191" t="str">
        <f>IF(posicao_contratual!A118="","",posicao_contratual!B118)</f>
        <v/>
      </c>
      <c r="C120" s="191" t="str">
        <f>IF(OR(posicao_contratual!A118="",NOT(ISNUMBER(posicao_contratual!B118)),NOT(ISNUMBER(posicao_contratual!G118))),"",ROUND(posicao_contratual!B118*posicao_contratual!G118,2))</f>
        <v/>
      </c>
      <c r="D120" s="191" t="str">
        <f>IF(OR(posicao_contratual!A118="",NOT(ISNUMBER(posicao_contratual!B118)),NOT(ISNUMBER(posicao_contratual!K118))),"",ROUND(posicao_contratual!B118*posicao_contratual!K118,2))</f>
        <v/>
      </c>
      <c r="E120" s="191" t="str">
        <f>IF(OR(posicao_contratual!A118="",NOT(ISNUMBER(posicao_contratual!B118)),NOT(ISNUMBER(posicao_contratual!O118))),"",ROUND(posicao_contratual!B118*posicao_contratual!O118,2))</f>
        <v/>
      </c>
      <c r="F120" s="191" t="str">
        <f>IF(OR(posicao_contratual!A118="",NOT(ISNUMBER(posicao_contratual!B118)),NOT(ISNUMBER(posicao_contratual!S118))),"",ROUND(posicao_contratual!B118*posicao_contratual!S118,2))</f>
        <v/>
      </c>
      <c r="G120" s="191" t="str">
        <f>IF(OR(posicao_contratual!A118="",NOT(ISNUMBER(posicao_contratual!B118)),NOT(ISNUMBER(posicao_contratual!W118))),"",ROUND(posicao_contratual!B118*posicao_contratual!W118,2))</f>
        <v/>
      </c>
    </row>
    <row r="121" spans="1:7" x14ac:dyDescent="0.35">
      <c r="A121" t="str">
        <f>IF(posicao_contratual!A119="","",posicao_contratual!A119)</f>
        <v/>
      </c>
      <c r="B121" s="191" t="str">
        <f>IF(posicao_contratual!A119="","",posicao_contratual!B119)</f>
        <v/>
      </c>
      <c r="C121" s="191" t="str">
        <f>IF(OR(posicao_contratual!A119="",NOT(ISNUMBER(posicao_contratual!B119)),NOT(ISNUMBER(posicao_contratual!G119))),"",ROUND(posicao_contratual!B119*posicao_contratual!G119,2))</f>
        <v/>
      </c>
      <c r="D121" s="191" t="str">
        <f>IF(OR(posicao_contratual!A119="",NOT(ISNUMBER(posicao_contratual!B119)),NOT(ISNUMBER(posicao_contratual!K119))),"",ROUND(posicao_contratual!B119*posicao_contratual!K119,2))</f>
        <v/>
      </c>
      <c r="E121" s="191" t="str">
        <f>IF(OR(posicao_contratual!A119="",NOT(ISNUMBER(posicao_contratual!B119)),NOT(ISNUMBER(posicao_contratual!O119))),"",ROUND(posicao_contratual!B119*posicao_contratual!O119,2))</f>
        <v/>
      </c>
      <c r="F121" s="191" t="str">
        <f>IF(OR(posicao_contratual!A119="",NOT(ISNUMBER(posicao_contratual!B119)),NOT(ISNUMBER(posicao_contratual!S119))),"",ROUND(posicao_contratual!B119*posicao_contratual!S119,2))</f>
        <v/>
      </c>
      <c r="G121" s="191" t="str">
        <f>IF(OR(posicao_contratual!A119="",NOT(ISNUMBER(posicao_contratual!B119)),NOT(ISNUMBER(posicao_contratual!W119))),"",ROUND(posicao_contratual!B119*posicao_contratual!W119,2))</f>
        <v/>
      </c>
    </row>
    <row r="122" spans="1:7" x14ac:dyDescent="0.35">
      <c r="A122" t="str">
        <f>IF(posicao_contratual!A120="","",posicao_contratual!A120)</f>
        <v/>
      </c>
      <c r="B122" s="191" t="str">
        <f>IF(posicao_contratual!A120="","",posicao_contratual!B120)</f>
        <v/>
      </c>
      <c r="C122" s="191" t="str">
        <f>IF(OR(posicao_contratual!A120="",NOT(ISNUMBER(posicao_contratual!B120)),NOT(ISNUMBER(posicao_contratual!G120))),"",ROUND(posicao_contratual!B120*posicao_contratual!G120,2))</f>
        <v/>
      </c>
      <c r="D122" s="191" t="str">
        <f>IF(OR(posicao_contratual!A120="",NOT(ISNUMBER(posicao_contratual!B120)),NOT(ISNUMBER(posicao_contratual!K120))),"",ROUND(posicao_contratual!B120*posicao_contratual!K120,2))</f>
        <v/>
      </c>
      <c r="E122" s="191" t="str">
        <f>IF(OR(posicao_contratual!A120="",NOT(ISNUMBER(posicao_contratual!B120)),NOT(ISNUMBER(posicao_contratual!O120))),"",ROUND(posicao_contratual!B120*posicao_contratual!O120,2))</f>
        <v/>
      </c>
      <c r="F122" s="191" t="str">
        <f>IF(OR(posicao_contratual!A120="",NOT(ISNUMBER(posicao_contratual!B120)),NOT(ISNUMBER(posicao_contratual!S120))),"",ROUND(posicao_contratual!B120*posicao_contratual!S120,2))</f>
        <v/>
      </c>
      <c r="G122" s="191" t="str">
        <f>IF(OR(posicao_contratual!A120="",NOT(ISNUMBER(posicao_contratual!B120)),NOT(ISNUMBER(posicao_contratual!W120))),"",ROUND(posicao_contratual!B120*posicao_contratual!W120,2))</f>
        <v/>
      </c>
    </row>
    <row r="123" spans="1:7" x14ac:dyDescent="0.35">
      <c r="A123" t="str">
        <f>IF(posicao_contratual!A121="","",posicao_contratual!A121)</f>
        <v/>
      </c>
      <c r="B123" s="191" t="str">
        <f>IF(posicao_contratual!A121="","",posicao_contratual!B121)</f>
        <v/>
      </c>
      <c r="C123" s="191" t="str">
        <f>IF(OR(posicao_contratual!A121="",NOT(ISNUMBER(posicao_contratual!B121)),NOT(ISNUMBER(posicao_contratual!G121))),"",ROUND(posicao_contratual!B121*posicao_contratual!G121,2))</f>
        <v/>
      </c>
      <c r="D123" s="191" t="str">
        <f>IF(OR(posicao_contratual!A121="",NOT(ISNUMBER(posicao_contratual!B121)),NOT(ISNUMBER(posicao_contratual!K121))),"",ROUND(posicao_contratual!B121*posicao_contratual!K121,2))</f>
        <v/>
      </c>
      <c r="E123" s="191" t="str">
        <f>IF(OR(posicao_contratual!A121="",NOT(ISNUMBER(posicao_contratual!B121)),NOT(ISNUMBER(posicao_contratual!O121))),"",ROUND(posicao_contratual!B121*posicao_contratual!O121,2))</f>
        <v/>
      </c>
      <c r="F123" s="191" t="str">
        <f>IF(OR(posicao_contratual!A121="",NOT(ISNUMBER(posicao_contratual!B121)),NOT(ISNUMBER(posicao_contratual!S121))),"",ROUND(posicao_contratual!B121*posicao_contratual!S121,2))</f>
        <v/>
      </c>
      <c r="G123" s="191" t="str">
        <f>IF(OR(posicao_contratual!A121="",NOT(ISNUMBER(posicao_contratual!B121)),NOT(ISNUMBER(posicao_contratual!W121))),"",ROUND(posicao_contratual!B121*posicao_contratual!W121,2))</f>
        <v/>
      </c>
    </row>
    <row r="124" spans="1:7" x14ac:dyDescent="0.35">
      <c r="A124" t="str">
        <f>IF(posicao_contratual!A122="","",posicao_contratual!A122)</f>
        <v/>
      </c>
      <c r="B124" s="191" t="str">
        <f>IF(posicao_contratual!A122="","",posicao_contratual!B122)</f>
        <v/>
      </c>
      <c r="C124" s="191" t="str">
        <f>IF(OR(posicao_contratual!A122="",NOT(ISNUMBER(posicao_contratual!B122)),NOT(ISNUMBER(posicao_contratual!G122))),"",ROUND(posicao_contratual!B122*posicao_contratual!G122,2))</f>
        <v/>
      </c>
      <c r="D124" s="191" t="str">
        <f>IF(OR(posicao_contratual!A122="",NOT(ISNUMBER(posicao_contratual!B122)),NOT(ISNUMBER(posicao_contratual!K122))),"",ROUND(posicao_contratual!B122*posicao_contratual!K122,2))</f>
        <v/>
      </c>
      <c r="E124" s="191" t="str">
        <f>IF(OR(posicao_contratual!A122="",NOT(ISNUMBER(posicao_contratual!B122)),NOT(ISNUMBER(posicao_contratual!O122))),"",ROUND(posicao_contratual!B122*posicao_contratual!O122,2))</f>
        <v/>
      </c>
      <c r="F124" s="191" t="str">
        <f>IF(OR(posicao_contratual!A122="",NOT(ISNUMBER(posicao_contratual!B122)),NOT(ISNUMBER(posicao_contratual!S122))),"",ROUND(posicao_contratual!B122*posicao_contratual!S122,2))</f>
        <v/>
      </c>
      <c r="G124" s="191" t="str">
        <f>IF(OR(posicao_contratual!A122="",NOT(ISNUMBER(posicao_contratual!B122)),NOT(ISNUMBER(posicao_contratual!W122))),"",ROUND(posicao_contratual!B122*posicao_contratual!W122,2))</f>
        <v/>
      </c>
    </row>
    <row r="125" spans="1:7" x14ac:dyDescent="0.35">
      <c r="A125" t="str">
        <f>IF(posicao_contratual!A123="","",posicao_contratual!A123)</f>
        <v/>
      </c>
      <c r="B125" s="191" t="str">
        <f>IF(posicao_contratual!A123="","",posicao_contratual!B123)</f>
        <v/>
      </c>
      <c r="C125" s="191" t="str">
        <f>IF(OR(posicao_contratual!A123="",NOT(ISNUMBER(posicao_contratual!B123)),NOT(ISNUMBER(posicao_contratual!G123))),"",ROUND(posicao_contratual!B123*posicao_contratual!G123,2))</f>
        <v/>
      </c>
      <c r="D125" s="191" t="str">
        <f>IF(OR(posicao_contratual!A123="",NOT(ISNUMBER(posicao_contratual!B123)),NOT(ISNUMBER(posicao_contratual!K123))),"",ROUND(posicao_contratual!B123*posicao_contratual!K123,2))</f>
        <v/>
      </c>
      <c r="E125" s="191" t="str">
        <f>IF(OR(posicao_contratual!A123="",NOT(ISNUMBER(posicao_contratual!B123)),NOT(ISNUMBER(posicao_contratual!O123))),"",ROUND(posicao_contratual!B123*posicao_contratual!O123,2))</f>
        <v/>
      </c>
      <c r="F125" s="191" t="str">
        <f>IF(OR(posicao_contratual!A123="",NOT(ISNUMBER(posicao_contratual!B123)),NOT(ISNUMBER(posicao_contratual!S123))),"",ROUND(posicao_contratual!B123*posicao_contratual!S123,2))</f>
        <v/>
      </c>
      <c r="G125" s="191" t="str">
        <f>IF(OR(posicao_contratual!A123="",NOT(ISNUMBER(posicao_contratual!B123)),NOT(ISNUMBER(posicao_contratual!W123))),"",ROUND(posicao_contratual!B123*posicao_contratual!W123,2))</f>
        <v/>
      </c>
    </row>
    <row r="126" spans="1:7" x14ac:dyDescent="0.35">
      <c r="A126" t="str">
        <f>IF(posicao_contratual!A124="","",posicao_contratual!A124)</f>
        <v/>
      </c>
      <c r="B126" s="191" t="str">
        <f>IF(posicao_contratual!A124="","",posicao_contratual!B124)</f>
        <v/>
      </c>
      <c r="C126" s="191" t="str">
        <f>IF(OR(posicao_contratual!A124="",NOT(ISNUMBER(posicao_contratual!B124)),NOT(ISNUMBER(posicao_contratual!G124))),"",ROUND(posicao_contratual!B124*posicao_contratual!G124,2))</f>
        <v/>
      </c>
      <c r="D126" s="191" t="str">
        <f>IF(OR(posicao_contratual!A124="",NOT(ISNUMBER(posicao_contratual!B124)),NOT(ISNUMBER(posicao_contratual!K124))),"",ROUND(posicao_contratual!B124*posicao_contratual!K124,2))</f>
        <v/>
      </c>
      <c r="E126" s="191" t="str">
        <f>IF(OR(posicao_contratual!A124="",NOT(ISNUMBER(posicao_contratual!B124)),NOT(ISNUMBER(posicao_contratual!O124))),"",ROUND(posicao_contratual!B124*posicao_contratual!O124,2))</f>
        <v/>
      </c>
      <c r="F126" s="191" t="str">
        <f>IF(OR(posicao_contratual!A124="",NOT(ISNUMBER(posicao_contratual!B124)),NOT(ISNUMBER(posicao_contratual!S124))),"",ROUND(posicao_contratual!B124*posicao_contratual!S124,2))</f>
        <v/>
      </c>
      <c r="G126" s="191" t="str">
        <f>IF(OR(posicao_contratual!A124="",NOT(ISNUMBER(posicao_contratual!B124)),NOT(ISNUMBER(posicao_contratual!W124))),"",ROUND(posicao_contratual!B124*posicao_contratual!W124,2))</f>
        <v/>
      </c>
    </row>
    <row r="127" spans="1:7" x14ac:dyDescent="0.35">
      <c r="A127" t="str">
        <f>IF(posicao_contratual!A125="","",posicao_contratual!A125)</f>
        <v/>
      </c>
      <c r="B127" s="191" t="str">
        <f>IF(posicao_contratual!A125="","",posicao_contratual!B125)</f>
        <v/>
      </c>
      <c r="C127" s="191" t="str">
        <f>IF(OR(posicao_contratual!A125="",NOT(ISNUMBER(posicao_contratual!B125)),NOT(ISNUMBER(posicao_contratual!G125))),"",ROUND(posicao_contratual!B125*posicao_contratual!G125,2))</f>
        <v/>
      </c>
      <c r="D127" s="191" t="str">
        <f>IF(OR(posicao_contratual!A125="",NOT(ISNUMBER(posicao_contratual!B125)),NOT(ISNUMBER(posicao_contratual!K125))),"",ROUND(posicao_contratual!B125*posicao_contratual!K125,2))</f>
        <v/>
      </c>
      <c r="E127" s="191" t="str">
        <f>IF(OR(posicao_contratual!A125="",NOT(ISNUMBER(posicao_contratual!B125)),NOT(ISNUMBER(posicao_contratual!O125))),"",ROUND(posicao_contratual!B125*posicao_contratual!O125,2))</f>
        <v/>
      </c>
      <c r="F127" s="191" t="str">
        <f>IF(OR(posicao_contratual!A125="",NOT(ISNUMBER(posicao_contratual!B125)),NOT(ISNUMBER(posicao_contratual!S125))),"",ROUND(posicao_contratual!B125*posicao_contratual!S125,2))</f>
        <v/>
      </c>
      <c r="G127" s="191" t="str">
        <f>IF(OR(posicao_contratual!A125="",NOT(ISNUMBER(posicao_contratual!B125)),NOT(ISNUMBER(posicao_contratual!W125))),"",ROUND(posicao_contratual!B125*posicao_contratual!W125,2))</f>
        <v/>
      </c>
    </row>
    <row r="128" spans="1:7" x14ac:dyDescent="0.35">
      <c r="A128" t="str">
        <f>IF(posicao_contratual!A126="","",posicao_contratual!A126)</f>
        <v/>
      </c>
      <c r="B128" s="191" t="str">
        <f>IF(posicao_contratual!A126="","",posicao_contratual!B126)</f>
        <v/>
      </c>
      <c r="C128" s="191" t="str">
        <f>IF(OR(posicao_contratual!A126="",NOT(ISNUMBER(posicao_contratual!B126)),NOT(ISNUMBER(posicao_contratual!G126))),"",ROUND(posicao_contratual!B126*posicao_contratual!G126,2))</f>
        <v/>
      </c>
      <c r="D128" s="191" t="str">
        <f>IF(OR(posicao_contratual!A126="",NOT(ISNUMBER(posicao_contratual!B126)),NOT(ISNUMBER(posicao_contratual!K126))),"",ROUND(posicao_contratual!B126*posicao_contratual!K126,2))</f>
        <v/>
      </c>
      <c r="E128" s="191" t="str">
        <f>IF(OR(posicao_contratual!A126="",NOT(ISNUMBER(posicao_contratual!B126)),NOT(ISNUMBER(posicao_contratual!O126))),"",ROUND(posicao_contratual!B126*posicao_contratual!O126,2))</f>
        <v/>
      </c>
      <c r="F128" s="191" t="str">
        <f>IF(OR(posicao_contratual!A126="",NOT(ISNUMBER(posicao_contratual!B126)),NOT(ISNUMBER(posicao_contratual!S126))),"",ROUND(posicao_contratual!B126*posicao_contratual!S126,2))</f>
        <v/>
      </c>
      <c r="G128" s="191" t="str">
        <f>IF(OR(posicao_contratual!A126="",NOT(ISNUMBER(posicao_contratual!B126)),NOT(ISNUMBER(posicao_contratual!W126))),"",ROUND(posicao_contratual!B126*posicao_contratual!W126,2))</f>
        <v/>
      </c>
    </row>
    <row r="129" spans="1:7" x14ac:dyDescent="0.35">
      <c r="A129" t="str">
        <f>IF(posicao_contratual!A127="","",posicao_contratual!A127)</f>
        <v/>
      </c>
      <c r="B129" s="191" t="str">
        <f>IF(posicao_contratual!A127="","",posicao_contratual!B127)</f>
        <v/>
      </c>
      <c r="C129" s="191" t="str">
        <f>IF(OR(posicao_contratual!A127="",NOT(ISNUMBER(posicao_contratual!B127)),NOT(ISNUMBER(posicao_contratual!G127))),"",ROUND(posicao_contratual!B127*posicao_contratual!G127,2))</f>
        <v/>
      </c>
      <c r="D129" s="191" t="str">
        <f>IF(OR(posicao_contratual!A127="",NOT(ISNUMBER(posicao_contratual!B127)),NOT(ISNUMBER(posicao_contratual!K127))),"",ROUND(posicao_contratual!B127*posicao_contratual!K127,2))</f>
        <v/>
      </c>
      <c r="E129" s="191" t="str">
        <f>IF(OR(posicao_contratual!A127="",NOT(ISNUMBER(posicao_contratual!B127)),NOT(ISNUMBER(posicao_contratual!O127))),"",ROUND(posicao_contratual!B127*posicao_contratual!O127,2))</f>
        <v/>
      </c>
      <c r="F129" s="191" t="str">
        <f>IF(OR(posicao_contratual!A127="",NOT(ISNUMBER(posicao_contratual!B127)),NOT(ISNUMBER(posicao_contratual!S127))),"",ROUND(posicao_contratual!B127*posicao_contratual!S127,2))</f>
        <v/>
      </c>
      <c r="G129" s="191" t="str">
        <f>IF(OR(posicao_contratual!A127="",NOT(ISNUMBER(posicao_contratual!B127)),NOT(ISNUMBER(posicao_contratual!W127))),"",ROUND(posicao_contratual!B127*posicao_contratual!W127,2))</f>
        <v/>
      </c>
    </row>
    <row r="130" spans="1:7" x14ac:dyDescent="0.35">
      <c r="A130" t="str">
        <f>IF(posicao_contratual!A128="","",posicao_contratual!A128)</f>
        <v/>
      </c>
      <c r="B130" s="191" t="str">
        <f>IF(posicao_contratual!A128="","",posicao_contratual!B128)</f>
        <v/>
      </c>
      <c r="C130" s="191" t="str">
        <f>IF(OR(posicao_contratual!A128="",NOT(ISNUMBER(posicao_contratual!B128)),NOT(ISNUMBER(posicao_contratual!G128))),"",ROUND(posicao_contratual!B128*posicao_contratual!G128,2))</f>
        <v/>
      </c>
      <c r="D130" s="191" t="str">
        <f>IF(OR(posicao_contratual!A128="",NOT(ISNUMBER(posicao_contratual!B128)),NOT(ISNUMBER(posicao_contratual!K128))),"",ROUND(posicao_contratual!B128*posicao_contratual!K128,2))</f>
        <v/>
      </c>
      <c r="E130" s="191" t="str">
        <f>IF(OR(posicao_contratual!A128="",NOT(ISNUMBER(posicao_contratual!B128)),NOT(ISNUMBER(posicao_contratual!O128))),"",ROUND(posicao_contratual!B128*posicao_contratual!O128,2))</f>
        <v/>
      </c>
      <c r="F130" s="191" t="str">
        <f>IF(OR(posicao_contratual!A128="",NOT(ISNUMBER(posicao_contratual!B128)),NOT(ISNUMBER(posicao_contratual!S128))),"",ROUND(posicao_contratual!B128*posicao_contratual!S128,2))</f>
        <v/>
      </c>
      <c r="G130" s="191" t="str">
        <f>IF(OR(posicao_contratual!A128="",NOT(ISNUMBER(posicao_contratual!B128)),NOT(ISNUMBER(posicao_contratual!W128))),"",ROUND(posicao_contratual!B128*posicao_contratual!W128,2))</f>
        <v/>
      </c>
    </row>
    <row r="131" spans="1:7" x14ac:dyDescent="0.35">
      <c r="A131" t="str">
        <f>IF(posicao_contratual!A129="","",posicao_contratual!A129)</f>
        <v/>
      </c>
      <c r="B131" s="191" t="str">
        <f>IF(posicao_contratual!A129="","",posicao_contratual!B129)</f>
        <v/>
      </c>
      <c r="C131" s="191" t="str">
        <f>IF(OR(posicao_contratual!A129="",NOT(ISNUMBER(posicao_contratual!B129)),NOT(ISNUMBER(posicao_contratual!G129))),"",ROUND(posicao_contratual!B129*posicao_contratual!G129,2))</f>
        <v/>
      </c>
      <c r="D131" s="191" t="str">
        <f>IF(OR(posicao_contratual!A129="",NOT(ISNUMBER(posicao_contratual!B129)),NOT(ISNUMBER(posicao_contratual!K129))),"",ROUND(posicao_contratual!B129*posicao_contratual!K129,2))</f>
        <v/>
      </c>
      <c r="E131" s="191" t="str">
        <f>IF(OR(posicao_contratual!A129="",NOT(ISNUMBER(posicao_contratual!B129)),NOT(ISNUMBER(posicao_contratual!O129))),"",ROUND(posicao_contratual!B129*posicao_contratual!O129,2))</f>
        <v/>
      </c>
      <c r="F131" s="191" t="str">
        <f>IF(OR(posicao_contratual!A129="",NOT(ISNUMBER(posicao_contratual!B129)),NOT(ISNUMBER(posicao_contratual!S129))),"",ROUND(posicao_contratual!B129*posicao_contratual!S129,2))</f>
        <v/>
      </c>
      <c r="G131" s="191" t="str">
        <f>IF(OR(posicao_contratual!A129="",NOT(ISNUMBER(posicao_contratual!B129)),NOT(ISNUMBER(posicao_contratual!W129))),"",ROUND(posicao_contratual!B129*posicao_contratual!W129,2))</f>
        <v/>
      </c>
    </row>
    <row r="132" spans="1:7" x14ac:dyDescent="0.35">
      <c r="A132" t="str">
        <f>IF(posicao_contratual!A130="","",posicao_contratual!A130)</f>
        <v/>
      </c>
      <c r="B132" s="191" t="str">
        <f>IF(posicao_contratual!A130="","",posicao_contratual!B130)</f>
        <v/>
      </c>
      <c r="C132" s="191" t="str">
        <f>IF(OR(posicao_contratual!A130="",NOT(ISNUMBER(posicao_contratual!B130)),NOT(ISNUMBER(posicao_contratual!G130))),"",ROUND(posicao_contratual!B130*posicao_contratual!G130,2))</f>
        <v/>
      </c>
      <c r="D132" s="191" t="str">
        <f>IF(OR(posicao_contratual!A130="",NOT(ISNUMBER(posicao_contratual!B130)),NOT(ISNUMBER(posicao_contratual!K130))),"",ROUND(posicao_contratual!B130*posicao_contratual!K130,2))</f>
        <v/>
      </c>
      <c r="E132" s="191" t="str">
        <f>IF(OR(posicao_contratual!A130="",NOT(ISNUMBER(posicao_contratual!B130)),NOT(ISNUMBER(posicao_contratual!O130))),"",ROUND(posicao_contratual!B130*posicao_contratual!O130,2))</f>
        <v/>
      </c>
      <c r="F132" s="191" t="str">
        <f>IF(OR(posicao_contratual!A130="",NOT(ISNUMBER(posicao_contratual!B130)),NOT(ISNUMBER(posicao_contratual!S130))),"",ROUND(posicao_contratual!B130*posicao_contratual!S130,2))</f>
        <v/>
      </c>
      <c r="G132" s="191" t="str">
        <f>IF(OR(posicao_contratual!A130="",NOT(ISNUMBER(posicao_contratual!B130)),NOT(ISNUMBER(posicao_contratual!W130))),"",ROUND(posicao_contratual!B130*posicao_contratual!W130,2))</f>
        <v/>
      </c>
    </row>
    <row r="133" spans="1:7" x14ac:dyDescent="0.35">
      <c r="A133" t="str">
        <f>IF(posicao_contratual!A131="","",posicao_contratual!A131)</f>
        <v/>
      </c>
      <c r="B133" s="191" t="str">
        <f>IF(posicao_contratual!A131="","",posicao_contratual!B131)</f>
        <v/>
      </c>
      <c r="C133" s="191" t="str">
        <f>IF(OR(posicao_contratual!A131="",NOT(ISNUMBER(posicao_contratual!B131)),NOT(ISNUMBER(posicao_contratual!G131))),"",ROUND(posicao_contratual!B131*posicao_contratual!G131,2))</f>
        <v/>
      </c>
      <c r="D133" s="191" t="str">
        <f>IF(OR(posicao_contratual!A131="",NOT(ISNUMBER(posicao_contratual!B131)),NOT(ISNUMBER(posicao_contratual!K131))),"",ROUND(posicao_contratual!B131*posicao_contratual!K131,2))</f>
        <v/>
      </c>
      <c r="E133" s="191" t="str">
        <f>IF(OR(posicao_contratual!A131="",NOT(ISNUMBER(posicao_contratual!B131)),NOT(ISNUMBER(posicao_contratual!O131))),"",ROUND(posicao_contratual!B131*posicao_contratual!O131,2))</f>
        <v/>
      </c>
      <c r="F133" s="191" t="str">
        <f>IF(OR(posicao_contratual!A131="",NOT(ISNUMBER(posicao_contratual!B131)),NOT(ISNUMBER(posicao_contratual!S131))),"",ROUND(posicao_contratual!B131*posicao_contratual!S131,2))</f>
        <v/>
      </c>
      <c r="G133" s="191" t="str">
        <f>IF(OR(posicao_contratual!A131="",NOT(ISNUMBER(posicao_contratual!B131)),NOT(ISNUMBER(posicao_contratual!W131))),"",ROUND(posicao_contratual!B131*posicao_contratual!W131,2))</f>
        <v/>
      </c>
    </row>
    <row r="134" spans="1:7" x14ac:dyDescent="0.35">
      <c r="A134" t="str">
        <f>IF(posicao_contratual!A132="","",posicao_contratual!A132)</f>
        <v/>
      </c>
      <c r="B134" s="191" t="str">
        <f>IF(posicao_contratual!A132="","",posicao_contratual!B132)</f>
        <v/>
      </c>
      <c r="C134" s="191" t="str">
        <f>IF(OR(posicao_contratual!A132="",NOT(ISNUMBER(posicao_contratual!B132)),NOT(ISNUMBER(posicao_contratual!G132))),"",ROUND(posicao_contratual!B132*posicao_contratual!G132,2))</f>
        <v/>
      </c>
      <c r="D134" s="191" t="str">
        <f>IF(OR(posicao_contratual!A132="",NOT(ISNUMBER(posicao_contratual!B132)),NOT(ISNUMBER(posicao_contratual!K132))),"",ROUND(posicao_contratual!B132*posicao_contratual!K132,2))</f>
        <v/>
      </c>
      <c r="E134" s="191" t="str">
        <f>IF(OR(posicao_contratual!A132="",NOT(ISNUMBER(posicao_contratual!B132)),NOT(ISNUMBER(posicao_contratual!O132))),"",ROUND(posicao_contratual!B132*posicao_contratual!O132,2))</f>
        <v/>
      </c>
      <c r="F134" s="191" t="str">
        <f>IF(OR(posicao_contratual!A132="",NOT(ISNUMBER(posicao_contratual!B132)),NOT(ISNUMBER(posicao_contratual!S132))),"",ROUND(posicao_contratual!B132*posicao_contratual!S132,2))</f>
        <v/>
      </c>
      <c r="G134" s="191" t="str">
        <f>IF(OR(posicao_contratual!A132="",NOT(ISNUMBER(posicao_contratual!B132)),NOT(ISNUMBER(posicao_contratual!W132))),"",ROUND(posicao_contratual!B132*posicao_contratual!W132,2))</f>
        <v/>
      </c>
    </row>
    <row r="135" spans="1:7" x14ac:dyDescent="0.35">
      <c r="A135" t="str">
        <f>IF(posicao_contratual!A133="","",posicao_contratual!A133)</f>
        <v/>
      </c>
      <c r="B135" s="191" t="str">
        <f>IF(posicao_contratual!A133="","",posicao_contratual!B133)</f>
        <v/>
      </c>
      <c r="C135" s="191" t="str">
        <f>IF(OR(posicao_contratual!A133="",NOT(ISNUMBER(posicao_contratual!B133)),NOT(ISNUMBER(posicao_contratual!G133))),"",ROUND(posicao_contratual!B133*posicao_contratual!G133,2))</f>
        <v/>
      </c>
      <c r="D135" s="191" t="str">
        <f>IF(OR(posicao_contratual!A133="",NOT(ISNUMBER(posicao_contratual!B133)),NOT(ISNUMBER(posicao_contratual!K133))),"",ROUND(posicao_contratual!B133*posicao_contratual!K133,2))</f>
        <v/>
      </c>
      <c r="E135" s="191" t="str">
        <f>IF(OR(posicao_contratual!A133="",NOT(ISNUMBER(posicao_contratual!B133)),NOT(ISNUMBER(posicao_contratual!O133))),"",ROUND(posicao_contratual!B133*posicao_contratual!O133,2))</f>
        <v/>
      </c>
      <c r="F135" s="191" t="str">
        <f>IF(OR(posicao_contratual!A133="",NOT(ISNUMBER(posicao_contratual!B133)),NOT(ISNUMBER(posicao_contratual!S133))),"",ROUND(posicao_contratual!B133*posicao_contratual!S133,2))</f>
        <v/>
      </c>
      <c r="G135" s="191" t="str">
        <f>IF(OR(posicao_contratual!A133="",NOT(ISNUMBER(posicao_contratual!B133)),NOT(ISNUMBER(posicao_contratual!W133))),"",ROUND(posicao_contratual!B133*posicao_contratual!W133,2))</f>
        <v/>
      </c>
    </row>
    <row r="136" spans="1:7" x14ac:dyDescent="0.35">
      <c r="A136" t="str">
        <f>IF(posicao_contratual!A134="","",posicao_contratual!A134)</f>
        <v/>
      </c>
      <c r="B136" s="191" t="str">
        <f>IF(posicao_contratual!A134="","",posicao_contratual!B134)</f>
        <v/>
      </c>
      <c r="C136" s="191" t="str">
        <f>IF(OR(posicao_contratual!A134="",NOT(ISNUMBER(posicao_contratual!B134)),NOT(ISNUMBER(posicao_contratual!G134))),"",ROUND(posicao_contratual!B134*posicao_contratual!G134,2))</f>
        <v/>
      </c>
      <c r="D136" s="191" t="str">
        <f>IF(OR(posicao_contratual!A134="",NOT(ISNUMBER(posicao_contratual!B134)),NOT(ISNUMBER(posicao_contratual!K134))),"",ROUND(posicao_contratual!B134*posicao_contratual!K134,2))</f>
        <v/>
      </c>
      <c r="E136" s="191" t="str">
        <f>IF(OR(posicao_contratual!A134="",NOT(ISNUMBER(posicao_contratual!B134)),NOT(ISNUMBER(posicao_contratual!O134))),"",ROUND(posicao_contratual!B134*posicao_contratual!O134,2))</f>
        <v/>
      </c>
      <c r="F136" s="191" t="str">
        <f>IF(OR(posicao_contratual!A134="",NOT(ISNUMBER(posicao_contratual!B134)),NOT(ISNUMBER(posicao_contratual!S134))),"",ROUND(posicao_contratual!B134*posicao_contratual!S134,2))</f>
        <v/>
      </c>
      <c r="G136" s="191" t="str">
        <f>IF(OR(posicao_contratual!A134="",NOT(ISNUMBER(posicao_contratual!B134)),NOT(ISNUMBER(posicao_contratual!W134))),"",ROUND(posicao_contratual!B134*posicao_contratual!W134,2))</f>
        <v/>
      </c>
    </row>
    <row r="137" spans="1:7" x14ac:dyDescent="0.35">
      <c r="A137" t="str">
        <f>IF(posicao_contratual!A135="","",posicao_contratual!A135)</f>
        <v/>
      </c>
      <c r="B137" s="191" t="str">
        <f>IF(posicao_contratual!A135="","",posicao_contratual!B135)</f>
        <v/>
      </c>
      <c r="C137" s="191" t="str">
        <f>IF(OR(posicao_contratual!A135="",NOT(ISNUMBER(posicao_contratual!B135)),NOT(ISNUMBER(posicao_contratual!G135))),"",ROUND(posicao_contratual!B135*posicao_contratual!G135,2))</f>
        <v/>
      </c>
      <c r="D137" s="191" t="str">
        <f>IF(OR(posicao_contratual!A135="",NOT(ISNUMBER(posicao_contratual!B135)),NOT(ISNUMBER(posicao_contratual!K135))),"",ROUND(posicao_contratual!B135*posicao_contratual!K135,2))</f>
        <v/>
      </c>
      <c r="E137" s="191" t="str">
        <f>IF(OR(posicao_contratual!A135="",NOT(ISNUMBER(posicao_contratual!B135)),NOT(ISNUMBER(posicao_contratual!O135))),"",ROUND(posicao_contratual!B135*posicao_contratual!O135,2))</f>
        <v/>
      </c>
      <c r="F137" s="191" t="str">
        <f>IF(OR(posicao_contratual!A135="",NOT(ISNUMBER(posicao_contratual!B135)),NOT(ISNUMBER(posicao_contratual!S135))),"",ROUND(posicao_contratual!B135*posicao_contratual!S135,2))</f>
        <v/>
      </c>
      <c r="G137" s="191" t="str">
        <f>IF(OR(posicao_contratual!A135="",NOT(ISNUMBER(posicao_contratual!B135)),NOT(ISNUMBER(posicao_contratual!W135))),"",ROUND(posicao_contratual!B135*posicao_contratual!W135,2))</f>
        <v/>
      </c>
    </row>
    <row r="138" spans="1:7" x14ac:dyDescent="0.35">
      <c r="A138" t="str">
        <f>IF(posicao_contratual!A136="","",posicao_contratual!A136)</f>
        <v/>
      </c>
      <c r="B138" s="191" t="str">
        <f>IF(posicao_contratual!A136="","",posicao_contratual!B136)</f>
        <v/>
      </c>
      <c r="C138" s="191" t="str">
        <f>IF(OR(posicao_contratual!A136="",NOT(ISNUMBER(posicao_contratual!B136)),NOT(ISNUMBER(posicao_contratual!G136))),"",ROUND(posicao_contratual!B136*posicao_contratual!G136,2))</f>
        <v/>
      </c>
      <c r="D138" s="191" t="str">
        <f>IF(OR(posicao_contratual!A136="",NOT(ISNUMBER(posicao_contratual!B136)),NOT(ISNUMBER(posicao_contratual!K136))),"",ROUND(posicao_contratual!B136*posicao_contratual!K136,2))</f>
        <v/>
      </c>
      <c r="E138" s="191" t="str">
        <f>IF(OR(posicao_contratual!A136="",NOT(ISNUMBER(posicao_contratual!B136)),NOT(ISNUMBER(posicao_contratual!O136))),"",ROUND(posicao_contratual!B136*posicao_contratual!O136,2))</f>
        <v/>
      </c>
      <c r="F138" s="191" t="str">
        <f>IF(OR(posicao_contratual!A136="",NOT(ISNUMBER(posicao_contratual!B136)),NOT(ISNUMBER(posicao_contratual!S136))),"",ROUND(posicao_contratual!B136*posicao_contratual!S136,2))</f>
        <v/>
      </c>
      <c r="G138" s="191" t="str">
        <f>IF(OR(posicao_contratual!A136="",NOT(ISNUMBER(posicao_contratual!B136)),NOT(ISNUMBER(posicao_contratual!W136))),"",ROUND(posicao_contratual!B136*posicao_contratual!W136,2))</f>
        <v/>
      </c>
    </row>
    <row r="139" spans="1:7" x14ac:dyDescent="0.35">
      <c r="A139" t="str">
        <f>IF(posicao_contratual!A137="","",posicao_contratual!A137)</f>
        <v/>
      </c>
      <c r="B139" s="191" t="str">
        <f>IF(posicao_contratual!A137="","",posicao_contratual!B137)</f>
        <v/>
      </c>
      <c r="C139" s="191" t="str">
        <f>IF(OR(posicao_contratual!A137="",NOT(ISNUMBER(posicao_contratual!B137)),NOT(ISNUMBER(posicao_contratual!G137))),"",ROUND(posicao_contratual!B137*posicao_contratual!G137,2))</f>
        <v/>
      </c>
      <c r="D139" s="191" t="str">
        <f>IF(OR(posicao_contratual!A137="",NOT(ISNUMBER(posicao_contratual!B137)),NOT(ISNUMBER(posicao_contratual!K137))),"",ROUND(posicao_contratual!B137*posicao_contratual!K137,2))</f>
        <v/>
      </c>
      <c r="E139" s="191" t="str">
        <f>IF(OR(posicao_contratual!A137="",NOT(ISNUMBER(posicao_contratual!B137)),NOT(ISNUMBER(posicao_contratual!O137))),"",ROUND(posicao_contratual!B137*posicao_contratual!O137,2))</f>
        <v/>
      </c>
      <c r="F139" s="191" t="str">
        <f>IF(OR(posicao_contratual!A137="",NOT(ISNUMBER(posicao_contratual!B137)),NOT(ISNUMBER(posicao_contratual!S137))),"",ROUND(posicao_contratual!B137*posicao_contratual!S137,2))</f>
        <v/>
      </c>
      <c r="G139" s="191" t="str">
        <f>IF(OR(posicao_contratual!A137="",NOT(ISNUMBER(posicao_contratual!B137)),NOT(ISNUMBER(posicao_contratual!W137))),"",ROUND(posicao_contratual!B137*posicao_contratual!W137,2))</f>
        <v/>
      </c>
    </row>
    <row r="140" spans="1:7" x14ac:dyDescent="0.35">
      <c r="A140" t="str">
        <f>IF(posicao_contratual!A138="","",posicao_contratual!A138)</f>
        <v/>
      </c>
      <c r="B140" s="191" t="str">
        <f>IF(posicao_contratual!A138="","",posicao_contratual!B138)</f>
        <v/>
      </c>
      <c r="C140" s="191" t="str">
        <f>IF(OR(posicao_contratual!A138="",NOT(ISNUMBER(posicao_contratual!B138)),NOT(ISNUMBER(posicao_contratual!G138))),"",ROUND(posicao_contratual!B138*posicao_contratual!G138,2))</f>
        <v/>
      </c>
      <c r="D140" s="191" t="str">
        <f>IF(OR(posicao_contratual!A138="",NOT(ISNUMBER(posicao_contratual!B138)),NOT(ISNUMBER(posicao_contratual!K138))),"",ROUND(posicao_contratual!B138*posicao_contratual!K138,2))</f>
        <v/>
      </c>
      <c r="E140" s="191" t="str">
        <f>IF(OR(posicao_contratual!A138="",NOT(ISNUMBER(posicao_contratual!B138)),NOT(ISNUMBER(posicao_contratual!O138))),"",ROUND(posicao_contratual!B138*posicao_contratual!O138,2))</f>
        <v/>
      </c>
      <c r="F140" s="191" t="str">
        <f>IF(OR(posicao_contratual!A138="",NOT(ISNUMBER(posicao_contratual!B138)),NOT(ISNUMBER(posicao_contratual!S138))),"",ROUND(posicao_contratual!B138*posicao_contratual!S138,2))</f>
        <v/>
      </c>
      <c r="G140" s="191" t="str">
        <f>IF(OR(posicao_contratual!A138="",NOT(ISNUMBER(posicao_contratual!B138)),NOT(ISNUMBER(posicao_contratual!W138))),"",ROUND(posicao_contratual!B138*posicao_contratual!W138,2))</f>
        <v/>
      </c>
    </row>
    <row r="141" spans="1:7" x14ac:dyDescent="0.35">
      <c r="A141" t="str">
        <f>IF(posicao_contratual!A139="","",posicao_contratual!A139)</f>
        <v/>
      </c>
      <c r="B141" s="191" t="str">
        <f>IF(posicao_contratual!A139="","",posicao_contratual!B139)</f>
        <v/>
      </c>
      <c r="C141" s="191" t="str">
        <f>IF(OR(posicao_contratual!A139="",NOT(ISNUMBER(posicao_contratual!B139)),NOT(ISNUMBER(posicao_contratual!G139))),"",ROUND(posicao_contratual!B139*posicao_contratual!G139,2))</f>
        <v/>
      </c>
      <c r="D141" s="191" t="str">
        <f>IF(OR(posicao_contratual!A139="",NOT(ISNUMBER(posicao_contratual!B139)),NOT(ISNUMBER(posicao_contratual!K139))),"",ROUND(posicao_contratual!B139*posicao_contratual!K139,2))</f>
        <v/>
      </c>
      <c r="E141" s="191" t="str">
        <f>IF(OR(posicao_contratual!A139="",NOT(ISNUMBER(posicao_contratual!B139)),NOT(ISNUMBER(posicao_contratual!O139))),"",ROUND(posicao_contratual!B139*posicao_contratual!O139,2))</f>
        <v/>
      </c>
      <c r="F141" s="191" t="str">
        <f>IF(OR(posicao_contratual!A139="",NOT(ISNUMBER(posicao_contratual!B139)),NOT(ISNUMBER(posicao_contratual!S139))),"",ROUND(posicao_contratual!B139*posicao_contratual!S139,2))</f>
        <v/>
      </c>
      <c r="G141" s="191" t="str">
        <f>IF(OR(posicao_contratual!A139="",NOT(ISNUMBER(posicao_contratual!B139)),NOT(ISNUMBER(posicao_contratual!W139))),"",ROUND(posicao_contratual!B139*posicao_contratual!W139,2))</f>
        <v/>
      </c>
    </row>
    <row r="142" spans="1:7" x14ac:dyDescent="0.35">
      <c r="A142" t="str">
        <f>IF(posicao_contratual!A140="","",posicao_contratual!A140)</f>
        <v/>
      </c>
      <c r="B142" s="191" t="str">
        <f>IF(posicao_contratual!A140="","",posicao_contratual!B140)</f>
        <v/>
      </c>
      <c r="C142" s="191" t="str">
        <f>IF(OR(posicao_contratual!A140="",NOT(ISNUMBER(posicao_contratual!B140)),NOT(ISNUMBER(posicao_contratual!G140))),"",ROUND(posicao_contratual!B140*posicao_contratual!G140,2))</f>
        <v/>
      </c>
      <c r="D142" s="191" t="str">
        <f>IF(OR(posicao_contratual!A140="",NOT(ISNUMBER(posicao_contratual!B140)),NOT(ISNUMBER(posicao_contratual!K140))),"",ROUND(posicao_contratual!B140*posicao_contratual!K140,2))</f>
        <v/>
      </c>
      <c r="E142" s="191" t="str">
        <f>IF(OR(posicao_contratual!A140="",NOT(ISNUMBER(posicao_contratual!B140)),NOT(ISNUMBER(posicao_contratual!O140))),"",ROUND(posicao_contratual!B140*posicao_contratual!O140,2))</f>
        <v/>
      </c>
      <c r="F142" s="191" t="str">
        <f>IF(OR(posicao_contratual!A140="",NOT(ISNUMBER(posicao_contratual!B140)),NOT(ISNUMBER(posicao_contratual!S140))),"",ROUND(posicao_contratual!B140*posicao_contratual!S140,2))</f>
        <v/>
      </c>
      <c r="G142" s="191" t="str">
        <f>IF(OR(posicao_contratual!A140="",NOT(ISNUMBER(posicao_contratual!B140)),NOT(ISNUMBER(posicao_contratual!W140))),"",ROUND(posicao_contratual!B140*posicao_contratual!W140,2))</f>
        <v/>
      </c>
    </row>
    <row r="143" spans="1:7" x14ac:dyDescent="0.35">
      <c r="A143" t="str">
        <f>IF(posicao_contratual!A141="","",posicao_contratual!A141)</f>
        <v/>
      </c>
      <c r="B143" s="191" t="str">
        <f>IF(posicao_contratual!A141="","",posicao_contratual!B141)</f>
        <v/>
      </c>
      <c r="C143" s="191" t="str">
        <f>IF(OR(posicao_contratual!A141="",NOT(ISNUMBER(posicao_contratual!B141)),NOT(ISNUMBER(posicao_contratual!G141))),"",ROUND(posicao_contratual!B141*posicao_contratual!G141,2))</f>
        <v/>
      </c>
      <c r="D143" s="191" t="str">
        <f>IF(OR(posicao_contratual!A141="",NOT(ISNUMBER(posicao_contratual!B141)),NOT(ISNUMBER(posicao_contratual!K141))),"",ROUND(posicao_contratual!B141*posicao_contratual!K141,2))</f>
        <v/>
      </c>
      <c r="E143" s="191" t="str">
        <f>IF(OR(posicao_contratual!A141="",NOT(ISNUMBER(posicao_contratual!B141)),NOT(ISNUMBER(posicao_contratual!O141))),"",ROUND(posicao_contratual!B141*posicao_contratual!O141,2))</f>
        <v/>
      </c>
      <c r="F143" s="191" t="str">
        <f>IF(OR(posicao_contratual!A141="",NOT(ISNUMBER(posicao_contratual!B141)),NOT(ISNUMBER(posicao_contratual!S141))),"",ROUND(posicao_contratual!B141*posicao_contratual!S141,2))</f>
        <v/>
      </c>
      <c r="G143" s="191" t="str">
        <f>IF(OR(posicao_contratual!A141="",NOT(ISNUMBER(posicao_contratual!B141)),NOT(ISNUMBER(posicao_contratual!W141))),"",ROUND(posicao_contratual!B141*posicao_contratual!W141,2))</f>
        <v/>
      </c>
    </row>
    <row r="144" spans="1:7" x14ac:dyDescent="0.35">
      <c r="A144" t="str">
        <f>IF(posicao_contratual!A142="","",posicao_contratual!A142)</f>
        <v/>
      </c>
      <c r="B144" s="191" t="str">
        <f>IF(posicao_contratual!A142="","",posicao_contratual!B142)</f>
        <v/>
      </c>
      <c r="C144" s="191" t="str">
        <f>IF(OR(posicao_contratual!A142="",NOT(ISNUMBER(posicao_contratual!B142)),NOT(ISNUMBER(posicao_contratual!G142))),"",ROUND(posicao_contratual!B142*posicao_contratual!G142,2))</f>
        <v/>
      </c>
      <c r="D144" s="191" t="str">
        <f>IF(OR(posicao_contratual!A142="",NOT(ISNUMBER(posicao_contratual!B142)),NOT(ISNUMBER(posicao_contratual!K142))),"",ROUND(posicao_contratual!B142*posicao_contratual!K142,2))</f>
        <v/>
      </c>
      <c r="E144" s="191" t="str">
        <f>IF(OR(posicao_contratual!A142="",NOT(ISNUMBER(posicao_contratual!B142)),NOT(ISNUMBER(posicao_contratual!O142))),"",ROUND(posicao_contratual!B142*posicao_contratual!O142,2))</f>
        <v/>
      </c>
      <c r="F144" s="191" t="str">
        <f>IF(OR(posicao_contratual!A142="",NOT(ISNUMBER(posicao_contratual!B142)),NOT(ISNUMBER(posicao_contratual!S142))),"",ROUND(posicao_contratual!B142*posicao_contratual!S142,2))</f>
        <v/>
      </c>
      <c r="G144" s="191" t="str">
        <f>IF(OR(posicao_contratual!A142="",NOT(ISNUMBER(posicao_contratual!B142)),NOT(ISNUMBER(posicao_contratual!W142))),"",ROUND(posicao_contratual!B142*posicao_contratual!W142,2))</f>
        <v/>
      </c>
    </row>
    <row r="145" spans="1:7" x14ac:dyDescent="0.35">
      <c r="A145" t="str">
        <f>IF(posicao_contratual!A143="","",posicao_contratual!A143)</f>
        <v/>
      </c>
      <c r="B145" s="191" t="str">
        <f>IF(posicao_contratual!A143="","",posicao_contratual!B143)</f>
        <v/>
      </c>
      <c r="C145" s="191" t="str">
        <f>IF(OR(posicao_contratual!A143="",NOT(ISNUMBER(posicao_contratual!B143)),NOT(ISNUMBER(posicao_contratual!G143))),"",ROUND(posicao_contratual!B143*posicao_contratual!G143,2))</f>
        <v/>
      </c>
      <c r="D145" s="191" t="str">
        <f>IF(OR(posicao_contratual!A143="",NOT(ISNUMBER(posicao_contratual!B143)),NOT(ISNUMBER(posicao_contratual!K143))),"",ROUND(posicao_contratual!B143*posicao_contratual!K143,2))</f>
        <v/>
      </c>
      <c r="E145" s="191" t="str">
        <f>IF(OR(posicao_contratual!A143="",NOT(ISNUMBER(posicao_contratual!B143)),NOT(ISNUMBER(posicao_contratual!O143))),"",ROUND(posicao_contratual!B143*posicao_contratual!O143,2))</f>
        <v/>
      </c>
      <c r="F145" s="191" t="str">
        <f>IF(OR(posicao_contratual!A143="",NOT(ISNUMBER(posicao_contratual!B143)),NOT(ISNUMBER(posicao_contratual!S143))),"",ROUND(posicao_contratual!B143*posicao_contratual!S143,2))</f>
        <v/>
      </c>
      <c r="G145" s="191" t="str">
        <f>IF(OR(posicao_contratual!A143="",NOT(ISNUMBER(posicao_contratual!B143)),NOT(ISNUMBER(posicao_contratual!W143))),"",ROUND(posicao_contratual!B143*posicao_contratual!W143,2))</f>
        <v/>
      </c>
    </row>
    <row r="146" spans="1:7" x14ac:dyDescent="0.35">
      <c r="A146" t="str">
        <f>IF(posicao_contratual!A144="","",posicao_contratual!A144)</f>
        <v/>
      </c>
      <c r="B146" s="191" t="str">
        <f>IF(posicao_contratual!A144="","",posicao_contratual!B144)</f>
        <v/>
      </c>
      <c r="C146" s="191" t="str">
        <f>IF(OR(posicao_contratual!A144="",NOT(ISNUMBER(posicao_contratual!B144)),NOT(ISNUMBER(posicao_contratual!G144))),"",ROUND(posicao_contratual!B144*posicao_contratual!G144,2))</f>
        <v/>
      </c>
      <c r="D146" s="191" t="str">
        <f>IF(OR(posicao_contratual!A144="",NOT(ISNUMBER(posicao_contratual!B144)),NOT(ISNUMBER(posicao_contratual!K144))),"",ROUND(posicao_contratual!B144*posicao_contratual!K144,2))</f>
        <v/>
      </c>
      <c r="E146" s="191" t="str">
        <f>IF(OR(posicao_contratual!A144="",NOT(ISNUMBER(posicao_contratual!B144)),NOT(ISNUMBER(posicao_contratual!O144))),"",ROUND(posicao_contratual!B144*posicao_contratual!O144,2))</f>
        <v/>
      </c>
      <c r="F146" s="191" t="str">
        <f>IF(OR(posicao_contratual!A144="",NOT(ISNUMBER(posicao_contratual!B144)),NOT(ISNUMBER(posicao_contratual!S144))),"",ROUND(posicao_contratual!B144*posicao_contratual!S144,2))</f>
        <v/>
      </c>
      <c r="G146" s="191" t="str">
        <f>IF(OR(posicao_contratual!A144="",NOT(ISNUMBER(posicao_contratual!B144)),NOT(ISNUMBER(posicao_contratual!W144))),"",ROUND(posicao_contratual!B144*posicao_contratual!W144,2))</f>
        <v/>
      </c>
    </row>
    <row r="147" spans="1:7" x14ac:dyDescent="0.35">
      <c r="A147" t="str">
        <f>IF(posicao_contratual!A145="","",posicao_contratual!A145)</f>
        <v/>
      </c>
      <c r="B147" s="191" t="str">
        <f>IF(posicao_contratual!A145="","",posicao_contratual!B145)</f>
        <v/>
      </c>
      <c r="C147" s="191" t="str">
        <f>IF(OR(posicao_contratual!A145="",NOT(ISNUMBER(posicao_contratual!B145)),NOT(ISNUMBER(posicao_contratual!G145))),"",ROUND(posicao_contratual!B145*posicao_contratual!G145,2))</f>
        <v/>
      </c>
      <c r="D147" s="191" t="str">
        <f>IF(OR(posicao_contratual!A145="",NOT(ISNUMBER(posicao_contratual!B145)),NOT(ISNUMBER(posicao_contratual!K145))),"",ROUND(posicao_contratual!B145*posicao_contratual!K145,2))</f>
        <v/>
      </c>
      <c r="E147" s="191" t="str">
        <f>IF(OR(posicao_contratual!A145="",NOT(ISNUMBER(posicao_contratual!B145)),NOT(ISNUMBER(posicao_contratual!O145))),"",ROUND(posicao_contratual!B145*posicao_contratual!O145,2))</f>
        <v/>
      </c>
      <c r="F147" s="191" t="str">
        <f>IF(OR(posicao_contratual!A145="",NOT(ISNUMBER(posicao_contratual!B145)),NOT(ISNUMBER(posicao_contratual!S145))),"",ROUND(posicao_contratual!B145*posicao_contratual!S145,2))</f>
        <v/>
      </c>
      <c r="G147" s="191" t="str">
        <f>IF(OR(posicao_contratual!A145="",NOT(ISNUMBER(posicao_contratual!B145)),NOT(ISNUMBER(posicao_contratual!W145))),"",ROUND(posicao_contratual!B145*posicao_contratual!W145,2))</f>
        <v/>
      </c>
    </row>
    <row r="148" spans="1:7" x14ac:dyDescent="0.35">
      <c r="A148" t="str">
        <f>IF(posicao_contratual!A146="","",posicao_contratual!A146)</f>
        <v/>
      </c>
      <c r="B148" s="191" t="str">
        <f>IF(posicao_contratual!A146="","",posicao_contratual!B146)</f>
        <v/>
      </c>
      <c r="C148" s="191" t="str">
        <f>IF(OR(posicao_contratual!A146="",NOT(ISNUMBER(posicao_contratual!B146)),NOT(ISNUMBER(posicao_contratual!G146))),"",ROUND(posicao_contratual!B146*posicao_contratual!G146,2))</f>
        <v/>
      </c>
      <c r="D148" s="191" t="str">
        <f>IF(OR(posicao_contratual!A146="",NOT(ISNUMBER(posicao_contratual!B146)),NOT(ISNUMBER(posicao_contratual!K146))),"",ROUND(posicao_contratual!B146*posicao_contratual!K146,2))</f>
        <v/>
      </c>
      <c r="E148" s="191" t="str">
        <f>IF(OR(posicao_contratual!A146="",NOT(ISNUMBER(posicao_contratual!B146)),NOT(ISNUMBER(posicao_contratual!O146))),"",ROUND(posicao_contratual!B146*posicao_contratual!O146,2))</f>
        <v/>
      </c>
      <c r="F148" s="191" t="str">
        <f>IF(OR(posicao_contratual!A146="",NOT(ISNUMBER(posicao_contratual!B146)),NOT(ISNUMBER(posicao_contratual!S146))),"",ROUND(posicao_contratual!B146*posicao_contratual!S146,2))</f>
        <v/>
      </c>
      <c r="G148" s="191" t="str">
        <f>IF(OR(posicao_contratual!A146="",NOT(ISNUMBER(posicao_contratual!B146)),NOT(ISNUMBER(posicao_contratual!W146))),"",ROUND(posicao_contratual!B146*posicao_contratual!W146,2))</f>
        <v/>
      </c>
    </row>
    <row r="149" spans="1:7" x14ac:dyDescent="0.35">
      <c r="A149" t="str">
        <f>IF(posicao_contratual!A147="","",posicao_contratual!A147)</f>
        <v/>
      </c>
      <c r="B149" s="191" t="str">
        <f>IF(posicao_contratual!A147="","",posicao_contratual!B147)</f>
        <v/>
      </c>
      <c r="C149" s="191" t="str">
        <f>IF(OR(posicao_contratual!A147="",NOT(ISNUMBER(posicao_contratual!B147)),NOT(ISNUMBER(posicao_contratual!G147))),"",ROUND(posicao_contratual!B147*posicao_contratual!G147,2))</f>
        <v/>
      </c>
      <c r="D149" s="191" t="str">
        <f>IF(OR(posicao_contratual!A147="",NOT(ISNUMBER(posicao_contratual!B147)),NOT(ISNUMBER(posicao_contratual!K147))),"",ROUND(posicao_contratual!B147*posicao_contratual!K147,2))</f>
        <v/>
      </c>
      <c r="E149" s="191" t="str">
        <f>IF(OR(posicao_contratual!A147="",NOT(ISNUMBER(posicao_contratual!B147)),NOT(ISNUMBER(posicao_contratual!O147))),"",ROUND(posicao_contratual!B147*posicao_contratual!O147,2))</f>
        <v/>
      </c>
      <c r="F149" s="191" t="str">
        <f>IF(OR(posicao_contratual!A147="",NOT(ISNUMBER(posicao_contratual!B147)),NOT(ISNUMBER(posicao_contratual!S147))),"",ROUND(posicao_contratual!B147*posicao_contratual!S147,2))</f>
        <v/>
      </c>
      <c r="G149" s="191" t="str">
        <f>IF(OR(posicao_contratual!A147="",NOT(ISNUMBER(posicao_contratual!B147)),NOT(ISNUMBER(posicao_contratual!W147))),"",ROUND(posicao_contratual!B147*posicao_contratual!W147,2))</f>
        <v/>
      </c>
    </row>
    <row r="150" spans="1:7" x14ac:dyDescent="0.35">
      <c r="A150" t="str">
        <f>IF(posicao_contratual!A148="","",posicao_contratual!A148)</f>
        <v/>
      </c>
      <c r="B150" s="191" t="str">
        <f>IF(posicao_contratual!A148="","",posicao_contratual!B148)</f>
        <v/>
      </c>
      <c r="C150" s="191" t="str">
        <f>IF(OR(posicao_contratual!A148="",NOT(ISNUMBER(posicao_contratual!B148)),NOT(ISNUMBER(posicao_contratual!G148))),"",ROUND(posicao_contratual!B148*posicao_contratual!G148,2))</f>
        <v/>
      </c>
      <c r="D150" s="191" t="str">
        <f>IF(OR(posicao_contratual!A148="",NOT(ISNUMBER(posicao_contratual!B148)),NOT(ISNUMBER(posicao_contratual!K148))),"",ROUND(posicao_contratual!B148*posicao_contratual!K148,2))</f>
        <v/>
      </c>
      <c r="E150" s="191" t="str">
        <f>IF(OR(posicao_contratual!A148="",NOT(ISNUMBER(posicao_contratual!B148)),NOT(ISNUMBER(posicao_contratual!O148))),"",ROUND(posicao_contratual!B148*posicao_contratual!O148,2))</f>
        <v/>
      </c>
      <c r="F150" s="191" t="str">
        <f>IF(OR(posicao_contratual!A148="",NOT(ISNUMBER(posicao_contratual!B148)),NOT(ISNUMBER(posicao_contratual!S148))),"",ROUND(posicao_contratual!B148*posicao_contratual!S148,2))</f>
        <v/>
      </c>
      <c r="G150" s="191" t="str">
        <f>IF(OR(posicao_contratual!A148="",NOT(ISNUMBER(posicao_contratual!B148)),NOT(ISNUMBER(posicao_contratual!W148))),"",ROUND(posicao_contratual!B148*posicao_contratual!W148,2))</f>
        <v/>
      </c>
    </row>
    <row r="151" spans="1:7" x14ac:dyDescent="0.35">
      <c r="A151" t="str">
        <f>IF(posicao_contratual!A149="","",posicao_contratual!A149)</f>
        <v/>
      </c>
      <c r="B151" s="191" t="str">
        <f>IF(posicao_contratual!A149="","",posicao_contratual!B149)</f>
        <v/>
      </c>
      <c r="C151" s="191" t="str">
        <f>IF(OR(posicao_contratual!A149="",NOT(ISNUMBER(posicao_contratual!B149)),NOT(ISNUMBER(posicao_contratual!G149))),"",ROUND(posicao_contratual!B149*posicao_contratual!G149,2))</f>
        <v/>
      </c>
      <c r="D151" s="191" t="str">
        <f>IF(OR(posicao_contratual!A149="",NOT(ISNUMBER(posicao_contratual!B149)),NOT(ISNUMBER(posicao_contratual!K149))),"",ROUND(posicao_contratual!B149*posicao_contratual!K149,2))</f>
        <v/>
      </c>
      <c r="E151" s="191" t="str">
        <f>IF(OR(posicao_contratual!A149="",NOT(ISNUMBER(posicao_contratual!B149)),NOT(ISNUMBER(posicao_contratual!O149))),"",ROUND(posicao_contratual!B149*posicao_contratual!O149,2))</f>
        <v/>
      </c>
      <c r="F151" s="191" t="str">
        <f>IF(OR(posicao_contratual!A149="",NOT(ISNUMBER(posicao_contratual!B149)),NOT(ISNUMBER(posicao_contratual!S149))),"",ROUND(posicao_contratual!B149*posicao_contratual!S149,2))</f>
        <v/>
      </c>
      <c r="G151" s="191" t="str">
        <f>IF(OR(posicao_contratual!A149="",NOT(ISNUMBER(posicao_contratual!B149)),NOT(ISNUMBER(posicao_contratual!W149))),"",ROUND(posicao_contratual!B149*posicao_contratual!W149,2))</f>
        <v/>
      </c>
    </row>
    <row r="152" spans="1:7" x14ac:dyDescent="0.35">
      <c r="A152" t="str">
        <f>IF(posicao_contratual!A150="","",posicao_contratual!A150)</f>
        <v/>
      </c>
      <c r="B152" s="191" t="str">
        <f>IF(posicao_contratual!A150="","",posicao_contratual!B150)</f>
        <v/>
      </c>
      <c r="C152" s="191" t="str">
        <f>IF(OR(posicao_contratual!A150="",NOT(ISNUMBER(posicao_contratual!B150)),NOT(ISNUMBER(posicao_contratual!G150))),"",ROUND(posicao_contratual!B150*posicao_contratual!G150,2))</f>
        <v/>
      </c>
      <c r="D152" s="191" t="str">
        <f>IF(OR(posicao_contratual!A150="",NOT(ISNUMBER(posicao_contratual!B150)),NOT(ISNUMBER(posicao_contratual!K150))),"",ROUND(posicao_contratual!B150*posicao_contratual!K150,2))</f>
        <v/>
      </c>
      <c r="E152" s="191" t="str">
        <f>IF(OR(posicao_contratual!A150="",NOT(ISNUMBER(posicao_contratual!B150)),NOT(ISNUMBER(posicao_contratual!O150))),"",ROUND(posicao_contratual!B150*posicao_contratual!O150,2))</f>
        <v/>
      </c>
      <c r="F152" s="191" t="str">
        <f>IF(OR(posicao_contratual!A150="",NOT(ISNUMBER(posicao_contratual!B150)),NOT(ISNUMBER(posicao_contratual!S150))),"",ROUND(posicao_contratual!B150*posicao_contratual!S150,2))</f>
        <v/>
      </c>
      <c r="G152" s="191" t="str">
        <f>IF(OR(posicao_contratual!A150="",NOT(ISNUMBER(posicao_contratual!B150)),NOT(ISNUMBER(posicao_contratual!W150))),"",ROUND(posicao_contratual!B150*posicao_contratual!W150,2))</f>
        <v/>
      </c>
    </row>
    <row r="153" spans="1:7" x14ac:dyDescent="0.35">
      <c r="A153" t="str">
        <f>IF(posicao_contratual!A151="","",posicao_contratual!A151)</f>
        <v/>
      </c>
      <c r="B153" s="191" t="str">
        <f>IF(posicao_contratual!A151="","",posicao_contratual!B151)</f>
        <v/>
      </c>
      <c r="C153" s="191" t="str">
        <f>IF(OR(posicao_contratual!A151="",NOT(ISNUMBER(posicao_contratual!B151)),NOT(ISNUMBER(posicao_contratual!G151))),"",ROUND(posicao_contratual!B151*posicao_contratual!G151,2))</f>
        <v/>
      </c>
      <c r="D153" s="191" t="str">
        <f>IF(OR(posicao_contratual!A151="",NOT(ISNUMBER(posicao_contratual!B151)),NOT(ISNUMBER(posicao_contratual!K151))),"",ROUND(posicao_contratual!B151*posicao_contratual!K151,2))</f>
        <v/>
      </c>
      <c r="E153" s="191" t="str">
        <f>IF(OR(posicao_contratual!A151="",NOT(ISNUMBER(posicao_contratual!B151)),NOT(ISNUMBER(posicao_contratual!O151))),"",ROUND(posicao_contratual!B151*posicao_contratual!O151,2))</f>
        <v/>
      </c>
      <c r="F153" s="191" t="str">
        <f>IF(OR(posicao_contratual!A151="",NOT(ISNUMBER(posicao_contratual!B151)),NOT(ISNUMBER(posicao_contratual!S151))),"",ROUND(posicao_contratual!B151*posicao_contratual!S151,2))</f>
        <v/>
      </c>
      <c r="G153" s="191" t="str">
        <f>IF(OR(posicao_contratual!A151="",NOT(ISNUMBER(posicao_contratual!B151)),NOT(ISNUMBER(posicao_contratual!W151))),"",ROUND(posicao_contratual!B151*posicao_contratual!W151,2))</f>
        <v/>
      </c>
    </row>
    <row r="154" spans="1:7" x14ac:dyDescent="0.35">
      <c r="A154" t="str">
        <f>IF(posicao_contratual!A152="","",posicao_contratual!A152)</f>
        <v/>
      </c>
      <c r="B154" s="191" t="str">
        <f>IF(posicao_contratual!A152="","",posicao_contratual!B152)</f>
        <v/>
      </c>
      <c r="C154" s="191" t="str">
        <f>IF(OR(posicao_contratual!A152="",NOT(ISNUMBER(posicao_contratual!B152)),NOT(ISNUMBER(posicao_contratual!G152))),"",ROUND(posicao_contratual!B152*posicao_contratual!G152,2))</f>
        <v/>
      </c>
      <c r="D154" s="191" t="str">
        <f>IF(OR(posicao_contratual!A152="",NOT(ISNUMBER(posicao_contratual!B152)),NOT(ISNUMBER(posicao_contratual!K152))),"",ROUND(posicao_contratual!B152*posicao_contratual!K152,2))</f>
        <v/>
      </c>
      <c r="E154" s="191" t="str">
        <f>IF(OR(posicao_contratual!A152="",NOT(ISNUMBER(posicao_contratual!B152)),NOT(ISNUMBER(posicao_contratual!O152))),"",ROUND(posicao_contratual!B152*posicao_contratual!O152,2))</f>
        <v/>
      </c>
      <c r="F154" s="191" t="str">
        <f>IF(OR(posicao_contratual!A152="",NOT(ISNUMBER(posicao_contratual!B152)),NOT(ISNUMBER(posicao_contratual!S152))),"",ROUND(posicao_contratual!B152*posicao_contratual!S152,2))</f>
        <v/>
      </c>
      <c r="G154" s="191" t="str">
        <f>IF(OR(posicao_contratual!A152="",NOT(ISNUMBER(posicao_contratual!B152)),NOT(ISNUMBER(posicao_contratual!W152))),"",ROUND(posicao_contratual!B152*posicao_contratual!W152,2))</f>
        <v/>
      </c>
    </row>
    <row r="155" spans="1:7" x14ac:dyDescent="0.35">
      <c r="A155" t="str">
        <f>IF(posicao_contratual!A153="","",posicao_contratual!A153)</f>
        <v/>
      </c>
      <c r="B155" s="191" t="str">
        <f>IF(posicao_contratual!A153="","",posicao_contratual!B153)</f>
        <v/>
      </c>
      <c r="C155" s="191" t="str">
        <f>IF(OR(posicao_contratual!A153="",NOT(ISNUMBER(posicao_contratual!B153)),NOT(ISNUMBER(posicao_contratual!G153))),"",ROUND(posicao_contratual!B153*posicao_contratual!G153,2))</f>
        <v/>
      </c>
      <c r="D155" s="191" t="str">
        <f>IF(OR(posicao_contratual!A153="",NOT(ISNUMBER(posicao_contratual!B153)),NOT(ISNUMBER(posicao_contratual!K153))),"",ROUND(posicao_contratual!B153*posicao_contratual!K153,2))</f>
        <v/>
      </c>
      <c r="E155" s="191" t="str">
        <f>IF(OR(posicao_contratual!A153="",NOT(ISNUMBER(posicao_contratual!B153)),NOT(ISNUMBER(posicao_contratual!O153))),"",ROUND(posicao_contratual!B153*posicao_contratual!O153,2))</f>
        <v/>
      </c>
      <c r="F155" s="191" t="str">
        <f>IF(OR(posicao_contratual!A153="",NOT(ISNUMBER(posicao_contratual!B153)),NOT(ISNUMBER(posicao_contratual!S153))),"",ROUND(posicao_contratual!B153*posicao_contratual!S153,2))</f>
        <v/>
      </c>
      <c r="G155" s="191" t="str">
        <f>IF(OR(posicao_contratual!A153="",NOT(ISNUMBER(posicao_contratual!B153)),NOT(ISNUMBER(posicao_contratual!W153))),"",ROUND(posicao_contratual!B153*posicao_contratual!W153,2))</f>
        <v/>
      </c>
    </row>
    <row r="156" spans="1:7" x14ac:dyDescent="0.35">
      <c r="A156" t="str">
        <f>IF(posicao_contratual!A154="","",posicao_contratual!A154)</f>
        <v/>
      </c>
      <c r="B156" s="191" t="str">
        <f>IF(posicao_contratual!A154="","",posicao_contratual!B154)</f>
        <v/>
      </c>
      <c r="C156" s="191" t="str">
        <f>IF(OR(posicao_contratual!A154="",NOT(ISNUMBER(posicao_contratual!B154)),NOT(ISNUMBER(posicao_contratual!G154))),"",ROUND(posicao_contratual!B154*posicao_contratual!G154,2))</f>
        <v/>
      </c>
      <c r="D156" s="191" t="str">
        <f>IF(OR(posicao_contratual!A154="",NOT(ISNUMBER(posicao_contratual!B154)),NOT(ISNUMBER(posicao_contratual!K154))),"",ROUND(posicao_contratual!B154*posicao_contratual!K154,2))</f>
        <v/>
      </c>
      <c r="E156" s="191" t="str">
        <f>IF(OR(posicao_contratual!A154="",NOT(ISNUMBER(posicao_contratual!B154)),NOT(ISNUMBER(posicao_contratual!O154))),"",ROUND(posicao_contratual!B154*posicao_contratual!O154,2))</f>
        <v/>
      </c>
      <c r="F156" s="191" t="str">
        <f>IF(OR(posicao_contratual!A154="",NOT(ISNUMBER(posicao_contratual!B154)),NOT(ISNUMBER(posicao_contratual!S154))),"",ROUND(posicao_contratual!B154*posicao_contratual!S154,2))</f>
        <v/>
      </c>
      <c r="G156" s="191" t="str">
        <f>IF(OR(posicao_contratual!A154="",NOT(ISNUMBER(posicao_contratual!B154)),NOT(ISNUMBER(posicao_contratual!W154))),"",ROUND(posicao_contratual!B154*posicao_contratual!W154,2))</f>
        <v/>
      </c>
    </row>
    <row r="157" spans="1:7" x14ac:dyDescent="0.35">
      <c r="A157" t="str">
        <f>IF(posicao_contratual!A155="","",posicao_contratual!A155)</f>
        <v/>
      </c>
      <c r="B157" s="191" t="str">
        <f>IF(posicao_contratual!A155="","",posicao_contratual!B155)</f>
        <v/>
      </c>
      <c r="C157" s="191" t="str">
        <f>IF(OR(posicao_contratual!A155="",NOT(ISNUMBER(posicao_contratual!B155)),NOT(ISNUMBER(posicao_contratual!G155))),"",ROUND(posicao_contratual!B155*posicao_contratual!G155,2))</f>
        <v/>
      </c>
      <c r="D157" s="191" t="str">
        <f>IF(OR(posicao_contratual!A155="",NOT(ISNUMBER(posicao_contratual!B155)),NOT(ISNUMBER(posicao_contratual!K155))),"",ROUND(posicao_contratual!B155*posicao_contratual!K155,2))</f>
        <v/>
      </c>
      <c r="E157" s="191" t="str">
        <f>IF(OR(posicao_contratual!A155="",NOT(ISNUMBER(posicao_contratual!B155)),NOT(ISNUMBER(posicao_contratual!O155))),"",ROUND(posicao_contratual!B155*posicao_contratual!O155,2))</f>
        <v/>
      </c>
      <c r="F157" s="191" t="str">
        <f>IF(OR(posicao_contratual!A155="",NOT(ISNUMBER(posicao_contratual!B155)),NOT(ISNUMBER(posicao_contratual!S155))),"",ROUND(posicao_contratual!B155*posicao_contratual!S155,2))</f>
        <v/>
      </c>
      <c r="G157" s="191" t="str">
        <f>IF(OR(posicao_contratual!A155="",NOT(ISNUMBER(posicao_contratual!B155)),NOT(ISNUMBER(posicao_contratual!W155))),"",ROUND(posicao_contratual!B155*posicao_contratual!W155,2))</f>
        <v/>
      </c>
    </row>
    <row r="158" spans="1:7" x14ac:dyDescent="0.35">
      <c r="A158" t="str">
        <f>IF(posicao_contratual!A156="","",posicao_contratual!A156)</f>
        <v/>
      </c>
      <c r="B158" s="191" t="str">
        <f>IF(posicao_contratual!A156="","",posicao_contratual!B156)</f>
        <v/>
      </c>
      <c r="C158" s="191" t="str">
        <f>IF(OR(posicao_contratual!A156="",NOT(ISNUMBER(posicao_contratual!B156)),NOT(ISNUMBER(posicao_contratual!G156))),"",ROUND(posicao_contratual!B156*posicao_contratual!G156,2))</f>
        <v/>
      </c>
      <c r="D158" s="191" t="str">
        <f>IF(OR(posicao_contratual!A156="",NOT(ISNUMBER(posicao_contratual!B156)),NOT(ISNUMBER(posicao_contratual!K156))),"",ROUND(posicao_contratual!B156*posicao_contratual!K156,2))</f>
        <v/>
      </c>
      <c r="E158" s="191" t="str">
        <f>IF(OR(posicao_contratual!A156="",NOT(ISNUMBER(posicao_contratual!B156)),NOT(ISNUMBER(posicao_contratual!O156))),"",ROUND(posicao_contratual!B156*posicao_contratual!O156,2))</f>
        <v/>
      </c>
      <c r="F158" s="191" t="str">
        <f>IF(OR(posicao_contratual!A156="",NOT(ISNUMBER(posicao_contratual!B156)),NOT(ISNUMBER(posicao_contratual!S156))),"",ROUND(posicao_contratual!B156*posicao_contratual!S156,2))</f>
        <v/>
      </c>
      <c r="G158" s="191" t="str">
        <f>IF(OR(posicao_contratual!A156="",NOT(ISNUMBER(posicao_contratual!B156)),NOT(ISNUMBER(posicao_contratual!W156))),"",ROUND(posicao_contratual!B156*posicao_contratual!W156,2))</f>
        <v/>
      </c>
    </row>
    <row r="159" spans="1:7" x14ac:dyDescent="0.35">
      <c r="A159" t="str">
        <f>IF(posicao_contratual!A157="","",posicao_contratual!A157)</f>
        <v/>
      </c>
      <c r="B159" s="191" t="str">
        <f>IF(posicao_contratual!A157="","",posicao_contratual!B157)</f>
        <v/>
      </c>
      <c r="C159" s="191" t="str">
        <f>IF(OR(posicao_contratual!A157="",NOT(ISNUMBER(posicao_contratual!B157)),NOT(ISNUMBER(posicao_contratual!G157))),"",ROUND(posicao_contratual!B157*posicao_contratual!G157,2))</f>
        <v/>
      </c>
      <c r="D159" s="191" t="str">
        <f>IF(OR(posicao_contratual!A157="",NOT(ISNUMBER(posicao_contratual!B157)),NOT(ISNUMBER(posicao_contratual!K157))),"",ROUND(posicao_contratual!B157*posicao_contratual!K157,2))</f>
        <v/>
      </c>
      <c r="E159" s="191" t="str">
        <f>IF(OR(posicao_contratual!A157="",NOT(ISNUMBER(posicao_contratual!B157)),NOT(ISNUMBER(posicao_contratual!O157))),"",ROUND(posicao_contratual!B157*posicao_contratual!O157,2))</f>
        <v/>
      </c>
      <c r="F159" s="191" t="str">
        <f>IF(OR(posicao_contratual!A157="",NOT(ISNUMBER(posicao_contratual!B157)),NOT(ISNUMBER(posicao_contratual!S157))),"",ROUND(posicao_contratual!B157*posicao_contratual!S157,2))</f>
        <v/>
      </c>
      <c r="G159" s="191" t="str">
        <f>IF(OR(posicao_contratual!A157="",NOT(ISNUMBER(posicao_contratual!B157)),NOT(ISNUMBER(posicao_contratual!W157))),"",ROUND(posicao_contratual!B157*posicao_contratual!W157,2))</f>
        <v/>
      </c>
    </row>
    <row r="160" spans="1:7" x14ac:dyDescent="0.35">
      <c r="A160" t="str">
        <f>IF(posicao_contratual!A158="","",posicao_contratual!A158)</f>
        <v/>
      </c>
      <c r="B160" s="191" t="str">
        <f>IF(posicao_contratual!A158="","",posicao_contratual!B158)</f>
        <v/>
      </c>
      <c r="C160" s="191" t="str">
        <f>IF(OR(posicao_contratual!A158="",NOT(ISNUMBER(posicao_contratual!B158)),NOT(ISNUMBER(posicao_contratual!G158))),"",ROUND(posicao_contratual!B158*posicao_contratual!G158,2))</f>
        <v/>
      </c>
      <c r="D160" s="191" t="str">
        <f>IF(OR(posicao_contratual!A158="",NOT(ISNUMBER(posicao_contratual!B158)),NOT(ISNUMBER(posicao_contratual!K158))),"",ROUND(posicao_contratual!B158*posicao_contratual!K158,2))</f>
        <v/>
      </c>
      <c r="E160" s="191" t="str">
        <f>IF(OR(posicao_contratual!A158="",NOT(ISNUMBER(posicao_contratual!B158)),NOT(ISNUMBER(posicao_contratual!O158))),"",ROUND(posicao_contratual!B158*posicao_contratual!O158,2))</f>
        <v/>
      </c>
      <c r="F160" s="191" t="str">
        <f>IF(OR(posicao_contratual!A158="",NOT(ISNUMBER(posicao_contratual!B158)),NOT(ISNUMBER(posicao_contratual!S158))),"",ROUND(posicao_contratual!B158*posicao_contratual!S158,2))</f>
        <v/>
      </c>
      <c r="G160" s="191" t="str">
        <f>IF(OR(posicao_contratual!A158="",NOT(ISNUMBER(posicao_contratual!B158)),NOT(ISNUMBER(posicao_contratual!W158))),"",ROUND(posicao_contratual!B158*posicao_contratual!W158,2))</f>
        <v/>
      </c>
    </row>
    <row r="161" spans="1:7" x14ac:dyDescent="0.35">
      <c r="A161" t="str">
        <f>IF(posicao_contratual!A159="","",posicao_contratual!A159)</f>
        <v/>
      </c>
      <c r="B161" s="191" t="str">
        <f>IF(posicao_contratual!A159="","",posicao_contratual!B159)</f>
        <v/>
      </c>
      <c r="C161" s="191" t="str">
        <f>IF(OR(posicao_contratual!A159="",NOT(ISNUMBER(posicao_contratual!B159)),NOT(ISNUMBER(posicao_contratual!G159))),"",ROUND(posicao_contratual!B159*posicao_contratual!G159,2))</f>
        <v/>
      </c>
      <c r="D161" s="191" t="str">
        <f>IF(OR(posicao_contratual!A159="",NOT(ISNUMBER(posicao_contratual!B159)),NOT(ISNUMBER(posicao_contratual!K159))),"",ROUND(posicao_contratual!B159*posicao_contratual!K159,2))</f>
        <v/>
      </c>
      <c r="E161" s="191" t="str">
        <f>IF(OR(posicao_contratual!A159="",NOT(ISNUMBER(posicao_contratual!B159)),NOT(ISNUMBER(posicao_contratual!O159))),"",ROUND(posicao_contratual!B159*posicao_contratual!O159,2))</f>
        <v/>
      </c>
      <c r="F161" s="191" t="str">
        <f>IF(OR(posicao_contratual!A159="",NOT(ISNUMBER(posicao_contratual!B159)),NOT(ISNUMBER(posicao_contratual!S159))),"",ROUND(posicao_contratual!B159*posicao_contratual!S159,2))</f>
        <v/>
      </c>
      <c r="G161" s="191" t="str">
        <f>IF(OR(posicao_contratual!A159="",NOT(ISNUMBER(posicao_contratual!B159)),NOT(ISNUMBER(posicao_contratual!W159))),"",ROUND(posicao_contratual!B159*posicao_contratual!W159,2))</f>
        <v/>
      </c>
    </row>
    <row r="162" spans="1:7" x14ac:dyDescent="0.35">
      <c r="A162" t="str">
        <f>IF(posicao_contratual!A160="","",posicao_contratual!A160)</f>
        <v/>
      </c>
      <c r="B162" s="191" t="str">
        <f>IF(posicao_contratual!A160="","",posicao_contratual!B160)</f>
        <v/>
      </c>
      <c r="C162" s="191" t="str">
        <f>IF(OR(posicao_contratual!A160="",NOT(ISNUMBER(posicao_contratual!B160)),NOT(ISNUMBER(posicao_contratual!G160))),"",ROUND(posicao_contratual!B160*posicao_contratual!G160,2))</f>
        <v/>
      </c>
      <c r="D162" s="191" t="str">
        <f>IF(OR(posicao_contratual!A160="",NOT(ISNUMBER(posicao_contratual!B160)),NOT(ISNUMBER(posicao_contratual!K160))),"",ROUND(posicao_contratual!B160*posicao_contratual!K160,2))</f>
        <v/>
      </c>
      <c r="E162" s="191" t="str">
        <f>IF(OR(posicao_contratual!A160="",NOT(ISNUMBER(posicao_contratual!B160)),NOT(ISNUMBER(posicao_contratual!O160))),"",ROUND(posicao_contratual!B160*posicao_contratual!O160,2))</f>
        <v/>
      </c>
      <c r="F162" s="191" t="str">
        <f>IF(OR(posicao_contratual!A160="",NOT(ISNUMBER(posicao_contratual!B160)),NOT(ISNUMBER(posicao_contratual!S160))),"",ROUND(posicao_contratual!B160*posicao_contratual!S160,2))</f>
        <v/>
      </c>
      <c r="G162" s="191" t="str">
        <f>IF(OR(posicao_contratual!A160="",NOT(ISNUMBER(posicao_contratual!B160)),NOT(ISNUMBER(posicao_contratual!W160))),"",ROUND(posicao_contratual!B160*posicao_contratual!W160,2))</f>
        <v/>
      </c>
    </row>
    <row r="163" spans="1:7" x14ac:dyDescent="0.35">
      <c r="A163" t="str">
        <f>IF(posicao_contratual!A161="","",posicao_contratual!A161)</f>
        <v/>
      </c>
      <c r="B163" s="191" t="str">
        <f>IF(posicao_contratual!A161="","",posicao_contratual!B161)</f>
        <v/>
      </c>
      <c r="C163" s="191" t="str">
        <f>IF(OR(posicao_contratual!A161="",NOT(ISNUMBER(posicao_contratual!B161)),NOT(ISNUMBER(posicao_contratual!G161))),"",ROUND(posicao_contratual!B161*posicao_contratual!G161,2))</f>
        <v/>
      </c>
      <c r="D163" s="191" t="str">
        <f>IF(OR(posicao_contratual!A161="",NOT(ISNUMBER(posicao_contratual!B161)),NOT(ISNUMBER(posicao_contratual!K161))),"",ROUND(posicao_contratual!B161*posicao_contratual!K161,2))</f>
        <v/>
      </c>
      <c r="E163" s="191" t="str">
        <f>IF(OR(posicao_contratual!A161="",NOT(ISNUMBER(posicao_contratual!B161)),NOT(ISNUMBER(posicao_contratual!O161))),"",ROUND(posicao_contratual!B161*posicao_contratual!O161,2))</f>
        <v/>
      </c>
      <c r="F163" s="191" t="str">
        <f>IF(OR(posicao_contratual!A161="",NOT(ISNUMBER(posicao_contratual!B161)),NOT(ISNUMBER(posicao_contratual!S161))),"",ROUND(posicao_contratual!B161*posicao_contratual!S161,2))</f>
        <v/>
      </c>
      <c r="G163" s="191" t="str">
        <f>IF(OR(posicao_contratual!A161="",NOT(ISNUMBER(posicao_contratual!B161)),NOT(ISNUMBER(posicao_contratual!W161))),"",ROUND(posicao_contratual!B161*posicao_contratual!W161,2))</f>
        <v/>
      </c>
    </row>
    <row r="164" spans="1:7" x14ac:dyDescent="0.35">
      <c r="A164" t="str">
        <f>IF(posicao_contratual!A162="","",posicao_contratual!A162)</f>
        <v/>
      </c>
      <c r="B164" s="191" t="str">
        <f>IF(posicao_contratual!A162="","",posicao_contratual!B162)</f>
        <v/>
      </c>
      <c r="C164" s="191" t="str">
        <f>IF(OR(posicao_contratual!A162="",NOT(ISNUMBER(posicao_contratual!B162)),NOT(ISNUMBER(posicao_contratual!G162))),"",ROUND(posicao_contratual!B162*posicao_contratual!G162,2))</f>
        <v/>
      </c>
      <c r="D164" s="191" t="str">
        <f>IF(OR(posicao_contratual!A162="",NOT(ISNUMBER(posicao_contratual!B162)),NOT(ISNUMBER(posicao_contratual!K162))),"",ROUND(posicao_contratual!B162*posicao_contratual!K162,2))</f>
        <v/>
      </c>
      <c r="E164" s="191" t="str">
        <f>IF(OR(posicao_contratual!A162="",NOT(ISNUMBER(posicao_contratual!B162)),NOT(ISNUMBER(posicao_contratual!O162))),"",ROUND(posicao_contratual!B162*posicao_contratual!O162,2))</f>
        <v/>
      </c>
      <c r="F164" s="191" t="str">
        <f>IF(OR(posicao_contratual!A162="",NOT(ISNUMBER(posicao_contratual!B162)),NOT(ISNUMBER(posicao_contratual!S162))),"",ROUND(posicao_contratual!B162*posicao_contratual!S162,2))</f>
        <v/>
      </c>
      <c r="G164" s="191" t="str">
        <f>IF(OR(posicao_contratual!A162="",NOT(ISNUMBER(posicao_contratual!B162)),NOT(ISNUMBER(posicao_contratual!W162))),"",ROUND(posicao_contratual!B162*posicao_contratual!W162,2))</f>
        <v/>
      </c>
    </row>
    <row r="165" spans="1:7" x14ac:dyDescent="0.35">
      <c r="A165" t="str">
        <f>IF(posicao_contratual!A163="","",posicao_contratual!A163)</f>
        <v/>
      </c>
      <c r="B165" s="191" t="str">
        <f>IF(posicao_contratual!A163="","",posicao_contratual!B163)</f>
        <v/>
      </c>
      <c r="C165" s="191" t="str">
        <f>IF(OR(posicao_contratual!A163="",NOT(ISNUMBER(posicao_contratual!B163)),NOT(ISNUMBER(posicao_contratual!G163))),"",ROUND(posicao_contratual!B163*posicao_contratual!G163,2))</f>
        <v/>
      </c>
      <c r="D165" s="191" t="str">
        <f>IF(OR(posicao_contratual!A163="",NOT(ISNUMBER(posicao_contratual!B163)),NOT(ISNUMBER(posicao_contratual!K163))),"",ROUND(posicao_contratual!B163*posicao_contratual!K163,2))</f>
        <v/>
      </c>
      <c r="E165" s="191" t="str">
        <f>IF(OR(posicao_contratual!A163="",NOT(ISNUMBER(posicao_contratual!B163)),NOT(ISNUMBER(posicao_contratual!O163))),"",ROUND(posicao_contratual!B163*posicao_contratual!O163,2))</f>
        <v/>
      </c>
      <c r="F165" s="191" t="str">
        <f>IF(OR(posicao_contratual!A163="",NOT(ISNUMBER(posicao_contratual!B163)),NOT(ISNUMBER(posicao_contratual!S163))),"",ROUND(posicao_contratual!B163*posicao_contratual!S163,2))</f>
        <v/>
      </c>
      <c r="G165" s="191" t="str">
        <f>IF(OR(posicao_contratual!A163="",NOT(ISNUMBER(posicao_contratual!B163)),NOT(ISNUMBER(posicao_contratual!W163))),"",ROUND(posicao_contratual!B163*posicao_contratual!W163,2))</f>
        <v/>
      </c>
    </row>
    <row r="166" spans="1:7" x14ac:dyDescent="0.35">
      <c r="A166" t="str">
        <f>IF(posicao_contratual!A164="","",posicao_contratual!A164)</f>
        <v/>
      </c>
      <c r="B166" s="191" t="str">
        <f>IF(posicao_contratual!A164="","",posicao_contratual!B164)</f>
        <v/>
      </c>
      <c r="C166" s="191" t="str">
        <f>IF(OR(posicao_contratual!A164="",NOT(ISNUMBER(posicao_contratual!B164)),NOT(ISNUMBER(posicao_contratual!G164))),"",ROUND(posicao_contratual!B164*posicao_contratual!G164,2))</f>
        <v/>
      </c>
      <c r="D166" s="191" t="str">
        <f>IF(OR(posicao_contratual!A164="",NOT(ISNUMBER(posicao_contratual!B164)),NOT(ISNUMBER(posicao_contratual!K164))),"",ROUND(posicao_contratual!B164*posicao_contratual!K164,2))</f>
        <v/>
      </c>
      <c r="E166" s="191" t="str">
        <f>IF(OR(posicao_contratual!A164="",NOT(ISNUMBER(posicao_contratual!B164)),NOT(ISNUMBER(posicao_contratual!O164))),"",ROUND(posicao_contratual!B164*posicao_contratual!O164,2))</f>
        <v/>
      </c>
      <c r="F166" s="191" t="str">
        <f>IF(OR(posicao_contratual!A164="",NOT(ISNUMBER(posicao_contratual!B164)),NOT(ISNUMBER(posicao_contratual!S164))),"",ROUND(posicao_contratual!B164*posicao_contratual!S164,2))</f>
        <v/>
      </c>
      <c r="G166" s="191" t="str">
        <f>IF(OR(posicao_contratual!A164="",NOT(ISNUMBER(posicao_contratual!B164)),NOT(ISNUMBER(posicao_contratual!W164))),"",ROUND(posicao_contratual!B164*posicao_contratual!W164,2))</f>
        <v/>
      </c>
    </row>
    <row r="167" spans="1:7" x14ac:dyDescent="0.35">
      <c r="A167" t="str">
        <f>IF(posicao_contratual!A165="","",posicao_contratual!A165)</f>
        <v/>
      </c>
      <c r="B167" s="191" t="str">
        <f>IF(posicao_contratual!A165="","",posicao_contratual!B165)</f>
        <v/>
      </c>
      <c r="C167" s="191" t="str">
        <f>IF(OR(posicao_contratual!A165="",NOT(ISNUMBER(posicao_contratual!B165)),NOT(ISNUMBER(posicao_contratual!G165))),"",ROUND(posicao_contratual!B165*posicao_contratual!G165,2))</f>
        <v/>
      </c>
      <c r="D167" s="191" t="str">
        <f>IF(OR(posicao_contratual!A165="",NOT(ISNUMBER(posicao_contratual!B165)),NOT(ISNUMBER(posicao_contratual!K165))),"",ROUND(posicao_contratual!B165*posicao_contratual!K165,2))</f>
        <v/>
      </c>
      <c r="E167" s="191" t="str">
        <f>IF(OR(posicao_contratual!A165="",NOT(ISNUMBER(posicao_contratual!B165)),NOT(ISNUMBER(posicao_contratual!O165))),"",ROUND(posicao_contratual!B165*posicao_contratual!O165,2))</f>
        <v/>
      </c>
      <c r="F167" s="191" t="str">
        <f>IF(OR(posicao_contratual!A165="",NOT(ISNUMBER(posicao_contratual!B165)),NOT(ISNUMBER(posicao_contratual!S165))),"",ROUND(posicao_contratual!B165*posicao_contratual!S165,2))</f>
        <v/>
      </c>
      <c r="G167" s="191" t="str">
        <f>IF(OR(posicao_contratual!A165="",NOT(ISNUMBER(posicao_contratual!B165)),NOT(ISNUMBER(posicao_contratual!W165))),"",ROUND(posicao_contratual!B165*posicao_contratual!W165,2))</f>
        <v/>
      </c>
    </row>
    <row r="168" spans="1:7" x14ac:dyDescent="0.35">
      <c r="A168" t="str">
        <f>IF(posicao_contratual!A166="","",posicao_contratual!A166)</f>
        <v/>
      </c>
      <c r="B168" s="191" t="str">
        <f>IF(posicao_contratual!A166="","",posicao_contratual!B166)</f>
        <v/>
      </c>
      <c r="C168" s="191" t="str">
        <f>IF(OR(posicao_contratual!A166="",NOT(ISNUMBER(posicao_contratual!B166)),NOT(ISNUMBER(posicao_contratual!G166))),"",ROUND(posicao_contratual!B166*posicao_contratual!G166,2))</f>
        <v/>
      </c>
      <c r="D168" s="191" t="str">
        <f>IF(OR(posicao_contratual!A166="",NOT(ISNUMBER(posicao_contratual!B166)),NOT(ISNUMBER(posicao_contratual!K166))),"",ROUND(posicao_contratual!B166*posicao_contratual!K166,2))</f>
        <v/>
      </c>
      <c r="E168" s="191" t="str">
        <f>IF(OR(posicao_contratual!A166="",NOT(ISNUMBER(posicao_contratual!B166)),NOT(ISNUMBER(posicao_contratual!O166))),"",ROUND(posicao_contratual!B166*posicao_contratual!O166,2))</f>
        <v/>
      </c>
      <c r="F168" s="191" t="str">
        <f>IF(OR(posicao_contratual!A166="",NOT(ISNUMBER(posicao_contratual!B166)),NOT(ISNUMBER(posicao_contratual!S166))),"",ROUND(posicao_contratual!B166*posicao_contratual!S166,2))</f>
        <v/>
      </c>
      <c r="G168" s="191" t="str">
        <f>IF(OR(posicao_contratual!A166="",NOT(ISNUMBER(posicao_contratual!B166)),NOT(ISNUMBER(posicao_contratual!W166))),"",ROUND(posicao_contratual!B166*posicao_contratual!W166,2))</f>
        <v/>
      </c>
    </row>
    <row r="169" spans="1:7" x14ac:dyDescent="0.35">
      <c r="A169" t="str">
        <f>IF(posicao_contratual!A167="","",posicao_contratual!A167)</f>
        <v/>
      </c>
      <c r="B169" s="191" t="str">
        <f>IF(posicao_contratual!A167="","",posicao_contratual!B167)</f>
        <v/>
      </c>
      <c r="C169" s="191" t="str">
        <f>IF(OR(posicao_contratual!A167="",NOT(ISNUMBER(posicao_contratual!B167)),NOT(ISNUMBER(posicao_contratual!G167))),"",ROUND(posicao_contratual!B167*posicao_contratual!G167,2))</f>
        <v/>
      </c>
      <c r="D169" s="191" t="str">
        <f>IF(OR(posicao_contratual!A167="",NOT(ISNUMBER(posicao_contratual!B167)),NOT(ISNUMBER(posicao_contratual!K167))),"",ROUND(posicao_contratual!B167*posicao_contratual!K167,2))</f>
        <v/>
      </c>
      <c r="E169" s="191" t="str">
        <f>IF(OR(posicao_contratual!A167="",NOT(ISNUMBER(posicao_contratual!B167)),NOT(ISNUMBER(posicao_contratual!O167))),"",ROUND(posicao_contratual!B167*posicao_contratual!O167,2))</f>
        <v/>
      </c>
      <c r="F169" s="191" t="str">
        <f>IF(OR(posicao_contratual!A167="",NOT(ISNUMBER(posicao_contratual!B167)),NOT(ISNUMBER(posicao_contratual!S167))),"",ROUND(posicao_contratual!B167*posicao_contratual!S167,2))</f>
        <v/>
      </c>
      <c r="G169" s="191" t="str">
        <f>IF(OR(posicao_contratual!A167="",NOT(ISNUMBER(posicao_contratual!B167)),NOT(ISNUMBER(posicao_contratual!W167))),"",ROUND(posicao_contratual!B167*posicao_contratual!W167,2))</f>
        <v/>
      </c>
    </row>
    <row r="170" spans="1:7" x14ac:dyDescent="0.35">
      <c r="A170" t="str">
        <f>IF(posicao_contratual!A168="","",posicao_contratual!A168)</f>
        <v/>
      </c>
      <c r="B170" s="191" t="str">
        <f>IF(posicao_contratual!A168="","",posicao_contratual!B168)</f>
        <v/>
      </c>
      <c r="C170" s="191" t="str">
        <f>IF(OR(posicao_contratual!A168="",NOT(ISNUMBER(posicao_contratual!B168)),NOT(ISNUMBER(posicao_contratual!G168))),"",ROUND(posicao_contratual!B168*posicao_contratual!G168,2))</f>
        <v/>
      </c>
      <c r="D170" s="191" t="str">
        <f>IF(OR(posicao_contratual!A168="",NOT(ISNUMBER(posicao_contratual!B168)),NOT(ISNUMBER(posicao_contratual!K168))),"",ROUND(posicao_contratual!B168*posicao_contratual!K168,2))</f>
        <v/>
      </c>
      <c r="E170" s="191" t="str">
        <f>IF(OR(posicao_contratual!A168="",NOT(ISNUMBER(posicao_contratual!B168)),NOT(ISNUMBER(posicao_contratual!O168))),"",ROUND(posicao_contratual!B168*posicao_contratual!O168,2))</f>
        <v/>
      </c>
      <c r="F170" s="191" t="str">
        <f>IF(OR(posicao_contratual!A168="",NOT(ISNUMBER(posicao_contratual!B168)),NOT(ISNUMBER(posicao_contratual!S168))),"",ROUND(posicao_contratual!B168*posicao_contratual!S168,2))</f>
        <v/>
      </c>
      <c r="G170" s="191" t="str">
        <f>IF(OR(posicao_contratual!A168="",NOT(ISNUMBER(posicao_contratual!B168)),NOT(ISNUMBER(posicao_contratual!W168))),"",ROUND(posicao_contratual!B168*posicao_contratual!W168,2))</f>
        <v/>
      </c>
    </row>
    <row r="171" spans="1:7" x14ac:dyDescent="0.35">
      <c r="A171" t="str">
        <f>IF(posicao_contratual!A169="","",posicao_contratual!A169)</f>
        <v/>
      </c>
      <c r="B171" s="191" t="str">
        <f>IF(posicao_contratual!A169="","",posicao_contratual!B169)</f>
        <v/>
      </c>
      <c r="C171" s="191" t="str">
        <f>IF(OR(posicao_contratual!A169="",NOT(ISNUMBER(posicao_contratual!B169)),NOT(ISNUMBER(posicao_contratual!G169))),"",ROUND(posicao_contratual!B169*posicao_contratual!G169,2))</f>
        <v/>
      </c>
      <c r="D171" s="191" t="str">
        <f>IF(OR(posicao_contratual!A169="",NOT(ISNUMBER(posicao_contratual!B169)),NOT(ISNUMBER(posicao_contratual!K169))),"",ROUND(posicao_contratual!B169*posicao_contratual!K169,2))</f>
        <v/>
      </c>
      <c r="E171" s="191" t="str">
        <f>IF(OR(posicao_contratual!A169="",NOT(ISNUMBER(posicao_contratual!B169)),NOT(ISNUMBER(posicao_contratual!O169))),"",ROUND(posicao_contratual!B169*posicao_contratual!O169,2))</f>
        <v/>
      </c>
      <c r="F171" s="191" t="str">
        <f>IF(OR(posicao_contratual!A169="",NOT(ISNUMBER(posicao_contratual!B169)),NOT(ISNUMBER(posicao_contratual!S169))),"",ROUND(posicao_contratual!B169*posicao_contratual!S169,2))</f>
        <v/>
      </c>
      <c r="G171" s="191" t="str">
        <f>IF(OR(posicao_contratual!A169="",NOT(ISNUMBER(posicao_contratual!B169)),NOT(ISNUMBER(posicao_contratual!W169))),"",ROUND(posicao_contratual!B169*posicao_contratual!W169,2))</f>
        <v/>
      </c>
    </row>
    <row r="172" spans="1:7" x14ac:dyDescent="0.35">
      <c r="A172" t="str">
        <f>IF(posicao_contratual!A170="","",posicao_contratual!A170)</f>
        <v/>
      </c>
      <c r="B172" s="191" t="str">
        <f>IF(posicao_contratual!A170="","",posicao_contratual!B170)</f>
        <v/>
      </c>
      <c r="C172" s="191" t="str">
        <f>IF(OR(posicao_contratual!A170="",NOT(ISNUMBER(posicao_contratual!B170)),NOT(ISNUMBER(posicao_contratual!G170))),"",ROUND(posicao_contratual!B170*posicao_contratual!G170,2))</f>
        <v/>
      </c>
      <c r="D172" s="191" t="str">
        <f>IF(OR(posicao_contratual!A170="",NOT(ISNUMBER(posicao_contratual!B170)),NOT(ISNUMBER(posicao_contratual!K170))),"",ROUND(posicao_contratual!B170*posicao_contratual!K170,2))</f>
        <v/>
      </c>
      <c r="E172" s="191" t="str">
        <f>IF(OR(posicao_contratual!A170="",NOT(ISNUMBER(posicao_contratual!B170)),NOT(ISNUMBER(posicao_contratual!O170))),"",ROUND(posicao_contratual!B170*posicao_contratual!O170,2))</f>
        <v/>
      </c>
      <c r="F172" s="191" t="str">
        <f>IF(OR(posicao_contratual!A170="",NOT(ISNUMBER(posicao_contratual!B170)),NOT(ISNUMBER(posicao_contratual!S170))),"",ROUND(posicao_contratual!B170*posicao_contratual!S170,2))</f>
        <v/>
      </c>
      <c r="G172" s="191" t="str">
        <f>IF(OR(posicao_contratual!A170="",NOT(ISNUMBER(posicao_contratual!B170)),NOT(ISNUMBER(posicao_contratual!W170))),"",ROUND(posicao_contratual!B170*posicao_contratual!W170,2))</f>
        <v/>
      </c>
    </row>
    <row r="173" spans="1:7" x14ac:dyDescent="0.35">
      <c r="A173" t="str">
        <f>IF(posicao_contratual!A171="","",posicao_contratual!A171)</f>
        <v/>
      </c>
      <c r="B173" s="191" t="str">
        <f>IF(posicao_contratual!A171="","",posicao_contratual!B171)</f>
        <v/>
      </c>
      <c r="C173" s="191" t="str">
        <f>IF(OR(posicao_contratual!A171="",NOT(ISNUMBER(posicao_contratual!B171)),NOT(ISNUMBER(posicao_contratual!G171))),"",ROUND(posicao_contratual!B171*posicao_contratual!G171,2))</f>
        <v/>
      </c>
      <c r="D173" s="191" t="str">
        <f>IF(OR(posicao_contratual!A171="",NOT(ISNUMBER(posicao_contratual!B171)),NOT(ISNUMBER(posicao_contratual!K171))),"",ROUND(posicao_contratual!B171*posicao_contratual!K171,2))</f>
        <v/>
      </c>
      <c r="E173" s="191" t="str">
        <f>IF(OR(posicao_contratual!A171="",NOT(ISNUMBER(posicao_contratual!B171)),NOT(ISNUMBER(posicao_contratual!O171))),"",ROUND(posicao_contratual!B171*posicao_contratual!O171,2))</f>
        <v/>
      </c>
      <c r="F173" s="191" t="str">
        <f>IF(OR(posicao_contratual!A171="",NOT(ISNUMBER(posicao_contratual!B171)),NOT(ISNUMBER(posicao_contratual!S171))),"",ROUND(posicao_contratual!B171*posicao_contratual!S171,2))</f>
        <v/>
      </c>
      <c r="G173" s="191" t="str">
        <f>IF(OR(posicao_contratual!A171="",NOT(ISNUMBER(posicao_contratual!B171)),NOT(ISNUMBER(posicao_contratual!W171))),"",ROUND(posicao_contratual!B171*posicao_contratual!W171,2))</f>
        <v/>
      </c>
    </row>
    <row r="174" spans="1:7" x14ac:dyDescent="0.35">
      <c r="A174" t="str">
        <f>IF(posicao_contratual!A172="","",posicao_contratual!A172)</f>
        <v/>
      </c>
      <c r="B174" s="191" t="str">
        <f>IF(posicao_contratual!A172="","",posicao_contratual!B172)</f>
        <v/>
      </c>
      <c r="C174" s="191" t="str">
        <f>IF(OR(posicao_contratual!A172="",NOT(ISNUMBER(posicao_contratual!B172)),NOT(ISNUMBER(posicao_contratual!G172))),"",ROUND(posicao_contratual!B172*posicao_contratual!G172,2))</f>
        <v/>
      </c>
      <c r="D174" s="191" t="str">
        <f>IF(OR(posicao_contratual!A172="",NOT(ISNUMBER(posicao_contratual!B172)),NOT(ISNUMBER(posicao_contratual!K172))),"",ROUND(posicao_contratual!B172*posicao_contratual!K172,2))</f>
        <v/>
      </c>
      <c r="E174" s="191" t="str">
        <f>IF(OR(posicao_contratual!A172="",NOT(ISNUMBER(posicao_contratual!B172)),NOT(ISNUMBER(posicao_contratual!O172))),"",ROUND(posicao_contratual!B172*posicao_contratual!O172,2))</f>
        <v/>
      </c>
      <c r="F174" s="191" t="str">
        <f>IF(OR(posicao_contratual!A172="",NOT(ISNUMBER(posicao_contratual!B172)),NOT(ISNUMBER(posicao_contratual!S172))),"",ROUND(posicao_contratual!B172*posicao_contratual!S172,2))</f>
        <v/>
      </c>
      <c r="G174" s="191" t="str">
        <f>IF(OR(posicao_contratual!A172="",NOT(ISNUMBER(posicao_contratual!B172)),NOT(ISNUMBER(posicao_contratual!W172))),"",ROUND(posicao_contratual!B172*posicao_contratual!W172,2))</f>
        <v/>
      </c>
    </row>
    <row r="175" spans="1:7" x14ac:dyDescent="0.35">
      <c r="A175" t="str">
        <f>IF(posicao_contratual!A173="","",posicao_contratual!A173)</f>
        <v/>
      </c>
      <c r="B175" s="191" t="str">
        <f>IF(posicao_contratual!A173="","",posicao_contratual!B173)</f>
        <v/>
      </c>
      <c r="C175" s="191" t="str">
        <f>IF(OR(posicao_contratual!A173="",NOT(ISNUMBER(posicao_contratual!B173)),NOT(ISNUMBER(posicao_contratual!G173))),"",ROUND(posicao_contratual!B173*posicao_contratual!G173,2))</f>
        <v/>
      </c>
      <c r="D175" s="191" t="str">
        <f>IF(OR(posicao_contratual!A173="",NOT(ISNUMBER(posicao_contratual!B173)),NOT(ISNUMBER(posicao_contratual!K173))),"",ROUND(posicao_contratual!B173*posicao_contratual!K173,2))</f>
        <v/>
      </c>
      <c r="E175" s="191" t="str">
        <f>IF(OR(posicao_contratual!A173="",NOT(ISNUMBER(posicao_contratual!B173)),NOT(ISNUMBER(posicao_contratual!O173))),"",ROUND(posicao_contratual!B173*posicao_contratual!O173,2))</f>
        <v/>
      </c>
      <c r="F175" s="191" t="str">
        <f>IF(OR(posicao_contratual!A173="",NOT(ISNUMBER(posicao_contratual!B173)),NOT(ISNUMBER(posicao_contratual!S173))),"",ROUND(posicao_contratual!B173*posicao_contratual!S173,2))</f>
        <v/>
      </c>
      <c r="G175" s="191" t="str">
        <f>IF(OR(posicao_contratual!A173="",NOT(ISNUMBER(posicao_contratual!B173)),NOT(ISNUMBER(posicao_contratual!W173))),"",ROUND(posicao_contratual!B173*posicao_contratual!W173,2))</f>
        <v/>
      </c>
    </row>
    <row r="176" spans="1:7" x14ac:dyDescent="0.35">
      <c r="A176" t="str">
        <f>IF(posicao_contratual!A174="","",posicao_contratual!A174)</f>
        <v/>
      </c>
      <c r="B176" s="191" t="str">
        <f>IF(posicao_contratual!A174="","",posicao_contratual!B174)</f>
        <v/>
      </c>
      <c r="C176" s="191" t="str">
        <f>IF(OR(posicao_contratual!A174="",NOT(ISNUMBER(posicao_contratual!B174)),NOT(ISNUMBER(posicao_contratual!G174))),"",ROUND(posicao_contratual!B174*posicao_contratual!G174,2))</f>
        <v/>
      </c>
      <c r="D176" s="191" t="str">
        <f>IF(OR(posicao_contratual!A174="",NOT(ISNUMBER(posicao_contratual!B174)),NOT(ISNUMBER(posicao_contratual!K174))),"",ROUND(posicao_contratual!B174*posicao_contratual!K174,2))</f>
        <v/>
      </c>
      <c r="E176" s="191" t="str">
        <f>IF(OR(posicao_contratual!A174="",NOT(ISNUMBER(posicao_contratual!B174)),NOT(ISNUMBER(posicao_contratual!O174))),"",ROUND(posicao_contratual!B174*posicao_contratual!O174,2))</f>
        <v/>
      </c>
      <c r="F176" s="191" t="str">
        <f>IF(OR(posicao_contratual!A174="",NOT(ISNUMBER(posicao_contratual!B174)),NOT(ISNUMBER(posicao_contratual!S174))),"",ROUND(posicao_contratual!B174*posicao_contratual!S174,2))</f>
        <v/>
      </c>
      <c r="G176" s="191" t="str">
        <f>IF(OR(posicao_contratual!A174="",NOT(ISNUMBER(posicao_contratual!B174)),NOT(ISNUMBER(posicao_contratual!W174))),"",ROUND(posicao_contratual!B174*posicao_contratual!W174,2))</f>
        <v/>
      </c>
    </row>
    <row r="177" spans="1:7" x14ac:dyDescent="0.35">
      <c r="A177" t="str">
        <f>IF(posicao_contratual!A175="","",posicao_contratual!A175)</f>
        <v/>
      </c>
      <c r="B177" s="191" t="str">
        <f>IF(posicao_contratual!A175="","",posicao_contratual!B175)</f>
        <v/>
      </c>
      <c r="C177" s="191" t="str">
        <f>IF(OR(posicao_contratual!A175="",NOT(ISNUMBER(posicao_contratual!B175)),NOT(ISNUMBER(posicao_contratual!G175))),"",ROUND(posicao_contratual!B175*posicao_contratual!G175,2))</f>
        <v/>
      </c>
      <c r="D177" s="191" t="str">
        <f>IF(OR(posicao_contratual!A175="",NOT(ISNUMBER(posicao_contratual!B175)),NOT(ISNUMBER(posicao_contratual!K175))),"",ROUND(posicao_contratual!B175*posicao_contratual!K175,2))</f>
        <v/>
      </c>
      <c r="E177" s="191" t="str">
        <f>IF(OR(posicao_contratual!A175="",NOT(ISNUMBER(posicao_contratual!B175)),NOT(ISNUMBER(posicao_contratual!O175))),"",ROUND(posicao_contratual!B175*posicao_contratual!O175,2))</f>
        <v/>
      </c>
      <c r="F177" s="191" t="str">
        <f>IF(OR(posicao_contratual!A175="",NOT(ISNUMBER(posicao_contratual!B175)),NOT(ISNUMBER(posicao_contratual!S175))),"",ROUND(posicao_contratual!B175*posicao_contratual!S175,2))</f>
        <v/>
      </c>
      <c r="G177" s="191" t="str">
        <f>IF(OR(posicao_contratual!A175="",NOT(ISNUMBER(posicao_contratual!B175)),NOT(ISNUMBER(posicao_contratual!W175))),"",ROUND(posicao_contratual!B175*posicao_contratual!W175,2))</f>
        <v/>
      </c>
    </row>
    <row r="178" spans="1:7" x14ac:dyDescent="0.35">
      <c r="A178" t="str">
        <f>IF(posicao_contratual!A176="","",posicao_contratual!A176)</f>
        <v/>
      </c>
      <c r="B178" s="191" t="str">
        <f>IF(posicao_contratual!A176="","",posicao_contratual!B176)</f>
        <v/>
      </c>
      <c r="C178" s="191" t="str">
        <f>IF(OR(posicao_contratual!A176="",NOT(ISNUMBER(posicao_contratual!B176)),NOT(ISNUMBER(posicao_contratual!G176))),"",ROUND(posicao_contratual!B176*posicao_contratual!G176,2))</f>
        <v/>
      </c>
      <c r="D178" s="191" t="str">
        <f>IF(OR(posicao_contratual!A176="",NOT(ISNUMBER(posicao_contratual!B176)),NOT(ISNUMBER(posicao_contratual!K176))),"",ROUND(posicao_contratual!B176*posicao_contratual!K176,2))</f>
        <v/>
      </c>
      <c r="E178" s="191" t="str">
        <f>IF(OR(posicao_contratual!A176="",NOT(ISNUMBER(posicao_contratual!B176)),NOT(ISNUMBER(posicao_contratual!O176))),"",ROUND(posicao_contratual!B176*posicao_contratual!O176,2))</f>
        <v/>
      </c>
      <c r="F178" s="191" t="str">
        <f>IF(OR(posicao_contratual!A176="",NOT(ISNUMBER(posicao_contratual!B176)),NOT(ISNUMBER(posicao_contratual!S176))),"",ROUND(posicao_contratual!B176*posicao_contratual!S176,2))</f>
        <v/>
      </c>
      <c r="G178" s="191" t="str">
        <f>IF(OR(posicao_contratual!A176="",NOT(ISNUMBER(posicao_contratual!B176)),NOT(ISNUMBER(posicao_contratual!W176))),"",ROUND(posicao_contratual!B176*posicao_contratual!W176,2))</f>
        <v/>
      </c>
    </row>
    <row r="179" spans="1:7" x14ac:dyDescent="0.35">
      <c r="A179" t="str">
        <f>IF(posicao_contratual!A177="","",posicao_contratual!A177)</f>
        <v/>
      </c>
      <c r="B179" s="191" t="str">
        <f>IF(posicao_contratual!A177="","",posicao_contratual!B177)</f>
        <v/>
      </c>
      <c r="C179" s="191" t="str">
        <f>IF(OR(posicao_contratual!A177="",NOT(ISNUMBER(posicao_contratual!B177)),NOT(ISNUMBER(posicao_contratual!G177))),"",ROUND(posicao_contratual!B177*posicao_contratual!G177,2))</f>
        <v/>
      </c>
      <c r="D179" s="191" t="str">
        <f>IF(OR(posicao_contratual!A177="",NOT(ISNUMBER(posicao_contratual!B177)),NOT(ISNUMBER(posicao_contratual!K177))),"",ROUND(posicao_contratual!B177*posicao_contratual!K177,2))</f>
        <v/>
      </c>
      <c r="E179" s="191" t="str">
        <f>IF(OR(posicao_contratual!A177="",NOT(ISNUMBER(posicao_contratual!B177)),NOT(ISNUMBER(posicao_contratual!O177))),"",ROUND(posicao_contratual!B177*posicao_contratual!O177,2))</f>
        <v/>
      </c>
      <c r="F179" s="191" t="str">
        <f>IF(OR(posicao_contratual!A177="",NOT(ISNUMBER(posicao_contratual!B177)),NOT(ISNUMBER(posicao_contratual!S177))),"",ROUND(posicao_contratual!B177*posicao_contratual!S177,2))</f>
        <v/>
      </c>
      <c r="G179" s="191" t="str">
        <f>IF(OR(posicao_contratual!A177="",NOT(ISNUMBER(posicao_contratual!B177)),NOT(ISNUMBER(posicao_contratual!W177))),"",ROUND(posicao_contratual!B177*posicao_contratual!W177,2))</f>
        <v/>
      </c>
    </row>
    <row r="180" spans="1:7" x14ac:dyDescent="0.35">
      <c r="A180" t="str">
        <f>IF(posicao_contratual!A178="","",posicao_contratual!A178)</f>
        <v/>
      </c>
      <c r="B180" s="191" t="str">
        <f>IF(posicao_contratual!A178="","",posicao_contratual!B178)</f>
        <v/>
      </c>
      <c r="C180" s="191" t="str">
        <f>IF(OR(posicao_contratual!A178="",NOT(ISNUMBER(posicao_contratual!B178)),NOT(ISNUMBER(posicao_contratual!G178))),"",ROUND(posicao_contratual!B178*posicao_contratual!G178,2))</f>
        <v/>
      </c>
      <c r="D180" s="191" t="str">
        <f>IF(OR(posicao_contratual!A178="",NOT(ISNUMBER(posicao_contratual!B178)),NOT(ISNUMBER(posicao_contratual!K178))),"",ROUND(posicao_contratual!B178*posicao_contratual!K178,2))</f>
        <v/>
      </c>
      <c r="E180" s="191" t="str">
        <f>IF(OR(posicao_contratual!A178="",NOT(ISNUMBER(posicao_contratual!B178)),NOT(ISNUMBER(posicao_contratual!O178))),"",ROUND(posicao_contratual!B178*posicao_contratual!O178,2))</f>
        <v/>
      </c>
      <c r="F180" s="191" t="str">
        <f>IF(OR(posicao_contratual!A178="",NOT(ISNUMBER(posicao_contratual!B178)),NOT(ISNUMBER(posicao_contratual!S178))),"",ROUND(posicao_contratual!B178*posicao_contratual!S178,2))</f>
        <v/>
      </c>
      <c r="G180" s="191" t="str">
        <f>IF(OR(posicao_contratual!A178="",NOT(ISNUMBER(posicao_contratual!B178)),NOT(ISNUMBER(posicao_contratual!W178))),"",ROUND(posicao_contratual!B178*posicao_contratual!W178,2))</f>
        <v/>
      </c>
    </row>
    <row r="181" spans="1:7" x14ac:dyDescent="0.35">
      <c r="A181" t="str">
        <f>IF(posicao_contratual!A179="","",posicao_contratual!A179)</f>
        <v/>
      </c>
      <c r="B181" s="191" t="str">
        <f>IF(posicao_contratual!A179="","",posicao_contratual!B179)</f>
        <v/>
      </c>
      <c r="C181" s="191" t="str">
        <f>IF(OR(posicao_contratual!A179="",NOT(ISNUMBER(posicao_contratual!B179)),NOT(ISNUMBER(posicao_contratual!G179))),"",ROUND(posicao_contratual!B179*posicao_contratual!G179,2))</f>
        <v/>
      </c>
      <c r="D181" s="191" t="str">
        <f>IF(OR(posicao_contratual!A179="",NOT(ISNUMBER(posicao_contratual!B179)),NOT(ISNUMBER(posicao_contratual!K179))),"",ROUND(posicao_contratual!B179*posicao_contratual!K179,2))</f>
        <v/>
      </c>
      <c r="E181" s="191" t="str">
        <f>IF(OR(posicao_contratual!A179="",NOT(ISNUMBER(posicao_contratual!B179)),NOT(ISNUMBER(posicao_contratual!O179))),"",ROUND(posicao_contratual!B179*posicao_contratual!O179,2))</f>
        <v/>
      </c>
      <c r="F181" s="191" t="str">
        <f>IF(OR(posicao_contratual!A179="",NOT(ISNUMBER(posicao_contratual!B179)),NOT(ISNUMBER(posicao_contratual!S179))),"",ROUND(posicao_contratual!B179*posicao_contratual!S179,2))</f>
        <v/>
      </c>
      <c r="G181" s="191" t="str">
        <f>IF(OR(posicao_contratual!A179="",NOT(ISNUMBER(posicao_contratual!B179)),NOT(ISNUMBER(posicao_contratual!W179))),"",ROUND(posicao_contratual!B179*posicao_contratual!W179,2))</f>
        <v/>
      </c>
    </row>
    <row r="182" spans="1:7" x14ac:dyDescent="0.35">
      <c r="A182" t="str">
        <f>IF(posicao_contratual!A180="","",posicao_contratual!A180)</f>
        <v/>
      </c>
      <c r="B182" s="191" t="str">
        <f>IF(posicao_contratual!A180="","",posicao_contratual!B180)</f>
        <v/>
      </c>
      <c r="C182" s="191" t="str">
        <f>IF(OR(posicao_contratual!A180="",NOT(ISNUMBER(posicao_contratual!B180)),NOT(ISNUMBER(posicao_contratual!G180))),"",ROUND(posicao_contratual!B180*posicao_contratual!G180,2))</f>
        <v/>
      </c>
      <c r="D182" s="191" t="str">
        <f>IF(OR(posicao_contratual!A180="",NOT(ISNUMBER(posicao_contratual!B180)),NOT(ISNUMBER(posicao_contratual!K180))),"",ROUND(posicao_contratual!B180*posicao_contratual!K180,2))</f>
        <v/>
      </c>
      <c r="E182" s="191" t="str">
        <f>IF(OR(posicao_contratual!A180="",NOT(ISNUMBER(posicao_contratual!B180)),NOT(ISNUMBER(posicao_contratual!O180))),"",ROUND(posicao_contratual!B180*posicao_contratual!O180,2))</f>
        <v/>
      </c>
      <c r="F182" s="191" t="str">
        <f>IF(OR(posicao_contratual!A180="",NOT(ISNUMBER(posicao_contratual!B180)),NOT(ISNUMBER(posicao_contratual!S180))),"",ROUND(posicao_contratual!B180*posicao_contratual!S180,2))</f>
        <v/>
      </c>
      <c r="G182" s="191" t="str">
        <f>IF(OR(posicao_contratual!A180="",NOT(ISNUMBER(posicao_contratual!B180)),NOT(ISNUMBER(posicao_contratual!W180))),"",ROUND(posicao_contratual!B180*posicao_contratual!W180,2))</f>
        <v/>
      </c>
    </row>
    <row r="183" spans="1:7" x14ac:dyDescent="0.35">
      <c r="A183" t="str">
        <f>IF(posicao_contratual!A181="","",posicao_contratual!A181)</f>
        <v/>
      </c>
      <c r="B183" s="191" t="str">
        <f>IF(posicao_contratual!A181="","",posicao_contratual!B181)</f>
        <v/>
      </c>
      <c r="C183" s="191" t="str">
        <f>IF(OR(posicao_contratual!A181="",NOT(ISNUMBER(posicao_contratual!B181)),NOT(ISNUMBER(posicao_contratual!G181))),"",ROUND(posicao_contratual!B181*posicao_contratual!G181,2))</f>
        <v/>
      </c>
      <c r="D183" s="191" t="str">
        <f>IF(OR(posicao_contratual!A181="",NOT(ISNUMBER(posicao_contratual!B181)),NOT(ISNUMBER(posicao_contratual!K181))),"",ROUND(posicao_contratual!B181*posicao_contratual!K181,2))</f>
        <v/>
      </c>
      <c r="E183" s="191" t="str">
        <f>IF(OR(posicao_contratual!A181="",NOT(ISNUMBER(posicao_contratual!B181)),NOT(ISNUMBER(posicao_contratual!O181))),"",ROUND(posicao_contratual!B181*posicao_contratual!O181,2))</f>
        <v/>
      </c>
      <c r="F183" s="191" t="str">
        <f>IF(OR(posicao_contratual!A181="",NOT(ISNUMBER(posicao_contratual!B181)),NOT(ISNUMBER(posicao_contratual!S181))),"",ROUND(posicao_contratual!B181*posicao_contratual!S181,2))</f>
        <v/>
      </c>
      <c r="G183" s="191" t="str">
        <f>IF(OR(posicao_contratual!A181="",NOT(ISNUMBER(posicao_contratual!B181)),NOT(ISNUMBER(posicao_contratual!W181))),"",ROUND(posicao_contratual!B181*posicao_contratual!W181,2))</f>
        <v/>
      </c>
    </row>
    <row r="184" spans="1:7" x14ac:dyDescent="0.35">
      <c r="A184" t="str">
        <f>IF(posicao_contratual!A182="","",posicao_contratual!A182)</f>
        <v/>
      </c>
      <c r="B184" s="191" t="str">
        <f>IF(posicao_contratual!A182="","",posicao_contratual!B182)</f>
        <v/>
      </c>
      <c r="C184" s="191" t="str">
        <f>IF(OR(posicao_contratual!A182="",NOT(ISNUMBER(posicao_contratual!B182)),NOT(ISNUMBER(posicao_contratual!G182))),"",ROUND(posicao_contratual!B182*posicao_contratual!G182,2))</f>
        <v/>
      </c>
      <c r="D184" s="191" t="str">
        <f>IF(OR(posicao_contratual!A182="",NOT(ISNUMBER(posicao_contratual!B182)),NOT(ISNUMBER(posicao_contratual!K182))),"",ROUND(posicao_contratual!B182*posicao_contratual!K182,2))</f>
        <v/>
      </c>
      <c r="E184" s="191" t="str">
        <f>IF(OR(posicao_contratual!A182="",NOT(ISNUMBER(posicao_contratual!B182)),NOT(ISNUMBER(posicao_contratual!O182))),"",ROUND(posicao_contratual!B182*posicao_contratual!O182,2))</f>
        <v/>
      </c>
      <c r="F184" s="191" t="str">
        <f>IF(OR(posicao_contratual!A182="",NOT(ISNUMBER(posicao_contratual!B182)),NOT(ISNUMBER(posicao_contratual!S182))),"",ROUND(posicao_contratual!B182*posicao_contratual!S182,2))</f>
        <v/>
      </c>
      <c r="G184" s="191" t="str">
        <f>IF(OR(posicao_contratual!A182="",NOT(ISNUMBER(posicao_contratual!B182)),NOT(ISNUMBER(posicao_contratual!W182))),"",ROUND(posicao_contratual!B182*posicao_contratual!W182,2))</f>
        <v/>
      </c>
    </row>
    <row r="185" spans="1:7" x14ac:dyDescent="0.35">
      <c r="A185" t="str">
        <f>IF(posicao_contratual!A183="","",posicao_contratual!A183)</f>
        <v/>
      </c>
      <c r="B185" s="191" t="str">
        <f>IF(posicao_contratual!A183="","",posicao_contratual!B183)</f>
        <v/>
      </c>
      <c r="C185" s="191" t="str">
        <f>IF(OR(posicao_contratual!A183="",NOT(ISNUMBER(posicao_contratual!B183)),NOT(ISNUMBER(posicao_contratual!G183))),"",ROUND(posicao_contratual!B183*posicao_contratual!G183,2))</f>
        <v/>
      </c>
      <c r="D185" s="191" t="str">
        <f>IF(OR(posicao_contratual!A183="",NOT(ISNUMBER(posicao_contratual!B183)),NOT(ISNUMBER(posicao_contratual!K183))),"",ROUND(posicao_contratual!B183*posicao_contratual!K183,2))</f>
        <v/>
      </c>
      <c r="E185" s="191" t="str">
        <f>IF(OR(posicao_contratual!A183="",NOT(ISNUMBER(posicao_contratual!B183)),NOT(ISNUMBER(posicao_contratual!O183))),"",ROUND(posicao_contratual!B183*posicao_contratual!O183,2))</f>
        <v/>
      </c>
      <c r="F185" s="191" t="str">
        <f>IF(OR(posicao_contratual!A183="",NOT(ISNUMBER(posicao_contratual!B183)),NOT(ISNUMBER(posicao_contratual!S183))),"",ROUND(posicao_contratual!B183*posicao_contratual!S183,2))</f>
        <v/>
      </c>
      <c r="G185" s="191" t="str">
        <f>IF(OR(posicao_contratual!A183="",NOT(ISNUMBER(posicao_contratual!B183)),NOT(ISNUMBER(posicao_contratual!W183))),"",ROUND(posicao_contratual!B183*posicao_contratual!W183,2))</f>
        <v/>
      </c>
    </row>
    <row r="186" spans="1:7" x14ac:dyDescent="0.35">
      <c r="A186" t="str">
        <f>IF(posicao_contratual!A184="","",posicao_contratual!A184)</f>
        <v/>
      </c>
      <c r="B186" s="191" t="str">
        <f>IF(posicao_contratual!A184="","",posicao_contratual!B184)</f>
        <v/>
      </c>
      <c r="C186" s="191" t="str">
        <f>IF(OR(posicao_contratual!A184="",NOT(ISNUMBER(posicao_contratual!B184)),NOT(ISNUMBER(posicao_contratual!G184))),"",ROUND(posicao_contratual!B184*posicao_contratual!G184,2))</f>
        <v/>
      </c>
      <c r="D186" s="191" t="str">
        <f>IF(OR(posicao_contratual!A184="",NOT(ISNUMBER(posicao_contratual!B184)),NOT(ISNUMBER(posicao_contratual!K184))),"",ROUND(posicao_contratual!B184*posicao_contratual!K184,2))</f>
        <v/>
      </c>
      <c r="E186" s="191" t="str">
        <f>IF(OR(posicao_contratual!A184="",NOT(ISNUMBER(posicao_contratual!B184)),NOT(ISNUMBER(posicao_contratual!O184))),"",ROUND(posicao_contratual!B184*posicao_contratual!O184,2))</f>
        <v/>
      </c>
      <c r="F186" s="191" t="str">
        <f>IF(OR(posicao_contratual!A184="",NOT(ISNUMBER(posicao_contratual!B184)),NOT(ISNUMBER(posicao_contratual!S184))),"",ROUND(posicao_contratual!B184*posicao_contratual!S184,2))</f>
        <v/>
      </c>
      <c r="G186" s="191" t="str">
        <f>IF(OR(posicao_contratual!A184="",NOT(ISNUMBER(posicao_contratual!B184)),NOT(ISNUMBER(posicao_contratual!W184))),"",ROUND(posicao_contratual!B184*posicao_contratual!W184,2))</f>
        <v/>
      </c>
    </row>
    <row r="187" spans="1:7" x14ac:dyDescent="0.35">
      <c r="A187" t="str">
        <f>IF(posicao_contratual!A185="","",posicao_contratual!A185)</f>
        <v/>
      </c>
      <c r="B187" s="191" t="str">
        <f>IF(posicao_contratual!A185="","",posicao_contratual!B185)</f>
        <v/>
      </c>
      <c r="C187" s="191" t="str">
        <f>IF(OR(posicao_contratual!A185="",NOT(ISNUMBER(posicao_contratual!B185)),NOT(ISNUMBER(posicao_contratual!G185))),"",ROUND(posicao_contratual!B185*posicao_contratual!G185,2))</f>
        <v/>
      </c>
      <c r="D187" s="191" t="str">
        <f>IF(OR(posicao_contratual!A185="",NOT(ISNUMBER(posicao_contratual!B185)),NOT(ISNUMBER(posicao_contratual!K185))),"",ROUND(posicao_contratual!B185*posicao_contratual!K185,2))</f>
        <v/>
      </c>
      <c r="E187" s="191" t="str">
        <f>IF(OR(posicao_contratual!A185="",NOT(ISNUMBER(posicao_contratual!B185)),NOT(ISNUMBER(posicao_contratual!O185))),"",ROUND(posicao_contratual!B185*posicao_contratual!O185,2))</f>
        <v/>
      </c>
      <c r="F187" s="191" t="str">
        <f>IF(OR(posicao_contratual!A185="",NOT(ISNUMBER(posicao_contratual!B185)),NOT(ISNUMBER(posicao_contratual!S185))),"",ROUND(posicao_contratual!B185*posicao_contratual!S185,2))</f>
        <v/>
      </c>
      <c r="G187" s="191" t="str">
        <f>IF(OR(posicao_contratual!A185="",NOT(ISNUMBER(posicao_contratual!B185)),NOT(ISNUMBER(posicao_contratual!W185))),"",ROUND(posicao_contratual!B185*posicao_contratual!W185,2))</f>
        <v/>
      </c>
    </row>
    <row r="188" spans="1:7" x14ac:dyDescent="0.35">
      <c r="A188" t="str">
        <f>IF(posicao_contratual!A186="","",posicao_contratual!A186)</f>
        <v/>
      </c>
      <c r="B188" s="191" t="str">
        <f>IF(posicao_contratual!A186="","",posicao_contratual!B186)</f>
        <v/>
      </c>
      <c r="C188" s="191" t="str">
        <f>IF(OR(posicao_contratual!A186="",NOT(ISNUMBER(posicao_contratual!B186)),NOT(ISNUMBER(posicao_contratual!G186))),"",ROUND(posicao_contratual!B186*posicao_contratual!G186,2))</f>
        <v/>
      </c>
      <c r="D188" s="191" t="str">
        <f>IF(OR(posicao_contratual!A186="",NOT(ISNUMBER(posicao_contratual!B186)),NOT(ISNUMBER(posicao_contratual!K186))),"",ROUND(posicao_contratual!B186*posicao_contratual!K186,2))</f>
        <v/>
      </c>
      <c r="E188" s="191" t="str">
        <f>IF(OR(posicao_contratual!A186="",NOT(ISNUMBER(posicao_contratual!B186)),NOT(ISNUMBER(posicao_contratual!O186))),"",ROUND(posicao_contratual!B186*posicao_contratual!O186,2))</f>
        <v/>
      </c>
      <c r="F188" s="191" t="str">
        <f>IF(OR(posicao_contratual!A186="",NOT(ISNUMBER(posicao_contratual!B186)),NOT(ISNUMBER(posicao_contratual!S186))),"",ROUND(posicao_contratual!B186*posicao_contratual!S186,2))</f>
        <v/>
      </c>
      <c r="G188" s="191" t="str">
        <f>IF(OR(posicao_contratual!A186="",NOT(ISNUMBER(posicao_contratual!B186)),NOT(ISNUMBER(posicao_contratual!W186))),"",ROUND(posicao_contratual!B186*posicao_contratual!W186,2))</f>
        <v/>
      </c>
    </row>
    <row r="189" spans="1:7" x14ac:dyDescent="0.35">
      <c r="A189" t="str">
        <f>IF(posicao_contratual!A187="","",posicao_contratual!A187)</f>
        <v/>
      </c>
      <c r="B189" s="191" t="str">
        <f>IF(posicao_contratual!A187="","",posicao_contratual!B187)</f>
        <v/>
      </c>
      <c r="C189" s="191" t="str">
        <f>IF(OR(posicao_contratual!A187="",NOT(ISNUMBER(posicao_contratual!B187)),NOT(ISNUMBER(posicao_contratual!G187))),"",ROUND(posicao_contratual!B187*posicao_contratual!G187,2))</f>
        <v/>
      </c>
      <c r="D189" s="191" t="str">
        <f>IF(OR(posicao_contratual!A187="",NOT(ISNUMBER(posicao_contratual!B187)),NOT(ISNUMBER(posicao_contratual!K187))),"",ROUND(posicao_contratual!B187*posicao_contratual!K187,2))</f>
        <v/>
      </c>
      <c r="E189" s="191" t="str">
        <f>IF(OR(posicao_contratual!A187="",NOT(ISNUMBER(posicao_contratual!B187)),NOT(ISNUMBER(posicao_contratual!O187))),"",ROUND(posicao_contratual!B187*posicao_contratual!O187,2))</f>
        <v/>
      </c>
      <c r="F189" s="191" t="str">
        <f>IF(OR(posicao_contratual!A187="",NOT(ISNUMBER(posicao_contratual!B187)),NOT(ISNUMBER(posicao_contratual!S187))),"",ROUND(posicao_contratual!B187*posicao_contratual!S187,2))</f>
        <v/>
      </c>
      <c r="G189" s="191" t="str">
        <f>IF(OR(posicao_contratual!A187="",NOT(ISNUMBER(posicao_contratual!B187)),NOT(ISNUMBER(posicao_contratual!W187))),"",ROUND(posicao_contratual!B187*posicao_contratual!W187,2))</f>
        <v/>
      </c>
    </row>
    <row r="190" spans="1:7" x14ac:dyDescent="0.35">
      <c r="A190" t="str">
        <f>IF(posicao_contratual!A188="","",posicao_contratual!A188)</f>
        <v/>
      </c>
      <c r="B190" s="191" t="str">
        <f>IF(posicao_contratual!A188="","",posicao_contratual!B188)</f>
        <v/>
      </c>
      <c r="C190" s="191" t="str">
        <f>IF(OR(posicao_contratual!A188="",NOT(ISNUMBER(posicao_contratual!B188)),NOT(ISNUMBER(posicao_contratual!G188))),"",ROUND(posicao_contratual!B188*posicao_contratual!G188,2))</f>
        <v/>
      </c>
      <c r="D190" s="191" t="str">
        <f>IF(OR(posicao_contratual!A188="",NOT(ISNUMBER(posicao_contratual!B188)),NOT(ISNUMBER(posicao_contratual!K188))),"",ROUND(posicao_contratual!B188*posicao_contratual!K188,2))</f>
        <v/>
      </c>
      <c r="E190" s="191" t="str">
        <f>IF(OR(posicao_contratual!A188="",NOT(ISNUMBER(posicao_contratual!B188)),NOT(ISNUMBER(posicao_contratual!O188))),"",ROUND(posicao_contratual!B188*posicao_contratual!O188,2))</f>
        <v/>
      </c>
      <c r="F190" s="191" t="str">
        <f>IF(OR(posicao_contratual!A188="",NOT(ISNUMBER(posicao_contratual!B188)),NOT(ISNUMBER(posicao_contratual!S188))),"",ROUND(posicao_contratual!B188*posicao_contratual!S188,2))</f>
        <v/>
      </c>
      <c r="G190" s="191" t="str">
        <f>IF(OR(posicao_contratual!A188="",NOT(ISNUMBER(posicao_contratual!B188)),NOT(ISNUMBER(posicao_contratual!W188))),"",ROUND(posicao_contratual!B188*posicao_contratual!W188,2))</f>
        <v/>
      </c>
    </row>
    <row r="191" spans="1:7" x14ac:dyDescent="0.35">
      <c r="A191" t="str">
        <f>IF(posicao_contratual!A189="","",posicao_contratual!A189)</f>
        <v/>
      </c>
      <c r="B191" s="191" t="str">
        <f>IF(posicao_contratual!A189="","",posicao_contratual!B189)</f>
        <v/>
      </c>
      <c r="C191" s="191" t="str">
        <f>IF(OR(posicao_contratual!A189="",NOT(ISNUMBER(posicao_contratual!B189)),NOT(ISNUMBER(posicao_contratual!G189))),"",ROUND(posicao_contratual!B189*posicao_contratual!G189,2))</f>
        <v/>
      </c>
      <c r="D191" s="191" t="str">
        <f>IF(OR(posicao_contratual!A189="",NOT(ISNUMBER(posicao_contratual!B189)),NOT(ISNUMBER(posicao_contratual!K189))),"",ROUND(posicao_contratual!B189*posicao_contratual!K189,2))</f>
        <v/>
      </c>
      <c r="E191" s="191" t="str">
        <f>IF(OR(posicao_contratual!A189="",NOT(ISNUMBER(posicao_contratual!B189)),NOT(ISNUMBER(posicao_contratual!O189))),"",ROUND(posicao_contratual!B189*posicao_contratual!O189,2))</f>
        <v/>
      </c>
      <c r="F191" s="191" t="str">
        <f>IF(OR(posicao_contratual!A189="",NOT(ISNUMBER(posicao_contratual!B189)),NOT(ISNUMBER(posicao_contratual!S189))),"",ROUND(posicao_contratual!B189*posicao_contratual!S189,2))</f>
        <v/>
      </c>
      <c r="G191" s="191" t="str">
        <f>IF(OR(posicao_contratual!A189="",NOT(ISNUMBER(posicao_contratual!B189)),NOT(ISNUMBER(posicao_contratual!W189))),"",ROUND(posicao_contratual!B189*posicao_contratual!W189,2))</f>
        <v/>
      </c>
    </row>
    <row r="192" spans="1:7" x14ac:dyDescent="0.35">
      <c r="A192" t="str">
        <f>IF(posicao_contratual!A190="","",posicao_contratual!A190)</f>
        <v/>
      </c>
      <c r="B192" s="191" t="str">
        <f>IF(posicao_contratual!A190="","",posicao_contratual!B190)</f>
        <v/>
      </c>
      <c r="C192" s="191" t="str">
        <f>IF(OR(posicao_contratual!A190="",NOT(ISNUMBER(posicao_contratual!B190)),NOT(ISNUMBER(posicao_contratual!G190))),"",ROUND(posicao_contratual!B190*posicao_contratual!G190,2))</f>
        <v/>
      </c>
      <c r="D192" s="191" t="str">
        <f>IF(OR(posicao_contratual!A190="",NOT(ISNUMBER(posicao_contratual!B190)),NOT(ISNUMBER(posicao_contratual!K190))),"",ROUND(posicao_contratual!B190*posicao_contratual!K190,2))</f>
        <v/>
      </c>
      <c r="E192" s="191" t="str">
        <f>IF(OR(posicao_contratual!A190="",NOT(ISNUMBER(posicao_contratual!B190)),NOT(ISNUMBER(posicao_contratual!O190))),"",ROUND(posicao_contratual!B190*posicao_contratual!O190,2))</f>
        <v/>
      </c>
      <c r="F192" s="191" t="str">
        <f>IF(OR(posicao_contratual!A190="",NOT(ISNUMBER(posicao_contratual!B190)),NOT(ISNUMBER(posicao_contratual!S190))),"",ROUND(posicao_contratual!B190*posicao_contratual!S190,2))</f>
        <v/>
      </c>
      <c r="G192" s="191" t="str">
        <f>IF(OR(posicao_contratual!A190="",NOT(ISNUMBER(posicao_contratual!B190)),NOT(ISNUMBER(posicao_contratual!W190))),"",ROUND(posicao_contratual!B190*posicao_contratual!W190,2))</f>
        <v/>
      </c>
    </row>
    <row r="193" spans="1:7" x14ac:dyDescent="0.35">
      <c r="A193" t="str">
        <f>IF(posicao_contratual!A191="","",posicao_contratual!A191)</f>
        <v/>
      </c>
      <c r="B193" s="191" t="str">
        <f>IF(posicao_contratual!A191="","",posicao_contratual!B191)</f>
        <v/>
      </c>
      <c r="C193" s="191" t="str">
        <f>IF(OR(posicao_contratual!A191="",NOT(ISNUMBER(posicao_contratual!B191)),NOT(ISNUMBER(posicao_contratual!G191))),"",ROUND(posicao_contratual!B191*posicao_contratual!G191,2))</f>
        <v/>
      </c>
      <c r="D193" s="191" t="str">
        <f>IF(OR(posicao_contratual!A191="",NOT(ISNUMBER(posicao_contratual!B191)),NOT(ISNUMBER(posicao_contratual!K191))),"",ROUND(posicao_contratual!B191*posicao_contratual!K191,2))</f>
        <v/>
      </c>
      <c r="E193" s="191" t="str">
        <f>IF(OR(posicao_contratual!A191="",NOT(ISNUMBER(posicao_contratual!B191)),NOT(ISNUMBER(posicao_contratual!O191))),"",ROUND(posicao_contratual!B191*posicao_contratual!O191,2))</f>
        <v/>
      </c>
      <c r="F193" s="191" t="str">
        <f>IF(OR(posicao_contratual!A191="",NOT(ISNUMBER(posicao_contratual!B191)),NOT(ISNUMBER(posicao_contratual!S191))),"",ROUND(posicao_contratual!B191*posicao_contratual!S191,2))</f>
        <v/>
      </c>
      <c r="G193" s="191" t="str">
        <f>IF(OR(posicao_contratual!A191="",NOT(ISNUMBER(posicao_contratual!B191)),NOT(ISNUMBER(posicao_contratual!W191))),"",ROUND(posicao_contratual!B191*posicao_contratual!W191,2))</f>
        <v/>
      </c>
    </row>
    <row r="194" spans="1:7" x14ac:dyDescent="0.35">
      <c r="A194" t="str">
        <f>IF(posicao_contratual!A192="","",posicao_contratual!A192)</f>
        <v/>
      </c>
      <c r="B194" s="191" t="str">
        <f>IF(posicao_contratual!A192="","",posicao_contratual!B192)</f>
        <v/>
      </c>
      <c r="C194" s="191" t="str">
        <f>IF(OR(posicao_contratual!A192="",NOT(ISNUMBER(posicao_contratual!B192)),NOT(ISNUMBER(posicao_contratual!G192))),"",ROUND(posicao_contratual!B192*posicao_contratual!G192,2))</f>
        <v/>
      </c>
      <c r="D194" s="191" t="str">
        <f>IF(OR(posicao_contratual!A192="",NOT(ISNUMBER(posicao_contratual!B192)),NOT(ISNUMBER(posicao_contratual!K192))),"",ROUND(posicao_contratual!B192*posicao_contratual!K192,2))</f>
        <v/>
      </c>
      <c r="E194" s="191" t="str">
        <f>IF(OR(posicao_contratual!A192="",NOT(ISNUMBER(posicao_contratual!B192)),NOT(ISNUMBER(posicao_contratual!O192))),"",ROUND(posicao_contratual!B192*posicao_contratual!O192,2))</f>
        <v/>
      </c>
      <c r="F194" s="191" t="str">
        <f>IF(OR(posicao_contratual!A192="",NOT(ISNUMBER(posicao_contratual!B192)),NOT(ISNUMBER(posicao_contratual!S192))),"",ROUND(posicao_contratual!B192*posicao_contratual!S192,2))</f>
        <v/>
      </c>
      <c r="G194" s="191" t="str">
        <f>IF(OR(posicao_contratual!A192="",NOT(ISNUMBER(posicao_contratual!B192)),NOT(ISNUMBER(posicao_contratual!W192))),"",ROUND(posicao_contratual!B192*posicao_contratual!W192,2))</f>
        <v/>
      </c>
    </row>
    <row r="195" spans="1:7" x14ac:dyDescent="0.35">
      <c r="A195" t="str">
        <f>IF(posicao_contratual!A193="","",posicao_contratual!A193)</f>
        <v/>
      </c>
      <c r="B195" s="191" t="str">
        <f>IF(posicao_contratual!A193="","",posicao_contratual!B193)</f>
        <v/>
      </c>
      <c r="C195" s="191" t="str">
        <f>IF(OR(posicao_contratual!A193="",NOT(ISNUMBER(posicao_contratual!B193)),NOT(ISNUMBER(posicao_contratual!G193))),"",ROUND(posicao_contratual!B193*posicao_contratual!G193,2))</f>
        <v/>
      </c>
      <c r="D195" s="191" t="str">
        <f>IF(OR(posicao_contratual!A193="",NOT(ISNUMBER(posicao_contratual!B193)),NOT(ISNUMBER(posicao_contratual!K193))),"",ROUND(posicao_contratual!B193*posicao_contratual!K193,2))</f>
        <v/>
      </c>
      <c r="E195" s="191" t="str">
        <f>IF(OR(posicao_contratual!A193="",NOT(ISNUMBER(posicao_contratual!B193)),NOT(ISNUMBER(posicao_contratual!O193))),"",ROUND(posicao_contratual!B193*posicao_contratual!O193,2))</f>
        <v/>
      </c>
      <c r="F195" s="191" t="str">
        <f>IF(OR(posicao_contratual!A193="",NOT(ISNUMBER(posicao_contratual!B193)),NOT(ISNUMBER(posicao_contratual!S193))),"",ROUND(posicao_contratual!B193*posicao_contratual!S193,2))</f>
        <v/>
      </c>
      <c r="G195" s="191" t="str">
        <f>IF(OR(posicao_contratual!A193="",NOT(ISNUMBER(posicao_contratual!B193)),NOT(ISNUMBER(posicao_contratual!W193))),"",ROUND(posicao_contratual!B193*posicao_contratual!W193,2))</f>
        <v/>
      </c>
    </row>
    <row r="196" spans="1:7" x14ac:dyDescent="0.35">
      <c r="A196" t="str">
        <f>IF(posicao_contratual!A194="","",posicao_contratual!A194)</f>
        <v/>
      </c>
      <c r="B196" s="191" t="str">
        <f>IF(posicao_contratual!A194="","",posicao_contratual!B194)</f>
        <v/>
      </c>
      <c r="C196" s="191" t="str">
        <f>IF(OR(posicao_contratual!A194="",NOT(ISNUMBER(posicao_contratual!B194)),NOT(ISNUMBER(posicao_contratual!G194))),"",ROUND(posicao_contratual!B194*posicao_contratual!G194,2))</f>
        <v/>
      </c>
      <c r="D196" s="191" t="str">
        <f>IF(OR(posicao_contratual!A194="",NOT(ISNUMBER(posicao_contratual!B194)),NOT(ISNUMBER(posicao_contratual!K194))),"",ROUND(posicao_contratual!B194*posicao_contratual!K194,2))</f>
        <v/>
      </c>
      <c r="E196" s="191" t="str">
        <f>IF(OR(posicao_contratual!A194="",NOT(ISNUMBER(posicao_contratual!B194)),NOT(ISNUMBER(posicao_contratual!O194))),"",ROUND(posicao_contratual!B194*posicao_contratual!O194,2))</f>
        <v/>
      </c>
      <c r="F196" s="191" t="str">
        <f>IF(OR(posicao_contratual!A194="",NOT(ISNUMBER(posicao_contratual!B194)),NOT(ISNUMBER(posicao_contratual!S194))),"",ROUND(posicao_contratual!B194*posicao_contratual!S194,2))</f>
        <v/>
      </c>
      <c r="G196" s="191" t="str">
        <f>IF(OR(posicao_contratual!A194="",NOT(ISNUMBER(posicao_contratual!B194)),NOT(ISNUMBER(posicao_contratual!W194))),"",ROUND(posicao_contratual!B194*posicao_contratual!W194,2))</f>
        <v/>
      </c>
    </row>
    <row r="197" spans="1:7" x14ac:dyDescent="0.35">
      <c r="A197" t="str">
        <f>IF(posicao_contratual!A195="","",posicao_contratual!A195)</f>
        <v/>
      </c>
      <c r="B197" s="191" t="str">
        <f>IF(posicao_contratual!A195="","",posicao_contratual!B195)</f>
        <v/>
      </c>
      <c r="C197" s="191" t="str">
        <f>IF(OR(posicao_contratual!A195="",NOT(ISNUMBER(posicao_contratual!B195)),NOT(ISNUMBER(posicao_contratual!G195))),"",ROUND(posicao_contratual!B195*posicao_contratual!G195,2))</f>
        <v/>
      </c>
      <c r="D197" s="191" t="str">
        <f>IF(OR(posicao_contratual!A195="",NOT(ISNUMBER(posicao_contratual!B195)),NOT(ISNUMBER(posicao_contratual!K195))),"",ROUND(posicao_contratual!B195*posicao_contratual!K195,2))</f>
        <v/>
      </c>
      <c r="E197" s="191" t="str">
        <f>IF(OR(posicao_contratual!A195="",NOT(ISNUMBER(posicao_contratual!B195)),NOT(ISNUMBER(posicao_contratual!O195))),"",ROUND(posicao_contratual!B195*posicao_contratual!O195,2))</f>
        <v/>
      </c>
      <c r="F197" s="191" t="str">
        <f>IF(OR(posicao_contratual!A195="",NOT(ISNUMBER(posicao_contratual!B195)),NOT(ISNUMBER(posicao_contratual!S195))),"",ROUND(posicao_contratual!B195*posicao_contratual!S195,2))</f>
        <v/>
      </c>
      <c r="G197" s="191" t="str">
        <f>IF(OR(posicao_contratual!A195="",NOT(ISNUMBER(posicao_contratual!B195)),NOT(ISNUMBER(posicao_contratual!W195))),"",ROUND(posicao_contratual!B195*posicao_contratual!W195,2))</f>
        <v/>
      </c>
    </row>
    <row r="198" spans="1:7" x14ac:dyDescent="0.35">
      <c r="A198" t="str">
        <f>IF(posicao_contratual!A196="","",posicao_contratual!A196)</f>
        <v/>
      </c>
      <c r="B198" s="191" t="str">
        <f>IF(posicao_contratual!A196="","",posicao_contratual!B196)</f>
        <v/>
      </c>
      <c r="C198" s="191" t="str">
        <f>IF(OR(posicao_contratual!A196="",NOT(ISNUMBER(posicao_contratual!B196)),NOT(ISNUMBER(posicao_contratual!G196))),"",ROUND(posicao_contratual!B196*posicao_contratual!G196,2))</f>
        <v/>
      </c>
      <c r="D198" s="191" t="str">
        <f>IF(OR(posicao_contratual!A196="",NOT(ISNUMBER(posicao_contratual!B196)),NOT(ISNUMBER(posicao_contratual!K196))),"",ROUND(posicao_contratual!B196*posicao_contratual!K196,2))</f>
        <v/>
      </c>
      <c r="E198" s="191" t="str">
        <f>IF(OR(posicao_contratual!A196="",NOT(ISNUMBER(posicao_contratual!B196)),NOT(ISNUMBER(posicao_contratual!O196))),"",ROUND(posicao_contratual!B196*posicao_contratual!O196,2))</f>
        <v/>
      </c>
      <c r="F198" s="191" t="str">
        <f>IF(OR(posicao_contratual!A196="",NOT(ISNUMBER(posicao_contratual!B196)),NOT(ISNUMBER(posicao_contratual!S196))),"",ROUND(posicao_contratual!B196*posicao_contratual!S196,2))</f>
        <v/>
      </c>
      <c r="G198" s="191" t="str">
        <f>IF(OR(posicao_contratual!A196="",NOT(ISNUMBER(posicao_contratual!B196)),NOT(ISNUMBER(posicao_contratual!W196))),"",ROUND(posicao_contratual!B196*posicao_contratual!W196,2))</f>
        <v/>
      </c>
    </row>
    <row r="199" spans="1:7" x14ac:dyDescent="0.35">
      <c r="A199" t="str">
        <f>IF(posicao_contratual!A197="","",posicao_contratual!A197)</f>
        <v/>
      </c>
      <c r="B199" s="191" t="str">
        <f>IF(posicao_contratual!A197="","",posicao_contratual!B197)</f>
        <v/>
      </c>
      <c r="C199" s="191" t="str">
        <f>IF(OR(posicao_contratual!A197="",NOT(ISNUMBER(posicao_contratual!B197)),NOT(ISNUMBER(posicao_contratual!G197))),"",ROUND(posicao_contratual!B197*posicao_contratual!G197,2))</f>
        <v/>
      </c>
      <c r="D199" s="191" t="str">
        <f>IF(OR(posicao_contratual!A197="",NOT(ISNUMBER(posicao_contratual!B197)),NOT(ISNUMBER(posicao_contratual!K197))),"",ROUND(posicao_contratual!B197*posicao_contratual!K197,2))</f>
        <v/>
      </c>
      <c r="E199" s="191" t="str">
        <f>IF(OR(posicao_contratual!A197="",NOT(ISNUMBER(posicao_contratual!B197)),NOT(ISNUMBER(posicao_contratual!O197))),"",ROUND(posicao_contratual!B197*posicao_contratual!O197,2))</f>
        <v/>
      </c>
      <c r="F199" s="191" t="str">
        <f>IF(OR(posicao_contratual!A197="",NOT(ISNUMBER(posicao_contratual!B197)),NOT(ISNUMBER(posicao_contratual!S197))),"",ROUND(posicao_contratual!B197*posicao_contratual!S197,2))</f>
        <v/>
      </c>
      <c r="G199" s="191" t="str">
        <f>IF(OR(posicao_contratual!A197="",NOT(ISNUMBER(posicao_contratual!B197)),NOT(ISNUMBER(posicao_contratual!W197))),"",ROUND(posicao_contratual!B197*posicao_contratual!W197,2))</f>
        <v/>
      </c>
    </row>
    <row r="200" spans="1:7" x14ac:dyDescent="0.35">
      <c r="A200" t="str">
        <f>IF(posicao_contratual!A198="","",posicao_contratual!A198)</f>
        <v/>
      </c>
      <c r="B200" s="191" t="str">
        <f>IF(posicao_contratual!A198="","",posicao_contratual!B198)</f>
        <v/>
      </c>
      <c r="C200" s="191" t="str">
        <f>IF(OR(posicao_contratual!A198="",NOT(ISNUMBER(posicao_contratual!B198)),NOT(ISNUMBER(posicao_contratual!G198))),"",ROUND(posicao_contratual!B198*posicao_contratual!G198,2))</f>
        <v/>
      </c>
      <c r="D200" s="191" t="str">
        <f>IF(OR(posicao_contratual!A198="",NOT(ISNUMBER(posicao_contratual!B198)),NOT(ISNUMBER(posicao_contratual!K198))),"",ROUND(posicao_contratual!B198*posicao_contratual!K198,2))</f>
        <v/>
      </c>
      <c r="E200" s="191" t="str">
        <f>IF(OR(posicao_contratual!A198="",NOT(ISNUMBER(posicao_contratual!B198)),NOT(ISNUMBER(posicao_contratual!O198))),"",ROUND(posicao_contratual!B198*posicao_contratual!O198,2))</f>
        <v/>
      </c>
      <c r="F200" s="191" t="str">
        <f>IF(OR(posicao_contratual!A198="",NOT(ISNUMBER(posicao_contratual!B198)),NOT(ISNUMBER(posicao_contratual!S198))),"",ROUND(posicao_contratual!B198*posicao_contratual!S198,2))</f>
        <v/>
      </c>
      <c r="G200" s="191" t="str">
        <f>IF(OR(posicao_contratual!A198="",NOT(ISNUMBER(posicao_contratual!B198)),NOT(ISNUMBER(posicao_contratual!W198))),"",ROUND(posicao_contratual!B198*posicao_contratual!W198,2))</f>
        <v/>
      </c>
    </row>
    <row r="201" spans="1:7" x14ac:dyDescent="0.35">
      <c r="A201" t="str">
        <f>IF(posicao_contratual!A199="","",posicao_contratual!A199)</f>
        <v/>
      </c>
      <c r="B201" s="191" t="str">
        <f>IF(posicao_contratual!A199="","",posicao_contratual!B199)</f>
        <v/>
      </c>
      <c r="C201" s="191" t="str">
        <f>IF(OR(posicao_contratual!A199="",NOT(ISNUMBER(posicao_contratual!B199)),NOT(ISNUMBER(posicao_contratual!G199))),"",ROUND(posicao_contratual!B199*posicao_contratual!G199,2))</f>
        <v/>
      </c>
      <c r="D201" s="191" t="str">
        <f>IF(OR(posicao_contratual!A199="",NOT(ISNUMBER(posicao_contratual!B199)),NOT(ISNUMBER(posicao_contratual!K199))),"",ROUND(posicao_contratual!B199*posicao_contratual!K199,2))</f>
        <v/>
      </c>
      <c r="E201" s="191" t="str">
        <f>IF(OR(posicao_contratual!A199="",NOT(ISNUMBER(posicao_contratual!B199)),NOT(ISNUMBER(posicao_contratual!O199))),"",ROUND(posicao_contratual!B199*posicao_contratual!O199,2))</f>
        <v/>
      </c>
      <c r="F201" s="191" t="str">
        <f>IF(OR(posicao_contratual!A199="",NOT(ISNUMBER(posicao_contratual!B199)),NOT(ISNUMBER(posicao_contratual!S199))),"",ROUND(posicao_contratual!B199*posicao_contratual!S199,2))</f>
        <v/>
      </c>
      <c r="G201" s="191" t="str">
        <f>IF(OR(posicao_contratual!A199="",NOT(ISNUMBER(posicao_contratual!B199)),NOT(ISNUMBER(posicao_contratual!W199))),"",ROUND(posicao_contratual!B199*posicao_contratual!W199,2))</f>
        <v/>
      </c>
    </row>
    <row r="202" spans="1:7" x14ac:dyDescent="0.35">
      <c r="A202" t="str">
        <f>IF(posicao_contratual!A200="","",posicao_contratual!A200)</f>
        <v/>
      </c>
      <c r="B202" s="191" t="str">
        <f>IF(posicao_contratual!A200="","",posicao_contratual!B200)</f>
        <v/>
      </c>
      <c r="C202" s="191" t="str">
        <f>IF(OR(posicao_contratual!A200="",NOT(ISNUMBER(posicao_contratual!B200)),NOT(ISNUMBER(posicao_contratual!G200))),"",ROUND(posicao_contratual!B200*posicao_contratual!G200,2))</f>
        <v/>
      </c>
      <c r="D202" s="191" t="str">
        <f>IF(OR(posicao_contratual!A200="",NOT(ISNUMBER(posicao_contratual!B200)),NOT(ISNUMBER(posicao_contratual!K200))),"",ROUND(posicao_contratual!B200*posicao_contratual!K200,2))</f>
        <v/>
      </c>
      <c r="E202" s="191" t="str">
        <f>IF(OR(posicao_contratual!A200="",NOT(ISNUMBER(posicao_contratual!B200)),NOT(ISNUMBER(posicao_contratual!O200))),"",ROUND(posicao_contratual!B200*posicao_contratual!O200,2))</f>
        <v/>
      </c>
      <c r="F202" s="191" t="str">
        <f>IF(OR(posicao_contratual!A200="",NOT(ISNUMBER(posicao_contratual!B200)),NOT(ISNUMBER(posicao_contratual!S200))),"",ROUND(posicao_contratual!B200*posicao_contratual!S200,2))</f>
        <v/>
      </c>
      <c r="G202" s="191" t="str">
        <f>IF(OR(posicao_contratual!A200="",NOT(ISNUMBER(posicao_contratual!B200)),NOT(ISNUMBER(posicao_contratual!W200))),"",ROUND(posicao_contratual!B200*posicao_contratual!W200,2))</f>
        <v/>
      </c>
    </row>
    <row r="203" spans="1:7" x14ac:dyDescent="0.35">
      <c r="A203" t="str">
        <f>IF(posicao_contratual!A201="","",posicao_contratual!A201)</f>
        <v/>
      </c>
      <c r="B203" s="191" t="str">
        <f>IF(posicao_contratual!A201="","",posicao_contratual!B201)</f>
        <v/>
      </c>
      <c r="C203" s="191" t="str">
        <f>IF(OR(posicao_contratual!A201="",NOT(ISNUMBER(posicao_contratual!B201)),NOT(ISNUMBER(posicao_contratual!G201))),"",ROUND(posicao_contratual!B201*posicao_contratual!G201,2))</f>
        <v/>
      </c>
      <c r="D203" s="191" t="str">
        <f>IF(OR(posicao_contratual!A201="",NOT(ISNUMBER(posicao_contratual!B201)),NOT(ISNUMBER(posicao_contratual!K201))),"",ROUND(posicao_contratual!B201*posicao_contratual!K201,2))</f>
        <v/>
      </c>
      <c r="E203" s="191" t="str">
        <f>IF(OR(posicao_contratual!A201="",NOT(ISNUMBER(posicao_contratual!B201)),NOT(ISNUMBER(posicao_contratual!O201))),"",ROUND(posicao_contratual!B201*posicao_contratual!O201,2))</f>
        <v/>
      </c>
      <c r="F203" s="191" t="str">
        <f>IF(OR(posicao_contratual!A201="",NOT(ISNUMBER(posicao_contratual!B201)),NOT(ISNUMBER(posicao_contratual!S201))),"",ROUND(posicao_contratual!B201*posicao_contratual!S201,2))</f>
        <v/>
      </c>
      <c r="G203" s="191" t="str">
        <f>IF(OR(posicao_contratual!A201="",NOT(ISNUMBER(posicao_contratual!B201)),NOT(ISNUMBER(posicao_contratual!W201))),"",ROUND(posicao_contratual!B201*posicao_contratual!W201,2))</f>
        <v/>
      </c>
    </row>
    <row r="204" spans="1:7" x14ac:dyDescent="0.35">
      <c r="A204" t="s">
        <v>30</v>
      </c>
      <c r="B204" s="191"/>
      <c r="C204" s="191">
        <f>ROUND(SUM(C4:C203),2)</f>
        <v>278000</v>
      </c>
      <c r="D204" s="191">
        <f>ROUND(SUM(D4:D203),2)</f>
        <v>278000</v>
      </c>
      <c r="E204" s="191">
        <f>ROUND(SUM(E4:E203),2)</f>
        <v>278000</v>
      </c>
      <c r="F204" s="191">
        <f>ROUND(SUM(F4:F203),2)</f>
        <v>278000</v>
      </c>
      <c r="G204" s="191">
        <f>ROUND(SUM(G4:G203),2)</f>
        <v>278000</v>
      </c>
    </row>
    <row r="206" spans="1:7" x14ac:dyDescent="0.35">
      <c r="A206" t="s">
        <v>31</v>
      </c>
    </row>
    <row r="207" spans="1:7" x14ac:dyDescent="0.35">
      <c r="A207" t="s">
        <v>32</v>
      </c>
      <c r="B207" s="191">
        <f>MEMORIA_RESULTADOS!$B$26</f>
        <v>299670.40000000002</v>
      </c>
    </row>
    <row r="208" spans="1:7" x14ac:dyDescent="0.35">
      <c r="A208" t="s">
        <v>33</v>
      </c>
      <c r="B208" s="191">
        <f>IFERROR(ROUND(SUMPRODUCT(posicao_contratual!$B$2:$B$201,posicao_contratual!$C$2:$C$201)*RESULTADOS!$H$5,2),"")</f>
        <v>292233.59999999998</v>
      </c>
    </row>
    <row r="210" spans="1:1" x14ac:dyDescent="0.35">
      <c r="A210" t="s">
        <v>34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G40"/>
  <sheetViews>
    <sheetView showGridLines="0" tabSelected="1" workbookViewId="0">
      <selection activeCell="C43" sqref="C43"/>
    </sheetView>
  </sheetViews>
  <sheetFormatPr defaultColWidth="30" defaultRowHeight="14.5" x14ac:dyDescent="0.35"/>
  <cols>
    <col min="1" max="1" width="36" style="2" customWidth="1"/>
    <col min="2" max="2" width="22" style="2" customWidth="1"/>
    <col min="3" max="3" width="48" style="2" customWidth="1"/>
    <col min="4" max="4" width="30" style="2" customWidth="1"/>
    <col min="5" max="5" width="28" customWidth="1"/>
    <col min="6" max="15" width="30" style="2" customWidth="1"/>
    <col min="16" max="16384" width="30" style="2"/>
  </cols>
  <sheetData>
    <row r="1" spans="1:7" ht="15.75" customHeight="1" x14ac:dyDescent="0.35">
      <c r="A1" s="1" t="s">
        <v>0</v>
      </c>
      <c r="B1" s="324" t="s">
        <v>1</v>
      </c>
    </row>
    <row r="2" spans="1:7" x14ac:dyDescent="0.35">
      <c r="A2" s="1" t="s">
        <v>2</v>
      </c>
      <c r="B2" s="157" t="s">
        <v>3</v>
      </c>
    </row>
    <row r="3" spans="1:7" x14ac:dyDescent="0.35">
      <c r="A3" s="1" t="s">
        <v>4</v>
      </c>
      <c r="B3" s="329">
        <v>45657</v>
      </c>
      <c r="C3" s="2" t="s">
        <v>5</v>
      </c>
      <c r="E3" s="189"/>
      <c r="G3" s="189"/>
    </row>
    <row r="4" spans="1:7" hidden="1" x14ac:dyDescent="0.35">
      <c r="A4" s="2" t="s">
        <v>6</v>
      </c>
      <c r="B4" s="2" t="s">
        <v>7</v>
      </c>
      <c r="E4" s="189"/>
      <c r="G4" s="189"/>
    </row>
    <row r="5" spans="1:7" ht="5" customHeight="1" x14ac:dyDescent="0.35">
      <c r="A5" s="3"/>
      <c r="E5" s="189"/>
      <c r="G5" s="189"/>
    </row>
    <row r="6" spans="1:7" ht="22" customHeight="1" x14ac:dyDescent="0.35">
      <c r="A6" s="5" t="s">
        <v>8</v>
      </c>
      <c r="B6" s="5" t="s">
        <v>9</v>
      </c>
      <c r="C6" s="4"/>
      <c r="D6" s="4"/>
      <c r="E6" s="190"/>
      <c r="F6" s="4"/>
      <c r="G6" s="190"/>
    </row>
    <row r="7" spans="1:7" ht="18" customHeight="1" x14ac:dyDescent="0.35">
      <c r="A7" s="6" t="s">
        <v>10</v>
      </c>
      <c r="B7" s="7" t="s">
        <v>11</v>
      </c>
      <c r="C7" s="8"/>
      <c r="D7" s="8"/>
      <c r="E7" s="8"/>
      <c r="F7" s="4"/>
      <c r="G7" s="4"/>
    </row>
    <row r="8" spans="1:7" ht="28" customHeight="1" x14ac:dyDescent="0.35">
      <c r="A8" s="6" t="s">
        <v>12</v>
      </c>
      <c r="B8" s="33">
        <v>44927</v>
      </c>
      <c r="C8" s="9"/>
      <c r="D8" s="9"/>
      <c r="E8" s="9"/>
      <c r="F8" s="4"/>
      <c r="G8" s="4"/>
    </row>
    <row r="9" spans="1:7" ht="28" customHeight="1" x14ac:dyDescent="0.35">
      <c r="A9" s="6" t="s">
        <v>13</v>
      </c>
      <c r="B9" s="10">
        <f>COUNTIF(parametros!A2:A6,"Sim")</f>
        <v>1</v>
      </c>
      <c r="C9" s="9"/>
      <c r="D9" s="9"/>
      <c r="E9" s="9"/>
      <c r="F9" s="4"/>
      <c r="G9" s="4"/>
    </row>
    <row r="10" spans="1:7" ht="28" customHeight="1" x14ac:dyDescent="0.35">
      <c r="A10" s="6" t="s">
        <v>14</v>
      </c>
      <c r="B10" s="200">
        <f>IF(ISNUMBER(B11),B11-1,"")</f>
        <v>5.1199999999999912E-2</v>
      </c>
      <c r="C10" s="9"/>
      <c r="D10" s="9"/>
      <c r="E10" s="9"/>
      <c r="F10" s="4"/>
      <c r="G10" s="4"/>
    </row>
    <row r="11" spans="1:7" ht="28" customHeight="1" x14ac:dyDescent="0.35">
      <c r="A11" s="6" t="s">
        <v>15</v>
      </c>
      <c r="B11" s="201">
        <f>IFERROR(IF(UPPER($B$2)="C0",1,IF(UPPER($B$2)="C1",IF(COUNT(parametros!$E$3:$E$3)=1,parametros!$F$3,""),IF(UPPER($B$2)="C2",IF(COUNT(parametros!$E$3:$E$4)=2,parametros!$F$4,""),IF(UPPER($B$2)="C3",IF(COUNT(parametros!$E$3:$E$5)=3,parametros!$F$5,""),IF(UPPER($B$2)="C4",IF(COUNT(parametros!$E$3:$E$6)=4,parametros!$F$6,""),""))))),"")</f>
        <v>1.0511999999999999</v>
      </c>
      <c r="C11" s="9"/>
      <c r="D11" s="9"/>
      <c r="E11" s="9"/>
      <c r="F11" s="4"/>
      <c r="G11" s="4"/>
    </row>
    <row r="12" spans="1:7" ht="28" customHeight="1" x14ac:dyDescent="0.35">
      <c r="A12" s="6" t="s">
        <v>16</v>
      </c>
      <c r="B12" s="7" t="str">
        <f>IFERROR(IF(parametros!A6="Sim",parametros!B6,IF(parametros!A5="Sim",parametros!B5,IF(parametros!A4="Sim",parametros!B4,IF(parametros!A3="Sim",parametros!B3,IF(parametros!A2="Sim",parametros!B2,"Nenhum"))))),"Nenhum")</f>
        <v>C1</v>
      </c>
      <c r="C12" s="9"/>
      <c r="D12" s="9"/>
      <c r="E12" s="9"/>
      <c r="F12" s="4"/>
      <c r="G12" s="4"/>
    </row>
    <row r="13" spans="1:7" ht="20.149999999999999" customHeight="1" x14ac:dyDescent="0.35">
      <c r="A13" s="6" t="s">
        <v>17</v>
      </c>
      <c r="B13" s="33">
        <f>IFERROR(IF(parametros!A6="Sim",parametros!C6,IF(parametros!A5="Sim",parametros!C5,IF(parametros!A4="Sim",parametros!C4,IF(parametros!A3="Sim",parametros!C3,IF(parametros!A2="Sim",parametros!C2,""))))),"")</f>
        <v>45292</v>
      </c>
      <c r="C13" s="4"/>
      <c r="D13" s="4"/>
      <c r="E13" s="4"/>
      <c r="F13" s="4"/>
      <c r="G13" s="4"/>
    </row>
    <row r="14" spans="1:7" ht="5" hidden="1" customHeight="1" x14ac:dyDescent="0.35">
      <c r="A14" s="6" t="s">
        <v>18</v>
      </c>
      <c r="B14" s="33">
        <f ca="1">NOW()</f>
        <v>46295.818186689816</v>
      </c>
      <c r="C14" s="4"/>
      <c r="D14" s="4"/>
      <c r="E14" s="4"/>
      <c r="F14" s="4"/>
      <c r="G14" s="4"/>
    </row>
    <row r="15" spans="1:7" ht="22" hidden="1" customHeight="1" x14ac:dyDescent="0.35">
      <c r="A15" s="8"/>
      <c r="B15" s="4"/>
      <c r="C15" s="4"/>
      <c r="D15" s="4"/>
      <c r="E15" s="4"/>
      <c r="F15" s="4"/>
      <c r="G15" s="4"/>
    </row>
    <row r="16" spans="1:7" ht="40" hidden="1" customHeight="1" x14ac:dyDescent="0.35">
      <c r="A16" s="9"/>
      <c r="B16" s="4"/>
      <c r="C16" s="4"/>
      <c r="D16" s="4"/>
      <c r="E16" s="4"/>
      <c r="F16" s="4"/>
      <c r="G16" s="4"/>
    </row>
    <row r="17" spans="1:7" hidden="1" x14ac:dyDescent="0.35">
      <c r="A17" s="4"/>
      <c r="B17" s="4"/>
      <c r="C17" s="4"/>
      <c r="D17" s="4"/>
      <c r="E17" s="4"/>
      <c r="F17" s="4"/>
      <c r="G17" s="4"/>
    </row>
    <row r="18" spans="1:7" ht="40" hidden="1" customHeight="1" x14ac:dyDescent="0.35">
      <c r="A18" s="11"/>
      <c r="B18" s="4"/>
      <c r="C18" s="4"/>
      <c r="D18" s="4"/>
      <c r="E18" s="4"/>
      <c r="F18" s="4"/>
      <c r="G18" s="4"/>
    </row>
    <row r="19" spans="1:7" x14ac:dyDescent="0.35">
      <c r="A19" s="4"/>
      <c r="B19" s="4"/>
      <c r="C19" s="4"/>
      <c r="D19" s="4"/>
      <c r="E19" s="4"/>
      <c r="F19" s="4"/>
      <c r="G19" s="4"/>
    </row>
    <row r="20" spans="1:7" x14ac:dyDescent="0.35">
      <c r="A20" s="4"/>
      <c r="B20" s="4"/>
      <c r="C20" s="4"/>
      <c r="D20" s="4"/>
      <c r="E20" s="4"/>
      <c r="F20" s="4"/>
      <c r="G20" s="4"/>
    </row>
    <row r="21" spans="1:7" x14ac:dyDescent="0.35">
      <c r="A21" s="4"/>
      <c r="B21" s="4"/>
      <c r="C21" s="4"/>
      <c r="D21" s="4"/>
      <c r="E21" s="4"/>
      <c r="F21" s="4"/>
      <c r="G21" s="4"/>
    </row>
    <row r="22" spans="1:7" x14ac:dyDescent="0.35">
      <c r="A22" s="4"/>
      <c r="B22" s="4"/>
      <c r="C22" s="4"/>
      <c r="D22" s="4"/>
      <c r="E22" s="4"/>
      <c r="F22" s="4"/>
      <c r="G22" s="4"/>
    </row>
    <row r="23" spans="1:7" x14ac:dyDescent="0.35">
      <c r="A23" s="4"/>
      <c r="B23" s="4"/>
      <c r="C23" s="4"/>
      <c r="D23" s="4"/>
      <c r="E23" s="4"/>
      <c r="F23" s="4"/>
      <c r="G23" s="4"/>
    </row>
    <row r="24" spans="1:7" x14ac:dyDescent="0.35">
      <c r="A24" s="387" t="s">
        <v>19</v>
      </c>
      <c r="B24" s="388" t="s">
        <v>20</v>
      </c>
      <c r="C24" s="4"/>
      <c r="D24" s="4"/>
      <c r="E24" s="4"/>
      <c r="F24" s="4"/>
      <c r="G24" s="4"/>
    </row>
    <row r="25" spans="1:7" x14ac:dyDescent="0.35">
      <c r="A25" s="387" t="s">
        <v>21</v>
      </c>
      <c r="B25" s="388" t="s">
        <v>20</v>
      </c>
      <c r="C25" s="4"/>
      <c r="D25" s="4"/>
      <c r="E25" s="4"/>
      <c r="F25" s="4"/>
      <c r="G25" s="4"/>
    </row>
    <row r="26" spans="1:7" x14ac:dyDescent="0.35">
      <c r="A26" s="4"/>
      <c r="B26" s="4"/>
      <c r="C26" s="4"/>
      <c r="D26" s="4"/>
      <c r="E26" s="4"/>
      <c r="F26" s="4"/>
      <c r="G26" s="4"/>
    </row>
    <row r="27" spans="1:7" x14ac:dyDescent="0.35">
      <c r="A27" s="4"/>
      <c r="B27" s="4"/>
      <c r="C27" s="4"/>
      <c r="D27" s="4"/>
      <c r="E27" s="4"/>
      <c r="F27" s="4"/>
      <c r="G27" s="4"/>
    </row>
    <row r="28" spans="1:7" x14ac:dyDescent="0.35">
      <c r="A28" s="4"/>
      <c r="B28" s="4"/>
      <c r="C28" s="4"/>
      <c r="D28" s="4"/>
      <c r="E28" s="4"/>
      <c r="F28" s="4"/>
      <c r="G28" s="4"/>
    </row>
    <row r="29" spans="1:7" x14ac:dyDescent="0.35">
      <c r="A29" s="4"/>
      <c r="B29" s="4"/>
      <c r="C29" s="4"/>
      <c r="D29" s="4"/>
      <c r="E29" s="4"/>
      <c r="F29" s="4"/>
      <c r="G29" s="4"/>
    </row>
    <row r="30" spans="1:7" x14ac:dyDescent="0.35">
      <c r="A30" s="4"/>
      <c r="B30" s="4"/>
      <c r="C30" s="4"/>
      <c r="D30" s="4"/>
      <c r="E30" s="4"/>
      <c r="F30" s="4"/>
      <c r="G30" s="4"/>
    </row>
    <row r="31" spans="1:7" x14ac:dyDescent="0.35">
      <c r="A31" s="4"/>
      <c r="B31" s="4"/>
      <c r="C31" s="4"/>
      <c r="D31" s="4"/>
      <c r="E31" s="4"/>
      <c r="F31" s="4"/>
      <c r="G31" s="4"/>
    </row>
    <row r="32" spans="1:7" x14ac:dyDescent="0.35">
      <c r="A32" s="4"/>
      <c r="B32" s="4"/>
      <c r="C32" s="4"/>
      <c r="D32" s="4"/>
      <c r="E32" s="4"/>
      <c r="F32" s="4"/>
      <c r="G32" s="4"/>
    </row>
    <row r="33" spans="1:7" x14ac:dyDescent="0.35">
      <c r="A33" s="4"/>
      <c r="B33" s="4"/>
      <c r="C33" s="4"/>
      <c r="D33" s="4"/>
      <c r="E33" s="4"/>
      <c r="F33" s="4"/>
      <c r="G33" s="4"/>
    </row>
    <row r="34" spans="1:7" x14ac:dyDescent="0.35">
      <c r="A34" s="4"/>
      <c r="B34" s="4"/>
      <c r="C34" s="4"/>
      <c r="D34" s="4"/>
      <c r="E34" s="4"/>
      <c r="F34" s="4"/>
      <c r="G34" s="4"/>
    </row>
    <row r="35" spans="1:7" x14ac:dyDescent="0.35">
      <c r="A35" s="4"/>
      <c r="B35" s="4"/>
      <c r="C35" s="4"/>
      <c r="D35" s="4"/>
      <c r="E35" s="4"/>
      <c r="F35" s="4"/>
      <c r="G35" s="4"/>
    </row>
    <row r="36" spans="1:7" x14ac:dyDescent="0.35">
      <c r="A36" s="4"/>
      <c r="B36" s="4"/>
      <c r="C36" s="4"/>
      <c r="D36" s="4"/>
      <c r="E36" s="4"/>
      <c r="F36" s="4"/>
      <c r="G36" s="4"/>
    </row>
    <row r="37" spans="1:7" x14ac:dyDescent="0.35">
      <c r="A37" s="4"/>
      <c r="B37" s="4"/>
      <c r="C37" s="4"/>
      <c r="D37" s="4"/>
      <c r="E37" s="4"/>
      <c r="F37" s="4"/>
      <c r="G37" s="4"/>
    </row>
    <row r="38" spans="1:7" x14ac:dyDescent="0.35">
      <c r="A38" s="4"/>
      <c r="B38" s="4"/>
      <c r="C38" s="4"/>
      <c r="D38" s="4"/>
      <c r="E38" s="4"/>
      <c r="F38" s="4"/>
      <c r="G38" s="4"/>
    </row>
    <row r="39" spans="1:7" x14ac:dyDescent="0.35">
      <c r="A39" s="4"/>
      <c r="B39" s="4"/>
      <c r="C39" s="4"/>
      <c r="D39" s="4"/>
      <c r="E39" s="4"/>
      <c r="F39" s="4"/>
      <c r="G39" s="4"/>
    </row>
    <row r="40" spans="1:7" x14ac:dyDescent="0.35">
      <c r="A40" s="4"/>
      <c r="B40" s="4"/>
      <c r="C40" s="4"/>
      <c r="D40" s="4"/>
      <c r="E40" s="4"/>
      <c r="F40" s="4"/>
      <c r="G40" s="4"/>
    </row>
  </sheetData>
  <sheetProtection sheet="1" objects="1" scenarios="1"/>
  <dataValidations count="3">
    <dataValidation type="list" sqref="B2" xr:uid="{00000000-0002-0000-0100-000000000000}">
      <formula1>"C0,C1,C2,C3,C4"</formula1>
      <formula2>0</formula2>
    </dataValidation>
    <dataValidation type="date" allowBlank="1" showInputMessage="1" showErrorMessage="1" error="Informe uma data valida no formato dd/mm/aaaa." promptTitle="DATA DE CORTE DA APURACAO" prompt="Ultima data considerada nos calculos, PCs, competencias e resultados da apuracao." sqref="B3" xr:uid="{00000000-0002-0000-0100-000001000000}">
      <formula1>32874</formula1>
      <formula2>109574</formula2>
    </dataValidation>
    <dataValidation type="list" allowBlank="1" showInputMessage="1" showErrorMessage="1" sqref="B1" xr:uid="{00000000-0002-0000-0100-000002000000}">
      <formula1>"SELECIONE AQUI,Financeiro (Mensalidade),PC (Pedidos de Compra),Itens Consumidos"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U80"/>
  <sheetViews>
    <sheetView showGridLines="0" workbookViewId="0">
      <pane ySplit="1" topLeftCell="A2" activePane="bottomLeft" state="frozen"/>
      <selection pane="bottomLeft" activeCell="I1" sqref="I1:I6"/>
    </sheetView>
  </sheetViews>
  <sheetFormatPr defaultColWidth="8.54296875" defaultRowHeight="14.5" x14ac:dyDescent="0.35"/>
  <cols>
    <col min="1" max="1" width="30" style="2" customWidth="1"/>
    <col min="2" max="2" width="10" style="2" customWidth="1"/>
    <col min="3" max="3" width="16" style="2" customWidth="1"/>
    <col min="4" max="4" width="16" customWidth="1"/>
    <col min="5" max="5" width="23" style="2" customWidth="1"/>
    <col min="6" max="6" width="20" customWidth="1"/>
    <col min="7" max="7" width="42.6328125" style="2" customWidth="1"/>
    <col min="8" max="8" width="25.6328125" customWidth="1"/>
    <col min="9" max="9" width="14" style="2" customWidth="1"/>
    <col min="10" max="10" width="9.6328125" style="2" customWidth="1"/>
    <col min="11" max="11" width="15.6328125" style="2" customWidth="1"/>
    <col min="12" max="12" width="8.6328125" style="2" customWidth="1"/>
    <col min="13" max="15" width="14.6328125" style="2" customWidth="1"/>
    <col min="16" max="16" width="16.6328125" style="2" customWidth="1"/>
    <col min="17" max="17" width="15.6328125" style="2" customWidth="1"/>
    <col min="18" max="18" width="60.6328125" style="2" customWidth="1"/>
    <col min="19" max="19" width="8.54296875" style="2" customWidth="1"/>
    <col min="20" max="20" width="13" style="2" hidden="1" customWidth="1"/>
    <col min="21" max="24" width="8.54296875" style="2" customWidth="1"/>
    <col min="25" max="16384" width="8.54296875" style="2"/>
  </cols>
  <sheetData>
    <row r="1" spans="1:21" ht="32" customHeight="1" x14ac:dyDescent="0.35">
      <c r="A1" s="63" t="s">
        <v>35</v>
      </c>
      <c r="B1" s="63" t="s">
        <v>36</v>
      </c>
      <c r="C1" s="63" t="s">
        <v>37</v>
      </c>
      <c r="D1" s="63" t="s">
        <v>38</v>
      </c>
      <c r="E1" s="63" t="s">
        <v>39</v>
      </c>
      <c r="F1" s="63" t="s">
        <v>40</v>
      </c>
      <c r="G1" s="63" t="s">
        <v>41</v>
      </c>
      <c r="H1" s="63" t="s">
        <v>42</v>
      </c>
      <c r="I1" s="63"/>
      <c r="J1" s="63" t="s">
        <v>36</v>
      </c>
      <c r="K1" s="63" t="s">
        <v>43</v>
      </c>
      <c r="L1" s="63" t="s">
        <v>44</v>
      </c>
      <c r="M1" s="63" t="s">
        <v>45</v>
      </c>
      <c r="N1" s="63" t="s">
        <v>46</v>
      </c>
      <c r="O1" s="63" t="s">
        <v>47</v>
      </c>
      <c r="P1" s="63" t="s">
        <v>40</v>
      </c>
      <c r="Q1" s="63" t="s">
        <v>48</v>
      </c>
      <c r="R1" s="63" t="s">
        <v>49</v>
      </c>
    </row>
    <row r="2" spans="1:21" x14ac:dyDescent="0.35">
      <c r="A2" s="148" t="s">
        <v>50</v>
      </c>
      <c r="B2" s="148" t="s">
        <v>26</v>
      </c>
      <c r="C2" s="149">
        <v>44927</v>
      </c>
      <c r="D2" s="149">
        <v>45291</v>
      </c>
      <c r="E2" s="150"/>
      <c r="F2" s="64">
        <f>1</f>
        <v>1</v>
      </c>
      <c r="G2" s="228"/>
      <c r="H2" s="326"/>
      <c r="I2" s="172"/>
      <c r="M2" s="175"/>
      <c r="N2" s="176"/>
      <c r="O2" s="177"/>
      <c r="P2" s="177"/>
      <c r="Q2" s="176"/>
      <c r="T2" s="2" t="s">
        <v>51</v>
      </c>
    </row>
    <row r="3" spans="1:21" x14ac:dyDescent="0.35">
      <c r="A3" s="151" t="s">
        <v>51</v>
      </c>
      <c r="B3" s="151" t="s">
        <v>3</v>
      </c>
      <c r="C3" s="152">
        <v>45292</v>
      </c>
      <c r="D3" s="152">
        <v>45657</v>
      </c>
      <c r="E3" s="153">
        <v>5.1200000000000002E-2</v>
      </c>
      <c r="F3" s="64">
        <f>IF(E3="","",IF(NOT(ISNUMBER(E3)),"",IF(NOT(ISNUMBER(F2)),"",F2*(1+E3))))</f>
        <v>1.0511999999999999</v>
      </c>
      <c r="G3" s="228" t="s">
        <v>52</v>
      </c>
      <c r="H3" s="327">
        <v>45292</v>
      </c>
      <c r="I3" s="173"/>
      <c r="M3" s="175"/>
      <c r="N3" s="176"/>
      <c r="O3" s="177"/>
      <c r="P3" s="177"/>
      <c r="Q3" s="176"/>
      <c r="T3" s="2" t="s">
        <v>50</v>
      </c>
      <c r="U3" s="420">
        <v>45270</v>
      </c>
    </row>
    <row r="4" spans="1:21" x14ac:dyDescent="0.35">
      <c r="A4" s="151" t="s">
        <v>50</v>
      </c>
      <c r="B4" s="151" t="s">
        <v>27</v>
      </c>
      <c r="C4" s="152">
        <v>45658</v>
      </c>
      <c r="D4" s="152">
        <v>46022</v>
      </c>
      <c r="E4" s="153">
        <v>3.7400000000000003E-2</v>
      </c>
      <c r="F4" s="64">
        <f>IF(E4="","",IF(NOT(ISNUMBER(E4)),"",IF(NOT(ISNUMBER(F3)),"",F3*(1+E4))))</f>
        <v>1.09051488</v>
      </c>
      <c r="G4" s="228" t="s">
        <v>52</v>
      </c>
      <c r="H4" s="327">
        <v>45658</v>
      </c>
      <c r="I4" s="173"/>
      <c r="M4" s="175"/>
      <c r="N4" s="176"/>
      <c r="O4" s="177"/>
      <c r="P4" s="177"/>
      <c r="Q4" s="176"/>
      <c r="T4" s="2" t="s">
        <v>53</v>
      </c>
      <c r="U4" s="420">
        <v>45638</v>
      </c>
    </row>
    <row r="5" spans="1:21" x14ac:dyDescent="0.35">
      <c r="A5" s="192" t="s">
        <v>50</v>
      </c>
      <c r="B5" s="192" t="s">
        <v>28</v>
      </c>
      <c r="C5" s="193">
        <v>46023</v>
      </c>
      <c r="D5" s="193">
        <v>46387</v>
      </c>
      <c r="E5" s="194">
        <v>2.8899999999999999E-2</v>
      </c>
      <c r="F5" s="195">
        <f>IF(E5="","",IF(NOT(ISNUMBER(E5)),"",IF(NOT(ISNUMBER(F4)),"",F4*(1+E5))))</f>
        <v>1.1220307600319999</v>
      </c>
      <c r="G5" s="228" t="s">
        <v>52</v>
      </c>
      <c r="H5" s="328">
        <v>46023</v>
      </c>
      <c r="I5" s="174"/>
      <c r="M5" s="175"/>
      <c r="N5" s="176"/>
      <c r="O5" s="177"/>
      <c r="P5" s="177"/>
      <c r="Q5" s="176"/>
      <c r="U5" s="420">
        <v>46006</v>
      </c>
    </row>
    <row r="6" spans="1:21" x14ac:dyDescent="0.35">
      <c r="A6" s="192" t="s">
        <v>50</v>
      </c>
      <c r="B6" s="192" t="s">
        <v>29</v>
      </c>
      <c r="C6" s="193">
        <v>46388</v>
      </c>
      <c r="D6" s="193">
        <v>46752</v>
      </c>
      <c r="E6" s="194"/>
      <c r="F6" s="195" t="str">
        <f>IF(E6="","",IF(NOT(ISNUMBER(E6)),"",IF(NOT(ISNUMBER(F5)),"",F5*(1+E6))))</f>
        <v/>
      </c>
      <c r="G6" s="228"/>
      <c r="H6" s="328"/>
      <c r="I6" s="174"/>
      <c r="M6" s="175"/>
      <c r="N6" s="176"/>
      <c r="O6" s="177"/>
      <c r="P6" s="177"/>
      <c r="Q6" s="176"/>
    </row>
    <row r="7" spans="1:21" x14ac:dyDescent="0.35">
      <c r="A7" s="14"/>
      <c r="B7" s="14"/>
      <c r="C7" s="15"/>
      <c r="D7" s="15"/>
      <c r="E7" s="14"/>
      <c r="F7" s="14"/>
      <c r="G7" s="14"/>
      <c r="M7" s="175"/>
      <c r="N7" s="176"/>
      <c r="O7" s="177"/>
      <c r="P7" s="177"/>
      <c r="Q7" s="176"/>
    </row>
    <row r="8" spans="1:21" x14ac:dyDescent="0.35">
      <c r="A8" s="14"/>
      <c r="B8" s="14"/>
      <c r="C8" s="15"/>
      <c r="D8" s="15"/>
      <c r="E8" s="14"/>
      <c r="F8" s="14"/>
      <c r="G8" s="14"/>
      <c r="M8" s="175"/>
      <c r="N8" s="176"/>
      <c r="O8" s="177"/>
      <c r="P8" s="177"/>
      <c r="Q8" s="176"/>
    </row>
    <row r="9" spans="1:21" x14ac:dyDescent="0.35">
      <c r="A9" s="421" t="s">
        <v>54</v>
      </c>
      <c r="B9" s="422"/>
      <c r="C9" s="422"/>
      <c r="D9" s="422"/>
      <c r="E9" s="422"/>
      <c r="F9" s="423"/>
      <c r="G9" s="14"/>
      <c r="M9" s="175"/>
      <c r="N9" s="176"/>
      <c r="O9" s="177"/>
      <c r="P9" s="177"/>
      <c r="Q9" s="176"/>
    </row>
    <row r="10" spans="1:21" ht="26" customHeight="1" x14ac:dyDescent="0.35">
      <c r="A10" s="63" t="s">
        <v>36</v>
      </c>
      <c r="B10" s="63" t="s">
        <v>55</v>
      </c>
      <c r="C10" s="65" t="s">
        <v>56</v>
      </c>
      <c r="D10" s="65" t="s">
        <v>57</v>
      </c>
      <c r="E10" s="63" t="s">
        <v>58</v>
      </c>
      <c r="F10" s="63" t="s">
        <v>59</v>
      </c>
      <c r="G10" s="63" t="s">
        <v>60</v>
      </c>
      <c r="M10" s="175"/>
      <c r="N10" s="176"/>
      <c r="O10" s="177"/>
      <c r="P10" s="177"/>
      <c r="Q10" s="176"/>
    </row>
    <row r="11" spans="1:21" x14ac:dyDescent="0.35">
      <c r="A11" s="66" t="s">
        <v>26</v>
      </c>
      <c r="B11" s="66" t="str">
        <f>A2</f>
        <v>Nao</v>
      </c>
      <c r="C11" s="67" t="str">
        <f>IF(B11="Sim",E2,"")</f>
        <v/>
      </c>
      <c r="D11" s="68">
        <f>1</f>
        <v>1</v>
      </c>
      <c r="E11" s="68">
        <f>1</f>
        <v>1</v>
      </c>
      <c r="F11" s="66" t="s">
        <v>61</v>
      </c>
      <c r="G11" s="14"/>
      <c r="M11" s="175"/>
      <c r="N11" s="176"/>
      <c r="O11" s="177"/>
      <c r="P11" s="177"/>
      <c r="Q11" s="176"/>
    </row>
    <row r="12" spans="1:21" x14ac:dyDescent="0.35">
      <c r="A12" s="69" t="s">
        <v>3</v>
      </c>
      <c r="B12" s="69" t="str">
        <f>A3</f>
        <v>Sim</v>
      </c>
      <c r="C12" s="70">
        <f>IF(B12="Sim",E3,"")</f>
        <v>5.1200000000000002E-2</v>
      </c>
      <c r="D12" s="71">
        <f>IF(C12="","",1+C12)</f>
        <v>1.0511999999999999</v>
      </c>
      <c r="E12" s="71">
        <f>IF(B12="Sim",E11*D12,E11)</f>
        <v>1.0511999999999999</v>
      </c>
      <c r="F12" s="69" t="str">
        <f>IF(B12="Sim","Aplicado","Fora da apuracao")</f>
        <v>Aplicado</v>
      </c>
      <c r="G12" s="14"/>
      <c r="M12" s="175"/>
      <c r="N12" s="176"/>
      <c r="O12" s="177"/>
      <c r="P12" s="177"/>
      <c r="Q12" s="176"/>
    </row>
    <row r="13" spans="1:21" x14ac:dyDescent="0.35">
      <c r="A13" s="69" t="s">
        <v>27</v>
      </c>
      <c r="B13" s="69" t="str">
        <f>A4</f>
        <v>Nao</v>
      </c>
      <c r="C13" s="70" t="str">
        <f>IF(B13="Sim",E4,"")</f>
        <v/>
      </c>
      <c r="D13" s="71" t="str">
        <f>IF(C13="","",1+C13)</f>
        <v/>
      </c>
      <c r="E13" s="71">
        <f>IF(B13="Sim",E12*D13,E12)</f>
        <v>1.0511999999999999</v>
      </c>
      <c r="F13" s="69" t="str">
        <f>IF(B13="Sim","Aplicado","Fora da apuracao")</f>
        <v>Fora da apuracao</v>
      </c>
      <c r="G13" s="14"/>
      <c r="M13" s="175"/>
      <c r="N13" s="176"/>
      <c r="O13" s="177"/>
      <c r="P13" s="177"/>
      <c r="Q13" s="176"/>
    </row>
    <row r="14" spans="1:21" x14ac:dyDescent="0.35">
      <c r="A14" s="69" t="s">
        <v>28</v>
      </c>
      <c r="B14" s="69" t="str">
        <f>A5</f>
        <v>Nao</v>
      </c>
      <c r="C14" s="70" t="str">
        <f>IF(B14="Sim",E5,"")</f>
        <v/>
      </c>
      <c r="D14" s="71" t="str">
        <f>IF(C14="","",1+C14)</f>
        <v/>
      </c>
      <c r="E14" s="71">
        <f>IF(B14="Sim",E13*D14,E13)</f>
        <v>1.0511999999999999</v>
      </c>
      <c r="F14" s="69" t="str">
        <f>IF(B14="Sim","Aplicado","Fora da apuracao")</f>
        <v>Fora da apuracao</v>
      </c>
      <c r="G14" s="14"/>
      <c r="M14" s="175"/>
      <c r="N14" s="176"/>
      <c r="O14" s="177"/>
      <c r="P14" s="177"/>
      <c r="Q14" s="176"/>
    </row>
    <row r="15" spans="1:21" x14ac:dyDescent="0.35">
      <c r="A15" s="69" t="s">
        <v>29</v>
      </c>
      <c r="B15" s="69" t="str">
        <f>A6</f>
        <v>Nao</v>
      </c>
      <c r="C15" s="70" t="str">
        <f>IF(B15="Sim",E6,"")</f>
        <v/>
      </c>
      <c r="D15" s="71" t="str">
        <f>IF(C15="","",1+C15)</f>
        <v/>
      </c>
      <c r="E15" s="71">
        <f>IF(B15="Sim",E14*D15,E14)</f>
        <v>1.0511999999999999</v>
      </c>
      <c r="F15" s="69" t="str">
        <f>IF(B15="Sim","Aplicado","Fora da apuracao")</f>
        <v>Fora da apuracao</v>
      </c>
      <c r="G15" s="14"/>
      <c r="M15" s="175"/>
      <c r="N15" s="176"/>
      <c r="O15" s="177"/>
      <c r="P15" s="177"/>
      <c r="Q15" s="176"/>
    </row>
    <row r="16" spans="1:21" x14ac:dyDescent="0.35">
      <c r="A16" s="72" t="s">
        <v>62</v>
      </c>
      <c r="B16" s="73"/>
      <c r="C16" s="74"/>
      <c r="D16" s="75">
        <f>E15</f>
        <v>1.0511999999999999</v>
      </c>
      <c r="E16" s="75">
        <f>E15</f>
        <v>1.0511999999999999</v>
      </c>
      <c r="F16" s="144">
        <f>E16-1</f>
        <v>5.1199999999999912E-2</v>
      </c>
      <c r="G16" s="14"/>
      <c r="M16" s="175"/>
      <c r="N16" s="176"/>
      <c r="O16" s="177"/>
      <c r="P16" s="177"/>
      <c r="Q16" s="176"/>
    </row>
    <row r="17" spans="1:17" x14ac:dyDescent="0.35">
      <c r="A17" s="229"/>
      <c r="B17" s="229"/>
      <c r="C17" s="230"/>
      <c r="D17" s="230"/>
      <c r="E17" s="231"/>
      <c r="F17" s="231"/>
      <c r="G17" s="229"/>
      <c r="M17" s="175"/>
      <c r="N17" s="176"/>
      <c r="O17" s="177"/>
      <c r="P17" s="177"/>
      <c r="Q17" s="176"/>
    </row>
    <row r="18" spans="1:17" x14ac:dyDescent="0.35">
      <c r="A18" s="229"/>
      <c r="B18" s="229"/>
      <c r="C18" s="230"/>
      <c r="D18" s="230"/>
      <c r="E18" s="231"/>
      <c r="F18" s="231"/>
      <c r="G18" s="229"/>
      <c r="M18" s="175"/>
      <c r="N18" s="176"/>
      <c r="O18" s="177"/>
      <c r="P18" s="177"/>
      <c r="Q18" s="176"/>
    </row>
    <row r="19" spans="1:17" x14ac:dyDescent="0.35">
      <c r="A19" s="229"/>
      <c r="B19" s="229"/>
      <c r="C19" s="230"/>
      <c r="D19" s="230"/>
      <c r="E19" s="231"/>
      <c r="F19" s="231"/>
      <c r="G19" s="229"/>
      <c r="M19" s="175"/>
      <c r="N19" s="176"/>
      <c r="O19" s="177"/>
      <c r="P19" s="177"/>
      <c r="Q19" s="176"/>
    </row>
    <row r="20" spans="1:17" x14ac:dyDescent="0.35">
      <c r="A20" s="229"/>
      <c r="B20" s="229"/>
      <c r="C20" s="230"/>
      <c r="D20" s="230"/>
      <c r="E20" s="231"/>
      <c r="F20" s="231"/>
      <c r="G20" s="229"/>
      <c r="M20" s="175"/>
      <c r="N20" s="176"/>
      <c r="O20" s="177"/>
      <c r="P20" s="177"/>
      <c r="Q20" s="176"/>
    </row>
    <row r="21" spans="1:17" x14ac:dyDescent="0.35">
      <c r="M21" s="175"/>
      <c r="N21" s="176"/>
      <c r="O21" s="177"/>
      <c r="P21" s="177"/>
      <c r="Q21" s="176"/>
    </row>
    <row r="22" spans="1:17" x14ac:dyDescent="0.35">
      <c r="M22" s="175"/>
      <c r="N22" s="176"/>
      <c r="O22" s="177"/>
      <c r="P22" s="177"/>
      <c r="Q22" s="176"/>
    </row>
    <row r="23" spans="1:17" x14ac:dyDescent="0.35">
      <c r="M23" s="175"/>
      <c r="N23" s="176"/>
      <c r="O23" s="177"/>
      <c r="P23" s="177"/>
      <c r="Q23" s="176"/>
    </row>
    <row r="24" spans="1:17" x14ac:dyDescent="0.35">
      <c r="M24" s="175"/>
      <c r="N24" s="176"/>
      <c r="O24" s="177"/>
      <c r="P24" s="177"/>
      <c r="Q24" s="176"/>
    </row>
    <row r="25" spans="1:17" x14ac:dyDescent="0.35">
      <c r="M25" s="175"/>
      <c r="N25" s="176"/>
      <c r="O25" s="177"/>
      <c r="P25" s="177"/>
      <c r="Q25" s="176"/>
    </row>
    <row r="26" spans="1:17" x14ac:dyDescent="0.35">
      <c r="M26" s="175"/>
      <c r="N26" s="176"/>
      <c r="O26" s="177"/>
      <c r="P26" s="177"/>
      <c r="Q26" s="176"/>
    </row>
    <row r="27" spans="1:17" x14ac:dyDescent="0.35">
      <c r="M27" s="175"/>
      <c r="N27" s="176"/>
      <c r="O27" s="177"/>
      <c r="P27" s="177"/>
      <c r="Q27" s="176"/>
    </row>
    <row r="28" spans="1:17" x14ac:dyDescent="0.35">
      <c r="M28" s="175"/>
      <c r="N28" s="176"/>
      <c r="O28" s="177"/>
      <c r="P28" s="177"/>
      <c r="Q28" s="176"/>
    </row>
    <row r="29" spans="1:17" x14ac:dyDescent="0.35">
      <c r="M29" s="175"/>
      <c r="N29" s="176"/>
      <c r="O29" s="177"/>
      <c r="P29" s="177"/>
      <c r="Q29" s="176"/>
    </row>
    <row r="30" spans="1:17" x14ac:dyDescent="0.35">
      <c r="M30" s="175"/>
      <c r="N30" s="176"/>
      <c r="O30" s="177"/>
      <c r="P30" s="177"/>
      <c r="Q30" s="176"/>
    </row>
    <row r="31" spans="1:17" x14ac:dyDescent="0.35">
      <c r="M31" s="175"/>
      <c r="N31" s="176"/>
      <c r="O31" s="177"/>
      <c r="P31" s="177"/>
      <c r="Q31" s="176"/>
    </row>
    <row r="32" spans="1:17" x14ac:dyDescent="0.35">
      <c r="M32" s="175"/>
      <c r="N32" s="176"/>
      <c r="O32" s="177"/>
      <c r="P32" s="177"/>
      <c r="Q32" s="176"/>
    </row>
    <row r="33" spans="13:17" x14ac:dyDescent="0.35">
      <c r="M33" s="175"/>
      <c r="N33" s="176"/>
      <c r="O33" s="177"/>
      <c r="P33" s="177"/>
      <c r="Q33" s="176"/>
    </row>
    <row r="34" spans="13:17" x14ac:dyDescent="0.35">
      <c r="M34" s="175"/>
      <c r="N34" s="176"/>
      <c r="O34" s="177"/>
      <c r="P34" s="177"/>
      <c r="Q34" s="176"/>
    </row>
    <row r="35" spans="13:17" x14ac:dyDescent="0.35">
      <c r="M35" s="175"/>
      <c r="N35" s="176"/>
      <c r="O35" s="177"/>
      <c r="P35" s="177"/>
      <c r="Q35" s="176"/>
    </row>
    <row r="36" spans="13:17" x14ac:dyDescent="0.35">
      <c r="M36" s="175"/>
      <c r="N36" s="176"/>
      <c r="O36" s="177"/>
      <c r="P36" s="177"/>
      <c r="Q36" s="176"/>
    </row>
    <row r="37" spans="13:17" x14ac:dyDescent="0.35">
      <c r="M37" s="175"/>
      <c r="N37" s="176"/>
      <c r="O37" s="177"/>
      <c r="P37" s="177"/>
      <c r="Q37" s="176"/>
    </row>
    <row r="38" spans="13:17" x14ac:dyDescent="0.35">
      <c r="M38" s="175"/>
      <c r="N38" s="176"/>
      <c r="O38" s="177"/>
      <c r="P38" s="177"/>
      <c r="Q38" s="176"/>
    </row>
    <row r="39" spans="13:17" x14ac:dyDescent="0.35">
      <c r="M39" s="175"/>
      <c r="N39" s="176"/>
      <c r="O39" s="177"/>
      <c r="P39" s="177"/>
      <c r="Q39" s="176"/>
    </row>
    <row r="40" spans="13:17" x14ac:dyDescent="0.35">
      <c r="M40" s="175"/>
      <c r="N40" s="176"/>
      <c r="O40" s="177"/>
      <c r="P40" s="177"/>
      <c r="Q40" s="176"/>
    </row>
    <row r="41" spans="13:17" x14ac:dyDescent="0.35">
      <c r="M41" s="175"/>
      <c r="N41" s="176"/>
      <c r="O41" s="177"/>
      <c r="P41" s="177"/>
      <c r="Q41" s="176"/>
    </row>
    <row r="42" spans="13:17" x14ac:dyDescent="0.35">
      <c r="M42" s="175"/>
      <c r="N42" s="176"/>
      <c r="O42" s="177"/>
      <c r="P42" s="177"/>
      <c r="Q42" s="176"/>
    </row>
    <row r="43" spans="13:17" x14ac:dyDescent="0.35">
      <c r="M43" s="175"/>
      <c r="N43" s="176"/>
      <c r="O43" s="177"/>
      <c r="P43" s="177"/>
      <c r="Q43" s="176"/>
    </row>
    <row r="44" spans="13:17" x14ac:dyDescent="0.35">
      <c r="M44" s="175"/>
      <c r="N44" s="176"/>
      <c r="O44" s="177"/>
      <c r="P44" s="177"/>
      <c r="Q44" s="176"/>
    </row>
    <row r="45" spans="13:17" x14ac:dyDescent="0.35">
      <c r="M45" s="175"/>
      <c r="N45" s="176"/>
      <c r="O45" s="177"/>
      <c r="P45" s="177"/>
      <c r="Q45" s="176"/>
    </row>
    <row r="46" spans="13:17" x14ac:dyDescent="0.35">
      <c r="M46" s="175"/>
      <c r="N46" s="176"/>
      <c r="O46" s="177"/>
      <c r="P46" s="177"/>
      <c r="Q46" s="176"/>
    </row>
    <row r="47" spans="13:17" x14ac:dyDescent="0.35">
      <c r="M47" s="175"/>
      <c r="N47" s="176"/>
      <c r="O47" s="177"/>
      <c r="P47" s="177"/>
      <c r="Q47" s="176"/>
    </row>
    <row r="48" spans="13:17" x14ac:dyDescent="0.35">
      <c r="M48" s="175"/>
      <c r="N48" s="176"/>
      <c r="O48" s="177"/>
      <c r="P48" s="177"/>
      <c r="Q48" s="176"/>
    </row>
    <row r="49" spans="13:17" x14ac:dyDescent="0.35">
      <c r="M49" s="175"/>
      <c r="N49" s="176"/>
      <c r="O49" s="177"/>
      <c r="P49" s="177"/>
      <c r="Q49" s="176"/>
    </row>
    <row r="50" spans="13:17" x14ac:dyDescent="0.35">
      <c r="M50" s="175"/>
      <c r="N50" s="176"/>
      <c r="O50" s="177"/>
      <c r="P50" s="177"/>
      <c r="Q50" s="176"/>
    </row>
    <row r="51" spans="13:17" x14ac:dyDescent="0.35">
      <c r="M51" s="175"/>
      <c r="N51" s="176"/>
      <c r="O51" s="177"/>
      <c r="P51" s="177"/>
      <c r="Q51" s="176"/>
    </row>
    <row r="52" spans="13:17" x14ac:dyDescent="0.35">
      <c r="M52" s="175"/>
      <c r="N52" s="176"/>
      <c r="O52" s="177"/>
      <c r="P52" s="177"/>
      <c r="Q52" s="176"/>
    </row>
    <row r="53" spans="13:17" x14ac:dyDescent="0.35">
      <c r="M53" s="175"/>
      <c r="N53" s="176"/>
      <c r="O53" s="177"/>
      <c r="P53" s="177"/>
      <c r="Q53" s="176"/>
    </row>
    <row r="54" spans="13:17" x14ac:dyDescent="0.35">
      <c r="M54" s="175"/>
      <c r="N54" s="176"/>
      <c r="O54" s="177"/>
      <c r="P54" s="177"/>
      <c r="Q54" s="176"/>
    </row>
    <row r="55" spans="13:17" x14ac:dyDescent="0.35">
      <c r="M55" s="175"/>
      <c r="N55" s="176"/>
      <c r="O55" s="177"/>
      <c r="P55" s="177"/>
      <c r="Q55" s="176"/>
    </row>
    <row r="56" spans="13:17" x14ac:dyDescent="0.35">
      <c r="M56" s="175"/>
      <c r="N56" s="176"/>
      <c r="O56" s="177"/>
      <c r="P56" s="177"/>
      <c r="Q56" s="176"/>
    </row>
    <row r="57" spans="13:17" x14ac:dyDescent="0.35">
      <c r="M57" s="175"/>
      <c r="N57" s="176"/>
      <c r="O57" s="177"/>
      <c r="P57" s="177"/>
      <c r="Q57" s="176"/>
    </row>
    <row r="58" spans="13:17" x14ac:dyDescent="0.35">
      <c r="M58" s="175"/>
      <c r="N58" s="176"/>
      <c r="O58" s="177"/>
      <c r="P58" s="177"/>
      <c r="Q58" s="176"/>
    </row>
    <row r="59" spans="13:17" x14ac:dyDescent="0.35">
      <c r="M59" s="175"/>
      <c r="N59" s="176"/>
      <c r="O59" s="177"/>
      <c r="P59" s="177"/>
      <c r="Q59" s="176"/>
    </row>
    <row r="60" spans="13:17" x14ac:dyDescent="0.35">
      <c r="M60" s="175"/>
      <c r="N60" s="176"/>
      <c r="O60" s="177"/>
      <c r="P60" s="177"/>
      <c r="Q60" s="176"/>
    </row>
    <row r="61" spans="13:17" x14ac:dyDescent="0.35">
      <c r="M61" s="175"/>
      <c r="N61" s="176"/>
      <c r="O61" s="177"/>
      <c r="P61" s="177"/>
      <c r="Q61" s="176"/>
    </row>
    <row r="62" spans="13:17" x14ac:dyDescent="0.35">
      <c r="M62" s="175"/>
      <c r="N62" s="176"/>
      <c r="O62" s="177"/>
      <c r="P62" s="177"/>
      <c r="Q62" s="176"/>
    </row>
    <row r="63" spans="13:17" x14ac:dyDescent="0.35">
      <c r="M63" s="175"/>
      <c r="N63" s="176"/>
      <c r="O63" s="177"/>
      <c r="P63" s="177"/>
      <c r="Q63" s="176"/>
    </row>
    <row r="64" spans="13:17" x14ac:dyDescent="0.35">
      <c r="M64" s="175"/>
      <c r="N64" s="176"/>
      <c r="O64" s="177"/>
      <c r="P64" s="177"/>
      <c r="Q64" s="176"/>
    </row>
    <row r="65" spans="13:17" x14ac:dyDescent="0.35">
      <c r="M65" s="175"/>
      <c r="N65" s="176"/>
      <c r="O65" s="177"/>
      <c r="P65" s="177"/>
      <c r="Q65" s="176"/>
    </row>
    <row r="66" spans="13:17" x14ac:dyDescent="0.35">
      <c r="M66" s="175"/>
      <c r="N66" s="176"/>
      <c r="O66" s="177"/>
      <c r="P66" s="177"/>
      <c r="Q66" s="176"/>
    </row>
    <row r="67" spans="13:17" x14ac:dyDescent="0.35">
      <c r="M67" s="175"/>
      <c r="N67" s="176"/>
      <c r="O67" s="177"/>
      <c r="P67" s="177"/>
      <c r="Q67" s="176"/>
    </row>
    <row r="68" spans="13:17" x14ac:dyDescent="0.35">
      <c r="M68" s="175"/>
      <c r="N68" s="176"/>
      <c r="O68" s="177"/>
      <c r="P68" s="177"/>
      <c r="Q68" s="176"/>
    </row>
    <row r="69" spans="13:17" x14ac:dyDescent="0.35">
      <c r="M69" s="175"/>
      <c r="N69" s="176"/>
      <c r="O69" s="177"/>
      <c r="P69" s="177"/>
      <c r="Q69" s="176"/>
    </row>
    <row r="70" spans="13:17" x14ac:dyDescent="0.35">
      <c r="M70" s="175"/>
      <c r="N70" s="176"/>
      <c r="O70" s="177"/>
      <c r="P70" s="177"/>
      <c r="Q70" s="176"/>
    </row>
    <row r="71" spans="13:17" x14ac:dyDescent="0.35">
      <c r="M71" s="175"/>
      <c r="N71" s="176"/>
      <c r="O71" s="177"/>
      <c r="P71" s="177"/>
      <c r="Q71" s="176"/>
    </row>
    <row r="72" spans="13:17" x14ac:dyDescent="0.35">
      <c r="M72" s="175"/>
      <c r="N72" s="176"/>
      <c r="O72" s="177"/>
      <c r="P72" s="177"/>
      <c r="Q72" s="176"/>
    </row>
    <row r="73" spans="13:17" x14ac:dyDescent="0.35">
      <c r="M73" s="175"/>
      <c r="N73" s="176"/>
      <c r="O73" s="177"/>
      <c r="P73" s="177"/>
      <c r="Q73" s="176"/>
    </row>
    <row r="74" spans="13:17" x14ac:dyDescent="0.35">
      <c r="M74" s="175"/>
      <c r="N74" s="176"/>
      <c r="O74" s="177"/>
      <c r="P74" s="177"/>
      <c r="Q74" s="176"/>
    </row>
    <row r="75" spans="13:17" x14ac:dyDescent="0.35">
      <c r="M75" s="175"/>
      <c r="N75" s="176"/>
      <c r="O75" s="177"/>
      <c r="P75" s="177"/>
      <c r="Q75" s="176"/>
    </row>
    <row r="76" spans="13:17" x14ac:dyDescent="0.35">
      <c r="M76" s="175"/>
      <c r="N76" s="176"/>
      <c r="O76" s="177"/>
      <c r="P76" s="177"/>
      <c r="Q76" s="176"/>
    </row>
    <row r="77" spans="13:17" x14ac:dyDescent="0.35">
      <c r="M77" s="175"/>
      <c r="N77" s="176"/>
      <c r="O77" s="177"/>
      <c r="P77" s="177"/>
      <c r="Q77" s="176"/>
    </row>
    <row r="78" spans="13:17" x14ac:dyDescent="0.35">
      <c r="M78" s="175"/>
      <c r="N78" s="176"/>
      <c r="O78" s="177"/>
      <c r="P78" s="177"/>
      <c r="Q78" s="176"/>
    </row>
    <row r="79" spans="13:17" x14ac:dyDescent="0.35">
      <c r="M79" s="175"/>
      <c r="N79" s="176"/>
      <c r="O79" s="177"/>
      <c r="P79" s="177"/>
      <c r="Q79" s="176"/>
    </row>
    <row r="80" spans="13:17" x14ac:dyDescent="0.35">
      <c r="M80" s="175"/>
      <c r="N80" s="176"/>
      <c r="O80" s="177"/>
      <c r="P80" s="177"/>
      <c r="Q80" s="176"/>
    </row>
  </sheetData>
  <mergeCells count="1">
    <mergeCell ref="A9:F9"/>
  </mergeCells>
  <conditionalFormatting sqref="E3:E6">
    <cfRule type="expression" dxfId="73" priority="1">
      <formula>AND($A3="Nao",$C3&lt;&gt;"",$E3="")</formula>
    </cfRule>
  </conditionalFormatting>
  <dataValidations count="3">
    <dataValidation type="list" sqref="A2:A6" xr:uid="{00000000-0002-0000-0200-000000000000}">
      <formula1>"Sim,Nao"</formula1>
    </dataValidation>
    <dataValidation type="list" allowBlank="1" showInputMessage="1" showErrorMessage="1" error="Selecione Sim ou Nao (ou deixe vazio se ainda nao comprovado)." sqref="G13:G15" xr:uid="{00000000-0002-0000-0200-000001000000}">
      <formula1>OPCOES_SIM_NAO</formula1>
    </dataValidation>
    <dataValidation type="list" allowBlank="1" showInputMessage="1" showErrorMessage="1" sqref="G12" xr:uid="{00000000-0002-0000-0200-000002000000}">
      <formula1>OPCOES_SIM_NAO_NA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G74"/>
  <sheetViews>
    <sheetView showGridLines="0" workbookViewId="0">
      <selection activeCell="C14" sqref="C14:C33"/>
    </sheetView>
  </sheetViews>
  <sheetFormatPr defaultColWidth="8.54296875" defaultRowHeight="14.5" x14ac:dyDescent="0.35"/>
  <cols>
    <col min="1" max="1" width="16" customWidth="1"/>
    <col min="2" max="2" width="14" customWidth="1"/>
    <col min="3" max="3" width="18" customWidth="1"/>
    <col min="4" max="4" width="17" customWidth="1"/>
    <col min="5" max="5" width="19" customWidth="1"/>
    <col min="6" max="6" width="18" customWidth="1"/>
    <col min="7" max="7" width="19" customWidth="1"/>
    <col min="13" max="13" width="12.7265625" customWidth="1"/>
  </cols>
  <sheetData>
    <row r="1" spans="1:7" ht="32" customHeight="1" x14ac:dyDescent="0.35">
      <c r="A1" s="34" t="s">
        <v>45</v>
      </c>
      <c r="B1" s="34" t="s">
        <v>36</v>
      </c>
      <c r="C1" s="34" t="s">
        <v>63</v>
      </c>
      <c r="D1" s="34" t="s">
        <v>64</v>
      </c>
      <c r="E1" s="34" t="s">
        <v>65</v>
      </c>
      <c r="F1" s="34" t="s">
        <v>66</v>
      </c>
      <c r="G1" s="34" t="s">
        <v>67</v>
      </c>
    </row>
    <row r="2" spans="1:7" x14ac:dyDescent="0.35">
      <c r="A2" s="143"/>
      <c r="B2" s="143" t="str">
        <f>IF($A2="","",IF(NOT(ISNUMBER(parametros!$C$2)),"Fora dos ciclos",IF(OR($A2&lt;parametros!$C$2,(YEAR($A2)-YEAR(parametros!$C$2))*12+MONTH($A2)-MONTH(parametros!$C$2)&gt;59),"Fora dos ciclos","c"&amp;INT(((YEAR($A2)-YEAR(parametros!$C$2))*12+MONTH($A2)-MONTH(parametros!$C$2))/12))))</f>
        <v/>
      </c>
      <c r="C2" s="77"/>
      <c r="D2" s="202" t="str">
        <f>IF(B2="","",IF(B2="c0",1,IF(B2="c1",IF(parametros!$A$3&lt;&gt;"Sim","",IF(NOT(ISNUMBER(parametros!$E$3)),"",1+parametros!$E$3)),IF(B2="c2",IF(parametros!$A$4&lt;&gt;"Sim","",IF(NOT(ISNUMBER(parametros!$E$4)),"",IF(parametros!$A$3="Sim",1+parametros!$E$3,1)*(1+parametros!$E$4))),IF(B2="c3",IF(parametros!$A$5&lt;&gt;"Sim","",IF(NOT(ISNUMBER(parametros!$E$5)),"",IF(parametros!$A$3="Sim",1+parametros!$E$3,1)*IF(parametros!$A$4="Sim",1+parametros!$E$4,1)*(1+parametros!$E$5))),IF(B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" s="79" t="str">
        <f t="shared" ref="E2:E33" si="0">IF(C2="","",IF(G2="","",IF(G2="Sim",IF(NOT(ISNUMBER(D2)),"",ROUND(C2*D2,2)),C2)))</f>
        <v/>
      </c>
      <c r="F2" s="79" t="str">
        <f t="shared" ref="F2:F33" si="1">IF(C2="","",IF(G2="","",IF(G2="Sim",IF(E2="","",ROUND(E2-C2,2)),0)))</f>
        <v/>
      </c>
      <c r="G2" s="99"/>
    </row>
    <row r="3" spans="1:7" x14ac:dyDescent="0.35">
      <c r="A3" s="143"/>
      <c r="B3" s="143" t="str">
        <f>IF($A3="","",IF(NOT(ISNUMBER(parametros!$C$2)),"Fora dos ciclos",IF(OR($A3&lt;parametros!$C$2,(YEAR($A3)-YEAR(parametros!$C$2))*12+MONTH($A3)-MONTH(parametros!$C$2)&gt;59),"Fora dos ciclos","c"&amp;INT(((YEAR($A3)-YEAR(parametros!$C$2))*12+MONTH($A3)-MONTH(parametros!$C$2))/12))))</f>
        <v/>
      </c>
      <c r="C3" s="77"/>
      <c r="D3" s="202" t="str">
        <f>IF(B3="","",IF(B3="c0",1,IF(B3="c1",IF(parametros!$A$3&lt;&gt;"Sim","",IF(NOT(ISNUMBER(parametros!$E$3)),"",1+parametros!$E$3)),IF(B3="c2",IF(parametros!$A$4&lt;&gt;"Sim","",IF(NOT(ISNUMBER(parametros!$E$4)),"",IF(parametros!$A$3="Sim",1+parametros!$E$3,1)*(1+parametros!$E$4))),IF(B3="c3",IF(parametros!$A$5&lt;&gt;"Sim","",IF(NOT(ISNUMBER(parametros!$E$5)),"",IF(parametros!$A$3="Sim",1+parametros!$E$3,1)*IF(parametros!$A$4="Sim",1+parametros!$E$4,1)*(1+parametros!$E$5))),IF(B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" s="79" t="str">
        <f t="shared" si="0"/>
        <v/>
      </c>
      <c r="F3" s="79" t="str">
        <f t="shared" si="1"/>
        <v/>
      </c>
      <c r="G3" s="99"/>
    </row>
    <row r="4" spans="1:7" x14ac:dyDescent="0.35">
      <c r="A4" s="143"/>
      <c r="B4" s="143" t="str">
        <f>IF($A4="","",IF(NOT(ISNUMBER(parametros!$C$2)),"Fora dos ciclos",IF(OR($A4&lt;parametros!$C$2,(YEAR($A4)-YEAR(parametros!$C$2))*12+MONTH($A4)-MONTH(parametros!$C$2)&gt;59),"Fora dos ciclos","c"&amp;INT(((YEAR($A4)-YEAR(parametros!$C$2))*12+MONTH($A4)-MONTH(parametros!$C$2))/12))))</f>
        <v/>
      </c>
      <c r="C4" s="77"/>
      <c r="D4" s="202" t="str">
        <f>IF(B4="","",IF(B4="c0",1,IF(B4="c1",IF(parametros!$A$3&lt;&gt;"Sim","",IF(NOT(ISNUMBER(parametros!$E$3)),"",1+parametros!$E$3)),IF(B4="c2",IF(parametros!$A$4&lt;&gt;"Sim","",IF(NOT(ISNUMBER(parametros!$E$4)),"",IF(parametros!$A$3="Sim",1+parametros!$E$3,1)*(1+parametros!$E$4))),IF(B4="c3",IF(parametros!$A$5&lt;&gt;"Sim","",IF(NOT(ISNUMBER(parametros!$E$5)),"",IF(parametros!$A$3="Sim",1+parametros!$E$3,1)*IF(parametros!$A$4="Sim",1+parametros!$E$4,1)*(1+parametros!$E$5))),IF(B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" s="79" t="str">
        <f t="shared" si="0"/>
        <v/>
      </c>
      <c r="F4" s="79" t="str">
        <f t="shared" si="1"/>
        <v/>
      </c>
      <c r="G4" s="99"/>
    </row>
    <row r="5" spans="1:7" x14ac:dyDescent="0.35">
      <c r="A5" s="143"/>
      <c r="B5" s="143" t="str">
        <f>IF($A5="","",IF(NOT(ISNUMBER(parametros!$C$2)),"Fora dos ciclos",IF(OR($A5&lt;parametros!$C$2,(YEAR($A5)-YEAR(parametros!$C$2))*12+MONTH($A5)-MONTH(parametros!$C$2)&gt;59),"Fora dos ciclos","c"&amp;INT(((YEAR($A5)-YEAR(parametros!$C$2))*12+MONTH($A5)-MONTH(parametros!$C$2))/12))))</f>
        <v/>
      </c>
      <c r="C5" s="77"/>
      <c r="D5" s="202" t="str">
        <f>IF(B5="","",IF(B5="c0",1,IF(B5="c1",IF(parametros!$A$3&lt;&gt;"Sim","",IF(NOT(ISNUMBER(parametros!$E$3)),"",1+parametros!$E$3)),IF(B5="c2",IF(parametros!$A$4&lt;&gt;"Sim","",IF(NOT(ISNUMBER(parametros!$E$4)),"",IF(parametros!$A$3="Sim",1+parametros!$E$3,1)*(1+parametros!$E$4))),IF(B5="c3",IF(parametros!$A$5&lt;&gt;"Sim","",IF(NOT(ISNUMBER(parametros!$E$5)),"",IF(parametros!$A$3="Sim",1+parametros!$E$3,1)*IF(parametros!$A$4="Sim",1+parametros!$E$4,1)*(1+parametros!$E$5))),IF(B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" s="79" t="str">
        <f t="shared" si="0"/>
        <v/>
      </c>
      <c r="F5" s="79" t="str">
        <f t="shared" si="1"/>
        <v/>
      </c>
      <c r="G5" s="99"/>
    </row>
    <row r="6" spans="1:7" x14ac:dyDescent="0.35">
      <c r="A6" s="143"/>
      <c r="B6" s="143" t="str">
        <f>IF($A6="","",IF(NOT(ISNUMBER(parametros!$C$2)),"Fora dos ciclos",IF(OR($A6&lt;parametros!$C$2,(YEAR($A6)-YEAR(parametros!$C$2))*12+MONTH($A6)-MONTH(parametros!$C$2)&gt;59),"Fora dos ciclos","c"&amp;INT(((YEAR($A6)-YEAR(parametros!$C$2))*12+MONTH($A6)-MONTH(parametros!$C$2))/12))))</f>
        <v/>
      </c>
      <c r="C6" s="77"/>
      <c r="D6" s="202" t="str">
        <f>IF(B6="","",IF(B6="c0",1,IF(B6="c1",IF(parametros!$A$3&lt;&gt;"Sim","",IF(NOT(ISNUMBER(parametros!$E$3)),"",1+parametros!$E$3)),IF(B6="c2",IF(parametros!$A$4&lt;&gt;"Sim","",IF(NOT(ISNUMBER(parametros!$E$4)),"",IF(parametros!$A$3="Sim",1+parametros!$E$3,1)*(1+parametros!$E$4))),IF(B6="c3",IF(parametros!$A$5&lt;&gt;"Sim","",IF(NOT(ISNUMBER(parametros!$E$5)),"",IF(parametros!$A$3="Sim",1+parametros!$E$3,1)*IF(parametros!$A$4="Sim",1+parametros!$E$4,1)*(1+parametros!$E$5))),IF(B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" s="79" t="str">
        <f t="shared" si="0"/>
        <v/>
      </c>
      <c r="F6" s="79" t="str">
        <f t="shared" si="1"/>
        <v/>
      </c>
      <c r="G6" s="99"/>
    </row>
    <row r="7" spans="1:7" x14ac:dyDescent="0.35">
      <c r="A7" s="143"/>
      <c r="B7" s="143" t="str">
        <f>IF($A7="","",IF(NOT(ISNUMBER(parametros!$C$2)),"Fora dos ciclos",IF(OR($A7&lt;parametros!$C$2,(YEAR($A7)-YEAR(parametros!$C$2))*12+MONTH($A7)-MONTH(parametros!$C$2)&gt;59),"Fora dos ciclos","c"&amp;INT(((YEAR($A7)-YEAR(parametros!$C$2))*12+MONTH($A7)-MONTH(parametros!$C$2))/12))))</f>
        <v/>
      </c>
      <c r="C7" s="77"/>
      <c r="D7" s="202" t="str">
        <f>IF(B7="","",IF(B7="c0",1,IF(B7="c1",IF(parametros!$A$3&lt;&gt;"Sim","",IF(NOT(ISNUMBER(parametros!$E$3)),"",1+parametros!$E$3)),IF(B7="c2",IF(parametros!$A$4&lt;&gt;"Sim","",IF(NOT(ISNUMBER(parametros!$E$4)),"",IF(parametros!$A$3="Sim",1+parametros!$E$3,1)*(1+parametros!$E$4))),IF(B7="c3",IF(parametros!$A$5&lt;&gt;"Sim","",IF(NOT(ISNUMBER(parametros!$E$5)),"",IF(parametros!$A$3="Sim",1+parametros!$E$3,1)*IF(parametros!$A$4="Sim",1+parametros!$E$4,1)*(1+parametros!$E$5))),IF(B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" s="79" t="str">
        <f t="shared" si="0"/>
        <v/>
      </c>
      <c r="F7" s="79" t="str">
        <f t="shared" si="1"/>
        <v/>
      </c>
      <c r="G7" s="99"/>
    </row>
    <row r="8" spans="1:7" x14ac:dyDescent="0.35">
      <c r="A8" s="143"/>
      <c r="B8" s="143" t="str">
        <f>IF($A8="","",IF(NOT(ISNUMBER(parametros!$C$2)),"Fora dos ciclos",IF(OR($A8&lt;parametros!$C$2,(YEAR($A8)-YEAR(parametros!$C$2))*12+MONTH($A8)-MONTH(parametros!$C$2)&gt;59),"Fora dos ciclos","c"&amp;INT(((YEAR($A8)-YEAR(parametros!$C$2))*12+MONTH($A8)-MONTH(parametros!$C$2))/12))))</f>
        <v/>
      </c>
      <c r="C8" s="77"/>
      <c r="D8" s="202" t="str">
        <f>IF(B8="","",IF(B8="c0",1,IF(B8="c1",IF(parametros!$A$3&lt;&gt;"Sim","",IF(NOT(ISNUMBER(parametros!$E$3)),"",1+parametros!$E$3)),IF(B8="c2",IF(parametros!$A$4&lt;&gt;"Sim","",IF(NOT(ISNUMBER(parametros!$E$4)),"",IF(parametros!$A$3="Sim",1+parametros!$E$3,1)*(1+parametros!$E$4))),IF(B8="c3",IF(parametros!$A$5&lt;&gt;"Sim","",IF(NOT(ISNUMBER(parametros!$E$5)),"",IF(parametros!$A$3="Sim",1+parametros!$E$3,1)*IF(parametros!$A$4="Sim",1+parametros!$E$4,1)*(1+parametros!$E$5))),IF(B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8" s="79" t="str">
        <f t="shared" si="0"/>
        <v/>
      </c>
      <c r="F8" s="79" t="str">
        <f t="shared" si="1"/>
        <v/>
      </c>
      <c r="G8" s="99"/>
    </row>
    <row r="9" spans="1:7" x14ac:dyDescent="0.35">
      <c r="A9" s="143"/>
      <c r="B9" s="143" t="str">
        <f>IF($A9="","",IF(NOT(ISNUMBER(parametros!$C$2)),"Fora dos ciclos",IF(OR($A9&lt;parametros!$C$2,(YEAR($A9)-YEAR(parametros!$C$2))*12+MONTH($A9)-MONTH(parametros!$C$2)&gt;59),"Fora dos ciclos","c"&amp;INT(((YEAR($A9)-YEAR(parametros!$C$2))*12+MONTH($A9)-MONTH(parametros!$C$2))/12))))</f>
        <v/>
      </c>
      <c r="C9" s="77"/>
      <c r="D9" s="202" t="str">
        <f>IF(B9="","",IF(B9="c0",1,IF(B9="c1",IF(parametros!$A$3&lt;&gt;"Sim","",IF(NOT(ISNUMBER(parametros!$E$3)),"",1+parametros!$E$3)),IF(B9="c2",IF(parametros!$A$4&lt;&gt;"Sim","",IF(NOT(ISNUMBER(parametros!$E$4)),"",IF(parametros!$A$3="Sim",1+parametros!$E$3,1)*(1+parametros!$E$4))),IF(B9="c3",IF(parametros!$A$5&lt;&gt;"Sim","",IF(NOT(ISNUMBER(parametros!$E$5)),"",IF(parametros!$A$3="Sim",1+parametros!$E$3,1)*IF(parametros!$A$4="Sim",1+parametros!$E$4,1)*(1+parametros!$E$5))),IF(B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9" s="79" t="str">
        <f t="shared" si="0"/>
        <v/>
      </c>
      <c r="F9" s="79" t="str">
        <f t="shared" si="1"/>
        <v/>
      </c>
      <c r="G9" s="99"/>
    </row>
    <row r="10" spans="1:7" x14ac:dyDescent="0.35">
      <c r="A10" s="143"/>
      <c r="B10" s="143" t="str">
        <f>IF($A10="","",IF(NOT(ISNUMBER(parametros!$C$2)),"Fora dos ciclos",IF(OR($A10&lt;parametros!$C$2,(YEAR($A10)-YEAR(parametros!$C$2))*12+MONTH($A10)-MONTH(parametros!$C$2)&gt;59),"Fora dos ciclos","c"&amp;INT(((YEAR($A10)-YEAR(parametros!$C$2))*12+MONTH($A10)-MONTH(parametros!$C$2))/12))))</f>
        <v/>
      </c>
      <c r="C10" s="77"/>
      <c r="D10" s="202" t="str">
        <f>IF(B10="","",IF(B10="c0",1,IF(B10="c1",IF(parametros!$A$3&lt;&gt;"Sim","",IF(NOT(ISNUMBER(parametros!$E$3)),"",1+parametros!$E$3)),IF(B10="c2",IF(parametros!$A$4&lt;&gt;"Sim","",IF(NOT(ISNUMBER(parametros!$E$4)),"",IF(parametros!$A$3="Sim",1+parametros!$E$3,1)*(1+parametros!$E$4))),IF(B10="c3",IF(parametros!$A$5&lt;&gt;"Sim","",IF(NOT(ISNUMBER(parametros!$E$5)),"",IF(parametros!$A$3="Sim",1+parametros!$E$3,1)*IF(parametros!$A$4="Sim",1+parametros!$E$4,1)*(1+parametros!$E$5))),IF(B10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0" s="79" t="str">
        <f t="shared" si="0"/>
        <v/>
      </c>
      <c r="F10" s="79" t="str">
        <f t="shared" si="1"/>
        <v/>
      </c>
      <c r="G10" s="99"/>
    </row>
    <row r="11" spans="1:7" x14ac:dyDescent="0.35">
      <c r="A11" s="143"/>
      <c r="B11" s="143" t="str">
        <f>IF($A11="","",IF(NOT(ISNUMBER(parametros!$C$2)),"Fora dos ciclos",IF(OR($A11&lt;parametros!$C$2,(YEAR($A11)-YEAR(parametros!$C$2))*12+MONTH($A11)-MONTH(parametros!$C$2)&gt;59),"Fora dos ciclos","c"&amp;INT(((YEAR($A11)-YEAR(parametros!$C$2))*12+MONTH($A11)-MONTH(parametros!$C$2))/12))))</f>
        <v/>
      </c>
      <c r="C11" s="77"/>
      <c r="D11" s="202" t="str">
        <f>IF(B11="","",IF(B11="c0",1,IF(B11="c1",IF(parametros!$A$3&lt;&gt;"Sim","",IF(NOT(ISNUMBER(parametros!$E$3)),"",1+parametros!$E$3)),IF(B11="c2",IF(parametros!$A$4&lt;&gt;"Sim","",IF(NOT(ISNUMBER(parametros!$E$4)),"",IF(parametros!$A$3="Sim",1+parametros!$E$3,1)*(1+parametros!$E$4))),IF(B11="c3",IF(parametros!$A$5&lt;&gt;"Sim","",IF(NOT(ISNUMBER(parametros!$E$5)),"",IF(parametros!$A$3="Sim",1+parametros!$E$3,1)*IF(parametros!$A$4="Sim",1+parametros!$E$4,1)*(1+parametros!$E$5))),IF(B11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1" s="79" t="str">
        <f t="shared" si="0"/>
        <v/>
      </c>
      <c r="F11" s="79" t="str">
        <f t="shared" si="1"/>
        <v/>
      </c>
      <c r="G11" s="99"/>
    </row>
    <row r="12" spans="1:7" x14ac:dyDescent="0.35">
      <c r="A12" s="143"/>
      <c r="B12" s="143" t="str">
        <f>IF($A12="","",IF(NOT(ISNUMBER(parametros!$C$2)),"Fora dos ciclos",IF(OR($A12&lt;parametros!$C$2,(YEAR($A12)-YEAR(parametros!$C$2))*12+MONTH($A12)-MONTH(parametros!$C$2)&gt;59),"Fora dos ciclos","c"&amp;INT(((YEAR($A12)-YEAR(parametros!$C$2))*12+MONTH($A12)-MONTH(parametros!$C$2))/12))))</f>
        <v/>
      </c>
      <c r="C12" s="77"/>
      <c r="D12" s="202" t="str">
        <f>IF(B12="","",IF(B12="c0",1,IF(B12="c1",IF(parametros!$A$3&lt;&gt;"Sim","",IF(NOT(ISNUMBER(parametros!$E$3)),"",1+parametros!$E$3)),IF(B12="c2",IF(parametros!$A$4&lt;&gt;"Sim","",IF(NOT(ISNUMBER(parametros!$E$4)),"",IF(parametros!$A$3="Sim",1+parametros!$E$3,1)*(1+parametros!$E$4))),IF(B12="c3",IF(parametros!$A$5&lt;&gt;"Sim","",IF(NOT(ISNUMBER(parametros!$E$5)),"",IF(parametros!$A$3="Sim",1+parametros!$E$3,1)*IF(parametros!$A$4="Sim",1+parametros!$E$4,1)*(1+parametros!$E$5))),IF(B12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2" s="79" t="str">
        <f t="shared" si="0"/>
        <v/>
      </c>
      <c r="F12" s="79" t="str">
        <f t="shared" si="1"/>
        <v/>
      </c>
      <c r="G12" s="99"/>
    </row>
    <row r="13" spans="1:7" x14ac:dyDescent="0.35">
      <c r="A13" s="143"/>
      <c r="B13" s="143" t="str">
        <f>IF($A13="","",IF(NOT(ISNUMBER(parametros!$C$2)),"Fora dos ciclos",IF(OR($A13&lt;parametros!$C$2,(YEAR($A13)-YEAR(parametros!$C$2))*12+MONTH($A13)-MONTH(parametros!$C$2)&gt;59),"Fora dos ciclos","c"&amp;INT(((YEAR($A13)-YEAR(parametros!$C$2))*12+MONTH($A13)-MONTH(parametros!$C$2))/12))))</f>
        <v/>
      </c>
      <c r="C13" s="77"/>
      <c r="D13" s="202" t="str">
        <f>IF(B13="","",IF(B13="c0",1,IF(B13="c1",IF(parametros!$A$3&lt;&gt;"Sim","",IF(NOT(ISNUMBER(parametros!$E$3)),"",1+parametros!$E$3)),IF(B13="c2",IF(parametros!$A$4&lt;&gt;"Sim","",IF(NOT(ISNUMBER(parametros!$E$4)),"",IF(parametros!$A$3="Sim",1+parametros!$E$3,1)*(1+parametros!$E$4))),IF(B13="c3",IF(parametros!$A$5&lt;&gt;"Sim","",IF(NOT(ISNUMBER(parametros!$E$5)),"",IF(parametros!$A$3="Sim",1+parametros!$E$3,1)*IF(parametros!$A$4="Sim",1+parametros!$E$4,1)*(1+parametros!$E$5))),IF(B13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3" s="79" t="str">
        <f t="shared" si="0"/>
        <v/>
      </c>
      <c r="F13" s="79" t="str">
        <f t="shared" si="1"/>
        <v/>
      </c>
      <c r="G13" s="99"/>
    </row>
    <row r="14" spans="1:7" x14ac:dyDescent="0.35">
      <c r="A14" s="154"/>
      <c r="B14" s="143" t="str">
        <f>IF($A14="","",IF(NOT(ISNUMBER(parametros!$C$2)),"Fora dos ciclos",IF(OR($A14&lt;parametros!$C$2,(YEAR($A14)-YEAR(parametros!$C$2))*12+MONTH($A14)-MONTH(parametros!$C$2)&gt;59),"Fora dos ciclos","c"&amp;INT(((YEAR($A14)-YEAR(parametros!$C$2))*12+MONTH($A14)-MONTH(parametros!$C$2))/12))))</f>
        <v/>
      </c>
      <c r="C14" s="77"/>
      <c r="D14" s="202" t="str">
        <f>IF(B14="","",IF(B14="c0",1,IF(B14="c1",IF(parametros!$A$3&lt;&gt;"Sim","",IF(NOT(ISNUMBER(parametros!$E$3)),"",1+parametros!$E$3)),IF(B14="c2",IF(parametros!$A$4&lt;&gt;"Sim","",IF(NOT(ISNUMBER(parametros!$E$4)),"",IF(parametros!$A$3="Sim",1+parametros!$E$3,1)*(1+parametros!$E$4))),IF(B14="c3",IF(parametros!$A$5&lt;&gt;"Sim","",IF(NOT(ISNUMBER(parametros!$E$5)),"",IF(parametros!$A$3="Sim",1+parametros!$E$3,1)*IF(parametros!$A$4="Sim",1+parametros!$E$4,1)*(1+parametros!$E$5))),IF(B14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4" s="79" t="str">
        <f t="shared" si="0"/>
        <v/>
      </c>
      <c r="F14" s="79" t="str">
        <f t="shared" si="1"/>
        <v/>
      </c>
      <c r="G14" s="155"/>
    </row>
    <row r="15" spans="1:7" x14ac:dyDescent="0.35">
      <c r="A15" s="154"/>
      <c r="B15" s="143" t="str">
        <f>IF($A15="","",IF(NOT(ISNUMBER(parametros!$C$2)),"Fora dos ciclos",IF(OR($A15&lt;parametros!$C$2,(YEAR($A15)-YEAR(parametros!$C$2))*12+MONTH($A15)-MONTH(parametros!$C$2)&gt;59),"Fora dos ciclos","c"&amp;INT(((YEAR($A15)-YEAR(parametros!$C$2))*12+MONTH($A15)-MONTH(parametros!$C$2))/12))))</f>
        <v/>
      </c>
      <c r="C15" s="77"/>
      <c r="D15" s="202" t="str">
        <f>IF(B15="","",IF(B15="c0",1,IF(B15="c1",IF(parametros!$A$3&lt;&gt;"Sim","",IF(NOT(ISNUMBER(parametros!$E$3)),"",1+parametros!$E$3)),IF(B15="c2",IF(parametros!$A$4&lt;&gt;"Sim","",IF(NOT(ISNUMBER(parametros!$E$4)),"",IF(parametros!$A$3="Sim",1+parametros!$E$3,1)*(1+parametros!$E$4))),IF(B15="c3",IF(parametros!$A$5&lt;&gt;"Sim","",IF(NOT(ISNUMBER(parametros!$E$5)),"",IF(parametros!$A$3="Sim",1+parametros!$E$3,1)*IF(parametros!$A$4="Sim",1+parametros!$E$4,1)*(1+parametros!$E$5))),IF(B15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5" s="79" t="str">
        <f t="shared" si="0"/>
        <v/>
      </c>
      <c r="F15" s="79" t="str">
        <f t="shared" si="1"/>
        <v/>
      </c>
      <c r="G15" s="155"/>
    </row>
    <row r="16" spans="1:7" x14ac:dyDescent="0.35">
      <c r="A16" s="154"/>
      <c r="B16" s="143" t="str">
        <f>IF($A16="","",IF(NOT(ISNUMBER(parametros!$C$2)),"Fora dos ciclos",IF(OR($A16&lt;parametros!$C$2,(YEAR($A16)-YEAR(parametros!$C$2))*12+MONTH($A16)-MONTH(parametros!$C$2)&gt;59),"Fora dos ciclos","c"&amp;INT(((YEAR($A16)-YEAR(parametros!$C$2))*12+MONTH($A16)-MONTH(parametros!$C$2))/12))))</f>
        <v/>
      </c>
      <c r="C16" s="77"/>
      <c r="D16" s="202" t="str">
        <f>IF(B16="","",IF(B16="c0",1,IF(B16="c1",IF(parametros!$A$3&lt;&gt;"Sim","",IF(NOT(ISNUMBER(parametros!$E$3)),"",1+parametros!$E$3)),IF(B16="c2",IF(parametros!$A$4&lt;&gt;"Sim","",IF(NOT(ISNUMBER(parametros!$E$4)),"",IF(parametros!$A$3="Sim",1+parametros!$E$3,1)*(1+parametros!$E$4))),IF(B16="c3",IF(parametros!$A$5&lt;&gt;"Sim","",IF(NOT(ISNUMBER(parametros!$E$5)),"",IF(parametros!$A$3="Sim",1+parametros!$E$3,1)*IF(parametros!$A$4="Sim",1+parametros!$E$4,1)*(1+parametros!$E$5))),IF(B16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6" s="79" t="str">
        <f t="shared" si="0"/>
        <v/>
      </c>
      <c r="F16" s="79" t="str">
        <f t="shared" si="1"/>
        <v/>
      </c>
      <c r="G16" s="155"/>
    </row>
    <row r="17" spans="1:7" x14ac:dyDescent="0.35">
      <c r="A17" s="154"/>
      <c r="B17" s="143" t="str">
        <f>IF($A17="","",IF(NOT(ISNUMBER(parametros!$C$2)),"Fora dos ciclos",IF(OR($A17&lt;parametros!$C$2,(YEAR($A17)-YEAR(parametros!$C$2))*12+MONTH($A17)-MONTH(parametros!$C$2)&gt;59),"Fora dos ciclos","c"&amp;INT(((YEAR($A17)-YEAR(parametros!$C$2))*12+MONTH($A17)-MONTH(parametros!$C$2))/12))))</f>
        <v/>
      </c>
      <c r="C17" s="77"/>
      <c r="D17" s="202" t="str">
        <f>IF(B17="","",IF(B17="c0",1,IF(B17="c1",IF(parametros!$A$3&lt;&gt;"Sim","",IF(NOT(ISNUMBER(parametros!$E$3)),"",1+parametros!$E$3)),IF(B17="c2",IF(parametros!$A$4&lt;&gt;"Sim","",IF(NOT(ISNUMBER(parametros!$E$4)),"",IF(parametros!$A$3="Sim",1+parametros!$E$3,1)*(1+parametros!$E$4))),IF(B17="c3",IF(parametros!$A$5&lt;&gt;"Sim","",IF(NOT(ISNUMBER(parametros!$E$5)),"",IF(parametros!$A$3="Sim",1+parametros!$E$3,1)*IF(parametros!$A$4="Sim",1+parametros!$E$4,1)*(1+parametros!$E$5))),IF(B17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7" s="79" t="str">
        <f t="shared" si="0"/>
        <v/>
      </c>
      <c r="F17" s="79" t="str">
        <f t="shared" si="1"/>
        <v/>
      </c>
      <c r="G17" s="155"/>
    </row>
    <row r="18" spans="1:7" x14ac:dyDescent="0.35">
      <c r="A18" s="154"/>
      <c r="B18" s="143" t="str">
        <f>IF($A18="","",IF(NOT(ISNUMBER(parametros!$C$2)),"Fora dos ciclos",IF(OR($A18&lt;parametros!$C$2,(YEAR($A18)-YEAR(parametros!$C$2))*12+MONTH($A18)-MONTH(parametros!$C$2)&gt;59),"Fora dos ciclos","c"&amp;INT(((YEAR($A18)-YEAR(parametros!$C$2))*12+MONTH($A18)-MONTH(parametros!$C$2))/12))))</f>
        <v/>
      </c>
      <c r="C18" s="77"/>
      <c r="D18" s="202" t="str">
        <f>IF(B18="","",IF(B18="c0",1,IF(B18="c1",IF(parametros!$A$3&lt;&gt;"Sim","",IF(NOT(ISNUMBER(parametros!$E$3)),"",1+parametros!$E$3)),IF(B18="c2",IF(parametros!$A$4&lt;&gt;"Sim","",IF(NOT(ISNUMBER(parametros!$E$4)),"",IF(parametros!$A$3="Sim",1+parametros!$E$3,1)*(1+parametros!$E$4))),IF(B18="c3",IF(parametros!$A$5&lt;&gt;"Sim","",IF(NOT(ISNUMBER(parametros!$E$5)),"",IF(parametros!$A$3="Sim",1+parametros!$E$3,1)*IF(parametros!$A$4="Sim",1+parametros!$E$4,1)*(1+parametros!$E$5))),IF(B18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8" s="79" t="str">
        <f t="shared" si="0"/>
        <v/>
      </c>
      <c r="F18" s="79" t="str">
        <f t="shared" si="1"/>
        <v/>
      </c>
      <c r="G18" s="155"/>
    </row>
    <row r="19" spans="1:7" x14ac:dyDescent="0.35">
      <c r="A19" s="154"/>
      <c r="B19" s="143" t="str">
        <f>IF($A19="","",IF(NOT(ISNUMBER(parametros!$C$2)),"Fora dos ciclos",IF(OR($A19&lt;parametros!$C$2,(YEAR($A19)-YEAR(parametros!$C$2))*12+MONTH($A19)-MONTH(parametros!$C$2)&gt;59),"Fora dos ciclos","c"&amp;INT(((YEAR($A19)-YEAR(parametros!$C$2))*12+MONTH($A19)-MONTH(parametros!$C$2))/12))))</f>
        <v/>
      </c>
      <c r="C19" s="77"/>
      <c r="D19" s="202" t="str">
        <f>IF(B19="","",IF(B19="c0",1,IF(B19="c1",IF(parametros!$A$3&lt;&gt;"Sim","",IF(NOT(ISNUMBER(parametros!$E$3)),"",1+parametros!$E$3)),IF(B19="c2",IF(parametros!$A$4&lt;&gt;"Sim","",IF(NOT(ISNUMBER(parametros!$E$4)),"",IF(parametros!$A$3="Sim",1+parametros!$E$3,1)*(1+parametros!$E$4))),IF(B19="c3",IF(parametros!$A$5&lt;&gt;"Sim","",IF(NOT(ISNUMBER(parametros!$E$5)),"",IF(parametros!$A$3="Sim",1+parametros!$E$3,1)*IF(parametros!$A$4="Sim",1+parametros!$E$4,1)*(1+parametros!$E$5))),IF(B19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9" s="79" t="str">
        <f t="shared" si="0"/>
        <v/>
      </c>
      <c r="F19" s="79" t="str">
        <f t="shared" si="1"/>
        <v/>
      </c>
      <c r="G19" s="155"/>
    </row>
    <row r="20" spans="1:7" x14ac:dyDescent="0.35">
      <c r="A20" s="154"/>
      <c r="B20" s="143" t="str">
        <f>IF($A20="","",IF(NOT(ISNUMBER(parametros!$C$2)),"Fora dos ciclos",IF(OR($A20&lt;parametros!$C$2,(YEAR($A20)-YEAR(parametros!$C$2))*12+MONTH($A20)-MONTH(parametros!$C$2)&gt;59),"Fora dos ciclos","c"&amp;INT(((YEAR($A20)-YEAR(parametros!$C$2))*12+MONTH($A20)-MONTH(parametros!$C$2))/12))))</f>
        <v/>
      </c>
      <c r="C20" s="77"/>
      <c r="D20" s="202" t="str">
        <f>IF(B20="","",IF(B20="c0",1,IF(B20="c1",IF(parametros!$A$3&lt;&gt;"Sim","",IF(NOT(ISNUMBER(parametros!$E$3)),"",1+parametros!$E$3)),IF(B20="c2",IF(parametros!$A$4&lt;&gt;"Sim","",IF(NOT(ISNUMBER(parametros!$E$4)),"",IF(parametros!$A$3="Sim",1+parametros!$E$3,1)*(1+parametros!$E$4))),IF(B20="c3",IF(parametros!$A$5&lt;&gt;"Sim","",IF(NOT(ISNUMBER(parametros!$E$5)),"",IF(parametros!$A$3="Sim",1+parametros!$E$3,1)*IF(parametros!$A$4="Sim",1+parametros!$E$4,1)*(1+parametros!$E$5))),IF(B20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0" s="79" t="str">
        <f t="shared" si="0"/>
        <v/>
      </c>
      <c r="F20" s="79" t="str">
        <f t="shared" si="1"/>
        <v/>
      </c>
      <c r="G20" s="155"/>
    </row>
    <row r="21" spans="1:7" x14ac:dyDescent="0.35">
      <c r="A21" s="154"/>
      <c r="B21" s="143" t="str">
        <f>IF($A21="","",IF(NOT(ISNUMBER(parametros!$C$2)),"Fora dos ciclos",IF(OR($A21&lt;parametros!$C$2,(YEAR($A21)-YEAR(parametros!$C$2))*12+MONTH($A21)-MONTH(parametros!$C$2)&gt;59),"Fora dos ciclos","c"&amp;INT(((YEAR($A21)-YEAR(parametros!$C$2))*12+MONTH($A21)-MONTH(parametros!$C$2))/12))))</f>
        <v/>
      </c>
      <c r="C21" s="77"/>
      <c r="D21" s="202" t="str">
        <f>IF(B21="","",IF(B21="c0",1,IF(B21="c1",IF(parametros!$A$3&lt;&gt;"Sim","",IF(NOT(ISNUMBER(parametros!$E$3)),"",1+parametros!$E$3)),IF(B21="c2",IF(parametros!$A$4&lt;&gt;"Sim","",IF(NOT(ISNUMBER(parametros!$E$4)),"",IF(parametros!$A$3="Sim",1+parametros!$E$3,1)*(1+parametros!$E$4))),IF(B21="c3",IF(parametros!$A$5&lt;&gt;"Sim","",IF(NOT(ISNUMBER(parametros!$E$5)),"",IF(parametros!$A$3="Sim",1+parametros!$E$3,1)*IF(parametros!$A$4="Sim",1+parametros!$E$4,1)*(1+parametros!$E$5))),IF(B21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1" s="79" t="str">
        <f t="shared" si="0"/>
        <v/>
      </c>
      <c r="F21" s="79" t="str">
        <f t="shared" si="1"/>
        <v/>
      </c>
      <c r="G21" s="155"/>
    </row>
    <row r="22" spans="1:7" x14ac:dyDescent="0.35">
      <c r="A22" s="154"/>
      <c r="B22" s="143" t="str">
        <f>IF($A22="","",IF(NOT(ISNUMBER(parametros!$C$2)),"Fora dos ciclos",IF(OR($A22&lt;parametros!$C$2,(YEAR($A22)-YEAR(parametros!$C$2))*12+MONTH($A22)-MONTH(parametros!$C$2)&gt;59),"Fora dos ciclos","c"&amp;INT(((YEAR($A22)-YEAR(parametros!$C$2))*12+MONTH($A22)-MONTH(parametros!$C$2))/12))))</f>
        <v/>
      </c>
      <c r="C22" s="77"/>
      <c r="D22" s="202" t="str">
        <f>IF(B22="","",IF(B22="c0",1,IF(B22="c1",IF(parametros!$A$3&lt;&gt;"Sim","",IF(NOT(ISNUMBER(parametros!$E$3)),"",1+parametros!$E$3)),IF(B22="c2",IF(parametros!$A$4&lt;&gt;"Sim","",IF(NOT(ISNUMBER(parametros!$E$4)),"",IF(parametros!$A$3="Sim",1+parametros!$E$3,1)*(1+parametros!$E$4))),IF(B22="c3",IF(parametros!$A$5&lt;&gt;"Sim","",IF(NOT(ISNUMBER(parametros!$E$5)),"",IF(parametros!$A$3="Sim",1+parametros!$E$3,1)*IF(parametros!$A$4="Sim",1+parametros!$E$4,1)*(1+parametros!$E$5))),IF(B22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2" s="79" t="str">
        <f t="shared" si="0"/>
        <v/>
      </c>
      <c r="F22" s="79" t="str">
        <f t="shared" si="1"/>
        <v/>
      </c>
      <c r="G22" s="155"/>
    </row>
    <row r="23" spans="1:7" x14ac:dyDescent="0.35">
      <c r="A23" s="154"/>
      <c r="B23" s="143" t="str">
        <f>IF($A23="","",IF(NOT(ISNUMBER(parametros!$C$2)),"Fora dos ciclos",IF(OR($A23&lt;parametros!$C$2,(YEAR($A23)-YEAR(parametros!$C$2))*12+MONTH($A23)-MONTH(parametros!$C$2)&gt;59),"Fora dos ciclos","c"&amp;INT(((YEAR($A23)-YEAR(parametros!$C$2))*12+MONTH($A23)-MONTH(parametros!$C$2))/12))))</f>
        <v/>
      </c>
      <c r="C23" s="77"/>
      <c r="D23" s="202" t="str">
        <f>IF(B23="","",IF(B23="c0",1,IF(B23="c1",IF(parametros!$A$3&lt;&gt;"Sim","",IF(NOT(ISNUMBER(parametros!$E$3)),"",1+parametros!$E$3)),IF(B23="c2",IF(parametros!$A$4&lt;&gt;"Sim","",IF(NOT(ISNUMBER(parametros!$E$4)),"",IF(parametros!$A$3="Sim",1+parametros!$E$3,1)*(1+parametros!$E$4))),IF(B23="c3",IF(parametros!$A$5&lt;&gt;"Sim","",IF(NOT(ISNUMBER(parametros!$E$5)),"",IF(parametros!$A$3="Sim",1+parametros!$E$3,1)*IF(parametros!$A$4="Sim",1+parametros!$E$4,1)*(1+parametros!$E$5))),IF(B23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3" s="79" t="str">
        <f t="shared" si="0"/>
        <v/>
      </c>
      <c r="F23" s="79" t="str">
        <f t="shared" si="1"/>
        <v/>
      </c>
      <c r="G23" s="155"/>
    </row>
    <row r="24" spans="1:7" x14ac:dyDescent="0.35">
      <c r="A24" s="154"/>
      <c r="B24" s="143" t="str">
        <f>IF($A24="","",IF(NOT(ISNUMBER(parametros!$C$2)),"Fora dos ciclos",IF(OR($A24&lt;parametros!$C$2,(YEAR($A24)-YEAR(parametros!$C$2))*12+MONTH($A24)-MONTH(parametros!$C$2)&gt;59),"Fora dos ciclos","c"&amp;INT(((YEAR($A24)-YEAR(parametros!$C$2))*12+MONTH($A24)-MONTH(parametros!$C$2))/12))))</f>
        <v/>
      </c>
      <c r="C24" s="77"/>
      <c r="D24" s="202" t="str">
        <f>IF(B24="","",IF(B24="c0",1,IF(B24="c1",IF(parametros!$A$3&lt;&gt;"Sim","",IF(NOT(ISNUMBER(parametros!$E$3)),"",1+parametros!$E$3)),IF(B24="c2",IF(parametros!$A$4&lt;&gt;"Sim","",IF(NOT(ISNUMBER(parametros!$E$4)),"",IF(parametros!$A$3="Sim",1+parametros!$E$3,1)*(1+parametros!$E$4))),IF(B24="c3",IF(parametros!$A$5&lt;&gt;"Sim","",IF(NOT(ISNUMBER(parametros!$E$5)),"",IF(parametros!$A$3="Sim",1+parametros!$E$3,1)*IF(parametros!$A$4="Sim",1+parametros!$E$4,1)*(1+parametros!$E$5))),IF(B24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4" s="79" t="str">
        <f t="shared" si="0"/>
        <v/>
      </c>
      <c r="F24" s="79" t="str">
        <f t="shared" si="1"/>
        <v/>
      </c>
      <c r="G24" s="155"/>
    </row>
    <row r="25" spans="1:7" x14ac:dyDescent="0.35">
      <c r="A25" s="154"/>
      <c r="B25" s="143" t="str">
        <f>IF($A25="","",IF(NOT(ISNUMBER(parametros!$C$2)),"Fora dos ciclos",IF(OR($A25&lt;parametros!$C$2,(YEAR($A25)-YEAR(parametros!$C$2))*12+MONTH($A25)-MONTH(parametros!$C$2)&gt;59),"Fora dos ciclos","c"&amp;INT(((YEAR($A25)-YEAR(parametros!$C$2))*12+MONTH($A25)-MONTH(parametros!$C$2))/12))))</f>
        <v/>
      </c>
      <c r="C25" s="77"/>
      <c r="D25" s="202" t="str">
        <f>IF(B25="","",IF(B25="c0",1,IF(B25="c1",IF(parametros!$A$3&lt;&gt;"Sim","",IF(NOT(ISNUMBER(parametros!$E$3)),"",1+parametros!$E$3)),IF(B25="c2",IF(parametros!$A$4&lt;&gt;"Sim","",IF(NOT(ISNUMBER(parametros!$E$4)),"",IF(parametros!$A$3="Sim",1+parametros!$E$3,1)*(1+parametros!$E$4))),IF(B25="c3",IF(parametros!$A$5&lt;&gt;"Sim","",IF(NOT(ISNUMBER(parametros!$E$5)),"",IF(parametros!$A$3="Sim",1+parametros!$E$3,1)*IF(parametros!$A$4="Sim",1+parametros!$E$4,1)*(1+parametros!$E$5))),IF(B25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5" s="79" t="str">
        <f t="shared" si="0"/>
        <v/>
      </c>
      <c r="F25" s="79" t="str">
        <f t="shared" si="1"/>
        <v/>
      </c>
      <c r="G25" s="155"/>
    </row>
    <row r="26" spans="1:7" x14ac:dyDescent="0.35">
      <c r="A26" s="154"/>
      <c r="B26" s="143" t="str">
        <f>IF($A26="","",IF(NOT(ISNUMBER(parametros!$C$2)),"Fora dos ciclos",IF(OR($A26&lt;parametros!$C$2,(YEAR($A26)-YEAR(parametros!$C$2))*12+MONTH($A26)-MONTH(parametros!$C$2)&gt;59),"Fora dos ciclos","c"&amp;INT(((YEAR($A26)-YEAR(parametros!$C$2))*12+MONTH($A26)-MONTH(parametros!$C$2))/12))))</f>
        <v/>
      </c>
      <c r="C26" s="77"/>
      <c r="D26" s="202" t="str">
        <f>IF(B26="","",IF(B26="c0",1,IF(B26="c1",IF(parametros!$A$3&lt;&gt;"Sim","",IF(NOT(ISNUMBER(parametros!$E$3)),"",1+parametros!$E$3)),IF(B26="c2",IF(parametros!$A$4&lt;&gt;"Sim","",IF(NOT(ISNUMBER(parametros!$E$4)),"",IF(parametros!$A$3="Sim",1+parametros!$E$3,1)*(1+parametros!$E$4))),IF(B26="c3",IF(parametros!$A$5&lt;&gt;"Sim","",IF(NOT(ISNUMBER(parametros!$E$5)),"",IF(parametros!$A$3="Sim",1+parametros!$E$3,1)*IF(parametros!$A$4="Sim",1+parametros!$E$4,1)*(1+parametros!$E$5))),IF(B26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6" s="79" t="str">
        <f t="shared" si="0"/>
        <v/>
      </c>
      <c r="F26" s="79" t="str">
        <f t="shared" si="1"/>
        <v/>
      </c>
      <c r="G26" s="155"/>
    </row>
    <row r="27" spans="1:7" x14ac:dyDescent="0.35">
      <c r="A27" s="154"/>
      <c r="B27" s="143" t="str">
        <f>IF($A27="","",IF(NOT(ISNUMBER(parametros!$C$2)),"Fora dos ciclos",IF(OR($A27&lt;parametros!$C$2,(YEAR($A27)-YEAR(parametros!$C$2))*12+MONTH($A27)-MONTH(parametros!$C$2)&gt;59),"Fora dos ciclos","c"&amp;INT(((YEAR($A27)-YEAR(parametros!$C$2))*12+MONTH($A27)-MONTH(parametros!$C$2))/12))))</f>
        <v/>
      </c>
      <c r="C27" s="77"/>
      <c r="D27" s="202" t="str">
        <f>IF(B27="","",IF(B27="c0",1,IF(B27="c1",IF(parametros!$A$3&lt;&gt;"Sim","",IF(NOT(ISNUMBER(parametros!$E$3)),"",1+parametros!$E$3)),IF(B27="c2",IF(parametros!$A$4&lt;&gt;"Sim","",IF(NOT(ISNUMBER(parametros!$E$4)),"",IF(parametros!$A$3="Sim",1+parametros!$E$3,1)*(1+parametros!$E$4))),IF(B27="c3",IF(parametros!$A$5&lt;&gt;"Sim","",IF(NOT(ISNUMBER(parametros!$E$5)),"",IF(parametros!$A$3="Sim",1+parametros!$E$3,1)*IF(parametros!$A$4="Sim",1+parametros!$E$4,1)*(1+parametros!$E$5))),IF(B27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7" s="79" t="str">
        <f t="shared" si="0"/>
        <v/>
      </c>
      <c r="F27" s="79" t="str">
        <f t="shared" si="1"/>
        <v/>
      </c>
      <c r="G27" s="155"/>
    </row>
    <row r="28" spans="1:7" x14ac:dyDescent="0.35">
      <c r="A28" s="154"/>
      <c r="B28" s="143" t="str">
        <f>IF($A28="","",IF(NOT(ISNUMBER(parametros!$C$2)),"Fora dos ciclos",IF(OR($A28&lt;parametros!$C$2,(YEAR($A28)-YEAR(parametros!$C$2))*12+MONTH($A28)-MONTH(parametros!$C$2)&gt;59),"Fora dos ciclos","c"&amp;INT(((YEAR($A28)-YEAR(parametros!$C$2))*12+MONTH($A28)-MONTH(parametros!$C$2))/12))))</f>
        <v/>
      </c>
      <c r="C28" s="77"/>
      <c r="D28" s="202" t="str">
        <f>IF(B28="","",IF(B28="c0",1,IF(B28="c1",IF(parametros!$A$3&lt;&gt;"Sim","",IF(NOT(ISNUMBER(parametros!$E$3)),"",1+parametros!$E$3)),IF(B28="c2",IF(parametros!$A$4&lt;&gt;"Sim","",IF(NOT(ISNUMBER(parametros!$E$4)),"",IF(parametros!$A$3="Sim",1+parametros!$E$3,1)*(1+parametros!$E$4))),IF(B28="c3",IF(parametros!$A$5&lt;&gt;"Sim","",IF(NOT(ISNUMBER(parametros!$E$5)),"",IF(parametros!$A$3="Sim",1+parametros!$E$3,1)*IF(parametros!$A$4="Sim",1+parametros!$E$4,1)*(1+parametros!$E$5))),IF(B28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8" s="79" t="str">
        <f t="shared" si="0"/>
        <v/>
      </c>
      <c r="F28" s="79" t="str">
        <f t="shared" si="1"/>
        <v/>
      </c>
      <c r="G28" s="155"/>
    </row>
    <row r="29" spans="1:7" x14ac:dyDescent="0.35">
      <c r="A29" s="154"/>
      <c r="B29" s="143" t="str">
        <f>IF($A29="","",IF(NOT(ISNUMBER(parametros!$C$2)),"Fora dos ciclos",IF(OR($A29&lt;parametros!$C$2,(YEAR($A29)-YEAR(parametros!$C$2))*12+MONTH($A29)-MONTH(parametros!$C$2)&gt;59),"Fora dos ciclos","c"&amp;INT(((YEAR($A29)-YEAR(parametros!$C$2))*12+MONTH($A29)-MONTH(parametros!$C$2))/12))))</f>
        <v/>
      </c>
      <c r="C29" s="77"/>
      <c r="D29" s="202" t="str">
        <f>IF(B29="","",IF(B29="c0",1,IF(B29="c1",IF(parametros!$A$3&lt;&gt;"Sim","",IF(NOT(ISNUMBER(parametros!$E$3)),"",1+parametros!$E$3)),IF(B29="c2",IF(parametros!$A$4&lt;&gt;"Sim","",IF(NOT(ISNUMBER(parametros!$E$4)),"",IF(parametros!$A$3="Sim",1+parametros!$E$3,1)*(1+parametros!$E$4))),IF(B29="c3",IF(parametros!$A$5&lt;&gt;"Sim","",IF(NOT(ISNUMBER(parametros!$E$5)),"",IF(parametros!$A$3="Sim",1+parametros!$E$3,1)*IF(parametros!$A$4="Sim",1+parametros!$E$4,1)*(1+parametros!$E$5))),IF(B29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9" s="79" t="str">
        <f t="shared" si="0"/>
        <v/>
      </c>
      <c r="F29" s="79" t="str">
        <f t="shared" si="1"/>
        <v/>
      </c>
      <c r="G29" s="155"/>
    </row>
    <row r="30" spans="1:7" x14ac:dyDescent="0.35">
      <c r="A30" s="154"/>
      <c r="B30" s="143" t="str">
        <f>IF($A30="","",IF(NOT(ISNUMBER(parametros!$C$2)),"Fora dos ciclos",IF(OR($A30&lt;parametros!$C$2,(YEAR($A30)-YEAR(parametros!$C$2))*12+MONTH($A30)-MONTH(parametros!$C$2)&gt;59),"Fora dos ciclos","c"&amp;INT(((YEAR($A30)-YEAR(parametros!$C$2))*12+MONTH($A30)-MONTH(parametros!$C$2))/12))))</f>
        <v/>
      </c>
      <c r="C30" s="77"/>
      <c r="D30" s="202" t="str">
        <f>IF(B30="","",IF(B30="c0",1,IF(B30="c1",IF(parametros!$A$3&lt;&gt;"Sim","",IF(NOT(ISNUMBER(parametros!$E$3)),"",1+parametros!$E$3)),IF(B30="c2",IF(parametros!$A$4&lt;&gt;"Sim","",IF(NOT(ISNUMBER(parametros!$E$4)),"",IF(parametros!$A$3="Sim",1+parametros!$E$3,1)*(1+parametros!$E$4))),IF(B30="c3",IF(parametros!$A$5&lt;&gt;"Sim","",IF(NOT(ISNUMBER(parametros!$E$5)),"",IF(parametros!$A$3="Sim",1+parametros!$E$3,1)*IF(parametros!$A$4="Sim",1+parametros!$E$4,1)*(1+parametros!$E$5))),IF(B30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0" s="79" t="str">
        <f t="shared" si="0"/>
        <v/>
      </c>
      <c r="F30" s="79" t="str">
        <f t="shared" si="1"/>
        <v/>
      </c>
      <c r="G30" s="155"/>
    </row>
    <row r="31" spans="1:7" x14ac:dyDescent="0.35">
      <c r="A31" s="154"/>
      <c r="B31" s="143" t="str">
        <f>IF($A31="","",IF(NOT(ISNUMBER(parametros!$C$2)),"Fora dos ciclos",IF(OR($A31&lt;parametros!$C$2,(YEAR($A31)-YEAR(parametros!$C$2))*12+MONTH($A31)-MONTH(parametros!$C$2)&gt;59),"Fora dos ciclos","c"&amp;INT(((YEAR($A31)-YEAR(parametros!$C$2))*12+MONTH($A31)-MONTH(parametros!$C$2))/12))))</f>
        <v/>
      </c>
      <c r="C31" s="77"/>
      <c r="D31" s="202" t="str">
        <f>IF(B31="","",IF(B31="c0",1,IF(B31="c1",IF(parametros!$A$3&lt;&gt;"Sim","",IF(NOT(ISNUMBER(parametros!$E$3)),"",1+parametros!$E$3)),IF(B31="c2",IF(parametros!$A$4&lt;&gt;"Sim","",IF(NOT(ISNUMBER(parametros!$E$4)),"",IF(parametros!$A$3="Sim",1+parametros!$E$3,1)*(1+parametros!$E$4))),IF(B31="c3",IF(parametros!$A$5&lt;&gt;"Sim","",IF(NOT(ISNUMBER(parametros!$E$5)),"",IF(parametros!$A$3="Sim",1+parametros!$E$3,1)*IF(parametros!$A$4="Sim",1+parametros!$E$4,1)*(1+parametros!$E$5))),IF(B31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1" s="79" t="str">
        <f t="shared" si="0"/>
        <v/>
      </c>
      <c r="F31" s="79" t="str">
        <f t="shared" si="1"/>
        <v/>
      </c>
      <c r="G31" s="155"/>
    </row>
    <row r="32" spans="1:7" x14ac:dyDescent="0.35">
      <c r="A32" s="154"/>
      <c r="B32" s="143" t="str">
        <f>IF($A32="","",IF(NOT(ISNUMBER(parametros!$C$2)),"Fora dos ciclos",IF(OR($A32&lt;parametros!$C$2,(YEAR($A32)-YEAR(parametros!$C$2))*12+MONTH($A32)-MONTH(parametros!$C$2)&gt;59),"Fora dos ciclos","c"&amp;INT(((YEAR($A32)-YEAR(parametros!$C$2))*12+MONTH($A32)-MONTH(parametros!$C$2))/12))))</f>
        <v/>
      </c>
      <c r="C32" s="77"/>
      <c r="D32" s="202" t="str">
        <f>IF(B32="","",IF(B32="c0",1,IF(B32="c1",IF(parametros!$A$3&lt;&gt;"Sim","",IF(NOT(ISNUMBER(parametros!$E$3)),"",1+parametros!$E$3)),IF(B32="c2",IF(parametros!$A$4&lt;&gt;"Sim","",IF(NOT(ISNUMBER(parametros!$E$4)),"",IF(parametros!$A$3="Sim",1+parametros!$E$3,1)*(1+parametros!$E$4))),IF(B32="c3",IF(parametros!$A$5&lt;&gt;"Sim","",IF(NOT(ISNUMBER(parametros!$E$5)),"",IF(parametros!$A$3="Sim",1+parametros!$E$3,1)*IF(parametros!$A$4="Sim",1+parametros!$E$4,1)*(1+parametros!$E$5))),IF(B32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2" s="79" t="str">
        <f t="shared" si="0"/>
        <v/>
      </c>
      <c r="F32" s="79" t="str">
        <f t="shared" si="1"/>
        <v/>
      </c>
      <c r="G32" s="155"/>
    </row>
    <row r="33" spans="1:7" x14ac:dyDescent="0.35">
      <c r="A33" s="154"/>
      <c r="B33" s="143" t="str">
        <f>IF($A33="","",IF(NOT(ISNUMBER(parametros!$C$2)),"Fora dos ciclos",IF(OR($A33&lt;parametros!$C$2,(YEAR($A33)-YEAR(parametros!$C$2))*12+MONTH($A33)-MONTH(parametros!$C$2)&gt;59),"Fora dos ciclos","c"&amp;INT(((YEAR($A33)-YEAR(parametros!$C$2))*12+MONTH($A33)-MONTH(parametros!$C$2))/12))))</f>
        <v/>
      </c>
      <c r="C33" s="77"/>
      <c r="D33" s="202" t="str">
        <f>IF(B33="","",IF(B33="c0",1,IF(B33="c1",IF(parametros!$A$3&lt;&gt;"Sim","",IF(NOT(ISNUMBER(parametros!$E$3)),"",1+parametros!$E$3)),IF(B33="c2",IF(parametros!$A$4&lt;&gt;"Sim","",IF(NOT(ISNUMBER(parametros!$E$4)),"",IF(parametros!$A$3="Sim",1+parametros!$E$3,1)*(1+parametros!$E$4))),IF(B33="c3",IF(parametros!$A$5&lt;&gt;"Sim","",IF(NOT(ISNUMBER(parametros!$E$5)),"",IF(parametros!$A$3="Sim",1+parametros!$E$3,1)*IF(parametros!$A$4="Sim",1+parametros!$E$4,1)*(1+parametros!$E$5))),IF(B33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3" s="79" t="str">
        <f t="shared" si="0"/>
        <v/>
      </c>
      <c r="F33" s="79" t="str">
        <f t="shared" si="1"/>
        <v/>
      </c>
      <c r="G33" s="155"/>
    </row>
    <row r="34" spans="1:7" x14ac:dyDescent="0.35">
      <c r="A34" s="154"/>
      <c r="B34" s="143" t="str">
        <f>IF($A34="","",IF(NOT(ISNUMBER(parametros!$C$2)),"Fora dos ciclos",IF(OR($A34&lt;parametros!$C$2,(YEAR($A34)-YEAR(parametros!$C$2))*12+MONTH($A34)-MONTH(parametros!$C$2)&gt;59),"Fora dos ciclos","c"&amp;INT(((YEAR($A34)-YEAR(parametros!$C$2))*12+MONTH($A34)-MONTH(parametros!$C$2))/12))))</f>
        <v/>
      </c>
      <c r="C34" s="77"/>
      <c r="D34" s="202" t="str">
        <f>IF(B34="","",IF(B34="c0",1,IF(B34="c1",IF(parametros!$A$3&lt;&gt;"Sim","",IF(NOT(ISNUMBER(parametros!$E$3)),"",1+parametros!$E$3)),IF(B34="c2",IF(parametros!$A$4&lt;&gt;"Sim","",IF(NOT(ISNUMBER(parametros!$E$4)),"",IF(parametros!$A$3="Sim",1+parametros!$E$3,1)*(1+parametros!$E$4))),IF(B34="c3",IF(parametros!$A$5&lt;&gt;"Sim","",IF(NOT(ISNUMBER(parametros!$E$5)),"",IF(parametros!$A$3="Sim",1+parametros!$E$3,1)*IF(parametros!$A$4="Sim",1+parametros!$E$4,1)*(1+parametros!$E$5))),IF(B34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4" s="79" t="str">
        <f t="shared" ref="E34:E65" si="2">IF(C34="","",IF(G34="","",IF(G34="Sim",IF(NOT(ISNUMBER(D34)),"",ROUND(C34*D34,2)),C34)))</f>
        <v/>
      </c>
      <c r="F34" s="79" t="str">
        <f t="shared" ref="F34:F65" si="3">IF(C34="","",IF(G34="","",IF(G34="Sim",IF(E34="","",ROUND(E34-C34,2)),0)))</f>
        <v/>
      </c>
      <c r="G34" s="155"/>
    </row>
    <row r="35" spans="1:7" x14ac:dyDescent="0.35">
      <c r="A35" s="154"/>
      <c r="B35" s="143" t="str">
        <f>IF($A35="","",IF(NOT(ISNUMBER(parametros!$C$2)),"Fora dos ciclos",IF(OR($A35&lt;parametros!$C$2,(YEAR($A35)-YEAR(parametros!$C$2))*12+MONTH($A35)-MONTH(parametros!$C$2)&gt;59),"Fora dos ciclos","c"&amp;INT(((YEAR($A35)-YEAR(parametros!$C$2))*12+MONTH($A35)-MONTH(parametros!$C$2))/12))))</f>
        <v/>
      </c>
      <c r="C35" s="77"/>
      <c r="D35" s="202" t="str">
        <f>IF(B35="","",IF(B35="c0",1,IF(B35="c1",IF(parametros!$A$3&lt;&gt;"Sim","",IF(NOT(ISNUMBER(parametros!$E$3)),"",1+parametros!$E$3)),IF(B35="c2",IF(parametros!$A$4&lt;&gt;"Sim","",IF(NOT(ISNUMBER(parametros!$E$4)),"",IF(parametros!$A$3="Sim",1+parametros!$E$3,1)*(1+parametros!$E$4))),IF(B35="c3",IF(parametros!$A$5&lt;&gt;"Sim","",IF(NOT(ISNUMBER(parametros!$E$5)),"",IF(parametros!$A$3="Sim",1+parametros!$E$3,1)*IF(parametros!$A$4="Sim",1+parametros!$E$4,1)*(1+parametros!$E$5))),IF(B35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5" s="79" t="str">
        <f t="shared" si="2"/>
        <v/>
      </c>
      <c r="F35" s="79" t="str">
        <f t="shared" si="3"/>
        <v/>
      </c>
      <c r="G35" s="155"/>
    </row>
    <row r="36" spans="1:7" x14ac:dyDescent="0.35">
      <c r="A36" s="154"/>
      <c r="B36" s="143" t="str">
        <f>IF($A36="","",IF(NOT(ISNUMBER(parametros!$C$2)),"Fora dos ciclos",IF(OR($A36&lt;parametros!$C$2,(YEAR($A36)-YEAR(parametros!$C$2))*12+MONTH($A36)-MONTH(parametros!$C$2)&gt;59),"Fora dos ciclos","c"&amp;INT(((YEAR($A36)-YEAR(parametros!$C$2))*12+MONTH($A36)-MONTH(parametros!$C$2))/12))))</f>
        <v/>
      </c>
      <c r="C36" s="77"/>
      <c r="D36" s="202" t="str">
        <f>IF(B36="","",IF(B36="c0",1,IF(B36="c1",IF(parametros!$A$3&lt;&gt;"Sim","",IF(NOT(ISNUMBER(parametros!$E$3)),"",1+parametros!$E$3)),IF(B36="c2",IF(parametros!$A$4&lt;&gt;"Sim","",IF(NOT(ISNUMBER(parametros!$E$4)),"",IF(parametros!$A$3="Sim",1+parametros!$E$3,1)*(1+parametros!$E$4))),IF(B36="c3",IF(parametros!$A$5&lt;&gt;"Sim","",IF(NOT(ISNUMBER(parametros!$E$5)),"",IF(parametros!$A$3="Sim",1+parametros!$E$3,1)*IF(parametros!$A$4="Sim",1+parametros!$E$4,1)*(1+parametros!$E$5))),IF(B36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6" s="79" t="str">
        <f t="shared" si="2"/>
        <v/>
      </c>
      <c r="F36" s="79" t="str">
        <f t="shared" si="3"/>
        <v/>
      </c>
      <c r="G36" s="155"/>
    </row>
    <row r="37" spans="1:7" x14ac:dyDescent="0.35">
      <c r="A37" s="154"/>
      <c r="B37" s="143" t="str">
        <f>IF($A37="","",IF(NOT(ISNUMBER(parametros!$C$2)),"Fora dos ciclos",IF(OR($A37&lt;parametros!$C$2,(YEAR($A37)-YEAR(parametros!$C$2))*12+MONTH($A37)-MONTH(parametros!$C$2)&gt;59),"Fora dos ciclos","c"&amp;INT(((YEAR($A37)-YEAR(parametros!$C$2))*12+MONTH($A37)-MONTH(parametros!$C$2))/12))))</f>
        <v/>
      </c>
      <c r="C37" s="77"/>
      <c r="D37" s="202" t="str">
        <f>IF(B37="","",IF(B37="c0",1,IF(B37="c1",IF(parametros!$A$3&lt;&gt;"Sim","",IF(NOT(ISNUMBER(parametros!$E$3)),"",1+parametros!$E$3)),IF(B37="c2",IF(parametros!$A$4&lt;&gt;"Sim","",IF(NOT(ISNUMBER(parametros!$E$4)),"",IF(parametros!$A$3="Sim",1+parametros!$E$3,1)*(1+parametros!$E$4))),IF(B37="c3",IF(parametros!$A$5&lt;&gt;"Sim","",IF(NOT(ISNUMBER(parametros!$E$5)),"",IF(parametros!$A$3="Sim",1+parametros!$E$3,1)*IF(parametros!$A$4="Sim",1+parametros!$E$4,1)*(1+parametros!$E$5))),IF(B37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7" s="79" t="str">
        <f t="shared" si="2"/>
        <v/>
      </c>
      <c r="F37" s="79" t="str">
        <f t="shared" si="3"/>
        <v/>
      </c>
      <c r="G37" s="155"/>
    </row>
    <row r="38" spans="1:7" x14ac:dyDescent="0.35">
      <c r="A38" s="76"/>
      <c r="B38" s="143" t="str">
        <f>IF($A38="","",IF(NOT(ISNUMBER(parametros!$C$2)),"Fora dos ciclos",IF(OR($A38&lt;parametros!$C$2,(YEAR($A38)-YEAR(parametros!$C$2))*12+MONTH($A38)-MONTH(parametros!$C$2)&gt;59),"Fora dos ciclos","c"&amp;INT(((YEAR($A38)-YEAR(parametros!$C$2))*12+MONTH($A38)-MONTH(parametros!$C$2))/12))))</f>
        <v/>
      </c>
      <c r="C38" s="77"/>
      <c r="D38" s="202" t="str">
        <f>IF(B38="","",IF(B38="c0",1,IF(B38="c1",IF(parametros!$A$3&lt;&gt;"Sim","",IF(NOT(ISNUMBER(parametros!$E$3)),"",1+parametros!$E$3)),IF(B38="c2",IF(parametros!$A$4&lt;&gt;"Sim","",IF(NOT(ISNUMBER(parametros!$E$4)),"",IF(parametros!$A$3="Sim",1+parametros!$E$3,1)*(1+parametros!$E$4))),IF(B38="c3",IF(parametros!$A$5&lt;&gt;"Sim","",IF(NOT(ISNUMBER(parametros!$E$5)),"",IF(parametros!$A$3="Sim",1+parametros!$E$3,1)*IF(parametros!$A$4="Sim",1+parametros!$E$4,1)*(1+parametros!$E$5))),IF(B38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8" s="79" t="str">
        <f t="shared" si="2"/>
        <v/>
      </c>
      <c r="F38" s="79" t="str">
        <f t="shared" si="3"/>
        <v/>
      </c>
      <c r="G38" s="80"/>
    </row>
    <row r="39" spans="1:7" x14ac:dyDescent="0.35">
      <c r="A39" s="76"/>
      <c r="B39" s="143" t="str">
        <f>IF($A39="","",IF(NOT(ISNUMBER(parametros!$C$2)),"Fora dos ciclos",IF(OR($A39&lt;parametros!$C$2,(YEAR($A39)-YEAR(parametros!$C$2))*12+MONTH($A39)-MONTH(parametros!$C$2)&gt;59),"Fora dos ciclos","c"&amp;INT(((YEAR($A39)-YEAR(parametros!$C$2))*12+MONTH($A39)-MONTH(parametros!$C$2))/12))))</f>
        <v/>
      </c>
      <c r="C39" s="77"/>
      <c r="D39" s="202" t="str">
        <f>IF(B39="","",IF(B39="c0",1,IF(B39="c1",IF(parametros!$A$3&lt;&gt;"Sim","",IF(NOT(ISNUMBER(parametros!$E$3)),"",1+parametros!$E$3)),IF(B39="c2",IF(parametros!$A$4&lt;&gt;"Sim","",IF(NOT(ISNUMBER(parametros!$E$4)),"",IF(parametros!$A$3="Sim",1+parametros!$E$3,1)*(1+parametros!$E$4))),IF(B39="c3",IF(parametros!$A$5&lt;&gt;"Sim","",IF(NOT(ISNUMBER(parametros!$E$5)),"",IF(parametros!$A$3="Sim",1+parametros!$E$3,1)*IF(parametros!$A$4="Sim",1+parametros!$E$4,1)*(1+parametros!$E$5))),IF(B39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9" s="79" t="str">
        <f t="shared" si="2"/>
        <v/>
      </c>
      <c r="F39" s="79" t="str">
        <f t="shared" si="3"/>
        <v/>
      </c>
      <c r="G39" s="80"/>
    </row>
    <row r="40" spans="1:7" x14ac:dyDescent="0.35">
      <c r="A40" s="76"/>
      <c r="B40" s="143" t="str">
        <f>IF($A40="","",IF(NOT(ISNUMBER(parametros!$C$2)),"Fora dos ciclos",IF(OR($A40&lt;parametros!$C$2,(YEAR($A40)-YEAR(parametros!$C$2))*12+MONTH($A40)-MONTH(parametros!$C$2)&gt;59),"Fora dos ciclos","c"&amp;INT(((YEAR($A40)-YEAR(parametros!$C$2))*12+MONTH($A40)-MONTH(parametros!$C$2))/12))))</f>
        <v/>
      </c>
      <c r="C40" s="77"/>
      <c r="D40" s="202" t="str">
        <f>IF(B40="","",IF(B40="c0",1,IF(B40="c1",IF(parametros!$A$3&lt;&gt;"Sim","",IF(NOT(ISNUMBER(parametros!$E$3)),"",1+parametros!$E$3)),IF(B40="c2",IF(parametros!$A$4&lt;&gt;"Sim","",IF(NOT(ISNUMBER(parametros!$E$4)),"",IF(parametros!$A$3="Sim",1+parametros!$E$3,1)*(1+parametros!$E$4))),IF(B40="c3",IF(parametros!$A$5&lt;&gt;"Sim","",IF(NOT(ISNUMBER(parametros!$E$5)),"",IF(parametros!$A$3="Sim",1+parametros!$E$3,1)*IF(parametros!$A$4="Sim",1+parametros!$E$4,1)*(1+parametros!$E$5))),IF(B40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0" s="79" t="str">
        <f t="shared" si="2"/>
        <v/>
      </c>
      <c r="F40" s="79" t="str">
        <f t="shared" si="3"/>
        <v/>
      </c>
      <c r="G40" s="80"/>
    </row>
    <row r="41" spans="1:7" x14ac:dyDescent="0.35">
      <c r="A41" s="76"/>
      <c r="B41" s="143" t="str">
        <f>IF($A41="","",IF(NOT(ISNUMBER(parametros!$C$2)),"Fora dos ciclos",IF(OR($A41&lt;parametros!$C$2,(YEAR($A41)-YEAR(parametros!$C$2))*12+MONTH($A41)-MONTH(parametros!$C$2)&gt;59),"Fora dos ciclos","c"&amp;INT(((YEAR($A41)-YEAR(parametros!$C$2))*12+MONTH($A41)-MONTH(parametros!$C$2))/12))))</f>
        <v/>
      </c>
      <c r="C41" s="77"/>
      <c r="D41" s="202" t="str">
        <f>IF(B41="","",IF(B41="c0",1,IF(B41="c1",IF(parametros!$A$3&lt;&gt;"Sim","",IF(NOT(ISNUMBER(parametros!$E$3)),"",1+parametros!$E$3)),IF(B41="c2",IF(parametros!$A$4&lt;&gt;"Sim","",IF(NOT(ISNUMBER(parametros!$E$4)),"",IF(parametros!$A$3="Sim",1+parametros!$E$3,1)*(1+parametros!$E$4))),IF(B41="c3",IF(parametros!$A$5&lt;&gt;"Sim","",IF(NOT(ISNUMBER(parametros!$E$5)),"",IF(parametros!$A$3="Sim",1+parametros!$E$3,1)*IF(parametros!$A$4="Sim",1+parametros!$E$4,1)*(1+parametros!$E$5))),IF(B41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1" s="79" t="str">
        <f t="shared" si="2"/>
        <v/>
      </c>
      <c r="F41" s="79" t="str">
        <f t="shared" si="3"/>
        <v/>
      </c>
      <c r="G41" s="80"/>
    </row>
    <row r="42" spans="1:7" x14ac:dyDescent="0.35">
      <c r="A42" s="76"/>
      <c r="B42" s="143" t="str">
        <f>IF($A42="","",IF(NOT(ISNUMBER(parametros!$C$2)),"Fora dos ciclos",IF(OR($A42&lt;parametros!$C$2,(YEAR($A42)-YEAR(parametros!$C$2))*12+MONTH($A42)-MONTH(parametros!$C$2)&gt;59),"Fora dos ciclos","c"&amp;INT(((YEAR($A42)-YEAR(parametros!$C$2))*12+MONTH($A42)-MONTH(parametros!$C$2))/12))))</f>
        <v/>
      </c>
      <c r="C42" s="77"/>
      <c r="D42" s="202" t="str">
        <f>IF(B42="","",IF(B42="c0",1,IF(B42="c1",IF(parametros!$A$3&lt;&gt;"Sim","",IF(NOT(ISNUMBER(parametros!$E$3)),"",1+parametros!$E$3)),IF(B42="c2",IF(parametros!$A$4&lt;&gt;"Sim","",IF(NOT(ISNUMBER(parametros!$E$4)),"",IF(parametros!$A$3="Sim",1+parametros!$E$3,1)*(1+parametros!$E$4))),IF(B42="c3",IF(parametros!$A$5&lt;&gt;"Sim","",IF(NOT(ISNUMBER(parametros!$E$5)),"",IF(parametros!$A$3="Sim",1+parametros!$E$3,1)*IF(parametros!$A$4="Sim",1+parametros!$E$4,1)*(1+parametros!$E$5))),IF(B42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2" s="79" t="str">
        <f t="shared" si="2"/>
        <v/>
      </c>
      <c r="F42" s="79" t="str">
        <f t="shared" si="3"/>
        <v/>
      </c>
      <c r="G42" s="80"/>
    </row>
    <row r="43" spans="1:7" x14ac:dyDescent="0.35">
      <c r="A43" s="76"/>
      <c r="B43" s="143" t="str">
        <f>IF($A43="","",IF(NOT(ISNUMBER(parametros!$C$2)),"Fora dos ciclos",IF(OR($A43&lt;parametros!$C$2,(YEAR($A43)-YEAR(parametros!$C$2))*12+MONTH($A43)-MONTH(parametros!$C$2)&gt;59),"Fora dos ciclos","c"&amp;INT(((YEAR($A43)-YEAR(parametros!$C$2))*12+MONTH($A43)-MONTH(parametros!$C$2))/12))))</f>
        <v/>
      </c>
      <c r="C43" s="77"/>
      <c r="D43" s="202" t="str">
        <f>IF(B43="","",IF(B43="c0",1,IF(B43="c1",IF(parametros!$A$3&lt;&gt;"Sim","",IF(NOT(ISNUMBER(parametros!$E$3)),"",1+parametros!$E$3)),IF(B43="c2",IF(parametros!$A$4&lt;&gt;"Sim","",IF(NOT(ISNUMBER(parametros!$E$4)),"",IF(parametros!$A$3="Sim",1+parametros!$E$3,1)*(1+parametros!$E$4))),IF(B43="c3",IF(parametros!$A$5&lt;&gt;"Sim","",IF(NOT(ISNUMBER(parametros!$E$5)),"",IF(parametros!$A$3="Sim",1+parametros!$E$3,1)*IF(parametros!$A$4="Sim",1+parametros!$E$4,1)*(1+parametros!$E$5))),IF(B43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3" s="79" t="str">
        <f t="shared" si="2"/>
        <v/>
      </c>
      <c r="F43" s="79" t="str">
        <f t="shared" si="3"/>
        <v/>
      </c>
      <c r="G43" s="80"/>
    </row>
    <row r="44" spans="1:7" x14ac:dyDescent="0.35">
      <c r="A44" s="76"/>
      <c r="B44" s="143" t="str">
        <f>IF($A44="","",IF(NOT(ISNUMBER(parametros!$C$2)),"Fora dos ciclos",IF(OR($A44&lt;parametros!$C$2,(YEAR($A44)-YEAR(parametros!$C$2))*12+MONTH($A44)-MONTH(parametros!$C$2)&gt;59),"Fora dos ciclos","c"&amp;INT(((YEAR($A44)-YEAR(parametros!$C$2))*12+MONTH($A44)-MONTH(parametros!$C$2))/12))))</f>
        <v/>
      </c>
      <c r="C44" s="77"/>
      <c r="D44" s="202" t="str">
        <f>IF(B44="","",IF(B44="c0",1,IF(B44="c1",IF(parametros!$A$3&lt;&gt;"Sim","",IF(NOT(ISNUMBER(parametros!$E$3)),"",1+parametros!$E$3)),IF(B44="c2",IF(parametros!$A$4&lt;&gt;"Sim","",IF(NOT(ISNUMBER(parametros!$E$4)),"",IF(parametros!$A$3="Sim",1+parametros!$E$3,1)*(1+parametros!$E$4))),IF(B44="c3",IF(parametros!$A$5&lt;&gt;"Sim","",IF(NOT(ISNUMBER(parametros!$E$5)),"",IF(parametros!$A$3="Sim",1+parametros!$E$3,1)*IF(parametros!$A$4="Sim",1+parametros!$E$4,1)*(1+parametros!$E$5))),IF(B44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4" s="79" t="str">
        <f t="shared" si="2"/>
        <v/>
      </c>
      <c r="F44" s="79" t="str">
        <f t="shared" si="3"/>
        <v/>
      </c>
      <c r="G44" s="80"/>
    </row>
    <row r="45" spans="1:7" x14ac:dyDescent="0.35">
      <c r="A45" s="76"/>
      <c r="B45" s="143" t="str">
        <f>IF($A45="","",IF(NOT(ISNUMBER(parametros!$C$2)),"Fora dos ciclos",IF(OR($A45&lt;parametros!$C$2,(YEAR($A45)-YEAR(parametros!$C$2))*12+MONTH($A45)-MONTH(parametros!$C$2)&gt;59),"Fora dos ciclos","c"&amp;INT(((YEAR($A45)-YEAR(parametros!$C$2))*12+MONTH($A45)-MONTH(parametros!$C$2))/12))))</f>
        <v/>
      </c>
      <c r="C45" s="77"/>
      <c r="D45" s="202" t="str">
        <f>IF(B45="","",IF(B45="c0",1,IF(B45="c1",IF(parametros!$A$3&lt;&gt;"Sim","",IF(NOT(ISNUMBER(parametros!$E$3)),"",1+parametros!$E$3)),IF(B45="c2",IF(parametros!$A$4&lt;&gt;"Sim","",IF(NOT(ISNUMBER(parametros!$E$4)),"",IF(parametros!$A$3="Sim",1+parametros!$E$3,1)*(1+parametros!$E$4))),IF(B45="c3",IF(parametros!$A$5&lt;&gt;"Sim","",IF(NOT(ISNUMBER(parametros!$E$5)),"",IF(parametros!$A$3="Sim",1+parametros!$E$3,1)*IF(parametros!$A$4="Sim",1+parametros!$E$4,1)*(1+parametros!$E$5))),IF(B45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5" s="79" t="str">
        <f t="shared" si="2"/>
        <v/>
      </c>
      <c r="F45" s="79" t="str">
        <f t="shared" si="3"/>
        <v/>
      </c>
      <c r="G45" s="80"/>
    </row>
    <row r="46" spans="1:7" x14ac:dyDescent="0.35">
      <c r="A46" s="76"/>
      <c r="B46" s="143" t="str">
        <f>IF($A46="","",IF(NOT(ISNUMBER(parametros!$C$2)),"Fora dos ciclos",IF(OR($A46&lt;parametros!$C$2,(YEAR($A46)-YEAR(parametros!$C$2))*12+MONTH($A46)-MONTH(parametros!$C$2)&gt;59),"Fora dos ciclos","c"&amp;INT(((YEAR($A46)-YEAR(parametros!$C$2))*12+MONTH($A46)-MONTH(parametros!$C$2))/12))))</f>
        <v/>
      </c>
      <c r="C46" s="77"/>
      <c r="D46" s="202" t="str">
        <f>IF(B46="","",IF(B46="c0",1,IF(B46="c1",IF(parametros!$A$3&lt;&gt;"Sim","",IF(NOT(ISNUMBER(parametros!$E$3)),"",1+parametros!$E$3)),IF(B46="c2",IF(parametros!$A$4&lt;&gt;"Sim","",IF(NOT(ISNUMBER(parametros!$E$4)),"",IF(parametros!$A$3="Sim",1+parametros!$E$3,1)*(1+parametros!$E$4))),IF(B46="c3",IF(parametros!$A$5&lt;&gt;"Sim","",IF(NOT(ISNUMBER(parametros!$E$5)),"",IF(parametros!$A$3="Sim",1+parametros!$E$3,1)*IF(parametros!$A$4="Sim",1+parametros!$E$4,1)*(1+parametros!$E$5))),IF(B46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6" s="79" t="str">
        <f t="shared" si="2"/>
        <v/>
      </c>
      <c r="F46" s="79" t="str">
        <f t="shared" si="3"/>
        <v/>
      </c>
      <c r="G46" s="80"/>
    </row>
    <row r="47" spans="1:7" x14ac:dyDescent="0.35">
      <c r="A47" s="76"/>
      <c r="B47" s="143" t="str">
        <f>IF($A47="","",IF(NOT(ISNUMBER(parametros!$C$2)),"Fora dos ciclos",IF(OR($A47&lt;parametros!$C$2,(YEAR($A47)-YEAR(parametros!$C$2))*12+MONTH($A47)-MONTH(parametros!$C$2)&gt;59),"Fora dos ciclos","c"&amp;INT(((YEAR($A47)-YEAR(parametros!$C$2))*12+MONTH($A47)-MONTH(parametros!$C$2))/12))))</f>
        <v/>
      </c>
      <c r="C47" s="77"/>
      <c r="D47" s="202" t="str">
        <f>IF(B47="","",IF(B47="c0",1,IF(B47="c1",IF(parametros!$A$3&lt;&gt;"Sim","",IF(NOT(ISNUMBER(parametros!$E$3)),"",1+parametros!$E$3)),IF(B47="c2",IF(parametros!$A$4&lt;&gt;"Sim","",IF(NOT(ISNUMBER(parametros!$E$4)),"",IF(parametros!$A$3="Sim",1+parametros!$E$3,1)*(1+parametros!$E$4))),IF(B47="c3",IF(parametros!$A$5&lt;&gt;"Sim","",IF(NOT(ISNUMBER(parametros!$E$5)),"",IF(parametros!$A$3="Sim",1+parametros!$E$3,1)*IF(parametros!$A$4="Sim",1+parametros!$E$4,1)*(1+parametros!$E$5))),IF(B47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7" s="79" t="str">
        <f t="shared" si="2"/>
        <v/>
      </c>
      <c r="F47" s="79" t="str">
        <f t="shared" si="3"/>
        <v/>
      </c>
      <c r="G47" s="80"/>
    </row>
    <row r="48" spans="1:7" x14ac:dyDescent="0.35">
      <c r="A48" s="76"/>
      <c r="B48" s="143" t="str">
        <f>IF($A48="","",IF(NOT(ISNUMBER(parametros!$C$2)),"Fora dos ciclos",IF(OR($A48&lt;parametros!$C$2,(YEAR($A48)-YEAR(parametros!$C$2))*12+MONTH($A48)-MONTH(parametros!$C$2)&gt;59),"Fora dos ciclos","c"&amp;INT(((YEAR($A48)-YEAR(parametros!$C$2))*12+MONTH($A48)-MONTH(parametros!$C$2))/12))))</f>
        <v/>
      </c>
      <c r="C48" s="77"/>
      <c r="D48" s="202" t="str">
        <f>IF(B48="","",IF(B48="c0",1,IF(B48="c1",IF(parametros!$A$3&lt;&gt;"Sim","",IF(NOT(ISNUMBER(parametros!$E$3)),"",1+parametros!$E$3)),IF(B48="c2",IF(parametros!$A$4&lt;&gt;"Sim","",IF(NOT(ISNUMBER(parametros!$E$4)),"",IF(parametros!$A$3="Sim",1+parametros!$E$3,1)*(1+parametros!$E$4))),IF(B48="c3",IF(parametros!$A$5&lt;&gt;"Sim","",IF(NOT(ISNUMBER(parametros!$E$5)),"",IF(parametros!$A$3="Sim",1+parametros!$E$3,1)*IF(parametros!$A$4="Sim",1+parametros!$E$4,1)*(1+parametros!$E$5))),IF(B48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8" s="79" t="str">
        <f t="shared" si="2"/>
        <v/>
      </c>
      <c r="F48" s="79" t="str">
        <f t="shared" si="3"/>
        <v/>
      </c>
      <c r="G48" s="80"/>
    </row>
    <row r="49" spans="1:7" x14ac:dyDescent="0.35">
      <c r="A49" s="76"/>
      <c r="B49" s="143" t="str">
        <f>IF($A49="","",IF(NOT(ISNUMBER(parametros!$C$2)),"Fora dos ciclos",IF(OR($A49&lt;parametros!$C$2,(YEAR($A49)-YEAR(parametros!$C$2))*12+MONTH($A49)-MONTH(parametros!$C$2)&gt;59),"Fora dos ciclos","c"&amp;INT(((YEAR($A49)-YEAR(parametros!$C$2))*12+MONTH($A49)-MONTH(parametros!$C$2))/12))))</f>
        <v/>
      </c>
      <c r="C49" s="77"/>
      <c r="D49" s="202" t="str">
        <f>IF(B49="","",IF(B49="c0",1,IF(B49="c1",IF(parametros!$A$3&lt;&gt;"Sim","",IF(NOT(ISNUMBER(parametros!$E$3)),"",1+parametros!$E$3)),IF(B49="c2",IF(parametros!$A$4&lt;&gt;"Sim","",IF(NOT(ISNUMBER(parametros!$E$4)),"",IF(parametros!$A$3="Sim",1+parametros!$E$3,1)*(1+parametros!$E$4))),IF(B49="c3",IF(parametros!$A$5&lt;&gt;"Sim","",IF(NOT(ISNUMBER(parametros!$E$5)),"",IF(parametros!$A$3="Sim",1+parametros!$E$3,1)*IF(parametros!$A$4="Sim",1+parametros!$E$4,1)*(1+parametros!$E$5))),IF(B49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9" s="79" t="str">
        <f t="shared" si="2"/>
        <v/>
      </c>
      <c r="F49" s="79" t="str">
        <f t="shared" si="3"/>
        <v/>
      </c>
      <c r="G49" s="80"/>
    </row>
    <row r="50" spans="1:7" x14ac:dyDescent="0.35">
      <c r="A50" s="76"/>
      <c r="B50" s="143" t="str">
        <f>IF($A50="","",IF(NOT(ISNUMBER(parametros!$C$2)),"Fora dos ciclos",IF(OR($A50&lt;parametros!$C$2,(YEAR($A50)-YEAR(parametros!$C$2))*12+MONTH($A50)-MONTH(parametros!$C$2)&gt;59),"Fora dos ciclos","c"&amp;INT(((YEAR($A50)-YEAR(parametros!$C$2))*12+MONTH($A50)-MONTH(parametros!$C$2))/12))))</f>
        <v/>
      </c>
      <c r="C50" s="77"/>
      <c r="D50" s="202" t="str">
        <f>IF(B50="","",IF(B50="c0",1,IF(B50="c1",IF(parametros!$A$3&lt;&gt;"Sim","",IF(NOT(ISNUMBER(parametros!$E$3)),"",1+parametros!$E$3)),IF(B50="c2",IF(parametros!$A$4&lt;&gt;"Sim","",IF(NOT(ISNUMBER(parametros!$E$4)),"",IF(parametros!$A$3="Sim",1+parametros!$E$3,1)*(1+parametros!$E$4))),IF(B50="c3",IF(parametros!$A$5&lt;&gt;"Sim","",IF(NOT(ISNUMBER(parametros!$E$5)),"",IF(parametros!$A$3="Sim",1+parametros!$E$3,1)*IF(parametros!$A$4="Sim",1+parametros!$E$4,1)*(1+parametros!$E$5))),IF(B50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0" s="79" t="str">
        <f t="shared" si="2"/>
        <v/>
      </c>
      <c r="F50" s="79" t="str">
        <f t="shared" si="3"/>
        <v/>
      </c>
      <c r="G50" s="80"/>
    </row>
    <row r="51" spans="1:7" x14ac:dyDescent="0.35">
      <c r="A51" s="76"/>
      <c r="B51" s="143" t="str">
        <f>IF($A51="","",IF(NOT(ISNUMBER(parametros!$C$2)),"Fora dos ciclos",IF(OR($A51&lt;parametros!$C$2,(YEAR($A51)-YEAR(parametros!$C$2))*12+MONTH($A51)-MONTH(parametros!$C$2)&gt;59),"Fora dos ciclos","c"&amp;INT(((YEAR($A51)-YEAR(parametros!$C$2))*12+MONTH($A51)-MONTH(parametros!$C$2))/12))))</f>
        <v/>
      </c>
      <c r="C51" s="77"/>
      <c r="D51" s="202" t="str">
        <f>IF(B51="","",IF(B51="c0",1,IF(B51="c1",IF(parametros!$A$3&lt;&gt;"Sim","",IF(NOT(ISNUMBER(parametros!$E$3)),"",1+parametros!$E$3)),IF(B51="c2",IF(parametros!$A$4&lt;&gt;"Sim","",IF(NOT(ISNUMBER(parametros!$E$4)),"",IF(parametros!$A$3="Sim",1+parametros!$E$3,1)*(1+parametros!$E$4))),IF(B51="c3",IF(parametros!$A$5&lt;&gt;"Sim","",IF(NOT(ISNUMBER(parametros!$E$5)),"",IF(parametros!$A$3="Sim",1+parametros!$E$3,1)*IF(parametros!$A$4="Sim",1+parametros!$E$4,1)*(1+parametros!$E$5))),IF(B51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1" s="79" t="str">
        <f t="shared" si="2"/>
        <v/>
      </c>
      <c r="F51" s="79" t="str">
        <f t="shared" si="3"/>
        <v/>
      </c>
      <c r="G51" s="80"/>
    </row>
    <row r="52" spans="1:7" x14ac:dyDescent="0.35">
      <c r="A52" s="76"/>
      <c r="B52" s="143" t="str">
        <f>IF($A52="","",IF(NOT(ISNUMBER(parametros!$C$2)),"Fora dos ciclos",IF(OR($A52&lt;parametros!$C$2,(YEAR($A52)-YEAR(parametros!$C$2))*12+MONTH($A52)-MONTH(parametros!$C$2)&gt;59),"Fora dos ciclos","c"&amp;INT(((YEAR($A52)-YEAR(parametros!$C$2))*12+MONTH($A52)-MONTH(parametros!$C$2))/12))))</f>
        <v/>
      </c>
      <c r="C52" s="77"/>
      <c r="D52" s="202" t="str">
        <f>IF(B52="","",IF(B52="c0",1,IF(B52="c1",IF(parametros!$A$3&lt;&gt;"Sim","",IF(NOT(ISNUMBER(parametros!$E$3)),"",1+parametros!$E$3)),IF(B52="c2",IF(parametros!$A$4&lt;&gt;"Sim","",IF(NOT(ISNUMBER(parametros!$E$4)),"",IF(parametros!$A$3="Sim",1+parametros!$E$3,1)*(1+parametros!$E$4))),IF(B52="c3",IF(parametros!$A$5&lt;&gt;"Sim","",IF(NOT(ISNUMBER(parametros!$E$5)),"",IF(parametros!$A$3="Sim",1+parametros!$E$3,1)*IF(parametros!$A$4="Sim",1+parametros!$E$4,1)*(1+parametros!$E$5))),IF(B52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2" s="79" t="str">
        <f t="shared" si="2"/>
        <v/>
      </c>
      <c r="F52" s="79" t="str">
        <f t="shared" si="3"/>
        <v/>
      </c>
      <c r="G52" s="80"/>
    </row>
    <row r="53" spans="1:7" x14ac:dyDescent="0.35">
      <c r="A53" s="76"/>
      <c r="B53" s="143" t="str">
        <f>IF($A53="","",IF(NOT(ISNUMBER(parametros!$C$2)),"Fora dos ciclos",IF(OR($A53&lt;parametros!$C$2,(YEAR($A53)-YEAR(parametros!$C$2))*12+MONTH($A53)-MONTH(parametros!$C$2)&gt;59),"Fora dos ciclos","c"&amp;INT(((YEAR($A53)-YEAR(parametros!$C$2))*12+MONTH($A53)-MONTH(parametros!$C$2))/12))))</f>
        <v/>
      </c>
      <c r="C53" s="77"/>
      <c r="D53" s="202" t="str">
        <f>IF(B53="","",IF(B53="c0",1,IF(B53="c1",IF(parametros!$A$3&lt;&gt;"Sim","",IF(NOT(ISNUMBER(parametros!$E$3)),"",1+parametros!$E$3)),IF(B53="c2",IF(parametros!$A$4&lt;&gt;"Sim","",IF(NOT(ISNUMBER(parametros!$E$4)),"",IF(parametros!$A$3="Sim",1+parametros!$E$3,1)*(1+parametros!$E$4))),IF(B53="c3",IF(parametros!$A$5&lt;&gt;"Sim","",IF(NOT(ISNUMBER(parametros!$E$5)),"",IF(parametros!$A$3="Sim",1+parametros!$E$3,1)*IF(parametros!$A$4="Sim",1+parametros!$E$4,1)*(1+parametros!$E$5))),IF(B53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3" s="79" t="str">
        <f t="shared" si="2"/>
        <v/>
      </c>
      <c r="F53" s="79" t="str">
        <f t="shared" si="3"/>
        <v/>
      </c>
      <c r="G53" s="80"/>
    </row>
    <row r="54" spans="1:7" x14ac:dyDescent="0.35">
      <c r="A54" s="76"/>
      <c r="B54" s="143" t="str">
        <f>IF($A54="","",IF(NOT(ISNUMBER(parametros!$C$2)),"Fora dos ciclos",IF(OR($A54&lt;parametros!$C$2,(YEAR($A54)-YEAR(parametros!$C$2))*12+MONTH($A54)-MONTH(parametros!$C$2)&gt;59),"Fora dos ciclos","c"&amp;INT(((YEAR($A54)-YEAR(parametros!$C$2))*12+MONTH($A54)-MONTH(parametros!$C$2))/12))))</f>
        <v/>
      </c>
      <c r="C54" s="77"/>
      <c r="D54" s="202" t="str">
        <f>IF(B54="","",IF(B54="c0",1,IF(B54="c1",IF(parametros!$A$3&lt;&gt;"Sim","",IF(NOT(ISNUMBER(parametros!$E$3)),"",1+parametros!$E$3)),IF(B54="c2",IF(parametros!$A$4&lt;&gt;"Sim","",IF(NOT(ISNUMBER(parametros!$E$4)),"",IF(parametros!$A$3="Sim",1+parametros!$E$3,1)*(1+parametros!$E$4))),IF(B54="c3",IF(parametros!$A$5&lt;&gt;"Sim","",IF(NOT(ISNUMBER(parametros!$E$5)),"",IF(parametros!$A$3="Sim",1+parametros!$E$3,1)*IF(parametros!$A$4="Sim",1+parametros!$E$4,1)*(1+parametros!$E$5))),IF(B54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4" s="79" t="str">
        <f t="shared" si="2"/>
        <v/>
      </c>
      <c r="F54" s="79" t="str">
        <f t="shared" si="3"/>
        <v/>
      </c>
      <c r="G54" s="80"/>
    </row>
    <row r="55" spans="1:7" x14ac:dyDescent="0.35">
      <c r="A55" s="76"/>
      <c r="B55" s="143" t="str">
        <f>IF($A55="","",IF(NOT(ISNUMBER(parametros!$C$2)),"Fora dos ciclos",IF(OR($A55&lt;parametros!$C$2,(YEAR($A55)-YEAR(parametros!$C$2))*12+MONTH($A55)-MONTH(parametros!$C$2)&gt;59),"Fora dos ciclos","c"&amp;INT(((YEAR($A55)-YEAR(parametros!$C$2))*12+MONTH($A55)-MONTH(parametros!$C$2))/12))))</f>
        <v/>
      </c>
      <c r="C55" s="77"/>
      <c r="D55" s="202" t="str">
        <f>IF(B55="","",IF(B55="c0",1,IF(B55="c1",IF(parametros!$A$3&lt;&gt;"Sim","",IF(NOT(ISNUMBER(parametros!$E$3)),"",1+parametros!$E$3)),IF(B55="c2",IF(parametros!$A$4&lt;&gt;"Sim","",IF(NOT(ISNUMBER(parametros!$E$4)),"",IF(parametros!$A$3="Sim",1+parametros!$E$3,1)*(1+parametros!$E$4))),IF(B55="c3",IF(parametros!$A$5&lt;&gt;"Sim","",IF(NOT(ISNUMBER(parametros!$E$5)),"",IF(parametros!$A$3="Sim",1+parametros!$E$3,1)*IF(parametros!$A$4="Sim",1+parametros!$E$4,1)*(1+parametros!$E$5))),IF(B55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5" s="79" t="str">
        <f t="shared" si="2"/>
        <v/>
      </c>
      <c r="F55" s="79" t="str">
        <f t="shared" si="3"/>
        <v/>
      </c>
      <c r="G55" s="80"/>
    </row>
    <row r="56" spans="1:7" x14ac:dyDescent="0.35">
      <c r="A56" s="76"/>
      <c r="B56" s="143" t="str">
        <f>IF($A56="","",IF(NOT(ISNUMBER(parametros!$C$2)),"Fora dos ciclos",IF(OR($A56&lt;parametros!$C$2,(YEAR($A56)-YEAR(parametros!$C$2))*12+MONTH($A56)-MONTH(parametros!$C$2)&gt;59),"Fora dos ciclos","c"&amp;INT(((YEAR($A56)-YEAR(parametros!$C$2))*12+MONTH($A56)-MONTH(parametros!$C$2))/12))))</f>
        <v/>
      </c>
      <c r="C56" s="77"/>
      <c r="D56" s="202" t="str">
        <f>IF(B56="","",IF(B56="c0",1,IF(B56="c1",IF(parametros!$A$3&lt;&gt;"Sim","",IF(NOT(ISNUMBER(parametros!$E$3)),"",1+parametros!$E$3)),IF(B56="c2",IF(parametros!$A$4&lt;&gt;"Sim","",IF(NOT(ISNUMBER(parametros!$E$4)),"",IF(parametros!$A$3="Sim",1+parametros!$E$3,1)*(1+parametros!$E$4))),IF(B56="c3",IF(parametros!$A$5&lt;&gt;"Sim","",IF(NOT(ISNUMBER(parametros!$E$5)),"",IF(parametros!$A$3="Sim",1+parametros!$E$3,1)*IF(parametros!$A$4="Sim",1+parametros!$E$4,1)*(1+parametros!$E$5))),IF(B56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6" s="79" t="str">
        <f t="shared" si="2"/>
        <v/>
      </c>
      <c r="F56" s="79" t="str">
        <f t="shared" si="3"/>
        <v/>
      </c>
      <c r="G56" s="80"/>
    </row>
    <row r="57" spans="1:7" x14ac:dyDescent="0.35">
      <c r="A57" s="76"/>
      <c r="B57" s="143" t="str">
        <f>IF($A57="","",IF(NOT(ISNUMBER(parametros!$C$2)),"Fora dos ciclos",IF(OR($A57&lt;parametros!$C$2,(YEAR($A57)-YEAR(parametros!$C$2))*12+MONTH($A57)-MONTH(parametros!$C$2)&gt;59),"Fora dos ciclos","c"&amp;INT(((YEAR($A57)-YEAR(parametros!$C$2))*12+MONTH($A57)-MONTH(parametros!$C$2))/12))))</f>
        <v/>
      </c>
      <c r="C57" s="77"/>
      <c r="D57" s="202" t="str">
        <f>IF(B57="","",IF(B57="c0",1,IF(B57="c1",IF(parametros!$A$3&lt;&gt;"Sim","",IF(NOT(ISNUMBER(parametros!$E$3)),"",1+parametros!$E$3)),IF(B57="c2",IF(parametros!$A$4&lt;&gt;"Sim","",IF(NOT(ISNUMBER(parametros!$E$4)),"",IF(parametros!$A$3="Sim",1+parametros!$E$3,1)*(1+parametros!$E$4))),IF(B57="c3",IF(parametros!$A$5&lt;&gt;"Sim","",IF(NOT(ISNUMBER(parametros!$E$5)),"",IF(parametros!$A$3="Sim",1+parametros!$E$3,1)*IF(parametros!$A$4="Sim",1+parametros!$E$4,1)*(1+parametros!$E$5))),IF(B57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7" s="79" t="str">
        <f t="shared" si="2"/>
        <v/>
      </c>
      <c r="F57" s="79" t="str">
        <f t="shared" si="3"/>
        <v/>
      </c>
      <c r="G57" s="80"/>
    </row>
    <row r="58" spans="1:7" x14ac:dyDescent="0.35">
      <c r="A58" s="76"/>
      <c r="B58" s="143" t="str">
        <f>IF($A58="","",IF(NOT(ISNUMBER(parametros!$C$2)),"Fora dos ciclos",IF(OR($A58&lt;parametros!$C$2,(YEAR($A58)-YEAR(parametros!$C$2))*12+MONTH($A58)-MONTH(parametros!$C$2)&gt;59),"Fora dos ciclos","c"&amp;INT(((YEAR($A58)-YEAR(parametros!$C$2))*12+MONTH($A58)-MONTH(parametros!$C$2))/12))))</f>
        <v/>
      </c>
      <c r="C58" s="77"/>
      <c r="D58" s="202" t="str">
        <f>IF(B58="","",IF(B58="c0",1,IF(B58="c1",IF(parametros!$A$3&lt;&gt;"Sim","",IF(NOT(ISNUMBER(parametros!$E$3)),"",1+parametros!$E$3)),IF(B58="c2",IF(parametros!$A$4&lt;&gt;"Sim","",IF(NOT(ISNUMBER(parametros!$E$4)),"",IF(parametros!$A$3="Sim",1+parametros!$E$3,1)*(1+parametros!$E$4))),IF(B58="c3",IF(parametros!$A$5&lt;&gt;"Sim","",IF(NOT(ISNUMBER(parametros!$E$5)),"",IF(parametros!$A$3="Sim",1+parametros!$E$3,1)*IF(parametros!$A$4="Sim",1+parametros!$E$4,1)*(1+parametros!$E$5))),IF(B58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8" s="79" t="str">
        <f t="shared" si="2"/>
        <v/>
      </c>
      <c r="F58" s="79" t="str">
        <f t="shared" si="3"/>
        <v/>
      </c>
      <c r="G58" s="80"/>
    </row>
    <row r="59" spans="1:7" x14ac:dyDescent="0.35">
      <c r="A59" s="76"/>
      <c r="B59" s="143" t="str">
        <f>IF($A59="","",IF(NOT(ISNUMBER(parametros!$C$2)),"Fora dos ciclos",IF(OR($A59&lt;parametros!$C$2,(YEAR($A59)-YEAR(parametros!$C$2))*12+MONTH($A59)-MONTH(parametros!$C$2)&gt;59),"Fora dos ciclos","c"&amp;INT(((YEAR($A59)-YEAR(parametros!$C$2))*12+MONTH($A59)-MONTH(parametros!$C$2))/12))))</f>
        <v/>
      </c>
      <c r="C59" s="77"/>
      <c r="D59" s="202" t="str">
        <f>IF(B59="","",IF(B59="c0",1,IF(B59="c1",IF(parametros!$A$3&lt;&gt;"Sim","",IF(NOT(ISNUMBER(parametros!$E$3)),"",1+parametros!$E$3)),IF(B59="c2",IF(parametros!$A$4&lt;&gt;"Sim","",IF(NOT(ISNUMBER(parametros!$E$4)),"",IF(parametros!$A$3="Sim",1+parametros!$E$3,1)*(1+parametros!$E$4))),IF(B59="c3",IF(parametros!$A$5&lt;&gt;"Sim","",IF(NOT(ISNUMBER(parametros!$E$5)),"",IF(parametros!$A$3="Sim",1+parametros!$E$3,1)*IF(parametros!$A$4="Sim",1+parametros!$E$4,1)*(1+parametros!$E$5))),IF(B59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9" s="79" t="str">
        <f t="shared" si="2"/>
        <v/>
      </c>
      <c r="F59" s="79" t="str">
        <f t="shared" si="3"/>
        <v/>
      </c>
      <c r="G59" s="80"/>
    </row>
    <row r="60" spans="1:7" x14ac:dyDescent="0.35">
      <c r="A60" s="76"/>
      <c r="B60" s="143" t="str">
        <f>IF($A60="","",IF(NOT(ISNUMBER(parametros!$C$2)),"Fora dos ciclos",IF(OR($A60&lt;parametros!$C$2,(YEAR($A60)-YEAR(parametros!$C$2))*12+MONTH($A60)-MONTH(parametros!$C$2)&gt;59),"Fora dos ciclos","c"&amp;INT(((YEAR($A60)-YEAR(parametros!$C$2))*12+MONTH($A60)-MONTH(parametros!$C$2))/12))))</f>
        <v/>
      </c>
      <c r="C60" s="77"/>
      <c r="D60" s="202" t="str">
        <f>IF(B60="","",IF(B60="c0",1,IF(B60="c1",IF(parametros!$A$3&lt;&gt;"Sim","",IF(NOT(ISNUMBER(parametros!$E$3)),"",1+parametros!$E$3)),IF(B60="c2",IF(parametros!$A$4&lt;&gt;"Sim","",IF(NOT(ISNUMBER(parametros!$E$4)),"",IF(parametros!$A$3="Sim",1+parametros!$E$3,1)*(1+parametros!$E$4))),IF(B60="c3",IF(parametros!$A$5&lt;&gt;"Sim","",IF(NOT(ISNUMBER(parametros!$E$5)),"",IF(parametros!$A$3="Sim",1+parametros!$E$3,1)*IF(parametros!$A$4="Sim",1+parametros!$E$4,1)*(1+parametros!$E$5))),IF(B60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0" s="79" t="str">
        <f t="shared" si="2"/>
        <v/>
      </c>
      <c r="F60" s="79" t="str">
        <f t="shared" si="3"/>
        <v/>
      </c>
      <c r="G60" s="80"/>
    </row>
    <row r="61" spans="1:7" x14ac:dyDescent="0.35">
      <c r="A61" s="76"/>
      <c r="B61" s="143" t="str">
        <f>IF($A61="","",IF(NOT(ISNUMBER(parametros!$C$2)),"Fora dos ciclos",IF(OR($A61&lt;parametros!$C$2,(YEAR($A61)-YEAR(parametros!$C$2))*12+MONTH($A61)-MONTH(parametros!$C$2)&gt;59),"Fora dos ciclos","c"&amp;INT(((YEAR($A61)-YEAR(parametros!$C$2))*12+MONTH($A61)-MONTH(parametros!$C$2))/12))))</f>
        <v/>
      </c>
      <c r="C61" s="77"/>
      <c r="D61" s="202" t="str">
        <f>IF(B61="","",IF(B61="c0",1,IF(B61="c1",IF(parametros!$A$3&lt;&gt;"Sim","",IF(NOT(ISNUMBER(parametros!$E$3)),"",1+parametros!$E$3)),IF(B61="c2",IF(parametros!$A$4&lt;&gt;"Sim","",IF(NOT(ISNUMBER(parametros!$E$4)),"",IF(parametros!$A$3="Sim",1+parametros!$E$3,1)*(1+parametros!$E$4))),IF(B61="c3",IF(parametros!$A$5&lt;&gt;"Sim","",IF(NOT(ISNUMBER(parametros!$E$5)),"",IF(parametros!$A$3="Sim",1+parametros!$E$3,1)*IF(parametros!$A$4="Sim",1+parametros!$E$4,1)*(1+parametros!$E$5))),IF(B61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1" s="79" t="str">
        <f t="shared" si="2"/>
        <v/>
      </c>
      <c r="F61" s="79" t="str">
        <f t="shared" si="3"/>
        <v/>
      </c>
      <c r="G61" s="80"/>
    </row>
    <row r="62" spans="1:7" x14ac:dyDescent="0.35">
      <c r="A62" s="76"/>
      <c r="B62" s="143" t="str">
        <f>IF($A62="","",IF(NOT(ISNUMBER(parametros!$C$2)),"Fora dos ciclos",IF(OR($A62&lt;parametros!$C$2,(YEAR($A62)-YEAR(parametros!$C$2))*12+MONTH($A62)-MONTH(parametros!$C$2)&gt;59),"Fora dos ciclos","c"&amp;INT(((YEAR($A62)-YEAR(parametros!$C$2))*12+MONTH($A62)-MONTH(parametros!$C$2))/12))))</f>
        <v/>
      </c>
      <c r="C62" s="77"/>
      <c r="D62" s="202" t="str">
        <f>IF(B62="","",IF(B62="c0",1,IF(B62="c1",IF(parametros!$A$3&lt;&gt;"Sim","",IF(NOT(ISNUMBER(parametros!$E$3)),"",1+parametros!$E$3)),IF(B62="c2",IF(parametros!$A$4&lt;&gt;"Sim","",IF(NOT(ISNUMBER(parametros!$E$4)),"",IF(parametros!$A$3="Sim",1+parametros!$E$3,1)*(1+parametros!$E$4))),IF(B62="c3",IF(parametros!$A$5&lt;&gt;"Sim","",IF(NOT(ISNUMBER(parametros!$E$5)),"",IF(parametros!$A$3="Sim",1+parametros!$E$3,1)*IF(parametros!$A$4="Sim",1+parametros!$E$4,1)*(1+parametros!$E$5))),IF(B62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2" s="79" t="str">
        <f t="shared" si="2"/>
        <v/>
      </c>
      <c r="F62" s="79" t="str">
        <f t="shared" si="3"/>
        <v/>
      </c>
      <c r="G62" s="80"/>
    </row>
    <row r="63" spans="1:7" x14ac:dyDescent="0.35">
      <c r="A63" s="76"/>
      <c r="B63" s="143" t="str">
        <f>IF($A63="","",IF(NOT(ISNUMBER(parametros!$C$2)),"Fora dos ciclos",IF(OR($A63&lt;parametros!$C$2,(YEAR($A63)-YEAR(parametros!$C$2))*12+MONTH($A63)-MONTH(parametros!$C$2)&gt;59),"Fora dos ciclos","c"&amp;INT(((YEAR($A63)-YEAR(parametros!$C$2))*12+MONTH($A63)-MONTH(parametros!$C$2))/12))))</f>
        <v/>
      </c>
      <c r="C63" s="77"/>
      <c r="D63" s="202" t="str">
        <f>IF(B63="","",IF(B63="c0",1,IF(B63="c1",IF(parametros!$A$3&lt;&gt;"Sim","",IF(NOT(ISNUMBER(parametros!$E$3)),"",1+parametros!$E$3)),IF(B63="c2",IF(parametros!$A$4&lt;&gt;"Sim","",IF(NOT(ISNUMBER(parametros!$E$4)),"",IF(parametros!$A$3="Sim",1+parametros!$E$3,1)*(1+parametros!$E$4))),IF(B63="c3",IF(parametros!$A$5&lt;&gt;"Sim","",IF(NOT(ISNUMBER(parametros!$E$5)),"",IF(parametros!$A$3="Sim",1+parametros!$E$3,1)*IF(parametros!$A$4="Sim",1+parametros!$E$4,1)*(1+parametros!$E$5))),IF(B63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3" s="79" t="str">
        <f t="shared" si="2"/>
        <v/>
      </c>
      <c r="F63" s="79" t="str">
        <f t="shared" si="3"/>
        <v/>
      </c>
      <c r="G63" s="80"/>
    </row>
    <row r="64" spans="1:7" x14ac:dyDescent="0.35">
      <c r="A64" s="76"/>
      <c r="B64" s="143" t="str">
        <f>IF($A64="","",IF(NOT(ISNUMBER(parametros!$C$2)),"Fora dos ciclos",IF(OR($A64&lt;parametros!$C$2,(YEAR($A64)-YEAR(parametros!$C$2))*12+MONTH($A64)-MONTH(parametros!$C$2)&gt;59),"Fora dos ciclos","c"&amp;INT(((YEAR($A64)-YEAR(parametros!$C$2))*12+MONTH($A64)-MONTH(parametros!$C$2))/12))))</f>
        <v/>
      </c>
      <c r="C64" s="77"/>
      <c r="D64" s="202" t="str">
        <f>IF(B64="","",IF(B64="c0",1,IF(B64="c1",IF(parametros!$A$3&lt;&gt;"Sim","",IF(NOT(ISNUMBER(parametros!$E$3)),"",1+parametros!$E$3)),IF(B64="c2",IF(parametros!$A$4&lt;&gt;"Sim","",IF(NOT(ISNUMBER(parametros!$E$4)),"",IF(parametros!$A$3="Sim",1+parametros!$E$3,1)*(1+parametros!$E$4))),IF(B64="c3",IF(parametros!$A$5&lt;&gt;"Sim","",IF(NOT(ISNUMBER(parametros!$E$5)),"",IF(parametros!$A$3="Sim",1+parametros!$E$3,1)*IF(parametros!$A$4="Sim",1+parametros!$E$4,1)*(1+parametros!$E$5))),IF(B64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4" s="79" t="str">
        <f t="shared" si="2"/>
        <v/>
      </c>
      <c r="F64" s="79" t="str">
        <f t="shared" si="3"/>
        <v/>
      </c>
      <c r="G64" s="80"/>
    </row>
    <row r="65" spans="1:7" x14ac:dyDescent="0.35">
      <c r="A65" s="76"/>
      <c r="B65" s="143" t="str">
        <f>IF($A65="","",IF(NOT(ISNUMBER(parametros!$C$2)),"Fora dos ciclos",IF(OR($A65&lt;parametros!$C$2,(YEAR($A65)-YEAR(parametros!$C$2))*12+MONTH($A65)-MONTH(parametros!$C$2)&gt;59),"Fora dos ciclos","c"&amp;INT(((YEAR($A65)-YEAR(parametros!$C$2))*12+MONTH($A65)-MONTH(parametros!$C$2))/12))))</f>
        <v/>
      </c>
      <c r="C65" s="77"/>
      <c r="D65" s="202" t="str">
        <f>IF(B65="","",IF(B65="c0",1,IF(B65="c1",IF(parametros!$A$3&lt;&gt;"Sim","",IF(NOT(ISNUMBER(parametros!$E$3)),"",1+parametros!$E$3)),IF(B65="c2",IF(parametros!$A$4&lt;&gt;"Sim","",IF(NOT(ISNUMBER(parametros!$E$4)),"",IF(parametros!$A$3="Sim",1+parametros!$E$3,1)*(1+parametros!$E$4))),IF(B65="c3",IF(parametros!$A$5&lt;&gt;"Sim","",IF(NOT(ISNUMBER(parametros!$E$5)),"",IF(parametros!$A$3="Sim",1+parametros!$E$3,1)*IF(parametros!$A$4="Sim",1+parametros!$E$4,1)*(1+parametros!$E$5))),IF(B65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5" s="79" t="str">
        <f t="shared" si="2"/>
        <v/>
      </c>
      <c r="F65" s="79" t="str">
        <f t="shared" si="3"/>
        <v/>
      </c>
      <c r="G65" s="80"/>
    </row>
    <row r="66" spans="1:7" x14ac:dyDescent="0.35">
      <c r="A66" s="76"/>
      <c r="B66" s="143" t="str">
        <f>IF($A66="","",IF(NOT(ISNUMBER(parametros!$C$2)),"Fora dos ciclos",IF(OR($A66&lt;parametros!$C$2,(YEAR($A66)-YEAR(parametros!$C$2))*12+MONTH($A66)-MONTH(parametros!$C$2)&gt;59),"Fora dos ciclos","c"&amp;INT(((YEAR($A66)-YEAR(parametros!$C$2))*12+MONTH($A66)-MONTH(parametros!$C$2))/12))))</f>
        <v/>
      </c>
      <c r="C66" s="77"/>
      <c r="D66" s="202" t="str">
        <f>IF(B66="","",IF(B66="c0",1,IF(B66="c1",IF(parametros!$A$3&lt;&gt;"Sim","",IF(NOT(ISNUMBER(parametros!$E$3)),"",1+parametros!$E$3)),IF(B66="c2",IF(parametros!$A$4&lt;&gt;"Sim","",IF(NOT(ISNUMBER(parametros!$E$4)),"",IF(parametros!$A$3="Sim",1+parametros!$E$3,1)*(1+parametros!$E$4))),IF(B66="c3",IF(parametros!$A$5&lt;&gt;"Sim","",IF(NOT(ISNUMBER(parametros!$E$5)),"",IF(parametros!$A$3="Sim",1+parametros!$E$3,1)*IF(parametros!$A$4="Sim",1+parametros!$E$4,1)*(1+parametros!$E$5))),IF(B66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6" s="79" t="str">
        <f t="shared" ref="E66:E97" si="4">IF(C66="","",IF(G66="","",IF(G66="Sim",IF(NOT(ISNUMBER(D66)),"",ROUND(C66*D66,2)),C66)))</f>
        <v/>
      </c>
      <c r="F66" s="79" t="str">
        <f t="shared" ref="F66:F97" si="5">IF(C66="","",IF(G66="","",IF(G66="Sim",IF(E66="","",ROUND(E66-C66,2)),0)))</f>
        <v/>
      </c>
      <c r="G66" s="80"/>
    </row>
    <row r="67" spans="1:7" x14ac:dyDescent="0.35">
      <c r="A67" s="76"/>
      <c r="B67" s="143" t="str">
        <f>IF($A67="","",IF(NOT(ISNUMBER(parametros!$C$2)),"Fora dos ciclos",IF(OR($A67&lt;parametros!$C$2,(YEAR($A67)-YEAR(parametros!$C$2))*12+MONTH($A67)-MONTH(parametros!$C$2)&gt;59),"Fora dos ciclos","c"&amp;INT(((YEAR($A67)-YEAR(parametros!$C$2))*12+MONTH($A67)-MONTH(parametros!$C$2))/12))))</f>
        <v/>
      </c>
      <c r="C67" s="77"/>
      <c r="D67" s="202" t="str">
        <f>IF(B67="","",IF(B67="c0",1,IF(B67="c1",IF(parametros!$A$3&lt;&gt;"Sim","",IF(NOT(ISNUMBER(parametros!$E$3)),"",1+parametros!$E$3)),IF(B67="c2",IF(parametros!$A$4&lt;&gt;"Sim","",IF(NOT(ISNUMBER(parametros!$E$4)),"",IF(parametros!$A$3="Sim",1+parametros!$E$3,1)*(1+parametros!$E$4))),IF(B67="c3",IF(parametros!$A$5&lt;&gt;"Sim","",IF(NOT(ISNUMBER(parametros!$E$5)),"",IF(parametros!$A$3="Sim",1+parametros!$E$3,1)*IF(parametros!$A$4="Sim",1+parametros!$E$4,1)*(1+parametros!$E$5))),IF(B67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7" s="79" t="str">
        <f t="shared" si="4"/>
        <v/>
      </c>
      <c r="F67" s="79" t="str">
        <f t="shared" si="5"/>
        <v/>
      </c>
      <c r="G67" s="80"/>
    </row>
    <row r="68" spans="1:7" x14ac:dyDescent="0.35">
      <c r="A68" s="76"/>
      <c r="B68" s="143" t="str">
        <f>IF($A68="","",IF(NOT(ISNUMBER(parametros!$C$2)),"Fora dos ciclos",IF(OR($A68&lt;parametros!$C$2,(YEAR($A68)-YEAR(parametros!$C$2))*12+MONTH($A68)-MONTH(parametros!$C$2)&gt;59),"Fora dos ciclos","c"&amp;INT(((YEAR($A68)-YEAR(parametros!$C$2))*12+MONTH($A68)-MONTH(parametros!$C$2))/12))))</f>
        <v/>
      </c>
      <c r="C68" s="77"/>
      <c r="D68" s="202" t="str">
        <f>IF(B68="","",IF(B68="c0",1,IF(B68="c1",IF(parametros!$A$3&lt;&gt;"Sim","",IF(NOT(ISNUMBER(parametros!$E$3)),"",1+parametros!$E$3)),IF(B68="c2",IF(parametros!$A$4&lt;&gt;"Sim","",IF(NOT(ISNUMBER(parametros!$E$4)),"",IF(parametros!$A$3="Sim",1+parametros!$E$3,1)*(1+parametros!$E$4))),IF(B68="c3",IF(parametros!$A$5&lt;&gt;"Sim","",IF(NOT(ISNUMBER(parametros!$E$5)),"",IF(parametros!$A$3="Sim",1+parametros!$E$3,1)*IF(parametros!$A$4="Sim",1+parametros!$E$4,1)*(1+parametros!$E$5))),IF(B68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8" s="79" t="str">
        <f t="shared" si="4"/>
        <v/>
      </c>
      <c r="F68" s="79" t="str">
        <f t="shared" si="5"/>
        <v/>
      </c>
      <c r="G68" s="80"/>
    </row>
    <row r="69" spans="1:7" x14ac:dyDescent="0.35">
      <c r="A69" s="76"/>
      <c r="B69" s="143" t="str">
        <f>IF($A69="","",IF(NOT(ISNUMBER(parametros!$C$2)),"Fora dos ciclos",IF(OR($A69&lt;parametros!$C$2,(YEAR($A69)-YEAR(parametros!$C$2))*12+MONTH($A69)-MONTH(parametros!$C$2)&gt;59),"Fora dos ciclos","c"&amp;INT(((YEAR($A69)-YEAR(parametros!$C$2))*12+MONTH($A69)-MONTH(parametros!$C$2))/12))))</f>
        <v/>
      </c>
      <c r="C69" s="77"/>
      <c r="D69" s="202" t="str">
        <f>IF(B69="","",IF(B69="c0",1,IF(B69="c1",IF(parametros!$A$3&lt;&gt;"Sim","",IF(NOT(ISNUMBER(parametros!$E$3)),"",1+parametros!$E$3)),IF(B69="c2",IF(parametros!$A$4&lt;&gt;"Sim","",IF(NOT(ISNUMBER(parametros!$E$4)),"",IF(parametros!$A$3="Sim",1+parametros!$E$3,1)*(1+parametros!$E$4))),IF(B69="c3",IF(parametros!$A$5&lt;&gt;"Sim","",IF(NOT(ISNUMBER(parametros!$E$5)),"",IF(parametros!$A$3="Sim",1+parametros!$E$3,1)*IF(parametros!$A$4="Sim",1+parametros!$E$4,1)*(1+parametros!$E$5))),IF(B69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9" s="79" t="str">
        <f t="shared" si="4"/>
        <v/>
      </c>
      <c r="F69" s="79" t="str">
        <f t="shared" si="5"/>
        <v/>
      </c>
      <c r="G69" s="80"/>
    </row>
    <row r="70" spans="1:7" x14ac:dyDescent="0.35">
      <c r="A70" s="76"/>
      <c r="B70" s="143" t="str">
        <f>IF($A70="","",IF(NOT(ISNUMBER(parametros!$C$2)),"Fora dos ciclos",IF(OR($A70&lt;parametros!$C$2,(YEAR($A70)-YEAR(parametros!$C$2))*12+MONTH($A70)-MONTH(parametros!$C$2)&gt;59),"Fora dos ciclos","c"&amp;INT(((YEAR($A70)-YEAR(parametros!$C$2))*12+MONTH($A70)-MONTH(parametros!$C$2))/12))))</f>
        <v/>
      </c>
      <c r="C70" s="77"/>
      <c r="D70" s="202" t="str">
        <f>IF(B70="","",IF(B70="c0",1,IF(B70="c1",IF(parametros!$A$3&lt;&gt;"Sim","",IF(NOT(ISNUMBER(parametros!$E$3)),"",1+parametros!$E$3)),IF(B70="c2",IF(parametros!$A$4&lt;&gt;"Sim","",IF(NOT(ISNUMBER(parametros!$E$4)),"",IF(parametros!$A$3="Sim",1+parametros!$E$3,1)*(1+parametros!$E$4))),IF(B70="c3",IF(parametros!$A$5&lt;&gt;"Sim","",IF(NOT(ISNUMBER(parametros!$E$5)),"",IF(parametros!$A$3="Sim",1+parametros!$E$3,1)*IF(parametros!$A$4="Sim",1+parametros!$E$4,1)*(1+parametros!$E$5))),IF(B70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0" s="79" t="str">
        <f t="shared" si="4"/>
        <v/>
      </c>
      <c r="F70" s="79" t="str">
        <f t="shared" si="5"/>
        <v/>
      </c>
      <c r="G70" s="80"/>
    </row>
    <row r="71" spans="1:7" x14ac:dyDescent="0.35">
      <c r="A71" s="76"/>
      <c r="B71" s="143" t="str">
        <f>IF($A71="","",IF(NOT(ISNUMBER(parametros!$C$2)),"Fora dos ciclos",IF(OR($A71&lt;parametros!$C$2,(YEAR($A71)-YEAR(parametros!$C$2))*12+MONTH($A71)-MONTH(parametros!$C$2)&gt;59),"Fora dos ciclos","c"&amp;INT(((YEAR($A71)-YEAR(parametros!$C$2))*12+MONTH($A71)-MONTH(parametros!$C$2))/12))))</f>
        <v/>
      </c>
      <c r="C71" s="77"/>
      <c r="D71" s="202" t="str">
        <f>IF(B71="","",IF(B71="c0",1,IF(B71="c1",IF(parametros!$A$3&lt;&gt;"Sim","",IF(NOT(ISNUMBER(parametros!$E$3)),"",1+parametros!$E$3)),IF(B71="c2",IF(parametros!$A$4&lt;&gt;"Sim","",IF(NOT(ISNUMBER(parametros!$E$4)),"",IF(parametros!$A$3="Sim",1+parametros!$E$3,1)*(1+parametros!$E$4))),IF(B71="c3",IF(parametros!$A$5&lt;&gt;"Sim","",IF(NOT(ISNUMBER(parametros!$E$5)),"",IF(parametros!$A$3="Sim",1+parametros!$E$3,1)*IF(parametros!$A$4="Sim",1+parametros!$E$4,1)*(1+parametros!$E$5))),IF(B71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1" s="79" t="str">
        <f t="shared" si="4"/>
        <v/>
      </c>
      <c r="F71" s="79" t="str">
        <f t="shared" si="5"/>
        <v/>
      </c>
      <c r="G71" s="80"/>
    </row>
    <row r="72" spans="1:7" x14ac:dyDescent="0.35">
      <c r="A72" s="76"/>
      <c r="B72" s="143" t="str">
        <f>IF($A72="","",IF(NOT(ISNUMBER(parametros!$C$2)),"Fora dos ciclos",IF(OR($A72&lt;parametros!$C$2,(YEAR($A72)-YEAR(parametros!$C$2))*12+MONTH($A72)-MONTH(parametros!$C$2)&gt;59),"Fora dos ciclos","c"&amp;INT(((YEAR($A72)-YEAR(parametros!$C$2))*12+MONTH($A72)-MONTH(parametros!$C$2))/12))))</f>
        <v/>
      </c>
      <c r="C72" s="77"/>
      <c r="D72" s="202" t="str">
        <f>IF(B72="","",IF(B72="c0",1,IF(B72="c1",IF(parametros!$A$3&lt;&gt;"Sim","",IF(NOT(ISNUMBER(parametros!$E$3)),"",1+parametros!$E$3)),IF(B72="c2",IF(parametros!$A$4&lt;&gt;"Sim","",IF(NOT(ISNUMBER(parametros!$E$4)),"",IF(parametros!$A$3="Sim",1+parametros!$E$3,1)*(1+parametros!$E$4))),IF(B72="c3",IF(parametros!$A$5&lt;&gt;"Sim","",IF(NOT(ISNUMBER(parametros!$E$5)),"",IF(parametros!$A$3="Sim",1+parametros!$E$3,1)*IF(parametros!$A$4="Sim",1+parametros!$E$4,1)*(1+parametros!$E$5))),IF(B72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2" s="79" t="str">
        <f t="shared" si="4"/>
        <v/>
      </c>
      <c r="F72" s="79" t="str">
        <f t="shared" si="5"/>
        <v/>
      </c>
      <c r="G72" s="80"/>
    </row>
    <row r="73" spans="1:7" x14ac:dyDescent="0.35">
      <c r="A73" s="76"/>
      <c r="B73" s="143" t="str">
        <f>IF($A73="","",IF(NOT(ISNUMBER(parametros!$C$2)),"Fora dos ciclos",IF(OR($A73&lt;parametros!$C$2,(YEAR($A73)-YEAR(parametros!$C$2))*12+MONTH($A73)-MONTH(parametros!$C$2)&gt;59),"Fora dos ciclos","c"&amp;INT(((YEAR($A73)-YEAR(parametros!$C$2))*12+MONTH($A73)-MONTH(parametros!$C$2))/12))))</f>
        <v/>
      </c>
      <c r="C73" s="77"/>
      <c r="D73" s="202" t="str">
        <f>IF(B73="","",IF(B73="c0",1,IF(B73="c1",IF(parametros!$A$3&lt;&gt;"Sim","",IF(NOT(ISNUMBER(parametros!$E$3)),"",1+parametros!$E$3)),IF(B73="c2",IF(parametros!$A$4&lt;&gt;"Sim","",IF(NOT(ISNUMBER(parametros!$E$4)),"",IF(parametros!$A$3="Sim",1+parametros!$E$3,1)*(1+parametros!$E$4))),IF(B73="c3",IF(parametros!$A$5&lt;&gt;"Sim","",IF(NOT(ISNUMBER(parametros!$E$5)),"",IF(parametros!$A$3="Sim",1+parametros!$E$3,1)*IF(parametros!$A$4="Sim",1+parametros!$E$4,1)*(1+parametros!$E$5))),IF(B73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3" s="79" t="str">
        <f t="shared" si="4"/>
        <v/>
      </c>
      <c r="F73" s="79" t="str">
        <f t="shared" si="5"/>
        <v/>
      </c>
      <c r="G73" s="80"/>
    </row>
    <row r="74" spans="1:7" x14ac:dyDescent="0.35">
      <c r="A74" s="300"/>
      <c r="B74" s="301" t="s">
        <v>30</v>
      </c>
      <c r="C74" s="302">
        <f>SUM(C2:C73)</f>
        <v>0</v>
      </c>
      <c r="D74" s="301"/>
      <c r="E74" s="302">
        <f>SUM(E2:E73)</f>
        <v>0</v>
      </c>
      <c r="F74" s="302">
        <f>SUM(F2:F73)</f>
        <v>0</v>
      </c>
      <c r="G74" s="303"/>
    </row>
  </sheetData>
  <conditionalFormatting sqref="A2:G73">
    <cfRule type="expression" dxfId="72" priority="1" stopIfTrue="1">
      <formula>AND($C2&lt;&gt;"",$G2="")</formula>
    </cfRule>
    <cfRule type="expression" dxfId="71" priority="2" stopIfTrue="1">
      <formula>AND($A2&lt;&gt;"",$G2="Nao")</formula>
    </cfRule>
  </conditionalFormatting>
  <dataValidations count="1">
    <dataValidation type="list" allowBlank="1" showErrorMessage="1" errorTitle="Valor invalido" error="Usar apenas Sim ou Nao" sqref="G2:G73" xr:uid="{00000000-0002-0000-0300-000000000000}">
      <formula1>"Sim,Nao"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BI210"/>
  <sheetViews>
    <sheetView showGridLines="0" workbookViewId="0">
      <pane ySplit="1" topLeftCell="A2" activePane="bottomLeft" state="frozen"/>
      <selection pane="bottomLeft" activeCell="A101" sqref="A101:XFD101"/>
    </sheetView>
  </sheetViews>
  <sheetFormatPr defaultColWidth="25.453125" defaultRowHeight="14.5" x14ac:dyDescent="0.35"/>
  <cols>
    <col min="41" max="60" width="15.6328125" hidden="1" customWidth="1"/>
    <col min="61" max="61" width="13" hidden="1" customWidth="1"/>
  </cols>
  <sheetData>
    <row r="1" spans="1:61" ht="72" customHeight="1" x14ac:dyDescent="0.35">
      <c r="A1" s="34" t="s">
        <v>68</v>
      </c>
      <c r="B1" s="34" t="s">
        <v>69</v>
      </c>
      <c r="C1" s="34" t="s">
        <v>25</v>
      </c>
      <c r="D1" s="34" t="s">
        <v>70</v>
      </c>
      <c r="E1" s="35" t="str">
        <f>IF(parametros!$I$3="","QTD. REMANESCENTE - C1","QTD. REMANESCENTE - C1"&amp;CHAR(10)&amp;"Informe a quantidade existente em "&amp;RIGHT("0"&amp;DAY(parametros!$I$3),2)&amp;"/"&amp;RIGHT("0"&amp;MONTH(parametros!$I$3),2)&amp;"/"&amp;YEAR(parametros!$I$3))</f>
        <v>QTD. REMANESCENTE - C1</v>
      </c>
      <c r="F1" s="35" t="str">
        <f>"VALOR REMANESCENTE - C1"&amp;CHAR(10)&amp;"Calculado automaticamente"</f>
        <v>VALOR REMANESCENTE - C1
Calculado automaticamente</v>
      </c>
      <c r="G1" s="17" t="str">
        <f>IF(parametros!$I$4="","QTD. REMANESCENTE - C2","QTD. REMANESCENTE - C2"&amp;CHAR(10)&amp;"Informe a quantidade existente em "&amp;RIGHT("0"&amp;DAY(parametros!$I$4),2)&amp;"/"&amp;RIGHT("0"&amp;MONTH(parametros!$I$4),2)&amp;"/"&amp;YEAR(parametros!$I$4))</f>
        <v>QTD. REMANESCENTE - C2</v>
      </c>
      <c r="H1" s="17" t="str">
        <f>"VALOR REMANESCENTE - C2"&amp;CHAR(10)&amp;"Calculado automaticamente"</f>
        <v>VALOR REMANESCENTE - C2
Calculado automaticamente</v>
      </c>
      <c r="I1" s="35" t="str">
        <f>IF(parametros!$I$5="","QTD. REMANESCENTE - C3","QTD. REMANESCENTE - C3"&amp;CHAR(10)&amp;"Informe a quantidade existente em "&amp;RIGHT("0"&amp;DAY(parametros!$I$5),2)&amp;"/"&amp;RIGHT("0"&amp;MONTH(parametros!$I$5),2)&amp;"/"&amp;YEAR(parametros!$I$5))</f>
        <v>QTD. REMANESCENTE - C3</v>
      </c>
      <c r="J1" s="35" t="str">
        <f>"VALOR REMANESCENTE - C3"&amp;CHAR(10)&amp;"Calculado automaticamente"</f>
        <v>VALOR REMANESCENTE - C3
Calculado automaticamente</v>
      </c>
      <c r="K1" s="17" t="str">
        <f>IF(parametros!$I$6="","QTD. REMANESCENTE - C4","QTD. REMANESCENTE - C4"&amp;CHAR(10)&amp;"Informe a quantidade existente em "&amp;RIGHT("0"&amp;DAY(parametros!$I$6),2)&amp;"/"&amp;RIGHT("0"&amp;MONTH(parametros!$I$6),2)&amp;"/"&amp;YEAR(parametros!$I$6))</f>
        <v>QTD. REMANESCENTE - C4</v>
      </c>
      <c r="L1" s="17" t="str">
        <f>"VALOR REMANESCENTE - C4"&amp;CHAR(10)&amp;"Calculado automaticamente"</f>
        <v>VALOR REMANESCENTE - C4
Calculado automaticamente</v>
      </c>
      <c r="M1" s="36" t="str">
        <f>"QTD. EXECUTADA - C1"&amp;CHAR(10)&amp;"Calculada automaticamente"</f>
        <v>QTD. EXECUTADA - C1
Calculada automaticamente</v>
      </c>
      <c r="N1" s="36" t="str">
        <f>"VALOR EXECUTADO - C1"&amp;CHAR(10)&amp;"Calculado automaticamente"</f>
        <v>VALOR EXECUTADO - C1
Calculado automaticamente</v>
      </c>
      <c r="O1" s="18" t="str">
        <f>"QTD. EXECUTADA - C2"&amp;CHAR(10)&amp;"Calculada automaticamente"</f>
        <v>QTD. EXECUTADA - C2
Calculada automaticamente</v>
      </c>
      <c r="P1" s="18" t="str">
        <f>"VALOR EXECUTADO - C2"&amp;CHAR(10)&amp;"Calculado automaticamente"</f>
        <v>VALOR EXECUTADO - C2
Calculado automaticamente</v>
      </c>
      <c r="Q1" s="36" t="str">
        <f>"QTD. EXECUTADA - C3"&amp;CHAR(10)&amp;"Calculada automaticamente"</f>
        <v>QTD. EXECUTADA - C3
Calculada automaticamente</v>
      </c>
      <c r="R1" s="36" t="str">
        <f>"VALOR EXECUTADO - C3"&amp;CHAR(10)&amp;"Calculado automaticamente"</f>
        <v>VALOR EXECUTADO - C3
Calculado automaticamente</v>
      </c>
      <c r="S1" s="18" t="str">
        <f>"QTD. EXECUTADA - C4"&amp;CHAR(10)&amp;"Calculada automaticamente"</f>
        <v>QTD. EXECUTADA - C4
Calculada automaticamente</v>
      </c>
      <c r="T1" s="18" t="str">
        <f>"VALOR EXECUTADO - C4"&amp;CHAR(10)&amp;"Calculado automaticamente"</f>
        <v>VALOR EXECUTADO - C4
Calculado automaticamente</v>
      </c>
      <c r="U1" s="34" t="s">
        <v>71</v>
      </c>
      <c r="V1" s="34" t="s">
        <v>72</v>
      </c>
      <c r="W1" s="37" t="s">
        <v>36</v>
      </c>
      <c r="X1" s="37" t="s">
        <v>35</v>
      </c>
      <c r="Y1" s="37" t="s">
        <v>73</v>
      </c>
      <c r="Z1" s="37" t="s">
        <v>40</v>
      </c>
      <c r="AA1" s="19" t="s">
        <v>74</v>
      </c>
      <c r="AB1" s="20" t="s">
        <v>75</v>
      </c>
      <c r="AC1" s="20" t="s">
        <v>76</v>
      </c>
      <c r="AD1" s="63" t="s">
        <v>77</v>
      </c>
      <c r="AE1" s="63" t="s">
        <v>78</v>
      </c>
      <c r="AF1" s="63" t="s">
        <v>79</v>
      </c>
      <c r="AG1" s="63" t="s">
        <v>80</v>
      </c>
      <c r="AH1" s="63" t="s">
        <v>81</v>
      </c>
      <c r="AI1" s="63" t="s">
        <v>82</v>
      </c>
      <c r="AJ1" s="63" t="s">
        <v>83</v>
      </c>
      <c r="AK1" s="63" t="s">
        <v>84</v>
      </c>
      <c r="AL1" s="63" t="s">
        <v>85</v>
      </c>
      <c r="AM1" s="63" t="s">
        <v>86</v>
      </c>
      <c r="AN1" s="63" t="s">
        <v>87</v>
      </c>
      <c r="AO1" s="37" t="s">
        <v>88</v>
      </c>
      <c r="AP1" s="37" t="s">
        <v>89</v>
      </c>
      <c r="AQ1" s="37" t="s">
        <v>90</v>
      </c>
      <c r="AR1" s="37" t="s">
        <v>91</v>
      </c>
      <c r="AS1" s="37" t="s">
        <v>92</v>
      </c>
      <c r="AT1" s="37" t="s">
        <v>93</v>
      </c>
      <c r="AU1" s="37" t="s">
        <v>94</v>
      </c>
      <c r="AV1" s="37" t="s">
        <v>95</v>
      </c>
      <c r="AW1" s="37" t="s">
        <v>96</v>
      </c>
      <c r="AX1" s="37" t="s">
        <v>97</v>
      </c>
      <c r="AY1" s="37" t="s">
        <v>98</v>
      </c>
      <c r="AZ1" s="37" t="s">
        <v>99</v>
      </c>
      <c r="BA1" s="37" t="s">
        <v>100</v>
      </c>
      <c r="BB1" s="37" t="s">
        <v>101</v>
      </c>
      <c r="BC1" s="37" t="s">
        <v>102</v>
      </c>
      <c r="BD1" s="37" t="s">
        <v>103</v>
      </c>
      <c r="BE1" s="37" t="s">
        <v>104</v>
      </c>
      <c r="BF1" s="37" t="s">
        <v>105</v>
      </c>
      <c r="BG1" s="37" t="s">
        <v>106</v>
      </c>
      <c r="BH1" s="37" t="s">
        <v>107</v>
      </c>
      <c r="BI1" t="s">
        <v>108</v>
      </c>
    </row>
    <row r="2" spans="1:61" x14ac:dyDescent="0.35">
      <c r="A2" s="81" t="s">
        <v>109</v>
      </c>
      <c r="B2" s="82">
        <v>120</v>
      </c>
      <c r="C2" s="83">
        <v>250</v>
      </c>
      <c r="D2" s="79">
        <f>IF(FALSE,ROUND(SUMIF($A1:A$2,"&lt;&gt;",$D1:D$2),2),IF(OR(A2="",B2="",C2=""),"",ROUND(B2*C2,2)))</f>
        <v>30000</v>
      </c>
      <c r="E2" s="84">
        <v>120</v>
      </c>
      <c r="F2" s="79">
        <f>IF(OR(A2="",AND(ISNUMBER(posicao_contratual!$AL2),posicao_contratual!$AL2&gt;1),posicao_contratual!K2="",NOT(ISNUMBER(historico_VU!D2))),"",ROUND(posicao_contratual!K2*historico_VU!D2,2))</f>
        <v>31536</v>
      </c>
      <c r="G2" s="84">
        <v>120</v>
      </c>
      <c r="H2" s="79">
        <f>IF(OR(A2="",AND(ISNUMBER(posicao_contratual!$AL2),posicao_contratual!$AL2&gt;2),posicao_contratual!O2="",NOT(ISNUMBER(historico_VU!E2))),"",ROUND(posicao_contratual!O2*historico_VU!E2,2))</f>
        <v>32715.599999999999</v>
      </c>
      <c r="I2" s="84">
        <v>120</v>
      </c>
      <c r="J2" s="79">
        <f>IF(OR(A2="",AND(ISNUMBER(posicao_contratual!$AL2),posicao_contratual!$AL2&gt;3),posicao_contratual!S2="",NOT(ISNUMBER(historico_VU!F2))),"",ROUND(posicao_contratual!S2*historico_VU!F2,2))</f>
        <v>33661.199999999997</v>
      </c>
      <c r="K2" s="84">
        <v>120</v>
      </c>
      <c r="L2" s="79" t="str">
        <f>IF(OR(A2="",AND(ISNUMBER(posicao_contratual!$AL2),posicao_contratual!$AL2&gt;4),posicao_contratual!W2="",NOT(ISNUMBER(historico_VU!G2))),"",ROUND(posicao_contratual!W2*historico_VU!G2,2))</f>
        <v/>
      </c>
      <c r="M2" s="85">
        <v>120</v>
      </c>
      <c r="N2" s="79">
        <f>IF(OR(M2="",NOT(ISNUMBER(historico_VU!D2))),"",ROUND(M2*historico_VU!D2,2))</f>
        <v>31536</v>
      </c>
      <c r="O2" s="85">
        <f>IF(OR(posicao_contratual!N2="",posicao_contratual!R2=""),"",ROUND(MAX(posicao_contratual!N2+posicao_contratual!L2-posicao_contratual!R2,0),2))</f>
        <v>0</v>
      </c>
      <c r="P2" s="79">
        <f>IF(OR(O2="",NOT(ISNUMBER(historico_VU!E2))),"",ROUND(O2*historico_VU!E2,2))</f>
        <v>0</v>
      </c>
      <c r="Q2" s="85">
        <f>IF(OR(posicao_contratual!R2="",posicao_contratual!V2=""),"",ROUND(MAX(posicao_contratual!R2+posicao_contratual!P2-posicao_contratual!V2,0),2))</f>
        <v>0</v>
      </c>
      <c r="R2" s="79">
        <f>IF(OR(Q2="",NOT(ISNUMBER(historico_VU!F2))),"",ROUND(Q2*historico_VU!F2,2))</f>
        <v>0</v>
      </c>
      <c r="S2" s="21"/>
      <c r="T2" s="22" t="str">
        <f>IF(OR(S2="",NOT(ISNUMBER(historico_VU!G2))),"",ROUND(S2*historico_VU!G2,2))</f>
        <v/>
      </c>
      <c r="U2" s="86" t="str">
        <f>IF(A2="","",posicao_contratual!X2)</f>
        <v>OK</v>
      </c>
      <c r="V2" s="86" t="str">
        <f>IF(A2="","",posicao_contratual!X2)</f>
        <v>OK</v>
      </c>
      <c r="W2" s="87" t="s">
        <v>26</v>
      </c>
      <c r="X2" s="88" t="str">
        <f>parametros!$A$2</f>
        <v>Nao</v>
      </c>
      <c r="Y2" s="89" t="str">
        <f>IF(ISNUMBER(parametros!$E$2),parametros!$E$2,"")</f>
        <v/>
      </c>
      <c r="Z2" s="90">
        <f>IF(ISNUMBER(parametros!$F$2),parametros!$F$2,"")</f>
        <v>1</v>
      </c>
      <c r="AA2" s="13"/>
      <c r="AB2" s="85">
        <f>IF(OR(A2="",posicao_contratual!E2="",posicao_contratual!J2=""),"",ROUND(MAX(posicao_contratual!E2-posicao_contratual!J2,0),2))</f>
        <v>0</v>
      </c>
      <c r="AC2" s="79">
        <f>IF(OR(AB2="",NOT(ISNUMBER(historico_VU!C2))),"",ROUND(AB2*historico_VU!C2,2))</f>
        <v>0</v>
      </c>
      <c r="AD2" s="145">
        <f>IF(A2="","",posicao_contratual!E2)</f>
        <v>120</v>
      </c>
      <c r="AE2" s="145">
        <f>IF(A2="","",posicao_contratual!I2)</f>
        <v>120</v>
      </c>
      <c r="AF2" s="145">
        <f>IF(A2="","",posicao_contratual!M2)</f>
        <v>120</v>
      </c>
      <c r="AG2" s="145">
        <f>IF(A2="","",posicao_contratual!Q2)</f>
        <v>120</v>
      </c>
      <c r="AH2" s="145">
        <f>IF(A2="","",posicao_contratual!U2)</f>
        <v>120</v>
      </c>
      <c r="AI2" s="145">
        <f>IF(A2="","",posicao_contratual!G2)</f>
        <v>120</v>
      </c>
      <c r="AJ2" s="145">
        <f>IF(A2="","",posicao_contratual!K2)</f>
        <v>120</v>
      </c>
      <c r="AK2" s="145">
        <f>IF(A2="","",posicao_contratual!O2)</f>
        <v>120</v>
      </c>
      <c r="AL2" s="145">
        <f>IF(A2="","",posicao_contratual!S2)</f>
        <v>120</v>
      </c>
      <c r="AM2" s="145">
        <f>IF(A2="","",posicao_contratual!W2)</f>
        <v>120</v>
      </c>
      <c r="AN2" s="146" t="str">
        <f>IF(A2="","",posicao_contratual!X2)</f>
        <v>OK</v>
      </c>
      <c r="AO2">
        <f>IF($A2="","",ROUND(SUMIFS(itens_Consumidos!$E$2:$E$200,itens_Consumidos!$A$2:$A$200,$A2),2))</f>
        <v>0</v>
      </c>
      <c r="AP2">
        <f t="shared" ref="AP2:AP33" si="0">IF(OR($A2="",AB2=""),"",ROUND(MAX(AB2-AO2,0),2))</f>
        <v>0</v>
      </c>
      <c r="AQ2">
        <f>IF(OR($A2="",AB2="",MEMORIA_RESULTADOS!$I$258=""),"",ROUND(AB2*$C2*(MEMORIA_RESULTADOS!$I$258-1),2))</f>
        <v>0</v>
      </c>
      <c r="AR2">
        <f>IF(OR($A2="",AP2="",MEMORIA_RESULTADOS!$I$258=""),"",ROUND(AP2*$C2*(parametros!$F$2-MEMORIA_RESULTADOS!$I$258),2))</f>
        <v>0</v>
      </c>
      <c r="AS2">
        <f>IF($A2="","",ROUND(SUMIFS(itens_Consumidos!$G$2:$G$200,itens_Consumidos!$A$2:$A$200,$A2),2))</f>
        <v>0</v>
      </c>
      <c r="AT2">
        <f t="shared" ref="AT2:AT33" si="1">IF(OR($A2="",M2=""),"",ROUND(MAX(M2-AS2,0),2))</f>
        <v>120</v>
      </c>
      <c r="AU2">
        <f>IF(OR($A2="",M2="",MEMORIA_RESULTADOS!$I$259=""),"",ROUND(M2*$C2*(MEMORIA_RESULTADOS!$I$259-1),2))</f>
        <v>0</v>
      </c>
      <c r="AV2">
        <f>IF(OR($A2="",AT2="",MEMORIA_RESULTADOS!$I$259=""),"",ROUND(AT2*$C2*(parametros!$F$3-MEMORIA_RESULTADOS!$I$259),2))</f>
        <v>1536</v>
      </c>
      <c r="AW2">
        <f>IF($A2="","",ROUND(SUMIFS(itens_Consumidos!$I$2:$I$200,itens_Consumidos!$A$2:$A$200,$A2),2))</f>
        <v>0</v>
      </c>
      <c r="AX2">
        <f t="shared" ref="AX2:AX33" si="2">IF(OR($A2="",O2=""),"",ROUND(MAX(O2-AW2,0),2))</f>
        <v>0</v>
      </c>
      <c r="AY2" t="str">
        <f>IF(OR($A2="",O2="",MEMORIA_RESULTADOS!$I$260=""),"",ROUND(O2*$C2*(MEMORIA_RESULTADOS!$I$260-1),2))</f>
        <v/>
      </c>
      <c r="AZ2" t="str">
        <f>IF(OR($A2="",AX2="",MEMORIA_RESULTADOS!$I$260=""),"",ROUND(AX2*$C2*(parametros!$F$4-MEMORIA_RESULTADOS!$I$260),2))</f>
        <v/>
      </c>
      <c r="BA2">
        <f>IF($A2="","",ROUND(SUMIFS(itens_Consumidos!$K$2:$K$200,itens_Consumidos!$A$2:$A$200,$A2),2))</f>
        <v>0</v>
      </c>
      <c r="BB2">
        <f t="shared" ref="BB2:BB33" si="3">IF(OR($A2="",Q2=""),"",ROUND(MAX(Q2-BA2,0),2))</f>
        <v>0</v>
      </c>
      <c r="BC2" t="str">
        <f>IF(OR($A2="",Q2="",MEMORIA_RESULTADOS!$I$261=""),"",ROUND(Q2*$C2*(MEMORIA_RESULTADOS!$I$261-1),2))</f>
        <v/>
      </c>
      <c r="BD2" t="str">
        <f>IF(OR($A2="",BB2="",MEMORIA_RESULTADOS!$I$261=""),"",ROUND(BB2*$C2*(parametros!$F$5-MEMORIA_RESULTADOS!$I$261),2))</f>
        <v/>
      </c>
      <c r="BE2">
        <f>IF($A2="","",ROUND(SUMIFS(itens_Consumidos!$M$2:$M$200,itens_Consumidos!$A$2:$A$200,$A2),2))</f>
        <v>0</v>
      </c>
      <c r="BF2" t="str">
        <f t="shared" ref="BF2:BF33" si="4">IF(OR($A2="",S2=""),"",ROUND(MAX(S2-BE2,0),2))</f>
        <v/>
      </c>
      <c r="BG2" t="str">
        <f>IF(OR($A2="",S2="",MEMORIA_RESULTADOS!$I$262=""),"",ROUND(S2*$C2*(MEMORIA_RESULTADOS!$I$262-1),2))</f>
        <v/>
      </c>
      <c r="BH2" t="str">
        <f>IF(OR($A2="",BF2="",MEMORIA_RESULTADOS!$I$262=""),"",ROUND(BF2*$C2*(parametros!$F$6-MEMORIA_RESULTADOS!$I$262),2))</f>
        <v/>
      </c>
      <c r="BI2">
        <f>IF($A2="","",IF(posicao_contratual!$AL2="","",posicao_contratual!$AL2))</f>
        <v>0</v>
      </c>
    </row>
    <row r="3" spans="1:61" x14ac:dyDescent="0.35">
      <c r="A3" s="81" t="s">
        <v>110</v>
      </c>
      <c r="B3" s="82">
        <v>80</v>
      </c>
      <c r="C3" s="83">
        <v>1500</v>
      </c>
      <c r="D3" s="79">
        <f>IF(AND(A3="",A2&lt;&gt;"",COUNTIF(A4:$A$200,"&lt;&gt;")=0),ROUND(SUMIF($A$2:A2,"&lt;&gt;",$D$2:D2),2),IF(OR(A3="",B3="",C3=""),"",ROUND(B3*C3,2)))</f>
        <v>120000</v>
      </c>
      <c r="E3" s="84">
        <v>80</v>
      </c>
      <c r="F3" s="79">
        <f>IF(AND(A3="",A2&lt;&gt;"",COUNTIF(A4:$A$200,"&lt;&gt;")=0),IF(COUNT(F$2:F2)=0,"",ROUND(SUMIF($A$2:A2,"&lt;&gt;",F$2:F2),2)),IF(OR(A3="",AND(ISNUMBER(posicao_contratual!$AL3),posicao_contratual!$AL3&gt;1),posicao_contratual!K3="",NOT(ISNUMBER(historico_VU!D3))),"",ROUND(posicao_contratual!K3*historico_VU!D3,2)))</f>
        <v>126144</v>
      </c>
      <c r="G3" s="84">
        <v>80</v>
      </c>
      <c r="H3" s="79">
        <f>IF(AND(A3="",A2&lt;&gt;"",COUNTIF(A4:$A$200,"&lt;&gt;")=0),IF(COUNT(H$2:H2)=0,"",ROUND(SUMIF($A$2:A2,"&lt;&gt;",H$2:H2),2)),IF(OR(A3="",AND(ISNUMBER(posicao_contratual!$AL3),posicao_contratual!$AL3&gt;2),posicao_contratual!O3="",NOT(ISNUMBER(historico_VU!E3))),"",ROUND(posicao_contratual!O3*historico_VU!E3,2)))</f>
        <v>130861.6</v>
      </c>
      <c r="I3" s="84">
        <v>80</v>
      </c>
      <c r="J3" s="79">
        <f>IF(AND(A3="",A2&lt;&gt;"",COUNTIF(A4:$A$200,"&lt;&gt;")=0),IF(COUNT(J$2:J2)=0,"",ROUND(SUMIF($A$2:A2,"&lt;&gt;",J$2:J2),2)),IF(OR(A3="",AND(ISNUMBER(posicao_contratual!$AL3),posicao_contratual!$AL3&gt;3),posicao_contratual!S3="",NOT(ISNUMBER(historico_VU!F3))),"",ROUND(posicao_contratual!S3*historico_VU!F3,2)))</f>
        <v>134644</v>
      </c>
      <c r="K3" s="84">
        <v>80</v>
      </c>
      <c r="L3" s="79" t="str">
        <f>IF(AND(A3="",A2&lt;&gt;"",COUNTIF(A4:$A$200,"&lt;&gt;")=0),IF(COUNT(L$2:L2)=0,"",ROUND(SUMIF($A$2:A2,"&lt;&gt;",L$2:L2),2)),IF(OR(A3="",AND(ISNUMBER(posicao_contratual!$AL3),posicao_contratual!$AL3&gt;4),posicao_contratual!W3="",NOT(ISNUMBER(historico_VU!G3))),"",ROUND(posicao_contratual!W3*historico_VU!G3,2)))</f>
        <v/>
      </c>
      <c r="M3" s="85">
        <v>80</v>
      </c>
      <c r="N3" s="79">
        <f>IF(AND(A3="",A2&lt;&gt;"",COUNTIF(A4:$A$200,"&lt;&gt;")=0),IF(COUNT(N$2:N2)=0,"",ROUND(SUMIF($A$2:A2,"&lt;&gt;",N$2:N2),2)),IF(OR(M3="",NOT(ISNUMBER(historico_VU!D3))),"",ROUND(M3*historico_VU!D3,2)))</f>
        <v>126144</v>
      </c>
      <c r="O3" s="85">
        <f>IF(OR(posicao_contratual!N3="",posicao_contratual!R3=""),"",ROUND(MAX(posicao_contratual!N3+posicao_contratual!L3-posicao_contratual!R3,0),2))</f>
        <v>0</v>
      </c>
      <c r="P3" s="79">
        <f>IF(AND(A3="",A2&lt;&gt;"",COUNTIF(A4:$A$200,"&lt;&gt;")=0),IF(COUNT(P$2:P2)=0,"",ROUND(SUMIF($A$2:A2,"&lt;&gt;",P$2:P2),2)),IF(OR(O3="",NOT(ISNUMBER(historico_VU!E3))),"",ROUND(O3*historico_VU!E3,2)))</f>
        <v>0</v>
      </c>
      <c r="Q3" s="85">
        <f>IF(OR(posicao_contratual!R3="",posicao_contratual!V3=""),"",ROUND(MAX(posicao_contratual!R3+posicao_contratual!P3-posicao_contratual!V3,0),2))</f>
        <v>0</v>
      </c>
      <c r="R3" s="79">
        <f>IF(AND(A3="",A2&lt;&gt;"",COUNTIF(A4:$A$200,"&lt;&gt;")=0),IF(COUNT(R$2:R2)=0,"",ROUND(SUMIF($A$2:A2,"&lt;&gt;",R$2:R2),2)),IF(OR(Q3="",NOT(ISNUMBER(historico_VU!F3))),"",ROUND(Q3*historico_VU!F3,2)))</f>
        <v>0</v>
      </c>
      <c r="S3" s="21"/>
      <c r="T3" s="22" t="str">
        <f>IF(AND(A3="",A2&lt;&gt;"",COUNTIF(A4:$A$200,"&lt;&gt;")=0),IF(COUNT(T$2:T2)=0,"",ROUND(SUMIF($A$2:A2,"&lt;&gt;",T$2:T2),2)),IF(OR(S3="",NOT(ISNUMBER(historico_VU!G3))),"",ROUND(S3*historico_VU!G3,2)))</f>
        <v/>
      </c>
      <c r="U3" s="86" t="str">
        <f>IF(AND(A3="",A2&lt;&gt;"",COUNTIF(A4:$A$200,"&lt;&gt;")=0),"TOTAL",IF(A3="","",posicao_contratual!X3))</f>
        <v>OK</v>
      </c>
      <c r="V3" s="86" t="str">
        <f>IF(A3="","",posicao_contratual!X3)</f>
        <v>OK</v>
      </c>
      <c r="W3" s="87" t="s">
        <v>3</v>
      </c>
      <c r="X3" s="88" t="str">
        <f>parametros!$A$3</f>
        <v>Sim</v>
      </c>
      <c r="Y3" s="89">
        <f>IF(ISNUMBER(parametros!$E$3),parametros!$E$3,"")</f>
        <v>5.1200000000000002E-2</v>
      </c>
      <c r="Z3" s="90">
        <f>IF(ISNUMBER(parametros!$F$3),parametros!$F$3,"")</f>
        <v>1.0511999999999999</v>
      </c>
      <c r="AA3" s="13"/>
      <c r="AB3" s="85">
        <f>IF(OR(A3="",posicao_contratual!E3="",posicao_contratual!J3=""),"",ROUND(MAX(posicao_contratual!E3-posicao_contratual!J3,0),2))</f>
        <v>0</v>
      </c>
      <c r="AC3" s="79">
        <f>IF(AND(A3="",A2&lt;&gt;"",COUNTIF(A4:$A$200,"&lt;&gt;")=0),IF(COUNT(AC$2:AC2)=0,"",ROUND(SUMIF($A$2:A2,"&lt;&gt;",AC$2:AC2),2)),IF(OR(AB3="",NOT(ISNUMBER(historico_VU!C3))),"",ROUND(AB3*historico_VU!C3,2)))</f>
        <v>0</v>
      </c>
      <c r="AD3" s="145">
        <f>IF(A3="","",posicao_contratual!E3)</f>
        <v>80</v>
      </c>
      <c r="AE3" s="145">
        <f>IF(A3="","",posicao_contratual!I3)</f>
        <v>80</v>
      </c>
      <c r="AF3" s="145">
        <f>IF(A3="","",posicao_contratual!M3)</f>
        <v>80</v>
      </c>
      <c r="AG3" s="145">
        <f>IF(A3="","",posicao_contratual!Q3)</f>
        <v>80</v>
      </c>
      <c r="AH3" s="145">
        <f>IF(A3="","",posicao_contratual!U3)</f>
        <v>80</v>
      </c>
      <c r="AI3" s="145">
        <f>IF(A3="","",posicao_contratual!G3)</f>
        <v>80</v>
      </c>
      <c r="AJ3" s="145">
        <f>IF(A3="","",posicao_contratual!K3)</f>
        <v>80</v>
      </c>
      <c r="AK3" s="145">
        <f>IF(A3="","",posicao_contratual!O3)</f>
        <v>80</v>
      </c>
      <c r="AL3" s="145">
        <f>IF(A3="","",posicao_contratual!S3)</f>
        <v>80</v>
      </c>
      <c r="AM3" s="145">
        <f>IF(A3="","",posicao_contratual!W3)</f>
        <v>80</v>
      </c>
      <c r="AN3" s="146" t="str">
        <f>IF(A3="","",posicao_contratual!X3)</f>
        <v>OK</v>
      </c>
      <c r="AO3">
        <f>IF($A3="","",ROUND(SUMIFS(itens_Consumidos!$E$2:$E$200,itens_Consumidos!$A$2:$A$200,$A3),2))</f>
        <v>0</v>
      </c>
      <c r="AP3">
        <f t="shared" si="0"/>
        <v>0</v>
      </c>
      <c r="AQ3">
        <f>IF(OR($A3="",AB3="",MEMORIA_RESULTADOS!$I$258=""),"",ROUND(AB3*$C3*(MEMORIA_RESULTADOS!$I$258-1),2))</f>
        <v>0</v>
      </c>
      <c r="AR3">
        <f>IF(OR($A3="",AP3="",MEMORIA_RESULTADOS!$I$258=""),"",ROUND(AP3*$C3*(parametros!$F$2-MEMORIA_RESULTADOS!$I$258),2))</f>
        <v>0</v>
      </c>
      <c r="AS3">
        <f>IF($A3="","",ROUND(SUMIFS(itens_Consumidos!$G$2:$G$200,itens_Consumidos!$A$2:$A$200,$A3),2))</f>
        <v>0</v>
      </c>
      <c r="AT3">
        <f t="shared" si="1"/>
        <v>80</v>
      </c>
      <c r="AU3">
        <f>IF(OR($A3="",M3="",MEMORIA_RESULTADOS!$I$259=""),"",ROUND(M3*$C3*(MEMORIA_RESULTADOS!$I$259-1),2))</f>
        <v>0</v>
      </c>
      <c r="AV3">
        <f>IF(OR($A3="",AT3="",MEMORIA_RESULTADOS!$I$259=""),"",ROUND(AT3*$C3*(parametros!$F$3-MEMORIA_RESULTADOS!$I$259),2))</f>
        <v>6144</v>
      </c>
      <c r="AW3">
        <f>IF($A3="","",ROUND(SUMIFS(itens_Consumidos!$I$2:$I$200,itens_Consumidos!$A$2:$A$200,$A3),2))</f>
        <v>0</v>
      </c>
      <c r="AX3">
        <f t="shared" si="2"/>
        <v>0</v>
      </c>
      <c r="AY3" t="str">
        <f>IF(OR($A3="",O3="",MEMORIA_RESULTADOS!$I$260=""),"",ROUND(O3*$C3*(MEMORIA_RESULTADOS!$I$260-1),2))</f>
        <v/>
      </c>
      <c r="AZ3" t="str">
        <f>IF(OR($A3="",AX3="",MEMORIA_RESULTADOS!$I$260=""),"",ROUND(AX3*$C3*(parametros!$F$4-MEMORIA_RESULTADOS!$I$260),2))</f>
        <v/>
      </c>
      <c r="BA3">
        <f>IF($A3="","",ROUND(SUMIFS(itens_Consumidos!$K$2:$K$200,itens_Consumidos!$A$2:$A$200,$A3),2))</f>
        <v>0</v>
      </c>
      <c r="BB3">
        <f t="shared" si="3"/>
        <v>0</v>
      </c>
      <c r="BC3" t="str">
        <f>IF(OR($A3="",Q3="",MEMORIA_RESULTADOS!$I$261=""),"",ROUND(Q3*$C3*(MEMORIA_RESULTADOS!$I$261-1),2))</f>
        <v/>
      </c>
      <c r="BD3" t="str">
        <f>IF(OR($A3="",BB3="",MEMORIA_RESULTADOS!$I$261=""),"",ROUND(BB3*$C3*(parametros!$F$5-MEMORIA_RESULTADOS!$I$261),2))</f>
        <v/>
      </c>
      <c r="BE3">
        <f>IF($A3="","",ROUND(SUMIFS(itens_Consumidos!$M$2:$M$200,itens_Consumidos!$A$2:$A$200,$A3),2))</f>
        <v>0</v>
      </c>
      <c r="BF3" t="str">
        <f t="shared" si="4"/>
        <v/>
      </c>
      <c r="BG3" t="str">
        <f>IF(OR($A3="",S3="",MEMORIA_RESULTADOS!$I$262=""),"",ROUND(S3*$C3*(MEMORIA_RESULTADOS!$I$262-1),2))</f>
        <v/>
      </c>
      <c r="BH3" t="str">
        <f>IF(OR($A3="",BF3="",MEMORIA_RESULTADOS!$I$262=""),"",ROUND(BF3*$C3*(parametros!$F$6-MEMORIA_RESULTADOS!$I$262),2))</f>
        <v/>
      </c>
      <c r="BI3">
        <f>IF($A3="","",IF(posicao_contratual!$AL3="","",posicao_contratual!$AL3))</f>
        <v>0</v>
      </c>
    </row>
    <row r="4" spans="1:61" x14ac:dyDescent="0.35">
      <c r="A4" s="81" t="s">
        <v>111</v>
      </c>
      <c r="B4" s="82">
        <v>40</v>
      </c>
      <c r="C4" s="83">
        <v>3200</v>
      </c>
      <c r="D4" s="79">
        <f>IF(AND(A4="",A3&lt;&gt;"",COUNTIF(A5:$A$200,"&lt;&gt;")=0),ROUND(SUMIF($A$2:A3,"&lt;&gt;",$D$2:D3),2),IF(OR(A4="",B4="",C4=""),"",ROUND(B4*C4,2)))</f>
        <v>128000</v>
      </c>
      <c r="E4" s="84">
        <v>40</v>
      </c>
      <c r="F4" s="79">
        <f>IF(AND(A4="",A3&lt;&gt;"",COUNTIF(A5:$A$200,"&lt;&gt;")=0),IF(COUNT(F$2:F3)=0,"",ROUND(SUMIF($A$2:A3,"&lt;&gt;",F$2:F3),2)),IF(OR(A4="",AND(ISNUMBER(posicao_contratual!$AL4),posicao_contratual!$AL4&gt;1),posicao_contratual!K4="",NOT(ISNUMBER(historico_VU!D4))),"",ROUND(posicao_contratual!K4*historico_VU!D4,2)))</f>
        <v>134553.60000000001</v>
      </c>
      <c r="G4" s="84">
        <v>40</v>
      </c>
      <c r="H4" s="79">
        <f>IF(AND(A4="",A3&lt;&gt;"",COUNTIF(A5:$A$200,"&lt;&gt;")=0),IF(COUNT(H$2:H3)=0,"",ROUND(SUMIF($A$2:A3,"&lt;&gt;",H$2:H3),2)),IF(OR(A4="",AND(ISNUMBER(posicao_contratual!$AL4),posicao_contratual!$AL4&gt;2),posicao_contratual!O4="",NOT(ISNUMBER(historico_VU!E4))),"",ROUND(posicao_contratual!O4*historico_VU!E4,2)))</f>
        <v>139586</v>
      </c>
      <c r="I4" s="84">
        <v>40</v>
      </c>
      <c r="J4" s="79">
        <f>IF(AND(A4="",A3&lt;&gt;"",COUNTIF(A5:$A$200,"&lt;&gt;")=0),IF(COUNT(J$2:J3)=0,"",ROUND(SUMIF($A$2:A3,"&lt;&gt;",J$2:J3),2)),IF(OR(A4="",AND(ISNUMBER(posicao_contratual!$AL4),posicao_contratual!$AL4&gt;3),posicao_contratual!S4="",NOT(ISNUMBER(historico_VU!F4))),"",ROUND(posicao_contratual!S4*historico_VU!F4,2)))</f>
        <v>143620</v>
      </c>
      <c r="K4" s="84">
        <v>40</v>
      </c>
      <c r="L4" s="79" t="str">
        <f>IF(AND(A4="",A3&lt;&gt;"",COUNTIF(A5:$A$200,"&lt;&gt;")=0),IF(COUNT(L$2:L3)=0,"",ROUND(SUMIF($A$2:A3,"&lt;&gt;",L$2:L3),2)),IF(OR(A4="",AND(ISNUMBER(posicao_contratual!$AL4),posicao_contratual!$AL4&gt;4),posicao_contratual!W4="",NOT(ISNUMBER(historico_VU!G4))),"",ROUND(posicao_contratual!W4*historico_VU!G4,2)))</f>
        <v/>
      </c>
      <c r="M4" s="85">
        <v>40</v>
      </c>
      <c r="N4" s="79">
        <f>IF(AND(A4="",A3&lt;&gt;"",COUNTIF(A5:$A$200,"&lt;&gt;")=0),IF(COUNT(N$2:N3)=0,"",ROUND(SUMIF($A$2:A3,"&lt;&gt;",N$2:N3),2)),IF(OR(M4="",NOT(ISNUMBER(historico_VU!D4))),"",ROUND(M4*historico_VU!D4,2)))</f>
        <v>134553.60000000001</v>
      </c>
      <c r="O4" s="85">
        <f>IF(OR(posicao_contratual!N4="",posicao_contratual!R4=""),"",ROUND(MAX(posicao_contratual!N4+posicao_contratual!L4-posicao_contratual!R4,0),2))</f>
        <v>0</v>
      </c>
      <c r="P4" s="79">
        <f>IF(AND(A4="",A3&lt;&gt;"",COUNTIF(A5:$A$200,"&lt;&gt;")=0),IF(COUNT(P$2:P3)=0,"",ROUND(SUMIF($A$2:A3,"&lt;&gt;",P$2:P3),2)),IF(OR(O4="",NOT(ISNUMBER(historico_VU!E4))),"",ROUND(O4*historico_VU!E4,2)))</f>
        <v>0</v>
      </c>
      <c r="Q4" s="85">
        <f>IF(OR(posicao_contratual!R4="",posicao_contratual!V4=""),"",ROUND(MAX(posicao_contratual!R4+posicao_contratual!P4-posicao_contratual!V4,0),2))</f>
        <v>0</v>
      </c>
      <c r="R4" s="79">
        <f>IF(AND(A4="",A3&lt;&gt;"",COUNTIF(A5:$A$200,"&lt;&gt;")=0),IF(COUNT(R$2:R3)=0,"",ROUND(SUMIF($A$2:A3,"&lt;&gt;",R$2:R3),2)),IF(OR(Q4="",NOT(ISNUMBER(historico_VU!F4))),"",ROUND(Q4*historico_VU!F4,2)))</f>
        <v>0</v>
      </c>
      <c r="S4" s="21"/>
      <c r="T4" s="22" t="str">
        <f>IF(AND(A4="",A3&lt;&gt;"",COUNTIF(A5:$A$200,"&lt;&gt;")=0),IF(COUNT(T$2:T3)=0,"",ROUND(SUMIF($A$2:A3,"&lt;&gt;",T$2:T3),2)),IF(OR(S4="",NOT(ISNUMBER(historico_VU!G4))),"",ROUND(S4*historico_VU!G4,2)))</f>
        <v/>
      </c>
      <c r="U4" s="86" t="str">
        <f>IF(AND(A4="",A3&lt;&gt;"",COUNTIF(A5:$A$200,"&lt;&gt;")=0),"TOTAL",IF(A4="","",posicao_contratual!X4))</f>
        <v>OK</v>
      </c>
      <c r="V4" s="86" t="str">
        <f>IF(A4="","",posicao_contratual!X4)</f>
        <v>OK</v>
      </c>
      <c r="W4" s="87" t="s">
        <v>27</v>
      </c>
      <c r="X4" s="88" t="str">
        <f>parametros!$A$4</f>
        <v>Nao</v>
      </c>
      <c r="Y4" s="89">
        <f>IF(ISNUMBER(parametros!$E$4),parametros!$E$4,"")</f>
        <v>3.7400000000000003E-2</v>
      </c>
      <c r="Z4" s="90">
        <f>IF(ISNUMBER(parametros!$F$4),parametros!$F$4,"")</f>
        <v>1.09051488</v>
      </c>
      <c r="AA4" s="13"/>
      <c r="AB4" s="85">
        <f>IF(OR(A4="",posicao_contratual!E4="",posicao_contratual!J4=""),"",ROUND(MAX(posicao_contratual!E4-posicao_contratual!J4,0),2))</f>
        <v>0</v>
      </c>
      <c r="AC4" s="79">
        <f>IF(AND(A4="",A3&lt;&gt;"",COUNTIF(A5:$A$200,"&lt;&gt;")=0),IF(COUNT(AC$2:AC3)=0,"",ROUND(SUMIF($A$2:A3,"&lt;&gt;",AC$2:AC3),2)),IF(OR(AB4="",NOT(ISNUMBER(historico_VU!C4))),"",ROUND(AB4*historico_VU!C4,2)))</f>
        <v>0</v>
      </c>
      <c r="AD4" s="145">
        <f>IF(A4="","",posicao_contratual!E4)</f>
        <v>40</v>
      </c>
      <c r="AE4" s="145">
        <f>IF(A4="","",posicao_contratual!I4)</f>
        <v>40</v>
      </c>
      <c r="AF4" s="145">
        <f>IF(A4="","",posicao_contratual!M4)</f>
        <v>40</v>
      </c>
      <c r="AG4" s="145">
        <f>IF(A4="","",posicao_contratual!Q4)</f>
        <v>40</v>
      </c>
      <c r="AH4" s="145">
        <f>IF(A4="","",posicao_contratual!U4)</f>
        <v>40</v>
      </c>
      <c r="AI4" s="145">
        <f>IF(A4="","",posicao_contratual!G4)</f>
        <v>40</v>
      </c>
      <c r="AJ4" s="145">
        <f>IF(A4="","",posicao_contratual!K4)</f>
        <v>40</v>
      </c>
      <c r="AK4" s="145">
        <f>IF(A4="","",posicao_contratual!O4)</f>
        <v>40</v>
      </c>
      <c r="AL4" s="145">
        <f>IF(A4="","",posicao_contratual!S4)</f>
        <v>40</v>
      </c>
      <c r="AM4" s="145">
        <f>IF(A4="","",posicao_contratual!W4)</f>
        <v>40</v>
      </c>
      <c r="AN4" s="146" t="str">
        <f>IF(A4="","",posicao_contratual!X4)</f>
        <v>OK</v>
      </c>
      <c r="AO4">
        <f>IF($A4="","",ROUND(SUMIFS(itens_Consumidos!$E$2:$E$200,itens_Consumidos!$A$2:$A$200,$A4),2))</f>
        <v>0</v>
      </c>
      <c r="AP4">
        <f t="shared" si="0"/>
        <v>0</v>
      </c>
      <c r="AQ4">
        <f>IF(OR($A4="",AB4="",MEMORIA_RESULTADOS!$I$258=""),"",ROUND(AB4*$C4*(MEMORIA_RESULTADOS!$I$258-1),2))</f>
        <v>0</v>
      </c>
      <c r="AR4">
        <f>IF(OR($A4="",AP4="",MEMORIA_RESULTADOS!$I$258=""),"",ROUND(AP4*$C4*(parametros!$F$2-MEMORIA_RESULTADOS!$I$258),2))</f>
        <v>0</v>
      </c>
      <c r="AS4">
        <f>IF($A4="","",ROUND(SUMIFS(itens_Consumidos!$G$2:$G$200,itens_Consumidos!$A$2:$A$200,$A4),2))</f>
        <v>0</v>
      </c>
      <c r="AT4">
        <f t="shared" si="1"/>
        <v>40</v>
      </c>
      <c r="AU4">
        <f>IF(OR($A4="",M4="",MEMORIA_RESULTADOS!$I$259=""),"",ROUND(M4*$C4*(MEMORIA_RESULTADOS!$I$259-1),2))</f>
        <v>0</v>
      </c>
      <c r="AV4">
        <f>IF(OR($A4="",AT4="",MEMORIA_RESULTADOS!$I$259=""),"",ROUND(AT4*$C4*(parametros!$F$3-MEMORIA_RESULTADOS!$I$259),2))</f>
        <v>6553.6</v>
      </c>
      <c r="AW4">
        <f>IF($A4="","",ROUND(SUMIFS(itens_Consumidos!$I$2:$I$200,itens_Consumidos!$A$2:$A$200,$A4),2))</f>
        <v>0</v>
      </c>
      <c r="AX4">
        <f t="shared" si="2"/>
        <v>0</v>
      </c>
      <c r="AY4" t="str">
        <f>IF(OR($A4="",O4="",MEMORIA_RESULTADOS!$I$260=""),"",ROUND(O4*$C4*(MEMORIA_RESULTADOS!$I$260-1),2))</f>
        <v/>
      </c>
      <c r="AZ4" t="str">
        <f>IF(OR($A4="",AX4="",MEMORIA_RESULTADOS!$I$260=""),"",ROUND(AX4*$C4*(parametros!$F$4-MEMORIA_RESULTADOS!$I$260),2))</f>
        <v/>
      </c>
      <c r="BA4">
        <f>IF($A4="","",ROUND(SUMIFS(itens_Consumidos!$K$2:$K$200,itens_Consumidos!$A$2:$A$200,$A4),2))</f>
        <v>0</v>
      </c>
      <c r="BB4">
        <f t="shared" si="3"/>
        <v>0</v>
      </c>
      <c r="BC4" t="str">
        <f>IF(OR($A4="",Q4="",MEMORIA_RESULTADOS!$I$261=""),"",ROUND(Q4*$C4*(MEMORIA_RESULTADOS!$I$261-1),2))</f>
        <v/>
      </c>
      <c r="BD4" t="str">
        <f>IF(OR($A4="",BB4="",MEMORIA_RESULTADOS!$I$261=""),"",ROUND(BB4*$C4*(parametros!$F$5-MEMORIA_RESULTADOS!$I$261),2))</f>
        <v/>
      </c>
      <c r="BE4">
        <f>IF($A4="","",ROUND(SUMIFS(itens_Consumidos!$M$2:$M$200,itens_Consumidos!$A$2:$A$200,$A4),2))</f>
        <v>0</v>
      </c>
      <c r="BF4" t="str">
        <f t="shared" si="4"/>
        <v/>
      </c>
      <c r="BG4" t="str">
        <f>IF(OR($A4="",S4="",MEMORIA_RESULTADOS!$I$262=""),"",ROUND(S4*$C4*(MEMORIA_RESULTADOS!$I$262-1),2))</f>
        <v/>
      </c>
      <c r="BH4" t="str">
        <f>IF(OR($A4="",BF4="",MEMORIA_RESULTADOS!$I$262=""),"",ROUND(BF4*$C4*(parametros!$F$6-MEMORIA_RESULTADOS!$I$262),2))</f>
        <v/>
      </c>
      <c r="BI4">
        <f>IF($A4="","",IF(posicao_contratual!$AL4="","",posicao_contratual!$AL4))</f>
        <v>0</v>
      </c>
    </row>
    <row r="5" spans="1:61" x14ac:dyDescent="0.35">
      <c r="A5" s="81"/>
      <c r="B5" s="82" t="str">
        <f t="shared" ref="B5:B36" si="5">IF(AND(LEN(TRIM($A5))=4,LEFT(TRIM($A5),1)="N",ISNUMBER(--MID(TRIM($A5),2,3)),ISERROR(FIND(".",$A5)),ISERROR(FIND(",",$A5)),ISERROR(FIND("-",$A5)),ISERROR(FIND("+",$A5)),ISERROR(SEARCH("E",$A5,2)),ISERROR(FIND(" ",TRIM($A5)))),0,"")</f>
        <v/>
      </c>
      <c r="C5" s="83"/>
      <c r="D5" s="79">
        <f>IF(AND(A5="",A4&lt;&gt;"",COUNTIF(A6:$A$200,"&lt;&gt;")=0),ROUND(SUMIF($A$2:A4,"&lt;&gt;",$D$2:D4),2),IF(OR(A5="",B5="",C5=""),"",ROUND(B5*C5,2)))</f>
        <v>278000</v>
      </c>
      <c r="E5" s="84"/>
      <c r="F5" s="79">
        <f>IF(AND(A5="",A4&lt;&gt;"",COUNTIF(A6:$A$200,"&lt;&gt;")=0),IF(COUNT(F$2:F4)=0,"",ROUND(SUMIF($A$2:A4,"&lt;&gt;",F$2:F4),2)),IF(OR(A5="",AND(ISNUMBER(posicao_contratual!$AL5),posicao_contratual!$AL5&gt;1),posicao_contratual!K5="",NOT(ISNUMBER(historico_VU!D5))),"",ROUND(posicao_contratual!K5*historico_VU!D5,2)))</f>
        <v>292233.59999999998</v>
      </c>
      <c r="G5" s="84"/>
      <c r="H5" s="79">
        <f>IF(AND(A5="",A4&lt;&gt;"",COUNTIF(A6:$A$200,"&lt;&gt;")=0),IF(COUNT(H$2:H4)=0,"",ROUND(SUMIF($A$2:A4,"&lt;&gt;",H$2:H4),2)),IF(OR(A5="",AND(ISNUMBER(posicao_contratual!$AL5),posicao_contratual!$AL5&gt;2),posicao_contratual!O5="",NOT(ISNUMBER(historico_VU!E5))),"",ROUND(posicao_contratual!O5*historico_VU!E5,2)))</f>
        <v>303163.2</v>
      </c>
      <c r="I5" s="84"/>
      <c r="J5" s="79">
        <f>IF(AND(A5="",A4&lt;&gt;"",COUNTIF(A6:$A$200,"&lt;&gt;")=0),IF(COUNT(J$2:J4)=0,"",ROUND(SUMIF($A$2:A4,"&lt;&gt;",J$2:J4),2)),IF(OR(A5="",AND(ISNUMBER(posicao_contratual!$AL5),posicao_contratual!$AL5&gt;3),posicao_contratual!S5="",NOT(ISNUMBER(historico_VU!F5))),"",ROUND(posicao_contratual!S5*historico_VU!F5,2)))</f>
        <v>311925.2</v>
      </c>
      <c r="K5" s="84"/>
      <c r="L5" s="79" t="str">
        <f>IF(AND(A5="",A4&lt;&gt;"",COUNTIF(A6:$A$200,"&lt;&gt;")=0),IF(COUNT(L$2:L4)=0,"",ROUND(SUMIF($A$2:A4,"&lt;&gt;",L$2:L4),2)),IF(OR(A5="",AND(ISNUMBER(posicao_contratual!$AL5),posicao_contratual!$AL5&gt;4),posicao_contratual!W5="",NOT(ISNUMBER(historico_VU!G5))),"",ROUND(posicao_contratual!W5*historico_VU!G5,2)))</f>
        <v/>
      </c>
      <c r="M5" s="85" t="str">
        <f>IF(OR(posicao_contratual!J5="",posicao_contratual!N5=""),"",ROUND(MAX(posicao_contratual!J5+posicao_contratual!H5-posicao_contratual!N5,0),2))</f>
        <v/>
      </c>
      <c r="N5" s="79">
        <f>IF(AND(A5="",A4&lt;&gt;"",COUNTIF(A6:$A$200,"&lt;&gt;")=0),IF(COUNT(N$2:N4)=0,"",ROUND(SUMIF($A$2:A4,"&lt;&gt;",N$2:N4),2)),IF(OR(M5="",NOT(ISNUMBER(historico_VU!D5))),"",ROUND(M5*historico_VU!D5,2)))</f>
        <v>292233.59999999998</v>
      </c>
      <c r="O5" s="85" t="str">
        <f>IF(OR(posicao_contratual!N5="",posicao_contratual!R5=""),"",ROUND(MAX(posicao_contratual!N5+posicao_contratual!L5-posicao_contratual!R5,0),2))</f>
        <v/>
      </c>
      <c r="P5" s="79">
        <f>IF(AND(A5="",A4&lt;&gt;"",COUNTIF(A6:$A$200,"&lt;&gt;")=0),IF(COUNT(P$2:P4)=0,"",ROUND(SUMIF($A$2:A4,"&lt;&gt;",P$2:P4),2)),IF(OR(O5="",NOT(ISNUMBER(historico_VU!E5))),"",ROUND(O5*historico_VU!E5,2)))</f>
        <v>0</v>
      </c>
      <c r="Q5" s="85" t="str">
        <f>IF(OR(posicao_contratual!R5="",posicao_contratual!V5=""),"",ROUND(MAX(posicao_contratual!R5+posicao_contratual!P5-posicao_contratual!V5,0),2))</f>
        <v/>
      </c>
      <c r="R5" s="79">
        <f>IF(AND(A5="",A4&lt;&gt;"",COUNTIF(A6:$A$200,"&lt;&gt;")=0),IF(COUNT(R$2:R4)=0,"",ROUND(SUMIF($A$2:A4,"&lt;&gt;",R$2:R4),2)),IF(OR(Q5="",NOT(ISNUMBER(historico_VU!F5))),"",ROUND(Q5*historico_VU!F5,2)))</f>
        <v>0</v>
      </c>
      <c r="S5" s="21"/>
      <c r="T5" s="22" t="str">
        <f>IF(AND(A5="",A4&lt;&gt;"",COUNTIF(A6:$A$200,"&lt;&gt;")=0),IF(COUNT(T$2:T4)=0,"",ROUND(SUMIF($A$2:A4,"&lt;&gt;",T$2:T4),2)),IF(OR(S5="",NOT(ISNUMBER(historico_VU!G5))),"",ROUND(S5*historico_VU!G5,2)))</f>
        <v/>
      </c>
      <c r="U5" s="86" t="str">
        <f>IF(AND(A5="",A4&lt;&gt;"",COUNTIF(A6:$A$200,"&lt;&gt;")=0),"TOTAL",IF(A5="","",posicao_contratual!X5))</f>
        <v>TOTAL</v>
      </c>
      <c r="V5" s="86" t="str">
        <f>IF(A5="","",posicao_contratual!X5)</f>
        <v/>
      </c>
      <c r="W5" s="87" t="s">
        <v>28</v>
      </c>
      <c r="X5" s="88" t="str">
        <f>parametros!$A$5</f>
        <v>Nao</v>
      </c>
      <c r="Y5" s="89">
        <f>IF(ISNUMBER(parametros!$E$5),parametros!$E$5,"")</f>
        <v>2.8899999999999999E-2</v>
      </c>
      <c r="Z5" s="90">
        <f>IF(ISNUMBER(parametros!$F$5),parametros!$F$5,"")</f>
        <v>1.1220307600319999</v>
      </c>
      <c r="AA5" s="13"/>
      <c r="AB5" s="85" t="str">
        <f>IF(OR(A5="",posicao_contratual!E5="",posicao_contratual!J5=""),"",ROUND(MAX(posicao_contratual!E5-posicao_contratual!J5,0),2))</f>
        <v/>
      </c>
      <c r="AC5" s="79">
        <f>IF(AND(A5="",A4&lt;&gt;"",COUNTIF(A6:$A$200,"&lt;&gt;")=0),IF(COUNT(AC$2:AC4)=0,"",ROUND(SUMIF($A$2:A4,"&lt;&gt;",AC$2:AC4),2)),IF(OR(AB5="",NOT(ISNUMBER(historico_VU!C5))),"",ROUND(AB5*historico_VU!C5,2)))</f>
        <v>0</v>
      </c>
      <c r="AD5" s="145" t="str">
        <f>IF(A5="","",posicao_contratual!E5)</f>
        <v/>
      </c>
      <c r="AE5" s="145" t="str">
        <f>IF(A5="","",posicao_contratual!I5)</f>
        <v/>
      </c>
      <c r="AF5" s="145" t="str">
        <f>IF(A5="","",posicao_contratual!M5)</f>
        <v/>
      </c>
      <c r="AG5" s="145" t="str">
        <f>IF(A5="","",posicao_contratual!Q5)</f>
        <v/>
      </c>
      <c r="AH5" s="145" t="str">
        <f>IF(A5="","",posicao_contratual!U5)</f>
        <v/>
      </c>
      <c r="AI5" s="145" t="str">
        <f>IF(A5="","",posicao_contratual!G5)</f>
        <v/>
      </c>
      <c r="AJ5" s="145" t="str">
        <f>IF(A5="","",posicao_contratual!K5)</f>
        <v/>
      </c>
      <c r="AK5" s="145" t="str">
        <f>IF(A5="","",posicao_contratual!O5)</f>
        <v/>
      </c>
      <c r="AL5" s="145" t="str">
        <f>IF(A5="","",posicao_contratual!S5)</f>
        <v/>
      </c>
      <c r="AM5" s="145" t="str">
        <f>IF(A5="","",posicao_contratual!W5)</f>
        <v/>
      </c>
      <c r="AN5" s="146" t="str">
        <f>IF(A5="","",posicao_contratual!X5)</f>
        <v/>
      </c>
      <c r="AO5" t="str">
        <f>IF($A5="","",ROUND(SUMIFS(itens_Consumidos!$E$2:$E$200,itens_Consumidos!$A$2:$A$200,$A5),2))</f>
        <v/>
      </c>
      <c r="AP5" t="str">
        <f t="shared" si="0"/>
        <v/>
      </c>
      <c r="AQ5" t="str">
        <f>IF(OR($A5="",AB5="",MEMORIA_RESULTADOS!$I$258=""),"",ROUND(AB5*$C5*(MEMORIA_RESULTADOS!$I$258-1),2))</f>
        <v/>
      </c>
      <c r="AR5" t="str">
        <f>IF(OR($A5="",AP5="",MEMORIA_RESULTADOS!$I$258=""),"",ROUND(AP5*$C5*(parametros!$F$2-MEMORIA_RESULTADOS!$I$258),2))</f>
        <v/>
      </c>
      <c r="AS5" t="str">
        <f>IF($A5="","",ROUND(SUMIFS(itens_Consumidos!$G$2:$G$200,itens_Consumidos!$A$2:$A$200,$A5),2))</f>
        <v/>
      </c>
      <c r="AT5" t="str">
        <f t="shared" si="1"/>
        <v/>
      </c>
      <c r="AU5" t="str">
        <f>IF(OR($A5="",M5="",MEMORIA_RESULTADOS!$I$259=""),"",ROUND(M5*$C5*(MEMORIA_RESULTADOS!$I$259-1),2))</f>
        <v/>
      </c>
      <c r="AV5" t="str">
        <f>IF(OR($A5="",AT5="",MEMORIA_RESULTADOS!$I$259=""),"",ROUND(AT5*$C5*(parametros!$F$3-MEMORIA_RESULTADOS!$I$259),2))</f>
        <v/>
      </c>
      <c r="AW5" t="str">
        <f>IF($A5="","",ROUND(SUMIFS(itens_Consumidos!$I$2:$I$200,itens_Consumidos!$A$2:$A$200,$A5),2))</f>
        <v/>
      </c>
      <c r="AX5" t="str">
        <f t="shared" si="2"/>
        <v/>
      </c>
      <c r="AY5" t="str">
        <f>IF(OR($A5="",O5="",MEMORIA_RESULTADOS!$I$260=""),"",ROUND(O5*$C5*(MEMORIA_RESULTADOS!$I$260-1),2))</f>
        <v/>
      </c>
      <c r="AZ5" t="str">
        <f>IF(OR($A5="",AX5="",MEMORIA_RESULTADOS!$I$260=""),"",ROUND(AX5*$C5*(parametros!$F$4-MEMORIA_RESULTADOS!$I$260),2))</f>
        <v/>
      </c>
      <c r="BA5" t="str">
        <f>IF($A5="","",ROUND(SUMIFS(itens_Consumidos!$K$2:$K$200,itens_Consumidos!$A$2:$A$200,$A5),2))</f>
        <v/>
      </c>
      <c r="BB5" t="str">
        <f t="shared" si="3"/>
        <v/>
      </c>
      <c r="BC5" t="str">
        <f>IF(OR($A5="",Q5="",MEMORIA_RESULTADOS!$I$261=""),"",ROUND(Q5*$C5*(MEMORIA_RESULTADOS!$I$261-1),2))</f>
        <v/>
      </c>
      <c r="BD5" t="str">
        <f>IF(OR($A5="",BB5="",MEMORIA_RESULTADOS!$I$261=""),"",ROUND(BB5*$C5*(parametros!$F$5-MEMORIA_RESULTADOS!$I$261),2))</f>
        <v/>
      </c>
      <c r="BE5" t="str">
        <f>IF($A5="","",ROUND(SUMIFS(itens_Consumidos!$M$2:$M$200,itens_Consumidos!$A$2:$A$200,$A5),2))</f>
        <v/>
      </c>
      <c r="BF5" t="str">
        <f t="shared" si="4"/>
        <v/>
      </c>
      <c r="BG5" t="str">
        <f>IF(OR($A5="",S5="",MEMORIA_RESULTADOS!$I$262=""),"",ROUND(S5*$C5*(MEMORIA_RESULTADOS!$I$262-1),2))</f>
        <v/>
      </c>
      <c r="BH5" t="str">
        <f>IF(OR($A5="",BF5="",MEMORIA_RESULTADOS!$I$262=""),"",ROUND(BF5*$C5*(parametros!$F$6-MEMORIA_RESULTADOS!$I$262),2))</f>
        <v/>
      </c>
      <c r="BI5" t="str">
        <f>IF($A5="","",IF(posicao_contratual!$AL5="","",posicao_contratual!$AL5))</f>
        <v/>
      </c>
    </row>
    <row r="6" spans="1:61" x14ac:dyDescent="0.35">
      <c r="A6" s="81"/>
      <c r="B6" s="82" t="str">
        <f t="shared" si="5"/>
        <v/>
      </c>
      <c r="C6" s="83"/>
      <c r="D6" s="79" t="str">
        <f>IF(AND(A6="",A5&lt;&gt;"",COUNTIF(A7:$A$200,"&lt;&gt;")=0),ROUND(SUMIF($A$2:A5,"&lt;&gt;",$D$2:D5),2),IF(OR(A6="",B6="",C6=""),"",ROUND(B6*C6,2)))</f>
        <v/>
      </c>
      <c r="E6" s="84"/>
      <c r="F6" s="79" t="str">
        <f>IF(AND(A6="",A5&lt;&gt;"",COUNTIF(A7:$A$200,"&lt;&gt;")=0),IF(COUNT(F$2:F5)=0,"",ROUND(SUMIF($A$2:A5,"&lt;&gt;",F$2:F5),2)),IF(OR(A6="",AND(ISNUMBER(posicao_contratual!$AL6),posicao_contratual!$AL6&gt;1),posicao_contratual!K6="",NOT(ISNUMBER(historico_VU!D6))),"",ROUND(posicao_contratual!K6*historico_VU!D6,2)))</f>
        <v/>
      </c>
      <c r="G6" s="84"/>
      <c r="H6" s="79" t="str">
        <f>IF(AND(A6="",A5&lt;&gt;"",COUNTIF(A7:$A$200,"&lt;&gt;")=0),IF(COUNT(H$2:H5)=0,"",ROUND(SUMIF($A$2:A5,"&lt;&gt;",H$2:H5),2)),IF(OR(A6="",AND(ISNUMBER(posicao_contratual!$AL6),posicao_contratual!$AL6&gt;2),posicao_contratual!O6="",NOT(ISNUMBER(historico_VU!E6))),"",ROUND(posicao_contratual!O6*historico_VU!E6,2)))</f>
        <v/>
      </c>
      <c r="I6" s="84"/>
      <c r="J6" s="79" t="str">
        <f>IF(AND(A6="",A5&lt;&gt;"",COUNTIF(A7:$A$200,"&lt;&gt;")=0),IF(COUNT(J$2:J5)=0,"",ROUND(SUMIF($A$2:A5,"&lt;&gt;",J$2:J5),2)),IF(OR(A6="",AND(ISNUMBER(posicao_contratual!$AL6),posicao_contratual!$AL6&gt;3),posicao_contratual!S6="",NOT(ISNUMBER(historico_VU!F6))),"",ROUND(posicao_contratual!S6*historico_VU!F6,2)))</f>
        <v/>
      </c>
      <c r="K6" s="84"/>
      <c r="L6" s="79" t="str">
        <f>IF(AND(A6="",A5&lt;&gt;"",COUNTIF(A7:$A$200,"&lt;&gt;")=0),IF(COUNT(L$2:L5)=0,"",ROUND(SUMIF($A$2:A5,"&lt;&gt;",L$2:L5),2)),IF(OR(A6="",AND(ISNUMBER(posicao_contratual!$AL6),posicao_contratual!$AL6&gt;4),posicao_contratual!W6="",NOT(ISNUMBER(historico_VU!G6))),"",ROUND(posicao_contratual!W6*historico_VU!G6,2)))</f>
        <v/>
      </c>
      <c r="M6" s="85" t="str">
        <f>IF(OR(posicao_contratual!J6="",posicao_contratual!N6=""),"",ROUND(MAX(posicao_contratual!J6+posicao_contratual!H6-posicao_contratual!N6,0),2))</f>
        <v/>
      </c>
      <c r="N6" s="79" t="str">
        <f>IF(AND(A6="",A5&lt;&gt;"",COUNTIF(A7:$A$200,"&lt;&gt;")=0),IF(COUNT(N$2:N5)=0,"",ROUND(SUMIF($A$2:A5,"&lt;&gt;",N$2:N5),2)),IF(OR(M6="",NOT(ISNUMBER(historico_VU!D6))),"",ROUND(M6*historico_VU!D6,2)))</f>
        <v/>
      </c>
      <c r="O6" s="85" t="str">
        <f>IF(OR(posicao_contratual!N6="",posicao_contratual!R6=""),"",ROUND(MAX(posicao_contratual!N6+posicao_contratual!L6-posicao_contratual!R6,0),2))</f>
        <v/>
      </c>
      <c r="P6" s="79" t="str">
        <f>IF(AND(A6="",A5&lt;&gt;"",COUNTIF(A7:$A$200,"&lt;&gt;")=0),IF(COUNT(P$2:P5)=0,"",ROUND(SUMIF($A$2:A5,"&lt;&gt;",P$2:P5),2)),IF(OR(O6="",NOT(ISNUMBER(historico_VU!E6))),"",ROUND(O6*historico_VU!E6,2)))</f>
        <v/>
      </c>
      <c r="Q6" s="85" t="str">
        <f>IF(OR(posicao_contratual!R6="",posicao_contratual!V6=""),"",ROUND(MAX(posicao_contratual!R6+posicao_contratual!P6-posicao_contratual!V6,0),2))</f>
        <v/>
      </c>
      <c r="R6" s="79" t="str">
        <f>IF(AND(A6="",A5&lt;&gt;"",COUNTIF(A7:$A$200,"&lt;&gt;")=0),IF(COUNT(R$2:R5)=0,"",ROUND(SUMIF($A$2:A5,"&lt;&gt;",R$2:R5),2)),IF(OR(Q6="",NOT(ISNUMBER(historico_VU!F6))),"",ROUND(Q6*historico_VU!F6,2)))</f>
        <v/>
      </c>
      <c r="S6" s="21"/>
      <c r="T6" s="22" t="str">
        <f>IF(AND(A6="",A5&lt;&gt;"",COUNTIF(A7:$A$200,"&lt;&gt;")=0),IF(COUNT(T$2:T5)=0,"",ROUND(SUMIF($A$2:A5,"&lt;&gt;",T$2:T5),2)),IF(OR(S6="",NOT(ISNUMBER(historico_VU!G6))),"",ROUND(S6*historico_VU!G6,2)))</f>
        <v/>
      </c>
      <c r="U6" s="86" t="str">
        <f>IF(AND(A6="",A5&lt;&gt;"",COUNTIF(A7:$A$200,"&lt;&gt;")=0),"TOTAL",IF(A6="","",posicao_contratual!X6))</f>
        <v/>
      </c>
      <c r="V6" s="86" t="str">
        <f>IF(A6="","",posicao_contratual!X6)</f>
        <v/>
      </c>
      <c r="W6" s="87" t="s">
        <v>29</v>
      </c>
      <c r="X6" s="88" t="str">
        <f>parametros!$A$6</f>
        <v>Nao</v>
      </c>
      <c r="Y6" s="89" t="str">
        <f>IF(ISNUMBER(parametros!$E$6),parametros!$E$6,"")</f>
        <v/>
      </c>
      <c r="Z6" s="90" t="str">
        <f>IF(ISNUMBER(parametros!$F$6),parametros!$F$6,"")</f>
        <v/>
      </c>
      <c r="AA6" s="13"/>
      <c r="AB6" s="85" t="str">
        <f>IF(OR(A6="",posicao_contratual!E6="",posicao_contratual!J6=""),"",ROUND(MAX(posicao_contratual!E6-posicao_contratual!J6,0),2))</f>
        <v/>
      </c>
      <c r="AC6" s="79" t="str">
        <f>IF(AND(A6="",A5&lt;&gt;"",COUNTIF(A7:$A$200,"&lt;&gt;")=0),IF(COUNT(AC$2:AC5)=0,"",ROUND(SUMIF($A$2:A5,"&lt;&gt;",AC$2:AC5),2)),IF(OR(AB6="",NOT(ISNUMBER(historico_VU!C6))),"",ROUND(AB6*historico_VU!C6,2)))</f>
        <v/>
      </c>
      <c r="AD6" s="145" t="str">
        <f>IF(A6="","",posicao_contratual!E6)</f>
        <v/>
      </c>
      <c r="AE6" s="145" t="str">
        <f>IF(A6="","",posicao_contratual!I6)</f>
        <v/>
      </c>
      <c r="AF6" s="145" t="str">
        <f>IF(A6="","",posicao_contratual!M6)</f>
        <v/>
      </c>
      <c r="AG6" s="145" t="str">
        <f>IF(A6="","",posicao_contratual!Q6)</f>
        <v/>
      </c>
      <c r="AH6" s="145" t="str">
        <f>IF(A6="","",posicao_contratual!U6)</f>
        <v/>
      </c>
      <c r="AI6" s="145" t="str">
        <f>IF(A6="","",posicao_contratual!G6)</f>
        <v/>
      </c>
      <c r="AJ6" s="145" t="str">
        <f>IF(A6="","",posicao_contratual!K6)</f>
        <v/>
      </c>
      <c r="AK6" s="145" t="str">
        <f>IF(A6="","",posicao_contratual!O6)</f>
        <v/>
      </c>
      <c r="AL6" s="145" t="str">
        <f>IF(A6="","",posicao_contratual!S6)</f>
        <v/>
      </c>
      <c r="AM6" s="145" t="str">
        <f>IF(A6="","",posicao_contratual!W6)</f>
        <v/>
      </c>
      <c r="AN6" s="146" t="str">
        <f>IF(A6="","",posicao_contratual!X6)</f>
        <v/>
      </c>
      <c r="AO6" t="str">
        <f>IF($A6="","",ROUND(SUMIFS(itens_Consumidos!$E$2:$E$200,itens_Consumidos!$A$2:$A$200,$A6),2))</f>
        <v/>
      </c>
      <c r="AP6" t="str">
        <f t="shared" si="0"/>
        <v/>
      </c>
      <c r="AQ6" t="str">
        <f>IF(OR($A6="",AB6="",MEMORIA_RESULTADOS!$I$258=""),"",ROUND(AB6*$C6*(MEMORIA_RESULTADOS!$I$258-1),2))</f>
        <v/>
      </c>
      <c r="AR6" t="str">
        <f>IF(OR($A6="",AP6="",MEMORIA_RESULTADOS!$I$258=""),"",ROUND(AP6*$C6*(parametros!$F$2-MEMORIA_RESULTADOS!$I$258),2))</f>
        <v/>
      </c>
      <c r="AS6" t="str">
        <f>IF($A6="","",ROUND(SUMIFS(itens_Consumidos!$G$2:$G$200,itens_Consumidos!$A$2:$A$200,$A6),2))</f>
        <v/>
      </c>
      <c r="AT6" t="str">
        <f t="shared" si="1"/>
        <v/>
      </c>
      <c r="AU6" t="str">
        <f>IF(OR($A6="",M6="",MEMORIA_RESULTADOS!$I$259=""),"",ROUND(M6*$C6*(MEMORIA_RESULTADOS!$I$259-1),2))</f>
        <v/>
      </c>
      <c r="AV6" t="str">
        <f>IF(OR($A6="",AT6="",MEMORIA_RESULTADOS!$I$259=""),"",ROUND(AT6*$C6*(parametros!$F$3-MEMORIA_RESULTADOS!$I$259),2))</f>
        <v/>
      </c>
      <c r="AW6" t="str">
        <f>IF($A6="","",ROUND(SUMIFS(itens_Consumidos!$I$2:$I$200,itens_Consumidos!$A$2:$A$200,$A6),2))</f>
        <v/>
      </c>
      <c r="AX6" t="str">
        <f t="shared" si="2"/>
        <v/>
      </c>
      <c r="AY6" t="str">
        <f>IF(OR($A6="",O6="",MEMORIA_RESULTADOS!$I$260=""),"",ROUND(O6*$C6*(MEMORIA_RESULTADOS!$I$260-1),2))</f>
        <v/>
      </c>
      <c r="AZ6" t="str">
        <f>IF(OR($A6="",AX6="",MEMORIA_RESULTADOS!$I$260=""),"",ROUND(AX6*$C6*(parametros!$F$4-MEMORIA_RESULTADOS!$I$260),2))</f>
        <v/>
      </c>
      <c r="BA6" t="str">
        <f>IF($A6="","",ROUND(SUMIFS(itens_Consumidos!$K$2:$K$200,itens_Consumidos!$A$2:$A$200,$A6),2))</f>
        <v/>
      </c>
      <c r="BB6" t="str">
        <f t="shared" si="3"/>
        <v/>
      </c>
      <c r="BC6" t="str">
        <f>IF(OR($A6="",Q6="",MEMORIA_RESULTADOS!$I$261=""),"",ROUND(Q6*$C6*(MEMORIA_RESULTADOS!$I$261-1),2))</f>
        <v/>
      </c>
      <c r="BD6" t="str">
        <f>IF(OR($A6="",BB6="",MEMORIA_RESULTADOS!$I$261=""),"",ROUND(BB6*$C6*(parametros!$F$5-MEMORIA_RESULTADOS!$I$261),2))</f>
        <v/>
      </c>
      <c r="BE6" t="str">
        <f>IF($A6="","",ROUND(SUMIFS(itens_Consumidos!$M$2:$M$200,itens_Consumidos!$A$2:$A$200,$A6),2))</f>
        <v/>
      </c>
      <c r="BF6" t="str">
        <f t="shared" si="4"/>
        <v/>
      </c>
      <c r="BG6" t="str">
        <f>IF(OR($A6="",S6="",MEMORIA_RESULTADOS!$I$262=""),"",ROUND(S6*$C6*(MEMORIA_RESULTADOS!$I$262-1),2))</f>
        <v/>
      </c>
      <c r="BH6" t="str">
        <f>IF(OR($A6="",BF6="",MEMORIA_RESULTADOS!$I$262=""),"",ROUND(BF6*$C6*(parametros!$F$6-MEMORIA_RESULTADOS!$I$262),2))</f>
        <v/>
      </c>
      <c r="BI6" t="str">
        <f>IF($A6="","",IF(posicao_contratual!$AL6="","",posicao_contratual!$AL6))</f>
        <v/>
      </c>
    </row>
    <row r="7" spans="1:61" x14ac:dyDescent="0.35">
      <c r="A7" s="81"/>
      <c r="B7" s="82" t="str">
        <f t="shared" si="5"/>
        <v/>
      </c>
      <c r="C7" s="83"/>
      <c r="D7" s="79" t="str">
        <f>IF(AND(A7="",A6&lt;&gt;"",COUNTIF(A8:$A$200,"&lt;&gt;")=0),ROUND(SUMIF($A$2:A6,"&lt;&gt;",$D$2:D6),2),IF(OR(A7="",B7="",C7=""),"",ROUND(B7*C7,2)))</f>
        <v/>
      </c>
      <c r="E7" s="84"/>
      <c r="F7" s="79" t="str">
        <f>IF(AND(A7="",A6&lt;&gt;"",COUNTIF(A8:$A$200,"&lt;&gt;")=0),IF(COUNT(F$2:F6)=0,"",ROUND(SUMIF($A$2:A6,"&lt;&gt;",F$2:F6),2)),IF(OR(A7="",AND(ISNUMBER(posicao_contratual!$AL7),posicao_contratual!$AL7&gt;1),posicao_contratual!K7="",NOT(ISNUMBER(historico_VU!D7))),"",ROUND(posicao_contratual!K7*historico_VU!D7,2)))</f>
        <v/>
      </c>
      <c r="G7" s="84"/>
      <c r="H7" s="79" t="str">
        <f>IF(AND(A7="",A6&lt;&gt;"",COUNTIF(A8:$A$200,"&lt;&gt;")=0),IF(COUNT(H$2:H6)=0,"",ROUND(SUMIF($A$2:A6,"&lt;&gt;",H$2:H6),2)),IF(OR(A7="",AND(ISNUMBER(posicao_contratual!$AL7),posicao_contratual!$AL7&gt;2),posicao_contratual!O7="",NOT(ISNUMBER(historico_VU!E7))),"",ROUND(posicao_contratual!O7*historico_VU!E7,2)))</f>
        <v/>
      </c>
      <c r="I7" s="84"/>
      <c r="J7" s="79" t="str">
        <f>IF(AND(A7="",A6&lt;&gt;"",COUNTIF(A8:$A$200,"&lt;&gt;")=0),IF(COUNT(J$2:J6)=0,"",ROUND(SUMIF($A$2:A6,"&lt;&gt;",J$2:J6),2)),IF(OR(A7="",AND(ISNUMBER(posicao_contratual!$AL7),posicao_contratual!$AL7&gt;3),posicao_contratual!S7="",NOT(ISNUMBER(historico_VU!F7))),"",ROUND(posicao_contratual!S7*historico_VU!F7,2)))</f>
        <v/>
      </c>
      <c r="K7" s="84"/>
      <c r="L7" s="79" t="str">
        <f>IF(AND(A7="",A6&lt;&gt;"",COUNTIF(A8:$A$200,"&lt;&gt;")=0),IF(COUNT(L$2:L6)=0,"",ROUND(SUMIF($A$2:A6,"&lt;&gt;",L$2:L6),2)),IF(OR(A7="",AND(ISNUMBER(posicao_contratual!$AL7),posicao_contratual!$AL7&gt;4),posicao_contratual!W7="",NOT(ISNUMBER(historico_VU!G7))),"",ROUND(posicao_contratual!W7*historico_VU!G7,2)))</f>
        <v/>
      </c>
      <c r="M7" s="85" t="str">
        <f>IF(OR(posicao_contratual!J7="",posicao_contratual!N7=""),"",ROUND(MAX(posicao_contratual!J7+posicao_contratual!H7-posicao_contratual!N7,0),2))</f>
        <v/>
      </c>
      <c r="N7" s="79" t="str">
        <f>IF(AND(A7="",A6&lt;&gt;"",COUNTIF(A8:$A$200,"&lt;&gt;")=0),IF(COUNT(N$2:N6)=0,"",ROUND(SUMIF($A$2:A6,"&lt;&gt;",N$2:N6),2)),IF(OR(M7="",NOT(ISNUMBER(historico_VU!D7))),"",ROUND(M7*historico_VU!D7,2)))</f>
        <v/>
      </c>
      <c r="O7" s="85" t="str">
        <f>IF(OR(posicao_contratual!N7="",posicao_contratual!R7=""),"",ROUND(MAX(posicao_contratual!N7+posicao_contratual!L7-posicao_contratual!R7,0),2))</f>
        <v/>
      </c>
      <c r="P7" s="79" t="str">
        <f>IF(AND(A7="",A6&lt;&gt;"",COUNTIF(A8:$A$200,"&lt;&gt;")=0),IF(COUNT(P$2:P6)=0,"",ROUND(SUMIF($A$2:A6,"&lt;&gt;",P$2:P6),2)),IF(OR(O7="",NOT(ISNUMBER(historico_VU!E7))),"",ROUND(O7*historico_VU!E7,2)))</f>
        <v/>
      </c>
      <c r="Q7" s="85" t="str">
        <f>IF(OR(posicao_contratual!R7="",posicao_contratual!V7=""),"",ROUND(MAX(posicao_contratual!R7+posicao_contratual!P7-posicao_contratual!V7,0),2))</f>
        <v/>
      </c>
      <c r="R7" s="79" t="str">
        <f>IF(AND(A7="",A6&lt;&gt;"",COUNTIF(A8:$A$200,"&lt;&gt;")=0),IF(COUNT(R$2:R6)=0,"",ROUND(SUMIF($A$2:A6,"&lt;&gt;",R$2:R6),2)),IF(OR(Q7="",NOT(ISNUMBER(historico_VU!F7))),"",ROUND(Q7*historico_VU!F7,2)))</f>
        <v/>
      </c>
      <c r="S7" s="21"/>
      <c r="T7" s="22" t="str">
        <f>IF(AND(A7="",A6&lt;&gt;"",COUNTIF(A8:$A$200,"&lt;&gt;")=0),IF(COUNT(T$2:T6)=0,"",ROUND(SUMIF($A$2:A6,"&lt;&gt;",T$2:T6),2)),IF(OR(S7="",NOT(ISNUMBER(historico_VU!G7))),"",ROUND(S7*historico_VU!G7,2)))</f>
        <v/>
      </c>
      <c r="U7" s="86" t="str">
        <f>IF(AND(A7="",A6&lt;&gt;"",COUNTIF(A8:$A$200,"&lt;&gt;")=0),"TOTAL",IF(A7="","",posicao_contratual!X7))</f>
        <v/>
      </c>
      <c r="V7" s="86" t="str">
        <f>IF(A7="","",posicao_contratual!X7)</f>
        <v/>
      </c>
      <c r="W7" s="14"/>
      <c r="X7" s="14"/>
      <c r="Y7" s="14"/>
      <c r="Z7" s="13"/>
      <c r="AA7" s="13"/>
      <c r="AB7" s="85" t="str">
        <f>IF(OR(A7="",posicao_contratual!E7="",posicao_contratual!J7=""),"",ROUND(MAX(posicao_contratual!E7-posicao_contratual!J7,0),2))</f>
        <v/>
      </c>
      <c r="AC7" s="79" t="str">
        <f>IF(AND(A7="",A6&lt;&gt;"",COUNTIF(A8:$A$200,"&lt;&gt;")=0),IF(COUNT(AC$2:AC6)=0,"",ROUND(SUMIF($A$2:A6,"&lt;&gt;",AC$2:AC6),2)),IF(OR(AB7="",NOT(ISNUMBER(historico_VU!C7))),"",ROUND(AB7*historico_VU!C7,2)))</f>
        <v/>
      </c>
      <c r="AD7" s="145" t="str">
        <f>IF(A7="","",posicao_contratual!E7)</f>
        <v/>
      </c>
      <c r="AE7" s="145" t="str">
        <f>IF(A7="","",posicao_contratual!I7)</f>
        <v/>
      </c>
      <c r="AF7" s="145" t="str">
        <f>IF(A7="","",posicao_contratual!M7)</f>
        <v/>
      </c>
      <c r="AG7" s="145" t="str">
        <f>IF(A7="","",posicao_contratual!Q7)</f>
        <v/>
      </c>
      <c r="AH7" s="145" t="str">
        <f>IF(A7="","",posicao_contratual!U7)</f>
        <v/>
      </c>
      <c r="AI7" s="145" t="str">
        <f>IF(A7="","",posicao_contratual!G7)</f>
        <v/>
      </c>
      <c r="AJ7" s="145" t="str">
        <f>IF(A7="","",posicao_contratual!K7)</f>
        <v/>
      </c>
      <c r="AK7" s="145" t="str">
        <f>IF(A7="","",posicao_contratual!O7)</f>
        <v/>
      </c>
      <c r="AL7" s="145" t="str">
        <f>IF(A7="","",posicao_contratual!S7)</f>
        <v/>
      </c>
      <c r="AM7" s="145" t="str">
        <f>IF(A7="","",posicao_contratual!W7)</f>
        <v/>
      </c>
      <c r="AN7" s="146" t="str">
        <f>IF(A7="","",posicao_contratual!X7)</f>
        <v/>
      </c>
      <c r="AO7" t="str">
        <f>IF($A7="","",ROUND(SUMIFS(itens_Consumidos!$E$2:$E$200,itens_Consumidos!$A$2:$A$200,$A7),2))</f>
        <v/>
      </c>
      <c r="AP7" t="str">
        <f t="shared" si="0"/>
        <v/>
      </c>
      <c r="AQ7" t="str">
        <f>IF(OR($A7="",AB7="",MEMORIA_RESULTADOS!$I$258=""),"",ROUND(AB7*$C7*(MEMORIA_RESULTADOS!$I$258-1),2))</f>
        <v/>
      </c>
      <c r="AR7" t="str">
        <f>IF(OR($A7="",AP7="",MEMORIA_RESULTADOS!$I$258=""),"",ROUND(AP7*$C7*(parametros!$F$2-MEMORIA_RESULTADOS!$I$258),2))</f>
        <v/>
      </c>
      <c r="AS7" t="str">
        <f>IF($A7="","",ROUND(SUMIFS(itens_Consumidos!$G$2:$G$200,itens_Consumidos!$A$2:$A$200,$A7),2))</f>
        <v/>
      </c>
      <c r="AT7" t="str">
        <f t="shared" si="1"/>
        <v/>
      </c>
      <c r="AU7" t="str">
        <f>IF(OR($A7="",M7="",MEMORIA_RESULTADOS!$I$259=""),"",ROUND(M7*$C7*(MEMORIA_RESULTADOS!$I$259-1),2))</f>
        <v/>
      </c>
      <c r="AV7" t="str">
        <f>IF(OR($A7="",AT7="",MEMORIA_RESULTADOS!$I$259=""),"",ROUND(AT7*$C7*(parametros!$F$3-MEMORIA_RESULTADOS!$I$259),2))</f>
        <v/>
      </c>
      <c r="AW7" t="str">
        <f>IF($A7="","",ROUND(SUMIFS(itens_Consumidos!$I$2:$I$200,itens_Consumidos!$A$2:$A$200,$A7),2))</f>
        <v/>
      </c>
      <c r="AX7" t="str">
        <f t="shared" si="2"/>
        <v/>
      </c>
      <c r="AY7" t="str">
        <f>IF(OR($A7="",O7="",MEMORIA_RESULTADOS!$I$260=""),"",ROUND(O7*$C7*(MEMORIA_RESULTADOS!$I$260-1),2))</f>
        <v/>
      </c>
      <c r="AZ7" t="str">
        <f>IF(OR($A7="",AX7="",MEMORIA_RESULTADOS!$I$260=""),"",ROUND(AX7*$C7*(parametros!$F$4-MEMORIA_RESULTADOS!$I$260),2))</f>
        <v/>
      </c>
      <c r="BA7" t="str">
        <f>IF($A7="","",ROUND(SUMIFS(itens_Consumidos!$K$2:$K$200,itens_Consumidos!$A$2:$A$200,$A7),2))</f>
        <v/>
      </c>
      <c r="BB7" t="str">
        <f t="shared" si="3"/>
        <v/>
      </c>
      <c r="BC7" t="str">
        <f>IF(OR($A7="",Q7="",MEMORIA_RESULTADOS!$I$261=""),"",ROUND(Q7*$C7*(MEMORIA_RESULTADOS!$I$261-1),2))</f>
        <v/>
      </c>
      <c r="BD7" t="str">
        <f>IF(OR($A7="",BB7="",MEMORIA_RESULTADOS!$I$261=""),"",ROUND(BB7*$C7*(parametros!$F$5-MEMORIA_RESULTADOS!$I$261),2))</f>
        <v/>
      </c>
      <c r="BE7" t="str">
        <f>IF($A7="","",ROUND(SUMIFS(itens_Consumidos!$M$2:$M$200,itens_Consumidos!$A$2:$A$200,$A7),2))</f>
        <v/>
      </c>
      <c r="BF7" t="str">
        <f t="shared" si="4"/>
        <v/>
      </c>
      <c r="BG7" t="str">
        <f>IF(OR($A7="",S7="",MEMORIA_RESULTADOS!$I$262=""),"",ROUND(S7*$C7*(MEMORIA_RESULTADOS!$I$262-1),2))</f>
        <v/>
      </c>
      <c r="BH7" t="str">
        <f>IF(OR($A7="",BF7="",MEMORIA_RESULTADOS!$I$262=""),"",ROUND(BF7*$C7*(parametros!$F$6-MEMORIA_RESULTADOS!$I$262),2))</f>
        <v/>
      </c>
      <c r="BI7" t="str">
        <f>IF($A7="","",IF(posicao_contratual!$AL7="","",posicao_contratual!$AL7))</f>
        <v/>
      </c>
    </row>
    <row r="8" spans="1:61" x14ac:dyDescent="0.35">
      <c r="A8" s="81"/>
      <c r="B8" s="82" t="str">
        <f t="shared" si="5"/>
        <v/>
      </c>
      <c r="C8" s="83"/>
      <c r="D8" s="79" t="str">
        <f>IF(AND(A8="",A7&lt;&gt;"",COUNTIF(A9:$A$200,"&lt;&gt;")=0),ROUND(SUMIF($A$2:A7,"&lt;&gt;",$D$2:D7),2),IF(OR(A8="",B8="",C8=""),"",ROUND(B8*C8,2)))</f>
        <v/>
      </c>
      <c r="E8" s="84"/>
      <c r="F8" s="79" t="str">
        <f>IF(AND(A8="",A7&lt;&gt;"",COUNTIF(A9:$A$200,"&lt;&gt;")=0),IF(COUNT(F$2:F7)=0,"",ROUND(SUMIF($A$2:A7,"&lt;&gt;",F$2:F7),2)),IF(OR(A8="",AND(ISNUMBER(posicao_contratual!$AL8),posicao_contratual!$AL8&gt;1),posicao_contratual!K8="",NOT(ISNUMBER(historico_VU!D8))),"",ROUND(posicao_contratual!K8*historico_VU!D8,2)))</f>
        <v/>
      </c>
      <c r="G8" s="84"/>
      <c r="H8" s="79" t="str">
        <f>IF(AND(A8="",A7&lt;&gt;"",COUNTIF(A9:$A$200,"&lt;&gt;")=0),IF(COUNT(H$2:H7)=0,"",ROUND(SUMIF($A$2:A7,"&lt;&gt;",H$2:H7),2)),IF(OR(A8="",AND(ISNUMBER(posicao_contratual!$AL8),posicao_contratual!$AL8&gt;2),posicao_contratual!O8="",NOT(ISNUMBER(historico_VU!E8))),"",ROUND(posicao_contratual!O8*historico_VU!E8,2)))</f>
        <v/>
      </c>
      <c r="I8" s="84"/>
      <c r="J8" s="79" t="str">
        <f>IF(AND(A8="",A7&lt;&gt;"",COUNTIF(A9:$A$200,"&lt;&gt;")=0),IF(COUNT(J$2:J7)=0,"",ROUND(SUMIF($A$2:A7,"&lt;&gt;",J$2:J7),2)),IF(OR(A8="",AND(ISNUMBER(posicao_contratual!$AL8),posicao_contratual!$AL8&gt;3),posicao_contratual!S8="",NOT(ISNUMBER(historico_VU!F8))),"",ROUND(posicao_contratual!S8*historico_VU!F8,2)))</f>
        <v/>
      </c>
      <c r="K8" s="84"/>
      <c r="L8" s="79" t="str">
        <f>IF(AND(A8="",A7&lt;&gt;"",COUNTIF(A9:$A$200,"&lt;&gt;")=0),IF(COUNT(L$2:L7)=0,"",ROUND(SUMIF($A$2:A7,"&lt;&gt;",L$2:L7),2)),IF(OR(A8="",AND(ISNUMBER(posicao_contratual!$AL8),posicao_contratual!$AL8&gt;4),posicao_contratual!W8="",NOT(ISNUMBER(historico_VU!G8))),"",ROUND(posicao_contratual!W8*historico_VU!G8,2)))</f>
        <v/>
      </c>
      <c r="M8" s="85" t="str">
        <f>IF(OR(posicao_contratual!J8="",posicao_contratual!N8=""),"",ROUND(MAX(posicao_contratual!J8+posicao_contratual!H8-posicao_contratual!N8,0),2))</f>
        <v/>
      </c>
      <c r="N8" s="79" t="str">
        <f>IF(AND(A8="",A7&lt;&gt;"",COUNTIF(A9:$A$200,"&lt;&gt;")=0),IF(COUNT(N$2:N7)=0,"",ROUND(SUMIF($A$2:A7,"&lt;&gt;",N$2:N7),2)),IF(OR(M8="",NOT(ISNUMBER(historico_VU!D8))),"",ROUND(M8*historico_VU!D8,2)))</f>
        <v/>
      </c>
      <c r="O8" s="85" t="str">
        <f>IF(OR(posicao_contratual!N8="",posicao_contratual!R8=""),"",ROUND(MAX(posicao_contratual!N8+posicao_contratual!L8-posicao_contratual!R8,0),2))</f>
        <v/>
      </c>
      <c r="P8" s="79" t="str">
        <f>IF(AND(A8="",A7&lt;&gt;"",COUNTIF(A9:$A$200,"&lt;&gt;")=0),IF(COUNT(P$2:P7)=0,"",ROUND(SUMIF($A$2:A7,"&lt;&gt;",P$2:P7),2)),IF(OR(O8="",NOT(ISNUMBER(historico_VU!E8))),"",ROUND(O8*historico_VU!E8,2)))</f>
        <v/>
      </c>
      <c r="Q8" s="85" t="str">
        <f>IF(OR(posicao_contratual!R8="",posicao_contratual!V8=""),"",ROUND(MAX(posicao_contratual!R8+posicao_contratual!P8-posicao_contratual!V8,0),2))</f>
        <v/>
      </c>
      <c r="R8" s="79" t="str">
        <f>IF(AND(A8="",A7&lt;&gt;"",COUNTIF(A9:$A$200,"&lt;&gt;")=0),IF(COUNT(R$2:R7)=0,"",ROUND(SUMIF($A$2:A7,"&lt;&gt;",R$2:R7),2)),IF(OR(Q8="",NOT(ISNUMBER(historico_VU!F8))),"",ROUND(Q8*historico_VU!F8,2)))</f>
        <v/>
      </c>
      <c r="S8" s="21"/>
      <c r="T8" s="22" t="str">
        <f>IF(AND(A8="",A7&lt;&gt;"",COUNTIF(A9:$A$200,"&lt;&gt;")=0),IF(COUNT(T$2:T7)=0,"",ROUND(SUMIF($A$2:A7,"&lt;&gt;",T$2:T7),2)),IF(OR(S8="",NOT(ISNUMBER(historico_VU!G8))),"",ROUND(S8*historico_VU!G8,2)))</f>
        <v/>
      </c>
      <c r="U8" s="86" t="str">
        <f>IF(AND(A8="",A7&lt;&gt;"",COUNTIF(A9:$A$200,"&lt;&gt;")=0),"TOTAL",IF(A8="","",posicao_contratual!X8))</f>
        <v/>
      </c>
      <c r="V8" s="86" t="str">
        <f>IF(A8="","",posicao_contratual!X8)</f>
        <v/>
      </c>
      <c r="W8" s="14"/>
      <c r="X8" s="14"/>
      <c r="Y8" s="14"/>
      <c r="Z8" s="13"/>
      <c r="AA8" s="13"/>
      <c r="AB8" s="85" t="str">
        <f>IF(OR(A8="",posicao_contratual!E8="",posicao_contratual!J8=""),"",ROUND(MAX(posicao_contratual!E8-posicao_contratual!J8,0),2))</f>
        <v/>
      </c>
      <c r="AC8" s="79" t="str">
        <f>IF(AND(A8="",A7&lt;&gt;"",COUNTIF(A9:$A$200,"&lt;&gt;")=0),IF(COUNT(AC$2:AC7)=0,"",ROUND(SUMIF($A$2:A7,"&lt;&gt;",AC$2:AC7),2)),IF(OR(AB8="",NOT(ISNUMBER(historico_VU!C8))),"",ROUND(AB8*historico_VU!C8,2)))</f>
        <v/>
      </c>
      <c r="AD8" s="145" t="str">
        <f>IF(A8="","",posicao_contratual!E8)</f>
        <v/>
      </c>
      <c r="AE8" s="145" t="str">
        <f>IF(A8="","",posicao_contratual!I8)</f>
        <v/>
      </c>
      <c r="AF8" s="145" t="str">
        <f>IF(A8="","",posicao_contratual!M8)</f>
        <v/>
      </c>
      <c r="AG8" s="145" t="str">
        <f>IF(A8="","",posicao_contratual!Q8)</f>
        <v/>
      </c>
      <c r="AH8" s="145" t="str">
        <f>IF(A8="","",posicao_contratual!U8)</f>
        <v/>
      </c>
      <c r="AI8" s="145" t="str">
        <f>IF(A8="","",posicao_contratual!G8)</f>
        <v/>
      </c>
      <c r="AJ8" s="145" t="str">
        <f>IF(A8="","",posicao_contratual!K8)</f>
        <v/>
      </c>
      <c r="AK8" s="145" t="str">
        <f>IF(A8="","",posicao_contratual!O8)</f>
        <v/>
      </c>
      <c r="AL8" s="145" t="str">
        <f>IF(A8="","",posicao_contratual!S8)</f>
        <v/>
      </c>
      <c r="AM8" s="145" t="str">
        <f>IF(A8="","",posicao_contratual!W8)</f>
        <v/>
      </c>
      <c r="AN8" s="146" t="str">
        <f>IF(A8="","",posicao_contratual!X8)</f>
        <v/>
      </c>
      <c r="AO8" t="str">
        <f>IF($A8="","",ROUND(SUMIFS(itens_Consumidos!$E$2:$E$200,itens_Consumidos!$A$2:$A$200,$A8),2))</f>
        <v/>
      </c>
      <c r="AP8" t="str">
        <f t="shared" si="0"/>
        <v/>
      </c>
      <c r="AQ8" t="str">
        <f>IF(OR($A8="",AB8="",MEMORIA_RESULTADOS!$I$258=""),"",ROUND(AB8*$C8*(MEMORIA_RESULTADOS!$I$258-1),2))</f>
        <v/>
      </c>
      <c r="AR8" t="str">
        <f>IF(OR($A8="",AP8="",MEMORIA_RESULTADOS!$I$258=""),"",ROUND(AP8*$C8*(parametros!$F$2-MEMORIA_RESULTADOS!$I$258),2))</f>
        <v/>
      </c>
      <c r="AS8" t="str">
        <f>IF($A8="","",ROUND(SUMIFS(itens_Consumidos!$G$2:$G$200,itens_Consumidos!$A$2:$A$200,$A8),2))</f>
        <v/>
      </c>
      <c r="AT8" t="str">
        <f t="shared" si="1"/>
        <v/>
      </c>
      <c r="AU8" t="str">
        <f>IF(OR($A8="",M8="",MEMORIA_RESULTADOS!$I$259=""),"",ROUND(M8*$C8*(MEMORIA_RESULTADOS!$I$259-1),2))</f>
        <v/>
      </c>
      <c r="AV8" t="str">
        <f>IF(OR($A8="",AT8="",MEMORIA_RESULTADOS!$I$259=""),"",ROUND(AT8*$C8*(parametros!$F$3-MEMORIA_RESULTADOS!$I$259),2))</f>
        <v/>
      </c>
      <c r="AW8" t="str">
        <f>IF($A8="","",ROUND(SUMIFS(itens_Consumidos!$I$2:$I$200,itens_Consumidos!$A$2:$A$200,$A8),2))</f>
        <v/>
      </c>
      <c r="AX8" t="str">
        <f t="shared" si="2"/>
        <v/>
      </c>
      <c r="AY8" t="str">
        <f>IF(OR($A8="",O8="",MEMORIA_RESULTADOS!$I$260=""),"",ROUND(O8*$C8*(MEMORIA_RESULTADOS!$I$260-1),2))</f>
        <v/>
      </c>
      <c r="AZ8" t="str">
        <f>IF(OR($A8="",AX8="",MEMORIA_RESULTADOS!$I$260=""),"",ROUND(AX8*$C8*(parametros!$F$4-MEMORIA_RESULTADOS!$I$260),2))</f>
        <v/>
      </c>
      <c r="BA8" t="str">
        <f>IF($A8="","",ROUND(SUMIFS(itens_Consumidos!$K$2:$K$200,itens_Consumidos!$A$2:$A$200,$A8),2))</f>
        <v/>
      </c>
      <c r="BB8" t="str">
        <f t="shared" si="3"/>
        <v/>
      </c>
      <c r="BC8" t="str">
        <f>IF(OR($A8="",Q8="",MEMORIA_RESULTADOS!$I$261=""),"",ROUND(Q8*$C8*(MEMORIA_RESULTADOS!$I$261-1),2))</f>
        <v/>
      </c>
      <c r="BD8" t="str">
        <f>IF(OR($A8="",BB8="",MEMORIA_RESULTADOS!$I$261=""),"",ROUND(BB8*$C8*(parametros!$F$5-MEMORIA_RESULTADOS!$I$261),2))</f>
        <v/>
      </c>
      <c r="BE8" t="str">
        <f>IF($A8="","",ROUND(SUMIFS(itens_Consumidos!$M$2:$M$200,itens_Consumidos!$A$2:$A$200,$A8),2))</f>
        <v/>
      </c>
      <c r="BF8" t="str">
        <f t="shared" si="4"/>
        <v/>
      </c>
      <c r="BG8" t="str">
        <f>IF(OR($A8="",S8="",MEMORIA_RESULTADOS!$I$262=""),"",ROUND(S8*$C8*(MEMORIA_RESULTADOS!$I$262-1),2))</f>
        <v/>
      </c>
      <c r="BH8" t="str">
        <f>IF(OR($A8="",BF8="",MEMORIA_RESULTADOS!$I$262=""),"",ROUND(BF8*$C8*(parametros!$F$6-MEMORIA_RESULTADOS!$I$262),2))</f>
        <v/>
      </c>
      <c r="BI8" t="str">
        <f>IF($A8="","",IF(posicao_contratual!$AL8="","",posicao_contratual!$AL8))</f>
        <v/>
      </c>
    </row>
    <row r="9" spans="1:61" x14ac:dyDescent="0.35">
      <c r="A9" s="81"/>
      <c r="B9" s="82" t="str">
        <f t="shared" si="5"/>
        <v/>
      </c>
      <c r="C9" s="83"/>
      <c r="D9" s="79" t="str">
        <f>IF(AND(A9="",A8&lt;&gt;"",COUNTIF(A10:$A$200,"&lt;&gt;")=0),ROUND(SUMIF($A$2:A8,"&lt;&gt;",$D$2:D8),2),IF(OR(A9="",B9="",C9=""),"",ROUND(B9*C9,2)))</f>
        <v/>
      </c>
      <c r="E9" s="84"/>
      <c r="F9" s="79" t="str">
        <f>IF(AND(A9="",A8&lt;&gt;"",COUNTIF(A10:$A$200,"&lt;&gt;")=0),IF(COUNT(F$2:F8)=0,"",ROUND(SUMIF($A$2:A8,"&lt;&gt;",F$2:F8),2)),IF(OR(A9="",AND(ISNUMBER(posicao_contratual!$AL9),posicao_contratual!$AL9&gt;1),posicao_contratual!K9="",NOT(ISNUMBER(historico_VU!D9))),"",ROUND(posicao_contratual!K9*historico_VU!D9,2)))</f>
        <v/>
      </c>
      <c r="G9" s="84"/>
      <c r="H9" s="79" t="str">
        <f>IF(AND(A9="",A8&lt;&gt;"",COUNTIF(A10:$A$200,"&lt;&gt;")=0),IF(COUNT(H$2:H8)=0,"",ROUND(SUMIF($A$2:A8,"&lt;&gt;",H$2:H8),2)),IF(OR(A9="",AND(ISNUMBER(posicao_contratual!$AL9),posicao_contratual!$AL9&gt;2),posicao_contratual!O9="",NOT(ISNUMBER(historico_VU!E9))),"",ROUND(posicao_contratual!O9*historico_VU!E9,2)))</f>
        <v/>
      </c>
      <c r="I9" s="84"/>
      <c r="J9" s="79" t="str">
        <f>IF(AND(A9="",A8&lt;&gt;"",COUNTIF(A10:$A$200,"&lt;&gt;")=0),IF(COUNT(J$2:J8)=0,"",ROUND(SUMIF($A$2:A8,"&lt;&gt;",J$2:J8),2)),IF(OR(A9="",AND(ISNUMBER(posicao_contratual!$AL9),posicao_contratual!$AL9&gt;3),posicao_contratual!S9="",NOT(ISNUMBER(historico_VU!F9))),"",ROUND(posicao_contratual!S9*historico_VU!F9,2)))</f>
        <v/>
      </c>
      <c r="K9" s="84"/>
      <c r="L9" s="79" t="str">
        <f>IF(AND(A9="",A8&lt;&gt;"",COUNTIF(A10:$A$200,"&lt;&gt;")=0),IF(COUNT(L$2:L8)=0,"",ROUND(SUMIF($A$2:A8,"&lt;&gt;",L$2:L8),2)),IF(OR(A9="",AND(ISNUMBER(posicao_contratual!$AL9),posicao_contratual!$AL9&gt;4),posicao_contratual!W9="",NOT(ISNUMBER(historico_VU!G9))),"",ROUND(posicao_contratual!W9*historico_VU!G9,2)))</f>
        <v/>
      </c>
      <c r="M9" s="85" t="str">
        <f>IF(OR(posicao_contratual!J9="",posicao_contratual!N9=""),"",ROUND(MAX(posicao_contratual!J9+posicao_contratual!H9-posicao_contratual!N9,0),2))</f>
        <v/>
      </c>
      <c r="N9" s="79" t="str">
        <f>IF(AND(A9="",A8&lt;&gt;"",COUNTIF(A10:$A$200,"&lt;&gt;")=0),IF(COUNT(N$2:N8)=0,"",ROUND(SUMIF($A$2:A8,"&lt;&gt;",N$2:N8),2)),IF(OR(M9="",NOT(ISNUMBER(historico_VU!D9))),"",ROUND(M9*historico_VU!D9,2)))</f>
        <v/>
      </c>
      <c r="O9" s="85" t="str">
        <f>IF(OR(posicao_contratual!N9="",posicao_contratual!R9=""),"",ROUND(MAX(posicao_contratual!N9+posicao_contratual!L9-posicao_contratual!R9,0),2))</f>
        <v/>
      </c>
      <c r="P9" s="79" t="str">
        <f>IF(AND(A9="",A8&lt;&gt;"",COUNTIF(A10:$A$200,"&lt;&gt;")=0),IF(COUNT(P$2:P8)=0,"",ROUND(SUMIF($A$2:A8,"&lt;&gt;",P$2:P8),2)),IF(OR(O9="",NOT(ISNUMBER(historico_VU!E9))),"",ROUND(O9*historico_VU!E9,2)))</f>
        <v/>
      </c>
      <c r="Q9" s="85" t="str">
        <f>IF(OR(posicao_contratual!R9="",posicao_contratual!V9=""),"",ROUND(MAX(posicao_contratual!R9+posicao_contratual!P9-posicao_contratual!V9,0),2))</f>
        <v/>
      </c>
      <c r="R9" s="79" t="str">
        <f>IF(AND(A9="",A8&lt;&gt;"",COUNTIF(A10:$A$200,"&lt;&gt;")=0),IF(COUNT(R$2:R8)=0,"",ROUND(SUMIF($A$2:A8,"&lt;&gt;",R$2:R8),2)),IF(OR(Q9="",NOT(ISNUMBER(historico_VU!F9))),"",ROUND(Q9*historico_VU!F9,2)))</f>
        <v/>
      </c>
      <c r="S9" s="21"/>
      <c r="T9" s="22" t="str">
        <f>IF(AND(A9="",A8&lt;&gt;"",COUNTIF(A10:$A$200,"&lt;&gt;")=0),IF(COUNT(T$2:T8)=0,"",ROUND(SUMIF($A$2:A8,"&lt;&gt;",T$2:T8),2)),IF(OR(S9="",NOT(ISNUMBER(historico_VU!G9))),"",ROUND(S9*historico_VU!G9,2)))</f>
        <v/>
      </c>
      <c r="U9" s="86" t="str">
        <f>IF(AND(A9="",A8&lt;&gt;"",COUNTIF(A10:$A$200,"&lt;&gt;")=0),"TOTAL",IF(A9="","",posicao_contratual!X9))</f>
        <v/>
      </c>
      <c r="V9" s="86" t="str">
        <f>IF(A9="","",posicao_contratual!X9)</f>
        <v/>
      </c>
      <c r="W9" s="14"/>
      <c r="X9" s="14"/>
      <c r="Y9" s="14"/>
      <c r="Z9" s="13"/>
      <c r="AA9" s="13"/>
      <c r="AB9" s="85" t="str">
        <f>IF(OR(A9="",posicao_contratual!E9="",posicao_contratual!J9=""),"",ROUND(MAX(posicao_contratual!E9-posicao_contratual!J9,0),2))</f>
        <v/>
      </c>
      <c r="AC9" s="79" t="str">
        <f>IF(AND(A9="",A8&lt;&gt;"",COUNTIF(A10:$A$200,"&lt;&gt;")=0),IF(COUNT(AC$2:AC8)=0,"",ROUND(SUMIF($A$2:A8,"&lt;&gt;",AC$2:AC8),2)),IF(OR(AB9="",NOT(ISNUMBER(historico_VU!C9))),"",ROUND(AB9*historico_VU!C9,2)))</f>
        <v/>
      </c>
      <c r="AD9" s="145" t="str">
        <f>IF(A9="","",posicao_contratual!E9)</f>
        <v/>
      </c>
      <c r="AE9" s="145" t="str">
        <f>IF(A9="","",posicao_contratual!I9)</f>
        <v/>
      </c>
      <c r="AF9" s="145" t="str">
        <f>IF(A9="","",posicao_contratual!M9)</f>
        <v/>
      </c>
      <c r="AG9" s="145" t="str">
        <f>IF(A9="","",posicao_contratual!Q9)</f>
        <v/>
      </c>
      <c r="AH9" s="145" t="str">
        <f>IF(A9="","",posicao_contratual!U9)</f>
        <v/>
      </c>
      <c r="AI9" s="145" t="str">
        <f>IF(A9="","",posicao_contratual!G9)</f>
        <v/>
      </c>
      <c r="AJ9" s="145" t="str">
        <f>IF(A9="","",posicao_contratual!K9)</f>
        <v/>
      </c>
      <c r="AK9" s="145" t="str">
        <f>IF(A9="","",posicao_contratual!O9)</f>
        <v/>
      </c>
      <c r="AL9" s="145" t="str">
        <f>IF(A9="","",posicao_contratual!S9)</f>
        <v/>
      </c>
      <c r="AM9" s="145" t="str">
        <f>IF(A9="","",posicao_contratual!W9)</f>
        <v/>
      </c>
      <c r="AN9" s="146" t="str">
        <f>IF(A9="","",posicao_contratual!X9)</f>
        <v/>
      </c>
      <c r="AO9" t="str">
        <f>IF($A9="","",ROUND(SUMIFS(itens_Consumidos!$E$2:$E$200,itens_Consumidos!$A$2:$A$200,$A9),2))</f>
        <v/>
      </c>
      <c r="AP9" t="str">
        <f t="shared" si="0"/>
        <v/>
      </c>
      <c r="AQ9" t="str">
        <f>IF(OR($A9="",AB9="",MEMORIA_RESULTADOS!$I$258=""),"",ROUND(AB9*$C9*(MEMORIA_RESULTADOS!$I$258-1),2))</f>
        <v/>
      </c>
      <c r="AR9" t="str">
        <f>IF(OR($A9="",AP9="",MEMORIA_RESULTADOS!$I$258=""),"",ROUND(AP9*$C9*(parametros!$F$2-MEMORIA_RESULTADOS!$I$258),2))</f>
        <v/>
      </c>
      <c r="AS9" t="str">
        <f>IF($A9="","",ROUND(SUMIFS(itens_Consumidos!$G$2:$G$200,itens_Consumidos!$A$2:$A$200,$A9),2))</f>
        <v/>
      </c>
      <c r="AT9" t="str">
        <f t="shared" si="1"/>
        <v/>
      </c>
      <c r="AU9" t="str">
        <f>IF(OR($A9="",M9="",MEMORIA_RESULTADOS!$I$259=""),"",ROUND(M9*$C9*(MEMORIA_RESULTADOS!$I$259-1),2))</f>
        <v/>
      </c>
      <c r="AV9" t="str">
        <f>IF(OR($A9="",AT9="",MEMORIA_RESULTADOS!$I$259=""),"",ROUND(AT9*$C9*(parametros!$F$3-MEMORIA_RESULTADOS!$I$259),2))</f>
        <v/>
      </c>
      <c r="AW9" t="str">
        <f>IF($A9="","",ROUND(SUMIFS(itens_Consumidos!$I$2:$I$200,itens_Consumidos!$A$2:$A$200,$A9),2))</f>
        <v/>
      </c>
      <c r="AX9" t="str">
        <f t="shared" si="2"/>
        <v/>
      </c>
      <c r="AY9" t="str">
        <f>IF(OR($A9="",O9="",MEMORIA_RESULTADOS!$I$260=""),"",ROUND(O9*$C9*(MEMORIA_RESULTADOS!$I$260-1),2))</f>
        <v/>
      </c>
      <c r="AZ9" t="str">
        <f>IF(OR($A9="",AX9="",MEMORIA_RESULTADOS!$I$260=""),"",ROUND(AX9*$C9*(parametros!$F$4-MEMORIA_RESULTADOS!$I$260),2))</f>
        <v/>
      </c>
      <c r="BA9" t="str">
        <f>IF($A9="","",ROUND(SUMIFS(itens_Consumidos!$K$2:$K$200,itens_Consumidos!$A$2:$A$200,$A9),2))</f>
        <v/>
      </c>
      <c r="BB9" t="str">
        <f t="shared" si="3"/>
        <v/>
      </c>
      <c r="BC9" t="str">
        <f>IF(OR($A9="",Q9="",MEMORIA_RESULTADOS!$I$261=""),"",ROUND(Q9*$C9*(MEMORIA_RESULTADOS!$I$261-1),2))</f>
        <v/>
      </c>
      <c r="BD9" t="str">
        <f>IF(OR($A9="",BB9="",MEMORIA_RESULTADOS!$I$261=""),"",ROUND(BB9*$C9*(parametros!$F$5-MEMORIA_RESULTADOS!$I$261),2))</f>
        <v/>
      </c>
      <c r="BE9" t="str">
        <f>IF($A9="","",ROUND(SUMIFS(itens_Consumidos!$M$2:$M$200,itens_Consumidos!$A$2:$A$200,$A9),2))</f>
        <v/>
      </c>
      <c r="BF9" t="str">
        <f t="shared" si="4"/>
        <v/>
      </c>
      <c r="BG9" t="str">
        <f>IF(OR($A9="",S9="",MEMORIA_RESULTADOS!$I$262=""),"",ROUND(S9*$C9*(MEMORIA_RESULTADOS!$I$262-1),2))</f>
        <v/>
      </c>
      <c r="BH9" t="str">
        <f>IF(OR($A9="",BF9="",MEMORIA_RESULTADOS!$I$262=""),"",ROUND(BF9*$C9*(parametros!$F$6-MEMORIA_RESULTADOS!$I$262),2))</f>
        <v/>
      </c>
      <c r="BI9" t="str">
        <f>IF($A9="","",IF(posicao_contratual!$AL9="","",posicao_contratual!$AL9))</f>
        <v/>
      </c>
    </row>
    <row r="10" spans="1:61" x14ac:dyDescent="0.35">
      <c r="A10" s="81"/>
      <c r="B10" s="82" t="str">
        <f t="shared" si="5"/>
        <v/>
      </c>
      <c r="C10" s="83"/>
      <c r="D10" s="79" t="str">
        <f>IF(AND(A10="",A9&lt;&gt;"",COUNTIF(A11:$A$200,"&lt;&gt;")=0),ROUND(SUMIF($A$2:A9,"&lt;&gt;",$D$2:D9),2),IF(OR(A10="",B10="",C10=""),"",ROUND(B10*C10,2)))</f>
        <v/>
      </c>
      <c r="E10" s="84"/>
      <c r="F10" s="79" t="str">
        <f>IF(AND(A10="",A9&lt;&gt;"",COUNTIF(A11:$A$200,"&lt;&gt;")=0),IF(COUNT(F$2:F9)=0,"",ROUND(SUMIF($A$2:A9,"&lt;&gt;",F$2:F9),2)),IF(OR(A10="",AND(ISNUMBER(posicao_contratual!$AL10),posicao_contratual!$AL10&gt;1),posicao_contratual!K10="",NOT(ISNUMBER(historico_VU!D10))),"",ROUND(posicao_contratual!K10*historico_VU!D10,2)))</f>
        <v/>
      </c>
      <c r="G10" s="84"/>
      <c r="H10" s="79" t="str">
        <f>IF(AND(A10="",A9&lt;&gt;"",COUNTIF(A11:$A$200,"&lt;&gt;")=0),IF(COUNT(H$2:H9)=0,"",ROUND(SUMIF($A$2:A9,"&lt;&gt;",H$2:H9),2)),IF(OR(A10="",AND(ISNUMBER(posicao_contratual!$AL10),posicao_contratual!$AL10&gt;2),posicao_contratual!O10="",NOT(ISNUMBER(historico_VU!E10))),"",ROUND(posicao_contratual!O10*historico_VU!E10,2)))</f>
        <v/>
      </c>
      <c r="I10" s="84"/>
      <c r="J10" s="79" t="str">
        <f>IF(AND(A10="",A9&lt;&gt;"",COUNTIF(A11:$A$200,"&lt;&gt;")=0),IF(COUNT(J$2:J9)=0,"",ROUND(SUMIF($A$2:A9,"&lt;&gt;",J$2:J9),2)),IF(OR(A10="",AND(ISNUMBER(posicao_contratual!$AL10),posicao_contratual!$AL10&gt;3),posicao_contratual!S10="",NOT(ISNUMBER(historico_VU!F10))),"",ROUND(posicao_contratual!S10*historico_VU!F10,2)))</f>
        <v/>
      </c>
      <c r="K10" s="84"/>
      <c r="L10" s="79" t="str">
        <f>IF(AND(A10="",A9&lt;&gt;"",COUNTIF(A11:$A$200,"&lt;&gt;")=0),IF(COUNT(L$2:L9)=0,"",ROUND(SUMIF($A$2:A9,"&lt;&gt;",L$2:L9),2)),IF(OR(A10="",AND(ISNUMBER(posicao_contratual!$AL10),posicao_contratual!$AL10&gt;4),posicao_contratual!W10="",NOT(ISNUMBER(historico_VU!G10))),"",ROUND(posicao_contratual!W10*historico_VU!G10,2)))</f>
        <v/>
      </c>
      <c r="M10" s="85" t="str">
        <f>IF(OR(posicao_contratual!J10="",posicao_contratual!N10=""),"",ROUND(MAX(posicao_contratual!J10+posicao_contratual!H10-posicao_contratual!N10,0),2))</f>
        <v/>
      </c>
      <c r="N10" s="79" t="str">
        <f>IF(AND(A10="",A9&lt;&gt;"",COUNTIF(A11:$A$200,"&lt;&gt;")=0),IF(COUNT(N$2:N9)=0,"",ROUND(SUMIF($A$2:A9,"&lt;&gt;",N$2:N9),2)),IF(OR(M10="",NOT(ISNUMBER(historico_VU!D10))),"",ROUND(M10*historico_VU!D10,2)))</f>
        <v/>
      </c>
      <c r="O10" s="85" t="str">
        <f>IF(OR(posicao_contratual!N10="",posicao_contratual!R10=""),"",ROUND(MAX(posicao_contratual!N10+posicao_contratual!L10-posicao_contratual!R10,0),2))</f>
        <v/>
      </c>
      <c r="P10" s="79" t="str">
        <f>IF(AND(A10="",A9&lt;&gt;"",COUNTIF(A11:$A$200,"&lt;&gt;")=0),IF(COUNT(P$2:P9)=0,"",ROUND(SUMIF($A$2:A9,"&lt;&gt;",P$2:P9),2)),IF(OR(O10="",NOT(ISNUMBER(historico_VU!E10))),"",ROUND(O10*historico_VU!E10,2)))</f>
        <v/>
      </c>
      <c r="Q10" s="85" t="str">
        <f>IF(OR(posicao_contratual!R10="",posicao_contratual!V10=""),"",ROUND(MAX(posicao_contratual!R10+posicao_contratual!P10-posicao_contratual!V10,0),2))</f>
        <v/>
      </c>
      <c r="R10" s="79" t="str">
        <f>IF(AND(A10="",A9&lt;&gt;"",COUNTIF(A11:$A$200,"&lt;&gt;")=0),IF(COUNT(R$2:R9)=0,"",ROUND(SUMIF($A$2:A9,"&lt;&gt;",R$2:R9),2)),IF(OR(Q10="",NOT(ISNUMBER(historico_VU!F10))),"",ROUND(Q10*historico_VU!F10,2)))</f>
        <v/>
      </c>
      <c r="S10" s="21"/>
      <c r="T10" s="22" t="str">
        <f>IF(AND(A10="",A9&lt;&gt;"",COUNTIF(A11:$A$200,"&lt;&gt;")=0),IF(COUNT(T$2:T9)=0,"",ROUND(SUMIF($A$2:A9,"&lt;&gt;",T$2:T9),2)),IF(OR(S10="",NOT(ISNUMBER(historico_VU!G10))),"",ROUND(S10*historico_VU!G10,2)))</f>
        <v/>
      </c>
      <c r="U10" s="86" t="str">
        <f>IF(AND(A10="",A9&lt;&gt;"",COUNTIF(A11:$A$200,"&lt;&gt;")=0),"TOTAL",IF(A10="","",posicao_contratual!X10))</f>
        <v/>
      </c>
      <c r="V10" s="86" t="str">
        <f>IF(A10="","",posicao_contratual!X10)</f>
        <v/>
      </c>
      <c r="W10" s="14"/>
      <c r="X10" s="14"/>
      <c r="Y10" s="14"/>
      <c r="Z10" s="13"/>
      <c r="AA10" s="13"/>
      <c r="AB10" s="85" t="str">
        <f>IF(OR(A10="",posicao_contratual!E10="",posicao_contratual!J10=""),"",ROUND(MAX(posicao_contratual!E10-posicao_contratual!J10,0),2))</f>
        <v/>
      </c>
      <c r="AC10" s="79" t="str">
        <f>IF(AND(A10="",A9&lt;&gt;"",COUNTIF(A11:$A$200,"&lt;&gt;")=0),IF(COUNT(AC$2:AC9)=0,"",ROUND(SUMIF($A$2:A9,"&lt;&gt;",AC$2:AC9),2)),IF(OR(AB10="",NOT(ISNUMBER(historico_VU!C10))),"",ROUND(AB10*historico_VU!C10,2)))</f>
        <v/>
      </c>
      <c r="AD10" s="145" t="str">
        <f>IF(A10="","",posicao_contratual!E10)</f>
        <v/>
      </c>
      <c r="AE10" s="145" t="str">
        <f>IF(A10="","",posicao_contratual!I10)</f>
        <v/>
      </c>
      <c r="AF10" s="145" t="str">
        <f>IF(A10="","",posicao_contratual!M10)</f>
        <v/>
      </c>
      <c r="AG10" s="145" t="str">
        <f>IF(A10="","",posicao_contratual!Q10)</f>
        <v/>
      </c>
      <c r="AH10" s="145" t="str">
        <f>IF(A10="","",posicao_contratual!U10)</f>
        <v/>
      </c>
      <c r="AI10" s="145" t="str">
        <f>IF(A10="","",posicao_contratual!G10)</f>
        <v/>
      </c>
      <c r="AJ10" s="145" t="str">
        <f>IF(A10="","",posicao_contratual!K10)</f>
        <v/>
      </c>
      <c r="AK10" s="145" t="str">
        <f>IF(A10="","",posicao_contratual!O10)</f>
        <v/>
      </c>
      <c r="AL10" s="145" t="str">
        <f>IF(A10="","",posicao_contratual!S10)</f>
        <v/>
      </c>
      <c r="AM10" s="145" t="str">
        <f>IF(A10="","",posicao_contratual!W10)</f>
        <v/>
      </c>
      <c r="AN10" s="146" t="str">
        <f>IF(A10="","",posicao_contratual!X10)</f>
        <v/>
      </c>
      <c r="AO10" t="str">
        <f>IF($A10="","",ROUND(SUMIFS(itens_Consumidos!$E$2:$E$200,itens_Consumidos!$A$2:$A$200,$A10),2))</f>
        <v/>
      </c>
      <c r="AP10" t="str">
        <f t="shared" si="0"/>
        <v/>
      </c>
      <c r="AQ10" t="str">
        <f>IF(OR($A10="",AB10="",MEMORIA_RESULTADOS!$I$258=""),"",ROUND(AB10*$C10*(MEMORIA_RESULTADOS!$I$258-1),2))</f>
        <v/>
      </c>
      <c r="AR10" t="str">
        <f>IF(OR($A10="",AP10="",MEMORIA_RESULTADOS!$I$258=""),"",ROUND(AP10*$C10*(parametros!$F$2-MEMORIA_RESULTADOS!$I$258),2))</f>
        <v/>
      </c>
      <c r="AS10" t="str">
        <f>IF($A10="","",ROUND(SUMIFS(itens_Consumidos!$G$2:$G$200,itens_Consumidos!$A$2:$A$200,$A10),2))</f>
        <v/>
      </c>
      <c r="AT10" t="str">
        <f t="shared" si="1"/>
        <v/>
      </c>
      <c r="AU10" t="str">
        <f>IF(OR($A10="",M10="",MEMORIA_RESULTADOS!$I$259=""),"",ROUND(M10*$C10*(MEMORIA_RESULTADOS!$I$259-1),2))</f>
        <v/>
      </c>
      <c r="AV10" t="str">
        <f>IF(OR($A10="",AT10="",MEMORIA_RESULTADOS!$I$259=""),"",ROUND(AT10*$C10*(parametros!$F$3-MEMORIA_RESULTADOS!$I$259),2))</f>
        <v/>
      </c>
      <c r="AW10" t="str">
        <f>IF($A10="","",ROUND(SUMIFS(itens_Consumidos!$I$2:$I$200,itens_Consumidos!$A$2:$A$200,$A10),2))</f>
        <v/>
      </c>
      <c r="AX10" t="str">
        <f t="shared" si="2"/>
        <v/>
      </c>
      <c r="AY10" t="str">
        <f>IF(OR($A10="",O10="",MEMORIA_RESULTADOS!$I$260=""),"",ROUND(O10*$C10*(MEMORIA_RESULTADOS!$I$260-1),2))</f>
        <v/>
      </c>
      <c r="AZ10" t="str">
        <f>IF(OR($A10="",AX10="",MEMORIA_RESULTADOS!$I$260=""),"",ROUND(AX10*$C10*(parametros!$F$4-MEMORIA_RESULTADOS!$I$260),2))</f>
        <v/>
      </c>
      <c r="BA10" t="str">
        <f>IF($A10="","",ROUND(SUMIFS(itens_Consumidos!$K$2:$K$200,itens_Consumidos!$A$2:$A$200,$A10),2))</f>
        <v/>
      </c>
      <c r="BB10" t="str">
        <f t="shared" si="3"/>
        <v/>
      </c>
      <c r="BC10" t="str">
        <f>IF(OR($A10="",Q10="",MEMORIA_RESULTADOS!$I$261=""),"",ROUND(Q10*$C10*(MEMORIA_RESULTADOS!$I$261-1),2))</f>
        <v/>
      </c>
      <c r="BD10" t="str">
        <f>IF(OR($A10="",BB10="",MEMORIA_RESULTADOS!$I$261=""),"",ROUND(BB10*$C10*(parametros!$F$5-MEMORIA_RESULTADOS!$I$261),2))</f>
        <v/>
      </c>
      <c r="BE10" t="str">
        <f>IF($A10="","",ROUND(SUMIFS(itens_Consumidos!$M$2:$M$200,itens_Consumidos!$A$2:$A$200,$A10),2))</f>
        <v/>
      </c>
      <c r="BF10" t="str">
        <f t="shared" si="4"/>
        <v/>
      </c>
      <c r="BG10" t="str">
        <f>IF(OR($A10="",S10="",MEMORIA_RESULTADOS!$I$262=""),"",ROUND(S10*$C10*(MEMORIA_RESULTADOS!$I$262-1),2))</f>
        <v/>
      </c>
      <c r="BH10" t="str">
        <f>IF(OR($A10="",BF10="",MEMORIA_RESULTADOS!$I$262=""),"",ROUND(BF10*$C10*(parametros!$F$6-MEMORIA_RESULTADOS!$I$262),2))</f>
        <v/>
      </c>
      <c r="BI10" t="str">
        <f>IF($A10="","",IF(posicao_contratual!$AL10="","",posicao_contratual!$AL10))</f>
        <v/>
      </c>
    </row>
    <row r="11" spans="1:61" x14ac:dyDescent="0.35">
      <c r="A11" s="81"/>
      <c r="B11" s="82" t="str">
        <f t="shared" si="5"/>
        <v/>
      </c>
      <c r="C11" s="83"/>
      <c r="D11" s="79" t="str">
        <f>IF(AND(A11="",A10&lt;&gt;"",COUNTIF(A12:$A$200,"&lt;&gt;")=0),ROUND(SUMIF($A$2:A10,"&lt;&gt;",$D$2:D10),2),IF(OR(A11="",B11="",C11=""),"",ROUND(B11*C11,2)))</f>
        <v/>
      </c>
      <c r="E11" s="84"/>
      <c r="F11" s="79" t="str">
        <f>IF(AND(A11="",A10&lt;&gt;"",COUNTIF(A12:$A$200,"&lt;&gt;")=0),IF(COUNT(F$2:F10)=0,"",ROUND(SUMIF($A$2:A10,"&lt;&gt;",F$2:F10),2)),IF(OR(A11="",AND(ISNUMBER(posicao_contratual!$AL11),posicao_contratual!$AL11&gt;1),posicao_contratual!K11="",NOT(ISNUMBER(historico_VU!D11))),"",ROUND(posicao_contratual!K11*historico_VU!D11,2)))</f>
        <v/>
      </c>
      <c r="G11" s="84"/>
      <c r="H11" s="79" t="str">
        <f>IF(AND(A11="",A10&lt;&gt;"",COUNTIF(A12:$A$200,"&lt;&gt;")=0),IF(COUNT(H$2:H10)=0,"",ROUND(SUMIF($A$2:A10,"&lt;&gt;",H$2:H10),2)),IF(OR(A11="",AND(ISNUMBER(posicao_contratual!$AL11),posicao_contratual!$AL11&gt;2),posicao_contratual!O11="",NOT(ISNUMBER(historico_VU!E11))),"",ROUND(posicao_contratual!O11*historico_VU!E11,2)))</f>
        <v/>
      </c>
      <c r="I11" s="84"/>
      <c r="J11" s="79" t="str">
        <f>IF(AND(A11="",A10&lt;&gt;"",COUNTIF(A12:$A$200,"&lt;&gt;")=0),IF(COUNT(J$2:J10)=0,"",ROUND(SUMIF($A$2:A10,"&lt;&gt;",J$2:J10),2)),IF(OR(A11="",AND(ISNUMBER(posicao_contratual!$AL11),posicao_contratual!$AL11&gt;3),posicao_contratual!S11="",NOT(ISNUMBER(historico_VU!F11))),"",ROUND(posicao_contratual!S11*historico_VU!F11,2)))</f>
        <v/>
      </c>
      <c r="K11" s="84"/>
      <c r="L11" s="79" t="str">
        <f>IF(AND(A11="",A10&lt;&gt;"",COUNTIF(A12:$A$200,"&lt;&gt;")=0),IF(COUNT(L$2:L10)=0,"",ROUND(SUMIF($A$2:A10,"&lt;&gt;",L$2:L10),2)),IF(OR(A11="",AND(ISNUMBER(posicao_contratual!$AL11),posicao_contratual!$AL11&gt;4),posicao_contratual!W11="",NOT(ISNUMBER(historico_VU!G11))),"",ROUND(posicao_contratual!W11*historico_VU!G11,2)))</f>
        <v/>
      </c>
      <c r="M11" s="85" t="str">
        <f>IF(OR(posicao_contratual!J11="",posicao_contratual!N11=""),"",ROUND(MAX(posicao_contratual!J11+posicao_contratual!H11-posicao_contratual!N11,0),2))</f>
        <v/>
      </c>
      <c r="N11" s="79" t="str">
        <f>IF(AND(A11="",A10&lt;&gt;"",COUNTIF(A12:$A$200,"&lt;&gt;")=0),IF(COUNT(N$2:N10)=0,"",ROUND(SUMIF($A$2:A10,"&lt;&gt;",N$2:N10),2)),IF(OR(M11="",NOT(ISNUMBER(historico_VU!D11))),"",ROUND(M11*historico_VU!D11,2)))</f>
        <v/>
      </c>
      <c r="O11" s="85" t="str">
        <f>IF(OR(posicao_contratual!N11="",posicao_contratual!R11=""),"",ROUND(MAX(posicao_contratual!N11+posicao_contratual!L11-posicao_contratual!R11,0),2))</f>
        <v/>
      </c>
      <c r="P11" s="79" t="str">
        <f>IF(AND(A11="",A10&lt;&gt;"",COUNTIF(A12:$A$200,"&lt;&gt;")=0),IF(COUNT(P$2:P10)=0,"",ROUND(SUMIF($A$2:A10,"&lt;&gt;",P$2:P10),2)),IF(OR(O11="",NOT(ISNUMBER(historico_VU!E11))),"",ROUND(O11*historico_VU!E11,2)))</f>
        <v/>
      </c>
      <c r="Q11" s="85" t="str">
        <f>IF(OR(posicao_contratual!R11="",posicao_contratual!V11=""),"",ROUND(MAX(posicao_contratual!R11+posicao_contratual!P11-posicao_contratual!V11,0),2))</f>
        <v/>
      </c>
      <c r="R11" s="79" t="str">
        <f>IF(AND(A11="",A10&lt;&gt;"",COUNTIF(A12:$A$200,"&lt;&gt;")=0),IF(COUNT(R$2:R10)=0,"",ROUND(SUMIF($A$2:A10,"&lt;&gt;",R$2:R10),2)),IF(OR(Q11="",NOT(ISNUMBER(historico_VU!F11))),"",ROUND(Q11*historico_VU!F11,2)))</f>
        <v/>
      </c>
      <c r="S11" s="21"/>
      <c r="T11" s="22" t="str">
        <f>IF(AND(A11="",A10&lt;&gt;"",COUNTIF(A12:$A$200,"&lt;&gt;")=0),IF(COUNT(T$2:T10)=0,"",ROUND(SUMIF($A$2:A10,"&lt;&gt;",T$2:T10),2)),IF(OR(S11="",NOT(ISNUMBER(historico_VU!G11))),"",ROUND(S11*historico_VU!G11,2)))</f>
        <v/>
      </c>
      <c r="U11" s="86" t="str">
        <f>IF(AND(A11="",A10&lt;&gt;"",COUNTIF(A12:$A$200,"&lt;&gt;")=0),"TOTAL",IF(A11="","",posicao_contratual!X11))</f>
        <v/>
      </c>
      <c r="V11" s="86" t="str">
        <f>IF(A11="","",posicao_contratual!X11)</f>
        <v/>
      </c>
      <c r="W11" s="14"/>
      <c r="X11" s="14"/>
      <c r="Y11" s="14"/>
      <c r="Z11" s="13"/>
      <c r="AA11" s="13"/>
      <c r="AB11" s="85" t="str">
        <f>IF(OR(A11="",posicao_contratual!E11="",posicao_contratual!J11=""),"",ROUND(MAX(posicao_contratual!E11-posicao_contratual!J11,0),2))</f>
        <v/>
      </c>
      <c r="AC11" s="79" t="str">
        <f>IF(AND(A11="",A10&lt;&gt;"",COUNTIF(A12:$A$200,"&lt;&gt;")=0),IF(COUNT(AC$2:AC10)=0,"",ROUND(SUMIF($A$2:A10,"&lt;&gt;",AC$2:AC10),2)),IF(OR(AB11="",NOT(ISNUMBER(historico_VU!C11))),"",ROUND(AB11*historico_VU!C11,2)))</f>
        <v/>
      </c>
      <c r="AD11" s="145" t="str">
        <f>IF(A11="","",posicao_contratual!E11)</f>
        <v/>
      </c>
      <c r="AE11" s="145" t="str">
        <f>IF(A11="","",posicao_contratual!I11)</f>
        <v/>
      </c>
      <c r="AF11" s="145" t="str">
        <f>IF(A11="","",posicao_contratual!M11)</f>
        <v/>
      </c>
      <c r="AG11" s="145" t="str">
        <f>IF(A11="","",posicao_contratual!Q11)</f>
        <v/>
      </c>
      <c r="AH11" s="145" t="str">
        <f>IF(A11="","",posicao_contratual!U11)</f>
        <v/>
      </c>
      <c r="AI11" s="145" t="str">
        <f>IF(A11="","",posicao_contratual!G11)</f>
        <v/>
      </c>
      <c r="AJ11" s="145" t="str">
        <f>IF(A11="","",posicao_contratual!K11)</f>
        <v/>
      </c>
      <c r="AK11" s="145" t="str">
        <f>IF(A11="","",posicao_contratual!O11)</f>
        <v/>
      </c>
      <c r="AL11" s="145" t="str">
        <f>IF(A11="","",posicao_contratual!S11)</f>
        <v/>
      </c>
      <c r="AM11" s="145" t="str">
        <f>IF(A11="","",posicao_contratual!W11)</f>
        <v/>
      </c>
      <c r="AN11" s="146" t="str">
        <f>IF(A11="","",posicao_contratual!X11)</f>
        <v/>
      </c>
      <c r="AO11" t="str">
        <f>IF($A11="","",ROUND(SUMIFS(itens_Consumidos!$E$2:$E$200,itens_Consumidos!$A$2:$A$200,$A11),2))</f>
        <v/>
      </c>
      <c r="AP11" t="str">
        <f t="shared" si="0"/>
        <v/>
      </c>
      <c r="AQ11" t="str">
        <f>IF(OR($A11="",AB11="",MEMORIA_RESULTADOS!$I$258=""),"",ROUND(AB11*$C11*(MEMORIA_RESULTADOS!$I$258-1),2))</f>
        <v/>
      </c>
      <c r="AR11" t="str">
        <f>IF(OR($A11="",AP11="",MEMORIA_RESULTADOS!$I$258=""),"",ROUND(AP11*$C11*(parametros!$F$2-MEMORIA_RESULTADOS!$I$258),2))</f>
        <v/>
      </c>
      <c r="AS11" t="str">
        <f>IF($A11="","",ROUND(SUMIFS(itens_Consumidos!$G$2:$G$200,itens_Consumidos!$A$2:$A$200,$A11),2))</f>
        <v/>
      </c>
      <c r="AT11" t="str">
        <f t="shared" si="1"/>
        <v/>
      </c>
      <c r="AU11" t="str">
        <f>IF(OR($A11="",M11="",MEMORIA_RESULTADOS!$I$259=""),"",ROUND(M11*$C11*(MEMORIA_RESULTADOS!$I$259-1),2))</f>
        <v/>
      </c>
      <c r="AV11" t="str">
        <f>IF(OR($A11="",AT11="",MEMORIA_RESULTADOS!$I$259=""),"",ROUND(AT11*$C11*(parametros!$F$3-MEMORIA_RESULTADOS!$I$259),2))</f>
        <v/>
      </c>
      <c r="AW11" t="str">
        <f>IF($A11="","",ROUND(SUMIFS(itens_Consumidos!$I$2:$I$200,itens_Consumidos!$A$2:$A$200,$A11),2))</f>
        <v/>
      </c>
      <c r="AX11" t="str">
        <f t="shared" si="2"/>
        <v/>
      </c>
      <c r="AY11" t="str">
        <f>IF(OR($A11="",O11="",MEMORIA_RESULTADOS!$I$260=""),"",ROUND(O11*$C11*(MEMORIA_RESULTADOS!$I$260-1),2))</f>
        <v/>
      </c>
      <c r="AZ11" t="str">
        <f>IF(OR($A11="",AX11="",MEMORIA_RESULTADOS!$I$260=""),"",ROUND(AX11*$C11*(parametros!$F$4-MEMORIA_RESULTADOS!$I$260),2))</f>
        <v/>
      </c>
      <c r="BA11" t="str">
        <f>IF($A11="","",ROUND(SUMIFS(itens_Consumidos!$K$2:$K$200,itens_Consumidos!$A$2:$A$200,$A11),2))</f>
        <v/>
      </c>
      <c r="BB11" t="str">
        <f t="shared" si="3"/>
        <v/>
      </c>
      <c r="BC11" t="str">
        <f>IF(OR($A11="",Q11="",MEMORIA_RESULTADOS!$I$261=""),"",ROUND(Q11*$C11*(MEMORIA_RESULTADOS!$I$261-1),2))</f>
        <v/>
      </c>
      <c r="BD11" t="str">
        <f>IF(OR($A11="",BB11="",MEMORIA_RESULTADOS!$I$261=""),"",ROUND(BB11*$C11*(parametros!$F$5-MEMORIA_RESULTADOS!$I$261),2))</f>
        <v/>
      </c>
      <c r="BE11" t="str">
        <f>IF($A11="","",ROUND(SUMIFS(itens_Consumidos!$M$2:$M$200,itens_Consumidos!$A$2:$A$200,$A11),2))</f>
        <v/>
      </c>
      <c r="BF11" t="str">
        <f t="shared" si="4"/>
        <v/>
      </c>
      <c r="BG11" t="str">
        <f>IF(OR($A11="",S11="",MEMORIA_RESULTADOS!$I$262=""),"",ROUND(S11*$C11*(MEMORIA_RESULTADOS!$I$262-1),2))</f>
        <v/>
      </c>
      <c r="BH11" t="str">
        <f>IF(OR($A11="",BF11="",MEMORIA_RESULTADOS!$I$262=""),"",ROUND(BF11*$C11*(parametros!$F$6-MEMORIA_RESULTADOS!$I$262),2))</f>
        <v/>
      </c>
      <c r="BI11" t="str">
        <f>IF($A11="","",IF(posicao_contratual!$AL11="","",posicao_contratual!$AL11))</f>
        <v/>
      </c>
    </row>
    <row r="12" spans="1:61" x14ac:dyDescent="0.35">
      <c r="A12" s="81"/>
      <c r="B12" s="82" t="str">
        <f t="shared" si="5"/>
        <v/>
      </c>
      <c r="C12" s="83"/>
      <c r="D12" s="79" t="str">
        <f>IF(AND(A12="",A11&lt;&gt;"",COUNTIF(A13:$A$200,"&lt;&gt;")=0),ROUND(SUMIF($A$2:A11,"&lt;&gt;",$D$2:D11),2),IF(OR(A12="",B12="",C12=""),"",ROUND(B12*C12,2)))</f>
        <v/>
      </c>
      <c r="E12" s="84"/>
      <c r="F12" s="79" t="str">
        <f>IF(AND(A12="",A11&lt;&gt;"",COUNTIF(A13:$A$200,"&lt;&gt;")=0),IF(COUNT(F$2:F11)=0,"",ROUND(SUMIF($A$2:A11,"&lt;&gt;",F$2:F11),2)),IF(OR(A12="",AND(ISNUMBER(posicao_contratual!$AL12),posicao_contratual!$AL12&gt;1),posicao_contratual!K12="",NOT(ISNUMBER(historico_VU!D12))),"",ROUND(posicao_contratual!K12*historico_VU!D12,2)))</f>
        <v/>
      </c>
      <c r="G12" s="84"/>
      <c r="H12" s="79" t="str">
        <f>IF(AND(A12="",A11&lt;&gt;"",COUNTIF(A13:$A$200,"&lt;&gt;")=0),IF(COUNT(H$2:H11)=0,"",ROUND(SUMIF($A$2:A11,"&lt;&gt;",H$2:H11),2)),IF(OR(A12="",AND(ISNUMBER(posicao_contratual!$AL12),posicao_contratual!$AL12&gt;2),posicao_contratual!O12="",NOT(ISNUMBER(historico_VU!E12))),"",ROUND(posicao_contratual!O12*historico_VU!E12,2)))</f>
        <v/>
      </c>
      <c r="I12" s="84"/>
      <c r="J12" s="79" t="str">
        <f>IF(AND(A12="",A11&lt;&gt;"",COUNTIF(A13:$A$200,"&lt;&gt;")=0),IF(COUNT(J$2:J11)=0,"",ROUND(SUMIF($A$2:A11,"&lt;&gt;",J$2:J11),2)),IF(OR(A12="",AND(ISNUMBER(posicao_contratual!$AL12),posicao_contratual!$AL12&gt;3),posicao_contratual!S12="",NOT(ISNUMBER(historico_VU!F12))),"",ROUND(posicao_contratual!S12*historico_VU!F12,2)))</f>
        <v/>
      </c>
      <c r="K12" s="84"/>
      <c r="L12" s="79" t="str">
        <f>IF(AND(A12="",A11&lt;&gt;"",COUNTIF(A13:$A$200,"&lt;&gt;")=0),IF(COUNT(L$2:L11)=0,"",ROUND(SUMIF($A$2:A11,"&lt;&gt;",L$2:L11),2)),IF(OR(A12="",AND(ISNUMBER(posicao_contratual!$AL12),posicao_contratual!$AL12&gt;4),posicao_contratual!W12="",NOT(ISNUMBER(historico_VU!G12))),"",ROUND(posicao_contratual!W12*historico_VU!G12,2)))</f>
        <v/>
      </c>
      <c r="M12" s="85" t="str">
        <f>IF(OR(posicao_contratual!J12="",posicao_contratual!N12=""),"",ROUND(MAX(posicao_contratual!J12+posicao_contratual!H12-posicao_contratual!N12,0),2))</f>
        <v/>
      </c>
      <c r="N12" s="79" t="str">
        <f>IF(AND(A12="",A11&lt;&gt;"",COUNTIF(A13:$A$200,"&lt;&gt;")=0),IF(COUNT(N$2:N11)=0,"",ROUND(SUMIF($A$2:A11,"&lt;&gt;",N$2:N11),2)),IF(OR(M12="",NOT(ISNUMBER(historico_VU!D12))),"",ROUND(M12*historico_VU!D12,2)))</f>
        <v/>
      </c>
      <c r="O12" s="85" t="str">
        <f>IF(OR(posicao_contratual!N12="",posicao_contratual!R12=""),"",ROUND(MAX(posicao_contratual!N12+posicao_contratual!L12-posicao_contratual!R12,0),2))</f>
        <v/>
      </c>
      <c r="P12" s="79" t="str">
        <f>IF(AND(A12="",A11&lt;&gt;"",COUNTIF(A13:$A$200,"&lt;&gt;")=0),IF(COUNT(P$2:P11)=0,"",ROUND(SUMIF($A$2:A11,"&lt;&gt;",P$2:P11),2)),IF(OR(O12="",NOT(ISNUMBER(historico_VU!E12))),"",ROUND(O12*historico_VU!E12,2)))</f>
        <v/>
      </c>
      <c r="Q12" s="85" t="str">
        <f>IF(OR(posicao_contratual!R12="",posicao_contratual!V12=""),"",ROUND(MAX(posicao_contratual!R12+posicao_contratual!P12-posicao_contratual!V12,0),2))</f>
        <v/>
      </c>
      <c r="R12" s="79" t="str">
        <f>IF(AND(A12="",A11&lt;&gt;"",COUNTIF(A13:$A$200,"&lt;&gt;")=0),IF(COUNT(R$2:R11)=0,"",ROUND(SUMIF($A$2:A11,"&lt;&gt;",R$2:R11),2)),IF(OR(Q12="",NOT(ISNUMBER(historico_VU!F12))),"",ROUND(Q12*historico_VU!F12,2)))</f>
        <v/>
      </c>
      <c r="S12" s="21"/>
      <c r="T12" s="22" t="str">
        <f>IF(AND(A12="",A11&lt;&gt;"",COUNTIF(A13:$A$200,"&lt;&gt;")=0),IF(COUNT(T$2:T11)=0,"",ROUND(SUMIF($A$2:A11,"&lt;&gt;",T$2:T11),2)),IF(OR(S12="",NOT(ISNUMBER(historico_VU!G12))),"",ROUND(S12*historico_VU!G12,2)))</f>
        <v/>
      </c>
      <c r="U12" s="86" t="str">
        <f>IF(AND(A12="",A11&lt;&gt;"",COUNTIF(A13:$A$200,"&lt;&gt;")=0),"TOTAL",IF(A12="","",posicao_contratual!X12))</f>
        <v/>
      </c>
      <c r="V12" s="86" t="str">
        <f>IF(A12="","",posicao_contratual!X12)</f>
        <v/>
      </c>
      <c r="W12" s="14"/>
      <c r="X12" s="14"/>
      <c r="Y12" s="14"/>
      <c r="Z12" s="13"/>
      <c r="AA12" s="13"/>
      <c r="AB12" s="85" t="str">
        <f>IF(OR(A12="",posicao_contratual!E12="",posicao_contratual!J12=""),"",ROUND(MAX(posicao_contratual!E12-posicao_contratual!J12,0),2))</f>
        <v/>
      </c>
      <c r="AC12" s="79" t="str">
        <f>IF(AND(A12="",A11&lt;&gt;"",COUNTIF(A13:$A$200,"&lt;&gt;")=0),IF(COUNT(AC$2:AC11)=0,"",ROUND(SUMIF($A$2:A11,"&lt;&gt;",AC$2:AC11),2)),IF(OR(AB12="",NOT(ISNUMBER(historico_VU!C12))),"",ROUND(AB12*historico_VU!C12,2)))</f>
        <v/>
      </c>
      <c r="AD12" s="145" t="str">
        <f>IF(A12="","",posicao_contratual!E12)</f>
        <v/>
      </c>
      <c r="AE12" s="145" t="str">
        <f>IF(A12="","",posicao_contratual!I12)</f>
        <v/>
      </c>
      <c r="AF12" s="145" t="str">
        <f>IF(A12="","",posicao_contratual!M12)</f>
        <v/>
      </c>
      <c r="AG12" s="145" t="str">
        <f>IF(A12="","",posicao_contratual!Q12)</f>
        <v/>
      </c>
      <c r="AH12" s="145" t="str">
        <f>IF(A12="","",posicao_contratual!U12)</f>
        <v/>
      </c>
      <c r="AI12" s="145" t="str">
        <f>IF(A12="","",posicao_contratual!G12)</f>
        <v/>
      </c>
      <c r="AJ12" s="145" t="str">
        <f>IF(A12="","",posicao_contratual!K12)</f>
        <v/>
      </c>
      <c r="AK12" s="145" t="str">
        <f>IF(A12="","",posicao_contratual!O12)</f>
        <v/>
      </c>
      <c r="AL12" s="145" t="str">
        <f>IF(A12="","",posicao_contratual!S12)</f>
        <v/>
      </c>
      <c r="AM12" s="145" t="str">
        <f>IF(A12="","",posicao_contratual!W12)</f>
        <v/>
      </c>
      <c r="AN12" s="146" t="str">
        <f>IF(A12="","",posicao_contratual!X12)</f>
        <v/>
      </c>
      <c r="AO12" t="str">
        <f>IF($A12="","",ROUND(SUMIFS(itens_Consumidos!$E$2:$E$200,itens_Consumidos!$A$2:$A$200,$A12),2))</f>
        <v/>
      </c>
      <c r="AP12" t="str">
        <f t="shared" si="0"/>
        <v/>
      </c>
      <c r="AQ12" t="str">
        <f>IF(OR($A12="",AB12="",MEMORIA_RESULTADOS!$I$258=""),"",ROUND(AB12*$C12*(MEMORIA_RESULTADOS!$I$258-1),2))</f>
        <v/>
      </c>
      <c r="AR12" t="str">
        <f>IF(OR($A12="",AP12="",MEMORIA_RESULTADOS!$I$258=""),"",ROUND(AP12*$C12*(parametros!$F$2-MEMORIA_RESULTADOS!$I$258),2))</f>
        <v/>
      </c>
      <c r="AS12" t="str">
        <f>IF($A12="","",ROUND(SUMIFS(itens_Consumidos!$G$2:$G$200,itens_Consumidos!$A$2:$A$200,$A12),2))</f>
        <v/>
      </c>
      <c r="AT12" t="str">
        <f t="shared" si="1"/>
        <v/>
      </c>
      <c r="AU12" t="str">
        <f>IF(OR($A12="",M12="",MEMORIA_RESULTADOS!$I$259=""),"",ROUND(M12*$C12*(MEMORIA_RESULTADOS!$I$259-1),2))</f>
        <v/>
      </c>
      <c r="AV12" t="str">
        <f>IF(OR($A12="",AT12="",MEMORIA_RESULTADOS!$I$259=""),"",ROUND(AT12*$C12*(parametros!$F$3-MEMORIA_RESULTADOS!$I$259),2))</f>
        <v/>
      </c>
      <c r="AW12" t="str">
        <f>IF($A12="","",ROUND(SUMIFS(itens_Consumidos!$I$2:$I$200,itens_Consumidos!$A$2:$A$200,$A12),2))</f>
        <v/>
      </c>
      <c r="AX12" t="str">
        <f t="shared" si="2"/>
        <v/>
      </c>
      <c r="AY12" t="str">
        <f>IF(OR($A12="",O12="",MEMORIA_RESULTADOS!$I$260=""),"",ROUND(O12*$C12*(MEMORIA_RESULTADOS!$I$260-1),2))</f>
        <v/>
      </c>
      <c r="AZ12" t="str">
        <f>IF(OR($A12="",AX12="",MEMORIA_RESULTADOS!$I$260=""),"",ROUND(AX12*$C12*(parametros!$F$4-MEMORIA_RESULTADOS!$I$260),2))</f>
        <v/>
      </c>
      <c r="BA12" t="str">
        <f>IF($A12="","",ROUND(SUMIFS(itens_Consumidos!$K$2:$K$200,itens_Consumidos!$A$2:$A$200,$A12),2))</f>
        <v/>
      </c>
      <c r="BB12" t="str">
        <f t="shared" si="3"/>
        <v/>
      </c>
      <c r="BC12" t="str">
        <f>IF(OR($A12="",Q12="",MEMORIA_RESULTADOS!$I$261=""),"",ROUND(Q12*$C12*(MEMORIA_RESULTADOS!$I$261-1),2))</f>
        <v/>
      </c>
      <c r="BD12" t="str">
        <f>IF(OR($A12="",BB12="",MEMORIA_RESULTADOS!$I$261=""),"",ROUND(BB12*$C12*(parametros!$F$5-MEMORIA_RESULTADOS!$I$261),2))</f>
        <v/>
      </c>
      <c r="BE12" t="str">
        <f>IF($A12="","",ROUND(SUMIFS(itens_Consumidos!$M$2:$M$200,itens_Consumidos!$A$2:$A$200,$A12),2))</f>
        <v/>
      </c>
      <c r="BF12" t="str">
        <f t="shared" si="4"/>
        <v/>
      </c>
      <c r="BG12" t="str">
        <f>IF(OR($A12="",S12="",MEMORIA_RESULTADOS!$I$262=""),"",ROUND(S12*$C12*(MEMORIA_RESULTADOS!$I$262-1),2))</f>
        <v/>
      </c>
      <c r="BH12" t="str">
        <f>IF(OR($A12="",BF12="",MEMORIA_RESULTADOS!$I$262=""),"",ROUND(BF12*$C12*(parametros!$F$6-MEMORIA_RESULTADOS!$I$262),2))</f>
        <v/>
      </c>
      <c r="BI12" t="str">
        <f>IF($A12="","",IF(posicao_contratual!$AL12="","",posicao_contratual!$AL12))</f>
        <v/>
      </c>
    </row>
    <row r="13" spans="1:61" x14ac:dyDescent="0.35">
      <c r="A13" s="81"/>
      <c r="B13" s="82" t="str">
        <f t="shared" si="5"/>
        <v/>
      </c>
      <c r="C13" s="83"/>
      <c r="D13" s="79" t="str">
        <f>IF(AND(A13="",A12&lt;&gt;"",COUNTIF(A14:$A$200,"&lt;&gt;")=0),ROUND(SUMIF($A$2:A12,"&lt;&gt;",$D$2:D12),2),IF(OR(A13="",B13="",C13=""),"",ROUND(B13*C13,2)))</f>
        <v/>
      </c>
      <c r="E13" s="84"/>
      <c r="F13" s="79" t="str">
        <f>IF(AND(A13="",A12&lt;&gt;"",COUNTIF(A14:$A$200,"&lt;&gt;")=0),IF(COUNT(F$2:F12)=0,"",ROUND(SUMIF($A$2:A12,"&lt;&gt;",F$2:F12),2)),IF(OR(A13="",AND(ISNUMBER(posicao_contratual!$AL13),posicao_contratual!$AL13&gt;1),posicao_contratual!K13="",NOT(ISNUMBER(historico_VU!D13))),"",ROUND(posicao_contratual!K13*historico_VU!D13,2)))</f>
        <v/>
      </c>
      <c r="G13" s="84"/>
      <c r="H13" s="79" t="str">
        <f>IF(AND(A13="",A12&lt;&gt;"",COUNTIF(A14:$A$200,"&lt;&gt;")=0),IF(COUNT(H$2:H12)=0,"",ROUND(SUMIF($A$2:A12,"&lt;&gt;",H$2:H12),2)),IF(OR(A13="",AND(ISNUMBER(posicao_contratual!$AL13),posicao_contratual!$AL13&gt;2),posicao_contratual!O13="",NOT(ISNUMBER(historico_VU!E13))),"",ROUND(posicao_contratual!O13*historico_VU!E13,2)))</f>
        <v/>
      </c>
      <c r="I13" s="84"/>
      <c r="J13" s="79" t="str">
        <f>IF(AND(A13="",A12&lt;&gt;"",COUNTIF(A14:$A$200,"&lt;&gt;")=0),IF(COUNT(J$2:J12)=0,"",ROUND(SUMIF($A$2:A12,"&lt;&gt;",J$2:J12),2)),IF(OR(A13="",AND(ISNUMBER(posicao_contratual!$AL13),posicao_contratual!$AL13&gt;3),posicao_contratual!S13="",NOT(ISNUMBER(historico_VU!F13))),"",ROUND(posicao_contratual!S13*historico_VU!F13,2)))</f>
        <v/>
      </c>
      <c r="K13" s="84"/>
      <c r="L13" s="79" t="str">
        <f>IF(AND(A13="",A12&lt;&gt;"",COUNTIF(A14:$A$200,"&lt;&gt;")=0),IF(COUNT(L$2:L12)=0,"",ROUND(SUMIF($A$2:A12,"&lt;&gt;",L$2:L12),2)),IF(OR(A13="",AND(ISNUMBER(posicao_contratual!$AL13),posicao_contratual!$AL13&gt;4),posicao_contratual!W13="",NOT(ISNUMBER(historico_VU!G13))),"",ROUND(posicao_contratual!W13*historico_VU!G13,2)))</f>
        <v/>
      </c>
      <c r="M13" s="85" t="str">
        <f>IF(OR(posicao_contratual!J13="",posicao_contratual!N13=""),"",ROUND(MAX(posicao_contratual!J13+posicao_contratual!H13-posicao_contratual!N13,0),2))</f>
        <v/>
      </c>
      <c r="N13" s="79" t="str">
        <f>IF(AND(A13="",A12&lt;&gt;"",COUNTIF(A14:$A$200,"&lt;&gt;")=0),IF(COUNT(N$2:N12)=0,"",ROUND(SUMIF($A$2:A12,"&lt;&gt;",N$2:N12),2)),IF(OR(M13="",NOT(ISNUMBER(historico_VU!D13))),"",ROUND(M13*historico_VU!D13,2)))</f>
        <v/>
      </c>
      <c r="O13" s="85" t="str">
        <f>IF(OR(posicao_contratual!N13="",posicao_contratual!R13=""),"",ROUND(MAX(posicao_contratual!N13+posicao_contratual!L13-posicao_contratual!R13,0),2))</f>
        <v/>
      </c>
      <c r="P13" s="79" t="str">
        <f>IF(AND(A13="",A12&lt;&gt;"",COUNTIF(A14:$A$200,"&lt;&gt;")=0),IF(COUNT(P$2:P12)=0,"",ROUND(SUMIF($A$2:A12,"&lt;&gt;",P$2:P12),2)),IF(OR(O13="",NOT(ISNUMBER(historico_VU!E13))),"",ROUND(O13*historico_VU!E13,2)))</f>
        <v/>
      </c>
      <c r="Q13" s="85" t="str">
        <f>IF(OR(posicao_contratual!R13="",posicao_contratual!V13=""),"",ROUND(MAX(posicao_contratual!R13+posicao_contratual!P13-posicao_contratual!V13,0),2))</f>
        <v/>
      </c>
      <c r="R13" s="79" t="str">
        <f>IF(AND(A13="",A12&lt;&gt;"",COUNTIF(A14:$A$200,"&lt;&gt;")=0),IF(COUNT(R$2:R12)=0,"",ROUND(SUMIF($A$2:A12,"&lt;&gt;",R$2:R12),2)),IF(OR(Q13="",NOT(ISNUMBER(historico_VU!F13))),"",ROUND(Q13*historico_VU!F13,2)))</f>
        <v/>
      </c>
      <c r="S13" s="21"/>
      <c r="T13" s="22" t="str">
        <f>IF(AND(A13="",A12&lt;&gt;"",COUNTIF(A14:$A$200,"&lt;&gt;")=0),IF(COUNT(T$2:T12)=0,"",ROUND(SUMIF($A$2:A12,"&lt;&gt;",T$2:T12),2)),IF(OR(S13="",NOT(ISNUMBER(historico_VU!G13))),"",ROUND(S13*historico_VU!G13,2)))</f>
        <v/>
      </c>
      <c r="U13" s="86" t="str">
        <f>IF(AND(A13="",A12&lt;&gt;"",COUNTIF(A14:$A$200,"&lt;&gt;")=0),"TOTAL",IF(A13="","",posicao_contratual!X13))</f>
        <v/>
      </c>
      <c r="V13" s="86" t="str">
        <f>IF(A13="","",posicao_contratual!X13)</f>
        <v/>
      </c>
      <c r="W13" s="14"/>
      <c r="X13" s="14"/>
      <c r="Y13" s="14"/>
      <c r="Z13" s="13"/>
      <c r="AA13" s="13"/>
      <c r="AB13" s="85" t="str">
        <f>IF(OR(A13="",posicao_contratual!E13="",posicao_contratual!J13=""),"",ROUND(MAX(posicao_contratual!E13-posicao_contratual!J13,0),2))</f>
        <v/>
      </c>
      <c r="AC13" s="79" t="str">
        <f>IF(AND(A13="",A12&lt;&gt;"",COUNTIF(A14:$A$200,"&lt;&gt;")=0),IF(COUNT(AC$2:AC12)=0,"",ROUND(SUMIF($A$2:A12,"&lt;&gt;",AC$2:AC12),2)),IF(OR(AB13="",NOT(ISNUMBER(historico_VU!C13))),"",ROUND(AB13*historico_VU!C13,2)))</f>
        <v/>
      </c>
      <c r="AD13" s="145" t="str">
        <f>IF(A13="","",posicao_contratual!E13)</f>
        <v/>
      </c>
      <c r="AE13" s="145" t="str">
        <f>IF(A13="","",posicao_contratual!I13)</f>
        <v/>
      </c>
      <c r="AF13" s="145" t="str">
        <f>IF(A13="","",posicao_contratual!M13)</f>
        <v/>
      </c>
      <c r="AG13" s="145" t="str">
        <f>IF(A13="","",posicao_contratual!Q13)</f>
        <v/>
      </c>
      <c r="AH13" s="145" t="str">
        <f>IF(A13="","",posicao_contratual!U13)</f>
        <v/>
      </c>
      <c r="AI13" s="145" t="str">
        <f>IF(A13="","",posicao_contratual!G13)</f>
        <v/>
      </c>
      <c r="AJ13" s="145" t="str">
        <f>IF(A13="","",posicao_contratual!K13)</f>
        <v/>
      </c>
      <c r="AK13" s="145" t="str">
        <f>IF(A13="","",posicao_contratual!O13)</f>
        <v/>
      </c>
      <c r="AL13" s="145" t="str">
        <f>IF(A13="","",posicao_contratual!S13)</f>
        <v/>
      </c>
      <c r="AM13" s="145" t="str">
        <f>IF(A13="","",posicao_contratual!W13)</f>
        <v/>
      </c>
      <c r="AN13" s="146" t="str">
        <f>IF(A13="","",posicao_contratual!X13)</f>
        <v/>
      </c>
      <c r="AO13" t="str">
        <f>IF($A13="","",ROUND(SUMIFS(itens_Consumidos!$E$2:$E$200,itens_Consumidos!$A$2:$A$200,$A13),2))</f>
        <v/>
      </c>
      <c r="AP13" t="str">
        <f t="shared" si="0"/>
        <v/>
      </c>
      <c r="AQ13" t="str">
        <f>IF(OR($A13="",AB13="",MEMORIA_RESULTADOS!$I$258=""),"",ROUND(AB13*$C13*(MEMORIA_RESULTADOS!$I$258-1),2))</f>
        <v/>
      </c>
      <c r="AR13" t="str">
        <f>IF(OR($A13="",AP13="",MEMORIA_RESULTADOS!$I$258=""),"",ROUND(AP13*$C13*(parametros!$F$2-MEMORIA_RESULTADOS!$I$258),2))</f>
        <v/>
      </c>
      <c r="AS13" t="str">
        <f>IF($A13="","",ROUND(SUMIFS(itens_Consumidos!$G$2:$G$200,itens_Consumidos!$A$2:$A$200,$A13),2))</f>
        <v/>
      </c>
      <c r="AT13" t="str">
        <f t="shared" si="1"/>
        <v/>
      </c>
      <c r="AU13" t="str">
        <f>IF(OR($A13="",M13="",MEMORIA_RESULTADOS!$I$259=""),"",ROUND(M13*$C13*(MEMORIA_RESULTADOS!$I$259-1),2))</f>
        <v/>
      </c>
      <c r="AV13" t="str">
        <f>IF(OR($A13="",AT13="",MEMORIA_RESULTADOS!$I$259=""),"",ROUND(AT13*$C13*(parametros!$F$3-MEMORIA_RESULTADOS!$I$259),2))</f>
        <v/>
      </c>
      <c r="AW13" t="str">
        <f>IF($A13="","",ROUND(SUMIFS(itens_Consumidos!$I$2:$I$200,itens_Consumidos!$A$2:$A$200,$A13),2))</f>
        <v/>
      </c>
      <c r="AX13" t="str">
        <f t="shared" si="2"/>
        <v/>
      </c>
      <c r="AY13" t="str">
        <f>IF(OR($A13="",O13="",MEMORIA_RESULTADOS!$I$260=""),"",ROUND(O13*$C13*(MEMORIA_RESULTADOS!$I$260-1),2))</f>
        <v/>
      </c>
      <c r="AZ13" t="str">
        <f>IF(OR($A13="",AX13="",MEMORIA_RESULTADOS!$I$260=""),"",ROUND(AX13*$C13*(parametros!$F$4-MEMORIA_RESULTADOS!$I$260),2))</f>
        <v/>
      </c>
      <c r="BA13" t="str">
        <f>IF($A13="","",ROUND(SUMIFS(itens_Consumidos!$K$2:$K$200,itens_Consumidos!$A$2:$A$200,$A13),2))</f>
        <v/>
      </c>
      <c r="BB13" t="str">
        <f t="shared" si="3"/>
        <v/>
      </c>
      <c r="BC13" t="str">
        <f>IF(OR($A13="",Q13="",MEMORIA_RESULTADOS!$I$261=""),"",ROUND(Q13*$C13*(MEMORIA_RESULTADOS!$I$261-1),2))</f>
        <v/>
      </c>
      <c r="BD13" t="str">
        <f>IF(OR($A13="",BB13="",MEMORIA_RESULTADOS!$I$261=""),"",ROUND(BB13*$C13*(parametros!$F$5-MEMORIA_RESULTADOS!$I$261),2))</f>
        <v/>
      </c>
      <c r="BE13" t="str">
        <f>IF($A13="","",ROUND(SUMIFS(itens_Consumidos!$M$2:$M$200,itens_Consumidos!$A$2:$A$200,$A13),2))</f>
        <v/>
      </c>
      <c r="BF13" t="str">
        <f t="shared" si="4"/>
        <v/>
      </c>
      <c r="BG13" t="str">
        <f>IF(OR($A13="",S13="",MEMORIA_RESULTADOS!$I$262=""),"",ROUND(S13*$C13*(MEMORIA_RESULTADOS!$I$262-1),2))</f>
        <v/>
      </c>
      <c r="BH13" t="str">
        <f>IF(OR($A13="",BF13="",MEMORIA_RESULTADOS!$I$262=""),"",ROUND(BF13*$C13*(parametros!$F$6-MEMORIA_RESULTADOS!$I$262),2))</f>
        <v/>
      </c>
      <c r="BI13" t="str">
        <f>IF($A13="","",IF(posicao_contratual!$AL13="","",posicao_contratual!$AL13))</f>
        <v/>
      </c>
    </row>
    <row r="14" spans="1:61" x14ac:dyDescent="0.35">
      <c r="A14" s="81"/>
      <c r="B14" s="82" t="str">
        <f t="shared" si="5"/>
        <v/>
      </c>
      <c r="C14" s="83"/>
      <c r="D14" s="79" t="str">
        <f>IF(AND(A14="",A13&lt;&gt;"",COUNTIF(A15:$A$200,"&lt;&gt;")=0),ROUND(SUMIF($A$2:A13,"&lt;&gt;",$D$2:D13),2),IF(OR(A14="",B14="",C14=""),"",ROUND(B14*C14,2)))</f>
        <v/>
      </c>
      <c r="E14" s="84"/>
      <c r="F14" s="79" t="str">
        <f>IF(AND(A14="",A13&lt;&gt;"",COUNTIF(A15:$A$200,"&lt;&gt;")=0),IF(COUNT(F$2:F13)=0,"",ROUND(SUMIF($A$2:A13,"&lt;&gt;",F$2:F13),2)),IF(OR(A14="",AND(ISNUMBER(posicao_contratual!$AL14),posicao_contratual!$AL14&gt;1),posicao_contratual!K14="",NOT(ISNUMBER(historico_VU!D14))),"",ROUND(posicao_contratual!K14*historico_VU!D14,2)))</f>
        <v/>
      </c>
      <c r="G14" s="84"/>
      <c r="H14" s="79" t="str">
        <f>IF(AND(A14="",A13&lt;&gt;"",COUNTIF(A15:$A$200,"&lt;&gt;")=0),IF(COUNT(H$2:H13)=0,"",ROUND(SUMIF($A$2:A13,"&lt;&gt;",H$2:H13),2)),IF(OR(A14="",AND(ISNUMBER(posicao_contratual!$AL14),posicao_contratual!$AL14&gt;2),posicao_contratual!O14="",NOT(ISNUMBER(historico_VU!E14))),"",ROUND(posicao_contratual!O14*historico_VU!E14,2)))</f>
        <v/>
      </c>
      <c r="I14" s="84"/>
      <c r="J14" s="79" t="str">
        <f>IF(AND(A14="",A13&lt;&gt;"",COUNTIF(A15:$A$200,"&lt;&gt;")=0),IF(COUNT(J$2:J13)=0,"",ROUND(SUMIF($A$2:A13,"&lt;&gt;",J$2:J13),2)),IF(OR(A14="",AND(ISNUMBER(posicao_contratual!$AL14),posicao_contratual!$AL14&gt;3),posicao_contratual!S14="",NOT(ISNUMBER(historico_VU!F14))),"",ROUND(posicao_contratual!S14*historico_VU!F14,2)))</f>
        <v/>
      </c>
      <c r="K14" s="84"/>
      <c r="L14" s="79" t="str">
        <f>IF(AND(A14="",A13&lt;&gt;"",COUNTIF(A15:$A$200,"&lt;&gt;")=0),IF(COUNT(L$2:L13)=0,"",ROUND(SUMIF($A$2:A13,"&lt;&gt;",L$2:L13),2)),IF(OR(A14="",AND(ISNUMBER(posicao_contratual!$AL14),posicao_contratual!$AL14&gt;4),posicao_contratual!W14="",NOT(ISNUMBER(historico_VU!G14))),"",ROUND(posicao_contratual!W14*historico_VU!G14,2)))</f>
        <v/>
      </c>
      <c r="M14" s="85" t="str">
        <f>IF(OR(posicao_contratual!J14="",posicao_contratual!N14=""),"",ROUND(MAX(posicao_contratual!J14+posicao_contratual!H14-posicao_contratual!N14,0),2))</f>
        <v/>
      </c>
      <c r="N14" s="79" t="str">
        <f>IF(AND(A14="",A13&lt;&gt;"",COUNTIF(A15:$A$200,"&lt;&gt;")=0),IF(COUNT(N$2:N13)=0,"",ROUND(SUMIF($A$2:A13,"&lt;&gt;",N$2:N13),2)),IF(OR(M14="",NOT(ISNUMBER(historico_VU!D14))),"",ROUND(M14*historico_VU!D14,2)))</f>
        <v/>
      </c>
      <c r="O14" s="85" t="str">
        <f>IF(OR(posicao_contratual!N14="",posicao_contratual!R14=""),"",ROUND(MAX(posicao_contratual!N14+posicao_contratual!L14-posicao_contratual!R14,0),2))</f>
        <v/>
      </c>
      <c r="P14" s="79" t="str">
        <f>IF(AND(A14="",A13&lt;&gt;"",COUNTIF(A15:$A$200,"&lt;&gt;")=0),IF(COUNT(P$2:P13)=0,"",ROUND(SUMIF($A$2:A13,"&lt;&gt;",P$2:P13),2)),IF(OR(O14="",NOT(ISNUMBER(historico_VU!E14))),"",ROUND(O14*historico_VU!E14,2)))</f>
        <v/>
      </c>
      <c r="Q14" s="85" t="str">
        <f>IF(OR(posicao_contratual!R14="",posicao_contratual!V14=""),"",ROUND(MAX(posicao_contratual!R14+posicao_contratual!P14-posicao_contratual!V14,0),2))</f>
        <v/>
      </c>
      <c r="R14" s="79" t="str">
        <f>IF(AND(A14="",A13&lt;&gt;"",COUNTIF(A15:$A$200,"&lt;&gt;")=0),IF(COUNT(R$2:R13)=0,"",ROUND(SUMIF($A$2:A13,"&lt;&gt;",R$2:R13),2)),IF(OR(Q14="",NOT(ISNUMBER(historico_VU!F14))),"",ROUND(Q14*historico_VU!F14,2)))</f>
        <v/>
      </c>
      <c r="S14" s="21"/>
      <c r="T14" s="22" t="str">
        <f>IF(AND(A14="",A13&lt;&gt;"",COUNTIF(A15:$A$200,"&lt;&gt;")=0),IF(COUNT(T$2:T13)=0,"",ROUND(SUMIF($A$2:A13,"&lt;&gt;",T$2:T13),2)),IF(OR(S14="",NOT(ISNUMBER(historico_VU!G14))),"",ROUND(S14*historico_VU!G14,2)))</f>
        <v/>
      </c>
      <c r="U14" s="86" t="str">
        <f>IF(AND(A14="",A13&lt;&gt;"",COUNTIF(A15:$A$200,"&lt;&gt;")=0),"TOTAL",IF(A14="","",posicao_contratual!X14))</f>
        <v/>
      </c>
      <c r="V14" s="86" t="str">
        <f>IF(A14="","",posicao_contratual!X14)</f>
        <v/>
      </c>
      <c r="W14" s="14"/>
      <c r="X14" s="14"/>
      <c r="Y14" s="14"/>
      <c r="Z14" s="13"/>
      <c r="AA14" s="13"/>
      <c r="AB14" s="85" t="str">
        <f>IF(OR(A14="",posicao_contratual!E14="",posicao_contratual!J14=""),"",ROUND(MAX(posicao_contratual!E14-posicao_contratual!J14,0),2))</f>
        <v/>
      </c>
      <c r="AC14" s="79" t="str">
        <f>IF(AND(A14="",A13&lt;&gt;"",COUNTIF(A15:$A$200,"&lt;&gt;")=0),IF(COUNT(AC$2:AC13)=0,"",ROUND(SUMIF($A$2:A13,"&lt;&gt;",AC$2:AC13),2)),IF(OR(AB14="",NOT(ISNUMBER(historico_VU!C14))),"",ROUND(AB14*historico_VU!C14,2)))</f>
        <v/>
      </c>
      <c r="AD14" s="145" t="str">
        <f>IF(A14="","",posicao_contratual!E14)</f>
        <v/>
      </c>
      <c r="AE14" s="145" t="str">
        <f>IF(A14="","",posicao_contratual!I14)</f>
        <v/>
      </c>
      <c r="AF14" s="145" t="str">
        <f>IF(A14="","",posicao_contratual!M14)</f>
        <v/>
      </c>
      <c r="AG14" s="145" t="str">
        <f>IF(A14="","",posicao_contratual!Q14)</f>
        <v/>
      </c>
      <c r="AH14" s="145" t="str">
        <f>IF(A14="","",posicao_contratual!U14)</f>
        <v/>
      </c>
      <c r="AI14" s="145" t="str">
        <f>IF(A14="","",posicao_contratual!G14)</f>
        <v/>
      </c>
      <c r="AJ14" s="145" t="str">
        <f>IF(A14="","",posicao_contratual!K14)</f>
        <v/>
      </c>
      <c r="AK14" s="145" t="str">
        <f>IF(A14="","",posicao_contratual!O14)</f>
        <v/>
      </c>
      <c r="AL14" s="145" t="str">
        <f>IF(A14="","",posicao_contratual!S14)</f>
        <v/>
      </c>
      <c r="AM14" s="145" t="str">
        <f>IF(A14="","",posicao_contratual!W14)</f>
        <v/>
      </c>
      <c r="AN14" s="146" t="str">
        <f>IF(A14="","",posicao_contratual!X14)</f>
        <v/>
      </c>
      <c r="AO14" t="str">
        <f>IF($A14="","",ROUND(SUMIFS(itens_Consumidos!$E$2:$E$200,itens_Consumidos!$A$2:$A$200,$A14),2))</f>
        <v/>
      </c>
      <c r="AP14" t="str">
        <f t="shared" si="0"/>
        <v/>
      </c>
      <c r="AQ14" t="str">
        <f>IF(OR($A14="",AB14="",MEMORIA_RESULTADOS!$I$258=""),"",ROUND(AB14*$C14*(MEMORIA_RESULTADOS!$I$258-1),2))</f>
        <v/>
      </c>
      <c r="AR14" t="str">
        <f>IF(OR($A14="",AP14="",MEMORIA_RESULTADOS!$I$258=""),"",ROUND(AP14*$C14*(parametros!$F$2-MEMORIA_RESULTADOS!$I$258),2))</f>
        <v/>
      </c>
      <c r="AS14" t="str">
        <f>IF($A14="","",ROUND(SUMIFS(itens_Consumidos!$G$2:$G$200,itens_Consumidos!$A$2:$A$200,$A14),2))</f>
        <v/>
      </c>
      <c r="AT14" t="str">
        <f t="shared" si="1"/>
        <v/>
      </c>
      <c r="AU14" t="str">
        <f>IF(OR($A14="",M14="",MEMORIA_RESULTADOS!$I$259=""),"",ROUND(M14*$C14*(MEMORIA_RESULTADOS!$I$259-1),2))</f>
        <v/>
      </c>
      <c r="AV14" t="str">
        <f>IF(OR($A14="",AT14="",MEMORIA_RESULTADOS!$I$259=""),"",ROUND(AT14*$C14*(parametros!$F$3-MEMORIA_RESULTADOS!$I$259),2))</f>
        <v/>
      </c>
      <c r="AW14" t="str">
        <f>IF($A14="","",ROUND(SUMIFS(itens_Consumidos!$I$2:$I$200,itens_Consumidos!$A$2:$A$200,$A14),2))</f>
        <v/>
      </c>
      <c r="AX14" t="str">
        <f t="shared" si="2"/>
        <v/>
      </c>
      <c r="AY14" t="str">
        <f>IF(OR($A14="",O14="",MEMORIA_RESULTADOS!$I$260=""),"",ROUND(O14*$C14*(MEMORIA_RESULTADOS!$I$260-1),2))</f>
        <v/>
      </c>
      <c r="AZ14" t="str">
        <f>IF(OR($A14="",AX14="",MEMORIA_RESULTADOS!$I$260=""),"",ROUND(AX14*$C14*(parametros!$F$4-MEMORIA_RESULTADOS!$I$260),2))</f>
        <v/>
      </c>
      <c r="BA14" t="str">
        <f>IF($A14="","",ROUND(SUMIFS(itens_Consumidos!$K$2:$K$200,itens_Consumidos!$A$2:$A$200,$A14),2))</f>
        <v/>
      </c>
      <c r="BB14" t="str">
        <f t="shared" si="3"/>
        <v/>
      </c>
      <c r="BC14" t="str">
        <f>IF(OR($A14="",Q14="",MEMORIA_RESULTADOS!$I$261=""),"",ROUND(Q14*$C14*(MEMORIA_RESULTADOS!$I$261-1),2))</f>
        <v/>
      </c>
      <c r="BD14" t="str">
        <f>IF(OR($A14="",BB14="",MEMORIA_RESULTADOS!$I$261=""),"",ROUND(BB14*$C14*(parametros!$F$5-MEMORIA_RESULTADOS!$I$261),2))</f>
        <v/>
      </c>
      <c r="BE14" t="str">
        <f>IF($A14="","",ROUND(SUMIFS(itens_Consumidos!$M$2:$M$200,itens_Consumidos!$A$2:$A$200,$A14),2))</f>
        <v/>
      </c>
      <c r="BF14" t="str">
        <f t="shared" si="4"/>
        <v/>
      </c>
      <c r="BG14" t="str">
        <f>IF(OR($A14="",S14="",MEMORIA_RESULTADOS!$I$262=""),"",ROUND(S14*$C14*(MEMORIA_RESULTADOS!$I$262-1),2))</f>
        <v/>
      </c>
      <c r="BH14" t="str">
        <f>IF(OR($A14="",BF14="",MEMORIA_RESULTADOS!$I$262=""),"",ROUND(BF14*$C14*(parametros!$F$6-MEMORIA_RESULTADOS!$I$262),2))</f>
        <v/>
      </c>
      <c r="BI14" t="str">
        <f>IF($A14="","",IF(posicao_contratual!$AL14="","",posicao_contratual!$AL14))</f>
        <v/>
      </c>
    </row>
    <row r="15" spans="1:61" x14ac:dyDescent="0.35">
      <c r="A15" s="81"/>
      <c r="B15" s="82" t="str">
        <f t="shared" si="5"/>
        <v/>
      </c>
      <c r="C15" s="83"/>
      <c r="D15" s="79" t="str">
        <f>IF(AND(A15="",A14&lt;&gt;"",COUNTIF(A16:$A$200,"&lt;&gt;")=0),ROUND(SUMIF($A$2:A14,"&lt;&gt;",$D$2:D14),2),IF(OR(A15="",B15="",C15=""),"",ROUND(B15*C15,2)))</f>
        <v/>
      </c>
      <c r="E15" s="84"/>
      <c r="F15" s="79" t="str">
        <f>IF(AND(A15="",A14&lt;&gt;"",COUNTIF(A16:$A$200,"&lt;&gt;")=0),IF(COUNT(F$2:F14)=0,"",ROUND(SUMIF($A$2:A14,"&lt;&gt;",F$2:F14),2)),IF(OR(A15="",AND(ISNUMBER(posicao_contratual!$AL15),posicao_contratual!$AL15&gt;1),posicao_contratual!K15="",NOT(ISNUMBER(historico_VU!D15))),"",ROUND(posicao_contratual!K15*historico_VU!D15,2)))</f>
        <v/>
      </c>
      <c r="G15" s="84"/>
      <c r="H15" s="79" t="str">
        <f>IF(AND(A15="",A14&lt;&gt;"",COUNTIF(A16:$A$200,"&lt;&gt;")=0),IF(COUNT(H$2:H14)=0,"",ROUND(SUMIF($A$2:A14,"&lt;&gt;",H$2:H14),2)),IF(OR(A15="",AND(ISNUMBER(posicao_contratual!$AL15),posicao_contratual!$AL15&gt;2),posicao_contratual!O15="",NOT(ISNUMBER(historico_VU!E15))),"",ROUND(posicao_contratual!O15*historico_VU!E15,2)))</f>
        <v/>
      </c>
      <c r="I15" s="84"/>
      <c r="J15" s="79" t="str">
        <f>IF(AND(A15="",A14&lt;&gt;"",COUNTIF(A16:$A$200,"&lt;&gt;")=0),IF(COUNT(J$2:J14)=0,"",ROUND(SUMIF($A$2:A14,"&lt;&gt;",J$2:J14),2)),IF(OR(A15="",AND(ISNUMBER(posicao_contratual!$AL15),posicao_contratual!$AL15&gt;3),posicao_contratual!S15="",NOT(ISNUMBER(historico_VU!F15))),"",ROUND(posicao_contratual!S15*historico_VU!F15,2)))</f>
        <v/>
      </c>
      <c r="K15" s="84"/>
      <c r="L15" s="79" t="str">
        <f>IF(AND(A15="",A14&lt;&gt;"",COUNTIF(A16:$A$200,"&lt;&gt;")=0),IF(COUNT(L$2:L14)=0,"",ROUND(SUMIF($A$2:A14,"&lt;&gt;",L$2:L14),2)),IF(OR(A15="",AND(ISNUMBER(posicao_contratual!$AL15),posicao_contratual!$AL15&gt;4),posicao_contratual!W15="",NOT(ISNUMBER(historico_VU!G15))),"",ROUND(posicao_contratual!W15*historico_VU!G15,2)))</f>
        <v/>
      </c>
      <c r="M15" s="85" t="str">
        <f>IF(OR(posicao_contratual!J15="",posicao_contratual!N15=""),"",ROUND(MAX(posicao_contratual!J15+posicao_contratual!H15-posicao_contratual!N15,0),2))</f>
        <v/>
      </c>
      <c r="N15" s="79" t="str">
        <f>IF(AND(A15="",A14&lt;&gt;"",COUNTIF(A16:$A$200,"&lt;&gt;")=0),IF(COUNT(N$2:N14)=0,"",ROUND(SUMIF($A$2:A14,"&lt;&gt;",N$2:N14),2)),IF(OR(M15="",NOT(ISNUMBER(historico_VU!D15))),"",ROUND(M15*historico_VU!D15,2)))</f>
        <v/>
      </c>
      <c r="O15" s="85" t="str">
        <f>IF(OR(posicao_contratual!N15="",posicao_contratual!R15=""),"",ROUND(MAX(posicao_contratual!N15+posicao_contratual!L15-posicao_contratual!R15,0),2))</f>
        <v/>
      </c>
      <c r="P15" s="79" t="str">
        <f>IF(AND(A15="",A14&lt;&gt;"",COUNTIF(A16:$A$200,"&lt;&gt;")=0),IF(COUNT(P$2:P14)=0,"",ROUND(SUMIF($A$2:A14,"&lt;&gt;",P$2:P14),2)),IF(OR(O15="",NOT(ISNUMBER(historico_VU!E15))),"",ROUND(O15*historico_VU!E15,2)))</f>
        <v/>
      </c>
      <c r="Q15" s="85" t="str">
        <f>IF(OR(posicao_contratual!R15="",posicao_contratual!V15=""),"",ROUND(MAX(posicao_contratual!R15+posicao_contratual!P15-posicao_contratual!V15,0),2))</f>
        <v/>
      </c>
      <c r="R15" s="79" t="str">
        <f>IF(AND(A15="",A14&lt;&gt;"",COUNTIF(A16:$A$200,"&lt;&gt;")=0),IF(COUNT(R$2:R14)=0,"",ROUND(SUMIF($A$2:A14,"&lt;&gt;",R$2:R14),2)),IF(OR(Q15="",NOT(ISNUMBER(historico_VU!F15))),"",ROUND(Q15*historico_VU!F15,2)))</f>
        <v/>
      </c>
      <c r="S15" s="21"/>
      <c r="T15" s="22" t="str">
        <f>IF(AND(A15="",A14&lt;&gt;"",COUNTIF(A16:$A$200,"&lt;&gt;")=0),IF(COUNT(T$2:T14)=0,"",ROUND(SUMIF($A$2:A14,"&lt;&gt;",T$2:T14),2)),IF(OR(S15="",NOT(ISNUMBER(historico_VU!G15))),"",ROUND(S15*historico_VU!G15,2)))</f>
        <v/>
      </c>
      <c r="U15" s="86" t="str">
        <f>IF(AND(A15="",A14&lt;&gt;"",COUNTIF(A16:$A$200,"&lt;&gt;")=0),"TOTAL",IF(A15="","",posicao_contratual!X15))</f>
        <v/>
      </c>
      <c r="V15" s="86" t="str">
        <f>IF(A15="","",posicao_contratual!X15)</f>
        <v/>
      </c>
      <c r="W15" s="14"/>
      <c r="X15" s="14"/>
      <c r="Y15" s="14"/>
      <c r="Z15" s="13"/>
      <c r="AA15" s="13"/>
      <c r="AB15" s="85" t="str">
        <f>IF(OR(A15="",posicao_contratual!E15="",posicao_contratual!J15=""),"",ROUND(MAX(posicao_contratual!E15-posicao_contratual!J15,0),2))</f>
        <v/>
      </c>
      <c r="AC15" s="79" t="str">
        <f>IF(AND(A15="",A14&lt;&gt;"",COUNTIF(A16:$A$200,"&lt;&gt;")=0),IF(COUNT(AC$2:AC14)=0,"",ROUND(SUMIF($A$2:A14,"&lt;&gt;",AC$2:AC14),2)),IF(OR(AB15="",NOT(ISNUMBER(historico_VU!C15))),"",ROUND(AB15*historico_VU!C15,2)))</f>
        <v/>
      </c>
      <c r="AD15" s="145" t="str">
        <f>IF(A15="","",posicao_contratual!E15)</f>
        <v/>
      </c>
      <c r="AE15" s="145" t="str">
        <f>IF(A15="","",posicao_contratual!I15)</f>
        <v/>
      </c>
      <c r="AF15" s="145" t="str">
        <f>IF(A15="","",posicao_contratual!M15)</f>
        <v/>
      </c>
      <c r="AG15" s="145" t="str">
        <f>IF(A15="","",posicao_contratual!Q15)</f>
        <v/>
      </c>
      <c r="AH15" s="145" t="str">
        <f>IF(A15="","",posicao_contratual!U15)</f>
        <v/>
      </c>
      <c r="AI15" s="145" t="str">
        <f>IF(A15="","",posicao_contratual!G15)</f>
        <v/>
      </c>
      <c r="AJ15" s="145" t="str">
        <f>IF(A15="","",posicao_contratual!K15)</f>
        <v/>
      </c>
      <c r="AK15" s="145" t="str">
        <f>IF(A15="","",posicao_contratual!O15)</f>
        <v/>
      </c>
      <c r="AL15" s="145" t="str">
        <f>IF(A15="","",posicao_contratual!S15)</f>
        <v/>
      </c>
      <c r="AM15" s="145" t="str">
        <f>IF(A15="","",posicao_contratual!W15)</f>
        <v/>
      </c>
      <c r="AN15" s="146" t="str">
        <f>IF(A15="","",posicao_contratual!X15)</f>
        <v/>
      </c>
      <c r="AO15" t="str">
        <f>IF($A15="","",ROUND(SUMIFS(itens_Consumidos!$E$2:$E$200,itens_Consumidos!$A$2:$A$200,$A15),2))</f>
        <v/>
      </c>
      <c r="AP15" t="str">
        <f t="shared" si="0"/>
        <v/>
      </c>
      <c r="AQ15" t="str">
        <f>IF(OR($A15="",AB15="",MEMORIA_RESULTADOS!$I$258=""),"",ROUND(AB15*$C15*(MEMORIA_RESULTADOS!$I$258-1),2))</f>
        <v/>
      </c>
      <c r="AR15" t="str">
        <f>IF(OR($A15="",AP15="",MEMORIA_RESULTADOS!$I$258=""),"",ROUND(AP15*$C15*(parametros!$F$2-MEMORIA_RESULTADOS!$I$258),2))</f>
        <v/>
      </c>
      <c r="AS15" t="str">
        <f>IF($A15="","",ROUND(SUMIFS(itens_Consumidos!$G$2:$G$200,itens_Consumidos!$A$2:$A$200,$A15),2))</f>
        <v/>
      </c>
      <c r="AT15" t="str">
        <f t="shared" si="1"/>
        <v/>
      </c>
      <c r="AU15" t="str">
        <f>IF(OR($A15="",M15="",MEMORIA_RESULTADOS!$I$259=""),"",ROUND(M15*$C15*(MEMORIA_RESULTADOS!$I$259-1),2))</f>
        <v/>
      </c>
      <c r="AV15" t="str">
        <f>IF(OR($A15="",AT15="",MEMORIA_RESULTADOS!$I$259=""),"",ROUND(AT15*$C15*(parametros!$F$3-MEMORIA_RESULTADOS!$I$259),2))</f>
        <v/>
      </c>
      <c r="AW15" t="str">
        <f>IF($A15="","",ROUND(SUMIFS(itens_Consumidos!$I$2:$I$200,itens_Consumidos!$A$2:$A$200,$A15),2))</f>
        <v/>
      </c>
      <c r="AX15" t="str">
        <f t="shared" si="2"/>
        <v/>
      </c>
      <c r="AY15" t="str">
        <f>IF(OR($A15="",O15="",MEMORIA_RESULTADOS!$I$260=""),"",ROUND(O15*$C15*(MEMORIA_RESULTADOS!$I$260-1),2))</f>
        <v/>
      </c>
      <c r="AZ15" t="str">
        <f>IF(OR($A15="",AX15="",MEMORIA_RESULTADOS!$I$260=""),"",ROUND(AX15*$C15*(parametros!$F$4-MEMORIA_RESULTADOS!$I$260),2))</f>
        <v/>
      </c>
      <c r="BA15" t="str">
        <f>IF($A15="","",ROUND(SUMIFS(itens_Consumidos!$K$2:$K$200,itens_Consumidos!$A$2:$A$200,$A15),2))</f>
        <v/>
      </c>
      <c r="BB15" t="str">
        <f t="shared" si="3"/>
        <v/>
      </c>
      <c r="BC15" t="str">
        <f>IF(OR($A15="",Q15="",MEMORIA_RESULTADOS!$I$261=""),"",ROUND(Q15*$C15*(MEMORIA_RESULTADOS!$I$261-1),2))</f>
        <v/>
      </c>
      <c r="BD15" t="str">
        <f>IF(OR($A15="",BB15="",MEMORIA_RESULTADOS!$I$261=""),"",ROUND(BB15*$C15*(parametros!$F$5-MEMORIA_RESULTADOS!$I$261),2))</f>
        <v/>
      </c>
      <c r="BE15" t="str">
        <f>IF($A15="","",ROUND(SUMIFS(itens_Consumidos!$M$2:$M$200,itens_Consumidos!$A$2:$A$200,$A15),2))</f>
        <v/>
      </c>
      <c r="BF15" t="str">
        <f t="shared" si="4"/>
        <v/>
      </c>
      <c r="BG15" t="str">
        <f>IF(OR($A15="",S15="",MEMORIA_RESULTADOS!$I$262=""),"",ROUND(S15*$C15*(MEMORIA_RESULTADOS!$I$262-1),2))</f>
        <v/>
      </c>
      <c r="BH15" t="str">
        <f>IF(OR($A15="",BF15="",MEMORIA_RESULTADOS!$I$262=""),"",ROUND(BF15*$C15*(parametros!$F$6-MEMORIA_RESULTADOS!$I$262),2))</f>
        <v/>
      </c>
      <c r="BI15" t="str">
        <f>IF($A15="","",IF(posicao_contratual!$AL15="","",posicao_contratual!$AL15))</f>
        <v/>
      </c>
    </row>
    <row r="16" spans="1:61" x14ac:dyDescent="0.35">
      <c r="A16" s="81"/>
      <c r="B16" s="82" t="str">
        <f t="shared" si="5"/>
        <v/>
      </c>
      <c r="C16" s="83"/>
      <c r="D16" s="79" t="str">
        <f>IF(AND(A16="",A15&lt;&gt;"",COUNTIF(A17:$A$200,"&lt;&gt;")=0),ROUND(SUMIF($A$2:A15,"&lt;&gt;",$D$2:D15),2),IF(OR(A16="",B16="",C16=""),"",ROUND(B16*C16,2)))</f>
        <v/>
      </c>
      <c r="E16" s="84"/>
      <c r="F16" s="79" t="str">
        <f>IF(AND(A16="",A15&lt;&gt;"",COUNTIF(A17:$A$200,"&lt;&gt;")=0),IF(COUNT(F$2:F15)=0,"",ROUND(SUMIF($A$2:A15,"&lt;&gt;",F$2:F15),2)),IF(OR(A16="",AND(ISNUMBER(posicao_contratual!$AL16),posicao_contratual!$AL16&gt;1),posicao_contratual!K16="",NOT(ISNUMBER(historico_VU!D16))),"",ROUND(posicao_contratual!K16*historico_VU!D16,2)))</f>
        <v/>
      </c>
      <c r="G16" s="84"/>
      <c r="H16" s="79" t="str">
        <f>IF(AND(A16="",A15&lt;&gt;"",COUNTIF(A17:$A$200,"&lt;&gt;")=0),IF(COUNT(H$2:H15)=0,"",ROUND(SUMIF($A$2:A15,"&lt;&gt;",H$2:H15),2)),IF(OR(A16="",AND(ISNUMBER(posicao_contratual!$AL16),posicao_contratual!$AL16&gt;2),posicao_contratual!O16="",NOT(ISNUMBER(historico_VU!E16))),"",ROUND(posicao_contratual!O16*historico_VU!E16,2)))</f>
        <v/>
      </c>
      <c r="I16" s="84"/>
      <c r="J16" s="79" t="str">
        <f>IF(AND(A16="",A15&lt;&gt;"",COUNTIF(A17:$A$200,"&lt;&gt;")=0),IF(COUNT(J$2:J15)=0,"",ROUND(SUMIF($A$2:A15,"&lt;&gt;",J$2:J15),2)),IF(OR(A16="",AND(ISNUMBER(posicao_contratual!$AL16),posicao_contratual!$AL16&gt;3),posicao_contratual!S16="",NOT(ISNUMBER(historico_VU!F16))),"",ROUND(posicao_contratual!S16*historico_VU!F16,2)))</f>
        <v/>
      </c>
      <c r="K16" s="84"/>
      <c r="L16" s="79" t="str">
        <f>IF(AND(A16="",A15&lt;&gt;"",COUNTIF(A17:$A$200,"&lt;&gt;")=0),IF(COUNT(L$2:L15)=0,"",ROUND(SUMIF($A$2:A15,"&lt;&gt;",L$2:L15),2)),IF(OR(A16="",AND(ISNUMBER(posicao_contratual!$AL16),posicao_contratual!$AL16&gt;4),posicao_contratual!W16="",NOT(ISNUMBER(historico_VU!G16))),"",ROUND(posicao_contratual!W16*historico_VU!G16,2)))</f>
        <v/>
      </c>
      <c r="M16" s="85" t="str">
        <f>IF(OR(posicao_contratual!J16="",posicao_contratual!N16=""),"",ROUND(MAX(posicao_contratual!J16+posicao_contratual!H16-posicao_contratual!N16,0),2))</f>
        <v/>
      </c>
      <c r="N16" s="79" t="str">
        <f>IF(AND(A16="",A15&lt;&gt;"",COUNTIF(A17:$A$200,"&lt;&gt;")=0),IF(COUNT(N$2:N15)=0,"",ROUND(SUMIF($A$2:A15,"&lt;&gt;",N$2:N15),2)),IF(OR(M16="",NOT(ISNUMBER(historico_VU!D16))),"",ROUND(M16*historico_VU!D16,2)))</f>
        <v/>
      </c>
      <c r="O16" s="85" t="str">
        <f>IF(OR(posicao_contratual!N16="",posicao_contratual!R16=""),"",ROUND(MAX(posicao_contratual!N16+posicao_contratual!L16-posicao_contratual!R16,0),2))</f>
        <v/>
      </c>
      <c r="P16" s="79" t="str">
        <f>IF(AND(A16="",A15&lt;&gt;"",COUNTIF(A17:$A$200,"&lt;&gt;")=0),IF(COUNT(P$2:P15)=0,"",ROUND(SUMIF($A$2:A15,"&lt;&gt;",P$2:P15),2)),IF(OR(O16="",NOT(ISNUMBER(historico_VU!E16))),"",ROUND(O16*historico_VU!E16,2)))</f>
        <v/>
      </c>
      <c r="Q16" s="85" t="str">
        <f>IF(OR(posicao_contratual!R16="",posicao_contratual!V16=""),"",ROUND(MAX(posicao_contratual!R16+posicao_contratual!P16-posicao_contratual!V16,0),2))</f>
        <v/>
      </c>
      <c r="R16" s="79" t="str">
        <f>IF(AND(A16="",A15&lt;&gt;"",COUNTIF(A17:$A$200,"&lt;&gt;")=0),IF(COUNT(R$2:R15)=0,"",ROUND(SUMIF($A$2:A15,"&lt;&gt;",R$2:R15),2)),IF(OR(Q16="",NOT(ISNUMBER(historico_VU!F16))),"",ROUND(Q16*historico_VU!F16,2)))</f>
        <v/>
      </c>
      <c r="S16" s="21"/>
      <c r="T16" s="22" t="str">
        <f>IF(AND(A16="",A15&lt;&gt;"",COUNTIF(A17:$A$200,"&lt;&gt;")=0),IF(COUNT(T$2:T15)=0,"",ROUND(SUMIF($A$2:A15,"&lt;&gt;",T$2:T15),2)),IF(OR(S16="",NOT(ISNUMBER(historico_VU!G16))),"",ROUND(S16*historico_VU!G16,2)))</f>
        <v/>
      </c>
      <c r="U16" s="86" t="str">
        <f>IF(AND(A16="",A15&lt;&gt;"",COUNTIF(A17:$A$200,"&lt;&gt;")=0),"TOTAL",IF(A16="","",posicao_contratual!X16))</f>
        <v/>
      </c>
      <c r="V16" s="86" t="str">
        <f>IF(A16="","",posicao_contratual!X16)</f>
        <v/>
      </c>
      <c r="W16" s="14"/>
      <c r="X16" s="14"/>
      <c r="Y16" s="14"/>
      <c r="Z16" s="13"/>
      <c r="AA16" s="13"/>
      <c r="AB16" s="85" t="str">
        <f>IF(OR(A16="",posicao_contratual!E16="",posicao_contratual!J16=""),"",ROUND(MAX(posicao_contratual!E16-posicao_contratual!J16,0),2))</f>
        <v/>
      </c>
      <c r="AC16" s="79" t="str">
        <f>IF(AND(A16="",A15&lt;&gt;"",COUNTIF(A17:$A$200,"&lt;&gt;")=0),IF(COUNT(AC$2:AC15)=0,"",ROUND(SUMIF($A$2:A15,"&lt;&gt;",AC$2:AC15),2)),IF(OR(AB16="",NOT(ISNUMBER(historico_VU!C16))),"",ROUND(AB16*historico_VU!C16,2)))</f>
        <v/>
      </c>
      <c r="AD16" s="145" t="str">
        <f>IF(A16="","",posicao_contratual!E16)</f>
        <v/>
      </c>
      <c r="AE16" s="145" t="str">
        <f>IF(A16="","",posicao_contratual!I16)</f>
        <v/>
      </c>
      <c r="AF16" s="145" t="str">
        <f>IF(A16="","",posicao_contratual!M16)</f>
        <v/>
      </c>
      <c r="AG16" s="145" t="str">
        <f>IF(A16="","",posicao_contratual!Q16)</f>
        <v/>
      </c>
      <c r="AH16" s="145" t="str">
        <f>IF(A16="","",posicao_contratual!U16)</f>
        <v/>
      </c>
      <c r="AI16" s="145" t="str">
        <f>IF(A16="","",posicao_contratual!G16)</f>
        <v/>
      </c>
      <c r="AJ16" s="145" t="str">
        <f>IF(A16="","",posicao_contratual!K16)</f>
        <v/>
      </c>
      <c r="AK16" s="145" t="str">
        <f>IF(A16="","",posicao_contratual!O16)</f>
        <v/>
      </c>
      <c r="AL16" s="145" t="str">
        <f>IF(A16="","",posicao_contratual!S16)</f>
        <v/>
      </c>
      <c r="AM16" s="145" t="str">
        <f>IF(A16="","",posicao_contratual!W16)</f>
        <v/>
      </c>
      <c r="AN16" s="146" t="str">
        <f>IF(A16="","",posicao_contratual!X16)</f>
        <v/>
      </c>
      <c r="AO16" t="str">
        <f>IF($A16="","",ROUND(SUMIFS(itens_Consumidos!$E$2:$E$200,itens_Consumidos!$A$2:$A$200,$A16),2))</f>
        <v/>
      </c>
      <c r="AP16" t="str">
        <f t="shared" si="0"/>
        <v/>
      </c>
      <c r="AQ16" t="str">
        <f>IF(OR($A16="",AB16="",MEMORIA_RESULTADOS!$I$258=""),"",ROUND(AB16*$C16*(MEMORIA_RESULTADOS!$I$258-1),2))</f>
        <v/>
      </c>
      <c r="AR16" t="str">
        <f>IF(OR($A16="",AP16="",MEMORIA_RESULTADOS!$I$258=""),"",ROUND(AP16*$C16*(parametros!$F$2-MEMORIA_RESULTADOS!$I$258),2))</f>
        <v/>
      </c>
      <c r="AS16" t="str">
        <f>IF($A16="","",ROUND(SUMIFS(itens_Consumidos!$G$2:$G$200,itens_Consumidos!$A$2:$A$200,$A16),2))</f>
        <v/>
      </c>
      <c r="AT16" t="str">
        <f t="shared" si="1"/>
        <v/>
      </c>
      <c r="AU16" t="str">
        <f>IF(OR($A16="",M16="",MEMORIA_RESULTADOS!$I$259=""),"",ROUND(M16*$C16*(MEMORIA_RESULTADOS!$I$259-1),2))</f>
        <v/>
      </c>
      <c r="AV16" t="str">
        <f>IF(OR($A16="",AT16="",MEMORIA_RESULTADOS!$I$259=""),"",ROUND(AT16*$C16*(parametros!$F$3-MEMORIA_RESULTADOS!$I$259),2))</f>
        <v/>
      </c>
      <c r="AW16" t="str">
        <f>IF($A16="","",ROUND(SUMIFS(itens_Consumidos!$I$2:$I$200,itens_Consumidos!$A$2:$A$200,$A16),2))</f>
        <v/>
      </c>
      <c r="AX16" t="str">
        <f t="shared" si="2"/>
        <v/>
      </c>
      <c r="AY16" t="str">
        <f>IF(OR($A16="",O16="",MEMORIA_RESULTADOS!$I$260=""),"",ROUND(O16*$C16*(MEMORIA_RESULTADOS!$I$260-1),2))</f>
        <v/>
      </c>
      <c r="AZ16" t="str">
        <f>IF(OR($A16="",AX16="",MEMORIA_RESULTADOS!$I$260=""),"",ROUND(AX16*$C16*(parametros!$F$4-MEMORIA_RESULTADOS!$I$260),2))</f>
        <v/>
      </c>
      <c r="BA16" t="str">
        <f>IF($A16="","",ROUND(SUMIFS(itens_Consumidos!$K$2:$K$200,itens_Consumidos!$A$2:$A$200,$A16),2))</f>
        <v/>
      </c>
      <c r="BB16" t="str">
        <f t="shared" si="3"/>
        <v/>
      </c>
      <c r="BC16" t="str">
        <f>IF(OR($A16="",Q16="",MEMORIA_RESULTADOS!$I$261=""),"",ROUND(Q16*$C16*(MEMORIA_RESULTADOS!$I$261-1),2))</f>
        <v/>
      </c>
      <c r="BD16" t="str">
        <f>IF(OR($A16="",BB16="",MEMORIA_RESULTADOS!$I$261=""),"",ROUND(BB16*$C16*(parametros!$F$5-MEMORIA_RESULTADOS!$I$261),2))</f>
        <v/>
      </c>
      <c r="BE16" t="str">
        <f>IF($A16="","",ROUND(SUMIFS(itens_Consumidos!$M$2:$M$200,itens_Consumidos!$A$2:$A$200,$A16),2))</f>
        <v/>
      </c>
      <c r="BF16" t="str">
        <f t="shared" si="4"/>
        <v/>
      </c>
      <c r="BG16" t="str">
        <f>IF(OR($A16="",S16="",MEMORIA_RESULTADOS!$I$262=""),"",ROUND(S16*$C16*(MEMORIA_RESULTADOS!$I$262-1),2))</f>
        <v/>
      </c>
      <c r="BH16" t="str">
        <f>IF(OR($A16="",BF16="",MEMORIA_RESULTADOS!$I$262=""),"",ROUND(BF16*$C16*(parametros!$F$6-MEMORIA_RESULTADOS!$I$262),2))</f>
        <v/>
      </c>
      <c r="BI16" t="str">
        <f>IF($A16="","",IF(posicao_contratual!$AL16="","",posicao_contratual!$AL16))</f>
        <v/>
      </c>
    </row>
    <row r="17" spans="1:61" x14ac:dyDescent="0.35">
      <c r="A17" s="81"/>
      <c r="B17" s="82" t="str">
        <f t="shared" si="5"/>
        <v/>
      </c>
      <c r="C17" s="83"/>
      <c r="D17" s="79" t="str">
        <f>IF(AND(A17="",A16&lt;&gt;"",COUNTIF(A18:$A$200,"&lt;&gt;")=0),ROUND(SUMIF($A$2:A16,"&lt;&gt;",$D$2:D16),2),IF(OR(A17="",B17="",C17=""),"",ROUND(B17*C17,2)))</f>
        <v/>
      </c>
      <c r="E17" s="84"/>
      <c r="F17" s="79" t="str">
        <f>IF(AND(A17="",A16&lt;&gt;"",COUNTIF(A18:$A$200,"&lt;&gt;")=0),IF(COUNT(F$2:F16)=0,"",ROUND(SUMIF($A$2:A16,"&lt;&gt;",F$2:F16),2)),IF(OR(A17="",AND(ISNUMBER(posicao_contratual!$AL17),posicao_contratual!$AL17&gt;1),posicao_contratual!K17="",NOT(ISNUMBER(historico_VU!D17))),"",ROUND(posicao_contratual!K17*historico_VU!D17,2)))</f>
        <v/>
      </c>
      <c r="G17" s="84"/>
      <c r="H17" s="79" t="str">
        <f>IF(AND(A17="",A16&lt;&gt;"",COUNTIF(A18:$A$200,"&lt;&gt;")=0),IF(COUNT(H$2:H16)=0,"",ROUND(SUMIF($A$2:A16,"&lt;&gt;",H$2:H16),2)),IF(OR(A17="",AND(ISNUMBER(posicao_contratual!$AL17),posicao_contratual!$AL17&gt;2),posicao_contratual!O17="",NOT(ISNUMBER(historico_VU!E17))),"",ROUND(posicao_contratual!O17*historico_VU!E17,2)))</f>
        <v/>
      </c>
      <c r="I17" s="84"/>
      <c r="J17" s="79" t="str">
        <f>IF(AND(A17="",A16&lt;&gt;"",COUNTIF(A18:$A$200,"&lt;&gt;")=0),IF(COUNT(J$2:J16)=0,"",ROUND(SUMIF($A$2:A16,"&lt;&gt;",J$2:J16),2)),IF(OR(A17="",AND(ISNUMBER(posicao_contratual!$AL17),posicao_contratual!$AL17&gt;3),posicao_contratual!S17="",NOT(ISNUMBER(historico_VU!F17))),"",ROUND(posicao_contratual!S17*historico_VU!F17,2)))</f>
        <v/>
      </c>
      <c r="K17" s="84"/>
      <c r="L17" s="79" t="str">
        <f>IF(AND(A17="",A16&lt;&gt;"",COUNTIF(A18:$A$200,"&lt;&gt;")=0),IF(COUNT(L$2:L16)=0,"",ROUND(SUMIF($A$2:A16,"&lt;&gt;",L$2:L16),2)),IF(OR(A17="",AND(ISNUMBER(posicao_contratual!$AL17),posicao_contratual!$AL17&gt;4),posicao_contratual!W17="",NOT(ISNUMBER(historico_VU!G17))),"",ROUND(posicao_contratual!W17*historico_VU!G17,2)))</f>
        <v/>
      </c>
      <c r="M17" s="85" t="str">
        <f>IF(OR(posicao_contratual!J17="",posicao_contratual!N17=""),"",ROUND(MAX(posicao_contratual!J17+posicao_contratual!H17-posicao_contratual!N17,0),2))</f>
        <v/>
      </c>
      <c r="N17" s="79" t="str">
        <f>IF(AND(A17="",A16&lt;&gt;"",COUNTIF(A18:$A$200,"&lt;&gt;")=0),IF(COUNT(N$2:N16)=0,"",ROUND(SUMIF($A$2:A16,"&lt;&gt;",N$2:N16),2)),IF(OR(M17="",NOT(ISNUMBER(historico_VU!D17))),"",ROUND(M17*historico_VU!D17,2)))</f>
        <v/>
      </c>
      <c r="O17" s="85" t="str">
        <f>IF(OR(posicao_contratual!N17="",posicao_contratual!R17=""),"",ROUND(MAX(posicao_contratual!N17+posicao_contratual!L17-posicao_contratual!R17,0),2))</f>
        <v/>
      </c>
      <c r="P17" s="79" t="str">
        <f>IF(AND(A17="",A16&lt;&gt;"",COUNTIF(A18:$A$200,"&lt;&gt;")=0),IF(COUNT(P$2:P16)=0,"",ROUND(SUMIF($A$2:A16,"&lt;&gt;",P$2:P16),2)),IF(OR(O17="",NOT(ISNUMBER(historico_VU!E17))),"",ROUND(O17*historico_VU!E17,2)))</f>
        <v/>
      </c>
      <c r="Q17" s="85" t="str">
        <f>IF(OR(posicao_contratual!R17="",posicao_contratual!V17=""),"",ROUND(MAX(posicao_contratual!R17+posicao_contratual!P17-posicao_contratual!V17,0),2))</f>
        <v/>
      </c>
      <c r="R17" s="79" t="str">
        <f>IF(AND(A17="",A16&lt;&gt;"",COUNTIF(A18:$A$200,"&lt;&gt;")=0),IF(COUNT(R$2:R16)=0,"",ROUND(SUMIF($A$2:A16,"&lt;&gt;",R$2:R16),2)),IF(OR(Q17="",NOT(ISNUMBER(historico_VU!F17))),"",ROUND(Q17*historico_VU!F17,2)))</f>
        <v/>
      </c>
      <c r="S17" s="21"/>
      <c r="T17" s="22" t="str">
        <f>IF(AND(A17="",A16&lt;&gt;"",COUNTIF(A18:$A$200,"&lt;&gt;")=0),IF(COUNT(T$2:T16)=0,"",ROUND(SUMIF($A$2:A16,"&lt;&gt;",T$2:T16),2)),IF(OR(S17="",NOT(ISNUMBER(historico_VU!G17))),"",ROUND(S17*historico_VU!G17,2)))</f>
        <v/>
      </c>
      <c r="U17" s="86" t="str">
        <f>IF(AND(A17="",A16&lt;&gt;"",COUNTIF(A18:$A$200,"&lt;&gt;")=0),"TOTAL",IF(A17="","",posicao_contratual!X17))</f>
        <v/>
      </c>
      <c r="V17" s="86" t="str">
        <f>IF(A17="","",posicao_contratual!X17)</f>
        <v/>
      </c>
      <c r="W17" s="14"/>
      <c r="X17" s="14"/>
      <c r="Y17" s="14"/>
      <c r="Z17" s="13"/>
      <c r="AA17" s="13"/>
      <c r="AB17" s="85" t="str">
        <f>IF(OR(A17="",posicao_contratual!E17="",posicao_contratual!J17=""),"",ROUND(MAX(posicao_contratual!E17-posicao_contratual!J17,0),2))</f>
        <v/>
      </c>
      <c r="AC17" s="79" t="str">
        <f>IF(AND(A17="",A16&lt;&gt;"",COUNTIF(A18:$A$200,"&lt;&gt;")=0),IF(COUNT(AC$2:AC16)=0,"",ROUND(SUMIF($A$2:A16,"&lt;&gt;",AC$2:AC16),2)),IF(OR(AB17="",NOT(ISNUMBER(historico_VU!C17))),"",ROUND(AB17*historico_VU!C17,2)))</f>
        <v/>
      </c>
      <c r="AD17" s="145" t="str">
        <f>IF(A17="","",posicao_contratual!E17)</f>
        <v/>
      </c>
      <c r="AE17" s="145" t="str">
        <f>IF(A17="","",posicao_contratual!I17)</f>
        <v/>
      </c>
      <c r="AF17" s="145" t="str">
        <f>IF(A17="","",posicao_contratual!M17)</f>
        <v/>
      </c>
      <c r="AG17" s="145" t="str">
        <f>IF(A17="","",posicao_contratual!Q17)</f>
        <v/>
      </c>
      <c r="AH17" s="145" t="str">
        <f>IF(A17="","",posicao_contratual!U17)</f>
        <v/>
      </c>
      <c r="AI17" s="145" t="str">
        <f>IF(A17="","",posicao_contratual!G17)</f>
        <v/>
      </c>
      <c r="AJ17" s="145" t="str">
        <f>IF(A17="","",posicao_contratual!K17)</f>
        <v/>
      </c>
      <c r="AK17" s="145" t="str">
        <f>IF(A17="","",posicao_contratual!O17)</f>
        <v/>
      </c>
      <c r="AL17" s="145" t="str">
        <f>IF(A17="","",posicao_contratual!S17)</f>
        <v/>
      </c>
      <c r="AM17" s="145" t="str">
        <f>IF(A17="","",posicao_contratual!W17)</f>
        <v/>
      </c>
      <c r="AN17" s="146" t="str">
        <f>IF(A17="","",posicao_contratual!X17)</f>
        <v/>
      </c>
      <c r="AO17" t="str">
        <f>IF($A17="","",ROUND(SUMIFS(itens_Consumidos!$E$2:$E$200,itens_Consumidos!$A$2:$A$200,$A17),2))</f>
        <v/>
      </c>
      <c r="AP17" t="str">
        <f t="shared" si="0"/>
        <v/>
      </c>
      <c r="AQ17" t="str">
        <f>IF(OR($A17="",AB17="",MEMORIA_RESULTADOS!$I$258=""),"",ROUND(AB17*$C17*(MEMORIA_RESULTADOS!$I$258-1),2))</f>
        <v/>
      </c>
      <c r="AR17" t="str">
        <f>IF(OR($A17="",AP17="",MEMORIA_RESULTADOS!$I$258=""),"",ROUND(AP17*$C17*(parametros!$F$2-MEMORIA_RESULTADOS!$I$258),2))</f>
        <v/>
      </c>
      <c r="AS17" t="str">
        <f>IF($A17="","",ROUND(SUMIFS(itens_Consumidos!$G$2:$G$200,itens_Consumidos!$A$2:$A$200,$A17),2))</f>
        <v/>
      </c>
      <c r="AT17" t="str">
        <f t="shared" si="1"/>
        <v/>
      </c>
      <c r="AU17" t="str">
        <f>IF(OR($A17="",M17="",MEMORIA_RESULTADOS!$I$259=""),"",ROUND(M17*$C17*(MEMORIA_RESULTADOS!$I$259-1),2))</f>
        <v/>
      </c>
      <c r="AV17" t="str">
        <f>IF(OR($A17="",AT17="",MEMORIA_RESULTADOS!$I$259=""),"",ROUND(AT17*$C17*(parametros!$F$3-MEMORIA_RESULTADOS!$I$259),2))</f>
        <v/>
      </c>
      <c r="AW17" t="str">
        <f>IF($A17="","",ROUND(SUMIFS(itens_Consumidos!$I$2:$I$200,itens_Consumidos!$A$2:$A$200,$A17),2))</f>
        <v/>
      </c>
      <c r="AX17" t="str">
        <f t="shared" si="2"/>
        <v/>
      </c>
      <c r="AY17" t="str">
        <f>IF(OR($A17="",O17="",MEMORIA_RESULTADOS!$I$260=""),"",ROUND(O17*$C17*(MEMORIA_RESULTADOS!$I$260-1),2))</f>
        <v/>
      </c>
      <c r="AZ17" t="str">
        <f>IF(OR($A17="",AX17="",MEMORIA_RESULTADOS!$I$260=""),"",ROUND(AX17*$C17*(parametros!$F$4-MEMORIA_RESULTADOS!$I$260),2))</f>
        <v/>
      </c>
      <c r="BA17" t="str">
        <f>IF($A17="","",ROUND(SUMIFS(itens_Consumidos!$K$2:$K$200,itens_Consumidos!$A$2:$A$200,$A17),2))</f>
        <v/>
      </c>
      <c r="BB17" t="str">
        <f t="shared" si="3"/>
        <v/>
      </c>
      <c r="BC17" t="str">
        <f>IF(OR($A17="",Q17="",MEMORIA_RESULTADOS!$I$261=""),"",ROUND(Q17*$C17*(MEMORIA_RESULTADOS!$I$261-1),2))</f>
        <v/>
      </c>
      <c r="BD17" t="str">
        <f>IF(OR($A17="",BB17="",MEMORIA_RESULTADOS!$I$261=""),"",ROUND(BB17*$C17*(parametros!$F$5-MEMORIA_RESULTADOS!$I$261),2))</f>
        <v/>
      </c>
      <c r="BE17" t="str">
        <f>IF($A17="","",ROUND(SUMIFS(itens_Consumidos!$M$2:$M$200,itens_Consumidos!$A$2:$A$200,$A17),2))</f>
        <v/>
      </c>
      <c r="BF17" t="str">
        <f t="shared" si="4"/>
        <v/>
      </c>
      <c r="BG17" t="str">
        <f>IF(OR($A17="",S17="",MEMORIA_RESULTADOS!$I$262=""),"",ROUND(S17*$C17*(MEMORIA_RESULTADOS!$I$262-1),2))</f>
        <v/>
      </c>
      <c r="BH17" t="str">
        <f>IF(OR($A17="",BF17="",MEMORIA_RESULTADOS!$I$262=""),"",ROUND(BF17*$C17*(parametros!$F$6-MEMORIA_RESULTADOS!$I$262),2))</f>
        <v/>
      </c>
      <c r="BI17" t="str">
        <f>IF($A17="","",IF(posicao_contratual!$AL17="","",posicao_contratual!$AL17))</f>
        <v/>
      </c>
    </row>
    <row r="18" spans="1:61" x14ac:dyDescent="0.35">
      <c r="A18" s="81"/>
      <c r="B18" s="82" t="str">
        <f t="shared" si="5"/>
        <v/>
      </c>
      <c r="C18" s="83"/>
      <c r="D18" s="79" t="str">
        <f>IF(AND(A18="",A17&lt;&gt;"",COUNTIF(A19:$A$200,"&lt;&gt;")=0),ROUND(SUMIF($A$2:A17,"&lt;&gt;",$D$2:D17),2),IF(OR(A18="",B18="",C18=""),"",ROUND(B18*C18,2)))</f>
        <v/>
      </c>
      <c r="E18" s="84"/>
      <c r="F18" s="79" t="str">
        <f>IF(AND(A18="",A17&lt;&gt;"",COUNTIF(A19:$A$200,"&lt;&gt;")=0),IF(COUNT(F$2:F17)=0,"",ROUND(SUMIF($A$2:A17,"&lt;&gt;",F$2:F17),2)),IF(OR(A18="",AND(ISNUMBER(posicao_contratual!$AL18),posicao_contratual!$AL18&gt;1),posicao_contratual!K18="",NOT(ISNUMBER(historico_VU!D18))),"",ROUND(posicao_contratual!K18*historico_VU!D18,2)))</f>
        <v/>
      </c>
      <c r="G18" s="84"/>
      <c r="H18" s="79" t="str">
        <f>IF(AND(A18="",A17&lt;&gt;"",COUNTIF(A19:$A$200,"&lt;&gt;")=0),IF(COUNT(H$2:H17)=0,"",ROUND(SUMIF($A$2:A17,"&lt;&gt;",H$2:H17),2)),IF(OR(A18="",AND(ISNUMBER(posicao_contratual!$AL18),posicao_contratual!$AL18&gt;2),posicao_contratual!O18="",NOT(ISNUMBER(historico_VU!E18))),"",ROUND(posicao_contratual!O18*historico_VU!E18,2)))</f>
        <v/>
      </c>
      <c r="I18" s="84"/>
      <c r="J18" s="79" t="str">
        <f>IF(AND(A18="",A17&lt;&gt;"",COUNTIF(A19:$A$200,"&lt;&gt;")=0),IF(COUNT(J$2:J17)=0,"",ROUND(SUMIF($A$2:A17,"&lt;&gt;",J$2:J17),2)),IF(OR(A18="",AND(ISNUMBER(posicao_contratual!$AL18),posicao_contratual!$AL18&gt;3),posicao_contratual!S18="",NOT(ISNUMBER(historico_VU!F18))),"",ROUND(posicao_contratual!S18*historico_VU!F18,2)))</f>
        <v/>
      </c>
      <c r="K18" s="84"/>
      <c r="L18" s="79" t="str">
        <f>IF(AND(A18="",A17&lt;&gt;"",COUNTIF(A19:$A$200,"&lt;&gt;")=0),IF(COUNT(L$2:L17)=0,"",ROUND(SUMIF($A$2:A17,"&lt;&gt;",L$2:L17),2)),IF(OR(A18="",AND(ISNUMBER(posicao_contratual!$AL18),posicao_contratual!$AL18&gt;4),posicao_contratual!W18="",NOT(ISNUMBER(historico_VU!G18))),"",ROUND(posicao_contratual!W18*historico_VU!G18,2)))</f>
        <v/>
      </c>
      <c r="M18" s="85" t="str">
        <f>IF(OR(posicao_contratual!J18="",posicao_contratual!N18=""),"",ROUND(MAX(posicao_contratual!J18+posicao_contratual!H18-posicao_contratual!N18,0),2))</f>
        <v/>
      </c>
      <c r="N18" s="79" t="str">
        <f>IF(AND(A18="",A17&lt;&gt;"",COUNTIF(A19:$A$200,"&lt;&gt;")=0),IF(COUNT(N$2:N17)=0,"",ROUND(SUMIF($A$2:A17,"&lt;&gt;",N$2:N17),2)),IF(OR(M18="",NOT(ISNUMBER(historico_VU!D18))),"",ROUND(M18*historico_VU!D18,2)))</f>
        <v/>
      </c>
      <c r="O18" s="85" t="str">
        <f>IF(OR(posicao_contratual!N18="",posicao_contratual!R18=""),"",ROUND(MAX(posicao_contratual!N18+posicao_contratual!L18-posicao_contratual!R18,0),2))</f>
        <v/>
      </c>
      <c r="P18" s="79" t="str">
        <f>IF(AND(A18="",A17&lt;&gt;"",COUNTIF(A19:$A$200,"&lt;&gt;")=0),IF(COUNT(P$2:P17)=0,"",ROUND(SUMIF($A$2:A17,"&lt;&gt;",P$2:P17),2)),IF(OR(O18="",NOT(ISNUMBER(historico_VU!E18))),"",ROUND(O18*historico_VU!E18,2)))</f>
        <v/>
      </c>
      <c r="Q18" s="85" t="str">
        <f>IF(OR(posicao_contratual!R18="",posicao_contratual!V18=""),"",ROUND(MAX(posicao_contratual!R18+posicao_contratual!P18-posicao_contratual!V18,0),2))</f>
        <v/>
      </c>
      <c r="R18" s="79" t="str">
        <f>IF(AND(A18="",A17&lt;&gt;"",COUNTIF(A19:$A$200,"&lt;&gt;")=0),IF(COUNT(R$2:R17)=0,"",ROUND(SUMIF($A$2:A17,"&lt;&gt;",R$2:R17),2)),IF(OR(Q18="",NOT(ISNUMBER(historico_VU!F18))),"",ROUND(Q18*historico_VU!F18,2)))</f>
        <v/>
      </c>
      <c r="S18" s="21"/>
      <c r="T18" s="22" t="str">
        <f>IF(AND(A18="",A17&lt;&gt;"",COUNTIF(A19:$A$200,"&lt;&gt;")=0),IF(COUNT(T$2:T17)=0,"",ROUND(SUMIF($A$2:A17,"&lt;&gt;",T$2:T17),2)),IF(OR(S18="",NOT(ISNUMBER(historico_VU!G18))),"",ROUND(S18*historico_VU!G18,2)))</f>
        <v/>
      </c>
      <c r="U18" s="86" t="str">
        <f>IF(AND(A18="",A17&lt;&gt;"",COUNTIF(A19:$A$200,"&lt;&gt;")=0),"TOTAL",IF(A18="","",posicao_contratual!X18))</f>
        <v/>
      </c>
      <c r="V18" s="86" t="str">
        <f>IF(A18="","",posicao_contratual!X18)</f>
        <v/>
      </c>
      <c r="W18" s="14"/>
      <c r="X18" s="14"/>
      <c r="Y18" s="14"/>
      <c r="Z18" s="13"/>
      <c r="AA18" s="13"/>
      <c r="AB18" s="85" t="str">
        <f>IF(OR(A18="",posicao_contratual!E18="",posicao_contratual!J18=""),"",ROUND(MAX(posicao_contratual!E18-posicao_contratual!J18,0),2))</f>
        <v/>
      </c>
      <c r="AC18" s="79" t="str">
        <f>IF(AND(A18="",A17&lt;&gt;"",COUNTIF(A19:$A$200,"&lt;&gt;")=0),IF(COUNT(AC$2:AC17)=0,"",ROUND(SUMIF($A$2:A17,"&lt;&gt;",AC$2:AC17),2)),IF(OR(AB18="",NOT(ISNUMBER(historico_VU!C18))),"",ROUND(AB18*historico_VU!C18,2)))</f>
        <v/>
      </c>
      <c r="AD18" s="145" t="str">
        <f>IF(A18="","",posicao_contratual!E18)</f>
        <v/>
      </c>
      <c r="AE18" s="145" t="str">
        <f>IF(A18="","",posicao_contratual!I18)</f>
        <v/>
      </c>
      <c r="AF18" s="145" t="str">
        <f>IF(A18="","",posicao_contratual!M18)</f>
        <v/>
      </c>
      <c r="AG18" s="145" t="str">
        <f>IF(A18="","",posicao_contratual!Q18)</f>
        <v/>
      </c>
      <c r="AH18" s="145" t="str">
        <f>IF(A18="","",posicao_contratual!U18)</f>
        <v/>
      </c>
      <c r="AI18" s="145" t="str">
        <f>IF(A18="","",posicao_contratual!G18)</f>
        <v/>
      </c>
      <c r="AJ18" s="145" t="str">
        <f>IF(A18="","",posicao_contratual!K18)</f>
        <v/>
      </c>
      <c r="AK18" s="145" t="str">
        <f>IF(A18="","",posicao_contratual!O18)</f>
        <v/>
      </c>
      <c r="AL18" s="145" t="str">
        <f>IF(A18="","",posicao_contratual!S18)</f>
        <v/>
      </c>
      <c r="AM18" s="145" t="str">
        <f>IF(A18="","",posicao_contratual!W18)</f>
        <v/>
      </c>
      <c r="AN18" s="146" t="str">
        <f>IF(A18="","",posicao_contratual!X18)</f>
        <v/>
      </c>
      <c r="AO18" t="str">
        <f>IF($A18="","",ROUND(SUMIFS(itens_Consumidos!$E$2:$E$200,itens_Consumidos!$A$2:$A$200,$A18),2))</f>
        <v/>
      </c>
      <c r="AP18" t="str">
        <f t="shared" si="0"/>
        <v/>
      </c>
      <c r="AQ18" t="str">
        <f>IF(OR($A18="",AB18="",MEMORIA_RESULTADOS!$I$258=""),"",ROUND(AB18*$C18*(MEMORIA_RESULTADOS!$I$258-1),2))</f>
        <v/>
      </c>
      <c r="AR18" t="str">
        <f>IF(OR($A18="",AP18="",MEMORIA_RESULTADOS!$I$258=""),"",ROUND(AP18*$C18*(parametros!$F$2-MEMORIA_RESULTADOS!$I$258),2))</f>
        <v/>
      </c>
      <c r="AS18" t="str">
        <f>IF($A18="","",ROUND(SUMIFS(itens_Consumidos!$G$2:$G$200,itens_Consumidos!$A$2:$A$200,$A18),2))</f>
        <v/>
      </c>
      <c r="AT18" t="str">
        <f t="shared" si="1"/>
        <v/>
      </c>
      <c r="AU18" t="str">
        <f>IF(OR($A18="",M18="",MEMORIA_RESULTADOS!$I$259=""),"",ROUND(M18*$C18*(MEMORIA_RESULTADOS!$I$259-1),2))</f>
        <v/>
      </c>
      <c r="AV18" t="str">
        <f>IF(OR($A18="",AT18="",MEMORIA_RESULTADOS!$I$259=""),"",ROUND(AT18*$C18*(parametros!$F$3-MEMORIA_RESULTADOS!$I$259),2))</f>
        <v/>
      </c>
      <c r="AW18" t="str">
        <f>IF($A18="","",ROUND(SUMIFS(itens_Consumidos!$I$2:$I$200,itens_Consumidos!$A$2:$A$200,$A18),2))</f>
        <v/>
      </c>
      <c r="AX18" t="str">
        <f t="shared" si="2"/>
        <v/>
      </c>
      <c r="AY18" t="str">
        <f>IF(OR($A18="",O18="",MEMORIA_RESULTADOS!$I$260=""),"",ROUND(O18*$C18*(MEMORIA_RESULTADOS!$I$260-1),2))</f>
        <v/>
      </c>
      <c r="AZ18" t="str">
        <f>IF(OR($A18="",AX18="",MEMORIA_RESULTADOS!$I$260=""),"",ROUND(AX18*$C18*(parametros!$F$4-MEMORIA_RESULTADOS!$I$260),2))</f>
        <v/>
      </c>
      <c r="BA18" t="str">
        <f>IF($A18="","",ROUND(SUMIFS(itens_Consumidos!$K$2:$K$200,itens_Consumidos!$A$2:$A$200,$A18),2))</f>
        <v/>
      </c>
      <c r="BB18" t="str">
        <f t="shared" si="3"/>
        <v/>
      </c>
      <c r="BC18" t="str">
        <f>IF(OR($A18="",Q18="",MEMORIA_RESULTADOS!$I$261=""),"",ROUND(Q18*$C18*(MEMORIA_RESULTADOS!$I$261-1),2))</f>
        <v/>
      </c>
      <c r="BD18" t="str">
        <f>IF(OR($A18="",BB18="",MEMORIA_RESULTADOS!$I$261=""),"",ROUND(BB18*$C18*(parametros!$F$5-MEMORIA_RESULTADOS!$I$261),2))</f>
        <v/>
      </c>
      <c r="BE18" t="str">
        <f>IF($A18="","",ROUND(SUMIFS(itens_Consumidos!$M$2:$M$200,itens_Consumidos!$A$2:$A$200,$A18),2))</f>
        <v/>
      </c>
      <c r="BF18" t="str">
        <f t="shared" si="4"/>
        <v/>
      </c>
      <c r="BG18" t="str">
        <f>IF(OR($A18="",S18="",MEMORIA_RESULTADOS!$I$262=""),"",ROUND(S18*$C18*(MEMORIA_RESULTADOS!$I$262-1),2))</f>
        <v/>
      </c>
      <c r="BH18" t="str">
        <f>IF(OR($A18="",BF18="",MEMORIA_RESULTADOS!$I$262=""),"",ROUND(BF18*$C18*(parametros!$F$6-MEMORIA_RESULTADOS!$I$262),2))</f>
        <v/>
      </c>
      <c r="BI18" t="str">
        <f>IF($A18="","",IF(posicao_contratual!$AL18="","",posicao_contratual!$AL18))</f>
        <v/>
      </c>
    </row>
    <row r="19" spans="1:61" x14ac:dyDescent="0.35">
      <c r="A19" s="81"/>
      <c r="B19" s="82" t="str">
        <f t="shared" si="5"/>
        <v/>
      </c>
      <c r="C19" s="83"/>
      <c r="D19" s="79" t="str">
        <f>IF(AND(A19="",A18&lt;&gt;"",COUNTIF(A20:$A$200,"&lt;&gt;")=0),ROUND(SUMIF($A$2:A18,"&lt;&gt;",$D$2:D18),2),IF(OR(A19="",B19="",C19=""),"",ROUND(B19*C19,2)))</f>
        <v/>
      </c>
      <c r="E19" s="84"/>
      <c r="F19" s="79" t="str">
        <f>IF(AND(A19="",A18&lt;&gt;"",COUNTIF(A20:$A$200,"&lt;&gt;")=0),IF(COUNT(F$2:F18)=0,"",ROUND(SUMIF($A$2:A18,"&lt;&gt;",F$2:F18),2)),IF(OR(A19="",AND(ISNUMBER(posicao_contratual!$AL19),posicao_contratual!$AL19&gt;1),posicao_contratual!K19="",NOT(ISNUMBER(historico_VU!D19))),"",ROUND(posicao_contratual!K19*historico_VU!D19,2)))</f>
        <v/>
      </c>
      <c r="G19" s="84"/>
      <c r="H19" s="79" t="str">
        <f>IF(AND(A19="",A18&lt;&gt;"",COUNTIF(A20:$A$200,"&lt;&gt;")=0),IF(COUNT(H$2:H18)=0,"",ROUND(SUMIF($A$2:A18,"&lt;&gt;",H$2:H18),2)),IF(OR(A19="",AND(ISNUMBER(posicao_contratual!$AL19),posicao_contratual!$AL19&gt;2),posicao_contratual!O19="",NOT(ISNUMBER(historico_VU!E19))),"",ROUND(posicao_contratual!O19*historico_VU!E19,2)))</f>
        <v/>
      </c>
      <c r="I19" s="84"/>
      <c r="J19" s="79" t="str">
        <f>IF(AND(A19="",A18&lt;&gt;"",COUNTIF(A20:$A$200,"&lt;&gt;")=0),IF(COUNT(J$2:J18)=0,"",ROUND(SUMIF($A$2:A18,"&lt;&gt;",J$2:J18),2)),IF(OR(A19="",AND(ISNUMBER(posicao_contratual!$AL19),posicao_contratual!$AL19&gt;3),posicao_contratual!S19="",NOT(ISNUMBER(historico_VU!F19))),"",ROUND(posicao_contratual!S19*historico_VU!F19,2)))</f>
        <v/>
      </c>
      <c r="K19" s="84"/>
      <c r="L19" s="79" t="str">
        <f>IF(AND(A19="",A18&lt;&gt;"",COUNTIF(A20:$A$200,"&lt;&gt;")=0),IF(COUNT(L$2:L18)=0,"",ROUND(SUMIF($A$2:A18,"&lt;&gt;",L$2:L18),2)),IF(OR(A19="",AND(ISNUMBER(posicao_contratual!$AL19),posicao_contratual!$AL19&gt;4),posicao_contratual!W19="",NOT(ISNUMBER(historico_VU!G19))),"",ROUND(posicao_contratual!W19*historico_VU!G19,2)))</f>
        <v/>
      </c>
      <c r="M19" s="85" t="str">
        <f>IF(OR(posicao_contratual!J19="",posicao_contratual!N19=""),"",ROUND(MAX(posicao_contratual!J19+posicao_contratual!H19-posicao_contratual!N19,0),2))</f>
        <v/>
      </c>
      <c r="N19" s="79" t="str">
        <f>IF(AND(A19="",A18&lt;&gt;"",COUNTIF(A20:$A$200,"&lt;&gt;")=0),IF(COUNT(N$2:N18)=0,"",ROUND(SUMIF($A$2:A18,"&lt;&gt;",N$2:N18),2)),IF(OR(M19="",NOT(ISNUMBER(historico_VU!D19))),"",ROUND(M19*historico_VU!D19,2)))</f>
        <v/>
      </c>
      <c r="O19" s="85" t="str">
        <f>IF(OR(posicao_contratual!N19="",posicao_contratual!R19=""),"",ROUND(MAX(posicao_contratual!N19+posicao_contratual!L19-posicao_contratual!R19,0),2))</f>
        <v/>
      </c>
      <c r="P19" s="79" t="str">
        <f>IF(AND(A19="",A18&lt;&gt;"",COUNTIF(A20:$A$200,"&lt;&gt;")=0),IF(COUNT(P$2:P18)=0,"",ROUND(SUMIF($A$2:A18,"&lt;&gt;",P$2:P18),2)),IF(OR(O19="",NOT(ISNUMBER(historico_VU!E19))),"",ROUND(O19*historico_VU!E19,2)))</f>
        <v/>
      </c>
      <c r="Q19" s="85" t="str">
        <f>IF(OR(posicao_contratual!R19="",posicao_contratual!V19=""),"",ROUND(MAX(posicao_contratual!R19+posicao_contratual!P19-posicao_contratual!V19,0),2))</f>
        <v/>
      </c>
      <c r="R19" s="79" t="str">
        <f>IF(AND(A19="",A18&lt;&gt;"",COUNTIF(A20:$A$200,"&lt;&gt;")=0),IF(COUNT(R$2:R18)=0,"",ROUND(SUMIF($A$2:A18,"&lt;&gt;",R$2:R18),2)),IF(OR(Q19="",NOT(ISNUMBER(historico_VU!F19))),"",ROUND(Q19*historico_VU!F19,2)))</f>
        <v/>
      </c>
      <c r="S19" s="21"/>
      <c r="T19" s="22" t="str">
        <f>IF(AND(A19="",A18&lt;&gt;"",COUNTIF(A20:$A$200,"&lt;&gt;")=0),IF(COUNT(T$2:T18)=0,"",ROUND(SUMIF($A$2:A18,"&lt;&gt;",T$2:T18),2)),IF(OR(S19="",NOT(ISNUMBER(historico_VU!G19))),"",ROUND(S19*historico_VU!G19,2)))</f>
        <v/>
      </c>
      <c r="U19" s="86" t="str">
        <f>IF(AND(A19="",A18&lt;&gt;"",COUNTIF(A20:$A$200,"&lt;&gt;")=0),"TOTAL",IF(A19="","",posicao_contratual!X19))</f>
        <v/>
      </c>
      <c r="V19" s="86" t="str">
        <f>IF(A19="","",posicao_contratual!X19)</f>
        <v/>
      </c>
      <c r="W19" s="14"/>
      <c r="X19" s="14"/>
      <c r="Y19" s="14"/>
      <c r="Z19" s="13"/>
      <c r="AA19" s="13"/>
      <c r="AB19" s="85" t="str">
        <f>IF(OR(A19="",posicao_contratual!E19="",posicao_contratual!J19=""),"",ROUND(MAX(posicao_contratual!E19-posicao_contratual!J19,0),2))</f>
        <v/>
      </c>
      <c r="AC19" s="79" t="str">
        <f>IF(AND(A19="",A18&lt;&gt;"",COUNTIF(A20:$A$200,"&lt;&gt;")=0),IF(COUNT(AC$2:AC18)=0,"",ROUND(SUMIF($A$2:A18,"&lt;&gt;",AC$2:AC18),2)),IF(OR(AB19="",NOT(ISNUMBER(historico_VU!C19))),"",ROUND(AB19*historico_VU!C19,2)))</f>
        <v/>
      </c>
      <c r="AD19" s="145" t="str">
        <f>IF(A19="","",posicao_contratual!E19)</f>
        <v/>
      </c>
      <c r="AE19" s="145" t="str">
        <f>IF(A19="","",posicao_contratual!I19)</f>
        <v/>
      </c>
      <c r="AF19" s="145" t="str">
        <f>IF(A19="","",posicao_contratual!M19)</f>
        <v/>
      </c>
      <c r="AG19" s="145" t="str">
        <f>IF(A19="","",posicao_contratual!Q19)</f>
        <v/>
      </c>
      <c r="AH19" s="145" t="str">
        <f>IF(A19="","",posicao_contratual!U19)</f>
        <v/>
      </c>
      <c r="AI19" s="145" t="str">
        <f>IF(A19="","",posicao_contratual!G19)</f>
        <v/>
      </c>
      <c r="AJ19" s="145" t="str">
        <f>IF(A19="","",posicao_contratual!K19)</f>
        <v/>
      </c>
      <c r="AK19" s="145" t="str">
        <f>IF(A19="","",posicao_contratual!O19)</f>
        <v/>
      </c>
      <c r="AL19" s="145" t="str">
        <f>IF(A19="","",posicao_contratual!S19)</f>
        <v/>
      </c>
      <c r="AM19" s="145" t="str">
        <f>IF(A19="","",posicao_contratual!W19)</f>
        <v/>
      </c>
      <c r="AN19" s="146" t="str">
        <f>IF(A19="","",posicao_contratual!X19)</f>
        <v/>
      </c>
      <c r="AO19" t="str">
        <f>IF($A19="","",ROUND(SUMIFS(itens_Consumidos!$E$2:$E$200,itens_Consumidos!$A$2:$A$200,$A19),2))</f>
        <v/>
      </c>
      <c r="AP19" t="str">
        <f t="shared" si="0"/>
        <v/>
      </c>
      <c r="AQ19" t="str">
        <f>IF(OR($A19="",AB19="",MEMORIA_RESULTADOS!$I$258=""),"",ROUND(AB19*$C19*(MEMORIA_RESULTADOS!$I$258-1),2))</f>
        <v/>
      </c>
      <c r="AR19" t="str">
        <f>IF(OR($A19="",AP19="",MEMORIA_RESULTADOS!$I$258=""),"",ROUND(AP19*$C19*(parametros!$F$2-MEMORIA_RESULTADOS!$I$258),2))</f>
        <v/>
      </c>
      <c r="AS19" t="str">
        <f>IF($A19="","",ROUND(SUMIFS(itens_Consumidos!$G$2:$G$200,itens_Consumidos!$A$2:$A$200,$A19),2))</f>
        <v/>
      </c>
      <c r="AT19" t="str">
        <f t="shared" si="1"/>
        <v/>
      </c>
      <c r="AU19" t="str">
        <f>IF(OR($A19="",M19="",MEMORIA_RESULTADOS!$I$259=""),"",ROUND(M19*$C19*(MEMORIA_RESULTADOS!$I$259-1),2))</f>
        <v/>
      </c>
      <c r="AV19" t="str">
        <f>IF(OR($A19="",AT19="",MEMORIA_RESULTADOS!$I$259=""),"",ROUND(AT19*$C19*(parametros!$F$3-MEMORIA_RESULTADOS!$I$259),2))</f>
        <v/>
      </c>
      <c r="AW19" t="str">
        <f>IF($A19="","",ROUND(SUMIFS(itens_Consumidos!$I$2:$I$200,itens_Consumidos!$A$2:$A$200,$A19),2))</f>
        <v/>
      </c>
      <c r="AX19" t="str">
        <f t="shared" si="2"/>
        <v/>
      </c>
      <c r="AY19" t="str">
        <f>IF(OR($A19="",O19="",MEMORIA_RESULTADOS!$I$260=""),"",ROUND(O19*$C19*(MEMORIA_RESULTADOS!$I$260-1),2))</f>
        <v/>
      </c>
      <c r="AZ19" t="str">
        <f>IF(OR($A19="",AX19="",MEMORIA_RESULTADOS!$I$260=""),"",ROUND(AX19*$C19*(parametros!$F$4-MEMORIA_RESULTADOS!$I$260),2))</f>
        <v/>
      </c>
      <c r="BA19" t="str">
        <f>IF($A19="","",ROUND(SUMIFS(itens_Consumidos!$K$2:$K$200,itens_Consumidos!$A$2:$A$200,$A19),2))</f>
        <v/>
      </c>
      <c r="BB19" t="str">
        <f t="shared" si="3"/>
        <v/>
      </c>
      <c r="BC19" t="str">
        <f>IF(OR($A19="",Q19="",MEMORIA_RESULTADOS!$I$261=""),"",ROUND(Q19*$C19*(MEMORIA_RESULTADOS!$I$261-1),2))</f>
        <v/>
      </c>
      <c r="BD19" t="str">
        <f>IF(OR($A19="",BB19="",MEMORIA_RESULTADOS!$I$261=""),"",ROUND(BB19*$C19*(parametros!$F$5-MEMORIA_RESULTADOS!$I$261),2))</f>
        <v/>
      </c>
      <c r="BE19" t="str">
        <f>IF($A19="","",ROUND(SUMIFS(itens_Consumidos!$M$2:$M$200,itens_Consumidos!$A$2:$A$200,$A19),2))</f>
        <v/>
      </c>
      <c r="BF19" t="str">
        <f t="shared" si="4"/>
        <v/>
      </c>
      <c r="BG19" t="str">
        <f>IF(OR($A19="",S19="",MEMORIA_RESULTADOS!$I$262=""),"",ROUND(S19*$C19*(MEMORIA_RESULTADOS!$I$262-1),2))</f>
        <v/>
      </c>
      <c r="BH19" t="str">
        <f>IF(OR($A19="",BF19="",MEMORIA_RESULTADOS!$I$262=""),"",ROUND(BF19*$C19*(parametros!$F$6-MEMORIA_RESULTADOS!$I$262),2))</f>
        <v/>
      </c>
      <c r="BI19" t="str">
        <f>IF($A19="","",IF(posicao_contratual!$AL19="","",posicao_contratual!$AL19))</f>
        <v/>
      </c>
    </row>
    <row r="20" spans="1:61" x14ac:dyDescent="0.35">
      <c r="A20" s="81"/>
      <c r="B20" s="82" t="str">
        <f t="shared" si="5"/>
        <v/>
      </c>
      <c r="C20" s="83"/>
      <c r="D20" s="79" t="str">
        <f>IF(AND(A20="",A19&lt;&gt;"",COUNTIF(A21:$A$200,"&lt;&gt;")=0),ROUND(SUMIF($A$2:A19,"&lt;&gt;",$D$2:D19),2),IF(OR(A20="",B20="",C20=""),"",ROUND(B20*C20,2)))</f>
        <v/>
      </c>
      <c r="E20" s="84"/>
      <c r="F20" s="79" t="str">
        <f>IF(AND(A20="",A19&lt;&gt;"",COUNTIF(A21:$A$200,"&lt;&gt;")=0),IF(COUNT(F$2:F19)=0,"",ROUND(SUMIF($A$2:A19,"&lt;&gt;",F$2:F19),2)),IF(OR(A20="",AND(ISNUMBER(posicao_contratual!$AL20),posicao_contratual!$AL20&gt;1),posicao_contratual!K20="",NOT(ISNUMBER(historico_VU!D20))),"",ROUND(posicao_contratual!K20*historico_VU!D20,2)))</f>
        <v/>
      </c>
      <c r="G20" s="84"/>
      <c r="H20" s="79" t="str">
        <f>IF(AND(A20="",A19&lt;&gt;"",COUNTIF(A21:$A$200,"&lt;&gt;")=0),IF(COUNT(H$2:H19)=0,"",ROUND(SUMIF($A$2:A19,"&lt;&gt;",H$2:H19),2)),IF(OR(A20="",AND(ISNUMBER(posicao_contratual!$AL20),posicao_contratual!$AL20&gt;2),posicao_contratual!O20="",NOT(ISNUMBER(historico_VU!E20))),"",ROUND(posicao_contratual!O20*historico_VU!E20,2)))</f>
        <v/>
      </c>
      <c r="I20" s="84"/>
      <c r="J20" s="79" t="str">
        <f>IF(AND(A20="",A19&lt;&gt;"",COUNTIF(A21:$A$200,"&lt;&gt;")=0),IF(COUNT(J$2:J19)=0,"",ROUND(SUMIF($A$2:A19,"&lt;&gt;",J$2:J19),2)),IF(OR(A20="",AND(ISNUMBER(posicao_contratual!$AL20),posicao_contratual!$AL20&gt;3),posicao_contratual!S20="",NOT(ISNUMBER(historico_VU!F20))),"",ROUND(posicao_contratual!S20*historico_VU!F20,2)))</f>
        <v/>
      </c>
      <c r="K20" s="84"/>
      <c r="L20" s="79" t="str">
        <f>IF(AND(A20="",A19&lt;&gt;"",COUNTIF(A21:$A$200,"&lt;&gt;")=0),IF(COUNT(L$2:L19)=0,"",ROUND(SUMIF($A$2:A19,"&lt;&gt;",L$2:L19),2)),IF(OR(A20="",AND(ISNUMBER(posicao_contratual!$AL20),posicao_contratual!$AL20&gt;4),posicao_contratual!W20="",NOT(ISNUMBER(historico_VU!G20))),"",ROUND(posicao_contratual!W20*historico_VU!G20,2)))</f>
        <v/>
      </c>
      <c r="M20" s="85" t="str">
        <f>IF(OR(posicao_contratual!J20="",posicao_contratual!N20=""),"",ROUND(MAX(posicao_contratual!J20+posicao_contratual!H20-posicao_contratual!N20,0),2))</f>
        <v/>
      </c>
      <c r="N20" s="79" t="str">
        <f>IF(AND(A20="",A19&lt;&gt;"",COUNTIF(A21:$A$200,"&lt;&gt;")=0),IF(COUNT(N$2:N19)=0,"",ROUND(SUMIF($A$2:A19,"&lt;&gt;",N$2:N19),2)),IF(OR(M20="",NOT(ISNUMBER(historico_VU!D20))),"",ROUND(M20*historico_VU!D20,2)))</f>
        <v/>
      </c>
      <c r="O20" s="85" t="str">
        <f>IF(OR(posicao_contratual!N20="",posicao_contratual!R20=""),"",ROUND(MAX(posicao_contratual!N20+posicao_contratual!L20-posicao_contratual!R20,0),2))</f>
        <v/>
      </c>
      <c r="P20" s="79" t="str">
        <f>IF(AND(A20="",A19&lt;&gt;"",COUNTIF(A21:$A$200,"&lt;&gt;")=0),IF(COUNT(P$2:P19)=0,"",ROUND(SUMIF($A$2:A19,"&lt;&gt;",P$2:P19),2)),IF(OR(O20="",NOT(ISNUMBER(historico_VU!E20))),"",ROUND(O20*historico_VU!E20,2)))</f>
        <v/>
      </c>
      <c r="Q20" s="85" t="str">
        <f>IF(OR(posicao_contratual!R20="",posicao_contratual!V20=""),"",ROUND(MAX(posicao_contratual!R20+posicao_contratual!P20-posicao_contratual!V20,0),2))</f>
        <v/>
      </c>
      <c r="R20" s="79" t="str">
        <f>IF(AND(A20="",A19&lt;&gt;"",COUNTIF(A21:$A$200,"&lt;&gt;")=0),IF(COUNT(R$2:R19)=0,"",ROUND(SUMIF($A$2:A19,"&lt;&gt;",R$2:R19),2)),IF(OR(Q20="",NOT(ISNUMBER(historico_VU!F20))),"",ROUND(Q20*historico_VU!F20,2)))</f>
        <v/>
      </c>
      <c r="S20" s="21"/>
      <c r="T20" s="22" t="str">
        <f>IF(AND(A20="",A19&lt;&gt;"",COUNTIF(A21:$A$200,"&lt;&gt;")=0),IF(COUNT(T$2:T19)=0,"",ROUND(SUMIF($A$2:A19,"&lt;&gt;",T$2:T19),2)),IF(OR(S20="",NOT(ISNUMBER(historico_VU!G20))),"",ROUND(S20*historico_VU!G20,2)))</f>
        <v/>
      </c>
      <c r="U20" s="86" t="str">
        <f>IF(AND(A20="",A19&lt;&gt;"",COUNTIF(A21:$A$200,"&lt;&gt;")=0),"TOTAL",IF(A20="","",posicao_contratual!X20))</f>
        <v/>
      </c>
      <c r="V20" s="86" t="str">
        <f>IF(A20="","",posicao_contratual!X20)</f>
        <v/>
      </c>
      <c r="W20" s="14"/>
      <c r="X20" s="14"/>
      <c r="Y20" s="14"/>
      <c r="Z20" s="13"/>
      <c r="AA20" s="13"/>
      <c r="AB20" s="85" t="str">
        <f>IF(OR(A20="",posicao_contratual!E20="",posicao_contratual!J20=""),"",ROUND(MAX(posicao_contratual!E20-posicao_contratual!J20,0),2))</f>
        <v/>
      </c>
      <c r="AC20" s="79" t="str">
        <f>IF(AND(A20="",A19&lt;&gt;"",COUNTIF(A21:$A$200,"&lt;&gt;")=0),IF(COUNT(AC$2:AC19)=0,"",ROUND(SUMIF($A$2:A19,"&lt;&gt;",AC$2:AC19),2)),IF(OR(AB20="",NOT(ISNUMBER(historico_VU!C20))),"",ROUND(AB20*historico_VU!C20,2)))</f>
        <v/>
      </c>
      <c r="AD20" s="145" t="str">
        <f>IF(A20="","",posicao_contratual!E20)</f>
        <v/>
      </c>
      <c r="AE20" s="145" t="str">
        <f>IF(A20="","",posicao_contratual!I20)</f>
        <v/>
      </c>
      <c r="AF20" s="145" t="str">
        <f>IF(A20="","",posicao_contratual!M20)</f>
        <v/>
      </c>
      <c r="AG20" s="145" t="str">
        <f>IF(A20="","",posicao_contratual!Q20)</f>
        <v/>
      </c>
      <c r="AH20" s="145" t="str">
        <f>IF(A20="","",posicao_contratual!U20)</f>
        <v/>
      </c>
      <c r="AI20" s="145" t="str">
        <f>IF(A20="","",posicao_contratual!G20)</f>
        <v/>
      </c>
      <c r="AJ20" s="145" t="str">
        <f>IF(A20="","",posicao_contratual!K20)</f>
        <v/>
      </c>
      <c r="AK20" s="145" t="str">
        <f>IF(A20="","",posicao_contratual!O20)</f>
        <v/>
      </c>
      <c r="AL20" s="145" t="str">
        <f>IF(A20="","",posicao_contratual!S20)</f>
        <v/>
      </c>
      <c r="AM20" s="145" t="str">
        <f>IF(A20="","",posicao_contratual!W20)</f>
        <v/>
      </c>
      <c r="AN20" s="146" t="str">
        <f>IF(A20="","",posicao_contratual!X20)</f>
        <v/>
      </c>
      <c r="AO20" t="str">
        <f>IF($A20="","",ROUND(SUMIFS(itens_Consumidos!$E$2:$E$200,itens_Consumidos!$A$2:$A$200,$A20),2))</f>
        <v/>
      </c>
      <c r="AP20" t="str">
        <f t="shared" si="0"/>
        <v/>
      </c>
      <c r="AQ20" t="str">
        <f>IF(OR($A20="",AB20="",MEMORIA_RESULTADOS!$I$258=""),"",ROUND(AB20*$C20*(MEMORIA_RESULTADOS!$I$258-1),2))</f>
        <v/>
      </c>
      <c r="AR20" t="str">
        <f>IF(OR($A20="",AP20="",MEMORIA_RESULTADOS!$I$258=""),"",ROUND(AP20*$C20*(parametros!$F$2-MEMORIA_RESULTADOS!$I$258),2))</f>
        <v/>
      </c>
      <c r="AS20" t="str">
        <f>IF($A20="","",ROUND(SUMIFS(itens_Consumidos!$G$2:$G$200,itens_Consumidos!$A$2:$A$200,$A20),2))</f>
        <v/>
      </c>
      <c r="AT20" t="str">
        <f t="shared" si="1"/>
        <v/>
      </c>
      <c r="AU20" t="str">
        <f>IF(OR($A20="",M20="",MEMORIA_RESULTADOS!$I$259=""),"",ROUND(M20*$C20*(MEMORIA_RESULTADOS!$I$259-1),2))</f>
        <v/>
      </c>
      <c r="AV20" t="str">
        <f>IF(OR($A20="",AT20="",MEMORIA_RESULTADOS!$I$259=""),"",ROUND(AT20*$C20*(parametros!$F$3-MEMORIA_RESULTADOS!$I$259),2))</f>
        <v/>
      </c>
      <c r="AW20" t="str">
        <f>IF($A20="","",ROUND(SUMIFS(itens_Consumidos!$I$2:$I$200,itens_Consumidos!$A$2:$A$200,$A20),2))</f>
        <v/>
      </c>
      <c r="AX20" t="str">
        <f t="shared" si="2"/>
        <v/>
      </c>
      <c r="AY20" t="str">
        <f>IF(OR($A20="",O20="",MEMORIA_RESULTADOS!$I$260=""),"",ROUND(O20*$C20*(MEMORIA_RESULTADOS!$I$260-1),2))</f>
        <v/>
      </c>
      <c r="AZ20" t="str">
        <f>IF(OR($A20="",AX20="",MEMORIA_RESULTADOS!$I$260=""),"",ROUND(AX20*$C20*(parametros!$F$4-MEMORIA_RESULTADOS!$I$260),2))</f>
        <v/>
      </c>
      <c r="BA20" t="str">
        <f>IF($A20="","",ROUND(SUMIFS(itens_Consumidos!$K$2:$K$200,itens_Consumidos!$A$2:$A$200,$A20),2))</f>
        <v/>
      </c>
      <c r="BB20" t="str">
        <f t="shared" si="3"/>
        <v/>
      </c>
      <c r="BC20" t="str">
        <f>IF(OR($A20="",Q20="",MEMORIA_RESULTADOS!$I$261=""),"",ROUND(Q20*$C20*(MEMORIA_RESULTADOS!$I$261-1),2))</f>
        <v/>
      </c>
      <c r="BD20" t="str">
        <f>IF(OR($A20="",BB20="",MEMORIA_RESULTADOS!$I$261=""),"",ROUND(BB20*$C20*(parametros!$F$5-MEMORIA_RESULTADOS!$I$261),2))</f>
        <v/>
      </c>
      <c r="BE20" t="str">
        <f>IF($A20="","",ROUND(SUMIFS(itens_Consumidos!$M$2:$M$200,itens_Consumidos!$A$2:$A$200,$A20),2))</f>
        <v/>
      </c>
      <c r="BF20" t="str">
        <f t="shared" si="4"/>
        <v/>
      </c>
      <c r="BG20" t="str">
        <f>IF(OR($A20="",S20="",MEMORIA_RESULTADOS!$I$262=""),"",ROUND(S20*$C20*(MEMORIA_RESULTADOS!$I$262-1),2))</f>
        <v/>
      </c>
      <c r="BH20" t="str">
        <f>IF(OR($A20="",BF20="",MEMORIA_RESULTADOS!$I$262=""),"",ROUND(BF20*$C20*(parametros!$F$6-MEMORIA_RESULTADOS!$I$262),2))</f>
        <v/>
      </c>
      <c r="BI20" t="str">
        <f>IF($A20="","",IF(posicao_contratual!$AL20="","",posicao_contratual!$AL20))</f>
        <v/>
      </c>
    </row>
    <row r="21" spans="1:61" x14ac:dyDescent="0.35">
      <c r="A21" s="81"/>
      <c r="B21" s="82" t="str">
        <f t="shared" si="5"/>
        <v/>
      </c>
      <c r="C21" s="83"/>
      <c r="D21" s="79" t="str">
        <f>IF(AND(A21="",A20&lt;&gt;"",COUNTIF(A22:$A$200,"&lt;&gt;")=0),ROUND(SUMIF($A$2:A20,"&lt;&gt;",$D$2:D20),2),IF(OR(A21="",B21="",C21=""),"",ROUND(B21*C21,2)))</f>
        <v/>
      </c>
      <c r="E21" s="84"/>
      <c r="F21" s="79" t="str">
        <f>IF(AND(A21="",A20&lt;&gt;"",COUNTIF(A22:$A$200,"&lt;&gt;")=0),IF(COUNT(F$2:F20)=0,"",ROUND(SUMIF($A$2:A20,"&lt;&gt;",F$2:F20),2)),IF(OR(A21="",AND(ISNUMBER(posicao_contratual!$AL21),posicao_contratual!$AL21&gt;1),posicao_contratual!K21="",NOT(ISNUMBER(historico_VU!D21))),"",ROUND(posicao_contratual!K21*historico_VU!D21,2)))</f>
        <v/>
      </c>
      <c r="G21" s="84"/>
      <c r="H21" s="79" t="str">
        <f>IF(AND(A21="",A20&lt;&gt;"",COUNTIF(A22:$A$200,"&lt;&gt;")=0),IF(COUNT(H$2:H20)=0,"",ROUND(SUMIF($A$2:A20,"&lt;&gt;",H$2:H20),2)),IF(OR(A21="",AND(ISNUMBER(posicao_contratual!$AL21),posicao_contratual!$AL21&gt;2),posicao_contratual!O21="",NOT(ISNUMBER(historico_VU!E21))),"",ROUND(posicao_contratual!O21*historico_VU!E21,2)))</f>
        <v/>
      </c>
      <c r="I21" s="84"/>
      <c r="J21" s="79" t="str">
        <f>IF(AND(A21="",A20&lt;&gt;"",COUNTIF(A22:$A$200,"&lt;&gt;")=0),IF(COUNT(J$2:J20)=0,"",ROUND(SUMIF($A$2:A20,"&lt;&gt;",J$2:J20),2)),IF(OR(A21="",AND(ISNUMBER(posicao_contratual!$AL21),posicao_contratual!$AL21&gt;3),posicao_contratual!S21="",NOT(ISNUMBER(historico_VU!F21))),"",ROUND(posicao_contratual!S21*historico_VU!F21,2)))</f>
        <v/>
      </c>
      <c r="K21" s="84"/>
      <c r="L21" s="79" t="str">
        <f>IF(AND(A21="",A20&lt;&gt;"",COUNTIF(A22:$A$200,"&lt;&gt;")=0),IF(COUNT(L$2:L20)=0,"",ROUND(SUMIF($A$2:A20,"&lt;&gt;",L$2:L20),2)),IF(OR(A21="",AND(ISNUMBER(posicao_contratual!$AL21),posicao_contratual!$AL21&gt;4),posicao_contratual!W21="",NOT(ISNUMBER(historico_VU!G21))),"",ROUND(posicao_contratual!W21*historico_VU!G21,2)))</f>
        <v/>
      </c>
      <c r="M21" s="85" t="str">
        <f>IF(OR(posicao_contratual!J21="",posicao_contratual!N21=""),"",ROUND(MAX(posicao_contratual!J21+posicao_contratual!H21-posicao_contratual!N21,0),2))</f>
        <v/>
      </c>
      <c r="N21" s="79" t="str">
        <f>IF(AND(A21="",A20&lt;&gt;"",COUNTIF(A22:$A$200,"&lt;&gt;")=0),IF(COUNT(N$2:N20)=0,"",ROUND(SUMIF($A$2:A20,"&lt;&gt;",N$2:N20),2)),IF(OR(M21="",NOT(ISNUMBER(historico_VU!D21))),"",ROUND(M21*historico_VU!D21,2)))</f>
        <v/>
      </c>
      <c r="O21" s="85" t="str">
        <f>IF(OR(posicao_contratual!N21="",posicao_contratual!R21=""),"",ROUND(MAX(posicao_contratual!N21+posicao_contratual!L21-posicao_contratual!R21,0),2))</f>
        <v/>
      </c>
      <c r="P21" s="79" t="str">
        <f>IF(AND(A21="",A20&lt;&gt;"",COUNTIF(A22:$A$200,"&lt;&gt;")=0),IF(COUNT(P$2:P20)=0,"",ROUND(SUMIF($A$2:A20,"&lt;&gt;",P$2:P20),2)),IF(OR(O21="",NOT(ISNUMBER(historico_VU!E21))),"",ROUND(O21*historico_VU!E21,2)))</f>
        <v/>
      </c>
      <c r="Q21" s="85" t="str">
        <f>IF(OR(posicao_contratual!R21="",posicao_contratual!V21=""),"",ROUND(MAX(posicao_contratual!R21+posicao_contratual!P21-posicao_contratual!V21,0),2))</f>
        <v/>
      </c>
      <c r="R21" s="79" t="str">
        <f>IF(AND(A21="",A20&lt;&gt;"",COUNTIF(A22:$A$200,"&lt;&gt;")=0),IF(COUNT(R$2:R20)=0,"",ROUND(SUMIF($A$2:A20,"&lt;&gt;",R$2:R20),2)),IF(OR(Q21="",NOT(ISNUMBER(historico_VU!F21))),"",ROUND(Q21*historico_VU!F21,2)))</f>
        <v/>
      </c>
      <c r="S21" s="21"/>
      <c r="T21" s="22" t="str">
        <f>IF(AND(A21="",A20&lt;&gt;"",COUNTIF(A22:$A$200,"&lt;&gt;")=0),IF(COUNT(T$2:T20)=0,"",ROUND(SUMIF($A$2:A20,"&lt;&gt;",T$2:T20),2)),IF(OR(S21="",NOT(ISNUMBER(historico_VU!G21))),"",ROUND(S21*historico_VU!G21,2)))</f>
        <v/>
      </c>
      <c r="U21" s="86" t="str">
        <f>IF(AND(A21="",A20&lt;&gt;"",COUNTIF(A22:$A$200,"&lt;&gt;")=0),"TOTAL",IF(A21="","",posicao_contratual!X21))</f>
        <v/>
      </c>
      <c r="V21" s="86" t="str">
        <f>IF(A21="","",posicao_contratual!X21)</f>
        <v/>
      </c>
      <c r="W21" s="14"/>
      <c r="X21" s="14"/>
      <c r="Y21" s="14"/>
      <c r="Z21" s="13"/>
      <c r="AA21" s="13"/>
      <c r="AB21" s="85" t="str">
        <f>IF(OR(A21="",posicao_contratual!E21="",posicao_contratual!J21=""),"",ROUND(MAX(posicao_contratual!E21-posicao_contratual!J21,0),2))</f>
        <v/>
      </c>
      <c r="AC21" s="79" t="str">
        <f>IF(AND(A21="",A20&lt;&gt;"",COUNTIF(A22:$A$200,"&lt;&gt;")=0),IF(COUNT(AC$2:AC20)=0,"",ROUND(SUMIF($A$2:A20,"&lt;&gt;",AC$2:AC20),2)),IF(OR(AB21="",NOT(ISNUMBER(historico_VU!C21))),"",ROUND(AB21*historico_VU!C21,2)))</f>
        <v/>
      </c>
      <c r="AD21" s="145" t="str">
        <f>IF(A21="","",posicao_contratual!E21)</f>
        <v/>
      </c>
      <c r="AE21" s="145" t="str">
        <f>IF(A21="","",posicao_contratual!I21)</f>
        <v/>
      </c>
      <c r="AF21" s="145" t="str">
        <f>IF(A21="","",posicao_contratual!M21)</f>
        <v/>
      </c>
      <c r="AG21" s="145" t="str">
        <f>IF(A21="","",posicao_contratual!Q21)</f>
        <v/>
      </c>
      <c r="AH21" s="145" t="str">
        <f>IF(A21="","",posicao_contratual!U21)</f>
        <v/>
      </c>
      <c r="AI21" s="145" t="str">
        <f>IF(A21="","",posicao_contratual!G21)</f>
        <v/>
      </c>
      <c r="AJ21" s="145" t="str">
        <f>IF(A21="","",posicao_contratual!K21)</f>
        <v/>
      </c>
      <c r="AK21" s="145" t="str">
        <f>IF(A21="","",posicao_contratual!O21)</f>
        <v/>
      </c>
      <c r="AL21" s="145" t="str">
        <f>IF(A21="","",posicao_contratual!S21)</f>
        <v/>
      </c>
      <c r="AM21" s="145" t="str">
        <f>IF(A21="","",posicao_contratual!W21)</f>
        <v/>
      </c>
      <c r="AN21" s="146" t="str">
        <f>IF(A21="","",posicao_contratual!X21)</f>
        <v/>
      </c>
      <c r="AO21" t="str">
        <f>IF($A21="","",ROUND(SUMIFS(itens_Consumidos!$E$2:$E$200,itens_Consumidos!$A$2:$A$200,$A21),2))</f>
        <v/>
      </c>
      <c r="AP21" t="str">
        <f t="shared" si="0"/>
        <v/>
      </c>
      <c r="AQ21" t="str">
        <f>IF(OR($A21="",AB21="",MEMORIA_RESULTADOS!$I$258=""),"",ROUND(AB21*$C21*(MEMORIA_RESULTADOS!$I$258-1),2))</f>
        <v/>
      </c>
      <c r="AR21" t="str">
        <f>IF(OR($A21="",AP21="",MEMORIA_RESULTADOS!$I$258=""),"",ROUND(AP21*$C21*(parametros!$F$2-MEMORIA_RESULTADOS!$I$258),2))</f>
        <v/>
      </c>
      <c r="AS21" t="str">
        <f>IF($A21="","",ROUND(SUMIFS(itens_Consumidos!$G$2:$G$200,itens_Consumidos!$A$2:$A$200,$A21),2))</f>
        <v/>
      </c>
      <c r="AT21" t="str">
        <f t="shared" si="1"/>
        <v/>
      </c>
      <c r="AU21" t="str">
        <f>IF(OR($A21="",M21="",MEMORIA_RESULTADOS!$I$259=""),"",ROUND(M21*$C21*(MEMORIA_RESULTADOS!$I$259-1),2))</f>
        <v/>
      </c>
      <c r="AV21" t="str">
        <f>IF(OR($A21="",AT21="",MEMORIA_RESULTADOS!$I$259=""),"",ROUND(AT21*$C21*(parametros!$F$3-MEMORIA_RESULTADOS!$I$259),2))</f>
        <v/>
      </c>
      <c r="AW21" t="str">
        <f>IF($A21="","",ROUND(SUMIFS(itens_Consumidos!$I$2:$I$200,itens_Consumidos!$A$2:$A$200,$A21),2))</f>
        <v/>
      </c>
      <c r="AX21" t="str">
        <f t="shared" si="2"/>
        <v/>
      </c>
      <c r="AY21" t="str">
        <f>IF(OR($A21="",O21="",MEMORIA_RESULTADOS!$I$260=""),"",ROUND(O21*$C21*(MEMORIA_RESULTADOS!$I$260-1),2))</f>
        <v/>
      </c>
      <c r="AZ21" t="str">
        <f>IF(OR($A21="",AX21="",MEMORIA_RESULTADOS!$I$260=""),"",ROUND(AX21*$C21*(parametros!$F$4-MEMORIA_RESULTADOS!$I$260),2))</f>
        <v/>
      </c>
      <c r="BA21" t="str">
        <f>IF($A21="","",ROUND(SUMIFS(itens_Consumidos!$K$2:$K$200,itens_Consumidos!$A$2:$A$200,$A21),2))</f>
        <v/>
      </c>
      <c r="BB21" t="str">
        <f t="shared" si="3"/>
        <v/>
      </c>
      <c r="BC21" t="str">
        <f>IF(OR($A21="",Q21="",MEMORIA_RESULTADOS!$I$261=""),"",ROUND(Q21*$C21*(MEMORIA_RESULTADOS!$I$261-1),2))</f>
        <v/>
      </c>
      <c r="BD21" t="str">
        <f>IF(OR($A21="",BB21="",MEMORIA_RESULTADOS!$I$261=""),"",ROUND(BB21*$C21*(parametros!$F$5-MEMORIA_RESULTADOS!$I$261),2))</f>
        <v/>
      </c>
      <c r="BE21" t="str">
        <f>IF($A21="","",ROUND(SUMIFS(itens_Consumidos!$M$2:$M$200,itens_Consumidos!$A$2:$A$200,$A21),2))</f>
        <v/>
      </c>
      <c r="BF21" t="str">
        <f t="shared" si="4"/>
        <v/>
      </c>
      <c r="BG21" t="str">
        <f>IF(OR($A21="",S21="",MEMORIA_RESULTADOS!$I$262=""),"",ROUND(S21*$C21*(MEMORIA_RESULTADOS!$I$262-1),2))</f>
        <v/>
      </c>
      <c r="BH21" t="str">
        <f>IF(OR($A21="",BF21="",MEMORIA_RESULTADOS!$I$262=""),"",ROUND(BF21*$C21*(parametros!$F$6-MEMORIA_RESULTADOS!$I$262),2))</f>
        <v/>
      </c>
      <c r="BI21" t="str">
        <f>IF($A21="","",IF(posicao_contratual!$AL21="","",posicao_contratual!$AL21))</f>
        <v/>
      </c>
    </row>
    <row r="22" spans="1:61" x14ac:dyDescent="0.35">
      <c r="A22" s="81"/>
      <c r="B22" s="82" t="str">
        <f t="shared" si="5"/>
        <v/>
      </c>
      <c r="C22" s="83"/>
      <c r="D22" s="79" t="str">
        <f>IF(AND(A22="",A21&lt;&gt;"",COUNTIF(A23:$A$200,"&lt;&gt;")=0),ROUND(SUMIF($A$2:A21,"&lt;&gt;",$D$2:D21),2),IF(OR(A22="",B22="",C22=""),"",ROUND(B22*C22,2)))</f>
        <v/>
      </c>
      <c r="E22" s="84"/>
      <c r="F22" s="79" t="str">
        <f>IF(AND(A22="",A21&lt;&gt;"",COUNTIF(A23:$A$200,"&lt;&gt;")=0),IF(COUNT(F$2:F21)=0,"",ROUND(SUMIF($A$2:A21,"&lt;&gt;",F$2:F21),2)),IF(OR(A22="",AND(ISNUMBER(posicao_contratual!$AL22),posicao_contratual!$AL22&gt;1),posicao_contratual!K22="",NOT(ISNUMBER(historico_VU!D22))),"",ROUND(posicao_contratual!K22*historico_VU!D22,2)))</f>
        <v/>
      </c>
      <c r="G22" s="84"/>
      <c r="H22" s="79" t="str">
        <f>IF(AND(A22="",A21&lt;&gt;"",COUNTIF(A23:$A$200,"&lt;&gt;")=0),IF(COUNT(H$2:H21)=0,"",ROUND(SUMIF($A$2:A21,"&lt;&gt;",H$2:H21),2)),IF(OR(A22="",AND(ISNUMBER(posicao_contratual!$AL22),posicao_contratual!$AL22&gt;2),posicao_contratual!O22="",NOT(ISNUMBER(historico_VU!E22))),"",ROUND(posicao_contratual!O22*historico_VU!E22,2)))</f>
        <v/>
      </c>
      <c r="I22" s="84"/>
      <c r="J22" s="79" t="str">
        <f>IF(AND(A22="",A21&lt;&gt;"",COUNTIF(A23:$A$200,"&lt;&gt;")=0),IF(COUNT(J$2:J21)=0,"",ROUND(SUMIF($A$2:A21,"&lt;&gt;",J$2:J21),2)),IF(OR(A22="",AND(ISNUMBER(posicao_contratual!$AL22),posicao_contratual!$AL22&gt;3),posicao_contratual!S22="",NOT(ISNUMBER(historico_VU!F22))),"",ROUND(posicao_contratual!S22*historico_VU!F22,2)))</f>
        <v/>
      </c>
      <c r="K22" s="84"/>
      <c r="L22" s="79" t="str">
        <f>IF(AND(A22="",A21&lt;&gt;"",COUNTIF(A23:$A$200,"&lt;&gt;")=0),IF(COUNT(L$2:L21)=0,"",ROUND(SUMIF($A$2:A21,"&lt;&gt;",L$2:L21),2)),IF(OR(A22="",AND(ISNUMBER(posicao_contratual!$AL22),posicao_contratual!$AL22&gt;4),posicao_contratual!W22="",NOT(ISNUMBER(historico_VU!G22))),"",ROUND(posicao_contratual!W22*historico_VU!G22,2)))</f>
        <v/>
      </c>
      <c r="M22" s="85" t="str">
        <f>IF(OR(posicao_contratual!J22="",posicao_contratual!N22=""),"",ROUND(MAX(posicao_contratual!J22+posicao_contratual!H22-posicao_contratual!N22,0),2))</f>
        <v/>
      </c>
      <c r="N22" s="79" t="str">
        <f>IF(AND(A22="",A21&lt;&gt;"",COUNTIF(A23:$A$200,"&lt;&gt;")=0),IF(COUNT(N$2:N21)=0,"",ROUND(SUMIF($A$2:A21,"&lt;&gt;",N$2:N21),2)),IF(OR(M22="",NOT(ISNUMBER(historico_VU!D22))),"",ROUND(M22*historico_VU!D22,2)))</f>
        <v/>
      </c>
      <c r="O22" s="85" t="str">
        <f>IF(OR(posicao_contratual!N22="",posicao_contratual!R22=""),"",ROUND(MAX(posicao_contratual!N22+posicao_contratual!L22-posicao_contratual!R22,0),2))</f>
        <v/>
      </c>
      <c r="P22" s="79" t="str">
        <f>IF(AND(A22="",A21&lt;&gt;"",COUNTIF(A23:$A$200,"&lt;&gt;")=0),IF(COUNT(P$2:P21)=0,"",ROUND(SUMIF($A$2:A21,"&lt;&gt;",P$2:P21),2)),IF(OR(O22="",NOT(ISNUMBER(historico_VU!E22))),"",ROUND(O22*historico_VU!E22,2)))</f>
        <v/>
      </c>
      <c r="Q22" s="85" t="str">
        <f>IF(OR(posicao_contratual!R22="",posicao_contratual!V22=""),"",ROUND(MAX(posicao_contratual!R22+posicao_contratual!P22-posicao_contratual!V22,0),2))</f>
        <v/>
      </c>
      <c r="R22" s="79" t="str">
        <f>IF(AND(A22="",A21&lt;&gt;"",COUNTIF(A23:$A$200,"&lt;&gt;")=0),IF(COUNT(R$2:R21)=0,"",ROUND(SUMIF($A$2:A21,"&lt;&gt;",R$2:R21),2)),IF(OR(Q22="",NOT(ISNUMBER(historico_VU!F22))),"",ROUND(Q22*historico_VU!F22,2)))</f>
        <v/>
      </c>
      <c r="S22" s="21"/>
      <c r="T22" s="22" t="str">
        <f>IF(AND(A22="",A21&lt;&gt;"",COUNTIF(A23:$A$200,"&lt;&gt;")=0),IF(COUNT(T$2:T21)=0,"",ROUND(SUMIF($A$2:A21,"&lt;&gt;",T$2:T21),2)),IF(OR(S22="",NOT(ISNUMBER(historico_VU!G22))),"",ROUND(S22*historico_VU!G22,2)))</f>
        <v/>
      </c>
      <c r="U22" s="86" t="str">
        <f>IF(AND(A22="",A21&lt;&gt;"",COUNTIF(A23:$A$200,"&lt;&gt;")=0),"TOTAL",IF(A22="","",posicao_contratual!X22))</f>
        <v/>
      </c>
      <c r="V22" s="86" t="str">
        <f>IF(A22="","",posicao_contratual!X22)</f>
        <v/>
      </c>
      <c r="W22" s="14"/>
      <c r="X22" s="14"/>
      <c r="Y22" s="14"/>
      <c r="Z22" s="13"/>
      <c r="AA22" s="13"/>
      <c r="AB22" s="85" t="str">
        <f>IF(OR(A22="",posicao_contratual!E22="",posicao_contratual!J22=""),"",ROUND(MAX(posicao_contratual!E22-posicao_contratual!J22,0),2))</f>
        <v/>
      </c>
      <c r="AC22" s="79" t="str">
        <f>IF(AND(A22="",A21&lt;&gt;"",COUNTIF(A23:$A$200,"&lt;&gt;")=0),IF(COUNT(AC$2:AC21)=0,"",ROUND(SUMIF($A$2:A21,"&lt;&gt;",AC$2:AC21),2)),IF(OR(AB22="",NOT(ISNUMBER(historico_VU!C22))),"",ROUND(AB22*historico_VU!C22,2)))</f>
        <v/>
      </c>
      <c r="AD22" s="145" t="str">
        <f>IF(A22="","",posicao_contratual!E22)</f>
        <v/>
      </c>
      <c r="AE22" s="145" t="str">
        <f>IF(A22="","",posicao_contratual!I22)</f>
        <v/>
      </c>
      <c r="AF22" s="145" t="str">
        <f>IF(A22="","",posicao_contratual!M22)</f>
        <v/>
      </c>
      <c r="AG22" s="145" t="str">
        <f>IF(A22="","",posicao_contratual!Q22)</f>
        <v/>
      </c>
      <c r="AH22" s="145" t="str">
        <f>IF(A22="","",posicao_contratual!U22)</f>
        <v/>
      </c>
      <c r="AI22" s="145" t="str">
        <f>IF(A22="","",posicao_contratual!G22)</f>
        <v/>
      </c>
      <c r="AJ22" s="145" t="str">
        <f>IF(A22="","",posicao_contratual!K22)</f>
        <v/>
      </c>
      <c r="AK22" s="145" t="str">
        <f>IF(A22="","",posicao_contratual!O22)</f>
        <v/>
      </c>
      <c r="AL22" s="145" t="str">
        <f>IF(A22="","",posicao_contratual!S22)</f>
        <v/>
      </c>
      <c r="AM22" s="145" t="str">
        <f>IF(A22="","",posicao_contratual!W22)</f>
        <v/>
      </c>
      <c r="AN22" s="146" t="str">
        <f>IF(A22="","",posicao_contratual!X22)</f>
        <v/>
      </c>
      <c r="AO22" t="str">
        <f>IF($A22="","",ROUND(SUMIFS(itens_Consumidos!$E$2:$E$200,itens_Consumidos!$A$2:$A$200,$A22),2))</f>
        <v/>
      </c>
      <c r="AP22" t="str">
        <f t="shared" si="0"/>
        <v/>
      </c>
      <c r="AQ22" t="str">
        <f>IF(OR($A22="",AB22="",MEMORIA_RESULTADOS!$I$258=""),"",ROUND(AB22*$C22*(MEMORIA_RESULTADOS!$I$258-1),2))</f>
        <v/>
      </c>
      <c r="AR22" t="str">
        <f>IF(OR($A22="",AP22="",MEMORIA_RESULTADOS!$I$258=""),"",ROUND(AP22*$C22*(parametros!$F$2-MEMORIA_RESULTADOS!$I$258),2))</f>
        <v/>
      </c>
      <c r="AS22" t="str">
        <f>IF($A22="","",ROUND(SUMIFS(itens_Consumidos!$G$2:$G$200,itens_Consumidos!$A$2:$A$200,$A22),2))</f>
        <v/>
      </c>
      <c r="AT22" t="str">
        <f t="shared" si="1"/>
        <v/>
      </c>
      <c r="AU22" t="str">
        <f>IF(OR($A22="",M22="",MEMORIA_RESULTADOS!$I$259=""),"",ROUND(M22*$C22*(MEMORIA_RESULTADOS!$I$259-1),2))</f>
        <v/>
      </c>
      <c r="AV22" t="str">
        <f>IF(OR($A22="",AT22="",MEMORIA_RESULTADOS!$I$259=""),"",ROUND(AT22*$C22*(parametros!$F$3-MEMORIA_RESULTADOS!$I$259),2))</f>
        <v/>
      </c>
      <c r="AW22" t="str">
        <f>IF($A22="","",ROUND(SUMIFS(itens_Consumidos!$I$2:$I$200,itens_Consumidos!$A$2:$A$200,$A22),2))</f>
        <v/>
      </c>
      <c r="AX22" t="str">
        <f t="shared" si="2"/>
        <v/>
      </c>
      <c r="AY22" t="str">
        <f>IF(OR($A22="",O22="",MEMORIA_RESULTADOS!$I$260=""),"",ROUND(O22*$C22*(MEMORIA_RESULTADOS!$I$260-1),2))</f>
        <v/>
      </c>
      <c r="AZ22" t="str">
        <f>IF(OR($A22="",AX22="",MEMORIA_RESULTADOS!$I$260=""),"",ROUND(AX22*$C22*(parametros!$F$4-MEMORIA_RESULTADOS!$I$260),2))</f>
        <v/>
      </c>
      <c r="BA22" t="str">
        <f>IF($A22="","",ROUND(SUMIFS(itens_Consumidos!$K$2:$K$200,itens_Consumidos!$A$2:$A$200,$A22),2))</f>
        <v/>
      </c>
      <c r="BB22" t="str">
        <f t="shared" si="3"/>
        <v/>
      </c>
      <c r="BC22" t="str">
        <f>IF(OR($A22="",Q22="",MEMORIA_RESULTADOS!$I$261=""),"",ROUND(Q22*$C22*(MEMORIA_RESULTADOS!$I$261-1),2))</f>
        <v/>
      </c>
      <c r="BD22" t="str">
        <f>IF(OR($A22="",BB22="",MEMORIA_RESULTADOS!$I$261=""),"",ROUND(BB22*$C22*(parametros!$F$5-MEMORIA_RESULTADOS!$I$261),2))</f>
        <v/>
      </c>
      <c r="BE22" t="str">
        <f>IF($A22="","",ROUND(SUMIFS(itens_Consumidos!$M$2:$M$200,itens_Consumidos!$A$2:$A$200,$A22),2))</f>
        <v/>
      </c>
      <c r="BF22" t="str">
        <f t="shared" si="4"/>
        <v/>
      </c>
      <c r="BG22" t="str">
        <f>IF(OR($A22="",S22="",MEMORIA_RESULTADOS!$I$262=""),"",ROUND(S22*$C22*(MEMORIA_RESULTADOS!$I$262-1),2))</f>
        <v/>
      </c>
      <c r="BH22" t="str">
        <f>IF(OR($A22="",BF22="",MEMORIA_RESULTADOS!$I$262=""),"",ROUND(BF22*$C22*(parametros!$F$6-MEMORIA_RESULTADOS!$I$262),2))</f>
        <v/>
      </c>
      <c r="BI22" t="str">
        <f>IF($A22="","",IF(posicao_contratual!$AL22="","",posicao_contratual!$AL22))</f>
        <v/>
      </c>
    </row>
    <row r="23" spans="1:61" x14ac:dyDescent="0.35">
      <c r="A23" s="81"/>
      <c r="B23" s="82" t="str">
        <f t="shared" si="5"/>
        <v/>
      </c>
      <c r="C23" s="83"/>
      <c r="D23" s="79" t="str">
        <f>IF(AND(A23="",A22&lt;&gt;"",COUNTIF(A24:$A$200,"&lt;&gt;")=0),ROUND(SUMIF($A$2:A22,"&lt;&gt;",$D$2:D22),2),IF(OR(A23="",B23="",C23=""),"",ROUND(B23*C23,2)))</f>
        <v/>
      </c>
      <c r="E23" s="84"/>
      <c r="F23" s="79" t="str">
        <f>IF(AND(A23="",A22&lt;&gt;"",COUNTIF(A24:$A$200,"&lt;&gt;")=0),IF(COUNT(F$2:F22)=0,"",ROUND(SUMIF($A$2:A22,"&lt;&gt;",F$2:F22),2)),IF(OR(A23="",AND(ISNUMBER(posicao_contratual!$AL23),posicao_contratual!$AL23&gt;1),posicao_contratual!K23="",NOT(ISNUMBER(historico_VU!D23))),"",ROUND(posicao_contratual!K23*historico_VU!D23,2)))</f>
        <v/>
      </c>
      <c r="G23" s="84"/>
      <c r="H23" s="79" t="str">
        <f>IF(AND(A23="",A22&lt;&gt;"",COUNTIF(A24:$A$200,"&lt;&gt;")=0),IF(COUNT(H$2:H22)=0,"",ROUND(SUMIF($A$2:A22,"&lt;&gt;",H$2:H22),2)),IF(OR(A23="",AND(ISNUMBER(posicao_contratual!$AL23),posicao_contratual!$AL23&gt;2),posicao_contratual!O23="",NOT(ISNUMBER(historico_VU!E23))),"",ROUND(posicao_contratual!O23*historico_VU!E23,2)))</f>
        <v/>
      </c>
      <c r="I23" s="84"/>
      <c r="J23" s="79" t="str">
        <f>IF(AND(A23="",A22&lt;&gt;"",COUNTIF(A24:$A$200,"&lt;&gt;")=0),IF(COUNT(J$2:J22)=0,"",ROUND(SUMIF($A$2:A22,"&lt;&gt;",J$2:J22),2)),IF(OR(A23="",AND(ISNUMBER(posicao_contratual!$AL23),posicao_contratual!$AL23&gt;3),posicao_contratual!S23="",NOT(ISNUMBER(historico_VU!F23))),"",ROUND(posicao_contratual!S23*historico_VU!F23,2)))</f>
        <v/>
      </c>
      <c r="K23" s="84"/>
      <c r="L23" s="79" t="str">
        <f>IF(AND(A23="",A22&lt;&gt;"",COUNTIF(A24:$A$200,"&lt;&gt;")=0),IF(COUNT(L$2:L22)=0,"",ROUND(SUMIF($A$2:A22,"&lt;&gt;",L$2:L22),2)),IF(OR(A23="",AND(ISNUMBER(posicao_contratual!$AL23),posicao_contratual!$AL23&gt;4),posicao_contratual!W23="",NOT(ISNUMBER(historico_VU!G23))),"",ROUND(posicao_contratual!W23*historico_VU!G23,2)))</f>
        <v/>
      </c>
      <c r="M23" s="85" t="str">
        <f>IF(OR(posicao_contratual!J23="",posicao_contratual!N23=""),"",ROUND(MAX(posicao_contratual!J23+posicao_contratual!H23-posicao_contratual!N23,0),2))</f>
        <v/>
      </c>
      <c r="N23" s="79" t="str">
        <f>IF(AND(A23="",A22&lt;&gt;"",COUNTIF(A24:$A$200,"&lt;&gt;")=0),IF(COUNT(N$2:N22)=0,"",ROUND(SUMIF($A$2:A22,"&lt;&gt;",N$2:N22),2)),IF(OR(M23="",NOT(ISNUMBER(historico_VU!D23))),"",ROUND(M23*historico_VU!D23,2)))</f>
        <v/>
      </c>
      <c r="O23" s="85" t="str">
        <f>IF(OR(posicao_contratual!N23="",posicao_contratual!R23=""),"",ROUND(MAX(posicao_contratual!N23+posicao_contratual!L23-posicao_contratual!R23,0),2))</f>
        <v/>
      </c>
      <c r="P23" s="79" t="str">
        <f>IF(AND(A23="",A22&lt;&gt;"",COUNTIF(A24:$A$200,"&lt;&gt;")=0),IF(COUNT(P$2:P22)=0,"",ROUND(SUMIF($A$2:A22,"&lt;&gt;",P$2:P22),2)),IF(OR(O23="",NOT(ISNUMBER(historico_VU!E23))),"",ROUND(O23*historico_VU!E23,2)))</f>
        <v/>
      </c>
      <c r="Q23" s="85" t="str">
        <f>IF(OR(posicao_contratual!R23="",posicao_contratual!V23=""),"",ROUND(MAX(posicao_contratual!R23+posicao_contratual!P23-posicao_contratual!V23,0),2))</f>
        <v/>
      </c>
      <c r="R23" s="79" t="str">
        <f>IF(AND(A23="",A22&lt;&gt;"",COUNTIF(A24:$A$200,"&lt;&gt;")=0),IF(COUNT(R$2:R22)=0,"",ROUND(SUMIF($A$2:A22,"&lt;&gt;",R$2:R22),2)),IF(OR(Q23="",NOT(ISNUMBER(historico_VU!F23))),"",ROUND(Q23*historico_VU!F23,2)))</f>
        <v/>
      </c>
      <c r="S23" s="21"/>
      <c r="T23" s="22" t="str">
        <f>IF(AND(A23="",A22&lt;&gt;"",COUNTIF(A24:$A$200,"&lt;&gt;")=0),IF(COUNT(T$2:T22)=0,"",ROUND(SUMIF($A$2:A22,"&lt;&gt;",T$2:T22),2)),IF(OR(S23="",NOT(ISNUMBER(historico_VU!G23))),"",ROUND(S23*historico_VU!G23,2)))</f>
        <v/>
      </c>
      <c r="U23" s="86" t="str">
        <f>IF(AND(A23="",A22&lt;&gt;"",COUNTIF(A24:$A$200,"&lt;&gt;")=0),"TOTAL",IF(A23="","",posicao_contratual!X23))</f>
        <v/>
      </c>
      <c r="V23" s="86" t="str">
        <f>IF(A23="","",posicao_contratual!X23)</f>
        <v/>
      </c>
      <c r="W23" s="14"/>
      <c r="X23" s="14"/>
      <c r="Y23" s="14"/>
      <c r="Z23" s="13"/>
      <c r="AA23" s="13"/>
      <c r="AB23" s="85" t="str">
        <f>IF(OR(A23="",posicao_contratual!E23="",posicao_contratual!J23=""),"",ROUND(MAX(posicao_contratual!E23-posicao_contratual!J23,0),2))</f>
        <v/>
      </c>
      <c r="AC23" s="79" t="str">
        <f>IF(AND(A23="",A22&lt;&gt;"",COUNTIF(A24:$A$200,"&lt;&gt;")=0),IF(COUNT(AC$2:AC22)=0,"",ROUND(SUMIF($A$2:A22,"&lt;&gt;",AC$2:AC22),2)),IF(OR(AB23="",NOT(ISNUMBER(historico_VU!C23))),"",ROUND(AB23*historico_VU!C23,2)))</f>
        <v/>
      </c>
      <c r="AD23" s="145" t="str">
        <f>IF(A23="","",posicao_contratual!E23)</f>
        <v/>
      </c>
      <c r="AE23" s="145" t="str">
        <f>IF(A23="","",posicao_contratual!I23)</f>
        <v/>
      </c>
      <c r="AF23" s="145" t="str">
        <f>IF(A23="","",posicao_contratual!M23)</f>
        <v/>
      </c>
      <c r="AG23" s="145" t="str">
        <f>IF(A23="","",posicao_contratual!Q23)</f>
        <v/>
      </c>
      <c r="AH23" s="145" t="str">
        <f>IF(A23="","",posicao_contratual!U23)</f>
        <v/>
      </c>
      <c r="AI23" s="145" t="str">
        <f>IF(A23="","",posicao_contratual!G23)</f>
        <v/>
      </c>
      <c r="AJ23" s="145" t="str">
        <f>IF(A23="","",posicao_contratual!K23)</f>
        <v/>
      </c>
      <c r="AK23" s="145" t="str">
        <f>IF(A23="","",posicao_contratual!O23)</f>
        <v/>
      </c>
      <c r="AL23" s="145" t="str">
        <f>IF(A23="","",posicao_contratual!S23)</f>
        <v/>
      </c>
      <c r="AM23" s="145" t="str">
        <f>IF(A23="","",posicao_contratual!W23)</f>
        <v/>
      </c>
      <c r="AN23" s="146" t="str">
        <f>IF(A23="","",posicao_contratual!X23)</f>
        <v/>
      </c>
      <c r="AO23" t="str">
        <f>IF($A23="","",ROUND(SUMIFS(itens_Consumidos!$E$2:$E$200,itens_Consumidos!$A$2:$A$200,$A23),2))</f>
        <v/>
      </c>
      <c r="AP23" t="str">
        <f t="shared" si="0"/>
        <v/>
      </c>
      <c r="AQ23" t="str">
        <f>IF(OR($A23="",AB23="",MEMORIA_RESULTADOS!$I$258=""),"",ROUND(AB23*$C23*(MEMORIA_RESULTADOS!$I$258-1),2))</f>
        <v/>
      </c>
      <c r="AR23" t="str">
        <f>IF(OR($A23="",AP23="",MEMORIA_RESULTADOS!$I$258=""),"",ROUND(AP23*$C23*(parametros!$F$2-MEMORIA_RESULTADOS!$I$258),2))</f>
        <v/>
      </c>
      <c r="AS23" t="str">
        <f>IF($A23="","",ROUND(SUMIFS(itens_Consumidos!$G$2:$G$200,itens_Consumidos!$A$2:$A$200,$A23),2))</f>
        <v/>
      </c>
      <c r="AT23" t="str">
        <f t="shared" si="1"/>
        <v/>
      </c>
      <c r="AU23" t="str">
        <f>IF(OR($A23="",M23="",MEMORIA_RESULTADOS!$I$259=""),"",ROUND(M23*$C23*(MEMORIA_RESULTADOS!$I$259-1),2))</f>
        <v/>
      </c>
      <c r="AV23" t="str">
        <f>IF(OR($A23="",AT23="",MEMORIA_RESULTADOS!$I$259=""),"",ROUND(AT23*$C23*(parametros!$F$3-MEMORIA_RESULTADOS!$I$259),2))</f>
        <v/>
      </c>
      <c r="AW23" t="str">
        <f>IF($A23="","",ROUND(SUMIFS(itens_Consumidos!$I$2:$I$200,itens_Consumidos!$A$2:$A$200,$A23),2))</f>
        <v/>
      </c>
      <c r="AX23" t="str">
        <f t="shared" si="2"/>
        <v/>
      </c>
      <c r="AY23" t="str">
        <f>IF(OR($A23="",O23="",MEMORIA_RESULTADOS!$I$260=""),"",ROUND(O23*$C23*(MEMORIA_RESULTADOS!$I$260-1),2))</f>
        <v/>
      </c>
      <c r="AZ23" t="str">
        <f>IF(OR($A23="",AX23="",MEMORIA_RESULTADOS!$I$260=""),"",ROUND(AX23*$C23*(parametros!$F$4-MEMORIA_RESULTADOS!$I$260),2))</f>
        <v/>
      </c>
      <c r="BA23" t="str">
        <f>IF($A23="","",ROUND(SUMIFS(itens_Consumidos!$K$2:$K$200,itens_Consumidos!$A$2:$A$200,$A23),2))</f>
        <v/>
      </c>
      <c r="BB23" t="str">
        <f t="shared" si="3"/>
        <v/>
      </c>
      <c r="BC23" t="str">
        <f>IF(OR($A23="",Q23="",MEMORIA_RESULTADOS!$I$261=""),"",ROUND(Q23*$C23*(MEMORIA_RESULTADOS!$I$261-1),2))</f>
        <v/>
      </c>
      <c r="BD23" t="str">
        <f>IF(OR($A23="",BB23="",MEMORIA_RESULTADOS!$I$261=""),"",ROUND(BB23*$C23*(parametros!$F$5-MEMORIA_RESULTADOS!$I$261),2))</f>
        <v/>
      </c>
      <c r="BE23" t="str">
        <f>IF($A23="","",ROUND(SUMIFS(itens_Consumidos!$M$2:$M$200,itens_Consumidos!$A$2:$A$200,$A23),2))</f>
        <v/>
      </c>
      <c r="BF23" t="str">
        <f t="shared" si="4"/>
        <v/>
      </c>
      <c r="BG23" t="str">
        <f>IF(OR($A23="",S23="",MEMORIA_RESULTADOS!$I$262=""),"",ROUND(S23*$C23*(MEMORIA_RESULTADOS!$I$262-1),2))</f>
        <v/>
      </c>
      <c r="BH23" t="str">
        <f>IF(OR($A23="",BF23="",MEMORIA_RESULTADOS!$I$262=""),"",ROUND(BF23*$C23*(parametros!$F$6-MEMORIA_RESULTADOS!$I$262),2))</f>
        <v/>
      </c>
      <c r="BI23" t="str">
        <f>IF($A23="","",IF(posicao_contratual!$AL23="","",posicao_contratual!$AL23))</f>
        <v/>
      </c>
    </row>
    <row r="24" spans="1:61" x14ac:dyDescent="0.35">
      <c r="A24" s="81"/>
      <c r="B24" s="82" t="str">
        <f t="shared" si="5"/>
        <v/>
      </c>
      <c r="C24" s="83"/>
      <c r="D24" s="79" t="str">
        <f>IF(AND(A24="",A23&lt;&gt;"",COUNTIF(A25:$A$200,"&lt;&gt;")=0),ROUND(SUMIF($A$2:A23,"&lt;&gt;",$D$2:D23),2),IF(OR(A24="",B24="",C24=""),"",ROUND(B24*C24,2)))</f>
        <v/>
      </c>
      <c r="E24" s="84"/>
      <c r="F24" s="79" t="str">
        <f>IF(AND(A24="",A23&lt;&gt;"",COUNTIF(A25:$A$200,"&lt;&gt;")=0),IF(COUNT(F$2:F23)=0,"",ROUND(SUMIF($A$2:A23,"&lt;&gt;",F$2:F23),2)),IF(OR(A24="",AND(ISNUMBER(posicao_contratual!$AL24),posicao_contratual!$AL24&gt;1),posicao_contratual!K24="",NOT(ISNUMBER(historico_VU!D24))),"",ROUND(posicao_contratual!K24*historico_VU!D24,2)))</f>
        <v/>
      </c>
      <c r="G24" s="84"/>
      <c r="H24" s="79" t="str">
        <f>IF(AND(A24="",A23&lt;&gt;"",COUNTIF(A25:$A$200,"&lt;&gt;")=0),IF(COUNT(H$2:H23)=0,"",ROUND(SUMIF($A$2:A23,"&lt;&gt;",H$2:H23),2)),IF(OR(A24="",AND(ISNUMBER(posicao_contratual!$AL24),posicao_contratual!$AL24&gt;2),posicao_contratual!O24="",NOT(ISNUMBER(historico_VU!E24))),"",ROUND(posicao_contratual!O24*historico_VU!E24,2)))</f>
        <v/>
      </c>
      <c r="I24" s="84"/>
      <c r="J24" s="79" t="str">
        <f>IF(AND(A24="",A23&lt;&gt;"",COUNTIF(A25:$A$200,"&lt;&gt;")=0),IF(COUNT(J$2:J23)=0,"",ROUND(SUMIF($A$2:A23,"&lt;&gt;",J$2:J23),2)),IF(OR(A24="",AND(ISNUMBER(posicao_contratual!$AL24),posicao_contratual!$AL24&gt;3),posicao_contratual!S24="",NOT(ISNUMBER(historico_VU!F24))),"",ROUND(posicao_contratual!S24*historico_VU!F24,2)))</f>
        <v/>
      </c>
      <c r="K24" s="84"/>
      <c r="L24" s="79" t="str">
        <f>IF(AND(A24="",A23&lt;&gt;"",COUNTIF(A25:$A$200,"&lt;&gt;")=0),IF(COUNT(L$2:L23)=0,"",ROUND(SUMIF($A$2:A23,"&lt;&gt;",L$2:L23),2)),IF(OR(A24="",AND(ISNUMBER(posicao_contratual!$AL24),posicao_contratual!$AL24&gt;4),posicao_contratual!W24="",NOT(ISNUMBER(historico_VU!G24))),"",ROUND(posicao_contratual!W24*historico_VU!G24,2)))</f>
        <v/>
      </c>
      <c r="M24" s="85" t="str">
        <f>IF(OR(posicao_contratual!J24="",posicao_contratual!N24=""),"",ROUND(MAX(posicao_contratual!J24+posicao_contratual!H24-posicao_contratual!N24,0),2))</f>
        <v/>
      </c>
      <c r="N24" s="79" t="str">
        <f>IF(AND(A24="",A23&lt;&gt;"",COUNTIF(A25:$A$200,"&lt;&gt;")=0),IF(COUNT(N$2:N23)=0,"",ROUND(SUMIF($A$2:A23,"&lt;&gt;",N$2:N23),2)),IF(OR(M24="",NOT(ISNUMBER(historico_VU!D24))),"",ROUND(M24*historico_VU!D24,2)))</f>
        <v/>
      </c>
      <c r="O24" s="85" t="str">
        <f>IF(OR(posicao_contratual!N24="",posicao_contratual!R24=""),"",ROUND(MAX(posicao_contratual!N24+posicao_contratual!L24-posicao_contratual!R24,0),2))</f>
        <v/>
      </c>
      <c r="P24" s="79" t="str">
        <f>IF(AND(A24="",A23&lt;&gt;"",COUNTIF(A25:$A$200,"&lt;&gt;")=0),IF(COUNT(P$2:P23)=0,"",ROUND(SUMIF($A$2:A23,"&lt;&gt;",P$2:P23),2)),IF(OR(O24="",NOT(ISNUMBER(historico_VU!E24))),"",ROUND(O24*historico_VU!E24,2)))</f>
        <v/>
      </c>
      <c r="Q24" s="85" t="str">
        <f>IF(OR(posicao_contratual!R24="",posicao_contratual!V24=""),"",ROUND(MAX(posicao_contratual!R24+posicao_contratual!P24-posicao_contratual!V24,0),2))</f>
        <v/>
      </c>
      <c r="R24" s="79" t="str">
        <f>IF(AND(A24="",A23&lt;&gt;"",COUNTIF(A25:$A$200,"&lt;&gt;")=0),IF(COUNT(R$2:R23)=0,"",ROUND(SUMIF($A$2:A23,"&lt;&gt;",R$2:R23),2)),IF(OR(Q24="",NOT(ISNUMBER(historico_VU!F24))),"",ROUND(Q24*historico_VU!F24,2)))</f>
        <v/>
      </c>
      <c r="S24" s="21"/>
      <c r="T24" s="22" t="str">
        <f>IF(AND(A24="",A23&lt;&gt;"",COUNTIF(A25:$A$200,"&lt;&gt;")=0),IF(COUNT(T$2:T23)=0,"",ROUND(SUMIF($A$2:A23,"&lt;&gt;",T$2:T23),2)),IF(OR(S24="",NOT(ISNUMBER(historico_VU!G24))),"",ROUND(S24*historico_VU!G24,2)))</f>
        <v/>
      </c>
      <c r="U24" s="86" t="str">
        <f>IF(AND(A24="",A23&lt;&gt;"",COUNTIF(A25:$A$200,"&lt;&gt;")=0),"TOTAL",IF(A24="","",posicao_contratual!X24))</f>
        <v/>
      </c>
      <c r="V24" s="86" t="str">
        <f>IF(A24="","",posicao_contratual!X24)</f>
        <v/>
      </c>
      <c r="W24" s="14"/>
      <c r="X24" s="14"/>
      <c r="Y24" s="14"/>
      <c r="Z24" s="13"/>
      <c r="AA24" s="13"/>
      <c r="AB24" s="85" t="str">
        <f>IF(OR(A24="",posicao_contratual!E24="",posicao_contratual!J24=""),"",ROUND(MAX(posicao_contratual!E24-posicao_contratual!J24,0),2))</f>
        <v/>
      </c>
      <c r="AC24" s="79" t="str">
        <f>IF(AND(A24="",A23&lt;&gt;"",COUNTIF(A25:$A$200,"&lt;&gt;")=0),IF(COUNT(AC$2:AC23)=0,"",ROUND(SUMIF($A$2:A23,"&lt;&gt;",AC$2:AC23),2)),IF(OR(AB24="",NOT(ISNUMBER(historico_VU!C24))),"",ROUND(AB24*historico_VU!C24,2)))</f>
        <v/>
      </c>
      <c r="AD24" s="145" t="str">
        <f>IF(A24="","",posicao_contratual!E24)</f>
        <v/>
      </c>
      <c r="AE24" s="145" t="str">
        <f>IF(A24="","",posicao_contratual!I24)</f>
        <v/>
      </c>
      <c r="AF24" s="145" t="str">
        <f>IF(A24="","",posicao_contratual!M24)</f>
        <v/>
      </c>
      <c r="AG24" s="145" t="str">
        <f>IF(A24="","",posicao_contratual!Q24)</f>
        <v/>
      </c>
      <c r="AH24" s="145" t="str">
        <f>IF(A24="","",posicao_contratual!U24)</f>
        <v/>
      </c>
      <c r="AI24" s="145" t="str">
        <f>IF(A24="","",posicao_contratual!G24)</f>
        <v/>
      </c>
      <c r="AJ24" s="145" t="str">
        <f>IF(A24="","",posicao_contratual!K24)</f>
        <v/>
      </c>
      <c r="AK24" s="145" t="str">
        <f>IF(A24="","",posicao_contratual!O24)</f>
        <v/>
      </c>
      <c r="AL24" s="145" t="str">
        <f>IF(A24="","",posicao_contratual!S24)</f>
        <v/>
      </c>
      <c r="AM24" s="145" t="str">
        <f>IF(A24="","",posicao_contratual!W24)</f>
        <v/>
      </c>
      <c r="AN24" s="146" t="str">
        <f>IF(A24="","",posicao_contratual!X24)</f>
        <v/>
      </c>
      <c r="AO24" t="str">
        <f>IF($A24="","",ROUND(SUMIFS(itens_Consumidos!$E$2:$E$200,itens_Consumidos!$A$2:$A$200,$A24),2))</f>
        <v/>
      </c>
      <c r="AP24" t="str">
        <f t="shared" si="0"/>
        <v/>
      </c>
      <c r="AQ24" t="str">
        <f>IF(OR($A24="",AB24="",MEMORIA_RESULTADOS!$I$258=""),"",ROUND(AB24*$C24*(MEMORIA_RESULTADOS!$I$258-1),2))</f>
        <v/>
      </c>
      <c r="AR24" t="str">
        <f>IF(OR($A24="",AP24="",MEMORIA_RESULTADOS!$I$258=""),"",ROUND(AP24*$C24*(parametros!$F$2-MEMORIA_RESULTADOS!$I$258),2))</f>
        <v/>
      </c>
      <c r="AS24" t="str">
        <f>IF($A24="","",ROUND(SUMIFS(itens_Consumidos!$G$2:$G$200,itens_Consumidos!$A$2:$A$200,$A24),2))</f>
        <v/>
      </c>
      <c r="AT24" t="str">
        <f t="shared" si="1"/>
        <v/>
      </c>
      <c r="AU24" t="str">
        <f>IF(OR($A24="",M24="",MEMORIA_RESULTADOS!$I$259=""),"",ROUND(M24*$C24*(MEMORIA_RESULTADOS!$I$259-1),2))</f>
        <v/>
      </c>
      <c r="AV24" t="str">
        <f>IF(OR($A24="",AT24="",MEMORIA_RESULTADOS!$I$259=""),"",ROUND(AT24*$C24*(parametros!$F$3-MEMORIA_RESULTADOS!$I$259),2))</f>
        <v/>
      </c>
      <c r="AW24" t="str">
        <f>IF($A24="","",ROUND(SUMIFS(itens_Consumidos!$I$2:$I$200,itens_Consumidos!$A$2:$A$200,$A24),2))</f>
        <v/>
      </c>
      <c r="AX24" t="str">
        <f t="shared" si="2"/>
        <v/>
      </c>
      <c r="AY24" t="str">
        <f>IF(OR($A24="",O24="",MEMORIA_RESULTADOS!$I$260=""),"",ROUND(O24*$C24*(MEMORIA_RESULTADOS!$I$260-1),2))</f>
        <v/>
      </c>
      <c r="AZ24" t="str">
        <f>IF(OR($A24="",AX24="",MEMORIA_RESULTADOS!$I$260=""),"",ROUND(AX24*$C24*(parametros!$F$4-MEMORIA_RESULTADOS!$I$260),2))</f>
        <v/>
      </c>
      <c r="BA24" t="str">
        <f>IF($A24="","",ROUND(SUMIFS(itens_Consumidos!$K$2:$K$200,itens_Consumidos!$A$2:$A$200,$A24),2))</f>
        <v/>
      </c>
      <c r="BB24" t="str">
        <f t="shared" si="3"/>
        <v/>
      </c>
      <c r="BC24" t="str">
        <f>IF(OR($A24="",Q24="",MEMORIA_RESULTADOS!$I$261=""),"",ROUND(Q24*$C24*(MEMORIA_RESULTADOS!$I$261-1),2))</f>
        <v/>
      </c>
      <c r="BD24" t="str">
        <f>IF(OR($A24="",BB24="",MEMORIA_RESULTADOS!$I$261=""),"",ROUND(BB24*$C24*(parametros!$F$5-MEMORIA_RESULTADOS!$I$261),2))</f>
        <v/>
      </c>
      <c r="BE24" t="str">
        <f>IF($A24="","",ROUND(SUMIFS(itens_Consumidos!$M$2:$M$200,itens_Consumidos!$A$2:$A$200,$A24),2))</f>
        <v/>
      </c>
      <c r="BF24" t="str">
        <f t="shared" si="4"/>
        <v/>
      </c>
      <c r="BG24" t="str">
        <f>IF(OR($A24="",S24="",MEMORIA_RESULTADOS!$I$262=""),"",ROUND(S24*$C24*(MEMORIA_RESULTADOS!$I$262-1),2))</f>
        <v/>
      </c>
      <c r="BH24" t="str">
        <f>IF(OR($A24="",BF24="",MEMORIA_RESULTADOS!$I$262=""),"",ROUND(BF24*$C24*(parametros!$F$6-MEMORIA_RESULTADOS!$I$262),2))</f>
        <v/>
      </c>
      <c r="BI24" t="str">
        <f>IF($A24="","",IF(posicao_contratual!$AL24="","",posicao_contratual!$AL24))</f>
        <v/>
      </c>
    </row>
    <row r="25" spans="1:61" x14ac:dyDescent="0.35">
      <c r="A25" s="81"/>
      <c r="B25" s="82" t="str">
        <f t="shared" si="5"/>
        <v/>
      </c>
      <c r="C25" s="83"/>
      <c r="D25" s="79" t="str">
        <f>IF(AND(A25="",A24&lt;&gt;"",COUNTIF(A26:$A$200,"&lt;&gt;")=0),ROUND(SUMIF($A$2:A24,"&lt;&gt;",$D$2:D24),2),IF(OR(A25="",B25="",C25=""),"",ROUND(B25*C25,2)))</f>
        <v/>
      </c>
      <c r="E25" s="84"/>
      <c r="F25" s="79" t="str">
        <f>IF(AND(A25="",A24&lt;&gt;"",COUNTIF(A26:$A$200,"&lt;&gt;")=0),IF(COUNT(F$2:F24)=0,"",ROUND(SUMIF($A$2:A24,"&lt;&gt;",F$2:F24),2)),IF(OR(A25="",AND(ISNUMBER(posicao_contratual!$AL25),posicao_contratual!$AL25&gt;1),posicao_contratual!K25="",NOT(ISNUMBER(historico_VU!D25))),"",ROUND(posicao_contratual!K25*historico_VU!D25,2)))</f>
        <v/>
      </c>
      <c r="G25" s="84"/>
      <c r="H25" s="79" t="str">
        <f>IF(AND(A25="",A24&lt;&gt;"",COUNTIF(A26:$A$200,"&lt;&gt;")=0),IF(COUNT(H$2:H24)=0,"",ROUND(SUMIF($A$2:A24,"&lt;&gt;",H$2:H24),2)),IF(OR(A25="",AND(ISNUMBER(posicao_contratual!$AL25),posicao_contratual!$AL25&gt;2),posicao_contratual!O25="",NOT(ISNUMBER(historico_VU!E25))),"",ROUND(posicao_contratual!O25*historico_VU!E25,2)))</f>
        <v/>
      </c>
      <c r="I25" s="84"/>
      <c r="J25" s="79" t="str">
        <f>IF(AND(A25="",A24&lt;&gt;"",COUNTIF(A26:$A$200,"&lt;&gt;")=0),IF(COUNT(J$2:J24)=0,"",ROUND(SUMIF($A$2:A24,"&lt;&gt;",J$2:J24),2)),IF(OR(A25="",AND(ISNUMBER(posicao_contratual!$AL25),posicao_contratual!$AL25&gt;3),posicao_contratual!S25="",NOT(ISNUMBER(historico_VU!F25))),"",ROUND(posicao_contratual!S25*historico_VU!F25,2)))</f>
        <v/>
      </c>
      <c r="K25" s="84"/>
      <c r="L25" s="79" t="str">
        <f>IF(AND(A25="",A24&lt;&gt;"",COUNTIF(A26:$A$200,"&lt;&gt;")=0),IF(COUNT(L$2:L24)=0,"",ROUND(SUMIF($A$2:A24,"&lt;&gt;",L$2:L24),2)),IF(OR(A25="",AND(ISNUMBER(posicao_contratual!$AL25),posicao_contratual!$AL25&gt;4),posicao_contratual!W25="",NOT(ISNUMBER(historico_VU!G25))),"",ROUND(posicao_contratual!W25*historico_VU!G25,2)))</f>
        <v/>
      </c>
      <c r="M25" s="85" t="str">
        <f>IF(OR(posicao_contratual!J25="",posicao_contratual!N25=""),"",ROUND(MAX(posicao_contratual!J25+posicao_contratual!H25-posicao_contratual!N25,0),2))</f>
        <v/>
      </c>
      <c r="N25" s="79" t="str">
        <f>IF(AND(A25="",A24&lt;&gt;"",COUNTIF(A26:$A$200,"&lt;&gt;")=0),IF(COUNT(N$2:N24)=0,"",ROUND(SUMIF($A$2:A24,"&lt;&gt;",N$2:N24),2)),IF(OR(M25="",NOT(ISNUMBER(historico_VU!D25))),"",ROUND(M25*historico_VU!D25,2)))</f>
        <v/>
      </c>
      <c r="O25" s="85" t="str">
        <f>IF(OR(posicao_contratual!N25="",posicao_contratual!R25=""),"",ROUND(MAX(posicao_contratual!N25+posicao_contratual!L25-posicao_contratual!R25,0),2))</f>
        <v/>
      </c>
      <c r="P25" s="79" t="str">
        <f>IF(AND(A25="",A24&lt;&gt;"",COUNTIF(A26:$A$200,"&lt;&gt;")=0),IF(COUNT(P$2:P24)=0,"",ROUND(SUMIF($A$2:A24,"&lt;&gt;",P$2:P24),2)),IF(OR(O25="",NOT(ISNUMBER(historico_VU!E25))),"",ROUND(O25*historico_VU!E25,2)))</f>
        <v/>
      </c>
      <c r="Q25" s="85" t="str">
        <f>IF(OR(posicao_contratual!R25="",posicao_contratual!V25=""),"",ROUND(MAX(posicao_contratual!R25+posicao_contratual!P25-posicao_contratual!V25,0),2))</f>
        <v/>
      </c>
      <c r="R25" s="79" t="str">
        <f>IF(AND(A25="",A24&lt;&gt;"",COUNTIF(A26:$A$200,"&lt;&gt;")=0),IF(COUNT(R$2:R24)=0,"",ROUND(SUMIF($A$2:A24,"&lt;&gt;",R$2:R24),2)),IF(OR(Q25="",NOT(ISNUMBER(historico_VU!F25))),"",ROUND(Q25*historico_VU!F25,2)))</f>
        <v/>
      </c>
      <c r="S25" s="21"/>
      <c r="T25" s="22" t="str">
        <f>IF(AND(A25="",A24&lt;&gt;"",COUNTIF(A26:$A$200,"&lt;&gt;")=0),IF(COUNT(T$2:T24)=0,"",ROUND(SUMIF($A$2:A24,"&lt;&gt;",T$2:T24),2)),IF(OR(S25="",NOT(ISNUMBER(historico_VU!G25))),"",ROUND(S25*historico_VU!G25,2)))</f>
        <v/>
      </c>
      <c r="U25" s="86" t="str">
        <f>IF(AND(A25="",A24&lt;&gt;"",COUNTIF(A26:$A$200,"&lt;&gt;")=0),"TOTAL",IF(A25="","",posicao_contratual!X25))</f>
        <v/>
      </c>
      <c r="V25" s="86" t="str">
        <f>IF(A25="","",posicao_contratual!X25)</f>
        <v/>
      </c>
      <c r="W25" s="14"/>
      <c r="X25" s="14"/>
      <c r="Y25" s="14"/>
      <c r="Z25" s="13"/>
      <c r="AA25" s="13"/>
      <c r="AB25" s="85" t="str">
        <f>IF(OR(A25="",posicao_contratual!E25="",posicao_contratual!J25=""),"",ROUND(MAX(posicao_contratual!E25-posicao_contratual!J25,0),2))</f>
        <v/>
      </c>
      <c r="AC25" s="79" t="str">
        <f>IF(AND(A25="",A24&lt;&gt;"",COUNTIF(A26:$A$200,"&lt;&gt;")=0),IF(COUNT(AC$2:AC24)=0,"",ROUND(SUMIF($A$2:A24,"&lt;&gt;",AC$2:AC24),2)),IF(OR(AB25="",NOT(ISNUMBER(historico_VU!C25))),"",ROUND(AB25*historico_VU!C25,2)))</f>
        <v/>
      </c>
      <c r="AD25" s="145" t="str">
        <f>IF(A25="","",posicao_contratual!E25)</f>
        <v/>
      </c>
      <c r="AE25" s="145" t="str">
        <f>IF(A25="","",posicao_contratual!I25)</f>
        <v/>
      </c>
      <c r="AF25" s="145" t="str">
        <f>IF(A25="","",posicao_contratual!M25)</f>
        <v/>
      </c>
      <c r="AG25" s="145" t="str">
        <f>IF(A25="","",posicao_contratual!Q25)</f>
        <v/>
      </c>
      <c r="AH25" s="145" t="str">
        <f>IF(A25="","",posicao_contratual!U25)</f>
        <v/>
      </c>
      <c r="AI25" s="145" t="str">
        <f>IF(A25="","",posicao_contratual!G25)</f>
        <v/>
      </c>
      <c r="AJ25" s="145" t="str">
        <f>IF(A25="","",posicao_contratual!K25)</f>
        <v/>
      </c>
      <c r="AK25" s="145" t="str">
        <f>IF(A25="","",posicao_contratual!O25)</f>
        <v/>
      </c>
      <c r="AL25" s="145" t="str">
        <f>IF(A25="","",posicao_contratual!S25)</f>
        <v/>
      </c>
      <c r="AM25" s="145" t="str">
        <f>IF(A25="","",posicao_contratual!W25)</f>
        <v/>
      </c>
      <c r="AN25" s="146" t="str">
        <f>IF(A25="","",posicao_contratual!X25)</f>
        <v/>
      </c>
      <c r="AO25" t="str">
        <f>IF($A25="","",ROUND(SUMIFS(itens_Consumidos!$E$2:$E$200,itens_Consumidos!$A$2:$A$200,$A25),2))</f>
        <v/>
      </c>
      <c r="AP25" t="str">
        <f t="shared" si="0"/>
        <v/>
      </c>
      <c r="AQ25" t="str">
        <f>IF(OR($A25="",AB25="",MEMORIA_RESULTADOS!$I$258=""),"",ROUND(AB25*$C25*(MEMORIA_RESULTADOS!$I$258-1),2))</f>
        <v/>
      </c>
      <c r="AR25" t="str">
        <f>IF(OR($A25="",AP25="",MEMORIA_RESULTADOS!$I$258=""),"",ROUND(AP25*$C25*(parametros!$F$2-MEMORIA_RESULTADOS!$I$258),2))</f>
        <v/>
      </c>
      <c r="AS25" t="str">
        <f>IF($A25="","",ROUND(SUMIFS(itens_Consumidos!$G$2:$G$200,itens_Consumidos!$A$2:$A$200,$A25),2))</f>
        <v/>
      </c>
      <c r="AT25" t="str">
        <f t="shared" si="1"/>
        <v/>
      </c>
      <c r="AU25" t="str">
        <f>IF(OR($A25="",M25="",MEMORIA_RESULTADOS!$I$259=""),"",ROUND(M25*$C25*(MEMORIA_RESULTADOS!$I$259-1),2))</f>
        <v/>
      </c>
      <c r="AV25" t="str">
        <f>IF(OR($A25="",AT25="",MEMORIA_RESULTADOS!$I$259=""),"",ROUND(AT25*$C25*(parametros!$F$3-MEMORIA_RESULTADOS!$I$259),2))</f>
        <v/>
      </c>
      <c r="AW25" t="str">
        <f>IF($A25="","",ROUND(SUMIFS(itens_Consumidos!$I$2:$I$200,itens_Consumidos!$A$2:$A$200,$A25),2))</f>
        <v/>
      </c>
      <c r="AX25" t="str">
        <f t="shared" si="2"/>
        <v/>
      </c>
      <c r="AY25" t="str">
        <f>IF(OR($A25="",O25="",MEMORIA_RESULTADOS!$I$260=""),"",ROUND(O25*$C25*(MEMORIA_RESULTADOS!$I$260-1),2))</f>
        <v/>
      </c>
      <c r="AZ25" t="str">
        <f>IF(OR($A25="",AX25="",MEMORIA_RESULTADOS!$I$260=""),"",ROUND(AX25*$C25*(parametros!$F$4-MEMORIA_RESULTADOS!$I$260),2))</f>
        <v/>
      </c>
      <c r="BA25" t="str">
        <f>IF($A25="","",ROUND(SUMIFS(itens_Consumidos!$K$2:$K$200,itens_Consumidos!$A$2:$A$200,$A25),2))</f>
        <v/>
      </c>
      <c r="BB25" t="str">
        <f t="shared" si="3"/>
        <v/>
      </c>
      <c r="BC25" t="str">
        <f>IF(OR($A25="",Q25="",MEMORIA_RESULTADOS!$I$261=""),"",ROUND(Q25*$C25*(MEMORIA_RESULTADOS!$I$261-1),2))</f>
        <v/>
      </c>
      <c r="BD25" t="str">
        <f>IF(OR($A25="",BB25="",MEMORIA_RESULTADOS!$I$261=""),"",ROUND(BB25*$C25*(parametros!$F$5-MEMORIA_RESULTADOS!$I$261),2))</f>
        <v/>
      </c>
      <c r="BE25" t="str">
        <f>IF($A25="","",ROUND(SUMIFS(itens_Consumidos!$M$2:$M$200,itens_Consumidos!$A$2:$A$200,$A25),2))</f>
        <v/>
      </c>
      <c r="BF25" t="str">
        <f t="shared" si="4"/>
        <v/>
      </c>
      <c r="BG25" t="str">
        <f>IF(OR($A25="",S25="",MEMORIA_RESULTADOS!$I$262=""),"",ROUND(S25*$C25*(MEMORIA_RESULTADOS!$I$262-1),2))</f>
        <v/>
      </c>
      <c r="BH25" t="str">
        <f>IF(OR($A25="",BF25="",MEMORIA_RESULTADOS!$I$262=""),"",ROUND(BF25*$C25*(parametros!$F$6-MEMORIA_RESULTADOS!$I$262),2))</f>
        <v/>
      </c>
      <c r="BI25" t="str">
        <f>IF($A25="","",IF(posicao_contratual!$AL25="","",posicao_contratual!$AL25))</f>
        <v/>
      </c>
    </row>
    <row r="26" spans="1:61" x14ac:dyDescent="0.35">
      <c r="A26" s="81"/>
      <c r="B26" s="82" t="str">
        <f t="shared" si="5"/>
        <v/>
      </c>
      <c r="C26" s="83"/>
      <c r="D26" s="79" t="str">
        <f>IF(AND(A26="",A25&lt;&gt;"",COUNTIF(A27:$A$200,"&lt;&gt;")=0),ROUND(SUMIF($A$2:A25,"&lt;&gt;",$D$2:D25),2),IF(OR(A26="",B26="",C26=""),"",ROUND(B26*C26,2)))</f>
        <v/>
      </c>
      <c r="E26" s="84"/>
      <c r="F26" s="79" t="str">
        <f>IF(AND(A26="",A25&lt;&gt;"",COUNTIF(A27:$A$200,"&lt;&gt;")=0),IF(COUNT(F$2:F25)=0,"",ROUND(SUMIF($A$2:A25,"&lt;&gt;",F$2:F25),2)),IF(OR(A26="",AND(ISNUMBER(posicao_contratual!$AL26),posicao_contratual!$AL26&gt;1),posicao_contratual!K26="",NOT(ISNUMBER(historico_VU!D26))),"",ROUND(posicao_contratual!K26*historico_VU!D26,2)))</f>
        <v/>
      </c>
      <c r="G26" s="84"/>
      <c r="H26" s="79" t="str">
        <f>IF(AND(A26="",A25&lt;&gt;"",COUNTIF(A27:$A$200,"&lt;&gt;")=0),IF(COUNT(H$2:H25)=0,"",ROUND(SUMIF($A$2:A25,"&lt;&gt;",H$2:H25),2)),IF(OR(A26="",AND(ISNUMBER(posicao_contratual!$AL26),posicao_contratual!$AL26&gt;2),posicao_contratual!O26="",NOT(ISNUMBER(historico_VU!E26))),"",ROUND(posicao_contratual!O26*historico_VU!E26,2)))</f>
        <v/>
      </c>
      <c r="I26" s="84"/>
      <c r="J26" s="79" t="str">
        <f>IF(AND(A26="",A25&lt;&gt;"",COUNTIF(A27:$A$200,"&lt;&gt;")=0),IF(COUNT(J$2:J25)=0,"",ROUND(SUMIF($A$2:A25,"&lt;&gt;",J$2:J25),2)),IF(OR(A26="",AND(ISNUMBER(posicao_contratual!$AL26),posicao_contratual!$AL26&gt;3),posicao_contratual!S26="",NOT(ISNUMBER(historico_VU!F26))),"",ROUND(posicao_contratual!S26*historico_VU!F26,2)))</f>
        <v/>
      </c>
      <c r="K26" s="84"/>
      <c r="L26" s="79" t="str">
        <f>IF(AND(A26="",A25&lt;&gt;"",COUNTIF(A27:$A$200,"&lt;&gt;")=0),IF(COUNT(L$2:L25)=0,"",ROUND(SUMIF($A$2:A25,"&lt;&gt;",L$2:L25),2)),IF(OR(A26="",AND(ISNUMBER(posicao_contratual!$AL26),posicao_contratual!$AL26&gt;4),posicao_contratual!W26="",NOT(ISNUMBER(historico_VU!G26))),"",ROUND(posicao_contratual!W26*historico_VU!G26,2)))</f>
        <v/>
      </c>
      <c r="M26" s="85" t="str">
        <f>IF(OR(posicao_contratual!J26="",posicao_contratual!N26=""),"",ROUND(MAX(posicao_contratual!J26+posicao_contratual!H26-posicao_contratual!N26,0),2))</f>
        <v/>
      </c>
      <c r="N26" s="79" t="str">
        <f>IF(AND(A26="",A25&lt;&gt;"",COUNTIF(A27:$A$200,"&lt;&gt;")=0),IF(COUNT(N$2:N25)=0,"",ROUND(SUMIF($A$2:A25,"&lt;&gt;",N$2:N25),2)),IF(OR(M26="",NOT(ISNUMBER(historico_VU!D26))),"",ROUND(M26*historico_VU!D26,2)))</f>
        <v/>
      </c>
      <c r="O26" s="85" t="str">
        <f>IF(OR(posicao_contratual!N26="",posicao_contratual!R26=""),"",ROUND(MAX(posicao_contratual!N26+posicao_contratual!L26-posicao_contratual!R26,0),2))</f>
        <v/>
      </c>
      <c r="P26" s="79" t="str">
        <f>IF(AND(A26="",A25&lt;&gt;"",COUNTIF(A27:$A$200,"&lt;&gt;")=0),IF(COUNT(P$2:P25)=0,"",ROUND(SUMIF($A$2:A25,"&lt;&gt;",P$2:P25),2)),IF(OR(O26="",NOT(ISNUMBER(historico_VU!E26))),"",ROUND(O26*historico_VU!E26,2)))</f>
        <v/>
      </c>
      <c r="Q26" s="85" t="str">
        <f>IF(OR(posicao_contratual!R26="",posicao_contratual!V26=""),"",ROUND(MAX(posicao_contratual!R26+posicao_contratual!P26-posicao_contratual!V26,0),2))</f>
        <v/>
      </c>
      <c r="R26" s="79" t="str">
        <f>IF(AND(A26="",A25&lt;&gt;"",COUNTIF(A27:$A$200,"&lt;&gt;")=0),IF(COUNT(R$2:R25)=0,"",ROUND(SUMIF($A$2:A25,"&lt;&gt;",R$2:R25),2)),IF(OR(Q26="",NOT(ISNUMBER(historico_VU!F26))),"",ROUND(Q26*historico_VU!F26,2)))</f>
        <v/>
      </c>
      <c r="S26" s="21"/>
      <c r="T26" s="22" t="str">
        <f>IF(AND(A26="",A25&lt;&gt;"",COUNTIF(A27:$A$200,"&lt;&gt;")=0),IF(COUNT(T$2:T25)=0,"",ROUND(SUMIF($A$2:A25,"&lt;&gt;",T$2:T25),2)),IF(OR(S26="",NOT(ISNUMBER(historico_VU!G26))),"",ROUND(S26*historico_VU!G26,2)))</f>
        <v/>
      </c>
      <c r="U26" s="86" t="str">
        <f>IF(AND(A26="",A25&lt;&gt;"",COUNTIF(A27:$A$200,"&lt;&gt;")=0),"TOTAL",IF(A26="","",posicao_contratual!X26))</f>
        <v/>
      </c>
      <c r="V26" s="86" t="str">
        <f>IF(A26="","",posicao_contratual!X26)</f>
        <v/>
      </c>
      <c r="W26" s="14"/>
      <c r="X26" s="14"/>
      <c r="Y26" s="14"/>
      <c r="Z26" s="13"/>
      <c r="AA26" s="13"/>
      <c r="AB26" s="85" t="str">
        <f>IF(OR(A26="",posicao_contratual!E26="",posicao_contratual!J26=""),"",ROUND(MAX(posicao_contratual!E26-posicao_contratual!J26,0),2))</f>
        <v/>
      </c>
      <c r="AC26" s="79" t="str">
        <f>IF(AND(A26="",A25&lt;&gt;"",COUNTIF(A27:$A$200,"&lt;&gt;")=0),IF(COUNT(AC$2:AC25)=0,"",ROUND(SUMIF($A$2:A25,"&lt;&gt;",AC$2:AC25),2)),IF(OR(AB26="",NOT(ISNUMBER(historico_VU!C26))),"",ROUND(AB26*historico_VU!C26,2)))</f>
        <v/>
      </c>
      <c r="AD26" s="145" t="str">
        <f>IF(A26="","",posicao_contratual!E26)</f>
        <v/>
      </c>
      <c r="AE26" s="145" t="str">
        <f>IF(A26="","",posicao_contratual!I26)</f>
        <v/>
      </c>
      <c r="AF26" s="145" t="str">
        <f>IF(A26="","",posicao_contratual!M26)</f>
        <v/>
      </c>
      <c r="AG26" s="145" t="str">
        <f>IF(A26="","",posicao_contratual!Q26)</f>
        <v/>
      </c>
      <c r="AH26" s="145" t="str">
        <f>IF(A26="","",posicao_contratual!U26)</f>
        <v/>
      </c>
      <c r="AI26" s="145" t="str">
        <f>IF(A26="","",posicao_contratual!G26)</f>
        <v/>
      </c>
      <c r="AJ26" s="145" t="str">
        <f>IF(A26="","",posicao_contratual!K26)</f>
        <v/>
      </c>
      <c r="AK26" s="145" t="str">
        <f>IF(A26="","",posicao_contratual!O26)</f>
        <v/>
      </c>
      <c r="AL26" s="145" t="str">
        <f>IF(A26="","",posicao_contratual!S26)</f>
        <v/>
      </c>
      <c r="AM26" s="145" t="str">
        <f>IF(A26="","",posicao_contratual!W26)</f>
        <v/>
      </c>
      <c r="AN26" s="146" t="str">
        <f>IF(A26="","",posicao_contratual!X26)</f>
        <v/>
      </c>
      <c r="AO26" t="str">
        <f>IF($A26="","",ROUND(SUMIFS(itens_Consumidos!$E$2:$E$200,itens_Consumidos!$A$2:$A$200,$A26),2))</f>
        <v/>
      </c>
      <c r="AP26" t="str">
        <f t="shared" si="0"/>
        <v/>
      </c>
      <c r="AQ26" t="str">
        <f>IF(OR($A26="",AB26="",MEMORIA_RESULTADOS!$I$258=""),"",ROUND(AB26*$C26*(MEMORIA_RESULTADOS!$I$258-1),2))</f>
        <v/>
      </c>
      <c r="AR26" t="str">
        <f>IF(OR($A26="",AP26="",MEMORIA_RESULTADOS!$I$258=""),"",ROUND(AP26*$C26*(parametros!$F$2-MEMORIA_RESULTADOS!$I$258),2))</f>
        <v/>
      </c>
      <c r="AS26" t="str">
        <f>IF($A26="","",ROUND(SUMIFS(itens_Consumidos!$G$2:$G$200,itens_Consumidos!$A$2:$A$200,$A26),2))</f>
        <v/>
      </c>
      <c r="AT26" t="str">
        <f t="shared" si="1"/>
        <v/>
      </c>
      <c r="AU26" t="str">
        <f>IF(OR($A26="",M26="",MEMORIA_RESULTADOS!$I$259=""),"",ROUND(M26*$C26*(MEMORIA_RESULTADOS!$I$259-1),2))</f>
        <v/>
      </c>
      <c r="AV26" t="str">
        <f>IF(OR($A26="",AT26="",MEMORIA_RESULTADOS!$I$259=""),"",ROUND(AT26*$C26*(parametros!$F$3-MEMORIA_RESULTADOS!$I$259),2))</f>
        <v/>
      </c>
      <c r="AW26" t="str">
        <f>IF($A26="","",ROUND(SUMIFS(itens_Consumidos!$I$2:$I$200,itens_Consumidos!$A$2:$A$200,$A26),2))</f>
        <v/>
      </c>
      <c r="AX26" t="str">
        <f t="shared" si="2"/>
        <v/>
      </c>
      <c r="AY26" t="str">
        <f>IF(OR($A26="",O26="",MEMORIA_RESULTADOS!$I$260=""),"",ROUND(O26*$C26*(MEMORIA_RESULTADOS!$I$260-1),2))</f>
        <v/>
      </c>
      <c r="AZ26" t="str">
        <f>IF(OR($A26="",AX26="",MEMORIA_RESULTADOS!$I$260=""),"",ROUND(AX26*$C26*(parametros!$F$4-MEMORIA_RESULTADOS!$I$260),2))</f>
        <v/>
      </c>
      <c r="BA26" t="str">
        <f>IF($A26="","",ROUND(SUMIFS(itens_Consumidos!$K$2:$K$200,itens_Consumidos!$A$2:$A$200,$A26),2))</f>
        <v/>
      </c>
      <c r="BB26" t="str">
        <f t="shared" si="3"/>
        <v/>
      </c>
      <c r="BC26" t="str">
        <f>IF(OR($A26="",Q26="",MEMORIA_RESULTADOS!$I$261=""),"",ROUND(Q26*$C26*(MEMORIA_RESULTADOS!$I$261-1),2))</f>
        <v/>
      </c>
      <c r="BD26" t="str">
        <f>IF(OR($A26="",BB26="",MEMORIA_RESULTADOS!$I$261=""),"",ROUND(BB26*$C26*(parametros!$F$5-MEMORIA_RESULTADOS!$I$261),2))</f>
        <v/>
      </c>
      <c r="BE26" t="str">
        <f>IF($A26="","",ROUND(SUMIFS(itens_Consumidos!$M$2:$M$200,itens_Consumidos!$A$2:$A$200,$A26),2))</f>
        <v/>
      </c>
      <c r="BF26" t="str">
        <f t="shared" si="4"/>
        <v/>
      </c>
      <c r="BG26" t="str">
        <f>IF(OR($A26="",S26="",MEMORIA_RESULTADOS!$I$262=""),"",ROUND(S26*$C26*(MEMORIA_RESULTADOS!$I$262-1),2))</f>
        <v/>
      </c>
      <c r="BH26" t="str">
        <f>IF(OR($A26="",BF26="",MEMORIA_RESULTADOS!$I$262=""),"",ROUND(BF26*$C26*(parametros!$F$6-MEMORIA_RESULTADOS!$I$262),2))</f>
        <v/>
      </c>
      <c r="BI26" t="str">
        <f>IF($A26="","",IF(posicao_contratual!$AL26="","",posicao_contratual!$AL26))</f>
        <v/>
      </c>
    </row>
    <row r="27" spans="1:61" x14ac:dyDescent="0.35">
      <c r="A27" s="81"/>
      <c r="B27" s="82" t="str">
        <f t="shared" si="5"/>
        <v/>
      </c>
      <c r="C27" s="83"/>
      <c r="D27" s="79" t="str">
        <f>IF(AND(A27="",A26&lt;&gt;"",COUNTIF(A28:$A$200,"&lt;&gt;")=0),ROUND(SUMIF($A$2:A26,"&lt;&gt;",$D$2:D26),2),IF(OR(A27="",B27="",C27=""),"",ROUND(B27*C27,2)))</f>
        <v/>
      </c>
      <c r="E27" s="84"/>
      <c r="F27" s="79" t="str">
        <f>IF(AND(A27="",A26&lt;&gt;"",COUNTIF(A28:$A$200,"&lt;&gt;")=0),IF(COUNT(F$2:F26)=0,"",ROUND(SUMIF($A$2:A26,"&lt;&gt;",F$2:F26),2)),IF(OR(A27="",AND(ISNUMBER(posicao_contratual!$AL27),posicao_contratual!$AL27&gt;1),posicao_contratual!K27="",NOT(ISNUMBER(historico_VU!D27))),"",ROUND(posicao_contratual!K27*historico_VU!D27,2)))</f>
        <v/>
      </c>
      <c r="G27" s="84"/>
      <c r="H27" s="79" t="str">
        <f>IF(AND(A27="",A26&lt;&gt;"",COUNTIF(A28:$A$200,"&lt;&gt;")=0),IF(COUNT(H$2:H26)=0,"",ROUND(SUMIF($A$2:A26,"&lt;&gt;",H$2:H26),2)),IF(OR(A27="",AND(ISNUMBER(posicao_contratual!$AL27),posicao_contratual!$AL27&gt;2),posicao_contratual!O27="",NOT(ISNUMBER(historico_VU!E27))),"",ROUND(posicao_contratual!O27*historico_VU!E27,2)))</f>
        <v/>
      </c>
      <c r="I27" s="84"/>
      <c r="J27" s="79" t="str">
        <f>IF(AND(A27="",A26&lt;&gt;"",COUNTIF(A28:$A$200,"&lt;&gt;")=0),IF(COUNT(J$2:J26)=0,"",ROUND(SUMIF($A$2:A26,"&lt;&gt;",J$2:J26),2)),IF(OR(A27="",AND(ISNUMBER(posicao_contratual!$AL27),posicao_contratual!$AL27&gt;3),posicao_contratual!S27="",NOT(ISNUMBER(historico_VU!F27))),"",ROUND(posicao_contratual!S27*historico_VU!F27,2)))</f>
        <v/>
      </c>
      <c r="K27" s="84"/>
      <c r="L27" s="79" t="str">
        <f>IF(AND(A27="",A26&lt;&gt;"",COUNTIF(A28:$A$200,"&lt;&gt;")=0),IF(COUNT(L$2:L26)=0,"",ROUND(SUMIF($A$2:A26,"&lt;&gt;",L$2:L26),2)),IF(OR(A27="",AND(ISNUMBER(posicao_contratual!$AL27),posicao_contratual!$AL27&gt;4),posicao_contratual!W27="",NOT(ISNUMBER(historico_VU!G27))),"",ROUND(posicao_contratual!W27*historico_VU!G27,2)))</f>
        <v/>
      </c>
      <c r="M27" s="85" t="str">
        <f>IF(OR(posicao_contratual!J27="",posicao_contratual!N27=""),"",ROUND(MAX(posicao_contratual!J27+posicao_contratual!H27-posicao_contratual!N27,0),2))</f>
        <v/>
      </c>
      <c r="N27" s="79" t="str">
        <f>IF(AND(A27="",A26&lt;&gt;"",COUNTIF(A28:$A$200,"&lt;&gt;")=0),IF(COUNT(N$2:N26)=0,"",ROUND(SUMIF($A$2:A26,"&lt;&gt;",N$2:N26),2)),IF(OR(M27="",NOT(ISNUMBER(historico_VU!D27))),"",ROUND(M27*historico_VU!D27,2)))</f>
        <v/>
      </c>
      <c r="O27" s="85" t="str">
        <f>IF(OR(posicao_contratual!N27="",posicao_contratual!R27=""),"",ROUND(MAX(posicao_contratual!N27+posicao_contratual!L27-posicao_contratual!R27,0),2))</f>
        <v/>
      </c>
      <c r="P27" s="79" t="str">
        <f>IF(AND(A27="",A26&lt;&gt;"",COUNTIF(A28:$A$200,"&lt;&gt;")=0),IF(COUNT(P$2:P26)=0,"",ROUND(SUMIF($A$2:A26,"&lt;&gt;",P$2:P26),2)),IF(OR(O27="",NOT(ISNUMBER(historico_VU!E27))),"",ROUND(O27*historico_VU!E27,2)))</f>
        <v/>
      </c>
      <c r="Q27" s="85" t="str">
        <f>IF(OR(posicao_contratual!R27="",posicao_contratual!V27=""),"",ROUND(MAX(posicao_contratual!R27+posicao_contratual!P27-posicao_contratual!V27,0),2))</f>
        <v/>
      </c>
      <c r="R27" s="79" t="str">
        <f>IF(AND(A27="",A26&lt;&gt;"",COUNTIF(A28:$A$200,"&lt;&gt;")=0),IF(COUNT(R$2:R26)=0,"",ROUND(SUMIF($A$2:A26,"&lt;&gt;",R$2:R26),2)),IF(OR(Q27="",NOT(ISNUMBER(historico_VU!F27))),"",ROUND(Q27*historico_VU!F27,2)))</f>
        <v/>
      </c>
      <c r="S27" s="21"/>
      <c r="T27" s="22" t="str">
        <f>IF(AND(A27="",A26&lt;&gt;"",COUNTIF(A28:$A$200,"&lt;&gt;")=0),IF(COUNT(T$2:T26)=0,"",ROUND(SUMIF($A$2:A26,"&lt;&gt;",T$2:T26),2)),IF(OR(S27="",NOT(ISNUMBER(historico_VU!G27))),"",ROUND(S27*historico_VU!G27,2)))</f>
        <v/>
      </c>
      <c r="U27" s="86" t="str">
        <f>IF(AND(A27="",A26&lt;&gt;"",COUNTIF(A28:$A$200,"&lt;&gt;")=0),"TOTAL",IF(A27="","",posicao_contratual!X27))</f>
        <v/>
      </c>
      <c r="V27" s="86" t="str">
        <f>IF(A27="","",posicao_contratual!X27)</f>
        <v/>
      </c>
      <c r="W27" s="14"/>
      <c r="X27" s="14"/>
      <c r="Y27" s="14"/>
      <c r="Z27" s="13"/>
      <c r="AA27" s="13"/>
      <c r="AB27" s="85" t="str">
        <f>IF(OR(A27="",posicao_contratual!E27="",posicao_contratual!J27=""),"",ROUND(MAX(posicao_contratual!E27-posicao_contratual!J27,0),2))</f>
        <v/>
      </c>
      <c r="AC27" s="79" t="str">
        <f>IF(AND(A27="",A26&lt;&gt;"",COUNTIF(A28:$A$200,"&lt;&gt;")=0),IF(COUNT(AC$2:AC26)=0,"",ROUND(SUMIF($A$2:A26,"&lt;&gt;",AC$2:AC26),2)),IF(OR(AB27="",NOT(ISNUMBER(historico_VU!C27))),"",ROUND(AB27*historico_VU!C27,2)))</f>
        <v/>
      </c>
      <c r="AD27" s="145" t="str">
        <f>IF(A27="","",posicao_contratual!E27)</f>
        <v/>
      </c>
      <c r="AE27" s="145" t="str">
        <f>IF(A27="","",posicao_contratual!I27)</f>
        <v/>
      </c>
      <c r="AF27" s="145" t="str">
        <f>IF(A27="","",posicao_contratual!M27)</f>
        <v/>
      </c>
      <c r="AG27" s="145" t="str">
        <f>IF(A27="","",posicao_contratual!Q27)</f>
        <v/>
      </c>
      <c r="AH27" s="145" t="str">
        <f>IF(A27="","",posicao_contratual!U27)</f>
        <v/>
      </c>
      <c r="AI27" s="145" t="str">
        <f>IF(A27="","",posicao_contratual!G27)</f>
        <v/>
      </c>
      <c r="AJ27" s="145" t="str">
        <f>IF(A27="","",posicao_contratual!K27)</f>
        <v/>
      </c>
      <c r="AK27" s="145" t="str">
        <f>IF(A27="","",posicao_contratual!O27)</f>
        <v/>
      </c>
      <c r="AL27" s="145" t="str">
        <f>IF(A27="","",posicao_contratual!S27)</f>
        <v/>
      </c>
      <c r="AM27" s="145" t="str">
        <f>IF(A27="","",posicao_contratual!W27)</f>
        <v/>
      </c>
      <c r="AN27" s="146" t="str">
        <f>IF(A27="","",posicao_contratual!X27)</f>
        <v/>
      </c>
      <c r="AO27" t="str">
        <f>IF($A27="","",ROUND(SUMIFS(itens_Consumidos!$E$2:$E$200,itens_Consumidos!$A$2:$A$200,$A27),2))</f>
        <v/>
      </c>
      <c r="AP27" t="str">
        <f t="shared" si="0"/>
        <v/>
      </c>
      <c r="AQ27" t="str">
        <f>IF(OR($A27="",AB27="",MEMORIA_RESULTADOS!$I$258=""),"",ROUND(AB27*$C27*(MEMORIA_RESULTADOS!$I$258-1),2))</f>
        <v/>
      </c>
      <c r="AR27" t="str">
        <f>IF(OR($A27="",AP27="",MEMORIA_RESULTADOS!$I$258=""),"",ROUND(AP27*$C27*(parametros!$F$2-MEMORIA_RESULTADOS!$I$258),2))</f>
        <v/>
      </c>
      <c r="AS27" t="str">
        <f>IF($A27="","",ROUND(SUMIFS(itens_Consumidos!$G$2:$G$200,itens_Consumidos!$A$2:$A$200,$A27),2))</f>
        <v/>
      </c>
      <c r="AT27" t="str">
        <f t="shared" si="1"/>
        <v/>
      </c>
      <c r="AU27" t="str">
        <f>IF(OR($A27="",M27="",MEMORIA_RESULTADOS!$I$259=""),"",ROUND(M27*$C27*(MEMORIA_RESULTADOS!$I$259-1),2))</f>
        <v/>
      </c>
      <c r="AV27" t="str">
        <f>IF(OR($A27="",AT27="",MEMORIA_RESULTADOS!$I$259=""),"",ROUND(AT27*$C27*(parametros!$F$3-MEMORIA_RESULTADOS!$I$259),2))</f>
        <v/>
      </c>
      <c r="AW27" t="str">
        <f>IF($A27="","",ROUND(SUMIFS(itens_Consumidos!$I$2:$I$200,itens_Consumidos!$A$2:$A$200,$A27),2))</f>
        <v/>
      </c>
      <c r="AX27" t="str">
        <f t="shared" si="2"/>
        <v/>
      </c>
      <c r="AY27" t="str">
        <f>IF(OR($A27="",O27="",MEMORIA_RESULTADOS!$I$260=""),"",ROUND(O27*$C27*(MEMORIA_RESULTADOS!$I$260-1),2))</f>
        <v/>
      </c>
      <c r="AZ27" t="str">
        <f>IF(OR($A27="",AX27="",MEMORIA_RESULTADOS!$I$260=""),"",ROUND(AX27*$C27*(parametros!$F$4-MEMORIA_RESULTADOS!$I$260),2))</f>
        <v/>
      </c>
      <c r="BA27" t="str">
        <f>IF($A27="","",ROUND(SUMIFS(itens_Consumidos!$K$2:$K$200,itens_Consumidos!$A$2:$A$200,$A27),2))</f>
        <v/>
      </c>
      <c r="BB27" t="str">
        <f t="shared" si="3"/>
        <v/>
      </c>
      <c r="BC27" t="str">
        <f>IF(OR($A27="",Q27="",MEMORIA_RESULTADOS!$I$261=""),"",ROUND(Q27*$C27*(MEMORIA_RESULTADOS!$I$261-1),2))</f>
        <v/>
      </c>
      <c r="BD27" t="str">
        <f>IF(OR($A27="",BB27="",MEMORIA_RESULTADOS!$I$261=""),"",ROUND(BB27*$C27*(parametros!$F$5-MEMORIA_RESULTADOS!$I$261),2))</f>
        <v/>
      </c>
      <c r="BE27" t="str">
        <f>IF($A27="","",ROUND(SUMIFS(itens_Consumidos!$M$2:$M$200,itens_Consumidos!$A$2:$A$200,$A27),2))</f>
        <v/>
      </c>
      <c r="BF27" t="str">
        <f t="shared" si="4"/>
        <v/>
      </c>
      <c r="BG27" t="str">
        <f>IF(OR($A27="",S27="",MEMORIA_RESULTADOS!$I$262=""),"",ROUND(S27*$C27*(MEMORIA_RESULTADOS!$I$262-1),2))</f>
        <v/>
      </c>
      <c r="BH27" t="str">
        <f>IF(OR($A27="",BF27="",MEMORIA_RESULTADOS!$I$262=""),"",ROUND(BF27*$C27*(parametros!$F$6-MEMORIA_RESULTADOS!$I$262),2))</f>
        <v/>
      </c>
      <c r="BI27" t="str">
        <f>IF($A27="","",IF(posicao_contratual!$AL27="","",posicao_contratual!$AL27))</f>
        <v/>
      </c>
    </row>
    <row r="28" spans="1:61" x14ac:dyDescent="0.35">
      <c r="A28" s="81"/>
      <c r="B28" s="82" t="str">
        <f t="shared" si="5"/>
        <v/>
      </c>
      <c r="C28" s="83"/>
      <c r="D28" s="79" t="str">
        <f>IF(AND(A28="",A27&lt;&gt;"",COUNTIF(A29:$A$200,"&lt;&gt;")=0),ROUND(SUMIF($A$2:A27,"&lt;&gt;",$D$2:D27),2),IF(OR(A28="",B28="",C28=""),"",ROUND(B28*C28,2)))</f>
        <v/>
      </c>
      <c r="E28" s="84"/>
      <c r="F28" s="79" t="str">
        <f>IF(AND(A28="",A27&lt;&gt;"",COUNTIF(A29:$A$200,"&lt;&gt;")=0),IF(COUNT(F$2:F27)=0,"",ROUND(SUMIF($A$2:A27,"&lt;&gt;",F$2:F27),2)),IF(OR(A28="",AND(ISNUMBER(posicao_contratual!$AL28),posicao_contratual!$AL28&gt;1),posicao_contratual!K28="",NOT(ISNUMBER(historico_VU!D28))),"",ROUND(posicao_contratual!K28*historico_VU!D28,2)))</f>
        <v/>
      </c>
      <c r="G28" s="84"/>
      <c r="H28" s="79" t="str">
        <f>IF(AND(A28="",A27&lt;&gt;"",COUNTIF(A29:$A$200,"&lt;&gt;")=0),IF(COUNT(H$2:H27)=0,"",ROUND(SUMIF($A$2:A27,"&lt;&gt;",H$2:H27),2)),IF(OR(A28="",AND(ISNUMBER(posicao_contratual!$AL28),posicao_contratual!$AL28&gt;2),posicao_contratual!O28="",NOT(ISNUMBER(historico_VU!E28))),"",ROUND(posicao_contratual!O28*historico_VU!E28,2)))</f>
        <v/>
      </c>
      <c r="I28" s="84"/>
      <c r="J28" s="79" t="str">
        <f>IF(AND(A28="",A27&lt;&gt;"",COUNTIF(A29:$A$200,"&lt;&gt;")=0),IF(COUNT(J$2:J27)=0,"",ROUND(SUMIF($A$2:A27,"&lt;&gt;",J$2:J27),2)),IF(OR(A28="",AND(ISNUMBER(posicao_contratual!$AL28),posicao_contratual!$AL28&gt;3),posicao_contratual!S28="",NOT(ISNUMBER(historico_VU!F28))),"",ROUND(posicao_contratual!S28*historico_VU!F28,2)))</f>
        <v/>
      </c>
      <c r="K28" s="84"/>
      <c r="L28" s="79" t="str">
        <f>IF(AND(A28="",A27&lt;&gt;"",COUNTIF(A29:$A$200,"&lt;&gt;")=0),IF(COUNT(L$2:L27)=0,"",ROUND(SUMIF($A$2:A27,"&lt;&gt;",L$2:L27),2)),IF(OR(A28="",AND(ISNUMBER(posicao_contratual!$AL28),posicao_contratual!$AL28&gt;4),posicao_contratual!W28="",NOT(ISNUMBER(historico_VU!G28))),"",ROUND(posicao_contratual!W28*historico_VU!G28,2)))</f>
        <v/>
      </c>
      <c r="M28" s="85" t="str">
        <f>IF(OR(posicao_contratual!J28="",posicao_contratual!N28=""),"",ROUND(MAX(posicao_contratual!J28+posicao_contratual!H28-posicao_contratual!N28,0),2))</f>
        <v/>
      </c>
      <c r="N28" s="79" t="str">
        <f>IF(AND(A28="",A27&lt;&gt;"",COUNTIF(A29:$A$200,"&lt;&gt;")=0),IF(COUNT(N$2:N27)=0,"",ROUND(SUMIF($A$2:A27,"&lt;&gt;",N$2:N27),2)),IF(OR(M28="",NOT(ISNUMBER(historico_VU!D28))),"",ROUND(M28*historico_VU!D28,2)))</f>
        <v/>
      </c>
      <c r="O28" s="85" t="str">
        <f>IF(OR(posicao_contratual!N28="",posicao_contratual!R28=""),"",ROUND(MAX(posicao_contratual!N28+posicao_contratual!L28-posicao_contratual!R28,0),2))</f>
        <v/>
      </c>
      <c r="P28" s="79" t="str">
        <f>IF(AND(A28="",A27&lt;&gt;"",COUNTIF(A29:$A$200,"&lt;&gt;")=0),IF(COUNT(P$2:P27)=0,"",ROUND(SUMIF($A$2:A27,"&lt;&gt;",P$2:P27),2)),IF(OR(O28="",NOT(ISNUMBER(historico_VU!E28))),"",ROUND(O28*historico_VU!E28,2)))</f>
        <v/>
      </c>
      <c r="Q28" s="85" t="str">
        <f>IF(OR(posicao_contratual!R28="",posicao_contratual!V28=""),"",ROUND(MAX(posicao_contratual!R28+posicao_contratual!P28-posicao_contratual!V28,0),2))</f>
        <v/>
      </c>
      <c r="R28" s="79" t="str">
        <f>IF(AND(A28="",A27&lt;&gt;"",COUNTIF(A29:$A$200,"&lt;&gt;")=0),IF(COUNT(R$2:R27)=0,"",ROUND(SUMIF($A$2:A27,"&lt;&gt;",R$2:R27),2)),IF(OR(Q28="",NOT(ISNUMBER(historico_VU!F28))),"",ROUND(Q28*historico_VU!F28,2)))</f>
        <v/>
      </c>
      <c r="S28" s="21"/>
      <c r="T28" s="22" t="str">
        <f>IF(AND(A28="",A27&lt;&gt;"",COUNTIF(A29:$A$200,"&lt;&gt;")=0),IF(COUNT(T$2:T27)=0,"",ROUND(SUMIF($A$2:A27,"&lt;&gt;",T$2:T27),2)),IF(OR(S28="",NOT(ISNUMBER(historico_VU!G28))),"",ROUND(S28*historico_VU!G28,2)))</f>
        <v/>
      </c>
      <c r="U28" s="86" t="str">
        <f>IF(AND(A28="",A27&lt;&gt;"",COUNTIF(A29:$A$200,"&lt;&gt;")=0),"TOTAL",IF(A28="","",posicao_contratual!X28))</f>
        <v/>
      </c>
      <c r="V28" s="86" t="str">
        <f>IF(A28="","",posicao_contratual!X28)</f>
        <v/>
      </c>
      <c r="W28" s="14"/>
      <c r="X28" s="14"/>
      <c r="Y28" s="14"/>
      <c r="Z28" s="13"/>
      <c r="AA28" s="13"/>
      <c r="AB28" s="85" t="str">
        <f>IF(OR(A28="",posicao_contratual!E28="",posicao_contratual!J28=""),"",ROUND(MAX(posicao_contratual!E28-posicao_contratual!J28,0),2))</f>
        <v/>
      </c>
      <c r="AC28" s="79" t="str">
        <f>IF(AND(A28="",A27&lt;&gt;"",COUNTIF(A29:$A$200,"&lt;&gt;")=0),IF(COUNT(AC$2:AC27)=0,"",ROUND(SUMIF($A$2:A27,"&lt;&gt;",AC$2:AC27),2)),IF(OR(AB28="",NOT(ISNUMBER(historico_VU!C28))),"",ROUND(AB28*historico_VU!C28,2)))</f>
        <v/>
      </c>
      <c r="AD28" s="145" t="str">
        <f>IF(A28="","",posicao_contratual!E28)</f>
        <v/>
      </c>
      <c r="AE28" s="145" t="str">
        <f>IF(A28="","",posicao_contratual!I28)</f>
        <v/>
      </c>
      <c r="AF28" s="145" t="str">
        <f>IF(A28="","",posicao_contratual!M28)</f>
        <v/>
      </c>
      <c r="AG28" s="145" t="str">
        <f>IF(A28="","",posicao_contratual!Q28)</f>
        <v/>
      </c>
      <c r="AH28" s="145" t="str">
        <f>IF(A28="","",posicao_contratual!U28)</f>
        <v/>
      </c>
      <c r="AI28" s="145" t="str">
        <f>IF(A28="","",posicao_contratual!G28)</f>
        <v/>
      </c>
      <c r="AJ28" s="145" t="str">
        <f>IF(A28="","",posicao_contratual!K28)</f>
        <v/>
      </c>
      <c r="AK28" s="145" t="str">
        <f>IF(A28="","",posicao_contratual!O28)</f>
        <v/>
      </c>
      <c r="AL28" s="145" t="str">
        <f>IF(A28="","",posicao_contratual!S28)</f>
        <v/>
      </c>
      <c r="AM28" s="145" t="str">
        <f>IF(A28="","",posicao_contratual!W28)</f>
        <v/>
      </c>
      <c r="AN28" s="146" t="str">
        <f>IF(A28="","",posicao_contratual!X28)</f>
        <v/>
      </c>
      <c r="AO28" t="str">
        <f>IF($A28="","",ROUND(SUMIFS(itens_Consumidos!$E$2:$E$200,itens_Consumidos!$A$2:$A$200,$A28),2))</f>
        <v/>
      </c>
      <c r="AP28" t="str">
        <f t="shared" si="0"/>
        <v/>
      </c>
      <c r="AQ28" t="str">
        <f>IF(OR($A28="",AB28="",MEMORIA_RESULTADOS!$I$258=""),"",ROUND(AB28*$C28*(MEMORIA_RESULTADOS!$I$258-1),2))</f>
        <v/>
      </c>
      <c r="AR28" t="str">
        <f>IF(OR($A28="",AP28="",MEMORIA_RESULTADOS!$I$258=""),"",ROUND(AP28*$C28*(parametros!$F$2-MEMORIA_RESULTADOS!$I$258),2))</f>
        <v/>
      </c>
      <c r="AS28" t="str">
        <f>IF($A28="","",ROUND(SUMIFS(itens_Consumidos!$G$2:$G$200,itens_Consumidos!$A$2:$A$200,$A28),2))</f>
        <v/>
      </c>
      <c r="AT28" t="str">
        <f t="shared" si="1"/>
        <v/>
      </c>
      <c r="AU28" t="str">
        <f>IF(OR($A28="",M28="",MEMORIA_RESULTADOS!$I$259=""),"",ROUND(M28*$C28*(MEMORIA_RESULTADOS!$I$259-1),2))</f>
        <v/>
      </c>
      <c r="AV28" t="str">
        <f>IF(OR($A28="",AT28="",MEMORIA_RESULTADOS!$I$259=""),"",ROUND(AT28*$C28*(parametros!$F$3-MEMORIA_RESULTADOS!$I$259),2))</f>
        <v/>
      </c>
      <c r="AW28" t="str">
        <f>IF($A28="","",ROUND(SUMIFS(itens_Consumidos!$I$2:$I$200,itens_Consumidos!$A$2:$A$200,$A28),2))</f>
        <v/>
      </c>
      <c r="AX28" t="str">
        <f t="shared" si="2"/>
        <v/>
      </c>
      <c r="AY28" t="str">
        <f>IF(OR($A28="",O28="",MEMORIA_RESULTADOS!$I$260=""),"",ROUND(O28*$C28*(MEMORIA_RESULTADOS!$I$260-1),2))</f>
        <v/>
      </c>
      <c r="AZ28" t="str">
        <f>IF(OR($A28="",AX28="",MEMORIA_RESULTADOS!$I$260=""),"",ROUND(AX28*$C28*(parametros!$F$4-MEMORIA_RESULTADOS!$I$260),2))</f>
        <v/>
      </c>
      <c r="BA28" t="str">
        <f>IF($A28="","",ROUND(SUMIFS(itens_Consumidos!$K$2:$K$200,itens_Consumidos!$A$2:$A$200,$A28),2))</f>
        <v/>
      </c>
      <c r="BB28" t="str">
        <f t="shared" si="3"/>
        <v/>
      </c>
      <c r="BC28" t="str">
        <f>IF(OR($A28="",Q28="",MEMORIA_RESULTADOS!$I$261=""),"",ROUND(Q28*$C28*(MEMORIA_RESULTADOS!$I$261-1),2))</f>
        <v/>
      </c>
      <c r="BD28" t="str">
        <f>IF(OR($A28="",BB28="",MEMORIA_RESULTADOS!$I$261=""),"",ROUND(BB28*$C28*(parametros!$F$5-MEMORIA_RESULTADOS!$I$261),2))</f>
        <v/>
      </c>
      <c r="BE28" t="str">
        <f>IF($A28="","",ROUND(SUMIFS(itens_Consumidos!$M$2:$M$200,itens_Consumidos!$A$2:$A$200,$A28),2))</f>
        <v/>
      </c>
      <c r="BF28" t="str">
        <f t="shared" si="4"/>
        <v/>
      </c>
      <c r="BG28" t="str">
        <f>IF(OR($A28="",S28="",MEMORIA_RESULTADOS!$I$262=""),"",ROUND(S28*$C28*(MEMORIA_RESULTADOS!$I$262-1),2))</f>
        <v/>
      </c>
      <c r="BH28" t="str">
        <f>IF(OR($A28="",BF28="",MEMORIA_RESULTADOS!$I$262=""),"",ROUND(BF28*$C28*(parametros!$F$6-MEMORIA_RESULTADOS!$I$262),2))</f>
        <v/>
      </c>
      <c r="BI28" t="str">
        <f>IF($A28="","",IF(posicao_contratual!$AL28="","",posicao_contratual!$AL28))</f>
        <v/>
      </c>
    </row>
    <row r="29" spans="1:61" x14ac:dyDescent="0.35">
      <c r="A29" s="81"/>
      <c r="B29" s="82" t="str">
        <f t="shared" si="5"/>
        <v/>
      </c>
      <c r="C29" s="83"/>
      <c r="D29" s="79" t="str">
        <f>IF(AND(A29="",A28&lt;&gt;"",COUNTIF(A30:$A$200,"&lt;&gt;")=0),ROUND(SUMIF($A$2:A28,"&lt;&gt;",$D$2:D28),2),IF(OR(A29="",B29="",C29=""),"",ROUND(B29*C29,2)))</f>
        <v/>
      </c>
      <c r="E29" s="84"/>
      <c r="F29" s="79" t="str">
        <f>IF(AND(A29="",A28&lt;&gt;"",COUNTIF(A30:$A$200,"&lt;&gt;")=0),IF(COUNT(F$2:F28)=0,"",ROUND(SUMIF($A$2:A28,"&lt;&gt;",F$2:F28),2)),IF(OR(A29="",AND(ISNUMBER(posicao_contratual!$AL29),posicao_contratual!$AL29&gt;1),posicao_contratual!K29="",NOT(ISNUMBER(historico_VU!D29))),"",ROUND(posicao_contratual!K29*historico_VU!D29,2)))</f>
        <v/>
      </c>
      <c r="G29" s="84"/>
      <c r="H29" s="79" t="str">
        <f>IF(AND(A29="",A28&lt;&gt;"",COUNTIF(A30:$A$200,"&lt;&gt;")=0),IF(COUNT(H$2:H28)=0,"",ROUND(SUMIF($A$2:A28,"&lt;&gt;",H$2:H28),2)),IF(OR(A29="",AND(ISNUMBER(posicao_contratual!$AL29),posicao_contratual!$AL29&gt;2),posicao_contratual!O29="",NOT(ISNUMBER(historico_VU!E29))),"",ROUND(posicao_contratual!O29*historico_VU!E29,2)))</f>
        <v/>
      </c>
      <c r="I29" s="84"/>
      <c r="J29" s="79" t="str">
        <f>IF(AND(A29="",A28&lt;&gt;"",COUNTIF(A30:$A$200,"&lt;&gt;")=0),IF(COUNT(J$2:J28)=0,"",ROUND(SUMIF($A$2:A28,"&lt;&gt;",J$2:J28),2)),IF(OR(A29="",AND(ISNUMBER(posicao_contratual!$AL29),posicao_contratual!$AL29&gt;3),posicao_contratual!S29="",NOT(ISNUMBER(historico_VU!F29))),"",ROUND(posicao_contratual!S29*historico_VU!F29,2)))</f>
        <v/>
      </c>
      <c r="K29" s="84"/>
      <c r="L29" s="79" t="str">
        <f>IF(AND(A29="",A28&lt;&gt;"",COUNTIF(A30:$A$200,"&lt;&gt;")=0),IF(COUNT(L$2:L28)=0,"",ROUND(SUMIF($A$2:A28,"&lt;&gt;",L$2:L28),2)),IF(OR(A29="",AND(ISNUMBER(posicao_contratual!$AL29),posicao_contratual!$AL29&gt;4),posicao_contratual!W29="",NOT(ISNUMBER(historico_VU!G29))),"",ROUND(posicao_contratual!W29*historico_VU!G29,2)))</f>
        <v/>
      </c>
      <c r="M29" s="85" t="str">
        <f>IF(OR(posicao_contratual!J29="",posicao_contratual!N29=""),"",ROUND(MAX(posicao_contratual!J29+posicao_contratual!H29-posicao_contratual!N29,0),2))</f>
        <v/>
      </c>
      <c r="N29" s="79" t="str">
        <f>IF(AND(A29="",A28&lt;&gt;"",COUNTIF(A30:$A$200,"&lt;&gt;")=0),IF(COUNT(N$2:N28)=0,"",ROUND(SUMIF($A$2:A28,"&lt;&gt;",N$2:N28),2)),IF(OR(M29="",NOT(ISNUMBER(historico_VU!D29))),"",ROUND(M29*historico_VU!D29,2)))</f>
        <v/>
      </c>
      <c r="O29" s="85" t="str">
        <f>IF(OR(posicao_contratual!N29="",posicao_contratual!R29=""),"",ROUND(MAX(posicao_contratual!N29+posicao_contratual!L29-posicao_contratual!R29,0),2))</f>
        <v/>
      </c>
      <c r="P29" s="79" t="str">
        <f>IF(AND(A29="",A28&lt;&gt;"",COUNTIF(A30:$A$200,"&lt;&gt;")=0),IF(COUNT(P$2:P28)=0,"",ROUND(SUMIF($A$2:A28,"&lt;&gt;",P$2:P28),2)),IF(OR(O29="",NOT(ISNUMBER(historico_VU!E29))),"",ROUND(O29*historico_VU!E29,2)))</f>
        <v/>
      </c>
      <c r="Q29" s="85" t="str">
        <f>IF(OR(posicao_contratual!R29="",posicao_contratual!V29=""),"",ROUND(MAX(posicao_contratual!R29+posicao_contratual!P29-posicao_contratual!V29,0),2))</f>
        <v/>
      </c>
      <c r="R29" s="79" t="str">
        <f>IF(AND(A29="",A28&lt;&gt;"",COUNTIF(A30:$A$200,"&lt;&gt;")=0),IF(COUNT(R$2:R28)=0,"",ROUND(SUMIF($A$2:A28,"&lt;&gt;",R$2:R28),2)),IF(OR(Q29="",NOT(ISNUMBER(historico_VU!F29))),"",ROUND(Q29*historico_VU!F29,2)))</f>
        <v/>
      </c>
      <c r="S29" s="21"/>
      <c r="T29" s="22" t="str">
        <f>IF(AND(A29="",A28&lt;&gt;"",COUNTIF(A30:$A$200,"&lt;&gt;")=0),IF(COUNT(T$2:T28)=0,"",ROUND(SUMIF($A$2:A28,"&lt;&gt;",T$2:T28),2)),IF(OR(S29="",NOT(ISNUMBER(historico_VU!G29))),"",ROUND(S29*historico_VU!G29,2)))</f>
        <v/>
      </c>
      <c r="U29" s="86" t="str">
        <f>IF(AND(A29="",A28&lt;&gt;"",COUNTIF(A30:$A$200,"&lt;&gt;")=0),"TOTAL",IF(A29="","",posicao_contratual!X29))</f>
        <v/>
      </c>
      <c r="V29" s="86" t="str">
        <f>IF(A29="","",posicao_contratual!X29)</f>
        <v/>
      </c>
      <c r="W29" s="14"/>
      <c r="X29" s="14"/>
      <c r="Y29" s="14"/>
      <c r="Z29" s="13"/>
      <c r="AA29" s="13"/>
      <c r="AB29" s="85" t="str">
        <f>IF(OR(A29="",posicao_contratual!E29="",posicao_contratual!J29=""),"",ROUND(MAX(posicao_contratual!E29-posicao_contratual!J29,0),2))</f>
        <v/>
      </c>
      <c r="AC29" s="79" t="str">
        <f>IF(AND(A29="",A28&lt;&gt;"",COUNTIF(A30:$A$200,"&lt;&gt;")=0),IF(COUNT(AC$2:AC28)=0,"",ROUND(SUMIF($A$2:A28,"&lt;&gt;",AC$2:AC28),2)),IF(OR(AB29="",NOT(ISNUMBER(historico_VU!C29))),"",ROUND(AB29*historico_VU!C29,2)))</f>
        <v/>
      </c>
      <c r="AD29" s="145" t="str">
        <f>IF(A29="","",posicao_contratual!E29)</f>
        <v/>
      </c>
      <c r="AE29" s="145" t="str">
        <f>IF(A29="","",posicao_contratual!I29)</f>
        <v/>
      </c>
      <c r="AF29" s="145" t="str">
        <f>IF(A29="","",posicao_contratual!M29)</f>
        <v/>
      </c>
      <c r="AG29" s="145" t="str">
        <f>IF(A29="","",posicao_contratual!Q29)</f>
        <v/>
      </c>
      <c r="AH29" s="145" t="str">
        <f>IF(A29="","",posicao_contratual!U29)</f>
        <v/>
      </c>
      <c r="AI29" s="145" t="str">
        <f>IF(A29="","",posicao_contratual!G29)</f>
        <v/>
      </c>
      <c r="AJ29" s="145" t="str">
        <f>IF(A29="","",posicao_contratual!K29)</f>
        <v/>
      </c>
      <c r="AK29" s="145" t="str">
        <f>IF(A29="","",posicao_contratual!O29)</f>
        <v/>
      </c>
      <c r="AL29" s="145" t="str">
        <f>IF(A29="","",posicao_contratual!S29)</f>
        <v/>
      </c>
      <c r="AM29" s="145" t="str">
        <f>IF(A29="","",posicao_contratual!W29)</f>
        <v/>
      </c>
      <c r="AN29" s="146" t="str">
        <f>IF(A29="","",posicao_contratual!X29)</f>
        <v/>
      </c>
      <c r="AO29" t="str">
        <f>IF($A29="","",ROUND(SUMIFS(itens_Consumidos!$E$2:$E$200,itens_Consumidos!$A$2:$A$200,$A29),2))</f>
        <v/>
      </c>
      <c r="AP29" t="str">
        <f t="shared" si="0"/>
        <v/>
      </c>
      <c r="AQ29" t="str">
        <f>IF(OR($A29="",AB29="",MEMORIA_RESULTADOS!$I$258=""),"",ROUND(AB29*$C29*(MEMORIA_RESULTADOS!$I$258-1),2))</f>
        <v/>
      </c>
      <c r="AR29" t="str">
        <f>IF(OR($A29="",AP29="",MEMORIA_RESULTADOS!$I$258=""),"",ROUND(AP29*$C29*(parametros!$F$2-MEMORIA_RESULTADOS!$I$258),2))</f>
        <v/>
      </c>
      <c r="AS29" t="str">
        <f>IF($A29="","",ROUND(SUMIFS(itens_Consumidos!$G$2:$G$200,itens_Consumidos!$A$2:$A$200,$A29),2))</f>
        <v/>
      </c>
      <c r="AT29" t="str">
        <f t="shared" si="1"/>
        <v/>
      </c>
      <c r="AU29" t="str">
        <f>IF(OR($A29="",M29="",MEMORIA_RESULTADOS!$I$259=""),"",ROUND(M29*$C29*(MEMORIA_RESULTADOS!$I$259-1),2))</f>
        <v/>
      </c>
      <c r="AV29" t="str">
        <f>IF(OR($A29="",AT29="",MEMORIA_RESULTADOS!$I$259=""),"",ROUND(AT29*$C29*(parametros!$F$3-MEMORIA_RESULTADOS!$I$259),2))</f>
        <v/>
      </c>
      <c r="AW29" t="str">
        <f>IF($A29="","",ROUND(SUMIFS(itens_Consumidos!$I$2:$I$200,itens_Consumidos!$A$2:$A$200,$A29),2))</f>
        <v/>
      </c>
      <c r="AX29" t="str">
        <f t="shared" si="2"/>
        <v/>
      </c>
      <c r="AY29" t="str">
        <f>IF(OR($A29="",O29="",MEMORIA_RESULTADOS!$I$260=""),"",ROUND(O29*$C29*(MEMORIA_RESULTADOS!$I$260-1),2))</f>
        <v/>
      </c>
      <c r="AZ29" t="str">
        <f>IF(OR($A29="",AX29="",MEMORIA_RESULTADOS!$I$260=""),"",ROUND(AX29*$C29*(parametros!$F$4-MEMORIA_RESULTADOS!$I$260),2))</f>
        <v/>
      </c>
      <c r="BA29" t="str">
        <f>IF($A29="","",ROUND(SUMIFS(itens_Consumidos!$K$2:$K$200,itens_Consumidos!$A$2:$A$200,$A29),2))</f>
        <v/>
      </c>
      <c r="BB29" t="str">
        <f t="shared" si="3"/>
        <v/>
      </c>
      <c r="BC29" t="str">
        <f>IF(OR($A29="",Q29="",MEMORIA_RESULTADOS!$I$261=""),"",ROUND(Q29*$C29*(MEMORIA_RESULTADOS!$I$261-1),2))</f>
        <v/>
      </c>
      <c r="BD29" t="str">
        <f>IF(OR($A29="",BB29="",MEMORIA_RESULTADOS!$I$261=""),"",ROUND(BB29*$C29*(parametros!$F$5-MEMORIA_RESULTADOS!$I$261),2))</f>
        <v/>
      </c>
      <c r="BE29" t="str">
        <f>IF($A29="","",ROUND(SUMIFS(itens_Consumidos!$M$2:$M$200,itens_Consumidos!$A$2:$A$200,$A29),2))</f>
        <v/>
      </c>
      <c r="BF29" t="str">
        <f t="shared" si="4"/>
        <v/>
      </c>
      <c r="BG29" t="str">
        <f>IF(OR($A29="",S29="",MEMORIA_RESULTADOS!$I$262=""),"",ROUND(S29*$C29*(MEMORIA_RESULTADOS!$I$262-1),2))</f>
        <v/>
      </c>
      <c r="BH29" t="str">
        <f>IF(OR($A29="",BF29="",MEMORIA_RESULTADOS!$I$262=""),"",ROUND(BF29*$C29*(parametros!$F$6-MEMORIA_RESULTADOS!$I$262),2))</f>
        <v/>
      </c>
      <c r="BI29" t="str">
        <f>IF($A29="","",IF(posicao_contratual!$AL29="","",posicao_contratual!$AL29))</f>
        <v/>
      </c>
    </row>
    <row r="30" spans="1:61" x14ac:dyDescent="0.35">
      <c r="A30" s="81"/>
      <c r="B30" s="82" t="str">
        <f t="shared" si="5"/>
        <v/>
      </c>
      <c r="C30" s="83"/>
      <c r="D30" s="79" t="str">
        <f>IF(AND(A30="",A29&lt;&gt;"",COUNTIF(A31:$A$200,"&lt;&gt;")=0),ROUND(SUMIF($A$2:A29,"&lt;&gt;",$D$2:D29),2),IF(OR(A30="",B30="",C30=""),"",ROUND(B30*C30,2)))</f>
        <v/>
      </c>
      <c r="E30" s="84"/>
      <c r="F30" s="79" t="str">
        <f>IF(AND(A30="",A29&lt;&gt;"",COUNTIF(A31:$A$200,"&lt;&gt;")=0),IF(COUNT(F$2:F29)=0,"",ROUND(SUMIF($A$2:A29,"&lt;&gt;",F$2:F29),2)),IF(OR(A30="",AND(ISNUMBER(posicao_contratual!$AL30),posicao_contratual!$AL30&gt;1),posicao_contratual!K30="",NOT(ISNUMBER(historico_VU!D30))),"",ROUND(posicao_contratual!K30*historico_VU!D30,2)))</f>
        <v/>
      </c>
      <c r="G30" s="84"/>
      <c r="H30" s="79" t="str">
        <f>IF(AND(A30="",A29&lt;&gt;"",COUNTIF(A31:$A$200,"&lt;&gt;")=0),IF(COUNT(H$2:H29)=0,"",ROUND(SUMIF($A$2:A29,"&lt;&gt;",H$2:H29),2)),IF(OR(A30="",AND(ISNUMBER(posicao_contratual!$AL30),posicao_contratual!$AL30&gt;2),posicao_contratual!O30="",NOT(ISNUMBER(historico_VU!E30))),"",ROUND(posicao_contratual!O30*historico_VU!E30,2)))</f>
        <v/>
      </c>
      <c r="I30" s="84"/>
      <c r="J30" s="79" t="str">
        <f>IF(AND(A30="",A29&lt;&gt;"",COUNTIF(A31:$A$200,"&lt;&gt;")=0),IF(COUNT(J$2:J29)=0,"",ROUND(SUMIF($A$2:A29,"&lt;&gt;",J$2:J29),2)),IF(OR(A30="",AND(ISNUMBER(posicao_contratual!$AL30),posicao_contratual!$AL30&gt;3),posicao_contratual!S30="",NOT(ISNUMBER(historico_VU!F30))),"",ROUND(posicao_contratual!S30*historico_VU!F30,2)))</f>
        <v/>
      </c>
      <c r="K30" s="84"/>
      <c r="L30" s="79" t="str">
        <f>IF(AND(A30="",A29&lt;&gt;"",COUNTIF(A31:$A$200,"&lt;&gt;")=0),IF(COUNT(L$2:L29)=0,"",ROUND(SUMIF($A$2:A29,"&lt;&gt;",L$2:L29),2)),IF(OR(A30="",AND(ISNUMBER(posicao_contratual!$AL30),posicao_contratual!$AL30&gt;4),posicao_contratual!W30="",NOT(ISNUMBER(historico_VU!G30))),"",ROUND(posicao_contratual!W30*historico_VU!G30,2)))</f>
        <v/>
      </c>
      <c r="M30" s="85" t="str">
        <f>IF(OR(posicao_contratual!J30="",posicao_contratual!N30=""),"",ROUND(MAX(posicao_contratual!J30+posicao_contratual!H30-posicao_contratual!N30,0),2))</f>
        <v/>
      </c>
      <c r="N30" s="79" t="str">
        <f>IF(AND(A30="",A29&lt;&gt;"",COUNTIF(A31:$A$200,"&lt;&gt;")=0),IF(COUNT(N$2:N29)=0,"",ROUND(SUMIF($A$2:A29,"&lt;&gt;",N$2:N29),2)),IF(OR(M30="",NOT(ISNUMBER(historico_VU!D30))),"",ROUND(M30*historico_VU!D30,2)))</f>
        <v/>
      </c>
      <c r="O30" s="85" t="str">
        <f>IF(OR(posicao_contratual!N30="",posicao_contratual!R30=""),"",ROUND(MAX(posicao_contratual!N30+posicao_contratual!L30-posicao_contratual!R30,0),2))</f>
        <v/>
      </c>
      <c r="P30" s="79" t="str">
        <f>IF(AND(A30="",A29&lt;&gt;"",COUNTIF(A31:$A$200,"&lt;&gt;")=0),IF(COUNT(P$2:P29)=0,"",ROUND(SUMIF($A$2:A29,"&lt;&gt;",P$2:P29),2)),IF(OR(O30="",NOT(ISNUMBER(historico_VU!E30))),"",ROUND(O30*historico_VU!E30,2)))</f>
        <v/>
      </c>
      <c r="Q30" s="85" t="str">
        <f>IF(OR(posicao_contratual!R30="",posicao_contratual!V30=""),"",ROUND(MAX(posicao_contratual!R30+posicao_contratual!P30-posicao_contratual!V30,0),2))</f>
        <v/>
      </c>
      <c r="R30" s="79" t="str">
        <f>IF(AND(A30="",A29&lt;&gt;"",COUNTIF(A31:$A$200,"&lt;&gt;")=0),IF(COUNT(R$2:R29)=0,"",ROUND(SUMIF($A$2:A29,"&lt;&gt;",R$2:R29),2)),IF(OR(Q30="",NOT(ISNUMBER(historico_VU!F30))),"",ROUND(Q30*historico_VU!F30,2)))</f>
        <v/>
      </c>
      <c r="S30" s="21"/>
      <c r="T30" s="22" t="str">
        <f>IF(AND(A30="",A29&lt;&gt;"",COUNTIF(A31:$A$200,"&lt;&gt;")=0),IF(COUNT(T$2:T29)=0,"",ROUND(SUMIF($A$2:A29,"&lt;&gt;",T$2:T29),2)),IF(OR(S30="",NOT(ISNUMBER(historico_VU!G30))),"",ROUND(S30*historico_VU!G30,2)))</f>
        <v/>
      </c>
      <c r="U30" s="86" t="str">
        <f>IF(AND(A30="",A29&lt;&gt;"",COUNTIF(A31:$A$200,"&lt;&gt;")=0),"TOTAL",IF(A30="","",posicao_contratual!X30))</f>
        <v/>
      </c>
      <c r="V30" s="86" t="str">
        <f>IF(A30="","",posicao_contratual!X30)</f>
        <v/>
      </c>
      <c r="W30" s="14"/>
      <c r="X30" s="14"/>
      <c r="Y30" s="14"/>
      <c r="Z30" s="13"/>
      <c r="AA30" s="13"/>
      <c r="AB30" s="85" t="str">
        <f>IF(OR(A30="",posicao_contratual!E30="",posicao_contratual!J30=""),"",ROUND(MAX(posicao_contratual!E30-posicao_contratual!J30,0),2))</f>
        <v/>
      </c>
      <c r="AC30" s="79" t="str">
        <f>IF(AND(A30="",A29&lt;&gt;"",COUNTIF(A31:$A$200,"&lt;&gt;")=0),IF(COUNT(AC$2:AC29)=0,"",ROUND(SUMIF($A$2:A29,"&lt;&gt;",AC$2:AC29),2)),IF(OR(AB30="",NOT(ISNUMBER(historico_VU!C30))),"",ROUND(AB30*historico_VU!C30,2)))</f>
        <v/>
      </c>
      <c r="AD30" s="145" t="str">
        <f>IF(A30="","",posicao_contratual!E30)</f>
        <v/>
      </c>
      <c r="AE30" s="145" t="str">
        <f>IF(A30="","",posicao_contratual!I30)</f>
        <v/>
      </c>
      <c r="AF30" s="145" t="str">
        <f>IF(A30="","",posicao_contratual!M30)</f>
        <v/>
      </c>
      <c r="AG30" s="145" t="str">
        <f>IF(A30="","",posicao_contratual!Q30)</f>
        <v/>
      </c>
      <c r="AH30" s="145" t="str">
        <f>IF(A30="","",posicao_contratual!U30)</f>
        <v/>
      </c>
      <c r="AI30" s="145" t="str">
        <f>IF(A30="","",posicao_contratual!G30)</f>
        <v/>
      </c>
      <c r="AJ30" s="145" t="str">
        <f>IF(A30="","",posicao_contratual!K30)</f>
        <v/>
      </c>
      <c r="AK30" s="145" t="str">
        <f>IF(A30="","",posicao_contratual!O30)</f>
        <v/>
      </c>
      <c r="AL30" s="145" t="str">
        <f>IF(A30="","",posicao_contratual!S30)</f>
        <v/>
      </c>
      <c r="AM30" s="145" t="str">
        <f>IF(A30="","",posicao_contratual!W30)</f>
        <v/>
      </c>
      <c r="AN30" s="146" t="str">
        <f>IF(A30="","",posicao_contratual!X30)</f>
        <v/>
      </c>
      <c r="AO30" t="str">
        <f>IF($A30="","",ROUND(SUMIFS(itens_Consumidos!$E$2:$E$200,itens_Consumidos!$A$2:$A$200,$A30),2))</f>
        <v/>
      </c>
      <c r="AP30" t="str">
        <f t="shared" si="0"/>
        <v/>
      </c>
      <c r="AQ30" t="str">
        <f>IF(OR($A30="",AB30="",MEMORIA_RESULTADOS!$I$258=""),"",ROUND(AB30*$C30*(MEMORIA_RESULTADOS!$I$258-1),2))</f>
        <v/>
      </c>
      <c r="AR30" t="str">
        <f>IF(OR($A30="",AP30="",MEMORIA_RESULTADOS!$I$258=""),"",ROUND(AP30*$C30*(parametros!$F$2-MEMORIA_RESULTADOS!$I$258),2))</f>
        <v/>
      </c>
      <c r="AS30" t="str">
        <f>IF($A30="","",ROUND(SUMIFS(itens_Consumidos!$G$2:$G$200,itens_Consumidos!$A$2:$A$200,$A30),2))</f>
        <v/>
      </c>
      <c r="AT30" t="str">
        <f t="shared" si="1"/>
        <v/>
      </c>
      <c r="AU30" t="str">
        <f>IF(OR($A30="",M30="",MEMORIA_RESULTADOS!$I$259=""),"",ROUND(M30*$C30*(MEMORIA_RESULTADOS!$I$259-1),2))</f>
        <v/>
      </c>
      <c r="AV30" t="str">
        <f>IF(OR($A30="",AT30="",MEMORIA_RESULTADOS!$I$259=""),"",ROUND(AT30*$C30*(parametros!$F$3-MEMORIA_RESULTADOS!$I$259),2))</f>
        <v/>
      </c>
      <c r="AW30" t="str">
        <f>IF($A30="","",ROUND(SUMIFS(itens_Consumidos!$I$2:$I$200,itens_Consumidos!$A$2:$A$200,$A30),2))</f>
        <v/>
      </c>
      <c r="AX30" t="str">
        <f t="shared" si="2"/>
        <v/>
      </c>
      <c r="AY30" t="str">
        <f>IF(OR($A30="",O30="",MEMORIA_RESULTADOS!$I$260=""),"",ROUND(O30*$C30*(MEMORIA_RESULTADOS!$I$260-1),2))</f>
        <v/>
      </c>
      <c r="AZ30" t="str">
        <f>IF(OR($A30="",AX30="",MEMORIA_RESULTADOS!$I$260=""),"",ROUND(AX30*$C30*(parametros!$F$4-MEMORIA_RESULTADOS!$I$260),2))</f>
        <v/>
      </c>
      <c r="BA30" t="str">
        <f>IF($A30="","",ROUND(SUMIFS(itens_Consumidos!$K$2:$K$200,itens_Consumidos!$A$2:$A$200,$A30),2))</f>
        <v/>
      </c>
      <c r="BB30" t="str">
        <f t="shared" si="3"/>
        <v/>
      </c>
      <c r="BC30" t="str">
        <f>IF(OR($A30="",Q30="",MEMORIA_RESULTADOS!$I$261=""),"",ROUND(Q30*$C30*(MEMORIA_RESULTADOS!$I$261-1),2))</f>
        <v/>
      </c>
      <c r="BD30" t="str">
        <f>IF(OR($A30="",BB30="",MEMORIA_RESULTADOS!$I$261=""),"",ROUND(BB30*$C30*(parametros!$F$5-MEMORIA_RESULTADOS!$I$261),2))</f>
        <v/>
      </c>
      <c r="BE30" t="str">
        <f>IF($A30="","",ROUND(SUMIFS(itens_Consumidos!$M$2:$M$200,itens_Consumidos!$A$2:$A$200,$A30),2))</f>
        <v/>
      </c>
      <c r="BF30" t="str">
        <f t="shared" si="4"/>
        <v/>
      </c>
      <c r="BG30" t="str">
        <f>IF(OR($A30="",S30="",MEMORIA_RESULTADOS!$I$262=""),"",ROUND(S30*$C30*(MEMORIA_RESULTADOS!$I$262-1),2))</f>
        <v/>
      </c>
      <c r="BH30" t="str">
        <f>IF(OR($A30="",BF30="",MEMORIA_RESULTADOS!$I$262=""),"",ROUND(BF30*$C30*(parametros!$F$6-MEMORIA_RESULTADOS!$I$262),2))</f>
        <v/>
      </c>
      <c r="BI30" t="str">
        <f>IF($A30="","",IF(posicao_contratual!$AL30="","",posicao_contratual!$AL30))</f>
        <v/>
      </c>
    </row>
    <row r="31" spans="1:61" x14ac:dyDescent="0.35">
      <c r="A31" s="81"/>
      <c r="B31" s="82" t="str">
        <f t="shared" si="5"/>
        <v/>
      </c>
      <c r="C31" s="83"/>
      <c r="D31" s="79" t="str">
        <f>IF(AND(A31="",A30&lt;&gt;"",COUNTIF(A32:$A$200,"&lt;&gt;")=0),ROUND(SUMIF($A$2:A30,"&lt;&gt;",$D$2:D30),2),IF(OR(A31="",B31="",C31=""),"",ROUND(B31*C31,2)))</f>
        <v/>
      </c>
      <c r="E31" s="84"/>
      <c r="F31" s="79" t="str">
        <f>IF(AND(A31="",A30&lt;&gt;"",COUNTIF(A32:$A$200,"&lt;&gt;")=0),IF(COUNT(F$2:F30)=0,"",ROUND(SUMIF($A$2:A30,"&lt;&gt;",F$2:F30),2)),IF(OR(A31="",AND(ISNUMBER(posicao_contratual!$AL31),posicao_contratual!$AL31&gt;1),posicao_contratual!K31="",NOT(ISNUMBER(historico_VU!D31))),"",ROUND(posicao_contratual!K31*historico_VU!D31,2)))</f>
        <v/>
      </c>
      <c r="G31" s="84"/>
      <c r="H31" s="79" t="str">
        <f>IF(AND(A31="",A30&lt;&gt;"",COUNTIF(A32:$A$200,"&lt;&gt;")=0),IF(COUNT(H$2:H30)=0,"",ROUND(SUMIF($A$2:A30,"&lt;&gt;",H$2:H30),2)),IF(OR(A31="",AND(ISNUMBER(posicao_contratual!$AL31),posicao_contratual!$AL31&gt;2),posicao_contratual!O31="",NOT(ISNUMBER(historico_VU!E31))),"",ROUND(posicao_contratual!O31*historico_VU!E31,2)))</f>
        <v/>
      </c>
      <c r="I31" s="84"/>
      <c r="J31" s="79" t="str">
        <f>IF(AND(A31="",A30&lt;&gt;"",COUNTIF(A32:$A$200,"&lt;&gt;")=0),IF(COUNT(J$2:J30)=0,"",ROUND(SUMIF($A$2:A30,"&lt;&gt;",J$2:J30),2)),IF(OR(A31="",AND(ISNUMBER(posicao_contratual!$AL31),posicao_contratual!$AL31&gt;3),posicao_contratual!S31="",NOT(ISNUMBER(historico_VU!F31))),"",ROUND(posicao_contratual!S31*historico_VU!F31,2)))</f>
        <v/>
      </c>
      <c r="K31" s="84"/>
      <c r="L31" s="79" t="str">
        <f>IF(AND(A31="",A30&lt;&gt;"",COUNTIF(A32:$A$200,"&lt;&gt;")=0),IF(COUNT(L$2:L30)=0,"",ROUND(SUMIF($A$2:A30,"&lt;&gt;",L$2:L30),2)),IF(OR(A31="",AND(ISNUMBER(posicao_contratual!$AL31),posicao_contratual!$AL31&gt;4),posicao_contratual!W31="",NOT(ISNUMBER(historico_VU!G31))),"",ROUND(posicao_contratual!W31*historico_VU!G31,2)))</f>
        <v/>
      </c>
      <c r="M31" s="85" t="str">
        <f>IF(OR(posicao_contratual!J31="",posicao_contratual!N31=""),"",ROUND(MAX(posicao_contratual!J31+posicao_contratual!H31-posicao_contratual!N31,0),2))</f>
        <v/>
      </c>
      <c r="N31" s="79" t="str">
        <f>IF(AND(A31="",A30&lt;&gt;"",COUNTIF(A32:$A$200,"&lt;&gt;")=0),IF(COUNT(N$2:N30)=0,"",ROUND(SUMIF($A$2:A30,"&lt;&gt;",N$2:N30),2)),IF(OR(M31="",NOT(ISNUMBER(historico_VU!D31))),"",ROUND(M31*historico_VU!D31,2)))</f>
        <v/>
      </c>
      <c r="O31" s="85" t="str">
        <f>IF(OR(posicao_contratual!N31="",posicao_contratual!R31=""),"",ROUND(MAX(posicao_contratual!N31+posicao_contratual!L31-posicao_contratual!R31,0),2))</f>
        <v/>
      </c>
      <c r="P31" s="79" t="str">
        <f>IF(AND(A31="",A30&lt;&gt;"",COUNTIF(A32:$A$200,"&lt;&gt;")=0),IF(COUNT(P$2:P30)=0,"",ROUND(SUMIF($A$2:A30,"&lt;&gt;",P$2:P30),2)),IF(OR(O31="",NOT(ISNUMBER(historico_VU!E31))),"",ROUND(O31*historico_VU!E31,2)))</f>
        <v/>
      </c>
      <c r="Q31" s="85" t="str">
        <f>IF(OR(posicao_contratual!R31="",posicao_contratual!V31=""),"",ROUND(MAX(posicao_contratual!R31+posicao_contratual!P31-posicao_contratual!V31,0),2))</f>
        <v/>
      </c>
      <c r="R31" s="79" t="str">
        <f>IF(AND(A31="",A30&lt;&gt;"",COUNTIF(A32:$A$200,"&lt;&gt;")=0),IF(COUNT(R$2:R30)=0,"",ROUND(SUMIF($A$2:A30,"&lt;&gt;",R$2:R30),2)),IF(OR(Q31="",NOT(ISNUMBER(historico_VU!F31))),"",ROUND(Q31*historico_VU!F31,2)))</f>
        <v/>
      </c>
      <c r="S31" s="21"/>
      <c r="T31" s="22" t="str">
        <f>IF(AND(A31="",A30&lt;&gt;"",COUNTIF(A32:$A$200,"&lt;&gt;")=0),IF(COUNT(T$2:T30)=0,"",ROUND(SUMIF($A$2:A30,"&lt;&gt;",T$2:T30),2)),IF(OR(S31="",NOT(ISNUMBER(historico_VU!G31))),"",ROUND(S31*historico_VU!G31,2)))</f>
        <v/>
      </c>
      <c r="U31" s="86" t="str">
        <f>IF(AND(A31="",A30&lt;&gt;"",COUNTIF(A32:$A$200,"&lt;&gt;")=0),"TOTAL",IF(A31="","",posicao_contratual!X31))</f>
        <v/>
      </c>
      <c r="V31" s="86" t="str">
        <f>IF(A31="","",posicao_contratual!X31)</f>
        <v/>
      </c>
      <c r="W31" s="14"/>
      <c r="X31" s="14"/>
      <c r="Y31" s="14"/>
      <c r="Z31" s="13"/>
      <c r="AA31" s="13"/>
      <c r="AB31" s="85" t="str">
        <f>IF(OR(A31="",posicao_contratual!E31="",posicao_contratual!J31=""),"",ROUND(MAX(posicao_contratual!E31-posicao_contratual!J31,0),2))</f>
        <v/>
      </c>
      <c r="AC31" s="79" t="str">
        <f>IF(AND(A31="",A30&lt;&gt;"",COUNTIF(A32:$A$200,"&lt;&gt;")=0),IF(COUNT(AC$2:AC30)=0,"",ROUND(SUMIF($A$2:A30,"&lt;&gt;",AC$2:AC30),2)),IF(OR(AB31="",NOT(ISNUMBER(historico_VU!C31))),"",ROUND(AB31*historico_VU!C31,2)))</f>
        <v/>
      </c>
      <c r="AD31" s="145" t="str">
        <f>IF(A31="","",posicao_contratual!E31)</f>
        <v/>
      </c>
      <c r="AE31" s="145" t="str">
        <f>IF(A31="","",posicao_contratual!I31)</f>
        <v/>
      </c>
      <c r="AF31" s="145" t="str">
        <f>IF(A31="","",posicao_contratual!M31)</f>
        <v/>
      </c>
      <c r="AG31" s="145" t="str">
        <f>IF(A31="","",posicao_contratual!Q31)</f>
        <v/>
      </c>
      <c r="AH31" s="145" t="str">
        <f>IF(A31="","",posicao_contratual!U31)</f>
        <v/>
      </c>
      <c r="AI31" s="145" t="str">
        <f>IF(A31="","",posicao_contratual!G31)</f>
        <v/>
      </c>
      <c r="AJ31" s="145" t="str">
        <f>IF(A31="","",posicao_contratual!K31)</f>
        <v/>
      </c>
      <c r="AK31" s="145" t="str">
        <f>IF(A31="","",posicao_contratual!O31)</f>
        <v/>
      </c>
      <c r="AL31" s="145" t="str">
        <f>IF(A31="","",posicao_contratual!S31)</f>
        <v/>
      </c>
      <c r="AM31" s="145" t="str">
        <f>IF(A31="","",posicao_contratual!W31)</f>
        <v/>
      </c>
      <c r="AN31" s="146" t="str">
        <f>IF(A31="","",posicao_contratual!X31)</f>
        <v/>
      </c>
      <c r="AO31" t="str">
        <f>IF($A31="","",ROUND(SUMIFS(itens_Consumidos!$E$2:$E$200,itens_Consumidos!$A$2:$A$200,$A31),2))</f>
        <v/>
      </c>
      <c r="AP31" t="str">
        <f t="shared" si="0"/>
        <v/>
      </c>
      <c r="AQ31" t="str">
        <f>IF(OR($A31="",AB31="",MEMORIA_RESULTADOS!$I$258=""),"",ROUND(AB31*$C31*(MEMORIA_RESULTADOS!$I$258-1),2))</f>
        <v/>
      </c>
      <c r="AR31" t="str">
        <f>IF(OR($A31="",AP31="",MEMORIA_RESULTADOS!$I$258=""),"",ROUND(AP31*$C31*(parametros!$F$2-MEMORIA_RESULTADOS!$I$258),2))</f>
        <v/>
      </c>
      <c r="AS31" t="str">
        <f>IF($A31="","",ROUND(SUMIFS(itens_Consumidos!$G$2:$G$200,itens_Consumidos!$A$2:$A$200,$A31),2))</f>
        <v/>
      </c>
      <c r="AT31" t="str">
        <f t="shared" si="1"/>
        <v/>
      </c>
      <c r="AU31" t="str">
        <f>IF(OR($A31="",M31="",MEMORIA_RESULTADOS!$I$259=""),"",ROUND(M31*$C31*(MEMORIA_RESULTADOS!$I$259-1),2))</f>
        <v/>
      </c>
      <c r="AV31" t="str">
        <f>IF(OR($A31="",AT31="",MEMORIA_RESULTADOS!$I$259=""),"",ROUND(AT31*$C31*(parametros!$F$3-MEMORIA_RESULTADOS!$I$259),2))</f>
        <v/>
      </c>
      <c r="AW31" t="str">
        <f>IF($A31="","",ROUND(SUMIFS(itens_Consumidos!$I$2:$I$200,itens_Consumidos!$A$2:$A$200,$A31),2))</f>
        <v/>
      </c>
      <c r="AX31" t="str">
        <f t="shared" si="2"/>
        <v/>
      </c>
      <c r="AY31" t="str">
        <f>IF(OR($A31="",O31="",MEMORIA_RESULTADOS!$I$260=""),"",ROUND(O31*$C31*(MEMORIA_RESULTADOS!$I$260-1),2))</f>
        <v/>
      </c>
      <c r="AZ31" t="str">
        <f>IF(OR($A31="",AX31="",MEMORIA_RESULTADOS!$I$260=""),"",ROUND(AX31*$C31*(parametros!$F$4-MEMORIA_RESULTADOS!$I$260),2))</f>
        <v/>
      </c>
      <c r="BA31" t="str">
        <f>IF($A31="","",ROUND(SUMIFS(itens_Consumidos!$K$2:$K$200,itens_Consumidos!$A$2:$A$200,$A31),2))</f>
        <v/>
      </c>
      <c r="BB31" t="str">
        <f t="shared" si="3"/>
        <v/>
      </c>
      <c r="BC31" t="str">
        <f>IF(OR($A31="",Q31="",MEMORIA_RESULTADOS!$I$261=""),"",ROUND(Q31*$C31*(MEMORIA_RESULTADOS!$I$261-1),2))</f>
        <v/>
      </c>
      <c r="BD31" t="str">
        <f>IF(OR($A31="",BB31="",MEMORIA_RESULTADOS!$I$261=""),"",ROUND(BB31*$C31*(parametros!$F$5-MEMORIA_RESULTADOS!$I$261),2))</f>
        <v/>
      </c>
      <c r="BE31" t="str">
        <f>IF($A31="","",ROUND(SUMIFS(itens_Consumidos!$M$2:$M$200,itens_Consumidos!$A$2:$A$200,$A31),2))</f>
        <v/>
      </c>
      <c r="BF31" t="str">
        <f t="shared" si="4"/>
        <v/>
      </c>
      <c r="BG31" t="str">
        <f>IF(OR($A31="",S31="",MEMORIA_RESULTADOS!$I$262=""),"",ROUND(S31*$C31*(MEMORIA_RESULTADOS!$I$262-1),2))</f>
        <v/>
      </c>
      <c r="BH31" t="str">
        <f>IF(OR($A31="",BF31="",MEMORIA_RESULTADOS!$I$262=""),"",ROUND(BF31*$C31*(parametros!$F$6-MEMORIA_RESULTADOS!$I$262),2))</f>
        <v/>
      </c>
      <c r="BI31" t="str">
        <f>IF($A31="","",IF(posicao_contratual!$AL31="","",posicao_contratual!$AL31))</f>
        <v/>
      </c>
    </row>
    <row r="32" spans="1:61" x14ac:dyDescent="0.35">
      <c r="A32" s="81"/>
      <c r="B32" s="82" t="str">
        <f t="shared" si="5"/>
        <v/>
      </c>
      <c r="C32" s="83"/>
      <c r="D32" s="79" t="str">
        <f>IF(AND(A32="",A31&lt;&gt;"",COUNTIF(A33:$A$200,"&lt;&gt;")=0),ROUND(SUMIF($A$2:A31,"&lt;&gt;",$D$2:D31),2),IF(OR(A32="",B32="",C32=""),"",ROUND(B32*C32,2)))</f>
        <v/>
      </c>
      <c r="E32" s="84"/>
      <c r="F32" s="79" t="str">
        <f>IF(AND(A32="",A31&lt;&gt;"",COUNTIF(A33:$A$200,"&lt;&gt;")=0),IF(COUNT(F$2:F31)=0,"",ROUND(SUMIF($A$2:A31,"&lt;&gt;",F$2:F31),2)),IF(OR(A32="",AND(ISNUMBER(posicao_contratual!$AL32),posicao_contratual!$AL32&gt;1),posicao_contratual!K32="",NOT(ISNUMBER(historico_VU!D32))),"",ROUND(posicao_contratual!K32*historico_VU!D32,2)))</f>
        <v/>
      </c>
      <c r="G32" s="84"/>
      <c r="H32" s="79" t="str">
        <f>IF(AND(A32="",A31&lt;&gt;"",COUNTIF(A33:$A$200,"&lt;&gt;")=0),IF(COUNT(H$2:H31)=0,"",ROUND(SUMIF($A$2:A31,"&lt;&gt;",H$2:H31),2)),IF(OR(A32="",AND(ISNUMBER(posicao_contratual!$AL32),posicao_contratual!$AL32&gt;2),posicao_contratual!O32="",NOT(ISNUMBER(historico_VU!E32))),"",ROUND(posicao_contratual!O32*historico_VU!E32,2)))</f>
        <v/>
      </c>
      <c r="I32" s="84"/>
      <c r="J32" s="79" t="str">
        <f>IF(AND(A32="",A31&lt;&gt;"",COUNTIF(A33:$A$200,"&lt;&gt;")=0),IF(COUNT(J$2:J31)=0,"",ROUND(SUMIF($A$2:A31,"&lt;&gt;",J$2:J31),2)),IF(OR(A32="",AND(ISNUMBER(posicao_contratual!$AL32),posicao_contratual!$AL32&gt;3),posicao_contratual!S32="",NOT(ISNUMBER(historico_VU!F32))),"",ROUND(posicao_contratual!S32*historico_VU!F32,2)))</f>
        <v/>
      </c>
      <c r="K32" s="84"/>
      <c r="L32" s="79" t="str">
        <f>IF(AND(A32="",A31&lt;&gt;"",COUNTIF(A33:$A$200,"&lt;&gt;")=0),IF(COUNT(L$2:L31)=0,"",ROUND(SUMIF($A$2:A31,"&lt;&gt;",L$2:L31),2)),IF(OR(A32="",AND(ISNUMBER(posicao_contratual!$AL32),posicao_contratual!$AL32&gt;4),posicao_contratual!W32="",NOT(ISNUMBER(historico_VU!G32))),"",ROUND(posicao_contratual!W32*historico_VU!G32,2)))</f>
        <v/>
      </c>
      <c r="M32" s="85" t="str">
        <f>IF(OR(posicao_contratual!J32="",posicao_contratual!N32=""),"",ROUND(MAX(posicao_contratual!J32+posicao_contratual!H32-posicao_contratual!N32,0),2))</f>
        <v/>
      </c>
      <c r="N32" s="79" t="str">
        <f>IF(AND(A32="",A31&lt;&gt;"",COUNTIF(A33:$A$200,"&lt;&gt;")=0),IF(COUNT(N$2:N31)=0,"",ROUND(SUMIF($A$2:A31,"&lt;&gt;",N$2:N31),2)),IF(OR(M32="",NOT(ISNUMBER(historico_VU!D32))),"",ROUND(M32*historico_VU!D32,2)))</f>
        <v/>
      </c>
      <c r="O32" s="85" t="str">
        <f>IF(OR(posicao_contratual!N32="",posicao_contratual!R32=""),"",ROUND(MAX(posicao_contratual!N32+posicao_contratual!L32-posicao_contratual!R32,0),2))</f>
        <v/>
      </c>
      <c r="P32" s="79" t="str">
        <f>IF(AND(A32="",A31&lt;&gt;"",COUNTIF(A33:$A$200,"&lt;&gt;")=0),IF(COUNT(P$2:P31)=0,"",ROUND(SUMIF($A$2:A31,"&lt;&gt;",P$2:P31),2)),IF(OR(O32="",NOT(ISNUMBER(historico_VU!E32))),"",ROUND(O32*historico_VU!E32,2)))</f>
        <v/>
      </c>
      <c r="Q32" s="85" t="str">
        <f>IF(OR(posicao_contratual!R32="",posicao_contratual!V32=""),"",ROUND(MAX(posicao_contratual!R32+posicao_contratual!P32-posicao_contratual!V32,0),2))</f>
        <v/>
      </c>
      <c r="R32" s="79" t="str">
        <f>IF(AND(A32="",A31&lt;&gt;"",COUNTIF(A33:$A$200,"&lt;&gt;")=0),IF(COUNT(R$2:R31)=0,"",ROUND(SUMIF($A$2:A31,"&lt;&gt;",R$2:R31),2)),IF(OR(Q32="",NOT(ISNUMBER(historico_VU!F32))),"",ROUND(Q32*historico_VU!F32,2)))</f>
        <v/>
      </c>
      <c r="S32" s="21"/>
      <c r="T32" s="22" t="str">
        <f>IF(AND(A32="",A31&lt;&gt;"",COUNTIF(A33:$A$200,"&lt;&gt;")=0),IF(COUNT(T$2:T31)=0,"",ROUND(SUMIF($A$2:A31,"&lt;&gt;",T$2:T31),2)),IF(OR(S32="",NOT(ISNUMBER(historico_VU!G32))),"",ROUND(S32*historico_VU!G32,2)))</f>
        <v/>
      </c>
      <c r="U32" s="86" t="str">
        <f>IF(AND(A32="",A31&lt;&gt;"",COUNTIF(A33:$A$200,"&lt;&gt;")=0),"TOTAL",IF(A32="","",posicao_contratual!X32))</f>
        <v/>
      </c>
      <c r="V32" s="86" t="str">
        <f>IF(A32="","",posicao_contratual!X32)</f>
        <v/>
      </c>
      <c r="W32" s="14"/>
      <c r="X32" s="14"/>
      <c r="Y32" s="14"/>
      <c r="Z32" s="13"/>
      <c r="AA32" s="13"/>
      <c r="AB32" s="85" t="str">
        <f>IF(OR(A32="",posicao_contratual!E32="",posicao_contratual!J32=""),"",ROUND(MAX(posicao_contratual!E32-posicao_contratual!J32,0),2))</f>
        <v/>
      </c>
      <c r="AC32" s="79" t="str">
        <f>IF(AND(A32="",A31&lt;&gt;"",COUNTIF(A33:$A$200,"&lt;&gt;")=0),IF(COUNT(AC$2:AC31)=0,"",ROUND(SUMIF($A$2:A31,"&lt;&gt;",AC$2:AC31),2)),IF(OR(AB32="",NOT(ISNUMBER(historico_VU!C32))),"",ROUND(AB32*historico_VU!C32,2)))</f>
        <v/>
      </c>
      <c r="AD32" s="145" t="str">
        <f>IF(A32="","",posicao_contratual!E32)</f>
        <v/>
      </c>
      <c r="AE32" s="145" t="str">
        <f>IF(A32="","",posicao_contratual!I32)</f>
        <v/>
      </c>
      <c r="AF32" s="145" t="str">
        <f>IF(A32="","",posicao_contratual!M32)</f>
        <v/>
      </c>
      <c r="AG32" s="145" t="str">
        <f>IF(A32="","",posicao_contratual!Q32)</f>
        <v/>
      </c>
      <c r="AH32" s="145" t="str">
        <f>IF(A32="","",posicao_contratual!U32)</f>
        <v/>
      </c>
      <c r="AI32" s="145" t="str">
        <f>IF(A32="","",posicao_contratual!G32)</f>
        <v/>
      </c>
      <c r="AJ32" s="145" t="str">
        <f>IF(A32="","",posicao_contratual!K32)</f>
        <v/>
      </c>
      <c r="AK32" s="145" t="str">
        <f>IF(A32="","",posicao_contratual!O32)</f>
        <v/>
      </c>
      <c r="AL32" s="145" t="str">
        <f>IF(A32="","",posicao_contratual!S32)</f>
        <v/>
      </c>
      <c r="AM32" s="145" t="str">
        <f>IF(A32="","",posicao_contratual!W32)</f>
        <v/>
      </c>
      <c r="AN32" s="146" t="str">
        <f>IF(A32="","",posicao_contratual!X32)</f>
        <v/>
      </c>
      <c r="AO32" t="str">
        <f>IF($A32="","",ROUND(SUMIFS(itens_Consumidos!$E$2:$E$200,itens_Consumidos!$A$2:$A$200,$A32),2))</f>
        <v/>
      </c>
      <c r="AP32" t="str">
        <f t="shared" si="0"/>
        <v/>
      </c>
      <c r="AQ32" t="str">
        <f>IF(OR($A32="",AB32="",MEMORIA_RESULTADOS!$I$258=""),"",ROUND(AB32*$C32*(MEMORIA_RESULTADOS!$I$258-1),2))</f>
        <v/>
      </c>
      <c r="AR32" t="str">
        <f>IF(OR($A32="",AP32="",MEMORIA_RESULTADOS!$I$258=""),"",ROUND(AP32*$C32*(parametros!$F$2-MEMORIA_RESULTADOS!$I$258),2))</f>
        <v/>
      </c>
      <c r="AS32" t="str">
        <f>IF($A32="","",ROUND(SUMIFS(itens_Consumidos!$G$2:$G$200,itens_Consumidos!$A$2:$A$200,$A32),2))</f>
        <v/>
      </c>
      <c r="AT32" t="str">
        <f t="shared" si="1"/>
        <v/>
      </c>
      <c r="AU32" t="str">
        <f>IF(OR($A32="",M32="",MEMORIA_RESULTADOS!$I$259=""),"",ROUND(M32*$C32*(MEMORIA_RESULTADOS!$I$259-1),2))</f>
        <v/>
      </c>
      <c r="AV32" t="str">
        <f>IF(OR($A32="",AT32="",MEMORIA_RESULTADOS!$I$259=""),"",ROUND(AT32*$C32*(parametros!$F$3-MEMORIA_RESULTADOS!$I$259),2))</f>
        <v/>
      </c>
      <c r="AW32" t="str">
        <f>IF($A32="","",ROUND(SUMIFS(itens_Consumidos!$I$2:$I$200,itens_Consumidos!$A$2:$A$200,$A32),2))</f>
        <v/>
      </c>
      <c r="AX32" t="str">
        <f t="shared" si="2"/>
        <v/>
      </c>
      <c r="AY32" t="str">
        <f>IF(OR($A32="",O32="",MEMORIA_RESULTADOS!$I$260=""),"",ROUND(O32*$C32*(MEMORIA_RESULTADOS!$I$260-1),2))</f>
        <v/>
      </c>
      <c r="AZ32" t="str">
        <f>IF(OR($A32="",AX32="",MEMORIA_RESULTADOS!$I$260=""),"",ROUND(AX32*$C32*(parametros!$F$4-MEMORIA_RESULTADOS!$I$260),2))</f>
        <v/>
      </c>
      <c r="BA32" t="str">
        <f>IF($A32="","",ROUND(SUMIFS(itens_Consumidos!$K$2:$K$200,itens_Consumidos!$A$2:$A$200,$A32),2))</f>
        <v/>
      </c>
      <c r="BB32" t="str">
        <f t="shared" si="3"/>
        <v/>
      </c>
      <c r="BC32" t="str">
        <f>IF(OR($A32="",Q32="",MEMORIA_RESULTADOS!$I$261=""),"",ROUND(Q32*$C32*(MEMORIA_RESULTADOS!$I$261-1),2))</f>
        <v/>
      </c>
      <c r="BD32" t="str">
        <f>IF(OR($A32="",BB32="",MEMORIA_RESULTADOS!$I$261=""),"",ROUND(BB32*$C32*(parametros!$F$5-MEMORIA_RESULTADOS!$I$261),2))</f>
        <v/>
      </c>
      <c r="BE32" t="str">
        <f>IF($A32="","",ROUND(SUMIFS(itens_Consumidos!$M$2:$M$200,itens_Consumidos!$A$2:$A$200,$A32),2))</f>
        <v/>
      </c>
      <c r="BF32" t="str">
        <f t="shared" si="4"/>
        <v/>
      </c>
      <c r="BG32" t="str">
        <f>IF(OR($A32="",S32="",MEMORIA_RESULTADOS!$I$262=""),"",ROUND(S32*$C32*(MEMORIA_RESULTADOS!$I$262-1),2))</f>
        <v/>
      </c>
      <c r="BH32" t="str">
        <f>IF(OR($A32="",BF32="",MEMORIA_RESULTADOS!$I$262=""),"",ROUND(BF32*$C32*(parametros!$F$6-MEMORIA_RESULTADOS!$I$262),2))</f>
        <v/>
      </c>
      <c r="BI32" t="str">
        <f>IF($A32="","",IF(posicao_contratual!$AL32="","",posicao_contratual!$AL32))</f>
        <v/>
      </c>
    </row>
    <row r="33" spans="1:61" x14ac:dyDescent="0.35">
      <c r="A33" s="81"/>
      <c r="B33" s="82" t="str">
        <f t="shared" si="5"/>
        <v/>
      </c>
      <c r="C33" s="83"/>
      <c r="D33" s="79" t="str">
        <f>IF(AND(A33="",A32&lt;&gt;"",COUNTIF(A34:$A$200,"&lt;&gt;")=0),ROUND(SUMIF($A$2:A32,"&lt;&gt;",$D$2:D32),2),IF(OR(A33="",B33="",C33=""),"",ROUND(B33*C33,2)))</f>
        <v/>
      </c>
      <c r="E33" s="84"/>
      <c r="F33" s="79" t="str">
        <f>IF(AND(A33="",A32&lt;&gt;"",COUNTIF(A34:$A$200,"&lt;&gt;")=0),IF(COUNT(F$2:F32)=0,"",ROUND(SUMIF($A$2:A32,"&lt;&gt;",F$2:F32),2)),IF(OR(A33="",AND(ISNUMBER(posicao_contratual!$AL33),posicao_contratual!$AL33&gt;1),posicao_contratual!K33="",NOT(ISNUMBER(historico_VU!D33))),"",ROUND(posicao_contratual!K33*historico_VU!D33,2)))</f>
        <v/>
      </c>
      <c r="G33" s="84"/>
      <c r="H33" s="79" t="str">
        <f>IF(AND(A33="",A32&lt;&gt;"",COUNTIF(A34:$A$200,"&lt;&gt;")=0),IF(COUNT(H$2:H32)=0,"",ROUND(SUMIF($A$2:A32,"&lt;&gt;",H$2:H32),2)),IF(OR(A33="",AND(ISNUMBER(posicao_contratual!$AL33),posicao_contratual!$AL33&gt;2),posicao_contratual!O33="",NOT(ISNUMBER(historico_VU!E33))),"",ROUND(posicao_contratual!O33*historico_VU!E33,2)))</f>
        <v/>
      </c>
      <c r="I33" s="84"/>
      <c r="J33" s="79" t="str">
        <f>IF(AND(A33="",A32&lt;&gt;"",COUNTIF(A34:$A$200,"&lt;&gt;")=0),IF(COUNT(J$2:J32)=0,"",ROUND(SUMIF($A$2:A32,"&lt;&gt;",J$2:J32),2)),IF(OR(A33="",AND(ISNUMBER(posicao_contratual!$AL33),posicao_contratual!$AL33&gt;3),posicao_contratual!S33="",NOT(ISNUMBER(historico_VU!F33))),"",ROUND(posicao_contratual!S33*historico_VU!F33,2)))</f>
        <v/>
      </c>
      <c r="K33" s="84"/>
      <c r="L33" s="79" t="str">
        <f>IF(AND(A33="",A32&lt;&gt;"",COUNTIF(A34:$A$200,"&lt;&gt;")=0),IF(COUNT(L$2:L32)=0,"",ROUND(SUMIF($A$2:A32,"&lt;&gt;",L$2:L32),2)),IF(OR(A33="",AND(ISNUMBER(posicao_contratual!$AL33),posicao_contratual!$AL33&gt;4),posicao_contratual!W33="",NOT(ISNUMBER(historico_VU!G33))),"",ROUND(posicao_contratual!W33*historico_VU!G33,2)))</f>
        <v/>
      </c>
      <c r="M33" s="85" t="str">
        <f>IF(OR(posicao_contratual!J33="",posicao_contratual!N33=""),"",ROUND(MAX(posicao_contratual!J33+posicao_contratual!H33-posicao_contratual!N33,0),2))</f>
        <v/>
      </c>
      <c r="N33" s="79" t="str">
        <f>IF(AND(A33="",A32&lt;&gt;"",COUNTIF(A34:$A$200,"&lt;&gt;")=0),IF(COUNT(N$2:N32)=0,"",ROUND(SUMIF($A$2:A32,"&lt;&gt;",N$2:N32),2)),IF(OR(M33="",NOT(ISNUMBER(historico_VU!D33))),"",ROUND(M33*historico_VU!D33,2)))</f>
        <v/>
      </c>
      <c r="O33" s="85" t="str">
        <f>IF(OR(posicao_contratual!N33="",posicao_contratual!R33=""),"",ROUND(MAX(posicao_contratual!N33+posicao_contratual!L33-posicao_contratual!R33,0),2))</f>
        <v/>
      </c>
      <c r="P33" s="79" t="str">
        <f>IF(AND(A33="",A32&lt;&gt;"",COUNTIF(A34:$A$200,"&lt;&gt;")=0),IF(COUNT(P$2:P32)=0,"",ROUND(SUMIF($A$2:A32,"&lt;&gt;",P$2:P32),2)),IF(OR(O33="",NOT(ISNUMBER(historico_VU!E33))),"",ROUND(O33*historico_VU!E33,2)))</f>
        <v/>
      </c>
      <c r="Q33" s="85" t="str">
        <f>IF(OR(posicao_contratual!R33="",posicao_contratual!V33=""),"",ROUND(MAX(posicao_contratual!R33+posicao_contratual!P33-posicao_contratual!V33,0),2))</f>
        <v/>
      </c>
      <c r="R33" s="79" t="str">
        <f>IF(AND(A33="",A32&lt;&gt;"",COUNTIF(A34:$A$200,"&lt;&gt;")=0),IF(COUNT(R$2:R32)=0,"",ROUND(SUMIF($A$2:A32,"&lt;&gt;",R$2:R32),2)),IF(OR(Q33="",NOT(ISNUMBER(historico_VU!F33))),"",ROUND(Q33*historico_VU!F33,2)))</f>
        <v/>
      </c>
      <c r="S33" s="21"/>
      <c r="T33" s="22" t="str">
        <f>IF(AND(A33="",A32&lt;&gt;"",COUNTIF(A34:$A$200,"&lt;&gt;")=0),IF(COUNT(T$2:T32)=0,"",ROUND(SUMIF($A$2:A32,"&lt;&gt;",T$2:T32),2)),IF(OR(S33="",NOT(ISNUMBER(historico_VU!G33))),"",ROUND(S33*historico_VU!G33,2)))</f>
        <v/>
      </c>
      <c r="U33" s="86" t="str">
        <f>IF(AND(A33="",A32&lt;&gt;"",COUNTIF(A34:$A$200,"&lt;&gt;")=0),"TOTAL",IF(A33="","",posicao_contratual!X33))</f>
        <v/>
      </c>
      <c r="V33" s="86" t="str">
        <f>IF(A33="","",posicao_contratual!X33)</f>
        <v/>
      </c>
      <c r="W33" s="14"/>
      <c r="X33" s="14"/>
      <c r="Y33" s="14"/>
      <c r="Z33" s="13"/>
      <c r="AA33" s="13"/>
      <c r="AB33" s="85" t="str">
        <f>IF(OR(A33="",posicao_contratual!E33="",posicao_contratual!J33=""),"",ROUND(MAX(posicao_contratual!E33-posicao_contratual!J33,0),2))</f>
        <v/>
      </c>
      <c r="AC33" s="79" t="str">
        <f>IF(AND(A33="",A32&lt;&gt;"",COUNTIF(A34:$A$200,"&lt;&gt;")=0),IF(COUNT(AC$2:AC32)=0,"",ROUND(SUMIF($A$2:A32,"&lt;&gt;",AC$2:AC32),2)),IF(OR(AB33="",NOT(ISNUMBER(historico_VU!C33))),"",ROUND(AB33*historico_VU!C33,2)))</f>
        <v/>
      </c>
      <c r="AD33" s="145" t="str">
        <f>IF(A33="","",posicao_contratual!E33)</f>
        <v/>
      </c>
      <c r="AE33" s="145" t="str">
        <f>IF(A33="","",posicao_contratual!I33)</f>
        <v/>
      </c>
      <c r="AF33" s="145" t="str">
        <f>IF(A33="","",posicao_contratual!M33)</f>
        <v/>
      </c>
      <c r="AG33" s="145" t="str">
        <f>IF(A33="","",posicao_contratual!Q33)</f>
        <v/>
      </c>
      <c r="AH33" s="145" t="str">
        <f>IF(A33="","",posicao_contratual!U33)</f>
        <v/>
      </c>
      <c r="AI33" s="145" t="str">
        <f>IF(A33="","",posicao_contratual!G33)</f>
        <v/>
      </c>
      <c r="AJ33" s="145" t="str">
        <f>IF(A33="","",posicao_contratual!K33)</f>
        <v/>
      </c>
      <c r="AK33" s="145" t="str">
        <f>IF(A33="","",posicao_contratual!O33)</f>
        <v/>
      </c>
      <c r="AL33" s="145" t="str">
        <f>IF(A33="","",posicao_contratual!S33)</f>
        <v/>
      </c>
      <c r="AM33" s="145" t="str">
        <f>IF(A33="","",posicao_contratual!W33)</f>
        <v/>
      </c>
      <c r="AN33" s="146" t="str">
        <f>IF(A33="","",posicao_contratual!X33)</f>
        <v/>
      </c>
      <c r="AO33" t="str">
        <f>IF($A33="","",ROUND(SUMIFS(itens_Consumidos!$E$2:$E$200,itens_Consumidos!$A$2:$A$200,$A33),2))</f>
        <v/>
      </c>
      <c r="AP33" t="str">
        <f t="shared" si="0"/>
        <v/>
      </c>
      <c r="AQ33" t="str">
        <f>IF(OR($A33="",AB33="",MEMORIA_RESULTADOS!$I$258=""),"",ROUND(AB33*$C33*(MEMORIA_RESULTADOS!$I$258-1),2))</f>
        <v/>
      </c>
      <c r="AR33" t="str">
        <f>IF(OR($A33="",AP33="",MEMORIA_RESULTADOS!$I$258=""),"",ROUND(AP33*$C33*(parametros!$F$2-MEMORIA_RESULTADOS!$I$258),2))</f>
        <v/>
      </c>
      <c r="AS33" t="str">
        <f>IF($A33="","",ROUND(SUMIFS(itens_Consumidos!$G$2:$G$200,itens_Consumidos!$A$2:$A$200,$A33),2))</f>
        <v/>
      </c>
      <c r="AT33" t="str">
        <f t="shared" si="1"/>
        <v/>
      </c>
      <c r="AU33" t="str">
        <f>IF(OR($A33="",M33="",MEMORIA_RESULTADOS!$I$259=""),"",ROUND(M33*$C33*(MEMORIA_RESULTADOS!$I$259-1),2))</f>
        <v/>
      </c>
      <c r="AV33" t="str">
        <f>IF(OR($A33="",AT33="",MEMORIA_RESULTADOS!$I$259=""),"",ROUND(AT33*$C33*(parametros!$F$3-MEMORIA_RESULTADOS!$I$259),2))</f>
        <v/>
      </c>
      <c r="AW33" t="str">
        <f>IF($A33="","",ROUND(SUMIFS(itens_Consumidos!$I$2:$I$200,itens_Consumidos!$A$2:$A$200,$A33),2))</f>
        <v/>
      </c>
      <c r="AX33" t="str">
        <f t="shared" si="2"/>
        <v/>
      </c>
      <c r="AY33" t="str">
        <f>IF(OR($A33="",O33="",MEMORIA_RESULTADOS!$I$260=""),"",ROUND(O33*$C33*(MEMORIA_RESULTADOS!$I$260-1),2))</f>
        <v/>
      </c>
      <c r="AZ33" t="str">
        <f>IF(OR($A33="",AX33="",MEMORIA_RESULTADOS!$I$260=""),"",ROUND(AX33*$C33*(parametros!$F$4-MEMORIA_RESULTADOS!$I$260),2))</f>
        <v/>
      </c>
      <c r="BA33" t="str">
        <f>IF($A33="","",ROUND(SUMIFS(itens_Consumidos!$K$2:$K$200,itens_Consumidos!$A$2:$A$200,$A33),2))</f>
        <v/>
      </c>
      <c r="BB33" t="str">
        <f t="shared" si="3"/>
        <v/>
      </c>
      <c r="BC33" t="str">
        <f>IF(OR($A33="",Q33="",MEMORIA_RESULTADOS!$I$261=""),"",ROUND(Q33*$C33*(MEMORIA_RESULTADOS!$I$261-1),2))</f>
        <v/>
      </c>
      <c r="BD33" t="str">
        <f>IF(OR($A33="",BB33="",MEMORIA_RESULTADOS!$I$261=""),"",ROUND(BB33*$C33*(parametros!$F$5-MEMORIA_RESULTADOS!$I$261),2))</f>
        <v/>
      </c>
      <c r="BE33" t="str">
        <f>IF($A33="","",ROUND(SUMIFS(itens_Consumidos!$M$2:$M$200,itens_Consumidos!$A$2:$A$200,$A33),2))</f>
        <v/>
      </c>
      <c r="BF33" t="str">
        <f t="shared" si="4"/>
        <v/>
      </c>
      <c r="BG33" t="str">
        <f>IF(OR($A33="",S33="",MEMORIA_RESULTADOS!$I$262=""),"",ROUND(S33*$C33*(MEMORIA_RESULTADOS!$I$262-1),2))</f>
        <v/>
      </c>
      <c r="BH33" t="str">
        <f>IF(OR($A33="",BF33="",MEMORIA_RESULTADOS!$I$262=""),"",ROUND(BF33*$C33*(parametros!$F$6-MEMORIA_RESULTADOS!$I$262),2))</f>
        <v/>
      </c>
      <c r="BI33" t="str">
        <f>IF($A33="","",IF(posicao_contratual!$AL33="","",posicao_contratual!$AL33))</f>
        <v/>
      </c>
    </row>
    <row r="34" spans="1:61" x14ac:dyDescent="0.35">
      <c r="A34" s="81"/>
      <c r="B34" s="82" t="str">
        <f t="shared" si="5"/>
        <v/>
      </c>
      <c r="C34" s="83"/>
      <c r="D34" s="79" t="str">
        <f>IF(AND(A34="",A33&lt;&gt;"",COUNTIF(A35:$A$200,"&lt;&gt;")=0),ROUND(SUMIF($A$2:A33,"&lt;&gt;",$D$2:D33),2),IF(OR(A34="",B34="",C34=""),"",ROUND(B34*C34,2)))</f>
        <v/>
      </c>
      <c r="E34" s="84"/>
      <c r="F34" s="79" t="str">
        <f>IF(AND(A34="",A33&lt;&gt;"",COUNTIF(A35:$A$200,"&lt;&gt;")=0),IF(COUNT(F$2:F33)=0,"",ROUND(SUMIF($A$2:A33,"&lt;&gt;",F$2:F33),2)),IF(OR(A34="",AND(ISNUMBER(posicao_contratual!$AL34),posicao_contratual!$AL34&gt;1),posicao_contratual!K34="",NOT(ISNUMBER(historico_VU!D34))),"",ROUND(posicao_contratual!K34*historico_VU!D34,2)))</f>
        <v/>
      </c>
      <c r="G34" s="84"/>
      <c r="H34" s="79" t="str">
        <f>IF(AND(A34="",A33&lt;&gt;"",COUNTIF(A35:$A$200,"&lt;&gt;")=0),IF(COUNT(H$2:H33)=0,"",ROUND(SUMIF($A$2:A33,"&lt;&gt;",H$2:H33),2)),IF(OR(A34="",AND(ISNUMBER(posicao_contratual!$AL34),posicao_contratual!$AL34&gt;2),posicao_contratual!O34="",NOT(ISNUMBER(historico_VU!E34))),"",ROUND(posicao_contratual!O34*historico_VU!E34,2)))</f>
        <v/>
      </c>
      <c r="I34" s="84"/>
      <c r="J34" s="79" t="str">
        <f>IF(AND(A34="",A33&lt;&gt;"",COUNTIF(A35:$A$200,"&lt;&gt;")=0),IF(COUNT(J$2:J33)=0,"",ROUND(SUMIF($A$2:A33,"&lt;&gt;",J$2:J33),2)),IF(OR(A34="",AND(ISNUMBER(posicao_contratual!$AL34),posicao_contratual!$AL34&gt;3),posicao_contratual!S34="",NOT(ISNUMBER(historico_VU!F34))),"",ROUND(posicao_contratual!S34*historico_VU!F34,2)))</f>
        <v/>
      </c>
      <c r="K34" s="84"/>
      <c r="L34" s="79" t="str">
        <f>IF(AND(A34="",A33&lt;&gt;"",COUNTIF(A35:$A$200,"&lt;&gt;")=0),IF(COUNT(L$2:L33)=0,"",ROUND(SUMIF($A$2:A33,"&lt;&gt;",L$2:L33),2)),IF(OR(A34="",AND(ISNUMBER(posicao_contratual!$AL34),posicao_contratual!$AL34&gt;4),posicao_contratual!W34="",NOT(ISNUMBER(historico_VU!G34))),"",ROUND(posicao_contratual!W34*historico_VU!G34,2)))</f>
        <v/>
      </c>
      <c r="M34" s="85" t="str">
        <f>IF(OR(posicao_contratual!J34="",posicao_contratual!N34=""),"",ROUND(MAX(posicao_contratual!J34+posicao_contratual!H34-posicao_contratual!N34,0),2))</f>
        <v/>
      </c>
      <c r="N34" s="79" t="str">
        <f>IF(AND(A34="",A33&lt;&gt;"",COUNTIF(A35:$A$200,"&lt;&gt;")=0),IF(COUNT(N$2:N33)=0,"",ROUND(SUMIF($A$2:A33,"&lt;&gt;",N$2:N33),2)),IF(OR(M34="",NOT(ISNUMBER(historico_VU!D34))),"",ROUND(M34*historico_VU!D34,2)))</f>
        <v/>
      </c>
      <c r="O34" s="85" t="str">
        <f>IF(OR(posicao_contratual!N34="",posicao_contratual!R34=""),"",ROUND(MAX(posicao_contratual!N34+posicao_contratual!L34-posicao_contratual!R34,0),2))</f>
        <v/>
      </c>
      <c r="P34" s="79" t="str">
        <f>IF(AND(A34="",A33&lt;&gt;"",COUNTIF(A35:$A$200,"&lt;&gt;")=0),IF(COUNT(P$2:P33)=0,"",ROUND(SUMIF($A$2:A33,"&lt;&gt;",P$2:P33),2)),IF(OR(O34="",NOT(ISNUMBER(historico_VU!E34))),"",ROUND(O34*historico_VU!E34,2)))</f>
        <v/>
      </c>
      <c r="Q34" s="85" t="str">
        <f>IF(OR(posicao_contratual!R34="",posicao_contratual!V34=""),"",ROUND(MAX(posicao_contratual!R34+posicao_contratual!P34-posicao_contratual!V34,0),2))</f>
        <v/>
      </c>
      <c r="R34" s="79" t="str">
        <f>IF(AND(A34="",A33&lt;&gt;"",COUNTIF(A35:$A$200,"&lt;&gt;")=0),IF(COUNT(R$2:R33)=0,"",ROUND(SUMIF($A$2:A33,"&lt;&gt;",R$2:R33),2)),IF(OR(Q34="",NOT(ISNUMBER(historico_VU!F34))),"",ROUND(Q34*historico_VU!F34,2)))</f>
        <v/>
      </c>
      <c r="S34" s="21"/>
      <c r="T34" s="22" t="str">
        <f>IF(AND(A34="",A33&lt;&gt;"",COUNTIF(A35:$A$200,"&lt;&gt;")=0),IF(COUNT(T$2:T33)=0,"",ROUND(SUMIF($A$2:A33,"&lt;&gt;",T$2:T33),2)),IF(OR(S34="",NOT(ISNUMBER(historico_VU!G34))),"",ROUND(S34*historico_VU!G34,2)))</f>
        <v/>
      </c>
      <c r="U34" s="86" t="str">
        <f>IF(AND(A34="",A33&lt;&gt;"",COUNTIF(A35:$A$200,"&lt;&gt;")=0),"TOTAL",IF(A34="","",posicao_contratual!X34))</f>
        <v/>
      </c>
      <c r="V34" s="86" t="str">
        <f>IF(A34="","",posicao_contratual!X34)</f>
        <v/>
      </c>
      <c r="W34" s="14"/>
      <c r="X34" s="14"/>
      <c r="Y34" s="14"/>
      <c r="Z34" s="13"/>
      <c r="AA34" s="13"/>
      <c r="AB34" s="85" t="str">
        <f>IF(OR(A34="",posicao_contratual!E34="",posicao_contratual!J34=""),"",ROUND(MAX(posicao_contratual!E34-posicao_contratual!J34,0),2))</f>
        <v/>
      </c>
      <c r="AC34" s="79" t="str">
        <f>IF(AND(A34="",A33&lt;&gt;"",COUNTIF(A35:$A$200,"&lt;&gt;")=0),IF(COUNT(AC$2:AC33)=0,"",ROUND(SUMIF($A$2:A33,"&lt;&gt;",AC$2:AC33),2)),IF(OR(AB34="",NOT(ISNUMBER(historico_VU!C34))),"",ROUND(AB34*historico_VU!C34,2)))</f>
        <v/>
      </c>
      <c r="AD34" s="145" t="str">
        <f>IF(A34="","",posicao_contratual!E34)</f>
        <v/>
      </c>
      <c r="AE34" s="145" t="str">
        <f>IF(A34="","",posicao_contratual!I34)</f>
        <v/>
      </c>
      <c r="AF34" s="145" t="str">
        <f>IF(A34="","",posicao_contratual!M34)</f>
        <v/>
      </c>
      <c r="AG34" s="145" t="str">
        <f>IF(A34="","",posicao_contratual!Q34)</f>
        <v/>
      </c>
      <c r="AH34" s="145" t="str">
        <f>IF(A34="","",posicao_contratual!U34)</f>
        <v/>
      </c>
      <c r="AI34" s="145" t="str">
        <f>IF(A34="","",posicao_contratual!G34)</f>
        <v/>
      </c>
      <c r="AJ34" s="145" t="str">
        <f>IF(A34="","",posicao_contratual!K34)</f>
        <v/>
      </c>
      <c r="AK34" s="145" t="str">
        <f>IF(A34="","",posicao_contratual!O34)</f>
        <v/>
      </c>
      <c r="AL34" s="145" t="str">
        <f>IF(A34="","",posicao_contratual!S34)</f>
        <v/>
      </c>
      <c r="AM34" s="145" t="str">
        <f>IF(A34="","",posicao_contratual!W34)</f>
        <v/>
      </c>
      <c r="AN34" s="146" t="str">
        <f>IF(A34="","",posicao_contratual!X34)</f>
        <v/>
      </c>
      <c r="AO34" t="str">
        <f>IF($A34="","",ROUND(SUMIFS(itens_Consumidos!$E$2:$E$200,itens_Consumidos!$A$2:$A$200,$A34),2))</f>
        <v/>
      </c>
      <c r="AP34" t="str">
        <f t="shared" ref="AP34:AP65" si="6">IF(OR($A34="",AB34=""),"",ROUND(MAX(AB34-AO34,0),2))</f>
        <v/>
      </c>
      <c r="AQ34" t="str">
        <f>IF(OR($A34="",AB34="",MEMORIA_RESULTADOS!$I$258=""),"",ROUND(AB34*$C34*(MEMORIA_RESULTADOS!$I$258-1),2))</f>
        <v/>
      </c>
      <c r="AR34" t="str">
        <f>IF(OR($A34="",AP34="",MEMORIA_RESULTADOS!$I$258=""),"",ROUND(AP34*$C34*(parametros!$F$2-MEMORIA_RESULTADOS!$I$258),2))</f>
        <v/>
      </c>
      <c r="AS34" t="str">
        <f>IF($A34="","",ROUND(SUMIFS(itens_Consumidos!$G$2:$G$200,itens_Consumidos!$A$2:$A$200,$A34),2))</f>
        <v/>
      </c>
      <c r="AT34" t="str">
        <f t="shared" ref="AT34:AT65" si="7">IF(OR($A34="",M34=""),"",ROUND(MAX(M34-AS34,0),2))</f>
        <v/>
      </c>
      <c r="AU34" t="str">
        <f>IF(OR($A34="",M34="",MEMORIA_RESULTADOS!$I$259=""),"",ROUND(M34*$C34*(MEMORIA_RESULTADOS!$I$259-1),2))</f>
        <v/>
      </c>
      <c r="AV34" t="str">
        <f>IF(OR($A34="",AT34="",MEMORIA_RESULTADOS!$I$259=""),"",ROUND(AT34*$C34*(parametros!$F$3-MEMORIA_RESULTADOS!$I$259),2))</f>
        <v/>
      </c>
      <c r="AW34" t="str">
        <f>IF($A34="","",ROUND(SUMIFS(itens_Consumidos!$I$2:$I$200,itens_Consumidos!$A$2:$A$200,$A34),2))</f>
        <v/>
      </c>
      <c r="AX34" t="str">
        <f t="shared" ref="AX34:AX65" si="8">IF(OR($A34="",O34=""),"",ROUND(MAX(O34-AW34,0),2))</f>
        <v/>
      </c>
      <c r="AY34" t="str">
        <f>IF(OR($A34="",O34="",MEMORIA_RESULTADOS!$I$260=""),"",ROUND(O34*$C34*(MEMORIA_RESULTADOS!$I$260-1),2))</f>
        <v/>
      </c>
      <c r="AZ34" t="str">
        <f>IF(OR($A34="",AX34="",MEMORIA_RESULTADOS!$I$260=""),"",ROUND(AX34*$C34*(parametros!$F$4-MEMORIA_RESULTADOS!$I$260),2))</f>
        <v/>
      </c>
      <c r="BA34" t="str">
        <f>IF($A34="","",ROUND(SUMIFS(itens_Consumidos!$K$2:$K$200,itens_Consumidos!$A$2:$A$200,$A34),2))</f>
        <v/>
      </c>
      <c r="BB34" t="str">
        <f t="shared" ref="BB34:BB65" si="9">IF(OR($A34="",Q34=""),"",ROUND(MAX(Q34-BA34,0),2))</f>
        <v/>
      </c>
      <c r="BC34" t="str">
        <f>IF(OR($A34="",Q34="",MEMORIA_RESULTADOS!$I$261=""),"",ROUND(Q34*$C34*(MEMORIA_RESULTADOS!$I$261-1),2))</f>
        <v/>
      </c>
      <c r="BD34" t="str">
        <f>IF(OR($A34="",BB34="",MEMORIA_RESULTADOS!$I$261=""),"",ROUND(BB34*$C34*(parametros!$F$5-MEMORIA_RESULTADOS!$I$261),2))</f>
        <v/>
      </c>
      <c r="BE34" t="str">
        <f>IF($A34="","",ROUND(SUMIFS(itens_Consumidos!$M$2:$M$200,itens_Consumidos!$A$2:$A$200,$A34),2))</f>
        <v/>
      </c>
      <c r="BF34" t="str">
        <f t="shared" ref="BF34:BF65" si="10">IF(OR($A34="",S34=""),"",ROUND(MAX(S34-BE34,0),2))</f>
        <v/>
      </c>
      <c r="BG34" t="str">
        <f>IF(OR($A34="",S34="",MEMORIA_RESULTADOS!$I$262=""),"",ROUND(S34*$C34*(MEMORIA_RESULTADOS!$I$262-1),2))</f>
        <v/>
      </c>
      <c r="BH34" t="str">
        <f>IF(OR($A34="",BF34="",MEMORIA_RESULTADOS!$I$262=""),"",ROUND(BF34*$C34*(parametros!$F$6-MEMORIA_RESULTADOS!$I$262),2))</f>
        <v/>
      </c>
      <c r="BI34" t="str">
        <f>IF($A34="","",IF(posicao_contratual!$AL34="","",posicao_contratual!$AL34))</f>
        <v/>
      </c>
    </row>
    <row r="35" spans="1:61" x14ac:dyDescent="0.35">
      <c r="A35" s="81"/>
      <c r="B35" s="82" t="str">
        <f t="shared" si="5"/>
        <v/>
      </c>
      <c r="C35" s="83"/>
      <c r="D35" s="79" t="str">
        <f>IF(AND(A35="",A34&lt;&gt;"",COUNTIF(A36:$A$200,"&lt;&gt;")=0),ROUND(SUMIF($A$2:A34,"&lt;&gt;",$D$2:D34),2),IF(OR(A35="",B35="",C35=""),"",ROUND(B35*C35,2)))</f>
        <v/>
      </c>
      <c r="E35" s="84"/>
      <c r="F35" s="79" t="str">
        <f>IF(AND(A35="",A34&lt;&gt;"",COUNTIF(A36:$A$200,"&lt;&gt;")=0),IF(COUNT(F$2:F34)=0,"",ROUND(SUMIF($A$2:A34,"&lt;&gt;",F$2:F34),2)),IF(OR(A35="",AND(ISNUMBER(posicao_contratual!$AL35),posicao_contratual!$AL35&gt;1),posicao_contratual!K35="",NOT(ISNUMBER(historico_VU!D35))),"",ROUND(posicao_contratual!K35*historico_VU!D35,2)))</f>
        <v/>
      </c>
      <c r="G35" s="84"/>
      <c r="H35" s="79" t="str">
        <f>IF(AND(A35="",A34&lt;&gt;"",COUNTIF(A36:$A$200,"&lt;&gt;")=0),IF(COUNT(H$2:H34)=0,"",ROUND(SUMIF($A$2:A34,"&lt;&gt;",H$2:H34),2)),IF(OR(A35="",AND(ISNUMBER(posicao_contratual!$AL35),posicao_contratual!$AL35&gt;2),posicao_contratual!O35="",NOT(ISNUMBER(historico_VU!E35))),"",ROUND(posicao_contratual!O35*historico_VU!E35,2)))</f>
        <v/>
      </c>
      <c r="I35" s="84"/>
      <c r="J35" s="79" t="str">
        <f>IF(AND(A35="",A34&lt;&gt;"",COUNTIF(A36:$A$200,"&lt;&gt;")=0),IF(COUNT(J$2:J34)=0,"",ROUND(SUMIF($A$2:A34,"&lt;&gt;",J$2:J34),2)),IF(OR(A35="",AND(ISNUMBER(posicao_contratual!$AL35),posicao_contratual!$AL35&gt;3),posicao_contratual!S35="",NOT(ISNUMBER(historico_VU!F35))),"",ROUND(posicao_contratual!S35*historico_VU!F35,2)))</f>
        <v/>
      </c>
      <c r="K35" s="84"/>
      <c r="L35" s="79" t="str">
        <f>IF(AND(A35="",A34&lt;&gt;"",COUNTIF(A36:$A$200,"&lt;&gt;")=0),IF(COUNT(L$2:L34)=0,"",ROUND(SUMIF($A$2:A34,"&lt;&gt;",L$2:L34),2)),IF(OR(A35="",AND(ISNUMBER(posicao_contratual!$AL35),posicao_contratual!$AL35&gt;4),posicao_contratual!W35="",NOT(ISNUMBER(historico_VU!G35))),"",ROUND(posicao_contratual!W35*historico_VU!G35,2)))</f>
        <v/>
      </c>
      <c r="M35" s="85" t="str">
        <f>IF(OR(posicao_contratual!J35="",posicao_contratual!N35=""),"",ROUND(MAX(posicao_contratual!J35+posicao_contratual!H35-posicao_contratual!N35,0),2))</f>
        <v/>
      </c>
      <c r="N35" s="79" t="str">
        <f>IF(AND(A35="",A34&lt;&gt;"",COUNTIF(A36:$A$200,"&lt;&gt;")=0),IF(COUNT(N$2:N34)=0,"",ROUND(SUMIF($A$2:A34,"&lt;&gt;",N$2:N34),2)),IF(OR(M35="",NOT(ISNUMBER(historico_VU!D35))),"",ROUND(M35*historico_VU!D35,2)))</f>
        <v/>
      </c>
      <c r="O35" s="85" t="str">
        <f>IF(OR(posicao_contratual!N35="",posicao_contratual!R35=""),"",ROUND(MAX(posicao_contratual!N35+posicao_contratual!L35-posicao_contratual!R35,0),2))</f>
        <v/>
      </c>
      <c r="P35" s="79" t="str">
        <f>IF(AND(A35="",A34&lt;&gt;"",COUNTIF(A36:$A$200,"&lt;&gt;")=0),IF(COUNT(P$2:P34)=0,"",ROUND(SUMIF($A$2:A34,"&lt;&gt;",P$2:P34),2)),IF(OR(O35="",NOT(ISNUMBER(historico_VU!E35))),"",ROUND(O35*historico_VU!E35,2)))</f>
        <v/>
      </c>
      <c r="Q35" s="85" t="str">
        <f>IF(OR(posicao_contratual!R35="",posicao_contratual!V35=""),"",ROUND(MAX(posicao_contratual!R35+posicao_contratual!P35-posicao_contratual!V35,0),2))</f>
        <v/>
      </c>
      <c r="R35" s="79" t="str">
        <f>IF(AND(A35="",A34&lt;&gt;"",COUNTIF(A36:$A$200,"&lt;&gt;")=0),IF(COUNT(R$2:R34)=0,"",ROUND(SUMIF($A$2:A34,"&lt;&gt;",R$2:R34),2)),IF(OR(Q35="",NOT(ISNUMBER(historico_VU!F35))),"",ROUND(Q35*historico_VU!F35,2)))</f>
        <v/>
      </c>
      <c r="S35" s="21"/>
      <c r="T35" s="22" t="str">
        <f>IF(AND(A35="",A34&lt;&gt;"",COUNTIF(A36:$A$200,"&lt;&gt;")=0),IF(COUNT(T$2:T34)=0,"",ROUND(SUMIF($A$2:A34,"&lt;&gt;",T$2:T34),2)),IF(OR(S35="",NOT(ISNUMBER(historico_VU!G35))),"",ROUND(S35*historico_VU!G35,2)))</f>
        <v/>
      </c>
      <c r="U35" s="86" t="str">
        <f>IF(AND(A35="",A34&lt;&gt;"",COUNTIF(A36:$A$200,"&lt;&gt;")=0),"TOTAL",IF(A35="","",posicao_contratual!X35))</f>
        <v/>
      </c>
      <c r="V35" s="86" t="str">
        <f>IF(A35="","",posicao_contratual!X35)</f>
        <v/>
      </c>
      <c r="W35" s="14"/>
      <c r="X35" s="14"/>
      <c r="Y35" s="14"/>
      <c r="Z35" s="13"/>
      <c r="AA35" s="13"/>
      <c r="AB35" s="85" t="str">
        <f>IF(OR(A35="",posicao_contratual!E35="",posicao_contratual!J35=""),"",ROUND(MAX(posicao_contratual!E35-posicao_contratual!J35,0),2))</f>
        <v/>
      </c>
      <c r="AC35" s="79" t="str">
        <f>IF(AND(A35="",A34&lt;&gt;"",COUNTIF(A36:$A$200,"&lt;&gt;")=0),IF(COUNT(AC$2:AC34)=0,"",ROUND(SUMIF($A$2:A34,"&lt;&gt;",AC$2:AC34),2)),IF(OR(AB35="",NOT(ISNUMBER(historico_VU!C35))),"",ROUND(AB35*historico_VU!C35,2)))</f>
        <v/>
      </c>
      <c r="AD35" s="145" t="str">
        <f>IF(A35="","",posicao_contratual!E35)</f>
        <v/>
      </c>
      <c r="AE35" s="145" t="str">
        <f>IF(A35="","",posicao_contratual!I35)</f>
        <v/>
      </c>
      <c r="AF35" s="145" t="str">
        <f>IF(A35="","",posicao_contratual!M35)</f>
        <v/>
      </c>
      <c r="AG35" s="145" t="str">
        <f>IF(A35="","",posicao_contratual!Q35)</f>
        <v/>
      </c>
      <c r="AH35" s="145" t="str">
        <f>IF(A35="","",posicao_contratual!U35)</f>
        <v/>
      </c>
      <c r="AI35" s="145" t="str">
        <f>IF(A35="","",posicao_contratual!G35)</f>
        <v/>
      </c>
      <c r="AJ35" s="145" t="str">
        <f>IF(A35="","",posicao_contratual!K35)</f>
        <v/>
      </c>
      <c r="AK35" s="145" t="str">
        <f>IF(A35="","",posicao_contratual!O35)</f>
        <v/>
      </c>
      <c r="AL35" s="145" t="str">
        <f>IF(A35="","",posicao_contratual!S35)</f>
        <v/>
      </c>
      <c r="AM35" s="145" t="str">
        <f>IF(A35="","",posicao_contratual!W35)</f>
        <v/>
      </c>
      <c r="AN35" s="146" t="str">
        <f>IF(A35="","",posicao_contratual!X35)</f>
        <v/>
      </c>
      <c r="AO35" t="str">
        <f>IF($A35="","",ROUND(SUMIFS(itens_Consumidos!$E$2:$E$200,itens_Consumidos!$A$2:$A$200,$A35),2))</f>
        <v/>
      </c>
      <c r="AP35" t="str">
        <f t="shared" si="6"/>
        <v/>
      </c>
      <c r="AQ35" t="str">
        <f>IF(OR($A35="",AB35="",MEMORIA_RESULTADOS!$I$258=""),"",ROUND(AB35*$C35*(MEMORIA_RESULTADOS!$I$258-1),2))</f>
        <v/>
      </c>
      <c r="AR35" t="str">
        <f>IF(OR($A35="",AP35="",MEMORIA_RESULTADOS!$I$258=""),"",ROUND(AP35*$C35*(parametros!$F$2-MEMORIA_RESULTADOS!$I$258),2))</f>
        <v/>
      </c>
      <c r="AS35" t="str">
        <f>IF($A35="","",ROUND(SUMIFS(itens_Consumidos!$G$2:$G$200,itens_Consumidos!$A$2:$A$200,$A35),2))</f>
        <v/>
      </c>
      <c r="AT35" t="str">
        <f t="shared" si="7"/>
        <v/>
      </c>
      <c r="AU35" t="str">
        <f>IF(OR($A35="",M35="",MEMORIA_RESULTADOS!$I$259=""),"",ROUND(M35*$C35*(MEMORIA_RESULTADOS!$I$259-1),2))</f>
        <v/>
      </c>
      <c r="AV35" t="str">
        <f>IF(OR($A35="",AT35="",MEMORIA_RESULTADOS!$I$259=""),"",ROUND(AT35*$C35*(parametros!$F$3-MEMORIA_RESULTADOS!$I$259),2))</f>
        <v/>
      </c>
      <c r="AW35" t="str">
        <f>IF($A35="","",ROUND(SUMIFS(itens_Consumidos!$I$2:$I$200,itens_Consumidos!$A$2:$A$200,$A35),2))</f>
        <v/>
      </c>
      <c r="AX35" t="str">
        <f t="shared" si="8"/>
        <v/>
      </c>
      <c r="AY35" t="str">
        <f>IF(OR($A35="",O35="",MEMORIA_RESULTADOS!$I$260=""),"",ROUND(O35*$C35*(MEMORIA_RESULTADOS!$I$260-1),2))</f>
        <v/>
      </c>
      <c r="AZ35" t="str">
        <f>IF(OR($A35="",AX35="",MEMORIA_RESULTADOS!$I$260=""),"",ROUND(AX35*$C35*(parametros!$F$4-MEMORIA_RESULTADOS!$I$260),2))</f>
        <v/>
      </c>
      <c r="BA35" t="str">
        <f>IF($A35="","",ROUND(SUMIFS(itens_Consumidos!$K$2:$K$200,itens_Consumidos!$A$2:$A$200,$A35),2))</f>
        <v/>
      </c>
      <c r="BB35" t="str">
        <f t="shared" si="9"/>
        <v/>
      </c>
      <c r="BC35" t="str">
        <f>IF(OR($A35="",Q35="",MEMORIA_RESULTADOS!$I$261=""),"",ROUND(Q35*$C35*(MEMORIA_RESULTADOS!$I$261-1),2))</f>
        <v/>
      </c>
      <c r="BD35" t="str">
        <f>IF(OR($A35="",BB35="",MEMORIA_RESULTADOS!$I$261=""),"",ROUND(BB35*$C35*(parametros!$F$5-MEMORIA_RESULTADOS!$I$261),2))</f>
        <v/>
      </c>
      <c r="BE35" t="str">
        <f>IF($A35="","",ROUND(SUMIFS(itens_Consumidos!$M$2:$M$200,itens_Consumidos!$A$2:$A$200,$A35),2))</f>
        <v/>
      </c>
      <c r="BF35" t="str">
        <f t="shared" si="10"/>
        <v/>
      </c>
      <c r="BG35" t="str">
        <f>IF(OR($A35="",S35="",MEMORIA_RESULTADOS!$I$262=""),"",ROUND(S35*$C35*(MEMORIA_RESULTADOS!$I$262-1),2))</f>
        <v/>
      </c>
      <c r="BH35" t="str">
        <f>IF(OR($A35="",BF35="",MEMORIA_RESULTADOS!$I$262=""),"",ROUND(BF35*$C35*(parametros!$F$6-MEMORIA_RESULTADOS!$I$262),2))</f>
        <v/>
      </c>
      <c r="BI35" t="str">
        <f>IF($A35="","",IF(posicao_contratual!$AL35="","",posicao_contratual!$AL35))</f>
        <v/>
      </c>
    </row>
    <row r="36" spans="1:61" x14ac:dyDescent="0.35">
      <c r="A36" s="81"/>
      <c r="B36" s="82" t="str">
        <f t="shared" si="5"/>
        <v/>
      </c>
      <c r="C36" s="83"/>
      <c r="D36" s="79" t="str">
        <f>IF(AND(A36="",A35&lt;&gt;"",COUNTIF(A37:$A$200,"&lt;&gt;")=0),ROUND(SUMIF($A$2:A35,"&lt;&gt;",$D$2:D35),2),IF(OR(A36="",B36="",C36=""),"",ROUND(B36*C36,2)))</f>
        <v/>
      </c>
      <c r="E36" s="84"/>
      <c r="F36" s="79" t="str">
        <f>IF(AND(A36="",A35&lt;&gt;"",COUNTIF(A37:$A$200,"&lt;&gt;")=0),IF(COUNT(F$2:F35)=0,"",ROUND(SUMIF($A$2:A35,"&lt;&gt;",F$2:F35),2)),IF(OR(A36="",AND(ISNUMBER(posicao_contratual!$AL36),posicao_contratual!$AL36&gt;1),posicao_contratual!K36="",NOT(ISNUMBER(historico_VU!D36))),"",ROUND(posicao_contratual!K36*historico_VU!D36,2)))</f>
        <v/>
      </c>
      <c r="G36" s="84"/>
      <c r="H36" s="79" t="str">
        <f>IF(AND(A36="",A35&lt;&gt;"",COUNTIF(A37:$A$200,"&lt;&gt;")=0),IF(COUNT(H$2:H35)=0,"",ROUND(SUMIF($A$2:A35,"&lt;&gt;",H$2:H35),2)),IF(OR(A36="",AND(ISNUMBER(posicao_contratual!$AL36),posicao_contratual!$AL36&gt;2),posicao_contratual!O36="",NOT(ISNUMBER(historico_VU!E36))),"",ROUND(posicao_contratual!O36*historico_VU!E36,2)))</f>
        <v/>
      </c>
      <c r="I36" s="84"/>
      <c r="J36" s="79" t="str">
        <f>IF(AND(A36="",A35&lt;&gt;"",COUNTIF(A37:$A$200,"&lt;&gt;")=0),IF(COUNT(J$2:J35)=0,"",ROUND(SUMIF($A$2:A35,"&lt;&gt;",J$2:J35),2)),IF(OR(A36="",AND(ISNUMBER(posicao_contratual!$AL36),posicao_contratual!$AL36&gt;3),posicao_contratual!S36="",NOT(ISNUMBER(historico_VU!F36))),"",ROUND(posicao_contratual!S36*historico_VU!F36,2)))</f>
        <v/>
      </c>
      <c r="K36" s="84"/>
      <c r="L36" s="79" t="str">
        <f>IF(AND(A36="",A35&lt;&gt;"",COUNTIF(A37:$A$200,"&lt;&gt;")=0),IF(COUNT(L$2:L35)=0,"",ROUND(SUMIF($A$2:A35,"&lt;&gt;",L$2:L35),2)),IF(OR(A36="",AND(ISNUMBER(posicao_contratual!$AL36),posicao_contratual!$AL36&gt;4),posicao_contratual!W36="",NOT(ISNUMBER(historico_VU!G36))),"",ROUND(posicao_contratual!W36*historico_VU!G36,2)))</f>
        <v/>
      </c>
      <c r="M36" s="85" t="str">
        <f>IF(OR(posicao_contratual!J36="",posicao_contratual!N36=""),"",ROUND(MAX(posicao_contratual!J36+posicao_contratual!H36-posicao_contratual!N36,0),2))</f>
        <v/>
      </c>
      <c r="N36" s="79" t="str">
        <f>IF(AND(A36="",A35&lt;&gt;"",COUNTIF(A37:$A$200,"&lt;&gt;")=0),IF(COUNT(N$2:N35)=0,"",ROUND(SUMIF($A$2:A35,"&lt;&gt;",N$2:N35),2)),IF(OR(M36="",NOT(ISNUMBER(historico_VU!D36))),"",ROUND(M36*historico_VU!D36,2)))</f>
        <v/>
      </c>
      <c r="O36" s="85" t="str">
        <f>IF(OR(posicao_contratual!N36="",posicao_contratual!R36=""),"",ROUND(MAX(posicao_contratual!N36+posicao_contratual!L36-posicao_contratual!R36,0),2))</f>
        <v/>
      </c>
      <c r="P36" s="79" t="str">
        <f>IF(AND(A36="",A35&lt;&gt;"",COUNTIF(A37:$A$200,"&lt;&gt;")=0),IF(COUNT(P$2:P35)=0,"",ROUND(SUMIF($A$2:A35,"&lt;&gt;",P$2:P35),2)),IF(OR(O36="",NOT(ISNUMBER(historico_VU!E36))),"",ROUND(O36*historico_VU!E36,2)))</f>
        <v/>
      </c>
      <c r="Q36" s="85" t="str">
        <f>IF(OR(posicao_contratual!R36="",posicao_contratual!V36=""),"",ROUND(MAX(posicao_contratual!R36+posicao_contratual!P36-posicao_contratual!V36,0),2))</f>
        <v/>
      </c>
      <c r="R36" s="79" t="str">
        <f>IF(AND(A36="",A35&lt;&gt;"",COUNTIF(A37:$A$200,"&lt;&gt;")=0),IF(COUNT(R$2:R35)=0,"",ROUND(SUMIF($A$2:A35,"&lt;&gt;",R$2:R35),2)),IF(OR(Q36="",NOT(ISNUMBER(historico_VU!F36))),"",ROUND(Q36*historico_VU!F36,2)))</f>
        <v/>
      </c>
      <c r="S36" s="21"/>
      <c r="T36" s="22" t="str">
        <f>IF(AND(A36="",A35&lt;&gt;"",COUNTIF(A37:$A$200,"&lt;&gt;")=0),IF(COUNT(T$2:T35)=0,"",ROUND(SUMIF($A$2:A35,"&lt;&gt;",T$2:T35),2)),IF(OR(S36="",NOT(ISNUMBER(historico_VU!G36))),"",ROUND(S36*historico_VU!G36,2)))</f>
        <v/>
      </c>
      <c r="U36" s="86" t="str">
        <f>IF(AND(A36="",A35&lt;&gt;"",COUNTIF(A37:$A$200,"&lt;&gt;")=0),"TOTAL",IF(A36="","",posicao_contratual!X36))</f>
        <v/>
      </c>
      <c r="V36" s="86" t="str">
        <f>IF(A36="","",posicao_contratual!X36)</f>
        <v/>
      </c>
      <c r="W36" s="14"/>
      <c r="X36" s="14"/>
      <c r="Y36" s="14"/>
      <c r="Z36" s="13"/>
      <c r="AA36" s="13"/>
      <c r="AB36" s="85" t="str">
        <f>IF(OR(A36="",posicao_contratual!E36="",posicao_contratual!J36=""),"",ROUND(MAX(posicao_contratual!E36-posicao_contratual!J36,0),2))</f>
        <v/>
      </c>
      <c r="AC36" s="79" t="str">
        <f>IF(AND(A36="",A35&lt;&gt;"",COUNTIF(A37:$A$200,"&lt;&gt;")=0),IF(COUNT(AC$2:AC35)=0,"",ROUND(SUMIF($A$2:A35,"&lt;&gt;",AC$2:AC35),2)),IF(OR(AB36="",NOT(ISNUMBER(historico_VU!C36))),"",ROUND(AB36*historico_VU!C36,2)))</f>
        <v/>
      </c>
      <c r="AD36" s="145" t="str">
        <f>IF(A36="","",posicao_contratual!E36)</f>
        <v/>
      </c>
      <c r="AE36" s="145" t="str">
        <f>IF(A36="","",posicao_contratual!I36)</f>
        <v/>
      </c>
      <c r="AF36" s="145" t="str">
        <f>IF(A36="","",posicao_contratual!M36)</f>
        <v/>
      </c>
      <c r="AG36" s="145" t="str">
        <f>IF(A36="","",posicao_contratual!Q36)</f>
        <v/>
      </c>
      <c r="AH36" s="145" t="str">
        <f>IF(A36="","",posicao_contratual!U36)</f>
        <v/>
      </c>
      <c r="AI36" s="145" t="str">
        <f>IF(A36="","",posicao_contratual!G36)</f>
        <v/>
      </c>
      <c r="AJ36" s="145" t="str">
        <f>IF(A36="","",posicao_contratual!K36)</f>
        <v/>
      </c>
      <c r="AK36" s="145" t="str">
        <f>IF(A36="","",posicao_contratual!O36)</f>
        <v/>
      </c>
      <c r="AL36" s="145" t="str">
        <f>IF(A36="","",posicao_contratual!S36)</f>
        <v/>
      </c>
      <c r="AM36" s="145" t="str">
        <f>IF(A36="","",posicao_contratual!W36)</f>
        <v/>
      </c>
      <c r="AN36" s="146" t="str">
        <f>IF(A36="","",posicao_contratual!X36)</f>
        <v/>
      </c>
      <c r="AO36" t="str">
        <f>IF($A36="","",ROUND(SUMIFS(itens_Consumidos!$E$2:$E$200,itens_Consumidos!$A$2:$A$200,$A36),2))</f>
        <v/>
      </c>
      <c r="AP36" t="str">
        <f t="shared" si="6"/>
        <v/>
      </c>
      <c r="AQ36" t="str">
        <f>IF(OR($A36="",AB36="",MEMORIA_RESULTADOS!$I$258=""),"",ROUND(AB36*$C36*(MEMORIA_RESULTADOS!$I$258-1),2))</f>
        <v/>
      </c>
      <c r="AR36" t="str">
        <f>IF(OR($A36="",AP36="",MEMORIA_RESULTADOS!$I$258=""),"",ROUND(AP36*$C36*(parametros!$F$2-MEMORIA_RESULTADOS!$I$258),2))</f>
        <v/>
      </c>
      <c r="AS36" t="str">
        <f>IF($A36="","",ROUND(SUMIFS(itens_Consumidos!$G$2:$G$200,itens_Consumidos!$A$2:$A$200,$A36),2))</f>
        <v/>
      </c>
      <c r="AT36" t="str">
        <f t="shared" si="7"/>
        <v/>
      </c>
      <c r="AU36" t="str">
        <f>IF(OR($A36="",M36="",MEMORIA_RESULTADOS!$I$259=""),"",ROUND(M36*$C36*(MEMORIA_RESULTADOS!$I$259-1),2))</f>
        <v/>
      </c>
      <c r="AV36" t="str">
        <f>IF(OR($A36="",AT36="",MEMORIA_RESULTADOS!$I$259=""),"",ROUND(AT36*$C36*(parametros!$F$3-MEMORIA_RESULTADOS!$I$259),2))</f>
        <v/>
      </c>
      <c r="AW36" t="str">
        <f>IF($A36="","",ROUND(SUMIFS(itens_Consumidos!$I$2:$I$200,itens_Consumidos!$A$2:$A$200,$A36),2))</f>
        <v/>
      </c>
      <c r="AX36" t="str">
        <f t="shared" si="8"/>
        <v/>
      </c>
      <c r="AY36" t="str">
        <f>IF(OR($A36="",O36="",MEMORIA_RESULTADOS!$I$260=""),"",ROUND(O36*$C36*(MEMORIA_RESULTADOS!$I$260-1),2))</f>
        <v/>
      </c>
      <c r="AZ36" t="str">
        <f>IF(OR($A36="",AX36="",MEMORIA_RESULTADOS!$I$260=""),"",ROUND(AX36*$C36*(parametros!$F$4-MEMORIA_RESULTADOS!$I$260),2))</f>
        <v/>
      </c>
      <c r="BA36" t="str">
        <f>IF($A36="","",ROUND(SUMIFS(itens_Consumidos!$K$2:$K$200,itens_Consumidos!$A$2:$A$200,$A36),2))</f>
        <v/>
      </c>
      <c r="BB36" t="str">
        <f t="shared" si="9"/>
        <v/>
      </c>
      <c r="BC36" t="str">
        <f>IF(OR($A36="",Q36="",MEMORIA_RESULTADOS!$I$261=""),"",ROUND(Q36*$C36*(MEMORIA_RESULTADOS!$I$261-1),2))</f>
        <v/>
      </c>
      <c r="BD36" t="str">
        <f>IF(OR($A36="",BB36="",MEMORIA_RESULTADOS!$I$261=""),"",ROUND(BB36*$C36*(parametros!$F$5-MEMORIA_RESULTADOS!$I$261),2))</f>
        <v/>
      </c>
      <c r="BE36" t="str">
        <f>IF($A36="","",ROUND(SUMIFS(itens_Consumidos!$M$2:$M$200,itens_Consumidos!$A$2:$A$200,$A36),2))</f>
        <v/>
      </c>
      <c r="BF36" t="str">
        <f t="shared" si="10"/>
        <v/>
      </c>
      <c r="BG36" t="str">
        <f>IF(OR($A36="",S36="",MEMORIA_RESULTADOS!$I$262=""),"",ROUND(S36*$C36*(MEMORIA_RESULTADOS!$I$262-1),2))</f>
        <v/>
      </c>
      <c r="BH36" t="str">
        <f>IF(OR($A36="",BF36="",MEMORIA_RESULTADOS!$I$262=""),"",ROUND(BF36*$C36*(parametros!$F$6-MEMORIA_RESULTADOS!$I$262),2))</f>
        <v/>
      </c>
      <c r="BI36" t="str">
        <f>IF($A36="","",IF(posicao_contratual!$AL36="","",posicao_contratual!$AL36))</f>
        <v/>
      </c>
    </row>
    <row r="37" spans="1:61" x14ac:dyDescent="0.35">
      <c r="A37" s="81"/>
      <c r="B37" s="82" t="str">
        <f t="shared" ref="B37:B68" si="11">IF(AND(LEN(TRIM($A37))=4,LEFT(TRIM($A37),1)="N",ISNUMBER(--MID(TRIM($A37),2,3)),ISERROR(FIND(".",$A37)),ISERROR(FIND(",",$A37)),ISERROR(FIND("-",$A37)),ISERROR(FIND("+",$A37)),ISERROR(SEARCH("E",$A37,2)),ISERROR(FIND(" ",TRIM($A37)))),0,"")</f>
        <v/>
      </c>
      <c r="C37" s="83"/>
      <c r="D37" s="79" t="str">
        <f>IF(AND(A37="",A36&lt;&gt;"",COUNTIF(A38:$A$200,"&lt;&gt;")=0),ROUND(SUMIF($A$2:A36,"&lt;&gt;",$D$2:D36),2),IF(OR(A37="",B37="",C37=""),"",ROUND(B37*C37,2)))</f>
        <v/>
      </c>
      <c r="E37" s="84"/>
      <c r="F37" s="79" t="str">
        <f>IF(AND(A37="",A36&lt;&gt;"",COUNTIF(A38:$A$200,"&lt;&gt;")=0),IF(COUNT(F$2:F36)=0,"",ROUND(SUMIF($A$2:A36,"&lt;&gt;",F$2:F36),2)),IF(OR(A37="",AND(ISNUMBER(posicao_contratual!$AL37),posicao_contratual!$AL37&gt;1),posicao_contratual!K37="",NOT(ISNUMBER(historico_VU!D37))),"",ROUND(posicao_contratual!K37*historico_VU!D37,2)))</f>
        <v/>
      </c>
      <c r="G37" s="84"/>
      <c r="H37" s="79" t="str">
        <f>IF(AND(A37="",A36&lt;&gt;"",COUNTIF(A38:$A$200,"&lt;&gt;")=0),IF(COUNT(H$2:H36)=0,"",ROUND(SUMIF($A$2:A36,"&lt;&gt;",H$2:H36),2)),IF(OR(A37="",AND(ISNUMBER(posicao_contratual!$AL37),posicao_contratual!$AL37&gt;2),posicao_contratual!O37="",NOT(ISNUMBER(historico_VU!E37))),"",ROUND(posicao_contratual!O37*historico_VU!E37,2)))</f>
        <v/>
      </c>
      <c r="I37" s="84"/>
      <c r="J37" s="79" t="str">
        <f>IF(AND(A37="",A36&lt;&gt;"",COUNTIF(A38:$A$200,"&lt;&gt;")=0),IF(COUNT(J$2:J36)=0,"",ROUND(SUMIF($A$2:A36,"&lt;&gt;",J$2:J36),2)),IF(OR(A37="",AND(ISNUMBER(posicao_contratual!$AL37),posicao_contratual!$AL37&gt;3),posicao_contratual!S37="",NOT(ISNUMBER(historico_VU!F37))),"",ROUND(posicao_contratual!S37*historico_VU!F37,2)))</f>
        <v/>
      </c>
      <c r="K37" s="84"/>
      <c r="L37" s="79" t="str">
        <f>IF(AND(A37="",A36&lt;&gt;"",COUNTIF(A38:$A$200,"&lt;&gt;")=0),IF(COUNT(L$2:L36)=0,"",ROUND(SUMIF($A$2:A36,"&lt;&gt;",L$2:L36),2)),IF(OR(A37="",AND(ISNUMBER(posicao_contratual!$AL37),posicao_contratual!$AL37&gt;4),posicao_contratual!W37="",NOT(ISNUMBER(historico_VU!G37))),"",ROUND(posicao_contratual!W37*historico_VU!G37,2)))</f>
        <v/>
      </c>
      <c r="M37" s="85" t="str">
        <f>IF(OR(posicao_contratual!J37="",posicao_contratual!N37=""),"",ROUND(MAX(posicao_contratual!J37+posicao_contratual!H37-posicao_contratual!N37,0),2))</f>
        <v/>
      </c>
      <c r="N37" s="79" t="str">
        <f>IF(AND(A37="",A36&lt;&gt;"",COUNTIF(A38:$A$200,"&lt;&gt;")=0),IF(COUNT(N$2:N36)=0,"",ROUND(SUMIF($A$2:A36,"&lt;&gt;",N$2:N36),2)),IF(OR(M37="",NOT(ISNUMBER(historico_VU!D37))),"",ROUND(M37*historico_VU!D37,2)))</f>
        <v/>
      </c>
      <c r="O37" s="85" t="str">
        <f>IF(OR(posicao_contratual!N37="",posicao_contratual!R37=""),"",ROUND(MAX(posicao_contratual!N37+posicao_contratual!L37-posicao_contratual!R37,0),2))</f>
        <v/>
      </c>
      <c r="P37" s="79" t="str">
        <f>IF(AND(A37="",A36&lt;&gt;"",COUNTIF(A38:$A$200,"&lt;&gt;")=0),IF(COUNT(P$2:P36)=0,"",ROUND(SUMIF($A$2:A36,"&lt;&gt;",P$2:P36),2)),IF(OR(O37="",NOT(ISNUMBER(historico_VU!E37))),"",ROUND(O37*historico_VU!E37,2)))</f>
        <v/>
      </c>
      <c r="Q37" s="85" t="str">
        <f>IF(OR(posicao_contratual!R37="",posicao_contratual!V37=""),"",ROUND(MAX(posicao_contratual!R37+posicao_contratual!P37-posicao_contratual!V37,0),2))</f>
        <v/>
      </c>
      <c r="R37" s="79" t="str">
        <f>IF(AND(A37="",A36&lt;&gt;"",COUNTIF(A38:$A$200,"&lt;&gt;")=0),IF(COUNT(R$2:R36)=0,"",ROUND(SUMIF($A$2:A36,"&lt;&gt;",R$2:R36),2)),IF(OR(Q37="",NOT(ISNUMBER(historico_VU!F37))),"",ROUND(Q37*historico_VU!F37,2)))</f>
        <v/>
      </c>
      <c r="S37" s="21"/>
      <c r="T37" s="22" t="str">
        <f>IF(AND(A37="",A36&lt;&gt;"",COUNTIF(A38:$A$200,"&lt;&gt;")=0),IF(COUNT(T$2:T36)=0,"",ROUND(SUMIF($A$2:A36,"&lt;&gt;",T$2:T36),2)),IF(OR(S37="",NOT(ISNUMBER(historico_VU!G37))),"",ROUND(S37*historico_VU!G37,2)))</f>
        <v/>
      </c>
      <c r="U37" s="86" t="str">
        <f>IF(AND(A37="",A36&lt;&gt;"",COUNTIF(A38:$A$200,"&lt;&gt;")=0),"TOTAL",IF(A37="","",posicao_contratual!X37))</f>
        <v/>
      </c>
      <c r="V37" s="86" t="str">
        <f>IF(A37="","",posicao_contratual!X37)</f>
        <v/>
      </c>
      <c r="W37" s="14"/>
      <c r="X37" s="14"/>
      <c r="Y37" s="14"/>
      <c r="Z37" s="13"/>
      <c r="AA37" s="13"/>
      <c r="AB37" s="85" t="str">
        <f>IF(OR(A37="",posicao_contratual!E37="",posicao_contratual!J37=""),"",ROUND(MAX(posicao_contratual!E37-posicao_contratual!J37,0),2))</f>
        <v/>
      </c>
      <c r="AC37" s="79" t="str">
        <f>IF(AND(A37="",A36&lt;&gt;"",COUNTIF(A38:$A$200,"&lt;&gt;")=0),IF(COUNT(AC$2:AC36)=0,"",ROUND(SUMIF($A$2:A36,"&lt;&gt;",AC$2:AC36),2)),IF(OR(AB37="",NOT(ISNUMBER(historico_VU!C37))),"",ROUND(AB37*historico_VU!C37,2)))</f>
        <v/>
      </c>
      <c r="AD37" s="145" t="str">
        <f>IF(A37="","",posicao_contratual!E37)</f>
        <v/>
      </c>
      <c r="AE37" s="145" t="str">
        <f>IF(A37="","",posicao_contratual!I37)</f>
        <v/>
      </c>
      <c r="AF37" s="145" t="str">
        <f>IF(A37="","",posicao_contratual!M37)</f>
        <v/>
      </c>
      <c r="AG37" s="145" t="str">
        <f>IF(A37="","",posicao_contratual!Q37)</f>
        <v/>
      </c>
      <c r="AH37" s="145" t="str">
        <f>IF(A37="","",posicao_contratual!U37)</f>
        <v/>
      </c>
      <c r="AI37" s="145" t="str">
        <f>IF(A37="","",posicao_contratual!G37)</f>
        <v/>
      </c>
      <c r="AJ37" s="145" t="str">
        <f>IF(A37="","",posicao_contratual!K37)</f>
        <v/>
      </c>
      <c r="AK37" s="145" t="str">
        <f>IF(A37="","",posicao_contratual!O37)</f>
        <v/>
      </c>
      <c r="AL37" s="145" t="str">
        <f>IF(A37="","",posicao_contratual!S37)</f>
        <v/>
      </c>
      <c r="AM37" s="145" t="str">
        <f>IF(A37="","",posicao_contratual!W37)</f>
        <v/>
      </c>
      <c r="AN37" s="146" t="str">
        <f>IF(A37="","",posicao_contratual!X37)</f>
        <v/>
      </c>
      <c r="AO37" t="str">
        <f>IF($A37="","",ROUND(SUMIFS(itens_Consumidos!$E$2:$E$200,itens_Consumidos!$A$2:$A$200,$A37),2))</f>
        <v/>
      </c>
      <c r="AP37" t="str">
        <f t="shared" si="6"/>
        <v/>
      </c>
      <c r="AQ37" t="str">
        <f>IF(OR($A37="",AB37="",MEMORIA_RESULTADOS!$I$258=""),"",ROUND(AB37*$C37*(MEMORIA_RESULTADOS!$I$258-1),2))</f>
        <v/>
      </c>
      <c r="AR37" t="str">
        <f>IF(OR($A37="",AP37="",MEMORIA_RESULTADOS!$I$258=""),"",ROUND(AP37*$C37*(parametros!$F$2-MEMORIA_RESULTADOS!$I$258),2))</f>
        <v/>
      </c>
      <c r="AS37" t="str">
        <f>IF($A37="","",ROUND(SUMIFS(itens_Consumidos!$G$2:$G$200,itens_Consumidos!$A$2:$A$200,$A37),2))</f>
        <v/>
      </c>
      <c r="AT37" t="str">
        <f t="shared" si="7"/>
        <v/>
      </c>
      <c r="AU37" t="str">
        <f>IF(OR($A37="",M37="",MEMORIA_RESULTADOS!$I$259=""),"",ROUND(M37*$C37*(MEMORIA_RESULTADOS!$I$259-1),2))</f>
        <v/>
      </c>
      <c r="AV37" t="str">
        <f>IF(OR($A37="",AT37="",MEMORIA_RESULTADOS!$I$259=""),"",ROUND(AT37*$C37*(parametros!$F$3-MEMORIA_RESULTADOS!$I$259),2))</f>
        <v/>
      </c>
      <c r="AW37" t="str">
        <f>IF($A37="","",ROUND(SUMIFS(itens_Consumidos!$I$2:$I$200,itens_Consumidos!$A$2:$A$200,$A37),2))</f>
        <v/>
      </c>
      <c r="AX37" t="str">
        <f t="shared" si="8"/>
        <v/>
      </c>
      <c r="AY37" t="str">
        <f>IF(OR($A37="",O37="",MEMORIA_RESULTADOS!$I$260=""),"",ROUND(O37*$C37*(MEMORIA_RESULTADOS!$I$260-1),2))</f>
        <v/>
      </c>
      <c r="AZ37" t="str">
        <f>IF(OR($A37="",AX37="",MEMORIA_RESULTADOS!$I$260=""),"",ROUND(AX37*$C37*(parametros!$F$4-MEMORIA_RESULTADOS!$I$260),2))</f>
        <v/>
      </c>
      <c r="BA37" t="str">
        <f>IF($A37="","",ROUND(SUMIFS(itens_Consumidos!$K$2:$K$200,itens_Consumidos!$A$2:$A$200,$A37),2))</f>
        <v/>
      </c>
      <c r="BB37" t="str">
        <f t="shared" si="9"/>
        <v/>
      </c>
      <c r="BC37" t="str">
        <f>IF(OR($A37="",Q37="",MEMORIA_RESULTADOS!$I$261=""),"",ROUND(Q37*$C37*(MEMORIA_RESULTADOS!$I$261-1),2))</f>
        <v/>
      </c>
      <c r="BD37" t="str">
        <f>IF(OR($A37="",BB37="",MEMORIA_RESULTADOS!$I$261=""),"",ROUND(BB37*$C37*(parametros!$F$5-MEMORIA_RESULTADOS!$I$261),2))</f>
        <v/>
      </c>
      <c r="BE37" t="str">
        <f>IF($A37="","",ROUND(SUMIFS(itens_Consumidos!$M$2:$M$200,itens_Consumidos!$A$2:$A$200,$A37),2))</f>
        <v/>
      </c>
      <c r="BF37" t="str">
        <f t="shared" si="10"/>
        <v/>
      </c>
      <c r="BG37" t="str">
        <f>IF(OR($A37="",S37="",MEMORIA_RESULTADOS!$I$262=""),"",ROUND(S37*$C37*(MEMORIA_RESULTADOS!$I$262-1),2))</f>
        <v/>
      </c>
      <c r="BH37" t="str">
        <f>IF(OR($A37="",BF37="",MEMORIA_RESULTADOS!$I$262=""),"",ROUND(BF37*$C37*(parametros!$F$6-MEMORIA_RESULTADOS!$I$262),2))</f>
        <v/>
      </c>
      <c r="BI37" t="str">
        <f>IF($A37="","",IF(posicao_contratual!$AL37="","",posicao_contratual!$AL37))</f>
        <v/>
      </c>
    </row>
    <row r="38" spans="1:61" x14ac:dyDescent="0.35">
      <c r="A38" s="81"/>
      <c r="B38" s="82" t="str">
        <f t="shared" si="11"/>
        <v/>
      </c>
      <c r="C38" s="83"/>
      <c r="D38" s="79" t="str">
        <f>IF(AND(A38="",A37&lt;&gt;"",COUNTIF(A39:$A$200,"&lt;&gt;")=0),ROUND(SUMIF($A$2:A37,"&lt;&gt;",$D$2:D37),2),IF(OR(A38="",B38="",C38=""),"",ROUND(B38*C38,2)))</f>
        <v/>
      </c>
      <c r="E38" s="84"/>
      <c r="F38" s="79" t="str">
        <f>IF(AND(A38="",A37&lt;&gt;"",COUNTIF(A39:$A$200,"&lt;&gt;")=0),IF(COUNT(F$2:F37)=0,"",ROUND(SUMIF($A$2:A37,"&lt;&gt;",F$2:F37),2)),IF(OR(A38="",AND(ISNUMBER(posicao_contratual!$AL38),posicao_contratual!$AL38&gt;1),posicao_contratual!K38="",NOT(ISNUMBER(historico_VU!D38))),"",ROUND(posicao_contratual!K38*historico_VU!D38,2)))</f>
        <v/>
      </c>
      <c r="G38" s="84"/>
      <c r="H38" s="79" t="str">
        <f>IF(AND(A38="",A37&lt;&gt;"",COUNTIF(A39:$A$200,"&lt;&gt;")=0),IF(COUNT(H$2:H37)=0,"",ROUND(SUMIF($A$2:A37,"&lt;&gt;",H$2:H37),2)),IF(OR(A38="",AND(ISNUMBER(posicao_contratual!$AL38),posicao_contratual!$AL38&gt;2),posicao_contratual!O38="",NOT(ISNUMBER(historico_VU!E38))),"",ROUND(posicao_contratual!O38*historico_VU!E38,2)))</f>
        <v/>
      </c>
      <c r="I38" s="84"/>
      <c r="J38" s="79" t="str">
        <f>IF(AND(A38="",A37&lt;&gt;"",COUNTIF(A39:$A$200,"&lt;&gt;")=0),IF(COUNT(J$2:J37)=0,"",ROUND(SUMIF($A$2:A37,"&lt;&gt;",J$2:J37),2)),IF(OR(A38="",AND(ISNUMBER(posicao_contratual!$AL38),posicao_contratual!$AL38&gt;3),posicao_contratual!S38="",NOT(ISNUMBER(historico_VU!F38))),"",ROUND(posicao_contratual!S38*historico_VU!F38,2)))</f>
        <v/>
      </c>
      <c r="K38" s="84"/>
      <c r="L38" s="79" t="str">
        <f>IF(AND(A38="",A37&lt;&gt;"",COUNTIF(A39:$A$200,"&lt;&gt;")=0),IF(COUNT(L$2:L37)=0,"",ROUND(SUMIF($A$2:A37,"&lt;&gt;",L$2:L37),2)),IF(OR(A38="",AND(ISNUMBER(posicao_contratual!$AL38),posicao_contratual!$AL38&gt;4),posicao_contratual!W38="",NOT(ISNUMBER(historico_VU!G38))),"",ROUND(posicao_contratual!W38*historico_VU!G38,2)))</f>
        <v/>
      </c>
      <c r="M38" s="85" t="str">
        <f>IF(OR(posicao_contratual!J38="",posicao_contratual!N38=""),"",ROUND(MAX(posicao_contratual!J38+posicao_contratual!H38-posicao_contratual!N38,0),2))</f>
        <v/>
      </c>
      <c r="N38" s="79" t="str">
        <f>IF(AND(A38="",A37&lt;&gt;"",COUNTIF(A39:$A$200,"&lt;&gt;")=0),IF(COUNT(N$2:N37)=0,"",ROUND(SUMIF($A$2:A37,"&lt;&gt;",N$2:N37),2)),IF(OR(M38="",NOT(ISNUMBER(historico_VU!D38))),"",ROUND(M38*historico_VU!D38,2)))</f>
        <v/>
      </c>
      <c r="O38" s="85" t="str">
        <f>IF(OR(posicao_contratual!N38="",posicao_contratual!R38=""),"",ROUND(MAX(posicao_contratual!N38+posicao_contratual!L38-posicao_contratual!R38,0),2))</f>
        <v/>
      </c>
      <c r="P38" s="79" t="str">
        <f>IF(AND(A38="",A37&lt;&gt;"",COUNTIF(A39:$A$200,"&lt;&gt;")=0),IF(COUNT(P$2:P37)=0,"",ROUND(SUMIF($A$2:A37,"&lt;&gt;",P$2:P37),2)),IF(OR(O38="",NOT(ISNUMBER(historico_VU!E38))),"",ROUND(O38*historico_VU!E38,2)))</f>
        <v/>
      </c>
      <c r="Q38" s="85" t="str">
        <f>IF(OR(posicao_contratual!R38="",posicao_contratual!V38=""),"",ROUND(MAX(posicao_contratual!R38+posicao_contratual!P38-posicao_contratual!V38,0),2))</f>
        <v/>
      </c>
      <c r="R38" s="79" t="str">
        <f>IF(AND(A38="",A37&lt;&gt;"",COUNTIF(A39:$A$200,"&lt;&gt;")=0),IF(COUNT(R$2:R37)=0,"",ROUND(SUMIF($A$2:A37,"&lt;&gt;",R$2:R37),2)),IF(OR(Q38="",NOT(ISNUMBER(historico_VU!F38))),"",ROUND(Q38*historico_VU!F38,2)))</f>
        <v/>
      </c>
      <c r="S38" s="21"/>
      <c r="T38" s="22" t="str">
        <f>IF(AND(A38="",A37&lt;&gt;"",COUNTIF(A39:$A$200,"&lt;&gt;")=0),IF(COUNT(T$2:T37)=0,"",ROUND(SUMIF($A$2:A37,"&lt;&gt;",T$2:T37),2)),IF(OR(S38="",NOT(ISNUMBER(historico_VU!G38))),"",ROUND(S38*historico_VU!G38,2)))</f>
        <v/>
      </c>
      <c r="U38" s="86" t="str">
        <f>IF(AND(A38="",A37&lt;&gt;"",COUNTIF(A39:$A$200,"&lt;&gt;")=0),"TOTAL",IF(A38="","",posicao_contratual!X38))</f>
        <v/>
      </c>
      <c r="V38" s="86" t="str">
        <f>IF(A38="","",posicao_contratual!X38)</f>
        <v/>
      </c>
      <c r="W38" s="14"/>
      <c r="X38" s="14"/>
      <c r="Y38" s="14"/>
      <c r="Z38" s="13"/>
      <c r="AA38" s="13"/>
      <c r="AB38" s="85" t="str">
        <f>IF(OR(A38="",posicao_contratual!E38="",posicao_contratual!J38=""),"",ROUND(MAX(posicao_contratual!E38-posicao_contratual!J38,0),2))</f>
        <v/>
      </c>
      <c r="AC38" s="79" t="str">
        <f>IF(AND(A38="",A37&lt;&gt;"",COUNTIF(A39:$A$200,"&lt;&gt;")=0),IF(COUNT(AC$2:AC37)=0,"",ROUND(SUMIF($A$2:A37,"&lt;&gt;",AC$2:AC37),2)),IF(OR(AB38="",NOT(ISNUMBER(historico_VU!C38))),"",ROUND(AB38*historico_VU!C38,2)))</f>
        <v/>
      </c>
      <c r="AD38" s="145" t="str">
        <f>IF(A38="","",posicao_contratual!E38)</f>
        <v/>
      </c>
      <c r="AE38" s="145" t="str">
        <f>IF(A38="","",posicao_contratual!I38)</f>
        <v/>
      </c>
      <c r="AF38" s="145" t="str">
        <f>IF(A38="","",posicao_contratual!M38)</f>
        <v/>
      </c>
      <c r="AG38" s="145" t="str">
        <f>IF(A38="","",posicao_contratual!Q38)</f>
        <v/>
      </c>
      <c r="AH38" s="145" t="str">
        <f>IF(A38="","",posicao_contratual!U38)</f>
        <v/>
      </c>
      <c r="AI38" s="145" t="str">
        <f>IF(A38="","",posicao_contratual!G38)</f>
        <v/>
      </c>
      <c r="AJ38" s="145" t="str">
        <f>IF(A38="","",posicao_contratual!K38)</f>
        <v/>
      </c>
      <c r="AK38" s="145" t="str">
        <f>IF(A38="","",posicao_contratual!O38)</f>
        <v/>
      </c>
      <c r="AL38" s="145" t="str">
        <f>IF(A38="","",posicao_contratual!S38)</f>
        <v/>
      </c>
      <c r="AM38" s="145" t="str">
        <f>IF(A38="","",posicao_contratual!W38)</f>
        <v/>
      </c>
      <c r="AN38" s="146" t="str">
        <f>IF(A38="","",posicao_contratual!X38)</f>
        <v/>
      </c>
      <c r="AO38" t="str">
        <f>IF($A38="","",ROUND(SUMIFS(itens_Consumidos!$E$2:$E$200,itens_Consumidos!$A$2:$A$200,$A38),2))</f>
        <v/>
      </c>
      <c r="AP38" t="str">
        <f t="shared" si="6"/>
        <v/>
      </c>
      <c r="AQ38" t="str">
        <f>IF(OR($A38="",AB38="",MEMORIA_RESULTADOS!$I$258=""),"",ROUND(AB38*$C38*(MEMORIA_RESULTADOS!$I$258-1),2))</f>
        <v/>
      </c>
      <c r="AR38" t="str">
        <f>IF(OR($A38="",AP38="",MEMORIA_RESULTADOS!$I$258=""),"",ROUND(AP38*$C38*(parametros!$F$2-MEMORIA_RESULTADOS!$I$258),2))</f>
        <v/>
      </c>
      <c r="AS38" t="str">
        <f>IF($A38="","",ROUND(SUMIFS(itens_Consumidos!$G$2:$G$200,itens_Consumidos!$A$2:$A$200,$A38),2))</f>
        <v/>
      </c>
      <c r="AT38" t="str">
        <f t="shared" si="7"/>
        <v/>
      </c>
      <c r="AU38" t="str">
        <f>IF(OR($A38="",M38="",MEMORIA_RESULTADOS!$I$259=""),"",ROUND(M38*$C38*(MEMORIA_RESULTADOS!$I$259-1),2))</f>
        <v/>
      </c>
      <c r="AV38" t="str">
        <f>IF(OR($A38="",AT38="",MEMORIA_RESULTADOS!$I$259=""),"",ROUND(AT38*$C38*(parametros!$F$3-MEMORIA_RESULTADOS!$I$259),2))</f>
        <v/>
      </c>
      <c r="AW38" t="str">
        <f>IF($A38="","",ROUND(SUMIFS(itens_Consumidos!$I$2:$I$200,itens_Consumidos!$A$2:$A$200,$A38),2))</f>
        <v/>
      </c>
      <c r="AX38" t="str">
        <f t="shared" si="8"/>
        <v/>
      </c>
      <c r="AY38" t="str">
        <f>IF(OR($A38="",O38="",MEMORIA_RESULTADOS!$I$260=""),"",ROUND(O38*$C38*(MEMORIA_RESULTADOS!$I$260-1),2))</f>
        <v/>
      </c>
      <c r="AZ38" t="str">
        <f>IF(OR($A38="",AX38="",MEMORIA_RESULTADOS!$I$260=""),"",ROUND(AX38*$C38*(parametros!$F$4-MEMORIA_RESULTADOS!$I$260),2))</f>
        <v/>
      </c>
      <c r="BA38" t="str">
        <f>IF($A38="","",ROUND(SUMIFS(itens_Consumidos!$K$2:$K$200,itens_Consumidos!$A$2:$A$200,$A38),2))</f>
        <v/>
      </c>
      <c r="BB38" t="str">
        <f t="shared" si="9"/>
        <v/>
      </c>
      <c r="BC38" t="str">
        <f>IF(OR($A38="",Q38="",MEMORIA_RESULTADOS!$I$261=""),"",ROUND(Q38*$C38*(MEMORIA_RESULTADOS!$I$261-1),2))</f>
        <v/>
      </c>
      <c r="BD38" t="str">
        <f>IF(OR($A38="",BB38="",MEMORIA_RESULTADOS!$I$261=""),"",ROUND(BB38*$C38*(parametros!$F$5-MEMORIA_RESULTADOS!$I$261),2))</f>
        <v/>
      </c>
      <c r="BE38" t="str">
        <f>IF($A38="","",ROUND(SUMIFS(itens_Consumidos!$M$2:$M$200,itens_Consumidos!$A$2:$A$200,$A38),2))</f>
        <v/>
      </c>
      <c r="BF38" t="str">
        <f t="shared" si="10"/>
        <v/>
      </c>
      <c r="BG38" t="str">
        <f>IF(OR($A38="",S38="",MEMORIA_RESULTADOS!$I$262=""),"",ROUND(S38*$C38*(MEMORIA_RESULTADOS!$I$262-1),2))</f>
        <v/>
      </c>
      <c r="BH38" t="str">
        <f>IF(OR($A38="",BF38="",MEMORIA_RESULTADOS!$I$262=""),"",ROUND(BF38*$C38*(parametros!$F$6-MEMORIA_RESULTADOS!$I$262),2))</f>
        <v/>
      </c>
      <c r="BI38" t="str">
        <f>IF($A38="","",IF(posicao_contratual!$AL38="","",posicao_contratual!$AL38))</f>
        <v/>
      </c>
    </row>
    <row r="39" spans="1:61" x14ac:dyDescent="0.35">
      <c r="A39" s="81"/>
      <c r="B39" s="82" t="str">
        <f t="shared" si="11"/>
        <v/>
      </c>
      <c r="C39" s="83"/>
      <c r="D39" s="79" t="str">
        <f>IF(AND(A39="",A38&lt;&gt;"",COUNTIF(A40:$A$200,"&lt;&gt;")=0),ROUND(SUMIF($A$2:A38,"&lt;&gt;",$D$2:D38),2),IF(OR(A39="",B39="",C39=""),"",ROUND(B39*C39,2)))</f>
        <v/>
      </c>
      <c r="E39" s="84"/>
      <c r="F39" s="79" t="str">
        <f>IF(AND(A39="",A38&lt;&gt;"",COUNTIF(A40:$A$200,"&lt;&gt;")=0),IF(COUNT(F$2:F38)=0,"",ROUND(SUMIF($A$2:A38,"&lt;&gt;",F$2:F38),2)),IF(OR(A39="",AND(ISNUMBER(posicao_contratual!$AL39),posicao_contratual!$AL39&gt;1),posicao_contratual!K39="",NOT(ISNUMBER(historico_VU!D39))),"",ROUND(posicao_contratual!K39*historico_VU!D39,2)))</f>
        <v/>
      </c>
      <c r="G39" s="84"/>
      <c r="H39" s="79" t="str">
        <f>IF(AND(A39="",A38&lt;&gt;"",COUNTIF(A40:$A$200,"&lt;&gt;")=0),IF(COUNT(H$2:H38)=0,"",ROUND(SUMIF($A$2:A38,"&lt;&gt;",H$2:H38),2)),IF(OR(A39="",AND(ISNUMBER(posicao_contratual!$AL39),posicao_contratual!$AL39&gt;2),posicao_contratual!O39="",NOT(ISNUMBER(historico_VU!E39))),"",ROUND(posicao_contratual!O39*historico_VU!E39,2)))</f>
        <v/>
      </c>
      <c r="I39" s="84"/>
      <c r="J39" s="79" t="str">
        <f>IF(AND(A39="",A38&lt;&gt;"",COUNTIF(A40:$A$200,"&lt;&gt;")=0),IF(COUNT(J$2:J38)=0,"",ROUND(SUMIF($A$2:A38,"&lt;&gt;",J$2:J38),2)),IF(OR(A39="",AND(ISNUMBER(posicao_contratual!$AL39),posicao_contratual!$AL39&gt;3),posicao_contratual!S39="",NOT(ISNUMBER(historico_VU!F39))),"",ROUND(posicao_contratual!S39*historico_VU!F39,2)))</f>
        <v/>
      </c>
      <c r="K39" s="84"/>
      <c r="L39" s="79" t="str">
        <f>IF(AND(A39="",A38&lt;&gt;"",COUNTIF(A40:$A$200,"&lt;&gt;")=0),IF(COUNT(L$2:L38)=0,"",ROUND(SUMIF($A$2:A38,"&lt;&gt;",L$2:L38),2)),IF(OR(A39="",AND(ISNUMBER(posicao_contratual!$AL39),posicao_contratual!$AL39&gt;4),posicao_contratual!W39="",NOT(ISNUMBER(historico_VU!G39))),"",ROUND(posicao_contratual!W39*historico_VU!G39,2)))</f>
        <v/>
      </c>
      <c r="M39" s="85" t="str">
        <f>IF(OR(posicao_contratual!J39="",posicao_contratual!N39=""),"",ROUND(MAX(posicao_contratual!J39+posicao_contratual!H39-posicao_contratual!N39,0),2))</f>
        <v/>
      </c>
      <c r="N39" s="79" t="str">
        <f>IF(AND(A39="",A38&lt;&gt;"",COUNTIF(A40:$A$200,"&lt;&gt;")=0),IF(COUNT(N$2:N38)=0,"",ROUND(SUMIF($A$2:A38,"&lt;&gt;",N$2:N38),2)),IF(OR(M39="",NOT(ISNUMBER(historico_VU!D39))),"",ROUND(M39*historico_VU!D39,2)))</f>
        <v/>
      </c>
      <c r="O39" s="85" t="str">
        <f>IF(OR(posicao_contratual!N39="",posicao_contratual!R39=""),"",ROUND(MAX(posicao_contratual!N39+posicao_contratual!L39-posicao_contratual!R39,0),2))</f>
        <v/>
      </c>
      <c r="P39" s="79" t="str">
        <f>IF(AND(A39="",A38&lt;&gt;"",COUNTIF(A40:$A$200,"&lt;&gt;")=0),IF(COUNT(P$2:P38)=0,"",ROUND(SUMIF($A$2:A38,"&lt;&gt;",P$2:P38),2)),IF(OR(O39="",NOT(ISNUMBER(historico_VU!E39))),"",ROUND(O39*historico_VU!E39,2)))</f>
        <v/>
      </c>
      <c r="Q39" s="85" t="str">
        <f>IF(OR(posicao_contratual!R39="",posicao_contratual!V39=""),"",ROUND(MAX(posicao_contratual!R39+posicao_contratual!P39-posicao_contratual!V39,0),2))</f>
        <v/>
      </c>
      <c r="R39" s="79" t="str">
        <f>IF(AND(A39="",A38&lt;&gt;"",COUNTIF(A40:$A$200,"&lt;&gt;")=0),IF(COUNT(R$2:R38)=0,"",ROUND(SUMIF($A$2:A38,"&lt;&gt;",R$2:R38),2)),IF(OR(Q39="",NOT(ISNUMBER(historico_VU!F39))),"",ROUND(Q39*historico_VU!F39,2)))</f>
        <v/>
      </c>
      <c r="S39" s="21"/>
      <c r="T39" s="22" t="str">
        <f>IF(AND(A39="",A38&lt;&gt;"",COUNTIF(A40:$A$200,"&lt;&gt;")=0),IF(COUNT(T$2:T38)=0,"",ROUND(SUMIF($A$2:A38,"&lt;&gt;",T$2:T38),2)),IF(OR(S39="",NOT(ISNUMBER(historico_VU!G39))),"",ROUND(S39*historico_VU!G39,2)))</f>
        <v/>
      </c>
      <c r="U39" s="86" t="str">
        <f>IF(AND(A39="",A38&lt;&gt;"",COUNTIF(A40:$A$200,"&lt;&gt;")=0),"TOTAL",IF(A39="","",posicao_contratual!X39))</f>
        <v/>
      </c>
      <c r="V39" s="86" t="str">
        <f>IF(A39="","",posicao_contratual!X39)</f>
        <v/>
      </c>
      <c r="W39" s="14"/>
      <c r="X39" s="14"/>
      <c r="Y39" s="14"/>
      <c r="Z39" s="13"/>
      <c r="AA39" s="13"/>
      <c r="AB39" s="85" t="str">
        <f>IF(OR(A39="",posicao_contratual!E39="",posicao_contratual!J39=""),"",ROUND(MAX(posicao_contratual!E39-posicao_contratual!J39,0),2))</f>
        <v/>
      </c>
      <c r="AC39" s="79" t="str">
        <f>IF(AND(A39="",A38&lt;&gt;"",COUNTIF(A40:$A$200,"&lt;&gt;")=0),IF(COUNT(AC$2:AC38)=0,"",ROUND(SUMIF($A$2:A38,"&lt;&gt;",AC$2:AC38),2)),IF(OR(AB39="",NOT(ISNUMBER(historico_VU!C39))),"",ROUND(AB39*historico_VU!C39,2)))</f>
        <v/>
      </c>
      <c r="AD39" s="145" t="str">
        <f>IF(A39="","",posicao_contratual!E39)</f>
        <v/>
      </c>
      <c r="AE39" s="145" t="str">
        <f>IF(A39="","",posicao_contratual!I39)</f>
        <v/>
      </c>
      <c r="AF39" s="145" t="str">
        <f>IF(A39="","",posicao_contratual!M39)</f>
        <v/>
      </c>
      <c r="AG39" s="145" t="str">
        <f>IF(A39="","",posicao_contratual!Q39)</f>
        <v/>
      </c>
      <c r="AH39" s="145" t="str">
        <f>IF(A39="","",posicao_contratual!U39)</f>
        <v/>
      </c>
      <c r="AI39" s="145" t="str">
        <f>IF(A39="","",posicao_contratual!G39)</f>
        <v/>
      </c>
      <c r="AJ39" s="145" t="str">
        <f>IF(A39="","",posicao_contratual!K39)</f>
        <v/>
      </c>
      <c r="AK39" s="145" t="str">
        <f>IF(A39="","",posicao_contratual!O39)</f>
        <v/>
      </c>
      <c r="AL39" s="145" t="str">
        <f>IF(A39="","",posicao_contratual!S39)</f>
        <v/>
      </c>
      <c r="AM39" s="145" t="str">
        <f>IF(A39="","",posicao_contratual!W39)</f>
        <v/>
      </c>
      <c r="AN39" s="146" t="str">
        <f>IF(A39="","",posicao_contratual!X39)</f>
        <v/>
      </c>
      <c r="AO39" t="str">
        <f>IF($A39="","",ROUND(SUMIFS(itens_Consumidos!$E$2:$E$200,itens_Consumidos!$A$2:$A$200,$A39),2))</f>
        <v/>
      </c>
      <c r="AP39" t="str">
        <f t="shared" si="6"/>
        <v/>
      </c>
      <c r="AQ39" t="str">
        <f>IF(OR($A39="",AB39="",MEMORIA_RESULTADOS!$I$258=""),"",ROUND(AB39*$C39*(MEMORIA_RESULTADOS!$I$258-1),2))</f>
        <v/>
      </c>
      <c r="AR39" t="str">
        <f>IF(OR($A39="",AP39="",MEMORIA_RESULTADOS!$I$258=""),"",ROUND(AP39*$C39*(parametros!$F$2-MEMORIA_RESULTADOS!$I$258),2))</f>
        <v/>
      </c>
      <c r="AS39" t="str">
        <f>IF($A39="","",ROUND(SUMIFS(itens_Consumidos!$G$2:$G$200,itens_Consumidos!$A$2:$A$200,$A39),2))</f>
        <v/>
      </c>
      <c r="AT39" t="str">
        <f t="shared" si="7"/>
        <v/>
      </c>
      <c r="AU39" t="str">
        <f>IF(OR($A39="",M39="",MEMORIA_RESULTADOS!$I$259=""),"",ROUND(M39*$C39*(MEMORIA_RESULTADOS!$I$259-1),2))</f>
        <v/>
      </c>
      <c r="AV39" t="str">
        <f>IF(OR($A39="",AT39="",MEMORIA_RESULTADOS!$I$259=""),"",ROUND(AT39*$C39*(parametros!$F$3-MEMORIA_RESULTADOS!$I$259),2))</f>
        <v/>
      </c>
      <c r="AW39" t="str">
        <f>IF($A39="","",ROUND(SUMIFS(itens_Consumidos!$I$2:$I$200,itens_Consumidos!$A$2:$A$200,$A39),2))</f>
        <v/>
      </c>
      <c r="AX39" t="str">
        <f t="shared" si="8"/>
        <v/>
      </c>
      <c r="AY39" t="str">
        <f>IF(OR($A39="",O39="",MEMORIA_RESULTADOS!$I$260=""),"",ROUND(O39*$C39*(MEMORIA_RESULTADOS!$I$260-1),2))</f>
        <v/>
      </c>
      <c r="AZ39" t="str">
        <f>IF(OR($A39="",AX39="",MEMORIA_RESULTADOS!$I$260=""),"",ROUND(AX39*$C39*(parametros!$F$4-MEMORIA_RESULTADOS!$I$260),2))</f>
        <v/>
      </c>
      <c r="BA39" t="str">
        <f>IF($A39="","",ROUND(SUMIFS(itens_Consumidos!$K$2:$K$200,itens_Consumidos!$A$2:$A$200,$A39),2))</f>
        <v/>
      </c>
      <c r="BB39" t="str">
        <f t="shared" si="9"/>
        <v/>
      </c>
      <c r="BC39" t="str">
        <f>IF(OR($A39="",Q39="",MEMORIA_RESULTADOS!$I$261=""),"",ROUND(Q39*$C39*(MEMORIA_RESULTADOS!$I$261-1),2))</f>
        <v/>
      </c>
      <c r="BD39" t="str">
        <f>IF(OR($A39="",BB39="",MEMORIA_RESULTADOS!$I$261=""),"",ROUND(BB39*$C39*(parametros!$F$5-MEMORIA_RESULTADOS!$I$261),2))</f>
        <v/>
      </c>
      <c r="BE39" t="str">
        <f>IF($A39="","",ROUND(SUMIFS(itens_Consumidos!$M$2:$M$200,itens_Consumidos!$A$2:$A$200,$A39),2))</f>
        <v/>
      </c>
      <c r="BF39" t="str">
        <f t="shared" si="10"/>
        <v/>
      </c>
      <c r="BG39" t="str">
        <f>IF(OR($A39="",S39="",MEMORIA_RESULTADOS!$I$262=""),"",ROUND(S39*$C39*(MEMORIA_RESULTADOS!$I$262-1),2))</f>
        <v/>
      </c>
      <c r="BH39" t="str">
        <f>IF(OR($A39="",BF39="",MEMORIA_RESULTADOS!$I$262=""),"",ROUND(BF39*$C39*(parametros!$F$6-MEMORIA_RESULTADOS!$I$262),2))</f>
        <v/>
      </c>
      <c r="BI39" t="str">
        <f>IF($A39="","",IF(posicao_contratual!$AL39="","",posicao_contratual!$AL39))</f>
        <v/>
      </c>
    </row>
    <row r="40" spans="1:61" x14ac:dyDescent="0.35">
      <c r="A40" s="81"/>
      <c r="B40" s="82" t="str">
        <f t="shared" si="11"/>
        <v/>
      </c>
      <c r="C40" s="83"/>
      <c r="D40" s="79" t="str">
        <f>IF(AND(A40="",A39&lt;&gt;"",COUNTIF(A41:$A$200,"&lt;&gt;")=0),ROUND(SUMIF($A$2:A39,"&lt;&gt;",$D$2:D39),2),IF(OR(A40="",B40="",C40=""),"",ROUND(B40*C40,2)))</f>
        <v/>
      </c>
      <c r="E40" s="84"/>
      <c r="F40" s="79" t="str">
        <f>IF(AND(A40="",A39&lt;&gt;"",COUNTIF(A41:$A$200,"&lt;&gt;")=0),IF(COUNT(F$2:F39)=0,"",ROUND(SUMIF($A$2:A39,"&lt;&gt;",F$2:F39),2)),IF(OR(A40="",AND(ISNUMBER(posicao_contratual!$AL40),posicao_contratual!$AL40&gt;1),posicao_contratual!K40="",NOT(ISNUMBER(historico_VU!D40))),"",ROUND(posicao_contratual!K40*historico_VU!D40,2)))</f>
        <v/>
      </c>
      <c r="G40" s="84"/>
      <c r="H40" s="79" t="str">
        <f>IF(AND(A40="",A39&lt;&gt;"",COUNTIF(A41:$A$200,"&lt;&gt;")=0),IF(COUNT(H$2:H39)=0,"",ROUND(SUMIF($A$2:A39,"&lt;&gt;",H$2:H39),2)),IF(OR(A40="",AND(ISNUMBER(posicao_contratual!$AL40),posicao_contratual!$AL40&gt;2),posicao_contratual!O40="",NOT(ISNUMBER(historico_VU!E40))),"",ROUND(posicao_contratual!O40*historico_VU!E40,2)))</f>
        <v/>
      </c>
      <c r="I40" s="84"/>
      <c r="J40" s="79" t="str">
        <f>IF(AND(A40="",A39&lt;&gt;"",COUNTIF(A41:$A$200,"&lt;&gt;")=0),IF(COUNT(J$2:J39)=0,"",ROUND(SUMIF($A$2:A39,"&lt;&gt;",J$2:J39),2)),IF(OR(A40="",AND(ISNUMBER(posicao_contratual!$AL40),posicao_contratual!$AL40&gt;3),posicao_contratual!S40="",NOT(ISNUMBER(historico_VU!F40))),"",ROUND(posicao_contratual!S40*historico_VU!F40,2)))</f>
        <v/>
      </c>
      <c r="K40" s="84"/>
      <c r="L40" s="79" t="str">
        <f>IF(AND(A40="",A39&lt;&gt;"",COUNTIF(A41:$A$200,"&lt;&gt;")=0),IF(COUNT(L$2:L39)=0,"",ROUND(SUMIF($A$2:A39,"&lt;&gt;",L$2:L39),2)),IF(OR(A40="",AND(ISNUMBER(posicao_contratual!$AL40),posicao_contratual!$AL40&gt;4),posicao_contratual!W40="",NOT(ISNUMBER(historico_VU!G40))),"",ROUND(posicao_contratual!W40*historico_VU!G40,2)))</f>
        <v/>
      </c>
      <c r="M40" s="85" t="str">
        <f>IF(OR(posicao_contratual!J40="",posicao_contratual!N40=""),"",ROUND(MAX(posicao_contratual!J40+posicao_contratual!H40-posicao_contratual!N40,0),2))</f>
        <v/>
      </c>
      <c r="N40" s="79" t="str">
        <f>IF(AND(A40="",A39&lt;&gt;"",COUNTIF(A41:$A$200,"&lt;&gt;")=0),IF(COUNT(N$2:N39)=0,"",ROUND(SUMIF($A$2:A39,"&lt;&gt;",N$2:N39),2)),IF(OR(M40="",NOT(ISNUMBER(historico_VU!D40))),"",ROUND(M40*historico_VU!D40,2)))</f>
        <v/>
      </c>
      <c r="O40" s="85" t="str">
        <f>IF(OR(posicao_contratual!N40="",posicao_contratual!R40=""),"",ROUND(MAX(posicao_contratual!N40+posicao_contratual!L40-posicao_contratual!R40,0),2))</f>
        <v/>
      </c>
      <c r="P40" s="79" t="str">
        <f>IF(AND(A40="",A39&lt;&gt;"",COUNTIF(A41:$A$200,"&lt;&gt;")=0),IF(COUNT(P$2:P39)=0,"",ROUND(SUMIF($A$2:A39,"&lt;&gt;",P$2:P39),2)),IF(OR(O40="",NOT(ISNUMBER(historico_VU!E40))),"",ROUND(O40*historico_VU!E40,2)))</f>
        <v/>
      </c>
      <c r="Q40" s="85" t="str">
        <f>IF(OR(posicao_contratual!R40="",posicao_contratual!V40=""),"",ROUND(MAX(posicao_contratual!R40+posicao_contratual!P40-posicao_contratual!V40,0),2))</f>
        <v/>
      </c>
      <c r="R40" s="79" t="str">
        <f>IF(AND(A40="",A39&lt;&gt;"",COUNTIF(A41:$A$200,"&lt;&gt;")=0),IF(COUNT(R$2:R39)=0,"",ROUND(SUMIF($A$2:A39,"&lt;&gt;",R$2:R39),2)),IF(OR(Q40="",NOT(ISNUMBER(historico_VU!F40))),"",ROUND(Q40*historico_VU!F40,2)))</f>
        <v/>
      </c>
      <c r="S40" s="21"/>
      <c r="T40" s="22" t="str">
        <f>IF(AND(A40="",A39&lt;&gt;"",COUNTIF(A41:$A$200,"&lt;&gt;")=0),IF(COUNT(T$2:T39)=0,"",ROUND(SUMIF($A$2:A39,"&lt;&gt;",T$2:T39),2)),IF(OR(S40="",NOT(ISNUMBER(historico_VU!G40))),"",ROUND(S40*historico_VU!G40,2)))</f>
        <v/>
      </c>
      <c r="U40" s="86" t="str">
        <f>IF(AND(A40="",A39&lt;&gt;"",COUNTIF(A41:$A$200,"&lt;&gt;")=0),"TOTAL",IF(A40="","",posicao_contratual!X40))</f>
        <v/>
      </c>
      <c r="V40" s="86" t="str">
        <f>IF(A40="","",posicao_contratual!X40)</f>
        <v/>
      </c>
      <c r="W40" s="14"/>
      <c r="X40" s="14"/>
      <c r="Y40" s="14"/>
      <c r="Z40" s="13"/>
      <c r="AA40" s="13"/>
      <c r="AB40" s="85" t="str">
        <f>IF(OR(A40="",posicao_contratual!E40="",posicao_contratual!J40=""),"",ROUND(MAX(posicao_contratual!E40-posicao_contratual!J40,0),2))</f>
        <v/>
      </c>
      <c r="AC40" s="79" t="str">
        <f>IF(AND(A40="",A39&lt;&gt;"",COUNTIF(A41:$A$200,"&lt;&gt;")=0),IF(COUNT(AC$2:AC39)=0,"",ROUND(SUMIF($A$2:A39,"&lt;&gt;",AC$2:AC39),2)),IF(OR(AB40="",NOT(ISNUMBER(historico_VU!C40))),"",ROUND(AB40*historico_VU!C40,2)))</f>
        <v/>
      </c>
      <c r="AD40" s="145" t="str">
        <f>IF(A40="","",posicao_contratual!E40)</f>
        <v/>
      </c>
      <c r="AE40" s="145" t="str">
        <f>IF(A40="","",posicao_contratual!I40)</f>
        <v/>
      </c>
      <c r="AF40" s="145" t="str">
        <f>IF(A40="","",posicao_contratual!M40)</f>
        <v/>
      </c>
      <c r="AG40" s="145" t="str">
        <f>IF(A40="","",posicao_contratual!Q40)</f>
        <v/>
      </c>
      <c r="AH40" s="145" t="str">
        <f>IF(A40="","",posicao_contratual!U40)</f>
        <v/>
      </c>
      <c r="AI40" s="145" t="str">
        <f>IF(A40="","",posicao_contratual!G40)</f>
        <v/>
      </c>
      <c r="AJ40" s="145" t="str">
        <f>IF(A40="","",posicao_contratual!K40)</f>
        <v/>
      </c>
      <c r="AK40" s="145" t="str">
        <f>IF(A40="","",posicao_contratual!O40)</f>
        <v/>
      </c>
      <c r="AL40" s="145" t="str">
        <f>IF(A40="","",posicao_contratual!S40)</f>
        <v/>
      </c>
      <c r="AM40" s="145" t="str">
        <f>IF(A40="","",posicao_contratual!W40)</f>
        <v/>
      </c>
      <c r="AN40" s="146" t="str">
        <f>IF(A40="","",posicao_contratual!X40)</f>
        <v/>
      </c>
      <c r="AO40" t="str">
        <f>IF($A40="","",ROUND(SUMIFS(itens_Consumidos!$E$2:$E$200,itens_Consumidos!$A$2:$A$200,$A40),2))</f>
        <v/>
      </c>
      <c r="AP40" t="str">
        <f t="shared" si="6"/>
        <v/>
      </c>
      <c r="AQ40" t="str">
        <f>IF(OR($A40="",AB40="",MEMORIA_RESULTADOS!$I$258=""),"",ROUND(AB40*$C40*(MEMORIA_RESULTADOS!$I$258-1),2))</f>
        <v/>
      </c>
      <c r="AR40" t="str">
        <f>IF(OR($A40="",AP40="",MEMORIA_RESULTADOS!$I$258=""),"",ROUND(AP40*$C40*(parametros!$F$2-MEMORIA_RESULTADOS!$I$258),2))</f>
        <v/>
      </c>
      <c r="AS40" t="str">
        <f>IF($A40="","",ROUND(SUMIFS(itens_Consumidos!$G$2:$G$200,itens_Consumidos!$A$2:$A$200,$A40),2))</f>
        <v/>
      </c>
      <c r="AT40" t="str">
        <f t="shared" si="7"/>
        <v/>
      </c>
      <c r="AU40" t="str">
        <f>IF(OR($A40="",M40="",MEMORIA_RESULTADOS!$I$259=""),"",ROUND(M40*$C40*(MEMORIA_RESULTADOS!$I$259-1),2))</f>
        <v/>
      </c>
      <c r="AV40" t="str">
        <f>IF(OR($A40="",AT40="",MEMORIA_RESULTADOS!$I$259=""),"",ROUND(AT40*$C40*(parametros!$F$3-MEMORIA_RESULTADOS!$I$259),2))</f>
        <v/>
      </c>
      <c r="AW40" t="str">
        <f>IF($A40="","",ROUND(SUMIFS(itens_Consumidos!$I$2:$I$200,itens_Consumidos!$A$2:$A$200,$A40),2))</f>
        <v/>
      </c>
      <c r="AX40" t="str">
        <f t="shared" si="8"/>
        <v/>
      </c>
      <c r="AY40" t="str">
        <f>IF(OR($A40="",O40="",MEMORIA_RESULTADOS!$I$260=""),"",ROUND(O40*$C40*(MEMORIA_RESULTADOS!$I$260-1),2))</f>
        <v/>
      </c>
      <c r="AZ40" t="str">
        <f>IF(OR($A40="",AX40="",MEMORIA_RESULTADOS!$I$260=""),"",ROUND(AX40*$C40*(parametros!$F$4-MEMORIA_RESULTADOS!$I$260),2))</f>
        <v/>
      </c>
      <c r="BA40" t="str">
        <f>IF($A40="","",ROUND(SUMIFS(itens_Consumidos!$K$2:$K$200,itens_Consumidos!$A$2:$A$200,$A40),2))</f>
        <v/>
      </c>
      <c r="BB40" t="str">
        <f t="shared" si="9"/>
        <v/>
      </c>
      <c r="BC40" t="str">
        <f>IF(OR($A40="",Q40="",MEMORIA_RESULTADOS!$I$261=""),"",ROUND(Q40*$C40*(MEMORIA_RESULTADOS!$I$261-1),2))</f>
        <v/>
      </c>
      <c r="BD40" t="str">
        <f>IF(OR($A40="",BB40="",MEMORIA_RESULTADOS!$I$261=""),"",ROUND(BB40*$C40*(parametros!$F$5-MEMORIA_RESULTADOS!$I$261),2))</f>
        <v/>
      </c>
      <c r="BE40" t="str">
        <f>IF($A40="","",ROUND(SUMIFS(itens_Consumidos!$M$2:$M$200,itens_Consumidos!$A$2:$A$200,$A40),2))</f>
        <v/>
      </c>
      <c r="BF40" t="str">
        <f t="shared" si="10"/>
        <v/>
      </c>
      <c r="BG40" t="str">
        <f>IF(OR($A40="",S40="",MEMORIA_RESULTADOS!$I$262=""),"",ROUND(S40*$C40*(MEMORIA_RESULTADOS!$I$262-1),2))</f>
        <v/>
      </c>
      <c r="BH40" t="str">
        <f>IF(OR($A40="",BF40="",MEMORIA_RESULTADOS!$I$262=""),"",ROUND(BF40*$C40*(parametros!$F$6-MEMORIA_RESULTADOS!$I$262),2))</f>
        <v/>
      </c>
      <c r="BI40" t="str">
        <f>IF($A40="","",IF(posicao_contratual!$AL40="","",posicao_contratual!$AL40))</f>
        <v/>
      </c>
    </row>
    <row r="41" spans="1:61" x14ac:dyDescent="0.35">
      <c r="A41" s="81"/>
      <c r="B41" s="82" t="str">
        <f t="shared" si="11"/>
        <v/>
      </c>
      <c r="C41" s="83"/>
      <c r="D41" s="79" t="str">
        <f>IF(AND(A41="",A40&lt;&gt;"",COUNTIF(A42:$A$200,"&lt;&gt;")=0),ROUND(SUMIF($A$2:A40,"&lt;&gt;",$D$2:D40),2),IF(OR(A41="",B41="",C41=""),"",ROUND(B41*C41,2)))</f>
        <v/>
      </c>
      <c r="E41" s="84"/>
      <c r="F41" s="79" t="str">
        <f>IF(AND(A41="",A40&lt;&gt;"",COUNTIF(A42:$A$200,"&lt;&gt;")=0),IF(COUNT(F$2:F40)=0,"",ROUND(SUMIF($A$2:A40,"&lt;&gt;",F$2:F40),2)),IF(OR(A41="",AND(ISNUMBER(posicao_contratual!$AL41),posicao_contratual!$AL41&gt;1),posicao_contratual!K41="",NOT(ISNUMBER(historico_VU!D41))),"",ROUND(posicao_contratual!K41*historico_VU!D41,2)))</f>
        <v/>
      </c>
      <c r="G41" s="84"/>
      <c r="H41" s="79" t="str">
        <f>IF(AND(A41="",A40&lt;&gt;"",COUNTIF(A42:$A$200,"&lt;&gt;")=0),IF(COUNT(H$2:H40)=0,"",ROUND(SUMIF($A$2:A40,"&lt;&gt;",H$2:H40),2)),IF(OR(A41="",AND(ISNUMBER(posicao_contratual!$AL41),posicao_contratual!$AL41&gt;2),posicao_contratual!O41="",NOT(ISNUMBER(historico_VU!E41))),"",ROUND(posicao_contratual!O41*historico_VU!E41,2)))</f>
        <v/>
      </c>
      <c r="I41" s="84"/>
      <c r="J41" s="79" t="str">
        <f>IF(AND(A41="",A40&lt;&gt;"",COUNTIF(A42:$A$200,"&lt;&gt;")=0),IF(COUNT(J$2:J40)=0,"",ROUND(SUMIF($A$2:A40,"&lt;&gt;",J$2:J40),2)),IF(OR(A41="",AND(ISNUMBER(posicao_contratual!$AL41),posicao_contratual!$AL41&gt;3),posicao_contratual!S41="",NOT(ISNUMBER(historico_VU!F41))),"",ROUND(posicao_contratual!S41*historico_VU!F41,2)))</f>
        <v/>
      </c>
      <c r="K41" s="84"/>
      <c r="L41" s="79" t="str">
        <f>IF(AND(A41="",A40&lt;&gt;"",COUNTIF(A42:$A$200,"&lt;&gt;")=0),IF(COUNT(L$2:L40)=0,"",ROUND(SUMIF($A$2:A40,"&lt;&gt;",L$2:L40),2)),IF(OR(A41="",AND(ISNUMBER(posicao_contratual!$AL41),posicao_contratual!$AL41&gt;4),posicao_contratual!W41="",NOT(ISNUMBER(historico_VU!G41))),"",ROUND(posicao_contratual!W41*historico_VU!G41,2)))</f>
        <v/>
      </c>
      <c r="M41" s="85" t="str">
        <f>IF(OR(posicao_contratual!J41="",posicao_contratual!N41=""),"",ROUND(MAX(posicao_contratual!J41+posicao_contratual!H41-posicao_contratual!N41,0),2))</f>
        <v/>
      </c>
      <c r="N41" s="79" t="str">
        <f>IF(AND(A41="",A40&lt;&gt;"",COUNTIF(A42:$A$200,"&lt;&gt;")=0),IF(COUNT(N$2:N40)=0,"",ROUND(SUMIF($A$2:A40,"&lt;&gt;",N$2:N40),2)),IF(OR(M41="",NOT(ISNUMBER(historico_VU!D41))),"",ROUND(M41*historico_VU!D41,2)))</f>
        <v/>
      </c>
      <c r="O41" s="85" t="str">
        <f>IF(OR(posicao_contratual!N41="",posicao_contratual!R41=""),"",ROUND(MAX(posicao_contratual!N41+posicao_contratual!L41-posicao_contratual!R41,0),2))</f>
        <v/>
      </c>
      <c r="P41" s="79" t="str">
        <f>IF(AND(A41="",A40&lt;&gt;"",COUNTIF(A42:$A$200,"&lt;&gt;")=0),IF(COUNT(P$2:P40)=0,"",ROUND(SUMIF($A$2:A40,"&lt;&gt;",P$2:P40),2)),IF(OR(O41="",NOT(ISNUMBER(historico_VU!E41))),"",ROUND(O41*historico_VU!E41,2)))</f>
        <v/>
      </c>
      <c r="Q41" s="85" t="str">
        <f>IF(OR(posicao_contratual!R41="",posicao_contratual!V41=""),"",ROUND(MAX(posicao_contratual!R41+posicao_contratual!P41-posicao_contratual!V41,0),2))</f>
        <v/>
      </c>
      <c r="R41" s="79" t="str">
        <f>IF(AND(A41="",A40&lt;&gt;"",COUNTIF(A42:$A$200,"&lt;&gt;")=0),IF(COUNT(R$2:R40)=0,"",ROUND(SUMIF($A$2:A40,"&lt;&gt;",R$2:R40),2)),IF(OR(Q41="",NOT(ISNUMBER(historico_VU!F41))),"",ROUND(Q41*historico_VU!F41,2)))</f>
        <v/>
      </c>
      <c r="S41" s="21"/>
      <c r="T41" s="22" t="str">
        <f>IF(AND(A41="",A40&lt;&gt;"",COUNTIF(A42:$A$200,"&lt;&gt;")=0),IF(COUNT(T$2:T40)=0,"",ROUND(SUMIF($A$2:A40,"&lt;&gt;",T$2:T40),2)),IF(OR(S41="",NOT(ISNUMBER(historico_VU!G41))),"",ROUND(S41*historico_VU!G41,2)))</f>
        <v/>
      </c>
      <c r="U41" s="86" t="str">
        <f>IF(AND(A41="",A40&lt;&gt;"",COUNTIF(A42:$A$200,"&lt;&gt;")=0),"TOTAL",IF(A41="","",posicao_contratual!X41))</f>
        <v/>
      </c>
      <c r="V41" s="86" t="str">
        <f>IF(A41="","",posicao_contratual!X41)</f>
        <v/>
      </c>
      <c r="W41" s="14"/>
      <c r="X41" s="14"/>
      <c r="Y41" s="14"/>
      <c r="Z41" s="13"/>
      <c r="AA41" s="13"/>
      <c r="AB41" s="85" t="str">
        <f>IF(OR(A41="",posicao_contratual!E41="",posicao_contratual!J41=""),"",ROUND(MAX(posicao_contratual!E41-posicao_contratual!J41,0),2))</f>
        <v/>
      </c>
      <c r="AC41" s="79" t="str">
        <f>IF(AND(A41="",A40&lt;&gt;"",COUNTIF(A42:$A$200,"&lt;&gt;")=0),IF(COUNT(AC$2:AC40)=0,"",ROUND(SUMIF($A$2:A40,"&lt;&gt;",AC$2:AC40),2)),IF(OR(AB41="",NOT(ISNUMBER(historico_VU!C41))),"",ROUND(AB41*historico_VU!C41,2)))</f>
        <v/>
      </c>
      <c r="AD41" s="145" t="str">
        <f>IF(A41="","",posicao_contratual!E41)</f>
        <v/>
      </c>
      <c r="AE41" s="145" t="str">
        <f>IF(A41="","",posicao_contratual!I41)</f>
        <v/>
      </c>
      <c r="AF41" s="145" t="str">
        <f>IF(A41="","",posicao_contratual!M41)</f>
        <v/>
      </c>
      <c r="AG41" s="145" t="str">
        <f>IF(A41="","",posicao_contratual!Q41)</f>
        <v/>
      </c>
      <c r="AH41" s="145" t="str">
        <f>IF(A41="","",posicao_contratual!U41)</f>
        <v/>
      </c>
      <c r="AI41" s="145" t="str">
        <f>IF(A41="","",posicao_contratual!G41)</f>
        <v/>
      </c>
      <c r="AJ41" s="145" t="str">
        <f>IF(A41="","",posicao_contratual!K41)</f>
        <v/>
      </c>
      <c r="AK41" s="145" t="str">
        <f>IF(A41="","",posicao_contratual!O41)</f>
        <v/>
      </c>
      <c r="AL41" s="145" t="str">
        <f>IF(A41="","",posicao_contratual!S41)</f>
        <v/>
      </c>
      <c r="AM41" s="145" t="str">
        <f>IF(A41="","",posicao_contratual!W41)</f>
        <v/>
      </c>
      <c r="AN41" s="146" t="str">
        <f>IF(A41="","",posicao_contratual!X41)</f>
        <v/>
      </c>
      <c r="AO41" t="str">
        <f>IF($A41="","",ROUND(SUMIFS(itens_Consumidos!$E$2:$E$200,itens_Consumidos!$A$2:$A$200,$A41),2))</f>
        <v/>
      </c>
      <c r="AP41" t="str">
        <f t="shared" si="6"/>
        <v/>
      </c>
      <c r="AQ41" t="str">
        <f>IF(OR($A41="",AB41="",MEMORIA_RESULTADOS!$I$258=""),"",ROUND(AB41*$C41*(MEMORIA_RESULTADOS!$I$258-1),2))</f>
        <v/>
      </c>
      <c r="AR41" t="str">
        <f>IF(OR($A41="",AP41="",MEMORIA_RESULTADOS!$I$258=""),"",ROUND(AP41*$C41*(parametros!$F$2-MEMORIA_RESULTADOS!$I$258),2))</f>
        <v/>
      </c>
      <c r="AS41" t="str">
        <f>IF($A41="","",ROUND(SUMIFS(itens_Consumidos!$G$2:$G$200,itens_Consumidos!$A$2:$A$200,$A41),2))</f>
        <v/>
      </c>
      <c r="AT41" t="str">
        <f t="shared" si="7"/>
        <v/>
      </c>
      <c r="AU41" t="str">
        <f>IF(OR($A41="",M41="",MEMORIA_RESULTADOS!$I$259=""),"",ROUND(M41*$C41*(MEMORIA_RESULTADOS!$I$259-1),2))</f>
        <v/>
      </c>
      <c r="AV41" t="str">
        <f>IF(OR($A41="",AT41="",MEMORIA_RESULTADOS!$I$259=""),"",ROUND(AT41*$C41*(parametros!$F$3-MEMORIA_RESULTADOS!$I$259),2))</f>
        <v/>
      </c>
      <c r="AW41" t="str">
        <f>IF($A41="","",ROUND(SUMIFS(itens_Consumidos!$I$2:$I$200,itens_Consumidos!$A$2:$A$200,$A41),2))</f>
        <v/>
      </c>
      <c r="AX41" t="str">
        <f t="shared" si="8"/>
        <v/>
      </c>
      <c r="AY41" t="str">
        <f>IF(OR($A41="",O41="",MEMORIA_RESULTADOS!$I$260=""),"",ROUND(O41*$C41*(MEMORIA_RESULTADOS!$I$260-1),2))</f>
        <v/>
      </c>
      <c r="AZ41" t="str">
        <f>IF(OR($A41="",AX41="",MEMORIA_RESULTADOS!$I$260=""),"",ROUND(AX41*$C41*(parametros!$F$4-MEMORIA_RESULTADOS!$I$260),2))</f>
        <v/>
      </c>
      <c r="BA41" t="str">
        <f>IF($A41="","",ROUND(SUMIFS(itens_Consumidos!$K$2:$K$200,itens_Consumidos!$A$2:$A$200,$A41),2))</f>
        <v/>
      </c>
      <c r="BB41" t="str">
        <f t="shared" si="9"/>
        <v/>
      </c>
      <c r="BC41" t="str">
        <f>IF(OR($A41="",Q41="",MEMORIA_RESULTADOS!$I$261=""),"",ROUND(Q41*$C41*(MEMORIA_RESULTADOS!$I$261-1),2))</f>
        <v/>
      </c>
      <c r="BD41" t="str">
        <f>IF(OR($A41="",BB41="",MEMORIA_RESULTADOS!$I$261=""),"",ROUND(BB41*$C41*(parametros!$F$5-MEMORIA_RESULTADOS!$I$261),2))</f>
        <v/>
      </c>
      <c r="BE41" t="str">
        <f>IF($A41="","",ROUND(SUMIFS(itens_Consumidos!$M$2:$M$200,itens_Consumidos!$A$2:$A$200,$A41),2))</f>
        <v/>
      </c>
      <c r="BF41" t="str">
        <f t="shared" si="10"/>
        <v/>
      </c>
      <c r="BG41" t="str">
        <f>IF(OR($A41="",S41="",MEMORIA_RESULTADOS!$I$262=""),"",ROUND(S41*$C41*(MEMORIA_RESULTADOS!$I$262-1),2))</f>
        <v/>
      </c>
      <c r="BH41" t="str">
        <f>IF(OR($A41="",BF41="",MEMORIA_RESULTADOS!$I$262=""),"",ROUND(BF41*$C41*(parametros!$F$6-MEMORIA_RESULTADOS!$I$262),2))</f>
        <v/>
      </c>
      <c r="BI41" t="str">
        <f>IF($A41="","",IF(posicao_contratual!$AL41="","",posicao_contratual!$AL41))</f>
        <v/>
      </c>
    </row>
    <row r="42" spans="1:61" x14ac:dyDescent="0.35">
      <c r="A42" s="81"/>
      <c r="B42" s="82" t="str">
        <f t="shared" si="11"/>
        <v/>
      </c>
      <c r="C42" s="83"/>
      <c r="D42" s="79" t="str">
        <f>IF(AND(A42="",A41&lt;&gt;"",COUNTIF(A43:$A$200,"&lt;&gt;")=0),ROUND(SUMIF($A$2:A41,"&lt;&gt;",$D$2:D41),2),IF(OR(A42="",B42="",C42=""),"",ROUND(B42*C42,2)))</f>
        <v/>
      </c>
      <c r="E42" s="84"/>
      <c r="F42" s="79" t="str">
        <f>IF(AND(A42="",A41&lt;&gt;"",COUNTIF(A43:$A$200,"&lt;&gt;")=0),IF(COUNT(F$2:F41)=0,"",ROUND(SUMIF($A$2:A41,"&lt;&gt;",F$2:F41),2)),IF(OR(A42="",AND(ISNUMBER(posicao_contratual!$AL42),posicao_contratual!$AL42&gt;1),posicao_contratual!K42="",NOT(ISNUMBER(historico_VU!D42))),"",ROUND(posicao_contratual!K42*historico_VU!D42,2)))</f>
        <v/>
      </c>
      <c r="G42" s="84"/>
      <c r="H42" s="79" t="str">
        <f>IF(AND(A42="",A41&lt;&gt;"",COUNTIF(A43:$A$200,"&lt;&gt;")=0),IF(COUNT(H$2:H41)=0,"",ROUND(SUMIF($A$2:A41,"&lt;&gt;",H$2:H41),2)),IF(OR(A42="",AND(ISNUMBER(posicao_contratual!$AL42),posicao_contratual!$AL42&gt;2),posicao_contratual!O42="",NOT(ISNUMBER(historico_VU!E42))),"",ROUND(posicao_contratual!O42*historico_VU!E42,2)))</f>
        <v/>
      </c>
      <c r="I42" s="84"/>
      <c r="J42" s="79" t="str">
        <f>IF(AND(A42="",A41&lt;&gt;"",COUNTIF(A43:$A$200,"&lt;&gt;")=0),IF(COUNT(J$2:J41)=0,"",ROUND(SUMIF($A$2:A41,"&lt;&gt;",J$2:J41),2)),IF(OR(A42="",AND(ISNUMBER(posicao_contratual!$AL42),posicao_contratual!$AL42&gt;3),posicao_contratual!S42="",NOT(ISNUMBER(historico_VU!F42))),"",ROUND(posicao_contratual!S42*historico_VU!F42,2)))</f>
        <v/>
      </c>
      <c r="K42" s="84"/>
      <c r="L42" s="79" t="str">
        <f>IF(AND(A42="",A41&lt;&gt;"",COUNTIF(A43:$A$200,"&lt;&gt;")=0),IF(COUNT(L$2:L41)=0,"",ROUND(SUMIF($A$2:A41,"&lt;&gt;",L$2:L41),2)),IF(OR(A42="",AND(ISNUMBER(posicao_contratual!$AL42),posicao_contratual!$AL42&gt;4),posicao_contratual!W42="",NOT(ISNUMBER(historico_VU!G42))),"",ROUND(posicao_contratual!W42*historico_VU!G42,2)))</f>
        <v/>
      </c>
      <c r="M42" s="85" t="str">
        <f>IF(OR(posicao_contratual!J42="",posicao_contratual!N42=""),"",ROUND(MAX(posicao_contratual!J42+posicao_contratual!H42-posicao_contratual!N42,0),2))</f>
        <v/>
      </c>
      <c r="N42" s="79" t="str">
        <f>IF(AND(A42="",A41&lt;&gt;"",COUNTIF(A43:$A$200,"&lt;&gt;")=0),IF(COUNT(N$2:N41)=0,"",ROUND(SUMIF($A$2:A41,"&lt;&gt;",N$2:N41),2)),IF(OR(M42="",NOT(ISNUMBER(historico_VU!D42))),"",ROUND(M42*historico_VU!D42,2)))</f>
        <v/>
      </c>
      <c r="O42" s="85" t="str">
        <f>IF(OR(posicao_contratual!N42="",posicao_contratual!R42=""),"",ROUND(MAX(posicao_contratual!N42+posicao_contratual!L42-posicao_contratual!R42,0),2))</f>
        <v/>
      </c>
      <c r="P42" s="79" t="str">
        <f>IF(AND(A42="",A41&lt;&gt;"",COUNTIF(A43:$A$200,"&lt;&gt;")=0),IF(COUNT(P$2:P41)=0,"",ROUND(SUMIF($A$2:A41,"&lt;&gt;",P$2:P41),2)),IF(OR(O42="",NOT(ISNUMBER(historico_VU!E42))),"",ROUND(O42*historico_VU!E42,2)))</f>
        <v/>
      </c>
      <c r="Q42" s="85" t="str">
        <f>IF(OR(posicao_contratual!R42="",posicao_contratual!V42=""),"",ROUND(MAX(posicao_contratual!R42+posicao_contratual!P42-posicao_contratual!V42,0),2))</f>
        <v/>
      </c>
      <c r="R42" s="79" t="str">
        <f>IF(AND(A42="",A41&lt;&gt;"",COUNTIF(A43:$A$200,"&lt;&gt;")=0),IF(COUNT(R$2:R41)=0,"",ROUND(SUMIF($A$2:A41,"&lt;&gt;",R$2:R41),2)),IF(OR(Q42="",NOT(ISNUMBER(historico_VU!F42))),"",ROUND(Q42*historico_VU!F42,2)))</f>
        <v/>
      </c>
      <c r="S42" s="21"/>
      <c r="T42" s="22" t="str">
        <f>IF(AND(A42="",A41&lt;&gt;"",COUNTIF(A43:$A$200,"&lt;&gt;")=0),IF(COUNT(T$2:T41)=0,"",ROUND(SUMIF($A$2:A41,"&lt;&gt;",T$2:T41),2)),IF(OR(S42="",NOT(ISNUMBER(historico_VU!G42))),"",ROUND(S42*historico_VU!G42,2)))</f>
        <v/>
      </c>
      <c r="U42" s="86" t="str">
        <f>IF(AND(A42="",A41&lt;&gt;"",COUNTIF(A43:$A$200,"&lt;&gt;")=0),"TOTAL",IF(A42="","",posicao_contratual!X42))</f>
        <v/>
      </c>
      <c r="V42" s="86" t="str">
        <f>IF(A42="","",posicao_contratual!X42)</f>
        <v/>
      </c>
      <c r="W42" s="14"/>
      <c r="X42" s="14"/>
      <c r="Y42" s="14"/>
      <c r="Z42" s="13"/>
      <c r="AA42" s="13"/>
      <c r="AB42" s="85" t="str">
        <f>IF(OR(A42="",posicao_contratual!E42="",posicao_contratual!J42=""),"",ROUND(MAX(posicao_contratual!E42-posicao_contratual!J42,0),2))</f>
        <v/>
      </c>
      <c r="AC42" s="79" t="str">
        <f>IF(AND(A42="",A41&lt;&gt;"",COUNTIF(A43:$A$200,"&lt;&gt;")=0),IF(COUNT(AC$2:AC41)=0,"",ROUND(SUMIF($A$2:A41,"&lt;&gt;",AC$2:AC41),2)),IF(OR(AB42="",NOT(ISNUMBER(historico_VU!C42))),"",ROUND(AB42*historico_VU!C42,2)))</f>
        <v/>
      </c>
      <c r="AD42" s="145" t="str">
        <f>IF(A42="","",posicao_contratual!E42)</f>
        <v/>
      </c>
      <c r="AE42" s="145" t="str">
        <f>IF(A42="","",posicao_contratual!I42)</f>
        <v/>
      </c>
      <c r="AF42" s="145" t="str">
        <f>IF(A42="","",posicao_contratual!M42)</f>
        <v/>
      </c>
      <c r="AG42" s="145" t="str">
        <f>IF(A42="","",posicao_contratual!Q42)</f>
        <v/>
      </c>
      <c r="AH42" s="145" t="str">
        <f>IF(A42="","",posicao_contratual!U42)</f>
        <v/>
      </c>
      <c r="AI42" s="145" t="str">
        <f>IF(A42="","",posicao_contratual!G42)</f>
        <v/>
      </c>
      <c r="AJ42" s="145" t="str">
        <f>IF(A42="","",posicao_contratual!K42)</f>
        <v/>
      </c>
      <c r="AK42" s="145" t="str">
        <f>IF(A42="","",posicao_contratual!O42)</f>
        <v/>
      </c>
      <c r="AL42" s="145" t="str">
        <f>IF(A42="","",posicao_contratual!S42)</f>
        <v/>
      </c>
      <c r="AM42" s="145" t="str">
        <f>IF(A42="","",posicao_contratual!W42)</f>
        <v/>
      </c>
      <c r="AN42" s="146" t="str">
        <f>IF(A42="","",posicao_contratual!X42)</f>
        <v/>
      </c>
      <c r="AO42" t="str">
        <f>IF($A42="","",ROUND(SUMIFS(itens_Consumidos!$E$2:$E$200,itens_Consumidos!$A$2:$A$200,$A42),2))</f>
        <v/>
      </c>
      <c r="AP42" t="str">
        <f t="shared" si="6"/>
        <v/>
      </c>
      <c r="AQ42" t="str">
        <f>IF(OR($A42="",AB42="",MEMORIA_RESULTADOS!$I$258=""),"",ROUND(AB42*$C42*(MEMORIA_RESULTADOS!$I$258-1),2))</f>
        <v/>
      </c>
      <c r="AR42" t="str">
        <f>IF(OR($A42="",AP42="",MEMORIA_RESULTADOS!$I$258=""),"",ROUND(AP42*$C42*(parametros!$F$2-MEMORIA_RESULTADOS!$I$258),2))</f>
        <v/>
      </c>
      <c r="AS42" t="str">
        <f>IF($A42="","",ROUND(SUMIFS(itens_Consumidos!$G$2:$G$200,itens_Consumidos!$A$2:$A$200,$A42),2))</f>
        <v/>
      </c>
      <c r="AT42" t="str">
        <f t="shared" si="7"/>
        <v/>
      </c>
      <c r="AU42" t="str">
        <f>IF(OR($A42="",M42="",MEMORIA_RESULTADOS!$I$259=""),"",ROUND(M42*$C42*(MEMORIA_RESULTADOS!$I$259-1),2))</f>
        <v/>
      </c>
      <c r="AV42" t="str">
        <f>IF(OR($A42="",AT42="",MEMORIA_RESULTADOS!$I$259=""),"",ROUND(AT42*$C42*(parametros!$F$3-MEMORIA_RESULTADOS!$I$259),2))</f>
        <v/>
      </c>
      <c r="AW42" t="str">
        <f>IF($A42="","",ROUND(SUMIFS(itens_Consumidos!$I$2:$I$200,itens_Consumidos!$A$2:$A$200,$A42),2))</f>
        <v/>
      </c>
      <c r="AX42" t="str">
        <f t="shared" si="8"/>
        <v/>
      </c>
      <c r="AY42" t="str">
        <f>IF(OR($A42="",O42="",MEMORIA_RESULTADOS!$I$260=""),"",ROUND(O42*$C42*(MEMORIA_RESULTADOS!$I$260-1),2))</f>
        <v/>
      </c>
      <c r="AZ42" t="str">
        <f>IF(OR($A42="",AX42="",MEMORIA_RESULTADOS!$I$260=""),"",ROUND(AX42*$C42*(parametros!$F$4-MEMORIA_RESULTADOS!$I$260),2))</f>
        <v/>
      </c>
      <c r="BA42" t="str">
        <f>IF($A42="","",ROUND(SUMIFS(itens_Consumidos!$K$2:$K$200,itens_Consumidos!$A$2:$A$200,$A42),2))</f>
        <v/>
      </c>
      <c r="BB42" t="str">
        <f t="shared" si="9"/>
        <v/>
      </c>
      <c r="BC42" t="str">
        <f>IF(OR($A42="",Q42="",MEMORIA_RESULTADOS!$I$261=""),"",ROUND(Q42*$C42*(MEMORIA_RESULTADOS!$I$261-1),2))</f>
        <v/>
      </c>
      <c r="BD42" t="str">
        <f>IF(OR($A42="",BB42="",MEMORIA_RESULTADOS!$I$261=""),"",ROUND(BB42*$C42*(parametros!$F$5-MEMORIA_RESULTADOS!$I$261),2))</f>
        <v/>
      </c>
      <c r="BE42" t="str">
        <f>IF($A42="","",ROUND(SUMIFS(itens_Consumidos!$M$2:$M$200,itens_Consumidos!$A$2:$A$200,$A42),2))</f>
        <v/>
      </c>
      <c r="BF42" t="str">
        <f t="shared" si="10"/>
        <v/>
      </c>
      <c r="BG42" t="str">
        <f>IF(OR($A42="",S42="",MEMORIA_RESULTADOS!$I$262=""),"",ROUND(S42*$C42*(MEMORIA_RESULTADOS!$I$262-1),2))</f>
        <v/>
      </c>
      <c r="BH42" t="str">
        <f>IF(OR($A42="",BF42="",MEMORIA_RESULTADOS!$I$262=""),"",ROUND(BF42*$C42*(parametros!$F$6-MEMORIA_RESULTADOS!$I$262),2))</f>
        <v/>
      </c>
      <c r="BI42" t="str">
        <f>IF($A42="","",IF(posicao_contratual!$AL42="","",posicao_contratual!$AL42))</f>
        <v/>
      </c>
    </row>
    <row r="43" spans="1:61" x14ac:dyDescent="0.35">
      <c r="A43" s="81"/>
      <c r="B43" s="82" t="str">
        <f t="shared" si="11"/>
        <v/>
      </c>
      <c r="C43" s="83"/>
      <c r="D43" s="79" t="str">
        <f>IF(AND(A43="",A42&lt;&gt;"",COUNTIF(A44:$A$200,"&lt;&gt;")=0),ROUND(SUMIF($A$2:A42,"&lt;&gt;",$D$2:D42),2),IF(OR(A43="",B43="",C43=""),"",ROUND(B43*C43,2)))</f>
        <v/>
      </c>
      <c r="E43" s="84"/>
      <c r="F43" s="79" t="str">
        <f>IF(AND(A43="",A42&lt;&gt;"",COUNTIF(A44:$A$200,"&lt;&gt;")=0),IF(COUNT(F$2:F42)=0,"",ROUND(SUMIF($A$2:A42,"&lt;&gt;",F$2:F42),2)),IF(OR(A43="",AND(ISNUMBER(posicao_contratual!$AL43),posicao_contratual!$AL43&gt;1),posicao_contratual!K43="",NOT(ISNUMBER(historico_VU!D43))),"",ROUND(posicao_contratual!K43*historico_VU!D43,2)))</f>
        <v/>
      </c>
      <c r="G43" s="84"/>
      <c r="H43" s="79" t="str">
        <f>IF(AND(A43="",A42&lt;&gt;"",COUNTIF(A44:$A$200,"&lt;&gt;")=0),IF(COUNT(H$2:H42)=0,"",ROUND(SUMIF($A$2:A42,"&lt;&gt;",H$2:H42),2)),IF(OR(A43="",AND(ISNUMBER(posicao_contratual!$AL43),posicao_contratual!$AL43&gt;2),posicao_contratual!O43="",NOT(ISNUMBER(historico_VU!E43))),"",ROUND(posicao_contratual!O43*historico_VU!E43,2)))</f>
        <v/>
      </c>
      <c r="I43" s="84"/>
      <c r="J43" s="79" t="str">
        <f>IF(AND(A43="",A42&lt;&gt;"",COUNTIF(A44:$A$200,"&lt;&gt;")=0),IF(COUNT(J$2:J42)=0,"",ROUND(SUMIF($A$2:A42,"&lt;&gt;",J$2:J42),2)),IF(OR(A43="",AND(ISNUMBER(posicao_contratual!$AL43),posicao_contratual!$AL43&gt;3),posicao_contratual!S43="",NOT(ISNUMBER(historico_VU!F43))),"",ROUND(posicao_contratual!S43*historico_VU!F43,2)))</f>
        <v/>
      </c>
      <c r="K43" s="84"/>
      <c r="L43" s="79" t="str">
        <f>IF(AND(A43="",A42&lt;&gt;"",COUNTIF(A44:$A$200,"&lt;&gt;")=0),IF(COUNT(L$2:L42)=0,"",ROUND(SUMIF($A$2:A42,"&lt;&gt;",L$2:L42),2)),IF(OR(A43="",AND(ISNUMBER(posicao_contratual!$AL43),posicao_contratual!$AL43&gt;4),posicao_contratual!W43="",NOT(ISNUMBER(historico_VU!G43))),"",ROUND(posicao_contratual!W43*historico_VU!G43,2)))</f>
        <v/>
      </c>
      <c r="M43" s="85" t="str">
        <f>IF(OR(posicao_contratual!J43="",posicao_contratual!N43=""),"",ROUND(MAX(posicao_contratual!J43+posicao_contratual!H43-posicao_contratual!N43,0),2))</f>
        <v/>
      </c>
      <c r="N43" s="79" t="str">
        <f>IF(AND(A43="",A42&lt;&gt;"",COUNTIF(A44:$A$200,"&lt;&gt;")=0),IF(COUNT(N$2:N42)=0,"",ROUND(SUMIF($A$2:A42,"&lt;&gt;",N$2:N42),2)),IF(OR(M43="",NOT(ISNUMBER(historico_VU!D43))),"",ROUND(M43*historico_VU!D43,2)))</f>
        <v/>
      </c>
      <c r="O43" s="85" t="str">
        <f>IF(OR(posicao_contratual!N43="",posicao_contratual!R43=""),"",ROUND(MAX(posicao_contratual!N43+posicao_contratual!L43-posicao_contratual!R43,0),2))</f>
        <v/>
      </c>
      <c r="P43" s="79" t="str">
        <f>IF(AND(A43="",A42&lt;&gt;"",COUNTIF(A44:$A$200,"&lt;&gt;")=0),IF(COUNT(P$2:P42)=0,"",ROUND(SUMIF($A$2:A42,"&lt;&gt;",P$2:P42),2)),IF(OR(O43="",NOT(ISNUMBER(historico_VU!E43))),"",ROUND(O43*historico_VU!E43,2)))</f>
        <v/>
      </c>
      <c r="Q43" s="85" t="str">
        <f>IF(OR(posicao_contratual!R43="",posicao_contratual!V43=""),"",ROUND(MAX(posicao_contratual!R43+posicao_contratual!P43-posicao_contratual!V43,0),2))</f>
        <v/>
      </c>
      <c r="R43" s="79" t="str">
        <f>IF(AND(A43="",A42&lt;&gt;"",COUNTIF(A44:$A$200,"&lt;&gt;")=0),IF(COUNT(R$2:R42)=0,"",ROUND(SUMIF($A$2:A42,"&lt;&gt;",R$2:R42),2)),IF(OR(Q43="",NOT(ISNUMBER(historico_VU!F43))),"",ROUND(Q43*historico_VU!F43,2)))</f>
        <v/>
      </c>
      <c r="S43" s="21"/>
      <c r="T43" s="22" t="str">
        <f>IF(AND(A43="",A42&lt;&gt;"",COUNTIF(A44:$A$200,"&lt;&gt;")=0),IF(COUNT(T$2:T42)=0,"",ROUND(SUMIF($A$2:A42,"&lt;&gt;",T$2:T42),2)),IF(OR(S43="",NOT(ISNUMBER(historico_VU!G43))),"",ROUND(S43*historico_VU!G43,2)))</f>
        <v/>
      </c>
      <c r="U43" s="86" t="str">
        <f>IF(AND(A43="",A42&lt;&gt;"",COUNTIF(A44:$A$200,"&lt;&gt;")=0),"TOTAL",IF(A43="","",posicao_contratual!X43))</f>
        <v/>
      </c>
      <c r="V43" s="86" t="str">
        <f>IF(A43="","",posicao_contratual!X43)</f>
        <v/>
      </c>
      <c r="W43" s="14"/>
      <c r="X43" s="14"/>
      <c r="Y43" s="14"/>
      <c r="Z43" s="13"/>
      <c r="AA43" s="13"/>
      <c r="AB43" s="85" t="str">
        <f>IF(OR(A43="",posicao_contratual!E43="",posicao_contratual!J43=""),"",ROUND(MAX(posicao_contratual!E43-posicao_contratual!J43,0),2))</f>
        <v/>
      </c>
      <c r="AC43" s="79" t="str">
        <f>IF(AND(A43="",A42&lt;&gt;"",COUNTIF(A44:$A$200,"&lt;&gt;")=0),IF(COUNT(AC$2:AC42)=0,"",ROUND(SUMIF($A$2:A42,"&lt;&gt;",AC$2:AC42),2)),IF(OR(AB43="",NOT(ISNUMBER(historico_VU!C43))),"",ROUND(AB43*historico_VU!C43,2)))</f>
        <v/>
      </c>
      <c r="AD43" s="145" t="str">
        <f>IF(A43="","",posicao_contratual!E43)</f>
        <v/>
      </c>
      <c r="AE43" s="145" t="str">
        <f>IF(A43="","",posicao_contratual!I43)</f>
        <v/>
      </c>
      <c r="AF43" s="145" t="str">
        <f>IF(A43="","",posicao_contratual!M43)</f>
        <v/>
      </c>
      <c r="AG43" s="145" t="str">
        <f>IF(A43="","",posicao_contratual!Q43)</f>
        <v/>
      </c>
      <c r="AH43" s="145" t="str">
        <f>IF(A43="","",posicao_contratual!U43)</f>
        <v/>
      </c>
      <c r="AI43" s="145" t="str">
        <f>IF(A43="","",posicao_contratual!G43)</f>
        <v/>
      </c>
      <c r="AJ43" s="145" t="str">
        <f>IF(A43="","",posicao_contratual!K43)</f>
        <v/>
      </c>
      <c r="AK43" s="145" t="str">
        <f>IF(A43="","",posicao_contratual!O43)</f>
        <v/>
      </c>
      <c r="AL43" s="145" t="str">
        <f>IF(A43="","",posicao_contratual!S43)</f>
        <v/>
      </c>
      <c r="AM43" s="145" t="str">
        <f>IF(A43="","",posicao_contratual!W43)</f>
        <v/>
      </c>
      <c r="AN43" s="146" t="str">
        <f>IF(A43="","",posicao_contratual!X43)</f>
        <v/>
      </c>
      <c r="AO43" t="str">
        <f>IF($A43="","",ROUND(SUMIFS(itens_Consumidos!$E$2:$E$200,itens_Consumidos!$A$2:$A$200,$A43),2))</f>
        <v/>
      </c>
      <c r="AP43" t="str">
        <f t="shared" si="6"/>
        <v/>
      </c>
      <c r="AQ43" t="str">
        <f>IF(OR($A43="",AB43="",MEMORIA_RESULTADOS!$I$258=""),"",ROUND(AB43*$C43*(MEMORIA_RESULTADOS!$I$258-1),2))</f>
        <v/>
      </c>
      <c r="AR43" t="str">
        <f>IF(OR($A43="",AP43="",MEMORIA_RESULTADOS!$I$258=""),"",ROUND(AP43*$C43*(parametros!$F$2-MEMORIA_RESULTADOS!$I$258),2))</f>
        <v/>
      </c>
      <c r="AS43" t="str">
        <f>IF($A43="","",ROUND(SUMIFS(itens_Consumidos!$G$2:$G$200,itens_Consumidos!$A$2:$A$200,$A43),2))</f>
        <v/>
      </c>
      <c r="AT43" t="str">
        <f t="shared" si="7"/>
        <v/>
      </c>
      <c r="AU43" t="str">
        <f>IF(OR($A43="",M43="",MEMORIA_RESULTADOS!$I$259=""),"",ROUND(M43*$C43*(MEMORIA_RESULTADOS!$I$259-1),2))</f>
        <v/>
      </c>
      <c r="AV43" t="str">
        <f>IF(OR($A43="",AT43="",MEMORIA_RESULTADOS!$I$259=""),"",ROUND(AT43*$C43*(parametros!$F$3-MEMORIA_RESULTADOS!$I$259),2))</f>
        <v/>
      </c>
      <c r="AW43" t="str">
        <f>IF($A43="","",ROUND(SUMIFS(itens_Consumidos!$I$2:$I$200,itens_Consumidos!$A$2:$A$200,$A43),2))</f>
        <v/>
      </c>
      <c r="AX43" t="str">
        <f t="shared" si="8"/>
        <v/>
      </c>
      <c r="AY43" t="str">
        <f>IF(OR($A43="",O43="",MEMORIA_RESULTADOS!$I$260=""),"",ROUND(O43*$C43*(MEMORIA_RESULTADOS!$I$260-1),2))</f>
        <v/>
      </c>
      <c r="AZ43" t="str">
        <f>IF(OR($A43="",AX43="",MEMORIA_RESULTADOS!$I$260=""),"",ROUND(AX43*$C43*(parametros!$F$4-MEMORIA_RESULTADOS!$I$260),2))</f>
        <v/>
      </c>
      <c r="BA43" t="str">
        <f>IF($A43="","",ROUND(SUMIFS(itens_Consumidos!$K$2:$K$200,itens_Consumidos!$A$2:$A$200,$A43),2))</f>
        <v/>
      </c>
      <c r="BB43" t="str">
        <f t="shared" si="9"/>
        <v/>
      </c>
      <c r="BC43" t="str">
        <f>IF(OR($A43="",Q43="",MEMORIA_RESULTADOS!$I$261=""),"",ROUND(Q43*$C43*(MEMORIA_RESULTADOS!$I$261-1),2))</f>
        <v/>
      </c>
      <c r="BD43" t="str">
        <f>IF(OR($A43="",BB43="",MEMORIA_RESULTADOS!$I$261=""),"",ROUND(BB43*$C43*(parametros!$F$5-MEMORIA_RESULTADOS!$I$261),2))</f>
        <v/>
      </c>
      <c r="BE43" t="str">
        <f>IF($A43="","",ROUND(SUMIFS(itens_Consumidos!$M$2:$M$200,itens_Consumidos!$A$2:$A$200,$A43),2))</f>
        <v/>
      </c>
      <c r="BF43" t="str">
        <f t="shared" si="10"/>
        <v/>
      </c>
      <c r="BG43" t="str">
        <f>IF(OR($A43="",S43="",MEMORIA_RESULTADOS!$I$262=""),"",ROUND(S43*$C43*(MEMORIA_RESULTADOS!$I$262-1),2))</f>
        <v/>
      </c>
      <c r="BH43" t="str">
        <f>IF(OR($A43="",BF43="",MEMORIA_RESULTADOS!$I$262=""),"",ROUND(BF43*$C43*(parametros!$F$6-MEMORIA_RESULTADOS!$I$262),2))</f>
        <v/>
      </c>
      <c r="BI43" t="str">
        <f>IF($A43="","",IF(posicao_contratual!$AL43="","",posicao_contratual!$AL43))</f>
        <v/>
      </c>
    </row>
    <row r="44" spans="1:61" x14ac:dyDescent="0.35">
      <c r="A44" s="81"/>
      <c r="B44" s="82" t="str">
        <f t="shared" si="11"/>
        <v/>
      </c>
      <c r="C44" s="83"/>
      <c r="D44" s="79" t="str">
        <f>IF(AND(A44="",A43&lt;&gt;"",COUNTIF(A45:$A$200,"&lt;&gt;")=0),ROUND(SUMIF($A$2:A43,"&lt;&gt;",$D$2:D43),2),IF(OR(A44="",B44="",C44=""),"",ROUND(B44*C44,2)))</f>
        <v/>
      </c>
      <c r="E44" s="84"/>
      <c r="F44" s="79" t="str">
        <f>IF(AND(A44="",A43&lt;&gt;"",COUNTIF(A45:$A$200,"&lt;&gt;")=0),IF(COUNT(F$2:F43)=0,"",ROUND(SUMIF($A$2:A43,"&lt;&gt;",F$2:F43),2)),IF(OR(A44="",AND(ISNUMBER(posicao_contratual!$AL44),posicao_contratual!$AL44&gt;1),posicao_contratual!K44="",NOT(ISNUMBER(historico_VU!D44))),"",ROUND(posicao_contratual!K44*historico_VU!D44,2)))</f>
        <v/>
      </c>
      <c r="G44" s="84"/>
      <c r="H44" s="79" t="str">
        <f>IF(AND(A44="",A43&lt;&gt;"",COUNTIF(A45:$A$200,"&lt;&gt;")=0),IF(COUNT(H$2:H43)=0,"",ROUND(SUMIF($A$2:A43,"&lt;&gt;",H$2:H43),2)),IF(OR(A44="",AND(ISNUMBER(posicao_contratual!$AL44),posicao_contratual!$AL44&gt;2),posicao_contratual!O44="",NOT(ISNUMBER(historico_VU!E44))),"",ROUND(posicao_contratual!O44*historico_VU!E44,2)))</f>
        <v/>
      </c>
      <c r="I44" s="84"/>
      <c r="J44" s="79" t="str">
        <f>IF(AND(A44="",A43&lt;&gt;"",COUNTIF(A45:$A$200,"&lt;&gt;")=0),IF(COUNT(J$2:J43)=0,"",ROUND(SUMIF($A$2:A43,"&lt;&gt;",J$2:J43),2)),IF(OR(A44="",AND(ISNUMBER(posicao_contratual!$AL44),posicao_contratual!$AL44&gt;3),posicao_contratual!S44="",NOT(ISNUMBER(historico_VU!F44))),"",ROUND(posicao_contratual!S44*historico_VU!F44,2)))</f>
        <v/>
      </c>
      <c r="K44" s="84"/>
      <c r="L44" s="79" t="str">
        <f>IF(AND(A44="",A43&lt;&gt;"",COUNTIF(A45:$A$200,"&lt;&gt;")=0),IF(COUNT(L$2:L43)=0,"",ROUND(SUMIF($A$2:A43,"&lt;&gt;",L$2:L43),2)),IF(OR(A44="",AND(ISNUMBER(posicao_contratual!$AL44),posicao_contratual!$AL44&gt;4),posicao_contratual!W44="",NOT(ISNUMBER(historico_VU!G44))),"",ROUND(posicao_contratual!W44*historico_VU!G44,2)))</f>
        <v/>
      </c>
      <c r="M44" s="85" t="str">
        <f>IF(OR(posicao_contratual!J44="",posicao_contratual!N44=""),"",ROUND(MAX(posicao_contratual!J44+posicao_contratual!H44-posicao_contratual!N44,0),2))</f>
        <v/>
      </c>
      <c r="N44" s="79" t="str">
        <f>IF(AND(A44="",A43&lt;&gt;"",COUNTIF(A45:$A$200,"&lt;&gt;")=0),IF(COUNT(N$2:N43)=0,"",ROUND(SUMIF($A$2:A43,"&lt;&gt;",N$2:N43),2)),IF(OR(M44="",NOT(ISNUMBER(historico_VU!D44))),"",ROUND(M44*historico_VU!D44,2)))</f>
        <v/>
      </c>
      <c r="O44" s="85" t="str">
        <f>IF(OR(posicao_contratual!N44="",posicao_contratual!R44=""),"",ROUND(MAX(posicao_contratual!N44+posicao_contratual!L44-posicao_contratual!R44,0),2))</f>
        <v/>
      </c>
      <c r="P44" s="79" t="str">
        <f>IF(AND(A44="",A43&lt;&gt;"",COUNTIF(A45:$A$200,"&lt;&gt;")=0),IF(COUNT(P$2:P43)=0,"",ROUND(SUMIF($A$2:A43,"&lt;&gt;",P$2:P43),2)),IF(OR(O44="",NOT(ISNUMBER(historico_VU!E44))),"",ROUND(O44*historico_VU!E44,2)))</f>
        <v/>
      </c>
      <c r="Q44" s="85" t="str">
        <f>IF(OR(posicao_contratual!R44="",posicao_contratual!V44=""),"",ROUND(MAX(posicao_contratual!R44+posicao_contratual!P44-posicao_contratual!V44,0),2))</f>
        <v/>
      </c>
      <c r="R44" s="79" t="str">
        <f>IF(AND(A44="",A43&lt;&gt;"",COUNTIF(A45:$A$200,"&lt;&gt;")=0),IF(COUNT(R$2:R43)=0,"",ROUND(SUMIF($A$2:A43,"&lt;&gt;",R$2:R43),2)),IF(OR(Q44="",NOT(ISNUMBER(historico_VU!F44))),"",ROUND(Q44*historico_VU!F44,2)))</f>
        <v/>
      </c>
      <c r="S44" s="21"/>
      <c r="T44" s="22" t="str">
        <f>IF(AND(A44="",A43&lt;&gt;"",COUNTIF(A45:$A$200,"&lt;&gt;")=0),IF(COUNT(T$2:T43)=0,"",ROUND(SUMIF($A$2:A43,"&lt;&gt;",T$2:T43),2)),IF(OR(S44="",NOT(ISNUMBER(historico_VU!G44))),"",ROUND(S44*historico_VU!G44,2)))</f>
        <v/>
      </c>
      <c r="U44" s="86" t="str">
        <f>IF(AND(A44="",A43&lt;&gt;"",COUNTIF(A45:$A$200,"&lt;&gt;")=0),"TOTAL",IF(A44="","",posicao_contratual!X44))</f>
        <v/>
      </c>
      <c r="V44" s="86" t="str">
        <f>IF(A44="","",posicao_contratual!X44)</f>
        <v/>
      </c>
      <c r="W44" s="14"/>
      <c r="X44" s="14"/>
      <c r="Y44" s="14"/>
      <c r="Z44" s="13"/>
      <c r="AA44" s="13"/>
      <c r="AB44" s="85" t="str">
        <f>IF(OR(A44="",posicao_contratual!E44="",posicao_contratual!J44=""),"",ROUND(MAX(posicao_contratual!E44-posicao_contratual!J44,0),2))</f>
        <v/>
      </c>
      <c r="AC44" s="79" t="str">
        <f>IF(AND(A44="",A43&lt;&gt;"",COUNTIF(A45:$A$200,"&lt;&gt;")=0),IF(COUNT(AC$2:AC43)=0,"",ROUND(SUMIF($A$2:A43,"&lt;&gt;",AC$2:AC43),2)),IF(OR(AB44="",NOT(ISNUMBER(historico_VU!C44))),"",ROUND(AB44*historico_VU!C44,2)))</f>
        <v/>
      </c>
      <c r="AD44" s="145" t="str">
        <f>IF(A44="","",posicao_contratual!E44)</f>
        <v/>
      </c>
      <c r="AE44" s="145" t="str">
        <f>IF(A44="","",posicao_contratual!I44)</f>
        <v/>
      </c>
      <c r="AF44" s="145" t="str">
        <f>IF(A44="","",posicao_contratual!M44)</f>
        <v/>
      </c>
      <c r="AG44" s="145" t="str">
        <f>IF(A44="","",posicao_contratual!Q44)</f>
        <v/>
      </c>
      <c r="AH44" s="145" t="str">
        <f>IF(A44="","",posicao_contratual!U44)</f>
        <v/>
      </c>
      <c r="AI44" s="145" t="str">
        <f>IF(A44="","",posicao_contratual!G44)</f>
        <v/>
      </c>
      <c r="AJ44" s="145" t="str">
        <f>IF(A44="","",posicao_contratual!K44)</f>
        <v/>
      </c>
      <c r="AK44" s="145" t="str">
        <f>IF(A44="","",posicao_contratual!O44)</f>
        <v/>
      </c>
      <c r="AL44" s="145" t="str">
        <f>IF(A44="","",posicao_contratual!S44)</f>
        <v/>
      </c>
      <c r="AM44" s="145" t="str">
        <f>IF(A44="","",posicao_contratual!W44)</f>
        <v/>
      </c>
      <c r="AN44" s="146" t="str">
        <f>IF(A44="","",posicao_contratual!X44)</f>
        <v/>
      </c>
      <c r="AO44" t="str">
        <f>IF($A44="","",ROUND(SUMIFS(itens_Consumidos!$E$2:$E$200,itens_Consumidos!$A$2:$A$200,$A44),2))</f>
        <v/>
      </c>
      <c r="AP44" t="str">
        <f t="shared" si="6"/>
        <v/>
      </c>
      <c r="AQ44" t="str">
        <f>IF(OR($A44="",AB44="",MEMORIA_RESULTADOS!$I$258=""),"",ROUND(AB44*$C44*(MEMORIA_RESULTADOS!$I$258-1),2))</f>
        <v/>
      </c>
      <c r="AR44" t="str">
        <f>IF(OR($A44="",AP44="",MEMORIA_RESULTADOS!$I$258=""),"",ROUND(AP44*$C44*(parametros!$F$2-MEMORIA_RESULTADOS!$I$258),2))</f>
        <v/>
      </c>
      <c r="AS44" t="str">
        <f>IF($A44="","",ROUND(SUMIFS(itens_Consumidos!$G$2:$G$200,itens_Consumidos!$A$2:$A$200,$A44),2))</f>
        <v/>
      </c>
      <c r="AT44" t="str">
        <f t="shared" si="7"/>
        <v/>
      </c>
      <c r="AU44" t="str">
        <f>IF(OR($A44="",M44="",MEMORIA_RESULTADOS!$I$259=""),"",ROUND(M44*$C44*(MEMORIA_RESULTADOS!$I$259-1),2))</f>
        <v/>
      </c>
      <c r="AV44" t="str">
        <f>IF(OR($A44="",AT44="",MEMORIA_RESULTADOS!$I$259=""),"",ROUND(AT44*$C44*(parametros!$F$3-MEMORIA_RESULTADOS!$I$259),2))</f>
        <v/>
      </c>
      <c r="AW44" t="str">
        <f>IF($A44="","",ROUND(SUMIFS(itens_Consumidos!$I$2:$I$200,itens_Consumidos!$A$2:$A$200,$A44),2))</f>
        <v/>
      </c>
      <c r="AX44" t="str">
        <f t="shared" si="8"/>
        <v/>
      </c>
      <c r="AY44" t="str">
        <f>IF(OR($A44="",O44="",MEMORIA_RESULTADOS!$I$260=""),"",ROUND(O44*$C44*(MEMORIA_RESULTADOS!$I$260-1),2))</f>
        <v/>
      </c>
      <c r="AZ44" t="str">
        <f>IF(OR($A44="",AX44="",MEMORIA_RESULTADOS!$I$260=""),"",ROUND(AX44*$C44*(parametros!$F$4-MEMORIA_RESULTADOS!$I$260),2))</f>
        <v/>
      </c>
      <c r="BA44" t="str">
        <f>IF($A44="","",ROUND(SUMIFS(itens_Consumidos!$K$2:$K$200,itens_Consumidos!$A$2:$A$200,$A44),2))</f>
        <v/>
      </c>
      <c r="BB44" t="str">
        <f t="shared" si="9"/>
        <v/>
      </c>
      <c r="BC44" t="str">
        <f>IF(OR($A44="",Q44="",MEMORIA_RESULTADOS!$I$261=""),"",ROUND(Q44*$C44*(MEMORIA_RESULTADOS!$I$261-1),2))</f>
        <v/>
      </c>
      <c r="BD44" t="str">
        <f>IF(OR($A44="",BB44="",MEMORIA_RESULTADOS!$I$261=""),"",ROUND(BB44*$C44*(parametros!$F$5-MEMORIA_RESULTADOS!$I$261),2))</f>
        <v/>
      </c>
      <c r="BE44" t="str">
        <f>IF($A44="","",ROUND(SUMIFS(itens_Consumidos!$M$2:$M$200,itens_Consumidos!$A$2:$A$200,$A44),2))</f>
        <v/>
      </c>
      <c r="BF44" t="str">
        <f t="shared" si="10"/>
        <v/>
      </c>
      <c r="BG44" t="str">
        <f>IF(OR($A44="",S44="",MEMORIA_RESULTADOS!$I$262=""),"",ROUND(S44*$C44*(MEMORIA_RESULTADOS!$I$262-1),2))</f>
        <v/>
      </c>
      <c r="BH44" t="str">
        <f>IF(OR($A44="",BF44="",MEMORIA_RESULTADOS!$I$262=""),"",ROUND(BF44*$C44*(parametros!$F$6-MEMORIA_RESULTADOS!$I$262),2))</f>
        <v/>
      </c>
      <c r="BI44" t="str">
        <f>IF($A44="","",IF(posicao_contratual!$AL44="","",posicao_contratual!$AL44))</f>
        <v/>
      </c>
    </row>
    <row r="45" spans="1:61" x14ac:dyDescent="0.35">
      <c r="A45" s="81"/>
      <c r="B45" s="82" t="str">
        <f t="shared" si="11"/>
        <v/>
      </c>
      <c r="C45" s="83"/>
      <c r="D45" s="79" t="str">
        <f>IF(AND(A45="",A44&lt;&gt;"",COUNTIF(A46:$A$200,"&lt;&gt;")=0),ROUND(SUMIF($A$2:A44,"&lt;&gt;",$D$2:D44),2),IF(OR(A45="",B45="",C45=""),"",ROUND(B45*C45,2)))</f>
        <v/>
      </c>
      <c r="E45" s="84"/>
      <c r="F45" s="79" t="str">
        <f>IF(AND(A45="",A44&lt;&gt;"",COUNTIF(A46:$A$200,"&lt;&gt;")=0),IF(COUNT(F$2:F44)=0,"",ROUND(SUMIF($A$2:A44,"&lt;&gt;",F$2:F44),2)),IF(OR(A45="",AND(ISNUMBER(posicao_contratual!$AL45),posicao_contratual!$AL45&gt;1),posicao_contratual!K45="",NOT(ISNUMBER(historico_VU!D45))),"",ROUND(posicao_contratual!K45*historico_VU!D45,2)))</f>
        <v/>
      </c>
      <c r="G45" s="84"/>
      <c r="H45" s="79" t="str">
        <f>IF(AND(A45="",A44&lt;&gt;"",COUNTIF(A46:$A$200,"&lt;&gt;")=0),IF(COUNT(H$2:H44)=0,"",ROUND(SUMIF($A$2:A44,"&lt;&gt;",H$2:H44),2)),IF(OR(A45="",AND(ISNUMBER(posicao_contratual!$AL45),posicao_contratual!$AL45&gt;2),posicao_contratual!O45="",NOT(ISNUMBER(historico_VU!E45))),"",ROUND(posicao_contratual!O45*historico_VU!E45,2)))</f>
        <v/>
      </c>
      <c r="I45" s="84"/>
      <c r="J45" s="79" t="str">
        <f>IF(AND(A45="",A44&lt;&gt;"",COUNTIF(A46:$A$200,"&lt;&gt;")=0),IF(COUNT(J$2:J44)=0,"",ROUND(SUMIF($A$2:A44,"&lt;&gt;",J$2:J44),2)),IF(OR(A45="",AND(ISNUMBER(posicao_contratual!$AL45),posicao_contratual!$AL45&gt;3),posicao_contratual!S45="",NOT(ISNUMBER(historico_VU!F45))),"",ROUND(posicao_contratual!S45*historico_VU!F45,2)))</f>
        <v/>
      </c>
      <c r="K45" s="84"/>
      <c r="L45" s="79" t="str">
        <f>IF(AND(A45="",A44&lt;&gt;"",COUNTIF(A46:$A$200,"&lt;&gt;")=0),IF(COUNT(L$2:L44)=0,"",ROUND(SUMIF($A$2:A44,"&lt;&gt;",L$2:L44),2)),IF(OR(A45="",AND(ISNUMBER(posicao_contratual!$AL45),posicao_contratual!$AL45&gt;4),posicao_contratual!W45="",NOT(ISNUMBER(historico_VU!G45))),"",ROUND(posicao_contratual!W45*historico_VU!G45,2)))</f>
        <v/>
      </c>
      <c r="M45" s="85" t="str">
        <f>IF(OR(posicao_contratual!J45="",posicao_contratual!N45=""),"",ROUND(MAX(posicao_contratual!J45+posicao_contratual!H45-posicao_contratual!N45,0),2))</f>
        <v/>
      </c>
      <c r="N45" s="79" t="str">
        <f>IF(AND(A45="",A44&lt;&gt;"",COUNTIF(A46:$A$200,"&lt;&gt;")=0),IF(COUNT(N$2:N44)=0,"",ROUND(SUMIF($A$2:A44,"&lt;&gt;",N$2:N44),2)),IF(OR(M45="",NOT(ISNUMBER(historico_VU!D45))),"",ROUND(M45*historico_VU!D45,2)))</f>
        <v/>
      </c>
      <c r="O45" s="85" t="str">
        <f>IF(OR(posicao_contratual!N45="",posicao_contratual!R45=""),"",ROUND(MAX(posicao_contratual!N45+posicao_contratual!L45-posicao_contratual!R45,0),2))</f>
        <v/>
      </c>
      <c r="P45" s="79" t="str">
        <f>IF(AND(A45="",A44&lt;&gt;"",COUNTIF(A46:$A$200,"&lt;&gt;")=0),IF(COUNT(P$2:P44)=0,"",ROUND(SUMIF($A$2:A44,"&lt;&gt;",P$2:P44),2)),IF(OR(O45="",NOT(ISNUMBER(historico_VU!E45))),"",ROUND(O45*historico_VU!E45,2)))</f>
        <v/>
      </c>
      <c r="Q45" s="85" t="str">
        <f>IF(OR(posicao_contratual!R45="",posicao_contratual!V45=""),"",ROUND(MAX(posicao_contratual!R45+posicao_contratual!P45-posicao_contratual!V45,0),2))</f>
        <v/>
      </c>
      <c r="R45" s="79" t="str">
        <f>IF(AND(A45="",A44&lt;&gt;"",COUNTIF(A46:$A$200,"&lt;&gt;")=0),IF(COUNT(R$2:R44)=0,"",ROUND(SUMIF($A$2:A44,"&lt;&gt;",R$2:R44),2)),IF(OR(Q45="",NOT(ISNUMBER(historico_VU!F45))),"",ROUND(Q45*historico_VU!F45,2)))</f>
        <v/>
      </c>
      <c r="S45" s="21"/>
      <c r="T45" s="22" t="str">
        <f>IF(AND(A45="",A44&lt;&gt;"",COUNTIF(A46:$A$200,"&lt;&gt;")=0),IF(COUNT(T$2:T44)=0,"",ROUND(SUMIF($A$2:A44,"&lt;&gt;",T$2:T44),2)),IF(OR(S45="",NOT(ISNUMBER(historico_VU!G45))),"",ROUND(S45*historico_VU!G45,2)))</f>
        <v/>
      </c>
      <c r="U45" s="86" t="str">
        <f>IF(AND(A45="",A44&lt;&gt;"",COUNTIF(A46:$A$200,"&lt;&gt;")=0),"TOTAL",IF(A45="","",posicao_contratual!X45))</f>
        <v/>
      </c>
      <c r="V45" s="86" t="str">
        <f>IF(A45="","",posicao_contratual!X45)</f>
        <v/>
      </c>
      <c r="W45" s="14"/>
      <c r="X45" s="14"/>
      <c r="Y45" s="14"/>
      <c r="Z45" s="13"/>
      <c r="AA45" s="13"/>
      <c r="AB45" s="85" t="str">
        <f>IF(OR(A45="",posicao_contratual!E45="",posicao_contratual!J45=""),"",ROUND(MAX(posicao_contratual!E45-posicao_contratual!J45,0),2))</f>
        <v/>
      </c>
      <c r="AC45" s="79" t="str">
        <f>IF(AND(A45="",A44&lt;&gt;"",COUNTIF(A46:$A$200,"&lt;&gt;")=0),IF(COUNT(AC$2:AC44)=0,"",ROUND(SUMIF($A$2:A44,"&lt;&gt;",AC$2:AC44),2)),IF(OR(AB45="",NOT(ISNUMBER(historico_VU!C45))),"",ROUND(AB45*historico_VU!C45,2)))</f>
        <v/>
      </c>
      <c r="AD45" s="145" t="str">
        <f>IF(A45="","",posicao_contratual!E45)</f>
        <v/>
      </c>
      <c r="AE45" s="145" t="str">
        <f>IF(A45="","",posicao_contratual!I45)</f>
        <v/>
      </c>
      <c r="AF45" s="145" t="str">
        <f>IF(A45="","",posicao_contratual!M45)</f>
        <v/>
      </c>
      <c r="AG45" s="145" t="str">
        <f>IF(A45="","",posicao_contratual!Q45)</f>
        <v/>
      </c>
      <c r="AH45" s="145" t="str">
        <f>IF(A45="","",posicao_contratual!U45)</f>
        <v/>
      </c>
      <c r="AI45" s="145" t="str">
        <f>IF(A45="","",posicao_contratual!G45)</f>
        <v/>
      </c>
      <c r="AJ45" s="145" t="str">
        <f>IF(A45="","",posicao_contratual!K45)</f>
        <v/>
      </c>
      <c r="AK45" s="145" t="str">
        <f>IF(A45="","",posicao_contratual!O45)</f>
        <v/>
      </c>
      <c r="AL45" s="145" t="str">
        <f>IF(A45="","",posicao_contratual!S45)</f>
        <v/>
      </c>
      <c r="AM45" s="145" t="str">
        <f>IF(A45="","",posicao_contratual!W45)</f>
        <v/>
      </c>
      <c r="AN45" s="146" t="str">
        <f>IF(A45="","",posicao_contratual!X45)</f>
        <v/>
      </c>
      <c r="AO45" t="str">
        <f>IF($A45="","",ROUND(SUMIFS(itens_Consumidos!$E$2:$E$200,itens_Consumidos!$A$2:$A$200,$A45),2))</f>
        <v/>
      </c>
      <c r="AP45" t="str">
        <f t="shared" si="6"/>
        <v/>
      </c>
      <c r="AQ45" t="str">
        <f>IF(OR($A45="",AB45="",MEMORIA_RESULTADOS!$I$258=""),"",ROUND(AB45*$C45*(MEMORIA_RESULTADOS!$I$258-1),2))</f>
        <v/>
      </c>
      <c r="AR45" t="str">
        <f>IF(OR($A45="",AP45="",MEMORIA_RESULTADOS!$I$258=""),"",ROUND(AP45*$C45*(parametros!$F$2-MEMORIA_RESULTADOS!$I$258),2))</f>
        <v/>
      </c>
      <c r="AS45" t="str">
        <f>IF($A45="","",ROUND(SUMIFS(itens_Consumidos!$G$2:$G$200,itens_Consumidos!$A$2:$A$200,$A45),2))</f>
        <v/>
      </c>
      <c r="AT45" t="str">
        <f t="shared" si="7"/>
        <v/>
      </c>
      <c r="AU45" t="str">
        <f>IF(OR($A45="",M45="",MEMORIA_RESULTADOS!$I$259=""),"",ROUND(M45*$C45*(MEMORIA_RESULTADOS!$I$259-1),2))</f>
        <v/>
      </c>
      <c r="AV45" t="str">
        <f>IF(OR($A45="",AT45="",MEMORIA_RESULTADOS!$I$259=""),"",ROUND(AT45*$C45*(parametros!$F$3-MEMORIA_RESULTADOS!$I$259),2))</f>
        <v/>
      </c>
      <c r="AW45" t="str">
        <f>IF($A45="","",ROUND(SUMIFS(itens_Consumidos!$I$2:$I$200,itens_Consumidos!$A$2:$A$200,$A45),2))</f>
        <v/>
      </c>
      <c r="AX45" t="str">
        <f t="shared" si="8"/>
        <v/>
      </c>
      <c r="AY45" t="str">
        <f>IF(OR($A45="",O45="",MEMORIA_RESULTADOS!$I$260=""),"",ROUND(O45*$C45*(MEMORIA_RESULTADOS!$I$260-1),2))</f>
        <v/>
      </c>
      <c r="AZ45" t="str">
        <f>IF(OR($A45="",AX45="",MEMORIA_RESULTADOS!$I$260=""),"",ROUND(AX45*$C45*(parametros!$F$4-MEMORIA_RESULTADOS!$I$260),2))</f>
        <v/>
      </c>
      <c r="BA45" t="str">
        <f>IF($A45="","",ROUND(SUMIFS(itens_Consumidos!$K$2:$K$200,itens_Consumidos!$A$2:$A$200,$A45),2))</f>
        <v/>
      </c>
      <c r="BB45" t="str">
        <f t="shared" si="9"/>
        <v/>
      </c>
      <c r="BC45" t="str">
        <f>IF(OR($A45="",Q45="",MEMORIA_RESULTADOS!$I$261=""),"",ROUND(Q45*$C45*(MEMORIA_RESULTADOS!$I$261-1),2))</f>
        <v/>
      </c>
      <c r="BD45" t="str">
        <f>IF(OR($A45="",BB45="",MEMORIA_RESULTADOS!$I$261=""),"",ROUND(BB45*$C45*(parametros!$F$5-MEMORIA_RESULTADOS!$I$261),2))</f>
        <v/>
      </c>
      <c r="BE45" t="str">
        <f>IF($A45="","",ROUND(SUMIFS(itens_Consumidos!$M$2:$M$200,itens_Consumidos!$A$2:$A$200,$A45),2))</f>
        <v/>
      </c>
      <c r="BF45" t="str">
        <f t="shared" si="10"/>
        <v/>
      </c>
      <c r="BG45" t="str">
        <f>IF(OR($A45="",S45="",MEMORIA_RESULTADOS!$I$262=""),"",ROUND(S45*$C45*(MEMORIA_RESULTADOS!$I$262-1),2))</f>
        <v/>
      </c>
      <c r="BH45" t="str">
        <f>IF(OR($A45="",BF45="",MEMORIA_RESULTADOS!$I$262=""),"",ROUND(BF45*$C45*(parametros!$F$6-MEMORIA_RESULTADOS!$I$262),2))</f>
        <v/>
      </c>
      <c r="BI45" t="str">
        <f>IF($A45="","",IF(posicao_contratual!$AL45="","",posicao_contratual!$AL45))</f>
        <v/>
      </c>
    </row>
    <row r="46" spans="1:61" x14ac:dyDescent="0.35">
      <c r="A46" s="81"/>
      <c r="B46" s="82" t="str">
        <f t="shared" si="11"/>
        <v/>
      </c>
      <c r="C46" s="83"/>
      <c r="D46" s="79" t="str">
        <f>IF(AND(A46="",A45&lt;&gt;"",COUNTIF(A47:$A$200,"&lt;&gt;")=0),ROUND(SUMIF($A$2:A45,"&lt;&gt;",$D$2:D45),2),IF(OR(A46="",B46="",C46=""),"",ROUND(B46*C46,2)))</f>
        <v/>
      </c>
      <c r="E46" s="84"/>
      <c r="F46" s="79" t="str">
        <f>IF(AND(A46="",A45&lt;&gt;"",COUNTIF(A47:$A$200,"&lt;&gt;")=0),IF(COUNT(F$2:F45)=0,"",ROUND(SUMIF($A$2:A45,"&lt;&gt;",F$2:F45),2)),IF(OR(A46="",AND(ISNUMBER(posicao_contratual!$AL46),posicao_contratual!$AL46&gt;1),posicao_contratual!K46="",NOT(ISNUMBER(historico_VU!D46))),"",ROUND(posicao_contratual!K46*historico_VU!D46,2)))</f>
        <v/>
      </c>
      <c r="G46" s="84"/>
      <c r="H46" s="79" t="str">
        <f>IF(AND(A46="",A45&lt;&gt;"",COUNTIF(A47:$A$200,"&lt;&gt;")=0),IF(COUNT(H$2:H45)=0,"",ROUND(SUMIF($A$2:A45,"&lt;&gt;",H$2:H45),2)),IF(OR(A46="",AND(ISNUMBER(posicao_contratual!$AL46),posicao_contratual!$AL46&gt;2),posicao_contratual!O46="",NOT(ISNUMBER(historico_VU!E46))),"",ROUND(posicao_contratual!O46*historico_VU!E46,2)))</f>
        <v/>
      </c>
      <c r="I46" s="84"/>
      <c r="J46" s="79" t="str">
        <f>IF(AND(A46="",A45&lt;&gt;"",COUNTIF(A47:$A$200,"&lt;&gt;")=0),IF(COUNT(J$2:J45)=0,"",ROUND(SUMIF($A$2:A45,"&lt;&gt;",J$2:J45),2)),IF(OR(A46="",AND(ISNUMBER(posicao_contratual!$AL46),posicao_contratual!$AL46&gt;3),posicao_contratual!S46="",NOT(ISNUMBER(historico_VU!F46))),"",ROUND(posicao_contratual!S46*historico_VU!F46,2)))</f>
        <v/>
      </c>
      <c r="K46" s="84"/>
      <c r="L46" s="79" t="str">
        <f>IF(AND(A46="",A45&lt;&gt;"",COUNTIF(A47:$A$200,"&lt;&gt;")=0),IF(COUNT(L$2:L45)=0,"",ROUND(SUMIF($A$2:A45,"&lt;&gt;",L$2:L45),2)),IF(OR(A46="",AND(ISNUMBER(posicao_contratual!$AL46),posicao_contratual!$AL46&gt;4),posicao_contratual!W46="",NOT(ISNUMBER(historico_VU!G46))),"",ROUND(posicao_contratual!W46*historico_VU!G46,2)))</f>
        <v/>
      </c>
      <c r="M46" s="85" t="str">
        <f>IF(OR(posicao_contratual!J46="",posicao_contratual!N46=""),"",ROUND(MAX(posicao_contratual!J46+posicao_contratual!H46-posicao_contratual!N46,0),2))</f>
        <v/>
      </c>
      <c r="N46" s="79" t="str">
        <f>IF(AND(A46="",A45&lt;&gt;"",COUNTIF(A47:$A$200,"&lt;&gt;")=0),IF(COUNT(N$2:N45)=0,"",ROUND(SUMIF($A$2:A45,"&lt;&gt;",N$2:N45),2)),IF(OR(M46="",NOT(ISNUMBER(historico_VU!D46))),"",ROUND(M46*historico_VU!D46,2)))</f>
        <v/>
      </c>
      <c r="O46" s="85" t="str">
        <f>IF(OR(posicao_contratual!N46="",posicao_contratual!R46=""),"",ROUND(MAX(posicao_contratual!N46+posicao_contratual!L46-posicao_contratual!R46,0),2))</f>
        <v/>
      </c>
      <c r="P46" s="79" t="str">
        <f>IF(AND(A46="",A45&lt;&gt;"",COUNTIF(A47:$A$200,"&lt;&gt;")=0),IF(COUNT(P$2:P45)=0,"",ROUND(SUMIF($A$2:A45,"&lt;&gt;",P$2:P45),2)),IF(OR(O46="",NOT(ISNUMBER(historico_VU!E46))),"",ROUND(O46*historico_VU!E46,2)))</f>
        <v/>
      </c>
      <c r="Q46" s="85" t="str">
        <f>IF(OR(posicao_contratual!R46="",posicao_contratual!V46=""),"",ROUND(MAX(posicao_contratual!R46+posicao_contratual!P46-posicao_contratual!V46,0),2))</f>
        <v/>
      </c>
      <c r="R46" s="79" t="str">
        <f>IF(AND(A46="",A45&lt;&gt;"",COUNTIF(A47:$A$200,"&lt;&gt;")=0),IF(COUNT(R$2:R45)=0,"",ROUND(SUMIF($A$2:A45,"&lt;&gt;",R$2:R45),2)),IF(OR(Q46="",NOT(ISNUMBER(historico_VU!F46))),"",ROUND(Q46*historico_VU!F46,2)))</f>
        <v/>
      </c>
      <c r="S46" s="21"/>
      <c r="T46" s="22" t="str">
        <f>IF(AND(A46="",A45&lt;&gt;"",COUNTIF(A47:$A$200,"&lt;&gt;")=0),IF(COUNT(T$2:T45)=0,"",ROUND(SUMIF($A$2:A45,"&lt;&gt;",T$2:T45),2)),IF(OR(S46="",NOT(ISNUMBER(historico_VU!G46))),"",ROUND(S46*historico_VU!G46,2)))</f>
        <v/>
      </c>
      <c r="U46" s="86" t="str">
        <f>IF(AND(A46="",A45&lt;&gt;"",COUNTIF(A47:$A$200,"&lt;&gt;")=0),"TOTAL",IF(A46="","",posicao_contratual!X46))</f>
        <v/>
      </c>
      <c r="V46" s="86" t="str">
        <f>IF(A46="","",posicao_contratual!X46)</f>
        <v/>
      </c>
      <c r="W46" s="14"/>
      <c r="X46" s="14"/>
      <c r="Y46" s="14"/>
      <c r="Z46" s="13"/>
      <c r="AA46" s="13"/>
      <c r="AB46" s="85" t="str">
        <f>IF(OR(A46="",posicao_contratual!E46="",posicao_contratual!J46=""),"",ROUND(MAX(posicao_contratual!E46-posicao_contratual!J46,0),2))</f>
        <v/>
      </c>
      <c r="AC46" s="79" t="str">
        <f>IF(AND(A46="",A45&lt;&gt;"",COUNTIF(A47:$A$200,"&lt;&gt;")=0),IF(COUNT(AC$2:AC45)=0,"",ROUND(SUMIF($A$2:A45,"&lt;&gt;",AC$2:AC45),2)),IF(OR(AB46="",NOT(ISNUMBER(historico_VU!C46))),"",ROUND(AB46*historico_VU!C46,2)))</f>
        <v/>
      </c>
      <c r="AD46" s="145" t="str">
        <f>IF(A46="","",posicao_contratual!E46)</f>
        <v/>
      </c>
      <c r="AE46" s="145" t="str">
        <f>IF(A46="","",posicao_contratual!I46)</f>
        <v/>
      </c>
      <c r="AF46" s="145" t="str">
        <f>IF(A46="","",posicao_contratual!M46)</f>
        <v/>
      </c>
      <c r="AG46" s="145" t="str">
        <f>IF(A46="","",posicao_contratual!Q46)</f>
        <v/>
      </c>
      <c r="AH46" s="145" t="str">
        <f>IF(A46="","",posicao_contratual!U46)</f>
        <v/>
      </c>
      <c r="AI46" s="145" t="str">
        <f>IF(A46="","",posicao_contratual!G46)</f>
        <v/>
      </c>
      <c r="AJ46" s="145" t="str">
        <f>IF(A46="","",posicao_contratual!K46)</f>
        <v/>
      </c>
      <c r="AK46" s="145" t="str">
        <f>IF(A46="","",posicao_contratual!O46)</f>
        <v/>
      </c>
      <c r="AL46" s="145" t="str">
        <f>IF(A46="","",posicao_contratual!S46)</f>
        <v/>
      </c>
      <c r="AM46" s="145" t="str">
        <f>IF(A46="","",posicao_contratual!W46)</f>
        <v/>
      </c>
      <c r="AN46" s="146" t="str">
        <f>IF(A46="","",posicao_contratual!X46)</f>
        <v/>
      </c>
      <c r="AO46" t="str">
        <f>IF($A46="","",ROUND(SUMIFS(itens_Consumidos!$E$2:$E$200,itens_Consumidos!$A$2:$A$200,$A46),2))</f>
        <v/>
      </c>
      <c r="AP46" t="str">
        <f t="shared" si="6"/>
        <v/>
      </c>
      <c r="AQ46" t="str">
        <f>IF(OR($A46="",AB46="",MEMORIA_RESULTADOS!$I$258=""),"",ROUND(AB46*$C46*(MEMORIA_RESULTADOS!$I$258-1),2))</f>
        <v/>
      </c>
      <c r="AR46" t="str">
        <f>IF(OR($A46="",AP46="",MEMORIA_RESULTADOS!$I$258=""),"",ROUND(AP46*$C46*(parametros!$F$2-MEMORIA_RESULTADOS!$I$258),2))</f>
        <v/>
      </c>
      <c r="AS46" t="str">
        <f>IF($A46="","",ROUND(SUMIFS(itens_Consumidos!$G$2:$G$200,itens_Consumidos!$A$2:$A$200,$A46),2))</f>
        <v/>
      </c>
      <c r="AT46" t="str">
        <f t="shared" si="7"/>
        <v/>
      </c>
      <c r="AU46" t="str">
        <f>IF(OR($A46="",M46="",MEMORIA_RESULTADOS!$I$259=""),"",ROUND(M46*$C46*(MEMORIA_RESULTADOS!$I$259-1),2))</f>
        <v/>
      </c>
      <c r="AV46" t="str">
        <f>IF(OR($A46="",AT46="",MEMORIA_RESULTADOS!$I$259=""),"",ROUND(AT46*$C46*(parametros!$F$3-MEMORIA_RESULTADOS!$I$259),2))</f>
        <v/>
      </c>
      <c r="AW46" t="str">
        <f>IF($A46="","",ROUND(SUMIFS(itens_Consumidos!$I$2:$I$200,itens_Consumidos!$A$2:$A$200,$A46),2))</f>
        <v/>
      </c>
      <c r="AX46" t="str">
        <f t="shared" si="8"/>
        <v/>
      </c>
      <c r="AY46" t="str">
        <f>IF(OR($A46="",O46="",MEMORIA_RESULTADOS!$I$260=""),"",ROUND(O46*$C46*(MEMORIA_RESULTADOS!$I$260-1),2))</f>
        <v/>
      </c>
      <c r="AZ46" t="str">
        <f>IF(OR($A46="",AX46="",MEMORIA_RESULTADOS!$I$260=""),"",ROUND(AX46*$C46*(parametros!$F$4-MEMORIA_RESULTADOS!$I$260),2))</f>
        <v/>
      </c>
      <c r="BA46" t="str">
        <f>IF($A46="","",ROUND(SUMIFS(itens_Consumidos!$K$2:$K$200,itens_Consumidos!$A$2:$A$200,$A46),2))</f>
        <v/>
      </c>
      <c r="BB46" t="str">
        <f t="shared" si="9"/>
        <v/>
      </c>
      <c r="BC46" t="str">
        <f>IF(OR($A46="",Q46="",MEMORIA_RESULTADOS!$I$261=""),"",ROUND(Q46*$C46*(MEMORIA_RESULTADOS!$I$261-1),2))</f>
        <v/>
      </c>
      <c r="BD46" t="str">
        <f>IF(OR($A46="",BB46="",MEMORIA_RESULTADOS!$I$261=""),"",ROUND(BB46*$C46*(parametros!$F$5-MEMORIA_RESULTADOS!$I$261),2))</f>
        <v/>
      </c>
      <c r="BE46" t="str">
        <f>IF($A46="","",ROUND(SUMIFS(itens_Consumidos!$M$2:$M$200,itens_Consumidos!$A$2:$A$200,$A46),2))</f>
        <v/>
      </c>
      <c r="BF46" t="str">
        <f t="shared" si="10"/>
        <v/>
      </c>
      <c r="BG46" t="str">
        <f>IF(OR($A46="",S46="",MEMORIA_RESULTADOS!$I$262=""),"",ROUND(S46*$C46*(MEMORIA_RESULTADOS!$I$262-1),2))</f>
        <v/>
      </c>
      <c r="BH46" t="str">
        <f>IF(OR($A46="",BF46="",MEMORIA_RESULTADOS!$I$262=""),"",ROUND(BF46*$C46*(parametros!$F$6-MEMORIA_RESULTADOS!$I$262),2))</f>
        <v/>
      </c>
      <c r="BI46" t="str">
        <f>IF($A46="","",IF(posicao_contratual!$AL46="","",posicao_contratual!$AL46))</f>
        <v/>
      </c>
    </row>
    <row r="47" spans="1:61" x14ac:dyDescent="0.35">
      <c r="A47" s="81"/>
      <c r="B47" s="82" t="str">
        <f t="shared" si="11"/>
        <v/>
      </c>
      <c r="C47" s="83"/>
      <c r="D47" s="79" t="str">
        <f>IF(AND(A47="",A46&lt;&gt;"",COUNTIF(A48:$A$200,"&lt;&gt;")=0),ROUND(SUMIF($A$2:A46,"&lt;&gt;",$D$2:D46),2),IF(OR(A47="",B47="",C47=""),"",ROUND(B47*C47,2)))</f>
        <v/>
      </c>
      <c r="E47" s="84"/>
      <c r="F47" s="79" t="str">
        <f>IF(AND(A47="",A46&lt;&gt;"",COUNTIF(A48:$A$200,"&lt;&gt;")=0),IF(COUNT(F$2:F46)=0,"",ROUND(SUMIF($A$2:A46,"&lt;&gt;",F$2:F46),2)),IF(OR(A47="",AND(ISNUMBER(posicao_contratual!$AL47),posicao_contratual!$AL47&gt;1),posicao_contratual!K47="",NOT(ISNUMBER(historico_VU!D47))),"",ROUND(posicao_contratual!K47*historico_VU!D47,2)))</f>
        <v/>
      </c>
      <c r="G47" s="84"/>
      <c r="H47" s="79" t="str">
        <f>IF(AND(A47="",A46&lt;&gt;"",COUNTIF(A48:$A$200,"&lt;&gt;")=0),IF(COUNT(H$2:H46)=0,"",ROUND(SUMIF($A$2:A46,"&lt;&gt;",H$2:H46),2)),IF(OR(A47="",AND(ISNUMBER(posicao_contratual!$AL47),posicao_contratual!$AL47&gt;2),posicao_contratual!O47="",NOT(ISNUMBER(historico_VU!E47))),"",ROUND(posicao_contratual!O47*historico_VU!E47,2)))</f>
        <v/>
      </c>
      <c r="I47" s="84"/>
      <c r="J47" s="79" t="str">
        <f>IF(AND(A47="",A46&lt;&gt;"",COUNTIF(A48:$A$200,"&lt;&gt;")=0),IF(COUNT(J$2:J46)=0,"",ROUND(SUMIF($A$2:A46,"&lt;&gt;",J$2:J46),2)),IF(OR(A47="",AND(ISNUMBER(posicao_contratual!$AL47),posicao_contratual!$AL47&gt;3),posicao_contratual!S47="",NOT(ISNUMBER(historico_VU!F47))),"",ROUND(posicao_contratual!S47*historico_VU!F47,2)))</f>
        <v/>
      </c>
      <c r="K47" s="84"/>
      <c r="L47" s="79" t="str">
        <f>IF(AND(A47="",A46&lt;&gt;"",COUNTIF(A48:$A$200,"&lt;&gt;")=0),IF(COUNT(L$2:L46)=0,"",ROUND(SUMIF($A$2:A46,"&lt;&gt;",L$2:L46),2)),IF(OR(A47="",AND(ISNUMBER(posicao_contratual!$AL47),posicao_contratual!$AL47&gt;4),posicao_contratual!W47="",NOT(ISNUMBER(historico_VU!G47))),"",ROUND(posicao_contratual!W47*historico_VU!G47,2)))</f>
        <v/>
      </c>
      <c r="M47" s="85" t="str">
        <f>IF(OR(posicao_contratual!J47="",posicao_contratual!N47=""),"",ROUND(MAX(posicao_contratual!J47+posicao_contratual!H47-posicao_contratual!N47,0),2))</f>
        <v/>
      </c>
      <c r="N47" s="79" t="str">
        <f>IF(AND(A47="",A46&lt;&gt;"",COUNTIF(A48:$A$200,"&lt;&gt;")=0),IF(COUNT(N$2:N46)=0,"",ROUND(SUMIF($A$2:A46,"&lt;&gt;",N$2:N46),2)),IF(OR(M47="",NOT(ISNUMBER(historico_VU!D47))),"",ROUND(M47*historico_VU!D47,2)))</f>
        <v/>
      </c>
      <c r="O47" s="85" t="str">
        <f>IF(OR(posicao_contratual!N47="",posicao_contratual!R47=""),"",ROUND(MAX(posicao_contratual!N47+posicao_contratual!L47-posicao_contratual!R47,0),2))</f>
        <v/>
      </c>
      <c r="P47" s="79" t="str">
        <f>IF(AND(A47="",A46&lt;&gt;"",COUNTIF(A48:$A$200,"&lt;&gt;")=0),IF(COUNT(P$2:P46)=0,"",ROUND(SUMIF($A$2:A46,"&lt;&gt;",P$2:P46),2)),IF(OR(O47="",NOT(ISNUMBER(historico_VU!E47))),"",ROUND(O47*historico_VU!E47,2)))</f>
        <v/>
      </c>
      <c r="Q47" s="85" t="str">
        <f>IF(OR(posicao_contratual!R47="",posicao_contratual!V47=""),"",ROUND(MAX(posicao_contratual!R47+posicao_contratual!P47-posicao_contratual!V47,0),2))</f>
        <v/>
      </c>
      <c r="R47" s="79" t="str">
        <f>IF(AND(A47="",A46&lt;&gt;"",COUNTIF(A48:$A$200,"&lt;&gt;")=0),IF(COUNT(R$2:R46)=0,"",ROUND(SUMIF($A$2:A46,"&lt;&gt;",R$2:R46),2)),IF(OR(Q47="",NOT(ISNUMBER(historico_VU!F47))),"",ROUND(Q47*historico_VU!F47,2)))</f>
        <v/>
      </c>
      <c r="S47" s="21"/>
      <c r="T47" s="22" t="str">
        <f>IF(AND(A47="",A46&lt;&gt;"",COUNTIF(A48:$A$200,"&lt;&gt;")=0),IF(COUNT(T$2:T46)=0,"",ROUND(SUMIF($A$2:A46,"&lt;&gt;",T$2:T46),2)),IF(OR(S47="",NOT(ISNUMBER(historico_VU!G47))),"",ROUND(S47*historico_VU!G47,2)))</f>
        <v/>
      </c>
      <c r="U47" s="86" t="str">
        <f>IF(AND(A47="",A46&lt;&gt;"",COUNTIF(A48:$A$200,"&lt;&gt;")=0),"TOTAL",IF(A47="","",posicao_contratual!X47))</f>
        <v/>
      </c>
      <c r="V47" s="86" t="str">
        <f>IF(A47="","",posicao_contratual!X47)</f>
        <v/>
      </c>
      <c r="W47" s="14"/>
      <c r="X47" s="14"/>
      <c r="Y47" s="14"/>
      <c r="Z47" s="13"/>
      <c r="AA47" s="13"/>
      <c r="AB47" s="85" t="str">
        <f>IF(OR(A47="",posicao_contratual!E47="",posicao_contratual!J47=""),"",ROUND(MAX(posicao_contratual!E47-posicao_contratual!J47,0),2))</f>
        <v/>
      </c>
      <c r="AC47" s="79" t="str">
        <f>IF(AND(A47="",A46&lt;&gt;"",COUNTIF(A48:$A$200,"&lt;&gt;")=0),IF(COUNT(AC$2:AC46)=0,"",ROUND(SUMIF($A$2:A46,"&lt;&gt;",AC$2:AC46),2)),IF(OR(AB47="",NOT(ISNUMBER(historico_VU!C47))),"",ROUND(AB47*historico_VU!C47,2)))</f>
        <v/>
      </c>
      <c r="AD47" s="145" t="str">
        <f>IF(A47="","",posicao_contratual!E47)</f>
        <v/>
      </c>
      <c r="AE47" s="145" t="str">
        <f>IF(A47="","",posicao_contratual!I47)</f>
        <v/>
      </c>
      <c r="AF47" s="145" t="str">
        <f>IF(A47="","",posicao_contratual!M47)</f>
        <v/>
      </c>
      <c r="AG47" s="145" t="str">
        <f>IF(A47="","",posicao_contratual!Q47)</f>
        <v/>
      </c>
      <c r="AH47" s="145" t="str">
        <f>IF(A47="","",posicao_contratual!U47)</f>
        <v/>
      </c>
      <c r="AI47" s="145" t="str">
        <f>IF(A47="","",posicao_contratual!G47)</f>
        <v/>
      </c>
      <c r="AJ47" s="145" t="str">
        <f>IF(A47="","",posicao_contratual!K47)</f>
        <v/>
      </c>
      <c r="AK47" s="145" t="str">
        <f>IF(A47="","",posicao_contratual!O47)</f>
        <v/>
      </c>
      <c r="AL47" s="145" t="str">
        <f>IF(A47="","",posicao_contratual!S47)</f>
        <v/>
      </c>
      <c r="AM47" s="145" t="str">
        <f>IF(A47="","",posicao_contratual!W47)</f>
        <v/>
      </c>
      <c r="AN47" s="146" t="str">
        <f>IF(A47="","",posicao_contratual!X47)</f>
        <v/>
      </c>
      <c r="AO47" t="str">
        <f>IF($A47="","",ROUND(SUMIFS(itens_Consumidos!$E$2:$E$200,itens_Consumidos!$A$2:$A$200,$A47),2))</f>
        <v/>
      </c>
      <c r="AP47" t="str">
        <f t="shared" si="6"/>
        <v/>
      </c>
      <c r="AQ47" t="str">
        <f>IF(OR($A47="",AB47="",MEMORIA_RESULTADOS!$I$258=""),"",ROUND(AB47*$C47*(MEMORIA_RESULTADOS!$I$258-1),2))</f>
        <v/>
      </c>
      <c r="AR47" t="str">
        <f>IF(OR($A47="",AP47="",MEMORIA_RESULTADOS!$I$258=""),"",ROUND(AP47*$C47*(parametros!$F$2-MEMORIA_RESULTADOS!$I$258),2))</f>
        <v/>
      </c>
      <c r="AS47" t="str">
        <f>IF($A47="","",ROUND(SUMIFS(itens_Consumidos!$G$2:$G$200,itens_Consumidos!$A$2:$A$200,$A47),2))</f>
        <v/>
      </c>
      <c r="AT47" t="str">
        <f t="shared" si="7"/>
        <v/>
      </c>
      <c r="AU47" t="str">
        <f>IF(OR($A47="",M47="",MEMORIA_RESULTADOS!$I$259=""),"",ROUND(M47*$C47*(MEMORIA_RESULTADOS!$I$259-1),2))</f>
        <v/>
      </c>
      <c r="AV47" t="str">
        <f>IF(OR($A47="",AT47="",MEMORIA_RESULTADOS!$I$259=""),"",ROUND(AT47*$C47*(parametros!$F$3-MEMORIA_RESULTADOS!$I$259),2))</f>
        <v/>
      </c>
      <c r="AW47" t="str">
        <f>IF($A47="","",ROUND(SUMIFS(itens_Consumidos!$I$2:$I$200,itens_Consumidos!$A$2:$A$200,$A47),2))</f>
        <v/>
      </c>
      <c r="AX47" t="str">
        <f t="shared" si="8"/>
        <v/>
      </c>
      <c r="AY47" t="str">
        <f>IF(OR($A47="",O47="",MEMORIA_RESULTADOS!$I$260=""),"",ROUND(O47*$C47*(MEMORIA_RESULTADOS!$I$260-1),2))</f>
        <v/>
      </c>
      <c r="AZ47" t="str">
        <f>IF(OR($A47="",AX47="",MEMORIA_RESULTADOS!$I$260=""),"",ROUND(AX47*$C47*(parametros!$F$4-MEMORIA_RESULTADOS!$I$260),2))</f>
        <v/>
      </c>
      <c r="BA47" t="str">
        <f>IF($A47="","",ROUND(SUMIFS(itens_Consumidos!$K$2:$K$200,itens_Consumidos!$A$2:$A$200,$A47),2))</f>
        <v/>
      </c>
      <c r="BB47" t="str">
        <f t="shared" si="9"/>
        <v/>
      </c>
      <c r="BC47" t="str">
        <f>IF(OR($A47="",Q47="",MEMORIA_RESULTADOS!$I$261=""),"",ROUND(Q47*$C47*(MEMORIA_RESULTADOS!$I$261-1),2))</f>
        <v/>
      </c>
      <c r="BD47" t="str">
        <f>IF(OR($A47="",BB47="",MEMORIA_RESULTADOS!$I$261=""),"",ROUND(BB47*$C47*(parametros!$F$5-MEMORIA_RESULTADOS!$I$261),2))</f>
        <v/>
      </c>
      <c r="BE47" t="str">
        <f>IF($A47="","",ROUND(SUMIFS(itens_Consumidos!$M$2:$M$200,itens_Consumidos!$A$2:$A$200,$A47),2))</f>
        <v/>
      </c>
      <c r="BF47" t="str">
        <f t="shared" si="10"/>
        <v/>
      </c>
      <c r="BG47" t="str">
        <f>IF(OR($A47="",S47="",MEMORIA_RESULTADOS!$I$262=""),"",ROUND(S47*$C47*(MEMORIA_RESULTADOS!$I$262-1),2))</f>
        <v/>
      </c>
      <c r="BH47" t="str">
        <f>IF(OR($A47="",BF47="",MEMORIA_RESULTADOS!$I$262=""),"",ROUND(BF47*$C47*(parametros!$F$6-MEMORIA_RESULTADOS!$I$262),2))</f>
        <v/>
      </c>
      <c r="BI47" t="str">
        <f>IF($A47="","",IF(posicao_contratual!$AL47="","",posicao_contratual!$AL47))</f>
        <v/>
      </c>
    </row>
    <row r="48" spans="1:61" x14ac:dyDescent="0.35">
      <c r="A48" s="81"/>
      <c r="B48" s="82" t="str">
        <f t="shared" si="11"/>
        <v/>
      </c>
      <c r="C48" s="83"/>
      <c r="D48" s="79" t="str">
        <f>IF(AND(A48="",A47&lt;&gt;"",COUNTIF(A49:$A$200,"&lt;&gt;")=0),ROUND(SUMIF($A$2:A47,"&lt;&gt;",$D$2:D47),2),IF(OR(A48="",B48="",C48=""),"",ROUND(B48*C48,2)))</f>
        <v/>
      </c>
      <c r="E48" s="84"/>
      <c r="F48" s="79" t="str">
        <f>IF(AND(A48="",A47&lt;&gt;"",COUNTIF(A49:$A$200,"&lt;&gt;")=0),IF(COUNT(F$2:F47)=0,"",ROUND(SUMIF($A$2:A47,"&lt;&gt;",F$2:F47),2)),IF(OR(A48="",AND(ISNUMBER(posicao_contratual!$AL48),posicao_contratual!$AL48&gt;1),posicao_contratual!K48="",NOT(ISNUMBER(historico_VU!D48))),"",ROUND(posicao_contratual!K48*historico_VU!D48,2)))</f>
        <v/>
      </c>
      <c r="G48" s="84"/>
      <c r="H48" s="79" t="str">
        <f>IF(AND(A48="",A47&lt;&gt;"",COUNTIF(A49:$A$200,"&lt;&gt;")=0),IF(COUNT(H$2:H47)=0,"",ROUND(SUMIF($A$2:A47,"&lt;&gt;",H$2:H47),2)),IF(OR(A48="",AND(ISNUMBER(posicao_contratual!$AL48),posicao_contratual!$AL48&gt;2),posicao_contratual!O48="",NOT(ISNUMBER(historico_VU!E48))),"",ROUND(posicao_contratual!O48*historico_VU!E48,2)))</f>
        <v/>
      </c>
      <c r="I48" s="84"/>
      <c r="J48" s="79" t="str">
        <f>IF(AND(A48="",A47&lt;&gt;"",COUNTIF(A49:$A$200,"&lt;&gt;")=0),IF(COUNT(J$2:J47)=0,"",ROUND(SUMIF($A$2:A47,"&lt;&gt;",J$2:J47),2)),IF(OR(A48="",AND(ISNUMBER(posicao_contratual!$AL48),posicao_contratual!$AL48&gt;3),posicao_contratual!S48="",NOT(ISNUMBER(historico_VU!F48))),"",ROUND(posicao_contratual!S48*historico_VU!F48,2)))</f>
        <v/>
      </c>
      <c r="K48" s="84"/>
      <c r="L48" s="79" t="str">
        <f>IF(AND(A48="",A47&lt;&gt;"",COUNTIF(A49:$A$200,"&lt;&gt;")=0),IF(COUNT(L$2:L47)=0,"",ROUND(SUMIF($A$2:A47,"&lt;&gt;",L$2:L47),2)),IF(OR(A48="",AND(ISNUMBER(posicao_contratual!$AL48),posicao_contratual!$AL48&gt;4),posicao_contratual!W48="",NOT(ISNUMBER(historico_VU!G48))),"",ROUND(posicao_contratual!W48*historico_VU!G48,2)))</f>
        <v/>
      </c>
      <c r="M48" s="85" t="str">
        <f>IF(OR(posicao_contratual!J48="",posicao_contratual!N48=""),"",ROUND(MAX(posicao_contratual!J48+posicao_contratual!H48-posicao_contratual!N48,0),2))</f>
        <v/>
      </c>
      <c r="N48" s="79" t="str">
        <f>IF(AND(A48="",A47&lt;&gt;"",COUNTIF(A49:$A$200,"&lt;&gt;")=0),IF(COUNT(N$2:N47)=0,"",ROUND(SUMIF($A$2:A47,"&lt;&gt;",N$2:N47),2)),IF(OR(M48="",NOT(ISNUMBER(historico_VU!D48))),"",ROUND(M48*historico_VU!D48,2)))</f>
        <v/>
      </c>
      <c r="O48" s="85" t="str">
        <f>IF(OR(posicao_contratual!N48="",posicao_contratual!R48=""),"",ROUND(MAX(posicao_contratual!N48+posicao_contratual!L48-posicao_contratual!R48,0),2))</f>
        <v/>
      </c>
      <c r="P48" s="79" t="str">
        <f>IF(AND(A48="",A47&lt;&gt;"",COUNTIF(A49:$A$200,"&lt;&gt;")=0),IF(COUNT(P$2:P47)=0,"",ROUND(SUMIF($A$2:A47,"&lt;&gt;",P$2:P47),2)),IF(OR(O48="",NOT(ISNUMBER(historico_VU!E48))),"",ROUND(O48*historico_VU!E48,2)))</f>
        <v/>
      </c>
      <c r="Q48" s="85" t="str">
        <f>IF(OR(posicao_contratual!R48="",posicao_contratual!V48=""),"",ROUND(MAX(posicao_contratual!R48+posicao_contratual!P48-posicao_contratual!V48,0),2))</f>
        <v/>
      </c>
      <c r="R48" s="79" t="str">
        <f>IF(AND(A48="",A47&lt;&gt;"",COUNTIF(A49:$A$200,"&lt;&gt;")=0),IF(COUNT(R$2:R47)=0,"",ROUND(SUMIF($A$2:A47,"&lt;&gt;",R$2:R47),2)),IF(OR(Q48="",NOT(ISNUMBER(historico_VU!F48))),"",ROUND(Q48*historico_VU!F48,2)))</f>
        <v/>
      </c>
      <c r="S48" s="21"/>
      <c r="T48" s="22" t="str">
        <f>IF(AND(A48="",A47&lt;&gt;"",COUNTIF(A49:$A$200,"&lt;&gt;")=0),IF(COUNT(T$2:T47)=0,"",ROUND(SUMIF($A$2:A47,"&lt;&gt;",T$2:T47),2)),IF(OR(S48="",NOT(ISNUMBER(historico_VU!G48))),"",ROUND(S48*historico_VU!G48,2)))</f>
        <v/>
      </c>
      <c r="U48" s="86" t="str">
        <f>IF(AND(A48="",A47&lt;&gt;"",COUNTIF(A49:$A$200,"&lt;&gt;")=0),"TOTAL",IF(A48="","",posicao_contratual!X48))</f>
        <v/>
      </c>
      <c r="V48" s="86" t="str">
        <f>IF(A48="","",posicao_contratual!X48)</f>
        <v/>
      </c>
      <c r="W48" s="14"/>
      <c r="X48" s="14"/>
      <c r="Y48" s="14"/>
      <c r="Z48" s="13"/>
      <c r="AA48" s="13"/>
      <c r="AB48" s="85" t="str">
        <f>IF(OR(A48="",posicao_contratual!E48="",posicao_contratual!J48=""),"",ROUND(MAX(posicao_contratual!E48-posicao_contratual!J48,0),2))</f>
        <v/>
      </c>
      <c r="AC48" s="79" t="str">
        <f>IF(AND(A48="",A47&lt;&gt;"",COUNTIF(A49:$A$200,"&lt;&gt;")=0),IF(COUNT(AC$2:AC47)=0,"",ROUND(SUMIF($A$2:A47,"&lt;&gt;",AC$2:AC47),2)),IF(OR(AB48="",NOT(ISNUMBER(historico_VU!C48))),"",ROUND(AB48*historico_VU!C48,2)))</f>
        <v/>
      </c>
      <c r="AD48" s="145" t="str">
        <f>IF(A48="","",posicao_contratual!E48)</f>
        <v/>
      </c>
      <c r="AE48" s="145" t="str">
        <f>IF(A48="","",posicao_contratual!I48)</f>
        <v/>
      </c>
      <c r="AF48" s="145" t="str">
        <f>IF(A48="","",posicao_contratual!M48)</f>
        <v/>
      </c>
      <c r="AG48" s="145" t="str">
        <f>IF(A48="","",posicao_contratual!Q48)</f>
        <v/>
      </c>
      <c r="AH48" s="145" t="str">
        <f>IF(A48="","",posicao_contratual!U48)</f>
        <v/>
      </c>
      <c r="AI48" s="145" t="str">
        <f>IF(A48="","",posicao_contratual!G48)</f>
        <v/>
      </c>
      <c r="AJ48" s="145" t="str">
        <f>IF(A48="","",posicao_contratual!K48)</f>
        <v/>
      </c>
      <c r="AK48" s="145" t="str">
        <f>IF(A48="","",posicao_contratual!O48)</f>
        <v/>
      </c>
      <c r="AL48" s="145" t="str">
        <f>IF(A48="","",posicao_contratual!S48)</f>
        <v/>
      </c>
      <c r="AM48" s="145" t="str">
        <f>IF(A48="","",posicao_contratual!W48)</f>
        <v/>
      </c>
      <c r="AN48" s="146" t="str">
        <f>IF(A48="","",posicao_contratual!X48)</f>
        <v/>
      </c>
      <c r="AO48" t="str">
        <f>IF($A48="","",ROUND(SUMIFS(itens_Consumidos!$E$2:$E$200,itens_Consumidos!$A$2:$A$200,$A48),2))</f>
        <v/>
      </c>
      <c r="AP48" t="str">
        <f t="shared" si="6"/>
        <v/>
      </c>
      <c r="AQ48" t="str">
        <f>IF(OR($A48="",AB48="",MEMORIA_RESULTADOS!$I$258=""),"",ROUND(AB48*$C48*(MEMORIA_RESULTADOS!$I$258-1),2))</f>
        <v/>
      </c>
      <c r="AR48" t="str">
        <f>IF(OR($A48="",AP48="",MEMORIA_RESULTADOS!$I$258=""),"",ROUND(AP48*$C48*(parametros!$F$2-MEMORIA_RESULTADOS!$I$258),2))</f>
        <v/>
      </c>
      <c r="AS48" t="str">
        <f>IF($A48="","",ROUND(SUMIFS(itens_Consumidos!$G$2:$G$200,itens_Consumidos!$A$2:$A$200,$A48),2))</f>
        <v/>
      </c>
      <c r="AT48" t="str">
        <f t="shared" si="7"/>
        <v/>
      </c>
      <c r="AU48" t="str">
        <f>IF(OR($A48="",M48="",MEMORIA_RESULTADOS!$I$259=""),"",ROUND(M48*$C48*(MEMORIA_RESULTADOS!$I$259-1),2))</f>
        <v/>
      </c>
      <c r="AV48" t="str">
        <f>IF(OR($A48="",AT48="",MEMORIA_RESULTADOS!$I$259=""),"",ROUND(AT48*$C48*(parametros!$F$3-MEMORIA_RESULTADOS!$I$259),2))</f>
        <v/>
      </c>
      <c r="AW48" t="str">
        <f>IF($A48="","",ROUND(SUMIFS(itens_Consumidos!$I$2:$I$200,itens_Consumidos!$A$2:$A$200,$A48),2))</f>
        <v/>
      </c>
      <c r="AX48" t="str">
        <f t="shared" si="8"/>
        <v/>
      </c>
      <c r="AY48" t="str">
        <f>IF(OR($A48="",O48="",MEMORIA_RESULTADOS!$I$260=""),"",ROUND(O48*$C48*(MEMORIA_RESULTADOS!$I$260-1),2))</f>
        <v/>
      </c>
      <c r="AZ48" t="str">
        <f>IF(OR($A48="",AX48="",MEMORIA_RESULTADOS!$I$260=""),"",ROUND(AX48*$C48*(parametros!$F$4-MEMORIA_RESULTADOS!$I$260),2))</f>
        <v/>
      </c>
      <c r="BA48" t="str">
        <f>IF($A48="","",ROUND(SUMIFS(itens_Consumidos!$K$2:$K$200,itens_Consumidos!$A$2:$A$200,$A48),2))</f>
        <v/>
      </c>
      <c r="BB48" t="str">
        <f t="shared" si="9"/>
        <v/>
      </c>
      <c r="BC48" t="str">
        <f>IF(OR($A48="",Q48="",MEMORIA_RESULTADOS!$I$261=""),"",ROUND(Q48*$C48*(MEMORIA_RESULTADOS!$I$261-1),2))</f>
        <v/>
      </c>
      <c r="BD48" t="str">
        <f>IF(OR($A48="",BB48="",MEMORIA_RESULTADOS!$I$261=""),"",ROUND(BB48*$C48*(parametros!$F$5-MEMORIA_RESULTADOS!$I$261),2))</f>
        <v/>
      </c>
      <c r="BE48" t="str">
        <f>IF($A48="","",ROUND(SUMIFS(itens_Consumidos!$M$2:$M$200,itens_Consumidos!$A$2:$A$200,$A48),2))</f>
        <v/>
      </c>
      <c r="BF48" t="str">
        <f t="shared" si="10"/>
        <v/>
      </c>
      <c r="BG48" t="str">
        <f>IF(OR($A48="",S48="",MEMORIA_RESULTADOS!$I$262=""),"",ROUND(S48*$C48*(MEMORIA_RESULTADOS!$I$262-1),2))</f>
        <v/>
      </c>
      <c r="BH48" t="str">
        <f>IF(OR($A48="",BF48="",MEMORIA_RESULTADOS!$I$262=""),"",ROUND(BF48*$C48*(parametros!$F$6-MEMORIA_RESULTADOS!$I$262),2))</f>
        <v/>
      </c>
      <c r="BI48" t="str">
        <f>IF($A48="","",IF(posicao_contratual!$AL48="","",posicao_contratual!$AL48))</f>
        <v/>
      </c>
    </row>
    <row r="49" spans="1:61" x14ac:dyDescent="0.35">
      <c r="A49" s="81"/>
      <c r="B49" s="82" t="str">
        <f t="shared" si="11"/>
        <v/>
      </c>
      <c r="C49" s="83"/>
      <c r="D49" s="79" t="str">
        <f>IF(AND(A49="",A48&lt;&gt;"",COUNTIF(A50:$A$200,"&lt;&gt;")=0),ROUND(SUMIF($A$2:A48,"&lt;&gt;",$D$2:D48),2),IF(OR(A49="",B49="",C49=""),"",ROUND(B49*C49,2)))</f>
        <v/>
      </c>
      <c r="E49" s="84"/>
      <c r="F49" s="79" t="str">
        <f>IF(AND(A49="",A48&lt;&gt;"",COUNTIF(A50:$A$200,"&lt;&gt;")=0),IF(COUNT(F$2:F48)=0,"",ROUND(SUMIF($A$2:A48,"&lt;&gt;",F$2:F48),2)),IF(OR(A49="",AND(ISNUMBER(posicao_contratual!$AL49),posicao_contratual!$AL49&gt;1),posicao_contratual!K49="",NOT(ISNUMBER(historico_VU!D49))),"",ROUND(posicao_contratual!K49*historico_VU!D49,2)))</f>
        <v/>
      </c>
      <c r="G49" s="84"/>
      <c r="H49" s="79" t="str">
        <f>IF(AND(A49="",A48&lt;&gt;"",COUNTIF(A50:$A$200,"&lt;&gt;")=0),IF(COUNT(H$2:H48)=0,"",ROUND(SUMIF($A$2:A48,"&lt;&gt;",H$2:H48),2)),IF(OR(A49="",AND(ISNUMBER(posicao_contratual!$AL49),posicao_contratual!$AL49&gt;2),posicao_contratual!O49="",NOT(ISNUMBER(historico_VU!E49))),"",ROUND(posicao_contratual!O49*historico_VU!E49,2)))</f>
        <v/>
      </c>
      <c r="I49" s="84"/>
      <c r="J49" s="79" t="str">
        <f>IF(AND(A49="",A48&lt;&gt;"",COUNTIF(A50:$A$200,"&lt;&gt;")=0),IF(COUNT(J$2:J48)=0,"",ROUND(SUMIF($A$2:A48,"&lt;&gt;",J$2:J48),2)),IF(OR(A49="",AND(ISNUMBER(posicao_contratual!$AL49),posicao_contratual!$AL49&gt;3),posicao_contratual!S49="",NOT(ISNUMBER(historico_VU!F49))),"",ROUND(posicao_contratual!S49*historico_VU!F49,2)))</f>
        <v/>
      </c>
      <c r="K49" s="84"/>
      <c r="L49" s="79" t="str">
        <f>IF(AND(A49="",A48&lt;&gt;"",COUNTIF(A50:$A$200,"&lt;&gt;")=0),IF(COUNT(L$2:L48)=0,"",ROUND(SUMIF($A$2:A48,"&lt;&gt;",L$2:L48),2)),IF(OR(A49="",AND(ISNUMBER(posicao_contratual!$AL49),posicao_contratual!$AL49&gt;4),posicao_contratual!W49="",NOT(ISNUMBER(historico_VU!G49))),"",ROUND(posicao_contratual!W49*historico_VU!G49,2)))</f>
        <v/>
      </c>
      <c r="M49" s="85" t="str">
        <f>IF(OR(posicao_contratual!J49="",posicao_contratual!N49=""),"",ROUND(MAX(posicao_contratual!J49+posicao_contratual!H49-posicao_contratual!N49,0),2))</f>
        <v/>
      </c>
      <c r="N49" s="79" t="str">
        <f>IF(AND(A49="",A48&lt;&gt;"",COUNTIF(A50:$A$200,"&lt;&gt;")=0),IF(COUNT(N$2:N48)=0,"",ROUND(SUMIF($A$2:A48,"&lt;&gt;",N$2:N48),2)),IF(OR(M49="",NOT(ISNUMBER(historico_VU!D49))),"",ROUND(M49*historico_VU!D49,2)))</f>
        <v/>
      </c>
      <c r="O49" s="85" t="str">
        <f>IF(OR(posicao_contratual!N49="",posicao_contratual!R49=""),"",ROUND(MAX(posicao_contratual!N49+posicao_contratual!L49-posicao_contratual!R49,0),2))</f>
        <v/>
      </c>
      <c r="P49" s="79" t="str">
        <f>IF(AND(A49="",A48&lt;&gt;"",COUNTIF(A50:$A$200,"&lt;&gt;")=0),IF(COUNT(P$2:P48)=0,"",ROUND(SUMIF($A$2:A48,"&lt;&gt;",P$2:P48),2)),IF(OR(O49="",NOT(ISNUMBER(historico_VU!E49))),"",ROUND(O49*historico_VU!E49,2)))</f>
        <v/>
      </c>
      <c r="Q49" s="85" t="str">
        <f>IF(OR(posicao_contratual!R49="",posicao_contratual!V49=""),"",ROUND(MAX(posicao_contratual!R49+posicao_contratual!P49-posicao_contratual!V49,0),2))</f>
        <v/>
      </c>
      <c r="R49" s="79" t="str">
        <f>IF(AND(A49="",A48&lt;&gt;"",COUNTIF(A50:$A$200,"&lt;&gt;")=0),IF(COUNT(R$2:R48)=0,"",ROUND(SUMIF($A$2:A48,"&lt;&gt;",R$2:R48),2)),IF(OR(Q49="",NOT(ISNUMBER(historico_VU!F49))),"",ROUND(Q49*historico_VU!F49,2)))</f>
        <v/>
      </c>
      <c r="S49" s="21"/>
      <c r="T49" s="22" t="str">
        <f>IF(AND(A49="",A48&lt;&gt;"",COUNTIF(A50:$A$200,"&lt;&gt;")=0),IF(COUNT(T$2:T48)=0,"",ROUND(SUMIF($A$2:A48,"&lt;&gt;",T$2:T48),2)),IF(OR(S49="",NOT(ISNUMBER(historico_VU!G49))),"",ROUND(S49*historico_VU!G49,2)))</f>
        <v/>
      </c>
      <c r="U49" s="86" t="str">
        <f>IF(AND(A49="",A48&lt;&gt;"",COUNTIF(A50:$A$200,"&lt;&gt;")=0),"TOTAL",IF(A49="","",posicao_contratual!X49))</f>
        <v/>
      </c>
      <c r="V49" s="86" t="str">
        <f>IF(A49="","",posicao_contratual!X49)</f>
        <v/>
      </c>
      <c r="W49" s="14"/>
      <c r="X49" s="14"/>
      <c r="Y49" s="14"/>
      <c r="Z49" s="13"/>
      <c r="AA49" s="13"/>
      <c r="AB49" s="85" t="str">
        <f>IF(OR(A49="",posicao_contratual!E49="",posicao_contratual!J49=""),"",ROUND(MAX(posicao_contratual!E49-posicao_contratual!J49,0),2))</f>
        <v/>
      </c>
      <c r="AC49" s="79" t="str">
        <f>IF(AND(A49="",A48&lt;&gt;"",COUNTIF(A50:$A$200,"&lt;&gt;")=0),IF(COUNT(AC$2:AC48)=0,"",ROUND(SUMIF($A$2:A48,"&lt;&gt;",AC$2:AC48),2)),IF(OR(AB49="",NOT(ISNUMBER(historico_VU!C49))),"",ROUND(AB49*historico_VU!C49,2)))</f>
        <v/>
      </c>
      <c r="AD49" s="145" t="str">
        <f>IF(A49="","",posicao_contratual!E49)</f>
        <v/>
      </c>
      <c r="AE49" s="145" t="str">
        <f>IF(A49="","",posicao_contratual!I49)</f>
        <v/>
      </c>
      <c r="AF49" s="145" t="str">
        <f>IF(A49="","",posicao_contratual!M49)</f>
        <v/>
      </c>
      <c r="AG49" s="145" t="str">
        <f>IF(A49="","",posicao_contratual!Q49)</f>
        <v/>
      </c>
      <c r="AH49" s="145" t="str">
        <f>IF(A49="","",posicao_contratual!U49)</f>
        <v/>
      </c>
      <c r="AI49" s="145" t="str">
        <f>IF(A49="","",posicao_contratual!G49)</f>
        <v/>
      </c>
      <c r="AJ49" s="145" t="str">
        <f>IF(A49="","",posicao_contratual!K49)</f>
        <v/>
      </c>
      <c r="AK49" s="145" t="str">
        <f>IF(A49="","",posicao_contratual!O49)</f>
        <v/>
      </c>
      <c r="AL49" s="145" t="str">
        <f>IF(A49="","",posicao_contratual!S49)</f>
        <v/>
      </c>
      <c r="AM49" s="145" t="str">
        <f>IF(A49="","",posicao_contratual!W49)</f>
        <v/>
      </c>
      <c r="AN49" s="146" t="str">
        <f>IF(A49="","",posicao_contratual!X49)</f>
        <v/>
      </c>
      <c r="AO49" t="str">
        <f>IF($A49="","",ROUND(SUMIFS(itens_Consumidos!$E$2:$E$200,itens_Consumidos!$A$2:$A$200,$A49),2))</f>
        <v/>
      </c>
      <c r="AP49" t="str">
        <f t="shared" si="6"/>
        <v/>
      </c>
      <c r="AQ49" t="str">
        <f>IF(OR($A49="",AB49="",MEMORIA_RESULTADOS!$I$258=""),"",ROUND(AB49*$C49*(MEMORIA_RESULTADOS!$I$258-1),2))</f>
        <v/>
      </c>
      <c r="AR49" t="str">
        <f>IF(OR($A49="",AP49="",MEMORIA_RESULTADOS!$I$258=""),"",ROUND(AP49*$C49*(parametros!$F$2-MEMORIA_RESULTADOS!$I$258),2))</f>
        <v/>
      </c>
      <c r="AS49" t="str">
        <f>IF($A49="","",ROUND(SUMIFS(itens_Consumidos!$G$2:$G$200,itens_Consumidos!$A$2:$A$200,$A49),2))</f>
        <v/>
      </c>
      <c r="AT49" t="str">
        <f t="shared" si="7"/>
        <v/>
      </c>
      <c r="AU49" t="str">
        <f>IF(OR($A49="",M49="",MEMORIA_RESULTADOS!$I$259=""),"",ROUND(M49*$C49*(MEMORIA_RESULTADOS!$I$259-1),2))</f>
        <v/>
      </c>
      <c r="AV49" t="str">
        <f>IF(OR($A49="",AT49="",MEMORIA_RESULTADOS!$I$259=""),"",ROUND(AT49*$C49*(parametros!$F$3-MEMORIA_RESULTADOS!$I$259),2))</f>
        <v/>
      </c>
      <c r="AW49" t="str">
        <f>IF($A49="","",ROUND(SUMIFS(itens_Consumidos!$I$2:$I$200,itens_Consumidos!$A$2:$A$200,$A49),2))</f>
        <v/>
      </c>
      <c r="AX49" t="str">
        <f t="shared" si="8"/>
        <v/>
      </c>
      <c r="AY49" t="str">
        <f>IF(OR($A49="",O49="",MEMORIA_RESULTADOS!$I$260=""),"",ROUND(O49*$C49*(MEMORIA_RESULTADOS!$I$260-1),2))</f>
        <v/>
      </c>
      <c r="AZ49" t="str">
        <f>IF(OR($A49="",AX49="",MEMORIA_RESULTADOS!$I$260=""),"",ROUND(AX49*$C49*(parametros!$F$4-MEMORIA_RESULTADOS!$I$260),2))</f>
        <v/>
      </c>
      <c r="BA49" t="str">
        <f>IF($A49="","",ROUND(SUMIFS(itens_Consumidos!$K$2:$K$200,itens_Consumidos!$A$2:$A$200,$A49),2))</f>
        <v/>
      </c>
      <c r="BB49" t="str">
        <f t="shared" si="9"/>
        <v/>
      </c>
      <c r="BC49" t="str">
        <f>IF(OR($A49="",Q49="",MEMORIA_RESULTADOS!$I$261=""),"",ROUND(Q49*$C49*(MEMORIA_RESULTADOS!$I$261-1),2))</f>
        <v/>
      </c>
      <c r="BD49" t="str">
        <f>IF(OR($A49="",BB49="",MEMORIA_RESULTADOS!$I$261=""),"",ROUND(BB49*$C49*(parametros!$F$5-MEMORIA_RESULTADOS!$I$261),2))</f>
        <v/>
      </c>
      <c r="BE49" t="str">
        <f>IF($A49="","",ROUND(SUMIFS(itens_Consumidos!$M$2:$M$200,itens_Consumidos!$A$2:$A$200,$A49),2))</f>
        <v/>
      </c>
      <c r="BF49" t="str">
        <f t="shared" si="10"/>
        <v/>
      </c>
      <c r="BG49" t="str">
        <f>IF(OR($A49="",S49="",MEMORIA_RESULTADOS!$I$262=""),"",ROUND(S49*$C49*(MEMORIA_RESULTADOS!$I$262-1),2))</f>
        <v/>
      </c>
      <c r="BH49" t="str">
        <f>IF(OR($A49="",BF49="",MEMORIA_RESULTADOS!$I$262=""),"",ROUND(BF49*$C49*(parametros!$F$6-MEMORIA_RESULTADOS!$I$262),2))</f>
        <v/>
      </c>
      <c r="BI49" t="str">
        <f>IF($A49="","",IF(posicao_contratual!$AL49="","",posicao_contratual!$AL49))</f>
        <v/>
      </c>
    </row>
    <row r="50" spans="1:61" x14ac:dyDescent="0.35">
      <c r="A50" s="81"/>
      <c r="B50" s="82" t="str">
        <f t="shared" si="11"/>
        <v/>
      </c>
      <c r="C50" s="83"/>
      <c r="D50" s="79" t="str">
        <f>IF(AND(A50="",A49&lt;&gt;"",COUNTIF(A51:$A$200,"&lt;&gt;")=0),ROUND(SUMIF($A$2:A49,"&lt;&gt;",$D$2:D49),2),IF(OR(A50="",B50="",C50=""),"",ROUND(B50*C50,2)))</f>
        <v/>
      </c>
      <c r="E50" s="84"/>
      <c r="F50" s="79" t="str">
        <f>IF(AND(A50="",A49&lt;&gt;"",COUNTIF(A51:$A$200,"&lt;&gt;")=0),IF(COUNT(F$2:F49)=0,"",ROUND(SUMIF($A$2:A49,"&lt;&gt;",F$2:F49),2)),IF(OR(A50="",AND(ISNUMBER(posicao_contratual!$AL50),posicao_contratual!$AL50&gt;1),posicao_contratual!K50="",NOT(ISNUMBER(historico_VU!D50))),"",ROUND(posicao_contratual!K50*historico_VU!D50,2)))</f>
        <v/>
      </c>
      <c r="G50" s="84"/>
      <c r="H50" s="79" t="str">
        <f>IF(AND(A50="",A49&lt;&gt;"",COUNTIF(A51:$A$200,"&lt;&gt;")=0),IF(COUNT(H$2:H49)=0,"",ROUND(SUMIF($A$2:A49,"&lt;&gt;",H$2:H49),2)),IF(OR(A50="",AND(ISNUMBER(posicao_contratual!$AL50),posicao_contratual!$AL50&gt;2),posicao_contratual!O50="",NOT(ISNUMBER(historico_VU!E50))),"",ROUND(posicao_contratual!O50*historico_VU!E50,2)))</f>
        <v/>
      </c>
      <c r="I50" s="84"/>
      <c r="J50" s="79" t="str">
        <f>IF(AND(A50="",A49&lt;&gt;"",COUNTIF(A51:$A$200,"&lt;&gt;")=0),IF(COUNT(J$2:J49)=0,"",ROUND(SUMIF($A$2:A49,"&lt;&gt;",J$2:J49),2)),IF(OR(A50="",AND(ISNUMBER(posicao_contratual!$AL50),posicao_contratual!$AL50&gt;3),posicao_contratual!S50="",NOT(ISNUMBER(historico_VU!F50))),"",ROUND(posicao_contratual!S50*historico_VU!F50,2)))</f>
        <v/>
      </c>
      <c r="K50" s="84"/>
      <c r="L50" s="79" t="str">
        <f>IF(AND(A50="",A49&lt;&gt;"",COUNTIF(A51:$A$200,"&lt;&gt;")=0),IF(COUNT(L$2:L49)=0,"",ROUND(SUMIF($A$2:A49,"&lt;&gt;",L$2:L49),2)),IF(OR(A50="",AND(ISNUMBER(posicao_contratual!$AL50),posicao_contratual!$AL50&gt;4),posicao_contratual!W50="",NOT(ISNUMBER(historico_VU!G50))),"",ROUND(posicao_contratual!W50*historico_VU!G50,2)))</f>
        <v/>
      </c>
      <c r="M50" s="85" t="str">
        <f>IF(OR(posicao_contratual!J50="",posicao_contratual!N50=""),"",ROUND(MAX(posicao_contratual!J50+posicao_contratual!H50-posicao_contratual!N50,0),2))</f>
        <v/>
      </c>
      <c r="N50" s="79" t="str">
        <f>IF(AND(A50="",A49&lt;&gt;"",COUNTIF(A51:$A$200,"&lt;&gt;")=0),IF(COUNT(N$2:N49)=0,"",ROUND(SUMIF($A$2:A49,"&lt;&gt;",N$2:N49),2)),IF(OR(M50="",NOT(ISNUMBER(historico_VU!D50))),"",ROUND(M50*historico_VU!D50,2)))</f>
        <v/>
      </c>
      <c r="O50" s="85" t="str">
        <f>IF(OR(posicao_contratual!N50="",posicao_contratual!R50=""),"",ROUND(MAX(posicao_contratual!N50+posicao_contratual!L50-posicao_contratual!R50,0),2))</f>
        <v/>
      </c>
      <c r="P50" s="79" t="str">
        <f>IF(AND(A50="",A49&lt;&gt;"",COUNTIF(A51:$A$200,"&lt;&gt;")=0),IF(COUNT(P$2:P49)=0,"",ROUND(SUMIF($A$2:A49,"&lt;&gt;",P$2:P49),2)),IF(OR(O50="",NOT(ISNUMBER(historico_VU!E50))),"",ROUND(O50*historico_VU!E50,2)))</f>
        <v/>
      </c>
      <c r="Q50" s="85" t="str">
        <f>IF(OR(posicao_contratual!R50="",posicao_contratual!V50=""),"",ROUND(MAX(posicao_contratual!R50+posicao_contratual!P50-posicao_contratual!V50,0),2))</f>
        <v/>
      </c>
      <c r="R50" s="79" t="str">
        <f>IF(AND(A50="",A49&lt;&gt;"",COUNTIF(A51:$A$200,"&lt;&gt;")=0),IF(COUNT(R$2:R49)=0,"",ROUND(SUMIF($A$2:A49,"&lt;&gt;",R$2:R49),2)),IF(OR(Q50="",NOT(ISNUMBER(historico_VU!F50))),"",ROUND(Q50*historico_VU!F50,2)))</f>
        <v/>
      </c>
      <c r="S50" s="21"/>
      <c r="T50" s="22" t="str">
        <f>IF(AND(A50="",A49&lt;&gt;"",COUNTIF(A51:$A$200,"&lt;&gt;")=0),IF(COUNT(T$2:T49)=0,"",ROUND(SUMIF($A$2:A49,"&lt;&gt;",T$2:T49),2)),IF(OR(S50="",NOT(ISNUMBER(historico_VU!G50))),"",ROUND(S50*historico_VU!G50,2)))</f>
        <v/>
      </c>
      <c r="U50" s="86" t="str">
        <f>IF(AND(A50="",A49&lt;&gt;"",COUNTIF(A51:$A$200,"&lt;&gt;")=0),"TOTAL",IF(A50="","",posicao_contratual!X50))</f>
        <v/>
      </c>
      <c r="V50" s="86" t="str">
        <f>IF(A50="","",posicao_contratual!X50)</f>
        <v/>
      </c>
      <c r="W50" s="14"/>
      <c r="X50" s="14"/>
      <c r="Y50" s="14"/>
      <c r="Z50" s="13"/>
      <c r="AA50" s="13"/>
      <c r="AB50" s="85" t="str">
        <f>IF(OR(A50="",posicao_contratual!E50="",posicao_contratual!J50=""),"",ROUND(MAX(posicao_contratual!E50-posicao_contratual!J50,0),2))</f>
        <v/>
      </c>
      <c r="AC50" s="79" t="str">
        <f>IF(AND(A50="",A49&lt;&gt;"",COUNTIF(A51:$A$200,"&lt;&gt;")=0),IF(COUNT(AC$2:AC49)=0,"",ROUND(SUMIF($A$2:A49,"&lt;&gt;",AC$2:AC49),2)),IF(OR(AB50="",NOT(ISNUMBER(historico_VU!C50))),"",ROUND(AB50*historico_VU!C50,2)))</f>
        <v/>
      </c>
      <c r="AD50" s="145" t="str">
        <f>IF(A50="","",posicao_contratual!E50)</f>
        <v/>
      </c>
      <c r="AE50" s="145" t="str">
        <f>IF(A50="","",posicao_contratual!I50)</f>
        <v/>
      </c>
      <c r="AF50" s="145" t="str">
        <f>IF(A50="","",posicao_contratual!M50)</f>
        <v/>
      </c>
      <c r="AG50" s="145" t="str">
        <f>IF(A50="","",posicao_contratual!Q50)</f>
        <v/>
      </c>
      <c r="AH50" s="145" t="str">
        <f>IF(A50="","",posicao_contratual!U50)</f>
        <v/>
      </c>
      <c r="AI50" s="145" t="str">
        <f>IF(A50="","",posicao_contratual!G50)</f>
        <v/>
      </c>
      <c r="AJ50" s="145" t="str">
        <f>IF(A50="","",posicao_contratual!K50)</f>
        <v/>
      </c>
      <c r="AK50" s="145" t="str">
        <f>IF(A50="","",posicao_contratual!O50)</f>
        <v/>
      </c>
      <c r="AL50" s="145" t="str">
        <f>IF(A50="","",posicao_contratual!S50)</f>
        <v/>
      </c>
      <c r="AM50" s="145" t="str">
        <f>IF(A50="","",posicao_contratual!W50)</f>
        <v/>
      </c>
      <c r="AN50" s="146" t="str">
        <f>IF(A50="","",posicao_contratual!X50)</f>
        <v/>
      </c>
      <c r="AO50" t="str">
        <f>IF($A50="","",ROUND(SUMIFS(itens_Consumidos!$E$2:$E$200,itens_Consumidos!$A$2:$A$200,$A50),2))</f>
        <v/>
      </c>
      <c r="AP50" t="str">
        <f t="shared" si="6"/>
        <v/>
      </c>
      <c r="AQ50" t="str">
        <f>IF(OR($A50="",AB50="",MEMORIA_RESULTADOS!$I$258=""),"",ROUND(AB50*$C50*(MEMORIA_RESULTADOS!$I$258-1),2))</f>
        <v/>
      </c>
      <c r="AR50" t="str">
        <f>IF(OR($A50="",AP50="",MEMORIA_RESULTADOS!$I$258=""),"",ROUND(AP50*$C50*(parametros!$F$2-MEMORIA_RESULTADOS!$I$258),2))</f>
        <v/>
      </c>
      <c r="AS50" t="str">
        <f>IF($A50="","",ROUND(SUMIFS(itens_Consumidos!$G$2:$G$200,itens_Consumidos!$A$2:$A$200,$A50),2))</f>
        <v/>
      </c>
      <c r="AT50" t="str">
        <f t="shared" si="7"/>
        <v/>
      </c>
      <c r="AU50" t="str">
        <f>IF(OR($A50="",M50="",MEMORIA_RESULTADOS!$I$259=""),"",ROUND(M50*$C50*(MEMORIA_RESULTADOS!$I$259-1),2))</f>
        <v/>
      </c>
      <c r="AV50" t="str">
        <f>IF(OR($A50="",AT50="",MEMORIA_RESULTADOS!$I$259=""),"",ROUND(AT50*$C50*(parametros!$F$3-MEMORIA_RESULTADOS!$I$259),2))</f>
        <v/>
      </c>
      <c r="AW50" t="str">
        <f>IF($A50="","",ROUND(SUMIFS(itens_Consumidos!$I$2:$I$200,itens_Consumidos!$A$2:$A$200,$A50),2))</f>
        <v/>
      </c>
      <c r="AX50" t="str">
        <f t="shared" si="8"/>
        <v/>
      </c>
      <c r="AY50" t="str">
        <f>IF(OR($A50="",O50="",MEMORIA_RESULTADOS!$I$260=""),"",ROUND(O50*$C50*(MEMORIA_RESULTADOS!$I$260-1),2))</f>
        <v/>
      </c>
      <c r="AZ50" t="str">
        <f>IF(OR($A50="",AX50="",MEMORIA_RESULTADOS!$I$260=""),"",ROUND(AX50*$C50*(parametros!$F$4-MEMORIA_RESULTADOS!$I$260),2))</f>
        <v/>
      </c>
      <c r="BA50" t="str">
        <f>IF($A50="","",ROUND(SUMIFS(itens_Consumidos!$K$2:$K$200,itens_Consumidos!$A$2:$A$200,$A50),2))</f>
        <v/>
      </c>
      <c r="BB50" t="str">
        <f t="shared" si="9"/>
        <v/>
      </c>
      <c r="BC50" t="str">
        <f>IF(OR($A50="",Q50="",MEMORIA_RESULTADOS!$I$261=""),"",ROUND(Q50*$C50*(MEMORIA_RESULTADOS!$I$261-1),2))</f>
        <v/>
      </c>
      <c r="BD50" t="str">
        <f>IF(OR($A50="",BB50="",MEMORIA_RESULTADOS!$I$261=""),"",ROUND(BB50*$C50*(parametros!$F$5-MEMORIA_RESULTADOS!$I$261),2))</f>
        <v/>
      </c>
      <c r="BE50" t="str">
        <f>IF($A50="","",ROUND(SUMIFS(itens_Consumidos!$M$2:$M$200,itens_Consumidos!$A$2:$A$200,$A50),2))</f>
        <v/>
      </c>
      <c r="BF50" t="str">
        <f t="shared" si="10"/>
        <v/>
      </c>
      <c r="BG50" t="str">
        <f>IF(OR($A50="",S50="",MEMORIA_RESULTADOS!$I$262=""),"",ROUND(S50*$C50*(MEMORIA_RESULTADOS!$I$262-1),2))</f>
        <v/>
      </c>
      <c r="BH50" t="str">
        <f>IF(OR($A50="",BF50="",MEMORIA_RESULTADOS!$I$262=""),"",ROUND(BF50*$C50*(parametros!$F$6-MEMORIA_RESULTADOS!$I$262),2))</f>
        <v/>
      </c>
      <c r="BI50" t="str">
        <f>IF($A50="","",IF(posicao_contratual!$AL50="","",posicao_contratual!$AL50))</f>
        <v/>
      </c>
    </row>
    <row r="51" spans="1:61" x14ac:dyDescent="0.35">
      <c r="A51" s="81"/>
      <c r="B51" s="82" t="str">
        <f t="shared" si="11"/>
        <v/>
      </c>
      <c r="C51" s="83"/>
      <c r="D51" s="79" t="str">
        <f>IF(AND(A51="",A50&lt;&gt;"",COUNTIF(A52:$A$200,"&lt;&gt;")=0),ROUND(SUMIF($A$2:A50,"&lt;&gt;",$D$2:D50),2),IF(OR(A51="",B51="",C51=""),"",ROUND(B51*C51,2)))</f>
        <v/>
      </c>
      <c r="E51" s="84"/>
      <c r="F51" s="79" t="str">
        <f>IF(AND(A51="",A50&lt;&gt;"",COUNTIF(A52:$A$200,"&lt;&gt;")=0),IF(COUNT(F$2:F50)=0,"",ROUND(SUMIF($A$2:A50,"&lt;&gt;",F$2:F50),2)),IF(OR(A51="",AND(ISNUMBER(posicao_contratual!$AL51),posicao_contratual!$AL51&gt;1),posicao_contratual!K51="",NOT(ISNUMBER(historico_VU!D51))),"",ROUND(posicao_contratual!K51*historico_VU!D51,2)))</f>
        <v/>
      </c>
      <c r="G51" s="84"/>
      <c r="H51" s="79" t="str">
        <f>IF(AND(A51="",A50&lt;&gt;"",COUNTIF(A52:$A$200,"&lt;&gt;")=0),IF(COUNT(H$2:H50)=0,"",ROUND(SUMIF($A$2:A50,"&lt;&gt;",H$2:H50),2)),IF(OR(A51="",AND(ISNUMBER(posicao_contratual!$AL51),posicao_contratual!$AL51&gt;2),posicao_contratual!O51="",NOT(ISNUMBER(historico_VU!E51))),"",ROUND(posicao_contratual!O51*historico_VU!E51,2)))</f>
        <v/>
      </c>
      <c r="I51" s="84"/>
      <c r="J51" s="79" t="str">
        <f>IF(AND(A51="",A50&lt;&gt;"",COUNTIF(A52:$A$200,"&lt;&gt;")=0),IF(COUNT(J$2:J50)=0,"",ROUND(SUMIF($A$2:A50,"&lt;&gt;",J$2:J50),2)),IF(OR(A51="",AND(ISNUMBER(posicao_contratual!$AL51),posicao_contratual!$AL51&gt;3),posicao_contratual!S51="",NOT(ISNUMBER(historico_VU!F51))),"",ROUND(posicao_contratual!S51*historico_VU!F51,2)))</f>
        <v/>
      </c>
      <c r="K51" s="84"/>
      <c r="L51" s="79" t="str">
        <f>IF(AND(A51="",A50&lt;&gt;"",COUNTIF(A52:$A$200,"&lt;&gt;")=0),IF(COUNT(L$2:L50)=0,"",ROUND(SUMIF($A$2:A50,"&lt;&gt;",L$2:L50),2)),IF(OR(A51="",AND(ISNUMBER(posicao_contratual!$AL51),posicao_contratual!$AL51&gt;4),posicao_contratual!W51="",NOT(ISNUMBER(historico_VU!G51))),"",ROUND(posicao_contratual!W51*historico_VU!G51,2)))</f>
        <v/>
      </c>
      <c r="M51" s="85" t="str">
        <f>IF(OR(posicao_contratual!J51="",posicao_contratual!N51=""),"",ROUND(MAX(posicao_contratual!J51+posicao_contratual!H51-posicao_contratual!N51,0),2))</f>
        <v/>
      </c>
      <c r="N51" s="79" t="str">
        <f>IF(AND(A51="",A50&lt;&gt;"",COUNTIF(A52:$A$200,"&lt;&gt;")=0),IF(COUNT(N$2:N50)=0,"",ROUND(SUMIF($A$2:A50,"&lt;&gt;",N$2:N50),2)),IF(OR(M51="",NOT(ISNUMBER(historico_VU!D51))),"",ROUND(M51*historico_VU!D51,2)))</f>
        <v/>
      </c>
      <c r="O51" s="85" t="str">
        <f>IF(OR(posicao_contratual!N51="",posicao_contratual!R51=""),"",ROUND(MAX(posicao_contratual!N51+posicao_contratual!L51-posicao_contratual!R51,0),2))</f>
        <v/>
      </c>
      <c r="P51" s="79" t="str">
        <f>IF(AND(A51="",A50&lt;&gt;"",COUNTIF(A52:$A$200,"&lt;&gt;")=0),IF(COUNT(P$2:P50)=0,"",ROUND(SUMIF($A$2:A50,"&lt;&gt;",P$2:P50),2)),IF(OR(O51="",NOT(ISNUMBER(historico_VU!E51))),"",ROUND(O51*historico_VU!E51,2)))</f>
        <v/>
      </c>
      <c r="Q51" s="85" t="str">
        <f>IF(OR(posicao_contratual!R51="",posicao_contratual!V51=""),"",ROUND(MAX(posicao_contratual!R51+posicao_contratual!P51-posicao_contratual!V51,0),2))</f>
        <v/>
      </c>
      <c r="R51" s="79" t="str">
        <f>IF(AND(A51="",A50&lt;&gt;"",COUNTIF(A52:$A$200,"&lt;&gt;")=0),IF(COUNT(R$2:R50)=0,"",ROUND(SUMIF($A$2:A50,"&lt;&gt;",R$2:R50),2)),IF(OR(Q51="",NOT(ISNUMBER(historico_VU!F51))),"",ROUND(Q51*historico_VU!F51,2)))</f>
        <v/>
      </c>
      <c r="S51" s="21"/>
      <c r="T51" s="22" t="str">
        <f>IF(AND(A51="",A50&lt;&gt;"",COUNTIF(A52:$A$200,"&lt;&gt;")=0),IF(COUNT(T$2:T50)=0,"",ROUND(SUMIF($A$2:A50,"&lt;&gt;",T$2:T50),2)),IF(OR(S51="",NOT(ISNUMBER(historico_VU!G51))),"",ROUND(S51*historico_VU!G51,2)))</f>
        <v/>
      </c>
      <c r="U51" s="86" t="str">
        <f>IF(AND(A51="",A50&lt;&gt;"",COUNTIF(A52:$A$200,"&lt;&gt;")=0),"TOTAL",IF(A51="","",posicao_contratual!X51))</f>
        <v/>
      </c>
      <c r="V51" s="86" t="str">
        <f>IF(A51="","",posicao_contratual!X51)</f>
        <v/>
      </c>
      <c r="W51" s="14"/>
      <c r="X51" s="14"/>
      <c r="Y51" s="14"/>
      <c r="Z51" s="13"/>
      <c r="AA51" s="13"/>
      <c r="AB51" s="85" t="str">
        <f>IF(OR(A51="",posicao_contratual!E51="",posicao_contratual!J51=""),"",ROUND(MAX(posicao_contratual!E51-posicao_contratual!J51,0),2))</f>
        <v/>
      </c>
      <c r="AC51" s="79" t="str">
        <f>IF(AND(A51="",A50&lt;&gt;"",COUNTIF(A52:$A$200,"&lt;&gt;")=0),IF(COUNT(AC$2:AC50)=0,"",ROUND(SUMIF($A$2:A50,"&lt;&gt;",AC$2:AC50),2)),IF(OR(AB51="",NOT(ISNUMBER(historico_VU!C51))),"",ROUND(AB51*historico_VU!C51,2)))</f>
        <v/>
      </c>
      <c r="AD51" s="145" t="str">
        <f>IF(A51="","",posicao_contratual!E51)</f>
        <v/>
      </c>
      <c r="AE51" s="145" t="str">
        <f>IF(A51="","",posicao_contratual!I51)</f>
        <v/>
      </c>
      <c r="AF51" s="145" t="str">
        <f>IF(A51="","",posicao_contratual!M51)</f>
        <v/>
      </c>
      <c r="AG51" s="145" t="str">
        <f>IF(A51="","",posicao_contratual!Q51)</f>
        <v/>
      </c>
      <c r="AH51" s="145" t="str">
        <f>IF(A51="","",posicao_contratual!U51)</f>
        <v/>
      </c>
      <c r="AI51" s="145" t="str">
        <f>IF(A51="","",posicao_contratual!G51)</f>
        <v/>
      </c>
      <c r="AJ51" s="145" t="str">
        <f>IF(A51="","",posicao_contratual!K51)</f>
        <v/>
      </c>
      <c r="AK51" s="145" t="str">
        <f>IF(A51="","",posicao_contratual!O51)</f>
        <v/>
      </c>
      <c r="AL51" s="145" t="str">
        <f>IF(A51="","",posicao_contratual!S51)</f>
        <v/>
      </c>
      <c r="AM51" s="145" t="str">
        <f>IF(A51="","",posicao_contratual!W51)</f>
        <v/>
      </c>
      <c r="AN51" s="146" t="str">
        <f>IF(A51="","",posicao_contratual!X51)</f>
        <v/>
      </c>
      <c r="AO51" t="str">
        <f>IF($A51="","",ROUND(SUMIFS(itens_Consumidos!$E$2:$E$200,itens_Consumidos!$A$2:$A$200,$A51),2))</f>
        <v/>
      </c>
      <c r="AP51" t="str">
        <f t="shared" si="6"/>
        <v/>
      </c>
      <c r="AQ51" t="str">
        <f>IF(OR($A51="",AB51="",MEMORIA_RESULTADOS!$I$258=""),"",ROUND(AB51*$C51*(MEMORIA_RESULTADOS!$I$258-1),2))</f>
        <v/>
      </c>
      <c r="AR51" t="str">
        <f>IF(OR($A51="",AP51="",MEMORIA_RESULTADOS!$I$258=""),"",ROUND(AP51*$C51*(parametros!$F$2-MEMORIA_RESULTADOS!$I$258),2))</f>
        <v/>
      </c>
      <c r="AS51" t="str">
        <f>IF($A51="","",ROUND(SUMIFS(itens_Consumidos!$G$2:$G$200,itens_Consumidos!$A$2:$A$200,$A51),2))</f>
        <v/>
      </c>
      <c r="AT51" t="str">
        <f t="shared" si="7"/>
        <v/>
      </c>
      <c r="AU51" t="str">
        <f>IF(OR($A51="",M51="",MEMORIA_RESULTADOS!$I$259=""),"",ROUND(M51*$C51*(MEMORIA_RESULTADOS!$I$259-1),2))</f>
        <v/>
      </c>
      <c r="AV51" t="str">
        <f>IF(OR($A51="",AT51="",MEMORIA_RESULTADOS!$I$259=""),"",ROUND(AT51*$C51*(parametros!$F$3-MEMORIA_RESULTADOS!$I$259),2))</f>
        <v/>
      </c>
      <c r="AW51" t="str">
        <f>IF($A51="","",ROUND(SUMIFS(itens_Consumidos!$I$2:$I$200,itens_Consumidos!$A$2:$A$200,$A51),2))</f>
        <v/>
      </c>
      <c r="AX51" t="str">
        <f t="shared" si="8"/>
        <v/>
      </c>
      <c r="AY51" t="str">
        <f>IF(OR($A51="",O51="",MEMORIA_RESULTADOS!$I$260=""),"",ROUND(O51*$C51*(MEMORIA_RESULTADOS!$I$260-1),2))</f>
        <v/>
      </c>
      <c r="AZ51" t="str">
        <f>IF(OR($A51="",AX51="",MEMORIA_RESULTADOS!$I$260=""),"",ROUND(AX51*$C51*(parametros!$F$4-MEMORIA_RESULTADOS!$I$260),2))</f>
        <v/>
      </c>
      <c r="BA51" t="str">
        <f>IF($A51="","",ROUND(SUMIFS(itens_Consumidos!$K$2:$K$200,itens_Consumidos!$A$2:$A$200,$A51),2))</f>
        <v/>
      </c>
      <c r="BB51" t="str">
        <f t="shared" si="9"/>
        <v/>
      </c>
      <c r="BC51" t="str">
        <f>IF(OR($A51="",Q51="",MEMORIA_RESULTADOS!$I$261=""),"",ROUND(Q51*$C51*(MEMORIA_RESULTADOS!$I$261-1),2))</f>
        <v/>
      </c>
      <c r="BD51" t="str">
        <f>IF(OR($A51="",BB51="",MEMORIA_RESULTADOS!$I$261=""),"",ROUND(BB51*$C51*(parametros!$F$5-MEMORIA_RESULTADOS!$I$261),2))</f>
        <v/>
      </c>
      <c r="BE51" t="str">
        <f>IF($A51="","",ROUND(SUMIFS(itens_Consumidos!$M$2:$M$200,itens_Consumidos!$A$2:$A$200,$A51),2))</f>
        <v/>
      </c>
      <c r="BF51" t="str">
        <f t="shared" si="10"/>
        <v/>
      </c>
      <c r="BG51" t="str">
        <f>IF(OR($A51="",S51="",MEMORIA_RESULTADOS!$I$262=""),"",ROUND(S51*$C51*(MEMORIA_RESULTADOS!$I$262-1),2))</f>
        <v/>
      </c>
      <c r="BH51" t="str">
        <f>IF(OR($A51="",BF51="",MEMORIA_RESULTADOS!$I$262=""),"",ROUND(BF51*$C51*(parametros!$F$6-MEMORIA_RESULTADOS!$I$262),2))</f>
        <v/>
      </c>
      <c r="BI51" t="str">
        <f>IF($A51="","",IF(posicao_contratual!$AL51="","",posicao_contratual!$AL51))</f>
        <v/>
      </c>
    </row>
    <row r="52" spans="1:61" x14ac:dyDescent="0.35">
      <c r="A52" s="81"/>
      <c r="B52" s="82" t="str">
        <f t="shared" si="11"/>
        <v/>
      </c>
      <c r="C52" s="83"/>
      <c r="D52" s="79" t="str">
        <f>IF(AND(A52="",A51&lt;&gt;"",COUNTIF(A53:$A$200,"&lt;&gt;")=0),ROUND(SUMIF($A$2:A51,"&lt;&gt;",$D$2:D51),2),IF(OR(A52="",B52="",C52=""),"",ROUND(B52*C52,2)))</f>
        <v/>
      </c>
      <c r="E52" s="84"/>
      <c r="F52" s="79" t="str">
        <f>IF(AND(A52="",A51&lt;&gt;"",COUNTIF(A53:$A$200,"&lt;&gt;")=0),IF(COUNT(F$2:F51)=0,"",ROUND(SUMIF($A$2:A51,"&lt;&gt;",F$2:F51),2)),IF(OR(A52="",AND(ISNUMBER(posicao_contratual!$AL52),posicao_contratual!$AL52&gt;1),posicao_contratual!K52="",NOT(ISNUMBER(historico_VU!D52))),"",ROUND(posicao_contratual!K52*historico_VU!D52,2)))</f>
        <v/>
      </c>
      <c r="G52" s="84"/>
      <c r="H52" s="79" t="str">
        <f>IF(AND(A52="",A51&lt;&gt;"",COUNTIF(A53:$A$200,"&lt;&gt;")=0),IF(COUNT(H$2:H51)=0,"",ROUND(SUMIF($A$2:A51,"&lt;&gt;",H$2:H51),2)),IF(OR(A52="",AND(ISNUMBER(posicao_contratual!$AL52),posicao_contratual!$AL52&gt;2),posicao_contratual!O52="",NOT(ISNUMBER(historico_VU!E52))),"",ROUND(posicao_contratual!O52*historico_VU!E52,2)))</f>
        <v/>
      </c>
      <c r="I52" s="84"/>
      <c r="J52" s="79" t="str">
        <f>IF(AND(A52="",A51&lt;&gt;"",COUNTIF(A53:$A$200,"&lt;&gt;")=0),IF(COUNT(J$2:J51)=0,"",ROUND(SUMIF($A$2:A51,"&lt;&gt;",J$2:J51),2)),IF(OR(A52="",AND(ISNUMBER(posicao_contratual!$AL52),posicao_contratual!$AL52&gt;3),posicao_contratual!S52="",NOT(ISNUMBER(historico_VU!F52))),"",ROUND(posicao_contratual!S52*historico_VU!F52,2)))</f>
        <v/>
      </c>
      <c r="K52" s="84"/>
      <c r="L52" s="79" t="str">
        <f>IF(AND(A52="",A51&lt;&gt;"",COUNTIF(A53:$A$200,"&lt;&gt;")=0),IF(COUNT(L$2:L51)=0,"",ROUND(SUMIF($A$2:A51,"&lt;&gt;",L$2:L51),2)),IF(OR(A52="",AND(ISNUMBER(posicao_contratual!$AL52),posicao_contratual!$AL52&gt;4),posicao_contratual!W52="",NOT(ISNUMBER(historico_VU!G52))),"",ROUND(posicao_contratual!W52*historico_VU!G52,2)))</f>
        <v/>
      </c>
      <c r="M52" s="85" t="str">
        <f>IF(OR(posicao_contratual!J52="",posicao_contratual!N52=""),"",ROUND(MAX(posicao_contratual!J52+posicao_contratual!H52-posicao_contratual!N52,0),2))</f>
        <v/>
      </c>
      <c r="N52" s="79" t="str">
        <f>IF(AND(A52="",A51&lt;&gt;"",COUNTIF(A53:$A$200,"&lt;&gt;")=0),IF(COUNT(N$2:N51)=0,"",ROUND(SUMIF($A$2:A51,"&lt;&gt;",N$2:N51),2)),IF(OR(M52="",NOT(ISNUMBER(historico_VU!D52))),"",ROUND(M52*historico_VU!D52,2)))</f>
        <v/>
      </c>
      <c r="O52" s="85" t="str">
        <f>IF(OR(posicao_contratual!N52="",posicao_contratual!R52=""),"",ROUND(MAX(posicao_contratual!N52+posicao_contratual!L52-posicao_contratual!R52,0),2))</f>
        <v/>
      </c>
      <c r="P52" s="79" t="str">
        <f>IF(AND(A52="",A51&lt;&gt;"",COUNTIF(A53:$A$200,"&lt;&gt;")=0),IF(COUNT(P$2:P51)=0,"",ROUND(SUMIF($A$2:A51,"&lt;&gt;",P$2:P51),2)),IF(OR(O52="",NOT(ISNUMBER(historico_VU!E52))),"",ROUND(O52*historico_VU!E52,2)))</f>
        <v/>
      </c>
      <c r="Q52" s="85" t="str">
        <f>IF(OR(posicao_contratual!R52="",posicao_contratual!V52=""),"",ROUND(MAX(posicao_contratual!R52+posicao_contratual!P52-posicao_contratual!V52,0),2))</f>
        <v/>
      </c>
      <c r="R52" s="79" t="str">
        <f>IF(AND(A52="",A51&lt;&gt;"",COUNTIF(A53:$A$200,"&lt;&gt;")=0),IF(COUNT(R$2:R51)=0,"",ROUND(SUMIF($A$2:A51,"&lt;&gt;",R$2:R51),2)),IF(OR(Q52="",NOT(ISNUMBER(historico_VU!F52))),"",ROUND(Q52*historico_VU!F52,2)))</f>
        <v/>
      </c>
      <c r="S52" s="21"/>
      <c r="T52" s="22" t="str">
        <f>IF(AND(A52="",A51&lt;&gt;"",COUNTIF(A53:$A$200,"&lt;&gt;")=0),IF(COUNT(T$2:T51)=0,"",ROUND(SUMIF($A$2:A51,"&lt;&gt;",T$2:T51),2)),IF(OR(S52="",NOT(ISNUMBER(historico_VU!G52))),"",ROUND(S52*historico_VU!G52,2)))</f>
        <v/>
      </c>
      <c r="U52" s="86" t="str">
        <f>IF(AND(A52="",A51&lt;&gt;"",COUNTIF(A53:$A$200,"&lt;&gt;")=0),"TOTAL",IF(A52="","",posicao_contratual!X52))</f>
        <v/>
      </c>
      <c r="V52" s="86" t="str">
        <f>IF(A52="","",posicao_contratual!X52)</f>
        <v/>
      </c>
      <c r="W52" s="14"/>
      <c r="X52" s="14"/>
      <c r="Y52" s="14"/>
      <c r="Z52" s="13"/>
      <c r="AA52" s="13"/>
      <c r="AB52" s="85" t="str">
        <f>IF(OR(A52="",posicao_contratual!E52="",posicao_contratual!J52=""),"",ROUND(MAX(posicao_contratual!E52-posicao_contratual!J52,0),2))</f>
        <v/>
      </c>
      <c r="AC52" s="79" t="str">
        <f>IF(AND(A52="",A51&lt;&gt;"",COUNTIF(A53:$A$200,"&lt;&gt;")=0),IF(COUNT(AC$2:AC51)=0,"",ROUND(SUMIF($A$2:A51,"&lt;&gt;",AC$2:AC51),2)),IF(OR(AB52="",NOT(ISNUMBER(historico_VU!C52))),"",ROUND(AB52*historico_VU!C52,2)))</f>
        <v/>
      </c>
      <c r="AD52" s="145" t="str">
        <f>IF(A52="","",posicao_contratual!E52)</f>
        <v/>
      </c>
      <c r="AE52" s="145" t="str">
        <f>IF(A52="","",posicao_contratual!I52)</f>
        <v/>
      </c>
      <c r="AF52" s="145" t="str">
        <f>IF(A52="","",posicao_contratual!M52)</f>
        <v/>
      </c>
      <c r="AG52" s="145" t="str">
        <f>IF(A52="","",posicao_contratual!Q52)</f>
        <v/>
      </c>
      <c r="AH52" s="145" t="str">
        <f>IF(A52="","",posicao_contratual!U52)</f>
        <v/>
      </c>
      <c r="AI52" s="145" t="str">
        <f>IF(A52="","",posicao_contratual!G52)</f>
        <v/>
      </c>
      <c r="AJ52" s="145" t="str">
        <f>IF(A52="","",posicao_contratual!K52)</f>
        <v/>
      </c>
      <c r="AK52" s="145" t="str">
        <f>IF(A52="","",posicao_contratual!O52)</f>
        <v/>
      </c>
      <c r="AL52" s="145" t="str">
        <f>IF(A52="","",posicao_contratual!S52)</f>
        <v/>
      </c>
      <c r="AM52" s="145" t="str">
        <f>IF(A52="","",posicao_contratual!W52)</f>
        <v/>
      </c>
      <c r="AN52" s="146" t="str">
        <f>IF(A52="","",posicao_contratual!X52)</f>
        <v/>
      </c>
      <c r="AO52" t="str">
        <f>IF($A52="","",ROUND(SUMIFS(itens_Consumidos!$E$2:$E$200,itens_Consumidos!$A$2:$A$200,$A52),2))</f>
        <v/>
      </c>
      <c r="AP52" t="str">
        <f t="shared" si="6"/>
        <v/>
      </c>
      <c r="AQ52" t="str">
        <f>IF(OR($A52="",AB52="",MEMORIA_RESULTADOS!$I$258=""),"",ROUND(AB52*$C52*(MEMORIA_RESULTADOS!$I$258-1),2))</f>
        <v/>
      </c>
      <c r="AR52" t="str">
        <f>IF(OR($A52="",AP52="",MEMORIA_RESULTADOS!$I$258=""),"",ROUND(AP52*$C52*(parametros!$F$2-MEMORIA_RESULTADOS!$I$258),2))</f>
        <v/>
      </c>
      <c r="AS52" t="str">
        <f>IF($A52="","",ROUND(SUMIFS(itens_Consumidos!$G$2:$G$200,itens_Consumidos!$A$2:$A$200,$A52),2))</f>
        <v/>
      </c>
      <c r="AT52" t="str">
        <f t="shared" si="7"/>
        <v/>
      </c>
      <c r="AU52" t="str">
        <f>IF(OR($A52="",M52="",MEMORIA_RESULTADOS!$I$259=""),"",ROUND(M52*$C52*(MEMORIA_RESULTADOS!$I$259-1),2))</f>
        <v/>
      </c>
      <c r="AV52" t="str">
        <f>IF(OR($A52="",AT52="",MEMORIA_RESULTADOS!$I$259=""),"",ROUND(AT52*$C52*(parametros!$F$3-MEMORIA_RESULTADOS!$I$259),2))</f>
        <v/>
      </c>
      <c r="AW52" t="str">
        <f>IF($A52="","",ROUND(SUMIFS(itens_Consumidos!$I$2:$I$200,itens_Consumidos!$A$2:$A$200,$A52),2))</f>
        <v/>
      </c>
      <c r="AX52" t="str">
        <f t="shared" si="8"/>
        <v/>
      </c>
      <c r="AY52" t="str">
        <f>IF(OR($A52="",O52="",MEMORIA_RESULTADOS!$I$260=""),"",ROUND(O52*$C52*(MEMORIA_RESULTADOS!$I$260-1),2))</f>
        <v/>
      </c>
      <c r="AZ52" t="str">
        <f>IF(OR($A52="",AX52="",MEMORIA_RESULTADOS!$I$260=""),"",ROUND(AX52*$C52*(parametros!$F$4-MEMORIA_RESULTADOS!$I$260),2))</f>
        <v/>
      </c>
      <c r="BA52" t="str">
        <f>IF($A52="","",ROUND(SUMIFS(itens_Consumidos!$K$2:$K$200,itens_Consumidos!$A$2:$A$200,$A52),2))</f>
        <v/>
      </c>
      <c r="BB52" t="str">
        <f t="shared" si="9"/>
        <v/>
      </c>
      <c r="BC52" t="str">
        <f>IF(OR($A52="",Q52="",MEMORIA_RESULTADOS!$I$261=""),"",ROUND(Q52*$C52*(MEMORIA_RESULTADOS!$I$261-1),2))</f>
        <v/>
      </c>
      <c r="BD52" t="str">
        <f>IF(OR($A52="",BB52="",MEMORIA_RESULTADOS!$I$261=""),"",ROUND(BB52*$C52*(parametros!$F$5-MEMORIA_RESULTADOS!$I$261),2))</f>
        <v/>
      </c>
      <c r="BE52" t="str">
        <f>IF($A52="","",ROUND(SUMIFS(itens_Consumidos!$M$2:$M$200,itens_Consumidos!$A$2:$A$200,$A52),2))</f>
        <v/>
      </c>
      <c r="BF52" t="str">
        <f t="shared" si="10"/>
        <v/>
      </c>
      <c r="BG52" t="str">
        <f>IF(OR($A52="",S52="",MEMORIA_RESULTADOS!$I$262=""),"",ROUND(S52*$C52*(MEMORIA_RESULTADOS!$I$262-1),2))</f>
        <v/>
      </c>
      <c r="BH52" t="str">
        <f>IF(OR($A52="",BF52="",MEMORIA_RESULTADOS!$I$262=""),"",ROUND(BF52*$C52*(parametros!$F$6-MEMORIA_RESULTADOS!$I$262),2))</f>
        <v/>
      </c>
      <c r="BI52" t="str">
        <f>IF($A52="","",IF(posicao_contratual!$AL52="","",posicao_contratual!$AL52))</f>
        <v/>
      </c>
    </row>
    <row r="53" spans="1:61" x14ac:dyDescent="0.35">
      <c r="A53" s="81"/>
      <c r="B53" s="82" t="str">
        <f t="shared" si="11"/>
        <v/>
      </c>
      <c r="C53" s="83"/>
      <c r="D53" s="79" t="str">
        <f>IF(AND(A53="",A52&lt;&gt;"",COUNTIF(A54:$A$200,"&lt;&gt;")=0),ROUND(SUMIF($A$2:A52,"&lt;&gt;",$D$2:D52),2),IF(OR(A53="",B53="",C53=""),"",ROUND(B53*C53,2)))</f>
        <v/>
      </c>
      <c r="E53" s="84"/>
      <c r="F53" s="79" t="str">
        <f>IF(AND(A53="",A52&lt;&gt;"",COUNTIF(A54:$A$200,"&lt;&gt;")=0),IF(COUNT(F$2:F52)=0,"",ROUND(SUMIF($A$2:A52,"&lt;&gt;",F$2:F52),2)),IF(OR(A53="",AND(ISNUMBER(posicao_contratual!$AL53),posicao_contratual!$AL53&gt;1),posicao_contratual!K53="",NOT(ISNUMBER(historico_VU!D53))),"",ROUND(posicao_contratual!K53*historico_VU!D53,2)))</f>
        <v/>
      </c>
      <c r="G53" s="84"/>
      <c r="H53" s="79" t="str">
        <f>IF(AND(A53="",A52&lt;&gt;"",COUNTIF(A54:$A$200,"&lt;&gt;")=0),IF(COUNT(H$2:H52)=0,"",ROUND(SUMIF($A$2:A52,"&lt;&gt;",H$2:H52),2)),IF(OR(A53="",AND(ISNUMBER(posicao_contratual!$AL53),posicao_contratual!$AL53&gt;2),posicao_contratual!O53="",NOT(ISNUMBER(historico_VU!E53))),"",ROUND(posicao_contratual!O53*historico_VU!E53,2)))</f>
        <v/>
      </c>
      <c r="I53" s="84"/>
      <c r="J53" s="79" t="str">
        <f>IF(AND(A53="",A52&lt;&gt;"",COUNTIF(A54:$A$200,"&lt;&gt;")=0),IF(COUNT(J$2:J52)=0,"",ROUND(SUMIF($A$2:A52,"&lt;&gt;",J$2:J52),2)),IF(OR(A53="",AND(ISNUMBER(posicao_contratual!$AL53),posicao_contratual!$AL53&gt;3),posicao_contratual!S53="",NOT(ISNUMBER(historico_VU!F53))),"",ROUND(posicao_contratual!S53*historico_VU!F53,2)))</f>
        <v/>
      </c>
      <c r="K53" s="84"/>
      <c r="L53" s="79" t="str">
        <f>IF(AND(A53="",A52&lt;&gt;"",COUNTIF(A54:$A$200,"&lt;&gt;")=0),IF(COUNT(L$2:L52)=0,"",ROUND(SUMIF($A$2:A52,"&lt;&gt;",L$2:L52),2)),IF(OR(A53="",AND(ISNUMBER(posicao_contratual!$AL53),posicao_contratual!$AL53&gt;4),posicao_contratual!W53="",NOT(ISNUMBER(historico_VU!G53))),"",ROUND(posicao_contratual!W53*historico_VU!G53,2)))</f>
        <v/>
      </c>
      <c r="M53" s="85" t="str">
        <f>IF(OR(posicao_contratual!J53="",posicao_contratual!N53=""),"",ROUND(MAX(posicao_contratual!J53+posicao_contratual!H53-posicao_contratual!N53,0),2))</f>
        <v/>
      </c>
      <c r="N53" s="79" t="str">
        <f>IF(AND(A53="",A52&lt;&gt;"",COUNTIF(A54:$A$200,"&lt;&gt;")=0),IF(COUNT(N$2:N52)=0,"",ROUND(SUMIF($A$2:A52,"&lt;&gt;",N$2:N52),2)),IF(OR(M53="",NOT(ISNUMBER(historico_VU!D53))),"",ROUND(M53*historico_VU!D53,2)))</f>
        <v/>
      </c>
      <c r="O53" s="85" t="str">
        <f>IF(OR(posicao_contratual!N53="",posicao_contratual!R53=""),"",ROUND(MAX(posicao_contratual!N53+posicao_contratual!L53-posicao_contratual!R53,0),2))</f>
        <v/>
      </c>
      <c r="P53" s="79" t="str">
        <f>IF(AND(A53="",A52&lt;&gt;"",COUNTIF(A54:$A$200,"&lt;&gt;")=0),IF(COUNT(P$2:P52)=0,"",ROUND(SUMIF($A$2:A52,"&lt;&gt;",P$2:P52),2)),IF(OR(O53="",NOT(ISNUMBER(historico_VU!E53))),"",ROUND(O53*historico_VU!E53,2)))</f>
        <v/>
      </c>
      <c r="Q53" s="85" t="str">
        <f>IF(OR(posicao_contratual!R53="",posicao_contratual!V53=""),"",ROUND(MAX(posicao_contratual!R53+posicao_contratual!P53-posicao_contratual!V53,0),2))</f>
        <v/>
      </c>
      <c r="R53" s="79" t="str">
        <f>IF(AND(A53="",A52&lt;&gt;"",COUNTIF(A54:$A$200,"&lt;&gt;")=0),IF(COUNT(R$2:R52)=0,"",ROUND(SUMIF($A$2:A52,"&lt;&gt;",R$2:R52),2)),IF(OR(Q53="",NOT(ISNUMBER(historico_VU!F53))),"",ROUND(Q53*historico_VU!F53,2)))</f>
        <v/>
      </c>
      <c r="S53" s="21"/>
      <c r="T53" s="22" t="str">
        <f>IF(AND(A53="",A52&lt;&gt;"",COUNTIF(A54:$A$200,"&lt;&gt;")=0),IF(COUNT(T$2:T52)=0,"",ROUND(SUMIF($A$2:A52,"&lt;&gt;",T$2:T52),2)),IF(OR(S53="",NOT(ISNUMBER(historico_VU!G53))),"",ROUND(S53*historico_VU!G53,2)))</f>
        <v/>
      </c>
      <c r="U53" s="86" t="str">
        <f>IF(AND(A53="",A52&lt;&gt;"",COUNTIF(A54:$A$200,"&lt;&gt;")=0),"TOTAL",IF(A53="","",posicao_contratual!X53))</f>
        <v/>
      </c>
      <c r="V53" s="86" t="str">
        <f>IF(A53="","",posicao_contratual!X53)</f>
        <v/>
      </c>
      <c r="W53" s="14"/>
      <c r="X53" s="14"/>
      <c r="Y53" s="14"/>
      <c r="Z53" s="13"/>
      <c r="AA53" s="13"/>
      <c r="AB53" s="85" t="str">
        <f>IF(OR(A53="",posicao_contratual!E53="",posicao_contratual!J53=""),"",ROUND(MAX(posicao_contratual!E53-posicao_contratual!J53,0),2))</f>
        <v/>
      </c>
      <c r="AC53" s="79" t="str">
        <f>IF(AND(A53="",A52&lt;&gt;"",COUNTIF(A54:$A$200,"&lt;&gt;")=0),IF(COUNT(AC$2:AC52)=0,"",ROUND(SUMIF($A$2:A52,"&lt;&gt;",AC$2:AC52),2)),IF(OR(AB53="",NOT(ISNUMBER(historico_VU!C53))),"",ROUND(AB53*historico_VU!C53,2)))</f>
        <v/>
      </c>
      <c r="AD53" s="145" t="str">
        <f>IF(A53="","",posicao_contratual!E53)</f>
        <v/>
      </c>
      <c r="AE53" s="145" t="str">
        <f>IF(A53="","",posicao_contratual!I53)</f>
        <v/>
      </c>
      <c r="AF53" s="145" t="str">
        <f>IF(A53="","",posicao_contratual!M53)</f>
        <v/>
      </c>
      <c r="AG53" s="145" t="str">
        <f>IF(A53="","",posicao_contratual!Q53)</f>
        <v/>
      </c>
      <c r="AH53" s="145" t="str">
        <f>IF(A53="","",posicao_contratual!U53)</f>
        <v/>
      </c>
      <c r="AI53" s="145" t="str">
        <f>IF(A53="","",posicao_contratual!G53)</f>
        <v/>
      </c>
      <c r="AJ53" s="145" t="str">
        <f>IF(A53="","",posicao_contratual!K53)</f>
        <v/>
      </c>
      <c r="AK53" s="145" t="str">
        <f>IF(A53="","",posicao_contratual!O53)</f>
        <v/>
      </c>
      <c r="AL53" s="145" t="str">
        <f>IF(A53="","",posicao_contratual!S53)</f>
        <v/>
      </c>
      <c r="AM53" s="145" t="str">
        <f>IF(A53="","",posicao_contratual!W53)</f>
        <v/>
      </c>
      <c r="AN53" s="146" t="str">
        <f>IF(A53="","",posicao_contratual!X53)</f>
        <v/>
      </c>
      <c r="AO53" t="str">
        <f>IF($A53="","",ROUND(SUMIFS(itens_Consumidos!$E$2:$E$200,itens_Consumidos!$A$2:$A$200,$A53),2))</f>
        <v/>
      </c>
      <c r="AP53" t="str">
        <f t="shared" si="6"/>
        <v/>
      </c>
      <c r="AQ53" t="str">
        <f>IF(OR($A53="",AB53="",MEMORIA_RESULTADOS!$I$258=""),"",ROUND(AB53*$C53*(MEMORIA_RESULTADOS!$I$258-1),2))</f>
        <v/>
      </c>
      <c r="AR53" t="str">
        <f>IF(OR($A53="",AP53="",MEMORIA_RESULTADOS!$I$258=""),"",ROUND(AP53*$C53*(parametros!$F$2-MEMORIA_RESULTADOS!$I$258),2))</f>
        <v/>
      </c>
      <c r="AS53" t="str">
        <f>IF($A53="","",ROUND(SUMIFS(itens_Consumidos!$G$2:$G$200,itens_Consumidos!$A$2:$A$200,$A53),2))</f>
        <v/>
      </c>
      <c r="AT53" t="str">
        <f t="shared" si="7"/>
        <v/>
      </c>
      <c r="AU53" t="str">
        <f>IF(OR($A53="",M53="",MEMORIA_RESULTADOS!$I$259=""),"",ROUND(M53*$C53*(MEMORIA_RESULTADOS!$I$259-1),2))</f>
        <v/>
      </c>
      <c r="AV53" t="str">
        <f>IF(OR($A53="",AT53="",MEMORIA_RESULTADOS!$I$259=""),"",ROUND(AT53*$C53*(parametros!$F$3-MEMORIA_RESULTADOS!$I$259),2))</f>
        <v/>
      </c>
      <c r="AW53" t="str">
        <f>IF($A53="","",ROUND(SUMIFS(itens_Consumidos!$I$2:$I$200,itens_Consumidos!$A$2:$A$200,$A53),2))</f>
        <v/>
      </c>
      <c r="AX53" t="str">
        <f t="shared" si="8"/>
        <v/>
      </c>
      <c r="AY53" t="str">
        <f>IF(OR($A53="",O53="",MEMORIA_RESULTADOS!$I$260=""),"",ROUND(O53*$C53*(MEMORIA_RESULTADOS!$I$260-1),2))</f>
        <v/>
      </c>
      <c r="AZ53" t="str">
        <f>IF(OR($A53="",AX53="",MEMORIA_RESULTADOS!$I$260=""),"",ROUND(AX53*$C53*(parametros!$F$4-MEMORIA_RESULTADOS!$I$260),2))</f>
        <v/>
      </c>
      <c r="BA53" t="str">
        <f>IF($A53="","",ROUND(SUMIFS(itens_Consumidos!$K$2:$K$200,itens_Consumidos!$A$2:$A$200,$A53),2))</f>
        <v/>
      </c>
      <c r="BB53" t="str">
        <f t="shared" si="9"/>
        <v/>
      </c>
      <c r="BC53" t="str">
        <f>IF(OR($A53="",Q53="",MEMORIA_RESULTADOS!$I$261=""),"",ROUND(Q53*$C53*(MEMORIA_RESULTADOS!$I$261-1),2))</f>
        <v/>
      </c>
      <c r="BD53" t="str">
        <f>IF(OR($A53="",BB53="",MEMORIA_RESULTADOS!$I$261=""),"",ROUND(BB53*$C53*(parametros!$F$5-MEMORIA_RESULTADOS!$I$261),2))</f>
        <v/>
      </c>
      <c r="BE53" t="str">
        <f>IF($A53="","",ROUND(SUMIFS(itens_Consumidos!$M$2:$M$200,itens_Consumidos!$A$2:$A$200,$A53),2))</f>
        <v/>
      </c>
      <c r="BF53" t="str">
        <f t="shared" si="10"/>
        <v/>
      </c>
      <c r="BG53" t="str">
        <f>IF(OR($A53="",S53="",MEMORIA_RESULTADOS!$I$262=""),"",ROUND(S53*$C53*(MEMORIA_RESULTADOS!$I$262-1),2))</f>
        <v/>
      </c>
      <c r="BH53" t="str">
        <f>IF(OR($A53="",BF53="",MEMORIA_RESULTADOS!$I$262=""),"",ROUND(BF53*$C53*(parametros!$F$6-MEMORIA_RESULTADOS!$I$262),2))</f>
        <v/>
      </c>
      <c r="BI53" t="str">
        <f>IF($A53="","",IF(posicao_contratual!$AL53="","",posicao_contratual!$AL53))</f>
        <v/>
      </c>
    </row>
    <row r="54" spans="1:61" x14ac:dyDescent="0.35">
      <c r="A54" s="81"/>
      <c r="B54" s="82" t="str">
        <f t="shared" si="11"/>
        <v/>
      </c>
      <c r="C54" s="83"/>
      <c r="D54" s="79" t="str">
        <f>IF(AND(A54="",A53&lt;&gt;"",COUNTIF(A55:$A$200,"&lt;&gt;")=0),ROUND(SUMIF($A$2:A53,"&lt;&gt;",$D$2:D53),2),IF(OR(A54="",B54="",C54=""),"",ROUND(B54*C54,2)))</f>
        <v/>
      </c>
      <c r="E54" s="84"/>
      <c r="F54" s="79" t="str">
        <f>IF(AND(A54="",A53&lt;&gt;"",COUNTIF(A55:$A$200,"&lt;&gt;")=0),IF(COUNT(F$2:F53)=0,"",ROUND(SUMIF($A$2:A53,"&lt;&gt;",F$2:F53),2)),IF(OR(A54="",AND(ISNUMBER(posicao_contratual!$AL54),posicao_contratual!$AL54&gt;1),posicao_contratual!K54="",NOT(ISNUMBER(historico_VU!D54))),"",ROUND(posicao_contratual!K54*historico_VU!D54,2)))</f>
        <v/>
      </c>
      <c r="G54" s="84"/>
      <c r="H54" s="79" t="str">
        <f>IF(AND(A54="",A53&lt;&gt;"",COUNTIF(A55:$A$200,"&lt;&gt;")=0),IF(COUNT(H$2:H53)=0,"",ROUND(SUMIF($A$2:A53,"&lt;&gt;",H$2:H53),2)),IF(OR(A54="",AND(ISNUMBER(posicao_contratual!$AL54),posicao_contratual!$AL54&gt;2),posicao_contratual!O54="",NOT(ISNUMBER(historico_VU!E54))),"",ROUND(posicao_contratual!O54*historico_VU!E54,2)))</f>
        <v/>
      </c>
      <c r="I54" s="84"/>
      <c r="J54" s="79" t="str">
        <f>IF(AND(A54="",A53&lt;&gt;"",COUNTIF(A55:$A$200,"&lt;&gt;")=0),IF(COUNT(J$2:J53)=0,"",ROUND(SUMIF($A$2:A53,"&lt;&gt;",J$2:J53),2)),IF(OR(A54="",AND(ISNUMBER(posicao_contratual!$AL54),posicao_contratual!$AL54&gt;3),posicao_contratual!S54="",NOT(ISNUMBER(historico_VU!F54))),"",ROUND(posicao_contratual!S54*historico_VU!F54,2)))</f>
        <v/>
      </c>
      <c r="K54" s="84"/>
      <c r="L54" s="79" t="str">
        <f>IF(AND(A54="",A53&lt;&gt;"",COUNTIF(A55:$A$200,"&lt;&gt;")=0),IF(COUNT(L$2:L53)=0,"",ROUND(SUMIF($A$2:A53,"&lt;&gt;",L$2:L53),2)),IF(OR(A54="",AND(ISNUMBER(posicao_contratual!$AL54),posicao_contratual!$AL54&gt;4),posicao_contratual!W54="",NOT(ISNUMBER(historico_VU!G54))),"",ROUND(posicao_contratual!W54*historico_VU!G54,2)))</f>
        <v/>
      </c>
      <c r="M54" s="85" t="str">
        <f>IF(OR(posicao_contratual!J54="",posicao_contratual!N54=""),"",ROUND(MAX(posicao_contratual!J54+posicao_contratual!H54-posicao_contratual!N54,0),2))</f>
        <v/>
      </c>
      <c r="N54" s="79" t="str">
        <f>IF(AND(A54="",A53&lt;&gt;"",COUNTIF(A55:$A$200,"&lt;&gt;")=0),IF(COUNT(N$2:N53)=0,"",ROUND(SUMIF($A$2:A53,"&lt;&gt;",N$2:N53),2)),IF(OR(M54="",NOT(ISNUMBER(historico_VU!D54))),"",ROUND(M54*historico_VU!D54,2)))</f>
        <v/>
      </c>
      <c r="O54" s="85" t="str">
        <f>IF(OR(posicao_contratual!N54="",posicao_contratual!R54=""),"",ROUND(MAX(posicao_contratual!N54+posicao_contratual!L54-posicao_contratual!R54,0),2))</f>
        <v/>
      </c>
      <c r="P54" s="79" t="str">
        <f>IF(AND(A54="",A53&lt;&gt;"",COUNTIF(A55:$A$200,"&lt;&gt;")=0),IF(COUNT(P$2:P53)=0,"",ROUND(SUMIF($A$2:A53,"&lt;&gt;",P$2:P53),2)),IF(OR(O54="",NOT(ISNUMBER(historico_VU!E54))),"",ROUND(O54*historico_VU!E54,2)))</f>
        <v/>
      </c>
      <c r="Q54" s="85" t="str">
        <f>IF(OR(posicao_contratual!R54="",posicao_contratual!V54=""),"",ROUND(MAX(posicao_contratual!R54+posicao_contratual!P54-posicao_contratual!V54,0),2))</f>
        <v/>
      </c>
      <c r="R54" s="79" t="str">
        <f>IF(AND(A54="",A53&lt;&gt;"",COUNTIF(A55:$A$200,"&lt;&gt;")=0),IF(COUNT(R$2:R53)=0,"",ROUND(SUMIF($A$2:A53,"&lt;&gt;",R$2:R53),2)),IF(OR(Q54="",NOT(ISNUMBER(historico_VU!F54))),"",ROUND(Q54*historico_VU!F54,2)))</f>
        <v/>
      </c>
      <c r="S54" s="21"/>
      <c r="T54" s="22" t="str">
        <f>IF(AND(A54="",A53&lt;&gt;"",COUNTIF(A55:$A$200,"&lt;&gt;")=0),IF(COUNT(T$2:T53)=0,"",ROUND(SUMIF($A$2:A53,"&lt;&gt;",T$2:T53),2)),IF(OR(S54="",NOT(ISNUMBER(historico_VU!G54))),"",ROUND(S54*historico_VU!G54,2)))</f>
        <v/>
      </c>
      <c r="U54" s="86" t="str">
        <f>IF(AND(A54="",A53&lt;&gt;"",COUNTIF(A55:$A$200,"&lt;&gt;")=0),"TOTAL",IF(A54="","",posicao_contratual!X54))</f>
        <v/>
      </c>
      <c r="V54" s="86" t="str">
        <f>IF(A54="","",posicao_contratual!X54)</f>
        <v/>
      </c>
      <c r="W54" s="14"/>
      <c r="X54" s="14"/>
      <c r="Y54" s="14"/>
      <c r="Z54" s="13"/>
      <c r="AA54" s="13"/>
      <c r="AB54" s="85" t="str">
        <f>IF(OR(A54="",posicao_contratual!E54="",posicao_contratual!J54=""),"",ROUND(MAX(posicao_contratual!E54-posicao_contratual!J54,0),2))</f>
        <v/>
      </c>
      <c r="AC54" s="79" t="str">
        <f>IF(AND(A54="",A53&lt;&gt;"",COUNTIF(A55:$A$200,"&lt;&gt;")=0),IF(COUNT(AC$2:AC53)=0,"",ROUND(SUMIF($A$2:A53,"&lt;&gt;",AC$2:AC53),2)),IF(OR(AB54="",NOT(ISNUMBER(historico_VU!C54))),"",ROUND(AB54*historico_VU!C54,2)))</f>
        <v/>
      </c>
      <c r="AD54" s="145" t="str">
        <f>IF(A54="","",posicao_contratual!E54)</f>
        <v/>
      </c>
      <c r="AE54" s="145" t="str">
        <f>IF(A54="","",posicao_contratual!I54)</f>
        <v/>
      </c>
      <c r="AF54" s="145" t="str">
        <f>IF(A54="","",posicao_contratual!M54)</f>
        <v/>
      </c>
      <c r="AG54" s="145" t="str">
        <f>IF(A54="","",posicao_contratual!Q54)</f>
        <v/>
      </c>
      <c r="AH54" s="145" t="str">
        <f>IF(A54="","",posicao_contratual!U54)</f>
        <v/>
      </c>
      <c r="AI54" s="145" t="str">
        <f>IF(A54="","",posicao_contratual!G54)</f>
        <v/>
      </c>
      <c r="AJ54" s="145" t="str">
        <f>IF(A54="","",posicao_contratual!K54)</f>
        <v/>
      </c>
      <c r="AK54" s="145" t="str">
        <f>IF(A54="","",posicao_contratual!O54)</f>
        <v/>
      </c>
      <c r="AL54" s="145" t="str">
        <f>IF(A54="","",posicao_contratual!S54)</f>
        <v/>
      </c>
      <c r="AM54" s="145" t="str">
        <f>IF(A54="","",posicao_contratual!W54)</f>
        <v/>
      </c>
      <c r="AN54" s="146" t="str">
        <f>IF(A54="","",posicao_contratual!X54)</f>
        <v/>
      </c>
      <c r="AO54" t="str">
        <f>IF($A54="","",ROUND(SUMIFS(itens_Consumidos!$E$2:$E$200,itens_Consumidos!$A$2:$A$200,$A54),2))</f>
        <v/>
      </c>
      <c r="AP54" t="str">
        <f t="shared" si="6"/>
        <v/>
      </c>
      <c r="AQ54" t="str">
        <f>IF(OR($A54="",AB54="",MEMORIA_RESULTADOS!$I$258=""),"",ROUND(AB54*$C54*(MEMORIA_RESULTADOS!$I$258-1),2))</f>
        <v/>
      </c>
      <c r="AR54" t="str">
        <f>IF(OR($A54="",AP54="",MEMORIA_RESULTADOS!$I$258=""),"",ROUND(AP54*$C54*(parametros!$F$2-MEMORIA_RESULTADOS!$I$258),2))</f>
        <v/>
      </c>
      <c r="AS54" t="str">
        <f>IF($A54="","",ROUND(SUMIFS(itens_Consumidos!$G$2:$G$200,itens_Consumidos!$A$2:$A$200,$A54),2))</f>
        <v/>
      </c>
      <c r="AT54" t="str">
        <f t="shared" si="7"/>
        <v/>
      </c>
      <c r="AU54" t="str">
        <f>IF(OR($A54="",M54="",MEMORIA_RESULTADOS!$I$259=""),"",ROUND(M54*$C54*(MEMORIA_RESULTADOS!$I$259-1),2))</f>
        <v/>
      </c>
      <c r="AV54" t="str">
        <f>IF(OR($A54="",AT54="",MEMORIA_RESULTADOS!$I$259=""),"",ROUND(AT54*$C54*(parametros!$F$3-MEMORIA_RESULTADOS!$I$259),2))</f>
        <v/>
      </c>
      <c r="AW54" t="str">
        <f>IF($A54="","",ROUND(SUMIFS(itens_Consumidos!$I$2:$I$200,itens_Consumidos!$A$2:$A$200,$A54),2))</f>
        <v/>
      </c>
      <c r="AX54" t="str">
        <f t="shared" si="8"/>
        <v/>
      </c>
      <c r="AY54" t="str">
        <f>IF(OR($A54="",O54="",MEMORIA_RESULTADOS!$I$260=""),"",ROUND(O54*$C54*(MEMORIA_RESULTADOS!$I$260-1),2))</f>
        <v/>
      </c>
      <c r="AZ54" t="str">
        <f>IF(OR($A54="",AX54="",MEMORIA_RESULTADOS!$I$260=""),"",ROUND(AX54*$C54*(parametros!$F$4-MEMORIA_RESULTADOS!$I$260),2))</f>
        <v/>
      </c>
      <c r="BA54" t="str">
        <f>IF($A54="","",ROUND(SUMIFS(itens_Consumidos!$K$2:$K$200,itens_Consumidos!$A$2:$A$200,$A54),2))</f>
        <v/>
      </c>
      <c r="BB54" t="str">
        <f t="shared" si="9"/>
        <v/>
      </c>
      <c r="BC54" t="str">
        <f>IF(OR($A54="",Q54="",MEMORIA_RESULTADOS!$I$261=""),"",ROUND(Q54*$C54*(MEMORIA_RESULTADOS!$I$261-1),2))</f>
        <v/>
      </c>
      <c r="BD54" t="str">
        <f>IF(OR($A54="",BB54="",MEMORIA_RESULTADOS!$I$261=""),"",ROUND(BB54*$C54*(parametros!$F$5-MEMORIA_RESULTADOS!$I$261),2))</f>
        <v/>
      </c>
      <c r="BE54" t="str">
        <f>IF($A54="","",ROUND(SUMIFS(itens_Consumidos!$M$2:$M$200,itens_Consumidos!$A$2:$A$200,$A54),2))</f>
        <v/>
      </c>
      <c r="BF54" t="str">
        <f t="shared" si="10"/>
        <v/>
      </c>
      <c r="BG54" t="str">
        <f>IF(OR($A54="",S54="",MEMORIA_RESULTADOS!$I$262=""),"",ROUND(S54*$C54*(MEMORIA_RESULTADOS!$I$262-1),2))</f>
        <v/>
      </c>
      <c r="BH54" t="str">
        <f>IF(OR($A54="",BF54="",MEMORIA_RESULTADOS!$I$262=""),"",ROUND(BF54*$C54*(parametros!$F$6-MEMORIA_RESULTADOS!$I$262),2))</f>
        <v/>
      </c>
      <c r="BI54" t="str">
        <f>IF($A54="","",IF(posicao_contratual!$AL54="","",posicao_contratual!$AL54))</f>
        <v/>
      </c>
    </row>
    <row r="55" spans="1:61" x14ac:dyDescent="0.35">
      <c r="A55" s="81"/>
      <c r="B55" s="82" t="str">
        <f t="shared" si="11"/>
        <v/>
      </c>
      <c r="C55" s="83"/>
      <c r="D55" s="79" t="str">
        <f>IF(AND(A55="",A54&lt;&gt;"",COUNTIF(A56:$A$200,"&lt;&gt;")=0),ROUND(SUMIF($A$2:A54,"&lt;&gt;",$D$2:D54),2),IF(OR(A55="",B55="",C55=""),"",ROUND(B55*C55,2)))</f>
        <v/>
      </c>
      <c r="E55" s="84"/>
      <c r="F55" s="79" t="str">
        <f>IF(AND(A55="",A54&lt;&gt;"",COUNTIF(A56:$A$200,"&lt;&gt;")=0),IF(COUNT(F$2:F54)=0,"",ROUND(SUMIF($A$2:A54,"&lt;&gt;",F$2:F54),2)),IF(OR(A55="",AND(ISNUMBER(posicao_contratual!$AL55),posicao_contratual!$AL55&gt;1),posicao_contratual!K55="",NOT(ISNUMBER(historico_VU!D55))),"",ROUND(posicao_contratual!K55*historico_VU!D55,2)))</f>
        <v/>
      </c>
      <c r="G55" s="84"/>
      <c r="H55" s="79" t="str">
        <f>IF(AND(A55="",A54&lt;&gt;"",COUNTIF(A56:$A$200,"&lt;&gt;")=0),IF(COUNT(H$2:H54)=0,"",ROUND(SUMIF($A$2:A54,"&lt;&gt;",H$2:H54),2)),IF(OR(A55="",AND(ISNUMBER(posicao_contratual!$AL55),posicao_contratual!$AL55&gt;2),posicao_contratual!O55="",NOT(ISNUMBER(historico_VU!E55))),"",ROUND(posicao_contratual!O55*historico_VU!E55,2)))</f>
        <v/>
      </c>
      <c r="I55" s="84"/>
      <c r="J55" s="79" t="str">
        <f>IF(AND(A55="",A54&lt;&gt;"",COUNTIF(A56:$A$200,"&lt;&gt;")=0),IF(COUNT(J$2:J54)=0,"",ROUND(SUMIF($A$2:A54,"&lt;&gt;",J$2:J54),2)),IF(OR(A55="",AND(ISNUMBER(posicao_contratual!$AL55),posicao_contratual!$AL55&gt;3),posicao_contratual!S55="",NOT(ISNUMBER(historico_VU!F55))),"",ROUND(posicao_contratual!S55*historico_VU!F55,2)))</f>
        <v/>
      </c>
      <c r="K55" s="84"/>
      <c r="L55" s="79" t="str">
        <f>IF(AND(A55="",A54&lt;&gt;"",COUNTIF(A56:$A$200,"&lt;&gt;")=0),IF(COUNT(L$2:L54)=0,"",ROUND(SUMIF($A$2:A54,"&lt;&gt;",L$2:L54),2)),IF(OR(A55="",AND(ISNUMBER(posicao_contratual!$AL55),posicao_contratual!$AL55&gt;4),posicao_contratual!W55="",NOT(ISNUMBER(historico_VU!G55))),"",ROUND(posicao_contratual!W55*historico_VU!G55,2)))</f>
        <v/>
      </c>
      <c r="M55" s="85" t="str">
        <f>IF(OR(posicao_contratual!J55="",posicao_contratual!N55=""),"",ROUND(MAX(posicao_contratual!J55+posicao_contratual!H55-posicao_contratual!N55,0),2))</f>
        <v/>
      </c>
      <c r="N55" s="79" t="str">
        <f>IF(AND(A55="",A54&lt;&gt;"",COUNTIF(A56:$A$200,"&lt;&gt;")=0),IF(COUNT(N$2:N54)=0,"",ROUND(SUMIF($A$2:A54,"&lt;&gt;",N$2:N54),2)),IF(OR(M55="",NOT(ISNUMBER(historico_VU!D55))),"",ROUND(M55*historico_VU!D55,2)))</f>
        <v/>
      </c>
      <c r="O55" s="85" t="str">
        <f>IF(OR(posicao_contratual!N55="",posicao_contratual!R55=""),"",ROUND(MAX(posicao_contratual!N55+posicao_contratual!L55-posicao_contratual!R55,0),2))</f>
        <v/>
      </c>
      <c r="P55" s="79" t="str">
        <f>IF(AND(A55="",A54&lt;&gt;"",COUNTIF(A56:$A$200,"&lt;&gt;")=0),IF(COUNT(P$2:P54)=0,"",ROUND(SUMIF($A$2:A54,"&lt;&gt;",P$2:P54),2)),IF(OR(O55="",NOT(ISNUMBER(historico_VU!E55))),"",ROUND(O55*historico_VU!E55,2)))</f>
        <v/>
      </c>
      <c r="Q55" s="85" t="str">
        <f>IF(OR(posicao_contratual!R55="",posicao_contratual!V55=""),"",ROUND(MAX(posicao_contratual!R55+posicao_contratual!P55-posicao_contratual!V55,0),2))</f>
        <v/>
      </c>
      <c r="R55" s="79" t="str">
        <f>IF(AND(A55="",A54&lt;&gt;"",COUNTIF(A56:$A$200,"&lt;&gt;")=0),IF(COUNT(R$2:R54)=0,"",ROUND(SUMIF($A$2:A54,"&lt;&gt;",R$2:R54),2)),IF(OR(Q55="",NOT(ISNUMBER(historico_VU!F55))),"",ROUND(Q55*historico_VU!F55,2)))</f>
        <v/>
      </c>
      <c r="S55" s="21"/>
      <c r="T55" s="22" t="str">
        <f>IF(AND(A55="",A54&lt;&gt;"",COUNTIF(A56:$A$200,"&lt;&gt;")=0),IF(COUNT(T$2:T54)=0,"",ROUND(SUMIF($A$2:A54,"&lt;&gt;",T$2:T54),2)),IF(OR(S55="",NOT(ISNUMBER(historico_VU!G55))),"",ROUND(S55*historico_VU!G55,2)))</f>
        <v/>
      </c>
      <c r="U55" s="86" t="str">
        <f>IF(AND(A55="",A54&lt;&gt;"",COUNTIF(A56:$A$200,"&lt;&gt;")=0),"TOTAL",IF(A55="","",posicao_contratual!X55))</f>
        <v/>
      </c>
      <c r="V55" s="86" t="str">
        <f>IF(A55="","",posicao_contratual!X55)</f>
        <v/>
      </c>
      <c r="W55" s="14"/>
      <c r="X55" s="14"/>
      <c r="Y55" s="14"/>
      <c r="Z55" s="13"/>
      <c r="AA55" s="13"/>
      <c r="AB55" s="85" t="str">
        <f>IF(OR(A55="",posicao_contratual!E55="",posicao_contratual!J55=""),"",ROUND(MAX(posicao_contratual!E55-posicao_contratual!J55,0),2))</f>
        <v/>
      </c>
      <c r="AC55" s="79" t="str">
        <f>IF(AND(A55="",A54&lt;&gt;"",COUNTIF(A56:$A$200,"&lt;&gt;")=0),IF(COUNT(AC$2:AC54)=0,"",ROUND(SUMIF($A$2:A54,"&lt;&gt;",AC$2:AC54),2)),IF(OR(AB55="",NOT(ISNUMBER(historico_VU!C55))),"",ROUND(AB55*historico_VU!C55,2)))</f>
        <v/>
      </c>
      <c r="AD55" s="145" t="str">
        <f>IF(A55="","",posicao_contratual!E55)</f>
        <v/>
      </c>
      <c r="AE55" s="145" t="str">
        <f>IF(A55="","",posicao_contratual!I55)</f>
        <v/>
      </c>
      <c r="AF55" s="145" t="str">
        <f>IF(A55="","",posicao_contratual!M55)</f>
        <v/>
      </c>
      <c r="AG55" s="145" t="str">
        <f>IF(A55="","",posicao_contratual!Q55)</f>
        <v/>
      </c>
      <c r="AH55" s="145" t="str">
        <f>IF(A55="","",posicao_contratual!U55)</f>
        <v/>
      </c>
      <c r="AI55" s="145" t="str">
        <f>IF(A55="","",posicao_contratual!G55)</f>
        <v/>
      </c>
      <c r="AJ55" s="145" t="str">
        <f>IF(A55="","",posicao_contratual!K55)</f>
        <v/>
      </c>
      <c r="AK55" s="145" t="str">
        <f>IF(A55="","",posicao_contratual!O55)</f>
        <v/>
      </c>
      <c r="AL55" s="145" t="str">
        <f>IF(A55="","",posicao_contratual!S55)</f>
        <v/>
      </c>
      <c r="AM55" s="145" t="str">
        <f>IF(A55="","",posicao_contratual!W55)</f>
        <v/>
      </c>
      <c r="AN55" s="146" t="str">
        <f>IF(A55="","",posicao_contratual!X55)</f>
        <v/>
      </c>
      <c r="AO55" t="str">
        <f>IF($A55="","",ROUND(SUMIFS(itens_Consumidos!$E$2:$E$200,itens_Consumidos!$A$2:$A$200,$A55),2))</f>
        <v/>
      </c>
      <c r="AP55" t="str">
        <f t="shared" si="6"/>
        <v/>
      </c>
      <c r="AQ55" t="str">
        <f>IF(OR($A55="",AB55="",MEMORIA_RESULTADOS!$I$258=""),"",ROUND(AB55*$C55*(MEMORIA_RESULTADOS!$I$258-1),2))</f>
        <v/>
      </c>
      <c r="AR55" t="str">
        <f>IF(OR($A55="",AP55="",MEMORIA_RESULTADOS!$I$258=""),"",ROUND(AP55*$C55*(parametros!$F$2-MEMORIA_RESULTADOS!$I$258),2))</f>
        <v/>
      </c>
      <c r="AS55" t="str">
        <f>IF($A55="","",ROUND(SUMIFS(itens_Consumidos!$G$2:$G$200,itens_Consumidos!$A$2:$A$200,$A55),2))</f>
        <v/>
      </c>
      <c r="AT55" t="str">
        <f t="shared" si="7"/>
        <v/>
      </c>
      <c r="AU55" t="str">
        <f>IF(OR($A55="",M55="",MEMORIA_RESULTADOS!$I$259=""),"",ROUND(M55*$C55*(MEMORIA_RESULTADOS!$I$259-1),2))</f>
        <v/>
      </c>
      <c r="AV55" t="str">
        <f>IF(OR($A55="",AT55="",MEMORIA_RESULTADOS!$I$259=""),"",ROUND(AT55*$C55*(parametros!$F$3-MEMORIA_RESULTADOS!$I$259),2))</f>
        <v/>
      </c>
      <c r="AW55" t="str">
        <f>IF($A55="","",ROUND(SUMIFS(itens_Consumidos!$I$2:$I$200,itens_Consumidos!$A$2:$A$200,$A55),2))</f>
        <v/>
      </c>
      <c r="AX55" t="str">
        <f t="shared" si="8"/>
        <v/>
      </c>
      <c r="AY55" t="str">
        <f>IF(OR($A55="",O55="",MEMORIA_RESULTADOS!$I$260=""),"",ROUND(O55*$C55*(MEMORIA_RESULTADOS!$I$260-1),2))</f>
        <v/>
      </c>
      <c r="AZ55" t="str">
        <f>IF(OR($A55="",AX55="",MEMORIA_RESULTADOS!$I$260=""),"",ROUND(AX55*$C55*(parametros!$F$4-MEMORIA_RESULTADOS!$I$260),2))</f>
        <v/>
      </c>
      <c r="BA55" t="str">
        <f>IF($A55="","",ROUND(SUMIFS(itens_Consumidos!$K$2:$K$200,itens_Consumidos!$A$2:$A$200,$A55),2))</f>
        <v/>
      </c>
      <c r="BB55" t="str">
        <f t="shared" si="9"/>
        <v/>
      </c>
      <c r="BC55" t="str">
        <f>IF(OR($A55="",Q55="",MEMORIA_RESULTADOS!$I$261=""),"",ROUND(Q55*$C55*(MEMORIA_RESULTADOS!$I$261-1),2))</f>
        <v/>
      </c>
      <c r="BD55" t="str">
        <f>IF(OR($A55="",BB55="",MEMORIA_RESULTADOS!$I$261=""),"",ROUND(BB55*$C55*(parametros!$F$5-MEMORIA_RESULTADOS!$I$261),2))</f>
        <v/>
      </c>
      <c r="BE55" t="str">
        <f>IF($A55="","",ROUND(SUMIFS(itens_Consumidos!$M$2:$M$200,itens_Consumidos!$A$2:$A$200,$A55),2))</f>
        <v/>
      </c>
      <c r="BF55" t="str">
        <f t="shared" si="10"/>
        <v/>
      </c>
      <c r="BG55" t="str">
        <f>IF(OR($A55="",S55="",MEMORIA_RESULTADOS!$I$262=""),"",ROUND(S55*$C55*(MEMORIA_RESULTADOS!$I$262-1),2))</f>
        <v/>
      </c>
      <c r="BH55" t="str">
        <f>IF(OR($A55="",BF55="",MEMORIA_RESULTADOS!$I$262=""),"",ROUND(BF55*$C55*(parametros!$F$6-MEMORIA_RESULTADOS!$I$262),2))</f>
        <v/>
      </c>
      <c r="BI55" t="str">
        <f>IF($A55="","",IF(posicao_contratual!$AL55="","",posicao_contratual!$AL55))</f>
        <v/>
      </c>
    </row>
    <row r="56" spans="1:61" x14ac:dyDescent="0.35">
      <c r="A56" s="81"/>
      <c r="B56" s="82" t="str">
        <f t="shared" si="11"/>
        <v/>
      </c>
      <c r="C56" s="83"/>
      <c r="D56" s="79" t="str">
        <f>IF(AND(A56="",A55&lt;&gt;"",COUNTIF(A57:$A$200,"&lt;&gt;")=0),ROUND(SUMIF($A$2:A55,"&lt;&gt;",$D$2:D55),2),IF(OR(A56="",B56="",C56=""),"",ROUND(B56*C56,2)))</f>
        <v/>
      </c>
      <c r="E56" s="84"/>
      <c r="F56" s="79" t="str">
        <f>IF(AND(A56="",A55&lt;&gt;"",COUNTIF(A57:$A$200,"&lt;&gt;")=0),IF(COUNT(F$2:F55)=0,"",ROUND(SUMIF($A$2:A55,"&lt;&gt;",F$2:F55),2)),IF(OR(A56="",AND(ISNUMBER(posicao_contratual!$AL56),posicao_contratual!$AL56&gt;1),posicao_contratual!K56="",NOT(ISNUMBER(historico_VU!D56))),"",ROUND(posicao_contratual!K56*historico_VU!D56,2)))</f>
        <v/>
      </c>
      <c r="G56" s="84"/>
      <c r="H56" s="79" t="str">
        <f>IF(AND(A56="",A55&lt;&gt;"",COUNTIF(A57:$A$200,"&lt;&gt;")=0),IF(COUNT(H$2:H55)=0,"",ROUND(SUMIF($A$2:A55,"&lt;&gt;",H$2:H55),2)),IF(OR(A56="",AND(ISNUMBER(posicao_contratual!$AL56),posicao_contratual!$AL56&gt;2),posicao_contratual!O56="",NOT(ISNUMBER(historico_VU!E56))),"",ROUND(posicao_contratual!O56*historico_VU!E56,2)))</f>
        <v/>
      </c>
      <c r="I56" s="84"/>
      <c r="J56" s="79" t="str">
        <f>IF(AND(A56="",A55&lt;&gt;"",COUNTIF(A57:$A$200,"&lt;&gt;")=0),IF(COUNT(J$2:J55)=0,"",ROUND(SUMIF($A$2:A55,"&lt;&gt;",J$2:J55),2)),IF(OR(A56="",AND(ISNUMBER(posicao_contratual!$AL56),posicao_contratual!$AL56&gt;3),posicao_contratual!S56="",NOT(ISNUMBER(historico_VU!F56))),"",ROUND(posicao_contratual!S56*historico_VU!F56,2)))</f>
        <v/>
      </c>
      <c r="K56" s="84"/>
      <c r="L56" s="79" t="str">
        <f>IF(AND(A56="",A55&lt;&gt;"",COUNTIF(A57:$A$200,"&lt;&gt;")=0),IF(COUNT(L$2:L55)=0,"",ROUND(SUMIF($A$2:A55,"&lt;&gt;",L$2:L55),2)),IF(OR(A56="",AND(ISNUMBER(posicao_contratual!$AL56),posicao_contratual!$AL56&gt;4),posicao_contratual!W56="",NOT(ISNUMBER(historico_VU!G56))),"",ROUND(posicao_contratual!W56*historico_VU!G56,2)))</f>
        <v/>
      </c>
      <c r="M56" s="85" t="str">
        <f>IF(OR(posicao_contratual!J56="",posicao_contratual!N56=""),"",ROUND(MAX(posicao_contratual!J56+posicao_contratual!H56-posicao_contratual!N56,0),2))</f>
        <v/>
      </c>
      <c r="N56" s="79" t="str">
        <f>IF(AND(A56="",A55&lt;&gt;"",COUNTIF(A57:$A$200,"&lt;&gt;")=0),IF(COUNT(N$2:N55)=0,"",ROUND(SUMIF($A$2:A55,"&lt;&gt;",N$2:N55),2)),IF(OR(M56="",NOT(ISNUMBER(historico_VU!D56))),"",ROUND(M56*historico_VU!D56,2)))</f>
        <v/>
      </c>
      <c r="O56" s="85" t="str">
        <f>IF(OR(posicao_contratual!N56="",posicao_contratual!R56=""),"",ROUND(MAX(posicao_contratual!N56+posicao_contratual!L56-posicao_contratual!R56,0),2))</f>
        <v/>
      </c>
      <c r="P56" s="79" t="str">
        <f>IF(AND(A56="",A55&lt;&gt;"",COUNTIF(A57:$A$200,"&lt;&gt;")=0),IF(COUNT(P$2:P55)=0,"",ROUND(SUMIF($A$2:A55,"&lt;&gt;",P$2:P55),2)),IF(OR(O56="",NOT(ISNUMBER(historico_VU!E56))),"",ROUND(O56*historico_VU!E56,2)))</f>
        <v/>
      </c>
      <c r="Q56" s="85" t="str">
        <f>IF(OR(posicao_contratual!R56="",posicao_contratual!V56=""),"",ROUND(MAX(posicao_contratual!R56+posicao_contratual!P56-posicao_contratual!V56,0),2))</f>
        <v/>
      </c>
      <c r="R56" s="79" t="str">
        <f>IF(AND(A56="",A55&lt;&gt;"",COUNTIF(A57:$A$200,"&lt;&gt;")=0),IF(COUNT(R$2:R55)=0,"",ROUND(SUMIF($A$2:A55,"&lt;&gt;",R$2:R55),2)),IF(OR(Q56="",NOT(ISNUMBER(historico_VU!F56))),"",ROUND(Q56*historico_VU!F56,2)))</f>
        <v/>
      </c>
      <c r="S56" s="21"/>
      <c r="T56" s="22" t="str">
        <f>IF(AND(A56="",A55&lt;&gt;"",COUNTIF(A57:$A$200,"&lt;&gt;")=0),IF(COUNT(T$2:T55)=0,"",ROUND(SUMIF($A$2:A55,"&lt;&gt;",T$2:T55),2)),IF(OR(S56="",NOT(ISNUMBER(historico_VU!G56))),"",ROUND(S56*historico_VU!G56,2)))</f>
        <v/>
      </c>
      <c r="U56" s="86" t="str">
        <f>IF(AND(A56="",A55&lt;&gt;"",COUNTIF(A57:$A$200,"&lt;&gt;")=0),"TOTAL",IF(A56="","",posicao_contratual!X56))</f>
        <v/>
      </c>
      <c r="V56" s="86" t="str">
        <f>IF(A56="","",posicao_contratual!X56)</f>
        <v/>
      </c>
      <c r="W56" s="14"/>
      <c r="X56" s="14"/>
      <c r="Y56" s="14"/>
      <c r="Z56" s="13"/>
      <c r="AA56" s="13"/>
      <c r="AB56" s="85" t="str">
        <f>IF(OR(A56="",posicao_contratual!E56="",posicao_contratual!J56=""),"",ROUND(MAX(posicao_contratual!E56-posicao_contratual!J56,0),2))</f>
        <v/>
      </c>
      <c r="AC56" s="79" t="str">
        <f>IF(AND(A56="",A55&lt;&gt;"",COUNTIF(A57:$A$200,"&lt;&gt;")=0),IF(COUNT(AC$2:AC55)=0,"",ROUND(SUMIF($A$2:A55,"&lt;&gt;",AC$2:AC55),2)),IF(OR(AB56="",NOT(ISNUMBER(historico_VU!C56))),"",ROUND(AB56*historico_VU!C56,2)))</f>
        <v/>
      </c>
      <c r="AD56" s="145" t="str">
        <f>IF(A56="","",posicao_contratual!E56)</f>
        <v/>
      </c>
      <c r="AE56" s="145" t="str">
        <f>IF(A56="","",posicao_contratual!I56)</f>
        <v/>
      </c>
      <c r="AF56" s="145" t="str">
        <f>IF(A56="","",posicao_contratual!M56)</f>
        <v/>
      </c>
      <c r="AG56" s="145" t="str">
        <f>IF(A56="","",posicao_contratual!Q56)</f>
        <v/>
      </c>
      <c r="AH56" s="145" t="str">
        <f>IF(A56="","",posicao_contratual!U56)</f>
        <v/>
      </c>
      <c r="AI56" s="145" t="str">
        <f>IF(A56="","",posicao_contratual!G56)</f>
        <v/>
      </c>
      <c r="AJ56" s="145" t="str">
        <f>IF(A56="","",posicao_contratual!K56)</f>
        <v/>
      </c>
      <c r="AK56" s="145" t="str">
        <f>IF(A56="","",posicao_contratual!O56)</f>
        <v/>
      </c>
      <c r="AL56" s="145" t="str">
        <f>IF(A56="","",posicao_contratual!S56)</f>
        <v/>
      </c>
      <c r="AM56" s="145" t="str">
        <f>IF(A56="","",posicao_contratual!W56)</f>
        <v/>
      </c>
      <c r="AN56" s="146" t="str">
        <f>IF(A56="","",posicao_contratual!X56)</f>
        <v/>
      </c>
      <c r="AO56" t="str">
        <f>IF($A56="","",ROUND(SUMIFS(itens_Consumidos!$E$2:$E$200,itens_Consumidos!$A$2:$A$200,$A56),2))</f>
        <v/>
      </c>
      <c r="AP56" t="str">
        <f t="shared" si="6"/>
        <v/>
      </c>
      <c r="AQ56" t="str">
        <f>IF(OR($A56="",AB56="",MEMORIA_RESULTADOS!$I$258=""),"",ROUND(AB56*$C56*(MEMORIA_RESULTADOS!$I$258-1),2))</f>
        <v/>
      </c>
      <c r="AR56" t="str">
        <f>IF(OR($A56="",AP56="",MEMORIA_RESULTADOS!$I$258=""),"",ROUND(AP56*$C56*(parametros!$F$2-MEMORIA_RESULTADOS!$I$258),2))</f>
        <v/>
      </c>
      <c r="AS56" t="str">
        <f>IF($A56="","",ROUND(SUMIFS(itens_Consumidos!$G$2:$G$200,itens_Consumidos!$A$2:$A$200,$A56),2))</f>
        <v/>
      </c>
      <c r="AT56" t="str">
        <f t="shared" si="7"/>
        <v/>
      </c>
      <c r="AU56" t="str">
        <f>IF(OR($A56="",M56="",MEMORIA_RESULTADOS!$I$259=""),"",ROUND(M56*$C56*(MEMORIA_RESULTADOS!$I$259-1),2))</f>
        <v/>
      </c>
      <c r="AV56" t="str">
        <f>IF(OR($A56="",AT56="",MEMORIA_RESULTADOS!$I$259=""),"",ROUND(AT56*$C56*(parametros!$F$3-MEMORIA_RESULTADOS!$I$259),2))</f>
        <v/>
      </c>
      <c r="AW56" t="str">
        <f>IF($A56="","",ROUND(SUMIFS(itens_Consumidos!$I$2:$I$200,itens_Consumidos!$A$2:$A$200,$A56),2))</f>
        <v/>
      </c>
      <c r="AX56" t="str">
        <f t="shared" si="8"/>
        <v/>
      </c>
      <c r="AY56" t="str">
        <f>IF(OR($A56="",O56="",MEMORIA_RESULTADOS!$I$260=""),"",ROUND(O56*$C56*(MEMORIA_RESULTADOS!$I$260-1),2))</f>
        <v/>
      </c>
      <c r="AZ56" t="str">
        <f>IF(OR($A56="",AX56="",MEMORIA_RESULTADOS!$I$260=""),"",ROUND(AX56*$C56*(parametros!$F$4-MEMORIA_RESULTADOS!$I$260),2))</f>
        <v/>
      </c>
      <c r="BA56" t="str">
        <f>IF($A56="","",ROUND(SUMIFS(itens_Consumidos!$K$2:$K$200,itens_Consumidos!$A$2:$A$200,$A56),2))</f>
        <v/>
      </c>
      <c r="BB56" t="str">
        <f t="shared" si="9"/>
        <v/>
      </c>
      <c r="BC56" t="str">
        <f>IF(OR($A56="",Q56="",MEMORIA_RESULTADOS!$I$261=""),"",ROUND(Q56*$C56*(MEMORIA_RESULTADOS!$I$261-1),2))</f>
        <v/>
      </c>
      <c r="BD56" t="str">
        <f>IF(OR($A56="",BB56="",MEMORIA_RESULTADOS!$I$261=""),"",ROUND(BB56*$C56*(parametros!$F$5-MEMORIA_RESULTADOS!$I$261),2))</f>
        <v/>
      </c>
      <c r="BE56" t="str">
        <f>IF($A56="","",ROUND(SUMIFS(itens_Consumidos!$M$2:$M$200,itens_Consumidos!$A$2:$A$200,$A56),2))</f>
        <v/>
      </c>
      <c r="BF56" t="str">
        <f t="shared" si="10"/>
        <v/>
      </c>
      <c r="BG56" t="str">
        <f>IF(OR($A56="",S56="",MEMORIA_RESULTADOS!$I$262=""),"",ROUND(S56*$C56*(MEMORIA_RESULTADOS!$I$262-1),2))</f>
        <v/>
      </c>
      <c r="BH56" t="str">
        <f>IF(OR($A56="",BF56="",MEMORIA_RESULTADOS!$I$262=""),"",ROUND(BF56*$C56*(parametros!$F$6-MEMORIA_RESULTADOS!$I$262),2))</f>
        <v/>
      </c>
      <c r="BI56" t="str">
        <f>IF($A56="","",IF(posicao_contratual!$AL56="","",posicao_contratual!$AL56))</f>
        <v/>
      </c>
    </row>
    <row r="57" spans="1:61" x14ac:dyDescent="0.35">
      <c r="A57" s="81"/>
      <c r="B57" s="82" t="str">
        <f t="shared" si="11"/>
        <v/>
      </c>
      <c r="C57" s="83"/>
      <c r="D57" s="79" t="str">
        <f>IF(AND(A57="",A56&lt;&gt;"",COUNTIF(A58:$A$200,"&lt;&gt;")=0),ROUND(SUMIF($A$2:A56,"&lt;&gt;",$D$2:D56),2),IF(OR(A57="",B57="",C57=""),"",ROUND(B57*C57,2)))</f>
        <v/>
      </c>
      <c r="E57" s="84"/>
      <c r="F57" s="79" t="str">
        <f>IF(AND(A57="",A56&lt;&gt;"",COUNTIF(A58:$A$200,"&lt;&gt;")=0),IF(COUNT(F$2:F56)=0,"",ROUND(SUMIF($A$2:A56,"&lt;&gt;",F$2:F56),2)),IF(OR(A57="",AND(ISNUMBER(posicao_contratual!$AL57),posicao_contratual!$AL57&gt;1),posicao_contratual!K57="",NOT(ISNUMBER(historico_VU!D57))),"",ROUND(posicao_contratual!K57*historico_VU!D57,2)))</f>
        <v/>
      </c>
      <c r="G57" s="84"/>
      <c r="H57" s="79" t="str">
        <f>IF(AND(A57="",A56&lt;&gt;"",COUNTIF(A58:$A$200,"&lt;&gt;")=0),IF(COUNT(H$2:H56)=0,"",ROUND(SUMIF($A$2:A56,"&lt;&gt;",H$2:H56),2)),IF(OR(A57="",AND(ISNUMBER(posicao_contratual!$AL57),posicao_contratual!$AL57&gt;2),posicao_contratual!O57="",NOT(ISNUMBER(historico_VU!E57))),"",ROUND(posicao_contratual!O57*historico_VU!E57,2)))</f>
        <v/>
      </c>
      <c r="I57" s="84"/>
      <c r="J57" s="79" t="str">
        <f>IF(AND(A57="",A56&lt;&gt;"",COUNTIF(A58:$A$200,"&lt;&gt;")=0),IF(COUNT(J$2:J56)=0,"",ROUND(SUMIF($A$2:A56,"&lt;&gt;",J$2:J56),2)),IF(OR(A57="",AND(ISNUMBER(posicao_contratual!$AL57),posicao_contratual!$AL57&gt;3),posicao_contratual!S57="",NOT(ISNUMBER(historico_VU!F57))),"",ROUND(posicao_contratual!S57*historico_VU!F57,2)))</f>
        <v/>
      </c>
      <c r="K57" s="84"/>
      <c r="L57" s="79" t="str">
        <f>IF(AND(A57="",A56&lt;&gt;"",COUNTIF(A58:$A$200,"&lt;&gt;")=0),IF(COUNT(L$2:L56)=0,"",ROUND(SUMIF($A$2:A56,"&lt;&gt;",L$2:L56),2)),IF(OR(A57="",AND(ISNUMBER(posicao_contratual!$AL57),posicao_contratual!$AL57&gt;4),posicao_contratual!W57="",NOT(ISNUMBER(historico_VU!G57))),"",ROUND(posicao_contratual!W57*historico_VU!G57,2)))</f>
        <v/>
      </c>
      <c r="M57" s="85" t="str">
        <f>IF(OR(posicao_contratual!J57="",posicao_contratual!N57=""),"",ROUND(MAX(posicao_contratual!J57+posicao_contratual!H57-posicao_contratual!N57,0),2))</f>
        <v/>
      </c>
      <c r="N57" s="79" t="str">
        <f>IF(AND(A57="",A56&lt;&gt;"",COUNTIF(A58:$A$200,"&lt;&gt;")=0),IF(COUNT(N$2:N56)=0,"",ROUND(SUMIF($A$2:A56,"&lt;&gt;",N$2:N56),2)),IF(OR(M57="",NOT(ISNUMBER(historico_VU!D57))),"",ROUND(M57*historico_VU!D57,2)))</f>
        <v/>
      </c>
      <c r="O57" s="85" t="str">
        <f>IF(OR(posicao_contratual!N57="",posicao_contratual!R57=""),"",ROUND(MAX(posicao_contratual!N57+posicao_contratual!L57-posicao_contratual!R57,0),2))</f>
        <v/>
      </c>
      <c r="P57" s="79" t="str">
        <f>IF(AND(A57="",A56&lt;&gt;"",COUNTIF(A58:$A$200,"&lt;&gt;")=0),IF(COUNT(P$2:P56)=0,"",ROUND(SUMIF($A$2:A56,"&lt;&gt;",P$2:P56),2)),IF(OR(O57="",NOT(ISNUMBER(historico_VU!E57))),"",ROUND(O57*historico_VU!E57,2)))</f>
        <v/>
      </c>
      <c r="Q57" s="85" t="str">
        <f>IF(OR(posicao_contratual!R57="",posicao_contratual!V57=""),"",ROUND(MAX(posicao_contratual!R57+posicao_contratual!P57-posicao_contratual!V57,0),2))</f>
        <v/>
      </c>
      <c r="R57" s="79" t="str">
        <f>IF(AND(A57="",A56&lt;&gt;"",COUNTIF(A58:$A$200,"&lt;&gt;")=0),IF(COUNT(R$2:R56)=0,"",ROUND(SUMIF($A$2:A56,"&lt;&gt;",R$2:R56),2)),IF(OR(Q57="",NOT(ISNUMBER(historico_VU!F57))),"",ROUND(Q57*historico_VU!F57,2)))</f>
        <v/>
      </c>
      <c r="S57" s="21"/>
      <c r="T57" s="22" t="str">
        <f>IF(AND(A57="",A56&lt;&gt;"",COUNTIF(A58:$A$200,"&lt;&gt;")=0),IF(COUNT(T$2:T56)=0,"",ROUND(SUMIF($A$2:A56,"&lt;&gt;",T$2:T56),2)),IF(OR(S57="",NOT(ISNUMBER(historico_VU!G57))),"",ROUND(S57*historico_VU!G57,2)))</f>
        <v/>
      </c>
      <c r="U57" s="86" t="str">
        <f>IF(AND(A57="",A56&lt;&gt;"",COUNTIF(A58:$A$200,"&lt;&gt;")=0),"TOTAL",IF(A57="","",posicao_contratual!X57))</f>
        <v/>
      </c>
      <c r="V57" s="86" t="str">
        <f>IF(A57="","",posicao_contratual!X57)</f>
        <v/>
      </c>
      <c r="W57" s="14"/>
      <c r="X57" s="14"/>
      <c r="Y57" s="14"/>
      <c r="Z57" s="13"/>
      <c r="AA57" s="13"/>
      <c r="AB57" s="85" t="str">
        <f>IF(OR(A57="",posicao_contratual!E57="",posicao_contratual!J57=""),"",ROUND(MAX(posicao_contratual!E57-posicao_contratual!J57,0),2))</f>
        <v/>
      </c>
      <c r="AC57" s="79" t="str">
        <f>IF(AND(A57="",A56&lt;&gt;"",COUNTIF(A58:$A$200,"&lt;&gt;")=0),IF(COUNT(AC$2:AC56)=0,"",ROUND(SUMIF($A$2:A56,"&lt;&gt;",AC$2:AC56),2)),IF(OR(AB57="",NOT(ISNUMBER(historico_VU!C57))),"",ROUND(AB57*historico_VU!C57,2)))</f>
        <v/>
      </c>
      <c r="AD57" s="145" t="str">
        <f>IF(A57="","",posicao_contratual!E57)</f>
        <v/>
      </c>
      <c r="AE57" s="145" t="str">
        <f>IF(A57="","",posicao_contratual!I57)</f>
        <v/>
      </c>
      <c r="AF57" s="145" t="str">
        <f>IF(A57="","",posicao_contratual!M57)</f>
        <v/>
      </c>
      <c r="AG57" s="145" t="str">
        <f>IF(A57="","",posicao_contratual!Q57)</f>
        <v/>
      </c>
      <c r="AH57" s="145" t="str">
        <f>IF(A57="","",posicao_contratual!U57)</f>
        <v/>
      </c>
      <c r="AI57" s="145" t="str">
        <f>IF(A57="","",posicao_contratual!G57)</f>
        <v/>
      </c>
      <c r="AJ57" s="145" t="str">
        <f>IF(A57="","",posicao_contratual!K57)</f>
        <v/>
      </c>
      <c r="AK57" s="145" t="str">
        <f>IF(A57="","",posicao_contratual!O57)</f>
        <v/>
      </c>
      <c r="AL57" s="145" t="str">
        <f>IF(A57="","",posicao_contratual!S57)</f>
        <v/>
      </c>
      <c r="AM57" s="145" t="str">
        <f>IF(A57="","",posicao_contratual!W57)</f>
        <v/>
      </c>
      <c r="AN57" s="146" t="str">
        <f>IF(A57="","",posicao_contratual!X57)</f>
        <v/>
      </c>
      <c r="AO57" t="str">
        <f>IF($A57="","",ROUND(SUMIFS(itens_Consumidos!$E$2:$E$200,itens_Consumidos!$A$2:$A$200,$A57),2))</f>
        <v/>
      </c>
      <c r="AP57" t="str">
        <f t="shared" si="6"/>
        <v/>
      </c>
      <c r="AQ57" t="str">
        <f>IF(OR($A57="",AB57="",MEMORIA_RESULTADOS!$I$258=""),"",ROUND(AB57*$C57*(MEMORIA_RESULTADOS!$I$258-1),2))</f>
        <v/>
      </c>
      <c r="AR57" t="str">
        <f>IF(OR($A57="",AP57="",MEMORIA_RESULTADOS!$I$258=""),"",ROUND(AP57*$C57*(parametros!$F$2-MEMORIA_RESULTADOS!$I$258),2))</f>
        <v/>
      </c>
      <c r="AS57" t="str">
        <f>IF($A57="","",ROUND(SUMIFS(itens_Consumidos!$G$2:$G$200,itens_Consumidos!$A$2:$A$200,$A57),2))</f>
        <v/>
      </c>
      <c r="AT57" t="str">
        <f t="shared" si="7"/>
        <v/>
      </c>
      <c r="AU57" t="str">
        <f>IF(OR($A57="",M57="",MEMORIA_RESULTADOS!$I$259=""),"",ROUND(M57*$C57*(MEMORIA_RESULTADOS!$I$259-1),2))</f>
        <v/>
      </c>
      <c r="AV57" t="str">
        <f>IF(OR($A57="",AT57="",MEMORIA_RESULTADOS!$I$259=""),"",ROUND(AT57*$C57*(parametros!$F$3-MEMORIA_RESULTADOS!$I$259),2))</f>
        <v/>
      </c>
      <c r="AW57" t="str">
        <f>IF($A57="","",ROUND(SUMIFS(itens_Consumidos!$I$2:$I$200,itens_Consumidos!$A$2:$A$200,$A57),2))</f>
        <v/>
      </c>
      <c r="AX57" t="str">
        <f t="shared" si="8"/>
        <v/>
      </c>
      <c r="AY57" t="str">
        <f>IF(OR($A57="",O57="",MEMORIA_RESULTADOS!$I$260=""),"",ROUND(O57*$C57*(MEMORIA_RESULTADOS!$I$260-1),2))</f>
        <v/>
      </c>
      <c r="AZ57" t="str">
        <f>IF(OR($A57="",AX57="",MEMORIA_RESULTADOS!$I$260=""),"",ROUND(AX57*$C57*(parametros!$F$4-MEMORIA_RESULTADOS!$I$260),2))</f>
        <v/>
      </c>
      <c r="BA57" t="str">
        <f>IF($A57="","",ROUND(SUMIFS(itens_Consumidos!$K$2:$K$200,itens_Consumidos!$A$2:$A$200,$A57),2))</f>
        <v/>
      </c>
      <c r="BB57" t="str">
        <f t="shared" si="9"/>
        <v/>
      </c>
      <c r="BC57" t="str">
        <f>IF(OR($A57="",Q57="",MEMORIA_RESULTADOS!$I$261=""),"",ROUND(Q57*$C57*(MEMORIA_RESULTADOS!$I$261-1),2))</f>
        <v/>
      </c>
      <c r="BD57" t="str">
        <f>IF(OR($A57="",BB57="",MEMORIA_RESULTADOS!$I$261=""),"",ROUND(BB57*$C57*(parametros!$F$5-MEMORIA_RESULTADOS!$I$261),2))</f>
        <v/>
      </c>
      <c r="BE57" t="str">
        <f>IF($A57="","",ROUND(SUMIFS(itens_Consumidos!$M$2:$M$200,itens_Consumidos!$A$2:$A$200,$A57),2))</f>
        <v/>
      </c>
      <c r="BF57" t="str">
        <f t="shared" si="10"/>
        <v/>
      </c>
      <c r="BG57" t="str">
        <f>IF(OR($A57="",S57="",MEMORIA_RESULTADOS!$I$262=""),"",ROUND(S57*$C57*(MEMORIA_RESULTADOS!$I$262-1),2))</f>
        <v/>
      </c>
      <c r="BH57" t="str">
        <f>IF(OR($A57="",BF57="",MEMORIA_RESULTADOS!$I$262=""),"",ROUND(BF57*$C57*(parametros!$F$6-MEMORIA_RESULTADOS!$I$262),2))</f>
        <v/>
      </c>
      <c r="BI57" t="str">
        <f>IF($A57="","",IF(posicao_contratual!$AL57="","",posicao_contratual!$AL57))</f>
        <v/>
      </c>
    </row>
    <row r="58" spans="1:61" x14ac:dyDescent="0.35">
      <c r="A58" s="81"/>
      <c r="B58" s="82" t="str">
        <f t="shared" si="11"/>
        <v/>
      </c>
      <c r="C58" s="83"/>
      <c r="D58" s="79" t="str">
        <f>IF(AND(A58="",A57&lt;&gt;"",COUNTIF(A59:$A$200,"&lt;&gt;")=0),ROUND(SUMIF($A$2:A57,"&lt;&gt;",$D$2:D57),2),IF(OR(A58="",B58="",C58=""),"",ROUND(B58*C58,2)))</f>
        <v/>
      </c>
      <c r="E58" s="84"/>
      <c r="F58" s="79" t="str">
        <f>IF(AND(A58="",A57&lt;&gt;"",COUNTIF(A59:$A$200,"&lt;&gt;")=0),IF(COUNT(F$2:F57)=0,"",ROUND(SUMIF($A$2:A57,"&lt;&gt;",F$2:F57),2)),IF(OR(A58="",AND(ISNUMBER(posicao_contratual!$AL58),posicao_contratual!$AL58&gt;1),posicao_contratual!K58="",NOT(ISNUMBER(historico_VU!D58))),"",ROUND(posicao_contratual!K58*historico_VU!D58,2)))</f>
        <v/>
      </c>
      <c r="G58" s="84"/>
      <c r="H58" s="79" t="str">
        <f>IF(AND(A58="",A57&lt;&gt;"",COUNTIF(A59:$A$200,"&lt;&gt;")=0),IF(COUNT(H$2:H57)=0,"",ROUND(SUMIF($A$2:A57,"&lt;&gt;",H$2:H57),2)),IF(OR(A58="",AND(ISNUMBER(posicao_contratual!$AL58),posicao_contratual!$AL58&gt;2),posicao_contratual!O58="",NOT(ISNUMBER(historico_VU!E58))),"",ROUND(posicao_contratual!O58*historico_VU!E58,2)))</f>
        <v/>
      </c>
      <c r="I58" s="84"/>
      <c r="J58" s="79" t="str">
        <f>IF(AND(A58="",A57&lt;&gt;"",COUNTIF(A59:$A$200,"&lt;&gt;")=0),IF(COUNT(J$2:J57)=0,"",ROUND(SUMIF($A$2:A57,"&lt;&gt;",J$2:J57),2)),IF(OR(A58="",AND(ISNUMBER(posicao_contratual!$AL58),posicao_contratual!$AL58&gt;3),posicao_contratual!S58="",NOT(ISNUMBER(historico_VU!F58))),"",ROUND(posicao_contratual!S58*historico_VU!F58,2)))</f>
        <v/>
      </c>
      <c r="K58" s="84"/>
      <c r="L58" s="79" t="str">
        <f>IF(AND(A58="",A57&lt;&gt;"",COUNTIF(A59:$A$200,"&lt;&gt;")=0),IF(COUNT(L$2:L57)=0,"",ROUND(SUMIF($A$2:A57,"&lt;&gt;",L$2:L57),2)),IF(OR(A58="",AND(ISNUMBER(posicao_contratual!$AL58),posicao_contratual!$AL58&gt;4),posicao_contratual!W58="",NOT(ISNUMBER(historico_VU!G58))),"",ROUND(posicao_contratual!W58*historico_VU!G58,2)))</f>
        <v/>
      </c>
      <c r="M58" s="85" t="str">
        <f>IF(OR(posicao_contratual!J58="",posicao_contratual!N58=""),"",ROUND(MAX(posicao_contratual!J58+posicao_contratual!H58-posicao_contratual!N58,0),2))</f>
        <v/>
      </c>
      <c r="N58" s="79" t="str">
        <f>IF(AND(A58="",A57&lt;&gt;"",COUNTIF(A59:$A$200,"&lt;&gt;")=0),IF(COUNT(N$2:N57)=0,"",ROUND(SUMIF($A$2:A57,"&lt;&gt;",N$2:N57),2)),IF(OR(M58="",NOT(ISNUMBER(historico_VU!D58))),"",ROUND(M58*historico_VU!D58,2)))</f>
        <v/>
      </c>
      <c r="O58" s="85" t="str">
        <f>IF(OR(posicao_contratual!N58="",posicao_contratual!R58=""),"",ROUND(MAX(posicao_contratual!N58+posicao_contratual!L58-posicao_contratual!R58,0),2))</f>
        <v/>
      </c>
      <c r="P58" s="79" t="str">
        <f>IF(AND(A58="",A57&lt;&gt;"",COUNTIF(A59:$A$200,"&lt;&gt;")=0),IF(COUNT(P$2:P57)=0,"",ROUND(SUMIF($A$2:A57,"&lt;&gt;",P$2:P57),2)),IF(OR(O58="",NOT(ISNUMBER(historico_VU!E58))),"",ROUND(O58*historico_VU!E58,2)))</f>
        <v/>
      </c>
      <c r="Q58" s="85" t="str">
        <f>IF(OR(posicao_contratual!R58="",posicao_contratual!V58=""),"",ROUND(MAX(posicao_contratual!R58+posicao_contratual!P58-posicao_contratual!V58,0),2))</f>
        <v/>
      </c>
      <c r="R58" s="79" t="str">
        <f>IF(AND(A58="",A57&lt;&gt;"",COUNTIF(A59:$A$200,"&lt;&gt;")=0),IF(COUNT(R$2:R57)=0,"",ROUND(SUMIF($A$2:A57,"&lt;&gt;",R$2:R57),2)),IF(OR(Q58="",NOT(ISNUMBER(historico_VU!F58))),"",ROUND(Q58*historico_VU!F58,2)))</f>
        <v/>
      </c>
      <c r="S58" s="21"/>
      <c r="T58" s="22" t="str">
        <f>IF(AND(A58="",A57&lt;&gt;"",COUNTIF(A59:$A$200,"&lt;&gt;")=0),IF(COUNT(T$2:T57)=0,"",ROUND(SUMIF($A$2:A57,"&lt;&gt;",T$2:T57),2)),IF(OR(S58="",NOT(ISNUMBER(historico_VU!G58))),"",ROUND(S58*historico_VU!G58,2)))</f>
        <v/>
      </c>
      <c r="U58" s="86" t="str">
        <f>IF(AND(A58="",A57&lt;&gt;"",COUNTIF(A59:$A$200,"&lt;&gt;")=0),"TOTAL",IF(A58="","",posicao_contratual!X58))</f>
        <v/>
      </c>
      <c r="V58" s="86" t="str">
        <f>IF(A58="","",posicao_contratual!X58)</f>
        <v/>
      </c>
      <c r="W58" s="14"/>
      <c r="X58" s="14"/>
      <c r="Y58" s="14"/>
      <c r="Z58" s="13"/>
      <c r="AA58" s="13"/>
      <c r="AB58" s="85" t="str">
        <f>IF(OR(A58="",posicao_contratual!E58="",posicao_contratual!J58=""),"",ROUND(MAX(posicao_contratual!E58-posicao_contratual!J58,0),2))</f>
        <v/>
      </c>
      <c r="AC58" s="79" t="str">
        <f>IF(AND(A58="",A57&lt;&gt;"",COUNTIF(A59:$A$200,"&lt;&gt;")=0),IF(COUNT(AC$2:AC57)=0,"",ROUND(SUMIF($A$2:A57,"&lt;&gt;",AC$2:AC57),2)),IF(OR(AB58="",NOT(ISNUMBER(historico_VU!C58))),"",ROUND(AB58*historico_VU!C58,2)))</f>
        <v/>
      </c>
      <c r="AD58" s="145" t="str">
        <f>IF(A58="","",posicao_contratual!E58)</f>
        <v/>
      </c>
      <c r="AE58" s="145" t="str">
        <f>IF(A58="","",posicao_contratual!I58)</f>
        <v/>
      </c>
      <c r="AF58" s="145" t="str">
        <f>IF(A58="","",posicao_contratual!M58)</f>
        <v/>
      </c>
      <c r="AG58" s="145" t="str">
        <f>IF(A58="","",posicao_contratual!Q58)</f>
        <v/>
      </c>
      <c r="AH58" s="145" t="str">
        <f>IF(A58="","",posicao_contratual!U58)</f>
        <v/>
      </c>
      <c r="AI58" s="145" t="str">
        <f>IF(A58="","",posicao_contratual!G58)</f>
        <v/>
      </c>
      <c r="AJ58" s="145" t="str">
        <f>IF(A58="","",posicao_contratual!K58)</f>
        <v/>
      </c>
      <c r="AK58" s="145" t="str">
        <f>IF(A58="","",posicao_contratual!O58)</f>
        <v/>
      </c>
      <c r="AL58" s="145" t="str">
        <f>IF(A58="","",posicao_contratual!S58)</f>
        <v/>
      </c>
      <c r="AM58" s="145" t="str">
        <f>IF(A58="","",posicao_contratual!W58)</f>
        <v/>
      </c>
      <c r="AN58" s="146" t="str">
        <f>IF(A58="","",posicao_contratual!X58)</f>
        <v/>
      </c>
      <c r="AO58" t="str">
        <f>IF($A58="","",ROUND(SUMIFS(itens_Consumidos!$E$2:$E$200,itens_Consumidos!$A$2:$A$200,$A58),2))</f>
        <v/>
      </c>
      <c r="AP58" t="str">
        <f t="shared" si="6"/>
        <v/>
      </c>
      <c r="AQ58" t="str">
        <f>IF(OR($A58="",AB58="",MEMORIA_RESULTADOS!$I$258=""),"",ROUND(AB58*$C58*(MEMORIA_RESULTADOS!$I$258-1),2))</f>
        <v/>
      </c>
      <c r="AR58" t="str">
        <f>IF(OR($A58="",AP58="",MEMORIA_RESULTADOS!$I$258=""),"",ROUND(AP58*$C58*(parametros!$F$2-MEMORIA_RESULTADOS!$I$258),2))</f>
        <v/>
      </c>
      <c r="AS58" t="str">
        <f>IF($A58="","",ROUND(SUMIFS(itens_Consumidos!$G$2:$G$200,itens_Consumidos!$A$2:$A$200,$A58),2))</f>
        <v/>
      </c>
      <c r="AT58" t="str">
        <f t="shared" si="7"/>
        <v/>
      </c>
      <c r="AU58" t="str">
        <f>IF(OR($A58="",M58="",MEMORIA_RESULTADOS!$I$259=""),"",ROUND(M58*$C58*(MEMORIA_RESULTADOS!$I$259-1),2))</f>
        <v/>
      </c>
      <c r="AV58" t="str">
        <f>IF(OR($A58="",AT58="",MEMORIA_RESULTADOS!$I$259=""),"",ROUND(AT58*$C58*(parametros!$F$3-MEMORIA_RESULTADOS!$I$259),2))</f>
        <v/>
      </c>
      <c r="AW58" t="str">
        <f>IF($A58="","",ROUND(SUMIFS(itens_Consumidos!$I$2:$I$200,itens_Consumidos!$A$2:$A$200,$A58),2))</f>
        <v/>
      </c>
      <c r="AX58" t="str">
        <f t="shared" si="8"/>
        <v/>
      </c>
      <c r="AY58" t="str">
        <f>IF(OR($A58="",O58="",MEMORIA_RESULTADOS!$I$260=""),"",ROUND(O58*$C58*(MEMORIA_RESULTADOS!$I$260-1),2))</f>
        <v/>
      </c>
      <c r="AZ58" t="str">
        <f>IF(OR($A58="",AX58="",MEMORIA_RESULTADOS!$I$260=""),"",ROUND(AX58*$C58*(parametros!$F$4-MEMORIA_RESULTADOS!$I$260),2))</f>
        <v/>
      </c>
      <c r="BA58" t="str">
        <f>IF($A58="","",ROUND(SUMIFS(itens_Consumidos!$K$2:$K$200,itens_Consumidos!$A$2:$A$200,$A58),2))</f>
        <v/>
      </c>
      <c r="BB58" t="str">
        <f t="shared" si="9"/>
        <v/>
      </c>
      <c r="BC58" t="str">
        <f>IF(OR($A58="",Q58="",MEMORIA_RESULTADOS!$I$261=""),"",ROUND(Q58*$C58*(MEMORIA_RESULTADOS!$I$261-1),2))</f>
        <v/>
      </c>
      <c r="BD58" t="str">
        <f>IF(OR($A58="",BB58="",MEMORIA_RESULTADOS!$I$261=""),"",ROUND(BB58*$C58*(parametros!$F$5-MEMORIA_RESULTADOS!$I$261),2))</f>
        <v/>
      </c>
      <c r="BE58" t="str">
        <f>IF($A58="","",ROUND(SUMIFS(itens_Consumidos!$M$2:$M$200,itens_Consumidos!$A$2:$A$200,$A58),2))</f>
        <v/>
      </c>
      <c r="BF58" t="str">
        <f t="shared" si="10"/>
        <v/>
      </c>
      <c r="BG58" t="str">
        <f>IF(OR($A58="",S58="",MEMORIA_RESULTADOS!$I$262=""),"",ROUND(S58*$C58*(MEMORIA_RESULTADOS!$I$262-1),2))</f>
        <v/>
      </c>
      <c r="BH58" t="str">
        <f>IF(OR($A58="",BF58="",MEMORIA_RESULTADOS!$I$262=""),"",ROUND(BF58*$C58*(parametros!$F$6-MEMORIA_RESULTADOS!$I$262),2))</f>
        <v/>
      </c>
      <c r="BI58" t="str">
        <f>IF($A58="","",IF(posicao_contratual!$AL58="","",posicao_contratual!$AL58))</f>
        <v/>
      </c>
    </row>
    <row r="59" spans="1:61" x14ac:dyDescent="0.35">
      <c r="A59" s="81"/>
      <c r="B59" s="82" t="str">
        <f t="shared" si="11"/>
        <v/>
      </c>
      <c r="C59" s="83"/>
      <c r="D59" s="79" t="str">
        <f>IF(AND(A59="",A58&lt;&gt;"",COUNTIF(A60:$A$200,"&lt;&gt;")=0),ROUND(SUMIF($A$2:A58,"&lt;&gt;",$D$2:D58),2),IF(OR(A59="",B59="",C59=""),"",ROUND(B59*C59,2)))</f>
        <v/>
      </c>
      <c r="E59" s="84"/>
      <c r="F59" s="79" t="str">
        <f>IF(AND(A59="",A58&lt;&gt;"",COUNTIF(A60:$A$200,"&lt;&gt;")=0),IF(COUNT(F$2:F58)=0,"",ROUND(SUMIF($A$2:A58,"&lt;&gt;",F$2:F58),2)),IF(OR(A59="",AND(ISNUMBER(posicao_contratual!$AL59),posicao_contratual!$AL59&gt;1),posicao_contratual!K59="",NOT(ISNUMBER(historico_VU!D59))),"",ROUND(posicao_contratual!K59*historico_VU!D59,2)))</f>
        <v/>
      </c>
      <c r="G59" s="84"/>
      <c r="H59" s="79" t="str">
        <f>IF(AND(A59="",A58&lt;&gt;"",COUNTIF(A60:$A$200,"&lt;&gt;")=0),IF(COUNT(H$2:H58)=0,"",ROUND(SUMIF($A$2:A58,"&lt;&gt;",H$2:H58),2)),IF(OR(A59="",AND(ISNUMBER(posicao_contratual!$AL59),posicao_contratual!$AL59&gt;2),posicao_contratual!O59="",NOT(ISNUMBER(historico_VU!E59))),"",ROUND(posicao_contratual!O59*historico_VU!E59,2)))</f>
        <v/>
      </c>
      <c r="I59" s="84"/>
      <c r="J59" s="79" t="str">
        <f>IF(AND(A59="",A58&lt;&gt;"",COUNTIF(A60:$A$200,"&lt;&gt;")=0),IF(COUNT(J$2:J58)=0,"",ROUND(SUMIF($A$2:A58,"&lt;&gt;",J$2:J58),2)),IF(OR(A59="",AND(ISNUMBER(posicao_contratual!$AL59),posicao_contratual!$AL59&gt;3),posicao_contratual!S59="",NOT(ISNUMBER(historico_VU!F59))),"",ROUND(posicao_contratual!S59*historico_VU!F59,2)))</f>
        <v/>
      </c>
      <c r="K59" s="84"/>
      <c r="L59" s="79" t="str">
        <f>IF(AND(A59="",A58&lt;&gt;"",COUNTIF(A60:$A$200,"&lt;&gt;")=0),IF(COUNT(L$2:L58)=0,"",ROUND(SUMIF($A$2:A58,"&lt;&gt;",L$2:L58),2)),IF(OR(A59="",AND(ISNUMBER(posicao_contratual!$AL59),posicao_contratual!$AL59&gt;4),posicao_contratual!W59="",NOT(ISNUMBER(historico_VU!G59))),"",ROUND(posicao_contratual!W59*historico_VU!G59,2)))</f>
        <v/>
      </c>
      <c r="M59" s="85" t="str">
        <f>IF(OR(posicao_contratual!J59="",posicao_contratual!N59=""),"",ROUND(MAX(posicao_contratual!J59+posicao_contratual!H59-posicao_contratual!N59,0),2))</f>
        <v/>
      </c>
      <c r="N59" s="79" t="str">
        <f>IF(AND(A59="",A58&lt;&gt;"",COUNTIF(A60:$A$200,"&lt;&gt;")=0),IF(COUNT(N$2:N58)=0,"",ROUND(SUMIF($A$2:A58,"&lt;&gt;",N$2:N58),2)),IF(OR(M59="",NOT(ISNUMBER(historico_VU!D59))),"",ROUND(M59*historico_VU!D59,2)))</f>
        <v/>
      </c>
      <c r="O59" s="85" t="str">
        <f>IF(OR(posicao_contratual!N59="",posicao_contratual!R59=""),"",ROUND(MAX(posicao_contratual!N59+posicao_contratual!L59-posicao_contratual!R59,0),2))</f>
        <v/>
      </c>
      <c r="P59" s="79" t="str">
        <f>IF(AND(A59="",A58&lt;&gt;"",COUNTIF(A60:$A$200,"&lt;&gt;")=0),IF(COUNT(P$2:P58)=0,"",ROUND(SUMIF($A$2:A58,"&lt;&gt;",P$2:P58),2)),IF(OR(O59="",NOT(ISNUMBER(historico_VU!E59))),"",ROUND(O59*historico_VU!E59,2)))</f>
        <v/>
      </c>
      <c r="Q59" s="85" t="str">
        <f>IF(OR(posicao_contratual!R59="",posicao_contratual!V59=""),"",ROUND(MAX(posicao_contratual!R59+posicao_contratual!P59-posicao_contratual!V59,0),2))</f>
        <v/>
      </c>
      <c r="R59" s="79" t="str">
        <f>IF(AND(A59="",A58&lt;&gt;"",COUNTIF(A60:$A$200,"&lt;&gt;")=0),IF(COUNT(R$2:R58)=0,"",ROUND(SUMIF($A$2:A58,"&lt;&gt;",R$2:R58),2)),IF(OR(Q59="",NOT(ISNUMBER(historico_VU!F59))),"",ROUND(Q59*historico_VU!F59,2)))</f>
        <v/>
      </c>
      <c r="S59" s="21"/>
      <c r="T59" s="22" t="str">
        <f>IF(AND(A59="",A58&lt;&gt;"",COUNTIF(A60:$A$200,"&lt;&gt;")=0),IF(COUNT(T$2:T58)=0,"",ROUND(SUMIF($A$2:A58,"&lt;&gt;",T$2:T58),2)),IF(OR(S59="",NOT(ISNUMBER(historico_VU!G59))),"",ROUND(S59*historico_VU!G59,2)))</f>
        <v/>
      </c>
      <c r="U59" s="86" t="str">
        <f>IF(AND(A59="",A58&lt;&gt;"",COUNTIF(A60:$A$200,"&lt;&gt;")=0),"TOTAL",IF(A59="","",posicao_contratual!X59))</f>
        <v/>
      </c>
      <c r="V59" s="86" t="str">
        <f>IF(A59="","",posicao_contratual!X59)</f>
        <v/>
      </c>
      <c r="W59" s="14"/>
      <c r="X59" s="14"/>
      <c r="Y59" s="14"/>
      <c r="Z59" s="13"/>
      <c r="AA59" s="13"/>
      <c r="AB59" s="85" t="str">
        <f>IF(OR(A59="",posicao_contratual!E59="",posicao_contratual!J59=""),"",ROUND(MAX(posicao_contratual!E59-posicao_contratual!J59,0),2))</f>
        <v/>
      </c>
      <c r="AC59" s="79" t="str">
        <f>IF(AND(A59="",A58&lt;&gt;"",COUNTIF(A60:$A$200,"&lt;&gt;")=0),IF(COUNT(AC$2:AC58)=0,"",ROUND(SUMIF($A$2:A58,"&lt;&gt;",AC$2:AC58),2)),IF(OR(AB59="",NOT(ISNUMBER(historico_VU!C59))),"",ROUND(AB59*historico_VU!C59,2)))</f>
        <v/>
      </c>
      <c r="AD59" s="145" t="str">
        <f>IF(A59="","",posicao_contratual!E59)</f>
        <v/>
      </c>
      <c r="AE59" s="145" t="str">
        <f>IF(A59="","",posicao_contratual!I59)</f>
        <v/>
      </c>
      <c r="AF59" s="145" t="str">
        <f>IF(A59="","",posicao_contratual!M59)</f>
        <v/>
      </c>
      <c r="AG59" s="145" t="str">
        <f>IF(A59="","",posicao_contratual!Q59)</f>
        <v/>
      </c>
      <c r="AH59" s="145" t="str">
        <f>IF(A59="","",posicao_contratual!U59)</f>
        <v/>
      </c>
      <c r="AI59" s="145" t="str">
        <f>IF(A59="","",posicao_contratual!G59)</f>
        <v/>
      </c>
      <c r="AJ59" s="145" t="str">
        <f>IF(A59="","",posicao_contratual!K59)</f>
        <v/>
      </c>
      <c r="AK59" s="145" t="str">
        <f>IF(A59="","",posicao_contratual!O59)</f>
        <v/>
      </c>
      <c r="AL59" s="145" t="str">
        <f>IF(A59="","",posicao_contratual!S59)</f>
        <v/>
      </c>
      <c r="AM59" s="145" t="str">
        <f>IF(A59="","",posicao_contratual!W59)</f>
        <v/>
      </c>
      <c r="AN59" s="146" t="str">
        <f>IF(A59="","",posicao_contratual!X59)</f>
        <v/>
      </c>
      <c r="AO59" t="str">
        <f>IF($A59="","",ROUND(SUMIFS(itens_Consumidos!$E$2:$E$200,itens_Consumidos!$A$2:$A$200,$A59),2))</f>
        <v/>
      </c>
      <c r="AP59" t="str">
        <f t="shared" si="6"/>
        <v/>
      </c>
      <c r="AQ59" t="str">
        <f>IF(OR($A59="",AB59="",MEMORIA_RESULTADOS!$I$258=""),"",ROUND(AB59*$C59*(MEMORIA_RESULTADOS!$I$258-1),2))</f>
        <v/>
      </c>
      <c r="AR59" t="str">
        <f>IF(OR($A59="",AP59="",MEMORIA_RESULTADOS!$I$258=""),"",ROUND(AP59*$C59*(parametros!$F$2-MEMORIA_RESULTADOS!$I$258),2))</f>
        <v/>
      </c>
      <c r="AS59" t="str">
        <f>IF($A59="","",ROUND(SUMIFS(itens_Consumidos!$G$2:$G$200,itens_Consumidos!$A$2:$A$200,$A59),2))</f>
        <v/>
      </c>
      <c r="AT59" t="str">
        <f t="shared" si="7"/>
        <v/>
      </c>
      <c r="AU59" t="str">
        <f>IF(OR($A59="",M59="",MEMORIA_RESULTADOS!$I$259=""),"",ROUND(M59*$C59*(MEMORIA_RESULTADOS!$I$259-1),2))</f>
        <v/>
      </c>
      <c r="AV59" t="str">
        <f>IF(OR($A59="",AT59="",MEMORIA_RESULTADOS!$I$259=""),"",ROUND(AT59*$C59*(parametros!$F$3-MEMORIA_RESULTADOS!$I$259),2))</f>
        <v/>
      </c>
      <c r="AW59" t="str">
        <f>IF($A59="","",ROUND(SUMIFS(itens_Consumidos!$I$2:$I$200,itens_Consumidos!$A$2:$A$200,$A59),2))</f>
        <v/>
      </c>
      <c r="AX59" t="str">
        <f t="shared" si="8"/>
        <v/>
      </c>
      <c r="AY59" t="str">
        <f>IF(OR($A59="",O59="",MEMORIA_RESULTADOS!$I$260=""),"",ROUND(O59*$C59*(MEMORIA_RESULTADOS!$I$260-1),2))</f>
        <v/>
      </c>
      <c r="AZ59" t="str">
        <f>IF(OR($A59="",AX59="",MEMORIA_RESULTADOS!$I$260=""),"",ROUND(AX59*$C59*(parametros!$F$4-MEMORIA_RESULTADOS!$I$260),2))</f>
        <v/>
      </c>
      <c r="BA59" t="str">
        <f>IF($A59="","",ROUND(SUMIFS(itens_Consumidos!$K$2:$K$200,itens_Consumidos!$A$2:$A$200,$A59),2))</f>
        <v/>
      </c>
      <c r="BB59" t="str">
        <f t="shared" si="9"/>
        <v/>
      </c>
      <c r="BC59" t="str">
        <f>IF(OR($A59="",Q59="",MEMORIA_RESULTADOS!$I$261=""),"",ROUND(Q59*$C59*(MEMORIA_RESULTADOS!$I$261-1),2))</f>
        <v/>
      </c>
      <c r="BD59" t="str">
        <f>IF(OR($A59="",BB59="",MEMORIA_RESULTADOS!$I$261=""),"",ROUND(BB59*$C59*(parametros!$F$5-MEMORIA_RESULTADOS!$I$261),2))</f>
        <v/>
      </c>
      <c r="BE59" t="str">
        <f>IF($A59="","",ROUND(SUMIFS(itens_Consumidos!$M$2:$M$200,itens_Consumidos!$A$2:$A$200,$A59),2))</f>
        <v/>
      </c>
      <c r="BF59" t="str">
        <f t="shared" si="10"/>
        <v/>
      </c>
      <c r="BG59" t="str">
        <f>IF(OR($A59="",S59="",MEMORIA_RESULTADOS!$I$262=""),"",ROUND(S59*$C59*(MEMORIA_RESULTADOS!$I$262-1),2))</f>
        <v/>
      </c>
      <c r="BH59" t="str">
        <f>IF(OR($A59="",BF59="",MEMORIA_RESULTADOS!$I$262=""),"",ROUND(BF59*$C59*(parametros!$F$6-MEMORIA_RESULTADOS!$I$262),2))</f>
        <v/>
      </c>
      <c r="BI59" t="str">
        <f>IF($A59="","",IF(posicao_contratual!$AL59="","",posicao_contratual!$AL59))</f>
        <v/>
      </c>
    </row>
    <row r="60" spans="1:61" x14ac:dyDescent="0.35">
      <c r="A60" s="81"/>
      <c r="B60" s="82" t="str">
        <f t="shared" si="11"/>
        <v/>
      </c>
      <c r="C60" s="83"/>
      <c r="D60" s="79" t="str">
        <f>IF(AND(A60="",A59&lt;&gt;"",COUNTIF(A61:$A$200,"&lt;&gt;")=0),ROUND(SUMIF($A$2:A59,"&lt;&gt;",$D$2:D59),2),IF(OR(A60="",B60="",C60=""),"",ROUND(B60*C60,2)))</f>
        <v/>
      </c>
      <c r="E60" s="84"/>
      <c r="F60" s="79" t="str">
        <f>IF(AND(A60="",A59&lt;&gt;"",COUNTIF(A61:$A$200,"&lt;&gt;")=0),IF(COUNT(F$2:F59)=0,"",ROUND(SUMIF($A$2:A59,"&lt;&gt;",F$2:F59),2)),IF(OR(A60="",AND(ISNUMBER(posicao_contratual!$AL60),posicao_contratual!$AL60&gt;1),posicao_contratual!K60="",NOT(ISNUMBER(historico_VU!D60))),"",ROUND(posicao_contratual!K60*historico_VU!D60,2)))</f>
        <v/>
      </c>
      <c r="G60" s="84"/>
      <c r="H60" s="79" t="str">
        <f>IF(AND(A60="",A59&lt;&gt;"",COUNTIF(A61:$A$200,"&lt;&gt;")=0),IF(COUNT(H$2:H59)=0,"",ROUND(SUMIF($A$2:A59,"&lt;&gt;",H$2:H59),2)),IF(OR(A60="",AND(ISNUMBER(posicao_contratual!$AL60),posicao_contratual!$AL60&gt;2),posicao_contratual!O60="",NOT(ISNUMBER(historico_VU!E60))),"",ROUND(posicao_contratual!O60*historico_VU!E60,2)))</f>
        <v/>
      </c>
      <c r="I60" s="84"/>
      <c r="J60" s="79" t="str">
        <f>IF(AND(A60="",A59&lt;&gt;"",COUNTIF(A61:$A$200,"&lt;&gt;")=0),IF(COUNT(J$2:J59)=0,"",ROUND(SUMIF($A$2:A59,"&lt;&gt;",J$2:J59),2)),IF(OR(A60="",AND(ISNUMBER(posicao_contratual!$AL60),posicao_contratual!$AL60&gt;3),posicao_contratual!S60="",NOT(ISNUMBER(historico_VU!F60))),"",ROUND(posicao_contratual!S60*historico_VU!F60,2)))</f>
        <v/>
      </c>
      <c r="K60" s="84"/>
      <c r="L60" s="79" t="str">
        <f>IF(AND(A60="",A59&lt;&gt;"",COUNTIF(A61:$A$200,"&lt;&gt;")=0),IF(COUNT(L$2:L59)=0,"",ROUND(SUMIF($A$2:A59,"&lt;&gt;",L$2:L59),2)),IF(OR(A60="",AND(ISNUMBER(posicao_contratual!$AL60),posicao_contratual!$AL60&gt;4),posicao_contratual!W60="",NOT(ISNUMBER(historico_VU!G60))),"",ROUND(posicao_contratual!W60*historico_VU!G60,2)))</f>
        <v/>
      </c>
      <c r="M60" s="85" t="str">
        <f>IF(OR(posicao_contratual!J60="",posicao_contratual!N60=""),"",ROUND(MAX(posicao_contratual!J60+posicao_contratual!H60-posicao_contratual!N60,0),2))</f>
        <v/>
      </c>
      <c r="N60" s="79" t="str">
        <f>IF(AND(A60="",A59&lt;&gt;"",COUNTIF(A61:$A$200,"&lt;&gt;")=0),IF(COUNT(N$2:N59)=0,"",ROUND(SUMIF($A$2:A59,"&lt;&gt;",N$2:N59),2)),IF(OR(M60="",NOT(ISNUMBER(historico_VU!D60))),"",ROUND(M60*historico_VU!D60,2)))</f>
        <v/>
      </c>
      <c r="O60" s="85" t="str">
        <f>IF(OR(posicao_contratual!N60="",posicao_contratual!R60=""),"",ROUND(MAX(posicao_contratual!N60+posicao_contratual!L60-posicao_contratual!R60,0),2))</f>
        <v/>
      </c>
      <c r="P60" s="79" t="str">
        <f>IF(AND(A60="",A59&lt;&gt;"",COUNTIF(A61:$A$200,"&lt;&gt;")=0),IF(COUNT(P$2:P59)=0,"",ROUND(SUMIF($A$2:A59,"&lt;&gt;",P$2:P59),2)),IF(OR(O60="",NOT(ISNUMBER(historico_VU!E60))),"",ROUND(O60*historico_VU!E60,2)))</f>
        <v/>
      </c>
      <c r="Q60" s="85" t="str">
        <f>IF(OR(posicao_contratual!R60="",posicao_contratual!V60=""),"",ROUND(MAX(posicao_contratual!R60+posicao_contratual!P60-posicao_contratual!V60,0),2))</f>
        <v/>
      </c>
      <c r="R60" s="79" t="str">
        <f>IF(AND(A60="",A59&lt;&gt;"",COUNTIF(A61:$A$200,"&lt;&gt;")=0),IF(COUNT(R$2:R59)=0,"",ROUND(SUMIF($A$2:A59,"&lt;&gt;",R$2:R59),2)),IF(OR(Q60="",NOT(ISNUMBER(historico_VU!F60))),"",ROUND(Q60*historico_VU!F60,2)))</f>
        <v/>
      </c>
      <c r="S60" s="21"/>
      <c r="T60" s="22" t="str">
        <f>IF(AND(A60="",A59&lt;&gt;"",COUNTIF(A61:$A$200,"&lt;&gt;")=0),IF(COUNT(T$2:T59)=0,"",ROUND(SUMIF($A$2:A59,"&lt;&gt;",T$2:T59),2)),IF(OR(S60="",NOT(ISNUMBER(historico_VU!G60))),"",ROUND(S60*historico_VU!G60,2)))</f>
        <v/>
      </c>
      <c r="U60" s="86" t="str">
        <f>IF(AND(A60="",A59&lt;&gt;"",COUNTIF(A61:$A$200,"&lt;&gt;")=0),"TOTAL",IF(A60="","",posicao_contratual!X60))</f>
        <v/>
      </c>
      <c r="V60" s="86" t="str">
        <f>IF(A60="","",posicao_contratual!X60)</f>
        <v/>
      </c>
      <c r="W60" s="14"/>
      <c r="X60" s="14"/>
      <c r="Y60" s="14"/>
      <c r="Z60" s="13"/>
      <c r="AA60" s="13"/>
      <c r="AB60" s="85" t="str">
        <f>IF(OR(A60="",posicao_contratual!E60="",posicao_contratual!J60=""),"",ROUND(MAX(posicao_contratual!E60-posicao_contratual!J60,0),2))</f>
        <v/>
      </c>
      <c r="AC60" s="79" t="str">
        <f>IF(AND(A60="",A59&lt;&gt;"",COUNTIF(A61:$A$200,"&lt;&gt;")=0),IF(COUNT(AC$2:AC59)=0,"",ROUND(SUMIF($A$2:A59,"&lt;&gt;",AC$2:AC59),2)),IF(OR(AB60="",NOT(ISNUMBER(historico_VU!C60))),"",ROUND(AB60*historico_VU!C60,2)))</f>
        <v/>
      </c>
      <c r="AD60" s="145" t="str">
        <f>IF(A60="","",posicao_contratual!E60)</f>
        <v/>
      </c>
      <c r="AE60" s="145" t="str">
        <f>IF(A60="","",posicao_contratual!I60)</f>
        <v/>
      </c>
      <c r="AF60" s="145" t="str">
        <f>IF(A60="","",posicao_contratual!M60)</f>
        <v/>
      </c>
      <c r="AG60" s="145" t="str">
        <f>IF(A60="","",posicao_contratual!Q60)</f>
        <v/>
      </c>
      <c r="AH60" s="145" t="str">
        <f>IF(A60="","",posicao_contratual!U60)</f>
        <v/>
      </c>
      <c r="AI60" s="145" t="str">
        <f>IF(A60="","",posicao_contratual!G60)</f>
        <v/>
      </c>
      <c r="AJ60" s="145" t="str">
        <f>IF(A60="","",posicao_contratual!K60)</f>
        <v/>
      </c>
      <c r="AK60" s="145" t="str">
        <f>IF(A60="","",posicao_contratual!O60)</f>
        <v/>
      </c>
      <c r="AL60" s="145" t="str">
        <f>IF(A60="","",posicao_contratual!S60)</f>
        <v/>
      </c>
      <c r="AM60" s="145" t="str">
        <f>IF(A60="","",posicao_contratual!W60)</f>
        <v/>
      </c>
      <c r="AN60" s="146" t="str">
        <f>IF(A60="","",posicao_contratual!X60)</f>
        <v/>
      </c>
      <c r="AO60" t="str">
        <f>IF($A60="","",ROUND(SUMIFS(itens_Consumidos!$E$2:$E$200,itens_Consumidos!$A$2:$A$200,$A60),2))</f>
        <v/>
      </c>
      <c r="AP60" t="str">
        <f t="shared" si="6"/>
        <v/>
      </c>
      <c r="AQ60" t="str">
        <f>IF(OR($A60="",AB60="",MEMORIA_RESULTADOS!$I$258=""),"",ROUND(AB60*$C60*(MEMORIA_RESULTADOS!$I$258-1),2))</f>
        <v/>
      </c>
      <c r="AR60" t="str">
        <f>IF(OR($A60="",AP60="",MEMORIA_RESULTADOS!$I$258=""),"",ROUND(AP60*$C60*(parametros!$F$2-MEMORIA_RESULTADOS!$I$258),2))</f>
        <v/>
      </c>
      <c r="AS60" t="str">
        <f>IF($A60="","",ROUND(SUMIFS(itens_Consumidos!$G$2:$G$200,itens_Consumidos!$A$2:$A$200,$A60),2))</f>
        <v/>
      </c>
      <c r="AT60" t="str">
        <f t="shared" si="7"/>
        <v/>
      </c>
      <c r="AU60" t="str">
        <f>IF(OR($A60="",M60="",MEMORIA_RESULTADOS!$I$259=""),"",ROUND(M60*$C60*(MEMORIA_RESULTADOS!$I$259-1),2))</f>
        <v/>
      </c>
      <c r="AV60" t="str">
        <f>IF(OR($A60="",AT60="",MEMORIA_RESULTADOS!$I$259=""),"",ROUND(AT60*$C60*(parametros!$F$3-MEMORIA_RESULTADOS!$I$259),2))</f>
        <v/>
      </c>
      <c r="AW60" t="str">
        <f>IF($A60="","",ROUND(SUMIFS(itens_Consumidos!$I$2:$I$200,itens_Consumidos!$A$2:$A$200,$A60),2))</f>
        <v/>
      </c>
      <c r="AX60" t="str">
        <f t="shared" si="8"/>
        <v/>
      </c>
      <c r="AY60" t="str">
        <f>IF(OR($A60="",O60="",MEMORIA_RESULTADOS!$I$260=""),"",ROUND(O60*$C60*(MEMORIA_RESULTADOS!$I$260-1),2))</f>
        <v/>
      </c>
      <c r="AZ60" t="str">
        <f>IF(OR($A60="",AX60="",MEMORIA_RESULTADOS!$I$260=""),"",ROUND(AX60*$C60*(parametros!$F$4-MEMORIA_RESULTADOS!$I$260),2))</f>
        <v/>
      </c>
      <c r="BA60" t="str">
        <f>IF($A60="","",ROUND(SUMIFS(itens_Consumidos!$K$2:$K$200,itens_Consumidos!$A$2:$A$200,$A60),2))</f>
        <v/>
      </c>
      <c r="BB60" t="str">
        <f t="shared" si="9"/>
        <v/>
      </c>
      <c r="BC60" t="str">
        <f>IF(OR($A60="",Q60="",MEMORIA_RESULTADOS!$I$261=""),"",ROUND(Q60*$C60*(MEMORIA_RESULTADOS!$I$261-1),2))</f>
        <v/>
      </c>
      <c r="BD60" t="str">
        <f>IF(OR($A60="",BB60="",MEMORIA_RESULTADOS!$I$261=""),"",ROUND(BB60*$C60*(parametros!$F$5-MEMORIA_RESULTADOS!$I$261),2))</f>
        <v/>
      </c>
      <c r="BE60" t="str">
        <f>IF($A60="","",ROUND(SUMIFS(itens_Consumidos!$M$2:$M$200,itens_Consumidos!$A$2:$A$200,$A60),2))</f>
        <v/>
      </c>
      <c r="BF60" t="str">
        <f t="shared" si="10"/>
        <v/>
      </c>
      <c r="BG60" t="str">
        <f>IF(OR($A60="",S60="",MEMORIA_RESULTADOS!$I$262=""),"",ROUND(S60*$C60*(MEMORIA_RESULTADOS!$I$262-1),2))</f>
        <v/>
      </c>
      <c r="BH60" t="str">
        <f>IF(OR($A60="",BF60="",MEMORIA_RESULTADOS!$I$262=""),"",ROUND(BF60*$C60*(parametros!$F$6-MEMORIA_RESULTADOS!$I$262),2))</f>
        <v/>
      </c>
      <c r="BI60" t="str">
        <f>IF($A60="","",IF(posicao_contratual!$AL60="","",posicao_contratual!$AL60))</f>
        <v/>
      </c>
    </row>
    <row r="61" spans="1:61" x14ac:dyDescent="0.35">
      <c r="A61" s="81"/>
      <c r="B61" s="82" t="str">
        <f t="shared" si="11"/>
        <v/>
      </c>
      <c r="C61" s="83"/>
      <c r="D61" s="79" t="str">
        <f>IF(AND(A61="",A60&lt;&gt;"",COUNTIF(A62:$A$200,"&lt;&gt;")=0),ROUND(SUMIF($A$2:A60,"&lt;&gt;",$D$2:D60),2),IF(OR(A61="",B61="",C61=""),"",ROUND(B61*C61,2)))</f>
        <v/>
      </c>
      <c r="E61" s="84"/>
      <c r="F61" s="79" t="str">
        <f>IF(AND(A61="",A60&lt;&gt;"",COUNTIF(A62:$A$200,"&lt;&gt;")=0),IF(COUNT(F$2:F60)=0,"",ROUND(SUMIF($A$2:A60,"&lt;&gt;",F$2:F60),2)),IF(OR(A61="",AND(ISNUMBER(posicao_contratual!$AL61),posicao_contratual!$AL61&gt;1),posicao_contratual!K61="",NOT(ISNUMBER(historico_VU!D61))),"",ROUND(posicao_contratual!K61*historico_VU!D61,2)))</f>
        <v/>
      </c>
      <c r="G61" s="84"/>
      <c r="H61" s="79" t="str">
        <f>IF(AND(A61="",A60&lt;&gt;"",COUNTIF(A62:$A$200,"&lt;&gt;")=0),IF(COUNT(H$2:H60)=0,"",ROUND(SUMIF($A$2:A60,"&lt;&gt;",H$2:H60),2)),IF(OR(A61="",AND(ISNUMBER(posicao_contratual!$AL61),posicao_contratual!$AL61&gt;2),posicao_contratual!O61="",NOT(ISNUMBER(historico_VU!E61))),"",ROUND(posicao_contratual!O61*historico_VU!E61,2)))</f>
        <v/>
      </c>
      <c r="I61" s="84"/>
      <c r="J61" s="79" t="str">
        <f>IF(AND(A61="",A60&lt;&gt;"",COUNTIF(A62:$A$200,"&lt;&gt;")=0),IF(COUNT(J$2:J60)=0,"",ROUND(SUMIF($A$2:A60,"&lt;&gt;",J$2:J60),2)),IF(OR(A61="",AND(ISNUMBER(posicao_contratual!$AL61),posicao_contratual!$AL61&gt;3),posicao_contratual!S61="",NOT(ISNUMBER(historico_VU!F61))),"",ROUND(posicao_contratual!S61*historico_VU!F61,2)))</f>
        <v/>
      </c>
      <c r="K61" s="84"/>
      <c r="L61" s="79" t="str">
        <f>IF(AND(A61="",A60&lt;&gt;"",COUNTIF(A62:$A$200,"&lt;&gt;")=0),IF(COUNT(L$2:L60)=0,"",ROUND(SUMIF($A$2:A60,"&lt;&gt;",L$2:L60),2)),IF(OR(A61="",AND(ISNUMBER(posicao_contratual!$AL61),posicao_contratual!$AL61&gt;4),posicao_contratual!W61="",NOT(ISNUMBER(historico_VU!G61))),"",ROUND(posicao_contratual!W61*historico_VU!G61,2)))</f>
        <v/>
      </c>
      <c r="M61" s="85" t="str">
        <f>IF(OR(posicao_contratual!J61="",posicao_contratual!N61=""),"",ROUND(MAX(posicao_contratual!J61+posicao_contratual!H61-posicao_contratual!N61,0),2))</f>
        <v/>
      </c>
      <c r="N61" s="79" t="str">
        <f>IF(AND(A61="",A60&lt;&gt;"",COUNTIF(A62:$A$200,"&lt;&gt;")=0),IF(COUNT(N$2:N60)=0,"",ROUND(SUMIF($A$2:A60,"&lt;&gt;",N$2:N60),2)),IF(OR(M61="",NOT(ISNUMBER(historico_VU!D61))),"",ROUND(M61*historico_VU!D61,2)))</f>
        <v/>
      </c>
      <c r="O61" s="85" t="str">
        <f>IF(OR(posicao_contratual!N61="",posicao_contratual!R61=""),"",ROUND(MAX(posicao_contratual!N61+posicao_contratual!L61-posicao_contratual!R61,0),2))</f>
        <v/>
      </c>
      <c r="P61" s="79" t="str">
        <f>IF(AND(A61="",A60&lt;&gt;"",COUNTIF(A62:$A$200,"&lt;&gt;")=0),IF(COUNT(P$2:P60)=0,"",ROUND(SUMIF($A$2:A60,"&lt;&gt;",P$2:P60),2)),IF(OR(O61="",NOT(ISNUMBER(historico_VU!E61))),"",ROUND(O61*historico_VU!E61,2)))</f>
        <v/>
      </c>
      <c r="Q61" s="85" t="str">
        <f>IF(OR(posicao_contratual!R61="",posicao_contratual!V61=""),"",ROUND(MAX(posicao_contratual!R61+posicao_contratual!P61-posicao_contratual!V61,0),2))</f>
        <v/>
      </c>
      <c r="R61" s="79" t="str">
        <f>IF(AND(A61="",A60&lt;&gt;"",COUNTIF(A62:$A$200,"&lt;&gt;")=0),IF(COUNT(R$2:R60)=0,"",ROUND(SUMIF($A$2:A60,"&lt;&gt;",R$2:R60),2)),IF(OR(Q61="",NOT(ISNUMBER(historico_VU!F61))),"",ROUND(Q61*historico_VU!F61,2)))</f>
        <v/>
      </c>
      <c r="S61" s="21"/>
      <c r="T61" s="22" t="str">
        <f>IF(AND(A61="",A60&lt;&gt;"",COUNTIF(A62:$A$200,"&lt;&gt;")=0),IF(COUNT(T$2:T60)=0,"",ROUND(SUMIF($A$2:A60,"&lt;&gt;",T$2:T60),2)),IF(OR(S61="",NOT(ISNUMBER(historico_VU!G61))),"",ROUND(S61*historico_VU!G61,2)))</f>
        <v/>
      </c>
      <c r="U61" s="86" t="str">
        <f>IF(AND(A61="",A60&lt;&gt;"",COUNTIF(A62:$A$200,"&lt;&gt;")=0),"TOTAL",IF(A61="","",posicao_contratual!X61))</f>
        <v/>
      </c>
      <c r="V61" s="86" t="str">
        <f>IF(A61="","",posicao_contratual!X61)</f>
        <v/>
      </c>
      <c r="W61" s="14"/>
      <c r="X61" s="14"/>
      <c r="Y61" s="14"/>
      <c r="Z61" s="13"/>
      <c r="AA61" s="13"/>
      <c r="AB61" s="85" t="str">
        <f>IF(OR(A61="",posicao_contratual!E61="",posicao_contratual!J61=""),"",ROUND(MAX(posicao_contratual!E61-posicao_contratual!J61,0),2))</f>
        <v/>
      </c>
      <c r="AC61" s="79" t="str">
        <f>IF(AND(A61="",A60&lt;&gt;"",COUNTIF(A62:$A$200,"&lt;&gt;")=0),IF(COUNT(AC$2:AC60)=0,"",ROUND(SUMIF($A$2:A60,"&lt;&gt;",AC$2:AC60),2)),IF(OR(AB61="",NOT(ISNUMBER(historico_VU!C61))),"",ROUND(AB61*historico_VU!C61,2)))</f>
        <v/>
      </c>
      <c r="AD61" s="145" t="str">
        <f>IF(A61="","",posicao_contratual!E61)</f>
        <v/>
      </c>
      <c r="AE61" s="145" t="str">
        <f>IF(A61="","",posicao_contratual!I61)</f>
        <v/>
      </c>
      <c r="AF61" s="145" t="str">
        <f>IF(A61="","",posicao_contratual!M61)</f>
        <v/>
      </c>
      <c r="AG61" s="145" t="str">
        <f>IF(A61="","",posicao_contratual!Q61)</f>
        <v/>
      </c>
      <c r="AH61" s="145" t="str">
        <f>IF(A61="","",posicao_contratual!U61)</f>
        <v/>
      </c>
      <c r="AI61" s="145" t="str">
        <f>IF(A61="","",posicao_contratual!G61)</f>
        <v/>
      </c>
      <c r="AJ61" s="145" t="str">
        <f>IF(A61="","",posicao_contratual!K61)</f>
        <v/>
      </c>
      <c r="AK61" s="145" t="str">
        <f>IF(A61="","",posicao_contratual!O61)</f>
        <v/>
      </c>
      <c r="AL61" s="145" t="str">
        <f>IF(A61="","",posicao_contratual!S61)</f>
        <v/>
      </c>
      <c r="AM61" s="145" t="str">
        <f>IF(A61="","",posicao_contratual!W61)</f>
        <v/>
      </c>
      <c r="AN61" s="146" t="str">
        <f>IF(A61="","",posicao_contratual!X61)</f>
        <v/>
      </c>
      <c r="AO61" t="str">
        <f>IF($A61="","",ROUND(SUMIFS(itens_Consumidos!$E$2:$E$200,itens_Consumidos!$A$2:$A$200,$A61),2))</f>
        <v/>
      </c>
      <c r="AP61" t="str">
        <f t="shared" si="6"/>
        <v/>
      </c>
      <c r="AQ61" t="str">
        <f>IF(OR($A61="",AB61="",MEMORIA_RESULTADOS!$I$258=""),"",ROUND(AB61*$C61*(MEMORIA_RESULTADOS!$I$258-1),2))</f>
        <v/>
      </c>
      <c r="AR61" t="str">
        <f>IF(OR($A61="",AP61="",MEMORIA_RESULTADOS!$I$258=""),"",ROUND(AP61*$C61*(parametros!$F$2-MEMORIA_RESULTADOS!$I$258),2))</f>
        <v/>
      </c>
      <c r="AS61" t="str">
        <f>IF($A61="","",ROUND(SUMIFS(itens_Consumidos!$G$2:$G$200,itens_Consumidos!$A$2:$A$200,$A61),2))</f>
        <v/>
      </c>
      <c r="AT61" t="str">
        <f t="shared" si="7"/>
        <v/>
      </c>
      <c r="AU61" t="str">
        <f>IF(OR($A61="",M61="",MEMORIA_RESULTADOS!$I$259=""),"",ROUND(M61*$C61*(MEMORIA_RESULTADOS!$I$259-1),2))</f>
        <v/>
      </c>
      <c r="AV61" t="str">
        <f>IF(OR($A61="",AT61="",MEMORIA_RESULTADOS!$I$259=""),"",ROUND(AT61*$C61*(parametros!$F$3-MEMORIA_RESULTADOS!$I$259),2))</f>
        <v/>
      </c>
      <c r="AW61" t="str">
        <f>IF($A61="","",ROUND(SUMIFS(itens_Consumidos!$I$2:$I$200,itens_Consumidos!$A$2:$A$200,$A61),2))</f>
        <v/>
      </c>
      <c r="AX61" t="str">
        <f t="shared" si="8"/>
        <v/>
      </c>
      <c r="AY61" t="str">
        <f>IF(OR($A61="",O61="",MEMORIA_RESULTADOS!$I$260=""),"",ROUND(O61*$C61*(MEMORIA_RESULTADOS!$I$260-1),2))</f>
        <v/>
      </c>
      <c r="AZ61" t="str">
        <f>IF(OR($A61="",AX61="",MEMORIA_RESULTADOS!$I$260=""),"",ROUND(AX61*$C61*(parametros!$F$4-MEMORIA_RESULTADOS!$I$260),2))</f>
        <v/>
      </c>
      <c r="BA61" t="str">
        <f>IF($A61="","",ROUND(SUMIFS(itens_Consumidos!$K$2:$K$200,itens_Consumidos!$A$2:$A$200,$A61),2))</f>
        <v/>
      </c>
      <c r="BB61" t="str">
        <f t="shared" si="9"/>
        <v/>
      </c>
      <c r="BC61" t="str">
        <f>IF(OR($A61="",Q61="",MEMORIA_RESULTADOS!$I$261=""),"",ROUND(Q61*$C61*(MEMORIA_RESULTADOS!$I$261-1),2))</f>
        <v/>
      </c>
      <c r="BD61" t="str">
        <f>IF(OR($A61="",BB61="",MEMORIA_RESULTADOS!$I$261=""),"",ROUND(BB61*$C61*(parametros!$F$5-MEMORIA_RESULTADOS!$I$261),2))</f>
        <v/>
      </c>
      <c r="BE61" t="str">
        <f>IF($A61="","",ROUND(SUMIFS(itens_Consumidos!$M$2:$M$200,itens_Consumidos!$A$2:$A$200,$A61),2))</f>
        <v/>
      </c>
      <c r="BF61" t="str">
        <f t="shared" si="10"/>
        <v/>
      </c>
      <c r="BG61" t="str">
        <f>IF(OR($A61="",S61="",MEMORIA_RESULTADOS!$I$262=""),"",ROUND(S61*$C61*(MEMORIA_RESULTADOS!$I$262-1),2))</f>
        <v/>
      </c>
      <c r="BH61" t="str">
        <f>IF(OR($A61="",BF61="",MEMORIA_RESULTADOS!$I$262=""),"",ROUND(BF61*$C61*(parametros!$F$6-MEMORIA_RESULTADOS!$I$262),2))</f>
        <v/>
      </c>
      <c r="BI61" t="str">
        <f>IF($A61="","",IF(posicao_contratual!$AL61="","",posicao_contratual!$AL61))</f>
        <v/>
      </c>
    </row>
    <row r="62" spans="1:61" x14ac:dyDescent="0.35">
      <c r="A62" s="81"/>
      <c r="B62" s="82" t="str">
        <f t="shared" si="11"/>
        <v/>
      </c>
      <c r="C62" s="83"/>
      <c r="D62" s="79" t="str">
        <f>IF(AND(A62="",A61&lt;&gt;"",COUNTIF(A63:$A$200,"&lt;&gt;")=0),ROUND(SUMIF($A$2:A61,"&lt;&gt;",$D$2:D61),2),IF(OR(A62="",B62="",C62=""),"",ROUND(B62*C62,2)))</f>
        <v/>
      </c>
      <c r="E62" s="84"/>
      <c r="F62" s="79" t="str">
        <f>IF(AND(A62="",A61&lt;&gt;"",COUNTIF(A63:$A$200,"&lt;&gt;")=0),IF(COUNT(F$2:F61)=0,"",ROUND(SUMIF($A$2:A61,"&lt;&gt;",F$2:F61),2)),IF(OR(A62="",AND(ISNUMBER(posicao_contratual!$AL62),posicao_contratual!$AL62&gt;1),posicao_contratual!K62="",NOT(ISNUMBER(historico_VU!D62))),"",ROUND(posicao_contratual!K62*historico_VU!D62,2)))</f>
        <v/>
      </c>
      <c r="G62" s="84"/>
      <c r="H62" s="79" t="str">
        <f>IF(AND(A62="",A61&lt;&gt;"",COUNTIF(A63:$A$200,"&lt;&gt;")=0),IF(COUNT(H$2:H61)=0,"",ROUND(SUMIF($A$2:A61,"&lt;&gt;",H$2:H61),2)),IF(OR(A62="",AND(ISNUMBER(posicao_contratual!$AL62),posicao_contratual!$AL62&gt;2),posicao_contratual!O62="",NOT(ISNUMBER(historico_VU!E62))),"",ROUND(posicao_contratual!O62*historico_VU!E62,2)))</f>
        <v/>
      </c>
      <c r="I62" s="84"/>
      <c r="J62" s="79" t="str">
        <f>IF(AND(A62="",A61&lt;&gt;"",COUNTIF(A63:$A$200,"&lt;&gt;")=0),IF(COUNT(J$2:J61)=0,"",ROUND(SUMIF($A$2:A61,"&lt;&gt;",J$2:J61),2)),IF(OR(A62="",AND(ISNUMBER(posicao_contratual!$AL62),posicao_contratual!$AL62&gt;3),posicao_contratual!S62="",NOT(ISNUMBER(historico_VU!F62))),"",ROUND(posicao_contratual!S62*historico_VU!F62,2)))</f>
        <v/>
      </c>
      <c r="K62" s="84"/>
      <c r="L62" s="79" t="str">
        <f>IF(AND(A62="",A61&lt;&gt;"",COUNTIF(A63:$A$200,"&lt;&gt;")=0),IF(COUNT(L$2:L61)=0,"",ROUND(SUMIF($A$2:A61,"&lt;&gt;",L$2:L61),2)),IF(OR(A62="",AND(ISNUMBER(posicao_contratual!$AL62),posicao_contratual!$AL62&gt;4),posicao_contratual!W62="",NOT(ISNUMBER(historico_VU!G62))),"",ROUND(posicao_contratual!W62*historico_VU!G62,2)))</f>
        <v/>
      </c>
      <c r="M62" s="85" t="str">
        <f>IF(OR(posicao_contratual!J62="",posicao_contratual!N62=""),"",ROUND(MAX(posicao_contratual!J62+posicao_contratual!H62-posicao_contratual!N62,0),2))</f>
        <v/>
      </c>
      <c r="N62" s="79" t="str">
        <f>IF(AND(A62="",A61&lt;&gt;"",COUNTIF(A63:$A$200,"&lt;&gt;")=0),IF(COUNT(N$2:N61)=0,"",ROUND(SUMIF($A$2:A61,"&lt;&gt;",N$2:N61),2)),IF(OR(M62="",NOT(ISNUMBER(historico_VU!D62))),"",ROUND(M62*historico_VU!D62,2)))</f>
        <v/>
      </c>
      <c r="O62" s="85" t="str">
        <f>IF(OR(posicao_contratual!N62="",posicao_contratual!R62=""),"",ROUND(MAX(posicao_contratual!N62+posicao_contratual!L62-posicao_contratual!R62,0),2))</f>
        <v/>
      </c>
      <c r="P62" s="79" t="str">
        <f>IF(AND(A62="",A61&lt;&gt;"",COUNTIF(A63:$A$200,"&lt;&gt;")=0),IF(COUNT(P$2:P61)=0,"",ROUND(SUMIF($A$2:A61,"&lt;&gt;",P$2:P61),2)),IF(OR(O62="",NOT(ISNUMBER(historico_VU!E62))),"",ROUND(O62*historico_VU!E62,2)))</f>
        <v/>
      </c>
      <c r="Q62" s="85" t="str">
        <f>IF(OR(posicao_contratual!R62="",posicao_contratual!V62=""),"",ROUND(MAX(posicao_contratual!R62+posicao_contratual!P62-posicao_contratual!V62,0),2))</f>
        <v/>
      </c>
      <c r="R62" s="79" t="str">
        <f>IF(AND(A62="",A61&lt;&gt;"",COUNTIF(A63:$A$200,"&lt;&gt;")=0),IF(COUNT(R$2:R61)=0,"",ROUND(SUMIF($A$2:A61,"&lt;&gt;",R$2:R61),2)),IF(OR(Q62="",NOT(ISNUMBER(historico_VU!F62))),"",ROUND(Q62*historico_VU!F62,2)))</f>
        <v/>
      </c>
      <c r="S62" s="21"/>
      <c r="T62" s="22" t="str">
        <f>IF(AND(A62="",A61&lt;&gt;"",COUNTIF(A63:$A$200,"&lt;&gt;")=0),IF(COUNT(T$2:T61)=0,"",ROUND(SUMIF($A$2:A61,"&lt;&gt;",T$2:T61),2)),IF(OR(S62="",NOT(ISNUMBER(historico_VU!G62))),"",ROUND(S62*historico_VU!G62,2)))</f>
        <v/>
      </c>
      <c r="U62" s="86" t="str">
        <f>IF(AND(A62="",A61&lt;&gt;"",COUNTIF(A63:$A$200,"&lt;&gt;")=0),"TOTAL",IF(A62="","",posicao_contratual!X62))</f>
        <v/>
      </c>
      <c r="V62" s="86" t="str">
        <f>IF(A62="","",posicao_contratual!X62)</f>
        <v/>
      </c>
      <c r="W62" s="14"/>
      <c r="X62" s="14"/>
      <c r="Y62" s="14"/>
      <c r="Z62" s="13"/>
      <c r="AA62" s="13"/>
      <c r="AB62" s="85" t="str">
        <f>IF(OR(A62="",posicao_contratual!E62="",posicao_contratual!J62=""),"",ROUND(MAX(posicao_contratual!E62-posicao_contratual!J62,0),2))</f>
        <v/>
      </c>
      <c r="AC62" s="79" t="str">
        <f>IF(AND(A62="",A61&lt;&gt;"",COUNTIF(A63:$A$200,"&lt;&gt;")=0),IF(COUNT(AC$2:AC61)=0,"",ROUND(SUMIF($A$2:A61,"&lt;&gt;",AC$2:AC61),2)),IF(OR(AB62="",NOT(ISNUMBER(historico_VU!C62))),"",ROUND(AB62*historico_VU!C62,2)))</f>
        <v/>
      </c>
      <c r="AD62" s="145" t="str">
        <f>IF(A62="","",posicao_contratual!E62)</f>
        <v/>
      </c>
      <c r="AE62" s="145" t="str">
        <f>IF(A62="","",posicao_contratual!I62)</f>
        <v/>
      </c>
      <c r="AF62" s="145" t="str">
        <f>IF(A62="","",posicao_contratual!M62)</f>
        <v/>
      </c>
      <c r="AG62" s="145" t="str">
        <f>IF(A62="","",posicao_contratual!Q62)</f>
        <v/>
      </c>
      <c r="AH62" s="145" t="str">
        <f>IF(A62="","",posicao_contratual!U62)</f>
        <v/>
      </c>
      <c r="AI62" s="145" t="str">
        <f>IF(A62="","",posicao_contratual!G62)</f>
        <v/>
      </c>
      <c r="AJ62" s="145" t="str">
        <f>IF(A62="","",posicao_contratual!K62)</f>
        <v/>
      </c>
      <c r="AK62" s="145" t="str">
        <f>IF(A62="","",posicao_contratual!O62)</f>
        <v/>
      </c>
      <c r="AL62" s="145" t="str">
        <f>IF(A62="","",posicao_contratual!S62)</f>
        <v/>
      </c>
      <c r="AM62" s="145" t="str">
        <f>IF(A62="","",posicao_contratual!W62)</f>
        <v/>
      </c>
      <c r="AN62" s="146" t="str">
        <f>IF(A62="","",posicao_contratual!X62)</f>
        <v/>
      </c>
      <c r="AO62" t="str">
        <f>IF($A62="","",ROUND(SUMIFS(itens_Consumidos!$E$2:$E$200,itens_Consumidos!$A$2:$A$200,$A62),2))</f>
        <v/>
      </c>
      <c r="AP62" t="str">
        <f t="shared" si="6"/>
        <v/>
      </c>
      <c r="AQ62" t="str">
        <f>IF(OR($A62="",AB62="",MEMORIA_RESULTADOS!$I$258=""),"",ROUND(AB62*$C62*(MEMORIA_RESULTADOS!$I$258-1),2))</f>
        <v/>
      </c>
      <c r="AR62" t="str">
        <f>IF(OR($A62="",AP62="",MEMORIA_RESULTADOS!$I$258=""),"",ROUND(AP62*$C62*(parametros!$F$2-MEMORIA_RESULTADOS!$I$258),2))</f>
        <v/>
      </c>
      <c r="AS62" t="str">
        <f>IF($A62="","",ROUND(SUMIFS(itens_Consumidos!$G$2:$G$200,itens_Consumidos!$A$2:$A$200,$A62),2))</f>
        <v/>
      </c>
      <c r="AT62" t="str">
        <f t="shared" si="7"/>
        <v/>
      </c>
      <c r="AU62" t="str">
        <f>IF(OR($A62="",M62="",MEMORIA_RESULTADOS!$I$259=""),"",ROUND(M62*$C62*(MEMORIA_RESULTADOS!$I$259-1),2))</f>
        <v/>
      </c>
      <c r="AV62" t="str">
        <f>IF(OR($A62="",AT62="",MEMORIA_RESULTADOS!$I$259=""),"",ROUND(AT62*$C62*(parametros!$F$3-MEMORIA_RESULTADOS!$I$259),2))</f>
        <v/>
      </c>
      <c r="AW62" t="str">
        <f>IF($A62="","",ROUND(SUMIFS(itens_Consumidos!$I$2:$I$200,itens_Consumidos!$A$2:$A$200,$A62),2))</f>
        <v/>
      </c>
      <c r="AX62" t="str">
        <f t="shared" si="8"/>
        <v/>
      </c>
      <c r="AY62" t="str">
        <f>IF(OR($A62="",O62="",MEMORIA_RESULTADOS!$I$260=""),"",ROUND(O62*$C62*(MEMORIA_RESULTADOS!$I$260-1),2))</f>
        <v/>
      </c>
      <c r="AZ62" t="str">
        <f>IF(OR($A62="",AX62="",MEMORIA_RESULTADOS!$I$260=""),"",ROUND(AX62*$C62*(parametros!$F$4-MEMORIA_RESULTADOS!$I$260),2))</f>
        <v/>
      </c>
      <c r="BA62" t="str">
        <f>IF($A62="","",ROUND(SUMIFS(itens_Consumidos!$K$2:$K$200,itens_Consumidos!$A$2:$A$200,$A62),2))</f>
        <v/>
      </c>
      <c r="BB62" t="str">
        <f t="shared" si="9"/>
        <v/>
      </c>
      <c r="BC62" t="str">
        <f>IF(OR($A62="",Q62="",MEMORIA_RESULTADOS!$I$261=""),"",ROUND(Q62*$C62*(MEMORIA_RESULTADOS!$I$261-1),2))</f>
        <v/>
      </c>
      <c r="BD62" t="str">
        <f>IF(OR($A62="",BB62="",MEMORIA_RESULTADOS!$I$261=""),"",ROUND(BB62*$C62*(parametros!$F$5-MEMORIA_RESULTADOS!$I$261),2))</f>
        <v/>
      </c>
      <c r="BE62" t="str">
        <f>IF($A62="","",ROUND(SUMIFS(itens_Consumidos!$M$2:$M$200,itens_Consumidos!$A$2:$A$200,$A62),2))</f>
        <v/>
      </c>
      <c r="BF62" t="str">
        <f t="shared" si="10"/>
        <v/>
      </c>
      <c r="BG62" t="str">
        <f>IF(OR($A62="",S62="",MEMORIA_RESULTADOS!$I$262=""),"",ROUND(S62*$C62*(MEMORIA_RESULTADOS!$I$262-1),2))</f>
        <v/>
      </c>
      <c r="BH62" t="str">
        <f>IF(OR($A62="",BF62="",MEMORIA_RESULTADOS!$I$262=""),"",ROUND(BF62*$C62*(parametros!$F$6-MEMORIA_RESULTADOS!$I$262),2))</f>
        <v/>
      </c>
      <c r="BI62" t="str">
        <f>IF($A62="","",IF(posicao_contratual!$AL62="","",posicao_contratual!$AL62))</f>
        <v/>
      </c>
    </row>
    <row r="63" spans="1:61" x14ac:dyDescent="0.35">
      <c r="A63" s="81"/>
      <c r="B63" s="82" t="str">
        <f t="shared" si="11"/>
        <v/>
      </c>
      <c r="C63" s="83"/>
      <c r="D63" s="79" t="str">
        <f>IF(AND(A63="",A62&lt;&gt;"",COUNTIF(A64:$A$200,"&lt;&gt;")=0),ROUND(SUMIF($A$2:A62,"&lt;&gt;",$D$2:D62),2),IF(OR(A63="",B63="",C63=""),"",ROUND(B63*C63,2)))</f>
        <v/>
      </c>
      <c r="E63" s="84"/>
      <c r="F63" s="79" t="str">
        <f>IF(AND(A63="",A62&lt;&gt;"",COUNTIF(A64:$A$200,"&lt;&gt;")=0),IF(COUNT(F$2:F62)=0,"",ROUND(SUMIF($A$2:A62,"&lt;&gt;",F$2:F62),2)),IF(OR(A63="",AND(ISNUMBER(posicao_contratual!$AL63),posicao_contratual!$AL63&gt;1),posicao_contratual!K63="",NOT(ISNUMBER(historico_VU!D63))),"",ROUND(posicao_contratual!K63*historico_VU!D63,2)))</f>
        <v/>
      </c>
      <c r="G63" s="84"/>
      <c r="H63" s="79" t="str">
        <f>IF(AND(A63="",A62&lt;&gt;"",COUNTIF(A64:$A$200,"&lt;&gt;")=0),IF(COUNT(H$2:H62)=0,"",ROUND(SUMIF($A$2:A62,"&lt;&gt;",H$2:H62),2)),IF(OR(A63="",AND(ISNUMBER(posicao_contratual!$AL63),posicao_contratual!$AL63&gt;2),posicao_contratual!O63="",NOT(ISNUMBER(historico_VU!E63))),"",ROUND(posicao_contratual!O63*historico_VU!E63,2)))</f>
        <v/>
      </c>
      <c r="I63" s="84"/>
      <c r="J63" s="79" t="str">
        <f>IF(AND(A63="",A62&lt;&gt;"",COUNTIF(A64:$A$200,"&lt;&gt;")=0),IF(COUNT(J$2:J62)=0,"",ROUND(SUMIF($A$2:A62,"&lt;&gt;",J$2:J62),2)),IF(OR(A63="",AND(ISNUMBER(posicao_contratual!$AL63),posicao_contratual!$AL63&gt;3),posicao_contratual!S63="",NOT(ISNUMBER(historico_VU!F63))),"",ROUND(posicao_contratual!S63*historico_VU!F63,2)))</f>
        <v/>
      </c>
      <c r="K63" s="84"/>
      <c r="L63" s="79" t="str">
        <f>IF(AND(A63="",A62&lt;&gt;"",COUNTIF(A64:$A$200,"&lt;&gt;")=0),IF(COUNT(L$2:L62)=0,"",ROUND(SUMIF($A$2:A62,"&lt;&gt;",L$2:L62),2)),IF(OR(A63="",AND(ISNUMBER(posicao_contratual!$AL63),posicao_contratual!$AL63&gt;4),posicao_contratual!W63="",NOT(ISNUMBER(historico_VU!G63))),"",ROUND(posicao_contratual!W63*historico_VU!G63,2)))</f>
        <v/>
      </c>
      <c r="M63" s="85" t="str">
        <f>IF(OR(posicao_contratual!J63="",posicao_contratual!N63=""),"",ROUND(MAX(posicao_contratual!J63+posicao_contratual!H63-posicao_contratual!N63,0),2))</f>
        <v/>
      </c>
      <c r="N63" s="79" t="str">
        <f>IF(AND(A63="",A62&lt;&gt;"",COUNTIF(A64:$A$200,"&lt;&gt;")=0),IF(COUNT(N$2:N62)=0,"",ROUND(SUMIF($A$2:A62,"&lt;&gt;",N$2:N62),2)),IF(OR(M63="",NOT(ISNUMBER(historico_VU!D63))),"",ROUND(M63*historico_VU!D63,2)))</f>
        <v/>
      </c>
      <c r="O63" s="85" t="str">
        <f>IF(OR(posicao_contratual!N63="",posicao_contratual!R63=""),"",ROUND(MAX(posicao_contratual!N63+posicao_contratual!L63-posicao_contratual!R63,0),2))</f>
        <v/>
      </c>
      <c r="P63" s="79" t="str">
        <f>IF(AND(A63="",A62&lt;&gt;"",COUNTIF(A64:$A$200,"&lt;&gt;")=0),IF(COUNT(P$2:P62)=0,"",ROUND(SUMIF($A$2:A62,"&lt;&gt;",P$2:P62),2)),IF(OR(O63="",NOT(ISNUMBER(historico_VU!E63))),"",ROUND(O63*historico_VU!E63,2)))</f>
        <v/>
      </c>
      <c r="Q63" s="85" t="str">
        <f>IF(OR(posicao_contratual!R63="",posicao_contratual!V63=""),"",ROUND(MAX(posicao_contratual!R63+posicao_contratual!P63-posicao_contratual!V63,0),2))</f>
        <v/>
      </c>
      <c r="R63" s="79" t="str">
        <f>IF(AND(A63="",A62&lt;&gt;"",COUNTIF(A64:$A$200,"&lt;&gt;")=0),IF(COUNT(R$2:R62)=0,"",ROUND(SUMIF($A$2:A62,"&lt;&gt;",R$2:R62),2)),IF(OR(Q63="",NOT(ISNUMBER(historico_VU!F63))),"",ROUND(Q63*historico_VU!F63,2)))</f>
        <v/>
      </c>
      <c r="S63" s="21"/>
      <c r="T63" s="22" t="str">
        <f>IF(AND(A63="",A62&lt;&gt;"",COUNTIF(A64:$A$200,"&lt;&gt;")=0),IF(COUNT(T$2:T62)=0,"",ROUND(SUMIF($A$2:A62,"&lt;&gt;",T$2:T62),2)),IF(OR(S63="",NOT(ISNUMBER(historico_VU!G63))),"",ROUND(S63*historico_VU!G63,2)))</f>
        <v/>
      </c>
      <c r="U63" s="86" t="str">
        <f>IF(AND(A63="",A62&lt;&gt;"",COUNTIF(A64:$A$200,"&lt;&gt;")=0),"TOTAL",IF(A63="","",posicao_contratual!X63))</f>
        <v/>
      </c>
      <c r="V63" s="86" t="str">
        <f>IF(A63="","",posicao_contratual!X63)</f>
        <v/>
      </c>
      <c r="W63" s="14"/>
      <c r="X63" s="14"/>
      <c r="Y63" s="14"/>
      <c r="Z63" s="13"/>
      <c r="AA63" s="13"/>
      <c r="AB63" s="85" t="str">
        <f>IF(OR(A63="",posicao_contratual!E63="",posicao_contratual!J63=""),"",ROUND(MAX(posicao_contratual!E63-posicao_contratual!J63,0),2))</f>
        <v/>
      </c>
      <c r="AC63" s="79" t="str">
        <f>IF(AND(A63="",A62&lt;&gt;"",COUNTIF(A64:$A$200,"&lt;&gt;")=0),IF(COUNT(AC$2:AC62)=0,"",ROUND(SUMIF($A$2:A62,"&lt;&gt;",AC$2:AC62),2)),IF(OR(AB63="",NOT(ISNUMBER(historico_VU!C63))),"",ROUND(AB63*historico_VU!C63,2)))</f>
        <v/>
      </c>
      <c r="AD63" s="145" t="str">
        <f>IF(A63="","",posicao_contratual!E63)</f>
        <v/>
      </c>
      <c r="AE63" s="145" t="str">
        <f>IF(A63="","",posicao_contratual!I63)</f>
        <v/>
      </c>
      <c r="AF63" s="145" t="str">
        <f>IF(A63="","",posicao_contratual!M63)</f>
        <v/>
      </c>
      <c r="AG63" s="145" t="str">
        <f>IF(A63="","",posicao_contratual!Q63)</f>
        <v/>
      </c>
      <c r="AH63" s="145" t="str">
        <f>IF(A63="","",posicao_contratual!U63)</f>
        <v/>
      </c>
      <c r="AI63" s="145" t="str">
        <f>IF(A63="","",posicao_contratual!G63)</f>
        <v/>
      </c>
      <c r="AJ63" s="145" t="str">
        <f>IF(A63="","",posicao_contratual!K63)</f>
        <v/>
      </c>
      <c r="AK63" s="145" t="str">
        <f>IF(A63="","",posicao_contratual!O63)</f>
        <v/>
      </c>
      <c r="AL63" s="145" t="str">
        <f>IF(A63="","",posicao_contratual!S63)</f>
        <v/>
      </c>
      <c r="AM63" s="145" t="str">
        <f>IF(A63="","",posicao_contratual!W63)</f>
        <v/>
      </c>
      <c r="AN63" s="146" t="str">
        <f>IF(A63="","",posicao_contratual!X63)</f>
        <v/>
      </c>
      <c r="AO63" t="str">
        <f>IF($A63="","",ROUND(SUMIFS(itens_Consumidos!$E$2:$E$200,itens_Consumidos!$A$2:$A$200,$A63),2))</f>
        <v/>
      </c>
      <c r="AP63" t="str">
        <f t="shared" si="6"/>
        <v/>
      </c>
      <c r="AQ63" t="str">
        <f>IF(OR($A63="",AB63="",MEMORIA_RESULTADOS!$I$258=""),"",ROUND(AB63*$C63*(MEMORIA_RESULTADOS!$I$258-1),2))</f>
        <v/>
      </c>
      <c r="AR63" t="str">
        <f>IF(OR($A63="",AP63="",MEMORIA_RESULTADOS!$I$258=""),"",ROUND(AP63*$C63*(parametros!$F$2-MEMORIA_RESULTADOS!$I$258),2))</f>
        <v/>
      </c>
      <c r="AS63" t="str">
        <f>IF($A63="","",ROUND(SUMIFS(itens_Consumidos!$G$2:$G$200,itens_Consumidos!$A$2:$A$200,$A63),2))</f>
        <v/>
      </c>
      <c r="AT63" t="str">
        <f t="shared" si="7"/>
        <v/>
      </c>
      <c r="AU63" t="str">
        <f>IF(OR($A63="",M63="",MEMORIA_RESULTADOS!$I$259=""),"",ROUND(M63*$C63*(MEMORIA_RESULTADOS!$I$259-1),2))</f>
        <v/>
      </c>
      <c r="AV63" t="str">
        <f>IF(OR($A63="",AT63="",MEMORIA_RESULTADOS!$I$259=""),"",ROUND(AT63*$C63*(parametros!$F$3-MEMORIA_RESULTADOS!$I$259),2))</f>
        <v/>
      </c>
      <c r="AW63" t="str">
        <f>IF($A63="","",ROUND(SUMIFS(itens_Consumidos!$I$2:$I$200,itens_Consumidos!$A$2:$A$200,$A63),2))</f>
        <v/>
      </c>
      <c r="AX63" t="str">
        <f t="shared" si="8"/>
        <v/>
      </c>
      <c r="AY63" t="str">
        <f>IF(OR($A63="",O63="",MEMORIA_RESULTADOS!$I$260=""),"",ROUND(O63*$C63*(MEMORIA_RESULTADOS!$I$260-1),2))</f>
        <v/>
      </c>
      <c r="AZ63" t="str">
        <f>IF(OR($A63="",AX63="",MEMORIA_RESULTADOS!$I$260=""),"",ROUND(AX63*$C63*(parametros!$F$4-MEMORIA_RESULTADOS!$I$260),2))</f>
        <v/>
      </c>
      <c r="BA63" t="str">
        <f>IF($A63="","",ROUND(SUMIFS(itens_Consumidos!$K$2:$K$200,itens_Consumidos!$A$2:$A$200,$A63),2))</f>
        <v/>
      </c>
      <c r="BB63" t="str">
        <f t="shared" si="9"/>
        <v/>
      </c>
      <c r="BC63" t="str">
        <f>IF(OR($A63="",Q63="",MEMORIA_RESULTADOS!$I$261=""),"",ROUND(Q63*$C63*(MEMORIA_RESULTADOS!$I$261-1),2))</f>
        <v/>
      </c>
      <c r="BD63" t="str">
        <f>IF(OR($A63="",BB63="",MEMORIA_RESULTADOS!$I$261=""),"",ROUND(BB63*$C63*(parametros!$F$5-MEMORIA_RESULTADOS!$I$261),2))</f>
        <v/>
      </c>
      <c r="BE63" t="str">
        <f>IF($A63="","",ROUND(SUMIFS(itens_Consumidos!$M$2:$M$200,itens_Consumidos!$A$2:$A$200,$A63),2))</f>
        <v/>
      </c>
      <c r="BF63" t="str">
        <f t="shared" si="10"/>
        <v/>
      </c>
      <c r="BG63" t="str">
        <f>IF(OR($A63="",S63="",MEMORIA_RESULTADOS!$I$262=""),"",ROUND(S63*$C63*(MEMORIA_RESULTADOS!$I$262-1),2))</f>
        <v/>
      </c>
      <c r="BH63" t="str">
        <f>IF(OR($A63="",BF63="",MEMORIA_RESULTADOS!$I$262=""),"",ROUND(BF63*$C63*(parametros!$F$6-MEMORIA_RESULTADOS!$I$262),2))</f>
        <v/>
      </c>
      <c r="BI63" t="str">
        <f>IF($A63="","",IF(posicao_contratual!$AL63="","",posicao_contratual!$AL63))</f>
        <v/>
      </c>
    </row>
    <row r="64" spans="1:61" x14ac:dyDescent="0.35">
      <c r="A64" s="81"/>
      <c r="B64" s="82" t="str">
        <f t="shared" si="11"/>
        <v/>
      </c>
      <c r="C64" s="83"/>
      <c r="D64" s="79" t="str">
        <f>IF(AND(A64="",A63&lt;&gt;"",COUNTIF(A65:$A$200,"&lt;&gt;")=0),ROUND(SUMIF($A$2:A63,"&lt;&gt;",$D$2:D63),2),IF(OR(A64="",B64="",C64=""),"",ROUND(B64*C64,2)))</f>
        <v/>
      </c>
      <c r="E64" s="84"/>
      <c r="F64" s="79" t="str">
        <f>IF(AND(A64="",A63&lt;&gt;"",COUNTIF(A65:$A$200,"&lt;&gt;")=0),IF(COUNT(F$2:F63)=0,"",ROUND(SUMIF($A$2:A63,"&lt;&gt;",F$2:F63),2)),IF(OR(A64="",AND(ISNUMBER(posicao_contratual!$AL64),posicao_contratual!$AL64&gt;1),posicao_contratual!K64="",NOT(ISNUMBER(historico_VU!D64))),"",ROUND(posicao_contratual!K64*historico_VU!D64,2)))</f>
        <v/>
      </c>
      <c r="G64" s="84"/>
      <c r="H64" s="79" t="str">
        <f>IF(AND(A64="",A63&lt;&gt;"",COUNTIF(A65:$A$200,"&lt;&gt;")=0),IF(COUNT(H$2:H63)=0,"",ROUND(SUMIF($A$2:A63,"&lt;&gt;",H$2:H63),2)),IF(OR(A64="",AND(ISNUMBER(posicao_contratual!$AL64),posicao_contratual!$AL64&gt;2),posicao_contratual!O64="",NOT(ISNUMBER(historico_VU!E64))),"",ROUND(posicao_contratual!O64*historico_VU!E64,2)))</f>
        <v/>
      </c>
      <c r="I64" s="84"/>
      <c r="J64" s="79" t="str">
        <f>IF(AND(A64="",A63&lt;&gt;"",COUNTIF(A65:$A$200,"&lt;&gt;")=0),IF(COUNT(J$2:J63)=0,"",ROUND(SUMIF($A$2:A63,"&lt;&gt;",J$2:J63),2)),IF(OR(A64="",AND(ISNUMBER(posicao_contratual!$AL64),posicao_contratual!$AL64&gt;3),posicao_contratual!S64="",NOT(ISNUMBER(historico_VU!F64))),"",ROUND(posicao_contratual!S64*historico_VU!F64,2)))</f>
        <v/>
      </c>
      <c r="K64" s="84"/>
      <c r="L64" s="79" t="str">
        <f>IF(AND(A64="",A63&lt;&gt;"",COUNTIF(A65:$A$200,"&lt;&gt;")=0),IF(COUNT(L$2:L63)=0,"",ROUND(SUMIF($A$2:A63,"&lt;&gt;",L$2:L63),2)),IF(OR(A64="",AND(ISNUMBER(posicao_contratual!$AL64),posicao_contratual!$AL64&gt;4),posicao_contratual!W64="",NOT(ISNUMBER(historico_VU!G64))),"",ROUND(posicao_contratual!W64*historico_VU!G64,2)))</f>
        <v/>
      </c>
      <c r="M64" s="85" t="str">
        <f>IF(OR(posicao_contratual!J64="",posicao_contratual!N64=""),"",ROUND(MAX(posicao_contratual!J64+posicao_contratual!H64-posicao_contratual!N64,0),2))</f>
        <v/>
      </c>
      <c r="N64" s="79" t="str">
        <f>IF(AND(A64="",A63&lt;&gt;"",COUNTIF(A65:$A$200,"&lt;&gt;")=0),IF(COUNT(N$2:N63)=0,"",ROUND(SUMIF($A$2:A63,"&lt;&gt;",N$2:N63),2)),IF(OR(M64="",NOT(ISNUMBER(historico_VU!D64))),"",ROUND(M64*historico_VU!D64,2)))</f>
        <v/>
      </c>
      <c r="O64" s="85" t="str">
        <f>IF(OR(posicao_contratual!N64="",posicao_contratual!R64=""),"",ROUND(MAX(posicao_contratual!N64+posicao_contratual!L64-posicao_contratual!R64,0),2))</f>
        <v/>
      </c>
      <c r="P64" s="79" t="str">
        <f>IF(AND(A64="",A63&lt;&gt;"",COUNTIF(A65:$A$200,"&lt;&gt;")=0),IF(COUNT(P$2:P63)=0,"",ROUND(SUMIF($A$2:A63,"&lt;&gt;",P$2:P63),2)),IF(OR(O64="",NOT(ISNUMBER(historico_VU!E64))),"",ROUND(O64*historico_VU!E64,2)))</f>
        <v/>
      </c>
      <c r="Q64" s="85" t="str">
        <f>IF(OR(posicao_contratual!R64="",posicao_contratual!V64=""),"",ROUND(MAX(posicao_contratual!R64+posicao_contratual!P64-posicao_contratual!V64,0),2))</f>
        <v/>
      </c>
      <c r="R64" s="79" t="str">
        <f>IF(AND(A64="",A63&lt;&gt;"",COUNTIF(A65:$A$200,"&lt;&gt;")=0),IF(COUNT(R$2:R63)=0,"",ROUND(SUMIF($A$2:A63,"&lt;&gt;",R$2:R63),2)),IF(OR(Q64="",NOT(ISNUMBER(historico_VU!F64))),"",ROUND(Q64*historico_VU!F64,2)))</f>
        <v/>
      </c>
      <c r="S64" s="21"/>
      <c r="T64" s="22" t="str">
        <f>IF(AND(A64="",A63&lt;&gt;"",COUNTIF(A65:$A$200,"&lt;&gt;")=0),IF(COUNT(T$2:T63)=0,"",ROUND(SUMIF($A$2:A63,"&lt;&gt;",T$2:T63),2)),IF(OR(S64="",NOT(ISNUMBER(historico_VU!G64))),"",ROUND(S64*historico_VU!G64,2)))</f>
        <v/>
      </c>
      <c r="U64" s="86" t="str">
        <f>IF(AND(A64="",A63&lt;&gt;"",COUNTIF(A65:$A$200,"&lt;&gt;")=0),"TOTAL",IF(A64="","",posicao_contratual!X64))</f>
        <v/>
      </c>
      <c r="V64" s="86" t="str">
        <f>IF(A64="","",posicao_contratual!X64)</f>
        <v/>
      </c>
      <c r="W64" s="14"/>
      <c r="X64" s="14"/>
      <c r="Y64" s="14"/>
      <c r="Z64" s="13"/>
      <c r="AA64" s="13"/>
      <c r="AB64" s="85" t="str">
        <f>IF(OR(A64="",posicao_contratual!E64="",posicao_contratual!J64=""),"",ROUND(MAX(posicao_contratual!E64-posicao_contratual!J64,0),2))</f>
        <v/>
      </c>
      <c r="AC64" s="79" t="str">
        <f>IF(AND(A64="",A63&lt;&gt;"",COUNTIF(A65:$A$200,"&lt;&gt;")=0),IF(COUNT(AC$2:AC63)=0,"",ROUND(SUMIF($A$2:A63,"&lt;&gt;",AC$2:AC63),2)),IF(OR(AB64="",NOT(ISNUMBER(historico_VU!C64))),"",ROUND(AB64*historico_VU!C64,2)))</f>
        <v/>
      </c>
      <c r="AD64" s="145" t="str">
        <f>IF(A64="","",posicao_contratual!E64)</f>
        <v/>
      </c>
      <c r="AE64" s="145" t="str">
        <f>IF(A64="","",posicao_contratual!I64)</f>
        <v/>
      </c>
      <c r="AF64" s="145" t="str">
        <f>IF(A64="","",posicao_contratual!M64)</f>
        <v/>
      </c>
      <c r="AG64" s="145" t="str">
        <f>IF(A64="","",posicao_contratual!Q64)</f>
        <v/>
      </c>
      <c r="AH64" s="145" t="str">
        <f>IF(A64="","",posicao_contratual!U64)</f>
        <v/>
      </c>
      <c r="AI64" s="145" t="str">
        <f>IF(A64="","",posicao_contratual!G64)</f>
        <v/>
      </c>
      <c r="AJ64" s="145" t="str">
        <f>IF(A64="","",posicao_contratual!K64)</f>
        <v/>
      </c>
      <c r="AK64" s="145" t="str">
        <f>IF(A64="","",posicao_contratual!O64)</f>
        <v/>
      </c>
      <c r="AL64" s="145" t="str">
        <f>IF(A64="","",posicao_contratual!S64)</f>
        <v/>
      </c>
      <c r="AM64" s="145" t="str">
        <f>IF(A64="","",posicao_contratual!W64)</f>
        <v/>
      </c>
      <c r="AN64" s="146" t="str">
        <f>IF(A64="","",posicao_contratual!X64)</f>
        <v/>
      </c>
      <c r="AO64" t="str">
        <f>IF($A64="","",ROUND(SUMIFS(itens_Consumidos!$E$2:$E$200,itens_Consumidos!$A$2:$A$200,$A64),2))</f>
        <v/>
      </c>
      <c r="AP64" t="str">
        <f t="shared" si="6"/>
        <v/>
      </c>
      <c r="AQ64" t="str">
        <f>IF(OR($A64="",AB64="",MEMORIA_RESULTADOS!$I$258=""),"",ROUND(AB64*$C64*(MEMORIA_RESULTADOS!$I$258-1),2))</f>
        <v/>
      </c>
      <c r="AR64" t="str">
        <f>IF(OR($A64="",AP64="",MEMORIA_RESULTADOS!$I$258=""),"",ROUND(AP64*$C64*(parametros!$F$2-MEMORIA_RESULTADOS!$I$258),2))</f>
        <v/>
      </c>
      <c r="AS64" t="str">
        <f>IF($A64="","",ROUND(SUMIFS(itens_Consumidos!$G$2:$G$200,itens_Consumidos!$A$2:$A$200,$A64),2))</f>
        <v/>
      </c>
      <c r="AT64" t="str">
        <f t="shared" si="7"/>
        <v/>
      </c>
      <c r="AU64" t="str">
        <f>IF(OR($A64="",M64="",MEMORIA_RESULTADOS!$I$259=""),"",ROUND(M64*$C64*(MEMORIA_RESULTADOS!$I$259-1),2))</f>
        <v/>
      </c>
      <c r="AV64" t="str">
        <f>IF(OR($A64="",AT64="",MEMORIA_RESULTADOS!$I$259=""),"",ROUND(AT64*$C64*(parametros!$F$3-MEMORIA_RESULTADOS!$I$259),2))</f>
        <v/>
      </c>
      <c r="AW64" t="str">
        <f>IF($A64="","",ROUND(SUMIFS(itens_Consumidos!$I$2:$I$200,itens_Consumidos!$A$2:$A$200,$A64),2))</f>
        <v/>
      </c>
      <c r="AX64" t="str">
        <f t="shared" si="8"/>
        <v/>
      </c>
      <c r="AY64" t="str">
        <f>IF(OR($A64="",O64="",MEMORIA_RESULTADOS!$I$260=""),"",ROUND(O64*$C64*(MEMORIA_RESULTADOS!$I$260-1),2))</f>
        <v/>
      </c>
      <c r="AZ64" t="str">
        <f>IF(OR($A64="",AX64="",MEMORIA_RESULTADOS!$I$260=""),"",ROUND(AX64*$C64*(parametros!$F$4-MEMORIA_RESULTADOS!$I$260),2))</f>
        <v/>
      </c>
      <c r="BA64" t="str">
        <f>IF($A64="","",ROUND(SUMIFS(itens_Consumidos!$K$2:$K$200,itens_Consumidos!$A$2:$A$200,$A64),2))</f>
        <v/>
      </c>
      <c r="BB64" t="str">
        <f t="shared" si="9"/>
        <v/>
      </c>
      <c r="BC64" t="str">
        <f>IF(OR($A64="",Q64="",MEMORIA_RESULTADOS!$I$261=""),"",ROUND(Q64*$C64*(MEMORIA_RESULTADOS!$I$261-1),2))</f>
        <v/>
      </c>
      <c r="BD64" t="str">
        <f>IF(OR($A64="",BB64="",MEMORIA_RESULTADOS!$I$261=""),"",ROUND(BB64*$C64*(parametros!$F$5-MEMORIA_RESULTADOS!$I$261),2))</f>
        <v/>
      </c>
      <c r="BE64" t="str">
        <f>IF($A64="","",ROUND(SUMIFS(itens_Consumidos!$M$2:$M$200,itens_Consumidos!$A$2:$A$200,$A64),2))</f>
        <v/>
      </c>
      <c r="BF64" t="str">
        <f t="shared" si="10"/>
        <v/>
      </c>
      <c r="BG64" t="str">
        <f>IF(OR($A64="",S64="",MEMORIA_RESULTADOS!$I$262=""),"",ROUND(S64*$C64*(MEMORIA_RESULTADOS!$I$262-1),2))</f>
        <v/>
      </c>
      <c r="BH64" t="str">
        <f>IF(OR($A64="",BF64="",MEMORIA_RESULTADOS!$I$262=""),"",ROUND(BF64*$C64*(parametros!$F$6-MEMORIA_RESULTADOS!$I$262),2))</f>
        <v/>
      </c>
      <c r="BI64" t="str">
        <f>IF($A64="","",IF(posicao_contratual!$AL64="","",posicao_contratual!$AL64))</f>
        <v/>
      </c>
    </row>
    <row r="65" spans="1:61" x14ac:dyDescent="0.35">
      <c r="A65" s="81"/>
      <c r="B65" s="82" t="str">
        <f t="shared" si="11"/>
        <v/>
      </c>
      <c r="C65" s="83"/>
      <c r="D65" s="79" t="str">
        <f>IF(AND(A65="",A64&lt;&gt;"",COUNTIF(A66:$A$200,"&lt;&gt;")=0),ROUND(SUMIF($A$2:A64,"&lt;&gt;",$D$2:D64),2),IF(OR(A65="",B65="",C65=""),"",ROUND(B65*C65,2)))</f>
        <v/>
      </c>
      <c r="E65" s="84"/>
      <c r="F65" s="79" t="str">
        <f>IF(AND(A65="",A64&lt;&gt;"",COUNTIF(A66:$A$200,"&lt;&gt;")=0),IF(COUNT(F$2:F64)=0,"",ROUND(SUMIF($A$2:A64,"&lt;&gt;",F$2:F64),2)),IF(OR(A65="",AND(ISNUMBER(posicao_contratual!$AL65),posicao_contratual!$AL65&gt;1),posicao_contratual!K65="",NOT(ISNUMBER(historico_VU!D65))),"",ROUND(posicao_contratual!K65*historico_VU!D65,2)))</f>
        <v/>
      </c>
      <c r="G65" s="84"/>
      <c r="H65" s="79" t="str">
        <f>IF(AND(A65="",A64&lt;&gt;"",COUNTIF(A66:$A$200,"&lt;&gt;")=0),IF(COUNT(H$2:H64)=0,"",ROUND(SUMIF($A$2:A64,"&lt;&gt;",H$2:H64),2)),IF(OR(A65="",AND(ISNUMBER(posicao_contratual!$AL65),posicao_contratual!$AL65&gt;2),posicao_contratual!O65="",NOT(ISNUMBER(historico_VU!E65))),"",ROUND(posicao_contratual!O65*historico_VU!E65,2)))</f>
        <v/>
      </c>
      <c r="I65" s="84"/>
      <c r="J65" s="79" t="str">
        <f>IF(AND(A65="",A64&lt;&gt;"",COUNTIF(A66:$A$200,"&lt;&gt;")=0),IF(COUNT(J$2:J64)=0,"",ROUND(SUMIF($A$2:A64,"&lt;&gt;",J$2:J64),2)),IF(OR(A65="",AND(ISNUMBER(posicao_contratual!$AL65),posicao_contratual!$AL65&gt;3),posicao_contratual!S65="",NOT(ISNUMBER(historico_VU!F65))),"",ROUND(posicao_contratual!S65*historico_VU!F65,2)))</f>
        <v/>
      </c>
      <c r="K65" s="84"/>
      <c r="L65" s="79" t="str">
        <f>IF(AND(A65="",A64&lt;&gt;"",COUNTIF(A66:$A$200,"&lt;&gt;")=0),IF(COUNT(L$2:L64)=0,"",ROUND(SUMIF($A$2:A64,"&lt;&gt;",L$2:L64),2)),IF(OR(A65="",AND(ISNUMBER(posicao_contratual!$AL65),posicao_contratual!$AL65&gt;4),posicao_contratual!W65="",NOT(ISNUMBER(historico_VU!G65))),"",ROUND(posicao_contratual!W65*historico_VU!G65,2)))</f>
        <v/>
      </c>
      <c r="M65" s="85" t="str">
        <f>IF(OR(posicao_contratual!J65="",posicao_contratual!N65=""),"",ROUND(MAX(posicao_contratual!J65+posicao_contratual!H65-posicao_contratual!N65,0),2))</f>
        <v/>
      </c>
      <c r="N65" s="79" t="str">
        <f>IF(AND(A65="",A64&lt;&gt;"",COUNTIF(A66:$A$200,"&lt;&gt;")=0),IF(COUNT(N$2:N64)=0,"",ROUND(SUMIF($A$2:A64,"&lt;&gt;",N$2:N64),2)),IF(OR(M65="",NOT(ISNUMBER(historico_VU!D65))),"",ROUND(M65*historico_VU!D65,2)))</f>
        <v/>
      </c>
      <c r="O65" s="85" t="str">
        <f>IF(OR(posicao_contratual!N65="",posicao_contratual!R65=""),"",ROUND(MAX(posicao_contratual!N65+posicao_contratual!L65-posicao_contratual!R65,0),2))</f>
        <v/>
      </c>
      <c r="P65" s="79" t="str">
        <f>IF(AND(A65="",A64&lt;&gt;"",COUNTIF(A66:$A$200,"&lt;&gt;")=0),IF(COUNT(P$2:P64)=0,"",ROUND(SUMIF($A$2:A64,"&lt;&gt;",P$2:P64),2)),IF(OR(O65="",NOT(ISNUMBER(historico_VU!E65))),"",ROUND(O65*historico_VU!E65,2)))</f>
        <v/>
      </c>
      <c r="Q65" s="85" t="str">
        <f>IF(OR(posicao_contratual!R65="",posicao_contratual!V65=""),"",ROUND(MAX(posicao_contratual!R65+posicao_contratual!P65-posicao_contratual!V65,0),2))</f>
        <v/>
      </c>
      <c r="R65" s="79" t="str">
        <f>IF(AND(A65="",A64&lt;&gt;"",COUNTIF(A66:$A$200,"&lt;&gt;")=0),IF(COUNT(R$2:R64)=0,"",ROUND(SUMIF($A$2:A64,"&lt;&gt;",R$2:R64),2)),IF(OR(Q65="",NOT(ISNUMBER(historico_VU!F65))),"",ROUND(Q65*historico_VU!F65,2)))</f>
        <v/>
      </c>
      <c r="S65" s="21"/>
      <c r="T65" s="22" t="str">
        <f>IF(AND(A65="",A64&lt;&gt;"",COUNTIF(A66:$A$200,"&lt;&gt;")=0),IF(COUNT(T$2:T64)=0,"",ROUND(SUMIF($A$2:A64,"&lt;&gt;",T$2:T64),2)),IF(OR(S65="",NOT(ISNUMBER(historico_VU!G65))),"",ROUND(S65*historico_VU!G65,2)))</f>
        <v/>
      </c>
      <c r="U65" s="86" t="str">
        <f>IF(AND(A65="",A64&lt;&gt;"",COUNTIF(A66:$A$200,"&lt;&gt;")=0),"TOTAL",IF(A65="","",posicao_contratual!X65))</f>
        <v/>
      </c>
      <c r="V65" s="86" t="str">
        <f>IF(A65="","",posicao_contratual!X65)</f>
        <v/>
      </c>
      <c r="W65" s="14"/>
      <c r="X65" s="14"/>
      <c r="Y65" s="14"/>
      <c r="Z65" s="13"/>
      <c r="AA65" s="13"/>
      <c r="AB65" s="85" t="str">
        <f>IF(OR(A65="",posicao_contratual!E65="",posicao_contratual!J65=""),"",ROUND(MAX(posicao_contratual!E65-posicao_contratual!J65,0),2))</f>
        <v/>
      </c>
      <c r="AC65" s="79" t="str">
        <f>IF(AND(A65="",A64&lt;&gt;"",COUNTIF(A66:$A$200,"&lt;&gt;")=0),IF(COUNT(AC$2:AC64)=0,"",ROUND(SUMIF($A$2:A64,"&lt;&gt;",AC$2:AC64),2)),IF(OR(AB65="",NOT(ISNUMBER(historico_VU!C65))),"",ROUND(AB65*historico_VU!C65,2)))</f>
        <v/>
      </c>
      <c r="AD65" s="145" t="str">
        <f>IF(A65="","",posicao_contratual!E65)</f>
        <v/>
      </c>
      <c r="AE65" s="145" t="str">
        <f>IF(A65="","",posicao_contratual!I65)</f>
        <v/>
      </c>
      <c r="AF65" s="145" t="str">
        <f>IF(A65="","",posicao_contratual!M65)</f>
        <v/>
      </c>
      <c r="AG65" s="145" t="str">
        <f>IF(A65="","",posicao_contratual!Q65)</f>
        <v/>
      </c>
      <c r="AH65" s="145" t="str">
        <f>IF(A65="","",posicao_contratual!U65)</f>
        <v/>
      </c>
      <c r="AI65" s="145" t="str">
        <f>IF(A65="","",posicao_contratual!G65)</f>
        <v/>
      </c>
      <c r="AJ65" s="145" t="str">
        <f>IF(A65="","",posicao_contratual!K65)</f>
        <v/>
      </c>
      <c r="AK65" s="145" t="str">
        <f>IF(A65="","",posicao_contratual!O65)</f>
        <v/>
      </c>
      <c r="AL65" s="145" t="str">
        <f>IF(A65="","",posicao_contratual!S65)</f>
        <v/>
      </c>
      <c r="AM65" s="145" t="str">
        <f>IF(A65="","",posicao_contratual!W65)</f>
        <v/>
      </c>
      <c r="AN65" s="146" t="str">
        <f>IF(A65="","",posicao_contratual!X65)</f>
        <v/>
      </c>
      <c r="AO65" t="str">
        <f>IF($A65="","",ROUND(SUMIFS(itens_Consumidos!$E$2:$E$200,itens_Consumidos!$A$2:$A$200,$A65),2))</f>
        <v/>
      </c>
      <c r="AP65" t="str">
        <f t="shared" si="6"/>
        <v/>
      </c>
      <c r="AQ65" t="str">
        <f>IF(OR($A65="",AB65="",MEMORIA_RESULTADOS!$I$258=""),"",ROUND(AB65*$C65*(MEMORIA_RESULTADOS!$I$258-1),2))</f>
        <v/>
      </c>
      <c r="AR65" t="str">
        <f>IF(OR($A65="",AP65="",MEMORIA_RESULTADOS!$I$258=""),"",ROUND(AP65*$C65*(parametros!$F$2-MEMORIA_RESULTADOS!$I$258),2))</f>
        <v/>
      </c>
      <c r="AS65" t="str">
        <f>IF($A65="","",ROUND(SUMIFS(itens_Consumidos!$G$2:$G$200,itens_Consumidos!$A$2:$A$200,$A65),2))</f>
        <v/>
      </c>
      <c r="AT65" t="str">
        <f t="shared" si="7"/>
        <v/>
      </c>
      <c r="AU65" t="str">
        <f>IF(OR($A65="",M65="",MEMORIA_RESULTADOS!$I$259=""),"",ROUND(M65*$C65*(MEMORIA_RESULTADOS!$I$259-1),2))</f>
        <v/>
      </c>
      <c r="AV65" t="str">
        <f>IF(OR($A65="",AT65="",MEMORIA_RESULTADOS!$I$259=""),"",ROUND(AT65*$C65*(parametros!$F$3-MEMORIA_RESULTADOS!$I$259),2))</f>
        <v/>
      </c>
      <c r="AW65" t="str">
        <f>IF($A65="","",ROUND(SUMIFS(itens_Consumidos!$I$2:$I$200,itens_Consumidos!$A$2:$A$200,$A65),2))</f>
        <v/>
      </c>
      <c r="AX65" t="str">
        <f t="shared" si="8"/>
        <v/>
      </c>
      <c r="AY65" t="str">
        <f>IF(OR($A65="",O65="",MEMORIA_RESULTADOS!$I$260=""),"",ROUND(O65*$C65*(MEMORIA_RESULTADOS!$I$260-1),2))</f>
        <v/>
      </c>
      <c r="AZ65" t="str">
        <f>IF(OR($A65="",AX65="",MEMORIA_RESULTADOS!$I$260=""),"",ROUND(AX65*$C65*(parametros!$F$4-MEMORIA_RESULTADOS!$I$260),2))</f>
        <v/>
      </c>
      <c r="BA65" t="str">
        <f>IF($A65="","",ROUND(SUMIFS(itens_Consumidos!$K$2:$K$200,itens_Consumidos!$A$2:$A$200,$A65),2))</f>
        <v/>
      </c>
      <c r="BB65" t="str">
        <f t="shared" si="9"/>
        <v/>
      </c>
      <c r="BC65" t="str">
        <f>IF(OR($A65="",Q65="",MEMORIA_RESULTADOS!$I$261=""),"",ROUND(Q65*$C65*(MEMORIA_RESULTADOS!$I$261-1),2))</f>
        <v/>
      </c>
      <c r="BD65" t="str">
        <f>IF(OR($A65="",BB65="",MEMORIA_RESULTADOS!$I$261=""),"",ROUND(BB65*$C65*(parametros!$F$5-MEMORIA_RESULTADOS!$I$261),2))</f>
        <v/>
      </c>
      <c r="BE65" t="str">
        <f>IF($A65="","",ROUND(SUMIFS(itens_Consumidos!$M$2:$M$200,itens_Consumidos!$A$2:$A$200,$A65),2))</f>
        <v/>
      </c>
      <c r="BF65" t="str">
        <f t="shared" si="10"/>
        <v/>
      </c>
      <c r="BG65" t="str">
        <f>IF(OR($A65="",S65="",MEMORIA_RESULTADOS!$I$262=""),"",ROUND(S65*$C65*(MEMORIA_RESULTADOS!$I$262-1),2))</f>
        <v/>
      </c>
      <c r="BH65" t="str">
        <f>IF(OR($A65="",BF65="",MEMORIA_RESULTADOS!$I$262=""),"",ROUND(BF65*$C65*(parametros!$F$6-MEMORIA_RESULTADOS!$I$262),2))</f>
        <v/>
      </c>
      <c r="BI65" t="str">
        <f>IF($A65="","",IF(posicao_contratual!$AL65="","",posicao_contratual!$AL65))</f>
        <v/>
      </c>
    </row>
    <row r="66" spans="1:61" x14ac:dyDescent="0.35">
      <c r="A66" s="81"/>
      <c r="B66" s="82" t="str">
        <f t="shared" si="11"/>
        <v/>
      </c>
      <c r="C66" s="83"/>
      <c r="D66" s="79" t="str">
        <f>IF(AND(A66="",A65&lt;&gt;"",COUNTIF(A67:$A$200,"&lt;&gt;")=0),ROUND(SUMIF($A$2:A65,"&lt;&gt;",$D$2:D65),2),IF(OR(A66="",B66="",C66=""),"",ROUND(B66*C66,2)))</f>
        <v/>
      </c>
      <c r="E66" s="84"/>
      <c r="F66" s="79" t="str">
        <f>IF(AND(A66="",A65&lt;&gt;"",COUNTIF(A67:$A$200,"&lt;&gt;")=0),IF(COUNT(F$2:F65)=0,"",ROUND(SUMIF($A$2:A65,"&lt;&gt;",F$2:F65),2)),IF(OR(A66="",AND(ISNUMBER(posicao_contratual!$AL66),posicao_contratual!$AL66&gt;1),posicao_contratual!K66="",NOT(ISNUMBER(historico_VU!D66))),"",ROUND(posicao_contratual!K66*historico_VU!D66,2)))</f>
        <v/>
      </c>
      <c r="G66" s="84"/>
      <c r="H66" s="79" t="str">
        <f>IF(AND(A66="",A65&lt;&gt;"",COUNTIF(A67:$A$200,"&lt;&gt;")=0),IF(COUNT(H$2:H65)=0,"",ROUND(SUMIF($A$2:A65,"&lt;&gt;",H$2:H65),2)),IF(OR(A66="",AND(ISNUMBER(posicao_contratual!$AL66),posicao_contratual!$AL66&gt;2),posicao_contratual!O66="",NOT(ISNUMBER(historico_VU!E66))),"",ROUND(posicao_contratual!O66*historico_VU!E66,2)))</f>
        <v/>
      </c>
      <c r="I66" s="84"/>
      <c r="J66" s="79" t="str">
        <f>IF(AND(A66="",A65&lt;&gt;"",COUNTIF(A67:$A$200,"&lt;&gt;")=0),IF(COUNT(J$2:J65)=0,"",ROUND(SUMIF($A$2:A65,"&lt;&gt;",J$2:J65),2)),IF(OR(A66="",AND(ISNUMBER(posicao_contratual!$AL66),posicao_contratual!$AL66&gt;3),posicao_contratual!S66="",NOT(ISNUMBER(historico_VU!F66))),"",ROUND(posicao_contratual!S66*historico_VU!F66,2)))</f>
        <v/>
      </c>
      <c r="K66" s="84"/>
      <c r="L66" s="79" t="str">
        <f>IF(AND(A66="",A65&lt;&gt;"",COUNTIF(A67:$A$200,"&lt;&gt;")=0),IF(COUNT(L$2:L65)=0,"",ROUND(SUMIF($A$2:A65,"&lt;&gt;",L$2:L65),2)),IF(OR(A66="",AND(ISNUMBER(posicao_contratual!$AL66),posicao_contratual!$AL66&gt;4),posicao_contratual!W66="",NOT(ISNUMBER(historico_VU!G66))),"",ROUND(posicao_contratual!W66*historico_VU!G66,2)))</f>
        <v/>
      </c>
      <c r="M66" s="85" t="str">
        <f>IF(OR(posicao_contratual!J66="",posicao_contratual!N66=""),"",ROUND(MAX(posicao_contratual!J66+posicao_contratual!H66-posicao_contratual!N66,0),2))</f>
        <v/>
      </c>
      <c r="N66" s="79" t="str">
        <f>IF(AND(A66="",A65&lt;&gt;"",COUNTIF(A67:$A$200,"&lt;&gt;")=0),IF(COUNT(N$2:N65)=0,"",ROUND(SUMIF($A$2:A65,"&lt;&gt;",N$2:N65),2)),IF(OR(M66="",NOT(ISNUMBER(historico_VU!D66))),"",ROUND(M66*historico_VU!D66,2)))</f>
        <v/>
      </c>
      <c r="O66" s="85" t="str">
        <f>IF(OR(posicao_contratual!N66="",posicao_contratual!R66=""),"",ROUND(MAX(posicao_contratual!N66+posicao_contratual!L66-posicao_contratual!R66,0),2))</f>
        <v/>
      </c>
      <c r="P66" s="79" t="str">
        <f>IF(AND(A66="",A65&lt;&gt;"",COUNTIF(A67:$A$200,"&lt;&gt;")=0),IF(COUNT(P$2:P65)=0,"",ROUND(SUMIF($A$2:A65,"&lt;&gt;",P$2:P65),2)),IF(OR(O66="",NOT(ISNUMBER(historico_VU!E66))),"",ROUND(O66*historico_VU!E66,2)))</f>
        <v/>
      </c>
      <c r="Q66" s="85" t="str">
        <f>IF(OR(posicao_contratual!R66="",posicao_contratual!V66=""),"",ROUND(MAX(posicao_contratual!R66+posicao_contratual!P66-posicao_contratual!V66,0),2))</f>
        <v/>
      </c>
      <c r="R66" s="79" t="str">
        <f>IF(AND(A66="",A65&lt;&gt;"",COUNTIF(A67:$A$200,"&lt;&gt;")=0),IF(COUNT(R$2:R65)=0,"",ROUND(SUMIF($A$2:A65,"&lt;&gt;",R$2:R65),2)),IF(OR(Q66="",NOT(ISNUMBER(historico_VU!F66))),"",ROUND(Q66*historico_VU!F66,2)))</f>
        <v/>
      </c>
      <c r="S66" s="21"/>
      <c r="T66" s="22" t="str">
        <f>IF(AND(A66="",A65&lt;&gt;"",COUNTIF(A67:$A$200,"&lt;&gt;")=0),IF(COUNT(T$2:T65)=0,"",ROUND(SUMIF($A$2:A65,"&lt;&gt;",T$2:T65),2)),IF(OR(S66="",NOT(ISNUMBER(historico_VU!G66))),"",ROUND(S66*historico_VU!G66,2)))</f>
        <v/>
      </c>
      <c r="U66" s="86" t="str">
        <f>IF(AND(A66="",A65&lt;&gt;"",COUNTIF(A67:$A$200,"&lt;&gt;")=0),"TOTAL",IF(A66="","",posicao_contratual!X66))</f>
        <v/>
      </c>
      <c r="V66" s="86" t="str">
        <f>IF(A66="","",posicao_contratual!X66)</f>
        <v/>
      </c>
      <c r="W66" s="14"/>
      <c r="X66" s="14"/>
      <c r="Y66" s="14"/>
      <c r="Z66" s="13"/>
      <c r="AA66" s="13"/>
      <c r="AB66" s="85" t="str">
        <f>IF(OR(A66="",posicao_contratual!E66="",posicao_contratual!J66=""),"",ROUND(MAX(posicao_contratual!E66-posicao_contratual!J66,0),2))</f>
        <v/>
      </c>
      <c r="AC66" s="79" t="str">
        <f>IF(AND(A66="",A65&lt;&gt;"",COUNTIF(A67:$A$200,"&lt;&gt;")=0),IF(COUNT(AC$2:AC65)=0,"",ROUND(SUMIF($A$2:A65,"&lt;&gt;",AC$2:AC65),2)),IF(OR(AB66="",NOT(ISNUMBER(historico_VU!C66))),"",ROUND(AB66*historico_VU!C66,2)))</f>
        <v/>
      </c>
      <c r="AD66" s="145" t="str">
        <f>IF(A66="","",posicao_contratual!E66)</f>
        <v/>
      </c>
      <c r="AE66" s="145" t="str">
        <f>IF(A66="","",posicao_contratual!I66)</f>
        <v/>
      </c>
      <c r="AF66" s="145" t="str">
        <f>IF(A66="","",posicao_contratual!M66)</f>
        <v/>
      </c>
      <c r="AG66" s="145" t="str">
        <f>IF(A66="","",posicao_contratual!Q66)</f>
        <v/>
      </c>
      <c r="AH66" s="145" t="str">
        <f>IF(A66="","",posicao_contratual!U66)</f>
        <v/>
      </c>
      <c r="AI66" s="145" t="str">
        <f>IF(A66="","",posicao_contratual!G66)</f>
        <v/>
      </c>
      <c r="AJ66" s="145" t="str">
        <f>IF(A66="","",posicao_contratual!K66)</f>
        <v/>
      </c>
      <c r="AK66" s="145" t="str">
        <f>IF(A66="","",posicao_contratual!O66)</f>
        <v/>
      </c>
      <c r="AL66" s="145" t="str">
        <f>IF(A66="","",posicao_contratual!S66)</f>
        <v/>
      </c>
      <c r="AM66" s="145" t="str">
        <f>IF(A66="","",posicao_contratual!W66)</f>
        <v/>
      </c>
      <c r="AN66" s="146" t="str">
        <f>IF(A66="","",posicao_contratual!X66)</f>
        <v/>
      </c>
      <c r="AO66" t="str">
        <f>IF($A66="","",ROUND(SUMIFS(itens_Consumidos!$E$2:$E$200,itens_Consumidos!$A$2:$A$200,$A66),2))</f>
        <v/>
      </c>
      <c r="AP66" t="str">
        <f t="shared" ref="AP66:AP97" si="12">IF(OR($A66="",AB66=""),"",ROUND(MAX(AB66-AO66,0),2))</f>
        <v/>
      </c>
      <c r="AQ66" t="str">
        <f>IF(OR($A66="",AB66="",MEMORIA_RESULTADOS!$I$258=""),"",ROUND(AB66*$C66*(MEMORIA_RESULTADOS!$I$258-1),2))</f>
        <v/>
      </c>
      <c r="AR66" t="str">
        <f>IF(OR($A66="",AP66="",MEMORIA_RESULTADOS!$I$258=""),"",ROUND(AP66*$C66*(parametros!$F$2-MEMORIA_RESULTADOS!$I$258),2))</f>
        <v/>
      </c>
      <c r="AS66" t="str">
        <f>IF($A66="","",ROUND(SUMIFS(itens_Consumidos!$G$2:$G$200,itens_Consumidos!$A$2:$A$200,$A66),2))</f>
        <v/>
      </c>
      <c r="AT66" t="str">
        <f t="shared" ref="AT66:AT97" si="13">IF(OR($A66="",M66=""),"",ROUND(MAX(M66-AS66,0),2))</f>
        <v/>
      </c>
      <c r="AU66" t="str">
        <f>IF(OR($A66="",M66="",MEMORIA_RESULTADOS!$I$259=""),"",ROUND(M66*$C66*(MEMORIA_RESULTADOS!$I$259-1),2))</f>
        <v/>
      </c>
      <c r="AV66" t="str">
        <f>IF(OR($A66="",AT66="",MEMORIA_RESULTADOS!$I$259=""),"",ROUND(AT66*$C66*(parametros!$F$3-MEMORIA_RESULTADOS!$I$259),2))</f>
        <v/>
      </c>
      <c r="AW66" t="str">
        <f>IF($A66="","",ROUND(SUMIFS(itens_Consumidos!$I$2:$I$200,itens_Consumidos!$A$2:$A$200,$A66),2))</f>
        <v/>
      </c>
      <c r="AX66" t="str">
        <f t="shared" ref="AX66:AX97" si="14">IF(OR($A66="",O66=""),"",ROUND(MAX(O66-AW66,0),2))</f>
        <v/>
      </c>
      <c r="AY66" t="str">
        <f>IF(OR($A66="",O66="",MEMORIA_RESULTADOS!$I$260=""),"",ROUND(O66*$C66*(MEMORIA_RESULTADOS!$I$260-1),2))</f>
        <v/>
      </c>
      <c r="AZ66" t="str">
        <f>IF(OR($A66="",AX66="",MEMORIA_RESULTADOS!$I$260=""),"",ROUND(AX66*$C66*(parametros!$F$4-MEMORIA_RESULTADOS!$I$260),2))</f>
        <v/>
      </c>
      <c r="BA66" t="str">
        <f>IF($A66="","",ROUND(SUMIFS(itens_Consumidos!$K$2:$K$200,itens_Consumidos!$A$2:$A$200,$A66),2))</f>
        <v/>
      </c>
      <c r="BB66" t="str">
        <f t="shared" ref="BB66:BB97" si="15">IF(OR($A66="",Q66=""),"",ROUND(MAX(Q66-BA66,0),2))</f>
        <v/>
      </c>
      <c r="BC66" t="str">
        <f>IF(OR($A66="",Q66="",MEMORIA_RESULTADOS!$I$261=""),"",ROUND(Q66*$C66*(MEMORIA_RESULTADOS!$I$261-1),2))</f>
        <v/>
      </c>
      <c r="BD66" t="str">
        <f>IF(OR($A66="",BB66="",MEMORIA_RESULTADOS!$I$261=""),"",ROUND(BB66*$C66*(parametros!$F$5-MEMORIA_RESULTADOS!$I$261),2))</f>
        <v/>
      </c>
      <c r="BE66" t="str">
        <f>IF($A66="","",ROUND(SUMIFS(itens_Consumidos!$M$2:$M$200,itens_Consumidos!$A$2:$A$200,$A66),2))</f>
        <v/>
      </c>
      <c r="BF66" t="str">
        <f t="shared" ref="BF66:BF97" si="16">IF(OR($A66="",S66=""),"",ROUND(MAX(S66-BE66,0),2))</f>
        <v/>
      </c>
      <c r="BG66" t="str">
        <f>IF(OR($A66="",S66="",MEMORIA_RESULTADOS!$I$262=""),"",ROUND(S66*$C66*(MEMORIA_RESULTADOS!$I$262-1),2))</f>
        <v/>
      </c>
      <c r="BH66" t="str">
        <f>IF(OR($A66="",BF66="",MEMORIA_RESULTADOS!$I$262=""),"",ROUND(BF66*$C66*(parametros!$F$6-MEMORIA_RESULTADOS!$I$262),2))</f>
        <v/>
      </c>
      <c r="BI66" t="str">
        <f>IF($A66="","",IF(posicao_contratual!$AL66="","",posicao_contratual!$AL66))</f>
        <v/>
      </c>
    </row>
    <row r="67" spans="1:61" x14ac:dyDescent="0.35">
      <c r="A67" s="81"/>
      <c r="B67" s="82" t="str">
        <f t="shared" si="11"/>
        <v/>
      </c>
      <c r="C67" s="83"/>
      <c r="D67" s="79" t="str">
        <f>IF(AND(A67="",A66&lt;&gt;"",COUNTIF(A68:$A$200,"&lt;&gt;")=0),ROUND(SUMIF($A$2:A66,"&lt;&gt;",$D$2:D66),2),IF(OR(A67="",B67="",C67=""),"",ROUND(B67*C67,2)))</f>
        <v/>
      </c>
      <c r="E67" s="84"/>
      <c r="F67" s="79" t="str">
        <f>IF(AND(A67="",A66&lt;&gt;"",COUNTIF(A68:$A$200,"&lt;&gt;")=0),IF(COUNT(F$2:F66)=0,"",ROUND(SUMIF($A$2:A66,"&lt;&gt;",F$2:F66),2)),IF(OR(A67="",AND(ISNUMBER(posicao_contratual!$AL67),posicao_contratual!$AL67&gt;1),posicao_contratual!K67="",NOT(ISNUMBER(historico_VU!D67))),"",ROUND(posicao_contratual!K67*historico_VU!D67,2)))</f>
        <v/>
      </c>
      <c r="G67" s="84"/>
      <c r="H67" s="79" t="str">
        <f>IF(AND(A67="",A66&lt;&gt;"",COUNTIF(A68:$A$200,"&lt;&gt;")=0),IF(COUNT(H$2:H66)=0,"",ROUND(SUMIF($A$2:A66,"&lt;&gt;",H$2:H66),2)),IF(OR(A67="",AND(ISNUMBER(posicao_contratual!$AL67),posicao_contratual!$AL67&gt;2),posicao_contratual!O67="",NOT(ISNUMBER(historico_VU!E67))),"",ROUND(posicao_contratual!O67*historico_VU!E67,2)))</f>
        <v/>
      </c>
      <c r="I67" s="84"/>
      <c r="J67" s="79" t="str">
        <f>IF(AND(A67="",A66&lt;&gt;"",COUNTIF(A68:$A$200,"&lt;&gt;")=0),IF(COUNT(J$2:J66)=0,"",ROUND(SUMIF($A$2:A66,"&lt;&gt;",J$2:J66),2)),IF(OR(A67="",AND(ISNUMBER(posicao_contratual!$AL67),posicao_contratual!$AL67&gt;3),posicao_contratual!S67="",NOT(ISNUMBER(historico_VU!F67))),"",ROUND(posicao_contratual!S67*historico_VU!F67,2)))</f>
        <v/>
      </c>
      <c r="K67" s="84"/>
      <c r="L67" s="79" t="str">
        <f>IF(AND(A67="",A66&lt;&gt;"",COUNTIF(A68:$A$200,"&lt;&gt;")=0),IF(COUNT(L$2:L66)=0,"",ROUND(SUMIF($A$2:A66,"&lt;&gt;",L$2:L66),2)),IF(OR(A67="",AND(ISNUMBER(posicao_contratual!$AL67),posicao_contratual!$AL67&gt;4),posicao_contratual!W67="",NOT(ISNUMBER(historico_VU!G67))),"",ROUND(posicao_contratual!W67*historico_VU!G67,2)))</f>
        <v/>
      </c>
      <c r="M67" s="85" t="str">
        <f>IF(OR(posicao_contratual!J67="",posicao_contratual!N67=""),"",ROUND(MAX(posicao_contratual!J67+posicao_contratual!H67-posicao_contratual!N67,0),2))</f>
        <v/>
      </c>
      <c r="N67" s="79" t="str">
        <f>IF(AND(A67="",A66&lt;&gt;"",COUNTIF(A68:$A$200,"&lt;&gt;")=0),IF(COUNT(N$2:N66)=0,"",ROUND(SUMIF($A$2:A66,"&lt;&gt;",N$2:N66),2)),IF(OR(M67="",NOT(ISNUMBER(historico_VU!D67))),"",ROUND(M67*historico_VU!D67,2)))</f>
        <v/>
      </c>
      <c r="O67" s="85" t="str">
        <f>IF(OR(posicao_contratual!N67="",posicao_contratual!R67=""),"",ROUND(MAX(posicao_contratual!N67+posicao_contratual!L67-posicao_contratual!R67,0),2))</f>
        <v/>
      </c>
      <c r="P67" s="79" t="str">
        <f>IF(AND(A67="",A66&lt;&gt;"",COUNTIF(A68:$A$200,"&lt;&gt;")=0),IF(COUNT(P$2:P66)=0,"",ROUND(SUMIF($A$2:A66,"&lt;&gt;",P$2:P66),2)),IF(OR(O67="",NOT(ISNUMBER(historico_VU!E67))),"",ROUND(O67*historico_VU!E67,2)))</f>
        <v/>
      </c>
      <c r="Q67" s="85" t="str">
        <f>IF(OR(posicao_contratual!R67="",posicao_contratual!V67=""),"",ROUND(MAX(posicao_contratual!R67+posicao_contratual!P67-posicao_contratual!V67,0),2))</f>
        <v/>
      </c>
      <c r="R67" s="79" t="str">
        <f>IF(AND(A67="",A66&lt;&gt;"",COUNTIF(A68:$A$200,"&lt;&gt;")=0),IF(COUNT(R$2:R66)=0,"",ROUND(SUMIF($A$2:A66,"&lt;&gt;",R$2:R66),2)),IF(OR(Q67="",NOT(ISNUMBER(historico_VU!F67))),"",ROUND(Q67*historico_VU!F67,2)))</f>
        <v/>
      </c>
      <c r="S67" s="21"/>
      <c r="T67" s="22" t="str">
        <f>IF(AND(A67="",A66&lt;&gt;"",COUNTIF(A68:$A$200,"&lt;&gt;")=0),IF(COUNT(T$2:T66)=0,"",ROUND(SUMIF($A$2:A66,"&lt;&gt;",T$2:T66),2)),IF(OR(S67="",NOT(ISNUMBER(historico_VU!G67))),"",ROUND(S67*historico_VU!G67,2)))</f>
        <v/>
      </c>
      <c r="U67" s="86" t="str">
        <f>IF(AND(A67="",A66&lt;&gt;"",COUNTIF(A68:$A$200,"&lt;&gt;")=0),"TOTAL",IF(A67="","",posicao_contratual!X67))</f>
        <v/>
      </c>
      <c r="V67" s="86" t="str">
        <f>IF(A67="","",posicao_contratual!X67)</f>
        <v/>
      </c>
      <c r="W67" s="14"/>
      <c r="X67" s="14"/>
      <c r="Y67" s="14"/>
      <c r="Z67" s="13"/>
      <c r="AA67" s="13"/>
      <c r="AB67" s="85" t="str">
        <f>IF(OR(A67="",posicao_contratual!E67="",posicao_contratual!J67=""),"",ROUND(MAX(posicao_contratual!E67-posicao_contratual!J67,0),2))</f>
        <v/>
      </c>
      <c r="AC67" s="79" t="str">
        <f>IF(AND(A67="",A66&lt;&gt;"",COUNTIF(A68:$A$200,"&lt;&gt;")=0),IF(COUNT(AC$2:AC66)=0,"",ROUND(SUMIF($A$2:A66,"&lt;&gt;",AC$2:AC66),2)),IF(OR(AB67="",NOT(ISNUMBER(historico_VU!C67))),"",ROUND(AB67*historico_VU!C67,2)))</f>
        <v/>
      </c>
      <c r="AD67" s="145" t="str">
        <f>IF(A67="","",posicao_contratual!E67)</f>
        <v/>
      </c>
      <c r="AE67" s="145" t="str">
        <f>IF(A67="","",posicao_contratual!I67)</f>
        <v/>
      </c>
      <c r="AF67" s="145" t="str">
        <f>IF(A67="","",posicao_contratual!M67)</f>
        <v/>
      </c>
      <c r="AG67" s="145" t="str">
        <f>IF(A67="","",posicao_contratual!Q67)</f>
        <v/>
      </c>
      <c r="AH67" s="145" t="str">
        <f>IF(A67="","",posicao_contratual!U67)</f>
        <v/>
      </c>
      <c r="AI67" s="145" t="str">
        <f>IF(A67="","",posicao_contratual!G67)</f>
        <v/>
      </c>
      <c r="AJ67" s="145" t="str">
        <f>IF(A67="","",posicao_contratual!K67)</f>
        <v/>
      </c>
      <c r="AK67" s="145" t="str">
        <f>IF(A67="","",posicao_contratual!O67)</f>
        <v/>
      </c>
      <c r="AL67" s="145" t="str">
        <f>IF(A67="","",posicao_contratual!S67)</f>
        <v/>
      </c>
      <c r="AM67" s="145" t="str">
        <f>IF(A67="","",posicao_contratual!W67)</f>
        <v/>
      </c>
      <c r="AN67" s="146" t="str">
        <f>IF(A67="","",posicao_contratual!X67)</f>
        <v/>
      </c>
      <c r="AO67" t="str">
        <f>IF($A67="","",ROUND(SUMIFS(itens_Consumidos!$E$2:$E$200,itens_Consumidos!$A$2:$A$200,$A67),2))</f>
        <v/>
      </c>
      <c r="AP67" t="str">
        <f t="shared" si="12"/>
        <v/>
      </c>
      <c r="AQ67" t="str">
        <f>IF(OR($A67="",AB67="",MEMORIA_RESULTADOS!$I$258=""),"",ROUND(AB67*$C67*(MEMORIA_RESULTADOS!$I$258-1),2))</f>
        <v/>
      </c>
      <c r="AR67" t="str">
        <f>IF(OR($A67="",AP67="",MEMORIA_RESULTADOS!$I$258=""),"",ROUND(AP67*$C67*(parametros!$F$2-MEMORIA_RESULTADOS!$I$258),2))</f>
        <v/>
      </c>
      <c r="AS67" t="str">
        <f>IF($A67="","",ROUND(SUMIFS(itens_Consumidos!$G$2:$G$200,itens_Consumidos!$A$2:$A$200,$A67),2))</f>
        <v/>
      </c>
      <c r="AT67" t="str">
        <f t="shared" si="13"/>
        <v/>
      </c>
      <c r="AU67" t="str">
        <f>IF(OR($A67="",M67="",MEMORIA_RESULTADOS!$I$259=""),"",ROUND(M67*$C67*(MEMORIA_RESULTADOS!$I$259-1),2))</f>
        <v/>
      </c>
      <c r="AV67" t="str">
        <f>IF(OR($A67="",AT67="",MEMORIA_RESULTADOS!$I$259=""),"",ROUND(AT67*$C67*(parametros!$F$3-MEMORIA_RESULTADOS!$I$259),2))</f>
        <v/>
      </c>
      <c r="AW67" t="str">
        <f>IF($A67="","",ROUND(SUMIFS(itens_Consumidos!$I$2:$I$200,itens_Consumidos!$A$2:$A$200,$A67),2))</f>
        <v/>
      </c>
      <c r="AX67" t="str">
        <f t="shared" si="14"/>
        <v/>
      </c>
      <c r="AY67" t="str">
        <f>IF(OR($A67="",O67="",MEMORIA_RESULTADOS!$I$260=""),"",ROUND(O67*$C67*(MEMORIA_RESULTADOS!$I$260-1),2))</f>
        <v/>
      </c>
      <c r="AZ67" t="str">
        <f>IF(OR($A67="",AX67="",MEMORIA_RESULTADOS!$I$260=""),"",ROUND(AX67*$C67*(parametros!$F$4-MEMORIA_RESULTADOS!$I$260),2))</f>
        <v/>
      </c>
      <c r="BA67" t="str">
        <f>IF($A67="","",ROUND(SUMIFS(itens_Consumidos!$K$2:$K$200,itens_Consumidos!$A$2:$A$200,$A67),2))</f>
        <v/>
      </c>
      <c r="BB67" t="str">
        <f t="shared" si="15"/>
        <v/>
      </c>
      <c r="BC67" t="str">
        <f>IF(OR($A67="",Q67="",MEMORIA_RESULTADOS!$I$261=""),"",ROUND(Q67*$C67*(MEMORIA_RESULTADOS!$I$261-1),2))</f>
        <v/>
      </c>
      <c r="BD67" t="str">
        <f>IF(OR($A67="",BB67="",MEMORIA_RESULTADOS!$I$261=""),"",ROUND(BB67*$C67*(parametros!$F$5-MEMORIA_RESULTADOS!$I$261),2))</f>
        <v/>
      </c>
      <c r="BE67" t="str">
        <f>IF($A67="","",ROUND(SUMIFS(itens_Consumidos!$M$2:$M$200,itens_Consumidos!$A$2:$A$200,$A67),2))</f>
        <v/>
      </c>
      <c r="BF67" t="str">
        <f t="shared" si="16"/>
        <v/>
      </c>
      <c r="BG67" t="str">
        <f>IF(OR($A67="",S67="",MEMORIA_RESULTADOS!$I$262=""),"",ROUND(S67*$C67*(MEMORIA_RESULTADOS!$I$262-1),2))</f>
        <v/>
      </c>
      <c r="BH67" t="str">
        <f>IF(OR($A67="",BF67="",MEMORIA_RESULTADOS!$I$262=""),"",ROUND(BF67*$C67*(parametros!$F$6-MEMORIA_RESULTADOS!$I$262),2))</f>
        <v/>
      </c>
      <c r="BI67" t="str">
        <f>IF($A67="","",IF(posicao_contratual!$AL67="","",posicao_contratual!$AL67))</f>
        <v/>
      </c>
    </row>
    <row r="68" spans="1:61" x14ac:dyDescent="0.35">
      <c r="A68" s="81"/>
      <c r="B68" s="82" t="str">
        <f t="shared" si="11"/>
        <v/>
      </c>
      <c r="C68" s="83"/>
      <c r="D68" s="79" t="str">
        <f>IF(AND(A68="",A67&lt;&gt;"",COUNTIF(A69:$A$200,"&lt;&gt;")=0),ROUND(SUMIF($A$2:A67,"&lt;&gt;",$D$2:D67),2),IF(OR(A68="",B68="",C68=""),"",ROUND(B68*C68,2)))</f>
        <v/>
      </c>
      <c r="E68" s="84"/>
      <c r="F68" s="79" t="str">
        <f>IF(AND(A68="",A67&lt;&gt;"",COUNTIF(A69:$A$200,"&lt;&gt;")=0),IF(COUNT(F$2:F67)=0,"",ROUND(SUMIF($A$2:A67,"&lt;&gt;",F$2:F67),2)),IF(OR(A68="",AND(ISNUMBER(posicao_contratual!$AL68),posicao_contratual!$AL68&gt;1),posicao_contratual!K68="",NOT(ISNUMBER(historico_VU!D68))),"",ROUND(posicao_contratual!K68*historico_VU!D68,2)))</f>
        <v/>
      </c>
      <c r="G68" s="84"/>
      <c r="H68" s="79" t="str">
        <f>IF(AND(A68="",A67&lt;&gt;"",COUNTIF(A69:$A$200,"&lt;&gt;")=0),IF(COUNT(H$2:H67)=0,"",ROUND(SUMIF($A$2:A67,"&lt;&gt;",H$2:H67),2)),IF(OR(A68="",AND(ISNUMBER(posicao_contratual!$AL68),posicao_contratual!$AL68&gt;2),posicao_contratual!O68="",NOT(ISNUMBER(historico_VU!E68))),"",ROUND(posicao_contratual!O68*historico_VU!E68,2)))</f>
        <v/>
      </c>
      <c r="I68" s="84"/>
      <c r="J68" s="79" t="str">
        <f>IF(AND(A68="",A67&lt;&gt;"",COUNTIF(A69:$A$200,"&lt;&gt;")=0),IF(COUNT(J$2:J67)=0,"",ROUND(SUMIF($A$2:A67,"&lt;&gt;",J$2:J67),2)),IF(OR(A68="",AND(ISNUMBER(posicao_contratual!$AL68),posicao_contratual!$AL68&gt;3),posicao_contratual!S68="",NOT(ISNUMBER(historico_VU!F68))),"",ROUND(posicao_contratual!S68*historico_VU!F68,2)))</f>
        <v/>
      </c>
      <c r="K68" s="84"/>
      <c r="L68" s="79" t="str">
        <f>IF(AND(A68="",A67&lt;&gt;"",COUNTIF(A69:$A$200,"&lt;&gt;")=0),IF(COUNT(L$2:L67)=0,"",ROUND(SUMIF($A$2:A67,"&lt;&gt;",L$2:L67),2)),IF(OR(A68="",AND(ISNUMBER(posicao_contratual!$AL68),posicao_contratual!$AL68&gt;4),posicao_contratual!W68="",NOT(ISNUMBER(historico_VU!G68))),"",ROUND(posicao_contratual!W68*historico_VU!G68,2)))</f>
        <v/>
      </c>
      <c r="M68" s="85" t="str">
        <f>IF(OR(posicao_contratual!J68="",posicao_contratual!N68=""),"",ROUND(MAX(posicao_contratual!J68+posicao_contratual!H68-posicao_contratual!N68,0),2))</f>
        <v/>
      </c>
      <c r="N68" s="79" t="str">
        <f>IF(AND(A68="",A67&lt;&gt;"",COUNTIF(A69:$A$200,"&lt;&gt;")=0),IF(COUNT(N$2:N67)=0,"",ROUND(SUMIF($A$2:A67,"&lt;&gt;",N$2:N67),2)),IF(OR(M68="",NOT(ISNUMBER(historico_VU!D68))),"",ROUND(M68*historico_VU!D68,2)))</f>
        <v/>
      </c>
      <c r="O68" s="85" t="str">
        <f>IF(OR(posicao_contratual!N68="",posicao_contratual!R68=""),"",ROUND(MAX(posicao_contratual!N68+posicao_contratual!L68-posicao_contratual!R68,0),2))</f>
        <v/>
      </c>
      <c r="P68" s="79" t="str">
        <f>IF(AND(A68="",A67&lt;&gt;"",COUNTIF(A69:$A$200,"&lt;&gt;")=0),IF(COUNT(P$2:P67)=0,"",ROUND(SUMIF($A$2:A67,"&lt;&gt;",P$2:P67),2)),IF(OR(O68="",NOT(ISNUMBER(historico_VU!E68))),"",ROUND(O68*historico_VU!E68,2)))</f>
        <v/>
      </c>
      <c r="Q68" s="85" t="str">
        <f>IF(OR(posicao_contratual!R68="",posicao_contratual!V68=""),"",ROUND(MAX(posicao_contratual!R68+posicao_contratual!P68-posicao_contratual!V68,0),2))</f>
        <v/>
      </c>
      <c r="R68" s="79" t="str">
        <f>IF(AND(A68="",A67&lt;&gt;"",COUNTIF(A69:$A$200,"&lt;&gt;")=0),IF(COUNT(R$2:R67)=0,"",ROUND(SUMIF($A$2:A67,"&lt;&gt;",R$2:R67),2)),IF(OR(Q68="",NOT(ISNUMBER(historico_VU!F68))),"",ROUND(Q68*historico_VU!F68,2)))</f>
        <v/>
      </c>
      <c r="S68" s="21"/>
      <c r="T68" s="22" t="str">
        <f>IF(AND(A68="",A67&lt;&gt;"",COUNTIF(A69:$A$200,"&lt;&gt;")=0),IF(COUNT(T$2:T67)=0,"",ROUND(SUMIF($A$2:A67,"&lt;&gt;",T$2:T67),2)),IF(OR(S68="",NOT(ISNUMBER(historico_VU!G68))),"",ROUND(S68*historico_VU!G68,2)))</f>
        <v/>
      </c>
      <c r="U68" s="86" t="str">
        <f>IF(AND(A68="",A67&lt;&gt;"",COUNTIF(A69:$A$200,"&lt;&gt;")=0),"TOTAL",IF(A68="","",posicao_contratual!X68))</f>
        <v/>
      </c>
      <c r="V68" s="86" t="str">
        <f>IF(A68="","",posicao_contratual!X68)</f>
        <v/>
      </c>
      <c r="W68" s="14"/>
      <c r="X68" s="14"/>
      <c r="Y68" s="14"/>
      <c r="Z68" s="13"/>
      <c r="AA68" s="13"/>
      <c r="AB68" s="85" t="str">
        <f>IF(OR(A68="",posicao_contratual!E68="",posicao_contratual!J68=""),"",ROUND(MAX(posicao_contratual!E68-posicao_contratual!J68,0),2))</f>
        <v/>
      </c>
      <c r="AC68" s="79" t="str">
        <f>IF(AND(A68="",A67&lt;&gt;"",COUNTIF(A69:$A$200,"&lt;&gt;")=0),IF(COUNT(AC$2:AC67)=0,"",ROUND(SUMIF($A$2:A67,"&lt;&gt;",AC$2:AC67),2)),IF(OR(AB68="",NOT(ISNUMBER(historico_VU!C68))),"",ROUND(AB68*historico_VU!C68,2)))</f>
        <v/>
      </c>
      <c r="AD68" s="145" t="str">
        <f>IF(A68="","",posicao_contratual!E68)</f>
        <v/>
      </c>
      <c r="AE68" s="145" t="str">
        <f>IF(A68="","",posicao_contratual!I68)</f>
        <v/>
      </c>
      <c r="AF68" s="145" t="str">
        <f>IF(A68="","",posicao_contratual!M68)</f>
        <v/>
      </c>
      <c r="AG68" s="145" t="str">
        <f>IF(A68="","",posicao_contratual!Q68)</f>
        <v/>
      </c>
      <c r="AH68" s="145" t="str">
        <f>IF(A68="","",posicao_contratual!U68)</f>
        <v/>
      </c>
      <c r="AI68" s="145" t="str">
        <f>IF(A68="","",posicao_contratual!G68)</f>
        <v/>
      </c>
      <c r="AJ68" s="145" t="str">
        <f>IF(A68="","",posicao_contratual!K68)</f>
        <v/>
      </c>
      <c r="AK68" s="145" t="str">
        <f>IF(A68="","",posicao_contratual!O68)</f>
        <v/>
      </c>
      <c r="AL68" s="145" t="str">
        <f>IF(A68="","",posicao_contratual!S68)</f>
        <v/>
      </c>
      <c r="AM68" s="145" t="str">
        <f>IF(A68="","",posicao_contratual!W68)</f>
        <v/>
      </c>
      <c r="AN68" s="146" t="str">
        <f>IF(A68="","",posicao_contratual!X68)</f>
        <v/>
      </c>
      <c r="AO68" t="str">
        <f>IF($A68="","",ROUND(SUMIFS(itens_Consumidos!$E$2:$E$200,itens_Consumidos!$A$2:$A$200,$A68),2))</f>
        <v/>
      </c>
      <c r="AP68" t="str">
        <f t="shared" si="12"/>
        <v/>
      </c>
      <c r="AQ68" t="str">
        <f>IF(OR($A68="",AB68="",MEMORIA_RESULTADOS!$I$258=""),"",ROUND(AB68*$C68*(MEMORIA_RESULTADOS!$I$258-1),2))</f>
        <v/>
      </c>
      <c r="AR68" t="str">
        <f>IF(OR($A68="",AP68="",MEMORIA_RESULTADOS!$I$258=""),"",ROUND(AP68*$C68*(parametros!$F$2-MEMORIA_RESULTADOS!$I$258),2))</f>
        <v/>
      </c>
      <c r="AS68" t="str">
        <f>IF($A68="","",ROUND(SUMIFS(itens_Consumidos!$G$2:$G$200,itens_Consumidos!$A$2:$A$200,$A68),2))</f>
        <v/>
      </c>
      <c r="AT68" t="str">
        <f t="shared" si="13"/>
        <v/>
      </c>
      <c r="AU68" t="str">
        <f>IF(OR($A68="",M68="",MEMORIA_RESULTADOS!$I$259=""),"",ROUND(M68*$C68*(MEMORIA_RESULTADOS!$I$259-1),2))</f>
        <v/>
      </c>
      <c r="AV68" t="str">
        <f>IF(OR($A68="",AT68="",MEMORIA_RESULTADOS!$I$259=""),"",ROUND(AT68*$C68*(parametros!$F$3-MEMORIA_RESULTADOS!$I$259),2))</f>
        <v/>
      </c>
      <c r="AW68" t="str">
        <f>IF($A68="","",ROUND(SUMIFS(itens_Consumidos!$I$2:$I$200,itens_Consumidos!$A$2:$A$200,$A68),2))</f>
        <v/>
      </c>
      <c r="AX68" t="str">
        <f t="shared" si="14"/>
        <v/>
      </c>
      <c r="AY68" t="str">
        <f>IF(OR($A68="",O68="",MEMORIA_RESULTADOS!$I$260=""),"",ROUND(O68*$C68*(MEMORIA_RESULTADOS!$I$260-1),2))</f>
        <v/>
      </c>
      <c r="AZ68" t="str">
        <f>IF(OR($A68="",AX68="",MEMORIA_RESULTADOS!$I$260=""),"",ROUND(AX68*$C68*(parametros!$F$4-MEMORIA_RESULTADOS!$I$260),2))</f>
        <v/>
      </c>
      <c r="BA68" t="str">
        <f>IF($A68="","",ROUND(SUMIFS(itens_Consumidos!$K$2:$K$200,itens_Consumidos!$A$2:$A$200,$A68),2))</f>
        <v/>
      </c>
      <c r="BB68" t="str">
        <f t="shared" si="15"/>
        <v/>
      </c>
      <c r="BC68" t="str">
        <f>IF(OR($A68="",Q68="",MEMORIA_RESULTADOS!$I$261=""),"",ROUND(Q68*$C68*(MEMORIA_RESULTADOS!$I$261-1),2))</f>
        <v/>
      </c>
      <c r="BD68" t="str">
        <f>IF(OR($A68="",BB68="",MEMORIA_RESULTADOS!$I$261=""),"",ROUND(BB68*$C68*(parametros!$F$5-MEMORIA_RESULTADOS!$I$261),2))</f>
        <v/>
      </c>
      <c r="BE68" t="str">
        <f>IF($A68="","",ROUND(SUMIFS(itens_Consumidos!$M$2:$M$200,itens_Consumidos!$A$2:$A$200,$A68),2))</f>
        <v/>
      </c>
      <c r="BF68" t="str">
        <f t="shared" si="16"/>
        <v/>
      </c>
      <c r="BG68" t="str">
        <f>IF(OR($A68="",S68="",MEMORIA_RESULTADOS!$I$262=""),"",ROUND(S68*$C68*(MEMORIA_RESULTADOS!$I$262-1),2))</f>
        <v/>
      </c>
      <c r="BH68" t="str">
        <f>IF(OR($A68="",BF68="",MEMORIA_RESULTADOS!$I$262=""),"",ROUND(BF68*$C68*(parametros!$F$6-MEMORIA_RESULTADOS!$I$262),2))</f>
        <v/>
      </c>
      <c r="BI68" t="str">
        <f>IF($A68="","",IF(posicao_contratual!$AL68="","",posicao_contratual!$AL68))</f>
        <v/>
      </c>
    </row>
    <row r="69" spans="1:61" x14ac:dyDescent="0.35">
      <c r="A69" s="81"/>
      <c r="B69" s="82" t="str">
        <f t="shared" ref="B69:B100" si="17">IF(AND(LEN(TRIM($A69))=4,LEFT(TRIM($A69),1)="N",ISNUMBER(--MID(TRIM($A69),2,3)),ISERROR(FIND(".",$A69)),ISERROR(FIND(",",$A69)),ISERROR(FIND("-",$A69)),ISERROR(FIND("+",$A69)),ISERROR(SEARCH("E",$A69,2)),ISERROR(FIND(" ",TRIM($A69)))),0,"")</f>
        <v/>
      </c>
      <c r="C69" s="83"/>
      <c r="D69" s="79" t="str">
        <f>IF(AND(A69="",A68&lt;&gt;"",COUNTIF(A70:$A$200,"&lt;&gt;")=0),ROUND(SUMIF($A$2:A68,"&lt;&gt;",$D$2:D68),2),IF(OR(A69="",B69="",C69=""),"",ROUND(B69*C69,2)))</f>
        <v/>
      </c>
      <c r="E69" s="84"/>
      <c r="F69" s="79" t="str">
        <f>IF(AND(A69="",A68&lt;&gt;"",COUNTIF(A70:$A$200,"&lt;&gt;")=0),IF(COUNT(F$2:F68)=0,"",ROUND(SUMIF($A$2:A68,"&lt;&gt;",F$2:F68),2)),IF(OR(A69="",AND(ISNUMBER(posicao_contratual!$AL69),posicao_contratual!$AL69&gt;1),posicao_contratual!K69="",NOT(ISNUMBER(historico_VU!D69))),"",ROUND(posicao_contratual!K69*historico_VU!D69,2)))</f>
        <v/>
      </c>
      <c r="G69" s="84"/>
      <c r="H69" s="79" t="str">
        <f>IF(AND(A69="",A68&lt;&gt;"",COUNTIF(A70:$A$200,"&lt;&gt;")=0),IF(COUNT(H$2:H68)=0,"",ROUND(SUMIF($A$2:A68,"&lt;&gt;",H$2:H68),2)),IF(OR(A69="",AND(ISNUMBER(posicao_contratual!$AL69),posicao_contratual!$AL69&gt;2),posicao_contratual!O69="",NOT(ISNUMBER(historico_VU!E69))),"",ROUND(posicao_contratual!O69*historico_VU!E69,2)))</f>
        <v/>
      </c>
      <c r="I69" s="84"/>
      <c r="J69" s="79" t="str">
        <f>IF(AND(A69="",A68&lt;&gt;"",COUNTIF(A70:$A$200,"&lt;&gt;")=0),IF(COUNT(J$2:J68)=0,"",ROUND(SUMIF($A$2:A68,"&lt;&gt;",J$2:J68),2)),IF(OR(A69="",AND(ISNUMBER(posicao_contratual!$AL69),posicao_contratual!$AL69&gt;3),posicao_contratual!S69="",NOT(ISNUMBER(historico_VU!F69))),"",ROUND(posicao_contratual!S69*historico_VU!F69,2)))</f>
        <v/>
      </c>
      <c r="K69" s="84"/>
      <c r="L69" s="79" t="str">
        <f>IF(AND(A69="",A68&lt;&gt;"",COUNTIF(A70:$A$200,"&lt;&gt;")=0),IF(COUNT(L$2:L68)=0,"",ROUND(SUMIF($A$2:A68,"&lt;&gt;",L$2:L68),2)),IF(OR(A69="",AND(ISNUMBER(posicao_contratual!$AL69),posicao_contratual!$AL69&gt;4),posicao_contratual!W69="",NOT(ISNUMBER(historico_VU!G69))),"",ROUND(posicao_contratual!W69*historico_VU!G69,2)))</f>
        <v/>
      </c>
      <c r="M69" s="85" t="str">
        <f>IF(OR(posicao_contratual!J69="",posicao_contratual!N69=""),"",ROUND(MAX(posicao_contratual!J69+posicao_contratual!H69-posicao_contratual!N69,0),2))</f>
        <v/>
      </c>
      <c r="N69" s="79" t="str">
        <f>IF(AND(A69="",A68&lt;&gt;"",COUNTIF(A70:$A$200,"&lt;&gt;")=0),IF(COUNT(N$2:N68)=0,"",ROUND(SUMIF($A$2:A68,"&lt;&gt;",N$2:N68),2)),IF(OR(M69="",NOT(ISNUMBER(historico_VU!D69))),"",ROUND(M69*historico_VU!D69,2)))</f>
        <v/>
      </c>
      <c r="O69" s="85" t="str">
        <f>IF(OR(posicao_contratual!N69="",posicao_contratual!R69=""),"",ROUND(MAX(posicao_contratual!N69+posicao_contratual!L69-posicao_contratual!R69,0),2))</f>
        <v/>
      </c>
      <c r="P69" s="79" t="str">
        <f>IF(AND(A69="",A68&lt;&gt;"",COUNTIF(A70:$A$200,"&lt;&gt;")=0),IF(COUNT(P$2:P68)=0,"",ROUND(SUMIF($A$2:A68,"&lt;&gt;",P$2:P68),2)),IF(OR(O69="",NOT(ISNUMBER(historico_VU!E69))),"",ROUND(O69*historico_VU!E69,2)))</f>
        <v/>
      </c>
      <c r="Q69" s="85" t="str">
        <f>IF(OR(posicao_contratual!R69="",posicao_contratual!V69=""),"",ROUND(MAX(posicao_contratual!R69+posicao_contratual!P69-posicao_contratual!V69,0),2))</f>
        <v/>
      </c>
      <c r="R69" s="79" t="str">
        <f>IF(AND(A69="",A68&lt;&gt;"",COUNTIF(A70:$A$200,"&lt;&gt;")=0),IF(COUNT(R$2:R68)=0,"",ROUND(SUMIF($A$2:A68,"&lt;&gt;",R$2:R68),2)),IF(OR(Q69="",NOT(ISNUMBER(historico_VU!F69))),"",ROUND(Q69*historico_VU!F69,2)))</f>
        <v/>
      </c>
      <c r="S69" s="21"/>
      <c r="T69" s="22" t="str">
        <f>IF(AND(A69="",A68&lt;&gt;"",COUNTIF(A70:$A$200,"&lt;&gt;")=0),IF(COUNT(T$2:T68)=0,"",ROUND(SUMIF($A$2:A68,"&lt;&gt;",T$2:T68),2)),IF(OR(S69="",NOT(ISNUMBER(historico_VU!G69))),"",ROUND(S69*historico_VU!G69,2)))</f>
        <v/>
      </c>
      <c r="U69" s="86" t="str">
        <f>IF(AND(A69="",A68&lt;&gt;"",COUNTIF(A70:$A$200,"&lt;&gt;")=0),"TOTAL",IF(A69="","",posicao_contratual!X69))</f>
        <v/>
      </c>
      <c r="V69" s="86" t="str">
        <f>IF(A69="","",posicao_contratual!X69)</f>
        <v/>
      </c>
      <c r="W69" s="14"/>
      <c r="X69" s="14"/>
      <c r="Y69" s="14"/>
      <c r="Z69" s="13"/>
      <c r="AA69" s="13"/>
      <c r="AB69" s="85" t="str">
        <f>IF(OR(A69="",posicao_contratual!E69="",posicao_contratual!J69=""),"",ROUND(MAX(posicao_contratual!E69-posicao_contratual!J69,0),2))</f>
        <v/>
      </c>
      <c r="AC69" s="79" t="str">
        <f>IF(AND(A69="",A68&lt;&gt;"",COUNTIF(A70:$A$200,"&lt;&gt;")=0),IF(COUNT(AC$2:AC68)=0,"",ROUND(SUMIF($A$2:A68,"&lt;&gt;",AC$2:AC68),2)),IF(OR(AB69="",NOT(ISNUMBER(historico_VU!C69))),"",ROUND(AB69*historico_VU!C69,2)))</f>
        <v/>
      </c>
      <c r="AD69" s="145" t="str">
        <f>IF(A69="","",posicao_contratual!E69)</f>
        <v/>
      </c>
      <c r="AE69" s="145" t="str">
        <f>IF(A69="","",posicao_contratual!I69)</f>
        <v/>
      </c>
      <c r="AF69" s="145" t="str">
        <f>IF(A69="","",posicao_contratual!M69)</f>
        <v/>
      </c>
      <c r="AG69" s="145" t="str">
        <f>IF(A69="","",posicao_contratual!Q69)</f>
        <v/>
      </c>
      <c r="AH69" s="145" t="str">
        <f>IF(A69="","",posicao_contratual!U69)</f>
        <v/>
      </c>
      <c r="AI69" s="145" t="str">
        <f>IF(A69="","",posicao_contratual!G69)</f>
        <v/>
      </c>
      <c r="AJ69" s="145" t="str">
        <f>IF(A69="","",posicao_contratual!K69)</f>
        <v/>
      </c>
      <c r="AK69" s="145" t="str">
        <f>IF(A69="","",posicao_contratual!O69)</f>
        <v/>
      </c>
      <c r="AL69" s="145" t="str">
        <f>IF(A69="","",posicao_contratual!S69)</f>
        <v/>
      </c>
      <c r="AM69" s="145" t="str">
        <f>IF(A69="","",posicao_contratual!W69)</f>
        <v/>
      </c>
      <c r="AN69" s="146" t="str">
        <f>IF(A69="","",posicao_contratual!X69)</f>
        <v/>
      </c>
      <c r="AO69" t="str">
        <f>IF($A69="","",ROUND(SUMIFS(itens_Consumidos!$E$2:$E$200,itens_Consumidos!$A$2:$A$200,$A69),2))</f>
        <v/>
      </c>
      <c r="AP69" t="str">
        <f t="shared" si="12"/>
        <v/>
      </c>
      <c r="AQ69" t="str">
        <f>IF(OR($A69="",AB69="",MEMORIA_RESULTADOS!$I$258=""),"",ROUND(AB69*$C69*(MEMORIA_RESULTADOS!$I$258-1),2))</f>
        <v/>
      </c>
      <c r="AR69" t="str">
        <f>IF(OR($A69="",AP69="",MEMORIA_RESULTADOS!$I$258=""),"",ROUND(AP69*$C69*(parametros!$F$2-MEMORIA_RESULTADOS!$I$258),2))</f>
        <v/>
      </c>
      <c r="AS69" t="str">
        <f>IF($A69="","",ROUND(SUMIFS(itens_Consumidos!$G$2:$G$200,itens_Consumidos!$A$2:$A$200,$A69),2))</f>
        <v/>
      </c>
      <c r="AT69" t="str">
        <f t="shared" si="13"/>
        <v/>
      </c>
      <c r="AU69" t="str">
        <f>IF(OR($A69="",M69="",MEMORIA_RESULTADOS!$I$259=""),"",ROUND(M69*$C69*(MEMORIA_RESULTADOS!$I$259-1),2))</f>
        <v/>
      </c>
      <c r="AV69" t="str">
        <f>IF(OR($A69="",AT69="",MEMORIA_RESULTADOS!$I$259=""),"",ROUND(AT69*$C69*(parametros!$F$3-MEMORIA_RESULTADOS!$I$259),2))</f>
        <v/>
      </c>
      <c r="AW69" t="str">
        <f>IF($A69="","",ROUND(SUMIFS(itens_Consumidos!$I$2:$I$200,itens_Consumidos!$A$2:$A$200,$A69),2))</f>
        <v/>
      </c>
      <c r="AX69" t="str">
        <f t="shared" si="14"/>
        <v/>
      </c>
      <c r="AY69" t="str">
        <f>IF(OR($A69="",O69="",MEMORIA_RESULTADOS!$I$260=""),"",ROUND(O69*$C69*(MEMORIA_RESULTADOS!$I$260-1),2))</f>
        <v/>
      </c>
      <c r="AZ69" t="str">
        <f>IF(OR($A69="",AX69="",MEMORIA_RESULTADOS!$I$260=""),"",ROUND(AX69*$C69*(parametros!$F$4-MEMORIA_RESULTADOS!$I$260),2))</f>
        <v/>
      </c>
      <c r="BA69" t="str">
        <f>IF($A69="","",ROUND(SUMIFS(itens_Consumidos!$K$2:$K$200,itens_Consumidos!$A$2:$A$200,$A69),2))</f>
        <v/>
      </c>
      <c r="BB69" t="str">
        <f t="shared" si="15"/>
        <v/>
      </c>
      <c r="BC69" t="str">
        <f>IF(OR($A69="",Q69="",MEMORIA_RESULTADOS!$I$261=""),"",ROUND(Q69*$C69*(MEMORIA_RESULTADOS!$I$261-1),2))</f>
        <v/>
      </c>
      <c r="BD69" t="str">
        <f>IF(OR($A69="",BB69="",MEMORIA_RESULTADOS!$I$261=""),"",ROUND(BB69*$C69*(parametros!$F$5-MEMORIA_RESULTADOS!$I$261),2))</f>
        <v/>
      </c>
      <c r="BE69" t="str">
        <f>IF($A69="","",ROUND(SUMIFS(itens_Consumidos!$M$2:$M$200,itens_Consumidos!$A$2:$A$200,$A69),2))</f>
        <v/>
      </c>
      <c r="BF69" t="str">
        <f t="shared" si="16"/>
        <v/>
      </c>
      <c r="BG69" t="str">
        <f>IF(OR($A69="",S69="",MEMORIA_RESULTADOS!$I$262=""),"",ROUND(S69*$C69*(MEMORIA_RESULTADOS!$I$262-1),2))</f>
        <v/>
      </c>
      <c r="BH69" t="str">
        <f>IF(OR($A69="",BF69="",MEMORIA_RESULTADOS!$I$262=""),"",ROUND(BF69*$C69*(parametros!$F$6-MEMORIA_RESULTADOS!$I$262),2))</f>
        <v/>
      </c>
      <c r="BI69" t="str">
        <f>IF($A69="","",IF(posicao_contratual!$AL69="","",posicao_contratual!$AL69))</f>
        <v/>
      </c>
    </row>
    <row r="70" spans="1:61" x14ac:dyDescent="0.35">
      <c r="A70" s="81"/>
      <c r="B70" s="82" t="str">
        <f t="shared" si="17"/>
        <v/>
      </c>
      <c r="C70" s="83"/>
      <c r="D70" s="79" t="str">
        <f>IF(AND(A70="",A69&lt;&gt;"",COUNTIF(A71:$A$200,"&lt;&gt;")=0),ROUND(SUMIF($A$2:A69,"&lt;&gt;",$D$2:D69),2),IF(OR(A70="",B70="",C70=""),"",ROUND(B70*C70,2)))</f>
        <v/>
      </c>
      <c r="E70" s="84"/>
      <c r="F70" s="79" t="str">
        <f>IF(AND(A70="",A69&lt;&gt;"",COUNTIF(A71:$A$200,"&lt;&gt;")=0),IF(COUNT(F$2:F69)=0,"",ROUND(SUMIF($A$2:A69,"&lt;&gt;",F$2:F69),2)),IF(OR(A70="",AND(ISNUMBER(posicao_contratual!$AL70),posicao_contratual!$AL70&gt;1),posicao_contratual!K70="",NOT(ISNUMBER(historico_VU!D70))),"",ROUND(posicao_contratual!K70*historico_VU!D70,2)))</f>
        <v/>
      </c>
      <c r="G70" s="84"/>
      <c r="H70" s="79" t="str">
        <f>IF(AND(A70="",A69&lt;&gt;"",COUNTIF(A71:$A$200,"&lt;&gt;")=0),IF(COUNT(H$2:H69)=0,"",ROUND(SUMIF($A$2:A69,"&lt;&gt;",H$2:H69),2)),IF(OR(A70="",AND(ISNUMBER(posicao_contratual!$AL70),posicao_contratual!$AL70&gt;2),posicao_contratual!O70="",NOT(ISNUMBER(historico_VU!E70))),"",ROUND(posicao_contratual!O70*historico_VU!E70,2)))</f>
        <v/>
      </c>
      <c r="I70" s="84"/>
      <c r="J70" s="79" t="str">
        <f>IF(AND(A70="",A69&lt;&gt;"",COUNTIF(A71:$A$200,"&lt;&gt;")=0),IF(COUNT(J$2:J69)=0,"",ROUND(SUMIF($A$2:A69,"&lt;&gt;",J$2:J69),2)),IF(OR(A70="",AND(ISNUMBER(posicao_contratual!$AL70),posicao_contratual!$AL70&gt;3),posicao_contratual!S70="",NOT(ISNUMBER(historico_VU!F70))),"",ROUND(posicao_contratual!S70*historico_VU!F70,2)))</f>
        <v/>
      </c>
      <c r="K70" s="84"/>
      <c r="L70" s="79" t="str">
        <f>IF(AND(A70="",A69&lt;&gt;"",COUNTIF(A71:$A$200,"&lt;&gt;")=0),IF(COUNT(L$2:L69)=0,"",ROUND(SUMIF($A$2:A69,"&lt;&gt;",L$2:L69),2)),IF(OR(A70="",AND(ISNUMBER(posicao_contratual!$AL70),posicao_contratual!$AL70&gt;4),posicao_contratual!W70="",NOT(ISNUMBER(historico_VU!G70))),"",ROUND(posicao_contratual!W70*historico_VU!G70,2)))</f>
        <v/>
      </c>
      <c r="M70" s="85" t="str">
        <f>IF(OR(posicao_contratual!J70="",posicao_contratual!N70=""),"",ROUND(MAX(posicao_contratual!J70+posicao_contratual!H70-posicao_contratual!N70,0),2))</f>
        <v/>
      </c>
      <c r="N70" s="79" t="str">
        <f>IF(AND(A70="",A69&lt;&gt;"",COUNTIF(A71:$A$200,"&lt;&gt;")=0),IF(COUNT(N$2:N69)=0,"",ROUND(SUMIF($A$2:A69,"&lt;&gt;",N$2:N69),2)),IF(OR(M70="",NOT(ISNUMBER(historico_VU!D70))),"",ROUND(M70*historico_VU!D70,2)))</f>
        <v/>
      </c>
      <c r="O70" s="85" t="str">
        <f>IF(OR(posicao_contratual!N70="",posicao_contratual!R70=""),"",ROUND(MAX(posicao_contratual!N70+posicao_contratual!L70-posicao_contratual!R70,0),2))</f>
        <v/>
      </c>
      <c r="P70" s="79" t="str">
        <f>IF(AND(A70="",A69&lt;&gt;"",COUNTIF(A71:$A$200,"&lt;&gt;")=0),IF(COUNT(P$2:P69)=0,"",ROUND(SUMIF($A$2:A69,"&lt;&gt;",P$2:P69),2)),IF(OR(O70="",NOT(ISNUMBER(historico_VU!E70))),"",ROUND(O70*historico_VU!E70,2)))</f>
        <v/>
      </c>
      <c r="Q70" s="85" t="str">
        <f>IF(OR(posicao_contratual!R70="",posicao_contratual!V70=""),"",ROUND(MAX(posicao_contratual!R70+posicao_contratual!P70-posicao_contratual!V70,0),2))</f>
        <v/>
      </c>
      <c r="R70" s="79" t="str">
        <f>IF(AND(A70="",A69&lt;&gt;"",COUNTIF(A71:$A$200,"&lt;&gt;")=0),IF(COUNT(R$2:R69)=0,"",ROUND(SUMIF($A$2:A69,"&lt;&gt;",R$2:R69),2)),IF(OR(Q70="",NOT(ISNUMBER(historico_VU!F70))),"",ROUND(Q70*historico_VU!F70,2)))</f>
        <v/>
      </c>
      <c r="S70" s="21"/>
      <c r="T70" s="22" t="str">
        <f>IF(AND(A70="",A69&lt;&gt;"",COUNTIF(A71:$A$200,"&lt;&gt;")=0),IF(COUNT(T$2:T69)=0,"",ROUND(SUMIF($A$2:A69,"&lt;&gt;",T$2:T69),2)),IF(OR(S70="",NOT(ISNUMBER(historico_VU!G70))),"",ROUND(S70*historico_VU!G70,2)))</f>
        <v/>
      </c>
      <c r="U70" s="86" t="str">
        <f>IF(AND(A70="",A69&lt;&gt;"",COUNTIF(A71:$A$200,"&lt;&gt;")=0),"TOTAL",IF(A70="","",posicao_contratual!X70))</f>
        <v/>
      </c>
      <c r="V70" s="86" t="str">
        <f>IF(A70="","",posicao_contratual!X70)</f>
        <v/>
      </c>
      <c r="W70" s="14"/>
      <c r="X70" s="14"/>
      <c r="Y70" s="14"/>
      <c r="Z70" s="13"/>
      <c r="AA70" s="13"/>
      <c r="AB70" s="85" t="str">
        <f>IF(OR(A70="",posicao_contratual!E70="",posicao_contratual!J70=""),"",ROUND(MAX(posicao_contratual!E70-posicao_contratual!J70,0),2))</f>
        <v/>
      </c>
      <c r="AC70" s="79" t="str">
        <f>IF(AND(A70="",A69&lt;&gt;"",COUNTIF(A71:$A$200,"&lt;&gt;")=0),IF(COUNT(AC$2:AC69)=0,"",ROUND(SUMIF($A$2:A69,"&lt;&gt;",AC$2:AC69),2)),IF(OR(AB70="",NOT(ISNUMBER(historico_VU!C70))),"",ROUND(AB70*historico_VU!C70,2)))</f>
        <v/>
      </c>
      <c r="AD70" s="145" t="str">
        <f>IF(A70="","",posicao_contratual!E70)</f>
        <v/>
      </c>
      <c r="AE70" s="145" t="str">
        <f>IF(A70="","",posicao_contratual!I70)</f>
        <v/>
      </c>
      <c r="AF70" s="145" t="str">
        <f>IF(A70="","",posicao_contratual!M70)</f>
        <v/>
      </c>
      <c r="AG70" s="145" t="str">
        <f>IF(A70="","",posicao_contratual!Q70)</f>
        <v/>
      </c>
      <c r="AH70" s="145" t="str">
        <f>IF(A70="","",posicao_contratual!U70)</f>
        <v/>
      </c>
      <c r="AI70" s="145" t="str">
        <f>IF(A70="","",posicao_contratual!G70)</f>
        <v/>
      </c>
      <c r="AJ70" s="145" t="str">
        <f>IF(A70="","",posicao_contratual!K70)</f>
        <v/>
      </c>
      <c r="AK70" s="145" t="str">
        <f>IF(A70="","",posicao_contratual!O70)</f>
        <v/>
      </c>
      <c r="AL70" s="145" t="str">
        <f>IF(A70="","",posicao_contratual!S70)</f>
        <v/>
      </c>
      <c r="AM70" s="145" t="str">
        <f>IF(A70="","",posicao_contratual!W70)</f>
        <v/>
      </c>
      <c r="AN70" s="146" t="str">
        <f>IF(A70="","",posicao_contratual!X70)</f>
        <v/>
      </c>
      <c r="AO70" t="str">
        <f>IF($A70="","",ROUND(SUMIFS(itens_Consumidos!$E$2:$E$200,itens_Consumidos!$A$2:$A$200,$A70),2))</f>
        <v/>
      </c>
      <c r="AP70" t="str">
        <f t="shared" si="12"/>
        <v/>
      </c>
      <c r="AQ70" t="str">
        <f>IF(OR($A70="",AB70="",MEMORIA_RESULTADOS!$I$258=""),"",ROUND(AB70*$C70*(MEMORIA_RESULTADOS!$I$258-1),2))</f>
        <v/>
      </c>
      <c r="AR70" t="str">
        <f>IF(OR($A70="",AP70="",MEMORIA_RESULTADOS!$I$258=""),"",ROUND(AP70*$C70*(parametros!$F$2-MEMORIA_RESULTADOS!$I$258),2))</f>
        <v/>
      </c>
      <c r="AS70" t="str">
        <f>IF($A70="","",ROUND(SUMIFS(itens_Consumidos!$G$2:$G$200,itens_Consumidos!$A$2:$A$200,$A70),2))</f>
        <v/>
      </c>
      <c r="AT70" t="str">
        <f t="shared" si="13"/>
        <v/>
      </c>
      <c r="AU70" t="str">
        <f>IF(OR($A70="",M70="",MEMORIA_RESULTADOS!$I$259=""),"",ROUND(M70*$C70*(MEMORIA_RESULTADOS!$I$259-1),2))</f>
        <v/>
      </c>
      <c r="AV70" t="str">
        <f>IF(OR($A70="",AT70="",MEMORIA_RESULTADOS!$I$259=""),"",ROUND(AT70*$C70*(parametros!$F$3-MEMORIA_RESULTADOS!$I$259),2))</f>
        <v/>
      </c>
      <c r="AW70" t="str">
        <f>IF($A70="","",ROUND(SUMIFS(itens_Consumidos!$I$2:$I$200,itens_Consumidos!$A$2:$A$200,$A70),2))</f>
        <v/>
      </c>
      <c r="AX70" t="str">
        <f t="shared" si="14"/>
        <v/>
      </c>
      <c r="AY70" t="str">
        <f>IF(OR($A70="",O70="",MEMORIA_RESULTADOS!$I$260=""),"",ROUND(O70*$C70*(MEMORIA_RESULTADOS!$I$260-1),2))</f>
        <v/>
      </c>
      <c r="AZ70" t="str">
        <f>IF(OR($A70="",AX70="",MEMORIA_RESULTADOS!$I$260=""),"",ROUND(AX70*$C70*(parametros!$F$4-MEMORIA_RESULTADOS!$I$260),2))</f>
        <v/>
      </c>
      <c r="BA70" t="str">
        <f>IF($A70="","",ROUND(SUMIFS(itens_Consumidos!$K$2:$K$200,itens_Consumidos!$A$2:$A$200,$A70),2))</f>
        <v/>
      </c>
      <c r="BB70" t="str">
        <f t="shared" si="15"/>
        <v/>
      </c>
      <c r="BC70" t="str">
        <f>IF(OR($A70="",Q70="",MEMORIA_RESULTADOS!$I$261=""),"",ROUND(Q70*$C70*(MEMORIA_RESULTADOS!$I$261-1),2))</f>
        <v/>
      </c>
      <c r="BD70" t="str">
        <f>IF(OR($A70="",BB70="",MEMORIA_RESULTADOS!$I$261=""),"",ROUND(BB70*$C70*(parametros!$F$5-MEMORIA_RESULTADOS!$I$261),2))</f>
        <v/>
      </c>
      <c r="BE70" t="str">
        <f>IF($A70="","",ROUND(SUMIFS(itens_Consumidos!$M$2:$M$200,itens_Consumidos!$A$2:$A$200,$A70),2))</f>
        <v/>
      </c>
      <c r="BF70" t="str">
        <f t="shared" si="16"/>
        <v/>
      </c>
      <c r="BG70" t="str">
        <f>IF(OR($A70="",S70="",MEMORIA_RESULTADOS!$I$262=""),"",ROUND(S70*$C70*(MEMORIA_RESULTADOS!$I$262-1),2))</f>
        <v/>
      </c>
      <c r="BH70" t="str">
        <f>IF(OR($A70="",BF70="",MEMORIA_RESULTADOS!$I$262=""),"",ROUND(BF70*$C70*(parametros!$F$6-MEMORIA_RESULTADOS!$I$262),2))</f>
        <v/>
      </c>
      <c r="BI70" t="str">
        <f>IF($A70="","",IF(posicao_contratual!$AL70="","",posicao_contratual!$AL70))</f>
        <v/>
      </c>
    </row>
    <row r="71" spans="1:61" x14ac:dyDescent="0.35">
      <c r="A71" s="81"/>
      <c r="B71" s="82" t="str">
        <f t="shared" si="17"/>
        <v/>
      </c>
      <c r="C71" s="83"/>
      <c r="D71" s="79" t="str">
        <f>IF(AND(A71="",A70&lt;&gt;"",COUNTIF(A72:$A$200,"&lt;&gt;")=0),ROUND(SUMIF($A$2:A70,"&lt;&gt;",$D$2:D70),2),IF(OR(A71="",B71="",C71=""),"",ROUND(B71*C71,2)))</f>
        <v/>
      </c>
      <c r="E71" s="84"/>
      <c r="F71" s="79" t="str">
        <f>IF(AND(A71="",A70&lt;&gt;"",COUNTIF(A72:$A$200,"&lt;&gt;")=0),IF(COUNT(F$2:F70)=0,"",ROUND(SUMIF($A$2:A70,"&lt;&gt;",F$2:F70),2)),IF(OR(A71="",AND(ISNUMBER(posicao_contratual!$AL71),posicao_contratual!$AL71&gt;1),posicao_contratual!K71="",NOT(ISNUMBER(historico_VU!D71))),"",ROUND(posicao_contratual!K71*historico_VU!D71,2)))</f>
        <v/>
      </c>
      <c r="G71" s="84"/>
      <c r="H71" s="79" t="str">
        <f>IF(AND(A71="",A70&lt;&gt;"",COUNTIF(A72:$A$200,"&lt;&gt;")=0),IF(COUNT(H$2:H70)=0,"",ROUND(SUMIF($A$2:A70,"&lt;&gt;",H$2:H70),2)),IF(OR(A71="",AND(ISNUMBER(posicao_contratual!$AL71),posicao_contratual!$AL71&gt;2),posicao_contratual!O71="",NOT(ISNUMBER(historico_VU!E71))),"",ROUND(posicao_contratual!O71*historico_VU!E71,2)))</f>
        <v/>
      </c>
      <c r="I71" s="84"/>
      <c r="J71" s="79" t="str">
        <f>IF(AND(A71="",A70&lt;&gt;"",COUNTIF(A72:$A$200,"&lt;&gt;")=0),IF(COUNT(J$2:J70)=0,"",ROUND(SUMIF($A$2:A70,"&lt;&gt;",J$2:J70),2)),IF(OR(A71="",AND(ISNUMBER(posicao_contratual!$AL71),posicao_contratual!$AL71&gt;3),posicao_contratual!S71="",NOT(ISNUMBER(historico_VU!F71))),"",ROUND(posicao_contratual!S71*historico_VU!F71,2)))</f>
        <v/>
      </c>
      <c r="K71" s="84"/>
      <c r="L71" s="79" t="str">
        <f>IF(AND(A71="",A70&lt;&gt;"",COUNTIF(A72:$A$200,"&lt;&gt;")=0),IF(COUNT(L$2:L70)=0,"",ROUND(SUMIF($A$2:A70,"&lt;&gt;",L$2:L70),2)),IF(OR(A71="",AND(ISNUMBER(posicao_contratual!$AL71),posicao_contratual!$AL71&gt;4),posicao_contratual!W71="",NOT(ISNUMBER(historico_VU!G71))),"",ROUND(posicao_contratual!W71*historico_VU!G71,2)))</f>
        <v/>
      </c>
      <c r="M71" s="85" t="str">
        <f>IF(OR(posicao_contratual!J71="",posicao_contratual!N71=""),"",ROUND(MAX(posicao_contratual!J71+posicao_contratual!H71-posicao_contratual!N71,0),2))</f>
        <v/>
      </c>
      <c r="N71" s="79" t="str">
        <f>IF(AND(A71="",A70&lt;&gt;"",COUNTIF(A72:$A$200,"&lt;&gt;")=0),IF(COUNT(N$2:N70)=0,"",ROUND(SUMIF($A$2:A70,"&lt;&gt;",N$2:N70),2)),IF(OR(M71="",NOT(ISNUMBER(historico_VU!D71))),"",ROUND(M71*historico_VU!D71,2)))</f>
        <v/>
      </c>
      <c r="O71" s="85" t="str">
        <f>IF(OR(posicao_contratual!N71="",posicao_contratual!R71=""),"",ROUND(MAX(posicao_contratual!N71+posicao_contratual!L71-posicao_contratual!R71,0),2))</f>
        <v/>
      </c>
      <c r="P71" s="79" t="str">
        <f>IF(AND(A71="",A70&lt;&gt;"",COUNTIF(A72:$A$200,"&lt;&gt;")=0),IF(COUNT(P$2:P70)=0,"",ROUND(SUMIF($A$2:A70,"&lt;&gt;",P$2:P70),2)),IF(OR(O71="",NOT(ISNUMBER(historico_VU!E71))),"",ROUND(O71*historico_VU!E71,2)))</f>
        <v/>
      </c>
      <c r="Q71" s="85" t="str">
        <f>IF(OR(posicao_contratual!R71="",posicao_contratual!V71=""),"",ROUND(MAX(posicao_contratual!R71+posicao_contratual!P71-posicao_contratual!V71,0),2))</f>
        <v/>
      </c>
      <c r="R71" s="79" t="str">
        <f>IF(AND(A71="",A70&lt;&gt;"",COUNTIF(A72:$A$200,"&lt;&gt;")=0),IF(COUNT(R$2:R70)=0,"",ROUND(SUMIF($A$2:A70,"&lt;&gt;",R$2:R70),2)),IF(OR(Q71="",NOT(ISNUMBER(historico_VU!F71))),"",ROUND(Q71*historico_VU!F71,2)))</f>
        <v/>
      </c>
      <c r="S71" s="21"/>
      <c r="T71" s="22" t="str">
        <f>IF(AND(A71="",A70&lt;&gt;"",COUNTIF(A72:$A$200,"&lt;&gt;")=0),IF(COUNT(T$2:T70)=0,"",ROUND(SUMIF($A$2:A70,"&lt;&gt;",T$2:T70),2)),IF(OR(S71="",NOT(ISNUMBER(historico_VU!G71))),"",ROUND(S71*historico_VU!G71,2)))</f>
        <v/>
      </c>
      <c r="U71" s="86" t="str">
        <f>IF(AND(A71="",A70&lt;&gt;"",COUNTIF(A72:$A$200,"&lt;&gt;")=0),"TOTAL",IF(A71="","",posicao_contratual!X71))</f>
        <v/>
      </c>
      <c r="V71" s="86" t="str">
        <f>IF(A71="","",posicao_contratual!X71)</f>
        <v/>
      </c>
      <c r="W71" s="14"/>
      <c r="X71" s="14"/>
      <c r="Y71" s="14"/>
      <c r="Z71" s="13"/>
      <c r="AA71" s="13"/>
      <c r="AB71" s="85" t="str">
        <f>IF(OR(A71="",posicao_contratual!E71="",posicao_contratual!J71=""),"",ROUND(MAX(posicao_contratual!E71-posicao_contratual!J71,0),2))</f>
        <v/>
      </c>
      <c r="AC71" s="79" t="str">
        <f>IF(AND(A71="",A70&lt;&gt;"",COUNTIF(A72:$A$200,"&lt;&gt;")=0),IF(COUNT(AC$2:AC70)=0,"",ROUND(SUMIF($A$2:A70,"&lt;&gt;",AC$2:AC70),2)),IF(OR(AB71="",NOT(ISNUMBER(historico_VU!C71))),"",ROUND(AB71*historico_VU!C71,2)))</f>
        <v/>
      </c>
      <c r="AD71" s="145" t="str">
        <f>IF(A71="","",posicao_contratual!E71)</f>
        <v/>
      </c>
      <c r="AE71" s="145" t="str">
        <f>IF(A71="","",posicao_contratual!I71)</f>
        <v/>
      </c>
      <c r="AF71" s="145" t="str">
        <f>IF(A71="","",posicao_contratual!M71)</f>
        <v/>
      </c>
      <c r="AG71" s="145" t="str">
        <f>IF(A71="","",posicao_contratual!Q71)</f>
        <v/>
      </c>
      <c r="AH71" s="145" t="str">
        <f>IF(A71="","",posicao_contratual!U71)</f>
        <v/>
      </c>
      <c r="AI71" s="145" t="str">
        <f>IF(A71="","",posicao_contratual!G71)</f>
        <v/>
      </c>
      <c r="AJ71" s="145" t="str">
        <f>IF(A71="","",posicao_contratual!K71)</f>
        <v/>
      </c>
      <c r="AK71" s="145" t="str">
        <f>IF(A71="","",posicao_contratual!O71)</f>
        <v/>
      </c>
      <c r="AL71" s="145" t="str">
        <f>IF(A71="","",posicao_contratual!S71)</f>
        <v/>
      </c>
      <c r="AM71" s="145" t="str">
        <f>IF(A71="","",posicao_contratual!W71)</f>
        <v/>
      </c>
      <c r="AN71" s="146" t="str">
        <f>IF(A71="","",posicao_contratual!X71)</f>
        <v/>
      </c>
      <c r="AO71" t="str">
        <f>IF($A71="","",ROUND(SUMIFS(itens_Consumidos!$E$2:$E$200,itens_Consumidos!$A$2:$A$200,$A71),2))</f>
        <v/>
      </c>
      <c r="AP71" t="str">
        <f t="shared" si="12"/>
        <v/>
      </c>
      <c r="AQ71" t="str">
        <f>IF(OR($A71="",AB71="",MEMORIA_RESULTADOS!$I$258=""),"",ROUND(AB71*$C71*(MEMORIA_RESULTADOS!$I$258-1),2))</f>
        <v/>
      </c>
      <c r="AR71" t="str">
        <f>IF(OR($A71="",AP71="",MEMORIA_RESULTADOS!$I$258=""),"",ROUND(AP71*$C71*(parametros!$F$2-MEMORIA_RESULTADOS!$I$258),2))</f>
        <v/>
      </c>
      <c r="AS71" t="str">
        <f>IF($A71="","",ROUND(SUMIFS(itens_Consumidos!$G$2:$G$200,itens_Consumidos!$A$2:$A$200,$A71),2))</f>
        <v/>
      </c>
      <c r="AT71" t="str">
        <f t="shared" si="13"/>
        <v/>
      </c>
      <c r="AU71" t="str">
        <f>IF(OR($A71="",M71="",MEMORIA_RESULTADOS!$I$259=""),"",ROUND(M71*$C71*(MEMORIA_RESULTADOS!$I$259-1),2))</f>
        <v/>
      </c>
      <c r="AV71" t="str">
        <f>IF(OR($A71="",AT71="",MEMORIA_RESULTADOS!$I$259=""),"",ROUND(AT71*$C71*(parametros!$F$3-MEMORIA_RESULTADOS!$I$259),2))</f>
        <v/>
      </c>
      <c r="AW71" t="str">
        <f>IF($A71="","",ROUND(SUMIFS(itens_Consumidos!$I$2:$I$200,itens_Consumidos!$A$2:$A$200,$A71),2))</f>
        <v/>
      </c>
      <c r="AX71" t="str">
        <f t="shared" si="14"/>
        <v/>
      </c>
      <c r="AY71" t="str">
        <f>IF(OR($A71="",O71="",MEMORIA_RESULTADOS!$I$260=""),"",ROUND(O71*$C71*(MEMORIA_RESULTADOS!$I$260-1),2))</f>
        <v/>
      </c>
      <c r="AZ71" t="str">
        <f>IF(OR($A71="",AX71="",MEMORIA_RESULTADOS!$I$260=""),"",ROUND(AX71*$C71*(parametros!$F$4-MEMORIA_RESULTADOS!$I$260),2))</f>
        <v/>
      </c>
      <c r="BA71" t="str">
        <f>IF($A71="","",ROUND(SUMIFS(itens_Consumidos!$K$2:$K$200,itens_Consumidos!$A$2:$A$200,$A71),2))</f>
        <v/>
      </c>
      <c r="BB71" t="str">
        <f t="shared" si="15"/>
        <v/>
      </c>
      <c r="BC71" t="str">
        <f>IF(OR($A71="",Q71="",MEMORIA_RESULTADOS!$I$261=""),"",ROUND(Q71*$C71*(MEMORIA_RESULTADOS!$I$261-1),2))</f>
        <v/>
      </c>
      <c r="BD71" t="str">
        <f>IF(OR($A71="",BB71="",MEMORIA_RESULTADOS!$I$261=""),"",ROUND(BB71*$C71*(parametros!$F$5-MEMORIA_RESULTADOS!$I$261),2))</f>
        <v/>
      </c>
      <c r="BE71" t="str">
        <f>IF($A71="","",ROUND(SUMIFS(itens_Consumidos!$M$2:$M$200,itens_Consumidos!$A$2:$A$200,$A71),2))</f>
        <v/>
      </c>
      <c r="BF71" t="str">
        <f t="shared" si="16"/>
        <v/>
      </c>
      <c r="BG71" t="str">
        <f>IF(OR($A71="",S71="",MEMORIA_RESULTADOS!$I$262=""),"",ROUND(S71*$C71*(MEMORIA_RESULTADOS!$I$262-1),2))</f>
        <v/>
      </c>
      <c r="BH71" t="str">
        <f>IF(OR($A71="",BF71="",MEMORIA_RESULTADOS!$I$262=""),"",ROUND(BF71*$C71*(parametros!$F$6-MEMORIA_RESULTADOS!$I$262),2))</f>
        <v/>
      </c>
      <c r="BI71" t="str">
        <f>IF($A71="","",IF(posicao_contratual!$AL71="","",posicao_contratual!$AL71))</f>
        <v/>
      </c>
    </row>
    <row r="72" spans="1:61" x14ac:dyDescent="0.35">
      <c r="A72" s="81"/>
      <c r="B72" s="82" t="str">
        <f t="shared" si="17"/>
        <v/>
      </c>
      <c r="C72" s="83"/>
      <c r="D72" s="79" t="str">
        <f>IF(AND(A72="",A71&lt;&gt;"",COUNTIF(A73:$A$200,"&lt;&gt;")=0),ROUND(SUMIF($A$2:A71,"&lt;&gt;",$D$2:D71),2),IF(OR(A72="",B72="",C72=""),"",ROUND(B72*C72,2)))</f>
        <v/>
      </c>
      <c r="E72" s="84"/>
      <c r="F72" s="79" t="str">
        <f>IF(AND(A72="",A71&lt;&gt;"",COUNTIF(A73:$A$200,"&lt;&gt;")=0),IF(COUNT(F$2:F71)=0,"",ROUND(SUMIF($A$2:A71,"&lt;&gt;",F$2:F71),2)),IF(OR(A72="",AND(ISNUMBER(posicao_contratual!$AL72),posicao_contratual!$AL72&gt;1),posicao_contratual!K72="",NOT(ISNUMBER(historico_VU!D72))),"",ROUND(posicao_contratual!K72*historico_VU!D72,2)))</f>
        <v/>
      </c>
      <c r="G72" s="84"/>
      <c r="H72" s="79" t="str">
        <f>IF(AND(A72="",A71&lt;&gt;"",COUNTIF(A73:$A$200,"&lt;&gt;")=0),IF(COUNT(H$2:H71)=0,"",ROUND(SUMIF($A$2:A71,"&lt;&gt;",H$2:H71),2)),IF(OR(A72="",AND(ISNUMBER(posicao_contratual!$AL72),posicao_contratual!$AL72&gt;2),posicao_contratual!O72="",NOT(ISNUMBER(historico_VU!E72))),"",ROUND(posicao_contratual!O72*historico_VU!E72,2)))</f>
        <v/>
      </c>
      <c r="I72" s="84"/>
      <c r="J72" s="79" t="str">
        <f>IF(AND(A72="",A71&lt;&gt;"",COUNTIF(A73:$A$200,"&lt;&gt;")=0),IF(COUNT(J$2:J71)=0,"",ROUND(SUMIF($A$2:A71,"&lt;&gt;",J$2:J71),2)),IF(OR(A72="",AND(ISNUMBER(posicao_contratual!$AL72),posicao_contratual!$AL72&gt;3),posicao_contratual!S72="",NOT(ISNUMBER(historico_VU!F72))),"",ROUND(posicao_contratual!S72*historico_VU!F72,2)))</f>
        <v/>
      </c>
      <c r="K72" s="84"/>
      <c r="L72" s="79" t="str">
        <f>IF(AND(A72="",A71&lt;&gt;"",COUNTIF(A73:$A$200,"&lt;&gt;")=0),IF(COUNT(L$2:L71)=0,"",ROUND(SUMIF($A$2:A71,"&lt;&gt;",L$2:L71),2)),IF(OR(A72="",AND(ISNUMBER(posicao_contratual!$AL72),posicao_contratual!$AL72&gt;4),posicao_contratual!W72="",NOT(ISNUMBER(historico_VU!G72))),"",ROUND(posicao_contratual!W72*historico_VU!G72,2)))</f>
        <v/>
      </c>
      <c r="M72" s="85" t="str">
        <f>IF(OR(posicao_contratual!J72="",posicao_contratual!N72=""),"",ROUND(MAX(posicao_contratual!J72+posicao_contratual!H72-posicao_contratual!N72,0),2))</f>
        <v/>
      </c>
      <c r="N72" s="79" t="str">
        <f>IF(AND(A72="",A71&lt;&gt;"",COUNTIF(A73:$A$200,"&lt;&gt;")=0),IF(COUNT(N$2:N71)=0,"",ROUND(SUMIF($A$2:A71,"&lt;&gt;",N$2:N71),2)),IF(OR(M72="",NOT(ISNUMBER(historico_VU!D72))),"",ROUND(M72*historico_VU!D72,2)))</f>
        <v/>
      </c>
      <c r="O72" s="85" t="str">
        <f>IF(OR(posicao_contratual!N72="",posicao_contratual!R72=""),"",ROUND(MAX(posicao_contratual!N72+posicao_contratual!L72-posicao_contratual!R72,0),2))</f>
        <v/>
      </c>
      <c r="P72" s="79" t="str">
        <f>IF(AND(A72="",A71&lt;&gt;"",COUNTIF(A73:$A$200,"&lt;&gt;")=0),IF(COUNT(P$2:P71)=0,"",ROUND(SUMIF($A$2:A71,"&lt;&gt;",P$2:P71),2)),IF(OR(O72="",NOT(ISNUMBER(historico_VU!E72))),"",ROUND(O72*historico_VU!E72,2)))</f>
        <v/>
      </c>
      <c r="Q72" s="85" t="str">
        <f>IF(OR(posicao_contratual!R72="",posicao_contratual!V72=""),"",ROUND(MAX(posicao_contratual!R72+posicao_contratual!P72-posicao_contratual!V72,0),2))</f>
        <v/>
      </c>
      <c r="R72" s="79" t="str">
        <f>IF(AND(A72="",A71&lt;&gt;"",COUNTIF(A73:$A$200,"&lt;&gt;")=0),IF(COUNT(R$2:R71)=0,"",ROUND(SUMIF($A$2:A71,"&lt;&gt;",R$2:R71),2)),IF(OR(Q72="",NOT(ISNUMBER(historico_VU!F72))),"",ROUND(Q72*historico_VU!F72,2)))</f>
        <v/>
      </c>
      <c r="S72" s="21"/>
      <c r="T72" s="22" t="str">
        <f>IF(AND(A72="",A71&lt;&gt;"",COUNTIF(A73:$A$200,"&lt;&gt;")=0),IF(COUNT(T$2:T71)=0,"",ROUND(SUMIF($A$2:A71,"&lt;&gt;",T$2:T71),2)),IF(OR(S72="",NOT(ISNUMBER(historico_VU!G72))),"",ROUND(S72*historico_VU!G72,2)))</f>
        <v/>
      </c>
      <c r="U72" s="86" t="str">
        <f>IF(AND(A72="",A71&lt;&gt;"",COUNTIF(A73:$A$200,"&lt;&gt;")=0),"TOTAL",IF(A72="","",posicao_contratual!X72))</f>
        <v/>
      </c>
      <c r="V72" s="86" t="str">
        <f>IF(A72="","",posicao_contratual!X72)</f>
        <v/>
      </c>
      <c r="W72" s="14"/>
      <c r="X72" s="14"/>
      <c r="Y72" s="14"/>
      <c r="Z72" s="13"/>
      <c r="AA72" s="13"/>
      <c r="AB72" s="85" t="str">
        <f>IF(OR(A72="",posicao_contratual!E72="",posicao_contratual!J72=""),"",ROUND(MAX(posicao_contratual!E72-posicao_contratual!J72,0),2))</f>
        <v/>
      </c>
      <c r="AC72" s="79" t="str">
        <f>IF(AND(A72="",A71&lt;&gt;"",COUNTIF(A73:$A$200,"&lt;&gt;")=0),IF(COUNT(AC$2:AC71)=0,"",ROUND(SUMIF($A$2:A71,"&lt;&gt;",AC$2:AC71),2)),IF(OR(AB72="",NOT(ISNUMBER(historico_VU!C72))),"",ROUND(AB72*historico_VU!C72,2)))</f>
        <v/>
      </c>
      <c r="AD72" s="145" t="str">
        <f>IF(A72="","",posicao_contratual!E72)</f>
        <v/>
      </c>
      <c r="AE72" s="145" t="str">
        <f>IF(A72="","",posicao_contratual!I72)</f>
        <v/>
      </c>
      <c r="AF72" s="145" t="str">
        <f>IF(A72="","",posicao_contratual!M72)</f>
        <v/>
      </c>
      <c r="AG72" s="145" t="str">
        <f>IF(A72="","",posicao_contratual!Q72)</f>
        <v/>
      </c>
      <c r="AH72" s="145" t="str">
        <f>IF(A72="","",posicao_contratual!U72)</f>
        <v/>
      </c>
      <c r="AI72" s="145" t="str">
        <f>IF(A72="","",posicao_contratual!G72)</f>
        <v/>
      </c>
      <c r="AJ72" s="145" t="str">
        <f>IF(A72="","",posicao_contratual!K72)</f>
        <v/>
      </c>
      <c r="AK72" s="145" t="str">
        <f>IF(A72="","",posicao_contratual!O72)</f>
        <v/>
      </c>
      <c r="AL72" s="145" t="str">
        <f>IF(A72="","",posicao_contratual!S72)</f>
        <v/>
      </c>
      <c r="AM72" s="145" t="str">
        <f>IF(A72="","",posicao_contratual!W72)</f>
        <v/>
      </c>
      <c r="AN72" s="146" t="str">
        <f>IF(A72="","",posicao_contratual!X72)</f>
        <v/>
      </c>
      <c r="AO72" t="str">
        <f>IF($A72="","",ROUND(SUMIFS(itens_Consumidos!$E$2:$E$200,itens_Consumidos!$A$2:$A$200,$A72),2))</f>
        <v/>
      </c>
      <c r="AP72" t="str">
        <f t="shared" si="12"/>
        <v/>
      </c>
      <c r="AQ72" t="str">
        <f>IF(OR($A72="",AB72="",MEMORIA_RESULTADOS!$I$258=""),"",ROUND(AB72*$C72*(MEMORIA_RESULTADOS!$I$258-1),2))</f>
        <v/>
      </c>
      <c r="AR72" t="str">
        <f>IF(OR($A72="",AP72="",MEMORIA_RESULTADOS!$I$258=""),"",ROUND(AP72*$C72*(parametros!$F$2-MEMORIA_RESULTADOS!$I$258),2))</f>
        <v/>
      </c>
      <c r="AS72" t="str">
        <f>IF($A72="","",ROUND(SUMIFS(itens_Consumidos!$G$2:$G$200,itens_Consumidos!$A$2:$A$200,$A72),2))</f>
        <v/>
      </c>
      <c r="AT72" t="str">
        <f t="shared" si="13"/>
        <v/>
      </c>
      <c r="AU72" t="str">
        <f>IF(OR($A72="",M72="",MEMORIA_RESULTADOS!$I$259=""),"",ROUND(M72*$C72*(MEMORIA_RESULTADOS!$I$259-1),2))</f>
        <v/>
      </c>
      <c r="AV72" t="str">
        <f>IF(OR($A72="",AT72="",MEMORIA_RESULTADOS!$I$259=""),"",ROUND(AT72*$C72*(parametros!$F$3-MEMORIA_RESULTADOS!$I$259),2))</f>
        <v/>
      </c>
      <c r="AW72" t="str">
        <f>IF($A72="","",ROUND(SUMIFS(itens_Consumidos!$I$2:$I$200,itens_Consumidos!$A$2:$A$200,$A72),2))</f>
        <v/>
      </c>
      <c r="AX72" t="str">
        <f t="shared" si="14"/>
        <v/>
      </c>
      <c r="AY72" t="str">
        <f>IF(OR($A72="",O72="",MEMORIA_RESULTADOS!$I$260=""),"",ROUND(O72*$C72*(MEMORIA_RESULTADOS!$I$260-1),2))</f>
        <v/>
      </c>
      <c r="AZ72" t="str">
        <f>IF(OR($A72="",AX72="",MEMORIA_RESULTADOS!$I$260=""),"",ROUND(AX72*$C72*(parametros!$F$4-MEMORIA_RESULTADOS!$I$260),2))</f>
        <v/>
      </c>
      <c r="BA72" t="str">
        <f>IF($A72="","",ROUND(SUMIFS(itens_Consumidos!$K$2:$K$200,itens_Consumidos!$A$2:$A$200,$A72),2))</f>
        <v/>
      </c>
      <c r="BB72" t="str">
        <f t="shared" si="15"/>
        <v/>
      </c>
      <c r="BC72" t="str">
        <f>IF(OR($A72="",Q72="",MEMORIA_RESULTADOS!$I$261=""),"",ROUND(Q72*$C72*(MEMORIA_RESULTADOS!$I$261-1),2))</f>
        <v/>
      </c>
      <c r="BD72" t="str">
        <f>IF(OR($A72="",BB72="",MEMORIA_RESULTADOS!$I$261=""),"",ROUND(BB72*$C72*(parametros!$F$5-MEMORIA_RESULTADOS!$I$261),2))</f>
        <v/>
      </c>
      <c r="BE72" t="str">
        <f>IF($A72="","",ROUND(SUMIFS(itens_Consumidos!$M$2:$M$200,itens_Consumidos!$A$2:$A$200,$A72),2))</f>
        <v/>
      </c>
      <c r="BF72" t="str">
        <f t="shared" si="16"/>
        <v/>
      </c>
      <c r="BG72" t="str">
        <f>IF(OR($A72="",S72="",MEMORIA_RESULTADOS!$I$262=""),"",ROUND(S72*$C72*(MEMORIA_RESULTADOS!$I$262-1),2))</f>
        <v/>
      </c>
      <c r="BH72" t="str">
        <f>IF(OR($A72="",BF72="",MEMORIA_RESULTADOS!$I$262=""),"",ROUND(BF72*$C72*(parametros!$F$6-MEMORIA_RESULTADOS!$I$262),2))</f>
        <v/>
      </c>
      <c r="BI72" t="str">
        <f>IF($A72="","",IF(posicao_contratual!$AL72="","",posicao_contratual!$AL72))</f>
        <v/>
      </c>
    </row>
    <row r="73" spans="1:61" x14ac:dyDescent="0.35">
      <c r="A73" s="81"/>
      <c r="B73" s="82" t="str">
        <f t="shared" si="17"/>
        <v/>
      </c>
      <c r="C73" s="83"/>
      <c r="D73" s="79" t="str">
        <f>IF(AND(A73="",A72&lt;&gt;"",COUNTIF(A74:$A$200,"&lt;&gt;")=0),ROUND(SUMIF($A$2:A72,"&lt;&gt;",$D$2:D72),2),IF(OR(A73="",B73="",C73=""),"",ROUND(B73*C73,2)))</f>
        <v/>
      </c>
      <c r="E73" s="84"/>
      <c r="F73" s="79" t="str">
        <f>IF(AND(A73="",A72&lt;&gt;"",COUNTIF(A74:$A$200,"&lt;&gt;")=0),IF(COUNT(F$2:F72)=0,"",ROUND(SUMIF($A$2:A72,"&lt;&gt;",F$2:F72),2)),IF(OR(A73="",AND(ISNUMBER(posicao_contratual!$AL73),posicao_contratual!$AL73&gt;1),posicao_contratual!K73="",NOT(ISNUMBER(historico_VU!D73))),"",ROUND(posicao_contratual!K73*historico_VU!D73,2)))</f>
        <v/>
      </c>
      <c r="G73" s="84"/>
      <c r="H73" s="79" t="str">
        <f>IF(AND(A73="",A72&lt;&gt;"",COUNTIF(A74:$A$200,"&lt;&gt;")=0),IF(COUNT(H$2:H72)=0,"",ROUND(SUMIF($A$2:A72,"&lt;&gt;",H$2:H72),2)),IF(OR(A73="",AND(ISNUMBER(posicao_contratual!$AL73),posicao_contratual!$AL73&gt;2),posicao_contratual!O73="",NOT(ISNUMBER(historico_VU!E73))),"",ROUND(posicao_contratual!O73*historico_VU!E73,2)))</f>
        <v/>
      </c>
      <c r="I73" s="84"/>
      <c r="J73" s="79" t="str">
        <f>IF(AND(A73="",A72&lt;&gt;"",COUNTIF(A74:$A$200,"&lt;&gt;")=0),IF(COUNT(J$2:J72)=0,"",ROUND(SUMIF($A$2:A72,"&lt;&gt;",J$2:J72),2)),IF(OR(A73="",AND(ISNUMBER(posicao_contratual!$AL73),posicao_contratual!$AL73&gt;3),posicao_contratual!S73="",NOT(ISNUMBER(historico_VU!F73))),"",ROUND(posicao_contratual!S73*historico_VU!F73,2)))</f>
        <v/>
      </c>
      <c r="K73" s="84"/>
      <c r="L73" s="79" t="str">
        <f>IF(AND(A73="",A72&lt;&gt;"",COUNTIF(A74:$A$200,"&lt;&gt;")=0),IF(COUNT(L$2:L72)=0,"",ROUND(SUMIF($A$2:A72,"&lt;&gt;",L$2:L72),2)),IF(OR(A73="",AND(ISNUMBER(posicao_contratual!$AL73),posicao_contratual!$AL73&gt;4),posicao_contratual!W73="",NOT(ISNUMBER(historico_VU!G73))),"",ROUND(posicao_contratual!W73*historico_VU!G73,2)))</f>
        <v/>
      </c>
      <c r="M73" s="85" t="str">
        <f>IF(OR(posicao_contratual!J73="",posicao_contratual!N73=""),"",ROUND(MAX(posicao_contratual!J73+posicao_contratual!H73-posicao_contratual!N73,0),2))</f>
        <v/>
      </c>
      <c r="N73" s="79" t="str">
        <f>IF(AND(A73="",A72&lt;&gt;"",COUNTIF(A74:$A$200,"&lt;&gt;")=0),IF(COUNT(N$2:N72)=0,"",ROUND(SUMIF($A$2:A72,"&lt;&gt;",N$2:N72),2)),IF(OR(M73="",NOT(ISNUMBER(historico_VU!D73))),"",ROUND(M73*historico_VU!D73,2)))</f>
        <v/>
      </c>
      <c r="O73" s="85" t="str">
        <f>IF(OR(posicao_contratual!N73="",posicao_contratual!R73=""),"",ROUND(MAX(posicao_contratual!N73+posicao_contratual!L73-posicao_contratual!R73,0),2))</f>
        <v/>
      </c>
      <c r="P73" s="79" t="str">
        <f>IF(AND(A73="",A72&lt;&gt;"",COUNTIF(A74:$A$200,"&lt;&gt;")=0),IF(COUNT(P$2:P72)=0,"",ROUND(SUMIF($A$2:A72,"&lt;&gt;",P$2:P72),2)),IF(OR(O73="",NOT(ISNUMBER(historico_VU!E73))),"",ROUND(O73*historico_VU!E73,2)))</f>
        <v/>
      </c>
      <c r="Q73" s="85" t="str">
        <f>IF(OR(posicao_contratual!R73="",posicao_contratual!V73=""),"",ROUND(MAX(posicao_contratual!R73+posicao_contratual!P73-posicao_contratual!V73,0),2))</f>
        <v/>
      </c>
      <c r="R73" s="79" t="str">
        <f>IF(AND(A73="",A72&lt;&gt;"",COUNTIF(A74:$A$200,"&lt;&gt;")=0),IF(COUNT(R$2:R72)=0,"",ROUND(SUMIF($A$2:A72,"&lt;&gt;",R$2:R72),2)),IF(OR(Q73="",NOT(ISNUMBER(historico_VU!F73))),"",ROUND(Q73*historico_VU!F73,2)))</f>
        <v/>
      </c>
      <c r="S73" s="21"/>
      <c r="T73" s="22" t="str">
        <f>IF(AND(A73="",A72&lt;&gt;"",COUNTIF(A74:$A$200,"&lt;&gt;")=0),IF(COUNT(T$2:T72)=0,"",ROUND(SUMIF($A$2:A72,"&lt;&gt;",T$2:T72),2)),IF(OR(S73="",NOT(ISNUMBER(historico_VU!G73))),"",ROUND(S73*historico_VU!G73,2)))</f>
        <v/>
      </c>
      <c r="U73" s="86" t="str">
        <f>IF(AND(A73="",A72&lt;&gt;"",COUNTIF(A74:$A$200,"&lt;&gt;")=0),"TOTAL",IF(A73="","",posicao_contratual!X73))</f>
        <v/>
      </c>
      <c r="V73" s="86" t="str">
        <f>IF(A73="","",posicao_contratual!X73)</f>
        <v/>
      </c>
      <c r="W73" s="14"/>
      <c r="X73" s="14"/>
      <c r="Y73" s="14"/>
      <c r="Z73" s="13"/>
      <c r="AA73" s="13"/>
      <c r="AB73" s="85" t="str">
        <f>IF(OR(A73="",posicao_contratual!E73="",posicao_contratual!J73=""),"",ROUND(MAX(posicao_contratual!E73-posicao_contratual!J73,0),2))</f>
        <v/>
      </c>
      <c r="AC73" s="79" t="str">
        <f>IF(AND(A73="",A72&lt;&gt;"",COUNTIF(A74:$A$200,"&lt;&gt;")=0),IF(COUNT(AC$2:AC72)=0,"",ROUND(SUMIF($A$2:A72,"&lt;&gt;",AC$2:AC72),2)),IF(OR(AB73="",NOT(ISNUMBER(historico_VU!C73))),"",ROUND(AB73*historico_VU!C73,2)))</f>
        <v/>
      </c>
      <c r="AD73" s="145" t="str">
        <f>IF(A73="","",posicao_contratual!E73)</f>
        <v/>
      </c>
      <c r="AE73" s="145" t="str">
        <f>IF(A73="","",posicao_contratual!I73)</f>
        <v/>
      </c>
      <c r="AF73" s="145" t="str">
        <f>IF(A73="","",posicao_contratual!M73)</f>
        <v/>
      </c>
      <c r="AG73" s="145" t="str">
        <f>IF(A73="","",posicao_contratual!Q73)</f>
        <v/>
      </c>
      <c r="AH73" s="145" t="str">
        <f>IF(A73="","",posicao_contratual!U73)</f>
        <v/>
      </c>
      <c r="AI73" s="145" t="str">
        <f>IF(A73="","",posicao_contratual!G73)</f>
        <v/>
      </c>
      <c r="AJ73" s="145" t="str">
        <f>IF(A73="","",posicao_contratual!K73)</f>
        <v/>
      </c>
      <c r="AK73" s="145" t="str">
        <f>IF(A73="","",posicao_contratual!O73)</f>
        <v/>
      </c>
      <c r="AL73" s="145" t="str">
        <f>IF(A73="","",posicao_contratual!S73)</f>
        <v/>
      </c>
      <c r="AM73" s="145" t="str">
        <f>IF(A73="","",posicao_contratual!W73)</f>
        <v/>
      </c>
      <c r="AN73" s="146" t="str">
        <f>IF(A73="","",posicao_contratual!X73)</f>
        <v/>
      </c>
      <c r="AO73" t="str">
        <f>IF($A73="","",ROUND(SUMIFS(itens_Consumidos!$E$2:$E$200,itens_Consumidos!$A$2:$A$200,$A73),2))</f>
        <v/>
      </c>
      <c r="AP73" t="str">
        <f t="shared" si="12"/>
        <v/>
      </c>
      <c r="AQ73" t="str">
        <f>IF(OR($A73="",AB73="",MEMORIA_RESULTADOS!$I$258=""),"",ROUND(AB73*$C73*(MEMORIA_RESULTADOS!$I$258-1),2))</f>
        <v/>
      </c>
      <c r="AR73" t="str">
        <f>IF(OR($A73="",AP73="",MEMORIA_RESULTADOS!$I$258=""),"",ROUND(AP73*$C73*(parametros!$F$2-MEMORIA_RESULTADOS!$I$258),2))</f>
        <v/>
      </c>
      <c r="AS73" t="str">
        <f>IF($A73="","",ROUND(SUMIFS(itens_Consumidos!$G$2:$G$200,itens_Consumidos!$A$2:$A$200,$A73),2))</f>
        <v/>
      </c>
      <c r="AT73" t="str">
        <f t="shared" si="13"/>
        <v/>
      </c>
      <c r="AU73" t="str">
        <f>IF(OR($A73="",M73="",MEMORIA_RESULTADOS!$I$259=""),"",ROUND(M73*$C73*(MEMORIA_RESULTADOS!$I$259-1),2))</f>
        <v/>
      </c>
      <c r="AV73" t="str">
        <f>IF(OR($A73="",AT73="",MEMORIA_RESULTADOS!$I$259=""),"",ROUND(AT73*$C73*(parametros!$F$3-MEMORIA_RESULTADOS!$I$259),2))</f>
        <v/>
      </c>
      <c r="AW73" t="str">
        <f>IF($A73="","",ROUND(SUMIFS(itens_Consumidos!$I$2:$I$200,itens_Consumidos!$A$2:$A$200,$A73),2))</f>
        <v/>
      </c>
      <c r="AX73" t="str">
        <f t="shared" si="14"/>
        <v/>
      </c>
      <c r="AY73" t="str">
        <f>IF(OR($A73="",O73="",MEMORIA_RESULTADOS!$I$260=""),"",ROUND(O73*$C73*(MEMORIA_RESULTADOS!$I$260-1),2))</f>
        <v/>
      </c>
      <c r="AZ73" t="str">
        <f>IF(OR($A73="",AX73="",MEMORIA_RESULTADOS!$I$260=""),"",ROUND(AX73*$C73*(parametros!$F$4-MEMORIA_RESULTADOS!$I$260),2))</f>
        <v/>
      </c>
      <c r="BA73" t="str">
        <f>IF($A73="","",ROUND(SUMIFS(itens_Consumidos!$K$2:$K$200,itens_Consumidos!$A$2:$A$200,$A73),2))</f>
        <v/>
      </c>
      <c r="BB73" t="str">
        <f t="shared" si="15"/>
        <v/>
      </c>
      <c r="BC73" t="str">
        <f>IF(OR($A73="",Q73="",MEMORIA_RESULTADOS!$I$261=""),"",ROUND(Q73*$C73*(MEMORIA_RESULTADOS!$I$261-1),2))</f>
        <v/>
      </c>
      <c r="BD73" t="str">
        <f>IF(OR($A73="",BB73="",MEMORIA_RESULTADOS!$I$261=""),"",ROUND(BB73*$C73*(parametros!$F$5-MEMORIA_RESULTADOS!$I$261),2))</f>
        <v/>
      </c>
      <c r="BE73" t="str">
        <f>IF($A73="","",ROUND(SUMIFS(itens_Consumidos!$M$2:$M$200,itens_Consumidos!$A$2:$A$200,$A73),2))</f>
        <v/>
      </c>
      <c r="BF73" t="str">
        <f t="shared" si="16"/>
        <v/>
      </c>
      <c r="BG73" t="str">
        <f>IF(OR($A73="",S73="",MEMORIA_RESULTADOS!$I$262=""),"",ROUND(S73*$C73*(MEMORIA_RESULTADOS!$I$262-1),2))</f>
        <v/>
      </c>
      <c r="BH73" t="str">
        <f>IF(OR($A73="",BF73="",MEMORIA_RESULTADOS!$I$262=""),"",ROUND(BF73*$C73*(parametros!$F$6-MEMORIA_RESULTADOS!$I$262),2))</f>
        <v/>
      </c>
      <c r="BI73" t="str">
        <f>IF($A73="","",IF(posicao_contratual!$AL73="","",posicao_contratual!$AL73))</f>
        <v/>
      </c>
    </row>
    <row r="74" spans="1:61" x14ac:dyDescent="0.35">
      <c r="A74" s="81"/>
      <c r="B74" s="82" t="str">
        <f t="shared" si="17"/>
        <v/>
      </c>
      <c r="C74" s="83"/>
      <c r="D74" s="79" t="str">
        <f>IF(AND(A74="",A73&lt;&gt;"",COUNTIF(A75:$A$200,"&lt;&gt;")=0),ROUND(SUMIF($A$2:A73,"&lt;&gt;",$D$2:D73),2),IF(OR(A74="",B74="",C74=""),"",ROUND(B74*C74,2)))</f>
        <v/>
      </c>
      <c r="E74" s="84"/>
      <c r="F74" s="79" t="str">
        <f>IF(AND(A74="",A73&lt;&gt;"",COUNTIF(A75:$A$200,"&lt;&gt;")=0),IF(COUNT(F$2:F73)=0,"",ROUND(SUMIF($A$2:A73,"&lt;&gt;",F$2:F73),2)),IF(OR(A74="",AND(ISNUMBER(posicao_contratual!$AL74),posicao_contratual!$AL74&gt;1),posicao_contratual!K74="",NOT(ISNUMBER(historico_VU!D74))),"",ROUND(posicao_contratual!K74*historico_VU!D74,2)))</f>
        <v/>
      </c>
      <c r="G74" s="84"/>
      <c r="H74" s="79" t="str">
        <f>IF(AND(A74="",A73&lt;&gt;"",COUNTIF(A75:$A$200,"&lt;&gt;")=0),IF(COUNT(H$2:H73)=0,"",ROUND(SUMIF($A$2:A73,"&lt;&gt;",H$2:H73),2)),IF(OR(A74="",AND(ISNUMBER(posicao_contratual!$AL74),posicao_contratual!$AL74&gt;2),posicao_contratual!O74="",NOT(ISNUMBER(historico_VU!E74))),"",ROUND(posicao_contratual!O74*historico_VU!E74,2)))</f>
        <v/>
      </c>
      <c r="I74" s="84"/>
      <c r="J74" s="79" t="str">
        <f>IF(AND(A74="",A73&lt;&gt;"",COUNTIF(A75:$A$200,"&lt;&gt;")=0),IF(COUNT(J$2:J73)=0,"",ROUND(SUMIF($A$2:A73,"&lt;&gt;",J$2:J73),2)),IF(OR(A74="",AND(ISNUMBER(posicao_contratual!$AL74),posicao_contratual!$AL74&gt;3),posicao_contratual!S74="",NOT(ISNUMBER(historico_VU!F74))),"",ROUND(posicao_contratual!S74*historico_VU!F74,2)))</f>
        <v/>
      </c>
      <c r="K74" s="84"/>
      <c r="L74" s="79" t="str">
        <f>IF(AND(A74="",A73&lt;&gt;"",COUNTIF(A75:$A$200,"&lt;&gt;")=0),IF(COUNT(L$2:L73)=0,"",ROUND(SUMIF($A$2:A73,"&lt;&gt;",L$2:L73),2)),IF(OR(A74="",AND(ISNUMBER(posicao_contratual!$AL74),posicao_contratual!$AL74&gt;4),posicao_contratual!W74="",NOT(ISNUMBER(historico_VU!G74))),"",ROUND(posicao_contratual!W74*historico_VU!G74,2)))</f>
        <v/>
      </c>
      <c r="M74" s="85" t="str">
        <f>IF(OR(posicao_contratual!J74="",posicao_contratual!N74=""),"",ROUND(MAX(posicao_contratual!J74+posicao_contratual!H74-posicao_contratual!N74,0),2))</f>
        <v/>
      </c>
      <c r="N74" s="79" t="str">
        <f>IF(AND(A74="",A73&lt;&gt;"",COUNTIF(A75:$A$200,"&lt;&gt;")=0),IF(COUNT(N$2:N73)=0,"",ROUND(SUMIF($A$2:A73,"&lt;&gt;",N$2:N73),2)),IF(OR(M74="",NOT(ISNUMBER(historico_VU!D74))),"",ROUND(M74*historico_VU!D74,2)))</f>
        <v/>
      </c>
      <c r="O74" s="85" t="str">
        <f>IF(OR(posicao_contratual!N74="",posicao_contratual!R74=""),"",ROUND(MAX(posicao_contratual!N74+posicao_contratual!L74-posicao_contratual!R74,0),2))</f>
        <v/>
      </c>
      <c r="P74" s="79" t="str">
        <f>IF(AND(A74="",A73&lt;&gt;"",COUNTIF(A75:$A$200,"&lt;&gt;")=0),IF(COUNT(P$2:P73)=0,"",ROUND(SUMIF($A$2:A73,"&lt;&gt;",P$2:P73),2)),IF(OR(O74="",NOT(ISNUMBER(historico_VU!E74))),"",ROUND(O74*historico_VU!E74,2)))</f>
        <v/>
      </c>
      <c r="Q74" s="85" t="str">
        <f>IF(OR(posicao_contratual!R74="",posicao_contratual!V74=""),"",ROUND(MAX(posicao_contratual!R74+posicao_contratual!P74-posicao_contratual!V74,0),2))</f>
        <v/>
      </c>
      <c r="R74" s="79" t="str">
        <f>IF(AND(A74="",A73&lt;&gt;"",COUNTIF(A75:$A$200,"&lt;&gt;")=0),IF(COUNT(R$2:R73)=0,"",ROUND(SUMIF($A$2:A73,"&lt;&gt;",R$2:R73),2)),IF(OR(Q74="",NOT(ISNUMBER(historico_VU!F74))),"",ROUND(Q74*historico_VU!F74,2)))</f>
        <v/>
      </c>
      <c r="S74" s="21"/>
      <c r="T74" s="22" t="str">
        <f>IF(AND(A74="",A73&lt;&gt;"",COUNTIF(A75:$A$200,"&lt;&gt;")=0),IF(COUNT(T$2:T73)=0,"",ROUND(SUMIF($A$2:A73,"&lt;&gt;",T$2:T73),2)),IF(OR(S74="",NOT(ISNUMBER(historico_VU!G74))),"",ROUND(S74*historico_VU!G74,2)))</f>
        <v/>
      </c>
      <c r="U74" s="86" t="str">
        <f>IF(AND(A74="",A73&lt;&gt;"",COUNTIF(A75:$A$200,"&lt;&gt;")=0),"TOTAL",IF(A74="","",posicao_contratual!X74))</f>
        <v/>
      </c>
      <c r="V74" s="86" t="str">
        <f>IF(A74="","",posicao_contratual!X74)</f>
        <v/>
      </c>
      <c r="W74" s="14"/>
      <c r="X74" s="14"/>
      <c r="Y74" s="14"/>
      <c r="Z74" s="13"/>
      <c r="AA74" s="13"/>
      <c r="AB74" s="85" t="str">
        <f>IF(OR(A74="",posicao_contratual!E74="",posicao_contratual!J74=""),"",ROUND(MAX(posicao_contratual!E74-posicao_contratual!J74,0),2))</f>
        <v/>
      </c>
      <c r="AC74" s="79" t="str">
        <f>IF(AND(A74="",A73&lt;&gt;"",COUNTIF(A75:$A$200,"&lt;&gt;")=0),IF(COUNT(AC$2:AC73)=0,"",ROUND(SUMIF($A$2:A73,"&lt;&gt;",AC$2:AC73),2)),IF(OR(AB74="",NOT(ISNUMBER(historico_VU!C74))),"",ROUND(AB74*historico_VU!C74,2)))</f>
        <v/>
      </c>
      <c r="AD74" s="145" t="str">
        <f>IF(A74="","",posicao_contratual!E74)</f>
        <v/>
      </c>
      <c r="AE74" s="145" t="str">
        <f>IF(A74="","",posicao_contratual!I74)</f>
        <v/>
      </c>
      <c r="AF74" s="145" t="str">
        <f>IF(A74="","",posicao_contratual!M74)</f>
        <v/>
      </c>
      <c r="AG74" s="145" t="str">
        <f>IF(A74="","",posicao_contratual!Q74)</f>
        <v/>
      </c>
      <c r="AH74" s="145" t="str">
        <f>IF(A74="","",posicao_contratual!U74)</f>
        <v/>
      </c>
      <c r="AI74" s="145" t="str">
        <f>IF(A74="","",posicao_contratual!G74)</f>
        <v/>
      </c>
      <c r="AJ74" s="145" t="str">
        <f>IF(A74="","",posicao_contratual!K74)</f>
        <v/>
      </c>
      <c r="AK74" s="145" t="str">
        <f>IF(A74="","",posicao_contratual!O74)</f>
        <v/>
      </c>
      <c r="AL74" s="145" t="str">
        <f>IF(A74="","",posicao_contratual!S74)</f>
        <v/>
      </c>
      <c r="AM74" s="145" t="str">
        <f>IF(A74="","",posicao_contratual!W74)</f>
        <v/>
      </c>
      <c r="AN74" s="146" t="str">
        <f>IF(A74="","",posicao_contratual!X74)</f>
        <v/>
      </c>
      <c r="AO74" t="str">
        <f>IF($A74="","",ROUND(SUMIFS(itens_Consumidos!$E$2:$E$200,itens_Consumidos!$A$2:$A$200,$A74),2))</f>
        <v/>
      </c>
      <c r="AP74" t="str">
        <f t="shared" si="12"/>
        <v/>
      </c>
      <c r="AQ74" t="str">
        <f>IF(OR($A74="",AB74="",MEMORIA_RESULTADOS!$I$258=""),"",ROUND(AB74*$C74*(MEMORIA_RESULTADOS!$I$258-1),2))</f>
        <v/>
      </c>
      <c r="AR74" t="str">
        <f>IF(OR($A74="",AP74="",MEMORIA_RESULTADOS!$I$258=""),"",ROUND(AP74*$C74*(parametros!$F$2-MEMORIA_RESULTADOS!$I$258),2))</f>
        <v/>
      </c>
      <c r="AS74" t="str">
        <f>IF($A74="","",ROUND(SUMIFS(itens_Consumidos!$G$2:$G$200,itens_Consumidos!$A$2:$A$200,$A74),2))</f>
        <v/>
      </c>
      <c r="AT74" t="str">
        <f t="shared" si="13"/>
        <v/>
      </c>
      <c r="AU74" t="str">
        <f>IF(OR($A74="",M74="",MEMORIA_RESULTADOS!$I$259=""),"",ROUND(M74*$C74*(MEMORIA_RESULTADOS!$I$259-1),2))</f>
        <v/>
      </c>
      <c r="AV74" t="str">
        <f>IF(OR($A74="",AT74="",MEMORIA_RESULTADOS!$I$259=""),"",ROUND(AT74*$C74*(parametros!$F$3-MEMORIA_RESULTADOS!$I$259),2))</f>
        <v/>
      </c>
      <c r="AW74" t="str">
        <f>IF($A74="","",ROUND(SUMIFS(itens_Consumidos!$I$2:$I$200,itens_Consumidos!$A$2:$A$200,$A74),2))</f>
        <v/>
      </c>
      <c r="AX74" t="str">
        <f t="shared" si="14"/>
        <v/>
      </c>
      <c r="AY74" t="str">
        <f>IF(OR($A74="",O74="",MEMORIA_RESULTADOS!$I$260=""),"",ROUND(O74*$C74*(MEMORIA_RESULTADOS!$I$260-1),2))</f>
        <v/>
      </c>
      <c r="AZ74" t="str">
        <f>IF(OR($A74="",AX74="",MEMORIA_RESULTADOS!$I$260=""),"",ROUND(AX74*$C74*(parametros!$F$4-MEMORIA_RESULTADOS!$I$260),2))</f>
        <v/>
      </c>
      <c r="BA74" t="str">
        <f>IF($A74="","",ROUND(SUMIFS(itens_Consumidos!$K$2:$K$200,itens_Consumidos!$A$2:$A$200,$A74),2))</f>
        <v/>
      </c>
      <c r="BB74" t="str">
        <f t="shared" si="15"/>
        <v/>
      </c>
      <c r="BC74" t="str">
        <f>IF(OR($A74="",Q74="",MEMORIA_RESULTADOS!$I$261=""),"",ROUND(Q74*$C74*(MEMORIA_RESULTADOS!$I$261-1),2))</f>
        <v/>
      </c>
      <c r="BD74" t="str">
        <f>IF(OR($A74="",BB74="",MEMORIA_RESULTADOS!$I$261=""),"",ROUND(BB74*$C74*(parametros!$F$5-MEMORIA_RESULTADOS!$I$261),2))</f>
        <v/>
      </c>
      <c r="BE74" t="str">
        <f>IF($A74="","",ROUND(SUMIFS(itens_Consumidos!$M$2:$M$200,itens_Consumidos!$A$2:$A$200,$A74),2))</f>
        <v/>
      </c>
      <c r="BF74" t="str">
        <f t="shared" si="16"/>
        <v/>
      </c>
      <c r="BG74" t="str">
        <f>IF(OR($A74="",S74="",MEMORIA_RESULTADOS!$I$262=""),"",ROUND(S74*$C74*(MEMORIA_RESULTADOS!$I$262-1),2))</f>
        <v/>
      </c>
      <c r="BH74" t="str">
        <f>IF(OR($A74="",BF74="",MEMORIA_RESULTADOS!$I$262=""),"",ROUND(BF74*$C74*(parametros!$F$6-MEMORIA_RESULTADOS!$I$262),2))</f>
        <v/>
      </c>
      <c r="BI74" t="str">
        <f>IF($A74="","",IF(posicao_contratual!$AL74="","",posicao_contratual!$AL74))</f>
        <v/>
      </c>
    </row>
    <row r="75" spans="1:61" x14ac:dyDescent="0.35">
      <c r="A75" s="81"/>
      <c r="B75" s="82" t="str">
        <f t="shared" si="17"/>
        <v/>
      </c>
      <c r="C75" s="83"/>
      <c r="D75" s="79" t="str">
        <f>IF(AND(A75="",A74&lt;&gt;"",COUNTIF(A76:$A$200,"&lt;&gt;")=0),ROUND(SUMIF($A$2:A74,"&lt;&gt;",$D$2:D74),2),IF(OR(A75="",B75="",C75=""),"",ROUND(B75*C75,2)))</f>
        <v/>
      </c>
      <c r="E75" s="84"/>
      <c r="F75" s="79" t="str">
        <f>IF(AND(A75="",A74&lt;&gt;"",COUNTIF(A76:$A$200,"&lt;&gt;")=0),IF(COUNT(F$2:F74)=0,"",ROUND(SUMIF($A$2:A74,"&lt;&gt;",F$2:F74),2)),IF(OR(A75="",AND(ISNUMBER(posicao_contratual!$AL75),posicao_contratual!$AL75&gt;1),posicao_contratual!K75="",NOT(ISNUMBER(historico_VU!D75))),"",ROUND(posicao_contratual!K75*historico_VU!D75,2)))</f>
        <v/>
      </c>
      <c r="G75" s="84"/>
      <c r="H75" s="79" t="str">
        <f>IF(AND(A75="",A74&lt;&gt;"",COUNTIF(A76:$A$200,"&lt;&gt;")=0),IF(COUNT(H$2:H74)=0,"",ROUND(SUMIF($A$2:A74,"&lt;&gt;",H$2:H74),2)),IF(OR(A75="",AND(ISNUMBER(posicao_contratual!$AL75),posicao_contratual!$AL75&gt;2),posicao_contratual!O75="",NOT(ISNUMBER(historico_VU!E75))),"",ROUND(posicao_contratual!O75*historico_VU!E75,2)))</f>
        <v/>
      </c>
      <c r="I75" s="84"/>
      <c r="J75" s="79" t="str">
        <f>IF(AND(A75="",A74&lt;&gt;"",COUNTIF(A76:$A$200,"&lt;&gt;")=0),IF(COUNT(J$2:J74)=0,"",ROUND(SUMIF($A$2:A74,"&lt;&gt;",J$2:J74),2)),IF(OR(A75="",AND(ISNUMBER(posicao_contratual!$AL75),posicao_contratual!$AL75&gt;3),posicao_contratual!S75="",NOT(ISNUMBER(historico_VU!F75))),"",ROUND(posicao_contratual!S75*historico_VU!F75,2)))</f>
        <v/>
      </c>
      <c r="K75" s="84"/>
      <c r="L75" s="79" t="str">
        <f>IF(AND(A75="",A74&lt;&gt;"",COUNTIF(A76:$A$200,"&lt;&gt;")=0),IF(COUNT(L$2:L74)=0,"",ROUND(SUMIF($A$2:A74,"&lt;&gt;",L$2:L74),2)),IF(OR(A75="",AND(ISNUMBER(posicao_contratual!$AL75),posicao_contratual!$AL75&gt;4),posicao_contratual!W75="",NOT(ISNUMBER(historico_VU!G75))),"",ROUND(posicao_contratual!W75*historico_VU!G75,2)))</f>
        <v/>
      </c>
      <c r="M75" s="85" t="str">
        <f>IF(OR(posicao_contratual!J75="",posicao_contratual!N75=""),"",ROUND(MAX(posicao_contratual!J75+posicao_contratual!H75-posicao_contratual!N75,0),2))</f>
        <v/>
      </c>
      <c r="N75" s="79" t="str">
        <f>IF(AND(A75="",A74&lt;&gt;"",COUNTIF(A76:$A$200,"&lt;&gt;")=0),IF(COUNT(N$2:N74)=0,"",ROUND(SUMIF($A$2:A74,"&lt;&gt;",N$2:N74),2)),IF(OR(M75="",NOT(ISNUMBER(historico_VU!D75))),"",ROUND(M75*historico_VU!D75,2)))</f>
        <v/>
      </c>
      <c r="O75" s="85" t="str">
        <f>IF(OR(posicao_contratual!N75="",posicao_contratual!R75=""),"",ROUND(MAX(posicao_contratual!N75+posicao_contratual!L75-posicao_contratual!R75,0),2))</f>
        <v/>
      </c>
      <c r="P75" s="79" t="str">
        <f>IF(AND(A75="",A74&lt;&gt;"",COUNTIF(A76:$A$200,"&lt;&gt;")=0),IF(COUNT(P$2:P74)=0,"",ROUND(SUMIF($A$2:A74,"&lt;&gt;",P$2:P74),2)),IF(OR(O75="",NOT(ISNUMBER(historico_VU!E75))),"",ROUND(O75*historico_VU!E75,2)))</f>
        <v/>
      </c>
      <c r="Q75" s="85" t="str">
        <f>IF(OR(posicao_contratual!R75="",posicao_contratual!V75=""),"",ROUND(MAX(posicao_contratual!R75+posicao_contratual!P75-posicao_contratual!V75,0),2))</f>
        <v/>
      </c>
      <c r="R75" s="79" t="str">
        <f>IF(AND(A75="",A74&lt;&gt;"",COUNTIF(A76:$A$200,"&lt;&gt;")=0),IF(COUNT(R$2:R74)=0,"",ROUND(SUMIF($A$2:A74,"&lt;&gt;",R$2:R74),2)),IF(OR(Q75="",NOT(ISNUMBER(historico_VU!F75))),"",ROUND(Q75*historico_VU!F75,2)))</f>
        <v/>
      </c>
      <c r="S75" s="21"/>
      <c r="T75" s="22" t="str">
        <f>IF(AND(A75="",A74&lt;&gt;"",COUNTIF(A76:$A$200,"&lt;&gt;")=0),IF(COUNT(T$2:T74)=0,"",ROUND(SUMIF($A$2:A74,"&lt;&gt;",T$2:T74),2)),IF(OR(S75="",NOT(ISNUMBER(historico_VU!G75))),"",ROUND(S75*historico_VU!G75,2)))</f>
        <v/>
      </c>
      <c r="U75" s="86" t="str">
        <f>IF(AND(A75="",A74&lt;&gt;"",COUNTIF(A76:$A$200,"&lt;&gt;")=0),"TOTAL",IF(A75="","",posicao_contratual!X75))</f>
        <v/>
      </c>
      <c r="V75" s="86" t="str">
        <f>IF(A75="","",posicao_contratual!X75)</f>
        <v/>
      </c>
      <c r="W75" s="14"/>
      <c r="X75" s="14"/>
      <c r="Y75" s="14"/>
      <c r="Z75" s="13"/>
      <c r="AA75" s="13"/>
      <c r="AB75" s="85" t="str">
        <f>IF(OR(A75="",posicao_contratual!E75="",posicao_contratual!J75=""),"",ROUND(MAX(posicao_contratual!E75-posicao_contratual!J75,0),2))</f>
        <v/>
      </c>
      <c r="AC75" s="79" t="str">
        <f>IF(AND(A75="",A74&lt;&gt;"",COUNTIF(A76:$A$200,"&lt;&gt;")=0),IF(COUNT(AC$2:AC74)=0,"",ROUND(SUMIF($A$2:A74,"&lt;&gt;",AC$2:AC74),2)),IF(OR(AB75="",NOT(ISNUMBER(historico_VU!C75))),"",ROUND(AB75*historico_VU!C75,2)))</f>
        <v/>
      </c>
      <c r="AD75" s="145" t="str">
        <f>IF(A75="","",posicao_contratual!E75)</f>
        <v/>
      </c>
      <c r="AE75" s="145" t="str">
        <f>IF(A75="","",posicao_contratual!I75)</f>
        <v/>
      </c>
      <c r="AF75" s="145" t="str">
        <f>IF(A75="","",posicao_contratual!M75)</f>
        <v/>
      </c>
      <c r="AG75" s="145" t="str">
        <f>IF(A75="","",posicao_contratual!Q75)</f>
        <v/>
      </c>
      <c r="AH75" s="145" t="str">
        <f>IF(A75="","",posicao_contratual!U75)</f>
        <v/>
      </c>
      <c r="AI75" s="145" t="str">
        <f>IF(A75="","",posicao_contratual!G75)</f>
        <v/>
      </c>
      <c r="AJ75" s="145" t="str">
        <f>IF(A75="","",posicao_contratual!K75)</f>
        <v/>
      </c>
      <c r="AK75" s="145" t="str">
        <f>IF(A75="","",posicao_contratual!O75)</f>
        <v/>
      </c>
      <c r="AL75" s="145" t="str">
        <f>IF(A75="","",posicao_contratual!S75)</f>
        <v/>
      </c>
      <c r="AM75" s="145" t="str">
        <f>IF(A75="","",posicao_contratual!W75)</f>
        <v/>
      </c>
      <c r="AN75" s="146" t="str">
        <f>IF(A75="","",posicao_contratual!X75)</f>
        <v/>
      </c>
      <c r="AO75" t="str">
        <f>IF($A75="","",ROUND(SUMIFS(itens_Consumidos!$E$2:$E$200,itens_Consumidos!$A$2:$A$200,$A75),2))</f>
        <v/>
      </c>
      <c r="AP75" t="str">
        <f t="shared" si="12"/>
        <v/>
      </c>
      <c r="AQ75" t="str">
        <f>IF(OR($A75="",AB75="",MEMORIA_RESULTADOS!$I$258=""),"",ROUND(AB75*$C75*(MEMORIA_RESULTADOS!$I$258-1),2))</f>
        <v/>
      </c>
      <c r="AR75" t="str">
        <f>IF(OR($A75="",AP75="",MEMORIA_RESULTADOS!$I$258=""),"",ROUND(AP75*$C75*(parametros!$F$2-MEMORIA_RESULTADOS!$I$258),2))</f>
        <v/>
      </c>
      <c r="AS75" t="str">
        <f>IF($A75="","",ROUND(SUMIFS(itens_Consumidos!$G$2:$G$200,itens_Consumidos!$A$2:$A$200,$A75),2))</f>
        <v/>
      </c>
      <c r="AT75" t="str">
        <f t="shared" si="13"/>
        <v/>
      </c>
      <c r="AU75" t="str">
        <f>IF(OR($A75="",M75="",MEMORIA_RESULTADOS!$I$259=""),"",ROUND(M75*$C75*(MEMORIA_RESULTADOS!$I$259-1),2))</f>
        <v/>
      </c>
      <c r="AV75" t="str">
        <f>IF(OR($A75="",AT75="",MEMORIA_RESULTADOS!$I$259=""),"",ROUND(AT75*$C75*(parametros!$F$3-MEMORIA_RESULTADOS!$I$259),2))</f>
        <v/>
      </c>
      <c r="AW75" t="str">
        <f>IF($A75="","",ROUND(SUMIFS(itens_Consumidos!$I$2:$I$200,itens_Consumidos!$A$2:$A$200,$A75),2))</f>
        <v/>
      </c>
      <c r="AX75" t="str">
        <f t="shared" si="14"/>
        <v/>
      </c>
      <c r="AY75" t="str">
        <f>IF(OR($A75="",O75="",MEMORIA_RESULTADOS!$I$260=""),"",ROUND(O75*$C75*(MEMORIA_RESULTADOS!$I$260-1),2))</f>
        <v/>
      </c>
      <c r="AZ75" t="str">
        <f>IF(OR($A75="",AX75="",MEMORIA_RESULTADOS!$I$260=""),"",ROUND(AX75*$C75*(parametros!$F$4-MEMORIA_RESULTADOS!$I$260),2))</f>
        <v/>
      </c>
      <c r="BA75" t="str">
        <f>IF($A75="","",ROUND(SUMIFS(itens_Consumidos!$K$2:$K$200,itens_Consumidos!$A$2:$A$200,$A75),2))</f>
        <v/>
      </c>
      <c r="BB75" t="str">
        <f t="shared" si="15"/>
        <v/>
      </c>
      <c r="BC75" t="str">
        <f>IF(OR($A75="",Q75="",MEMORIA_RESULTADOS!$I$261=""),"",ROUND(Q75*$C75*(MEMORIA_RESULTADOS!$I$261-1),2))</f>
        <v/>
      </c>
      <c r="BD75" t="str">
        <f>IF(OR($A75="",BB75="",MEMORIA_RESULTADOS!$I$261=""),"",ROUND(BB75*$C75*(parametros!$F$5-MEMORIA_RESULTADOS!$I$261),2))</f>
        <v/>
      </c>
      <c r="BE75" t="str">
        <f>IF($A75="","",ROUND(SUMIFS(itens_Consumidos!$M$2:$M$200,itens_Consumidos!$A$2:$A$200,$A75),2))</f>
        <v/>
      </c>
      <c r="BF75" t="str">
        <f t="shared" si="16"/>
        <v/>
      </c>
      <c r="BG75" t="str">
        <f>IF(OR($A75="",S75="",MEMORIA_RESULTADOS!$I$262=""),"",ROUND(S75*$C75*(MEMORIA_RESULTADOS!$I$262-1),2))</f>
        <v/>
      </c>
      <c r="BH75" t="str">
        <f>IF(OR($A75="",BF75="",MEMORIA_RESULTADOS!$I$262=""),"",ROUND(BF75*$C75*(parametros!$F$6-MEMORIA_RESULTADOS!$I$262),2))</f>
        <v/>
      </c>
      <c r="BI75" t="str">
        <f>IF($A75="","",IF(posicao_contratual!$AL75="","",posicao_contratual!$AL75))</f>
        <v/>
      </c>
    </row>
    <row r="76" spans="1:61" x14ac:dyDescent="0.35">
      <c r="A76" s="81"/>
      <c r="B76" s="82" t="str">
        <f t="shared" si="17"/>
        <v/>
      </c>
      <c r="C76" s="83"/>
      <c r="D76" s="79" t="str">
        <f>IF(AND(A76="",A75&lt;&gt;"",COUNTIF(A77:$A$200,"&lt;&gt;")=0),ROUND(SUMIF($A$2:A75,"&lt;&gt;",$D$2:D75),2),IF(OR(A76="",B76="",C76=""),"",ROUND(B76*C76,2)))</f>
        <v/>
      </c>
      <c r="E76" s="84"/>
      <c r="F76" s="79" t="str">
        <f>IF(AND(A76="",A75&lt;&gt;"",COUNTIF(A77:$A$200,"&lt;&gt;")=0),IF(COUNT(F$2:F75)=0,"",ROUND(SUMIF($A$2:A75,"&lt;&gt;",F$2:F75),2)),IF(OR(A76="",AND(ISNUMBER(posicao_contratual!$AL76),posicao_contratual!$AL76&gt;1),posicao_contratual!K76="",NOT(ISNUMBER(historico_VU!D76))),"",ROUND(posicao_contratual!K76*historico_VU!D76,2)))</f>
        <v/>
      </c>
      <c r="G76" s="84"/>
      <c r="H76" s="79" t="str">
        <f>IF(AND(A76="",A75&lt;&gt;"",COUNTIF(A77:$A$200,"&lt;&gt;")=0),IF(COUNT(H$2:H75)=0,"",ROUND(SUMIF($A$2:A75,"&lt;&gt;",H$2:H75),2)),IF(OR(A76="",AND(ISNUMBER(posicao_contratual!$AL76),posicao_contratual!$AL76&gt;2),posicao_contratual!O76="",NOT(ISNUMBER(historico_VU!E76))),"",ROUND(posicao_contratual!O76*historico_VU!E76,2)))</f>
        <v/>
      </c>
      <c r="I76" s="84"/>
      <c r="J76" s="79" t="str">
        <f>IF(AND(A76="",A75&lt;&gt;"",COUNTIF(A77:$A$200,"&lt;&gt;")=0),IF(COUNT(J$2:J75)=0,"",ROUND(SUMIF($A$2:A75,"&lt;&gt;",J$2:J75),2)),IF(OR(A76="",AND(ISNUMBER(posicao_contratual!$AL76),posicao_contratual!$AL76&gt;3),posicao_contratual!S76="",NOT(ISNUMBER(historico_VU!F76))),"",ROUND(posicao_contratual!S76*historico_VU!F76,2)))</f>
        <v/>
      </c>
      <c r="K76" s="84"/>
      <c r="L76" s="79" t="str">
        <f>IF(AND(A76="",A75&lt;&gt;"",COUNTIF(A77:$A$200,"&lt;&gt;")=0),IF(COUNT(L$2:L75)=0,"",ROUND(SUMIF($A$2:A75,"&lt;&gt;",L$2:L75),2)),IF(OR(A76="",AND(ISNUMBER(posicao_contratual!$AL76),posicao_contratual!$AL76&gt;4),posicao_contratual!W76="",NOT(ISNUMBER(historico_VU!G76))),"",ROUND(posicao_contratual!W76*historico_VU!G76,2)))</f>
        <v/>
      </c>
      <c r="M76" s="85" t="str">
        <f>IF(OR(posicao_contratual!J76="",posicao_contratual!N76=""),"",ROUND(MAX(posicao_contratual!J76+posicao_contratual!H76-posicao_contratual!N76,0),2))</f>
        <v/>
      </c>
      <c r="N76" s="79" t="str">
        <f>IF(AND(A76="",A75&lt;&gt;"",COUNTIF(A77:$A$200,"&lt;&gt;")=0),IF(COUNT(N$2:N75)=0,"",ROUND(SUMIF($A$2:A75,"&lt;&gt;",N$2:N75),2)),IF(OR(M76="",NOT(ISNUMBER(historico_VU!D76))),"",ROUND(M76*historico_VU!D76,2)))</f>
        <v/>
      </c>
      <c r="O76" s="85" t="str">
        <f>IF(OR(posicao_contratual!N76="",posicao_contratual!R76=""),"",ROUND(MAX(posicao_contratual!N76+posicao_contratual!L76-posicao_contratual!R76,0),2))</f>
        <v/>
      </c>
      <c r="P76" s="79" t="str">
        <f>IF(AND(A76="",A75&lt;&gt;"",COUNTIF(A77:$A$200,"&lt;&gt;")=0),IF(COUNT(P$2:P75)=0,"",ROUND(SUMIF($A$2:A75,"&lt;&gt;",P$2:P75),2)),IF(OR(O76="",NOT(ISNUMBER(historico_VU!E76))),"",ROUND(O76*historico_VU!E76,2)))</f>
        <v/>
      </c>
      <c r="Q76" s="85" t="str">
        <f>IF(OR(posicao_contratual!R76="",posicao_contratual!V76=""),"",ROUND(MAX(posicao_contratual!R76+posicao_contratual!P76-posicao_contratual!V76,0),2))</f>
        <v/>
      </c>
      <c r="R76" s="79" t="str">
        <f>IF(AND(A76="",A75&lt;&gt;"",COUNTIF(A77:$A$200,"&lt;&gt;")=0),IF(COUNT(R$2:R75)=0,"",ROUND(SUMIF($A$2:A75,"&lt;&gt;",R$2:R75),2)),IF(OR(Q76="",NOT(ISNUMBER(historico_VU!F76))),"",ROUND(Q76*historico_VU!F76,2)))</f>
        <v/>
      </c>
      <c r="S76" s="21"/>
      <c r="T76" s="22" t="str">
        <f>IF(AND(A76="",A75&lt;&gt;"",COUNTIF(A77:$A$200,"&lt;&gt;")=0),IF(COUNT(T$2:T75)=0,"",ROUND(SUMIF($A$2:A75,"&lt;&gt;",T$2:T75),2)),IF(OR(S76="",NOT(ISNUMBER(historico_VU!G76))),"",ROUND(S76*historico_VU!G76,2)))</f>
        <v/>
      </c>
      <c r="U76" s="86" t="str">
        <f>IF(AND(A76="",A75&lt;&gt;"",COUNTIF(A77:$A$200,"&lt;&gt;")=0),"TOTAL",IF(A76="","",posicao_contratual!X76))</f>
        <v/>
      </c>
      <c r="V76" s="86" t="str">
        <f>IF(A76="","",posicao_contratual!X76)</f>
        <v/>
      </c>
      <c r="W76" s="14"/>
      <c r="X76" s="14"/>
      <c r="Y76" s="14"/>
      <c r="Z76" s="13"/>
      <c r="AA76" s="13"/>
      <c r="AB76" s="85" t="str">
        <f>IF(OR(A76="",posicao_contratual!E76="",posicao_contratual!J76=""),"",ROUND(MAX(posicao_contratual!E76-posicao_contratual!J76,0),2))</f>
        <v/>
      </c>
      <c r="AC76" s="79" t="str">
        <f>IF(AND(A76="",A75&lt;&gt;"",COUNTIF(A77:$A$200,"&lt;&gt;")=0),IF(COUNT(AC$2:AC75)=0,"",ROUND(SUMIF($A$2:A75,"&lt;&gt;",AC$2:AC75),2)),IF(OR(AB76="",NOT(ISNUMBER(historico_VU!C76))),"",ROUND(AB76*historico_VU!C76,2)))</f>
        <v/>
      </c>
      <c r="AD76" s="145" t="str">
        <f>IF(A76="","",posicao_contratual!E76)</f>
        <v/>
      </c>
      <c r="AE76" s="145" t="str">
        <f>IF(A76="","",posicao_contratual!I76)</f>
        <v/>
      </c>
      <c r="AF76" s="145" t="str">
        <f>IF(A76="","",posicao_contratual!M76)</f>
        <v/>
      </c>
      <c r="AG76" s="145" t="str">
        <f>IF(A76="","",posicao_contratual!Q76)</f>
        <v/>
      </c>
      <c r="AH76" s="145" t="str">
        <f>IF(A76="","",posicao_contratual!U76)</f>
        <v/>
      </c>
      <c r="AI76" s="145" t="str">
        <f>IF(A76="","",posicao_contratual!G76)</f>
        <v/>
      </c>
      <c r="AJ76" s="145" t="str">
        <f>IF(A76="","",posicao_contratual!K76)</f>
        <v/>
      </c>
      <c r="AK76" s="145" t="str">
        <f>IF(A76="","",posicao_contratual!O76)</f>
        <v/>
      </c>
      <c r="AL76" s="145" t="str">
        <f>IF(A76="","",posicao_contratual!S76)</f>
        <v/>
      </c>
      <c r="AM76" s="145" t="str">
        <f>IF(A76="","",posicao_contratual!W76)</f>
        <v/>
      </c>
      <c r="AN76" s="146" t="str">
        <f>IF(A76="","",posicao_contratual!X76)</f>
        <v/>
      </c>
      <c r="AO76" t="str">
        <f>IF($A76="","",ROUND(SUMIFS(itens_Consumidos!$E$2:$E$200,itens_Consumidos!$A$2:$A$200,$A76),2))</f>
        <v/>
      </c>
      <c r="AP76" t="str">
        <f t="shared" si="12"/>
        <v/>
      </c>
      <c r="AQ76" t="str">
        <f>IF(OR($A76="",AB76="",MEMORIA_RESULTADOS!$I$258=""),"",ROUND(AB76*$C76*(MEMORIA_RESULTADOS!$I$258-1),2))</f>
        <v/>
      </c>
      <c r="AR76" t="str">
        <f>IF(OR($A76="",AP76="",MEMORIA_RESULTADOS!$I$258=""),"",ROUND(AP76*$C76*(parametros!$F$2-MEMORIA_RESULTADOS!$I$258),2))</f>
        <v/>
      </c>
      <c r="AS76" t="str">
        <f>IF($A76="","",ROUND(SUMIFS(itens_Consumidos!$G$2:$G$200,itens_Consumidos!$A$2:$A$200,$A76),2))</f>
        <v/>
      </c>
      <c r="AT76" t="str">
        <f t="shared" si="13"/>
        <v/>
      </c>
      <c r="AU76" t="str">
        <f>IF(OR($A76="",M76="",MEMORIA_RESULTADOS!$I$259=""),"",ROUND(M76*$C76*(MEMORIA_RESULTADOS!$I$259-1),2))</f>
        <v/>
      </c>
      <c r="AV76" t="str">
        <f>IF(OR($A76="",AT76="",MEMORIA_RESULTADOS!$I$259=""),"",ROUND(AT76*$C76*(parametros!$F$3-MEMORIA_RESULTADOS!$I$259),2))</f>
        <v/>
      </c>
      <c r="AW76" t="str">
        <f>IF($A76="","",ROUND(SUMIFS(itens_Consumidos!$I$2:$I$200,itens_Consumidos!$A$2:$A$200,$A76),2))</f>
        <v/>
      </c>
      <c r="AX76" t="str">
        <f t="shared" si="14"/>
        <v/>
      </c>
      <c r="AY76" t="str">
        <f>IF(OR($A76="",O76="",MEMORIA_RESULTADOS!$I$260=""),"",ROUND(O76*$C76*(MEMORIA_RESULTADOS!$I$260-1),2))</f>
        <v/>
      </c>
      <c r="AZ76" t="str">
        <f>IF(OR($A76="",AX76="",MEMORIA_RESULTADOS!$I$260=""),"",ROUND(AX76*$C76*(parametros!$F$4-MEMORIA_RESULTADOS!$I$260),2))</f>
        <v/>
      </c>
      <c r="BA76" t="str">
        <f>IF($A76="","",ROUND(SUMIFS(itens_Consumidos!$K$2:$K$200,itens_Consumidos!$A$2:$A$200,$A76),2))</f>
        <v/>
      </c>
      <c r="BB76" t="str">
        <f t="shared" si="15"/>
        <v/>
      </c>
      <c r="BC76" t="str">
        <f>IF(OR($A76="",Q76="",MEMORIA_RESULTADOS!$I$261=""),"",ROUND(Q76*$C76*(MEMORIA_RESULTADOS!$I$261-1),2))</f>
        <v/>
      </c>
      <c r="BD76" t="str">
        <f>IF(OR($A76="",BB76="",MEMORIA_RESULTADOS!$I$261=""),"",ROUND(BB76*$C76*(parametros!$F$5-MEMORIA_RESULTADOS!$I$261),2))</f>
        <v/>
      </c>
      <c r="BE76" t="str">
        <f>IF($A76="","",ROUND(SUMIFS(itens_Consumidos!$M$2:$M$200,itens_Consumidos!$A$2:$A$200,$A76),2))</f>
        <v/>
      </c>
      <c r="BF76" t="str">
        <f t="shared" si="16"/>
        <v/>
      </c>
      <c r="BG76" t="str">
        <f>IF(OR($A76="",S76="",MEMORIA_RESULTADOS!$I$262=""),"",ROUND(S76*$C76*(MEMORIA_RESULTADOS!$I$262-1),2))</f>
        <v/>
      </c>
      <c r="BH76" t="str">
        <f>IF(OR($A76="",BF76="",MEMORIA_RESULTADOS!$I$262=""),"",ROUND(BF76*$C76*(parametros!$F$6-MEMORIA_RESULTADOS!$I$262),2))</f>
        <v/>
      </c>
      <c r="BI76" t="str">
        <f>IF($A76="","",IF(posicao_contratual!$AL76="","",posicao_contratual!$AL76))</f>
        <v/>
      </c>
    </row>
    <row r="77" spans="1:61" x14ac:dyDescent="0.35">
      <c r="A77" s="81"/>
      <c r="B77" s="82" t="str">
        <f t="shared" si="17"/>
        <v/>
      </c>
      <c r="C77" s="83"/>
      <c r="D77" s="79" t="str">
        <f>IF(AND(A77="",A76&lt;&gt;"",COUNTIF(A78:$A$200,"&lt;&gt;")=0),ROUND(SUMIF($A$2:A76,"&lt;&gt;",$D$2:D76),2),IF(OR(A77="",B77="",C77=""),"",ROUND(B77*C77,2)))</f>
        <v/>
      </c>
      <c r="E77" s="84"/>
      <c r="F77" s="79" t="str">
        <f>IF(AND(A77="",A76&lt;&gt;"",COUNTIF(A78:$A$200,"&lt;&gt;")=0),IF(COUNT(F$2:F76)=0,"",ROUND(SUMIF($A$2:A76,"&lt;&gt;",F$2:F76),2)),IF(OR(A77="",AND(ISNUMBER(posicao_contratual!$AL77),posicao_contratual!$AL77&gt;1),posicao_contratual!K77="",NOT(ISNUMBER(historico_VU!D77))),"",ROUND(posicao_contratual!K77*historico_VU!D77,2)))</f>
        <v/>
      </c>
      <c r="G77" s="84"/>
      <c r="H77" s="79" t="str">
        <f>IF(AND(A77="",A76&lt;&gt;"",COUNTIF(A78:$A$200,"&lt;&gt;")=0),IF(COUNT(H$2:H76)=0,"",ROUND(SUMIF($A$2:A76,"&lt;&gt;",H$2:H76),2)),IF(OR(A77="",AND(ISNUMBER(posicao_contratual!$AL77),posicao_contratual!$AL77&gt;2),posicao_contratual!O77="",NOT(ISNUMBER(historico_VU!E77))),"",ROUND(posicao_contratual!O77*historico_VU!E77,2)))</f>
        <v/>
      </c>
      <c r="I77" s="84"/>
      <c r="J77" s="79" t="str">
        <f>IF(AND(A77="",A76&lt;&gt;"",COUNTIF(A78:$A$200,"&lt;&gt;")=0),IF(COUNT(J$2:J76)=0,"",ROUND(SUMIF($A$2:A76,"&lt;&gt;",J$2:J76),2)),IF(OR(A77="",AND(ISNUMBER(posicao_contratual!$AL77),posicao_contratual!$AL77&gt;3),posicao_contratual!S77="",NOT(ISNUMBER(historico_VU!F77))),"",ROUND(posicao_contratual!S77*historico_VU!F77,2)))</f>
        <v/>
      </c>
      <c r="K77" s="84"/>
      <c r="L77" s="79" t="str">
        <f>IF(AND(A77="",A76&lt;&gt;"",COUNTIF(A78:$A$200,"&lt;&gt;")=0),IF(COUNT(L$2:L76)=0,"",ROUND(SUMIF($A$2:A76,"&lt;&gt;",L$2:L76),2)),IF(OR(A77="",AND(ISNUMBER(posicao_contratual!$AL77),posicao_contratual!$AL77&gt;4),posicao_contratual!W77="",NOT(ISNUMBER(historico_VU!G77))),"",ROUND(posicao_contratual!W77*historico_VU!G77,2)))</f>
        <v/>
      </c>
      <c r="M77" s="85" t="str">
        <f>IF(OR(posicao_contratual!J77="",posicao_contratual!N77=""),"",ROUND(MAX(posicao_contratual!J77+posicao_contratual!H77-posicao_contratual!N77,0),2))</f>
        <v/>
      </c>
      <c r="N77" s="79" t="str">
        <f>IF(AND(A77="",A76&lt;&gt;"",COUNTIF(A78:$A$200,"&lt;&gt;")=0),IF(COUNT(N$2:N76)=0,"",ROUND(SUMIF($A$2:A76,"&lt;&gt;",N$2:N76),2)),IF(OR(M77="",NOT(ISNUMBER(historico_VU!D77))),"",ROUND(M77*historico_VU!D77,2)))</f>
        <v/>
      </c>
      <c r="O77" s="85" t="str">
        <f>IF(OR(posicao_contratual!N77="",posicao_contratual!R77=""),"",ROUND(MAX(posicao_contratual!N77+posicao_contratual!L77-posicao_contratual!R77,0),2))</f>
        <v/>
      </c>
      <c r="P77" s="79" t="str">
        <f>IF(AND(A77="",A76&lt;&gt;"",COUNTIF(A78:$A$200,"&lt;&gt;")=0),IF(COUNT(P$2:P76)=0,"",ROUND(SUMIF($A$2:A76,"&lt;&gt;",P$2:P76),2)),IF(OR(O77="",NOT(ISNUMBER(historico_VU!E77))),"",ROUND(O77*historico_VU!E77,2)))</f>
        <v/>
      </c>
      <c r="Q77" s="85" t="str">
        <f>IF(OR(posicao_contratual!R77="",posicao_contratual!V77=""),"",ROUND(MAX(posicao_contratual!R77+posicao_contratual!P77-posicao_contratual!V77,0),2))</f>
        <v/>
      </c>
      <c r="R77" s="79" t="str">
        <f>IF(AND(A77="",A76&lt;&gt;"",COUNTIF(A78:$A$200,"&lt;&gt;")=0),IF(COUNT(R$2:R76)=0,"",ROUND(SUMIF($A$2:A76,"&lt;&gt;",R$2:R76),2)),IF(OR(Q77="",NOT(ISNUMBER(historico_VU!F77))),"",ROUND(Q77*historico_VU!F77,2)))</f>
        <v/>
      </c>
      <c r="S77" s="21"/>
      <c r="T77" s="22" t="str">
        <f>IF(AND(A77="",A76&lt;&gt;"",COUNTIF(A78:$A$200,"&lt;&gt;")=0),IF(COUNT(T$2:T76)=0,"",ROUND(SUMIF($A$2:A76,"&lt;&gt;",T$2:T76),2)),IF(OR(S77="",NOT(ISNUMBER(historico_VU!G77))),"",ROUND(S77*historico_VU!G77,2)))</f>
        <v/>
      </c>
      <c r="U77" s="86" t="str">
        <f>IF(AND(A77="",A76&lt;&gt;"",COUNTIF(A78:$A$200,"&lt;&gt;")=0),"TOTAL",IF(A77="","",posicao_contratual!X77))</f>
        <v/>
      </c>
      <c r="V77" s="86" t="str">
        <f>IF(A77="","",posicao_contratual!X77)</f>
        <v/>
      </c>
      <c r="W77" s="14"/>
      <c r="X77" s="14"/>
      <c r="Y77" s="14"/>
      <c r="Z77" s="13"/>
      <c r="AA77" s="13"/>
      <c r="AB77" s="85" t="str">
        <f>IF(OR(A77="",posicao_contratual!E77="",posicao_contratual!J77=""),"",ROUND(MAX(posicao_contratual!E77-posicao_contratual!J77,0),2))</f>
        <v/>
      </c>
      <c r="AC77" s="79" t="str">
        <f>IF(AND(A77="",A76&lt;&gt;"",COUNTIF(A78:$A$200,"&lt;&gt;")=0),IF(COUNT(AC$2:AC76)=0,"",ROUND(SUMIF($A$2:A76,"&lt;&gt;",AC$2:AC76),2)),IF(OR(AB77="",NOT(ISNUMBER(historico_VU!C77))),"",ROUND(AB77*historico_VU!C77,2)))</f>
        <v/>
      </c>
      <c r="AD77" s="145" t="str">
        <f>IF(A77="","",posicao_contratual!E77)</f>
        <v/>
      </c>
      <c r="AE77" s="145" t="str">
        <f>IF(A77="","",posicao_contratual!I77)</f>
        <v/>
      </c>
      <c r="AF77" s="145" t="str">
        <f>IF(A77="","",posicao_contratual!M77)</f>
        <v/>
      </c>
      <c r="AG77" s="145" t="str">
        <f>IF(A77="","",posicao_contratual!Q77)</f>
        <v/>
      </c>
      <c r="AH77" s="145" t="str">
        <f>IF(A77="","",posicao_contratual!U77)</f>
        <v/>
      </c>
      <c r="AI77" s="145" t="str">
        <f>IF(A77="","",posicao_contratual!G77)</f>
        <v/>
      </c>
      <c r="AJ77" s="145" t="str">
        <f>IF(A77="","",posicao_contratual!K77)</f>
        <v/>
      </c>
      <c r="AK77" s="145" t="str">
        <f>IF(A77="","",posicao_contratual!O77)</f>
        <v/>
      </c>
      <c r="AL77" s="145" t="str">
        <f>IF(A77="","",posicao_contratual!S77)</f>
        <v/>
      </c>
      <c r="AM77" s="145" t="str">
        <f>IF(A77="","",posicao_contratual!W77)</f>
        <v/>
      </c>
      <c r="AN77" s="146" t="str">
        <f>IF(A77="","",posicao_contratual!X77)</f>
        <v/>
      </c>
      <c r="AO77" t="str">
        <f>IF($A77="","",ROUND(SUMIFS(itens_Consumidos!$E$2:$E$200,itens_Consumidos!$A$2:$A$200,$A77),2))</f>
        <v/>
      </c>
      <c r="AP77" t="str">
        <f t="shared" si="12"/>
        <v/>
      </c>
      <c r="AQ77" t="str">
        <f>IF(OR($A77="",AB77="",MEMORIA_RESULTADOS!$I$258=""),"",ROUND(AB77*$C77*(MEMORIA_RESULTADOS!$I$258-1),2))</f>
        <v/>
      </c>
      <c r="AR77" t="str">
        <f>IF(OR($A77="",AP77="",MEMORIA_RESULTADOS!$I$258=""),"",ROUND(AP77*$C77*(parametros!$F$2-MEMORIA_RESULTADOS!$I$258),2))</f>
        <v/>
      </c>
      <c r="AS77" t="str">
        <f>IF($A77="","",ROUND(SUMIFS(itens_Consumidos!$G$2:$G$200,itens_Consumidos!$A$2:$A$200,$A77),2))</f>
        <v/>
      </c>
      <c r="AT77" t="str">
        <f t="shared" si="13"/>
        <v/>
      </c>
      <c r="AU77" t="str">
        <f>IF(OR($A77="",M77="",MEMORIA_RESULTADOS!$I$259=""),"",ROUND(M77*$C77*(MEMORIA_RESULTADOS!$I$259-1),2))</f>
        <v/>
      </c>
      <c r="AV77" t="str">
        <f>IF(OR($A77="",AT77="",MEMORIA_RESULTADOS!$I$259=""),"",ROUND(AT77*$C77*(parametros!$F$3-MEMORIA_RESULTADOS!$I$259),2))</f>
        <v/>
      </c>
      <c r="AW77" t="str">
        <f>IF($A77="","",ROUND(SUMIFS(itens_Consumidos!$I$2:$I$200,itens_Consumidos!$A$2:$A$200,$A77),2))</f>
        <v/>
      </c>
      <c r="AX77" t="str">
        <f t="shared" si="14"/>
        <v/>
      </c>
      <c r="AY77" t="str">
        <f>IF(OR($A77="",O77="",MEMORIA_RESULTADOS!$I$260=""),"",ROUND(O77*$C77*(MEMORIA_RESULTADOS!$I$260-1),2))</f>
        <v/>
      </c>
      <c r="AZ77" t="str">
        <f>IF(OR($A77="",AX77="",MEMORIA_RESULTADOS!$I$260=""),"",ROUND(AX77*$C77*(parametros!$F$4-MEMORIA_RESULTADOS!$I$260),2))</f>
        <v/>
      </c>
      <c r="BA77" t="str">
        <f>IF($A77="","",ROUND(SUMIFS(itens_Consumidos!$K$2:$K$200,itens_Consumidos!$A$2:$A$200,$A77),2))</f>
        <v/>
      </c>
      <c r="BB77" t="str">
        <f t="shared" si="15"/>
        <v/>
      </c>
      <c r="BC77" t="str">
        <f>IF(OR($A77="",Q77="",MEMORIA_RESULTADOS!$I$261=""),"",ROUND(Q77*$C77*(MEMORIA_RESULTADOS!$I$261-1),2))</f>
        <v/>
      </c>
      <c r="BD77" t="str">
        <f>IF(OR($A77="",BB77="",MEMORIA_RESULTADOS!$I$261=""),"",ROUND(BB77*$C77*(parametros!$F$5-MEMORIA_RESULTADOS!$I$261),2))</f>
        <v/>
      </c>
      <c r="BE77" t="str">
        <f>IF($A77="","",ROUND(SUMIFS(itens_Consumidos!$M$2:$M$200,itens_Consumidos!$A$2:$A$200,$A77),2))</f>
        <v/>
      </c>
      <c r="BF77" t="str">
        <f t="shared" si="16"/>
        <v/>
      </c>
      <c r="BG77" t="str">
        <f>IF(OR($A77="",S77="",MEMORIA_RESULTADOS!$I$262=""),"",ROUND(S77*$C77*(MEMORIA_RESULTADOS!$I$262-1),2))</f>
        <v/>
      </c>
      <c r="BH77" t="str">
        <f>IF(OR($A77="",BF77="",MEMORIA_RESULTADOS!$I$262=""),"",ROUND(BF77*$C77*(parametros!$F$6-MEMORIA_RESULTADOS!$I$262),2))</f>
        <v/>
      </c>
      <c r="BI77" t="str">
        <f>IF($A77="","",IF(posicao_contratual!$AL77="","",posicao_contratual!$AL77))</f>
        <v/>
      </c>
    </row>
    <row r="78" spans="1:61" x14ac:dyDescent="0.35">
      <c r="A78" s="81"/>
      <c r="B78" s="82" t="str">
        <f t="shared" si="17"/>
        <v/>
      </c>
      <c r="C78" s="83"/>
      <c r="D78" s="79" t="str">
        <f>IF(AND(A78="",A77&lt;&gt;"",COUNTIF(A79:$A$200,"&lt;&gt;")=0),ROUND(SUMIF($A$2:A77,"&lt;&gt;",$D$2:D77),2),IF(OR(A78="",B78="",C78=""),"",ROUND(B78*C78,2)))</f>
        <v/>
      </c>
      <c r="E78" s="84"/>
      <c r="F78" s="79" t="str">
        <f>IF(AND(A78="",A77&lt;&gt;"",COUNTIF(A79:$A$200,"&lt;&gt;")=0),IF(COUNT(F$2:F77)=0,"",ROUND(SUMIF($A$2:A77,"&lt;&gt;",F$2:F77),2)),IF(OR(A78="",AND(ISNUMBER(posicao_contratual!$AL78),posicao_contratual!$AL78&gt;1),posicao_contratual!K78="",NOT(ISNUMBER(historico_VU!D78))),"",ROUND(posicao_contratual!K78*historico_VU!D78,2)))</f>
        <v/>
      </c>
      <c r="G78" s="84"/>
      <c r="H78" s="79" t="str">
        <f>IF(AND(A78="",A77&lt;&gt;"",COUNTIF(A79:$A$200,"&lt;&gt;")=0),IF(COUNT(H$2:H77)=0,"",ROUND(SUMIF($A$2:A77,"&lt;&gt;",H$2:H77),2)),IF(OR(A78="",AND(ISNUMBER(posicao_contratual!$AL78),posicao_contratual!$AL78&gt;2),posicao_contratual!O78="",NOT(ISNUMBER(historico_VU!E78))),"",ROUND(posicao_contratual!O78*historico_VU!E78,2)))</f>
        <v/>
      </c>
      <c r="I78" s="84"/>
      <c r="J78" s="79" t="str">
        <f>IF(AND(A78="",A77&lt;&gt;"",COUNTIF(A79:$A$200,"&lt;&gt;")=0),IF(COUNT(J$2:J77)=0,"",ROUND(SUMIF($A$2:A77,"&lt;&gt;",J$2:J77),2)),IF(OR(A78="",AND(ISNUMBER(posicao_contratual!$AL78),posicao_contratual!$AL78&gt;3),posicao_contratual!S78="",NOT(ISNUMBER(historico_VU!F78))),"",ROUND(posicao_contratual!S78*historico_VU!F78,2)))</f>
        <v/>
      </c>
      <c r="K78" s="84"/>
      <c r="L78" s="79" t="str">
        <f>IF(AND(A78="",A77&lt;&gt;"",COUNTIF(A79:$A$200,"&lt;&gt;")=0),IF(COUNT(L$2:L77)=0,"",ROUND(SUMIF($A$2:A77,"&lt;&gt;",L$2:L77),2)),IF(OR(A78="",AND(ISNUMBER(posicao_contratual!$AL78),posicao_contratual!$AL78&gt;4),posicao_contratual!W78="",NOT(ISNUMBER(historico_VU!G78))),"",ROUND(posicao_contratual!W78*historico_VU!G78,2)))</f>
        <v/>
      </c>
      <c r="M78" s="85" t="str">
        <f>IF(OR(posicao_contratual!J78="",posicao_contratual!N78=""),"",ROUND(MAX(posicao_contratual!J78+posicao_contratual!H78-posicao_contratual!N78,0),2))</f>
        <v/>
      </c>
      <c r="N78" s="79" t="str">
        <f>IF(AND(A78="",A77&lt;&gt;"",COUNTIF(A79:$A$200,"&lt;&gt;")=0),IF(COUNT(N$2:N77)=0,"",ROUND(SUMIF($A$2:A77,"&lt;&gt;",N$2:N77),2)),IF(OR(M78="",NOT(ISNUMBER(historico_VU!D78))),"",ROUND(M78*historico_VU!D78,2)))</f>
        <v/>
      </c>
      <c r="O78" s="85" t="str">
        <f>IF(OR(posicao_contratual!N78="",posicao_contratual!R78=""),"",ROUND(MAX(posicao_contratual!N78+posicao_contratual!L78-posicao_contratual!R78,0),2))</f>
        <v/>
      </c>
      <c r="P78" s="79" t="str">
        <f>IF(AND(A78="",A77&lt;&gt;"",COUNTIF(A79:$A$200,"&lt;&gt;")=0),IF(COUNT(P$2:P77)=0,"",ROUND(SUMIF($A$2:A77,"&lt;&gt;",P$2:P77),2)),IF(OR(O78="",NOT(ISNUMBER(historico_VU!E78))),"",ROUND(O78*historico_VU!E78,2)))</f>
        <v/>
      </c>
      <c r="Q78" s="85" t="str">
        <f>IF(OR(posicao_contratual!R78="",posicao_contratual!V78=""),"",ROUND(MAX(posicao_contratual!R78+posicao_contratual!P78-posicao_contratual!V78,0),2))</f>
        <v/>
      </c>
      <c r="R78" s="79" t="str">
        <f>IF(AND(A78="",A77&lt;&gt;"",COUNTIF(A79:$A$200,"&lt;&gt;")=0),IF(COUNT(R$2:R77)=0,"",ROUND(SUMIF($A$2:A77,"&lt;&gt;",R$2:R77),2)),IF(OR(Q78="",NOT(ISNUMBER(historico_VU!F78))),"",ROUND(Q78*historico_VU!F78,2)))</f>
        <v/>
      </c>
      <c r="S78" s="21"/>
      <c r="T78" s="22" t="str">
        <f>IF(AND(A78="",A77&lt;&gt;"",COUNTIF(A79:$A$200,"&lt;&gt;")=0),IF(COUNT(T$2:T77)=0,"",ROUND(SUMIF($A$2:A77,"&lt;&gt;",T$2:T77),2)),IF(OR(S78="",NOT(ISNUMBER(historico_VU!G78))),"",ROUND(S78*historico_VU!G78,2)))</f>
        <v/>
      </c>
      <c r="U78" s="86" t="str">
        <f>IF(AND(A78="",A77&lt;&gt;"",COUNTIF(A79:$A$200,"&lt;&gt;")=0),"TOTAL",IF(A78="","",posicao_contratual!X78))</f>
        <v/>
      </c>
      <c r="V78" s="86" t="str">
        <f>IF(A78="","",posicao_contratual!X78)</f>
        <v/>
      </c>
      <c r="W78" s="14"/>
      <c r="X78" s="14"/>
      <c r="Y78" s="14"/>
      <c r="Z78" s="13"/>
      <c r="AA78" s="13"/>
      <c r="AB78" s="85" t="str">
        <f>IF(OR(A78="",posicao_contratual!E78="",posicao_contratual!J78=""),"",ROUND(MAX(posicao_contratual!E78-posicao_contratual!J78,0),2))</f>
        <v/>
      </c>
      <c r="AC78" s="79" t="str">
        <f>IF(AND(A78="",A77&lt;&gt;"",COUNTIF(A79:$A$200,"&lt;&gt;")=0),IF(COUNT(AC$2:AC77)=0,"",ROUND(SUMIF($A$2:A77,"&lt;&gt;",AC$2:AC77),2)),IF(OR(AB78="",NOT(ISNUMBER(historico_VU!C78))),"",ROUND(AB78*historico_VU!C78,2)))</f>
        <v/>
      </c>
      <c r="AD78" s="145" t="str">
        <f>IF(A78="","",posicao_contratual!E78)</f>
        <v/>
      </c>
      <c r="AE78" s="145" t="str">
        <f>IF(A78="","",posicao_contratual!I78)</f>
        <v/>
      </c>
      <c r="AF78" s="145" t="str">
        <f>IF(A78="","",posicao_contratual!M78)</f>
        <v/>
      </c>
      <c r="AG78" s="145" t="str">
        <f>IF(A78="","",posicao_contratual!Q78)</f>
        <v/>
      </c>
      <c r="AH78" s="145" t="str">
        <f>IF(A78="","",posicao_contratual!U78)</f>
        <v/>
      </c>
      <c r="AI78" s="145" t="str">
        <f>IF(A78="","",posicao_contratual!G78)</f>
        <v/>
      </c>
      <c r="AJ78" s="145" t="str">
        <f>IF(A78="","",posicao_contratual!K78)</f>
        <v/>
      </c>
      <c r="AK78" s="145" t="str">
        <f>IF(A78="","",posicao_contratual!O78)</f>
        <v/>
      </c>
      <c r="AL78" s="145" t="str">
        <f>IF(A78="","",posicao_contratual!S78)</f>
        <v/>
      </c>
      <c r="AM78" s="145" t="str">
        <f>IF(A78="","",posicao_contratual!W78)</f>
        <v/>
      </c>
      <c r="AN78" s="146" t="str">
        <f>IF(A78="","",posicao_contratual!X78)</f>
        <v/>
      </c>
      <c r="AO78" t="str">
        <f>IF($A78="","",ROUND(SUMIFS(itens_Consumidos!$E$2:$E$200,itens_Consumidos!$A$2:$A$200,$A78),2))</f>
        <v/>
      </c>
      <c r="AP78" t="str">
        <f t="shared" si="12"/>
        <v/>
      </c>
      <c r="AQ78" t="str">
        <f>IF(OR($A78="",AB78="",MEMORIA_RESULTADOS!$I$258=""),"",ROUND(AB78*$C78*(MEMORIA_RESULTADOS!$I$258-1),2))</f>
        <v/>
      </c>
      <c r="AR78" t="str">
        <f>IF(OR($A78="",AP78="",MEMORIA_RESULTADOS!$I$258=""),"",ROUND(AP78*$C78*(parametros!$F$2-MEMORIA_RESULTADOS!$I$258),2))</f>
        <v/>
      </c>
      <c r="AS78" t="str">
        <f>IF($A78="","",ROUND(SUMIFS(itens_Consumidos!$G$2:$G$200,itens_Consumidos!$A$2:$A$200,$A78),2))</f>
        <v/>
      </c>
      <c r="AT78" t="str">
        <f t="shared" si="13"/>
        <v/>
      </c>
      <c r="AU78" t="str">
        <f>IF(OR($A78="",M78="",MEMORIA_RESULTADOS!$I$259=""),"",ROUND(M78*$C78*(MEMORIA_RESULTADOS!$I$259-1),2))</f>
        <v/>
      </c>
      <c r="AV78" t="str">
        <f>IF(OR($A78="",AT78="",MEMORIA_RESULTADOS!$I$259=""),"",ROUND(AT78*$C78*(parametros!$F$3-MEMORIA_RESULTADOS!$I$259),2))</f>
        <v/>
      </c>
      <c r="AW78" t="str">
        <f>IF($A78="","",ROUND(SUMIFS(itens_Consumidos!$I$2:$I$200,itens_Consumidos!$A$2:$A$200,$A78),2))</f>
        <v/>
      </c>
      <c r="AX78" t="str">
        <f t="shared" si="14"/>
        <v/>
      </c>
      <c r="AY78" t="str">
        <f>IF(OR($A78="",O78="",MEMORIA_RESULTADOS!$I$260=""),"",ROUND(O78*$C78*(MEMORIA_RESULTADOS!$I$260-1),2))</f>
        <v/>
      </c>
      <c r="AZ78" t="str">
        <f>IF(OR($A78="",AX78="",MEMORIA_RESULTADOS!$I$260=""),"",ROUND(AX78*$C78*(parametros!$F$4-MEMORIA_RESULTADOS!$I$260),2))</f>
        <v/>
      </c>
      <c r="BA78" t="str">
        <f>IF($A78="","",ROUND(SUMIFS(itens_Consumidos!$K$2:$K$200,itens_Consumidos!$A$2:$A$200,$A78),2))</f>
        <v/>
      </c>
      <c r="BB78" t="str">
        <f t="shared" si="15"/>
        <v/>
      </c>
      <c r="BC78" t="str">
        <f>IF(OR($A78="",Q78="",MEMORIA_RESULTADOS!$I$261=""),"",ROUND(Q78*$C78*(MEMORIA_RESULTADOS!$I$261-1),2))</f>
        <v/>
      </c>
      <c r="BD78" t="str">
        <f>IF(OR($A78="",BB78="",MEMORIA_RESULTADOS!$I$261=""),"",ROUND(BB78*$C78*(parametros!$F$5-MEMORIA_RESULTADOS!$I$261),2))</f>
        <v/>
      </c>
      <c r="BE78" t="str">
        <f>IF($A78="","",ROUND(SUMIFS(itens_Consumidos!$M$2:$M$200,itens_Consumidos!$A$2:$A$200,$A78),2))</f>
        <v/>
      </c>
      <c r="BF78" t="str">
        <f t="shared" si="16"/>
        <v/>
      </c>
      <c r="BG78" t="str">
        <f>IF(OR($A78="",S78="",MEMORIA_RESULTADOS!$I$262=""),"",ROUND(S78*$C78*(MEMORIA_RESULTADOS!$I$262-1),2))</f>
        <v/>
      </c>
      <c r="BH78" t="str">
        <f>IF(OR($A78="",BF78="",MEMORIA_RESULTADOS!$I$262=""),"",ROUND(BF78*$C78*(parametros!$F$6-MEMORIA_RESULTADOS!$I$262),2))</f>
        <v/>
      </c>
      <c r="BI78" t="str">
        <f>IF($A78="","",IF(posicao_contratual!$AL78="","",posicao_contratual!$AL78))</f>
        <v/>
      </c>
    </row>
    <row r="79" spans="1:61" x14ac:dyDescent="0.35">
      <c r="A79" s="81"/>
      <c r="B79" s="82" t="str">
        <f t="shared" si="17"/>
        <v/>
      </c>
      <c r="C79" s="83"/>
      <c r="D79" s="79" t="str">
        <f>IF(AND(A79="",A78&lt;&gt;"",COUNTIF(A80:$A$200,"&lt;&gt;")=0),ROUND(SUMIF($A$2:A78,"&lt;&gt;",$D$2:D78),2),IF(OR(A79="",B79="",C79=""),"",ROUND(B79*C79,2)))</f>
        <v/>
      </c>
      <c r="E79" s="84"/>
      <c r="F79" s="79" t="str">
        <f>IF(AND(A79="",A78&lt;&gt;"",COUNTIF(A80:$A$200,"&lt;&gt;")=0),IF(COUNT(F$2:F78)=0,"",ROUND(SUMIF($A$2:A78,"&lt;&gt;",F$2:F78),2)),IF(OR(A79="",AND(ISNUMBER(posicao_contratual!$AL79),posicao_contratual!$AL79&gt;1),posicao_contratual!K79="",NOT(ISNUMBER(historico_VU!D79))),"",ROUND(posicao_contratual!K79*historico_VU!D79,2)))</f>
        <v/>
      </c>
      <c r="G79" s="84"/>
      <c r="H79" s="79" t="str">
        <f>IF(AND(A79="",A78&lt;&gt;"",COUNTIF(A80:$A$200,"&lt;&gt;")=0),IF(COUNT(H$2:H78)=0,"",ROUND(SUMIF($A$2:A78,"&lt;&gt;",H$2:H78),2)),IF(OR(A79="",AND(ISNUMBER(posicao_contratual!$AL79),posicao_contratual!$AL79&gt;2),posicao_contratual!O79="",NOT(ISNUMBER(historico_VU!E79))),"",ROUND(posicao_contratual!O79*historico_VU!E79,2)))</f>
        <v/>
      </c>
      <c r="I79" s="84"/>
      <c r="J79" s="79" t="str">
        <f>IF(AND(A79="",A78&lt;&gt;"",COUNTIF(A80:$A$200,"&lt;&gt;")=0),IF(COUNT(J$2:J78)=0,"",ROUND(SUMIF($A$2:A78,"&lt;&gt;",J$2:J78),2)),IF(OR(A79="",AND(ISNUMBER(posicao_contratual!$AL79),posicao_contratual!$AL79&gt;3),posicao_contratual!S79="",NOT(ISNUMBER(historico_VU!F79))),"",ROUND(posicao_contratual!S79*historico_VU!F79,2)))</f>
        <v/>
      </c>
      <c r="K79" s="84"/>
      <c r="L79" s="79" t="str">
        <f>IF(AND(A79="",A78&lt;&gt;"",COUNTIF(A80:$A$200,"&lt;&gt;")=0),IF(COUNT(L$2:L78)=0,"",ROUND(SUMIF($A$2:A78,"&lt;&gt;",L$2:L78),2)),IF(OR(A79="",AND(ISNUMBER(posicao_contratual!$AL79),posicao_contratual!$AL79&gt;4),posicao_contratual!W79="",NOT(ISNUMBER(historico_VU!G79))),"",ROUND(posicao_contratual!W79*historico_VU!G79,2)))</f>
        <v/>
      </c>
      <c r="M79" s="85" t="str">
        <f>IF(OR(posicao_contratual!J79="",posicao_contratual!N79=""),"",ROUND(MAX(posicao_contratual!J79+posicao_contratual!H79-posicao_contratual!N79,0),2))</f>
        <v/>
      </c>
      <c r="N79" s="79" t="str">
        <f>IF(AND(A79="",A78&lt;&gt;"",COUNTIF(A80:$A$200,"&lt;&gt;")=0),IF(COUNT(N$2:N78)=0,"",ROUND(SUMIF($A$2:A78,"&lt;&gt;",N$2:N78),2)),IF(OR(M79="",NOT(ISNUMBER(historico_VU!D79))),"",ROUND(M79*historico_VU!D79,2)))</f>
        <v/>
      </c>
      <c r="O79" s="85" t="str">
        <f>IF(OR(posicao_contratual!N79="",posicao_contratual!R79=""),"",ROUND(MAX(posicao_contratual!N79+posicao_contratual!L79-posicao_contratual!R79,0),2))</f>
        <v/>
      </c>
      <c r="P79" s="79" t="str">
        <f>IF(AND(A79="",A78&lt;&gt;"",COUNTIF(A80:$A$200,"&lt;&gt;")=0),IF(COUNT(P$2:P78)=0,"",ROUND(SUMIF($A$2:A78,"&lt;&gt;",P$2:P78),2)),IF(OR(O79="",NOT(ISNUMBER(historico_VU!E79))),"",ROUND(O79*historico_VU!E79,2)))</f>
        <v/>
      </c>
      <c r="Q79" s="85" t="str">
        <f>IF(OR(posicao_contratual!R79="",posicao_contratual!V79=""),"",ROUND(MAX(posicao_contratual!R79+posicao_contratual!P79-posicao_contratual!V79,0),2))</f>
        <v/>
      </c>
      <c r="R79" s="79" t="str">
        <f>IF(AND(A79="",A78&lt;&gt;"",COUNTIF(A80:$A$200,"&lt;&gt;")=0),IF(COUNT(R$2:R78)=0,"",ROUND(SUMIF($A$2:A78,"&lt;&gt;",R$2:R78),2)),IF(OR(Q79="",NOT(ISNUMBER(historico_VU!F79))),"",ROUND(Q79*historico_VU!F79,2)))</f>
        <v/>
      </c>
      <c r="S79" s="21"/>
      <c r="T79" s="22" t="str">
        <f>IF(AND(A79="",A78&lt;&gt;"",COUNTIF(A80:$A$200,"&lt;&gt;")=0),IF(COUNT(T$2:T78)=0,"",ROUND(SUMIF($A$2:A78,"&lt;&gt;",T$2:T78),2)),IF(OR(S79="",NOT(ISNUMBER(historico_VU!G79))),"",ROUND(S79*historico_VU!G79,2)))</f>
        <v/>
      </c>
      <c r="U79" s="86" t="str">
        <f>IF(AND(A79="",A78&lt;&gt;"",COUNTIF(A80:$A$200,"&lt;&gt;")=0),"TOTAL",IF(A79="","",posicao_contratual!X79))</f>
        <v/>
      </c>
      <c r="V79" s="86" t="str">
        <f>IF(A79="","",posicao_contratual!X79)</f>
        <v/>
      </c>
      <c r="W79" s="14"/>
      <c r="X79" s="14"/>
      <c r="Y79" s="14"/>
      <c r="Z79" s="13"/>
      <c r="AA79" s="13"/>
      <c r="AB79" s="85" t="str">
        <f>IF(OR(A79="",posicao_contratual!E79="",posicao_contratual!J79=""),"",ROUND(MAX(posicao_contratual!E79-posicao_contratual!J79,0),2))</f>
        <v/>
      </c>
      <c r="AC79" s="79" t="str">
        <f>IF(AND(A79="",A78&lt;&gt;"",COUNTIF(A80:$A$200,"&lt;&gt;")=0),IF(COUNT(AC$2:AC78)=0,"",ROUND(SUMIF($A$2:A78,"&lt;&gt;",AC$2:AC78),2)),IF(OR(AB79="",NOT(ISNUMBER(historico_VU!C79))),"",ROUND(AB79*historico_VU!C79,2)))</f>
        <v/>
      </c>
      <c r="AD79" s="145" t="str">
        <f>IF(A79="","",posicao_contratual!E79)</f>
        <v/>
      </c>
      <c r="AE79" s="145" t="str">
        <f>IF(A79="","",posicao_contratual!I79)</f>
        <v/>
      </c>
      <c r="AF79" s="145" t="str">
        <f>IF(A79="","",posicao_contratual!M79)</f>
        <v/>
      </c>
      <c r="AG79" s="145" t="str">
        <f>IF(A79="","",posicao_contratual!Q79)</f>
        <v/>
      </c>
      <c r="AH79" s="145" t="str">
        <f>IF(A79="","",posicao_contratual!U79)</f>
        <v/>
      </c>
      <c r="AI79" s="145" t="str">
        <f>IF(A79="","",posicao_contratual!G79)</f>
        <v/>
      </c>
      <c r="AJ79" s="145" t="str">
        <f>IF(A79="","",posicao_contratual!K79)</f>
        <v/>
      </c>
      <c r="AK79" s="145" t="str">
        <f>IF(A79="","",posicao_contratual!O79)</f>
        <v/>
      </c>
      <c r="AL79" s="145" t="str">
        <f>IF(A79="","",posicao_contratual!S79)</f>
        <v/>
      </c>
      <c r="AM79" s="145" t="str">
        <f>IF(A79="","",posicao_contratual!W79)</f>
        <v/>
      </c>
      <c r="AN79" s="146" t="str">
        <f>IF(A79="","",posicao_contratual!X79)</f>
        <v/>
      </c>
      <c r="AO79" t="str">
        <f>IF($A79="","",ROUND(SUMIFS(itens_Consumidos!$E$2:$E$200,itens_Consumidos!$A$2:$A$200,$A79),2))</f>
        <v/>
      </c>
      <c r="AP79" t="str">
        <f t="shared" si="12"/>
        <v/>
      </c>
      <c r="AQ79" t="str">
        <f>IF(OR($A79="",AB79="",MEMORIA_RESULTADOS!$I$258=""),"",ROUND(AB79*$C79*(MEMORIA_RESULTADOS!$I$258-1),2))</f>
        <v/>
      </c>
      <c r="AR79" t="str">
        <f>IF(OR($A79="",AP79="",MEMORIA_RESULTADOS!$I$258=""),"",ROUND(AP79*$C79*(parametros!$F$2-MEMORIA_RESULTADOS!$I$258),2))</f>
        <v/>
      </c>
      <c r="AS79" t="str">
        <f>IF($A79="","",ROUND(SUMIFS(itens_Consumidos!$G$2:$G$200,itens_Consumidos!$A$2:$A$200,$A79),2))</f>
        <v/>
      </c>
      <c r="AT79" t="str">
        <f t="shared" si="13"/>
        <v/>
      </c>
      <c r="AU79" t="str">
        <f>IF(OR($A79="",M79="",MEMORIA_RESULTADOS!$I$259=""),"",ROUND(M79*$C79*(MEMORIA_RESULTADOS!$I$259-1),2))</f>
        <v/>
      </c>
      <c r="AV79" t="str">
        <f>IF(OR($A79="",AT79="",MEMORIA_RESULTADOS!$I$259=""),"",ROUND(AT79*$C79*(parametros!$F$3-MEMORIA_RESULTADOS!$I$259),2))</f>
        <v/>
      </c>
      <c r="AW79" t="str">
        <f>IF($A79="","",ROUND(SUMIFS(itens_Consumidos!$I$2:$I$200,itens_Consumidos!$A$2:$A$200,$A79),2))</f>
        <v/>
      </c>
      <c r="AX79" t="str">
        <f t="shared" si="14"/>
        <v/>
      </c>
      <c r="AY79" t="str">
        <f>IF(OR($A79="",O79="",MEMORIA_RESULTADOS!$I$260=""),"",ROUND(O79*$C79*(MEMORIA_RESULTADOS!$I$260-1),2))</f>
        <v/>
      </c>
      <c r="AZ79" t="str">
        <f>IF(OR($A79="",AX79="",MEMORIA_RESULTADOS!$I$260=""),"",ROUND(AX79*$C79*(parametros!$F$4-MEMORIA_RESULTADOS!$I$260),2))</f>
        <v/>
      </c>
      <c r="BA79" t="str">
        <f>IF($A79="","",ROUND(SUMIFS(itens_Consumidos!$K$2:$K$200,itens_Consumidos!$A$2:$A$200,$A79),2))</f>
        <v/>
      </c>
      <c r="BB79" t="str">
        <f t="shared" si="15"/>
        <v/>
      </c>
      <c r="BC79" t="str">
        <f>IF(OR($A79="",Q79="",MEMORIA_RESULTADOS!$I$261=""),"",ROUND(Q79*$C79*(MEMORIA_RESULTADOS!$I$261-1),2))</f>
        <v/>
      </c>
      <c r="BD79" t="str">
        <f>IF(OR($A79="",BB79="",MEMORIA_RESULTADOS!$I$261=""),"",ROUND(BB79*$C79*(parametros!$F$5-MEMORIA_RESULTADOS!$I$261),2))</f>
        <v/>
      </c>
      <c r="BE79" t="str">
        <f>IF($A79="","",ROUND(SUMIFS(itens_Consumidos!$M$2:$M$200,itens_Consumidos!$A$2:$A$200,$A79),2))</f>
        <v/>
      </c>
      <c r="BF79" t="str">
        <f t="shared" si="16"/>
        <v/>
      </c>
      <c r="BG79" t="str">
        <f>IF(OR($A79="",S79="",MEMORIA_RESULTADOS!$I$262=""),"",ROUND(S79*$C79*(MEMORIA_RESULTADOS!$I$262-1),2))</f>
        <v/>
      </c>
      <c r="BH79" t="str">
        <f>IF(OR($A79="",BF79="",MEMORIA_RESULTADOS!$I$262=""),"",ROUND(BF79*$C79*(parametros!$F$6-MEMORIA_RESULTADOS!$I$262),2))</f>
        <v/>
      </c>
      <c r="BI79" t="str">
        <f>IF($A79="","",IF(posicao_contratual!$AL79="","",posicao_contratual!$AL79))</f>
        <v/>
      </c>
    </row>
    <row r="80" spans="1:61" x14ac:dyDescent="0.35">
      <c r="A80" s="81"/>
      <c r="B80" s="82" t="str">
        <f t="shared" si="17"/>
        <v/>
      </c>
      <c r="C80" s="83"/>
      <c r="D80" s="79" t="str">
        <f>IF(AND(A80="",A79&lt;&gt;"",COUNTIF(A81:$A$200,"&lt;&gt;")=0),ROUND(SUMIF($A$2:A79,"&lt;&gt;",$D$2:D79),2),IF(OR(A80="",B80="",C80=""),"",ROUND(B80*C80,2)))</f>
        <v/>
      </c>
      <c r="E80" s="84"/>
      <c r="F80" s="79" t="str">
        <f>IF(AND(A80="",A79&lt;&gt;"",COUNTIF(A81:$A$200,"&lt;&gt;")=0),IF(COUNT(F$2:F79)=0,"",ROUND(SUMIF($A$2:A79,"&lt;&gt;",F$2:F79),2)),IF(OR(A80="",AND(ISNUMBER(posicao_contratual!$AL80),posicao_contratual!$AL80&gt;1),posicao_contratual!K80="",NOT(ISNUMBER(historico_VU!D80))),"",ROUND(posicao_contratual!K80*historico_VU!D80,2)))</f>
        <v/>
      </c>
      <c r="G80" s="84"/>
      <c r="H80" s="79" t="str">
        <f>IF(AND(A80="",A79&lt;&gt;"",COUNTIF(A81:$A$200,"&lt;&gt;")=0),IF(COUNT(H$2:H79)=0,"",ROUND(SUMIF($A$2:A79,"&lt;&gt;",H$2:H79),2)),IF(OR(A80="",AND(ISNUMBER(posicao_contratual!$AL80),posicao_contratual!$AL80&gt;2),posicao_contratual!O80="",NOT(ISNUMBER(historico_VU!E80))),"",ROUND(posicao_contratual!O80*historico_VU!E80,2)))</f>
        <v/>
      </c>
      <c r="I80" s="84"/>
      <c r="J80" s="79" t="str">
        <f>IF(AND(A80="",A79&lt;&gt;"",COUNTIF(A81:$A$200,"&lt;&gt;")=0),IF(COUNT(J$2:J79)=0,"",ROUND(SUMIF($A$2:A79,"&lt;&gt;",J$2:J79),2)),IF(OR(A80="",AND(ISNUMBER(posicao_contratual!$AL80),posicao_contratual!$AL80&gt;3),posicao_contratual!S80="",NOT(ISNUMBER(historico_VU!F80))),"",ROUND(posicao_contratual!S80*historico_VU!F80,2)))</f>
        <v/>
      </c>
      <c r="K80" s="84"/>
      <c r="L80" s="79" t="str">
        <f>IF(AND(A80="",A79&lt;&gt;"",COUNTIF(A81:$A$200,"&lt;&gt;")=0),IF(COUNT(L$2:L79)=0,"",ROUND(SUMIF($A$2:A79,"&lt;&gt;",L$2:L79),2)),IF(OR(A80="",AND(ISNUMBER(posicao_contratual!$AL80),posicao_contratual!$AL80&gt;4),posicao_contratual!W80="",NOT(ISNUMBER(historico_VU!G80))),"",ROUND(posicao_contratual!W80*historico_VU!G80,2)))</f>
        <v/>
      </c>
      <c r="M80" s="85" t="str">
        <f>IF(OR(posicao_contratual!J80="",posicao_contratual!N80=""),"",ROUND(MAX(posicao_contratual!J80+posicao_contratual!H80-posicao_contratual!N80,0),2))</f>
        <v/>
      </c>
      <c r="N80" s="79" t="str">
        <f>IF(AND(A80="",A79&lt;&gt;"",COUNTIF(A81:$A$200,"&lt;&gt;")=0),IF(COUNT(N$2:N79)=0,"",ROUND(SUMIF($A$2:A79,"&lt;&gt;",N$2:N79),2)),IF(OR(M80="",NOT(ISNUMBER(historico_VU!D80))),"",ROUND(M80*historico_VU!D80,2)))</f>
        <v/>
      </c>
      <c r="O80" s="85" t="str">
        <f>IF(OR(posicao_contratual!N80="",posicao_contratual!R80=""),"",ROUND(MAX(posicao_contratual!N80+posicao_contratual!L80-posicao_contratual!R80,0),2))</f>
        <v/>
      </c>
      <c r="P80" s="79" t="str">
        <f>IF(AND(A80="",A79&lt;&gt;"",COUNTIF(A81:$A$200,"&lt;&gt;")=0),IF(COUNT(P$2:P79)=0,"",ROUND(SUMIF($A$2:A79,"&lt;&gt;",P$2:P79),2)),IF(OR(O80="",NOT(ISNUMBER(historico_VU!E80))),"",ROUND(O80*historico_VU!E80,2)))</f>
        <v/>
      </c>
      <c r="Q80" s="85" t="str">
        <f>IF(OR(posicao_contratual!R80="",posicao_contratual!V80=""),"",ROUND(MAX(posicao_contratual!R80+posicao_contratual!P80-posicao_contratual!V80,0),2))</f>
        <v/>
      </c>
      <c r="R80" s="79" t="str">
        <f>IF(AND(A80="",A79&lt;&gt;"",COUNTIF(A81:$A$200,"&lt;&gt;")=0),IF(COUNT(R$2:R79)=0,"",ROUND(SUMIF($A$2:A79,"&lt;&gt;",R$2:R79),2)),IF(OR(Q80="",NOT(ISNUMBER(historico_VU!F80))),"",ROUND(Q80*historico_VU!F80,2)))</f>
        <v/>
      </c>
      <c r="S80" s="21"/>
      <c r="T80" s="22" t="str">
        <f>IF(AND(A80="",A79&lt;&gt;"",COUNTIF(A81:$A$200,"&lt;&gt;")=0),IF(COUNT(T$2:T79)=0,"",ROUND(SUMIF($A$2:A79,"&lt;&gt;",T$2:T79),2)),IF(OR(S80="",NOT(ISNUMBER(historico_VU!G80))),"",ROUND(S80*historico_VU!G80,2)))</f>
        <v/>
      </c>
      <c r="U80" s="86" t="str">
        <f>IF(AND(A80="",A79&lt;&gt;"",COUNTIF(A81:$A$200,"&lt;&gt;")=0),"TOTAL",IF(A80="","",posicao_contratual!X80))</f>
        <v/>
      </c>
      <c r="V80" s="86" t="str">
        <f>IF(A80="","",posicao_contratual!X80)</f>
        <v/>
      </c>
      <c r="W80" s="14"/>
      <c r="X80" s="14"/>
      <c r="Y80" s="14"/>
      <c r="Z80" s="13"/>
      <c r="AA80" s="13"/>
      <c r="AB80" s="85" t="str">
        <f>IF(OR(A80="",posicao_contratual!E80="",posicao_contratual!J80=""),"",ROUND(MAX(posicao_contratual!E80-posicao_contratual!J80,0),2))</f>
        <v/>
      </c>
      <c r="AC80" s="79" t="str">
        <f>IF(AND(A80="",A79&lt;&gt;"",COUNTIF(A81:$A$200,"&lt;&gt;")=0),IF(COUNT(AC$2:AC79)=0,"",ROUND(SUMIF($A$2:A79,"&lt;&gt;",AC$2:AC79),2)),IF(OR(AB80="",NOT(ISNUMBER(historico_VU!C80))),"",ROUND(AB80*historico_VU!C80,2)))</f>
        <v/>
      </c>
      <c r="AD80" s="145" t="str">
        <f>IF(A80="","",posicao_contratual!E80)</f>
        <v/>
      </c>
      <c r="AE80" s="145" t="str">
        <f>IF(A80="","",posicao_contratual!I80)</f>
        <v/>
      </c>
      <c r="AF80" s="145" t="str">
        <f>IF(A80="","",posicao_contratual!M80)</f>
        <v/>
      </c>
      <c r="AG80" s="145" t="str">
        <f>IF(A80="","",posicao_contratual!Q80)</f>
        <v/>
      </c>
      <c r="AH80" s="145" t="str">
        <f>IF(A80="","",posicao_contratual!U80)</f>
        <v/>
      </c>
      <c r="AI80" s="145" t="str">
        <f>IF(A80="","",posicao_contratual!G80)</f>
        <v/>
      </c>
      <c r="AJ80" s="145" t="str">
        <f>IF(A80="","",posicao_contratual!K80)</f>
        <v/>
      </c>
      <c r="AK80" s="145" t="str">
        <f>IF(A80="","",posicao_contratual!O80)</f>
        <v/>
      </c>
      <c r="AL80" s="145" t="str">
        <f>IF(A80="","",posicao_contratual!S80)</f>
        <v/>
      </c>
      <c r="AM80" s="145" t="str">
        <f>IF(A80="","",posicao_contratual!W80)</f>
        <v/>
      </c>
      <c r="AN80" s="146" t="str">
        <f>IF(A80="","",posicao_contratual!X80)</f>
        <v/>
      </c>
      <c r="AO80" t="str">
        <f>IF($A80="","",ROUND(SUMIFS(itens_Consumidos!$E$2:$E$200,itens_Consumidos!$A$2:$A$200,$A80),2))</f>
        <v/>
      </c>
      <c r="AP80" t="str">
        <f t="shared" si="12"/>
        <v/>
      </c>
      <c r="AQ80" t="str">
        <f>IF(OR($A80="",AB80="",MEMORIA_RESULTADOS!$I$258=""),"",ROUND(AB80*$C80*(MEMORIA_RESULTADOS!$I$258-1),2))</f>
        <v/>
      </c>
      <c r="AR80" t="str">
        <f>IF(OR($A80="",AP80="",MEMORIA_RESULTADOS!$I$258=""),"",ROUND(AP80*$C80*(parametros!$F$2-MEMORIA_RESULTADOS!$I$258),2))</f>
        <v/>
      </c>
      <c r="AS80" t="str">
        <f>IF($A80="","",ROUND(SUMIFS(itens_Consumidos!$G$2:$G$200,itens_Consumidos!$A$2:$A$200,$A80),2))</f>
        <v/>
      </c>
      <c r="AT80" t="str">
        <f t="shared" si="13"/>
        <v/>
      </c>
      <c r="AU80" t="str">
        <f>IF(OR($A80="",M80="",MEMORIA_RESULTADOS!$I$259=""),"",ROUND(M80*$C80*(MEMORIA_RESULTADOS!$I$259-1),2))</f>
        <v/>
      </c>
      <c r="AV80" t="str">
        <f>IF(OR($A80="",AT80="",MEMORIA_RESULTADOS!$I$259=""),"",ROUND(AT80*$C80*(parametros!$F$3-MEMORIA_RESULTADOS!$I$259),2))</f>
        <v/>
      </c>
      <c r="AW80" t="str">
        <f>IF($A80="","",ROUND(SUMIFS(itens_Consumidos!$I$2:$I$200,itens_Consumidos!$A$2:$A$200,$A80),2))</f>
        <v/>
      </c>
      <c r="AX80" t="str">
        <f t="shared" si="14"/>
        <v/>
      </c>
      <c r="AY80" t="str">
        <f>IF(OR($A80="",O80="",MEMORIA_RESULTADOS!$I$260=""),"",ROUND(O80*$C80*(MEMORIA_RESULTADOS!$I$260-1),2))</f>
        <v/>
      </c>
      <c r="AZ80" t="str">
        <f>IF(OR($A80="",AX80="",MEMORIA_RESULTADOS!$I$260=""),"",ROUND(AX80*$C80*(parametros!$F$4-MEMORIA_RESULTADOS!$I$260),2))</f>
        <v/>
      </c>
      <c r="BA80" t="str">
        <f>IF($A80="","",ROUND(SUMIFS(itens_Consumidos!$K$2:$K$200,itens_Consumidos!$A$2:$A$200,$A80),2))</f>
        <v/>
      </c>
      <c r="BB80" t="str">
        <f t="shared" si="15"/>
        <v/>
      </c>
      <c r="BC80" t="str">
        <f>IF(OR($A80="",Q80="",MEMORIA_RESULTADOS!$I$261=""),"",ROUND(Q80*$C80*(MEMORIA_RESULTADOS!$I$261-1),2))</f>
        <v/>
      </c>
      <c r="BD80" t="str">
        <f>IF(OR($A80="",BB80="",MEMORIA_RESULTADOS!$I$261=""),"",ROUND(BB80*$C80*(parametros!$F$5-MEMORIA_RESULTADOS!$I$261),2))</f>
        <v/>
      </c>
      <c r="BE80" t="str">
        <f>IF($A80="","",ROUND(SUMIFS(itens_Consumidos!$M$2:$M$200,itens_Consumidos!$A$2:$A$200,$A80),2))</f>
        <v/>
      </c>
      <c r="BF80" t="str">
        <f t="shared" si="16"/>
        <v/>
      </c>
      <c r="BG80" t="str">
        <f>IF(OR($A80="",S80="",MEMORIA_RESULTADOS!$I$262=""),"",ROUND(S80*$C80*(MEMORIA_RESULTADOS!$I$262-1),2))</f>
        <v/>
      </c>
      <c r="BH80" t="str">
        <f>IF(OR($A80="",BF80="",MEMORIA_RESULTADOS!$I$262=""),"",ROUND(BF80*$C80*(parametros!$F$6-MEMORIA_RESULTADOS!$I$262),2))</f>
        <v/>
      </c>
      <c r="BI80" t="str">
        <f>IF($A80="","",IF(posicao_contratual!$AL80="","",posicao_contratual!$AL80))</f>
        <v/>
      </c>
    </row>
    <row r="81" spans="1:61" x14ac:dyDescent="0.35">
      <c r="A81" s="81"/>
      <c r="B81" s="82" t="str">
        <f t="shared" si="17"/>
        <v/>
      </c>
      <c r="C81" s="83"/>
      <c r="D81" s="79" t="str">
        <f>IF(AND(A81="",A80&lt;&gt;"",COUNTIF(A82:$A$200,"&lt;&gt;")=0),ROUND(SUMIF($A$2:A80,"&lt;&gt;",$D$2:D80),2),IF(OR(A81="",B81="",C81=""),"",ROUND(B81*C81,2)))</f>
        <v/>
      </c>
      <c r="E81" s="84"/>
      <c r="F81" s="79" t="str">
        <f>IF(AND(A81="",A80&lt;&gt;"",COUNTIF(A82:$A$200,"&lt;&gt;")=0),IF(COUNT(F$2:F80)=0,"",ROUND(SUMIF($A$2:A80,"&lt;&gt;",F$2:F80),2)),IF(OR(A81="",AND(ISNUMBER(posicao_contratual!$AL81),posicao_contratual!$AL81&gt;1),posicao_contratual!K81="",NOT(ISNUMBER(historico_VU!D81))),"",ROUND(posicao_contratual!K81*historico_VU!D81,2)))</f>
        <v/>
      </c>
      <c r="G81" s="84"/>
      <c r="H81" s="79" t="str">
        <f>IF(AND(A81="",A80&lt;&gt;"",COUNTIF(A82:$A$200,"&lt;&gt;")=0),IF(COUNT(H$2:H80)=0,"",ROUND(SUMIF($A$2:A80,"&lt;&gt;",H$2:H80),2)),IF(OR(A81="",AND(ISNUMBER(posicao_contratual!$AL81),posicao_contratual!$AL81&gt;2),posicao_contratual!O81="",NOT(ISNUMBER(historico_VU!E81))),"",ROUND(posicao_contratual!O81*historico_VU!E81,2)))</f>
        <v/>
      </c>
      <c r="I81" s="84"/>
      <c r="J81" s="79" t="str">
        <f>IF(AND(A81="",A80&lt;&gt;"",COUNTIF(A82:$A$200,"&lt;&gt;")=0),IF(COUNT(J$2:J80)=0,"",ROUND(SUMIF($A$2:A80,"&lt;&gt;",J$2:J80),2)),IF(OR(A81="",AND(ISNUMBER(posicao_contratual!$AL81),posicao_contratual!$AL81&gt;3),posicao_contratual!S81="",NOT(ISNUMBER(historico_VU!F81))),"",ROUND(posicao_contratual!S81*historico_VU!F81,2)))</f>
        <v/>
      </c>
      <c r="K81" s="84"/>
      <c r="L81" s="79" t="str">
        <f>IF(AND(A81="",A80&lt;&gt;"",COUNTIF(A82:$A$200,"&lt;&gt;")=0),IF(COUNT(L$2:L80)=0,"",ROUND(SUMIF($A$2:A80,"&lt;&gt;",L$2:L80),2)),IF(OR(A81="",AND(ISNUMBER(posicao_contratual!$AL81),posicao_contratual!$AL81&gt;4),posicao_contratual!W81="",NOT(ISNUMBER(historico_VU!G81))),"",ROUND(posicao_contratual!W81*historico_VU!G81,2)))</f>
        <v/>
      </c>
      <c r="M81" s="85" t="str">
        <f>IF(OR(posicao_contratual!J81="",posicao_contratual!N81=""),"",ROUND(MAX(posicao_contratual!J81+posicao_contratual!H81-posicao_contratual!N81,0),2))</f>
        <v/>
      </c>
      <c r="N81" s="79" t="str">
        <f>IF(AND(A81="",A80&lt;&gt;"",COUNTIF(A82:$A$200,"&lt;&gt;")=0),IF(COUNT(N$2:N80)=0,"",ROUND(SUMIF($A$2:A80,"&lt;&gt;",N$2:N80),2)),IF(OR(M81="",NOT(ISNUMBER(historico_VU!D81))),"",ROUND(M81*historico_VU!D81,2)))</f>
        <v/>
      </c>
      <c r="O81" s="85" t="str">
        <f>IF(OR(posicao_contratual!N81="",posicao_contratual!R81=""),"",ROUND(MAX(posicao_contratual!N81+posicao_contratual!L81-posicao_contratual!R81,0),2))</f>
        <v/>
      </c>
      <c r="P81" s="79" t="str">
        <f>IF(AND(A81="",A80&lt;&gt;"",COUNTIF(A82:$A$200,"&lt;&gt;")=0),IF(COUNT(P$2:P80)=0,"",ROUND(SUMIF($A$2:A80,"&lt;&gt;",P$2:P80),2)),IF(OR(O81="",NOT(ISNUMBER(historico_VU!E81))),"",ROUND(O81*historico_VU!E81,2)))</f>
        <v/>
      </c>
      <c r="Q81" s="85" t="str">
        <f>IF(OR(posicao_contratual!R81="",posicao_contratual!V81=""),"",ROUND(MAX(posicao_contratual!R81+posicao_contratual!P81-posicao_contratual!V81,0),2))</f>
        <v/>
      </c>
      <c r="R81" s="79" t="str">
        <f>IF(AND(A81="",A80&lt;&gt;"",COUNTIF(A82:$A$200,"&lt;&gt;")=0),IF(COUNT(R$2:R80)=0,"",ROUND(SUMIF($A$2:A80,"&lt;&gt;",R$2:R80),2)),IF(OR(Q81="",NOT(ISNUMBER(historico_VU!F81))),"",ROUND(Q81*historico_VU!F81,2)))</f>
        <v/>
      </c>
      <c r="S81" s="21"/>
      <c r="T81" s="22" t="str">
        <f>IF(AND(A81="",A80&lt;&gt;"",COUNTIF(A82:$A$200,"&lt;&gt;")=0),IF(COUNT(T$2:T80)=0,"",ROUND(SUMIF($A$2:A80,"&lt;&gt;",T$2:T80),2)),IF(OR(S81="",NOT(ISNUMBER(historico_VU!G81))),"",ROUND(S81*historico_VU!G81,2)))</f>
        <v/>
      </c>
      <c r="U81" s="86" t="str">
        <f>IF(AND(A81="",A80&lt;&gt;"",COUNTIF(A82:$A$200,"&lt;&gt;")=0),"TOTAL",IF(A81="","",posicao_contratual!X81))</f>
        <v/>
      </c>
      <c r="V81" s="86" t="str">
        <f>IF(A81="","",posicao_contratual!X81)</f>
        <v/>
      </c>
      <c r="W81" s="14"/>
      <c r="X81" s="14"/>
      <c r="Y81" s="14"/>
      <c r="Z81" s="13"/>
      <c r="AA81" s="13"/>
      <c r="AB81" s="85" t="str">
        <f>IF(OR(A81="",posicao_contratual!E81="",posicao_contratual!J81=""),"",ROUND(MAX(posicao_contratual!E81-posicao_contratual!J81,0),2))</f>
        <v/>
      </c>
      <c r="AC81" s="79" t="str">
        <f>IF(AND(A81="",A80&lt;&gt;"",COUNTIF(A82:$A$200,"&lt;&gt;")=0),IF(COUNT(AC$2:AC80)=0,"",ROUND(SUMIF($A$2:A80,"&lt;&gt;",AC$2:AC80),2)),IF(OR(AB81="",NOT(ISNUMBER(historico_VU!C81))),"",ROUND(AB81*historico_VU!C81,2)))</f>
        <v/>
      </c>
      <c r="AD81" s="145" t="str">
        <f>IF(A81="","",posicao_contratual!E81)</f>
        <v/>
      </c>
      <c r="AE81" s="145" t="str">
        <f>IF(A81="","",posicao_contratual!I81)</f>
        <v/>
      </c>
      <c r="AF81" s="145" t="str">
        <f>IF(A81="","",posicao_contratual!M81)</f>
        <v/>
      </c>
      <c r="AG81" s="145" t="str">
        <f>IF(A81="","",posicao_contratual!Q81)</f>
        <v/>
      </c>
      <c r="AH81" s="145" t="str">
        <f>IF(A81="","",posicao_contratual!U81)</f>
        <v/>
      </c>
      <c r="AI81" s="145" t="str">
        <f>IF(A81="","",posicao_contratual!G81)</f>
        <v/>
      </c>
      <c r="AJ81" s="145" t="str">
        <f>IF(A81="","",posicao_contratual!K81)</f>
        <v/>
      </c>
      <c r="AK81" s="145" t="str">
        <f>IF(A81="","",posicao_contratual!O81)</f>
        <v/>
      </c>
      <c r="AL81" s="145" t="str">
        <f>IF(A81="","",posicao_contratual!S81)</f>
        <v/>
      </c>
      <c r="AM81" s="145" t="str">
        <f>IF(A81="","",posicao_contratual!W81)</f>
        <v/>
      </c>
      <c r="AN81" s="146" t="str">
        <f>IF(A81="","",posicao_contratual!X81)</f>
        <v/>
      </c>
      <c r="AO81" t="str">
        <f>IF($A81="","",ROUND(SUMIFS(itens_Consumidos!$E$2:$E$200,itens_Consumidos!$A$2:$A$200,$A81),2))</f>
        <v/>
      </c>
      <c r="AP81" t="str">
        <f t="shared" si="12"/>
        <v/>
      </c>
      <c r="AQ81" t="str">
        <f>IF(OR($A81="",AB81="",MEMORIA_RESULTADOS!$I$258=""),"",ROUND(AB81*$C81*(MEMORIA_RESULTADOS!$I$258-1),2))</f>
        <v/>
      </c>
      <c r="AR81" t="str">
        <f>IF(OR($A81="",AP81="",MEMORIA_RESULTADOS!$I$258=""),"",ROUND(AP81*$C81*(parametros!$F$2-MEMORIA_RESULTADOS!$I$258),2))</f>
        <v/>
      </c>
      <c r="AS81" t="str">
        <f>IF($A81="","",ROUND(SUMIFS(itens_Consumidos!$G$2:$G$200,itens_Consumidos!$A$2:$A$200,$A81),2))</f>
        <v/>
      </c>
      <c r="AT81" t="str">
        <f t="shared" si="13"/>
        <v/>
      </c>
      <c r="AU81" t="str">
        <f>IF(OR($A81="",M81="",MEMORIA_RESULTADOS!$I$259=""),"",ROUND(M81*$C81*(MEMORIA_RESULTADOS!$I$259-1),2))</f>
        <v/>
      </c>
      <c r="AV81" t="str">
        <f>IF(OR($A81="",AT81="",MEMORIA_RESULTADOS!$I$259=""),"",ROUND(AT81*$C81*(parametros!$F$3-MEMORIA_RESULTADOS!$I$259),2))</f>
        <v/>
      </c>
      <c r="AW81" t="str">
        <f>IF($A81="","",ROUND(SUMIFS(itens_Consumidos!$I$2:$I$200,itens_Consumidos!$A$2:$A$200,$A81),2))</f>
        <v/>
      </c>
      <c r="AX81" t="str">
        <f t="shared" si="14"/>
        <v/>
      </c>
      <c r="AY81" t="str">
        <f>IF(OR($A81="",O81="",MEMORIA_RESULTADOS!$I$260=""),"",ROUND(O81*$C81*(MEMORIA_RESULTADOS!$I$260-1),2))</f>
        <v/>
      </c>
      <c r="AZ81" t="str">
        <f>IF(OR($A81="",AX81="",MEMORIA_RESULTADOS!$I$260=""),"",ROUND(AX81*$C81*(parametros!$F$4-MEMORIA_RESULTADOS!$I$260),2))</f>
        <v/>
      </c>
      <c r="BA81" t="str">
        <f>IF($A81="","",ROUND(SUMIFS(itens_Consumidos!$K$2:$K$200,itens_Consumidos!$A$2:$A$200,$A81),2))</f>
        <v/>
      </c>
      <c r="BB81" t="str">
        <f t="shared" si="15"/>
        <v/>
      </c>
      <c r="BC81" t="str">
        <f>IF(OR($A81="",Q81="",MEMORIA_RESULTADOS!$I$261=""),"",ROUND(Q81*$C81*(MEMORIA_RESULTADOS!$I$261-1),2))</f>
        <v/>
      </c>
      <c r="BD81" t="str">
        <f>IF(OR($A81="",BB81="",MEMORIA_RESULTADOS!$I$261=""),"",ROUND(BB81*$C81*(parametros!$F$5-MEMORIA_RESULTADOS!$I$261),2))</f>
        <v/>
      </c>
      <c r="BE81" t="str">
        <f>IF($A81="","",ROUND(SUMIFS(itens_Consumidos!$M$2:$M$200,itens_Consumidos!$A$2:$A$200,$A81),2))</f>
        <v/>
      </c>
      <c r="BF81" t="str">
        <f t="shared" si="16"/>
        <v/>
      </c>
      <c r="BG81" t="str">
        <f>IF(OR($A81="",S81="",MEMORIA_RESULTADOS!$I$262=""),"",ROUND(S81*$C81*(MEMORIA_RESULTADOS!$I$262-1),2))</f>
        <v/>
      </c>
      <c r="BH81" t="str">
        <f>IF(OR($A81="",BF81="",MEMORIA_RESULTADOS!$I$262=""),"",ROUND(BF81*$C81*(parametros!$F$6-MEMORIA_RESULTADOS!$I$262),2))</f>
        <v/>
      </c>
      <c r="BI81" t="str">
        <f>IF($A81="","",IF(posicao_contratual!$AL81="","",posicao_contratual!$AL81))</f>
        <v/>
      </c>
    </row>
    <row r="82" spans="1:61" x14ac:dyDescent="0.35">
      <c r="A82" s="81"/>
      <c r="B82" s="82" t="str">
        <f t="shared" si="17"/>
        <v/>
      </c>
      <c r="C82" s="83"/>
      <c r="D82" s="79" t="str">
        <f>IF(AND(A82="",A81&lt;&gt;"",COUNTIF(A83:$A$200,"&lt;&gt;")=0),ROUND(SUMIF($A$2:A81,"&lt;&gt;",$D$2:D81),2),IF(OR(A82="",B82="",C82=""),"",ROUND(B82*C82,2)))</f>
        <v/>
      </c>
      <c r="E82" s="84"/>
      <c r="F82" s="79" t="str">
        <f>IF(AND(A82="",A81&lt;&gt;"",COUNTIF(A83:$A$200,"&lt;&gt;")=0),IF(COUNT(F$2:F81)=0,"",ROUND(SUMIF($A$2:A81,"&lt;&gt;",F$2:F81),2)),IF(OR(A82="",AND(ISNUMBER(posicao_contratual!$AL82),posicao_contratual!$AL82&gt;1),posicao_contratual!K82="",NOT(ISNUMBER(historico_VU!D82))),"",ROUND(posicao_contratual!K82*historico_VU!D82,2)))</f>
        <v/>
      </c>
      <c r="G82" s="84"/>
      <c r="H82" s="79" t="str">
        <f>IF(AND(A82="",A81&lt;&gt;"",COUNTIF(A83:$A$200,"&lt;&gt;")=0),IF(COUNT(H$2:H81)=0,"",ROUND(SUMIF($A$2:A81,"&lt;&gt;",H$2:H81),2)),IF(OR(A82="",AND(ISNUMBER(posicao_contratual!$AL82),posicao_contratual!$AL82&gt;2),posicao_contratual!O82="",NOT(ISNUMBER(historico_VU!E82))),"",ROUND(posicao_contratual!O82*historico_VU!E82,2)))</f>
        <v/>
      </c>
      <c r="I82" s="84"/>
      <c r="J82" s="79" t="str">
        <f>IF(AND(A82="",A81&lt;&gt;"",COUNTIF(A83:$A$200,"&lt;&gt;")=0),IF(COUNT(J$2:J81)=0,"",ROUND(SUMIF($A$2:A81,"&lt;&gt;",J$2:J81),2)),IF(OR(A82="",AND(ISNUMBER(posicao_contratual!$AL82),posicao_contratual!$AL82&gt;3),posicao_contratual!S82="",NOT(ISNUMBER(historico_VU!F82))),"",ROUND(posicao_contratual!S82*historico_VU!F82,2)))</f>
        <v/>
      </c>
      <c r="K82" s="84"/>
      <c r="L82" s="79" t="str">
        <f>IF(AND(A82="",A81&lt;&gt;"",COUNTIF(A83:$A$200,"&lt;&gt;")=0),IF(COUNT(L$2:L81)=0,"",ROUND(SUMIF($A$2:A81,"&lt;&gt;",L$2:L81),2)),IF(OR(A82="",AND(ISNUMBER(posicao_contratual!$AL82),posicao_contratual!$AL82&gt;4),posicao_contratual!W82="",NOT(ISNUMBER(historico_VU!G82))),"",ROUND(posicao_contratual!W82*historico_VU!G82,2)))</f>
        <v/>
      </c>
      <c r="M82" s="85" t="str">
        <f>IF(OR(posicao_contratual!J82="",posicao_contratual!N82=""),"",ROUND(MAX(posicao_contratual!J82+posicao_contratual!H82-posicao_contratual!N82,0),2))</f>
        <v/>
      </c>
      <c r="N82" s="79" t="str">
        <f>IF(AND(A82="",A81&lt;&gt;"",COUNTIF(A83:$A$200,"&lt;&gt;")=0),IF(COUNT(N$2:N81)=0,"",ROUND(SUMIF($A$2:A81,"&lt;&gt;",N$2:N81),2)),IF(OR(M82="",NOT(ISNUMBER(historico_VU!D82))),"",ROUND(M82*historico_VU!D82,2)))</f>
        <v/>
      </c>
      <c r="O82" s="85" t="str">
        <f>IF(OR(posicao_contratual!N82="",posicao_contratual!R82=""),"",ROUND(MAX(posicao_contratual!N82+posicao_contratual!L82-posicao_contratual!R82,0),2))</f>
        <v/>
      </c>
      <c r="P82" s="79" t="str">
        <f>IF(AND(A82="",A81&lt;&gt;"",COUNTIF(A83:$A$200,"&lt;&gt;")=0),IF(COUNT(P$2:P81)=0,"",ROUND(SUMIF($A$2:A81,"&lt;&gt;",P$2:P81),2)),IF(OR(O82="",NOT(ISNUMBER(historico_VU!E82))),"",ROUND(O82*historico_VU!E82,2)))</f>
        <v/>
      </c>
      <c r="Q82" s="85" t="str">
        <f>IF(OR(posicao_contratual!R82="",posicao_contratual!V82=""),"",ROUND(MAX(posicao_contratual!R82+posicao_contratual!P82-posicao_contratual!V82,0),2))</f>
        <v/>
      </c>
      <c r="R82" s="79" t="str">
        <f>IF(AND(A82="",A81&lt;&gt;"",COUNTIF(A83:$A$200,"&lt;&gt;")=0),IF(COUNT(R$2:R81)=0,"",ROUND(SUMIF($A$2:A81,"&lt;&gt;",R$2:R81),2)),IF(OR(Q82="",NOT(ISNUMBER(historico_VU!F82))),"",ROUND(Q82*historico_VU!F82,2)))</f>
        <v/>
      </c>
      <c r="S82" s="21"/>
      <c r="T82" s="22" t="str">
        <f>IF(AND(A82="",A81&lt;&gt;"",COUNTIF(A83:$A$200,"&lt;&gt;")=0),IF(COUNT(T$2:T81)=0,"",ROUND(SUMIF($A$2:A81,"&lt;&gt;",T$2:T81),2)),IF(OR(S82="",NOT(ISNUMBER(historico_VU!G82))),"",ROUND(S82*historico_VU!G82,2)))</f>
        <v/>
      </c>
      <c r="U82" s="86" t="str">
        <f>IF(AND(A82="",A81&lt;&gt;"",COUNTIF(A83:$A$200,"&lt;&gt;")=0),"TOTAL",IF(A82="","",posicao_contratual!X82))</f>
        <v/>
      </c>
      <c r="V82" s="86" t="str">
        <f>IF(A82="","",posicao_contratual!X82)</f>
        <v/>
      </c>
      <c r="W82" s="14"/>
      <c r="X82" s="14"/>
      <c r="Y82" s="14"/>
      <c r="Z82" s="13"/>
      <c r="AA82" s="13"/>
      <c r="AB82" s="85" t="str">
        <f>IF(OR(A82="",posicao_contratual!E82="",posicao_contratual!J82=""),"",ROUND(MAX(posicao_contratual!E82-posicao_contratual!J82,0),2))</f>
        <v/>
      </c>
      <c r="AC82" s="79" t="str">
        <f>IF(AND(A82="",A81&lt;&gt;"",COUNTIF(A83:$A$200,"&lt;&gt;")=0),IF(COUNT(AC$2:AC81)=0,"",ROUND(SUMIF($A$2:A81,"&lt;&gt;",AC$2:AC81),2)),IF(OR(AB82="",NOT(ISNUMBER(historico_VU!C82))),"",ROUND(AB82*historico_VU!C82,2)))</f>
        <v/>
      </c>
      <c r="AD82" s="145" t="str">
        <f>IF(A82="","",posicao_contratual!E82)</f>
        <v/>
      </c>
      <c r="AE82" s="145" t="str">
        <f>IF(A82="","",posicao_contratual!I82)</f>
        <v/>
      </c>
      <c r="AF82" s="145" t="str">
        <f>IF(A82="","",posicao_contratual!M82)</f>
        <v/>
      </c>
      <c r="AG82" s="145" t="str">
        <f>IF(A82="","",posicao_contratual!Q82)</f>
        <v/>
      </c>
      <c r="AH82" s="145" t="str">
        <f>IF(A82="","",posicao_contratual!U82)</f>
        <v/>
      </c>
      <c r="AI82" s="145" t="str">
        <f>IF(A82="","",posicao_contratual!G82)</f>
        <v/>
      </c>
      <c r="AJ82" s="145" t="str">
        <f>IF(A82="","",posicao_contratual!K82)</f>
        <v/>
      </c>
      <c r="AK82" s="145" t="str">
        <f>IF(A82="","",posicao_contratual!O82)</f>
        <v/>
      </c>
      <c r="AL82" s="145" t="str">
        <f>IF(A82="","",posicao_contratual!S82)</f>
        <v/>
      </c>
      <c r="AM82" s="145" t="str">
        <f>IF(A82="","",posicao_contratual!W82)</f>
        <v/>
      </c>
      <c r="AN82" s="146" t="str">
        <f>IF(A82="","",posicao_contratual!X82)</f>
        <v/>
      </c>
      <c r="AO82" t="str">
        <f>IF($A82="","",ROUND(SUMIFS(itens_Consumidos!$E$2:$E$200,itens_Consumidos!$A$2:$A$200,$A82),2))</f>
        <v/>
      </c>
      <c r="AP82" t="str">
        <f t="shared" si="12"/>
        <v/>
      </c>
      <c r="AQ82" t="str">
        <f>IF(OR($A82="",AB82="",MEMORIA_RESULTADOS!$I$258=""),"",ROUND(AB82*$C82*(MEMORIA_RESULTADOS!$I$258-1),2))</f>
        <v/>
      </c>
      <c r="AR82" t="str">
        <f>IF(OR($A82="",AP82="",MEMORIA_RESULTADOS!$I$258=""),"",ROUND(AP82*$C82*(parametros!$F$2-MEMORIA_RESULTADOS!$I$258),2))</f>
        <v/>
      </c>
      <c r="AS82" t="str">
        <f>IF($A82="","",ROUND(SUMIFS(itens_Consumidos!$G$2:$G$200,itens_Consumidos!$A$2:$A$200,$A82),2))</f>
        <v/>
      </c>
      <c r="AT82" t="str">
        <f t="shared" si="13"/>
        <v/>
      </c>
      <c r="AU82" t="str">
        <f>IF(OR($A82="",M82="",MEMORIA_RESULTADOS!$I$259=""),"",ROUND(M82*$C82*(MEMORIA_RESULTADOS!$I$259-1),2))</f>
        <v/>
      </c>
      <c r="AV82" t="str">
        <f>IF(OR($A82="",AT82="",MEMORIA_RESULTADOS!$I$259=""),"",ROUND(AT82*$C82*(parametros!$F$3-MEMORIA_RESULTADOS!$I$259),2))</f>
        <v/>
      </c>
      <c r="AW82" t="str">
        <f>IF($A82="","",ROUND(SUMIFS(itens_Consumidos!$I$2:$I$200,itens_Consumidos!$A$2:$A$200,$A82),2))</f>
        <v/>
      </c>
      <c r="AX82" t="str">
        <f t="shared" si="14"/>
        <v/>
      </c>
      <c r="AY82" t="str">
        <f>IF(OR($A82="",O82="",MEMORIA_RESULTADOS!$I$260=""),"",ROUND(O82*$C82*(MEMORIA_RESULTADOS!$I$260-1),2))</f>
        <v/>
      </c>
      <c r="AZ82" t="str">
        <f>IF(OR($A82="",AX82="",MEMORIA_RESULTADOS!$I$260=""),"",ROUND(AX82*$C82*(parametros!$F$4-MEMORIA_RESULTADOS!$I$260),2))</f>
        <v/>
      </c>
      <c r="BA82" t="str">
        <f>IF($A82="","",ROUND(SUMIFS(itens_Consumidos!$K$2:$K$200,itens_Consumidos!$A$2:$A$200,$A82),2))</f>
        <v/>
      </c>
      <c r="BB82" t="str">
        <f t="shared" si="15"/>
        <v/>
      </c>
      <c r="BC82" t="str">
        <f>IF(OR($A82="",Q82="",MEMORIA_RESULTADOS!$I$261=""),"",ROUND(Q82*$C82*(MEMORIA_RESULTADOS!$I$261-1),2))</f>
        <v/>
      </c>
      <c r="BD82" t="str">
        <f>IF(OR($A82="",BB82="",MEMORIA_RESULTADOS!$I$261=""),"",ROUND(BB82*$C82*(parametros!$F$5-MEMORIA_RESULTADOS!$I$261),2))</f>
        <v/>
      </c>
      <c r="BE82" t="str">
        <f>IF($A82="","",ROUND(SUMIFS(itens_Consumidos!$M$2:$M$200,itens_Consumidos!$A$2:$A$200,$A82),2))</f>
        <v/>
      </c>
      <c r="BF82" t="str">
        <f t="shared" si="16"/>
        <v/>
      </c>
      <c r="BG82" t="str">
        <f>IF(OR($A82="",S82="",MEMORIA_RESULTADOS!$I$262=""),"",ROUND(S82*$C82*(MEMORIA_RESULTADOS!$I$262-1),2))</f>
        <v/>
      </c>
      <c r="BH82" t="str">
        <f>IF(OR($A82="",BF82="",MEMORIA_RESULTADOS!$I$262=""),"",ROUND(BF82*$C82*(parametros!$F$6-MEMORIA_RESULTADOS!$I$262),2))</f>
        <v/>
      </c>
      <c r="BI82" t="str">
        <f>IF($A82="","",IF(posicao_contratual!$AL82="","",posicao_contratual!$AL82))</f>
        <v/>
      </c>
    </row>
    <row r="83" spans="1:61" x14ac:dyDescent="0.35">
      <c r="A83" s="81"/>
      <c r="B83" s="82" t="str">
        <f t="shared" si="17"/>
        <v/>
      </c>
      <c r="C83" s="83"/>
      <c r="D83" s="79" t="str">
        <f>IF(AND(A83="",A82&lt;&gt;"",COUNTIF(A84:$A$200,"&lt;&gt;")=0),ROUND(SUMIF($A$2:A82,"&lt;&gt;",$D$2:D82),2),IF(OR(A83="",B83="",C83=""),"",ROUND(B83*C83,2)))</f>
        <v/>
      </c>
      <c r="E83" s="84"/>
      <c r="F83" s="79" t="str">
        <f>IF(AND(A83="",A82&lt;&gt;"",COUNTIF(A84:$A$200,"&lt;&gt;")=0),IF(COUNT(F$2:F82)=0,"",ROUND(SUMIF($A$2:A82,"&lt;&gt;",F$2:F82),2)),IF(OR(A83="",AND(ISNUMBER(posicao_contratual!$AL83),posicao_contratual!$AL83&gt;1),posicao_contratual!K83="",NOT(ISNUMBER(historico_VU!D83))),"",ROUND(posicao_contratual!K83*historico_VU!D83,2)))</f>
        <v/>
      </c>
      <c r="G83" s="84"/>
      <c r="H83" s="79" t="str">
        <f>IF(AND(A83="",A82&lt;&gt;"",COUNTIF(A84:$A$200,"&lt;&gt;")=0),IF(COUNT(H$2:H82)=0,"",ROUND(SUMIF($A$2:A82,"&lt;&gt;",H$2:H82),2)),IF(OR(A83="",AND(ISNUMBER(posicao_contratual!$AL83),posicao_contratual!$AL83&gt;2),posicao_contratual!O83="",NOT(ISNUMBER(historico_VU!E83))),"",ROUND(posicao_contratual!O83*historico_VU!E83,2)))</f>
        <v/>
      </c>
      <c r="I83" s="84"/>
      <c r="J83" s="79" t="str">
        <f>IF(AND(A83="",A82&lt;&gt;"",COUNTIF(A84:$A$200,"&lt;&gt;")=0),IF(COUNT(J$2:J82)=0,"",ROUND(SUMIF($A$2:A82,"&lt;&gt;",J$2:J82),2)),IF(OR(A83="",AND(ISNUMBER(posicao_contratual!$AL83),posicao_contratual!$AL83&gt;3),posicao_contratual!S83="",NOT(ISNUMBER(historico_VU!F83))),"",ROUND(posicao_contratual!S83*historico_VU!F83,2)))</f>
        <v/>
      </c>
      <c r="K83" s="84"/>
      <c r="L83" s="79" t="str">
        <f>IF(AND(A83="",A82&lt;&gt;"",COUNTIF(A84:$A$200,"&lt;&gt;")=0),IF(COUNT(L$2:L82)=0,"",ROUND(SUMIF($A$2:A82,"&lt;&gt;",L$2:L82),2)),IF(OR(A83="",AND(ISNUMBER(posicao_contratual!$AL83),posicao_contratual!$AL83&gt;4),posicao_contratual!W83="",NOT(ISNUMBER(historico_VU!G83))),"",ROUND(posicao_contratual!W83*historico_VU!G83,2)))</f>
        <v/>
      </c>
      <c r="M83" s="85" t="str">
        <f>IF(OR(posicao_contratual!J83="",posicao_contratual!N83=""),"",ROUND(MAX(posicao_contratual!J83+posicao_contratual!H83-posicao_contratual!N83,0),2))</f>
        <v/>
      </c>
      <c r="N83" s="79" t="str">
        <f>IF(AND(A83="",A82&lt;&gt;"",COUNTIF(A84:$A$200,"&lt;&gt;")=0),IF(COUNT(N$2:N82)=0,"",ROUND(SUMIF($A$2:A82,"&lt;&gt;",N$2:N82),2)),IF(OR(M83="",NOT(ISNUMBER(historico_VU!D83))),"",ROUND(M83*historico_VU!D83,2)))</f>
        <v/>
      </c>
      <c r="O83" s="85" t="str">
        <f>IF(OR(posicao_contratual!N83="",posicao_contratual!R83=""),"",ROUND(MAX(posicao_contratual!N83+posicao_contratual!L83-posicao_contratual!R83,0),2))</f>
        <v/>
      </c>
      <c r="P83" s="79" t="str">
        <f>IF(AND(A83="",A82&lt;&gt;"",COUNTIF(A84:$A$200,"&lt;&gt;")=0),IF(COUNT(P$2:P82)=0,"",ROUND(SUMIF($A$2:A82,"&lt;&gt;",P$2:P82),2)),IF(OR(O83="",NOT(ISNUMBER(historico_VU!E83))),"",ROUND(O83*historico_VU!E83,2)))</f>
        <v/>
      </c>
      <c r="Q83" s="85" t="str">
        <f>IF(OR(posicao_contratual!R83="",posicao_contratual!V83=""),"",ROUND(MAX(posicao_contratual!R83+posicao_contratual!P83-posicao_contratual!V83,0),2))</f>
        <v/>
      </c>
      <c r="R83" s="79" t="str">
        <f>IF(AND(A83="",A82&lt;&gt;"",COUNTIF(A84:$A$200,"&lt;&gt;")=0),IF(COUNT(R$2:R82)=0,"",ROUND(SUMIF($A$2:A82,"&lt;&gt;",R$2:R82),2)),IF(OR(Q83="",NOT(ISNUMBER(historico_VU!F83))),"",ROUND(Q83*historico_VU!F83,2)))</f>
        <v/>
      </c>
      <c r="S83" s="21"/>
      <c r="T83" s="22" t="str">
        <f>IF(AND(A83="",A82&lt;&gt;"",COUNTIF(A84:$A$200,"&lt;&gt;")=0),IF(COUNT(T$2:T82)=0,"",ROUND(SUMIF($A$2:A82,"&lt;&gt;",T$2:T82),2)),IF(OR(S83="",NOT(ISNUMBER(historico_VU!G83))),"",ROUND(S83*historico_VU!G83,2)))</f>
        <v/>
      </c>
      <c r="U83" s="86" t="str">
        <f>IF(AND(A83="",A82&lt;&gt;"",COUNTIF(A84:$A$200,"&lt;&gt;")=0),"TOTAL",IF(A83="","",posicao_contratual!X83))</f>
        <v/>
      </c>
      <c r="V83" s="86" t="str">
        <f>IF(A83="","",posicao_contratual!X83)</f>
        <v/>
      </c>
      <c r="W83" s="14"/>
      <c r="X83" s="14"/>
      <c r="Y83" s="14"/>
      <c r="Z83" s="13"/>
      <c r="AA83" s="13"/>
      <c r="AB83" s="85" t="str">
        <f>IF(OR(A83="",posicao_contratual!E83="",posicao_contratual!J83=""),"",ROUND(MAX(posicao_contratual!E83-posicao_contratual!J83,0),2))</f>
        <v/>
      </c>
      <c r="AC83" s="79" t="str">
        <f>IF(AND(A83="",A82&lt;&gt;"",COUNTIF(A84:$A$200,"&lt;&gt;")=0),IF(COUNT(AC$2:AC82)=0,"",ROUND(SUMIF($A$2:A82,"&lt;&gt;",AC$2:AC82),2)),IF(OR(AB83="",NOT(ISNUMBER(historico_VU!C83))),"",ROUND(AB83*historico_VU!C83,2)))</f>
        <v/>
      </c>
      <c r="AD83" s="145" t="str">
        <f>IF(A83="","",posicao_contratual!E83)</f>
        <v/>
      </c>
      <c r="AE83" s="145" t="str">
        <f>IF(A83="","",posicao_contratual!I83)</f>
        <v/>
      </c>
      <c r="AF83" s="145" t="str">
        <f>IF(A83="","",posicao_contratual!M83)</f>
        <v/>
      </c>
      <c r="AG83" s="145" t="str">
        <f>IF(A83="","",posicao_contratual!Q83)</f>
        <v/>
      </c>
      <c r="AH83" s="145" t="str">
        <f>IF(A83="","",posicao_contratual!U83)</f>
        <v/>
      </c>
      <c r="AI83" s="145" t="str">
        <f>IF(A83="","",posicao_contratual!G83)</f>
        <v/>
      </c>
      <c r="AJ83" s="145" t="str">
        <f>IF(A83="","",posicao_contratual!K83)</f>
        <v/>
      </c>
      <c r="AK83" s="145" t="str">
        <f>IF(A83="","",posicao_contratual!O83)</f>
        <v/>
      </c>
      <c r="AL83" s="145" t="str">
        <f>IF(A83="","",posicao_contratual!S83)</f>
        <v/>
      </c>
      <c r="AM83" s="145" t="str">
        <f>IF(A83="","",posicao_contratual!W83)</f>
        <v/>
      </c>
      <c r="AN83" s="146" t="str">
        <f>IF(A83="","",posicao_contratual!X83)</f>
        <v/>
      </c>
      <c r="AO83" t="str">
        <f>IF($A83="","",ROUND(SUMIFS(itens_Consumidos!$E$2:$E$200,itens_Consumidos!$A$2:$A$200,$A83),2))</f>
        <v/>
      </c>
      <c r="AP83" t="str">
        <f t="shared" si="12"/>
        <v/>
      </c>
      <c r="AQ83" t="str">
        <f>IF(OR($A83="",AB83="",MEMORIA_RESULTADOS!$I$258=""),"",ROUND(AB83*$C83*(MEMORIA_RESULTADOS!$I$258-1),2))</f>
        <v/>
      </c>
      <c r="AR83" t="str">
        <f>IF(OR($A83="",AP83="",MEMORIA_RESULTADOS!$I$258=""),"",ROUND(AP83*$C83*(parametros!$F$2-MEMORIA_RESULTADOS!$I$258),2))</f>
        <v/>
      </c>
      <c r="AS83" t="str">
        <f>IF($A83="","",ROUND(SUMIFS(itens_Consumidos!$G$2:$G$200,itens_Consumidos!$A$2:$A$200,$A83),2))</f>
        <v/>
      </c>
      <c r="AT83" t="str">
        <f t="shared" si="13"/>
        <v/>
      </c>
      <c r="AU83" t="str">
        <f>IF(OR($A83="",M83="",MEMORIA_RESULTADOS!$I$259=""),"",ROUND(M83*$C83*(MEMORIA_RESULTADOS!$I$259-1),2))</f>
        <v/>
      </c>
      <c r="AV83" t="str">
        <f>IF(OR($A83="",AT83="",MEMORIA_RESULTADOS!$I$259=""),"",ROUND(AT83*$C83*(parametros!$F$3-MEMORIA_RESULTADOS!$I$259),2))</f>
        <v/>
      </c>
      <c r="AW83" t="str">
        <f>IF($A83="","",ROUND(SUMIFS(itens_Consumidos!$I$2:$I$200,itens_Consumidos!$A$2:$A$200,$A83),2))</f>
        <v/>
      </c>
      <c r="AX83" t="str">
        <f t="shared" si="14"/>
        <v/>
      </c>
      <c r="AY83" t="str">
        <f>IF(OR($A83="",O83="",MEMORIA_RESULTADOS!$I$260=""),"",ROUND(O83*$C83*(MEMORIA_RESULTADOS!$I$260-1),2))</f>
        <v/>
      </c>
      <c r="AZ83" t="str">
        <f>IF(OR($A83="",AX83="",MEMORIA_RESULTADOS!$I$260=""),"",ROUND(AX83*$C83*(parametros!$F$4-MEMORIA_RESULTADOS!$I$260),2))</f>
        <v/>
      </c>
      <c r="BA83" t="str">
        <f>IF($A83="","",ROUND(SUMIFS(itens_Consumidos!$K$2:$K$200,itens_Consumidos!$A$2:$A$200,$A83),2))</f>
        <v/>
      </c>
      <c r="BB83" t="str">
        <f t="shared" si="15"/>
        <v/>
      </c>
      <c r="BC83" t="str">
        <f>IF(OR($A83="",Q83="",MEMORIA_RESULTADOS!$I$261=""),"",ROUND(Q83*$C83*(MEMORIA_RESULTADOS!$I$261-1),2))</f>
        <v/>
      </c>
      <c r="BD83" t="str">
        <f>IF(OR($A83="",BB83="",MEMORIA_RESULTADOS!$I$261=""),"",ROUND(BB83*$C83*(parametros!$F$5-MEMORIA_RESULTADOS!$I$261),2))</f>
        <v/>
      </c>
      <c r="BE83" t="str">
        <f>IF($A83="","",ROUND(SUMIFS(itens_Consumidos!$M$2:$M$200,itens_Consumidos!$A$2:$A$200,$A83),2))</f>
        <v/>
      </c>
      <c r="BF83" t="str">
        <f t="shared" si="16"/>
        <v/>
      </c>
      <c r="BG83" t="str">
        <f>IF(OR($A83="",S83="",MEMORIA_RESULTADOS!$I$262=""),"",ROUND(S83*$C83*(MEMORIA_RESULTADOS!$I$262-1),2))</f>
        <v/>
      </c>
      <c r="BH83" t="str">
        <f>IF(OR($A83="",BF83="",MEMORIA_RESULTADOS!$I$262=""),"",ROUND(BF83*$C83*(parametros!$F$6-MEMORIA_RESULTADOS!$I$262),2))</f>
        <v/>
      </c>
      <c r="BI83" t="str">
        <f>IF($A83="","",IF(posicao_contratual!$AL83="","",posicao_contratual!$AL83))</f>
        <v/>
      </c>
    </row>
    <row r="84" spans="1:61" x14ac:dyDescent="0.35">
      <c r="A84" s="81"/>
      <c r="B84" s="82" t="str">
        <f t="shared" si="17"/>
        <v/>
      </c>
      <c r="C84" s="83"/>
      <c r="D84" s="79" t="str">
        <f>IF(AND(A84="",A83&lt;&gt;"",COUNTIF(A85:$A$200,"&lt;&gt;")=0),ROUND(SUMIF($A$2:A83,"&lt;&gt;",$D$2:D83),2),IF(OR(A84="",B84="",C84=""),"",ROUND(B84*C84,2)))</f>
        <v/>
      </c>
      <c r="E84" s="84"/>
      <c r="F84" s="79" t="str">
        <f>IF(AND(A84="",A83&lt;&gt;"",COUNTIF(A85:$A$200,"&lt;&gt;")=0),IF(COUNT(F$2:F83)=0,"",ROUND(SUMIF($A$2:A83,"&lt;&gt;",F$2:F83),2)),IF(OR(A84="",AND(ISNUMBER(posicao_contratual!$AL84),posicao_contratual!$AL84&gt;1),posicao_contratual!K84="",NOT(ISNUMBER(historico_VU!D84))),"",ROUND(posicao_contratual!K84*historico_VU!D84,2)))</f>
        <v/>
      </c>
      <c r="G84" s="84"/>
      <c r="H84" s="79" t="str">
        <f>IF(AND(A84="",A83&lt;&gt;"",COUNTIF(A85:$A$200,"&lt;&gt;")=0),IF(COUNT(H$2:H83)=0,"",ROUND(SUMIF($A$2:A83,"&lt;&gt;",H$2:H83),2)),IF(OR(A84="",AND(ISNUMBER(posicao_contratual!$AL84),posicao_contratual!$AL84&gt;2),posicao_contratual!O84="",NOT(ISNUMBER(historico_VU!E84))),"",ROUND(posicao_contratual!O84*historico_VU!E84,2)))</f>
        <v/>
      </c>
      <c r="I84" s="84"/>
      <c r="J84" s="79" t="str">
        <f>IF(AND(A84="",A83&lt;&gt;"",COUNTIF(A85:$A$200,"&lt;&gt;")=0),IF(COUNT(J$2:J83)=0,"",ROUND(SUMIF($A$2:A83,"&lt;&gt;",J$2:J83),2)),IF(OR(A84="",AND(ISNUMBER(posicao_contratual!$AL84),posicao_contratual!$AL84&gt;3),posicao_contratual!S84="",NOT(ISNUMBER(historico_VU!F84))),"",ROUND(posicao_contratual!S84*historico_VU!F84,2)))</f>
        <v/>
      </c>
      <c r="K84" s="84"/>
      <c r="L84" s="79" t="str">
        <f>IF(AND(A84="",A83&lt;&gt;"",COUNTIF(A85:$A$200,"&lt;&gt;")=0),IF(COUNT(L$2:L83)=0,"",ROUND(SUMIF($A$2:A83,"&lt;&gt;",L$2:L83),2)),IF(OR(A84="",AND(ISNUMBER(posicao_contratual!$AL84),posicao_contratual!$AL84&gt;4),posicao_contratual!W84="",NOT(ISNUMBER(historico_VU!G84))),"",ROUND(posicao_contratual!W84*historico_VU!G84,2)))</f>
        <v/>
      </c>
      <c r="M84" s="85" t="str">
        <f>IF(OR(posicao_contratual!J84="",posicao_contratual!N84=""),"",ROUND(MAX(posicao_contratual!J84+posicao_contratual!H84-posicao_contratual!N84,0),2))</f>
        <v/>
      </c>
      <c r="N84" s="79" t="str">
        <f>IF(AND(A84="",A83&lt;&gt;"",COUNTIF(A85:$A$200,"&lt;&gt;")=0),IF(COUNT(N$2:N83)=0,"",ROUND(SUMIF($A$2:A83,"&lt;&gt;",N$2:N83),2)),IF(OR(M84="",NOT(ISNUMBER(historico_VU!D84))),"",ROUND(M84*historico_VU!D84,2)))</f>
        <v/>
      </c>
      <c r="O84" s="85" t="str">
        <f>IF(OR(posicao_contratual!N84="",posicao_contratual!R84=""),"",ROUND(MAX(posicao_contratual!N84+posicao_contratual!L84-posicao_contratual!R84,0),2))</f>
        <v/>
      </c>
      <c r="P84" s="79" t="str">
        <f>IF(AND(A84="",A83&lt;&gt;"",COUNTIF(A85:$A$200,"&lt;&gt;")=0),IF(COUNT(P$2:P83)=0,"",ROUND(SUMIF($A$2:A83,"&lt;&gt;",P$2:P83),2)),IF(OR(O84="",NOT(ISNUMBER(historico_VU!E84))),"",ROUND(O84*historico_VU!E84,2)))</f>
        <v/>
      </c>
      <c r="Q84" s="85" t="str">
        <f>IF(OR(posicao_contratual!R84="",posicao_contratual!V84=""),"",ROUND(MAX(posicao_contratual!R84+posicao_contratual!P84-posicao_contratual!V84,0),2))</f>
        <v/>
      </c>
      <c r="R84" s="79" t="str">
        <f>IF(AND(A84="",A83&lt;&gt;"",COUNTIF(A85:$A$200,"&lt;&gt;")=0),IF(COUNT(R$2:R83)=0,"",ROUND(SUMIF($A$2:A83,"&lt;&gt;",R$2:R83),2)),IF(OR(Q84="",NOT(ISNUMBER(historico_VU!F84))),"",ROUND(Q84*historico_VU!F84,2)))</f>
        <v/>
      </c>
      <c r="S84" s="21"/>
      <c r="T84" s="22" t="str">
        <f>IF(AND(A84="",A83&lt;&gt;"",COUNTIF(A85:$A$200,"&lt;&gt;")=0),IF(COUNT(T$2:T83)=0,"",ROUND(SUMIF($A$2:A83,"&lt;&gt;",T$2:T83),2)),IF(OR(S84="",NOT(ISNUMBER(historico_VU!G84))),"",ROUND(S84*historico_VU!G84,2)))</f>
        <v/>
      </c>
      <c r="U84" s="86" t="str">
        <f>IF(AND(A84="",A83&lt;&gt;"",COUNTIF(A85:$A$200,"&lt;&gt;")=0),"TOTAL",IF(A84="","",posicao_contratual!X84))</f>
        <v/>
      </c>
      <c r="V84" s="86" t="str">
        <f>IF(A84="","",posicao_contratual!X84)</f>
        <v/>
      </c>
      <c r="W84" s="14"/>
      <c r="X84" s="14"/>
      <c r="Y84" s="14"/>
      <c r="Z84" s="13"/>
      <c r="AA84" s="13"/>
      <c r="AB84" s="85" t="str">
        <f>IF(OR(A84="",posicao_contratual!E84="",posicao_contratual!J84=""),"",ROUND(MAX(posicao_contratual!E84-posicao_contratual!J84,0),2))</f>
        <v/>
      </c>
      <c r="AC84" s="79" t="str">
        <f>IF(AND(A84="",A83&lt;&gt;"",COUNTIF(A85:$A$200,"&lt;&gt;")=0),IF(COUNT(AC$2:AC83)=0,"",ROUND(SUMIF($A$2:A83,"&lt;&gt;",AC$2:AC83),2)),IF(OR(AB84="",NOT(ISNUMBER(historico_VU!C84))),"",ROUND(AB84*historico_VU!C84,2)))</f>
        <v/>
      </c>
      <c r="AD84" s="145" t="str">
        <f>IF(A84="","",posicao_contratual!E84)</f>
        <v/>
      </c>
      <c r="AE84" s="145" t="str">
        <f>IF(A84="","",posicao_contratual!I84)</f>
        <v/>
      </c>
      <c r="AF84" s="145" t="str">
        <f>IF(A84="","",posicao_contratual!M84)</f>
        <v/>
      </c>
      <c r="AG84" s="145" t="str">
        <f>IF(A84="","",posicao_contratual!Q84)</f>
        <v/>
      </c>
      <c r="AH84" s="145" t="str">
        <f>IF(A84="","",posicao_contratual!U84)</f>
        <v/>
      </c>
      <c r="AI84" s="145" t="str">
        <f>IF(A84="","",posicao_contratual!G84)</f>
        <v/>
      </c>
      <c r="AJ84" s="145" t="str">
        <f>IF(A84="","",posicao_contratual!K84)</f>
        <v/>
      </c>
      <c r="AK84" s="145" t="str">
        <f>IF(A84="","",posicao_contratual!O84)</f>
        <v/>
      </c>
      <c r="AL84" s="145" t="str">
        <f>IF(A84="","",posicao_contratual!S84)</f>
        <v/>
      </c>
      <c r="AM84" s="145" t="str">
        <f>IF(A84="","",posicao_contratual!W84)</f>
        <v/>
      </c>
      <c r="AN84" s="146" t="str">
        <f>IF(A84="","",posicao_contratual!X84)</f>
        <v/>
      </c>
      <c r="AO84" t="str">
        <f>IF($A84="","",ROUND(SUMIFS(itens_Consumidos!$E$2:$E$200,itens_Consumidos!$A$2:$A$200,$A84),2))</f>
        <v/>
      </c>
      <c r="AP84" t="str">
        <f t="shared" si="12"/>
        <v/>
      </c>
      <c r="AQ84" t="str">
        <f>IF(OR($A84="",AB84="",MEMORIA_RESULTADOS!$I$258=""),"",ROUND(AB84*$C84*(MEMORIA_RESULTADOS!$I$258-1),2))</f>
        <v/>
      </c>
      <c r="AR84" t="str">
        <f>IF(OR($A84="",AP84="",MEMORIA_RESULTADOS!$I$258=""),"",ROUND(AP84*$C84*(parametros!$F$2-MEMORIA_RESULTADOS!$I$258),2))</f>
        <v/>
      </c>
      <c r="AS84" t="str">
        <f>IF($A84="","",ROUND(SUMIFS(itens_Consumidos!$G$2:$G$200,itens_Consumidos!$A$2:$A$200,$A84),2))</f>
        <v/>
      </c>
      <c r="AT84" t="str">
        <f t="shared" si="13"/>
        <v/>
      </c>
      <c r="AU84" t="str">
        <f>IF(OR($A84="",M84="",MEMORIA_RESULTADOS!$I$259=""),"",ROUND(M84*$C84*(MEMORIA_RESULTADOS!$I$259-1),2))</f>
        <v/>
      </c>
      <c r="AV84" t="str">
        <f>IF(OR($A84="",AT84="",MEMORIA_RESULTADOS!$I$259=""),"",ROUND(AT84*$C84*(parametros!$F$3-MEMORIA_RESULTADOS!$I$259),2))</f>
        <v/>
      </c>
      <c r="AW84" t="str">
        <f>IF($A84="","",ROUND(SUMIFS(itens_Consumidos!$I$2:$I$200,itens_Consumidos!$A$2:$A$200,$A84),2))</f>
        <v/>
      </c>
      <c r="AX84" t="str">
        <f t="shared" si="14"/>
        <v/>
      </c>
      <c r="AY84" t="str">
        <f>IF(OR($A84="",O84="",MEMORIA_RESULTADOS!$I$260=""),"",ROUND(O84*$C84*(MEMORIA_RESULTADOS!$I$260-1),2))</f>
        <v/>
      </c>
      <c r="AZ84" t="str">
        <f>IF(OR($A84="",AX84="",MEMORIA_RESULTADOS!$I$260=""),"",ROUND(AX84*$C84*(parametros!$F$4-MEMORIA_RESULTADOS!$I$260),2))</f>
        <v/>
      </c>
      <c r="BA84" t="str">
        <f>IF($A84="","",ROUND(SUMIFS(itens_Consumidos!$K$2:$K$200,itens_Consumidos!$A$2:$A$200,$A84),2))</f>
        <v/>
      </c>
      <c r="BB84" t="str">
        <f t="shared" si="15"/>
        <v/>
      </c>
      <c r="BC84" t="str">
        <f>IF(OR($A84="",Q84="",MEMORIA_RESULTADOS!$I$261=""),"",ROUND(Q84*$C84*(MEMORIA_RESULTADOS!$I$261-1),2))</f>
        <v/>
      </c>
      <c r="BD84" t="str">
        <f>IF(OR($A84="",BB84="",MEMORIA_RESULTADOS!$I$261=""),"",ROUND(BB84*$C84*(parametros!$F$5-MEMORIA_RESULTADOS!$I$261),2))</f>
        <v/>
      </c>
      <c r="BE84" t="str">
        <f>IF($A84="","",ROUND(SUMIFS(itens_Consumidos!$M$2:$M$200,itens_Consumidos!$A$2:$A$200,$A84),2))</f>
        <v/>
      </c>
      <c r="BF84" t="str">
        <f t="shared" si="16"/>
        <v/>
      </c>
      <c r="BG84" t="str">
        <f>IF(OR($A84="",S84="",MEMORIA_RESULTADOS!$I$262=""),"",ROUND(S84*$C84*(MEMORIA_RESULTADOS!$I$262-1),2))</f>
        <v/>
      </c>
      <c r="BH84" t="str">
        <f>IF(OR($A84="",BF84="",MEMORIA_RESULTADOS!$I$262=""),"",ROUND(BF84*$C84*(parametros!$F$6-MEMORIA_RESULTADOS!$I$262),2))</f>
        <v/>
      </c>
      <c r="BI84" t="str">
        <f>IF($A84="","",IF(posicao_contratual!$AL84="","",posicao_contratual!$AL84))</f>
        <v/>
      </c>
    </row>
    <row r="85" spans="1:61" x14ac:dyDescent="0.35">
      <c r="A85" s="81"/>
      <c r="B85" s="82" t="str">
        <f t="shared" si="17"/>
        <v/>
      </c>
      <c r="C85" s="83"/>
      <c r="D85" s="79" t="str">
        <f>IF(AND(A85="",A84&lt;&gt;"",COUNTIF(A86:$A$200,"&lt;&gt;")=0),ROUND(SUMIF($A$2:A84,"&lt;&gt;",$D$2:D84),2),IF(OR(A85="",B85="",C85=""),"",ROUND(B85*C85,2)))</f>
        <v/>
      </c>
      <c r="E85" s="84"/>
      <c r="F85" s="79" t="str">
        <f>IF(AND(A85="",A84&lt;&gt;"",COUNTIF(A86:$A$200,"&lt;&gt;")=0),IF(COUNT(F$2:F84)=0,"",ROUND(SUMIF($A$2:A84,"&lt;&gt;",F$2:F84),2)),IF(OR(A85="",AND(ISNUMBER(posicao_contratual!$AL85),posicao_contratual!$AL85&gt;1),posicao_contratual!K85="",NOT(ISNUMBER(historico_VU!D85))),"",ROUND(posicao_contratual!K85*historico_VU!D85,2)))</f>
        <v/>
      </c>
      <c r="G85" s="84"/>
      <c r="H85" s="79" t="str">
        <f>IF(AND(A85="",A84&lt;&gt;"",COUNTIF(A86:$A$200,"&lt;&gt;")=0),IF(COUNT(H$2:H84)=0,"",ROUND(SUMIF($A$2:A84,"&lt;&gt;",H$2:H84),2)),IF(OR(A85="",AND(ISNUMBER(posicao_contratual!$AL85),posicao_contratual!$AL85&gt;2),posicao_contratual!O85="",NOT(ISNUMBER(historico_VU!E85))),"",ROUND(posicao_contratual!O85*historico_VU!E85,2)))</f>
        <v/>
      </c>
      <c r="I85" s="84"/>
      <c r="J85" s="79" t="str">
        <f>IF(AND(A85="",A84&lt;&gt;"",COUNTIF(A86:$A$200,"&lt;&gt;")=0),IF(COUNT(J$2:J84)=0,"",ROUND(SUMIF($A$2:A84,"&lt;&gt;",J$2:J84),2)),IF(OR(A85="",AND(ISNUMBER(posicao_contratual!$AL85),posicao_contratual!$AL85&gt;3),posicao_contratual!S85="",NOT(ISNUMBER(historico_VU!F85))),"",ROUND(posicao_contratual!S85*historico_VU!F85,2)))</f>
        <v/>
      </c>
      <c r="K85" s="84"/>
      <c r="L85" s="79" t="str">
        <f>IF(AND(A85="",A84&lt;&gt;"",COUNTIF(A86:$A$200,"&lt;&gt;")=0),IF(COUNT(L$2:L84)=0,"",ROUND(SUMIF($A$2:A84,"&lt;&gt;",L$2:L84),2)),IF(OR(A85="",AND(ISNUMBER(posicao_contratual!$AL85),posicao_contratual!$AL85&gt;4),posicao_contratual!W85="",NOT(ISNUMBER(historico_VU!G85))),"",ROUND(posicao_contratual!W85*historico_VU!G85,2)))</f>
        <v/>
      </c>
      <c r="M85" s="85" t="str">
        <f>IF(OR(posicao_contratual!J85="",posicao_contratual!N85=""),"",ROUND(MAX(posicao_contratual!J85+posicao_contratual!H85-posicao_contratual!N85,0),2))</f>
        <v/>
      </c>
      <c r="N85" s="79" t="str">
        <f>IF(AND(A85="",A84&lt;&gt;"",COUNTIF(A86:$A$200,"&lt;&gt;")=0),IF(COUNT(N$2:N84)=0,"",ROUND(SUMIF($A$2:A84,"&lt;&gt;",N$2:N84),2)),IF(OR(M85="",NOT(ISNUMBER(historico_VU!D85))),"",ROUND(M85*historico_VU!D85,2)))</f>
        <v/>
      </c>
      <c r="O85" s="85" t="str">
        <f>IF(OR(posicao_contratual!N85="",posicao_contratual!R85=""),"",ROUND(MAX(posicao_contratual!N85+posicao_contratual!L85-posicao_contratual!R85,0),2))</f>
        <v/>
      </c>
      <c r="P85" s="79" t="str">
        <f>IF(AND(A85="",A84&lt;&gt;"",COUNTIF(A86:$A$200,"&lt;&gt;")=0),IF(COUNT(P$2:P84)=0,"",ROUND(SUMIF($A$2:A84,"&lt;&gt;",P$2:P84),2)),IF(OR(O85="",NOT(ISNUMBER(historico_VU!E85))),"",ROUND(O85*historico_VU!E85,2)))</f>
        <v/>
      </c>
      <c r="Q85" s="85" t="str">
        <f>IF(OR(posicao_contratual!R85="",posicao_contratual!V85=""),"",ROUND(MAX(posicao_contratual!R85+posicao_contratual!P85-posicao_contratual!V85,0),2))</f>
        <v/>
      </c>
      <c r="R85" s="79" t="str">
        <f>IF(AND(A85="",A84&lt;&gt;"",COUNTIF(A86:$A$200,"&lt;&gt;")=0),IF(COUNT(R$2:R84)=0,"",ROUND(SUMIF($A$2:A84,"&lt;&gt;",R$2:R84),2)),IF(OR(Q85="",NOT(ISNUMBER(historico_VU!F85))),"",ROUND(Q85*historico_VU!F85,2)))</f>
        <v/>
      </c>
      <c r="S85" s="21"/>
      <c r="T85" s="22" t="str">
        <f>IF(AND(A85="",A84&lt;&gt;"",COUNTIF(A86:$A$200,"&lt;&gt;")=0),IF(COUNT(T$2:T84)=0,"",ROUND(SUMIF($A$2:A84,"&lt;&gt;",T$2:T84),2)),IF(OR(S85="",NOT(ISNUMBER(historico_VU!G85))),"",ROUND(S85*historico_VU!G85,2)))</f>
        <v/>
      </c>
      <c r="U85" s="86" t="str">
        <f>IF(AND(A85="",A84&lt;&gt;"",COUNTIF(A86:$A$200,"&lt;&gt;")=0),"TOTAL",IF(A85="","",posicao_contratual!X85))</f>
        <v/>
      </c>
      <c r="V85" s="86" t="str">
        <f>IF(A85="","",posicao_contratual!X85)</f>
        <v/>
      </c>
      <c r="W85" s="14"/>
      <c r="X85" s="14"/>
      <c r="Y85" s="14"/>
      <c r="Z85" s="13"/>
      <c r="AA85" s="13"/>
      <c r="AB85" s="85" t="str">
        <f>IF(OR(A85="",posicao_contratual!E85="",posicao_contratual!J85=""),"",ROUND(MAX(posicao_contratual!E85-posicao_contratual!J85,0),2))</f>
        <v/>
      </c>
      <c r="AC85" s="79" t="str">
        <f>IF(AND(A85="",A84&lt;&gt;"",COUNTIF(A86:$A$200,"&lt;&gt;")=0),IF(COUNT(AC$2:AC84)=0,"",ROUND(SUMIF($A$2:A84,"&lt;&gt;",AC$2:AC84),2)),IF(OR(AB85="",NOT(ISNUMBER(historico_VU!C85))),"",ROUND(AB85*historico_VU!C85,2)))</f>
        <v/>
      </c>
      <c r="AD85" s="145" t="str">
        <f>IF(A85="","",posicao_contratual!E85)</f>
        <v/>
      </c>
      <c r="AE85" s="145" t="str">
        <f>IF(A85="","",posicao_contratual!I85)</f>
        <v/>
      </c>
      <c r="AF85" s="145" t="str">
        <f>IF(A85="","",posicao_contratual!M85)</f>
        <v/>
      </c>
      <c r="AG85" s="145" t="str">
        <f>IF(A85="","",posicao_contratual!Q85)</f>
        <v/>
      </c>
      <c r="AH85" s="145" t="str">
        <f>IF(A85="","",posicao_contratual!U85)</f>
        <v/>
      </c>
      <c r="AI85" s="145" t="str">
        <f>IF(A85="","",posicao_contratual!G85)</f>
        <v/>
      </c>
      <c r="AJ85" s="145" t="str">
        <f>IF(A85="","",posicao_contratual!K85)</f>
        <v/>
      </c>
      <c r="AK85" s="145" t="str">
        <f>IF(A85="","",posicao_contratual!O85)</f>
        <v/>
      </c>
      <c r="AL85" s="145" t="str">
        <f>IF(A85="","",posicao_contratual!S85)</f>
        <v/>
      </c>
      <c r="AM85" s="145" t="str">
        <f>IF(A85="","",posicao_contratual!W85)</f>
        <v/>
      </c>
      <c r="AN85" s="146" t="str">
        <f>IF(A85="","",posicao_contratual!X85)</f>
        <v/>
      </c>
      <c r="AO85" t="str">
        <f>IF($A85="","",ROUND(SUMIFS(itens_Consumidos!$E$2:$E$200,itens_Consumidos!$A$2:$A$200,$A85),2))</f>
        <v/>
      </c>
      <c r="AP85" t="str">
        <f t="shared" si="12"/>
        <v/>
      </c>
      <c r="AQ85" t="str">
        <f>IF(OR($A85="",AB85="",MEMORIA_RESULTADOS!$I$258=""),"",ROUND(AB85*$C85*(MEMORIA_RESULTADOS!$I$258-1),2))</f>
        <v/>
      </c>
      <c r="AR85" t="str">
        <f>IF(OR($A85="",AP85="",MEMORIA_RESULTADOS!$I$258=""),"",ROUND(AP85*$C85*(parametros!$F$2-MEMORIA_RESULTADOS!$I$258),2))</f>
        <v/>
      </c>
      <c r="AS85" t="str">
        <f>IF($A85="","",ROUND(SUMIFS(itens_Consumidos!$G$2:$G$200,itens_Consumidos!$A$2:$A$200,$A85),2))</f>
        <v/>
      </c>
      <c r="AT85" t="str">
        <f t="shared" si="13"/>
        <v/>
      </c>
      <c r="AU85" t="str">
        <f>IF(OR($A85="",M85="",MEMORIA_RESULTADOS!$I$259=""),"",ROUND(M85*$C85*(MEMORIA_RESULTADOS!$I$259-1),2))</f>
        <v/>
      </c>
      <c r="AV85" t="str">
        <f>IF(OR($A85="",AT85="",MEMORIA_RESULTADOS!$I$259=""),"",ROUND(AT85*$C85*(parametros!$F$3-MEMORIA_RESULTADOS!$I$259),2))</f>
        <v/>
      </c>
      <c r="AW85" t="str">
        <f>IF($A85="","",ROUND(SUMIFS(itens_Consumidos!$I$2:$I$200,itens_Consumidos!$A$2:$A$200,$A85),2))</f>
        <v/>
      </c>
      <c r="AX85" t="str">
        <f t="shared" si="14"/>
        <v/>
      </c>
      <c r="AY85" t="str">
        <f>IF(OR($A85="",O85="",MEMORIA_RESULTADOS!$I$260=""),"",ROUND(O85*$C85*(MEMORIA_RESULTADOS!$I$260-1),2))</f>
        <v/>
      </c>
      <c r="AZ85" t="str">
        <f>IF(OR($A85="",AX85="",MEMORIA_RESULTADOS!$I$260=""),"",ROUND(AX85*$C85*(parametros!$F$4-MEMORIA_RESULTADOS!$I$260),2))</f>
        <v/>
      </c>
      <c r="BA85" t="str">
        <f>IF($A85="","",ROUND(SUMIFS(itens_Consumidos!$K$2:$K$200,itens_Consumidos!$A$2:$A$200,$A85),2))</f>
        <v/>
      </c>
      <c r="BB85" t="str">
        <f t="shared" si="15"/>
        <v/>
      </c>
      <c r="BC85" t="str">
        <f>IF(OR($A85="",Q85="",MEMORIA_RESULTADOS!$I$261=""),"",ROUND(Q85*$C85*(MEMORIA_RESULTADOS!$I$261-1),2))</f>
        <v/>
      </c>
      <c r="BD85" t="str">
        <f>IF(OR($A85="",BB85="",MEMORIA_RESULTADOS!$I$261=""),"",ROUND(BB85*$C85*(parametros!$F$5-MEMORIA_RESULTADOS!$I$261),2))</f>
        <v/>
      </c>
      <c r="BE85" t="str">
        <f>IF($A85="","",ROUND(SUMIFS(itens_Consumidos!$M$2:$M$200,itens_Consumidos!$A$2:$A$200,$A85),2))</f>
        <v/>
      </c>
      <c r="BF85" t="str">
        <f t="shared" si="16"/>
        <v/>
      </c>
      <c r="BG85" t="str">
        <f>IF(OR($A85="",S85="",MEMORIA_RESULTADOS!$I$262=""),"",ROUND(S85*$C85*(MEMORIA_RESULTADOS!$I$262-1),2))</f>
        <v/>
      </c>
      <c r="BH85" t="str">
        <f>IF(OR($A85="",BF85="",MEMORIA_RESULTADOS!$I$262=""),"",ROUND(BF85*$C85*(parametros!$F$6-MEMORIA_RESULTADOS!$I$262),2))</f>
        <v/>
      </c>
      <c r="BI85" t="str">
        <f>IF($A85="","",IF(posicao_contratual!$AL85="","",posicao_contratual!$AL85))</f>
        <v/>
      </c>
    </row>
    <row r="86" spans="1:61" x14ac:dyDescent="0.35">
      <c r="A86" s="81"/>
      <c r="B86" s="82" t="str">
        <f t="shared" si="17"/>
        <v/>
      </c>
      <c r="C86" s="83"/>
      <c r="D86" s="79" t="str">
        <f>IF(AND(A86="",A85&lt;&gt;"",COUNTIF(A87:$A$200,"&lt;&gt;")=0),ROUND(SUMIF($A$2:A85,"&lt;&gt;",$D$2:D85),2),IF(OR(A86="",B86="",C86=""),"",ROUND(B86*C86,2)))</f>
        <v/>
      </c>
      <c r="E86" s="84"/>
      <c r="F86" s="79" t="str">
        <f>IF(AND(A86="",A85&lt;&gt;"",COUNTIF(A87:$A$200,"&lt;&gt;")=0),IF(COUNT(F$2:F85)=0,"",ROUND(SUMIF($A$2:A85,"&lt;&gt;",F$2:F85),2)),IF(OR(A86="",AND(ISNUMBER(posicao_contratual!$AL86),posicao_contratual!$AL86&gt;1),posicao_contratual!K86="",NOT(ISNUMBER(historico_VU!D86))),"",ROUND(posicao_contratual!K86*historico_VU!D86,2)))</f>
        <v/>
      </c>
      <c r="G86" s="84"/>
      <c r="H86" s="79" t="str">
        <f>IF(AND(A86="",A85&lt;&gt;"",COUNTIF(A87:$A$200,"&lt;&gt;")=0),IF(COUNT(H$2:H85)=0,"",ROUND(SUMIF($A$2:A85,"&lt;&gt;",H$2:H85),2)),IF(OR(A86="",AND(ISNUMBER(posicao_contratual!$AL86),posicao_contratual!$AL86&gt;2),posicao_contratual!O86="",NOT(ISNUMBER(historico_VU!E86))),"",ROUND(posicao_contratual!O86*historico_VU!E86,2)))</f>
        <v/>
      </c>
      <c r="I86" s="84"/>
      <c r="J86" s="79" t="str">
        <f>IF(AND(A86="",A85&lt;&gt;"",COUNTIF(A87:$A$200,"&lt;&gt;")=0),IF(COUNT(J$2:J85)=0,"",ROUND(SUMIF($A$2:A85,"&lt;&gt;",J$2:J85),2)),IF(OR(A86="",AND(ISNUMBER(posicao_contratual!$AL86),posicao_contratual!$AL86&gt;3),posicao_contratual!S86="",NOT(ISNUMBER(historico_VU!F86))),"",ROUND(posicao_contratual!S86*historico_VU!F86,2)))</f>
        <v/>
      </c>
      <c r="K86" s="84"/>
      <c r="L86" s="79" t="str">
        <f>IF(AND(A86="",A85&lt;&gt;"",COUNTIF(A87:$A$200,"&lt;&gt;")=0),IF(COUNT(L$2:L85)=0,"",ROUND(SUMIF($A$2:A85,"&lt;&gt;",L$2:L85),2)),IF(OR(A86="",AND(ISNUMBER(posicao_contratual!$AL86),posicao_contratual!$AL86&gt;4),posicao_contratual!W86="",NOT(ISNUMBER(historico_VU!G86))),"",ROUND(posicao_contratual!W86*historico_VU!G86,2)))</f>
        <v/>
      </c>
      <c r="M86" s="85" t="str">
        <f>IF(OR(posicao_contratual!J86="",posicao_contratual!N86=""),"",ROUND(MAX(posicao_contratual!J86+posicao_contratual!H86-posicao_contratual!N86,0),2))</f>
        <v/>
      </c>
      <c r="N86" s="79" t="str">
        <f>IF(AND(A86="",A85&lt;&gt;"",COUNTIF(A87:$A$200,"&lt;&gt;")=0),IF(COUNT(N$2:N85)=0,"",ROUND(SUMIF($A$2:A85,"&lt;&gt;",N$2:N85),2)),IF(OR(M86="",NOT(ISNUMBER(historico_VU!D86))),"",ROUND(M86*historico_VU!D86,2)))</f>
        <v/>
      </c>
      <c r="O86" s="85" t="str">
        <f>IF(OR(posicao_contratual!N86="",posicao_contratual!R86=""),"",ROUND(MAX(posicao_contratual!N86+posicao_contratual!L86-posicao_contratual!R86,0),2))</f>
        <v/>
      </c>
      <c r="P86" s="79" t="str">
        <f>IF(AND(A86="",A85&lt;&gt;"",COUNTIF(A87:$A$200,"&lt;&gt;")=0),IF(COUNT(P$2:P85)=0,"",ROUND(SUMIF($A$2:A85,"&lt;&gt;",P$2:P85),2)),IF(OR(O86="",NOT(ISNUMBER(historico_VU!E86))),"",ROUND(O86*historico_VU!E86,2)))</f>
        <v/>
      </c>
      <c r="Q86" s="85" t="str">
        <f>IF(OR(posicao_contratual!R86="",posicao_contratual!V86=""),"",ROUND(MAX(posicao_contratual!R86+posicao_contratual!P86-posicao_contratual!V86,0),2))</f>
        <v/>
      </c>
      <c r="R86" s="79" t="str">
        <f>IF(AND(A86="",A85&lt;&gt;"",COUNTIF(A87:$A$200,"&lt;&gt;")=0),IF(COUNT(R$2:R85)=0,"",ROUND(SUMIF($A$2:A85,"&lt;&gt;",R$2:R85),2)),IF(OR(Q86="",NOT(ISNUMBER(historico_VU!F86))),"",ROUND(Q86*historico_VU!F86,2)))</f>
        <v/>
      </c>
      <c r="S86" s="21"/>
      <c r="T86" s="22" t="str">
        <f>IF(AND(A86="",A85&lt;&gt;"",COUNTIF(A87:$A$200,"&lt;&gt;")=0),IF(COUNT(T$2:T85)=0,"",ROUND(SUMIF($A$2:A85,"&lt;&gt;",T$2:T85),2)),IF(OR(S86="",NOT(ISNUMBER(historico_VU!G86))),"",ROUND(S86*historico_VU!G86,2)))</f>
        <v/>
      </c>
      <c r="U86" s="86" t="str">
        <f>IF(AND(A86="",A85&lt;&gt;"",COUNTIF(A87:$A$200,"&lt;&gt;")=0),"TOTAL",IF(A86="","",posicao_contratual!X86))</f>
        <v/>
      </c>
      <c r="V86" s="86" t="str">
        <f>IF(A86="","",posicao_contratual!X86)</f>
        <v/>
      </c>
      <c r="W86" s="14"/>
      <c r="X86" s="14"/>
      <c r="Y86" s="14"/>
      <c r="Z86" s="13"/>
      <c r="AA86" s="13"/>
      <c r="AB86" s="85" t="str">
        <f>IF(OR(A86="",posicao_contratual!E86="",posicao_contratual!J86=""),"",ROUND(MAX(posicao_contratual!E86-posicao_contratual!J86,0),2))</f>
        <v/>
      </c>
      <c r="AC86" s="79" t="str">
        <f>IF(AND(A86="",A85&lt;&gt;"",COUNTIF(A87:$A$200,"&lt;&gt;")=0),IF(COUNT(AC$2:AC85)=0,"",ROUND(SUMIF($A$2:A85,"&lt;&gt;",AC$2:AC85),2)),IF(OR(AB86="",NOT(ISNUMBER(historico_VU!C86))),"",ROUND(AB86*historico_VU!C86,2)))</f>
        <v/>
      </c>
      <c r="AD86" s="145" t="str">
        <f>IF(A86="","",posicao_contratual!E86)</f>
        <v/>
      </c>
      <c r="AE86" s="145" t="str">
        <f>IF(A86="","",posicao_contratual!I86)</f>
        <v/>
      </c>
      <c r="AF86" s="145" t="str">
        <f>IF(A86="","",posicao_contratual!M86)</f>
        <v/>
      </c>
      <c r="AG86" s="145" t="str">
        <f>IF(A86="","",posicao_contratual!Q86)</f>
        <v/>
      </c>
      <c r="AH86" s="145" t="str">
        <f>IF(A86="","",posicao_contratual!U86)</f>
        <v/>
      </c>
      <c r="AI86" s="145" t="str">
        <f>IF(A86="","",posicao_contratual!G86)</f>
        <v/>
      </c>
      <c r="AJ86" s="145" t="str">
        <f>IF(A86="","",posicao_contratual!K86)</f>
        <v/>
      </c>
      <c r="AK86" s="145" t="str">
        <f>IF(A86="","",posicao_contratual!O86)</f>
        <v/>
      </c>
      <c r="AL86" s="145" t="str">
        <f>IF(A86="","",posicao_contratual!S86)</f>
        <v/>
      </c>
      <c r="AM86" s="145" t="str">
        <f>IF(A86="","",posicao_contratual!W86)</f>
        <v/>
      </c>
      <c r="AN86" s="146" t="str">
        <f>IF(A86="","",posicao_contratual!X86)</f>
        <v/>
      </c>
      <c r="AO86" t="str">
        <f>IF($A86="","",ROUND(SUMIFS(itens_Consumidos!$E$2:$E$200,itens_Consumidos!$A$2:$A$200,$A86),2))</f>
        <v/>
      </c>
      <c r="AP86" t="str">
        <f t="shared" si="12"/>
        <v/>
      </c>
      <c r="AQ86" t="str">
        <f>IF(OR($A86="",AB86="",MEMORIA_RESULTADOS!$I$258=""),"",ROUND(AB86*$C86*(MEMORIA_RESULTADOS!$I$258-1),2))</f>
        <v/>
      </c>
      <c r="AR86" t="str">
        <f>IF(OR($A86="",AP86="",MEMORIA_RESULTADOS!$I$258=""),"",ROUND(AP86*$C86*(parametros!$F$2-MEMORIA_RESULTADOS!$I$258),2))</f>
        <v/>
      </c>
      <c r="AS86" t="str">
        <f>IF($A86="","",ROUND(SUMIFS(itens_Consumidos!$G$2:$G$200,itens_Consumidos!$A$2:$A$200,$A86),2))</f>
        <v/>
      </c>
      <c r="AT86" t="str">
        <f t="shared" si="13"/>
        <v/>
      </c>
      <c r="AU86" t="str">
        <f>IF(OR($A86="",M86="",MEMORIA_RESULTADOS!$I$259=""),"",ROUND(M86*$C86*(MEMORIA_RESULTADOS!$I$259-1),2))</f>
        <v/>
      </c>
      <c r="AV86" t="str">
        <f>IF(OR($A86="",AT86="",MEMORIA_RESULTADOS!$I$259=""),"",ROUND(AT86*$C86*(parametros!$F$3-MEMORIA_RESULTADOS!$I$259),2))</f>
        <v/>
      </c>
      <c r="AW86" t="str">
        <f>IF($A86="","",ROUND(SUMIFS(itens_Consumidos!$I$2:$I$200,itens_Consumidos!$A$2:$A$200,$A86),2))</f>
        <v/>
      </c>
      <c r="AX86" t="str">
        <f t="shared" si="14"/>
        <v/>
      </c>
      <c r="AY86" t="str">
        <f>IF(OR($A86="",O86="",MEMORIA_RESULTADOS!$I$260=""),"",ROUND(O86*$C86*(MEMORIA_RESULTADOS!$I$260-1),2))</f>
        <v/>
      </c>
      <c r="AZ86" t="str">
        <f>IF(OR($A86="",AX86="",MEMORIA_RESULTADOS!$I$260=""),"",ROUND(AX86*$C86*(parametros!$F$4-MEMORIA_RESULTADOS!$I$260),2))</f>
        <v/>
      </c>
      <c r="BA86" t="str">
        <f>IF($A86="","",ROUND(SUMIFS(itens_Consumidos!$K$2:$K$200,itens_Consumidos!$A$2:$A$200,$A86),2))</f>
        <v/>
      </c>
      <c r="BB86" t="str">
        <f t="shared" si="15"/>
        <v/>
      </c>
      <c r="BC86" t="str">
        <f>IF(OR($A86="",Q86="",MEMORIA_RESULTADOS!$I$261=""),"",ROUND(Q86*$C86*(MEMORIA_RESULTADOS!$I$261-1),2))</f>
        <v/>
      </c>
      <c r="BD86" t="str">
        <f>IF(OR($A86="",BB86="",MEMORIA_RESULTADOS!$I$261=""),"",ROUND(BB86*$C86*(parametros!$F$5-MEMORIA_RESULTADOS!$I$261),2))</f>
        <v/>
      </c>
      <c r="BE86" t="str">
        <f>IF($A86="","",ROUND(SUMIFS(itens_Consumidos!$M$2:$M$200,itens_Consumidos!$A$2:$A$200,$A86),2))</f>
        <v/>
      </c>
      <c r="BF86" t="str">
        <f t="shared" si="16"/>
        <v/>
      </c>
      <c r="BG86" t="str">
        <f>IF(OR($A86="",S86="",MEMORIA_RESULTADOS!$I$262=""),"",ROUND(S86*$C86*(MEMORIA_RESULTADOS!$I$262-1),2))</f>
        <v/>
      </c>
      <c r="BH86" t="str">
        <f>IF(OR($A86="",BF86="",MEMORIA_RESULTADOS!$I$262=""),"",ROUND(BF86*$C86*(parametros!$F$6-MEMORIA_RESULTADOS!$I$262),2))</f>
        <v/>
      </c>
      <c r="BI86" t="str">
        <f>IF($A86="","",IF(posicao_contratual!$AL86="","",posicao_contratual!$AL86))</f>
        <v/>
      </c>
    </row>
    <row r="87" spans="1:61" x14ac:dyDescent="0.35">
      <c r="A87" s="81"/>
      <c r="B87" s="82" t="str">
        <f t="shared" si="17"/>
        <v/>
      </c>
      <c r="C87" s="83"/>
      <c r="D87" s="79" t="str">
        <f>IF(AND(A87="",A86&lt;&gt;"",COUNTIF(A88:$A$200,"&lt;&gt;")=0),ROUND(SUMIF($A$2:A86,"&lt;&gt;",$D$2:D86),2),IF(OR(A87="",B87="",C87=""),"",ROUND(B87*C87,2)))</f>
        <v/>
      </c>
      <c r="E87" s="84"/>
      <c r="F87" s="79" t="str">
        <f>IF(AND(A87="",A86&lt;&gt;"",COUNTIF(A88:$A$200,"&lt;&gt;")=0),IF(COUNT(F$2:F86)=0,"",ROUND(SUMIF($A$2:A86,"&lt;&gt;",F$2:F86),2)),IF(OR(A87="",AND(ISNUMBER(posicao_contratual!$AL87),posicao_contratual!$AL87&gt;1),posicao_contratual!K87="",NOT(ISNUMBER(historico_VU!D87))),"",ROUND(posicao_contratual!K87*historico_VU!D87,2)))</f>
        <v/>
      </c>
      <c r="G87" s="84"/>
      <c r="H87" s="79" t="str">
        <f>IF(AND(A87="",A86&lt;&gt;"",COUNTIF(A88:$A$200,"&lt;&gt;")=0),IF(COUNT(H$2:H86)=0,"",ROUND(SUMIF($A$2:A86,"&lt;&gt;",H$2:H86),2)),IF(OR(A87="",AND(ISNUMBER(posicao_contratual!$AL87),posicao_contratual!$AL87&gt;2),posicao_contratual!O87="",NOT(ISNUMBER(historico_VU!E87))),"",ROUND(posicao_contratual!O87*historico_VU!E87,2)))</f>
        <v/>
      </c>
      <c r="I87" s="84"/>
      <c r="J87" s="79" t="str">
        <f>IF(AND(A87="",A86&lt;&gt;"",COUNTIF(A88:$A$200,"&lt;&gt;")=0),IF(COUNT(J$2:J86)=0,"",ROUND(SUMIF($A$2:A86,"&lt;&gt;",J$2:J86),2)),IF(OR(A87="",AND(ISNUMBER(posicao_contratual!$AL87),posicao_contratual!$AL87&gt;3),posicao_contratual!S87="",NOT(ISNUMBER(historico_VU!F87))),"",ROUND(posicao_contratual!S87*historico_VU!F87,2)))</f>
        <v/>
      </c>
      <c r="K87" s="84"/>
      <c r="L87" s="79" t="str">
        <f>IF(AND(A87="",A86&lt;&gt;"",COUNTIF(A88:$A$200,"&lt;&gt;")=0),IF(COUNT(L$2:L86)=0,"",ROUND(SUMIF($A$2:A86,"&lt;&gt;",L$2:L86),2)),IF(OR(A87="",AND(ISNUMBER(posicao_contratual!$AL87),posicao_contratual!$AL87&gt;4),posicao_contratual!W87="",NOT(ISNUMBER(historico_VU!G87))),"",ROUND(posicao_contratual!W87*historico_VU!G87,2)))</f>
        <v/>
      </c>
      <c r="M87" s="85" t="str">
        <f>IF(OR(posicao_contratual!J87="",posicao_contratual!N87=""),"",ROUND(MAX(posicao_contratual!J87+posicao_contratual!H87-posicao_contratual!N87,0),2))</f>
        <v/>
      </c>
      <c r="N87" s="79" t="str">
        <f>IF(AND(A87="",A86&lt;&gt;"",COUNTIF(A88:$A$200,"&lt;&gt;")=0),IF(COUNT(N$2:N86)=0,"",ROUND(SUMIF($A$2:A86,"&lt;&gt;",N$2:N86),2)),IF(OR(M87="",NOT(ISNUMBER(historico_VU!D87))),"",ROUND(M87*historico_VU!D87,2)))</f>
        <v/>
      </c>
      <c r="O87" s="85" t="str">
        <f>IF(OR(posicao_contratual!N87="",posicao_contratual!R87=""),"",ROUND(MAX(posicao_contratual!N87+posicao_contratual!L87-posicao_contratual!R87,0),2))</f>
        <v/>
      </c>
      <c r="P87" s="79" t="str">
        <f>IF(AND(A87="",A86&lt;&gt;"",COUNTIF(A88:$A$200,"&lt;&gt;")=0),IF(COUNT(P$2:P86)=0,"",ROUND(SUMIF($A$2:A86,"&lt;&gt;",P$2:P86),2)),IF(OR(O87="",NOT(ISNUMBER(historico_VU!E87))),"",ROUND(O87*historico_VU!E87,2)))</f>
        <v/>
      </c>
      <c r="Q87" s="85" t="str">
        <f>IF(OR(posicao_contratual!R87="",posicao_contratual!V87=""),"",ROUND(MAX(posicao_contratual!R87+posicao_contratual!P87-posicao_contratual!V87,0),2))</f>
        <v/>
      </c>
      <c r="R87" s="79" t="str">
        <f>IF(AND(A87="",A86&lt;&gt;"",COUNTIF(A88:$A$200,"&lt;&gt;")=0),IF(COUNT(R$2:R86)=0,"",ROUND(SUMIF($A$2:A86,"&lt;&gt;",R$2:R86),2)),IF(OR(Q87="",NOT(ISNUMBER(historico_VU!F87))),"",ROUND(Q87*historico_VU!F87,2)))</f>
        <v/>
      </c>
      <c r="S87" s="21"/>
      <c r="T87" s="22" t="str">
        <f>IF(AND(A87="",A86&lt;&gt;"",COUNTIF(A88:$A$200,"&lt;&gt;")=0),IF(COUNT(T$2:T86)=0,"",ROUND(SUMIF($A$2:A86,"&lt;&gt;",T$2:T86),2)),IF(OR(S87="",NOT(ISNUMBER(historico_VU!G87))),"",ROUND(S87*historico_VU!G87,2)))</f>
        <v/>
      </c>
      <c r="U87" s="86" t="str">
        <f>IF(AND(A87="",A86&lt;&gt;"",COUNTIF(A88:$A$200,"&lt;&gt;")=0),"TOTAL",IF(A87="","",posicao_contratual!X87))</f>
        <v/>
      </c>
      <c r="V87" s="86" t="str">
        <f>IF(A87="","",posicao_contratual!X87)</f>
        <v/>
      </c>
      <c r="W87" s="14"/>
      <c r="X87" s="14"/>
      <c r="Y87" s="14"/>
      <c r="Z87" s="13"/>
      <c r="AA87" s="13"/>
      <c r="AB87" s="85" t="str">
        <f>IF(OR(A87="",posicao_contratual!E87="",posicao_contratual!J87=""),"",ROUND(MAX(posicao_contratual!E87-posicao_contratual!J87,0),2))</f>
        <v/>
      </c>
      <c r="AC87" s="79" t="str">
        <f>IF(AND(A87="",A86&lt;&gt;"",COUNTIF(A88:$A$200,"&lt;&gt;")=0),IF(COUNT(AC$2:AC86)=0,"",ROUND(SUMIF($A$2:A86,"&lt;&gt;",AC$2:AC86),2)),IF(OR(AB87="",NOT(ISNUMBER(historico_VU!C87))),"",ROUND(AB87*historico_VU!C87,2)))</f>
        <v/>
      </c>
      <c r="AD87" s="145" t="str">
        <f>IF(A87="","",posicao_contratual!E87)</f>
        <v/>
      </c>
      <c r="AE87" s="145" t="str">
        <f>IF(A87="","",posicao_contratual!I87)</f>
        <v/>
      </c>
      <c r="AF87" s="145" t="str">
        <f>IF(A87="","",posicao_contratual!M87)</f>
        <v/>
      </c>
      <c r="AG87" s="145" t="str">
        <f>IF(A87="","",posicao_contratual!Q87)</f>
        <v/>
      </c>
      <c r="AH87" s="145" t="str">
        <f>IF(A87="","",posicao_contratual!U87)</f>
        <v/>
      </c>
      <c r="AI87" s="145" t="str">
        <f>IF(A87="","",posicao_contratual!G87)</f>
        <v/>
      </c>
      <c r="AJ87" s="145" t="str">
        <f>IF(A87="","",posicao_contratual!K87)</f>
        <v/>
      </c>
      <c r="AK87" s="145" t="str">
        <f>IF(A87="","",posicao_contratual!O87)</f>
        <v/>
      </c>
      <c r="AL87" s="145" t="str">
        <f>IF(A87="","",posicao_contratual!S87)</f>
        <v/>
      </c>
      <c r="AM87" s="145" t="str">
        <f>IF(A87="","",posicao_contratual!W87)</f>
        <v/>
      </c>
      <c r="AN87" s="146" t="str">
        <f>IF(A87="","",posicao_contratual!X87)</f>
        <v/>
      </c>
      <c r="AO87" t="str">
        <f>IF($A87="","",ROUND(SUMIFS(itens_Consumidos!$E$2:$E$200,itens_Consumidos!$A$2:$A$200,$A87),2))</f>
        <v/>
      </c>
      <c r="AP87" t="str">
        <f t="shared" si="12"/>
        <v/>
      </c>
      <c r="AQ87" t="str">
        <f>IF(OR($A87="",AB87="",MEMORIA_RESULTADOS!$I$258=""),"",ROUND(AB87*$C87*(MEMORIA_RESULTADOS!$I$258-1),2))</f>
        <v/>
      </c>
      <c r="AR87" t="str">
        <f>IF(OR($A87="",AP87="",MEMORIA_RESULTADOS!$I$258=""),"",ROUND(AP87*$C87*(parametros!$F$2-MEMORIA_RESULTADOS!$I$258),2))</f>
        <v/>
      </c>
      <c r="AS87" t="str">
        <f>IF($A87="","",ROUND(SUMIFS(itens_Consumidos!$G$2:$G$200,itens_Consumidos!$A$2:$A$200,$A87),2))</f>
        <v/>
      </c>
      <c r="AT87" t="str">
        <f t="shared" si="13"/>
        <v/>
      </c>
      <c r="AU87" t="str">
        <f>IF(OR($A87="",M87="",MEMORIA_RESULTADOS!$I$259=""),"",ROUND(M87*$C87*(MEMORIA_RESULTADOS!$I$259-1),2))</f>
        <v/>
      </c>
      <c r="AV87" t="str">
        <f>IF(OR($A87="",AT87="",MEMORIA_RESULTADOS!$I$259=""),"",ROUND(AT87*$C87*(parametros!$F$3-MEMORIA_RESULTADOS!$I$259),2))</f>
        <v/>
      </c>
      <c r="AW87" t="str">
        <f>IF($A87="","",ROUND(SUMIFS(itens_Consumidos!$I$2:$I$200,itens_Consumidos!$A$2:$A$200,$A87),2))</f>
        <v/>
      </c>
      <c r="AX87" t="str">
        <f t="shared" si="14"/>
        <v/>
      </c>
      <c r="AY87" t="str">
        <f>IF(OR($A87="",O87="",MEMORIA_RESULTADOS!$I$260=""),"",ROUND(O87*$C87*(MEMORIA_RESULTADOS!$I$260-1),2))</f>
        <v/>
      </c>
      <c r="AZ87" t="str">
        <f>IF(OR($A87="",AX87="",MEMORIA_RESULTADOS!$I$260=""),"",ROUND(AX87*$C87*(parametros!$F$4-MEMORIA_RESULTADOS!$I$260),2))</f>
        <v/>
      </c>
      <c r="BA87" t="str">
        <f>IF($A87="","",ROUND(SUMIFS(itens_Consumidos!$K$2:$K$200,itens_Consumidos!$A$2:$A$200,$A87),2))</f>
        <v/>
      </c>
      <c r="BB87" t="str">
        <f t="shared" si="15"/>
        <v/>
      </c>
      <c r="BC87" t="str">
        <f>IF(OR($A87="",Q87="",MEMORIA_RESULTADOS!$I$261=""),"",ROUND(Q87*$C87*(MEMORIA_RESULTADOS!$I$261-1),2))</f>
        <v/>
      </c>
      <c r="BD87" t="str">
        <f>IF(OR($A87="",BB87="",MEMORIA_RESULTADOS!$I$261=""),"",ROUND(BB87*$C87*(parametros!$F$5-MEMORIA_RESULTADOS!$I$261),2))</f>
        <v/>
      </c>
      <c r="BE87" t="str">
        <f>IF($A87="","",ROUND(SUMIFS(itens_Consumidos!$M$2:$M$200,itens_Consumidos!$A$2:$A$200,$A87),2))</f>
        <v/>
      </c>
      <c r="BF87" t="str">
        <f t="shared" si="16"/>
        <v/>
      </c>
      <c r="BG87" t="str">
        <f>IF(OR($A87="",S87="",MEMORIA_RESULTADOS!$I$262=""),"",ROUND(S87*$C87*(MEMORIA_RESULTADOS!$I$262-1),2))</f>
        <v/>
      </c>
      <c r="BH87" t="str">
        <f>IF(OR($A87="",BF87="",MEMORIA_RESULTADOS!$I$262=""),"",ROUND(BF87*$C87*(parametros!$F$6-MEMORIA_RESULTADOS!$I$262),2))</f>
        <v/>
      </c>
      <c r="BI87" t="str">
        <f>IF($A87="","",IF(posicao_contratual!$AL87="","",posicao_contratual!$AL87))</f>
        <v/>
      </c>
    </row>
    <row r="88" spans="1:61" x14ac:dyDescent="0.35">
      <c r="A88" s="81"/>
      <c r="B88" s="82" t="str">
        <f t="shared" si="17"/>
        <v/>
      </c>
      <c r="C88" s="83"/>
      <c r="D88" s="79" t="str">
        <f>IF(AND(A88="",A87&lt;&gt;"",COUNTIF(A89:$A$200,"&lt;&gt;")=0),ROUND(SUMIF($A$2:A87,"&lt;&gt;",$D$2:D87),2),IF(OR(A88="",B88="",C88=""),"",ROUND(B88*C88,2)))</f>
        <v/>
      </c>
      <c r="E88" s="84"/>
      <c r="F88" s="79" t="str">
        <f>IF(AND(A88="",A87&lt;&gt;"",COUNTIF(A89:$A$200,"&lt;&gt;")=0),IF(COUNT(F$2:F87)=0,"",ROUND(SUMIF($A$2:A87,"&lt;&gt;",F$2:F87),2)),IF(OR(A88="",AND(ISNUMBER(posicao_contratual!$AL88),posicao_contratual!$AL88&gt;1),posicao_contratual!K88="",NOT(ISNUMBER(historico_VU!D88))),"",ROUND(posicao_contratual!K88*historico_VU!D88,2)))</f>
        <v/>
      </c>
      <c r="G88" s="84"/>
      <c r="H88" s="79" t="str">
        <f>IF(AND(A88="",A87&lt;&gt;"",COUNTIF(A89:$A$200,"&lt;&gt;")=0),IF(COUNT(H$2:H87)=0,"",ROUND(SUMIF($A$2:A87,"&lt;&gt;",H$2:H87),2)),IF(OR(A88="",AND(ISNUMBER(posicao_contratual!$AL88),posicao_contratual!$AL88&gt;2),posicao_contratual!O88="",NOT(ISNUMBER(historico_VU!E88))),"",ROUND(posicao_contratual!O88*historico_VU!E88,2)))</f>
        <v/>
      </c>
      <c r="I88" s="84"/>
      <c r="J88" s="79" t="str">
        <f>IF(AND(A88="",A87&lt;&gt;"",COUNTIF(A89:$A$200,"&lt;&gt;")=0),IF(COUNT(J$2:J87)=0,"",ROUND(SUMIF($A$2:A87,"&lt;&gt;",J$2:J87),2)),IF(OR(A88="",AND(ISNUMBER(posicao_contratual!$AL88),posicao_contratual!$AL88&gt;3),posicao_contratual!S88="",NOT(ISNUMBER(historico_VU!F88))),"",ROUND(posicao_contratual!S88*historico_VU!F88,2)))</f>
        <v/>
      </c>
      <c r="K88" s="84"/>
      <c r="L88" s="79" t="str">
        <f>IF(AND(A88="",A87&lt;&gt;"",COUNTIF(A89:$A$200,"&lt;&gt;")=0),IF(COUNT(L$2:L87)=0,"",ROUND(SUMIF($A$2:A87,"&lt;&gt;",L$2:L87),2)),IF(OR(A88="",AND(ISNUMBER(posicao_contratual!$AL88),posicao_contratual!$AL88&gt;4),posicao_contratual!W88="",NOT(ISNUMBER(historico_VU!G88))),"",ROUND(posicao_contratual!W88*historico_VU!G88,2)))</f>
        <v/>
      </c>
      <c r="M88" s="85" t="str">
        <f>IF(OR(posicao_contratual!J88="",posicao_contratual!N88=""),"",ROUND(MAX(posicao_contratual!J88+posicao_contratual!H88-posicao_contratual!N88,0),2))</f>
        <v/>
      </c>
      <c r="N88" s="79" t="str">
        <f>IF(AND(A88="",A87&lt;&gt;"",COUNTIF(A89:$A$200,"&lt;&gt;")=0),IF(COUNT(N$2:N87)=0,"",ROUND(SUMIF($A$2:A87,"&lt;&gt;",N$2:N87),2)),IF(OR(M88="",NOT(ISNUMBER(historico_VU!D88))),"",ROUND(M88*historico_VU!D88,2)))</f>
        <v/>
      </c>
      <c r="O88" s="85" t="str">
        <f>IF(OR(posicao_contratual!N88="",posicao_contratual!R88=""),"",ROUND(MAX(posicao_contratual!N88+posicao_contratual!L88-posicao_contratual!R88,0),2))</f>
        <v/>
      </c>
      <c r="P88" s="79" t="str">
        <f>IF(AND(A88="",A87&lt;&gt;"",COUNTIF(A89:$A$200,"&lt;&gt;")=0),IF(COUNT(P$2:P87)=0,"",ROUND(SUMIF($A$2:A87,"&lt;&gt;",P$2:P87),2)),IF(OR(O88="",NOT(ISNUMBER(historico_VU!E88))),"",ROUND(O88*historico_VU!E88,2)))</f>
        <v/>
      </c>
      <c r="Q88" s="85" t="str">
        <f>IF(OR(posicao_contratual!R88="",posicao_contratual!V88=""),"",ROUND(MAX(posicao_contratual!R88+posicao_contratual!P88-posicao_contratual!V88,0),2))</f>
        <v/>
      </c>
      <c r="R88" s="79" t="str">
        <f>IF(AND(A88="",A87&lt;&gt;"",COUNTIF(A89:$A$200,"&lt;&gt;")=0),IF(COUNT(R$2:R87)=0,"",ROUND(SUMIF($A$2:A87,"&lt;&gt;",R$2:R87),2)),IF(OR(Q88="",NOT(ISNUMBER(historico_VU!F88))),"",ROUND(Q88*historico_VU!F88,2)))</f>
        <v/>
      </c>
      <c r="S88" s="21"/>
      <c r="T88" s="22" t="str">
        <f>IF(AND(A88="",A87&lt;&gt;"",COUNTIF(A89:$A$200,"&lt;&gt;")=0),IF(COUNT(T$2:T87)=0,"",ROUND(SUMIF($A$2:A87,"&lt;&gt;",T$2:T87),2)),IF(OR(S88="",NOT(ISNUMBER(historico_VU!G88))),"",ROUND(S88*historico_VU!G88,2)))</f>
        <v/>
      </c>
      <c r="U88" s="86" t="str">
        <f>IF(AND(A88="",A87&lt;&gt;"",COUNTIF(A89:$A$200,"&lt;&gt;")=0),"TOTAL",IF(A88="","",posicao_contratual!X88))</f>
        <v/>
      </c>
      <c r="V88" s="86" t="str">
        <f>IF(A88="","",posicao_contratual!X88)</f>
        <v/>
      </c>
      <c r="W88" s="14"/>
      <c r="X88" s="14"/>
      <c r="Y88" s="14"/>
      <c r="Z88" s="13"/>
      <c r="AA88" s="13"/>
      <c r="AB88" s="85" t="str">
        <f>IF(OR(A88="",posicao_contratual!E88="",posicao_contratual!J88=""),"",ROUND(MAX(posicao_contratual!E88-posicao_contratual!J88,0),2))</f>
        <v/>
      </c>
      <c r="AC88" s="79" t="str">
        <f>IF(AND(A88="",A87&lt;&gt;"",COUNTIF(A89:$A$200,"&lt;&gt;")=0),IF(COUNT(AC$2:AC87)=0,"",ROUND(SUMIF($A$2:A87,"&lt;&gt;",AC$2:AC87),2)),IF(OR(AB88="",NOT(ISNUMBER(historico_VU!C88))),"",ROUND(AB88*historico_VU!C88,2)))</f>
        <v/>
      </c>
      <c r="AD88" s="145" t="str">
        <f>IF(A88="","",posicao_contratual!E88)</f>
        <v/>
      </c>
      <c r="AE88" s="145" t="str">
        <f>IF(A88="","",posicao_contratual!I88)</f>
        <v/>
      </c>
      <c r="AF88" s="145" t="str">
        <f>IF(A88="","",posicao_contratual!M88)</f>
        <v/>
      </c>
      <c r="AG88" s="145" t="str">
        <f>IF(A88="","",posicao_contratual!Q88)</f>
        <v/>
      </c>
      <c r="AH88" s="145" t="str">
        <f>IF(A88="","",posicao_contratual!U88)</f>
        <v/>
      </c>
      <c r="AI88" s="145" t="str">
        <f>IF(A88="","",posicao_contratual!G88)</f>
        <v/>
      </c>
      <c r="AJ88" s="145" t="str">
        <f>IF(A88="","",posicao_contratual!K88)</f>
        <v/>
      </c>
      <c r="AK88" s="145" t="str">
        <f>IF(A88="","",posicao_contratual!O88)</f>
        <v/>
      </c>
      <c r="AL88" s="145" t="str">
        <f>IF(A88="","",posicao_contratual!S88)</f>
        <v/>
      </c>
      <c r="AM88" s="145" t="str">
        <f>IF(A88="","",posicao_contratual!W88)</f>
        <v/>
      </c>
      <c r="AN88" s="146" t="str">
        <f>IF(A88="","",posicao_contratual!X88)</f>
        <v/>
      </c>
      <c r="AO88" t="str">
        <f>IF($A88="","",ROUND(SUMIFS(itens_Consumidos!$E$2:$E$200,itens_Consumidos!$A$2:$A$200,$A88),2))</f>
        <v/>
      </c>
      <c r="AP88" t="str">
        <f t="shared" si="12"/>
        <v/>
      </c>
      <c r="AQ88" t="str">
        <f>IF(OR($A88="",AB88="",MEMORIA_RESULTADOS!$I$258=""),"",ROUND(AB88*$C88*(MEMORIA_RESULTADOS!$I$258-1),2))</f>
        <v/>
      </c>
      <c r="AR88" t="str">
        <f>IF(OR($A88="",AP88="",MEMORIA_RESULTADOS!$I$258=""),"",ROUND(AP88*$C88*(parametros!$F$2-MEMORIA_RESULTADOS!$I$258),2))</f>
        <v/>
      </c>
      <c r="AS88" t="str">
        <f>IF($A88="","",ROUND(SUMIFS(itens_Consumidos!$G$2:$G$200,itens_Consumidos!$A$2:$A$200,$A88),2))</f>
        <v/>
      </c>
      <c r="AT88" t="str">
        <f t="shared" si="13"/>
        <v/>
      </c>
      <c r="AU88" t="str">
        <f>IF(OR($A88="",M88="",MEMORIA_RESULTADOS!$I$259=""),"",ROUND(M88*$C88*(MEMORIA_RESULTADOS!$I$259-1),2))</f>
        <v/>
      </c>
      <c r="AV88" t="str">
        <f>IF(OR($A88="",AT88="",MEMORIA_RESULTADOS!$I$259=""),"",ROUND(AT88*$C88*(parametros!$F$3-MEMORIA_RESULTADOS!$I$259),2))</f>
        <v/>
      </c>
      <c r="AW88" t="str">
        <f>IF($A88="","",ROUND(SUMIFS(itens_Consumidos!$I$2:$I$200,itens_Consumidos!$A$2:$A$200,$A88),2))</f>
        <v/>
      </c>
      <c r="AX88" t="str">
        <f t="shared" si="14"/>
        <v/>
      </c>
      <c r="AY88" t="str">
        <f>IF(OR($A88="",O88="",MEMORIA_RESULTADOS!$I$260=""),"",ROUND(O88*$C88*(MEMORIA_RESULTADOS!$I$260-1),2))</f>
        <v/>
      </c>
      <c r="AZ88" t="str">
        <f>IF(OR($A88="",AX88="",MEMORIA_RESULTADOS!$I$260=""),"",ROUND(AX88*$C88*(parametros!$F$4-MEMORIA_RESULTADOS!$I$260),2))</f>
        <v/>
      </c>
      <c r="BA88" t="str">
        <f>IF($A88="","",ROUND(SUMIFS(itens_Consumidos!$K$2:$K$200,itens_Consumidos!$A$2:$A$200,$A88),2))</f>
        <v/>
      </c>
      <c r="BB88" t="str">
        <f t="shared" si="15"/>
        <v/>
      </c>
      <c r="BC88" t="str">
        <f>IF(OR($A88="",Q88="",MEMORIA_RESULTADOS!$I$261=""),"",ROUND(Q88*$C88*(MEMORIA_RESULTADOS!$I$261-1),2))</f>
        <v/>
      </c>
      <c r="BD88" t="str">
        <f>IF(OR($A88="",BB88="",MEMORIA_RESULTADOS!$I$261=""),"",ROUND(BB88*$C88*(parametros!$F$5-MEMORIA_RESULTADOS!$I$261),2))</f>
        <v/>
      </c>
      <c r="BE88" t="str">
        <f>IF($A88="","",ROUND(SUMIFS(itens_Consumidos!$M$2:$M$200,itens_Consumidos!$A$2:$A$200,$A88),2))</f>
        <v/>
      </c>
      <c r="BF88" t="str">
        <f t="shared" si="16"/>
        <v/>
      </c>
      <c r="BG88" t="str">
        <f>IF(OR($A88="",S88="",MEMORIA_RESULTADOS!$I$262=""),"",ROUND(S88*$C88*(MEMORIA_RESULTADOS!$I$262-1),2))</f>
        <v/>
      </c>
      <c r="BH88" t="str">
        <f>IF(OR($A88="",BF88="",MEMORIA_RESULTADOS!$I$262=""),"",ROUND(BF88*$C88*(parametros!$F$6-MEMORIA_RESULTADOS!$I$262),2))</f>
        <v/>
      </c>
      <c r="BI88" t="str">
        <f>IF($A88="","",IF(posicao_contratual!$AL88="","",posicao_contratual!$AL88))</f>
        <v/>
      </c>
    </row>
    <row r="89" spans="1:61" x14ac:dyDescent="0.35">
      <c r="A89" s="81"/>
      <c r="B89" s="82" t="str">
        <f t="shared" si="17"/>
        <v/>
      </c>
      <c r="C89" s="83"/>
      <c r="D89" s="79" t="str">
        <f>IF(AND(A89="",A88&lt;&gt;"",COUNTIF(A90:$A$200,"&lt;&gt;")=0),ROUND(SUMIF($A$2:A88,"&lt;&gt;",$D$2:D88),2),IF(OR(A89="",B89="",C89=""),"",ROUND(B89*C89,2)))</f>
        <v/>
      </c>
      <c r="E89" s="84"/>
      <c r="F89" s="79" t="str">
        <f>IF(AND(A89="",A88&lt;&gt;"",COUNTIF(A90:$A$200,"&lt;&gt;")=0),IF(COUNT(F$2:F88)=0,"",ROUND(SUMIF($A$2:A88,"&lt;&gt;",F$2:F88),2)),IF(OR(A89="",AND(ISNUMBER(posicao_contratual!$AL89),posicao_contratual!$AL89&gt;1),posicao_contratual!K89="",NOT(ISNUMBER(historico_VU!D89))),"",ROUND(posicao_contratual!K89*historico_VU!D89,2)))</f>
        <v/>
      </c>
      <c r="G89" s="84"/>
      <c r="H89" s="79" t="str">
        <f>IF(AND(A89="",A88&lt;&gt;"",COUNTIF(A90:$A$200,"&lt;&gt;")=0),IF(COUNT(H$2:H88)=0,"",ROUND(SUMIF($A$2:A88,"&lt;&gt;",H$2:H88),2)),IF(OR(A89="",AND(ISNUMBER(posicao_contratual!$AL89),posicao_contratual!$AL89&gt;2),posicao_contratual!O89="",NOT(ISNUMBER(historico_VU!E89))),"",ROUND(posicao_contratual!O89*historico_VU!E89,2)))</f>
        <v/>
      </c>
      <c r="I89" s="84"/>
      <c r="J89" s="79" t="str">
        <f>IF(AND(A89="",A88&lt;&gt;"",COUNTIF(A90:$A$200,"&lt;&gt;")=0),IF(COUNT(J$2:J88)=0,"",ROUND(SUMIF($A$2:A88,"&lt;&gt;",J$2:J88),2)),IF(OR(A89="",AND(ISNUMBER(posicao_contratual!$AL89),posicao_contratual!$AL89&gt;3),posicao_contratual!S89="",NOT(ISNUMBER(historico_VU!F89))),"",ROUND(posicao_contratual!S89*historico_VU!F89,2)))</f>
        <v/>
      </c>
      <c r="K89" s="84"/>
      <c r="L89" s="79" t="str">
        <f>IF(AND(A89="",A88&lt;&gt;"",COUNTIF(A90:$A$200,"&lt;&gt;")=0),IF(COUNT(L$2:L88)=0,"",ROUND(SUMIF($A$2:A88,"&lt;&gt;",L$2:L88),2)),IF(OR(A89="",AND(ISNUMBER(posicao_contratual!$AL89),posicao_contratual!$AL89&gt;4),posicao_contratual!W89="",NOT(ISNUMBER(historico_VU!G89))),"",ROUND(posicao_contratual!W89*historico_VU!G89,2)))</f>
        <v/>
      </c>
      <c r="M89" s="85" t="str">
        <f>IF(OR(posicao_contratual!J89="",posicao_contratual!N89=""),"",ROUND(MAX(posicao_contratual!J89+posicao_contratual!H89-posicao_contratual!N89,0),2))</f>
        <v/>
      </c>
      <c r="N89" s="79" t="str">
        <f>IF(AND(A89="",A88&lt;&gt;"",COUNTIF(A90:$A$200,"&lt;&gt;")=0),IF(COUNT(N$2:N88)=0,"",ROUND(SUMIF($A$2:A88,"&lt;&gt;",N$2:N88),2)),IF(OR(M89="",NOT(ISNUMBER(historico_VU!D89))),"",ROUND(M89*historico_VU!D89,2)))</f>
        <v/>
      </c>
      <c r="O89" s="85" t="str">
        <f>IF(OR(posicao_contratual!N89="",posicao_contratual!R89=""),"",ROUND(MAX(posicao_contratual!N89+posicao_contratual!L89-posicao_contratual!R89,0),2))</f>
        <v/>
      </c>
      <c r="P89" s="79" t="str">
        <f>IF(AND(A89="",A88&lt;&gt;"",COUNTIF(A90:$A$200,"&lt;&gt;")=0),IF(COUNT(P$2:P88)=0,"",ROUND(SUMIF($A$2:A88,"&lt;&gt;",P$2:P88),2)),IF(OR(O89="",NOT(ISNUMBER(historico_VU!E89))),"",ROUND(O89*historico_VU!E89,2)))</f>
        <v/>
      </c>
      <c r="Q89" s="85" t="str">
        <f>IF(OR(posicao_contratual!R89="",posicao_contratual!V89=""),"",ROUND(MAX(posicao_contratual!R89+posicao_contratual!P89-posicao_contratual!V89,0),2))</f>
        <v/>
      </c>
      <c r="R89" s="79" t="str">
        <f>IF(AND(A89="",A88&lt;&gt;"",COUNTIF(A90:$A$200,"&lt;&gt;")=0),IF(COUNT(R$2:R88)=0,"",ROUND(SUMIF($A$2:A88,"&lt;&gt;",R$2:R88),2)),IF(OR(Q89="",NOT(ISNUMBER(historico_VU!F89))),"",ROUND(Q89*historico_VU!F89,2)))</f>
        <v/>
      </c>
      <c r="S89" s="21"/>
      <c r="T89" s="22" t="str">
        <f>IF(AND(A89="",A88&lt;&gt;"",COUNTIF(A90:$A$200,"&lt;&gt;")=0),IF(COUNT(T$2:T88)=0,"",ROUND(SUMIF($A$2:A88,"&lt;&gt;",T$2:T88),2)),IF(OR(S89="",NOT(ISNUMBER(historico_VU!G89))),"",ROUND(S89*historico_VU!G89,2)))</f>
        <v/>
      </c>
      <c r="U89" s="86" t="str">
        <f>IF(AND(A89="",A88&lt;&gt;"",COUNTIF(A90:$A$200,"&lt;&gt;")=0),"TOTAL",IF(A89="","",posicao_contratual!X89))</f>
        <v/>
      </c>
      <c r="V89" s="86" t="str">
        <f>IF(A89="","",posicao_contratual!X89)</f>
        <v/>
      </c>
      <c r="W89" s="14"/>
      <c r="X89" s="14"/>
      <c r="Y89" s="14"/>
      <c r="Z89" s="13"/>
      <c r="AA89" s="13"/>
      <c r="AB89" s="85" t="str">
        <f>IF(OR(A89="",posicao_contratual!E89="",posicao_contratual!J89=""),"",ROUND(MAX(posicao_contratual!E89-posicao_contratual!J89,0),2))</f>
        <v/>
      </c>
      <c r="AC89" s="79" t="str">
        <f>IF(AND(A89="",A88&lt;&gt;"",COUNTIF(A90:$A$200,"&lt;&gt;")=0),IF(COUNT(AC$2:AC88)=0,"",ROUND(SUMIF($A$2:A88,"&lt;&gt;",AC$2:AC88),2)),IF(OR(AB89="",NOT(ISNUMBER(historico_VU!C89))),"",ROUND(AB89*historico_VU!C89,2)))</f>
        <v/>
      </c>
      <c r="AD89" s="145" t="str">
        <f>IF(A89="","",posicao_contratual!E89)</f>
        <v/>
      </c>
      <c r="AE89" s="145" t="str">
        <f>IF(A89="","",posicao_contratual!I89)</f>
        <v/>
      </c>
      <c r="AF89" s="145" t="str">
        <f>IF(A89="","",posicao_contratual!M89)</f>
        <v/>
      </c>
      <c r="AG89" s="145" t="str">
        <f>IF(A89="","",posicao_contratual!Q89)</f>
        <v/>
      </c>
      <c r="AH89" s="145" t="str">
        <f>IF(A89="","",posicao_contratual!U89)</f>
        <v/>
      </c>
      <c r="AI89" s="145" t="str">
        <f>IF(A89="","",posicao_contratual!G89)</f>
        <v/>
      </c>
      <c r="AJ89" s="145" t="str">
        <f>IF(A89="","",posicao_contratual!K89)</f>
        <v/>
      </c>
      <c r="AK89" s="145" t="str">
        <f>IF(A89="","",posicao_contratual!O89)</f>
        <v/>
      </c>
      <c r="AL89" s="145" t="str">
        <f>IF(A89="","",posicao_contratual!S89)</f>
        <v/>
      </c>
      <c r="AM89" s="145" t="str">
        <f>IF(A89="","",posicao_contratual!W89)</f>
        <v/>
      </c>
      <c r="AN89" s="146" t="str">
        <f>IF(A89="","",posicao_contratual!X89)</f>
        <v/>
      </c>
      <c r="AO89" t="str">
        <f>IF($A89="","",ROUND(SUMIFS(itens_Consumidos!$E$2:$E$200,itens_Consumidos!$A$2:$A$200,$A89),2))</f>
        <v/>
      </c>
      <c r="AP89" t="str">
        <f t="shared" si="12"/>
        <v/>
      </c>
      <c r="AQ89" t="str">
        <f>IF(OR($A89="",AB89="",MEMORIA_RESULTADOS!$I$258=""),"",ROUND(AB89*$C89*(MEMORIA_RESULTADOS!$I$258-1),2))</f>
        <v/>
      </c>
      <c r="AR89" t="str">
        <f>IF(OR($A89="",AP89="",MEMORIA_RESULTADOS!$I$258=""),"",ROUND(AP89*$C89*(parametros!$F$2-MEMORIA_RESULTADOS!$I$258),2))</f>
        <v/>
      </c>
      <c r="AS89" t="str">
        <f>IF($A89="","",ROUND(SUMIFS(itens_Consumidos!$G$2:$G$200,itens_Consumidos!$A$2:$A$200,$A89),2))</f>
        <v/>
      </c>
      <c r="AT89" t="str">
        <f t="shared" si="13"/>
        <v/>
      </c>
      <c r="AU89" t="str">
        <f>IF(OR($A89="",M89="",MEMORIA_RESULTADOS!$I$259=""),"",ROUND(M89*$C89*(MEMORIA_RESULTADOS!$I$259-1),2))</f>
        <v/>
      </c>
      <c r="AV89" t="str">
        <f>IF(OR($A89="",AT89="",MEMORIA_RESULTADOS!$I$259=""),"",ROUND(AT89*$C89*(parametros!$F$3-MEMORIA_RESULTADOS!$I$259),2))</f>
        <v/>
      </c>
      <c r="AW89" t="str">
        <f>IF($A89="","",ROUND(SUMIFS(itens_Consumidos!$I$2:$I$200,itens_Consumidos!$A$2:$A$200,$A89),2))</f>
        <v/>
      </c>
      <c r="AX89" t="str">
        <f t="shared" si="14"/>
        <v/>
      </c>
      <c r="AY89" t="str">
        <f>IF(OR($A89="",O89="",MEMORIA_RESULTADOS!$I$260=""),"",ROUND(O89*$C89*(MEMORIA_RESULTADOS!$I$260-1),2))</f>
        <v/>
      </c>
      <c r="AZ89" t="str">
        <f>IF(OR($A89="",AX89="",MEMORIA_RESULTADOS!$I$260=""),"",ROUND(AX89*$C89*(parametros!$F$4-MEMORIA_RESULTADOS!$I$260),2))</f>
        <v/>
      </c>
      <c r="BA89" t="str">
        <f>IF($A89="","",ROUND(SUMIFS(itens_Consumidos!$K$2:$K$200,itens_Consumidos!$A$2:$A$200,$A89),2))</f>
        <v/>
      </c>
      <c r="BB89" t="str">
        <f t="shared" si="15"/>
        <v/>
      </c>
      <c r="BC89" t="str">
        <f>IF(OR($A89="",Q89="",MEMORIA_RESULTADOS!$I$261=""),"",ROUND(Q89*$C89*(MEMORIA_RESULTADOS!$I$261-1),2))</f>
        <v/>
      </c>
      <c r="BD89" t="str">
        <f>IF(OR($A89="",BB89="",MEMORIA_RESULTADOS!$I$261=""),"",ROUND(BB89*$C89*(parametros!$F$5-MEMORIA_RESULTADOS!$I$261),2))</f>
        <v/>
      </c>
      <c r="BE89" t="str">
        <f>IF($A89="","",ROUND(SUMIFS(itens_Consumidos!$M$2:$M$200,itens_Consumidos!$A$2:$A$200,$A89),2))</f>
        <v/>
      </c>
      <c r="BF89" t="str">
        <f t="shared" si="16"/>
        <v/>
      </c>
      <c r="BG89" t="str">
        <f>IF(OR($A89="",S89="",MEMORIA_RESULTADOS!$I$262=""),"",ROUND(S89*$C89*(MEMORIA_RESULTADOS!$I$262-1),2))</f>
        <v/>
      </c>
      <c r="BH89" t="str">
        <f>IF(OR($A89="",BF89="",MEMORIA_RESULTADOS!$I$262=""),"",ROUND(BF89*$C89*(parametros!$F$6-MEMORIA_RESULTADOS!$I$262),2))</f>
        <v/>
      </c>
      <c r="BI89" t="str">
        <f>IF($A89="","",IF(posicao_contratual!$AL89="","",posicao_contratual!$AL89))</f>
        <v/>
      </c>
    </row>
    <row r="90" spans="1:61" x14ac:dyDescent="0.35">
      <c r="A90" s="81"/>
      <c r="B90" s="82" t="str">
        <f t="shared" si="17"/>
        <v/>
      </c>
      <c r="C90" s="83"/>
      <c r="D90" s="79" t="str">
        <f>IF(AND(A90="",A89&lt;&gt;"",COUNTIF(A91:$A$200,"&lt;&gt;")=0),ROUND(SUMIF($A$2:A89,"&lt;&gt;",$D$2:D89),2),IF(OR(A90="",B90="",C90=""),"",ROUND(B90*C90,2)))</f>
        <v/>
      </c>
      <c r="E90" s="84"/>
      <c r="F90" s="79" t="str">
        <f>IF(AND(A90="",A89&lt;&gt;"",COUNTIF(A91:$A$200,"&lt;&gt;")=0),IF(COUNT(F$2:F89)=0,"",ROUND(SUMIF($A$2:A89,"&lt;&gt;",F$2:F89),2)),IF(OR(A90="",AND(ISNUMBER(posicao_contratual!$AL90),posicao_contratual!$AL90&gt;1),posicao_contratual!K90="",NOT(ISNUMBER(historico_VU!D90))),"",ROUND(posicao_contratual!K90*historico_VU!D90,2)))</f>
        <v/>
      </c>
      <c r="G90" s="84"/>
      <c r="H90" s="79" t="str">
        <f>IF(AND(A90="",A89&lt;&gt;"",COUNTIF(A91:$A$200,"&lt;&gt;")=0),IF(COUNT(H$2:H89)=0,"",ROUND(SUMIF($A$2:A89,"&lt;&gt;",H$2:H89),2)),IF(OR(A90="",AND(ISNUMBER(posicao_contratual!$AL90),posicao_contratual!$AL90&gt;2),posicao_contratual!O90="",NOT(ISNUMBER(historico_VU!E90))),"",ROUND(posicao_contratual!O90*historico_VU!E90,2)))</f>
        <v/>
      </c>
      <c r="I90" s="84"/>
      <c r="J90" s="79" t="str">
        <f>IF(AND(A90="",A89&lt;&gt;"",COUNTIF(A91:$A$200,"&lt;&gt;")=0),IF(COUNT(J$2:J89)=0,"",ROUND(SUMIF($A$2:A89,"&lt;&gt;",J$2:J89),2)),IF(OR(A90="",AND(ISNUMBER(posicao_contratual!$AL90),posicao_contratual!$AL90&gt;3),posicao_contratual!S90="",NOT(ISNUMBER(historico_VU!F90))),"",ROUND(posicao_contratual!S90*historico_VU!F90,2)))</f>
        <v/>
      </c>
      <c r="K90" s="84"/>
      <c r="L90" s="79" t="str">
        <f>IF(AND(A90="",A89&lt;&gt;"",COUNTIF(A91:$A$200,"&lt;&gt;")=0),IF(COUNT(L$2:L89)=0,"",ROUND(SUMIF($A$2:A89,"&lt;&gt;",L$2:L89),2)),IF(OR(A90="",AND(ISNUMBER(posicao_contratual!$AL90),posicao_contratual!$AL90&gt;4),posicao_contratual!W90="",NOT(ISNUMBER(historico_VU!G90))),"",ROUND(posicao_contratual!W90*historico_VU!G90,2)))</f>
        <v/>
      </c>
      <c r="M90" s="85" t="str">
        <f>IF(OR(posicao_contratual!J90="",posicao_contratual!N90=""),"",ROUND(MAX(posicao_contratual!J90+posicao_contratual!H90-posicao_contratual!N90,0),2))</f>
        <v/>
      </c>
      <c r="N90" s="79" t="str">
        <f>IF(AND(A90="",A89&lt;&gt;"",COUNTIF(A91:$A$200,"&lt;&gt;")=0),IF(COUNT(N$2:N89)=0,"",ROUND(SUMIF($A$2:A89,"&lt;&gt;",N$2:N89),2)),IF(OR(M90="",NOT(ISNUMBER(historico_VU!D90))),"",ROUND(M90*historico_VU!D90,2)))</f>
        <v/>
      </c>
      <c r="O90" s="85" t="str">
        <f>IF(OR(posicao_contratual!N90="",posicao_contratual!R90=""),"",ROUND(MAX(posicao_contratual!N90+posicao_contratual!L90-posicao_contratual!R90,0),2))</f>
        <v/>
      </c>
      <c r="P90" s="79" t="str">
        <f>IF(AND(A90="",A89&lt;&gt;"",COUNTIF(A91:$A$200,"&lt;&gt;")=0),IF(COUNT(P$2:P89)=0,"",ROUND(SUMIF($A$2:A89,"&lt;&gt;",P$2:P89),2)),IF(OR(O90="",NOT(ISNUMBER(historico_VU!E90))),"",ROUND(O90*historico_VU!E90,2)))</f>
        <v/>
      </c>
      <c r="Q90" s="85" t="str">
        <f>IF(OR(posicao_contratual!R90="",posicao_contratual!V90=""),"",ROUND(MAX(posicao_contratual!R90+posicao_contratual!P90-posicao_contratual!V90,0),2))</f>
        <v/>
      </c>
      <c r="R90" s="79" t="str">
        <f>IF(AND(A90="",A89&lt;&gt;"",COUNTIF(A91:$A$200,"&lt;&gt;")=0),IF(COUNT(R$2:R89)=0,"",ROUND(SUMIF($A$2:A89,"&lt;&gt;",R$2:R89),2)),IF(OR(Q90="",NOT(ISNUMBER(historico_VU!F90))),"",ROUND(Q90*historico_VU!F90,2)))</f>
        <v/>
      </c>
      <c r="S90" s="21"/>
      <c r="T90" s="22" t="str">
        <f>IF(AND(A90="",A89&lt;&gt;"",COUNTIF(A91:$A$200,"&lt;&gt;")=0),IF(COUNT(T$2:T89)=0,"",ROUND(SUMIF($A$2:A89,"&lt;&gt;",T$2:T89),2)),IF(OR(S90="",NOT(ISNUMBER(historico_VU!G90))),"",ROUND(S90*historico_VU!G90,2)))</f>
        <v/>
      </c>
      <c r="U90" s="86" t="str">
        <f>IF(AND(A90="",A89&lt;&gt;"",COUNTIF(A91:$A$200,"&lt;&gt;")=0),"TOTAL",IF(A90="","",posicao_contratual!X90))</f>
        <v/>
      </c>
      <c r="V90" s="86" t="str">
        <f>IF(A90="","",posicao_contratual!X90)</f>
        <v/>
      </c>
      <c r="W90" s="14"/>
      <c r="X90" s="14"/>
      <c r="Y90" s="14"/>
      <c r="Z90" s="13"/>
      <c r="AA90" s="13"/>
      <c r="AB90" s="85" t="str">
        <f>IF(OR(A90="",posicao_contratual!E90="",posicao_contratual!J90=""),"",ROUND(MAX(posicao_contratual!E90-posicao_contratual!J90,0),2))</f>
        <v/>
      </c>
      <c r="AC90" s="79" t="str">
        <f>IF(AND(A90="",A89&lt;&gt;"",COUNTIF(A91:$A$200,"&lt;&gt;")=0),IF(COUNT(AC$2:AC89)=0,"",ROUND(SUMIF($A$2:A89,"&lt;&gt;",AC$2:AC89),2)),IF(OR(AB90="",NOT(ISNUMBER(historico_VU!C90))),"",ROUND(AB90*historico_VU!C90,2)))</f>
        <v/>
      </c>
      <c r="AD90" s="145" t="str">
        <f>IF(A90="","",posicao_contratual!E90)</f>
        <v/>
      </c>
      <c r="AE90" s="145" t="str">
        <f>IF(A90="","",posicao_contratual!I90)</f>
        <v/>
      </c>
      <c r="AF90" s="145" t="str">
        <f>IF(A90="","",posicao_contratual!M90)</f>
        <v/>
      </c>
      <c r="AG90" s="145" t="str">
        <f>IF(A90="","",posicao_contratual!Q90)</f>
        <v/>
      </c>
      <c r="AH90" s="145" t="str">
        <f>IF(A90="","",posicao_contratual!U90)</f>
        <v/>
      </c>
      <c r="AI90" s="145" t="str">
        <f>IF(A90="","",posicao_contratual!G90)</f>
        <v/>
      </c>
      <c r="AJ90" s="145" t="str">
        <f>IF(A90="","",posicao_contratual!K90)</f>
        <v/>
      </c>
      <c r="AK90" s="145" t="str">
        <f>IF(A90="","",posicao_contratual!O90)</f>
        <v/>
      </c>
      <c r="AL90" s="145" t="str">
        <f>IF(A90="","",posicao_contratual!S90)</f>
        <v/>
      </c>
      <c r="AM90" s="145" t="str">
        <f>IF(A90="","",posicao_contratual!W90)</f>
        <v/>
      </c>
      <c r="AN90" s="146" t="str">
        <f>IF(A90="","",posicao_contratual!X90)</f>
        <v/>
      </c>
      <c r="AO90" t="str">
        <f>IF($A90="","",ROUND(SUMIFS(itens_Consumidos!$E$2:$E$200,itens_Consumidos!$A$2:$A$200,$A90),2))</f>
        <v/>
      </c>
      <c r="AP90" t="str">
        <f t="shared" si="12"/>
        <v/>
      </c>
      <c r="AQ90" t="str">
        <f>IF(OR($A90="",AB90="",MEMORIA_RESULTADOS!$I$258=""),"",ROUND(AB90*$C90*(MEMORIA_RESULTADOS!$I$258-1),2))</f>
        <v/>
      </c>
      <c r="AR90" t="str">
        <f>IF(OR($A90="",AP90="",MEMORIA_RESULTADOS!$I$258=""),"",ROUND(AP90*$C90*(parametros!$F$2-MEMORIA_RESULTADOS!$I$258),2))</f>
        <v/>
      </c>
      <c r="AS90" t="str">
        <f>IF($A90="","",ROUND(SUMIFS(itens_Consumidos!$G$2:$G$200,itens_Consumidos!$A$2:$A$200,$A90),2))</f>
        <v/>
      </c>
      <c r="AT90" t="str">
        <f t="shared" si="13"/>
        <v/>
      </c>
      <c r="AU90" t="str">
        <f>IF(OR($A90="",M90="",MEMORIA_RESULTADOS!$I$259=""),"",ROUND(M90*$C90*(MEMORIA_RESULTADOS!$I$259-1),2))</f>
        <v/>
      </c>
      <c r="AV90" t="str">
        <f>IF(OR($A90="",AT90="",MEMORIA_RESULTADOS!$I$259=""),"",ROUND(AT90*$C90*(parametros!$F$3-MEMORIA_RESULTADOS!$I$259),2))</f>
        <v/>
      </c>
      <c r="AW90" t="str">
        <f>IF($A90="","",ROUND(SUMIFS(itens_Consumidos!$I$2:$I$200,itens_Consumidos!$A$2:$A$200,$A90),2))</f>
        <v/>
      </c>
      <c r="AX90" t="str">
        <f t="shared" si="14"/>
        <v/>
      </c>
      <c r="AY90" t="str">
        <f>IF(OR($A90="",O90="",MEMORIA_RESULTADOS!$I$260=""),"",ROUND(O90*$C90*(MEMORIA_RESULTADOS!$I$260-1),2))</f>
        <v/>
      </c>
      <c r="AZ90" t="str">
        <f>IF(OR($A90="",AX90="",MEMORIA_RESULTADOS!$I$260=""),"",ROUND(AX90*$C90*(parametros!$F$4-MEMORIA_RESULTADOS!$I$260),2))</f>
        <v/>
      </c>
      <c r="BA90" t="str">
        <f>IF($A90="","",ROUND(SUMIFS(itens_Consumidos!$K$2:$K$200,itens_Consumidos!$A$2:$A$200,$A90),2))</f>
        <v/>
      </c>
      <c r="BB90" t="str">
        <f t="shared" si="15"/>
        <v/>
      </c>
      <c r="BC90" t="str">
        <f>IF(OR($A90="",Q90="",MEMORIA_RESULTADOS!$I$261=""),"",ROUND(Q90*$C90*(MEMORIA_RESULTADOS!$I$261-1),2))</f>
        <v/>
      </c>
      <c r="BD90" t="str">
        <f>IF(OR($A90="",BB90="",MEMORIA_RESULTADOS!$I$261=""),"",ROUND(BB90*$C90*(parametros!$F$5-MEMORIA_RESULTADOS!$I$261),2))</f>
        <v/>
      </c>
      <c r="BE90" t="str">
        <f>IF($A90="","",ROUND(SUMIFS(itens_Consumidos!$M$2:$M$200,itens_Consumidos!$A$2:$A$200,$A90),2))</f>
        <v/>
      </c>
      <c r="BF90" t="str">
        <f t="shared" si="16"/>
        <v/>
      </c>
      <c r="BG90" t="str">
        <f>IF(OR($A90="",S90="",MEMORIA_RESULTADOS!$I$262=""),"",ROUND(S90*$C90*(MEMORIA_RESULTADOS!$I$262-1),2))</f>
        <v/>
      </c>
      <c r="BH90" t="str">
        <f>IF(OR($A90="",BF90="",MEMORIA_RESULTADOS!$I$262=""),"",ROUND(BF90*$C90*(parametros!$F$6-MEMORIA_RESULTADOS!$I$262),2))</f>
        <v/>
      </c>
      <c r="BI90" t="str">
        <f>IF($A90="","",IF(posicao_contratual!$AL90="","",posicao_contratual!$AL90))</f>
        <v/>
      </c>
    </row>
    <row r="91" spans="1:61" x14ac:dyDescent="0.35">
      <c r="A91" s="81"/>
      <c r="B91" s="82" t="str">
        <f t="shared" si="17"/>
        <v/>
      </c>
      <c r="C91" s="83"/>
      <c r="D91" s="79" t="str">
        <f>IF(AND(A91="",A90&lt;&gt;"",COUNTIF(A92:$A$200,"&lt;&gt;")=0),ROUND(SUMIF($A$2:A90,"&lt;&gt;",$D$2:D90),2),IF(OR(A91="",B91="",C91=""),"",ROUND(B91*C91,2)))</f>
        <v/>
      </c>
      <c r="E91" s="84"/>
      <c r="F91" s="79" t="str">
        <f>IF(AND(A91="",A90&lt;&gt;"",COUNTIF(A92:$A$200,"&lt;&gt;")=0),IF(COUNT(F$2:F90)=0,"",ROUND(SUMIF($A$2:A90,"&lt;&gt;",F$2:F90),2)),IF(OR(A91="",AND(ISNUMBER(posicao_contratual!$AL91),posicao_contratual!$AL91&gt;1),posicao_contratual!K91="",NOT(ISNUMBER(historico_VU!D91))),"",ROUND(posicao_contratual!K91*historico_VU!D91,2)))</f>
        <v/>
      </c>
      <c r="G91" s="84"/>
      <c r="H91" s="79" t="str">
        <f>IF(AND(A91="",A90&lt;&gt;"",COUNTIF(A92:$A$200,"&lt;&gt;")=0),IF(COUNT(H$2:H90)=0,"",ROUND(SUMIF($A$2:A90,"&lt;&gt;",H$2:H90),2)),IF(OR(A91="",AND(ISNUMBER(posicao_contratual!$AL91),posicao_contratual!$AL91&gt;2),posicao_contratual!O91="",NOT(ISNUMBER(historico_VU!E91))),"",ROUND(posicao_contratual!O91*historico_VU!E91,2)))</f>
        <v/>
      </c>
      <c r="I91" s="84"/>
      <c r="J91" s="79" t="str">
        <f>IF(AND(A91="",A90&lt;&gt;"",COUNTIF(A92:$A$200,"&lt;&gt;")=0),IF(COUNT(J$2:J90)=0,"",ROUND(SUMIF($A$2:A90,"&lt;&gt;",J$2:J90),2)),IF(OR(A91="",AND(ISNUMBER(posicao_contratual!$AL91),posicao_contratual!$AL91&gt;3),posicao_contratual!S91="",NOT(ISNUMBER(historico_VU!F91))),"",ROUND(posicao_contratual!S91*historico_VU!F91,2)))</f>
        <v/>
      </c>
      <c r="K91" s="84"/>
      <c r="L91" s="79" t="str">
        <f>IF(AND(A91="",A90&lt;&gt;"",COUNTIF(A92:$A$200,"&lt;&gt;")=0),IF(COUNT(L$2:L90)=0,"",ROUND(SUMIF($A$2:A90,"&lt;&gt;",L$2:L90),2)),IF(OR(A91="",AND(ISNUMBER(posicao_contratual!$AL91),posicao_contratual!$AL91&gt;4),posicao_contratual!W91="",NOT(ISNUMBER(historico_VU!G91))),"",ROUND(posicao_contratual!W91*historico_VU!G91,2)))</f>
        <v/>
      </c>
      <c r="M91" s="85" t="str">
        <f>IF(OR(posicao_contratual!J91="",posicao_contratual!N91=""),"",ROUND(MAX(posicao_contratual!J91+posicao_contratual!H91-posicao_contratual!N91,0),2))</f>
        <v/>
      </c>
      <c r="N91" s="79" t="str">
        <f>IF(AND(A91="",A90&lt;&gt;"",COUNTIF(A92:$A$200,"&lt;&gt;")=0),IF(COUNT(N$2:N90)=0,"",ROUND(SUMIF($A$2:A90,"&lt;&gt;",N$2:N90),2)),IF(OR(M91="",NOT(ISNUMBER(historico_VU!D91))),"",ROUND(M91*historico_VU!D91,2)))</f>
        <v/>
      </c>
      <c r="O91" s="85" t="str">
        <f>IF(OR(posicao_contratual!N91="",posicao_contratual!R91=""),"",ROUND(MAX(posicao_contratual!N91+posicao_contratual!L91-posicao_contratual!R91,0),2))</f>
        <v/>
      </c>
      <c r="P91" s="79" t="str">
        <f>IF(AND(A91="",A90&lt;&gt;"",COUNTIF(A92:$A$200,"&lt;&gt;")=0),IF(COUNT(P$2:P90)=0,"",ROUND(SUMIF($A$2:A90,"&lt;&gt;",P$2:P90),2)),IF(OR(O91="",NOT(ISNUMBER(historico_VU!E91))),"",ROUND(O91*historico_VU!E91,2)))</f>
        <v/>
      </c>
      <c r="Q91" s="85" t="str">
        <f>IF(OR(posicao_contratual!R91="",posicao_contratual!V91=""),"",ROUND(MAX(posicao_contratual!R91+posicao_contratual!P91-posicao_contratual!V91,0),2))</f>
        <v/>
      </c>
      <c r="R91" s="79" t="str">
        <f>IF(AND(A91="",A90&lt;&gt;"",COUNTIF(A92:$A$200,"&lt;&gt;")=0),IF(COUNT(R$2:R90)=0,"",ROUND(SUMIF($A$2:A90,"&lt;&gt;",R$2:R90),2)),IF(OR(Q91="",NOT(ISNUMBER(historico_VU!F91))),"",ROUND(Q91*historico_VU!F91,2)))</f>
        <v/>
      </c>
      <c r="S91" s="21"/>
      <c r="T91" s="22" t="str">
        <f>IF(AND(A91="",A90&lt;&gt;"",COUNTIF(A92:$A$200,"&lt;&gt;")=0),IF(COUNT(T$2:T90)=0,"",ROUND(SUMIF($A$2:A90,"&lt;&gt;",T$2:T90),2)),IF(OR(S91="",NOT(ISNUMBER(historico_VU!G91))),"",ROUND(S91*historico_VU!G91,2)))</f>
        <v/>
      </c>
      <c r="U91" s="86" t="str">
        <f>IF(AND(A91="",A90&lt;&gt;"",COUNTIF(A92:$A$200,"&lt;&gt;")=0),"TOTAL",IF(A91="","",posicao_contratual!X91))</f>
        <v/>
      </c>
      <c r="V91" s="86" t="str">
        <f>IF(A91="","",posicao_contratual!X91)</f>
        <v/>
      </c>
      <c r="W91" s="14"/>
      <c r="X91" s="14"/>
      <c r="Y91" s="14"/>
      <c r="Z91" s="13"/>
      <c r="AA91" s="13"/>
      <c r="AB91" s="85" t="str">
        <f>IF(OR(A91="",posicao_contratual!E91="",posicao_contratual!J91=""),"",ROUND(MAX(posicao_contratual!E91-posicao_contratual!J91,0),2))</f>
        <v/>
      </c>
      <c r="AC91" s="79" t="str">
        <f>IF(AND(A91="",A90&lt;&gt;"",COUNTIF(A92:$A$200,"&lt;&gt;")=0),IF(COUNT(AC$2:AC90)=0,"",ROUND(SUMIF($A$2:A90,"&lt;&gt;",AC$2:AC90),2)),IF(OR(AB91="",NOT(ISNUMBER(historico_VU!C91))),"",ROUND(AB91*historico_VU!C91,2)))</f>
        <v/>
      </c>
      <c r="AD91" s="145" t="str">
        <f>IF(A91="","",posicao_contratual!E91)</f>
        <v/>
      </c>
      <c r="AE91" s="145" t="str">
        <f>IF(A91="","",posicao_contratual!I91)</f>
        <v/>
      </c>
      <c r="AF91" s="145" t="str">
        <f>IF(A91="","",posicao_contratual!M91)</f>
        <v/>
      </c>
      <c r="AG91" s="145" t="str">
        <f>IF(A91="","",posicao_contratual!Q91)</f>
        <v/>
      </c>
      <c r="AH91" s="145" t="str">
        <f>IF(A91="","",posicao_contratual!U91)</f>
        <v/>
      </c>
      <c r="AI91" s="145" t="str">
        <f>IF(A91="","",posicao_contratual!G91)</f>
        <v/>
      </c>
      <c r="AJ91" s="145" t="str">
        <f>IF(A91="","",posicao_contratual!K91)</f>
        <v/>
      </c>
      <c r="AK91" s="145" t="str">
        <f>IF(A91="","",posicao_contratual!O91)</f>
        <v/>
      </c>
      <c r="AL91" s="145" t="str">
        <f>IF(A91="","",posicao_contratual!S91)</f>
        <v/>
      </c>
      <c r="AM91" s="145" t="str">
        <f>IF(A91="","",posicao_contratual!W91)</f>
        <v/>
      </c>
      <c r="AN91" s="146" t="str">
        <f>IF(A91="","",posicao_contratual!X91)</f>
        <v/>
      </c>
      <c r="AO91" t="str">
        <f>IF($A91="","",ROUND(SUMIFS(itens_Consumidos!$E$2:$E$200,itens_Consumidos!$A$2:$A$200,$A91),2))</f>
        <v/>
      </c>
      <c r="AP91" t="str">
        <f t="shared" si="12"/>
        <v/>
      </c>
      <c r="AQ91" t="str">
        <f>IF(OR($A91="",AB91="",MEMORIA_RESULTADOS!$I$258=""),"",ROUND(AB91*$C91*(MEMORIA_RESULTADOS!$I$258-1),2))</f>
        <v/>
      </c>
      <c r="AR91" t="str">
        <f>IF(OR($A91="",AP91="",MEMORIA_RESULTADOS!$I$258=""),"",ROUND(AP91*$C91*(parametros!$F$2-MEMORIA_RESULTADOS!$I$258),2))</f>
        <v/>
      </c>
      <c r="AS91" t="str">
        <f>IF($A91="","",ROUND(SUMIFS(itens_Consumidos!$G$2:$G$200,itens_Consumidos!$A$2:$A$200,$A91),2))</f>
        <v/>
      </c>
      <c r="AT91" t="str">
        <f t="shared" si="13"/>
        <v/>
      </c>
      <c r="AU91" t="str">
        <f>IF(OR($A91="",M91="",MEMORIA_RESULTADOS!$I$259=""),"",ROUND(M91*$C91*(MEMORIA_RESULTADOS!$I$259-1),2))</f>
        <v/>
      </c>
      <c r="AV91" t="str">
        <f>IF(OR($A91="",AT91="",MEMORIA_RESULTADOS!$I$259=""),"",ROUND(AT91*$C91*(parametros!$F$3-MEMORIA_RESULTADOS!$I$259),2))</f>
        <v/>
      </c>
      <c r="AW91" t="str">
        <f>IF($A91="","",ROUND(SUMIFS(itens_Consumidos!$I$2:$I$200,itens_Consumidos!$A$2:$A$200,$A91),2))</f>
        <v/>
      </c>
      <c r="AX91" t="str">
        <f t="shared" si="14"/>
        <v/>
      </c>
      <c r="AY91" t="str">
        <f>IF(OR($A91="",O91="",MEMORIA_RESULTADOS!$I$260=""),"",ROUND(O91*$C91*(MEMORIA_RESULTADOS!$I$260-1),2))</f>
        <v/>
      </c>
      <c r="AZ91" t="str">
        <f>IF(OR($A91="",AX91="",MEMORIA_RESULTADOS!$I$260=""),"",ROUND(AX91*$C91*(parametros!$F$4-MEMORIA_RESULTADOS!$I$260),2))</f>
        <v/>
      </c>
      <c r="BA91" t="str">
        <f>IF($A91="","",ROUND(SUMIFS(itens_Consumidos!$K$2:$K$200,itens_Consumidos!$A$2:$A$200,$A91),2))</f>
        <v/>
      </c>
      <c r="BB91" t="str">
        <f t="shared" si="15"/>
        <v/>
      </c>
      <c r="BC91" t="str">
        <f>IF(OR($A91="",Q91="",MEMORIA_RESULTADOS!$I$261=""),"",ROUND(Q91*$C91*(MEMORIA_RESULTADOS!$I$261-1),2))</f>
        <v/>
      </c>
      <c r="BD91" t="str">
        <f>IF(OR($A91="",BB91="",MEMORIA_RESULTADOS!$I$261=""),"",ROUND(BB91*$C91*(parametros!$F$5-MEMORIA_RESULTADOS!$I$261),2))</f>
        <v/>
      </c>
      <c r="BE91" t="str">
        <f>IF($A91="","",ROUND(SUMIFS(itens_Consumidos!$M$2:$M$200,itens_Consumidos!$A$2:$A$200,$A91),2))</f>
        <v/>
      </c>
      <c r="BF91" t="str">
        <f t="shared" si="16"/>
        <v/>
      </c>
      <c r="BG91" t="str">
        <f>IF(OR($A91="",S91="",MEMORIA_RESULTADOS!$I$262=""),"",ROUND(S91*$C91*(MEMORIA_RESULTADOS!$I$262-1),2))</f>
        <v/>
      </c>
      <c r="BH91" t="str">
        <f>IF(OR($A91="",BF91="",MEMORIA_RESULTADOS!$I$262=""),"",ROUND(BF91*$C91*(parametros!$F$6-MEMORIA_RESULTADOS!$I$262),2))</f>
        <v/>
      </c>
      <c r="BI91" t="str">
        <f>IF($A91="","",IF(posicao_contratual!$AL91="","",posicao_contratual!$AL91))</f>
        <v/>
      </c>
    </row>
    <row r="92" spans="1:61" x14ac:dyDescent="0.35">
      <c r="A92" s="81"/>
      <c r="B92" s="82" t="str">
        <f t="shared" si="17"/>
        <v/>
      </c>
      <c r="C92" s="83"/>
      <c r="D92" s="79" t="str">
        <f>IF(AND(A92="",A91&lt;&gt;"",COUNTIF(A93:$A$200,"&lt;&gt;")=0),ROUND(SUMIF($A$2:A91,"&lt;&gt;",$D$2:D91),2),IF(OR(A92="",B92="",C92=""),"",ROUND(B92*C92,2)))</f>
        <v/>
      </c>
      <c r="E92" s="84"/>
      <c r="F92" s="79" t="str">
        <f>IF(AND(A92="",A91&lt;&gt;"",COUNTIF(A93:$A$200,"&lt;&gt;")=0),IF(COUNT(F$2:F91)=0,"",ROUND(SUMIF($A$2:A91,"&lt;&gt;",F$2:F91),2)),IF(OR(A92="",AND(ISNUMBER(posicao_contratual!$AL92),posicao_contratual!$AL92&gt;1),posicao_contratual!K92="",NOT(ISNUMBER(historico_VU!D92))),"",ROUND(posicao_contratual!K92*historico_VU!D92,2)))</f>
        <v/>
      </c>
      <c r="G92" s="84"/>
      <c r="H92" s="79" t="str">
        <f>IF(AND(A92="",A91&lt;&gt;"",COUNTIF(A93:$A$200,"&lt;&gt;")=0),IF(COUNT(H$2:H91)=0,"",ROUND(SUMIF($A$2:A91,"&lt;&gt;",H$2:H91),2)),IF(OR(A92="",AND(ISNUMBER(posicao_contratual!$AL92),posicao_contratual!$AL92&gt;2),posicao_contratual!O92="",NOT(ISNUMBER(historico_VU!E92))),"",ROUND(posicao_contratual!O92*historico_VU!E92,2)))</f>
        <v/>
      </c>
      <c r="I92" s="84"/>
      <c r="J92" s="79" t="str">
        <f>IF(AND(A92="",A91&lt;&gt;"",COUNTIF(A93:$A$200,"&lt;&gt;")=0),IF(COUNT(J$2:J91)=0,"",ROUND(SUMIF($A$2:A91,"&lt;&gt;",J$2:J91),2)),IF(OR(A92="",AND(ISNUMBER(posicao_contratual!$AL92),posicao_contratual!$AL92&gt;3),posicao_contratual!S92="",NOT(ISNUMBER(historico_VU!F92))),"",ROUND(posicao_contratual!S92*historico_VU!F92,2)))</f>
        <v/>
      </c>
      <c r="K92" s="84"/>
      <c r="L92" s="79" t="str">
        <f>IF(AND(A92="",A91&lt;&gt;"",COUNTIF(A93:$A$200,"&lt;&gt;")=0),IF(COUNT(L$2:L91)=0,"",ROUND(SUMIF($A$2:A91,"&lt;&gt;",L$2:L91),2)),IF(OR(A92="",AND(ISNUMBER(posicao_contratual!$AL92),posicao_contratual!$AL92&gt;4),posicao_contratual!W92="",NOT(ISNUMBER(historico_VU!G92))),"",ROUND(posicao_contratual!W92*historico_VU!G92,2)))</f>
        <v/>
      </c>
      <c r="M92" s="85" t="str">
        <f>IF(OR(posicao_contratual!J92="",posicao_contratual!N92=""),"",ROUND(MAX(posicao_contratual!J92+posicao_contratual!H92-posicao_contratual!N92,0),2))</f>
        <v/>
      </c>
      <c r="N92" s="79" t="str">
        <f>IF(AND(A92="",A91&lt;&gt;"",COUNTIF(A93:$A$200,"&lt;&gt;")=0),IF(COUNT(N$2:N91)=0,"",ROUND(SUMIF($A$2:A91,"&lt;&gt;",N$2:N91),2)),IF(OR(M92="",NOT(ISNUMBER(historico_VU!D92))),"",ROUND(M92*historico_VU!D92,2)))</f>
        <v/>
      </c>
      <c r="O92" s="85" t="str">
        <f>IF(OR(posicao_contratual!N92="",posicao_contratual!R92=""),"",ROUND(MAX(posicao_contratual!N92+posicao_contratual!L92-posicao_contratual!R92,0),2))</f>
        <v/>
      </c>
      <c r="P92" s="79" t="str">
        <f>IF(AND(A92="",A91&lt;&gt;"",COUNTIF(A93:$A$200,"&lt;&gt;")=0),IF(COUNT(P$2:P91)=0,"",ROUND(SUMIF($A$2:A91,"&lt;&gt;",P$2:P91),2)),IF(OR(O92="",NOT(ISNUMBER(historico_VU!E92))),"",ROUND(O92*historico_VU!E92,2)))</f>
        <v/>
      </c>
      <c r="Q92" s="85" t="str">
        <f>IF(OR(posicao_contratual!R92="",posicao_contratual!V92=""),"",ROUND(MAX(posicao_contratual!R92+posicao_contratual!P92-posicao_contratual!V92,0),2))</f>
        <v/>
      </c>
      <c r="R92" s="79" t="str">
        <f>IF(AND(A92="",A91&lt;&gt;"",COUNTIF(A93:$A$200,"&lt;&gt;")=0),IF(COUNT(R$2:R91)=0,"",ROUND(SUMIF($A$2:A91,"&lt;&gt;",R$2:R91),2)),IF(OR(Q92="",NOT(ISNUMBER(historico_VU!F92))),"",ROUND(Q92*historico_VU!F92,2)))</f>
        <v/>
      </c>
      <c r="S92" s="21"/>
      <c r="T92" s="22" t="str">
        <f>IF(AND(A92="",A91&lt;&gt;"",COUNTIF(A93:$A$200,"&lt;&gt;")=0),IF(COUNT(T$2:T91)=0,"",ROUND(SUMIF($A$2:A91,"&lt;&gt;",T$2:T91),2)),IF(OR(S92="",NOT(ISNUMBER(historico_VU!G92))),"",ROUND(S92*historico_VU!G92,2)))</f>
        <v/>
      </c>
      <c r="U92" s="86" t="str">
        <f>IF(AND(A92="",A91&lt;&gt;"",COUNTIF(A93:$A$200,"&lt;&gt;")=0),"TOTAL",IF(A92="","",posicao_contratual!X92))</f>
        <v/>
      </c>
      <c r="V92" s="86" t="str">
        <f>IF(A92="","",posicao_contratual!X92)</f>
        <v/>
      </c>
      <c r="W92" s="14"/>
      <c r="X92" s="14"/>
      <c r="Y92" s="14"/>
      <c r="Z92" s="13"/>
      <c r="AA92" s="13"/>
      <c r="AB92" s="85" t="str">
        <f>IF(OR(A92="",posicao_contratual!E92="",posicao_contratual!J92=""),"",ROUND(MAX(posicao_contratual!E92-posicao_contratual!J92,0),2))</f>
        <v/>
      </c>
      <c r="AC92" s="79" t="str">
        <f>IF(AND(A92="",A91&lt;&gt;"",COUNTIF(A93:$A$200,"&lt;&gt;")=0),IF(COUNT(AC$2:AC91)=0,"",ROUND(SUMIF($A$2:A91,"&lt;&gt;",AC$2:AC91),2)),IF(OR(AB92="",NOT(ISNUMBER(historico_VU!C92))),"",ROUND(AB92*historico_VU!C92,2)))</f>
        <v/>
      </c>
      <c r="AD92" s="145" t="str">
        <f>IF(A92="","",posicao_contratual!E92)</f>
        <v/>
      </c>
      <c r="AE92" s="145" t="str">
        <f>IF(A92="","",posicao_contratual!I92)</f>
        <v/>
      </c>
      <c r="AF92" s="145" t="str">
        <f>IF(A92="","",posicao_contratual!M92)</f>
        <v/>
      </c>
      <c r="AG92" s="145" t="str">
        <f>IF(A92="","",posicao_contratual!Q92)</f>
        <v/>
      </c>
      <c r="AH92" s="145" t="str">
        <f>IF(A92="","",posicao_contratual!U92)</f>
        <v/>
      </c>
      <c r="AI92" s="145" t="str">
        <f>IF(A92="","",posicao_contratual!G92)</f>
        <v/>
      </c>
      <c r="AJ92" s="145" t="str">
        <f>IF(A92="","",posicao_contratual!K92)</f>
        <v/>
      </c>
      <c r="AK92" s="145" t="str">
        <f>IF(A92="","",posicao_contratual!O92)</f>
        <v/>
      </c>
      <c r="AL92" s="145" t="str">
        <f>IF(A92="","",posicao_contratual!S92)</f>
        <v/>
      </c>
      <c r="AM92" s="145" t="str">
        <f>IF(A92="","",posicao_contratual!W92)</f>
        <v/>
      </c>
      <c r="AN92" s="146" t="str">
        <f>IF(A92="","",posicao_contratual!X92)</f>
        <v/>
      </c>
      <c r="AO92" t="str">
        <f>IF($A92="","",ROUND(SUMIFS(itens_Consumidos!$E$2:$E$200,itens_Consumidos!$A$2:$A$200,$A92),2))</f>
        <v/>
      </c>
      <c r="AP92" t="str">
        <f t="shared" si="12"/>
        <v/>
      </c>
      <c r="AQ92" t="str">
        <f>IF(OR($A92="",AB92="",MEMORIA_RESULTADOS!$I$258=""),"",ROUND(AB92*$C92*(MEMORIA_RESULTADOS!$I$258-1),2))</f>
        <v/>
      </c>
      <c r="AR92" t="str">
        <f>IF(OR($A92="",AP92="",MEMORIA_RESULTADOS!$I$258=""),"",ROUND(AP92*$C92*(parametros!$F$2-MEMORIA_RESULTADOS!$I$258),2))</f>
        <v/>
      </c>
      <c r="AS92" t="str">
        <f>IF($A92="","",ROUND(SUMIFS(itens_Consumidos!$G$2:$G$200,itens_Consumidos!$A$2:$A$200,$A92),2))</f>
        <v/>
      </c>
      <c r="AT92" t="str">
        <f t="shared" si="13"/>
        <v/>
      </c>
      <c r="AU92" t="str">
        <f>IF(OR($A92="",M92="",MEMORIA_RESULTADOS!$I$259=""),"",ROUND(M92*$C92*(MEMORIA_RESULTADOS!$I$259-1),2))</f>
        <v/>
      </c>
      <c r="AV92" t="str">
        <f>IF(OR($A92="",AT92="",MEMORIA_RESULTADOS!$I$259=""),"",ROUND(AT92*$C92*(parametros!$F$3-MEMORIA_RESULTADOS!$I$259),2))</f>
        <v/>
      </c>
      <c r="AW92" t="str">
        <f>IF($A92="","",ROUND(SUMIFS(itens_Consumidos!$I$2:$I$200,itens_Consumidos!$A$2:$A$200,$A92),2))</f>
        <v/>
      </c>
      <c r="AX92" t="str">
        <f t="shared" si="14"/>
        <v/>
      </c>
      <c r="AY92" t="str">
        <f>IF(OR($A92="",O92="",MEMORIA_RESULTADOS!$I$260=""),"",ROUND(O92*$C92*(MEMORIA_RESULTADOS!$I$260-1),2))</f>
        <v/>
      </c>
      <c r="AZ92" t="str">
        <f>IF(OR($A92="",AX92="",MEMORIA_RESULTADOS!$I$260=""),"",ROUND(AX92*$C92*(parametros!$F$4-MEMORIA_RESULTADOS!$I$260),2))</f>
        <v/>
      </c>
      <c r="BA92" t="str">
        <f>IF($A92="","",ROUND(SUMIFS(itens_Consumidos!$K$2:$K$200,itens_Consumidos!$A$2:$A$200,$A92),2))</f>
        <v/>
      </c>
      <c r="BB92" t="str">
        <f t="shared" si="15"/>
        <v/>
      </c>
      <c r="BC92" t="str">
        <f>IF(OR($A92="",Q92="",MEMORIA_RESULTADOS!$I$261=""),"",ROUND(Q92*$C92*(MEMORIA_RESULTADOS!$I$261-1),2))</f>
        <v/>
      </c>
      <c r="BD92" t="str">
        <f>IF(OR($A92="",BB92="",MEMORIA_RESULTADOS!$I$261=""),"",ROUND(BB92*$C92*(parametros!$F$5-MEMORIA_RESULTADOS!$I$261),2))</f>
        <v/>
      </c>
      <c r="BE92" t="str">
        <f>IF($A92="","",ROUND(SUMIFS(itens_Consumidos!$M$2:$M$200,itens_Consumidos!$A$2:$A$200,$A92),2))</f>
        <v/>
      </c>
      <c r="BF92" t="str">
        <f t="shared" si="16"/>
        <v/>
      </c>
      <c r="BG92" t="str">
        <f>IF(OR($A92="",S92="",MEMORIA_RESULTADOS!$I$262=""),"",ROUND(S92*$C92*(MEMORIA_RESULTADOS!$I$262-1),2))</f>
        <v/>
      </c>
      <c r="BH92" t="str">
        <f>IF(OR($A92="",BF92="",MEMORIA_RESULTADOS!$I$262=""),"",ROUND(BF92*$C92*(parametros!$F$6-MEMORIA_RESULTADOS!$I$262),2))</f>
        <v/>
      </c>
      <c r="BI92" t="str">
        <f>IF($A92="","",IF(posicao_contratual!$AL92="","",posicao_contratual!$AL92))</f>
        <v/>
      </c>
    </row>
    <row r="93" spans="1:61" x14ac:dyDescent="0.35">
      <c r="A93" s="81"/>
      <c r="B93" s="82" t="str">
        <f t="shared" si="17"/>
        <v/>
      </c>
      <c r="C93" s="83"/>
      <c r="D93" s="79" t="str">
        <f>IF(AND(A93="",A92&lt;&gt;"",COUNTIF(A94:$A$200,"&lt;&gt;")=0),ROUND(SUMIF($A$2:A92,"&lt;&gt;",$D$2:D92),2),IF(OR(A93="",B93="",C93=""),"",ROUND(B93*C93,2)))</f>
        <v/>
      </c>
      <c r="E93" s="84"/>
      <c r="F93" s="79" t="str">
        <f>IF(AND(A93="",A92&lt;&gt;"",COUNTIF(A94:$A$200,"&lt;&gt;")=0),IF(COUNT(F$2:F92)=0,"",ROUND(SUMIF($A$2:A92,"&lt;&gt;",F$2:F92),2)),IF(OR(A93="",AND(ISNUMBER(posicao_contratual!$AL93),posicao_contratual!$AL93&gt;1),posicao_contratual!K93="",NOT(ISNUMBER(historico_VU!D93))),"",ROUND(posicao_contratual!K93*historico_VU!D93,2)))</f>
        <v/>
      </c>
      <c r="G93" s="84"/>
      <c r="H93" s="79" t="str">
        <f>IF(AND(A93="",A92&lt;&gt;"",COUNTIF(A94:$A$200,"&lt;&gt;")=0),IF(COUNT(H$2:H92)=0,"",ROUND(SUMIF($A$2:A92,"&lt;&gt;",H$2:H92),2)),IF(OR(A93="",AND(ISNUMBER(posicao_contratual!$AL93),posicao_contratual!$AL93&gt;2),posicao_contratual!O93="",NOT(ISNUMBER(historico_VU!E93))),"",ROUND(posicao_contratual!O93*historico_VU!E93,2)))</f>
        <v/>
      </c>
      <c r="I93" s="84"/>
      <c r="J93" s="79" t="str">
        <f>IF(AND(A93="",A92&lt;&gt;"",COUNTIF(A94:$A$200,"&lt;&gt;")=0),IF(COUNT(J$2:J92)=0,"",ROUND(SUMIF($A$2:A92,"&lt;&gt;",J$2:J92),2)),IF(OR(A93="",AND(ISNUMBER(posicao_contratual!$AL93),posicao_contratual!$AL93&gt;3),posicao_contratual!S93="",NOT(ISNUMBER(historico_VU!F93))),"",ROUND(posicao_contratual!S93*historico_VU!F93,2)))</f>
        <v/>
      </c>
      <c r="K93" s="84"/>
      <c r="L93" s="79" t="str">
        <f>IF(AND(A93="",A92&lt;&gt;"",COUNTIF(A94:$A$200,"&lt;&gt;")=0),IF(COUNT(L$2:L92)=0,"",ROUND(SUMIF($A$2:A92,"&lt;&gt;",L$2:L92),2)),IF(OR(A93="",AND(ISNUMBER(posicao_contratual!$AL93),posicao_contratual!$AL93&gt;4),posicao_contratual!W93="",NOT(ISNUMBER(historico_VU!G93))),"",ROUND(posicao_contratual!W93*historico_VU!G93,2)))</f>
        <v/>
      </c>
      <c r="M93" s="85" t="str">
        <f>IF(OR(posicao_contratual!J93="",posicao_contratual!N93=""),"",ROUND(MAX(posicao_contratual!J93+posicao_contratual!H93-posicao_contratual!N93,0),2))</f>
        <v/>
      </c>
      <c r="N93" s="79" t="str">
        <f>IF(AND(A93="",A92&lt;&gt;"",COUNTIF(A94:$A$200,"&lt;&gt;")=0),IF(COUNT(N$2:N92)=0,"",ROUND(SUMIF($A$2:A92,"&lt;&gt;",N$2:N92),2)),IF(OR(M93="",NOT(ISNUMBER(historico_VU!D93))),"",ROUND(M93*historico_VU!D93,2)))</f>
        <v/>
      </c>
      <c r="O93" s="85" t="str">
        <f>IF(OR(posicao_contratual!N93="",posicao_contratual!R93=""),"",ROUND(MAX(posicao_contratual!N93+posicao_contratual!L93-posicao_contratual!R93,0),2))</f>
        <v/>
      </c>
      <c r="P93" s="79" t="str">
        <f>IF(AND(A93="",A92&lt;&gt;"",COUNTIF(A94:$A$200,"&lt;&gt;")=0),IF(COUNT(P$2:P92)=0,"",ROUND(SUMIF($A$2:A92,"&lt;&gt;",P$2:P92),2)),IF(OR(O93="",NOT(ISNUMBER(historico_VU!E93))),"",ROUND(O93*historico_VU!E93,2)))</f>
        <v/>
      </c>
      <c r="Q93" s="85" t="str">
        <f>IF(OR(posicao_contratual!R93="",posicao_contratual!V93=""),"",ROUND(MAX(posicao_contratual!R93+posicao_contratual!P93-posicao_contratual!V93,0),2))</f>
        <v/>
      </c>
      <c r="R93" s="79" t="str">
        <f>IF(AND(A93="",A92&lt;&gt;"",COUNTIF(A94:$A$200,"&lt;&gt;")=0),IF(COUNT(R$2:R92)=0,"",ROUND(SUMIF($A$2:A92,"&lt;&gt;",R$2:R92),2)),IF(OR(Q93="",NOT(ISNUMBER(historico_VU!F93))),"",ROUND(Q93*historico_VU!F93,2)))</f>
        <v/>
      </c>
      <c r="S93" s="21"/>
      <c r="T93" s="22" t="str">
        <f>IF(AND(A93="",A92&lt;&gt;"",COUNTIF(A94:$A$200,"&lt;&gt;")=0),IF(COUNT(T$2:T92)=0,"",ROUND(SUMIF($A$2:A92,"&lt;&gt;",T$2:T92),2)),IF(OR(S93="",NOT(ISNUMBER(historico_VU!G93))),"",ROUND(S93*historico_VU!G93,2)))</f>
        <v/>
      </c>
      <c r="U93" s="86" t="str">
        <f>IF(AND(A93="",A92&lt;&gt;"",COUNTIF(A94:$A$200,"&lt;&gt;")=0),"TOTAL",IF(A93="","",posicao_contratual!X93))</f>
        <v/>
      </c>
      <c r="V93" s="86" t="str">
        <f>IF(A93="","",posicao_contratual!X93)</f>
        <v/>
      </c>
      <c r="W93" s="14"/>
      <c r="X93" s="14"/>
      <c r="Y93" s="14"/>
      <c r="Z93" s="13"/>
      <c r="AA93" s="13"/>
      <c r="AB93" s="85" t="str">
        <f>IF(OR(A93="",posicao_contratual!E93="",posicao_contratual!J93=""),"",ROUND(MAX(posicao_contratual!E93-posicao_contratual!J93,0),2))</f>
        <v/>
      </c>
      <c r="AC93" s="79" t="str">
        <f>IF(AND(A93="",A92&lt;&gt;"",COUNTIF(A94:$A$200,"&lt;&gt;")=0),IF(COUNT(AC$2:AC92)=0,"",ROUND(SUMIF($A$2:A92,"&lt;&gt;",AC$2:AC92),2)),IF(OR(AB93="",NOT(ISNUMBER(historico_VU!C93))),"",ROUND(AB93*historico_VU!C93,2)))</f>
        <v/>
      </c>
      <c r="AD93" s="145" t="str">
        <f>IF(A93="","",posicao_contratual!E93)</f>
        <v/>
      </c>
      <c r="AE93" s="145" t="str">
        <f>IF(A93="","",posicao_contratual!I93)</f>
        <v/>
      </c>
      <c r="AF93" s="145" t="str">
        <f>IF(A93="","",posicao_contratual!M93)</f>
        <v/>
      </c>
      <c r="AG93" s="145" t="str">
        <f>IF(A93="","",posicao_contratual!Q93)</f>
        <v/>
      </c>
      <c r="AH93" s="145" t="str">
        <f>IF(A93="","",posicao_contratual!U93)</f>
        <v/>
      </c>
      <c r="AI93" s="145" t="str">
        <f>IF(A93="","",posicao_contratual!G93)</f>
        <v/>
      </c>
      <c r="AJ93" s="145" t="str">
        <f>IF(A93="","",posicao_contratual!K93)</f>
        <v/>
      </c>
      <c r="AK93" s="145" t="str">
        <f>IF(A93="","",posicao_contratual!O93)</f>
        <v/>
      </c>
      <c r="AL93" s="145" t="str">
        <f>IF(A93="","",posicao_contratual!S93)</f>
        <v/>
      </c>
      <c r="AM93" s="145" t="str">
        <f>IF(A93="","",posicao_contratual!W93)</f>
        <v/>
      </c>
      <c r="AN93" s="146" t="str">
        <f>IF(A93="","",posicao_contratual!X93)</f>
        <v/>
      </c>
      <c r="AO93" t="str">
        <f>IF($A93="","",ROUND(SUMIFS(itens_Consumidos!$E$2:$E$200,itens_Consumidos!$A$2:$A$200,$A93),2))</f>
        <v/>
      </c>
      <c r="AP93" t="str">
        <f t="shared" si="12"/>
        <v/>
      </c>
      <c r="AQ93" t="str">
        <f>IF(OR($A93="",AB93="",MEMORIA_RESULTADOS!$I$258=""),"",ROUND(AB93*$C93*(MEMORIA_RESULTADOS!$I$258-1),2))</f>
        <v/>
      </c>
      <c r="AR93" t="str">
        <f>IF(OR($A93="",AP93="",MEMORIA_RESULTADOS!$I$258=""),"",ROUND(AP93*$C93*(parametros!$F$2-MEMORIA_RESULTADOS!$I$258),2))</f>
        <v/>
      </c>
      <c r="AS93" t="str">
        <f>IF($A93="","",ROUND(SUMIFS(itens_Consumidos!$G$2:$G$200,itens_Consumidos!$A$2:$A$200,$A93),2))</f>
        <v/>
      </c>
      <c r="AT93" t="str">
        <f t="shared" si="13"/>
        <v/>
      </c>
      <c r="AU93" t="str">
        <f>IF(OR($A93="",M93="",MEMORIA_RESULTADOS!$I$259=""),"",ROUND(M93*$C93*(MEMORIA_RESULTADOS!$I$259-1),2))</f>
        <v/>
      </c>
      <c r="AV93" t="str">
        <f>IF(OR($A93="",AT93="",MEMORIA_RESULTADOS!$I$259=""),"",ROUND(AT93*$C93*(parametros!$F$3-MEMORIA_RESULTADOS!$I$259),2))</f>
        <v/>
      </c>
      <c r="AW93" t="str">
        <f>IF($A93="","",ROUND(SUMIFS(itens_Consumidos!$I$2:$I$200,itens_Consumidos!$A$2:$A$200,$A93),2))</f>
        <v/>
      </c>
      <c r="AX93" t="str">
        <f t="shared" si="14"/>
        <v/>
      </c>
      <c r="AY93" t="str">
        <f>IF(OR($A93="",O93="",MEMORIA_RESULTADOS!$I$260=""),"",ROUND(O93*$C93*(MEMORIA_RESULTADOS!$I$260-1),2))</f>
        <v/>
      </c>
      <c r="AZ93" t="str">
        <f>IF(OR($A93="",AX93="",MEMORIA_RESULTADOS!$I$260=""),"",ROUND(AX93*$C93*(parametros!$F$4-MEMORIA_RESULTADOS!$I$260),2))</f>
        <v/>
      </c>
      <c r="BA93" t="str">
        <f>IF($A93="","",ROUND(SUMIFS(itens_Consumidos!$K$2:$K$200,itens_Consumidos!$A$2:$A$200,$A93),2))</f>
        <v/>
      </c>
      <c r="BB93" t="str">
        <f t="shared" si="15"/>
        <v/>
      </c>
      <c r="BC93" t="str">
        <f>IF(OR($A93="",Q93="",MEMORIA_RESULTADOS!$I$261=""),"",ROUND(Q93*$C93*(MEMORIA_RESULTADOS!$I$261-1),2))</f>
        <v/>
      </c>
      <c r="BD93" t="str">
        <f>IF(OR($A93="",BB93="",MEMORIA_RESULTADOS!$I$261=""),"",ROUND(BB93*$C93*(parametros!$F$5-MEMORIA_RESULTADOS!$I$261),2))</f>
        <v/>
      </c>
      <c r="BE93" t="str">
        <f>IF($A93="","",ROUND(SUMIFS(itens_Consumidos!$M$2:$M$200,itens_Consumidos!$A$2:$A$200,$A93),2))</f>
        <v/>
      </c>
      <c r="BF93" t="str">
        <f t="shared" si="16"/>
        <v/>
      </c>
      <c r="BG93" t="str">
        <f>IF(OR($A93="",S93="",MEMORIA_RESULTADOS!$I$262=""),"",ROUND(S93*$C93*(MEMORIA_RESULTADOS!$I$262-1),2))</f>
        <v/>
      </c>
      <c r="BH93" t="str">
        <f>IF(OR($A93="",BF93="",MEMORIA_RESULTADOS!$I$262=""),"",ROUND(BF93*$C93*(parametros!$F$6-MEMORIA_RESULTADOS!$I$262),2))</f>
        <v/>
      </c>
      <c r="BI93" t="str">
        <f>IF($A93="","",IF(posicao_contratual!$AL93="","",posicao_contratual!$AL93))</f>
        <v/>
      </c>
    </row>
    <row r="94" spans="1:61" x14ac:dyDescent="0.35">
      <c r="A94" s="81"/>
      <c r="B94" s="82" t="str">
        <f t="shared" si="17"/>
        <v/>
      </c>
      <c r="C94" s="83"/>
      <c r="D94" s="79" t="str">
        <f>IF(AND(A94="",A93&lt;&gt;"",COUNTIF(A95:$A$200,"&lt;&gt;")=0),ROUND(SUMIF($A$2:A93,"&lt;&gt;",$D$2:D93),2),IF(OR(A94="",B94="",C94=""),"",ROUND(B94*C94,2)))</f>
        <v/>
      </c>
      <c r="E94" s="84"/>
      <c r="F94" s="79" t="str">
        <f>IF(AND(A94="",A93&lt;&gt;"",COUNTIF(A95:$A$200,"&lt;&gt;")=0),IF(COUNT(F$2:F93)=0,"",ROUND(SUMIF($A$2:A93,"&lt;&gt;",F$2:F93),2)),IF(OR(A94="",AND(ISNUMBER(posicao_contratual!$AL94),posicao_contratual!$AL94&gt;1),posicao_contratual!K94="",NOT(ISNUMBER(historico_VU!D94))),"",ROUND(posicao_contratual!K94*historico_VU!D94,2)))</f>
        <v/>
      </c>
      <c r="G94" s="84"/>
      <c r="H94" s="79" t="str">
        <f>IF(AND(A94="",A93&lt;&gt;"",COUNTIF(A95:$A$200,"&lt;&gt;")=0),IF(COUNT(H$2:H93)=0,"",ROUND(SUMIF($A$2:A93,"&lt;&gt;",H$2:H93),2)),IF(OR(A94="",AND(ISNUMBER(posicao_contratual!$AL94),posicao_contratual!$AL94&gt;2),posicao_contratual!O94="",NOT(ISNUMBER(historico_VU!E94))),"",ROUND(posicao_contratual!O94*historico_VU!E94,2)))</f>
        <v/>
      </c>
      <c r="I94" s="84"/>
      <c r="J94" s="79" t="str">
        <f>IF(AND(A94="",A93&lt;&gt;"",COUNTIF(A95:$A$200,"&lt;&gt;")=0),IF(COUNT(J$2:J93)=0,"",ROUND(SUMIF($A$2:A93,"&lt;&gt;",J$2:J93),2)),IF(OR(A94="",AND(ISNUMBER(posicao_contratual!$AL94),posicao_contratual!$AL94&gt;3),posicao_contratual!S94="",NOT(ISNUMBER(historico_VU!F94))),"",ROUND(posicao_contratual!S94*historico_VU!F94,2)))</f>
        <v/>
      </c>
      <c r="K94" s="84"/>
      <c r="L94" s="79" t="str">
        <f>IF(AND(A94="",A93&lt;&gt;"",COUNTIF(A95:$A$200,"&lt;&gt;")=0),IF(COUNT(L$2:L93)=0,"",ROUND(SUMIF($A$2:A93,"&lt;&gt;",L$2:L93),2)),IF(OR(A94="",AND(ISNUMBER(posicao_contratual!$AL94),posicao_contratual!$AL94&gt;4),posicao_contratual!W94="",NOT(ISNUMBER(historico_VU!G94))),"",ROUND(posicao_contratual!W94*historico_VU!G94,2)))</f>
        <v/>
      </c>
      <c r="M94" s="85" t="str">
        <f>IF(OR(posicao_contratual!J94="",posicao_contratual!N94=""),"",ROUND(MAX(posicao_contratual!J94+posicao_contratual!H94-posicao_contratual!N94,0),2))</f>
        <v/>
      </c>
      <c r="N94" s="79" t="str">
        <f>IF(AND(A94="",A93&lt;&gt;"",COUNTIF(A95:$A$200,"&lt;&gt;")=0),IF(COUNT(N$2:N93)=0,"",ROUND(SUMIF($A$2:A93,"&lt;&gt;",N$2:N93),2)),IF(OR(M94="",NOT(ISNUMBER(historico_VU!D94))),"",ROUND(M94*historico_VU!D94,2)))</f>
        <v/>
      </c>
      <c r="O94" s="85" t="str">
        <f>IF(OR(posicao_contratual!N94="",posicao_contratual!R94=""),"",ROUND(MAX(posicao_contratual!N94+posicao_contratual!L94-posicao_contratual!R94,0),2))</f>
        <v/>
      </c>
      <c r="P94" s="79" t="str">
        <f>IF(AND(A94="",A93&lt;&gt;"",COUNTIF(A95:$A$200,"&lt;&gt;")=0),IF(COUNT(P$2:P93)=0,"",ROUND(SUMIF($A$2:A93,"&lt;&gt;",P$2:P93),2)),IF(OR(O94="",NOT(ISNUMBER(historico_VU!E94))),"",ROUND(O94*historico_VU!E94,2)))</f>
        <v/>
      </c>
      <c r="Q94" s="85" t="str">
        <f>IF(OR(posicao_contratual!R94="",posicao_contratual!V94=""),"",ROUND(MAX(posicao_contratual!R94+posicao_contratual!P94-posicao_contratual!V94,0),2))</f>
        <v/>
      </c>
      <c r="R94" s="79" t="str">
        <f>IF(AND(A94="",A93&lt;&gt;"",COUNTIF(A95:$A$200,"&lt;&gt;")=0),IF(COUNT(R$2:R93)=0,"",ROUND(SUMIF($A$2:A93,"&lt;&gt;",R$2:R93),2)),IF(OR(Q94="",NOT(ISNUMBER(historico_VU!F94))),"",ROUND(Q94*historico_VU!F94,2)))</f>
        <v/>
      </c>
      <c r="S94" s="21"/>
      <c r="T94" s="22" t="str">
        <f>IF(AND(A94="",A93&lt;&gt;"",COUNTIF(A95:$A$200,"&lt;&gt;")=0),IF(COUNT(T$2:T93)=0,"",ROUND(SUMIF($A$2:A93,"&lt;&gt;",T$2:T93),2)),IF(OR(S94="",NOT(ISNUMBER(historico_VU!G94))),"",ROUND(S94*historico_VU!G94,2)))</f>
        <v/>
      </c>
      <c r="U94" s="86" t="str">
        <f>IF(AND(A94="",A93&lt;&gt;"",COUNTIF(A95:$A$200,"&lt;&gt;")=0),"TOTAL",IF(A94="","",posicao_contratual!X94))</f>
        <v/>
      </c>
      <c r="V94" s="86" t="str">
        <f>IF(A94="","",posicao_contratual!X94)</f>
        <v/>
      </c>
      <c r="W94" s="14"/>
      <c r="X94" s="14"/>
      <c r="Y94" s="14"/>
      <c r="Z94" s="13"/>
      <c r="AA94" s="13"/>
      <c r="AB94" s="85" t="str">
        <f>IF(OR(A94="",posicao_contratual!E94="",posicao_contratual!J94=""),"",ROUND(MAX(posicao_contratual!E94-posicao_contratual!J94,0),2))</f>
        <v/>
      </c>
      <c r="AC94" s="79" t="str">
        <f>IF(AND(A94="",A93&lt;&gt;"",COUNTIF(A95:$A$200,"&lt;&gt;")=0),IF(COUNT(AC$2:AC93)=0,"",ROUND(SUMIF($A$2:A93,"&lt;&gt;",AC$2:AC93),2)),IF(OR(AB94="",NOT(ISNUMBER(historico_VU!C94))),"",ROUND(AB94*historico_VU!C94,2)))</f>
        <v/>
      </c>
      <c r="AD94" s="145" t="str">
        <f>IF(A94="","",posicao_contratual!E94)</f>
        <v/>
      </c>
      <c r="AE94" s="145" t="str">
        <f>IF(A94="","",posicao_contratual!I94)</f>
        <v/>
      </c>
      <c r="AF94" s="145" t="str">
        <f>IF(A94="","",posicao_contratual!M94)</f>
        <v/>
      </c>
      <c r="AG94" s="145" t="str">
        <f>IF(A94="","",posicao_contratual!Q94)</f>
        <v/>
      </c>
      <c r="AH94" s="145" t="str">
        <f>IF(A94="","",posicao_contratual!U94)</f>
        <v/>
      </c>
      <c r="AI94" s="145" t="str">
        <f>IF(A94="","",posicao_contratual!G94)</f>
        <v/>
      </c>
      <c r="AJ94" s="145" t="str">
        <f>IF(A94="","",posicao_contratual!K94)</f>
        <v/>
      </c>
      <c r="AK94" s="145" t="str">
        <f>IF(A94="","",posicao_contratual!O94)</f>
        <v/>
      </c>
      <c r="AL94" s="145" t="str">
        <f>IF(A94="","",posicao_contratual!S94)</f>
        <v/>
      </c>
      <c r="AM94" s="145" t="str">
        <f>IF(A94="","",posicao_contratual!W94)</f>
        <v/>
      </c>
      <c r="AN94" s="146" t="str">
        <f>IF(A94="","",posicao_contratual!X94)</f>
        <v/>
      </c>
      <c r="AO94" t="str">
        <f>IF($A94="","",ROUND(SUMIFS(itens_Consumidos!$E$2:$E$200,itens_Consumidos!$A$2:$A$200,$A94),2))</f>
        <v/>
      </c>
      <c r="AP94" t="str">
        <f t="shared" si="12"/>
        <v/>
      </c>
      <c r="AQ94" t="str">
        <f>IF(OR($A94="",AB94="",MEMORIA_RESULTADOS!$I$258=""),"",ROUND(AB94*$C94*(MEMORIA_RESULTADOS!$I$258-1),2))</f>
        <v/>
      </c>
      <c r="AR94" t="str">
        <f>IF(OR($A94="",AP94="",MEMORIA_RESULTADOS!$I$258=""),"",ROUND(AP94*$C94*(parametros!$F$2-MEMORIA_RESULTADOS!$I$258),2))</f>
        <v/>
      </c>
      <c r="AS94" t="str">
        <f>IF($A94="","",ROUND(SUMIFS(itens_Consumidos!$G$2:$G$200,itens_Consumidos!$A$2:$A$200,$A94),2))</f>
        <v/>
      </c>
      <c r="AT94" t="str">
        <f t="shared" si="13"/>
        <v/>
      </c>
      <c r="AU94" t="str">
        <f>IF(OR($A94="",M94="",MEMORIA_RESULTADOS!$I$259=""),"",ROUND(M94*$C94*(MEMORIA_RESULTADOS!$I$259-1),2))</f>
        <v/>
      </c>
      <c r="AV94" t="str">
        <f>IF(OR($A94="",AT94="",MEMORIA_RESULTADOS!$I$259=""),"",ROUND(AT94*$C94*(parametros!$F$3-MEMORIA_RESULTADOS!$I$259),2))</f>
        <v/>
      </c>
      <c r="AW94" t="str">
        <f>IF($A94="","",ROUND(SUMIFS(itens_Consumidos!$I$2:$I$200,itens_Consumidos!$A$2:$A$200,$A94),2))</f>
        <v/>
      </c>
      <c r="AX94" t="str">
        <f t="shared" si="14"/>
        <v/>
      </c>
      <c r="AY94" t="str">
        <f>IF(OR($A94="",O94="",MEMORIA_RESULTADOS!$I$260=""),"",ROUND(O94*$C94*(MEMORIA_RESULTADOS!$I$260-1),2))</f>
        <v/>
      </c>
      <c r="AZ94" t="str">
        <f>IF(OR($A94="",AX94="",MEMORIA_RESULTADOS!$I$260=""),"",ROUND(AX94*$C94*(parametros!$F$4-MEMORIA_RESULTADOS!$I$260),2))</f>
        <v/>
      </c>
      <c r="BA94" t="str">
        <f>IF($A94="","",ROUND(SUMIFS(itens_Consumidos!$K$2:$K$200,itens_Consumidos!$A$2:$A$200,$A94),2))</f>
        <v/>
      </c>
      <c r="BB94" t="str">
        <f t="shared" si="15"/>
        <v/>
      </c>
      <c r="BC94" t="str">
        <f>IF(OR($A94="",Q94="",MEMORIA_RESULTADOS!$I$261=""),"",ROUND(Q94*$C94*(MEMORIA_RESULTADOS!$I$261-1),2))</f>
        <v/>
      </c>
      <c r="BD94" t="str">
        <f>IF(OR($A94="",BB94="",MEMORIA_RESULTADOS!$I$261=""),"",ROUND(BB94*$C94*(parametros!$F$5-MEMORIA_RESULTADOS!$I$261),2))</f>
        <v/>
      </c>
      <c r="BE94" t="str">
        <f>IF($A94="","",ROUND(SUMIFS(itens_Consumidos!$M$2:$M$200,itens_Consumidos!$A$2:$A$200,$A94),2))</f>
        <v/>
      </c>
      <c r="BF94" t="str">
        <f t="shared" si="16"/>
        <v/>
      </c>
      <c r="BG94" t="str">
        <f>IF(OR($A94="",S94="",MEMORIA_RESULTADOS!$I$262=""),"",ROUND(S94*$C94*(MEMORIA_RESULTADOS!$I$262-1),2))</f>
        <v/>
      </c>
      <c r="BH94" t="str">
        <f>IF(OR($A94="",BF94="",MEMORIA_RESULTADOS!$I$262=""),"",ROUND(BF94*$C94*(parametros!$F$6-MEMORIA_RESULTADOS!$I$262),2))</f>
        <v/>
      </c>
      <c r="BI94" t="str">
        <f>IF($A94="","",IF(posicao_contratual!$AL94="","",posicao_contratual!$AL94))</f>
        <v/>
      </c>
    </row>
    <row r="95" spans="1:61" x14ac:dyDescent="0.35">
      <c r="A95" s="81"/>
      <c r="B95" s="82" t="str">
        <f t="shared" si="17"/>
        <v/>
      </c>
      <c r="C95" s="83"/>
      <c r="D95" s="79" t="str">
        <f>IF(AND(A95="",A94&lt;&gt;"",COUNTIF(A96:$A$200,"&lt;&gt;")=0),ROUND(SUMIF($A$2:A94,"&lt;&gt;",$D$2:D94),2),IF(OR(A95="",B95="",C95=""),"",ROUND(B95*C95,2)))</f>
        <v/>
      </c>
      <c r="E95" s="84"/>
      <c r="F95" s="79" t="str">
        <f>IF(AND(A95="",A94&lt;&gt;"",COUNTIF(A96:$A$200,"&lt;&gt;")=0),IF(COUNT(F$2:F94)=0,"",ROUND(SUMIF($A$2:A94,"&lt;&gt;",F$2:F94),2)),IF(OR(A95="",AND(ISNUMBER(posicao_contratual!$AL95),posicao_contratual!$AL95&gt;1),posicao_contratual!K95="",NOT(ISNUMBER(historico_VU!D95))),"",ROUND(posicao_contratual!K95*historico_VU!D95,2)))</f>
        <v/>
      </c>
      <c r="G95" s="84"/>
      <c r="H95" s="79" t="str">
        <f>IF(AND(A95="",A94&lt;&gt;"",COUNTIF(A96:$A$200,"&lt;&gt;")=0),IF(COUNT(H$2:H94)=0,"",ROUND(SUMIF($A$2:A94,"&lt;&gt;",H$2:H94),2)),IF(OR(A95="",AND(ISNUMBER(posicao_contratual!$AL95),posicao_contratual!$AL95&gt;2),posicao_contratual!O95="",NOT(ISNUMBER(historico_VU!E95))),"",ROUND(posicao_contratual!O95*historico_VU!E95,2)))</f>
        <v/>
      </c>
      <c r="I95" s="84"/>
      <c r="J95" s="79" t="str">
        <f>IF(AND(A95="",A94&lt;&gt;"",COUNTIF(A96:$A$200,"&lt;&gt;")=0),IF(COUNT(J$2:J94)=0,"",ROUND(SUMIF($A$2:A94,"&lt;&gt;",J$2:J94),2)),IF(OR(A95="",AND(ISNUMBER(posicao_contratual!$AL95),posicao_contratual!$AL95&gt;3),posicao_contratual!S95="",NOT(ISNUMBER(historico_VU!F95))),"",ROUND(posicao_contratual!S95*historico_VU!F95,2)))</f>
        <v/>
      </c>
      <c r="K95" s="84"/>
      <c r="L95" s="79" t="str">
        <f>IF(AND(A95="",A94&lt;&gt;"",COUNTIF(A96:$A$200,"&lt;&gt;")=0),IF(COUNT(L$2:L94)=0,"",ROUND(SUMIF($A$2:A94,"&lt;&gt;",L$2:L94),2)),IF(OR(A95="",AND(ISNUMBER(posicao_contratual!$AL95),posicao_contratual!$AL95&gt;4),posicao_contratual!W95="",NOT(ISNUMBER(historico_VU!G95))),"",ROUND(posicao_contratual!W95*historico_VU!G95,2)))</f>
        <v/>
      </c>
      <c r="M95" s="85" t="str">
        <f>IF(OR(posicao_contratual!J95="",posicao_contratual!N95=""),"",ROUND(MAX(posicao_contratual!J95+posicao_contratual!H95-posicao_contratual!N95,0),2))</f>
        <v/>
      </c>
      <c r="N95" s="79" t="str">
        <f>IF(AND(A95="",A94&lt;&gt;"",COUNTIF(A96:$A$200,"&lt;&gt;")=0),IF(COUNT(N$2:N94)=0,"",ROUND(SUMIF($A$2:A94,"&lt;&gt;",N$2:N94),2)),IF(OR(M95="",NOT(ISNUMBER(historico_VU!D95))),"",ROUND(M95*historico_VU!D95,2)))</f>
        <v/>
      </c>
      <c r="O95" s="85" t="str">
        <f>IF(OR(posicao_contratual!N95="",posicao_contratual!R95=""),"",ROUND(MAX(posicao_contratual!N95+posicao_contratual!L95-posicao_contratual!R95,0),2))</f>
        <v/>
      </c>
      <c r="P95" s="79" t="str">
        <f>IF(AND(A95="",A94&lt;&gt;"",COUNTIF(A96:$A$200,"&lt;&gt;")=0),IF(COUNT(P$2:P94)=0,"",ROUND(SUMIF($A$2:A94,"&lt;&gt;",P$2:P94),2)),IF(OR(O95="",NOT(ISNUMBER(historico_VU!E95))),"",ROUND(O95*historico_VU!E95,2)))</f>
        <v/>
      </c>
      <c r="Q95" s="85" t="str">
        <f>IF(OR(posicao_contratual!R95="",posicao_contratual!V95=""),"",ROUND(MAX(posicao_contratual!R95+posicao_contratual!P95-posicao_contratual!V95,0),2))</f>
        <v/>
      </c>
      <c r="R95" s="79" t="str">
        <f>IF(AND(A95="",A94&lt;&gt;"",COUNTIF(A96:$A$200,"&lt;&gt;")=0),IF(COUNT(R$2:R94)=0,"",ROUND(SUMIF($A$2:A94,"&lt;&gt;",R$2:R94),2)),IF(OR(Q95="",NOT(ISNUMBER(historico_VU!F95))),"",ROUND(Q95*historico_VU!F95,2)))</f>
        <v/>
      </c>
      <c r="S95" s="21"/>
      <c r="T95" s="22" t="str">
        <f>IF(AND(A95="",A94&lt;&gt;"",COUNTIF(A96:$A$200,"&lt;&gt;")=0),IF(COUNT(T$2:T94)=0,"",ROUND(SUMIF($A$2:A94,"&lt;&gt;",T$2:T94),2)),IF(OR(S95="",NOT(ISNUMBER(historico_VU!G95))),"",ROUND(S95*historico_VU!G95,2)))</f>
        <v/>
      </c>
      <c r="U95" s="86" t="str">
        <f>IF(AND(A95="",A94&lt;&gt;"",COUNTIF(A96:$A$200,"&lt;&gt;")=0),"TOTAL",IF(A95="","",posicao_contratual!X95))</f>
        <v/>
      </c>
      <c r="V95" s="86" t="str">
        <f>IF(A95="","",posicao_contratual!X95)</f>
        <v/>
      </c>
      <c r="W95" s="14"/>
      <c r="X95" s="14"/>
      <c r="Y95" s="14"/>
      <c r="Z95" s="13"/>
      <c r="AA95" s="13"/>
      <c r="AB95" s="85" t="str">
        <f>IF(OR(A95="",posicao_contratual!E95="",posicao_contratual!J95=""),"",ROUND(MAX(posicao_contratual!E95-posicao_contratual!J95,0),2))</f>
        <v/>
      </c>
      <c r="AC95" s="79" t="str">
        <f>IF(AND(A95="",A94&lt;&gt;"",COUNTIF(A96:$A$200,"&lt;&gt;")=0),IF(COUNT(AC$2:AC94)=0,"",ROUND(SUMIF($A$2:A94,"&lt;&gt;",AC$2:AC94),2)),IF(OR(AB95="",NOT(ISNUMBER(historico_VU!C95))),"",ROUND(AB95*historico_VU!C95,2)))</f>
        <v/>
      </c>
      <c r="AD95" s="145" t="str">
        <f>IF(A95="","",posicao_contratual!E95)</f>
        <v/>
      </c>
      <c r="AE95" s="145" t="str">
        <f>IF(A95="","",posicao_contratual!I95)</f>
        <v/>
      </c>
      <c r="AF95" s="145" t="str">
        <f>IF(A95="","",posicao_contratual!M95)</f>
        <v/>
      </c>
      <c r="AG95" s="145" t="str">
        <f>IF(A95="","",posicao_contratual!Q95)</f>
        <v/>
      </c>
      <c r="AH95" s="145" t="str">
        <f>IF(A95="","",posicao_contratual!U95)</f>
        <v/>
      </c>
      <c r="AI95" s="145" t="str">
        <f>IF(A95="","",posicao_contratual!G95)</f>
        <v/>
      </c>
      <c r="AJ95" s="145" t="str">
        <f>IF(A95="","",posicao_contratual!K95)</f>
        <v/>
      </c>
      <c r="AK95" s="145" t="str">
        <f>IF(A95="","",posicao_contratual!O95)</f>
        <v/>
      </c>
      <c r="AL95" s="145" t="str">
        <f>IF(A95="","",posicao_contratual!S95)</f>
        <v/>
      </c>
      <c r="AM95" s="145" t="str">
        <f>IF(A95="","",posicao_contratual!W95)</f>
        <v/>
      </c>
      <c r="AN95" s="146" t="str">
        <f>IF(A95="","",posicao_contratual!X95)</f>
        <v/>
      </c>
      <c r="AO95" t="str">
        <f>IF($A95="","",ROUND(SUMIFS(itens_Consumidos!$E$2:$E$200,itens_Consumidos!$A$2:$A$200,$A95),2))</f>
        <v/>
      </c>
      <c r="AP95" t="str">
        <f t="shared" si="12"/>
        <v/>
      </c>
      <c r="AQ95" t="str">
        <f>IF(OR($A95="",AB95="",MEMORIA_RESULTADOS!$I$258=""),"",ROUND(AB95*$C95*(MEMORIA_RESULTADOS!$I$258-1),2))</f>
        <v/>
      </c>
      <c r="AR95" t="str">
        <f>IF(OR($A95="",AP95="",MEMORIA_RESULTADOS!$I$258=""),"",ROUND(AP95*$C95*(parametros!$F$2-MEMORIA_RESULTADOS!$I$258),2))</f>
        <v/>
      </c>
      <c r="AS95" t="str">
        <f>IF($A95="","",ROUND(SUMIFS(itens_Consumidos!$G$2:$G$200,itens_Consumidos!$A$2:$A$200,$A95),2))</f>
        <v/>
      </c>
      <c r="AT95" t="str">
        <f t="shared" si="13"/>
        <v/>
      </c>
      <c r="AU95" t="str">
        <f>IF(OR($A95="",M95="",MEMORIA_RESULTADOS!$I$259=""),"",ROUND(M95*$C95*(MEMORIA_RESULTADOS!$I$259-1),2))</f>
        <v/>
      </c>
      <c r="AV95" t="str">
        <f>IF(OR($A95="",AT95="",MEMORIA_RESULTADOS!$I$259=""),"",ROUND(AT95*$C95*(parametros!$F$3-MEMORIA_RESULTADOS!$I$259),2))</f>
        <v/>
      </c>
      <c r="AW95" t="str">
        <f>IF($A95="","",ROUND(SUMIFS(itens_Consumidos!$I$2:$I$200,itens_Consumidos!$A$2:$A$200,$A95),2))</f>
        <v/>
      </c>
      <c r="AX95" t="str">
        <f t="shared" si="14"/>
        <v/>
      </c>
      <c r="AY95" t="str">
        <f>IF(OR($A95="",O95="",MEMORIA_RESULTADOS!$I$260=""),"",ROUND(O95*$C95*(MEMORIA_RESULTADOS!$I$260-1),2))</f>
        <v/>
      </c>
      <c r="AZ95" t="str">
        <f>IF(OR($A95="",AX95="",MEMORIA_RESULTADOS!$I$260=""),"",ROUND(AX95*$C95*(parametros!$F$4-MEMORIA_RESULTADOS!$I$260),2))</f>
        <v/>
      </c>
      <c r="BA95" t="str">
        <f>IF($A95="","",ROUND(SUMIFS(itens_Consumidos!$K$2:$K$200,itens_Consumidos!$A$2:$A$200,$A95),2))</f>
        <v/>
      </c>
      <c r="BB95" t="str">
        <f t="shared" si="15"/>
        <v/>
      </c>
      <c r="BC95" t="str">
        <f>IF(OR($A95="",Q95="",MEMORIA_RESULTADOS!$I$261=""),"",ROUND(Q95*$C95*(MEMORIA_RESULTADOS!$I$261-1),2))</f>
        <v/>
      </c>
      <c r="BD95" t="str">
        <f>IF(OR($A95="",BB95="",MEMORIA_RESULTADOS!$I$261=""),"",ROUND(BB95*$C95*(parametros!$F$5-MEMORIA_RESULTADOS!$I$261),2))</f>
        <v/>
      </c>
      <c r="BE95" t="str">
        <f>IF($A95="","",ROUND(SUMIFS(itens_Consumidos!$M$2:$M$200,itens_Consumidos!$A$2:$A$200,$A95),2))</f>
        <v/>
      </c>
      <c r="BF95" t="str">
        <f t="shared" si="16"/>
        <v/>
      </c>
      <c r="BG95" t="str">
        <f>IF(OR($A95="",S95="",MEMORIA_RESULTADOS!$I$262=""),"",ROUND(S95*$C95*(MEMORIA_RESULTADOS!$I$262-1),2))</f>
        <v/>
      </c>
      <c r="BH95" t="str">
        <f>IF(OR($A95="",BF95="",MEMORIA_RESULTADOS!$I$262=""),"",ROUND(BF95*$C95*(parametros!$F$6-MEMORIA_RESULTADOS!$I$262),2))</f>
        <v/>
      </c>
      <c r="BI95" t="str">
        <f>IF($A95="","",IF(posicao_contratual!$AL95="","",posicao_contratual!$AL95))</f>
        <v/>
      </c>
    </row>
    <row r="96" spans="1:61" x14ac:dyDescent="0.35">
      <c r="A96" s="81"/>
      <c r="B96" s="82" t="str">
        <f t="shared" si="17"/>
        <v/>
      </c>
      <c r="C96" s="83"/>
      <c r="D96" s="79" t="str">
        <f>IF(AND(A96="",A95&lt;&gt;"",COUNTIF(A97:$A$200,"&lt;&gt;")=0),ROUND(SUMIF($A$2:A95,"&lt;&gt;",$D$2:D95),2),IF(OR(A96="",B96="",C96=""),"",ROUND(B96*C96,2)))</f>
        <v/>
      </c>
      <c r="E96" s="84"/>
      <c r="F96" s="79" t="str">
        <f>IF(AND(A96="",A95&lt;&gt;"",COUNTIF(A97:$A$200,"&lt;&gt;")=0),IF(COUNT(F$2:F95)=0,"",ROUND(SUMIF($A$2:A95,"&lt;&gt;",F$2:F95),2)),IF(OR(A96="",AND(ISNUMBER(posicao_contratual!$AL96),posicao_contratual!$AL96&gt;1),posicao_contratual!K96="",NOT(ISNUMBER(historico_VU!D96))),"",ROUND(posicao_contratual!K96*historico_VU!D96,2)))</f>
        <v/>
      </c>
      <c r="G96" s="84"/>
      <c r="H96" s="79" t="str">
        <f>IF(AND(A96="",A95&lt;&gt;"",COUNTIF(A97:$A$200,"&lt;&gt;")=0),IF(COUNT(H$2:H95)=0,"",ROUND(SUMIF($A$2:A95,"&lt;&gt;",H$2:H95),2)),IF(OR(A96="",AND(ISNUMBER(posicao_contratual!$AL96),posicao_contratual!$AL96&gt;2),posicao_contratual!O96="",NOT(ISNUMBER(historico_VU!E96))),"",ROUND(posicao_contratual!O96*historico_VU!E96,2)))</f>
        <v/>
      </c>
      <c r="I96" s="84"/>
      <c r="J96" s="79" t="str">
        <f>IF(AND(A96="",A95&lt;&gt;"",COUNTIF(A97:$A$200,"&lt;&gt;")=0),IF(COUNT(J$2:J95)=0,"",ROUND(SUMIF($A$2:A95,"&lt;&gt;",J$2:J95),2)),IF(OR(A96="",AND(ISNUMBER(posicao_contratual!$AL96),posicao_contratual!$AL96&gt;3),posicao_contratual!S96="",NOT(ISNUMBER(historico_VU!F96))),"",ROUND(posicao_contratual!S96*historico_VU!F96,2)))</f>
        <v/>
      </c>
      <c r="K96" s="84"/>
      <c r="L96" s="79" t="str">
        <f>IF(AND(A96="",A95&lt;&gt;"",COUNTIF(A97:$A$200,"&lt;&gt;")=0),IF(COUNT(L$2:L95)=0,"",ROUND(SUMIF($A$2:A95,"&lt;&gt;",L$2:L95),2)),IF(OR(A96="",AND(ISNUMBER(posicao_contratual!$AL96),posicao_contratual!$AL96&gt;4),posicao_contratual!W96="",NOT(ISNUMBER(historico_VU!G96))),"",ROUND(posicao_contratual!W96*historico_VU!G96,2)))</f>
        <v/>
      </c>
      <c r="M96" s="85" t="str">
        <f>IF(OR(posicao_contratual!J96="",posicao_contratual!N96=""),"",ROUND(MAX(posicao_contratual!J96+posicao_contratual!H96-posicao_contratual!N96,0),2))</f>
        <v/>
      </c>
      <c r="N96" s="79" t="str">
        <f>IF(AND(A96="",A95&lt;&gt;"",COUNTIF(A97:$A$200,"&lt;&gt;")=0),IF(COUNT(N$2:N95)=0,"",ROUND(SUMIF($A$2:A95,"&lt;&gt;",N$2:N95),2)),IF(OR(M96="",NOT(ISNUMBER(historico_VU!D96))),"",ROUND(M96*historico_VU!D96,2)))</f>
        <v/>
      </c>
      <c r="O96" s="85" t="str">
        <f>IF(OR(posicao_contratual!N96="",posicao_contratual!R96=""),"",ROUND(MAX(posicao_contratual!N96+posicao_contratual!L96-posicao_contratual!R96,0),2))</f>
        <v/>
      </c>
      <c r="P96" s="79" t="str">
        <f>IF(AND(A96="",A95&lt;&gt;"",COUNTIF(A97:$A$200,"&lt;&gt;")=0),IF(COUNT(P$2:P95)=0,"",ROUND(SUMIF($A$2:A95,"&lt;&gt;",P$2:P95),2)),IF(OR(O96="",NOT(ISNUMBER(historico_VU!E96))),"",ROUND(O96*historico_VU!E96,2)))</f>
        <v/>
      </c>
      <c r="Q96" s="85" t="str">
        <f>IF(OR(posicao_contratual!R96="",posicao_contratual!V96=""),"",ROUND(MAX(posicao_contratual!R96+posicao_contratual!P96-posicao_contratual!V96,0),2))</f>
        <v/>
      </c>
      <c r="R96" s="79" t="str">
        <f>IF(AND(A96="",A95&lt;&gt;"",COUNTIF(A97:$A$200,"&lt;&gt;")=0),IF(COUNT(R$2:R95)=0,"",ROUND(SUMIF($A$2:A95,"&lt;&gt;",R$2:R95),2)),IF(OR(Q96="",NOT(ISNUMBER(historico_VU!F96))),"",ROUND(Q96*historico_VU!F96,2)))</f>
        <v/>
      </c>
      <c r="S96" s="21"/>
      <c r="T96" s="22" t="str">
        <f>IF(AND(A96="",A95&lt;&gt;"",COUNTIF(A97:$A$200,"&lt;&gt;")=0),IF(COUNT(T$2:T95)=0,"",ROUND(SUMIF($A$2:A95,"&lt;&gt;",T$2:T95),2)),IF(OR(S96="",NOT(ISNUMBER(historico_VU!G96))),"",ROUND(S96*historico_VU!G96,2)))</f>
        <v/>
      </c>
      <c r="U96" s="86" t="str">
        <f>IF(AND(A96="",A95&lt;&gt;"",COUNTIF(A97:$A$200,"&lt;&gt;")=0),"TOTAL",IF(A96="","",posicao_contratual!X96))</f>
        <v/>
      </c>
      <c r="V96" s="86" t="str">
        <f>IF(A96="","",posicao_contratual!X96)</f>
        <v/>
      </c>
      <c r="W96" s="14"/>
      <c r="X96" s="14"/>
      <c r="Y96" s="14"/>
      <c r="Z96" s="13"/>
      <c r="AA96" s="13"/>
      <c r="AB96" s="85" t="str">
        <f>IF(OR(A96="",posicao_contratual!E96="",posicao_contratual!J96=""),"",ROUND(MAX(posicao_contratual!E96-posicao_contratual!J96,0),2))</f>
        <v/>
      </c>
      <c r="AC96" s="79" t="str">
        <f>IF(AND(A96="",A95&lt;&gt;"",COUNTIF(A97:$A$200,"&lt;&gt;")=0),IF(COUNT(AC$2:AC95)=0,"",ROUND(SUMIF($A$2:A95,"&lt;&gt;",AC$2:AC95),2)),IF(OR(AB96="",NOT(ISNUMBER(historico_VU!C96))),"",ROUND(AB96*historico_VU!C96,2)))</f>
        <v/>
      </c>
      <c r="AD96" s="145" t="str">
        <f>IF(A96="","",posicao_contratual!E96)</f>
        <v/>
      </c>
      <c r="AE96" s="145" t="str">
        <f>IF(A96="","",posicao_contratual!I96)</f>
        <v/>
      </c>
      <c r="AF96" s="145" t="str">
        <f>IF(A96="","",posicao_contratual!M96)</f>
        <v/>
      </c>
      <c r="AG96" s="145" t="str">
        <f>IF(A96="","",posicao_contratual!Q96)</f>
        <v/>
      </c>
      <c r="AH96" s="145" t="str">
        <f>IF(A96="","",posicao_contratual!U96)</f>
        <v/>
      </c>
      <c r="AI96" s="145" t="str">
        <f>IF(A96="","",posicao_contratual!G96)</f>
        <v/>
      </c>
      <c r="AJ96" s="145" t="str">
        <f>IF(A96="","",posicao_contratual!K96)</f>
        <v/>
      </c>
      <c r="AK96" s="145" t="str">
        <f>IF(A96="","",posicao_contratual!O96)</f>
        <v/>
      </c>
      <c r="AL96" s="145" t="str">
        <f>IF(A96="","",posicao_contratual!S96)</f>
        <v/>
      </c>
      <c r="AM96" s="145" t="str">
        <f>IF(A96="","",posicao_contratual!W96)</f>
        <v/>
      </c>
      <c r="AN96" s="146" t="str">
        <f>IF(A96="","",posicao_contratual!X96)</f>
        <v/>
      </c>
      <c r="AO96" t="str">
        <f>IF($A96="","",ROUND(SUMIFS(itens_Consumidos!$E$2:$E$200,itens_Consumidos!$A$2:$A$200,$A96),2))</f>
        <v/>
      </c>
      <c r="AP96" t="str">
        <f t="shared" si="12"/>
        <v/>
      </c>
      <c r="AQ96" t="str">
        <f>IF(OR($A96="",AB96="",MEMORIA_RESULTADOS!$I$258=""),"",ROUND(AB96*$C96*(MEMORIA_RESULTADOS!$I$258-1),2))</f>
        <v/>
      </c>
      <c r="AR96" t="str">
        <f>IF(OR($A96="",AP96="",MEMORIA_RESULTADOS!$I$258=""),"",ROUND(AP96*$C96*(parametros!$F$2-MEMORIA_RESULTADOS!$I$258),2))</f>
        <v/>
      </c>
      <c r="AS96" t="str">
        <f>IF($A96="","",ROUND(SUMIFS(itens_Consumidos!$G$2:$G$200,itens_Consumidos!$A$2:$A$200,$A96),2))</f>
        <v/>
      </c>
      <c r="AT96" t="str">
        <f t="shared" si="13"/>
        <v/>
      </c>
      <c r="AU96" t="str">
        <f>IF(OR($A96="",M96="",MEMORIA_RESULTADOS!$I$259=""),"",ROUND(M96*$C96*(MEMORIA_RESULTADOS!$I$259-1),2))</f>
        <v/>
      </c>
      <c r="AV96" t="str">
        <f>IF(OR($A96="",AT96="",MEMORIA_RESULTADOS!$I$259=""),"",ROUND(AT96*$C96*(parametros!$F$3-MEMORIA_RESULTADOS!$I$259),2))</f>
        <v/>
      </c>
      <c r="AW96" t="str">
        <f>IF($A96="","",ROUND(SUMIFS(itens_Consumidos!$I$2:$I$200,itens_Consumidos!$A$2:$A$200,$A96),2))</f>
        <v/>
      </c>
      <c r="AX96" t="str">
        <f t="shared" si="14"/>
        <v/>
      </c>
      <c r="AY96" t="str">
        <f>IF(OR($A96="",O96="",MEMORIA_RESULTADOS!$I$260=""),"",ROUND(O96*$C96*(MEMORIA_RESULTADOS!$I$260-1),2))</f>
        <v/>
      </c>
      <c r="AZ96" t="str">
        <f>IF(OR($A96="",AX96="",MEMORIA_RESULTADOS!$I$260=""),"",ROUND(AX96*$C96*(parametros!$F$4-MEMORIA_RESULTADOS!$I$260),2))</f>
        <v/>
      </c>
      <c r="BA96" t="str">
        <f>IF($A96="","",ROUND(SUMIFS(itens_Consumidos!$K$2:$K$200,itens_Consumidos!$A$2:$A$200,$A96),2))</f>
        <v/>
      </c>
      <c r="BB96" t="str">
        <f t="shared" si="15"/>
        <v/>
      </c>
      <c r="BC96" t="str">
        <f>IF(OR($A96="",Q96="",MEMORIA_RESULTADOS!$I$261=""),"",ROUND(Q96*$C96*(MEMORIA_RESULTADOS!$I$261-1),2))</f>
        <v/>
      </c>
      <c r="BD96" t="str">
        <f>IF(OR($A96="",BB96="",MEMORIA_RESULTADOS!$I$261=""),"",ROUND(BB96*$C96*(parametros!$F$5-MEMORIA_RESULTADOS!$I$261),2))</f>
        <v/>
      </c>
      <c r="BE96" t="str">
        <f>IF($A96="","",ROUND(SUMIFS(itens_Consumidos!$M$2:$M$200,itens_Consumidos!$A$2:$A$200,$A96),2))</f>
        <v/>
      </c>
      <c r="BF96" t="str">
        <f t="shared" si="16"/>
        <v/>
      </c>
      <c r="BG96" t="str">
        <f>IF(OR($A96="",S96="",MEMORIA_RESULTADOS!$I$262=""),"",ROUND(S96*$C96*(MEMORIA_RESULTADOS!$I$262-1),2))</f>
        <v/>
      </c>
      <c r="BH96" t="str">
        <f>IF(OR($A96="",BF96="",MEMORIA_RESULTADOS!$I$262=""),"",ROUND(BF96*$C96*(parametros!$F$6-MEMORIA_RESULTADOS!$I$262),2))</f>
        <v/>
      </c>
      <c r="BI96" t="str">
        <f>IF($A96="","",IF(posicao_contratual!$AL96="","",posicao_contratual!$AL96))</f>
        <v/>
      </c>
    </row>
    <row r="97" spans="1:61" x14ac:dyDescent="0.35">
      <c r="A97" s="81"/>
      <c r="B97" s="82" t="str">
        <f t="shared" si="17"/>
        <v/>
      </c>
      <c r="C97" s="83"/>
      <c r="D97" s="79" t="str">
        <f>IF(AND(A97="",A96&lt;&gt;"",COUNTIF(A98:$A$200,"&lt;&gt;")=0),ROUND(SUMIF($A$2:A96,"&lt;&gt;",$D$2:D96),2),IF(OR(A97="",B97="",C97=""),"",ROUND(B97*C97,2)))</f>
        <v/>
      </c>
      <c r="E97" s="84"/>
      <c r="F97" s="79" t="str">
        <f>IF(AND(A97="",A96&lt;&gt;"",COUNTIF(A98:$A$200,"&lt;&gt;")=0),IF(COUNT(F$2:F96)=0,"",ROUND(SUMIF($A$2:A96,"&lt;&gt;",F$2:F96),2)),IF(OR(A97="",AND(ISNUMBER(posicao_contratual!$AL97),posicao_contratual!$AL97&gt;1),posicao_contratual!K97="",NOT(ISNUMBER(historico_VU!D97))),"",ROUND(posicao_contratual!K97*historico_VU!D97,2)))</f>
        <v/>
      </c>
      <c r="G97" s="84"/>
      <c r="H97" s="79" t="str">
        <f>IF(AND(A97="",A96&lt;&gt;"",COUNTIF(A98:$A$200,"&lt;&gt;")=0),IF(COUNT(H$2:H96)=0,"",ROUND(SUMIF($A$2:A96,"&lt;&gt;",H$2:H96),2)),IF(OR(A97="",AND(ISNUMBER(posicao_contratual!$AL97),posicao_contratual!$AL97&gt;2),posicao_contratual!O97="",NOT(ISNUMBER(historico_VU!E97))),"",ROUND(posicao_contratual!O97*historico_VU!E97,2)))</f>
        <v/>
      </c>
      <c r="I97" s="84"/>
      <c r="J97" s="79" t="str">
        <f>IF(AND(A97="",A96&lt;&gt;"",COUNTIF(A98:$A$200,"&lt;&gt;")=0),IF(COUNT(J$2:J96)=0,"",ROUND(SUMIF($A$2:A96,"&lt;&gt;",J$2:J96),2)),IF(OR(A97="",AND(ISNUMBER(posicao_contratual!$AL97),posicao_contratual!$AL97&gt;3),posicao_contratual!S97="",NOT(ISNUMBER(historico_VU!F97))),"",ROUND(posicao_contratual!S97*historico_VU!F97,2)))</f>
        <v/>
      </c>
      <c r="K97" s="84"/>
      <c r="L97" s="79" t="str">
        <f>IF(AND(A97="",A96&lt;&gt;"",COUNTIF(A98:$A$200,"&lt;&gt;")=0),IF(COUNT(L$2:L96)=0,"",ROUND(SUMIF($A$2:A96,"&lt;&gt;",L$2:L96),2)),IF(OR(A97="",AND(ISNUMBER(posicao_contratual!$AL97),posicao_contratual!$AL97&gt;4),posicao_contratual!W97="",NOT(ISNUMBER(historico_VU!G97))),"",ROUND(posicao_contratual!W97*historico_VU!G97,2)))</f>
        <v/>
      </c>
      <c r="M97" s="85" t="str">
        <f>IF(OR(posicao_contratual!J97="",posicao_contratual!N97=""),"",ROUND(MAX(posicao_contratual!J97+posicao_contratual!H97-posicao_contratual!N97,0),2))</f>
        <v/>
      </c>
      <c r="N97" s="79" t="str">
        <f>IF(AND(A97="",A96&lt;&gt;"",COUNTIF(A98:$A$200,"&lt;&gt;")=0),IF(COUNT(N$2:N96)=0,"",ROUND(SUMIF($A$2:A96,"&lt;&gt;",N$2:N96),2)),IF(OR(M97="",NOT(ISNUMBER(historico_VU!D97))),"",ROUND(M97*historico_VU!D97,2)))</f>
        <v/>
      </c>
      <c r="O97" s="85" t="str">
        <f>IF(OR(posicao_contratual!N97="",posicao_contratual!R97=""),"",ROUND(MAX(posicao_contratual!N97+posicao_contratual!L97-posicao_contratual!R97,0),2))</f>
        <v/>
      </c>
      <c r="P97" s="79" t="str">
        <f>IF(AND(A97="",A96&lt;&gt;"",COUNTIF(A98:$A$200,"&lt;&gt;")=0),IF(COUNT(P$2:P96)=0,"",ROUND(SUMIF($A$2:A96,"&lt;&gt;",P$2:P96),2)),IF(OR(O97="",NOT(ISNUMBER(historico_VU!E97))),"",ROUND(O97*historico_VU!E97,2)))</f>
        <v/>
      </c>
      <c r="Q97" s="85" t="str">
        <f>IF(OR(posicao_contratual!R97="",posicao_contratual!V97=""),"",ROUND(MAX(posicao_contratual!R97+posicao_contratual!P97-posicao_contratual!V97,0),2))</f>
        <v/>
      </c>
      <c r="R97" s="79" t="str">
        <f>IF(AND(A97="",A96&lt;&gt;"",COUNTIF(A98:$A$200,"&lt;&gt;")=0),IF(COUNT(R$2:R96)=0,"",ROUND(SUMIF($A$2:A96,"&lt;&gt;",R$2:R96),2)),IF(OR(Q97="",NOT(ISNUMBER(historico_VU!F97))),"",ROUND(Q97*historico_VU!F97,2)))</f>
        <v/>
      </c>
      <c r="S97" s="21"/>
      <c r="T97" s="22" t="str">
        <f>IF(AND(A97="",A96&lt;&gt;"",COUNTIF(A98:$A$200,"&lt;&gt;")=0),IF(COUNT(T$2:T96)=0,"",ROUND(SUMIF($A$2:A96,"&lt;&gt;",T$2:T96),2)),IF(OR(S97="",NOT(ISNUMBER(historico_VU!G97))),"",ROUND(S97*historico_VU!G97,2)))</f>
        <v/>
      </c>
      <c r="U97" s="86" t="str">
        <f>IF(AND(A97="",A96&lt;&gt;"",COUNTIF(A98:$A$200,"&lt;&gt;")=0),"TOTAL",IF(A97="","",posicao_contratual!X97))</f>
        <v/>
      </c>
      <c r="V97" s="86" t="str">
        <f>IF(A97="","",posicao_contratual!X97)</f>
        <v/>
      </c>
      <c r="W97" s="14"/>
      <c r="X97" s="14"/>
      <c r="Y97" s="14"/>
      <c r="Z97" s="13"/>
      <c r="AA97" s="13"/>
      <c r="AB97" s="85" t="str">
        <f>IF(OR(A97="",posicao_contratual!E97="",posicao_contratual!J97=""),"",ROUND(MAX(posicao_contratual!E97-posicao_contratual!J97,0),2))</f>
        <v/>
      </c>
      <c r="AC97" s="79" t="str">
        <f>IF(AND(A97="",A96&lt;&gt;"",COUNTIF(A98:$A$200,"&lt;&gt;")=0),IF(COUNT(AC$2:AC96)=0,"",ROUND(SUMIF($A$2:A96,"&lt;&gt;",AC$2:AC96),2)),IF(OR(AB97="",NOT(ISNUMBER(historico_VU!C97))),"",ROUND(AB97*historico_VU!C97,2)))</f>
        <v/>
      </c>
      <c r="AD97" s="145" t="str">
        <f>IF(A97="","",posicao_contratual!E97)</f>
        <v/>
      </c>
      <c r="AE97" s="145" t="str">
        <f>IF(A97="","",posicao_contratual!I97)</f>
        <v/>
      </c>
      <c r="AF97" s="145" t="str">
        <f>IF(A97="","",posicao_contratual!M97)</f>
        <v/>
      </c>
      <c r="AG97" s="145" t="str">
        <f>IF(A97="","",posicao_contratual!Q97)</f>
        <v/>
      </c>
      <c r="AH97" s="145" t="str">
        <f>IF(A97="","",posicao_contratual!U97)</f>
        <v/>
      </c>
      <c r="AI97" s="145" t="str">
        <f>IF(A97="","",posicao_contratual!G97)</f>
        <v/>
      </c>
      <c r="AJ97" s="145" t="str">
        <f>IF(A97="","",posicao_contratual!K97)</f>
        <v/>
      </c>
      <c r="AK97" s="145" t="str">
        <f>IF(A97="","",posicao_contratual!O97)</f>
        <v/>
      </c>
      <c r="AL97" s="145" t="str">
        <f>IF(A97="","",posicao_contratual!S97)</f>
        <v/>
      </c>
      <c r="AM97" s="145" t="str">
        <f>IF(A97="","",posicao_contratual!W97)</f>
        <v/>
      </c>
      <c r="AN97" s="146" t="str">
        <f>IF(A97="","",posicao_contratual!X97)</f>
        <v/>
      </c>
      <c r="AO97" t="str">
        <f>IF($A97="","",ROUND(SUMIFS(itens_Consumidos!$E$2:$E$200,itens_Consumidos!$A$2:$A$200,$A97),2))</f>
        <v/>
      </c>
      <c r="AP97" t="str">
        <f t="shared" si="12"/>
        <v/>
      </c>
      <c r="AQ97" t="str">
        <f>IF(OR($A97="",AB97="",MEMORIA_RESULTADOS!$I$258=""),"",ROUND(AB97*$C97*(MEMORIA_RESULTADOS!$I$258-1),2))</f>
        <v/>
      </c>
      <c r="AR97" t="str">
        <f>IF(OR($A97="",AP97="",MEMORIA_RESULTADOS!$I$258=""),"",ROUND(AP97*$C97*(parametros!$F$2-MEMORIA_RESULTADOS!$I$258),2))</f>
        <v/>
      </c>
      <c r="AS97" t="str">
        <f>IF($A97="","",ROUND(SUMIFS(itens_Consumidos!$G$2:$G$200,itens_Consumidos!$A$2:$A$200,$A97),2))</f>
        <v/>
      </c>
      <c r="AT97" t="str">
        <f t="shared" si="13"/>
        <v/>
      </c>
      <c r="AU97" t="str">
        <f>IF(OR($A97="",M97="",MEMORIA_RESULTADOS!$I$259=""),"",ROUND(M97*$C97*(MEMORIA_RESULTADOS!$I$259-1),2))</f>
        <v/>
      </c>
      <c r="AV97" t="str">
        <f>IF(OR($A97="",AT97="",MEMORIA_RESULTADOS!$I$259=""),"",ROUND(AT97*$C97*(parametros!$F$3-MEMORIA_RESULTADOS!$I$259),2))</f>
        <v/>
      </c>
      <c r="AW97" t="str">
        <f>IF($A97="","",ROUND(SUMIFS(itens_Consumidos!$I$2:$I$200,itens_Consumidos!$A$2:$A$200,$A97),2))</f>
        <v/>
      </c>
      <c r="AX97" t="str">
        <f t="shared" si="14"/>
        <v/>
      </c>
      <c r="AY97" t="str">
        <f>IF(OR($A97="",O97="",MEMORIA_RESULTADOS!$I$260=""),"",ROUND(O97*$C97*(MEMORIA_RESULTADOS!$I$260-1),2))</f>
        <v/>
      </c>
      <c r="AZ97" t="str">
        <f>IF(OR($A97="",AX97="",MEMORIA_RESULTADOS!$I$260=""),"",ROUND(AX97*$C97*(parametros!$F$4-MEMORIA_RESULTADOS!$I$260),2))</f>
        <v/>
      </c>
      <c r="BA97" t="str">
        <f>IF($A97="","",ROUND(SUMIFS(itens_Consumidos!$K$2:$K$200,itens_Consumidos!$A$2:$A$200,$A97),2))</f>
        <v/>
      </c>
      <c r="BB97" t="str">
        <f t="shared" si="15"/>
        <v/>
      </c>
      <c r="BC97" t="str">
        <f>IF(OR($A97="",Q97="",MEMORIA_RESULTADOS!$I$261=""),"",ROUND(Q97*$C97*(MEMORIA_RESULTADOS!$I$261-1),2))</f>
        <v/>
      </c>
      <c r="BD97" t="str">
        <f>IF(OR($A97="",BB97="",MEMORIA_RESULTADOS!$I$261=""),"",ROUND(BB97*$C97*(parametros!$F$5-MEMORIA_RESULTADOS!$I$261),2))</f>
        <v/>
      </c>
      <c r="BE97" t="str">
        <f>IF($A97="","",ROUND(SUMIFS(itens_Consumidos!$M$2:$M$200,itens_Consumidos!$A$2:$A$200,$A97),2))</f>
        <v/>
      </c>
      <c r="BF97" t="str">
        <f t="shared" si="16"/>
        <v/>
      </c>
      <c r="BG97" t="str">
        <f>IF(OR($A97="",S97="",MEMORIA_RESULTADOS!$I$262=""),"",ROUND(S97*$C97*(MEMORIA_RESULTADOS!$I$262-1),2))</f>
        <v/>
      </c>
      <c r="BH97" t="str">
        <f>IF(OR($A97="",BF97="",MEMORIA_RESULTADOS!$I$262=""),"",ROUND(BF97*$C97*(parametros!$F$6-MEMORIA_RESULTADOS!$I$262),2))</f>
        <v/>
      </c>
      <c r="BI97" t="str">
        <f>IF($A97="","",IF(posicao_contratual!$AL97="","",posicao_contratual!$AL97))</f>
        <v/>
      </c>
    </row>
    <row r="98" spans="1:61" x14ac:dyDescent="0.35">
      <c r="A98" s="81"/>
      <c r="B98" s="82" t="str">
        <f t="shared" si="17"/>
        <v/>
      </c>
      <c r="C98" s="83"/>
      <c r="D98" s="79" t="str">
        <f>IF(AND(A98="",A97&lt;&gt;"",COUNTIF(A99:$A$200,"&lt;&gt;")=0),ROUND(SUMIF($A$2:A97,"&lt;&gt;",$D$2:D97),2),IF(OR(A98="",B98="",C98=""),"",ROUND(B98*C98,2)))</f>
        <v/>
      </c>
      <c r="E98" s="84"/>
      <c r="F98" s="79" t="str">
        <f>IF(AND(A98="",A97&lt;&gt;"",COUNTIF(A99:$A$200,"&lt;&gt;")=0),IF(COUNT(F$2:F97)=0,"",ROUND(SUMIF($A$2:A97,"&lt;&gt;",F$2:F97),2)),IF(OR(A98="",AND(ISNUMBER(posicao_contratual!$AL98),posicao_contratual!$AL98&gt;1),posicao_contratual!K98="",NOT(ISNUMBER(historico_VU!D98))),"",ROUND(posicao_contratual!K98*historico_VU!D98,2)))</f>
        <v/>
      </c>
      <c r="G98" s="84"/>
      <c r="H98" s="79" t="str">
        <f>IF(AND(A98="",A97&lt;&gt;"",COUNTIF(A99:$A$200,"&lt;&gt;")=0),IF(COUNT(H$2:H97)=0,"",ROUND(SUMIF($A$2:A97,"&lt;&gt;",H$2:H97),2)),IF(OR(A98="",AND(ISNUMBER(posicao_contratual!$AL98),posicao_contratual!$AL98&gt;2),posicao_contratual!O98="",NOT(ISNUMBER(historico_VU!E98))),"",ROUND(posicao_contratual!O98*historico_VU!E98,2)))</f>
        <v/>
      </c>
      <c r="I98" s="84"/>
      <c r="J98" s="79" t="str">
        <f>IF(AND(A98="",A97&lt;&gt;"",COUNTIF(A99:$A$200,"&lt;&gt;")=0),IF(COUNT(J$2:J97)=0,"",ROUND(SUMIF($A$2:A97,"&lt;&gt;",J$2:J97),2)),IF(OR(A98="",AND(ISNUMBER(posicao_contratual!$AL98),posicao_contratual!$AL98&gt;3),posicao_contratual!S98="",NOT(ISNUMBER(historico_VU!F98))),"",ROUND(posicao_contratual!S98*historico_VU!F98,2)))</f>
        <v/>
      </c>
      <c r="K98" s="84"/>
      <c r="L98" s="79" t="str">
        <f>IF(AND(A98="",A97&lt;&gt;"",COUNTIF(A99:$A$200,"&lt;&gt;")=0),IF(COUNT(L$2:L97)=0,"",ROUND(SUMIF($A$2:A97,"&lt;&gt;",L$2:L97),2)),IF(OR(A98="",AND(ISNUMBER(posicao_contratual!$AL98),posicao_contratual!$AL98&gt;4),posicao_contratual!W98="",NOT(ISNUMBER(historico_VU!G98))),"",ROUND(posicao_contratual!W98*historico_VU!G98,2)))</f>
        <v/>
      </c>
      <c r="M98" s="85" t="str">
        <f>IF(OR(posicao_contratual!J98="",posicao_contratual!N98=""),"",ROUND(MAX(posicao_contratual!J98+posicao_contratual!H98-posicao_contratual!N98,0),2))</f>
        <v/>
      </c>
      <c r="N98" s="79" t="str">
        <f>IF(AND(A98="",A97&lt;&gt;"",COUNTIF(A99:$A$200,"&lt;&gt;")=0),IF(COUNT(N$2:N97)=0,"",ROUND(SUMIF($A$2:A97,"&lt;&gt;",N$2:N97),2)),IF(OR(M98="",NOT(ISNUMBER(historico_VU!D98))),"",ROUND(M98*historico_VU!D98,2)))</f>
        <v/>
      </c>
      <c r="O98" s="85" t="str">
        <f>IF(OR(posicao_contratual!N98="",posicao_contratual!R98=""),"",ROUND(MAX(posicao_contratual!N98+posicao_contratual!L98-posicao_contratual!R98,0),2))</f>
        <v/>
      </c>
      <c r="P98" s="79" t="str">
        <f>IF(AND(A98="",A97&lt;&gt;"",COUNTIF(A99:$A$200,"&lt;&gt;")=0),IF(COUNT(P$2:P97)=0,"",ROUND(SUMIF($A$2:A97,"&lt;&gt;",P$2:P97),2)),IF(OR(O98="",NOT(ISNUMBER(historico_VU!E98))),"",ROUND(O98*historico_VU!E98,2)))</f>
        <v/>
      </c>
      <c r="Q98" s="85" t="str">
        <f>IF(OR(posicao_contratual!R98="",posicao_contratual!V98=""),"",ROUND(MAX(posicao_contratual!R98+posicao_contratual!P98-posicao_contratual!V98,0),2))</f>
        <v/>
      </c>
      <c r="R98" s="79" t="str">
        <f>IF(AND(A98="",A97&lt;&gt;"",COUNTIF(A99:$A$200,"&lt;&gt;")=0),IF(COUNT(R$2:R97)=0,"",ROUND(SUMIF($A$2:A97,"&lt;&gt;",R$2:R97),2)),IF(OR(Q98="",NOT(ISNUMBER(historico_VU!F98))),"",ROUND(Q98*historico_VU!F98,2)))</f>
        <v/>
      </c>
      <c r="S98" s="21"/>
      <c r="T98" s="22" t="str">
        <f>IF(AND(A98="",A97&lt;&gt;"",COUNTIF(A99:$A$200,"&lt;&gt;")=0),IF(COUNT(T$2:T97)=0,"",ROUND(SUMIF($A$2:A97,"&lt;&gt;",T$2:T97),2)),IF(OR(S98="",NOT(ISNUMBER(historico_VU!G98))),"",ROUND(S98*historico_VU!G98,2)))</f>
        <v/>
      </c>
      <c r="U98" s="86" t="str">
        <f>IF(AND(A98="",A97&lt;&gt;"",COUNTIF(A99:$A$200,"&lt;&gt;")=0),"TOTAL",IF(A98="","",posicao_contratual!X98))</f>
        <v/>
      </c>
      <c r="V98" s="86" t="str">
        <f>IF(A98="","",posicao_contratual!X98)</f>
        <v/>
      </c>
      <c r="W98" s="14"/>
      <c r="X98" s="14"/>
      <c r="Y98" s="14"/>
      <c r="Z98" s="13"/>
      <c r="AA98" s="13"/>
      <c r="AB98" s="85" t="str">
        <f>IF(OR(A98="",posicao_contratual!E98="",posicao_contratual!J98=""),"",ROUND(MAX(posicao_contratual!E98-posicao_contratual!J98,0),2))</f>
        <v/>
      </c>
      <c r="AC98" s="79" t="str">
        <f>IF(AND(A98="",A97&lt;&gt;"",COUNTIF(A99:$A$200,"&lt;&gt;")=0),IF(COUNT(AC$2:AC97)=0,"",ROUND(SUMIF($A$2:A97,"&lt;&gt;",AC$2:AC97),2)),IF(OR(AB98="",NOT(ISNUMBER(historico_VU!C98))),"",ROUND(AB98*historico_VU!C98,2)))</f>
        <v/>
      </c>
      <c r="AD98" s="145" t="str">
        <f>IF(A98="","",posicao_contratual!E98)</f>
        <v/>
      </c>
      <c r="AE98" s="145" t="str">
        <f>IF(A98="","",posicao_contratual!I98)</f>
        <v/>
      </c>
      <c r="AF98" s="145" t="str">
        <f>IF(A98="","",posicao_contratual!M98)</f>
        <v/>
      </c>
      <c r="AG98" s="145" t="str">
        <f>IF(A98="","",posicao_contratual!Q98)</f>
        <v/>
      </c>
      <c r="AH98" s="145" t="str">
        <f>IF(A98="","",posicao_contratual!U98)</f>
        <v/>
      </c>
      <c r="AI98" s="145" t="str">
        <f>IF(A98="","",posicao_contratual!G98)</f>
        <v/>
      </c>
      <c r="AJ98" s="145" t="str">
        <f>IF(A98="","",posicao_contratual!K98)</f>
        <v/>
      </c>
      <c r="AK98" s="145" t="str">
        <f>IF(A98="","",posicao_contratual!O98)</f>
        <v/>
      </c>
      <c r="AL98" s="145" t="str">
        <f>IF(A98="","",posicao_contratual!S98)</f>
        <v/>
      </c>
      <c r="AM98" s="145" t="str">
        <f>IF(A98="","",posicao_contratual!W98)</f>
        <v/>
      </c>
      <c r="AN98" s="146" t="str">
        <f>IF(A98="","",posicao_contratual!X98)</f>
        <v/>
      </c>
      <c r="AO98" t="str">
        <f>IF($A98="","",ROUND(SUMIFS(itens_Consumidos!$E$2:$E$200,itens_Consumidos!$A$2:$A$200,$A98),2))</f>
        <v/>
      </c>
      <c r="AP98" t="str">
        <f t="shared" ref="AP98:AP129" si="18">IF(OR($A98="",AB98=""),"",ROUND(MAX(AB98-AO98,0),2))</f>
        <v/>
      </c>
      <c r="AQ98" t="str">
        <f>IF(OR($A98="",AB98="",MEMORIA_RESULTADOS!$I$258=""),"",ROUND(AB98*$C98*(MEMORIA_RESULTADOS!$I$258-1),2))</f>
        <v/>
      </c>
      <c r="AR98" t="str">
        <f>IF(OR($A98="",AP98="",MEMORIA_RESULTADOS!$I$258=""),"",ROUND(AP98*$C98*(parametros!$F$2-MEMORIA_RESULTADOS!$I$258),2))</f>
        <v/>
      </c>
      <c r="AS98" t="str">
        <f>IF($A98="","",ROUND(SUMIFS(itens_Consumidos!$G$2:$G$200,itens_Consumidos!$A$2:$A$200,$A98),2))</f>
        <v/>
      </c>
      <c r="AT98" t="str">
        <f t="shared" ref="AT98:AT129" si="19">IF(OR($A98="",M98=""),"",ROUND(MAX(M98-AS98,0),2))</f>
        <v/>
      </c>
      <c r="AU98" t="str">
        <f>IF(OR($A98="",M98="",MEMORIA_RESULTADOS!$I$259=""),"",ROUND(M98*$C98*(MEMORIA_RESULTADOS!$I$259-1),2))</f>
        <v/>
      </c>
      <c r="AV98" t="str">
        <f>IF(OR($A98="",AT98="",MEMORIA_RESULTADOS!$I$259=""),"",ROUND(AT98*$C98*(parametros!$F$3-MEMORIA_RESULTADOS!$I$259),2))</f>
        <v/>
      </c>
      <c r="AW98" t="str">
        <f>IF($A98="","",ROUND(SUMIFS(itens_Consumidos!$I$2:$I$200,itens_Consumidos!$A$2:$A$200,$A98),2))</f>
        <v/>
      </c>
      <c r="AX98" t="str">
        <f t="shared" ref="AX98:AX129" si="20">IF(OR($A98="",O98=""),"",ROUND(MAX(O98-AW98,0),2))</f>
        <v/>
      </c>
      <c r="AY98" t="str">
        <f>IF(OR($A98="",O98="",MEMORIA_RESULTADOS!$I$260=""),"",ROUND(O98*$C98*(MEMORIA_RESULTADOS!$I$260-1),2))</f>
        <v/>
      </c>
      <c r="AZ98" t="str">
        <f>IF(OR($A98="",AX98="",MEMORIA_RESULTADOS!$I$260=""),"",ROUND(AX98*$C98*(parametros!$F$4-MEMORIA_RESULTADOS!$I$260),2))</f>
        <v/>
      </c>
      <c r="BA98" t="str">
        <f>IF($A98="","",ROUND(SUMIFS(itens_Consumidos!$K$2:$K$200,itens_Consumidos!$A$2:$A$200,$A98),2))</f>
        <v/>
      </c>
      <c r="BB98" t="str">
        <f t="shared" ref="BB98:BB129" si="21">IF(OR($A98="",Q98=""),"",ROUND(MAX(Q98-BA98,0),2))</f>
        <v/>
      </c>
      <c r="BC98" t="str">
        <f>IF(OR($A98="",Q98="",MEMORIA_RESULTADOS!$I$261=""),"",ROUND(Q98*$C98*(MEMORIA_RESULTADOS!$I$261-1),2))</f>
        <v/>
      </c>
      <c r="BD98" t="str">
        <f>IF(OR($A98="",BB98="",MEMORIA_RESULTADOS!$I$261=""),"",ROUND(BB98*$C98*(parametros!$F$5-MEMORIA_RESULTADOS!$I$261),2))</f>
        <v/>
      </c>
      <c r="BE98" t="str">
        <f>IF($A98="","",ROUND(SUMIFS(itens_Consumidos!$M$2:$M$200,itens_Consumidos!$A$2:$A$200,$A98),2))</f>
        <v/>
      </c>
      <c r="BF98" t="str">
        <f t="shared" ref="BF98:BF129" si="22">IF(OR($A98="",S98=""),"",ROUND(MAX(S98-BE98,0),2))</f>
        <v/>
      </c>
      <c r="BG98" t="str">
        <f>IF(OR($A98="",S98="",MEMORIA_RESULTADOS!$I$262=""),"",ROUND(S98*$C98*(MEMORIA_RESULTADOS!$I$262-1),2))</f>
        <v/>
      </c>
      <c r="BH98" t="str">
        <f>IF(OR($A98="",BF98="",MEMORIA_RESULTADOS!$I$262=""),"",ROUND(BF98*$C98*(parametros!$F$6-MEMORIA_RESULTADOS!$I$262),2))</f>
        <v/>
      </c>
      <c r="BI98" t="str">
        <f>IF($A98="","",IF(posicao_contratual!$AL98="","",posicao_contratual!$AL98))</f>
        <v/>
      </c>
    </row>
    <row r="99" spans="1:61" x14ac:dyDescent="0.35">
      <c r="A99" s="81"/>
      <c r="B99" s="82" t="str">
        <f t="shared" si="17"/>
        <v/>
      </c>
      <c r="C99" s="83"/>
      <c r="D99" s="79" t="str">
        <f>IF(AND(A99="",A98&lt;&gt;"",COUNTIF(A100:$A$200,"&lt;&gt;")=0),ROUND(SUMIF($A$2:A98,"&lt;&gt;",$D$2:D98),2),IF(OR(A99="",B99="",C99=""),"",ROUND(B99*C99,2)))</f>
        <v/>
      </c>
      <c r="E99" s="84"/>
      <c r="F99" s="79" t="str">
        <f>IF(AND(A99="",A98&lt;&gt;"",COUNTIF(A100:$A$200,"&lt;&gt;")=0),IF(COUNT(F$2:F98)=0,"",ROUND(SUMIF($A$2:A98,"&lt;&gt;",F$2:F98),2)),IF(OR(A99="",AND(ISNUMBER(posicao_contratual!$AL99),posicao_contratual!$AL99&gt;1),posicao_contratual!K99="",NOT(ISNUMBER(historico_VU!D99))),"",ROUND(posicao_contratual!K99*historico_VU!D99,2)))</f>
        <v/>
      </c>
      <c r="G99" s="84"/>
      <c r="H99" s="79" t="str">
        <f>IF(AND(A99="",A98&lt;&gt;"",COUNTIF(A100:$A$200,"&lt;&gt;")=0),IF(COUNT(H$2:H98)=0,"",ROUND(SUMIF($A$2:A98,"&lt;&gt;",H$2:H98),2)),IF(OR(A99="",AND(ISNUMBER(posicao_contratual!$AL99),posicao_contratual!$AL99&gt;2),posicao_contratual!O99="",NOT(ISNUMBER(historico_VU!E99))),"",ROUND(posicao_contratual!O99*historico_VU!E99,2)))</f>
        <v/>
      </c>
      <c r="I99" s="84"/>
      <c r="J99" s="79" t="str">
        <f>IF(AND(A99="",A98&lt;&gt;"",COUNTIF(A100:$A$200,"&lt;&gt;")=0),IF(COUNT(J$2:J98)=0,"",ROUND(SUMIF($A$2:A98,"&lt;&gt;",J$2:J98),2)),IF(OR(A99="",AND(ISNUMBER(posicao_contratual!$AL99),posicao_contratual!$AL99&gt;3),posicao_contratual!S99="",NOT(ISNUMBER(historico_VU!F99))),"",ROUND(posicao_contratual!S99*historico_VU!F99,2)))</f>
        <v/>
      </c>
      <c r="K99" s="84"/>
      <c r="L99" s="79" t="str">
        <f>IF(AND(A99="",A98&lt;&gt;"",COUNTIF(A100:$A$200,"&lt;&gt;")=0),IF(COUNT(L$2:L98)=0,"",ROUND(SUMIF($A$2:A98,"&lt;&gt;",L$2:L98),2)),IF(OR(A99="",AND(ISNUMBER(posicao_contratual!$AL99),posicao_contratual!$AL99&gt;4),posicao_contratual!W99="",NOT(ISNUMBER(historico_VU!G99))),"",ROUND(posicao_contratual!W99*historico_VU!G99,2)))</f>
        <v/>
      </c>
      <c r="M99" s="85" t="str">
        <f>IF(OR(posicao_contratual!J99="",posicao_contratual!N99=""),"",ROUND(MAX(posicao_contratual!J99+posicao_contratual!H99-posicao_contratual!N99,0),2))</f>
        <v/>
      </c>
      <c r="N99" s="79" t="str">
        <f>IF(AND(A99="",A98&lt;&gt;"",COUNTIF(A100:$A$200,"&lt;&gt;")=0),IF(COUNT(N$2:N98)=0,"",ROUND(SUMIF($A$2:A98,"&lt;&gt;",N$2:N98),2)),IF(OR(M99="",NOT(ISNUMBER(historico_VU!D99))),"",ROUND(M99*historico_VU!D99,2)))</f>
        <v/>
      </c>
      <c r="O99" s="85" t="str">
        <f>IF(OR(posicao_contratual!N99="",posicao_contratual!R99=""),"",ROUND(MAX(posicao_contratual!N99+posicao_contratual!L99-posicao_contratual!R99,0),2))</f>
        <v/>
      </c>
      <c r="P99" s="79" t="str">
        <f>IF(AND(A99="",A98&lt;&gt;"",COUNTIF(A100:$A$200,"&lt;&gt;")=0),IF(COUNT(P$2:P98)=0,"",ROUND(SUMIF($A$2:A98,"&lt;&gt;",P$2:P98),2)),IF(OR(O99="",NOT(ISNUMBER(historico_VU!E99))),"",ROUND(O99*historico_VU!E99,2)))</f>
        <v/>
      </c>
      <c r="Q99" s="85" t="str">
        <f>IF(OR(posicao_contratual!R99="",posicao_contratual!V99=""),"",ROUND(MAX(posicao_contratual!R99+posicao_contratual!P99-posicao_contratual!V99,0),2))</f>
        <v/>
      </c>
      <c r="R99" s="79" t="str">
        <f>IF(AND(A99="",A98&lt;&gt;"",COUNTIF(A100:$A$200,"&lt;&gt;")=0),IF(COUNT(R$2:R98)=0,"",ROUND(SUMIF($A$2:A98,"&lt;&gt;",R$2:R98),2)),IF(OR(Q99="",NOT(ISNUMBER(historico_VU!F99))),"",ROUND(Q99*historico_VU!F99,2)))</f>
        <v/>
      </c>
      <c r="S99" s="21"/>
      <c r="T99" s="22" t="str">
        <f>IF(AND(A99="",A98&lt;&gt;"",COUNTIF(A100:$A$200,"&lt;&gt;")=0),IF(COUNT(T$2:T98)=0,"",ROUND(SUMIF($A$2:A98,"&lt;&gt;",T$2:T98),2)),IF(OR(S99="",NOT(ISNUMBER(historico_VU!G99))),"",ROUND(S99*historico_VU!G99,2)))</f>
        <v/>
      </c>
      <c r="U99" s="86" t="str">
        <f>IF(AND(A99="",A98&lt;&gt;"",COUNTIF(A100:$A$200,"&lt;&gt;")=0),"TOTAL",IF(A99="","",posicao_contratual!X99))</f>
        <v/>
      </c>
      <c r="V99" s="86" t="str">
        <f>IF(A99="","",posicao_contratual!X99)</f>
        <v/>
      </c>
      <c r="W99" s="14"/>
      <c r="X99" s="14"/>
      <c r="Y99" s="14"/>
      <c r="Z99" s="13"/>
      <c r="AA99" s="13"/>
      <c r="AB99" s="85" t="str">
        <f>IF(OR(A99="",posicao_contratual!E99="",posicao_contratual!J99=""),"",ROUND(MAX(posicao_contratual!E99-posicao_contratual!J99,0),2))</f>
        <v/>
      </c>
      <c r="AC99" s="79" t="str">
        <f>IF(AND(A99="",A98&lt;&gt;"",COUNTIF(A100:$A$200,"&lt;&gt;")=0),IF(COUNT(AC$2:AC98)=0,"",ROUND(SUMIF($A$2:A98,"&lt;&gt;",AC$2:AC98),2)),IF(OR(AB99="",NOT(ISNUMBER(historico_VU!C99))),"",ROUND(AB99*historico_VU!C99,2)))</f>
        <v/>
      </c>
      <c r="AD99" s="145" t="str">
        <f>IF(A99="","",posicao_contratual!E99)</f>
        <v/>
      </c>
      <c r="AE99" s="145" t="str">
        <f>IF(A99="","",posicao_contratual!I99)</f>
        <v/>
      </c>
      <c r="AF99" s="145" t="str">
        <f>IF(A99="","",posicao_contratual!M99)</f>
        <v/>
      </c>
      <c r="AG99" s="145" t="str">
        <f>IF(A99="","",posicao_contratual!Q99)</f>
        <v/>
      </c>
      <c r="AH99" s="145" t="str">
        <f>IF(A99="","",posicao_contratual!U99)</f>
        <v/>
      </c>
      <c r="AI99" s="145" t="str">
        <f>IF(A99="","",posicao_contratual!G99)</f>
        <v/>
      </c>
      <c r="AJ99" s="145" t="str">
        <f>IF(A99="","",posicao_contratual!K99)</f>
        <v/>
      </c>
      <c r="AK99" s="145" t="str">
        <f>IF(A99="","",posicao_contratual!O99)</f>
        <v/>
      </c>
      <c r="AL99" s="145" t="str">
        <f>IF(A99="","",posicao_contratual!S99)</f>
        <v/>
      </c>
      <c r="AM99" s="145" t="str">
        <f>IF(A99="","",posicao_contratual!W99)</f>
        <v/>
      </c>
      <c r="AN99" s="146" t="str">
        <f>IF(A99="","",posicao_contratual!X99)</f>
        <v/>
      </c>
      <c r="AO99" t="str">
        <f>IF($A99="","",ROUND(SUMIFS(itens_Consumidos!$E$2:$E$200,itens_Consumidos!$A$2:$A$200,$A99),2))</f>
        <v/>
      </c>
      <c r="AP99" t="str">
        <f t="shared" si="18"/>
        <v/>
      </c>
      <c r="AQ99" t="str">
        <f>IF(OR($A99="",AB99="",MEMORIA_RESULTADOS!$I$258=""),"",ROUND(AB99*$C99*(MEMORIA_RESULTADOS!$I$258-1),2))</f>
        <v/>
      </c>
      <c r="AR99" t="str">
        <f>IF(OR($A99="",AP99="",MEMORIA_RESULTADOS!$I$258=""),"",ROUND(AP99*$C99*(parametros!$F$2-MEMORIA_RESULTADOS!$I$258),2))</f>
        <v/>
      </c>
      <c r="AS99" t="str">
        <f>IF($A99="","",ROUND(SUMIFS(itens_Consumidos!$G$2:$G$200,itens_Consumidos!$A$2:$A$200,$A99),2))</f>
        <v/>
      </c>
      <c r="AT99" t="str">
        <f t="shared" si="19"/>
        <v/>
      </c>
      <c r="AU99" t="str">
        <f>IF(OR($A99="",M99="",MEMORIA_RESULTADOS!$I$259=""),"",ROUND(M99*$C99*(MEMORIA_RESULTADOS!$I$259-1),2))</f>
        <v/>
      </c>
      <c r="AV99" t="str">
        <f>IF(OR($A99="",AT99="",MEMORIA_RESULTADOS!$I$259=""),"",ROUND(AT99*$C99*(parametros!$F$3-MEMORIA_RESULTADOS!$I$259),2))</f>
        <v/>
      </c>
      <c r="AW99" t="str">
        <f>IF($A99="","",ROUND(SUMIFS(itens_Consumidos!$I$2:$I$200,itens_Consumidos!$A$2:$A$200,$A99),2))</f>
        <v/>
      </c>
      <c r="AX99" t="str">
        <f t="shared" si="20"/>
        <v/>
      </c>
      <c r="AY99" t="str">
        <f>IF(OR($A99="",O99="",MEMORIA_RESULTADOS!$I$260=""),"",ROUND(O99*$C99*(MEMORIA_RESULTADOS!$I$260-1),2))</f>
        <v/>
      </c>
      <c r="AZ99" t="str">
        <f>IF(OR($A99="",AX99="",MEMORIA_RESULTADOS!$I$260=""),"",ROUND(AX99*$C99*(parametros!$F$4-MEMORIA_RESULTADOS!$I$260),2))</f>
        <v/>
      </c>
      <c r="BA99" t="str">
        <f>IF($A99="","",ROUND(SUMIFS(itens_Consumidos!$K$2:$K$200,itens_Consumidos!$A$2:$A$200,$A99),2))</f>
        <v/>
      </c>
      <c r="BB99" t="str">
        <f t="shared" si="21"/>
        <v/>
      </c>
      <c r="BC99" t="str">
        <f>IF(OR($A99="",Q99="",MEMORIA_RESULTADOS!$I$261=""),"",ROUND(Q99*$C99*(MEMORIA_RESULTADOS!$I$261-1),2))</f>
        <v/>
      </c>
      <c r="BD99" t="str">
        <f>IF(OR($A99="",BB99="",MEMORIA_RESULTADOS!$I$261=""),"",ROUND(BB99*$C99*(parametros!$F$5-MEMORIA_RESULTADOS!$I$261),2))</f>
        <v/>
      </c>
      <c r="BE99" t="str">
        <f>IF($A99="","",ROUND(SUMIFS(itens_Consumidos!$M$2:$M$200,itens_Consumidos!$A$2:$A$200,$A99),2))</f>
        <v/>
      </c>
      <c r="BF99" t="str">
        <f t="shared" si="22"/>
        <v/>
      </c>
      <c r="BG99" t="str">
        <f>IF(OR($A99="",S99="",MEMORIA_RESULTADOS!$I$262=""),"",ROUND(S99*$C99*(MEMORIA_RESULTADOS!$I$262-1),2))</f>
        <v/>
      </c>
      <c r="BH99" t="str">
        <f>IF(OR($A99="",BF99="",MEMORIA_RESULTADOS!$I$262=""),"",ROUND(BF99*$C99*(parametros!$F$6-MEMORIA_RESULTADOS!$I$262),2))</f>
        <v/>
      </c>
      <c r="BI99" t="str">
        <f>IF($A99="","",IF(posicao_contratual!$AL99="","",posicao_contratual!$AL99))</f>
        <v/>
      </c>
    </row>
    <row r="100" spans="1:61" x14ac:dyDescent="0.35">
      <c r="A100" s="81"/>
      <c r="B100" s="82" t="str">
        <f t="shared" si="17"/>
        <v/>
      </c>
      <c r="C100" s="83"/>
      <c r="D100" s="79" t="str">
        <f>IF(AND(A100="",A99&lt;&gt;"",COUNTIF(A101:$A$200,"&lt;&gt;")=0),ROUND(SUMIF($A$2:A99,"&lt;&gt;",$D$2:D99),2),IF(OR(A100="",B100="",C100=""),"",ROUND(B100*C100,2)))</f>
        <v/>
      </c>
      <c r="E100" s="84"/>
      <c r="F100" s="79" t="str">
        <f>IF(AND(A100="",A99&lt;&gt;"",COUNTIF(A101:$A$200,"&lt;&gt;")=0),IF(COUNT(F$2:F99)=0,"",ROUND(SUMIF($A$2:A99,"&lt;&gt;",F$2:F99),2)),IF(OR(A100="",AND(ISNUMBER(posicao_contratual!$AL100),posicao_contratual!$AL100&gt;1),posicao_contratual!K100="",NOT(ISNUMBER(historico_VU!D100))),"",ROUND(posicao_contratual!K100*historico_VU!D100,2)))</f>
        <v/>
      </c>
      <c r="G100" s="84"/>
      <c r="H100" s="79" t="str">
        <f>IF(AND(A100="",A99&lt;&gt;"",COUNTIF(A101:$A$200,"&lt;&gt;")=0),IF(COUNT(H$2:H99)=0,"",ROUND(SUMIF($A$2:A99,"&lt;&gt;",H$2:H99),2)),IF(OR(A100="",AND(ISNUMBER(posicao_contratual!$AL100),posicao_contratual!$AL100&gt;2),posicao_contratual!O100="",NOT(ISNUMBER(historico_VU!E100))),"",ROUND(posicao_contratual!O100*historico_VU!E100,2)))</f>
        <v/>
      </c>
      <c r="I100" s="84"/>
      <c r="J100" s="79" t="str">
        <f>IF(AND(A100="",A99&lt;&gt;"",COUNTIF(A101:$A$200,"&lt;&gt;")=0),IF(COUNT(J$2:J99)=0,"",ROUND(SUMIF($A$2:A99,"&lt;&gt;",J$2:J99),2)),IF(OR(A100="",AND(ISNUMBER(posicao_contratual!$AL100),posicao_contratual!$AL100&gt;3),posicao_contratual!S100="",NOT(ISNUMBER(historico_VU!F100))),"",ROUND(posicao_contratual!S100*historico_VU!F100,2)))</f>
        <v/>
      </c>
      <c r="K100" s="84"/>
      <c r="L100" s="79" t="str">
        <f>IF(AND(A100="",A99&lt;&gt;"",COUNTIF(A101:$A$200,"&lt;&gt;")=0),IF(COUNT(L$2:L99)=0,"",ROUND(SUMIF($A$2:A99,"&lt;&gt;",L$2:L99),2)),IF(OR(A100="",AND(ISNUMBER(posicao_contratual!$AL100),posicao_contratual!$AL100&gt;4),posicao_contratual!W100="",NOT(ISNUMBER(historico_VU!G100))),"",ROUND(posicao_contratual!W100*historico_VU!G100,2)))</f>
        <v/>
      </c>
      <c r="M100" s="85" t="str">
        <f>IF(OR(posicao_contratual!J100="",posicao_contratual!N100=""),"",ROUND(MAX(posicao_contratual!J100+posicao_contratual!H100-posicao_contratual!N100,0),2))</f>
        <v/>
      </c>
      <c r="N100" s="79" t="str">
        <f>IF(AND(A100="",A99&lt;&gt;"",COUNTIF(A101:$A$200,"&lt;&gt;")=0),IF(COUNT(N$2:N99)=0,"",ROUND(SUMIF($A$2:A99,"&lt;&gt;",N$2:N99),2)),IF(OR(M100="",NOT(ISNUMBER(historico_VU!D100))),"",ROUND(M100*historico_VU!D100,2)))</f>
        <v/>
      </c>
      <c r="O100" s="85" t="str">
        <f>IF(OR(posicao_contratual!N100="",posicao_contratual!R100=""),"",ROUND(MAX(posicao_contratual!N100+posicao_contratual!L100-posicao_contratual!R100,0),2))</f>
        <v/>
      </c>
      <c r="P100" s="79" t="str">
        <f>IF(AND(A100="",A99&lt;&gt;"",COUNTIF(A101:$A$200,"&lt;&gt;")=0),IF(COUNT(P$2:P99)=0,"",ROUND(SUMIF($A$2:A99,"&lt;&gt;",P$2:P99),2)),IF(OR(O100="",NOT(ISNUMBER(historico_VU!E100))),"",ROUND(O100*historico_VU!E100,2)))</f>
        <v/>
      </c>
      <c r="Q100" s="85" t="str">
        <f>IF(OR(posicao_contratual!R100="",posicao_contratual!V100=""),"",ROUND(MAX(posicao_contratual!R100+posicao_contratual!P100-posicao_contratual!V100,0),2))</f>
        <v/>
      </c>
      <c r="R100" s="79" t="str">
        <f>IF(AND(A100="",A99&lt;&gt;"",COUNTIF(A101:$A$200,"&lt;&gt;")=0),IF(COUNT(R$2:R99)=0,"",ROUND(SUMIF($A$2:A99,"&lt;&gt;",R$2:R99),2)),IF(OR(Q100="",NOT(ISNUMBER(historico_VU!F100))),"",ROUND(Q100*historico_VU!F100,2)))</f>
        <v/>
      </c>
      <c r="S100" s="21"/>
      <c r="T100" s="22" t="str">
        <f>IF(AND(A100="",A99&lt;&gt;"",COUNTIF(A101:$A$200,"&lt;&gt;")=0),IF(COUNT(T$2:T99)=0,"",ROUND(SUMIF($A$2:A99,"&lt;&gt;",T$2:T99),2)),IF(OR(S100="",NOT(ISNUMBER(historico_VU!G100))),"",ROUND(S100*historico_VU!G100,2)))</f>
        <v/>
      </c>
      <c r="U100" s="86" t="str">
        <f>IF(AND(A100="",A99&lt;&gt;"",COUNTIF(A101:$A$200,"&lt;&gt;")=0),"TOTAL",IF(A100="","",posicao_contratual!X100))</f>
        <v/>
      </c>
      <c r="V100" s="86" t="str">
        <f>IF(A100="","",posicao_contratual!X100)</f>
        <v/>
      </c>
      <c r="W100" s="14"/>
      <c r="X100" s="14"/>
      <c r="Y100" s="14"/>
      <c r="Z100" s="13"/>
      <c r="AA100" s="13"/>
      <c r="AB100" s="85" t="str">
        <f>IF(OR(A100="",posicao_contratual!E100="",posicao_contratual!J100=""),"",ROUND(MAX(posicao_contratual!E100-posicao_contratual!J100,0),2))</f>
        <v/>
      </c>
      <c r="AC100" s="79" t="str">
        <f>IF(AND(A100="",A99&lt;&gt;"",COUNTIF(A101:$A$200,"&lt;&gt;")=0),IF(COUNT(AC$2:AC99)=0,"",ROUND(SUMIF($A$2:A99,"&lt;&gt;",AC$2:AC99),2)),IF(OR(AB100="",NOT(ISNUMBER(historico_VU!C100))),"",ROUND(AB100*historico_VU!C100,2)))</f>
        <v/>
      </c>
      <c r="AD100" s="145" t="str">
        <f>IF(A100="","",posicao_contratual!E100)</f>
        <v/>
      </c>
      <c r="AE100" s="145" t="str">
        <f>IF(A100="","",posicao_contratual!I100)</f>
        <v/>
      </c>
      <c r="AF100" s="145" t="str">
        <f>IF(A100="","",posicao_contratual!M100)</f>
        <v/>
      </c>
      <c r="AG100" s="145" t="str">
        <f>IF(A100="","",posicao_contratual!Q100)</f>
        <v/>
      </c>
      <c r="AH100" s="145" t="str">
        <f>IF(A100="","",posicao_contratual!U100)</f>
        <v/>
      </c>
      <c r="AI100" s="145" t="str">
        <f>IF(A100="","",posicao_contratual!G100)</f>
        <v/>
      </c>
      <c r="AJ100" s="145" t="str">
        <f>IF(A100="","",posicao_contratual!K100)</f>
        <v/>
      </c>
      <c r="AK100" s="145" t="str">
        <f>IF(A100="","",posicao_contratual!O100)</f>
        <v/>
      </c>
      <c r="AL100" s="145" t="str">
        <f>IF(A100="","",posicao_contratual!S100)</f>
        <v/>
      </c>
      <c r="AM100" s="145" t="str">
        <f>IF(A100="","",posicao_contratual!W100)</f>
        <v/>
      </c>
      <c r="AN100" s="146" t="str">
        <f>IF(A100="","",posicao_contratual!X100)</f>
        <v/>
      </c>
      <c r="AO100" t="str">
        <f>IF($A100="","",ROUND(SUMIFS(itens_Consumidos!$E$2:$E$200,itens_Consumidos!$A$2:$A$200,$A100),2))</f>
        <v/>
      </c>
      <c r="AP100" t="str">
        <f t="shared" si="18"/>
        <v/>
      </c>
      <c r="AQ100" t="str">
        <f>IF(OR($A100="",AB100="",MEMORIA_RESULTADOS!$I$258=""),"",ROUND(AB100*$C100*(MEMORIA_RESULTADOS!$I$258-1),2))</f>
        <v/>
      </c>
      <c r="AR100" t="str">
        <f>IF(OR($A100="",AP100="",MEMORIA_RESULTADOS!$I$258=""),"",ROUND(AP100*$C100*(parametros!$F$2-MEMORIA_RESULTADOS!$I$258),2))</f>
        <v/>
      </c>
      <c r="AS100" t="str">
        <f>IF($A100="","",ROUND(SUMIFS(itens_Consumidos!$G$2:$G$200,itens_Consumidos!$A$2:$A$200,$A100),2))</f>
        <v/>
      </c>
      <c r="AT100" t="str">
        <f t="shared" si="19"/>
        <v/>
      </c>
      <c r="AU100" t="str">
        <f>IF(OR($A100="",M100="",MEMORIA_RESULTADOS!$I$259=""),"",ROUND(M100*$C100*(MEMORIA_RESULTADOS!$I$259-1),2))</f>
        <v/>
      </c>
      <c r="AV100" t="str">
        <f>IF(OR($A100="",AT100="",MEMORIA_RESULTADOS!$I$259=""),"",ROUND(AT100*$C100*(parametros!$F$3-MEMORIA_RESULTADOS!$I$259),2))</f>
        <v/>
      </c>
      <c r="AW100" t="str">
        <f>IF($A100="","",ROUND(SUMIFS(itens_Consumidos!$I$2:$I$200,itens_Consumidos!$A$2:$A$200,$A100),2))</f>
        <v/>
      </c>
      <c r="AX100" t="str">
        <f t="shared" si="20"/>
        <v/>
      </c>
      <c r="AY100" t="str">
        <f>IF(OR($A100="",O100="",MEMORIA_RESULTADOS!$I$260=""),"",ROUND(O100*$C100*(MEMORIA_RESULTADOS!$I$260-1),2))</f>
        <v/>
      </c>
      <c r="AZ100" t="str">
        <f>IF(OR($A100="",AX100="",MEMORIA_RESULTADOS!$I$260=""),"",ROUND(AX100*$C100*(parametros!$F$4-MEMORIA_RESULTADOS!$I$260),2))</f>
        <v/>
      </c>
      <c r="BA100" t="str">
        <f>IF($A100="","",ROUND(SUMIFS(itens_Consumidos!$K$2:$K$200,itens_Consumidos!$A$2:$A$200,$A100),2))</f>
        <v/>
      </c>
      <c r="BB100" t="str">
        <f t="shared" si="21"/>
        <v/>
      </c>
      <c r="BC100" t="str">
        <f>IF(OR($A100="",Q100="",MEMORIA_RESULTADOS!$I$261=""),"",ROUND(Q100*$C100*(MEMORIA_RESULTADOS!$I$261-1),2))</f>
        <v/>
      </c>
      <c r="BD100" t="str">
        <f>IF(OR($A100="",BB100="",MEMORIA_RESULTADOS!$I$261=""),"",ROUND(BB100*$C100*(parametros!$F$5-MEMORIA_RESULTADOS!$I$261),2))</f>
        <v/>
      </c>
      <c r="BE100" t="str">
        <f>IF($A100="","",ROUND(SUMIFS(itens_Consumidos!$M$2:$M$200,itens_Consumidos!$A$2:$A$200,$A100),2))</f>
        <v/>
      </c>
      <c r="BF100" t="str">
        <f t="shared" si="22"/>
        <v/>
      </c>
      <c r="BG100" t="str">
        <f>IF(OR($A100="",S100="",MEMORIA_RESULTADOS!$I$262=""),"",ROUND(S100*$C100*(MEMORIA_RESULTADOS!$I$262-1),2))</f>
        <v/>
      </c>
      <c r="BH100" t="str">
        <f>IF(OR($A100="",BF100="",MEMORIA_RESULTADOS!$I$262=""),"",ROUND(BF100*$C100*(parametros!$F$6-MEMORIA_RESULTADOS!$I$262),2))</f>
        <v/>
      </c>
      <c r="BI100" t="str">
        <f>IF($A100="","",IF(posicao_contratual!$AL100="","",posicao_contratual!$AL100))</f>
        <v/>
      </c>
    </row>
    <row r="101" spans="1:61" ht="14.5" customHeight="1" x14ac:dyDescent="0.35">
      <c r="A101" s="81"/>
      <c r="B101" s="82" t="str">
        <f t="shared" ref="B101:B132" si="23">IF(AND(LEN(TRIM($A101))=4,LEFT(TRIM($A101),1)="N",ISNUMBER(--MID(TRIM($A101),2,3)),ISERROR(FIND(".",$A101)),ISERROR(FIND(",",$A101)),ISERROR(FIND("-",$A101)),ISERROR(FIND("+",$A101)),ISERROR(SEARCH("E",$A101,2)),ISERROR(FIND(" ",TRIM($A101)))),0,"")</f>
        <v/>
      </c>
      <c r="C101" s="83"/>
      <c r="D101" s="79" t="str">
        <f>IF(AND(A101="",A100&lt;&gt;"",COUNTIF(A102:$A$200,"&lt;&gt;")=0),ROUND(SUMIF($A$2:A100,"&lt;&gt;",$D$2:D100),2),IF(OR(A101="",B101="",C101=""),"",ROUND(B101*C101,2)))</f>
        <v/>
      </c>
      <c r="E101" s="84"/>
      <c r="F101" s="79" t="str">
        <f>IF(AND(A101="",A100&lt;&gt;"",COUNTIF(A102:$A$200,"&lt;&gt;")=0),IF(COUNT(F$2:F100)=0,"",ROUND(SUMIF($A$2:A100,"&lt;&gt;",F$2:F100),2)),IF(OR(A101="",AND(ISNUMBER(posicao_contratual!$AL101),posicao_contratual!$AL101&gt;1),posicao_contratual!K101="",NOT(ISNUMBER(historico_VU!D101))),"",ROUND(posicao_contratual!K101*historico_VU!D101,2)))</f>
        <v/>
      </c>
      <c r="G101" s="84"/>
      <c r="H101" s="79" t="str">
        <f>IF(AND(A101="",A100&lt;&gt;"",COUNTIF(A102:$A$200,"&lt;&gt;")=0),IF(COUNT(H$2:H100)=0,"",ROUND(SUMIF($A$2:A100,"&lt;&gt;",H$2:H100),2)),IF(OR(A101="",AND(ISNUMBER(posicao_contratual!$AL101),posicao_contratual!$AL101&gt;2),posicao_contratual!O101="",NOT(ISNUMBER(historico_VU!E101))),"",ROUND(posicao_contratual!O101*historico_VU!E101,2)))</f>
        <v/>
      </c>
      <c r="I101" s="84"/>
      <c r="J101" s="79" t="str">
        <f>IF(AND(A101="",A100&lt;&gt;"",COUNTIF(A102:$A$200,"&lt;&gt;")=0),IF(COUNT(J$2:J100)=0,"",ROUND(SUMIF($A$2:A100,"&lt;&gt;",J$2:J100),2)),IF(OR(A101="",AND(ISNUMBER(posicao_contratual!$AL101),posicao_contratual!$AL101&gt;3),posicao_contratual!S101="",NOT(ISNUMBER(historico_VU!F101))),"",ROUND(posicao_contratual!S101*historico_VU!F101,2)))</f>
        <v/>
      </c>
      <c r="K101" s="84"/>
      <c r="L101" s="79" t="str">
        <f>IF(AND(A101="",A100&lt;&gt;"",COUNTIF(A102:$A$200,"&lt;&gt;")=0),IF(COUNT(L$2:L100)=0,"",ROUND(SUMIF($A$2:A100,"&lt;&gt;",L$2:L100),2)),IF(OR(A101="",AND(ISNUMBER(posicao_contratual!$AL101),posicao_contratual!$AL101&gt;4),posicao_contratual!W101="",NOT(ISNUMBER(historico_VU!G101))),"",ROUND(posicao_contratual!W101*historico_VU!G101,2)))</f>
        <v/>
      </c>
      <c r="M101" s="85" t="str">
        <f>IF(OR(posicao_contratual!J101="",posicao_contratual!N101=""),"",ROUND(MAX(posicao_contratual!J101+posicao_contratual!H101-posicao_contratual!N101,0),2))</f>
        <v/>
      </c>
      <c r="N101" s="79" t="str">
        <f>IF(AND(A101="",A100&lt;&gt;"",COUNTIF(A102:$A$200,"&lt;&gt;")=0),IF(COUNT(N$2:N100)=0,"",ROUND(SUMIF($A$2:A100,"&lt;&gt;",N$2:N100),2)),IF(OR(M101="",NOT(ISNUMBER(historico_VU!D101))),"",ROUND(M101*historico_VU!D101,2)))</f>
        <v/>
      </c>
      <c r="O101" s="85" t="str">
        <f>IF(OR(posicao_contratual!N101="",posicao_contratual!R101=""),"",ROUND(MAX(posicao_contratual!N101+posicao_contratual!L101-posicao_contratual!R101,0),2))</f>
        <v/>
      </c>
      <c r="P101" s="79" t="str">
        <f>IF(AND(A101="",A100&lt;&gt;"",COUNTIF(A102:$A$200,"&lt;&gt;")=0),IF(COUNT(P$2:P100)=0,"",ROUND(SUMIF($A$2:A100,"&lt;&gt;",P$2:P100),2)),IF(OR(O101="",NOT(ISNUMBER(historico_VU!E101))),"",ROUND(O101*historico_VU!E101,2)))</f>
        <v/>
      </c>
      <c r="Q101" s="85" t="str">
        <f>IF(OR(posicao_contratual!R101="",posicao_contratual!V101=""),"",ROUND(MAX(posicao_contratual!R101+posicao_contratual!P101-posicao_contratual!V101,0),2))</f>
        <v/>
      </c>
      <c r="R101" s="79" t="str">
        <f>IF(AND(A101="",A100&lt;&gt;"",COUNTIF(A102:$A$200,"&lt;&gt;")=0),IF(COUNT(R$2:R100)=0,"",ROUND(SUMIF($A$2:A100,"&lt;&gt;",R$2:R100),2)),IF(OR(Q101="",NOT(ISNUMBER(historico_VU!F101))),"",ROUND(Q101*historico_VU!F101,2)))</f>
        <v/>
      </c>
      <c r="S101" s="21"/>
      <c r="T101" s="22" t="str">
        <f>IF(AND(A101="",A100&lt;&gt;"",COUNTIF(A102:$A$200,"&lt;&gt;")=0),IF(COUNT(T$2:T100)=0,"",ROUND(SUMIF($A$2:A100,"&lt;&gt;",T$2:T100),2)),IF(OR(S101="",NOT(ISNUMBER(historico_VU!G101))),"",ROUND(S101*historico_VU!G101,2)))</f>
        <v/>
      </c>
      <c r="U101" s="86" t="str">
        <f>IF(AND(A101="",A100&lt;&gt;"",COUNTIF(A102:$A$200,"&lt;&gt;")=0),"TOTAL",IF(A101="","",posicao_contratual!X101))</f>
        <v/>
      </c>
      <c r="V101" s="86" t="str">
        <f>IF(A101="","",posicao_contratual!X101)</f>
        <v/>
      </c>
      <c r="W101" s="14"/>
      <c r="X101" s="14"/>
      <c r="Y101" s="14"/>
      <c r="Z101" s="13"/>
      <c r="AA101" s="13"/>
      <c r="AB101" s="85" t="str">
        <f>IF(OR(A101="",posicao_contratual!E101="",posicao_contratual!J101=""),"",ROUND(MAX(posicao_contratual!E101-posicao_contratual!J101,0),2))</f>
        <v/>
      </c>
      <c r="AC101" s="79" t="str">
        <f>IF(AND(A101="",A100&lt;&gt;"",COUNTIF(A102:$A$200,"&lt;&gt;")=0),IF(COUNT(AC$2:AC100)=0,"",ROUND(SUMIF($A$2:A100,"&lt;&gt;",AC$2:AC100),2)),IF(OR(AB101="",NOT(ISNUMBER(historico_VU!C101))),"",ROUND(AB101*historico_VU!C101,2)))</f>
        <v/>
      </c>
      <c r="AD101" s="145" t="str">
        <f>IF(A101="","",posicao_contratual!E101)</f>
        <v/>
      </c>
      <c r="AE101" s="145" t="str">
        <f>IF(A101="","",posicao_contratual!I101)</f>
        <v/>
      </c>
      <c r="AF101" s="145" t="str">
        <f>IF(A101="","",posicao_contratual!M101)</f>
        <v/>
      </c>
      <c r="AG101" s="145" t="str">
        <f>IF(A101="","",posicao_contratual!Q101)</f>
        <v/>
      </c>
      <c r="AH101" s="145" t="str">
        <f>IF(A101="","",posicao_contratual!U101)</f>
        <v/>
      </c>
      <c r="AI101" s="145" t="str">
        <f>IF(A101="","",posicao_contratual!G101)</f>
        <v/>
      </c>
      <c r="AJ101" s="145" t="str">
        <f>IF(A101="","",posicao_contratual!K101)</f>
        <v/>
      </c>
      <c r="AK101" s="145" t="str">
        <f>IF(A101="","",posicao_contratual!O101)</f>
        <v/>
      </c>
      <c r="AL101" s="145" t="str">
        <f>IF(A101="","",posicao_contratual!S101)</f>
        <v/>
      </c>
      <c r="AM101" s="145" t="str">
        <f>IF(A101="","",posicao_contratual!W101)</f>
        <v/>
      </c>
      <c r="AN101" s="146" t="str">
        <f>IF(A101="","",posicao_contratual!X101)</f>
        <v/>
      </c>
      <c r="AO101" t="str">
        <f>IF($A101="","",ROUND(SUMIFS(itens_Consumidos!$E$2:$E$200,itens_Consumidos!$A$2:$A$200,$A101),2))</f>
        <v/>
      </c>
      <c r="AP101" t="str">
        <f t="shared" si="18"/>
        <v/>
      </c>
      <c r="AQ101" t="str">
        <f>IF(OR($A101="",AB101="",MEMORIA_RESULTADOS!$I$258=""),"",ROUND(AB101*$C101*(MEMORIA_RESULTADOS!$I$258-1),2))</f>
        <v/>
      </c>
      <c r="AR101" t="str">
        <f>IF(OR($A101="",AP101="",MEMORIA_RESULTADOS!$I$258=""),"",ROUND(AP101*$C101*(parametros!$F$2-MEMORIA_RESULTADOS!$I$258),2))</f>
        <v/>
      </c>
      <c r="AS101" t="str">
        <f>IF($A101="","",ROUND(SUMIFS(itens_Consumidos!$G$2:$G$200,itens_Consumidos!$A$2:$A$200,$A101),2))</f>
        <v/>
      </c>
      <c r="AT101" t="str">
        <f t="shared" si="19"/>
        <v/>
      </c>
      <c r="AU101" t="str">
        <f>IF(OR($A101="",M101="",MEMORIA_RESULTADOS!$I$259=""),"",ROUND(M101*$C101*(MEMORIA_RESULTADOS!$I$259-1),2))</f>
        <v/>
      </c>
      <c r="AV101" t="str">
        <f>IF(OR($A101="",AT101="",MEMORIA_RESULTADOS!$I$259=""),"",ROUND(AT101*$C101*(parametros!$F$3-MEMORIA_RESULTADOS!$I$259),2))</f>
        <v/>
      </c>
      <c r="AW101" t="str">
        <f>IF($A101="","",ROUND(SUMIFS(itens_Consumidos!$I$2:$I$200,itens_Consumidos!$A$2:$A$200,$A101),2))</f>
        <v/>
      </c>
      <c r="AX101" t="str">
        <f t="shared" si="20"/>
        <v/>
      </c>
      <c r="AY101" t="str">
        <f>IF(OR($A101="",O101="",MEMORIA_RESULTADOS!$I$260=""),"",ROUND(O101*$C101*(MEMORIA_RESULTADOS!$I$260-1),2))</f>
        <v/>
      </c>
      <c r="AZ101" t="str">
        <f>IF(OR($A101="",AX101="",MEMORIA_RESULTADOS!$I$260=""),"",ROUND(AX101*$C101*(parametros!$F$4-MEMORIA_RESULTADOS!$I$260),2))</f>
        <v/>
      </c>
      <c r="BA101" t="str">
        <f>IF($A101="","",ROUND(SUMIFS(itens_Consumidos!$K$2:$K$200,itens_Consumidos!$A$2:$A$200,$A101),2))</f>
        <v/>
      </c>
      <c r="BB101" t="str">
        <f t="shared" si="21"/>
        <v/>
      </c>
      <c r="BC101" t="str">
        <f>IF(OR($A101="",Q101="",MEMORIA_RESULTADOS!$I$261=""),"",ROUND(Q101*$C101*(MEMORIA_RESULTADOS!$I$261-1),2))</f>
        <v/>
      </c>
      <c r="BD101" t="str">
        <f>IF(OR($A101="",BB101="",MEMORIA_RESULTADOS!$I$261=""),"",ROUND(BB101*$C101*(parametros!$F$5-MEMORIA_RESULTADOS!$I$261),2))</f>
        <v/>
      </c>
      <c r="BE101" t="str">
        <f>IF($A101="","",ROUND(SUMIFS(itens_Consumidos!$M$2:$M$200,itens_Consumidos!$A$2:$A$200,$A101),2))</f>
        <v/>
      </c>
      <c r="BF101" t="str">
        <f t="shared" si="22"/>
        <v/>
      </c>
      <c r="BG101" t="str">
        <f>IF(OR($A101="",S101="",MEMORIA_RESULTADOS!$I$262=""),"",ROUND(S101*$C101*(MEMORIA_RESULTADOS!$I$262-1),2))</f>
        <v/>
      </c>
      <c r="BH101" t="str">
        <f>IF(OR($A101="",BF101="",MEMORIA_RESULTADOS!$I$262=""),"",ROUND(BF101*$C101*(parametros!$F$6-MEMORIA_RESULTADOS!$I$262),2))</f>
        <v/>
      </c>
      <c r="BI101" t="str">
        <f>IF($A101="","",IF(posicao_contratual!$AL101="","",posicao_contratual!$AL101))</f>
        <v/>
      </c>
    </row>
    <row r="102" spans="1:61" x14ac:dyDescent="0.35">
      <c r="A102" s="81"/>
      <c r="B102" s="82" t="str">
        <f t="shared" si="23"/>
        <v/>
      </c>
      <c r="C102" s="83"/>
      <c r="D102" s="79" t="str">
        <f>IF(AND(A102="",A101&lt;&gt;"",COUNTIF(A103:$A$200,"&lt;&gt;")=0),ROUND(SUMIF($A$2:A101,"&lt;&gt;",$D$2:D101),2),IF(OR(A102="",B102="",C102=""),"",ROUND(B102*C102,2)))</f>
        <v/>
      </c>
      <c r="E102" s="84"/>
      <c r="F102" s="79" t="str">
        <f>IF(AND(A102="",A101&lt;&gt;"",COUNTIF(A103:$A$200,"&lt;&gt;")=0),IF(COUNT(F$2:F101)=0,"",ROUND(SUMIF($A$2:A101,"&lt;&gt;",F$2:F101),2)),IF(OR(A102="",AND(ISNUMBER(posicao_contratual!$AL102),posicao_contratual!$AL102&gt;1),posicao_contratual!K102="",NOT(ISNUMBER(historico_VU!D102))),"",ROUND(posicao_contratual!K102*historico_VU!D102,2)))</f>
        <v/>
      </c>
      <c r="G102" s="84"/>
      <c r="H102" s="79" t="str">
        <f>IF(AND(A102="",A101&lt;&gt;"",COUNTIF(A103:$A$200,"&lt;&gt;")=0),IF(COUNT(H$2:H101)=0,"",ROUND(SUMIF($A$2:A101,"&lt;&gt;",H$2:H101),2)),IF(OR(A102="",AND(ISNUMBER(posicao_contratual!$AL102),posicao_contratual!$AL102&gt;2),posicao_contratual!O102="",NOT(ISNUMBER(historico_VU!E102))),"",ROUND(posicao_contratual!O102*historico_VU!E102,2)))</f>
        <v/>
      </c>
      <c r="I102" s="84"/>
      <c r="J102" s="79" t="str">
        <f>IF(AND(A102="",A101&lt;&gt;"",COUNTIF(A103:$A$200,"&lt;&gt;")=0),IF(COUNT(J$2:J101)=0,"",ROUND(SUMIF($A$2:A101,"&lt;&gt;",J$2:J101),2)),IF(OR(A102="",AND(ISNUMBER(posicao_contratual!$AL102),posicao_contratual!$AL102&gt;3),posicao_contratual!S102="",NOT(ISNUMBER(historico_VU!F102))),"",ROUND(posicao_contratual!S102*historico_VU!F102,2)))</f>
        <v/>
      </c>
      <c r="K102" s="84"/>
      <c r="L102" s="79" t="str">
        <f>IF(AND(A102="",A101&lt;&gt;"",COUNTIF(A103:$A$200,"&lt;&gt;")=0),IF(COUNT(L$2:L101)=0,"",ROUND(SUMIF($A$2:A101,"&lt;&gt;",L$2:L101),2)),IF(OR(A102="",AND(ISNUMBER(posicao_contratual!$AL102),posicao_contratual!$AL102&gt;4),posicao_contratual!W102="",NOT(ISNUMBER(historico_VU!G102))),"",ROUND(posicao_contratual!W102*historico_VU!G102,2)))</f>
        <v/>
      </c>
      <c r="M102" s="85" t="str">
        <f>IF(OR(posicao_contratual!J102="",posicao_contratual!N102=""),"",ROUND(MAX(posicao_contratual!J102+posicao_contratual!H102-posicao_contratual!N102,0),2))</f>
        <v/>
      </c>
      <c r="N102" s="79" t="str">
        <f>IF(AND(A102="",A101&lt;&gt;"",COUNTIF(A103:$A$200,"&lt;&gt;")=0),IF(COUNT(N$2:N101)=0,"",ROUND(SUMIF($A$2:A101,"&lt;&gt;",N$2:N101),2)),IF(OR(M102="",NOT(ISNUMBER(historico_VU!D102))),"",ROUND(M102*historico_VU!D102,2)))</f>
        <v/>
      </c>
      <c r="O102" s="85" t="str">
        <f>IF(OR(posicao_contratual!N102="",posicao_contratual!R102=""),"",ROUND(MAX(posicao_contratual!N102+posicao_contratual!L102-posicao_contratual!R102,0),2))</f>
        <v/>
      </c>
      <c r="P102" s="79" t="str">
        <f>IF(AND(A102="",A101&lt;&gt;"",COUNTIF(A103:$A$200,"&lt;&gt;")=0),IF(COUNT(P$2:P101)=0,"",ROUND(SUMIF($A$2:A101,"&lt;&gt;",P$2:P101),2)),IF(OR(O102="",NOT(ISNUMBER(historico_VU!E102))),"",ROUND(O102*historico_VU!E102,2)))</f>
        <v/>
      </c>
      <c r="Q102" s="85" t="str">
        <f>IF(OR(posicao_contratual!R102="",posicao_contratual!V102=""),"",ROUND(MAX(posicao_contratual!R102+posicao_contratual!P102-posicao_contratual!V102,0),2))</f>
        <v/>
      </c>
      <c r="R102" s="79" t="str">
        <f>IF(AND(A102="",A101&lt;&gt;"",COUNTIF(A103:$A$200,"&lt;&gt;")=0),IF(COUNT(R$2:R101)=0,"",ROUND(SUMIF($A$2:A101,"&lt;&gt;",R$2:R101),2)),IF(OR(Q102="",NOT(ISNUMBER(historico_VU!F102))),"",ROUND(Q102*historico_VU!F102,2)))</f>
        <v/>
      </c>
      <c r="S102" s="38"/>
      <c r="T102" s="39" t="str">
        <f>IF(AND(A102="",A101&lt;&gt;"",COUNTIF(A103:$A$200,"&lt;&gt;")=0),IF(COUNT(T$2:T101)=0,"",ROUND(SUMIF($A$2:A101,"&lt;&gt;",T$2:T101),2)),IF(OR(S102="",NOT(ISNUMBER(historico_VU!G102))),"",ROUND(S102*historico_VU!G102,2)))</f>
        <v/>
      </c>
      <c r="U102" s="86" t="str">
        <f>IF(AND(A102="",A101&lt;&gt;"",COUNTIF(A103:$A$200,"&lt;&gt;")=0),"TOTAL",IF(A102="","",posicao_contratual!X102))</f>
        <v/>
      </c>
      <c r="V102" s="86" t="str">
        <f>IF(A102="","",posicao_contratual!X102)</f>
        <v/>
      </c>
      <c r="W102" s="13"/>
      <c r="X102" s="13"/>
      <c r="Y102" s="13"/>
      <c r="Z102" s="13"/>
      <c r="AA102" s="13"/>
      <c r="AB102" s="85" t="str">
        <f>IF(OR(A102="",posicao_contratual!E102="",posicao_contratual!J102=""),"",ROUND(MAX(posicao_contratual!E102-posicao_contratual!J102,0),2))</f>
        <v/>
      </c>
      <c r="AC102" s="79" t="str">
        <f>IF(AND(A102="",A101&lt;&gt;"",COUNTIF(A103:$A$200,"&lt;&gt;")=0),IF(COUNT(AC$2:AC101)=0,"",ROUND(SUMIF($A$2:A101,"&lt;&gt;",AC$2:AC101),2)),IF(OR(AB102="",NOT(ISNUMBER(historico_VU!C102))),"",ROUND(AB102*historico_VU!C102,2)))</f>
        <v/>
      </c>
      <c r="AD102" s="145" t="str">
        <f>IF(A102="","",posicao_contratual!E102)</f>
        <v/>
      </c>
      <c r="AE102" s="145" t="str">
        <f>IF(A102="","",posicao_contratual!I102)</f>
        <v/>
      </c>
      <c r="AF102" s="145" t="str">
        <f>IF(A102="","",posicao_contratual!M102)</f>
        <v/>
      </c>
      <c r="AG102" s="145" t="str">
        <f>IF(A102="","",posicao_contratual!Q102)</f>
        <v/>
      </c>
      <c r="AH102" s="145" t="str">
        <f>IF(A102="","",posicao_contratual!U102)</f>
        <v/>
      </c>
      <c r="AI102" s="145" t="str">
        <f>IF(A102="","",posicao_contratual!G102)</f>
        <v/>
      </c>
      <c r="AJ102" s="145" t="str">
        <f>IF(A102="","",posicao_contratual!K102)</f>
        <v/>
      </c>
      <c r="AK102" s="145" t="str">
        <f>IF(A102="","",posicao_contratual!O102)</f>
        <v/>
      </c>
      <c r="AL102" s="145" t="str">
        <f>IF(A102="","",posicao_contratual!S102)</f>
        <v/>
      </c>
      <c r="AM102" s="145" t="str">
        <f>IF(A102="","",posicao_contratual!W102)</f>
        <v/>
      </c>
      <c r="AN102" s="146" t="str">
        <f>IF(A102="","",posicao_contratual!X102)</f>
        <v/>
      </c>
      <c r="AO102" t="str">
        <f>IF($A102="","",ROUND(SUMIFS(itens_Consumidos!$E$2:$E$200,itens_Consumidos!$A$2:$A$200,$A102),2))</f>
        <v/>
      </c>
      <c r="AP102" t="str">
        <f t="shared" si="18"/>
        <v/>
      </c>
      <c r="AQ102" t="str">
        <f>IF(OR($A102="",AB102="",MEMORIA_RESULTADOS!$I$258=""),"",ROUND(AB102*$C102*(MEMORIA_RESULTADOS!$I$258-1),2))</f>
        <v/>
      </c>
      <c r="AR102" t="str">
        <f>IF(OR($A102="",AP102="",MEMORIA_RESULTADOS!$I$258=""),"",ROUND(AP102*$C102*(parametros!$F$2-MEMORIA_RESULTADOS!$I$258),2))</f>
        <v/>
      </c>
      <c r="AS102" t="str">
        <f>IF($A102="","",ROUND(SUMIFS(itens_Consumidos!$G$2:$G$200,itens_Consumidos!$A$2:$A$200,$A102),2))</f>
        <v/>
      </c>
      <c r="AT102" t="str">
        <f t="shared" si="19"/>
        <v/>
      </c>
      <c r="AU102" t="str">
        <f>IF(OR($A102="",M102="",MEMORIA_RESULTADOS!$I$259=""),"",ROUND(M102*$C102*(MEMORIA_RESULTADOS!$I$259-1),2))</f>
        <v/>
      </c>
      <c r="AV102" t="str">
        <f>IF(OR($A102="",AT102="",MEMORIA_RESULTADOS!$I$259=""),"",ROUND(AT102*$C102*(parametros!$F$3-MEMORIA_RESULTADOS!$I$259),2))</f>
        <v/>
      </c>
      <c r="AW102" t="str">
        <f>IF($A102="","",ROUND(SUMIFS(itens_Consumidos!$I$2:$I$200,itens_Consumidos!$A$2:$A$200,$A102),2))</f>
        <v/>
      </c>
      <c r="AX102" t="str">
        <f t="shared" si="20"/>
        <v/>
      </c>
      <c r="AY102" t="str">
        <f>IF(OR($A102="",O102="",MEMORIA_RESULTADOS!$I$260=""),"",ROUND(O102*$C102*(MEMORIA_RESULTADOS!$I$260-1),2))</f>
        <v/>
      </c>
      <c r="AZ102" t="str">
        <f>IF(OR($A102="",AX102="",MEMORIA_RESULTADOS!$I$260=""),"",ROUND(AX102*$C102*(parametros!$F$4-MEMORIA_RESULTADOS!$I$260),2))</f>
        <v/>
      </c>
      <c r="BA102" t="str">
        <f>IF($A102="","",ROUND(SUMIFS(itens_Consumidos!$K$2:$K$200,itens_Consumidos!$A$2:$A$200,$A102),2))</f>
        <v/>
      </c>
      <c r="BB102" t="str">
        <f t="shared" si="21"/>
        <v/>
      </c>
      <c r="BC102" t="str">
        <f>IF(OR($A102="",Q102="",MEMORIA_RESULTADOS!$I$261=""),"",ROUND(Q102*$C102*(MEMORIA_RESULTADOS!$I$261-1),2))</f>
        <v/>
      </c>
      <c r="BD102" t="str">
        <f>IF(OR($A102="",BB102="",MEMORIA_RESULTADOS!$I$261=""),"",ROUND(BB102*$C102*(parametros!$F$5-MEMORIA_RESULTADOS!$I$261),2))</f>
        <v/>
      </c>
      <c r="BE102" t="str">
        <f>IF($A102="","",ROUND(SUMIFS(itens_Consumidos!$M$2:$M$200,itens_Consumidos!$A$2:$A$200,$A102),2))</f>
        <v/>
      </c>
      <c r="BF102" t="str">
        <f t="shared" si="22"/>
        <v/>
      </c>
      <c r="BG102" t="str">
        <f>IF(OR($A102="",S102="",MEMORIA_RESULTADOS!$I$262=""),"",ROUND(S102*$C102*(MEMORIA_RESULTADOS!$I$262-1),2))</f>
        <v/>
      </c>
      <c r="BH102" t="str">
        <f>IF(OR($A102="",BF102="",MEMORIA_RESULTADOS!$I$262=""),"",ROUND(BF102*$C102*(parametros!$F$6-MEMORIA_RESULTADOS!$I$262),2))</f>
        <v/>
      </c>
      <c r="BI102" t="str">
        <f>IF($A102="","",IF(posicao_contratual!$AL102="","",posicao_contratual!$AL102))</f>
        <v/>
      </c>
    </row>
    <row r="103" spans="1:61" x14ac:dyDescent="0.35">
      <c r="A103" s="81"/>
      <c r="B103" s="82" t="str">
        <f t="shared" si="23"/>
        <v/>
      </c>
      <c r="C103" s="83"/>
      <c r="D103" s="79" t="str">
        <f>IF(AND(A103="",A102&lt;&gt;"",COUNTIF(A104:$A$200,"&lt;&gt;")=0),ROUND(SUMIF($A$2:A102,"&lt;&gt;",$D$2:D102),2),IF(OR(A103="",B103="",C103=""),"",ROUND(B103*C103,2)))</f>
        <v/>
      </c>
      <c r="E103" s="84"/>
      <c r="F103" s="79" t="str">
        <f>IF(AND(A103="",A102&lt;&gt;"",COUNTIF(A104:$A$200,"&lt;&gt;")=0),IF(COUNT(F$2:F102)=0,"",ROUND(SUMIF($A$2:A102,"&lt;&gt;",F$2:F102),2)),IF(OR(A103="",AND(ISNUMBER(posicao_contratual!$AL103),posicao_contratual!$AL103&gt;1),posicao_contratual!K103="",NOT(ISNUMBER(historico_VU!D103))),"",ROUND(posicao_contratual!K103*historico_VU!D103,2)))</f>
        <v/>
      </c>
      <c r="G103" s="84"/>
      <c r="H103" s="79" t="str">
        <f>IF(AND(A103="",A102&lt;&gt;"",COUNTIF(A104:$A$200,"&lt;&gt;")=0),IF(COUNT(H$2:H102)=0,"",ROUND(SUMIF($A$2:A102,"&lt;&gt;",H$2:H102),2)),IF(OR(A103="",AND(ISNUMBER(posicao_contratual!$AL103),posicao_contratual!$AL103&gt;2),posicao_contratual!O103="",NOT(ISNUMBER(historico_VU!E103))),"",ROUND(posicao_contratual!O103*historico_VU!E103,2)))</f>
        <v/>
      </c>
      <c r="I103" s="84"/>
      <c r="J103" s="79" t="str">
        <f>IF(AND(A103="",A102&lt;&gt;"",COUNTIF(A104:$A$200,"&lt;&gt;")=0),IF(COUNT(J$2:J102)=0,"",ROUND(SUMIF($A$2:A102,"&lt;&gt;",J$2:J102),2)),IF(OR(A103="",AND(ISNUMBER(posicao_contratual!$AL103),posicao_contratual!$AL103&gt;3),posicao_contratual!S103="",NOT(ISNUMBER(historico_VU!F103))),"",ROUND(posicao_contratual!S103*historico_VU!F103,2)))</f>
        <v/>
      </c>
      <c r="K103" s="84"/>
      <c r="L103" s="79" t="str">
        <f>IF(AND(A103="",A102&lt;&gt;"",COUNTIF(A104:$A$200,"&lt;&gt;")=0),IF(COUNT(L$2:L102)=0,"",ROUND(SUMIF($A$2:A102,"&lt;&gt;",L$2:L102),2)),IF(OR(A103="",AND(ISNUMBER(posicao_contratual!$AL103),posicao_contratual!$AL103&gt;4),posicao_contratual!W103="",NOT(ISNUMBER(historico_VU!G103))),"",ROUND(posicao_contratual!W103*historico_VU!G103,2)))</f>
        <v/>
      </c>
      <c r="M103" s="85" t="str">
        <f>IF(OR(posicao_contratual!J103="",posicao_contratual!N103=""),"",ROUND(MAX(posicao_contratual!J103+posicao_contratual!H103-posicao_contratual!N103,0),2))</f>
        <v/>
      </c>
      <c r="N103" s="79" t="str">
        <f>IF(AND(A103="",A102&lt;&gt;"",COUNTIF(A104:$A$200,"&lt;&gt;")=0),IF(COUNT(N$2:N102)=0,"",ROUND(SUMIF($A$2:A102,"&lt;&gt;",N$2:N102),2)),IF(OR(M103="",NOT(ISNUMBER(historico_VU!D103))),"",ROUND(M103*historico_VU!D103,2)))</f>
        <v/>
      </c>
      <c r="O103" s="85" t="str">
        <f>IF(OR(posicao_contratual!N103="",posicao_contratual!R103=""),"",ROUND(MAX(posicao_contratual!N103+posicao_contratual!L103-posicao_contratual!R103,0),2))</f>
        <v/>
      </c>
      <c r="P103" s="79" t="str">
        <f>IF(AND(A103="",A102&lt;&gt;"",COUNTIF(A104:$A$200,"&lt;&gt;")=0),IF(COUNT(P$2:P102)=0,"",ROUND(SUMIF($A$2:A102,"&lt;&gt;",P$2:P102),2)),IF(OR(O103="",NOT(ISNUMBER(historico_VU!E103))),"",ROUND(O103*historico_VU!E103,2)))</f>
        <v/>
      </c>
      <c r="Q103" s="85" t="str">
        <f>IF(OR(posicao_contratual!R103="",posicao_contratual!V103=""),"",ROUND(MAX(posicao_contratual!R103+posicao_contratual!P103-posicao_contratual!V103,0),2))</f>
        <v/>
      </c>
      <c r="R103" s="79" t="str">
        <f>IF(AND(A103="",A102&lt;&gt;"",COUNTIF(A104:$A$200,"&lt;&gt;")=0),IF(COUNT(R$2:R102)=0,"",ROUND(SUMIF($A$2:A102,"&lt;&gt;",R$2:R102),2)),IF(OR(Q103="",NOT(ISNUMBER(historico_VU!F103))),"",ROUND(Q103*historico_VU!F103,2)))</f>
        <v/>
      </c>
      <c r="S103" s="38"/>
      <c r="T103" s="39" t="str">
        <f>IF(AND(A103="",A102&lt;&gt;"",COUNTIF(A104:$A$200,"&lt;&gt;")=0),IF(COUNT(T$2:T102)=0,"",ROUND(SUMIF($A$2:A102,"&lt;&gt;",T$2:T102),2)),IF(OR(S103="",NOT(ISNUMBER(historico_VU!G103))),"",ROUND(S103*historico_VU!G103,2)))</f>
        <v/>
      </c>
      <c r="U103" s="86" t="str">
        <f>IF(AND(A103="",A102&lt;&gt;"",COUNTIF(A104:$A$200,"&lt;&gt;")=0),"TOTAL",IF(A103="","",posicao_contratual!X103))</f>
        <v/>
      </c>
      <c r="V103" s="86" t="str">
        <f>IF(A103="","",posicao_contratual!X103)</f>
        <v/>
      </c>
      <c r="W103" s="13"/>
      <c r="X103" s="13"/>
      <c r="Y103" s="13"/>
      <c r="Z103" s="13"/>
      <c r="AA103" s="13"/>
      <c r="AB103" s="85" t="str">
        <f>IF(OR(A103="",posicao_contratual!E103="",posicao_contratual!J103=""),"",ROUND(MAX(posicao_contratual!E103-posicao_contratual!J103,0),2))</f>
        <v/>
      </c>
      <c r="AC103" s="79" t="str">
        <f>IF(AND(A103="",A102&lt;&gt;"",COUNTIF(A104:$A$200,"&lt;&gt;")=0),IF(COUNT(AC$2:AC102)=0,"",ROUND(SUMIF($A$2:A102,"&lt;&gt;",AC$2:AC102),2)),IF(OR(AB103="",NOT(ISNUMBER(historico_VU!C103))),"",ROUND(AB103*historico_VU!C103,2)))</f>
        <v/>
      </c>
      <c r="AD103" s="145" t="str">
        <f>IF(A103="","",posicao_contratual!E103)</f>
        <v/>
      </c>
      <c r="AE103" s="145" t="str">
        <f>IF(A103="","",posicao_contratual!I103)</f>
        <v/>
      </c>
      <c r="AF103" s="145" t="str">
        <f>IF(A103="","",posicao_contratual!M103)</f>
        <v/>
      </c>
      <c r="AG103" s="145" t="str">
        <f>IF(A103="","",posicao_contratual!Q103)</f>
        <v/>
      </c>
      <c r="AH103" s="145" t="str">
        <f>IF(A103="","",posicao_contratual!U103)</f>
        <v/>
      </c>
      <c r="AI103" s="145" t="str">
        <f>IF(A103="","",posicao_contratual!G103)</f>
        <v/>
      </c>
      <c r="AJ103" s="145" t="str">
        <f>IF(A103="","",posicao_contratual!K103)</f>
        <v/>
      </c>
      <c r="AK103" s="145" t="str">
        <f>IF(A103="","",posicao_contratual!O103)</f>
        <v/>
      </c>
      <c r="AL103" s="145" t="str">
        <f>IF(A103="","",posicao_contratual!S103)</f>
        <v/>
      </c>
      <c r="AM103" s="145" t="str">
        <f>IF(A103="","",posicao_contratual!W103)</f>
        <v/>
      </c>
      <c r="AN103" s="146" t="str">
        <f>IF(A103="","",posicao_contratual!X103)</f>
        <v/>
      </c>
      <c r="AO103" t="str">
        <f>IF($A103="","",ROUND(SUMIFS(itens_Consumidos!$E$2:$E$200,itens_Consumidos!$A$2:$A$200,$A103),2))</f>
        <v/>
      </c>
      <c r="AP103" t="str">
        <f t="shared" si="18"/>
        <v/>
      </c>
      <c r="AQ103" t="str">
        <f>IF(OR($A103="",AB103="",MEMORIA_RESULTADOS!$I$258=""),"",ROUND(AB103*$C103*(MEMORIA_RESULTADOS!$I$258-1),2))</f>
        <v/>
      </c>
      <c r="AR103" t="str">
        <f>IF(OR($A103="",AP103="",MEMORIA_RESULTADOS!$I$258=""),"",ROUND(AP103*$C103*(parametros!$F$2-MEMORIA_RESULTADOS!$I$258),2))</f>
        <v/>
      </c>
      <c r="AS103" t="str">
        <f>IF($A103="","",ROUND(SUMIFS(itens_Consumidos!$G$2:$G$200,itens_Consumidos!$A$2:$A$200,$A103),2))</f>
        <v/>
      </c>
      <c r="AT103" t="str">
        <f t="shared" si="19"/>
        <v/>
      </c>
      <c r="AU103" t="str">
        <f>IF(OR($A103="",M103="",MEMORIA_RESULTADOS!$I$259=""),"",ROUND(M103*$C103*(MEMORIA_RESULTADOS!$I$259-1),2))</f>
        <v/>
      </c>
      <c r="AV103" t="str">
        <f>IF(OR($A103="",AT103="",MEMORIA_RESULTADOS!$I$259=""),"",ROUND(AT103*$C103*(parametros!$F$3-MEMORIA_RESULTADOS!$I$259),2))</f>
        <v/>
      </c>
      <c r="AW103" t="str">
        <f>IF($A103="","",ROUND(SUMIFS(itens_Consumidos!$I$2:$I$200,itens_Consumidos!$A$2:$A$200,$A103),2))</f>
        <v/>
      </c>
      <c r="AX103" t="str">
        <f t="shared" si="20"/>
        <v/>
      </c>
      <c r="AY103" t="str">
        <f>IF(OR($A103="",O103="",MEMORIA_RESULTADOS!$I$260=""),"",ROUND(O103*$C103*(MEMORIA_RESULTADOS!$I$260-1),2))</f>
        <v/>
      </c>
      <c r="AZ103" t="str">
        <f>IF(OR($A103="",AX103="",MEMORIA_RESULTADOS!$I$260=""),"",ROUND(AX103*$C103*(parametros!$F$4-MEMORIA_RESULTADOS!$I$260),2))</f>
        <v/>
      </c>
      <c r="BA103" t="str">
        <f>IF($A103="","",ROUND(SUMIFS(itens_Consumidos!$K$2:$K$200,itens_Consumidos!$A$2:$A$200,$A103),2))</f>
        <v/>
      </c>
      <c r="BB103" t="str">
        <f t="shared" si="21"/>
        <v/>
      </c>
      <c r="BC103" t="str">
        <f>IF(OR($A103="",Q103="",MEMORIA_RESULTADOS!$I$261=""),"",ROUND(Q103*$C103*(MEMORIA_RESULTADOS!$I$261-1),2))</f>
        <v/>
      </c>
      <c r="BD103" t="str">
        <f>IF(OR($A103="",BB103="",MEMORIA_RESULTADOS!$I$261=""),"",ROUND(BB103*$C103*(parametros!$F$5-MEMORIA_RESULTADOS!$I$261),2))</f>
        <v/>
      </c>
      <c r="BE103" t="str">
        <f>IF($A103="","",ROUND(SUMIFS(itens_Consumidos!$M$2:$M$200,itens_Consumidos!$A$2:$A$200,$A103),2))</f>
        <v/>
      </c>
      <c r="BF103" t="str">
        <f t="shared" si="22"/>
        <v/>
      </c>
      <c r="BG103" t="str">
        <f>IF(OR($A103="",S103="",MEMORIA_RESULTADOS!$I$262=""),"",ROUND(S103*$C103*(MEMORIA_RESULTADOS!$I$262-1),2))</f>
        <v/>
      </c>
      <c r="BH103" t="str">
        <f>IF(OR($A103="",BF103="",MEMORIA_RESULTADOS!$I$262=""),"",ROUND(BF103*$C103*(parametros!$F$6-MEMORIA_RESULTADOS!$I$262),2))</f>
        <v/>
      </c>
      <c r="BI103" t="str">
        <f>IF($A103="","",IF(posicao_contratual!$AL103="","",posicao_contratual!$AL103))</f>
        <v/>
      </c>
    </row>
    <row r="104" spans="1:61" x14ac:dyDescent="0.35">
      <c r="A104" s="81"/>
      <c r="B104" s="82" t="str">
        <f t="shared" si="23"/>
        <v/>
      </c>
      <c r="C104" s="83"/>
      <c r="D104" s="79" t="str">
        <f>IF(AND(A104="",A103&lt;&gt;"",COUNTIF(A105:$A$200,"&lt;&gt;")=0),ROUND(SUMIF($A$2:A103,"&lt;&gt;",$D$2:D103),2),IF(OR(A104="",B104="",C104=""),"",ROUND(B104*C104,2)))</f>
        <v/>
      </c>
      <c r="E104" s="84"/>
      <c r="F104" s="79" t="str">
        <f>IF(AND(A104="",A103&lt;&gt;"",COUNTIF(A105:$A$200,"&lt;&gt;")=0),IF(COUNT(F$2:F103)=0,"",ROUND(SUMIF($A$2:A103,"&lt;&gt;",F$2:F103),2)),IF(OR(A104="",AND(ISNUMBER(posicao_contratual!$AL104),posicao_contratual!$AL104&gt;1),posicao_contratual!K104="",NOT(ISNUMBER(historico_VU!D104))),"",ROUND(posicao_contratual!K104*historico_VU!D104,2)))</f>
        <v/>
      </c>
      <c r="G104" s="84"/>
      <c r="H104" s="79" t="str">
        <f>IF(AND(A104="",A103&lt;&gt;"",COUNTIF(A105:$A$200,"&lt;&gt;")=0),IF(COUNT(H$2:H103)=0,"",ROUND(SUMIF($A$2:A103,"&lt;&gt;",H$2:H103),2)),IF(OR(A104="",AND(ISNUMBER(posicao_contratual!$AL104),posicao_contratual!$AL104&gt;2),posicao_contratual!O104="",NOT(ISNUMBER(historico_VU!E104))),"",ROUND(posicao_contratual!O104*historico_VU!E104,2)))</f>
        <v/>
      </c>
      <c r="I104" s="84"/>
      <c r="J104" s="79" t="str">
        <f>IF(AND(A104="",A103&lt;&gt;"",COUNTIF(A105:$A$200,"&lt;&gt;")=0),IF(COUNT(J$2:J103)=0,"",ROUND(SUMIF($A$2:A103,"&lt;&gt;",J$2:J103),2)),IF(OR(A104="",AND(ISNUMBER(posicao_contratual!$AL104),posicao_contratual!$AL104&gt;3),posicao_contratual!S104="",NOT(ISNUMBER(historico_VU!F104))),"",ROUND(posicao_contratual!S104*historico_VU!F104,2)))</f>
        <v/>
      </c>
      <c r="K104" s="84"/>
      <c r="L104" s="79" t="str">
        <f>IF(AND(A104="",A103&lt;&gt;"",COUNTIF(A105:$A$200,"&lt;&gt;")=0),IF(COUNT(L$2:L103)=0,"",ROUND(SUMIF($A$2:A103,"&lt;&gt;",L$2:L103),2)),IF(OR(A104="",AND(ISNUMBER(posicao_contratual!$AL104),posicao_contratual!$AL104&gt;4),posicao_contratual!W104="",NOT(ISNUMBER(historico_VU!G104))),"",ROUND(posicao_contratual!W104*historico_VU!G104,2)))</f>
        <v/>
      </c>
      <c r="M104" s="85" t="str">
        <f>IF(OR(posicao_contratual!J104="",posicao_contratual!N104=""),"",ROUND(MAX(posicao_contratual!J104+posicao_contratual!H104-posicao_contratual!N104,0),2))</f>
        <v/>
      </c>
      <c r="N104" s="79" t="str">
        <f>IF(AND(A104="",A103&lt;&gt;"",COUNTIF(A105:$A$200,"&lt;&gt;")=0),IF(COUNT(N$2:N103)=0,"",ROUND(SUMIF($A$2:A103,"&lt;&gt;",N$2:N103),2)),IF(OR(M104="",NOT(ISNUMBER(historico_VU!D104))),"",ROUND(M104*historico_VU!D104,2)))</f>
        <v/>
      </c>
      <c r="O104" s="85" t="str">
        <f>IF(OR(posicao_contratual!N104="",posicao_contratual!R104=""),"",ROUND(MAX(posicao_contratual!N104+posicao_contratual!L104-posicao_contratual!R104,0),2))</f>
        <v/>
      </c>
      <c r="P104" s="79" t="str">
        <f>IF(AND(A104="",A103&lt;&gt;"",COUNTIF(A105:$A$200,"&lt;&gt;")=0),IF(COUNT(P$2:P103)=0,"",ROUND(SUMIF($A$2:A103,"&lt;&gt;",P$2:P103),2)),IF(OR(O104="",NOT(ISNUMBER(historico_VU!E104))),"",ROUND(O104*historico_VU!E104,2)))</f>
        <v/>
      </c>
      <c r="Q104" s="85" t="str">
        <f>IF(OR(posicao_contratual!R104="",posicao_contratual!V104=""),"",ROUND(MAX(posicao_contratual!R104+posicao_contratual!P104-posicao_contratual!V104,0),2))</f>
        <v/>
      </c>
      <c r="R104" s="79" t="str">
        <f>IF(AND(A104="",A103&lt;&gt;"",COUNTIF(A105:$A$200,"&lt;&gt;")=0),IF(COUNT(R$2:R103)=0,"",ROUND(SUMIF($A$2:A103,"&lt;&gt;",R$2:R103),2)),IF(OR(Q104="",NOT(ISNUMBER(historico_VU!F104))),"",ROUND(Q104*historico_VU!F104,2)))</f>
        <v/>
      </c>
      <c r="S104" s="38"/>
      <c r="T104" s="39" t="str">
        <f>IF(AND(A104="",A103&lt;&gt;"",COUNTIF(A105:$A$200,"&lt;&gt;")=0),IF(COUNT(T$2:T103)=0,"",ROUND(SUMIF($A$2:A103,"&lt;&gt;",T$2:T103),2)),IF(OR(S104="",NOT(ISNUMBER(historico_VU!G104))),"",ROUND(S104*historico_VU!G104,2)))</f>
        <v/>
      </c>
      <c r="U104" s="86" t="str">
        <f>IF(AND(A104="",A103&lt;&gt;"",COUNTIF(A105:$A$200,"&lt;&gt;")=0),"TOTAL",IF(A104="","",posicao_contratual!X104))</f>
        <v/>
      </c>
      <c r="V104" s="86" t="str">
        <f>IF(A104="","",posicao_contratual!X104)</f>
        <v/>
      </c>
      <c r="W104" s="13"/>
      <c r="X104" s="13"/>
      <c r="Y104" s="13"/>
      <c r="Z104" s="13"/>
      <c r="AA104" s="13"/>
      <c r="AB104" s="85" t="str">
        <f>IF(OR(A104="",posicao_contratual!E104="",posicao_contratual!J104=""),"",ROUND(MAX(posicao_contratual!E104-posicao_contratual!J104,0),2))</f>
        <v/>
      </c>
      <c r="AC104" s="79" t="str">
        <f>IF(AND(A104="",A103&lt;&gt;"",COUNTIF(A105:$A$200,"&lt;&gt;")=0),IF(COUNT(AC$2:AC103)=0,"",ROUND(SUMIF($A$2:A103,"&lt;&gt;",AC$2:AC103),2)),IF(OR(AB104="",NOT(ISNUMBER(historico_VU!C104))),"",ROUND(AB104*historico_VU!C104,2)))</f>
        <v/>
      </c>
      <c r="AD104" s="145" t="str">
        <f>IF(A104="","",posicao_contratual!E104)</f>
        <v/>
      </c>
      <c r="AE104" s="145" t="str">
        <f>IF(A104="","",posicao_contratual!I104)</f>
        <v/>
      </c>
      <c r="AF104" s="145" t="str">
        <f>IF(A104="","",posicao_contratual!M104)</f>
        <v/>
      </c>
      <c r="AG104" s="145" t="str">
        <f>IF(A104="","",posicao_contratual!Q104)</f>
        <v/>
      </c>
      <c r="AH104" s="145" t="str">
        <f>IF(A104="","",posicao_contratual!U104)</f>
        <v/>
      </c>
      <c r="AI104" s="145" t="str">
        <f>IF(A104="","",posicao_contratual!G104)</f>
        <v/>
      </c>
      <c r="AJ104" s="145" t="str">
        <f>IF(A104="","",posicao_contratual!K104)</f>
        <v/>
      </c>
      <c r="AK104" s="145" t="str">
        <f>IF(A104="","",posicao_contratual!O104)</f>
        <v/>
      </c>
      <c r="AL104" s="145" t="str">
        <f>IF(A104="","",posicao_contratual!S104)</f>
        <v/>
      </c>
      <c r="AM104" s="145" t="str">
        <f>IF(A104="","",posicao_contratual!W104)</f>
        <v/>
      </c>
      <c r="AN104" s="146" t="str">
        <f>IF(A104="","",posicao_contratual!X104)</f>
        <v/>
      </c>
      <c r="AO104" t="str">
        <f>IF($A104="","",ROUND(SUMIFS(itens_Consumidos!$E$2:$E$200,itens_Consumidos!$A$2:$A$200,$A104),2))</f>
        <v/>
      </c>
      <c r="AP104" t="str">
        <f t="shared" si="18"/>
        <v/>
      </c>
      <c r="AQ104" t="str">
        <f>IF(OR($A104="",AB104="",MEMORIA_RESULTADOS!$I$258=""),"",ROUND(AB104*$C104*(MEMORIA_RESULTADOS!$I$258-1),2))</f>
        <v/>
      </c>
      <c r="AR104" t="str">
        <f>IF(OR($A104="",AP104="",MEMORIA_RESULTADOS!$I$258=""),"",ROUND(AP104*$C104*(parametros!$F$2-MEMORIA_RESULTADOS!$I$258),2))</f>
        <v/>
      </c>
      <c r="AS104" t="str">
        <f>IF($A104="","",ROUND(SUMIFS(itens_Consumidos!$G$2:$G$200,itens_Consumidos!$A$2:$A$200,$A104),2))</f>
        <v/>
      </c>
      <c r="AT104" t="str">
        <f t="shared" si="19"/>
        <v/>
      </c>
      <c r="AU104" t="str">
        <f>IF(OR($A104="",M104="",MEMORIA_RESULTADOS!$I$259=""),"",ROUND(M104*$C104*(MEMORIA_RESULTADOS!$I$259-1),2))</f>
        <v/>
      </c>
      <c r="AV104" t="str">
        <f>IF(OR($A104="",AT104="",MEMORIA_RESULTADOS!$I$259=""),"",ROUND(AT104*$C104*(parametros!$F$3-MEMORIA_RESULTADOS!$I$259),2))</f>
        <v/>
      </c>
      <c r="AW104" t="str">
        <f>IF($A104="","",ROUND(SUMIFS(itens_Consumidos!$I$2:$I$200,itens_Consumidos!$A$2:$A$200,$A104),2))</f>
        <v/>
      </c>
      <c r="AX104" t="str">
        <f t="shared" si="20"/>
        <v/>
      </c>
      <c r="AY104" t="str">
        <f>IF(OR($A104="",O104="",MEMORIA_RESULTADOS!$I$260=""),"",ROUND(O104*$C104*(MEMORIA_RESULTADOS!$I$260-1),2))</f>
        <v/>
      </c>
      <c r="AZ104" t="str">
        <f>IF(OR($A104="",AX104="",MEMORIA_RESULTADOS!$I$260=""),"",ROUND(AX104*$C104*(parametros!$F$4-MEMORIA_RESULTADOS!$I$260),2))</f>
        <v/>
      </c>
      <c r="BA104" t="str">
        <f>IF($A104="","",ROUND(SUMIFS(itens_Consumidos!$K$2:$K$200,itens_Consumidos!$A$2:$A$200,$A104),2))</f>
        <v/>
      </c>
      <c r="BB104" t="str">
        <f t="shared" si="21"/>
        <v/>
      </c>
      <c r="BC104" t="str">
        <f>IF(OR($A104="",Q104="",MEMORIA_RESULTADOS!$I$261=""),"",ROUND(Q104*$C104*(MEMORIA_RESULTADOS!$I$261-1),2))</f>
        <v/>
      </c>
      <c r="BD104" t="str">
        <f>IF(OR($A104="",BB104="",MEMORIA_RESULTADOS!$I$261=""),"",ROUND(BB104*$C104*(parametros!$F$5-MEMORIA_RESULTADOS!$I$261),2))</f>
        <v/>
      </c>
      <c r="BE104" t="str">
        <f>IF($A104="","",ROUND(SUMIFS(itens_Consumidos!$M$2:$M$200,itens_Consumidos!$A$2:$A$200,$A104),2))</f>
        <v/>
      </c>
      <c r="BF104" t="str">
        <f t="shared" si="22"/>
        <v/>
      </c>
      <c r="BG104" t="str">
        <f>IF(OR($A104="",S104="",MEMORIA_RESULTADOS!$I$262=""),"",ROUND(S104*$C104*(MEMORIA_RESULTADOS!$I$262-1),2))</f>
        <v/>
      </c>
      <c r="BH104" t="str">
        <f>IF(OR($A104="",BF104="",MEMORIA_RESULTADOS!$I$262=""),"",ROUND(BF104*$C104*(parametros!$F$6-MEMORIA_RESULTADOS!$I$262),2))</f>
        <v/>
      </c>
      <c r="BI104" t="str">
        <f>IF($A104="","",IF(posicao_contratual!$AL104="","",posicao_contratual!$AL104))</f>
        <v/>
      </c>
    </row>
    <row r="105" spans="1:61" x14ac:dyDescent="0.35">
      <c r="A105" s="81"/>
      <c r="B105" s="82" t="str">
        <f t="shared" si="23"/>
        <v/>
      </c>
      <c r="C105" s="83"/>
      <c r="D105" s="79" t="str">
        <f>IF(AND(A105="",A104&lt;&gt;"",COUNTIF(A106:$A$200,"&lt;&gt;")=0),ROUND(SUMIF($A$2:A104,"&lt;&gt;",$D$2:D104),2),IF(OR(A105="",B105="",C105=""),"",ROUND(B105*C105,2)))</f>
        <v/>
      </c>
      <c r="E105" s="84"/>
      <c r="F105" s="79" t="str">
        <f>IF(AND(A105="",A104&lt;&gt;"",COUNTIF(A106:$A$200,"&lt;&gt;")=0),IF(COUNT(F$2:F104)=0,"",ROUND(SUMIF($A$2:A104,"&lt;&gt;",F$2:F104),2)),IF(OR(A105="",AND(ISNUMBER(posicao_contratual!$AL105),posicao_contratual!$AL105&gt;1),posicao_contratual!K105="",NOT(ISNUMBER(historico_VU!D105))),"",ROUND(posicao_contratual!K105*historico_VU!D105,2)))</f>
        <v/>
      </c>
      <c r="G105" s="84"/>
      <c r="H105" s="79" t="str">
        <f>IF(AND(A105="",A104&lt;&gt;"",COUNTIF(A106:$A$200,"&lt;&gt;")=0),IF(COUNT(H$2:H104)=0,"",ROUND(SUMIF($A$2:A104,"&lt;&gt;",H$2:H104),2)),IF(OR(A105="",AND(ISNUMBER(posicao_contratual!$AL105),posicao_contratual!$AL105&gt;2),posicao_contratual!O105="",NOT(ISNUMBER(historico_VU!E105))),"",ROUND(posicao_contratual!O105*historico_VU!E105,2)))</f>
        <v/>
      </c>
      <c r="I105" s="84"/>
      <c r="J105" s="79" t="str">
        <f>IF(AND(A105="",A104&lt;&gt;"",COUNTIF(A106:$A$200,"&lt;&gt;")=0),IF(COUNT(J$2:J104)=0,"",ROUND(SUMIF($A$2:A104,"&lt;&gt;",J$2:J104),2)),IF(OR(A105="",AND(ISNUMBER(posicao_contratual!$AL105),posicao_contratual!$AL105&gt;3),posicao_contratual!S105="",NOT(ISNUMBER(historico_VU!F105))),"",ROUND(posicao_contratual!S105*historico_VU!F105,2)))</f>
        <v/>
      </c>
      <c r="K105" s="84"/>
      <c r="L105" s="79" t="str">
        <f>IF(AND(A105="",A104&lt;&gt;"",COUNTIF(A106:$A$200,"&lt;&gt;")=0),IF(COUNT(L$2:L104)=0,"",ROUND(SUMIF($A$2:A104,"&lt;&gt;",L$2:L104),2)),IF(OR(A105="",AND(ISNUMBER(posicao_contratual!$AL105),posicao_contratual!$AL105&gt;4),posicao_contratual!W105="",NOT(ISNUMBER(historico_VU!G105))),"",ROUND(posicao_contratual!W105*historico_VU!G105,2)))</f>
        <v/>
      </c>
      <c r="M105" s="85" t="str">
        <f>IF(OR(posicao_contratual!J105="",posicao_contratual!N105=""),"",ROUND(MAX(posicao_contratual!J105+posicao_contratual!H105-posicao_contratual!N105,0),2))</f>
        <v/>
      </c>
      <c r="N105" s="79" t="str">
        <f>IF(AND(A105="",A104&lt;&gt;"",COUNTIF(A106:$A$200,"&lt;&gt;")=0),IF(COUNT(N$2:N104)=0,"",ROUND(SUMIF($A$2:A104,"&lt;&gt;",N$2:N104),2)),IF(OR(M105="",NOT(ISNUMBER(historico_VU!D105))),"",ROUND(M105*historico_VU!D105,2)))</f>
        <v/>
      </c>
      <c r="O105" s="85" t="str">
        <f>IF(OR(posicao_contratual!N105="",posicao_contratual!R105=""),"",ROUND(MAX(posicao_contratual!N105+posicao_contratual!L105-posicao_contratual!R105,0),2))</f>
        <v/>
      </c>
      <c r="P105" s="79" t="str">
        <f>IF(AND(A105="",A104&lt;&gt;"",COUNTIF(A106:$A$200,"&lt;&gt;")=0),IF(COUNT(P$2:P104)=0,"",ROUND(SUMIF($A$2:A104,"&lt;&gt;",P$2:P104),2)),IF(OR(O105="",NOT(ISNUMBER(historico_VU!E105))),"",ROUND(O105*historico_VU!E105,2)))</f>
        <v/>
      </c>
      <c r="Q105" s="85" t="str">
        <f>IF(OR(posicao_contratual!R105="",posicao_contratual!V105=""),"",ROUND(MAX(posicao_contratual!R105+posicao_contratual!P105-posicao_contratual!V105,0),2))</f>
        <v/>
      </c>
      <c r="R105" s="79" t="str">
        <f>IF(AND(A105="",A104&lt;&gt;"",COUNTIF(A106:$A$200,"&lt;&gt;")=0),IF(COUNT(R$2:R104)=0,"",ROUND(SUMIF($A$2:A104,"&lt;&gt;",R$2:R104),2)),IF(OR(Q105="",NOT(ISNUMBER(historico_VU!F105))),"",ROUND(Q105*historico_VU!F105,2)))</f>
        <v/>
      </c>
      <c r="S105" s="38"/>
      <c r="T105" s="39" t="str">
        <f>IF(AND(A105="",A104&lt;&gt;"",COUNTIF(A106:$A$200,"&lt;&gt;")=0),IF(COUNT(T$2:T104)=0,"",ROUND(SUMIF($A$2:A104,"&lt;&gt;",T$2:T104),2)),IF(OR(S105="",NOT(ISNUMBER(historico_VU!G105))),"",ROUND(S105*historico_VU!G105,2)))</f>
        <v/>
      </c>
      <c r="U105" s="86" t="str">
        <f>IF(AND(A105="",A104&lt;&gt;"",COUNTIF(A106:$A$200,"&lt;&gt;")=0),"TOTAL",IF(A105="","",posicao_contratual!X105))</f>
        <v/>
      </c>
      <c r="V105" s="86" t="str">
        <f>IF(A105="","",posicao_contratual!X105)</f>
        <v/>
      </c>
      <c r="W105" s="13"/>
      <c r="X105" s="13"/>
      <c r="Y105" s="13"/>
      <c r="Z105" s="13"/>
      <c r="AA105" s="13"/>
      <c r="AB105" s="85" t="str">
        <f>IF(OR(A105="",posicao_contratual!E105="",posicao_contratual!J105=""),"",ROUND(MAX(posicao_contratual!E105-posicao_contratual!J105,0),2))</f>
        <v/>
      </c>
      <c r="AC105" s="79" t="str">
        <f>IF(AND(A105="",A104&lt;&gt;"",COUNTIF(A106:$A$200,"&lt;&gt;")=0),IF(COUNT(AC$2:AC104)=0,"",ROUND(SUMIF($A$2:A104,"&lt;&gt;",AC$2:AC104),2)),IF(OR(AB105="",NOT(ISNUMBER(historico_VU!C105))),"",ROUND(AB105*historico_VU!C105,2)))</f>
        <v/>
      </c>
      <c r="AD105" s="145" t="str">
        <f>IF(A105="","",posicao_contratual!E105)</f>
        <v/>
      </c>
      <c r="AE105" s="145" t="str">
        <f>IF(A105="","",posicao_contratual!I105)</f>
        <v/>
      </c>
      <c r="AF105" s="145" t="str">
        <f>IF(A105="","",posicao_contratual!M105)</f>
        <v/>
      </c>
      <c r="AG105" s="145" t="str">
        <f>IF(A105="","",posicao_contratual!Q105)</f>
        <v/>
      </c>
      <c r="AH105" s="145" t="str">
        <f>IF(A105="","",posicao_contratual!U105)</f>
        <v/>
      </c>
      <c r="AI105" s="145" t="str">
        <f>IF(A105="","",posicao_contratual!G105)</f>
        <v/>
      </c>
      <c r="AJ105" s="145" t="str">
        <f>IF(A105="","",posicao_contratual!K105)</f>
        <v/>
      </c>
      <c r="AK105" s="145" t="str">
        <f>IF(A105="","",posicao_contratual!O105)</f>
        <v/>
      </c>
      <c r="AL105" s="145" t="str">
        <f>IF(A105="","",posicao_contratual!S105)</f>
        <v/>
      </c>
      <c r="AM105" s="145" t="str">
        <f>IF(A105="","",posicao_contratual!W105)</f>
        <v/>
      </c>
      <c r="AN105" s="146" t="str">
        <f>IF(A105="","",posicao_contratual!X105)</f>
        <v/>
      </c>
      <c r="AO105" t="str">
        <f>IF($A105="","",ROUND(SUMIFS(itens_Consumidos!$E$2:$E$200,itens_Consumidos!$A$2:$A$200,$A105),2))</f>
        <v/>
      </c>
      <c r="AP105" t="str">
        <f t="shared" si="18"/>
        <v/>
      </c>
      <c r="AQ105" t="str">
        <f>IF(OR($A105="",AB105="",MEMORIA_RESULTADOS!$I$258=""),"",ROUND(AB105*$C105*(MEMORIA_RESULTADOS!$I$258-1),2))</f>
        <v/>
      </c>
      <c r="AR105" t="str">
        <f>IF(OR($A105="",AP105="",MEMORIA_RESULTADOS!$I$258=""),"",ROUND(AP105*$C105*(parametros!$F$2-MEMORIA_RESULTADOS!$I$258),2))</f>
        <v/>
      </c>
      <c r="AS105" t="str">
        <f>IF($A105="","",ROUND(SUMIFS(itens_Consumidos!$G$2:$G$200,itens_Consumidos!$A$2:$A$200,$A105),2))</f>
        <v/>
      </c>
      <c r="AT105" t="str">
        <f t="shared" si="19"/>
        <v/>
      </c>
      <c r="AU105" t="str">
        <f>IF(OR($A105="",M105="",MEMORIA_RESULTADOS!$I$259=""),"",ROUND(M105*$C105*(MEMORIA_RESULTADOS!$I$259-1),2))</f>
        <v/>
      </c>
      <c r="AV105" t="str">
        <f>IF(OR($A105="",AT105="",MEMORIA_RESULTADOS!$I$259=""),"",ROUND(AT105*$C105*(parametros!$F$3-MEMORIA_RESULTADOS!$I$259),2))</f>
        <v/>
      </c>
      <c r="AW105" t="str">
        <f>IF($A105="","",ROUND(SUMIFS(itens_Consumidos!$I$2:$I$200,itens_Consumidos!$A$2:$A$200,$A105),2))</f>
        <v/>
      </c>
      <c r="AX105" t="str">
        <f t="shared" si="20"/>
        <v/>
      </c>
      <c r="AY105" t="str">
        <f>IF(OR($A105="",O105="",MEMORIA_RESULTADOS!$I$260=""),"",ROUND(O105*$C105*(MEMORIA_RESULTADOS!$I$260-1),2))</f>
        <v/>
      </c>
      <c r="AZ105" t="str">
        <f>IF(OR($A105="",AX105="",MEMORIA_RESULTADOS!$I$260=""),"",ROUND(AX105*$C105*(parametros!$F$4-MEMORIA_RESULTADOS!$I$260),2))</f>
        <v/>
      </c>
      <c r="BA105" t="str">
        <f>IF($A105="","",ROUND(SUMIFS(itens_Consumidos!$K$2:$K$200,itens_Consumidos!$A$2:$A$200,$A105),2))</f>
        <v/>
      </c>
      <c r="BB105" t="str">
        <f t="shared" si="21"/>
        <v/>
      </c>
      <c r="BC105" t="str">
        <f>IF(OR($A105="",Q105="",MEMORIA_RESULTADOS!$I$261=""),"",ROUND(Q105*$C105*(MEMORIA_RESULTADOS!$I$261-1),2))</f>
        <v/>
      </c>
      <c r="BD105" t="str">
        <f>IF(OR($A105="",BB105="",MEMORIA_RESULTADOS!$I$261=""),"",ROUND(BB105*$C105*(parametros!$F$5-MEMORIA_RESULTADOS!$I$261),2))</f>
        <v/>
      </c>
      <c r="BE105" t="str">
        <f>IF($A105="","",ROUND(SUMIFS(itens_Consumidos!$M$2:$M$200,itens_Consumidos!$A$2:$A$200,$A105),2))</f>
        <v/>
      </c>
      <c r="BF105" t="str">
        <f t="shared" si="22"/>
        <v/>
      </c>
      <c r="BG105" t="str">
        <f>IF(OR($A105="",S105="",MEMORIA_RESULTADOS!$I$262=""),"",ROUND(S105*$C105*(MEMORIA_RESULTADOS!$I$262-1),2))</f>
        <v/>
      </c>
      <c r="BH105" t="str">
        <f>IF(OR($A105="",BF105="",MEMORIA_RESULTADOS!$I$262=""),"",ROUND(BF105*$C105*(parametros!$F$6-MEMORIA_RESULTADOS!$I$262),2))</f>
        <v/>
      </c>
      <c r="BI105" t="str">
        <f>IF($A105="","",IF(posicao_contratual!$AL105="","",posicao_contratual!$AL105))</f>
        <v/>
      </c>
    </row>
    <row r="106" spans="1:61" x14ac:dyDescent="0.35">
      <c r="A106" s="81"/>
      <c r="B106" s="82" t="str">
        <f t="shared" si="23"/>
        <v/>
      </c>
      <c r="C106" s="83"/>
      <c r="D106" s="79" t="str">
        <f>IF(AND(A106="",A105&lt;&gt;"",COUNTIF(A107:$A$200,"&lt;&gt;")=0),ROUND(SUMIF($A$2:A105,"&lt;&gt;",$D$2:D105),2),IF(OR(A106="",B106="",C106=""),"",ROUND(B106*C106,2)))</f>
        <v/>
      </c>
      <c r="E106" s="84"/>
      <c r="F106" s="79" t="str">
        <f>IF(AND(A106="",A105&lt;&gt;"",COUNTIF(A107:$A$200,"&lt;&gt;")=0),IF(COUNT(F$2:F105)=0,"",ROUND(SUMIF($A$2:A105,"&lt;&gt;",F$2:F105),2)),IF(OR(A106="",AND(ISNUMBER(posicao_contratual!$AL106),posicao_contratual!$AL106&gt;1),posicao_contratual!K106="",NOT(ISNUMBER(historico_VU!D106))),"",ROUND(posicao_contratual!K106*historico_VU!D106,2)))</f>
        <v/>
      </c>
      <c r="G106" s="84"/>
      <c r="H106" s="79" t="str">
        <f>IF(AND(A106="",A105&lt;&gt;"",COUNTIF(A107:$A$200,"&lt;&gt;")=0),IF(COUNT(H$2:H105)=0,"",ROUND(SUMIF($A$2:A105,"&lt;&gt;",H$2:H105),2)),IF(OR(A106="",AND(ISNUMBER(posicao_contratual!$AL106),posicao_contratual!$AL106&gt;2),posicao_contratual!O106="",NOT(ISNUMBER(historico_VU!E106))),"",ROUND(posicao_contratual!O106*historico_VU!E106,2)))</f>
        <v/>
      </c>
      <c r="I106" s="84"/>
      <c r="J106" s="79" t="str">
        <f>IF(AND(A106="",A105&lt;&gt;"",COUNTIF(A107:$A$200,"&lt;&gt;")=0),IF(COUNT(J$2:J105)=0,"",ROUND(SUMIF($A$2:A105,"&lt;&gt;",J$2:J105),2)),IF(OR(A106="",AND(ISNUMBER(posicao_contratual!$AL106),posicao_contratual!$AL106&gt;3),posicao_contratual!S106="",NOT(ISNUMBER(historico_VU!F106))),"",ROUND(posicao_contratual!S106*historico_VU!F106,2)))</f>
        <v/>
      </c>
      <c r="K106" s="84"/>
      <c r="L106" s="79" t="str">
        <f>IF(AND(A106="",A105&lt;&gt;"",COUNTIF(A107:$A$200,"&lt;&gt;")=0),IF(COUNT(L$2:L105)=0,"",ROUND(SUMIF($A$2:A105,"&lt;&gt;",L$2:L105),2)),IF(OR(A106="",AND(ISNUMBER(posicao_contratual!$AL106),posicao_contratual!$AL106&gt;4),posicao_contratual!W106="",NOT(ISNUMBER(historico_VU!G106))),"",ROUND(posicao_contratual!W106*historico_VU!G106,2)))</f>
        <v/>
      </c>
      <c r="M106" s="85" t="str">
        <f>IF(OR(posicao_contratual!J106="",posicao_contratual!N106=""),"",ROUND(MAX(posicao_contratual!J106+posicao_contratual!H106-posicao_contratual!N106,0),2))</f>
        <v/>
      </c>
      <c r="N106" s="79" t="str">
        <f>IF(AND(A106="",A105&lt;&gt;"",COUNTIF(A107:$A$200,"&lt;&gt;")=0),IF(COUNT(N$2:N105)=0,"",ROUND(SUMIF($A$2:A105,"&lt;&gt;",N$2:N105),2)),IF(OR(M106="",NOT(ISNUMBER(historico_VU!D106))),"",ROUND(M106*historico_VU!D106,2)))</f>
        <v/>
      </c>
      <c r="O106" s="85" t="str">
        <f>IF(OR(posicao_contratual!N106="",posicao_contratual!R106=""),"",ROUND(MAX(posicao_contratual!N106+posicao_contratual!L106-posicao_contratual!R106,0),2))</f>
        <v/>
      </c>
      <c r="P106" s="79" t="str">
        <f>IF(AND(A106="",A105&lt;&gt;"",COUNTIF(A107:$A$200,"&lt;&gt;")=0),IF(COUNT(P$2:P105)=0,"",ROUND(SUMIF($A$2:A105,"&lt;&gt;",P$2:P105),2)),IF(OR(O106="",NOT(ISNUMBER(historico_VU!E106))),"",ROUND(O106*historico_VU!E106,2)))</f>
        <v/>
      </c>
      <c r="Q106" s="85" t="str">
        <f>IF(OR(posicao_contratual!R106="",posicao_contratual!V106=""),"",ROUND(MAX(posicao_contratual!R106+posicao_contratual!P106-posicao_contratual!V106,0),2))</f>
        <v/>
      </c>
      <c r="R106" s="79" t="str">
        <f>IF(AND(A106="",A105&lt;&gt;"",COUNTIF(A107:$A$200,"&lt;&gt;")=0),IF(COUNT(R$2:R105)=0,"",ROUND(SUMIF($A$2:A105,"&lt;&gt;",R$2:R105),2)),IF(OR(Q106="",NOT(ISNUMBER(historico_VU!F106))),"",ROUND(Q106*historico_VU!F106,2)))</f>
        <v/>
      </c>
      <c r="S106" s="38"/>
      <c r="T106" s="39" t="str">
        <f>IF(AND(A106="",A105&lt;&gt;"",COUNTIF(A107:$A$200,"&lt;&gt;")=0),IF(COUNT(T$2:T105)=0,"",ROUND(SUMIF($A$2:A105,"&lt;&gt;",T$2:T105),2)),IF(OR(S106="",NOT(ISNUMBER(historico_VU!G106))),"",ROUND(S106*historico_VU!G106,2)))</f>
        <v/>
      </c>
      <c r="U106" s="86" t="str">
        <f>IF(AND(A106="",A105&lt;&gt;"",COUNTIF(A107:$A$200,"&lt;&gt;")=0),"TOTAL",IF(A106="","",posicao_contratual!X106))</f>
        <v/>
      </c>
      <c r="V106" s="86" t="str">
        <f>IF(A106="","",posicao_contratual!X106)</f>
        <v/>
      </c>
      <c r="W106" s="13"/>
      <c r="X106" s="13"/>
      <c r="Y106" s="13"/>
      <c r="Z106" s="13"/>
      <c r="AA106" s="13"/>
      <c r="AB106" s="85" t="str">
        <f>IF(OR(A106="",posicao_contratual!E106="",posicao_contratual!J106=""),"",ROUND(MAX(posicao_contratual!E106-posicao_contratual!J106,0),2))</f>
        <v/>
      </c>
      <c r="AC106" s="79" t="str">
        <f>IF(AND(A106="",A105&lt;&gt;"",COUNTIF(A107:$A$200,"&lt;&gt;")=0),IF(COUNT(AC$2:AC105)=0,"",ROUND(SUMIF($A$2:A105,"&lt;&gt;",AC$2:AC105),2)),IF(OR(AB106="",NOT(ISNUMBER(historico_VU!C106))),"",ROUND(AB106*historico_VU!C106,2)))</f>
        <v/>
      </c>
      <c r="AD106" s="145" t="str">
        <f>IF(A106="","",posicao_contratual!E106)</f>
        <v/>
      </c>
      <c r="AE106" s="145" t="str">
        <f>IF(A106="","",posicao_contratual!I106)</f>
        <v/>
      </c>
      <c r="AF106" s="145" t="str">
        <f>IF(A106="","",posicao_contratual!M106)</f>
        <v/>
      </c>
      <c r="AG106" s="145" t="str">
        <f>IF(A106="","",posicao_contratual!Q106)</f>
        <v/>
      </c>
      <c r="AH106" s="145" t="str">
        <f>IF(A106="","",posicao_contratual!U106)</f>
        <v/>
      </c>
      <c r="AI106" s="145" t="str">
        <f>IF(A106="","",posicao_contratual!G106)</f>
        <v/>
      </c>
      <c r="AJ106" s="145" t="str">
        <f>IF(A106="","",posicao_contratual!K106)</f>
        <v/>
      </c>
      <c r="AK106" s="145" t="str">
        <f>IF(A106="","",posicao_contratual!O106)</f>
        <v/>
      </c>
      <c r="AL106" s="145" t="str">
        <f>IF(A106="","",posicao_contratual!S106)</f>
        <v/>
      </c>
      <c r="AM106" s="145" t="str">
        <f>IF(A106="","",posicao_contratual!W106)</f>
        <v/>
      </c>
      <c r="AN106" s="146" t="str">
        <f>IF(A106="","",posicao_contratual!X106)</f>
        <v/>
      </c>
      <c r="AO106" t="str">
        <f>IF($A106="","",ROUND(SUMIFS(itens_Consumidos!$E$2:$E$200,itens_Consumidos!$A$2:$A$200,$A106),2))</f>
        <v/>
      </c>
      <c r="AP106" t="str">
        <f t="shared" si="18"/>
        <v/>
      </c>
      <c r="AQ106" t="str">
        <f>IF(OR($A106="",AB106="",MEMORIA_RESULTADOS!$I$258=""),"",ROUND(AB106*$C106*(MEMORIA_RESULTADOS!$I$258-1),2))</f>
        <v/>
      </c>
      <c r="AR106" t="str">
        <f>IF(OR($A106="",AP106="",MEMORIA_RESULTADOS!$I$258=""),"",ROUND(AP106*$C106*(parametros!$F$2-MEMORIA_RESULTADOS!$I$258),2))</f>
        <v/>
      </c>
      <c r="AS106" t="str">
        <f>IF($A106="","",ROUND(SUMIFS(itens_Consumidos!$G$2:$G$200,itens_Consumidos!$A$2:$A$200,$A106),2))</f>
        <v/>
      </c>
      <c r="AT106" t="str">
        <f t="shared" si="19"/>
        <v/>
      </c>
      <c r="AU106" t="str">
        <f>IF(OR($A106="",M106="",MEMORIA_RESULTADOS!$I$259=""),"",ROUND(M106*$C106*(MEMORIA_RESULTADOS!$I$259-1),2))</f>
        <v/>
      </c>
      <c r="AV106" t="str">
        <f>IF(OR($A106="",AT106="",MEMORIA_RESULTADOS!$I$259=""),"",ROUND(AT106*$C106*(parametros!$F$3-MEMORIA_RESULTADOS!$I$259),2))</f>
        <v/>
      </c>
      <c r="AW106" t="str">
        <f>IF($A106="","",ROUND(SUMIFS(itens_Consumidos!$I$2:$I$200,itens_Consumidos!$A$2:$A$200,$A106),2))</f>
        <v/>
      </c>
      <c r="AX106" t="str">
        <f t="shared" si="20"/>
        <v/>
      </c>
      <c r="AY106" t="str">
        <f>IF(OR($A106="",O106="",MEMORIA_RESULTADOS!$I$260=""),"",ROUND(O106*$C106*(MEMORIA_RESULTADOS!$I$260-1),2))</f>
        <v/>
      </c>
      <c r="AZ106" t="str">
        <f>IF(OR($A106="",AX106="",MEMORIA_RESULTADOS!$I$260=""),"",ROUND(AX106*$C106*(parametros!$F$4-MEMORIA_RESULTADOS!$I$260),2))</f>
        <v/>
      </c>
      <c r="BA106" t="str">
        <f>IF($A106="","",ROUND(SUMIFS(itens_Consumidos!$K$2:$K$200,itens_Consumidos!$A$2:$A$200,$A106),2))</f>
        <v/>
      </c>
      <c r="BB106" t="str">
        <f t="shared" si="21"/>
        <v/>
      </c>
      <c r="BC106" t="str">
        <f>IF(OR($A106="",Q106="",MEMORIA_RESULTADOS!$I$261=""),"",ROUND(Q106*$C106*(MEMORIA_RESULTADOS!$I$261-1),2))</f>
        <v/>
      </c>
      <c r="BD106" t="str">
        <f>IF(OR($A106="",BB106="",MEMORIA_RESULTADOS!$I$261=""),"",ROUND(BB106*$C106*(parametros!$F$5-MEMORIA_RESULTADOS!$I$261),2))</f>
        <v/>
      </c>
      <c r="BE106" t="str">
        <f>IF($A106="","",ROUND(SUMIFS(itens_Consumidos!$M$2:$M$200,itens_Consumidos!$A$2:$A$200,$A106),2))</f>
        <v/>
      </c>
      <c r="BF106" t="str">
        <f t="shared" si="22"/>
        <v/>
      </c>
      <c r="BG106" t="str">
        <f>IF(OR($A106="",S106="",MEMORIA_RESULTADOS!$I$262=""),"",ROUND(S106*$C106*(MEMORIA_RESULTADOS!$I$262-1),2))</f>
        <v/>
      </c>
      <c r="BH106" t="str">
        <f>IF(OR($A106="",BF106="",MEMORIA_RESULTADOS!$I$262=""),"",ROUND(BF106*$C106*(parametros!$F$6-MEMORIA_RESULTADOS!$I$262),2))</f>
        <v/>
      </c>
      <c r="BI106" t="str">
        <f>IF($A106="","",IF(posicao_contratual!$AL106="","",posicao_contratual!$AL106))</f>
        <v/>
      </c>
    </row>
    <row r="107" spans="1:61" x14ac:dyDescent="0.35">
      <c r="A107" s="81"/>
      <c r="B107" s="82" t="str">
        <f t="shared" si="23"/>
        <v/>
      </c>
      <c r="C107" s="83"/>
      <c r="D107" s="79" t="str">
        <f>IF(AND(A107="",A106&lt;&gt;"",COUNTIF(A108:$A$200,"&lt;&gt;")=0),ROUND(SUMIF($A$2:A106,"&lt;&gt;",$D$2:D106),2),IF(OR(A107="",B107="",C107=""),"",ROUND(B107*C107,2)))</f>
        <v/>
      </c>
      <c r="E107" s="84"/>
      <c r="F107" s="79" t="str">
        <f>IF(AND(A107="",A106&lt;&gt;"",COUNTIF(A108:$A$200,"&lt;&gt;")=0),IF(COUNT(F$2:F106)=0,"",ROUND(SUMIF($A$2:A106,"&lt;&gt;",F$2:F106),2)),IF(OR(A107="",AND(ISNUMBER(posicao_contratual!$AL107),posicao_contratual!$AL107&gt;1),posicao_contratual!K107="",NOT(ISNUMBER(historico_VU!D107))),"",ROUND(posicao_contratual!K107*historico_VU!D107,2)))</f>
        <v/>
      </c>
      <c r="G107" s="84"/>
      <c r="H107" s="79" t="str">
        <f>IF(AND(A107="",A106&lt;&gt;"",COUNTIF(A108:$A$200,"&lt;&gt;")=0),IF(COUNT(H$2:H106)=0,"",ROUND(SUMIF($A$2:A106,"&lt;&gt;",H$2:H106),2)),IF(OR(A107="",AND(ISNUMBER(posicao_contratual!$AL107),posicao_contratual!$AL107&gt;2),posicao_contratual!O107="",NOT(ISNUMBER(historico_VU!E107))),"",ROUND(posicao_contratual!O107*historico_VU!E107,2)))</f>
        <v/>
      </c>
      <c r="I107" s="84"/>
      <c r="J107" s="79" t="str">
        <f>IF(AND(A107="",A106&lt;&gt;"",COUNTIF(A108:$A$200,"&lt;&gt;")=0),IF(COUNT(J$2:J106)=0,"",ROUND(SUMIF($A$2:A106,"&lt;&gt;",J$2:J106),2)),IF(OR(A107="",AND(ISNUMBER(posicao_contratual!$AL107),posicao_contratual!$AL107&gt;3),posicao_contratual!S107="",NOT(ISNUMBER(historico_VU!F107))),"",ROUND(posicao_contratual!S107*historico_VU!F107,2)))</f>
        <v/>
      </c>
      <c r="K107" s="84"/>
      <c r="L107" s="79" t="str">
        <f>IF(AND(A107="",A106&lt;&gt;"",COUNTIF(A108:$A$200,"&lt;&gt;")=0),IF(COUNT(L$2:L106)=0,"",ROUND(SUMIF($A$2:A106,"&lt;&gt;",L$2:L106),2)),IF(OR(A107="",AND(ISNUMBER(posicao_contratual!$AL107),posicao_contratual!$AL107&gt;4),posicao_contratual!W107="",NOT(ISNUMBER(historico_VU!G107))),"",ROUND(posicao_contratual!W107*historico_VU!G107,2)))</f>
        <v/>
      </c>
      <c r="M107" s="85" t="str">
        <f>IF(OR(posicao_contratual!J107="",posicao_contratual!N107=""),"",ROUND(MAX(posicao_contratual!J107+posicao_contratual!H107-posicao_contratual!N107,0),2))</f>
        <v/>
      </c>
      <c r="N107" s="79" t="str">
        <f>IF(AND(A107="",A106&lt;&gt;"",COUNTIF(A108:$A$200,"&lt;&gt;")=0),IF(COUNT(N$2:N106)=0,"",ROUND(SUMIF($A$2:A106,"&lt;&gt;",N$2:N106),2)),IF(OR(M107="",NOT(ISNUMBER(historico_VU!D107))),"",ROUND(M107*historico_VU!D107,2)))</f>
        <v/>
      </c>
      <c r="O107" s="85" t="str">
        <f>IF(OR(posicao_contratual!N107="",posicao_contratual!R107=""),"",ROUND(MAX(posicao_contratual!N107+posicao_contratual!L107-posicao_contratual!R107,0),2))</f>
        <v/>
      </c>
      <c r="P107" s="79" t="str">
        <f>IF(AND(A107="",A106&lt;&gt;"",COUNTIF(A108:$A$200,"&lt;&gt;")=0),IF(COUNT(P$2:P106)=0,"",ROUND(SUMIF($A$2:A106,"&lt;&gt;",P$2:P106),2)),IF(OR(O107="",NOT(ISNUMBER(historico_VU!E107))),"",ROUND(O107*historico_VU!E107,2)))</f>
        <v/>
      </c>
      <c r="Q107" s="85" t="str">
        <f>IF(OR(posicao_contratual!R107="",posicao_contratual!V107=""),"",ROUND(MAX(posicao_contratual!R107+posicao_contratual!P107-posicao_contratual!V107,0),2))</f>
        <v/>
      </c>
      <c r="R107" s="79" t="str">
        <f>IF(AND(A107="",A106&lt;&gt;"",COUNTIF(A108:$A$200,"&lt;&gt;")=0),IF(COUNT(R$2:R106)=0,"",ROUND(SUMIF($A$2:A106,"&lt;&gt;",R$2:R106),2)),IF(OR(Q107="",NOT(ISNUMBER(historico_VU!F107))),"",ROUND(Q107*historico_VU!F107,2)))</f>
        <v/>
      </c>
      <c r="S107" s="38"/>
      <c r="T107" s="39" t="str">
        <f>IF(AND(A107="",A106&lt;&gt;"",COUNTIF(A108:$A$200,"&lt;&gt;")=0),IF(COUNT(T$2:T106)=0,"",ROUND(SUMIF($A$2:A106,"&lt;&gt;",T$2:T106),2)),IF(OR(S107="",NOT(ISNUMBER(historico_VU!G107))),"",ROUND(S107*historico_VU!G107,2)))</f>
        <v/>
      </c>
      <c r="U107" s="86" t="str">
        <f>IF(AND(A107="",A106&lt;&gt;"",COUNTIF(A108:$A$200,"&lt;&gt;")=0),"TOTAL",IF(A107="","",posicao_contratual!X107))</f>
        <v/>
      </c>
      <c r="V107" s="86" t="str">
        <f>IF(A107="","",posicao_contratual!X107)</f>
        <v/>
      </c>
      <c r="W107" s="13"/>
      <c r="X107" s="13"/>
      <c r="Y107" s="13"/>
      <c r="Z107" s="13"/>
      <c r="AA107" s="13"/>
      <c r="AB107" s="85" t="str">
        <f>IF(OR(A107="",posicao_contratual!E107="",posicao_contratual!J107=""),"",ROUND(MAX(posicao_contratual!E107-posicao_contratual!J107,0),2))</f>
        <v/>
      </c>
      <c r="AC107" s="79" t="str">
        <f>IF(AND(A107="",A106&lt;&gt;"",COUNTIF(A108:$A$200,"&lt;&gt;")=0),IF(COUNT(AC$2:AC106)=0,"",ROUND(SUMIF($A$2:A106,"&lt;&gt;",AC$2:AC106),2)),IF(OR(AB107="",NOT(ISNUMBER(historico_VU!C107))),"",ROUND(AB107*historico_VU!C107,2)))</f>
        <v/>
      </c>
      <c r="AD107" s="145" t="str">
        <f>IF(A107="","",posicao_contratual!E107)</f>
        <v/>
      </c>
      <c r="AE107" s="145" t="str">
        <f>IF(A107="","",posicao_contratual!I107)</f>
        <v/>
      </c>
      <c r="AF107" s="145" t="str">
        <f>IF(A107="","",posicao_contratual!M107)</f>
        <v/>
      </c>
      <c r="AG107" s="145" t="str">
        <f>IF(A107="","",posicao_contratual!Q107)</f>
        <v/>
      </c>
      <c r="AH107" s="145" t="str">
        <f>IF(A107="","",posicao_contratual!U107)</f>
        <v/>
      </c>
      <c r="AI107" s="145" t="str">
        <f>IF(A107="","",posicao_contratual!G107)</f>
        <v/>
      </c>
      <c r="AJ107" s="145" t="str">
        <f>IF(A107="","",posicao_contratual!K107)</f>
        <v/>
      </c>
      <c r="AK107" s="145" t="str">
        <f>IF(A107="","",posicao_contratual!O107)</f>
        <v/>
      </c>
      <c r="AL107" s="145" t="str">
        <f>IF(A107="","",posicao_contratual!S107)</f>
        <v/>
      </c>
      <c r="AM107" s="145" t="str">
        <f>IF(A107="","",posicao_contratual!W107)</f>
        <v/>
      </c>
      <c r="AN107" s="146" t="str">
        <f>IF(A107="","",posicao_contratual!X107)</f>
        <v/>
      </c>
      <c r="AO107" t="str">
        <f>IF($A107="","",ROUND(SUMIFS(itens_Consumidos!$E$2:$E$200,itens_Consumidos!$A$2:$A$200,$A107),2))</f>
        <v/>
      </c>
      <c r="AP107" t="str">
        <f t="shared" si="18"/>
        <v/>
      </c>
      <c r="AQ107" t="str">
        <f>IF(OR($A107="",AB107="",MEMORIA_RESULTADOS!$I$258=""),"",ROUND(AB107*$C107*(MEMORIA_RESULTADOS!$I$258-1),2))</f>
        <v/>
      </c>
      <c r="AR107" t="str">
        <f>IF(OR($A107="",AP107="",MEMORIA_RESULTADOS!$I$258=""),"",ROUND(AP107*$C107*(parametros!$F$2-MEMORIA_RESULTADOS!$I$258),2))</f>
        <v/>
      </c>
      <c r="AS107" t="str">
        <f>IF($A107="","",ROUND(SUMIFS(itens_Consumidos!$G$2:$G$200,itens_Consumidos!$A$2:$A$200,$A107),2))</f>
        <v/>
      </c>
      <c r="AT107" t="str">
        <f t="shared" si="19"/>
        <v/>
      </c>
      <c r="AU107" t="str">
        <f>IF(OR($A107="",M107="",MEMORIA_RESULTADOS!$I$259=""),"",ROUND(M107*$C107*(MEMORIA_RESULTADOS!$I$259-1),2))</f>
        <v/>
      </c>
      <c r="AV107" t="str">
        <f>IF(OR($A107="",AT107="",MEMORIA_RESULTADOS!$I$259=""),"",ROUND(AT107*$C107*(parametros!$F$3-MEMORIA_RESULTADOS!$I$259),2))</f>
        <v/>
      </c>
      <c r="AW107" t="str">
        <f>IF($A107="","",ROUND(SUMIFS(itens_Consumidos!$I$2:$I$200,itens_Consumidos!$A$2:$A$200,$A107),2))</f>
        <v/>
      </c>
      <c r="AX107" t="str">
        <f t="shared" si="20"/>
        <v/>
      </c>
      <c r="AY107" t="str">
        <f>IF(OR($A107="",O107="",MEMORIA_RESULTADOS!$I$260=""),"",ROUND(O107*$C107*(MEMORIA_RESULTADOS!$I$260-1),2))</f>
        <v/>
      </c>
      <c r="AZ107" t="str">
        <f>IF(OR($A107="",AX107="",MEMORIA_RESULTADOS!$I$260=""),"",ROUND(AX107*$C107*(parametros!$F$4-MEMORIA_RESULTADOS!$I$260),2))</f>
        <v/>
      </c>
      <c r="BA107" t="str">
        <f>IF($A107="","",ROUND(SUMIFS(itens_Consumidos!$K$2:$K$200,itens_Consumidos!$A$2:$A$200,$A107),2))</f>
        <v/>
      </c>
      <c r="BB107" t="str">
        <f t="shared" si="21"/>
        <v/>
      </c>
      <c r="BC107" t="str">
        <f>IF(OR($A107="",Q107="",MEMORIA_RESULTADOS!$I$261=""),"",ROUND(Q107*$C107*(MEMORIA_RESULTADOS!$I$261-1),2))</f>
        <v/>
      </c>
      <c r="BD107" t="str">
        <f>IF(OR($A107="",BB107="",MEMORIA_RESULTADOS!$I$261=""),"",ROUND(BB107*$C107*(parametros!$F$5-MEMORIA_RESULTADOS!$I$261),2))</f>
        <v/>
      </c>
      <c r="BE107" t="str">
        <f>IF($A107="","",ROUND(SUMIFS(itens_Consumidos!$M$2:$M$200,itens_Consumidos!$A$2:$A$200,$A107),2))</f>
        <v/>
      </c>
      <c r="BF107" t="str">
        <f t="shared" si="22"/>
        <v/>
      </c>
      <c r="BG107" t="str">
        <f>IF(OR($A107="",S107="",MEMORIA_RESULTADOS!$I$262=""),"",ROUND(S107*$C107*(MEMORIA_RESULTADOS!$I$262-1),2))</f>
        <v/>
      </c>
      <c r="BH107" t="str">
        <f>IF(OR($A107="",BF107="",MEMORIA_RESULTADOS!$I$262=""),"",ROUND(BF107*$C107*(parametros!$F$6-MEMORIA_RESULTADOS!$I$262),2))</f>
        <v/>
      </c>
      <c r="BI107" t="str">
        <f>IF($A107="","",IF(posicao_contratual!$AL107="","",posicao_contratual!$AL107))</f>
        <v/>
      </c>
    </row>
    <row r="108" spans="1:61" x14ac:dyDescent="0.35">
      <c r="A108" s="81"/>
      <c r="B108" s="82" t="str">
        <f t="shared" si="23"/>
        <v/>
      </c>
      <c r="C108" s="83"/>
      <c r="D108" s="79" t="str">
        <f>IF(AND(A108="",A107&lt;&gt;"",COUNTIF(A109:$A$200,"&lt;&gt;")=0),ROUND(SUMIF($A$2:A107,"&lt;&gt;",$D$2:D107),2),IF(OR(A108="",B108="",C108=""),"",ROUND(B108*C108,2)))</f>
        <v/>
      </c>
      <c r="E108" s="84"/>
      <c r="F108" s="79" t="str">
        <f>IF(AND(A108="",A107&lt;&gt;"",COUNTIF(A109:$A$200,"&lt;&gt;")=0),IF(COUNT(F$2:F107)=0,"",ROUND(SUMIF($A$2:A107,"&lt;&gt;",F$2:F107),2)),IF(OR(A108="",AND(ISNUMBER(posicao_contratual!$AL108),posicao_contratual!$AL108&gt;1),posicao_contratual!K108="",NOT(ISNUMBER(historico_VU!D108))),"",ROUND(posicao_contratual!K108*historico_VU!D108,2)))</f>
        <v/>
      </c>
      <c r="G108" s="84"/>
      <c r="H108" s="79" t="str">
        <f>IF(AND(A108="",A107&lt;&gt;"",COUNTIF(A109:$A$200,"&lt;&gt;")=0),IF(COUNT(H$2:H107)=0,"",ROUND(SUMIF($A$2:A107,"&lt;&gt;",H$2:H107),2)),IF(OR(A108="",AND(ISNUMBER(posicao_contratual!$AL108),posicao_contratual!$AL108&gt;2),posicao_contratual!O108="",NOT(ISNUMBER(historico_VU!E108))),"",ROUND(posicao_contratual!O108*historico_VU!E108,2)))</f>
        <v/>
      </c>
      <c r="I108" s="84"/>
      <c r="J108" s="79" t="str">
        <f>IF(AND(A108="",A107&lt;&gt;"",COUNTIF(A109:$A$200,"&lt;&gt;")=0),IF(COUNT(J$2:J107)=0,"",ROUND(SUMIF($A$2:A107,"&lt;&gt;",J$2:J107),2)),IF(OR(A108="",AND(ISNUMBER(posicao_contratual!$AL108),posicao_contratual!$AL108&gt;3),posicao_contratual!S108="",NOT(ISNUMBER(historico_VU!F108))),"",ROUND(posicao_contratual!S108*historico_VU!F108,2)))</f>
        <v/>
      </c>
      <c r="K108" s="84"/>
      <c r="L108" s="79" t="str">
        <f>IF(AND(A108="",A107&lt;&gt;"",COUNTIF(A109:$A$200,"&lt;&gt;")=0),IF(COUNT(L$2:L107)=0,"",ROUND(SUMIF($A$2:A107,"&lt;&gt;",L$2:L107),2)),IF(OR(A108="",AND(ISNUMBER(posicao_contratual!$AL108),posicao_contratual!$AL108&gt;4),posicao_contratual!W108="",NOT(ISNUMBER(historico_VU!G108))),"",ROUND(posicao_contratual!W108*historico_VU!G108,2)))</f>
        <v/>
      </c>
      <c r="M108" s="85" t="str">
        <f>IF(OR(posicao_contratual!J108="",posicao_contratual!N108=""),"",ROUND(MAX(posicao_contratual!J108+posicao_contratual!H108-posicao_contratual!N108,0),2))</f>
        <v/>
      </c>
      <c r="N108" s="79" t="str">
        <f>IF(AND(A108="",A107&lt;&gt;"",COUNTIF(A109:$A$200,"&lt;&gt;")=0),IF(COUNT(N$2:N107)=0,"",ROUND(SUMIF($A$2:A107,"&lt;&gt;",N$2:N107),2)),IF(OR(M108="",NOT(ISNUMBER(historico_VU!D108))),"",ROUND(M108*historico_VU!D108,2)))</f>
        <v/>
      </c>
      <c r="O108" s="85" t="str">
        <f>IF(OR(posicao_contratual!N108="",posicao_contratual!R108=""),"",ROUND(MAX(posicao_contratual!N108+posicao_contratual!L108-posicao_contratual!R108,0),2))</f>
        <v/>
      </c>
      <c r="P108" s="79" t="str">
        <f>IF(AND(A108="",A107&lt;&gt;"",COUNTIF(A109:$A$200,"&lt;&gt;")=0),IF(COUNT(P$2:P107)=0,"",ROUND(SUMIF($A$2:A107,"&lt;&gt;",P$2:P107),2)),IF(OR(O108="",NOT(ISNUMBER(historico_VU!E108))),"",ROUND(O108*historico_VU!E108,2)))</f>
        <v/>
      </c>
      <c r="Q108" s="85" t="str">
        <f>IF(OR(posicao_contratual!R108="",posicao_contratual!V108=""),"",ROUND(MAX(posicao_contratual!R108+posicao_contratual!P108-posicao_contratual!V108,0),2))</f>
        <v/>
      </c>
      <c r="R108" s="79" t="str">
        <f>IF(AND(A108="",A107&lt;&gt;"",COUNTIF(A109:$A$200,"&lt;&gt;")=0),IF(COUNT(R$2:R107)=0,"",ROUND(SUMIF($A$2:A107,"&lt;&gt;",R$2:R107),2)),IF(OR(Q108="",NOT(ISNUMBER(historico_VU!F108))),"",ROUND(Q108*historico_VU!F108,2)))</f>
        <v/>
      </c>
      <c r="S108" s="38"/>
      <c r="T108" s="39" t="str">
        <f>IF(AND(A108="",A107&lt;&gt;"",COUNTIF(A109:$A$200,"&lt;&gt;")=0),IF(COUNT(T$2:T107)=0,"",ROUND(SUMIF($A$2:A107,"&lt;&gt;",T$2:T107),2)),IF(OR(S108="",NOT(ISNUMBER(historico_VU!G108))),"",ROUND(S108*historico_VU!G108,2)))</f>
        <v/>
      </c>
      <c r="U108" s="86" t="str">
        <f>IF(AND(A108="",A107&lt;&gt;"",COUNTIF(A109:$A$200,"&lt;&gt;")=0),"TOTAL",IF(A108="","",posicao_contratual!X108))</f>
        <v/>
      </c>
      <c r="V108" s="86" t="str">
        <f>IF(A108="","",posicao_contratual!X108)</f>
        <v/>
      </c>
      <c r="W108" s="13"/>
      <c r="X108" s="13"/>
      <c r="Y108" s="13"/>
      <c r="Z108" s="13"/>
      <c r="AA108" s="13"/>
      <c r="AB108" s="85" t="str">
        <f>IF(OR(A108="",posicao_contratual!E108="",posicao_contratual!J108=""),"",ROUND(MAX(posicao_contratual!E108-posicao_contratual!J108,0),2))</f>
        <v/>
      </c>
      <c r="AC108" s="79" t="str">
        <f>IF(AND(A108="",A107&lt;&gt;"",COUNTIF(A109:$A$200,"&lt;&gt;")=0),IF(COUNT(AC$2:AC107)=0,"",ROUND(SUMIF($A$2:A107,"&lt;&gt;",AC$2:AC107),2)),IF(OR(AB108="",NOT(ISNUMBER(historico_VU!C108))),"",ROUND(AB108*historico_VU!C108,2)))</f>
        <v/>
      </c>
      <c r="AD108" s="145" t="str">
        <f>IF(A108="","",posicao_contratual!E108)</f>
        <v/>
      </c>
      <c r="AE108" s="145" t="str">
        <f>IF(A108="","",posicao_contratual!I108)</f>
        <v/>
      </c>
      <c r="AF108" s="145" t="str">
        <f>IF(A108="","",posicao_contratual!M108)</f>
        <v/>
      </c>
      <c r="AG108" s="145" t="str">
        <f>IF(A108="","",posicao_contratual!Q108)</f>
        <v/>
      </c>
      <c r="AH108" s="145" t="str">
        <f>IF(A108="","",posicao_contratual!U108)</f>
        <v/>
      </c>
      <c r="AI108" s="145" t="str">
        <f>IF(A108="","",posicao_contratual!G108)</f>
        <v/>
      </c>
      <c r="AJ108" s="145" t="str">
        <f>IF(A108="","",posicao_contratual!K108)</f>
        <v/>
      </c>
      <c r="AK108" s="145" t="str">
        <f>IF(A108="","",posicao_contratual!O108)</f>
        <v/>
      </c>
      <c r="AL108" s="145" t="str">
        <f>IF(A108="","",posicao_contratual!S108)</f>
        <v/>
      </c>
      <c r="AM108" s="145" t="str">
        <f>IF(A108="","",posicao_contratual!W108)</f>
        <v/>
      </c>
      <c r="AN108" s="146" t="str">
        <f>IF(A108="","",posicao_contratual!X108)</f>
        <v/>
      </c>
      <c r="AO108" t="str">
        <f>IF($A108="","",ROUND(SUMIFS(itens_Consumidos!$E$2:$E$200,itens_Consumidos!$A$2:$A$200,$A108),2))</f>
        <v/>
      </c>
      <c r="AP108" t="str">
        <f t="shared" si="18"/>
        <v/>
      </c>
      <c r="AQ108" t="str">
        <f>IF(OR($A108="",AB108="",MEMORIA_RESULTADOS!$I$258=""),"",ROUND(AB108*$C108*(MEMORIA_RESULTADOS!$I$258-1),2))</f>
        <v/>
      </c>
      <c r="AR108" t="str">
        <f>IF(OR($A108="",AP108="",MEMORIA_RESULTADOS!$I$258=""),"",ROUND(AP108*$C108*(parametros!$F$2-MEMORIA_RESULTADOS!$I$258),2))</f>
        <v/>
      </c>
      <c r="AS108" t="str">
        <f>IF($A108="","",ROUND(SUMIFS(itens_Consumidos!$G$2:$G$200,itens_Consumidos!$A$2:$A$200,$A108),2))</f>
        <v/>
      </c>
      <c r="AT108" t="str">
        <f t="shared" si="19"/>
        <v/>
      </c>
      <c r="AU108" t="str">
        <f>IF(OR($A108="",M108="",MEMORIA_RESULTADOS!$I$259=""),"",ROUND(M108*$C108*(MEMORIA_RESULTADOS!$I$259-1),2))</f>
        <v/>
      </c>
      <c r="AV108" t="str">
        <f>IF(OR($A108="",AT108="",MEMORIA_RESULTADOS!$I$259=""),"",ROUND(AT108*$C108*(parametros!$F$3-MEMORIA_RESULTADOS!$I$259),2))</f>
        <v/>
      </c>
      <c r="AW108" t="str">
        <f>IF($A108="","",ROUND(SUMIFS(itens_Consumidos!$I$2:$I$200,itens_Consumidos!$A$2:$A$200,$A108),2))</f>
        <v/>
      </c>
      <c r="AX108" t="str">
        <f t="shared" si="20"/>
        <v/>
      </c>
      <c r="AY108" t="str">
        <f>IF(OR($A108="",O108="",MEMORIA_RESULTADOS!$I$260=""),"",ROUND(O108*$C108*(MEMORIA_RESULTADOS!$I$260-1),2))</f>
        <v/>
      </c>
      <c r="AZ108" t="str">
        <f>IF(OR($A108="",AX108="",MEMORIA_RESULTADOS!$I$260=""),"",ROUND(AX108*$C108*(parametros!$F$4-MEMORIA_RESULTADOS!$I$260),2))</f>
        <v/>
      </c>
      <c r="BA108" t="str">
        <f>IF($A108="","",ROUND(SUMIFS(itens_Consumidos!$K$2:$K$200,itens_Consumidos!$A$2:$A$200,$A108),2))</f>
        <v/>
      </c>
      <c r="BB108" t="str">
        <f t="shared" si="21"/>
        <v/>
      </c>
      <c r="BC108" t="str">
        <f>IF(OR($A108="",Q108="",MEMORIA_RESULTADOS!$I$261=""),"",ROUND(Q108*$C108*(MEMORIA_RESULTADOS!$I$261-1),2))</f>
        <v/>
      </c>
      <c r="BD108" t="str">
        <f>IF(OR($A108="",BB108="",MEMORIA_RESULTADOS!$I$261=""),"",ROUND(BB108*$C108*(parametros!$F$5-MEMORIA_RESULTADOS!$I$261),2))</f>
        <v/>
      </c>
      <c r="BE108" t="str">
        <f>IF($A108="","",ROUND(SUMIFS(itens_Consumidos!$M$2:$M$200,itens_Consumidos!$A$2:$A$200,$A108),2))</f>
        <v/>
      </c>
      <c r="BF108" t="str">
        <f t="shared" si="22"/>
        <v/>
      </c>
      <c r="BG108" t="str">
        <f>IF(OR($A108="",S108="",MEMORIA_RESULTADOS!$I$262=""),"",ROUND(S108*$C108*(MEMORIA_RESULTADOS!$I$262-1),2))</f>
        <v/>
      </c>
      <c r="BH108" t="str">
        <f>IF(OR($A108="",BF108="",MEMORIA_RESULTADOS!$I$262=""),"",ROUND(BF108*$C108*(parametros!$F$6-MEMORIA_RESULTADOS!$I$262),2))</f>
        <v/>
      </c>
      <c r="BI108" t="str">
        <f>IF($A108="","",IF(posicao_contratual!$AL108="","",posicao_contratual!$AL108))</f>
        <v/>
      </c>
    </row>
    <row r="109" spans="1:61" x14ac:dyDescent="0.35">
      <c r="A109" s="81"/>
      <c r="B109" s="82" t="str">
        <f t="shared" si="23"/>
        <v/>
      </c>
      <c r="C109" s="83"/>
      <c r="D109" s="79" t="str">
        <f>IF(AND(A109="",A108&lt;&gt;"",COUNTIF(A110:$A$200,"&lt;&gt;")=0),ROUND(SUMIF($A$2:A108,"&lt;&gt;",$D$2:D108),2),IF(OR(A109="",B109="",C109=""),"",ROUND(B109*C109,2)))</f>
        <v/>
      </c>
      <c r="E109" s="84"/>
      <c r="F109" s="79" t="str">
        <f>IF(AND(A109="",A108&lt;&gt;"",COUNTIF(A110:$A$200,"&lt;&gt;")=0),IF(COUNT(F$2:F108)=0,"",ROUND(SUMIF($A$2:A108,"&lt;&gt;",F$2:F108),2)),IF(OR(A109="",AND(ISNUMBER(posicao_contratual!$AL109),posicao_contratual!$AL109&gt;1),posicao_contratual!K109="",NOT(ISNUMBER(historico_VU!D109))),"",ROUND(posicao_contratual!K109*historico_VU!D109,2)))</f>
        <v/>
      </c>
      <c r="G109" s="84"/>
      <c r="H109" s="79" t="str">
        <f>IF(AND(A109="",A108&lt;&gt;"",COUNTIF(A110:$A$200,"&lt;&gt;")=0),IF(COUNT(H$2:H108)=0,"",ROUND(SUMIF($A$2:A108,"&lt;&gt;",H$2:H108),2)),IF(OR(A109="",AND(ISNUMBER(posicao_contratual!$AL109),posicao_contratual!$AL109&gt;2),posicao_contratual!O109="",NOT(ISNUMBER(historico_VU!E109))),"",ROUND(posicao_contratual!O109*historico_VU!E109,2)))</f>
        <v/>
      </c>
      <c r="I109" s="84"/>
      <c r="J109" s="79" t="str">
        <f>IF(AND(A109="",A108&lt;&gt;"",COUNTIF(A110:$A$200,"&lt;&gt;")=0),IF(COUNT(J$2:J108)=0,"",ROUND(SUMIF($A$2:A108,"&lt;&gt;",J$2:J108),2)),IF(OR(A109="",AND(ISNUMBER(posicao_contratual!$AL109),posicao_contratual!$AL109&gt;3),posicao_contratual!S109="",NOT(ISNUMBER(historico_VU!F109))),"",ROUND(posicao_contratual!S109*historico_VU!F109,2)))</f>
        <v/>
      </c>
      <c r="K109" s="84"/>
      <c r="L109" s="79" t="str">
        <f>IF(AND(A109="",A108&lt;&gt;"",COUNTIF(A110:$A$200,"&lt;&gt;")=0),IF(COUNT(L$2:L108)=0,"",ROUND(SUMIF($A$2:A108,"&lt;&gt;",L$2:L108),2)),IF(OR(A109="",AND(ISNUMBER(posicao_contratual!$AL109),posicao_contratual!$AL109&gt;4),posicao_contratual!W109="",NOT(ISNUMBER(historico_VU!G109))),"",ROUND(posicao_contratual!W109*historico_VU!G109,2)))</f>
        <v/>
      </c>
      <c r="M109" s="85" t="str">
        <f>IF(OR(posicao_contratual!J109="",posicao_contratual!N109=""),"",ROUND(MAX(posicao_contratual!J109+posicao_contratual!H109-posicao_contratual!N109,0),2))</f>
        <v/>
      </c>
      <c r="N109" s="79" t="str">
        <f>IF(AND(A109="",A108&lt;&gt;"",COUNTIF(A110:$A$200,"&lt;&gt;")=0),IF(COUNT(N$2:N108)=0,"",ROUND(SUMIF($A$2:A108,"&lt;&gt;",N$2:N108),2)),IF(OR(M109="",NOT(ISNUMBER(historico_VU!D109))),"",ROUND(M109*historico_VU!D109,2)))</f>
        <v/>
      </c>
      <c r="O109" s="85" t="str">
        <f>IF(OR(posicao_contratual!N109="",posicao_contratual!R109=""),"",ROUND(MAX(posicao_contratual!N109+posicao_contratual!L109-posicao_contratual!R109,0),2))</f>
        <v/>
      </c>
      <c r="P109" s="79" t="str">
        <f>IF(AND(A109="",A108&lt;&gt;"",COUNTIF(A110:$A$200,"&lt;&gt;")=0),IF(COUNT(P$2:P108)=0,"",ROUND(SUMIF($A$2:A108,"&lt;&gt;",P$2:P108),2)),IF(OR(O109="",NOT(ISNUMBER(historico_VU!E109))),"",ROUND(O109*historico_VU!E109,2)))</f>
        <v/>
      </c>
      <c r="Q109" s="85" t="str">
        <f>IF(OR(posicao_contratual!R109="",posicao_contratual!V109=""),"",ROUND(MAX(posicao_contratual!R109+posicao_contratual!P109-posicao_contratual!V109,0),2))</f>
        <v/>
      </c>
      <c r="R109" s="79" t="str">
        <f>IF(AND(A109="",A108&lt;&gt;"",COUNTIF(A110:$A$200,"&lt;&gt;")=0),IF(COUNT(R$2:R108)=0,"",ROUND(SUMIF($A$2:A108,"&lt;&gt;",R$2:R108),2)),IF(OR(Q109="",NOT(ISNUMBER(historico_VU!F109))),"",ROUND(Q109*historico_VU!F109,2)))</f>
        <v/>
      </c>
      <c r="S109" s="38"/>
      <c r="T109" s="39" t="str">
        <f>IF(AND(A109="",A108&lt;&gt;"",COUNTIF(A110:$A$200,"&lt;&gt;")=0),IF(COUNT(T$2:T108)=0,"",ROUND(SUMIF($A$2:A108,"&lt;&gt;",T$2:T108),2)),IF(OR(S109="",NOT(ISNUMBER(historico_VU!G109))),"",ROUND(S109*historico_VU!G109,2)))</f>
        <v/>
      </c>
      <c r="U109" s="86" t="str">
        <f>IF(AND(A109="",A108&lt;&gt;"",COUNTIF(A110:$A$200,"&lt;&gt;")=0),"TOTAL",IF(A109="","",posicao_contratual!X109))</f>
        <v/>
      </c>
      <c r="V109" s="86" t="str">
        <f>IF(A109="","",posicao_contratual!X109)</f>
        <v/>
      </c>
      <c r="W109" s="13"/>
      <c r="X109" s="13"/>
      <c r="Y109" s="13"/>
      <c r="Z109" s="13"/>
      <c r="AA109" s="13"/>
      <c r="AB109" s="85" t="str">
        <f>IF(OR(A109="",posicao_contratual!E109="",posicao_contratual!J109=""),"",ROUND(MAX(posicao_contratual!E109-posicao_contratual!J109,0),2))</f>
        <v/>
      </c>
      <c r="AC109" s="79" t="str">
        <f>IF(AND(A109="",A108&lt;&gt;"",COUNTIF(A110:$A$200,"&lt;&gt;")=0),IF(COUNT(AC$2:AC108)=0,"",ROUND(SUMIF($A$2:A108,"&lt;&gt;",AC$2:AC108),2)),IF(OR(AB109="",NOT(ISNUMBER(historico_VU!C109))),"",ROUND(AB109*historico_VU!C109,2)))</f>
        <v/>
      </c>
      <c r="AD109" s="145" t="str">
        <f>IF(A109="","",posicao_contratual!E109)</f>
        <v/>
      </c>
      <c r="AE109" s="145" t="str">
        <f>IF(A109="","",posicao_contratual!I109)</f>
        <v/>
      </c>
      <c r="AF109" s="145" t="str">
        <f>IF(A109="","",posicao_contratual!M109)</f>
        <v/>
      </c>
      <c r="AG109" s="145" t="str">
        <f>IF(A109="","",posicao_contratual!Q109)</f>
        <v/>
      </c>
      <c r="AH109" s="145" t="str">
        <f>IF(A109="","",posicao_contratual!U109)</f>
        <v/>
      </c>
      <c r="AI109" s="145" t="str">
        <f>IF(A109="","",posicao_contratual!G109)</f>
        <v/>
      </c>
      <c r="AJ109" s="145" t="str">
        <f>IF(A109="","",posicao_contratual!K109)</f>
        <v/>
      </c>
      <c r="AK109" s="145" t="str">
        <f>IF(A109="","",posicao_contratual!O109)</f>
        <v/>
      </c>
      <c r="AL109" s="145" t="str">
        <f>IF(A109="","",posicao_contratual!S109)</f>
        <v/>
      </c>
      <c r="AM109" s="145" t="str">
        <f>IF(A109="","",posicao_contratual!W109)</f>
        <v/>
      </c>
      <c r="AN109" s="146" t="str">
        <f>IF(A109="","",posicao_contratual!X109)</f>
        <v/>
      </c>
      <c r="AO109" t="str">
        <f>IF($A109="","",ROUND(SUMIFS(itens_Consumidos!$E$2:$E$200,itens_Consumidos!$A$2:$A$200,$A109),2))</f>
        <v/>
      </c>
      <c r="AP109" t="str">
        <f t="shared" si="18"/>
        <v/>
      </c>
      <c r="AQ109" t="str">
        <f>IF(OR($A109="",AB109="",MEMORIA_RESULTADOS!$I$258=""),"",ROUND(AB109*$C109*(MEMORIA_RESULTADOS!$I$258-1),2))</f>
        <v/>
      </c>
      <c r="AR109" t="str">
        <f>IF(OR($A109="",AP109="",MEMORIA_RESULTADOS!$I$258=""),"",ROUND(AP109*$C109*(parametros!$F$2-MEMORIA_RESULTADOS!$I$258),2))</f>
        <v/>
      </c>
      <c r="AS109" t="str">
        <f>IF($A109="","",ROUND(SUMIFS(itens_Consumidos!$G$2:$G$200,itens_Consumidos!$A$2:$A$200,$A109),2))</f>
        <v/>
      </c>
      <c r="AT109" t="str">
        <f t="shared" si="19"/>
        <v/>
      </c>
      <c r="AU109" t="str">
        <f>IF(OR($A109="",M109="",MEMORIA_RESULTADOS!$I$259=""),"",ROUND(M109*$C109*(MEMORIA_RESULTADOS!$I$259-1),2))</f>
        <v/>
      </c>
      <c r="AV109" t="str">
        <f>IF(OR($A109="",AT109="",MEMORIA_RESULTADOS!$I$259=""),"",ROUND(AT109*$C109*(parametros!$F$3-MEMORIA_RESULTADOS!$I$259),2))</f>
        <v/>
      </c>
      <c r="AW109" t="str">
        <f>IF($A109="","",ROUND(SUMIFS(itens_Consumidos!$I$2:$I$200,itens_Consumidos!$A$2:$A$200,$A109),2))</f>
        <v/>
      </c>
      <c r="AX109" t="str">
        <f t="shared" si="20"/>
        <v/>
      </c>
      <c r="AY109" t="str">
        <f>IF(OR($A109="",O109="",MEMORIA_RESULTADOS!$I$260=""),"",ROUND(O109*$C109*(MEMORIA_RESULTADOS!$I$260-1),2))</f>
        <v/>
      </c>
      <c r="AZ109" t="str">
        <f>IF(OR($A109="",AX109="",MEMORIA_RESULTADOS!$I$260=""),"",ROUND(AX109*$C109*(parametros!$F$4-MEMORIA_RESULTADOS!$I$260),2))</f>
        <v/>
      </c>
      <c r="BA109" t="str">
        <f>IF($A109="","",ROUND(SUMIFS(itens_Consumidos!$K$2:$K$200,itens_Consumidos!$A$2:$A$200,$A109),2))</f>
        <v/>
      </c>
      <c r="BB109" t="str">
        <f t="shared" si="21"/>
        <v/>
      </c>
      <c r="BC109" t="str">
        <f>IF(OR($A109="",Q109="",MEMORIA_RESULTADOS!$I$261=""),"",ROUND(Q109*$C109*(MEMORIA_RESULTADOS!$I$261-1),2))</f>
        <v/>
      </c>
      <c r="BD109" t="str">
        <f>IF(OR($A109="",BB109="",MEMORIA_RESULTADOS!$I$261=""),"",ROUND(BB109*$C109*(parametros!$F$5-MEMORIA_RESULTADOS!$I$261),2))</f>
        <v/>
      </c>
      <c r="BE109" t="str">
        <f>IF($A109="","",ROUND(SUMIFS(itens_Consumidos!$M$2:$M$200,itens_Consumidos!$A$2:$A$200,$A109),2))</f>
        <v/>
      </c>
      <c r="BF109" t="str">
        <f t="shared" si="22"/>
        <v/>
      </c>
      <c r="BG109" t="str">
        <f>IF(OR($A109="",S109="",MEMORIA_RESULTADOS!$I$262=""),"",ROUND(S109*$C109*(MEMORIA_RESULTADOS!$I$262-1),2))</f>
        <v/>
      </c>
      <c r="BH109" t="str">
        <f>IF(OR($A109="",BF109="",MEMORIA_RESULTADOS!$I$262=""),"",ROUND(BF109*$C109*(parametros!$F$6-MEMORIA_RESULTADOS!$I$262),2))</f>
        <v/>
      </c>
      <c r="BI109" t="str">
        <f>IF($A109="","",IF(posicao_contratual!$AL109="","",posicao_contratual!$AL109))</f>
        <v/>
      </c>
    </row>
    <row r="110" spans="1:61" x14ac:dyDescent="0.35">
      <c r="A110" s="81"/>
      <c r="B110" s="82" t="str">
        <f t="shared" si="23"/>
        <v/>
      </c>
      <c r="C110" s="83"/>
      <c r="D110" s="79" t="str">
        <f>IF(AND(A110="",A109&lt;&gt;"",COUNTIF(A111:$A$200,"&lt;&gt;")=0),ROUND(SUMIF($A$2:A109,"&lt;&gt;",$D$2:D109),2),IF(OR(A110="",B110="",C110=""),"",ROUND(B110*C110,2)))</f>
        <v/>
      </c>
      <c r="E110" s="84"/>
      <c r="F110" s="79" t="str">
        <f>IF(AND(A110="",A109&lt;&gt;"",COUNTIF(A111:$A$200,"&lt;&gt;")=0),IF(COUNT(F$2:F109)=0,"",ROUND(SUMIF($A$2:A109,"&lt;&gt;",F$2:F109),2)),IF(OR(A110="",AND(ISNUMBER(posicao_contratual!$AL110),posicao_contratual!$AL110&gt;1),posicao_contratual!K110="",NOT(ISNUMBER(historico_VU!D110))),"",ROUND(posicao_contratual!K110*historico_VU!D110,2)))</f>
        <v/>
      </c>
      <c r="G110" s="84"/>
      <c r="H110" s="79" t="str">
        <f>IF(AND(A110="",A109&lt;&gt;"",COUNTIF(A111:$A$200,"&lt;&gt;")=0),IF(COUNT(H$2:H109)=0,"",ROUND(SUMIF($A$2:A109,"&lt;&gt;",H$2:H109),2)),IF(OR(A110="",AND(ISNUMBER(posicao_contratual!$AL110),posicao_contratual!$AL110&gt;2),posicao_contratual!O110="",NOT(ISNUMBER(historico_VU!E110))),"",ROUND(posicao_contratual!O110*historico_VU!E110,2)))</f>
        <v/>
      </c>
      <c r="I110" s="84"/>
      <c r="J110" s="79" t="str">
        <f>IF(AND(A110="",A109&lt;&gt;"",COUNTIF(A111:$A$200,"&lt;&gt;")=0),IF(COUNT(J$2:J109)=0,"",ROUND(SUMIF($A$2:A109,"&lt;&gt;",J$2:J109),2)),IF(OR(A110="",AND(ISNUMBER(posicao_contratual!$AL110),posicao_contratual!$AL110&gt;3),posicao_contratual!S110="",NOT(ISNUMBER(historico_VU!F110))),"",ROUND(posicao_contratual!S110*historico_VU!F110,2)))</f>
        <v/>
      </c>
      <c r="K110" s="84"/>
      <c r="L110" s="79" t="str">
        <f>IF(AND(A110="",A109&lt;&gt;"",COUNTIF(A111:$A$200,"&lt;&gt;")=0),IF(COUNT(L$2:L109)=0,"",ROUND(SUMIF($A$2:A109,"&lt;&gt;",L$2:L109),2)),IF(OR(A110="",AND(ISNUMBER(posicao_contratual!$AL110),posicao_contratual!$AL110&gt;4),posicao_contratual!W110="",NOT(ISNUMBER(historico_VU!G110))),"",ROUND(posicao_contratual!W110*historico_VU!G110,2)))</f>
        <v/>
      </c>
      <c r="M110" s="85" t="str">
        <f>IF(OR(posicao_contratual!J110="",posicao_contratual!N110=""),"",ROUND(MAX(posicao_contratual!J110+posicao_contratual!H110-posicao_contratual!N110,0),2))</f>
        <v/>
      </c>
      <c r="N110" s="79" t="str">
        <f>IF(AND(A110="",A109&lt;&gt;"",COUNTIF(A111:$A$200,"&lt;&gt;")=0),IF(COUNT(N$2:N109)=0,"",ROUND(SUMIF($A$2:A109,"&lt;&gt;",N$2:N109),2)),IF(OR(M110="",NOT(ISNUMBER(historico_VU!D110))),"",ROUND(M110*historico_VU!D110,2)))</f>
        <v/>
      </c>
      <c r="O110" s="85" t="str">
        <f>IF(OR(posicao_contratual!N110="",posicao_contratual!R110=""),"",ROUND(MAX(posicao_contratual!N110+posicao_contratual!L110-posicao_contratual!R110,0),2))</f>
        <v/>
      </c>
      <c r="P110" s="79" t="str">
        <f>IF(AND(A110="",A109&lt;&gt;"",COUNTIF(A111:$A$200,"&lt;&gt;")=0),IF(COUNT(P$2:P109)=0,"",ROUND(SUMIF($A$2:A109,"&lt;&gt;",P$2:P109),2)),IF(OR(O110="",NOT(ISNUMBER(historico_VU!E110))),"",ROUND(O110*historico_VU!E110,2)))</f>
        <v/>
      </c>
      <c r="Q110" s="85" t="str">
        <f>IF(OR(posicao_contratual!R110="",posicao_contratual!V110=""),"",ROUND(MAX(posicao_contratual!R110+posicao_contratual!P110-posicao_contratual!V110,0),2))</f>
        <v/>
      </c>
      <c r="R110" s="79" t="str">
        <f>IF(AND(A110="",A109&lt;&gt;"",COUNTIF(A111:$A$200,"&lt;&gt;")=0),IF(COUNT(R$2:R109)=0,"",ROUND(SUMIF($A$2:A109,"&lt;&gt;",R$2:R109),2)),IF(OR(Q110="",NOT(ISNUMBER(historico_VU!F110))),"",ROUND(Q110*historico_VU!F110,2)))</f>
        <v/>
      </c>
      <c r="S110" s="38"/>
      <c r="T110" s="39" t="str">
        <f>IF(AND(A110="",A109&lt;&gt;"",COUNTIF(A111:$A$200,"&lt;&gt;")=0),IF(COUNT(T$2:T109)=0,"",ROUND(SUMIF($A$2:A109,"&lt;&gt;",T$2:T109),2)),IF(OR(S110="",NOT(ISNUMBER(historico_VU!G110))),"",ROUND(S110*historico_VU!G110,2)))</f>
        <v/>
      </c>
      <c r="U110" s="86" t="str">
        <f>IF(AND(A110="",A109&lt;&gt;"",COUNTIF(A111:$A$200,"&lt;&gt;")=0),"TOTAL",IF(A110="","",posicao_contratual!X110))</f>
        <v/>
      </c>
      <c r="V110" s="86" t="str">
        <f>IF(A110="","",posicao_contratual!X110)</f>
        <v/>
      </c>
      <c r="W110" s="13"/>
      <c r="X110" s="13"/>
      <c r="Y110" s="13"/>
      <c r="Z110" s="13"/>
      <c r="AA110" s="13"/>
      <c r="AB110" s="85" t="str">
        <f>IF(OR(A110="",posicao_contratual!E110="",posicao_contratual!J110=""),"",ROUND(MAX(posicao_contratual!E110-posicao_contratual!J110,0),2))</f>
        <v/>
      </c>
      <c r="AC110" s="79" t="str">
        <f>IF(AND(A110="",A109&lt;&gt;"",COUNTIF(A111:$A$200,"&lt;&gt;")=0),IF(COUNT(AC$2:AC109)=0,"",ROUND(SUMIF($A$2:A109,"&lt;&gt;",AC$2:AC109),2)),IF(OR(AB110="",NOT(ISNUMBER(historico_VU!C110))),"",ROUND(AB110*historico_VU!C110,2)))</f>
        <v/>
      </c>
      <c r="AD110" s="145" t="str">
        <f>IF(A110="","",posicao_contratual!E110)</f>
        <v/>
      </c>
      <c r="AE110" s="145" t="str">
        <f>IF(A110="","",posicao_contratual!I110)</f>
        <v/>
      </c>
      <c r="AF110" s="145" t="str">
        <f>IF(A110="","",posicao_contratual!M110)</f>
        <v/>
      </c>
      <c r="AG110" s="145" t="str">
        <f>IF(A110="","",posicao_contratual!Q110)</f>
        <v/>
      </c>
      <c r="AH110" s="145" t="str">
        <f>IF(A110="","",posicao_contratual!U110)</f>
        <v/>
      </c>
      <c r="AI110" s="145" t="str">
        <f>IF(A110="","",posicao_contratual!G110)</f>
        <v/>
      </c>
      <c r="AJ110" s="145" t="str">
        <f>IF(A110="","",posicao_contratual!K110)</f>
        <v/>
      </c>
      <c r="AK110" s="145" t="str">
        <f>IF(A110="","",posicao_contratual!O110)</f>
        <v/>
      </c>
      <c r="AL110" s="145" t="str">
        <f>IF(A110="","",posicao_contratual!S110)</f>
        <v/>
      </c>
      <c r="AM110" s="145" t="str">
        <f>IF(A110="","",posicao_contratual!W110)</f>
        <v/>
      </c>
      <c r="AN110" s="146" t="str">
        <f>IF(A110="","",posicao_contratual!X110)</f>
        <v/>
      </c>
      <c r="AO110" t="str">
        <f>IF($A110="","",ROUND(SUMIFS(itens_Consumidos!$E$2:$E$200,itens_Consumidos!$A$2:$A$200,$A110),2))</f>
        <v/>
      </c>
      <c r="AP110" t="str">
        <f t="shared" si="18"/>
        <v/>
      </c>
      <c r="AQ110" t="str">
        <f>IF(OR($A110="",AB110="",MEMORIA_RESULTADOS!$I$258=""),"",ROUND(AB110*$C110*(MEMORIA_RESULTADOS!$I$258-1),2))</f>
        <v/>
      </c>
      <c r="AR110" t="str">
        <f>IF(OR($A110="",AP110="",MEMORIA_RESULTADOS!$I$258=""),"",ROUND(AP110*$C110*(parametros!$F$2-MEMORIA_RESULTADOS!$I$258),2))</f>
        <v/>
      </c>
      <c r="AS110" t="str">
        <f>IF($A110="","",ROUND(SUMIFS(itens_Consumidos!$G$2:$G$200,itens_Consumidos!$A$2:$A$200,$A110),2))</f>
        <v/>
      </c>
      <c r="AT110" t="str">
        <f t="shared" si="19"/>
        <v/>
      </c>
      <c r="AU110" t="str">
        <f>IF(OR($A110="",M110="",MEMORIA_RESULTADOS!$I$259=""),"",ROUND(M110*$C110*(MEMORIA_RESULTADOS!$I$259-1),2))</f>
        <v/>
      </c>
      <c r="AV110" t="str">
        <f>IF(OR($A110="",AT110="",MEMORIA_RESULTADOS!$I$259=""),"",ROUND(AT110*$C110*(parametros!$F$3-MEMORIA_RESULTADOS!$I$259),2))</f>
        <v/>
      </c>
      <c r="AW110" t="str">
        <f>IF($A110="","",ROUND(SUMIFS(itens_Consumidos!$I$2:$I$200,itens_Consumidos!$A$2:$A$200,$A110),2))</f>
        <v/>
      </c>
      <c r="AX110" t="str">
        <f t="shared" si="20"/>
        <v/>
      </c>
      <c r="AY110" t="str">
        <f>IF(OR($A110="",O110="",MEMORIA_RESULTADOS!$I$260=""),"",ROUND(O110*$C110*(MEMORIA_RESULTADOS!$I$260-1),2))</f>
        <v/>
      </c>
      <c r="AZ110" t="str">
        <f>IF(OR($A110="",AX110="",MEMORIA_RESULTADOS!$I$260=""),"",ROUND(AX110*$C110*(parametros!$F$4-MEMORIA_RESULTADOS!$I$260),2))</f>
        <v/>
      </c>
      <c r="BA110" t="str">
        <f>IF($A110="","",ROUND(SUMIFS(itens_Consumidos!$K$2:$K$200,itens_Consumidos!$A$2:$A$200,$A110),2))</f>
        <v/>
      </c>
      <c r="BB110" t="str">
        <f t="shared" si="21"/>
        <v/>
      </c>
      <c r="BC110" t="str">
        <f>IF(OR($A110="",Q110="",MEMORIA_RESULTADOS!$I$261=""),"",ROUND(Q110*$C110*(MEMORIA_RESULTADOS!$I$261-1),2))</f>
        <v/>
      </c>
      <c r="BD110" t="str">
        <f>IF(OR($A110="",BB110="",MEMORIA_RESULTADOS!$I$261=""),"",ROUND(BB110*$C110*(parametros!$F$5-MEMORIA_RESULTADOS!$I$261),2))</f>
        <v/>
      </c>
      <c r="BE110" t="str">
        <f>IF($A110="","",ROUND(SUMIFS(itens_Consumidos!$M$2:$M$200,itens_Consumidos!$A$2:$A$200,$A110),2))</f>
        <v/>
      </c>
      <c r="BF110" t="str">
        <f t="shared" si="22"/>
        <v/>
      </c>
      <c r="BG110" t="str">
        <f>IF(OR($A110="",S110="",MEMORIA_RESULTADOS!$I$262=""),"",ROUND(S110*$C110*(MEMORIA_RESULTADOS!$I$262-1),2))</f>
        <v/>
      </c>
      <c r="BH110" t="str">
        <f>IF(OR($A110="",BF110="",MEMORIA_RESULTADOS!$I$262=""),"",ROUND(BF110*$C110*(parametros!$F$6-MEMORIA_RESULTADOS!$I$262),2))</f>
        <v/>
      </c>
      <c r="BI110" t="str">
        <f>IF($A110="","",IF(posicao_contratual!$AL110="","",posicao_contratual!$AL110))</f>
        <v/>
      </c>
    </row>
    <row r="111" spans="1:61" x14ac:dyDescent="0.35">
      <c r="A111" s="81"/>
      <c r="B111" s="82" t="str">
        <f t="shared" si="23"/>
        <v/>
      </c>
      <c r="C111" s="83"/>
      <c r="D111" s="79" t="str">
        <f>IF(AND(A111="",A110&lt;&gt;"",COUNTIF(A112:$A$200,"&lt;&gt;")=0),ROUND(SUMIF($A$2:A110,"&lt;&gt;",$D$2:D110),2),IF(OR(A111="",B111="",C111=""),"",ROUND(B111*C111,2)))</f>
        <v/>
      </c>
      <c r="E111" s="84"/>
      <c r="F111" s="79" t="str">
        <f>IF(AND(A111="",A110&lt;&gt;"",COUNTIF(A112:$A$200,"&lt;&gt;")=0),IF(COUNT(F$2:F110)=0,"",ROUND(SUMIF($A$2:A110,"&lt;&gt;",F$2:F110),2)),IF(OR(A111="",AND(ISNUMBER(posicao_contratual!$AL111),posicao_contratual!$AL111&gt;1),posicao_contratual!K111="",NOT(ISNUMBER(historico_VU!D111))),"",ROUND(posicao_contratual!K111*historico_VU!D111,2)))</f>
        <v/>
      </c>
      <c r="G111" s="84"/>
      <c r="H111" s="79" t="str">
        <f>IF(AND(A111="",A110&lt;&gt;"",COUNTIF(A112:$A$200,"&lt;&gt;")=0),IF(COUNT(H$2:H110)=0,"",ROUND(SUMIF($A$2:A110,"&lt;&gt;",H$2:H110),2)),IF(OR(A111="",AND(ISNUMBER(posicao_contratual!$AL111),posicao_contratual!$AL111&gt;2),posicao_contratual!O111="",NOT(ISNUMBER(historico_VU!E111))),"",ROUND(posicao_contratual!O111*historico_VU!E111,2)))</f>
        <v/>
      </c>
      <c r="I111" s="84"/>
      <c r="J111" s="79" t="str">
        <f>IF(AND(A111="",A110&lt;&gt;"",COUNTIF(A112:$A$200,"&lt;&gt;")=0),IF(COUNT(J$2:J110)=0,"",ROUND(SUMIF($A$2:A110,"&lt;&gt;",J$2:J110),2)),IF(OR(A111="",AND(ISNUMBER(posicao_contratual!$AL111),posicao_contratual!$AL111&gt;3),posicao_contratual!S111="",NOT(ISNUMBER(historico_VU!F111))),"",ROUND(posicao_contratual!S111*historico_VU!F111,2)))</f>
        <v/>
      </c>
      <c r="K111" s="84"/>
      <c r="L111" s="79" t="str">
        <f>IF(AND(A111="",A110&lt;&gt;"",COUNTIF(A112:$A$200,"&lt;&gt;")=0),IF(COUNT(L$2:L110)=0,"",ROUND(SUMIF($A$2:A110,"&lt;&gt;",L$2:L110),2)),IF(OR(A111="",AND(ISNUMBER(posicao_contratual!$AL111),posicao_contratual!$AL111&gt;4),posicao_contratual!W111="",NOT(ISNUMBER(historico_VU!G111))),"",ROUND(posicao_contratual!W111*historico_VU!G111,2)))</f>
        <v/>
      </c>
      <c r="M111" s="85" t="str">
        <f>IF(OR(posicao_contratual!J111="",posicao_contratual!N111=""),"",ROUND(MAX(posicao_contratual!J111+posicao_contratual!H111-posicao_contratual!N111,0),2))</f>
        <v/>
      </c>
      <c r="N111" s="79" t="str">
        <f>IF(AND(A111="",A110&lt;&gt;"",COUNTIF(A112:$A$200,"&lt;&gt;")=0),IF(COUNT(N$2:N110)=0,"",ROUND(SUMIF($A$2:A110,"&lt;&gt;",N$2:N110),2)),IF(OR(M111="",NOT(ISNUMBER(historico_VU!D111))),"",ROUND(M111*historico_VU!D111,2)))</f>
        <v/>
      </c>
      <c r="O111" s="85" t="str">
        <f>IF(OR(posicao_contratual!N111="",posicao_contratual!R111=""),"",ROUND(MAX(posicao_contratual!N111+posicao_contratual!L111-posicao_contratual!R111,0),2))</f>
        <v/>
      </c>
      <c r="P111" s="79" t="str">
        <f>IF(AND(A111="",A110&lt;&gt;"",COUNTIF(A112:$A$200,"&lt;&gt;")=0),IF(COUNT(P$2:P110)=0,"",ROUND(SUMIF($A$2:A110,"&lt;&gt;",P$2:P110),2)),IF(OR(O111="",NOT(ISNUMBER(historico_VU!E111))),"",ROUND(O111*historico_VU!E111,2)))</f>
        <v/>
      </c>
      <c r="Q111" s="85" t="str">
        <f>IF(OR(posicao_contratual!R111="",posicao_contratual!V111=""),"",ROUND(MAX(posicao_contratual!R111+posicao_contratual!P111-posicao_contratual!V111,0),2))</f>
        <v/>
      </c>
      <c r="R111" s="79" t="str">
        <f>IF(AND(A111="",A110&lt;&gt;"",COUNTIF(A112:$A$200,"&lt;&gt;")=0),IF(COUNT(R$2:R110)=0,"",ROUND(SUMIF($A$2:A110,"&lt;&gt;",R$2:R110),2)),IF(OR(Q111="",NOT(ISNUMBER(historico_VU!F111))),"",ROUND(Q111*historico_VU!F111,2)))</f>
        <v/>
      </c>
      <c r="S111" s="38"/>
      <c r="T111" s="39" t="str">
        <f>IF(AND(A111="",A110&lt;&gt;"",COUNTIF(A112:$A$200,"&lt;&gt;")=0),IF(COUNT(T$2:T110)=0,"",ROUND(SUMIF($A$2:A110,"&lt;&gt;",T$2:T110),2)),IF(OR(S111="",NOT(ISNUMBER(historico_VU!G111))),"",ROUND(S111*historico_VU!G111,2)))</f>
        <v/>
      </c>
      <c r="U111" s="86" t="str">
        <f>IF(AND(A111="",A110&lt;&gt;"",COUNTIF(A112:$A$200,"&lt;&gt;")=0),"TOTAL",IF(A111="","",posicao_contratual!X111))</f>
        <v/>
      </c>
      <c r="V111" s="86" t="str">
        <f>IF(A111="","",posicao_contratual!X111)</f>
        <v/>
      </c>
      <c r="W111" s="13"/>
      <c r="X111" s="13"/>
      <c r="Y111" s="13"/>
      <c r="Z111" s="13"/>
      <c r="AA111" s="13"/>
      <c r="AB111" s="85" t="str">
        <f>IF(OR(A111="",posicao_contratual!E111="",posicao_contratual!J111=""),"",ROUND(MAX(posicao_contratual!E111-posicao_contratual!J111,0),2))</f>
        <v/>
      </c>
      <c r="AC111" s="79" t="str">
        <f>IF(AND(A111="",A110&lt;&gt;"",COUNTIF(A112:$A$200,"&lt;&gt;")=0),IF(COUNT(AC$2:AC110)=0,"",ROUND(SUMIF($A$2:A110,"&lt;&gt;",AC$2:AC110),2)),IF(OR(AB111="",NOT(ISNUMBER(historico_VU!C111))),"",ROUND(AB111*historico_VU!C111,2)))</f>
        <v/>
      </c>
      <c r="AD111" s="145" t="str">
        <f>IF(A111="","",posicao_contratual!E111)</f>
        <v/>
      </c>
      <c r="AE111" s="145" t="str">
        <f>IF(A111="","",posicao_contratual!I111)</f>
        <v/>
      </c>
      <c r="AF111" s="145" t="str">
        <f>IF(A111="","",posicao_contratual!M111)</f>
        <v/>
      </c>
      <c r="AG111" s="145" t="str">
        <f>IF(A111="","",posicao_contratual!Q111)</f>
        <v/>
      </c>
      <c r="AH111" s="145" t="str">
        <f>IF(A111="","",posicao_contratual!U111)</f>
        <v/>
      </c>
      <c r="AI111" s="145" t="str">
        <f>IF(A111="","",posicao_contratual!G111)</f>
        <v/>
      </c>
      <c r="AJ111" s="145" t="str">
        <f>IF(A111="","",posicao_contratual!K111)</f>
        <v/>
      </c>
      <c r="AK111" s="145" t="str">
        <f>IF(A111="","",posicao_contratual!O111)</f>
        <v/>
      </c>
      <c r="AL111" s="145" t="str">
        <f>IF(A111="","",posicao_contratual!S111)</f>
        <v/>
      </c>
      <c r="AM111" s="145" t="str">
        <f>IF(A111="","",posicao_contratual!W111)</f>
        <v/>
      </c>
      <c r="AN111" s="146" t="str">
        <f>IF(A111="","",posicao_contratual!X111)</f>
        <v/>
      </c>
      <c r="AO111" t="str">
        <f>IF($A111="","",ROUND(SUMIFS(itens_Consumidos!$E$2:$E$200,itens_Consumidos!$A$2:$A$200,$A111),2))</f>
        <v/>
      </c>
      <c r="AP111" t="str">
        <f t="shared" si="18"/>
        <v/>
      </c>
      <c r="AQ111" t="str">
        <f>IF(OR($A111="",AB111="",MEMORIA_RESULTADOS!$I$258=""),"",ROUND(AB111*$C111*(MEMORIA_RESULTADOS!$I$258-1),2))</f>
        <v/>
      </c>
      <c r="AR111" t="str">
        <f>IF(OR($A111="",AP111="",MEMORIA_RESULTADOS!$I$258=""),"",ROUND(AP111*$C111*(parametros!$F$2-MEMORIA_RESULTADOS!$I$258),2))</f>
        <v/>
      </c>
      <c r="AS111" t="str">
        <f>IF($A111="","",ROUND(SUMIFS(itens_Consumidos!$G$2:$G$200,itens_Consumidos!$A$2:$A$200,$A111),2))</f>
        <v/>
      </c>
      <c r="AT111" t="str">
        <f t="shared" si="19"/>
        <v/>
      </c>
      <c r="AU111" t="str">
        <f>IF(OR($A111="",M111="",MEMORIA_RESULTADOS!$I$259=""),"",ROUND(M111*$C111*(MEMORIA_RESULTADOS!$I$259-1),2))</f>
        <v/>
      </c>
      <c r="AV111" t="str">
        <f>IF(OR($A111="",AT111="",MEMORIA_RESULTADOS!$I$259=""),"",ROUND(AT111*$C111*(parametros!$F$3-MEMORIA_RESULTADOS!$I$259),2))</f>
        <v/>
      </c>
      <c r="AW111" t="str">
        <f>IF($A111="","",ROUND(SUMIFS(itens_Consumidos!$I$2:$I$200,itens_Consumidos!$A$2:$A$200,$A111),2))</f>
        <v/>
      </c>
      <c r="AX111" t="str">
        <f t="shared" si="20"/>
        <v/>
      </c>
      <c r="AY111" t="str">
        <f>IF(OR($A111="",O111="",MEMORIA_RESULTADOS!$I$260=""),"",ROUND(O111*$C111*(MEMORIA_RESULTADOS!$I$260-1),2))</f>
        <v/>
      </c>
      <c r="AZ111" t="str">
        <f>IF(OR($A111="",AX111="",MEMORIA_RESULTADOS!$I$260=""),"",ROUND(AX111*$C111*(parametros!$F$4-MEMORIA_RESULTADOS!$I$260),2))</f>
        <v/>
      </c>
      <c r="BA111" t="str">
        <f>IF($A111="","",ROUND(SUMIFS(itens_Consumidos!$K$2:$K$200,itens_Consumidos!$A$2:$A$200,$A111),2))</f>
        <v/>
      </c>
      <c r="BB111" t="str">
        <f t="shared" si="21"/>
        <v/>
      </c>
      <c r="BC111" t="str">
        <f>IF(OR($A111="",Q111="",MEMORIA_RESULTADOS!$I$261=""),"",ROUND(Q111*$C111*(MEMORIA_RESULTADOS!$I$261-1),2))</f>
        <v/>
      </c>
      <c r="BD111" t="str">
        <f>IF(OR($A111="",BB111="",MEMORIA_RESULTADOS!$I$261=""),"",ROUND(BB111*$C111*(parametros!$F$5-MEMORIA_RESULTADOS!$I$261),2))</f>
        <v/>
      </c>
      <c r="BE111" t="str">
        <f>IF($A111="","",ROUND(SUMIFS(itens_Consumidos!$M$2:$M$200,itens_Consumidos!$A$2:$A$200,$A111),2))</f>
        <v/>
      </c>
      <c r="BF111" t="str">
        <f t="shared" si="22"/>
        <v/>
      </c>
      <c r="BG111" t="str">
        <f>IF(OR($A111="",S111="",MEMORIA_RESULTADOS!$I$262=""),"",ROUND(S111*$C111*(MEMORIA_RESULTADOS!$I$262-1),2))</f>
        <v/>
      </c>
      <c r="BH111" t="str">
        <f>IF(OR($A111="",BF111="",MEMORIA_RESULTADOS!$I$262=""),"",ROUND(BF111*$C111*(parametros!$F$6-MEMORIA_RESULTADOS!$I$262),2))</f>
        <v/>
      </c>
      <c r="BI111" t="str">
        <f>IF($A111="","",IF(posicao_contratual!$AL111="","",posicao_contratual!$AL111))</f>
        <v/>
      </c>
    </row>
    <row r="112" spans="1:61" x14ac:dyDescent="0.35">
      <c r="A112" s="81"/>
      <c r="B112" s="82" t="str">
        <f t="shared" si="23"/>
        <v/>
      </c>
      <c r="C112" s="83"/>
      <c r="D112" s="79" t="str">
        <f>IF(AND(A112="",A111&lt;&gt;"",COUNTIF(A113:$A$200,"&lt;&gt;")=0),ROUND(SUMIF($A$2:A111,"&lt;&gt;",$D$2:D111),2),IF(OR(A112="",B112="",C112=""),"",ROUND(B112*C112,2)))</f>
        <v/>
      </c>
      <c r="E112" s="84"/>
      <c r="F112" s="79" t="str">
        <f>IF(AND(A112="",A111&lt;&gt;"",COUNTIF(A113:$A$200,"&lt;&gt;")=0),IF(COUNT(F$2:F111)=0,"",ROUND(SUMIF($A$2:A111,"&lt;&gt;",F$2:F111),2)),IF(OR(A112="",AND(ISNUMBER(posicao_contratual!$AL112),posicao_contratual!$AL112&gt;1),posicao_contratual!K112="",NOT(ISNUMBER(historico_VU!D112))),"",ROUND(posicao_contratual!K112*historico_VU!D112,2)))</f>
        <v/>
      </c>
      <c r="G112" s="84"/>
      <c r="H112" s="79" t="str">
        <f>IF(AND(A112="",A111&lt;&gt;"",COUNTIF(A113:$A$200,"&lt;&gt;")=0),IF(COUNT(H$2:H111)=0,"",ROUND(SUMIF($A$2:A111,"&lt;&gt;",H$2:H111),2)),IF(OR(A112="",AND(ISNUMBER(posicao_contratual!$AL112),posicao_contratual!$AL112&gt;2),posicao_contratual!O112="",NOT(ISNUMBER(historico_VU!E112))),"",ROUND(posicao_contratual!O112*historico_VU!E112,2)))</f>
        <v/>
      </c>
      <c r="I112" s="84"/>
      <c r="J112" s="79" t="str">
        <f>IF(AND(A112="",A111&lt;&gt;"",COUNTIF(A113:$A$200,"&lt;&gt;")=0),IF(COUNT(J$2:J111)=0,"",ROUND(SUMIF($A$2:A111,"&lt;&gt;",J$2:J111),2)),IF(OR(A112="",AND(ISNUMBER(posicao_contratual!$AL112),posicao_contratual!$AL112&gt;3),posicao_contratual!S112="",NOT(ISNUMBER(historico_VU!F112))),"",ROUND(posicao_contratual!S112*historico_VU!F112,2)))</f>
        <v/>
      </c>
      <c r="K112" s="84"/>
      <c r="L112" s="79" t="str">
        <f>IF(AND(A112="",A111&lt;&gt;"",COUNTIF(A113:$A$200,"&lt;&gt;")=0),IF(COUNT(L$2:L111)=0,"",ROUND(SUMIF($A$2:A111,"&lt;&gt;",L$2:L111),2)),IF(OR(A112="",AND(ISNUMBER(posicao_contratual!$AL112),posicao_contratual!$AL112&gt;4),posicao_contratual!W112="",NOT(ISNUMBER(historico_VU!G112))),"",ROUND(posicao_contratual!W112*historico_VU!G112,2)))</f>
        <v/>
      </c>
      <c r="M112" s="85" t="str">
        <f>IF(OR(posicao_contratual!J112="",posicao_contratual!N112=""),"",ROUND(MAX(posicao_contratual!J112+posicao_contratual!H112-posicao_contratual!N112,0),2))</f>
        <v/>
      </c>
      <c r="N112" s="79" t="str">
        <f>IF(AND(A112="",A111&lt;&gt;"",COUNTIF(A113:$A$200,"&lt;&gt;")=0),IF(COUNT(N$2:N111)=0,"",ROUND(SUMIF($A$2:A111,"&lt;&gt;",N$2:N111),2)),IF(OR(M112="",NOT(ISNUMBER(historico_VU!D112))),"",ROUND(M112*historico_VU!D112,2)))</f>
        <v/>
      </c>
      <c r="O112" s="85" t="str">
        <f>IF(OR(posicao_contratual!N112="",posicao_contratual!R112=""),"",ROUND(MAX(posicao_contratual!N112+posicao_contratual!L112-posicao_contratual!R112,0),2))</f>
        <v/>
      </c>
      <c r="P112" s="79" t="str">
        <f>IF(AND(A112="",A111&lt;&gt;"",COUNTIF(A113:$A$200,"&lt;&gt;")=0),IF(COUNT(P$2:P111)=0,"",ROUND(SUMIF($A$2:A111,"&lt;&gt;",P$2:P111),2)),IF(OR(O112="",NOT(ISNUMBER(historico_VU!E112))),"",ROUND(O112*historico_VU!E112,2)))</f>
        <v/>
      </c>
      <c r="Q112" s="85" t="str">
        <f>IF(OR(posicao_contratual!R112="",posicao_contratual!V112=""),"",ROUND(MAX(posicao_contratual!R112+posicao_contratual!P112-posicao_contratual!V112,0),2))</f>
        <v/>
      </c>
      <c r="R112" s="79" t="str">
        <f>IF(AND(A112="",A111&lt;&gt;"",COUNTIF(A113:$A$200,"&lt;&gt;")=0),IF(COUNT(R$2:R111)=0,"",ROUND(SUMIF($A$2:A111,"&lt;&gt;",R$2:R111),2)),IF(OR(Q112="",NOT(ISNUMBER(historico_VU!F112))),"",ROUND(Q112*historico_VU!F112,2)))</f>
        <v/>
      </c>
      <c r="S112" s="38"/>
      <c r="T112" s="39" t="str">
        <f>IF(AND(A112="",A111&lt;&gt;"",COUNTIF(A113:$A$200,"&lt;&gt;")=0),IF(COUNT(T$2:T111)=0,"",ROUND(SUMIF($A$2:A111,"&lt;&gt;",T$2:T111),2)),IF(OR(S112="",NOT(ISNUMBER(historico_VU!G112))),"",ROUND(S112*historico_VU!G112,2)))</f>
        <v/>
      </c>
      <c r="U112" s="86" t="str">
        <f>IF(AND(A112="",A111&lt;&gt;"",COUNTIF(A113:$A$200,"&lt;&gt;")=0),"TOTAL",IF(A112="","",posicao_contratual!X112))</f>
        <v/>
      </c>
      <c r="V112" s="86" t="str">
        <f>IF(A112="","",posicao_contratual!X112)</f>
        <v/>
      </c>
      <c r="W112" s="13"/>
      <c r="X112" s="13"/>
      <c r="Y112" s="13"/>
      <c r="Z112" s="13"/>
      <c r="AA112" s="13"/>
      <c r="AB112" s="85" t="str">
        <f>IF(OR(A112="",posicao_contratual!E112="",posicao_contratual!J112=""),"",ROUND(MAX(posicao_contratual!E112-posicao_contratual!J112,0),2))</f>
        <v/>
      </c>
      <c r="AC112" s="79" t="str">
        <f>IF(AND(A112="",A111&lt;&gt;"",COUNTIF(A113:$A$200,"&lt;&gt;")=0),IF(COUNT(AC$2:AC111)=0,"",ROUND(SUMIF($A$2:A111,"&lt;&gt;",AC$2:AC111),2)),IF(OR(AB112="",NOT(ISNUMBER(historico_VU!C112))),"",ROUND(AB112*historico_VU!C112,2)))</f>
        <v/>
      </c>
      <c r="AD112" s="145" t="str">
        <f>IF(A112="","",posicao_contratual!E112)</f>
        <v/>
      </c>
      <c r="AE112" s="145" t="str">
        <f>IF(A112="","",posicao_contratual!I112)</f>
        <v/>
      </c>
      <c r="AF112" s="145" t="str">
        <f>IF(A112="","",posicao_contratual!M112)</f>
        <v/>
      </c>
      <c r="AG112" s="145" t="str">
        <f>IF(A112="","",posicao_contratual!Q112)</f>
        <v/>
      </c>
      <c r="AH112" s="145" t="str">
        <f>IF(A112="","",posicao_contratual!U112)</f>
        <v/>
      </c>
      <c r="AI112" s="145" t="str">
        <f>IF(A112="","",posicao_contratual!G112)</f>
        <v/>
      </c>
      <c r="AJ112" s="145" t="str">
        <f>IF(A112="","",posicao_contratual!K112)</f>
        <v/>
      </c>
      <c r="AK112" s="145" t="str">
        <f>IF(A112="","",posicao_contratual!O112)</f>
        <v/>
      </c>
      <c r="AL112" s="145" t="str">
        <f>IF(A112="","",posicao_contratual!S112)</f>
        <v/>
      </c>
      <c r="AM112" s="145" t="str">
        <f>IF(A112="","",posicao_contratual!W112)</f>
        <v/>
      </c>
      <c r="AN112" s="146" t="str">
        <f>IF(A112="","",posicao_contratual!X112)</f>
        <v/>
      </c>
      <c r="AO112" t="str">
        <f>IF($A112="","",ROUND(SUMIFS(itens_Consumidos!$E$2:$E$200,itens_Consumidos!$A$2:$A$200,$A112),2))</f>
        <v/>
      </c>
      <c r="AP112" t="str">
        <f t="shared" si="18"/>
        <v/>
      </c>
      <c r="AQ112" t="str">
        <f>IF(OR($A112="",AB112="",MEMORIA_RESULTADOS!$I$258=""),"",ROUND(AB112*$C112*(MEMORIA_RESULTADOS!$I$258-1),2))</f>
        <v/>
      </c>
      <c r="AR112" t="str">
        <f>IF(OR($A112="",AP112="",MEMORIA_RESULTADOS!$I$258=""),"",ROUND(AP112*$C112*(parametros!$F$2-MEMORIA_RESULTADOS!$I$258),2))</f>
        <v/>
      </c>
      <c r="AS112" t="str">
        <f>IF($A112="","",ROUND(SUMIFS(itens_Consumidos!$G$2:$G$200,itens_Consumidos!$A$2:$A$200,$A112),2))</f>
        <v/>
      </c>
      <c r="AT112" t="str">
        <f t="shared" si="19"/>
        <v/>
      </c>
      <c r="AU112" t="str">
        <f>IF(OR($A112="",M112="",MEMORIA_RESULTADOS!$I$259=""),"",ROUND(M112*$C112*(MEMORIA_RESULTADOS!$I$259-1),2))</f>
        <v/>
      </c>
      <c r="AV112" t="str">
        <f>IF(OR($A112="",AT112="",MEMORIA_RESULTADOS!$I$259=""),"",ROUND(AT112*$C112*(parametros!$F$3-MEMORIA_RESULTADOS!$I$259),2))</f>
        <v/>
      </c>
      <c r="AW112" t="str">
        <f>IF($A112="","",ROUND(SUMIFS(itens_Consumidos!$I$2:$I$200,itens_Consumidos!$A$2:$A$200,$A112),2))</f>
        <v/>
      </c>
      <c r="AX112" t="str">
        <f t="shared" si="20"/>
        <v/>
      </c>
      <c r="AY112" t="str">
        <f>IF(OR($A112="",O112="",MEMORIA_RESULTADOS!$I$260=""),"",ROUND(O112*$C112*(MEMORIA_RESULTADOS!$I$260-1),2))</f>
        <v/>
      </c>
      <c r="AZ112" t="str">
        <f>IF(OR($A112="",AX112="",MEMORIA_RESULTADOS!$I$260=""),"",ROUND(AX112*$C112*(parametros!$F$4-MEMORIA_RESULTADOS!$I$260),2))</f>
        <v/>
      </c>
      <c r="BA112" t="str">
        <f>IF($A112="","",ROUND(SUMIFS(itens_Consumidos!$K$2:$K$200,itens_Consumidos!$A$2:$A$200,$A112),2))</f>
        <v/>
      </c>
      <c r="BB112" t="str">
        <f t="shared" si="21"/>
        <v/>
      </c>
      <c r="BC112" t="str">
        <f>IF(OR($A112="",Q112="",MEMORIA_RESULTADOS!$I$261=""),"",ROUND(Q112*$C112*(MEMORIA_RESULTADOS!$I$261-1),2))</f>
        <v/>
      </c>
      <c r="BD112" t="str">
        <f>IF(OR($A112="",BB112="",MEMORIA_RESULTADOS!$I$261=""),"",ROUND(BB112*$C112*(parametros!$F$5-MEMORIA_RESULTADOS!$I$261),2))</f>
        <v/>
      </c>
      <c r="BE112" t="str">
        <f>IF($A112="","",ROUND(SUMIFS(itens_Consumidos!$M$2:$M$200,itens_Consumidos!$A$2:$A$200,$A112),2))</f>
        <v/>
      </c>
      <c r="BF112" t="str">
        <f t="shared" si="22"/>
        <v/>
      </c>
      <c r="BG112" t="str">
        <f>IF(OR($A112="",S112="",MEMORIA_RESULTADOS!$I$262=""),"",ROUND(S112*$C112*(MEMORIA_RESULTADOS!$I$262-1),2))</f>
        <v/>
      </c>
      <c r="BH112" t="str">
        <f>IF(OR($A112="",BF112="",MEMORIA_RESULTADOS!$I$262=""),"",ROUND(BF112*$C112*(parametros!$F$6-MEMORIA_RESULTADOS!$I$262),2))</f>
        <v/>
      </c>
      <c r="BI112" t="str">
        <f>IF($A112="","",IF(posicao_contratual!$AL112="","",posicao_contratual!$AL112))</f>
        <v/>
      </c>
    </row>
    <row r="113" spans="1:61" x14ac:dyDescent="0.35">
      <c r="A113" s="81"/>
      <c r="B113" s="82" t="str">
        <f t="shared" si="23"/>
        <v/>
      </c>
      <c r="C113" s="83"/>
      <c r="D113" s="79" t="str">
        <f>IF(AND(A113="",A112&lt;&gt;"",COUNTIF(A114:$A$200,"&lt;&gt;")=0),ROUND(SUMIF($A$2:A112,"&lt;&gt;",$D$2:D112),2),IF(OR(A113="",B113="",C113=""),"",ROUND(B113*C113,2)))</f>
        <v/>
      </c>
      <c r="E113" s="84"/>
      <c r="F113" s="79" t="str">
        <f>IF(AND(A113="",A112&lt;&gt;"",COUNTIF(A114:$A$200,"&lt;&gt;")=0),IF(COUNT(F$2:F112)=0,"",ROUND(SUMIF($A$2:A112,"&lt;&gt;",F$2:F112),2)),IF(OR(A113="",AND(ISNUMBER(posicao_contratual!$AL113),posicao_contratual!$AL113&gt;1),posicao_contratual!K113="",NOT(ISNUMBER(historico_VU!D113))),"",ROUND(posicao_contratual!K113*historico_VU!D113,2)))</f>
        <v/>
      </c>
      <c r="G113" s="84"/>
      <c r="H113" s="79" t="str">
        <f>IF(AND(A113="",A112&lt;&gt;"",COUNTIF(A114:$A$200,"&lt;&gt;")=0),IF(COUNT(H$2:H112)=0,"",ROUND(SUMIF($A$2:A112,"&lt;&gt;",H$2:H112),2)),IF(OR(A113="",AND(ISNUMBER(posicao_contratual!$AL113),posicao_contratual!$AL113&gt;2),posicao_contratual!O113="",NOT(ISNUMBER(historico_VU!E113))),"",ROUND(posicao_contratual!O113*historico_VU!E113,2)))</f>
        <v/>
      </c>
      <c r="I113" s="84"/>
      <c r="J113" s="79" t="str">
        <f>IF(AND(A113="",A112&lt;&gt;"",COUNTIF(A114:$A$200,"&lt;&gt;")=0),IF(COUNT(J$2:J112)=0,"",ROUND(SUMIF($A$2:A112,"&lt;&gt;",J$2:J112),2)),IF(OR(A113="",AND(ISNUMBER(posicao_contratual!$AL113),posicao_contratual!$AL113&gt;3),posicao_contratual!S113="",NOT(ISNUMBER(historico_VU!F113))),"",ROUND(posicao_contratual!S113*historico_VU!F113,2)))</f>
        <v/>
      </c>
      <c r="K113" s="84"/>
      <c r="L113" s="79" t="str">
        <f>IF(AND(A113="",A112&lt;&gt;"",COUNTIF(A114:$A$200,"&lt;&gt;")=0),IF(COUNT(L$2:L112)=0,"",ROUND(SUMIF($A$2:A112,"&lt;&gt;",L$2:L112),2)),IF(OR(A113="",AND(ISNUMBER(posicao_contratual!$AL113),posicao_contratual!$AL113&gt;4),posicao_contratual!W113="",NOT(ISNUMBER(historico_VU!G113))),"",ROUND(posicao_contratual!W113*historico_VU!G113,2)))</f>
        <v/>
      </c>
      <c r="M113" s="85" t="str">
        <f>IF(OR(posicao_contratual!J113="",posicao_contratual!N113=""),"",ROUND(MAX(posicao_contratual!J113+posicao_contratual!H113-posicao_contratual!N113,0),2))</f>
        <v/>
      </c>
      <c r="N113" s="79" t="str">
        <f>IF(AND(A113="",A112&lt;&gt;"",COUNTIF(A114:$A$200,"&lt;&gt;")=0),IF(COUNT(N$2:N112)=0,"",ROUND(SUMIF($A$2:A112,"&lt;&gt;",N$2:N112),2)),IF(OR(M113="",NOT(ISNUMBER(historico_VU!D113))),"",ROUND(M113*historico_VU!D113,2)))</f>
        <v/>
      </c>
      <c r="O113" s="85" t="str">
        <f>IF(OR(posicao_contratual!N113="",posicao_contratual!R113=""),"",ROUND(MAX(posicao_contratual!N113+posicao_contratual!L113-posicao_contratual!R113,0),2))</f>
        <v/>
      </c>
      <c r="P113" s="79" t="str">
        <f>IF(AND(A113="",A112&lt;&gt;"",COUNTIF(A114:$A$200,"&lt;&gt;")=0),IF(COUNT(P$2:P112)=0,"",ROUND(SUMIF($A$2:A112,"&lt;&gt;",P$2:P112),2)),IF(OR(O113="",NOT(ISNUMBER(historico_VU!E113))),"",ROUND(O113*historico_VU!E113,2)))</f>
        <v/>
      </c>
      <c r="Q113" s="85" t="str">
        <f>IF(OR(posicao_contratual!R113="",posicao_contratual!V113=""),"",ROUND(MAX(posicao_contratual!R113+posicao_contratual!P113-posicao_contratual!V113,0),2))</f>
        <v/>
      </c>
      <c r="R113" s="79" t="str">
        <f>IF(AND(A113="",A112&lt;&gt;"",COUNTIF(A114:$A$200,"&lt;&gt;")=0),IF(COUNT(R$2:R112)=0,"",ROUND(SUMIF($A$2:A112,"&lt;&gt;",R$2:R112),2)),IF(OR(Q113="",NOT(ISNUMBER(historico_VU!F113))),"",ROUND(Q113*historico_VU!F113,2)))</f>
        <v/>
      </c>
      <c r="S113" s="38"/>
      <c r="T113" s="39" t="str">
        <f>IF(AND(A113="",A112&lt;&gt;"",COUNTIF(A114:$A$200,"&lt;&gt;")=0),IF(COUNT(T$2:T112)=0,"",ROUND(SUMIF($A$2:A112,"&lt;&gt;",T$2:T112),2)),IF(OR(S113="",NOT(ISNUMBER(historico_VU!G113))),"",ROUND(S113*historico_VU!G113,2)))</f>
        <v/>
      </c>
      <c r="U113" s="86" t="str">
        <f>IF(AND(A113="",A112&lt;&gt;"",COUNTIF(A114:$A$200,"&lt;&gt;")=0),"TOTAL",IF(A113="","",posicao_contratual!X113))</f>
        <v/>
      </c>
      <c r="V113" s="86" t="str">
        <f>IF(A113="","",posicao_contratual!X113)</f>
        <v/>
      </c>
      <c r="W113" s="13"/>
      <c r="X113" s="13"/>
      <c r="Y113" s="13"/>
      <c r="Z113" s="13"/>
      <c r="AA113" s="13"/>
      <c r="AB113" s="85" t="str">
        <f>IF(OR(A113="",posicao_contratual!E113="",posicao_contratual!J113=""),"",ROUND(MAX(posicao_contratual!E113-posicao_contratual!J113,0),2))</f>
        <v/>
      </c>
      <c r="AC113" s="79" t="str">
        <f>IF(AND(A113="",A112&lt;&gt;"",COUNTIF(A114:$A$200,"&lt;&gt;")=0),IF(COUNT(AC$2:AC112)=0,"",ROUND(SUMIF($A$2:A112,"&lt;&gt;",AC$2:AC112),2)),IF(OR(AB113="",NOT(ISNUMBER(historico_VU!C113))),"",ROUND(AB113*historico_VU!C113,2)))</f>
        <v/>
      </c>
      <c r="AD113" s="145" t="str">
        <f>IF(A113="","",posicao_contratual!E113)</f>
        <v/>
      </c>
      <c r="AE113" s="145" t="str">
        <f>IF(A113="","",posicao_contratual!I113)</f>
        <v/>
      </c>
      <c r="AF113" s="145" t="str">
        <f>IF(A113="","",posicao_contratual!M113)</f>
        <v/>
      </c>
      <c r="AG113" s="145" t="str">
        <f>IF(A113="","",posicao_contratual!Q113)</f>
        <v/>
      </c>
      <c r="AH113" s="145" t="str">
        <f>IF(A113="","",posicao_contratual!U113)</f>
        <v/>
      </c>
      <c r="AI113" s="145" t="str">
        <f>IF(A113="","",posicao_contratual!G113)</f>
        <v/>
      </c>
      <c r="AJ113" s="145" t="str">
        <f>IF(A113="","",posicao_contratual!K113)</f>
        <v/>
      </c>
      <c r="AK113" s="145" t="str">
        <f>IF(A113="","",posicao_contratual!O113)</f>
        <v/>
      </c>
      <c r="AL113" s="145" t="str">
        <f>IF(A113="","",posicao_contratual!S113)</f>
        <v/>
      </c>
      <c r="AM113" s="145" t="str">
        <f>IF(A113="","",posicao_contratual!W113)</f>
        <v/>
      </c>
      <c r="AN113" s="146" t="str">
        <f>IF(A113="","",posicao_contratual!X113)</f>
        <v/>
      </c>
      <c r="AO113" t="str">
        <f>IF($A113="","",ROUND(SUMIFS(itens_Consumidos!$E$2:$E$200,itens_Consumidos!$A$2:$A$200,$A113),2))</f>
        <v/>
      </c>
      <c r="AP113" t="str">
        <f t="shared" si="18"/>
        <v/>
      </c>
      <c r="AQ113" t="str">
        <f>IF(OR($A113="",AB113="",MEMORIA_RESULTADOS!$I$258=""),"",ROUND(AB113*$C113*(MEMORIA_RESULTADOS!$I$258-1),2))</f>
        <v/>
      </c>
      <c r="AR113" t="str">
        <f>IF(OR($A113="",AP113="",MEMORIA_RESULTADOS!$I$258=""),"",ROUND(AP113*$C113*(parametros!$F$2-MEMORIA_RESULTADOS!$I$258),2))</f>
        <v/>
      </c>
      <c r="AS113" t="str">
        <f>IF($A113="","",ROUND(SUMIFS(itens_Consumidos!$G$2:$G$200,itens_Consumidos!$A$2:$A$200,$A113),2))</f>
        <v/>
      </c>
      <c r="AT113" t="str">
        <f t="shared" si="19"/>
        <v/>
      </c>
      <c r="AU113" t="str">
        <f>IF(OR($A113="",M113="",MEMORIA_RESULTADOS!$I$259=""),"",ROUND(M113*$C113*(MEMORIA_RESULTADOS!$I$259-1),2))</f>
        <v/>
      </c>
      <c r="AV113" t="str">
        <f>IF(OR($A113="",AT113="",MEMORIA_RESULTADOS!$I$259=""),"",ROUND(AT113*$C113*(parametros!$F$3-MEMORIA_RESULTADOS!$I$259),2))</f>
        <v/>
      </c>
      <c r="AW113" t="str">
        <f>IF($A113="","",ROUND(SUMIFS(itens_Consumidos!$I$2:$I$200,itens_Consumidos!$A$2:$A$200,$A113),2))</f>
        <v/>
      </c>
      <c r="AX113" t="str">
        <f t="shared" si="20"/>
        <v/>
      </c>
      <c r="AY113" t="str">
        <f>IF(OR($A113="",O113="",MEMORIA_RESULTADOS!$I$260=""),"",ROUND(O113*$C113*(MEMORIA_RESULTADOS!$I$260-1),2))</f>
        <v/>
      </c>
      <c r="AZ113" t="str">
        <f>IF(OR($A113="",AX113="",MEMORIA_RESULTADOS!$I$260=""),"",ROUND(AX113*$C113*(parametros!$F$4-MEMORIA_RESULTADOS!$I$260),2))</f>
        <v/>
      </c>
      <c r="BA113" t="str">
        <f>IF($A113="","",ROUND(SUMIFS(itens_Consumidos!$K$2:$K$200,itens_Consumidos!$A$2:$A$200,$A113),2))</f>
        <v/>
      </c>
      <c r="BB113" t="str">
        <f t="shared" si="21"/>
        <v/>
      </c>
      <c r="BC113" t="str">
        <f>IF(OR($A113="",Q113="",MEMORIA_RESULTADOS!$I$261=""),"",ROUND(Q113*$C113*(MEMORIA_RESULTADOS!$I$261-1),2))</f>
        <v/>
      </c>
      <c r="BD113" t="str">
        <f>IF(OR($A113="",BB113="",MEMORIA_RESULTADOS!$I$261=""),"",ROUND(BB113*$C113*(parametros!$F$5-MEMORIA_RESULTADOS!$I$261),2))</f>
        <v/>
      </c>
      <c r="BE113" t="str">
        <f>IF($A113="","",ROUND(SUMIFS(itens_Consumidos!$M$2:$M$200,itens_Consumidos!$A$2:$A$200,$A113),2))</f>
        <v/>
      </c>
      <c r="BF113" t="str">
        <f t="shared" si="22"/>
        <v/>
      </c>
      <c r="BG113" t="str">
        <f>IF(OR($A113="",S113="",MEMORIA_RESULTADOS!$I$262=""),"",ROUND(S113*$C113*(MEMORIA_RESULTADOS!$I$262-1),2))</f>
        <v/>
      </c>
      <c r="BH113" t="str">
        <f>IF(OR($A113="",BF113="",MEMORIA_RESULTADOS!$I$262=""),"",ROUND(BF113*$C113*(parametros!$F$6-MEMORIA_RESULTADOS!$I$262),2))</f>
        <v/>
      </c>
      <c r="BI113" t="str">
        <f>IF($A113="","",IF(posicao_contratual!$AL113="","",posicao_contratual!$AL113))</f>
        <v/>
      </c>
    </row>
    <row r="114" spans="1:61" x14ac:dyDescent="0.35">
      <c r="A114" s="81"/>
      <c r="B114" s="82" t="str">
        <f t="shared" si="23"/>
        <v/>
      </c>
      <c r="C114" s="83"/>
      <c r="D114" s="79" t="str">
        <f>IF(AND(A114="",A113&lt;&gt;"",COUNTIF(A115:$A$200,"&lt;&gt;")=0),ROUND(SUMIF($A$2:A113,"&lt;&gt;",$D$2:D113),2),IF(OR(A114="",B114="",C114=""),"",ROUND(B114*C114,2)))</f>
        <v/>
      </c>
      <c r="E114" s="84"/>
      <c r="F114" s="79" t="str">
        <f>IF(AND(A114="",A113&lt;&gt;"",COUNTIF(A115:$A$200,"&lt;&gt;")=0),IF(COUNT(F$2:F113)=0,"",ROUND(SUMIF($A$2:A113,"&lt;&gt;",F$2:F113),2)),IF(OR(A114="",AND(ISNUMBER(posicao_contratual!$AL114),posicao_contratual!$AL114&gt;1),posicao_contratual!K114="",NOT(ISNUMBER(historico_VU!D114))),"",ROUND(posicao_contratual!K114*historico_VU!D114,2)))</f>
        <v/>
      </c>
      <c r="G114" s="84"/>
      <c r="H114" s="79" t="str">
        <f>IF(AND(A114="",A113&lt;&gt;"",COUNTIF(A115:$A$200,"&lt;&gt;")=0),IF(COUNT(H$2:H113)=0,"",ROUND(SUMIF($A$2:A113,"&lt;&gt;",H$2:H113),2)),IF(OR(A114="",AND(ISNUMBER(posicao_contratual!$AL114),posicao_contratual!$AL114&gt;2),posicao_contratual!O114="",NOT(ISNUMBER(historico_VU!E114))),"",ROUND(posicao_contratual!O114*historico_VU!E114,2)))</f>
        <v/>
      </c>
      <c r="I114" s="84"/>
      <c r="J114" s="79" t="str">
        <f>IF(AND(A114="",A113&lt;&gt;"",COUNTIF(A115:$A$200,"&lt;&gt;")=0),IF(COUNT(J$2:J113)=0,"",ROUND(SUMIF($A$2:A113,"&lt;&gt;",J$2:J113),2)),IF(OR(A114="",AND(ISNUMBER(posicao_contratual!$AL114),posicao_contratual!$AL114&gt;3),posicao_contratual!S114="",NOT(ISNUMBER(historico_VU!F114))),"",ROUND(posicao_contratual!S114*historico_VU!F114,2)))</f>
        <v/>
      </c>
      <c r="K114" s="84"/>
      <c r="L114" s="79" t="str">
        <f>IF(AND(A114="",A113&lt;&gt;"",COUNTIF(A115:$A$200,"&lt;&gt;")=0),IF(COUNT(L$2:L113)=0,"",ROUND(SUMIF($A$2:A113,"&lt;&gt;",L$2:L113),2)),IF(OR(A114="",AND(ISNUMBER(posicao_contratual!$AL114),posicao_contratual!$AL114&gt;4),posicao_contratual!W114="",NOT(ISNUMBER(historico_VU!G114))),"",ROUND(posicao_contratual!W114*historico_VU!G114,2)))</f>
        <v/>
      </c>
      <c r="M114" s="85" t="str">
        <f>IF(OR(posicao_contratual!J114="",posicao_contratual!N114=""),"",ROUND(MAX(posicao_contratual!J114+posicao_contratual!H114-posicao_contratual!N114,0),2))</f>
        <v/>
      </c>
      <c r="N114" s="79" t="str">
        <f>IF(AND(A114="",A113&lt;&gt;"",COUNTIF(A115:$A$200,"&lt;&gt;")=0),IF(COUNT(N$2:N113)=0,"",ROUND(SUMIF($A$2:A113,"&lt;&gt;",N$2:N113),2)),IF(OR(M114="",NOT(ISNUMBER(historico_VU!D114))),"",ROUND(M114*historico_VU!D114,2)))</f>
        <v/>
      </c>
      <c r="O114" s="85" t="str">
        <f>IF(OR(posicao_contratual!N114="",posicao_contratual!R114=""),"",ROUND(MAX(posicao_contratual!N114+posicao_contratual!L114-posicao_contratual!R114,0),2))</f>
        <v/>
      </c>
      <c r="P114" s="79" t="str">
        <f>IF(AND(A114="",A113&lt;&gt;"",COUNTIF(A115:$A$200,"&lt;&gt;")=0),IF(COUNT(P$2:P113)=0,"",ROUND(SUMIF($A$2:A113,"&lt;&gt;",P$2:P113),2)),IF(OR(O114="",NOT(ISNUMBER(historico_VU!E114))),"",ROUND(O114*historico_VU!E114,2)))</f>
        <v/>
      </c>
      <c r="Q114" s="85" t="str">
        <f>IF(OR(posicao_contratual!R114="",posicao_contratual!V114=""),"",ROUND(MAX(posicao_contratual!R114+posicao_contratual!P114-posicao_contratual!V114,0),2))</f>
        <v/>
      </c>
      <c r="R114" s="79" t="str">
        <f>IF(AND(A114="",A113&lt;&gt;"",COUNTIF(A115:$A$200,"&lt;&gt;")=0),IF(COUNT(R$2:R113)=0,"",ROUND(SUMIF($A$2:A113,"&lt;&gt;",R$2:R113),2)),IF(OR(Q114="",NOT(ISNUMBER(historico_VU!F114))),"",ROUND(Q114*historico_VU!F114,2)))</f>
        <v/>
      </c>
      <c r="S114" s="38"/>
      <c r="T114" s="39" t="str">
        <f>IF(AND(A114="",A113&lt;&gt;"",COUNTIF(A115:$A$200,"&lt;&gt;")=0),IF(COUNT(T$2:T113)=0,"",ROUND(SUMIF($A$2:A113,"&lt;&gt;",T$2:T113),2)),IF(OR(S114="",NOT(ISNUMBER(historico_VU!G114))),"",ROUND(S114*historico_VU!G114,2)))</f>
        <v/>
      </c>
      <c r="U114" s="86" t="str">
        <f>IF(AND(A114="",A113&lt;&gt;"",COUNTIF(A115:$A$200,"&lt;&gt;")=0),"TOTAL",IF(A114="","",posicao_contratual!X114))</f>
        <v/>
      </c>
      <c r="V114" s="86" t="str">
        <f>IF(A114="","",posicao_contratual!X114)</f>
        <v/>
      </c>
      <c r="W114" s="13"/>
      <c r="X114" s="13"/>
      <c r="Y114" s="13"/>
      <c r="Z114" s="13"/>
      <c r="AA114" s="13"/>
      <c r="AB114" s="85" t="str">
        <f>IF(OR(A114="",posicao_contratual!E114="",posicao_contratual!J114=""),"",ROUND(MAX(posicao_contratual!E114-posicao_contratual!J114,0),2))</f>
        <v/>
      </c>
      <c r="AC114" s="79" t="str">
        <f>IF(AND(A114="",A113&lt;&gt;"",COUNTIF(A115:$A$200,"&lt;&gt;")=0),IF(COUNT(AC$2:AC113)=0,"",ROUND(SUMIF($A$2:A113,"&lt;&gt;",AC$2:AC113),2)),IF(OR(AB114="",NOT(ISNUMBER(historico_VU!C114))),"",ROUND(AB114*historico_VU!C114,2)))</f>
        <v/>
      </c>
      <c r="AD114" s="145" t="str">
        <f>IF(A114="","",posicao_contratual!E114)</f>
        <v/>
      </c>
      <c r="AE114" s="145" t="str">
        <f>IF(A114="","",posicao_contratual!I114)</f>
        <v/>
      </c>
      <c r="AF114" s="145" t="str">
        <f>IF(A114="","",posicao_contratual!M114)</f>
        <v/>
      </c>
      <c r="AG114" s="145" t="str">
        <f>IF(A114="","",posicao_contratual!Q114)</f>
        <v/>
      </c>
      <c r="AH114" s="145" t="str">
        <f>IF(A114="","",posicao_contratual!U114)</f>
        <v/>
      </c>
      <c r="AI114" s="145" t="str">
        <f>IF(A114="","",posicao_contratual!G114)</f>
        <v/>
      </c>
      <c r="AJ114" s="145" t="str">
        <f>IF(A114="","",posicao_contratual!K114)</f>
        <v/>
      </c>
      <c r="AK114" s="145" t="str">
        <f>IF(A114="","",posicao_contratual!O114)</f>
        <v/>
      </c>
      <c r="AL114" s="145" t="str">
        <f>IF(A114="","",posicao_contratual!S114)</f>
        <v/>
      </c>
      <c r="AM114" s="145" t="str">
        <f>IF(A114="","",posicao_contratual!W114)</f>
        <v/>
      </c>
      <c r="AN114" s="146" t="str">
        <f>IF(A114="","",posicao_contratual!X114)</f>
        <v/>
      </c>
      <c r="AO114" t="str">
        <f>IF($A114="","",ROUND(SUMIFS(itens_Consumidos!$E$2:$E$200,itens_Consumidos!$A$2:$A$200,$A114),2))</f>
        <v/>
      </c>
      <c r="AP114" t="str">
        <f t="shared" si="18"/>
        <v/>
      </c>
      <c r="AQ114" t="str">
        <f>IF(OR($A114="",AB114="",MEMORIA_RESULTADOS!$I$258=""),"",ROUND(AB114*$C114*(MEMORIA_RESULTADOS!$I$258-1),2))</f>
        <v/>
      </c>
      <c r="AR114" t="str">
        <f>IF(OR($A114="",AP114="",MEMORIA_RESULTADOS!$I$258=""),"",ROUND(AP114*$C114*(parametros!$F$2-MEMORIA_RESULTADOS!$I$258),2))</f>
        <v/>
      </c>
      <c r="AS114" t="str">
        <f>IF($A114="","",ROUND(SUMIFS(itens_Consumidos!$G$2:$G$200,itens_Consumidos!$A$2:$A$200,$A114),2))</f>
        <v/>
      </c>
      <c r="AT114" t="str">
        <f t="shared" si="19"/>
        <v/>
      </c>
      <c r="AU114" t="str">
        <f>IF(OR($A114="",M114="",MEMORIA_RESULTADOS!$I$259=""),"",ROUND(M114*$C114*(MEMORIA_RESULTADOS!$I$259-1),2))</f>
        <v/>
      </c>
      <c r="AV114" t="str">
        <f>IF(OR($A114="",AT114="",MEMORIA_RESULTADOS!$I$259=""),"",ROUND(AT114*$C114*(parametros!$F$3-MEMORIA_RESULTADOS!$I$259),2))</f>
        <v/>
      </c>
      <c r="AW114" t="str">
        <f>IF($A114="","",ROUND(SUMIFS(itens_Consumidos!$I$2:$I$200,itens_Consumidos!$A$2:$A$200,$A114),2))</f>
        <v/>
      </c>
      <c r="AX114" t="str">
        <f t="shared" si="20"/>
        <v/>
      </c>
      <c r="AY114" t="str">
        <f>IF(OR($A114="",O114="",MEMORIA_RESULTADOS!$I$260=""),"",ROUND(O114*$C114*(MEMORIA_RESULTADOS!$I$260-1),2))</f>
        <v/>
      </c>
      <c r="AZ114" t="str">
        <f>IF(OR($A114="",AX114="",MEMORIA_RESULTADOS!$I$260=""),"",ROUND(AX114*$C114*(parametros!$F$4-MEMORIA_RESULTADOS!$I$260),2))</f>
        <v/>
      </c>
      <c r="BA114" t="str">
        <f>IF($A114="","",ROUND(SUMIFS(itens_Consumidos!$K$2:$K$200,itens_Consumidos!$A$2:$A$200,$A114),2))</f>
        <v/>
      </c>
      <c r="BB114" t="str">
        <f t="shared" si="21"/>
        <v/>
      </c>
      <c r="BC114" t="str">
        <f>IF(OR($A114="",Q114="",MEMORIA_RESULTADOS!$I$261=""),"",ROUND(Q114*$C114*(MEMORIA_RESULTADOS!$I$261-1),2))</f>
        <v/>
      </c>
      <c r="BD114" t="str">
        <f>IF(OR($A114="",BB114="",MEMORIA_RESULTADOS!$I$261=""),"",ROUND(BB114*$C114*(parametros!$F$5-MEMORIA_RESULTADOS!$I$261),2))</f>
        <v/>
      </c>
      <c r="BE114" t="str">
        <f>IF($A114="","",ROUND(SUMIFS(itens_Consumidos!$M$2:$M$200,itens_Consumidos!$A$2:$A$200,$A114),2))</f>
        <v/>
      </c>
      <c r="BF114" t="str">
        <f t="shared" si="22"/>
        <v/>
      </c>
      <c r="BG114" t="str">
        <f>IF(OR($A114="",S114="",MEMORIA_RESULTADOS!$I$262=""),"",ROUND(S114*$C114*(MEMORIA_RESULTADOS!$I$262-1),2))</f>
        <v/>
      </c>
      <c r="BH114" t="str">
        <f>IF(OR($A114="",BF114="",MEMORIA_RESULTADOS!$I$262=""),"",ROUND(BF114*$C114*(parametros!$F$6-MEMORIA_RESULTADOS!$I$262),2))</f>
        <v/>
      </c>
      <c r="BI114" t="str">
        <f>IF($A114="","",IF(posicao_contratual!$AL114="","",posicao_contratual!$AL114))</f>
        <v/>
      </c>
    </row>
    <row r="115" spans="1:61" x14ac:dyDescent="0.35">
      <c r="A115" s="81"/>
      <c r="B115" s="82" t="str">
        <f t="shared" si="23"/>
        <v/>
      </c>
      <c r="C115" s="83"/>
      <c r="D115" s="79" t="str">
        <f>IF(AND(A115="",A114&lt;&gt;"",COUNTIF(A116:$A$200,"&lt;&gt;")=0),ROUND(SUMIF($A$2:A114,"&lt;&gt;",$D$2:D114),2),IF(OR(A115="",B115="",C115=""),"",ROUND(B115*C115,2)))</f>
        <v/>
      </c>
      <c r="E115" s="84"/>
      <c r="F115" s="79" t="str">
        <f>IF(AND(A115="",A114&lt;&gt;"",COUNTIF(A116:$A$200,"&lt;&gt;")=0),IF(COUNT(F$2:F114)=0,"",ROUND(SUMIF($A$2:A114,"&lt;&gt;",F$2:F114),2)),IF(OR(A115="",AND(ISNUMBER(posicao_contratual!$AL115),posicao_contratual!$AL115&gt;1),posicao_contratual!K115="",NOT(ISNUMBER(historico_VU!D115))),"",ROUND(posicao_contratual!K115*historico_VU!D115,2)))</f>
        <v/>
      </c>
      <c r="G115" s="84"/>
      <c r="H115" s="79" t="str">
        <f>IF(AND(A115="",A114&lt;&gt;"",COUNTIF(A116:$A$200,"&lt;&gt;")=0),IF(COUNT(H$2:H114)=0,"",ROUND(SUMIF($A$2:A114,"&lt;&gt;",H$2:H114),2)),IF(OR(A115="",AND(ISNUMBER(posicao_contratual!$AL115),posicao_contratual!$AL115&gt;2),posicao_contratual!O115="",NOT(ISNUMBER(historico_VU!E115))),"",ROUND(posicao_contratual!O115*historico_VU!E115,2)))</f>
        <v/>
      </c>
      <c r="I115" s="84"/>
      <c r="J115" s="79" t="str">
        <f>IF(AND(A115="",A114&lt;&gt;"",COUNTIF(A116:$A$200,"&lt;&gt;")=0),IF(COUNT(J$2:J114)=0,"",ROUND(SUMIF($A$2:A114,"&lt;&gt;",J$2:J114),2)),IF(OR(A115="",AND(ISNUMBER(posicao_contratual!$AL115),posicao_contratual!$AL115&gt;3),posicao_contratual!S115="",NOT(ISNUMBER(historico_VU!F115))),"",ROUND(posicao_contratual!S115*historico_VU!F115,2)))</f>
        <v/>
      </c>
      <c r="K115" s="84"/>
      <c r="L115" s="79" t="str">
        <f>IF(AND(A115="",A114&lt;&gt;"",COUNTIF(A116:$A$200,"&lt;&gt;")=0),IF(COUNT(L$2:L114)=0,"",ROUND(SUMIF($A$2:A114,"&lt;&gt;",L$2:L114),2)),IF(OR(A115="",AND(ISNUMBER(posicao_contratual!$AL115),posicao_contratual!$AL115&gt;4),posicao_contratual!W115="",NOT(ISNUMBER(historico_VU!G115))),"",ROUND(posicao_contratual!W115*historico_VU!G115,2)))</f>
        <v/>
      </c>
      <c r="M115" s="85" t="str">
        <f>IF(OR(posicao_contratual!J115="",posicao_contratual!N115=""),"",ROUND(MAX(posicao_contratual!J115+posicao_contratual!H115-posicao_contratual!N115,0),2))</f>
        <v/>
      </c>
      <c r="N115" s="79" t="str">
        <f>IF(AND(A115="",A114&lt;&gt;"",COUNTIF(A116:$A$200,"&lt;&gt;")=0),IF(COUNT(N$2:N114)=0,"",ROUND(SUMIF($A$2:A114,"&lt;&gt;",N$2:N114),2)),IF(OR(M115="",NOT(ISNUMBER(historico_VU!D115))),"",ROUND(M115*historico_VU!D115,2)))</f>
        <v/>
      </c>
      <c r="O115" s="85" t="str">
        <f>IF(OR(posicao_contratual!N115="",posicao_contratual!R115=""),"",ROUND(MAX(posicao_contratual!N115+posicao_contratual!L115-posicao_contratual!R115,0),2))</f>
        <v/>
      </c>
      <c r="P115" s="79" t="str">
        <f>IF(AND(A115="",A114&lt;&gt;"",COUNTIF(A116:$A$200,"&lt;&gt;")=0),IF(COUNT(P$2:P114)=0,"",ROUND(SUMIF($A$2:A114,"&lt;&gt;",P$2:P114),2)),IF(OR(O115="",NOT(ISNUMBER(historico_VU!E115))),"",ROUND(O115*historico_VU!E115,2)))</f>
        <v/>
      </c>
      <c r="Q115" s="85" t="str">
        <f>IF(OR(posicao_contratual!R115="",posicao_contratual!V115=""),"",ROUND(MAX(posicao_contratual!R115+posicao_contratual!P115-posicao_contratual!V115,0),2))</f>
        <v/>
      </c>
      <c r="R115" s="79" t="str">
        <f>IF(AND(A115="",A114&lt;&gt;"",COUNTIF(A116:$A$200,"&lt;&gt;")=0),IF(COUNT(R$2:R114)=0,"",ROUND(SUMIF($A$2:A114,"&lt;&gt;",R$2:R114),2)),IF(OR(Q115="",NOT(ISNUMBER(historico_VU!F115))),"",ROUND(Q115*historico_VU!F115,2)))</f>
        <v/>
      </c>
      <c r="S115" s="38"/>
      <c r="T115" s="39" t="str">
        <f>IF(AND(A115="",A114&lt;&gt;"",COUNTIF(A116:$A$200,"&lt;&gt;")=0),IF(COUNT(T$2:T114)=0,"",ROUND(SUMIF($A$2:A114,"&lt;&gt;",T$2:T114),2)),IF(OR(S115="",NOT(ISNUMBER(historico_VU!G115))),"",ROUND(S115*historico_VU!G115,2)))</f>
        <v/>
      </c>
      <c r="U115" s="86" t="str">
        <f>IF(AND(A115="",A114&lt;&gt;"",COUNTIF(A116:$A$200,"&lt;&gt;")=0),"TOTAL",IF(A115="","",posicao_contratual!X115))</f>
        <v/>
      </c>
      <c r="V115" s="86" t="str">
        <f>IF(A115="","",posicao_contratual!X115)</f>
        <v/>
      </c>
      <c r="W115" s="13"/>
      <c r="X115" s="13"/>
      <c r="Y115" s="13"/>
      <c r="Z115" s="13"/>
      <c r="AA115" s="13"/>
      <c r="AB115" s="85" t="str">
        <f>IF(OR(A115="",posicao_contratual!E115="",posicao_contratual!J115=""),"",ROUND(MAX(posicao_contratual!E115-posicao_contratual!J115,0),2))</f>
        <v/>
      </c>
      <c r="AC115" s="79" t="str">
        <f>IF(AND(A115="",A114&lt;&gt;"",COUNTIF(A116:$A$200,"&lt;&gt;")=0),IF(COUNT(AC$2:AC114)=0,"",ROUND(SUMIF($A$2:A114,"&lt;&gt;",AC$2:AC114),2)),IF(OR(AB115="",NOT(ISNUMBER(historico_VU!C115))),"",ROUND(AB115*historico_VU!C115,2)))</f>
        <v/>
      </c>
      <c r="AD115" s="145" t="str">
        <f>IF(A115="","",posicao_contratual!E115)</f>
        <v/>
      </c>
      <c r="AE115" s="145" t="str">
        <f>IF(A115="","",posicao_contratual!I115)</f>
        <v/>
      </c>
      <c r="AF115" s="145" t="str">
        <f>IF(A115="","",posicao_contratual!M115)</f>
        <v/>
      </c>
      <c r="AG115" s="145" t="str">
        <f>IF(A115="","",posicao_contratual!Q115)</f>
        <v/>
      </c>
      <c r="AH115" s="145" t="str">
        <f>IF(A115="","",posicao_contratual!U115)</f>
        <v/>
      </c>
      <c r="AI115" s="145" t="str">
        <f>IF(A115="","",posicao_contratual!G115)</f>
        <v/>
      </c>
      <c r="AJ115" s="145" t="str">
        <f>IF(A115="","",posicao_contratual!K115)</f>
        <v/>
      </c>
      <c r="AK115" s="145" t="str">
        <f>IF(A115="","",posicao_contratual!O115)</f>
        <v/>
      </c>
      <c r="AL115" s="145" t="str">
        <f>IF(A115="","",posicao_contratual!S115)</f>
        <v/>
      </c>
      <c r="AM115" s="145" t="str">
        <f>IF(A115="","",posicao_contratual!W115)</f>
        <v/>
      </c>
      <c r="AN115" s="146" t="str">
        <f>IF(A115="","",posicao_contratual!X115)</f>
        <v/>
      </c>
      <c r="AO115" t="str">
        <f>IF($A115="","",ROUND(SUMIFS(itens_Consumidos!$E$2:$E$200,itens_Consumidos!$A$2:$A$200,$A115),2))</f>
        <v/>
      </c>
      <c r="AP115" t="str">
        <f t="shared" si="18"/>
        <v/>
      </c>
      <c r="AQ115" t="str">
        <f>IF(OR($A115="",AB115="",MEMORIA_RESULTADOS!$I$258=""),"",ROUND(AB115*$C115*(MEMORIA_RESULTADOS!$I$258-1),2))</f>
        <v/>
      </c>
      <c r="AR115" t="str">
        <f>IF(OR($A115="",AP115="",MEMORIA_RESULTADOS!$I$258=""),"",ROUND(AP115*$C115*(parametros!$F$2-MEMORIA_RESULTADOS!$I$258),2))</f>
        <v/>
      </c>
      <c r="AS115" t="str">
        <f>IF($A115="","",ROUND(SUMIFS(itens_Consumidos!$G$2:$G$200,itens_Consumidos!$A$2:$A$200,$A115),2))</f>
        <v/>
      </c>
      <c r="AT115" t="str">
        <f t="shared" si="19"/>
        <v/>
      </c>
      <c r="AU115" t="str">
        <f>IF(OR($A115="",M115="",MEMORIA_RESULTADOS!$I$259=""),"",ROUND(M115*$C115*(MEMORIA_RESULTADOS!$I$259-1),2))</f>
        <v/>
      </c>
      <c r="AV115" t="str">
        <f>IF(OR($A115="",AT115="",MEMORIA_RESULTADOS!$I$259=""),"",ROUND(AT115*$C115*(parametros!$F$3-MEMORIA_RESULTADOS!$I$259),2))</f>
        <v/>
      </c>
      <c r="AW115" t="str">
        <f>IF($A115="","",ROUND(SUMIFS(itens_Consumidos!$I$2:$I$200,itens_Consumidos!$A$2:$A$200,$A115),2))</f>
        <v/>
      </c>
      <c r="AX115" t="str">
        <f t="shared" si="20"/>
        <v/>
      </c>
      <c r="AY115" t="str">
        <f>IF(OR($A115="",O115="",MEMORIA_RESULTADOS!$I$260=""),"",ROUND(O115*$C115*(MEMORIA_RESULTADOS!$I$260-1),2))</f>
        <v/>
      </c>
      <c r="AZ115" t="str">
        <f>IF(OR($A115="",AX115="",MEMORIA_RESULTADOS!$I$260=""),"",ROUND(AX115*$C115*(parametros!$F$4-MEMORIA_RESULTADOS!$I$260),2))</f>
        <v/>
      </c>
      <c r="BA115" t="str">
        <f>IF($A115="","",ROUND(SUMIFS(itens_Consumidos!$K$2:$K$200,itens_Consumidos!$A$2:$A$200,$A115),2))</f>
        <v/>
      </c>
      <c r="BB115" t="str">
        <f t="shared" si="21"/>
        <v/>
      </c>
      <c r="BC115" t="str">
        <f>IF(OR($A115="",Q115="",MEMORIA_RESULTADOS!$I$261=""),"",ROUND(Q115*$C115*(MEMORIA_RESULTADOS!$I$261-1),2))</f>
        <v/>
      </c>
      <c r="BD115" t="str">
        <f>IF(OR($A115="",BB115="",MEMORIA_RESULTADOS!$I$261=""),"",ROUND(BB115*$C115*(parametros!$F$5-MEMORIA_RESULTADOS!$I$261),2))</f>
        <v/>
      </c>
      <c r="BE115" t="str">
        <f>IF($A115="","",ROUND(SUMIFS(itens_Consumidos!$M$2:$M$200,itens_Consumidos!$A$2:$A$200,$A115),2))</f>
        <v/>
      </c>
      <c r="BF115" t="str">
        <f t="shared" si="22"/>
        <v/>
      </c>
      <c r="BG115" t="str">
        <f>IF(OR($A115="",S115="",MEMORIA_RESULTADOS!$I$262=""),"",ROUND(S115*$C115*(MEMORIA_RESULTADOS!$I$262-1),2))</f>
        <v/>
      </c>
      <c r="BH115" t="str">
        <f>IF(OR($A115="",BF115="",MEMORIA_RESULTADOS!$I$262=""),"",ROUND(BF115*$C115*(parametros!$F$6-MEMORIA_RESULTADOS!$I$262),2))</f>
        <v/>
      </c>
      <c r="BI115" t="str">
        <f>IF($A115="","",IF(posicao_contratual!$AL115="","",posicao_contratual!$AL115))</f>
        <v/>
      </c>
    </row>
    <row r="116" spans="1:61" x14ac:dyDescent="0.35">
      <c r="A116" s="81"/>
      <c r="B116" s="82" t="str">
        <f t="shared" si="23"/>
        <v/>
      </c>
      <c r="C116" s="83"/>
      <c r="D116" s="79" t="str">
        <f>IF(AND(A116="",A115&lt;&gt;"",COUNTIF(A117:$A$200,"&lt;&gt;")=0),ROUND(SUMIF($A$2:A115,"&lt;&gt;",$D$2:D115),2),IF(OR(A116="",B116="",C116=""),"",ROUND(B116*C116,2)))</f>
        <v/>
      </c>
      <c r="E116" s="84"/>
      <c r="F116" s="79" t="str">
        <f>IF(AND(A116="",A115&lt;&gt;"",COUNTIF(A117:$A$200,"&lt;&gt;")=0),IF(COUNT(F$2:F115)=0,"",ROUND(SUMIF($A$2:A115,"&lt;&gt;",F$2:F115),2)),IF(OR(A116="",AND(ISNUMBER(posicao_contratual!$AL116),posicao_contratual!$AL116&gt;1),posicao_contratual!K116="",NOT(ISNUMBER(historico_VU!D116))),"",ROUND(posicao_contratual!K116*historico_VU!D116,2)))</f>
        <v/>
      </c>
      <c r="G116" s="84"/>
      <c r="H116" s="79" t="str">
        <f>IF(AND(A116="",A115&lt;&gt;"",COUNTIF(A117:$A$200,"&lt;&gt;")=0),IF(COUNT(H$2:H115)=0,"",ROUND(SUMIF($A$2:A115,"&lt;&gt;",H$2:H115),2)),IF(OR(A116="",AND(ISNUMBER(posicao_contratual!$AL116),posicao_contratual!$AL116&gt;2),posicao_contratual!O116="",NOT(ISNUMBER(historico_VU!E116))),"",ROUND(posicao_contratual!O116*historico_VU!E116,2)))</f>
        <v/>
      </c>
      <c r="I116" s="84"/>
      <c r="J116" s="79" t="str">
        <f>IF(AND(A116="",A115&lt;&gt;"",COUNTIF(A117:$A$200,"&lt;&gt;")=0),IF(COUNT(J$2:J115)=0,"",ROUND(SUMIF($A$2:A115,"&lt;&gt;",J$2:J115),2)),IF(OR(A116="",AND(ISNUMBER(posicao_contratual!$AL116),posicao_contratual!$AL116&gt;3),posicao_contratual!S116="",NOT(ISNUMBER(historico_VU!F116))),"",ROUND(posicao_contratual!S116*historico_VU!F116,2)))</f>
        <v/>
      </c>
      <c r="K116" s="84"/>
      <c r="L116" s="79" t="str">
        <f>IF(AND(A116="",A115&lt;&gt;"",COUNTIF(A117:$A$200,"&lt;&gt;")=0),IF(COUNT(L$2:L115)=0,"",ROUND(SUMIF($A$2:A115,"&lt;&gt;",L$2:L115),2)),IF(OR(A116="",AND(ISNUMBER(posicao_contratual!$AL116),posicao_contratual!$AL116&gt;4),posicao_contratual!W116="",NOT(ISNUMBER(historico_VU!G116))),"",ROUND(posicao_contratual!W116*historico_VU!G116,2)))</f>
        <v/>
      </c>
      <c r="M116" s="85" t="str">
        <f>IF(OR(posicao_contratual!J116="",posicao_contratual!N116=""),"",ROUND(MAX(posicao_contratual!J116+posicao_contratual!H116-posicao_contratual!N116,0),2))</f>
        <v/>
      </c>
      <c r="N116" s="79" t="str">
        <f>IF(AND(A116="",A115&lt;&gt;"",COUNTIF(A117:$A$200,"&lt;&gt;")=0),IF(COUNT(N$2:N115)=0,"",ROUND(SUMIF($A$2:A115,"&lt;&gt;",N$2:N115),2)),IF(OR(M116="",NOT(ISNUMBER(historico_VU!D116))),"",ROUND(M116*historico_VU!D116,2)))</f>
        <v/>
      </c>
      <c r="O116" s="85" t="str">
        <f>IF(OR(posicao_contratual!N116="",posicao_contratual!R116=""),"",ROUND(MAX(posicao_contratual!N116+posicao_contratual!L116-posicao_contratual!R116,0),2))</f>
        <v/>
      </c>
      <c r="P116" s="79" t="str">
        <f>IF(AND(A116="",A115&lt;&gt;"",COUNTIF(A117:$A$200,"&lt;&gt;")=0),IF(COUNT(P$2:P115)=0,"",ROUND(SUMIF($A$2:A115,"&lt;&gt;",P$2:P115),2)),IF(OR(O116="",NOT(ISNUMBER(historico_VU!E116))),"",ROUND(O116*historico_VU!E116,2)))</f>
        <v/>
      </c>
      <c r="Q116" s="85" t="str">
        <f>IF(OR(posicao_contratual!R116="",posicao_contratual!V116=""),"",ROUND(MAX(posicao_contratual!R116+posicao_contratual!P116-posicao_contratual!V116,0),2))</f>
        <v/>
      </c>
      <c r="R116" s="79" t="str">
        <f>IF(AND(A116="",A115&lt;&gt;"",COUNTIF(A117:$A$200,"&lt;&gt;")=0),IF(COUNT(R$2:R115)=0,"",ROUND(SUMIF($A$2:A115,"&lt;&gt;",R$2:R115),2)),IF(OR(Q116="",NOT(ISNUMBER(historico_VU!F116))),"",ROUND(Q116*historico_VU!F116,2)))</f>
        <v/>
      </c>
      <c r="S116" s="38"/>
      <c r="T116" s="39" t="str">
        <f>IF(AND(A116="",A115&lt;&gt;"",COUNTIF(A117:$A$200,"&lt;&gt;")=0),IF(COUNT(T$2:T115)=0,"",ROUND(SUMIF($A$2:A115,"&lt;&gt;",T$2:T115),2)),IF(OR(S116="",NOT(ISNUMBER(historico_VU!G116))),"",ROUND(S116*historico_VU!G116,2)))</f>
        <v/>
      </c>
      <c r="U116" s="86" t="str">
        <f>IF(AND(A116="",A115&lt;&gt;"",COUNTIF(A117:$A$200,"&lt;&gt;")=0),"TOTAL",IF(A116="","",posicao_contratual!X116))</f>
        <v/>
      </c>
      <c r="V116" s="86" t="str">
        <f>IF(A116="","",posicao_contratual!X116)</f>
        <v/>
      </c>
      <c r="W116" s="13"/>
      <c r="X116" s="13"/>
      <c r="Y116" s="13"/>
      <c r="Z116" s="13"/>
      <c r="AA116" s="13"/>
      <c r="AB116" s="85" t="str">
        <f>IF(OR(A116="",posicao_contratual!E116="",posicao_contratual!J116=""),"",ROUND(MAX(posicao_contratual!E116-posicao_contratual!J116,0),2))</f>
        <v/>
      </c>
      <c r="AC116" s="79" t="str">
        <f>IF(AND(A116="",A115&lt;&gt;"",COUNTIF(A117:$A$200,"&lt;&gt;")=0),IF(COUNT(AC$2:AC115)=0,"",ROUND(SUMIF($A$2:A115,"&lt;&gt;",AC$2:AC115),2)),IF(OR(AB116="",NOT(ISNUMBER(historico_VU!C116))),"",ROUND(AB116*historico_VU!C116,2)))</f>
        <v/>
      </c>
      <c r="AD116" s="145" t="str">
        <f>IF(A116="","",posicao_contratual!E116)</f>
        <v/>
      </c>
      <c r="AE116" s="145" t="str">
        <f>IF(A116="","",posicao_contratual!I116)</f>
        <v/>
      </c>
      <c r="AF116" s="145" t="str">
        <f>IF(A116="","",posicao_contratual!M116)</f>
        <v/>
      </c>
      <c r="AG116" s="145" t="str">
        <f>IF(A116="","",posicao_contratual!Q116)</f>
        <v/>
      </c>
      <c r="AH116" s="145" t="str">
        <f>IF(A116="","",posicao_contratual!U116)</f>
        <v/>
      </c>
      <c r="AI116" s="145" t="str">
        <f>IF(A116="","",posicao_contratual!G116)</f>
        <v/>
      </c>
      <c r="AJ116" s="145" t="str">
        <f>IF(A116="","",posicao_contratual!K116)</f>
        <v/>
      </c>
      <c r="AK116" s="145" t="str">
        <f>IF(A116="","",posicao_contratual!O116)</f>
        <v/>
      </c>
      <c r="AL116" s="145" t="str">
        <f>IF(A116="","",posicao_contratual!S116)</f>
        <v/>
      </c>
      <c r="AM116" s="145" t="str">
        <f>IF(A116="","",posicao_contratual!W116)</f>
        <v/>
      </c>
      <c r="AN116" s="146" t="str">
        <f>IF(A116="","",posicao_contratual!X116)</f>
        <v/>
      </c>
      <c r="AO116" t="str">
        <f>IF($A116="","",ROUND(SUMIFS(itens_Consumidos!$E$2:$E$200,itens_Consumidos!$A$2:$A$200,$A116),2))</f>
        <v/>
      </c>
      <c r="AP116" t="str">
        <f t="shared" si="18"/>
        <v/>
      </c>
      <c r="AQ116" t="str">
        <f>IF(OR($A116="",AB116="",MEMORIA_RESULTADOS!$I$258=""),"",ROUND(AB116*$C116*(MEMORIA_RESULTADOS!$I$258-1),2))</f>
        <v/>
      </c>
      <c r="AR116" t="str">
        <f>IF(OR($A116="",AP116="",MEMORIA_RESULTADOS!$I$258=""),"",ROUND(AP116*$C116*(parametros!$F$2-MEMORIA_RESULTADOS!$I$258),2))</f>
        <v/>
      </c>
      <c r="AS116" t="str">
        <f>IF($A116="","",ROUND(SUMIFS(itens_Consumidos!$G$2:$G$200,itens_Consumidos!$A$2:$A$200,$A116),2))</f>
        <v/>
      </c>
      <c r="AT116" t="str">
        <f t="shared" si="19"/>
        <v/>
      </c>
      <c r="AU116" t="str">
        <f>IF(OR($A116="",M116="",MEMORIA_RESULTADOS!$I$259=""),"",ROUND(M116*$C116*(MEMORIA_RESULTADOS!$I$259-1),2))</f>
        <v/>
      </c>
      <c r="AV116" t="str">
        <f>IF(OR($A116="",AT116="",MEMORIA_RESULTADOS!$I$259=""),"",ROUND(AT116*$C116*(parametros!$F$3-MEMORIA_RESULTADOS!$I$259),2))</f>
        <v/>
      </c>
      <c r="AW116" t="str">
        <f>IF($A116="","",ROUND(SUMIFS(itens_Consumidos!$I$2:$I$200,itens_Consumidos!$A$2:$A$200,$A116),2))</f>
        <v/>
      </c>
      <c r="AX116" t="str">
        <f t="shared" si="20"/>
        <v/>
      </c>
      <c r="AY116" t="str">
        <f>IF(OR($A116="",O116="",MEMORIA_RESULTADOS!$I$260=""),"",ROUND(O116*$C116*(MEMORIA_RESULTADOS!$I$260-1),2))</f>
        <v/>
      </c>
      <c r="AZ116" t="str">
        <f>IF(OR($A116="",AX116="",MEMORIA_RESULTADOS!$I$260=""),"",ROUND(AX116*$C116*(parametros!$F$4-MEMORIA_RESULTADOS!$I$260),2))</f>
        <v/>
      </c>
      <c r="BA116" t="str">
        <f>IF($A116="","",ROUND(SUMIFS(itens_Consumidos!$K$2:$K$200,itens_Consumidos!$A$2:$A$200,$A116),2))</f>
        <v/>
      </c>
      <c r="BB116" t="str">
        <f t="shared" si="21"/>
        <v/>
      </c>
      <c r="BC116" t="str">
        <f>IF(OR($A116="",Q116="",MEMORIA_RESULTADOS!$I$261=""),"",ROUND(Q116*$C116*(MEMORIA_RESULTADOS!$I$261-1),2))</f>
        <v/>
      </c>
      <c r="BD116" t="str">
        <f>IF(OR($A116="",BB116="",MEMORIA_RESULTADOS!$I$261=""),"",ROUND(BB116*$C116*(parametros!$F$5-MEMORIA_RESULTADOS!$I$261),2))</f>
        <v/>
      </c>
      <c r="BE116" t="str">
        <f>IF($A116="","",ROUND(SUMIFS(itens_Consumidos!$M$2:$M$200,itens_Consumidos!$A$2:$A$200,$A116),2))</f>
        <v/>
      </c>
      <c r="BF116" t="str">
        <f t="shared" si="22"/>
        <v/>
      </c>
      <c r="BG116" t="str">
        <f>IF(OR($A116="",S116="",MEMORIA_RESULTADOS!$I$262=""),"",ROUND(S116*$C116*(MEMORIA_RESULTADOS!$I$262-1),2))</f>
        <v/>
      </c>
      <c r="BH116" t="str">
        <f>IF(OR($A116="",BF116="",MEMORIA_RESULTADOS!$I$262=""),"",ROUND(BF116*$C116*(parametros!$F$6-MEMORIA_RESULTADOS!$I$262),2))</f>
        <v/>
      </c>
      <c r="BI116" t="str">
        <f>IF($A116="","",IF(posicao_contratual!$AL116="","",posicao_contratual!$AL116))</f>
        <v/>
      </c>
    </row>
    <row r="117" spans="1:61" x14ac:dyDescent="0.35">
      <c r="A117" s="81"/>
      <c r="B117" s="82" t="str">
        <f t="shared" si="23"/>
        <v/>
      </c>
      <c r="C117" s="83"/>
      <c r="D117" s="79" t="str">
        <f>IF(AND(A117="",A116&lt;&gt;"",COUNTIF(A118:$A$200,"&lt;&gt;")=0),ROUND(SUMIF($A$2:A116,"&lt;&gt;",$D$2:D116),2),IF(OR(A117="",B117="",C117=""),"",ROUND(B117*C117,2)))</f>
        <v/>
      </c>
      <c r="E117" s="84"/>
      <c r="F117" s="79" t="str">
        <f>IF(AND(A117="",A116&lt;&gt;"",COUNTIF(A118:$A$200,"&lt;&gt;")=0),IF(COUNT(F$2:F116)=0,"",ROUND(SUMIF($A$2:A116,"&lt;&gt;",F$2:F116),2)),IF(OR(A117="",AND(ISNUMBER(posicao_contratual!$AL117),posicao_contratual!$AL117&gt;1),posicao_contratual!K117="",NOT(ISNUMBER(historico_VU!D117))),"",ROUND(posicao_contratual!K117*historico_VU!D117,2)))</f>
        <v/>
      </c>
      <c r="G117" s="84"/>
      <c r="H117" s="79" t="str">
        <f>IF(AND(A117="",A116&lt;&gt;"",COUNTIF(A118:$A$200,"&lt;&gt;")=0),IF(COUNT(H$2:H116)=0,"",ROUND(SUMIF($A$2:A116,"&lt;&gt;",H$2:H116),2)),IF(OR(A117="",AND(ISNUMBER(posicao_contratual!$AL117),posicao_contratual!$AL117&gt;2),posicao_contratual!O117="",NOT(ISNUMBER(historico_VU!E117))),"",ROUND(posicao_contratual!O117*historico_VU!E117,2)))</f>
        <v/>
      </c>
      <c r="I117" s="84"/>
      <c r="J117" s="79" t="str">
        <f>IF(AND(A117="",A116&lt;&gt;"",COUNTIF(A118:$A$200,"&lt;&gt;")=0),IF(COUNT(J$2:J116)=0,"",ROUND(SUMIF($A$2:A116,"&lt;&gt;",J$2:J116),2)),IF(OR(A117="",AND(ISNUMBER(posicao_contratual!$AL117),posicao_contratual!$AL117&gt;3),posicao_contratual!S117="",NOT(ISNUMBER(historico_VU!F117))),"",ROUND(posicao_contratual!S117*historico_VU!F117,2)))</f>
        <v/>
      </c>
      <c r="K117" s="84"/>
      <c r="L117" s="79" t="str">
        <f>IF(AND(A117="",A116&lt;&gt;"",COUNTIF(A118:$A$200,"&lt;&gt;")=0),IF(COUNT(L$2:L116)=0,"",ROUND(SUMIF($A$2:A116,"&lt;&gt;",L$2:L116),2)),IF(OR(A117="",AND(ISNUMBER(posicao_contratual!$AL117),posicao_contratual!$AL117&gt;4),posicao_contratual!W117="",NOT(ISNUMBER(historico_VU!G117))),"",ROUND(posicao_contratual!W117*historico_VU!G117,2)))</f>
        <v/>
      </c>
      <c r="M117" s="85" t="str">
        <f>IF(OR(posicao_contratual!J117="",posicao_contratual!N117=""),"",ROUND(MAX(posicao_contratual!J117+posicao_contratual!H117-posicao_contratual!N117,0),2))</f>
        <v/>
      </c>
      <c r="N117" s="79" t="str">
        <f>IF(AND(A117="",A116&lt;&gt;"",COUNTIF(A118:$A$200,"&lt;&gt;")=0),IF(COUNT(N$2:N116)=0,"",ROUND(SUMIF($A$2:A116,"&lt;&gt;",N$2:N116),2)),IF(OR(M117="",NOT(ISNUMBER(historico_VU!D117))),"",ROUND(M117*historico_VU!D117,2)))</f>
        <v/>
      </c>
      <c r="O117" s="85" t="str">
        <f>IF(OR(posicao_contratual!N117="",posicao_contratual!R117=""),"",ROUND(MAX(posicao_contratual!N117+posicao_contratual!L117-posicao_contratual!R117,0),2))</f>
        <v/>
      </c>
      <c r="P117" s="79" t="str">
        <f>IF(AND(A117="",A116&lt;&gt;"",COUNTIF(A118:$A$200,"&lt;&gt;")=0),IF(COUNT(P$2:P116)=0,"",ROUND(SUMIF($A$2:A116,"&lt;&gt;",P$2:P116),2)),IF(OR(O117="",NOT(ISNUMBER(historico_VU!E117))),"",ROUND(O117*historico_VU!E117,2)))</f>
        <v/>
      </c>
      <c r="Q117" s="85" t="str">
        <f>IF(OR(posicao_contratual!R117="",posicao_contratual!V117=""),"",ROUND(MAX(posicao_contratual!R117+posicao_contratual!P117-posicao_contratual!V117,0),2))</f>
        <v/>
      </c>
      <c r="R117" s="79" t="str">
        <f>IF(AND(A117="",A116&lt;&gt;"",COUNTIF(A118:$A$200,"&lt;&gt;")=0),IF(COUNT(R$2:R116)=0,"",ROUND(SUMIF($A$2:A116,"&lt;&gt;",R$2:R116),2)),IF(OR(Q117="",NOT(ISNUMBER(historico_VU!F117))),"",ROUND(Q117*historico_VU!F117,2)))</f>
        <v/>
      </c>
      <c r="S117" s="38"/>
      <c r="T117" s="39" t="str">
        <f>IF(AND(A117="",A116&lt;&gt;"",COUNTIF(A118:$A$200,"&lt;&gt;")=0),IF(COUNT(T$2:T116)=0,"",ROUND(SUMIF($A$2:A116,"&lt;&gt;",T$2:T116),2)),IF(OR(S117="",NOT(ISNUMBER(historico_VU!G117))),"",ROUND(S117*historico_VU!G117,2)))</f>
        <v/>
      </c>
      <c r="U117" s="86" t="str">
        <f>IF(AND(A117="",A116&lt;&gt;"",COUNTIF(A118:$A$200,"&lt;&gt;")=0),"TOTAL",IF(A117="","",posicao_contratual!X117))</f>
        <v/>
      </c>
      <c r="V117" s="86" t="str">
        <f>IF(A117="","",posicao_contratual!X117)</f>
        <v/>
      </c>
      <c r="W117" s="13"/>
      <c r="X117" s="13"/>
      <c r="Y117" s="13"/>
      <c r="Z117" s="13"/>
      <c r="AA117" s="13"/>
      <c r="AB117" s="85" t="str">
        <f>IF(OR(A117="",posicao_contratual!E117="",posicao_contratual!J117=""),"",ROUND(MAX(posicao_contratual!E117-posicao_contratual!J117,0),2))</f>
        <v/>
      </c>
      <c r="AC117" s="79" t="str">
        <f>IF(AND(A117="",A116&lt;&gt;"",COUNTIF(A118:$A$200,"&lt;&gt;")=0),IF(COUNT(AC$2:AC116)=0,"",ROUND(SUMIF($A$2:A116,"&lt;&gt;",AC$2:AC116),2)),IF(OR(AB117="",NOT(ISNUMBER(historico_VU!C117))),"",ROUND(AB117*historico_VU!C117,2)))</f>
        <v/>
      </c>
      <c r="AD117" s="145" t="str">
        <f>IF(A117="","",posicao_contratual!E117)</f>
        <v/>
      </c>
      <c r="AE117" s="145" t="str">
        <f>IF(A117="","",posicao_contratual!I117)</f>
        <v/>
      </c>
      <c r="AF117" s="145" t="str">
        <f>IF(A117="","",posicao_contratual!M117)</f>
        <v/>
      </c>
      <c r="AG117" s="145" t="str">
        <f>IF(A117="","",posicao_contratual!Q117)</f>
        <v/>
      </c>
      <c r="AH117" s="145" t="str">
        <f>IF(A117="","",posicao_contratual!U117)</f>
        <v/>
      </c>
      <c r="AI117" s="145" t="str">
        <f>IF(A117="","",posicao_contratual!G117)</f>
        <v/>
      </c>
      <c r="AJ117" s="145" t="str">
        <f>IF(A117="","",posicao_contratual!K117)</f>
        <v/>
      </c>
      <c r="AK117" s="145" t="str">
        <f>IF(A117="","",posicao_contratual!O117)</f>
        <v/>
      </c>
      <c r="AL117" s="145" t="str">
        <f>IF(A117="","",posicao_contratual!S117)</f>
        <v/>
      </c>
      <c r="AM117" s="145" t="str">
        <f>IF(A117="","",posicao_contratual!W117)</f>
        <v/>
      </c>
      <c r="AN117" s="146" t="str">
        <f>IF(A117="","",posicao_contratual!X117)</f>
        <v/>
      </c>
      <c r="AO117" t="str">
        <f>IF($A117="","",ROUND(SUMIFS(itens_Consumidos!$E$2:$E$200,itens_Consumidos!$A$2:$A$200,$A117),2))</f>
        <v/>
      </c>
      <c r="AP117" t="str">
        <f t="shared" si="18"/>
        <v/>
      </c>
      <c r="AQ117" t="str">
        <f>IF(OR($A117="",AB117="",MEMORIA_RESULTADOS!$I$258=""),"",ROUND(AB117*$C117*(MEMORIA_RESULTADOS!$I$258-1),2))</f>
        <v/>
      </c>
      <c r="AR117" t="str">
        <f>IF(OR($A117="",AP117="",MEMORIA_RESULTADOS!$I$258=""),"",ROUND(AP117*$C117*(parametros!$F$2-MEMORIA_RESULTADOS!$I$258),2))</f>
        <v/>
      </c>
      <c r="AS117" t="str">
        <f>IF($A117="","",ROUND(SUMIFS(itens_Consumidos!$G$2:$G$200,itens_Consumidos!$A$2:$A$200,$A117),2))</f>
        <v/>
      </c>
      <c r="AT117" t="str">
        <f t="shared" si="19"/>
        <v/>
      </c>
      <c r="AU117" t="str">
        <f>IF(OR($A117="",M117="",MEMORIA_RESULTADOS!$I$259=""),"",ROUND(M117*$C117*(MEMORIA_RESULTADOS!$I$259-1),2))</f>
        <v/>
      </c>
      <c r="AV117" t="str">
        <f>IF(OR($A117="",AT117="",MEMORIA_RESULTADOS!$I$259=""),"",ROUND(AT117*$C117*(parametros!$F$3-MEMORIA_RESULTADOS!$I$259),2))</f>
        <v/>
      </c>
      <c r="AW117" t="str">
        <f>IF($A117="","",ROUND(SUMIFS(itens_Consumidos!$I$2:$I$200,itens_Consumidos!$A$2:$A$200,$A117),2))</f>
        <v/>
      </c>
      <c r="AX117" t="str">
        <f t="shared" si="20"/>
        <v/>
      </c>
      <c r="AY117" t="str">
        <f>IF(OR($A117="",O117="",MEMORIA_RESULTADOS!$I$260=""),"",ROUND(O117*$C117*(MEMORIA_RESULTADOS!$I$260-1),2))</f>
        <v/>
      </c>
      <c r="AZ117" t="str">
        <f>IF(OR($A117="",AX117="",MEMORIA_RESULTADOS!$I$260=""),"",ROUND(AX117*$C117*(parametros!$F$4-MEMORIA_RESULTADOS!$I$260),2))</f>
        <v/>
      </c>
      <c r="BA117" t="str">
        <f>IF($A117="","",ROUND(SUMIFS(itens_Consumidos!$K$2:$K$200,itens_Consumidos!$A$2:$A$200,$A117),2))</f>
        <v/>
      </c>
      <c r="BB117" t="str">
        <f t="shared" si="21"/>
        <v/>
      </c>
      <c r="BC117" t="str">
        <f>IF(OR($A117="",Q117="",MEMORIA_RESULTADOS!$I$261=""),"",ROUND(Q117*$C117*(MEMORIA_RESULTADOS!$I$261-1),2))</f>
        <v/>
      </c>
      <c r="BD117" t="str">
        <f>IF(OR($A117="",BB117="",MEMORIA_RESULTADOS!$I$261=""),"",ROUND(BB117*$C117*(parametros!$F$5-MEMORIA_RESULTADOS!$I$261),2))</f>
        <v/>
      </c>
      <c r="BE117" t="str">
        <f>IF($A117="","",ROUND(SUMIFS(itens_Consumidos!$M$2:$M$200,itens_Consumidos!$A$2:$A$200,$A117),2))</f>
        <v/>
      </c>
      <c r="BF117" t="str">
        <f t="shared" si="22"/>
        <v/>
      </c>
      <c r="BG117" t="str">
        <f>IF(OR($A117="",S117="",MEMORIA_RESULTADOS!$I$262=""),"",ROUND(S117*$C117*(MEMORIA_RESULTADOS!$I$262-1),2))</f>
        <v/>
      </c>
      <c r="BH117" t="str">
        <f>IF(OR($A117="",BF117="",MEMORIA_RESULTADOS!$I$262=""),"",ROUND(BF117*$C117*(parametros!$F$6-MEMORIA_RESULTADOS!$I$262),2))</f>
        <v/>
      </c>
      <c r="BI117" t="str">
        <f>IF($A117="","",IF(posicao_contratual!$AL117="","",posicao_contratual!$AL117))</f>
        <v/>
      </c>
    </row>
    <row r="118" spans="1:61" x14ac:dyDescent="0.35">
      <c r="A118" s="81"/>
      <c r="B118" s="82" t="str">
        <f t="shared" si="23"/>
        <v/>
      </c>
      <c r="C118" s="83"/>
      <c r="D118" s="79" t="str">
        <f>IF(AND(A118="",A117&lt;&gt;"",COUNTIF(A119:$A$200,"&lt;&gt;")=0),ROUND(SUMIF($A$2:A117,"&lt;&gt;",$D$2:D117),2),IF(OR(A118="",B118="",C118=""),"",ROUND(B118*C118,2)))</f>
        <v/>
      </c>
      <c r="E118" s="84"/>
      <c r="F118" s="79" t="str">
        <f>IF(AND(A118="",A117&lt;&gt;"",COUNTIF(A119:$A$200,"&lt;&gt;")=0),IF(COUNT(F$2:F117)=0,"",ROUND(SUMIF($A$2:A117,"&lt;&gt;",F$2:F117),2)),IF(OR(A118="",AND(ISNUMBER(posicao_contratual!$AL118),posicao_contratual!$AL118&gt;1),posicao_contratual!K118="",NOT(ISNUMBER(historico_VU!D118))),"",ROUND(posicao_contratual!K118*historico_VU!D118,2)))</f>
        <v/>
      </c>
      <c r="G118" s="84"/>
      <c r="H118" s="79" t="str">
        <f>IF(AND(A118="",A117&lt;&gt;"",COUNTIF(A119:$A$200,"&lt;&gt;")=0),IF(COUNT(H$2:H117)=0,"",ROUND(SUMIF($A$2:A117,"&lt;&gt;",H$2:H117),2)),IF(OR(A118="",AND(ISNUMBER(posicao_contratual!$AL118),posicao_contratual!$AL118&gt;2),posicao_contratual!O118="",NOT(ISNUMBER(historico_VU!E118))),"",ROUND(posicao_contratual!O118*historico_VU!E118,2)))</f>
        <v/>
      </c>
      <c r="I118" s="84"/>
      <c r="J118" s="79" t="str">
        <f>IF(AND(A118="",A117&lt;&gt;"",COUNTIF(A119:$A$200,"&lt;&gt;")=0),IF(COUNT(J$2:J117)=0,"",ROUND(SUMIF($A$2:A117,"&lt;&gt;",J$2:J117),2)),IF(OR(A118="",AND(ISNUMBER(posicao_contratual!$AL118),posicao_contratual!$AL118&gt;3),posicao_contratual!S118="",NOT(ISNUMBER(historico_VU!F118))),"",ROUND(posicao_contratual!S118*historico_VU!F118,2)))</f>
        <v/>
      </c>
      <c r="K118" s="84"/>
      <c r="L118" s="79" t="str">
        <f>IF(AND(A118="",A117&lt;&gt;"",COUNTIF(A119:$A$200,"&lt;&gt;")=0),IF(COUNT(L$2:L117)=0,"",ROUND(SUMIF($A$2:A117,"&lt;&gt;",L$2:L117),2)),IF(OR(A118="",AND(ISNUMBER(posicao_contratual!$AL118),posicao_contratual!$AL118&gt;4),posicao_contratual!W118="",NOT(ISNUMBER(historico_VU!G118))),"",ROUND(posicao_contratual!W118*historico_VU!G118,2)))</f>
        <v/>
      </c>
      <c r="M118" s="85" t="str">
        <f>IF(OR(posicao_contratual!J118="",posicao_contratual!N118=""),"",ROUND(MAX(posicao_contratual!J118+posicao_contratual!H118-posicao_contratual!N118,0),2))</f>
        <v/>
      </c>
      <c r="N118" s="79" t="str">
        <f>IF(AND(A118="",A117&lt;&gt;"",COUNTIF(A119:$A$200,"&lt;&gt;")=0),IF(COUNT(N$2:N117)=0,"",ROUND(SUMIF($A$2:A117,"&lt;&gt;",N$2:N117),2)),IF(OR(M118="",NOT(ISNUMBER(historico_VU!D118))),"",ROUND(M118*historico_VU!D118,2)))</f>
        <v/>
      </c>
      <c r="O118" s="85" t="str">
        <f>IF(OR(posicao_contratual!N118="",posicao_contratual!R118=""),"",ROUND(MAX(posicao_contratual!N118+posicao_contratual!L118-posicao_contratual!R118,0),2))</f>
        <v/>
      </c>
      <c r="P118" s="79" t="str">
        <f>IF(AND(A118="",A117&lt;&gt;"",COUNTIF(A119:$A$200,"&lt;&gt;")=0),IF(COUNT(P$2:P117)=0,"",ROUND(SUMIF($A$2:A117,"&lt;&gt;",P$2:P117),2)),IF(OR(O118="",NOT(ISNUMBER(historico_VU!E118))),"",ROUND(O118*historico_VU!E118,2)))</f>
        <v/>
      </c>
      <c r="Q118" s="85" t="str">
        <f>IF(OR(posicao_contratual!R118="",posicao_contratual!V118=""),"",ROUND(MAX(posicao_contratual!R118+posicao_contratual!P118-posicao_contratual!V118,0),2))</f>
        <v/>
      </c>
      <c r="R118" s="79" t="str">
        <f>IF(AND(A118="",A117&lt;&gt;"",COUNTIF(A119:$A$200,"&lt;&gt;")=0),IF(COUNT(R$2:R117)=0,"",ROUND(SUMIF($A$2:A117,"&lt;&gt;",R$2:R117),2)),IF(OR(Q118="",NOT(ISNUMBER(historico_VU!F118))),"",ROUND(Q118*historico_VU!F118,2)))</f>
        <v/>
      </c>
      <c r="S118" s="38"/>
      <c r="T118" s="39" t="str">
        <f>IF(AND(A118="",A117&lt;&gt;"",COUNTIF(A119:$A$200,"&lt;&gt;")=0),IF(COUNT(T$2:T117)=0,"",ROUND(SUMIF($A$2:A117,"&lt;&gt;",T$2:T117),2)),IF(OR(S118="",NOT(ISNUMBER(historico_VU!G118))),"",ROUND(S118*historico_VU!G118,2)))</f>
        <v/>
      </c>
      <c r="U118" s="86" t="str">
        <f>IF(AND(A118="",A117&lt;&gt;"",COUNTIF(A119:$A$200,"&lt;&gt;")=0),"TOTAL",IF(A118="","",posicao_contratual!X118))</f>
        <v/>
      </c>
      <c r="V118" s="86" t="str">
        <f>IF(A118="","",posicao_contratual!X118)</f>
        <v/>
      </c>
      <c r="W118" s="13"/>
      <c r="X118" s="13"/>
      <c r="Y118" s="13"/>
      <c r="Z118" s="13"/>
      <c r="AA118" s="13"/>
      <c r="AB118" s="85" t="str">
        <f>IF(OR(A118="",posicao_contratual!E118="",posicao_contratual!J118=""),"",ROUND(MAX(posicao_contratual!E118-posicao_contratual!J118,0),2))</f>
        <v/>
      </c>
      <c r="AC118" s="79" t="str">
        <f>IF(AND(A118="",A117&lt;&gt;"",COUNTIF(A119:$A$200,"&lt;&gt;")=0),IF(COUNT(AC$2:AC117)=0,"",ROUND(SUMIF($A$2:A117,"&lt;&gt;",AC$2:AC117),2)),IF(OR(AB118="",NOT(ISNUMBER(historico_VU!C118))),"",ROUND(AB118*historico_VU!C118,2)))</f>
        <v/>
      </c>
      <c r="AD118" s="145" t="str">
        <f>IF(A118="","",posicao_contratual!E118)</f>
        <v/>
      </c>
      <c r="AE118" s="145" t="str">
        <f>IF(A118="","",posicao_contratual!I118)</f>
        <v/>
      </c>
      <c r="AF118" s="145" t="str">
        <f>IF(A118="","",posicao_contratual!M118)</f>
        <v/>
      </c>
      <c r="AG118" s="145" t="str">
        <f>IF(A118="","",posicao_contratual!Q118)</f>
        <v/>
      </c>
      <c r="AH118" s="145" t="str">
        <f>IF(A118="","",posicao_contratual!U118)</f>
        <v/>
      </c>
      <c r="AI118" s="145" t="str">
        <f>IF(A118="","",posicao_contratual!G118)</f>
        <v/>
      </c>
      <c r="AJ118" s="145" t="str">
        <f>IF(A118="","",posicao_contratual!K118)</f>
        <v/>
      </c>
      <c r="AK118" s="145" t="str">
        <f>IF(A118="","",posicao_contratual!O118)</f>
        <v/>
      </c>
      <c r="AL118" s="145" t="str">
        <f>IF(A118="","",posicao_contratual!S118)</f>
        <v/>
      </c>
      <c r="AM118" s="145" t="str">
        <f>IF(A118="","",posicao_contratual!W118)</f>
        <v/>
      </c>
      <c r="AN118" s="146" t="str">
        <f>IF(A118="","",posicao_contratual!X118)</f>
        <v/>
      </c>
      <c r="AO118" t="str">
        <f>IF($A118="","",ROUND(SUMIFS(itens_Consumidos!$E$2:$E$200,itens_Consumidos!$A$2:$A$200,$A118),2))</f>
        <v/>
      </c>
      <c r="AP118" t="str">
        <f t="shared" si="18"/>
        <v/>
      </c>
      <c r="AQ118" t="str">
        <f>IF(OR($A118="",AB118="",MEMORIA_RESULTADOS!$I$258=""),"",ROUND(AB118*$C118*(MEMORIA_RESULTADOS!$I$258-1),2))</f>
        <v/>
      </c>
      <c r="AR118" t="str">
        <f>IF(OR($A118="",AP118="",MEMORIA_RESULTADOS!$I$258=""),"",ROUND(AP118*$C118*(parametros!$F$2-MEMORIA_RESULTADOS!$I$258),2))</f>
        <v/>
      </c>
      <c r="AS118" t="str">
        <f>IF($A118="","",ROUND(SUMIFS(itens_Consumidos!$G$2:$G$200,itens_Consumidos!$A$2:$A$200,$A118),2))</f>
        <v/>
      </c>
      <c r="AT118" t="str">
        <f t="shared" si="19"/>
        <v/>
      </c>
      <c r="AU118" t="str">
        <f>IF(OR($A118="",M118="",MEMORIA_RESULTADOS!$I$259=""),"",ROUND(M118*$C118*(MEMORIA_RESULTADOS!$I$259-1),2))</f>
        <v/>
      </c>
      <c r="AV118" t="str">
        <f>IF(OR($A118="",AT118="",MEMORIA_RESULTADOS!$I$259=""),"",ROUND(AT118*$C118*(parametros!$F$3-MEMORIA_RESULTADOS!$I$259),2))</f>
        <v/>
      </c>
      <c r="AW118" t="str">
        <f>IF($A118="","",ROUND(SUMIFS(itens_Consumidos!$I$2:$I$200,itens_Consumidos!$A$2:$A$200,$A118),2))</f>
        <v/>
      </c>
      <c r="AX118" t="str">
        <f t="shared" si="20"/>
        <v/>
      </c>
      <c r="AY118" t="str">
        <f>IF(OR($A118="",O118="",MEMORIA_RESULTADOS!$I$260=""),"",ROUND(O118*$C118*(MEMORIA_RESULTADOS!$I$260-1),2))</f>
        <v/>
      </c>
      <c r="AZ118" t="str">
        <f>IF(OR($A118="",AX118="",MEMORIA_RESULTADOS!$I$260=""),"",ROUND(AX118*$C118*(parametros!$F$4-MEMORIA_RESULTADOS!$I$260),2))</f>
        <v/>
      </c>
      <c r="BA118" t="str">
        <f>IF($A118="","",ROUND(SUMIFS(itens_Consumidos!$K$2:$K$200,itens_Consumidos!$A$2:$A$200,$A118),2))</f>
        <v/>
      </c>
      <c r="BB118" t="str">
        <f t="shared" si="21"/>
        <v/>
      </c>
      <c r="BC118" t="str">
        <f>IF(OR($A118="",Q118="",MEMORIA_RESULTADOS!$I$261=""),"",ROUND(Q118*$C118*(MEMORIA_RESULTADOS!$I$261-1),2))</f>
        <v/>
      </c>
      <c r="BD118" t="str">
        <f>IF(OR($A118="",BB118="",MEMORIA_RESULTADOS!$I$261=""),"",ROUND(BB118*$C118*(parametros!$F$5-MEMORIA_RESULTADOS!$I$261),2))</f>
        <v/>
      </c>
      <c r="BE118" t="str">
        <f>IF($A118="","",ROUND(SUMIFS(itens_Consumidos!$M$2:$M$200,itens_Consumidos!$A$2:$A$200,$A118),2))</f>
        <v/>
      </c>
      <c r="BF118" t="str">
        <f t="shared" si="22"/>
        <v/>
      </c>
      <c r="BG118" t="str">
        <f>IF(OR($A118="",S118="",MEMORIA_RESULTADOS!$I$262=""),"",ROUND(S118*$C118*(MEMORIA_RESULTADOS!$I$262-1),2))</f>
        <v/>
      </c>
      <c r="BH118" t="str">
        <f>IF(OR($A118="",BF118="",MEMORIA_RESULTADOS!$I$262=""),"",ROUND(BF118*$C118*(parametros!$F$6-MEMORIA_RESULTADOS!$I$262),2))</f>
        <v/>
      </c>
      <c r="BI118" t="str">
        <f>IF($A118="","",IF(posicao_contratual!$AL118="","",posicao_contratual!$AL118))</f>
        <v/>
      </c>
    </row>
    <row r="119" spans="1:61" x14ac:dyDescent="0.35">
      <c r="A119" s="81"/>
      <c r="B119" s="82" t="str">
        <f t="shared" si="23"/>
        <v/>
      </c>
      <c r="C119" s="83"/>
      <c r="D119" s="79" t="str">
        <f>IF(AND(A119="",A118&lt;&gt;"",COUNTIF(A120:$A$200,"&lt;&gt;")=0),ROUND(SUMIF($A$2:A118,"&lt;&gt;",$D$2:D118),2),IF(OR(A119="",B119="",C119=""),"",ROUND(B119*C119,2)))</f>
        <v/>
      </c>
      <c r="E119" s="84"/>
      <c r="F119" s="79" t="str">
        <f>IF(AND(A119="",A118&lt;&gt;"",COUNTIF(A120:$A$200,"&lt;&gt;")=0),IF(COUNT(F$2:F118)=0,"",ROUND(SUMIF($A$2:A118,"&lt;&gt;",F$2:F118),2)),IF(OR(A119="",AND(ISNUMBER(posicao_contratual!$AL119),posicao_contratual!$AL119&gt;1),posicao_contratual!K119="",NOT(ISNUMBER(historico_VU!D119))),"",ROUND(posicao_contratual!K119*historico_VU!D119,2)))</f>
        <v/>
      </c>
      <c r="G119" s="84"/>
      <c r="H119" s="79" t="str">
        <f>IF(AND(A119="",A118&lt;&gt;"",COUNTIF(A120:$A$200,"&lt;&gt;")=0),IF(COUNT(H$2:H118)=0,"",ROUND(SUMIF($A$2:A118,"&lt;&gt;",H$2:H118),2)),IF(OR(A119="",AND(ISNUMBER(posicao_contratual!$AL119),posicao_contratual!$AL119&gt;2),posicao_contratual!O119="",NOT(ISNUMBER(historico_VU!E119))),"",ROUND(posicao_contratual!O119*historico_VU!E119,2)))</f>
        <v/>
      </c>
      <c r="I119" s="84"/>
      <c r="J119" s="79" t="str">
        <f>IF(AND(A119="",A118&lt;&gt;"",COUNTIF(A120:$A$200,"&lt;&gt;")=0),IF(COUNT(J$2:J118)=0,"",ROUND(SUMIF($A$2:A118,"&lt;&gt;",J$2:J118),2)),IF(OR(A119="",AND(ISNUMBER(posicao_contratual!$AL119),posicao_contratual!$AL119&gt;3),posicao_contratual!S119="",NOT(ISNUMBER(historico_VU!F119))),"",ROUND(posicao_contratual!S119*historico_VU!F119,2)))</f>
        <v/>
      </c>
      <c r="K119" s="84"/>
      <c r="L119" s="79" t="str">
        <f>IF(AND(A119="",A118&lt;&gt;"",COUNTIF(A120:$A$200,"&lt;&gt;")=0),IF(COUNT(L$2:L118)=0,"",ROUND(SUMIF($A$2:A118,"&lt;&gt;",L$2:L118),2)),IF(OR(A119="",AND(ISNUMBER(posicao_contratual!$AL119),posicao_contratual!$AL119&gt;4),posicao_contratual!W119="",NOT(ISNUMBER(historico_VU!G119))),"",ROUND(posicao_contratual!W119*historico_VU!G119,2)))</f>
        <v/>
      </c>
      <c r="M119" s="85" t="str">
        <f>IF(OR(posicao_contratual!J119="",posicao_contratual!N119=""),"",ROUND(MAX(posicao_contratual!J119+posicao_contratual!H119-posicao_contratual!N119,0),2))</f>
        <v/>
      </c>
      <c r="N119" s="79" t="str">
        <f>IF(AND(A119="",A118&lt;&gt;"",COUNTIF(A120:$A$200,"&lt;&gt;")=0),IF(COUNT(N$2:N118)=0,"",ROUND(SUMIF($A$2:A118,"&lt;&gt;",N$2:N118),2)),IF(OR(M119="",NOT(ISNUMBER(historico_VU!D119))),"",ROUND(M119*historico_VU!D119,2)))</f>
        <v/>
      </c>
      <c r="O119" s="85" t="str">
        <f>IF(OR(posicao_contratual!N119="",posicao_contratual!R119=""),"",ROUND(MAX(posicao_contratual!N119+posicao_contratual!L119-posicao_contratual!R119,0),2))</f>
        <v/>
      </c>
      <c r="P119" s="79" t="str">
        <f>IF(AND(A119="",A118&lt;&gt;"",COUNTIF(A120:$A$200,"&lt;&gt;")=0),IF(COUNT(P$2:P118)=0,"",ROUND(SUMIF($A$2:A118,"&lt;&gt;",P$2:P118),2)),IF(OR(O119="",NOT(ISNUMBER(historico_VU!E119))),"",ROUND(O119*historico_VU!E119,2)))</f>
        <v/>
      </c>
      <c r="Q119" s="85" t="str">
        <f>IF(OR(posicao_contratual!R119="",posicao_contratual!V119=""),"",ROUND(MAX(posicao_contratual!R119+posicao_contratual!P119-posicao_contratual!V119,0),2))</f>
        <v/>
      </c>
      <c r="R119" s="79" t="str">
        <f>IF(AND(A119="",A118&lt;&gt;"",COUNTIF(A120:$A$200,"&lt;&gt;")=0),IF(COUNT(R$2:R118)=0,"",ROUND(SUMIF($A$2:A118,"&lt;&gt;",R$2:R118),2)),IF(OR(Q119="",NOT(ISNUMBER(historico_VU!F119))),"",ROUND(Q119*historico_VU!F119,2)))</f>
        <v/>
      </c>
      <c r="S119" s="38"/>
      <c r="T119" s="39" t="str">
        <f>IF(AND(A119="",A118&lt;&gt;"",COUNTIF(A120:$A$200,"&lt;&gt;")=0),IF(COUNT(T$2:T118)=0,"",ROUND(SUMIF($A$2:A118,"&lt;&gt;",T$2:T118),2)),IF(OR(S119="",NOT(ISNUMBER(historico_VU!G119))),"",ROUND(S119*historico_VU!G119,2)))</f>
        <v/>
      </c>
      <c r="U119" s="86" t="str">
        <f>IF(AND(A119="",A118&lt;&gt;"",COUNTIF(A120:$A$200,"&lt;&gt;")=0),"TOTAL",IF(A119="","",posicao_contratual!X119))</f>
        <v/>
      </c>
      <c r="V119" s="86" t="str">
        <f>IF(A119="","",posicao_contratual!X119)</f>
        <v/>
      </c>
      <c r="W119" s="13"/>
      <c r="X119" s="13"/>
      <c r="Y119" s="13"/>
      <c r="Z119" s="13"/>
      <c r="AA119" s="13"/>
      <c r="AB119" s="85" t="str">
        <f>IF(OR(A119="",posicao_contratual!E119="",posicao_contratual!J119=""),"",ROUND(MAX(posicao_contratual!E119-posicao_contratual!J119,0),2))</f>
        <v/>
      </c>
      <c r="AC119" s="79" t="str">
        <f>IF(AND(A119="",A118&lt;&gt;"",COUNTIF(A120:$A$200,"&lt;&gt;")=0),IF(COUNT(AC$2:AC118)=0,"",ROUND(SUMIF($A$2:A118,"&lt;&gt;",AC$2:AC118),2)),IF(OR(AB119="",NOT(ISNUMBER(historico_VU!C119))),"",ROUND(AB119*historico_VU!C119,2)))</f>
        <v/>
      </c>
      <c r="AD119" s="145" t="str">
        <f>IF(A119="","",posicao_contratual!E119)</f>
        <v/>
      </c>
      <c r="AE119" s="145" t="str">
        <f>IF(A119="","",posicao_contratual!I119)</f>
        <v/>
      </c>
      <c r="AF119" s="145" t="str">
        <f>IF(A119="","",posicao_contratual!M119)</f>
        <v/>
      </c>
      <c r="AG119" s="145" t="str">
        <f>IF(A119="","",posicao_contratual!Q119)</f>
        <v/>
      </c>
      <c r="AH119" s="145" t="str">
        <f>IF(A119="","",posicao_contratual!U119)</f>
        <v/>
      </c>
      <c r="AI119" s="145" t="str">
        <f>IF(A119="","",posicao_contratual!G119)</f>
        <v/>
      </c>
      <c r="AJ119" s="145" t="str">
        <f>IF(A119="","",posicao_contratual!K119)</f>
        <v/>
      </c>
      <c r="AK119" s="145" t="str">
        <f>IF(A119="","",posicao_contratual!O119)</f>
        <v/>
      </c>
      <c r="AL119" s="145" t="str">
        <f>IF(A119="","",posicao_contratual!S119)</f>
        <v/>
      </c>
      <c r="AM119" s="145" t="str">
        <f>IF(A119="","",posicao_contratual!W119)</f>
        <v/>
      </c>
      <c r="AN119" s="146" t="str">
        <f>IF(A119="","",posicao_contratual!X119)</f>
        <v/>
      </c>
      <c r="AO119" t="str">
        <f>IF($A119="","",ROUND(SUMIFS(itens_Consumidos!$E$2:$E$200,itens_Consumidos!$A$2:$A$200,$A119),2))</f>
        <v/>
      </c>
      <c r="AP119" t="str">
        <f t="shared" si="18"/>
        <v/>
      </c>
      <c r="AQ119" t="str">
        <f>IF(OR($A119="",AB119="",MEMORIA_RESULTADOS!$I$258=""),"",ROUND(AB119*$C119*(MEMORIA_RESULTADOS!$I$258-1),2))</f>
        <v/>
      </c>
      <c r="AR119" t="str">
        <f>IF(OR($A119="",AP119="",MEMORIA_RESULTADOS!$I$258=""),"",ROUND(AP119*$C119*(parametros!$F$2-MEMORIA_RESULTADOS!$I$258),2))</f>
        <v/>
      </c>
      <c r="AS119" t="str">
        <f>IF($A119="","",ROUND(SUMIFS(itens_Consumidos!$G$2:$G$200,itens_Consumidos!$A$2:$A$200,$A119),2))</f>
        <v/>
      </c>
      <c r="AT119" t="str">
        <f t="shared" si="19"/>
        <v/>
      </c>
      <c r="AU119" t="str">
        <f>IF(OR($A119="",M119="",MEMORIA_RESULTADOS!$I$259=""),"",ROUND(M119*$C119*(MEMORIA_RESULTADOS!$I$259-1),2))</f>
        <v/>
      </c>
      <c r="AV119" t="str">
        <f>IF(OR($A119="",AT119="",MEMORIA_RESULTADOS!$I$259=""),"",ROUND(AT119*$C119*(parametros!$F$3-MEMORIA_RESULTADOS!$I$259),2))</f>
        <v/>
      </c>
      <c r="AW119" t="str">
        <f>IF($A119="","",ROUND(SUMIFS(itens_Consumidos!$I$2:$I$200,itens_Consumidos!$A$2:$A$200,$A119),2))</f>
        <v/>
      </c>
      <c r="AX119" t="str">
        <f t="shared" si="20"/>
        <v/>
      </c>
      <c r="AY119" t="str">
        <f>IF(OR($A119="",O119="",MEMORIA_RESULTADOS!$I$260=""),"",ROUND(O119*$C119*(MEMORIA_RESULTADOS!$I$260-1),2))</f>
        <v/>
      </c>
      <c r="AZ119" t="str">
        <f>IF(OR($A119="",AX119="",MEMORIA_RESULTADOS!$I$260=""),"",ROUND(AX119*$C119*(parametros!$F$4-MEMORIA_RESULTADOS!$I$260),2))</f>
        <v/>
      </c>
      <c r="BA119" t="str">
        <f>IF($A119="","",ROUND(SUMIFS(itens_Consumidos!$K$2:$K$200,itens_Consumidos!$A$2:$A$200,$A119),2))</f>
        <v/>
      </c>
      <c r="BB119" t="str">
        <f t="shared" si="21"/>
        <v/>
      </c>
      <c r="BC119" t="str">
        <f>IF(OR($A119="",Q119="",MEMORIA_RESULTADOS!$I$261=""),"",ROUND(Q119*$C119*(MEMORIA_RESULTADOS!$I$261-1),2))</f>
        <v/>
      </c>
      <c r="BD119" t="str">
        <f>IF(OR($A119="",BB119="",MEMORIA_RESULTADOS!$I$261=""),"",ROUND(BB119*$C119*(parametros!$F$5-MEMORIA_RESULTADOS!$I$261),2))</f>
        <v/>
      </c>
      <c r="BE119" t="str">
        <f>IF($A119="","",ROUND(SUMIFS(itens_Consumidos!$M$2:$M$200,itens_Consumidos!$A$2:$A$200,$A119),2))</f>
        <v/>
      </c>
      <c r="BF119" t="str">
        <f t="shared" si="22"/>
        <v/>
      </c>
      <c r="BG119" t="str">
        <f>IF(OR($A119="",S119="",MEMORIA_RESULTADOS!$I$262=""),"",ROUND(S119*$C119*(MEMORIA_RESULTADOS!$I$262-1),2))</f>
        <v/>
      </c>
      <c r="BH119" t="str">
        <f>IF(OR($A119="",BF119="",MEMORIA_RESULTADOS!$I$262=""),"",ROUND(BF119*$C119*(parametros!$F$6-MEMORIA_RESULTADOS!$I$262),2))</f>
        <v/>
      </c>
      <c r="BI119" t="str">
        <f>IF($A119="","",IF(posicao_contratual!$AL119="","",posicao_contratual!$AL119))</f>
        <v/>
      </c>
    </row>
    <row r="120" spans="1:61" x14ac:dyDescent="0.35">
      <c r="A120" s="81"/>
      <c r="B120" s="82" t="str">
        <f t="shared" si="23"/>
        <v/>
      </c>
      <c r="C120" s="83"/>
      <c r="D120" s="79" t="str">
        <f>IF(AND(A120="",A119&lt;&gt;"",COUNTIF(A121:$A$200,"&lt;&gt;")=0),ROUND(SUMIF($A$2:A119,"&lt;&gt;",$D$2:D119),2),IF(OR(A120="",B120="",C120=""),"",ROUND(B120*C120,2)))</f>
        <v/>
      </c>
      <c r="E120" s="84"/>
      <c r="F120" s="79" t="str">
        <f>IF(AND(A120="",A119&lt;&gt;"",COUNTIF(A121:$A$200,"&lt;&gt;")=0),IF(COUNT(F$2:F119)=0,"",ROUND(SUMIF($A$2:A119,"&lt;&gt;",F$2:F119),2)),IF(OR(A120="",AND(ISNUMBER(posicao_contratual!$AL120),posicao_contratual!$AL120&gt;1),posicao_contratual!K120="",NOT(ISNUMBER(historico_VU!D120))),"",ROUND(posicao_contratual!K120*historico_VU!D120,2)))</f>
        <v/>
      </c>
      <c r="G120" s="84"/>
      <c r="H120" s="79" t="str">
        <f>IF(AND(A120="",A119&lt;&gt;"",COUNTIF(A121:$A$200,"&lt;&gt;")=0),IF(COUNT(H$2:H119)=0,"",ROUND(SUMIF($A$2:A119,"&lt;&gt;",H$2:H119),2)),IF(OR(A120="",AND(ISNUMBER(posicao_contratual!$AL120),posicao_contratual!$AL120&gt;2),posicao_contratual!O120="",NOT(ISNUMBER(historico_VU!E120))),"",ROUND(posicao_contratual!O120*historico_VU!E120,2)))</f>
        <v/>
      </c>
      <c r="I120" s="84"/>
      <c r="J120" s="79" t="str">
        <f>IF(AND(A120="",A119&lt;&gt;"",COUNTIF(A121:$A$200,"&lt;&gt;")=0),IF(COUNT(J$2:J119)=0,"",ROUND(SUMIF($A$2:A119,"&lt;&gt;",J$2:J119),2)),IF(OR(A120="",AND(ISNUMBER(posicao_contratual!$AL120),posicao_contratual!$AL120&gt;3),posicao_contratual!S120="",NOT(ISNUMBER(historico_VU!F120))),"",ROUND(posicao_contratual!S120*historico_VU!F120,2)))</f>
        <v/>
      </c>
      <c r="K120" s="84"/>
      <c r="L120" s="79" t="str">
        <f>IF(AND(A120="",A119&lt;&gt;"",COUNTIF(A121:$A$200,"&lt;&gt;")=0),IF(COUNT(L$2:L119)=0,"",ROUND(SUMIF($A$2:A119,"&lt;&gt;",L$2:L119),2)),IF(OR(A120="",AND(ISNUMBER(posicao_contratual!$AL120),posicao_contratual!$AL120&gt;4),posicao_contratual!W120="",NOT(ISNUMBER(historico_VU!G120))),"",ROUND(posicao_contratual!W120*historico_VU!G120,2)))</f>
        <v/>
      </c>
      <c r="M120" s="85" t="str">
        <f>IF(OR(posicao_contratual!J120="",posicao_contratual!N120=""),"",ROUND(MAX(posicao_contratual!J120+posicao_contratual!H120-posicao_contratual!N120,0),2))</f>
        <v/>
      </c>
      <c r="N120" s="79" t="str">
        <f>IF(AND(A120="",A119&lt;&gt;"",COUNTIF(A121:$A$200,"&lt;&gt;")=0),IF(COUNT(N$2:N119)=0,"",ROUND(SUMIF($A$2:A119,"&lt;&gt;",N$2:N119),2)),IF(OR(M120="",NOT(ISNUMBER(historico_VU!D120))),"",ROUND(M120*historico_VU!D120,2)))</f>
        <v/>
      </c>
      <c r="O120" s="85" t="str">
        <f>IF(OR(posicao_contratual!N120="",posicao_contratual!R120=""),"",ROUND(MAX(posicao_contratual!N120+posicao_contratual!L120-posicao_contratual!R120,0),2))</f>
        <v/>
      </c>
      <c r="P120" s="79" t="str">
        <f>IF(AND(A120="",A119&lt;&gt;"",COUNTIF(A121:$A$200,"&lt;&gt;")=0),IF(COUNT(P$2:P119)=0,"",ROUND(SUMIF($A$2:A119,"&lt;&gt;",P$2:P119),2)),IF(OR(O120="",NOT(ISNUMBER(historico_VU!E120))),"",ROUND(O120*historico_VU!E120,2)))</f>
        <v/>
      </c>
      <c r="Q120" s="85" t="str">
        <f>IF(OR(posicao_contratual!R120="",posicao_contratual!V120=""),"",ROUND(MAX(posicao_contratual!R120+posicao_contratual!P120-posicao_contratual!V120,0),2))</f>
        <v/>
      </c>
      <c r="R120" s="79" t="str">
        <f>IF(AND(A120="",A119&lt;&gt;"",COUNTIF(A121:$A$200,"&lt;&gt;")=0),IF(COUNT(R$2:R119)=0,"",ROUND(SUMIF($A$2:A119,"&lt;&gt;",R$2:R119),2)),IF(OR(Q120="",NOT(ISNUMBER(historico_VU!F120))),"",ROUND(Q120*historico_VU!F120,2)))</f>
        <v/>
      </c>
      <c r="S120" s="38"/>
      <c r="T120" s="39" t="str">
        <f>IF(AND(A120="",A119&lt;&gt;"",COUNTIF(A121:$A$200,"&lt;&gt;")=0),IF(COUNT(T$2:T119)=0,"",ROUND(SUMIF($A$2:A119,"&lt;&gt;",T$2:T119),2)),IF(OR(S120="",NOT(ISNUMBER(historico_VU!G120))),"",ROUND(S120*historico_VU!G120,2)))</f>
        <v/>
      </c>
      <c r="U120" s="86" t="str">
        <f>IF(AND(A120="",A119&lt;&gt;"",COUNTIF(A121:$A$200,"&lt;&gt;")=0),"TOTAL",IF(A120="","",posicao_contratual!X120))</f>
        <v/>
      </c>
      <c r="V120" s="86" t="str">
        <f>IF(A120="","",posicao_contratual!X120)</f>
        <v/>
      </c>
      <c r="W120" s="13"/>
      <c r="X120" s="13"/>
      <c r="Y120" s="13"/>
      <c r="Z120" s="13"/>
      <c r="AA120" s="13"/>
      <c r="AB120" s="85" t="str">
        <f>IF(OR(A120="",posicao_contratual!E120="",posicao_contratual!J120=""),"",ROUND(MAX(posicao_contratual!E120-posicao_contratual!J120,0),2))</f>
        <v/>
      </c>
      <c r="AC120" s="79" t="str">
        <f>IF(AND(A120="",A119&lt;&gt;"",COUNTIF(A121:$A$200,"&lt;&gt;")=0),IF(COUNT(AC$2:AC119)=0,"",ROUND(SUMIF($A$2:A119,"&lt;&gt;",AC$2:AC119),2)),IF(OR(AB120="",NOT(ISNUMBER(historico_VU!C120))),"",ROUND(AB120*historico_VU!C120,2)))</f>
        <v/>
      </c>
      <c r="AD120" s="145" t="str">
        <f>IF(A120="","",posicao_contratual!E120)</f>
        <v/>
      </c>
      <c r="AE120" s="145" t="str">
        <f>IF(A120="","",posicao_contratual!I120)</f>
        <v/>
      </c>
      <c r="AF120" s="145" t="str">
        <f>IF(A120="","",posicao_contratual!M120)</f>
        <v/>
      </c>
      <c r="AG120" s="145" t="str">
        <f>IF(A120="","",posicao_contratual!Q120)</f>
        <v/>
      </c>
      <c r="AH120" s="145" t="str">
        <f>IF(A120="","",posicao_contratual!U120)</f>
        <v/>
      </c>
      <c r="AI120" s="145" t="str">
        <f>IF(A120="","",posicao_contratual!G120)</f>
        <v/>
      </c>
      <c r="AJ120" s="145" t="str">
        <f>IF(A120="","",posicao_contratual!K120)</f>
        <v/>
      </c>
      <c r="AK120" s="145" t="str">
        <f>IF(A120="","",posicao_contratual!O120)</f>
        <v/>
      </c>
      <c r="AL120" s="145" t="str">
        <f>IF(A120="","",posicao_contratual!S120)</f>
        <v/>
      </c>
      <c r="AM120" s="145" t="str">
        <f>IF(A120="","",posicao_contratual!W120)</f>
        <v/>
      </c>
      <c r="AN120" s="146" t="str">
        <f>IF(A120="","",posicao_contratual!X120)</f>
        <v/>
      </c>
      <c r="AO120" t="str">
        <f>IF($A120="","",ROUND(SUMIFS(itens_Consumidos!$E$2:$E$200,itens_Consumidos!$A$2:$A$200,$A120),2))</f>
        <v/>
      </c>
      <c r="AP120" t="str">
        <f t="shared" si="18"/>
        <v/>
      </c>
      <c r="AQ120" t="str">
        <f>IF(OR($A120="",AB120="",MEMORIA_RESULTADOS!$I$258=""),"",ROUND(AB120*$C120*(MEMORIA_RESULTADOS!$I$258-1),2))</f>
        <v/>
      </c>
      <c r="AR120" t="str">
        <f>IF(OR($A120="",AP120="",MEMORIA_RESULTADOS!$I$258=""),"",ROUND(AP120*$C120*(parametros!$F$2-MEMORIA_RESULTADOS!$I$258),2))</f>
        <v/>
      </c>
      <c r="AS120" t="str">
        <f>IF($A120="","",ROUND(SUMIFS(itens_Consumidos!$G$2:$G$200,itens_Consumidos!$A$2:$A$200,$A120),2))</f>
        <v/>
      </c>
      <c r="AT120" t="str">
        <f t="shared" si="19"/>
        <v/>
      </c>
      <c r="AU120" t="str">
        <f>IF(OR($A120="",M120="",MEMORIA_RESULTADOS!$I$259=""),"",ROUND(M120*$C120*(MEMORIA_RESULTADOS!$I$259-1),2))</f>
        <v/>
      </c>
      <c r="AV120" t="str">
        <f>IF(OR($A120="",AT120="",MEMORIA_RESULTADOS!$I$259=""),"",ROUND(AT120*$C120*(parametros!$F$3-MEMORIA_RESULTADOS!$I$259),2))</f>
        <v/>
      </c>
      <c r="AW120" t="str">
        <f>IF($A120="","",ROUND(SUMIFS(itens_Consumidos!$I$2:$I$200,itens_Consumidos!$A$2:$A$200,$A120),2))</f>
        <v/>
      </c>
      <c r="AX120" t="str">
        <f t="shared" si="20"/>
        <v/>
      </c>
      <c r="AY120" t="str">
        <f>IF(OR($A120="",O120="",MEMORIA_RESULTADOS!$I$260=""),"",ROUND(O120*$C120*(MEMORIA_RESULTADOS!$I$260-1),2))</f>
        <v/>
      </c>
      <c r="AZ120" t="str">
        <f>IF(OR($A120="",AX120="",MEMORIA_RESULTADOS!$I$260=""),"",ROUND(AX120*$C120*(parametros!$F$4-MEMORIA_RESULTADOS!$I$260),2))</f>
        <v/>
      </c>
      <c r="BA120" t="str">
        <f>IF($A120="","",ROUND(SUMIFS(itens_Consumidos!$K$2:$K$200,itens_Consumidos!$A$2:$A$200,$A120),2))</f>
        <v/>
      </c>
      <c r="BB120" t="str">
        <f t="shared" si="21"/>
        <v/>
      </c>
      <c r="BC120" t="str">
        <f>IF(OR($A120="",Q120="",MEMORIA_RESULTADOS!$I$261=""),"",ROUND(Q120*$C120*(MEMORIA_RESULTADOS!$I$261-1),2))</f>
        <v/>
      </c>
      <c r="BD120" t="str">
        <f>IF(OR($A120="",BB120="",MEMORIA_RESULTADOS!$I$261=""),"",ROUND(BB120*$C120*(parametros!$F$5-MEMORIA_RESULTADOS!$I$261),2))</f>
        <v/>
      </c>
      <c r="BE120" t="str">
        <f>IF($A120="","",ROUND(SUMIFS(itens_Consumidos!$M$2:$M$200,itens_Consumidos!$A$2:$A$200,$A120),2))</f>
        <v/>
      </c>
      <c r="BF120" t="str">
        <f t="shared" si="22"/>
        <v/>
      </c>
      <c r="BG120" t="str">
        <f>IF(OR($A120="",S120="",MEMORIA_RESULTADOS!$I$262=""),"",ROUND(S120*$C120*(MEMORIA_RESULTADOS!$I$262-1),2))</f>
        <v/>
      </c>
      <c r="BH120" t="str">
        <f>IF(OR($A120="",BF120="",MEMORIA_RESULTADOS!$I$262=""),"",ROUND(BF120*$C120*(parametros!$F$6-MEMORIA_RESULTADOS!$I$262),2))</f>
        <v/>
      </c>
      <c r="BI120" t="str">
        <f>IF($A120="","",IF(posicao_contratual!$AL120="","",posicao_contratual!$AL120))</f>
        <v/>
      </c>
    </row>
    <row r="121" spans="1:61" x14ac:dyDescent="0.35">
      <c r="A121" s="81"/>
      <c r="B121" s="82" t="str">
        <f t="shared" si="23"/>
        <v/>
      </c>
      <c r="C121" s="83"/>
      <c r="D121" s="79" t="str">
        <f>IF(AND(A121="",A120&lt;&gt;"",COUNTIF(A122:$A$200,"&lt;&gt;")=0),ROUND(SUMIF($A$2:A120,"&lt;&gt;",$D$2:D120),2),IF(OR(A121="",B121="",C121=""),"",ROUND(B121*C121,2)))</f>
        <v/>
      </c>
      <c r="E121" s="84"/>
      <c r="F121" s="79" t="str">
        <f>IF(AND(A121="",A120&lt;&gt;"",COUNTIF(A122:$A$200,"&lt;&gt;")=0),IF(COUNT(F$2:F120)=0,"",ROUND(SUMIF($A$2:A120,"&lt;&gt;",F$2:F120),2)),IF(OR(A121="",AND(ISNUMBER(posicao_contratual!$AL121),posicao_contratual!$AL121&gt;1),posicao_contratual!K121="",NOT(ISNUMBER(historico_VU!D121))),"",ROUND(posicao_contratual!K121*historico_VU!D121,2)))</f>
        <v/>
      </c>
      <c r="G121" s="84"/>
      <c r="H121" s="79" t="str">
        <f>IF(AND(A121="",A120&lt;&gt;"",COUNTIF(A122:$A$200,"&lt;&gt;")=0),IF(COUNT(H$2:H120)=0,"",ROUND(SUMIF($A$2:A120,"&lt;&gt;",H$2:H120),2)),IF(OR(A121="",AND(ISNUMBER(posicao_contratual!$AL121),posicao_contratual!$AL121&gt;2),posicao_contratual!O121="",NOT(ISNUMBER(historico_VU!E121))),"",ROUND(posicao_contratual!O121*historico_VU!E121,2)))</f>
        <v/>
      </c>
      <c r="I121" s="84"/>
      <c r="J121" s="79" t="str">
        <f>IF(AND(A121="",A120&lt;&gt;"",COUNTIF(A122:$A$200,"&lt;&gt;")=0),IF(COUNT(J$2:J120)=0,"",ROUND(SUMIF($A$2:A120,"&lt;&gt;",J$2:J120),2)),IF(OR(A121="",AND(ISNUMBER(posicao_contratual!$AL121),posicao_contratual!$AL121&gt;3),posicao_contratual!S121="",NOT(ISNUMBER(historico_VU!F121))),"",ROUND(posicao_contratual!S121*historico_VU!F121,2)))</f>
        <v/>
      </c>
      <c r="K121" s="84"/>
      <c r="L121" s="79" t="str">
        <f>IF(AND(A121="",A120&lt;&gt;"",COUNTIF(A122:$A$200,"&lt;&gt;")=0),IF(COUNT(L$2:L120)=0,"",ROUND(SUMIF($A$2:A120,"&lt;&gt;",L$2:L120),2)),IF(OR(A121="",AND(ISNUMBER(posicao_contratual!$AL121),posicao_contratual!$AL121&gt;4),posicao_contratual!W121="",NOT(ISNUMBER(historico_VU!G121))),"",ROUND(posicao_contratual!W121*historico_VU!G121,2)))</f>
        <v/>
      </c>
      <c r="M121" s="85" t="str">
        <f>IF(OR(posicao_contratual!J121="",posicao_contratual!N121=""),"",ROUND(MAX(posicao_contratual!J121+posicao_contratual!H121-posicao_contratual!N121,0),2))</f>
        <v/>
      </c>
      <c r="N121" s="79" t="str">
        <f>IF(AND(A121="",A120&lt;&gt;"",COUNTIF(A122:$A$200,"&lt;&gt;")=0),IF(COUNT(N$2:N120)=0,"",ROUND(SUMIF($A$2:A120,"&lt;&gt;",N$2:N120),2)),IF(OR(M121="",NOT(ISNUMBER(historico_VU!D121))),"",ROUND(M121*historico_VU!D121,2)))</f>
        <v/>
      </c>
      <c r="O121" s="85" t="str">
        <f>IF(OR(posicao_contratual!N121="",posicao_contratual!R121=""),"",ROUND(MAX(posicao_contratual!N121+posicao_contratual!L121-posicao_contratual!R121,0),2))</f>
        <v/>
      </c>
      <c r="P121" s="79" t="str">
        <f>IF(AND(A121="",A120&lt;&gt;"",COUNTIF(A122:$A$200,"&lt;&gt;")=0),IF(COUNT(P$2:P120)=0,"",ROUND(SUMIF($A$2:A120,"&lt;&gt;",P$2:P120),2)),IF(OR(O121="",NOT(ISNUMBER(historico_VU!E121))),"",ROUND(O121*historico_VU!E121,2)))</f>
        <v/>
      </c>
      <c r="Q121" s="85" t="str">
        <f>IF(OR(posicao_contratual!R121="",posicao_contratual!V121=""),"",ROUND(MAX(posicao_contratual!R121+posicao_contratual!P121-posicao_contratual!V121,0),2))</f>
        <v/>
      </c>
      <c r="R121" s="79" t="str">
        <f>IF(AND(A121="",A120&lt;&gt;"",COUNTIF(A122:$A$200,"&lt;&gt;")=0),IF(COUNT(R$2:R120)=0,"",ROUND(SUMIF($A$2:A120,"&lt;&gt;",R$2:R120),2)),IF(OR(Q121="",NOT(ISNUMBER(historico_VU!F121))),"",ROUND(Q121*historico_VU!F121,2)))</f>
        <v/>
      </c>
      <c r="S121" s="38"/>
      <c r="T121" s="39" t="str">
        <f>IF(AND(A121="",A120&lt;&gt;"",COUNTIF(A122:$A$200,"&lt;&gt;")=0),IF(COUNT(T$2:T120)=0,"",ROUND(SUMIF($A$2:A120,"&lt;&gt;",T$2:T120),2)),IF(OR(S121="",NOT(ISNUMBER(historico_VU!G121))),"",ROUND(S121*historico_VU!G121,2)))</f>
        <v/>
      </c>
      <c r="U121" s="86" t="str">
        <f>IF(AND(A121="",A120&lt;&gt;"",COUNTIF(A122:$A$200,"&lt;&gt;")=0),"TOTAL",IF(A121="","",posicao_contratual!X121))</f>
        <v/>
      </c>
      <c r="V121" s="86" t="str">
        <f>IF(A121="","",posicao_contratual!X121)</f>
        <v/>
      </c>
      <c r="W121" s="13"/>
      <c r="X121" s="13"/>
      <c r="Y121" s="13"/>
      <c r="Z121" s="13"/>
      <c r="AA121" s="13"/>
      <c r="AB121" s="85" t="str">
        <f>IF(OR(A121="",posicao_contratual!E121="",posicao_contratual!J121=""),"",ROUND(MAX(posicao_contratual!E121-posicao_contratual!J121,0),2))</f>
        <v/>
      </c>
      <c r="AC121" s="79" t="str">
        <f>IF(AND(A121="",A120&lt;&gt;"",COUNTIF(A122:$A$200,"&lt;&gt;")=0),IF(COUNT(AC$2:AC120)=0,"",ROUND(SUMIF($A$2:A120,"&lt;&gt;",AC$2:AC120),2)),IF(OR(AB121="",NOT(ISNUMBER(historico_VU!C121))),"",ROUND(AB121*historico_VU!C121,2)))</f>
        <v/>
      </c>
      <c r="AD121" s="145" t="str">
        <f>IF(A121="","",posicao_contratual!E121)</f>
        <v/>
      </c>
      <c r="AE121" s="145" t="str">
        <f>IF(A121="","",posicao_contratual!I121)</f>
        <v/>
      </c>
      <c r="AF121" s="145" t="str">
        <f>IF(A121="","",posicao_contratual!M121)</f>
        <v/>
      </c>
      <c r="AG121" s="145" t="str">
        <f>IF(A121="","",posicao_contratual!Q121)</f>
        <v/>
      </c>
      <c r="AH121" s="145" t="str">
        <f>IF(A121="","",posicao_contratual!U121)</f>
        <v/>
      </c>
      <c r="AI121" s="145" t="str">
        <f>IF(A121="","",posicao_contratual!G121)</f>
        <v/>
      </c>
      <c r="AJ121" s="145" t="str">
        <f>IF(A121="","",posicao_contratual!K121)</f>
        <v/>
      </c>
      <c r="AK121" s="145" t="str">
        <f>IF(A121="","",posicao_contratual!O121)</f>
        <v/>
      </c>
      <c r="AL121" s="145" t="str">
        <f>IF(A121="","",posicao_contratual!S121)</f>
        <v/>
      </c>
      <c r="AM121" s="145" t="str">
        <f>IF(A121="","",posicao_contratual!W121)</f>
        <v/>
      </c>
      <c r="AN121" s="146" t="str">
        <f>IF(A121="","",posicao_contratual!X121)</f>
        <v/>
      </c>
      <c r="AO121" t="str">
        <f>IF($A121="","",ROUND(SUMIFS(itens_Consumidos!$E$2:$E$200,itens_Consumidos!$A$2:$A$200,$A121),2))</f>
        <v/>
      </c>
      <c r="AP121" t="str">
        <f t="shared" si="18"/>
        <v/>
      </c>
      <c r="AQ121" t="str">
        <f>IF(OR($A121="",AB121="",MEMORIA_RESULTADOS!$I$258=""),"",ROUND(AB121*$C121*(MEMORIA_RESULTADOS!$I$258-1),2))</f>
        <v/>
      </c>
      <c r="AR121" t="str">
        <f>IF(OR($A121="",AP121="",MEMORIA_RESULTADOS!$I$258=""),"",ROUND(AP121*$C121*(parametros!$F$2-MEMORIA_RESULTADOS!$I$258),2))</f>
        <v/>
      </c>
      <c r="AS121" t="str">
        <f>IF($A121="","",ROUND(SUMIFS(itens_Consumidos!$G$2:$G$200,itens_Consumidos!$A$2:$A$200,$A121),2))</f>
        <v/>
      </c>
      <c r="AT121" t="str">
        <f t="shared" si="19"/>
        <v/>
      </c>
      <c r="AU121" t="str">
        <f>IF(OR($A121="",M121="",MEMORIA_RESULTADOS!$I$259=""),"",ROUND(M121*$C121*(MEMORIA_RESULTADOS!$I$259-1),2))</f>
        <v/>
      </c>
      <c r="AV121" t="str">
        <f>IF(OR($A121="",AT121="",MEMORIA_RESULTADOS!$I$259=""),"",ROUND(AT121*$C121*(parametros!$F$3-MEMORIA_RESULTADOS!$I$259),2))</f>
        <v/>
      </c>
      <c r="AW121" t="str">
        <f>IF($A121="","",ROUND(SUMIFS(itens_Consumidos!$I$2:$I$200,itens_Consumidos!$A$2:$A$200,$A121),2))</f>
        <v/>
      </c>
      <c r="AX121" t="str">
        <f t="shared" si="20"/>
        <v/>
      </c>
      <c r="AY121" t="str">
        <f>IF(OR($A121="",O121="",MEMORIA_RESULTADOS!$I$260=""),"",ROUND(O121*$C121*(MEMORIA_RESULTADOS!$I$260-1),2))</f>
        <v/>
      </c>
      <c r="AZ121" t="str">
        <f>IF(OR($A121="",AX121="",MEMORIA_RESULTADOS!$I$260=""),"",ROUND(AX121*$C121*(parametros!$F$4-MEMORIA_RESULTADOS!$I$260),2))</f>
        <v/>
      </c>
      <c r="BA121" t="str">
        <f>IF($A121="","",ROUND(SUMIFS(itens_Consumidos!$K$2:$K$200,itens_Consumidos!$A$2:$A$200,$A121),2))</f>
        <v/>
      </c>
      <c r="BB121" t="str">
        <f t="shared" si="21"/>
        <v/>
      </c>
      <c r="BC121" t="str">
        <f>IF(OR($A121="",Q121="",MEMORIA_RESULTADOS!$I$261=""),"",ROUND(Q121*$C121*(MEMORIA_RESULTADOS!$I$261-1),2))</f>
        <v/>
      </c>
      <c r="BD121" t="str">
        <f>IF(OR($A121="",BB121="",MEMORIA_RESULTADOS!$I$261=""),"",ROUND(BB121*$C121*(parametros!$F$5-MEMORIA_RESULTADOS!$I$261),2))</f>
        <v/>
      </c>
      <c r="BE121" t="str">
        <f>IF($A121="","",ROUND(SUMIFS(itens_Consumidos!$M$2:$M$200,itens_Consumidos!$A$2:$A$200,$A121),2))</f>
        <v/>
      </c>
      <c r="BF121" t="str">
        <f t="shared" si="22"/>
        <v/>
      </c>
      <c r="BG121" t="str">
        <f>IF(OR($A121="",S121="",MEMORIA_RESULTADOS!$I$262=""),"",ROUND(S121*$C121*(MEMORIA_RESULTADOS!$I$262-1),2))</f>
        <v/>
      </c>
      <c r="BH121" t="str">
        <f>IF(OR($A121="",BF121="",MEMORIA_RESULTADOS!$I$262=""),"",ROUND(BF121*$C121*(parametros!$F$6-MEMORIA_RESULTADOS!$I$262),2))</f>
        <v/>
      </c>
      <c r="BI121" t="str">
        <f>IF($A121="","",IF(posicao_contratual!$AL121="","",posicao_contratual!$AL121))</f>
        <v/>
      </c>
    </row>
    <row r="122" spans="1:61" x14ac:dyDescent="0.35">
      <c r="A122" s="81"/>
      <c r="B122" s="82" t="str">
        <f t="shared" si="23"/>
        <v/>
      </c>
      <c r="C122" s="83"/>
      <c r="D122" s="79" t="str">
        <f>IF(AND(A122="",A121&lt;&gt;"",COUNTIF(A123:$A$200,"&lt;&gt;")=0),ROUND(SUMIF($A$2:A121,"&lt;&gt;",$D$2:D121),2),IF(OR(A122="",B122="",C122=""),"",ROUND(B122*C122,2)))</f>
        <v/>
      </c>
      <c r="E122" s="84"/>
      <c r="F122" s="79" t="str">
        <f>IF(AND(A122="",A121&lt;&gt;"",COUNTIF(A123:$A$200,"&lt;&gt;")=0),IF(COUNT(F$2:F121)=0,"",ROUND(SUMIF($A$2:A121,"&lt;&gt;",F$2:F121),2)),IF(OR(A122="",AND(ISNUMBER(posicao_contratual!$AL122),posicao_contratual!$AL122&gt;1),posicao_contratual!K122="",NOT(ISNUMBER(historico_VU!D122))),"",ROUND(posicao_contratual!K122*historico_VU!D122,2)))</f>
        <v/>
      </c>
      <c r="G122" s="84"/>
      <c r="H122" s="79" t="str">
        <f>IF(AND(A122="",A121&lt;&gt;"",COUNTIF(A123:$A$200,"&lt;&gt;")=0),IF(COUNT(H$2:H121)=0,"",ROUND(SUMIF($A$2:A121,"&lt;&gt;",H$2:H121),2)),IF(OR(A122="",AND(ISNUMBER(posicao_contratual!$AL122),posicao_contratual!$AL122&gt;2),posicao_contratual!O122="",NOT(ISNUMBER(historico_VU!E122))),"",ROUND(posicao_contratual!O122*historico_VU!E122,2)))</f>
        <v/>
      </c>
      <c r="I122" s="84"/>
      <c r="J122" s="79" t="str">
        <f>IF(AND(A122="",A121&lt;&gt;"",COUNTIF(A123:$A$200,"&lt;&gt;")=0),IF(COUNT(J$2:J121)=0,"",ROUND(SUMIF($A$2:A121,"&lt;&gt;",J$2:J121),2)),IF(OR(A122="",AND(ISNUMBER(posicao_contratual!$AL122),posicao_contratual!$AL122&gt;3),posicao_contratual!S122="",NOT(ISNUMBER(historico_VU!F122))),"",ROUND(posicao_contratual!S122*historico_VU!F122,2)))</f>
        <v/>
      </c>
      <c r="K122" s="84"/>
      <c r="L122" s="79" t="str">
        <f>IF(AND(A122="",A121&lt;&gt;"",COUNTIF(A123:$A$200,"&lt;&gt;")=0),IF(COUNT(L$2:L121)=0,"",ROUND(SUMIF($A$2:A121,"&lt;&gt;",L$2:L121),2)),IF(OR(A122="",AND(ISNUMBER(posicao_contratual!$AL122),posicao_contratual!$AL122&gt;4),posicao_contratual!W122="",NOT(ISNUMBER(historico_VU!G122))),"",ROUND(posicao_contratual!W122*historico_VU!G122,2)))</f>
        <v/>
      </c>
      <c r="M122" s="85" t="str">
        <f>IF(OR(posicao_contratual!J122="",posicao_contratual!N122=""),"",ROUND(MAX(posicao_contratual!J122+posicao_contratual!H122-posicao_contratual!N122,0),2))</f>
        <v/>
      </c>
      <c r="N122" s="79" t="str">
        <f>IF(AND(A122="",A121&lt;&gt;"",COUNTIF(A123:$A$200,"&lt;&gt;")=0),IF(COUNT(N$2:N121)=0,"",ROUND(SUMIF($A$2:A121,"&lt;&gt;",N$2:N121),2)),IF(OR(M122="",NOT(ISNUMBER(historico_VU!D122))),"",ROUND(M122*historico_VU!D122,2)))</f>
        <v/>
      </c>
      <c r="O122" s="85" t="str">
        <f>IF(OR(posicao_contratual!N122="",posicao_contratual!R122=""),"",ROUND(MAX(posicao_contratual!N122+posicao_contratual!L122-posicao_contratual!R122,0),2))</f>
        <v/>
      </c>
      <c r="P122" s="79" t="str">
        <f>IF(AND(A122="",A121&lt;&gt;"",COUNTIF(A123:$A$200,"&lt;&gt;")=0),IF(COUNT(P$2:P121)=0,"",ROUND(SUMIF($A$2:A121,"&lt;&gt;",P$2:P121),2)),IF(OR(O122="",NOT(ISNUMBER(historico_VU!E122))),"",ROUND(O122*historico_VU!E122,2)))</f>
        <v/>
      </c>
      <c r="Q122" s="85" t="str">
        <f>IF(OR(posicao_contratual!R122="",posicao_contratual!V122=""),"",ROUND(MAX(posicao_contratual!R122+posicao_contratual!P122-posicao_contratual!V122,0),2))</f>
        <v/>
      </c>
      <c r="R122" s="79" t="str">
        <f>IF(AND(A122="",A121&lt;&gt;"",COUNTIF(A123:$A$200,"&lt;&gt;")=0),IF(COUNT(R$2:R121)=0,"",ROUND(SUMIF($A$2:A121,"&lt;&gt;",R$2:R121),2)),IF(OR(Q122="",NOT(ISNUMBER(historico_VU!F122))),"",ROUND(Q122*historico_VU!F122,2)))</f>
        <v/>
      </c>
      <c r="S122" s="38"/>
      <c r="T122" s="39" t="str">
        <f>IF(AND(A122="",A121&lt;&gt;"",COUNTIF(A123:$A$200,"&lt;&gt;")=0),IF(COUNT(T$2:T121)=0,"",ROUND(SUMIF($A$2:A121,"&lt;&gt;",T$2:T121),2)),IF(OR(S122="",NOT(ISNUMBER(historico_VU!G122))),"",ROUND(S122*historico_VU!G122,2)))</f>
        <v/>
      </c>
      <c r="U122" s="86" t="str">
        <f>IF(AND(A122="",A121&lt;&gt;"",COUNTIF(A123:$A$200,"&lt;&gt;")=0),"TOTAL",IF(A122="","",posicao_contratual!X122))</f>
        <v/>
      </c>
      <c r="V122" s="86" t="str">
        <f>IF(A122="","",posicao_contratual!X122)</f>
        <v/>
      </c>
      <c r="W122" s="13"/>
      <c r="X122" s="13"/>
      <c r="Y122" s="13"/>
      <c r="Z122" s="13"/>
      <c r="AA122" s="13"/>
      <c r="AB122" s="85" t="str">
        <f>IF(OR(A122="",posicao_contratual!E122="",posicao_contratual!J122=""),"",ROUND(MAX(posicao_contratual!E122-posicao_contratual!J122,0),2))</f>
        <v/>
      </c>
      <c r="AC122" s="79" t="str">
        <f>IF(AND(A122="",A121&lt;&gt;"",COUNTIF(A123:$A$200,"&lt;&gt;")=0),IF(COUNT(AC$2:AC121)=0,"",ROUND(SUMIF($A$2:A121,"&lt;&gt;",AC$2:AC121),2)),IF(OR(AB122="",NOT(ISNUMBER(historico_VU!C122))),"",ROUND(AB122*historico_VU!C122,2)))</f>
        <v/>
      </c>
      <c r="AD122" s="145" t="str">
        <f>IF(A122="","",posicao_contratual!E122)</f>
        <v/>
      </c>
      <c r="AE122" s="145" t="str">
        <f>IF(A122="","",posicao_contratual!I122)</f>
        <v/>
      </c>
      <c r="AF122" s="145" t="str">
        <f>IF(A122="","",posicao_contratual!M122)</f>
        <v/>
      </c>
      <c r="AG122" s="145" t="str">
        <f>IF(A122="","",posicao_contratual!Q122)</f>
        <v/>
      </c>
      <c r="AH122" s="145" t="str">
        <f>IF(A122="","",posicao_contratual!U122)</f>
        <v/>
      </c>
      <c r="AI122" s="145" t="str">
        <f>IF(A122="","",posicao_contratual!G122)</f>
        <v/>
      </c>
      <c r="AJ122" s="145" t="str">
        <f>IF(A122="","",posicao_contratual!K122)</f>
        <v/>
      </c>
      <c r="AK122" s="145" t="str">
        <f>IF(A122="","",posicao_contratual!O122)</f>
        <v/>
      </c>
      <c r="AL122" s="145" t="str">
        <f>IF(A122="","",posicao_contratual!S122)</f>
        <v/>
      </c>
      <c r="AM122" s="145" t="str">
        <f>IF(A122="","",posicao_contratual!W122)</f>
        <v/>
      </c>
      <c r="AN122" s="146" t="str">
        <f>IF(A122="","",posicao_contratual!X122)</f>
        <v/>
      </c>
      <c r="AO122" t="str">
        <f>IF($A122="","",ROUND(SUMIFS(itens_Consumidos!$E$2:$E$200,itens_Consumidos!$A$2:$A$200,$A122),2))</f>
        <v/>
      </c>
      <c r="AP122" t="str">
        <f t="shared" si="18"/>
        <v/>
      </c>
      <c r="AQ122" t="str">
        <f>IF(OR($A122="",AB122="",MEMORIA_RESULTADOS!$I$258=""),"",ROUND(AB122*$C122*(MEMORIA_RESULTADOS!$I$258-1),2))</f>
        <v/>
      </c>
      <c r="AR122" t="str">
        <f>IF(OR($A122="",AP122="",MEMORIA_RESULTADOS!$I$258=""),"",ROUND(AP122*$C122*(parametros!$F$2-MEMORIA_RESULTADOS!$I$258),2))</f>
        <v/>
      </c>
      <c r="AS122" t="str">
        <f>IF($A122="","",ROUND(SUMIFS(itens_Consumidos!$G$2:$G$200,itens_Consumidos!$A$2:$A$200,$A122),2))</f>
        <v/>
      </c>
      <c r="AT122" t="str">
        <f t="shared" si="19"/>
        <v/>
      </c>
      <c r="AU122" t="str">
        <f>IF(OR($A122="",M122="",MEMORIA_RESULTADOS!$I$259=""),"",ROUND(M122*$C122*(MEMORIA_RESULTADOS!$I$259-1),2))</f>
        <v/>
      </c>
      <c r="AV122" t="str">
        <f>IF(OR($A122="",AT122="",MEMORIA_RESULTADOS!$I$259=""),"",ROUND(AT122*$C122*(parametros!$F$3-MEMORIA_RESULTADOS!$I$259),2))</f>
        <v/>
      </c>
      <c r="AW122" t="str">
        <f>IF($A122="","",ROUND(SUMIFS(itens_Consumidos!$I$2:$I$200,itens_Consumidos!$A$2:$A$200,$A122),2))</f>
        <v/>
      </c>
      <c r="AX122" t="str">
        <f t="shared" si="20"/>
        <v/>
      </c>
      <c r="AY122" t="str">
        <f>IF(OR($A122="",O122="",MEMORIA_RESULTADOS!$I$260=""),"",ROUND(O122*$C122*(MEMORIA_RESULTADOS!$I$260-1),2))</f>
        <v/>
      </c>
      <c r="AZ122" t="str">
        <f>IF(OR($A122="",AX122="",MEMORIA_RESULTADOS!$I$260=""),"",ROUND(AX122*$C122*(parametros!$F$4-MEMORIA_RESULTADOS!$I$260),2))</f>
        <v/>
      </c>
      <c r="BA122" t="str">
        <f>IF($A122="","",ROUND(SUMIFS(itens_Consumidos!$K$2:$K$200,itens_Consumidos!$A$2:$A$200,$A122),2))</f>
        <v/>
      </c>
      <c r="BB122" t="str">
        <f t="shared" si="21"/>
        <v/>
      </c>
      <c r="BC122" t="str">
        <f>IF(OR($A122="",Q122="",MEMORIA_RESULTADOS!$I$261=""),"",ROUND(Q122*$C122*(MEMORIA_RESULTADOS!$I$261-1),2))</f>
        <v/>
      </c>
      <c r="BD122" t="str">
        <f>IF(OR($A122="",BB122="",MEMORIA_RESULTADOS!$I$261=""),"",ROUND(BB122*$C122*(parametros!$F$5-MEMORIA_RESULTADOS!$I$261),2))</f>
        <v/>
      </c>
      <c r="BE122" t="str">
        <f>IF($A122="","",ROUND(SUMIFS(itens_Consumidos!$M$2:$M$200,itens_Consumidos!$A$2:$A$200,$A122),2))</f>
        <v/>
      </c>
      <c r="BF122" t="str">
        <f t="shared" si="22"/>
        <v/>
      </c>
      <c r="BG122" t="str">
        <f>IF(OR($A122="",S122="",MEMORIA_RESULTADOS!$I$262=""),"",ROUND(S122*$C122*(MEMORIA_RESULTADOS!$I$262-1),2))</f>
        <v/>
      </c>
      <c r="BH122" t="str">
        <f>IF(OR($A122="",BF122="",MEMORIA_RESULTADOS!$I$262=""),"",ROUND(BF122*$C122*(parametros!$F$6-MEMORIA_RESULTADOS!$I$262),2))</f>
        <v/>
      </c>
      <c r="BI122" t="str">
        <f>IF($A122="","",IF(posicao_contratual!$AL122="","",posicao_contratual!$AL122))</f>
        <v/>
      </c>
    </row>
    <row r="123" spans="1:61" x14ac:dyDescent="0.35">
      <c r="A123" s="81"/>
      <c r="B123" s="82" t="str">
        <f t="shared" si="23"/>
        <v/>
      </c>
      <c r="C123" s="83"/>
      <c r="D123" s="79" t="str">
        <f>IF(AND(A123="",A122&lt;&gt;"",COUNTIF(A124:$A$200,"&lt;&gt;")=0),ROUND(SUMIF($A$2:A122,"&lt;&gt;",$D$2:D122),2),IF(OR(A123="",B123="",C123=""),"",ROUND(B123*C123,2)))</f>
        <v/>
      </c>
      <c r="E123" s="84"/>
      <c r="F123" s="79" t="str">
        <f>IF(AND(A123="",A122&lt;&gt;"",COUNTIF(A124:$A$200,"&lt;&gt;")=0),IF(COUNT(F$2:F122)=0,"",ROUND(SUMIF($A$2:A122,"&lt;&gt;",F$2:F122),2)),IF(OR(A123="",AND(ISNUMBER(posicao_contratual!$AL123),posicao_contratual!$AL123&gt;1),posicao_contratual!K123="",NOT(ISNUMBER(historico_VU!D123))),"",ROUND(posicao_contratual!K123*historico_VU!D123,2)))</f>
        <v/>
      </c>
      <c r="G123" s="84"/>
      <c r="H123" s="79" t="str">
        <f>IF(AND(A123="",A122&lt;&gt;"",COUNTIF(A124:$A$200,"&lt;&gt;")=0),IF(COUNT(H$2:H122)=0,"",ROUND(SUMIF($A$2:A122,"&lt;&gt;",H$2:H122),2)),IF(OR(A123="",AND(ISNUMBER(posicao_contratual!$AL123),posicao_contratual!$AL123&gt;2),posicao_contratual!O123="",NOT(ISNUMBER(historico_VU!E123))),"",ROUND(posicao_contratual!O123*historico_VU!E123,2)))</f>
        <v/>
      </c>
      <c r="I123" s="84"/>
      <c r="J123" s="79" t="str">
        <f>IF(AND(A123="",A122&lt;&gt;"",COUNTIF(A124:$A$200,"&lt;&gt;")=0),IF(COUNT(J$2:J122)=0,"",ROUND(SUMIF($A$2:A122,"&lt;&gt;",J$2:J122),2)),IF(OR(A123="",AND(ISNUMBER(posicao_contratual!$AL123),posicao_contratual!$AL123&gt;3),posicao_contratual!S123="",NOT(ISNUMBER(historico_VU!F123))),"",ROUND(posicao_contratual!S123*historico_VU!F123,2)))</f>
        <v/>
      </c>
      <c r="K123" s="84"/>
      <c r="L123" s="79" t="str">
        <f>IF(AND(A123="",A122&lt;&gt;"",COUNTIF(A124:$A$200,"&lt;&gt;")=0),IF(COUNT(L$2:L122)=0,"",ROUND(SUMIF($A$2:A122,"&lt;&gt;",L$2:L122),2)),IF(OR(A123="",AND(ISNUMBER(posicao_contratual!$AL123),posicao_contratual!$AL123&gt;4),posicao_contratual!W123="",NOT(ISNUMBER(historico_VU!G123))),"",ROUND(posicao_contratual!W123*historico_VU!G123,2)))</f>
        <v/>
      </c>
      <c r="M123" s="85" t="str">
        <f>IF(OR(posicao_contratual!J123="",posicao_contratual!N123=""),"",ROUND(MAX(posicao_contratual!J123+posicao_contratual!H123-posicao_contratual!N123,0),2))</f>
        <v/>
      </c>
      <c r="N123" s="79" t="str">
        <f>IF(AND(A123="",A122&lt;&gt;"",COUNTIF(A124:$A$200,"&lt;&gt;")=0),IF(COUNT(N$2:N122)=0,"",ROUND(SUMIF($A$2:A122,"&lt;&gt;",N$2:N122),2)),IF(OR(M123="",NOT(ISNUMBER(historico_VU!D123))),"",ROUND(M123*historico_VU!D123,2)))</f>
        <v/>
      </c>
      <c r="O123" s="85" t="str">
        <f>IF(OR(posicao_contratual!N123="",posicao_contratual!R123=""),"",ROUND(MAX(posicao_contratual!N123+posicao_contratual!L123-posicao_contratual!R123,0),2))</f>
        <v/>
      </c>
      <c r="P123" s="79" t="str">
        <f>IF(AND(A123="",A122&lt;&gt;"",COUNTIF(A124:$A$200,"&lt;&gt;")=0),IF(COUNT(P$2:P122)=0,"",ROUND(SUMIF($A$2:A122,"&lt;&gt;",P$2:P122),2)),IF(OR(O123="",NOT(ISNUMBER(historico_VU!E123))),"",ROUND(O123*historico_VU!E123,2)))</f>
        <v/>
      </c>
      <c r="Q123" s="85" t="str">
        <f>IF(OR(posicao_contratual!R123="",posicao_contratual!V123=""),"",ROUND(MAX(posicao_contratual!R123+posicao_contratual!P123-posicao_contratual!V123,0),2))</f>
        <v/>
      </c>
      <c r="R123" s="79" t="str">
        <f>IF(AND(A123="",A122&lt;&gt;"",COUNTIF(A124:$A$200,"&lt;&gt;")=0),IF(COUNT(R$2:R122)=0,"",ROUND(SUMIF($A$2:A122,"&lt;&gt;",R$2:R122),2)),IF(OR(Q123="",NOT(ISNUMBER(historico_VU!F123))),"",ROUND(Q123*historico_VU!F123,2)))</f>
        <v/>
      </c>
      <c r="S123" s="38"/>
      <c r="T123" s="39" t="str">
        <f>IF(AND(A123="",A122&lt;&gt;"",COUNTIF(A124:$A$200,"&lt;&gt;")=0),IF(COUNT(T$2:T122)=0,"",ROUND(SUMIF($A$2:A122,"&lt;&gt;",T$2:T122),2)),IF(OR(S123="",NOT(ISNUMBER(historico_VU!G123))),"",ROUND(S123*historico_VU!G123,2)))</f>
        <v/>
      </c>
      <c r="U123" s="86" t="str">
        <f>IF(AND(A123="",A122&lt;&gt;"",COUNTIF(A124:$A$200,"&lt;&gt;")=0),"TOTAL",IF(A123="","",posicao_contratual!X123))</f>
        <v/>
      </c>
      <c r="V123" s="86" t="str">
        <f>IF(A123="","",posicao_contratual!X123)</f>
        <v/>
      </c>
      <c r="W123" s="13"/>
      <c r="X123" s="13"/>
      <c r="Y123" s="13"/>
      <c r="Z123" s="13"/>
      <c r="AA123" s="13"/>
      <c r="AB123" s="85" t="str">
        <f>IF(OR(A123="",posicao_contratual!E123="",posicao_contratual!J123=""),"",ROUND(MAX(posicao_contratual!E123-posicao_contratual!J123,0),2))</f>
        <v/>
      </c>
      <c r="AC123" s="79" t="str">
        <f>IF(AND(A123="",A122&lt;&gt;"",COUNTIF(A124:$A$200,"&lt;&gt;")=0),IF(COUNT(AC$2:AC122)=0,"",ROUND(SUMIF($A$2:A122,"&lt;&gt;",AC$2:AC122),2)),IF(OR(AB123="",NOT(ISNUMBER(historico_VU!C123))),"",ROUND(AB123*historico_VU!C123,2)))</f>
        <v/>
      </c>
      <c r="AD123" s="145" t="str">
        <f>IF(A123="","",posicao_contratual!E123)</f>
        <v/>
      </c>
      <c r="AE123" s="145" t="str">
        <f>IF(A123="","",posicao_contratual!I123)</f>
        <v/>
      </c>
      <c r="AF123" s="145" t="str">
        <f>IF(A123="","",posicao_contratual!M123)</f>
        <v/>
      </c>
      <c r="AG123" s="145" t="str">
        <f>IF(A123="","",posicao_contratual!Q123)</f>
        <v/>
      </c>
      <c r="AH123" s="145" t="str">
        <f>IF(A123="","",posicao_contratual!U123)</f>
        <v/>
      </c>
      <c r="AI123" s="145" t="str">
        <f>IF(A123="","",posicao_contratual!G123)</f>
        <v/>
      </c>
      <c r="AJ123" s="145" t="str">
        <f>IF(A123="","",posicao_contratual!K123)</f>
        <v/>
      </c>
      <c r="AK123" s="145" t="str">
        <f>IF(A123="","",posicao_contratual!O123)</f>
        <v/>
      </c>
      <c r="AL123" s="145" t="str">
        <f>IF(A123="","",posicao_contratual!S123)</f>
        <v/>
      </c>
      <c r="AM123" s="145" t="str">
        <f>IF(A123="","",posicao_contratual!W123)</f>
        <v/>
      </c>
      <c r="AN123" s="146" t="str">
        <f>IF(A123="","",posicao_contratual!X123)</f>
        <v/>
      </c>
      <c r="AO123" t="str">
        <f>IF($A123="","",ROUND(SUMIFS(itens_Consumidos!$E$2:$E$200,itens_Consumidos!$A$2:$A$200,$A123),2))</f>
        <v/>
      </c>
      <c r="AP123" t="str">
        <f t="shared" si="18"/>
        <v/>
      </c>
      <c r="AQ123" t="str">
        <f>IF(OR($A123="",AB123="",MEMORIA_RESULTADOS!$I$258=""),"",ROUND(AB123*$C123*(MEMORIA_RESULTADOS!$I$258-1),2))</f>
        <v/>
      </c>
      <c r="AR123" t="str">
        <f>IF(OR($A123="",AP123="",MEMORIA_RESULTADOS!$I$258=""),"",ROUND(AP123*$C123*(parametros!$F$2-MEMORIA_RESULTADOS!$I$258),2))</f>
        <v/>
      </c>
      <c r="AS123" t="str">
        <f>IF($A123="","",ROUND(SUMIFS(itens_Consumidos!$G$2:$G$200,itens_Consumidos!$A$2:$A$200,$A123),2))</f>
        <v/>
      </c>
      <c r="AT123" t="str">
        <f t="shared" si="19"/>
        <v/>
      </c>
      <c r="AU123" t="str">
        <f>IF(OR($A123="",M123="",MEMORIA_RESULTADOS!$I$259=""),"",ROUND(M123*$C123*(MEMORIA_RESULTADOS!$I$259-1),2))</f>
        <v/>
      </c>
      <c r="AV123" t="str">
        <f>IF(OR($A123="",AT123="",MEMORIA_RESULTADOS!$I$259=""),"",ROUND(AT123*$C123*(parametros!$F$3-MEMORIA_RESULTADOS!$I$259),2))</f>
        <v/>
      </c>
      <c r="AW123" t="str">
        <f>IF($A123="","",ROUND(SUMIFS(itens_Consumidos!$I$2:$I$200,itens_Consumidos!$A$2:$A$200,$A123),2))</f>
        <v/>
      </c>
      <c r="AX123" t="str">
        <f t="shared" si="20"/>
        <v/>
      </c>
      <c r="AY123" t="str">
        <f>IF(OR($A123="",O123="",MEMORIA_RESULTADOS!$I$260=""),"",ROUND(O123*$C123*(MEMORIA_RESULTADOS!$I$260-1),2))</f>
        <v/>
      </c>
      <c r="AZ123" t="str">
        <f>IF(OR($A123="",AX123="",MEMORIA_RESULTADOS!$I$260=""),"",ROUND(AX123*$C123*(parametros!$F$4-MEMORIA_RESULTADOS!$I$260),2))</f>
        <v/>
      </c>
      <c r="BA123" t="str">
        <f>IF($A123="","",ROUND(SUMIFS(itens_Consumidos!$K$2:$K$200,itens_Consumidos!$A$2:$A$200,$A123),2))</f>
        <v/>
      </c>
      <c r="BB123" t="str">
        <f t="shared" si="21"/>
        <v/>
      </c>
      <c r="BC123" t="str">
        <f>IF(OR($A123="",Q123="",MEMORIA_RESULTADOS!$I$261=""),"",ROUND(Q123*$C123*(MEMORIA_RESULTADOS!$I$261-1),2))</f>
        <v/>
      </c>
      <c r="BD123" t="str">
        <f>IF(OR($A123="",BB123="",MEMORIA_RESULTADOS!$I$261=""),"",ROUND(BB123*$C123*(parametros!$F$5-MEMORIA_RESULTADOS!$I$261),2))</f>
        <v/>
      </c>
      <c r="BE123" t="str">
        <f>IF($A123="","",ROUND(SUMIFS(itens_Consumidos!$M$2:$M$200,itens_Consumidos!$A$2:$A$200,$A123),2))</f>
        <v/>
      </c>
      <c r="BF123" t="str">
        <f t="shared" si="22"/>
        <v/>
      </c>
      <c r="BG123" t="str">
        <f>IF(OR($A123="",S123="",MEMORIA_RESULTADOS!$I$262=""),"",ROUND(S123*$C123*(MEMORIA_RESULTADOS!$I$262-1),2))</f>
        <v/>
      </c>
      <c r="BH123" t="str">
        <f>IF(OR($A123="",BF123="",MEMORIA_RESULTADOS!$I$262=""),"",ROUND(BF123*$C123*(parametros!$F$6-MEMORIA_RESULTADOS!$I$262),2))</f>
        <v/>
      </c>
      <c r="BI123" t="str">
        <f>IF($A123="","",IF(posicao_contratual!$AL123="","",posicao_contratual!$AL123))</f>
        <v/>
      </c>
    </row>
    <row r="124" spans="1:61" x14ac:dyDescent="0.35">
      <c r="A124" s="81"/>
      <c r="B124" s="82" t="str">
        <f t="shared" si="23"/>
        <v/>
      </c>
      <c r="C124" s="83"/>
      <c r="D124" s="79" t="str">
        <f>IF(AND(A124="",A123&lt;&gt;"",COUNTIF(A125:$A$200,"&lt;&gt;")=0),ROUND(SUMIF($A$2:A123,"&lt;&gt;",$D$2:D123),2),IF(OR(A124="",B124="",C124=""),"",ROUND(B124*C124,2)))</f>
        <v/>
      </c>
      <c r="E124" s="84"/>
      <c r="F124" s="79" t="str">
        <f>IF(AND(A124="",A123&lt;&gt;"",COUNTIF(A125:$A$200,"&lt;&gt;")=0),IF(COUNT(F$2:F123)=0,"",ROUND(SUMIF($A$2:A123,"&lt;&gt;",F$2:F123),2)),IF(OR(A124="",AND(ISNUMBER(posicao_contratual!$AL124),posicao_contratual!$AL124&gt;1),posicao_contratual!K124="",NOT(ISNUMBER(historico_VU!D124))),"",ROUND(posicao_contratual!K124*historico_VU!D124,2)))</f>
        <v/>
      </c>
      <c r="G124" s="84"/>
      <c r="H124" s="79" t="str">
        <f>IF(AND(A124="",A123&lt;&gt;"",COUNTIF(A125:$A$200,"&lt;&gt;")=0),IF(COUNT(H$2:H123)=0,"",ROUND(SUMIF($A$2:A123,"&lt;&gt;",H$2:H123),2)),IF(OR(A124="",AND(ISNUMBER(posicao_contratual!$AL124),posicao_contratual!$AL124&gt;2),posicao_contratual!O124="",NOT(ISNUMBER(historico_VU!E124))),"",ROUND(posicao_contratual!O124*historico_VU!E124,2)))</f>
        <v/>
      </c>
      <c r="I124" s="84"/>
      <c r="J124" s="79" t="str">
        <f>IF(AND(A124="",A123&lt;&gt;"",COUNTIF(A125:$A$200,"&lt;&gt;")=0),IF(COUNT(J$2:J123)=0,"",ROUND(SUMIF($A$2:A123,"&lt;&gt;",J$2:J123),2)),IF(OR(A124="",AND(ISNUMBER(posicao_contratual!$AL124),posicao_contratual!$AL124&gt;3),posicao_contratual!S124="",NOT(ISNUMBER(historico_VU!F124))),"",ROUND(posicao_contratual!S124*historico_VU!F124,2)))</f>
        <v/>
      </c>
      <c r="K124" s="84"/>
      <c r="L124" s="79" t="str">
        <f>IF(AND(A124="",A123&lt;&gt;"",COUNTIF(A125:$A$200,"&lt;&gt;")=0),IF(COUNT(L$2:L123)=0,"",ROUND(SUMIF($A$2:A123,"&lt;&gt;",L$2:L123),2)),IF(OR(A124="",AND(ISNUMBER(posicao_contratual!$AL124),posicao_contratual!$AL124&gt;4),posicao_contratual!W124="",NOT(ISNUMBER(historico_VU!G124))),"",ROUND(posicao_contratual!W124*historico_VU!G124,2)))</f>
        <v/>
      </c>
      <c r="M124" s="85" t="str">
        <f>IF(OR(posicao_contratual!J124="",posicao_contratual!N124=""),"",ROUND(MAX(posicao_contratual!J124+posicao_contratual!H124-posicao_contratual!N124,0),2))</f>
        <v/>
      </c>
      <c r="N124" s="79" t="str">
        <f>IF(AND(A124="",A123&lt;&gt;"",COUNTIF(A125:$A$200,"&lt;&gt;")=0),IF(COUNT(N$2:N123)=0,"",ROUND(SUMIF($A$2:A123,"&lt;&gt;",N$2:N123),2)),IF(OR(M124="",NOT(ISNUMBER(historico_VU!D124))),"",ROUND(M124*historico_VU!D124,2)))</f>
        <v/>
      </c>
      <c r="O124" s="85" t="str">
        <f>IF(OR(posicao_contratual!N124="",posicao_contratual!R124=""),"",ROUND(MAX(posicao_contratual!N124+posicao_contratual!L124-posicao_contratual!R124,0),2))</f>
        <v/>
      </c>
      <c r="P124" s="79" t="str">
        <f>IF(AND(A124="",A123&lt;&gt;"",COUNTIF(A125:$A$200,"&lt;&gt;")=0),IF(COUNT(P$2:P123)=0,"",ROUND(SUMIF($A$2:A123,"&lt;&gt;",P$2:P123),2)),IF(OR(O124="",NOT(ISNUMBER(historico_VU!E124))),"",ROUND(O124*historico_VU!E124,2)))</f>
        <v/>
      </c>
      <c r="Q124" s="85" t="str">
        <f>IF(OR(posicao_contratual!R124="",posicao_contratual!V124=""),"",ROUND(MAX(posicao_contratual!R124+posicao_contratual!P124-posicao_contratual!V124,0),2))</f>
        <v/>
      </c>
      <c r="R124" s="79" t="str">
        <f>IF(AND(A124="",A123&lt;&gt;"",COUNTIF(A125:$A$200,"&lt;&gt;")=0),IF(COUNT(R$2:R123)=0,"",ROUND(SUMIF($A$2:A123,"&lt;&gt;",R$2:R123),2)),IF(OR(Q124="",NOT(ISNUMBER(historico_VU!F124))),"",ROUND(Q124*historico_VU!F124,2)))</f>
        <v/>
      </c>
      <c r="S124" s="38"/>
      <c r="T124" s="39" t="str">
        <f>IF(AND(A124="",A123&lt;&gt;"",COUNTIF(A125:$A$200,"&lt;&gt;")=0),IF(COUNT(T$2:T123)=0,"",ROUND(SUMIF($A$2:A123,"&lt;&gt;",T$2:T123),2)),IF(OR(S124="",NOT(ISNUMBER(historico_VU!G124))),"",ROUND(S124*historico_VU!G124,2)))</f>
        <v/>
      </c>
      <c r="U124" s="86" t="str">
        <f>IF(AND(A124="",A123&lt;&gt;"",COUNTIF(A125:$A$200,"&lt;&gt;")=0),"TOTAL",IF(A124="","",posicao_contratual!X124))</f>
        <v/>
      </c>
      <c r="V124" s="86" t="str">
        <f>IF(A124="","",posicao_contratual!X124)</f>
        <v/>
      </c>
      <c r="W124" s="13"/>
      <c r="X124" s="13"/>
      <c r="Y124" s="13"/>
      <c r="Z124" s="13"/>
      <c r="AA124" s="13"/>
      <c r="AB124" s="85" t="str">
        <f>IF(OR(A124="",posicao_contratual!E124="",posicao_contratual!J124=""),"",ROUND(MAX(posicao_contratual!E124-posicao_contratual!J124,0),2))</f>
        <v/>
      </c>
      <c r="AC124" s="79" t="str">
        <f>IF(AND(A124="",A123&lt;&gt;"",COUNTIF(A125:$A$200,"&lt;&gt;")=0),IF(COUNT(AC$2:AC123)=0,"",ROUND(SUMIF($A$2:A123,"&lt;&gt;",AC$2:AC123),2)),IF(OR(AB124="",NOT(ISNUMBER(historico_VU!C124))),"",ROUND(AB124*historico_VU!C124,2)))</f>
        <v/>
      </c>
      <c r="AD124" s="145" t="str">
        <f>IF(A124="","",posicao_contratual!E124)</f>
        <v/>
      </c>
      <c r="AE124" s="145" t="str">
        <f>IF(A124="","",posicao_contratual!I124)</f>
        <v/>
      </c>
      <c r="AF124" s="145" t="str">
        <f>IF(A124="","",posicao_contratual!M124)</f>
        <v/>
      </c>
      <c r="AG124" s="145" t="str">
        <f>IF(A124="","",posicao_contratual!Q124)</f>
        <v/>
      </c>
      <c r="AH124" s="145" t="str">
        <f>IF(A124="","",posicao_contratual!U124)</f>
        <v/>
      </c>
      <c r="AI124" s="145" t="str">
        <f>IF(A124="","",posicao_contratual!G124)</f>
        <v/>
      </c>
      <c r="AJ124" s="145" t="str">
        <f>IF(A124="","",posicao_contratual!K124)</f>
        <v/>
      </c>
      <c r="AK124" s="145" t="str">
        <f>IF(A124="","",posicao_contratual!O124)</f>
        <v/>
      </c>
      <c r="AL124" s="145" t="str">
        <f>IF(A124="","",posicao_contratual!S124)</f>
        <v/>
      </c>
      <c r="AM124" s="145" t="str">
        <f>IF(A124="","",posicao_contratual!W124)</f>
        <v/>
      </c>
      <c r="AN124" s="146" t="str">
        <f>IF(A124="","",posicao_contratual!X124)</f>
        <v/>
      </c>
      <c r="AO124" t="str">
        <f>IF($A124="","",ROUND(SUMIFS(itens_Consumidos!$E$2:$E$200,itens_Consumidos!$A$2:$A$200,$A124),2))</f>
        <v/>
      </c>
      <c r="AP124" t="str">
        <f t="shared" si="18"/>
        <v/>
      </c>
      <c r="AQ124" t="str">
        <f>IF(OR($A124="",AB124="",MEMORIA_RESULTADOS!$I$258=""),"",ROUND(AB124*$C124*(MEMORIA_RESULTADOS!$I$258-1),2))</f>
        <v/>
      </c>
      <c r="AR124" t="str">
        <f>IF(OR($A124="",AP124="",MEMORIA_RESULTADOS!$I$258=""),"",ROUND(AP124*$C124*(parametros!$F$2-MEMORIA_RESULTADOS!$I$258),2))</f>
        <v/>
      </c>
      <c r="AS124" t="str">
        <f>IF($A124="","",ROUND(SUMIFS(itens_Consumidos!$G$2:$G$200,itens_Consumidos!$A$2:$A$200,$A124),2))</f>
        <v/>
      </c>
      <c r="AT124" t="str">
        <f t="shared" si="19"/>
        <v/>
      </c>
      <c r="AU124" t="str">
        <f>IF(OR($A124="",M124="",MEMORIA_RESULTADOS!$I$259=""),"",ROUND(M124*$C124*(MEMORIA_RESULTADOS!$I$259-1),2))</f>
        <v/>
      </c>
      <c r="AV124" t="str">
        <f>IF(OR($A124="",AT124="",MEMORIA_RESULTADOS!$I$259=""),"",ROUND(AT124*$C124*(parametros!$F$3-MEMORIA_RESULTADOS!$I$259),2))</f>
        <v/>
      </c>
      <c r="AW124" t="str">
        <f>IF($A124="","",ROUND(SUMIFS(itens_Consumidos!$I$2:$I$200,itens_Consumidos!$A$2:$A$200,$A124),2))</f>
        <v/>
      </c>
      <c r="AX124" t="str">
        <f t="shared" si="20"/>
        <v/>
      </c>
      <c r="AY124" t="str">
        <f>IF(OR($A124="",O124="",MEMORIA_RESULTADOS!$I$260=""),"",ROUND(O124*$C124*(MEMORIA_RESULTADOS!$I$260-1),2))</f>
        <v/>
      </c>
      <c r="AZ124" t="str">
        <f>IF(OR($A124="",AX124="",MEMORIA_RESULTADOS!$I$260=""),"",ROUND(AX124*$C124*(parametros!$F$4-MEMORIA_RESULTADOS!$I$260),2))</f>
        <v/>
      </c>
      <c r="BA124" t="str">
        <f>IF($A124="","",ROUND(SUMIFS(itens_Consumidos!$K$2:$K$200,itens_Consumidos!$A$2:$A$200,$A124),2))</f>
        <v/>
      </c>
      <c r="BB124" t="str">
        <f t="shared" si="21"/>
        <v/>
      </c>
      <c r="BC124" t="str">
        <f>IF(OR($A124="",Q124="",MEMORIA_RESULTADOS!$I$261=""),"",ROUND(Q124*$C124*(MEMORIA_RESULTADOS!$I$261-1),2))</f>
        <v/>
      </c>
      <c r="BD124" t="str">
        <f>IF(OR($A124="",BB124="",MEMORIA_RESULTADOS!$I$261=""),"",ROUND(BB124*$C124*(parametros!$F$5-MEMORIA_RESULTADOS!$I$261),2))</f>
        <v/>
      </c>
      <c r="BE124" t="str">
        <f>IF($A124="","",ROUND(SUMIFS(itens_Consumidos!$M$2:$M$200,itens_Consumidos!$A$2:$A$200,$A124),2))</f>
        <v/>
      </c>
      <c r="BF124" t="str">
        <f t="shared" si="22"/>
        <v/>
      </c>
      <c r="BG124" t="str">
        <f>IF(OR($A124="",S124="",MEMORIA_RESULTADOS!$I$262=""),"",ROUND(S124*$C124*(MEMORIA_RESULTADOS!$I$262-1),2))</f>
        <v/>
      </c>
      <c r="BH124" t="str">
        <f>IF(OR($A124="",BF124="",MEMORIA_RESULTADOS!$I$262=""),"",ROUND(BF124*$C124*(parametros!$F$6-MEMORIA_RESULTADOS!$I$262),2))</f>
        <v/>
      </c>
      <c r="BI124" t="str">
        <f>IF($A124="","",IF(posicao_contratual!$AL124="","",posicao_contratual!$AL124))</f>
        <v/>
      </c>
    </row>
    <row r="125" spans="1:61" x14ac:dyDescent="0.35">
      <c r="A125" s="81"/>
      <c r="B125" s="82" t="str">
        <f t="shared" si="23"/>
        <v/>
      </c>
      <c r="C125" s="83"/>
      <c r="D125" s="79" t="str">
        <f>IF(AND(A125="",A124&lt;&gt;"",COUNTIF(A126:$A$200,"&lt;&gt;")=0),ROUND(SUMIF($A$2:A124,"&lt;&gt;",$D$2:D124),2),IF(OR(A125="",B125="",C125=""),"",ROUND(B125*C125,2)))</f>
        <v/>
      </c>
      <c r="E125" s="84"/>
      <c r="F125" s="79" t="str">
        <f>IF(AND(A125="",A124&lt;&gt;"",COUNTIF(A126:$A$200,"&lt;&gt;")=0),IF(COUNT(F$2:F124)=0,"",ROUND(SUMIF($A$2:A124,"&lt;&gt;",F$2:F124),2)),IF(OR(A125="",AND(ISNUMBER(posicao_contratual!$AL125),posicao_contratual!$AL125&gt;1),posicao_contratual!K125="",NOT(ISNUMBER(historico_VU!D125))),"",ROUND(posicao_contratual!K125*historico_VU!D125,2)))</f>
        <v/>
      </c>
      <c r="G125" s="84"/>
      <c r="H125" s="79" t="str">
        <f>IF(AND(A125="",A124&lt;&gt;"",COUNTIF(A126:$A$200,"&lt;&gt;")=0),IF(COUNT(H$2:H124)=0,"",ROUND(SUMIF($A$2:A124,"&lt;&gt;",H$2:H124),2)),IF(OR(A125="",AND(ISNUMBER(posicao_contratual!$AL125),posicao_contratual!$AL125&gt;2),posicao_contratual!O125="",NOT(ISNUMBER(historico_VU!E125))),"",ROUND(posicao_contratual!O125*historico_VU!E125,2)))</f>
        <v/>
      </c>
      <c r="I125" s="84"/>
      <c r="J125" s="79" t="str">
        <f>IF(AND(A125="",A124&lt;&gt;"",COUNTIF(A126:$A$200,"&lt;&gt;")=0),IF(COUNT(J$2:J124)=0,"",ROUND(SUMIF($A$2:A124,"&lt;&gt;",J$2:J124),2)),IF(OR(A125="",AND(ISNUMBER(posicao_contratual!$AL125),posicao_contratual!$AL125&gt;3),posicao_contratual!S125="",NOT(ISNUMBER(historico_VU!F125))),"",ROUND(posicao_contratual!S125*historico_VU!F125,2)))</f>
        <v/>
      </c>
      <c r="K125" s="84"/>
      <c r="L125" s="79" t="str">
        <f>IF(AND(A125="",A124&lt;&gt;"",COUNTIF(A126:$A$200,"&lt;&gt;")=0),IF(COUNT(L$2:L124)=0,"",ROUND(SUMIF($A$2:A124,"&lt;&gt;",L$2:L124),2)),IF(OR(A125="",AND(ISNUMBER(posicao_contratual!$AL125),posicao_contratual!$AL125&gt;4),posicao_contratual!W125="",NOT(ISNUMBER(historico_VU!G125))),"",ROUND(posicao_contratual!W125*historico_VU!G125,2)))</f>
        <v/>
      </c>
      <c r="M125" s="85" t="str">
        <f>IF(OR(posicao_contratual!J125="",posicao_contratual!N125=""),"",ROUND(MAX(posicao_contratual!J125+posicao_contratual!H125-posicao_contratual!N125,0),2))</f>
        <v/>
      </c>
      <c r="N125" s="79" t="str">
        <f>IF(AND(A125="",A124&lt;&gt;"",COUNTIF(A126:$A$200,"&lt;&gt;")=0),IF(COUNT(N$2:N124)=0,"",ROUND(SUMIF($A$2:A124,"&lt;&gt;",N$2:N124),2)),IF(OR(M125="",NOT(ISNUMBER(historico_VU!D125))),"",ROUND(M125*historico_VU!D125,2)))</f>
        <v/>
      </c>
      <c r="O125" s="85" t="str">
        <f>IF(OR(posicao_contratual!N125="",posicao_contratual!R125=""),"",ROUND(MAX(posicao_contratual!N125+posicao_contratual!L125-posicao_contratual!R125,0),2))</f>
        <v/>
      </c>
      <c r="P125" s="79" t="str">
        <f>IF(AND(A125="",A124&lt;&gt;"",COUNTIF(A126:$A$200,"&lt;&gt;")=0),IF(COUNT(P$2:P124)=0,"",ROUND(SUMIF($A$2:A124,"&lt;&gt;",P$2:P124),2)),IF(OR(O125="",NOT(ISNUMBER(historico_VU!E125))),"",ROUND(O125*historico_VU!E125,2)))</f>
        <v/>
      </c>
      <c r="Q125" s="85" t="str">
        <f>IF(OR(posicao_contratual!R125="",posicao_contratual!V125=""),"",ROUND(MAX(posicao_contratual!R125+posicao_contratual!P125-posicao_contratual!V125,0),2))</f>
        <v/>
      </c>
      <c r="R125" s="79" t="str">
        <f>IF(AND(A125="",A124&lt;&gt;"",COUNTIF(A126:$A$200,"&lt;&gt;")=0),IF(COUNT(R$2:R124)=0,"",ROUND(SUMIF($A$2:A124,"&lt;&gt;",R$2:R124),2)),IF(OR(Q125="",NOT(ISNUMBER(historico_VU!F125))),"",ROUND(Q125*historico_VU!F125,2)))</f>
        <v/>
      </c>
      <c r="S125" s="38"/>
      <c r="T125" s="39" t="str">
        <f>IF(AND(A125="",A124&lt;&gt;"",COUNTIF(A126:$A$200,"&lt;&gt;")=0),IF(COUNT(T$2:T124)=0,"",ROUND(SUMIF($A$2:A124,"&lt;&gt;",T$2:T124),2)),IF(OR(S125="",NOT(ISNUMBER(historico_VU!G125))),"",ROUND(S125*historico_VU!G125,2)))</f>
        <v/>
      </c>
      <c r="U125" s="86" t="str">
        <f>IF(AND(A125="",A124&lt;&gt;"",COUNTIF(A126:$A$200,"&lt;&gt;")=0),"TOTAL",IF(A125="","",posicao_contratual!X125))</f>
        <v/>
      </c>
      <c r="V125" s="86" t="str">
        <f>IF(A125="","",posicao_contratual!X125)</f>
        <v/>
      </c>
      <c r="W125" s="13"/>
      <c r="X125" s="13"/>
      <c r="Y125" s="13"/>
      <c r="Z125" s="13"/>
      <c r="AA125" s="13"/>
      <c r="AB125" s="85" t="str">
        <f>IF(OR(A125="",posicao_contratual!E125="",posicao_contratual!J125=""),"",ROUND(MAX(posicao_contratual!E125-posicao_contratual!J125,0),2))</f>
        <v/>
      </c>
      <c r="AC125" s="79" t="str">
        <f>IF(AND(A125="",A124&lt;&gt;"",COUNTIF(A126:$A$200,"&lt;&gt;")=0),IF(COUNT(AC$2:AC124)=0,"",ROUND(SUMIF($A$2:A124,"&lt;&gt;",AC$2:AC124),2)),IF(OR(AB125="",NOT(ISNUMBER(historico_VU!C125))),"",ROUND(AB125*historico_VU!C125,2)))</f>
        <v/>
      </c>
      <c r="AD125" s="145" t="str">
        <f>IF(A125="","",posicao_contratual!E125)</f>
        <v/>
      </c>
      <c r="AE125" s="145" t="str">
        <f>IF(A125="","",posicao_contratual!I125)</f>
        <v/>
      </c>
      <c r="AF125" s="145" t="str">
        <f>IF(A125="","",posicao_contratual!M125)</f>
        <v/>
      </c>
      <c r="AG125" s="145" t="str">
        <f>IF(A125="","",posicao_contratual!Q125)</f>
        <v/>
      </c>
      <c r="AH125" s="145" t="str">
        <f>IF(A125="","",posicao_contratual!U125)</f>
        <v/>
      </c>
      <c r="AI125" s="145" t="str">
        <f>IF(A125="","",posicao_contratual!G125)</f>
        <v/>
      </c>
      <c r="AJ125" s="145" t="str">
        <f>IF(A125="","",posicao_contratual!K125)</f>
        <v/>
      </c>
      <c r="AK125" s="145" t="str">
        <f>IF(A125="","",posicao_contratual!O125)</f>
        <v/>
      </c>
      <c r="AL125" s="145" t="str">
        <f>IF(A125="","",posicao_contratual!S125)</f>
        <v/>
      </c>
      <c r="AM125" s="145" t="str">
        <f>IF(A125="","",posicao_contratual!W125)</f>
        <v/>
      </c>
      <c r="AN125" s="146" t="str">
        <f>IF(A125="","",posicao_contratual!X125)</f>
        <v/>
      </c>
      <c r="AO125" t="str">
        <f>IF($A125="","",ROUND(SUMIFS(itens_Consumidos!$E$2:$E$200,itens_Consumidos!$A$2:$A$200,$A125),2))</f>
        <v/>
      </c>
      <c r="AP125" t="str">
        <f t="shared" si="18"/>
        <v/>
      </c>
      <c r="AQ125" t="str">
        <f>IF(OR($A125="",AB125="",MEMORIA_RESULTADOS!$I$258=""),"",ROUND(AB125*$C125*(MEMORIA_RESULTADOS!$I$258-1),2))</f>
        <v/>
      </c>
      <c r="AR125" t="str">
        <f>IF(OR($A125="",AP125="",MEMORIA_RESULTADOS!$I$258=""),"",ROUND(AP125*$C125*(parametros!$F$2-MEMORIA_RESULTADOS!$I$258),2))</f>
        <v/>
      </c>
      <c r="AS125" t="str">
        <f>IF($A125="","",ROUND(SUMIFS(itens_Consumidos!$G$2:$G$200,itens_Consumidos!$A$2:$A$200,$A125),2))</f>
        <v/>
      </c>
      <c r="AT125" t="str">
        <f t="shared" si="19"/>
        <v/>
      </c>
      <c r="AU125" t="str">
        <f>IF(OR($A125="",M125="",MEMORIA_RESULTADOS!$I$259=""),"",ROUND(M125*$C125*(MEMORIA_RESULTADOS!$I$259-1),2))</f>
        <v/>
      </c>
      <c r="AV125" t="str">
        <f>IF(OR($A125="",AT125="",MEMORIA_RESULTADOS!$I$259=""),"",ROUND(AT125*$C125*(parametros!$F$3-MEMORIA_RESULTADOS!$I$259),2))</f>
        <v/>
      </c>
      <c r="AW125" t="str">
        <f>IF($A125="","",ROUND(SUMIFS(itens_Consumidos!$I$2:$I$200,itens_Consumidos!$A$2:$A$200,$A125),2))</f>
        <v/>
      </c>
      <c r="AX125" t="str">
        <f t="shared" si="20"/>
        <v/>
      </c>
      <c r="AY125" t="str">
        <f>IF(OR($A125="",O125="",MEMORIA_RESULTADOS!$I$260=""),"",ROUND(O125*$C125*(MEMORIA_RESULTADOS!$I$260-1),2))</f>
        <v/>
      </c>
      <c r="AZ125" t="str">
        <f>IF(OR($A125="",AX125="",MEMORIA_RESULTADOS!$I$260=""),"",ROUND(AX125*$C125*(parametros!$F$4-MEMORIA_RESULTADOS!$I$260),2))</f>
        <v/>
      </c>
      <c r="BA125" t="str">
        <f>IF($A125="","",ROUND(SUMIFS(itens_Consumidos!$K$2:$K$200,itens_Consumidos!$A$2:$A$200,$A125),2))</f>
        <v/>
      </c>
      <c r="BB125" t="str">
        <f t="shared" si="21"/>
        <v/>
      </c>
      <c r="BC125" t="str">
        <f>IF(OR($A125="",Q125="",MEMORIA_RESULTADOS!$I$261=""),"",ROUND(Q125*$C125*(MEMORIA_RESULTADOS!$I$261-1),2))</f>
        <v/>
      </c>
      <c r="BD125" t="str">
        <f>IF(OR($A125="",BB125="",MEMORIA_RESULTADOS!$I$261=""),"",ROUND(BB125*$C125*(parametros!$F$5-MEMORIA_RESULTADOS!$I$261),2))</f>
        <v/>
      </c>
      <c r="BE125" t="str">
        <f>IF($A125="","",ROUND(SUMIFS(itens_Consumidos!$M$2:$M$200,itens_Consumidos!$A$2:$A$200,$A125),2))</f>
        <v/>
      </c>
      <c r="BF125" t="str">
        <f t="shared" si="22"/>
        <v/>
      </c>
      <c r="BG125" t="str">
        <f>IF(OR($A125="",S125="",MEMORIA_RESULTADOS!$I$262=""),"",ROUND(S125*$C125*(MEMORIA_RESULTADOS!$I$262-1),2))</f>
        <v/>
      </c>
      <c r="BH125" t="str">
        <f>IF(OR($A125="",BF125="",MEMORIA_RESULTADOS!$I$262=""),"",ROUND(BF125*$C125*(parametros!$F$6-MEMORIA_RESULTADOS!$I$262),2))</f>
        <v/>
      </c>
      <c r="BI125" t="str">
        <f>IF($A125="","",IF(posicao_contratual!$AL125="","",posicao_contratual!$AL125))</f>
        <v/>
      </c>
    </row>
    <row r="126" spans="1:61" x14ac:dyDescent="0.35">
      <c r="A126" s="81"/>
      <c r="B126" s="82" t="str">
        <f t="shared" si="23"/>
        <v/>
      </c>
      <c r="C126" s="83"/>
      <c r="D126" s="79" t="str">
        <f>IF(AND(A126="",A125&lt;&gt;"",COUNTIF(A127:$A$200,"&lt;&gt;")=0),ROUND(SUMIF($A$2:A125,"&lt;&gt;",$D$2:D125),2),IF(OR(A126="",B126="",C126=""),"",ROUND(B126*C126,2)))</f>
        <v/>
      </c>
      <c r="E126" s="84"/>
      <c r="F126" s="79" t="str">
        <f>IF(AND(A126="",A125&lt;&gt;"",COUNTIF(A127:$A$200,"&lt;&gt;")=0),IF(COUNT(F$2:F125)=0,"",ROUND(SUMIF($A$2:A125,"&lt;&gt;",F$2:F125),2)),IF(OR(A126="",AND(ISNUMBER(posicao_contratual!$AL126),posicao_contratual!$AL126&gt;1),posicao_contratual!K126="",NOT(ISNUMBER(historico_VU!D126))),"",ROUND(posicao_contratual!K126*historico_VU!D126,2)))</f>
        <v/>
      </c>
      <c r="G126" s="84"/>
      <c r="H126" s="79" t="str">
        <f>IF(AND(A126="",A125&lt;&gt;"",COUNTIF(A127:$A$200,"&lt;&gt;")=0),IF(COUNT(H$2:H125)=0,"",ROUND(SUMIF($A$2:A125,"&lt;&gt;",H$2:H125),2)),IF(OR(A126="",AND(ISNUMBER(posicao_contratual!$AL126),posicao_contratual!$AL126&gt;2),posicao_contratual!O126="",NOT(ISNUMBER(historico_VU!E126))),"",ROUND(posicao_contratual!O126*historico_VU!E126,2)))</f>
        <v/>
      </c>
      <c r="I126" s="84"/>
      <c r="J126" s="79" t="str">
        <f>IF(AND(A126="",A125&lt;&gt;"",COUNTIF(A127:$A$200,"&lt;&gt;")=0),IF(COUNT(J$2:J125)=0,"",ROUND(SUMIF($A$2:A125,"&lt;&gt;",J$2:J125),2)),IF(OR(A126="",AND(ISNUMBER(posicao_contratual!$AL126),posicao_contratual!$AL126&gt;3),posicao_contratual!S126="",NOT(ISNUMBER(historico_VU!F126))),"",ROUND(posicao_contratual!S126*historico_VU!F126,2)))</f>
        <v/>
      </c>
      <c r="K126" s="84"/>
      <c r="L126" s="79" t="str">
        <f>IF(AND(A126="",A125&lt;&gt;"",COUNTIF(A127:$A$200,"&lt;&gt;")=0),IF(COUNT(L$2:L125)=0,"",ROUND(SUMIF($A$2:A125,"&lt;&gt;",L$2:L125),2)),IF(OR(A126="",AND(ISNUMBER(posicao_contratual!$AL126),posicao_contratual!$AL126&gt;4),posicao_contratual!W126="",NOT(ISNUMBER(historico_VU!G126))),"",ROUND(posicao_contratual!W126*historico_VU!G126,2)))</f>
        <v/>
      </c>
      <c r="M126" s="85" t="str">
        <f>IF(OR(posicao_contratual!J126="",posicao_contratual!N126=""),"",ROUND(MAX(posicao_contratual!J126+posicao_contratual!H126-posicao_contratual!N126,0),2))</f>
        <v/>
      </c>
      <c r="N126" s="79" t="str">
        <f>IF(AND(A126="",A125&lt;&gt;"",COUNTIF(A127:$A$200,"&lt;&gt;")=0),IF(COUNT(N$2:N125)=0,"",ROUND(SUMIF($A$2:A125,"&lt;&gt;",N$2:N125),2)),IF(OR(M126="",NOT(ISNUMBER(historico_VU!D126))),"",ROUND(M126*historico_VU!D126,2)))</f>
        <v/>
      </c>
      <c r="O126" s="85" t="str">
        <f>IF(OR(posicao_contratual!N126="",posicao_contratual!R126=""),"",ROUND(MAX(posicao_contratual!N126+posicao_contratual!L126-posicao_contratual!R126,0),2))</f>
        <v/>
      </c>
      <c r="P126" s="79" t="str">
        <f>IF(AND(A126="",A125&lt;&gt;"",COUNTIF(A127:$A$200,"&lt;&gt;")=0),IF(COUNT(P$2:P125)=0,"",ROUND(SUMIF($A$2:A125,"&lt;&gt;",P$2:P125),2)),IF(OR(O126="",NOT(ISNUMBER(historico_VU!E126))),"",ROUND(O126*historico_VU!E126,2)))</f>
        <v/>
      </c>
      <c r="Q126" s="85" t="str">
        <f>IF(OR(posicao_contratual!R126="",posicao_contratual!V126=""),"",ROUND(MAX(posicao_contratual!R126+posicao_contratual!P126-posicao_contratual!V126,0),2))</f>
        <v/>
      </c>
      <c r="R126" s="79" t="str">
        <f>IF(AND(A126="",A125&lt;&gt;"",COUNTIF(A127:$A$200,"&lt;&gt;")=0),IF(COUNT(R$2:R125)=0,"",ROUND(SUMIF($A$2:A125,"&lt;&gt;",R$2:R125),2)),IF(OR(Q126="",NOT(ISNUMBER(historico_VU!F126))),"",ROUND(Q126*historico_VU!F126,2)))</f>
        <v/>
      </c>
      <c r="S126" s="38"/>
      <c r="T126" s="39" t="str">
        <f>IF(AND(A126="",A125&lt;&gt;"",COUNTIF(A127:$A$200,"&lt;&gt;")=0),IF(COUNT(T$2:T125)=0,"",ROUND(SUMIF($A$2:A125,"&lt;&gt;",T$2:T125),2)),IF(OR(S126="",NOT(ISNUMBER(historico_VU!G126))),"",ROUND(S126*historico_VU!G126,2)))</f>
        <v/>
      </c>
      <c r="U126" s="86" t="str">
        <f>IF(AND(A126="",A125&lt;&gt;"",COUNTIF(A127:$A$200,"&lt;&gt;")=0),"TOTAL",IF(A126="","",posicao_contratual!X126))</f>
        <v/>
      </c>
      <c r="V126" s="86" t="str">
        <f>IF(A126="","",posicao_contratual!X126)</f>
        <v/>
      </c>
      <c r="W126" s="13"/>
      <c r="X126" s="13"/>
      <c r="Y126" s="13"/>
      <c r="Z126" s="13"/>
      <c r="AA126" s="13"/>
      <c r="AB126" s="85" t="str">
        <f>IF(OR(A126="",posicao_contratual!E126="",posicao_contratual!J126=""),"",ROUND(MAX(posicao_contratual!E126-posicao_contratual!J126,0),2))</f>
        <v/>
      </c>
      <c r="AC126" s="79" t="str">
        <f>IF(AND(A126="",A125&lt;&gt;"",COUNTIF(A127:$A$200,"&lt;&gt;")=0),IF(COUNT(AC$2:AC125)=0,"",ROUND(SUMIF($A$2:A125,"&lt;&gt;",AC$2:AC125),2)),IF(OR(AB126="",NOT(ISNUMBER(historico_VU!C126))),"",ROUND(AB126*historico_VU!C126,2)))</f>
        <v/>
      </c>
      <c r="AD126" s="145" t="str">
        <f>IF(A126="","",posicao_contratual!E126)</f>
        <v/>
      </c>
      <c r="AE126" s="145" t="str">
        <f>IF(A126="","",posicao_contratual!I126)</f>
        <v/>
      </c>
      <c r="AF126" s="145" t="str">
        <f>IF(A126="","",posicao_contratual!M126)</f>
        <v/>
      </c>
      <c r="AG126" s="145" t="str">
        <f>IF(A126="","",posicao_contratual!Q126)</f>
        <v/>
      </c>
      <c r="AH126" s="145" t="str">
        <f>IF(A126="","",posicao_contratual!U126)</f>
        <v/>
      </c>
      <c r="AI126" s="145" t="str">
        <f>IF(A126="","",posicao_contratual!G126)</f>
        <v/>
      </c>
      <c r="AJ126" s="145" t="str">
        <f>IF(A126="","",posicao_contratual!K126)</f>
        <v/>
      </c>
      <c r="AK126" s="145" t="str">
        <f>IF(A126="","",posicao_contratual!O126)</f>
        <v/>
      </c>
      <c r="AL126" s="145" t="str">
        <f>IF(A126="","",posicao_contratual!S126)</f>
        <v/>
      </c>
      <c r="AM126" s="145" t="str">
        <f>IF(A126="","",posicao_contratual!W126)</f>
        <v/>
      </c>
      <c r="AN126" s="146" t="str">
        <f>IF(A126="","",posicao_contratual!X126)</f>
        <v/>
      </c>
      <c r="AO126" t="str">
        <f>IF($A126="","",ROUND(SUMIFS(itens_Consumidos!$E$2:$E$200,itens_Consumidos!$A$2:$A$200,$A126),2))</f>
        <v/>
      </c>
      <c r="AP126" t="str">
        <f t="shared" si="18"/>
        <v/>
      </c>
      <c r="AQ126" t="str">
        <f>IF(OR($A126="",AB126="",MEMORIA_RESULTADOS!$I$258=""),"",ROUND(AB126*$C126*(MEMORIA_RESULTADOS!$I$258-1),2))</f>
        <v/>
      </c>
      <c r="AR126" t="str">
        <f>IF(OR($A126="",AP126="",MEMORIA_RESULTADOS!$I$258=""),"",ROUND(AP126*$C126*(parametros!$F$2-MEMORIA_RESULTADOS!$I$258),2))</f>
        <v/>
      </c>
      <c r="AS126" t="str">
        <f>IF($A126="","",ROUND(SUMIFS(itens_Consumidos!$G$2:$G$200,itens_Consumidos!$A$2:$A$200,$A126),2))</f>
        <v/>
      </c>
      <c r="AT126" t="str">
        <f t="shared" si="19"/>
        <v/>
      </c>
      <c r="AU126" t="str">
        <f>IF(OR($A126="",M126="",MEMORIA_RESULTADOS!$I$259=""),"",ROUND(M126*$C126*(MEMORIA_RESULTADOS!$I$259-1),2))</f>
        <v/>
      </c>
      <c r="AV126" t="str">
        <f>IF(OR($A126="",AT126="",MEMORIA_RESULTADOS!$I$259=""),"",ROUND(AT126*$C126*(parametros!$F$3-MEMORIA_RESULTADOS!$I$259),2))</f>
        <v/>
      </c>
      <c r="AW126" t="str">
        <f>IF($A126="","",ROUND(SUMIFS(itens_Consumidos!$I$2:$I$200,itens_Consumidos!$A$2:$A$200,$A126),2))</f>
        <v/>
      </c>
      <c r="AX126" t="str">
        <f t="shared" si="20"/>
        <v/>
      </c>
      <c r="AY126" t="str">
        <f>IF(OR($A126="",O126="",MEMORIA_RESULTADOS!$I$260=""),"",ROUND(O126*$C126*(MEMORIA_RESULTADOS!$I$260-1),2))</f>
        <v/>
      </c>
      <c r="AZ126" t="str">
        <f>IF(OR($A126="",AX126="",MEMORIA_RESULTADOS!$I$260=""),"",ROUND(AX126*$C126*(parametros!$F$4-MEMORIA_RESULTADOS!$I$260),2))</f>
        <v/>
      </c>
      <c r="BA126" t="str">
        <f>IF($A126="","",ROUND(SUMIFS(itens_Consumidos!$K$2:$K$200,itens_Consumidos!$A$2:$A$200,$A126),2))</f>
        <v/>
      </c>
      <c r="BB126" t="str">
        <f t="shared" si="21"/>
        <v/>
      </c>
      <c r="BC126" t="str">
        <f>IF(OR($A126="",Q126="",MEMORIA_RESULTADOS!$I$261=""),"",ROUND(Q126*$C126*(MEMORIA_RESULTADOS!$I$261-1),2))</f>
        <v/>
      </c>
      <c r="BD126" t="str">
        <f>IF(OR($A126="",BB126="",MEMORIA_RESULTADOS!$I$261=""),"",ROUND(BB126*$C126*(parametros!$F$5-MEMORIA_RESULTADOS!$I$261),2))</f>
        <v/>
      </c>
      <c r="BE126" t="str">
        <f>IF($A126="","",ROUND(SUMIFS(itens_Consumidos!$M$2:$M$200,itens_Consumidos!$A$2:$A$200,$A126),2))</f>
        <v/>
      </c>
      <c r="BF126" t="str">
        <f t="shared" si="22"/>
        <v/>
      </c>
      <c r="BG126" t="str">
        <f>IF(OR($A126="",S126="",MEMORIA_RESULTADOS!$I$262=""),"",ROUND(S126*$C126*(MEMORIA_RESULTADOS!$I$262-1),2))</f>
        <v/>
      </c>
      <c r="BH126" t="str">
        <f>IF(OR($A126="",BF126="",MEMORIA_RESULTADOS!$I$262=""),"",ROUND(BF126*$C126*(parametros!$F$6-MEMORIA_RESULTADOS!$I$262),2))</f>
        <v/>
      </c>
      <c r="BI126" t="str">
        <f>IF($A126="","",IF(posicao_contratual!$AL126="","",posicao_contratual!$AL126))</f>
        <v/>
      </c>
    </row>
    <row r="127" spans="1:61" x14ac:dyDescent="0.35">
      <c r="A127" s="81"/>
      <c r="B127" s="82" t="str">
        <f t="shared" si="23"/>
        <v/>
      </c>
      <c r="C127" s="83"/>
      <c r="D127" s="79" t="str">
        <f>IF(AND(A127="",A126&lt;&gt;"",COUNTIF(A128:$A$200,"&lt;&gt;")=0),ROUND(SUMIF($A$2:A126,"&lt;&gt;",$D$2:D126),2),IF(OR(A127="",B127="",C127=""),"",ROUND(B127*C127,2)))</f>
        <v/>
      </c>
      <c r="E127" s="84"/>
      <c r="F127" s="79" t="str">
        <f>IF(AND(A127="",A126&lt;&gt;"",COUNTIF(A128:$A$200,"&lt;&gt;")=0),IF(COUNT(F$2:F126)=0,"",ROUND(SUMIF($A$2:A126,"&lt;&gt;",F$2:F126),2)),IF(OR(A127="",AND(ISNUMBER(posicao_contratual!$AL127),posicao_contratual!$AL127&gt;1),posicao_contratual!K127="",NOT(ISNUMBER(historico_VU!D127))),"",ROUND(posicao_contratual!K127*historico_VU!D127,2)))</f>
        <v/>
      </c>
      <c r="G127" s="84"/>
      <c r="H127" s="79" t="str">
        <f>IF(AND(A127="",A126&lt;&gt;"",COUNTIF(A128:$A$200,"&lt;&gt;")=0),IF(COUNT(H$2:H126)=0,"",ROUND(SUMIF($A$2:A126,"&lt;&gt;",H$2:H126),2)),IF(OR(A127="",AND(ISNUMBER(posicao_contratual!$AL127),posicao_contratual!$AL127&gt;2),posicao_contratual!O127="",NOT(ISNUMBER(historico_VU!E127))),"",ROUND(posicao_contratual!O127*historico_VU!E127,2)))</f>
        <v/>
      </c>
      <c r="I127" s="84"/>
      <c r="J127" s="79" t="str">
        <f>IF(AND(A127="",A126&lt;&gt;"",COUNTIF(A128:$A$200,"&lt;&gt;")=0),IF(COUNT(J$2:J126)=0,"",ROUND(SUMIF($A$2:A126,"&lt;&gt;",J$2:J126),2)),IF(OR(A127="",AND(ISNUMBER(posicao_contratual!$AL127),posicao_contratual!$AL127&gt;3),posicao_contratual!S127="",NOT(ISNUMBER(historico_VU!F127))),"",ROUND(posicao_contratual!S127*historico_VU!F127,2)))</f>
        <v/>
      </c>
      <c r="K127" s="84"/>
      <c r="L127" s="79" t="str">
        <f>IF(AND(A127="",A126&lt;&gt;"",COUNTIF(A128:$A$200,"&lt;&gt;")=0),IF(COUNT(L$2:L126)=0,"",ROUND(SUMIF($A$2:A126,"&lt;&gt;",L$2:L126),2)),IF(OR(A127="",AND(ISNUMBER(posicao_contratual!$AL127),posicao_contratual!$AL127&gt;4),posicao_contratual!W127="",NOT(ISNUMBER(historico_VU!G127))),"",ROUND(posicao_contratual!W127*historico_VU!G127,2)))</f>
        <v/>
      </c>
      <c r="M127" s="85" t="str">
        <f>IF(OR(posicao_contratual!J127="",posicao_contratual!N127=""),"",ROUND(MAX(posicao_contratual!J127+posicao_contratual!H127-posicao_contratual!N127,0),2))</f>
        <v/>
      </c>
      <c r="N127" s="79" t="str">
        <f>IF(AND(A127="",A126&lt;&gt;"",COUNTIF(A128:$A$200,"&lt;&gt;")=0),IF(COUNT(N$2:N126)=0,"",ROUND(SUMIF($A$2:A126,"&lt;&gt;",N$2:N126),2)),IF(OR(M127="",NOT(ISNUMBER(historico_VU!D127))),"",ROUND(M127*historico_VU!D127,2)))</f>
        <v/>
      </c>
      <c r="O127" s="85" t="str">
        <f>IF(OR(posicao_contratual!N127="",posicao_contratual!R127=""),"",ROUND(MAX(posicao_contratual!N127+posicao_contratual!L127-posicao_contratual!R127,0),2))</f>
        <v/>
      </c>
      <c r="P127" s="79" t="str">
        <f>IF(AND(A127="",A126&lt;&gt;"",COUNTIF(A128:$A$200,"&lt;&gt;")=0),IF(COUNT(P$2:P126)=0,"",ROUND(SUMIF($A$2:A126,"&lt;&gt;",P$2:P126),2)),IF(OR(O127="",NOT(ISNUMBER(historico_VU!E127))),"",ROUND(O127*historico_VU!E127,2)))</f>
        <v/>
      </c>
      <c r="Q127" s="85" t="str">
        <f>IF(OR(posicao_contratual!R127="",posicao_contratual!V127=""),"",ROUND(MAX(posicao_contratual!R127+posicao_contratual!P127-posicao_contratual!V127,0),2))</f>
        <v/>
      </c>
      <c r="R127" s="79" t="str">
        <f>IF(AND(A127="",A126&lt;&gt;"",COUNTIF(A128:$A$200,"&lt;&gt;")=0),IF(COUNT(R$2:R126)=0,"",ROUND(SUMIF($A$2:A126,"&lt;&gt;",R$2:R126),2)),IF(OR(Q127="",NOT(ISNUMBER(historico_VU!F127))),"",ROUND(Q127*historico_VU!F127,2)))</f>
        <v/>
      </c>
      <c r="S127" s="38"/>
      <c r="T127" s="39" t="str">
        <f>IF(AND(A127="",A126&lt;&gt;"",COUNTIF(A128:$A$200,"&lt;&gt;")=0),IF(COUNT(T$2:T126)=0,"",ROUND(SUMIF($A$2:A126,"&lt;&gt;",T$2:T126),2)),IF(OR(S127="",NOT(ISNUMBER(historico_VU!G127))),"",ROUND(S127*historico_VU!G127,2)))</f>
        <v/>
      </c>
      <c r="U127" s="86" t="str">
        <f>IF(AND(A127="",A126&lt;&gt;"",COUNTIF(A128:$A$200,"&lt;&gt;")=0),"TOTAL",IF(A127="","",posicao_contratual!X127))</f>
        <v/>
      </c>
      <c r="V127" s="86" t="str">
        <f>IF(A127="","",posicao_contratual!X127)</f>
        <v/>
      </c>
      <c r="W127" s="13"/>
      <c r="X127" s="13"/>
      <c r="Y127" s="13"/>
      <c r="Z127" s="13"/>
      <c r="AA127" s="13"/>
      <c r="AB127" s="85" t="str">
        <f>IF(OR(A127="",posicao_contratual!E127="",posicao_contratual!J127=""),"",ROUND(MAX(posicao_contratual!E127-posicao_contratual!J127,0),2))</f>
        <v/>
      </c>
      <c r="AC127" s="79" t="str">
        <f>IF(AND(A127="",A126&lt;&gt;"",COUNTIF(A128:$A$200,"&lt;&gt;")=0),IF(COUNT(AC$2:AC126)=0,"",ROUND(SUMIF($A$2:A126,"&lt;&gt;",AC$2:AC126),2)),IF(OR(AB127="",NOT(ISNUMBER(historico_VU!C127))),"",ROUND(AB127*historico_VU!C127,2)))</f>
        <v/>
      </c>
      <c r="AD127" s="145" t="str">
        <f>IF(A127="","",posicao_contratual!E127)</f>
        <v/>
      </c>
      <c r="AE127" s="145" t="str">
        <f>IF(A127="","",posicao_contratual!I127)</f>
        <v/>
      </c>
      <c r="AF127" s="145" t="str">
        <f>IF(A127="","",posicao_contratual!M127)</f>
        <v/>
      </c>
      <c r="AG127" s="145" t="str">
        <f>IF(A127="","",posicao_contratual!Q127)</f>
        <v/>
      </c>
      <c r="AH127" s="145" t="str">
        <f>IF(A127="","",posicao_contratual!U127)</f>
        <v/>
      </c>
      <c r="AI127" s="145" t="str">
        <f>IF(A127="","",posicao_contratual!G127)</f>
        <v/>
      </c>
      <c r="AJ127" s="145" t="str">
        <f>IF(A127="","",posicao_contratual!K127)</f>
        <v/>
      </c>
      <c r="AK127" s="145" t="str">
        <f>IF(A127="","",posicao_contratual!O127)</f>
        <v/>
      </c>
      <c r="AL127" s="145" t="str">
        <f>IF(A127="","",posicao_contratual!S127)</f>
        <v/>
      </c>
      <c r="AM127" s="145" t="str">
        <f>IF(A127="","",posicao_contratual!W127)</f>
        <v/>
      </c>
      <c r="AN127" s="146" t="str">
        <f>IF(A127="","",posicao_contratual!X127)</f>
        <v/>
      </c>
      <c r="AO127" t="str">
        <f>IF($A127="","",ROUND(SUMIFS(itens_Consumidos!$E$2:$E$200,itens_Consumidos!$A$2:$A$200,$A127),2))</f>
        <v/>
      </c>
      <c r="AP127" t="str">
        <f t="shared" si="18"/>
        <v/>
      </c>
      <c r="AQ127" t="str">
        <f>IF(OR($A127="",AB127="",MEMORIA_RESULTADOS!$I$258=""),"",ROUND(AB127*$C127*(MEMORIA_RESULTADOS!$I$258-1),2))</f>
        <v/>
      </c>
      <c r="AR127" t="str">
        <f>IF(OR($A127="",AP127="",MEMORIA_RESULTADOS!$I$258=""),"",ROUND(AP127*$C127*(parametros!$F$2-MEMORIA_RESULTADOS!$I$258),2))</f>
        <v/>
      </c>
      <c r="AS127" t="str">
        <f>IF($A127="","",ROUND(SUMIFS(itens_Consumidos!$G$2:$G$200,itens_Consumidos!$A$2:$A$200,$A127),2))</f>
        <v/>
      </c>
      <c r="AT127" t="str">
        <f t="shared" si="19"/>
        <v/>
      </c>
      <c r="AU127" t="str">
        <f>IF(OR($A127="",M127="",MEMORIA_RESULTADOS!$I$259=""),"",ROUND(M127*$C127*(MEMORIA_RESULTADOS!$I$259-1),2))</f>
        <v/>
      </c>
      <c r="AV127" t="str">
        <f>IF(OR($A127="",AT127="",MEMORIA_RESULTADOS!$I$259=""),"",ROUND(AT127*$C127*(parametros!$F$3-MEMORIA_RESULTADOS!$I$259),2))</f>
        <v/>
      </c>
      <c r="AW127" t="str">
        <f>IF($A127="","",ROUND(SUMIFS(itens_Consumidos!$I$2:$I$200,itens_Consumidos!$A$2:$A$200,$A127),2))</f>
        <v/>
      </c>
      <c r="AX127" t="str">
        <f t="shared" si="20"/>
        <v/>
      </c>
      <c r="AY127" t="str">
        <f>IF(OR($A127="",O127="",MEMORIA_RESULTADOS!$I$260=""),"",ROUND(O127*$C127*(MEMORIA_RESULTADOS!$I$260-1),2))</f>
        <v/>
      </c>
      <c r="AZ127" t="str">
        <f>IF(OR($A127="",AX127="",MEMORIA_RESULTADOS!$I$260=""),"",ROUND(AX127*$C127*(parametros!$F$4-MEMORIA_RESULTADOS!$I$260),2))</f>
        <v/>
      </c>
      <c r="BA127" t="str">
        <f>IF($A127="","",ROUND(SUMIFS(itens_Consumidos!$K$2:$K$200,itens_Consumidos!$A$2:$A$200,$A127),2))</f>
        <v/>
      </c>
      <c r="BB127" t="str">
        <f t="shared" si="21"/>
        <v/>
      </c>
      <c r="BC127" t="str">
        <f>IF(OR($A127="",Q127="",MEMORIA_RESULTADOS!$I$261=""),"",ROUND(Q127*$C127*(MEMORIA_RESULTADOS!$I$261-1),2))</f>
        <v/>
      </c>
      <c r="BD127" t="str">
        <f>IF(OR($A127="",BB127="",MEMORIA_RESULTADOS!$I$261=""),"",ROUND(BB127*$C127*(parametros!$F$5-MEMORIA_RESULTADOS!$I$261),2))</f>
        <v/>
      </c>
      <c r="BE127" t="str">
        <f>IF($A127="","",ROUND(SUMIFS(itens_Consumidos!$M$2:$M$200,itens_Consumidos!$A$2:$A$200,$A127),2))</f>
        <v/>
      </c>
      <c r="BF127" t="str">
        <f t="shared" si="22"/>
        <v/>
      </c>
      <c r="BG127" t="str">
        <f>IF(OR($A127="",S127="",MEMORIA_RESULTADOS!$I$262=""),"",ROUND(S127*$C127*(MEMORIA_RESULTADOS!$I$262-1),2))</f>
        <v/>
      </c>
      <c r="BH127" t="str">
        <f>IF(OR($A127="",BF127="",MEMORIA_RESULTADOS!$I$262=""),"",ROUND(BF127*$C127*(parametros!$F$6-MEMORIA_RESULTADOS!$I$262),2))</f>
        <v/>
      </c>
      <c r="BI127" t="str">
        <f>IF($A127="","",IF(posicao_contratual!$AL127="","",posicao_contratual!$AL127))</f>
        <v/>
      </c>
    </row>
    <row r="128" spans="1:61" x14ac:dyDescent="0.35">
      <c r="A128" s="81"/>
      <c r="B128" s="82" t="str">
        <f t="shared" si="23"/>
        <v/>
      </c>
      <c r="C128" s="83"/>
      <c r="D128" s="79" t="str">
        <f>IF(AND(A128="",A127&lt;&gt;"",COUNTIF(A129:$A$200,"&lt;&gt;")=0),ROUND(SUMIF($A$2:A127,"&lt;&gt;",$D$2:D127),2),IF(OR(A128="",B128="",C128=""),"",ROUND(B128*C128,2)))</f>
        <v/>
      </c>
      <c r="E128" s="84"/>
      <c r="F128" s="79" t="str">
        <f>IF(AND(A128="",A127&lt;&gt;"",COUNTIF(A129:$A$200,"&lt;&gt;")=0),IF(COUNT(F$2:F127)=0,"",ROUND(SUMIF($A$2:A127,"&lt;&gt;",F$2:F127),2)),IF(OR(A128="",AND(ISNUMBER(posicao_contratual!$AL128),posicao_contratual!$AL128&gt;1),posicao_contratual!K128="",NOT(ISNUMBER(historico_VU!D128))),"",ROUND(posicao_contratual!K128*historico_VU!D128,2)))</f>
        <v/>
      </c>
      <c r="G128" s="84"/>
      <c r="H128" s="79" t="str">
        <f>IF(AND(A128="",A127&lt;&gt;"",COUNTIF(A129:$A$200,"&lt;&gt;")=0),IF(COUNT(H$2:H127)=0,"",ROUND(SUMIF($A$2:A127,"&lt;&gt;",H$2:H127),2)),IF(OR(A128="",AND(ISNUMBER(posicao_contratual!$AL128),posicao_contratual!$AL128&gt;2),posicao_contratual!O128="",NOT(ISNUMBER(historico_VU!E128))),"",ROUND(posicao_contratual!O128*historico_VU!E128,2)))</f>
        <v/>
      </c>
      <c r="I128" s="84"/>
      <c r="J128" s="79" t="str">
        <f>IF(AND(A128="",A127&lt;&gt;"",COUNTIF(A129:$A$200,"&lt;&gt;")=0),IF(COUNT(J$2:J127)=0,"",ROUND(SUMIF($A$2:A127,"&lt;&gt;",J$2:J127),2)),IF(OR(A128="",AND(ISNUMBER(posicao_contratual!$AL128),posicao_contratual!$AL128&gt;3),posicao_contratual!S128="",NOT(ISNUMBER(historico_VU!F128))),"",ROUND(posicao_contratual!S128*historico_VU!F128,2)))</f>
        <v/>
      </c>
      <c r="K128" s="84"/>
      <c r="L128" s="79" t="str">
        <f>IF(AND(A128="",A127&lt;&gt;"",COUNTIF(A129:$A$200,"&lt;&gt;")=0),IF(COUNT(L$2:L127)=0,"",ROUND(SUMIF($A$2:A127,"&lt;&gt;",L$2:L127),2)),IF(OR(A128="",AND(ISNUMBER(posicao_contratual!$AL128),posicao_contratual!$AL128&gt;4),posicao_contratual!W128="",NOT(ISNUMBER(historico_VU!G128))),"",ROUND(posicao_contratual!W128*historico_VU!G128,2)))</f>
        <v/>
      </c>
      <c r="M128" s="85" t="str">
        <f>IF(OR(posicao_contratual!J128="",posicao_contratual!N128=""),"",ROUND(MAX(posicao_contratual!J128+posicao_contratual!H128-posicao_contratual!N128,0),2))</f>
        <v/>
      </c>
      <c r="N128" s="79" t="str">
        <f>IF(AND(A128="",A127&lt;&gt;"",COUNTIF(A129:$A$200,"&lt;&gt;")=0),IF(COUNT(N$2:N127)=0,"",ROUND(SUMIF($A$2:A127,"&lt;&gt;",N$2:N127),2)),IF(OR(M128="",NOT(ISNUMBER(historico_VU!D128))),"",ROUND(M128*historico_VU!D128,2)))</f>
        <v/>
      </c>
      <c r="O128" s="85" t="str">
        <f>IF(OR(posicao_contratual!N128="",posicao_contratual!R128=""),"",ROUND(MAX(posicao_contratual!N128+posicao_contratual!L128-posicao_contratual!R128,0),2))</f>
        <v/>
      </c>
      <c r="P128" s="79" t="str">
        <f>IF(AND(A128="",A127&lt;&gt;"",COUNTIF(A129:$A$200,"&lt;&gt;")=0),IF(COUNT(P$2:P127)=0,"",ROUND(SUMIF($A$2:A127,"&lt;&gt;",P$2:P127),2)),IF(OR(O128="",NOT(ISNUMBER(historico_VU!E128))),"",ROUND(O128*historico_VU!E128,2)))</f>
        <v/>
      </c>
      <c r="Q128" s="85" t="str">
        <f>IF(OR(posicao_contratual!R128="",posicao_contratual!V128=""),"",ROUND(MAX(posicao_contratual!R128+posicao_contratual!P128-posicao_contratual!V128,0),2))</f>
        <v/>
      </c>
      <c r="R128" s="79" t="str">
        <f>IF(AND(A128="",A127&lt;&gt;"",COUNTIF(A129:$A$200,"&lt;&gt;")=0),IF(COUNT(R$2:R127)=0,"",ROUND(SUMIF($A$2:A127,"&lt;&gt;",R$2:R127),2)),IF(OR(Q128="",NOT(ISNUMBER(historico_VU!F128))),"",ROUND(Q128*historico_VU!F128,2)))</f>
        <v/>
      </c>
      <c r="S128" s="38"/>
      <c r="T128" s="39" t="str">
        <f>IF(AND(A128="",A127&lt;&gt;"",COUNTIF(A129:$A$200,"&lt;&gt;")=0),IF(COUNT(T$2:T127)=0,"",ROUND(SUMIF($A$2:A127,"&lt;&gt;",T$2:T127),2)),IF(OR(S128="",NOT(ISNUMBER(historico_VU!G128))),"",ROUND(S128*historico_VU!G128,2)))</f>
        <v/>
      </c>
      <c r="U128" s="86" t="str">
        <f>IF(AND(A128="",A127&lt;&gt;"",COUNTIF(A129:$A$200,"&lt;&gt;")=0),"TOTAL",IF(A128="","",posicao_contratual!X128))</f>
        <v/>
      </c>
      <c r="V128" s="86" t="str">
        <f>IF(A128="","",posicao_contratual!X128)</f>
        <v/>
      </c>
      <c r="W128" s="13"/>
      <c r="X128" s="13"/>
      <c r="Y128" s="13"/>
      <c r="Z128" s="13"/>
      <c r="AA128" s="13"/>
      <c r="AB128" s="85" t="str">
        <f>IF(OR(A128="",posicao_contratual!E128="",posicao_contratual!J128=""),"",ROUND(MAX(posicao_contratual!E128-posicao_contratual!J128,0),2))</f>
        <v/>
      </c>
      <c r="AC128" s="79" t="str">
        <f>IF(AND(A128="",A127&lt;&gt;"",COUNTIF(A129:$A$200,"&lt;&gt;")=0),IF(COUNT(AC$2:AC127)=0,"",ROUND(SUMIF($A$2:A127,"&lt;&gt;",AC$2:AC127),2)),IF(OR(AB128="",NOT(ISNUMBER(historico_VU!C128))),"",ROUND(AB128*historico_VU!C128,2)))</f>
        <v/>
      </c>
      <c r="AD128" s="145" t="str">
        <f>IF(A128="","",posicao_contratual!E128)</f>
        <v/>
      </c>
      <c r="AE128" s="145" t="str">
        <f>IF(A128="","",posicao_contratual!I128)</f>
        <v/>
      </c>
      <c r="AF128" s="145" t="str">
        <f>IF(A128="","",posicao_contratual!M128)</f>
        <v/>
      </c>
      <c r="AG128" s="145" t="str">
        <f>IF(A128="","",posicao_contratual!Q128)</f>
        <v/>
      </c>
      <c r="AH128" s="145" t="str">
        <f>IF(A128="","",posicao_contratual!U128)</f>
        <v/>
      </c>
      <c r="AI128" s="145" t="str">
        <f>IF(A128="","",posicao_contratual!G128)</f>
        <v/>
      </c>
      <c r="AJ128" s="145" t="str">
        <f>IF(A128="","",posicao_contratual!K128)</f>
        <v/>
      </c>
      <c r="AK128" s="145" t="str">
        <f>IF(A128="","",posicao_contratual!O128)</f>
        <v/>
      </c>
      <c r="AL128" s="145" t="str">
        <f>IF(A128="","",posicao_contratual!S128)</f>
        <v/>
      </c>
      <c r="AM128" s="145" t="str">
        <f>IF(A128="","",posicao_contratual!W128)</f>
        <v/>
      </c>
      <c r="AN128" s="146" t="str">
        <f>IF(A128="","",posicao_contratual!X128)</f>
        <v/>
      </c>
      <c r="AO128" t="str">
        <f>IF($A128="","",ROUND(SUMIFS(itens_Consumidos!$E$2:$E$200,itens_Consumidos!$A$2:$A$200,$A128),2))</f>
        <v/>
      </c>
      <c r="AP128" t="str">
        <f t="shared" si="18"/>
        <v/>
      </c>
      <c r="AQ128" t="str">
        <f>IF(OR($A128="",AB128="",MEMORIA_RESULTADOS!$I$258=""),"",ROUND(AB128*$C128*(MEMORIA_RESULTADOS!$I$258-1),2))</f>
        <v/>
      </c>
      <c r="AR128" t="str">
        <f>IF(OR($A128="",AP128="",MEMORIA_RESULTADOS!$I$258=""),"",ROUND(AP128*$C128*(parametros!$F$2-MEMORIA_RESULTADOS!$I$258),2))</f>
        <v/>
      </c>
      <c r="AS128" t="str">
        <f>IF($A128="","",ROUND(SUMIFS(itens_Consumidos!$G$2:$G$200,itens_Consumidos!$A$2:$A$200,$A128),2))</f>
        <v/>
      </c>
      <c r="AT128" t="str">
        <f t="shared" si="19"/>
        <v/>
      </c>
      <c r="AU128" t="str">
        <f>IF(OR($A128="",M128="",MEMORIA_RESULTADOS!$I$259=""),"",ROUND(M128*$C128*(MEMORIA_RESULTADOS!$I$259-1),2))</f>
        <v/>
      </c>
      <c r="AV128" t="str">
        <f>IF(OR($A128="",AT128="",MEMORIA_RESULTADOS!$I$259=""),"",ROUND(AT128*$C128*(parametros!$F$3-MEMORIA_RESULTADOS!$I$259),2))</f>
        <v/>
      </c>
      <c r="AW128" t="str">
        <f>IF($A128="","",ROUND(SUMIFS(itens_Consumidos!$I$2:$I$200,itens_Consumidos!$A$2:$A$200,$A128),2))</f>
        <v/>
      </c>
      <c r="AX128" t="str">
        <f t="shared" si="20"/>
        <v/>
      </c>
      <c r="AY128" t="str">
        <f>IF(OR($A128="",O128="",MEMORIA_RESULTADOS!$I$260=""),"",ROUND(O128*$C128*(MEMORIA_RESULTADOS!$I$260-1),2))</f>
        <v/>
      </c>
      <c r="AZ128" t="str">
        <f>IF(OR($A128="",AX128="",MEMORIA_RESULTADOS!$I$260=""),"",ROUND(AX128*$C128*(parametros!$F$4-MEMORIA_RESULTADOS!$I$260),2))</f>
        <v/>
      </c>
      <c r="BA128" t="str">
        <f>IF($A128="","",ROUND(SUMIFS(itens_Consumidos!$K$2:$K$200,itens_Consumidos!$A$2:$A$200,$A128),2))</f>
        <v/>
      </c>
      <c r="BB128" t="str">
        <f t="shared" si="21"/>
        <v/>
      </c>
      <c r="BC128" t="str">
        <f>IF(OR($A128="",Q128="",MEMORIA_RESULTADOS!$I$261=""),"",ROUND(Q128*$C128*(MEMORIA_RESULTADOS!$I$261-1),2))</f>
        <v/>
      </c>
      <c r="BD128" t="str">
        <f>IF(OR($A128="",BB128="",MEMORIA_RESULTADOS!$I$261=""),"",ROUND(BB128*$C128*(parametros!$F$5-MEMORIA_RESULTADOS!$I$261),2))</f>
        <v/>
      </c>
      <c r="BE128" t="str">
        <f>IF($A128="","",ROUND(SUMIFS(itens_Consumidos!$M$2:$M$200,itens_Consumidos!$A$2:$A$200,$A128),2))</f>
        <v/>
      </c>
      <c r="BF128" t="str">
        <f t="shared" si="22"/>
        <v/>
      </c>
      <c r="BG128" t="str">
        <f>IF(OR($A128="",S128="",MEMORIA_RESULTADOS!$I$262=""),"",ROUND(S128*$C128*(MEMORIA_RESULTADOS!$I$262-1),2))</f>
        <v/>
      </c>
      <c r="BH128" t="str">
        <f>IF(OR($A128="",BF128="",MEMORIA_RESULTADOS!$I$262=""),"",ROUND(BF128*$C128*(parametros!$F$6-MEMORIA_RESULTADOS!$I$262),2))</f>
        <v/>
      </c>
      <c r="BI128" t="str">
        <f>IF($A128="","",IF(posicao_contratual!$AL128="","",posicao_contratual!$AL128))</f>
        <v/>
      </c>
    </row>
    <row r="129" spans="1:61" x14ac:dyDescent="0.35">
      <c r="A129" s="81"/>
      <c r="B129" s="82" t="str">
        <f t="shared" si="23"/>
        <v/>
      </c>
      <c r="C129" s="83"/>
      <c r="D129" s="79" t="str">
        <f>IF(AND(A129="",A128&lt;&gt;"",COUNTIF(A130:$A$200,"&lt;&gt;")=0),ROUND(SUMIF($A$2:A128,"&lt;&gt;",$D$2:D128),2),IF(OR(A129="",B129="",C129=""),"",ROUND(B129*C129,2)))</f>
        <v/>
      </c>
      <c r="E129" s="84"/>
      <c r="F129" s="79" t="str">
        <f>IF(AND(A129="",A128&lt;&gt;"",COUNTIF(A130:$A$200,"&lt;&gt;")=0),IF(COUNT(F$2:F128)=0,"",ROUND(SUMIF($A$2:A128,"&lt;&gt;",F$2:F128),2)),IF(OR(A129="",AND(ISNUMBER(posicao_contratual!$AL129),posicao_contratual!$AL129&gt;1),posicao_contratual!K129="",NOT(ISNUMBER(historico_VU!D129))),"",ROUND(posicao_contratual!K129*historico_VU!D129,2)))</f>
        <v/>
      </c>
      <c r="G129" s="84"/>
      <c r="H129" s="79" t="str">
        <f>IF(AND(A129="",A128&lt;&gt;"",COUNTIF(A130:$A$200,"&lt;&gt;")=0),IF(COUNT(H$2:H128)=0,"",ROUND(SUMIF($A$2:A128,"&lt;&gt;",H$2:H128),2)),IF(OR(A129="",AND(ISNUMBER(posicao_contratual!$AL129),posicao_contratual!$AL129&gt;2),posicao_contratual!O129="",NOT(ISNUMBER(historico_VU!E129))),"",ROUND(posicao_contratual!O129*historico_VU!E129,2)))</f>
        <v/>
      </c>
      <c r="I129" s="84"/>
      <c r="J129" s="79" t="str">
        <f>IF(AND(A129="",A128&lt;&gt;"",COUNTIF(A130:$A$200,"&lt;&gt;")=0),IF(COUNT(J$2:J128)=0,"",ROUND(SUMIF($A$2:A128,"&lt;&gt;",J$2:J128),2)),IF(OR(A129="",AND(ISNUMBER(posicao_contratual!$AL129),posicao_contratual!$AL129&gt;3),posicao_contratual!S129="",NOT(ISNUMBER(historico_VU!F129))),"",ROUND(posicao_contratual!S129*historico_VU!F129,2)))</f>
        <v/>
      </c>
      <c r="K129" s="84"/>
      <c r="L129" s="79" t="str">
        <f>IF(AND(A129="",A128&lt;&gt;"",COUNTIF(A130:$A$200,"&lt;&gt;")=0),IF(COUNT(L$2:L128)=0,"",ROUND(SUMIF($A$2:A128,"&lt;&gt;",L$2:L128),2)),IF(OR(A129="",AND(ISNUMBER(posicao_contratual!$AL129),posicao_contratual!$AL129&gt;4),posicao_contratual!W129="",NOT(ISNUMBER(historico_VU!G129))),"",ROUND(posicao_contratual!W129*historico_VU!G129,2)))</f>
        <v/>
      </c>
      <c r="M129" s="85" t="str">
        <f>IF(OR(posicao_contratual!J129="",posicao_contratual!N129=""),"",ROUND(MAX(posicao_contratual!J129+posicao_contratual!H129-posicao_contratual!N129,0),2))</f>
        <v/>
      </c>
      <c r="N129" s="79" t="str">
        <f>IF(AND(A129="",A128&lt;&gt;"",COUNTIF(A130:$A$200,"&lt;&gt;")=0),IF(COUNT(N$2:N128)=0,"",ROUND(SUMIF($A$2:A128,"&lt;&gt;",N$2:N128),2)),IF(OR(M129="",NOT(ISNUMBER(historico_VU!D129))),"",ROUND(M129*historico_VU!D129,2)))</f>
        <v/>
      </c>
      <c r="O129" s="85" t="str">
        <f>IF(OR(posicao_contratual!N129="",posicao_contratual!R129=""),"",ROUND(MAX(posicao_contratual!N129+posicao_contratual!L129-posicao_contratual!R129,0),2))</f>
        <v/>
      </c>
      <c r="P129" s="79" t="str">
        <f>IF(AND(A129="",A128&lt;&gt;"",COUNTIF(A130:$A$200,"&lt;&gt;")=0),IF(COUNT(P$2:P128)=0,"",ROUND(SUMIF($A$2:A128,"&lt;&gt;",P$2:P128),2)),IF(OR(O129="",NOT(ISNUMBER(historico_VU!E129))),"",ROUND(O129*historico_VU!E129,2)))</f>
        <v/>
      </c>
      <c r="Q129" s="85" t="str">
        <f>IF(OR(posicao_contratual!R129="",posicao_contratual!V129=""),"",ROUND(MAX(posicao_contratual!R129+posicao_contratual!P129-posicao_contratual!V129,0),2))</f>
        <v/>
      </c>
      <c r="R129" s="79" t="str">
        <f>IF(AND(A129="",A128&lt;&gt;"",COUNTIF(A130:$A$200,"&lt;&gt;")=0),IF(COUNT(R$2:R128)=0,"",ROUND(SUMIF($A$2:A128,"&lt;&gt;",R$2:R128),2)),IF(OR(Q129="",NOT(ISNUMBER(historico_VU!F129))),"",ROUND(Q129*historico_VU!F129,2)))</f>
        <v/>
      </c>
      <c r="S129" s="38"/>
      <c r="T129" s="39" t="str">
        <f>IF(AND(A129="",A128&lt;&gt;"",COUNTIF(A130:$A$200,"&lt;&gt;")=0),IF(COUNT(T$2:T128)=0,"",ROUND(SUMIF($A$2:A128,"&lt;&gt;",T$2:T128),2)),IF(OR(S129="",NOT(ISNUMBER(historico_VU!G129))),"",ROUND(S129*historico_VU!G129,2)))</f>
        <v/>
      </c>
      <c r="U129" s="86" t="str">
        <f>IF(AND(A129="",A128&lt;&gt;"",COUNTIF(A130:$A$200,"&lt;&gt;")=0),"TOTAL",IF(A129="","",posicao_contratual!X129))</f>
        <v/>
      </c>
      <c r="V129" s="86" t="str">
        <f>IF(A129="","",posicao_contratual!X129)</f>
        <v/>
      </c>
      <c r="W129" s="13"/>
      <c r="X129" s="13"/>
      <c r="Y129" s="13"/>
      <c r="Z129" s="13"/>
      <c r="AA129" s="13"/>
      <c r="AB129" s="85" t="str">
        <f>IF(OR(A129="",posicao_contratual!E129="",posicao_contratual!J129=""),"",ROUND(MAX(posicao_contratual!E129-posicao_contratual!J129,0),2))</f>
        <v/>
      </c>
      <c r="AC129" s="79" t="str">
        <f>IF(AND(A129="",A128&lt;&gt;"",COUNTIF(A130:$A$200,"&lt;&gt;")=0),IF(COUNT(AC$2:AC128)=0,"",ROUND(SUMIF($A$2:A128,"&lt;&gt;",AC$2:AC128),2)),IF(OR(AB129="",NOT(ISNUMBER(historico_VU!C129))),"",ROUND(AB129*historico_VU!C129,2)))</f>
        <v/>
      </c>
      <c r="AD129" s="145" t="str">
        <f>IF(A129="","",posicao_contratual!E129)</f>
        <v/>
      </c>
      <c r="AE129" s="145" t="str">
        <f>IF(A129="","",posicao_contratual!I129)</f>
        <v/>
      </c>
      <c r="AF129" s="145" t="str">
        <f>IF(A129="","",posicao_contratual!M129)</f>
        <v/>
      </c>
      <c r="AG129" s="145" t="str">
        <f>IF(A129="","",posicao_contratual!Q129)</f>
        <v/>
      </c>
      <c r="AH129" s="145" t="str">
        <f>IF(A129="","",posicao_contratual!U129)</f>
        <v/>
      </c>
      <c r="AI129" s="145" t="str">
        <f>IF(A129="","",posicao_contratual!G129)</f>
        <v/>
      </c>
      <c r="AJ129" s="145" t="str">
        <f>IF(A129="","",posicao_contratual!K129)</f>
        <v/>
      </c>
      <c r="AK129" s="145" t="str">
        <f>IF(A129="","",posicao_contratual!O129)</f>
        <v/>
      </c>
      <c r="AL129" s="145" t="str">
        <f>IF(A129="","",posicao_contratual!S129)</f>
        <v/>
      </c>
      <c r="AM129" s="145" t="str">
        <f>IF(A129="","",posicao_contratual!W129)</f>
        <v/>
      </c>
      <c r="AN129" s="146" t="str">
        <f>IF(A129="","",posicao_contratual!X129)</f>
        <v/>
      </c>
      <c r="AO129" t="str">
        <f>IF($A129="","",ROUND(SUMIFS(itens_Consumidos!$E$2:$E$200,itens_Consumidos!$A$2:$A$200,$A129),2))</f>
        <v/>
      </c>
      <c r="AP129" t="str">
        <f t="shared" si="18"/>
        <v/>
      </c>
      <c r="AQ129" t="str">
        <f>IF(OR($A129="",AB129="",MEMORIA_RESULTADOS!$I$258=""),"",ROUND(AB129*$C129*(MEMORIA_RESULTADOS!$I$258-1),2))</f>
        <v/>
      </c>
      <c r="AR129" t="str">
        <f>IF(OR($A129="",AP129="",MEMORIA_RESULTADOS!$I$258=""),"",ROUND(AP129*$C129*(parametros!$F$2-MEMORIA_RESULTADOS!$I$258),2))</f>
        <v/>
      </c>
      <c r="AS129" t="str">
        <f>IF($A129="","",ROUND(SUMIFS(itens_Consumidos!$G$2:$G$200,itens_Consumidos!$A$2:$A$200,$A129),2))</f>
        <v/>
      </c>
      <c r="AT129" t="str">
        <f t="shared" si="19"/>
        <v/>
      </c>
      <c r="AU129" t="str">
        <f>IF(OR($A129="",M129="",MEMORIA_RESULTADOS!$I$259=""),"",ROUND(M129*$C129*(MEMORIA_RESULTADOS!$I$259-1),2))</f>
        <v/>
      </c>
      <c r="AV129" t="str">
        <f>IF(OR($A129="",AT129="",MEMORIA_RESULTADOS!$I$259=""),"",ROUND(AT129*$C129*(parametros!$F$3-MEMORIA_RESULTADOS!$I$259),2))</f>
        <v/>
      </c>
      <c r="AW129" t="str">
        <f>IF($A129="","",ROUND(SUMIFS(itens_Consumidos!$I$2:$I$200,itens_Consumidos!$A$2:$A$200,$A129),2))</f>
        <v/>
      </c>
      <c r="AX129" t="str">
        <f t="shared" si="20"/>
        <v/>
      </c>
      <c r="AY129" t="str">
        <f>IF(OR($A129="",O129="",MEMORIA_RESULTADOS!$I$260=""),"",ROUND(O129*$C129*(MEMORIA_RESULTADOS!$I$260-1),2))</f>
        <v/>
      </c>
      <c r="AZ129" t="str">
        <f>IF(OR($A129="",AX129="",MEMORIA_RESULTADOS!$I$260=""),"",ROUND(AX129*$C129*(parametros!$F$4-MEMORIA_RESULTADOS!$I$260),2))</f>
        <v/>
      </c>
      <c r="BA129" t="str">
        <f>IF($A129="","",ROUND(SUMIFS(itens_Consumidos!$K$2:$K$200,itens_Consumidos!$A$2:$A$200,$A129),2))</f>
        <v/>
      </c>
      <c r="BB129" t="str">
        <f t="shared" si="21"/>
        <v/>
      </c>
      <c r="BC129" t="str">
        <f>IF(OR($A129="",Q129="",MEMORIA_RESULTADOS!$I$261=""),"",ROUND(Q129*$C129*(MEMORIA_RESULTADOS!$I$261-1),2))</f>
        <v/>
      </c>
      <c r="BD129" t="str">
        <f>IF(OR($A129="",BB129="",MEMORIA_RESULTADOS!$I$261=""),"",ROUND(BB129*$C129*(parametros!$F$5-MEMORIA_RESULTADOS!$I$261),2))</f>
        <v/>
      </c>
      <c r="BE129" t="str">
        <f>IF($A129="","",ROUND(SUMIFS(itens_Consumidos!$M$2:$M$200,itens_Consumidos!$A$2:$A$200,$A129),2))</f>
        <v/>
      </c>
      <c r="BF129" t="str">
        <f t="shared" si="22"/>
        <v/>
      </c>
      <c r="BG129" t="str">
        <f>IF(OR($A129="",S129="",MEMORIA_RESULTADOS!$I$262=""),"",ROUND(S129*$C129*(MEMORIA_RESULTADOS!$I$262-1),2))</f>
        <v/>
      </c>
      <c r="BH129" t="str">
        <f>IF(OR($A129="",BF129="",MEMORIA_RESULTADOS!$I$262=""),"",ROUND(BF129*$C129*(parametros!$F$6-MEMORIA_RESULTADOS!$I$262),2))</f>
        <v/>
      </c>
      <c r="BI129" t="str">
        <f>IF($A129="","",IF(posicao_contratual!$AL129="","",posicao_contratual!$AL129))</f>
        <v/>
      </c>
    </row>
    <row r="130" spans="1:61" x14ac:dyDescent="0.35">
      <c r="A130" s="81"/>
      <c r="B130" s="82" t="str">
        <f t="shared" si="23"/>
        <v/>
      </c>
      <c r="C130" s="83"/>
      <c r="D130" s="79" t="str">
        <f>IF(AND(A130="",A129&lt;&gt;"",COUNTIF(A131:$A$200,"&lt;&gt;")=0),ROUND(SUMIF($A$2:A129,"&lt;&gt;",$D$2:D129),2),IF(OR(A130="",B130="",C130=""),"",ROUND(B130*C130,2)))</f>
        <v/>
      </c>
      <c r="E130" s="84"/>
      <c r="F130" s="79" t="str">
        <f>IF(AND(A130="",A129&lt;&gt;"",COUNTIF(A131:$A$200,"&lt;&gt;")=0),IF(COUNT(F$2:F129)=0,"",ROUND(SUMIF($A$2:A129,"&lt;&gt;",F$2:F129),2)),IF(OR(A130="",AND(ISNUMBER(posicao_contratual!$AL130),posicao_contratual!$AL130&gt;1),posicao_contratual!K130="",NOT(ISNUMBER(historico_VU!D130))),"",ROUND(posicao_contratual!K130*historico_VU!D130,2)))</f>
        <v/>
      </c>
      <c r="G130" s="84"/>
      <c r="H130" s="79" t="str">
        <f>IF(AND(A130="",A129&lt;&gt;"",COUNTIF(A131:$A$200,"&lt;&gt;")=0),IF(COUNT(H$2:H129)=0,"",ROUND(SUMIF($A$2:A129,"&lt;&gt;",H$2:H129),2)),IF(OR(A130="",AND(ISNUMBER(posicao_contratual!$AL130),posicao_contratual!$AL130&gt;2),posicao_contratual!O130="",NOT(ISNUMBER(historico_VU!E130))),"",ROUND(posicao_contratual!O130*historico_VU!E130,2)))</f>
        <v/>
      </c>
      <c r="I130" s="84"/>
      <c r="J130" s="79" t="str">
        <f>IF(AND(A130="",A129&lt;&gt;"",COUNTIF(A131:$A$200,"&lt;&gt;")=0),IF(COUNT(J$2:J129)=0,"",ROUND(SUMIF($A$2:A129,"&lt;&gt;",J$2:J129),2)),IF(OR(A130="",AND(ISNUMBER(posicao_contratual!$AL130),posicao_contratual!$AL130&gt;3),posicao_contratual!S130="",NOT(ISNUMBER(historico_VU!F130))),"",ROUND(posicao_contratual!S130*historico_VU!F130,2)))</f>
        <v/>
      </c>
      <c r="K130" s="84"/>
      <c r="L130" s="79" t="str">
        <f>IF(AND(A130="",A129&lt;&gt;"",COUNTIF(A131:$A$200,"&lt;&gt;")=0),IF(COUNT(L$2:L129)=0,"",ROUND(SUMIF($A$2:A129,"&lt;&gt;",L$2:L129),2)),IF(OR(A130="",AND(ISNUMBER(posicao_contratual!$AL130),posicao_contratual!$AL130&gt;4),posicao_contratual!W130="",NOT(ISNUMBER(historico_VU!G130))),"",ROUND(posicao_contratual!W130*historico_VU!G130,2)))</f>
        <v/>
      </c>
      <c r="M130" s="85" t="str">
        <f>IF(OR(posicao_contratual!J130="",posicao_contratual!N130=""),"",ROUND(MAX(posicao_contratual!J130+posicao_contratual!H130-posicao_contratual!N130,0),2))</f>
        <v/>
      </c>
      <c r="N130" s="79" t="str">
        <f>IF(AND(A130="",A129&lt;&gt;"",COUNTIF(A131:$A$200,"&lt;&gt;")=0),IF(COUNT(N$2:N129)=0,"",ROUND(SUMIF($A$2:A129,"&lt;&gt;",N$2:N129),2)),IF(OR(M130="",NOT(ISNUMBER(historico_VU!D130))),"",ROUND(M130*historico_VU!D130,2)))</f>
        <v/>
      </c>
      <c r="O130" s="85" t="str">
        <f>IF(OR(posicao_contratual!N130="",posicao_contratual!R130=""),"",ROUND(MAX(posicao_contratual!N130+posicao_contratual!L130-posicao_contratual!R130,0),2))</f>
        <v/>
      </c>
      <c r="P130" s="79" t="str">
        <f>IF(AND(A130="",A129&lt;&gt;"",COUNTIF(A131:$A$200,"&lt;&gt;")=0),IF(COUNT(P$2:P129)=0,"",ROUND(SUMIF($A$2:A129,"&lt;&gt;",P$2:P129),2)),IF(OR(O130="",NOT(ISNUMBER(historico_VU!E130))),"",ROUND(O130*historico_VU!E130,2)))</f>
        <v/>
      </c>
      <c r="Q130" s="85" t="str">
        <f>IF(OR(posicao_contratual!R130="",posicao_contratual!V130=""),"",ROUND(MAX(posicao_contratual!R130+posicao_contratual!P130-posicao_contratual!V130,0),2))</f>
        <v/>
      </c>
      <c r="R130" s="79" t="str">
        <f>IF(AND(A130="",A129&lt;&gt;"",COUNTIF(A131:$A$200,"&lt;&gt;")=0),IF(COUNT(R$2:R129)=0,"",ROUND(SUMIF($A$2:A129,"&lt;&gt;",R$2:R129),2)),IF(OR(Q130="",NOT(ISNUMBER(historico_VU!F130))),"",ROUND(Q130*historico_VU!F130,2)))</f>
        <v/>
      </c>
      <c r="S130" s="38"/>
      <c r="T130" s="39" t="str">
        <f>IF(AND(A130="",A129&lt;&gt;"",COUNTIF(A131:$A$200,"&lt;&gt;")=0),IF(COUNT(T$2:T129)=0,"",ROUND(SUMIF($A$2:A129,"&lt;&gt;",T$2:T129),2)),IF(OR(S130="",NOT(ISNUMBER(historico_VU!G130))),"",ROUND(S130*historico_VU!G130,2)))</f>
        <v/>
      </c>
      <c r="U130" s="86" t="str">
        <f>IF(AND(A130="",A129&lt;&gt;"",COUNTIF(A131:$A$200,"&lt;&gt;")=0),"TOTAL",IF(A130="","",posicao_contratual!X130))</f>
        <v/>
      </c>
      <c r="V130" s="86" t="str">
        <f>IF(A130="","",posicao_contratual!X130)</f>
        <v/>
      </c>
      <c r="W130" s="13"/>
      <c r="X130" s="13"/>
      <c r="Y130" s="13"/>
      <c r="Z130" s="13"/>
      <c r="AA130" s="13"/>
      <c r="AB130" s="85" t="str">
        <f>IF(OR(A130="",posicao_contratual!E130="",posicao_contratual!J130=""),"",ROUND(MAX(posicao_contratual!E130-posicao_contratual!J130,0),2))</f>
        <v/>
      </c>
      <c r="AC130" s="79" t="str">
        <f>IF(AND(A130="",A129&lt;&gt;"",COUNTIF(A131:$A$200,"&lt;&gt;")=0),IF(COUNT(AC$2:AC129)=0,"",ROUND(SUMIF($A$2:A129,"&lt;&gt;",AC$2:AC129),2)),IF(OR(AB130="",NOT(ISNUMBER(historico_VU!C130))),"",ROUND(AB130*historico_VU!C130,2)))</f>
        <v/>
      </c>
      <c r="AD130" s="145" t="str">
        <f>IF(A130="","",posicao_contratual!E130)</f>
        <v/>
      </c>
      <c r="AE130" s="145" t="str">
        <f>IF(A130="","",posicao_contratual!I130)</f>
        <v/>
      </c>
      <c r="AF130" s="145" t="str">
        <f>IF(A130="","",posicao_contratual!M130)</f>
        <v/>
      </c>
      <c r="AG130" s="145" t="str">
        <f>IF(A130="","",posicao_contratual!Q130)</f>
        <v/>
      </c>
      <c r="AH130" s="145" t="str">
        <f>IF(A130="","",posicao_contratual!U130)</f>
        <v/>
      </c>
      <c r="AI130" s="145" t="str">
        <f>IF(A130="","",posicao_contratual!G130)</f>
        <v/>
      </c>
      <c r="AJ130" s="145" t="str">
        <f>IF(A130="","",posicao_contratual!K130)</f>
        <v/>
      </c>
      <c r="AK130" s="145" t="str">
        <f>IF(A130="","",posicao_contratual!O130)</f>
        <v/>
      </c>
      <c r="AL130" s="145" t="str">
        <f>IF(A130="","",posicao_contratual!S130)</f>
        <v/>
      </c>
      <c r="AM130" s="145" t="str">
        <f>IF(A130="","",posicao_contratual!W130)</f>
        <v/>
      </c>
      <c r="AN130" s="146" t="str">
        <f>IF(A130="","",posicao_contratual!X130)</f>
        <v/>
      </c>
      <c r="AO130" t="str">
        <f>IF($A130="","",ROUND(SUMIFS(itens_Consumidos!$E$2:$E$200,itens_Consumidos!$A$2:$A$200,$A130),2))</f>
        <v/>
      </c>
      <c r="AP130" t="str">
        <f t="shared" ref="AP130:AP161" si="24">IF(OR($A130="",AB130=""),"",ROUND(MAX(AB130-AO130,0),2))</f>
        <v/>
      </c>
      <c r="AQ130" t="str">
        <f>IF(OR($A130="",AB130="",MEMORIA_RESULTADOS!$I$258=""),"",ROUND(AB130*$C130*(MEMORIA_RESULTADOS!$I$258-1),2))</f>
        <v/>
      </c>
      <c r="AR130" t="str">
        <f>IF(OR($A130="",AP130="",MEMORIA_RESULTADOS!$I$258=""),"",ROUND(AP130*$C130*(parametros!$F$2-MEMORIA_RESULTADOS!$I$258),2))</f>
        <v/>
      </c>
      <c r="AS130" t="str">
        <f>IF($A130="","",ROUND(SUMIFS(itens_Consumidos!$G$2:$G$200,itens_Consumidos!$A$2:$A$200,$A130),2))</f>
        <v/>
      </c>
      <c r="AT130" t="str">
        <f t="shared" ref="AT130:AT161" si="25">IF(OR($A130="",M130=""),"",ROUND(MAX(M130-AS130,0),2))</f>
        <v/>
      </c>
      <c r="AU130" t="str">
        <f>IF(OR($A130="",M130="",MEMORIA_RESULTADOS!$I$259=""),"",ROUND(M130*$C130*(MEMORIA_RESULTADOS!$I$259-1),2))</f>
        <v/>
      </c>
      <c r="AV130" t="str">
        <f>IF(OR($A130="",AT130="",MEMORIA_RESULTADOS!$I$259=""),"",ROUND(AT130*$C130*(parametros!$F$3-MEMORIA_RESULTADOS!$I$259),2))</f>
        <v/>
      </c>
      <c r="AW130" t="str">
        <f>IF($A130="","",ROUND(SUMIFS(itens_Consumidos!$I$2:$I$200,itens_Consumidos!$A$2:$A$200,$A130),2))</f>
        <v/>
      </c>
      <c r="AX130" t="str">
        <f t="shared" ref="AX130:AX161" si="26">IF(OR($A130="",O130=""),"",ROUND(MAX(O130-AW130,0),2))</f>
        <v/>
      </c>
      <c r="AY130" t="str">
        <f>IF(OR($A130="",O130="",MEMORIA_RESULTADOS!$I$260=""),"",ROUND(O130*$C130*(MEMORIA_RESULTADOS!$I$260-1),2))</f>
        <v/>
      </c>
      <c r="AZ130" t="str">
        <f>IF(OR($A130="",AX130="",MEMORIA_RESULTADOS!$I$260=""),"",ROUND(AX130*$C130*(parametros!$F$4-MEMORIA_RESULTADOS!$I$260),2))</f>
        <v/>
      </c>
      <c r="BA130" t="str">
        <f>IF($A130="","",ROUND(SUMIFS(itens_Consumidos!$K$2:$K$200,itens_Consumidos!$A$2:$A$200,$A130),2))</f>
        <v/>
      </c>
      <c r="BB130" t="str">
        <f t="shared" ref="BB130:BB161" si="27">IF(OR($A130="",Q130=""),"",ROUND(MAX(Q130-BA130,0),2))</f>
        <v/>
      </c>
      <c r="BC130" t="str">
        <f>IF(OR($A130="",Q130="",MEMORIA_RESULTADOS!$I$261=""),"",ROUND(Q130*$C130*(MEMORIA_RESULTADOS!$I$261-1),2))</f>
        <v/>
      </c>
      <c r="BD130" t="str">
        <f>IF(OR($A130="",BB130="",MEMORIA_RESULTADOS!$I$261=""),"",ROUND(BB130*$C130*(parametros!$F$5-MEMORIA_RESULTADOS!$I$261),2))</f>
        <v/>
      </c>
      <c r="BE130" t="str">
        <f>IF($A130="","",ROUND(SUMIFS(itens_Consumidos!$M$2:$M$200,itens_Consumidos!$A$2:$A$200,$A130),2))</f>
        <v/>
      </c>
      <c r="BF130" t="str">
        <f t="shared" ref="BF130:BF161" si="28">IF(OR($A130="",S130=""),"",ROUND(MAX(S130-BE130,0),2))</f>
        <v/>
      </c>
      <c r="BG130" t="str">
        <f>IF(OR($A130="",S130="",MEMORIA_RESULTADOS!$I$262=""),"",ROUND(S130*$C130*(MEMORIA_RESULTADOS!$I$262-1),2))</f>
        <v/>
      </c>
      <c r="BH130" t="str">
        <f>IF(OR($A130="",BF130="",MEMORIA_RESULTADOS!$I$262=""),"",ROUND(BF130*$C130*(parametros!$F$6-MEMORIA_RESULTADOS!$I$262),2))</f>
        <v/>
      </c>
      <c r="BI130" t="str">
        <f>IF($A130="","",IF(posicao_contratual!$AL130="","",posicao_contratual!$AL130))</f>
        <v/>
      </c>
    </row>
    <row r="131" spans="1:61" x14ac:dyDescent="0.35">
      <c r="A131" s="81"/>
      <c r="B131" s="82" t="str">
        <f t="shared" si="23"/>
        <v/>
      </c>
      <c r="C131" s="83"/>
      <c r="D131" s="79" t="str">
        <f>IF(AND(A131="",A130&lt;&gt;"",COUNTIF(A132:$A$200,"&lt;&gt;")=0),ROUND(SUMIF($A$2:A130,"&lt;&gt;",$D$2:D130),2),IF(OR(A131="",B131="",C131=""),"",ROUND(B131*C131,2)))</f>
        <v/>
      </c>
      <c r="E131" s="84"/>
      <c r="F131" s="79" t="str">
        <f>IF(AND(A131="",A130&lt;&gt;"",COUNTIF(A132:$A$200,"&lt;&gt;")=0),IF(COUNT(F$2:F130)=0,"",ROUND(SUMIF($A$2:A130,"&lt;&gt;",F$2:F130),2)),IF(OR(A131="",AND(ISNUMBER(posicao_contratual!$AL131),posicao_contratual!$AL131&gt;1),posicao_contratual!K131="",NOT(ISNUMBER(historico_VU!D131))),"",ROUND(posicao_contratual!K131*historico_VU!D131,2)))</f>
        <v/>
      </c>
      <c r="G131" s="84"/>
      <c r="H131" s="79" t="str">
        <f>IF(AND(A131="",A130&lt;&gt;"",COUNTIF(A132:$A$200,"&lt;&gt;")=0),IF(COUNT(H$2:H130)=0,"",ROUND(SUMIF($A$2:A130,"&lt;&gt;",H$2:H130),2)),IF(OR(A131="",AND(ISNUMBER(posicao_contratual!$AL131),posicao_contratual!$AL131&gt;2),posicao_contratual!O131="",NOT(ISNUMBER(historico_VU!E131))),"",ROUND(posicao_contratual!O131*historico_VU!E131,2)))</f>
        <v/>
      </c>
      <c r="I131" s="84"/>
      <c r="J131" s="79" t="str">
        <f>IF(AND(A131="",A130&lt;&gt;"",COUNTIF(A132:$A$200,"&lt;&gt;")=0),IF(COUNT(J$2:J130)=0,"",ROUND(SUMIF($A$2:A130,"&lt;&gt;",J$2:J130),2)),IF(OR(A131="",AND(ISNUMBER(posicao_contratual!$AL131),posicao_contratual!$AL131&gt;3),posicao_contratual!S131="",NOT(ISNUMBER(historico_VU!F131))),"",ROUND(posicao_contratual!S131*historico_VU!F131,2)))</f>
        <v/>
      </c>
      <c r="K131" s="84"/>
      <c r="L131" s="79" t="str">
        <f>IF(AND(A131="",A130&lt;&gt;"",COUNTIF(A132:$A$200,"&lt;&gt;")=0),IF(COUNT(L$2:L130)=0,"",ROUND(SUMIF($A$2:A130,"&lt;&gt;",L$2:L130),2)),IF(OR(A131="",AND(ISNUMBER(posicao_contratual!$AL131),posicao_contratual!$AL131&gt;4),posicao_contratual!W131="",NOT(ISNUMBER(historico_VU!G131))),"",ROUND(posicao_contratual!W131*historico_VU!G131,2)))</f>
        <v/>
      </c>
      <c r="M131" s="85" t="str">
        <f>IF(OR(posicao_contratual!J131="",posicao_contratual!N131=""),"",ROUND(MAX(posicao_contratual!J131+posicao_contratual!H131-posicao_contratual!N131,0),2))</f>
        <v/>
      </c>
      <c r="N131" s="79" t="str">
        <f>IF(AND(A131="",A130&lt;&gt;"",COUNTIF(A132:$A$200,"&lt;&gt;")=0),IF(COUNT(N$2:N130)=0,"",ROUND(SUMIF($A$2:A130,"&lt;&gt;",N$2:N130),2)),IF(OR(M131="",NOT(ISNUMBER(historico_VU!D131))),"",ROUND(M131*historico_VU!D131,2)))</f>
        <v/>
      </c>
      <c r="O131" s="85" t="str">
        <f>IF(OR(posicao_contratual!N131="",posicao_contratual!R131=""),"",ROUND(MAX(posicao_contratual!N131+posicao_contratual!L131-posicao_contratual!R131,0),2))</f>
        <v/>
      </c>
      <c r="P131" s="79" t="str">
        <f>IF(AND(A131="",A130&lt;&gt;"",COUNTIF(A132:$A$200,"&lt;&gt;")=0),IF(COUNT(P$2:P130)=0,"",ROUND(SUMIF($A$2:A130,"&lt;&gt;",P$2:P130),2)),IF(OR(O131="",NOT(ISNUMBER(historico_VU!E131))),"",ROUND(O131*historico_VU!E131,2)))</f>
        <v/>
      </c>
      <c r="Q131" s="85" t="str">
        <f>IF(OR(posicao_contratual!R131="",posicao_contratual!V131=""),"",ROUND(MAX(posicao_contratual!R131+posicao_contratual!P131-posicao_contratual!V131,0),2))</f>
        <v/>
      </c>
      <c r="R131" s="79" t="str">
        <f>IF(AND(A131="",A130&lt;&gt;"",COUNTIF(A132:$A$200,"&lt;&gt;")=0),IF(COUNT(R$2:R130)=0,"",ROUND(SUMIF($A$2:A130,"&lt;&gt;",R$2:R130),2)),IF(OR(Q131="",NOT(ISNUMBER(historico_VU!F131))),"",ROUND(Q131*historico_VU!F131,2)))</f>
        <v/>
      </c>
      <c r="S131" s="38"/>
      <c r="T131" s="39" t="str">
        <f>IF(AND(A131="",A130&lt;&gt;"",COUNTIF(A132:$A$200,"&lt;&gt;")=0),IF(COUNT(T$2:T130)=0,"",ROUND(SUMIF($A$2:A130,"&lt;&gt;",T$2:T130),2)),IF(OR(S131="",NOT(ISNUMBER(historico_VU!G131))),"",ROUND(S131*historico_VU!G131,2)))</f>
        <v/>
      </c>
      <c r="U131" s="86" t="str">
        <f>IF(AND(A131="",A130&lt;&gt;"",COUNTIF(A132:$A$200,"&lt;&gt;")=0),"TOTAL",IF(A131="","",posicao_contratual!X131))</f>
        <v/>
      </c>
      <c r="V131" s="86" t="str">
        <f>IF(A131="","",posicao_contratual!X131)</f>
        <v/>
      </c>
      <c r="W131" s="13"/>
      <c r="X131" s="13"/>
      <c r="Y131" s="13"/>
      <c r="Z131" s="13"/>
      <c r="AA131" s="13"/>
      <c r="AB131" s="85" t="str">
        <f>IF(OR(A131="",posicao_contratual!E131="",posicao_contratual!J131=""),"",ROUND(MAX(posicao_contratual!E131-posicao_contratual!J131,0),2))</f>
        <v/>
      </c>
      <c r="AC131" s="79" t="str">
        <f>IF(AND(A131="",A130&lt;&gt;"",COUNTIF(A132:$A$200,"&lt;&gt;")=0),IF(COUNT(AC$2:AC130)=0,"",ROUND(SUMIF($A$2:A130,"&lt;&gt;",AC$2:AC130),2)),IF(OR(AB131="",NOT(ISNUMBER(historico_VU!C131))),"",ROUND(AB131*historico_VU!C131,2)))</f>
        <v/>
      </c>
      <c r="AD131" s="145" t="str">
        <f>IF(A131="","",posicao_contratual!E131)</f>
        <v/>
      </c>
      <c r="AE131" s="145" t="str">
        <f>IF(A131="","",posicao_contratual!I131)</f>
        <v/>
      </c>
      <c r="AF131" s="145" t="str">
        <f>IF(A131="","",posicao_contratual!M131)</f>
        <v/>
      </c>
      <c r="AG131" s="145" t="str">
        <f>IF(A131="","",posicao_contratual!Q131)</f>
        <v/>
      </c>
      <c r="AH131" s="145" t="str">
        <f>IF(A131="","",posicao_contratual!U131)</f>
        <v/>
      </c>
      <c r="AI131" s="145" t="str">
        <f>IF(A131="","",posicao_contratual!G131)</f>
        <v/>
      </c>
      <c r="AJ131" s="145" t="str">
        <f>IF(A131="","",posicao_contratual!K131)</f>
        <v/>
      </c>
      <c r="AK131" s="145" t="str">
        <f>IF(A131="","",posicao_contratual!O131)</f>
        <v/>
      </c>
      <c r="AL131" s="145" t="str">
        <f>IF(A131="","",posicao_contratual!S131)</f>
        <v/>
      </c>
      <c r="AM131" s="145" t="str">
        <f>IF(A131="","",posicao_contratual!W131)</f>
        <v/>
      </c>
      <c r="AN131" s="146" t="str">
        <f>IF(A131="","",posicao_contratual!X131)</f>
        <v/>
      </c>
      <c r="AO131" t="str">
        <f>IF($A131="","",ROUND(SUMIFS(itens_Consumidos!$E$2:$E$200,itens_Consumidos!$A$2:$A$200,$A131),2))</f>
        <v/>
      </c>
      <c r="AP131" t="str">
        <f t="shared" si="24"/>
        <v/>
      </c>
      <c r="AQ131" t="str">
        <f>IF(OR($A131="",AB131="",MEMORIA_RESULTADOS!$I$258=""),"",ROUND(AB131*$C131*(MEMORIA_RESULTADOS!$I$258-1),2))</f>
        <v/>
      </c>
      <c r="AR131" t="str">
        <f>IF(OR($A131="",AP131="",MEMORIA_RESULTADOS!$I$258=""),"",ROUND(AP131*$C131*(parametros!$F$2-MEMORIA_RESULTADOS!$I$258),2))</f>
        <v/>
      </c>
      <c r="AS131" t="str">
        <f>IF($A131="","",ROUND(SUMIFS(itens_Consumidos!$G$2:$G$200,itens_Consumidos!$A$2:$A$200,$A131),2))</f>
        <v/>
      </c>
      <c r="AT131" t="str">
        <f t="shared" si="25"/>
        <v/>
      </c>
      <c r="AU131" t="str">
        <f>IF(OR($A131="",M131="",MEMORIA_RESULTADOS!$I$259=""),"",ROUND(M131*$C131*(MEMORIA_RESULTADOS!$I$259-1),2))</f>
        <v/>
      </c>
      <c r="AV131" t="str">
        <f>IF(OR($A131="",AT131="",MEMORIA_RESULTADOS!$I$259=""),"",ROUND(AT131*$C131*(parametros!$F$3-MEMORIA_RESULTADOS!$I$259),2))</f>
        <v/>
      </c>
      <c r="AW131" t="str">
        <f>IF($A131="","",ROUND(SUMIFS(itens_Consumidos!$I$2:$I$200,itens_Consumidos!$A$2:$A$200,$A131),2))</f>
        <v/>
      </c>
      <c r="AX131" t="str">
        <f t="shared" si="26"/>
        <v/>
      </c>
      <c r="AY131" t="str">
        <f>IF(OR($A131="",O131="",MEMORIA_RESULTADOS!$I$260=""),"",ROUND(O131*$C131*(MEMORIA_RESULTADOS!$I$260-1),2))</f>
        <v/>
      </c>
      <c r="AZ131" t="str">
        <f>IF(OR($A131="",AX131="",MEMORIA_RESULTADOS!$I$260=""),"",ROUND(AX131*$C131*(parametros!$F$4-MEMORIA_RESULTADOS!$I$260),2))</f>
        <v/>
      </c>
      <c r="BA131" t="str">
        <f>IF($A131="","",ROUND(SUMIFS(itens_Consumidos!$K$2:$K$200,itens_Consumidos!$A$2:$A$200,$A131),2))</f>
        <v/>
      </c>
      <c r="BB131" t="str">
        <f t="shared" si="27"/>
        <v/>
      </c>
      <c r="BC131" t="str">
        <f>IF(OR($A131="",Q131="",MEMORIA_RESULTADOS!$I$261=""),"",ROUND(Q131*$C131*(MEMORIA_RESULTADOS!$I$261-1),2))</f>
        <v/>
      </c>
      <c r="BD131" t="str">
        <f>IF(OR($A131="",BB131="",MEMORIA_RESULTADOS!$I$261=""),"",ROUND(BB131*$C131*(parametros!$F$5-MEMORIA_RESULTADOS!$I$261),2))</f>
        <v/>
      </c>
      <c r="BE131" t="str">
        <f>IF($A131="","",ROUND(SUMIFS(itens_Consumidos!$M$2:$M$200,itens_Consumidos!$A$2:$A$200,$A131),2))</f>
        <v/>
      </c>
      <c r="BF131" t="str">
        <f t="shared" si="28"/>
        <v/>
      </c>
      <c r="BG131" t="str">
        <f>IF(OR($A131="",S131="",MEMORIA_RESULTADOS!$I$262=""),"",ROUND(S131*$C131*(MEMORIA_RESULTADOS!$I$262-1),2))</f>
        <v/>
      </c>
      <c r="BH131" t="str">
        <f>IF(OR($A131="",BF131="",MEMORIA_RESULTADOS!$I$262=""),"",ROUND(BF131*$C131*(parametros!$F$6-MEMORIA_RESULTADOS!$I$262),2))</f>
        <v/>
      </c>
      <c r="BI131" t="str">
        <f>IF($A131="","",IF(posicao_contratual!$AL131="","",posicao_contratual!$AL131))</f>
        <v/>
      </c>
    </row>
    <row r="132" spans="1:61" x14ac:dyDescent="0.35">
      <c r="A132" s="81"/>
      <c r="B132" s="82" t="str">
        <f t="shared" si="23"/>
        <v/>
      </c>
      <c r="C132" s="83"/>
      <c r="D132" s="79" t="str">
        <f>IF(AND(A132="",A131&lt;&gt;"",COUNTIF(A133:$A$200,"&lt;&gt;")=0),ROUND(SUMIF($A$2:A131,"&lt;&gt;",$D$2:D131),2),IF(OR(A132="",B132="",C132=""),"",ROUND(B132*C132,2)))</f>
        <v/>
      </c>
      <c r="E132" s="84"/>
      <c r="F132" s="79" t="str">
        <f>IF(AND(A132="",A131&lt;&gt;"",COUNTIF(A133:$A$200,"&lt;&gt;")=0),IF(COUNT(F$2:F131)=0,"",ROUND(SUMIF($A$2:A131,"&lt;&gt;",F$2:F131),2)),IF(OR(A132="",AND(ISNUMBER(posicao_contratual!$AL132),posicao_contratual!$AL132&gt;1),posicao_contratual!K132="",NOT(ISNUMBER(historico_VU!D132))),"",ROUND(posicao_contratual!K132*historico_VU!D132,2)))</f>
        <v/>
      </c>
      <c r="G132" s="84"/>
      <c r="H132" s="79" t="str">
        <f>IF(AND(A132="",A131&lt;&gt;"",COUNTIF(A133:$A$200,"&lt;&gt;")=0),IF(COUNT(H$2:H131)=0,"",ROUND(SUMIF($A$2:A131,"&lt;&gt;",H$2:H131),2)),IF(OR(A132="",AND(ISNUMBER(posicao_contratual!$AL132),posicao_contratual!$AL132&gt;2),posicao_contratual!O132="",NOT(ISNUMBER(historico_VU!E132))),"",ROUND(posicao_contratual!O132*historico_VU!E132,2)))</f>
        <v/>
      </c>
      <c r="I132" s="84"/>
      <c r="J132" s="79" t="str">
        <f>IF(AND(A132="",A131&lt;&gt;"",COUNTIF(A133:$A$200,"&lt;&gt;")=0),IF(COUNT(J$2:J131)=0,"",ROUND(SUMIF($A$2:A131,"&lt;&gt;",J$2:J131),2)),IF(OR(A132="",AND(ISNUMBER(posicao_contratual!$AL132),posicao_contratual!$AL132&gt;3),posicao_contratual!S132="",NOT(ISNUMBER(historico_VU!F132))),"",ROUND(posicao_contratual!S132*historico_VU!F132,2)))</f>
        <v/>
      </c>
      <c r="K132" s="84"/>
      <c r="L132" s="79" t="str">
        <f>IF(AND(A132="",A131&lt;&gt;"",COUNTIF(A133:$A$200,"&lt;&gt;")=0),IF(COUNT(L$2:L131)=0,"",ROUND(SUMIF($A$2:A131,"&lt;&gt;",L$2:L131),2)),IF(OR(A132="",AND(ISNUMBER(posicao_contratual!$AL132),posicao_contratual!$AL132&gt;4),posicao_contratual!W132="",NOT(ISNUMBER(historico_VU!G132))),"",ROUND(posicao_contratual!W132*historico_VU!G132,2)))</f>
        <v/>
      </c>
      <c r="M132" s="85" t="str">
        <f>IF(OR(posicao_contratual!J132="",posicao_contratual!N132=""),"",ROUND(MAX(posicao_contratual!J132+posicao_contratual!H132-posicao_contratual!N132,0),2))</f>
        <v/>
      </c>
      <c r="N132" s="79" t="str">
        <f>IF(AND(A132="",A131&lt;&gt;"",COUNTIF(A133:$A$200,"&lt;&gt;")=0),IF(COUNT(N$2:N131)=0,"",ROUND(SUMIF($A$2:A131,"&lt;&gt;",N$2:N131),2)),IF(OR(M132="",NOT(ISNUMBER(historico_VU!D132))),"",ROUND(M132*historico_VU!D132,2)))</f>
        <v/>
      </c>
      <c r="O132" s="85" t="str">
        <f>IF(OR(posicao_contratual!N132="",posicao_contratual!R132=""),"",ROUND(MAX(posicao_contratual!N132+posicao_contratual!L132-posicao_contratual!R132,0),2))</f>
        <v/>
      </c>
      <c r="P132" s="79" t="str">
        <f>IF(AND(A132="",A131&lt;&gt;"",COUNTIF(A133:$A$200,"&lt;&gt;")=0),IF(COUNT(P$2:P131)=0,"",ROUND(SUMIF($A$2:A131,"&lt;&gt;",P$2:P131),2)),IF(OR(O132="",NOT(ISNUMBER(historico_VU!E132))),"",ROUND(O132*historico_VU!E132,2)))</f>
        <v/>
      </c>
      <c r="Q132" s="85" t="str">
        <f>IF(OR(posicao_contratual!R132="",posicao_contratual!V132=""),"",ROUND(MAX(posicao_contratual!R132+posicao_contratual!P132-posicao_contratual!V132,0),2))</f>
        <v/>
      </c>
      <c r="R132" s="79" t="str">
        <f>IF(AND(A132="",A131&lt;&gt;"",COUNTIF(A133:$A$200,"&lt;&gt;")=0),IF(COUNT(R$2:R131)=0,"",ROUND(SUMIF($A$2:A131,"&lt;&gt;",R$2:R131),2)),IF(OR(Q132="",NOT(ISNUMBER(historico_VU!F132))),"",ROUND(Q132*historico_VU!F132,2)))</f>
        <v/>
      </c>
      <c r="S132" s="38"/>
      <c r="T132" s="39" t="str">
        <f>IF(AND(A132="",A131&lt;&gt;"",COUNTIF(A133:$A$200,"&lt;&gt;")=0),IF(COUNT(T$2:T131)=0,"",ROUND(SUMIF($A$2:A131,"&lt;&gt;",T$2:T131),2)),IF(OR(S132="",NOT(ISNUMBER(historico_VU!G132))),"",ROUND(S132*historico_VU!G132,2)))</f>
        <v/>
      </c>
      <c r="U132" s="86" t="str">
        <f>IF(AND(A132="",A131&lt;&gt;"",COUNTIF(A133:$A$200,"&lt;&gt;")=0),"TOTAL",IF(A132="","",posicao_contratual!X132))</f>
        <v/>
      </c>
      <c r="V132" s="86" t="str">
        <f>IF(A132="","",posicao_contratual!X132)</f>
        <v/>
      </c>
      <c r="W132" s="13"/>
      <c r="X132" s="13"/>
      <c r="Y132" s="13"/>
      <c r="Z132" s="13"/>
      <c r="AA132" s="13"/>
      <c r="AB132" s="85" t="str">
        <f>IF(OR(A132="",posicao_contratual!E132="",posicao_contratual!J132=""),"",ROUND(MAX(posicao_contratual!E132-posicao_contratual!J132,0),2))</f>
        <v/>
      </c>
      <c r="AC132" s="79" t="str">
        <f>IF(AND(A132="",A131&lt;&gt;"",COUNTIF(A133:$A$200,"&lt;&gt;")=0),IF(COUNT(AC$2:AC131)=0,"",ROUND(SUMIF($A$2:A131,"&lt;&gt;",AC$2:AC131),2)),IF(OR(AB132="",NOT(ISNUMBER(historico_VU!C132))),"",ROUND(AB132*historico_VU!C132,2)))</f>
        <v/>
      </c>
      <c r="AD132" s="145" t="str">
        <f>IF(A132="","",posicao_contratual!E132)</f>
        <v/>
      </c>
      <c r="AE132" s="145" t="str">
        <f>IF(A132="","",posicao_contratual!I132)</f>
        <v/>
      </c>
      <c r="AF132" s="145" t="str">
        <f>IF(A132="","",posicao_contratual!M132)</f>
        <v/>
      </c>
      <c r="AG132" s="145" t="str">
        <f>IF(A132="","",posicao_contratual!Q132)</f>
        <v/>
      </c>
      <c r="AH132" s="145" t="str">
        <f>IF(A132="","",posicao_contratual!U132)</f>
        <v/>
      </c>
      <c r="AI132" s="145" t="str">
        <f>IF(A132="","",posicao_contratual!G132)</f>
        <v/>
      </c>
      <c r="AJ132" s="145" t="str">
        <f>IF(A132="","",posicao_contratual!K132)</f>
        <v/>
      </c>
      <c r="AK132" s="145" t="str">
        <f>IF(A132="","",posicao_contratual!O132)</f>
        <v/>
      </c>
      <c r="AL132" s="145" t="str">
        <f>IF(A132="","",posicao_contratual!S132)</f>
        <v/>
      </c>
      <c r="AM132" s="145" t="str">
        <f>IF(A132="","",posicao_contratual!W132)</f>
        <v/>
      </c>
      <c r="AN132" s="146" t="str">
        <f>IF(A132="","",posicao_contratual!X132)</f>
        <v/>
      </c>
      <c r="AO132" t="str">
        <f>IF($A132="","",ROUND(SUMIFS(itens_Consumidos!$E$2:$E$200,itens_Consumidos!$A$2:$A$200,$A132),2))</f>
        <v/>
      </c>
      <c r="AP132" t="str">
        <f t="shared" si="24"/>
        <v/>
      </c>
      <c r="AQ132" t="str">
        <f>IF(OR($A132="",AB132="",MEMORIA_RESULTADOS!$I$258=""),"",ROUND(AB132*$C132*(MEMORIA_RESULTADOS!$I$258-1),2))</f>
        <v/>
      </c>
      <c r="AR132" t="str">
        <f>IF(OR($A132="",AP132="",MEMORIA_RESULTADOS!$I$258=""),"",ROUND(AP132*$C132*(parametros!$F$2-MEMORIA_RESULTADOS!$I$258),2))</f>
        <v/>
      </c>
      <c r="AS132" t="str">
        <f>IF($A132="","",ROUND(SUMIFS(itens_Consumidos!$G$2:$G$200,itens_Consumidos!$A$2:$A$200,$A132),2))</f>
        <v/>
      </c>
      <c r="AT132" t="str">
        <f t="shared" si="25"/>
        <v/>
      </c>
      <c r="AU132" t="str">
        <f>IF(OR($A132="",M132="",MEMORIA_RESULTADOS!$I$259=""),"",ROUND(M132*$C132*(MEMORIA_RESULTADOS!$I$259-1),2))</f>
        <v/>
      </c>
      <c r="AV132" t="str">
        <f>IF(OR($A132="",AT132="",MEMORIA_RESULTADOS!$I$259=""),"",ROUND(AT132*$C132*(parametros!$F$3-MEMORIA_RESULTADOS!$I$259),2))</f>
        <v/>
      </c>
      <c r="AW132" t="str">
        <f>IF($A132="","",ROUND(SUMIFS(itens_Consumidos!$I$2:$I$200,itens_Consumidos!$A$2:$A$200,$A132),2))</f>
        <v/>
      </c>
      <c r="AX132" t="str">
        <f t="shared" si="26"/>
        <v/>
      </c>
      <c r="AY132" t="str">
        <f>IF(OR($A132="",O132="",MEMORIA_RESULTADOS!$I$260=""),"",ROUND(O132*$C132*(MEMORIA_RESULTADOS!$I$260-1),2))</f>
        <v/>
      </c>
      <c r="AZ132" t="str">
        <f>IF(OR($A132="",AX132="",MEMORIA_RESULTADOS!$I$260=""),"",ROUND(AX132*$C132*(parametros!$F$4-MEMORIA_RESULTADOS!$I$260),2))</f>
        <v/>
      </c>
      <c r="BA132" t="str">
        <f>IF($A132="","",ROUND(SUMIFS(itens_Consumidos!$K$2:$K$200,itens_Consumidos!$A$2:$A$200,$A132),2))</f>
        <v/>
      </c>
      <c r="BB132" t="str">
        <f t="shared" si="27"/>
        <v/>
      </c>
      <c r="BC132" t="str">
        <f>IF(OR($A132="",Q132="",MEMORIA_RESULTADOS!$I$261=""),"",ROUND(Q132*$C132*(MEMORIA_RESULTADOS!$I$261-1),2))</f>
        <v/>
      </c>
      <c r="BD132" t="str">
        <f>IF(OR($A132="",BB132="",MEMORIA_RESULTADOS!$I$261=""),"",ROUND(BB132*$C132*(parametros!$F$5-MEMORIA_RESULTADOS!$I$261),2))</f>
        <v/>
      </c>
      <c r="BE132" t="str">
        <f>IF($A132="","",ROUND(SUMIFS(itens_Consumidos!$M$2:$M$200,itens_Consumidos!$A$2:$A$200,$A132),2))</f>
        <v/>
      </c>
      <c r="BF132" t="str">
        <f t="shared" si="28"/>
        <v/>
      </c>
      <c r="BG132" t="str">
        <f>IF(OR($A132="",S132="",MEMORIA_RESULTADOS!$I$262=""),"",ROUND(S132*$C132*(MEMORIA_RESULTADOS!$I$262-1),2))</f>
        <v/>
      </c>
      <c r="BH132" t="str">
        <f>IF(OR($A132="",BF132="",MEMORIA_RESULTADOS!$I$262=""),"",ROUND(BF132*$C132*(parametros!$F$6-MEMORIA_RESULTADOS!$I$262),2))</f>
        <v/>
      </c>
      <c r="BI132" t="str">
        <f>IF($A132="","",IF(posicao_contratual!$AL132="","",posicao_contratual!$AL132))</f>
        <v/>
      </c>
    </row>
    <row r="133" spans="1:61" x14ac:dyDescent="0.35">
      <c r="A133" s="81"/>
      <c r="B133" s="82" t="str">
        <f t="shared" ref="B133:B164" si="29">IF(AND(LEN(TRIM($A133))=4,LEFT(TRIM($A133),1)="N",ISNUMBER(--MID(TRIM($A133),2,3)),ISERROR(FIND(".",$A133)),ISERROR(FIND(",",$A133)),ISERROR(FIND("-",$A133)),ISERROR(FIND("+",$A133)),ISERROR(SEARCH("E",$A133,2)),ISERROR(FIND(" ",TRIM($A133)))),0,"")</f>
        <v/>
      </c>
      <c r="C133" s="83"/>
      <c r="D133" s="79" t="str">
        <f>IF(AND(A133="",A132&lt;&gt;"",COUNTIF(A134:$A$200,"&lt;&gt;")=0),ROUND(SUMIF($A$2:A132,"&lt;&gt;",$D$2:D132),2),IF(OR(A133="",B133="",C133=""),"",ROUND(B133*C133,2)))</f>
        <v/>
      </c>
      <c r="E133" s="84"/>
      <c r="F133" s="79" t="str">
        <f>IF(AND(A133="",A132&lt;&gt;"",COUNTIF(A134:$A$200,"&lt;&gt;")=0),IF(COUNT(F$2:F132)=0,"",ROUND(SUMIF($A$2:A132,"&lt;&gt;",F$2:F132),2)),IF(OR(A133="",AND(ISNUMBER(posicao_contratual!$AL133),posicao_contratual!$AL133&gt;1),posicao_contratual!K133="",NOT(ISNUMBER(historico_VU!D133))),"",ROUND(posicao_contratual!K133*historico_VU!D133,2)))</f>
        <v/>
      </c>
      <c r="G133" s="84"/>
      <c r="H133" s="79" t="str">
        <f>IF(AND(A133="",A132&lt;&gt;"",COUNTIF(A134:$A$200,"&lt;&gt;")=0),IF(COUNT(H$2:H132)=0,"",ROUND(SUMIF($A$2:A132,"&lt;&gt;",H$2:H132),2)),IF(OR(A133="",AND(ISNUMBER(posicao_contratual!$AL133),posicao_contratual!$AL133&gt;2),posicao_contratual!O133="",NOT(ISNUMBER(historico_VU!E133))),"",ROUND(posicao_contratual!O133*historico_VU!E133,2)))</f>
        <v/>
      </c>
      <c r="I133" s="84"/>
      <c r="J133" s="79" t="str">
        <f>IF(AND(A133="",A132&lt;&gt;"",COUNTIF(A134:$A$200,"&lt;&gt;")=0),IF(COUNT(J$2:J132)=0,"",ROUND(SUMIF($A$2:A132,"&lt;&gt;",J$2:J132),2)),IF(OR(A133="",AND(ISNUMBER(posicao_contratual!$AL133),posicao_contratual!$AL133&gt;3),posicao_contratual!S133="",NOT(ISNUMBER(historico_VU!F133))),"",ROUND(posicao_contratual!S133*historico_VU!F133,2)))</f>
        <v/>
      </c>
      <c r="K133" s="84"/>
      <c r="L133" s="79" t="str">
        <f>IF(AND(A133="",A132&lt;&gt;"",COUNTIF(A134:$A$200,"&lt;&gt;")=0),IF(COUNT(L$2:L132)=0,"",ROUND(SUMIF($A$2:A132,"&lt;&gt;",L$2:L132),2)),IF(OR(A133="",AND(ISNUMBER(posicao_contratual!$AL133),posicao_contratual!$AL133&gt;4),posicao_contratual!W133="",NOT(ISNUMBER(historico_VU!G133))),"",ROUND(posicao_contratual!W133*historico_VU!G133,2)))</f>
        <v/>
      </c>
      <c r="M133" s="85" t="str">
        <f>IF(OR(posicao_contratual!J133="",posicao_contratual!N133=""),"",ROUND(MAX(posicao_contratual!J133+posicao_contratual!H133-posicao_contratual!N133,0),2))</f>
        <v/>
      </c>
      <c r="N133" s="79" t="str">
        <f>IF(AND(A133="",A132&lt;&gt;"",COUNTIF(A134:$A$200,"&lt;&gt;")=0),IF(COUNT(N$2:N132)=0,"",ROUND(SUMIF($A$2:A132,"&lt;&gt;",N$2:N132),2)),IF(OR(M133="",NOT(ISNUMBER(historico_VU!D133))),"",ROUND(M133*historico_VU!D133,2)))</f>
        <v/>
      </c>
      <c r="O133" s="85" t="str">
        <f>IF(OR(posicao_contratual!N133="",posicao_contratual!R133=""),"",ROUND(MAX(posicao_contratual!N133+posicao_contratual!L133-posicao_contratual!R133,0),2))</f>
        <v/>
      </c>
      <c r="P133" s="79" t="str">
        <f>IF(AND(A133="",A132&lt;&gt;"",COUNTIF(A134:$A$200,"&lt;&gt;")=0),IF(COUNT(P$2:P132)=0,"",ROUND(SUMIF($A$2:A132,"&lt;&gt;",P$2:P132),2)),IF(OR(O133="",NOT(ISNUMBER(historico_VU!E133))),"",ROUND(O133*historico_VU!E133,2)))</f>
        <v/>
      </c>
      <c r="Q133" s="85" t="str">
        <f>IF(OR(posicao_contratual!R133="",posicao_contratual!V133=""),"",ROUND(MAX(posicao_contratual!R133+posicao_contratual!P133-posicao_contratual!V133,0),2))</f>
        <v/>
      </c>
      <c r="R133" s="79" t="str">
        <f>IF(AND(A133="",A132&lt;&gt;"",COUNTIF(A134:$A$200,"&lt;&gt;")=0),IF(COUNT(R$2:R132)=0,"",ROUND(SUMIF($A$2:A132,"&lt;&gt;",R$2:R132),2)),IF(OR(Q133="",NOT(ISNUMBER(historico_VU!F133))),"",ROUND(Q133*historico_VU!F133,2)))</f>
        <v/>
      </c>
      <c r="S133" s="38"/>
      <c r="T133" s="39" t="str">
        <f>IF(AND(A133="",A132&lt;&gt;"",COUNTIF(A134:$A$200,"&lt;&gt;")=0),IF(COUNT(T$2:T132)=0,"",ROUND(SUMIF($A$2:A132,"&lt;&gt;",T$2:T132),2)),IF(OR(S133="",NOT(ISNUMBER(historico_VU!G133))),"",ROUND(S133*historico_VU!G133,2)))</f>
        <v/>
      </c>
      <c r="U133" s="86" t="str">
        <f>IF(AND(A133="",A132&lt;&gt;"",COUNTIF(A134:$A$200,"&lt;&gt;")=0),"TOTAL",IF(A133="","",posicao_contratual!X133))</f>
        <v/>
      </c>
      <c r="V133" s="86" t="str">
        <f>IF(A133="","",posicao_contratual!X133)</f>
        <v/>
      </c>
      <c r="W133" s="13"/>
      <c r="X133" s="13"/>
      <c r="Y133" s="13"/>
      <c r="Z133" s="13"/>
      <c r="AA133" s="13"/>
      <c r="AB133" s="85" t="str">
        <f>IF(OR(A133="",posicao_contratual!E133="",posicao_contratual!J133=""),"",ROUND(MAX(posicao_contratual!E133-posicao_contratual!J133,0),2))</f>
        <v/>
      </c>
      <c r="AC133" s="79" t="str">
        <f>IF(AND(A133="",A132&lt;&gt;"",COUNTIF(A134:$A$200,"&lt;&gt;")=0),IF(COUNT(AC$2:AC132)=0,"",ROUND(SUMIF($A$2:A132,"&lt;&gt;",AC$2:AC132),2)),IF(OR(AB133="",NOT(ISNUMBER(historico_VU!C133))),"",ROUND(AB133*historico_VU!C133,2)))</f>
        <v/>
      </c>
      <c r="AD133" s="145" t="str">
        <f>IF(A133="","",posicao_contratual!E133)</f>
        <v/>
      </c>
      <c r="AE133" s="145" t="str">
        <f>IF(A133="","",posicao_contratual!I133)</f>
        <v/>
      </c>
      <c r="AF133" s="145" t="str">
        <f>IF(A133="","",posicao_contratual!M133)</f>
        <v/>
      </c>
      <c r="AG133" s="145" t="str">
        <f>IF(A133="","",posicao_contratual!Q133)</f>
        <v/>
      </c>
      <c r="AH133" s="145" t="str">
        <f>IF(A133="","",posicao_contratual!U133)</f>
        <v/>
      </c>
      <c r="AI133" s="145" t="str">
        <f>IF(A133="","",posicao_contratual!G133)</f>
        <v/>
      </c>
      <c r="AJ133" s="145" t="str">
        <f>IF(A133="","",posicao_contratual!K133)</f>
        <v/>
      </c>
      <c r="AK133" s="145" t="str">
        <f>IF(A133="","",posicao_contratual!O133)</f>
        <v/>
      </c>
      <c r="AL133" s="145" t="str">
        <f>IF(A133="","",posicao_contratual!S133)</f>
        <v/>
      </c>
      <c r="AM133" s="145" t="str">
        <f>IF(A133="","",posicao_contratual!W133)</f>
        <v/>
      </c>
      <c r="AN133" s="146" t="str">
        <f>IF(A133="","",posicao_contratual!X133)</f>
        <v/>
      </c>
      <c r="AO133" t="str">
        <f>IF($A133="","",ROUND(SUMIFS(itens_Consumidos!$E$2:$E$200,itens_Consumidos!$A$2:$A$200,$A133),2))</f>
        <v/>
      </c>
      <c r="AP133" t="str">
        <f t="shared" si="24"/>
        <v/>
      </c>
      <c r="AQ133" t="str">
        <f>IF(OR($A133="",AB133="",MEMORIA_RESULTADOS!$I$258=""),"",ROUND(AB133*$C133*(MEMORIA_RESULTADOS!$I$258-1),2))</f>
        <v/>
      </c>
      <c r="AR133" t="str">
        <f>IF(OR($A133="",AP133="",MEMORIA_RESULTADOS!$I$258=""),"",ROUND(AP133*$C133*(parametros!$F$2-MEMORIA_RESULTADOS!$I$258),2))</f>
        <v/>
      </c>
      <c r="AS133" t="str">
        <f>IF($A133="","",ROUND(SUMIFS(itens_Consumidos!$G$2:$G$200,itens_Consumidos!$A$2:$A$200,$A133),2))</f>
        <v/>
      </c>
      <c r="AT133" t="str">
        <f t="shared" si="25"/>
        <v/>
      </c>
      <c r="AU133" t="str">
        <f>IF(OR($A133="",M133="",MEMORIA_RESULTADOS!$I$259=""),"",ROUND(M133*$C133*(MEMORIA_RESULTADOS!$I$259-1),2))</f>
        <v/>
      </c>
      <c r="AV133" t="str">
        <f>IF(OR($A133="",AT133="",MEMORIA_RESULTADOS!$I$259=""),"",ROUND(AT133*$C133*(parametros!$F$3-MEMORIA_RESULTADOS!$I$259),2))</f>
        <v/>
      </c>
      <c r="AW133" t="str">
        <f>IF($A133="","",ROUND(SUMIFS(itens_Consumidos!$I$2:$I$200,itens_Consumidos!$A$2:$A$200,$A133),2))</f>
        <v/>
      </c>
      <c r="AX133" t="str">
        <f t="shared" si="26"/>
        <v/>
      </c>
      <c r="AY133" t="str">
        <f>IF(OR($A133="",O133="",MEMORIA_RESULTADOS!$I$260=""),"",ROUND(O133*$C133*(MEMORIA_RESULTADOS!$I$260-1),2))</f>
        <v/>
      </c>
      <c r="AZ133" t="str">
        <f>IF(OR($A133="",AX133="",MEMORIA_RESULTADOS!$I$260=""),"",ROUND(AX133*$C133*(parametros!$F$4-MEMORIA_RESULTADOS!$I$260),2))</f>
        <v/>
      </c>
      <c r="BA133" t="str">
        <f>IF($A133="","",ROUND(SUMIFS(itens_Consumidos!$K$2:$K$200,itens_Consumidos!$A$2:$A$200,$A133),2))</f>
        <v/>
      </c>
      <c r="BB133" t="str">
        <f t="shared" si="27"/>
        <v/>
      </c>
      <c r="BC133" t="str">
        <f>IF(OR($A133="",Q133="",MEMORIA_RESULTADOS!$I$261=""),"",ROUND(Q133*$C133*(MEMORIA_RESULTADOS!$I$261-1),2))</f>
        <v/>
      </c>
      <c r="BD133" t="str">
        <f>IF(OR($A133="",BB133="",MEMORIA_RESULTADOS!$I$261=""),"",ROUND(BB133*$C133*(parametros!$F$5-MEMORIA_RESULTADOS!$I$261),2))</f>
        <v/>
      </c>
      <c r="BE133" t="str">
        <f>IF($A133="","",ROUND(SUMIFS(itens_Consumidos!$M$2:$M$200,itens_Consumidos!$A$2:$A$200,$A133),2))</f>
        <v/>
      </c>
      <c r="BF133" t="str">
        <f t="shared" si="28"/>
        <v/>
      </c>
      <c r="BG133" t="str">
        <f>IF(OR($A133="",S133="",MEMORIA_RESULTADOS!$I$262=""),"",ROUND(S133*$C133*(MEMORIA_RESULTADOS!$I$262-1),2))</f>
        <v/>
      </c>
      <c r="BH133" t="str">
        <f>IF(OR($A133="",BF133="",MEMORIA_RESULTADOS!$I$262=""),"",ROUND(BF133*$C133*(parametros!$F$6-MEMORIA_RESULTADOS!$I$262),2))</f>
        <v/>
      </c>
      <c r="BI133" t="str">
        <f>IF($A133="","",IF(posicao_contratual!$AL133="","",posicao_contratual!$AL133))</f>
        <v/>
      </c>
    </row>
    <row r="134" spans="1:61" x14ac:dyDescent="0.35">
      <c r="A134" s="81"/>
      <c r="B134" s="82" t="str">
        <f t="shared" si="29"/>
        <v/>
      </c>
      <c r="C134" s="83"/>
      <c r="D134" s="79" t="str">
        <f>IF(AND(A134="",A133&lt;&gt;"",COUNTIF(A135:$A$200,"&lt;&gt;")=0),ROUND(SUMIF($A$2:A133,"&lt;&gt;",$D$2:D133),2),IF(OR(A134="",B134="",C134=""),"",ROUND(B134*C134,2)))</f>
        <v/>
      </c>
      <c r="E134" s="84"/>
      <c r="F134" s="79" t="str">
        <f>IF(AND(A134="",A133&lt;&gt;"",COUNTIF(A135:$A$200,"&lt;&gt;")=0),IF(COUNT(F$2:F133)=0,"",ROUND(SUMIF($A$2:A133,"&lt;&gt;",F$2:F133),2)),IF(OR(A134="",AND(ISNUMBER(posicao_contratual!$AL134),posicao_contratual!$AL134&gt;1),posicao_contratual!K134="",NOT(ISNUMBER(historico_VU!D134))),"",ROUND(posicao_contratual!K134*historico_VU!D134,2)))</f>
        <v/>
      </c>
      <c r="G134" s="84"/>
      <c r="H134" s="79" t="str">
        <f>IF(AND(A134="",A133&lt;&gt;"",COUNTIF(A135:$A$200,"&lt;&gt;")=0),IF(COUNT(H$2:H133)=0,"",ROUND(SUMIF($A$2:A133,"&lt;&gt;",H$2:H133),2)),IF(OR(A134="",AND(ISNUMBER(posicao_contratual!$AL134),posicao_contratual!$AL134&gt;2),posicao_contratual!O134="",NOT(ISNUMBER(historico_VU!E134))),"",ROUND(posicao_contratual!O134*historico_VU!E134,2)))</f>
        <v/>
      </c>
      <c r="I134" s="84"/>
      <c r="J134" s="79" t="str">
        <f>IF(AND(A134="",A133&lt;&gt;"",COUNTIF(A135:$A$200,"&lt;&gt;")=0),IF(COUNT(J$2:J133)=0,"",ROUND(SUMIF($A$2:A133,"&lt;&gt;",J$2:J133),2)),IF(OR(A134="",AND(ISNUMBER(posicao_contratual!$AL134),posicao_contratual!$AL134&gt;3),posicao_contratual!S134="",NOT(ISNUMBER(historico_VU!F134))),"",ROUND(posicao_contratual!S134*historico_VU!F134,2)))</f>
        <v/>
      </c>
      <c r="K134" s="84"/>
      <c r="L134" s="79" t="str">
        <f>IF(AND(A134="",A133&lt;&gt;"",COUNTIF(A135:$A$200,"&lt;&gt;")=0),IF(COUNT(L$2:L133)=0,"",ROUND(SUMIF($A$2:A133,"&lt;&gt;",L$2:L133),2)),IF(OR(A134="",AND(ISNUMBER(posicao_contratual!$AL134),posicao_contratual!$AL134&gt;4),posicao_contratual!W134="",NOT(ISNUMBER(historico_VU!G134))),"",ROUND(posicao_contratual!W134*historico_VU!G134,2)))</f>
        <v/>
      </c>
      <c r="M134" s="85" t="str">
        <f>IF(OR(posicao_contratual!J134="",posicao_contratual!N134=""),"",ROUND(MAX(posicao_contratual!J134+posicao_contratual!H134-posicao_contratual!N134,0),2))</f>
        <v/>
      </c>
      <c r="N134" s="79" t="str">
        <f>IF(AND(A134="",A133&lt;&gt;"",COUNTIF(A135:$A$200,"&lt;&gt;")=0),IF(COUNT(N$2:N133)=0,"",ROUND(SUMIF($A$2:A133,"&lt;&gt;",N$2:N133),2)),IF(OR(M134="",NOT(ISNUMBER(historico_VU!D134))),"",ROUND(M134*historico_VU!D134,2)))</f>
        <v/>
      </c>
      <c r="O134" s="85" t="str">
        <f>IF(OR(posicao_contratual!N134="",posicao_contratual!R134=""),"",ROUND(MAX(posicao_contratual!N134+posicao_contratual!L134-posicao_contratual!R134,0),2))</f>
        <v/>
      </c>
      <c r="P134" s="79" t="str">
        <f>IF(AND(A134="",A133&lt;&gt;"",COUNTIF(A135:$A$200,"&lt;&gt;")=0),IF(COUNT(P$2:P133)=0,"",ROUND(SUMIF($A$2:A133,"&lt;&gt;",P$2:P133),2)),IF(OR(O134="",NOT(ISNUMBER(historico_VU!E134))),"",ROUND(O134*historico_VU!E134,2)))</f>
        <v/>
      </c>
      <c r="Q134" s="85" t="str">
        <f>IF(OR(posicao_contratual!R134="",posicao_contratual!V134=""),"",ROUND(MAX(posicao_contratual!R134+posicao_contratual!P134-posicao_contratual!V134,0),2))</f>
        <v/>
      </c>
      <c r="R134" s="79" t="str">
        <f>IF(AND(A134="",A133&lt;&gt;"",COUNTIF(A135:$A$200,"&lt;&gt;")=0),IF(COUNT(R$2:R133)=0,"",ROUND(SUMIF($A$2:A133,"&lt;&gt;",R$2:R133),2)),IF(OR(Q134="",NOT(ISNUMBER(historico_VU!F134))),"",ROUND(Q134*historico_VU!F134,2)))</f>
        <v/>
      </c>
      <c r="S134" s="38"/>
      <c r="T134" s="39" t="str">
        <f>IF(AND(A134="",A133&lt;&gt;"",COUNTIF(A135:$A$200,"&lt;&gt;")=0),IF(COUNT(T$2:T133)=0,"",ROUND(SUMIF($A$2:A133,"&lt;&gt;",T$2:T133),2)),IF(OR(S134="",NOT(ISNUMBER(historico_VU!G134))),"",ROUND(S134*historico_VU!G134,2)))</f>
        <v/>
      </c>
      <c r="U134" s="86" t="str">
        <f>IF(AND(A134="",A133&lt;&gt;"",COUNTIF(A135:$A$200,"&lt;&gt;")=0),"TOTAL",IF(A134="","",posicao_contratual!X134))</f>
        <v/>
      </c>
      <c r="V134" s="86" t="str">
        <f>IF(A134="","",posicao_contratual!X134)</f>
        <v/>
      </c>
      <c r="W134" s="13"/>
      <c r="X134" s="13"/>
      <c r="Y134" s="13"/>
      <c r="Z134" s="13"/>
      <c r="AA134" s="13"/>
      <c r="AB134" s="85" t="str">
        <f>IF(OR(A134="",posicao_contratual!E134="",posicao_contratual!J134=""),"",ROUND(MAX(posicao_contratual!E134-posicao_contratual!J134,0),2))</f>
        <v/>
      </c>
      <c r="AC134" s="79" t="str">
        <f>IF(AND(A134="",A133&lt;&gt;"",COUNTIF(A135:$A$200,"&lt;&gt;")=0),IF(COUNT(AC$2:AC133)=0,"",ROUND(SUMIF($A$2:A133,"&lt;&gt;",AC$2:AC133),2)),IF(OR(AB134="",NOT(ISNUMBER(historico_VU!C134))),"",ROUND(AB134*historico_VU!C134,2)))</f>
        <v/>
      </c>
      <c r="AD134" s="145" t="str">
        <f>IF(A134="","",posicao_contratual!E134)</f>
        <v/>
      </c>
      <c r="AE134" s="145" t="str">
        <f>IF(A134="","",posicao_contratual!I134)</f>
        <v/>
      </c>
      <c r="AF134" s="145" t="str">
        <f>IF(A134="","",posicao_contratual!M134)</f>
        <v/>
      </c>
      <c r="AG134" s="145" t="str">
        <f>IF(A134="","",posicao_contratual!Q134)</f>
        <v/>
      </c>
      <c r="AH134" s="145" t="str">
        <f>IF(A134="","",posicao_contratual!U134)</f>
        <v/>
      </c>
      <c r="AI134" s="145" t="str">
        <f>IF(A134="","",posicao_contratual!G134)</f>
        <v/>
      </c>
      <c r="AJ134" s="145" t="str">
        <f>IF(A134="","",posicao_contratual!K134)</f>
        <v/>
      </c>
      <c r="AK134" s="145" t="str">
        <f>IF(A134="","",posicao_contratual!O134)</f>
        <v/>
      </c>
      <c r="AL134" s="145" t="str">
        <f>IF(A134="","",posicao_contratual!S134)</f>
        <v/>
      </c>
      <c r="AM134" s="145" t="str">
        <f>IF(A134="","",posicao_contratual!W134)</f>
        <v/>
      </c>
      <c r="AN134" s="146" t="str">
        <f>IF(A134="","",posicao_contratual!X134)</f>
        <v/>
      </c>
      <c r="AO134" t="str">
        <f>IF($A134="","",ROUND(SUMIFS(itens_Consumidos!$E$2:$E$200,itens_Consumidos!$A$2:$A$200,$A134),2))</f>
        <v/>
      </c>
      <c r="AP134" t="str">
        <f t="shared" si="24"/>
        <v/>
      </c>
      <c r="AQ134" t="str">
        <f>IF(OR($A134="",AB134="",MEMORIA_RESULTADOS!$I$258=""),"",ROUND(AB134*$C134*(MEMORIA_RESULTADOS!$I$258-1),2))</f>
        <v/>
      </c>
      <c r="AR134" t="str">
        <f>IF(OR($A134="",AP134="",MEMORIA_RESULTADOS!$I$258=""),"",ROUND(AP134*$C134*(parametros!$F$2-MEMORIA_RESULTADOS!$I$258),2))</f>
        <v/>
      </c>
      <c r="AS134" t="str">
        <f>IF($A134="","",ROUND(SUMIFS(itens_Consumidos!$G$2:$G$200,itens_Consumidos!$A$2:$A$200,$A134),2))</f>
        <v/>
      </c>
      <c r="AT134" t="str">
        <f t="shared" si="25"/>
        <v/>
      </c>
      <c r="AU134" t="str">
        <f>IF(OR($A134="",M134="",MEMORIA_RESULTADOS!$I$259=""),"",ROUND(M134*$C134*(MEMORIA_RESULTADOS!$I$259-1),2))</f>
        <v/>
      </c>
      <c r="AV134" t="str">
        <f>IF(OR($A134="",AT134="",MEMORIA_RESULTADOS!$I$259=""),"",ROUND(AT134*$C134*(parametros!$F$3-MEMORIA_RESULTADOS!$I$259),2))</f>
        <v/>
      </c>
      <c r="AW134" t="str">
        <f>IF($A134="","",ROUND(SUMIFS(itens_Consumidos!$I$2:$I$200,itens_Consumidos!$A$2:$A$200,$A134),2))</f>
        <v/>
      </c>
      <c r="AX134" t="str">
        <f t="shared" si="26"/>
        <v/>
      </c>
      <c r="AY134" t="str">
        <f>IF(OR($A134="",O134="",MEMORIA_RESULTADOS!$I$260=""),"",ROUND(O134*$C134*(MEMORIA_RESULTADOS!$I$260-1),2))</f>
        <v/>
      </c>
      <c r="AZ134" t="str">
        <f>IF(OR($A134="",AX134="",MEMORIA_RESULTADOS!$I$260=""),"",ROUND(AX134*$C134*(parametros!$F$4-MEMORIA_RESULTADOS!$I$260),2))</f>
        <v/>
      </c>
      <c r="BA134" t="str">
        <f>IF($A134="","",ROUND(SUMIFS(itens_Consumidos!$K$2:$K$200,itens_Consumidos!$A$2:$A$200,$A134),2))</f>
        <v/>
      </c>
      <c r="BB134" t="str">
        <f t="shared" si="27"/>
        <v/>
      </c>
      <c r="BC134" t="str">
        <f>IF(OR($A134="",Q134="",MEMORIA_RESULTADOS!$I$261=""),"",ROUND(Q134*$C134*(MEMORIA_RESULTADOS!$I$261-1),2))</f>
        <v/>
      </c>
      <c r="BD134" t="str">
        <f>IF(OR($A134="",BB134="",MEMORIA_RESULTADOS!$I$261=""),"",ROUND(BB134*$C134*(parametros!$F$5-MEMORIA_RESULTADOS!$I$261),2))</f>
        <v/>
      </c>
      <c r="BE134" t="str">
        <f>IF($A134="","",ROUND(SUMIFS(itens_Consumidos!$M$2:$M$200,itens_Consumidos!$A$2:$A$200,$A134),2))</f>
        <v/>
      </c>
      <c r="BF134" t="str">
        <f t="shared" si="28"/>
        <v/>
      </c>
      <c r="BG134" t="str">
        <f>IF(OR($A134="",S134="",MEMORIA_RESULTADOS!$I$262=""),"",ROUND(S134*$C134*(MEMORIA_RESULTADOS!$I$262-1),2))</f>
        <v/>
      </c>
      <c r="BH134" t="str">
        <f>IF(OR($A134="",BF134="",MEMORIA_RESULTADOS!$I$262=""),"",ROUND(BF134*$C134*(parametros!$F$6-MEMORIA_RESULTADOS!$I$262),2))</f>
        <v/>
      </c>
      <c r="BI134" t="str">
        <f>IF($A134="","",IF(posicao_contratual!$AL134="","",posicao_contratual!$AL134))</f>
        <v/>
      </c>
    </row>
    <row r="135" spans="1:61" x14ac:dyDescent="0.35">
      <c r="A135" s="81"/>
      <c r="B135" s="82" t="str">
        <f t="shared" si="29"/>
        <v/>
      </c>
      <c r="C135" s="83"/>
      <c r="D135" s="79" t="str">
        <f>IF(AND(A135="",A134&lt;&gt;"",COUNTIF(A136:$A$200,"&lt;&gt;")=0),ROUND(SUMIF($A$2:A134,"&lt;&gt;",$D$2:D134),2),IF(OR(A135="",B135="",C135=""),"",ROUND(B135*C135,2)))</f>
        <v/>
      </c>
      <c r="E135" s="84"/>
      <c r="F135" s="79" t="str">
        <f>IF(AND(A135="",A134&lt;&gt;"",COUNTIF(A136:$A$200,"&lt;&gt;")=0),IF(COUNT(F$2:F134)=0,"",ROUND(SUMIF($A$2:A134,"&lt;&gt;",F$2:F134),2)),IF(OR(A135="",AND(ISNUMBER(posicao_contratual!$AL135),posicao_contratual!$AL135&gt;1),posicao_contratual!K135="",NOT(ISNUMBER(historico_VU!D135))),"",ROUND(posicao_contratual!K135*historico_VU!D135,2)))</f>
        <v/>
      </c>
      <c r="G135" s="84"/>
      <c r="H135" s="79" t="str">
        <f>IF(AND(A135="",A134&lt;&gt;"",COUNTIF(A136:$A$200,"&lt;&gt;")=0),IF(COUNT(H$2:H134)=0,"",ROUND(SUMIF($A$2:A134,"&lt;&gt;",H$2:H134),2)),IF(OR(A135="",AND(ISNUMBER(posicao_contratual!$AL135),posicao_contratual!$AL135&gt;2),posicao_contratual!O135="",NOT(ISNUMBER(historico_VU!E135))),"",ROUND(posicao_contratual!O135*historico_VU!E135,2)))</f>
        <v/>
      </c>
      <c r="I135" s="84"/>
      <c r="J135" s="79" t="str">
        <f>IF(AND(A135="",A134&lt;&gt;"",COUNTIF(A136:$A$200,"&lt;&gt;")=0),IF(COUNT(J$2:J134)=0,"",ROUND(SUMIF($A$2:A134,"&lt;&gt;",J$2:J134),2)),IF(OR(A135="",AND(ISNUMBER(posicao_contratual!$AL135),posicao_contratual!$AL135&gt;3),posicao_contratual!S135="",NOT(ISNUMBER(historico_VU!F135))),"",ROUND(posicao_contratual!S135*historico_VU!F135,2)))</f>
        <v/>
      </c>
      <c r="K135" s="84"/>
      <c r="L135" s="79" t="str">
        <f>IF(AND(A135="",A134&lt;&gt;"",COUNTIF(A136:$A$200,"&lt;&gt;")=0),IF(COUNT(L$2:L134)=0,"",ROUND(SUMIF($A$2:A134,"&lt;&gt;",L$2:L134),2)),IF(OR(A135="",AND(ISNUMBER(posicao_contratual!$AL135),posicao_contratual!$AL135&gt;4),posicao_contratual!W135="",NOT(ISNUMBER(historico_VU!G135))),"",ROUND(posicao_contratual!W135*historico_VU!G135,2)))</f>
        <v/>
      </c>
      <c r="M135" s="85" t="str">
        <f>IF(OR(posicao_contratual!J135="",posicao_contratual!N135=""),"",ROUND(MAX(posicao_contratual!J135+posicao_contratual!H135-posicao_contratual!N135,0),2))</f>
        <v/>
      </c>
      <c r="N135" s="79" t="str">
        <f>IF(AND(A135="",A134&lt;&gt;"",COUNTIF(A136:$A$200,"&lt;&gt;")=0),IF(COUNT(N$2:N134)=0,"",ROUND(SUMIF($A$2:A134,"&lt;&gt;",N$2:N134),2)),IF(OR(M135="",NOT(ISNUMBER(historico_VU!D135))),"",ROUND(M135*historico_VU!D135,2)))</f>
        <v/>
      </c>
      <c r="O135" s="85" t="str">
        <f>IF(OR(posicao_contratual!N135="",posicao_contratual!R135=""),"",ROUND(MAX(posicao_contratual!N135+posicao_contratual!L135-posicao_contratual!R135,0),2))</f>
        <v/>
      </c>
      <c r="P135" s="79" t="str">
        <f>IF(AND(A135="",A134&lt;&gt;"",COUNTIF(A136:$A$200,"&lt;&gt;")=0),IF(COUNT(P$2:P134)=0,"",ROUND(SUMIF($A$2:A134,"&lt;&gt;",P$2:P134),2)),IF(OR(O135="",NOT(ISNUMBER(historico_VU!E135))),"",ROUND(O135*historico_VU!E135,2)))</f>
        <v/>
      </c>
      <c r="Q135" s="85" t="str">
        <f>IF(OR(posicao_contratual!R135="",posicao_contratual!V135=""),"",ROUND(MAX(posicao_contratual!R135+posicao_contratual!P135-posicao_contratual!V135,0),2))</f>
        <v/>
      </c>
      <c r="R135" s="79" t="str">
        <f>IF(AND(A135="",A134&lt;&gt;"",COUNTIF(A136:$A$200,"&lt;&gt;")=0),IF(COUNT(R$2:R134)=0,"",ROUND(SUMIF($A$2:A134,"&lt;&gt;",R$2:R134),2)),IF(OR(Q135="",NOT(ISNUMBER(historico_VU!F135))),"",ROUND(Q135*historico_VU!F135,2)))</f>
        <v/>
      </c>
      <c r="S135" s="38"/>
      <c r="T135" s="39" t="str">
        <f>IF(AND(A135="",A134&lt;&gt;"",COUNTIF(A136:$A$200,"&lt;&gt;")=0),IF(COUNT(T$2:T134)=0,"",ROUND(SUMIF($A$2:A134,"&lt;&gt;",T$2:T134),2)),IF(OR(S135="",NOT(ISNUMBER(historico_VU!G135))),"",ROUND(S135*historico_VU!G135,2)))</f>
        <v/>
      </c>
      <c r="U135" s="86" t="str">
        <f>IF(AND(A135="",A134&lt;&gt;"",COUNTIF(A136:$A$200,"&lt;&gt;")=0),"TOTAL",IF(A135="","",posicao_contratual!X135))</f>
        <v/>
      </c>
      <c r="V135" s="86" t="str">
        <f>IF(A135="","",posicao_contratual!X135)</f>
        <v/>
      </c>
      <c r="W135" s="13"/>
      <c r="X135" s="13"/>
      <c r="Y135" s="13"/>
      <c r="Z135" s="13"/>
      <c r="AA135" s="13"/>
      <c r="AB135" s="85" t="str">
        <f>IF(OR(A135="",posicao_contratual!E135="",posicao_contratual!J135=""),"",ROUND(MAX(posicao_contratual!E135-posicao_contratual!J135,0),2))</f>
        <v/>
      </c>
      <c r="AC135" s="79" t="str">
        <f>IF(AND(A135="",A134&lt;&gt;"",COUNTIF(A136:$A$200,"&lt;&gt;")=0),IF(COUNT(AC$2:AC134)=0,"",ROUND(SUMIF($A$2:A134,"&lt;&gt;",AC$2:AC134),2)),IF(OR(AB135="",NOT(ISNUMBER(historico_VU!C135))),"",ROUND(AB135*historico_VU!C135,2)))</f>
        <v/>
      </c>
      <c r="AD135" s="145" t="str">
        <f>IF(A135="","",posicao_contratual!E135)</f>
        <v/>
      </c>
      <c r="AE135" s="145" t="str">
        <f>IF(A135="","",posicao_contratual!I135)</f>
        <v/>
      </c>
      <c r="AF135" s="145" t="str">
        <f>IF(A135="","",posicao_contratual!M135)</f>
        <v/>
      </c>
      <c r="AG135" s="145" t="str">
        <f>IF(A135="","",posicao_contratual!Q135)</f>
        <v/>
      </c>
      <c r="AH135" s="145" t="str">
        <f>IF(A135="","",posicao_contratual!U135)</f>
        <v/>
      </c>
      <c r="AI135" s="145" t="str">
        <f>IF(A135="","",posicao_contratual!G135)</f>
        <v/>
      </c>
      <c r="AJ135" s="145" t="str">
        <f>IF(A135="","",posicao_contratual!K135)</f>
        <v/>
      </c>
      <c r="AK135" s="145" t="str">
        <f>IF(A135="","",posicao_contratual!O135)</f>
        <v/>
      </c>
      <c r="AL135" s="145" t="str">
        <f>IF(A135="","",posicao_contratual!S135)</f>
        <v/>
      </c>
      <c r="AM135" s="145" t="str">
        <f>IF(A135="","",posicao_contratual!W135)</f>
        <v/>
      </c>
      <c r="AN135" s="146" t="str">
        <f>IF(A135="","",posicao_contratual!X135)</f>
        <v/>
      </c>
      <c r="AO135" t="str">
        <f>IF($A135="","",ROUND(SUMIFS(itens_Consumidos!$E$2:$E$200,itens_Consumidos!$A$2:$A$200,$A135),2))</f>
        <v/>
      </c>
      <c r="AP135" t="str">
        <f t="shared" si="24"/>
        <v/>
      </c>
      <c r="AQ135" t="str">
        <f>IF(OR($A135="",AB135="",MEMORIA_RESULTADOS!$I$258=""),"",ROUND(AB135*$C135*(MEMORIA_RESULTADOS!$I$258-1),2))</f>
        <v/>
      </c>
      <c r="AR135" t="str">
        <f>IF(OR($A135="",AP135="",MEMORIA_RESULTADOS!$I$258=""),"",ROUND(AP135*$C135*(parametros!$F$2-MEMORIA_RESULTADOS!$I$258),2))</f>
        <v/>
      </c>
      <c r="AS135" t="str">
        <f>IF($A135="","",ROUND(SUMIFS(itens_Consumidos!$G$2:$G$200,itens_Consumidos!$A$2:$A$200,$A135),2))</f>
        <v/>
      </c>
      <c r="AT135" t="str">
        <f t="shared" si="25"/>
        <v/>
      </c>
      <c r="AU135" t="str">
        <f>IF(OR($A135="",M135="",MEMORIA_RESULTADOS!$I$259=""),"",ROUND(M135*$C135*(MEMORIA_RESULTADOS!$I$259-1),2))</f>
        <v/>
      </c>
      <c r="AV135" t="str">
        <f>IF(OR($A135="",AT135="",MEMORIA_RESULTADOS!$I$259=""),"",ROUND(AT135*$C135*(parametros!$F$3-MEMORIA_RESULTADOS!$I$259),2))</f>
        <v/>
      </c>
      <c r="AW135" t="str">
        <f>IF($A135="","",ROUND(SUMIFS(itens_Consumidos!$I$2:$I$200,itens_Consumidos!$A$2:$A$200,$A135),2))</f>
        <v/>
      </c>
      <c r="AX135" t="str">
        <f t="shared" si="26"/>
        <v/>
      </c>
      <c r="AY135" t="str">
        <f>IF(OR($A135="",O135="",MEMORIA_RESULTADOS!$I$260=""),"",ROUND(O135*$C135*(MEMORIA_RESULTADOS!$I$260-1),2))</f>
        <v/>
      </c>
      <c r="AZ135" t="str">
        <f>IF(OR($A135="",AX135="",MEMORIA_RESULTADOS!$I$260=""),"",ROUND(AX135*$C135*(parametros!$F$4-MEMORIA_RESULTADOS!$I$260),2))</f>
        <v/>
      </c>
      <c r="BA135" t="str">
        <f>IF($A135="","",ROUND(SUMIFS(itens_Consumidos!$K$2:$K$200,itens_Consumidos!$A$2:$A$200,$A135),2))</f>
        <v/>
      </c>
      <c r="BB135" t="str">
        <f t="shared" si="27"/>
        <v/>
      </c>
      <c r="BC135" t="str">
        <f>IF(OR($A135="",Q135="",MEMORIA_RESULTADOS!$I$261=""),"",ROUND(Q135*$C135*(MEMORIA_RESULTADOS!$I$261-1),2))</f>
        <v/>
      </c>
      <c r="BD135" t="str">
        <f>IF(OR($A135="",BB135="",MEMORIA_RESULTADOS!$I$261=""),"",ROUND(BB135*$C135*(parametros!$F$5-MEMORIA_RESULTADOS!$I$261),2))</f>
        <v/>
      </c>
      <c r="BE135" t="str">
        <f>IF($A135="","",ROUND(SUMIFS(itens_Consumidos!$M$2:$M$200,itens_Consumidos!$A$2:$A$200,$A135),2))</f>
        <v/>
      </c>
      <c r="BF135" t="str">
        <f t="shared" si="28"/>
        <v/>
      </c>
      <c r="BG135" t="str">
        <f>IF(OR($A135="",S135="",MEMORIA_RESULTADOS!$I$262=""),"",ROUND(S135*$C135*(MEMORIA_RESULTADOS!$I$262-1),2))</f>
        <v/>
      </c>
      <c r="BH135" t="str">
        <f>IF(OR($A135="",BF135="",MEMORIA_RESULTADOS!$I$262=""),"",ROUND(BF135*$C135*(parametros!$F$6-MEMORIA_RESULTADOS!$I$262),2))</f>
        <v/>
      </c>
      <c r="BI135" t="str">
        <f>IF($A135="","",IF(posicao_contratual!$AL135="","",posicao_contratual!$AL135))</f>
        <v/>
      </c>
    </row>
    <row r="136" spans="1:61" x14ac:dyDescent="0.35">
      <c r="A136" s="81"/>
      <c r="B136" s="82" t="str">
        <f t="shared" si="29"/>
        <v/>
      </c>
      <c r="C136" s="83"/>
      <c r="D136" s="79" t="str">
        <f>IF(AND(A136="",A135&lt;&gt;"",COUNTIF(A137:$A$200,"&lt;&gt;")=0),ROUND(SUMIF($A$2:A135,"&lt;&gt;",$D$2:D135),2),IF(OR(A136="",B136="",C136=""),"",ROUND(B136*C136,2)))</f>
        <v/>
      </c>
      <c r="E136" s="84"/>
      <c r="F136" s="79" t="str">
        <f>IF(AND(A136="",A135&lt;&gt;"",COUNTIF(A137:$A$200,"&lt;&gt;")=0),IF(COUNT(F$2:F135)=0,"",ROUND(SUMIF($A$2:A135,"&lt;&gt;",F$2:F135),2)),IF(OR(A136="",AND(ISNUMBER(posicao_contratual!$AL136),posicao_contratual!$AL136&gt;1),posicao_contratual!K136="",NOT(ISNUMBER(historico_VU!D136))),"",ROUND(posicao_contratual!K136*historico_VU!D136,2)))</f>
        <v/>
      </c>
      <c r="G136" s="84"/>
      <c r="H136" s="79" t="str">
        <f>IF(AND(A136="",A135&lt;&gt;"",COUNTIF(A137:$A$200,"&lt;&gt;")=0),IF(COUNT(H$2:H135)=0,"",ROUND(SUMIF($A$2:A135,"&lt;&gt;",H$2:H135),2)),IF(OR(A136="",AND(ISNUMBER(posicao_contratual!$AL136),posicao_contratual!$AL136&gt;2),posicao_contratual!O136="",NOT(ISNUMBER(historico_VU!E136))),"",ROUND(posicao_contratual!O136*historico_VU!E136,2)))</f>
        <v/>
      </c>
      <c r="I136" s="84"/>
      <c r="J136" s="79" t="str">
        <f>IF(AND(A136="",A135&lt;&gt;"",COUNTIF(A137:$A$200,"&lt;&gt;")=0),IF(COUNT(J$2:J135)=0,"",ROUND(SUMIF($A$2:A135,"&lt;&gt;",J$2:J135),2)),IF(OR(A136="",AND(ISNUMBER(posicao_contratual!$AL136),posicao_contratual!$AL136&gt;3),posicao_contratual!S136="",NOT(ISNUMBER(historico_VU!F136))),"",ROUND(posicao_contratual!S136*historico_VU!F136,2)))</f>
        <v/>
      </c>
      <c r="K136" s="84"/>
      <c r="L136" s="79" t="str">
        <f>IF(AND(A136="",A135&lt;&gt;"",COUNTIF(A137:$A$200,"&lt;&gt;")=0),IF(COUNT(L$2:L135)=0,"",ROUND(SUMIF($A$2:A135,"&lt;&gt;",L$2:L135),2)),IF(OR(A136="",AND(ISNUMBER(posicao_contratual!$AL136),posicao_contratual!$AL136&gt;4),posicao_contratual!W136="",NOT(ISNUMBER(historico_VU!G136))),"",ROUND(posicao_contratual!W136*historico_VU!G136,2)))</f>
        <v/>
      </c>
      <c r="M136" s="85" t="str">
        <f>IF(OR(posicao_contratual!J136="",posicao_contratual!N136=""),"",ROUND(MAX(posicao_contratual!J136+posicao_contratual!H136-posicao_contratual!N136,0),2))</f>
        <v/>
      </c>
      <c r="N136" s="79" t="str">
        <f>IF(AND(A136="",A135&lt;&gt;"",COUNTIF(A137:$A$200,"&lt;&gt;")=0),IF(COUNT(N$2:N135)=0,"",ROUND(SUMIF($A$2:A135,"&lt;&gt;",N$2:N135),2)),IF(OR(M136="",NOT(ISNUMBER(historico_VU!D136))),"",ROUND(M136*historico_VU!D136,2)))</f>
        <v/>
      </c>
      <c r="O136" s="85" t="str">
        <f>IF(OR(posicao_contratual!N136="",posicao_contratual!R136=""),"",ROUND(MAX(posicao_contratual!N136+posicao_contratual!L136-posicao_contratual!R136,0),2))</f>
        <v/>
      </c>
      <c r="P136" s="79" t="str">
        <f>IF(AND(A136="",A135&lt;&gt;"",COUNTIF(A137:$A$200,"&lt;&gt;")=0),IF(COUNT(P$2:P135)=0,"",ROUND(SUMIF($A$2:A135,"&lt;&gt;",P$2:P135),2)),IF(OR(O136="",NOT(ISNUMBER(historico_VU!E136))),"",ROUND(O136*historico_VU!E136,2)))</f>
        <v/>
      </c>
      <c r="Q136" s="85" t="str">
        <f>IF(OR(posicao_contratual!R136="",posicao_contratual!V136=""),"",ROUND(MAX(posicao_contratual!R136+posicao_contratual!P136-posicao_contratual!V136,0),2))</f>
        <v/>
      </c>
      <c r="R136" s="79" t="str">
        <f>IF(AND(A136="",A135&lt;&gt;"",COUNTIF(A137:$A$200,"&lt;&gt;")=0),IF(COUNT(R$2:R135)=0,"",ROUND(SUMIF($A$2:A135,"&lt;&gt;",R$2:R135),2)),IF(OR(Q136="",NOT(ISNUMBER(historico_VU!F136))),"",ROUND(Q136*historico_VU!F136,2)))</f>
        <v/>
      </c>
      <c r="S136" s="38"/>
      <c r="T136" s="39" t="str">
        <f>IF(AND(A136="",A135&lt;&gt;"",COUNTIF(A137:$A$200,"&lt;&gt;")=0),IF(COUNT(T$2:T135)=0,"",ROUND(SUMIF($A$2:A135,"&lt;&gt;",T$2:T135),2)),IF(OR(S136="",NOT(ISNUMBER(historico_VU!G136))),"",ROUND(S136*historico_VU!G136,2)))</f>
        <v/>
      </c>
      <c r="U136" s="86" t="str">
        <f>IF(AND(A136="",A135&lt;&gt;"",COUNTIF(A137:$A$200,"&lt;&gt;")=0),"TOTAL",IF(A136="","",posicao_contratual!X136))</f>
        <v/>
      </c>
      <c r="V136" s="86" t="str">
        <f>IF(A136="","",posicao_contratual!X136)</f>
        <v/>
      </c>
      <c r="W136" s="13"/>
      <c r="X136" s="13"/>
      <c r="Y136" s="13"/>
      <c r="Z136" s="13"/>
      <c r="AA136" s="13"/>
      <c r="AB136" s="85" t="str">
        <f>IF(OR(A136="",posicao_contratual!E136="",posicao_contratual!J136=""),"",ROUND(MAX(posicao_contratual!E136-posicao_contratual!J136,0),2))</f>
        <v/>
      </c>
      <c r="AC136" s="79" t="str">
        <f>IF(AND(A136="",A135&lt;&gt;"",COUNTIF(A137:$A$200,"&lt;&gt;")=0),IF(COUNT(AC$2:AC135)=0,"",ROUND(SUMIF($A$2:A135,"&lt;&gt;",AC$2:AC135),2)),IF(OR(AB136="",NOT(ISNUMBER(historico_VU!C136))),"",ROUND(AB136*historico_VU!C136,2)))</f>
        <v/>
      </c>
      <c r="AD136" s="145" t="str">
        <f>IF(A136="","",posicao_contratual!E136)</f>
        <v/>
      </c>
      <c r="AE136" s="145" t="str">
        <f>IF(A136="","",posicao_contratual!I136)</f>
        <v/>
      </c>
      <c r="AF136" s="145" t="str">
        <f>IF(A136="","",posicao_contratual!M136)</f>
        <v/>
      </c>
      <c r="AG136" s="145" t="str">
        <f>IF(A136="","",posicao_contratual!Q136)</f>
        <v/>
      </c>
      <c r="AH136" s="145" t="str">
        <f>IF(A136="","",posicao_contratual!U136)</f>
        <v/>
      </c>
      <c r="AI136" s="145" t="str">
        <f>IF(A136="","",posicao_contratual!G136)</f>
        <v/>
      </c>
      <c r="AJ136" s="145" t="str">
        <f>IF(A136="","",posicao_contratual!K136)</f>
        <v/>
      </c>
      <c r="AK136" s="145" t="str">
        <f>IF(A136="","",posicao_contratual!O136)</f>
        <v/>
      </c>
      <c r="AL136" s="145" t="str">
        <f>IF(A136="","",posicao_contratual!S136)</f>
        <v/>
      </c>
      <c r="AM136" s="145" t="str">
        <f>IF(A136="","",posicao_contratual!W136)</f>
        <v/>
      </c>
      <c r="AN136" s="146" t="str">
        <f>IF(A136="","",posicao_contratual!X136)</f>
        <v/>
      </c>
      <c r="AO136" t="str">
        <f>IF($A136="","",ROUND(SUMIFS(itens_Consumidos!$E$2:$E$200,itens_Consumidos!$A$2:$A$200,$A136),2))</f>
        <v/>
      </c>
      <c r="AP136" t="str">
        <f t="shared" si="24"/>
        <v/>
      </c>
      <c r="AQ136" t="str">
        <f>IF(OR($A136="",AB136="",MEMORIA_RESULTADOS!$I$258=""),"",ROUND(AB136*$C136*(MEMORIA_RESULTADOS!$I$258-1),2))</f>
        <v/>
      </c>
      <c r="AR136" t="str">
        <f>IF(OR($A136="",AP136="",MEMORIA_RESULTADOS!$I$258=""),"",ROUND(AP136*$C136*(parametros!$F$2-MEMORIA_RESULTADOS!$I$258),2))</f>
        <v/>
      </c>
      <c r="AS136" t="str">
        <f>IF($A136="","",ROUND(SUMIFS(itens_Consumidos!$G$2:$G$200,itens_Consumidos!$A$2:$A$200,$A136),2))</f>
        <v/>
      </c>
      <c r="AT136" t="str">
        <f t="shared" si="25"/>
        <v/>
      </c>
      <c r="AU136" t="str">
        <f>IF(OR($A136="",M136="",MEMORIA_RESULTADOS!$I$259=""),"",ROUND(M136*$C136*(MEMORIA_RESULTADOS!$I$259-1),2))</f>
        <v/>
      </c>
      <c r="AV136" t="str">
        <f>IF(OR($A136="",AT136="",MEMORIA_RESULTADOS!$I$259=""),"",ROUND(AT136*$C136*(parametros!$F$3-MEMORIA_RESULTADOS!$I$259),2))</f>
        <v/>
      </c>
      <c r="AW136" t="str">
        <f>IF($A136="","",ROUND(SUMIFS(itens_Consumidos!$I$2:$I$200,itens_Consumidos!$A$2:$A$200,$A136),2))</f>
        <v/>
      </c>
      <c r="AX136" t="str">
        <f t="shared" si="26"/>
        <v/>
      </c>
      <c r="AY136" t="str">
        <f>IF(OR($A136="",O136="",MEMORIA_RESULTADOS!$I$260=""),"",ROUND(O136*$C136*(MEMORIA_RESULTADOS!$I$260-1),2))</f>
        <v/>
      </c>
      <c r="AZ136" t="str">
        <f>IF(OR($A136="",AX136="",MEMORIA_RESULTADOS!$I$260=""),"",ROUND(AX136*$C136*(parametros!$F$4-MEMORIA_RESULTADOS!$I$260),2))</f>
        <v/>
      </c>
      <c r="BA136" t="str">
        <f>IF($A136="","",ROUND(SUMIFS(itens_Consumidos!$K$2:$K$200,itens_Consumidos!$A$2:$A$200,$A136),2))</f>
        <v/>
      </c>
      <c r="BB136" t="str">
        <f t="shared" si="27"/>
        <v/>
      </c>
      <c r="BC136" t="str">
        <f>IF(OR($A136="",Q136="",MEMORIA_RESULTADOS!$I$261=""),"",ROUND(Q136*$C136*(MEMORIA_RESULTADOS!$I$261-1),2))</f>
        <v/>
      </c>
      <c r="BD136" t="str">
        <f>IF(OR($A136="",BB136="",MEMORIA_RESULTADOS!$I$261=""),"",ROUND(BB136*$C136*(parametros!$F$5-MEMORIA_RESULTADOS!$I$261),2))</f>
        <v/>
      </c>
      <c r="BE136" t="str">
        <f>IF($A136="","",ROUND(SUMIFS(itens_Consumidos!$M$2:$M$200,itens_Consumidos!$A$2:$A$200,$A136),2))</f>
        <v/>
      </c>
      <c r="BF136" t="str">
        <f t="shared" si="28"/>
        <v/>
      </c>
      <c r="BG136" t="str">
        <f>IF(OR($A136="",S136="",MEMORIA_RESULTADOS!$I$262=""),"",ROUND(S136*$C136*(MEMORIA_RESULTADOS!$I$262-1),2))</f>
        <v/>
      </c>
      <c r="BH136" t="str">
        <f>IF(OR($A136="",BF136="",MEMORIA_RESULTADOS!$I$262=""),"",ROUND(BF136*$C136*(parametros!$F$6-MEMORIA_RESULTADOS!$I$262),2))</f>
        <v/>
      </c>
      <c r="BI136" t="str">
        <f>IF($A136="","",IF(posicao_contratual!$AL136="","",posicao_contratual!$AL136))</f>
        <v/>
      </c>
    </row>
    <row r="137" spans="1:61" x14ac:dyDescent="0.35">
      <c r="A137" s="81"/>
      <c r="B137" s="82" t="str">
        <f t="shared" si="29"/>
        <v/>
      </c>
      <c r="C137" s="83"/>
      <c r="D137" s="79" t="str">
        <f>IF(AND(A137="",A136&lt;&gt;"",COUNTIF(A138:$A$200,"&lt;&gt;")=0),ROUND(SUMIF($A$2:A136,"&lt;&gt;",$D$2:D136),2),IF(OR(A137="",B137="",C137=""),"",ROUND(B137*C137,2)))</f>
        <v/>
      </c>
      <c r="E137" s="84"/>
      <c r="F137" s="79" t="str">
        <f>IF(AND(A137="",A136&lt;&gt;"",COUNTIF(A138:$A$200,"&lt;&gt;")=0),IF(COUNT(F$2:F136)=0,"",ROUND(SUMIF($A$2:A136,"&lt;&gt;",F$2:F136),2)),IF(OR(A137="",AND(ISNUMBER(posicao_contratual!$AL137),posicao_contratual!$AL137&gt;1),posicao_contratual!K137="",NOT(ISNUMBER(historico_VU!D137))),"",ROUND(posicao_contratual!K137*historico_VU!D137,2)))</f>
        <v/>
      </c>
      <c r="G137" s="84"/>
      <c r="H137" s="79" t="str">
        <f>IF(AND(A137="",A136&lt;&gt;"",COUNTIF(A138:$A$200,"&lt;&gt;")=0),IF(COUNT(H$2:H136)=0,"",ROUND(SUMIF($A$2:A136,"&lt;&gt;",H$2:H136),2)),IF(OR(A137="",AND(ISNUMBER(posicao_contratual!$AL137),posicao_contratual!$AL137&gt;2),posicao_contratual!O137="",NOT(ISNUMBER(historico_VU!E137))),"",ROUND(posicao_contratual!O137*historico_VU!E137,2)))</f>
        <v/>
      </c>
      <c r="I137" s="84"/>
      <c r="J137" s="79" t="str">
        <f>IF(AND(A137="",A136&lt;&gt;"",COUNTIF(A138:$A$200,"&lt;&gt;")=0),IF(COUNT(J$2:J136)=0,"",ROUND(SUMIF($A$2:A136,"&lt;&gt;",J$2:J136),2)),IF(OR(A137="",AND(ISNUMBER(posicao_contratual!$AL137),posicao_contratual!$AL137&gt;3),posicao_contratual!S137="",NOT(ISNUMBER(historico_VU!F137))),"",ROUND(posicao_contratual!S137*historico_VU!F137,2)))</f>
        <v/>
      </c>
      <c r="K137" s="84"/>
      <c r="L137" s="79" t="str">
        <f>IF(AND(A137="",A136&lt;&gt;"",COUNTIF(A138:$A$200,"&lt;&gt;")=0),IF(COUNT(L$2:L136)=0,"",ROUND(SUMIF($A$2:A136,"&lt;&gt;",L$2:L136),2)),IF(OR(A137="",AND(ISNUMBER(posicao_contratual!$AL137),posicao_contratual!$AL137&gt;4),posicao_contratual!W137="",NOT(ISNUMBER(historico_VU!G137))),"",ROUND(posicao_contratual!W137*historico_VU!G137,2)))</f>
        <v/>
      </c>
      <c r="M137" s="85" t="str">
        <f>IF(OR(posicao_contratual!J137="",posicao_contratual!N137=""),"",ROUND(MAX(posicao_contratual!J137+posicao_contratual!H137-posicao_contratual!N137,0),2))</f>
        <v/>
      </c>
      <c r="N137" s="79" t="str">
        <f>IF(AND(A137="",A136&lt;&gt;"",COUNTIF(A138:$A$200,"&lt;&gt;")=0),IF(COUNT(N$2:N136)=0,"",ROUND(SUMIF($A$2:A136,"&lt;&gt;",N$2:N136),2)),IF(OR(M137="",NOT(ISNUMBER(historico_VU!D137))),"",ROUND(M137*historico_VU!D137,2)))</f>
        <v/>
      </c>
      <c r="O137" s="85" t="str">
        <f>IF(OR(posicao_contratual!N137="",posicao_contratual!R137=""),"",ROUND(MAX(posicao_contratual!N137+posicao_contratual!L137-posicao_contratual!R137,0),2))</f>
        <v/>
      </c>
      <c r="P137" s="79" t="str">
        <f>IF(AND(A137="",A136&lt;&gt;"",COUNTIF(A138:$A$200,"&lt;&gt;")=0),IF(COUNT(P$2:P136)=0,"",ROUND(SUMIF($A$2:A136,"&lt;&gt;",P$2:P136),2)),IF(OR(O137="",NOT(ISNUMBER(historico_VU!E137))),"",ROUND(O137*historico_VU!E137,2)))</f>
        <v/>
      </c>
      <c r="Q137" s="85" t="str">
        <f>IF(OR(posicao_contratual!R137="",posicao_contratual!V137=""),"",ROUND(MAX(posicao_contratual!R137+posicao_contratual!P137-posicao_contratual!V137,0),2))</f>
        <v/>
      </c>
      <c r="R137" s="79" t="str">
        <f>IF(AND(A137="",A136&lt;&gt;"",COUNTIF(A138:$A$200,"&lt;&gt;")=0),IF(COUNT(R$2:R136)=0,"",ROUND(SUMIF($A$2:A136,"&lt;&gt;",R$2:R136),2)),IF(OR(Q137="",NOT(ISNUMBER(historico_VU!F137))),"",ROUND(Q137*historico_VU!F137,2)))</f>
        <v/>
      </c>
      <c r="S137" s="38"/>
      <c r="T137" s="39" t="str">
        <f>IF(AND(A137="",A136&lt;&gt;"",COUNTIF(A138:$A$200,"&lt;&gt;")=0),IF(COUNT(T$2:T136)=0,"",ROUND(SUMIF($A$2:A136,"&lt;&gt;",T$2:T136),2)),IF(OR(S137="",NOT(ISNUMBER(historico_VU!G137))),"",ROUND(S137*historico_VU!G137,2)))</f>
        <v/>
      </c>
      <c r="U137" s="86" t="str">
        <f>IF(AND(A137="",A136&lt;&gt;"",COUNTIF(A138:$A$200,"&lt;&gt;")=0),"TOTAL",IF(A137="","",posicao_contratual!X137))</f>
        <v/>
      </c>
      <c r="V137" s="86" t="str">
        <f>IF(A137="","",posicao_contratual!X137)</f>
        <v/>
      </c>
      <c r="W137" s="13"/>
      <c r="X137" s="13"/>
      <c r="Y137" s="13"/>
      <c r="Z137" s="13"/>
      <c r="AA137" s="13"/>
      <c r="AB137" s="85" t="str">
        <f>IF(OR(A137="",posicao_contratual!E137="",posicao_contratual!J137=""),"",ROUND(MAX(posicao_contratual!E137-posicao_contratual!J137,0),2))</f>
        <v/>
      </c>
      <c r="AC137" s="79" t="str">
        <f>IF(AND(A137="",A136&lt;&gt;"",COUNTIF(A138:$A$200,"&lt;&gt;")=0),IF(COUNT(AC$2:AC136)=0,"",ROUND(SUMIF($A$2:A136,"&lt;&gt;",AC$2:AC136),2)),IF(OR(AB137="",NOT(ISNUMBER(historico_VU!C137))),"",ROUND(AB137*historico_VU!C137,2)))</f>
        <v/>
      </c>
      <c r="AD137" s="145" t="str">
        <f>IF(A137="","",posicao_contratual!E137)</f>
        <v/>
      </c>
      <c r="AE137" s="145" t="str">
        <f>IF(A137="","",posicao_contratual!I137)</f>
        <v/>
      </c>
      <c r="AF137" s="145" t="str">
        <f>IF(A137="","",posicao_contratual!M137)</f>
        <v/>
      </c>
      <c r="AG137" s="145" t="str">
        <f>IF(A137="","",posicao_contratual!Q137)</f>
        <v/>
      </c>
      <c r="AH137" s="145" t="str">
        <f>IF(A137="","",posicao_contratual!U137)</f>
        <v/>
      </c>
      <c r="AI137" s="145" t="str">
        <f>IF(A137="","",posicao_contratual!G137)</f>
        <v/>
      </c>
      <c r="AJ137" s="145" t="str">
        <f>IF(A137="","",posicao_contratual!K137)</f>
        <v/>
      </c>
      <c r="AK137" s="145" t="str">
        <f>IF(A137="","",posicao_contratual!O137)</f>
        <v/>
      </c>
      <c r="AL137" s="145" t="str">
        <f>IF(A137="","",posicao_contratual!S137)</f>
        <v/>
      </c>
      <c r="AM137" s="145" t="str">
        <f>IF(A137="","",posicao_contratual!W137)</f>
        <v/>
      </c>
      <c r="AN137" s="146" t="str">
        <f>IF(A137="","",posicao_contratual!X137)</f>
        <v/>
      </c>
      <c r="AO137" t="str">
        <f>IF($A137="","",ROUND(SUMIFS(itens_Consumidos!$E$2:$E$200,itens_Consumidos!$A$2:$A$200,$A137),2))</f>
        <v/>
      </c>
      <c r="AP137" t="str">
        <f t="shared" si="24"/>
        <v/>
      </c>
      <c r="AQ137" t="str">
        <f>IF(OR($A137="",AB137="",MEMORIA_RESULTADOS!$I$258=""),"",ROUND(AB137*$C137*(MEMORIA_RESULTADOS!$I$258-1),2))</f>
        <v/>
      </c>
      <c r="AR137" t="str">
        <f>IF(OR($A137="",AP137="",MEMORIA_RESULTADOS!$I$258=""),"",ROUND(AP137*$C137*(parametros!$F$2-MEMORIA_RESULTADOS!$I$258),2))</f>
        <v/>
      </c>
      <c r="AS137" t="str">
        <f>IF($A137="","",ROUND(SUMIFS(itens_Consumidos!$G$2:$G$200,itens_Consumidos!$A$2:$A$200,$A137),2))</f>
        <v/>
      </c>
      <c r="AT137" t="str">
        <f t="shared" si="25"/>
        <v/>
      </c>
      <c r="AU137" t="str">
        <f>IF(OR($A137="",M137="",MEMORIA_RESULTADOS!$I$259=""),"",ROUND(M137*$C137*(MEMORIA_RESULTADOS!$I$259-1),2))</f>
        <v/>
      </c>
      <c r="AV137" t="str">
        <f>IF(OR($A137="",AT137="",MEMORIA_RESULTADOS!$I$259=""),"",ROUND(AT137*$C137*(parametros!$F$3-MEMORIA_RESULTADOS!$I$259),2))</f>
        <v/>
      </c>
      <c r="AW137" t="str">
        <f>IF($A137="","",ROUND(SUMIFS(itens_Consumidos!$I$2:$I$200,itens_Consumidos!$A$2:$A$200,$A137),2))</f>
        <v/>
      </c>
      <c r="AX137" t="str">
        <f t="shared" si="26"/>
        <v/>
      </c>
      <c r="AY137" t="str">
        <f>IF(OR($A137="",O137="",MEMORIA_RESULTADOS!$I$260=""),"",ROUND(O137*$C137*(MEMORIA_RESULTADOS!$I$260-1),2))</f>
        <v/>
      </c>
      <c r="AZ137" t="str">
        <f>IF(OR($A137="",AX137="",MEMORIA_RESULTADOS!$I$260=""),"",ROUND(AX137*$C137*(parametros!$F$4-MEMORIA_RESULTADOS!$I$260),2))</f>
        <v/>
      </c>
      <c r="BA137" t="str">
        <f>IF($A137="","",ROUND(SUMIFS(itens_Consumidos!$K$2:$K$200,itens_Consumidos!$A$2:$A$200,$A137),2))</f>
        <v/>
      </c>
      <c r="BB137" t="str">
        <f t="shared" si="27"/>
        <v/>
      </c>
      <c r="BC137" t="str">
        <f>IF(OR($A137="",Q137="",MEMORIA_RESULTADOS!$I$261=""),"",ROUND(Q137*$C137*(MEMORIA_RESULTADOS!$I$261-1),2))</f>
        <v/>
      </c>
      <c r="BD137" t="str">
        <f>IF(OR($A137="",BB137="",MEMORIA_RESULTADOS!$I$261=""),"",ROUND(BB137*$C137*(parametros!$F$5-MEMORIA_RESULTADOS!$I$261),2))</f>
        <v/>
      </c>
      <c r="BE137" t="str">
        <f>IF($A137="","",ROUND(SUMIFS(itens_Consumidos!$M$2:$M$200,itens_Consumidos!$A$2:$A$200,$A137),2))</f>
        <v/>
      </c>
      <c r="BF137" t="str">
        <f t="shared" si="28"/>
        <v/>
      </c>
      <c r="BG137" t="str">
        <f>IF(OR($A137="",S137="",MEMORIA_RESULTADOS!$I$262=""),"",ROUND(S137*$C137*(MEMORIA_RESULTADOS!$I$262-1),2))</f>
        <v/>
      </c>
      <c r="BH137" t="str">
        <f>IF(OR($A137="",BF137="",MEMORIA_RESULTADOS!$I$262=""),"",ROUND(BF137*$C137*(parametros!$F$6-MEMORIA_RESULTADOS!$I$262),2))</f>
        <v/>
      </c>
      <c r="BI137" t="str">
        <f>IF($A137="","",IF(posicao_contratual!$AL137="","",posicao_contratual!$AL137))</f>
        <v/>
      </c>
    </row>
    <row r="138" spans="1:61" x14ac:dyDescent="0.35">
      <c r="A138" s="81"/>
      <c r="B138" s="82" t="str">
        <f t="shared" si="29"/>
        <v/>
      </c>
      <c r="C138" s="83"/>
      <c r="D138" s="79" t="str">
        <f>IF(AND(A138="",A137&lt;&gt;"",COUNTIF(A139:$A$200,"&lt;&gt;")=0),ROUND(SUMIF($A$2:A137,"&lt;&gt;",$D$2:D137),2),IF(OR(A138="",B138="",C138=""),"",ROUND(B138*C138,2)))</f>
        <v/>
      </c>
      <c r="E138" s="84"/>
      <c r="F138" s="79" t="str">
        <f>IF(AND(A138="",A137&lt;&gt;"",COUNTIF(A139:$A$200,"&lt;&gt;")=0),IF(COUNT(F$2:F137)=0,"",ROUND(SUMIF($A$2:A137,"&lt;&gt;",F$2:F137),2)),IF(OR(A138="",AND(ISNUMBER(posicao_contratual!$AL138),posicao_contratual!$AL138&gt;1),posicao_contratual!K138="",NOT(ISNUMBER(historico_VU!D138))),"",ROUND(posicao_contratual!K138*historico_VU!D138,2)))</f>
        <v/>
      </c>
      <c r="G138" s="84"/>
      <c r="H138" s="79" t="str">
        <f>IF(AND(A138="",A137&lt;&gt;"",COUNTIF(A139:$A$200,"&lt;&gt;")=0),IF(COUNT(H$2:H137)=0,"",ROUND(SUMIF($A$2:A137,"&lt;&gt;",H$2:H137),2)),IF(OR(A138="",AND(ISNUMBER(posicao_contratual!$AL138),posicao_contratual!$AL138&gt;2),posicao_contratual!O138="",NOT(ISNUMBER(historico_VU!E138))),"",ROUND(posicao_contratual!O138*historico_VU!E138,2)))</f>
        <v/>
      </c>
      <c r="I138" s="84"/>
      <c r="J138" s="79" t="str">
        <f>IF(AND(A138="",A137&lt;&gt;"",COUNTIF(A139:$A$200,"&lt;&gt;")=0),IF(COUNT(J$2:J137)=0,"",ROUND(SUMIF($A$2:A137,"&lt;&gt;",J$2:J137),2)),IF(OR(A138="",AND(ISNUMBER(posicao_contratual!$AL138),posicao_contratual!$AL138&gt;3),posicao_contratual!S138="",NOT(ISNUMBER(historico_VU!F138))),"",ROUND(posicao_contratual!S138*historico_VU!F138,2)))</f>
        <v/>
      </c>
      <c r="K138" s="84"/>
      <c r="L138" s="79" t="str">
        <f>IF(AND(A138="",A137&lt;&gt;"",COUNTIF(A139:$A$200,"&lt;&gt;")=0),IF(COUNT(L$2:L137)=0,"",ROUND(SUMIF($A$2:A137,"&lt;&gt;",L$2:L137),2)),IF(OR(A138="",AND(ISNUMBER(posicao_contratual!$AL138),posicao_contratual!$AL138&gt;4),posicao_contratual!W138="",NOT(ISNUMBER(historico_VU!G138))),"",ROUND(posicao_contratual!W138*historico_VU!G138,2)))</f>
        <v/>
      </c>
      <c r="M138" s="85" t="str">
        <f>IF(OR(posicao_contratual!J138="",posicao_contratual!N138=""),"",ROUND(MAX(posicao_contratual!J138+posicao_contratual!H138-posicao_contratual!N138,0),2))</f>
        <v/>
      </c>
      <c r="N138" s="79" t="str">
        <f>IF(AND(A138="",A137&lt;&gt;"",COUNTIF(A139:$A$200,"&lt;&gt;")=0),IF(COUNT(N$2:N137)=0,"",ROUND(SUMIF($A$2:A137,"&lt;&gt;",N$2:N137),2)),IF(OR(M138="",NOT(ISNUMBER(historico_VU!D138))),"",ROUND(M138*historico_VU!D138,2)))</f>
        <v/>
      </c>
      <c r="O138" s="85" t="str">
        <f>IF(OR(posicao_contratual!N138="",posicao_contratual!R138=""),"",ROUND(MAX(posicao_contratual!N138+posicao_contratual!L138-posicao_contratual!R138,0),2))</f>
        <v/>
      </c>
      <c r="P138" s="79" t="str">
        <f>IF(AND(A138="",A137&lt;&gt;"",COUNTIF(A139:$A$200,"&lt;&gt;")=0),IF(COUNT(P$2:P137)=0,"",ROUND(SUMIF($A$2:A137,"&lt;&gt;",P$2:P137),2)),IF(OR(O138="",NOT(ISNUMBER(historico_VU!E138))),"",ROUND(O138*historico_VU!E138,2)))</f>
        <v/>
      </c>
      <c r="Q138" s="85" t="str">
        <f>IF(OR(posicao_contratual!R138="",posicao_contratual!V138=""),"",ROUND(MAX(posicao_contratual!R138+posicao_contratual!P138-posicao_contratual!V138,0),2))</f>
        <v/>
      </c>
      <c r="R138" s="79" t="str">
        <f>IF(AND(A138="",A137&lt;&gt;"",COUNTIF(A139:$A$200,"&lt;&gt;")=0),IF(COUNT(R$2:R137)=0,"",ROUND(SUMIF($A$2:A137,"&lt;&gt;",R$2:R137),2)),IF(OR(Q138="",NOT(ISNUMBER(historico_VU!F138))),"",ROUND(Q138*historico_VU!F138,2)))</f>
        <v/>
      </c>
      <c r="S138" s="38"/>
      <c r="T138" s="39" t="str">
        <f>IF(AND(A138="",A137&lt;&gt;"",COUNTIF(A139:$A$200,"&lt;&gt;")=0),IF(COUNT(T$2:T137)=0,"",ROUND(SUMIF($A$2:A137,"&lt;&gt;",T$2:T137),2)),IF(OR(S138="",NOT(ISNUMBER(historico_VU!G138))),"",ROUND(S138*historico_VU!G138,2)))</f>
        <v/>
      </c>
      <c r="U138" s="86" t="str">
        <f>IF(AND(A138="",A137&lt;&gt;"",COUNTIF(A139:$A$200,"&lt;&gt;")=0),"TOTAL",IF(A138="","",posicao_contratual!X138))</f>
        <v/>
      </c>
      <c r="V138" s="86" t="str">
        <f>IF(A138="","",posicao_contratual!X138)</f>
        <v/>
      </c>
      <c r="W138" s="13"/>
      <c r="X138" s="13"/>
      <c r="Y138" s="13"/>
      <c r="Z138" s="13"/>
      <c r="AA138" s="13"/>
      <c r="AB138" s="85" t="str">
        <f>IF(OR(A138="",posicao_contratual!E138="",posicao_contratual!J138=""),"",ROUND(MAX(posicao_contratual!E138-posicao_contratual!J138,0),2))</f>
        <v/>
      </c>
      <c r="AC138" s="79" t="str">
        <f>IF(AND(A138="",A137&lt;&gt;"",COUNTIF(A139:$A$200,"&lt;&gt;")=0),IF(COUNT(AC$2:AC137)=0,"",ROUND(SUMIF($A$2:A137,"&lt;&gt;",AC$2:AC137),2)),IF(OR(AB138="",NOT(ISNUMBER(historico_VU!C138))),"",ROUND(AB138*historico_VU!C138,2)))</f>
        <v/>
      </c>
      <c r="AD138" s="145" t="str">
        <f>IF(A138="","",posicao_contratual!E138)</f>
        <v/>
      </c>
      <c r="AE138" s="145" t="str">
        <f>IF(A138="","",posicao_contratual!I138)</f>
        <v/>
      </c>
      <c r="AF138" s="145" t="str">
        <f>IF(A138="","",posicao_contratual!M138)</f>
        <v/>
      </c>
      <c r="AG138" s="145" t="str">
        <f>IF(A138="","",posicao_contratual!Q138)</f>
        <v/>
      </c>
      <c r="AH138" s="145" t="str">
        <f>IF(A138="","",posicao_contratual!U138)</f>
        <v/>
      </c>
      <c r="AI138" s="145" t="str">
        <f>IF(A138="","",posicao_contratual!G138)</f>
        <v/>
      </c>
      <c r="AJ138" s="145" t="str">
        <f>IF(A138="","",posicao_contratual!K138)</f>
        <v/>
      </c>
      <c r="AK138" s="145" t="str">
        <f>IF(A138="","",posicao_contratual!O138)</f>
        <v/>
      </c>
      <c r="AL138" s="145" t="str">
        <f>IF(A138="","",posicao_contratual!S138)</f>
        <v/>
      </c>
      <c r="AM138" s="145" t="str">
        <f>IF(A138="","",posicao_contratual!W138)</f>
        <v/>
      </c>
      <c r="AN138" s="146" t="str">
        <f>IF(A138="","",posicao_contratual!X138)</f>
        <v/>
      </c>
      <c r="AO138" t="str">
        <f>IF($A138="","",ROUND(SUMIFS(itens_Consumidos!$E$2:$E$200,itens_Consumidos!$A$2:$A$200,$A138),2))</f>
        <v/>
      </c>
      <c r="AP138" t="str">
        <f t="shared" si="24"/>
        <v/>
      </c>
      <c r="AQ138" t="str">
        <f>IF(OR($A138="",AB138="",MEMORIA_RESULTADOS!$I$258=""),"",ROUND(AB138*$C138*(MEMORIA_RESULTADOS!$I$258-1),2))</f>
        <v/>
      </c>
      <c r="AR138" t="str">
        <f>IF(OR($A138="",AP138="",MEMORIA_RESULTADOS!$I$258=""),"",ROUND(AP138*$C138*(parametros!$F$2-MEMORIA_RESULTADOS!$I$258),2))</f>
        <v/>
      </c>
      <c r="AS138" t="str">
        <f>IF($A138="","",ROUND(SUMIFS(itens_Consumidos!$G$2:$G$200,itens_Consumidos!$A$2:$A$200,$A138),2))</f>
        <v/>
      </c>
      <c r="AT138" t="str">
        <f t="shared" si="25"/>
        <v/>
      </c>
      <c r="AU138" t="str">
        <f>IF(OR($A138="",M138="",MEMORIA_RESULTADOS!$I$259=""),"",ROUND(M138*$C138*(MEMORIA_RESULTADOS!$I$259-1),2))</f>
        <v/>
      </c>
      <c r="AV138" t="str">
        <f>IF(OR($A138="",AT138="",MEMORIA_RESULTADOS!$I$259=""),"",ROUND(AT138*$C138*(parametros!$F$3-MEMORIA_RESULTADOS!$I$259),2))</f>
        <v/>
      </c>
      <c r="AW138" t="str">
        <f>IF($A138="","",ROUND(SUMIFS(itens_Consumidos!$I$2:$I$200,itens_Consumidos!$A$2:$A$200,$A138),2))</f>
        <v/>
      </c>
      <c r="AX138" t="str">
        <f t="shared" si="26"/>
        <v/>
      </c>
      <c r="AY138" t="str">
        <f>IF(OR($A138="",O138="",MEMORIA_RESULTADOS!$I$260=""),"",ROUND(O138*$C138*(MEMORIA_RESULTADOS!$I$260-1),2))</f>
        <v/>
      </c>
      <c r="AZ138" t="str">
        <f>IF(OR($A138="",AX138="",MEMORIA_RESULTADOS!$I$260=""),"",ROUND(AX138*$C138*(parametros!$F$4-MEMORIA_RESULTADOS!$I$260),2))</f>
        <v/>
      </c>
      <c r="BA138" t="str">
        <f>IF($A138="","",ROUND(SUMIFS(itens_Consumidos!$K$2:$K$200,itens_Consumidos!$A$2:$A$200,$A138),2))</f>
        <v/>
      </c>
      <c r="BB138" t="str">
        <f t="shared" si="27"/>
        <v/>
      </c>
      <c r="BC138" t="str">
        <f>IF(OR($A138="",Q138="",MEMORIA_RESULTADOS!$I$261=""),"",ROUND(Q138*$C138*(MEMORIA_RESULTADOS!$I$261-1),2))</f>
        <v/>
      </c>
      <c r="BD138" t="str">
        <f>IF(OR($A138="",BB138="",MEMORIA_RESULTADOS!$I$261=""),"",ROUND(BB138*$C138*(parametros!$F$5-MEMORIA_RESULTADOS!$I$261),2))</f>
        <v/>
      </c>
      <c r="BE138" t="str">
        <f>IF($A138="","",ROUND(SUMIFS(itens_Consumidos!$M$2:$M$200,itens_Consumidos!$A$2:$A$200,$A138),2))</f>
        <v/>
      </c>
      <c r="BF138" t="str">
        <f t="shared" si="28"/>
        <v/>
      </c>
      <c r="BG138" t="str">
        <f>IF(OR($A138="",S138="",MEMORIA_RESULTADOS!$I$262=""),"",ROUND(S138*$C138*(MEMORIA_RESULTADOS!$I$262-1),2))</f>
        <v/>
      </c>
      <c r="BH138" t="str">
        <f>IF(OR($A138="",BF138="",MEMORIA_RESULTADOS!$I$262=""),"",ROUND(BF138*$C138*(parametros!$F$6-MEMORIA_RESULTADOS!$I$262),2))</f>
        <v/>
      </c>
      <c r="BI138" t="str">
        <f>IF($A138="","",IF(posicao_contratual!$AL138="","",posicao_contratual!$AL138))</f>
        <v/>
      </c>
    </row>
    <row r="139" spans="1:61" x14ac:dyDescent="0.35">
      <c r="A139" s="81"/>
      <c r="B139" s="82" t="str">
        <f t="shared" si="29"/>
        <v/>
      </c>
      <c r="C139" s="83"/>
      <c r="D139" s="79" t="str">
        <f>IF(AND(A139="",A138&lt;&gt;"",COUNTIF(A140:$A$200,"&lt;&gt;")=0),ROUND(SUMIF($A$2:A138,"&lt;&gt;",$D$2:D138),2),IF(OR(A139="",B139="",C139=""),"",ROUND(B139*C139,2)))</f>
        <v/>
      </c>
      <c r="E139" s="84"/>
      <c r="F139" s="79" t="str">
        <f>IF(AND(A139="",A138&lt;&gt;"",COUNTIF(A140:$A$200,"&lt;&gt;")=0),IF(COUNT(F$2:F138)=0,"",ROUND(SUMIF($A$2:A138,"&lt;&gt;",F$2:F138),2)),IF(OR(A139="",AND(ISNUMBER(posicao_contratual!$AL139),posicao_contratual!$AL139&gt;1),posicao_contratual!K139="",NOT(ISNUMBER(historico_VU!D139))),"",ROUND(posicao_contratual!K139*historico_VU!D139,2)))</f>
        <v/>
      </c>
      <c r="G139" s="84"/>
      <c r="H139" s="79" t="str">
        <f>IF(AND(A139="",A138&lt;&gt;"",COUNTIF(A140:$A$200,"&lt;&gt;")=0),IF(COUNT(H$2:H138)=0,"",ROUND(SUMIF($A$2:A138,"&lt;&gt;",H$2:H138),2)),IF(OR(A139="",AND(ISNUMBER(posicao_contratual!$AL139),posicao_contratual!$AL139&gt;2),posicao_contratual!O139="",NOT(ISNUMBER(historico_VU!E139))),"",ROUND(posicao_contratual!O139*historico_VU!E139,2)))</f>
        <v/>
      </c>
      <c r="I139" s="84"/>
      <c r="J139" s="79" t="str">
        <f>IF(AND(A139="",A138&lt;&gt;"",COUNTIF(A140:$A$200,"&lt;&gt;")=0),IF(COUNT(J$2:J138)=0,"",ROUND(SUMIF($A$2:A138,"&lt;&gt;",J$2:J138),2)),IF(OR(A139="",AND(ISNUMBER(posicao_contratual!$AL139),posicao_contratual!$AL139&gt;3),posicao_contratual!S139="",NOT(ISNUMBER(historico_VU!F139))),"",ROUND(posicao_contratual!S139*historico_VU!F139,2)))</f>
        <v/>
      </c>
      <c r="K139" s="84"/>
      <c r="L139" s="79" t="str">
        <f>IF(AND(A139="",A138&lt;&gt;"",COUNTIF(A140:$A$200,"&lt;&gt;")=0),IF(COUNT(L$2:L138)=0,"",ROUND(SUMIF($A$2:A138,"&lt;&gt;",L$2:L138),2)),IF(OR(A139="",AND(ISNUMBER(posicao_contratual!$AL139),posicao_contratual!$AL139&gt;4),posicao_contratual!W139="",NOT(ISNUMBER(historico_VU!G139))),"",ROUND(posicao_contratual!W139*historico_VU!G139,2)))</f>
        <v/>
      </c>
      <c r="M139" s="85" t="str">
        <f>IF(OR(posicao_contratual!J139="",posicao_contratual!N139=""),"",ROUND(MAX(posicao_contratual!J139+posicao_contratual!H139-posicao_contratual!N139,0),2))</f>
        <v/>
      </c>
      <c r="N139" s="79" t="str">
        <f>IF(AND(A139="",A138&lt;&gt;"",COUNTIF(A140:$A$200,"&lt;&gt;")=0),IF(COUNT(N$2:N138)=0,"",ROUND(SUMIF($A$2:A138,"&lt;&gt;",N$2:N138),2)),IF(OR(M139="",NOT(ISNUMBER(historico_VU!D139))),"",ROUND(M139*historico_VU!D139,2)))</f>
        <v/>
      </c>
      <c r="O139" s="85" t="str">
        <f>IF(OR(posicao_contratual!N139="",posicao_contratual!R139=""),"",ROUND(MAX(posicao_contratual!N139+posicao_contratual!L139-posicao_contratual!R139,0),2))</f>
        <v/>
      </c>
      <c r="P139" s="79" t="str">
        <f>IF(AND(A139="",A138&lt;&gt;"",COUNTIF(A140:$A$200,"&lt;&gt;")=0),IF(COUNT(P$2:P138)=0,"",ROUND(SUMIF($A$2:A138,"&lt;&gt;",P$2:P138),2)),IF(OR(O139="",NOT(ISNUMBER(historico_VU!E139))),"",ROUND(O139*historico_VU!E139,2)))</f>
        <v/>
      </c>
      <c r="Q139" s="85" t="str">
        <f>IF(OR(posicao_contratual!R139="",posicao_contratual!V139=""),"",ROUND(MAX(posicao_contratual!R139+posicao_contratual!P139-posicao_contratual!V139,0),2))</f>
        <v/>
      </c>
      <c r="R139" s="79" t="str">
        <f>IF(AND(A139="",A138&lt;&gt;"",COUNTIF(A140:$A$200,"&lt;&gt;")=0),IF(COUNT(R$2:R138)=0,"",ROUND(SUMIF($A$2:A138,"&lt;&gt;",R$2:R138),2)),IF(OR(Q139="",NOT(ISNUMBER(historico_VU!F139))),"",ROUND(Q139*historico_VU!F139,2)))</f>
        <v/>
      </c>
      <c r="S139" s="38"/>
      <c r="T139" s="39" t="str">
        <f>IF(AND(A139="",A138&lt;&gt;"",COUNTIF(A140:$A$200,"&lt;&gt;")=0),IF(COUNT(T$2:T138)=0,"",ROUND(SUMIF($A$2:A138,"&lt;&gt;",T$2:T138),2)),IF(OR(S139="",NOT(ISNUMBER(historico_VU!G139))),"",ROUND(S139*historico_VU!G139,2)))</f>
        <v/>
      </c>
      <c r="U139" s="86" t="str">
        <f>IF(AND(A139="",A138&lt;&gt;"",COUNTIF(A140:$A$200,"&lt;&gt;")=0),"TOTAL",IF(A139="","",posicao_contratual!X139))</f>
        <v/>
      </c>
      <c r="V139" s="86" t="str">
        <f>IF(A139="","",posicao_contratual!X139)</f>
        <v/>
      </c>
      <c r="W139" s="13"/>
      <c r="X139" s="13"/>
      <c r="Y139" s="13"/>
      <c r="Z139" s="13"/>
      <c r="AA139" s="13"/>
      <c r="AB139" s="85" t="str">
        <f>IF(OR(A139="",posicao_contratual!E139="",posicao_contratual!J139=""),"",ROUND(MAX(posicao_contratual!E139-posicao_contratual!J139,0),2))</f>
        <v/>
      </c>
      <c r="AC139" s="79" t="str">
        <f>IF(AND(A139="",A138&lt;&gt;"",COUNTIF(A140:$A$200,"&lt;&gt;")=0),IF(COUNT(AC$2:AC138)=0,"",ROUND(SUMIF($A$2:A138,"&lt;&gt;",AC$2:AC138),2)),IF(OR(AB139="",NOT(ISNUMBER(historico_VU!C139))),"",ROUND(AB139*historico_VU!C139,2)))</f>
        <v/>
      </c>
      <c r="AD139" s="145" t="str">
        <f>IF(A139="","",posicao_contratual!E139)</f>
        <v/>
      </c>
      <c r="AE139" s="145" t="str">
        <f>IF(A139="","",posicao_contratual!I139)</f>
        <v/>
      </c>
      <c r="AF139" s="145" t="str">
        <f>IF(A139="","",posicao_contratual!M139)</f>
        <v/>
      </c>
      <c r="AG139" s="145" t="str">
        <f>IF(A139="","",posicao_contratual!Q139)</f>
        <v/>
      </c>
      <c r="AH139" s="145" t="str">
        <f>IF(A139="","",posicao_contratual!U139)</f>
        <v/>
      </c>
      <c r="AI139" s="145" t="str">
        <f>IF(A139="","",posicao_contratual!G139)</f>
        <v/>
      </c>
      <c r="AJ139" s="145" t="str">
        <f>IF(A139="","",posicao_contratual!K139)</f>
        <v/>
      </c>
      <c r="AK139" s="145" t="str">
        <f>IF(A139="","",posicao_contratual!O139)</f>
        <v/>
      </c>
      <c r="AL139" s="145" t="str">
        <f>IF(A139="","",posicao_contratual!S139)</f>
        <v/>
      </c>
      <c r="AM139" s="145" t="str">
        <f>IF(A139="","",posicao_contratual!W139)</f>
        <v/>
      </c>
      <c r="AN139" s="146" t="str">
        <f>IF(A139="","",posicao_contratual!X139)</f>
        <v/>
      </c>
      <c r="AO139" t="str">
        <f>IF($A139="","",ROUND(SUMIFS(itens_Consumidos!$E$2:$E$200,itens_Consumidos!$A$2:$A$200,$A139),2))</f>
        <v/>
      </c>
      <c r="AP139" t="str">
        <f t="shared" si="24"/>
        <v/>
      </c>
      <c r="AQ139" t="str">
        <f>IF(OR($A139="",AB139="",MEMORIA_RESULTADOS!$I$258=""),"",ROUND(AB139*$C139*(MEMORIA_RESULTADOS!$I$258-1),2))</f>
        <v/>
      </c>
      <c r="AR139" t="str">
        <f>IF(OR($A139="",AP139="",MEMORIA_RESULTADOS!$I$258=""),"",ROUND(AP139*$C139*(parametros!$F$2-MEMORIA_RESULTADOS!$I$258),2))</f>
        <v/>
      </c>
      <c r="AS139" t="str">
        <f>IF($A139="","",ROUND(SUMIFS(itens_Consumidos!$G$2:$G$200,itens_Consumidos!$A$2:$A$200,$A139),2))</f>
        <v/>
      </c>
      <c r="AT139" t="str">
        <f t="shared" si="25"/>
        <v/>
      </c>
      <c r="AU139" t="str">
        <f>IF(OR($A139="",M139="",MEMORIA_RESULTADOS!$I$259=""),"",ROUND(M139*$C139*(MEMORIA_RESULTADOS!$I$259-1),2))</f>
        <v/>
      </c>
      <c r="AV139" t="str">
        <f>IF(OR($A139="",AT139="",MEMORIA_RESULTADOS!$I$259=""),"",ROUND(AT139*$C139*(parametros!$F$3-MEMORIA_RESULTADOS!$I$259),2))</f>
        <v/>
      </c>
      <c r="AW139" t="str">
        <f>IF($A139="","",ROUND(SUMIFS(itens_Consumidos!$I$2:$I$200,itens_Consumidos!$A$2:$A$200,$A139),2))</f>
        <v/>
      </c>
      <c r="AX139" t="str">
        <f t="shared" si="26"/>
        <v/>
      </c>
      <c r="AY139" t="str">
        <f>IF(OR($A139="",O139="",MEMORIA_RESULTADOS!$I$260=""),"",ROUND(O139*$C139*(MEMORIA_RESULTADOS!$I$260-1),2))</f>
        <v/>
      </c>
      <c r="AZ139" t="str">
        <f>IF(OR($A139="",AX139="",MEMORIA_RESULTADOS!$I$260=""),"",ROUND(AX139*$C139*(parametros!$F$4-MEMORIA_RESULTADOS!$I$260),2))</f>
        <v/>
      </c>
      <c r="BA139" t="str">
        <f>IF($A139="","",ROUND(SUMIFS(itens_Consumidos!$K$2:$K$200,itens_Consumidos!$A$2:$A$200,$A139),2))</f>
        <v/>
      </c>
      <c r="BB139" t="str">
        <f t="shared" si="27"/>
        <v/>
      </c>
      <c r="BC139" t="str">
        <f>IF(OR($A139="",Q139="",MEMORIA_RESULTADOS!$I$261=""),"",ROUND(Q139*$C139*(MEMORIA_RESULTADOS!$I$261-1),2))</f>
        <v/>
      </c>
      <c r="BD139" t="str">
        <f>IF(OR($A139="",BB139="",MEMORIA_RESULTADOS!$I$261=""),"",ROUND(BB139*$C139*(parametros!$F$5-MEMORIA_RESULTADOS!$I$261),2))</f>
        <v/>
      </c>
      <c r="BE139" t="str">
        <f>IF($A139="","",ROUND(SUMIFS(itens_Consumidos!$M$2:$M$200,itens_Consumidos!$A$2:$A$200,$A139),2))</f>
        <v/>
      </c>
      <c r="BF139" t="str">
        <f t="shared" si="28"/>
        <v/>
      </c>
      <c r="BG139" t="str">
        <f>IF(OR($A139="",S139="",MEMORIA_RESULTADOS!$I$262=""),"",ROUND(S139*$C139*(MEMORIA_RESULTADOS!$I$262-1),2))</f>
        <v/>
      </c>
      <c r="BH139" t="str">
        <f>IF(OR($A139="",BF139="",MEMORIA_RESULTADOS!$I$262=""),"",ROUND(BF139*$C139*(parametros!$F$6-MEMORIA_RESULTADOS!$I$262),2))</f>
        <v/>
      </c>
      <c r="BI139" t="str">
        <f>IF($A139="","",IF(posicao_contratual!$AL139="","",posicao_contratual!$AL139))</f>
        <v/>
      </c>
    </row>
    <row r="140" spans="1:61" x14ac:dyDescent="0.35">
      <c r="A140" s="81"/>
      <c r="B140" s="82" t="str">
        <f t="shared" si="29"/>
        <v/>
      </c>
      <c r="C140" s="83"/>
      <c r="D140" s="79" t="str">
        <f>IF(AND(A140="",A139&lt;&gt;"",COUNTIF(A141:$A$200,"&lt;&gt;")=0),ROUND(SUMIF($A$2:A139,"&lt;&gt;",$D$2:D139),2),IF(OR(A140="",B140="",C140=""),"",ROUND(B140*C140,2)))</f>
        <v/>
      </c>
      <c r="E140" s="84"/>
      <c r="F140" s="79" t="str">
        <f>IF(AND(A140="",A139&lt;&gt;"",COUNTIF(A141:$A$200,"&lt;&gt;")=0),IF(COUNT(F$2:F139)=0,"",ROUND(SUMIF($A$2:A139,"&lt;&gt;",F$2:F139),2)),IF(OR(A140="",AND(ISNUMBER(posicao_contratual!$AL140),posicao_contratual!$AL140&gt;1),posicao_contratual!K140="",NOT(ISNUMBER(historico_VU!D140))),"",ROUND(posicao_contratual!K140*historico_VU!D140,2)))</f>
        <v/>
      </c>
      <c r="G140" s="84"/>
      <c r="H140" s="79" t="str">
        <f>IF(AND(A140="",A139&lt;&gt;"",COUNTIF(A141:$A$200,"&lt;&gt;")=0),IF(COUNT(H$2:H139)=0,"",ROUND(SUMIF($A$2:A139,"&lt;&gt;",H$2:H139),2)),IF(OR(A140="",AND(ISNUMBER(posicao_contratual!$AL140),posicao_contratual!$AL140&gt;2),posicao_contratual!O140="",NOT(ISNUMBER(historico_VU!E140))),"",ROUND(posicao_contratual!O140*historico_VU!E140,2)))</f>
        <v/>
      </c>
      <c r="I140" s="84"/>
      <c r="J140" s="79" t="str">
        <f>IF(AND(A140="",A139&lt;&gt;"",COUNTIF(A141:$A$200,"&lt;&gt;")=0),IF(COUNT(J$2:J139)=0,"",ROUND(SUMIF($A$2:A139,"&lt;&gt;",J$2:J139),2)),IF(OR(A140="",AND(ISNUMBER(posicao_contratual!$AL140),posicao_contratual!$AL140&gt;3),posicao_contratual!S140="",NOT(ISNUMBER(historico_VU!F140))),"",ROUND(posicao_contratual!S140*historico_VU!F140,2)))</f>
        <v/>
      </c>
      <c r="K140" s="84"/>
      <c r="L140" s="79" t="str">
        <f>IF(AND(A140="",A139&lt;&gt;"",COUNTIF(A141:$A$200,"&lt;&gt;")=0),IF(COUNT(L$2:L139)=0,"",ROUND(SUMIF($A$2:A139,"&lt;&gt;",L$2:L139),2)),IF(OR(A140="",AND(ISNUMBER(posicao_contratual!$AL140),posicao_contratual!$AL140&gt;4),posicao_contratual!W140="",NOT(ISNUMBER(historico_VU!G140))),"",ROUND(posicao_contratual!W140*historico_VU!G140,2)))</f>
        <v/>
      </c>
      <c r="M140" s="85" t="str">
        <f>IF(OR(posicao_contratual!J140="",posicao_contratual!N140=""),"",ROUND(MAX(posicao_contratual!J140+posicao_contratual!H140-posicao_contratual!N140,0),2))</f>
        <v/>
      </c>
      <c r="N140" s="79" t="str">
        <f>IF(AND(A140="",A139&lt;&gt;"",COUNTIF(A141:$A$200,"&lt;&gt;")=0),IF(COUNT(N$2:N139)=0,"",ROUND(SUMIF($A$2:A139,"&lt;&gt;",N$2:N139),2)),IF(OR(M140="",NOT(ISNUMBER(historico_VU!D140))),"",ROUND(M140*historico_VU!D140,2)))</f>
        <v/>
      </c>
      <c r="O140" s="85" t="str">
        <f>IF(OR(posicao_contratual!N140="",posicao_contratual!R140=""),"",ROUND(MAX(posicao_contratual!N140+posicao_contratual!L140-posicao_contratual!R140,0),2))</f>
        <v/>
      </c>
      <c r="P140" s="79" t="str">
        <f>IF(AND(A140="",A139&lt;&gt;"",COUNTIF(A141:$A$200,"&lt;&gt;")=0),IF(COUNT(P$2:P139)=0,"",ROUND(SUMIF($A$2:A139,"&lt;&gt;",P$2:P139),2)),IF(OR(O140="",NOT(ISNUMBER(historico_VU!E140))),"",ROUND(O140*historico_VU!E140,2)))</f>
        <v/>
      </c>
      <c r="Q140" s="85" t="str">
        <f>IF(OR(posicao_contratual!R140="",posicao_contratual!V140=""),"",ROUND(MAX(posicao_contratual!R140+posicao_contratual!P140-posicao_contratual!V140,0),2))</f>
        <v/>
      </c>
      <c r="R140" s="79" t="str">
        <f>IF(AND(A140="",A139&lt;&gt;"",COUNTIF(A141:$A$200,"&lt;&gt;")=0),IF(COUNT(R$2:R139)=0,"",ROUND(SUMIF($A$2:A139,"&lt;&gt;",R$2:R139),2)),IF(OR(Q140="",NOT(ISNUMBER(historico_VU!F140))),"",ROUND(Q140*historico_VU!F140,2)))</f>
        <v/>
      </c>
      <c r="S140" s="38"/>
      <c r="T140" s="39" t="str">
        <f>IF(AND(A140="",A139&lt;&gt;"",COUNTIF(A141:$A$200,"&lt;&gt;")=0),IF(COUNT(T$2:T139)=0,"",ROUND(SUMIF($A$2:A139,"&lt;&gt;",T$2:T139),2)),IF(OR(S140="",NOT(ISNUMBER(historico_VU!G140))),"",ROUND(S140*historico_VU!G140,2)))</f>
        <v/>
      </c>
      <c r="U140" s="86" t="str">
        <f>IF(AND(A140="",A139&lt;&gt;"",COUNTIF(A141:$A$200,"&lt;&gt;")=0),"TOTAL",IF(A140="","",posicao_contratual!X140))</f>
        <v/>
      </c>
      <c r="V140" s="86" t="str">
        <f>IF(A140="","",posicao_contratual!X140)</f>
        <v/>
      </c>
      <c r="W140" s="13"/>
      <c r="X140" s="13"/>
      <c r="Y140" s="13"/>
      <c r="Z140" s="13"/>
      <c r="AA140" s="13"/>
      <c r="AB140" s="85" t="str">
        <f>IF(OR(A140="",posicao_contratual!E140="",posicao_contratual!J140=""),"",ROUND(MAX(posicao_contratual!E140-posicao_contratual!J140,0),2))</f>
        <v/>
      </c>
      <c r="AC140" s="79" t="str">
        <f>IF(AND(A140="",A139&lt;&gt;"",COUNTIF(A141:$A$200,"&lt;&gt;")=0),IF(COUNT(AC$2:AC139)=0,"",ROUND(SUMIF($A$2:A139,"&lt;&gt;",AC$2:AC139),2)),IF(OR(AB140="",NOT(ISNUMBER(historico_VU!C140))),"",ROUND(AB140*historico_VU!C140,2)))</f>
        <v/>
      </c>
      <c r="AD140" s="145" t="str">
        <f>IF(A140="","",posicao_contratual!E140)</f>
        <v/>
      </c>
      <c r="AE140" s="145" t="str">
        <f>IF(A140="","",posicao_contratual!I140)</f>
        <v/>
      </c>
      <c r="AF140" s="145" t="str">
        <f>IF(A140="","",posicao_contratual!M140)</f>
        <v/>
      </c>
      <c r="AG140" s="145" t="str">
        <f>IF(A140="","",posicao_contratual!Q140)</f>
        <v/>
      </c>
      <c r="AH140" s="145" t="str">
        <f>IF(A140="","",posicao_contratual!U140)</f>
        <v/>
      </c>
      <c r="AI140" s="145" t="str">
        <f>IF(A140="","",posicao_contratual!G140)</f>
        <v/>
      </c>
      <c r="AJ140" s="145" t="str">
        <f>IF(A140="","",posicao_contratual!K140)</f>
        <v/>
      </c>
      <c r="AK140" s="145" t="str">
        <f>IF(A140="","",posicao_contratual!O140)</f>
        <v/>
      </c>
      <c r="AL140" s="145" t="str">
        <f>IF(A140="","",posicao_contratual!S140)</f>
        <v/>
      </c>
      <c r="AM140" s="145" t="str">
        <f>IF(A140="","",posicao_contratual!W140)</f>
        <v/>
      </c>
      <c r="AN140" s="146" t="str">
        <f>IF(A140="","",posicao_contratual!X140)</f>
        <v/>
      </c>
      <c r="AO140" t="str">
        <f>IF($A140="","",ROUND(SUMIFS(itens_Consumidos!$E$2:$E$200,itens_Consumidos!$A$2:$A$200,$A140),2))</f>
        <v/>
      </c>
      <c r="AP140" t="str">
        <f t="shared" si="24"/>
        <v/>
      </c>
      <c r="AQ140" t="str">
        <f>IF(OR($A140="",AB140="",MEMORIA_RESULTADOS!$I$258=""),"",ROUND(AB140*$C140*(MEMORIA_RESULTADOS!$I$258-1),2))</f>
        <v/>
      </c>
      <c r="AR140" t="str">
        <f>IF(OR($A140="",AP140="",MEMORIA_RESULTADOS!$I$258=""),"",ROUND(AP140*$C140*(parametros!$F$2-MEMORIA_RESULTADOS!$I$258),2))</f>
        <v/>
      </c>
      <c r="AS140" t="str">
        <f>IF($A140="","",ROUND(SUMIFS(itens_Consumidos!$G$2:$G$200,itens_Consumidos!$A$2:$A$200,$A140),2))</f>
        <v/>
      </c>
      <c r="AT140" t="str">
        <f t="shared" si="25"/>
        <v/>
      </c>
      <c r="AU140" t="str">
        <f>IF(OR($A140="",M140="",MEMORIA_RESULTADOS!$I$259=""),"",ROUND(M140*$C140*(MEMORIA_RESULTADOS!$I$259-1),2))</f>
        <v/>
      </c>
      <c r="AV140" t="str">
        <f>IF(OR($A140="",AT140="",MEMORIA_RESULTADOS!$I$259=""),"",ROUND(AT140*$C140*(parametros!$F$3-MEMORIA_RESULTADOS!$I$259),2))</f>
        <v/>
      </c>
      <c r="AW140" t="str">
        <f>IF($A140="","",ROUND(SUMIFS(itens_Consumidos!$I$2:$I$200,itens_Consumidos!$A$2:$A$200,$A140),2))</f>
        <v/>
      </c>
      <c r="AX140" t="str">
        <f t="shared" si="26"/>
        <v/>
      </c>
      <c r="AY140" t="str">
        <f>IF(OR($A140="",O140="",MEMORIA_RESULTADOS!$I$260=""),"",ROUND(O140*$C140*(MEMORIA_RESULTADOS!$I$260-1),2))</f>
        <v/>
      </c>
      <c r="AZ140" t="str">
        <f>IF(OR($A140="",AX140="",MEMORIA_RESULTADOS!$I$260=""),"",ROUND(AX140*$C140*(parametros!$F$4-MEMORIA_RESULTADOS!$I$260),2))</f>
        <v/>
      </c>
      <c r="BA140" t="str">
        <f>IF($A140="","",ROUND(SUMIFS(itens_Consumidos!$K$2:$K$200,itens_Consumidos!$A$2:$A$200,$A140),2))</f>
        <v/>
      </c>
      <c r="BB140" t="str">
        <f t="shared" si="27"/>
        <v/>
      </c>
      <c r="BC140" t="str">
        <f>IF(OR($A140="",Q140="",MEMORIA_RESULTADOS!$I$261=""),"",ROUND(Q140*$C140*(MEMORIA_RESULTADOS!$I$261-1),2))</f>
        <v/>
      </c>
      <c r="BD140" t="str">
        <f>IF(OR($A140="",BB140="",MEMORIA_RESULTADOS!$I$261=""),"",ROUND(BB140*$C140*(parametros!$F$5-MEMORIA_RESULTADOS!$I$261),2))</f>
        <v/>
      </c>
      <c r="BE140" t="str">
        <f>IF($A140="","",ROUND(SUMIFS(itens_Consumidos!$M$2:$M$200,itens_Consumidos!$A$2:$A$200,$A140),2))</f>
        <v/>
      </c>
      <c r="BF140" t="str">
        <f t="shared" si="28"/>
        <v/>
      </c>
      <c r="BG140" t="str">
        <f>IF(OR($A140="",S140="",MEMORIA_RESULTADOS!$I$262=""),"",ROUND(S140*$C140*(MEMORIA_RESULTADOS!$I$262-1),2))</f>
        <v/>
      </c>
      <c r="BH140" t="str">
        <f>IF(OR($A140="",BF140="",MEMORIA_RESULTADOS!$I$262=""),"",ROUND(BF140*$C140*(parametros!$F$6-MEMORIA_RESULTADOS!$I$262),2))</f>
        <v/>
      </c>
      <c r="BI140" t="str">
        <f>IF($A140="","",IF(posicao_contratual!$AL140="","",posicao_contratual!$AL140))</f>
        <v/>
      </c>
    </row>
    <row r="141" spans="1:61" x14ac:dyDescent="0.35">
      <c r="A141" s="81"/>
      <c r="B141" s="82" t="str">
        <f t="shared" si="29"/>
        <v/>
      </c>
      <c r="C141" s="83"/>
      <c r="D141" s="79" t="str">
        <f>IF(AND(A141="",A140&lt;&gt;"",COUNTIF(A142:$A$200,"&lt;&gt;")=0),ROUND(SUMIF($A$2:A140,"&lt;&gt;",$D$2:D140),2),IF(OR(A141="",B141="",C141=""),"",ROUND(B141*C141,2)))</f>
        <v/>
      </c>
      <c r="E141" s="84"/>
      <c r="F141" s="79" t="str">
        <f>IF(AND(A141="",A140&lt;&gt;"",COUNTIF(A142:$A$200,"&lt;&gt;")=0),IF(COUNT(F$2:F140)=0,"",ROUND(SUMIF($A$2:A140,"&lt;&gt;",F$2:F140),2)),IF(OR(A141="",AND(ISNUMBER(posicao_contratual!$AL141),posicao_contratual!$AL141&gt;1),posicao_contratual!K141="",NOT(ISNUMBER(historico_VU!D141))),"",ROUND(posicao_contratual!K141*historico_VU!D141,2)))</f>
        <v/>
      </c>
      <c r="G141" s="84"/>
      <c r="H141" s="79" t="str">
        <f>IF(AND(A141="",A140&lt;&gt;"",COUNTIF(A142:$A$200,"&lt;&gt;")=0),IF(COUNT(H$2:H140)=0,"",ROUND(SUMIF($A$2:A140,"&lt;&gt;",H$2:H140),2)),IF(OR(A141="",AND(ISNUMBER(posicao_contratual!$AL141),posicao_contratual!$AL141&gt;2),posicao_contratual!O141="",NOT(ISNUMBER(historico_VU!E141))),"",ROUND(posicao_contratual!O141*historico_VU!E141,2)))</f>
        <v/>
      </c>
      <c r="I141" s="84"/>
      <c r="J141" s="79" t="str">
        <f>IF(AND(A141="",A140&lt;&gt;"",COUNTIF(A142:$A$200,"&lt;&gt;")=0),IF(COUNT(J$2:J140)=0,"",ROUND(SUMIF($A$2:A140,"&lt;&gt;",J$2:J140),2)),IF(OR(A141="",AND(ISNUMBER(posicao_contratual!$AL141),posicao_contratual!$AL141&gt;3),posicao_contratual!S141="",NOT(ISNUMBER(historico_VU!F141))),"",ROUND(posicao_contratual!S141*historico_VU!F141,2)))</f>
        <v/>
      </c>
      <c r="K141" s="84"/>
      <c r="L141" s="79" t="str">
        <f>IF(AND(A141="",A140&lt;&gt;"",COUNTIF(A142:$A$200,"&lt;&gt;")=0),IF(COUNT(L$2:L140)=0,"",ROUND(SUMIF($A$2:A140,"&lt;&gt;",L$2:L140),2)),IF(OR(A141="",AND(ISNUMBER(posicao_contratual!$AL141),posicao_contratual!$AL141&gt;4),posicao_contratual!W141="",NOT(ISNUMBER(historico_VU!G141))),"",ROUND(posicao_contratual!W141*historico_VU!G141,2)))</f>
        <v/>
      </c>
      <c r="M141" s="85" t="str">
        <f>IF(OR(posicao_contratual!J141="",posicao_contratual!N141=""),"",ROUND(MAX(posicao_contratual!J141+posicao_contratual!H141-posicao_contratual!N141,0),2))</f>
        <v/>
      </c>
      <c r="N141" s="79" t="str">
        <f>IF(AND(A141="",A140&lt;&gt;"",COUNTIF(A142:$A$200,"&lt;&gt;")=0),IF(COUNT(N$2:N140)=0,"",ROUND(SUMIF($A$2:A140,"&lt;&gt;",N$2:N140),2)),IF(OR(M141="",NOT(ISNUMBER(historico_VU!D141))),"",ROUND(M141*historico_VU!D141,2)))</f>
        <v/>
      </c>
      <c r="O141" s="85" t="str">
        <f>IF(OR(posicao_contratual!N141="",posicao_contratual!R141=""),"",ROUND(MAX(posicao_contratual!N141+posicao_contratual!L141-posicao_contratual!R141,0),2))</f>
        <v/>
      </c>
      <c r="P141" s="79" t="str">
        <f>IF(AND(A141="",A140&lt;&gt;"",COUNTIF(A142:$A$200,"&lt;&gt;")=0),IF(COUNT(P$2:P140)=0,"",ROUND(SUMIF($A$2:A140,"&lt;&gt;",P$2:P140),2)),IF(OR(O141="",NOT(ISNUMBER(historico_VU!E141))),"",ROUND(O141*historico_VU!E141,2)))</f>
        <v/>
      </c>
      <c r="Q141" s="85" t="str">
        <f>IF(OR(posicao_contratual!R141="",posicao_contratual!V141=""),"",ROUND(MAX(posicao_contratual!R141+posicao_contratual!P141-posicao_contratual!V141,0),2))</f>
        <v/>
      </c>
      <c r="R141" s="79" t="str">
        <f>IF(AND(A141="",A140&lt;&gt;"",COUNTIF(A142:$A$200,"&lt;&gt;")=0),IF(COUNT(R$2:R140)=0,"",ROUND(SUMIF($A$2:A140,"&lt;&gt;",R$2:R140),2)),IF(OR(Q141="",NOT(ISNUMBER(historico_VU!F141))),"",ROUND(Q141*historico_VU!F141,2)))</f>
        <v/>
      </c>
      <c r="S141" s="38"/>
      <c r="T141" s="39" t="str">
        <f>IF(AND(A141="",A140&lt;&gt;"",COUNTIF(A142:$A$200,"&lt;&gt;")=0),IF(COUNT(T$2:T140)=0,"",ROUND(SUMIF($A$2:A140,"&lt;&gt;",T$2:T140),2)),IF(OR(S141="",NOT(ISNUMBER(historico_VU!G141))),"",ROUND(S141*historico_VU!G141,2)))</f>
        <v/>
      </c>
      <c r="U141" s="86" t="str">
        <f>IF(AND(A141="",A140&lt;&gt;"",COUNTIF(A142:$A$200,"&lt;&gt;")=0),"TOTAL",IF(A141="","",posicao_contratual!X141))</f>
        <v/>
      </c>
      <c r="V141" s="86" t="str">
        <f>IF(A141="","",posicao_contratual!X141)</f>
        <v/>
      </c>
      <c r="W141" s="13"/>
      <c r="X141" s="13"/>
      <c r="Y141" s="13"/>
      <c r="Z141" s="13"/>
      <c r="AA141" s="13"/>
      <c r="AB141" s="85" t="str">
        <f>IF(OR(A141="",posicao_contratual!E141="",posicao_contratual!J141=""),"",ROUND(MAX(posicao_contratual!E141-posicao_contratual!J141,0),2))</f>
        <v/>
      </c>
      <c r="AC141" s="79" t="str">
        <f>IF(AND(A141="",A140&lt;&gt;"",COUNTIF(A142:$A$200,"&lt;&gt;")=0),IF(COUNT(AC$2:AC140)=0,"",ROUND(SUMIF($A$2:A140,"&lt;&gt;",AC$2:AC140),2)),IF(OR(AB141="",NOT(ISNUMBER(historico_VU!C141))),"",ROUND(AB141*historico_VU!C141,2)))</f>
        <v/>
      </c>
      <c r="AD141" s="145" t="str">
        <f>IF(A141="","",posicao_contratual!E141)</f>
        <v/>
      </c>
      <c r="AE141" s="145" t="str">
        <f>IF(A141="","",posicao_contratual!I141)</f>
        <v/>
      </c>
      <c r="AF141" s="145" t="str">
        <f>IF(A141="","",posicao_contratual!M141)</f>
        <v/>
      </c>
      <c r="AG141" s="145" t="str">
        <f>IF(A141="","",posicao_contratual!Q141)</f>
        <v/>
      </c>
      <c r="AH141" s="145" t="str">
        <f>IF(A141="","",posicao_contratual!U141)</f>
        <v/>
      </c>
      <c r="AI141" s="145" t="str">
        <f>IF(A141="","",posicao_contratual!G141)</f>
        <v/>
      </c>
      <c r="AJ141" s="145" t="str">
        <f>IF(A141="","",posicao_contratual!K141)</f>
        <v/>
      </c>
      <c r="AK141" s="145" t="str">
        <f>IF(A141="","",posicao_contratual!O141)</f>
        <v/>
      </c>
      <c r="AL141" s="145" t="str">
        <f>IF(A141="","",posicao_contratual!S141)</f>
        <v/>
      </c>
      <c r="AM141" s="145" t="str">
        <f>IF(A141="","",posicao_contratual!W141)</f>
        <v/>
      </c>
      <c r="AN141" s="146" t="str">
        <f>IF(A141="","",posicao_contratual!X141)</f>
        <v/>
      </c>
      <c r="AO141" t="str">
        <f>IF($A141="","",ROUND(SUMIFS(itens_Consumidos!$E$2:$E$200,itens_Consumidos!$A$2:$A$200,$A141),2))</f>
        <v/>
      </c>
      <c r="AP141" t="str">
        <f t="shared" si="24"/>
        <v/>
      </c>
      <c r="AQ141" t="str">
        <f>IF(OR($A141="",AB141="",MEMORIA_RESULTADOS!$I$258=""),"",ROUND(AB141*$C141*(MEMORIA_RESULTADOS!$I$258-1),2))</f>
        <v/>
      </c>
      <c r="AR141" t="str">
        <f>IF(OR($A141="",AP141="",MEMORIA_RESULTADOS!$I$258=""),"",ROUND(AP141*$C141*(parametros!$F$2-MEMORIA_RESULTADOS!$I$258),2))</f>
        <v/>
      </c>
      <c r="AS141" t="str">
        <f>IF($A141="","",ROUND(SUMIFS(itens_Consumidos!$G$2:$G$200,itens_Consumidos!$A$2:$A$200,$A141),2))</f>
        <v/>
      </c>
      <c r="AT141" t="str">
        <f t="shared" si="25"/>
        <v/>
      </c>
      <c r="AU141" t="str">
        <f>IF(OR($A141="",M141="",MEMORIA_RESULTADOS!$I$259=""),"",ROUND(M141*$C141*(MEMORIA_RESULTADOS!$I$259-1),2))</f>
        <v/>
      </c>
      <c r="AV141" t="str">
        <f>IF(OR($A141="",AT141="",MEMORIA_RESULTADOS!$I$259=""),"",ROUND(AT141*$C141*(parametros!$F$3-MEMORIA_RESULTADOS!$I$259),2))</f>
        <v/>
      </c>
      <c r="AW141" t="str">
        <f>IF($A141="","",ROUND(SUMIFS(itens_Consumidos!$I$2:$I$200,itens_Consumidos!$A$2:$A$200,$A141),2))</f>
        <v/>
      </c>
      <c r="AX141" t="str">
        <f t="shared" si="26"/>
        <v/>
      </c>
      <c r="AY141" t="str">
        <f>IF(OR($A141="",O141="",MEMORIA_RESULTADOS!$I$260=""),"",ROUND(O141*$C141*(MEMORIA_RESULTADOS!$I$260-1),2))</f>
        <v/>
      </c>
      <c r="AZ141" t="str">
        <f>IF(OR($A141="",AX141="",MEMORIA_RESULTADOS!$I$260=""),"",ROUND(AX141*$C141*(parametros!$F$4-MEMORIA_RESULTADOS!$I$260),2))</f>
        <v/>
      </c>
      <c r="BA141" t="str">
        <f>IF($A141="","",ROUND(SUMIFS(itens_Consumidos!$K$2:$K$200,itens_Consumidos!$A$2:$A$200,$A141),2))</f>
        <v/>
      </c>
      <c r="BB141" t="str">
        <f t="shared" si="27"/>
        <v/>
      </c>
      <c r="BC141" t="str">
        <f>IF(OR($A141="",Q141="",MEMORIA_RESULTADOS!$I$261=""),"",ROUND(Q141*$C141*(MEMORIA_RESULTADOS!$I$261-1),2))</f>
        <v/>
      </c>
      <c r="BD141" t="str">
        <f>IF(OR($A141="",BB141="",MEMORIA_RESULTADOS!$I$261=""),"",ROUND(BB141*$C141*(parametros!$F$5-MEMORIA_RESULTADOS!$I$261),2))</f>
        <v/>
      </c>
      <c r="BE141" t="str">
        <f>IF($A141="","",ROUND(SUMIFS(itens_Consumidos!$M$2:$M$200,itens_Consumidos!$A$2:$A$200,$A141),2))</f>
        <v/>
      </c>
      <c r="BF141" t="str">
        <f t="shared" si="28"/>
        <v/>
      </c>
      <c r="BG141" t="str">
        <f>IF(OR($A141="",S141="",MEMORIA_RESULTADOS!$I$262=""),"",ROUND(S141*$C141*(MEMORIA_RESULTADOS!$I$262-1),2))</f>
        <v/>
      </c>
      <c r="BH141" t="str">
        <f>IF(OR($A141="",BF141="",MEMORIA_RESULTADOS!$I$262=""),"",ROUND(BF141*$C141*(parametros!$F$6-MEMORIA_RESULTADOS!$I$262),2))</f>
        <v/>
      </c>
      <c r="BI141" t="str">
        <f>IF($A141="","",IF(posicao_contratual!$AL141="","",posicao_contratual!$AL141))</f>
        <v/>
      </c>
    </row>
    <row r="142" spans="1:61" x14ac:dyDescent="0.35">
      <c r="A142" s="81"/>
      <c r="B142" s="82" t="str">
        <f t="shared" si="29"/>
        <v/>
      </c>
      <c r="C142" s="83"/>
      <c r="D142" s="79" t="str">
        <f>IF(AND(A142="",A141&lt;&gt;"",COUNTIF(A143:$A$200,"&lt;&gt;")=0),ROUND(SUMIF($A$2:A141,"&lt;&gt;",$D$2:D141),2),IF(OR(A142="",B142="",C142=""),"",ROUND(B142*C142,2)))</f>
        <v/>
      </c>
      <c r="E142" s="84"/>
      <c r="F142" s="79" t="str">
        <f>IF(AND(A142="",A141&lt;&gt;"",COUNTIF(A143:$A$200,"&lt;&gt;")=0),IF(COUNT(F$2:F141)=0,"",ROUND(SUMIF($A$2:A141,"&lt;&gt;",F$2:F141),2)),IF(OR(A142="",AND(ISNUMBER(posicao_contratual!$AL142),posicao_contratual!$AL142&gt;1),posicao_contratual!K142="",NOT(ISNUMBER(historico_VU!D142))),"",ROUND(posicao_contratual!K142*historico_VU!D142,2)))</f>
        <v/>
      </c>
      <c r="G142" s="84"/>
      <c r="H142" s="79" t="str">
        <f>IF(AND(A142="",A141&lt;&gt;"",COUNTIF(A143:$A$200,"&lt;&gt;")=0),IF(COUNT(H$2:H141)=0,"",ROUND(SUMIF($A$2:A141,"&lt;&gt;",H$2:H141),2)),IF(OR(A142="",AND(ISNUMBER(posicao_contratual!$AL142),posicao_contratual!$AL142&gt;2),posicao_contratual!O142="",NOT(ISNUMBER(historico_VU!E142))),"",ROUND(posicao_contratual!O142*historico_VU!E142,2)))</f>
        <v/>
      </c>
      <c r="I142" s="84"/>
      <c r="J142" s="79" t="str">
        <f>IF(AND(A142="",A141&lt;&gt;"",COUNTIF(A143:$A$200,"&lt;&gt;")=0),IF(COUNT(J$2:J141)=0,"",ROUND(SUMIF($A$2:A141,"&lt;&gt;",J$2:J141),2)),IF(OR(A142="",AND(ISNUMBER(posicao_contratual!$AL142),posicao_contratual!$AL142&gt;3),posicao_contratual!S142="",NOT(ISNUMBER(historico_VU!F142))),"",ROUND(posicao_contratual!S142*historico_VU!F142,2)))</f>
        <v/>
      </c>
      <c r="K142" s="84"/>
      <c r="L142" s="79" t="str">
        <f>IF(AND(A142="",A141&lt;&gt;"",COUNTIF(A143:$A$200,"&lt;&gt;")=0),IF(COUNT(L$2:L141)=0,"",ROUND(SUMIF($A$2:A141,"&lt;&gt;",L$2:L141),2)),IF(OR(A142="",AND(ISNUMBER(posicao_contratual!$AL142),posicao_contratual!$AL142&gt;4),posicao_contratual!W142="",NOT(ISNUMBER(historico_VU!G142))),"",ROUND(posicao_contratual!W142*historico_VU!G142,2)))</f>
        <v/>
      </c>
      <c r="M142" s="85" t="str">
        <f>IF(OR(posicao_contratual!J142="",posicao_contratual!N142=""),"",ROUND(MAX(posicao_contratual!J142+posicao_contratual!H142-posicao_contratual!N142,0),2))</f>
        <v/>
      </c>
      <c r="N142" s="79" t="str">
        <f>IF(AND(A142="",A141&lt;&gt;"",COUNTIF(A143:$A$200,"&lt;&gt;")=0),IF(COUNT(N$2:N141)=0,"",ROUND(SUMIF($A$2:A141,"&lt;&gt;",N$2:N141),2)),IF(OR(M142="",NOT(ISNUMBER(historico_VU!D142))),"",ROUND(M142*historico_VU!D142,2)))</f>
        <v/>
      </c>
      <c r="O142" s="85" t="str">
        <f>IF(OR(posicao_contratual!N142="",posicao_contratual!R142=""),"",ROUND(MAX(posicao_contratual!N142+posicao_contratual!L142-posicao_contratual!R142,0),2))</f>
        <v/>
      </c>
      <c r="P142" s="79" t="str">
        <f>IF(AND(A142="",A141&lt;&gt;"",COUNTIF(A143:$A$200,"&lt;&gt;")=0),IF(COUNT(P$2:P141)=0,"",ROUND(SUMIF($A$2:A141,"&lt;&gt;",P$2:P141),2)),IF(OR(O142="",NOT(ISNUMBER(historico_VU!E142))),"",ROUND(O142*historico_VU!E142,2)))</f>
        <v/>
      </c>
      <c r="Q142" s="85" t="str">
        <f>IF(OR(posicao_contratual!R142="",posicao_contratual!V142=""),"",ROUND(MAX(posicao_contratual!R142+posicao_contratual!P142-posicao_contratual!V142,0),2))</f>
        <v/>
      </c>
      <c r="R142" s="79" t="str">
        <f>IF(AND(A142="",A141&lt;&gt;"",COUNTIF(A143:$A$200,"&lt;&gt;")=0),IF(COUNT(R$2:R141)=0,"",ROUND(SUMIF($A$2:A141,"&lt;&gt;",R$2:R141),2)),IF(OR(Q142="",NOT(ISNUMBER(historico_VU!F142))),"",ROUND(Q142*historico_VU!F142,2)))</f>
        <v/>
      </c>
      <c r="S142" s="38"/>
      <c r="T142" s="39" t="str">
        <f>IF(AND(A142="",A141&lt;&gt;"",COUNTIF(A143:$A$200,"&lt;&gt;")=0),IF(COUNT(T$2:T141)=0,"",ROUND(SUMIF($A$2:A141,"&lt;&gt;",T$2:T141),2)),IF(OR(S142="",NOT(ISNUMBER(historico_VU!G142))),"",ROUND(S142*historico_VU!G142,2)))</f>
        <v/>
      </c>
      <c r="U142" s="86" t="str">
        <f>IF(AND(A142="",A141&lt;&gt;"",COUNTIF(A143:$A$200,"&lt;&gt;")=0),"TOTAL",IF(A142="","",posicao_contratual!X142))</f>
        <v/>
      </c>
      <c r="V142" s="86" t="str">
        <f>IF(A142="","",posicao_contratual!X142)</f>
        <v/>
      </c>
      <c r="W142" s="13"/>
      <c r="X142" s="13"/>
      <c r="Y142" s="13"/>
      <c r="Z142" s="13"/>
      <c r="AA142" s="13"/>
      <c r="AB142" s="85" t="str">
        <f>IF(OR(A142="",posicao_contratual!E142="",posicao_contratual!J142=""),"",ROUND(MAX(posicao_contratual!E142-posicao_contratual!J142,0),2))</f>
        <v/>
      </c>
      <c r="AC142" s="79" t="str">
        <f>IF(AND(A142="",A141&lt;&gt;"",COUNTIF(A143:$A$200,"&lt;&gt;")=0),IF(COUNT(AC$2:AC141)=0,"",ROUND(SUMIF($A$2:A141,"&lt;&gt;",AC$2:AC141),2)),IF(OR(AB142="",NOT(ISNUMBER(historico_VU!C142))),"",ROUND(AB142*historico_VU!C142,2)))</f>
        <v/>
      </c>
      <c r="AD142" s="145" t="str">
        <f>IF(A142="","",posicao_contratual!E142)</f>
        <v/>
      </c>
      <c r="AE142" s="145" t="str">
        <f>IF(A142="","",posicao_contratual!I142)</f>
        <v/>
      </c>
      <c r="AF142" s="145" t="str">
        <f>IF(A142="","",posicao_contratual!M142)</f>
        <v/>
      </c>
      <c r="AG142" s="145" t="str">
        <f>IF(A142="","",posicao_contratual!Q142)</f>
        <v/>
      </c>
      <c r="AH142" s="145" t="str">
        <f>IF(A142="","",posicao_contratual!U142)</f>
        <v/>
      </c>
      <c r="AI142" s="145" t="str">
        <f>IF(A142="","",posicao_contratual!G142)</f>
        <v/>
      </c>
      <c r="AJ142" s="145" t="str">
        <f>IF(A142="","",posicao_contratual!K142)</f>
        <v/>
      </c>
      <c r="AK142" s="145" t="str">
        <f>IF(A142="","",posicao_contratual!O142)</f>
        <v/>
      </c>
      <c r="AL142" s="145" t="str">
        <f>IF(A142="","",posicao_contratual!S142)</f>
        <v/>
      </c>
      <c r="AM142" s="145" t="str">
        <f>IF(A142="","",posicao_contratual!W142)</f>
        <v/>
      </c>
      <c r="AN142" s="146" t="str">
        <f>IF(A142="","",posicao_contratual!X142)</f>
        <v/>
      </c>
      <c r="AO142" t="str">
        <f>IF($A142="","",ROUND(SUMIFS(itens_Consumidos!$E$2:$E$200,itens_Consumidos!$A$2:$A$200,$A142),2))</f>
        <v/>
      </c>
      <c r="AP142" t="str">
        <f t="shared" si="24"/>
        <v/>
      </c>
      <c r="AQ142" t="str">
        <f>IF(OR($A142="",AB142="",MEMORIA_RESULTADOS!$I$258=""),"",ROUND(AB142*$C142*(MEMORIA_RESULTADOS!$I$258-1),2))</f>
        <v/>
      </c>
      <c r="AR142" t="str">
        <f>IF(OR($A142="",AP142="",MEMORIA_RESULTADOS!$I$258=""),"",ROUND(AP142*$C142*(parametros!$F$2-MEMORIA_RESULTADOS!$I$258),2))</f>
        <v/>
      </c>
      <c r="AS142" t="str">
        <f>IF($A142="","",ROUND(SUMIFS(itens_Consumidos!$G$2:$G$200,itens_Consumidos!$A$2:$A$200,$A142),2))</f>
        <v/>
      </c>
      <c r="AT142" t="str">
        <f t="shared" si="25"/>
        <v/>
      </c>
      <c r="AU142" t="str">
        <f>IF(OR($A142="",M142="",MEMORIA_RESULTADOS!$I$259=""),"",ROUND(M142*$C142*(MEMORIA_RESULTADOS!$I$259-1),2))</f>
        <v/>
      </c>
      <c r="AV142" t="str">
        <f>IF(OR($A142="",AT142="",MEMORIA_RESULTADOS!$I$259=""),"",ROUND(AT142*$C142*(parametros!$F$3-MEMORIA_RESULTADOS!$I$259),2))</f>
        <v/>
      </c>
      <c r="AW142" t="str">
        <f>IF($A142="","",ROUND(SUMIFS(itens_Consumidos!$I$2:$I$200,itens_Consumidos!$A$2:$A$200,$A142),2))</f>
        <v/>
      </c>
      <c r="AX142" t="str">
        <f t="shared" si="26"/>
        <v/>
      </c>
      <c r="AY142" t="str">
        <f>IF(OR($A142="",O142="",MEMORIA_RESULTADOS!$I$260=""),"",ROUND(O142*$C142*(MEMORIA_RESULTADOS!$I$260-1),2))</f>
        <v/>
      </c>
      <c r="AZ142" t="str">
        <f>IF(OR($A142="",AX142="",MEMORIA_RESULTADOS!$I$260=""),"",ROUND(AX142*$C142*(parametros!$F$4-MEMORIA_RESULTADOS!$I$260),2))</f>
        <v/>
      </c>
      <c r="BA142" t="str">
        <f>IF($A142="","",ROUND(SUMIFS(itens_Consumidos!$K$2:$K$200,itens_Consumidos!$A$2:$A$200,$A142),2))</f>
        <v/>
      </c>
      <c r="BB142" t="str">
        <f t="shared" si="27"/>
        <v/>
      </c>
      <c r="BC142" t="str">
        <f>IF(OR($A142="",Q142="",MEMORIA_RESULTADOS!$I$261=""),"",ROUND(Q142*$C142*(MEMORIA_RESULTADOS!$I$261-1),2))</f>
        <v/>
      </c>
      <c r="BD142" t="str">
        <f>IF(OR($A142="",BB142="",MEMORIA_RESULTADOS!$I$261=""),"",ROUND(BB142*$C142*(parametros!$F$5-MEMORIA_RESULTADOS!$I$261),2))</f>
        <v/>
      </c>
      <c r="BE142" t="str">
        <f>IF($A142="","",ROUND(SUMIFS(itens_Consumidos!$M$2:$M$200,itens_Consumidos!$A$2:$A$200,$A142),2))</f>
        <v/>
      </c>
      <c r="BF142" t="str">
        <f t="shared" si="28"/>
        <v/>
      </c>
      <c r="BG142" t="str">
        <f>IF(OR($A142="",S142="",MEMORIA_RESULTADOS!$I$262=""),"",ROUND(S142*$C142*(MEMORIA_RESULTADOS!$I$262-1),2))</f>
        <v/>
      </c>
      <c r="BH142" t="str">
        <f>IF(OR($A142="",BF142="",MEMORIA_RESULTADOS!$I$262=""),"",ROUND(BF142*$C142*(parametros!$F$6-MEMORIA_RESULTADOS!$I$262),2))</f>
        <v/>
      </c>
      <c r="BI142" t="str">
        <f>IF($A142="","",IF(posicao_contratual!$AL142="","",posicao_contratual!$AL142))</f>
        <v/>
      </c>
    </row>
    <row r="143" spans="1:61" x14ac:dyDescent="0.35">
      <c r="A143" s="81"/>
      <c r="B143" s="82" t="str">
        <f t="shared" si="29"/>
        <v/>
      </c>
      <c r="C143" s="83"/>
      <c r="D143" s="79" t="str">
        <f>IF(AND(A143="",A142&lt;&gt;"",COUNTIF(A144:$A$200,"&lt;&gt;")=0),ROUND(SUMIF($A$2:A142,"&lt;&gt;",$D$2:D142),2),IF(OR(A143="",B143="",C143=""),"",ROUND(B143*C143,2)))</f>
        <v/>
      </c>
      <c r="E143" s="84"/>
      <c r="F143" s="79" t="str">
        <f>IF(AND(A143="",A142&lt;&gt;"",COUNTIF(A144:$A$200,"&lt;&gt;")=0),IF(COUNT(F$2:F142)=0,"",ROUND(SUMIF($A$2:A142,"&lt;&gt;",F$2:F142),2)),IF(OR(A143="",AND(ISNUMBER(posicao_contratual!$AL143),posicao_contratual!$AL143&gt;1),posicao_contratual!K143="",NOT(ISNUMBER(historico_VU!D143))),"",ROUND(posicao_contratual!K143*historico_VU!D143,2)))</f>
        <v/>
      </c>
      <c r="G143" s="84"/>
      <c r="H143" s="79" t="str">
        <f>IF(AND(A143="",A142&lt;&gt;"",COUNTIF(A144:$A$200,"&lt;&gt;")=0),IF(COUNT(H$2:H142)=0,"",ROUND(SUMIF($A$2:A142,"&lt;&gt;",H$2:H142),2)),IF(OR(A143="",AND(ISNUMBER(posicao_contratual!$AL143),posicao_contratual!$AL143&gt;2),posicao_contratual!O143="",NOT(ISNUMBER(historico_VU!E143))),"",ROUND(posicao_contratual!O143*historico_VU!E143,2)))</f>
        <v/>
      </c>
      <c r="I143" s="84"/>
      <c r="J143" s="79" t="str">
        <f>IF(AND(A143="",A142&lt;&gt;"",COUNTIF(A144:$A$200,"&lt;&gt;")=0),IF(COUNT(J$2:J142)=0,"",ROUND(SUMIF($A$2:A142,"&lt;&gt;",J$2:J142),2)),IF(OR(A143="",AND(ISNUMBER(posicao_contratual!$AL143),posicao_contratual!$AL143&gt;3),posicao_contratual!S143="",NOT(ISNUMBER(historico_VU!F143))),"",ROUND(posicao_contratual!S143*historico_VU!F143,2)))</f>
        <v/>
      </c>
      <c r="K143" s="84"/>
      <c r="L143" s="79" t="str">
        <f>IF(AND(A143="",A142&lt;&gt;"",COUNTIF(A144:$A$200,"&lt;&gt;")=0),IF(COUNT(L$2:L142)=0,"",ROUND(SUMIF($A$2:A142,"&lt;&gt;",L$2:L142),2)),IF(OR(A143="",AND(ISNUMBER(posicao_contratual!$AL143),posicao_contratual!$AL143&gt;4),posicao_contratual!W143="",NOT(ISNUMBER(historico_VU!G143))),"",ROUND(posicao_contratual!W143*historico_VU!G143,2)))</f>
        <v/>
      </c>
      <c r="M143" s="85" t="str">
        <f>IF(OR(posicao_contratual!J143="",posicao_contratual!N143=""),"",ROUND(MAX(posicao_contratual!J143+posicao_contratual!H143-posicao_contratual!N143,0),2))</f>
        <v/>
      </c>
      <c r="N143" s="79" t="str">
        <f>IF(AND(A143="",A142&lt;&gt;"",COUNTIF(A144:$A$200,"&lt;&gt;")=0),IF(COUNT(N$2:N142)=0,"",ROUND(SUMIF($A$2:A142,"&lt;&gt;",N$2:N142),2)),IF(OR(M143="",NOT(ISNUMBER(historico_VU!D143))),"",ROUND(M143*historico_VU!D143,2)))</f>
        <v/>
      </c>
      <c r="O143" s="85" t="str">
        <f>IF(OR(posicao_contratual!N143="",posicao_contratual!R143=""),"",ROUND(MAX(posicao_contratual!N143+posicao_contratual!L143-posicao_contratual!R143,0),2))</f>
        <v/>
      </c>
      <c r="P143" s="79" t="str">
        <f>IF(AND(A143="",A142&lt;&gt;"",COUNTIF(A144:$A$200,"&lt;&gt;")=0),IF(COUNT(P$2:P142)=0,"",ROUND(SUMIF($A$2:A142,"&lt;&gt;",P$2:P142),2)),IF(OR(O143="",NOT(ISNUMBER(historico_VU!E143))),"",ROUND(O143*historico_VU!E143,2)))</f>
        <v/>
      </c>
      <c r="Q143" s="85" t="str">
        <f>IF(OR(posicao_contratual!R143="",posicao_contratual!V143=""),"",ROUND(MAX(posicao_contratual!R143+posicao_contratual!P143-posicao_contratual!V143,0),2))</f>
        <v/>
      </c>
      <c r="R143" s="79" t="str">
        <f>IF(AND(A143="",A142&lt;&gt;"",COUNTIF(A144:$A$200,"&lt;&gt;")=0),IF(COUNT(R$2:R142)=0,"",ROUND(SUMIF($A$2:A142,"&lt;&gt;",R$2:R142),2)),IF(OR(Q143="",NOT(ISNUMBER(historico_VU!F143))),"",ROUND(Q143*historico_VU!F143,2)))</f>
        <v/>
      </c>
      <c r="S143" s="38"/>
      <c r="T143" s="39" t="str">
        <f>IF(AND(A143="",A142&lt;&gt;"",COUNTIF(A144:$A$200,"&lt;&gt;")=0),IF(COUNT(T$2:T142)=0,"",ROUND(SUMIF($A$2:A142,"&lt;&gt;",T$2:T142),2)),IF(OR(S143="",NOT(ISNUMBER(historico_VU!G143))),"",ROUND(S143*historico_VU!G143,2)))</f>
        <v/>
      </c>
      <c r="U143" s="86" t="str">
        <f>IF(AND(A143="",A142&lt;&gt;"",COUNTIF(A144:$A$200,"&lt;&gt;")=0),"TOTAL",IF(A143="","",posicao_contratual!X143))</f>
        <v/>
      </c>
      <c r="V143" s="86" t="str">
        <f>IF(A143="","",posicao_contratual!X143)</f>
        <v/>
      </c>
      <c r="W143" s="13"/>
      <c r="X143" s="13"/>
      <c r="Y143" s="13"/>
      <c r="Z143" s="13"/>
      <c r="AA143" s="13"/>
      <c r="AB143" s="85" t="str">
        <f>IF(OR(A143="",posicao_contratual!E143="",posicao_contratual!J143=""),"",ROUND(MAX(posicao_contratual!E143-posicao_contratual!J143,0),2))</f>
        <v/>
      </c>
      <c r="AC143" s="79" t="str">
        <f>IF(AND(A143="",A142&lt;&gt;"",COUNTIF(A144:$A$200,"&lt;&gt;")=0),IF(COUNT(AC$2:AC142)=0,"",ROUND(SUMIF($A$2:A142,"&lt;&gt;",AC$2:AC142),2)),IF(OR(AB143="",NOT(ISNUMBER(historico_VU!C143))),"",ROUND(AB143*historico_VU!C143,2)))</f>
        <v/>
      </c>
      <c r="AD143" s="145" t="str">
        <f>IF(A143="","",posicao_contratual!E143)</f>
        <v/>
      </c>
      <c r="AE143" s="145" t="str">
        <f>IF(A143="","",posicao_contratual!I143)</f>
        <v/>
      </c>
      <c r="AF143" s="145" t="str">
        <f>IF(A143="","",posicao_contratual!M143)</f>
        <v/>
      </c>
      <c r="AG143" s="145" t="str">
        <f>IF(A143="","",posicao_contratual!Q143)</f>
        <v/>
      </c>
      <c r="AH143" s="145" t="str">
        <f>IF(A143="","",posicao_contratual!U143)</f>
        <v/>
      </c>
      <c r="AI143" s="145" t="str">
        <f>IF(A143="","",posicao_contratual!G143)</f>
        <v/>
      </c>
      <c r="AJ143" s="145" t="str">
        <f>IF(A143="","",posicao_contratual!K143)</f>
        <v/>
      </c>
      <c r="AK143" s="145" t="str">
        <f>IF(A143="","",posicao_contratual!O143)</f>
        <v/>
      </c>
      <c r="AL143" s="145" t="str">
        <f>IF(A143="","",posicao_contratual!S143)</f>
        <v/>
      </c>
      <c r="AM143" s="145" t="str">
        <f>IF(A143="","",posicao_contratual!W143)</f>
        <v/>
      </c>
      <c r="AN143" s="146" t="str">
        <f>IF(A143="","",posicao_contratual!X143)</f>
        <v/>
      </c>
      <c r="AO143" t="str">
        <f>IF($A143="","",ROUND(SUMIFS(itens_Consumidos!$E$2:$E$200,itens_Consumidos!$A$2:$A$200,$A143),2))</f>
        <v/>
      </c>
      <c r="AP143" t="str">
        <f t="shared" si="24"/>
        <v/>
      </c>
      <c r="AQ143" t="str">
        <f>IF(OR($A143="",AB143="",MEMORIA_RESULTADOS!$I$258=""),"",ROUND(AB143*$C143*(MEMORIA_RESULTADOS!$I$258-1),2))</f>
        <v/>
      </c>
      <c r="AR143" t="str">
        <f>IF(OR($A143="",AP143="",MEMORIA_RESULTADOS!$I$258=""),"",ROUND(AP143*$C143*(parametros!$F$2-MEMORIA_RESULTADOS!$I$258),2))</f>
        <v/>
      </c>
      <c r="AS143" t="str">
        <f>IF($A143="","",ROUND(SUMIFS(itens_Consumidos!$G$2:$G$200,itens_Consumidos!$A$2:$A$200,$A143),2))</f>
        <v/>
      </c>
      <c r="AT143" t="str">
        <f t="shared" si="25"/>
        <v/>
      </c>
      <c r="AU143" t="str">
        <f>IF(OR($A143="",M143="",MEMORIA_RESULTADOS!$I$259=""),"",ROUND(M143*$C143*(MEMORIA_RESULTADOS!$I$259-1),2))</f>
        <v/>
      </c>
      <c r="AV143" t="str">
        <f>IF(OR($A143="",AT143="",MEMORIA_RESULTADOS!$I$259=""),"",ROUND(AT143*$C143*(parametros!$F$3-MEMORIA_RESULTADOS!$I$259),2))</f>
        <v/>
      </c>
      <c r="AW143" t="str">
        <f>IF($A143="","",ROUND(SUMIFS(itens_Consumidos!$I$2:$I$200,itens_Consumidos!$A$2:$A$200,$A143),2))</f>
        <v/>
      </c>
      <c r="AX143" t="str">
        <f t="shared" si="26"/>
        <v/>
      </c>
      <c r="AY143" t="str">
        <f>IF(OR($A143="",O143="",MEMORIA_RESULTADOS!$I$260=""),"",ROUND(O143*$C143*(MEMORIA_RESULTADOS!$I$260-1),2))</f>
        <v/>
      </c>
      <c r="AZ143" t="str">
        <f>IF(OR($A143="",AX143="",MEMORIA_RESULTADOS!$I$260=""),"",ROUND(AX143*$C143*(parametros!$F$4-MEMORIA_RESULTADOS!$I$260),2))</f>
        <v/>
      </c>
      <c r="BA143" t="str">
        <f>IF($A143="","",ROUND(SUMIFS(itens_Consumidos!$K$2:$K$200,itens_Consumidos!$A$2:$A$200,$A143),2))</f>
        <v/>
      </c>
      <c r="BB143" t="str">
        <f t="shared" si="27"/>
        <v/>
      </c>
      <c r="BC143" t="str">
        <f>IF(OR($A143="",Q143="",MEMORIA_RESULTADOS!$I$261=""),"",ROUND(Q143*$C143*(MEMORIA_RESULTADOS!$I$261-1),2))</f>
        <v/>
      </c>
      <c r="BD143" t="str">
        <f>IF(OR($A143="",BB143="",MEMORIA_RESULTADOS!$I$261=""),"",ROUND(BB143*$C143*(parametros!$F$5-MEMORIA_RESULTADOS!$I$261),2))</f>
        <v/>
      </c>
      <c r="BE143" t="str">
        <f>IF($A143="","",ROUND(SUMIFS(itens_Consumidos!$M$2:$M$200,itens_Consumidos!$A$2:$A$200,$A143),2))</f>
        <v/>
      </c>
      <c r="BF143" t="str">
        <f t="shared" si="28"/>
        <v/>
      </c>
      <c r="BG143" t="str">
        <f>IF(OR($A143="",S143="",MEMORIA_RESULTADOS!$I$262=""),"",ROUND(S143*$C143*(MEMORIA_RESULTADOS!$I$262-1),2))</f>
        <v/>
      </c>
      <c r="BH143" t="str">
        <f>IF(OR($A143="",BF143="",MEMORIA_RESULTADOS!$I$262=""),"",ROUND(BF143*$C143*(parametros!$F$6-MEMORIA_RESULTADOS!$I$262),2))</f>
        <v/>
      </c>
      <c r="BI143" t="str">
        <f>IF($A143="","",IF(posicao_contratual!$AL143="","",posicao_contratual!$AL143))</f>
        <v/>
      </c>
    </row>
    <row r="144" spans="1:61" x14ac:dyDescent="0.35">
      <c r="A144" s="81"/>
      <c r="B144" s="82" t="str">
        <f t="shared" si="29"/>
        <v/>
      </c>
      <c r="C144" s="83"/>
      <c r="D144" s="79" t="str">
        <f>IF(AND(A144="",A143&lt;&gt;"",COUNTIF(A145:$A$200,"&lt;&gt;")=0),ROUND(SUMIF($A$2:A143,"&lt;&gt;",$D$2:D143),2),IF(OR(A144="",B144="",C144=""),"",ROUND(B144*C144,2)))</f>
        <v/>
      </c>
      <c r="E144" s="84"/>
      <c r="F144" s="79" t="str">
        <f>IF(AND(A144="",A143&lt;&gt;"",COUNTIF(A145:$A$200,"&lt;&gt;")=0),IF(COUNT(F$2:F143)=0,"",ROUND(SUMIF($A$2:A143,"&lt;&gt;",F$2:F143),2)),IF(OR(A144="",AND(ISNUMBER(posicao_contratual!$AL144),posicao_contratual!$AL144&gt;1),posicao_contratual!K144="",NOT(ISNUMBER(historico_VU!D144))),"",ROUND(posicao_contratual!K144*historico_VU!D144,2)))</f>
        <v/>
      </c>
      <c r="G144" s="84"/>
      <c r="H144" s="79" t="str">
        <f>IF(AND(A144="",A143&lt;&gt;"",COUNTIF(A145:$A$200,"&lt;&gt;")=0),IF(COUNT(H$2:H143)=0,"",ROUND(SUMIF($A$2:A143,"&lt;&gt;",H$2:H143),2)),IF(OR(A144="",AND(ISNUMBER(posicao_contratual!$AL144),posicao_contratual!$AL144&gt;2),posicao_contratual!O144="",NOT(ISNUMBER(historico_VU!E144))),"",ROUND(posicao_contratual!O144*historico_VU!E144,2)))</f>
        <v/>
      </c>
      <c r="I144" s="84"/>
      <c r="J144" s="79" t="str">
        <f>IF(AND(A144="",A143&lt;&gt;"",COUNTIF(A145:$A$200,"&lt;&gt;")=0),IF(COUNT(J$2:J143)=0,"",ROUND(SUMIF($A$2:A143,"&lt;&gt;",J$2:J143),2)),IF(OR(A144="",AND(ISNUMBER(posicao_contratual!$AL144),posicao_contratual!$AL144&gt;3),posicao_contratual!S144="",NOT(ISNUMBER(historico_VU!F144))),"",ROUND(posicao_contratual!S144*historico_VU!F144,2)))</f>
        <v/>
      </c>
      <c r="K144" s="84"/>
      <c r="L144" s="79" t="str">
        <f>IF(AND(A144="",A143&lt;&gt;"",COUNTIF(A145:$A$200,"&lt;&gt;")=0),IF(COUNT(L$2:L143)=0,"",ROUND(SUMIF($A$2:A143,"&lt;&gt;",L$2:L143),2)),IF(OR(A144="",AND(ISNUMBER(posicao_contratual!$AL144),posicao_contratual!$AL144&gt;4),posicao_contratual!W144="",NOT(ISNUMBER(historico_VU!G144))),"",ROUND(posicao_contratual!W144*historico_VU!G144,2)))</f>
        <v/>
      </c>
      <c r="M144" s="85" t="str">
        <f>IF(OR(posicao_contratual!J144="",posicao_contratual!N144=""),"",ROUND(MAX(posicao_contratual!J144+posicao_contratual!H144-posicao_contratual!N144,0),2))</f>
        <v/>
      </c>
      <c r="N144" s="79" t="str">
        <f>IF(AND(A144="",A143&lt;&gt;"",COUNTIF(A145:$A$200,"&lt;&gt;")=0),IF(COUNT(N$2:N143)=0,"",ROUND(SUMIF($A$2:A143,"&lt;&gt;",N$2:N143),2)),IF(OR(M144="",NOT(ISNUMBER(historico_VU!D144))),"",ROUND(M144*historico_VU!D144,2)))</f>
        <v/>
      </c>
      <c r="O144" s="85" t="str">
        <f>IF(OR(posicao_contratual!N144="",posicao_contratual!R144=""),"",ROUND(MAX(posicao_contratual!N144+posicao_contratual!L144-posicao_contratual!R144,0),2))</f>
        <v/>
      </c>
      <c r="P144" s="79" t="str">
        <f>IF(AND(A144="",A143&lt;&gt;"",COUNTIF(A145:$A$200,"&lt;&gt;")=0),IF(COUNT(P$2:P143)=0,"",ROUND(SUMIF($A$2:A143,"&lt;&gt;",P$2:P143),2)),IF(OR(O144="",NOT(ISNUMBER(historico_VU!E144))),"",ROUND(O144*historico_VU!E144,2)))</f>
        <v/>
      </c>
      <c r="Q144" s="85" t="str">
        <f>IF(OR(posicao_contratual!R144="",posicao_contratual!V144=""),"",ROUND(MAX(posicao_contratual!R144+posicao_contratual!P144-posicao_contratual!V144,0),2))</f>
        <v/>
      </c>
      <c r="R144" s="79" t="str">
        <f>IF(AND(A144="",A143&lt;&gt;"",COUNTIF(A145:$A$200,"&lt;&gt;")=0),IF(COUNT(R$2:R143)=0,"",ROUND(SUMIF($A$2:A143,"&lt;&gt;",R$2:R143),2)),IF(OR(Q144="",NOT(ISNUMBER(historico_VU!F144))),"",ROUND(Q144*historico_VU!F144,2)))</f>
        <v/>
      </c>
      <c r="S144" s="38"/>
      <c r="T144" s="39" t="str">
        <f>IF(AND(A144="",A143&lt;&gt;"",COUNTIF(A145:$A$200,"&lt;&gt;")=0),IF(COUNT(T$2:T143)=0,"",ROUND(SUMIF($A$2:A143,"&lt;&gt;",T$2:T143),2)),IF(OR(S144="",NOT(ISNUMBER(historico_VU!G144))),"",ROUND(S144*historico_VU!G144,2)))</f>
        <v/>
      </c>
      <c r="U144" s="86" t="str">
        <f>IF(AND(A144="",A143&lt;&gt;"",COUNTIF(A145:$A$200,"&lt;&gt;")=0),"TOTAL",IF(A144="","",posicao_contratual!X144))</f>
        <v/>
      </c>
      <c r="V144" s="86" t="str">
        <f>IF(A144="","",posicao_contratual!X144)</f>
        <v/>
      </c>
      <c r="W144" s="13"/>
      <c r="X144" s="13"/>
      <c r="Y144" s="13"/>
      <c r="Z144" s="13"/>
      <c r="AA144" s="13"/>
      <c r="AB144" s="85" t="str">
        <f>IF(OR(A144="",posicao_contratual!E144="",posicao_contratual!J144=""),"",ROUND(MAX(posicao_contratual!E144-posicao_contratual!J144,0),2))</f>
        <v/>
      </c>
      <c r="AC144" s="79" t="str">
        <f>IF(AND(A144="",A143&lt;&gt;"",COUNTIF(A145:$A$200,"&lt;&gt;")=0),IF(COUNT(AC$2:AC143)=0,"",ROUND(SUMIF($A$2:A143,"&lt;&gt;",AC$2:AC143),2)),IF(OR(AB144="",NOT(ISNUMBER(historico_VU!C144))),"",ROUND(AB144*historico_VU!C144,2)))</f>
        <v/>
      </c>
      <c r="AD144" s="145" t="str">
        <f>IF(A144="","",posicao_contratual!E144)</f>
        <v/>
      </c>
      <c r="AE144" s="145" t="str">
        <f>IF(A144="","",posicao_contratual!I144)</f>
        <v/>
      </c>
      <c r="AF144" s="145" t="str">
        <f>IF(A144="","",posicao_contratual!M144)</f>
        <v/>
      </c>
      <c r="AG144" s="145" t="str">
        <f>IF(A144="","",posicao_contratual!Q144)</f>
        <v/>
      </c>
      <c r="AH144" s="145" t="str">
        <f>IF(A144="","",posicao_contratual!U144)</f>
        <v/>
      </c>
      <c r="AI144" s="145" t="str">
        <f>IF(A144="","",posicao_contratual!G144)</f>
        <v/>
      </c>
      <c r="AJ144" s="145" t="str">
        <f>IF(A144="","",posicao_contratual!K144)</f>
        <v/>
      </c>
      <c r="AK144" s="145" t="str">
        <f>IF(A144="","",posicao_contratual!O144)</f>
        <v/>
      </c>
      <c r="AL144" s="145" t="str">
        <f>IF(A144="","",posicao_contratual!S144)</f>
        <v/>
      </c>
      <c r="AM144" s="145" t="str">
        <f>IF(A144="","",posicao_contratual!W144)</f>
        <v/>
      </c>
      <c r="AN144" s="146" t="str">
        <f>IF(A144="","",posicao_contratual!X144)</f>
        <v/>
      </c>
      <c r="AO144" t="str">
        <f>IF($A144="","",ROUND(SUMIFS(itens_Consumidos!$E$2:$E$200,itens_Consumidos!$A$2:$A$200,$A144),2))</f>
        <v/>
      </c>
      <c r="AP144" t="str">
        <f t="shared" si="24"/>
        <v/>
      </c>
      <c r="AQ144" t="str">
        <f>IF(OR($A144="",AB144="",MEMORIA_RESULTADOS!$I$258=""),"",ROUND(AB144*$C144*(MEMORIA_RESULTADOS!$I$258-1),2))</f>
        <v/>
      </c>
      <c r="AR144" t="str">
        <f>IF(OR($A144="",AP144="",MEMORIA_RESULTADOS!$I$258=""),"",ROUND(AP144*$C144*(parametros!$F$2-MEMORIA_RESULTADOS!$I$258),2))</f>
        <v/>
      </c>
      <c r="AS144" t="str">
        <f>IF($A144="","",ROUND(SUMIFS(itens_Consumidos!$G$2:$G$200,itens_Consumidos!$A$2:$A$200,$A144),2))</f>
        <v/>
      </c>
      <c r="AT144" t="str">
        <f t="shared" si="25"/>
        <v/>
      </c>
      <c r="AU144" t="str">
        <f>IF(OR($A144="",M144="",MEMORIA_RESULTADOS!$I$259=""),"",ROUND(M144*$C144*(MEMORIA_RESULTADOS!$I$259-1),2))</f>
        <v/>
      </c>
      <c r="AV144" t="str">
        <f>IF(OR($A144="",AT144="",MEMORIA_RESULTADOS!$I$259=""),"",ROUND(AT144*$C144*(parametros!$F$3-MEMORIA_RESULTADOS!$I$259),2))</f>
        <v/>
      </c>
      <c r="AW144" t="str">
        <f>IF($A144="","",ROUND(SUMIFS(itens_Consumidos!$I$2:$I$200,itens_Consumidos!$A$2:$A$200,$A144),2))</f>
        <v/>
      </c>
      <c r="AX144" t="str">
        <f t="shared" si="26"/>
        <v/>
      </c>
      <c r="AY144" t="str">
        <f>IF(OR($A144="",O144="",MEMORIA_RESULTADOS!$I$260=""),"",ROUND(O144*$C144*(MEMORIA_RESULTADOS!$I$260-1),2))</f>
        <v/>
      </c>
      <c r="AZ144" t="str">
        <f>IF(OR($A144="",AX144="",MEMORIA_RESULTADOS!$I$260=""),"",ROUND(AX144*$C144*(parametros!$F$4-MEMORIA_RESULTADOS!$I$260),2))</f>
        <v/>
      </c>
      <c r="BA144" t="str">
        <f>IF($A144="","",ROUND(SUMIFS(itens_Consumidos!$K$2:$K$200,itens_Consumidos!$A$2:$A$200,$A144),2))</f>
        <v/>
      </c>
      <c r="BB144" t="str">
        <f t="shared" si="27"/>
        <v/>
      </c>
      <c r="BC144" t="str">
        <f>IF(OR($A144="",Q144="",MEMORIA_RESULTADOS!$I$261=""),"",ROUND(Q144*$C144*(MEMORIA_RESULTADOS!$I$261-1),2))</f>
        <v/>
      </c>
      <c r="BD144" t="str">
        <f>IF(OR($A144="",BB144="",MEMORIA_RESULTADOS!$I$261=""),"",ROUND(BB144*$C144*(parametros!$F$5-MEMORIA_RESULTADOS!$I$261),2))</f>
        <v/>
      </c>
      <c r="BE144" t="str">
        <f>IF($A144="","",ROUND(SUMIFS(itens_Consumidos!$M$2:$M$200,itens_Consumidos!$A$2:$A$200,$A144),2))</f>
        <v/>
      </c>
      <c r="BF144" t="str">
        <f t="shared" si="28"/>
        <v/>
      </c>
      <c r="BG144" t="str">
        <f>IF(OR($A144="",S144="",MEMORIA_RESULTADOS!$I$262=""),"",ROUND(S144*$C144*(MEMORIA_RESULTADOS!$I$262-1),2))</f>
        <v/>
      </c>
      <c r="BH144" t="str">
        <f>IF(OR($A144="",BF144="",MEMORIA_RESULTADOS!$I$262=""),"",ROUND(BF144*$C144*(parametros!$F$6-MEMORIA_RESULTADOS!$I$262),2))</f>
        <v/>
      </c>
      <c r="BI144" t="str">
        <f>IF($A144="","",IF(posicao_contratual!$AL144="","",posicao_contratual!$AL144))</f>
        <v/>
      </c>
    </row>
    <row r="145" spans="1:61" x14ac:dyDescent="0.35">
      <c r="A145" s="81"/>
      <c r="B145" s="82" t="str">
        <f t="shared" si="29"/>
        <v/>
      </c>
      <c r="C145" s="83"/>
      <c r="D145" s="79" t="str">
        <f>IF(AND(A145="",A144&lt;&gt;"",COUNTIF(A146:$A$200,"&lt;&gt;")=0),ROUND(SUMIF($A$2:A144,"&lt;&gt;",$D$2:D144),2),IF(OR(A145="",B145="",C145=""),"",ROUND(B145*C145,2)))</f>
        <v/>
      </c>
      <c r="E145" s="84"/>
      <c r="F145" s="79" t="str">
        <f>IF(AND(A145="",A144&lt;&gt;"",COUNTIF(A146:$A$200,"&lt;&gt;")=0),IF(COUNT(F$2:F144)=0,"",ROUND(SUMIF($A$2:A144,"&lt;&gt;",F$2:F144),2)),IF(OR(A145="",AND(ISNUMBER(posicao_contratual!$AL145),posicao_contratual!$AL145&gt;1),posicao_contratual!K145="",NOT(ISNUMBER(historico_VU!D145))),"",ROUND(posicao_contratual!K145*historico_VU!D145,2)))</f>
        <v/>
      </c>
      <c r="G145" s="84"/>
      <c r="H145" s="79" t="str">
        <f>IF(AND(A145="",A144&lt;&gt;"",COUNTIF(A146:$A$200,"&lt;&gt;")=0),IF(COUNT(H$2:H144)=0,"",ROUND(SUMIF($A$2:A144,"&lt;&gt;",H$2:H144),2)),IF(OR(A145="",AND(ISNUMBER(posicao_contratual!$AL145),posicao_contratual!$AL145&gt;2),posicao_contratual!O145="",NOT(ISNUMBER(historico_VU!E145))),"",ROUND(posicao_contratual!O145*historico_VU!E145,2)))</f>
        <v/>
      </c>
      <c r="I145" s="84"/>
      <c r="J145" s="79" t="str">
        <f>IF(AND(A145="",A144&lt;&gt;"",COUNTIF(A146:$A$200,"&lt;&gt;")=0),IF(COUNT(J$2:J144)=0,"",ROUND(SUMIF($A$2:A144,"&lt;&gt;",J$2:J144),2)),IF(OR(A145="",AND(ISNUMBER(posicao_contratual!$AL145),posicao_contratual!$AL145&gt;3),posicao_contratual!S145="",NOT(ISNUMBER(historico_VU!F145))),"",ROUND(posicao_contratual!S145*historico_VU!F145,2)))</f>
        <v/>
      </c>
      <c r="K145" s="84"/>
      <c r="L145" s="79" t="str">
        <f>IF(AND(A145="",A144&lt;&gt;"",COUNTIF(A146:$A$200,"&lt;&gt;")=0),IF(COUNT(L$2:L144)=0,"",ROUND(SUMIF($A$2:A144,"&lt;&gt;",L$2:L144),2)),IF(OR(A145="",AND(ISNUMBER(posicao_contratual!$AL145),posicao_contratual!$AL145&gt;4),posicao_contratual!W145="",NOT(ISNUMBER(historico_VU!G145))),"",ROUND(posicao_contratual!W145*historico_VU!G145,2)))</f>
        <v/>
      </c>
      <c r="M145" s="85" t="str">
        <f>IF(OR(posicao_contratual!J145="",posicao_contratual!N145=""),"",ROUND(MAX(posicao_contratual!J145+posicao_contratual!H145-posicao_contratual!N145,0),2))</f>
        <v/>
      </c>
      <c r="N145" s="79" t="str">
        <f>IF(AND(A145="",A144&lt;&gt;"",COUNTIF(A146:$A$200,"&lt;&gt;")=0),IF(COUNT(N$2:N144)=0,"",ROUND(SUMIF($A$2:A144,"&lt;&gt;",N$2:N144),2)),IF(OR(M145="",NOT(ISNUMBER(historico_VU!D145))),"",ROUND(M145*historico_VU!D145,2)))</f>
        <v/>
      </c>
      <c r="O145" s="85" t="str">
        <f>IF(OR(posicao_contratual!N145="",posicao_contratual!R145=""),"",ROUND(MAX(posicao_contratual!N145+posicao_contratual!L145-posicao_contratual!R145,0),2))</f>
        <v/>
      </c>
      <c r="P145" s="79" t="str">
        <f>IF(AND(A145="",A144&lt;&gt;"",COUNTIF(A146:$A$200,"&lt;&gt;")=0),IF(COUNT(P$2:P144)=0,"",ROUND(SUMIF($A$2:A144,"&lt;&gt;",P$2:P144),2)),IF(OR(O145="",NOT(ISNUMBER(historico_VU!E145))),"",ROUND(O145*historico_VU!E145,2)))</f>
        <v/>
      </c>
      <c r="Q145" s="85" t="str">
        <f>IF(OR(posicao_contratual!R145="",posicao_contratual!V145=""),"",ROUND(MAX(posicao_contratual!R145+posicao_contratual!P145-posicao_contratual!V145,0),2))</f>
        <v/>
      </c>
      <c r="R145" s="79" t="str">
        <f>IF(AND(A145="",A144&lt;&gt;"",COUNTIF(A146:$A$200,"&lt;&gt;")=0),IF(COUNT(R$2:R144)=0,"",ROUND(SUMIF($A$2:A144,"&lt;&gt;",R$2:R144),2)),IF(OR(Q145="",NOT(ISNUMBER(historico_VU!F145))),"",ROUND(Q145*historico_VU!F145,2)))</f>
        <v/>
      </c>
      <c r="S145" s="38"/>
      <c r="T145" s="39" t="str">
        <f>IF(AND(A145="",A144&lt;&gt;"",COUNTIF(A146:$A$200,"&lt;&gt;")=0),IF(COUNT(T$2:T144)=0,"",ROUND(SUMIF($A$2:A144,"&lt;&gt;",T$2:T144),2)),IF(OR(S145="",NOT(ISNUMBER(historico_VU!G145))),"",ROUND(S145*historico_VU!G145,2)))</f>
        <v/>
      </c>
      <c r="U145" s="86" t="str">
        <f>IF(AND(A145="",A144&lt;&gt;"",COUNTIF(A146:$A$200,"&lt;&gt;")=0),"TOTAL",IF(A145="","",posicao_contratual!X145))</f>
        <v/>
      </c>
      <c r="V145" s="86" t="str">
        <f>IF(A145="","",posicao_contratual!X145)</f>
        <v/>
      </c>
      <c r="W145" s="13"/>
      <c r="X145" s="13"/>
      <c r="Y145" s="13"/>
      <c r="Z145" s="13"/>
      <c r="AA145" s="13"/>
      <c r="AB145" s="85" t="str">
        <f>IF(OR(A145="",posicao_contratual!E145="",posicao_contratual!J145=""),"",ROUND(MAX(posicao_contratual!E145-posicao_contratual!J145,0),2))</f>
        <v/>
      </c>
      <c r="AC145" s="79" t="str">
        <f>IF(AND(A145="",A144&lt;&gt;"",COUNTIF(A146:$A$200,"&lt;&gt;")=0),IF(COUNT(AC$2:AC144)=0,"",ROUND(SUMIF($A$2:A144,"&lt;&gt;",AC$2:AC144),2)),IF(OR(AB145="",NOT(ISNUMBER(historico_VU!C145))),"",ROUND(AB145*historico_VU!C145,2)))</f>
        <v/>
      </c>
      <c r="AD145" s="145" t="str">
        <f>IF(A145="","",posicao_contratual!E145)</f>
        <v/>
      </c>
      <c r="AE145" s="145" t="str">
        <f>IF(A145="","",posicao_contratual!I145)</f>
        <v/>
      </c>
      <c r="AF145" s="145" t="str">
        <f>IF(A145="","",posicao_contratual!M145)</f>
        <v/>
      </c>
      <c r="AG145" s="145" t="str">
        <f>IF(A145="","",posicao_contratual!Q145)</f>
        <v/>
      </c>
      <c r="AH145" s="145" t="str">
        <f>IF(A145="","",posicao_contratual!U145)</f>
        <v/>
      </c>
      <c r="AI145" s="145" t="str">
        <f>IF(A145="","",posicao_contratual!G145)</f>
        <v/>
      </c>
      <c r="AJ145" s="145" t="str">
        <f>IF(A145="","",posicao_contratual!K145)</f>
        <v/>
      </c>
      <c r="AK145" s="145" t="str">
        <f>IF(A145="","",posicao_contratual!O145)</f>
        <v/>
      </c>
      <c r="AL145" s="145" t="str">
        <f>IF(A145="","",posicao_contratual!S145)</f>
        <v/>
      </c>
      <c r="AM145" s="145" t="str">
        <f>IF(A145="","",posicao_contratual!W145)</f>
        <v/>
      </c>
      <c r="AN145" s="146" t="str">
        <f>IF(A145="","",posicao_contratual!X145)</f>
        <v/>
      </c>
      <c r="AO145" t="str">
        <f>IF($A145="","",ROUND(SUMIFS(itens_Consumidos!$E$2:$E$200,itens_Consumidos!$A$2:$A$200,$A145),2))</f>
        <v/>
      </c>
      <c r="AP145" t="str">
        <f t="shared" si="24"/>
        <v/>
      </c>
      <c r="AQ145" t="str">
        <f>IF(OR($A145="",AB145="",MEMORIA_RESULTADOS!$I$258=""),"",ROUND(AB145*$C145*(MEMORIA_RESULTADOS!$I$258-1),2))</f>
        <v/>
      </c>
      <c r="AR145" t="str">
        <f>IF(OR($A145="",AP145="",MEMORIA_RESULTADOS!$I$258=""),"",ROUND(AP145*$C145*(parametros!$F$2-MEMORIA_RESULTADOS!$I$258),2))</f>
        <v/>
      </c>
      <c r="AS145" t="str">
        <f>IF($A145="","",ROUND(SUMIFS(itens_Consumidos!$G$2:$G$200,itens_Consumidos!$A$2:$A$200,$A145),2))</f>
        <v/>
      </c>
      <c r="AT145" t="str">
        <f t="shared" si="25"/>
        <v/>
      </c>
      <c r="AU145" t="str">
        <f>IF(OR($A145="",M145="",MEMORIA_RESULTADOS!$I$259=""),"",ROUND(M145*$C145*(MEMORIA_RESULTADOS!$I$259-1),2))</f>
        <v/>
      </c>
      <c r="AV145" t="str">
        <f>IF(OR($A145="",AT145="",MEMORIA_RESULTADOS!$I$259=""),"",ROUND(AT145*$C145*(parametros!$F$3-MEMORIA_RESULTADOS!$I$259),2))</f>
        <v/>
      </c>
      <c r="AW145" t="str">
        <f>IF($A145="","",ROUND(SUMIFS(itens_Consumidos!$I$2:$I$200,itens_Consumidos!$A$2:$A$200,$A145),2))</f>
        <v/>
      </c>
      <c r="AX145" t="str">
        <f t="shared" si="26"/>
        <v/>
      </c>
      <c r="AY145" t="str">
        <f>IF(OR($A145="",O145="",MEMORIA_RESULTADOS!$I$260=""),"",ROUND(O145*$C145*(MEMORIA_RESULTADOS!$I$260-1),2))</f>
        <v/>
      </c>
      <c r="AZ145" t="str">
        <f>IF(OR($A145="",AX145="",MEMORIA_RESULTADOS!$I$260=""),"",ROUND(AX145*$C145*(parametros!$F$4-MEMORIA_RESULTADOS!$I$260),2))</f>
        <v/>
      </c>
      <c r="BA145" t="str">
        <f>IF($A145="","",ROUND(SUMIFS(itens_Consumidos!$K$2:$K$200,itens_Consumidos!$A$2:$A$200,$A145),2))</f>
        <v/>
      </c>
      <c r="BB145" t="str">
        <f t="shared" si="27"/>
        <v/>
      </c>
      <c r="BC145" t="str">
        <f>IF(OR($A145="",Q145="",MEMORIA_RESULTADOS!$I$261=""),"",ROUND(Q145*$C145*(MEMORIA_RESULTADOS!$I$261-1),2))</f>
        <v/>
      </c>
      <c r="BD145" t="str">
        <f>IF(OR($A145="",BB145="",MEMORIA_RESULTADOS!$I$261=""),"",ROUND(BB145*$C145*(parametros!$F$5-MEMORIA_RESULTADOS!$I$261),2))</f>
        <v/>
      </c>
      <c r="BE145" t="str">
        <f>IF($A145="","",ROUND(SUMIFS(itens_Consumidos!$M$2:$M$200,itens_Consumidos!$A$2:$A$200,$A145),2))</f>
        <v/>
      </c>
      <c r="BF145" t="str">
        <f t="shared" si="28"/>
        <v/>
      </c>
      <c r="BG145" t="str">
        <f>IF(OR($A145="",S145="",MEMORIA_RESULTADOS!$I$262=""),"",ROUND(S145*$C145*(MEMORIA_RESULTADOS!$I$262-1),2))</f>
        <v/>
      </c>
      <c r="BH145" t="str">
        <f>IF(OR($A145="",BF145="",MEMORIA_RESULTADOS!$I$262=""),"",ROUND(BF145*$C145*(parametros!$F$6-MEMORIA_RESULTADOS!$I$262),2))</f>
        <v/>
      </c>
      <c r="BI145" t="str">
        <f>IF($A145="","",IF(posicao_contratual!$AL145="","",posicao_contratual!$AL145))</f>
        <v/>
      </c>
    </row>
    <row r="146" spans="1:61" x14ac:dyDescent="0.35">
      <c r="A146" s="81"/>
      <c r="B146" s="82" t="str">
        <f t="shared" si="29"/>
        <v/>
      </c>
      <c r="C146" s="83"/>
      <c r="D146" s="79" t="str">
        <f>IF(AND(A146="",A145&lt;&gt;"",COUNTIF(A147:$A$200,"&lt;&gt;")=0),ROUND(SUMIF($A$2:A145,"&lt;&gt;",$D$2:D145),2),IF(OR(A146="",B146="",C146=""),"",ROUND(B146*C146,2)))</f>
        <v/>
      </c>
      <c r="E146" s="84"/>
      <c r="F146" s="79" t="str">
        <f>IF(AND(A146="",A145&lt;&gt;"",COUNTIF(A147:$A$200,"&lt;&gt;")=0),IF(COUNT(F$2:F145)=0,"",ROUND(SUMIF($A$2:A145,"&lt;&gt;",F$2:F145),2)),IF(OR(A146="",AND(ISNUMBER(posicao_contratual!$AL146),posicao_contratual!$AL146&gt;1),posicao_contratual!K146="",NOT(ISNUMBER(historico_VU!D146))),"",ROUND(posicao_contratual!K146*historico_VU!D146,2)))</f>
        <v/>
      </c>
      <c r="G146" s="84"/>
      <c r="H146" s="79" t="str">
        <f>IF(AND(A146="",A145&lt;&gt;"",COUNTIF(A147:$A$200,"&lt;&gt;")=0),IF(COUNT(H$2:H145)=0,"",ROUND(SUMIF($A$2:A145,"&lt;&gt;",H$2:H145),2)),IF(OR(A146="",AND(ISNUMBER(posicao_contratual!$AL146),posicao_contratual!$AL146&gt;2),posicao_contratual!O146="",NOT(ISNUMBER(historico_VU!E146))),"",ROUND(posicao_contratual!O146*historico_VU!E146,2)))</f>
        <v/>
      </c>
      <c r="I146" s="84"/>
      <c r="J146" s="79" t="str">
        <f>IF(AND(A146="",A145&lt;&gt;"",COUNTIF(A147:$A$200,"&lt;&gt;")=0),IF(COUNT(J$2:J145)=0,"",ROUND(SUMIF($A$2:A145,"&lt;&gt;",J$2:J145),2)),IF(OR(A146="",AND(ISNUMBER(posicao_contratual!$AL146),posicao_contratual!$AL146&gt;3),posicao_contratual!S146="",NOT(ISNUMBER(historico_VU!F146))),"",ROUND(posicao_contratual!S146*historico_VU!F146,2)))</f>
        <v/>
      </c>
      <c r="K146" s="84"/>
      <c r="L146" s="79" t="str">
        <f>IF(AND(A146="",A145&lt;&gt;"",COUNTIF(A147:$A$200,"&lt;&gt;")=0),IF(COUNT(L$2:L145)=0,"",ROUND(SUMIF($A$2:A145,"&lt;&gt;",L$2:L145),2)),IF(OR(A146="",AND(ISNUMBER(posicao_contratual!$AL146),posicao_contratual!$AL146&gt;4),posicao_contratual!W146="",NOT(ISNUMBER(historico_VU!G146))),"",ROUND(posicao_contratual!W146*historico_VU!G146,2)))</f>
        <v/>
      </c>
      <c r="M146" s="85" t="str">
        <f>IF(OR(posicao_contratual!J146="",posicao_contratual!N146=""),"",ROUND(MAX(posicao_contratual!J146+posicao_contratual!H146-posicao_contratual!N146,0),2))</f>
        <v/>
      </c>
      <c r="N146" s="79" t="str">
        <f>IF(AND(A146="",A145&lt;&gt;"",COUNTIF(A147:$A$200,"&lt;&gt;")=0),IF(COUNT(N$2:N145)=0,"",ROUND(SUMIF($A$2:A145,"&lt;&gt;",N$2:N145),2)),IF(OR(M146="",NOT(ISNUMBER(historico_VU!D146))),"",ROUND(M146*historico_VU!D146,2)))</f>
        <v/>
      </c>
      <c r="O146" s="85" t="str">
        <f>IF(OR(posicao_contratual!N146="",posicao_contratual!R146=""),"",ROUND(MAX(posicao_contratual!N146+posicao_contratual!L146-posicao_contratual!R146,0),2))</f>
        <v/>
      </c>
      <c r="P146" s="79" t="str">
        <f>IF(AND(A146="",A145&lt;&gt;"",COUNTIF(A147:$A$200,"&lt;&gt;")=0),IF(COUNT(P$2:P145)=0,"",ROUND(SUMIF($A$2:A145,"&lt;&gt;",P$2:P145),2)),IF(OR(O146="",NOT(ISNUMBER(historico_VU!E146))),"",ROUND(O146*historico_VU!E146,2)))</f>
        <v/>
      </c>
      <c r="Q146" s="85" t="str">
        <f>IF(OR(posicao_contratual!R146="",posicao_contratual!V146=""),"",ROUND(MAX(posicao_contratual!R146+posicao_contratual!P146-posicao_contratual!V146,0),2))</f>
        <v/>
      </c>
      <c r="R146" s="79" t="str">
        <f>IF(AND(A146="",A145&lt;&gt;"",COUNTIF(A147:$A$200,"&lt;&gt;")=0),IF(COUNT(R$2:R145)=0,"",ROUND(SUMIF($A$2:A145,"&lt;&gt;",R$2:R145),2)),IF(OR(Q146="",NOT(ISNUMBER(historico_VU!F146))),"",ROUND(Q146*historico_VU!F146,2)))</f>
        <v/>
      </c>
      <c r="S146" s="38"/>
      <c r="T146" s="39" t="str">
        <f>IF(AND(A146="",A145&lt;&gt;"",COUNTIF(A147:$A$200,"&lt;&gt;")=0),IF(COUNT(T$2:T145)=0,"",ROUND(SUMIF($A$2:A145,"&lt;&gt;",T$2:T145),2)),IF(OR(S146="",NOT(ISNUMBER(historico_VU!G146))),"",ROUND(S146*historico_VU!G146,2)))</f>
        <v/>
      </c>
      <c r="U146" s="86" t="str">
        <f>IF(AND(A146="",A145&lt;&gt;"",COUNTIF(A147:$A$200,"&lt;&gt;")=0),"TOTAL",IF(A146="","",posicao_contratual!X146))</f>
        <v/>
      </c>
      <c r="V146" s="86" t="str">
        <f>IF(A146="","",posicao_contratual!X146)</f>
        <v/>
      </c>
      <c r="W146" s="13"/>
      <c r="X146" s="13"/>
      <c r="Y146" s="13"/>
      <c r="Z146" s="13"/>
      <c r="AA146" s="13"/>
      <c r="AB146" s="85" t="str">
        <f>IF(OR(A146="",posicao_contratual!E146="",posicao_contratual!J146=""),"",ROUND(MAX(posicao_contratual!E146-posicao_contratual!J146,0),2))</f>
        <v/>
      </c>
      <c r="AC146" s="79" t="str">
        <f>IF(AND(A146="",A145&lt;&gt;"",COUNTIF(A147:$A$200,"&lt;&gt;")=0),IF(COUNT(AC$2:AC145)=0,"",ROUND(SUMIF($A$2:A145,"&lt;&gt;",AC$2:AC145),2)),IF(OR(AB146="",NOT(ISNUMBER(historico_VU!C146))),"",ROUND(AB146*historico_VU!C146,2)))</f>
        <v/>
      </c>
      <c r="AD146" s="145" t="str">
        <f>IF(A146="","",posicao_contratual!E146)</f>
        <v/>
      </c>
      <c r="AE146" s="145" t="str">
        <f>IF(A146="","",posicao_contratual!I146)</f>
        <v/>
      </c>
      <c r="AF146" s="145" t="str">
        <f>IF(A146="","",posicao_contratual!M146)</f>
        <v/>
      </c>
      <c r="AG146" s="145" t="str">
        <f>IF(A146="","",posicao_contratual!Q146)</f>
        <v/>
      </c>
      <c r="AH146" s="145" t="str">
        <f>IF(A146="","",posicao_contratual!U146)</f>
        <v/>
      </c>
      <c r="AI146" s="145" t="str">
        <f>IF(A146="","",posicao_contratual!G146)</f>
        <v/>
      </c>
      <c r="AJ146" s="145" t="str">
        <f>IF(A146="","",posicao_contratual!K146)</f>
        <v/>
      </c>
      <c r="AK146" s="145" t="str">
        <f>IF(A146="","",posicao_contratual!O146)</f>
        <v/>
      </c>
      <c r="AL146" s="145" t="str">
        <f>IF(A146="","",posicao_contratual!S146)</f>
        <v/>
      </c>
      <c r="AM146" s="145" t="str">
        <f>IF(A146="","",posicao_contratual!W146)</f>
        <v/>
      </c>
      <c r="AN146" s="146" t="str">
        <f>IF(A146="","",posicao_contratual!X146)</f>
        <v/>
      </c>
      <c r="AO146" t="str">
        <f>IF($A146="","",ROUND(SUMIFS(itens_Consumidos!$E$2:$E$200,itens_Consumidos!$A$2:$A$200,$A146),2))</f>
        <v/>
      </c>
      <c r="AP146" t="str">
        <f t="shared" si="24"/>
        <v/>
      </c>
      <c r="AQ146" t="str">
        <f>IF(OR($A146="",AB146="",MEMORIA_RESULTADOS!$I$258=""),"",ROUND(AB146*$C146*(MEMORIA_RESULTADOS!$I$258-1),2))</f>
        <v/>
      </c>
      <c r="AR146" t="str">
        <f>IF(OR($A146="",AP146="",MEMORIA_RESULTADOS!$I$258=""),"",ROUND(AP146*$C146*(parametros!$F$2-MEMORIA_RESULTADOS!$I$258),2))</f>
        <v/>
      </c>
      <c r="AS146" t="str">
        <f>IF($A146="","",ROUND(SUMIFS(itens_Consumidos!$G$2:$G$200,itens_Consumidos!$A$2:$A$200,$A146),2))</f>
        <v/>
      </c>
      <c r="AT146" t="str">
        <f t="shared" si="25"/>
        <v/>
      </c>
      <c r="AU146" t="str">
        <f>IF(OR($A146="",M146="",MEMORIA_RESULTADOS!$I$259=""),"",ROUND(M146*$C146*(MEMORIA_RESULTADOS!$I$259-1),2))</f>
        <v/>
      </c>
      <c r="AV146" t="str">
        <f>IF(OR($A146="",AT146="",MEMORIA_RESULTADOS!$I$259=""),"",ROUND(AT146*$C146*(parametros!$F$3-MEMORIA_RESULTADOS!$I$259),2))</f>
        <v/>
      </c>
      <c r="AW146" t="str">
        <f>IF($A146="","",ROUND(SUMIFS(itens_Consumidos!$I$2:$I$200,itens_Consumidos!$A$2:$A$200,$A146),2))</f>
        <v/>
      </c>
      <c r="AX146" t="str">
        <f t="shared" si="26"/>
        <v/>
      </c>
      <c r="AY146" t="str">
        <f>IF(OR($A146="",O146="",MEMORIA_RESULTADOS!$I$260=""),"",ROUND(O146*$C146*(MEMORIA_RESULTADOS!$I$260-1),2))</f>
        <v/>
      </c>
      <c r="AZ146" t="str">
        <f>IF(OR($A146="",AX146="",MEMORIA_RESULTADOS!$I$260=""),"",ROUND(AX146*$C146*(parametros!$F$4-MEMORIA_RESULTADOS!$I$260),2))</f>
        <v/>
      </c>
      <c r="BA146" t="str">
        <f>IF($A146="","",ROUND(SUMIFS(itens_Consumidos!$K$2:$K$200,itens_Consumidos!$A$2:$A$200,$A146),2))</f>
        <v/>
      </c>
      <c r="BB146" t="str">
        <f t="shared" si="27"/>
        <v/>
      </c>
      <c r="BC146" t="str">
        <f>IF(OR($A146="",Q146="",MEMORIA_RESULTADOS!$I$261=""),"",ROUND(Q146*$C146*(MEMORIA_RESULTADOS!$I$261-1),2))</f>
        <v/>
      </c>
      <c r="BD146" t="str">
        <f>IF(OR($A146="",BB146="",MEMORIA_RESULTADOS!$I$261=""),"",ROUND(BB146*$C146*(parametros!$F$5-MEMORIA_RESULTADOS!$I$261),2))</f>
        <v/>
      </c>
      <c r="BE146" t="str">
        <f>IF($A146="","",ROUND(SUMIFS(itens_Consumidos!$M$2:$M$200,itens_Consumidos!$A$2:$A$200,$A146),2))</f>
        <v/>
      </c>
      <c r="BF146" t="str">
        <f t="shared" si="28"/>
        <v/>
      </c>
      <c r="BG146" t="str">
        <f>IF(OR($A146="",S146="",MEMORIA_RESULTADOS!$I$262=""),"",ROUND(S146*$C146*(MEMORIA_RESULTADOS!$I$262-1),2))</f>
        <v/>
      </c>
      <c r="BH146" t="str">
        <f>IF(OR($A146="",BF146="",MEMORIA_RESULTADOS!$I$262=""),"",ROUND(BF146*$C146*(parametros!$F$6-MEMORIA_RESULTADOS!$I$262),2))</f>
        <v/>
      </c>
      <c r="BI146" t="str">
        <f>IF($A146="","",IF(posicao_contratual!$AL146="","",posicao_contratual!$AL146))</f>
        <v/>
      </c>
    </row>
    <row r="147" spans="1:61" x14ac:dyDescent="0.35">
      <c r="A147" s="81"/>
      <c r="B147" s="82" t="str">
        <f t="shared" si="29"/>
        <v/>
      </c>
      <c r="C147" s="83"/>
      <c r="D147" s="79" t="str">
        <f>IF(AND(A147="",A146&lt;&gt;"",COUNTIF(A148:$A$200,"&lt;&gt;")=0),ROUND(SUMIF($A$2:A146,"&lt;&gt;",$D$2:D146),2),IF(OR(A147="",B147="",C147=""),"",ROUND(B147*C147,2)))</f>
        <v/>
      </c>
      <c r="E147" s="84"/>
      <c r="F147" s="79" t="str">
        <f>IF(AND(A147="",A146&lt;&gt;"",COUNTIF(A148:$A$200,"&lt;&gt;")=0),IF(COUNT(F$2:F146)=0,"",ROUND(SUMIF($A$2:A146,"&lt;&gt;",F$2:F146),2)),IF(OR(A147="",AND(ISNUMBER(posicao_contratual!$AL147),posicao_contratual!$AL147&gt;1),posicao_contratual!K147="",NOT(ISNUMBER(historico_VU!D147))),"",ROUND(posicao_contratual!K147*historico_VU!D147,2)))</f>
        <v/>
      </c>
      <c r="G147" s="84"/>
      <c r="H147" s="79" t="str">
        <f>IF(AND(A147="",A146&lt;&gt;"",COUNTIF(A148:$A$200,"&lt;&gt;")=0),IF(COUNT(H$2:H146)=0,"",ROUND(SUMIF($A$2:A146,"&lt;&gt;",H$2:H146),2)),IF(OR(A147="",AND(ISNUMBER(posicao_contratual!$AL147),posicao_contratual!$AL147&gt;2),posicao_contratual!O147="",NOT(ISNUMBER(historico_VU!E147))),"",ROUND(posicao_contratual!O147*historico_VU!E147,2)))</f>
        <v/>
      </c>
      <c r="I147" s="84"/>
      <c r="J147" s="79" t="str">
        <f>IF(AND(A147="",A146&lt;&gt;"",COUNTIF(A148:$A$200,"&lt;&gt;")=0),IF(COUNT(J$2:J146)=0,"",ROUND(SUMIF($A$2:A146,"&lt;&gt;",J$2:J146),2)),IF(OR(A147="",AND(ISNUMBER(posicao_contratual!$AL147),posicao_contratual!$AL147&gt;3),posicao_contratual!S147="",NOT(ISNUMBER(historico_VU!F147))),"",ROUND(posicao_contratual!S147*historico_VU!F147,2)))</f>
        <v/>
      </c>
      <c r="K147" s="84"/>
      <c r="L147" s="79" t="str">
        <f>IF(AND(A147="",A146&lt;&gt;"",COUNTIF(A148:$A$200,"&lt;&gt;")=0),IF(COUNT(L$2:L146)=0,"",ROUND(SUMIF($A$2:A146,"&lt;&gt;",L$2:L146),2)),IF(OR(A147="",AND(ISNUMBER(posicao_contratual!$AL147),posicao_contratual!$AL147&gt;4),posicao_contratual!W147="",NOT(ISNUMBER(historico_VU!G147))),"",ROUND(posicao_contratual!W147*historico_VU!G147,2)))</f>
        <v/>
      </c>
      <c r="M147" s="85" t="str">
        <f>IF(OR(posicao_contratual!J147="",posicao_contratual!N147=""),"",ROUND(MAX(posicao_contratual!J147+posicao_contratual!H147-posicao_contratual!N147,0),2))</f>
        <v/>
      </c>
      <c r="N147" s="79" t="str">
        <f>IF(AND(A147="",A146&lt;&gt;"",COUNTIF(A148:$A$200,"&lt;&gt;")=0),IF(COUNT(N$2:N146)=0,"",ROUND(SUMIF($A$2:A146,"&lt;&gt;",N$2:N146),2)),IF(OR(M147="",NOT(ISNUMBER(historico_VU!D147))),"",ROUND(M147*historico_VU!D147,2)))</f>
        <v/>
      </c>
      <c r="O147" s="85" t="str">
        <f>IF(OR(posicao_contratual!N147="",posicao_contratual!R147=""),"",ROUND(MAX(posicao_contratual!N147+posicao_contratual!L147-posicao_contratual!R147,0),2))</f>
        <v/>
      </c>
      <c r="P147" s="79" t="str">
        <f>IF(AND(A147="",A146&lt;&gt;"",COUNTIF(A148:$A$200,"&lt;&gt;")=0),IF(COUNT(P$2:P146)=0,"",ROUND(SUMIF($A$2:A146,"&lt;&gt;",P$2:P146),2)),IF(OR(O147="",NOT(ISNUMBER(historico_VU!E147))),"",ROUND(O147*historico_VU!E147,2)))</f>
        <v/>
      </c>
      <c r="Q147" s="85" t="str">
        <f>IF(OR(posicao_contratual!R147="",posicao_contratual!V147=""),"",ROUND(MAX(posicao_contratual!R147+posicao_contratual!P147-posicao_contratual!V147,0),2))</f>
        <v/>
      </c>
      <c r="R147" s="79" t="str">
        <f>IF(AND(A147="",A146&lt;&gt;"",COUNTIF(A148:$A$200,"&lt;&gt;")=0),IF(COUNT(R$2:R146)=0,"",ROUND(SUMIF($A$2:A146,"&lt;&gt;",R$2:R146),2)),IF(OR(Q147="",NOT(ISNUMBER(historico_VU!F147))),"",ROUND(Q147*historico_VU!F147,2)))</f>
        <v/>
      </c>
      <c r="S147" s="38"/>
      <c r="T147" s="39" t="str">
        <f>IF(AND(A147="",A146&lt;&gt;"",COUNTIF(A148:$A$200,"&lt;&gt;")=0),IF(COUNT(T$2:T146)=0,"",ROUND(SUMIF($A$2:A146,"&lt;&gt;",T$2:T146),2)),IF(OR(S147="",NOT(ISNUMBER(historico_VU!G147))),"",ROUND(S147*historico_VU!G147,2)))</f>
        <v/>
      </c>
      <c r="U147" s="86" t="str">
        <f>IF(AND(A147="",A146&lt;&gt;"",COUNTIF(A148:$A$200,"&lt;&gt;")=0),"TOTAL",IF(A147="","",posicao_contratual!X147))</f>
        <v/>
      </c>
      <c r="V147" s="86" t="str">
        <f>IF(A147="","",posicao_contratual!X147)</f>
        <v/>
      </c>
      <c r="W147" s="13"/>
      <c r="X147" s="13"/>
      <c r="Y147" s="13"/>
      <c r="Z147" s="13"/>
      <c r="AA147" s="13"/>
      <c r="AB147" s="85" t="str">
        <f>IF(OR(A147="",posicao_contratual!E147="",posicao_contratual!J147=""),"",ROUND(MAX(posicao_contratual!E147-posicao_contratual!J147,0),2))</f>
        <v/>
      </c>
      <c r="AC147" s="79" t="str">
        <f>IF(AND(A147="",A146&lt;&gt;"",COUNTIF(A148:$A$200,"&lt;&gt;")=0),IF(COUNT(AC$2:AC146)=0,"",ROUND(SUMIF($A$2:A146,"&lt;&gt;",AC$2:AC146),2)),IF(OR(AB147="",NOT(ISNUMBER(historico_VU!C147))),"",ROUND(AB147*historico_VU!C147,2)))</f>
        <v/>
      </c>
      <c r="AD147" s="145" t="str">
        <f>IF(A147="","",posicao_contratual!E147)</f>
        <v/>
      </c>
      <c r="AE147" s="145" t="str">
        <f>IF(A147="","",posicao_contratual!I147)</f>
        <v/>
      </c>
      <c r="AF147" s="145" t="str">
        <f>IF(A147="","",posicao_contratual!M147)</f>
        <v/>
      </c>
      <c r="AG147" s="145" t="str">
        <f>IF(A147="","",posicao_contratual!Q147)</f>
        <v/>
      </c>
      <c r="AH147" s="145" t="str">
        <f>IF(A147="","",posicao_contratual!U147)</f>
        <v/>
      </c>
      <c r="AI147" s="145" t="str">
        <f>IF(A147="","",posicao_contratual!G147)</f>
        <v/>
      </c>
      <c r="AJ147" s="145" t="str">
        <f>IF(A147="","",posicao_contratual!K147)</f>
        <v/>
      </c>
      <c r="AK147" s="145" t="str">
        <f>IF(A147="","",posicao_contratual!O147)</f>
        <v/>
      </c>
      <c r="AL147" s="145" t="str">
        <f>IF(A147="","",posicao_contratual!S147)</f>
        <v/>
      </c>
      <c r="AM147" s="145" t="str">
        <f>IF(A147="","",posicao_contratual!W147)</f>
        <v/>
      </c>
      <c r="AN147" s="146" t="str">
        <f>IF(A147="","",posicao_contratual!X147)</f>
        <v/>
      </c>
      <c r="AO147" t="str">
        <f>IF($A147="","",ROUND(SUMIFS(itens_Consumidos!$E$2:$E$200,itens_Consumidos!$A$2:$A$200,$A147),2))</f>
        <v/>
      </c>
      <c r="AP147" t="str">
        <f t="shared" si="24"/>
        <v/>
      </c>
      <c r="AQ147" t="str">
        <f>IF(OR($A147="",AB147="",MEMORIA_RESULTADOS!$I$258=""),"",ROUND(AB147*$C147*(MEMORIA_RESULTADOS!$I$258-1),2))</f>
        <v/>
      </c>
      <c r="AR147" t="str">
        <f>IF(OR($A147="",AP147="",MEMORIA_RESULTADOS!$I$258=""),"",ROUND(AP147*$C147*(parametros!$F$2-MEMORIA_RESULTADOS!$I$258),2))</f>
        <v/>
      </c>
      <c r="AS147" t="str">
        <f>IF($A147="","",ROUND(SUMIFS(itens_Consumidos!$G$2:$G$200,itens_Consumidos!$A$2:$A$200,$A147),2))</f>
        <v/>
      </c>
      <c r="AT147" t="str">
        <f t="shared" si="25"/>
        <v/>
      </c>
      <c r="AU147" t="str">
        <f>IF(OR($A147="",M147="",MEMORIA_RESULTADOS!$I$259=""),"",ROUND(M147*$C147*(MEMORIA_RESULTADOS!$I$259-1),2))</f>
        <v/>
      </c>
      <c r="AV147" t="str">
        <f>IF(OR($A147="",AT147="",MEMORIA_RESULTADOS!$I$259=""),"",ROUND(AT147*$C147*(parametros!$F$3-MEMORIA_RESULTADOS!$I$259),2))</f>
        <v/>
      </c>
      <c r="AW147" t="str">
        <f>IF($A147="","",ROUND(SUMIFS(itens_Consumidos!$I$2:$I$200,itens_Consumidos!$A$2:$A$200,$A147),2))</f>
        <v/>
      </c>
      <c r="AX147" t="str">
        <f t="shared" si="26"/>
        <v/>
      </c>
      <c r="AY147" t="str">
        <f>IF(OR($A147="",O147="",MEMORIA_RESULTADOS!$I$260=""),"",ROUND(O147*$C147*(MEMORIA_RESULTADOS!$I$260-1),2))</f>
        <v/>
      </c>
      <c r="AZ147" t="str">
        <f>IF(OR($A147="",AX147="",MEMORIA_RESULTADOS!$I$260=""),"",ROUND(AX147*$C147*(parametros!$F$4-MEMORIA_RESULTADOS!$I$260),2))</f>
        <v/>
      </c>
      <c r="BA147" t="str">
        <f>IF($A147="","",ROUND(SUMIFS(itens_Consumidos!$K$2:$K$200,itens_Consumidos!$A$2:$A$200,$A147),2))</f>
        <v/>
      </c>
      <c r="BB147" t="str">
        <f t="shared" si="27"/>
        <v/>
      </c>
      <c r="BC147" t="str">
        <f>IF(OR($A147="",Q147="",MEMORIA_RESULTADOS!$I$261=""),"",ROUND(Q147*$C147*(MEMORIA_RESULTADOS!$I$261-1),2))</f>
        <v/>
      </c>
      <c r="BD147" t="str">
        <f>IF(OR($A147="",BB147="",MEMORIA_RESULTADOS!$I$261=""),"",ROUND(BB147*$C147*(parametros!$F$5-MEMORIA_RESULTADOS!$I$261),2))</f>
        <v/>
      </c>
      <c r="BE147" t="str">
        <f>IF($A147="","",ROUND(SUMIFS(itens_Consumidos!$M$2:$M$200,itens_Consumidos!$A$2:$A$200,$A147),2))</f>
        <v/>
      </c>
      <c r="BF147" t="str">
        <f t="shared" si="28"/>
        <v/>
      </c>
      <c r="BG147" t="str">
        <f>IF(OR($A147="",S147="",MEMORIA_RESULTADOS!$I$262=""),"",ROUND(S147*$C147*(MEMORIA_RESULTADOS!$I$262-1),2))</f>
        <v/>
      </c>
      <c r="BH147" t="str">
        <f>IF(OR($A147="",BF147="",MEMORIA_RESULTADOS!$I$262=""),"",ROUND(BF147*$C147*(parametros!$F$6-MEMORIA_RESULTADOS!$I$262),2))</f>
        <v/>
      </c>
      <c r="BI147" t="str">
        <f>IF($A147="","",IF(posicao_contratual!$AL147="","",posicao_contratual!$AL147))</f>
        <v/>
      </c>
    </row>
    <row r="148" spans="1:61" x14ac:dyDescent="0.35">
      <c r="A148" s="81"/>
      <c r="B148" s="82" t="str">
        <f t="shared" si="29"/>
        <v/>
      </c>
      <c r="C148" s="83"/>
      <c r="D148" s="79" t="str">
        <f>IF(AND(A148="",A147&lt;&gt;"",COUNTIF(A149:$A$200,"&lt;&gt;")=0),ROUND(SUMIF($A$2:A147,"&lt;&gt;",$D$2:D147),2),IF(OR(A148="",B148="",C148=""),"",ROUND(B148*C148,2)))</f>
        <v/>
      </c>
      <c r="E148" s="84"/>
      <c r="F148" s="79" t="str">
        <f>IF(AND(A148="",A147&lt;&gt;"",COUNTIF(A149:$A$200,"&lt;&gt;")=0),IF(COUNT(F$2:F147)=0,"",ROUND(SUMIF($A$2:A147,"&lt;&gt;",F$2:F147),2)),IF(OR(A148="",AND(ISNUMBER(posicao_contratual!$AL148),posicao_contratual!$AL148&gt;1),posicao_contratual!K148="",NOT(ISNUMBER(historico_VU!D148))),"",ROUND(posicao_contratual!K148*historico_VU!D148,2)))</f>
        <v/>
      </c>
      <c r="G148" s="84"/>
      <c r="H148" s="79" t="str">
        <f>IF(AND(A148="",A147&lt;&gt;"",COUNTIF(A149:$A$200,"&lt;&gt;")=0),IF(COUNT(H$2:H147)=0,"",ROUND(SUMIF($A$2:A147,"&lt;&gt;",H$2:H147),2)),IF(OR(A148="",AND(ISNUMBER(posicao_contratual!$AL148),posicao_contratual!$AL148&gt;2),posicao_contratual!O148="",NOT(ISNUMBER(historico_VU!E148))),"",ROUND(posicao_contratual!O148*historico_VU!E148,2)))</f>
        <v/>
      </c>
      <c r="I148" s="84"/>
      <c r="J148" s="79" t="str">
        <f>IF(AND(A148="",A147&lt;&gt;"",COUNTIF(A149:$A$200,"&lt;&gt;")=0),IF(COUNT(J$2:J147)=0,"",ROUND(SUMIF($A$2:A147,"&lt;&gt;",J$2:J147),2)),IF(OR(A148="",AND(ISNUMBER(posicao_contratual!$AL148),posicao_contratual!$AL148&gt;3),posicao_contratual!S148="",NOT(ISNUMBER(historico_VU!F148))),"",ROUND(posicao_contratual!S148*historico_VU!F148,2)))</f>
        <v/>
      </c>
      <c r="K148" s="84"/>
      <c r="L148" s="79" t="str">
        <f>IF(AND(A148="",A147&lt;&gt;"",COUNTIF(A149:$A$200,"&lt;&gt;")=0),IF(COUNT(L$2:L147)=0,"",ROUND(SUMIF($A$2:A147,"&lt;&gt;",L$2:L147),2)),IF(OR(A148="",AND(ISNUMBER(posicao_contratual!$AL148),posicao_contratual!$AL148&gt;4),posicao_contratual!W148="",NOT(ISNUMBER(historico_VU!G148))),"",ROUND(posicao_contratual!W148*historico_VU!G148,2)))</f>
        <v/>
      </c>
      <c r="M148" s="85" t="str">
        <f>IF(OR(posicao_contratual!J148="",posicao_contratual!N148=""),"",ROUND(MAX(posicao_contratual!J148+posicao_contratual!H148-posicao_contratual!N148,0),2))</f>
        <v/>
      </c>
      <c r="N148" s="79" t="str">
        <f>IF(AND(A148="",A147&lt;&gt;"",COUNTIF(A149:$A$200,"&lt;&gt;")=0),IF(COUNT(N$2:N147)=0,"",ROUND(SUMIF($A$2:A147,"&lt;&gt;",N$2:N147),2)),IF(OR(M148="",NOT(ISNUMBER(historico_VU!D148))),"",ROUND(M148*historico_VU!D148,2)))</f>
        <v/>
      </c>
      <c r="O148" s="85" t="str">
        <f>IF(OR(posicao_contratual!N148="",posicao_contratual!R148=""),"",ROUND(MAX(posicao_contratual!N148+posicao_contratual!L148-posicao_contratual!R148,0),2))</f>
        <v/>
      </c>
      <c r="P148" s="79" t="str">
        <f>IF(AND(A148="",A147&lt;&gt;"",COUNTIF(A149:$A$200,"&lt;&gt;")=0),IF(COUNT(P$2:P147)=0,"",ROUND(SUMIF($A$2:A147,"&lt;&gt;",P$2:P147),2)),IF(OR(O148="",NOT(ISNUMBER(historico_VU!E148))),"",ROUND(O148*historico_VU!E148,2)))</f>
        <v/>
      </c>
      <c r="Q148" s="85" t="str">
        <f>IF(OR(posicao_contratual!R148="",posicao_contratual!V148=""),"",ROUND(MAX(posicao_contratual!R148+posicao_contratual!P148-posicao_contratual!V148,0),2))</f>
        <v/>
      </c>
      <c r="R148" s="79" t="str">
        <f>IF(AND(A148="",A147&lt;&gt;"",COUNTIF(A149:$A$200,"&lt;&gt;")=0),IF(COUNT(R$2:R147)=0,"",ROUND(SUMIF($A$2:A147,"&lt;&gt;",R$2:R147),2)),IF(OR(Q148="",NOT(ISNUMBER(historico_VU!F148))),"",ROUND(Q148*historico_VU!F148,2)))</f>
        <v/>
      </c>
      <c r="S148" s="38"/>
      <c r="T148" s="39" t="str">
        <f>IF(AND(A148="",A147&lt;&gt;"",COUNTIF(A149:$A$200,"&lt;&gt;")=0),IF(COUNT(T$2:T147)=0,"",ROUND(SUMIF($A$2:A147,"&lt;&gt;",T$2:T147),2)),IF(OR(S148="",NOT(ISNUMBER(historico_VU!G148))),"",ROUND(S148*historico_VU!G148,2)))</f>
        <v/>
      </c>
      <c r="U148" s="86" t="str">
        <f>IF(AND(A148="",A147&lt;&gt;"",COUNTIF(A149:$A$200,"&lt;&gt;")=0),"TOTAL",IF(A148="","",posicao_contratual!X148))</f>
        <v/>
      </c>
      <c r="V148" s="86" t="str">
        <f>IF(A148="","",posicao_contratual!X148)</f>
        <v/>
      </c>
      <c r="W148" s="13"/>
      <c r="X148" s="13"/>
      <c r="Y148" s="13"/>
      <c r="Z148" s="13"/>
      <c r="AA148" s="13"/>
      <c r="AB148" s="85" t="str">
        <f>IF(OR(A148="",posicao_contratual!E148="",posicao_contratual!J148=""),"",ROUND(MAX(posicao_contratual!E148-posicao_contratual!J148,0),2))</f>
        <v/>
      </c>
      <c r="AC148" s="79" t="str">
        <f>IF(AND(A148="",A147&lt;&gt;"",COUNTIF(A149:$A$200,"&lt;&gt;")=0),IF(COUNT(AC$2:AC147)=0,"",ROUND(SUMIF($A$2:A147,"&lt;&gt;",AC$2:AC147),2)),IF(OR(AB148="",NOT(ISNUMBER(historico_VU!C148))),"",ROUND(AB148*historico_VU!C148,2)))</f>
        <v/>
      </c>
      <c r="AD148" s="145" t="str">
        <f>IF(A148="","",posicao_contratual!E148)</f>
        <v/>
      </c>
      <c r="AE148" s="145" t="str">
        <f>IF(A148="","",posicao_contratual!I148)</f>
        <v/>
      </c>
      <c r="AF148" s="145" t="str">
        <f>IF(A148="","",posicao_contratual!M148)</f>
        <v/>
      </c>
      <c r="AG148" s="145" t="str">
        <f>IF(A148="","",posicao_contratual!Q148)</f>
        <v/>
      </c>
      <c r="AH148" s="145" t="str">
        <f>IF(A148="","",posicao_contratual!U148)</f>
        <v/>
      </c>
      <c r="AI148" s="145" t="str">
        <f>IF(A148="","",posicao_contratual!G148)</f>
        <v/>
      </c>
      <c r="AJ148" s="145" t="str">
        <f>IF(A148="","",posicao_contratual!K148)</f>
        <v/>
      </c>
      <c r="AK148" s="145" t="str">
        <f>IF(A148="","",posicao_contratual!O148)</f>
        <v/>
      </c>
      <c r="AL148" s="145" t="str">
        <f>IF(A148="","",posicao_contratual!S148)</f>
        <v/>
      </c>
      <c r="AM148" s="145" t="str">
        <f>IF(A148="","",posicao_contratual!W148)</f>
        <v/>
      </c>
      <c r="AN148" s="146" t="str">
        <f>IF(A148="","",posicao_contratual!X148)</f>
        <v/>
      </c>
      <c r="AO148" t="str">
        <f>IF($A148="","",ROUND(SUMIFS(itens_Consumidos!$E$2:$E$200,itens_Consumidos!$A$2:$A$200,$A148),2))</f>
        <v/>
      </c>
      <c r="AP148" t="str">
        <f t="shared" si="24"/>
        <v/>
      </c>
      <c r="AQ148" t="str">
        <f>IF(OR($A148="",AB148="",MEMORIA_RESULTADOS!$I$258=""),"",ROUND(AB148*$C148*(MEMORIA_RESULTADOS!$I$258-1),2))</f>
        <v/>
      </c>
      <c r="AR148" t="str">
        <f>IF(OR($A148="",AP148="",MEMORIA_RESULTADOS!$I$258=""),"",ROUND(AP148*$C148*(parametros!$F$2-MEMORIA_RESULTADOS!$I$258),2))</f>
        <v/>
      </c>
      <c r="AS148" t="str">
        <f>IF($A148="","",ROUND(SUMIFS(itens_Consumidos!$G$2:$G$200,itens_Consumidos!$A$2:$A$200,$A148),2))</f>
        <v/>
      </c>
      <c r="AT148" t="str">
        <f t="shared" si="25"/>
        <v/>
      </c>
      <c r="AU148" t="str">
        <f>IF(OR($A148="",M148="",MEMORIA_RESULTADOS!$I$259=""),"",ROUND(M148*$C148*(MEMORIA_RESULTADOS!$I$259-1),2))</f>
        <v/>
      </c>
      <c r="AV148" t="str">
        <f>IF(OR($A148="",AT148="",MEMORIA_RESULTADOS!$I$259=""),"",ROUND(AT148*$C148*(parametros!$F$3-MEMORIA_RESULTADOS!$I$259),2))</f>
        <v/>
      </c>
      <c r="AW148" t="str">
        <f>IF($A148="","",ROUND(SUMIFS(itens_Consumidos!$I$2:$I$200,itens_Consumidos!$A$2:$A$200,$A148),2))</f>
        <v/>
      </c>
      <c r="AX148" t="str">
        <f t="shared" si="26"/>
        <v/>
      </c>
      <c r="AY148" t="str">
        <f>IF(OR($A148="",O148="",MEMORIA_RESULTADOS!$I$260=""),"",ROUND(O148*$C148*(MEMORIA_RESULTADOS!$I$260-1),2))</f>
        <v/>
      </c>
      <c r="AZ148" t="str">
        <f>IF(OR($A148="",AX148="",MEMORIA_RESULTADOS!$I$260=""),"",ROUND(AX148*$C148*(parametros!$F$4-MEMORIA_RESULTADOS!$I$260),2))</f>
        <v/>
      </c>
      <c r="BA148" t="str">
        <f>IF($A148="","",ROUND(SUMIFS(itens_Consumidos!$K$2:$K$200,itens_Consumidos!$A$2:$A$200,$A148),2))</f>
        <v/>
      </c>
      <c r="BB148" t="str">
        <f t="shared" si="27"/>
        <v/>
      </c>
      <c r="BC148" t="str">
        <f>IF(OR($A148="",Q148="",MEMORIA_RESULTADOS!$I$261=""),"",ROUND(Q148*$C148*(MEMORIA_RESULTADOS!$I$261-1),2))</f>
        <v/>
      </c>
      <c r="BD148" t="str">
        <f>IF(OR($A148="",BB148="",MEMORIA_RESULTADOS!$I$261=""),"",ROUND(BB148*$C148*(parametros!$F$5-MEMORIA_RESULTADOS!$I$261),2))</f>
        <v/>
      </c>
      <c r="BE148" t="str">
        <f>IF($A148="","",ROUND(SUMIFS(itens_Consumidos!$M$2:$M$200,itens_Consumidos!$A$2:$A$200,$A148),2))</f>
        <v/>
      </c>
      <c r="BF148" t="str">
        <f t="shared" si="28"/>
        <v/>
      </c>
      <c r="BG148" t="str">
        <f>IF(OR($A148="",S148="",MEMORIA_RESULTADOS!$I$262=""),"",ROUND(S148*$C148*(MEMORIA_RESULTADOS!$I$262-1),2))</f>
        <v/>
      </c>
      <c r="BH148" t="str">
        <f>IF(OR($A148="",BF148="",MEMORIA_RESULTADOS!$I$262=""),"",ROUND(BF148*$C148*(parametros!$F$6-MEMORIA_RESULTADOS!$I$262),2))</f>
        <v/>
      </c>
      <c r="BI148" t="str">
        <f>IF($A148="","",IF(posicao_contratual!$AL148="","",posicao_contratual!$AL148))</f>
        <v/>
      </c>
    </row>
    <row r="149" spans="1:61" x14ac:dyDescent="0.35">
      <c r="A149" s="81"/>
      <c r="B149" s="82" t="str">
        <f t="shared" si="29"/>
        <v/>
      </c>
      <c r="C149" s="83"/>
      <c r="D149" s="79" t="str">
        <f>IF(AND(A149="",A148&lt;&gt;"",COUNTIF(A150:$A$200,"&lt;&gt;")=0),ROUND(SUMIF($A$2:A148,"&lt;&gt;",$D$2:D148),2),IF(OR(A149="",B149="",C149=""),"",ROUND(B149*C149,2)))</f>
        <v/>
      </c>
      <c r="E149" s="84"/>
      <c r="F149" s="79" t="str">
        <f>IF(AND(A149="",A148&lt;&gt;"",COUNTIF(A150:$A$200,"&lt;&gt;")=0),IF(COUNT(F$2:F148)=0,"",ROUND(SUMIF($A$2:A148,"&lt;&gt;",F$2:F148),2)),IF(OR(A149="",AND(ISNUMBER(posicao_contratual!$AL149),posicao_contratual!$AL149&gt;1),posicao_contratual!K149="",NOT(ISNUMBER(historico_VU!D149))),"",ROUND(posicao_contratual!K149*historico_VU!D149,2)))</f>
        <v/>
      </c>
      <c r="G149" s="84"/>
      <c r="H149" s="79" t="str">
        <f>IF(AND(A149="",A148&lt;&gt;"",COUNTIF(A150:$A$200,"&lt;&gt;")=0),IF(COUNT(H$2:H148)=0,"",ROUND(SUMIF($A$2:A148,"&lt;&gt;",H$2:H148),2)),IF(OR(A149="",AND(ISNUMBER(posicao_contratual!$AL149),posicao_contratual!$AL149&gt;2),posicao_contratual!O149="",NOT(ISNUMBER(historico_VU!E149))),"",ROUND(posicao_contratual!O149*historico_VU!E149,2)))</f>
        <v/>
      </c>
      <c r="I149" s="84"/>
      <c r="J149" s="79" t="str">
        <f>IF(AND(A149="",A148&lt;&gt;"",COUNTIF(A150:$A$200,"&lt;&gt;")=0),IF(COUNT(J$2:J148)=0,"",ROUND(SUMIF($A$2:A148,"&lt;&gt;",J$2:J148),2)),IF(OR(A149="",AND(ISNUMBER(posicao_contratual!$AL149),posicao_contratual!$AL149&gt;3),posicao_contratual!S149="",NOT(ISNUMBER(historico_VU!F149))),"",ROUND(posicao_contratual!S149*historico_VU!F149,2)))</f>
        <v/>
      </c>
      <c r="K149" s="84"/>
      <c r="L149" s="79" t="str">
        <f>IF(AND(A149="",A148&lt;&gt;"",COUNTIF(A150:$A$200,"&lt;&gt;")=0),IF(COUNT(L$2:L148)=0,"",ROUND(SUMIF($A$2:A148,"&lt;&gt;",L$2:L148),2)),IF(OR(A149="",AND(ISNUMBER(posicao_contratual!$AL149),posicao_contratual!$AL149&gt;4),posicao_contratual!W149="",NOT(ISNUMBER(historico_VU!G149))),"",ROUND(posicao_contratual!W149*historico_VU!G149,2)))</f>
        <v/>
      </c>
      <c r="M149" s="85" t="str">
        <f>IF(OR(posicao_contratual!J149="",posicao_contratual!N149=""),"",ROUND(MAX(posicao_contratual!J149+posicao_contratual!H149-posicao_contratual!N149,0),2))</f>
        <v/>
      </c>
      <c r="N149" s="79" t="str">
        <f>IF(AND(A149="",A148&lt;&gt;"",COUNTIF(A150:$A$200,"&lt;&gt;")=0),IF(COUNT(N$2:N148)=0,"",ROUND(SUMIF($A$2:A148,"&lt;&gt;",N$2:N148),2)),IF(OR(M149="",NOT(ISNUMBER(historico_VU!D149))),"",ROUND(M149*historico_VU!D149,2)))</f>
        <v/>
      </c>
      <c r="O149" s="85" t="str">
        <f>IF(OR(posicao_contratual!N149="",posicao_contratual!R149=""),"",ROUND(MAX(posicao_contratual!N149+posicao_contratual!L149-posicao_contratual!R149,0),2))</f>
        <v/>
      </c>
      <c r="P149" s="79" t="str">
        <f>IF(AND(A149="",A148&lt;&gt;"",COUNTIF(A150:$A$200,"&lt;&gt;")=0),IF(COUNT(P$2:P148)=0,"",ROUND(SUMIF($A$2:A148,"&lt;&gt;",P$2:P148),2)),IF(OR(O149="",NOT(ISNUMBER(historico_VU!E149))),"",ROUND(O149*historico_VU!E149,2)))</f>
        <v/>
      </c>
      <c r="Q149" s="85" t="str">
        <f>IF(OR(posicao_contratual!R149="",posicao_contratual!V149=""),"",ROUND(MAX(posicao_contratual!R149+posicao_contratual!P149-posicao_contratual!V149,0),2))</f>
        <v/>
      </c>
      <c r="R149" s="79" t="str">
        <f>IF(AND(A149="",A148&lt;&gt;"",COUNTIF(A150:$A$200,"&lt;&gt;")=0),IF(COUNT(R$2:R148)=0,"",ROUND(SUMIF($A$2:A148,"&lt;&gt;",R$2:R148),2)),IF(OR(Q149="",NOT(ISNUMBER(historico_VU!F149))),"",ROUND(Q149*historico_VU!F149,2)))</f>
        <v/>
      </c>
      <c r="S149" s="38"/>
      <c r="T149" s="39" t="str">
        <f>IF(AND(A149="",A148&lt;&gt;"",COUNTIF(A150:$A$200,"&lt;&gt;")=0),IF(COUNT(T$2:T148)=0,"",ROUND(SUMIF($A$2:A148,"&lt;&gt;",T$2:T148),2)),IF(OR(S149="",NOT(ISNUMBER(historico_VU!G149))),"",ROUND(S149*historico_VU!G149,2)))</f>
        <v/>
      </c>
      <c r="U149" s="86" t="str">
        <f>IF(AND(A149="",A148&lt;&gt;"",COUNTIF(A150:$A$200,"&lt;&gt;")=0),"TOTAL",IF(A149="","",posicao_contratual!X149))</f>
        <v/>
      </c>
      <c r="V149" s="86" t="str">
        <f>IF(A149="","",posicao_contratual!X149)</f>
        <v/>
      </c>
      <c r="W149" s="13"/>
      <c r="X149" s="13"/>
      <c r="Y149" s="13"/>
      <c r="Z149" s="13"/>
      <c r="AA149" s="13"/>
      <c r="AB149" s="85" t="str">
        <f>IF(OR(A149="",posicao_contratual!E149="",posicao_contratual!J149=""),"",ROUND(MAX(posicao_contratual!E149-posicao_contratual!J149,0),2))</f>
        <v/>
      </c>
      <c r="AC149" s="79" t="str">
        <f>IF(AND(A149="",A148&lt;&gt;"",COUNTIF(A150:$A$200,"&lt;&gt;")=0),IF(COUNT(AC$2:AC148)=0,"",ROUND(SUMIF($A$2:A148,"&lt;&gt;",AC$2:AC148),2)),IF(OR(AB149="",NOT(ISNUMBER(historico_VU!C149))),"",ROUND(AB149*historico_VU!C149,2)))</f>
        <v/>
      </c>
      <c r="AD149" s="145" t="str">
        <f>IF(A149="","",posicao_contratual!E149)</f>
        <v/>
      </c>
      <c r="AE149" s="145" t="str">
        <f>IF(A149="","",posicao_contratual!I149)</f>
        <v/>
      </c>
      <c r="AF149" s="145" t="str">
        <f>IF(A149="","",posicao_contratual!M149)</f>
        <v/>
      </c>
      <c r="AG149" s="145" t="str">
        <f>IF(A149="","",posicao_contratual!Q149)</f>
        <v/>
      </c>
      <c r="AH149" s="145" t="str">
        <f>IF(A149="","",posicao_contratual!U149)</f>
        <v/>
      </c>
      <c r="AI149" s="145" t="str">
        <f>IF(A149="","",posicao_contratual!G149)</f>
        <v/>
      </c>
      <c r="AJ149" s="145" t="str">
        <f>IF(A149="","",posicao_contratual!K149)</f>
        <v/>
      </c>
      <c r="AK149" s="145" t="str">
        <f>IF(A149="","",posicao_contratual!O149)</f>
        <v/>
      </c>
      <c r="AL149" s="145" t="str">
        <f>IF(A149="","",posicao_contratual!S149)</f>
        <v/>
      </c>
      <c r="AM149" s="145" t="str">
        <f>IF(A149="","",posicao_contratual!W149)</f>
        <v/>
      </c>
      <c r="AN149" s="146" t="str">
        <f>IF(A149="","",posicao_contratual!X149)</f>
        <v/>
      </c>
      <c r="AO149" t="str">
        <f>IF($A149="","",ROUND(SUMIFS(itens_Consumidos!$E$2:$E$200,itens_Consumidos!$A$2:$A$200,$A149),2))</f>
        <v/>
      </c>
      <c r="AP149" t="str">
        <f t="shared" si="24"/>
        <v/>
      </c>
      <c r="AQ149" t="str">
        <f>IF(OR($A149="",AB149="",MEMORIA_RESULTADOS!$I$258=""),"",ROUND(AB149*$C149*(MEMORIA_RESULTADOS!$I$258-1),2))</f>
        <v/>
      </c>
      <c r="AR149" t="str">
        <f>IF(OR($A149="",AP149="",MEMORIA_RESULTADOS!$I$258=""),"",ROUND(AP149*$C149*(parametros!$F$2-MEMORIA_RESULTADOS!$I$258),2))</f>
        <v/>
      </c>
      <c r="AS149" t="str">
        <f>IF($A149="","",ROUND(SUMIFS(itens_Consumidos!$G$2:$G$200,itens_Consumidos!$A$2:$A$200,$A149),2))</f>
        <v/>
      </c>
      <c r="AT149" t="str">
        <f t="shared" si="25"/>
        <v/>
      </c>
      <c r="AU149" t="str">
        <f>IF(OR($A149="",M149="",MEMORIA_RESULTADOS!$I$259=""),"",ROUND(M149*$C149*(MEMORIA_RESULTADOS!$I$259-1),2))</f>
        <v/>
      </c>
      <c r="AV149" t="str">
        <f>IF(OR($A149="",AT149="",MEMORIA_RESULTADOS!$I$259=""),"",ROUND(AT149*$C149*(parametros!$F$3-MEMORIA_RESULTADOS!$I$259),2))</f>
        <v/>
      </c>
      <c r="AW149" t="str">
        <f>IF($A149="","",ROUND(SUMIFS(itens_Consumidos!$I$2:$I$200,itens_Consumidos!$A$2:$A$200,$A149),2))</f>
        <v/>
      </c>
      <c r="AX149" t="str">
        <f t="shared" si="26"/>
        <v/>
      </c>
      <c r="AY149" t="str">
        <f>IF(OR($A149="",O149="",MEMORIA_RESULTADOS!$I$260=""),"",ROUND(O149*$C149*(MEMORIA_RESULTADOS!$I$260-1),2))</f>
        <v/>
      </c>
      <c r="AZ149" t="str">
        <f>IF(OR($A149="",AX149="",MEMORIA_RESULTADOS!$I$260=""),"",ROUND(AX149*$C149*(parametros!$F$4-MEMORIA_RESULTADOS!$I$260),2))</f>
        <v/>
      </c>
      <c r="BA149" t="str">
        <f>IF($A149="","",ROUND(SUMIFS(itens_Consumidos!$K$2:$K$200,itens_Consumidos!$A$2:$A$200,$A149),2))</f>
        <v/>
      </c>
      <c r="BB149" t="str">
        <f t="shared" si="27"/>
        <v/>
      </c>
      <c r="BC149" t="str">
        <f>IF(OR($A149="",Q149="",MEMORIA_RESULTADOS!$I$261=""),"",ROUND(Q149*$C149*(MEMORIA_RESULTADOS!$I$261-1),2))</f>
        <v/>
      </c>
      <c r="BD149" t="str">
        <f>IF(OR($A149="",BB149="",MEMORIA_RESULTADOS!$I$261=""),"",ROUND(BB149*$C149*(parametros!$F$5-MEMORIA_RESULTADOS!$I$261),2))</f>
        <v/>
      </c>
      <c r="BE149" t="str">
        <f>IF($A149="","",ROUND(SUMIFS(itens_Consumidos!$M$2:$M$200,itens_Consumidos!$A$2:$A$200,$A149),2))</f>
        <v/>
      </c>
      <c r="BF149" t="str">
        <f t="shared" si="28"/>
        <v/>
      </c>
      <c r="BG149" t="str">
        <f>IF(OR($A149="",S149="",MEMORIA_RESULTADOS!$I$262=""),"",ROUND(S149*$C149*(MEMORIA_RESULTADOS!$I$262-1),2))</f>
        <v/>
      </c>
      <c r="BH149" t="str">
        <f>IF(OR($A149="",BF149="",MEMORIA_RESULTADOS!$I$262=""),"",ROUND(BF149*$C149*(parametros!$F$6-MEMORIA_RESULTADOS!$I$262),2))</f>
        <v/>
      </c>
      <c r="BI149" t="str">
        <f>IF($A149="","",IF(posicao_contratual!$AL149="","",posicao_contratual!$AL149))</f>
        <v/>
      </c>
    </row>
    <row r="150" spans="1:61" x14ac:dyDescent="0.35">
      <c r="A150" s="81"/>
      <c r="B150" s="82" t="str">
        <f t="shared" si="29"/>
        <v/>
      </c>
      <c r="C150" s="83"/>
      <c r="D150" s="79" t="str">
        <f>IF(AND(A150="",A149&lt;&gt;"",COUNTIF(A151:$A$200,"&lt;&gt;")=0),ROUND(SUMIF($A$2:A149,"&lt;&gt;",$D$2:D149),2),IF(OR(A150="",B150="",C150=""),"",ROUND(B150*C150,2)))</f>
        <v/>
      </c>
      <c r="E150" s="84"/>
      <c r="F150" s="79" t="str">
        <f>IF(AND(A150="",A149&lt;&gt;"",COUNTIF(A151:$A$200,"&lt;&gt;")=0),IF(COUNT(F$2:F149)=0,"",ROUND(SUMIF($A$2:A149,"&lt;&gt;",F$2:F149),2)),IF(OR(A150="",AND(ISNUMBER(posicao_contratual!$AL150),posicao_contratual!$AL150&gt;1),posicao_contratual!K150="",NOT(ISNUMBER(historico_VU!D150))),"",ROUND(posicao_contratual!K150*historico_VU!D150,2)))</f>
        <v/>
      </c>
      <c r="G150" s="84"/>
      <c r="H150" s="79" t="str">
        <f>IF(AND(A150="",A149&lt;&gt;"",COUNTIF(A151:$A$200,"&lt;&gt;")=0),IF(COUNT(H$2:H149)=0,"",ROUND(SUMIF($A$2:A149,"&lt;&gt;",H$2:H149),2)),IF(OR(A150="",AND(ISNUMBER(posicao_contratual!$AL150),posicao_contratual!$AL150&gt;2),posicao_contratual!O150="",NOT(ISNUMBER(historico_VU!E150))),"",ROUND(posicao_contratual!O150*historico_VU!E150,2)))</f>
        <v/>
      </c>
      <c r="I150" s="84"/>
      <c r="J150" s="79" t="str">
        <f>IF(AND(A150="",A149&lt;&gt;"",COUNTIF(A151:$A$200,"&lt;&gt;")=0),IF(COUNT(J$2:J149)=0,"",ROUND(SUMIF($A$2:A149,"&lt;&gt;",J$2:J149),2)),IF(OR(A150="",AND(ISNUMBER(posicao_contratual!$AL150),posicao_contratual!$AL150&gt;3),posicao_contratual!S150="",NOT(ISNUMBER(historico_VU!F150))),"",ROUND(posicao_contratual!S150*historico_VU!F150,2)))</f>
        <v/>
      </c>
      <c r="K150" s="84"/>
      <c r="L150" s="79" t="str">
        <f>IF(AND(A150="",A149&lt;&gt;"",COUNTIF(A151:$A$200,"&lt;&gt;")=0),IF(COUNT(L$2:L149)=0,"",ROUND(SUMIF($A$2:A149,"&lt;&gt;",L$2:L149),2)),IF(OR(A150="",AND(ISNUMBER(posicao_contratual!$AL150),posicao_contratual!$AL150&gt;4),posicao_contratual!W150="",NOT(ISNUMBER(historico_VU!G150))),"",ROUND(posicao_contratual!W150*historico_VU!G150,2)))</f>
        <v/>
      </c>
      <c r="M150" s="85" t="str">
        <f>IF(OR(posicao_contratual!J150="",posicao_contratual!N150=""),"",ROUND(MAX(posicao_contratual!J150+posicao_contratual!H150-posicao_contratual!N150,0),2))</f>
        <v/>
      </c>
      <c r="N150" s="79" t="str">
        <f>IF(AND(A150="",A149&lt;&gt;"",COUNTIF(A151:$A$200,"&lt;&gt;")=0),IF(COUNT(N$2:N149)=0,"",ROUND(SUMIF($A$2:A149,"&lt;&gt;",N$2:N149),2)),IF(OR(M150="",NOT(ISNUMBER(historico_VU!D150))),"",ROUND(M150*historico_VU!D150,2)))</f>
        <v/>
      </c>
      <c r="O150" s="85" t="str">
        <f>IF(OR(posicao_contratual!N150="",posicao_contratual!R150=""),"",ROUND(MAX(posicao_contratual!N150+posicao_contratual!L150-posicao_contratual!R150,0),2))</f>
        <v/>
      </c>
      <c r="P150" s="79" t="str">
        <f>IF(AND(A150="",A149&lt;&gt;"",COUNTIF(A151:$A$200,"&lt;&gt;")=0),IF(COUNT(P$2:P149)=0,"",ROUND(SUMIF($A$2:A149,"&lt;&gt;",P$2:P149),2)),IF(OR(O150="",NOT(ISNUMBER(historico_VU!E150))),"",ROUND(O150*historico_VU!E150,2)))</f>
        <v/>
      </c>
      <c r="Q150" s="85" t="str">
        <f>IF(OR(posicao_contratual!R150="",posicao_contratual!V150=""),"",ROUND(MAX(posicao_contratual!R150+posicao_contratual!P150-posicao_contratual!V150,0),2))</f>
        <v/>
      </c>
      <c r="R150" s="79" t="str">
        <f>IF(AND(A150="",A149&lt;&gt;"",COUNTIF(A151:$A$200,"&lt;&gt;")=0),IF(COUNT(R$2:R149)=0,"",ROUND(SUMIF($A$2:A149,"&lt;&gt;",R$2:R149),2)),IF(OR(Q150="",NOT(ISNUMBER(historico_VU!F150))),"",ROUND(Q150*historico_VU!F150,2)))</f>
        <v/>
      </c>
      <c r="S150" s="38"/>
      <c r="T150" s="39" t="str">
        <f>IF(AND(A150="",A149&lt;&gt;"",COUNTIF(A151:$A$200,"&lt;&gt;")=0),IF(COUNT(T$2:T149)=0,"",ROUND(SUMIF($A$2:A149,"&lt;&gt;",T$2:T149),2)),IF(OR(S150="",NOT(ISNUMBER(historico_VU!G150))),"",ROUND(S150*historico_VU!G150,2)))</f>
        <v/>
      </c>
      <c r="U150" s="86" t="str">
        <f>IF(AND(A150="",A149&lt;&gt;"",COUNTIF(A151:$A$200,"&lt;&gt;")=0),"TOTAL",IF(A150="","",posicao_contratual!X150))</f>
        <v/>
      </c>
      <c r="V150" s="86" t="str">
        <f>IF(A150="","",posicao_contratual!X150)</f>
        <v/>
      </c>
      <c r="W150" s="13"/>
      <c r="X150" s="13"/>
      <c r="Y150" s="13"/>
      <c r="Z150" s="13"/>
      <c r="AA150" s="13"/>
      <c r="AB150" s="85" t="str">
        <f>IF(OR(A150="",posicao_contratual!E150="",posicao_contratual!J150=""),"",ROUND(MAX(posicao_contratual!E150-posicao_contratual!J150,0),2))</f>
        <v/>
      </c>
      <c r="AC150" s="79" t="str">
        <f>IF(AND(A150="",A149&lt;&gt;"",COUNTIF(A151:$A$200,"&lt;&gt;")=0),IF(COUNT(AC$2:AC149)=0,"",ROUND(SUMIF($A$2:A149,"&lt;&gt;",AC$2:AC149),2)),IF(OR(AB150="",NOT(ISNUMBER(historico_VU!C150))),"",ROUND(AB150*historico_VU!C150,2)))</f>
        <v/>
      </c>
      <c r="AD150" s="145" t="str">
        <f>IF(A150="","",posicao_contratual!E150)</f>
        <v/>
      </c>
      <c r="AE150" s="145" t="str">
        <f>IF(A150="","",posicao_contratual!I150)</f>
        <v/>
      </c>
      <c r="AF150" s="145" t="str">
        <f>IF(A150="","",posicao_contratual!M150)</f>
        <v/>
      </c>
      <c r="AG150" s="145" t="str">
        <f>IF(A150="","",posicao_contratual!Q150)</f>
        <v/>
      </c>
      <c r="AH150" s="145" t="str">
        <f>IF(A150="","",posicao_contratual!U150)</f>
        <v/>
      </c>
      <c r="AI150" s="145" t="str">
        <f>IF(A150="","",posicao_contratual!G150)</f>
        <v/>
      </c>
      <c r="AJ150" s="145" t="str">
        <f>IF(A150="","",posicao_contratual!K150)</f>
        <v/>
      </c>
      <c r="AK150" s="145" t="str">
        <f>IF(A150="","",posicao_contratual!O150)</f>
        <v/>
      </c>
      <c r="AL150" s="145" t="str">
        <f>IF(A150="","",posicao_contratual!S150)</f>
        <v/>
      </c>
      <c r="AM150" s="145" t="str">
        <f>IF(A150="","",posicao_contratual!W150)</f>
        <v/>
      </c>
      <c r="AN150" s="146" t="str">
        <f>IF(A150="","",posicao_contratual!X150)</f>
        <v/>
      </c>
      <c r="AO150" t="str">
        <f>IF($A150="","",ROUND(SUMIFS(itens_Consumidos!$E$2:$E$200,itens_Consumidos!$A$2:$A$200,$A150),2))</f>
        <v/>
      </c>
      <c r="AP150" t="str">
        <f t="shared" si="24"/>
        <v/>
      </c>
      <c r="AQ150" t="str">
        <f>IF(OR($A150="",AB150="",MEMORIA_RESULTADOS!$I$258=""),"",ROUND(AB150*$C150*(MEMORIA_RESULTADOS!$I$258-1),2))</f>
        <v/>
      </c>
      <c r="AR150" t="str">
        <f>IF(OR($A150="",AP150="",MEMORIA_RESULTADOS!$I$258=""),"",ROUND(AP150*$C150*(parametros!$F$2-MEMORIA_RESULTADOS!$I$258),2))</f>
        <v/>
      </c>
      <c r="AS150" t="str">
        <f>IF($A150="","",ROUND(SUMIFS(itens_Consumidos!$G$2:$G$200,itens_Consumidos!$A$2:$A$200,$A150),2))</f>
        <v/>
      </c>
      <c r="AT150" t="str">
        <f t="shared" si="25"/>
        <v/>
      </c>
      <c r="AU150" t="str">
        <f>IF(OR($A150="",M150="",MEMORIA_RESULTADOS!$I$259=""),"",ROUND(M150*$C150*(MEMORIA_RESULTADOS!$I$259-1),2))</f>
        <v/>
      </c>
      <c r="AV150" t="str">
        <f>IF(OR($A150="",AT150="",MEMORIA_RESULTADOS!$I$259=""),"",ROUND(AT150*$C150*(parametros!$F$3-MEMORIA_RESULTADOS!$I$259),2))</f>
        <v/>
      </c>
      <c r="AW150" t="str">
        <f>IF($A150="","",ROUND(SUMIFS(itens_Consumidos!$I$2:$I$200,itens_Consumidos!$A$2:$A$200,$A150),2))</f>
        <v/>
      </c>
      <c r="AX150" t="str">
        <f t="shared" si="26"/>
        <v/>
      </c>
      <c r="AY150" t="str">
        <f>IF(OR($A150="",O150="",MEMORIA_RESULTADOS!$I$260=""),"",ROUND(O150*$C150*(MEMORIA_RESULTADOS!$I$260-1),2))</f>
        <v/>
      </c>
      <c r="AZ150" t="str">
        <f>IF(OR($A150="",AX150="",MEMORIA_RESULTADOS!$I$260=""),"",ROUND(AX150*$C150*(parametros!$F$4-MEMORIA_RESULTADOS!$I$260),2))</f>
        <v/>
      </c>
      <c r="BA150" t="str">
        <f>IF($A150="","",ROUND(SUMIFS(itens_Consumidos!$K$2:$K$200,itens_Consumidos!$A$2:$A$200,$A150),2))</f>
        <v/>
      </c>
      <c r="BB150" t="str">
        <f t="shared" si="27"/>
        <v/>
      </c>
      <c r="BC150" t="str">
        <f>IF(OR($A150="",Q150="",MEMORIA_RESULTADOS!$I$261=""),"",ROUND(Q150*$C150*(MEMORIA_RESULTADOS!$I$261-1),2))</f>
        <v/>
      </c>
      <c r="BD150" t="str">
        <f>IF(OR($A150="",BB150="",MEMORIA_RESULTADOS!$I$261=""),"",ROUND(BB150*$C150*(parametros!$F$5-MEMORIA_RESULTADOS!$I$261),2))</f>
        <v/>
      </c>
      <c r="BE150" t="str">
        <f>IF($A150="","",ROUND(SUMIFS(itens_Consumidos!$M$2:$M$200,itens_Consumidos!$A$2:$A$200,$A150),2))</f>
        <v/>
      </c>
      <c r="BF150" t="str">
        <f t="shared" si="28"/>
        <v/>
      </c>
      <c r="BG150" t="str">
        <f>IF(OR($A150="",S150="",MEMORIA_RESULTADOS!$I$262=""),"",ROUND(S150*$C150*(MEMORIA_RESULTADOS!$I$262-1),2))</f>
        <v/>
      </c>
      <c r="BH150" t="str">
        <f>IF(OR($A150="",BF150="",MEMORIA_RESULTADOS!$I$262=""),"",ROUND(BF150*$C150*(parametros!$F$6-MEMORIA_RESULTADOS!$I$262),2))</f>
        <v/>
      </c>
      <c r="BI150" t="str">
        <f>IF($A150="","",IF(posicao_contratual!$AL150="","",posicao_contratual!$AL150))</f>
        <v/>
      </c>
    </row>
    <row r="151" spans="1:61" x14ac:dyDescent="0.35">
      <c r="A151" s="81"/>
      <c r="B151" s="82" t="str">
        <f t="shared" si="29"/>
        <v/>
      </c>
      <c r="C151" s="83"/>
      <c r="D151" s="79" t="str">
        <f>IF(AND(A151="",A150&lt;&gt;"",COUNTIF(A152:$A$200,"&lt;&gt;")=0),ROUND(SUMIF($A$2:A150,"&lt;&gt;",$D$2:D150),2),IF(OR(A151="",B151="",C151=""),"",ROUND(B151*C151,2)))</f>
        <v/>
      </c>
      <c r="E151" s="84"/>
      <c r="F151" s="79" t="str">
        <f>IF(AND(A151="",A150&lt;&gt;"",COUNTIF(A152:$A$200,"&lt;&gt;")=0),IF(COUNT(F$2:F150)=0,"",ROUND(SUMIF($A$2:A150,"&lt;&gt;",F$2:F150),2)),IF(OR(A151="",AND(ISNUMBER(posicao_contratual!$AL151),posicao_contratual!$AL151&gt;1),posicao_contratual!K151="",NOT(ISNUMBER(historico_VU!D151))),"",ROUND(posicao_contratual!K151*historico_VU!D151,2)))</f>
        <v/>
      </c>
      <c r="G151" s="84"/>
      <c r="H151" s="79" t="str">
        <f>IF(AND(A151="",A150&lt;&gt;"",COUNTIF(A152:$A$200,"&lt;&gt;")=0),IF(COUNT(H$2:H150)=0,"",ROUND(SUMIF($A$2:A150,"&lt;&gt;",H$2:H150),2)),IF(OR(A151="",AND(ISNUMBER(posicao_contratual!$AL151),posicao_contratual!$AL151&gt;2),posicao_contratual!O151="",NOT(ISNUMBER(historico_VU!E151))),"",ROUND(posicao_contratual!O151*historico_VU!E151,2)))</f>
        <v/>
      </c>
      <c r="I151" s="84"/>
      <c r="J151" s="79" t="str">
        <f>IF(AND(A151="",A150&lt;&gt;"",COUNTIF(A152:$A$200,"&lt;&gt;")=0),IF(COUNT(J$2:J150)=0,"",ROUND(SUMIF($A$2:A150,"&lt;&gt;",J$2:J150),2)),IF(OR(A151="",AND(ISNUMBER(posicao_contratual!$AL151),posicao_contratual!$AL151&gt;3),posicao_contratual!S151="",NOT(ISNUMBER(historico_VU!F151))),"",ROUND(posicao_contratual!S151*historico_VU!F151,2)))</f>
        <v/>
      </c>
      <c r="K151" s="84"/>
      <c r="L151" s="79" t="str">
        <f>IF(AND(A151="",A150&lt;&gt;"",COUNTIF(A152:$A$200,"&lt;&gt;")=0),IF(COUNT(L$2:L150)=0,"",ROUND(SUMIF($A$2:A150,"&lt;&gt;",L$2:L150),2)),IF(OR(A151="",AND(ISNUMBER(posicao_contratual!$AL151),posicao_contratual!$AL151&gt;4),posicao_contratual!W151="",NOT(ISNUMBER(historico_VU!G151))),"",ROUND(posicao_contratual!W151*historico_VU!G151,2)))</f>
        <v/>
      </c>
      <c r="M151" s="85" t="str">
        <f>IF(OR(posicao_contratual!J151="",posicao_contratual!N151=""),"",ROUND(MAX(posicao_contratual!J151+posicao_contratual!H151-posicao_contratual!N151,0),2))</f>
        <v/>
      </c>
      <c r="N151" s="79" t="str">
        <f>IF(AND(A151="",A150&lt;&gt;"",COUNTIF(A152:$A$200,"&lt;&gt;")=0),IF(COUNT(N$2:N150)=0,"",ROUND(SUMIF($A$2:A150,"&lt;&gt;",N$2:N150),2)),IF(OR(M151="",NOT(ISNUMBER(historico_VU!D151))),"",ROUND(M151*historico_VU!D151,2)))</f>
        <v/>
      </c>
      <c r="O151" s="85" t="str">
        <f>IF(OR(posicao_contratual!N151="",posicao_contratual!R151=""),"",ROUND(MAX(posicao_contratual!N151+posicao_contratual!L151-posicao_contratual!R151,0),2))</f>
        <v/>
      </c>
      <c r="P151" s="79" t="str">
        <f>IF(AND(A151="",A150&lt;&gt;"",COUNTIF(A152:$A$200,"&lt;&gt;")=0),IF(COUNT(P$2:P150)=0,"",ROUND(SUMIF($A$2:A150,"&lt;&gt;",P$2:P150),2)),IF(OR(O151="",NOT(ISNUMBER(historico_VU!E151))),"",ROUND(O151*historico_VU!E151,2)))</f>
        <v/>
      </c>
      <c r="Q151" s="85" t="str">
        <f>IF(OR(posicao_contratual!R151="",posicao_contratual!V151=""),"",ROUND(MAX(posicao_contratual!R151+posicao_contratual!P151-posicao_contratual!V151,0),2))</f>
        <v/>
      </c>
      <c r="R151" s="79" t="str">
        <f>IF(AND(A151="",A150&lt;&gt;"",COUNTIF(A152:$A$200,"&lt;&gt;")=0),IF(COUNT(R$2:R150)=0,"",ROUND(SUMIF($A$2:A150,"&lt;&gt;",R$2:R150),2)),IF(OR(Q151="",NOT(ISNUMBER(historico_VU!F151))),"",ROUND(Q151*historico_VU!F151,2)))</f>
        <v/>
      </c>
      <c r="S151" s="38"/>
      <c r="T151" s="39" t="str">
        <f>IF(AND(A151="",A150&lt;&gt;"",COUNTIF(A152:$A$200,"&lt;&gt;")=0),IF(COUNT(T$2:T150)=0,"",ROUND(SUMIF($A$2:A150,"&lt;&gt;",T$2:T150),2)),IF(OR(S151="",NOT(ISNUMBER(historico_VU!G151))),"",ROUND(S151*historico_VU!G151,2)))</f>
        <v/>
      </c>
      <c r="U151" s="86" t="str">
        <f>IF(AND(A151="",A150&lt;&gt;"",COUNTIF(A152:$A$200,"&lt;&gt;")=0),"TOTAL",IF(A151="","",posicao_contratual!X151))</f>
        <v/>
      </c>
      <c r="V151" s="86" t="str">
        <f>IF(A151="","",posicao_contratual!X151)</f>
        <v/>
      </c>
      <c r="W151" s="13"/>
      <c r="X151" s="13"/>
      <c r="Y151" s="13"/>
      <c r="Z151" s="13"/>
      <c r="AA151" s="13"/>
      <c r="AB151" s="85" t="str">
        <f>IF(OR(A151="",posicao_contratual!E151="",posicao_contratual!J151=""),"",ROUND(MAX(posicao_contratual!E151-posicao_contratual!J151,0),2))</f>
        <v/>
      </c>
      <c r="AC151" s="79" t="str">
        <f>IF(AND(A151="",A150&lt;&gt;"",COUNTIF(A152:$A$200,"&lt;&gt;")=0),IF(COUNT(AC$2:AC150)=0,"",ROUND(SUMIF($A$2:A150,"&lt;&gt;",AC$2:AC150),2)),IF(OR(AB151="",NOT(ISNUMBER(historico_VU!C151))),"",ROUND(AB151*historico_VU!C151,2)))</f>
        <v/>
      </c>
      <c r="AD151" s="145" t="str">
        <f>IF(A151="","",posicao_contratual!E151)</f>
        <v/>
      </c>
      <c r="AE151" s="145" t="str">
        <f>IF(A151="","",posicao_contratual!I151)</f>
        <v/>
      </c>
      <c r="AF151" s="145" t="str">
        <f>IF(A151="","",posicao_contratual!M151)</f>
        <v/>
      </c>
      <c r="AG151" s="145" t="str">
        <f>IF(A151="","",posicao_contratual!Q151)</f>
        <v/>
      </c>
      <c r="AH151" s="145" t="str">
        <f>IF(A151="","",posicao_contratual!U151)</f>
        <v/>
      </c>
      <c r="AI151" s="145" t="str">
        <f>IF(A151="","",posicao_contratual!G151)</f>
        <v/>
      </c>
      <c r="AJ151" s="145" t="str">
        <f>IF(A151="","",posicao_contratual!K151)</f>
        <v/>
      </c>
      <c r="AK151" s="145" t="str">
        <f>IF(A151="","",posicao_contratual!O151)</f>
        <v/>
      </c>
      <c r="AL151" s="145" t="str">
        <f>IF(A151="","",posicao_contratual!S151)</f>
        <v/>
      </c>
      <c r="AM151" s="145" t="str">
        <f>IF(A151="","",posicao_contratual!W151)</f>
        <v/>
      </c>
      <c r="AN151" s="146" t="str">
        <f>IF(A151="","",posicao_contratual!X151)</f>
        <v/>
      </c>
      <c r="AO151" t="str">
        <f>IF($A151="","",ROUND(SUMIFS(itens_Consumidos!$E$2:$E$200,itens_Consumidos!$A$2:$A$200,$A151),2))</f>
        <v/>
      </c>
      <c r="AP151" t="str">
        <f t="shared" si="24"/>
        <v/>
      </c>
      <c r="AQ151" t="str">
        <f>IF(OR($A151="",AB151="",MEMORIA_RESULTADOS!$I$258=""),"",ROUND(AB151*$C151*(MEMORIA_RESULTADOS!$I$258-1),2))</f>
        <v/>
      </c>
      <c r="AR151" t="str">
        <f>IF(OR($A151="",AP151="",MEMORIA_RESULTADOS!$I$258=""),"",ROUND(AP151*$C151*(parametros!$F$2-MEMORIA_RESULTADOS!$I$258),2))</f>
        <v/>
      </c>
      <c r="AS151" t="str">
        <f>IF($A151="","",ROUND(SUMIFS(itens_Consumidos!$G$2:$G$200,itens_Consumidos!$A$2:$A$200,$A151),2))</f>
        <v/>
      </c>
      <c r="AT151" t="str">
        <f t="shared" si="25"/>
        <v/>
      </c>
      <c r="AU151" t="str">
        <f>IF(OR($A151="",M151="",MEMORIA_RESULTADOS!$I$259=""),"",ROUND(M151*$C151*(MEMORIA_RESULTADOS!$I$259-1),2))</f>
        <v/>
      </c>
      <c r="AV151" t="str">
        <f>IF(OR($A151="",AT151="",MEMORIA_RESULTADOS!$I$259=""),"",ROUND(AT151*$C151*(parametros!$F$3-MEMORIA_RESULTADOS!$I$259),2))</f>
        <v/>
      </c>
      <c r="AW151" t="str">
        <f>IF($A151="","",ROUND(SUMIFS(itens_Consumidos!$I$2:$I$200,itens_Consumidos!$A$2:$A$200,$A151),2))</f>
        <v/>
      </c>
      <c r="AX151" t="str">
        <f t="shared" si="26"/>
        <v/>
      </c>
      <c r="AY151" t="str">
        <f>IF(OR($A151="",O151="",MEMORIA_RESULTADOS!$I$260=""),"",ROUND(O151*$C151*(MEMORIA_RESULTADOS!$I$260-1),2))</f>
        <v/>
      </c>
      <c r="AZ151" t="str">
        <f>IF(OR($A151="",AX151="",MEMORIA_RESULTADOS!$I$260=""),"",ROUND(AX151*$C151*(parametros!$F$4-MEMORIA_RESULTADOS!$I$260),2))</f>
        <v/>
      </c>
      <c r="BA151" t="str">
        <f>IF($A151="","",ROUND(SUMIFS(itens_Consumidos!$K$2:$K$200,itens_Consumidos!$A$2:$A$200,$A151),2))</f>
        <v/>
      </c>
      <c r="BB151" t="str">
        <f t="shared" si="27"/>
        <v/>
      </c>
      <c r="BC151" t="str">
        <f>IF(OR($A151="",Q151="",MEMORIA_RESULTADOS!$I$261=""),"",ROUND(Q151*$C151*(MEMORIA_RESULTADOS!$I$261-1),2))</f>
        <v/>
      </c>
      <c r="BD151" t="str">
        <f>IF(OR($A151="",BB151="",MEMORIA_RESULTADOS!$I$261=""),"",ROUND(BB151*$C151*(parametros!$F$5-MEMORIA_RESULTADOS!$I$261),2))</f>
        <v/>
      </c>
      <c r="BE151" t="str">
        <f>IF($A151="","",ROUND(SUMIFS(itens_Consumidos!$M$2:$M$200,itens_Consumidos!$A$2:$A$200,$A151),2))</f>
        <v/>
      </c>
      <c r="BF151" t="str">
        <f t="shared" si="28"/>
        <v/>
      </c>
      <c r="BG151" t="str">
        <f>IF(OR($A151="",S151="",MEMORIA_RESULTADOS!$I$262=""),"",ROUND(S151*$C151*(MEMORIA_RESULTADOS!$I$262-1),2))</f>
        <v/>
      </c>
      <c r="BH151" t="str">
        <f>IF(OR($A151="",BF151="",MEMORIA_RESULTADOS!$I$262=""),"",ROUND(BF151*$C151*(parametros!$F$6-MEMORIA_RESULTADOS!$I$262),2))</f>
        <v/>
      </c>
      <c r="BI151" t="str">
        <f>IF($A151="","",IF(posicao_contratual!$AL151="","",posicao_contratual!$AL151))</f>
        <v/>
      </c>
    </row>
    <row r="152" spans="1:61" x14ac:dyDescent="0.35">
      <c r="A152" s="81"/>
      <c r="B152" s="82" t="str">
        <f t="shared" si="29"/>
        <v/>
      </c>
      <c r="C152" s="83"/>
      <c r="D152" s="79" t="str">
        <f>IF(AND(A152="",A151&lt;&gt;"",COUNTIF(A153:$A$200,"&lt;&gt;")=0),ROUND(SUMIF($A$2:A151,"&lt;&gt;",$D$2:D151),2),IF(OR(A152="",B152="",C152=""),"",ROUND(B152*C152,2)))</f>
        <v/>
      </c>
      <c r="E152" s="84"/>
      <c r="F152" s="79" t="str">
        <f>IF(AND(A152="",A151&lt;&gt;"",COUNTIF(A153:$A$200,"&lt;&gt;")=0),IF(COUNT(F$2:F151)=0,"",ROUND(SUMIF($A$2:A151,"&lt;&gt;",F$2:F151),2)),IF(OR(A152="",AND(ISNUMBER(posicao_contratual!$AL152),posicao_contratual!$AL152&gt;1),posicao_contratual!K152="",NOT(ISNUMBER(historico_VU!D152))),"",ROUND(posicao_contratual!K152*historico_VU!D152,2)))</f>
        <v/>
      </c>
      <c r="G152" s="84"/>
      <c r="H152" s="79" t="str">
        <f>IF(AND(A152="",A151&lt;&gt;"",COUNTIF(A153:$A$200,"&lt;&gt;")=0),IF(COUNT(H$2:H151)=0,"",ROUND(SUMIF($A$2:A151,"&lt;&gt;",H$2:H151),2)),IF(OR(A152="",AND(ISNUMBER(posicao_contratual!$AL152),posicao_contratual!$AL152&gt;2),posicao_contratual!O152="",NOT(ISNUMBER(historico_VU!E152))),"",ROUND(posicao_contratual!O152*historico_VU!E152,2)))</f>
        <v/>
      </c>
      <c r="I152" s="84"/>
      <c r="J152" s="79" t="str">
        <f>IF(AND(A152="",A151&lt;&gt;"",COUNTIF(A153:$A$200,"&lt;&gt;")=0),IF(COUNT(J$2:J151)=0,"",ROUND(SUMIF($A$2:A151,"&lt;&gt;",J$2:J151),2)),IF(OR(A152="",AND(ISNUMBER(posicao_contratual!$AL152),posicao_contratual!$AL152&gt;3),posicao_contratual!S152="",NOT(ISNUMBER(historico_VU!F152))),"",ROUND(posicao_contratual!S152*historico_VU!F152,2)))</f>
        <v/>
      </c>
      <c r="K152" s="84"/>
      <c r="L152" s="79" t="str">
        <f>IF(AND(A152="",A151&lt;&gt;"",COUNTIF(A153:$A$200,"&lt;&gt;")=0),IF(COUNT(L$2:L151)=0,"",ROUND(SUMIF($A$2:A151,"&lt;&gt;",L$2:L151),2)),IF(OR(A152="",AND(ISNUMBER(posicao_contratual!$AL152),posicao_contratual!$AL152&gt;4),posicao_contratual!W152="",NOT(ISNUMBER(historico_VU!G152))),"",ROUND(posicao_contratual!W152*historico_VU!G152,2)))</f>
        <v/>
      </c>
      <c r="M152" s="85" t="str">
        <f>IF(OR(posicao_contratual!J152="",posicao_contratual!N152=""),"",ROUND(MAX(posicao_contratual!J152+posicao_contratual!H152-posicao_contratual!N152,0),2))</f>
        <v/>
      </c>
      <c r="N152" s="79" t="str">
        <f>IF(AND(A152="",A151&lt;&gt;"",COUNTIF(A153:$A$200,"&lt;&gt;")=0),IF(COUNT(N$2:N151)=0,"",ROUND(SUMIF($A$2:A151,"&lt;&gt;",N$2:N151),2)),IF(OR(M152="",NOT(ISNUMBER(historico_VU!D152))),"",ROUND(M152*historico_VU!D152,2)))</f>
        <v/>
      </c>
      <c r="O152" s="85" t="str">
        <f>IF(OR(posicao_contratual!N152="",posicao_contratual!R152=""),"",ROUND(MAX(posicao_contratual!N152+posicao_contratual!L152-posicao_contratual!R152,0),2))</f>
        <v/>
      </c>
      <c r="P152" s="79" t="str">
        <f>IF(AND(A152="",A151&lt;&gt;"",COUNTIF(A153:$A$200,"&lt;&gt;")=0),IF(COUNT(P$2:P151)=0,"",ROUND(SUMIF($A$2:A151,"&lt;&gt;",P$2:P151),2)),IF(OR(O152="",NOT(ISNUMBER(historico_VU!E152))),"",ROUND(O152*historico_VU!E152,2)))</f>
        <v/>
      </c>
      <c r="Q152" s="85" t="str">
        <f>IF(OR(posicao_contratual!R152="",posicao_contratual!V152=""),"",ROUND(MAX(posicao_contratual!R152+posicao_contratual!P152-posicao_contratual!V152,0),2))</f>
        <v/>
      </c>
      <c r="R152" s="79" t="str">
        <f>IF(AND(A152="",A151&lt;&gt;"",COUNTIF(A153:$A$200,"&lt;&gt;")=0),IF(COUNT(R$2:R151)=0,"",ROUND(SUMIF($A$2:A151,"&lt;&gt;",R$2:R151),2)),IF(OR(Q152="",NOT(ISNUMBER(historico_VU!F152))),"",ROUND(Q152*historico_VU!F152,2)))</f>
        <v/>
      </c>
      <c r="S152" s="38"/>
      <c r="T152" s="39" t="str">
        <f>IF(AND(A152="",A151&lt;&gt;"",COUNTIF(A153:$A$200,"&lt;&gt;")=0),IF(COUNT(T$2:T151)=0,"",ROUND(SUMIF($A$2:A151,"&lt;&gt;",T$2:T151),2)),IF(OR(S152="",NOT(ISNUMBER(historico_VU!G152))),"",ROUND(S152*historico_VU!G152,2)))</f>
        <v/>
      </c>
      <c r="U152" s="86" t="str">
        <f>IF(AND(A152="",A151&lt;&gt;"",COUNTIF(A153:$A$200,"&lt;&gt;")=0),"TOTAL",IF(A152="","",posicao_contratual!X152))</f>
        <v/>
      </c>
      <c r="V152" s="86" t="str">
        <f>IF(A152="","",posicao_contratual!X152)</f>
        <v/>
      </c>
      <c r="W152" s="13"/>
      <c r="X152" s="13"/>
      <c r="Y152" s="13"/>
      <c r="Z152" s="13"/>
      <c r="AA152" s="13"/>
      <c r="AB152" s="85" t="str">
        <f>IF(OR(A152="",posicao_contratual!E152="",posicao_contratual!J152=""),"",ROUND(MAX(posicao_contratual!E152-posicao_contratual!J152,0),2))</f>
        <v/>
      </c>
      <c r="AC152" s="79" t="str">
        <f>IF(AND(A152="",A151&lt;&gt;"",COUNTIF(A153:$A$200,"&lt;&gt;")=0),IF(COUNT(AC$2:AC151)=0,"",ROUND(SUMIF($A$2:A151,"&lt;&gt;",AC$2:AC151),2)),IF(OR(AB152="",NOT(ISNUMBER(historico_VU!C152))),"",ROUND(AB152*historico_VU!C152,2)))</f>
        <v/>
      </c>
      <c r="AD152" s="145" t="str">
        <f>IF(A152="","",posicao_contratual!E152)</f>
        <v/>
      </c>
      <c r="AE152" s="145" t="str">
        <f>IF(A152="","",posicao_contratual!I152)</f>
        <v/>
      </c>
      <c r="AF152" s="145" t="str">
        <f>IF(A152="","",posicao_contratual!M152)</f>
        <v/>
      </c>
      <c r="AG152" s="145" t="str">
        <f>IF(A152="","",posicao_contratual!Q152)</f>
        <v/>
      </c>
      <c r="AH152" s="145" t="str">
        <f>IF(A152="","",posicao_contratual!U152)</f>
        <v/>
      </c>
      <c r="AI152" s="145" t="str">
        <f>IF(A152="","",posicao_contratual!G152)</f>
        <v/>
      </c>
      <c r="AJ152" s="145" t="str">
        <f>IF(A152="","",posicao_contratual!K152)</f>
        <v/>
      </c>
      <c r="AK152" s="145" t="str">
        <f>IF(A152="","",posicao_contratual!O152)</f>
        <v/>
      </c>
      <c r="AL152" s="145" t="str">
        <f>IF(A152="","",posicao_contratual!S152)</f>
        <v/>
      </c>
      <c r="AM152" s="145" t="str">
        <f>IF(A152="","",posicao_contratual!W152)</f>
        <v/>
      </c>
      <c r="AN152" s="146" t="str">
        <f>IF(A152="","",posicao_contratual!X152)</f>
        <v/>
      </c>
      <c r="AO152" t="str">
        <f>IF($A152="","",ROUND(SUMIFS(itens_Consumidos!$E$2:$E$200,itens_Consumidos!$A$2:$A$200,$A152),2))</f>
        <v/>
      </c>
      <c r="AP152" t="str">
        <f t="shared" si="24"/>
        <v/>
      </c>
      <c r="AQ152" t="str">
        <f>IF(OR($A152="",AB152="",MEMORIA_RESULTADOS!$I$258=""),"",ROUND(AB152*$C152*(MEMORIA_RESULTADOS!$I$258-1),2))</f>
        <v/>
      </c>
      <c r="AR152" t="str">
        <f>IF(OR($A152="",AP152="",MEMORIA_RESULTADOS!$I$258=""),"",ROUND(AP152*$C152*(parametros!$F$2-MEMORIA_RESULTADOS!$I$258),2))</f>
        <v/>
      </c>
      <c r="AS152" t="str">
        <f>IF($A152="","",ROUND(SUMIFS(itens_Consumidos!$G$2:$G$200,itens_Consumidos!$A$2:$A$200,$A152),2))</f>
        <v/>
      </c>
      <c r="AT152" t="str">
        <f t="shared" si="25"/>
        <v/>
      </c>
      <c r="AU152" t="str">
        <f>IF(OR($A152="",M152="",MEMORIA_RESULTADOS!$I$259=""),"",ROUND(M152*$C152*(MEMORIA_RESULTADOS!$I$259-1),2))</f>
        <v/>
      </c>
      <c r="AV152" t="str">
        <f>IF(OR($A152="",AT152="",MEMORIA_RESULTADOS!$I$259=""),"",ROUND(AT152*$C152*(parametros!$F$3-MEMORIA_RESULTADOS!$I$259),2))</f>
        <v/>
      </c>
      <c r="AW152" t="str">
        <f>IF($A152="","",ROUND(SUMIFS(itens_Consumidos!$I$2:$I$200,itens_Consumidos!$A$2:$A$200,$A152),2))</f>
        <v/>
      </c>
      <c r="AX152" t="str">
        <f t="shared" si="26"/>
        <v/>
      </c>
      <c r="AY152" t="str">
        <f>IF(OR($A152="",O152="",MEMORIA_RESULTADOS!$I$260=""),"",ROUND(O152*$C152*(MEMORIA_RESULTADOS!$I$260-1),2))</f>
        <v/>
      </c>
      <c r="AZ152" t="str">
        <f>IF(OR($A152="",AX152="",MEMORIA_RESULTADOS!$I$260=""),"",ROUND(AX152*$C152*(parametros!$F$4-MEMORIA_RESULTADOS!$I$260),2))</f>
        <v/>
      </c>
      <c r="BA152" t="str">
        <f>IF($A152="","",ROUND(SUMIFS(itens_Consumidos!$K$2:$K$200,itens_Consumidos!$A$2:$A$200,$A152),2))</f>
        <v/>
      </c>
      <c r="BB152" t="str">
        <f t="shared" si="27"/>
        <v/>
      </c>
      <c r="BC152" t="str">
        <f>IF(OR($A152="",Q152="",MEMORIA_RESULTADOS!$I$261=""),"",ROUND(Q152*$C152*(MEMORIA_RESULTADOS!$I$261-1),2))</f>
        <v/>
      </c>
      <c r="BD152" t="str">
        <f>IF(OR($A152="",BB152="",MEMORIA_RESULTADOS!$I$261=""),"",ROUND(BB152*$C152*(parametros!$F$5-MEMORIA_RESULTADOS!$I$261),2))</f>
        <v/>
      </c>
      <c r="BE152" t="str">
        <f>IF($A152="","",ROUND(SUMIFS(itens_Consumidos!$M$2:$M$200,itens_Consumidos!$A$2:$A$200,$A152),2))</f>
        <v/>
      </c>
      <c r="BF152" t="str">
        <f t="shared" si="28"/>
        <v/>
      </c>
      <c r="BG152" t="str">
        <f>IF(OR($A152="",S152="",MEMORIA_RESULTADOS!$I$262=""),"",ROUND(S152*$C152*(MEMORIA_RESULTADOS!$I$262-1),2))</f>
        <v/>
      </c>
      <c r="BH152" t="str">
        <f>IF(OR($A152="",BF152="",MEMORIA_RESULTADOS!$I$262=""),"",ROUND(BF152*$C152*(parametros!$F$6-MEMORIA_RESULTADOS!$I$262),2))</f>
        <v/>
      </c>
      <c r="BI152" t="str">
        <f>IF($A152="","",IF(posicao_contratual!$AL152="","",posicao_contratual!$AL152))</f>
        <v/>
      </c>
    </row>
    <row r="153" spans="1:61" x14ac:dyDescent="0.35">
      <c r="A153" s="81"/>
      <c r="B153" s="82" t="str">
        <f t="shared" si="29"/>
        <v/>
      </c>
      <c r="C153" s="83"/>
      <c r="D153" s="79" t="str">
        <f>IF(AND(A153="",A152&lt;&gt;"",COUNTIF(A154:$A$200,"&lt;&gt;")=0),ROUND(SUMIF($A$2:A152,"&lt;&gt;",$D$2:D152),2),IF(OR(A153="",B153="",C153=""),"",ROUND(B153*C153,2)))</f>
        <v/>
      </c>
      <c r="E153" s="84"/>
      <c r="F153" s="79" t="str">
        <f>IF(AND(A153="",A152&lt;&gt;"",COUNTIF(A154:$A$200,"&lt;&gt;")=0),IF(COUNT(F$2:F152)=0,"",ROUND(SUMIF($A$2:A152,"&lt;&gt;",F$2:F152),2)),IF(OR(A153="",AND(ISNUMBER(posicao_contratual!$AL153),posicao_contratual!$AL153&gt;1),posicao_contratual!K153="",NOT(ISNUMBER(historico_VU!D153))),"",ROUND(posicao_contratual!K153*historico_VU!D153,2)))</f>
        <v/>
      </c>
      <c r="G153" s="84"/>
      <c r="H153" s="79" t="str">
        <f>IF(AND(A153="",A152&lt;&gt;"",COUNTIF(A154:$A$200,"&lt;&gt;")=0),IF(COUNT(H$2:H152)=0,"",ROUND(SUMIF($A$2:A152,"&lt;&gt;",H$2:H152),2)),IF(OR(A153="",AND(ISNUMBER(posicao_contratual!$AL153),posicao_contratual!$AL153&gt;2),posicao_contratual!O153="",NOT(ISNUMBER(historico_VU!E153))),"",ROUND(posicao_contratual!O153*historico_VU!E153,2)))</f>
        <v/>
      </c>
      <c r="I153" s="84"/>
      <c r="J153" s="79" t="str">
        <f>IF(AND(A153="",A152&lt;&gt;"",COUNTIF(A154:$A$200,"&lt;&gt;")=0),IF(COUNT(J$2:J152)=0,"",ROUND(SUMIF($A$2:A152,"&lt;&gt;",J$2:J152),2)),IF(OR(A153="",AND(ISNUMBER(posicao_contratual!$AL153),posicao_contratual!$AL153&gt;3),posicao_contratual!S153="",NOT(ISNUMBER(historico_VU!F153))),"",ROUND(posicao_contratual!S153*historico_VU!F153,2)))</f>
        <v/>
      </c>
      <c r="K153" s="84"/>
      <c r="L153" s="79" t="str">
        <f>IF(AND(A153="",A152&lt;&gt;"",COUNTIF(A154:$A$200,"&lt;&gt;")=0),IF(COUNT(L$2:L152)=0,"",ROUND(SUMIF($A$2:A152,"&lt;&gt;",L$2:L152),2)),IF(OR(A153="",AND(ISNUMBER(posicao_contratual!$AL153),posicao_contratual!$AL153&gt;4),posicao_contratual!W153="",NOT(ISNUMBER(historico_VU!G153))),"",ROUND(posicao_contratual!W153*historico_VU!G153,2)))</f>
        <v/>
      </c>
      <c r="M153" s="85" t="str">
        <f>IF(OR(posicao_contratual!J153="",posicao_contratual!N153=""),"",ROUND(MAX(posicao_contratual!J153+posicao_contratual!H153-posicao_contratual!N153,0),2))</f>
        <v/>
      </c>
      <c r="N153" s="79" t="str">
        <f>IF(AND(A153="",A152&lt;&gt;"",COUNTIF(A154:$A$200,"&lt;&gt;")=0),IF(COUNT(N$2:N152)=0,"",ROUND(SUMIF($A$2:A152,"&lt;&gt;",N$2:N152),2)),IF(OR(M153="",NOT(ISNUMBER(historico_VU!D153))),"",ROUND(M153*historico_VU!D153,2)))</f>
        <v/>
      </c>
      <c r="O153" s="85" t="str">
        <f>IF(OR(posicao_contratual!N153="",posicao_contratual!R153=""),"",ROUND(MAX(posicao_contratual!N153+posicao_contratual!L153-posicao_contratual!R153,0),2))</f>
        <v/>
      </c>
      <c r="P153" s="79" t="str">
        <f>IF(AND(A153="",A152&lt;&gt;"",COUNTIF(A154:$A$200,"&lt;&gt;")=0),IF(COUNT(P$2:P152)=0,"",ROUND(SUMIF($A$2:A152,"&lt;&gt;",P$2:P152),2)),IF(OR(O153="",NOT(ISNUMBER(historico_VU!E153))),"",ROUND(O153*historico_VU!E153,2)))</f>
        <v/>
      </c>
      <c r="Q153" s="85" t="str">
        <f>IF(OR(posicao_contratual!R153="",posicao_contratual!V153=""),"",ROUND(MAX(posicao_contratual!R153+posicao_contratual!P153-posicao_contratual!V153,0),2))</f>
        <v/>
      </c>
      <c r="R153" s="79" t="str">
        <f>IF(AND(A153="",A152&lt;&gt;"",COUNTIF(A154:$A$200,"&lt;&gt;")=0),IF(COUNT(R$2:R152)=0,"",ROUND(SUMIF($A$2:A152,"&lt;&gt;",R$2:R152),2)),IF(OR(Q153="",NOT(ISNUMBER(historico_VU!F153))),"",ROUND(Q153*historico_VU!F153,2)))</f>
        <v/>
      </c>
      <c r="S153" s="38"/>
      <c r="T153" s="39" t="str">
        <f>IF(AND(A153="",A152&lt;&gt;"",COUNTIF(A154:$A$200,"&lt;&gt;")=0),IF(COUNT(T$2:T152)=0,"",ROUND(SUMIF($A$2:A152,"&lt;&gt;",T$2:T152),2)),IF(OR(S153="",NOT(ISNUMBER(historico_VU!G153))),"",ROUND(S153*historico_VU!G153,2)))</f>
        <v/>
      </c>
      <c r="U153" s="86" t="str">
        <f>IF(AND(A153="",A152&lt;&gt;"",COUNTIF(A154:$A$200,"&lt;&gt;")=0),"TOTAL",IF(A153="","",posicao_contratual!X153))</f>
        <v/>
      </c>
      <c r="V153" s="86" t="str">
        <f>IF(A153="","",posicao_contratual!X153)</f>
        <v/>
      </c>
      <c r="W153" s="13"/>
      <c r="X153" s="13"/>
      <c r="Y153" s="13"/>
      <c r="Z153" s="13"/>
      <c r="AA153" s="13"/>
      <c r="AB153" s="85" t="str">
        <f>IF(OR(A153="",posicao_contratual!E153="",posicao_contratual!J153=""),"",ROUND(MAX(posicao_contratual!E153-posicao_contratual!J153,0),2))</f>
        <v/>
      </c>
      <c r="AC153" s="79" t="str">
        <f>IF(AND(A153="",A152&lt;&gt;"",COUNTIF(A154:$A$200,"&lt;&gt;")=0),IF(COUNT(AC$2:AC152)=0,"",ROUND(SUMIF($A$2:A152,"&lt;&gt;",AC$2:AC152),2)),IF(OR(AB153="",NOT(ISNUMBER(historico_VU!C153))),"",ROUND(AB153*historico_VU!C153,2)))</f>
        <v/>
      </c>
      <c r="AD153" s="145" t="str">
        <f>IF(A153="","",posicao_contratual!E153)</f>
        <v/>
      </c>
      <c r="AE153" s="145" t="str">
        <f>IF(A153="","",posicao_contratual!I153)</f>
        <v/>
      </c>
      <c r="AF153" s="145" t="str">
        <f>IF(A153="","",posicao_contratual!M153)</f>
        <v/>
      </c>
      <c r="AG153" s="145" t="str">
        <f>IF(A153="","",posicao_contratual!Q153)</f>
        <v/>
      </c>
      <c r="AH153" s="145" t="str">
        <f>IF(A153="","",posicao_contratual!U153)</f>
        <v/>
      </c>
      <c r="AI153" s="145" t="str">
        <f>IF(A153="","",posicao_contratual!G153)</f>
        <v/>
      </c>
      <c r="AJ153" s="145" t="str">
        <f>IF(A153="","",posicao_contratual!K153)</f>
        <v/>
      </c>
      <c r="AK153" s="145" t="str">
        <f>IF(A153="","",posicao_contratual!O153)</f>
        <v/>
      </c>
      <c r="AL153" s="145" t="str">
        <f>IF(A153="","",posicao_contratual!S153)</f>
        <v/>
      </c>
      <c r="AM153" s="145" t="str">
        <f>IF(A153="","",posicao_contratual!W153)</f>
        <v/>
      </c>
      <c r="AN153" s="146" t="str">
        <f>IF(A153="","",posicao_contratual!X153)</f>
        <v/>
      </c>
      <c r="AO153" t="str">
        <f>IF($A153="","",ROUND(SUMIFS(itens_Consumidos!$E$2:$E$200,itens_Consumidos!$A$2:$A$200,$A153),2))</f>
        <v/>
      </c>
      <c r="AP153" t="str">
        <f t="shared" si="24"/>
        <v/>
      </c>
      <c r="AQ153" t="str">
        <f>IF(OR($A153="",AB153="",MEMORIA_RESULTADOS!$I$258=""),"",ROUND(AB153*$C153*(MEMORIA_RESULTADOS!$I$258-1),2))</f>
        <v/>
      </c>
      <c r="AR153" t="str">
        <f>IF(OR($A153="",AP153="",MEMORIA_RESULTADOS!$I$258=""),"",ROUND(AP153*$C153*(parametros!$F$2-MEMORIA_RESULTADOS!$I$258),2))</f>
        <v/>
      </c>
      <c r="AS153" t="str">
        <f>IF($A153="","",ROUND(SUMIFS(itens_Consumidos!$G$2:$G$200,itens_Consumidos!$A$2:$A$200,$A153),2))</f>
        <v/>
      </c>
      <c r="AT153" t="str">
        <f t="shared" si="25"/>
        <v/>
      </c>
      <c r="AU153" t="str">
        <f>IF(OR($A153="",M153="",MEMORIA_RESULTADOS!$I$259=""),"",ROUND(M153*$C153*(MEMORIA_RESULTADOS!$I$259-1),2))</f>
        <v/>
      </c>
      <c r="AV153" t="str">
        <f>IF(OR($A153="",AT153="",MEMORIA_RESULTADOS!$I$259=""),"",ROUND(AT153*$C153*(parametros!$F$3-MEMORIA_RESULTADOS!$I$259),2))</f>
        <v/>
      </c>
      <c r="AW153" t="str">
        <f>IF($A153="","",ROUND(SUMIFS(itens_Consumidos!$I$2:$I$200,itens_Consumidos!$A$2:$A$200,$A153),2))</f>
        <v/>
      </c>
      <c r="AX153" t="str">
        <f t="shared" si="26"/>
        <v/>
      </c>
      <c r="AY153" t="str">
        <f>IF(OR($A153="",O153="",MEMORIA_RESULTADOS!$I$260=""),"",ROUND(O153*$C153*(MEMORIA_RESULTADOS!$I$260-1),2))</f>
        <v/>
      </c>
      <c r="AZ153" t="str">
        <f>IF(OR($A153="",AX153="",MEMORIA_RESULTADOS!$I$260=""),"",ROUND(AX153*$C153*(parametros!$F$4-MEMORIA_RESULTADOS!$I$260),2))</f>
        <v/>
      </c>
      <c r="BA153" t="str">
        <f>IF($A153="","",ROUND(SUMIFS(itens_Consumidos!$K$2:$K$200,itens_Consumidos!$A$2:$A$200,$A153),2))</f>
        <v/>
      </c>
      <c r="BB153" t="str">
        <f t="shared" si="27"/>
        <v/>
      </c>
      <c r="BC153" t="str">
        <f>IF(OR($A153="",Q153="",MEMORIA_RESULTADOS!$I$261=""),"",ROUND(Q153*$C153*(MEMORIA_RESULTADOS!$I$261-1),2))</f>
        <v/>
      </c>
      <c r="BD153" t="str">
        <f>IF(OR($A153="",BB153="",MEMORIA_RESULTADOS!$I$261=""),"",ROUND(BB153*$C153*(parametros!$F$5-MEMORIA_RESULTADOS!$I$261),2))</f>
        <v/>
      </c>
      <c r="BE153" t="str">
        <f>IF($A153="","",ROUND(SUMIFS(itens_Consumidos!$M$2:$M$200,itens_Consumidos!$A$2:$A$200,$A153),2))</f>
        <v/>
      </c>
      <c r="BF153" t="str">
        <f t="shared" si="28"/>
        <v/>
      </c>
      <c r="BG153" t="str">
        <f>IF(OR($A153="",S153="",MEMORIA_RESULTADOS!$I$262=""),"",ROUND(S153*$C153*(MEMORIA_RESULTADOS!$I$262-1),2))</f>
        <v/>
      </c>
      <c r="BH153" t="str">
        <f>IF(OR($A153="",BF153="",MEMORIA_RESULTADOS!$I$262=""),"",ROUND(BF153*$C153*(parametros!$F$6-MEMORIA_RESULTADOS!$I$262),2))</f>
        <v/>
      </c>
      <c r="BI153" t="str">
        <f>IF($A153="","",IF(posicao_contratual!$AL153="","",posicao_contratual!$AL153))</f>
        <v/>
      </c>
    </row>
    <row r="154" spans="1:61" x14ac:dyDescent="0.35">
      <c r="A154" s="81"/>
      <c r="B154" s="82" t="str">
        <f t="shared" si="29"/>
        <v/>
      </c>
      <c r="C154" s="83"/>
      <c r="D154" s="79" t="str">
        <f>IF(AND(A154="",A153&lt;&gt;"",COUNTIF(A155:$A$200,"&lt;&gt;")=0),ROUND(SUMIF($A$2:A153,"&lt;&gt;",$D$2:D153),2),IF(OR(A154="",B154="",C154=""),"",ROUND(B154*C154,2)))</f>
        <v/>
      </c>
      <c r="E154" s="84"/>
      <c r="F154" s="79" t="str">
        <f>IF(AND(A154="",A153&lt;&gt;"",COUNTIF(A155:$A$200,"&lt;&gt;")=0),IF(COUNT(F$2:F153)=0,"",ROUND(SUMIF($A$2:A153,"&lt;&gt;",F$2:F153),2)),IF(OR(A154="",AND(ISNUMBER(posicao_contratual!$AL154),posicao_contratual!$AL154&gt;1),posicao_contratual!K154="",NOT(ISNUMBER(historico_VU!D154))),"",ROUND(posicao_contratual!K154*historico_VU!D154,2)))</f>
        <v/>
      </c>
      <c r="G154" s="84"/>
      <c r="H154" s="79" t="str">
        <f>IF(AND(A154="",A153&lt;&gt;"",COUNTIF(A155:$A$200,"&lt;&gt;")=0),IF(COUNT(H$2:H153)=0,"",ROUND(SUMIF($A$2:A153,"&lt;&gt;",H$2:H153),2)),IF(OR(A154="",AND(ISNUMBER(posicao_contratual!$AL154),posicao_contratual!$AL154&gt;2),posicao_contratual!O154="",NOT(ISNUMBER(historico_VU!E154))),"",ROUND(posicao_contratual!O154*historico_VU!E154,2)))</f>
        <v/>
      </c>
      <c r="I154" s="84"/>
      <c r="J154" s="79" t="str">
        <f>IF(AND(A154="",A153&lt;&gt;"",COUNTIF(A155:$A$200,"&lt;&gt;")=0),IF(COUNT(J$2:J153)=0,"",ROUND(SUMIF($A$2:A153,"&lt;&gt;",J$2:J153),2)),IF(OR(A154="",AND(ISNUMBER(posicao_contratual!$AL154),posicao_contratual!$AL154&gt;3),posicao_contratual!S154="",NOT(ISNUMBER(historico_VU!F154))),"",ROUND(posicao_contratual!S154*historico_VU!F154,2)))</f>
        <v/>
      </c>
      <c r="K154" s="84"/>
      <c r="L154" s="79" t="str">
        <f>IF(AND(A154="",A153&lt;&gt;"",COUNTIF(A155:$A$200,"&lt;&gt;")=0),IF(COUNT(L$2:L153)=0,"",ROUND(SUMIF($A$2:A153,"&lt;&gt;",L$2:L153),2)),IF(OR(A154="",AND(ISNUMBER(posicao_contratual!$AL154),posicao_contratual!$AL154&gt;4),posicao_contratual!W154="",NOT(ISNUMBER(historico_VU!G154))),"",ROUND(posicao_contratual!W154*historico_VU!G154,2)))</f>
        <v/>
      </c>
      <c r="M154" s="85" t="str">
        <f>IF(OR(posicao_contratual!J154="",posicao_contratual!N154=""),"",ROUND(MAX(posicao_contratual!J154+posicao_contratual!H154-posicao_contratual!N154,0),2))</f>
        <v/>
      </c>
      <c r="N154" s="79" t="str">
        <f>IF(AND(A154="",A153&lt;&gt;"",COUNTIF(A155:$A$200,"&lt;&gt;")=0),IF(COUNT(N$2:N153)=0,"",ROUND(SUMIF($A$2:A153,"&lt;&gt;",N$2:N153),2)),IF(OR(M154="",NOT(ISNUMBER(historico_VU!D154))),"",ROUND(M154*historico_VU!D154,2)))</f>
        <v/>
      </c>
      <c r="O154" s="85" t="str">
        <f>IF(OR(posicao_contratual!N154="",posicao_contratual!R154=""),"",ROUND(MAX(posicao_contratual!N154+posicao_contratual!L154-posicao_contratual!R154,0),2))</f>
        <v/>
      </c>
      <c r="P154" s="79" t="str">
        <f>IF(AND(A154="",A153&lt;&gt;"",COUNTIF(A155:$A$200,"&lt;&gt;")=0),IF(COUNT(P$2:P153)=0,"",ROUND(SUMIF($A$2:A153,"&lt;&gt;",P$2:P153),2)),IF(OR(O154="",NOT(ISNUMBER(historico_VU!E154))),"",ROUND(O154*historico_VU!E154,2)))</f>
        <v/>
      </c>
      <c r="Q154" s="85" t="str">
        <f>IF(OR(posicao_contratual!R154="",posicao_contratual!V154=""),"",ROUND(MAX(posicao_contratual!R154+posicao_contratual!P154-posicao_contratual!V154,0),2))</f>
        <v/>
      </c>
      <c r="R154" s="79" t="str">
        <f>IF(AND(A154="",A153&lt;&gt;"",COUNTIF(A155:$A$200,"&lt;&gt;")=0),IF(COUNT(R$2:R153)=0,"",ROUND(SUMIF($A$2:A153,"&lt;&gt;",R$2:R153),2)),IF(OR(Q154="",NOT(ISNUMBER(historico_VU!F154))),"",ROUND(Q154*historico_VU!F154,2)))</f>
        <v/>
      </c>
      <c r="S154" s="38"/>
      <c r="T154" s="39" t="str">
        <f>IF(AND(A154="",A153&lt;&gt;"",COUNTIF(A155:$A$200,"&lt;&gt;")=0),IF(COUNT(T$2:T153)=0,"",ROUND(SUMIF($A$2:A153,"&lt;&gt;",T$2:T153),2)),IF(OR(S154="",NOT(ISNUMBER(historico_VU!G154))),"",ROUND(S154*historico_VU!G154,2)))</f>
        <v/>
      </c>
      <c r="U154" s="86" t="str">
        <f>IF(AND(A154="",A153&lt;&gt;"",COUNTIF(A155:$A$200,"&lt;&gt;")=0),"TOTAL",IF(A154="","",posicao_contratual!X154))</f>
        <v/>
      </c>
      <c r="V154" s="86" t="str">
        <f>IF(A154="","",posicao_contratual!X154)</f>
        <v/>
      </c>
      <c r="W154" s="13"/>
      <c r="X154" s="13"/>
      <c r="Y154" s="13"/>
      <c r="Z154" s="13"/>
      <c r="AA154" s="13"/>
      <c r="AB154" s="85" t="str">
        <f>IF(OR(A154="",posicao_contratual!E154="",posicao_contratual!J154=""),"",ROUND(MAX(posicao_contratual!E154-posicao_contratual!J154,0),2))</f>
        <v/>
      </c>
      <c r="AC154" s="79" t="str">
        <f>IF(AND(A154="",A153&lt;&gt;"",COUNTIF(A155:$A$200,"&lt;&gt;")=0),IF(COUNT(AC$2:AC153)=0,"",ROUND(SUMIF($A$2:A153,"&lt;&gt;",AC$2:AC153),2)),IF(OR(AB154="",NOT(ISNUMBER(historico_VU!C154))),"",ROUND(AB154*historico_VU!C154,2)))</f>
        <v/>
      </c>
      <c r="AD154" s="145" t="str">
        <f>IF(A154="","",posicao_contratual!E154)</f>
        <v/>
      </c>
      <c r="AE154" s="145" t="str">
        <f>IF(A154="","",posicao_contratual!I154)</f>
        <v/>
      </c>
      <c r="AF154" s="145" t="str">
        <f>IF(A154="","",posicao_contratual!M154)</f>
        <v/>
      </c>
      <c r="AG154" s="145" t="str">
        <f>IF(A154="","",posicao_contratual!Q154)</f>
        <v/>
      </c>
      <c r="AH154" s="145" t="str">
        <f>IF(A154="","",posicao_contratual!U154)</f>
        <v/>
      </c>
      <c r="AI154" s="145" t="str">
        <f>IF(A154="","",posicao_contratual!G154)</f>
        <v/>
      </c>
      <c r="AJ154" s="145" t="str">
        <f>IF(A154="","",posicao_contratual!K154)</f>
        <v/>
      </c>
      <c r="AK154" s="145" t="str">
        <f>IF(A154="","",posicao_contratual!O154)</f>
        <v/>
      </c>
      <c r="AL154" s="145" t="str">
        <f>IF(A154="","",posicao_contratual!S154)</f>
        <v/>
      </c>
      <c r="AM154" s="145" t="str">
        <f>IF(A154="","",posicao_contratual!W154)</f>
        <v/>
      </c>
      <c r="AN154" s="146" t="str">
        <f>IF(A154="","",posicao_contratual!X154)</f>
        <v/>
      </c>
      <c r="AO154" t="str">
        <f>IF($A154="","",ROUND(SUMIFS(itens_Consumidos!$E$2:$E$200,itens_Consumidos!$A$2:$A$200,$A154),2))</f>
        <v/>
      </c>
      <c r="AP154" t="str">
        <f t="shared" si="24"/>
        <v/>
      </c>
      <c r="AQ154" t="str">
        <f>IF(OR($A154="",AB154="",MEMORIA_RESULTADOS!$I$258=""),"",ROUND(AB154*$C154*(MEMORIA_RESULTADOS!$I$258-1),2))</f>
        <v/>
      </c>
      <c r="AR154" t="str">
        <f>IF(OR($A154="",AP154="",MEMORIA_RESULTADOS!$I$258=""),"",ROUND(AP154*$C154*(parametros!$F$2-MEMORIA_RESULTADOS!$I$258),2))</f>
        <v/>
      </c>
      <c r="AS154" t="str">
        <f>IF($A154="","",ROUND(SUMIFS(itens_Consumidos!$G$2:$G$200,itens_Consumidos!$A$2:$A$200,$A154),2))</f>
        <v/>
      </c>
      <c r="AT154" t="str">
        <f t="shared" si="25"/>
        <v/>
      </c>
      <c r="AU154" t="str">
        <f>IF(OR($A154="",M154="",MEMORIA_RESULTADOS!$I$259=""),"",ROUND(M154*$C154*(MEMORIA_RESULTADOS!$I$259-1),2))</f>
        <v/>
      </c>
      <c r="AV154" t="str">
        <f>IF(OR($A154="",AT154="",MEMORIA_RESULTADOS!$I$259=""),"",ROUND(AT154*$C154*(parametros!$F$3-MEMORIA_RESULTADOS!$I$259),2))</f>
        <v/>
      </c>
      <c r="AW154" t="str">
        <f>IF($A154="","",ROUND(SUMIFS(itens_Consumidos!$I$2:$I$200,itens_Consumidos!$A$2:$A$200,$A154),2))</f>
        <v/>
      </c>
      <c r="AX154" t="str">
        <f t="shared" si="26"/>
        <v/>
      </c>
      <c r="AY154" t="str">
        <f>IF(OR($A154="",O154="",MEMORIA_RESULTADOS!$I$260=""),"",ROUND(O154*$C154*(MEMORIA_RESULTADOS!$I$260-1),2))</f>
        <v/>
      </c>
      <c r="AZ154" t="str">
        <f>IF(OR($A154="",AX154="",MEMORIA_RESULTADOS!$I$260=""),"",ROUND(AX154*$C154*(parametros!$F$4-MEMORIA_RESULTADOS!$I$260),2))</f>
        <v/>
      </c>
      <c r="BA154" t="str">
        <f>IF($A154="","",ROUND(SUMIFS(itens_Consumidos!$K$2:$K$200,itens_Consumidos!$A$2:$A$200,$A154),2))</f>
        <v/>
      </c>
      <c r="BB154" t="str">
        <f t="shared" si="27"/>
        <v/>
      </c>
      <c r="BC154" t="str">
        <f>IF(OR($A154="",Q154="",MEMORIA_RESULTADOS!$I$261=""),"",ROUND(Q154*$C154*(MEMORIA_RESULTADOS!$I$261-1),2))</f>
        <v/>
      </c>
      <c r="BD154" t="str">
        <f>IF(OR($A154="",BB154="",MEMORIA_RESULTADOS!$I$261=""),"",ROUND(BB154*$C154*(parametros!$F$5-MEMORIA_RESULTADOS!$I$261),2))</f>
        <v/>
      </c>
      <c r="BE154" t="str">
        <f>IF($A154="","",ROUND(SUMIFS(itens_Consumidos!$M$2:$M$200,itens_Consumidos!$A$2:$A$200,$A154),2))</f>
        <v/>
      </c>
      <c r="BF154" t="str">
        <f t="shared" si="28"/>
        <v/>
      </c>
      <c r="BG154" t="str">
        <f>IF(OR($A154="",S154="",MEMORIA_RESULTADOS!$I$262=""),"",ROUND(S154*$C154*(MEMORIA_RESULTADOS!$I$262-1),2))</f>
        <v/>
      </c>
      <c r="BH154" t="str">
        <f>IF(OR($A154="",BF154="",MEMORIA_RESULTADOS!$I$262=""),"",ROUND(BF154*$C154*(parametros!$F$6-MEMORIA_RESULTADOS!$I$262),2))</f>
        <v/>
      </c>
      <c r="BI154" t="str">
        <f>IF($A154="","",IF(posicao_contratual!$AL154="","",posicao_contratual!$AL154))</f>
        <v/>
      </c>
    </row>
    <row r="155" spans="1:61" x14ac:dyDescent="0.35">
      <c r="A155" s="81"/>
      <c r="B155" s="82" t="str">
        <f t="shared" si="29"/>
        <v/>
      </c>
      <c r="C155" s="83"/>
      <c r="D155" s="79" t="str">
        <f>IF(AND(A155="",A154&lt;&gt;"",COUNTIF(A156:$A$200,"&lt;&gt;")=0),ROUND(SUMIF($A$2:A154,"&lt;&gt;",$D$2:D154),2),IF(OR(A155="",B155="",C155=""),"",ROUND(B155*C155,2)))</f>
        <v/>
      </c>
      <c r="E155" s="84"/>
      <c r="F155" s="79" t="str">
        <f>IF(AND(A155="",A154&lt;&gt;"",COUNTIF(A156:$A$200,"&lt;&gt;")=0),IF(COUNT(F$2:F154)=0,"",ROUND(SUMIF($A$2:A154,"&lt;&gt;",F$2:F154),2)),IF(OR(A155="",AND(ISNUMBER(posicao_contratual!$AL155),posicao_contratual!$AL155&gt;1),posicao_contratual!K155="",NOT(ISNUMBER(historico_VU!D155))),"",ROUND(posicao_contratual!K155*historico_VU!D155,2)))</f>
        <v/>
      </c>
      <c r="G155" s="84"/>
      <c r="H155" s="79" t="str">
        <f>IF(AND(A155="",A154&lt;&gt;"",COUNTIF(A156:$A$200,"&lt;&gt;")=0),IF(COUNT(H$2:H154)=0,"",ROUND(SUMIF($A$2:A154,"&lt;&gt;",H$2:H154),2)),IF(OR(A155="",AND(ISNUMBER(posicao_contratual!$AL155),posicao_contratual!$AL155&gt;2),posicao_contratual!O155="",NOT(ISNUMBER(historico_VU!E155))),"",ROUND(posicao_contratual!O155*historico_VU!E155,2)))</f>
        <v/>
      </c>
      <c r="I155" s="84"/>
      <c r="J155" s="79" t="str">
        <f>IF(AND(A155="",A154&lt;&gt;"",COUNTIF(A156:$A$200,"&lt;&gt;")=0),IF(COUNT(J$2:J154)=0,"",ROUND(SUMIF($A$2:A154,"&lt;&gt;",J$2:J154),2)),IF(OR(A155="",AND(ISNUMBER(posicao_contratual!$AL155),posicao_contratual!$AL155&gt;3),posicao_contratual!S155="",NOT(ISNUMBER(historico_VU!F155))),"",ROUND(posicao_contratual!S155*historico_VU!F155,2)))</f>
        <v/>
      </c>
      <c r="K155" s="84"/>
      <c r="L155" s="79" t="str">
        <f>IF(AND(A155="",A154&lt;&gt;"",COUNTIF(A156:$A$200,"&lt;&gt;")=0),IF(COUNT(L$2:L154)=0,"",ROUND(SUMIF($A$2:A154,"&lt;&gt;",L$2:L154),2)),IF(OR(A155="",AND(ISNUMBER(posicao_contratual!$AL155),posicao_contratual!$AL155&gt;4),posicao_contratual!W155="",NOT(ISNUMBER(historico_VU!G155))),"",ROUND(posicao_contratual!W155*historico_VU!G155,2)))</f>
        <v/>
      </c>
      <c r="M155" s="85" t="str">
        <f>IF(OR(posicao_contratual!J155="",posicao_contratual!N155=""),"",ROUND(MAX(posicao_contratual!J155+posicao_contratual!H155-posicao_contratual!N155,0),2))</f>
        <v/>
      </c>
      <c r="N155" s="79" t="str">
        <f>IF(AND(A155="",A154&lt;&gt;"",COUNTIF(A156:$A$200,"&lt;&gt;")=0),IF(COUNT(N$2:N154)=0,"",ROUND(SUMIF($A$2:A154,"&lt;&gt;",N$2:N154),2)),IF(OR(M155="",NOT(ISNUMBER(historico_VU!D155))),"",ROUND(M155*historico_VU!D155,2)))</f>
        <v/>
      </c>
      <c r="O155" s="85" t="str">
        <f>IF(OR(posicao_contratual!N155="",posicao_contratual!R155=""),"",ROUND(MAX(posicao_contratual!N155+posicao_contratual!L155-posicao_contratual!R155,0),2))</f>
        <v/>
      </c>
      <c r="P155" s="79" t="str">
        <f>IF(AND(A155="",A154&lt;&gt;"",COUNTIF(A156:$A$200,"&lt;&gt;")=0),IF(COUNT(P$2:P154)=0,"",ROUND(SUMIF($A$2:A154,"&lt;&gt;",P$2:P154),2)),IF(OR(O155="",NOT(ISNUMBER(historico_VU!E155))),"",ROUND(O155*historico_VU!E155,2)))</f>
        <v/>
      </c>
      <c r="Q155" s="85" t="str">
        <f>IF(OR(posicao_contratual!R155="",posicao_contratual!V155=""),"",ROUND(MAX(posicao_contratual!R155+posicao_contratual!P155-posicao_contratual!V155,0),2))</f>
        <v/>
      </c>
      <c r="R155" s="79" t="str">
        <f>IF(AND(A155="",A154&lt;&gt;"",COUNTIF(A156:$A$200,"&lt;&gt;")=0),IF(COUNT(R$2:R154)=0,"",ROUND(SUMIF($A$2:A154,"&lt;&gt;",R$2:R154),2)),IF(OR(Q155="",NOT(ISNUMBER(historico_VU!F155))),"",ROUND(Q155*historico_VU!F155,2)))</f>
        <v/>
      </c>
      <c r="S155" s="38"/>
      <c r="T155" s="39" t="str">
        <f>IF(AND(A155="",A154&lt;&gt;"",COUNTIF(A156:$A$200,"&lt;&gt;")=0),IF(COUNT(T$2:T154)=0,"",ROUND(SUMIF($A$2:A154,"&lt;&gt;",T$2:T154),2)),IF(OR(S155="",NOT(ISNUMBER(historico_VU!G155))),"",ROUND(S155*historico_VU!G155,2)))</f>
        <v/>
      </c>
      <c r="U155" s="86" t="str">
        <f>IF(AND(A155="",A154&lt;&gt;"",COUNTIF(A156:$A$200,"&lt;&gt;")=0),"TOTAL",IF(A155="","",posicao_contratual!X155))</f>
        <v/>
      </c>
      <c r="V155" s="86" t="str">
        <f>IF(A155="","",posicao_contratual!X155)</f>
        <v/>
      </c>
      <c r="W155" s="13"/>
      <c r="X155" s="13"/>
      <c r="Y155" s="13"/>
      <c r="Z155" s="13"/>
      <c r="AA155" s="13"/>
      <c r="AB155" s="85" t="str">
        <f>IF(OR(A155="",posicao_contratual!E155="",posicao_contratual!J155=""),"",ROUND(MAX(posicao_contratual!E155-posicao_contratual!J155,0),2))</f>
        <v/>
      </c>
      <c r="AC155" s="79" t="str">
        <f>IF(AND(A155="",A154&lt;&gt;"",COUNTIF(A156:$A$200,"&lt;&gt;")=0),IF(COUNT(AC$2:AC154)=0,"",ROUND(SUMIF($A$2:A154,"&lt;&gt;",AC$2:AC154),2)),IF(OR(AB155="",NOT(ISNUMBER(historico_VU!C155))),"",ROUND(AB155*historico_VU!C155,2)))</f>
        <v/>
      </c>
      <c r="AD155" s="145" t="str">
        <f>IF(A155="","",posicao_contratual!E155)</f>
        <v/>
      </c>
      <c r="AE155" s="145" t="str">
        <f>IF(A155="","",posicao_contratual!I155)</f>
        <v/>
      </c>
      <c r="AF155" s="145" t="str">
        <f>IF(A155="","",posicao_contratual!M155)</f>
        <v/>
      </c>
      <c r="AG155" s="145" t="str">
        <f>IF(A155="","",posicao_contratual!Q155)</f>
        <v/>
      </c>
      <c r="AH155" s="145" t="str">
        <f>IF(A155="","",posicao_contratual!U155)</f>
        <v/>
      </c>
      <c r="AI155" s="145" t="str">
        <f>IF(A155="","",posicao_contratual!G155)</f>
        <v/>
      </c>
      <c r="AJ155" s="145" t="str">
        <f>IF(A155="","",posicao_contratual!K155)</f>
        <v/>
      </c>
      <c r="AK155" s="145" t="str">
        <f>IF(A155="","",posicao_contratual!O155)</f>
        <v/>
      </c>
      <c r="AL155" s="145" t="str">
        <f>IF(A155="","",posicao_contratual!S155)</f>
        <v/>
      </c>
      <c r="AM155" s="145" t="str">
        <f>IF(A155="","",posicao_contratual!W155)</f>
        <v/>
      </c>
      <c r="AN155" s="146" t="str">
        <f>IF(A155="","",posicao_contratual!X155)</f>
        <v/>
      </c>
      <c r="AO155" t="str">
        <f>IF($A155="","",ROUND(SUMIFS(itens_Consumidos!$E$2:$E$200,itens_Consumidos!$A$2:$A$200,$A155),2))</f>
        <v/>
      </c>
      <c r="AP155" t="str">
        <f t="shared" si="24"/>
        <v/>
      </c>
      <c r="AQ155" t="str">
        <f>IF(OR($A155="",AB155="",MEMORIA_RESULTADOS!$I$258=""),"",ROUND(AB155*$C155*(MEMORIA_RESULTADOS!$I$258-1),2))</f>
        <v/>
      </c>
      <c r="AR155" t="str">
        <f>IF(OR($A155="",AP155="",MEMORIA_RESULTADOS!$I$258=""),"",ROUND(AP155*$C155*(parametros!$F$2-MEMORIA_RESULTADOS!$I$258),2))</f>
        <v/>
      </c>
      <c r="AS155" t="str">
        <f>IF($A155="","",ROUND(SUMIFS(itens_Consumidos!$G$2:$G$200,itens_Consumidos!$A$2:$A$200,$A155),2))</f>
        <v/>
      </c>
      <c r="AT155" t="str">
        <f t="shared" si="25"/>
        <v/>
      </c>
      <c r="AU155" t="str">
        <f>IF(OR($A155="",M155="",MEMORIA_RESULTADOS!$I$259=""),"",ROUND(M155*$C155*(MEMORIA_RESULTADOS!$I$259-1),2))</f>
        <v/>
      </c>
      <c r="AV155" t="str">
        <f>IF(OR($A155="",AT155="",MEMORIA_RESULTADOS!$I$259=""),"",ROUND(AT155*$C155*(parametros!$F$3-MEMORIA_RESULTADOS!$I$259),2))</f>
        <v/>
      </c>
      <c r="AW155" t="str">
        <f>IF($A155="","",ROUND(SUMIFS(itens_Consumidos!$I$2:$I$200,itens_Consumidos!$A$2:$A$200,$A155),2))</f>
        <v/>
      </c>
      <c r="AX155" t="str">
        <f t="shared" si="26"/>
        <v/>
      </c>
      <c r="AY155" t="str">
        <f>IF(OR($A155="",O155="",MEMORIA_RESULTADOS!$I$260=""),"",ROUND(O155*$C155*(MEMORIA_RESULTADOS!$I$260-1),2))</f>
        <v/>
      </c>
      <c r="AZ155" t="str">
        <f>IF(OR($A155="",AX155="",MEMORIA_RESULTADOS!$I$260=""),"",ROUND(AX155*$C155*(parametros!$F$4-MEMORIA_RESULTADOS!$I$260),2))</f>
        <v/>
      </c>
      <c r="BA155" t="str">
        <f>IF($A155="","",ROUND(SUMIFS(itens_Consumidos!$K$2:$K$200,itens_Consumidos!$A$2:$A$200,$A155),2))</f>
        <v/>
      </c>
      <c r="BB155" t="str">
        <f t="shared" si="27"/>
        <v/>
      </c>
      <c r="BC155" t="str">
        <f>IF(OR($A155="",Q155="",MEMORIA_RESULTADOS!$I$261=""),"",ROUND(Q155*$C155*(MEMORIA_RESULTADOS!$I$261-1),2))</f>
        <v/>
      </c>
      <c r="BD155" t="str">
        <f>IF(OR($A155="",BB155="",MEMORIA_RESULTADOS!$I$261=""),"",ROUND(BB155*$C155*(parametros!$F$5-MEMORIA_RESULTADOS!$I$261),2))</f>
        <v/>
      </c>
      <c r="BE155" t="str">
        <f>IF($A155="","",ROUND(SUMIFS(itens_Consumidos!$M$2:$M$200,itens_Consumidos!$A$2:$A$200,$A155),2))</f>
        <v/>
      </c>
      <c r="BF155" t="str">
        <f t="shared" si="28"/>
        <v/>
      </c>
      <c r="BG155" t="str">
        <f>IF(OR($A155="",S155="",MEMORIA_RESULTADOS!$I$262=""),"",ROUND(S155*$C155*(MEMORIA_RESULTADOS!$I$262-1),2))</f>
        <v/>
      </c>
      <c r="BH155" t="str">
        <f>IF(OR($A155="",BF155="",MEMORIA_RESULTADOS!$I$262=""),"",ROUND(BF155*$C155*(parametros!$F$6-MEMORIA_RESULTADOS!$I$262),2))</f>
        <v/>
      </c>
      <c r="BI155" t="str">
        <f>IF($A155="","",IF(posicao_contratual!$AL155="","",posicao_contratual!$AL155))</f>
        <v/>
      </c>
    </row>
    <row r="156" spans="1:61" x14ac:dyDescent="0.35">
      <c r="A156" s="81"/>
      <c r="B156" s="82" t="str">
        <f t="shared" si="29"/>
        <v/>
      </c>
      <c r="C156" s="83"/>
      <c r="D156" s="79" t="str">
        <f>IF(AND(A156="",A155&lt;&gt;"",COUNTIF(A157:$A$200,"&lt;&gt;")=0),ROUND(SUMIF($A$2:A155,"&lt;&gt;",$D$2:D155),2),IF(OR(A156="",B156="",C156=""),"",ROUND(B156*C156,2)))</f>
        <v/>
      </c>
      <c r="E156" s="84"/>
      <c r="F156" s="79" t="str">
        <f>IF(AND(A156="",A155&lt;&gt;"",COUNTIF(A157:$A$200,"&lt;&gt;")=0),IF(COUNT(F$2:F155)=0,"",ROUND(SUMIF($A$2:A155,"&lt;&gt;",F$2:F155),2)),IF(OR(A156="",AND(ISNUMBER(posicao_contratual!$AL156),posicao_contratual!$AL156&gt;1),posicao_contratual!K156="",NOT(ISNUMBER(historico_VU!D156))),"",ROUND(posicao_contratual!K156*historico_VU!D156,2)))</f>
        <v/>
      </c>
      <c r="G156" s="84"/>
      <c r="H156" s="79" t="str">
        <f>IF(AND(A156="",A155&lt;&gt;"",COUNTIF(A157:$A$200,"&lt;&gt;")=0),IF(COUNT(H$2:H155)=0,"",ROUND(SUMIF($A$2:A155,"&lt;&gt;",H$2:H155),2)),IF(OR(A156="",AND(ISNUMBER(posicao_contratual!$AL156),posicao_contratual!$AL156&gt;2),posicao_contratual!O156="",NOT(ISNUMBER(historico_VU!E156))),"",ROUND(posicao_contratual!O156*historico_VU!E156,2)))</f>
        <v/>
      </c>
      <c r="I156" s="84"/>
      <c r="J156" s="79" t="str">
        <f>IF(AND(A156="",A155&lt;&gt;"",COUNTIF(A157:$A$200,"&lt;&gt;")=0),IF(COUNT(J$2:J155)=0,"",ROUND(SUMIF($A$2:A155,"&lt;&gt;",J$2:J155),2)),IF(OR(A156="",AND(ISNUMBER(posicao_contratual!$AL156),posicao_contratual!$AL156&gt;3),posicao_contratual!S156="",NOT(ISNUMBER(historico_VU!F156))),"",ROUND(posicao_contratual!S156*historico_VU!F156,2)))</f>
        <v/>
      </c>
      <c r="K156" s="84"/>
      <c r="L156" s="79" t="str">
        <f>IF(AND(A156="",A155&lt;&gt;"",COUNTIF(A157:$A$200,"&lt;&gt;")=0),IF(COUNT(L$2:L155)=0,"",ROUND(SUMIF($A$2:A155,"&lt;&gt;",L$2:L155),2)),IF(OR(A156="",AND(ISNUMBER(posicao_contratual!$AL156),posicao_contratual!$AL156&gt;4),posicao_contratual!W156="",NOT(ISNUMBER(historico_VU!G156))),"",ROUND(posicao_contratual!W156*historico_VU!G156,2)))</f>
        <v/>
      </c>
      <c r="M156" s="85" t="str">
        <f>IF(OR(posicao_contratual!J156="",posicao_contratual!N156=""),"",ROUND(MAX(posicao_contratual!J156+posicao_contratual!H156-posicao_contratual!N156,0),2))</f>
        <v/>
      </c>
      <c r="N156" s="79" t="str">
        <f>IF(AND(A156="",A155&lt;&gt;"",COUNTIF(A157:$A$200,"&lt;&gt;")=0),IF(COUNT(N$2:N155)=0,"",ROUND(SUMIF($A$2:A155,"&lt;&gt;",N$2:N155),2)),IF(OR(M156="",NOT(ISNUMBER(historico_VU!D156))),"",ROUND(M156*historico_VU!D156,2)))</f>
        <v/>
      </c>
      <c r="O156" s="85" t="str">
        <f>IF(OR(posicao_contratual!N156="",posicao_contratual!R156=""),"",ROUND(MAX(posicao_contratual!N156+posicao_contratual!L156-posicao_contratual!R156,0),2))</f>
        <v/>
      </c>
      <c r="P156" s="79" t="str">
        <f>IF(AND(A156="",A155&lt;&gt;"",COUNTIF(A157:$A$200,"&lt;&gt;")=0),IF(COUNT(P$2:P155)=0,"",ROUND(SUMIF($A$2:A155,"&lt;&gt;",P$2:P155),2)),IF(OR(O156="",NOT(ISNUMBER(historico_VU!E156))),"",ROUND(O156*historico_VU!E156,2)))</f>
        <v/>
      </c>
      <c r="Q156" s="85" t="str">
        <f>IF(OR(posicao_contratual!R156="",posicao_contratual!V156=""),"",ROUND(MAX(posicao_contratual!R156+posicao_contratual!P156-posicao_contratual!V156,0),2))</f>
        <v/>
      </c>
      <c r="R156" s="79" t="str">
        <f>IF(AND(A156="",A155&lt;&gt;"",COUNTIF(A157:$A$200,"&lt;&gt;")=0),IF(COUNT(R$2:R155)=0,"",ROUND(SUMIF($A$2:A155,"&lt;&gt;",R$2:R155),2)),IF(OR(Q156="",NOT(ISNUMBER(historico_VU!F156))),"",ROUND(Q156*historico_VU!F156,2)))</f>
        <v/>
      </c>
      <c r="S156" s="38"/>
      <c r="T156" s="39" t="str">
        <f>IF(AND(A156="",A155&lt;&gt;"",COUNTIF(A157:$A$200,"&lt;&gt;")=0),IF(COUNT(T$2:T155)=0,"",ROUND(SUMIF($A$2:A155,"&lt;&gt;",T$2:T155),2)),IF(OR(S156="",NOT(ISNUMBER(historico_VU!G156))),"",ROUND(S156*historico_VU!G156,2)))</f>
        <v/>
      </c>
      <c r="U156" s="86" t="str">
        <f>IF(AND(A156="",A155&lt;&gt;"",COUNTIF(A157:$A$200,"&lt;&gt;")=0),"TOTAL",IF(A156="","",posicao_contratual!X156))</f>
        <v/>
      </c>
      <c r="V156" s="86" t="str">
        <f>IF(A156="","",posicao_contratual!X156)</f>
        <v/>
      </c>
      <c r="W156" s="13"/>
      <c r="X156" s="13"/>
      <c r="Y156" s="13"/>
      <c r="Z156" s="13"/>
      <c r="AA156" s="13"/>
      <c r="AB156" s="85" t="str">
        <f>IF(OR(A156="",posicao_contratual!E156="",posicao_contratual!J156=""),"",ROUND(MAX(posicao_contratual!E156-posicao_contratual!J156,0),2))</f>
        <v/>
      </c>
      <c r="AC156" s="79" t="str">
        <f>IF(AND(A156="",A155&lt;&gt;"",COUNTIF(A157:$A$200,"&lt;&gt;")=0),IF(COUNT(AC$2:AC155)=0,"",ROUND(SUMIF($A$2:A155,"&lt;&gt;",AC$2:AC155),2)),IF(OR(AB156="",NOT(ISNUMBER(historico_VU!C156))),"",ROUND(AB156*historico_VU!C156,2)))</f>
        <v/>
      </c>
      <c r="AD156" s="145" t="str">
        <f>IF(A156="","",posicao_contratual!E156)</f>
        <v/>
      </c>
      <c r="AE156" s="145" t="str">
        <f>IF(A156="","",posicao_contratual!I156)</f>
        <v/>
      </c>
      <c r="AF156" s="145" t="str">
        <f>IF(A156="","",posicao_contratual!M156)</f>
        <v/>
      </c>
      <c r="AG156" s="145" t="str">
        <f>IF(A156="","",posicao_contratual!Q156)</f>
        <v/>
      </c>
      <c r="AH156" s="145" t="str">
        <f>IF(A156="","",posicao_contratual!U156)</f>
        <v/>
      </c>
      <c r="AI156" s="145" t="str">
        <f>IF(A156="","",posicao_contratual!G156)</f>
        <v/>
      </c>
      <c r="AJ156" s="145" t="str">
        <f>IF(A156="","",posicao_contratual!K156)</f>
        <v/>
      </c>
      <c r="AK156" s="145" t="str">
        <f>IF(A156="","",posicao_contratual!O156)</f>
        <v/>
      </c>
      <c r="AL156" s="145" t="str">
        <f>IF(A156="","",posicao_contratual!S156)</f>
        <v/>
      </c>
      <c r="AM156" s="145" t="str">
        <f>IF(A156="","",posicao_contratual!W156)</f>
        <v/>
      </c>
      <c r="AN156" s="146" t="str">
        <f>IF(A156="","",posicao_contratual!X156)</f>
        <v/>
      </c>
      <c r="AO156" t="str">
        <f>IF($A156="","",ROUND(SUMIFS(itens_Consumidos!$E$2:$E$200,itens_Consumidos!$A$2:$A$200,$A156),2))</f>
        <v/>
      </c>
      <c r="AP156" t="str">
        <f t="shared" si="24"/>
        <v/>
      </c>
      <c r="AQ156" t="str">
        <f>IF(OR($A156="",AB156="",MEMORIA_RESULTADOS!$I$258=""),"",ROUND(AB156*$C156*(MEMORIA_RESULTADOS!$I$258-1),2))</f>
        <v/>
      </c>
      <c r="AR156" t="str">
        <f>IF(OR($A156="",AP156="",MEMORIA_RESULTADOS!$I$258=""),"",ROUND(AP156*$C156*(parametros!$F$2-MEMORIA_RESULTADOS!$I$258),2))</f>
        <v/>
      </c>
      <c r="AS156" t="str">
        <f>IF($A156="","",ROUND(SUMIFS(itens_Consumidos!$G$2:$G$200,itens_Consumidos!$A$2:$A$200,$A156),2))</f>
        <v/>
      </c>
      <c r="AT156" t="str">
        <f t="shared" si="25"/>
        <v/>
      </c>
      <c r="AU156" t="str">
        <f>IF(OR($A156="",M156="",MEMORIA_RESULTADOS!$I$259=""),"",ROUND(M156*$C156*(MEMORIA_RESULTADOS!$I$259-1),2))</f>
        <v/>
      </c>
      <c r="AV156" t="str">
        <f>IF(OR($A156="",AT156="",MEMORIA_RESULTADOS!$I$259=""),"",ROUND(AT156*$C156*(parametros!$F$3-MEMORIA_RESULTADOS!$I$259),2))</f>
        <v/>
      </c>
      <c r="AW156" t="str">
        <f>IF($A156="","",ROUND(SUMIFS(itens_Consumidos!$I$2:$I$200,itens_Consumidos!$A$2:$A$200,$A156),2))</f>
        <v/>
      </c>
      <c r="AX156" t="str">
        <f t="shared" si="26"/>
        <v/>
      </c>
      <c r="AY156" t="str">
        <f>IF(OR($A156="",O156="",MEMORIA_RESULTADOS!$I$260=""),"",ROUND(O156*$C156*(MEMORIA_RESULTADOS!$I$260-1),2))</f>
        <v/>
      </c>
      <c r="AZ156" t="str">
        <f>IF(OR($A156="",AX156="",MEMORIA_RESULTADOS!$I$260=""),"",ROUND(AX156*$C156*(parametros!$F$4-MEMORIA_RESULTADOS!$I$260),2))</f>
        <v/>
      </c>
      <c r="BA156" t="str">
        <f>IF($A156="","",ROUND(SUMIFS(itens_Consumidos!$K$2:$K$200,itens_Consumidos!$A$2:$A$200,$A156),2))</f>
        <v/>
      </c>
      <c r="BB156" t="str">
        <f t="shared" si="27"/>
        <v/>
      </c>
      <c r="BC156" t="str">
        <f>IF(OR($A156="",Q156="",MEMORIA_RESULTADOS!$I$261=""),"",ROUND(Q156*$C156*(MEMORIA_RESULTADOS!$I$261-1),2))</f>
        <v/>
      </c>
      <c r="BD156" t="str">
        <f>IF(OR($A156="",BB156="",MEMORIA_RESULTADOS!$I$261=""),"",ROUND(BB156*$C156*(parametros!$F$5-MEMORIA_RESULTADOS!$I$261),2))</f>
        <v/>
      </c>
      <c r="BE156" t="str">
        <f>IF($A156="","",ROUND(SUMIFS(itens_Consumidos!$M$2:$M$200,itens_Consumidos!$A$2:$A$200,$A156),2))</f>
        <v/>
      </c>
      <c r="BF156" t="str">
        <f t="shared" si="28"/>
        <v/>
      </c>
      <c r="BG156" t="str">
        <f>IF(OR($A156="",S156="",MEMORIA_RESULTADOS!$I$262=""),"",ROUND(S156*$C156*(MEMORIA_RESULTADOS!$I$262-1),2))</f>
        <v/>
      </c>
      <c r="BH156" t="str">
        <f>IF(OR($A156="",BF156="",MEMORIA_RESULTADOS!$I$262=""),"",ROUND(BF156*$C156*(parametros!$F$6-MEMORIA_RESULTADOS!$I$262),2))</f>
        <v/>
      </c>
      <c r="BI156" t="str">
        <f>IF($A156="","",IF(posicao_contratual!$AL156="","",posicao_contratual!$AL156))</f>
        <v/>
      </c>
    </row>
    <row r="157" spans="1:61" x14ac:dyDescent="0.35">
      <c r="A157" s="81"/>
      <c r="B157" s="82" t="str">
        <f t="shared" si="29"/>
        <v/>
      </c>
      <c r="C157" s="83"/>
      <c r="D157" s="79" t="str">
        <f>IF(AND(A157="",A156&lt;&gt;"",COUNTIF(A158:$A$200,"&lt;&gt;")=0),ROUND(SUMIF($A$2:A156,"&lt;&gt;",$D$2:D156),2),IF(OR(A157="",B157="",C157=""),"",ROUND(B157*C157,2)))</f>
        <v/>
      </c>
      <c r="E157" s="84"/>
      <c r="F157" s="79" t="str">
        <f>IF(AND(A157="",A156&lt;&gt;"",COUNTIF(A158:$A$200,"&lt;&gt;")=0),IF(COUNT(F$2:F156)=0,"",ROUND(SUMIF($A$2:A156,"&lt;&gt;",F$2:F156),2)),IF(OR(A157="",AND(ISNUMBER(posicao_contratual!$AL157),posicao_contratual!$AL157&gt;1),posicao_contratual!K157="",NOT(ISNUMBER(historico_VU!D157))),"",ROUND(posicao_contratual!K157*historico_VU!D157,2)))</f>
        <v/>
      </c>
      <c r="G157" s="84"/>
      <c r="H157" s="79" t="str">
        <f>IF(AND(A157="",A156&lt;&gt;"",COUNTIF(A158:$A$200,"&lt;&gt;")=0),IF(COUNT(H$2:H156)=0,"",ROUND(SUMIF($A$2:A156,"&lt;&gt;",H$2:H156),2)),IF(OR(A157="",AND(ISNUMBER(posicao_contratual!$AL157),posicao_contratual!$AL157&gt;2),posicao_contratual!O157="",NOT(ISNUMBER(historico_VU!E157))),"",ROUND(posicao_contratual!O157*historico_VU!E157,2)))</f>
        <v/>
      </c>
      <c r="I157" s="84"/>
      <c r="J157" s="79" t="str">
        <f>IF(AND(A157="",A156&lt;&gt;"",COUNTIF(A158:$A$200,"&lt;&gt;")=0),IF(COUNT(J$2:J156)=0,"",ROUND(SUMIF($A$2:A156,"&lt;&gt;",J$2:J156),2)),IF(OR(A157="",AND(ISNUMBER(posicao_contratual!$AL157),posicao_contratual!$AL157&gt;3),posicao_contratual!S157="",NOT(ISNUMBER(historico_VU!F157))),"",ROUND(posicao_contratual!S157*historico_VU!F157,2)))</f>
        <v/>
      </c>
      <c r="K157" s="84"/>
      <c r="L157" s="79" t="str">
        <f>IF(AND(A157="",A156&lt;&gt;"",COUNTIF(A158:$A$200,"&lt;&gt;")=0),IF(COUNT(L$2:L156)=0,"",ROUND(SUMIF($A$2:A156,"&lt;&gt;",L$2:L156),2)),IF(OR(A157="",AND(ISNUMBER(posicao_contratual!$AL157),posicao_contratual!$AL157&gt;4),posicao_contratual!W157="",NOT(ISNUMBER(historico_VU!G157))),"",ROUND(posicao_contratual!W157*historico_VU!G157,2)))</f>
        <v/>
      </c>
      <c r="M157" s="85" t="str">
        <f>IF(OR(posicao_contratual!J157="",posicao_contratual!N157=""),"",ROUND(MAX(posicao_contratual!J157+posicao_contratual!H157-posicao_contratual!N157,0),2))</f>
        <v/>
      </c>
      <c r="N157" s="79" t="str">
        <f>IF(AND(A157="",A156&lt;&gt;"",COUNTIF(A158:$A$200,"&lt;&gt;")=0),IF(COUNT(N$2:N156)=0,"",ROUND(SUMIF($A$2:A156,"&lt;&gt;",N$2:N156),2)),IF(OR(M157="",NOT(ISNUMBER(historico_VU!D157))),"",ROUND(M157*historico_VU!D157,2)))</f>
        <v/>
      </c>
      <c r="O157" s="85" t="str">
        <f>IF(OR(posicao_contratual!N157="",posicao_contratual!R157=""),"",ROUND(MAX(posicao_contratual!N157+posicao_contratual!L157-posicao_contratual!R157,0),2))</f>
        <v/>
      </c>
      <c r="P157" s="79" t="str">
        <f>IF(AND(A157="",A156&lt;&gt;"",COUNTIF(A158:$A$200,"&lt;&gt;")=0),IF(COUNT(P$2:P156)=0,"",ROUND(SUMIF($A$2:A156,"&lt;&gt;",P$2:P156),2)),IF(OR(O157="",NOT(ISNUMBER(historico_VU!E157))),"",ROUND(O157*historico_VU!E157,2)))</f>
        <v/>
      </c>
      <c r="Q157" s="85" t="str">
        <f>IF(OR(posicao_contratual!R157="",posicao_contratual!V157=""),"",ROUND(MAX(posicao_contratual!R157+posicao_contratual!P157-posicao_contratual!V157,0),2))</f>
        <v/>
      </c>
      <c r="R157" s="79" t="str">
        <f>IF(AND(A157="",A156&lt;&gt;"",COUNTIF(A158:$A$200,"&lt;&gt;")=0),IF(COUNT(R$2:R156)=0,"",ROUND(SUMIF($A$2:A156,"&lt;&gt;",R$2:R156),2)),IF(OR(Q157="",NOT(ISNUMBER(historico_VU!F157))),"",ROUND(Q157*historico_VU!F157,2)))</f>
        <v/>
      </c>
      <c r="S157" s="38"/>
      <c r="T157" s="39" t="str">
        <f>IF(AND(A157="",A156&lt;&gt;"",COUNTIF(A158:$A$200,"&lt;&gt;")=0),IF(COUNT(T$2:T156)=0,"",ROUND(SUMIF($A$2:A156,"&lt;&gt;",T$2:T156),2)),IF(OR(S157="",NOT(ISNUMBER(historico_VU!G157))),"",ROUND(S157*historico_VU!G157,2)))</f>
        <v/>
      </c>
      <c r="U157" s="86" t="str">
        <f>IF(AND(A157="",A156&lt;&gt;"",COUNTIF(A158:$A$200,"&lt;&gt;")=0),"TOTAL",IF(A157="","",posicao_contratual!X157))</f>
        <v/>
      </c>
      <c r="V157" s="86" t="str">
        <f>IF(A157="","",posicao_contratual!X157)</f>
        <v/>
      </c>
      <c r="W157" s="13"/>
      <c r="X157" s="13"/>
      <c r="Y157" s="13"/>
      <c r="Z157" s="13"/>
      <c r="AA157" s="13"/>
      <c r="AB157" s="85" t="str">
        <f>IF(OR(A157="",posicao_contratual!E157="",posicao_contratual!J157=""),"",ROUND(MAX(posicao_contratual!E157-posicao_contratual!J157,0),2))</f>
        <v/>
      </c>
      <c r="AC157" s="79" t="str">
        <f>IF(AND(A157="",A156&lt;&gt;"",COUNTIF(A158:$A$200,"&lt;&gt;")=0),IF(COUNT(AC$2:AC156)=0,"",ROUND(SUMIF($A$2:A156,"&lt;&gt;",AC$2:AC156),2)),IF(OR(AB157="",NOT(ISNUMBER(historico_VU!C157))),"",ROUND(AB157*historico_VU!C157,2)))</f>
        <v/>
      </c>
      <c r="AD157" s="145" t="str">
        <f>IF(A157="","",posicao_contratual!E157)</f>
        <v/>
      </c>
      <c r="AE157" s="145" t="str">
        <f>IF(A157="","",posicao_contratual!I157)</f>
        <v/>
      </c>
      <c r="AF157" s="145" t="str">
        <f>IF(A157="","",posicao_contratual!M157)</f>
        <v/>
      </c>
      <c r="AG157" s="145" t="str">
        <f>IF(A157="","",posicao_contratual!Q157)</f>
        <v/>
      </c>
      <c r="AH157" s="145" t="str">
        <f>IF(A157="","",posicao_contratual!U157)</f>
        <v/>
      </c>
      <c r="AI157" s="145" t="str">
        <f>IF(A157="","",posicao_contratual!G157)</f>
        <v/>
      </c>
      <c r="AJ157" s="145" t="str">
        <f>IF(A157="","",posicao_contratual!K157)</f>
        <v/>
      </c>
      <c r="AK157" s="145" t="str">
        <f>IF(A157="","",posicao_contratual!O157)</f>
        <v/>
      </c>
      <c r="AL157" s="145" t="str">
        <f>IF(A157="","",posicao_contratual!S157)</f>
        <v/>
      </c>
      <c r="AM157" s="145" t="str">
        <f>IF(A157="","",posicao_contratual!W157)</f>
        <v/>
      </c>
      <c r="AN157" s="146" t="str">
        <f>IF(A157="","",posicao_contratual!X157)</f>
        <v/>
      </c>
      <c r="AO157" t="str">
        <f>IF($A157="","",ROUND(SUMIFS(itens_Consumidos!$E$2:$E$200,itens_Consumidos!$A$2:$A$200,$A157),2))</f>
        <v/>
      </c>
      <c r="AP157" t="str">
        <f t="shared" si="24"/>
        <v/>
      </c>
      <c r="AQ157" t="str">
        <f>IF(OR($A157="",AB157="",MEMORIA_RESULTADOS!$I$258=""),"",ROUND(AB157*$C157*(MEMORIA_RESULTADOS!$I$258-1),2))</f>
        <v/>
      </c>
      <c r="AR157" t="str">
        <f>IF(OR($A157="",AP157="",MEMORIA_RESULTADOS!$I$258=""),"",ROUND(AP157*$C157*(parametros!$F$2-MEMORIA_RESULTADOS!$I$258),2))</f>
        <v/>
      </c>
      <c r="AS157" t="str">
        <f>IF($A157="","",ROUND(SUMIFS(itens_Consumidos!$G$2:$G$200,itens_Consumidos!$A$2:$A$200,$A157),2))</f>
        <v/>
      </c>
      <c r="AT157" t="str">
        <f t="shared" si="25"/>
        <v/>
      </c>
      <c r="AU157" t="str">
        <f>IF(OR($A157="",M157="",MEMORIA_RESULTADOS!$I$259=""),"",ROUND(M157*$C157*(MEMORIA_RESULTADOS!$I$259-1),2))</f>
        <v/>
      </c>
      <c r="AV157" t="str">
        <f>IF(OR($A157="",AT157="",MEMORIA_RESULTADOS!$I$259=""),"",ROUND(AT157*$C157*(parametros!$F$3-MEMORIA_RESULTADOS!$I$259),2))</f>
        <v/>
      </c>
      <c r="AW157" t="str">
        <f>IF($A157="","",ROUND(SUMIFS(itens_Consumidos!$I$2:$I$200,itens_Consumidos!$A$2:$A$200,$A157),2))</f>
        <v/>
      </c>
      <c r="AX157" t="str">
        <f t="shared" si="26"/>
        <v/>
      </c>
      <c r="AY157" t="str">
        <f>IF(OR($A157="",O157="",MEMORIA_RESULTADOS!$I$260=""),"",ROUND(O157*$C157*(MEMORIA_RESULTADOS!$I$260-1),2))</f>
        <v/>
      </c>
      <c r="AZ157" t="str">
        <f>IF(OR($A157="",AX157="",MEMORIA_RESULTADOS!$I$260=""),"",ROUND(AX157*$C157*(parametros!$F$4-MEMORIA_RESULTADOS!$I$260),2))</f>
        <v/>
      </c>
      <c r="BA157" t="str">
        <f>IF($A157="","",ROUND(SUMIFS(itens_Consumidos!$K$2:$K$200,itens_Consumidos!$A$2:$A$200,$A157),2))</f>
        <v/>
      </c>
      <c r="BB157" t="str">
        <f t="shared" si="27"/>
        <v/>
      </c>
      <c r="BC157" t="str">
        <f>IF(OR($A157="",Q157="",MEMORIA_RESULTADOS!$I$261=""),"",ROUND(Q157*$C157*(MEMORIA_RESULTADOS!$I$261-1),2))</f>
        <v/>
      </c>
      <c r="BD157" t="str">
        <f>IF(OR($A157="",BB157="",MEMORIA_RESULTADOS!$I$261=""),"",ROUND(BB157*$C157*(parametros!$F$5-MEMORIA_RESULTADOS!$I$261),2))</f>
        <v/>
      </c>
      <c r="BE157" t="str">
        <f>IF($A157="","",ROUND(SUMIFS(itens_Consumidos!$M$2:$M$200,itens_Consumidos!$A$2:$A$200,$A157),2))</f>
        <v/>
      </c>
      <c r="BF157" t="str">
        <f t="shared" si="28"/>
        <v/>
      </c>
      <c r="BG157" t="str">
        <f>IF(OR($A157="",S157="",MEMORIA_RESULTADOS!$I$262=""),"",ROUND(S157*$C157*(MEMORIA_RESULTADOS!$I$262-1),2))</f>
        <v/>
      </c>
      <c r="BH157" t="str">
        <f>IF(OR($A157="",BF157="",MEMORIA_RESULTADOS!$I$262=""),"",ROUND(BF157*$C157*(parametros!$F$6-MEMORIA_RESULTADOS!$I$262),2))</f>
        <v/>
      </c>
      <c r="BI157" t="str">
        <f>IF($A157="","",IF(posicao_contratual!$AL157="","",posicao_contratual!$AL157))</f>
        <v/>
      </c>
    </row>
    <row r="158" spans="1:61" x14ac:dyDescent="0.35">
      <c r="A158" s="81"/>
      <c r="B158" s="82" t="str">
        <f t="shared" si="29"/>
        <v/>
      </c>
      <c r="C158" s="83"/>
      <c r="D158" s="79" t="str">
        <f>IF(AND(A158="",A157&lt;&gt;"",COUNTIF(A159:$A$200,"&lt;&gt;")=0),ROUND(SUMIF($A$2:A157,"&lt;&gt;",$D$2:D157),2),IF(OR(A158="",B158="",C158=""),"",ROUND(B158*C158,2)))</f>
        <v/>
      </c>
      <c r="E158" s="84"/>
      <c r="F158" s="79" t="str">
        <f>IF(AND(A158="",A157&lt;&gt;"",COUNTIF(A159:$A$200,"&lt;&gt;")=0),IF(COUNT(F$2:F157)=0,"",ROUND(SUMIF($A$2:A157,"&lt;&gt;",F$2:F157),2)),IF(OR(A158="",AND(ISNUMBER(posicao_contratual!$AL158),posicao_contratual!$AL158&gt;1),posicao_contratual!K158="",NOT(ISNUMBER(historico_VU!D158))),"",ROUND(posicao_contratual!K158*historico_VU!D158,2)))</f>
        <v/>
      </c>
      <c r="G158" s="84"/>
      <c r="H158" s="79" t="str">
        <f>IF(AND(A158="",A157&lt;&gt;"",COUNTIF(A159:$A$200,"&lt;&gt;")=0),IF(COUNT(H$2:H157)=0,"",ROUND(SUMIF($A$2:A157,"&lt;&gt;",H$2:H157),2)),IF(OR(A158="",AND(ISNUMBER(posicao_contratual!$AL158),posicao_contratual!$AL158&gt;2),posicao_contratual!O158="",NOT(ISNUMBER(historico_VU!E158))),"",ROUND(posicao_contratual!O158*historico_VU!E158,2)))</f>
        <v/>
      </c>
      <c r="I158" s="84"/>
      <c r="J158" s="79" t="str">
        <f>IF(AND(A158="",A157&lt;&gt;"",COUNTIF(A159:$A$200,"&lt;&gt;")=0),IF(COUNT(J$2:J157)=0,"",ROUND(SUMIF($A$2:A157,"&lt;&gt;",J$2:J157),2)),IF(OR(A158="",AND(ISNUMBER(posicao_contratual!$AL158),posicao_contratual!$AL158&gt;3),posicao_contratual!S158="",NOT(ISNUMBER(historico_VU!F158))),"",ROUND(posicao_contratual!S158*historico_VU!F158,2)))</f>
        <v/>
      </c>
      <c r="K158" s="84"/>
      <c r="L158" s="79" t="str">
        <f>IF(AND(A158="",A157&lt;&gt;"",COUNTIF(A159:$A$200,"&lt;&gt;")=0),IF(COUNT(L$2:L157)=0,"",ROUND(SUMIF($A$2:A157,"&lt;&gt;",L$2:L157),2)),IF(OR(A158="",AND(ISNUMBER(posicao_contratual!$AL158),posicao_contratual!$AL158&gt;4),posicao_contratual!W158="",NOT(ISNUMBER(historico_VU!G158))),"",ROUND(posicao_contratual!W158*historico_VU!G158,2)))</f>
        <v/>
      </c>
      <c r="M158" s="85" t="str">
        <f>IF(OR(posicao_contratual!J158="",posicao_contratual!N158=""),"",ROUND(MAX(posicao_contratual!J158+posicao_contratual!H158-posicao_contratual!N158,0),2))</f>
        <v/>
      </c>
      <c r="N158" s="79" t="str">
        <f>IF(AND(A158="",A157&lt;&gt;"",COUNTIF(A159:$A$200,"&lt;&gt;")=0),IF(COUNT(N$2:N157)=0,"",ROUND(SUMIF($A$2:A157,"&lt;&gt;",N$2:N157),2)),IF(OR(M158="",NOT(ISNUMBER(historico_VU!D158))),"",ROUND(M158*historico_VU!D158,2)))</f>
        <v/>
      </c>
      <c r="O158" s="85" t="str">
        <f>IF(OR(posicao_contratual!N158="",posicao_contratual!R158=""),"",ROUND(MAX(posicao_contratual!N158+posicao_contratual!L158-posicao_contratual!R158,0),2))</f>
        <v/>
      </c>
      <c r="P158" s="79" t="str">
        <f>IF(AND(A158="",A157&lt;&gt;"",COUNTIF(A159:$A$200,"&lt;&gt;")=0),IF(COUNT(P$2:P157)=0,"",ROUND(SUMIF($A$2:A157,"&lt;&gt;",P$2:P157),2)),IF(OR(O158="",NOT(ISNUMBER(historico_VU!E158))),"",ROUND(O158*historico_VU!E158,2)))</f>
        <v/>
      </c>
      <c r="Q158" s="85" t="str">
        <f>IF(OR(posicao_contratual!R158="",posicao_contratual!V158=""),"",ROUND(MAX(posicao_contratual!R158+posicao_contratual!P158-posicao_contratual!V158,0),2))</f>
        <v/>
      </c>
      <c r="R158" s="79" t="str">
        <f>IF(AND(A158="",A157&lt;&gt;"",COUNTIF(A159:$A$200,"&lt;&gt;")=0),IF(COUNT(R$2:R157)=0,"",ROUND(SUMIF($A$2:A157,"&lt;&gt;",R$2:R157),2)),IF(OR(Q158="",NOT(ISNUMBER(historico_VU!F158))),"",ROUND(Q158*historico_VU!F158,2)))</f>
        <v/>
      </c>
      <c r="S158" s="38"/>
      <c r="T158" s="39" t="str">
        <f>IF(AND(A158="",A157&lt;&gt;"",COUNTIF(A159:$A$200,"&lt;&gt;")=0),IF(COUNT(T$2:T157)=0,"",ROUND(SUMIF($A$2:A157,"&lt;&gt;",T$2:T157),2)),IF(OR(S158="",NOT(ISNUMBER(historico_VU!G158))),"",ROUND(S158*historico_VU!G158,2)))</f>
        <v/>
      </c>
      <c r="U158" s="86" t="str">
        <f>IF(AND(A158="",A157&lt;&gt;"",COUNTIF(A159:$A$200,"&lt;&gt;")=0),"TOTAL",IF(A158="","",posicao_contratual!X158))</f>
        <v/>
      </c>
      <c r="V158" s="86" t="str">
        <f>IF(A158="","",posicao_contratual!X158)</f>
        <v/>
      </c>
      <c r="W158" s="13"/>
      <c r="X158" s="13"/>
      <c r="Y158" s="13"/>
      <c r="Z158" s="13"/>
      <c r="AA158" s="13"/>
      <c r="AB158" s="85" t="str">
        <f>IF(OR(A158="",posicao_contratual!E158="",posicao_contratual!J158=""),"",ROUND(MAX(posicao_contratual!E158-posicao_contratual!J158,0),2))</f>
        <v/>
      </c>
      <c r="AC158" s="79" t="str">
        <f>IF(AND(A158="",A157&lt;&gt;"",COUNTIF(A159:$A$200,"&lt;&gt;")=0),IF(COUNT(AC$2:AC157)=0,"",ROUND(SUMIF($A$2:A157,"&lt;&gt;",AC$2:AC157),2)),IF(OR(AB158="",NOT(ISNUMBER(historico_VU!C158))),"",ROUND(AB158*historico_VU!C158,2)))</f>
        <v/>
      </c>
      <c r="AD158" s="145" t="str">
        <f>IF(A158="","",posicao_contratual!E158)</f>
        <v/>
      </c>
      <c r="AE158" s="145" t="str">
        <f>IF(A158="","",posicao_contratual!I158)</f>
        <v/>
      </c>
      <c r="AF158" s="145" t="str">
        <f>IF(A158="","",posicao_contratual!M158)</f>
        <v/>
      </c>
      <c r="AG158" s="145" t="str">
        <f>IF(A158="","",posicao_contratual!Q158)</f>
        <v/>
      </c>
      <c r="AH158" s="145" t="str">
        <f>IF(A158="","",posicao_contratual!U158)</f>
        <v/>
      </c>
      <c r="AI158" s="145" t="str">
        <f>IF(A158="","",posicao_contratual!G158)</f>
        <v/>
      </c>
      <c r="AJ158" s="145" t="str">
        <f>IF(A158="","",posicao_contratual!K158)</f>
        <v/>
      </c>
      <c r="AK158" s="145" t="str">
        <f>IF(A158="","",posicao_contratual!O158)</f>
        <v/>
      </c>
      <c r="AL158" s="145" t="str">
        <f>IF(A158="","",posicao_contratual!S158)</f>
        <v/>
      </c>
      <c r="AM158" s="145" t="str">
        <f>IF(A158="","",posicao_contratual!W158)</f>
        <v/>
      </c>
      <c r="AN158" s="146" t="str">
        <f>IF(A158="","",posicao_contratual!X158)</f>
        <v/>
      </c>
      <c r="AO158" t="str">
        <f>IF($A158="","",ROUND(SUMIFS(itens_Consumidos!$E$2:$E$200,itens_Consumidos!$A$2:$A$200,$A158),2))</f>
        <v/>
      </c>
      <c r="AP158" t="str">
        <f t="shared" si="24"/>
        <v/>
      </c>
      <c r="AQ158" t="str">
        <f>IF(OR($A158="",AB158="",MEMORIA_RESULTADOS!$I$258=""),"",ROUND(AB158*$C158*(MEMORIA_RESULTADOS!$I$258-1),2))</f>
        <v/>
      </c>
      <c r="AR158" t="str">
        <f>IF(OR($A158="",AP158="",MEMORIA_RESULTADOS!$I$258=""),"",ROUND(AP158*$C158*(parametros!$F$2-MEMORIA_RESULTADOS!$I$258),2))</f>
        <v/>
      </c>
      <c r="AS158" t="str">
        <f>IF($A158="","",ROUND(SUMIFS(itens_Consumidos!$G$2:$G$200,itens_Consumidos!$A$2:$A$200,$A158),2))</f>
        <v/>
      </c>
      <c r="AT158" t="str">
        <f t="shared" si="25"/>
        <v/>
      </c>
      <c r="AU158" t="str">
        <f>IF(OR($A158="",M158="",MEMORIA_RESULTADOS!$I$259=""),"",ROUND(M158*$C158*(MEMORIA_RESULTADOS!$I$259-1),2))</f>
        <v/>
      </c>
      <c r="AV158" t="str">
        <f>IF(OR($A158="",AT158="",MEMORIA_RESULTADOS!$I$259=""),"",ROUND(AT158*$C158*(parametros!$F$3-MEMORIA_RESULTADOS!$I$259),2))</f>
        <v/>
      </c>
      <c r="AW158" t="str">
        <f>IF($A158="","",ROUND(SUMIFS(itens_Consumidos!$I$2:$I$200,itens_Consumidos!$A$2:$A$200,$A158),2))</f>
        <v/>
      </c>
      <c r="AX158" t="str">
        <f t="shared" si="26"/>
        <v/>
      </c>
      <c r="AY158" t="str">
        <f>IF(OR($A158="",O158="",MEMORIA_RESULTADOS!$I$260=""),"",ROUND(O158*$C158*(MEMORIA_RESULTADOS!$I$260-1),2))</f>
        <v/>
      </c>
      <c r="AZ158" t="str">
        <f>IF(OR($A158="",AX158="",MEMORIA_RESULTADOS!$I$260=""),"",ROUND(AX158*$C158*(parametros!$F$4-MEMORIA_RESULTADOS!$I$260),2))</f>
        <v/>
      </c>
      <c r="BA158" t="str">
        <f>IF($A158="","",ROUND(SUMIFS(itens_Consumidos!$K$2:$K$200,itens_Consumidos!$A$2:$A$200,$A158),2))</f>
        <v/>
      </c>
      <c r="BB158" t="str">
        <f t="shared" si="27"/>
        <v/>
      </c>
      <c r="BC158" t="str">
        <f>IF(OR($A158="",Q158="",MEMORIA_RESULTADOS!$I$261=""),"",ROUND(Q158*$C158*(MEMORIA_RESULTADOS!$I$261-1),2))</f>
        <v/>
      </c>
      <c r="BD158" t="str">
        <f>IF(OR($A158="",BB158="",MEMORIA_RESULTADOS!$I$261=""),"",ROUND(BB158*$C158*(parametros!$F$5-MEMORIA_RESULTADOS!$I$261),2))</f>
        <v/>
      </c>
      <c r="BE158" t="str">
        <f>IF($A158="","",ROUND(SUMIFS(itens_Consumidos!$M$2:$M$200,itens_Consumidos!$A$2:$A$200,$A158),2))</f>
        <v/>
      </c>
      <c r="BF158" t="str">
        <f t="shared" si="28"/>
        <v/>
      </c>
      <c r="BG158" t="str">
        <f>IF(OR($A158="",S158="",MEMORIA_RESULTADOS!$I$262=""),"",ROUND(S158*$C158*(MEMORIA_RESULTADOS!$I$262-1),2))</f>
        <v/>
      </c>
      <c r="BH158" t="str">
        <f>IF(OR($A158="",BF158="",MEMORIA_RESULTADOS!$I$262=""),"",ROUND(BF158*$C158*(parametros!$F$6-MEMORIA_RESULTADOS!$I$262),2))</f>
        <v/>
      </c>
      <c r="BI158" t="str">
        <f>IF($A158="","",IF(posicao_contratual!$AL158="","",posicao_contratual!$AL158))</f>
        <v/>
      </c>
    </row>
    <row r="159" spans="1:61" x14ac:dyDescent="0.35">
      <c r="A159" s="81"/>
      <c r="B159" s="82" t="str">
        <f t="shared" si="29"/>
        <v/>
      </c>
      <c r="C159" s="83"/>
      <c r="D159" s="79" t="str">
        <f>IF(AND(A159="",A158&lt;&gt;"",COUNTIF(A160:$A$200,"&lt;&gt;")=0),ROUND(SUMIF($A$2:A158,"&lt;&gt;",$D$2:D158),2),IF(OR(A159="",B159="",C159=""),"",ROUND(B159*C159,2)))</f>
        <v/>
      </c>
      <c r="E159" s="84"/>
      <c r="F159" s="79" t="str">
        <f>IF(AND(A159="",A158&lt;&gt;"",COUNTIF(A160:$A$200,"&lt;&gt;")=0),IF(COUNT(F$2:F158)=0,"",ROUND(SUMIF($A$2:A158,"&lt;&gt;",F$2:F158),2)),IF(OR(A159="",AND(ISNUMBER(posicao_contratual!$AL159),posicao_contratual!$AL159&gt;1),posicao_contratual!K159="",NOT(ISNUMBER(historico_VU!D159))),"",ROUND(posicao_contratual!K159*historico_VU!D159,2)))</f>
        <v/>
      </c>
      <c r="G159" s="84"/>
      <c r="H159" s="79" t="str">
        <f>IF(AND(A159="",A158&lt;&gt;"",COUNTIF(A160:$A$200,"&lt;&gt;")=0),IF(COUNT(H$2:H158)=0,"",ROUND(SUMIF($A$2:A158,"&lt;&gt;",H$2:H158),2)),IF(OR(A159="",AND(ISNUMBER(posicao_contratual!$AL159),posicao_contratual!$AL159&gt;2),posicao_contratual!O159="",NOT(ISNUMBER(historico_VU!E159))),"",ROUND(posicao_contratual!O159*historico_VU!E159,2)))</f>
        <v/>
      </c>
      <c r="I159" s="84"/>
      <c r="J159" s="79" t="str">
        <f>IF(AND(A159="",A158&lt;&gt;"",COUNTIF(A160:$A$200,"&lt;&gt;")=0),IF(COUNT(J$2:J158)=0,"",ROUND(SUMIF($A$2:A158,"&lt;&gt;",J$2:J158),2)),IF(OR(A159="",AND(ISNUMBER(posicao_contratual!$AL159),posicao_contratual!$AL159&gt;3),posicao_contratual!S159="",NOT(ISNUMBER(historico_VU!F159))),"",ROUND(posicao_contratual!S159*historico_VU!F159,2)))</f>
        <v/>
      </c>
      <c r="K159" s="84"/>
      <c r="L159" s="79" t="str">
        <f>IF(AND(A159="",A158&lt;&gt;"",COUNTIF(A160:$A$200,"&lt;&gt;")=0),IF(COUNT(L$2:L158)=0,"",ROUND(SUMIF($A$2:A158,"&lt;&gt;",L$2:L158),2)),IF(OR(A159="",AND(ISNUMBER(posicao_contratual!$AL159),posicao_contratual!$AL159&gt;4),posicao_contratual!W159="",NOT(ISNUMBER(historico_VU!G159))),"",ROUND(posicao_contratual!W159*historico_VU!G159,2)))</f>
        <v/>
      </c>
      <c r="M159" s="85" t="str">
        <f>IF(OR(posicao_contratual!J159="",posicao_contratual!N159=""),"",ROUND(MAX(posicao_contratual!J159+posicao_contratual!H159-posicao_contratual!N159,0),2))</f>
        <v/>
      </c>
      <c r="N159" s="79" t="str">
        <f>IF(AND(A159="",A158&lt;&gt;"",COUNTIF(A160:$A$200,"&lt;&gt;")=0),IF(COUNT(N$2:N158)=0,"",ROUND(SUMIF($A$2:A158,"&lt;&gt;",N$2:N158),2)),IF(OR(M159="",NOT(ISNUMBER(historico_VU!D159))),"",ROUND(M159*historico_VU!D159,2)))</f>
        <v/>
      </c>
      <c r="O159" s="85" t="str">
        <f>IF(OR(posicao_contratual!N159="",posicao_contratual!R159=""),"",ROUND(MAX(posicao_contratual!N159+posicao_contratual!L159-posicao_contratual!R159,0),2))</f>
        <v/>
      </c>
      <c r="P159" s="79" t="str">
        <f>IF(AND(A159="",A158&lt;&gt;"",COUNTIF(A160:$A$200,"&lt;&gt;")=0),IF(COUNT(P$2:P158)=0,"",ROUND(SUMIF($A$2:A158,"&lt;&gt;",P$2:P158),2)),IF(OR(O159="",NOT(ISNUMBER(historico_VU!E159))),"",ROUND(O159*historico_VU!E159,2)))</f>
        <v/>
      </c>
      <c r="Q159" s="85" t="str">
        <f>IF(OR(posicao_contratual!R159="",posicao_contratual!V159=""),"",ROUND(MAX(posicao_contratual!R159+posicao_contratual!P159-posicao_contratual!V159,0),2))</f>
        <v/>
      </c>
      <c r="R159" s="79" t="str">
        <f>IF(AND(A159="",A158&lt;&gt;"",COUNTIF(A160:$A$200,"&lt;&gt;")=0),IF(COUNT(R$2:R158)=0,"",ROUND(SUMIF($A$2:A158,"&lt;&gt;",R$2:R158),2)),IF(OR(Q159="",NOT(ISNUMBER(historico_VU!F159))),"",ROUND(Q159*historico_VU!F159,2)))</f>
        <v/>
      </c>
      <c r="S159" s="38"/>
      <c r="T159" s="39" t="str">
        <f>IF(AND(A159="",A158&lt;&gt;"",COUNTIF(A160:$A$200,"&lt;&gt;")=0),IF(COUNT(T$2:T158)=0,"",ROUND(SUMIF($A$2:A158,"&lt;&gt;",T$2:T158),2)),IF(OR(S159="",NOT(ISNUMBER(historico_VU!G159))),"",ROUND(S159*historico_VU!G159,2)))</f>
        <v/>
      </c>
      <c r="U159" s="86" t="str">
        <f>IF(AND(A159="",A158&lt;&gt;"",COUNTIF(A160:$A$200,"&lt;&gt;")=0),"TOTAL",IF(A159="","",posicao_contratual!X159))</f>
        <v/>
      </c>
      <c r="V159" s="86" t="str">
        <f>IF(A159="","",posicao_contratual!X159)</f>
        <v/>
      </c>
      <c r="W159" s="13"/>
      <c r="X159" s="13"/>
      <c r="Y159" s="13"/>
      <c r="Z159" s="13"/>
      <c r="AA159" s="13"/>
      <c r="AB159" s="85" t="str">
        <f>IF(OR(A159="",posicao_contratual!E159="",posicao_contratual!J159=""),"",ROUND(MAX(posicao_contratual!E159-posicao_contratual!J159,0),2))</f>
        <v/>
      </c>
      <c r="AC159" s="79" t="str">
        <f>IF(AND(A159="",A158&lt;&gt;"",COUNTIF(A160:$A$200,"&lt;&gt;")=0),IF(COUNT(AC$2:AC158)=0,"",ROUND(SUMIF($A$2:A158,"&lt;&gt;",AC$2:AC158),2)),IF(OR(AB159="",NOT(ISNUMBER(historico_VU!C159))),"",ROUND(AB159*historico_VU!C159,2)))</f>
        <v/>
      </c>
      <c r="AD159" s="145" t="str">
        <f>IF(A159="","",posicao_contratual!E159)</f>
        <v/>
      </c>
      <c r="AE159" s="145" t="str">
        <f>IF(A159="","",posicao_contratual!I159)</f>
        <v/>
      </c>
      <c r="AF159" s="145" t="str">
        <f>IF(A159="","",posicao_contratual!M159)</f>
        <v/>
      </c>
      <c r="AG159" s="145" t="str">
        <f>IF(A159="","",posicao_contratual!Q159)</f>
        <v/>
      </c>
      <c r="AH159" s="145" t="str">
        <f>IF(A159="","",posicao_contratual!U159)</f>
        <v/>
      </c>
      <c r="AI159" s="145" t="str">
        <f>IF(A159="","",posicao_contratual!G159)</f>
        <v/>
      </c>
      <c r="AJ159" s="145" t="str">
        <f>IF(A159="","",posicao_contratual!K159)</f>
        <v/>
      </c>
      <c r="AK159" s="145" t="str">
        <f>IF(A159="","",posicao_contratual!O159)</f>
        <v/>
      </c>
      <c r="AL159" s="145" t="str">
        <f>IF(A159="","",posicao_contratual!S159)</f>
        <v/>
      </c>
      <c r="AM159" s="145" t="str">
        <f>IF(A159="","",posicao_contratual!W159)</f>
        <v/>
      </c>
      <c r="AN159" s="146" t="str">
        <f>IF(A159="","",posicao_contratual!X159)</f>
        <v/>
      </c>
      <c r="AO159" t="str">
        <f>IF($A159="","",ROUND(SUMIFS(itens_Consumidos!$E$2:$E$200,itens_Consumidos!$A$2:$A$200,$A159),2))</f>
        <v/>
      </c>
      <c r="AP159" t="str">
        <f t="shared" si="24"/>
        <v/>
      </c>
      <c r="AQ159" t="str">
        <f>IF(OR($A159="",AB159="",MEMORIA_RESULTADOS!$I$258=""),"",ROUND(AB159*$C159*(MEMORIA_RESULTADOS!$I$258-1),2))</f>
        <v/>
      </c>
      <c r="AR159" t="str">
        <f>IF(OR($A159="",AP159="",MEMORIA_RESULTADOS!$I$258=""),"",ROUND(AP159*$C159*(parametros!$F$2-MEMORIA_RESULTADOS!$I$258),2))</f>
        <v/>
      </c>
      <c r="AS159" t="str">
        <f>IF($A159="","",ROUND(SUMIFS(itens_Consumidos!$G$2:$G$200,itens_Consumidos!$A$2:$A$200,$A159),2))</f>
        <v/>
      </c>
      <c r="AT159" t="str">
        <f t="shared" si="25"/>
        <v/>
      </c>
      <c r="AU159" t="str">
        <f>IF(OR($A159="",M159="",MEMORIA_RESULTADOS!$I$259=""),"",ROUND(M159*$C159*(MEMORIA_RESULTADOS!$I$259-1),2))</f>
        <v/>
      </c>
      <c r="AV159" t="str">
        <f>IF(OR($A159="",AT159="",MEMORIA_RESULTADOS!$I$259=""),"",ROUND(AT159*$C159*(parametros!$F$3-MEMORIA_RESULTADOS!$I$259),2))</f>
        <v/>
      </c>
      <c r="AW159" t="str">
        <f>IF($A159="","",ROUND(SUMIFS(itens_Consumidos!$I$2:$I$200,itens_Consumidos!$A$2:$A$200,$A159),2))</f>
        <v/>
      </c>
      <c r="AX159" t="str">
        <f t="shared" si="26"/>
        <v/>
      </c>
      <c r="AY159" t="str">
        <f>IF(OR($A159="",O159="",MEMORIA_RESULTADOS!$I$260=""),"",ROUND(O159*$C159*(MEMORIA_RESULTADOS!$I$260-1),2))</f>
        <v/>
      </c>
      <c r="AZ159" t="str">
        <f>IF(OR($A159="",AX159="",MEMORIA_RESULTADOS!$I$260=""),"",ROUND(AX159*$C159*(parametros!$F$4-MEMORIA_RESULTADOS!$I$260),2))</f>
        <v/>
      </c>
      <c r="BA159" t="str">
        <f>IF($A159="","",ROUND(SUMIFS(itens_Consumidos!$K$2:$K$200,itens_Consumidos!$A$2:$A$200,$A159),2))</f>
        <v/>
      </c>
      <c r="BB159" t="str">
        <f t="shared" si="27"/>
        <v/>
      </c>
      <c r="BC159" t="str">
        <f>IF(OR($A159="",Q159="",MEMORIA_RESULTADOS!$I$261=""),"",ROUND(Q159*$C159*(MEMORIA_RESULTADOS!$I$261-1),2))</f>
        <v/>
      </c>
      <c r="BD159" t="str">
        <f>IF(OR($A159="",BB159="",MEMORIA_RESULTADOS!$I$261=""),"",ROUND(BB159*$C159*(parametros!$F$5-MEMORIA_RESULTADOS!$I$261),2))</f>
        <v/>
      </c>
      <c r="BE159" t="str">
        <f>IF($A159="","",ROUND(SUMIFS(itens_Consumidos!$M$2:$M$200,itens_Consumidos!$A$2:$A$200,$A159),2))</f>
        <v/>
      </c>
      <c r="BF159" t="str">
        <f t="shared" si="28"/>
        <v/>
      </c>
      <c r="BG159" t="str">
        <f>IF(OR($A159="",S159="",MEMORIA_RESULTADOS!$I$262=""),"",ROUND(S159*$C159*(MEMORIA_RESULTADOS!$I$262-1),2))</f>
        <v/>
      </c>
      <c r="BH159" t="str">
        <f>IF(OR($A159="",BF159="",MEMORIA_RESULTADOS!$I$262=""),"",ROUND(BF159*$C159*(parametros!$F$6-MEMORIA_RESULTADOS!$I$262),2))</f>
        <v/>
      </c>
      <c r="BI159" t="str">
        <f>IF($A159="","",IF(posicao_contratual!$AL159="","",posicao_contratual!$AL159))</f>
        <v/>
      </c>
    </row>
    <row r="160" spans="1:61" x14ac:dyDescent="0.35">
      <c r="A160" s="81"/>
      <c r="B160" s="82" t="str">
        <f t="shared" si="29"/>
        <v/>
      </c>
      <c r="C160" s="83"/>
      <c r="D160" s="79" t="str">
        <f>IF(AND(A160="",A159&lt;&gt;"",COUNTIF(A161:$A$200,"&lt;&gt;")=0),ROUND(SUMIF($A$2:A159,"&lt;&gt;",$D$2:D159),2),IF(OR(A160="",B160="",C160=""),"",ROUND(B160*C160,2)))</f>
        <v/>
      </c>
      <c r="E160" s="84"/>
      <c r="F160" s="79" t="str">
        <f>IF(AND(A160="",A159&lt;&gt;"",COUNTIF(A161:$A$200,"&lt;&gt;")=0),IF(COUNT(F$2:F159)=0,"",ROUND(SUMIF($A$2:A159,"&lt;&gt;",F$2:F159),2)),IF(OR(A160="",AND(ISNUMBER(posicao_contratual!$AL160),posicao_contratual!$AL160&gt;1),posicao_contratual!K160="",NOT(ISNUMBER(historico_VU!D160))),"",ROUND(posicao_contratual!K160*historico_VU!D160,2)))</f>
        <v/>
      </c>
      <c r="G160" s="84"/>
      <c r="H160" s="79" t="str">
        <f>IF(AND(A160="",A159&lt;&gt;"",COUNTIF(A161:$A$200,"&lt;&gt;")=0),IF(COUNT(H$2:H159)=0,"",ROUND(SUMIF($A$2:A159,"&lt;&gt;",H$2:H159),2)),IF(OR(A160="",AND(ISNUMBER(posicao_contratual!$AL160),posicao_contratual!$AL160&gt;2),posicao_contratual!O160="",NOT(ISNUMBER(historico_VU!E160))),"",ROUND(posicao_contratual!O160*historico_VU!E160,2)))</f>
        <v/>
      </c>
      <c r="I160" s="84"/>
      <c r="J160" s="79" t="str">
        <f>IF(AND(A160="",A159&lt;&gt;"",COUNTIF(A161:$A$200,"&lt;&gt;")=0),IF(COUNT(J$2:J159)=0,"",ROUND(SUMIF($A$2:A159,"&lt;&gt;",J$2:J159),2)),IF(OR(A160="",AND(ISNUMBER(posicao_contratual!$AL160),posicao_contratual!$AL160&gt;3),posicao_contratual!S160="",NOT(ISNUMBER(historico_VU!F160))),"",ROUND(posicao_contratual!S160*historico_VU!F160,2)))</f>
        <v/>
      </c>
      <c r="K160" s="84"/>
      <c r="L160" s="79" t="str">
        <f>IF(AND(A160="",A159&lt;&gt;"",COUNTIF(A161:$A$200,"&lt;&gt;")=0),IF(COUNT(L$2:L159)=0,"",ROUND(SUMIF($A$2:A159,"&lt;&gt;",L$2:L159),2)),IF(OR(A160="",AND(ISNUMBER(posicao_contratual!$AL160),posicao_contratual!$AL160&gt;4),posicao_contratual!W160="",NOT(ISNUMBER(historico_VU!G160))),"",ROUND(posicao_contratual!W160*historico_VU!G160,2)))</f>
        <v/>
      </c>
      <c r="M160" s="85" t="str">
        <f>IF(OR(posicao_contratual!J160="",posicao_contratual!N160=""),"",ROUND(MAX(posicao_contratual!J160+posicao_contratual!H160-posicao_contratual!N160,0),2))</f>
        <v/>
      </c>
      <c r="N160" s="79" t="str">
        <f>IF(AND(A160="",A159&lt;&gt;"",COUNTIF(A161:$A$200,"&lt;&gt;")=0),IF(COUNT(N$2:N159)=0,"",ROUND(SUMIF($A$2:A159,"&lt;&gt;",N$2:N159),2)),IF(OR(M160="",NOT(ISNUMBER(historico_VU!D160))),"",ROUND(M160*historico_VU!D160,2)))</f>
        <v/>
      </c>
      <c r="O160" s="85" t="str">
        <f>IF(OR(posicao_contratual!N160="",posicao_contratual!R160=""),"",ROUND(MAX(posicao_contratual!N160+posicao_contratual!L160-posicao_contratual!R160,0),2))</f>
        <v/>
      </c>
      <c r="P160" s="79" t="str">
        <f>IF(AND(A160="",A159&lt;&gt;"",COUNTIF(A161:$A$200,"&lt;&gt;")=0),IF(COUNT(P$2:P159)=0,"",ROUND(SUMIF($A$2:A159,"&lt;&gt;",P$2:P159),2)),IF(OR(O160="",NOT(ISNUMBER(historico_VU!E160))),"",ROUND(O160*historico_VU!E160,2)))</f>
        <v/>
      </c>
      <c r="Q160" s="85" t="str">
        <f>IF(OR(posicao_contratual!R160="",posicao_contratual!V160=""),"",ROUND(MAX(posicao_contratual!R160+posicao_contratual!P160-posicao_contratual!V160,0),2))</f>
        <v/>
      </c>
      <c r="R160" s="79" t="str">
        <f>IF(AND(A160="",A159&lt;&gt;"",COUNTIF(A161:$A$200,"&lt;&gt;")=0),IF(COUNT(R$2:R159)=0,"",ROUND(SUMIF($A$2:A159,"&lt;&gt;",R$2:R159),2)),IF(OR(Q160="",NOT(ISNUMBER(historico_VU!F160))),"",ROUND(Q160*historico_VU!F160,2)))</f>
        <v/>
      </c>
      <c r="S160" s="38"/>
      <c r="T160" s="39" t="str">
        <f>IF(AND(A160="",A159&lt;&gt;"",COUNTIF(A161:$A$200,"&lt;&gt;")=0),IF(COUNT(T$2:T159)=0,"",ROUND(SUMIF($A$2:A159,"&lt;&gt;",T$2:T159),2)),IF(OR(S160="",NOT(ISNUMBER(historico_VU!G160))),"",ROUND(S160*historico_VU!G160,2)))</f>
        <v/>
      </c>
      <c r="U160" s="86" t="str">
        <f>IF(AND(A160="",A159&lt;&gt;"",COUNTIF(A161:$A$200,"&lt;&gt;")=0),"TOTAL",IF(A160="","",posicao_contratual!X160))</f>
        <v/>
      </c>
      <c r="V160" s="86" t="str">
        <f>IF(A160="","",posicao_contratual!X160)</f>
        <v/>
      </c>
      <c r="W160" s="13"/>
      <c r="X160" s="13"/>
      <c r="Y160" s="13"/>
      <c r="Z160" s="13"/>
      <c r="AA160" s="13"/>
      <c r="AB160" s="85" t="str">
        <f>IF(OR(A160="",posicao_contratual!E160="",posicao_contratual!J160=""),"",ROUND(MAX(posicao_contratual!E160-posicao_contratual!J160,0),2))</f>
        <v/>
      </c>
      <c r="AC160" s="79" t="str">
        <f>IF(AND(A160="",A159&lt;&gt;"",COUNTIF(A161:$A$200,"&lt;&gt;")=0),IF(COUNT(AC$2:AC159)=0,"",ROUND(SUMIF($A$2:A159,"&lt;&gt;",AC$2:AC159),2)),IF(OR(AB160="",NOT(ISNUMBER(historico_VU!C160))),"",ROUND(AB160*historico_VU!C160,2)))</f>
        <v/>
      </c>
      <c r="AD160" s="145" t="str">
        <f>IF(A160="","",posicao_contratual!E160)</f>
        <v/>
      </c>
      <c r="AE160" s="145" t="str">
        <f>IF(A160="","",posicao_contratual!I160)</f>
        <v/>
      </c>
      <c r="AF160" s="145" t="str">
        <f>IF(A160="","",posicao_contratual!M160)</f>
        <v/>
      </c>
      <c r="AG160" s="145" t="str">
        <f>IF(A160="","",posicao_contratual!Q160)</f>
        <v/>
      </c>
      <c r="AH160" s="145" t="str">
        <f>IF(A160="","",posicao_contratual!U160)</f>
        <v/>
      </c>
      <c r="AI160" s="145" t="str">
        <f>IF(A160="","",posicao_contratual!G160)</f>
        <v/>
      </c>
      <c r="AJ160" s="145" t="str">
        <f>IF(A160="","",posicao_contratual!K160)</f>
        <v/>
      </c>
      <c r="AK160" s="145" t="str">
        <f>IF(A160="","",posicao_contratual!O160)</f>
        <v/>
      </c>
      <c r="AL160" s="145" t="str">
        <f>IF(A160="","",posicao_contratual!S160)</f>
        <v/>
      </c>
      <c r="AM160" s="145" t="str">
        <f>IF(A160="","",posicao_contratual!W160)</f>
        <v/>
      </c>
      <c r="AN160" s="146" t="str">
        <f>IF(A160="","",posicao_contratual!X160)</f>
        <v/>
      </c>
      <c r="AO160" t="str">
        <f>IF($A160="","",ROUND(SUMIFS(itens_Consumidos!$E$2:$E$200,itens_Consumidos!$A$2:$A$200,$A160),2))</f>
        <v/>
      </c>
      <c r="AP160" t="str">
        <f t="shared" si="24"/>
        <v/>
      </c>
      <c r="AQ160" t="str">
        <f>IF(OR($A160="",AB160="",MEMORIA_RESULTADOS!$I$258=""),"",ROUND(AB160*$C160*(MEMORIA_RESULTADOS!$I$258-1),2))</f>
        <v/>
      </c>
      <c r="AR160" t="str">
        <f>IF(OR($A160="",AP160="",MEMORIA_RESULTADOS!$I$258=""),"",ROUND(AP160*$C160*(parametros!$F$2-MEMORIA_RESULTADOS!$I$258),2))</f>
        <v/>
      </c>
      <c r="AS160" t="str">
        <f>IF($A160="","",ROUND(SUMIFS(itens_Consumidos!$G$2:$G$200,itens_Consumidos!$A$2:$A$200,$A160),2))</f>
        <v/>
      </c>
      <c r="AT160" t="str">
        <f t="shared" si="25"/>
        <v/>
      </c>
      <c r="AU160" t="str">
        <f>IF(OR($A160="",M160="",MEMORIA_RESULTADOS!$I$259=""),"",ROUND(M160*$C160*(MEMORIA_RESULTADOS!$I$259-1),2))</f>
        <v/>
      </c>
      <c r="AV160" t="str">
        <f>IF(OR($A160="",AT160="",MEMORIA_RESULTADOS!$I$259=""),"",ROUND(AT160*$C160*(parametros!$F$3-MEMORIA_RESULTADOS!$I$259),2))</f>
        <v/>
      </c>
      <c r="AW160" t="str">
        <f>IF($A160="","",ROUND(SUMIFS(itens_Consumidos!$I$2:$I$200,itens_Consumidos!$A$2:$A$200,$A160),2))</f>
        <v/>
      </c>
      <c r="AX160" t="str">
        <f t="shared" si="26"/>
        <v/>
      </c>
      <c r="AY160" t="str">
        <f>IF(OR($A160="",O160="",MEMORIA_RESULTADOS!$I$260=""),"",ROUND(O160*$C160*(MEMORIA_RESULTADOS!$I$260-1),2))</f>
        <v/>
      </c>
      <c r="AZ160" t="str">
        <f>IF(OR($A160="",AX160="",MEMORIA_RESULTADOS!$I$260=""),"",ROUND(AX160*$C160*(parametros!$F$4-MEMORIA_RESULTADOS!$I$260),2))</f>
        <v/>
      </c>
      <c r="BA160" t="str">
        <f>IF($A160="","",ROUND(SUMIFS(itens_Consumidos!$K$2:$K$200,itens_Consumidos!$A$2:$A$200,$A160),2))</f>
        <v/>
      </c>
      <c r="BB160" t="str">
        <f t="shared" si="27"/>
        <v/>
      </c>
      <c r="BC160" t="str">
        <f>IF(OR($A160="",Q160="",MEMORIA_RESULTADOS!$I$261=""),"",ROUND(Q160*$C160*(MEMORIA_RESULTADOS!$I$261-1),2))</f>
        <v/>
      </c>
      <c r="BD160" t="str">
        <f>IF(OR($A160="",BB160="",MEMORIA_RESULTADOS!$I$261=""),"",ROUND(BB160*$C160*(parametros!$F$5-MEMORIA_RESULTADOS!$I$261),2))</f>
        <v/>
      </c>
      <c r="BE160" t="str">
        <f>IF($A160="","",ROUND(SUMIFS(itens_Consumidos!$M$2:$M$200,itens_Consumidos!$A$2:$A$200,$A160),2))</f>
        <v/>
      </c>
      <c r="BF160" t="str">
        <f t="shared" si="28"/>
        <v/>
      </c>
      <c r="BG160" t="str">
        <f>IF(OR($A160="",S160="",MEMORIA_RESULTADOS!$I$262=""),"",ROUND(S160*$C160*(MEMORIA_RESULTADOS!$I$262-1),2))</f>
        <v/>
      </c>
      <c r="BH160" t="str">
        <f>IF(OR($A160="",BF160="",MEMORIA_RESULTADOS!$I$262=""),"",ROUND(BF160*$C160*(parametros!$F$6-MEMORIA_RESULTADOS!$I$262),2))</f>
        <v/>
      </c>
      <c r="BI160" t="str">
        <f>IF($A160="","",IF(posicao_contratual!$AL160="","",posicao_contratual!$AL160))</f>
        <v/>
      </c>
    </row>
    <row r="161" spans="1:61" x14ac:dyDescent="0.35">
      <c r="A161" s="81"/>
      <c r="B161" s="82" t="str">
        <f t="shared" si="29"/>
        <v/>
      </c>
      <c r="C161" s="83"/>
      <c r="D161" s="79" t="str">
        <f>IF(AND(A161="",A160&lt;&gt;"",COUNTIF(A162:$A$200,"&lt;&gt;")=0),ROUND(SUMIF($A$2:A160,"&lt;&gt;",$D$2:D160),2),IF(OR(A161="",B161="",C161=""),"",ROUND(B161*C161,2)))</f>
        <v/>
      </c>
      <c r="E161" s="84"/>
      <c r="F161" s="79" t="str">
        <f>IF(AND(A161="",A160&lt;&gt;"",COUNTIF(A162:$A$200,"&lt;&gt;")=0),IF(COUNT(F$2:F160)=0,"",ROUND(SUMIF($A$2:A160,"&lt;&gt;",F$2:F160),2)),IF(OR(A161="",AND(ISNUMBER(posicao_contratual!$AL161),posicao_contratual!$AL161&gt;1),posicao_contratual!K161="",NOT(ISNUMBER(historico_VU!D161))),"",ROUND(posicao_contratual!K161*historico_VU!D161,2)))</f>
        <v/>
      </c>
      <c r="G161" s="84"/>
      <c r="H161" s="79" t="str">
        <f>IF(AND(A161="",A160&lt;&gt;"",COUNTIF(A162:$A$200,"&lt;&gt;")=0),IF(COUNT(H$2:H160)=0,"",ROUND(SUMIF($A$2:A160,"&lt;&gt;",H$2:H160),2)),IF(OR(A161="",AND(ISNUMBER(posicao_contratual!$AL161),posicao_contratual!$AL161&gt;2),posicao_contratual!O161="",NOT(ISNUMBER(historico_VU!E161))),"",ROUND(posicao_contratual!O161*historico_VU!E161,2)))</f>
        <v/>
      </c>
      <c r="I161" s="84"/>
      <c r="J161" s="79" t="str">
        <f>IF(AND(A161="",A160&lt;&gt;"",COUNTIF(A162:$A$200,"&lt;&gt;")=0),IF(COUNT(J$2:J160)=0,"",ROUND(SUMIF($A$2:A160,"&lt;&gt;",J$2:J160),2)),IF(OR(A161="",AND(ISNUMBER(posicao_contratual!$AL161),posicao_contratual!$AL161&gt;3),posicao_contratual!S161="",NOT(ISNUMBER(historico_VU!F161))),"",ROUND(posicao_contratual!S161*historico_VU!F161,2)))</f>
        <v/>
      </c>
      <c r="K161" s="84"/>
      <c r="L161" s="79" t="str">
        <f>IF(AND(A161="",A160&lt;&gt;"",COUNTIF(A162:$A$200,"&lt;&gt;")=0),IF(COUNT(L$2:L160)=0,"",ROUND(SUMIF($A$2:A160,"&lt;&gt;",L$2:L160),2)),IF(OR(A161="",AND(ISNUMBER(posicao_contratual!$AL161),posicao_contratual!$AL161&gt;4),posicao_contratual!W161="",NOT(ISNUMBER(historico_VU!G161))),"",ROUND(posicao_contratual!W161*historico_VU!G161,2)))</f>
        <v/>
      </c>
      <c r="M161" s="85" t="str">
        <f>IF(OR(posicao_contratual!J161="",posicao_contratual!N161=""),"",ROUND(MAX(posicao_contratual!J161+posicao_contratual!H161-posicao_contratual!N161,0),2))</f>
        <v/>
      </c>
      <c r="N161" s="79" t="str">
        <f>IF(AND(A161="",A160&lt;&gt;"",COUNTIF(A162:$A$200,"&lt;&gt;")=0),IF(COUNT(N$2:N160)=0,"",ROUND(SUMIF($A$2:A160,"&lt;&gt;",N$2:N160),2)),IF(OR(M161="",NOT(ISNUMBER(historico_VU!D161))),"",ROUND(M161*historico_VU!D161,2)))</f>
        <v/>
      </c>
      <c r="O161" s="85" t="str">
        <f>IF(OR(posicao_contratual!N161="",posicao_contratual!R161=""),"",ROUND(MAX(posicao_contratual!N161+posicao_contratual!L161-posicao_contratual!R161,0),2))</f>
        <v/>
      </c>
      <c r="P161" s="79" t="str">
        <f>IF(AND(A161="",A160&lt;&gt;"",COUNTIF(A162:$A$200,"&lt;&gt;")=0),IF(COUNT(P$2:P160)=0,"",ROUND(SUMIF($A$2:A160,"&lt;&gt;",P$2:P160),2)),IF(OR(O161="",NOT(ISNUMBER(historico_VU!E161))),"",ROUND(O161*historico_VU!E161,2)))</f>
        <v/>
      </c>
      <c r="Q161" s="85" t="str">
        <f>IF(OR(posicao_contratual!R161="",posicao_contratual!V161=""),"",ROUND(MAX(posicao_contratual!R161+posicao_contratual!P161-posicao_contratual!V161,0),2))</f>
        <v/>
      </c>
      <c r="R161" s="79" t="str">
        <f>IF(AND(A161="",A160&lt;&gt;"",COUNTIF(A162:$A$200,"&lt;&gt;")=0),IF(COUNT(R$2:R160)=0,"",ROUND(SUMIF($A$2:A160,"&lt;&gt;",R$2:R160),2)),IF(OR(Q161="",NOT(ISNUMBER(historico_VU!F161))),"",ROUND(Q161*historico_VU!F161,2)))</f>
        <v/>
      </c>
      <c r="S161" s="38"/>
      <c r="T161" s="39" t="str">
        <f>IF(AND(A161="",A160&lt;&gt;"",COUNTIF(A162:$A$200,"&lt;&gt;")=0),IF(COUNT(T$2:T160)=0,"",ROUND(SUMIF($A$2:A160,"&lt;&gt;",T$2:T160),2)),IF(OR(S161="",NOT(ISNUMBER(historico_VU!G161))),"",ROUND(S161*historico_VU!G161,2)))</f>
        <v/>
      </c>
      <c r="U161" s="86" t="str">
        <f>IF(AND(A161="",A160&lt;&gt;"",COUNTIF(A162:$A$200,"&lt;&gt;")=0),"TOTAL",IF(A161="","",posicao_contratual!X161))</f>
        <v/>
      </c>
      <c r="V161" s="86" t="str">
        <f>IF(A161="","",posicao_contratual!X161)</f>
        <v/>
      </c>
      <c r="W161" s="13"/>
      <c r="X161" s="13"/>
      <c r="Y161" s="13"/>
      <c r="Z161" s="13"/>
      <c r="AA161" s="13"/>
      <c r="AB161" s="85" t="str">
        <f>IF(OR(A161="",posicao_contratual!E161="",posicao_contratual!J161=""),"",ROUND(MAX(posicao_contratual!E161-posicao_contratual!J161,0),2))</f>
        <v/>
      </c>
      <c r="AC161" s="79" t="str">
        <f>IF(AND(A161="",A160&lt;&gt;"",COUNTIF(A162:$A$200,"&lt;&gt;")=0),IF(COUNT(AC$2:AC160)=0,"",ROUND(SUMIF($A$2:A160,"&lt;&gt;",AC$2:AC160),2)),IF(OR(AB161="",NOT(ISNUMBER(historico_VU!C161))),"",ROUND(AB161*historico_VU!C161,2)))</f>
        <v/>
      </c>
      <c r="AD161" s="145" t="str">
        <f>IF(A161="","",posicao_contratual!E161)</f>
        <v/>
      </c>
      <c r="AE161" s="145" t="str">
        <f>IF(A161="","",posicao_contratual!I161)</f>
        <v/>
      </c>
      <c r="AF161" s="145" t="str">
        <f>IF(A161="","",posicao_contratual!M161)</f>
        <v/>
      </c>
      <c r="AG161" s="145" t="str">
        <f>IF(A161="","",posicao_contratual!Q161)</f>
        <v/>
      </c>
      <c r="AH161" s="145" t="str">
        <f>IF(A161="","",posicao_contratual!U161)</f>
        <v/>
      </c>
      <c r="AI161" s="145" t="str">
        <f>IF(A161="","",posicao_contratual!G161)</f>
        <v/>
      </c>
      <c r="AJ161" s="145" t="str">
        <f>IF(A161="","",posicao_contratual!K161)</f>
        <v/>
      </c>
      <c r="AK161" s="145" t="str">
        <f>IF(A161="","",posicao_contratual!O161)</f>
        <v/>
      </c>
      <c r="AL161" s="145" t="str">
        <f>IF(A161="","",posicao_contratual!S161)</f>
        <v/>
      </c>
      <c r="AM161" s="145" t="str">
        <f>IF(A161="","",posicao_contratual!W161)</f>
        <v/>
      </c>
      <c r="AN161" s="146" t="str">
        <f>IF(A161="","",posicao_contratual!X161)</f>
        <v/>
      </c>
      <c r="AO161" t="str">
        <f>IF($A161="","",ROUND(SUMIFS(itens_Consumidos!$E$2:$E$200,itens_Consumidos!$A$2:$A$200,$A161),2))</f>
        <v/>
      </c>
      <c r="AP161" t="str">
        <f t="shared" si="24"/>
        <v/>
      </c>
      <c r="AQ161" t="str">
        <f>IF(OR($A161="",AB161="",MEMORIA_RESULTADOS!$I$258=""),"",ROUND(AB161*$C161*(MEMORIA_RESULTADOS!$I$258-1),2))</f>
        <v/>
      </c>
      <c r="AR161" t="str">
        <f>IF(OR($A161="",AP161="",MEMORIA_RESULTADOS!$I$258=""),"",ROUND(AP161*$C161*(parametros!$F$2-MEMORIA_RESULTADOS!$I$258),2))</f>
        <v/>
      </c>
      <c r="AS161" t="str">
        <f>IF($A161="","",ROUND(SUMIFS(itens_Consumidos!$G$2:$G$200,itens_Consumidos!$A$2:$A$200,$A161),2))</f>
        <v/>
      </c>
      <c r="AT161" t="str">
        <f t="shared" si="25"/>
        <v/>
      </c>
      <c r="AU161" t="str">
        <f>IF(OR($A161="",M161="",MEMORIA_RESULTADOS!$I$259=""),"",ROUND(M161*$C161*(MEMORIA_RESULTADOS!$I$259-1),2))</f>
        <v/>
      </c>
      <c r="AV161" t="str">
        <f>IF(OR($A161="",AT161="",MEMORIA_RESULTADOS!$I$259=""),"",ROUND(AT161*$C161*(parametros!$F$3-MEMORIA_RESULTADOS!$I$259),2))</f>
        <v/>
      </c>
      <c r="AW161" t="str">
        <f>IF($A161="","",ROUND(SUMIFS(itens_Consumidos!$I$2:$I$200,itens_Consumidos!$A$2:$A$200,$A161),2))</f>
        <v/>
      </c>
      <c r="AX161" t="str">
        <f t="shared" si="26"/>
        <v/>
      </c>
      <c r="AY161" t="str">
        <f>IF(OR($A161="",O161="",MEMORIA_RESULTADOS!$I$260=""),"",ROUND(O161*$C161*(MEMORIA_RESULTADOS!$I$260-1),2))</f>
        <v/>
      </c>
      <c r="AZ161" t="str">
        <f>IF(OR($A161="",AX161="",MEMORIA_RESULTADOS!$I$260=""),"",ROUND(AX161*$C161*(parametros!$F$4-MEMORIA_RESULTADOS!$I$260),2))</f>
        <v/>
      </c>
      <c r="BA161" t="str">
        <f>IF($A161="","",ROUND(SUMIFS(itens_Consumidos!$K$2:$K$200,itens_Consumidos!$A$2:$A$200,$A161),2))</f>
        <v/>
      </c>
      <c r="BB161" t="str">
        <f t="shared" si="27"/>
        <v/>
      </c>
      <c r="BC161" t="str">
        <f>IF(OR($A161="",Q161="",MEMORIA_RESULTADOS!$I$261=""),"",ROUND(Q161*$C161*(MEMORIA_RESULTADOS!$I$261-1),2))</f>
        <v/>
      </c>
      <c r="BD161" t="str">
        <f>IF(OR($A161="",BB161="",MEMORIA_RESULTADOS!$I$261=""),"",ROUND(BB161*$C161*(parametros!$F$5-MEMORIA_RESULTADOS!$I$261),2))</f>
        <v/>
      </c>
      <c r="BE161" t="str">
        <f>IF($A161="","",ROUND(SUMIFS(itens_Consumidos!$M$2:$M$200,itens_Consumidos!$A$2:$A$200,$A161),2))</f>
        <v/>
      </c>
      <c r="BF161" t="str">
        <f t="shared" si="28"/>
        <v/>
      </c>
      <c r="BG161" t="str">
        <f>IF(OR($A161="",S161="",MEMORIA_RESULTADOS!$I$262=""),"",ROUND(S161*$C161*(MEMORIA_RESULTADOS!$I$262-1),2))</f>
        <v/>
      </c>
      <c r="BH161" t="str">
        <f>IF(OR($A161="",BF161="",MEMORIA_RESULTADOS!$I$262=""),"",ROUND(BF161*$C161*(parametros!$F$6-MEMORIA_RESULTADOS!$I$262),2))</f>
        <v/>
      </c>
      <c r="BI161" t="str">
        <f>IF($A161="","",IF(posicao_contratual!$AL161="","",posicao_contratual!$AL161))</f>
        <v/>
      </c>
    </row>
    <row r="162" spans="1:61" x14ac:dyDescent="0.35">
      <c r="A162" s="81"/>
      <c r="B162" s="82" t="str">
        <f t="shared" si="29"/>
        <v/>
      </c>
      <c r="C162" s="83"/>
      <c r="D162" s="79" t="str">
        <f>IF(AND(A162="",A161&lt;&gt;"",COUNTIF(A163:$A$200,"&lt;&gt;")=0),ROUND(SUMIF($A$2:A161,"&lt;&gt;",$D$2:D161),2),IF(OR(A162="",B162="",C162=""),"",ROUND(B162*C162,2)))</f>
        <v/>
      </c>
      <c r="E162" s="84"/>
      <c r="F162" s="79" t="str">
        <f>IF(AND(A162="",A161&lt;&gt;"",COUNTIF(A163:$A$200,"&lt;&gt;")=0),IF(COUNT(F$2:F161)=0,"",ROUND(SUMIF($A$2:A161,"&lt;&gt;",F$2:F161),2)),IF(OR(A162="",AND(ISNUMBER(posicao_contratual!$AL162),posicao_contratual!$AL162&gt;1),posicao_contratual!K162="",NOT(ISNUMBER(historico_VU!D162))),"",ROUND(posicao_contratual!K162*historico_VU!D162,2)))</f>
        <v/>
      </c>
      <c r="G162" s="84"/>
      <c r="H162" s="79" t="str">
        <f>IF(AND(A162="",A161&lt;&gt;"",COUNTIF(A163:$A$200,"&lt;&gt;")=0),IF(COUNT(H$2:H161)=0,"",ROUND(SUMIF($A$2:A161,"&lt;&gt;",H$2:H161),2)),IF(OR(A162="",AND(ISNUMBER(posicao_contratual!$AL162),posicao_contratual!$AL162&gt;2),posicao_contratual!O162="",NOT(ISNUMBER(historico_VU!E162))),"",ROUND(posicao_contratual!O162*historico_VU!E162,2)))</f>
        <v/>
      </c>
      <c r="I162" s="84"/>
      <c r="J162" s="79" t="str">
        <f>IF(AND(A162="",A161&lt;&gt;"",COUNTIF(A163:$A$200,"&lt;&gt;")=0),IF(COUNT(J$2:J161)=0,"",ROUND(SUMIF($A$2:A161,"&lt;&gt;",J$2:J161),2)),IF(OR(A162="",AND(ISNUMBER(posicao_contratual!$AL162),posicao_contratual!$AL162&gt;3),posicao_contratual!S162="",NOT(ISNUMBER(historico_VU!F162))),"",ROUND(posicao_contratual!S162*historico_VU!F162,2)))</f>
        <v/>
      </c>
      <c r="K162" s="84"/>
      <c r="L162" s="79" t="str">
        <f>IF(AND(A162="",A161&lt;&gt;"",COUNTIF(A163:$A$200,"&lt;&gt;")=0),IF(COUNT(L$2:L161)=0,"",ROUND(SUMIF($A$2:A161,"&lt;&gt;",L$2:L161),2)),IF(OR(A162="",AND(ISNUMBER(posicao_contratual!$AL162),posicao_contratual!$AL162&gt;4),posicao_contratual!W162="",NOT(ISNUMBER(historico_VU!G162))),"",ROUND(posicao_contratual!W162*historico_VU!G162,2)))</f>
        <v/>
      </c>
      <c r="M162" s="85" t="str">
        <f>IF(OR(posicao_contratual!J162="",posicao_contratual!N162=""),"",ROUND(MAX(posicao_contratual!J162+posicao_contratual!H162-posicao_contratual!N162,0),2))</f>
        <v/>
      </c>
      <c r="N162" s="79" t="str">
        <f>IF(AND(A162="",A161&lt;&gt;"",COUNTIF(A163:$A$200,"&lt;&gt;")=0),IF(COUNT(N$2:N161)=0,"",ROUND(SUMIF($A$2:A161,"&lt;&gt;",N$2:N161),2)),IF(OR(M162="",NOT(ISNUMBER(historico_VU!D162))),"",ROUND(M162*historico_VU!D162,2)))</f>
        <v/>
      </c>
      <c r="O162" s="85" t="str">
        <f>IF(OR(posicao_contratual!N162="",posicao_contratual!R162=""),"",ROUND(MAX(posicao_contratual!N162+posicao_contratual!L162-posicao_contratual!R162,0),2))</f>
        <v/>
      </c>
      <c r="P162" s="79" t="str">
        <f>IF(AND(A162="",A161&lt;&gt;"",COUNTIF(A163:$A$200,"&lt;&gt;")=0),IF(COUNT(P$2:P161)=0,"",ROUND(SUMIF($A$2:A161,"&lt;&gt;",P$2:P161),2)),IF(OR(O162="",NOT(ISNUMBER(historico_VU!E162))),"",ROUND(O162*historico_VU!E162,2)))</f>
        <v/>
      </c>
      <c r="Q162" s="85" t="str">
        <f>IF(OR(posicao_contratual!R162="",posicao_contratual!V162=""),"",ROUND(MAX(posicao_contratual!R162+posicao_contratual!P162-posicao_contratual!V162,0),2))</f>
        <v/>
      </c>
      <c r="R162" s="79" t="str">
        <f>IF(AND(A162="",A161&lt;&gt;"",COUNTIF(A163:$A$200,"&lt;&gt;")=0),IF(COUNT(R$2:R161)=0,"",ROUND(SUMIF($A$2:A161,"&lt;&gt;",R$2:R161),2)),IF(OR(Q162="",NOT(ISNUMBER(historico_VU!F162))),"",ROUND(Q162*historico_VU!F162,2)))</f>
        <v/>
      </c>
      <c r="S162" s="38"/>
      <c r="T162" s="39" t="str">
        <f>IF(AND(A162="",A161&lt;&gt;"",COUNTIF(A163:$A$200,"&lt;&gt;")=0),IF(COUNT(T$2:T161)=0,"",ROUND(SUMIF($A$2:A161,"&lt;&gt;",T$2:T161),2)),IF(OR(S162="",NOT(ISNUMBER(historico_VU!G162))),"",ROUND(S162*historico_VU!G162,2)))</f>
        <v/>
      </c>
      <c r="U162" s="86" t="str">
        <f>IF(AND(A162="",A161&lt;&gt;"",COUNTIF(A163:$A$200,"&lt;&gt;")=0),"TOTAL",IF(A162="","",posicao_contratual!X162))</f>
        <v/>
      </c>
      <c r="V162" s="86" t="str">
        <f>IF(A162="","",posicao_contratual!X162)</f>
        <v/>
      </c>
      <c r="W162" s="13"/>
      <c r="X162" s="13"/>
      <c r="Y162" s="13"/>
      <c r="Z162" s="13"/>
      <c r="AA162" s="13"/>
      <c r="AB162" s="85" t="str">
        <f>IF(OR(A162="",posicao_contratual!E162="",posicao_contratual!J162=""),"",ROUND(MAX(posicao_contratual!E162-posicao_contratual!J162,0),2))</f>
        <v/>
      </c>
      <c r="AC162" s="79" t="str">
        <f>IF(AND(A162="",A161&lt;&gt;"",COUNTIF(A163:$A$200,"&lt;&gt;")=0),IF(COUNT(AC$2:AC161)=0,"",ROUND(SUMIF($A$2:A161,"&lt;&gt;",AC$2:AC161),2)),IF(OR(AB162="",NOT(ISNUMBER(historico_VU!C162))),"",ROUND(AB162*historico_VU!C162,2)))</f>
        <v/>
      </c>
      <c r="AD162" s="145" t="str">
        <f>IF(A162="","",posicao_contratual!E162)</f>
        <v/>
      </c>
      <c r="AE162" s="145" t="str">
        <f>IF(A162="","",posicao_contratual!I162)</f>
        <v/>
      </c>
      <c r="AF162" s="145" t="str">
        <f>IF(A162="","",posicao_contratual!M162)</f>
        <v/>
      </c>
      <c r="AG162" s="145" t="str">
        <f>IF(A162="","",posicao_contratual!Q162)</f>
        <v/>
      </c>
      <c r="AH162" s="145" t="str">
        <f>IF(A162="","",posicao_contratual!U162)</f>
        <v/>
      </c>
      <c r="AI162" s="145" t="str">
        <f>IF(A162="","",posicao_contratual!G162)</f>
        <v/>
      </c>
      <c r="AJ162" s="145" t="str">
        <f>IF(A162="","",posicao_contratual!K162)</f>
        <v/>
      </c>
      <c r="AK162" s="145" t="str">
        <f>IF(A162="","",posicao_contratual!O162)</f>
        <v/>
      </c>
      <c r="AL162" s="145" t="str">
        <f>IF(A162="","",posicao_contratual!S162)</f>
        <v/>
      </c>
      <c r="AM162" s="145" t="str">
        <f>IF(A162="","",posicao_contratual!W162)</f>
        <v/>
      </c>
      <c r="AN162" s="146" t="str">
        <f>IF(A162="","",posicao_contratual!X162)</f>
        <v/>
      </c>
      <c r="AO162" t="str">
        <f>IF($A162="","",ROUND(SUMIFS(itens_Consumidos!$E$2:$E$200,itens_Consumidos!$A$2:$A$200,$A162),2))</f>
        <v/>
      </c>
      <c r="AP162" t="str">
        <f t="shared" ref="AP162:AP193" si="30">IF(OR($A162="",AB162=""),"",ROUND(MAX(AB162-AO162,0),2))</f>
        <v/>
      </c>
      <c r="AQ162" t="str">
        <f>IF(OR($A162="",AB162="",MEMORIA_RESULTADOS!$I$258=""),"",ROUND(AB162*$C162*(MEMORIA_RESULTADOS!$I$258-1),2))</f>
        <v/>
      </c>
      <c r="AR162" t="str">
        <f>IF(OR($A162="",AP162="",MEMORIA_RESULTADOS!$I$258=""),"",ROUND(AP162*$C162*(parametros!$F$2-MEMORIA_RESULTADOS!$I$258),2))</f>
        <v/>
      </c>
      <c r="AS162" t="str">
        <f>IF($A162="","",ROUND(SUMIFS(itens_Consumidos!$G$2:$G$200,itens_Consumidos!$A$2:$A$200,$A162),2))</f>
        <v/>
      </c>
      <c r="AT162" t="str">
        <f t="shared" ref="AT162:AT193" si="31">IF(OR($A162="",M162=""),"",ROUND(MAX(M162-AS162,0),2))</f>
        <v/>
      </c>
      <c r="AU162" t="str">
        <f>IF(OR($A162="",M162="",MEMORIA_RESULTADOS!$I$259=""),"",ROUND(M162*$C162*(MEMORIA_RESULTADOS!$I$259-1),2))</f>
        <v/>
      </c>
      <c r="AV162" t="str">
        <f>IF(OR($A162="",AT162="",MEMORIA_RESULTADOS!$I$259=""),"",ROUND(AT162*$C162*(parametros!$F$3-MEMORIA_RESULTADOS!$I$259),2))</f>
        <v/>
      </c>
      <c r="AW162" t="str">
        <f>IF($A162="","",ROUND(SUMIFS(itens_Consumidos!$I$2:$I$200,itens_Consumidos!$A$2:$A$200,$A162),2))</f>
        <v/>
      </c>
      <c r="AX162" t="str">
        <f t="shared" ref="AX162:AX193" si="32">IF(OR($A162="",O162=""),"",ROUND(MAX(O162-AW162,0),2))</f>
        <v/>
      </c>
      <c r="AY162" t="str">
        <f>IF(OR($A162="",O162="",MEMORIA_RESULTADOS!$I$260=""),"",ROUND(O162*$C162*(MEMORIA_RESULTADOS!$I$260-1),2))</f>
        <v/>
      </c>
      <c r="AZ162" t="str">
        <f>IF(OR($A162="",AX162="",MEMORIA_RESULTADOS!$I$260=""),"",ROUND(AX162*$C162*(parametros!$F$4-MEMORIA_RESULTADOS!$I$260),2))</f>
        <v/>
      </c>
      <c r="BA162" t="str">
        <f>IF($A162="","",ROUND(SUMIFS(itens_Consumidos!$K$2:$K$200,itens_Consumidos!$A$2:$A$200,$A162),2))</f>
        <v/>
      </c>
      <c r="BB162" t="str">
        <f t="shared" ref="BB162:BB193" si="33">IF(OR($A162="",Q162=""),"",ROUND(MAX(Q162-BA162,0),2))</f>
        <v/>
      </c>
      <c r="BC162" t="str">
        <f>IF(OR($A162="",Q162="",MEMORIA_RESULTADOS!$I$261=""),"",ROUND(Q162*$C162*(MEMORIA_RESULTADOS!$I$261-1),2))</f>
        <v/>
      </c>
      <c r="BD162" t="str">
        <f>IF(OR($A162="",BB162="",MEMORIA_RESULTADOS!$I$261=""),"",ROUND(BB162*$C162*(parametros!$F$5-MEMORIA_RESULTADOS!$I$261),2))</f>
        <v/>
      </c>
      <c r="BE162" t="str">
        <f>IF($A162="","",ROUND(SUMIFS(itens_Consumidos!$M$2:$M$200,itens_Consumidos!$A$2:$A$200,$A162),2))</f>
        <v/>
      </c>
      <c r="BF162" t="str">
        <f t="shared" ref="BF162:BF193" si="34">IF(OR($A162="",S162=""),"",ROUND(MAX(S162-BE162,0),2))</f>
        <v/>
      </c>
      <c r="BG162" t="str">
        <f>IF(OR($A162="",S162="",MEMORIA_RESULTADOS!$I$262=""),"",ROUND(S162*$C162*(MEMORIA_RESULTADOS!$I$262-1),2))</f>
        <v/>
      </c>
      <c r="BH162" t="str">
        <f>IF(OR($A162="",BF162="",MEMORIA_RESULTADOS!$I$262=""),"",ROUND(BF162*$C162*(parametros!$F$6-MEMORIA_RESULTADOS!$I$262),2))</f>
        <v/>
      </c>
      <c r="BI162" t="str">
        <f>IF($A162="","",IF(posicao_contratual!$AL162="","",posicao_contratual!$AL162))</f>
        <v/>
      </c>
    </row>
    <row r="163" spans="1:61" x14ac:dyDescent="0.35">
      <c r="A163" s="81"/>
      <c r="B163" s="82" t="str">
        <f t="shared" si="29"/>
        <v/>
      </c>
      <c r="C163" s="83"/>
      <c r="D163" s="79" t="str">
        <f>IF(AND(A163="",A162&lt;&gt;"",COUNTIF(A164:$A$200,"&lt;&gt;")=0),ROUND(SUMIF($A$2:A162,"&lt;&gt;",$D$2:D162),2),IF(OR(A163="",B163="",C163=""),"",ROUND(B163*C163,2)))</f>
        <v/>
      </c>
      <c r="E163" s="84"/>
      <c r="F163" s="79" t="str">
        <f>IF(AND(A163="",A162&lt;&gt;"",COUNTIF(A164:$A$200,"&lt;&gt;")=0),IF(COUNT(F$2:F162)=0,"",ROUND(SUMIF($A$2:A162,"&lt;&gt;",F$2:F162),2)),IF(OR(A163="",AND(ISNUMBER(posicao_contratual!$AL163),posicao_contratual!$AL163&gt;1),posicao_contratual!K163="",NOT(ISNUMBER(historico_VU!D163))),"",ROUND(posicao_contratual!K163*historico_VU!D163,2)))</f>
        <v/>
      </c>
      <c r="G163" s="84"/>
      <c r="H163" s="79" t="str">
        <f>IF(AND(A163="",A162&lt;&gt;"",COUNTIF(A164:$A$200,"&lt;&gt;")=0),IF(COUNT(H$2:H162)=0,"",ROUND(SUMIF($A$2:A162,"&lt;&gt;",H$2:H162),2)),IF(OR(A163="",AND(ISNUMBER(posicao_contratual!$AL163),posicao_contratual!$AL163&gt;2),posicao_contratual!O163="",NOT(ISNUMBER(historico_VU!E163))),"",ROUND(posicao_contratual!O163*historico_VU!E163,2)))</f>
        <v/>
      </c>
      <c r="I163" s="84"/>
      <c r="J163" s="79" t="str">
        <f>IF(AND(A163="",A162&lt;&gt;"",COUNTIF(A164:$A$200,"&lt;&gt;")=0),IF(COUNT(J$2:J162)=0,"",ROUND(SUMIF($A$2:A162,"&lt;&gt;",J$2:J162),2)),IF(OR(A163="",AND(ISNUMBER(posicao_contratual!$AL163),posicao_contratual!$AL163&gt;3),posicao_contratual!S163="",NOT(ISNUMBER(historico_VU!F163))),"",ROUND(posicao_contratual!S163*historico_VU!F163,2)))</f>
        <v/>
      </c>
      <c r="K163" s="84"/>
      <c r="L163" s="79" t="str">
        <f>IF(AND(A163="",A162&lt;&gt;"",COUNTIF(A164:$A$200,"&lt;&gt;")=0),IF(COUNT(L$2:L162)=0,"",ROUND(SUMIF($A$2:A162,"&lt;&gt;",L$2:L162),2)),IF(OR(A163="",AND(ISNUMBER(posicao_contratual!$AL163),posicao_contratual!$AL163&gt;4),posicao_contratual!W163="",NOT(ISNUMBER(historico_VU!G163))),"",ROUND(posicao_contratual!W163*historico_VU!G163,2)))</f>
        <v/>
      </c>
      <c r="M163" s="85" t="str">
        <f>IF(OR(posicao_contratual!J163="",posicao_contratual!N163=""),"",ROUND(MAX(posicao_contratual!J163+posicao_contratual!H163-posicao_contratual!N163,0),2))</f>
        <v/>
      </c>
      <c r="N163" s="79" t="str">
        <f>IF(AND(A163="",A162&lt;&gt;"",COUNTIF(A164:$A$200,"&lt;&gt;")=0),IF(COUNT(N$2:N162)=0,"",ROUND(SUMIF($A$2:A162,"&lt;&gt;",N$2:N162),2)),IF(OR(M163="",NOT(ISNUMBER(historico_VU!D163))),"",ROUND(M163*historico_VU!D163,2)))</f>
        <v/>
      </c>
      <c r="O163" s="85" t="str">
        <f>IF(OR(posicao_contratual!N163="",posicao_contratual!R163=""),"",ROUND(MAX(posicao_contratual!N163+posicao_contratual!L163-posicao_contratual!R163,0),2))</f>
        <v/>
      </c>
      <c r="P163" s="79" t="str">
        <f>IF(AND(A163="",A162&lt;&gt;"",COUNTIF(A164:$A$200,"&lt;&gt;")=0),IF(COUNT(P$2:P162)=0,"",ROUND(SUMIF($A$2:A162,"&lt;&gt;",P$2:P162),2)),IF(OR(O163="",NOT(ISNUMBER(historico_VU!E163))),"",ROUND(O163*historico_VU!E163,2)))</f>
        <v/>
      </c>
      <c r="Q163" s="85" t="str">
        <f>IF(OR(posicao_contratual!R163="",posicao_contratual!V163=""),"",ROUND(MAX(posicao_contratual!R163+posicao_contratual!P163-posicao_contratual!V163,0),2))</f>
        <v/>
      </c>
      <c r="R163" s="79" t="str">
        <f>IF(AND(A163="",A162&lt;&gt;"",COUNTIF(A164:$A$200,"&lt;&gt;")=0),IF(COUNT(R$2:R162)=0,"",ROUND(SUMIF($A$2:A162,"&lt;&gt;",R$2:R162),2)),IF(OR(Q163="",NOT(ISNUMBER(historico_VU!F163))),"",ROUND(Q163*historico_VU!F163,2)))</f>
        <v/>
      </c>
      <c r="S163" s="38"/>
      <c r="T163" s="39" t="str">
        <f>IF(AND(A163="",A162&lt;&gt;"",COUNTIF(A164:$A$200,"&lt;&gt;")=0),IF(COUNT(T$2:T162)=0,"",ROUND(SUMIF($A$2:A162,"&lt;&gt;",T$2:T162),2)),IF(OR(S163="",NOT(ISNUMBER(historico_VU!G163))),"",ROUND(S163*historico_VU!G163,2)))</f>
        <v/>
      </c>
      <c r="U163" s="86" t="str">
        <f>IF(AND(A163="",A162&lt;&gt;"",COUNTIF(A164:$A$200,"&lt;&gt;")=0),"TOTAL",IF(A163="","",posicao_contratual!X163))</f>
        <v/>
      </c>
      <c r="V163" s="86" t="str">
        <f>IF(A163="","",posicao_contratual!X163)</f>
        <v/>
      </c>
      <c r="W163" s="13"/>
      <c r="X163" s="13"/>
      <c r="Y163" s="13"/>
      <c r="Z163" s="13"/>
      <c r="AA163" s="13"/>
      <c r="AB163" s="85" t="str">
        <f>IF(OR(A163="",posicao_contratual!E163="",posicao_contratual!J163=""),"",ROUND(MAX(posicao_contratual!E163-posicao_contratual!J163,0),2))</f>
        <v/>
      </c>
      <c r="AC163" s="79" t="str">
        <f>IF(AND(A163="",A162&lt;&gt;"",COUNTIF(A164:$A$200,"&lt;&gt;")=0),IF(COUNT(AC$2:AC162)=0,"",ROUND(SUMIF($A$2:A162,"&lt;&gt;",AC$2:AC162),2)),IF(OR(AB163="",NOT(ISNUMBER(historico_VU!C163))),"",ROUND(AB163*historico_VU!C163,2)))</f>
        <v/>
      </c>
      <c r="AD163" s="145" t="str">
        <f>IF(A163="","",posicao_contratual!E163)</f>
        <v/>
      </c>
      <c r="AE163" s="145" t="str">
        <f>IF(A163="","",posicao_contratual!I163)</f>
        <v/>
      </c>
      <c r="AF163" s="145" t="str">
        <f>IF(A163="","",posicao_contratual!M163)</f>
        <v/>
      </c>
      <c r="AG163" s="145" t="str">
        <f>IF(A163="","",posicao_contratual!Q163)</f>
        <v/>
      </c>
      <c r="AH163" s="145" t="str">
        <f>IF(A163="","",posicao_contratual!U163)</f>
        <v/>
      </c>
      <c r="AI163" s="145" t="str">
        <f>IF(A163="","",posicao_contratual!G163)</f>
        <v/>
      </c>
      <c r="AJ163" s="145" t="str">
        <f>IF(A163="","",posicao_contratual!K163)</f>
        <v/>
      </c>
      <c r="AK163" s="145" t="str">
        <f>IF(A163="","",posicao_contratual!O163)</f>
        <v/>
      </c>
      <c r="AL163" s="145" t="str">
        <f>IF(A163="","",posicao_contratual!S163)</f>
        <v/>
      </c>
      <c r="AM163" s="145" t="str">
        <f>IF(A163="","",posicao_contratual!W163)</f>
        <v/>
      </c>
      <c r="AN163" s="146" t="str">
        <f>IF(A163="","",posicao_contratual!X163)</f>
        <v/>
      </c>
      <c r="AO163" t="str">
        <f>IF($A163="","",ROUND(SUMIFS(itens_Consumidos!$E$2:$E$200,itens_Consumidos!$A$2:$A$200,$A163),2))</f>
        <v/>
      </c>
      <c r="AP163" t="str">
        <f t="shared" si="30"/>
        <v/>
      </c>
      <c r="AQ163" t="str">
        <f>IF(OR($A163="",AB163="",MEMORIA_RESULTADOS!$I$258=""),"",ROUND(AB163*$C163*(MEMORIA_RESULTADOS!$I$258-1),2))</f>
        <v/>
      </c>
      <c r="AR163" t="str">
        <f>IF(OR($A163="",AP163="",MEMORIA_RESULTADOS!$I$258=""),"",ROUND(AP163*$C163*(parametros!$F$2-MEMORIA_RESULTADOS!$I$258),2))</f>
        <v/>
      </c>
      <c r="AS163" t="str">
        <f>IF($A163="","",ROUND(SUMIFS(itens_Consumidos!$G$2:$G$200,itens_Consumidos!$A$2:$A$200,$A163),2))</f>
        <v/>
      </c>
      <c r="AT163" t="str">
        <f t="shared" si="31"/>
        <v/>
      </c>
      <c r="AU163" t="str">
        <f>IF(OR($A163="",M163="",MEMORIA_RESULTADOS!$I$259=""),"",ROUND(M163*$C163*(MEMORIA_RESULTADOS!$I$259-1),2))</f>
        <v/>
      </c>
      <c r="AV163" t="str">
        <f>IF(OR($A163="",AT163="",MEMORIA_RESULTADOS!$I$259=""),"",ROUND(AT163*$C163*(parametros!$F$3-MEMORIA_RESULTADOS!$I$259),2))</f>
        <v/>
      </c>
      <c r="AW163" t="str">
        <f>IF($A163="","",ROUND(SUMIFS(itens_Consumidos!$I$2:$I$200,itens_Consumidos!$A$2:$A$200,$A163),2))</f>
        <v/>
      </c>
      <c r="AX163" t="str">
        <f t="shared" si="32"/>
        <v/>
      </c>
      <c r="AY163" t="str">
        <f>IF(OR($A163="",O163="",MEMORIA_RESULTADOS!$I$260=""),"",ROUND(O163*$C163*(MEMORIA_RESULTADOS!$I$260-1),2))</f>
        <v/>
      </c>
      <c r="AZ163" t="str">
        <f>IF(OR($A163="",AX163="",MEMORIA_RESULTADOS!$I$260=""),"",ROUND(AX163*$C163*(parametros!$F$4-MEMORIA_RESULTADOS!$I$260),2))</f>
        <v/>
      </c>
      <c r="BA163" t="str">
        <f>IF($A163="","",ROUND(SUMIFS(itens_Consumidos!$K$2:$K$200,itens_Consumidos!$A$2:$A$200,$A163),2))</f>
        <v/>
      </c>
      <c r="BB163" t="str">
        <f t="shared" si="33"/>
        <v/>
      </c>
      <c r="BC163" t="str">
        <f>IF(OR($A163="",Q163="",MEMORIA_RESULTADOS!$I$261=""),"",ROUND(Q163*$C163*(MEMORIA_RESULTADOS!$I$261-1),2))</f>
        <v/>
      </c>
      <c r="BD163" t="str">
        <f>IF(OR($A163="",BB163="",MEMORIA_RESULTADOS!$I$261=""),"",ROUND(BB163*$C163*(parametros!$F$5-MEMORIA_RESULTADOS!$I$261),2))</f>
        <v/>
      </c>
      <c r="BE163" t="str">
        <f>IF($A163="","",ROUND(SUMIFS(itens_Consumidos!$M$2:$M$200,itens_Consumidos!$A$2:$A$200,$A163),2))</f>
        <v/>
      </c>
      <c r="BF163" t="str">
        <f t="shared" si="34"/>
        <v/>
      </c>
      <c r="BG163" t="str">
        <f>IF(OR($A163="",S163="",MEMORIA_RESULTADOS!$I$262=""),"",ROUND(S163*$C163*(MEMORIA_RESULTADOS!$I$262-1),2))</f>
        <v/>
      </c>
      <c r="BH163" t="str">
        <f>IF(OR($A163="",BF163="",MEMORIA_RESULTADOS!$I$262=""),"",ROUND(BF163*$C163*(parametros!$F$6-MEMORIA_RESULTADOS!$I$262),2))</f>
        <v/>
      </c>
      <c r="BI163" t="str">
        <f>IF($A163="","",IF(posicao_contratual!$AL163="","",posicao_contratual!$AL163))</f>
        <v/>
      </c>
    </row>
    <row r="164" spans="1:61" x14ac:dyDescent="0.35">
      <c r="A164" s="81"/>
      <c r="B164" s="82" t="str">
        <f t="shared" si="29"/>
        <v/>
      </c>
      <c r="C164" s="83"/>
      <c r="D164" s="79" t="str">
        <f>IF(AND(A164="",A163&lt;&gt;"",COUNTIF(A165:$A$200,"&lt;&gt;")=0),ROUND(SUMIF($A$2:A163,"&lt;&gt;",$D$2:D163),2),IF(OR(A164="",B164="",C164=""),"",ROUND(B164*C164,2)))</f>
        <v/>
      </c>
      <c r="E164" s="84"/>
      <c r="F164" s="79" t="str">
        <f>IF(AND(A164="",A163&lt;&gt;"",COUNTIF(A165:$A$200,"&lt;&gt;")=0),IF(COUNT(F$2:F163)=0,"",ROUND(SUMIF($A$2:A163,"&lt;&gt;",F$2:F163),2)),IF(OR(A164="",AND(ISNUMBER(posicao_contratual!$AL164),posicao_contratual!$AL164&gt;1),posicao_contratual!K164="",NOT(ISNUMBER(historico_VU!D164))),"",ROUND(posicao_contratual!K164*historico_VU!D164,2)))</f>
        <v/>
      </c>
      <c r="G164" s="84"/>
      <c r="H164" s="79" t="str">
        <f>IF(AND(A164="",A163&lt;&gt;"",COUNTIF(A165:$A$200,"&lt;&gt;")=0),IF(COUNT(H$2:H163)=0,"",ROUND(SUMIF($A$2:A163,"&lt;&gt;",H$2:H163),2)),IF(OR(A164="",AND(ISNUMBER(posicao_contratual!$AL164),posicao_contratual!$AL164&gt;2),posicao_contratual!O164="",NOT(ISNUMBER(historico_VU!E164))),"",ROUND(posicao_contratual!O164*historico_VU!E164,2)))</f>
        <v/>
      </c>
      <c r="I164" s="84"/>
      <c r="J164" s="79" t="str">
        <f>IF(AND(A164="",A163&lt;&gt;"",COUNTIF(A165:$A$200,"&lt;&gt;")=0),IF(COUNT(J$2:J163)=0,"",ROUND(SUMIF($A$2:A163,"&lt;&gt;",J$2:J163),2)),IF(OR(A164="",AND(ISNUMBER(posicao_contratual!$AL164),posicao_contratual!$AL164&gt;3),posicao_contratual!S164="",NOT(ISNUMBER(historico_VU!F164))),"",ROUND(posicao_contratual!S164*historico_VU!F164,2)))</f>
        <v/>
      </c>
      <c r="K164" s="84"/>
      <c r="L164" s="79" t="str">
        <f>IF(AND(A164="",A163&lt;&gt;"",COUNTIF(A165:$A$200,"&lt;&gt;")=0),IF(COUNT(L$2:L163)=0,"",ROUND(SUMIF($A$2:A163,"&lt;&gt;",L$2:L163),2)),IF(OR(A164="",AND(ISNUMBER(posicao_contratual!$AL164),posicao_contratual!$AL164&gt;4),posicao_contratual!W164="",NOT(ISNUMBER(historico_VU!G164))),"",ROUND(posicao_contratual!W164*historico_VU!G164,2)))</f>
        <v/>
      </c>
      <c r="M164" s="85" t="str">
        <f>IF(OR(posicao_contratual!J164="",posicao_contratual!N164=""),"",ROUND(MAX(posicao_contratual!J164+posicao_contratual!H164-posicao_contratual!N164,0),2))</f>
        <v/>
      </c>
      <c r="N164" s="79" t="str">
        <f>IF(AND(A164="",A163&lt;&gt;"",COUNTIF(A165:$A$200,"&lt;&gt;")=0),IF(COUNT(N$2:N163)=0,"",ROUND(SUMIF($A$2:A163,"&lt;&gt;",N$2:N163),2)),IF(OR(M164="",NOT(ISNUMBER(historico_VU!D164))),"",ROUND(M164*historico_VU!D164,2)))</f>
        <v/>
      </c>
      <c r="O164" s="85" t="str">
        <f>IF(OR(posicao_contratual!N164="",posicao_contratual!R164=""),"",ROUND(MAX(posicao_contratual!N164+posicao_contratual!L164-posicao_contratual!R164,0),2))</f>
        <v/>
      </c>
      <c r="P164" s="79" t="str">
        <f>IF(AND(A164="",A163&lt;&gt;"",COUNTIF(A165:$A$200,"&lt;&gt;")=0),IF(COUNT(P$2:P163)=0,"",ROUND(SUMIF($A$2:A163,"&lt;&gt;",P$2:P163),2)),IF(OR(O164="",NOT(ISNUMBER(historico_VU!E164))),"",ROUND(O164*historico_VU!E164,2)))</f>
        <v/>
      </c>
      <c r="Q164" s="85" t="str">
        <f>IF(OR(posicao_contratual!R164="",posicao_contratual!V164=""),"",ROUND(MAX(posicao_contratual!R164+posicao_contratual!P164-posicao_contratual!V164,0),2))</f>
        <v/>
      </c>
      <c r="R164" s="79" t="str">
        <f>IF(AND(A164="",A163&lt;&gt;"",COUNTIF(A165:$A$200,"&lt;&gt;")=0),IF(COUNT(R$2:R163)=0,"",ROUND(SUMIF($A$2:A163,"&lt;&gt;",R$2:R163),2)),IF(OR(Q164="",NOT(ISNUMBER(historico_VU!F164))),"",ROUND(Q164*historico_VU!F164,2)))</f>
        <v/>
      </c>
      <c r="S164" s="38"/>
      <c r="T164" s="39" t="str">
        <f>IF(AND(A164="",A163&lt;&gt;"",COUNTIF(A165:$A$200,"&lt;&gt;")=0),IF(COUNT(T$2:T163)=0,"",ROUND(SUMIF($A$2:A163,"&lt;&gt;",T$2:T163),2)),IF(OR(S164="",NOT(ISNUMBER(historico_VU!G164))),"",ROUND(S164*historico_VU!G164,2)))</f>
        <v/>
      </c>
      <c r="U164" s="86" t="str">
        <f>IF(AND(A164="",A163&lt;&gt;"",COUNTIF(A165:$A$200,"&lt;&gt;")=0),"TOTAL",IF(A164="","",posicao_contratual!X164))</f>
        <v/>
      </c>
      <c r="V164" s="86" t="str">
        <f>IF(A164="","",posicao_contratual!X164)</f>
        <v/>
      </c>
      <c r="W164" s="13"/>
      <c r="X164" s="13"/>
      <c r="Y164" s="13"/>
      <c r="Z164" s="13"/>
      <c r="AA164" s="13"/>
      <c r="AB164" s="85" t="str">
        <f>IF(OR(A164="",posicao_contratual!E164="",posicao_contratual!J164=""),"",ROUND(MAX(posicao_contratual!E164-posicao_contratual!J164,0),2))</f>
        <v/>
      </c>
      <c r="AC164" s="79" t="str">
        <f>IF(AND(A164="",A163&lt;&gt;"",COUNTIF(A165:$A$200,"&lt;&gt;")=0),IF(COUNT(AC$2:AC163)=0,"",ROUND(SUMIF($A$2:A163,"&lt;&gt;",AC$2:AC163),2)),IF(OR(AB164="",NOT(ISNUMBER(historico_VU!C164))),"",ROUND(AB164*historico_VU!C164,2)))</f>
        <v/>
      </c>
      <c r="AD164" s="145" t="str">
        <f>IF(A164="","",posicao_contratual!E164)</f>
        <v/>
      </c>
      <c r="AE164" s="145" t="str">
        <f>IF(A164="","",posicao_contratual!I164)</f>
        <v/>
      </c>
      <c r="AF164" s="145" t="str">
        <f>IF(A164="","",posicao_contratual!M164)</f>
        <v/>
      </c>
      <c r="AG164" s="145" t="str">
        <f>IF(A164="","",posicao_contratual!Q164)</f>
        <v/>
      </c>
      <c r="AH164" s="145" t="str">
        <f>IF(A164="","",posicao_contratual!U164)</f>
        <v/>
      </c>
      <c r="AI164" s="145" t="str">
        <f>IF(A164="","",posicao_contratual!G164)</f>
        <v/>
      </c>
      <c r="AJ164" s="145" t="str">
        <f>IF(A164="","",posicao_contratual!K164)</f>
        <v/>
      </c>
      <c r="AK164" s="145" t="str">
        <f>IF(A164="","",posicao_contratual!O164)</f>
        <v/>
      </c>
      <c r="AL164" s="145" t="str">
        <f>IF(A164="","",posicao_contratual!S164)</f>
        <v/>
      </c>
      <c r="AM164" s="145" t="str">
        <f>IF(A164="","",posicao_contratual!W164)</f>
        <v/>
      </c>
      <c r="AN164" s="146" t="str">
        <f>IF(A164="","",posicao_contratual!X164)</f>
        <v/>
      </c>
      <c r="AO164" t="str">
        <f>IF($A164="","",ROUND(SUMIFS(itens_Consumidos!$E$2:$E$200,itens_Consumidos!$A$2:$A$200,$A164),2))</f>
        <v/>
      </c>
      <c r="AP164" t="str">
        <f t="shared" si="30"/>
        <v/>
      </c>
      <c r="AQ164" t="str">
        <f>IF(OR($A164="",AB164="",MEMORIA_RESULTADOS!$I$258=""),"",ROUND(AB164*$C164*(MEMORIA_RESULTADOS!$I$258-1),2))</f>
        <v/>
      </c>
      <c r="AR164" t="str">
        <f>IF(OR($A164="",AP164="",MEMORIA_RESULTADOS!$I$258=""),"",ROUND(AP164*$C164*(parametros!$F$2-MEMORIA_RESULTADOS!$I$258),2))</f>
        <v/>
      </c>
      <c r="AS164" t="str">
        <f>IF($A164="","",ROUND(SUMIFS(itens_Consumidos!$G$2:$G$200,itens_Consumidos!$A$2:$A$200,$A164),2))</f>
        <v/>
      </c>
      <c r="AT164" t="str">
        <f t="shared" si="31"/>
        <v/>
      </c>
      <c r="AU164" t="str">
        <f>IF(OR($A164="",M164="",MEMORIA_RESULTADOS!$I$259=""),"",ROUND(M164*$C164*(MEMORIA_RESULTADOS!$I$259-1),2))</f>
        <v/>
      </c>
      <c r="AV164" t="str">
        <f>IF(OR($A164="",AT164="",MEMORIA_RESULTADOS!$I$259=""),"",ROUND(AT164*$C164*(parametros!$F$3-MEMORIA_RESULTADOS!$I$259),2))</f>
        <v/>
      </c>
      <c r="AW164" t="str">
        <f>IF($A164="","",ROUND(SUMIFS(itens_Consumidos!$I$2:$I$200,itens_Consumidos!$A$2:$A$200,$A164),2))</f>
        <v/>
      </c>
      <c r="AX164" t="str">
        <f t="shared" si="32"/>
        <v/>
      </c>
      <c r="AY164" t="str">
        <f>IF(OR($A164="",O164="",MEMORIA_RESULTADOS!$I$260=""),"",ROUND(O164*$C164*(MEMORIA_RESULTADOS!$I$260-1),2))</f>
        <v/>
      </c>
      <c r="AZ164" t="str">
        <f>IF(OR($A164="",AX164="",MEMORIA_RESULTADOS!$I$260=""),"",ROUND(AX164*$C164*(parametros!$F$4-MEMORIA_RESULTADOS!$I$260),2))</f>
        <v/>
      </c>
      <c r="BA164" t="str">
        <f>IF($A164="","",ROUND(SUMIFS(itens_Consumidos!$K$2:$K$200,itens_Consumidos!$A$2:$A$200,$A164),2))</f>
        <v/>
      </c>
      <c r="BB164" t="str">
        <f t="shared" si="33"/>
        <v/>
      </c>
      <c r="BC164" t="str">
        <f>IF(OR($A164="",Q164="",MEMORIA_RESULTADOS!$I$261=""),"",ROUND(Q164*$C164*(MEMORIA_RESULTADOS!$I$261-1),2))</f>
        <v/>
      </c>
      <c r="BD164" t="str">
        <f>IF(OR($A164="",BB164="",MEMORIA_RESULTADOS!$I$261=""),"",ROUND(BB164*$C164*(parametros!$F$5-MEMORIA_RESULTADOS!$I$261),2))</f>
        <v/>
      </c>
      <c r="BE164" t="str">
        <f>IF($A164="","",ROUND(SUMIFS(itens_Consumidos!$M$2:$M$200,itens_Consumidos!$A$2:$A$200,$A164),2))</f>
        <v/>
      </c>
      <c r="BF164" t="str">
        <f t="shared" si="34"/>
        <v/>
      </c>
      <c r="BG164" t="str">
        <f>IF(OR($A164="",S164="",MEMORIA_RESULTADOS!$I$262=""),"",ROUND(S164*$C164*(MEMORIA_RESULTADOS!$I$262-1),2))</f>
        <v/>
      </c>
      <c r="BH164" t="str">
        <f>IF(OR($A164="",BF164="",MEMORIA_RESULTADOS!$I$262=""),"",ROUND(BF164*$C164*(parametros!$F$6-MEMORIA_RESULTADOS!$I$262),2))</f>
        <v/>
      </c>
      <c r="BI164" t="str">
        <f>IF($A164="","",IF(posicao_contratual!$AL164="","",posicao_contratual!$AL164))</f>
        <v/>
      </c>
    </row>
    <row r="165" spans="1:61" x14ac:dyDescent="0.35">
      <c r="A165" s="81"/>
      <c r="B165" s="82" t="str">
        <f t="shared" ref="B165:B200" si="35">IF(AND(LEN(TRIM($A165))=4,LEFT(TRIM($A165),1)="N",ISNUMBER(--MID(TRIM($A165),2,3)),ISERROR(FIND(".",$A165)),ISERROR(FIND(",",$A165)),ISERROR(FIND("-",$A165)),ISERROR(FIND("+",$A165)),ISERROR(SEARCH("E",$A165,2)),ISERROR(FIND(" ",TRIM($A165)))),0,"")</f>
        <v/>
      </c>
      <c r="C165" s="83"/>
      <c r="D165" s="79" t="str">
        <f>IF(AND(A165="",A164&lt;&gt;"",COUNTIF(A166:$A$200,"&lt;&gt;")=0),ROUND(SUMIF($A$2:A164,"&lt;&gt;",$D$2:D164),2),IF(OR(A165="",B165="",C165=""),"",ROUND(B165*C165,2)))</f>
        <v/>
      </c>
      <c r="E165" s="84"/>
      <c r="F165" s="79" t="str">
        <f>IF(AND(A165="",A164&lt;&gt;"",COUNTIF(A166:$A$200,"&lt;&gt;")=0),IF(COUNT(F$2:F164)=0,"",ROUND(SUMIF($A$2:A164,"&lt;&gt;",F$2:F164),2)),IF(OR(A165="",AND(ISNUMBER(posicao_contratual!$AL165),posicao_contratual!$AL165&gt;1),posicao_contratual!K165="",NOT(ISNUMBER(historico_VU!D165))),"",ROUND(posicao_contratual!K165*historico_VU!D165,2)))</f>
        <v/>
      </c>
      <c r="G165" s="84"/>
      <c r="H165" s="79" t="str">
        <f>IF(AND(A165="",A164&lt;&gt;"",COUNTIF(A166:$A$200,"&lt;&gt;")=0),IF(COUNT(H$2:H164)=0,"",ROUND(SUMIF($A$2:A164,"&lt;&gt;",H$2:H164),2)),IF(OR(A165="",AND(ISNUMBER(posicao_contratual!$AL165),posicao_contratual!$AL165&gt;2),posicao_contratual!O165="",NOT(ISNUMBER(historico_VU!E165))),"",ROUND(posicao_contratual!O165*historico_VU!E165,2)))</f>
        <v/>
      </c>
      <c r="I165" s="84"/>
      <c r="J165" s="79" t="str">
        <f>IF(AND(A165="",A164&lt;&gt;"",COUNTIF(A166:$A$200,"&lt;&gt;")=0),IF(COUNT(J$2:J164)=0,"",ROUND(SUMIF($A$2:A164,"&lt;&gt;",J$2:J164),2)),IF(OR(A165="",AND(ISNUMBER(posicao_contratual!$AL165),posicao_contratual!$AL165&gt;3),posicao_contratual!S165="",NOT(ISNUMBER(historico_VU!F165))),"",ROUND(posicao_contratual!S165*historico_VU!F165,2)))</f>
        <v/>
      </c>
      <c r="K165" s="84"/>
      <c r="L165" s="79" t="str">
        <f>IF(AND(A165="",A164&lt;&gt;"",COUNTIF(A166:$A$200,"&lt;&gt;")=0),IF(COUNT(L$2:L164)=0,"",ROUND(SUMIF($A$2:A164,"&lt;&gt;",L$2:L164),2)),IF(OR(A165="",AND(ISNUMBER(posicao_contratual!$AL165),posicao_contratual!$AL165&gt;4),posicao_contratual!W165="",NOT(ISNUMBER(historico_VU!G165))),"",ROUND(posicao_contratual!W165*historico_VU!G165,2)))</f>
        <v/>
      </c>
      <c r="M165" s="85" t="str">
        <f>IF(OR(posicao_contratual!J165="",posicao_contratual!N165=""),"",ROUND(MAX(posicao_contratual!J165+posicao_contratual!H165-posicao_contratual!N165,0),2))</f>
        <v/>
      </c>
      <c r="N165" s="79" t="str">
        <f>IF(AND(A165="",A164&lt;&gt;"",COUNTIF(A166:$A$200,"&lt;&gt;")=0),IF(COUNT(N$2:N164)=0,"",ROUND(SUMIF($A$2:A164,"&lt;&gt;",N$2:N164),2)),IF(OR(M165="",NOT(ISNUMBER(historico_VU!D165))),"",ROUND(M165*historico_VU!D165,2)))</f>
        <v/>
      </c>
      <c r="O165" s="85" t="str">
        <f>IF(OR(posicao_contratual!N165="",posicao_contratual!R165=""),"",ROUND(MAX(posicao_contratual!N165+posicao_contratual!L165-posicao_contratual!R165,0),2))</f>
        <v/>
      </c>
      <c r="P165" s="79" t="str">
        <f>IF(AND(A165="",A164&lt;&gt;"",COUNTIF(A166:$A$200,"&lt;&gt;")=0),IF(COUNT(P$2:P164)=0,"",ROUND(SUMIF($A$2:A164,"&lt;&gt;",P$2:P164),2)),IF(OR(O165="",NOT(ISNUMBER(historico_VU!E165))),"",ROUND(O165*historico_VU!E165,2)))</f>
        <v/>
      </c>
      <c r="Q165" s="85" t="str">
        <f>IF(OR(posicao_contratual!R165="",posicao_contratual!V165=""),"",ROUND(MAX(posicao_contratual!R165+posicao_contratual!P165-posicao_contratual!V165,0),2))</f>
        <v/>
      </c>
      <c r="R165" s="79" t="str">
        <f>IF(AND(A165="",A164&lt;&gt;"",COUNTIF(A166:$A$200,"&lt;&gt;")=0),IF(COUNT(R$2:R164)=0,"",ROUND(SUMIF($A$2:A164,"&lt;&gt;",R$2:R164),2)),IF(OR(Q165="",NOT(ISNUMBER(historico_VU!F165))),"",ROUND(Q165*historico_VU!F165,2)))</f>
        <v/>
      </c>
      <c r="S165" s="38"/>
      <c r="T165" s="39" t="str">
        <f>IF(AND(A165="",A164&lt;&gt;"",COUNTIF(A166:$A$200,"&lt;&gt;")=0),IF(COUNT(T$2:T164)=0,"",ROUND(SUMIF($A$2:A164,"&lt;&gt;",T$2:T164),2)),IF(OR(S165="",NOT(ISNUMBER(historico_VU!G165))),"",ROUND(S165*historico_VU!G165,2)))</f>
        <v/>
      </c>
      <c r="U165" s="86" t="str">
        <f>IF(AND(A165="",A164&lt;&gt;"",COUNTIF(A166:$A$200,"&lt;&gt;")=0),"TOTAL",IF(A165="","",posicao_contratual!X165))</f>
        <v/>
      </c>
      <c r="V165" s="86" t="str">
        <f>IF(A165="","",posicao_contratual!X165)</f>
        <v/>
      </c>
      <c r="W165" s="13"/>
      <c r="X165" s="13"/>
      <c r="Y165" s="13"/>
      <c r="Z165" s="13"/>
      <c r="AA165" s="13"/>
      <c r="AB165" s="85" t="str">
        <f>IF(OR(A165="",posicao_contratual!E165="",posicao_contratual!J165=""),"",ROUND(MAX(posicao_contratual!E165-posicao_contratual!J165,0),2))</f>
        <v/>
      </c>
      <c r="AC165" s="79" t="str">
        <f>IF(AND(A165="",A164&lt;&gt;"",COUNTIF(A166:$A$200,"&lt;&gt;")=0),IF(COUNT(AC$2:AC164)=0,"",ROUND(SUMIF($A$2:A164,"&lt;&gt;",AC$2:AC164),2)),IF(OR(AB165="",NOT(ISNUMBER(historico_VU!C165))),"",ROUND(AB165*historico_VU!C165,2)))</f>
        <v/>
      </c>
      <c r="AD165" s="145" t="str">
        <f>IF(A165="","",posicao_contratual!E165)</f>
        <v/>
      </c>
      <c r="AE165" s="145" t="str">
        <f>IF(A165="","",posicao_contratual!I165)</f>
        <v/>
      </c>
      <c r="AF165" s="145" t="str">
        <f>IF(A165="","",posicao_contratual!M165)</f>
        <v/>
      </c>
      <c r="AG165" s="145" t="str">
        <f>IF(A165="","",posicao_contratual!Q165)</f>
        <v/>
      </c>
      <c r="AH165" s="145" t="str">
        <f>IF(A165="","",posicao_contratual!U165)</f>
        <v/>
      </c>
      <c r="AI165" s="145" t="str">
        <f>IF(A165="","",posicao_contratual!G165)</f>
        <v/>
      </c>
      <c r="AJ165" s="145" t="str">
        <f>IF(A165="","",posicao_contratual!K165)</f>
        <v/>
      </c>
      <c r="AK165" s="145" t="str">
        <f>IF(A165="","",posicao_contratual!O165)</f>
        <v/>
      </c>
      <c r="AL165" s="145" t="str">
        <f>IF(A165="","",posicao_contratual!S165)</f>
        <v/>
      </c>
      <c r="AM165" s="145" t="str">
        <f>IF(A165="","",posicao_contratual!W165)</f>
        <v/>
      </c>
      <c r="AN165" s="146" t="str">
        <f>IF(A165="","",posicao_contratual!X165)</f>
        <v/>
      </c>
      <c r="AO165" t="str">
        <f>IF($A165="","",ROUND(SUMIFS(itens_Consumidos!$E$2:$E$200,itens_Consumidos!$A$2:$A$200,$A165),2))</f>
        <v/>
      </c>
      <c r="AP165" t="str">
        <f t="shared" si="30"/>
        <v/>
      </c>
      <c r="AQ165" t="str">
        <f>IF(OR($A165="",AB165="",MEMORIA_RESULTADOS!$I$258=""),"",ROUND(AB165*$C165*(MEMORIA_RESULTADOS!$I$258-1),2))</f>
        <v/>
      </c>
      <c r="AR165" t="str">
        <f>IF(OR($A165="",AP165="",MEMORIA_RESULTADOS!$I$258=""),"",ROUND(AP165*$C165*(parametros!$F$2-MEMORIA_RESULTADOS!$I$258),2))</f>
        <v/>
      </c>
      <c r="AS165" t="str">
        <f>IF($A165="","",ROUND(SUMIFS(itens_Consumidos!$G$2:$G$200,itens_Consumidos!$A$2:$A$200,$A165),2))</f>
        <v/>
      </c>
      <c r="AT165" t="str">
        <f t="shared" si="31"/>
        <v/>
      </c>
      <c r="AU165" t="str">
        <f>IF(OR($A165="",M165="",MEMORIA_RESULTADOS!$I$259=""),"",ROUND(M165*$C165*(MEMORIA_RESULTADOS!$I$259-1),2))</f>
        <v/>
      </c>
      <c r="AV165" t="str">
        <f>IF(OR($A165="",AT165="",MEMORIA_RESULTADOS!$I$259=""),"",ROUND(AT165*$C165*(parametros!$F$3-MEMORIA_RESULTADOS!$I$259),2))</f>
        <v/>
      </c>
      <c r="AW165" t="str">
        <f>IF($A165="","",ROUND(SUMIFS(itens_Consumidos!$I$2:$I$200,itens_Consumidos!$A$2:$A$200,$A165),2))</f>
        <v/>
      </c>
      <c r="AX165" t="str">
        <f t="shared" si="32"/>
        <v/>
      </c>
      <c r="AY165" t="str">
        <f>IF(OR($A165="",O165="",MEMORIA_RESULTADOS!$I$260=""),"",ROUND(O165*$C165*(MEMORIA_RESULTADOS!$I$260-1),2))</f>
        <v/>
      </c>
      <c r="AZ165" t="str">
        <f>IF(OR($A165="",AX165="",MEMORIA_RESULTADOS!$I$260=""),"",ROUND(AX165*$C165*(parametros!$F$4-MEMORIA_RESULTADOS!$I$260),2))</f>
        <v/>
      </c>
      <c r="BA165" t="str">
        <f>IF($A165="","",ROUND(SUMIFS(itens_Consumidos!$K$2:$K$200,itens_Consumidos!$A$2:$A$200,$A165),2))</f>
        <v/>
      </c>
      <c r="BB165" t="str">
        <f t="shared" si="33"/>
        <v/>
      </c>
      <c r="BC165" t="str">
        <f>IF(OR($A165="",Q165="",MEMORIA_RESULTADOS!$I$261=""),"",ROUND(Q165*$C165*(MEMORIA_RESULTADOS!$I$261-1),2))</f>
        <v/>
      </c>
      <c r="BD165" t="str">
        <f>IF(OR($A165="",BB165="",MEMORIA_RESULTADOS!$I$261=""),"",ROUND(BB165*$C165*(parametros!$F$5-MEMORIA_RESULTADOS!$I$261),2))</f>
        <v/>
      </c>
      <c r="BE165" t="str">
        <f>IF($A165="","",ROUND(SUMIFS(itens_Consumidos!$M$2:$M$200,itens_Consumidos!$A$2:$A$200,$A165),2))</f>
        <v/>
      </c>
      <c r="BF165" t="str">
        <f t="shared" si="34"/>
        <v/>
      </c>
      <c r="BG165" t="str">
        <f>IF(OR($A165="",S165="",MEMORIA_RESULTADOS!$I$262=""),"",ROUND(S165*$C165*(MEMORIA_RESULTADOS!$I$262-1),2))</f>
        <v/>
      </c>
      <c r="BH165" t="str">
        <f>IF(OR($A165="",BF165="",MEMORIA_RESULTADOS!$I$262=""),"",ROUND(BF165*$C165*(parametros!$F$6-MEMORIA_RESULTADOS!$I$262),2))</f>
        <v/>
      </c>
      <c r="BI165" t="str">
        <f>IF($A165="","",IF(posicao_contratual!$AL165="","",posicao_contratual!$AL165))</f>
        <v/>
      </c>
    </row>
    <row r="166" spans="1:61" x14ac:dyDescent="0.35">
      <c r="A166" s="81"/>
      <c r="B166" s="82" t="str">
        <f t="shared" si="35"/>
        <v/>
      </c>
      <c r="C166" s="83"/>
      <c r="D166" s="79" t="str">
        <f>IF(AND(A166="",A165&lt;&gt;"",COUNTIF(A167:$A$200,"&lt;&gt;")=0),ROUND(SUMIF($A$2:A165,"&lt;&gt;",$D$2:D165),2),IF(OR(A166="",B166="",C166=""),"",ROUND(B166*C166,2)))</f>
        <v/>
      </c>
      <c r="E166" s="84"/>
      <c r="F166" s="79" t="str">
        <f>IF(AND(A166="",A165&lt;&gt;"",COUNTIF(A167:$A$200,"&lt;&gt;")=0),IF(COUNT(F$2:F165)=0,"",ROUND(SUMIF($A$2:A165,"&lt;&gt;",F$2:F165),2)),IF(OR(A166="",AND(ISNUMBER(posicao_contratual!$AL166),posicao_contratual!$AL166&gt;1),posicao_contratual!K166="",NOT(ISNUMBER(historico_VU!D166))),"",ROUND(posicao_contratual!K166*historico_VU!D166,2)))</f>
        <v/>
      </c>
      <c r="G166" s="84"/>
      <c r="H166" s="79" t="str">
        <f>IF(AND(A166="",A165&lt;&gt;"",COUNTIF(A167:$A$200,"&lt;&gt;")=0),IF(COUNT(H$2:H165)=0,"",ROUND(SUMIF($A$2:A165,"&lt;&gt;",H$2:H165),2)),IF(OR(A166="",AND(ISNUMBER(posicao_contratual!$AL166),posicao_contratual!$AL166&gt;2),posicao_contratual!O166="",NOT(ISNUMBER(historico_VU!E166))),"",ROUND(posicao_contratual!O166*historico_VU!E166,2)))</f>
        <v/>
      </c>
      <c r="I166" s="84"/>
      <c r="J166" s="79" t="str">
        <f>IF(AND(A166="",A165&lt;&gt;"",COUNTIF(A167:$A$200,"&lt;&gt;")=0),IF(COUNT(J$2:J165)=0,"",ROUND(SUMIF($A$2:A165,"&lt;&gt;",J$2:J165),2)),IF(OR(A166="",AND(ISNUMBER(posicao_contratual!$AL166),posicao_contratual!$AL166&gt;3),posicao_contratual!S166="",NOT(ISNUMBER(historico_VU!F166))),"",ROUND(posicao_contratual!S166*historico_VU!F166,2)))</f>
        <v/>
      </c>
      <c r="K166" s="84"/>
      <c r="L166" s="79" t="str">
        <f>IF(AND(A166="",A165&lt;&gt;"",COUNTIF(A167:$A$200,"&lt;&gt;")=0),IF(COUNT(L$2:L165)=0,"",ROUND(SUMIF($A$2:A165,"&lt;&gt;",L$2:L165),2)),IF(OR(A166="",AND(ISNUMBER(posicao_contratual!$AL166),posicao_contratual!$AL166&gt;4),posicao_contratual!W166="",NOT(ISNUMBER(historico_VU!G166))),"",ROUND(posicao_contratual!W166*historico_VU!G166,2)))</f>
        <v/>
      </c>
      <c r="M166" s="85" t="str">
        <f>IF(OR(posicao_contratual!J166="",posicao_contratual!N166=""),"",ROUND(MAX(posicao_contratual!J166+posicao_contratual!H166-posicao_contratual!N166,0),2))</f>
        <v/>
      </c>
      <c r="N166" s="79" t="str">
        <f>IF(AND(A166="",A165&lt;&gt;"",COUNTIF(A167:$A$200,"&lt;&gt;")=0),IF(COUNT(N$2:N165)=0,"",ROUND(SUMIF($A$2:A165,"&lt;&gt;",N$2:N165),2)),IF(OR(M166="",NOT(ISNUMBER(historico_VU!D166))),"",ROUND(M166*historico_VU!D166,2)))</f>
        <v/>
      </c>
      <c r="O166" s="85" t="str">
        <f>IF(OR(posicao_contratual!N166="",posicao_contratual!R166=""),"",ROUND(MAX(posicao_contratual!N166+posicao_contratual!L166-posicao_contratual!R166,0),2))</f>
        <v/>
      </c>
      <c r="P166" s="79" t="str">
        <f>IF(AND(A166="",A165&lt;&gt;"",COUNTIF(A167:$A$200,"&lt;&gt;")=0),IF(COUNT(P$2:P165)=0,"",ROUND(SUMIF($A$2:A165,"&lt;&gt;",P$2:P165),2)),IF(OR(O166="",NOT(ISNUMBER(historico_VU!E166))),"",ROUND(O166*historico_VU!E166,2)))</f>
        <v/>
      </c>
      <c r="Q166" s="85" t="str">
        <f>IF(OR(posicao_contratual!R166="",posicao_contratual!V166=""),"",ROUND(MAX(posicao_contratual!R166+posicao_contratual!P166-posicao_contratual!V166,0),2))</f>
        <v/>
      </c>
      <c r="R166" s="79" t="str">
        <f>IF(AND(A166="",A165&lt;&gt;"",COUNTIF(A167:$A$200,"&lt;&gt;")=0),IF(COUNT(R$2:R165)=0,"",ROUND(SUMIF($A$2:A165,"&lt;&gt;",R$2:R165),2)),IF(OR(Q166="",NOT(ISNUMBER(historico_VU!F166))),"",ROUND(Q166*historico_VU!F166,2)))</f>
        <v/>
      </c>
      <c r="S166" s="38"/>
      <c r="T166" s="39" t="str">
        <f>IF(AND(A166="",A165&lt;&gt;"",COUNTIF(A167:$A$200,"&lt;&gt;")=0),IF(COUNT(T$2:T165)=0,"",ROUND(SUMIF($A$2:A165,"&lt;&gt;",T$2:T165),2)),IF(OR(S166="",NOT(ISNUMBER(historico_VU!G166))),"",ROUND(S166*historico_VU!G166,2)))</f>
        <v/>
      </c>
      <c r="U166" s="86" t="str">
        <f>IF(AND(A166="",A165&lt;&gt;"",COUNTIF(A167:$A$200,"&lt;&gt;")=0),"TOTAL",IF(A166="","",posicao_contratual!X166))</f>
        <v/>
      </c>
      <c r="V166" s="86" t="str">
        <f>IF(A166="","",posicao_contratual!X166)</f>
        <v/>
      </c>
      <c r="W166" s="13"/>
      <c r="X166" s="13"/>
      <c r="Y166" s="13"/>
      <c r="Z166" s="13"/>
      <c r="AA166" s="13"/>
      <c r="AB166" s="85" t="str">
        <f>IF(OR(A166="",posicao_contratual!E166="",posicao_contratual!J166=""),"",ROUND(MAX(posicao_contratual!E166-posicao_contratual!J166,0),2))</f>
        <v/>
      </c>
      <c r="AC166" s="79" t="str">
        <f>IF(AND(A166="",A165&lt;&gt;"",COUNTIF(A167:$A$200,"&lt;&gt;")=0),IF(COUNT(AC$2:AC165)=0,"",ROUND(SUMIF($A$2:A165,"&lt;&gt;",AC$2:AC165),2)),IF(OR(AB166="",NOT(ISNUMBER(historico_VU!C166))),"",ROUND(AB166*historico_VU!C166,2)))</f>
        <v/>
      </c>
      <c r="AD166" s="145" t="str">
        <f>IF(A166="","",posicao_contratual!E166)</f>
        <v/>
      </c>
      <c r="AE166" s="145" t="str">
        <f>IF(A166="","",posicao_contratual!I166)</f>
        <v/>
      </c>
      <c r="AF166" s="145" t="str">
        <f>IF(A166="","",posicao_contratual!M166)</f>
        <v/>
      </c>
      <c r="AG166" s="145" t="str">
        <f>IF(A166="","",posicao_contratual!Q166)</f>
        <v/>
      </c>
      <c r="AH166" s="145" t="str">
        <f>IF(A166="","",posicao_contratual!U166)</f>
        <v/>
      </c>
      <c r="AI166" s="145" t="str">
        <f>IF(A166="","",posicao_contratual!G166)</f>
        <v/>
      </c>
      <c r="AJ166" s="145" t="str">
        <f>IF(A166="","",posicao_contratual!K166)</f>
        <v/>
      </c>
      <c r="AK166" s="145" t="str">
        <f>IF(A166="","",posicao_contratual!O166)</f>
        <v/>
      </c>
      <c r="AL166" s="145" t="str">
        <f>IF(A166="","",posicao_contratual!S166)</f>
        <v/>
      </c>
      <c r="AM166" s="145" t="str">
        <f>IF(A166="","",posicao_contratual!W166)</f>
        <v/>
      </c>
      <c r="AN166" s="146" t="str">
        <f>IF(A166="","",posicao_contratual!X166)</f>
        <v/>
      </c>
      <c r="AO166" t="str">
        <f>IF($A166="","",ROUND(SUMIFS(itens_Consumidos!$E$2:$E$200,itens_Consumidos!$A$2:$A$200,$A166),2))</f>
        <v/>
      </c>
      <c r="AP166" t="str">
        <f t="shared" si="30"/>
        <v/>
      </c>
      <c r="AQ166" t="str">
        <f>IF(OR($A166="",AB166="",MEMORIA_RESULTADOS!$I$258=""),"",ROUND(AB166*$C166*(MEMORIA_RESULTADOS!$I$258-1),2))</f>
        <v/>
      </c>
      <c r="AR166" t="str">
        <f>IF(OR($A166="",AP166="",MEMORIA_RESULTADOS!$I$258=""),"",ROUND(AP166*$C166*(parametros!$F$2-MEMORIA_RESULTADOS!$I$258),2))</f>
        <v/>
      </c>
      <c r="AS166" t="str">
        <f>IF($A166="","",ROUND(SUMIFS(itens_Consumidos!$G$2:$G$200,itens_Consumidos!$A$2:$A$200,$A166),2))</f>
        <v/>
      </c>
      <c r="AT166" t="str">
        <f t="shared" si="31"/>
        <v/>
      </c>
      <c r="AU166" t="str">
        <f>IF(OR($A166="",M166="",MEMORIA_RESULTADOS!$I$259=""),"",ROUND(M166*$C166*(MEMORIA_RESULTADOS!$I$259-1),2))</f>
        <v/>
      </c>
      <c r="AV166" t="str">
        <f>IF(OR($A166="",AT166="",MEMORIA_RESULTADOS!$I$259=""),"",ROUND(AT166*$C166*(parametros!$F$3-MEMORIA_RESULTADOS!$I$259),2))</f>
        <v/>
      </c>
      <c r="AW166" t="str">
        <f>IF($A166="","",ROUND(SUMIFS(itens_Consumidos!$I$2:$I$200,itens_Consumidos!$A$2:$A$200,$A166),2))</f>
        <v/>
      </c>
      <c r="AX166" t="str">
        <f t="shared" si="32"/>
        <v/>
      </c>
      <c r="AY166" t="str">
        <f>IF(OR($A166="",O166="",MEMORIA_RESULTADOS!$I$260=""),"",ROUND(O166*$C166*(MEMORIA_RESULTADOS!$I$260-1),2))</f>
        <v/>
      </c>
      <c r="AZ166" t="str">
        <f>IF(OR($A166="",AX166="",MEMORIA_RESULTADOS!$I$260=""),"",ROUND(AX166*$C166*(parametros!$F$4-MEMORIA_RESULTADOS!$I$260),2))</f>
        <v/>
      </c>
      <c r="BA166" t="str">
        <f>IF($A166="","",ROUND(SUMIFS(itens_Consumidos!$K$2:$K$200,itens_Consumidos!$A$2:$A$200,$A166),2))</f>
        <v/>
      </c>
      <c r="BB166" t="str">
        <f t="shared" si="33"/>
        <v/>
      </c>
      <c r="BC166" t="str">
        <f>IF(OR($A166="",Q166="",MEMORIA_RESULTADOS!$I$261=""),"",ROUND(Q166*$C166*(MEMORIA_RESULTADOS!$I$261-1),2))</f>
        <v/>
      </c>
      <c r="BD166" t="str">
        <f>IF(OR($A166="",BB166="",MEMORIA_RESULTADOS!$I$261=""),"",ROUND(BB166*$C166*(parametros!$F$5-MEMORIA_RESULTADOS!$I$261),2))</f>
        <v/>
      </c>
      <c r="BE166" t="str">
        <f>IF($A166="","",ROUND(SUMIFS(itens_Consumidos!$M$2:$M$200,itens_Consumidos!$A$2:$A$200,$A166),2))</f>
        <v/>
      </c>
      <c r="BF166" t="str">
        <f t="shared" si="34"/>
        <v/>
      </c>
      <c r="BG166" t="str">
        <f>IF(OR($A166="",S166="",MEMORIA_RESULTADOS!$I$262=""),"",ROUND(S166*$C166*(MEMORIA_RESULTADOS!$I$262-1),2))</f>
        <v/>
      </c>
      <c r="BH166" t="str">
        <f>IF(OR($A166="",BF166="",MEMORIA_RESULTADOS!$I$262=""),"",ROUND(BF166*$C166*(parametros!$F$6-MEMORIA_RESULTADOS!$I$262),2))</f>
        <v/>
      </c>
      <c r="BI166" t="str">
        <f>IF($A166="","",IF(posicao_contratual!$AL166="","",posicao_contratual!$AL166))</f>
        <v/>
      </c>
    </row>
    <row r="167" spans="1:61" x14ac:dyDescent="0.35">
      <c r="A167" s="81"/>
      <c r="B167" s="82" t="str">
        <f t="shared" si="35"/>
        <v/>
      </c>
      <c r="C167" s="83"/>
      <c r="D167" s="79" t="str">
        <f>IF(AND(A167="",A166&lt;&gt;"",COUNTIF(A168:$A$200,"&lt;&gt;")=0),ROUND(SUMIF($A$2:A166,"&lt;&gt;",$D$2:D166),2),IF(OR(A167="",B167="",C167=""),"",ROUND(B167*C167,2)))</f>
        <v/>
      </c>
      <c r="E167" s="84"/>
      <c r="F167" s="79" t="str">
        <f>IF(AND(A167="",A166&lt;&gt;"",COUNTIF(A168:$A$200,"&lt;&gt;")=0),IF(COUNT(F$2:F166)=0,"",ROUND(SUMIF($A$2:A166,"&lt;&gt;",F$2:F166),2)),IF(OR(A167="",AND(ISNUMBER(posicao_contratual!$AL167),posicao_contratual!$AL167&gt;1),posicao_contratual!K167="",NOT(ISNUMBER(historico_VU!D167))),"",ROUND(posicao_contratual!K167*historico_VU!D167,2)))</f>
        <v/>
      </c>
      <c r="G167" s="84"/>
      <c r="H167" s="79" t="str">
        <f>IF(AND(A167="",A166&lt;&gt;"",COUNTIF(A168:$A$200,"&lt;&gt;")=0),IF(COUNT(H$2:H166)=0,"",ROUND(SUMIF($A$2:A166,"&lt;&gt;",H$2:H166),2)),IF(OR(A167="",AND(ISNUMBER(posicao_contratual!$AL167),posicao_contratual!$AL167&gt;2),posicao_contratual!O167="",NOT(ISNUMBER(historico_VU!E167))),"",ROUND(posicao_contratual!O167*historico_VU!E167,2)))</f>
        <v/>
      </c>
      <c r="I167" s="84"/>
      <c r="J167" s="79" t="str">
        <f>IF(AND(A167="",A166&lt;&gt;"",COUNTIF(A168:$A$200,"&lt;&gt;")=0),IF(COUNT(J$2:J166)=0,"",ROUND(SUMIF($A$2:A166,"&lt;&gt;",J$2:J166),2)),IF(OR(A167="",AND(ISNUMBER(posicao_contratual!$AL167),posicao_contratual!$AL167&gt;3),posicao_contratual!S167="",NOT(ISNUMBER(historico_VU!F167))),"",ROUND(posicao_contratual!S167*historico_VU!F167,2)))</f>
        <v/>
      </c>
      <c r="K167" s="84"/>
      <c r="L167" s="79" t="str">
        <f>IF(AND(A167="",A166&lt;&gt;"",COUNTIF(A168:$A$200,"&lt;&gt;")=0),IF(COUNT(L$2:L166)=0,"",ROUND(SUMIF($A$2:A166,"&lt;&gt;",L$2:L166),2)),IF(OR(A167="",AND(ISNUMBER(posicao_contratual!$AL167),posicao_contratual!$AL167&gt;4),posicao_contratual!W167="",NOT(ISNUMBER(historico_VU!G167))),"",ROUND(posicao_contratual!W167*historico_VU!G167,2)))</f>
        <v/>
      </c>
      <c r="M167" s="85" t="str">
        <f>IF(OR(posicao_contratual!J167="",posicao_contratual!N167=""),"",ROUND(MAX(posicao_contratual!J167+posicao_contratual!H167-posicao_contratual!N167,0),2))</f>
        <v/>
      </c>
      <c r="N167" s="79" t="str">
        <f>IF(AND(A167="",A166&lt;&gt;"",COUNTIF(A168:$A$200,"&lt;&gt;")=0),IF(COUNT(N$2:N166)=0,"",ROUND(SUMIF($A$2:A166,"&lt;&gt;",N$2:N166),2)),IF(OR(M167="",NOT(ISNUMBER(historico_VU!D167))),"",ROUND(M167*historico_VU!D167,2)))</f>
        <v/>
      </c>
      <c r="O167" s="85" t="str">
        <f>IF(OR(posicao_contratual!N167="",posicao_contratual!R167=""),"",ROUND(MAX(posicao_contratual!N167+posicao_contratual!L167-posicao_contratual!R167,0),2))</f>
        <v/>
      </c>
      <c r="P167" s="79" t="str">
        <f>IF(AND(A167="",A166&lt;&gt;"",COUNTIF(A168:$A$200,"&lt;&gt;")=0),IF(COUNT(P$2:P166)=0,"",ROUND(SUMIF($A$2:A166,"&lt;&gt;",P$2:P166),2)),IF(OR(O167="",NOT(ISNUMBER(historico_VU!E167))),"",ROUND(O167*historico_VU!E167,2)))</f>
        <v/>
      </c>
      <c r="Q167" s="85" t="str">
        <f>IF(OR(posicao_contratual!R167="",posicao_contratual!V167=""),"",ROUND(MAX(posicao_contratual!R167+posicao_contratual!P167-posicao_contratual!V167,0),2))</f>
        <v/>
      </c>
      <c r="R167" s="79" t="str">
        <f>IF(AND(A167="",A166&lt;&gt;"",COUNTIF(A168:$A$200,"&lt;&gt;")=0),IF(COUNT(R$2:R166)=0,"",ROUND(SUMIF($A$2:A166,"&lt;&gt;",R$2:R166),2)),IF(OR(Q167="",NOT(ISNUMBER(historico_VU!F167))),"",ROUND(Q167*historico_VU!F167,2)))</f>
        <v/>
      </c>
      <c r="S167" s="38"/>
      <c r="T167" s="39" t="str">
        <f>IF(AND(A167="",A166&lt;&gt;"",COUNTIF(A168:$A$200,"&lt;&gt;")=0),IF(COUNT(T$2:T166)=0,"",ROUND(SUMIF($A$2:A166,"&lt;&gt;",T$2:T166),2)),IF(OR(S167="",NOT(ISNUMBER(historico_VU!G167))),"",ROUND(S167*historico_VU!G167,2)))</f>
        <v/>
      </c>
      <c r="U167" s="86" t="str">
        <f>IF(AND(A167="",A166&lt;&gt;"",COUNTIF(A168:$A$200,"&lt;&gt;")=0),"TOTAL",IF(A167="","",posicao_contratual!X167))</f>
        <v/>
      </c>
      <c r="V167" s="86" t="str">
        <f>IF(A167="","",posicao_contratual!X167)</f>
        <v/>
      </c>
      <c r="W167" s="13"/>
      <c r="X167" s="13"/>
      <c r="Y167" s="13"/>
      <c r="Z167" s="13"/>
      <c r="AA167" s="13"/>
      <c r="AB167" s="85" t="str">
        <f>IF(OR(A167="",posicao_contratual!E167="",posicao_contratual!J167=""),"",ROUND(MAX(posicao_contratual!E167-posicao_contratual!J167,0),2))</f>
        <v/>
      </c>
      <c r="AC167" s="79" t="str">
        <f>IF(AND(A167="",A166&lt;&gt;"",COUNTIF(A168:$A$200,"&lt;&gt;")=0),IF(COUNT(AC$2:AC166)=0,"",ROUND(SUMIF($A$2:A166,"&lt;&gt;",AC$2:AC166),2)),IF(OR(AB167="",NOT(ISNUMBER(historico_VU!C167))),"",ROUND(AB167*historico_VU!C167,2)))</f>
        <v/>
      </c>
      <c r="AD167" s="145" t="str">
        <f>IF(A167="","",posicao_contratual!E167)</f>
        <v/>
      </c>
      <c r="AE167" s="145" t="str">
        <f>IF(A167="","",posicao_contratual!I167)</f>
        <v/>
      </c>
      <c r="AF167" s="145" t="str">
        <f>IF(A167="","",posicao_contratual!M167)</f>
        <v/>
      </c>
      <c r="AG167" s="145" t="str">
        <f>IF(A167="","",posicao_contratual!Q167)</f>
        <v/>
      </c>
      <c r="AH167" s="145" t="str">
        <f>IF(A167="","",posicao_contratual!U167)</f>
        <v/>
      </c>
      <c r="AI167" s="145" t="str">
        <f>IF(A167="","",posicao_contratual!G167)</f>
        <v/>
      </c>
      <c r="AJ167" s="145" t="str">
        <f>IF(A167="","",posicao_contratual!K167)</f>
        <v/>
      </c>
      <c r="AK167" s="145" t="str">
        <f>IF(A167="","",posicao_contratual!O167)</f>
        <v/>
      </c>
      <c r="AL167" s="145" t="str">
        <f>IF(A167="","",posicao_contratual!S167)</f>
        <v/>
      </c>
      <c r="AM167" s="145" t="str">
        <f>IF(A167="","",posicao_contratual!W167)</f>
        <v/>
      </c>
      <c r="AN167" s="146" t="str">
        <f>IF(A167="","",posicao_contratual!X167)</f>
        <v/>
      </c>
      <c r="AO167" t="str">
        <f>IF($A167="","",ROUND(SUMIFS(itens_Consumidos!$E$2:$E$200,itens_Consumidos!$A$2:$A$200,$A167),2))</f>
        <v/>
      </c>
      <c r="AP167" t="str">
        <f t="shared" si="30"/>
        <v/>
      </c>
      <c r="AQ167" t="str">
        <f>IF(OR($A167="",AB167="",MEMORIA_RESULTADOS!$I$258=""),"",ROUND(AB167*$C167*(MEMORIA_RESULTADOS!$I$258-1),2))</f>
        <v/>
      </c>
      <c r="AR167" t="str">
        <f>IF(OR($A167="",AP167="",MEMORIA_RESULTADOS!$I$258=""),"",ROUND(AP167*$C167*(parametros!$F$2-MEMORIA_RESULTADOS!$I$258),2))</f>
        <v/>
      </c>
      <c r="AS167" t="str">
        <f>IF($A167="","",ROUND(SUMIFS(itens_Consumidos!$G$2:$G$200,itens_Consumidos!$A$2:$A$200,$A167),2))</f>
        <v/>
      </c>
      <c r="AT167" t="str">
        <f t="shared" si="31"/>
        <v/>
      </c>
      <c r="AU167" t="str">
        <f>IF(OR($A167="",M167="",MEMORIA_RESULTADOS!$I$259=""),"",ROUND(M167*$C167*(MEMORIA_RESULTADOS!$I$259-1),2))</f>
        <v/>
      </c>
      <c r="AV167" t="str">
        <f>IF(OR($A167="",AT167="",MEMORIA_RESULTADOS!$I$259=""),"",ROUND(AT167*$C167*(parametros!$F$3-MEMORIA_RESULTADOS!$I$259),2))</f>
        <v/>
      </c>
      <c r="AW167" t="str">
        <f>IF($A167="","",ROUND(SUMIFS(itens_Consumidos!$I$2:$I$200,itens_Consumidos!$A$2:$A$200,$A167),2))</f>
        <v/>
      </c>
      <c r="AX167" t="str">
        <f t="shared" si="32"/>
        <v/>
      </c>
      <c r="AY167" t="str">
        <f>IF(OR($A167="",O167="",MEMORIA_RESULTADOS!$I$260=""),"",ROUND(O167*$C167*(MEMORIA_RESULTADOS!$I$260-1),2))</f>
        <v/>
      </c>
      <c r="AZ167" t="str">
        <f>IF(OR($A167="",AX167="",MEMORIA_RESULTADOS!$I$260=""),"",ROUND(AX167*$C167*(parametros!$F$4-MEMORIA_RESULTADOS!$I$260),2))</f>
        <v/>
      </c>
      <c r="BA167" t="str">
        <f>IF($A167="","",ROUND(SUMIFS(itens_Consumidos!$K$2:$K$200,itens_Consumidos!$A$2:$A$200,$A167),2))</f>
        <v/>
      </c>
      <c r="BB167" t="str">
        <f t="shared" si="33"/>
        <v/>
      </c>
      <c r="BC167" t="str">
        <f>IF(OR($A167="",Q167="",MEMORIA_RESULTADOS!$I$261=""),"",ROUND(Q167*$C167*(MEMORIA_RESULTADOS!$I$261-1),2))</f>
        <v/>
      </c>
      <c r="BD167" t="str">
        <f>IF(OR($A167="",BB167="",MEMORIA_RESULTADOS!$I$261=""),"",ROUND(BB167*$C167*(parametros!$F$5-MEMORIA_RESULTADOS!$I$261),2))</f>
        <v/>
      </c>
      <c r="BE167" t="str">
        <f>IF($A167="","",ROUND(SUMIFS(itens_Consumidos!$M$2:$M$200,itens_Consumidos!$A$2:$A$200,$A167),2))</f>
        <v/>
      </c>
      <c r="BF167" t="str">
        <f t="shared" si="34"/>
        <v/>
      </c>
      <c r="BG167" t="str">
        <f>IF(OR($A167="",S167="",MEMORIA_RESULTADOS!$I$262=""),"",ROUND(S167*$C167*(MEMORIA_RESULTADOS!$I$262-1),2))</f>
        <v/>
      </c>
      <c r="BH167" t="str">
        <f>IF(OR($A167="",BF167="",MEMORIA_RESULTADOS!$I$262=""),"",ROUND(BF167*$C167*(parametros!$F$6-MEMORIA_RESULTADOS!$I$262),2))</f>
        <v/>
      </c>
      <c r="BI167" t="str">
        <f>IF($A167="","",IF(posicao_contratual!$AL167="","",posicao_contratual!$AL167))</f>
        <v/>
      </c>
    </row>
    <row r="168" spans="1:61" x14ac:dyDescent="0.35">
      <c r="A168" s="81"/>
      <c r="B168" s="82" t="str">
        <f t="shared" si="35"/>
        <v/>
      </c>
      <c r="C168" s="83"/>
      <c r="D168" s="79" t="str">
        <f>IF(AND(A168="",A167&lt;&gt;"",COUNTIF(A169:$A$200,"&lt;&gt;")=0),ROUND(SUMIF($A$2:A167,"&lt;&gt;",$D$2:D167),2),IF(OR(A168="",B168="",C168=""),"",ROUND(B168*C168,2)))</f>
        <v/>
      </c>
      <c r="E168" s="84"/>
      <c r="F168" s="79" t="str">
        <f>IF(AND(A168="",A167&lt;&gt;"",COUNTIF(A169:$A$200,"&lt;&gt;")=0),IF(COUNT(F$2:F167)=0,"",ROUND(SUMIF($A$2:A167,"&lt;&gt;",F$2:F167),2)),IF(OR(A168="",AND(ISNUMBER(posicao_contratual!$AL168),posicao_contratual!$AL168&gt;1),posicao_contratual!K168="",NOT(ISNUMBER(historico_VU!D168))),"",ROUND(posicao_contratual!K168*historico_VU!D168,2)))</f>
        <v/>
      </c>
      <c r="G168" s="84"/>
      <c r="H168" s="79" t="str">
        <f>IF(AND(A168="",A167&lt;&gt;"",COUNTIF(A169:$A$200,"&lt;&gt;")=0),IF(COUNT(H$2:H167)=0,"",ROUND(SUMIF($A$2:A167,"&lt;&gt;",H$2:H167),2)),IF(OR(A168="",AND(ISNUMBER(posicao_contratual!$AL168),posicao_contratual!$AL168&gt;2),posicao_contratual!O168="",NOT(ISNUMBER(historico_VU!E168))),"",ROUND(posicao_contratual!O168*historico_VU!E168,2)))</f>
        <v/>
      </c>
      <c r="I168" s="84"/>
      <c r="J168" s="79" t="str">
        <f>IF(AND(A168="",A167&lt;&gt;"",COUNTIF(A169:$A$200,"&lt;&gt;")=0),IF(COUNT(J$2:J167)=0,"",ROUND(SUMIF($A$2:A167,"&lt;&gt;",J$2:J167),2)),IF(OR(A168="",AND(ISNUMBER(posicao_contratual!$AL168),posicao_contratual!$AL168&gt;3),posicao_contratual!S168="",NOT(ISNUMBER(historico_VU!F168))),"",ROUND(posicao_contratual!S168*historico_VU!F168,2)))</f>
        <v/>
      </c>
      <c r="K168" s="84"/>
      <c r="L168" s="79" t="str">
        <f>IF(AND(A168="",A167&lt;&gt;"",COUNTIF(A169:$A$200,"&lt;&gt;")=0),IF(COUNT(L$2:L167)=0,"",ROUND(SUMIF($A$2:A167,"&lt;&gt;",L$2:L167),2)),IF(OR(A168="",AND(ISNUMBER(posicao_contratual!$AL168),posicao_contratual!$AL168&gt;4),posicao_contratual!W168="",NOT(ISNUMBER(historico_VU!G168))),"",ROUND(posicao_contratual!W168*historico_VU!G168,2)))</f>
        <v/>
      </c>
      <c r="M168" s="85" t="str">
        <f>IF(OR(posicao_contratual!J168="",posicao_contratual!N168=""),"",ROUND(MAX(posicao_contratual!J168+posicao_contratual!H168-posicao_contratual!N168,0),2))</f>
        <v/>
      </c>
      <c r="N168" s="79" t="str">
        <f>IF(AND(A168="",A167&lt;&gt;"",COUNTIF(A169:$A$200,"&lt;&gt;")=0),IF(COUNT(N$2:N167)=0,"",ROUND(SUMIF($A$2:A167,"&lt;&gt;",N$2:N167),2)),IF(OR(M168="",NOT(ISNUMBER(historico_VU!D168))),"",ROUND(M168*historico_VU!D168,2)))</f>
        <v/>
      </c>
      <c r="O168" s="85" t="str">
        <f>IF(OR(posicao_contratual!N168="",posicao_contratual!R168=""),"",ROUND(MAX(posicao_contratual!N168+posicao_contratual!L168-posicao_contratual!R168,0),2))</f>
        <v/>
      </c>
      <c r="P168" s="79" t="str">
        <f>IF(AND(A168="",A167&lt;&gt;"",COUNTIF(A169:$A$200,"&lt;&gt;")=0),IF(COUNT(P$2:P167)=0,"",ROUND(SUMIF($A$2:A167,"&lt;&gt;",P$2:P167),2)),IF(OR(O168="",NOT(ISNUMBER(historico_VU!E168))),"",ROUND(O168*historico_VU!E168,2)))</f>
        <v/>
      </c>
      <c r="Q168" s="85" t="str">
        <f>IF(OR(posicao_contratual!R168="",posicao_contratual!V168=""),"",ROUND(MAX(posicao_contratual!R168+posicao_contratual!P168-posicao_contratual!V168,0),2))</f>
        <v/>
      </c>
      <c r="R168" s="79" t="str">
        <f>IF(AND(A168="",A167&lt;&gt;"",COUNTIF(A169:$A$200,"&lt;&gt;")=0),IF(COUNT(R$2:R167)=0,"",ROUND(SUMIF($A$2:A167,"&lt;&gt;",R$2:R167),2)),IF(OR(Q168="",NOT(ISNUMBER(historico_VU!F168))),"",ROUND(Q168*historico_VU!F168,2)))</f>
        <v/>
      </c>
      <c r="S168" s="38"/>
      <c r="T168" s="39" t="str">
        <f>IF(AND(A168="",A167&lt;&gt;"",COUNTIF(A169:$A$200,"&lt;&gt;")=0),IF(COUNT(T$2:T167)=0,"",ROUND(SUMIF($A$2:A167,"&lt;&gt;",T$2:T167),2)),IF(OR(S168="",NOT(ISNUMBER(historico_VU!G168))),"",ROUND(S168*historico_VU!G168,2)))</f>
        <v/>
      </c>
      <c r="U168" s="86" t="str">
        <f>IF(AND(A168="",A167&lt;&gt;"",COUNTIF(A169:$A$200,"&lt;&gt;")=0),"TOTAL",IF(A168="","",posicao_contratual!X168))</f>
        <v/>
      </c>
      <c r="V168" s="86" t="str">
        <f>IF(A168="","",posicao_contratual!X168)</f>
        <v/>
      </c>
      <c r="W168" s="13"/>
      <c r="X168" s="13"/>
      <c r="Y168" s="13"/>
      <c r="Z168" s="13"/>
      <c r="AA168" s="13"/>
      <c r="AB168" s="85" t="str">
        <f>IF(OR(A168="",posicao_contratual!E168="",posicao_contratual!J168=""),"",ROUND(MAX(posicao_contratual!E168-posicao_contratual!J168,0),2))</f>
        <v/>
      </c>
      <c r="AC168" s="79" t="str">
        <f>IF(AND(A168="",A167&lt;&gt;"",COUNTIF(A169:$A$200,"&lt;&gt;")=0),IF(COUNT(AC$2:AC167)=0,"",ROUND(SUMIF($A$2:A167,"&lt;&gt;",AC$2:AC167),2)),IF(OR(AB168="",NOT(ISNUMBER(historico_VU!C168))),"",ROUND(AB168*historico_VU!C168,2)))</f>
        <v/>
      </c>
      <c r="AD168" s="145" t="str">
        <f>IF(A168="","",posicao_contratual!E168)</f>
        <v/>
      </c>
      <c r="AE168" s="145" t="str">
        <f>IF(A168="","",posicao_contratual!I168)</f>
        <v/>
      </c>
      <c r="AF168" s="145" t="str">
        <f>IF(A168="","",posicao_contratual!M168)</f>
        <v/>
      </c>
      <c r="AG168" s="145" t="str">
        <f>IF(A168="","",posicao_contratual!Q168)</f>
        <v/>
      </c>
      <c r="AH168" s="145" t="str">
        <f>IF(A168="","",posicao_contratual!U168)</f>
        <v/>
      </c>
      <c r="AI168" s="145" t="str">
        <f>IF(A168="","",posicao_contratual!G168)</f>
        <v/>
      </c>
      <c r="AJ168" s="145" t="str">
        <f>IF(A168="","",posicao_contratual!K168)</f>
        <v/>
      </c>
      <c r="AK168" s="145" t="str">
        <f>IF(A168="","",posicao_contratual!O168)</f>
        <v/>
      </c>
      <c r="AL168" s="145" t="str">
        <f>IF(A168="","",posicao_contratual!S168)</f>
        <v/>
      </c>
      <c r="AM168" s="145" t="str">
        <f>IF(A168="","",posicao_contratual!W168)</f>
        <v/>
      </c>
      <c r="AN168" s="146" t="str">
        <f>IF(A168="","",posicao_contratual!X168)</f>
        <v/>
      </c>
      <c r="AO168" t="str">
        <f>IF($A168="","",ROUND(SUMIFS(itens_Consumidos!$E$2:$E$200,itens_Consumidos!$A$2:$A$200,$A168),2))</f>
        <v/>
      </c>
      <c r="AP168" t="str">
        <f t="shared" si="30"/>
        <v/>
      </c>
      <c r="AQ168" t="str">
        <f>IF(OR($A168="",AB168="",MEMORIA_RESULTADOS!$I$258=""),"",ROUND(AB168*$C168*(MEMORIA_RESULTADOS!$I$258-1),2))</f>
        <v/>
      </c>
      <c r="AR168" t="str">
        <f>IF(OR($A168="",AP168="",MEMORIA_RESULTADOS!$I$258=""),"",ROUND(AP168*$C168*(parametros!$F$2-MEMORIA_RESULTADOS!$I$258),2))</f>
        <v/>
      </c>
      <c r="AS168" t="str">
        <f>IF($A168="","",ROUND(SUMIFS(itens_Consumidos!$G$2:$G$200,itens_Consumidos!$A$2:$A$200,$A168),2))</f>
        <v/>
      </c>
      <c r="AT168" t="str">
        <f t="shared" si="31"/>
        <v/>
      </c>
      <c r="AU168" t="str">
        <f>IF(OR($A168="",M168="",MEMORIA_RESULTADOS!$I$259=""),"",ROUND(M168*$C168*(MEMORIA_RESULTADOS!$I$259-1),2))</f>
        <v/>
      </c>
      <c r="AV168" t="str">
        <f>IF(OR($A168="",AT168="",MEMORIA_RESULTADOS!$I$259=""),"",ROUND(AT168*$C168*(parametros!$F$3-MEMORIA_RESULTADOS!$I$259),2))</f>
        <v/>
      </c>
      <c r="AW168" t="str">
        <f>IF($A168="","",ROUND(SUMIFS(itens_Consumidos!$I$2:$I$200,itens_Consumidos!$A$2:$A$200,$A168),2))</f>
        <v/>
      </c>
      <c r="AX168" t="str">
        <f t="shared" si="32"/>
        <v/>
      </c>
      <c r="AY168" t="str">
        <f>IF(OR($A168="",O168="",MEMORIA_RESULTADOS!$I$260=""),"",ROUND(O168*$C168*(MEMORIA_RESULTADOS!$I$260-1),2))</f>
        <v/>
      </c>
      <c r="AZ168" t="str">
        <f>IF(OR($A168="",AX168="",MEMORIA_RESULTADOS!$I$260=""),"",ROUND(AX168*$C168*(parametros!$F$4-MEMORIA_RESULTADOS!$I$260),2))</f>
        <v/>
      </c>
      <c r="BA168" t="str">
        <f>IF($A168="","",ROUND(SUMIFS(itens_Consumidos!$K$2:$K$200,itens_Consumidos!$A$2:$A$200,$A168),2))</f>
        <v/>
      </c>
      <c r="BB168" t="str">
        <f t="shared" si="33"/>
        <v/>
      </c>
      <c r="BC168" t="str">
        <f>IF(OR($A168="",Q168="",MEMORIA_RESULTADOS!$I$261=""),"",ROUND(Q168*$C168*(MEMORIA_RESULTADOS!$I$261-1),2))</f>
        <v/>
      </c>
      <c r="BD168" t="str">
        <f>IF(OR($A168="",BB168="",MEMORIA_RESULTADOS!$I$261=""),"",ROUND(BB168*$C168*(parametros!$F$5-MEMORIA_RESULTADOS!$I$261),2))</f>
        <v/>
      </c>
      <c r="BE168" t="str">
        <f>IF($A168="","",ROUND(SUMIFS(itens_Consumidos!$M$2:$M$200,itens_Consumidos!$A$2:$A$200,$A168),2))</f>
        <v/>
      </c>
      <c r="BF168" t="str">
        <f t="shared" si="34"/>
        <v/>
      </c>
      <c r="BG168" t="str">
        <f>IF(OR($A168="",S168="",MEMORIA_RESULTADOS!$I$262=""),"",ROUND(S168*$C168*(MEMORIA_RESULTADOS!$I$262-1),2))</f>
        <v/>
      </c>
      <c r="BH168" t="str">
        <f>IF(OR($A168="",BF168="",MEMORIA_RESULTADOS!$I$262=""),"",ROUND(BF168*$C168*(parametros!$F$6-MEMORIA_RESULTADOS!$I$262),2))</f>
        <v/>
      </c>
      <c r="BI168" t="str">
        <f>IF($A168="","",IF(posicao_contratual!$AL168="","",posicao_contratual!$AL168))</f>
        <v/>
      </c>
    </row>
    <row r="169" spans="1:61" x14ac:dyDescent="0.35">
      <c r="A169" s="81"/>
      <c r="B169" s="82" t="str">
        <f t="shared" si="35"/>
        <v/>
      </c>
      <c r="C169" s="83"/>
      <c r="D169" s="79" t="str">
        <f>IF(AND(A169="",A168&lt;&gt;"",COUNTIF(A170:$A$200,"&lt;&gt;")=0),ROUND(SUMIF($A$2:A168,"&lt;&gt;",$D$2:D168),2),IF(OR(A169="",B169="",C169=""),"",ROUND(B169*C169,2)))</f>
        <v/>
      </c>
      <c r="E169" s="84"/>
      <c r="F169" s="79" t="str">
        <f>IF(AND(A169="",A168&lt;&gt;"",COUNTIF(A170:$A$200,"&lt;&gt;")=0),IF(COUNT(F$2:F168)=0,"",ROUND(SUMIF($A$2:A168,"&lt;&gt;",F$2:F168),2)),IF(OR(A169="",AND(ISNUMBER(posicao_contratual!$AL169),posicao_contratual!$AL169&gt;1),posicao_contratual!K169="",NOT(ISNUMBER(historico_VU!D169))),"",ROUND(posicao_contratual!K169*historico_VU!D169,2)))</f>
        <v/>
      </c>
      <c r="G169" s="84"/>
      <c r="H169" s="79" t="str">
        <f>IF(AND(A169="",A168&lt;&gt;"",COUNTIF(A170:$A$200,"&lt;&gt;")=0),IF(COUNT(H$2:H168)=0,"",ROUND(SUMIF($A$2:A168,"&lt;&gt;",H$2:H168),2)),IF(OR(A169="",AND(ISNUMBER(posicao_contratual!$AL169),posicao_contratual!$AL169&gt;2),posicao_contratual!O169="",NOT(ISNUMBER(historico_VU!E169))),"",ROUND(posicao_contratual!O169*historico_VU!E169,2)))</f>
        <v/>
      </c>
      <c r="I169" s="84"/>
      <c r="J169" s="79" t="str">
        <f>IF(AND(A169="",A168&lt;&gt;"",COUNTIF(A170:$A$200,"&lt;&gt;")=0),IF(COUNT(J$2:J168)=0,"",ROUND(SUMIF($A$2:A168,"&lt;&gt;",J$2:J168),2)),IF(OR(A169="",AND(ISNUMBER(posicao_contratual!$AL169),posicao_contratual!$AL169&gt;3),posicao_contratual!S169="",NOT(ISNUMBER(historico_VU!F169))),"",ROUND(posicao_contratual!S169*historico_VU!F169,2)))</f>
        <v/>
      </c>
      <c r="K169" s="84"/>
      <c r="L169" s="79" t="str">
        <f>IF(AND(A169="",A168&lt;&gt;"",COUNTIF(A170:$A$200,"&lt;&gt;")=0),IF(COUNT(L$2:L168)=0,"",ROUND(SUMIF($A$2:A168,"&lt;&gt;",L$2:L168),2)),IF(OR(A169="",AND(ISNUMBER(posicao_contratual!$AL169),posicao_contratual!$AL169&gt;4),posicao_contratual!W169="",NOT(ISNUMBER(historico_VU!G169))),"",ROUND(posicao_contratual!W169*historico_VU!G169,2)))</f>
        <v/>
      </c>
      <c r="M169" s="85" t="str">
        <f>IF(OR(posicao_contratual!J169="",posicao_contratual!N169=""),"",ROUND(MAX(posicao_contratual!J169+posicao_contratual!H169-posicao_contratual!N169,0),2))</f>
        <v/>
      </c>
      <c r="N169" s="79" t="str">
        <f>IF(AND(A169="",A168&lt;&gt;"",COUNTIF(A170:$A$200,"&lt;&gt;")=0),IF(COUNT(N$2:N168)=0,"",ROUND(SUMIF($A$2:A168,"&lt;&gt;",N$2:N168),2)),IF(OR(M169="",NOT(ISNUMBER(historico_VU!D169))),"",ROUND(M169*historico_VU!D169,2)))</f>
        <v/>
      </c>
      <c r="O169" s="85" t="str">
        <f>IF(OR(posicao_contratual!N169="",posicao_contratual!R169=""),"",ROUND(MAX(posicao_contratual!N169+posicao_contratual!L169-posicao_contratual!R169,0),2))</f>
        <v/>
      </c>
      <c r="P169" s="79" t="str">
        <f>IF(AND(A169="",A168&lt;&gt;"",COUNTIF(A170:$A$200,"&lt;&gt;")=0),IF(COUNT(P$2:P168)=0,"",ROUND(SUMIF($A$2:A168,"&lt;&gt;",P$2:P168),2)),IF(OR(O169="",NOT(ISNUMBER(historico_VU!E169))),"",ROUND(O169*historico_VU!E169,2)))</f>
        <v/>
      </c>
      <c r="Q169" s="85" t="str">
        <f>IF(OR(posicao_contratual!R169="",posicao_contratual!V169=""),"",ROUND(MAX(posicao_contratual!R169+posicao_contratual!P169-posicao_contratual!V169,0),2))</f>
        <v/>
      </c>
      <c r="R169" s="79" t="str">
        <f>IF(AND(A169="",A168&lt;&gt;"",COUNTIF(A170:$A$200,"&lt;&gt;")=0),IF(COUNT(R$2:R168)=0,"",ROUND(SUMIF($A$2:A168,"&lt;&gt;",R$2:R168),2)),IF(OR(Q169="",NOT(ISNUMBER(historico_VU!F169))),"",ROUND(Q169*historico_VU!F169,2)))</f>
        <v/>
      </c>
      <c r="S169" s="38"/>
      <c r="T169" s="39" t="str">
        <f>IF(AND(A169="",A168&lt;&gt;"",COUNTIF(A170:$A$200,"&lt;&gt;")=0),IF(COUNT(T$2:T168)=0,"",ROUND(SUMIF($A$2:A168,"&lt;&gt;",T$2:T168),2)),IF(OR(S169="",NOT(ISNUMBER(historico_VU!G169))),"",ROUND(S169*historico_VU!G169,2)))</f>
        <v/>
      </c>
      <c r="U169" s="86" t="str">
        <f>IF(AND(A169="",A168&lt;&gt;"",COUNTIF(A170:$A$200,"&lt;&gt;")=0),"TOTAL",IF(A169="","",posicao_contratual!X169))</f>
        <v/>
      </c>
      <c r="V169" s="86" t="str">
        <f>IF(A169="","",posicao_contratual!X169)</f>
        <v/>
      </c>
      <c r="W169" s="13"/>
      <c r="X169" s="13"/>
      <c r="Y169" s="13"/>
      <c r="Z169" s="13"/>
      <c r="AA169" s="13"/>
      <c r="AB169" s="85" t="str">
        <f>IF(OR(A169="",posicao_contratual!E169="",posicao_contratual!J169=""),"",ROUND(MAX(posicao_contratual!E169-posicao_contratual!J169,0),2))</f>
        <v/>
      </c>
      <c r="AC169" s="79" t="str">
        <f>IF(AND(A169="",A168&lt;&gt;"",COUNTIF(A170:$A$200,"&lt;&gt;")=0),IF(COUNT(AC$2:AC168)=0,"",ROUND(SUMIF($A$2:A168,"&lt;&gt;",AC$2:AC168),2)),IF(OR(AB169="",NOT(ISNUMBER(historico_VU!C169))),"",ROUND(AB169*historico_VU!C169,2)))</f>
        <v/>
      </c>
      <c r="AD169" s="145" t="str">
        <f>IF(A169="","",posicao_contratual!E169)</f>
        <v/>
      </c>
      <c r="AE169" s="145" t="str">
        <f>IF(A169="","",posicao_contratual!I169)</f>
        <v/>
      </c>
      <c r="AF169" s="145" t="str">
        <f>IF(A169="","",posicao_contratual!M169)</f>
        <v/>
      </c>
      <c r="AG169" s="145" t="str">
        <f>IF(A169="","",posicao_contratual!Q169)</f>
        <v/>
      </c>
      <c r="AH169" s="145" t="str">
        <f>IF(A169="","",posicao_contratual!U169)</f>
        <v/>
      </c>
      <c r="AI169" s="145" t="str">
        <f>IF(A169="","",posicao_contratual!G169)</f>
        <v/>
      </c>
      <c r="AJ169" s="145" t="str">
        <f>IF(A169="","",posicao_contratual!K169)</f>
        <v/>
      </c>
      <c r="AK169" s="145" t="str">
        <f>IF(A169="","",posicao_contratual!O169)</f>
        <v/>
      </c>
      <c r="AL169" s="145" t="str">
        <f>IF(A169="","",posicao_contratual!S169)</f>
        <v/>
      </c>
      <c r="AM169" s="145" t="str">
        <f>IF(A169="","",posicao_contratual!W169)</f>
        <v/>
      </c>
      <c r="AN169" s="146" t="str">
        <f>IF(A169="","",posicao_contratual!X169)</f>
        <v/>
      </c>
      <c r="AO169" t="str">
        <f>IF($A169="","",ROUND(SUMIFS(itens_Consumidos!$E$2:$E$200,itens_Consumidos!$A$2:$A$200,$A169),2))</f>
        <v/>
      </c>
      <c r="AP169" t="str">
        <f t="shared" si="30"/>
        <v/>
      </c>
      <c r="AQ169" t="str">
        <f>IF(OR($A169="",AB169="",MEMORIA_RESULTADOS!$I$258=""),"",ROUND(AB169*$C169*(MEMORIA_RESULTADOS!$I$258-1),2))</f>
        <v/>
      </c>
      <c r="AR169" t="str">
        <f>IF(OR($A169="",AP169="",MEMORIA_RESULTADOS!$I$258=""),"",ROUND(AP169*$C169*(parametros!$F$2-MEMORIA_RESULTADOS!$I$258),2))</f>
        <v/>
      </c>
      <c r="AS169" t="str">
        <f>IF($A169="","",ROUND(SUMIFS(itens_Consumidos!$G$2:$G$200,itens_Consumidos!$A$2:$A$200,$A169),2))</f>
        <v/>
      </c>
      <c r="AT169" t="str">
        <f t="shared" si="31"/>
        <v/>
      </c>
      <c r="AU169" t="str">
        <f>IF(OR($A169="",M169="",MEMORIA_RESULTADOS!$I$259=""),"",ROUND(M169*$C169*(MEMORIA_RESULTADOS!$I$259-1),2))</f>
        <v/>
      </c>
      <c r="AV169" t="str">
        <f>IF(OR($A169="",AT169="",MEMORIA_RESULTADOS!$I$259=""),"",ROUND(AT169*$C169*(parametros!$F$3-MEMORIA_RESULTADOS!$I$259),2))</f>
        <v/>
      </c>
      <c r="AW169" t="str">
        <f>IF($A169="","",ROUND(SUMIFS(itens_Consumidos!$I$2:$I$200,itens_Consumidos!$A$2:$A$200,$A169),2))</f>
        <v/>
      </c>
      <c r="AX169" t="str">
        <f t="shared" si="32"/>
        <v/>
      </c>
      <c r="AY169" t="str">
        <f>IF(OR($A169="",O169="",MEMORIA_RESULTADOS!$I$260=""),"",ROUND(O169*$C169*(MEMORIA_RESULTADOS!$I$260-1),2))</f>
        <v/>
      </c>
      <c r="AZ169" t="str">
        <f>IF(OR($A169="",AX169="",MEMORIA_RESULTADOS!$I$260=""),"",ROUND(AX169*$C169*(parametros!$F$4-MEMORIA_RESULTADOS!$I$260),2))</f>
        <v/>
      </c>
      <c r="BA169" t="str">
        <f>IF($A169="","",ROUND(SUMIFS(itens_Consumidos!$K$2:$K$200,itens_Consumidos!$A$2:$A$200,$A169),2))</f>
        <v/>
      </c>
      <c r="BB169" t="str">
        <f t="shared" si="33"/>
        <v/>
      </c>
      <c r="BC169" t="str">
        <f>IF(OR($A169="",Q169="",MEMORIA_RESULTADOS!$I$261=""),"",ROUND(Q169*$C169*(MEMORIA_RESULTADOS!$I$261-1),2))</f>
        <v/>
      </c>
      <c r="BD169" t="str">
        <f>IF(OR($A169="",BB169="",MEMORIA_RESULTADOS!$I$261=""),"",ROUND(BB169*$C169*(parametros!$F$5-MEMORIA_RESULTADOS!$I$261),2))</f>
        <v/>
      </c>
      <c r="BE169" t="str">
        <f>IF($A169="","",ROUND(SUMIFS(itens_Consumidos!$M$2:$M$200,itens_Consumidos!$A$2:$A$200,$A169),2))</f>
        <v/>
      </c>
      <c r="BF169" t="str">
        <f t="shared" si="34"/>
        <v/>
      </c>
      <c r="BG169" t="str">
        <f>IF(OR($A169="",S169="",MEMORIA_RESULTADOS!$I$262=""),"",ROUND(S169*$C169*(MEMORIA_RESULTADOS!$I$262-1),2))</f>
        <v/>
      </c>
      <c r="BH169" t="str">
        <f>IF(OR($A169="",BF169="",MEMORIA_RESULTADOS!$I$262=""),"",ROUND(BF169*$C169*(parametros!$F$6-MEMORIA_RESULTADOS!$I$262),2))</f>
        <v/>
      </c>
      <c r="BI169" t="str">
        <f>IF($A169="","",IF(posicao_contratual!$AL169="","",posicao_contratual!$AL169))</f>
        <v/>
      </c>
    </row>
    <row r="170" spans="1:61" x14ac:dyDescent="0.35">
      <c r="A170" s="81"/>
      <c r="B170" s="82" t="str">
        <f t="shared" si="35"/>
        <v/>
      </c>
      <c r="C170" s="83"/>
      <c r="D170" s="79" t="str">
        <f>IF(AND(A170="",A169&lt;&gt;"",COUNTIF(A171:$A$200,"&lt;&gt;")=0),ROUND(SUMIF($A$2:A169,"&lt;&gt;",$D$2:D169),2),IF(OR(A170="",B170="",C170=""),"",ROUND(B170*C170,2)))</f>
        <v/>
      </c>
      <c r="E170" s="84"/>
      <c r="F170" s="79" t="str">
        <f>IF(AND(A170="",A169&lt;&gt;"",COUNTIF(A171:$A$200,"&lt;&gt;")=0),IF(COUNT(F$2:F169)=0,"",ROUND(SUMIF($A$2:A169,"&lt;&gt;",F$2:F169),2)),IF(OR(A170="",AND(ISNUMBER(posicao_contratual!$AL170),posicao_contratual!$AL170&gt;1),posicao_contratual!K170="",NOT(ISNUMBER(historico_VU!D170))),"",ROUND(posicao_contratual!K170*historico_VU!D170,2)))</f>
        <v/>
      </c>
      <c r="G170" s="84"/>
      <c r="H170" s="79" t="str">
        <f>IF(AND(A170="",A169&lt;&gt;"",COUNTIF(A171:$A$200,"&lt;&gt;")=0),IF(COUNT(H$2:H169)=0,"",ROUND(SUMIF($A$2:A169,"&lt;&gt;",H$2:H169),2)),IF(OR(A170="",AND(ISNUMBER(posicao_contratual!$AL170),posicao_contratual!$AL170&gt;2),posicao_contratual!O170="",NOT(ISNUMBER(historico_VU!E170))),"",ROUND(posicao_contratual!O170*historico_VU!E170,2)))</f>
        <v/>
      </c>
      <c r="I170" s="84"/>
      <c r="J170" s="79" t="str">
        <f>IF(AND(A170="",A169&lt;&gt;"",COUNTIF(A171:$A$200,"&lt;&gt;")=0),IF(COUNT(J$2:J169)=0,"",ROUND(SUMIF($A$2:A169,"&lt;&gt;",J$2:J169),2)),IF(OR(A170="",AND(ISNUMBER(posicao_contratual!$AL170),posicao_contratual!$AL170&gt;3),posicao_contratual!S170="",NOT(ISNUMBER(historico_VU!F170))),"",ROUND(posicao_contratual!S170*historico_VU!F170,2)))</f>
        <v/>
      </c>
      <c r="K170" s="84"/>
      <c r="L170" s="79" t="str">
        <f>IF(AND(A170="",A169&lt;&gt;"",COUNTIF(A171:$A$200,"&lt;&gt;")=0),IF(COUNT(L$2:L169)=0,"",ROUND(SUMIF($A$2:A169,"&lt;&gt;",L$2:L169),2)),IF(OR(A170="",AND(ISNUMBER(posicao_contratual!$AL170),posicao_contratual!$AL170&gt;4),posicao_contratual!W170="",NOT(ISNUMBER(historico_VU!G170))),"",ROUND(posicao_contratual!W170*historico_VU!G170,2)))</f>
        <v/>
      </c>
      <c r="M170" s="85" t="str">
        <f>IF(OR(posicao_contratual!J170="",posicao_contratual!N170=""),"",ROUND(MAX(posicao_contratual!J170+posicao_contratual!H170-posicao_contratual!N170,0),2))</f>
        <v/>
      </c>
      <c r="N170" s="79" t="str">
        <f>IF(AND(A170="",A169&lt;&gt;"",COUNTIF(A171:$A$200,"&lt;&gt;")=0),IF(COUNT(N$2:N169)=0,"",ROUND(SUMIF($A$2:A169,"&lt;&gt;",N$2:N169),2)),IF(OR(M170="",NOT(ISNUMBER(historico_VU!D170))),"",ROUND(M170*historico_VU!D170,2)))</f>
        <v/>
      </c>
      <c r="O170" s="85" t="str">
        <f>IF(OR(posicao_contratual!N170="",posicao_contratual!R170=""),"",ROUND(MAX(posicao_contratual!N170+posicao_contratual!L170-posicao_contratual!R170,0),2))</f>
        <v/>
      </c>
      <c r="P170" s="79" t="str">
        <f>IF(AND(A170="",A169&lt;&gt;"",COUNTIF(A171:$A$200,"&lt;&gt;")=0),IF(COUNT(P$2:P169)=0,"",ROUND(SUMIF($A$2:A169,"&lt;&gt;",P$2:P169),2)),IF(OR(O170="",NOT(ISNUMBER(historico_VU!E170))),"",ROUND(O170*historico_VU!E170,2)))</f>
        <v/>
      </c>
      <c r="Q170" s="85" t="str">
        <f>IF(OR(posicao_contratual!R170="",posicao_contratual!V170=""),"",ROUND(MAX(posicao_contratual!R170+posicao_contratual!P170-posicao_contratual!V170,0),2))</f>
        <v/>
      </c>
      <c r="R170" s="79" t="str">
        <f>IF(AND(A170="",A169&lt;&gt;"",COUNTIF(A171:$A$200,"&lt;&gt;")=0),IF(COUNT(R$2:R169)=0,"",ROUND(SUMIF($A$2:A169,"&lt;&gt;",R$2:R169),2)),IF(OR(Q170="",NOT(ISNUMBER(historico_VU!F170))),"",ROUND(Q170*historico_VU!F170,2)))</f>
        <v/>
      </c>
      <c r="S170" s="38"/>
      <c r="T170" s="39" t="str">
        <f>IF(AND(A170="",A169&lt;&gt;"",COUNTIF(A171:$A$200,"&lt;&gt;")=0),IF(COUNT(T$2:T169)=0,"",ROUND(SUMIF($A$2:A169,"&lt;&gt;",T$2:T169),2)),IF(OR(S170="",NOT(ISNUMBER(historico_VU!G170))),"",ROUND(S170*historico_VU!G170,2)))</f>
        <v/>
      </c>
      <c r="U170" s="86" t="str">
        <f>IF(AND(A170="",A169&lt;&gt;"",COUNTIF(A171:$A$200,"&lt;&gt;")=0),"TOTAL",IF(A170="","",posicao_contratual!X170))</f>
        <v/>
      </c>
      <c r="V170" s="86" t="str">
        <f>IF(A170="","",posicao_contratual!X170)</f>
        <v/>
      </c>
      <c r="W170" s="13"/>
      <c r="X170" s="13"/>
      <c r="Y170" s="13"/>
      <c r="Z170" s="13"/>
      <c r="AA170" s="13"/>
      <c r="AB170" s="85" t="str">
        <f>IF(OR(A170="",posicao_contratual!E170="",posicao_contratual!J170=""),"",ROUND(MAX(posicao_contratual!E170-posicao_contratual!J170,0),2))</f>
        <v/>
      </c>
      <c r="AC170" s="79" t="str">
        <f>IF(AND(A170="",A169&lt;&gt;"",COUNTIF(A171:$A$200,"&lt;&gt;")=0),IF(COUNT(AC$2:AC169)=0,"",ROUND(SUMIF($A$2:A169,"&lt;&gt;",AC$2:AC169),2)),IF(OR(AB170="",NOT(ISNUMBER(historico_VU!C170))),"",ROUND(AB170*historico_VU!C170,2)))</f>
        <v/>
      </c>
      <c r="AD170" s="145" t="str">
        <f>IF(A170="","",posicao_contratual!E170)</f>
        <v/>
      </c>
      <c r="AE170" s="145" t="str">
        <f>IF(A170="","",posicao_contratual!I170)</f>
        <v/>
      </c>
      <c r="AF170" s="145" t="str">
        <f>IF(A170="","",posicao_contratual!M170)</f>
        <v/>
      </c>
      <c r="AG170" s="145" t="str">
        <f>IF(A170="","",posicao_contratual!Q170)</f>
        <v/>
      </c>
      <c r="AH170" s="145" t="str">
        <f>IF(A170="","",posicao_contratual!U170)</f>
        <v/>
      </c>
      <c r="AI170" s="145" t="str">
        <f>IF(A170="","",posicao_contratual!G170)</f>
        <v/>
      </c>
      <c r="AJ170" s="145" t="str">
        <f>IF(A170="","",posicao_contratual!K170)</f>
        <v/>
      </c>
      <c r="AK170" s="145" t="str">
        <f>IF(A170="","",posicao_contratual!O170)</f>
        <v/>
      </c>
      <c r="AL170" s="145" t="str">
        <f>IF(A170="","",posicao_contratual!S170)</f>
        <v/>
      </c>
      <c r="AM170" s="145" t="str">
        <f>IF(A170="","",posicao_contratual!W170)</f>
        <v/>
      </c>
      <c r="AN170" s="146" t="str">
        <f>IF(A170="","",posicao_contratual!X170)</f>
        <v/>
      </c>
      <c r="AO170" t="str">
        <f>IF($A170="","",ROUND(SUMIFS(itens_Consumidos!$E$2:$E$200,itens_Consumidos!$A$2:$A$200,$A170),2))</f>
        <v/>
      </c>
      <c r="AP170" t="str">
        <f t="shared" si="30"/>
        <v/>
      </c>
      <c r="AQ170" t="str">
        <f>IF(OR($A170="",AB170="",MEMORIA_RESULTADOS!$I$258=""),"",ROUND(AB170*$C170*(MEMORIA_RESULTADOS!$I$258-1),2))</f>
        <v/>
      </c>
      <c r="AR170" t="str">
        <f>IF(OR($A170="",AP170="",MEMORIA_RESULTADOS!$I$258=""),"",ROUND(AP170*$C170*(parametros!$F$2-MEMORIA_RESULTADOS!$I$258),2))</f>
        <v/>
      </c>
      <c r="AS170" t="str">
        <f>IF($A170="","",ROUND(SUMIFS(itens_Consumidos!$G$2:$G$200,itens_Consumidos!$A$2:$A$200,$A170),2))</f>
        <v/>
      </c>
      <c r="AT170" t="str">
        <f t="shared" si="31"/>
        <v/>
      </c>
      <c r="AU170" t="str">
        <f>IF(OR($A170="",M170="",MEMORIA_RESULTADOS!$I$259=""),"",ROUND(M170*$C170*(MEMORIA_RESULTADOS!$I$259-1),2))</f>
        <v/>
      </c>
      <c r="AV170" t="str">
        <f>IF(OR($A170="",AT170="",MEMORIA_RESULTADOS!$I$259=""),"",ROUND(AT170*$C170*(parametros!$F$3-MEMORIA_RESULTADOS!$I$259),2))</f>
        <v/>
      </c>
      <c r="AW170" t="str">
        <f>IF($A170="","",ROUND(SUMIFS(itens_Consumidos!$I$2:$I$200,itens_Consumidos!$A$2:$A$200,$A170),2))</f>
        <v/>
      </c>
      <c r="AX170" t="str">
        <f t="shared" si="32"/>
        <v/>
      </c>
      <c r="AY170" t="str">
        <f>IF(OR($A170="",O170="",MEMORIA_RESULTADOS!$I$260=""),"",ROUND(O170*$C170*(MEMORIA_RESULTADOS!$I$260-1),2))</f>
        <v/>
      </c>
      <c r="AZ170" t="str">
        <f>IF(OR($A170="",AX170="",MEMORIA_RESULTADOS!$I$260=""),"",ROUND(AX170*$C170*(parametros!$F$4-MEMORIA_RESULTADOS!$I$260),2))</f>
        <v/>
      </c>
      <c r="BA170" t="str">
        <f>IF($A170="","",ROUND(SUMIFS(itens_Consumidos!$K$2:$K$200,itens_Consumidos!$A$2:$A$200,$A170),2))</f>
        <v/>
      </c>
      <c r="BB170" t="str">
        <f t="shared" si="33"/>
        <v/>
      </c>
      <c r="BC170" t="str">
        <f>IF(OR($A170="",Q170="",MEMORIA_RESULTADOS!$I$261=""),"",ROUND(Q170*$C170*(MEMORIA_RESULTADOS!$I$261-1),2))</f>
        <v/>
      </c>
      <c r="BD170" t="str">
        <f>IF(OR($A170="",BB170="",MEMORIA_RESULTADOS!$I$261=""),"",ROUND(BB170*$C170*(parametros!$F$5-MEMORIA_RESULTADOS!$I$261),2))</f>
        <v/>
      </c>
      <c r="BE170" t="str">
        <f>IF($A170="","",ROUND(SUMIFS(itens_Consumidos!$M$2:$M$200,itens_Consumidos!$A$2:$A$200,$A170),2))</f>
        <v/>
      </c>
      <c r="BF170" t="str">
        <f t="shared" si="34"/>
        <v/>
      </c>
      <c r="BG170" t="str">
        <f>IF(OR($A170="",S170="",MEMORIA_RESULTADOS!$I$262=""),"",ROUND(S170*$C170*(MEMORIA_RESULTADOS!$I$262-1),2))</f>
        <v/>
      </c>
      <c r="BH170" t="str">
        <f>IF(OR($A170="",BF170="",MEMORIA_RESULTADOS!$I$262=""),"",ROUND(BF170*$C170*(parametros!$F$6-MEMORIA_RESULTADOS!$I$262),2))</f>
        <v/>
      </c>
      <c r="BI170" t="str">
        <f>IF($A170="","",IF(posicao_contratual!$AL170="","",posicao_contratual!$AL170))</f>
        <v/>
      </c>
    </row>
    <row r="171" spans="1:61" x14ac:dyDescent="0.35">
      <c r="A171" s="81"/>
      <c r="B171" s="82" t="str">
        <f t="shared" si="35"/>
        <v/>
      </c>
      <c r="C171" s="83"/>
      <c r="D171" s="79" t="str">
        <f>IF(AND(A171="",A170&lt;&gt;"",COUNTIF(A172:$A$200,"&lt;&gt;")=0),ROUND(SUMIF($A$2:A170,"&lt;&gt;",$D$2:D170),2),IF(OR(A171="",B171="",C171=""),"",ROUND(B171*C171,2)))</f>
        <v/>
      </c>
      <c r="E171" s="84"/>
      <c r="F171" s="79" t="str">
        <f>IF(AND(A171="",A170&lt;&gt;"",COUNTIF(A172:$A$200,"&lt;&gt;")=0),IF(COUNT(F$2:F170)=0,"",ROUND(SUMIF($A$2:A170,"&lt;&gt;",F$2:F170),2)),IF(OR(A171="",AND(ISNUMBER(posicao_contratual!$AL171),posicao_contratual!$AL171&gt;1),posicao_contratual!K171="",NOT(ISNUMBER(historico_VU!D171))),"",ROUND(posicao_contratual!K171*historico_VU!D171,2)))</f>
        <v/>
      </c>
      <c r="G171" s="84"/>
      <c r="H171" s="79" t="str">
        <f>IF(AND(A171="",A170&lt;&gt;"",COUNTIF(A172:$A$200,"&lt;&gt;")=0),IF(COUNT(H$2:H170)=0,"",ROUND(SUMIF($A$2:A170,"&lt;&gt;",H$2:H170),2)),IF(OR(A171="",AND(ISNUMBER(posicao_contratual!$AL171),posicao_contratual!$AL171&gt;2),posicao_contratual!O171="",NOT(ISNUMBER(historico_VU!E171))),"",ROUND(posicao_contratual!O171*historico_VU!E171,2)))</f>
        <v/>
      </c>
      <c r="I171" s="84"/>
      <c r="J171" s="79" t="str">
        <f>IF(AND(A171="",A170&lt;&gt;"",COUNTIF(A172:$A$200,"&lt;&gt;")=0),IF(COUNT(J$2:J170)=0,"",ROUND(SUMIF($A$2:A170,"&lt;&gt;",J$2:J170),2)),IF(OR(A171="",AND(ISNUMBER(posicao_contratual!$AL171),posicao_contratual!$AL171&gt;3),posicao_contratual!S171="",NOT(ISNUMBER(historico_VU!F171))),"",ROUND(posicao_contratual!S171*historico_VU!F171,2)))</f>
        <v/>
      </c>
      <c r="K171" s="84"/>
      <c r="L171" s="79" t="str">
        <f>IF(AND(A171="",A170&lt;&gt;"",COUNTIF(A172:$A$200,"&lt;&gt;")=0),IF(COUNT(L$2:L170)=0,"",ROUND(SUMIF($A$2:A170,"&lt;&gt;",L$2:L170),2)),IF(OR(A171="",AND(ISNUMBER(posicao_contratual!$AL171),posicao_contratual!$AL171&gt;4),posicao_contratual!W171="",NOT(ISNUMBER(historico_VU!G171))),"",ROUND(posicao_contratual!W171*historico_VU!G171,2)))</f>
        <v/>
      </c>
      <c r="M171" s="85" t="str">
        <f>IF(OR(posicao_contratual!J171="",posicao_contratual!N171=""),"",ROUND(MAX(posicao_contratual!J171+posicao_contratual!H171-posicao_contratual!N171,0),2))</f>
        <v/>
      </c>
      <c r="N171" s="79" t="str">
        <f>IF(AND(A171="",A170&lt;&gt;"",COUNTIF(A172:$A$200,"&lt;&gt;")=0),IF(COUNT(N$2:N170)=0,"",ROUND(SUMIF($A$2:A170,"&lt;&gt;",N$2:N170),2)),IF(OR(M171="",NOT(ISNUMBER(historico_VU!D171))),"",ROUND(M171*historico_VU!D171,2)))</f>
        <v/>
      </c>
      <c r="O171" s="85" t="str">
        <f>IF(OR(posicao_contratual!N171="",posicao_contratual!R171=""),"",ROUND(MAX(posicao_contratual!N171+posicao_contratual!L171-posicao_contratual!R171,0),2))</f>
        <v/>
      </c>
      <c r="P171" s="79" t="str">
        <f>IF(AND(A171="",A170&lt;&gt;"",COUNTIF(A172:$A$200,"&lt;&gt;")=0),IF(COUNT(P$2:P170)=0,"",ROUND(SUMIF($A$2:A170,"&lt;&gt;",P$2:P170),2)),IF(OR(O171="",NOT(ISNUMBER(historico_VU!E171))),"",ROUND(O171*historico_VU!E171,2)))</f>
        <v/>
      </c>
      <c r="Q171" s="85" t="str">
        <f>IF(OR(posicao_contratual!R171="",posicao_contratual!V171=""),"",ROUND(MAX(posicao_contratual!R171+posicao_contratual!P171-posicao_contratual!V171,0),2))</f>
        <v/>
      </c>
      <c r="R171" s="79" t="str">
        <f>IF(AND(A171="",A170&lt;&gt;"",COUNTIF(A172:$A$200,"&lt;&gt;")=0),IF(COUNT(R$2:R170)=0,"",ROUND(SUMIF($A$2:A170,"&lt;&gt;",R$2:R170),2)),IF(OR(Q171="",NOT(ISNUMBER(historico_VU!F171))),"",ROUND(Q171*historico_VU!F171,2)))</f>
        <v/>
      </c>
      <c r="S171" s="38"/>
      <c r="T171" s="39" t="str">
        <f>IF(AND(A171="",A170&lt;&gt;"",COUNTIF(A172:$A$200,"&lt;&gt;")=0),IF(COUNT(T$2:T170)=0,"",ROUND(SUMIF($A$2:A170,"&lt;&gt;",T$2:T170),2)),IF(OR(S171="",NOT(ISNUMBER(historico_VU!G171))),"",ROUND(S171*historico_VU!G171,2)))</f>
        <v/>
      </c>
      <c r="U171" s="86" t="str">
        <f>IF(AND(A171="",A170&lt;&gt;"",COUNTIF(A172:$A$200,"&lt;&gt;")=0),"TOTAL",IF(A171="","",posicao_contratual!X171))</f>
        <v/>
      </c>
      <c r="V171" s="86" t="str">
        <f>IF(A171="","",posicao_contratual!X171)</f>
        <v/>
      </c>
      <c r="W171" s="13"/>
      <c r="X171" s="13"/>
      <c r="Y171" s="13"/>
      <c r="Z171" s="13"/>
      <c r="AA171" s="13"/>
      <c r="AB171" s="85" t="str">
        <f>IF(OR(A171="",posicao_contratual!E171="",posicao_contratual!J171=""),"",ROUND(MAX(posicao_contratual!E171-posicao_contratual!J171,0),2))</f>
        <v/>
      </c>
      <c r="AC171" s="79" t="str">
        <f>IF(AND(A171="",A170&lt;&gt;"",COUNTIF(A172:$A$200,"&lt;&gt;")=0),IF(COUNT(AC$2:AC170)=0,"",ROUND(SUMIF($A$2:A170,"&lt;&gt;",AC$2:AC170),2)),IF(OR(AB171="",NOT(ISNUMBER(historico_VU!C171))),"",ROUND(AB171*historico_VU!C171,2)))</f>
        <v/>
      </c>
      <c r="AD171" s="145" t="str">
        <f>IF(A171="","",posicao_contratual!E171)</f>
        <v/>
      </c>
      <c r="AE171" s="145" t="str">
        <f>IF(A171="","",posicao_contratual!I171)</f>
        <v/>
      </c>
      <c r="AF171" s="145" t="str">
        <f>IF(A171="","",posicao_contratual!M171)</f>
        <v/>
      </c>
      <c r="AG171" s="145" t="str">
        <f>IF(A171="","",posicao_contratual!Q171)</f>
        <v/>
      </c>
      <c r="AH171" s="145" t="str">
        <f>IF(A171="","",posicao_contratual!U171)</f>
        <v/>
      </c>
      <c r="AI171" s="145" t="str">
        <f>IF(A171="","",posicao_contratual!G171)</f>
        <v/>
      </c>
      <c r="AJ171" s="145" t="str">
        <f>IF(A171="","",posicao_contratual!K171)</f>
        <v/>
      </c>
      <c r="AK171" s="145" t="str">
        <f>IF(A171="","",posicao_contratual!O171)</f>
        <v/>
      </c>
      <c r="AL171" s="145" t="str">
        <f>IF(A171="","",posicao_contratual!S171)</f>
        <v/>
      </c>
      <c r="AM171" s="145" t="str">
        <f>IF(A171="","",posicao_contratual!W171)</f>
        <v/>
      </c>
      <c r="AN171" s="146" t="str">
        <f>IF(A171="","",posicao_contratual!X171)</f>
        <v/>
      </c>
      <c r="AO171" t="str">
        <f>IF($A171="","",ROUND(SUMIFS(itens_Consumidos!$E$2:$E$200,itens_Consumidos!$A$2:$A$200,$A171),2))</f>
        <v/>
      </c>
      <c r="AP171" t="str">
        <f t="shared" si="30"/>
        <v/>
      </c>
      <c r="AQ171" t="str">
        <f>IF(OR($A171="",AB171="",MEMORIA_RESULTADOS!$I$258=""),"",ROUND(AB171*$C171*(MEMORIA_RESULTADOS!$I$258-1),2))</f>
        <v/>
      </c>
      <c r="AR171" t="str">
        <f>IF(OR($A171="",AP171="",MEMORIA_RESULTADOS!$I$258=""),"",ROUND(AP171*$C171*(parametros!$F$2-MEMORIA_RESULTADOS!$I$258),2))</f>
        <v/>
      </c>
      <c r="AS171" t="str">
        <f>IF($A171="","",ROUND(SUMIFS(itens_Consumidos!$G$2:$G$200,itens_Consumidos!$A$2:$A$200,$A171),2))</f>
        <v/>
      </c>
      <c r="AT171" t="str">
        <f t="shared" si="31"/>
        <v/>
      </c>
      <c r="AU171" t="str">
        <f>IF(OR($A171="",M171="",MEMORIA_RESULTADOS!$I$259=""),"",ROUND(M171*$C171*(MEMORIA_RESULTADOS!$I$259-1),2))</f>
        <v/>
      </c>
      <c r="AV171" t="str">
        <f>IF(OR($A171="",AT171="",MEMORIA_RESULTADOS!$I$259=""),"",ROUND(AT171*$C171*(parametros!$F$3-MEMORIA_RESULTADOS!$I$259),2))</f>
        <v/>
      </c>
      <c r="AW171" t="str">
        <f>IF($A171="","",ROUND(SUMIFS(itens_Consumidos!$I$2:$I$200,itens_Consumidos!$A$2:$A$200,$A171),2))</f>
        <v/>
      </c>
      <c r="AX171" t="str">
        <f t="shared" si="32"/>
        <v/>
      </c>
      <c r="AY171" t="str">
        <f>IF(OR($A171="",O171="",MEMORIA_RESULTADOS!$I$260=""),"",ROUND(O171*$C171*(MEMORIA_RESULTADOS!$I$260-1),2))</f>
        <v/>
      </c>
      <c r="AZ171" t="str">
        <f>IF(OR($A171="",AX171="",MEMORIA_RESULTADOS!$I$260=""),"",ROUND(AX171*$C171*(parametros!$F$4-MEMORIA_RESULTADOS!$I$260),2))</f>
        <v/>
      </c>
      <c r="BA171" t="str">
        <f>IF($A171="","",ROUND(SUMIFS(itens_Consumidos!$K$2:$K$200,itens_Consumidos!$A$2:$A$200,$A171),2))</f>
        <v/>
      </c>
      <c r="BB171" t="str">
        <f t="shared" si="33"/>
        <v/>
      </c>
      <c r="BC171" t="str">
        <f>IF(OR($A171="",Q171="",MEMORIA_RESULTADOS!$I$261=""),"",ROUND(Q171*$C171*(MEMORIA_RESULTADOS!$I$261-1),2))</f>
        <v/>
      </c>
      <c r="BD171" t="str">
        <f>IF(OR($A171="",BB171="",MEMORIA_RESULTADOS!$I$261=""),"",ROUND(BB171*$C171*(parametros!$F$5-MEMORIA_RESULTADOS!$I$261),2))</f>
        <v/>
      </c>
      <c r="BE171" t="str">
        <f>IF($A171="","",ROUND(SUMIFS(itens_Consumidos!$M$2:$M$200,itens_Consumidos!$A$2:$A$200,$A171),2))</f>
        <v/>
      </c>
      <c r="BF171" t="str">
        <f t="shared" si="34"/>
        <v/>
      </c>
      <c r="BG171" t="str">
        <f>IF(OR($A171="",S171="",MEMORIA_RESULTADOS!$I$262=""),"",ROUND(S171*$C171*(MEMORIA_RESULTADOS!$I$262-1),2))</f>
        <v/>
      </c>
      <c r="BH171" t="str">
        <f>IF(OR($A171="",BF171="",MEMORIA_RESULTADOS!$I$262=""),"",ROUND(BF171*$C171*(parametros!$F$6-MEMORIA_RESULTADOS!$I$262),2))</f>
        <v/>
      </c>
      <c r="BI171" t="str">
        <f>IF($A171="","",IF(posicao_contratual!$AL171="","",posicao_contratual!$AL171))</f>
        <v/>
      </c>
    </row>
    <row r="172" spans="1:61" x14ac:dyDescent="0.35">
      <c r="A172" s="81"/>
      <c r="B172" s="82" t="str">
        <f t="shared" si="35"/>
        <v/>
      </c>
      <c r="C172" s="83"/>
      <c r="D172" s="79" t="str">
        <f>IF(AND(A172="",A171&lt;&gt;"",COUNTIF(A173:$A$200,"&lt;&gt;")=0),ROUND(SUMIF($A$2:A171,"&lt;&gt;",$D$2:D171),2),IF(OR(A172="",B172="",C172=""),"",ROUND(B172*C172,2)))</f>
        <v/>
      </c>
      <c r="E172" s="84"/>
      <c r="F172" s="79" t="str">
        <f>IF(AND(A172="",A171&lt;&gt;"",COUNTIF(A173:$A$200,"&lt;&gt;")=0),IF(COUNT(F$2:F171)=0,"",ROUND(SUMIF($A$2:A171,"&lt;&gt;",F$2:F171),2)),IF(OR(A172="",AND(ISNUMBER(posicao_contratual!$AL172),posicao_contratual!$AL172&gt;1),posicao_contratual!K172="",NOT(ISNUMBER(historico_VU!D172))),"",ROUND(posicao_contratual!K172*historico_VU!D172,2)))</f>
        <v/>
      </c>
      <c r="G172" s="84"/>
      <c r="H172" s="79" t="str">
        <f>IF(AND(A172="",A171&lt;&gt;"",COUNTIF(A173:$A$200,"&lt;&gt;")=0),IF(COUNT(H$2:H171)=0,"",ROUND(SUMIF($A$2:A171,"&lt;&gt;",H$2:H171),2)),IF(OR(A172="",AND(ISNUMBER(posicao_contratual!$AL172),posicao_contratual!$AL172&gt;2),posicao_contratual!O172="",NOT(ISNUMBER(historico_VU!E172))),"",ROUND(posicao_contratual!O172*historico_VU!E172,2)))</f>
        <v/>
      </c>
      <c r="I172" s="84"/>
      <c r="J172" s="79" t="str">
        <f>IF(AND(A172="",A171&lt;&gt;"",COUNTIF(A173:$A$200,"&lt;&gt;")=0),IF(COUNT(J$2:J171)=0,"",ROUND(SUMIF($A$2:A171,"&lt;&gt;",J$2:J171),2)),IF(OR(A172="",AND(ISNUMBER(posicao_contratual!$AL172),posicao_contratual!$AL172&gt;3),posicao_contratual!S172="",NOT(ISNUMBER(historico_VU!F172))),"",ROUND(posicao_contratual!S172*historico_VU!F172,2)))</f>
        <v/>
      </c>
      <c r="K172" s="84"/>
      <c r="L172" s="79" t="str">
        <f>IF(AND(A172="",A171&lt;&gt;"",COUNTIF(A173:$A$200,"&lt;&gt;")=0),IF(COUNT(L$2:L171)=0,"",ROUND(SUMIF($A$2:A171,"&lt;&gt;",L$2:L171),2)),IF(OR(A172="",AND(ISNUMBER(posicao_contratual!$AL172),posicao_contratual!$AL172&gt;4),posicao_contratual!W172="",NOT(ISNUMBER(historico_VU!G172))),"",ROUND(posicao_contratual!W172*historico_VU!G172,2)))</f>
        <v/>
      </c>
      <c r="M172" s="85" t="str">
        <f>IF(OR(posicao_contratual!J172="",posicao_contratual!N172=""),"",ROUND(MAX(posicao_contratual!J172+posicao_contratual!H172-posicao_contratual!N172,0),2))</f>
        <v/>
      </c>
      <c r="N172" s="79" t="str">
        <f>IF(AND(A172="",A171&lt;&gt;"",COUNTIF(A173:$A$200,"&lt;&gt;")=0),IF(COUNT(N$2:N171)=0,"",ROUND(SUMIF($A$2:A171,"&lt;&gt;",N$2:N171),2)),IF(OR(M172="",NOT(ISNUMBER(historico_VU!D172))),"",ROUND(M172*historico_VU!D172,2)))</f>
        <v/>
      </c>
      <c r="O172" s="85" t="str">
        <f>IF(OR(posicao_contratual!N172="",posicao_contratual!R172=""),"",ROUND(MAX(posicao_contratual!N172+posicao_contratual!L172-posicao_contratual!R172,0),2))</f>
        <v/>
      </c>
      <c r="P172" s="79" t="str">
        <f>IF(AND(A172="",A171&lt;&gt;"",COUNTIF(A173:$A$200,"&lt;&gt;")=0),IF(COUNT(P$2:P171)=0,"",ROUND(SUMIF($A$2:A171,"&lt;&gt;",P$2:P171),2)),IF(OR(O172="",NOT(ISNUMBER(historico_VU!E172))),"",ROUND(O172*historico_VU!E172,2)))</f>
        <v/>
      </c>
      <c r="Q172" s="85" t="str">
        <f>IF(OR(posicao_contratual!R172="",posicao_contratual!V172=""),"",ROUND(MAX(posicao_contratual!R172+posicao_contratual!P172-posicao_contratual!V172,0),2))</f>
        <v/>
      </c>
      <c r="R172" s="79" t="str">
        <f>IF(AND(A172="",A171&lt;&gt;"",COUNTIF(A173:$A$200,"&lt;&gt;")=0),IF(COUNT(R$2:R171)=0,"",ROUND(SUMIF($A$2:A171,"&lt;&gt;",R$2:R171),2)),IF(OR(Q172="",NOT(ISNUMBER(historico_VU!F172))),"",ROUND(Q172*historico_VU!F172,2)))</f>
        <v/>
      </c>
      <c r="S172" s="38"/>
      <c r="T172" s="39" t="str">
        <f>IF(AND(A172="",A171&lt;&gt;"",COUNTIF(A173:$A$200,"&lt;&gt;")=0),IF(COUNT(T$2:T171)=0,"",ROUND(SUMIF($A$2:A171,"&lt;&gt;",T$2:T171),2)),IF(OR(S172="",NOT(ISNUMBER(historico_VU!G172))),"",ROUND(S172*historico_VU!G172,2)))</f>
        <v/>
      </c>
      <c r="U172" s="86" t="str">
        <f>IF(AND(A172="",A171&lt;&gt;"",COUNTIF(A173:$A$200,"&lt;&gt;")=0),"TOTAL",IF(A172="","",posicao_contratual!X172))</f>
        <v/>
      </c>
      <c r="V172" s="86" t="str">
        <f>IF(A172="","",posicao_contratual!X172)</f>
        <v/>
      </c>
      <c r="W172" s="13"/>
      <c r="X172" s="13"/>
      <c r="Y172" s="13"/>
      <c r="Z172" s="13"/>
      <c r="AA172" s="13"/>
      <c r="AB172" s="85" t="str">
        <f>IF(OR(A172="",posicao_contratual!E172="",posicao_contratual!J172=""),"",ROUND(MAX(posicao_contratual!E172-posicao_contratual!J172,0),2))</f>
        <v/>
      </c>
      <c r="AC172" s="79" t="str">
        <f>IF(AND(A172="",A171&lt;&gt;"",COUNTIF(A173:$A$200,"&lt;&gt;")=0),IF(COUNT(AC$2:AC171)=0,"",ROUND(SUMIF($A$2:A171,"&lt;&gt;",AC$2:AC171),2)),IF(OR(AB172="",NOT(ISNUMBER(historico_VU!C172))),"",ROUND(AB172*historico_VU!C172,2)))</f>
        <v/>
      </c>
      <c r="AD172" s="145" t="str">
        <f>IF(A172="","",posicao_contratual!E172)</f>
        <v/>
      </c>
      <c r="AE172" s="145" t="str">
        <f>IF(A172="","",posicao_contratual!I172)</f>
        <v/>
      </c>
      <c r="AF172" s="145" t="str">
        <f>IF(A172="","",posicao_contratual!M172)</f>
        <v/>
      </c>
      <c r="AG172" s="145" t="str">
        <f>IF(A172="","",posicao_contratual!Q172)</f>
        <v/>
      </c>
      <c r="AH172" s="145" t="str">
        <f>IF(A172="","",posicao_contratual!U172)</f>
        <v/>
      </c>
      <c r="AI172" s="145" t="str">
        <f>IF(A172="","",posicao_contratual!G172)</f>
        <v/>
      </c>
      <c r="AJ172" s="145" t="str">
        <f>IF(A172="","",posicao_contratual!K172)</f>
        <v/>
      </c>
      <c r="AK172" s="145" t="str">
        <f>IF(A172="","",posicao_contratual!O172)</f>
        <v/>
      </c>
      <c r="AL172" s="145" t="str">
        <f>IF(A172="","",posicao_contratual!S172)</f>
        <v/>
      </c>
      <c r="AM172" s="145" t="str">
        <f>IF(A172="","",posicao_contratual!W172)</f>
        <v/>
      </c>
      <c r="AN172" s="146" t="str">
        <f>IF(A172="","",posicao_contratual!X172)</f>
        <v/>
      </c>
      <c r="AO172" t="str">
        <f>IF($A172="","",ROUND(SUMIFS(itens_Consumidos!$E$2:$E$200,itens_Consumidos!$A$2:$A$200,$A172),2))</f>
        <v/>
      </c>
      <c r="AP172" t="str">
        <f t="shared" si="30"/>
        <v/>
      </c>
      <c r="AQ172" t="str">
        <f>IF(OR($A172="",AB172="",MEMORIA_RESULTADOS!$I$258=""),"",ROUND(AB172*$C172*(MEMORIA_RESULTADOS!$I$258-1),2))</f>
        <v/>
      </c>
      <c r="AR172" t="str">
        <f>IF(OR($A172="",AP172="",MEMORIA_RESULTADOS!$I$258=""),"",ROUND(AP172*$C172*(parametros!$F$2-MEMORIA_RESULTADOS!$I$258),2))</f>
        <v/>
      </c>
      <c r="AS172" t="str">
        <f>IF($A172="","",ROUND(SUMIFS(itens_Consumidos!$G$2:$G$200,itens_Consumidos!$A$2:$A$200,$A172),2))</f>
        <v/>
      </c>
      <c r="AT172" t="str">
        <f t="shared" si="31"/>
        <v/>
      </c>
      <c r="AU172" t="str">
        <f>IF(OR($A172="",M172="",MEMORIA_RESULTADOS!$I$259=""),"",ROUND(M172*$C172*(MEMORIA_RESULTADOS!$I$259-1),2))</f>
        <v/>
      </c>
      <c r="AV172" t="str">
        <f>IF(OR($A172="",AT172="",MEMORIA_RESULTADOS!$I$259=""),"",ROUND(AT172*$C172*(parametros!$F$3-MEMORIA_RESULTADOS!$I$259),2))</f>
        <v/>
      </c>
      <c r="AW172" t="str">
        <f>IF($A172="","",ROUND(SUMIFS(itens_Consumidos!$I$2:$I$200,itens_Consumidos!$A$2:$A$200,$A172),2))</f>
        <v/>
      </c>
      <c r="AX172" t="str">
        <f t="shared" si="32"/>
        <v/>
      </c>
      <c r="AY172" t="str">
        <f>IF(OR($A172="",O172="",MEMORIA_RESULTADOS!$I$260=""),"",ROUND(O172*$C172*(MEMORIA_RESULTADOS!$I$260-1),2))</f>
        <v/>
      </c>
      <c r="AZ172" t="str">
        <f>IF(OR($A172="",AX172="",MEMORIA_RESULTADOS!$I$260=""),"",ROUND(AX172*$C172*(parametros!$F$4-MEMORIA_RESULTADOS!$I$260),2))</f>
        <v/>
      </c>
      <c r="BA172" t="str">
        <f>IF($A172="","",ROUND(SUMIFS(itens_Consumidos!$K$2:$K$200,itens_Consumidos!$A$2:$A$200,$A172),2))</f>
        <v/>
      </c>
      <c r="BB172" t="str">
        <f t="shared" si="33"/>
        <v/>
      </c>
      <c r="BC172" t="str">
        <f>IF(OR($A172="",Q172="",MEMORIA_RESULTADOS!$I$261=""),"",ROUND(Q172*$C172*(MEMORIA_RESULTADOS!$I$261-1),2))</f>
        <v/>
      </c>
      <c r="BD172" t="str">
        <f>IF(OR($A172="",BB172="",MEMORIA_RESULTADOS!$I$261=""),"",ROUND(BB172*$C172*(parametros!$F$5-MEMORIA_RESULTADOS!$I$261),2))</f>
        <v/>
      </c>
      <c r="BE172" t="str">
        <f>IF($A172="","",ROUND(SUMIFS(itens_Consumidos!$M$2:$M$200,itens_Consumidos!$A$2:$A$200,$A172),2))</f>
        <v/>
      </c>
      <c r="BF172" t="str">
        <f t="shared" si="34"/>
        <v/>
      </c>
      <c r="BG172" t="str">
        <f>IF(OR($A172="",S172="",MEMORIA_RESULTADOS!$I$262=""),"",ROUND(S172*$C172*(MEMORIA_RESULTADOS!$I$262-1),2))</f>
        <v/>
      </c>
      <c r="BH172" t="str">
        <f>IF(OR($A172="",BF172="",MEMORIA_RESULTADOS!$I$262=""),"",ROUND(BF172*$C172*(parametros!$F$6-MEMORIA_RESULTADOS!$I$262),2))</f>
        <v/>
      </c>
      <c r="BI172" t="str">
        <f>IF($A172="","",IF(posicao_contratual!$AL172="","",posicao_contratual!$AL172))</f>
        <v/>
      </c>
    </row>
    <row r="173" spans="1:61" x14ac:dyDescent="0.35">
      <c r="A173" s="81"/>
      <c r="B173" s="82" t="str">
        <f t="shared" si="35"/>
        <v/>
      </c>
      <c r="C173" s="83"/>
      <c r="D173" s="79" t="str">
        <f>IF(AND(A173="",A172&lt;&gt;"",COUNTIF(A174:$A$200,"&lt;&gt;")=0),ROUND(SUMIF($A$2:A172,"&lt;&gt;",$D$2:D172),2),IF(OR(A173="",B173="",C173=""),"",ROUND(B173*C173,2)))</f>
        <v/>
      </c>
      <c r="E173" s="84"/>
      <c r="F173" s="79" t="str">
        <f>IF(AND(A173="",A172&lt;&gt;"",COUNTIF(A174:$A$200,"&lt;&gt;")=0),IF(COUNT(F$2:F172)=0,"",ROUND(SUMIF($A$2:A172,"&lt;&gt;",F$2:F172),2)),IF(OR(A173="",AND(ISNUMBER(posicao_contratual!$AL173),posicao_contratual!$AL173&gt;1),posicao_contratual!K173="",NOT(ISNUMBER(historico_VU!D173))),"",ROUND(posicao_contratual!K173*historico_VU!D173,2)))</f>
        <v/>
      </c>
      <c r="G173" s="84"/>
      <c r="H173" s="79" t="str">
        <f>IF(AND(A173="",A172&lt;&gt;"",COUNTIF(A174:$A$200,"&lt;&gt;")=0),IF(COUNT(H$2:H172)=0,"",ROUND(SUMIF($A$2:A172,"&lt;&gt;",H$2:H172),2)),IF(OR(A173="",AND(ISNUMBER(posicao_contratual!$AL173),posicao_contratual!$AL173&gt;2),posicao_contratual!O173="",NOT(ISNUMBER(historico_VU!E173))),"",ROUND(posicao_contratual!O173*historico_VU!E173,2)))</f>
        <v/>
      </c>
      <c r="I173" s="84"/>
      <c r="J173" s="79" t="str">
        <f>IF(AND(A173="",A172&lt;&gt;"",COUNTIF(A174:$A$200,"&lt;&gt;")=0),IF(COUNT(J$2:J172)=0,"",ROUND(SUMIF($A$2:A172,"&lt;&gt;",J$2:J172),2)),IF(OR(A173="",AND(ISNUMBER(posicao_contratual!$AL173),posicao_contratual!$AL173&gt;3),posicao_contratual!S173="",NOT(ISNUMBER(historico_VU!F173))),"",ROUND(posicao_contratual!S173*historico_VU!F173,2)))</f>
        <v/>
      </c>
      <c r="K173" s="84"/>
      <c r="L173" s="79" t="str">
        <f>IF(AND(A173="",A172&lt;&gt;"",COUNTIF(A174:$A$200,"&lt;&gt;")=0),IF(COUNT(L$2:L172)=0,"",ROUND(SUMIF($A$2:A172,"&lt;&gt;",L$2:L172),2)),IF(OR(A173="",AND(ISNUMBER(posicao_contratual!$AL173),posicao_contratual!$AL173&gt;4),posicao_contratual!W173="",NOT(ISNUMBER(historico_VU!G173))),"",ROUND(posicao_contratual!W173*historico_VU!G173,2)))</f>
        <v/>
      </c>
      <c r="M173" s="85" t="str">
        <f>IF(OR(posicao_contratual!J173="",posicao_contratual!N173=""),"",ROUND(MAX(posicao_contratual!J173+posicao_contratual!H173-posicao_contratual!N173,0),2))</f>
        <v/>
      </c>
      <c r="N173" s="79" t="str">
        <f>IF(AND(A173="",A172&lt;&gt;"",COUNTIF(A174:$A$200,"&lt;&gt;")=0),IF(COUNT(N$2:N172)=0,"",ROUND(SUMIF($A$2:A172,"&lt;&gt;",N$2:N172),2)),IF(OR(M173="",NOT(ISNUMBER(historico_VU!D173))),"",ROUND(M173*historico_VU!D173,2)))</f>
        <v/>
      </c>
      <c r="O173" s="85" t="str">
        <f>IF(OR(posicao_contratual!N173="",posicao_contratual!R173=""),"",ROUND(MAX(posicao_contratual!N173+posicao_contratual!L173-posicao_contratual!R173,0),2))</f>
        <v/>
      </c>
      <c r="P173" s="79" t="str">
        <f>IF(AND(A173="",A172&lt;&gt;"",COUNTIF(A174:$A$200,"&lt;&gt;")=0),IF(COUNT(P$2:P172)=0,"",ROUND(SUMIF($A$2:A172,"&lt;&gt;",P$2:P172),2)),IF(OR(O173="",NOT(ISNUMBER(historico_VU!E173))),"",ROUND(O173*historico_VU!E173,2)))</f>
        <v/>
      </c>
      <c r="Q173" s="85" t="str">
        <f>IF(OR(posicao_contratual!R173="",posicao_contratual!V173=""),"",ROUND(MAX(posicao_contratual!R173+posicao_contratual!P173-posicao_contratual!V173,0),2))</f>
        <v/>
      </c>
      <c r="R173" s="79" t="str">
        <f>IF(AND(A173="",A172&lt;&gt;"",COUNTIF(A174:$A$200,"&lt;&gt;")=0),IF(COUNT(R$2:R172)=0,"",ROUND(SUMIF($A$2:A172,"&lt;&gt;",R$2:R172),2)),IF(OR(Q173="",NOT(ISNUMBER(historico_VU!F173))),"",ROUND(Q173*historico_VU!F173,2)))</f>
        <v/>
      </c>
      <c r="S173" s="38"/>
      <c r="T173" s="39" t="str">
        <f>IF(AND(A173="",A172&lt;&gt;"",COUNTIF(A174:$A$200,"&lt;&gt;")=0),IF(COUNT(T$2:T172)=0,"",ROUND(SUMIF($A$2:A172,"&lt;&gt;",T$2:T172),2)),IF(OR(S173="",NOT(ISNUMBER(historico_VU!G173))),"",ROUND(S173*historico_VU!G173,2)))</f>
        <v/>
      </c>
      <c r="U173" s="86" t="str">
        <f>IF(AND(A173="",A172&lt;&gt;"",COUNTIF(A174:$A$200,"&lt;&gt;")=0),"TOTAL",IF(A173="","",posicao_contratual!X173))</f>
        <v/>
      </c>
      <c r="V173" s="86" t="str">
        <f>IF(A173="","",posicao_contratual!X173)</f>
        <v/>
      </c>
      <c r="W173" s="13"/>
      <c r="X173" s="13"/>
      <c r="Y173" s="13"/>
      <c r="Z173" s="13"/>
      <c r="AA173" s="13"/>
      <c r="AB173" s="85" t="str">
        <f>IF(OR(A173="",posicao_contratual!E173="",posicao_contratual!J173=""),"",ROUND(MAX(posicao_contratual!E173-posicao_contratual!J173,0),2))</f>
        <v/>
      </c>
      <c r="AC173" s="79" t="str">
        <f>IF(AND(A173="",A172&lt;&gt;"",COUNTIF(A174:$A$200,"&lt;&gt;")=0),IF(COUNT(AC$2:AC172)=0,"",ROUND(SUMIF($A$2:A172,"&lt;&gt;",AC$2:AC172),2)),IF(OR(AB173="",NOT(ISNUMBER(historico_VU!C173))),"",ROUND(AB173*historico_VU!C173,2)))</f>
        <v/>
      </c>
      <c r="AD173" s="145" t="str">
        <f>IF(A173="","",posicao_contratual!E173)</f>
        <v/>
      </c>
      <c r="AE173" s="145" t="str">
        <f>IF(A173="","",posicao_contratual!I173)</f>
        <v/>
      </c>
      <c r="AF173" s="145" t="str">
        <f>IF(A173="","",posicao_contratual!M173)</f>
        <v/>
      </c>
      <c r="AG173" s="145" t="str">
        <f>IF(A173="","",posicao_contratual!Q173)</f>
        <v/>
      </c>
      <c r="AH173" s="145" t="str">
        <f>IF(A173="","",posicao_contratual!U173)</f>
        <v/>
      </c>
      <c r="AI173" s="145" t="str">
        <f>IF(A173="","",posicao_contratual!G173)</f>
        <v/>
      </c>
      <c r="AJ173" s="145" t="str">
        <f>IF(A173="","",posicao_contratual!K173)</f>
        <v/>
      </c>
      <c r="AK173" s="145" t="str">
        <f>IF(A173="","",posicao_contratual!O173)</f>
        <v/>
      </c>
      <c r="AL173" s="145" t="str">
        <f>IF(A173="","",posicao_contratual!S173)</f>
        <v/>
      </c>
      <c r="AM173" s="145" t="str">
        <f>IF(A173="","",posicao_contratual!W173)</f>
        <v/>
      </c>
      <c r="AN173" s="146" t="str">
        <f>IF(A173="","",posicao_contratual!X173)</f>
        <v/>
      </c>
      <c r="AO173" t="str">
        <f>IF($A173="","",ROUND(SUMIFS(itens_Consumidos!$E$2:$E$200,itens_Consumidos!$A$2:$A$200,$A173),2))</f>
        <v/>
      </c>
      <c r="AP173" t="str">
        <f t="shared" si="30"/>
        <v/>
      </c>
      <c r="AQ173" t="str">
        <f>IF(OR($A173="",AB173="",MEMORIA_RESULTADOS!$I$258=""),"",ROUND(AB173*$C173*(MEMORIA_RESULTADOS!$I$258-1),2))</f>
        <v/>
      </c>
      <c r="AR173" t="str">
        <f>IF(OR($A173="",AP173="",MEMORIA_RESULTADOS!$I$258=""),"",ROUND(AP173*$C173*(parametros!$F$2-MEMORIA_RESULTADOS!$I$258),2))</f>
        <v/>
      </c>
      <c r="AS173" t="str">
        <f>IF($A173="","",ROUND(SUMIFS(itens_Consumidos!$G$2:$G$200,itens_Consumidos!$A$2:$A$200,$A173),2))</f>
        <v/>
      </c>
      <c r="AT173" t="str">
        <f t="shared" si="31"/>
        <v/>
      </c>
      <c r="AU173" t="str">
        <f>IF(OR($A173="",M173="",MEMORIA_RESULTADOS!$I$259=""),"",ROUND(M173*$C173*(MEMORIA_RESULTADOS!$I$259-1),2))</f>
        <v/>
      </c>
      <c r="AV173" t="str">
        <f>IF(OR($A173="",AT173="",MEMORIA_RESULTADOS!$I$259=""),"",ROUND(AT173*$C173*(parametros!$F$3-MEMORIA_RESULTADOS!$I$259),2))</f>
        <v/>
      </c>
      <c r="AW173" t="str">
        <f>IF($A173="","",ROUND(SUMIFS(itens_Consumidos!$I$2:$I$200,itens_Consumidos!$A$2:$A$200,$A173),2))</f>
        <v/>
      </c>
      <c r="AX173" t="str">
        <f t="shared" si="32"/>
        <v/>
      </c>
      <c r="AY173" t="str">
        <f>IF(OR($A173="",O173="",MEMORIA_RESULTADOS!$I$260=""),"",ROUND(O173*$C173*(MEMORIA_RESULTADOS!$I$260-1),2))</f>
        <v/>
      </c>
      <c r="AZ173" t="str">
        <f>IF(OR($A173="",AX173="",MEMORIA_RESULTADOS!$I$260=""),"",ROUND(AX173*$C173*(parametros!$F$4-MEMORIA_RESULTADOS!$I$260),2))</f>
        <v/>
      </c>
      <c r="BA173" t="str">
        <f>IF($A173="","",ROUND(SUMIFS(itens_Consumidos!$K$2:$K$200,itens_Consumidos!$A$2:$A$200,$A173),2))</f>
        <v/>
      </c>
      <c r="BB173" t="str">
        <f t="shared" si="33"/>
        <v/>
      </c>
      <c r="BC173" t="str">
        <f>IF(OR($A173="",Q173="",MEMORIA_RESULTADOS!$I$261=""),"",ROUND(Q173*$C173*(MEMORIA_RESULTADOS!$I$261-1),2))</f>
        <v/>
      </c>
      <c r="BD173" t="str">
        <f>IF(OR($A173="",BB173="",MEMORIA_RESULTADOS!$I$261=""),"",ROUND(BB173*$C173*(parametros!$F$5-MEMORIA_RESULTADOS!$I$261),2))</f>
        <v/>
      </c>
      <c r="BE173" t="str">
        <f>IF($A173="","",ROUND(SUMIFS(itens_Consumidos!$M$2:$M$200,itens_Consumidos!$A$2:$A$200,$A173),2))</f>
        <v/>
      </c>
      <c r="BF173" t="str">
        <f t="shared" si="34"/>
        <v/>
      </c>
      <c r="BG173" t="str">
        <f>IF(OR($A173="",S173="",MEMORIA_RESULTADOS!$I$262=""),"",ROUND(S173*$C173*(MEMORIA_RESULTADOS!$I$262-1),2))</f>
        <v/>
      </c>
      <c r="BH173" t="str">
        <f>IF(OR($A173="",BF173="",MEMORIA_RESULTADOS!$I$262=""),"",ROUND(BF173*$C173*(parametros!$F$6-MEMORIA_RESULTADOS!$I$262),2))</f>
        <v/>
      </c>
      <c r="BI173" t="str">
        <f>IF($A173="","",IF(posicao_contratual!$AL173="","",posicao_contratual!$AL173))</f>
        <v/>
      </c>
    </row>
    <row r="174" spans="1:61" x14ac:dyDescent="0.35">
      <c r="A174" s="81"/>
      <c r="B174" s="82" t="str">
        <f t="shared" si="35"/>
        <v/>
      </c>
      <c r="C174" s="83"/>
      <c r="D174" s="79" t="str">
        <f>IF(AND(A174="",A173&lt;&gt;"",COUNTIF(A175:$A$200,"&lt;&gt;")=0),ROUND(SUMIF($A$2:A173,"&lt;&gt;",$D$2:D173),2),IF(OR(A174="",B174="",C174=""),"",ROUND(B174*C174,2)))</f>
        <v/>
      </c>
      <c r="E174" s="84"/>
      <c r="F174" s="79" t="str">
        <f>IF(AND(A174="",A173&lt;&gt;"",COUNTIF(A175:$A$200,"&lt;&gt;")=0),IF(COUNT(F$2:F173)=0,"",ROUND(SUMIF($A$2:A173,"&lt;&gt;",F$2:F173),2)),IF(OR(A174="",AND(ISNUMBER(posicao_contratual!$AL174),posicao_contratual!$AL174&gt;1),posicao_contratual!K174="",NOT(ISNUMBER(historico_VU!D174))),"",ROUND(posicao_contratual!K174*historico_VU!D174,2)))</f>
        <v/>
      </c>
      <c r="G174" s="84"/>
      <c r="H174" s="79" t="str">
        <f>IF(AND(A174="",A173&lt;&gt;"",COUNTIF(A175:$A$200,"&lt;&gt;")=0),IF(COUNT(H$2:H173)=0,"",ROUND(SUMIF($A$2:A173,"&lt;&gt;",H$2:H173),2)),IF(OR(A174="",AND(ISNUMBER(posicao_contratual!$AL174),posicao_contratual!$AL174&gt;2),posicao_contratual!O174="",NOT(ISNUMBER(historico_VU!E174))),"",ROUND(posicao_contratual!O174*historico_VU!E174,2)))</f>
        <v/>
      </c>
      <c r="I174" s="84"/>
      <c r="J174" s="79" t="str">
        <f>IF(AND(A174="",A173&lt;&gt;"",COUNTIF(A175:$A$200,"&lt;&gt;")=0),IF(COUNT(J$2:J173)=0,"",ROUND(SUMIF($A$2:A173,"&lt;&gt;",J$2:J173),2)),IF(OR(A174="",AND(ISNUMBER(posicao_contratual!$AL174),posicao_contratual!$AL174&gt;3),posicao_contratual!S174="",NOT(ISNUMBER(historico_VU!F174))),"",ROUND(posicao_contratual!S174*historico_VU!F174,2)))</f>
        <v/>
      </c>
      <c r="K174" s="84"/>
      <c r="L174" s="79" t="str">
        <f>IF(AND(A174="",A173&lt;&gt;"",COUNTIF(A175:$A$200,"&lt;&gt;")=0),IF(COUNT(L$2:L173)=0,"",ROUND(SUMIF($A$2:A173,"&lt;&gt;",L$2:L173),2)),IF(OR(A174="",AND(ISNUMBER(posicao_contratual!$AL174),posicao_contratual!$AL174&gt;4),posicao_contratual!W174="",NOT(ISNUMBER(historico_VU!G174))),"",ROUND(posicao_contratual!W174*historico_VU!G174,2)))</f>
        <v/>
      </c>
      <c r="M174" s="85" t="str">
        <f>IF(OR(posicao_contratual!J174="",posicao_contratual!N174=""),"",ROUND(MAX(posicao_contratual!J174+posicao_contratual!H174-posicao_contratual!N174,0),2))</f>
        <v/>
      </c>
      <c r="N174" s="79" t="str">
        <f>IF(AND(A174="",A173&lt;&gt;"",COUNTIF(A175:$A$200,"&lt;&gt;")=0),IF(COUNT(N$2:N173)=0,"",ROUND(SUMIF($A$2:A173,"&lt;&gt;",N$2:N173),2)),IF(OR(M174="",NOT(ISNUMBER(historico_VU!D174))),"",ROUND(M174*historico_VU!D174,2)))</f>
        <v/>
      </c>
      <c r="O174" s="85" t="str">
        <f>IF(OR(posicao_contratual!N174="",posicao_contratual!R174=""),"",ROUND(MAX(posicao_contratual!N174+posicao_contratual!L174-posicao_contratual!R174,0),2))</f>
        <v/>
      </c>
      <c r="P174" s="79" t="str">
        <f>IF(AND(A174="",A173&lt;&gt;"",COUNTIF(A175:$A$200,"&lt;&gt;")=0),IF(COUNT(P$2:P173)=0,"",ROUND(SUMIF($A$2:A173,"&lt;&gt;",P$2:P173),2)),IF(OR(O174="",NOT(ISNUMBER(historico_VU!E174))),"",ROUND(O174*historico_VU!E174,2)))</f>
        <v/>
      </c>
      <c r="Q174" s="85" t="str">
        <f>IF(OR(posicao_contratual!R174="",posicao_contratual!V174=""),"",ROUND(MAX(posicao_contratual!R174+posicao_contratual!P174-posicao_contratual!V174,0),2))</f>
        <v/>
      </c>
      <c r="R174" s="79" t="str">
        <f>IF(AND(A174="",A173&lt;&gt;"",COUNTIF(A175:$A$200,"&lt;&gt;")=0),IF(COUNT(R$2:R173)=0,"",ROUND(SUMIF($A$2:A173,"&lt;&gt;",R$2:R173),2)),IF(OR(Q174="",NOT(ISNUMBER(historico_VU!F174))),"",ROUND(Q174*historico_VU!F174,2)))</f>
        <v/>
      </c>
      <c r="S174" s="38"/>
      <c r="T174" s="39" t="str">
        <f>IF(AND(A174="",A173&lt;&gt;"",COUNTIF(A175:$A$200,"&lt;&gt;")=0),IF(COUNT(T$2:T173)=0,"",ROUND(SUMIF($A$2:A173,"&lt;&gt;",T$2:T173),2)),IF(OR(S174="",NOT(ISNUMBER(historico_VU!G174))),"",ROUND(S174*historico_VU!G174,2)))</f>
        <v/>
      </c>
      <c r="U174" s="86" t="str">
        <f>IF(AND(A174="",A173&lt;&gt;"",COUNTIF(A175:$A$200,"&lt;&gt;")=0),"TOTAL",IF(A174="","",posicao_contratual!X174))</f>
        <v/>
      </c>
      <c r="V174" s="86" t="str">
        <f>IF(A174="","",posicao_contratual!X174)</f>
        <v/>
      </c>
      <c r="W174" s="13"/>
      <c r="X174" s="13"/>
      <c r="Y174" s="13"/>
      <c r="Z174" s="13"/>
      <c r="AA174" s="13"/>
      <c r="AB174" s="85" t="str">
        <f>IF(OR(A174="",posicao_contratual!E174="",posicao_contratual!J174=""),"",ROUND(MAX(posicao_contratual!E174-posicao_contratual!J174,0),2))</f>
        <v/>
      </c>
      <c r="AC174" s="79" t="str">
        <f>IF(AND(A174="",A173&lt;&gt;"",COUNTIF(A175:$A$200,"&lt;&gt;")=0),IF(COUNT(AC$2:AC173)=0,"",ROUND(SUMIF($A$2:A173,"&lt;&gt;",AC$2:AC173),2)),IF(OR(AB174="",NOT(ISNUMBER(historico_VU!C174))),"",ROUND(AB174*historico_VU!C174,2)))</f>
        <v/>
      </c>
      <c r="AD174" s="145" t="str">
        <f>IF(A174="","",posicao_contratual!E174)</f>
        <v/>
      </c>
      <c r="AE174" s="145" t="str">
        <f>IF(A174="","",posicao_contratual!I174)</f>
        <v/>
      </c>
      <c r="AF174" s="145" t="str">
        <f>IF(A174="","",posicao_contratual!M174)</f>
        <v/>
      </c>
      <c r="AG174" s="145" t="str">
        <f>IF(A174="","",posicao_contratual!Q174)</f>
        <v/>
      </c>
      <c r="AH174" s="145" t="str">
        <f>IF(A174="","",posicao_contratual!U174)</f>
        <v/>
      </c>
      <c r="AI174" s="145" t="str">
        <f>IF(A174="","",posicao_contratual!G174)</f>
        <v/>
      </c>
      <c r="AJ174" s="145" t="str">
        <f>IF(A174="","",posicao_contratual!K174)</f>
        <v/>
      </c>
      <c r="AK174" s="145" t="str">
        <f>IF(A174="","",posicao_contratual!O174)</f>
        <v/>
      </c>
      <c r="AL174" s="145" t="str">
        <f>IF(A174="","",posicao_contratual!S174)</f>
        <v/>
      </c>
      <c r="AM174" s="145" t="str">
        <f>IF(A174="","",posicao_contratual!W174)</f>
        <v/>
      </c>
      <c r="AN174" s="146" t="str">
        <f>IF(A174="","",posicao_contratual!X174)</f>
        <v/>
      </c>
      <c r="AO174" t="str">
        <f>IF($A174="","",ROUND(SUMIFS(itens_Consumidos!$E$2:$E$200,itens_Consumidos!$A$2:$A$200,$A174),2))</f>
        <v/>
      </c>
      <c r="AP174" t="str">
        <f t="shared" si="30"/>
        <v/>
      </c>
      <c r="AQ174" t="str">
        <f>IF(OR($A174="",AB174="",MEMORIA_RESULTADOS!$I$258=""),"",ROUND(AB174*$C174*(MEMORIA_RESULTADOS!$I$258-1),2))</f>
        <v/>
      </c>
      <c r="AR174" t="str">
        <f>IF(OR($A174="",AP174="",MEMORIA_RESULTADOS!$I$258=""),"",ROUND(AP174*$C174*(parametros!$F$2-MEMORIA_RESULTADOS!$I$258),2))</f>
        <v/>
      </c>
      <c r="AS174" t="str">
        <f>IF($A174="","",ROUND(SUMIFS(itens_Consumidos!$G$2:$G$200,itens_Consumidos!$A$2:$A$200,$A174),2))</f>
        <v/>
      </c>
      <c r="AT174" t="str">
        <f t="shared" si="31"/>
        <v/>
      </c>
      <c r="AU174" t="str">
        <f>IF(OR($A174="",M174="",MEMORIA_RESULTADOS!$I$259=""),"",ROUND(M174*$C174*(MEMORIA_RESULTADOS!$I$259-1),2))</f>
        <v/>
      </c>
      <c r="AV174" t="str">
        <f>IF(OR($A174="",AT174="",MEMORIA_RESULTADOS!$I$259=""),"",ROUND(AT174*$C174*(parametros!$F$3-MEMORIA_RESULTADOS!$I$259),2))</f>
        <v/>
      </c>
      <c r="AW174" t="str">
        <f>IF($A174="","",ROUND(SUMIFS(itens_Consumidos!$I$2:$I$200,itens_Consumidos!$A$2:$A$200,$A174),2))</f>
        <v/>
      </c>
      <c r="AX174" t="str">
        <f t="shared" si="32"/>
        <v/>
      </c>
      <c r="AY174" t="str">
        <f>IF(OR($A174="",O174="",MEMORIA_RESULTADOS!$I$260=""),"",ROUND(O174*$C174*(MEMORIA_RESULTADOS!$I$260-1),2))</f>
        <v/>
      </c>
      <c r="AZ174" t="str">
        <f>IF(OR($A174="",AX174="",MEMORIA_RESULTADOS!$I$260=""),"",ROUND(AX174*$C174*(parametros!$F$4-MEMORIA_RESULTADOS!$I$260),2))</f>
        <v/>
      </c>
      <c r="BA174" t="str">
        <f>IF($A174="","",ROUND(SUMIFS(itens_Consumidos!$K$2:$K$200,itens_Consumidos!$A$2:$A$200,$A174),2))</f>
        <v/>
      </c>
      <c r="BB174" t="str">
        <f t="shared" si="33"/>
        <v/>
      </c>
      <c r="BC174" t="str">
        <f>IF(OR($A174="",Q174="",MEMORIA_RESULTADOS!$I$261=""),"",ROUND(Q174*$C174*(MEMORIA_RESULTADOS!$I$261-1),2))</f>
        <v/>
      </c>
      <c r="BD174" t="str">
        <f>IF(OR($A174="",BB174="",MEMORIA_RESULTADOS!$I$261=""),"",ROUND(BB174*$C174*(parametros!$F$5-MEMORIA_RESULTADOS!$I$261),2))</f>
        <v/>
      </c>
      <c r="BE174" t="str">
        <f>IF($A174="","",ROUND(SUMIFS(itens_Consumidos!$M$2:$M$200,itens_Consumidos!$A$2:$A$200,$A174),2))</f>
        <v/>
      </c>
      <c r="BF174" t="str">
        <f t="shared" si="34"/>
        <v/>
      </c>
      <c r="BG174" t="str">
        <f>IF(OR($A174="",S174="",MEMORIA_RESULTADOS!$I$262=""),"",ROUND(S174*$C174*(MEMORIA_RESULTADOS!$I$262-1),2))</f>
        <v/>
      </c>
      <c r="BH174" t="str">
        <f>IF(OR($A174="",BF174="",MEMORIA_RESULTADOS!$I$262=""),"",ROUND(BF174*$C174*(parametros!$F$6-MEMORIA_RESULTADOS!$I$262),2))</f>
        <v/>
      </c>
      <c r="BI174" t="str">
        <f>IF($A174="","",IF(posicao_contratual!$AL174="","",posicao_contratual!$AL174))</f>
        <v/>
      </c>
    </row>
    <row r="175" spans="1:61" x14ac:dyDescent="0.35">
      <c r="A175" s="81"/>
      <c r="B175" s="82" t="str">
        <f t="shared" si="35"/>
        <v/>
      </c>
      <c r="C175" s="83"/>
      <c r="D175" s="79" t="str">
        <f>IF(AND(A175="",A174&lt;&gt;"",COUNTIF(A176:$A$200,"&lt;&gt;")=0),ROUND(SUMIF($A$2:A174,"&lt;&gt;",$D$2:D174),2),IF(OR(A175="",B175="",C175=""),"",ROUND(B175*C175,2)))</f>
        <v/>
      </c>
      <c r="E175" s="84"/>
      <c r="F175" s="79" t="str">
        <f>IF(AND(A175="",A174&lt;&gt;"",COUNTIF(A176:$A$200,"&lt;&gt;")=0),IF(COUNT(F$2:F174)=0,"",ROUND(SUMIF($A$2:A174,"&lt;&gt;",F$2:F174),2)),IF(OR(A175="",AND(ISNUMBER(posicao_contratual!$AL175),posicao_contratual!$AL175&gt;1),posicao_contratual!K175="",NOT(ISNUMBER(historico_VU!D175))),"",ROUND(posicao_contratual!K175*historico_VU!D175,2)))</f>
        <v/>
      </c>
      <c r="G175" s="84"/>
      <c r="H175" s="79" t="str">
        <f>IF(AND(A175="",A174&lt;&gt;"",COUNTIF(A176:$A$200,"&lt;&gt;")=0),IF(COUNT(H$2:H174)=0,"",ROUND(SUMIF($A$2:A174,"&lt;&gt;",H$2:H174),2)),IF(OR(A175="",AND(ISNUMBER(posicao_contratual!$AL175),posicao_contratual!$AL175&gt;2),posicao_contratual!O175="",NOT(ISNUMBER(historico_VU!E175))),"",ROUND(posicao_contratual!O175*historico_VU!E175,2)))</f>
        <v/>
      </c>
      <c r="I175" s="84"/>
      <c r="J175" s="79" t="str">
        <f>IF(AND(A175="",A174&lt;&gt;"",COUNTIF(A176:$A$200,"&lt;&gt;")=0),IF(COUNT(J$2:J174)=0,"",ROUND(SUMIF($A$2:A174,"&lt;&gt;",J$2:J174),2)),IF(OR(A175="",AND(ISNUMBER(posicao_contratual!$AL175),posicao_contratual!$AL175&gt;3),posicao_contratual!S175="",NOT(ISNUMBER(historico_VU!F175))),"",ROUND(posicao_contratual!S175*historico_VU!F175,2)))</f>
        <v/>
      </c>
      <c r="K175" s="84"/>
      <c r="L175" s="79" t="str">
        <f>IF(AND(A175="",A174&lt;&gt;"",COUNTIF(A176:$A$200,"&lt;&gt;")=0),IF(COUNT(L$2:L174)=0,"",ROUND(SUMIF($A$2:A174,"&lt;&gt;",L$2:L174),2)),IF(OR(A175="",AND(ISNUMBER(posicao_contratual!$AL175),posicao_contratual!$AL175&gt;4),posicao_contratual!W175="",NOT(ISNUMBER(historico_VU!G175))),"",ROUND(posicao_contratual!W175*historico_VU!G175,2)))</f>
        <v/>
      </c>
      <c r="M175" s="85" t="str">
        <f>IF(OR(posicao_contratual!J175="",posicao_contratual!N175=""),"",ROUND(MAX(posicao_contratual!J175+posicao_contratual!H175-posicao_contratual!N175,0),2))</f>
        <v/>
      </c>
      <c r="N175" s="79" t="str">
        <f>IF(AND(A175="",A174&lt;&gt;"",COUNTIF(A176:$A$200,"&lt;&gt;")=0),IF(COUNT(N$2:N174)=0,"",ROUND(SUMIF($A$2:A174,"&lt;&gt;",N$2:N174),2)),IF(OR(M175="",NOT(ISNUMBER(historico_VU!D175))),"",ROUND(M175*historico_VU!D175,2)))</f>
        <v/>
      </c>
      <c r="O175" s="85" t="str">
        <f>IF(OR(posicao_contratual!N175="",posicao_contratual!R175=""),"",ROUND(MAX(posicao_contratual!N175+posicao_contratual!L175-posicao_contratual!R175,0),2))</f>
        <v/>
      </c>
      <c r="P175" s="79" t="str">
        <f>IF(AND(A175="",A174&lt;&gt;"",COUNTIF(A176:$A$200,"&lt;&gt;")=0),IF(COUNT(P$2:P174)=0,"",ROUND(SUMIF($A$2:A174,"&lt;&gt;",P$2:P174),2)),IF(OR(O175="",NOT(ISNUMBER(historico_VU!E175))),"",ROUND(O175*historico_VU!E175,2)))</f>
        <v/>
      </c>
      <c r="Q175" s="85" t="str">
        <f>IF(OR(posicao_contratual!R175="",posicao_contratual!V175=""),"",ROUND(MAX(posicao_contratual!R175+posicao_contratual!P175-posicao_contratual!V175,0),2))</f>
        <v/>
      </c>
      <c r="R175" s="79" t="str">
        <f>IF(AND(A175="",A174&lt;&gt;"",COUNTIF(A176:$A$200,"&lt;&gt;")=0),IF(COUNT(R$2:R174)=0,"",ROUND(SUMIF($A$2:A174,"&lt;&gt;",R$2:R174),2)),IF(OR(Q175="",NOT(ISNUMBER(historico_VU!F175))),"",ROUND(Q175*historico_VU!F175,2)))</f>
        <v/>
      </c>
      <c r="S175" s="38"/>
      <c r="T175" s="39" t="str">
        <f>IF(AND(A175="",A174&lt;&gt;"",COUNTIF(A176:$A$200,"&lt;&gt;")=0),IF(COUNT(T$2:T174)=0,"",ROUND(SUMIF($A$2:A174,"&lt;&gt;",T$2:T174),2)),IF(OR(S175="",NOT(ISNUMBER(historico_VU!G175))),"",ROUND(S175*historico_VU!G175,2)))</f>
        <v/>
      </c>
      <c r="U175" s="86" t="str">
        <f>IF(AND(A175="",A174&lt;&gt;"",COUNTIF(A176:$A$200,"&lt;&gt;")=0),"TOTAL",IF(A175="","",posicao_contratual!X175))</f>
        <v/>
      </c>
      <c r="V175" s="86" t="str">
        <f>IF(A175="","",posicao_contratual!X175)</f>
        <v/>
      </c>
      <c r="W175" s="13"/>
      <c r="X175" s="13"/>
      <c r="Y175" s="13"/>
      <c r="Z175" s="13"/>
      <c r="AA175" s="13"/>
      <c r="AB175" s="85" t="str">
        <f>IF(OR(A175="",posicao_contratual!E175="",posicao_contratual!J175=""),"",ROUND(MAX(posicao_contratual!E175-posicao_contratual!J175,0),2))</f>
        <v/>
      </c>
      <c r="AC175" s="79" t="str">
        <f>IF(AND(A175="",A174&lt;&gt;"",COUNTIF(A176:$A$200,"&lt;&gt;")=0),IF(COUNT(AC$2:AC174)=0,"",ROUND(SUMIF($A$2:A174,"&lt;&gt;",AC$2:AC174),2)),IF(OR(AB175="",NOT(ISNUMBER(historico_VU!C175))),"",ROUND(AB175*historico_VU!C175,2)))</f>
        <v/>
      </c>
      <c r="AD175" s="145" t="str">
        <f>IF(A175="","",posicao_contratual!E175)</f>
        <v/>
      </c>
      <c r="AE175" s="145" t="str">
        <f>IF(A175="","",posicao_contratual!I175)</f>
        <v/>
      </c>
      <c r="AF175" s="145" t="str">
        <f>IF(A175="","",posicao_contratual!M175)</f>
        <v/>
      </c>
      <c r="AG175" s="145" t="str">
        <f>IF(A175="","",posicao_contratual!Q175)</f>
        <v/>
      </c>
      <c r="AH175" s="145" t="str">
        <f>IF(A175="","",posicao_contratual!U175)</f>
        <v/>
      </c>
      <c r="AI175" s="145" t="str">
        <f>IF(A175="","",posicao_contratual!G175)</f>
        <v/>
      </c>
      <c r="AJ175" s="145" t="str">
        <f>IF(A175="","",posicao_contratual!K175)</f>
        <v/>
      </c>
      <c r="AK175" s="145" t="str">
        <f>IF(A175="","",posicao_contratual!O175)</f>
        <v/>
      </c>
      <c r="AL175" s="145" t="str">
        <f>IF(A175="","",posicao_contratual!S175)</f>
        <v/>
      </c>
      <c r="AM175" s="145" t="str">
        <f>IF(A175="","",posicao_contratual!W175)</f>
        <v/>
      </c>
      <c r="AN175" s="146" t="str">
        <f>IF(A175="","",posicao_contratual!X175)</f>
        <v/>
      </c>
      <c r="AO175" t="str">
        <f>IF($A175="","",ROUND(SUMIFS(itens_Consumidos!$E$2:$E$200,itens_Consumidos!$A$2:$A$200,$A175),2))</f>
        <v/>
      </c>
      <c r="AP175" t="str">
        <f t="shared" si="30"/>
        <v/>
      </c>
      <c r="AQ175" t="str">
        <f>IF(OR($A175="",AB175="",MEMORIA_RESULTADOS!$I$258=""),"",ROUND(AB175*$C175*(MEMORIA_RESULTADOS!$I$258-1),2))</f>
        <v/>
      </c>
      <c r="AR175" t="str">
        <f>IF(OR($A175="",AP175="",MEMORIA_RESULTADOS!$I$258=""),"",ROUND(AP175*$C175*(parametros!$F$2-MEMORIA_RESULTADOS!$I$258),2))</f>
        <v/>
      </c>
      <c r="AS175" t="str">
        <f>IF($A175="","",ROUND(SUMIFS(itens_Consumidos!$G$2:$G$200,itens_Consumidos!$A$2:$A$200,$A175),2))</f>
        <v/>
      </c>
      <c r="AT175" t="str">
        <f t="shared" si="31"/>
        <v/>
      </c>
      <c r="AU175" t="str">
        <f>IF(OR($A175="",M175="",MEMORIA_RESULTADOS!$I$259=""),"",ROUND(M175*$C175*(MEMORIA_RESULTADOS!$I$259-1),2))</f>
        <v/>
      </c>
      <c r="AV175" t="str">
        <f>IF(OR($A175="",AT175="",MEMORIA_RESULTADOS!$I$259=""),"",ROUND(AT175*$C175*(parametros!$F$3-MEMORIA_RESULTADOS!$I$259),2))</f>
        <v/>
      </c>
      <c r="AW175" t="str">
        <f>IF($A175="","",ROUND(SUMIFS(itens_Consumidos!$I$2:$I$200,itens_Consumidos!$A$2:$A$200,$A175),2))</f>
        <v/>
      </c>
      <c r="AX175" t="str">
        <f t="shared" si="32"/>
        <v/>
      </c>
      <c r="AY175" t="str">
        <f>IF(OR($A175="",O175="",MEMORIA_RESULTADOS!$I$260=""),"",ROUND(O175*$C175*(MEMORIA_RESULTADOS!$I$260-1),2))</f>
        <v/>
      </c>
      <c r="AZ175" t="str">
        <f>IF(OR($A175="",AX175="",MEMORIA_RESULTADOS!$I$260=""),"",ROUND(AX175*$C175*(parametros!$F$4-MEMORIA_RESULTADOS!$I$260),2))</f>
        <v/>
      </c>
      <c r="BA175" t="str">
        <f>IF($A175="","",ROUND(SUMIFS(itens_Consumidos!$K$2:$K$200,itens_Consumidos!$A$2:$A$200,$A175),2))</f>
        <v/>
      </c>
      <c r="BB175" t="str">
        <f t="shared" si="33"/>
        <v/>
      </c>
      <c r="BC175" t="str">
        <f>IF(OR($A175="",Q175="",MEMORIA_RESULTADOS!$I$261=""),"",ROUND(Q175*$C175*(MEMORIA_RESULTADOS!$I$261-1),2))</f>
        <v/>
      </c>
      <c r="BD175" t="str">
        <f>IF(OR($A175="",BB175="",MEMORIA_RESULTADOS!$I$261=""),"",ROUND(BB175*$C175*(parametros!$F$5-MEMORIA_RESULTADOS!$I$261),2))</f>
        <v/>
      </c>
      <c r="BE175" t="str">
        <f>IF($A175="","",ROUND(SUMIFS(itens_Consumidos!$M$2:$M$200,itens_Consumidos!$A$2:$A$200,$A175),2))</f>
        <v/>
      </c>
      <c r="BF175" t="str">
        <f t="shared" si="34"/>
        <v/>
      </c>
      <c r="BG175" t="str">
        <f>IF(OR($A175="",S175="",MEMORIA_RESULTADOS!$I$262=""),"",ROUND(S175*$C175*(MEMORIA_RESULTADOS!$I$262-1),2))</f>
        <v/>
      </c>
      <c r="BH175" t="str">
        <f>IF(OR($A175="",BF175="",MEMORIA_RESULTADOS!$I$262=""),"",ROUND(BF175*$C175*(parametros!$F$6-MEMORIA_RESULTADOS!$I$262),2))</f>
        <v/>
      </c>
      <c r="BI175" t="str">
        <f>IF($A175="","",IF(posicao_contratual!$AL175="","",posicao_contratual!$AL175))</f>
        <v/>
      </c>
    </row>
    <row r="176" spans="1:61" x14ac:dyDescent="0.35">
      <c r="A176" s="81"/>
      <c r="B176" s="82" t="str">
        <f t="shared" si="35"/>
        <v/>
      </c>
      <c r="C176" s="83"/>
      <c r="D176" s="79" t="str">
        <f>IF(AND(A176="",A175&lt;&gt;"",COUNTIF(A177:$A$200,"&lt;&gt;")=0),ROUND(SUMIF($A$2:A175,"&lt;&gt;",$D$2:D175),2),IF(OR(A176="",B176="",C176=""),"",ROUND(B176*C176,2)))</f>
        <v/>
      </c>
      <c r="E176" s="84"/>
      <c r="F176" s="79" t="str">
        <f>IF(AND(A176="",A175&lt;&gt;"",COUNTIF(A177:$A$200,"&lt;&gt;")=0),IF(COUNT(F$2:F175)=0,"",ROUND(SUMIF($A$2:A175,"&lt;&gt;",F$2:F175),2)),IF(OR(A176="",AND(ISNUMBER(posicao_contratual!$AL176),posicao_contratual!$AL176&gt;1),posicao_contratual!K176="",NOT(ISNUMBER(historico_VU!D176))),"",ROUND(posicao_contratual!K176*historico_VU!D176,2)))</f>
        <v/>
      </c>
      <c r="G176" s="84"/>
      <c r="H176" s="79" t="str">
        <f>IF(AND(A176="",A175&lt;&gt;"",COUNTIF(A177:$A$200,"&lt;&gt;")=0),IF(COUNT(H$2:H175)=0,"",ROUND(SUMIF($A$2:A175,"&lt;&gt;",H$2:H175),2)),IF(OR(A176="",AND(ISNUMBER(posicao_contratual!$AL176),posicao_contratual!$AL176&gt;2),posicao_contratual!O176="",NOT(ISNUMBER(historico_VU!E176))),"",ROUND(posicao_contratual!O176*historico_VU!E176,2)))</f>
        <v/>
      </c>
      <c r="I176" s="84"/>
      <c r="J176" s="79" t="str">
        <f>IF(AND(A176="",A175&lt;&gt;"",COUNTIF(A177:$A$200,"&lt;&gt;")=0),IF(COUNT(J$2:J175)=0,"",ROUND(SUMIF($A$2:A175,"&lt;&gt;",J$2:J175),2)),IF(OR(A176="",AND(ISNUMBER(posicao_contratual!$AL176),posicao_contratual!$AL176&gt;3),posicao_contratual!S176="",NOT(ISNUMBER(historico_VU!F176))),"",ROUND(posicao_contratual!S176*historico_VU!F176,2)))</f>
        <v/>
      </c>
      <c r="K176" s="84"/>
      <c r="L176" s="79" t="str">
        <f>IF(AND(A176="",A175&lt;&gt;"",COUNTIF(A177:$A$200,"&lt;&gt;")=0),IF(COUNT(L$2:L175)=0,"",ROUND(SUMIF($A$2:A175,"&lt;&gt;",L$2:L175),2)),IF(OR(A176="",AND(ISNUMBER(posicao_contratual!$AL176),posicao_contratual!$AL176&gt;4),posicao_contratual!W176="",NOT(ISNUMBER(historico_VU!G176))),"",ROUND(posicao_contratual!W176*historico_VU!G176,2)))</f>
        <v/>
      </c>
      <c r="M176" s="85" t="str">
        <f>IF(OR(posicao_contratual!J176="",posicao_contratual!N176=""),"",ROUND(MAX(posicao_contratual!J176+posicao_contratual!H176-posicao_contratual!N176,0),2))</f>
        <v/>
      </c>
      <c r="N176" s="79" t="str">
        <f>IF(AND(A176="",A175&lt;&gt;"",COUNTIF(A177:$A$200,"&lt;&gt;")=0),IF(COUNT(N$2:N175)=0,"",ROUND(SUMIF($A$2:A175,"&lt;&gt;",N$2:N175),2)),IF(OR(M176="",NOT(ISNUMBER(historico_VU!D176))),"",ROUND(M176*historico_VU!D176,2)))</f>
        <v/>
      </c>
      <c r="O176" s="85" t="str">
        <f>IF(OR(posicao_contratual!N176="",posicao_contratual!R176=""),"",ROUND(MAX(posicao_contratual!N176+posicao_contratual!L176-posicao_contratual!R176,0),2))</f>
        <v/>
      </c>
      <c r="P176" s="79" t="str">
        <f>IF(AND(A176="",A175&lt;&gt;"",COUNTIF(A177:$A$200,"&lt;&gt;")=0),IF(COUNT(P$2:P175)=0,"",ROUND(SUMIF($A$2:A175,"&lt;&gt;",P$2:P175),2)),IF(OR(O176="",NOT(ISNUMBER(historico_VU!E176))),"",ROUND(O176*historico_VU!E176,2)))</f>
        <v/>
      </c>
      <c r="Q176" s="85" t="str">
        <f>IF(OR(posicao_contratual!R176="",posicao_contratual!V176=""),"",ROUND(MAX(posicao_contratual!R176+posicao_contratual!P176-posicao_contratual!V176,0),2))</f>
        <v/>
      </c>
      <c r="R176" s="79" t="str">
        <f>IF(AND(A176="",A175&lt;&gt;"",COUNTIF(A177:$A$200,"&lt;&gt;")=0),IF(COUNT(R$2:R175)=0,"",ROUND(SUMIF($A$2:A175,"&lt;&gt;",R$2:R175),2)),IF(OR(Q176="",NOT(ISNUMBER(historico_VU!F176))),"",ROUND(Q176*historico_VU!F176,2)))</f>
        <v/>
      </c>
      <c r="S176" s="38"/>
      <c r="T176" s="39" t="str">
        <f>IF(AND(A176="",A175&lt;&gt;"",COUNTIF(A177:$A$200,"&lt;&gt;")=0),IF(COUNT(T$2:T175)=0,"",ROUND(SUMIF($A$2:A175,"&lt;&gt;",T$2:T175),2)),IF(OR(S176="",NOT(ISNUMBER(historico_VU!G176))),"",ROUND(S176*historico_VU!G176,2)))</f>
        <v/>
      </c>
      <c r="U176" s="86" t="str">
        <f>IF(AND(A176="",A175&lt;&gt;"",COUNTIF(A177:$A$200,"&lt;&gt;")=0),"TOTAL",IF(A176="","",posicao_contratual!X176))</f>
        <v/>
      </c>
      <c r="V176" s="86" t="str">
        <f>IF(A176="","",posicao_contratual!X176)</f>
        <v/>
      </c>
      <c r="W176" s="13"/>
      <c r="X176" s="13"/>
      <c r="Y176" s="13"/>
      <c r="Z176" s="13"/>
      <c r="AA176" s="13"/>
      <c r="AB176" s="85" t="str">
        <f>IF(OR(A176="",posicao_contratual!E176="",posicao_contratual!J176=""),"",ROUND(MAX(posicao_contratual!E176-posicao_contratual!J176,0),2))</f>
        <v/>
      </c>
      <c r="AC176" s="79" t="str">
        <f>IF(AND(A176="",A175&lt;&gt;"",COUNTIF(A177:$A$200,"&lt;&gt;")=0),IF(COUNT(AC$2:AC175)=0,"",ROUND(SUMIF($A$2:A175,"&lt;&gt;",AC$2:AC175),2)),IF(OR(AB176="",NOT(ISNUMBER(historico_VU!C176))),"",ROUND(AB176*historico_VU!C176,2)))</f>
        <v/>
      </c>
      <c r="AD176" s="145" t="str">
        <f>IF(A176="","",posicao_contratual!E176)</f>
        <v/>
      </c>
      <c r="AE176" s="145" t="str">
        <f>IF(A176="","",posicao_contratual!I176)</f>
        <v/>
      </c>
      <c r="AF176" s="145" t="str">
        <f>IF(A176="","",posicao_contratual!M176)</f>
        <v/>
      </c>
      <c r="AG176" s="145" t="str">
        <f>IF(A176="","",posicao_contratual!Q176)</f>
        <v/>
      </c>
      <c r="AH176" s="145" t="str">
        <f>IF(A176="","",posicao_contratual!U176)</f>
        <v/>
      </c>
      <c r="AI176" s="145" t="str">
        <f>IF(A176="","",posicao_contratual!G176)</f>
        <v/>
      </c>
      <c r="AJ176" s="145" t="str">
        <f>IF(A176="","",posicao_contratual!K176)</f>
        <v/>
      </c>
      <c r="AK176" s="145" t="str">
        <f>IF(A176="","",posicao_contratual!O176)</f>
        <v/>
      </c>
      <c r="AL176" s="145" t="str">
        <f>IF(A176="","",posicao_contratual!S176)</f>
        <v/>
      </c>
      <c r="AM176" s="145" t="str">
        <f>IF(A176="","",posicao_contratual!W176)</f>
        <v/>
      </c>
      <c r="AN176" s="146" t="str">
        <f>IF(A176="","",posicao_contratual!X176)</f>
        <v/>
      </c>
      <c r="AO176" t="str">
        <f>IF($A176="","",ROUND(SUMIFS(itens_Consumidos!$E$2:$E$200,itens_Consumidos!$A$2:$A$200,$A176),2))</f>
        <v/>
      </c>
      <c r="AP176" t="str">
        <f t="shared" si="30"/>
        <v/>
      </c>
      <c r="AQ176" t="str">
        <f>IF(OR($A176="",AB176="",MEMORIA_RESULTADOS!$I$258=""),"",ROUND(AB176*$C176*(MEMORIA_RESULTADOS!$I$258-1),2))</f>
        <v/>
      </c>
      <c r="AR176" t="str">
        <f>IF(OR($A176="",AP176="",MEMORIA_RESULTADOS!$I$258=""),"",ROUND(AP176*$C176*(parametros!$F$2-MEMORIA_RESULTADOS!$I$258),2))</f>
        <v/>
      </c>
      <c r="AS176" t="str">
        <f>IF($A176="","",ROUND(SUMIFS(itens_Consumidos!$G$2:$G$200,itens_Consumidos!$A$2:$A$200,$A176),2))</f>
        <v/>
      </c>
      <c r="AT176" t="str">
        <f t="shared" si="31"/>
        <v/>
      </c>
      <c r="AU176" t="str">
        <f>IF(OR($A176="",M176="",MEMORIA_RESULTADOS!$I$259=""),"",ROUND(M176*$C176*(MEMORIA_RESULTADOS!$I$259-1),2))</f>
        <v/>
      </c>
      <c r="AV176" t="str">
        <f>IF(OR($A176="",AT176="",MEMORIA_RESULTADOS!$I$259=""),"",ROUND(AT176*$C176*(parametros!$F$3-MEMORIA_RESULTADOS!$I$259),2))</f>
        <v/>
      </c>
      <c r="AW176" t="str">
        <f>IF($A176="","",ROUND(SUMIFS(itens_Consumidos!$I$2:$I$200,itens_Consumidos!$A$2:$A$200,$A176),2))</f>
        <v/>
      </c>
      <c r="AX176" t="str">
        <f t="shared" si="32"/>
        <v/>
      </c>
      <c r="AY176" t="str">
        <f>IF(OR($A176="",O176="",MEMORIA_RESULTADOS!$I$260=""),"",ROUND(O176*$C176*(MEMORIA_RESULTADOS!$I$260-1),2))</f>
        <v/>
      </c>
      <c r="AZ176" t="str">
        <f>IF(OR($A176="",AX176="",MEMORIA_RESULTADOS!$I$260=""),"",ROUND(AX176*$C176*(parametros!$F$4-MEMORIA_RESULTADOS!$I$260),2))</f>
        <v/>
      </c>
      <c r="BA176" t="str">
        <f>IF($A176="","",ROUND(SUMIFS(itens_Consumidos!$K$2:$K$200,itens_Consumidos!$A$2:$A$200,$A176),2))</f>
        <v/>
      </c>
      <c r="BB176" t="str">
        <f t="shared" si="33"/>
        <v/>
      </c>
      <c r="BC176" t="str">
        <f>IF(OR($A176="",Q176="",MEMORIA_RESULTADOS!$I$261=""),"",ROUND(Q176*$C176*(MEMORIA_RESULTADOS!$I$261-1),2))</f>
        <v/>
      </c>
      <c r="BD176" t="str">
        <f>IF(OR($A176="",BB176="",MEMORIA_RESULTADOS!$I$261=""),"",ROUND(BB176*$C176*(parametros!$F$5-MEMORIA_RESULTADOS!$I$261),2))</f>
        <v/>
      </c>
      <c r="BE176" t="str">
        <f>IF($A176="","",ROUND(SUMIFS(itens_Consumidos!$M$2:$M$200,itens_Consumidos!$A$2:$A$200,$A176),2))</f>
        <v/>
      </c>
      <c r="BF176" t="str">
        <f t="shared" si="34"/>
        <v/>
      </c>
      <c r="BG176" t="str">
        <f>IF(OR($A176="",S176="",MEMORIA_RESULTADOS!$I$262=""),"",ROUND(S176*$C176*(MEMORIA_RESULTADOS!$I$262-1),2))</f>
        <v/>
      </c>
      <c r="BH176" t="str">
        <f>IF(OR($A176="",BF176="",MEMORIA_RESULTADOS!$I$262=""),"",ROUND(BF176*$C176*(parametros!$F$6-MEMORIA_RESULTADOS!$I$262),2))</f>
        <v/>
      </c>
      <c r="BI176" t="str">
        <f>IF($A176="","",IF(posicao_contratual!$AL176="","",posicao_contratual!$AL176))</f>
        <v/>
      </c>
    </row>
    <row r="177" spans="1:61" x14ac:dyDescent="0.35">
      <c r="A177" s="81"/>
      <c r="B177" s="82" t="str">
        <f t="shared" si="35"/>
        <v/>
      </c>
      <c r="C177" s="83"/>
      <c r="D177" s="79" t="str">
        <f>IF(AND(A177="",A176&lt;&gt;"",COUNTIF(A178:$A$200,"&lt;&gt;")=0),ROUND(SUMIF($A$2:A176,"&lt;&gt;",$D$2:D176),2),IF(OR(A177="",B177="",C177=""),"",ROUND(B177*C177,2)))</f>
        <v/>
      </c>
      <c r="E177" s="84"/>
      <c r="F177" s="79" t="str">
        <f>IF(AND(A177="",A176&lt;&gt;"",COUNTIF(A178:$A$200,"&lt;&gt;")=0),IF(COUNT(F$2:F176)=0,"",ROUND(SUMIF($A$2:A176,"&lt;&gt;",F$2:F176),2)),IF(OR(A177="",AND(ISNUMBER(posicao_contratual!$AL177),posicao_contratual!$AL177&gt;1),posicao_contratual!K177="",NOT(ISNUMBER(historico_VU!D177))),"",ROUND(posicao_contratual!K177*historico_VU!D177,2)))</f>
        <v/>
      </c>
      <c r="G177" s="84"/>
      <c r="H177" s="79" t="str">
        <f>IF(AND(A177="",A176&lt;&gt;"",COUNTIF(A178:$A$200,"&lt;&gt;")=0),IF(COUNT(H$2:H176)=0,"",ROUND(SUMIF($A$2:A176,"&lt;&gt;",H$2:H176),2)),IF(OR(A177="",AND(ISNUMBER(posicao_contratual!$AL177),posicao_contratual!$AL177&gt;2),posicao_contratual!O177="",NOT(ISNUMBER(historico_VU!E177))),"",ROUND(posicao_contratual!O177*historico_VU!E177,2)))</f>
        <v/>
      </c>
      <c r="I177" s="84"/>
      <c r="J177" s="79" t="str">
        <f>IF(AND(A177="",A176&lt;&gt;"",COUNTIF(A178:$A$200,"&lt;&gt;")=0),IF(COUNT(J$2:J176)=0,"",ROUND(SUMIF($A$2:A176,"&lt;&gt;",J$2:J176),2)),IF(OR(A177="",AND(ISNUMBER(posicao_contratual!$AL177),posicao_contratual!$AL177&gt;3),posicao_contratual!S177="",NOT(ISNUMBER(historico_VU!F177))),"",ROUND(posicao_contratual!S177*historico_VU!F177,2)))</f>
        <v/>
      </c>
      <c r="K177" s="84"/>
      <c r="L177" s="79" t="str">
        <f>IF(AND(A177="",A176&lt;&gt;"",COUNTIF(A178:$A$200,"&lt;&gt;")=0),IF(COUNT(L$2:L176)=0,"",ROUND(SUMIF($A$2:A176,"&lt;&gt;",L$2:L176),2)),IF(OR(A177="",AND(ISNUMBER(posicao_contratual!$AL177),posicao_contratual!$AL177&gt;4),posicao_contratual!W177="",NOT(ISNUMBER(historico_VU!G177))),"",ROUND(posicao_contratual!W177*historico_VU!G177,2)))</f>
        <v/>
      </c>
      <c r="M177" s="85" t="str">
        <f>IF(OR(posicao_contratual!J177="",posicao_contratual!N177=""),"",ROUND(MAX(posicao_contratual!J177+posicao_contratual!H177-posicao_contratual!N177,0),2))</f>
        <v/>
      </c>
      <c r="N177" s="79" t="str">
        <f>IF(AND(A177="",A176&lt;&gt;"",COUNTIF(A178:$A$200,"&lt;&gt;")=0),IF(COUNT(N$2:N176)=0,"",ROUND(SUMIF($A$2:A176,"&lt;&gt;",N$2:N176),2)),IF(OR(M177="",NOT(ISNUMBER(historico_VU!D177))),"",ROUND(M177*historico_VU!D177,2)))</f>
        <v/>
      </c>
      <c r="O177" s="85" t="str">
        <f>IF(OR(posicao_contratual!N177="",posicao_contratual!R177=""),"",ROUND(MAX(posicao_contratual!N177+posicao_contratual!L177-posicao_contratual!R177,0),2))</f>
        <v/>
      </c>
      <c r="P177" s="79" t="str">
        <f>IF(AND(A177="",A176&lt;&gt;"",COUNTIF(A178:$A$200,"&lt;&gt;")=0),IF(COUNT(P$2:P176)=0,"",ROUND(SUMIF($A$2:A176,"&lt;&gt;",P$2:P176),2)),IF(OR(O177="",NOT(ISNUMBER(historico_VU!E177))),"",ROUND(O177*historico_VU!E177,2)))</f>
        <v/>
      </c>
      <c r="Q177" s="85" t="str">
        <f>IF(OR(posicao_contratual!R177="",posicao_contratual!V177=""),"",ROUND(MAX(posicao_contratual!R177+posicao_contratual!P177-posicao_contratual!V177,0),2))</f>
        <v/>
      </c>
      <c r="R177" s="79" t="str">
        <f>IF(AND(A177="",A176&lt;&gt;"",COUNTIF(A178:$A$200,"&lt;&gt;")=0),IF(COUNT(R$2:R176)=0,"",ROUND(SUMIF($A$2:A176,"&lt;&gt;",R$2:R176),2)),IF(OR(Q177="",NOT(ISNUMBER(historico_VU!F177))),"",ROUND(Q177*historico_VU!F177,2)))</f>
        <v/>
      </c>
      <c r="S177" s="38"/>
      <c r="T177" s="39" t="str">
        <f>IF(AND(A177="",A176&lt;&gt;"",COUNTIF(A178:$A$200,"&lt;&gt;")=0),IF(COUNT(T$2:T176)=0,"",ROUND(SUMIF($A$2:A176,"&lt;&gt;",T$2:T176),2)),IF(OR(S177="",NOT(ISNUMBER(historico_VU!G177))),"",ROUND(S177*historico_VU!G177,2)))</f>
        <v/>
      </c>
      <c r="U177" s="86" t="str">
        <f>IF(AND(A177="",A176&lt;&gt;"",COUNTIF(A178:$A$200,"&lt;&gt;")=0),"TOTAL",IF(A177="","",posicao_contratual!X177))</f>
        <v/>
      </c>
      <c r="V177" s="86" t="str">
        <f>IF(A177="","",posicao_contratual!X177)</f>
        <v/>
      </c>
      <c r="W177" s="13"/>
      <c r="X177" s="13"/>
      <c r="Y177" s="13"/>
      <c r="Z177" s="13"/>
      <c r="AA177" s="13"/>
      <c r="AB177" s="85" t="str">
        <f>IF(OR(A177="",posicao_contratual!E177="",posicao_contratual!J177=""),"",ROUND(MAX(posicao_contratual!E177-posicao_contratual!J177,0),2))</f>
        <v/>
      </c>
      <c r="AC177" s="79" t="str">
        <f>IF(AND(A177="",A176&lt;&gt;"",COUNTIF(A178:$A$200,"&lt;&gt;")=0),IF(COUNT(AC$2:AC176)=0,"",ROUND(SUMIF($A$2:A176,"&lt;&gt;",AC$2:AC176),2)),IF(OR(AB177="",NOT(ISNUMBER(historico_VU!C177))),"",ROUND(AB177*historico_VU!C177,2)))</f>
        <v/>
      </c>
      <c r="AD177" s="145" t="str">
        <f>IF(A177="","",posicao_contratual!E177)</f>
        <v/>
      </c>
      <c r="AE177" s="145" t="str">
        <f>IF(A177="","",posicao_contratual!I177)</f>
        <v/>
      </c>
      <c r="AF177" s="145" t="str">
        <f>IF(A177="","",posicao_contratual!M177)</f>
        <v/>
      </c>
      <c r="AG177" s="145" t="str">
        <f>IF(A177="","",posicao_contratual!Q177)</f>
        <v/>
      </c>
      <c r="AH177" s="145" t="str">
        <f>IF(A177="","",posicao_contratual!U177)</f>
        <v/>
      </c>
      <c r="AI177" s="145" t="str">
        <f>IF(A177="","",posicao_contratual!G177)</f>
        <v/>
      </c>
      <c r="AJ177" s="145" t="str">
        <f>IF(A177="","",posicao_contratual!K177)</f>
        <v/>
      </c>
      <c r="AK177" s="145" t="str">
        <f>IF(A177="","",posicao_contratual!O177)</f>
        <v/>
      </c>
      <c r="AL177" s="145" t="str">
        <f>IF(A177="","",posicao_contratual!S177)</f>
        <v/>
      </c>
      <c r="AM177" s="145" t="str">
        <f>IF(A177="","",posicao_contratual!W177)</f>
        <v/>
      </c>
      <c r="AN177" s="146" t="str">
        <f>IF(A177="","",posicao_contratual!X177)</f>
        <v/>
      </c>
      <c r="AO177" t="str">
        <f>IF($A177="","",ROUND(SUMIFS(itens_Consumidos!$E$2:$E$200,itens_Consumidos!$A$2:$A$200,$A177),2))</f>
        <v/>
      </c>
      <c r="AP177" t="str">
        <f t="shared" si="30"/>
        <v/>
      </c>
      <c r="AQ177" t="str">
        <f>IF(OR($A177="",AB177="",MEMORIA_RESULTADOS!$I$258=""),"",ROUND(AB177*$C177*(MEMORIA_RESULTADOS!$I$258-1),2))</f>
        <v/>
      </c>
      <c r="AR177" t="str">
        <f>IF(OR($A177="",AP177="",MEMORIA_RESULTADOS!$I$258=""),"",ROUND(AP177*$C177*(parametros!$F$2-MEMORIA_RESULTADOS!$I$258),2))</f>
        <v/>
      </c>
      <c r="AS177" t="str">
        <f>IF($A177="","",ROUND(SUMIFS(itens_Consumidos!$G$2:$G$200,itens_Consumidos!$A$2:$A$200,$A177),2))</f>
        <v/>
      </c>
      <c r="AT177" t="str">
        <f t="shared" si="31"/>
        <v/>
      </c>
      <c r="AU177" t="str">
        <f>IF(OR($A177="",M177="",MEMORIA_RESULTADOS!$I$259=""),"",ROUND(M177*$C177*(MEMORIA_RESULTADOS!$I$259-1),2))</f>
        <v/>
      </c>
      <c r="AV177" t="str">
        <f>IF(OR($A177="",AT177="",MEMORIA_RESULTADOS!$I$259=""),"",ROUND(AT177*$C177*(parametros!$F$3-MEMORIA_RESULTADOS!$I$259),2))</f>
        <v/>
      </c>
      <c r="AW177" t="str">
        <f>IF($A177="","",ROUND(SUMIFS(itens_Consumidos!$I$2:$I$200,itens_Consumidos!$A$2:$A$200,$A177),2))</f>
        <v/>
      </c>
      <c r="AX177" t="str">
        <f t="shared" si="32"/>
        <v/>
      </c>
      <c r="AY177" t="str">
        <f>IF(OR($A177="",O177="",MEMORIA_RESULTADOS!$I$260=""),"",ROUND(O177*$C177*(MEMORIA_RESULTADOS!$I$260-1),2))</f>
        <v/>
      </c>
      <c r="AZ177" t="str">
        <f>IF(OR($A177="",AX177="",MEMORIA_RESULTADOS!$I$260=""),"",ROUND(AX177*$C177*(parametros!$F$4-MEMORIA_RESULTADOS!$I$260),2))</f>
        <v/>
      </c>
      <c r="BA177" t="str">
        <f>IF($A177="","",ROUND(SUMIFS(itens_Consumidos!$K$2:$K$200,itens_Consumidos!$A$2:$A$200,$A177),2))</f>
        <v/>
      </c>
      <c r="BB177" t="str">
        <f t="shared" si="33"/>
        <v/>
      </c>
      <c r="BC177" t="str">
        <f>IF(OR($A177="",Q177="",MEMORIA_RESULTADOS!$I$261=""),"",ROUND(Q177*$C177*(MEMORIA_RESULTADOS!$I$261-1),2))</f>
        <v/>
      </c>
      <c r="BD177" t="str">
        <f>IF(OR($A177="",BB177="",MEMORIA_RESULTADOS!$I$261=""),"",ROUND(BB177*$C177*(parametros!$F$5-MEMORIA_RESULTADOS!$I$261),2))</f>
        <v/>
      </c>
      <c r="BE177" t="str">
        <f>IF($A177="","",ROUND(SUMIFS(itens_Consumidos!$M$2:$M$200,itens_Consumidos!$A$2:$A$200,$A177),2))</f>
        <v/>
      </c>
      <c r="BF177" t="str">
        <f t="shared" si="34"/>
        <v/>
      </c>
      <c r="BG177" t="str">
        <f>IF(OR($A177="",S177="",MEMORIA_RESULTADOS!$I$262=""),"",ROUND(S177*$C177*(MEMORIA_RESULTADOS!$I$262-1),2))</f>
        <v/>
      </c>
      <c r="BH177" t="str">
        <f>IF(OR($A177="",BF177="",MEMORIA_RESULTADOS!$I$262=""),"",ROUND(BF177*$C177*(parametros!$F$6-MEMORIA_RESULTADOS!$I$262),2))</f>
        <v/>
      </c>
      <c r="BI177" t="str">
        <f>IF($A177="","",IF(posicao_contratual!$AL177="","",posicao_contratual!$AL177))</f>
        <v/>
      </c>
    </row>
    <row r="178" spans="1:61" x14ac:dyDescent="0.35">
      <c r="A178" s="81"/>
      <c r="B178" s="82" t="str">
        <f t="shared" si="35"/>
        <v/>
      </c>
      <c r="C178" s="83"/>
      <c r="D178" s="79" t="str">
        <f>IF(AND(A178="",A177&lt;&gt;"",COUNTIF(A179:$A$200,"&lt;&gt;")=0),ROUND(SUMIF($A$2:A177,"&lt;&gt;",$D$2:D177),2),IF(OR(A178="",B178="",C178=""),"",ROUND(B178*C178,2)))</f>
        <v/>
      </c>
      <c r="E178" s="84"/>
      <c r="F178" s="79" t="str">
        <f>IF(AND(A178="",A177&lt;&gt;"",COUNTIF(A179:$A$200,"&lt;&gt;")=0),IF(COUNT(F$2:F177)=0,"",ROUND(SUMIF($A$2:A177,"&lt;&gt;",F$2:F177),2)),IF(OR(A178="",AND(ISNUMBER(posicao_contratual!$AL178),posicao_contratual!$AL178&gt;1),posicao_contratual!K178="",NOT(ISNUMBER(historico_VU!D178))),"",ROUND(posicao_contratual!K178*historico_VU!D178,2)))</f>
        <v/>
      </c>
      <c r="G178" s="84"/>
      <c r="H178" s="79" t="str">
        <f>IF(AND(A178="",A177&lt;&gt;"",COUNTIF(A179:$A$200,"&lt;&gt;")=0),IF(COUNT(H$2:H177)=0,"",ROUND(SUMIF($A$2:A177,"&lt;&gt;",H$2:H177),2)),IF(OR(A178="",AND(ISNUMBER(posicao_contratual!$AL178),posicao_contratual!$AL178&gt;2),posicao_contratual!O178="",NOT(ISNUMBER(historico_VU!E178))),"",ROUND(posicao_contratual!O178*historico_VU!E178,2)))</f>
        <v/>
      </c>
      <c r="I178" s="84"/>
      <c r="J178" s="79" t="str">
        <f>IF(AND(A178="",A177&lt;&gt;"",COUNTIF(A179:$A$200,"&lt;&gt;")=0),IF(COUNT(J$2:J177)=0,"",ROUND(SUMIF($A$2:A177,"&lt;&gt;",J$2:J177),2)),IF(OR(A178="",AND(ISNUMBER(posicao_contratual!$AL178),posicao_contratual!$AL178&gt;3),posicao_contratual!S178="",NOT(ISNUMBER(historico_VU!F178))),"",ROUND(posicao_contratual!S178*historico_VU!F178,2)))</f>
        <v/>
      </c>
      <c r="K178" s="84"/>
      <c r="L178" s="79" t="str">
        <f>IF(AND(A178="",A177&lt;&gt;"",COUNTIF(A179:$A$200,"&lt;&gt;")=0),IF(COUNT(L$2:L177)=0,"",ROUND(SUMIF($A$2:A177,"&lt;&gt;",L$2:L177),2)),IF(OR(A178="",AND(ISNUMBER(posicao_contratual!$AL178),posicao_contratual!$AL178&gt;4),posicao_contratual!W178="",NOT(ISNUMBER(historico_VU!G178))),"",ROUND(posicao_contratual!W178*historico_VU!G178,2)))</f>
        <v/>
      </c>
      <c r="M178" s="85" t="str">
        <f>IF(OR(posicao_contratual!J178="",posicao_contratual!N178=""),"",ROUND(MAX(posicao_contratual!J178+posicao_contratual!H178-posicao_contratual!N178,0),2))</f>
        <v/>
      </c>
      <c r="N178" s="79" t="str">
        <f>IF(AND(A178="",A177&lt;&gt;"",COUNTIF(A179:$A$200,"&lt;&gt;")=0),IF(COUNT(N$2:N177)=0,"",ROUND(SUMIF($A$2:A177,"&lt;&gt;",N$2:N177),2)),IF(OR(M178="",NOT(ISNUMBER(historico_VU!D178))),"",ROUND(M178*historico_VU!D178,2)))</f>
        <v/>
      </c>
      <c r="O178" s="85" t="str">
        <f>IF(OR(posicao_contratual!N178="",posicao_contratual!R178=""),"",ROUND(MAX(posicao_contratual!N178+posicao_contratual!L178-posicao_contratual!R178,0),2))</f>
        <v/>
      </c>
      <c r="P178" s="79" t="str">
        <f>IF(AND(A178="",A177&lt;&gt;"",COUNTIF(A179:$A$200,"&lt;&gt;")=0),IF(COUNT(P$2:P177)=0,"",ROUND(SUMIF($A$2:A177,"&lt;&gt;",P$2:P177),2)),IF(OR(O178="",NOT(ISNUMBER(historico_VU!E178))),"",ROUND(O178*historico_VU!E178,2)))</f>
        <v/>
      </c>
      <c r="Q178" s="85" t="str">
        <f>IF(OR(posicao_contratual!R178="",posicao_contratual!V178=""),"",ROUND(MAX(posicao_contratual!R178+posicao_contratual!P178-posicao_contratual!V178,0),2))</f>
        <v/>
      </c>
      <c r="R178" s="79" t="str">
        <f>IF(AND(A178="",A177&lt;&gt;"",COUNTIF(A179:$A$200,"&lt;&gt;")=0),IF(COUNT(R$2:R177)=0,"",ROUND(SUMIF($A$2:A177,"&lt;&gt;",R$2:R177),2)),IF(OR(Q178="",NOT(ISNUMBER(historico_VU!F178))),"",ROUND(Q178*historico_VU!F178,2)))</f>
        <v/>
      </c>
      <c r="S178" s="38"/>
      <c r="T178" s="39" t="str">
        <f>IF(AND(A178="",A177&lt;&gt;"",COUNTIF(A179:$A$200,"&lt;&gt;")=0),IF(COUNT(T$2:T177)=0,"",ROUND(SUMIF($A$2:A177,"&lt;&gt;",T$2:T177),2)),IF(OR(S178="",NOT(ISNUMBER(historico_VU!G178))),"",ROUND(S178*historico_VU!G178,2)))</f>
        <v/>
      </c>
      <c r="U178" s="86" t="str">
        <f>IF(AND(A178="",A177&lt;&gt;"",COUNTIF(A179:$A$200,"&lt;&gt;")=0),"TOTAL",IF(A178="","",posicao_contratual!X178))</f>
        <v/>
      </c>
      <c r="V178" s="86" t="str">
        <f>IF(A178="","",posicao_contratual!X178)</f>
        <v/>
      </c>
      <c r="W178" s="13"/>
      <c r="X178" s="13"/>
      <c r="Y178" s="13"/>
      <c r="Z178" s="13"/>
      <c r="AA178" s="13"/>
      <c r="AB178" s="85" t="str">
        <f>IF(OR(A178="",posicao_contratual!E178="",posicao_contratual!J178=""),"",ROUND(MAX(posicao_contratual!E178-posicao_contratual!J178,0),2))</f>
        <v/>
      </c>
      <c r="AC178" s="79" t="str">
        <f>IF(AND(A178="",A177&lt;&gt;"",COUNTIF(A179:$A$200,"&lt;&gt;")=0),IF(COUNT(AC$2:AC177)=0,"",ROUND(SUMIF($A$2:A177,"&lt;&gt;",AC$2:AC177),2)),IF(OR(AB178="",NOT(ISNUMBER(historico_VU!C178))),"",ROUND(AB178*historico_VU!C178,2)))</f>
        <v/>
      </c>
      <c r="AD178" s="145" t="str">
        <f>IF(A178="","",posicao_contratual!E178)</f>
        <v/>
      </c>
      <c r="AE178" s="145" t="str">
        <f>IF(A178="","",posicao_contratual!I178)</f>
        <v/>
      </c>
      <c r="AF178" s="145" t="str">
        <f>IF(A178="","",posicao_contratual!M178)</f>
        <v/>
      </c>
      <c r="AG178" s="145" t="str">
        <f>IF(A178="","",posicao_contratual!Q178)</f>
        <v/>
      </c>
      <c r="AH178" s="145" t="str">
        <f>IF(A178="","",posicao_contratual!U178)</f>
        <v/>
      </c>
      <c r="AI178" s="145" t="str">
        <f>IF(A178="","",posicao_contratual!G178)</f>
        <v/>
      </c>
      <c r="AJ178" s="145" t="str">
        <f>IF(A178="","",posicao_contratual!K178)</f>
        <v/>
      </c>
      <c r="AK178" s="145" t="str">
        <f>IF(A178="","",posicao_contratual!O178)</f>
        <v/>
      </c>
      <c r="AL178" s="145" t="str">
        <f>IF(A178="","",posicao_contratual!S178)</f>
        <v/>
      </c>
      <c r="AM178" s="145" t="str">
        <f>IF(A178="","",posicao_contratual!W178)</f>
        <v/>
      </c>
      <c r="AN178" s="146" t="str">
        <f>IF(A178="","",posicao_contratual!X178)</f>
        <v/>
      </c>
      <c r="AO178" t="str">
        <f>IF($A178="","",ROUND(SUMIFS(itens_Consumidos!$E$2:$E$200,itens_Consumidos!$A$2:$A$200,$A178),2))</f>
        <v/>
      </c>
      <c r="AP178" t="str">
        <f t="shared" si="30"/>
        <v/>
      </c>
      <c r="AQ178" t="str">
        <f>IF(OR($A178="",AB178="",MEMORIA_RESULTADOS!$I$258=""),"",ROUND(AB178*$C178*(MEMORIA_RESULTADOS!$I$258-1),2))</f>
        <v/>
      </c>
      <c r="AR178" t="str">
        <f>IF(OR($A178="",AP178="",MEMORIA_RESULTADOS!$I$258=""),"",ROUND(AP178*$C178*(parametros!$F$2-MEMORIA_RESULTADOS!$I$258),2))</f>
        <v/>
      </c>
      <c r="AS178" t="str">
        <f>IF($A178="","",ROUND(SUMIFS(itens_Consumidos!$G$2:$G$200,itens_Consumidos!$A$2:$A$200,$A178),2))</f>
        <v/>
      </c>
      <c r="AT178" t="str">
        <f t="shared" si="31"/>
        <v/>
      </c>
      <c r="AU178" t="str">
        <f>IF(OR($A178="",M178="",MEMORIA_RESULTADOS!$I$259=""),"",ROUND(M178*$C178*(MEMORIA_RESULTADOS!$I$259-1),2))</f>
        <v/>
      </c>
      <c r="AV178" t="str">
        <f>IF(OR($A178="",AT178="",MEMORIA_RESULTADOS!$I$259=""),"",ROUND(AT178*$C178*(parametros!$F$3-MEMORIA_RESULTADOS!$I$259),2))</f>
        <v/>
      </c>
      <c r="AW178" t="str">
        <f>IF($A178="","",ROUND(SUMIFS(itens_Consumidos!$I$2:$I$200,itens_Consumidos!$A$2:$A$200,$A178),2))</f>
        <v/>
      </c>
      <c r="AX178" t="str">
        <f t="shared" si="32"/>
        <v/>
      </c>
      <c r="AY178" t="str">
        <f>IF(OR($A178="",O178="",MEMORIA_RESULTADOS!$I$260=""),"",ROUND(O178*$C178*(MEMORIA_RESULTADOS!$I$260-1),2))</f>
        <v/>
      </c>
      <c r="AZ178" t="str">
        <f>IF(OR($A178="",AX178="",MEMORIA_RESULTADOS!$I$260=""),"",ROUND(AX178*$C178*(parametros!$F$4-MEMORIA_RESULTADOS!$I$260),2))</f>
        <v/>
      </c>
      <c r="BA178" t="str">
        <f>IF($A178="","",ROUND(SUMIFS(itens_Consumidos!$K$2:$K$200,itens_Consumidos!$A$2:$A$200,$A178),2))</f>
        <v/>
      </c>
      <c r="BB178" t="str">
        <f t="shared" si="33"/>
        <v/>
      </c>
      <c r="BC178" t="str">
        <f>IF(OR($A178="",Q178="",MEMORIA_RESULTADOS!$I$261=""),"",ROUND(Q178*$C178*(MEMORIA_RESULTADOS!$I$261-1),2))</f>
        <v/>
      </c>
      <c r="BD178" t="str">
        <f>IF(OR($A178="",BB178="",MEMORIA_RESULTADOS!$I$261=""),"",ROUND(BB178*$C178*(parametros!$F$5-MEMORIA_RESULTADOS!$I$261),2))</f>
        <v/>
      </c>
      <c r="BE178" t="str">
        <f>IF($A178="","",ROUND(SUMIFS(itens_Consumidos!$M$2:$M$200,itens_Consumidos!$A$2:$A$200,$A178),2))</f>
        <v/>
      </c>
      <c r="BF178" t="str">
        <f t="shared" si="34"/>
        <v/>
      </c>
      <c r="BG178" t="str">
        <f>IF(OR($A178="",S178="",MEMORIA_RESULTADOS!$I$262=""),"",ROUND(S178*$C178*(MEMORIA_RESULTADOS!$I$262-1),2))</f>
        <v/>
      </c>
      <c r="BH178" t="str">
        <f>IF(OR($A178="",BF178="",MEMORIA_RESULTADOS!$I$262=""),"",ROUND(BF178*$C178*(parametros!$F$6-MEMORIA_RESULTADOS!$I$262),2))</f>
        <v/>
      </c>
      <c r="BI178" t="str">
        <f>IF($A178="","",IF(posicao_contratual!$AL178="","",posicao_contratual!$AL178))</f>
        <v/>
      </c>
    </row>
    <row r="179" spans="1:61" x14ac:dyDescent="0.35">
      <c r="A179" s="81"/>
      <c r="B179" s="82" t="str">
        <f t="shared" si="35"/>
        <v/>
      </c>
      <c r="C179" s="83"/>
      <c r="D179" s="79" t="str">
        <f>IF(AND(A179="",A178&lt;&gt;"",COUNTIF(A180:$A$200,"&lt;&gt;")=0),ROUND(SUMIF($A$2:A178,"&lt;&gt;",$D$2:D178),2),IF(OR(A179="",B179="",C179=""),"",ROUND(B179*C179,2)))</f>
        <v/>
      </c>
      <c r="E179" s="84"/>
      <c r="F179" s="79" t="str">
        <f>IF(AND(A179="",A178&lt;&gt;"",COUNTIF(A180:$A$200,"&lt;&gt;")=0),IF(COUNT(F$2:F178)=0,"",ROUND(SUMIF($A$2:A178,"&lt;&gt;",F$2:F178),2)),IF(OR(A179="",AND(ISNUMBER(posicao_contratual!$AL179),posicao_contratual!$AL179&gt;1),posicao_contratual!K179="",NOT(ISNUMBER(historico_VU!D179))),"",ROUND(posicao_contratual!K179*historico_VU!D179,2)))</f>
        <v/>
      </c>
      <c r="G179" s="84"/>
      <c r="H179" s="79" t="str">
        <f>IF(AND(A179="",A178&lt;&gt;"",COUNTIF(A180:$A$200,"&lt;&gt;")=0),IF(COUNT(H$2:H178)=0,"",ROUND(SUMIF($A$2:A178,"&lt;&gt;",H$2:H178),2)),IF(OR(A179="",AND(ISNUMBER(posicao_contratual!$AL179),posicao_contratual!$AL179&gt;2),posicao_contratual!O179="",NOT(ISNUMBER(historico_VU!E179))),"",ROUND(posicao_contratual!O179*historico_VU!E179,2)))</f>
        <v/>
      </c>
      <c r="I179" s="84"/>
      <c r="J179" s="79" t="str">
        <f>IF(AND(A179="",A178&lt;&gt;"",COUNTIF(A180:$A$200,"&lt;&gt;")=0),IF(COUNT(J$2:J178)=0,"",ROUND(SUMIF($A$2:A178,"&lt;&gt;",J$2:J178),2)),IF(OR(A179="",AND(ISNUMBER(posicao_contratual!$AL179),posicao_contratual!$AL179&gt;3),posicao_contratual!S179="",NOT(ISNUMBER(historico_VU!F179))),"",ROUND(posicao_contratual!S179*historico_VU!F179,2)))</f>
        <v/>
      </c>
      <c r="K179" s="84"/>
      <c r="L179" s="79" t="str">
        <f>IF(AND(A179="",A178&lt;&gt;"",COUNTIF(A180:$A$200,"&lt;&gt;")=0),IF(COUNT(L$2:L178)=0,"",ROUND(SUMIF($A$2:A178,"&lt;&gt;",L$2:L178),2)),IF(OR(A179="",AND(ISNUMBER(posicao_contratual!$AL179),posicao_contratual!$AL179&gt;4),posicao_contratual!W179="",NOT(ISNUMBER(historico_VU!G179))),"",ROUND(posicao_contratual!W179*historico_VU!G179,2)))</f>
        <v/>
      </c>
      <c r="M179" s="85" t="str">
        <f>IF(OR(posicao_contratual!J179="",posicao_contratual!N179=""),"",ROUND(MAX(posicao_contratual!J179+posicao_contratual!H179-posicao_contratual!N179,0),2))</f>
        <v/>
      </c>
      <c r="N179" s="79" t="str">
        <f>IF(AND(A179="",A178&lt;&gt;"",COUNTIF(A180:$A$200,"&lt;&gt;")=0),IF(COUNT(N$2:N178)=0,"",ROUND(SUMIF($A$2:A178,"&lt;&gt;",N$2:N178),2)),IF(OR(M179="",NOT(ISNUMBER(historico_VU!D179))),"",ROUND(M179*historico_VU!D179,2)))</f>
        <v/>
      </c>
      <c r="O179" s="85" t="str">
        <f>IF(OR(posicao_contratual!N179="",posicao_contratual!R179=""),"",ROUND(MAX(posicao_contratual!N179+posicao_contratual!L179-posicao_contratual!R179,0),2))</f>
        <v/>
      </c>
      <c r="P179" s="79" t="str">
        <f>IF(AND(A179="",A178&lt;&gt;"",COUNTIF(A180:$A$200,"&lt;&gt;")=0),IF(COUNT(P$2:P178)=0,"",ROUND(SUMIF($A$2:A178,"&lt;&gt;",P$2:P178),2)),IF(OR(O179="",NOT(ISNUMBER(historico_VU!E179))),"",ROUND(O179*historico_VU!E179,2)))</f>
        <v/>
      </c>
      <c r="Q179" s="85" t="str">
        <f>IF(OR(posicao_contratual!R179="",posicao_contratual!V179=""),"",ROUND(MAX(posicao_contratual!R179+posicao_contratual!P179-posicao_contratual!V179,0),2))</f>
        <v/>
      </c>
      <c r="R179" s="79" t="str">
        <f>IF(AND(A179="",A178&lt;&gt;"",COUNTIF(A180:$A$200,"&lt;&gt;")=0),IF(COUNT(R$2:R178)=0,"",ROUND(SUMIF($A$2:A178,"&lt;&gt;",R$2:R178),2)),IF(OR(Q179="",NOT(ISNUMBER(historico_VU!F179))),"",ROUND(Q179*historico_VU!F179,2)))</f>
        <v/>
      </c>
      <c r="S179" s="38"/>
      <c r="T179" s="39" t="str">
        <f>IF(AND(A179="",A178&lt;&gt;"",COUNTIF(A180:$A$200,"&lt;&gt;")=0),IF(COUNT(T$2:T178)=0,"",ROUND(SUMIF($A$2:A178,"&lt;&gt;",T$2:T178),2)),IF(OR(S179="",NOT(ISNUMBER(historico_VU!G179))),"",ROUND(S179*historico_VU!G179,2)))</f>
        <v/>
      </c>
      <c r="U179" s="86" t="str">
        <f>IF(AND(A179="",A178&lt;&gt;"",COUNTIF(A180:$A$200,"&lt;&gt;")=0),"TOTAL",IF(A179="","",posicao_contratual!X179))</f>
        <v/>
      </c>
      <c r="V179" s="86" t="str">
        <f>IF(A179="","",posicao_contratual!X179)</f>
        <v/>
      </c>
      <c r="W179" s="13"/>
      <c r="X179" s="13"/>
      <c r="Y179" s="13"/>
      <c r="Z179" s="13"/>
      <c r="AA179" s="13"/>
      <c r="AB179" s="85" t="str">
        <f>IF(OR(A179="",posicao_contratual!E179="",posicao_contratual!J179=""),"",ROUND(MAX(posicao_contratual!E179-posicao_contratual!J179,0),2))</f>
        <v/>
      </c>
      <c r="AC179" s="79" t="str">
        <f>IF(AND(A179="",A178&lt;&gt;"",COUNTIF(A180:$A$200,"&lt;&gt;")=0),IF(COUNT(AC$2:AC178)=0,"",ROUND(SUMIF($A$2:A178,"&lt;&gt;",AC$2:AC178),2)),IF(OR(AB179="",NOT(ISNUMBER(historico_VU!C179))),"",ROUND(AB179*historico_VU!C179,2)))</f>
        <v/>
      </c>
      <c r="AD179" s="145" t="str">
        <f>IF(A179="","",posicao_contratual!E179)</f>
        <v/>
      </c>
      <c r="AE179" s="145" t="str">
        <f>IF(A179="","",posicao_contratual!I179)</f>
        <v/>
      </c>
      <c r="AF179" s="145" t="str">
        <f>IF(A179="","",posicao_contratual!M179)</f>
        <v/>
      </c>
      <c r="AG179" s="145" t="str">
        <f>IF(A179="","",posicao_contratual!Q179)</f>
        <v/>
      </c>
      <c r="AH179" s="145" t="str">
        <f>IF(A179="","",posicao_contratual!U179)</f>
        <v/>
      </c>
      <c r="AI179" s="145" t="str">
        <f>IF(A179="","",posicao_contratual!G179)</f>
        <v/>
      </c>
      <c r="AJ179" s="145" t="str">
        <f>IF(A179="","",posicao_contratual!K179)</f>
        <v/>
      </c>
      <c r="AK179" s="145" t="str">
        <f>IF(A179="","",posicao_contratual!O179)</f>
        <v/>
      </c>
      <c r="AL179" s="145" t="str">
        <f>IF(A179="","",posicao_contratual!S179)</f>
        <v/>
      </c>
      <c r="AM179" s="145" t="str">
        <f>IF(A179="","",posicao_contratual!W179)</f>
        <v/>
      </c>
      <c r="AN179" s="146" t="str">
        <f>IF(A179="","",posicao_contratual!X179)</f>
        <v/>
      </c>
      <c r="AO179" t="str">
        <f>IF($A179="","",ROUND(SUMIFS(itens_Consumidos!$E$2:$E$200,itens_Consumidos!$A$2:$A$200,$A179),2))</f>
        <v/>
      </c>
      <c r="AP179" t="str">
        <f t="shared" si="30"/>
        <v/>
      </c>
      <c r="AQ179" t="str">
        <f>IF(OR($A179="",AB179="",MEMORIA_RESULTADOS!$I$258=""),"",ROUND(AB179*$C179*(MEMORIA_RESULTADOS!$I$258-1),2))</f>
        <v/>
      </c>
      <c r="AR179" t="str">
        <f>IF(OR($A179="",AP179="",MEMORIA_RESULTADOS!$I$258=""),"",ROUND(AP179*$C179*(parametros!$F$2-MEMORIA_RESULTADOS!$I$258),2))</f>
        <v/>
      </c>
      <c r="AS179" t="str">
        <f>IF($A179="","",ROUND(SUMIFS(itens_Consumidos!$G$2:$G$200,itens_Consumidos!$A$2:$A$200,$A179),2))</f>
        <v/>
      </c>
      <c r="AT179" t="str">
        <f t="shared" si="31"/>
        <v/>
      </c>
      <c r="AU179" t="str">
        <f>IF(OR($A179="",M179="",MEMORIA_RESULTADOS!$I$259=""),"",ROUND(M179*$C179*(MEMORIA_RESULTADOS!$I$259-1),2))</f>
        <v/>
      </c>
      <c r="AV179" t="str">
        <f>IF(OR($A179="",AT179="",MEMORIA_RESULTADOS!$I$259=""),"",ROUND(AT179*$C179*(parametros!$F$3-MEMORIA_RESULTADOS!$I$259),2))</f>
        <v/>
      </c>
      <c r="AW179" t="str">
        <f>IF($A179="","",ROUND(SUMIFS(itens_Consumidos!$I$2:$I$200,itens_Consumidos!$A$2:$A$200,$A179),2))</f>
        <v/>
      </c>
      <c r="AX179" t="str">
        <f t="shared" si="32"/>
        <v/>
      </c>
      <c r="AY179" t="str">
        <f>IF(OR($A179="",O179="",MEMORIA_RESULTADOS!$I$260=""),"",ROUND(O179*$C179*(MEMORIA_RESULTADOS!$I$260-1),2))</f>
        <v/>
      </c>
      <c r="AZ179" t="str">
        <f>IF(OR($A179="",AX179="",MEMORIA_RESULTADOS!$I$260=""),"",ROUND(AX179*$C179*(parametros!$F$4-MEMORIA_RESULTADOS!$I$260),2))</f>
        <v/>
      </c>
      <c r="BA179" t="str">
        <f>IF($A179="","",ROUND(SUMIFS(itens_Consumidos!$K$2:$K$200,itens_Consumidos!$A$2:$A$200,$A179),2))</f>
        <v/>
      </c>
      <c r="BB179" t="str">
        <f t="shared" si="33"/>
        <v/>
      </c>
      <c r="BC179" t="str">
        <f>IF(OR($A179="",Q179="",MEMORIA_RESULTADOS!$I$261=""),"",ROUND(Q179*$C179*(MEMORIA_RESULTADOS!$I$261-1),2))</f>
        <v/>
      </c>
      <c r="BD179" t="str">
        <f>IF(OR($A179="",BB179="",MEMORIA_RESULTADOS!$I$261=""),"",ROUND(BB179*$C179*(parametros!$F$5-MEMORIA_RESULTADOS!$I$261),2))</f>
        <v/>
      </c>
      <c r="BE179" t="str">
        <f>IF($A179="","",ROUND(SUMIFS(itens_Consumidos!$M$2:$M$200,itens_Consumidos!$A$2:$A$200,$A179),2))</f>
        <v/>
      </c>
      <c r="BF179" t="str">
        <f t="shared" si="34"/>
        <v/>
      </c>
      <c r="BG179" t="str">
        <f>IF(OR($A179="",S179="",MEMORIA_RESULTADOS!$I$262=""),"",ROUND(S179*$C179*(MEMORIA_RESULTADOS!$I$262-1),2))</f>
        <v/>
      </c>
      <c r="BH179" t="str">
        <f>IF(OR($A179="",BF179="",MEMORIA_RESULTADOS!$I$262=""),"",ROUND(BF179*$C179*(parametros!$F$6-MEMORIA_RESULTADOS!$I$262),2))</f>
        <v/>
      </c>
      <c r="BI179" t="str">
        <f>IF($A179="","",IF(posicao_contratual!$AL179="","",posicao_contratual!$AL179))</f>
        <v/>
      </c>
    </row>
    <row r="180" spans="1:61" x14ac:dyDescent="0.35">
      <c r="A180" s="81"/>
      <c r="B180" s="82" t="str">
        <f t="shared" si="35"/>
        <v/>
      </c>
      <c r="C180" s="83"/>
      <c r="D180" s="79" t="str">
        <f>IF(AND(A180="",A179&lt;&gt;"",COUNTIF(A181:$A$200,"&lt;&gt;")=0),ROUND(SUMIF($A$2:A179,"&lt;&gt;",$D$2:D179),2),IF(OR(A180="",B180="",C180=""),"",ROUND(B180*C180,2)))</f>
        <v/>
      </c>
      <c r="E180" s="84"/>
      <c r="F180" s="79" t="str">
        <f>IF(AND(A180="",A179&lt;&gt;"",COUNTIF(A181:$A$200,"&lt;&gt;")=0),IF(COUNT(F$2:F179)=0,"",ROUND(SUMIF($A$2:A179,"&lt;&gt;",F$2:F179),2)),IF(OR(A180="",AND(ISNUMBER(posicao_contratual!$AL180),posicao_contratual!$AL180&gt;1),posicao_contratual!K180="",NOT(ISNUMBER(historico_VU!D180))),"",ROUND(posicao_contratual!K180*historico_VU!D180,2)))</f>
        <v/>
      </c>
      <c r="G180" s="84"/>
      <c r="H180" s="79" t="str">
        <f>IF(AND(A180="",A179&lt;&gt;"",COUNTIF(A181:$A$200,"&lt;&gt;")=0),IF(COUNT(H$2:H179)=0,"",ROUND(SUMIF($A$2:A179,"&lt;&gt;",H$2:H179),2)),IF(OR(A180="",AND(ISNUMBER(posicao_contratual!$AL180),posicao_contratual!$AL180&gt;2),posicao_contratual!O180="",NOT(ISNUMBER(historico_VU!E180))),"",ROUND(posicao_contratual!O180*historico_VU!E180,2)))</f>
        <v/>
      </c>
      <c r="I180" s="84"/>
      <c r="J180" s="79" t="str">
        <f>IF(AND(A180="",A179&lt;&gt;"",COUNTIF(A181:$A$200,"&lt;&gt;")=0),IF(COUNT(J$2:J179)=0,"",ROUND(SUMIF($A$2:A179,"&lt;&gt;",J$2:J179),2)),IF(OR(A180="",AND(ISNUMBER(posicao_contratual!$AL180),posicao_contratual!$AL180&gt;3),posicao_contratual!S180="",NOT(ISNUMBER(historico_VU!F180))),"",ROUND(posicao_contratual!S180*historico_VU!F180,2)))</f>
        <v/>
      </c>
      <c r="K180" s="84"/>
      <c r="L180" s="79" t="str">
        <f>IF(AND(A180="",A179&lt;&gt;"",COUNTIF(A181:$A$200,"&lt;&gt;")=0),IF(COUNT(L$2:L179)=0,"",ROUND(SUMIF($A$2:A179,"&lt;&gt;",L$2:L179),2)),IF(OR(A180="",AND(ISNUMBER(posicao_contratual!$AL180),posicao_contratual!$AL180&gt;4),posicao_contratual!W180="",NOT(ISNUMBER(historico_VU!G180))),"",ROUND(posicao_contratual!W180*historico_VU!G180,2)))</f>
        <v/>
      </c>
      <c r="M180" s="85" t="str">
        <f>IF(OR(posicao_contratual!J180="",posicao_contratual!N180=""),"",ROUND(MAX(posicao_contratual!J180+posicao_contratual!H180-posicao_contratual!N180,0),2))</f>
        <v/>
      </c>
      <c r="N180" s="79" t="str">
        <f>IF(AND(A180="",A179&lt;&gt;"",COUNTIF(A181:$A$200,"&lt;&gt;")=0),IF(COUNT(N$2:N179)=0,"",ROUND(SUMIF($A$2:A179,"&lt;&gt;",N$2:N179),2)),IF(OR(M180="",NOT(ISNUMBER(historico_VU!D180))),"",ROUND(M180*historico_VU!D180,2)))</f>
        <v/>
      </c>
      <c r="O180" s="85" t="str">
        <f>IF(OR(posicao_contratual!N180="",posicao_contratual!R180=""),"",ROUND(MAX(posicao_contratual!N180+posicao_contratual!L180-posicao_contratual!R180,0),2))</f>
        <v/>
      </c>
      <c r="P180" s="79" t="str">
        <f>IF(AND(A180="",A179&lt;&gt;"",COUNTIF(A181:$A$200,"&lt;&gt;")=0),IF(COUNT(P$2:P179)=0,"",ROUND(SUMIF($A$2:A179,"&lt;&gt;",P$2:P179),2)),IF(OR(O180="",NOT(ISNUMBER(historico_VU!E180))),"",ROUND(O180*historico_VU!E180,2)))</f>
        <v/>
      </c>
      <c r="Q180" s="85" t="str">
        <f>IF(OR(posicao_contratual!R180="",posicao_contratual!V180=""),"",ROUND(MAX(posicao_contratual!R180+posicao_contratual!P180-posicao_contratual!V180,0),2))</f>
        <v/>
      </c>
      <c r="R180" s="79" t="str">
        <f>IF(AND(A180="",A179&lt;&gt;"",COUNTIF(A181:$A$200,"&lt;&gt;")=0),IF(COUNT(R$2:R179)=0,"",ROUND(SUMIF($A$2:A179,"&lt;&gt;",R$2:R179),2)),IF(OR(Q180="",NOT(ISNUMBER(historico_VU!F180))),"",ROUND(Q180*historico_VU!F180,2)))</f>
        <v/>
      </c>
      <c r="S180" s="38"/>
      <c r="T180" s="39" t="str">
        <f>IF(AND(A180="",A179&lt;&gt;"",COUNTIF(A181:$A$200,"&lt;&gt;")=0),IF(COUNT(T$2:T179)=0,"",ROUND(SUMIF($A$2:A179,"&lt;&gt;",T$2:T179),2)),IF(OR(S180="",NOT(ISNUMBER(historico_VU!G180))),"",ROUND(S180*historico_VU!G180,2)))</f>
        <v/>
      </c>
      <c r="U180" s="86" t="str">
        <f>IF(AND(A180="",A179&lt;&gt;"",COUNTIF(A181:$A$200,"&lt;&gt;")=0),"TOTAL",IF(A180="","",posicao_contratual!X180))</f>
        <v/>
      </c>
      <c r="V180" s="86" t="str">
        <f>IF(A180="","",posicao_contratual!X180)</f>
        <v/>
      </c>
      <c r="W180" s="13"/>
      <c r="X180" s="13"/>
      <c r="Y180" s="13"/>
      <c r="Z180" s="13"/>
      <c r="AA180" s="13"/>
      <c r="AB180" s="85" t="str">
        <f>IF(OR(A180="",posicao_contratual!E180="",posicao_contratual!J180=""),"",ROUND(MAX(posicao_contratual!E180-posicao_contratual!J180,0),2))</f>
        <v/>
      </c>
      <c r="AC180" s="79" t="str">
        <f>IF(AND(A180="",A179&lt;&gt;"",COUNTIF(A181:$A$200,"&lt;&gt;")=0),IF(COUNT(AC$2:AC179)=0,"",ROUND(SUMIF($A$2:A179,"&lt;&gt;",AC$2:AC179),2)),IF(OR(AB180="",NOT(ISNUMBER(historico_VU!C180))),"",ROUND(AB180*historico_VU!C180,2)))</f>
        <v/>
      </c>
      <c r="AD180" s="145" t="str">
        <f>IF(A180="","",posicao_contratual!E180)</f>
        <v/>
      </c>
      <c r="AE180" s="145" t="str">
        <f>IF(A180="","",posicao_contratual!I180)</f>
        <v/>
      </c>
      <c r="AF180" s="145" t="str">
        <f>IF(A180="","",posicao_contratual!M180)</f>
        <v/>
      </c>
      <c r="AG180" s="145" t="str">
        <f>IF(A180="","",posicao_contratual!Q180)</f>
        <v/>
      </c>
      <c r="AH180" s="145" t="str">
        <f>IF(A180="","",posicao_contratual!U180)</f>
        <v/>
      </c>
      <c r="AI180" s="145" t="str">
        <f>IF(A180="","",posicao_contratual!G180)</f>
        <v/>
      </c>
      <c r="AJ180" s="145" t="str">
        <f>IF(A180="","",posicao_contratual!K180)</f>
        <v/>
      </c>
      <c r="AK180" s="145" t="str">
        <f>IF(A180="","",posicao_contratual!O180)</f>
        <v/>
      </c>
      <c r="AL180" s="145" t="str">
        <f>IF(A180="","",posicao_contratual!S180)</f>
        <v/>
      </c>
      <c r="AM180" s="145" t="str">
        <f>IF(A180="","",posicao_contratual!W180)</f>
        <v/>
      </c>
      <c r="AN180" s="146" t="str">
        <f>IF(A180="","",posicao_contratual!X180)</f>
        <v/>
      </c>
      <c r="AO180" t="str">
        <f>IF($A180="","",ROUND(SUMIFS(itens_Consumidos!$E$2:$E$200,itens_Consumidos!$A$2:$A$200,$A180),2))</f>
        <v/>
      </c>
      <c r="AP180" t="str">
        <f t="shared" si="30"/>
        <v/>
      </c>
      <c r="AQ180" t="str">
        <f>IF(OR($A180="",AB180="",MEMORIA_RESULTADOS!$I$258=""),"",ROUND(AB180*$C180*(MEMORIA_RESULTADOS!$I$258-1),2))</f>
        <v/>
      </c>
      <c r="AR180" t="str">
        <f>IF(OR($A180="",AP180="",MEMORIA_RESULTADOS!$I$258=""),"",ROUND(AP180*$C180*(parametros!$F$2-MEMORIA_RESULTADOS!$I$258),2))</f>
        <v/>
      </c>
      <c r="AS180" t="str">
        <f>IF($A180="","",ROUND(SUMIFS(itens_Consumidos!$G$2:$G$200,itens_Consumidos!$A$2:$A$200,$A180),2))</f>
        <v/>
      </c>
      <c r="AT180" t="str">
        <f t="shared" si="31"/>
        <v/>
      </c>
      <c r="AU180" t="str">
        <f>IF(OR($A180="",M180="",MEMORIA_RESULTADOS!$I$259=""),"",ROUND(M180*$C180*(MEMORIA_RESULTADOS!$I$259-1),2))</f>
        <v/>
      </c>
      <c r="AV180" t="str">
        <f>IF(OR($A180="",AT180="",MEMORIA_RESULTADOS!$I$259=""),"",ROUND(AT180*$C180*(parametros!$F$3-MEMORIA_RESULTADOS!$I$259),2))</f>
        <v/>
      </c>
      <c r="AW180" t="str">
        <f>IF($A180="","",ROUND(SUMIFS(itens_Consumidos!$I$2:$I$200,itens_Consumidos!$A$2:$A$200,$A180),2))</f>
        <v/>
      </c>
      <c r="AX180" t="str">
        <f t="shared" si="32"/>
        <v/>
      </c>
      <c r="AY180" t="str">
        <f>IF(OR($A180="",O180="",MEMORIA_RESULTADOS!$I$260=""),"",ROUND(O180*$C180*(MEMORIA_RESULTADOS!$I$260-1),2))</f>
        <v/>
      </c>
      <c r="AZ180" t="str">
        <f>IF(OR($A180="",AX180="",MEMORIA_RESULTADOS!$I$260=""),"",ROUND(AX180*$C180*(parametros!$F$4-MEMORIA_RESULTADOS!$I$260),2))</f>
        <v/>
      </c>
      <c r="BA180" t="str">
        <f>IF($A180="","",ROUND(SUMIFS(itens_Consumidos!$K$2:$K$200,itens_Consumidos!$A$2:$A$200,$A180),2))</f>
        <v/>
      </c>
      <c r="BB180" t="str">
        <f t="shared" si="33"/>
        <v/>
      </c>
      <c r="BC180" t="str">
        <f>IF(OR($A180="",Q180="",MEMORIA_RESULTADOS!$I$261=""),"",ROUND(Q180*$C180*(MEMORIA_RESULTADOS!$I$261-1),2))</f>
        <v/>
      </c>
      <c r="BD180" t="str">
        <f>IF(OR($A180="",BB180="",MEMORIA_RESULTADOS!$I$261=""),"",ROUND(BB180*$C180*(parametros!$F$5-MEMORIA_RESULTADOS!$I$261),2))</f>
        <v/>
      </c>
      <c r="BE180" t="str">
        <f>IF($A180="","",ROUND(SUMIFS(itens_Consumidos!$M$2:$M$200,itens_Consumidos!$A$2:$A$200,$A180),2))</f>
        <v/>
      </c>
      <c r="BF180" t="str">
        <f t="shared" si="34"/>
        <v/>
      </c>
      <c r="BG180" t="str">
        <f>IF(OR($A180="",S180="",MEMORIA_RESULTADOS!$I$262=""),"",ROUND(S180*$C180*(MEMORIA_RESULTADOS!$I$262-1),2))</f>
        <v/>
      </c>
      <c r="BH180" t="str">
        <f>IF(OR($A180="",BF180="",MEMORIA_RESULTADOS!$I$262=""),"",ROUND(BF180*$C180*(parametros!$F$6-MEMORIA_RESULTADOS!$I$262),2))</f>
        <v/>
      </c>
      <c r="BI180" t="str">
        <f>IF($A180="","",IF(posicao_contratual!$AL180="","",posicao_contratual!$AL180))</f>
        <v/>
      </c>
    </row>
    <row r="181" spans="1:61" x14ac:dyDescent="0.35">
      <c r="A181" s="81"/>
      <c r="B181" s="82" t="str">
        <f t="shared" si="35"/>
        <v/>
      </c>
      <c r="C181" s="83"/>
      <c r="D181" s="79" t="str">
        <f>IF(AND(A181="",A180&lt;&gt;"",COUNTIF(A182:$A$200,"&lt;&gt;")=0),ROUND(SUMIF($A$2:A180,"&lt;&gt;",$D$2:D180),2),IF(OR(A181="",B181="",C181=""),"",ROUND(B181*C181,2)))</f>
        <v/>
      </c>
      <c r="E181" s="84"/>
      <c r="F181" s="79" t="str">
        <f>IF(AND(A181="",A180&lt;&gt;"",COUNTIF(A182:$A$200,"&lt;&gt;")=0),IF(COUNT(F$2:F180)=0,"",ROUND(SUMIF($A$2:A180,"&lt;&gt;",F$2:F180),2)),IF(OR(A181="",AND(ISNUMBER(posicao_contratual!$AL181),posicao_contratual!$AL181&gt;1),posicao_contratual!K181="",NOT(ISNUMBER(historico_VU!D181))),"",ROUND(posicao_contratual!K181*historico_VU!D181,2)))</f>
        <v/>
      </c>
      <c r="G181" s="84"/>
      <c r="H181" s="79" t="str">
        <f>IF(AND(A181="",A180&lt;&gt;"",COUNTIF(A182:$A$200,"&lt;&gt;")=0),IF(COUNT(H$2:H180)=0,"",ROUND(SUMIF($A$2:A180,"&lt;&gt;",H$2:H180),2)),IF(OR(A181="",AND(ISNUMBER(posicao_contratual!$AL181),posicao_contratual!$AL181&gt;2),posicao_contratual!O181="",NOT(ISNUMBER(historico_VU!E181))),"",ROUND(posicao_contratual!O181*historico_VU!E181,2)))</f>
        <v/>
      </c>
      <c r="I181" s="84"/>
      <c r="J181" s="79" t="str">
        <f>IF(AND(A181="",A180&lt;&gt;"",COUNTIF(A182:$A$200,"&lt;&gt;")=0),IF(COUNT(J$2:J180)=0,"",ROUND(SUMIF($A$2:A180,"&lt;&gt;",J$2:J180),2)),IF(OR(A181="",AND(ISNUMBER(posicao_contratual!$AL181),posicao_contratual!$AL181&gt;3),posicao_contratual!S181="",NOT(ISNUMBER(historico_VU!F181))),"",ROUND(posicao_contratual!S181*historico_VU!F181,2)))</f>
        <v/>
      </c>
      <c r="K181" s="84"/>
      <c r="L181" s="79" t="str">
        <f>IF(AND(A181="",A180&lt;&gt;"",COUNTIF(A182:$A$200,"&lt;&gt;")=0),IF(COUNT(L$2:L180)=0,"",ROUND(SUMIF($A$2:A180,"&lt;&gt;",L$2:L180),2)),IF(OR(A181="",AND(ISNUMBER(posicao_contratual!$AL181),posicao_contratual!$AL181&gt;4),posicao_contratual!W181="",NOT(ISNUMBER(historico_VU!G181))),"",ROUND(posicao_contratual!W181*historico_VU!G181,2)))</f>
        <v/>
      </c>
      <c r="M181" s="85" t="str">
        <f>IF(OR(posicao_contratual!J181="",posicao_contratual!N181=""),"",ROUND(MAX(posicao_contratual!J181+posicao_contratual!H181-posicao_contratual!N181,0),2))</f>
        <v/>
      </c>
      <c r="N181" s="79" t="str">
        <f>IF(AND(A181="",A180&lt;&gt;"",COUNTIF(A182:$A$200,"&lt;&gt;")=0),IF(COUNT(N$2:N180)=0,"",ROUND(SUMIF($A$2:A180,"&lt;&gt;",N$2:N180),2)),IF(OR(M181="",NOT(ISNUMBER(historico_VU!D181))),"",ROUND(M181*historico_VU!D181,2)))</f>
        <v/>
      </c>
      <c r="O181" s="85" t="str">
        <f>IF(OR(posicao_contratual!N181="",posicao_contratual!R181=""),"",ROUND(MAX(posicao_contratual!N181+posicao_contratual!L181-posicao_contratual!R181,0),2))</f>
        <v/>
      </c>
      <c r="P181" s="79" t="str">
        <f>IF(AND(A181="",A180&lt;&gt;"",COUNTIF(A182:$A$200,"&lt;&gt;")=0),IF(COUNT(P$2:P180)=0,"",ROUND(SUMIF($A$2:A180,"&lt;&gt;",P$2:P180),2)),IF(OR(O181="",NOT(ISNUMBER(historico_VU!E181))),"",ROUND(O181*historico_VU!E181,2)))</f>
        <v/>
      </c>
      <c r="Q181" s="85" t="str">
        <f>IF(OR(posicao_contratual!R181="",posicao_contratual!V181=""),"",ROUND(MAX(posicao_contratual!R181+posicao_contratual!P181-posicao_contratual!V181,0),2))</f>
        <v/>
      </c>
      <c r="R181" s="79" t="str">
        <f>IF(AND(A181="",A180&lt;&gt;"",COUNTIF(A182:$A$200,"&lt;&gt;")=0),IF(COUNT(R$2:R180)=0,"",ROUND(SUMIF($A$2:A180,"&lt;&gt;",R$2:R180),2)),IF(OR(Q181="",NOT(ISNUMBER(historico_VU!F181))),"",ROUND(Q181*historico_VU!F181,2)))</f>
        <v/>
      </c>
      <c r="S181" s="38"/>
      <c r="T181" s="39" t="str">
        <f>IF(AND(A181="",A180&lt;&gt;"",COUNTIF(A182:$A$200,"&lt;&gt;")=0),IF(COUNT(T$2:T180)=0,"",ROUND(SUMIF($A$2:A180,"&lt;&gt;",T$2:T180),2)),IF(OR(S181="",NOT(ISNUMBER(historico_VU!G181))),"",ROUND(S181*historico_VU!G181,2)))</f>
        <v/>
      </c>
      <c r="U181" s="86" t="str">
        <f>IF(AND(A181="",A180&lt;&gt;"",COUNTIF(A182:$A$200,"&lt;&gt;")=0),"TOTAL",IF(A181="","",posicao_contratual!X181))</f>
        <v/>
      </c>
      <c r="V181" s="86" t="str">
        <f>IF(A181="","",posicao_contratual!X181)</f>
        <v/>
      </c>
      <c r="W181" s="13"/>
      <c r="X181" s="13"/>
      <c r="Y181" s="13"/>
      <c r="Z181" s="13"/>
      <c r="AA181" s="13"/>
      <c r="AB181" s="85" t="str">
        <f>IF(OR(A181="",posicao_contratual!E181="",posicao_contratual!J181=""),"",ROUND(MAX(posicao_contratual!E181-posicao_contratual!J181,0),2))</f>
        <v/>
      </c>
      <c r="AC181" s="79" t="str">
        <f>IF(AND(A181="",A180&lt;&gt;"",COUNTIF(A182:$A$200,"&lt;&gt;")=0),IF(COUNT(AC$2:AC180)=0,"",ROUND(SUMIF($A$2:A180,"&lt;&gt;",AC$2:AC180),2)),IF(OR(AB181="",NOT(ISNUMBER(historico_VU!C181))),"",ROUND(AB181*historico_VU!C181,2)))</f>
        <v/>
      </c>
      <c r="AD181" s="145" t="str">
        <f>IF(A181="","",posicao_contratual!E181)</f>
        <v/>
      </c>
      <c r="AE181" s="145" t="str">
        <f>IF(A181="","",posicao_contratual!I181)</f>
        <v/>
      </c>
      <c r="AF181" s="145" t="str">
        <f>IF(A181="","",posicao_contratual!M181)</f>
        <v/>
      </c>
      <c r="AG181" s="145" t="str">
        <f>IF(A181="","",posicao_contratual!Q181)</f>
        <v/>
      </c>
      <c r="AH181" s="145" t="str">
        <f>IF(A181="","",posicao_contratual!U181)</f>
        <v/>
      </c>
      <c r="AI181" s="145" t="str">
        <f>IF(A181="","",posicao_contratual!G181)</f>
        <v/>
      </c>
      <c r="AJ181" s="145" t="str">
        <f>IF(A181="","",posicao_contratual!K181)</f>
        <v/>
      </c>
      <c r="AK181" s="145" t="str">
        <f>IF(A181="","",posicao_contratual!O181)</f>
        <v/>
      </c>
      <c r="AL181" s="145" t="str">
        <f>IF(A181="","",posicao_contratual!S181)</f>
        <v/>
      </c>
      <c r="AM181" s="145" t="str">
        <f>IF(A181="","",posicao_contratual!W181)</f>
        <v/>
      </c>
      <c r="AN181" s="146" t="str">
        <f>IF(A181="","",posicao_contratual!X181)</f>
        <v/>
      </c>
      <c r="AO181" t="str">
        <f>IF($A181="","",ROUND(SUMIFS(itens_Consumidos!$E$2:$E$200,itens_Consumidos!$A$2:$A$200,$A181),2))</f>
        <v/>
      </c>
      <c r="AP181" t="str">
        <f t="shared" si="30"/>
        <v/>
      </c>
      <c r="AQ181" t="str">
        <f>IF(OR($A181="",AB181="",MEMORIA_RESULTADOS!$I$258=""),"",ROUND(AB181*$C181*(MEMORIA_RESULTADOS!$I$258-1),2))</f>
        <v/>
      </c>
      <c r="AR181" t="str">
        <f>IF(OR($A181="",AP181="",MEMORIA_RESULTADOS!$I$258=""),"",ROUND(AP181*$C181*(parametros!$F$2-MEMORIA_RESULTADOS!$I$258),2))</f>
        <v/>
      </c>
      <c r="AS181" t="str">
        <f>IF($A181="","",ROUND(SUMIFS(itens_Consumidos!$G$2:$G$200,itens_Consumidos!$A$2:$A$200,$A181),2))</f>
        <v/>
      </c>
      <c r="AT181" t="str">
        <f t="shared" si="31"/>
        <v/>
      </c>
      <c r="AU181" t="str">
        <f>IF(OR($A181="",M181="",MEMORIA_RESULTADOS!$I$259=""),"",ROUND(M181*$C181*(MEMORIA_RESULTADOS!$I$259-1),2))</f>
        <v/>
      </c>
      <c r="AV181" t="str">
        <f>IF(OR($A181="",AT181="",MEMORIA_RESULTADOS!$I$259=""),"",ROUND(AT181*$C181*(parametros!$F$3-MEMORIA_RESULTADOS!$I$259),2))</f>
        <v/>
      </c>
      <c r="AW181" t="str">
        <f>IF($A181="","",ROUND(SUMIFS(itens_Consumidos!$I$2:$I$200,itens_Consumidos!$A$2:$A$200,$A181),2))</f>
        <v/>
      </c>
      <c r="AX181" t="str">
        <f t="shared" si="32"/>
        <v/>
      </c>
      <c r="AY181" t="str">
        <f>IF(OR($A181="",O181="",MEMORIA_RESULTADOS!$I$260=""),"",ROUND(O181*$C181*(MEMORIA_RESULTADOS!$I$260-1),2))</f>
        <v/>
      </c>
      <c r="AZ181" t="str">
        <f>IF(OR($A181="",AX181="",MEMORIA_RESULTADOS!$I$260=""),"",ROUND(AX181*$C181*(parametros!$F$4-MEMORIA_RESULTADOS!$I$260),2))</f>
        <v/>
      </c>
      <c r="BA181" t="str">
        <f>IF($A181="","",ROUND(SUMIFS(itens_Consumidos!$K$2:$K$200,itens_Consumidos!$A$2:$A$200,$A181),2))</f>
        <v/>
      </c>
      <c r="BB181" t="str">
        <f t="shared" si="33"/>
        <v/>
      </c>
      <c r="BC181" t="str">
        <f>IF(OR($A181="",Q181="",MEMORIA_RESULTADOS!$I$261=""),"",ROUND(Q181*$C181*(MEMORIA_RESULTADOS!$I$261-1),2))</f>
        <v/>
      </c>
      <c r="BD181" t="str">
        <f>IF(OR($A181="",BB181="",MEMORIA_RESULTADOS!$I$261=""),"",ROUND(BB181*$C181*(parametros!$F$5-MEMORIA_RESULTADOS!$I$261),2))</f>
        <v/>
      </c>
      <c r="BE181" t="str">
        <f>IF($A181="","",ROUND(SUMIFS(itens_Consumidos!$M$2:$M$200,itens_Consumidos!$A$2:$A$200,$A181),2))</f>
        <v/>
      </c>
      <c r="BF181" t="str">
        <f t="shared" si="34"/>
        <v/>
      </c>
      <c r="BG181" t="str">
        <f>IF(OR($A181="",S181="",MEMORIA_RESULTADOS!$I$262=""),"",ROUND(S181*$C181*(MEMORIA_RESULTADOS!$I$262-1),2))</f>
        <v/>
      </c>
      <c r="BH181" t="str">
        <f>IF(OR($A181="",BF181="",MEMORIA_RESULTADOS!$I$262=""),"",ROUND(BF181*$C181*(parametros!$F$6-MEMORIA_RESULTADOS!$I$262),2))</f>
        <v/>
      </c>
      <c r="BI181" t="str">
        <f>IF($A181="","",IF(posicao_contratual!$AL181="","",posicao_contratual!$AL181))</f>
        <v/>
      </c>
    </row>
    <row r="182" spans="1:61" x14ac:dyDescent="0.35">
      <c r="A182" s="81"/>
      <c r="B182" s="82" t="str">
        <f t="shared" si="35"/>
        <v/>
      </c>
      <c r="C182" s="83"/>
      <c r="D182" s="79" t="str">
        <f>IF(AND(A182="",A181&lt;&gt;"",COUNTIF(A183:$A$200,"&lt;&gt;")=0),ROUND(SUMIF($A$2:A181,"&lt;&gt;",$D$2:D181),2),IF(OR(A182="",B182="",C182=""),"",ROUND(B182*C182,2)))</f>
        <v/>
      </c>
      <c r="E182" s="84"/>
      <c r="F182" s="79" t="str">
        <f>IF(AND(A182="",A181&lt;&gt;"",COUNTIF(A183:$A$200,"&lt;&gt;")=0),IF(COUNT(F$2:F181)=0,"",ROUND(SUMIF($A$2:A181,"&lt;&gt;",F$2:F181),2)),IF(OR(A182="",AND(ISNUMBER(posicao_contratual!$AL182),posicao_contratual!$AL182&gt;1),posicao_contratual!K182="",NOT(ISNUMBER(historico_VU!D182))),"",ROUND(posicao_contratual!K182*historico_VU!D182,2)))</f>
        <v/>
      </c>
      <c r="G182" s="84"/>
      <c r="H182" s="79" t="str">
        <f>IF(AND(A182="",A181&lt;&gt;"",COUNTIF(A183:$A$200,"&lt;&gt;")=0),IF(COUNT(H$2:H181)=0,"",ROUND(SUMIF($A$2:A181,"&lt;&gt;",H$2:H181),2)),IF(OR(A182="",AND(ISNUMBER(posicao_contratual!$AL182),posicao_contratual!$AL182&gt;2),posicao_contratual!O182="",NOT(ISNUMBER(historico_VU!E182))),"",ROUND(posicao_contratual!O182*historico_VU!E182,2)))</f>
        <v/>
      </c>
      <c r="I182" s="84"/>
      <c r="J182" s="79" t="str">
        <f>IF(AND(A182="",A181&lt;&gt;"",COUNTIF(A183:$A$200,"&lt;&gt;")=0),IF(COUNT(J$2:J181)=0,"",ROUND(SUMIF($A$2:A181,"&lt;&gt;",J$2:J181),2)),IF(OR(A182="",AND(ISNUMBER(posicao_contratual!$AL182),posicao_contratual!$AL182&gt;3),posicao_contratual!S182="",NOT(ISNUMBER(historico_VU!F182))),"",ROUND(posicao_contratual!S182*historico_VU!F182,2)))</f>
        <v/>
      </c>
      <c r="K182" s="84"/>
      <c r="L182" s="79" t="str">
        <f>IF(AND(A182="",A181&lt;&gt;"",COUNTIF(A183:$A$200,"&lt;&gt;")=0),IF(COUNT(L$2:L181)=0,"",ROUND(SUMIF($A$2:A181,"&lt;&gt;",L$2:L181),2)),IF(OR(A182="",AND(ISNUMBER(posicao_contratual!$AL182),posicao_contratual!$AL182&gt;4),posicao_contratual!W182="",NOT(ISNUMBER(historico_VU!G182))),"",ROUND(posicao_contratual!W182*historico_VU!G182,2)))</f>
        <v/>
      </c>
      <c r="M182" s="85" t="str">
        <f>IF(OR(posicao_contratual!J182="",posicao_contratual!N182=""),"",ROUND(MAX(posicao_contratual!J182+posicao_contratual!H182-posicao_contratual!N182,0),2))</f>
        <v/>
      </c>
      <c r="N182" s="79" t="str">
        <f>IF(AND(A182="",A181&lt;&gt;"",COUNTIF(A183:$A$200,"&lt;&gt;")=0),IF(COUNT(N$2:N181)=0,"",ROUND(SUMIF($A$2:A181,"&lt;&gt;",N$2:N181),2)),IF(OR(M182="",NOT(ISNUMBER(historico_VU!D182))),"",ROUND(M182*historico_VU!D182,2)))</f>
        <v/>
      </c>
      <c r="O182" s="85" t="str">
        <f>IF(OR(posicao_contratual!N182="",posicao_contratual!R182=""),"",ROUND(MAX(posicao_contratual!N182+posicao_contratual!L182-posicao_contratual!R182,0),2))</f>
        <v/>
      </c>
      <c r="P182" s="79" t="str">
        <f>IF(AND(A182="",A181&lt;&gt;"",COUNTIF(A183:$A$200,"&lt;&gt;")=0),IF(COUNT(P$2:P181)=0,"",ROUND(SUMIF($A$2:A181,"&lt;&gt;",P$2:P181),2)),IF(OR(O182="",NOT(ISNUMBER(historico_VU!E182))),"",ROUND(O182*historico_VU!E182,2)))</f>
        <v/>
      </c>
      <c r="Q182" s="85" t="str">
        <f>IF(OR(posicao_contratual!R182="",posicao_contratual!V182=""),"",ROUND(MAX(posicao_contratual!R182+posicao_contratual!P182-posicao_contratual!V182,0),2))</f>
        <v/>
      </c>
      <c r="R182" s="79" t="str">
        <f>IF(AND(A182="",A181&lt;&gt;"",COUNTIF(A183:$A$200,"&lt;&gt;")=0),IF(COUNT(R$2:R181)=0,"",ROUND(SUMIF($A$2:A181,"&lt;&gt;",R$2:R181),2)),IF(OR(Q182="",NOT(ISNUMBER(historico_VU!F182))),"",ROUND(Q182*historico_VU!F182,2)))</f>
        <v/>
      </c>
      <c r="S182" s="38"/>
      <c r="T182" s="39" t="str">
        <f>IF(AND(A182="",A181&lt;&gt;"",COUNTIF(A183:$A$200,"&lt;&gt;")=0),IF(COUNT(T$2:T181)=0,"",ROUND(SUMIF($A$2:A181,"&lt;&gt;",T$2:T181),2)),IF(OR(S182="",NOT(ISNUMBER(historico_VU!G182))),"",ROUND(S182*historico_VU!G182,2)))</f>
        <v/>
      </c>
      <c r="U182" s="86" t="str">
        <f>IF(AND(A182="",A181&lt;&gt;"",COUNTIF(A183:$A$200,"&lt;&gt;")=0),"TOTAL",IF(A182="","",posicao_contratual!X182))</f>
        <v/>
      </c>
      <c r="V182" s="86" t="str">
        <f>IF(A182="","",posicao_contratual!X182)</f>
        <v/>
      </c>
      <c r="W182" s="13"/>
      <c r="X182" s="13"/>
      <c r="Y182" s="13"/>
      <c r="Z182" s="13"/>
      <c r="AA182" s="13"/>
      <c r="AB182" s="85" t="str">
        <f>IF(OR(A182="",posicao_contratual!E182="",posicao_contratual!J182=""),"",ROUND(MAX(posicao_contratual!E182-posicao_contratual!J182,0),2))</f>
        <v/>
      </c>
      <c r="AC182" s="79" t="str">
        <f>IF(AND(A182="",A181&lt;&gt;"",COUNTIF(A183:$A$200,"&lt;&gt;")=0),IF(COUNT(AC$2:AC181)=0,"",ROUND(SUMIF($A$2:A181,"&lt;&gt;",AC$2:AC181),2)),IF(OR(AB182="",NOT(ISNUMBER(historico_VU!C182))),"",ROUND(AB182*historico_VU!C182,2)))</f>
        <v/>
      </c>
      <c r="AD182" s="145" t="str">
        <f>IF(A182="","",posicao_contratual!E182)</f>
        <v/>
      </c>
      <c r="AE182" s="145" t="str">
        <f>IF(A182="","",posicao_contratual!I182)</f>
        <v/>
      </c>
      <c r="AF182" s="145" t="str">
        <f>IF(A182="","",posicao_contratual!M182)</f>
        <v/>
      </c>
      <c r="AG182" s="145" t="str">
        <f>IF(A182="","",posicao_contratual!Q182)</f>
        <v/>
      </c>
      <c r="AH182" s="145" t="str">
        <f>IF(A182="","",posicao_contratual!U182)</f>
        <v/>
      </c>
      <c r="AI182" s="145" t="str">
        <f>IF(A182="","",posicao_contratual!G182)</f>
        <v/>
      </c>
      <c r="AJ182" s="145" t="str">
        <f>IF(A182="","",posicao_contratual!K182)</f>
        <v/>
      </c>
      <c r="AK182" s="145" t="str">
        <f>IF(A182="","",posicao_contratual!O182)</f>
        <v/>
      </c>
      <c r="AL182" s="145" t="str">
        <f>IF(A182="","",posicao_contratual!S182)</f>
        <v/>
      </c>
      <c r="AM182" s="145" t="str">
        <f>IF(A182="","",posicao_contratual!W182)</f>
        <v/>
      </c>
      <c r="AN182" s="146" t="str">
        <f>IF(A182="","",posicao_contratual!X182)</f>
        <v/>
      </c>
      <c r="AO182" t="str">
        <f>IF($A182="","",ROUND(SUMIFS(itens_Consumidos!$E$2:$E$200,itens_Consumidos!$A$2:$A$200,$A182),2))</f>
        <v/>
      </c>
      <c r="AP182" t="str">
        <f t="shared" si="30"/>
        <v/>
      </c>
      <c r="AQ182" t="str">
        <f>IF(OR($A182="",AB182="",MEMORIA_RESULTADOS!$I$258=""),"",ROUND(AB182*$C182*(MEMORIA_RESULTADOS!$I$258-1),2))</f>
        <v/>
      </c>
      <c r="AR182" t="str">
        <f>IF(OR($A182="",AP182="",MEMORIA_RESULTADOS!$I$258=""),"",ROUND(AP182*$C182*(parametros!$F$2-MEMORIA_RESULTADOS!$I$258),2))</f>
        <v/>
      </c>
      <c r="AS182" t="str">
        <f>IF($A182="","",ROUND(SUMIFS(itens_Consumidos!$G$2:$G$200,itens_Consumidos!$A$2:$A$200,$A182),2))</f>
        <v/>
      </c>
      <c r="AT182" t="str">
        <f t="shared" si="31"/>
        <v/>
      </c>
      <c r="AU182" t="str">
        <f>IF(OR($A182="",M182="",MEMORIA_RESULTADOS!$I$259=""),"",ROUND(M182*$C182*(MEMORIA_RESULTADOS!$I$259-1),2))</f>
        <v/>
      </c>
      <c r="AV182" t="str">
        <f>IF(OR($A182="",AT182="",MEMORIA_RESULTADOS!$I$259=""),"",ROUND(AT182*$C182*(parametros!$F$3-MEMORIA_RESULTADOS!$I$259),2))</f>
        <v/>
      </c>
      <c r="AW182" t="str">
        <f>IF($A182="","",ROUND(SUMIFS(itens_Consumidos!$I$2:$I$200,itens_Consumidos!$A$2:$A$200,$A182),2))</f>
        <v/>
      </c>
      <c r="AX182" t="str">
        <f t="shared" si="32"/>
        <v/>
      </c>
      <c r="AY182" t="str">
        <f>IF(OR($A182="",O182="",MEMORIA_RESULTADOS!$I$260=""),"",ROUND(O182*$C182*(MEMORIA_RESULTADOS!$I$260-1),2))</f>
        <v/>
      </c>
      <c r="AZ182" t="str">
        <f>IF(OR($A182="",AX182="",MEMORIA_RESULTADOS!$I$260=""),"",ROUND(AX182*$C182*(parametros!$F$4-MEMORIA_RESULTADOS!$I$260),2))</f>
        <v/>
      </c>
      <c r="BA182" t="str">
        <f>IF($A182="","",ROUND(SUMIFS(itens_Consumidos!$K$2:$K$200,itens_Consumidos!$A$2:$A$200,$A182),2))</f>
        <v/>
      </c>
      <c r="BB182" t="str">
        <f t="shared" si="33"/>
        <v/>
      </c>
      <c r="BC182" t="str">
        <f>IF(OR($A182="",Q182="",MEMORIA_RESULTADOS!$I$261=""),"",ROUND(Q182*$C182*(MEMORIA_RESULTADOS!$I$261-1),2))</f>
        <v/>
      </c>
      <c r="BD182" t="str">
        <f>IF(OR($A182="",BB182="",MEMORIA_RESULTADOS!$I$261=""),"",ROUND(BB182*$C182*(parametros!$F$5-MEMORIA_RESULTADOS!$I$261),2))</f>
        <v/>
      </c>
      <c r="BE182" t="str">
        <f>IF($A182="","",ROUND(SUMIFS(itens_Consumidos!$M$2:$M$200,itens_Consumidos!$A$2:$A$200,$A182),2))</f>
        <v/>
      </c>
      <c r="BF182" t="str">
        <f t="shared" si="34"/>
        <v/>
      </c>
      <c r="BG182" t="str">
        <f>IF(OR($A182="",S182="",MEMORIA_RESULTADOS!$I$262=""),"",ROUND(S182*$C182*(MEMORIA_RESULTADOS!$I$262-1),2))</f>
        <v/>
      </c>
      <c r="BH182" t="str">
        <f>IF(OR($A182="",BF182="",MEMORIA_RESULTADOS!$I$262=""),"",ROUND(BF182*$C182*(parametros!$F$6-MEMORIA_RESULTADOS!$I$262),2))</f>
        <v/>
      </c>
      <c r="BI182" t="str">
        <f>IF($A182="","",IF(posicao_contratual!$AL182="","",posicao_contratual!$AL182))</f>
        <v/>
      </c>
    </row>
    <row r="183" spans="1:61" x14ac:dyDescent="0.35">
      <c r="A183" s="81"/>
      <c r="B183" s="82" t="str">
        <f t="shared" si="35"/>
        <v/>
      </c>
      <c r="C183" s="83"/>
      <c r="D183" s="79" t="str">
        <f>IF(AND(A183="",A182&lt;&gt;"",COUNTIF(A184:$A$200,"&lt;&gt;")=0),ROUND(SUMIF($A$2:A182,"&lt;&gt;",$D$2:D182),2),IF(OR(A183="",B183="",C183=""),"",ROUND(B183*C183,2)))</f>
        <v/>
      </c>
      <c r="E183" s="84"/>
      <c r="F183" s="79" t="str">
        <f>IF(AND(A183="",A182&lt;&gt;"",COUNTIF(A184:$A$200,"&lt;&gt;")=0),IF(COUNT(F$2:F182)=0,"",ROUND(SUMIF($A$2:A182,"&lt;&gt;",F$2:F182),2)),IF(OR(A183="",AND(ISNUMBER(posicao_contratual!$AL183),posicao_contratual!$AL183&gt;1),posicao_contratual!K183="",NOT(ISNUMBER(historico_VU!D183))),"",ROUND(posicao_contratual!K183*historico_VU!D183,2)))</f>
        <v/>
      </c>
      <c r="G183" s="84"/>
      <c r="H183" s="79" t="str">
        <f>IF(AND(A183="",A182&lt;&gt;"",COUNTIF(A184:$A$200,"&lt;&gt;")=0),IF(COUNT(H$2:H182)=0,"",ROUND(SUMIF($A$2:A182,"&lt;&gt;",H$2:H182),2)),IF(OR(A183="",AND(ISNUMBER(posicao_contratual!$AL183),posicao_contratual!$AL183&gt;2),posicao_contratual!O183="",NOT(ISNUMBER(historico_VU!E183))),"",ROUND(posicao_contratual!O183*historico_VU!E183,2)))</f>
        <v/>
      </c>
      <c r="I183" s="84"/>
      <c r="J183" s="79" t="str">
        <f>IF(AND(A183="",A182&lt;&gt;"",COUNTIF(A184:$A$200,"&lt;&gt;")=0),IF(COUNT(J$2:J182)=0,"",ROUND(SUMIF($A$2:A182,"&lt;&gt;",J$2:J182),2)),IF(OR(A183="",AND(ISNUMBER(posicao_contratual!$AL183),posicao_contratual!$AL183&gt;3),posicao_contratual!S183="",NOT(ISNUMBER(historico_VU!F183))),"",ROUND(posicao_contratual!S183*historico_VU!F183,2)))</f>
        <v/>
      </c>
      <c r="K183" s="84"/>
      <c r="L183" s="79" t="str">
        <f>IF(AND(A183="",A182&lt;&gt;"",COUNTIF(A184:$A$200,"&lt;&gt;")=0),IF(COUNT(L$2:L182)=0,"",ROUND(SUMIF($A$2:A182,"&lt;&gt;",L$2:L182),2)),IF(OR(A183="",AND(ISNUMBER(posicao_contratual!$AL183),posicao_contratual!$AL183&gt;4),posicao_contratual!W183="",NOT(ISNUMBER(historico_VU!G183))),"",ROUND(posicao_contratual!W183*historico_VU!G183,2)))</f>
        <v/>
      </c>
      <c r="M183" s="85" t="str">
        <f>IF(OR(posicao_contratual!J183="",posicao_contratual!N183=""),"",ROUND(MAX(posicao_contratual!J183+posicao_contratual!H183-posicao_contratual!N183,0),2))</f>
        <v/>
      </c>
      <c r="N183" s="79" t="str">
        <f>IF(AND(A183="",A182&lt;&gt;"",COUNTIF(A184:$A$200,"&lt;&gt;")=0),IF(COUNT(N$2:N182)=0,"",ROUND(SUMIF($A$2:A182,"&lt;&gt;",N$2:N182),2)),IF(OR(M183="",NOT(ISNUMBER(historico_VU!D183))),"",ROUND(M183*historico_VU!D183,2)))</f>
        <v/>
      </c>
      <c r="O183" s="85" t="str">
        <f>IF(OR(posicao_contratual!N183="",posicao_contratual!R183=""),"",ROUND(MAX(posicao_contratual!N183+posicao_contratual!L183-posicao_contratual!R183,0),2))</f>
        <v/>
      </c>
      <c r="P183" s="79" t="str">
        <f>IF(AND(A183="",A182&lt;&gt;"",COUNTIF(A184:$A$200,"&lt;&gt;")=0),IF(COUNT(P$2:P182)=0,"",ROUND(SUMIF($A$2:A182,"&lt;&gt;",P$2:P182),2)),IF(OR(O183="",NOT(ISNUMBER(historico_VU!E183))),"",ROUND(O183*historico_VU!E183,2)))</f>
        <v/>
      </c>
      <c r="Q183" s="85" t="str">
        <f>IF(OR(posicao_contratual!R183="",posicao_contratual!V183=""),"",ROUND(MAX(posicao_contratual!R183+posicao_contratual!P183-posicao_contratual!V183,0),2))</f>
        <v/>
      </c>
      <c r="R183" s="79" t="str">
        <f>IF(AND(A183="",A182&lt;&gt;"",COUNTIF(A184:$A$200,"&lt;&gt;")=0),IF(COUNT(R$2:R182)=0,"",ROUND(SUMIF($A$2:A182,"&lt;&gt;",R$2:R182),2)),IF(OR(Q183="",NOT(ISNUMBER(historico_VU!F183))),"",ROUND(Q183*historico_VU!F183,2)))</f>
        <v/>
      </c>
      <c r="S183" s="38"/>
      <c r="T183" s="39" t="str">
        <f>IF(AND(A183="",A182&lt;&gt;"",COUNTIF(A184:$A$200,"&lt;&gt;")=0),IF(COUNT(T$2:T182)=0,"",ROUND(SUMIF($A$2:A182,"&lt;&gt;",T$2:T182),2)),IF(OR(S183="",NOT(ISNUMBER(historico_VU!G183))),"",ROUND(S183*historico_VU!G183,2)))</f>
        <v/>
      </c>
      <c r="U183" s="86" t="str">
        <f>IF(AND(A183="",A182&lt;&gt;"",COUNTIF(A184:$A$200,"&lt;&gt;")=0),"TOTAL",IF(A183="","",posicao_contratual!X183))</f>
        <v/>
      </c>
      <c r="V183" s="86" t="str">
        <f>IF(A183="","",posicao_contratual!X183)</f>
        <v/>
      </c>
      <c r="W183" s="13"/>
      <c r="X183" s="13"/>
      <c r="Y183" s="13"/>
      <c r="Z183" s="13"/>
      <c r="AA183" s="13"/>
      <c r="AB183" s="85" t="str">
        <f>IF(OR(A183="",posicao_contratual!E183="",posicao_contratual!J183=""),"",ROUND(MAX(posicao_contratual!E183-posicao_contratual!J183,0),2))</f>
        <v/>
      </c>
      <c r="AC183" s="79" t="str">
        <f>IF(AND(A183="",A182&lt;&gt;"",COUNTIF(A184:$A$200,"&lt;&gt;")=0),IF(COUNT(AC$2:AC182)=0,"",ROUND(SUMIF($A$2:A182,"&lt;&gt;",AC$2:AC182),2)),IF(OR(AB183="",NOT(ISNUMBER(historico_VU!C183))),"",ROUND(AB183*historico_VU!C183,2)))</f>
        <v/>
      </c>
      <c r="AD183" s="145" t="str">
        <f>IF(A183="","",posicao_contratual!E183)</f>
        <v/>
      </c>
      <c r="AE183" s="145" t="str">
        <f>IF(A183="","",posicao_contratual!I183)</f>
        <v/>
      </c>
      <c r="AF183" s="145" t="str">
        <f>IF(A183="","",posicao_contratual!M183)</f>
        <v/>
      </c>
      <c r="AG183" s="145" t="str">
        <f>IF(A183="","",posicao_contratual!Q183)</f>
        <v/>
      </c>
      <c r="AH183" s="145" t="str">
        <f>IF(A183="","",posicao_contratual!U183)</f>
        <v/>
      </c>
      <c r="AI183" s="145" t="str">
        <f>IF(A183="","",posicao_contratual!G183)</f>
        <v/>
      </c>
      <c r="AJ183" s="145" t="str">
        <f>IF(A183="","",posicao_contratual!K183)</f>
        <v/>
      </c>
      <c r="AK183" s="145" t="str">
        <f>IF(A183="","",posicao_contratual!O183)</f>
        <v/>
      </c>
      <c r="AL183" s="145" t="str">
        <f>IF(A183="","",posicao_contratual!S183)</f>
        <v/>
      </c>
      <c r="AM183" s="145" t="str">
        <f>IF(A183="","",posicao_contratual!W183)</f>
        <v/>
      </c>
      <c r="AN183" s="146" t="str">
        <f>IF(A183="","",posicao_contratual!X183)</f>
        <v/>
      </c>
      <c r="AO183" t="str">
        <f>IF($A183="","",ROUND(SUMIFS(itens_Consumidos!$E$2:$E$200,itens_Consumidos!$A$2:$A$200,$A183),2))</f>
        <v/>
      </c>
      <c r="AP183" t="str">
        <f t="shared" si="30"/>
        <v/>
      </c>
      <c r="AQ183" t="str">
        <f>IF(OR($A183="",AB183="",MEMORIA_RESULTADOS!$I$258=""),"",ROUND(AB183*$C183*(MEMORIA_RESULTADOS!$I$258-1),2))</f>
        <v/>
      </c>
      <c r="AR183" t="str">
        <f>IF(OR($A183="",AP183="",MEMORIA_RESULTADOS!$I$258=""),"",ROUND(AP183*$C183*(parametros!$F$2-MEMORIA_RESULTADOS!$I$258),2))</f>
        <v/>
      </c>
      <c r="AS183" t="str">
        <f>IF($A183="","",ROUND(SUMIFS(itens_Consumidos!$G$2:$G$200,itens_Consumidos!$A$2:$A$200,$A183),2))</f>
        <v/>
      </c>
      <c r="AT183" t="str">
        <f t="shared" si="31"/>
        <v/>
      </c>
      <c r="AU183" t="str">
        <f>IF(OR($A183="",M183="",MEMORIA_RESULTADOS!$I$259=""),"",ROUND(M183*$C183*(MEMORIA_RESULTADOS!$I$259-1),2))</f>
        <v/>
      </c>
      <c r="AV183" t="str">
        <f>IF(OR($A183="",AT183="",MEMORIA_RESULTADOS!$I$259=""),"",ROUND(AT183*$C183*(parametros!$F$3-MEMORIA_RESULTADOS!$I$259),2))</f>
        <v/>
      </c>
      <c r="AW183" t="str">
        <f>IF($A183="","",ROUND(SUMIFS(itens_Consumidos!$I$2:$I$200,itens_Consumidos!$A$2:$A$200,$A183),2))</f>
        <v/>
      </c>
      <c r="AX183" t="str">
        <f t="shared" si="32"/>
        <v/>
      </c>
      <c r="AY183" t="str">
        <f>IF(OR($A183="",O183="",MEMORIA_RESULTADOS!$I$260=""),"",ROUND(O183*$C183*(MEMORIA_RESULTADOS!$I$260-1),2))</f>
        <v/>
      </c>
      <c r="AZ183" t="str">
        <f>IF(OR($A183="",AX183="",MEMORIA_RESULTADOS!$I$260=""),"",ROUND(AX183*$C183*(parametros!$F$4-MEMORIA_RESULTADOS!$I$260),2))</f>
        <v/>
      </c>
      <c r="BA183" t="str">
        <f>IF($A183="","",ROUND(SUMIFS(itens_Consumidos!$K$2:$K$200,itens_Consumidos!$A$2:$A$200,$A183),2))</f>
        <v/>
      </c>
      <c r="BB183" t="str">
        <f t="shared" si="33"/>
        <v/>
      </c>
      <c r="BC183" t="str">
        <f>IF(OR($A183="",Q183="",MEMORIA_RESULTADOS!$I$261=""),"",ROUND(Q183*$C183*(MEMORIA_RESULTADOS!$I$261-1),2))</f>
        <v/>
      </c>
      <c r="BD183" t="str">
        <f>IF(OR($A183="",BB183="",MEMORIA_RESULTADOS!$I$261=""),"",ROUND(BB183*$C183*(parametros!$F$5-MEMORIA_RESULTADOS!$I$261),2))</f>
        <v/>
      </c>
      <c r="BE183" t="str">
        <f>IF($A183="","",ROUND(SUMIFS(itens_Consumidos!$M$2:$M$200,itens_Consumidos!$A$2:$A$200,$A183),2))</f>
        <v/>
      </c>
      <c r="BF183" t="str">
        <f t="shared" si="34"/>
        <v/>
      </c>
      <c r="BG183" t="str">
        <f>IF(OR($A183="",S183="",MEMORIA_RESULTADOS!$I$262=""),"",ROUND(S183*$C183*(MEMORIA_RESULTADOS!$I$262-1),2))</f>
        <v/>
      </c>
      <c r="BH183" t="str">
        <f>IF(OR($A183="",BF183="",MEMORIA_RESULTADOS!$I$262=""),"",ROUND(BF183*$C183*(parametros!$F$6-MEMORIA_RESULTADOS!$I$262),2))</f>
        <v/>
      </c>
      <c r="BI183" t="str">
        <f>IF($A183="","",IF(posicao_contratual!$AL183="","",posicao_contratual!$AL183))</f>
        <v/>
      </c>
    </row>
    <row r="184" spans="1:61" x14ac:dyDescent="0.35">
      <c r="A184" s="81"/>
      <c r="B184" s="82" t="str">
        <f t="shared" si="35"/>
        <v/>
      </c>
      <c r="C184" s="83"/>
      <c r="D184" s="79" t="str">
        <f>IF(AND(A184="",A183&lt;&gt;"",COUNTIF(A185:$A$200,"&lt;&gt;")=0),ROUND(SUMIF($A$2:A183,"&lt;&gt;",$D$2:D183),2),IF(OR(A184="",B184="",C184=""),"",ROUND(B184*C184,2)))</f>
        <v/>
      </c>
      <c r="E184" s="84"/>
      <c r="F184" s="79" t="str">
        <f>IF(AND(A184="",A183&lt;&gt;"",COUNTIF(A185:$A$200,"&lt;&gt;")=0),IF(COUNT(F$2:F183)=0,"",ROUND(SUMIF($A$2:A183,"&lt;&gt;",F$2:F183),2)),IF(OR(A184="",AND(ISNUMBER(posicao_contratual!$AL184),posicao_contratual!$AL184&gt;1),posicao_contratual!K184="",NOT(ISNUMBER(historico_VU!D184))),"",ROUND(posicao_contratual!K184*historico_VU!D184,2)))</f>
        <v/>
      </c>
      <c r="G184" s="84"/>
      <c r="H184" s="79" t="str">
        <f>IF(AND(A184="",A183&lt;&gt;"",COUNTIF(A185:$A$200,"&lt;&gt;")=0),IF(COUNT(H$2:H183)=0,"",ROUND(SUMIF($A$2:A183,"&lt;&gt;",H$2:H183),2)),IF(OR(A184="",AND(ISNUMBER(posicao_contratual!$AL184),posicao_contratual!$AL184&gt;2),posicao_contratual!O184="",NOT(ISNUMBER(historico_VU!E184))),"",ROUND(posicao_contratual!O184*historico_VU!E184,2)))</f>
        <v/>
      </c>
      <c r="I184" s="84"/>
      <c r="J184" s="79" t="str">
        <f>IF(AND(A184="",A183&lt;&gt;"",COUNTIF(A185:$A$200,"&lt;&gt;")=0),IF(COUNT(J$2:J183)=0,"",ROUND(SUMIF($A$2:A183,"&lt;&gt;",J$2:J183),2)),IF(OR(A184="",AND(ISNUMBER(posicao_contratual!$AL184),posicao_contratual!$AL184&gt;3),posicao_contratual!S184="",NOT(ISNUMBER(historico_VU!F184))),"",ROUND(posicao_contratual!S184*historico_VU!F184,2)))</f>
        <v/>
      </c>
      <c r="K184" s="84"/>
      <c r="L184" s="79" t="str">
        <f>IF(AND(A184="",A183&lt;&gt;"",COUNTIF(A185:$A$200,"&lt;&gt;")=0),IF(COUNT(L$2:L183)=0,"",ROUND(SUMIF($A$2:A183,"&lt;&gt;",L$2:L183),2)),IF(OR(A184="",AND(ISNUMBER(posicao_contratual!$AL184),posicao_contratual!$AL184&gt;4),posicao_contratual!W184="",NOT(ISNUMBER(historico_VU!G184))),"",ROUND(posicao_contratual!W184*historico_VU!G184,2)))</f>
        <v/>
      </c>
      <c r="M184" s="85" t="str">
        <f>IF(OR(posicao_contratual!J184="",posicao_contratual!N184=""),"",ROUND(MAX(posicao_contratual!J184+posicao_contratual!H184-posicao_contratual!N184,0),2))</f>
        <v/>
      </c>
      <c r="N184" s="79" t="str">
        <f>IF(AND(A184="",A183&lt;&gt;"",COUNTIF(A185:$A$200,"&lt;&gt;")=0),IF(COUNT(N$2:N183)=0,"",ROUND(SUMIF($A$2:A183,"&lt;&gt;",N$2:N183),2)),IF(OR(M184="",NOT(ISNUMBER(historico_VU!D184))),"",ROUND(M184*historico_VU!D184,2)))</f>
        <v/>
      </c>
      <c r="O184" s="85" t="str">
        <f>IF(OR(posicao_contratual!N184="",posicao_contratual!R184=""),"",ROUND(MAX(posicao_contratual!N184+posicao_contratual!L184-posicao_contratual!R184,0),2))</f>
        <v/>
      </c>
      <c r="P184" s="79" t="str">
        <f>IF(AND(A184="",A183&lt;&gt;"",COUNTIF(A185:$A$200,"&lt;&gt;")=0),IF(COUNT(P$2:P183)=0,"",ROUND(SUMIF($A$2:A183,"&lt;&gt;",P$2:P183),2)),IF(OR(O184="",NOT(ISNUMBER(historico_VU!E184))),"",ROUND(O184*historico_VU!E184,2)))</f>
        <v/>
      </c>
      <c r="Q184" s="85" t="str">
        <f>IF(OR(posicao_contratual!R184="",posicao_contratual!V184=""),"",ROUND(MAX(posicao_contratual!R184+posicao_contratual!P184-posicao_contratual!V184,0),2))</f>
        <v/>
      </c>
      <c r="R184" s="79" t="str">
        <f>IF(AND(A184="",A183&lt;&gt;"",COUNTIF(A185:$A$200,"&lt;&gt;")=0),IF(COUNT(R$2:R183)=0,"",ROUND(SUMIF($A$2:A183,"&lt;&gt;",R$2:R183),2)),IF(OR(Q184="",NOT(ISNUMBER(historico_VU!F184))),"",ROUND(Q184*historico_VU!F184,2)))</f>
        <v/>
      </c>
      <c r="S184" s="38"/>
      <c r="T184" s="39" t="str">
        <f>IF(AND(A184="",A183&lt;&gt;"",COUNTIF(A185:$A$200,"&lt;&gt;")=0),IF(COUNT(T$2:T183)=0,"",ROUND(SUMIF($A$2:A183,"&lt;&gt;",T$2:T183),2)),IF(OR(S184="",NOT(ISNUMBER(historico_VU!G184))),"",ROUND(S184*historico_VU!G184,2)))</f>
        <v/>
      </c>
      <c r="U184" s="86" t="str">
        <f>IF(AND(A184="",A183&lt;&gt;"",COUNTIF(A185:$A$200,"&lt;&gt;")=0),"TOTAL",IF(A184="","",posicao_contratual!X184))</f>
        <v/>
      </c>
      <c r="V184" s="86" t="str">
        <f>IF(A184="","",posicao_contratual!X184)</f>
        <v/>
      </c>
      <c r="W184" s="13"/>
      <c r="X184" s="13"/>
      <c r="Y184" s="13"/>
      <c r="Z184" s="13"/>
      <c r="AA184" s="13"/>
      <c r="AB184" s="85" t="str">
        <f>IF(OR(A184="",posicao_contratual!E184="",posicao_contratual!J184=""),"",ROUND(MAX(posicao_contratual!E184-posicao_contratual!J184,0),2))</f>
        <v/>
      </c>
      <c r="AC184" s="79" t="str">
        <f>IF(AND(A184="",A183&lt;&gt;"",COUNTIF(A185:$A$200,"&lt;&gt;")=0),IF(COUNT(AC$2:AC183)=0,"",ROUND(SUMIF($A$2:A183,"&lt;&gt;",AC$2:AC183),2)),IF(OR(AB184="",NOT(ISNUMBER(historico_VU!C184))),"",ROUND(AB184*historico_VU!C184,2)))</f>
        <v/>
      </c>
      <c r="AD184" s="145" t="str">
        <f>IF(A184="","",posicao_contratual!E184)</f>
        <v/>
      </c>
      <c r="AE184" s="145" t="str">
        <f>IF(A184="","",posicao_contratual!I184)</f>
        <v/>
      </c>
      <c r="AF184" s="145" t="str">
        <f>IF(A184="","",posicao_contratual!M184)</f>
        <v/>
      </c>
      <c r="AG184" s="145" t="str">
        <f>IF(A184="","",posicao_contratual!Q184)</f>
        <v/>
      </c>
      <c r="AH184" s="145" t="str">
        <f>IF(A184="","",posicao_contratual!U184)</f>
        <v/>
      </c>
      <c r="AI184" s="145" t="str">
        <f>IF(A184="","",posicao_contratual!G184)</f>
        <v/>
      </c>
      <c r="AJ184" s="145" t="str">
        <f>IF(A184="","",posicao_contratual!K184)</f>
        <v/>
      </c>
      <c r="AK184" s="145" t="str">
        <f>IF(A184="","",posicao_contratual!O184)</f>
        <v/>
      </c>
      <c r="AL184" s="145" t="str">
        <f>IF(A184="","",posicao_contratual!S184)</f>
        <v/>
      </c>
      <c r="AM184" s="145" t="str">
        <f>IF(A184="","",posicao_contratual!W184)</f>
        <v/>
      </c>
      <c r="AN184" s="146" t="str">
        <f>IF(A184="","",posicao_contratual!X184)</f>
        <v/>
      </c>
      <c r="AO184" t="str">
        <f>IF($A184="","",ROUND(SUMIFS(itens_Consumidos!$E$2:$E$200,itens_Consumidos!$A$2:$A$200,$A184),2))</f>
        <v/>
      </c>
      <c r="AP184" t="str">
        <f t="shared" si="30"/>
        <v/>
      </c>
      <c r="AQ184" t="str">
        <f>IF(OR($A184="",AB184="",MEMORIA_RESULTADOS!$I$258=""),"",ROUND(AB184*$C184*(MEMORIA_RESULTADOS!$I$258-1),2))</f>
        <v/>
      </c>
      <c r="AR184" t="str">
        <f>IF(OR($A184="",AP184="",MEMORIA_RESULTADOS!$I$258=""),"",ROUND(AP184*$C184*(parametros!$F$2-MEMORIA_RESULTADOS!$I$258),2))</f>
        <v/>
      </c>
      <c r="AS184" t="str">
        <f>IF($A184="","",ROUND(SUMIFS(itens_Consumidos!$G$2:$G$200,itens_Consumidos!$A$2:$A$200,$A184),2))</f>
        <v/>
      </c>
      <c r="AT184" t="str">
        <f t="shared" si="31"/>
        <v/>
      </c>
      <c r="AU184" t="str">
        <f>IF(OR($A184="",M184="",MEMORIA_RESULTADOS!$I$259=""),"",ROUND(M184*$C184*(MEMORIA_RESULTADOS!$I$259-1),2))</f>
        <v/>
      </c>
      <c r="AV184" t="str">
        <f>IF(OR($A184="",AT184="",MEMORIA_RESULTADOS!$I$259=""),"",ROUND(AT184*$C184*(parametros!$F$3-MEMORIA_RESULTADOS!$I$259),2))</f>
        <v/>
      </c>
      <c r="AW184" t="str">
        <f>IF($A184="","",ROUND(SUMIFS(itens_Consumidos!$I$2:$I$200,itens_Consumidos!$A$2:$A$200,$A184),2))</f>
        <v/>
      </c>
      <c r="AX184" t="str">
        <f t="shared" si="32"/>
        <v/>
      </c>
      <c r="AY184" t="str">
        <f>IF(OR($A184="",O184="",MEMORIA_RESULTADOS!$I$260=""),"",ROUND(O184*$C184*(MEMORIA_RESULTADOS!$I$260-1),2))</f>
        <v/>
      </c>
      <c r="AZ184" t="str">
        <f>IF(OR($A184="",AX184="",MEMORIA_RESULTADOS!$I$260=""),"",ROUND(AX184*$C184*(parametros!$F$4-MEMORIA_RESULTADOS!$I$260),2))</f>
        <v/>
      </c>
      <c r="BA184" t="str">
        <f>IF($A184="","",ROUND(SUMIFS(itens_Consumidos!$K$2:$K$200,itens_Consumidos!$A$2:$A$200,$A184),2))</f>
        <v/>
      </c>
      <c r="BB184" t="str">
        <f t="shared" si="33"/>
        <v/>
      </c>
      <c r="BC184" t="str">
        <f>IF(OR($A184="",Q184="",MEMORIA_RESULTADOS!$I$261=""),"",ROUND(Q184*$C184*(MEMORIA_RESULTADOS!$I$261-1),2))</f>
        <v/>
      </c>
      <c r="BD184" t="str">
        <f>IF(OR($A184="",BB184="",MEMORIA_RESULTADOS!$I$261=""),"",ROUND(BB184*$C184*(parametros!$F$5-MEMORIA_RESULTADOS!$I$261),2))</f>
        <v/>
      </c>
      <c r="BE184" t="str">
        <f>IF($A184="","",ROUND(SUMIFS(itens_Consumidos!$M$2:$M$200,itens_Consumidos!$A$2:$A$200,$A184),2))</f>
        <v/>
      </c>
      <c r="BF184" t="str">
        <f t="shared" si="34"/>
        <v/>
      </c>
      <c r="BG184" t="str">
        <f>IF(OR($A184="",S184="",MEMORIA_RESULTADOS!$I$262=""),"",ROUND(S184*$C184*(MEMORIA_RESULTADOS!$I$262-1),2))</f>
        <v/>
      </c>
      <c r="BH184" t="str">
        <f>IF(OR($A184="",BF184="",MEMORIA_RESULTADOS!$I$262=""),"",ROUND(BF184*$C184*(parametros!$F$6-MEMORIA_RESULTADOS!$I$262),2))</f>
        <v/>
      </c>
      <c r="BI184" t="str">
        <f>IF($A184="","",IF(posicao_contratual!$AL184="","",posicao_contratual!$AL184))</f>
        <v/>
      </c>
    </row>
    <row r="185" spans="1:61" x14ac:dyDescent="0.35">
      <c r="A185" s="81"/>
      <c r="B185" s="82" t="str">
        <f t="shared" si="35"/>
        <v/>
      </c>
      <c r="C185" s="83"/>
      <c r="D185" s="79" t="str">
        <f>IF(AND(A185="",A184&lt;&gt;"",COUNTIF(A186:$A$200,"&lt;&gt;")=0),ROUND(SUMIF($A$2:A184,"&lt;&gt;",$D$2:D184),2),IF(OR(A185="",B185="",C185=""),"",ROUND(B185*C185,2)))</f>
        <v/>
      </c>
      <c r="E185" s="84"/>
      <c r="F185" s="79" t="str">
        <f>IF(AND(A185="",A184&lt;&gt;"",COUNTIF(A186:$A$200,"&lt;&gt;")=0),IF(COUNT(F$2:F184)=0,"",ROUND(SUMIF($A$2:A184,"&lt;&gt;",F$2:F184),2)),IF(OR(A185="",AND(ISNUMBER(posicao_contratual!$AL185),posicao_contratual!$AL185&gt;1),posicao_contratual!K185="",NOT(ISNUMBER(historico_VU!D185))),"",ROUND(posicao_contratual!K185*historico_VU!D185,2)))</f>
        <v/>
      </c>
      <c r="G185" s="84"/>
      <c r="H185" s="79" t="str">
        <f>IF(AND(A185="",A184&lt;&gt;"",COUNTIF(A186:$A$200,"&lt;&gt;")=0),IF(COUNT(H$2:H184)=0,"",ROUND(SUMIF($A$2:A184,"&lt;&gt;",H$2:H184),2)),IF(OR(A185="",AND(ISNUMBER(posicao_contratual!$AL185),posicao_contratual!$AL185&gt;2),posicao_contratual!O185="",NOT(ISNUMBER(historico_VU!E185))),"",ROUND(posicao_contratual!O185*historico_VU!E185,2)))</f>
        <v/>
      </c>
      <c r="I185" s="84"/>
      <c r="J185" s="79" t="str">
        <f>IF(AND(A185="",A184&lt;&gt;"",COUNTIF(A186:$A$200,"&lt;&gt;")=0),IF(COUNT(J$2:J184)=0,"",ROUND(SUMIF($A$2:A184,"&lt;&gt;",J$2:J184),2)),IF(OR(A185="",AND(ISNUMBER(posicao_contratual!$AL185),posicao_contratual!$AL185&gt;3),posicao_contratual!S185="",NOT(ISNUMBER(historico_VU!F185))),"",ROUND(posicao_contratual!S185*historico_VU!F185,2)))</f>
        <v/>
      </c>
      <c r="K185" s="84"/>
      <c r="L185" s="79" t="str">
        <f>IF(AND(A185="",A184&lt;&gt;"",COUNTIF(A186:$A$200,"&lt;&gt;")=0),IF(COUNT(L$2:L184)=0,"",ROUND(SUMIF($A$2:A184,"&lt;&gt;",L$2:L184),2)),IF(OR(A185="",AND(ISNUMBER(posicao_contratual!$AL185),posicao_contratual!$AL185&gt;4),posicao_contratual!W185="",NOT(ISNUMBER(historico_VU!G185))),"",ROUND(posicao_contratual!W185*historico_VU!G185,2)))</f>
        <v/>
      </c>
      <c r="M185" s="85" t="str">
        <f>IF(OR(posicao_contratual!J185="",posicao_contratual!N185=""),"",ROUND(MAX(posicao_contratual!J185+posicao_contratual!H185-posicao_contratual!N185,0),2))</f>
        <v/>
      </c>
      <c r="N185" s="79" t="str">
        <f>IF(AND(A185="",A184&lt;&gt;"",COUNTIF(A186:$A$200,"&lt;&gt;")=0),IF(COUNT(N$2:N184)=0,"",ROUND(SUMIF($A$2:A184,"&lt;&gt;",N$2:N184),2)),IF(OR(M185="",NOT(ISNUMBER(historico_VU!D185))),"",ROUND(M185*historico_VU!D185,2)))</f>
        <v/>
      </c>
      <c r="O185" s="85" t="str">
        <f>IF(OR(posicao_contratual!N185="",posicao_contratual!R185=""),"",ROUND(MAX(posicao_contratual!N185+posicao_contratual!L185-posicao_contratual!R185,0),2))</f>
        <v/>
      </c>
      <c r="P185" s="79" t="str">
        <f>IF(AND(A185="",A184&lt;&gt;"",COUNTIF(A186:$A$200,"&lt;&gt;")=0),IF(COUNT(P$2:P184)=0,"",ROUND(SUMIF($A$2:A184,"&lt;&gt;",P$2:P184),2)),IF(OR(O185="",NOT(ISNUMBER(historico_VU!E185))),"",ROUND(O185*historico_VU!E185,2)))</f>
        <v/>
      </c>
      <c r="Q185" s="85" t="str">
        <f>IF(OR(posicao_contratual!R185="",posicao_contratual!V185=""),"",ROUND(MAX(posicao_contratual!R185+posicao_contratual!P185-posicao_contratual!V185,0),2))</f>
        <v/>
      </c>
      <c r="R185" s="79" t="str">
        <f>IF(AND(A185="",A184&lt;&gt;"",COUNTIF(A186:$A$200,"&lt;&gt;")=0),IF(COUNT(R$2:R184)=0,"",ROUND(SUMIF($A$2:A184,"&lt;&gt;",R$2:R184),2)),IF(OR(Q185="",NOT(ISNUMBER(historico_VU!F185))),"",ROUND(Q185*historico_VU!F185,2)))</f>
        <v/>
      </c>
      <c r="S185" s="38"/>
      <c r="T185" s="39" t="str">
        <f>IF(AND(A185="",A184&lt;&gt;"",COUNTIF(A186:$A$200,"&lt;&gt;")=0),IF(COUNT(T$2:T184)=0,"",ROUND(SUMIF($A$2:A184,"&lt;&gt;",T$2:T184),2)),IF(OR(S185="",NOT(ISNUMBER(historico_VU!G185))),"",ROUND(S185*historico_VU!G185,2)))</f>
        <v/>
      </c>
      <c r="U185" s="86" t="str">
        <f>IF(AND(A185="",A184&lt;&gt;"",COUNTIF(A186:$A$200,"&lt;&gt;")=0),"TOTAL",IF(A185="","",posicao_contratual!X185))</f>
        <v/>
      </c>
      <c r="V185" s="86" t="str">
        <f>IF(A185="","",posicao_contratual!X185)</f>
        <v/>
      </c>
      <c r="W185" s="13"/>
      <c r="X185" s="13"/>
      <c r="Y185" s="13"/>
      <c r="Z185" s="13"/>
      <c r="AA185" s="13"/>
      <c r="AB185" s="85" t="str">
        <f>IF(OR(A185="",posicao_contratual!E185="",posicao_contratual!J185=""),"",ROUND(MAX(posicao_contratual!E185-posicao_contratual!J185,0),2))</f>
        <v/>
      </c>
      <c r="AC185" s="79" t="str">
        <f>IF(AND(A185="",A184&lt;&gt;"",COUNTIF(A186:$A$200,"&lt;&gt;")=0),IF(COUNT(AC$2:AC184)=0,"",ROUND(SUMIF($A$2:A184,"&lt;&gt;",AC$2:AC184),2)),IF(OR(AB185="",NOT(ISNUMBER(historico_VU!C185))),"",ROUND(AB185*historico_VU!C185,2)))</f>
        <v/>
      </c>
      <c r="AD185" s="145" t="str">
        <f>IF(A185="","",posicao_contratual!E185)</f>
        <v/>
      </c>
      <c r="AE185" s="145" t="str">
        <f>IF(A185="","",posicao_contratual!I185)</f>
        <v/>
      </c>
      <c r="AF185" s="145" t="str">
        <f>IF(A185="","",posicao_contratual!M185)</f>
        <v/>
      </c>
      <c r="AG185" s="145" t="str">
        <f>IF(A185="","",posicao_contratual!Q185)</f>
        <v/>
      </c>
      <c r="AH185" s="145" t="str">
        <f>IF(A185="","",posicao_contratual!U185)</f>
        <v/>
      </c>
      <c r="AI185" s="145" t="str">
        <f>IF(A185="","",posicao_contratual!G185)</f>
        <v/>
      </c>
      <c r="AJ185" s="145" t="str">
        <f>IF(A185="","",posicao_contratual!K185)</f>
        <v/>
      </c>
      <c r="AK185" s="145" t="str">
        <f>IF(A185="","",posicao_contratual!O185)</f>
        <v/>
      </c>
      <c r="AL185" s="145" t="str">
        <f>IF(A185="","",posicao_contratual!S185)</f>
        <v/>
      </c>
      <c r="AM185" s="145" t="str">
        <f>IF(A185="","",posicao_contratual!W185)</f>
        <v/>
      </c>
      <c r="AN185" s="146" t="str">
        <f>IF(A185="","",posicao_contratual!X185)</f>
        <v/>
      </c>
      <c r="AO185" t="str">
        <f>IF($A185="","",ROUND(SUMIFS(itens_Consumidos!$E$2:$E$200,itens_Consumidos!$A$2:$A$200,$A185),2))</f>
        <v/>
      </c>
      <c r="AP185" t="str">
        <f t="shared" si="30"/>
        <v/>
      </c>
      <c r="AQ185" t="str">
        <f>IF(OR($A185="",AB185="",MEMORIA_RESULTADOS!$I$258=""),"",ROUND(AB185*$C185*(MEMORIA_RESULTADOS!$I$258-1),2))</f>
        <v/>
      </c>
      <c r="AR185" t="str">
        <f>IF(OR($A185="",AP185="",MEMORIA_RESULTADOS!$I$258=""),"",ROUND(AP185*$C185*(parametros!$F$2-MEMORIA_RESULTADOS!$I$258),2))</f>
        <v/>
      </c>
      <c r="AS185" t="str">
        <f>IF($A185="","",ROUND(SUMIFS(itens_Consumidos!$G$2:$G$200,itens_Consumidos!$A$2:$A$200,$A185),2))</f>
        <v/>
      </c>
      <c r="AT185" t="str">
        <f t="shared" si="31"/>
        <v/>
      </c>
      <c r="AU185" t="str">
        <f>IF(OR($A185="",M185="",MEMORIA_RESULTADOS!$I$259=""),"",ROUND(M185*$C185*(MEMORIA_RESULTADOS!$I$259-1),2))</f>
        <v/>
      </c>
      <c r="AV185" t="str">
        <f>IF(OR($A185="",AT185="",MEMORIA_RESULTADOS!$I$259=""),"",ROUND(AT185*$C185*(parametros!$F$3-MEMORIA_RESULTADOS!$I$259),2))</f>
        <v/>
      </c>
      <c r="AW185" t="str">
        <f>IF($A185="","",ROUND(SUMIFS(itens_Consumidos!$I$2:$I$200,itens_Consumidos!$A$2:$A$200,$A185),2))</f>
        <v/>
      </c>
      <c r="AX185" t="str">
        <f t="shared" si="32"/>
        <v/>
      </c>
      <c r="AY185" t="str">
        <f>IF(OR($A185="",O185="",MEMORIA_RESULTADOS!$I$260=""),"",ROUND(O185*$C185*(MEMORIA_RESULTADOS!$I$260-1),2))</f>
        <v/>
      </c>
      <c r="AZ185" t="str">
        <f>IF(OR($A185="",AX185="",MEMORIA_RESULTADOS!$I$260=""),"",ROUND(AX185*$C185*(parametros!$F$4-MEMORIA_RESULTADOS!$I$260),2))</f>
        <v/>
      </c>
      <c r="BA185" t="str">
        <f>IF($A185="","",ROUND(SUMIFS(itens_Consumidos!$K$2:$K$200,itens_Consumidos!$A$2:$A$200,$A185),2))</f>
        <v/>
      </c>
      <c r="BB185" t="str">
        <f t="shared" si="33"/>
        <v/>
      </c>
      <c r="BC185" t="str">
        <f>IF(OR($A185="",Q185="",MEMORIA_RESULTADOS!$I$261=""),"",ROUND(Q185*$C185*(MEMORIA_RESULTADOS!$I$261-1),2))</f>
        <v/>
      </c>
      <c r="BD185" t="str">
        <f>IF(OR($A185="",BB185="",MEMORIA_RESULTADOS!$I$261=""),"",ROUND(BB185*$C185*(parametros!$F$5-MEMORIA_RESULTADOS!$I$261),2))</f>
        <v/>
      </c>
      <c r="BE185" t="str">
        <f>IF($A185="","",ROUND(SUMIFS(itens_Consumidos!$M$2:$M$200,itens_Consumidos!$A$2:$A$200,$A185),2))</f>
        <v/>
      </c>
      <c r="BF185" t="str">
        <f t="shared" si="34"/>
        <v/>
      </c>
      <c r="BG185" t="str">
        <f>IF(OR($A185="",S185="",MEMORIA_RESULTADOS!$I$262=""),"",ROUND(S185*$C185*(MEMORIA_RESULTADOS!$I$262-1),2))</f>
        <v/>
      </c>
      <c r="BH185" t="str">
        <f>IF(OR($A185="",BF185="",MEMORIA_RESULTADOS!$I$262=""),"",ROUND(BF185*$C185*(parametros!$F$6-MEMORIA_RESULTADOS!$I$262),2))</f>
        <v/>
      </c>
      <c r="BI185" t="str">
        <f>IF($A185="","",IF(posicao_contratual!$AL185="","",posicao_contratual!$AL185))</f>
        <v/>
      </c>
    </row>
    <row r="186" spans="1:61" x14ac:dyDescent="0.35">
      <c r="A186" s="81"/>
      <c r="B186" s="82" t="str">
        <f t="shared" si="35"/>
        <v/>
      </c>
      <c r="C186" s="83"/>
      <c r="D186" s="79" t="str">
        <f>IF(AND(A186="",A185&lt;&gt;"",COUNTIF(A187:$A$200,"&lt;&gt;")=0),ROUND(SUMIF($A$2:A185,"&lt;&gt;",$D$2:D185),2),IF(OR(A186="",B186="",C186=""),"",ROUND(B186*C186,2)))</f>
        <v/>
      </c>
      <c r="E186" s="84"/>
      <c r="F186" s="79" t="str">
        <f>IF(AND(A186="",A185&lt;&gt;"",COUNTIF(A187:$A$200,"&lt;&gt;")=0),IF(COUNT(F$2:F185)=0,"",ROUND(SUMIF($A$2:A185,"&lt;&gt;",F$2:F185),2)),IF(OR(A186="",AND(ISNUMBER(posicao_contratual!$AL186),posicao_contratual!$AL186&gt;1),posicao_contratual!K186="",NOT(ISNUMBER(historico_VU!D186))),"",ROUND(posicao_contratual!K186*historico_VU!D186,2)))</f>
        <v/>
      </c>
      <c r="G186" s="84"/>
      <c r="H186" s="79" t="str">
        <f>IF(AND(A186="",A185&lt;&gt;"",COUNTIF(A187:$A$200,"&lt;&gt;")=0),IF(COUNT(H$2:H185)=0,"",ROUND(SUMIF($A$2:A185,"&lt;&gt;",H$2:H185),2)),IF(OR(A186="",AND(ISNUMBER(posicao_contratual!$AL186),posicao_contratual!$AL186&gt;2),posicao_contratual!O186="",NOT(ISNUMBER(historico_VU!E186))),"",ROUND(posicao_contratual!O186*historico_VU!E186,2)))</f>
        <v/>
      </c>
      <c r="I186" s="84"/>
      <c r="J186" s="79" t="str">
        <f>IF(AND(A186="",A185&lt;&gt;"",COUNTIF(A187:$A$200,"&lt;&gt;")=0),IF(COUNT(J$2:J185)=0,"",ROUND(SUMIF($A$2:A185,"&lt;&gt;",J$2:J185),2)),IF(OR(A186="",AND(ISNUMBER(posicao_contratual!$AL186),posicao_contratual!$AL186&gt;3),posicao_contratual!S186="",NOT(ISNUMBER(historico_VU!F186))),"",ROUND(posicao_contratual!S186*historico_VU!F186,2)))</f>
        <v/>
      </c>
      <c r="K186" s="84"/>
      <c r="L186" s="79" t="str">
        <f>IF(AND(A186="",A185&lt;&gt;"",COUNTIF(A187:$A$200,"&lt;&gt;")=0),IF(COUNT(L$2:L185)=0,"",ROUND(SUMIF($A$2:A185,"&lt;&gt;",L$2:L185),2)),IF(OR(A186="",AND(ISNUMBER(posicao_contratual!$AL186),posicao_contratual!$AL186&gt;4),posicao_contratual!W186="",NOT(ISNUMBER(historico_VU!G186))),"",ROUND(posicao_contratual!W186*historico_VU!G186,2)))</f>
        <v/>
      </c>
      <c r="M186" s="85" t="str">
        <f>IF(OR(posicao_contratual!J186="",posicao_contratual!N186=""),"",ROUND(MAX(posicao_contratual!J186+posicao_contratual!H186-posicao_contratual!N186,0),2))</f>
        <v/>
      </c>
      <c r="N186" s="79" t="str">
        <f>IF(AND(A186="",A185&lt;&gt;"",COUNTIF(A187:$A$200,"&lt;&gt;")=0),IF(COUNT(N$2:N185)=0,"",ROUND(SUMIF($A$2:A185,"&lt;&gt;",N$2:N185),2)),IF(OR(M186="",NOT(ISNUMBER(historico_VU!D186))),"",ROUND(M186*historico_VU!D186,2)))</f>
        <v/>
      </c>
      <c r="O186" s="85" t="str">
        <f>IF(OR(posicao_contratual!N186="",posicao_contratual!R186=""),"",ROUND(MAX(posicao_contratual!N186+posicao_contratual!L186-posicao_contratual!R186,0),2))</f>
        <v/>
      </c>
      <c r="P186" s="79" t="str">
        <f>IF(AND(A186="",A185&lt;&gt;"",COUNTIF(A187:$A$200,"&lt;&gt;")=0),IF(COUNT(P$2:P185)=0,"",ROUND(SUMIF($A$2:A185,"&lt;&gt;",P$2:P185),2)),IF(OR(O186="",NOT(ISNUMBER(historico_VU!E186))),"",ROUND(O186*historico_VU!E186,2)))</f>
        <v/>
      </c>
      <c r="Q186" s="85" t="str">
        <f>IF(OR(posicao_contratual!R186="",posicao_contratual!V186=""),"",ROUND(MAX(posicao_contratual!R186+posicao_contratual!P186-posicao_contratual!V186,0),2))</f>
        <v/>
      </c>
      <c r="R186" s="79" t="str">
        <f>IF(AND(A186="",A185&lt;&gt;"",COUNTIF(A187:$A$200,"&lt;&gt;")=0),IF(COUNT(R$2:R185)=0,"",ROUND(SUMIF($A$2:A185,"&lt;&gt;",R$2:R185),2)),IF(OR(Q186="",NOT(ISNUMBER(historico_VU!F186))),"",ROUND(Q186*historico_VU!F186,2)))</f>
        <v/>
      </c>
      <c r="S186" s="38"/>
      <c r="T186" s="39" t="str">
        <f>IF(AND(A186="",A185&lt;&gt;"",COUNTIF(A187:$A$200,"&lt;&gt;")=0),IF(COUNT(T$2:T185)=0,"",ROUND(SUMIF($A$2:A185,"&lt;&gt;",T$2:T185),2)),IF(OR(S186="",NOT(ISNUMBER(historico_VU!G186))),"",ROUND(S186*historico_VU!G186,2)))</f>
        <v/>
      </c>
      <c r="U186" s="86" t="str">
        <f>IF(AND(A186="",A185&lt;&gt;"",COUNTIF(A187:$A$200,"&lt;&gt;")=0),"TOTAL",IF(A186="","",posicao_contratual!X186))</f>
        <v/>
      </c>
      <c r="V186" s="86" t="str">
        <f>IF(A186="","",posicao_contratual!X186)</f>
        <v/>
      </c>
      <c r="W186" s="13"/>
      <c r="X186" s="13"/>
      <c r="Y186" s="13"/>
      <c r="Z186" s="13"/>
      <c r="AA186" s="13"/>
      <c r="AB186" s="85" t="str">
        <f>IF(OR(A186="",posicao_contratual!E186="",posicao_contratual!J186=""),"",ROUND(MAX(posicao_contratual!E186-posicao_contratual!J186,0),2))</f>
        <v/>
      </c>
      <c r="AC186" s="79" t="str">
        <f>IF(AND(A186="",A185&lt;&gt;"",COUNTIF(A187:$A$200,"&lt;&gt;")=0),IF(COUNT(AC$2:AC185)=0,"",ROUND(SUMIF($A$2:A185,"&lt;&gt;",AC$2:AC185),2)),IF(OR(AB186="",NOT(ISNUMBER(historico_VU!C186))),"",ROUND(AB186*historico_VU!C186,2)))</f>
        <v/>
      </c>
      <c r="AD186" s="145" t="str">
        <f>IF(A186="","",posicao_contratual!E186)</f>
        <v/>
      </c>
      <c r="AE186" s="145" t="str">
        <f>IF(A186="","",posicao_contratual!I186)</f>
        <v/>
      </c>
      <c r="AF186" s="145" t="str">
        <f>IF(A186="","",posicao_contratual!M186)</f>
        <v/>
      </c>
      <c r="AG186" s="145" t="str">
        <f>IF(A186="","",posicao_contratual!Q186)</f>
        <v/>
      </c>
      <c r="AH186" s="145" t="str">
        <f>IF(A186="","",posicao_contratual!U186)</f>
        <v/>
      </c>
      <c r="AI186" s="145" t="str">
        <f>IF(A186="","",posicao_contratual!G186)</f>
        <v/>
      </c>
      <c r="AJ186" s="145" t="str">
        <f>IF(A186="","",posicao_contratual!K186)</f>
        <v/>
      </c>
      <c r="AK186" s="145" t="str">
        <f>IF(A186="","",posicao_contratual!O186)</f>
        <v/>
      </c>
      <c r="AL186" s="145" t="str">
        <f>IF(A186="","",posicao_contratual!S186)</f>
        <v/>
      </c>
      <c r="AM186" s="145" t="str">
        <f>IF(A186="","",posicao_contratual!W186)</f>
        <v/>
      </c>
      <c r="AN186" s="146" t="str">
        <f>IF(A186="","",posicao_contratual!X186)</f>
        <v/>
      </c>
      <c r="AO186" t="str">
        <f>IF($A186="","",ROUND(SUMIFS(itens_Consumidos!$E$2:$E$200,itens_Consumidos!$A$2:$A$200,$A186),2))</f>
        <v/>
      </c>
      <c r="AP186" t="str">
        <f t="shared" si="30"/>
        <v/>
      </c>
      <c r="AQ186" t="str">
        <f>IF(OR($A186="",AB186="",MEMORIA_RESULTADOS!$I$258=""),"",ROUND(AB186*$C186*(MEMORIA_RESULTADOS!$I$258-1),2))</f>
        <v/>
      </c>
      <c r="AR186" t="str">
        <f>IF(OR($A186="",AP186="",MEMORIA_RESULTADOS!$I$258=""),"",ROUND(AP186*$C186*(parametros!$F$2-MEMORIA_RESULTADOS!$I$258),2))</f>
        <v/>
      </c>
      <c r="AS186" t="str">
        <f>IF($A186="","",ROUND(SUMIFS(itens_Consumidos!$G$2:$G$200,itens_Consumidos!$A$2:$A$200,$A186),2))</f>
        <v/>
      </c>
      <c r="AT186" t="str">
        <f t="shared" si="31"/>
        <v/>
      </c>
      <c r="AU186" t="str">
        <f>IF(OR($A186="",M186="",MEMORIA_RESULTADOS!$I$259=""),"",ROUND(M186*$C186*(MEMORIA_RESULTADOS!$I$259-1),2))</f>
        <v/>
      </c>
      <c r="AV186" t="str">
        <f>IF(OR($A186="",AT186="",MEMORIA_RESULTADOS!$I$259=""),"",ROUND(AT186*$C186*(parametros!$F$3-MEMORIA_RESULTADOS!$I$259),2))</f>
        <v/>
      </c>
      <c r="AW186" t="str">
        <f>IF($A186="","",ROUND(SUMIFS(itens_Consumidos!$I$2:$I$200,itens_Consumidos!$A$2:$A$200,$A186),2))</f>
        <v/>
      </c>
      <c r="AX186" t="str">
        <f t="shared" si="32"/>
        <v/>
      </c>
      <c r="AY186" t="str">
        <f>IF(OR($A186="",O186="",MEMORIA_RESULTADOS!$I$260=""),"",ROUND(O186*$C186*(MEMORIA_RESULTADOS!$I$260-1),2))</f>
        <v/>
      </c>
      <c r="AZ186" t="str">
        <f>IF(OR($A186="",AX186="",MEMORIA_RESULTADOS!$I$260=""),"",ROUND(AX186*$C186*(parametros!$F$4-MEMORIA_RESULTADOS!$I$260),2))</f>
        <v/>
      </c>
      <c r="BA186" t="str">
        <f>IF($A186="","",ROUND(SUMIFS(itens_Consumidos!$K$2:$K$200,itens_Consumidos!$A$2:$A$200,$A186),2))</f>
        <v/>
      </c>
      <c r="BB186" t="str">
        <f t="shared" si="33"/>
        <v/>
      </c>
      <c r="BC186" t="str">
        <f>IF(OR($A186="",Q186="",MEMORIA_RESULTADOS!$I$261=""),"",ROUND(Q186*$C186*(MEMORIA_RESULTADOS!$I$261-1),2))</f>
        <v/>
      </c>
      <c r="BD186" t="str">
        <f>IF(OR($A186="",BB186="",MEMORIA_RESULTADOS!$I$261=""),"",ROUND(BB186*$C186*(parametros!$F$5-MEMORIA_RESULTADOS!$I$261),2))</f>
        <v/>
      </c>
      <c r="BE186" t="str">
        <f>IF($A186="","",ROUND(SUMIFS(itens_Consumidos!$M$2:$M$200,itens_Consumidos!$A$2:$A$200,$A186),2))</f>
        <v/>
      </c>
      <c r="BF186" t="str">
        <f t="shared" si="34"/>
        <v/>
      </c>
      <c r="BG186" t="str">
        <f>IF(OR($A186="",S186="",MEMORIA_RESULTADOS!$I$262=""),"",ROUND(S186*$C186*(MEMORIA_RESULTADOS!$I$262-1),2))</f>
        <v/>
      </c>
      <c r="BH186" t="str">
        <f>IF(OR($A186="",BF186="",MEMORIA_RESULTADOS!$I$262=""),"",ROUND(BF186*$C186*(parametros!$F$6-MEMORIA_RESULTADOS!$I$262),2))</f>
        <v/>
      </c>
      <c r="BI186" t="str">
        <f>IF($A186="","",IF(posicao_contratual!$AL186="","",posicao_contratual!$AL186))</f>
        <v/>
      </c>
    </row>
    <row r="187" spans="1:61" x14ac:dyDescent="0.35">
      <c r="A187" s="81"/>
      <c r="B187" s="82" t="str">
        <f t="shared" si="35"/>
        <v/>
      </c>
      <c r="C187" s="83"/>
      <c r="D187" s="79" t="str">
        <f>IF(AND(A187="",A186&lt;&gt;"",COUNTIF(A188:$A$200,"&lt;&gt;")=0),ROUND(SUMIF($A$2:A186,"&lt;&gt;",$D$2:D186),2),IF(OR(A187="",B187="",C187=""),"",ROUND(B187*C187,2)))</f>
        <v/>
      </c>
      <c r="E187" s="84"/>
      <c r="F187" s="79" t="str">
        <f>IF(AND(A187="",A186&lt;&gt;"",COUNTIF(A188:$A$200,"&lt;&gt;")=0),IF(COUNT(F$2:F186)=0,"",ROUND(SUMIF($A$2:A186,"&lt;&gt;",F$2:F186),2)),IF(OR(A187="",AND(ISNUMBER(posicao_contratual!$AL187),posicao_contratual!$AL187&gt;1),posicao_contratual!K187="",NOT(ISNUMBER(historico_VU!D187))),"",ROUND(posicao_contratual!K187*historico_VU!D187,2)))</f>
        <v/>
      </c>
      <c r="G187" s="84"/>
      <c r="H187" s="79" t="str">
        <f>IF(AND(A187="",A186&lt;&gt;"",COUNTIF(A188:$A$200,"&lt;&gt;")=0),IF(COUNT(H$2:H186)=0,"",ROUND(SUMIF($A$2:A186,"&lt;&gt;",H$2:H186),2)),IF(OR(A187="",AND(ISNUMBER(posicao_contratual!$AL187),posicao_contratual!$AL187&gt;2),posicao_contratual!O187="",NOT(ISNUMBER(historico_VU!E187))),"",ROUND(posicao_contratual!O187*historico_VU!E187,2)))</f>
        <v/>
      </c>
      <c r="I187" s="84"/>
      <c r="J187" s="79" t="str">
        <f>IF(AND(A187="",A186&lt;&gt;"",COUNTIF(A188:$A$200,"&lt;&gt;")=0),IF(COUNT(J$2:J186)=0,"",ROUND(SUMIF($A$2:A186,"&lt;&gt;",J$2:J186),2)),IF(OR(A187="",AND(ISNUMBER(posicao_contratual!$AL187),posicao_contratual!$AL187&gt;3),posicao_contratual!S187="",NOT(ISNUMBER(historico_VU!F187))),"",ROUND(posicao_contratual!S187*historico_VU!F187,2)))</f>
        <v/>
      </c>
      <c r="K187" s="84"/>
      <c r="L187" s="79" t="str">
        <f>IF(AND(A187="",A186&lt;&gt;"",COUNTIF(A188:$A$200,"&lt;&gt;")=0),IF(COUNT(L$2:L186)=0,"",ROUND(SUMIF($A$2:A186,"&lt;&gt;",L$2:L186),2)),IF(OR(A187="",AND(ISNUMBER(posicao_contratual!$AL187),posicao_contratual!$AL187&gt;4),posicao_contratual!W187="",NOT(ISNUMBER(historico_VU!G187))),"",ROUND(posicao_contratual!W187*historico_VU!G187,2)))</f>
        <v/>
      </c>
      <c r="M187" s="85" t="str">
        <f>IF(OR(posicao_contratual!J187="",posicao_contratual!N187=""),"",ROUND(MAX(posicao_contratual!J187+posicao_contratual!H187-posicao_contratual!N187,0),2))</f>
        <v/>
      </c>
      <c r="N187" s="79" t="str">
        <f>IF(AND(A187="",A186&lt;&gt;"",COUNTIF(A188:$A$200,"&lt;&gt;")=0),IF(COUNT(N$2:N186)=0,"",ROUND(SUMIF($A$2:A186,"&lt;&gt;",N$2:N186),2)),IF(OR(M187="",NOT(ISNUMBER(historico_VU!D187))),"",ROUND(M187*historico_VU!D187,2)))</f>
        <v/>
      </c>
      <c r="O187" s="85" t="str">
        <f>IF(OR(posicao_contratual!N187="",posicao_contratual!R187=""),"",ROUND(MAX(posicao_contratual!N187+posicao_contratual!L187-posicao_contratual!R187,0),2))</f>
        <v/>
      </c>
      <c r="P187" s="79" t="str">
        <f>IF(AND(A187="",A186&lt;&gt;"",COUNTIF(A188:$A$200,"&lt;&gt;")=0),IF(COUNT(P$2:P186)=0,"",ROUND(SUMIF($A$2:A186,"&lt;&gt;",P$2:P186),2)),IF(OR(O187="",NOT(ISNUMBER(historico_VU!E187))),"",ROUND(O187*historico_VU!E187,2)))</f>
        <v/>
      </c>
      <c r="Q187" s="85" t="str">
        <f>IF(OR(posicao_contratual!R187="",posicao_contratual!V187=""),"",ROUND(MAX(posicao_contratual!R187+posicao_contratual!P187-posicao_contratual!V187,0),2))</f>
        <v/>
      </c>
      <c r="R187" s="79" t="str">
        <f>IF(AND(A187="",A186&lt;&gt;"",COUNTIF(A188:$A$200,"&lt;&gt;")=0),IF(COUNT(R$2:R186)=0,"",ROUND(SUMIF($A$2:A186,"&lt;&gt;",R$2:R186),2)),IF(OR(Q187="",NOT(ISNUMBER(historico_VU!F187))),"",ROUND(Q187*historico_VU!F187,2)))</f>
        <v/>
      </c>
      <c r="S187" s="38"/>
      <c r="T187" s="39" t="str">
        <f>IF(AND(A187="",A186&lt;&gt;"",COUNTIF(A188:$A$200,"&lt;&gt;")=0),IF(COUNT(T$2:T186)=0,"",ROUND(SUMIF($A$2:A186,"&lt;&gt;",T$2:T186),2)),IF(OR(S187="",NOT(ISNUMBER(historico_VU!G187))),"",ROUND(S187*historico_VU!G187,2)))</f>
        <v/>
      </c>
      <c r="U187" s="86" t="str">
        <f>IF(AND(A187="",A186&lt;&gt;"",COUNTIF(A188:$A$200,"&lt;&gt;")=0),"TOTAL",IF(A187="","",posicao_contratual!X187))</f>
        <v/>
      </c>
      <c r="V187" s="86" t="str">
        <f>IF(A187="","",posicao_contratual!X187)</f>
        <v/>
      </c>
      <c r="W187" s="13"/>
      <c r="X187" s="13"/>
      <c r="Y187" s="13"/>
      <c r="Z187" s="13"/>
      <c r="AA187" s="13"/>
      <c r="AB187" s="85" t="str">
        <f>IF(OR(A187="",posicao_contratual!E187="",posicao_contratual!J187=""),"",ROUND(MAX(posicao_contratual!E187-posicao_contratual!J187,0),2))</f>
        <v/>
      </c>
      <c r="AC187" s="79" t="str">
        <f>IF(AND(A187="",A186&lt;&gt;"",COUNTIF(A188:$A$200,"&lt;&gt;")=0),IF(COUNT(AC$2:AC186)=0,"",ROUND(SUMIF($A$2:A186,"&lt;&gt;",AC$2:AC186),2)),IF(OR(AB187="",NOT(ISNUMBER(historico_VU!C187))),"",ROUND(AB187*historico_VU!C187,2)))</f>
        <v/>
      </c>
      <c r="AD187" s="145" t="str">
        <f>IF(A187="","",posicao_contratual!E187)</f>
        <v/>
      </c>
      <c r="AE187" s="145" t="str">
        <f>IF(A187="","",posicao_contratual!I187)</f>
        <v/>
      </c>
      <c r="AF187" s="145" t="str">
        <f>IF(A187="","",posicao_contratual!M187)</f>
        <v/>
      </c>
      <c r="AG187" s="145" t="str">
        <f>IF(A187="","",posicao_contratual!Q187)</f>
        <v/>
      </c>
      <c r="AH187" s="145" t="str">
        <f>IF(A187="","",posicao_contratual!U187)</f>
        <v/>
      </c>
      <c r="AI187" s="145" t="str">
        <f>IF(A187="","",posicao_contratual!G187)</f>
        <v/>
      </c>
      <c r="AJ187" s="145" t="str">
        <f>IF(A187="","",posicao_contratual!K187)</f>
        <v/>
      </c>
      <c r="AK187" s="145" t="str">
        <f>IF(A187="","",posicao_contratual!O187)</f>
        <v/>
      </c>
      <c r="AL187" s="145" t="str">
        <f>IF(A187="","",posicao_contratual!S187)</f>
        <v/>
      </c>
      <c r="AM187" s="145" t="str">
        <f>IF(A187="","",posicao_contratual!W187)</f>
        <v/>
      </c>
      <c r="AN187" s="146" t="str">
        <f>IF(A187="","",posicao_contratual!X187)</f>
        <v/>
      </c>
      <c r="AO187" t="str">
        <f>IF($A187="","",ROUND(SUMIFS(itens_Consumidos!$E$2:$E$200,itens_Consumidos!$A$2:$A$200,$A187),2))</f>
        <v/>
      </c>
      <c r="AP187" t="str">
        <f t="shared" si="30"/>
        <v/>
      </c>
      <c r="AQ187" t="str">
        <f>IF(OR($A187="",AB187="",MEMORIA_RESULTADOS!$I$258=""),"",ROUND(AB187*$C187*(MEMORIA_RESULTADOS!$I$258-1),2))</f>
        <v/>
      </c>
      <c r="AR187" t="str">
        <f>IF(OR($A187="",AP187="",MEMORIA_RESULTADOS!$I$258=""),"",ROUND(AP187*$C187*(parametros!$F$2-MEMORIA_RESULTADOS!$I$258),2))</f>
        <v/>
      </c>
      <c r="AS187" t="str">
        <f>IF($A187="","",ROUND(SUMIFS(itens_Consumidos!$G$2:$G$200,itens_Consumidos!$A$2:$A$200,$A187),2))</f>
        <v/>
      </c>
      <c r="AT187" t="str">
        <f t="shared" si="31"/>
        <v/>
      </c>
      <c r="AU187" t="str">
        <f>IF(OR($A187="",M187="",MEMORIA_RESULTADOS!$I$259=""),"",ROUND(M187*$C187*(MEMORIA_RESULTADOS!$I$259-1),2))</f>
        <v/>
      </c>
      <c r="AV187" t="str">
        <f>IF(OR($A187="",AT187="",MEMORIA_RESULTADOS!$I$259=""),"",ROUND(AT187*$C187*(parametros!$F$3-MEMORIA_RESULTADOS!$I$259),2))</f>
        <v/>
      </c>
      <c r="AW187" t="str">
        <f>IF($A187="","",ROUND(SUMIFS(itens_Consumidos!$I$2:$I$200,itens_Consumidos!$A$2:$A$200,$A187),2))</f>
        <v/>
      </c>
      <c r="AX187" t="str">
        <f t="shared" si="32"/>
        <v/>
      </c>
      <c r="AY187" t="str">
        <f>IF(OR($A187="",O187="",MEMORIA_RESULTADOS!$I$260=""),"",ROUND(O187*$C187*(MEMORIA_RESULTADOS!$I$260-1),2))</f>
        <v/>
      </c>
      <c r="AZ187" t="str">
        <f>IF(OR($A187="",AX187="",MEMORIA_RESULTADOS!$I$260=""),"",ROUND(AX187*$C187*(parametros!$F$4-MEMORIA_RESULTADOS!$I$260),2))</f>
        <v/>
      </c>
      <c r="BA187" t="str">
        <f>IF($A187="","",ROUND(SUMIFS(itens_Consumidos!$K$2:$K$200,itens_Consumidos!$A$2:$A$200,$A187),2))</f>
        <v/>
      </c>
      <c r="BB187" t="str">
        <f t="shared" si="33"/>
        <v/>
      </c>
      <c r="BC187" t="str">
        <f>IF(OR($A187="",Q187="",MEMORIA_RESULTADOS!$I$261=""),"",ROUND(Q187*$C187*(MEMORIA_RESULTADOS!$I$261-1),2))</f>
        <v/>
      </c>
      <c r="BD187" t="str">
        <f>IF(OR($A187="",BB187="",MEMORIA_RESULTADOS!$I$261=""),"",ROUND(BB187*$C187*(parametros!$F$5-MEMORIA_RESULTADOS!$I$261),2))</f>
        <v/>
      </c>
      <c r="BE187" t="str">
        <f>IF($A187="","",ROUND(SUMIFS(itens_Consumidos!$M$2:$M$200,itens_Consumidos!$A$2:$A$200,$A187),2))</f>
        <v/>
      </c>
      <c r="BF187" t="str">
        <f t="shared" si="34"/>
        <v/>
      </c>
      <c r="BG187" t="str">
        <f>IF(OR($A187="",S187="",MEMORIA_RESULTADOS!$I$262=""),"",ROUND(S187*$C187*(MEMORIA_RESULTADOS!$I$262-1),2))</f>
        <v/>
      </c>
      <c r="BH187" t="str">
        <f>IF(OR($A187="",BF187="",MEMORIA_RESULTADOS!$I$262=""),"",ROUND(BF187*$C187*(parametros!$F$6-MEMORIA_RESULTADOS!$I$262),2))</f>
        <v/>
      </c>
      <c r="BI187" t="str">
        <f>IF($A187="","",IF(posicao_contratual!$AL187="","",posicao_contratual!$AL187))</f>
        <v/>
      </c>
    </row>
    <row r="188" spans="1:61" x14ac:dyDescent="0.35">
      <c r="A188" s="81"/>
      <c r="B188" s="82" t="str">
        <f t="shared" si="35"/>
        <v/>
      </c>
      <c r="C188" s="83"/>
      <c r="D188" s="79" t="str">
        <f>IF(AND(A188="",A187&lt;&gt;"",COUNTIF(A189:$A$200,"&lt;&gt;")=0),ROUND(SUMIF($A$2:A187,"&lt;&gt;",$D$2:D187),2),IF(OR(A188="",B188="",C188=""),"",ROUND(B188*C188,2)))</f>
        <v/>
      </c>
      <c r="E188" s="84"/>
      <c r="F188" s="79" t="str">
        <f>IF(AND(A188="",A187&lt;&gt;"",COUNTIF(A189:$A$200,"&lt;&gt;")=0),IF(COUNT(F$2:F187)=0,"",ROUND(SUMIF($A$2:A187,"&lt;&gt;",F$2:F187),2)),IF(OR(A188="",AND(ISNUMBER(posicao_contratual!$AL188),posicao_contratual!$AL188&gt;1),posicao_contratual!K188="",NOT(ISNUMBER(historico_VU!D188))),"",ROUND(posicao_contratual!K188*historico_VU!D188,2)))</f>
        <v/>
      </c>
      <c r="G188" s="84"/>
      <c r="H188" s="79" t="str">
        <f>IF(AND(A188="",A187&lt;&gt;"",COUNTIF(A189:$A$200,"&lt;&gt;")=0),IF(COUNT(H$2:H187)=0,"",ROUND(SUMIF($A$2:A187,"&lt;&gt;",H$2:H187),2)),IF(OR(A188="",AND(ISNUMBER(posicao_contratual!$AL188),posicao_contratual!$AL188&gt;2),posicao_contratual!O188="",NOT(ISNUMBER(historico_VU!E188))),"",ROUND(posicao_contratual!O188*historico_VU!E188,2)))</f>
        <v/>
      </c>
      <c r="I188" s="84"/>
      <c r="J188" s="79" t="str">
        <f>IF(AND(A188="",A187&lt;&gt;"",COUNTIF(A189:$A$200,"&lt;&gt;")=0),IF(COUNT(J$2:J187)=0,"",ROUND(SUMIF($A$2:A187,"&lt;&gt;",J$2:J187),2)),IF(OR(A188="",AND(ISNUMBER(posicao_contratual!$AL188),posicao_contratual!$AL188&gt;3),posicao_contratual!S188="",NOT(ISNUMBER(historico_VU!F188))),"",ROUND(posicao_contratual!S188*historico_VU!F188,2)))</f>
        <v/>
      </c>
      <c r="K188" s="84"/>
      <c r="L188" s="79" t="str">
        <f>IF(AND(A188="",A187&lt;&gt;"",COUNTIF(A189:$A$200,"&lt;&gt;")=0),IF(COUNT(L$2:L187)=0,"",ROUND(SUMIF($A$2:A187,"&lt;&gt;",L$2:L187),2)),IF(OR(A188="",AND(ISNUMBER(posicao_contratual!$AL188),posicao_contratual!$AL188&gt;4),posicao_contratual!W188="",NOT(ISNUMBER(historico_VU!G188))),"",ROUND(posicao_contratual!W188*historico_VU!G188,2)))</f>
        <v/>
      </c>
      <c r="M188" s="85" t="str">
        <f>IF(OR(posicao_contratual!J188="",posicao_contratual!N188=""),"",ROUND(MAX(posicao_contratual!J188+posicao_contratual!H188-posicao_contratual!N188,0),2))</f>
        <v/>
      </c>
      <c r="N188" s="79" t="str">
        <f>IF(AND(A188="",A187&lt;&gt;"",COUNTIF(A189:$A$200,"&lt;&gt;")=0),IF(COUNT(N$2:N187)=0,"",ROUND(SUMIF($A$2:A187,"&lt;&gt;",N$2:N187),2)),IF(OR(M188="",NOT(ISNUMBER(historico_VU!D188))),"",ROUND(M188*historico_VU!D188,2)))</f>
        <v/>
      </c>
      <c r="O188" s="85" t="str">
        <f>IF(OR(posicao_contratual!N188="",posicao_contratual!R188=""),"",ROUND(MAX(posicao_contratual!N188+posicao_contratual!L188-posicao_contratual!R188,0),2))</f>
        <v/>
      </c>
      <c r="P188" s="79" t="str">
        <f>IF(AND(A188="",A187&lt;&gt;"",COUNTIF(A189:$A$200,"&lt;&gt;")=0),IF(COUNT(P$2:P187)=0,"",ROUND(SUMIF($A$2:A187,"&lt;&gt;",P$2:P187),2)),IF(OR(O188="",NOT(ISNUMBER(historico_VU!E188))),"",ROUND(O188*historico_VU!E188,2)))</f>
        <v/>
      </c>
      <c r="Q188" s="85" t="str">
        <f>IF(OR(posicao_contratual!R188="",posicao_contratual!V188=""),"",ROUND(MAX(posicao_contratual!R188+posicao_contratual!P188-posicao_contratual!V188,0),2))</f>
        <v/>
      </c>
      <c r="R188" s="79" t="str">
        <f>IF(AND(A188="",A187&lt;&gt;"",COUNTIF(A189:$A$200,"&lt;&gt;")=0),IF(COUNT(R$2:R187)=0,"",ROUND(SUMIF($A$2:A187,"&lt;&gt;",R$2:R187),2)),IF(OR(Q188="",NOT(ISNUMBER(historico_VU!F188))),"",ROUND(Q188*historico_VU!F188,2)))</f>
        <v/>
      </c>
      <c r="S188" s="38"/>
      <c r="T188" s="39" t="str">
        <f>IF(AND(A188="",A187&lt;&gt;"",COUNTIF(A189:$A$200,"&lt;&gt;")=0),IF(COUNT(T$2:T187)=0,"",ROUND(SUMIF($A$2:A187,"&lt;&gt;",T$2:T187),2)),IF(OR(S188="",NOT(ISNUMBER(historico_VU!G188))),"",ROUND(S188*historico_VU!G188,2)))</f>
        <v/>
      </c>
      <c r="U188" s="86" t="str">
        <f>IF(AND(A188="",A187&lt;&gt;"",COUNTIF(A189:$A$200,"&lt;&gt;")=0),"TOTAL",IF(A188="","",posicao_contratual!X188))</f>
        <v/>
      </c>
      <c r="V188" s="86" t="str">
        <f>IF(A188="","",posicao_contratual!X188)</f>
        <v/>
      </c>
      <c r="W188" s="13"/>
      <c r="X188" s="13"/>
      <c r="Y188" s="13"/>
      <c r="Z188" s="13"/>
      <c r="AA188" s="13"/>
      <c r="AB188" s="85" t="str">
        <f>IF(OR(A188="",posicao_contratual!E188="",posicao_contratual!J188=""),"",ROUND(MAX(posicao_contratual!E188-posicao_contratual!J188,0),2))</f>
        <v/>
      </c>
      <c r="AC188" s="79" t="str">
        <f>IF(AND(A188="",A187&lt;&gt;"",COUNTIF(A189:$A$200,"&lt;&gt;")=0),IF(COUNT(AC$2:AC187)=0,"",ROUND(SUMIF($A$2:A187,"&lt;&gt;",AC$2:AC187),2)),IF(OR(AB188="",NOT(ISNUMBER(historico_VU!C188))),"",ROUND(AB188*historico_VU!C188,2)))</f>
        <v/>
      </c>
      <c r="AD188" s="145" t="str">
        <f>IF(A188="","",posicao_contratual!E188)</f>
        <v/>
      </c>
      <c r="AE188" s="145" t="str">
        <f>IF(A188="","",posicao_contratual!I188)</f>
        <v/>
      </c>
      <c r="AF188" s="145" t="str">
        <f>IF(A188="","",posicao_contratual!M188)</f>
        <v/>
      </c>
      <c r="AG188" s="145" t="str">
        <f>IF(A188="","",posicao_contratual!Q188)</f>
        <v/>
      </c>
      <c r="AH188" s="145" t="str">
        <f>IF(A188="","",posicao_contratual!U188)</f>
        <v/>
      </c>
      <c r="AI188" s="145" t="str">
        <f>IF(A188="","",posicao_contratual!G188)</f>
        <v/>
      </c>
      <c r="AJ188" s="145" t="str">
        <f>IF(A188="","",posicao_contratual!K188)</f>
        <v/>
      </c>
      <c r="AK188" s="145" t="str">
        <f>IF(A188="","",posicao_contratual!O188)</f>
        <v/>
      </c>
      <c r="AL188" s="145" t="str">
        <f>IF(A188="","",posicao_contratual!S188)</f>
        <v/>
      </c>
      <c r="AM188" s="145" t="str">
        <f>IF(A188="","",posicao_contratual!W188)</f>
        <v/>
      </c>
      <c r="AN188" s="146" t="str">
        <f>IF(A188="","",posicao_contratual!X188)</f>
        <v/>
      </c>
      <c r="AO188" t="str">
        <f>IF($A188="","",ROUND(SUMIFS(itens_Consumidos!$E$2:$E$200,itens_Consumidos!$A$2:$A$200,$A188),2))</f>
        <v/>
      </c>
      <c r="AP188" t="str">
        <f t="shared" si="30"/>
        <v/>
      </c>
      <c r="AQ188" t="str">
        <f>IF(OR($A188="",AB188="",MEMORIA_RESULTADOS!$I$258=""),"",ROUND(AB188*$C188*(MEMORIA_RESULTADOS!$I$258-1),2))</f>
        <v/>
      </c>
      <c r="AR188" t="str">
        <f>IF(OR($A188="",AP188="",MEMORIA_RESULTADOS!$I$258=""),"",ROUND(AP188*$C188*(parametros!$F$2-MEMORIA_RESULTADOS!$I$258),2))</f>
        <v/>
      </c>
      <c r="AS188" t="str">
        <f>IF($A188="","",ROUND(SUMIFS(itens_Consumidos!$G$2:$G$200,itens_Consumidos!$A$2:$A$200,$A188),2))</f>
        <v/>
      </c>
      <c r="AT188" t="str">
        <f t="shared" si="31"/>
        <v/>
      </c>
      <c r="AU188" t="str">
        <f>IF(OR($A188="",M188="",MEMORIA_RESULTADOS!$I$259=""),"",ROUND(M188*$C188*(MEMORIA_RESULTADOS!$I$259-1),2))</f>
        <v/>
      </c>
      <c r="AV188" t="str">
        <f>IF(OR($A188="",AT188="",MEMORIA_RESULTADOS!$I$259=""),"",ROUND(AT188*$C188*(parametros!$F$3-MEMORIA_RESULTADOS!$I$259),2))</f>
        <v/>
      </c>
      <c r="AW188" t="str">
        <f>IF($A188="","",ROUND(SUMIFS(itens_Consumidos!$I$2:$I$200,itens_Consumidos!$A$2:$A$200,$A188),2))</f>
        <v/>
      </c>
      <c r="AX188" t="str">
        <f t="shared" si="32"/>
        <v/>
      </c>
      <c r="AY188" t="str">
        <f>IF(OR($A188="",O188="",MEMORIA_RESULTADOS!$I$260=""),"",ROUND(O188*$C188*(MEMORIA_RESULTADOS!$I$260-1),2))</f>
        <v/>
      </c>
      <c r="AZ188" t="str">
        <f>IF(OR($A188="",AX188="",MEMORIA_RESULTADOS!$I$260=""),"",ROUND(AX188*$C188*(parametros!$F$4-MEMORIA_RESULTADOS!$I$260),2))</f>
        <v/>
      </c>
      <c r="BA188" t="str">
        <f>IF($A188="","",ROUND(SUMIFS(itens_Consumidos!$K$2:$K$200,itens_Consumidos!$A$2:$A$200,$A188),2))</f>
        <v/>
      </c>
      <c r="BB188" t="str">
        <f t="shared" si="33"/>
        <v/>
      </c>
      <c r="BC188" t="str">
        <f>IF(OR($A188="",Q188="",MEMORIA_RESULTADOS!$I$261=""),"",ROUND(Q188*$C188*(MEMORIA_RESULTADOS!$I$261-1),2))</f>
        <v/>
      </c>
      <c r="BD188" t="str">
        <f>IF(OR($A188="",BB188="",MEMORIA_RESULTADOS!$I$261=""),"",ROUND(BB188*$C188*(parametros!$F$5-MEMORIA_RESULTADOS!$I$261),2))</f>
        <v/>
      </c>
      <c r="BE188" t="str">
        <f>IF($A188="","",ROUND(SUMIFS(itens_Consumidos!$M$2:$M$200,itens_Consumidos!$A$2:$A$200,$A188),2))</f>
        <v/>
      </c>
      <c r="BF188" t="str">
        <f t="shared" si="34"/>
        <v/>
      </c>
      <c r="BG188" t="str">
        <f>IF(OR($A188="",S188="",MEMORIA_RESULTADOS!$I$262=""),"",ROUND(S188*$C188*(MEMORIA_RESULTADOS!$I$262-1),2))</f>
        <v/>
      </c>
      <c r="BH188" t="str">
        <f>IF(OR($A188="",BF188="",MEMORIA_RESULTADOS!$I$262=""),"",ROUND(BF188*$C188*(parametros!$F$6-MEMORIA_RESULTADOS!$I$262),2))</f>
        <v/>
      </c>
      <c r="BI188" t="str">
        <f>IF($A188="","",IF(posicao_contratual!$AL188="","",posicao_contratual!$AL188))</f>
        <v/>
      </c>
    </row>
    <row r="189" spans="1:61" x14ac:dyDescent="0.35">
      <c r="A189" s="81"/>
      <c r="B189" s="82" t="str">
        <f t="shared" si="35"/>
        <v/>
      </c>
      <c r="C189" s="83"/>
      <c r="D189" s="79" t="str">
        <f>IF(AND(A189="",A188&lt;&gt;"",COUNTIF(A190:$A$200,"&lt;&gt;")=0),ROUND(SUMIF($A$2:A188,"&lt;&gt;",$D$2:D188),2),IF(OR(A189="",B189="",C189=""),"",ROUND(B189*C189,2)))</f>
        <v/>
      </c>
      <c r="E189" s="84"/>
      <c r="F189" s="79" t="str">
        <f>IF(AND(A189="",A188&lt;&gt;"",COUNTIF(A190:$A$200,"&lt;&gt;")=0),IF(COUNT(F$2:F188)=0,"",ROUND(SUMIF($A$2:A188,"&lt;&gt;",F$2:F188),2)),IF(OR(A189="",AND(ISNUMBER(posicao_contratual!$AL189),posicao_contratual!$AL189&gt;1),posicao_contratual!K189="",NOT(ISNUMBER(historico_VU!D189))),"",ROUND(posicao_contratual!K189*historico_VU!D189,2)))</f>
        <v/>
      </c>
      <c r="G189" s="84"/>
      <c r="H189" s="79" t="str">
        <f>IF(AND(A189="",A188&lt;&gt;"",COUNTIF(A190:$A$200,"&lt;&gt;")=0),IF(COUNT(H$2:H188)=0,"",ROUND(SUMIF($A$2:A188,"&lt;&gt;",H$2:H188),2)),IF(OR(A189="",AND(ISNUMBER(posicao_contratual!$AL189),posicao_contratual!$AL189&gt;2),posicao_contratual!O189="",NOT(ISNUMBER(historico_VU!E189))),"",ROUND(posicao_contratual!O189*historico_VU!E189,2)))</f>
        <v/>
      </c>
      <c r="I189" s="84"/>
      <c r="J189" s="79" t="str">
        <f>IF(AND(A189="",A188&lt;&gt;"",COUNTIF(A190:$A$200,"&lt;&gt;")=0),IF(COUNT(J$2:J188)=0,"",ROUND(SUMIF($A$2:A188,"&lt;&gt;",J$2:J188),2)),IF(OR(A189="",AND(ISNUMBER(posicao_contratual!$AL189),posicao_contratual!$AL189&gt;3),posicao_contratual!S189="",NOT(ISNUMBER(historico_VU!F189))),"",ROUND(posicao_contratual!S189*historico_VU!F189,2)))</f>
        <v/>
      </c>
      <c r="K189" s="84"/>
      <c r="L189" s="79" t="str">
        <f>IF(AND(A189="",A188&lt;&gt;"",COUNTIF(A190:$A$200,"&lt;&gt;")=0),IF(COUNT(L$2:L188)=0,"",ROUND(SUMIF($A$2:A188,"&lt;&gt;",L$2:L188),2)),IF(OR(A189="",AND(ISNUMBER(posicao_contratual!$AL189),posicao_contratual!$AL189&gt;4),posicao_contratual!W189="",NOT(ISNUMBER(historico_VU!G189))),"",ROUND(posicao_contratual!W189*historico_VU!G189,2)))</f>
        <v/>
      </c>
      <c r="M189" s="85" t="str">
        <f>IF(OR(posicao_contratual!J189="",posicao_contratual!N189=""),"",ROUND(MAX(posicao_contratual!J189+posicao_contratual!H189-posicao_contratual!N189,0),2))</f>
        <v/>
      </c>
      <c r="N189" s="79" t="str">
        <f>IF(AND(A189="",A188&lt;&gt;"",COUNTIF(A190:$A$200,"&lt;&gt;")=0),IF(COUNT(N$2:N188)=0,"",ROUND(SUMIF($A$2:A188,"&lt;&gt;",N$2:N188),2)),IF(OR(M189="",NOT(ISNUMBER(historico_VU!D189))),"",ROUND(M189*historico_VU!D189,2)))</f>
        <v/>
      </c>
      <c r="O189" s="85" t="str">
        <f>IF(OR(posicao_contratual!N189="",posicao_contratual!R189=""),"",ROUND(MAX(posicao_contratual!N189+posicao_contratual!L189-posicao_contratual!R189,0),2))</f>
        <v/>
      </c>
      <c r="P189" s="79" t="str">
        <f>IF(AND(A189="",A188&lt;&gt;"",COUNTIF(A190:$A$200,"&lt;&gt;")=0),IF(COUNT(P$2:P188)=0,"",ROUND(SUMIF($A$2:A188,"&lt;&gt;",P$2:P188),2)),IF(OR(O189="",NOT(ISNUMBER(historico_VU!E189))),"",ROUND(O189*historico_VU!E189,2)))</f>
        <v/>
      </c>
      <c r="Q189" s="85" t="str">
        <f>IF(OR(posicao_contratual!R189="",posicao_contratual!V189=""),"",ROUND(MAX(posicao_contratual!R189+posicao_contratual!P189-posicao_contratual!V189,0),2))</f>
        <v/>
      </c>
      <c r="R189" s="79" t="str">
        <f>IF(AND(A189="",A188&lt;&gt;"",COUNTIF(A190:$A$200,"&lt;&gt;")=0),IF(COUNT(R$2:R188)=0,"",ROUND(SUMIF($A$2:A188,"&lt;&gt;",R$2:R188),2)),IF(OR(Q189="",NOT(ISNUMBER(historico_VU!F189))),"",ROUND(Q189*historico_VU!F189,2)))</f>
        <v/>
      </c>
      <c r="S189" s="38"/>
      <c r="T189" s="39" t="str">
        <f>IF(AND(A189="",A188&lt;&gt;"",COUNTIF(A190:$A$200,"&lt;&gt;")=0),IF(COUNT(T$2:T188)=0,"",ROUND(SUMIF($A$2:A188,"&lt;&gt;",T$2:T188),2)),IF(OR(S189="",NOT(ISNUMBER(historico_VU!G189))),"",ROUND(S189*historico_VU!G189,2)))</f>
        <v/>
      </c>
      <c r="U189" s="86" t="str">
        <f>IF(AND(A189="",A188&lt;&gt;"",COUNTIF(A190:$A$200,"&lt;&gt;")=0),"TOTAL",IF(A189="","",posicao_contratual!X189))</f>
        <v/>
      </c>
      <c r="V189" s="86" t="str">
        <f>IF(A189="","",posicao_contratual!X189)</f>
        <v/>
      </c>
      <c r="W189" s="13"/>
      <c r="X189" s="13"/>
      <c r="Y189" s="13"/>
      <c r="Z189" s="13"/>
      <c r="AA189" s="13"/>
      <c r="AB189" s="85" t="str">
        <f>IF(OR(A189="",posicao_contratual!E189="",posicao_contratual!J189=""),"",ROUND(MAX(posicao_contratual!E189-posicao_contratual!J189,0),2))</f>
        <v/>
      </c>
      <c r="AC189" s="79" t="str">
        <f>IF(AND(A189="",A188&lt;&gt;"",COUNTIF(A190:$A$200,"&lt;&gt;")=0),IF(COUNT(AC$2:AC188)=0,"",ROUND(SUMIF($A$2:A188,"&lt;&gt;",AC$2:AC188),2)),IF(OR(AB189="",NOT(ISNUMBER(historico_VU!C189))),"",ROUND(AB189*historico_VU!C189,2)))</f>
        <v/>
      </c>
      <c r="AD189" s="145" t="str">
        <f>IF(A189="","",posicao_contratual!E189)</f>
        <v/>
      </c>
      <c r="AE189" s="145" t="str">
        <f>IF(A189="","",posicao_contratual!I189)</f>
        <v/>
      </c>
      <c r="AF189" s="145" t="str">
        <f>IF(A189="","",posicao_contratual!M189)</f>
        <v/>
      </c>
      <c r="AG189" s="145" t="str">
        <f>IF(A189="","",posicao_contratual!Q189)</f>
        <v/>
      </c>
      <c r="AH189" s="145" t="str">
        <f>IF(A189="","",posicao_contratual!U189)</f>
        <v/>
      </c>
      <c r="AI189" s="145" t="str">
        <f>IF(A189="","",posicao_contratual!G189)</f>
        <v/>
      </c>
      <c r="AJ189" s="145" t="str">
        <f>IF(A189="","",posicao_contratual!K189)</f>
        <v/>
      </c>
      <c r="AK189" s="145" t="str">
        <f>IF(A189="","",posicao_contratual!O189)</f>
        <v/>
      </c>
      <c r="AL189" s="145" t="str">
        <f>IF(A189="","",posicao_contratual!S189)</f>
        <v/>
      </c>
      <c r="AM189" s="145" t="str">
        <f>IF(A189="","",posicao_contratual!W189)</f>
        <v/>
      </c>
      <c r="AN189" s="146" t="str">
        <f>IF(A189="","",posicao_contratual!X189)</f>
        <v/>
      </c>
      <c r="AO189" t="str">
        <f>IF($A189="","",ROUND(SUMIFS(itens_Consumidos!$E$2:$E$200,itens_Consumidos!$A$2:$A$200,$A189),2))</f>
        <v/>
      </c>
      <c r="AP189" t="str">
        <f t="shared" si="30"/>
        <v/>
      </c>
      <c r="AQ189" t="str">
        <f>IF(OR($A189="",AB189="",MEMORIA_RESULTADOS!$I$258=""),"",ROUND(AB189*$C189*(MEMORIA_RESULTADOS!$I$258-1),2))</f>
        <v/>
      </c>
      <c r="AR189" t="str">
        <f>IF(OR($A189="",AP189="",MEMORIA_RESULTADOS!$I$258=""),"",ROUND(AP189*$C189*(parametros!$F$2-MEMORIA_RESULTADOS!$I$258),2))</f>
        <v/>
      </c>
      <c r="AS189" t="str">
        <f>IF($A189="","",ROUND(SUMIFS(itens_Consumidos!$G$2:$G$200,itens_Consumidos!$A$2:$A$200,$A189),2))</f>
        <v/>
      </c>
      <c r="AT189" t="str">
        <f t="shared" si="31"/>
        <v/>
      </c>
      <c r="AU189" t="str">
        <f>IF(OR($A189="",M189="",MEMORIA_RESULTADOS!$I$259=""),"",ROUND(M189*$C189*(MEMORIA_RESULTADOS!$I$259-1),2))</f>
        <v/>
      </c>
      <c r="AV189" t="str">
        <f>IF(OR($A189="",AT189="",MEMORIA_RESULTADOS!$I$259=""),"",ROUND(AT189*$C189*(parametros!$F$3-MEMORIA_RESULTADOS!$I$259),2))</f>
        <v/>
      </c>
      <c r="AW189" t="str">
        <f>IF($A189="","",ROUND(SUMIFS(itens_Consumidos!$I$2:$I$200,itens_Consumidos!$A$2:$A$200,$A189),2))</f>
        <v/>
      </c>
      <c r="AX189" t="str">
        <f t="shared" si="32"/>
        <v/>
      </c>
      <c r="AY189" t="str">
        <f>IF(OR($A189="",O189="",MEMORIA_RESULTADOS!$I$260=""),"",ROUND(O189*$C189*(MEMORIA_RESULTADOS!$I$260-1),2))</f>
        <v/>
      </c>
      <c r="AZ189" t="str">
        <f>IF(OR($A189="",AX189="",MEMORIA_RESULTADOS!$I$260=""),"",ROUND(AX189*$C189*(parametros!$F$4-MEMORIA_RESULTADOS!$I$260),2))</f>
        <v/>
      </c>
      <c r="BA189" t="str">
        <f>IF($A189="","",ROUND(SUMIFS(itens_Consumidos!$K$2:$K$200,itens_Consumidos!$A$2:$A$200,$A189),2))</f>
        <v/>
      </c>
      <c r="BB189" t="str">
        <f t="shared" si="33"/>
        <v/>
      </c>
      <c r="BC189" t="str">
        <f>IF(OR($A189="",Q189="",MEMORIA_RESULTADOS!$I$261=""),"",ROUND(Q189*$C189*(MEMORIA_RESULTADOS!$I$261-1),2))</f>
        <v/>
      </c>
      <c r="BD189" t="str">
        <f>IF(OR($A189="",BB189="",MEMORIA_RESULTADOS!$I$261=""),"",ROUND(BB189*$C189*(parametros!$F$5-MEMORIA_RESULTADOS!$I$261),2))</f>
        <v/>
      </c>
      <c r="BE189" t="str">
        <f>IF($A189="","",ROUND(SUMIFS(itens_Consumidos!$M$2:$M$200,itens_Consumidos!$A$2:$A$200,$A189),2))</f>
        <v/>
      </c>
      <c r="BF189" t="str">
        <f t="shared" si="34"/>
        <v/>
      </c>
      <c r="BG189" t="str">
        <f>IF(OR($A189="",S189="",MEMORIA_RESULTADOS!$I$262=""),"",ROUND(S189*$C189*(MEMORIA_RESULTADOS!$I$262-1),2))</f>
        <v/>
      </c>
      <c r="BH189" t="str">
        <f>IF(OR($A189="",BF189="",MEMORIA_RESULTADOS!$I$262=""),"",ROUND(BF189*$C189*(parametros!$F$6-MEMORIA_RESULTADOS!$I$262),2))</f>
        <v/>
      </c>
      <c r="BI189" t="str">
        <f>IF($A189="","",IF(posicao_contratual!$AL189="","",posicao_contratual!$AL189))</f>
        <v/>
      </c>
    </row>
    <row r="190" spans="1:61" x14ac:dyDescent="0.35">
      <c r="A190" s="81"/>
      <c r="B190" s="82" t="str">
        <f t="shared" si="35"/>
        <v/>
      </c>
      <c r="C190" s="83"/>
      <c r="D190" s="79" t="str">
        <f>IF(AND(A190="",A189&lt;&gt;"",COUNTIF(A191:$A$200,"&lt;&gt;")=0),ROUND(SUMIF($A$2:A189,"&lt;&gt;",$D$2:D189),2),IF(OR(A190="",B190="",C190=""),"",ROUND(B190*C190,2)))</f>
        <v/>
      </c>
      <c r="E190" s="84"/>
      <c r="F190" s="79" t="str">
        <f>IF(AND(A190="",A189&lt;&gt;"",COUNTIF(A191:$A$200,"&lt;&gt;")=0),IF(COUNT(F$2:F189)=0,"",ROUND(SUMIF($A$2:A189,"&lt;&gt;",F$2:F189),2)),IF(OR(A190="",AND(ISNUMBER(posicao_contratual!$AL190),posicao_contratual!$AL190&gt;1),posicao_contratual!K190="",NOT(ISNUMBER(historico_VU!D190))),"",ROUND(posicao_contratual!K190*historico_VU!D190,2)))</f>
        <v/>
      </c>
      <c r="G190" s="84"/>
      <c r="H190" s="79" t="str">
        <f>IF(AND(A190="",A189&lt;&gt;"",COUNTIF(A191:$A$200,"&lt;&gt;")=0),IF(COUNT(H$2:H189)=0,"",ROUND(SUMIF($A$2:A189,"&lt;&gt;",H$2:H189),2)),IF(OR(A190="",AND(ISNUMBER(posicao_contratual!$AL190),posicao_contratual!$AL190&gt;2),posicao_contratual!O190="",NOT(ISNUMBER(historico_VU!E190))),"",ROUND(posicao_contratual!O190*historico_VU!E190,2)))</f>
        <v/>
      </c>
      <c r="I190" s="84"/>
      <c r="J190" s="79" t="str">
        <f>IF(AND(A190="",A189&lt;&gt;"",COUNTIF(A191:$A$200,"&lt;&gt;")=0),IF(COUNT(J$2:J189)=0,"",ROUND(SUMIF($A$2:A189,"&lt;&gt;",J$2:J189),2)),IF(OR(A190="",AND(ISNUMBER(posicao_contratual!$AL190),posicao_contratual!$AL190&gt;3),posicao_contratual!S190="",NOT(ISNUMBER(historico_VU!F190))),"",ROUND(posicao_contratual!S190*historico_VU!F190,2)))</f>
        <v/>
      </c>
      <c r="K190" s="84"/>
      <c r="L190" s="79" t="str">
        <f>IF(AND(A190="",A189&lt;&gt;"",COUNTIF(A191:$A$200,"&lt;&gt;")=0),IF(COUNT(L$2:L189)=0,"",ROUND(SUMIF($A$2:A189,"&lt;&gt;",L$2:L189),2)),IF(OR(A190="",AND(ISNUMBER(posicao_contratual!$AL190),posicao_contratual!$AL190&gt;4),posicao_contratual!W190="",NOT(ISNUMBER(historico_VU!G190))),"",ROUND(posicao_contratual!W190*historico_VU!G190,2)))</f>
        <v/>
      </c>
      <c r="M190" s="85" t="str">
        <f>IF(OR(posicao_contratual!J190="",posicao_contratual!N190=""),"",ROUND(MAX(posicao_contratual!J190+posicao_contratual!H190-posicao_contratual!N190,0),2))</f>
        <v/>
      </c>
      <c r="N190" s="79" t="str">
        <f>IF(AND(A190="",A189&lt;&gt;"",COUNTIF(A191:$A$200,"&lt;&gt;")=0),IF(COUNT(N$2:N189)=0,"",ROUND(SUMIF($A$2:A189,"&lt;&gt;",N$2:N189),2)),IF(OR(M190="",NOT(ISNUMBER(historico_VU!D190))),"",ROUND(M190*historico_VU!D190,2)))</f>
        <v/>
      </c>
      <c r="O190" s="85" t="str">
        <f>IF(OR(posicao_contratual!N190="",posicao_contratual!R190=""),"",ROUND(MAX(posicao_contratual!N190+posicao_contratual!L190-posicao_contratual!R190,0),2))</f>
        <v/>
      </c>
      <c r="P190" s="79" t="str">
        <f>IF(AND(A190="",A189&lt;&gt;"",COUNTIF(A191:$A$200,"&lt;&gt;")=0),IF(COUNT(P$2:P189)=0,"",ROUND(SUMIF($A$2:A189,"&lt;&gt;",P$2:P189),2)),IF(OR(O190="",NOT(ISNUMBER(historico_VU!E190))),"",ROUND(O190*historico_VU!E190,2)))</f>
        <v/>
      </c>
      <c r="Q190" s="85" t="str">
        <f>IF(OR(posicao_contratual!R190="",posicao_contratual!V190=""),"",ROUND(MAX(posicao_contratual!R190+posicao_contratual!P190-posicao_contratual!V190,0),2))</f>
        <v/>
      </c>
      <c r="R190" s="79" t="str">
        <f>IF(AND(A190="",A189&lt;&gt;"",COUNTIF(A191:$A$200,"&lt;&gt;")=0),IF(COUNT(R$2:R189)=0,"",ROUND(SUMIF($A$2:A189,"&lt;&gt;",R$2:R189),2)),IF(OR(Q190="",NOT(ISNUMBER(historico_VU!F190))),"",ROUND(Q190*historico_VU!F190,2)))</f>
        <v/>
      </c>
      <c r="S190" s="38"/>
      <c r="T190" s="39" t="str">
        <f>IF(AND(A190="",A189&lt;&gt;"",COUNTIF(A191:$A$200,"&lt;&gt;")=0),IF(COUNT(T$2:T189)=0,"",ROUND(SUMIF($A$2:A189,"&lt;&gt;",T$2:T189),2)),IF(OR(S190="",NOT(ISNUMBER(historico_VU!G190))),"",ROUND(S190*historico_VU!G190,2)))</f>
        <v/>
      </c>
      <c r="U190" s="86" t="str">
        <f>IF(AND(A190="",A189&lt;&gt;"",COUNTIF(A191:$A$200,"&lt;&gt;")=0),"TOTAL",IF(A190="","",posicao_contratual!X190))</f>
        <v/>
      </c>
      <c r="V190" s="86" t="str">
        <f>IF(A190="","",posicao_contratual!X190)</f>
        <v/>
      </c>
      <c r="W190" s="13"/>
      <c r="X190" s="13"/>
      <c r="Y190" s="13"/>
      <c r="Z190" s="13"/>
      <c r="AA190" s="13"/>
      <c r="AB190" s="85" t="str">
        <f>IF(OR(A190="",posicao_contratual!E190="",posicao_contratual!J190=""),"",ROUND(MAX(posicao_contratual!E190-posicao_contratual!J190,0),2))</f>
        <v/>
      </c>
      <c r="AC190" s="79" t="str">
        <f>IF(AND(A190="",A189&lt;&gt;"",COUNTIF(A191:$A$200,"&lt;&gt;")=0),IF(COUNT(AC$2:AC189)=0,"",ROUND(SUMIF($A$2:A189,"&lt;&gt;",AC$2:AC189),2)),IF(OR(AB190="",NOT(ISNUMBER(historico_VU!C190))),"",ROUND(AB190*historico_VU!C190,2)))</f>
        <v/>
      </c>
      <c r="AD190" s="145" t="str">
        <f>IF(A190="","",posicao_contratual!E190)</f>
        <v/>
      </c>
      <c r="AE190" s="145" t="str">
        <f>IF(A190="","",posicao_contratual!I190)</f>
        <v/>
      </c>
      <c r="AF190" s="145" t="str">
        <f>IF(A190="","",posicao_contratual!M190)</f>
        <v/>
      </c>
      <c r="AG190" s="145" t="str">
        <f>IF(A190="","",posicao_contratual!Q190)</f>
        <v/>
      </c>
      <c r="AH190" s="145" t="str">
        <f>IF(A190="","",posicao_contratual!U190)</f>
        <v/>
      </c>
      <c r="AI190" s="145" t="str">
        <f>IF(A190="","",posicao_contratual!G190)</f>
        <v/>
      </c>
      <c r="AJ190" s="145" t="str">
        <f>IF(A190="","",posicao_contratual!K190)</f>
        <v/>
      </c>
      <c r="AK190" s="145" t="str">
        <f>IF(A190="","",posicao_contratual!O190)</f>
        <v/>
      </c>
      <c r="AL190" s="145" t="str">
        <f>IF(A190="","",posicao_contratual!S190)</f>
        <v/>
      </c>
      <c r="AM190" s="145" t="str">
        <f>IF(A190="","",posicao_contratual!W190)</f>
        <v/>
      </c>
      <c r="AN190" s="146" t="str">
        <f>IF(A190="","",posicao_contratual!X190)</f>
        <v/>
      </c>
      <c r="AO190" t="str">
        <f>IF($A190="","",ROUND(SUMIFS(itens_Consumidos!$E$2:$E$200,itens_Consumidos!$A$2:$A$200,$A190),2))</f>
        <v/>
      </c>
      <c r="AP190" t="str">
        <f t="shared" si="30"/>
        <v/>
      </c>
      <c r="AQ190" t="str">
        <f>IF(OR($A190="",AB190="",MEMORIA_RESULTADOS!$I$258=""),"",ROUND(AB190*$C190*(MEMORIA_RESULTADOS!$I$258-1),2))</f>
        <v/>
      </c>
      <c r="AR190" t="str">
        <f>IF(OR($A190="",AP190="",MEMORIA_RESULTADOS!$I$258=""),"",ROUND(AP190*$C190*(parametros!$F$2-MEMORIA_RESULTADOS!$I$258),2))</f>
        <v/>
      </c>
      <c r="AS190" t="str">
        <f>IF($A190="","",ROUND(SUMIFS(itens_Consumidos!$G$2:$G$200,itens_Consumidos!$A$2:$A$200,$A190),2))</f>
        <v/>
      </c>
      <c r="AT190" t="str">
        <f t="shared" si="31"/>
        <v/>
      </c>
      <c r="AU190" t="str">
        <f>IF(OR($A190="",M190="",MEMORIA_RESULTADOS!$I$259=""),"",ROUND(M190*$C190*(MEMORIA_RESULTADOS!$I$259-1),2))</f>
        <v/>
      </c>
      <c r="AV190" t="str">
        <f>IF(OR($A190="",AT190="",MEMORIA_RESULTADOS!$I$259=""),"",ROUND(AT190*$C190*(parametros!$F$3-MEMORIA_RESULTADOS!$I$259),2))</f>
        <v/>
      </c>
      <c r="AW190" t="str">
        <f>IF($A190="","",ROUND(SUMIFS(itens_Consumidos!$I$2:$I$200,itens_Consumidos!$A$2:$A$200,$A190),2))</f>
        <v/>
      </c>
      <c r="AX190" t="str">
        <f t="shared" si="32"/>
        <v/>
      </c>
      <c r="AY190" t="str">
        <f>IF(OR($A190="",O190="",MEMORIA_RESULTADOS!$I$260=""),"",ROUND(O190*$C190*(MEMORIA_RESULTADOS!$I$260-1),2))</f>
        <v/>
      </c>
      <c r="AZ190" t="str">
        <f>IF(OR($A190="",AX190="",MEMORIA_RESULTADOS!$I$260=""),"",ROUND(AX190*$C190*(parametros!$F$4-MEMORIA_RESULTADOS!$I$260),2))</f>
        <v/>
      </c>
      <c r="BA190" t="str">
        <f>IF($A190="","",ROUND(SUMIFS(itens_Consumidos!$K$2:$K$200,itens_Consumidos!$A$2:$A$200,$A190),2))</f>
        <v/>
      </c>
      <c r="BB190" t="str">
        <f t="shared" si="33"/>
        <v/>
      </c>
      <c r="BC190" t="str">
        <f>IF(OR($A190="",Q190="",MEMORIA_RESULTADOS!$I$261=""),"",ROUND(Q190*$C190*(MEMORIA_RESULTADOS!$I$261-1),2))</f>
        <v/>
      </c>
      <c r="BD190" t="str">
        <f>IF(OR($A190="",BB190="",MEMORIA_RESULTADOS!$I$261=""),"",ROUND(BB190*$C190*(parametros!$F$5-MEMORIA_RESULTADOS!$I$261),2))</f>
        <v/>
      </c>
      <c r="BE190" t="str">
        <f>IF($A190="","",ROUND(SUMIFS(itens_Consumidos!$M$2:$M$200,itens_Consumidos!$A$2:$A$200,$A190),2))</f>
        <v/>
      </c>
      <c r="BF190" t="str">
        <f t="shared" si="34"/>
        <v/>
      </c>
      <c r="BG190" t="str">
        <f>IF(OR($A190="",S190="",MEMORIA_RESULTADOS!$I$262=""),"",ROUND(S190*$C190*(MEMORIA_RESULTADOS!$I$262-1),2))</f>
        <v/>
      </c>
      <c r="BH190" t="str">
        <f>IF(OR($A190="",BF190="",MEMORIA_RESULTADOS!$I$262=""),"",ROUND(BF190*$C190*(parametros!$F$6-MEMORIA_RESULTADOS!$I$262),2))</f>
        <v/>
      </c>
      <c r="BI190" t="str">
        <f>IF($A190="","",IF(posicao_contratual!$AL190="","",posicao_contratual!$AL190))</f>
        <v/>
      </c>
    </row>
    <row r="191" spans="1:61" x14ac:dyDescent="0.35">
      <c r="A191" s="81"/>
      <c r="B191" s="82" t="str">
        <f t="shared" si="35"/>
        <v/>
      </c>
      <c r="C191" s="83"/>
      <c r="D191" s="79" t="str">
        <f>IF(AND(A191="",A190&lt;&gt;"",COUNTIF(A192:$A$200,"&lt;&gt;")=0),ROUND(SUMIF($A$2:A190,"&lt;&gt;",$D$2:D190),2),IF(OR(A191="",B191="",C191=""),"",ROUND(B191*C191,2)))</f>
        <v/>
      </c>
      <c r="E191" s="84"/>
      <c r="F191" s="79" t="str">
        <f>IF(AND(A191="",A190&lt;&gt;"",COUNTIF(A192:$A$200,"&lt;&gt;")=0),IF(COUNT(F$2:F190)=0,"",ROUND(SUMIF($A$2:A190,"&lt;&gt;",F$2:F190),2)),IF(OR(A191="",AND(ISNUMBER(posicao_contratual!$AL191),posicao_contratual!$AL191&gt;1),posicao_contratual!K191="",NOT(ISNUMBER(historico_VU!D191))),"",ROUND(posicao_contratual!K191*historico_VU!D191,2)))</f>
        <v/>
      </c>
      <c r="G191" s="84"/>
      <c r="H191" s="79" t="str">
        <f>IF(AND(A191="",A190&lt;&gt;"",COUNTIF(A192:$A$200,"&lt;&gt;")=0),IF(COUNT(H$2:H190)=0,"",ROUND(SUMIF($A$2:A190,"&lt;&gt;",H$2:H190),2)),IF(OR(A191="",AND(ISNUMBER(posicao_contratual!$AL191),posicao_contratual!$AL191&gt;2),posicao_contratual!O191="",NOT(ISNUMBER(historico_VU!E191))),"",ROUND(posicao_contratual!O191*historico_VU!E191,2)))</f>
        <v/>
      </c>
      <c r="I191" s="84"/>
      <c r="J191" s="79" t="str">
        <f>IF(AND(A191="",A190&lt;&gt;"",COUNTIF(A192:$A$200,"&lt;&gt;")=0),IF(COUNT(J$2:J190)=0,"",ROUND(SUMIF($A$2:A190,"&lt;&gt;",J$2:J190),2)),IF(OR(A191="",AND(ISNUMBER(posicao_contratual!$AL191),posicao_contratual!$AL191&gt;3),posicao_contratual!S191="",NOT(ISNUMBER(historico_VU!F191))),"",ROUND(posicao_contratual!S191*historico_VU!F191,2)))</f>
        <v/>
      </c>
      <c r="K191" s="84"/>
      <c r="L191" s="79" t="str">
        <f>IF(AND(A191="",A190&lt;&gt;"",COUNTIF(A192:$A$200,"&lt;&gt;")=0),IF(COUNT(L$2:L190)=0,"",ROUND(SUMIF($A$2:A190,"&lt;&gt;",L$2:L190),2)),IF(OR(A191="",AND(ISNUMBER(posicao_contratual!$AL191),posicao_contratual!$AL191&gt;4),posicao_contratual!W191="",NOT(ISNUMBER(historico_VU!G191))),"",ROUND(posicao_contratual!W191*historico_VU!G191,2)))</f>
        <v/>
      </c>
      <c r="M191" s="85" t="str">
        <f>IF(OR(posicao_contratual!J191="",posicao_contratual!N191=""),"",ROUND(MAX(posicao_contratual!J191+posicao_contratual!H191-posicao_contratual!N191,0),2))</f>
        <v/>
      </c>
      <c r="N191" s="79" t="str">
        <f>IF(AND(A191="",A190&lt;&gt;"",COUNTIF(A192:$A$200,"&lt;&gt;")=0),IF(COUNT(N$2:N190)=0,"",ROUND(SUMIF($A$2:A190,"&lt;&gt;",N$2:N190),2)),IF(OR(M191="",NOT(ISNUMBER(historico_VU!D191))),"",ROUND(M191*historico_VU!D191,2)))</f>
        <v/>
      </c>
      <c r="O191" s="85" t="str">
        <f>IF(OR(posicao_contratual!N191="",posicao_contratual!R191=""),"",ROUND(MAX(posicao_contratual!N191+posicao_contratual!L191-posicao_contratual!R191,0),2))</f>
        <v/>
      </c>
      <c r="P191" s="79" t="str">
        <f>IF(AND(A191="",A190&lt;&gt;"",COUNTIF(A192:$A$200,"&lt;&gt;")=0),IF(COUNT(P$2:P190)=0,"",ROUND(SUMIF($A$2:A190,"&lt;&gt;",P$2:P190),2)),IF(OR(O191="",NOT(ISNUMBER(historico_VU!E191))),"",ROUND(O191*historico_VU!E191,2)))</f>
        <v/>
      </c>
      <c r="Q191" s="85" t="str">
        <f>IF(OR(posicao_contratual!R191="",posicao_contratual!V191=""),"",ROUND(MAX(posicao_contratual!R191+posicao_contratual!P191-posicao_contratual!V191,0),2))</f>
        <v/>
      </c>
      <c r="R191" s="79" t="str">
        <f>IF(AND(A191="",A190&lt;&gt;"",COUNTIF(A192:$A$200,"&lt;&gt;")=0),IF(COUNT(R$2:R190)=0,"",ROUND(SUMIF($A$2:A190,"&lt;&gt;",R$2:R190),2)),IF(OR(Q191="",NOT(ISNUMBER(historico_VU!F191))),"",ROUND(Q191*historico_VU!F191,2)))</f>
        <v/>
      </c>
      <c r="S191" s="38"/>
      <c r="T191" s="39" t="str">
        <f>IF(AND(A191="",A190&lt;&gt;"",COUNTIF(A192:$A$200,"&lt;&gt;")=0),IF(COUNT(T$2:T190)=0,"",ROUND(SUMIF($A$2:A190,"&lt;&gt;",T$2:T190),2)),IF(OR(S191="",NOT(ISNUMBER(historico_VU!G191))),"",ROUND(S191*historico_VU!G191,2)))</f>
        <v/>
      </c>
      <c r="U191" s="86" t="str">
        <f>IF(AND(A191="",A190&lt;&gt;"",COUNTIF(A192:$A$200,"&lt;&gt;")=0),"TOTAL",IF(A191="","",posicao_contratual!X191))</f>
        <v/>
      </c>
      <c r="V191" s="86" t="str">
        <f>IF(A191="","",posicao_contratual!X191)</f>
        <v/>
      </c>
      <c r="W191" s="13"/>
      <c r="X191" s="13"/>
      <c r="Y191" s="13"/>
      <c r="Z191" s="13"/>
      <c r="AA191" s="13"/>
      <c r="AB191" s="85" t="str">
        <f>IF(OR(A191="",posicao_contratual!E191="",posicao_contratual!J191=""),"",ROUND(MAX(posicao_contratual!E191-posicao_contratual!J191,0),2))</f>
        <v/>
      </c>
      <c r="AC191" s="79" t="str">
        <f>IF(AND(A191="",A190&lt;&gt;"",COUNTIF(A192:$A$200,"&lt;&gt;")=0),IF(COUNT(AC$2:AC190)=0,"",ROUND(SUMIF($A$2:A190,"&lt;&gt;",AC$2:AC190),2)),IF(OR(AB191="",NOT(ISNUMBER(historico_VU!C191))),"",ROUND(AB191*historico_VU!C191,2)))</f>
        <v/>
      </c>
      <c r="AD191" s="145" t="str">
        <f>IF(A191="","",posicao_contratual!E191)</f>
        <v/>
      </c>
      <c r="AE191" s="145" t="str">
        <f>IF(A191="","",posicao_contratual!I191)</f>
        <v/>
      </c>
      <c r="AF191" s="145" t="str">
        <f>IF(A191="","",posicao_contratual!M191)</f>
        <v/>
      </c>
      <c r="AG191" s="145" t="str">
        <f>IF(A191="","",posicao_contratual!Q191)</f>
        <v/>
      </c>
      <c r="AH191" s="145" t="str">
        <f>IF(A191="","",posicao_contratual!U191)</f>
        <v/>
      </c>
      <c r="AI191" s="145" t="str">
        <f>IF(A191="","",posicao_contratual!G191)</f>
        <v/>
      </c>
      <c r="AJ191" s="145" t="str">
        <f>IF(A191="","",posicao_contratual!K191)</f>
        <v/>
      </c>
      <c r="AK191" s="145" t="str">
        <f>IF(A191="","",posicao_contratual!O191)</f>
        <v/>
      </c>
      <c r="AL191" s="145" t="str">
        <f>IF(A191="","",posicao_contratual!S191)</f>
        <v/>
      </c>
      <c r="AM191" s="145" t="str">
        <f>IF(A191="","",posicao_contratual!W191)</f>
        <v/>
      </c>
      <c r="AN191" s="146" t="str">
        <f>IF(A191="","",posicao_contratual!X191)</f>
        <v/>
      </c>
      <c r="AO191" t="str">
        <f>IF($A191="","",ROUND(SUMIFS(itens_Consumidos!$E$2:$E$200,itens_Consumidos!$A$2:$A$200,$A191),2))</f>
        <v/>
      </c>
      <c r="AP191" t="str">
        <f t="shared" si="30"/>
        <v/>
      </c>
      <c r="AQ191" t="str">
        <f>IF(OR($A191="",AB191="",MEMORIA_RESULTADOS!$I$258=""),"",ROUND(AB191*$C191*(MEMORIA_RESULTADOS!$I$258-1),2))</f>
        <v/>
      </c>
      <c r="AR191" t="str">
        <f>IF(OR($A191="",AP191="",MEMORIA_RESULTADOS!$I$258=""),"",ROUND(AP191*$C191*(parametros!$F$2-MEMORIA_RESULTADOS!$I$258),2))</f>
        <v/>
      </c>
      <c r="AS191" t="str">
        <f>IF($A191="","",ROUND(SUMIFS(itens_Consumidos!$G$2:$G$200,itens_Consumidos!$A$2:$A$200,$A191),2))</f>
        <v/>
      </c>
      <c r="AT191" t="str">
        <f t="shared" si="31"/>
        <v/>
      </c>
      <c r="AU191" t="str">
        <f>IF(OR($A191="",M191="",MEMORIA_RESULTADOS!$I$259=""),"",ROUND(M191*$C191*(MEMORIA_RESULTADOS!$I$259-1),2))</f>
        <v/>
      </c>
      <c r="AV191" t="str">
        <f>IF(OR($A191="",AT191="",MEMORIA_RESULTADOS!$I$259=""),"",ROUND(AT191*$C191*(parametros!$F$3-MEMORIA_RESULTADOS!$I$259),2))</f>
        <v/>
      </c>
      <c r="AW191" t="str">
        <f>IF($A191="","",ROUND(SUMIFS(itens_Consumidos!$I$2:$I$200,itens_Consumidos!$A$2:$A$200,$A191),2))</f>
        <v/>
      </c>
      <c r="AX191" t="str">
        <f t="shared" si="32"/>
        <v/>
      </c>
      <c r="AY191" t="str">
        <f>IF(OR($A191="",O191="",MEMORIA_RESULTADOS!$I$260=""),"",ROUND(O191*$C191*(MEMORIA_RESULTADOS!$I$260-1),2))</f>
        <v/>
      </c>
      <c r="AZ191" t="str">
        <f>IF(OR($A191="",AX191="",MEMORIA_RESULTADOS!$I$260=""),"",ROUND(AX191*$C191*(parametros!$F$4-MEMORIA_RESULTADOS!$I$260),2))</f>
        <v/>
      </c>
      <c r="BA191" t="str">
        <f>IF($A191="","",ROUND(SUMIFS(itens_Consumidos!$K$2:$K$200,itens_Consumidos!$A$2:$A$200,$A191),2))</f>
        <v/>
      </c>
      <c r="BB191" t="str">
        <f t="shared" si="33"/>
        <v/>
      </c>
      <c r="BC191" t="str">
        <f>IF(OR($A191="",Q191="",MEMORIA_RESULTADOS!$I$261=""),"",ROUND(Q191*$C191*(MEMORIA_RESULTADOS!$I$261-1),2))</f>
        <v/>
      </c>
      <c r="BD191" t="str">
        <f>IF(OR($A191="",BB191="",MEMORIA_RESULTADOS!$I$261=""),"",ROUND(BB191*$C191*(parametros!$F$5-MEMORIA_RESULTADOS!$I$261),2))</f>
        <v/>
      </c>
      <c r="BE191" t="str">
        <f>IF($A191="","",ROUND(SUMIFS(itens_Consumidos!$M$2:$M$200,itens_Consumidos!$A$2:$A$200,$A191),2))</f>
        <v/>
      </c>
      <c r="BF191" t="str">
        <f t="shared" si="34"/>
        <v/>
      </c>
      <c r="BG191" t="str">
        <f>IF(OR($A191="",S191="",MEMORIA_RESULTADOS!$I$262=""),"",ROUND(S191*$C191*(MEMORIA_RESULTADOS!$I$262-1),2))</f>
        <v/>
      </c>
      <c r="BH191" t="str">
        <f>IF(OR($A191="",BF191="",MEMORIA_RESULTADOS!$I$262=""),"",ROUND(BF191*$C191*(parametros!$F$6-MEMORIA_RESULTADOS!$I$262),2))</f>
        <v/>
      </c>
      <c r="BI191" t="str">
        <f>IF($A191="","",IF(posicao_contratual!$AL191="","",posicao_contratual!$AL191))</f>
        <v/>
      </c>
    </row>
    <row r="192" spans="1:61" x14ac:dyDescent="0.35">
      <c r="A192" s="81"/>
      <c r="B192" s="82" t="str">
        <f t="shared" si="35"/>
        <v/>
      </c>
      <c r="C192" s="83"/>
      <c r="D192" s="79" t="str">
        <f>IF(AND(A192="",A191&lt;&gt;"",COUNTIF(A193:$A$200,"&lt;&gt;")=0),ROUND(SUMIF($A$2:A191,"&lt;&gt;",$D$2:D191),2),IF(OR(A192="",B192="",C192=""),"",ROUND(B192*C192,2)))</f>
        <v/>
      </c>
      <c r="E192" s="84"/>
      <c r="F192" s="79" t="str">
        <f>IF(AND(A192="",A191&lt;&gt;"",COUNTIF(A193:$A$200,"&lt;&gt;")=0),IF(COUNT(F$2:F191)=0,"",ROUND(SUMIF($A$2:A191,"&lt;&gt;",F$2:F191),2)),IF(OR(A192="",AND(ISNUMBER(posicao_contratual!$AL192),posicao_contratual!$AL192&gt;1),posicao_contratual!K192="",NOT(ISNUMBER(historico_VU!D192))),"",ROUND(posicao_contratual!K192*historico_VU!D192,2)))</f>
        <v/>
      </c>
      <c r="G192" s="84"/>
      <c r="H192" s="79" t="str">
        <f>IF(AND(A192="",A191&lt;&gt;"",COUNTIF(A193:$A$200,"&lt;&gt;")=0),IF(COUNT(H$2:H191)=0,"",ROUND(SUMIF($A$2:A191,"&lt;&gt;",H$2:H191),2)),IF(OR(A192="",AND(ISNUMBER(posicao_contratual!$AL192),posicao_contratual!$AL192&gt;2),posicao_contratual!O192="",NOT(ISNUMBER(historico_VU!E192))),"",ROUND(posicao_contratual!O192*historico_VU!E192,2)))</f>
        <v/>
      </c>
      <c r="I192" s="84"/>
      <c r="J192" s="79" t="str">
        <f>IF(AND(A192="",A191&lt;&gt;"",COUNTIF(A193:$A$200,"&lt;&gt;")=0),IF(COUNT(J$2:J191)=0,"",ROUND(SUMIF($A$2:A191,"&lt;&gt;",J$2:J191),2)),IF(OR(A192="",AND(ISNUMBER(posicao_contratual!$AL192),posicao_contratual!$AL192&gt;3),posicao_contratual!S192="",NOT(ISNUMBER(historico_VU!F192))),"",ROUND(posicao_contratual!S192*historico_VU!F192,2)))</f>
        <v/>
      </c>
      <c r="K192" s="84"/>
      <c r="L192" s="79" t="str">
        <f>IF(AND(A192="",A191&lt;&gt;"",COUNTIF(A193:$A$200,"&lt;&gt;")=0),IF(COUNT(L$2:L191)=0,"",ROUND(SUMIF($A$2:A191,"&lt;&gt;",L$2:L191),2)),IF(OR(A192="",AND(ISNUMBER(posicao_contratual!$AL192),posicao_contratual!$AL192&gt;4),posicao_contratual!W192="",NOT(ISNUMBER(historico_VU!G192))),"",ROUND(posicao_contratual!W192*historico_VU!G192,2)))</f>
        <v/>
      </c>
      <c r="M192" s="85" t="str">
        <f>IF(OR(posicao_contratual!J192="",posicao_contratual!N192=""),"",ROUND(MAX(posicao_contratual!J192+posicao_contratual!H192-posicao_contratual!N192,0),2))</f>
        <v/>
      </c>
      <c r="N192" s="79" t="str">
        <f>IF(AND(A192="",A191&lt;&gt;"",COUNTIF(A193:$A$200,"&lt;&gt;")=0),IF(COUNT(N$2:N191)=0,"",ROUND(SUMIF($A$2:A191,"&lt;&gt;",N$2:N191),2)),IF(OR(M192="",NOT(ISNUMBER(historico_VU!D192))),"",ROUND(M192*historico_VU!D192,2)))</f>
        <v/>
      </c>
      <c r="O192" s="85" t="str">
        <f>IF(OR(posicao_contratual!N192="",posicao_contratual!R192=""),"",ROUND(MAX(posicao_contratual!N192+posicao_contratual!L192-posicao_contratual!R192,0),2))</f>
        <v/>
      </c>
      <c r="P192" s="79" t="str">
        <f>IF(AND(A192="",A191&lt;&gt;"",COUNTIF(A193:$A$200,"&lt;&gt;")=0),IF(COUNT(P$2:P191)=0,"",ROUND(SUMIF($A$2:A191,"&lt;&gt;",P$2:P191),2)),IF(OR(O192="",NOT(ISNUMBER(historico_VU!E192))),"",ROUND(O192*historico_VU!E192,2)))</f>
        <v/>
      </c>
      <c r="Q192" s="85" t="str">
        <f>IF(OR(posicao_contratual!R192="",posicao_contratual!V192=""),"",ROUND(MAX(posicao_contratual!R192+posicao_contratual!P192-posicao_contratual!V192,0),2))</f>
        <v/>
      </c>
      <c r="R192" s="79" t="str">
        <f>IF(AND(A192="",A191&lt;&gt;"",COUNTIF(A193:$A$200,"&lt;&gt;")=0),IF(COUNT(R$2:R191)=0,"",ROUND(SUMIF($A$2:A191,"&lt;&gt;",R$2:R191),2)),IF(OR(Q192="",NOT(ISNUMBER(historico_VU!F192))),"",ROUND(Q192*historico_VU!F192,2)))</f>
        <v/>
      </c>
      <c r="S192" s="38"/>
      <c r="T192" s="39" t="str">
        <f>IF(AND(A192="",A191&lt;&gt;"",COUNTIF(A193:$A$200,"&lt;&gt;")=0),IF(COUNT(T$2:T191)=0,"",ROUND(SUMIF($A$2:A191,"&lt;&gt;",T$2:T191),2)),IF(OR(S192="",NOT(ISNUMBER(historico_VU!G192))),"",ROUND(S192*historico_VU!G192,2)))</f>
        <v/>
      </c>
      <c r="U192" s="86" t="str">
        <f>IF(AND(A192="",A191&lt;&gt;"",COUNTIF(A193:$A$200,"&lt;&gt;")=0),"TOTAL",IF(A192="","",posicao_contratual!X192))</f>
        <v/>
      </c>
      <c r="V192" s="86" t="str">
        <f>IF(A192="","",posicao_contratual!X192)</f>
        <v/>
      </c>
      <c r="W192" s="13"/>
      <c r="X192" s="13"/>
      <c r="Y192" s="13"/>
      <c r="Z192" s="13"/>
      <c r="AA192" s="13"/>
      <c r="AB192" s="85" t="str">
        <f>IF(OR(A192="",posicao_contratual!E192="",posicao_contratual!J192=""),"",ROUND(MAX(posicao_contratual!E192-posicao_contratual!J192,0),2))</f>
        <v/>
      </c>
      <c r="AC192" s="79" t="str">
        <f>IF(AND(A192="",A191&lt;&gt;"",COUNTIF(A193:$A$200,"&lt;&gt;")=0),IF(COUNT(AC$2:AC191)=0,"",ROUND(SUMIF($A$2:A191,"&lt;&gt;",AC$2:AC191),2)),IF(OR(AB192="",NOT(ISNUMBER(historico_VU!C192))),"",ROUND(AB192*historico_VU!C192,2)))</f>
        <v/>
      </c>
      <c r="AD192" s="145" t="str">
        <f>IF(A192="","",posicao_contratual!E192)</f>
        <v/>
      </c>
      <c r="AE192" s="145" t="str">
        <f>IF(A192="","",posicao_contratual!I192)</f>
        <v/>
      </c>
      <c r="AF192" s="145" t="str">
        <f>IF(A192="","",posicao_contratual!M192)</f>
        <v/>
      </c>
      <c r="AG192" s="145" t="str">
        <f>IF(A192="","",posicao_contratual!Q192)</f>
        <v/>
      </c>
      <c r="AH192" s="145" t="str">
        <f>IF(A192="","",posicao_contratual!U192)</f>
        <v/>
      </c>
      <c r="AI192" s="145" t="str">
        <f>IF(A192="","",posicao_contratual!G192)</f>
        <v/>
      </c>
      <c r="AJ192" s="145" t="str">
        <f>IF(A192="","",posicao_contratual!K192)</f>
        <v/>
      </c>
      <c r="AK192" s="145" t="str">
        <f>IF(A192="","",posicao_contratual!O192)</f>
        <v/>
      </c>
      <c r="AL192" s="145" t="str">
        <f>IF(A192="","",posicao_contratual!S192)</f>
        <v/>
      </c>
      <c r="AM192" s="145" t="str">
        <f>IF(A192="","",posicao_contratual!W192)</f>
        <v/>
      </c>
      <c r="AN192" s="146" t="str">
        <f>IF(A192="","",posicao_contratual!X192)</f>
        <v/>
      </c>
      <c r="AO192" t="str">
        <f>IF($A192="","",ROUND(SUMIFS(itens_Consumidos!$E$2:$E$200,itens_Consumidos!$A$2:$A$200,$A192),2))</f>
        <v/>
      </c>
      <c r="AP192" t="str">
        <f t="shared" si="30"/>
        <v/>
      </c>
      <c r="AQ192" t="str">
        <f>IF(OR($A192="",AB192="",MEMORIA_RESULTADOS!$I$258=""),"",ROUND(AB192*$C192*(MEMORIA_RESULTADOS!$I$258-1),2))</f>
        <v/>
      </c>
      <c r="AR192" t="str">
        <f>IF(OR($A192="",AP192="",MEMORIA_RESULTADOS!$I$258=""),"",ROUND(AP192*$C192*(parametros!$F$2-MEMORIA_RESULTADOS!$I$258),2))</f>
        <v/>
      </c>
      <c r="AS192" t="str">
        <f>IF($A192="","",ROUND(SUMIFS(itens_Consumidos!$G$2:$G$200,itens_Consumidos!$A$2:$A$200,$A192),2))</f>
        <v/>
      </c>
      <c r="AT192" t="str">
        <f t="shared" si="31"/>
        <v/>
      </c>
      <c r="AU192" t="str">
        <f>IF(OR($A192="",M192="",MEMORIA_RESULTADOS!$I$259=""),"",ROUND(M192*$C192*(MEMORIA_RESULTADOS!$I$259-1),2))</f>
        <v/>
      </c>
      <c r="AV192" t="str">
        <f>IF(OR($A192="",AT192="",MEMORIA_RESULTADOS!$I$259=""),"",ROUND(AT192*$C192*(parametros!$F$3-MEMORIA_RESULTADOS!$I$259),2))</f>
        <v/>
      </c>
      <c r="AW192" t="str">
        <f>IF($A192="","",ROUND(SUMIFS(itens_Consumidos!$I$2:$I$200,itens_Consumidos!$A$2:$A$200,$A192),2))</f>
        <v/>
      </c>
      <c r="AX192" t="str">
        <f t="shared" si="32"/>
        <v/>
      </c>
      <c r="AY192" t="str">
        <f>IF(OR($A192="",O192="",MEMORIA_RESULTADOS!$I$260=""),"",ROUND(O192*$C192*(MEMORIA_RESULTADOS!$I$260-1),2))</f>
        <v/>
      </c>
      <c r="AZ192" t="str">
        <f>IF(OR($A192="",AX192="",MEMORIA_RESULTADOS!$I$260=""),"",ROUND(AX192*$C192*(parametros!$F$4-MEMORIA_RESULTADOS!$I$260),2))</f>
        <v/>
      </c>
      <c r="BA192" t="str">
        <f>IF($A192="","",ROUND(SUMIFS(itens_Consumidos!$K$2:$K$200,itens_Consumidos!$A$2:$A$200,$A192),2))</f>
        <v/>
      </c>
      <c r="BB192" t="str">
        <f t="shared" si="33"/>
        <v/>
      </c>
      <c r="BC192" t="str">
        <f>IF(OR($A192="",Q192="",MEMORIA_RESULTADOS!$I$261=""),"",ROUND(Q192*$C192*(MEMORIA_RESULTADOS!$I$261-1),2))</f>
        <v/>
      </c>
      <c r="BD192" t="str">
        <f>IF(OR($A192="",BB192="",MEMORIA_RESULTADOS!$I$261=""),"",ROUND(BB192*$C192*(parametros!$F$5-MEMORIA_RESULTADOS!$I$261),2))</f>
        <v/>
      </c>
      <c r="BE192" t="str">
        <f>IF($A192="","",ROUND(SUMIFS(itens_Consumidos!$M$2:$M$200,itens_Consumidos!$A$2:$A$200,$A192),2))</f>
        <v/>
      </c>
      <c r="BF192" t="str">
        <f t="shared" si="34"/>
        <v/>
      </c>
      <c r="BG192" t="str">
        <f>IF(OR($A192="",S192="",MEMORIA_RESULTADOS!$I$262=""),"",ROUND(S192*$C192*(MEMORIA_RESULTADOS!$I$262-1),2))</f>
        <v/>
      </c>
      <c r="BH192" t="str">
        <f>IF(OR($A192="",BF192="",MEMORIA_RESULTADOS!$I$262=""),"",ROUND(BF192*$C192*(parametros!$F$6-MEMORIA_RESULTADOS!$I$262),2))</f>
        <v/>
      </c>
      <c r="BI192" t="str">
        <f>IF($A192="","",IF(posicao_contratual!$AL192="","",posicao_contratual!$AL192))</f>
        <v/>
      </c>
    </row>
    <row r="193" spans="1:61" x14ac:dyDescent="0.35">
      <c r="A193" s="81"/>
      <c r="B193" s="82" t="str">
        <f t="shared" si="35"/>
        <v/>
      </c>
      <c r="C193" s="83"/>
      <c r="D193" s="79" t="str">
        <f>IF(AND(A193="",A192&lt;&gt;"",COUNTIF(A194:$A$200,"&lt;&gt;")=0),ROUND(SUMIF($A$2:A192,"&lt;&gt;",$D$2:D192),2),IF(OR(A193="",B193="",C193=""),"",ROUND(B193*C193,2)))</f>
        <v/>
      </c>
      <c r="E193" s="84"/>
      <c r="F193" s="79" t="str">
        <f>IF(AND(A193="",A192&lt;&gt;"",COUNTIF(A194:$A$200,"&lt;&gt;")=0),IF(COUNT(F$2:F192)=0,"",ROUND(SUMIF($A$2:A192,"&lt;&gt;",F$2:F192),2)),IF(OR(A193="",AND(ISNUMBER(posicao_contratual!$AL193),posicao_contratual!$AL193&gt;1),posicao_contratual!K193="",NOT(ISNUMBER(historico_VU!D193))),"",ROUND(posicao_contratual!K193*historico_VU!D193,2)))</f>
        <v/>
      </c>
      <c r="G193" s="84"/>
      <c r="H193" s="79" t="str">
        <f>IF(AND(A193="",A192&lt;&gt;"",COUNTIF(A194:$A$200,"&lt;&gt;")=0),IF(COUNT(H$2:H192)=0,"",ROUND(SUMIF($A$2:A192,"&lt;&gt;",H$2:H192),2)),IF(OR(A193="",AND(ISNUMBER(posicao_contratual!$AL193),posicao_contratual!$AL193&gt;2),posicao_contratual!O193="",NOT(ISNUMBER(historico_VU!E193))),"",ROUND(posicao_contratual!O193*historico_VU!E193,2)))</f>
        <v/>
      </c>
      <c r="I193" s="84"/>
      <c r="J193" s="79" t="str">
        <f>IF(AND(A193="",A192&lt;&gt;"",COUNTIF(A194:$A$200,"&lt;&gt;")=0),IF(COUNT(J$2:J192)=0,"",ROUND(SUMIF($A$2:A192,"&lt;&gt;",J$2:J192),2)),IF(OR(A193="",AND(ISNUMBER(posicao_contratual!$AL193),posicao_contratual!$AL193&gt;3),posicao_contratual!S193="",NOT(ISNUMBER(historico_VU!F193))),"",ROUND(posicao_contratual!S193*historico_VU!F193,2)))</f>
        <v/>
      </c>
      <c r="K193" s="84"/>
      <c r="L193" s="79" t="str">
        <f>IF(AND(A193="",A192&lt;&gt;"",COUNTIF(A194:$A$200,"&lt;&gt;")=0),IF(COUNT(L$2:L192)=0,"",ROUND(SUMIF($A$2:A192,"&lt;&gt;",L$2:L192),2)),IF(OR(A193="",AND(ISNUMBER(posicao_contratual!$AL193),posicao_contratual!$AL193&gt;4),posicao_contratual!W193="",NOT(ISNUMBER(historico_VU!G193))),"",ROUND(posicao_contratual!W193*historico_VU!G193,2)))</f>
        <v/>
      </c>
      <c r="M193" s="85" t="str">
        <f>IF(OR(posicao_contratual!J193="",posicao_contratual!N193=""),"",ROUND(MAX(posicao_contratual!J193+posicao_contratual!H193-posicao_contratual!N193,0),2))</f>
        <v/>
      </c>
      <c r="N193" s="79" t="str">
        <f>IF(AND(A193="",A192&lt;&gt;"",COUNTIF(A194:$A$200,"&lt;&gt;")=0),IF(COUNT(N$2:N192)=0,"",ROUND(SUMIF($A$2:A192,"&lt;&gt;",N$2:N192),2)),IF(OR(M193="",NOT(ISNUMBER(historico_VU!D193))),"",ROUND(M193*historico_VU!D193,2)))</f>
        <v/>
      </c>
      <c r="O193" s="85" t="str">
        <f>IF(OR(posicao_contratual!N193="",posicao_contratual!R193=""),"",ROUND(MAX(posicao_contratual!N193+posicao_contratual!L193-posicao_contratual!R193,0),2))</f>
        <v/>
      </c>
      <c r="P193" s="79" t="str">
        <f>IF(AND(A193="",A192&lt;&gt;"",COUNTIF(A194:$A$200,"&lt;&gt;")=0),IF(COUNT(P$2:P192)=0,"",ROUND(SUMIF($A$2:A192,"&lt;&gt;",P$2:P192),2)),IF(OR(O193="",NOT(ISNUMBER(historico_VU!E193))),"",ROUND(O193*historico_VU!E193,2)))</f>
        <v/>
      </c>
      <c r="Q193" s="85" t="str">
        <f>IF(OR(posicao_contratual!R193="",posicao_contratual!V193=""),"",ROUND(MAX(posicao_contratual!R193+posicao_contratual!P193-posicao_contratual!V193,0),2))</f>
        <v/>
      </c>
      <c r="R193" s="79" t="str">
        <f>IF(AND(A193="",A192&lt;&gt;"",COUNTIF(A194:$A$200,"&lt;&gt;")=0),IF(COUNT(R$2:R192)=0,"",ROUND(SUMIF($A$2:A192,"&lt;&gt;",R$2:R192),2)),IF(OR(Q193="",NOT(ISNUMBER(historico_VU!F193))),"",ROUND(Q193*historico_VU!F193,2)))</f>
        <v/>
      </c>
      <c r="S193" s="38"/>
      <c r="T193" s="39" t="str">
        <f>IF(AND(A193="",A192&lt;&gt;"",COUNTIF(A194:$A$200,"&lt;&gt;")=0),IF(COUNT(T$2:T192)=0,"",ROUND(SUMIF($A$2:A192,"&lt;&gt;",T$2:T192),2)),IF(OR(S193="",NOT(ISNUMBER(historico_VU!G193))),"",ROUND(S193*historico_VU!G193,2)))</f>
        <v/>
      </c>
      <c r="U193" s="86" t="str">
        <f>IF(AND(A193="",A192&lt;&gt;"",COUNTIF(A194:$A$200,"&lt;&gt;")=0),"TOTAL",IF(A193="","",posicao_contratual!X193))</f>
        <v/>
      </c>
      <c r="V193" s="86" t="str">
        <f>IF(A193="","",posicao_contratual!X193)</f>
        <v/>
      </c>
      <c r="W193" s="13"/>
      <c r="X193" s="13"/>
      <c r="Y193" s="13"/>
      <c r="Z193" s="13"/>
      <c r="AA193" s="13"/>
      <c r="AB193" s="85" t="str">
        <f>IF(OR(A193="",posicao_contratual!E193="",posicao_contratual!J193=""),"",ROUND(MAX(posicao_contratual!E193-posicao_contratual!J193,0),2))</f>
        <v/>
      </c>
      <c r="AC193" s="79" t="str">
        <f>IF(AND(A193="",A192&lt;&gt;"",COUNTIF(A194:$A$200,"&lt;&gt;")=0),IF(COUNT(AC$2:AC192)=0,"",ROUND(SUMIF($A$2:A192,"&lt;&gt;",AC$2:AC192),2)),IF(OR(AB193="",NOT(ISNUMBER(historico_VU!C193))),"",ROUND(AB193*historico_VU!C193,2)))</f>
        <v/>
      </c>
      <c r="AD193" s="145" t="str">
        <f>IF(A193="","",posicao_contratual!E193)</f>
        <v/>
      </c>
      <c r="AE193" s="145" t="str">
        <f>IF(A193="","",posicao_contratual!I193)</f>
        <v/>
      </c>
      <c r="AF193" s="145" t="str">
        <f>IF(A193="","",posicao_contratual!M193)</f>
        <v/>
      </c>
      <c r="AG193" s="145" t="str">
        <f>IF(A193="","",posicao_contratual!Q193)</f>
        <v/>
      </c>
      <c r="AH193" s="145" t="str">
        <f>IF(A193="","",posicao_contratual!U193)</f>
        <v/>
      </c>
      <c r="AI193" s="145" t="str">
        <f>IF(A193="","",posicao_contratual!G193)</f>
        <v/>
      </c>
      <c r="AJ193" s="145" t="str">
        <f>IF(A193="","",posicao_contratual!K193)</f>
        <v/>
      </c>
      <c r="AK193" s="145" t="str">
        <f>IF(A193="","",posicao_contratual!O193)</f>
        <v/>
      </c>
      <c r="AL193" s="145" t="str">
        <f>IF(A193="","",posicao_contratual!S193)</f>
        <v/>
      </c>
      <c r="AM193" s="145" t="str">
        <f>IF(A193="","",posicao_contratual!W193)</f>
        <v/>
      </c>
      <c r="AN193" s="146" t="str">
        <f>IF(A193="","",posicao_contratual!X193)</f>
        <v/>
      </c>
      <c r="AO193" t="str">
        <f>IF($A193="","",ROUND(SUMIFS(itens_Consumidos!$E$2:$E$200,itens_Consumidos!$A$2:$A$200,$A193),2))</f>
        <v/>
      </c>
      <c r="AP193" t="str">
        <f t="shared" si="30"/>
        <v/>
      </c>
      <c r="AQ193" t="str">
        <f>IF(OR($A193="",AB193="",MEMORIA_RESULTADOS!$I$258=""),"",ROUND(AB193*$C193*(MEMORIA_RESULTADOS!$I$258-1),2))</f>
        <v/>
      </c>
      <c r="AR193" t="str">
        <f>IF(OR($A193="",AP193="",MEMORIA_RESULTADOS!$I$258=""),"",ROUND(AP193*$C193*(parametros!$F$2-MEMORIA_RESULTADOS!$I$258),2))</f>
        <v/>
      </c>
      <c r="AS193" t="str">
        <f>IF($A193="","",ROUND(SUMIFS(itens_Consumidos!$G$2:$G$200,itens_Consumidos!$A$2:$A$200,$A193),2))</f>
        <v/>
      </c>
      <c r="AT193" t="str">
        <f t="shared" si="31"/>
        <v/>
      </c>
      <c r="AU193" t="str">
        <f>IF(OR($A193="",M193="",MEMORIA_RESULTADOS!$I$259=""),"",ROUND(M193*$C193*(MEMORIA_RESULTADOS!$I$259-1),2))</f>
        <v/>
      </c>
      <c r="AV193" t="str">
        <f>IF(OR($A193="",AT193="",MEMORIA_RESULTADOS!$I$259=""),"",ROUND(AT193*$C193*(parametros!$F$3-MEMORIA_RESULTADOS!$I$259),2))</f>
        <v/>
      </c>
      <c r="AW193" t="str">
        <f>IF($A193="","",ROUND(SUMIFS(itens_Consumidos!$I$2:$I$200,itens_Consumidos!$A$2:$A$200,$A193),2))</f>
        <v/>
      </c>
      <c r="AX193" t="str">
        <f t="shared" si="32"/>
        <v/>
      </c>
      <c r="AY193" t="str">
        <f>IF(OR($A193="",O193="",MEMORIA_RESULTADOS!$I$260=""),"",ROUND(O193*$C193*(MEMORIA_RESULTADOS!$I$260-1),2))</f>
        <v/>
      </c>
      <c r="AZ193" t="str">
        <f>IF(OR($A193="",AX193="",MEMORIA_RESULTADOS!$I$260=""),"",ROUND(AX193*$C193*(parametros!$F$4-MEMORIA_RESULTADOS!$I$260),2))</f>
        <v/>
      </c>
      <c r="BA193" t="str">
        <f>IF($A193="","",ROUND(SUMIFS(itens_Consumidos!$K$2:$K$200,itens_Consumidos!$A$2:$A$200,$A193),2))</f>
        <v/>
      </c>
      <c r="BB193" t="str">
        <f t="shared" si="33"/>
        <v/>
      </c>
      <c r="BC193" t="str">
        <f>IF(OR($A193="",Q193="",MEMORIA_RESULTADOS!$I$261=""),"",ROUND(Q193*$C193*(MEMORIA_RESULTADOS!$I$261-1),2))</f>
        <v/>
      </c>
      <c r="BD193" t="str">
        <f>IF(OR($A193="",BB193="",MEMORIA_RESULTADOS!$I$261=""),"",ROUND(BB193*$C193*(parametros!$F$5-MEMORIA_RESULTADOS!$I$261),2))</f>
        <v/>
      </c>
      <c r="BE193" t="str">
        <f>IF($A193="","",ROUND(SUMIFS(itens_Consumidos!$M$2:$M$200,itens_Consumidos!$A$2:$A$200,$A193),2))</f>
        <v/>
      </c>
      <c r="BF193" t="str">
        <f t="shared" si="34"/>
        <v/>
      </c>
      <c r="BG193" t="str">
        <f>IF(OR($A193="",S193="",MEMORIA_RESULTADOS!$I$262=""),"",ROUND(S193*$C193*(MEMORIA_RESULTADOS!$I$262-1),2))</f>
        <v/>
      </c>
      <c r="BH193" t="str">
        <f>IF(OR($A193="",BF193="",MEMORIA_RESULTADOS!$I$262=""),"",ROUND(BF193*$C193*(parametros!$F$6-MEMORIA_RESULTADOS!$I$262),2))</f>
        <v/>
      </c>
      <c r="BI193" t="str">
        <f>IF($A193="","",IF(posicao_contratual!$AL193="","",posicao_contratual!$AL193))</f>
        <v/>
      </c>
    </row>
    <row r="194" spans="1:61" x14ac:dyDescent="0.35">
      <c r="A194" s="81"/>
      <c r="B194" s="82" t="str">
        <f t="shared" si="35"/>
        <v/>
      </c>
      <c r="C194" s="83"/>
      <c r="D194" s="79" t="str">
        <f>IF(AND(A194="",A193&lt;&gt;"",COUNTIF(A195:$A$200,"&lt;&gt;")=0),ROUND(SUMIF($A$2:A193,"&lt;&gt;",$D$2:D193),2),IF(OR(A194="",B194="",C194=""),"",ROUND(B194*C194,2)))</f>
        <v/>
      </c>
      <c r="E194" s="84"/>
      <c r="F194" s="79" t="str">
        <f>IF(AND(A194="",A193&lt;&gt;"",COUNTIF(A195:$A$200,"&lt;&gt;")=0),IF(COUNT(F$2:F193)=0,"",ROUND(SUMIF($A$2:A193,"&lt;&gt;",F$2:F193),2)),IF(OR(A194="",AND(ISNUMBER(posicao_contratual!$AL194),posicao_contratual!$AL194&gt;1),posicao_contratual!K194="",NOT(ISNUMBER(historico_VU!D194))),"",ROUND(posicao_contratual!K194*historico_VU!D194,2)))</f>
        <v/>
      </c>
      <c r="G194" s="84"/>
      <c r="H194" s="79" t="str">
        <f>IF(AND(A194="",A193&lt;&gt;"",COUNTIF(A195:$A$200,"&lt;&gt;")=0),IF(COUNT(H$2:H193)=0,"",ROUND(SUMIF($A$2:A193,"&lt;&gt;",H$2:H193),2)),IF(OR(A194="",AND(ISNUMBER(posicao_contratual!$AL194),posicao_contratual!$AL194&gt;2),posicao_contratual!O194="",NOT(ISNUMBER(historico_VU!E194))),"",ROUND(posicao_contratual!O194*historico_VU!E194,2)))</f>
        <v/>
      </c>
      <c r="I194" s="84"/>
      <c r="J194" s="79" t="str">
        <f>IF(AND(A194="",A193&lt;&gt;"",COUNTIF(A195:$A$200,"&lt;&gt;")=0),IF(COUNT(J$2:J193)=0,"",ROUND(SUMIF($A$2:A193,"&lt;&gt;",J$2:J193),2)),IF(OR(A194="",AND(ISNUMBER(posicao_contratual!$AL194),posicao_contratual!$AL194&gt;3),posicao_contratual!S194="",NOT(ISNUMBER(historico_VU!F194))),"",ROUND(posicao_contratual!S194*historico_VU!F194,2)))</f>
        <v/>
      </c>
      <c r="K194" s="84"/>
      <c r="L194" s="79" t="str">
        <f>IF(AND(A194="",A193&lt;&gt;"",COUNTIF(A195:$A$200,"&lt;&gt;")=0),IF(COUNT(L$2:L193)=0,"",ROUND(SUMIF($A$2:A193,"&lt;&gt;",L$2:L193),2)),IF(OR(A194="",AND(ISNUMBER(posicao_contratual!$AL194),posicao_contratual!$AL194&gt;4),posicao_contratual!W194="",NOT(ISNUMBER(historico_VU!G194))),"",ROUND(posicao_contratual!W194*historico_VU!G194,2)))</f>
        <v/>
      </c>
      <c r="M194" s="85" t="str">
        <f>IF(OR(posicao_contratual!J194="",posicao_contratual!N194=""),"",ROUND(MAX(posicao_contratual!J194+posicao_contratual!H194-posicao_contratual!N194,0),2))</f>
        <v/>
      </c>
      <c r="N194" s="79" t="str">
        <f>IF(AND(A194="",A193&lt;&gt;"",COUNTIF(A195:$A$200,"&lt;&gt;")=0),IF(COUNT(N$2:N193)=0,"",ROUND(SUMIF($A$2:A193,"&lt;&gt;",N$2:N193),2)),IF(OR(M194="",NOT(ISNUMBER(historico_VU!D194))),"",ROUND(M194*historico_VU!D194,2)))</f>
        <v/>
      </c>
      <c r="O194" s="85" t="str">
        <f>IF(OR(posicao_contratual!N194="",posicao_contratual!R194=""),"",ROUND(MAX(posicao_contratual!N194+posicao_contratual!L194-posicao_contratual!R194,0),2))</f>
        <v/>
      </c>
      <c r="P194" s="79" t="str">
        <f>IF(AND(A194="",A193&lt;&gt;"",COUNTIF(A195:$A$200,"&lt;&gt;")=0),IF(COUNT(P$2:P193)=0,"",ROUND(SUMIF($A$2:A193,"&lt;&gt;",P$2:P193),2)),IF(OR(O194="",NOT(ISNUMBER(historico_VU!E194))),"",ROUND(O194*historico_VU!E194,2)))</f>
        <v/>
      </c>
      <c r="Q194" s="85" t="str">
        <f>IF(OR(posicao_contratual!R194="",posicao_contratual!V194=""),"",ROUND(MAX(posicao_contratual!R194+posicao_contratual!P194-posicao_contratual!V194,0),2))</f>
        <v/>
      </c>
      <c r="R194" s="79" t="str">
        <f>IF(AND(A194="",A193&lt;&gt;"",COUNTIF(A195:$A$200,"&lt;&gt;")=0),IF(COUNT(R$2:R193)=0,"",ROUND(SUMIF($A$2:A193,"&lt;&gt;",R$2:R193),2)),IF(OR(Q194="",NOT(ISNUMBER(historico_VU!F194))),"",ROUND(Q194*historico_VU!F194,2)))</f>
        <v/>
      </c>
      <c r="S194" s="38"/>
      <c r="T194" s="39" t="str">
        <f>IF(AND(A194="",A193&lt;&gt;"",COUNTIF(A195:$A$200,"&lt;&gt;")=0),IF(COUNT(T$2:T193)=0,"",ROUND(SUMIF($A$2:A193,"&lt;&gt;",T$2:T193),2)),IF(OR(S194="",NOT(ISNUMBER(historico_VU!G194))),"",ROUND(S194*historico_VU!G194,2)))</f>
        <v/>
      </c>
      <c r="U194" s="86" t="str">
        <f>IF(AND(A194="",A193&lt;&gt;"",COUNTIF(A195:$A$200,"&lt;&gt;")=0),"TOTAL",IF(A194="","",posicao_contratual!X194))</f>
        <v/>
      </c>
      <c r="V194" s="86" t="str">
        <f>IF(A194="","",posicao_contratual!X194)</f>
        <v/>
      </c>
      <c r="W194" s="13"/>
      <c r="X194" s="13"/>
      <c r="Y194" s="13"/>
      <c r="Z194" s="13"/>
      <c r="AA194" s="13"/>
      <c r="AB194" s="85" t="str">
        <f>IF(OR(A194="",posicao_contratual!E194="",posicao_contratual!J194=""),"",ROUND(MAX(posicao_contratual!E194-posicao_contratual!J194,0),2))</f>
        <v/>
      </c>
      <c r="AC194" s="79" t="str">
        <f>IF(AND(A194="",A193&lt;&gt;"",COUNTIF(A195:$A$200,"&lt;&gt;")=0),IF(COUNT(AC$2:AC193)=0,"",ROUND(SUMIF($A$2:A193,"&lt;&gt;",AC$2:AC193),2)),IF(OR(AB194="",NOT(ISNUMBER(historico_VU!C194))),"",ROUND(AB194*historico_VU!C194,2)))</f>
        <v/>
      </c>
      <c r="AD194" s="145" t="str">
        <f>IF(A194="","",posicao_contratual!E194)</f>
        <v/>
      </c>
      <c r="AE194" s="145" t="str">
        <f>IF(A194="","",posicao_contratual!I194)</f>
        <v/>
      </c>
      <c r="AF194" s="145" t="str">
        <f>IF(A194="","",posicao_contratual!M194)</f>
        <v/>
      </c>
      <c r="AG194" s="145" t="str">
        <f>IF(A194="","",posicao_contratual!Q194)</f>
        <v/>
      </c>
      <c r="AH194" s="145" t="str">
        <f>IF(A194="","",posicao_contratual!U194)</f>
        <v/>
      </c>
      <c r="AI194" s="145" t="str">
        <f>IF(A194="","",posicao_contratual!G194)</f>
        <v/>
      </c>
      <c r="AJ194" s="145" t="str">
        <f>IF(A194="","",posicao_contratual!K194)</f>
        <v/>
      </c>
      <c r="AK194" s="145" t="str">
        <f>IF(A194="","",posicao_contratual!O194)</f>
        <v/>
      </c>
      <c r="AL194" s="145" t="str">
        <f>IF(A194="","",posicao_contratual!S194)</f>
        <v/>
      </c>
      <c r="AM194" s="145" t="str">
        <f>IF(A194="","",posicao_contratual!W194)</f>
        <v/>
      </c>
      <c r="AN194" s="146" t="str">
        <f>IF(A194="","",posicao_contratual!X194)</f>
        <v/>
      </c>
      <c r="AO194" t="str">
        <f>IF($A194="","",ROUND(SUMIFS(itens_Consumidos!$E$2:$E$200,itens_Consumidos!$A$2:$A$200,$A194),2))</f>
        <v/>
      </c>
      <c r="AP194" t="str">
        <f t="shared" ref="AP194:AP225" si="36">IF(OR($A194="",AB194=""),"",ROUND(MAX(AB194-AO194,0),2))</f>
        <v/>
      </c>
      <c r="AQ194" t="str">
        <f>IF(OR($A194="",AB194="",MEMORIA_RESULTADOS!$I$258=""),"",ROUND(AB194*$C194*(MEMORIA_RESULTADOS!$I$258-1),2))</f>
        <v/>
      </c>
      <c r="AR194" t="str">
        <f>IF(OR($A194="",AP194="",MEMORIA_RESULTADOS!$I$258=""),"",ROUND(AP194*$C194*(parametros!$F$2-MEMORIA_RESULTADOS!$I$258),2))</f>
        <v/>
      </c>
      <c r="AS194" t="str">
        <f>IF($A194="","",ROUND(SUMIFS(itens_Consumidos!$G$2:$G$200,itens_Consumidos!$A$2:$A$200,$A194),2))</f>
        <v/>
      </c>
      <c r="AT194" t="str">
        <f t="shared" ref="AT194:AT225" si="37">IF(OR($A194="",M194=""),"",ROUND(MAX(M194-AS194,0),2))</f>
        <v/>
      </c>
      <c r="AU194" t="str">
        <f>IF(OR($A194="",M194="",MEMORIA_RESULTADOS!$I$259=""),"",ROUND(M194*$C194*(MEMORIA_RESULTADOS!$I$259-1),2))</f>
        <v/>
      </c>
      <c r="AV194" t="str">
        <f>IF(OR($A194="",AT194="",MEMORIA_RESULTADOS!$I$259=""),"",ROUND(AT194*$C194*(parametros!$F$3-MEMORIA_RESULTADOS!$I$259),2))</f>
        <v/>
      </c>
      <c r="AW194" t="str">
        <f>IF($A194="","",ROUND(SUMIFS(itens_Consumidos!$I$2:$I$200,itens_Consumidos!$A$2:$A$200,$A194),2))</f>
        <v/>
      </c>
      <c r="AX194" t="str">
        <f t="shared" ref="AX194:AX225" si="38">IF(OR($A194="",O194=""),"",ROUND(MAX(O194-AW194,0),2))</f>
        <v/>
      </c>
      <c r="AY194" t="str">
        <f>IF(OR($A194="",O194="",MEMORIA_RESULTADOS!$I$260=""),"",ROUND(O194*$C194*(MEMORIA_RESULTADOS!$I$260-1),2))</f>
        <v/>
      </c>
      <c r="AZ194" t="str">
        <f>IF(OR($A194="",AX194="",MEMORIA_RESULTADOS!$I$260=""),"",ROUND(AX194*$C194*(parametros!$F$4-MEMORIA_RESULTADOS!$I$260),2))</f>
        <v/>
      </c>
      <c r="BA194" t="str">
        <f>IF($A194="","",ROUND(SUMIFS(itens_Consumidos!$K$2:$K$200,itens_Consumidos!$A$2:$A$200,$A194),2))</f>
        <v/>
      </c>
      <c r="BB194" t="str">
        <f t="shared" ref="BB194:BB225" si="39">IF(OR($A194="",Q194=""),"",ROUND(MAX(Q194-BA194,0),2))</f>
        <v/>
      </c>
      <c r="BC194" t="str">
        <f>IF(OR($A194="",Q194="",MEMORIA_RESULTADOS!$I$261=""),"",ROUND(Q194*$C194*(MEMORIA_RESULTADOS!$I$261-1),2))</f>
        <v/>
      </c>
      <c r="BD194" t="str">
        <f>IF(OR($A194="",BB194="",MEMORIA_RESULTADOS!$I$261=""),"",ROUND(BB194*$C194*(parametros!$F$5-MEMORIA_RESULTADOS!$I$261),2))</f>
        <v/>
      </c>
      <c r="BE194" t="str">
        <f>IF($A194="","",ROUND(SUMIFS(itens_Consumidos!$M$2:$M$200,itens_Consumidos!$A$2:$A$200,$A194),2))</f>
        <v/>
      </c>
      <c r="BF194" t="str">
        <f t="shared" ref="BF194:BF225" si="40">IF(OR($A194="",S194=""),"",ROUND(MAX(S194-BE194,0),2))</f>
        <v/>
      </c>
      <c r="BG194" t="str">
        <f>IF(OR($A194="",S194="",MEMORIA_RESULTADOS!$I$262=""),"",ROUND(S194*$C194*(MEMORIA_RESULTADOS!$I$262-1),2))</f>
        <v/>
      </c>
      <c r="BH194" t="str">
        <f>IF(OR($A194="",BF194="",MEMORIA_RESULTADOS!$I$262=""),"",ROUND(BF194*$C194*(parametros!$F$6-MEMORIA_RESULTADOS!$I$262),2))</f>
        <v/>
      </c>
      <c r="BI194" t="str">
        <f>IF($A194="","",IF(posicao_contratual!$AL194="","",posicao_contratual!$AL194))</f>
        <v/>
      </c>
    </row>
    <row r="195" spans="1:61" x14ac:dyDescent="0.35">
      <c r="A195" s="81"/>
      <c r="B195" s="82" t="str">
        <f t="shared" si="35"/>
        <v/>
      </c>
      <c r="C195" s="83"/>
      <c r="D195" s="79" t="str">
        <f>IF(AND(A195="",A194&lt;&gt;"",COUNTIF(A196:$A$200,"&lt;&gt;")=0),ROUND(SUMIF($A$2:A194,"&lt;&gt;",$D$2:D194),2),IF(OR(A195="",B195="",C195=""),"",ROUND(B195*C195,2)))</f>
        <v/>
      </c>
      <c r="E195" s="84"/>
      <c r="F195" s="79" t="str">
        <f>IF(AND(A195="",A194&lt;&gt;"",COUNTIF(A196:$A$200,"&lt;&gt;")=0),IF(COUNT(F$2:F194)=0,"",ROUND(SUMIF($A$2:A194,"&lt;&gt;",F$2:F194),2)),IF(OR(A195="",AND(ISNUMBER(posicao_contratual!$AL195),posicao_contratual!$AL195&gt;1),posicao_contratual!K195="",NOT(ISNUMBER(historico_VU!D195))),"",ROUND(posicao_contratual!K195*historico_VU!D195,2)))</f>
        <v/>
      </c>
      <c r="G195" s="84"/>
      <c r="H195" s="79" t="str">
        <f>IF(AND(A195="",A194&lt;&gt;"",COUNTIF(A196:$A$200,"&lt;&gt;")=0),IF(COUNT(H$2:H194)=0,"",ROUND(SUMIF($A$2:A194,"&lt;&gt;",H$2:H194),2)),IF(OR(A195="",AND(ISNUMBER(posicao_contratual!$AL195),posicao_contratual!$AL195&gt;2),posicao_contratual!O195="",NOT(ISNUMBER(historico_VU!E195))),"",ROUND(posicao_contratual!O195*historico_VU!E195,2)))</f>
        <v/>
      </c>
      <c r="I195" s="84"/>
      <c r="J195" s="79" t="str">
        <f>IF(AND(A195="",A194&lt;&gt;"",COUNTIF(A196:$A$200,"&lt;&gt;")=0),IF(COUNT(J$2:J194)=0,"",ROUND(SUMIF($A$2:A194,"&lt;&gt;",J$2:J194),2)),IF(OR(A195="",AND(ISNUMBER(posicao_contratual!$AL195),posicao_contratual!$AL195&gt;3),posicao_contratual!S195="",NOT(ISNUMBER(historico_VU!F195))),"",ROUND(posicao_contratual!S195*historico_VU!F195,2)))</f>
        <v/>
      </c>
      <c r="K195" s="84"/>
      <c r="L195" s="79" t="str">
        <f>IF(AND(A195="",A194&lt;&gt;"",COUNTIF(A196:$A$200,"&lt;&gt;")=0),IF(COUNT(L$2:L194)=0,"",ROUND(SUMIF($A$2:A194,"&lt;&gt;",L$2:L194),2)),IF(OR(A195="",AND(ISNUMBER(posicao_contratual!$AL195),posicao_contratual!$AL195&gt;4),posicao_contratual!W195="",NOT(ISNUMBER(historico_VU!G195))),"",ROUND(posicao_contratual!W195*historico_VU!G195,2)))</f>
        <v/>
      </c>
      <c r="M195" s="85" t="str">
        <f>IF(OR(posicao_contratual!J195="",posicao_contratual!N195=""),"",ROUND(MAX(posicao_contratual!J195+posicao_contratual!H195-posicao_contratual!N195,0),2))</f>
        <v/>
      </c>
      <c r="N195" s="79" t="str">
        <f>IF(AND(A195="",A194&lt;&gt;"",COUNTIF(A196:$A$200,"&lt;&gt;")=0),IF(COUNT(N$2:N194)=0,"",ROUND(SUMIF($A$2:A194,"&lt;&gt;",N$2:N194),2)),IF(OR(M195="",NOT(ISNUMBER(historico_VU!D195))),"",ROUND(M195*historico_VU!D195,2)))</f>
        <v/>
      </c>
      <c r="O195" s="85" t="str">
        <f>IF(OR(posicao_contratual!N195="",posicao_contratual!R195=""),"",ROUND(MAX(posicao_contratual!N195+posicao_contratual!L195-posicao_contratual!R195,0),2))</f>
        <v/>
      </c>
      <c r="P195" s="79" t="str">
        <f>IF(AND(A195="",A194&lt;&gt;"",COUNTIF(A196:$A$200,"&lt;&gt;")=0),IF(COUNT(P$2:P194)=0,"",ROUND(SUMIF($A$2:A194,"&lt;&gt;",P$2:P194),2)),IF(OR(O195="",NOT(ISNUMBER(historico_VU!E195))),"",ROUND(O195*historico_VU!E195,2)))</f>
        <v/>
      </c>
      <c r="Q195" s="85" t="str">
        <f>IF(OR(posicao_contratual!R195="",posicao_contratual!V195=""),"",ROUND(MAX(posicao_contratual!R195+posicao_contratual!P195-posicao_contratual!V195,0),2))</f>
        <v/>
      </c>
      <c r="R195" s="79" t="str">
        <f>IF(AND(A195="",A194&lt;&gt;"",COUNTIF(A196:$A$200,"&lt;&gt;")=0),IF(COUNT(R$2:R194)=0,"",ROUND(SUMIF($A$2:A194,"&lt;&gt;",R$2:R194),2)),IF(OR(Q195="",NOT(ISNUMBER(historico_VU!F195))),"",ROUND(Q195*historico_VU!F195,2)))</f>
        <v/>
      </c>
      <c r="S195" s="38"/>
      <c r="T195" s="39" t="str">
        <f>IF(AND(A195="",A194&lt;&gt;"",COUNTIF(A196:$A$200,"&lt;&gt;")=0),IF(COUNT(T$2:T194)=0,"",ROUND(SUMIF($A$2:A194,"&lt;&gt;",T$2:T194),2)),IF(OR(S195="",NOT(ISNUMBER(historico_VU!G195))),"",ROUND(S195*historico_VU!G195,2)))</f>
        <v/>
      </c>
      <c r="U195" s="86" t="str">
        <f>IF(AND(A195="",A194&lt;&gt;"",COUNTIF(A196:$A$200,"&lt;&gt;")=0),"TOTAL",IF(A195="","",posicao_contratual!X195))</f>
        <v/>
      </c>
      <c r="V195" s="86" t="str">
        <f>IF(A195="","",posicao_contratual!X195)</f>
        <v/>
      </c>
      <c r="W195" s="13"/>
      <c r="X195" s="13"/>
      <c r="Y195" s="13"/>
      <c r="Z195" s="13"/>
      <c r="AA195" s="13"/>
      <c r="AB195" s="85" t="str">
        <f>IF(OR(A195="",posicao_contratual!E195="",posicao_contratual!J195=""),"",ROUND(MAX(posicao_contratual!E195-posicao_contratual!J195,0),2))</f>
        <v/>
      </c>
      <c r="AC195" s="79" t="str">
        <f>IF(AND(A195="",A194&lt;&gt;"",COUNTIF(A196:$A$200,"&lt;&gt;")=0),IF(COUNT(AC$2:AC194)=0,"",ROUND(SUMIF($A$2:A194,"&lt;&gt;",AC$2:AC194),2)),IF(OR(AB195="",NOT(ISNUMBER(historico_VU!C195))),"",ROUND(AB195*historico_VU!C195,2)))</f>
        <v/>
      </c>
      <c r="AD195" s="145" t="str">
        <f>IF(A195="","",posicao_contratual!E195)</f>
        <v/>
      </c>
      <c r="AE195" s="145" t="str">
        <f>IF(A195="","",posicao_contratual!I195)</f>
        <v/>
      </c>
      <c r="AF195" s="145" t="str">
        <f>IF(A195="","",posicao_contratual!M195)</f>
        <v/>
      </c>
      <c r="AG195" s="145" t="str">
        <f>IF(A195="","",posicao_contratual!Q195)</f>
        <v/>
      </c>
      <c r="AH195" s="145" t="str">
        <f>IF(A195="","",posicao_contratual!U195)</f>
        <v/>
      </c>
      <c r="AI195" s="145" t="str">
        <f>IF(A195="","",posicao_contratual!G195)</f>
        <v/>
      </c>
      <c r="AJ195" s="145" t="str">
        <f>IF(A195="","",posicao_contratual!K195)</f>
        <v/>
      </c>
      <c r="AK195" s="145" t="str">
        <f>IF(A195="","",posicao_contratual!O195)</f>
        <v/>
      </c>
      <c r="AL195" s="145" t="str">
        <f>IF(A195="","",posicao_contratual!S195)</f>
        <v/>
      </c>
      <c r="AM195" s="145" t="str">
        <f>IF(A195="","",posicao_contratual!W195)</f>
        <v/>
      </c>
      <c r="AN195" s="146" t="str">
        <f>IF(A195="","",posicao_contratual!X195)</f>
        <v/>
      </c>
      <c r="AO195" t="str">
        <f>IF($A195="","",ROUND(SUMIFS(itens_Consumidos!$E$2:$E$200,itens_Consumidos!$A$2:$A$200,$A195),2))</f>
        <v/>
      </c>
      <c r="AP195" t="str">
        <f t="shared" si="36"/>
        <v/>
      </c>
      <c r="AQ195" t="str">
        <f>IF(OR($A195="",AB195="",MEMORIA_RESULTADOS!$I$258=""),"",ROUND(AB195*$C195*(MEMORIA_RESULTADOS!$I$258-1),2))</f>
        <v/>
      </c>
      <c r="AR195" t="str">
        <f>IF(OR($A195="",AP195="",MEMORIA_RESULTADOS!$I$258=""),"",ROUND(AP195*$C195*(parametros!$F$2-MEMORIA_RESULTADOS!$I$258),2))</f>
        <v/>
      </c>
      <c r="AS195" t="str">
        <f>IF($A195="","",ROUND(SUMIFS(itens_Consumidos!$G$2:$G$200,itens_Consumidos!$A$2:$A$200,$A195),2))</f>
        <v/>
      </c>
      <c r="AT195" t="str">
        <f t="shared" si="37"/>
        <v/>
      </c>
      <c r="AU195" t="str">
        <f>IF(OR($A195="",M195="",MEMORIA_RESULTADOS!$I$259=""),"",ROUND(M195*$C195*(MEMORIA_RESULTADOS!$I$259-1),2))</f>
        <v/>
      </c>
      <c r="AV195" t="str">
        <f>IF(OR($A195="",AT195="",MEMORIA_RESULTADOS!$I$259=""),"",ROUND(AT195*$C195*(parametros!$F$3-MEMORIA_RESULTADOS!$I$259),2))</f>
        <v/>
      </c>
      <c r="AW195" t="str">
        <f>IF($A195="","",ROUND(SUMIFS(itens_Consumidos!$I$2:$I$200,itens_Consumidos!$A$2:$A$200,$A195),2))</f>
        <v/>
      </c>
      <c r="AX195" t="str">
        <f t="shared" si="38"/>
        <v/>
      </c>
      <c r="AY195" t="str">
        <f>IF(OR($A195="",O195="",MEMORIA_RESULTADOS!$I$260=""),"",ROUND(O195*$C195*(MEMORIA_RESULTADOS!$I$260-1),2))</f>
        <v/>
      </c>
      <c r="AZ195" t="str">
        <f>IF(OR($A195="",AX195="",MEMORIA_RESULTADOS!$I$260=""),"",ROUND(AX195*$C195*(parametros!$F$4-MEMORIA_RESULTADOS!$I$260),2))</f>
        <v/>
      </c>
      <c r="BA195" t="str">
        <f>IF($A195="","",ROUND(SUMIFS(itens_Consumidos!$K$2:$K$200,itens_Consumidos!$A$2:$A$200,$A195),2))</f>
        <v/>
      </c>
      <c r="BB195" t="str">
        <f t="shared" si="39"/>
        <v/>
      </c>
      <c r="BC195" t="str">
        <f>IF(OR($A195="",Q195="",MEMORIA_RESULTADOS!$I$261=""),"",ROUND(Q195*$C195*(MEMORIA_RESULTADOS!$I$261-1),2))</f>
        <v/>
      </c>
      <c r="BD195" t="str">
        <f>IF(OR($A195="",BB195="",MEMORIA_RESULTADOS!$I$261=""),"",ROUND(BB195*$C195*(parametros!$F$5-MEMORIA_RESULTADOS!$I$261),2))</f>
        <v/>
      </c>
      <c r="BE195" t="str">
        <f>IF($A195="","",ROUND(SUMIFS(itens_Consumidos!$M$2:$M$200,itens_Consumidos!$A$2:$A$200,$A195),2))</f>
        <v/>
      </c>
      <c r="BF195" t="str">
        <f t="shared" si="40"/>
        <v/>
      </c>
      <c r="BG195" t="str">
        <f>IF(OR($A195="",S195="",MEMORIA_RESULTADOS!$I$262=""),"",ROUND(S195*$C195*(MEMORIA_RESULTADOS!$I$262-1),2))</f>
        <v/>
      </c>
      <c r="BH195" t="str">
        <f>IF(OR($A195="",BF195="",MEMORIA_RESULTADOS!$I$262=""),"",ROUND(BF195*$C195*(parametros!$F$6-MEMORIA_RESULTADOS!$I$262),2))</f>
        <v/>
      </c>
      <c r="BI195" t="str">
        <f>IF($A195="","",IF(posicao_contratual!$AL195="","",posicao_contratual!$AL195))</f>
        <v/>
      </c>
    </row>
    <row r="196" spans="1:61" x14ac:dyDescent="0.35">
      <c r="A196" s="81"/>
      <c r="B196" s="82" t="str">
        <f t="shared" si="35"/>
        <v/>
      </c>
      <c r="C196" s="83"/>
      <c r="D196" s="79" t="str">
        <f>IF(AND(A196="",A195&lt;&gt;"",COUNTIF(A197:$A$200,"&lt;&gt;")=0),ROUND(SUMIF($A$2:A195,"&lt;&gt;",$D$2:D195),2),IF(OR(A196="",B196="",C196=""),"",ROUND(B196*C196,2)))</f>
        <v/>
      </c>
      <c r="E196" s="84"/>
      <c r="F196" s="79" t="str">
        <f>IF(AND(A196="",A195&lt;&gt;"",COUNTIF(A197:$A$200,"&lt;&gt;")=0),IF(COUNT(F$2:F195)=0,"",ROUND(SUMIF($A$2:A195,"&lt;&gt;",F$2:F195),2)),IF(OR(A196="",AND(ISNUMBER(posicao_contratual!$AL196),posicao_contratual!$AL196&gt;1),posicao_contratual!K196="",NOT(ISNUMBER(historico_VU!D196))),"",ROUND(posicao_contratual!K196*historico_VU!D196,2)))</f>
        <v/>
      </c>
      <c r="G196" s="84"/>
      <c r="H196" s="79" t="str">
        <f>IF(AND(A196="",A195&lt;&gt;"",COUNTIF(A197:$A$200,"&lt;&gt;")=0),IF(COUNT(H$2:H195)=0,"",ROUND(SUMIF($A$2:A195,"&lt;&gt;",H$2:H195),2)),IF(OR(A196="",AND(ISNUMBER(posicao_contratual!$AL196),posicao_contratual!$AL196&gt;2),posicao_contratual!O196="",NOT(ISNUMBER(historico_VU!E196))),"",ROUND(posicao_contratual!O196*historico_VU!E196,2)))</f>
        <v/>
      </c>
      <c r="I196" s="84"/>
      <c r="J196" s="79" t="str">
        <f>IF(AND(A196="",A195&lt;&gt;"",COUNTIF(A197:$A$200,"&lt;&gt;")=0),IF(COUNT(J$2:J195)=0,"",ROUND(SUMIF($A$2:A195,"&lt;&gt;",J$2:J195),2)),IF(OR(A196="",AND(ISNUMBER(posicao_contratual!$AL196),posicao_contratual!$AL196&gt;3),posicao_contratual!S196="",NOT(ISNUMBER(historico_VU!F196))),"",ROUND(posicao_contratual!S196*historico_VU!F196,2)))</f>
        <v/>
      </c>
      <c r="K196" s="84"/>
      <c r="L196" s="79" t="str">
        <f>IF(AND(A196="",A195&lt;&gt;"",COUNTIF(A197:$A$200,"&lt;&gt;")=0),IF(COUNT(L$2:L195)=0,"",ROUND(SUMIF($A$2:A195,"&lt;&gt;",L$2:L195),2)),IF(OR(A196="",AND(ISNUMBER(posicao_contratual!$AL196),posicao_contratual!$AL196&gt;4),posicao_contratual!W196="",NOT(ISNUMBER(historico_VU!G196))),"",ROUND(posicao_contratual!W196*historico_VU!G196,2)))</f>
        <v/>
      </c>
      <c r="M196" s="85" t="str">
        <f>IF(OR(posicao_contratual!J196="",posicao_contratual!N196=""),"",ROUND(MAX(posicao_contratual!J196+posicao_contratual!H196-posicao_contratual!N196,0),2))</f>
        <v/>
      </c>
      <c r="N196" s="79" t="str">
        <f>IF(AND(A196="",A195&lt;&gt;"",COUNTIF(A197:$A$200,"&lt;&gt;")=0),IF(COUNT(N$2:N195)=0,"",ROUND(SUMIF($A$2:A195,"&lt;&gt;",N$2:N195),2)),IF(OR(M196="",NOT(ISNUMBER(historico_VU!D196))),"",ROUND(M196*historico_VU!D196,2)))</f>
        <v/>
      </c>
      <c r="O196" s="85" t="str">
        <f>IF(OR(posicao_contratual!N196="",posicao_contratual!R196=""),"",ROUND(MAX(posicao_contratual!N196+posicao_contratual!L196-posicao_contratual!R196,0),2))</f>
        <v/>
      </c>
      <c r="P196" s="79" t="str">
        <f>IF(AND(A196="",A195&lt;&gt;"",COUNTIF(A197:$A$200,"&lt;&gt;")=0),IF(COUNT(P$2:P195)=0,"",ROUND(SUMIF($A$2:A195,"&lt;&gt;",P$2:P195),2)),IF(OR(O196="",NOT(ISNUMBER(historico_VU!E196))),"",ROUND(O196*historico_VU!E196,2)))</f>
        <v/>
      </c>
      <c r="Q196" s="85" t="str">
        <f>IF(OR(posicao_contratual!R196="",posicao_contratual!V196=""),"",ROUND(MAX(posicao_contratual!R196+posicao_contratual!P196-posicao_contratual!V196,0),2))</f>
        <v/>
      </c>
      <c r="R196" s="79" t="str">
        <f>IF(AND(A196="",A195&lt;&gt;"",COUNTIF(A197:$A$200,"&lt;&gt;")=0),IF(COUNT(R$2:R195)=0,"",ROUND(SUMIF($A$2:A195,"&lt;&gt;",R$2:R195),2)),IF(OR(Q196="",NOT(ISNUMBER(historico_VU!F196))),"",ROUND(Q196*historico_VU!F196,2)))</f>
        <v/>
      </c>
      <c r="S196" s="38"/>
      <c r="T196" s="39" t="str">
        <f>IF(AND(A196="",A195&lt;&gt;"",COUNTIF(A197:$A$200,"&lt;&gt;")=0),IF(COUNT(T$2:T195)=0,"",ROUND(SUMIF($A$2:A195,"&lt;&gt;",T$2:T195),2)),IF(OR(S196="",NOT(ISNUMBER(historico_VU!G196))),"",ROUND(S196*historico_VU!G196,2)))</f>
        <v/>
      </c>
      <c r="U196" s="86" t="str">
        <f>IF(AND(A196="",A195&lt;&gt;"",COUNTIF(A197:$A$200,"&lt;&gt;")=0),"TOTAL",IF(A196="","",posicao_contratual!X196))</f>
        <v/>
      </c>
      <c r="V196" s="86" t="str">
        <f>IF(A196="","",posicao_contratual!X196)</f>
        <v/>
      </c>
      <c r="W196" s="13"/>
      <c r="X196" s="13"/>
      <c r="Y196" s="13"/>
      <c r="Z196" s="13"/>
      <c r="AA196" s="13"/>
      <c r="AB196" s="85" t="str">
        <f>IF(OR(A196="",posicao_contratual!E196="",posicao_contratual!J196=""),"",ROUND(MAX(posicao_contratual!E196-posicao_contratual!J196,0),2))</f>
        <v/>
      </c>
      <c r="AC196" s="79" t="str">
        <f>IF(AND(A196="",A195&lt;&gt;"",COUNTIF(A197:$A$200,"&lt;&gt;")=0),IF(COUNT(AC$2:AC195)=0,"",ROUND(SUMIF($A$2:A195,"&lt;&gt;",AC$2:AC195),2)),IF(OR(AB196="",NOT(ISNUMBER(historico_VU!C196))),"",ROUND(AB196*historico_VU!C196,2)))</f>
        <v/>
      </c>
      <c r="AD196" s="145" t="str">
        <f>IF(A196="","",posicao_contratual!E196)</f>
        <v/>
      </c>
      <c r="AE196" s="145" t="str">
        <f>IF(A196="","",posicao_contratual!I196)</f>
        <v/>
      </c>
      <c r="AF196" s="145" t="str">
        <f>IF(A196="","",posicao_contratual!M196)</f>
        <v/>
      </c>
      <c r="AG196" s="145" t="str">
        <f>IF(A196="","",posicao_contratual!Q196)</f>
        <v/>
      </c>
      <c r="AH196" s="145" t="str">
        <f>IF(A196="","",posicao_contratual!U196)</f>
        <v/>
      </c>
      <c r="AI196" s="145" t="str">
        <f>IF(A196="","",posicao_contratual!G196)</f>
        <v/>
      </c>
      <c r="AJ196" s="145" t="str">
        <f>IF(A196="","",posicao_contratual!K196)</f>
        <v/>
      </c>
      <c r="AK196" s="145" t="str">
        <f>IF(A196="","",posicao_contratual!O196)</f>
        <v/>
      </c>
      <c r="AL196" s="145" t="str">
        <f>IF(A196="","",posicao_contratual!S196)</f>
        <v/>
      </c>
      <c r="AM196" s="145" t="str">
        <f>IF(A196="","",posicao_contratual!W196)</f>
        <v/>
      </c>
      <c r="AN196" s="146" t="str">
        <f>IF(A196="","",posicao_contratual!X196)</f>
        <v/>
      </c>
      <c r="AO196" t="str">
        <f>IF($A196="","",ROUND(SUMIFS(itens_Consumidos!$E$2:$E$200,itens_Consumidos!$A$2:$A$200,$A196),2))</f>
        <v/>
      </c>
      <c r="AP196" t="str">
        <f t="shared" si="36"/>
        <v/>
      </c>
      <c r="AQ196" t="str">
        <f>IF(OR($A196="",AB196="",MEMORIA_RESULTADOS!$I$258=""),"",ROUND(AB196*$C196*(MEMORIA_RESULTADOS!$I$258-1),2))</f>
        <v/>
      </c>
      <c r="AR196" t="str">
        <f>IF(OR($A196="",AP196="",MEMORIA_RESULTADOS!$I$258=""),"",ROUND(AP196*$C196*(parametros!$F$2-MEMORIA_RESULTADOS!$I$258),2))</f>
        <v/>
      </c>
      <c r="AS196" t="str">
        <f>IF($A196="","",ROUND(SUMIFS(itens_Consumidos!$G$2:$G$200,itens_Consumidos!$A$2:$A$200,$A196),2))</f>
        <v/>
      </c>
      <c r="AT196" t="str">
        <f t="shared" si="37"/>
        <v/>
      </c>
      <c r="AU196" t="str">
        <f>IF(OR($A196="",M196="",MEMORIA_RESULTADOS!$I$259=""),"",ROUND(M196*$C196*(MEMORIA_RESULTADOS!$I$259-1),2))</f>
        <v/>
      </c>
      <c r="AV196" t="str">
        <f>IF(OR($A196="",AT196="",MEMORIA_RESULTADOS!$I$259=""),"",ROUND(AT196*$C196*(parametros!$F$3-MEMORIA_RESULTADOS!$I$259),2))</f>
        <v/>
      </c>
      <c r="AW196" t="str">
        <f>IF($A196="","",ROUND(SUMIFS(itens_Consumidos!$I$2:$I$200,itens_Consumidos!$A$2:$A$200,$A196),2))</f>
        <v/>
      </c>
      <c r="AX196" t="str">
        <f t="shared" si="38"/>
        <v/>
      </c>
      <c r="AY196" t="str">
        <f>IF(OR($A196="",O196="",MEMORIA_RESULTADOS!$I$260=""),"",ROUND(O196*$C196*(MEMORIA_RESULTADOS!$I$260-1),2))</f>
        <v/>
      </c>
      <c r="AZ196" t="str">
        <f>IF(OR($A196="",AX196="",MEMORIA_RESULTADOS!$I$260=""),"",ROUND(AX196*$C196*(parametros!$F$4-MEMORIA_RESULTADOS!$I$260),2))</f>
        <v/>
      </c>
      <c r="BA196" t="str">
        <f>IF($A196="","",ROUND(SUMIFS(itens_Consumidos!$K$2:$K$200,itens_Consumidos!$A$2:$A$200,$A196),2))</f>
        <v/>
      </c>
      <c r="BB196" t="str">
        <f t="shared" si="39"/>
        <v/>
      </c>
      <c r="BC196" t="str">
        <f>IF(OR($A196="",Q196="",MEMORIA_RESULTADOS!$I$261=""),"",ROUND(Q196*$C196*(MEMORIA_RESULTADOS!$I$261-1),2))</f>
        <v/>
      </c>
      <c r="BD196" t="str">
        <f>IF(OR($A196="",BB196="",MEMORIA_RESULTADOS!$I$261=""),"",ROUND(BB196*$C196*(parametros!$F$5-MEMORIA_RESULTADOS!$I$261),2))</f>
        <v/>
      </c>
      <c r="BE196" t="str">
        <f>IF($A196="","",ROUND(SUMIFS(itens_Consumidos!$M$2:$M$200,itens_Consumidos!$A$2:$A$200,$A196),2))</f>
        <v/>
      </c>
      <c r="BF196" t="str">
        <f t="shared" si="40"/>
        <v/>
      </c>
      <c r="BG196" t="str">
        <f>IF(OR($A196="",S196="",MEMORIA_RESULTADOS!$I$262=""),"",ROUND(S196*$C196*(MEMORIA_RESULTADOS!$I$262-1),2))</f>
        <v/>
      </c>
      <c r="BH196" t="str">
        <f>IF(OR($A196="",BF196="",MEMORIA_RESULTADOS!$I$262=""),"",ROUND(BF196*$C196*(parametros!$F$6-MEMORIA_RESULTADOS!$I$262),2))</f>
        <v/>
      </c>
      <c r="BI196" t="str">
        <f>IF($A196="","",IF(posicao_contratual!$AL196="","",posicao_contratual!$AL196))</f>
        <v/>
      </c>
    </row>
    <row r="197" spans="1:61" x14ac:dyDescent="0.35">
      <c r="A197" s="81"/>
      <c r="B197" s="82" t="str">
        <f t="shared" si="35"/>
        <v/>
      </c>
      <c r="C197" s="83"/>
      <c r="D197" s="79" t="str">
        <f>IF(AND(A197="",A196&lt;&gt;"",COUNTIF(A198:$A$200,"&lt;&gt;")=0),ROUND(SUMIF($A$2:A196,"&lt;&gt;",$D$2:D196),2),IF(OR(A197="",B197="",C197=""),"",ROUND(B197*C197,2)))</f>
        <v/>
      </c>
      <c r="E197" s="84"/>
      <c r="F197" s="79" t="str">
        <f>IF(AND(A197="",A196&lt;&gt;"",COUNTIF(A198:$A$200,"&lt;&gt;")=0),IF(COUNT(F$2:F196)=0,"",ROUND(SUMIF($A$2:A196,"&lt;&gt;",F$2:F196),2)),IF(OR(A197="",AND(ISNUMBER(posicao_contratual!$AL197),posicao_contratual!$AL197&gt;1),posicao_contratual!K197="",NOT(ISNUMBER(historico_VU!D197))),"",ROUND(posicao_contratual!K197*historico_VU!D197,2)))</f>
        <v/>
      </c>
      <c r="G197" s="84"/>
      <c r="H197" s="79" t="str">
        <f>IF(AND(A197="",A196&lt;&gt;"",COUNTIF(A198:$A$200,"&lt;&gt;")=0),IF(COUNT(H$2:H196)=0,"",ROUND(SUMIF($A$2:A196,"&lt;&gt;",H$2:H196),2)),IF(OR(A197="",AND(ISNUMBER(posicao_contratual!$AL197),posicao_contratual!$AL197&gt;2),posicao_contratual!O197="",NOT(ISNUMBER(historico_VU!E197))),"",ROUND(posicao_contratual!O197*historico_VU!E197,2)))</f>
        <v/>
      </c>
      <c r="I197" s="84"/>
      <c r="J197" s="79" t="str">
        <f>IF(AND(A197="",A196&lt;&gt;"",COUNTIF(A198:$A$200,"&lt;&gt;")=0),IF(COUNT(J$2:J196)=0,"",ROUND(SUMIF($A$2:A196,"&lt;&gt;",J$2:J196),2)),IF(OR(A197="",AND(ISNUMBER(posicao_contratual!$AL197),posicao_contratual!$AL197&gt;3),posicao_contratual!S197="",NOT(ISNUMBER(historico_VU!F197))),"",ROUND(posicao_contratual!S197*historico_VU!F197,2)))</f>
        <v/>
      </c>
      <c r="K197" s="84"/>
      <c r="L197" s="79" t="str">
        <f>IF(AND(A197="",A196&lt;&gt;"",COUNTIF(A198:$A$200,"&lt;&gt;")=0),IF(COUNT(L$2:L196)=0,"",ROUND(SUMIF($A$2:A196,"&lt;&gt;",L$2:L196),2)),IF(OR(A197="",AND(ISNUMBER(posicao_contratual!$AL197),posicao_contratual!$AL197&gt;4),posicao_contratual!W197="",NOT(ISNUMBER(historico_VU!G197))),"",ROUND(posicao_contratual!W197*historico_VU!G197,2)))</f>
        <v/>
      </c>
      <c r="M197" s="85" t="str">
        <f>IF(OR(posicao_contratual!J197="",posicao_contratual!N197=""),"",ROUND(MAX(posicao_contratual!J197+posicao_contratual!H197-posicao_contratual!N197,0),2))</f>
        <v/>
      </c>
      <c r="N197" s="79" t="str">
        <f>IF(AND(A197="",A196&lt;&gt;"",COUNTIF(A198:$A$200,"&lt;&gt;")=0),IF(COUNT(N$2:N196)=0,"",ROUND(SUMIF($A$2:A196,"&lt;&gt;",N$2:N196),2)),IF(OR(M197="",NOT(ISNUMBER(historico_VU!D197))),"",ROUND(M197*historico_VU!D197,2)))</f>
        <v/>
      </c>
      <c r="O197" s="85" t="str">
        <f>IF(OR(posicao_contratual!N197="",posicao_contratual!R197=""),"",ROUND(MAX(posicao_contratual!N197+posicao_contratual!L197-posicao_contratual!R197,0),2))</f>
        <v/>
      </c>
      <c r="P197" s="79" t="str">
        <f>IF(AND(A197="",A196&lt;&gt;"",COUNTIF(A198:$A$200,"&lt;&gt;")=0),IF(COUNT(P$2:P196)=0,"",ROUND(SUMIF($A$2:A196,"&lt;&gt;",P$2:P196),2)),IF(OR(O197="",NOT(ISNUMBER(historico_VU!E197))),"",ROUND(O197*historico_VU!E197,2)))</f>
        <v/>
      </c>
      <c r="Q197" s="85" t="str">
        <f>IF(OR(posicao_contratual!R197="",posicao_contratual!V197=""),"",ROUND(MAX(posicao_contratual!R197+posicao_contratual!P197-posicao_contratual!V197,0),2))</f>
        <v/>
      </c>
      <c r="R197" s="79" t="str">
        <f>IF(AND(A197="",A196&lt;&gt;"",COUNTIF(A198:$A$200,"&lt;&gt;")=0),IF(COUNT(R$2:R196)=0,"",ROUND(SUMIF($A$2:A196,"&lt;&gt;",R$2:R196),2)),IF(OR(Q197="",NOT(ISNUMBER(historico_VU!F197))),"",ROUND(Q197*historico_VU!F197,2)))</f>
        <v/>
      </c>
      <c r="S197" s="38"/>
      <c r="T197" s="39" t="str">
        <f>IF(AND(A197="",A196&lt;&gt;"",COUNTIF(A198:$A$200,"&lt;&gt;")=0),IF(COUNT(T$2:T196)=0,"",ROUND(SUMIF($A$2:A196,"&lt;&gt;",T$2:T196),2)),IF(OR(S197="",NOT(ISNUMBER(historico_VU!G197))),"",ROUND(S197*historico_VU!G197,2)))</f>
        <v/>
      </c>
      <c r="U197" s="86" t="str">
        <f>IF(AND(A197="",A196&lt;&gt;"",COUNTIF(A198:$A$200,"&lt;&gt;")=0),"TOTAL",IF(A197="","",posicao_contratual!X197))</f>
        <v/>
      </c>
      <c r="V197" s="86" t="str">
        <f>IF(A197="","",posicao_contratual!X197)</f>
        <v/>
      </c>
      <c r="W197" s="13"/>
      <c r="X197" s="13"/>
      <c r="Y197" s="13"/>
      <c r="Z197" s="13"/>
      <c r="AA197" s="13"/>
      <c r="AB197" s="85" t="str">
        <f>IF(OR(A197="",posicao_contratual!E197="",posicao_contratual!J197=""),"",ROUND(MAX(posicao_contratual!E197-posicao_contratual!J197,0),2))</f>
        <v/>
      </c>
      <c r="AC197" s="79" t="str">
        <f>IF(AND(A197="",A196&lt;&gt;"",COUNTIF(A198:$A$200,"&lt;&gt;")=0),IF(COUNT(AC$2:AC196)=0,"",ROUND(SUMIF($A$2:A196,"&lt;&gt;",AC$2:AC196),2)),IF(OR(AB197="",NOT(ISNUMBER(historico_VU!C197))),"",ROUND(AB197*historico_VU!C197,2)))</f>
        <v/>
      </c>
      <c r="AD197" s="145" t="str">
        <f>IF(A197="","",posicao_contratual!E197)</f>
        <v/>
      </c>
      <c r="AE197" s="145" t="str">
        <f>IF(A197="","",posicao_contratual!I197)</f>
        <v/>
      </c>
      <c r="AF197" s="145" t="str">
        <f>IF(A197="","",posicao_contratual!M197)</f>
        <v/>
      </c>
      <c r="AG197" s="145" t="str">
        <f>IF(A197="","",posicao_contratual!Q197)</f>
        <v/>
      </c>
      <c r="AH197" s="145" t="str">
        <f>IF(A197="","",posicao_contratual!U197)</f>
        <v/>
      </c>
      <c r="AI197" s="145" t="str">
        <f>IF(A197="","",posicao_contratual!G197)</f>
        <v/>
      </c>
      <c r="AJ197" s="145" t="str">
        <f>IF(A197="","",posicao_contratual!K197)</f>
        <v/>
      </c>
      <c r="AK197" s="145" t="str">
        <f>IF(A197="","",posicao_contratual!O197)</f>
        <v/>
      </c>
      <c r="AL197" s="145" t="str">
        <f>IF(A197="","",posicao_contratual!S197)</f>
        <v/>
      </c>
      <c r="AM197" s="145" t="str">
        <f>IF(A197="","",posicao_contratual!W197)</f>
        <v/>
      </c>
      <c r="AN197" s="146" t="str">
        <f>IF(A197="","",posicao_contratual!X197)</f>
        <v/>
      </c>
      <c r="AO197" t="str">
        <f>IF($A197="","",ROUND(SUMIFS(itens_Consumidos!$E$2:$E$200,itens_Consumidos!$A$2:$A$200,$A197),2))</f>
        <v/>
      </c>
      <c r="AP197" t="str">
        <f t="shared" si="36"/>
        <v/>
      </c>
      <c r="AQ197" t="str">
        <f>IF(OR($A197="",AB197="",MEMORIA_RESULTADOS!$I$258=""),"",ROUND(AB197*$C197*(MEMORIA_RESULTADOS!$I$258-1),2))</f>
        <v/>
      </c>
      <c r="AR197" t="str">
        <f>IF(OR($A197="",AP197="",MEMORIA_RESULTADOS!$I$258=""),"",ROUND(AP197*$C197*(parametros!$F$2-MEMORIA_RESULTADOS!$I$258),2))</f>
        <v/>
      </c>
      <c r="AS197" t="str">
        <f>IF($A197="","",ROUND(SUMIFS(itens_Consumidos!$G$2:$G$200,itens_Consumidos!$A$2:$A$200,$A197),2))</f>
        <v/>
      </c>
      <c r="AT197" t="str">
        <f t="shared" si="37"/>
        <v/>
      </c>
      <c r="AU197" t="str">
        <f>IF(OR($A197="",M197="",MEMORIA_RESULTADOS!$I$259=""),"",ROUND(M197*$C197*(MEMORIA_RESULTADOS!$I$259-1),2))</f>
        <v/>
      </c>
      <c r="AV197" t="str">
        <f>IF(OR($A197="",AT197="",MEMORIA_RESULTADOS!$I$259=""),"",ROUND(AT197*$C197*(parametros!$F$3-MEMORIA_RESULTADOS!$I$259),2))</f>
        <v/>
      </c>
      <c r="AW197" t="str">
        <f>IF($A197="","",ROUND(SUMIFS(itens_Consumidos!$I$2:$I$200,itens_Consumidos!$A$2:$A$200,$A197),2))</f>
        <v/>
      </c>
      <c r="AX197" t="str">
        <f t="shared" si="38"/>
        <v/>
      </c>
      <c r="AY197" t="str">
        <f>IF(OR($A197="",O197="",MEMORIA_RESULTADOS!$I$260=""),"",ROUND(O197*$C197*(MEMORIA_RESULTADOS!$I$260-1),2))</f>
        <v/>
      </c>
      <c r="AZ197" t="str">
        <f>IF(OR($A197="",AX197="",MEMORIA_RESULTADOS!$I$260=""),"",ROUND(AX197*$C197*(parametros!$F$4-MEMORIA_RESULTADOS!$I$260),2))</f>
        <v/>
      </c>
      <c r="BA197" t="str">
        <f>IF($A197="","",ROUND(SUMIFS(itens_Consumidos!$K$2:$K$200,itens_Consumidos!$A$2:$A$200,$A197),2))</f>
        <v/>
      </c>
      <c r="BB197" t="str">
        <f t="shared" si="39"/>
        <v/>
      </c>
      <c r="BC197" t="str">
        <f>IF(OR($A197="",Q197="",MEMORIA_RESULTADOS!$I$261=""),"",ROUND(Q197*$C197*(MEMORIA_RESULTADOS!$I$261-1),2))</f>
        <v/>
      </c>
      <c r="BD197" t="str">
        <f>IF(OR($A197="",BB197="",MEMORIA_RESULTADOS!$I$261=""),"",ROUND(BB197*$C197*(parametros!$F$5-MEMORIA_RESULTADOS!$I$261),2))</f>
        <v/>
      </c>
      <c r="BE197" t="str">
        <f>IF($A197="","",ROUND(SUMIFS(itens_Consumidos!$M$2:$M$200,itens_Consumidos!$A$2:$A$200,$A197),2))</f>
        <v/>
      </c>
      <c r="BF197" t="str">
        <f t="shared" si="40"/>
        <v/>
      </c>
      <c r="BG197" t="str">
        <f>IF(OR($A197="",S197="",MEMORIA_RESULTADOS!$I$262=""),"",ROUND(S197*$C197*(MEMORIA_RESULTADOS!$I$262-1),2))</f>
        <v/>
      </c>
      <c r="BH197" t="str">
        <f>IF(OR($A197="",BF197="",MEMORIA_RESULTADOS!$I$262=""),"",ROUND(BF197*$C197*(parametros!$F$6-MEMORIA_RESULTADOS!$I$262),2))</f>
        <v/>
      </c>
      <c r="BI197" t="str">
        <f>IF($A197="","",IF(posicao_contratual!$AL197="","",posicao_contratual!$AL197))</f>
        <v/>
      </c>
    </row>
    <row r="198" spans="1:61" x14ac:dyDescent="0.35">
      <c r="A198" s="81"/>
      <c r="B198" s="82" t="str">
        <f t="shared" si="35"/>
        <v/>
      </c>
      <c r="C198" s="83"/>
      <c r="D198" s="79" t="str">
        <f>IF(AND(A198="",A197&lt;&gt;"",COUNTIF(A199:$A$200,"&lt;&gt;")=0),ROUND(SUMIF($A$2:A197,"&lt;&gt;",$D$2:D197),2),IF(OR(A198="",B198="",C198=""),"",ROUND(B198*C198,2)))</f>
        <v/>
      </c>
      <c r="E198" s="84"/>
      <c r="F198" s="79" t="str">
        <f>IF(AND(A198="",A197&lt;&gt;"",COUNTIF(A199:$A$200,"&lt;&gt;")=0),IF(COUNT(F$2:F197)=0,"",ROUND(SUMIF($A$2:A197,"&lt;&gt;",F$2:F197),2)),IF(OR(A198="",AND(ISNUMBER(posicao_contratual!$AL198),posicao_contratual!$AL198&gt;1),posicao_contratual!K198="",NOT(ISNUMBER(historico_VU!D198))),"",ROUND(posicao_contratual!K198*historico_VU!D198,2)))</f>
        <v/>
      </c>
      <c r="G198" s="84"/>
      <c r="H198" s="79" t="str">
        <f>IF(AND(A198="",A197&lt;&gt;"",COUNTIF(A199:$A$200,"&lt;&gt;")=0),IF(COUNT(H$2:H197)=0,"",ROUND(SUMIF($A$2:A197,"&lt;&gt;",H$2:H197),2)),IF(OR(A198="",AND(ISNUMBER(posicao_contratual!$AL198),posicao_contratual!$AL198&gt;2),posicao_contratual!O198="",NOT(ISNUMBER(historico_VU!E198))),"",ROUND(posicao_contratual!O198*historico_VU!E198,2)))</f>
        <v/>
      </c>
      <c r="I198" s="84"/>
      <c r="J198" s="79" t="str">
        <f>IF(AND(A198="",A197&lt;&gt;"",COUNTIF(A199:$A$200,"&lt;&gt;")=0),IF(COUNT(J$2:J197)=0,"",ROUND(SUMIF($A$2:A197,"&lt;&gt;",J$2:J197),2)),IF(OR(A198="",AND(ISNUMBER(posicao_contratual!$AL198),posicao_contratual!$AL198&gt;3),posicao_contratual!S198="",NOT(ISNUMBER(historico_VU!F198))),"",ROUND(posicao_contratual!S198*historico_VU!F198,2)))</f>
        <v/>
      </c>
      <c r="K198" s="84"/>
      <c r="L198" s="79" t="str">
        <f>IF(AND(A198="",A197&lt;&gt;"",COUNTIF(A199:$A$200,"&lt;&gt;")=0),IF(COUNT(L$2:L197)=0,"",ROUND(SUMIF($A$2:A197,"&lt;&gt;",L$2:L197),2)),IF(OR(A198="",AND(ISNUMBER(posicao_contratual!$AL198),posicao_contratual!$AL198&gt;4),posicao_contratual!W198="",NOT(ISNUMBER(historico_VU!G198))),"",ROUND(posicao_contratual!W198*historico_VU!G198,2)))</f>
        <v/>
      </c>
      <c r="M198" s="85" t="str">
        <f>IF(OR(posicao_contratual!J198="",posicao_contratual!N198=""),"",ROUND(MAX(posicao_contratual!J198+posicao_contratual!H198-posicao_contratual!N198,0),2))</f>
        <v/>
      </c>
      <c r="N198" s="79" t="str">
        <f>IF(AND(A198="",A197&lt;&gt;"",COUNTIF(A199:$A$200,"&lt;&gt;")=0),IF(COUNT(N$2:N197)=0,"",ROUND(SUMIF($A$2:A197,"&lt;&gt;",N$2:N197),2)),IF(OR(M198="",NOT(ISNUMBER(historico_VU!D198))),"",ROUND(M198*historico_VU!D198,2)))</f>
        <v/>
      </c>
      <c r="O198" s="85" t="str">
        <f>IF(OR(posicao_contratual!N198="",posicao_contratual!R198=""),"",ROUND(MAX(posicao_contratual!N198+posicao_contratual!L198-posicao_contratual!R198,0),2))</f>
        <v/>
      </c>
      <c r="P198" s="79" t="str">
        <f>IF(AND(A198="",A197&lt;&gt;"",COUNTIF(A199:$A$200,"&lt;&gt;")=0),IF(COUNT(P$2:P197)=0,"",ROUND(SUMIF($A$2:A197,"&lt;&gt;",P$2:P197),2)),IF(OR(O198="",NOT(ISNUMBER(historico_VU!E198))),"",ROUND(O198*historico_VU!E198,2)))</f>
        <v/>
      </c>
      <c r="Q198" s="85" t="str">
        <f>IF(OR(posicao_contratual!R198="",posicao_contratual!V198=""),"",ROUND(MAX(posicao_contratual!R198+posicao_contratual!P198-posicao_contratual!V198,0),2))</f>
        <v/>
      </c>
      <c r="R198" s="79" t="str">
        <f>IF(AND(A198="",A197&lt;&gt;"",COUNTIF(A199:$A$200,"&lt;&gt;")=0),IF(COUNT(R$2:R197)=0,"",ROUND(SUMIF($A$2:A197,"&lt;&gt;",R$2:R197),2)),IF(OR(Q198="",NOT(ISNUMBER(historico_VU!F198))),"",ROUND(Q198*historico_VU!F198,2)))</f>
        <v/>
      </c>
      <c r="S198" s="38"/>
      <c r="T198" s="39" t="str">
        <f>IF(AND(A198="",A197&lt;&gt;"",COUNTIF(A199:$A$200,"&lt;&gt;")=0),IF(COUNT(T$2:T197)=0,"",ROUND(SUMIF($A$2:A197,"&lt;&gt;",T$2:T197),2)),IF(OR(S198="",NOT(ISNUMBER(historico_VU!G198))),"",ROUND(S198*historico_VU!G198,2)))</f>
        <v/>
      </c>
      <c r="U198" s="86" t="str">
        <f>IF(AND(A198="",A197&lt;&gt;"",COUNTIF(A199:$A$200,"&lt;&gt;")=0),"TOTAL",IF(A198="","",posicao_contratual!X198))</f>
        <v/>
      </c>
      <c r="V198" s="86" t="str">
        <f>IF(A198="","",posicao_contratual!X198)</f>
        <v/>
      </c>
      <c r="W198" s="13"/>
      <c r="X198" s="13"/>
      <c r="Y198" s="13"/>
      <c r="Z198" s="13"/>
      <c r="AA198" s="13"/>
      <c r="AB198" s="85" t="str">
        <f>IF(OR(A198="",posicao_contratual!E198="",posicao_contratual!J198=""),"",ROUND(MAX(posicao_contratual!E198-posicao_contratual!J198,0),2))</f>
        <v/>
      </c>
      <c r="AC198" s="79" t="str">
        <f>IF(AND(A198="",A197&lt;&gt;"",COUNTIF(A199:$A$200,"&lt;&gt;")=0),IF(COUNT(AC$2:AC197)=0,"",ROUND(SUMIF($A$2:A197,"&lt;&gt;",AC$2:AC197),2)),IF(OR(AB198="",NOT(ISNUMBER(historico_VU!C198))),"",ROUND(AB198*historico_VU!C198,2)))</f>
        <v/>
      </c>
      <c r="AD198" s="145" t="str">
        <f>IF(A198="","",posicao_contratual!E198)</f>
        <v/>
      </c>
      <c r="AE198" s="145" t="str">
        <f>IF(A198="","",posicao_contratual!I198)</f>
        <v/>
      </c>
      <c r="AF198" s="145" t="str">
        <f>IF(A198="","",posicao_contratual!M198)</f>
        <v/>
      </c>
      <c r="AG198" s="145" t="str">
        <f>IF(A198="","",posicao_contratual!Q198)</f>
        <v/>
      </c>
      <c r="AH198" s="145" t="str">
        <f>IF(A198="","",posicao_contratual!U198)</f>
        <v/>
      </c>
      <c r="AI198" s="145" t="str">
        <f>IF(A198="","",posicao_contratual!G198)</f>
        <v/>
      </c>
      <c r="AJ198" s="145" t="str">
        <f>IF(A198="","",posicao_contratual!K198)</f>
        <v/>
      </c>
      <c r="AK198" s="145" t="str">
        <f>IF(A198="","",posicao_contratual!O198)</f>
        <v/>
      </c>
      <c r="AL198" s="145" t="str">
        <f>IF(A198="","",posicao_contratual!S198)</f>
        <v/>
      </c>
      <c r="AM198" s="145" t="str">
        <f>IF(A198="","",posicao_contratual!W198)</f>
        <v/>
      </c>
      <c r="AN198" s="146" t="str">
        <f>IF(A198="","",posicao_contratual!X198)</f>
        <v/>
      </c>
      <c r="AO198" t="str">
        <f>IF($A198="","",ROUND(SUMIFS(itens_Consumidos!$E$2:$E$200,itens_Consumidos!$A$2:$A$200,$A198),2))</f>
        <v/>
      </c>
      <c r="AP198" t="str">
        <f t="shared" si="36"/>
        <v/>
      </c>
      <c r="AQ198" t="str">
        <f>IF(OR($A198="",AB198="",MEMORIA_RESULTADOS!$I$258=""),"",ROUND(AB198*$C198*(MEMORIA_RESULTADOS!$I$258-1),2))</f>
        <v/>
      </c>
      <c r="AR198" t="str">
        <f>IF(OR($A198="",AP198="",MEMORIA_RESULTADOS!$I$258=""),"",ROUND(AP198*$C198*(parametros!$F$2-MEMORIA_RESULTADOS!$I$258),2))</f>
        <v/>
      </c>
      <c r="AS198" t="str">
        <f>IF($A198="","",ROUND(SUMIFS(itens_Consumidos!$G$2:$G$200,itens_Consumidos!$A$2:$A$200,$A198),2))</f>
        <v/>
      </c>
      <c r="AT198" t="str">
        <f t="shared" si="37"/>
        <v/>
      </c>
      <c r="AU198" t="str">
        <f>IF(OR($A198="",M198="",MEMORIA_RESULTADOS!$I$259=""),"",ROUND(M198*$C198*(MEMORIA_RESULTADOS!$I$259-1),2))</f>
        <v/>
      </c>
      <c r="AV198" t="str">
        <f>IF(OR($A198="",AT198="",MEMORIA_RESULTADOS!$I$259=""),"",ROUND(AT198*$C198*(parametros!$F$3-MEMORIA_RESULTADOS!$I$259),2))</f>
        <v/>
      </c>
      <c r="AW198" t="str">
        <f>IF($A198="","",ROUND(SUMIFS(itens_Consumidos!$I$2:$I$200,itens_Consumidos!$A$2:$A$200,$A198),2))</f>
        <v/>
      </c>
      <c r="AX198" t="str">
        <f t="shared" si="38"/>
        <v/>
      </c>
      <c r="AY198" t="str">
        <f>IF(OR($A198="",O198="",MEMORIA_RESULTADOS!$I$260=""),"",ROUND(O198*$C198*(MEMORIA_RESULTADOS!$I$260-1),2))</f>
        <v/>
      </c>
      <c r="AZ198" t="str">
        <f>IF(OR($A198="",AX198="",MEMORIA_RESULTADOS!$I$260=""),"",ROUND(AX198*$C198*(parametros!$F$4-MEMORIA_RESULTADOS!$I$260),2))</f>
        <v/>
      </c>
      <c r="BA198" t="str">
        <f>IF($A198="","",ROUND(SUMIFS(itens_Consumidos!$K$2:$K$200,itens_Consumidos!$A$2:$A$200,$A198),2))</f>
        <v/>
      </c>
      <c r="BB198" t="str">
        <f t="shared" si="39"/>
        <v/>
      </c>
      <c r="BC198" t="str">
        <f>IF(OR($A198="",Q198="",MEMORIA_RESULTADOS!$I$261=""),"",ROUND(Q198*$C198*(MEMORIA_RESULTADOS!$I$261-1),2))</f>
        <v/>
      </c>
      <c r="BD198" t="str">
        <f>IF(OR($A198="",BB198="",MEMORIA_RESULTADOS!$I$261=""),"",ROUND(BB198*$C198*(parametros!$F$5-MEMORIA_RESULTADOS!$I$261),2))</f>
        <v/>
      </c>
      <c r="BE198" t="str">
        <f>IF($A198="","",ROUND(SUMIFS(itens_Consumidos!$M$2:$M$200,itens_Consumidos!$A$2:$A$200,$A198),2))</f>
        <v/>
      </c>
      <c r="BF198" t="str">
        <f t="shared" si="40"/>
        <v/>
      </c>
      <c r="BG198" t="str">
        <f>IF(OR($A198="",S198="",MEMORIA_RESULTADOS!$I$262=""),"",ROUND(S198*$C198*(MEMORIA_RESULTADOS!$I$262-1),2))</f>
        <v/>
      </c>
      <c r="BH198" t="str">
        <f>IF(OR($A198="",BF198="",MEMORIA_RESULTADOS!$I$262=""),"",ROUND(BF198*$C198*(parametros!$F$6-MEMORIA_RESULTADOS!$I$262),2))</f>
        <v/>
      </c>
      <c r="BI198" t="str">
        <f>IF($A198="","",IF(posicao_contratual!$AL198="","",posicao_contratual!$AL198))</f>
        <v/>
      </c>
    </row>
    <row r="199" spans="1:61" x14ac:dyDescent="0.35">
      <c r="A199" s="81"/>
      <c r="B199" s="82" t="str">
        <f t="shared" si="35"/>
        <v/>
      </c>
      <c r="C199" s="83"/>
      <c r="D199" s="79" t="str">
        <f>IF(AND(A199="",A198&lt;&gt;"",COUNTIF(A200:$A$200,"&lt;&gt;")=0),ROUND(SUMIF($A$2:A198,"&lt;&gt;",$D$2:D198),2),IF(OR(A199="",B199="",C199=""),"",ROUND(B199*C199,2)))</f>
        <v/>
      </c>
      <c r="E199" s="84"/>
      <c r="F199" s="79" t="str">
        <f>IF(AND(A199="",A198&lt;&gt;"",COUNTIF(A200:$A$200,"&lt;&gt;")=0),IF(COUNT(F$2:F198)=0,"",ROUND(SUMIF($A$2:A198,"&lt;&gt;",F$2:F198),2)),IF(OR(A199="",AND(ISNUMBER(posicao_contratual!$AL199),posicao_contratual!$AL199&gt;1),posicao_contratual!K199="",NOT(ISNUMBER(historico_VU!D199))),"",ROUND(posicao_contratual!K199*historico_VU!D199,2)))</f>
        <v/>
      </c>
      <c r="G199" s="84"/>
      <c r="H199" s="79" t="str">
        <f>IF(AND(A199="",A198&lt;&gt;"",COUNTIF(A200:$A$200,"&lt;&gt;")=0),IF(COUNT(H$2:H198)=0,"",ROUND(SUMIF($A$2:A198,"&lt;&gt;",H$2:H198),2)),IF(OR(A199="",AND(ISNUMBER(posicao_contratual!$AL199),posicao_contratual!$AL199&gt;2),posicao_contratual!O199="",NOT(ISNUMBER(historico_VU!E199))),"",ROUND(posicao_contratual!O199*historico_VU!E199,2)))</f>
        <v/>
      </c>
      <c r="I199" s="84"/>
      <c r="J199" s="79" t="str">
        <f>IF(AND(A199="",A198&lt;&gt;"",COUNTIF(A200:$A$200,"&lt;&gt;")=0),IF(COUNT(J$2:J198)=0,"",ROUND(SUMIF($A$2:A198,"&lt;&gt;",J$2:J198),2)),IF(OR(A199="",AND(ISNUMBER(posicao_contratual!$AL199),posicao_contratual!$AL199&gt;3),posicao_contratual!S199="",NOT(ISNUMBER(historico_VU!F199))),"",ROUND(posicao_contratual!S199*historico_VU!F199,2)))</f>
        <v/>
      </c>
      <c r="K199" s="84"/>
      <c r="L199" s="79" t="str">
        <f>IF(AND(A199="",A198&lt;&gt;"",COUNTIF(A200:$A$200,"&lt;&gt;")=0),IF(COUNT(L$2:L198)=0,"",ROUND(SUMIF($A$2:A198,"&lt;&gt;",L$2:L198),2)),IF(OR(A199="",AND(ISNUMBER(posicao_contratual!$AL199),posicao_contratual!$AL199&gt;4),posicao_contratual!W199="",NOT(ISNUMBER(historico_VU!G199))),"",ROUND(posicao_contratual!W199*historico_VU!G199,2)))</f>
        <v/>
      </c>
      <c r="M199" s="85" t="str">
        <f>IF(OR(posicao_contratual!J199="",posicao_contratual!N199=""),"",ROUND(MAX(posicao_contratual!J199+posicao_contratual!H199-posicao_contratual!N199,0),2))</f>
        <v/>
      </c>
      <c r="N199" s="79" t="str">
        <f>IF(AND(A199="",A198&lt;&gt;"",COUNTIF(A200:$A$200,"&lt;&gt;")=0),IF(COUNT(N$2:N198)=0,"",ROUND(SUMIF($A$2:A198,"&lt;&gt;",N$2:N198),2)),IF(OR(M199="",NOT(ISNUMBER(historico_VU!D199))),"",ROUND(M199*historico_VU!D199,2)))</f>
        <v/>
      </c>
      <c r="O199" s="85" t="str">
        <f>IF(OR(posicao_contratual!N199="",posicao_contratual!R199=""),"",ROUND(MAX(posicao_contratual!N199+posicao_contratual!L199-posicao_contratual!R199,0),2))</f>
        <v/>
      </c>
      <c r="P199" s="79" t="str">
        <f>IF(AND(A199="",A198&lt;&gt;"",COUNTIF(A200:$A$200,"&lt;&gt;")=0),IF(COUNT(P$2:P198)=0,"",ROUND(SUMIF($A$2:A198,"&lt;&gt;",P$2:P198),2)),IF(OR(O199="",NOT(ISNUMBER(historico_VU!E199))),"",ROUND(O199*historico_VU!E199,2)))</f>
        <v/>
      </c>
      <c r="Q199" s="85" t="str">
        <f>IF(OR(posicao_contratual!R199="",posicao_contratual!V199=""),"",ROUND(MAX(posicao_contratual!R199+posicao_contratual!P199-posicao_contratual!V199,0),2))</f>
        <v/>
      </c>
      <c r="R199" s="79" t="str">
        <f>IF(AND(A199="",A198&lt;&gt;"",COUNTIF(A200:$A$200,"&lt;&gt;")=0),IF(COUNT(R$2:R198)=0,"",ROUND(SUMIF($A$2:A198,"&lt;&gt;",R$2:R198),2)),IF(OR(Q199="",NOT(ISNUMBER(historico_VU!F199))),"",ROUND(Q199*historico_VU!F199,2)))</f>
        <v/>
      </c>
      <c r="S199" s="38"/>
      <c r="T199" s="39" t="str">
        <f>IF(AND(A199="",A198&lt;&gt;"",COUNTIF(A200:$A$200,"&lt;&gt;")=0),IF(COUNT(T$2:T198)=0,"",ROUND(SUMIF($A$2:A198,"&lt;&gt;",T$2:T198),2)),IF(OR(S199="",NOT(ISNUMBER(historico_VU!G199))),"",ROUND(S199*historico_VU!G199,2)))</f>
        <v/>
      </c>
      <c r="U199" s="86" t="str">
        <f>IF(AND(A199="",A198&lt;&gt;"",COUNTIF(A200:$A$200,"&lt;&gt;")=0),"TOTAL",IF(A199="","",posicao_contratual!X199))</f>
        <v/>
      </c>
      <c r="V199" s="86" t="str">
        <f>IF(A199="","",posicao_contratual!X199)</f>
        <v/>
      </c>
      <c r="W199" s="13"/>
      <c r="X199" s="13"/>
      <c r="Y199" s="13"/>
      <c r="Z199" s="13"/>
      <c r="AA199" s="13"/>
      <c r="AB199" s="85" t="str">
        <f>IF(OR(A199="",posicao_contratual!E199="",posicao_contratual!J199=""),"",ROUND(MAX(posicao_contratual!E199-posicao_contratual!J199,0),2))</f>
        <v/>
      </c>
      <c r="AC199" s="79" t="str">
        <f>IF(AND(A199="",A198&lt;&gt;"",COUNTIF(A200:$A$200,"&lt;&gt;")=0),IF(COUNT(AC$2:AC198)=0,"",ROUND(SUMIF($A$2:A198,"&lt;&gt;",AC$2:AC198),2)),IF(OR(AB199="",NOT(ISNUMBER(historico_VU!C199))),"",ROUND(AB199*historico_VU!C199,2)))</f>
        <v/>
      </c>
      <c r="AD199" s="145" t="str">
        <f>IF(A199="","",posicao_contratual!E199)</f>
        <v/>
      </c>
      <c r="AE199" s="145" t="str">
        <f>IF(A199="","",posicao_contratual!I199)</f>
        <v/>
      </c>
      <c r="AF199" s="145" t="str">
        <f>IF(A199="","",posicao_contratual!M199)</f>
        <v/>
      </c>
      <c r="AG199" s="145" t="str">
        <f>IF(A199="","",posicao_contratual!Q199)</f>
        <v/>
      </c>
      <c r="AH199" s="145" t="str">
        <f>IF(A199="","",posicao_contratual!U199)</f>
        <v/>
      </c>
      <c r="AI199" s="145" t="str">
        <f>IF(A199="","",posicao_contratual!G199)</f>
        <v/>
      </c>
      <c r="AJ199" s="145" t="str">
        <f>IF(A199="","",posicao_contratual!K199)</f>
        <v/>
      </c>
      <c r="AK199" s="145" t="str">
        <f>IF(A199="","",posicao_contratual!O199)</f>
        <v/>
      </c>
      <c r="AL199" s="145" t="str">
        <f>IF(A199="","",posicao_contratual!S199)</f>
        <v/>
      </c>
      <c r="AM199" s="145" t="str">
        <f>IF(A199="","",posicao_contratual!W199)</f>
        <v/>
      </c>
      <c r="AN199" s="146" t="str">
        <f>IF(A199="","",posicao_contratual!X199)</f>
        <v/>
      </c>
      <c r="AO199" t="str">
        <f>IF($A199="","",ROUND(SUMIFS(itens_Consumidos!$E$2:$E$200,itens_Consumidos!$A$2:$A$200,$A199),2))</f>
        <v/>
      </c>
      <c r="AP199" t="str">
        <f t="shared" si="36"/>
        <v/>
      </c>
      <c r="AQ199" t="str">
        <f>IF(OR($A199="",AB199="",MEMORIA_RESULTADOS!$I$258=""),"",ROUND(AB199*$C199*(MEMORIA_RESULTADOS!$I$258-1),2))</f>
        <v/>
      </c>
      <c r="AR199" t="str">
        <f>IF(OR($A199="",AP199="",MEMORIA_RESULTADOS!$I$258=""),"",ROUND(AP199*$C199*(parametros!$F$2-MEMORIA_RESULTADOS!$I$258),2))</f>
        <v/>
      </c>
      <c r="AS199" t="str">
        <f>IF($A199="","",ROUND(SUMIFS(itens_Consumidos!$G$2:$G$200,itens_Consumidos!$A$2:$A$200,$A199),2))</f>
        <v/>
      </c>
      <c r="AT199" t="str">
        <f t="shared" si="37"/>
        <v/>
      </c>
      <c r="AU199" t="str">
        <f>IF(OR($A199="",M199="",MEMORIA_RESULTADOS!$I$259=""),"",ROUND(M199*$C199*(MEMORIA_RESULTADOS!$I$259-1),2))</f>
        <v/>
      </c>
      <c r="AV199" t="str">
        <f>IF(OR($A199="",AT199="",MEMORIA_RESULTADOS!$I$259=""),"",ROUND(AT199*$C199*(parametros!$F$3-MEMORIA_RESULTADOS!$I$259),2))</f>
        <v/>
      </c>
      <c r="AW199" t="str">
        <f>IF($A199="","",ROUND(SUMIFS(itens_Consumidos!$I$2:$I$200,itens_Consumidos!$A$2:$A$200,$A199),2))</f>
        <v/>
      </c>
      <c r="AX199" t="str">
        <f t="shared" si="38"/>
        <v/>
      </c>
      <c r="AY199" t="str">
        <f>IF(OR($A199="",O199="",MEMORIA_RESULTADOS!$I$260=""),"",ROUND(O199*$C199*(MEMORIA_RESULTADOS!$I$260-1),2))</f>
        <v/>
      </c>
      <c r="AZ199" t="str">
        <f>IF(OR($A199="",AX199="",MEMORIA_RESULTADOS!$I$260=""),"",ROUND(AX199*$C199*(parametros!$F$4-MEMORIA_RESULTADOS!$I$260),2))</f>
        <v/>
      </c>
      <c r="BA199" t="str">
        <f>IF($A199="","",ROUND(SUMIFS(itens_Consumidos!$K$2:$K$200,itens_Consumidos!$A$2:$A$200,$A199),2))</f>
        <v/>
      </c>
      <c r="BB199" t="str">
        <f t="shared" si="39"/>
        <v/>
      </c>
      <c r="BC199" t="str">
        <f>IF(OR($A199="",Q199="",MEMORIA_RESULTADOS!$I$261=""),"",ROUND(Q199*$C199*(MEMORIA_RESULTADOS!$I$261-1),2))</f>
        <v/>
      </c>
      <c r="BD199" t="str">
        <f>IF(OR($A199="",BB199="",MEMORIA_RESULTADOS!$I$261=""),"",ROUND(BB199*$C199*(parametros!$F$5-MEMORIA_RESULTADOS!$I$261),2))</f>
        <v/>
      </c>
      <c r="BE199" t="str">
        <f>IF($A199="","",ROUND(SUMIFS(itens_Consumidos!$M$2:$M$200,itens_Consumidos!$A$2:$A$200,$A199),2))</f>
        <v/>
      </c>
      <c r="BF199" t="str">
        <f t="shared" si="40"/>
        <v/>
      </c>
      <c r="BG199" t="str">
        <f>IF(OR($A199="",S199="",MEMORIA_RESULTADOS!$I$262=""),"",ROUND(S199*$C199*(MEMORIA_RESULTADOS!$I$262-1),2))</f>
        <v/>
      </c>
      <c r="BH199" t="str">
        <f>IF(OR($A199="",BF199="",MEMORIA_RESULTADOS!$I$262=""),"",ROUND(BF199*$C199*(parametros!$F$6-MEMORIA_RESULTADOS!$I$262),2))</f>
        <v/>
      </c>
      <c r="BI199" t="str">
        <f>IF($A199="","",IF(posicao_contratual!$AL199="","",posicao_contratual!$AL199))</f>
        <v/>
      </c>
    </row>
    <row r="200" spans="1:61" x14ac:dyDescent="0.35">
      <c r="A200" s="81"/>
      <c r="B200" s="82" t="str">
        <f t="shared" si="35"/>
        <v/>
      </c>
      <c r="C200" s="83"/>
      <c r="D200" s="79" t="str">
        <f>IF(AND(A200="",A199&lt;&gt;"",COUNTIF(A$200:$A201,"&lt;&gt;")=0),ROUND(SUMIF($A$2:A199,"&lt;&gt;",$D$2:D199),2),IF(OR(A200="",B200="",C200=""),"",ROUND(B200*C200,2)))</f>
        <v/>
      </c>
      <c r="E200" s="84"/>
      <c r="F200" s="79" t="str">
        <f>IF(AND(A200="",A199&lt;&gt;"",COUNTIF(A$200:$A201,"&lt;&gt;")=0),IF(COUNT(F$2:F199)=0,"",ROUND(SUMIF($A$2:A199,"&lt;&gt;",F$2:F199),2)),IF(OR(A200="",AND(ISNUMBER(posicao_contratual!$AL200),posicao_contratual!$AL200&gt;1),posicao_contratual!K200="",NOT(ISNUMBER(historico_VU!D200))),"",ROUND(posicao_contratual!K200*historico_VU!D200,2)))</f>
        <v/>
      </c>
      <c r="G200" s="84"/>
      <c r="H200" s="79" t="str">
        <f>IF(AND(A200="",A199&lt;&gt;"",COUNTIF(A$200:$A201,"&lt;&gt;")=0),IF(COUNT(H$2:H199)=0,"",ROUND(SUMIF($A$2:A199,"&lt;&gt;",H$2:H199),2)),IF(OR(A200="",AND(ISNUMBER(posicao_contratual!$AL200),posicao_contratual!$AL200&gt;2),posicao_contratual!O200="",NOT(ISNUMBER(historico_VU!E200))),"",ROUND(posicao_contratual!O200*historico_VU!E200,2)))</f>
        <v/>
      </c>
      <c r="I200" s="84"/>
      <c r="J200" s="79" t="str">
        <f>IF(AND(A200="",A199&lt;&gt;"",COUNTIF(A$200:$A201,"&lt;&gt;")=0),IF(COUNT(J$2:J199)=0,"",ROUND(SUMIF($A$2:A199,"&lt;&gt;",J$2:J199),2)),IF(OR(A200="",AND(ISNUMBER(posicao_contratual!$AL200),posicao_contratual!$AL200&gt;3),posicao_contratual!S200="",NOT(ISNUMBER(historico_VU!F200))),"",ROUND(posicao_contratual!S200*historico_VU!F200,2)))</f>
        <v/>
      </c>
      <c r="K200" s="84"/>
      <c r="L200" s="79" t="str">
        <f>IF(AND(A200="",A199&lt;&gt;"",COUNTIF(A$200:$A201,"&lt;&gt;")=0),IF(COUNT(L$2:L199)=0,"",ROUND(SUMIF($A$2:A199,"&lt;&gt;",L$2:L199),2)),IF(OR(A200="",AND(ISNUMBER(posicao_contratual!$AL200),posicao_contratual!$AL200&gt;4),posicao_contratual!W200="",NOT(ISNUMBER(historico_VU!G200))),"",ROUND(posicao_contratual!W200*historico_VU!G200,2)))</f>
        <v/>
      </c>
      <c r="M200" s="85" t="str">
        <f>IF(OR(posicao_contratual!J200="",posicao_contratual!N200=""),"",ROUND(MAX(posicao_contratual!J200+posicao_contratual!H200-posicao_contratual!N200,0),2))</f>
        <v/>
      </c>
      <c r="N200" s="79" t="str">
        <f>IF(AND(A200="",A199&lt;&gt;"",COUNTIF(A$200:$A201,"&lt;&gt;")=0),IF(COUNT(N$2:N199)=0,"",ROUND(SUMIF($A$2:A199,"&lt;&gt;",N$2:N199),2)),IF(OR(M200="",NOT(ISNUMBER(historico_VU!D200))),"",ROUND(M200*historico_VU!D200,2)))</f>
        <v/>
      </c>
      <c r="O200" s="85" t="str">
        <f>IF(OR(posicao_contratual!N200="",posicao_contratual!R200=""),"",ROUND(MAX(posicao_contratual!N200+posicao_contratual!L200-posicao_contratual!R200,0),2))</f>
        <v/>
      </c>
      <c r="P200" s="79" t="str">
        <f>IF(AND(A200="",A199&lt;&gt;"",COUNTIF(A$200:$A201,"&lt;&gt;")=0),IF(COUNT(P$2:P199)=0,"",ROUND(SUMIF($A$2:A199,"&lt;&gt;",P$2:P199),2)),IF(OR(O200="",NOT(ISNUMBER(historico_VU!E200))),"",ROUND(O200*historico_VU!E200,2)))</f>
        <v/>
      </c>
      <c r="Q200" s="85" t="str">
        <f>IF(OR(posicao_contratual!R200="",posicao_contratual!V200=""),"",ROUND(MAX(posicao_contratual!R200+posicao_contratual!P200-posicao_contratual!V200,0),2))</f>
        <v/>
      </c>
      <c r="R200" s="79" t="str">
        <f>IF(AND(A200="",A199&lt;&gt;"",COUNTIF(A$200:$A201,"&lt;&gt;")=0),IF(COUNT(R$2:R199)=0,"",ROUND(SUMIF($A$2:A199,"&lt;&gt;",R$2:R199),2)),IF(OR(Q200="",NOT(ISNUMBER(historico_VU!F200))),"",ROUND(Q200*historico_VU!F200,2)))</f>
        <v/>
      </c>
      <c r="S200" s="38"/>
      <c r="T200" s="39" t="str">
        <f>IF(AND(A200="",A199&lt;&gt;"",COUNTIF(A$200:$A201,"&lt;&gt;")=0),IF(COUNT(T$2:T199)=0,"",ROUND(SUMIF($A$2:A199,"&lt;&gt;",T$2:T199),2)),IF(OR(S200="",NOT(ISNUMBER(historico_VU!G200))),"",ROUND(S200*historico_VU!G200,2)))</f>
        <v/>
      </c>
      <c r="U200" s="86" t="str">
        <f>IF(AND(A200="",A199&lt;&gt;"",COUNTIF(A$200:$A201,"&lt;&gt;")=0),"TOTAL",IF(A200="","",posicao_contratual!X200))</f>
        <v/>
      </c>
      <c r="V200" s="86" t="str">
        <f>IF(A200="","",posicao_contratual!X200)</f>
        <v/>
      </c>
      <c r="W200" s="13"/>
      <c r="X200" s="13"/>
      <c r="Y200" s="13"/>
      <c r="Z200" s="13"/>
      <c r="AA200" s="13"/>
      <c r="AB200" s="85" t="str">
        <f>IF(OR(A200="",posicao_contratual!E200="",posicao_contratual!J200=""),"",ROUND(MAX(posicao_contratual!E200-posicao_contratual!J200,0),2))</f>
        <v/>
      </c>
      <c r="AC200" s="79" t="str">
        <f>IF(AND(A200="",A199&lt;&gt;"",COUNTIF(A$200:$A201,"&lt;&gt;")=0),IF(COUNT(AC$2:AC199)=0,"",ROUND(SUMIF($A$2:A199,"&lt;&gt;",AC$2:AC199),2)),IF(OR(AB200="",NOT(ISNUMBER(historico_VU!C200))),"",ROUND(AB200*historico_VU!C200,2)))</f>
        <v/>
      </c>
      <c r="AD200" s="145" t="str">
        <f>IF(A200="","",posicao_contratual!E200)</f>
        <v/>
      </c>
      <c r="AE200" s="145" t="str">
        <f>IF(A200="","",posicao_contratual!I200)</f>
        <v/>
      </c>
      <c r="AF200" s="145" t="str">
        <f>IF(A200="","",posicao_contratual!M200)</f>
        <v/>
      </c>
      <c r="AG200" s="145" t="str">
        <f>IF(A200="","",posicao_contratual!Q200)</f>
        <v/>
      </c>
      <c r="AH200" s="145" t="str">
        <f>IF(A200="","",posicao_contratual!U200)</f>
        <v/>
      </c>
      <c r="AI200" s="145" t="str">
        <f>IF(A200="","",posicao_contratual!G200)</f>
        <v/>
      </c>
      <c r="AJ200" s="145" t="str">
        <f>IF(A200="","",posicao_contratual!K200)</f>
        <v/>
      </c>
      <c r="AK200" s="145" t="str">
        <f>IF(A200="","",posicao_contratual!O200)</f>
        <v/>
      </c>
      <c r="AL200" s="145" t="str">
        <f>IF(A200="","",posicao_contratual!S200)</f>
        <v/>
      </c>
      <c r="AM200" s="145" t="str">
        <f>IF(A200="","",posicao_contratual!W200)</f>
        <v/>
      </c>
      <c r="AN200" s="146" t="str">
        <f>IF(A200="","",posicao_contratual!X200)</f>
        <v/>
      </c>
      <c r="AO200" t="str">
        <f>IF($A200="","",ROUND(SUMIFS(itens_Consumidos!$E$2:$E$200,itens_Consumidos!$A$2:$A$200,$A200),2))</f>
        <v/>
      </c>
      <c r="AP200" t="str">
        <f t="shared" si="36"/>
        <v/>
      </c>
      <c r="AQ200" t="str">
        <f>IF(OR($A200="",AB200="",MEMORIA_RESULTADOS!$I$258=""),"",ROUND(AB200*$C200*(MEMORIA_RESULTADOS!$I$258-1),2))</f>
        <v/>
      </c>
      <c r="AR200" t="str">
        <f>IF(OR($A200="",AP200="",MEMORIA_RESULTADOS!$I$258=""),"",ROUND(AP200*$C200*(parametros!$F$2-MEMORIA_RESULTADOS!$I$258),2))</f>
        <v/>
      </c>
      <c r="AS200" t="str">
        <f>IF($A200="","",ROUND(SUMIFS(itens_Consumidos!$G$2:$G$200,itens_Consumidos!$A$2:$A$200,$A200),2))</f>
        <v/>
      </c>
      <c r="AT200" t="str">
        <f t="shared" si="37"/>
        <v/>
      </c>
      <c r="AU200" t="str">
        <f>IF(OR($A200="",M200="",MEMORIA_RESULTADOS!$I$259=""),"",ROUND(M200*$C200*(MEMORIA_RESULTADOS!$I$259-1),2))</f>
        <v/>
      </c>
      <c r="AV200" t="str">
        <f>IF(OR($A200="",AT200="",MEMORIA_RESULTADOS!$I$259=""),"",ROUND(AT200*$C200*(parametros!$F$3-MEMORIA_RESULTADOS!$I$259),2))</f>
        <v/>
      </c>
      <c r="AW200" t="str">
        <f>IF($A200="","",ROUND(SUMIFS(itens_Consumidos!$I$2:$I$200,itens_Consumidos!$A$2:$A$200,$A200),2))</f>
        <v/>
      </c>
      <c r="AX200" t="str">
        <f t="shared" si="38"/>
        <v/>
      </c>
      <c r="AY200" t="str">
        <f>IF(OR($A200="",O200="",MEMORIA_RESULTADOS!$I$260=""),"",ROUND(O200*$C200*(MEMORIA_RESULTADOS!$I$260-1),2))</f>
        <v/>
      </c>
      <c r="AZ200" t="str">
        <f>IF(OR($A200="",AX200="",MEMORIA_RESULTADOS!$I$260=""),"",ROUND(AX200*$C200*(parametros!$F$4-MEMORIA_RESULTADOS!$I$260),2))</f>
        <v/>
      </c>
      <c r="BA200" t="str">
        <f>IF($A200="","",ROUND(SUMIFS(itens_Consumidos!$K$2:$K$200,itens_Consumidos!$A$2:$A$200,$A200),2))</f>
        <v/>
      </c>
      <c r="BB200" t="str">
        <f t="shared" si="39"/>
        <v/>
      </c>
      <c r="BC200" t="str">
        <f>IF(OR($A200="",Q200="",MEMORIA_RESULTADOS!$I$261=""),"",ROUND(Q200*$C200*(MEMORIA_RESULTADOS!$I$261-1),2))</f>
        <v/>
      </c>
      <c r="BD200" t="str">
        <f>IF(OR($A200="",BB200="",MEMORIA_RESULTADOS!$I$261=""),"",ROUND(BB200*$C200*(parametros!$F$5-MEMORIA_RESULTADOS!$I$261),2))</f>
        <v/>
      </c>
      <c r="BE200" t="str">
        <f>IF($A200="","",ROUND(SUMIFS(itens_Consumidos!$M$2:$M$200,itens_Consumidos!$A$2:$A$200,$A200),2))</f>
        <v/>
      </c>
      <c r="BF200" t="str">
        <f t="shared" si="40"/>
        <v/>
      </c>
      <c r="BG200" t="str">
        <f>IF(OR($A200="",S200="",MEMORIA_RESULTADOS!$I$262=""),"",ROUND(S200*$C200*(MEMORIA_RESULTADOS!$I$262-1),2))</f>
        <v/>
      </c>
      <c r="BH200" t="str">
        <f>IF(OR($A200="",BF200="",MEMORIA_RESULTADOS!$I$262=""),"",ROUND(BF200*$C200*(parametros!$F$6-MEMORIA_RESULTADOS!$I$262),2))</f>
        <v/>
      </c>
      <c r="BI200" t="str">
        <f>IF($A200="","",IF(posicao_contratual!$AL200="","",posicao_contratual!$AL200))</f>
        <v/>
      </c>
    </row>
    <row r="201" spans="1:61" x14ac:dyDescent="0.35">
      <c r="A201" s="24"/>
      <c r="B201" s="24"/>
      <c r="C201" s="24"/>
      <c r="D201" s="86" t="str">
        <f>IF($A$200&lt;&gt;"",ROUND(SUMIF($A$2:$A$200,"&lt;&gt;",$D$2:$D$200),2),"")</f>
        <v/>
      </c>
      <c r="E201" s="25"/>
      <c r="F201" s="86" t="str">
        <f>IF($A$200&lt;&gt;"",IF(COUNT(F$2:F$200)=0,"",ROUND(SUMIF($A$2:$A$200,"&lt;&gt;",F$2:F$200),2)),"")</f>
        <v/>
      </c>
      <c r="G201" s="25"/>
      <c r="H201" s="86" t="str">
        <f>IF($A$200&lt;&gt;"",IF(COUNT(H$2:H$200)=0,"",ROUND(SUMIF($A$2:$A$200,"&lt;&gt;",H$2:H$200),2)),"")</f>
        <v/>
      </c>
      <c r="I201" s="25"/>
      <c r="J201" s="86" t="str">
        <f>IF($A$200&lt;&gt;"",IF(COUNT(J$2:J$200)=0,"",ROUND(SUMIF($A$2:$A$200,"&lt;&gt;",J$2:J$200),2)),"")</f>
        <v/>
      </c>
      <c r="K201" s="25"/>
      <c r="L201" s="86" t="str">
        <f>IF($A$200&lt;&gt;"",IF(COUNT(L$2:L$200)=0,"",ROUND(SUMIF($A$2:$A$200,"&lt;&gt;",L$2:L$200),2)),"")</f>
        <v/>
      </c>
      <c r="M201" s="25"/>
      <c r="N201" s="86" t="str">
        <f>IF($A$200&lt;&gt;"",IF(COUNT(N$2:N$200)=0,"",ROUND(SUMIF($A$2:$A$200,"&lt;&gt;",N$2:N$200),2)),"")</f>
        <v/>
      </c>
      <c r="O201" s="16"/>
      <c r="P201" s="86" t="str">
        <f>IF($A$200&lt;&gt;"",IF(COUNT(P$2:P$200)=0,"",ROUND(SUMIF($A$2:$A$200,"&lt;&gt;",P$2:P$200),2)),"")</f>
        <v/>
      </c>
      <c r="Q201" s="24"/>
      <c r="R201" s="86" t="str">
        <f>IF($A$200&lt;&gt;"",IF(COUNT(R$2:R$200)=0,"",ROUND(SUMIF($A$2:$A$200,"&lt;&gt;",R$2:R$200),2)),"")</f>
        <v/>
      </c>
      <c r="S201" s="24"/>
      <c r="T201" s="24" t="str">
        <f>IF($A$200&lt;&gt;"",IF(COUNT(T$2:T$200)=0,"",ROUND(SUMIF($A$2:$A$200,"&lt;&gt;",T$2:T$200),2)),"")</f>
        <v/>
      </c>
      <c r="U201" s="16" t="str">
        <f>IF($A$200&lt;&gt;"","TOTAL","")</f>
        <v/>
      </c>
      <c r="V201" s="13"/>
      <c r="W201" s="13"/>
      <c r="X201" s="13"/>
      <c r="Y201" s="13"/>
      <c r="Z201" s="13"/>
      <c r="AA201" s="13"/>
      <c r="AB201" s="13"/>
      <c r="AC201" s="86" t="str">
        <f>IF($A$200&lt;&gt;"",IF(COUNT(AC$2:AC$200)=0,"",ROUND(SUMIF($A$2:$A$200,"&lt;&gt;",AC$2:AC$200),2)),"")</f>
        <v/>
      </c>
      <c r="AD201" s="13"/>
    </row>
    <row r="202" spans="1:61" x14ac:dyDescent="0.3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spans="1:61" x14ac:dyDescent="0.3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 spans="1:61" x14ac:dyDescent="0.3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 spans="1:61" x14ac:dyDescent="0.3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spans="1:61" x14ac:dyDescent="0.3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 spans="1:61" x14ac:dyDescent="0.3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 spans="1:61" x14ac:dyDescent="0.3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spans="1:30" x14ac:dyDescent="0.3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 spans="1:30" x14ac:dyDescent="0.3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</sheetData>
  <conditionalFormatting sqref="A2:AC201">
    <cfRule type="expression" dxfId="70" priority="2">
      <formula>$U2="TOTAL"</formula>
    </cfRule>
  </conditionalFormatting>
  <conditionalFormatting sqref="E2:E201">
    <cfRule type="expression" dxfId="69" priority="3" stopIfTrue="1">
      <formula>AND($A2&lt;&gt;"",ISNUMBER($BI2),$BI2&gt;1)</formula>
    </cfRule>
    <cfRule type="expression" dxfId="68" priority="3">
      <formula>AND($A2&lt;&gt;"",ISNUMBER(E2),E2&gt;0)</formula>
    </cfRule>
    <cfRule type="expression" dxfId="67" priority="4">
      <formula>AND($A2&lt;&gt;"",E2=0)</formula>
    </cfRule>
    <cfRule type="expression" dxfId="66" priority="5">
      <formula>AND($A2&lt;&gt;"",E2="",OR(NOT(ISNUMBER($BI2)),$BI2&lt;=1))</formula>
    </cfRule>
  </conditionalFormatting>
  <conditionalFormatting sqref="G2:G201">
    <cfRule type="expression" dxfId="65" priority="6" stopIfTrue="1">
      <formula>AND($A2&lt;&gt;"",ISNUMBER($BI2),$BI2&gt;2)</formula>
    </cfRule>
    <cfRule type="expression" dxfId="64" priority="7">
      <formula>AND($A2&lt;&gt;"",ISNUMBER(G2),G2&gt;0)</formula>
    </cfRule>
    <cfRule type="expression" dxfId="63" priority="8">
      <formula>AND($A2&lt;&gt;"",G2=0)</formula>
    </cfRule>
    <cfRule type="expression" dxfId="62" priority="9">
      <formula>AND($A2&lt;&gt;"",G2="",OR(NOT(ISNUMBER($BI2)),$BI2&lt;=2))</formula>
    </cfRule>
  </conditionalFormatting>
  <conditionalFormatting sqref="I2:I201">
    <cfRule type="expression" dxfId="61" priority="10" stopIfTrue="1">
      <formula>AND($A2&lt;&gt;"",ISNUMBER($BI2),$BI2&gt;3)</formula>
    </cfRule>
    <cfRule type="expression" dxfId="60" priority="11">
      <formula>AND($A2&lt;&gt;"",ISNUMBER(I2),I2&gt;0)</formula>
    </cfRule>
    <cfRule type="expression" dxfId="59" priority="12">
      <formula>AND($A2&lt;&gt;"",I2=0)</formula>
    </cfRule>
    <cfRule type="expression" dxfId="58" priority="13">
      <formula>AND($A2&lt;&gt;"",I2="",OR(NOT(ISNUMBER($BI2)),$BI2&lt;=3))</formula>
    </cfRule>
  </conditionalFormatting>
  <conditionalFormatting sqref="K2:K201">
    <cfRule type="expression" dxfId="57" priority="14" stopIfTrue="1">
      <formula>AND($A2&lt;&gt;"",ISNUMBER($BI2),$BI2&gt;4)</formula>
    </cfRule>
    <cfRule type="expression" dxfId="56" priority="15">
      <formula>AND($A2&lt;&gt;"",ISNUMBER(K2),K2&gt;0)</formula>
    </cfRule>
    <cfRule type="expression" dxfId="55" priority="16">
      <formula>AND($A2&lt;&gt;"",K2=0)</formula>
    </cfRule>
    <cfRule type="expression" dxfId="54" priority="17">
      <formula>AND($A2&lt;&gt;"",K2="",OR(NOT(ISNUMBER($BI2)),$BI2&lt;=4))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AG200"/>
  <sheetViews>
    <sheetView showGridLines="0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4" customWidth="1"/>
    <col min="2" max="2" width="20" customWidth="1"/>
    <col min="3" max="4" width="18" customWidth="1"/>
    <col min="5" max="5" width="16" customWidth="1"/>
    <col min="6" max="6" width="17" customWidth="1"/>
    <col min="7" max="7" width="16" customWidth="1"/>
    <col min="8" max="8" width="17" customWidth="1"/>
    <col min="9" max="9" width="16" customWidth="1"/>
    <col min="10" max="10" width="17" customWidth="1"/>
    <col min="11" max="11" width="16" customWidth="1"/>
    <col min="12" max="12" width="17" customWidth="1"/>
    <col min="13" max="13" width="16" customWidth="1"/>
    <col min="14" max="14" width="17" customWidth="1"/>
    <col min="15" max="15" width="18" customWidth="1"/>
    <col min="16" max="16" width="20" customWidth="1"/>
    <col min="17" max="17" width="34" customWidth="1"/>
    <col min="18" max="18" width="10" customWidth="1"/>
    <col min="19" max="19" width="24" customWidth="1"/>
    <col min="20" max="21" width="16" customWidth="1"/>
    <col min="24" max="24" width="10.6328125" customWidth="1"/>
    <col min="25" max="25" width="22.6328125" customWidth="1"/>
    <col min="26" max="26" width="16.6328125" customWidth="1"/>
    <col min="27" max="27" width="20.6328125" customWidth="1"/>
    <col min="28" max="28" width="26.6328125" customWidth="1"/>
    <col min="29" max="29" width="16.6328125" customWidth="1"/>
    <col min="30" max="30" width="14.6328125" customWidth="1"/>
    <col min="31" max="31" width="26.6328125" customWidth="1"/>
    <col min="32" max="32" width="20.6328125" customWidth="1"/>
    <col min="33" max="33" width="42.6328125" customWidth="1"/>
  </cols>
  <sheetData>
    <row r="1" spans="1:33" ht="24" customHeight="1" x14ac:dyDescent="0.35">
      <c r="A1" s="40" t="s">
        <v>24</v>
      </c>
      <c r="B1" s="41" t="s">
        <v>112</v>
      </c>
      <c r="C1" s="42" t="s">
        <v>25</v>
      </c>
      <c r="D1" s="42" t="s">
        <v>70</v>
      </c>
      <c r="E1" s="43" t="s">
        <v>113</v>
      </c>
      <c r="F1" s="44" t="s">
        <v>114</v>
      </c>
      <c r="G1" s="45" t="s">
        <v>115</v>
      </c>
      <c r="H1" s="46" t="s">
        <v>116</v>
      </c>
      <c r="I1" s="43" t="s">
        <v>117</v>
      </c>
      <c r="J1" s="44" t="s">
        <v>118</v>
      </c>
      <c r="K1" s="45" t="s">
        <v>119</v>
      </c>
      <c r="L1" s="46" t="s">
        <v>120</v>
      </c>
      <c r="M1" s="43" t="s">
        <v>121</v>
      </c>
      <c r="N1" s="44" t="s">
        <v>122</v>
      </c>
      <c r="O1" s="41" t="s">
        <v>123</v>
      </c>
      <c r="P1" s="42" t="s">
        <v>124</v>
      </c>
      <c r="Q1" s="47" t="s">
        <v>71</v>
      </c>
      <c r="R1" s="48" t="s">
        <v>36</v>
      </c>
      <c r="S1" s="48" t="s">
        <v>35</v>
      </c>
      <c r="T1" s="48" t="s">
        <v>73</v>
      </c>
      <c r="U1" s="48" t="s">
        <v>40</v>
      </c>
      <c r="V1" s="13" t="s">
        <v>125</v>
      </c>
      <c r="W1" s="13"/>
      <c r="X1" s="384" t="s">
        <v>126</v>
      </c>
      <c r="Y1" s="384" t="s">
        <v>127</v>
      </c>
      <c r="Z1" s="384" t="s">
        <v>128</v>
      </c>
      <c r="AA1" s="384" t="s">
        <v>129</v>
      </c>
      <c r="AB1" s="384" t="s">
        <v>130</v>
      </c>
      <c r="AC1" s="384" t="s">
        <v>131</v>
      </c>
      <c r="AD1" s="384" t="s">
        <v>132</v>
      </c>
      <c r="AE1" s="384" t="s">
        <v>133</v>
      </c>
      <c r="AF1" s="384" t="s">
        <v>134</v>
      </c>
      <c r="AG1" s="384" t="s">
        <v>135</v>
      </c>
    </row>
    <row r="2" spans="1:33" x14ac:dyDescent="0.35">
      <c r="A2" s="93"/>
      <c r="B2" s="94"/>
      <c r="C2" s="95"/>
      <c r="D2" s="79" t="str">
        <f t="shared" ref="D2:D33" si="0">IF(OR(A2="",B2="",C2=""),"",ROUND(B2*C2,2))</f>
        <v/>
      </c>
      <c r="E2" s="94"/>
      <c r="F2" s="79" t="str">
        <f t="shared" ref="F2:F33" si="1">IF(OR(A2="",E2="",C2="",NOT(ISNUMBER($U$2))),"",ROUND(E2*C2*$U$2,2))</f>
        <v/>
      </c>
      <c r="G2" s="94"/>
      <c r="H2" s="79" t="str">
        <f t="shared" ref="H2:H33" si="2">IF(OR(A2="",G2="",C2="",NOT(ISNUMBER($U$3))),"",ROUND(G2*C2*$U$3,2))</f>
        <v/>
      </c>
      <c r="I2" s="94"/>
      <c r="J2" s="79" t="str">
        <f t="shared" ref="J2:J33" si="3">IF(OR(A2="",I2="",C2="",NOT(ISNUMBER($U$4))),"",ROUND(I2*C2*$U$4,2))</f>
        <v/>
      </c>
      <c r="K2" s="94"/>
      <c r="L2" s="79" t="str">
        <f t="shared" ref="L2:L33" si="4">IF(OR(A2="",K2="",C2="",NOT(ISNUMBER($U$5))),"",ROUND(K2*C2*$U$5,2))</f>
        <v/>
      </c>
      <c r="M2" s="94"/>
      <c r="N2" s="79" t="str">
        <f t="shared" ref="N2:N33" si="5">IF(OR(A2="",M2="",C2="",NOT(ISNUMBER($U$6))),"",ROUND(M2*C2*$U$6,2))</f>
        <v/>
      </c>
      <c r="O2" s="85" t="str">
        <f t="shared" ref="O2:O33" si="6">IF(A2="","",SUM(E2,G2,I2,K2,M2))</f>
        <v/>
      </c>
      <c r="P2" s="79" t="str">
        <f t="shared" ref="P2:P33" si="7">IF(A2="","",SUM(F2,H2,J2,L2,N2))</f>
        <v/>
      </c>
      <c r="Q2" s="182" t="str">
        <f t="shared" ref="Q2:Q33" si="8">IF(A2="","",IF(O2&gt;B2,"DIVERGENCIA: CONSUMO MAIOR QUE CONTRATADO","OK"))</f>
        <v/>
      </c>
      <c r="R2" s="23" t="s">
        <v>26</v>
      </c>
      <c r="S2" s="96" t="str">
        <f>parametros!$A$2</f>
        <v>Nao</v>
      </c>
      <c r="T2" s="97" t="str">
        <f>IF(ISNUMBER(parametros!$E$2),parametros!$E$2,"")</f>
        <v/>
      </c>
      <c r="U2" s="98">
        <f>IF(ISNUMBER(parametros!$F$2),parametros!$F$2,"")</f>
        <v>1</v>
      </c>
      <c r="V2" s="14" t="str">
        <f t="shared" ref="V2:V33" si="9">IF(A2="","",IF(OR(NOT(ISNUMBER(B2)),NOT(ISNUMBER(O2)),NOT(ISNUMBER(C2)),Q2&lt;&gt;"OK"),"",ROUND(MAX(B2-O2,0)*C2,2)))</f>
        <v/>
      </c>
      <c r="W2" s="14"/>
      <c r="X2" t="s">
        <v>26</v>
      </c>
      <c r="Y2" s="385" t="str">
        <f>IF(COUNT($E$2:$E$200)=0,"",IF(OR(NOT(ISNUMBER(parametros!$F2)),NOT(ISNUMBER($AD2)),$AD2=0),"",ROUND(SUMPRODUCT($E$2:$E$200,$C$2:$C$200)*parametros!$F2/$AD2,2)))</f>
        <v/>
      </c>
      <c r="AA2" s="385"/>
      <c r="AB2" s="385" t="str">
        <f>IF($AG2&lt;&gt;"AJUSTE APLICADO","",IF($Z2="Valor pago",ROUND($AA2,2),ROUND($Y2-$AA2,2)))</f>
        <v/>
      </c>
      <c r="AC2" s="385" t="str">
        <f>IF($AG2&lt;&gt;"AJUSTE APLICADO","",ROUND($Y2-$AB2,2))</f>
        <v/>
      </c>
      <c r="AD2" s="386">
        <f>IF(ISNUMBER(parametros!$D11),parametros!$D11,"")</f>
        <v>1</v>
      </c>
      <c r="AE2" s="385" t="str">
        <f>IF($AG2&lt;&gt;"AJUSTE APLICADO","",ROUND($AB2*$AD2,2))</f>
        <v/>
      </c>
      <c r="AF2" s="385" t="str">
        <f>IF($AG2&lt;&gt;"AJUSTE APLICADO","",ROUND($AE2-$AB2,2))</f>
        <v/>
      </c>
      <c r="AG2" t="str">
        <f>IF(AND($Z2="",$AA2=""),"",IF($Z2="","REVISAR: VALOR INFORMADO SEM TIPO DE AJUSTE",IF(AND($Z2&lt;&gt;"Valor pago",$Z2&lt;&gt;"Glosa"),"REVISAR: TIPO DE AJUSTE INVALIDO",IF($AA2="","REVISAR: TIPO DE AJUSTE SEM VALOR",IF(NOT(ISNUMBER($AA2)),"REVISAR: VALOR INFORMADO NAO NUMERICO",IF($AA2&lt;0,IF($Z2="Glosa","REVISAR: GLOSA NEGATIVA","REVISAR: VALOR PAGO NEGATIVO"),IF(NOT(ISNUMBER($AD2)),"REVISAR: CICLO FORA DA APURACAO OU SEM FATOR NOVO",IF(NOT(ISNUMBER($Y2)),"REVISAR: SEM EXECUCAO CALCULADA NO CICLO",IF(ROUND($AA2,2)&gt;ROUND($Y2,2),IF($Z2="Glosa","REVISAR: GLOSA MAIOR QUE O CALCULADO","REVISAR: VALOR PAGO MAIOR QUE O CALCULADO"),"AJUSTE APLICADO")))))))))</f>
        <v/>
      </c>
    </row>
    <row r="3" spans="1:33" x14ac:dyDescent="0.35">
      <c r="A3" s="93"/>
      <c r="B3" s="94"/>
      <c r="C3" s="95"/>
      <c r="D3" s="79" t="str">
        <f t="shared" si="0"/>
        <v/>
      </c>
      <c r="E3" s="94"/>
      <c r="F3" s="79" t="str">
        <f t="shared" si="1"/>
        <v/>
      </c>
      <c r="G3" s="94"/>
      <c r="H3" s="79" t="str">
        <f t="shared" si="2"/>
        <v/>
      </c>
      <c r="I3" s="94"/>
      <c r="J3" s="79" t="str">
        <f t="shared" si="3"/>
        <v/>
      </c>
      <c r="K3" s="94"/>
      <c r="L3" s="79" t="str">
        <f t="shared" si="4"/>
        <v/>
      </c>
      <c r="M3" s="94"/>
      <c r="N3" s="79" t="str">
        <f t="shared" si="5"/>
        <v/>
      </c>
      <c r="O3" s="85" t="str">
        <f t="shared" si="6"/>
        <v/>
      </c>
      <c r="P3" s="79" t="str">
        <f t="shared" si="7"/>
        <v/>
      </c>
      <c r="Q3" s="182" t="str">
        <f t="shared" si="8"/>
        <v/>
      </c>
      <c r="R3" s="23" t="s">
        <v>3</v>
      </c>
      <c r="S3" s="96" t="str">
        <f>parametros!$A$3</f>
        <v>Sim</v>
      </c>
      <c r="T3" s="97">
        <f>IF(ISNUMBER(parametros!$E$3),parametros!$E$3,"")</f>
        <v>5.1200000000000002E-2</v>
      </c>
      <c r="U3" s="98">
        <f>IF(ISNUMBER(parametros!$F$3),parametros!$F$3,"")</f>
        <v>1.0511999999999999</v>
      </c>
      <c r="V3" s="14" t="str">
        <f t="shared" si="9"/>
        <v/>
      </c>
      <c r="W3" s="14"/>
      <c r="X3" t="s">
        <v>3</v>
      </c>
      <c r="Y3" s="385" t="str">
        <f>IF(COUNT($G$2:$G$200)=0,"",IF(OR(NOT(ISNUMBER(parametros!$F3)),NOT(ISNUMBER($AD3)),$AD3=0),"",ROUND(SUMPRODUCT($G$2:$G$200,$C$2:$C$200)*parametros!$F3/$AD3,2)))</f>
        <v/>
      </c>
      <c r="AA3" s="385"/>
      <c r="AB3" s="385" t="str">
        <f>IF($AG3&lt;&gt;"AJUSTE APLICADO","",IF($Z3="Valor pago",ROUND($AA3,2),ROUND($Y3-$AA3,2)))</f>
        <v/>
      </c>
      <c r="AC3" s="385" t="str">
        <f>IF($AG3&lt;&gt;"AJUSTE APLICADO","",ROUND($Y3-$AB3,2))</f>
        <v/>
      </c>
      <c r="AD3" s="386">
        <f>IF(ISNUMBER(parametros!$D12),parametros!$D12,"")</f>
        <v>1.0511999999999999</v>
      </c>
      <c r="AE3" s="385" t="str">
        <f>IF($AG3&lt;&gt;"AJUSTE APLICADO","",ROUND($AB3*$AD3,2))</f>
        <v/>
      </c>
      <c r="AF3" s="385" t="str">
        <f>IF($AG3&lt;&gt;"AJUSTE APLICADO","",ROUND($AE3-$AB3,2))</f>
        <v/>
      </c>
      <c r="AG3" t="str">
        <f>IF(AND($Z3="",$AA3=""),"",IF($Z3="","REVISAR: VALOR INFORMADO SEM TIPO DE AJUSTE",IF(AND($Z3&lt;&gt;"Valor pago",$Z3&lt;&gt;"Glosa"),"REVISAR: TIPO DE AJUSTE INVALIDO",IF($AA3="","REVISAR: TIPO DE AJUSTE SEM VALOR",IF(NOT(ISNUMBER($AA3)),"REVISAR: VALOR INFORMADO NAO NUMERICO",IF($AA3&lt;0,IF($Z3="Glosa","REVISAR: GLOSA NEGATIVA","REVISAR: VALOR PAGO NEGATIVO"),IF(NOT(ISNUMBER($AD3)),"REVISAR: CICLO FORA DA APURACAO OU SEM FATOR NOVO",IF(NOT(ISNUMBER($Y3)),"REVISAR: SEM EXECUCAO CALCULADA NO CICLO",IF(ROUND($AA3,2)&gt;ROUND($Y3,2),IF($Z3="Glosa","REVISAR: GLOSA MAIOR QUE O CALCULADO","REVISAR: VALOR PAGO MAIOR QUE O CALCULADO"),"AJUSTE APLICADO")))))))))</f>
        <v/>
      </c>
    </row>
    <row r="4" spans="1:33" x14ac:dyDescent="0.35">
      <c r="A4" s="93"/>
      <c r="B4" s="94"/>
      <c r="C4" s="95"/>
      <c r="D4" s="79" t="str">
        <f t="shared" si="0"/>
        <v/>
      </c>
      <c r="E4" s="94"/>
      <c r="F4" s="79" t="str">
        <f t="shared" si="1"/>
        <v/>
      </c>
      <c r="G4" s="94"/>
      <c r="H4" s="79" t="str">
        <f t="shared" si="2"/>
        <v/>
      </c>
      <c r="I4" s="94"/>
      <c r="J4" s="79" t="str">
        <f t="shared" si="3"/>
        <v/>
      </c>
      <c r="K4" s="94"/>
      <c r="L4" s="79" t="str">
        <f t="shared" si="4"/>
        <v/>
      </c>
      <c r="M4" s="94"/>
      <c r="N4" s="79" t="str">
        <f t="shared" si="5"/>
        <v/>
      </c>
      <c r="O4" s="85" t="str">
        <f t="shared" si="6"/>
        <v/>
      </c>
      <c r="P4" s="79" t="str">
        <f t="shared" si="7"/>
        <v/>
      </c>
      <c r="Q4" s="182" t="str">
        <f t="shared" si="8"/>
        <v/>
      </c>
      <c r="R4" s="23" t="s">
        <v>27</v>
      </c>
      <c r="S4" s="96" t="str">
        <f>parametros!$A$4</f>
        <v>Nao</v>
      </c>
      <c r="T4" s="97">
        <f>IF(ISNUMBER(parametros!$E$4),parametros!$E$4,"")</f>
        <v>3.7400000000000003E-2</v>
      </c>
      <c r="U4" s="98">
        <f>IF(ISNUMBER(parametros!$F$4),parametros!$F$4,"")</f>
        <v>1.09051488</v>
      </c>
      <c r="V4" s="14" t="str">
        <f t="shared" si="9"/>
        <v/>
      </c>
      <c r="W4" s="14"/>
      <c r="X4" t="s">
        <v>27</v>
      </c>
      <c r="Y4" s="385" t="str">
        <f>IF(COUNT($I$2:$I$200)=0,"",IF(OR(NOT(ISNUMBER(parametros!$F4)),NOT(ISNUMBER($AD4)),$AD4=0),"",ROUND(SUMPRODUCT($I$2:$I$200,$C$2:$C$200)*parametros!$F4/$AD4,2)))</f>
        <v/>
      </c>
      <c r="AA4" s="385"/>
      <c r="AB4" s="385" t="str">
        <f>IF($AG4&lt;&gt;"AJUSTE APLICADO","",IF($Z4="Valor pago",ROUND($AA4,2),ROUND($Y4-$AA4,2)))</f>
        <v/>
      </c>
      <c r="AC4" s="385" t="str">
        <f>IF($AG4&lt;&gt;"AJUSTE APLICADO","",ROUND($Y4-$AB4,2))</f>
        <v/>
      </c>
      <c r="AD4" s="386" t="str">
        <f>IF(ISNUMBER(parametros!$D13),parametros!$D13,"")</f>
        <v/>
      </c>
      <c r="AE4" s="385" t="str">
        <f>IF($AG4&lt;&gt;"AJUSTE APLICADO","",ROUND($AB4*$AD4,2))</f>
        <v/>
      </c>
      <c r="AF4" s="385" t="str">
        <f>IF($AG4&lt;&gt;"AJUSTE APLICADO","",ROUND($AE4-$AB4,2))</f>
        <v/>
      </c>
      <c r="AG4" t="str">
        <f>IF(AND($Z4="",$AA4=""),"",IF($Z4="","REVISAR: VALOR INFORMADO SEM TIPO DE AJUSTE",IF(AND($Z4&lt;&gt;"Valor pago",$Z4&lt;&gt;"Glosa"),"REVISAR: TIPO DE AJUSTE INVALIDO",IF($AA4="","REVISAR: TIPO DE AJUSTE SEM VALOR",IF(NOT(ISNUMBER($AA4)),"REVISAR: VALOR INFORMADO NAO NUMERICO",IF($AA4&lt;0,IF($Z4="Glosa","REVISAR: GLOSA NEGATIVA","REVISAR: VALOR PAGO NEGATIVO"),IF(NOT(ISNUMBER($AD4)),"REVISAR: CICLO FORA DA APURACAO OU SEM FATOR NOVO",IF(NOT(ISNUMBER($Y4)),"REVISAR: SEM EXECUCAO CALCULADA NO CICLO",IF(ROUND($AA4,2)&gt;ROUND($Y4,2),IF($Z4="Glosa","REVISAR: GLOSA MAIOR QUE O CALCULADO","REVISAR: VALOR PAGO MAIOR QUE O CALCULADO"),"AJUSTE APLICADO")))))))))</f>
        <v/>
      </c>
    </row>
    <row r="5" spans="1:33" x14ac:dyDescent="0.35">
      <c r="A5" s="93"/>
      <c r="B5" s="94"/>
      <c r="C5" s="95"/>
      <c r="D5" s="79" t="str">
        <f t="shared" si="0"/>
        <v/>
      </c>
      <c r="E5" s="94"/>
      <c r="F5" s="79" t="str">
        <f t="shared" si="1"/>
        <v/>
      </c>
      <c r="G5" s="94"/>
      <c r="H5" s="79" t="str">
        <f t="shared" si="2"/>
        <v/>
      </c>
      <c r="I5" s="94"/>
      <c r="J5" s="79" t="str">
        <f t="shared" si="3"/>
        <v/>
      </c>
      <c r="K5" s="94"/>
      <c r="L5" s="79" t="str">
        <f t="shared" si="4"/>
        <v/>
      </c>
      <c r="M5" s="94"/>
      <c r="N5" s="79" t="str">
        <f t="shared" si="5"/>
        <v/>
      </c>
      <c r="O5" s="85" t="str">
        <f t="shared" si="6"/>
        <v/>
      </c>
      <c r="P5" s="79" t="str">
        <f t="shared" si="7"/>
        <v/>
      </c>
      <c r="Q5" s="182" t="str">
        <f t="shared" si="8"/>
        <v/>
      </c>
      <c r="R5" s="23" t="s">
        <v>28</v>
      </c>
      <c r="S5" s="96" t="str">
        <f>parametros!$A$5</f>
        <v>Nao</v>
      </c>
      <c r="T5" s="97">
        <f>IF(ISNUMBER(parametros!$E$5),parametros!$E$5,"")</f>
        <v>2.8899999999999999E-2</v>
      </c>
      <c r="U5" s="98">
        <f>IF(ISNUMBER(parametros!$F$5),parametros!$F$5,"")</f>
        <v>1.1220307600319999</v>
      </c>
      <c r="V5" s="14" t="str">
        <f t="shared" si="9"/>
        <v/>
      </c>
      <c r="W5" s="14"/>
      <c r="X5" t="s">
        <v>28</v>
      </c>
      <c r="Y5" s="385" t="str">
        <f>IF(COUNT($K$2:$K$200)=0,"",IF(OR(NOT(ISNUMBER(parametros!$F5)),NOT(ISNUMBER($AD5)),$AD5=0),"",ROUND(SUMPRODUCT($K$2:$K$200,$C$2:$C$200)*parametros!$F5/$AD5,2)))</f>
        <v/>
      </c>
      <c r="AA5" s="385"/>
      <c r="AB5" s="385" t="str">
        <f>IF($AG5&lt;&gt;"AJUSTE APLICADO","",IF($Z5="Valor pago",ROUND($AA5,2),ROUND($Y5-$AA5,2)))</f>
        <v/>
      </c>
      <c r="AC5" s="385" t="str">
        <f>IF($AG5&lt;&gt;"AJUSTE APLICADO","",ROUND($Y5-$AB5,2))</f>
        <v/>
      </c>
      <c r="AD5" s="386" t="str">
        <f>IF(ISNUMBER(parametros!$D14),parametros!$D14,"")</f>
        <v/>
      </c>
      <c r="AE5" s="385" t="str">
        <f>IF($AG5&lt;&gt;"AJUSTE APLICADO","",ROUND($AB5*$AD5,2))</f>
        <v/>
      </c>
      <c r="AF5" s="385" t="str">
        <f>IF($AG5&lt;&gt;"AJUSTE APLICADO","",ROUND($AE5-$AB5,2))</f>
        <v/>
      </c>
      <c r="AG5" t="str">
        <f>IF(AND($Z5="",$AA5=""),"",IF($Z5="","REVISAR: VALOR INFORMADO SEM TIPO DE AJUSTE",IF(AND($Z5&lt;&gt;"Valor pago",$Z5&lt;&gt;"Glosa"),"REVISAR: TIPO DE AJUSTE INVALIDO",IF($AA5="","REVISAR: TIPO DE AJUSTE SEM VALOR",IF(NOT(ISNUMBER($AA5)),"REVISAR: VALOR INFORMADO NAO NUMERICO",IF($AA5&lt;0,IF($Z5="Glosa","REVISAR: GLOSA NEGATIVA","REVISAR: VALOR PAGO NEGATIVO"),IF(NOT(ISNUMBER($AD5)),"REVISAR: CICLO FORA DA APURACAO OU SEM FATOR NOVO",IF(NOT(ISNUMBER($Y5)),"REVISAR: SEM EXECUCAO CALCULADA NO CICLO",IF(ROUND($AA5,2)&gt;ROUND($Y5,2),IF($Z5="Glosa","REVISAR: GLOSA MAIOR QUE O CALCULADO","REVISAR: VALOR PAGO MAIOR QUE O CALCULADO"),"AJUSTE APLICADO")))))))))</f>
        <v/>
      </c>
    </row>
    <row r="6" spans="1:33" x14ac:dyDescent="0.35">
      <c r="A6" s="93"/>
      <c r="B6" s="94"/>
      <c r="C6" s="95"/>
      <c r="D6" s="79" t="str">
        <f t="shared" si="0"/>
        <v/>
      </c>
      <c r="E6" s="94"/>
      <c r="F6" s="79" t="str">
        <f t="shared" si="1"/>
        <v/>
      </c>
      <c r="G6" s="94"/>
      <c r="H6" s="79" t="str">
        <f t="shared" si="2"/>
        <v/>
      </c>
      <c r="I6" s="94"/>
      <c r="J6" s="79" t="str">
        <f t="shared" si="3"/>
        <v/>
      </c>
      <c r="K6" s="94"/>
      <c r="L6" s="79" t="str">
        <f t="shared" si="4"/>
        <v/>
      </c>
      <c r="M6" s="94"/>
      <c r="N6" s="79" t="str">
        <f t="shared" si="5"/>
        <v/>
      </c>
      <c r="O6" s="85" t="str">
        <f t="shared" si="6"/>
        <v/>
      </c>
      <c r="P6" s="79" t="str">
        <f t="shared" si="7"/>
        <v/>
      </c>
      <c r="Q6" s="182" t="str">
        <f t="shared" si="8"/>
        <v/>
      </c>
      <c r="R6" s="23" t="s">
        <v>29</v>
      </c>
      <c r="S6" s="96" t="str">
        <f>parametros!$A$6</f>
        <v>Nao</v>
      </c>
      <c r="T6" s="97" t="str">
        <f>IF(ISNUMBER(parametros!$E$6),parametros!$E$6,"")</f>
        <v/>
      </c>
      <c r="U6" s="98" t="str">
        <f>IF(ISNUMBER(parametros!$F$6),parametros!$F$6,"")</f>
        <v/>
      </c>
      <c r="V6" s="14" t="str">
        <f t="shared" si="9"/>
        <v/>
      </c>
      <c r="W6" s="14"/>
      <c r="X6" t="s">
        <v>29</v>
      </c>
      <c r="Y6" s="385" t="str">
        <f>IF(COUNT($M$2:$M$200)=0,"",IF(OR(NOT(ISNUMBER(parametros!$F6)),NOT(ISNUMBER($AD6)),$AD6=0),"",ROUND(SUMPRODUCT($M$2:$M$200,$C$2:$C$200)*parametros!$F6/$AD6,2)))</f>
        <v/>
      </c>
      <c r="AA6" s="385"/>
      <c r="AB6" s="385" t="str">
        <f>IF($AG6&lt;&gt;"AJUSTE APLICADO","",IF($Z6="Valor pago",ROUND($AA6,2),ROUND($Y6-$AA6,2)))</f>
        <v/>
      </c>
      <c r="AC6" s="385" t="str">
        <f>IF($AG6&lt;&gt;"AJUSTE APLICADO","",ROUND($Y6-$AB6,2))</f>
        <v/>
      </c>
      <c r="AD6" s="386" t="str">
        <f>IF(ISNUMBER(parametros!$D15),parametros!$D15,"")</f>
        <v/>
      </c>
      <c r="AE6" s="385" t="str">
        <f>IF($AG6&lt;&gt;"AJUSTE APLICADO","",ROUND($AB6*$AD6,2))</f>
        <v/>
      </c>
      <c r="AF6" s="385" t="str">
        <f>IF($AG6&lt;&gt;"AJUSTE APLICADO","",ROUND($AE6-$AB6,2))</f>
        <v/>
      </c>
      <c r="AG6" t="str">
        <f>IF(AND($Z6="",$AA6=""),"",IF($Z6="","REVISAR: VALOR INFORMADO SEM TIPO DE AJUSTE",IF(AND($Z6&lt;&gt;"Valor pago",$Z6&lt;&gt;"Glosa"),"REVISAR: TIPO DE AJUSTE INVALIDO",IF($AA6="","REVISAR: TIPO DE AJUSTE SEM VALOR",IF(NOT(ISNUMBER($AA6)),"REVISAR: VALOR INFORMADO NAO NUMERICO",IF($AA6&lt;0,IF($Z6="Glosa","REVISAR: GLOSA NEGATIVA","REVISAR: VALOR PAGO NEGATIVO"),IF(NOT(ISNUMBER($AD6)),"REVISAR: CICLO FORA DA APURACAO OU SEM FATOR NOVO",IF(NOT(ISNUMBER($Y6)),"REVISAR: SEM EXECUCAO CALCULADA NO CICLO",IF(ROUND($AA6,2)&gt;ROUND($Y6,2),IF($Z6="Glosa","REVISAR: GLOSA MAIOR QUE O CALCULADO","REVISAR: VALOR PAGO MAIOR QUE O CALCULADO"),"AJUSTE APLICADO")))))))))</f>
        <v/>
      </c>
    </row>
    <row r="7" spans="1:33" x14ac:dyDescent="0.35">
      <c r="A7" s="93"/>
      <c r="B7" s="94"/>
      <c r="C7" s="95"/>
      <c r="D7" s="79" t="str">
        <f t="shared" si="0"/>
        <v/>
      </c>
      <c r="E7" s="94"/>
      <c r="F7" s="79" t="str">
        <f t="shared" si="1"/>
        <v/>
      </c>
      <c r="G7" s="94"/>
      <c r="H7" s="79" t="str">
        <f t="shared" si="2"/>
        <v/>
      </c>
      <c r="I7" s="94"/>
      <c r="J7" s="79" t="str">
        <f t="shared" si="3"/>
        <v/>
      </c>
      <c r="K7" s="94"/>
      <c r="L7" s="79" t="str">
        <f t="shared" si="4"/>
        <v/>
      </c>
      <c r="M7" s="94"/>
      <c r="N7" s="79" t="str">
        <f t="shared" si="5"/>
        <v/>
      </c>
      <c r="O7" s="85" t="str">
        <f t="shared" si="6"/>
        <v/>
      </c>
      <c r="P7" s="79" t="str">
        <f t="shared" si="7"/>
        <v/>
      </c>
      <c r="Q7" s="182" t="str">
        <f t="shared" si="8"/>
        <v/>
      </c>
      <c r="R7" s="14"/>
      <c r="S7" s="14"/>
      <c r="T7" s="14"/>
      <c r="U7" s="14"/>
      <c r="V7" s="14" t="str">
        <f t="shared" si="9"/>
        <v/>
      </c>
      <c r="W7" s="14"/>
    </row>
    <row r="8" spans="1:33" x14ac:dyDescent="0.35">
      <c r="A8" s="93"/>
      <c r="B8" s="94"/>
      <c r="C8" s="95"/>
      <c r="D8" s="79" t="str">
        <f t="shared" si="0"/>
        <v/>
      </c>
      <c r="E8" s="94"/>
      <c r="F8" s="79" t="str">
        <f t="shared" si="1"/>
        <v/>
      </c>
      <c r="G8" s="94"/>
      <c r="H8" s="79" t="str">
        <f t="shared" si="2"/>
        <v/>
      </c>
      <c r="I8" s="94"/>
      <c r="J8" s="79" t="str">
        <f t="shared" si="3"/>
        <v/>
      </c>
      <c r="K8" s="94"/>
      <c r="L8" s="79" t="str">
        <f t="shared" si="4"/>
        <v/>
      </c>
      <c r="M8" s="94"/>
      <c r="N8" s="79" t="str">
        <f t="shared" si="5"/>
        <v/>
      </c>
      <c r="O8" s="85" t="str">
        <f t="shared" si="6"/>
        <v/>
      </c>
      <c r="P8" s="79" t="str">
        <f t="shared" si="7"/>
        <v/>
      </c>
      <c r="Q8" s="182" t="str">
        <f t="shared" si="8"/>
        <v/>
      </c>
      <c r="R8" s="14"/>
      <c r="S8" s="14"/>
      <c r="T8" s="14"/>
      <c r="U8" s="14"/>
      <c r="V8" s="14" t="str">
        <f t="shared" si="9"/>
        <v/>
      </c>
      <c r="W8" s="14"/>
      <c r="X8" s="384" t="s">
        <v>136</v>
      </c>
    </row>
    <row r="9" spans="1:33" x14ac:dyDescent="0.35">
      <c r="A9" s="93"/>
      <c r="B9" s="94"/>
      <c r="C9" s="95"/>
      <c r="D9" s="79" t="str">
        <f t="shared" si="0"/>
        <v/>
      </c>
      <c r="E9" s="94"/>
      <c r="F9" s="79" t="str">
        <f t="shared" si="1"/>
        <v/>
      </c>
      <c r="G9" s="94"/>
      <c r="H9" s="79" t="str">
        <f t="shared" si="2"/>
        <v/>
      </c>
      <c r="I9" s="94"/>
      <c r="J9" s="79" t="str">
        <f t="shared" si="3"/>
        <v/>
      </c>
      <c r="K9" s="94"/>
      <c r="L9" s="79" t="str">
        <f t="shared" si="4"/>
        <v/>
      </c>
      <c r="M9" s="94"/>
      <c r="N9" s="79" t="str">
        <f t="shared" si="5"/>
        <v/>
      </c>
      <c r="O9" s="85" t="str">
        <f t="shared" si="6"/>
        <v/>
      </c>
      <c r="P9" s="79" t="str">
        <f t="shared" si="7"/>
        <v/>
      </c>
      <c r="Q9" s="182" t="str">
        <f t="shared" si="8"/>
        <v/>
      </c>
      <c r="R9" s="14"/>
      <c r="S9" s="14"/>
      <c r="T9" s="14"/>
      <c r="U9" s="14"/>
      <c r="V9" s="14" t="str">
        <f t="shared" si="9"/>
        <v/>
      </c>
      <c r="W9" s="14"/>
      <c r="X9" t="s">
        <v>137</v>
      </c>
    </row>
    <row r="10" spans="1:33" x14ac:dyDescent="0.35">
      <c r="A10" s="93"/>
      <c r="B10" s="94"/>
      <c r="C10" s="95"/>
      <c r="D10" s="79" t="str">
        <f t="shared" si="0"/>
        <v/>
      </c>
      <c r="E10" s="94"/>
      <c r="F10" s="79" t="str">
        <f t="shared" si="1"/>
        <v/>
      </c>
      <c r="G10" s="94"/>
      <c r="H10" s="79" t="str">
        <f t="shared" si="2"/>
        <v/>
      </c>
      <c r="I10" s="94"/>
      <c r="J10" s="79" t="str">
        <f t="shared" si="3"/>
        <v/>
      </c>
      <c r="K10" s="94"/>
      <c r="L10" s="79" t="str">
        <f t="shared" si="4"/>
        <v/>
      </c>
      <c r="M10" s="94"/>
      <c r="N10" s="79" t="str">
        <f t="shared" si="5"/>
        <v/>
      </c>
      <c r="O10" s="85" t="str">
        <f t="shared" si="6"/>
        <v/>
      </c>
      <c r="P10" s="79" t="str">
        <f t="shared" si="7"/>
        <v/>
      </c>
      <c r="Q10" s="182" t="str">
        <f t="shared" si="8"/>
        <v/>
      </c>
      <c r="R10" s="14"/>
      <c r="S10" s="14"/>
      <c r="T10" s="14"/>
      <c r="U10" s="14"/>
      <c r="V10" s="14" t="str">
        <f t="shared" si="9"/>
        <v/>
      </c>
      <c r="W10" s="14"/>
      <c r="X10" t="s">
        <v>138</v>
      </c>
    </row>
    <row r="11" spans="1:33" x14ac:dyDescent="0.35">
      <c r="A11" s="93"/>
      <c r="B11" s="94"/>
      <c r="C11" s="95"/>
      <c r="D11" s="79" t="str">
        <f t="shared" si="0"/>
        <v/>
      </c>
      <c r="E11" s="94"/>
      <c r="F11" s="79" t="str">
        <f t="shared" si="1"/>
        <v/>
      </c>
      <c r="G11" s="94"/>
      <c r="H11" s="79" t="str">
        <f t="shared" si="2"/>
        <v/>
      </c>
      <c r="I11" s="94"/>
      <c r="J11" s="79" t="str">
        <f t="shared" si="3"/>
        <v/>
      </c>
      <c r="K11" s="94"/>
      <c r="L11" s="79" t="str">
        <f t="shared" si="4"/>
        <v/>
      </c>
      <c r="M11" s="94"/>
      <c r="N11" s="79" t="str">
        <f t="shared" si="5"/>
        <v/>
      </c>
      <c r="O11" s="85" t="str">
        <f t="shared" si="6"/>
        <v/>
      </c>
      <c r="P11" s="79" t="str">
        <f t="shared" si="7"/>
        <v/>
      </c>
      <c r="Q11" s="182" t="str">
        <f t="shared" si="8"/>
        <v/>
      </c>
      <c r="R11" s="14"/>
      <c r="S11" s="14"/>
      <c r="T11" s="14"/>
      <c r="U11" s="14"/>
      <c r="V11" s="14" t="str">
        <f t="shared" si="9"/>
        <v/>
      </c>
      <c r="W11" s="14"/>
      <c r="X11" t="s">
        <v>139</v>
      </c>
    </row>
    <row r="12" spans="1:33" x14ac:dyDescent="0.35">
      <c r="A12" s="93"/>
      <c r="B12" s="94"/>
      <c r="C12" s="95"/>
      <c r="D12" s="79" t="str">
        <f t="shared" si="0"/>
        <v/>
      </c>
      <c r="E12" s="94"/>
      <c r="F12" s="79" t="str">
        <f t="shared" si="1"/>
        <v/>
      </c>
      <c r="G12" s="94"/>
      <c r="H12" s="79" t="str">
        <f t="shared" si="2"/>
        <v/>
      </c>
      <c r="I12" s="94"/>
      <c r="J12" s="79" t="str">
        <f t="shared" si="3"/>
        <v/>
      </c>
      <c r="K12" s="94"/>
      <c r="L12" s="79" t="str">
        <f t="shared" si="4"/>
        <v/>
      </c>
      <c r="M12" s="94"/>
      <c r="N12" s="79" t="str">
        <f t="shared" si="5"/>
        <v/>
      </c>
      <c r="O12" s="85" t="str">
        <f t="shared" si="6"/>
        <v/>
      </c>
      <c r="P12" s="79" t="str">
        <f t="shared" si="7"/>
        <v/>
      </c>
      <c r="Q12" s="182" t="str">
        <f t="shared" si="8"/>
        <v/>
      </c>
      <c r="R12" s="14"/>
      <c r="S12" s="14"/>
      <c r="T12" s="14"/>
      <c r="U12" s="14"/>
      <c r="V12" s="14" t="str">
        <f t="shared" si="9"/>
        <v/>
      </c>
      <c r="W12" s="14"/>
      <c r="X12" t="s">
        <v>140</v>
      </c>
    </row>
    <row r="13" spans="1:33" x14ac:dyDescent="0.35">
      <c r="A13" s="93"/>
      <c r="B13" s="94"/>
      <c r="C13" s="95"/>
      <c r="D13" s="79" t="str">
        <f t="shared" si="0"/>
        <v/>
      </c>
      <c r="E13" s="94"/>
      <c r="F13" s="79" t="str">
        <f t="shared" si="1"/>
        <v/>
      </c>
      <c r="G13" s="94"/>
      <c r="H13" s="79" t="str">
        <f t="shared" si="2"/>
        <v/>
      </c>
      <c r="I13" s="94"/>
      <c r="J13" s="79" t="str">
        <f t="shared" si="3"/>
        <v/>
      </c>
      <c r="K13" s="94"/>
      <c r="L13" s="79" t="str">
        <f t="shared" si="4"/>
        <v/>
      </c>
      <c r="M13" s="94"/>
      <c r="N13" s="79" t="str">
        <f t="shared" si="5"/>
        <v/>
      </c>
      <c r="O13" s="85" t="str">
        <f t="shared" si="6"/>
        <v/>
      </c>
      <c r="P13" s="79" t="str">
        <f t="shared" si="7"/>
        <v/>
      </c>
      <c r="Q13" s="182" t="str">
        <f t="shared" si="8"/>
        <v/>
      </c>
      <c r="R13" s="14"/>
      <c r="S13" s="14"/>
      <c r="T13" s="14"/>
      <c r="U13" s="14"/>
      <c r="V13" s="14" t="str">
        <f t="shared" si="9"/>
        <v/>
      </c>
      <c r="W13" s="14"/>
      <c r="X13" t="s">
        <v>141</v>
      </c>
    </row>
    <row r="14" spans="1:33" x14ac:dyDescent="0.35">
      <c r="A14" s="93"/>
      <c r="B14" s="94"/>
      <c r="C14" s="95"/>
      <c r="D14" s="79" t="str">
        <f t="shared" si="0"/>
        <v/>
      </c>
      <c r="E14" s="94"/>
      <c r="F14" s="79" t="str">
        <f t="shared" si="1"/>
        <v/>
      </c>
      <c r="G14" s="94"/>
      <c r="H14" s="79" t="str">
        <f t="shared" si="2"/>
        <v/>
      </c>
      <c r="I14" s="94"/>
      <c r="J14" s="79" t="str">
        <f t="shared" si="3"/>
        <v/>
      </c>
      <c r="K14" s="94"/>
      <c r="L14" s="79" t="str">
        <f t="shared" si="4"/>
        <v/>
      </c>
      <c r="M14" s="94"/>
      <c r="N14" s="79" t="str">
        <f t="shared" si="5"/>
        <v/>
      </c>
      <c r="O14" s="85" t="str">
        <f t="shared" si="6"/>
        <v/>
      </c>
      <c r="P14" s="79" t="str">
        <f t="shared" si="7"/>
        <v/>
      </c>
      <c r="Q14" s="182" t="str">
        <f t="shared" si="8"/>
        <v/>
      </c>
      <c r="R14" s="14"/>
      <c r="S14" s="14"/>
      <c r="T14" s="14"/>
      <c r="U14" s="14"/>
      <c r="V14" s="14" t="str">
        <f t="shared" si="9"/>
        <v/>
      </c>
      <c r="W14" s="14"/>
    </row>
    <row r="15" spans="1:33" x14ac:dyDescent="0.35">
      <c r="A15" s="93"/>
      <c r="B15" s="94"/>
      <c r="C15" s="95"/>
      <c r="D15" s="79" t="str">
        <f t="shared" si="0"/>
        <v/>
      </c>
      <c r="E15" s="94"/>
      <c r="F15" s="79" t="str">
        <f t="shared" si="1"/>
        <v/>
      </c>
      <c r="G15" s="94"/>
      <c r="H15" s="79" t="str">
        <f t="shared" si="2"/>
        <v/>
      </c>
      <c r="I15" s="94"/>
      <c r="J15" s="79" t="str">
        <f t="shared" si="3"/>
        <v/>
      </c>
      <c r="K15" s="94"/>
      <c r="L15" s="79" t="str">
        <f t="shared" si="4"/>
        <v/>
      </c>
      <c r="M15" s="94"/>
      <c r="N15" s="79" t="str">
        <f t="shared" si="5"/>
        <v/>
      </c>
      <c r="O15" s="85" t="str">
        <f t="shared" si="6"/>
        <v/>
      </c>
      <c r="P15" s="79" t="str">
        <f t="shared" si="7"/>
        <v/>
      </c>
      <c r="Q15" s="182" t="str">
        <f t="shared" si="8"/>
        <v/>
      </c>
      <c r="R15" s="14"/>
      <c r="S15" s="14"/>
      <c r="T15" s="14"/>
      <c r="U15" s="14"/>
      <c r="V15" s="14" t="str">
        <f t="shared" si="9"/>
        <v/>
      </c>
      <c r="W15" s="14"/>
    </row>
    <row r="16" spans="1:33" x14ac:dyDescent="0.35">
      <c r="A16" s="93"/>
      <c r="B16" s="94"/>
      <c r="C16" s="95"/>
      <c r="D16" s="79" t="str">
        <f t="shared" si="0"/>
        <v/>
      </c>
      <c r="E16" s="94"/>
      <c r="F16" s="79" t="str">
        <f t="shared" si="1"/>
        <v/>
      </c>
      <c r="G16" s="94"/>
      <c r="H16" s="79" t="str">
        <f t="shared" si="2"/>
        <v/>
      </c>
      <c r="I16" s="94"/>
      <c r="J16" s="79" t="str">
        <f t="shared" si="3"/>
        <v/>
      </c>
      <c r="K16" s="94"/>
      <c r="L16" s="79" t="str">
        <f t="shared" si="4"/>
        <v/>
      </c>
      <c r="M16" s="94"/>
      <c r="N16" s="79" t="str">
        <f t="shared" si="5"/>
        <v/>
      </c>
      <c r="O16" s="85" t="str">
        <f t="shared" si="6"/>
        <v/>
      </c>
      <c r="P16" s="79" t="str">
        <f t="shared" si="7"/>
        <v/>
      </c>
      <c r="Q16" s="182" t="str">
        <f t="shared" si="8"/>
        <v/>
      </c>
      <c r="R16" s="14"/>
      <c r="S16" s="14"/>
      <c r="T16" s="14"/>
      <c r="U16" s="14"/>
      <c r="V16" s="14" t="str">
        <f t="shared" si="9"/>
        <v/>
      </c>
      <c r="W16" s="14"/>
    </row>
    <row r="17" spans="1:23" x14ac:dyDescent="0.35">
      <c r="A17" s="93"/>
      <c r="B17" s="94"/>
      <c r="C17" s="95"/>
      <c r="D17" s="79" t="str">
        <f t="shared" si="0"/>
        <v/>
      </c>
      <c r="E17" s="94"/>
      <c r="F17" s="79" t="str">
        <f t="shared" si="1"/>
        <v/>
      </c>
      <c r="G17" s="94"/>
      <c r="H17" s="79" t="str">
        <f t="shared" si="2"/>
        <v/>
      </c>
      <c r="I17" s="94"/>
      <c r="J17" s="79" t="str">
        <f t="shared" si="3"/>
        <v/>
      </c>
      <c r="K17" s="94"/>
      <c r="L17" s="79" t="str">
        <f t="shared" si="4"/>
        <v/>
      </c>
      <c r="M17" s="94"/>
      <c r="N17" s="79" t="str">
        <f t="shared" si="5"/>
        <v/>
      </c>
      <c r="O17" s="85" t="str">
        <f t="shared" si="6"/>
        <v/>
      </c>
      <c r="P17" s="79" t="str">
        <f t="shared" si="7"/>
        <v/>
      </c>
      <c r="Q17" s="182" t="str">
        <f t="shared" si="8"/>
        <v/>
      </c>
      <c r="R17" s="14"/>
      <c r="S17" s="14"/>
      <c r="T17" s="14"/>
      <c r="U17" s="14"/>
      <c r="V17" s="14" t="str">
        <f t="shared" si="9"/>
        <v/>
      </c>
      <c r="W17" s="14"/>
    </row>
    <row r="18" spans="1:23" x14ac:dyDescent="0.35">
      <c r="A18" s="93"/>
      <c r="B18" s="94"/>
      <c r="C18" s="95"/>
      <c r="D18" s="79" t="str">
        <f t="shared" si="0"/>
        <v/>
      </c>
      <c r="E18" s="94"/>
      <c r="F18" s="79" t="str">
        <f t="shared" si="1"/>
        <v/>
      </c>
      <c r="G18" s="94"/>
      <c r="H18" s="79" t="str">
        <f t="shared" si="2"/>
        <v/>
      </c>
      <c r="I18" s="94"/>
      <c r="J18" s="79" t="str">
        <f t="shared" si="3"/>
        <v/>
      </c>
      <c r="K18" s="94"/>
      <c r="L18" s="79" t="str">
        <f t="shared" si="4"/>
        <v/>
      </c>
      <c r="M18" s="94"/>
      <c r="N18" s="79" t="str">
        <f t="shared" si="5"/>
        <v/>
      </c>
      <c r="O18" s="85" t="str">
        <f t="shared" si="6"/>
        <v/>
      </c>
      <c r="P18" s="79" t="str">
        <f t="shared" si="7"/>
        <v/>
      </c>
      <c r="Q18" s="182" t="str">
        <f t="shared" si="8"/>
        <v/>
      </c>
      <c r="R18" s="14"/>
      <c r="S18" s="14"/>
      <c r="T18" s="14"/>
      <c r="U18" s="14"/>
      <c r="V18" s="14" t="str">
        <f t="shared" si="9"/>
        <v/>
      </c>
      <c r="W18" s="14"/>
    </row>
    <row r="19" spans="1:23" x14ac:dyDescent="0.35">
      <c r="A19" s="93"/>
      <c r="B19" s="94"/>
      <c r="C19" s="95"/>
      <c r="D19" s="79" t="str">
        <f t="shared" si="0"/>
        <v/>
      </c>
      <c r="E19" s="94"/>
      <c r="F19" s="79" t="str">
        <f t="shared" si="1"/>
        <v/>
      </c>
      <c r="G19" s="94"/>
      <c r="H19" s="79" t="str">
        <f t="shared" si="2"/>
        <v/>
      </c>
      <c r="I19" s="94"/>
      <c r="J19" s="79" t="str">
        <f t="shared" si="3"/>
        <v/>
      </c>
      <c r="K19" s="94"/>
      <c r="L19" s="79" t="str">
        <f t="shared" si="4"/>
        <v/>
      </c>
      <c r="M19" s="94"/>
      <c r="N19" s="79" t="str">
        <f t="shared" si="5"/>
        <v/>
      </c>
      <c r="O19" s="85" t="str">
        <f t="shared" si="6"/>
        <v/>
      </c>
      <c r="P19" s="79" t="str">
        <f t="shared" si="7"/>
        <v/>
      </c>
      <c r="Q19" s="182" t="str">
        <f t="shared" si="8"/>
        <v/>
      </c>
      <c r="R19" s="14"/>
      <c r="S19" s="14"/>
      <c r="T19" s="14"/>
      <c r="U19" s="14"/>
      <c r="V19" s="14" t="str">
        <f t="shared" si="9"/>
        <v/>
      </c>
      <c r="W19" s="14"/>
    </row>
    <row r="20" spans="1:23" x14ac:dyDescent="0.35">
      <c r="A20" s="93"/>
      <c r="B20" s="94"/>
      <c r="C20" s="95"/>
      <c r="D20" s="79" t="str">
        <f t="shared" si="0"/>
        <v/>
      </c>
      <c r="E20" s="94"/>
      <c r="F20" s="79" t="str">
        <f t="shared" si="1"/>
        <v/>
      </c>
      <c r="G20" s="94"/>
      <c r="H20" s="79" t="str">
        <f t="shared" si="2"/>
        <v/>
      </c>
      <c r="I20" s="94"/>
      <c r="J20" s="79" t="str">
        <f t="shared" si="3"/>
        <v/>
      </c>
      <c r="K20" s="94"/>
      <c r="L20" s="79" t="str">
        <f t="shared" si="4"/>
        <v/>
      </c>
      <c r="M20" s="94"/>
      <c r="N20" s="79" t="str">
        <f t="shared" si="5"/>
        <v/>
      </c>
      <c r="O20" s="85" t="str">
        <f t="shared" si="6"/>
        <v/>
      </c>
      <c r="P20" s="79" t="str">
        <f t="shared" si="7"/>
        <v/>
      </c>
      <c r="Q20" s="182" t="str">
        <f t="shared" si="8"/>
        <v/>
      </c>
      <c r="R20" s="14"/>
      <c r="S20" s="14"/>
      <c r="T20" s="14"/>
      <c r="U20" s="14"/>
      <c r="V20" s="14" t="str">
        <f t="shared" si="9"/>
        <v/>
      </c>
      <c r="W20" s="14"/>
    </row>
    <row r="21" spans="1:23" x14ac:dyDescent="0.35">
      <c r="A21" s="93"/>
      <c r="B21" s="94"/>
      <c r="C21" s="95"/>
      <c r="D21" s="79" t="str">
        <f t="shared" si="0"/>
        <v/>
      </c>
      <c r="E21" s="94"/>
      <c r="F21" s="79" t="str">
        <f t="shared" si="1"/>
        <v/>
      </c>
      <c r="G21" s="94"/>
      <c r="H21" s="79" t="str">
        <f t="shared" si="2"/>
        <v/>
      </c>
      <c r="I21" s="94"/>
      <c r="J21" s="79" t="str">
        <f t="shared" si="3"/>
        <v/>
      </c>
      <c r="K21" s="94"/>
      <c r="L21" s="79" t="str">
        <f t="shared" si="4"/>
        <v/>
      </c>
      <c r="M21" s="94"/>
      <c r="N21" s="79" t="str">
        <f t="shared" si="5"/>
        <v/>
      </c>
      <c r="O21" s="85" t="str">
        <f t="shared" si="6"/>
        <v/>
      </c>
      <c r="P21" s="79" t="str">
        <f t="shared" si="7"/>
        <v/>
      </c>
      <c r="Q21" s="182" t="str">
        <f t="shared" si="8"/>
        <v/>
      </c>
      <c r="R21" s="14"/>
      <c r="S21" s="14"/>
      <c r="T21" s="14"/>
      <c r="U21" s="14"/>
      <c r="V21" s="14" t="str">
        <f t="shared" si="9"/>
        <v/>
      </c>
      <c r="W21" s="14"/>
    </row>
    <row r="22" spans="1:23" x14ac:dyDescent="0.35">
      <c r="A22" s="93"/>
      <c r="B22" s="94"/>
      <c r="C22" s="95"/>
      <c r="D22" s="79" t="str">
        <f t="shared" si="0"/>
        <v/>
      </c>
      <c r="E22" s="94"/>
      <c r="F22" s="79" t="str">
        <f t="shared" si="1"/>
        <v/>
      </c>
      <c r="G22" s="94"/>
      <c r="H22" s="79" t="str">
        <f t="shared" si="2"/>
        <v/>
      </c>
      <c r="I22" s="94"/>
      <c r="J22" s="79" t="str">
        <f t="shared" si="3"/>
        <v/>
      </c>
      <c r="K22" s="94"/>
      <c r="L22" s="79" t="str">
        <f t="shared" si="4"/>
        <v/>
      </c>
      <c r="M22" s="94"/>
      <c r="N22" s="79" t="str">
        <f t="shared" si="5"/>
        <v/>
      </c>
      <c r="O22" s="85" t="str">
        <f t="shared" si="6"/>
        <v/>
      </c>
      <c r="P22" s="79" t="str">
        <f t="shared" si="7"/>
        <v/>
      </c>
      <c r="Q22" s="182" t="str">
        <f t="shared" si="8"/>
        <v/>
      </c>
      <c r="R22" s="14"/>
      <c r="S22" s="14"/>
      <c r="T22" s="14"/>
      <c r="U22" s="14"/>
      <c r="V22" s="14" t="str">
        <f t="shared" si="9"/>
        <v/>
      </c>
      <c r="W22" s="14"/>
    </row>
    <row r="23" spans="1:23" x14ac:dyDescent="0.35">
      <c r="A23" s="93"/>
      <c r="B23" s="94"/>
      <c r="C23" s="95"/>
      <c r="D23" s="79" t="str">
        <f t="shared" si="0"/>
        <v/>
      </c>
      <c r="E23" s="94"/>
      <c r="F23" s="79" t="str">
        <f t="shared" si="1"/>
        <v/>
      </c>
      <c r="G23" s="94"/>
      <c r="H23" s="79" t="str">
        <f t="shared" si="2"/>
        <v/>
      </c>
      <c r="I23" s="94"/>
      <c r="J23" s="79" t="str">
        <f t="shared" si="3"/>
        <v/>
      </c>
      <c r="K23" s="94"/>
      <c r="L23" s="79" t="str">
        <f t="shared" si="4"/>
        <v/>
      </c>
      <c r="M23" s="94"/>
      <c r="N23" s="79" t="str">
        <f t="shared" si="5"/>
        <v/>
      </c>
      <c r="O23" s="85" t="str">
        <f t="shared" si="6"/>
        <v/>
      </c>
      <c r="P23" s="79" t="str">
        <f t="shared" si="7"/>
        <v/>
      </c>
      <c r="Q23" s="182" t="str">
        <f t="shared" si="8"/>
        <v/>
      </c>
      <c r="R23" s="14"/>
      <c r="S23" s="14"/>
      <c r="T23" s="14"/>
      <c r="U23" s="14"/>
      <c r="V23" s="14" t="str">
        <f t="shared" si="9"/>
        <v/>
      </c>
      <c r="W23" s="14"/>
    </row>
    <row r="24" spans="1:23" x14ac:dyDescent="0.35">
      <c r="A24" s="93"/>
      <c r="B24" s="94"/>
      <c r="C24" s="95"/>
      <c r="D24" s="79" t="str">
        <f t="shared" si="0"/>
        <v/>
      </c>
      <c r="E24" s="94"/>
      <c r="F24" s="79" t="str">
        <f t="shared" si="1"/>
        <v/>
      </c>
      <c r="G24" s="94"/>
      <c r="H24" s="79" t="str">
        <f t="shared" si="2"/>
        <v/>
      </c>
      <c r="I24" s="94"/>
      <c r="J24" s="79" t="str">
        <f t="shared" si="3"/>
        <v/>
      </c>
      <c r="K24" s="94"/>
      <c r="L24" s="79" t="str">
        <f t="shared" si="4"/>
        <v/>
      </c>
      <c r="M24" s="94"/>
      <c r="N24" s="79" t="str">
        <f t="shared" si="5"/>
        <v/>
      </c>
      <c r="O24" s="85" t="str">
        <f t="shared" si="6"/>
        <v/>
      </c>
      <c r="P24" s="79" t="str">
        <f t="shared" si="7"/>
        <v/>
      </c>
      <c r="Q24" s="182" t="str">
        <f t="shared" si="8"/>
        <v/>
      </c>
      <c r="R24" s="14"/>
      <c r="S24" s="14"/>
      <c r="T24" s="14"/>
      <c r="U24" s="14"/>
      <c r="V24" s="14" t="str">
        <f t="shared" si="9"/>
        <v/>
      </c>
      <c r="W24" s="14"/>
    </row>
    <row r="25" spans="1:23" x14ac:dyDescent="0.35">
      <c r="A25" s="93"/>
      <c r="B25" s="94"/>
      <c r="C25" s="95"/>
      <c r="D25" s="79" t="str">
        <f t="shared" si="0"/>
        <v/>
      </c>
      <c r="E25" s="94"/>
      <c r="F25" s="79" t="str">
        <f t="shared" si="1"/>
        <v/>
      </c>
      <c r="G25" s="94"/>
      <c r="H25" s="79" t="str">
        <f t="shared" si="2"/>
        <v/>
      </c>
      <c r="I25" s="94"/>
      <c r="J25" s="79" t="str">
        <f t="shared" si="3"/>
        <v/>
      </c>
      <c r="K25" s="94"/>
      <c r="L25" s="79" t="str">
        <f t="shared" si="4"/>
        <v/>
      </c>
      <c r="M25" s="94"/>
      <c r="N25" s="79" t="str">
        <f t="shared" si="5"/>
        <v/>
      </c>
      <c r="O25" s="85" t="str">
        <f t="shared" si="6"/>
        <v/>
      </c>
      <c r="P25" s="79" t="str">
        <f t="shared" si="7"/>
        <v/>
      </c>
      <c r="Q25" s="182" t="str">
        <f t="shared" si="8"/>
        <v/>
      </c>
      <c r="R25" s="14"/>
      <c r="S25" s="14"/>
      <c r="T25" s="14"/>
      <c r="U25" s="14"/>
      <c r="V25" s="14" t="str">
        <f t="shared" si="9"/>
        <v/>
      </c>
      <c r="W25" s="14"/>
    </row>
    <row r="26" spans="1:23" x14ac:dyDescent="0.35">
      <c r="A26" s="93"/>
      <c r="B26" s="94"/>
      <c r="C26" s="95"/>
      <c r="D26" s="79" t="str">
        <f t="shared" si="0"/>
        <v/>
      </c>
      <c r="E26" s="94"/>
      <c r="F26" s="79" t="str">
        <f t="shared" si="1"/>
        <v/>
      </c>
      <c r="G26" s="94"/>
      <c r="H26" s="79" t="str">
        <f t="shared" si="2"/>
        <v/>
      </c>
      <c r="I26" s="94"/>
      <c r="J26" s="79" t="str">
        <f t="shared" si="3"/>
        <v/>
      </c>
      <c r="K26" s="94"/>
      <c r="L26" s="79" t="str">
        <f t="shared" si="4"/>
        <v/>
      </c>
      <c r="M26" s="94"/>
      <c r="N26" s="79" t="str">
        <f t="shared" si="5"/>
        <v/>
      </c>
      <c r="O26" s="85" t="str">
        <f t="shared" si="6"/>
        <v/>
      </c>
      <c r="P26" s="79" t="str">
        <f t="shared" si="7"/>
        <v/>
      </c>
      <c r="Q26" s="182" t="str">
        <f t="shared" si="8"/>
        <v/>
      </c>
      <c r="R26" s="14"/>
      <c r="S26" s="14"/>
      <c r="T26" s="14"/>
      <c r="U26" s="14"/>
      <c r="V26" s="14" t="str">
        <f t="shared" si="9"/>
        <v/>
      </c>
      <c r="W26" s="14"/>
    </row>
    <row r="27" spans="1:23" x14ac:dyDescent="0.35">
      <c r="A27" s="93"/>
      <c r="B27" s="94"/>
      <c r="C27" s="95"/>
      <c r="D27" s="79" t="str">
        <f t="shared" si="0"/>
        <v/>
      </c>
      <c r="E27" s="94"/>
      <c r="F27" s="79" t="str">
        <f t="shared" si="1"/>
        <v/>
      </c>
      <c r="G27" s="94"/>
      <c r="H27" s="79" t="str">
        <f t="shared" si="2"/>
        <v/>
      </c>
      <c r="I27" s="94"/>
      <c r="J27" s="79" t="str">
        <f t="shared" si="3"/>
        <v/>
      </c>
      <c r="K27" s="94"/>
      <c r="L27" s="79" t="str">
        <f t="shared" si="4"/>
        <v/>
      </c>
      <c r="M27" s="94"/>
      <c r="N27" s="79" t="str">
        <f t="shared" si="5"/>
        <v/>
      </c>
      <c r="O27" s="85" t="str">
        <f t="shared" si="6"/>
        <v/>
      </c>
      <c r="P27" s="79" t="str">
        <f t="shared" si="7"/>
        <v/>
      </c>
      <c r="Q27" s="182" t="str">
        <f t="shared" si="8"/>
        <v/>
      </c>
      <c r="R27" s="14"/>
      <c r="S27" s="14"/>
      <c r="T27" s="14"/>
      <c r="U27" s="14"/>
      <c r="V27" s="14" t="str">
        <f t="shared" si="9"/>
        <v/>
      </c>
      <c r="W27" s="14"/>
    </row>
    <row r="28" spans="1:23" x14ac:dyDescent="0.35">
      <c r="A28" s="93"/>
      <c r="B28" s="94"/>
      <c r="C28" s="95"/>
      <c r="D28" s="79" t="str">
        <f t="shared" si="0"/>
        <v/>
      </c>
      <c r="E28" s="94"/>
      <c r="F28" s="79" t="str">
        <f t="shared" si="1"/>
        <v/>
      </c>
      <c r="G28" s="94"/>
      <c r="H28" s="79" t="str">
        <f t="shared" si="2"/>
        <v/>
      </c>
      <c r="I28" s="94"/>
      <c r="J28" s="79" t="str">
        <f t="shared" si="3"/>
        <v/>
      </c>
      <c r="K28" s="94"/>
      <c r="L28" s="79" t="str">
        <f t="shared" si="4"/>
        <v/>
      </c>
      <c r="M28" s="94"/>
      <c r="N28" s="79" t="str">
        <f t="shared" si="5"/>
        <v/>
      </c>
      <c r="O28" s="85" t="str">
        <f t="shared" si="6"/>
        <v/>
      </c>
      <c r="P28" s="79" t="str">
        <f t="shared" si="7"/>
        <v/>
      </c>
      <c r="Q28" s="182" t="str">
        <f t="shared" si="8"/>
        <v/>
      </c>
      <c r="R28" s="14"/>
      <c r="S28" s="14"/>
      <c r="T28" s="14"/>
      <c r="U28" s="14"/>
      <c r="V28" s="14" t="str">
        <f t="shared" si="9"/>
        <v/>
      </c>
      <c r="W28" s="14"/>
    </row>
    <row r="29" spans="1:23" x14ac:dyDescent="0.35">
      <c r="A29" s="93"/>
      <c r="B29" s="94"/>
      <c r="C29" s="95"/>
      <c r="D29" s="79" t="str">
        <f t="shared" si="0"/>
        <v/>
      </c>
      <c r="E29" s="94"/>
      <c r="F29" s="79" t="str">
        <f t="shared" si="1"/>
        <v/>
      </c>
      <c r="G29" s="94"/>
      <c r="H29" s="79" t="str">
        <f t="shared" si="2"/>
        <v/>
      </c>
      <c r="I29" s="94"/>
      <c r="J29" s="79" t="str">
        <f t="shared" si="3"/>
        <v/>
      </c>
      <c r="K29" s="94"/>
      <c r="L29" s="79" t="str">
        <f t="shared" si="4"/>
        <v/>
      </c>
      <c r="M29" s="94"/>
      <c r="N29" s="79" t="str">
        <f t="shared" si="5"/>
        <v/>
      </c>
      <c r="O29" s="85" t="str">
        <f t="shared" si="6"/>
        <v/>
      </c>
      <c r="P29" s="79" t="str">
        <f t="shared" si="7"/>
        <v/>
      </c>
      <c r="Q29" s="182" t="str">
        <f t="shared" si="8"/>
        <v/>
      </c>
      <c r="R29" s="14"/>
      <c r="S29" s="14"/>
      <c r="T29" s="14"/>
      <c r="U29" s="14"/>
      <c r="V29" s="14" t="str">
        <f t="shared" si="9"/>
        <v/>
      </c>
      <c r="W29" s="14"/>
    </row>
    <row r="30" spans="1:23" x14ac:dyDescent="0.35">
      <c r="A30" s="93"/>
      <c r="B30" s="94"/>
      <c r="C30" s="95"/>
      <c r="D30" s="79" t="str">
        <f t="shared" si="0"/>
        <v/>
      </c>
      <c r="E30" s="94"/>
      <c r="F30" s="79" t="str">
        <f t="shared" si="1"/>
        <v/>
      </c>
      <c r="G30" s="94"/>
      <c r="H30" s="79" t="str">
        <f t="shared" si="2"/>
        <v/>
      </c>
      <c r="I30" s="94"/>
      <c r="J30" s="79" t="str">
        <f t="shared" si="3"/>
        <v/>
      </c>
      <c r="K30" s="94"/>
      <c r="L30" s="79" t="str">
        <f t="shared" si="4"/>
        <v/>
      </c>
      <c r="M30" s="94"/>
      <c r="N30" s="79" t="str">
        <f t="shared" si="5"/>
        <v/>
      </c>
      <c r="O30" s="85" t="str">
        <f t="shared" si="6"/>
        <v/>
      </c>
      <c r="P30" s="79" t="str">
        <f t="shared" si="7"/>
        <v/>
      </c>
      <c r="Q30" s="182" t="str">
        <f t="shared" si="8"/>
        <v/>
      </c>
      <c r="R30" s="14"/>
      <c r="S30" s="14"/>
      <c r="T30" s="14"/>
      <c r="U30" s="14"/>
      <c r="V30" s="14" t="str">
        <f t="shared" si="9"/>
        <v/>
      </c>
      <c r="W30" s="14"/>
    </row>
    <row r="31" spans="1:23" x14ac:dyDescent="0.35">
      <c r="A31" s="93"/>
      <c r="B31" s="94"/>
      <c r="C31" s="95"/>
      <c r="D31" s="79" t="str">
        <f t="shared" si="0"/>
        <v/>
      </c>
      <c r="E31" s="94"/>
      <c r="F31" s="79" t="str">
        <f t="shared" si="1"/>
        <v/>
      </c>
      <c r="G31" s="94"/>
      <c r="H31" s="79" t="str">
        <f t="shared" si="2"/>
        <v/>
      </c>
      <c r="I31" s="94"/>
      <c r="J31" s="79" t="str">
        <f t="shared" si="3"/>
        <v/>
      </c>
      <c r="K31" s="94"/>
      <c r="L31" s="79" t="str">
        <f t="shared" si="4"/>
        <v/>
      </c>
      <c r="M31" s="94"/>
      <c r="N31" s="79" t="str">
        <f t="shared" si="5"/>
        <v/>
      </c>
      <c r="O31" s="85" t="str">
        <f t="shared" si="6"/>
        <v/>
      </c>
      <c r="P31" s="79" t="str">
        <f t="shared" si="7"/>
        <v/>
      </c>
      <c r="Q31" s="182" t="str">
        <f t="shared" si="8"/>
        <v/>
      </c>
      <c r="R31" s="14"/>
      <c r="S31" s="14"/>
      <c r="T31" s="14"/>
      <c r="U31" s="14"/>
      <c r="V31" s="14" t="str">
        <f t="shared" si="9"/>
        <v/>
      </c>
      <c r="W31" s="14"/>
    </row>
    <row r="32" spans="1:23" x14ac:dyDescent="0.35">
      <c r="A32" s="93"/>
      <c r="B32" s="94"/>
      <c r="C32" s="95"/>
      <c r="D32" s="79" t="str">
        <f t="shared" si="0"/>
        <v/>
      </c>
      <c r="E32" s="94"/>
      <c r="F32" s="79" t="str">
        <f t="shared" si="1"/>
        <v/>
      </c>
      <c r="G32" s="94"/>
      <c r="H32" s="79" t="str">
        <f t="shared" si="2"/>
        <v/>
      </c>
      <c r="I32" s="94"/>
      <c r="J32" s="79" t="str">
        <f t="shared" si="3"/>
        <v/>
      </c>
      <c r="K32" s="94"/>
      <c r="L32" s="79" t="str">
        <f t="shared" si="4"/>
        <v/>
      </c>
      <c r="M32" s="94"/>
      <c r="N32" s="79" t="str">
        <f t="shared" si="5"/>
        <v/>
      </c>
      <c r="O32" s="85" t="str">
        <f t="shared" si="6"/>
        <v/>
      </c>
      <c r="P32" s="79" t="str">
        <f t="shared" si="7"/>
        <v/>
      </c>
      <c r="Q32" s="182" t="str">
        <f t="shared" si="8"/>
        <v/>
      </c>
      <c r="R32" s="14"/>
      <c r="S32" s="14"/>
      <c r="T32" s="14"/>
      <c r="U32" s="14"/>
      <c r="V32" s="14" t="str">
        <f t="shared" si="9"/>
        <v/>
      </c>
      <c r="W32" s="14"/>
    </row>
    <row r="33" spans="1:23" x14ac:dyDescent="0.35">
      <c r="A33" s="93"/>
      <c r="B33" s="94"/>
      <c r="C33" s="95"/>
      <c r="D33" s="79" t="str">
        <f t="shared" si="0"/>
        <v/>
      </c>
      <c r="E33" s="94"/>
      <c r="F33" s="79" t="str">
        <f t="shared" si="1"/>
        <v/>
      </c>
      <c r="G33" s="94"/>
      <c r="H33" s="79" t="str">
        <f t="shared" si="2"/>
        <v/>
      </c>
      <c r="I33" s="94"/>
      <c r="J33" s="79" t="str">
        <f t="shared" si="3"/>
        <v/>
      </c>
      <c r="K33" s="94"/>
      <c r="L33" s="79" t="str">
        <f t="shared" si="4"/>
        <v/>
      </c>
      <c r="M33" s="94"/>
      <c r="N33" s="79" t="str">
        <f t="shared" si="5"/>
        <v/>
      </c>
      <c r="O33" s="85" t="str">
        <f t="shared" si="6"/>
        <v/>
      </c>
      <c r="P33" s="79" t="str">
        <f t="shared" si="7"/>
        <v/>
      </c>
      <c r="Q33" s="182" t="str">
        <f t="shared" si="8"/>
        <v/>
      </c>
      <c r="R33" s="14"/>
      <c r="S33" s="14"/>
      <c r="T33" s="14"/>
      <c r="U33" s="14"/>
      <c r="V33" s="14" t="str">
        <f t="shared" si="9"/>
        <v/>
      </c>
      <c r="W33" s="14"/>
    </row>
    <row r="34" spans="1:23" x14ac:dyDescent="0.35">
      <c r="A34" s="93"/>
      <c r="B34" s="94"/>
      <c r="C34" s="95"/>
      <c r="D34" s="79" t="str">
        <f t="shared" ref="D34:D65" si="10">IF(OR(A34="",B34="",C34=""),"",ROUND(B34*C34,2))</f>
        <v/>
      </c>
      <c r="E34" s="94"/>
      <c r="F34" s="79" t="str">
        <f t="shared" ref="F34:F65" si="11">IF(OR(A34="",E34="",C34="",NOT(ISNUMBER($U$2))),"",ROUND(E34*C34*$U$2,2))</f>
        <v/>
      </c>
      <c r="G34" s="94"/>
      <c r="H34" s="79" t="str">
        <f t="shared" ref="H34:H65" si="12">IF(OR(A34="",G34="",C34="",NOT(ISNUMBER($U$3))),"",ROUND(G34*C34*$U$3,2))</f>
        <v/>
      </c>
      <c r="I34" s="94"/>
      <c r="J34" s="79" t="str">
        <f t="shared" ref="J34:J65" si="13">IF(OR(A34="",I34="",C34="",NOT(ISNUMBER($U$4))),"",ROUND(I34*C34*$U$4,2))</f>
        <v/>
      </c>
      <c r="K34" s="94"/>
      <c r="L34" s="79" t="str">
        <f t="shared" ref="L34:L65" si="14">IF(OR(A34="",K34="",C34="",NOT(ISNUMBER($U$5))),"",ROUND(K34*C34*$U$5,2))</f>
        <v/>
      </c>
      <c r="M34" s="94"/>
      <c r="N34" s="79" t="str">
        <f t="shared" ref="N34:N65" si="15">IF(OR(A34="",M34="",C34="",NOT(ISNUMBER($U$6))),"",ROUND(M34*C34*$U$6,2))</f>
        <v/>
      </c>
      <c r="O34" s="85" t="str">
        <f t="shared" ref="O34:O65" si="16">IF(A34="","",SUM(E34,G34,I34,K34,M34))</f>
        <v/>
      </c>
      <c r="P34" s="79" t="str">
        <f t="shared" ref="P34:P65" si="17">IF(A34="","",SUM(F34,H34,J34,L34,N34))</f>
        <v/>
      </c>
      <c r="Q34" s="182" t="str">
        <f t="shared" ref="Q34:Q65" si="18">IF(A34="","",IF(O34&gt;B34,"DIVERGENCIA: CONSUMO MAIOR QUE CONTRATADO","OK"))</f>
        <v/>
      </c>
      <c r="R34" s="14"/>
      <c r="S34" s="14"/>
      <c r="T34" s="14"/>
      <c r="U34" s="14"/>
      <c r="V34" s="14" t="str">
        <f t="shared" ref="V34:V65" si="19">IF(A34="","",IF(OR(NOT(ISNUMBER(B34)),NOT(ISNUMBER(O34)),NOT(ISNUMBER(C34)),Q34&lt;&gt;"OK"),"",ROUND(MAX(B34-O34,0)*C34,2)))</f>
        <v/>
      </c>
      <c r="W34" s="14"/>
    </row>
    <row r="35" spans="1:23" x14ac:dyDescent="0.35">
      <c r="A35" s="93"/>
      <c r="B35" s="94"/>
      <c r="C35" s="95"/>
      <c r="D35" s="79" t="str">
        <f t="shared" si="10"/>
        <v/>
      </c>
      <c r="E35" s="94"/>
      <c r="F35" s="79" t="str">
        <f t="shared" si="11"/>
        <v/>
      </c>
      <c r="G35" s="94"/>
      <c r="H35" s="79" t="str">
        <f t="shared" si="12"/>
        <v/>
      </c>
      <c r="I35" s="94"/>
      <c r="J35" s="79" t="str">
        <f t="shared" si="13"/>
        <v/>
      </c>
      <c r="K35" s="94"/>
      <c r="L35" s="79" t="str">
        <f t="shared" si="14"/>
        <v/>
      </c>
      <c r="M35" s="94"/>
      <c r="N35" s="79" t="str">
        <f t="shared" si="15"/>
        <v/>
      </c>
      <c r="O35" s="85" t="str">
        <f t="shared" si="16"/>
        <v/>
      </c>
      <c r="P35" s="79" t="str">
        <f t="shared" si="17"/>
        <v/>
      </c>
      <c r="Q35" s="182" t="str">
        <f t="shared" si="18"/>
        <v/>
      </c>
      <c r="R35" s="14"/>
      <c r="S35" s="14"/>
      <c r="T35" s="14"/>
      <c r="U35" s="14"/>
      <c r="V35" s="14" t="str">
        <f t="shared" si="19"/>
        <v/>
      </c>
      <c r="W35" s="14"/>
    </row>
    <row r="36" spans="1:23" x14ac:dyDescent="0.35">
      <c r="A36" s="93"/>
      <c r="B36" s="94"/>
      <c r="C36" s="95"/>
      <c r="D36" s="79" t="str">
        <f t="shared" si="10"/>
        <v/>
      </c>
      <c r="E36" s="94"/>
      <c r="F36" s="79" t="str">
        <f t="shared" si="11"/>
        <v/>
      </c>
      <c r="G36" s="94"/>
      <c r="H36" s="79" t="str">
        <f t="shared" si="12"/>
        <v/>
      </c>
      <c r="I36" s="94"/>
      <c r="J36" s="79" t="str">
        <f t="shared" si="13"/>
        <v/>
      </c>
      <c r="K36" s="94"/>
      <c r="L36" s="79" t="str">
        <f t="shared" si="14"/>
        <v/>
      </c>
      <c r="M36" s="94"/>
      <c r="N36" s="79" t="str">
        <f t="shared" si="15"/>
        <v/>
      </c>
      <c r="O36" s="85" t="str">
        <f t="shared" si="16"/>
        <v/>
      </c>
      <c r="P36" s="79" t="str">
        <f t="shared" si="17"/>
        <v/>
      </c>
      <c r="Q36" s="182" t="str">
        <f t="shared" si="18"/>
        <v/>
      </c>
      <c r="R36" s="14"/>
      <c r="S36" s="14"/>
      <c r="T36" s="14"/>
      <c r="U36" s="14"/>
      <c r="V36" s="14" t="str">
        <f t="shared" si="19"/>
        <v/>
      </c>
      <c r="W36" s="14"/>
    </row>
    <row r="37" spans="1:23" x14ac:dyDescent="0.35">
      <c r="A37" s="93"/>
      <c r="B37" s="94"/>
      <c r="C37" s="95"/>
      <c r="D37" s="79" t="str">
        <f t="shared" si="10"/>
        <v/>
      </c>
      <c r="E37" s="94"/>
      <c r="F37" s="79" t="str">
        <f t="shared" si="11"/>
        <v/>
      </c>
      <c r="G37" s="94"/>
      <c r="H37" s="79" t="str">
        <f t="shared" si="12"/>
        <v/>
      </c>
      <c r="I37" s="94"/>
      <c r="J37" s="79" t="str">
        <f t="shared" si="13"/>
        <v/>
      </c>
      <c r="K37" s="94"/>
      <c r="L37" s="79" t="str">
        <f t="shared" si="14"/>
        <v/>
      </c>
      <c r="M37" s="94"/>
      <c r="N37" s="79" t="str">
        <f t="shared" si="15"/>
        <v/>
      </c>
      <c r="O37" s="85" t="str">
        <f t="shared" si="16"/>
        <v/>
      </c>
      <c r="P37" s="79" t="str">
        <f t="shared" si="17"/>
        <v/>
      </c>
      <c r="Q37" s="182" t="str">
        <f t="shared" si="18"/>
        <v/>
      </c>
      <c r="R37" s="14"/>
      <c r="S37" s="14"/>
      <c r="T37" s="14"/>
      <c r="U37" s="14"/>
      <c r="V37" s="14" t="str">
        <f t="shared" si="19"/>
        <v/>
      </c>
      <c r="W37" s="14"/>
    </row>
    <row r="38" spans="1:23" x14ac:dyDescent="0.35">
      <c r="A38" s="93"/>
      <c r="B38" s="94"/>
      <c r="C38" s="95"/>
      <c r="D38" s="79" t="str">
        <f t="shared" si="10"/>
        <v/>
      </c>
      <c r="E38" s="94"/>
      <c r="F38" s="79" t="str">
        <f t="shared" si="11"/>
        <v/>
      </c>
      <c r="G38" s="94"/>
      <c r="H38" s="79" t="str">
        <f t="shared" si="12"/>
        <v/>
      </c>
      <c r="I38" s="94"/>
      <c r="J38" s="79" t="str">
        <f t="shared" si="13"/>
        <v/>
      </c>
      <c r="K38" s="94"/>
      <c r="L38" s="79" t="str">
        <f t="shared" si="14"/>
        <v/>
      </c>
      <c r="M38" s="94"/>
      <c r="N38" s="79" t="str">
        <f t="shared" si="15"/>
        <v/>
      </c>
      <c r="O38" s="85" t="str">
        <f t="shared" si="16"/>
        <v/>
      </c>
      <c r="P38" s="79" t="str">
        <f t="shared" si="17"/>
        <v/>
      </c>
      <c r="Q38" s="182" t="str">
        <f t="shared" si="18"/>
        <v/>
      </c>
      <c r="R38" s="14"/>
      <c r="S38" s="14"/>
      <c r="T38" s="14"/>
      <c r="U38" s="14"/>
      <c r="V38" s="14" t="str">
        <f t="shared" si="19"/>
        <v/>
      </c>
      <c r="W38" s="14"/>
    </row>
    <row r="39" spans="1:23" x14ac:dyDescent="0.35">
      <c r="A39" s="93"/>
      <c r="B39" s="94"/>
      <c r="C39" s="95"/>
      <c r="D39" s="79" t="str">
        <f t="shared" si="10"/>
        <v/>
      </c>
      <c r="E39" s="94"/>
      <c r="F39" s="79" t="str">
        <f t="shared" si="11"/>
        <v/>
      </c>
      <c r="G39" s="94"/>
      <c r="H39" s="79" t="str">
        <f t="shared" si="12"/>
        <v/>
      </c>
      <c r="I39" s="94"/>
      <c r="J39" s="79" t="str">
        <f t="shared" si="13"/>
        <v/>
      </c>
      <c r="K39" s="94"/>
      <c r="L39" s="79" t="str">
        <f t="shared" si="14"/>
        <v/>
      </c>
      <c r="M39" s="94"/>
      <c r="N39" s="79" t="str">
        <f t="shared" si="15"/>
        <v/>
      </c>
      <c r="O39" s="85" t="str">
        <f t="shared" si="16"/>
        <v/>
      </c>
      <c r="P39" s="79" t="str">
        <f t="shared" si="17"/>
        <v/>
      </c>
      <c r="Q39" s="182" t="str">
        <f t="shared" si="18"/>
        <v/>
      </c>
      <c r="R39" s="14"/>
      <c r="S39" s="14"/>
      <c r="T39" s="14"/>
      <c r="U39" s="14"/>
      <c r="V39" s="14" t="str">
        <f t="shared" si="19"/>
        <v/>
      </c>
      <c r="W39" s="14"/>
    </row>
    <row r="40" spans="1:23" x14ac:dyDescent="0.35">
      <c r="A40" s="93"/>
      <c r="B40" s="94"/>
      <c r="C40" s="95"/>
      <c r="D40" s="79" t="str">
        <f t="shared" si="10"/>
        <v/>
      </c>
      <c r="E40" s="94"/>
      <c r="F40" s="79" t="str">
        <f t="shared" si="11"/>
        <v/>
      </c>
      <c r="G40" s="94"/>
      <c r="H40" s="79" t="str">
        <f t="shared" si="12"/>
        <v/>
      </c>
      <c r="I40" s="94"/>
      <c r="J40" s="79" t="str">
        <f t="shared" si="13"/>
        <v/>
      </c>
      <c r="K40" s="94"/>
      <c r="L40" s="79" t="str">
        <f t="shared" si="14"/>
        <v/>
      </c>
      <c r="M40" s="94"/>
      <c r="N40" s="79" t="str">
        <f t="shared" si="15"/>
        <v/>
      </c>
      <c r="O40" s="85" t="str">
        <f t="shared" si="16"/>
        <v/>
      </c>
      <c r="P40" s="79" t="str">
        <f t="shared" si="17"/>
        <v/>
      </c>
      <c r="Q40" s="182" t="str">
        <f t="shared" si="18"/>
        <v/>
      </c>
      <c r="R40" s="14"/>
      <c r="S40" s="14"/>
      <c r="T40" s="14"/>
      <c r="U40" s="14"/>
      <c r="V40" s="14" t="str">
        <f t="shared" si="19"/>
        <v/>
      </c>
      <c r="W40" s="14"/>
    </row>
    <row r="41" spans="1:23" x14ac:dyDescent="0.35">
      <c r="A41" s="93"/>
      <c r="B41" s="94"/>
      <c r="C41" s="95"/>
      <c r="D41" s="79" t="str">
        <f t="shared" si="10"/>
        <v/>
      </c>
      <c r="E41" s="94"/>
      <c r="F41" s="79" t="str">
        <f t="shared" si="11"/>
        <v/>
      </c>
      <c r="G41" s="94"/>
      <c r="H41" s="79" t="str">
        <f t="shared" si="12"/>
        <v/>
      </c>
      <c r="I41" s="94"/>
      <c r="J41" s="79" t="str">
        <f t="shared" si="13"/>
        <v/>
      </c>
      <c r="K41" s="94"/>
      <c r="L41" s="79" t="str">
        <f t="shared" si="14"/>
        <v/>
      </c>
      <c r="M41" s="94"/>
      <c r="N41" s="79" t="str">
        <f t="shared" si="15"/>
        <v/>
      </c>
      <c r="O41" s="85" t="str">
        <f t="shared" si="16"/>
        <v/>
      </c>
      <c r="P41" s="79" t="str">
        <f t="shared" si="17"/>
        <v/>
      </c>
      <c r="Q41" s="182" t="str">
        <f t="shared" si="18"/>
        <v/>
      </c>
      <c r="R41" s="14"/>
      <c r="S41" s="14"/>
      <c r="T41" s="14"/>
      <c r="U41" s="14"/>
      <c r="V41" s="14" t="str">
        <f t="shared" si="19"/>
        <v/>
      </c>
      <c r="W41" s="14"/>
    </row>
    <row r="42" spans="1:23" x14ac:dyDescent="0.35">
      <c r="A42" s="93"/>
      <c r="B42" s="94"/>
      <c r="C42" s="95"/>
      <c r="D42" s="79" t="str">
        <f t="shared" si="10"/>
        <v/>
      </c>
      <c r="E42" s="94"/>
      <c r="F42" s="79" t="str">
        <f t="shared" si="11"/>
        <v/>
      </c>
      <c r="G42" s="94"/>
      <c r="H42" s="79" t="str">
        <f t="shared" si="12"/>
        <v/>
      </c>
      <c r="I42" s="94"/>
      <c r="J42" s="79" t="str">
        <f t="shared" si="13"/>
        <v/>
      </c>
      <c r="K42" s="94"/>
      <c r="L42" s="79" t="str">
        <f t="shared" si="14"/>
        <v/>
      </c>
      <c r="M42" s="94"/>
      <c r="N42" s="79" t="str">
        <f t="shared" si="15"/>
        <v/>
      </c>
      <c r="O42" s="85" t="str">
        <f t="shared" si="16"/>
        <v/>
      </c>
      <c r="P42" s="79" t="str">
        <f t="shared" si="17"/>
        <v/>
      </c>
      <c r="Q42" s="182" t="str">
        <f t="shared" si="18"/>
        <v/>
      </c>
      <c r="R42" s="14"/>
      <c r="S42" s="14"/>
      <c r="T42" s="14"/>
      <c r="U42" s="14"/>
      <c r="V42" s="14" t="str">
        <f t="shared" si="19"/>
        <v/>
      </c>
      <c r="W42" s="14"/>
    </row>
    <row r="43" spans="1:23" x14ac:dyDescent="0.35">
      <c r="A43" s="93"/>
      <c r="B43" s="94"/>
      <c r="C43" s="95"/>
      <c r="D43" s="79" t="str">
        <f t="shared" si="10"/>
        <v/>
      </c>
      <c r="E43" s="94"/>
      <c r="F43" s="79" t="str">
        <f t="shared" si="11"/>
        <v/>
      </c>
      <c r="G43" s="94"/>
      <c r="H43" s="79" t="str">
        <f t="shared" si="12"/>
        <v/>
      </c>
      <c r="I43" s="94"/>
      <c r="J43" s="79" t="str">
        <f t="shared" si="13"/>
        <v/>
      </c>
      <c r="K43" s="94"/>
      <c r="L43" s="79" t="str">
        <f t="shared" si="14"/>
        <v/>
      </c>
      <c r="M43" s="94"/>
      <c r="N43" s="79" t="str">
        <f t="shared" si="15"/>
        <v/>
      </c>
      <c r="O43" s="85" t="str">
        <f t="shared" si="16"/>
        <v/>
      </c>
      <c r="P43" s="79" t="str">
        <f t="shared" si="17"/>
        <v/>
      </c>
      <c r="Q43" s="182" t="str">
        <f t="shared" si="18"/>
        <v/>
      </c>
      <c r="R43" s="14"/>
      <c r="S43" s="14"/>
      <c r="T43" s="14"/>
      <c r="U43" s="14"/>
      <c r="V43" s="14" t="str">
        <f t="shared" si="19"/>
        <v/>
      </c>
      <c r="W43" s="14"/>
    </row>
    <row r="44" spans="1:23" x14ac:dyDescent="0.35">
      <c r="A44" s="93"/>
      <c r="B44" s="94"/>
      <c r="C44" s="95"/>
      <c r="D44" s="79" t="str">
        <f t="shared" si="10"/>
        <v/>
      </c>
      <c r="E44" s="94"/>
      <c r="F44" s="79" t="str">
        <f t="shared" si="11"/>
        <v/>
      </c>
      <c r="G44" s="94"/>
      <c r="H44" s="79" t="str">
        <f t="shared" si="12"/>
        <v/>
      </c>
      <c r="I44" s="94"/>
      <c r="J44" s="79" t="str">
        <f t="shared" si="13"/>
        <v/>
      </c>
      <c r="K44" s="94"/>
      <c r="L44" s="79" t="str">
        <f t="shared" si="14"/>
        <v/>
      </c>
      <c r="M44" s="94"/>
      <c r="N44" s="79" t="str">
        <f t="shared" si="15"/>
        <v/>
      </c>
      <c r="O44" s="85" t="str">
        <f t="shared" si="16"/>
        <v/>
      </c>
      <c r="P44" s="79" t="str">
        <f t="shared" si="17"/>
        <v/>
      </c>
      <c r="Q44" s="182" t="str">
        <f t="shared" si="18"/>
        <v/>
      </c>
      <c r="R44" s="14"/>
      <c r="S44" s="14"/>
      <c r="T44" s="14"/>
      <c r="U44" s="14"/>
      <c r="V44" s="14" t="str">
        <f t="shared" si="19"/>
        <v/>
      </c>
      <c r="W44" s="14"/>
    </row>
    <row r="45" spans="1:23" x14ac:dyDescent="0.35">
      <c r="A45" s="93"/>
      <c r="B45" s="94"/>
      <c r="C45" s="95"/>
      <c r="D45" s="79" t="str">
        <f t="shared" si="10"/>
        <v/>
      </c>
      <c r="E45" s="94"/>
      <c r="F45" s="79" t="str">
        <f t="shared" si="11"/>
        <v/>
      </c>
      <c r="G45" s="94"/>
      <c r="H45" s="79" t="str">
        <f t="shared" si="12"/>
        <v/>
      </c>
      <c r="I45" s="94"/>
      <c r="J45" s="79" t="str">
        <f t="shared" si="13"/>
        <v/>
      </c>
      <c r="K45" s="94"/>
      <c r="L45" s="79" t="str">
        <f t="shared" si="14"/>
        <v/>
      </c>
      <c r="M45" s="94"/>
      <c r="N45" s="79" t="str">
        <f t="shared" si="15"/>
        <v/>
      </c>
      <c r="O45" s="85" t="str">
        <f t="shared" si="16"/>
        <v/>
      </c>
      <c r="P45" s="79" t="str">
        <f t="shared" si="17"/>
        <v/>
      </c>
      <c r="Q45" s="182" t="str">
        <f t="shared" si="18"/>
        <v/>
      </c>
      <c r="R45" s="14"/>
      <c r="S45" s="14"/>
      <c r="T45" s="14"/>
      <c r="U45" s="14"/>
      <c r="V45" s="14" t="str">
        <f t="shared" si="19"/>
        <v/>
      </c>
      <c r="W45" s="14"/>
    </row>
    <row r="46" spans="1:23" x14ac:dyDescent="0.35">
      <c r="A46" s="93"/>
      <c r="B46" s="94"/>
      <c r="C46" s="95"/>
      <c r="D46" s="79" t="str">
        <f t="shared" si="10"/>
        <v/>
      </c>
      <c r="E46" s="94"/>
      <c r="F46" s="79" t="str">
        <f t="shared" si="11"/>
        <v/>
      </c>
      <c r="G46" s="94"/>
      <c r="H46" s="79" t="str">
        <f t="shared" si="12"/>
        <v/>
      </c>
      <c r="I46" s="94"/>
      <c r="J46" s="79" t="str">
        <f t="shared" si="13"/>
        <v/>
      </c>
      <c r="K46" s="94"/>
      <c r="L46" s="79" t="str">
        <f t="shared" si="14"/>
        <v/>
      </c>
      <c r="M46" s="94"/>
      <c r="N46" s="79" t="str">
        <f t="shared" si="15"/>
        <v/>
      </c>
      <c r="O46" s="85" t="str">
        <f t="shared" si="16"/>
        <v/>
      </c>
      <c r="P46" s="79" t="str">
        <f t="shared" si="17"/>
        <v/>
      </c>
      <c r="Q46" s="182" t="str">
        <f t="shared" si="18"/>
        <v/>
      </c>
      <c r="R46" s="14"/>
      <c r="S46" s="14"/>
      <c r="T46" s="14"/>
      <c r="U46" s="14"/>
      <c r="V46" s="14" t="str">
        <f t="shared" si="19"/>
        <v/>
      </c>
      <c r="W46" s="14"/>
    </row>
    <row r="47" spans="1:23" x14ac:dyDescent="0.35">
      <c r="A47" s="93"/>
      <c r="B47" s="94"/>
      <c r="C47" s="95"/>
      <c r="D47" s="79" t="str">
        <f t="shared" si="10"/>
        <v/>
      </c>
      <c r="E47" s="94"/>
      <c r="F47" s="79" t="str">
        <f t="shared" si="11"/>
        <v/>
      </c>
      <c r="G47" s="94"/>
      <c r="H47" s="79" t="str">
        <f t="shared" si="12"/>
        <v/>
      </c>
      <c r="I47" s="94"/>
      <c r="J47" s="79" t="str">
        <f t="shared" si="13"/>
        <v/>
      </c>
      <c r="K47" s="94"/>
      <c r="L47" s="79" t="str">
        <f t="shared" si="14"/>
        <v/>
      </c>
      <c r="M47" s="94"/>
      <c r="N47" s="79" t="str">
        <f t="shared" si="15"/>
        <v/>
      </c>
      <c r="O47" s="85" t="str">
        <f t="shared" si="16"/>
        <v/>
      </c>
      <c r="P47" s="79" t="str">
        <f t="shared" si="17"/>
        <v/>
      </c>
      <c r="Q47" s="182" t="str">
        <f t="shared" si="18"/>
        <v/>
      </c>
      <c r="R47" s="14"/>
      <c r="S47" s="14"/>
      <c r="T47" s="14"/>
      <c r="U47" s="14"/>
      <c r="V47" s="14" t="str">
        <f t="shared" si="19"/>
        <v/>
      </c>
      <c r="W47" s="14"/>
    </row>
    <row r="48" spans="1:23" x14ac:dyDescent="0.35">
      <c r="A48" s="93"/>
      <c r="B48" s="94"/>
      <c r="C48" s="95"/>
      <c r="D48" s="79" t="str">
        <f t="shared" si="10"/>
        <v/>
      </c>
      <c r="E48" s="94"/>
      <c r="F48" s="79" t="str">
        <f t="shared" si="11"/>
        <v/>
      </c>
      <c r="G48" s="94"/>
      <c r="H48" s="79" t="str">
        <f t="shared" si="12"/>
        <v/>
      </c>
      <c r="I48" s="94"/>
      <c r="J48" s="79" t="str">
        <f t="shared" si="13"/>
        <v/>
      </c>
      <c r="K48" s="94"/>
      <c r="L48" s="79" t="str">
        <f t="shared" si="14"/>
        <v/>
      </c>
      <c r="M48" s="94"/>
      <c r="N48" s="79" t="str">
        <f t="shared" si="15"/>
        <v/>
      </c>
      <c r="O48" s="85" t="str">
        <f t="shared" si="16"/>
        <v/>
      </c>
      <c r="P48" s="79" t="str">
        <f t="shared" si="17"/>
        <v/>
      </c>
      <c r="Q48" s="182" t="str">
        <f t="shared" si="18"/>
        <v/>
      </c>
      <c r="R48" s="14"/>
      <c r="S48" s="14"/>
      <c r="T48" s="14"/>
      <c r="U48" s="14"/>
      <c r="V48" s="14" t="str">
        <f t="shared" si="19"/>
        <v/>
      </c>
      <c r="W48" s="14"/>
    </row>
    <row r="49" spans="1:23" x14ac:dyDescent="0.35">
      <c r="A49" s="93"/>
      <c r="B49" s="94"/>
      <c r="C49" s="95"/>
      <c r="D49" s="79" t="str">
        <f t="shared" si="10"/>
        <v/>
      </c>
      <c r="E49" s="94"/>
      <c r="F49" s="79" t="str">
        <f t="shared" si="11"/>
        <v/>
      </c>
      <c r="G49" s="94"/>
      <c r="H49" s="79" t="str">
        <f t="shared" si="12"/>
        <v/>
      </c>
      <c r="I49" s="94"/>
      <c r="J49" s="79" t="str">
        <f t="shared" si="13"/>
        <v/>
      </c>
      <c r="K49" s="94"/>
      <c r="L49" s="79" t="str">
        <f t="shared" si="14"/>
        <v/>
      </c>
      <c r="M49" s="94"/>
      <c r="N49" s="79" t="str">
        <f t="shared" si="15"/>
        <v/>
      </c>
      <c r="O49" s="85" t="str">
        <f t="shared" si="16"/>
        <v/>
      </c>
      <c r="P49" s="79" t="str">
        <f t="shared" si="17"/>
        <v/>
      </c>
      <c r="Q49" s="182" t="str">
        <f t="shared" si="18"/>
        <v/>
      </c>
      <c r="R49" s="14"/>
      <c r="S49" s="14"/>
      <c r="T49" s="14"/>
      <c r="U49" s="14"/>
      <c r="V49" s="14" t="str">
        <f t="shared" si="19"/>
        <v/>
      </c>
      <c r="W49" s="14"/>
    </row>
    <row r="50" spans="1:23" x14ac:dyDescent="0.35">
      <c r="A50" s="93"/>
      <c r="B50" s="94"/>
      <c r="C50" s="95"/>
      <c r="D50" s="79" t="str">
        <f t="shared" si="10"/>
        <v/>
      </c>
      <c r="E50" s="94"/>
      <c r="F50" s="79" t="str">
        <f t="shared" si="11"/>
        <v/>
      </c>
      <c r="G50" s="94"/>
      <c r="H50" s="79" t="str">
        <f t="shared" si="12"/>
        <v/>
      </c>
      <c r="I50" s="94"/>
      <c r="J50" s="79" t="str">
        <f t="shared" si="13"/>
        <v/>
      </c>
      <c r="K50" s="94"/>
      <c r="L50" s="79" t="str">
        <f t="shared" si="14"/>
        <v/>
      </c>
      <c r="M50" s="94"/>
      <c r="N50" s="79" t="str">
        <f t="shared" si="15"/>
        <v/>
      </c>
      <c r="O50" s="85" t="str">
        <f t="shared" si="16"/>
        <v/>
      </c>
      <c r="P50" s="79" t="str">
        <f t="shared" si="17"/>
        <v/>
      </c>
      <c r="Q50" s="182" t="str">
        <f t="shared" si="18"/>
        <v/>
      </c>
      <c r="R50" s="14"/>
      <c r="S50" s="14"/>
      <c r="T50" s="14"/>
      <c r="U50" s="14"/>
      <c r="V50" s="14" t="str">
        <f t="shared" si="19"/>
        <v/>
      </c>
      <c r="W50" s="14"/>
    </row>
    <row r="51" spans="1:23" x14ac:dyDescent="0.35">
      <c r="A51" s="93"/>
      <c r="B51" s="94"/>
      <c r="C51" s="95"/>
      <c r="D51" s="79" t="str">
        <f t="shared" si="10"/>
        <v/>
      </c>
      <c r="E51" s="94"/>
      <c r="F51" s="79" t="str">
        <f t="shared" si="11"/>
        <v/>
      </c>
      <c r="G51" s="94"/>
      <c r="H51" s="79" t="str">
        <f t="shared" si="12"/>
        <v/>
      </c>
      <c r="I51" s="94"/>
      <c r="J51" s="79" t="str">
        <f t="shared" si="13"/>
        <v/>
      </c>
      <c r="K51" s="94"/>
      <c r="L51" s="79" t="str">
        <f t="shared" si="14"/>
        <v/>
      </c>
      <c r="M51" s="94"/>
      <c r="N51" s="79" t="str">
        <f t="shared" si="15"/>
        <v/>
      </c>
      <c r="O51" s="85" t="str">
        <f t="shared" si="16"/>
        <v/>
      </c>
      <c r="P51" s="79" t="str">
        <f t="shared" si="17"/>
        <v/>
      </c>
      <c r="Q51" s="182" t="str">
        <f t="shared" si="18"/>
        <v/>
      </c>
      <c r="R51" s="14"/>
      <c r="S51" s="14"/>
      <c r="T51" s="14"/>
      <c r="U51" s="14"/>
      <c r="V51" s="14" t="str">
        <f t="shared" si="19"/>
        <v/>
      </c>
      <c r="W51" s="14"/>
    </row>
    <row r="52" spans="1:23" x14ac:dyDescent="0.35">
      <c r="A52" s="93"/>
      <c r="B52" s="94"/>
      <c r="C52" s="95"/>
      <c r="D52" s="79" t="str">
        <f t="shared" si="10"/>
        <v/>
      </c>
      <c r="E52" s="94"/>
      <c r="F52" s="79" t="str">
        <f t="shared" si="11"/>
        <v/>
      </c>
      <c r="G52" s="94"/>
      <c r="H52" s="79" t="str">
        <f t="shared" si="12"/>
        <v/>
      </c>
      <c r="I52" s="94"/>
      <c r="J52" s="79" t="str">
        <f t="shared" si="13"/>
        <v/>
      </c>
      <c r="K52" s="94"/>
      <c r="L52" s="79" t="str">
        <f t="shared" si="14"/>
        <v/>
      </c>
      <c r="M52" s="94"/>
      <c r="N52" s="79" t="str">
        <f t="shared" si="15"/>
        <v/>
      </c>
      <c r="O52" s="85" t="str">
        <f t="shared" si="16"/>
        <v/>
      </c>
      <c r="P52" s="79" t="str">
        <f t="shared" si="17"/>
        <v/>
      </c>
      <c r="Q52" s="182" t="str">
        <f t="shared" si="18"/>
        <v/>
      </c>
      <c r="R52" s="14"/>
      <c r="S52" s="14"/>
      <c r="T52" s="14"/>
      <c r="U52" s="14"/>
      <c r="V52" s="14" t="str">
        <f t="shared" si="19"/>
        <v/>
      </c>
      <c r="W52" s="14"/>
    </row>
    <row r="53" spans="1:23" x14ac:dyDescent="0.35">
      <c r="A53" s="93"/>
      <c r="B53" s="94"/>
      <c r="C53" s="95"/>
      <c r="D53" s="79" t="str">
        <f t="shared" si="10"/>
        <v/>
      </c>
      <c r="E53" s="94"/>
      <c r="F53" s="79" t="str">
        <f t="shared" si="11"/>
        <v/>
      </c>
      <c r="G53" s="94"/>
      <c r="H53" s="79" t="str">
        <f t="shared" si="12"/>
        <v/>
      </c>
      <c r="I53" s="94"/>
      <c r="J53" s="79" t="str">
        <f t="shared" si="13"/>
        <v/>
      </c>
      <c r="K53" s="94"/>
      <c r="L53" s="79" t="str">
        <f t="shared" si="14"/>
        <v/>
      </c>
      <c r="M53" s="94"/>
      <c r="N53" s="79" t="str">
        <f t="shared" si="15"/>
        <v/>
      </c>
      <c r="O53" s="85" t="str">
        <f t="shared" si="16"/>
        <v/>
      </c>
      <c r="P53" s="79" t="str">
        <f t="shared" si="17"/>
        <v/>
      </c>
      <c r="Q53" s="182" t="str">
        <f t="shared" si="18"/>
        <v/>
      </c>
      <c r="R53" s="14"/>
      <c r="S53" s="14"/>
      <c r="T53" s="14"/>
      <c r="U53" s="14"/>
      <c r="V53" s="14" t="str">
        <f t="shared" si="19"/>
        <v/>
      </c>
      <c r="W53" s="14"/>
    </row>
    <row r="54" spans="1:23" x14ac:dyDescent="0.35">
      <c r="A54" s="93"/>
      <c r="B54" s="94"/>
      <c r="C54" s="95"/>
      <c r="D54" s="79" t="str">
        <f t="shared" si="10"/>
        <v/>
      </c>
      <c r="E54" s="94"/>
      <c r="F54" s="79" t="str">
        <f t="shared" si="11"/>
        <v/>
      </c>
      <c r="G54" s="94"/>
      <c r="H54" s="79" t="str">
        <f t="shared" si="12"/>
        <v/>
      </c>
      <c r="I54" s="94"/>
      <c r="J54" s="79" t="str">
        <f t="shared" si="13"/>
        <v/>
      </c>
      <c r="K54" s="94"/>
      <c r="L54" s="79" t="str">
        <f t="shared" si="14"/>
        <v/>
      </c>
      <c r="M54" s="94"/>
      <c r="N54" s="79" t="str">
        <f t="shared" si="15"/>
        <v/>
      </c>
      <c r="O54" s="85" t="str">
        <f t="shared" si="16"/>
        <v/>
      </c>
      <c r="P54" s="79" t="str">
        <f t="shared" si="17"/>
        <v/>
      </c>
      <c r="Q54" s="182" t="str">
        <f t="shared" si="18"/>
        <v/>
      </c>
      <c r="R54" s="14"/>
      <c r="S54" s="14"/>
      <c r="T54" s="14"/>
      <c r="U54" s="14"/>
      <c r="V54" s="14" t="str">
        <f t="shared" si="19"/>
        <v/>
      </c>
      <c r="W54" s="14"/>
    </row>
    <row r="55" spans="1:23" x14ac:dyDescent="0.35">
      <c r="A55" s="93"/>
      <c r="B55" s="94"/>
      <c r="C55" s="95"/>
      <c r="D55" s="79" t="str">
        <f t="shared" si="10"/>
        <v/>
      </c>
      <c r="E55" s="94"/>
      <c r="F55" s="79" t="str">
        <f t="shared" si="11"/>
        <v/>
      </c>
      <c r="G55" s="94"/>
      <c r="H55" s="79" t="str">
        <f t="shared" si="12"/>
        <v/>
      </c>
      <c r="I55" s="94"/>
      <c r="J55" s="79" t="str">
        <f t="shared" si="13"/>
        <v/>
      </c>
      <c r="K55" s="94"/>
      <c r="L55" s="79" t="str">
        <f t="shared" si="14"/>
        <v/>
      </c>
      <c r="M55" s="94"/>
      <c r="N55" s="79" t="str">
        <f t="shared" si="15"/>
        <v/>
      </c>
      <c r="O55" s="85" t="str">
        <f t="shared" si="16"/>
        <v/>
      </c>
      <c r="P55" s="79" t="str">
        <f t="shared" si="17"/>
        <v/>
      </c>
      <c r="Q55" s="182" t="str">
        <f t="shared" si="18"/>
        <v/>
      </c>
      <c r="R55" s="14"/>
      <c r="S55" s="14"/>
      <c r="T55" s="14"/>
      <c r="U55" s="14"/>
      <c r="V55" s="14" t="str">
        <f t="shared" si="19"/>
        <v/>
      </c>
      <c r="W55" s="14"/>
    </row>
    <row r="56" spans="1:23" x14ac:dyDescent="0.35">
      <c r="A56" s="93"/>
      <c r="B56" s="94"/>
      <c r="C56" s="95"/>
      <c r="D56" s="79" t="str">
        <f t="shared" si="10"/>
        <v/>
      </c>
      <c r="E56" s="94"/>
      <c r="F56" s="79" t="str">
        <f t="shared" si="11"/>
        <v/>
      </c>
      <c r="G56" s="94"/>
      <c r="H56" s="79" t="str">
        <f t="shared" si="12"/>
        <v/>
      </c>
      <c r="I56" s="94"/>
      <c r="J56" s="79" t="str">
        <f t="shared" si="13"/>
        <v/>
      </c>
      <c r="K56" s="94"/>
      <c r="L56" s="79" t="str">
        <f t="shared" si="14"/>
        <v/>
      </c>
      <c r="M56" s="94"/>
      <c r="N56" s="79" t="str">
        <f t="shared" si="15"/>
        <v/>
      </c>
      <c r="O56" s="85" t="str">
        <f t="shared" si="16"/>
        <v/>
      </c>
      <c r="P56" s="79" t="str">
        <f t="shared" si="17"/>
        <v/>
      </c>
      <c r="Q56" s="182" t="str">
        <f t="shared" si="18"/>
        <v/>
      </c>
      <c r="R56" s="14"/>
      <c r="S56" s="14"/>
      <c r="T56" s="14"/>
      <c r="U56" s="14"/>
      <c r="V56" s="14" t="str">
        <f t="shared" si="19"/>
        <v/>
      </c>
      <c r="W56" s="14"/>
    </row>
    <row r="57" spans="1:23" x14ac:dyDescent="0.35">
      <c r="A57" s="93"/>
      <c r="B57" s="94"/>
      <c r="C57" s="95"/>
      <c r="D57" s="79" t="str">
        <f t="shared" si="10"/>
        <v/>
      </c>
      <c r="E57" s="94"/>
      <c r="F57" s="79" t="str">
        <f t="shared" si="11"/>
        <v/>
      </c>
      <c r="G57" s="94"/>
      <c r="H57" s="79" t="str">
        <f t="shared" si="12"/>
        <v/>
      </c>
      <c r="I57" s="94"/>
      <c r="J57" s="79" t="str">
        <f t="shared" si="13"/>
        <v/>
      </c>
      <c r="K57" s="94"/>
      <c r="L57" s="79" t="str">
        <f t="shared" si="14"/>
        <v/>
      </c>
      <c r="M57" s="94"/>
      <c r="N57" s="79" t="str">
        <f t="shared" si="15"/>
        <v/>
      </c>
      <c r="O57" s="85" t="str">
        <f t="shared" si="16"/>
        <v/>
      </c>
      <c r="P57" s="79" t="str">
        <f t="shared" si="17"/>
        <v/>
      </c>
      <c r="Q57" s="182" t="str">
        <f t="shared" si="18"/>
        <v/>
      </c>
      <c r="R57" s="14"/>
      <c r="S57" s="14"/>
      <c r="T57" s="14"/>
      <c r="U57" s="14"/>
      <c r="V57" s="14" t="str">
        <f t="shared" si="19"/>
        <v/>
      </c>
      <c r="W57" s="14"/>
    </row>
    <row r="58" spans="1:23" x14ac:dyDescent="0.35">
      <c r="A58" s="93"/>
      <c r="B58" s="94"/>
      <c r="C58" s="95"/>
      <c r="D58" s="79" t="str">
        <f t="shared" si="10"/>
        <v/>
      </c>
      <c r="E58" s="94"/>
      <c r="F58" s="79" t="str">
        <f t="shared" si="11"/>
        <v/>
      </c>
      <c r="G58" s="94"/>
      <c r="H58" s="79" t="str">
        <f t="shared" si="12"/>
        <v/>
      </c>
      <c r="I58" s="94"/>
      <c r="J58" s="79" t="str">
        <f t="shared" si="13"/>
        <v/>
      </c>
      <c r="K58" s="94"/>
      <c r="L58" s="79" t="str">
        <f t="shared" si="14"/>
        <v/>
      </c>
      <c r="M58" s="94"/>
      <c r="N58" s="79" t="str">
        <f t="shared" si="15"/>
        <v/>
      </c>
      <c r="O58" s="85" t="str">
        <f t="shared" si="16"/>
        <v/>
      </c>
      <c r="P58" s="79" t="str">
        <f t="shared" si="17"/>
        <v/>
      </c>
      <c r="Q58" s="182" t="str">
        <f t="shared" si="18"/>
        <v/>
      </c>
      <c r="R58" s="14"/>
      <c r="S58" s="14"/>
      <c r="T58" s="14"/>
      <c r="U58" s="14"/>
      <c r="V58" s="14" t="str">
        <f t="shared" si="19"/>
        <v/>
      </c>
      <c r="W58" s="14"/>
    </row>
    <row r="59" spans="1:23" x14ac:dyDescent="0.35">
      <c r="A59" s="93"/>
      <c r="B59" s="94"/>
      <c r="C59" s="95"/>
      <c r="D59" s="79" t="str">
        <f t="shared" si="10"/>
        <v/>
      </c>
      <c r="E59" s="94"/>
      <c r="F59" s="79" t="str">
        <f t="shared" si="11"/>
        <v/>
      </c>
      <c r="G59" s="94"/>
      <c r="H59" s="79" t="str">
        <f t="shared" si="12"/>
        <v/>
      </c>
      <c r="I59" s="94"/>
      <c r="J59" s="79" t="str">
        <f t="shared" si="13"/>
        <v/>
      </c>
      <c r="K59" s="94"/>
      <c r="L59" s="79" t="str">
        <f t="shared" si="14"/>
        <v/>
      </c>
      <c r="M59" s="94"/>
      <c r="N59" s="79" t="str">
        <f t="shared" si="15"/>
        <v/>
      </c>
      <c r="O59" s="85" t="str">
        <f t="shared" si="16"/>
        <v/>
      </c>
      <c r="P59" s="79" t="str">
        <f t="shared" si="17"/>
        <v/>
      </c>
      <c r="Q59" s="182" t="str">
        <f t="shared" si="18"/>
        <v/>
      </c>
      <c r="R59" s="14"/>
      <c r="S59" s="14"/>
      <c r="T59" s="14"/>
      <c r="U59" s="14"/>
      <c r="V59" s="14" t="str">
        <f t="shared" si="19"/>
        <v/>
      </c>
      <c r="W59" s="14"/>
    </row>
    <row r="60" spans="1:23" x14ac:dyDescent="0.35">
      <c r="A60" s="93"/>
      <c r="B60" s="94"/>
      <c r="C60" s="95"/>
      <c r="D60" s="79" t="str">
        <f t="shared" si="10"/>
        <v/>
      </c>
      <c r="E60" s="94"/>
      <c r="F60" s="79" t="str">
        <f t="shared" si="11"/>
        <v/>
      </c>
      <c r="G60" s="94"/>
      <c r="H60" s="79" t="str">
        <f t="shared" si="12"/>
        <v/>
      </c>
      <c r="I60" s="94"/>
      <c r="J60" s="79" t="str">
        <f t="shared" si="13"/>
        <v/>
      </c>
      <c r="K60" s="94"/>
      <c r="L60" s="79" t="str">
        <f t="shared" si="14"/>
        <v/>
      </c>
      <c r="M60" s="94"/>
      <c r="N60" s="79" t="str">
        <f t="shared" si="15"/>
        <v/>
      </c>
      <c r="O60" s="85" t="str">
        <f t="shared" si="16"/>
        <v/>
      </c>
      <c r="P60" s="79" t="str">
        <f t="shared" si="17"/>
        <v/>
      </c>
      <c r="Q60" s="182" t="str">
        <f t="shared" si="18"/>
        <v/>
      </c>
      <c r="R60" s="14"/>
      <c r="S60" s="14"/>
      <c r="T60" s="14"/>
      <c r="U60" s="14"/>
      <c r="V60" s="14" t="str">
        <f t="shared" si="19"/>
        <v/>
      </c>
      <c r="W60" s="14"/>
    </row>
    <row r="61" spans="1:23" x14ac:dyDescent="0.35">
      <c r="A61" s="93"/>
      <c r="B61" s="94"/>
      <c r="C61" s="95"/>
      <c r="D61" s="79" t="str">
        <f t="shared" si="10"/>
        <v/>
      </c>
      <c r="E61" s="94"/>
      <c r="F61" s="79" t="str">
        <f t="shared" si="11"/>
        <v/>
      </c>
      <c r="G61" s="94"/>
      <c r="H61" s="79" t="str">
        <f t="shared" si="12"/>
        <v/>
      </c>
      <c r="I61" s="94"/>
      <c r="J61" s="79" t="str">
        <f t="shared" si="13"/>
        <v/>
      </c>
      <c r="K61" s="94"/>
      <c r="L61" s="79" t="str">
        <f t="shared" si="14"/>
        <v/>
      </c>
      <c r="M61" s="94"/>
      <c r="N61" s="79" t="str">
        <f t="shared" si="15"/>
        <v/>
      </c>
      <c r="O61" s="85" t="str">
        <f t="shared" si="16"/>
        <v/>
      </c>
      <c r="P61" s="79" t="str">
        <f t="shared" si="17"/>
        <v/>
      </c>
      <c r="Q61" s="182" t="str">
        <f t="shared" si="18"/>
        <v/>
      </c>
      <c r="R61" s="14"/>
      <c r="S61" s="14"/>
      <c r="T61" s="14"/>
      <c r="U61" s="14"/>
      <c r="V61" s="14" t="str">
        <f t="shared" si="19"/>
        <v/>
      </c>
      <c r="W61" s="14"/>
    </row>
    <row r="62" spans="1:23" x14ac:dyDescent="0.35">
      <c r="A62" s="93"/>
      <c r="B62" s="94"/>
      <c r="C62" s="95"/>
      <c r="D62" s="79" t="str">
        <f t="shared" si="10"/>
        <v/>
      </c>
      <c r="E62" s="94"/>
      <c r="F62" s="79" t="str">
        <f t="shared" si="11"/>
        <v/>
      </c>
      <c r="G62" s="94"/>
      <c r="H62" s="79" t="str">
        <f t="shared" si="12"/>
        <v/>
      </c>
      <c r="I62" s="94"/>
      <c r="J62" s="79" t="str">
        <f t="shared" si="13"/>
        <v/>
      </c>
      <c r="K62" s="94"/>
      <c r="L62" s="79" t="str">
        <f t="shared" si="14"/>
        <v/>
      </c>
      <c r="M62" s="94"/>
      <c r="N62" s="79" t="str">
        <f t="shared" si="15"/>
        <v/>
      </c>
      <c r="O62" s="85" t="str">
        <f t="shared" si="16"/>
        <v/>
      </c>
      <c r="P62" s="79" t="str">
        <f t="shared" si="17"/>
        <v/>
      </c>
      <c r="Q62" s="182" t="str">
        <f t="shared" si="18"/>
        <v/>
      </c>
      <c r="R62" s="14"/>
      <c r="S62" s="14"/>
      <c r="T62" s="14"/>
      <c r="U62" s="14"/>
      <c r="V62" s="14" t="str">
        <f t="shared" si="19"/>
        <v/>
      </c>
      <c r="W62" s="14"/>
    </row>
    <row r="63" spans="1:23" x14ac:dyDescent="0.35">
      <c r="A63" s="93"/>
      <c r="B63" s="94"/>
      <c r="C63" s="95"/>
      <c r="D63" s="79" t="str">
        <f t="shared" si="10"/>
        <v/>
      </c>
      <c r="E63" s="94"/>
      <c r="F63" s="79" t="str">
        <f t="shared" si="11"/>
        <v/>
      </c>
      <c r="G63" s="94"/>
      <c r="H63" s="79" t="str">
        <f t="shared" si="12"/>
        <v/>
      </c>
      <c r="I63" s="94"/>
      <c r="J63" s="79" t="str">
        <f t="shared" si="13"/>
        <v/>
      </c>
      <c r="K63" s="94"/>
      <c r="L63" s="79" t="str">
        <f t="shared" si="14"/>
        <v/>
      </c>
      <c r="M63" s="94"/>
      <c r="N63" s="79" t="str">
        <f t="shared" si="15"/>
        <v/>
      </c>
      <c r="O63" s="85" t="str">
        <f t="shared" si="16"/>
        <v/>
      </c>
      <c r="P63" s="79" t="str">
        <f t="shared" si="17"/>
        <v/>
      </c>
      <c r="Q63" s="182" t="str">
        <f t="shared" si="18"/>
        <v/>
      </c>
      <c r="R63" s="14"/>
      <c r="S63" s="14"/>
      <c r="T63" s="14"/>
      <c r="U63" s="14"/>
      <c r="V63" s="14" t="str">
        <f t="shared" si="19"/>
        <v/>
      </c>
      <c r="W63" s="14"/>
    </row>
    <row r="64" spans="1:23" x14ac:dyDescent="0.35">
      <c r="A64" s="93"/>
      <c r="B64" s="94"/>
      <c r="C64" s="95"/>
      <c r="D64" s="79" t="str">
        <f t="shared" si="10"/>
        <v/>
      </c>
      <c r="E64" s="94"/>
      <c r="F64" s="79" t="str">
        <f t="shared" si="11"/>
        <v/>
      </c>
      <c r="G64" s="94"/>
      <c r="H64" s="79" t="str">
        <f t="shared" si="12"/>
        <v/>
      </c>
      <c r="I64" s="94"/>
      <c r="J64" s="79" t="str">
        <f t="shared" si="13"/>
        <v/>
      </c>
      <c r="K64" s="94"/>
      <c r="L64" s="79" t="str">
        <f t="shared" si="14"/>
        <v/>
      </c>
      <c r="M64" s="94"/>
      <c r="N64" s="79" t="str">
        <f t="shared" si="15"/>
        <v/>
      </c>
      <c r="O64" s="85" t="str">
        <f t="shared" si="16"/>
        <v/>
      </c>
      <c r="P64" s="79" t="str">
        <f t="shared" si="17"/>
        <v/>
      </c>
      <c r="Q64" s="182" t="str">
        <f t="shared" si="18"/>
        <v/>
      </c>
      <c r="R64" s="14"/>
      <c r="S64" s="14"/>
      <c r="T64" s="14"/>
      <c r="U64" s="14"/>
      <c r="V64" s="14" t="str">
        <f t="shared" si="19"/>
        <v/>
      </c>
      <c r="W64" s="14"/>
    </row>
    <row r="65" spans="1:23" x14ac:dyDescent="0.35">
      <c r="A65" s="93"/>
      <c r="B65" s="94"/>
      <c r="C65" s="95"/>
      <c r="D65" s="79" t="str">
        <f t="shared" si="10"/>
        <v/>
      </c>
      <c r="E65" s="94"/>
      <c r="F65" s="79" t="str">
        <f t="shared" si="11"/>
        <v/>
      </c>
      <c r="G65" s="94"/>
      <c r="H65" s="79" t="str">
        <f t="shared" si="12"/>
        <v/>
      </c>
      <c r="I65" s="94"/>
      <c r="J65" s="79" t="str">
        <f t="shared" si="13"/>
        <v/>
      </c>
      <c r="K65" s="94"/>
      <c r="L65" s="79" t="str">
        <f t="shared" si="14"/>
        <v/>
      </c>
      <c r="M65" s="94"/>
      <c r="N65" s="79" t="str">
        <f t="shared" si="15"/>
        <v/>
      </c>
      <c r="O65" s="85" t="str">
        <f t="shared" si="16"/>
        <v/>
      </c>
      <c r="P65" s="79" t="str">
        <f t="shared" si="17"/>
        <v/>
      </c>
      <c r="Q65" s="182" t="str">
        <f t="shared" si="18"/>
        <v/>
      </c>
      <c r="R65" s="14"/>
      <c r="S65" s="14"/>
      <c r="T65" s="14"/>
      <c r="U65" s="14"/>
      <c r="V65" s="14" t="str">
        <f t="shared" si="19"/>
        <v/>
      </c>
      <c r="W65" s="14"/>
    </row>
    <row r="66" spans="1:23" x14ac:dyDescent="0.35">
      <c r="A66" s="93"/>
      <c r="B66" s="94"/>
      <c r="C66" s="95"/>
      <c r="D66" s="79" t="str">
        <f t="shared" ref="D66:D97" si="20">IF(OR(A66="",B66="",C66=""),"",ROUND(B66*C66,2))</f>
        <v/>
      </c>
      <c r="E66" s="94"/>
      <c r="F66" s="79" t="str">
        <f t="shared" ref="F66:F97" si="21">IF(OR(A66="",E66="",C66="",NOT(ISNUMBER($U$2))),"",ROUND(E66*C66*$U$2,2))</f>
        <v/>
      </c>
      <c r="G66" s="94"/>
      <c r="H66" s="79" t="str">
        <f t="shared" ref="H66:H97" si="22">IF(OR(A66="",G66="",C66="",NOT(ISNUMBER($U$3))),"",ROUND(G66*C66*$U$3,2))</f>
        <v/>
      </c>
      <c r="I66" s="94"/>
      <c r="J66" s="79" t="str">
        <f t="shared" ref="J66:J97" si="23">IF(OR(A66="",I66="",C66="",NOT(ISNUMBER($U$4))),"",ROUND(I66*C66*$U$4,2))</f>
        <v/>
      </c>
      <c r="K66" s="94"/>
      <c r="L66" s="79" t="str">
        <f t="shared" ref="L66:L97" si="24">IF(OR(A66="",K66="",C66="",NOT(ISNUMBER($U$5))),"",ROUND(K66*C66*$U$5,2))</f>
        <v/>
      </c>
      <c r="M66" s="94"/>
      <c r="N66" s="79" t="str">
        <f t="shared" ref="N66:N97" si="25">IF(OR(A66="",M66="",C66="",NOT(ISNUMBER($U$6))),"",ROUND(M66*C66*$U$6,2))</f>
        <v/>
      </c>
      <c r="O66" s="85" t="str">
        <f t="shared" ref="O66:O97" si="26">IF(A66="","",SUM(E66,G66,I66,K66,M66))</f>
        <v/>
      </c>
      <c r="P66" s="79" t="str">
        <f t="shared" ref="P66:P97" si="27">IF(A66="","",SUM(F66,H66,J66,L66,N66))</f>
        <v/>
      </c>
      <c r="Q66" s="182" t="str">
        <f t="shared" ref="Q66:Q97" si="28">IF(A66="","",IF(O66&gt;B66,"DIVERGENCIA: CONSUMO MAIOR QUE CONTRATADO","OK"))</f>
        <v/>
      </c>
      <c r="R66" s="14"/>
      <c r="S66" s="14"/>
      <c r="T66" s="14"/>
      <c r="U66" s="14"/>
      <c r="V66" s="14" t="str">
        <f t="shared" ref="V66:V97" si="29">IF(A66="","",IF(OR(NOT(ISNUMBER(B66)),NOT(ISNUMBER(O66)),NOT(ISNUMBER(C66)),Q66&lt;&gt;"OK"),"",ROUND(MAX(B66-O66,0)*C66,2)))</f>
        <v/>
      </c>
      <c r="W66" s="14"/>
    </row>
    <row r="67" spans="1:23" x14ac:dyDescent="0.35">
      <c r="A67" s="93"/>
      <c r="B67" s="94"/>
      <c r="C67" s="95"/>
      <c r="D67" s="79" t="str">
        <f t="shared" si="20"/>
        <v/>
      </c>
      <c r="E67" s="94"/>
      <c r="F67" s="79" t="str">
        <f t="shared" si="21"/>
        <v/>
      </c>
      <c r="G67" s="94"/>
      <c r="H67" s="79" t="str">
        <f t="shared" si="22"/>
        <v/>
      </c>
      <c r="I67" s="94"/>
      <c r="J67" s="79" t="str">
        <f t="shared" si="23"/>
        <v/>
      </c>
      <c r="K67" s="94"/>
      <c r="L67" s="79" t="str">
        <f t="shared" si="24"/>
        <v/>
      </c>
      <c r="M67" s="94"/>
      <c r="N67" s="79" t="str">
        <f t="shared" si="25"/>
        <v/>
      </c>
      <c r="O67" s="85" t="str">
        <f t="shared" si="26"/>
        <v/>
      </c>
      <c r="P67" s="79" t="str">
        <f t="shared" si="27"/>
        <v/>
      </c>
      <c r="Q67" s="182" t="str">
        <f t="shared" si="28"/>
        <v/>
      </c>
      <c r="R67" s="14"/>
      <c r="S67" s="14"/>
      <c r="T67" s="14"/>
      <c r="U67" s="14"/>
      <c r="V67" s="14" t="str">
        <f t="shared" si="29"/>
        <v/>
      </c>
      <c r="W67" s="14"/>
    </row>
    <row r="68" spans="1:23" x14ac:dyDescent="0.35">
      <c r="A68" s="93"/>
      <c r="B68" s="94"/>
      <c r="C68" s="95"/>
      <c r="D68" s="79" t="str">
        <f t="shared" si="20"/>
        <v/>
      </c>
      <c r="E68" s="94"/>
      <c r="F68" s="79" t="str">
        <f t="shared" si="21"/>
        <v/>
      </c>
      <c r="G68" s="94"/>
      <c r="H68" s="79" t="str">
        <f t="shared" si="22"/>
        <v/>
      </c>
      <c r="I68" s="94"/>
      <c r="J68" s="79" t="str">
        <f t="shared" si="23"/>
        <v/>
      </c>
      <c r="K68" s="94"/>
      <c r="L68" s="79" t="str">
        <f t="shared" si="24"/>
        <v/>
      </c>
      <c r="M68" s="94"/>
      <c r="N68" s="79" t="str">
        <f t="shared" si="25"/>
        <v/>
      </c>
      <c r="O68" s="85" t="str">
        <f t="shared" si="26"/>
        <v/>
      </c>
      <c r="P68" s="79" t="str">
        <f t="shared" si="27"/>
        <v/>
      </c>
      <c r="Q68" s="182" t="str">
        <f t="shared" si="28"/>
        <v/>
      </c>
      <c r="R68" s="14"/>
      <c r="S68" s="14"/>
      <c r="T68" s="14"/>
      <c r="U68" s="14"/>
      <c r="V68" s="14" t="str">
        <f t="shared" si="29"/>
        <v/>
      </c>
      <c r="W68" s="14"/>
    </row>
    <row r="69" spans="1:23" x14ac:dyDescent="0.35">
      <c r="A69" s="93"/>
      <c r="B69" s="94"/>
      <c r="C69" s="95"/>
      <c r="D69" s="79" t="str">
        <f t="shared" si="20"/>
        <v/>
      </c>
      <c r="E69" s="94"/>
      <c r="F69" s="79" t="str">
        <f t="shared" si="21"/>
        <v/>
      </c>
      <c r="G69" s="94"/>
      <c r="H69" s="79" t="str">
        <f t="shared" si="22"/>
        <v/>
      </c>
      <c r="I69" s="94"/>
      <c r="J69" s="79" t="str">
        <f t="shared" si="23"/>
        <v/>
      </c>
      <c r="K69" s="94"/>
      <c r="L69" s="79" t="str">
        <f t="shared" si="24"/>
        <v/>
      </c>
      <c r="M69" s="94"/>
      <c r="N69" s="79" t="str">
        <f t="shared" si="25"/>
        <v/>
      </c>
      <c r="O69" s="85" t="str">
        <f t="shared" si="26"/>
        <v/>
      </c>
      <c r="P69" s="79" t="str">
        <f t="shared" si="27"/>
        <v/>
      </c>
      <c r="Q69" s="182" t="str">
        <f t="shared" si="28"/>
        <v/>
      </c>
      <c r="R69" s="14"/>
      <c r="S69" s="14"/>
      <c r="T69" s="14"/>
      <c r="U69" s="14"/>
      <c r="V69" s="14" t="str">
        <f t="shared" si="29"/>
        <v/>
      </c>
      <c r="W69" s="14"/>
    </row>
    <row r="70" spans="1:23" x14ac:dyDescent="0.35">
      <c r="A70" s="93"/>
      <c r="B70" s="94"/>
      <c r="C70" s="95"/>
      <c r="D70" s="79" t="str">
        <f t="shared" si="20"/>
        <v/>
      </c>
      <c r="E70" s="94"/>
      <c r="F70" s="79" t="str">
        <f t="shared" si="21"/>
        <v/>
      </c>
      <c r="G70" s="94"/>
      <c r="H70" s="79" t="str">
        <f t="shared" si="22"/>
        <v/>
      </c>
      <c r="I70" s="94"/>
      <c r="J70" s="79" t="str">
        <f t="shared" si="23"/>
        <v/>
      </c>
      <c r="K70" s="94"/>
      <c r="L70" s="79" t="str">
        <f t="shared" si="24"/>
        <v/>
      </c>
      <c r="M70" s="94"/>
      <c r="N70" s="79" t="str">
        <f t="shared" si="25"/>
        <v/>
      </c>
      <c r="O70" s="85" t="str">
        <f t="shared" si="26"/>
        <v/>
      </c>
      <c r="P70" s="79" t="str">
        <f t="shared" si="27"/>
        <v/>
      </c>
      <c r="Q70" s="182" t="str">
        <f t="shared" si="28"/>
        <v/>
      </c>
      <c r="R70" s="14"/>
      <c r="S70" s="14"/>
      <c r="T70" s="14"/>
      <c r="U70" s="14"/>
      <c r="V70" s="14" t="str">
        <f t="shared" si="29"/>
        <v/>
      </c>
      <c r="W70" s="14"/>
    </row>
    <row r="71" spans="1:23" x14ac:dyDescent="0.35">
      <c r="A71" s="93"/>
      <c r="B71" s="94"/>
      <c r="C71" s="95"/>
      <c r="D71" s="79" t="str">
        <f t="shared" si="20"/>
        <v/>
      </c>
      <c r="E71" s="94"/>
      <c r="F71" s="79" t="str">
        <f t="shared" si="21"/>
        <v/>
      </c>
      <c r="G71" s="94"/>
      <c r="H71" s="79" t="str">
        <f t="shared" si="22"/>
        <v/>
      </c>
      <c r="I71" s="94"/>
      <c r="J71" s="79" t="str">
        <f t="shared" si="23"/>
        <v/>
      </c>
      <c r="K71" s="94"/>
      <c r="L71" s="79" t="str">
        <f t="shared" si="24"/>
        <v/>
      </c>
      <c r="M71" s="94"/>
      <c r="N71" s="79" t="str">
        <f t="shared" si="25"/>
        <v/>
      </c>
      <c r="O71" s="85" t="str">
        <f t="shared" si="26"/>
        <v/>
      </c>
      <c r="P71" s="79" t="str">
        <f t="shared" si="27"/>
        <v/>
      </c>
      <c r="Q71" s="182" t="str">
        <f t="shared" si="28"/>
        <v/>
      </c>
      <c r="R71" s="14"/>
      <c r="S71" s="14"/>
      <c r="T71" s="14"/>
      <c r="U71" s="14"/>
      <c r="V71" s="14" t="str">
        <f t="shared" si="29"/>
        <v/>
      </c>
      <c r="W71" s="14"/>
    </row>
    <row r="72" spans="1:23" x14ac:dyDescent="0.35">
      <c r="A72" s="93"/>
      <c r="B72" s="94"/>
      <c r="C72" s="95"/>
      <c r="D72" s="79" t="str">
        <f t="shared" si="20"/>
        <v/>
      </c>
      <c r="E72" s="94"/>
      <c r="F72" s="79" t="str">
        <f t="shared" si="21"/>
        <v/>
      </c>
      <c r="G72" s="94"/>
      <c r="H72" s="79" t="str">
        <f t="shared" si="22"/>
        <v/>
      </c>
      <c r="I72" s="94"/>
      <c r="J72" s="79" t="str">
        <f t="shared" si="23"/>
        <v/>
      </c>
      <c r="K72" s="94"/>
      <c r="L72" s="79" t="str">
        <f t="shared" si="24"/>
        <v/>
      </c>
      <c r="M72" s="94"/>
      <c r="N72" s="79" t="str">
        <f t="shared" si="25"/>
        <v/>
      </c>
      <c r="O72" s="85" t="str">
        <f t="shared" si="26"/>
        <v/>
      </c>
      <c r="P72" s="79" t="str">
        <f t="shared" si="27"/>
        <v/>
      </c>
      <c r="Q72" s="182" t="str">
        <f t="shared" si="28"/>
        <v/>
      </c>
      <c r="R72" s="14"/>
      <c r="S72" s="14"/>
      <c r="T72" s="14"/>
      <c r="U72" s="14"/>
      <c r="V72" s="14" t="str">
        <f t="shared" si="29"/>
        <v/>
      </c>
      <c r="W72" s="14"/>
    </row>
    <row r="73" spans="1:23" x14ac:dyDescent="0.35">
      <c r="A73" s="93"/>
      <c r="B73" s="94"/>
      <c r="C73" s="95"/>
      <c r="D73" s="79" t="str">
        <f t="shared" si="20"/>
        <v/>
      </c>
      <c r="E73" s="94"/>
      <c r="F73" s="79" t="str">
        <f t="shared" si="21"/>
        <v/>
      </c>
      <c r="G73" s="94"/>
      <c r="H73" s="79" t="str">
        <f t="shared" si="22"/>
        <v/>
      </c>
      <c r="I73" s="94"/>
      <c r="J73" s="79" t="str">
        <f t="shared" si="23"/>
        <v/>
      </c>
      <c r="K73" s="94"/>
      <c r="L73" s="79" t="str">
        <f t="shared" si="24"/>
        <v/>
      </c>
      <c r="M73" s="94"/>
      <c r="N73" s="79" t="str">
        <f t="shared" si="25"/>
        <v/>
      </c>
      <c r="O73" s="85" t="str">
        <f t="shared" si="26"/>
        <v/>
      </c>
      <c r="P73" s="79" t="str">
        <f t="shared" si="27"/>
        <v/>
      </c>
      <c r="Q73" s="182" t="str">
        <f t="shared" si="28"/>
        <v/>
      </c>
      <c r="R73" s="14"/>
      <c r="S73" s="14"/>
      <c r="T73" s="14"/>
      <c r="U73" s="14"/>
      <c r="V73" s="14" t="str">
        <f t="shared" si="29"/>
        <v/>
      </c>
      <c r="W73" s="14"/>
    </row>
    <row r="74" spans="1:23" x14ac:dyDescent="0.35">
      <c r="A74" s="93"/>
      <c r="B74" s="94"/>
      <c r="C74" s="95"/>
      <c r="D74" s="79" t="str">
        <f t="shared" si="20"/>
        <v/>
      </c>
      <c r="E74" s="94"/>
      <c r="F74" s="79" t="str">
        <f t="shared" si="21"/>
        <v/>
      </c>
      <c r="G74" s="94"/>
      <c r="H74" s="79" t="str">
        <f t="shared" si="22"/>
        <v/>
      </c>
      <c r="I74" s="94"/>
      <c r="J74" s="79" t="str">
        <f t="shared" si="23"/>
        <v/>
      </c>
      <c r="K74" s="94"/>
      <c r="L74" s="79" t="str">
        <f t="shared" si="24"/>
        <v/>
      </c>
      <c r="M74" s="94"/>
      <c r="N74" s="79" t="str">
        <f t="shared" si="25"/>
        <v/>
      </c>
      <c r="O74" s="85" t="str">
        <f t="shared" si="26"/>
        <v/>
      </c>
      <c r="P74" s="79" t="str">
        <f t="shared" si="27"/>
        <v/>
      </c>
      <c r="Q74" s="182" t="str">
        <f t="shared" si="28"/>
        <v/>
      </c>
      <c r="R74" s="14"/>
      <c r="S74" s="14"/>
      <c r="T74" s="14"/>
      <c r="U74" s="14"/>
      <c r="V74" s="14" t="str">
        <f t="shared" si="29"/>
        <v/>
      </c>
      <c r="W74" s="14"/>
    </row>
    <row r="75" spans="1:23" x14ac:dyDescent="0.35">
      <c r="A75" s="93"/>
      <c r="B75" s="94"/>
      <c r="C75" s="95"/>
      <c r="D75" s="79" t="str">
        <f t="shared" si="20"/>
        <v/>
      </c>
      <c r="E75" s="94"/>
      <c r="F75" s="79" t="str">
        <f t="shared" si="21"/>
        <v/>
      </c>
      <c r="G75" s="94"/>
      <c r="H75" s="79" t="str">
        <f t="shared" si="22"/>
        <v/>
      </c>
      <c r="I75" s="94"/>
      <c r="J75" s="79" t="str">
        <f t="shared" si="23"/>
        <v/>
      </c>
      <c r="K75" s="94"/>
      <c r="L75" s="79" t="str">
        <f t="shared" si="24"/>
        <v/>
      </c>
      <c r="M75" s="94"/>
      <c r="N75" s="79" t="str">
        <f t="shared" si="25"/>
        <v/>
      </c>
      <c r="O75" s="85" t="str">
        <f t="shared" si="26"/>
        <v/>
      </c>
      <c r="P75" s="79" t="str">
        <f t="shared" si="27"/>
        <v/>
      </c>
      <c r="Q75" s="182" t="str">
        <f t="shared" si="28"/>
        <v/>
      </c>
      <c r="R75" s="14"/>
      <c r="S75" s="14"/>
      <c r="T75" s="14"/>
      <c r="U75" s="14"/>
      <c r="V75" s="14" t="str">
        <f t="shared" si="29"/>
        <v/>
      </c>
      <c r="W75" s="14"/>
    </row>
    <row r="76" spans="1:23" x14ac:dyDescent="0.35">
      <c r="A76" s="93"/>
      <c r="B76" s="94"/>
      <c r="C76" s="95"/>
      <c r="D76" s="79" t="str">
        <f t="shared" si="20"/>
        <v/>
      </c>
      <c r="E76" s="94"/>
      <c r="F76" s="79" t="str">
        <f t="shared" si="21"/>
        <v/>
      </c>
      <c r="G76" s="94"/>
      <c r="H76" s="79" t="str">
        <f t="shared" si="22"/>
        <v/>
      </c>
      <c r="I76" s="94"/>
      <c r="J76" s="79" t="str">
        <f t="shared" si="23"/>
        <v/>
      </c>
      <c r="K76" s="94"/>
      <c r="L76" s="79" t="str">
        <f t="shared" si="24"/>
        <v/>
      </c>
      <c r="M76" s="94"/>
      <c r="N76" s="79" t="str">
        <f t="shared" si="25"/>
        <v/>
      </c>
      <c r="O76" s="85" t="str">
        <f t="shared" si="26"/>
        <v/>
      </c>
      <c r="P76" s="79" t="str">
        <f t="shared" si="27"/>
        <v/>
      </c>
      <c r="Q76" s="182" t="str">
        <f t="shared" si="28"/>
        <v/>
      </c>
      <c r="R76" s="14"/>
      <c r="S76" s="14"/>
      <c r="T76" s="14"/>
      <c r="U76" s="14"/>
      <c r="V76" s="14" t="str">
        <f t="shared" si="29"/>
        <v/>
      </c>
      <c r="W76" s="14"/>
    </row>
    <row r="77" spans="1:23" x14ac:dyDescent="0.35">
      <c r="A77" s="93"/>
      <c r="B77" s="94"/>
      <c r="C77" s="95"/>
      <c r="D77" s="79" t="str">
        <f t="shared" si="20"/>
        <v/>
      </c>
      <c r="E77" s="94"/>
      <c r="F77" s="79" t="str">
        <f t="shared" si="21"/>
        <v/>
      </c>
      <c r="G77" s="94"/>
      <c r="H77" s="79" t="str">
        <f t="shared" si="22"/>
        <v/>
      </c>
      <c r="I77" s="94"/>
      <c r="J77" s="79" t="str">
        <f t="shared" si="23"/>
        <v/>
      </c>
      <c r="K77" s="94"/>
      <c r="L77" s="79" t="str">
        <f t="shared" si="24"/>
        <v/>
      </c>
      <c r="M77" s="94"/>
      <c r="N77" s="79" t="str">
        <f t="shared" si="25"/>
        <v/>
      </c>
      <c r="O77" s="85" t="str">
        <f t="shared" si="26"/>
        <v/>
      </c>
      <c r="P77" s="79" t="str">
        <f t="shared" si="27"/>
        <v/>
      </c>
      <c r="Q77" s="182" t="str">
        <f t="shared" si="28"/>
        <v/>
      </c>
      <c r="R77" s="14"/>
      <c r="S77" s="14"/>
      <c r="T77" s="14"/>
      <c r="U77" s="14"/>
      <c r="V77" s="14" t="str">
        <f t="shared" si="29"/>
        <v/>
      </c>
      <c r="W77" s="14"/>
    </row>
    <row r="78" spans="1:23" x14ac:dyDescent="0.35">
      <c r="A78" s="93"/>
      <c r="B78" s="94"/>
      <c r="C78" s="95"/>
      <c r="D78" s="79" t="str">
        <f t="shared" si="20"/>
        <v/>
      </c>
      <c r="E78" s="94"/>
      <c r="F78" s="79" t="str">
        <f t="shared" si="21"/>
        <v/>
      </c>
      <c r="G78" s="94"/>
      <c r="H78" s="79" t="str">
        <f t="shared" si="22"/>
        <v/>
      </c>
      <c r="I78" s="94"/>
      <c r="J78" s="79" t="str">
        <f t="shared" si="23"/>
        <v/>
      </c>
      <c r="K78" s="94"/>
      <c r="L78" s="79" t="str">
        <f t="shared" si="24"/>
        <v/>
      </c>
      <c r="M78" s="94"/>
      <c r="N78" s="79" t="str">
        <f t="shared" si="25"/>
        <v/>
      </c>
      <c r="O78" s="85" t="str">
        <f t="shared" si="26"/>
        <v/>
      </c>
      <c r="P78" s="79" t="str">
        <f t="shared" si="27"/>
        <v/>
      </c>
      <c r="Q78" s="182" t="str">
        <f t="shared" si="28"/>
        <v/>
      </c>
      <c r="R78" s="14"/>
      <c r="S78" s="14"/>
      <c r="T78" s="14"/>
      <c r="U78" s="14"/>
      <c r="V78" s="14" t="str">
        <f t="shared" si="29"/>
        <v/>
      </c>
      <c r="W78" s="14"/>
    </row>
    <row r="79" spans="1:23" x14ac:dyDescent="0.35">
      <c r="A79" s="93"/>
      <c r="B79" s="94"/>
      <c r="C79" s="95"/>
      <c r="D79" s="79" t="str">
        <f t="shared" si="20"/>
        <v/>
      </c>
      <c r="E79" s="94"/>
      <c r="F79" s="79" t="str">
        <f t="shared" si="21"/>
        <v/>
      </c>
      <c r="G79" s="94"/>
      <c r="H79" s="79" t="str">
        <f t="shared" si="22"/>
        <v/>
      </c>
      <c r="I79" s="94"/>
      <c r="J79" s="79" t="str">
        <f t="shared" si="23"/>
        <v/>
      </c>
      <c r="K79" s="94"/>
      <c r="L79" s="79" t="str">
        <f t="shared" si="24"/>
        <v/>
      </c>
      <c r="M79" s="94"/>
      <c r="N79" s="79" t="str">
        <f t="shared" si="25"/>
        <v/>
      </c>
      <c r="O79" s="85" t="str">
        <f t="shared" si="26"/>
        <v/>
      </c>
      <c r="P79" s="79" t="str">
        <f t="shared" si="27"/>
        <v/>
      </c>
      <c r="Q79" s="182" t="str">
        <f t="shared" si="28"/>
        <v/>
      </c>
      <c r="R79" s="14"/>
      <c r="S79" s="14"/>
      <c r="T79" s="14"/>
      <c r="U79" s="14"/>
      <c r="V79" s="14" t="str">
        <f t="shared" si="29"/>
        <v/>
      </c>
      <c r="W79" s="14"/>
    </row>
    <row r="80" spans="1:23" x14ac:dyDescent="0.35">
      <c r="A80" s="93"/>
      <c r="B80" s="94"/>
      <c r="C80" s="95"/>
      <c r="D80" s="79" t="str">
        <f t="shared" si="20"/>
        <v/>
      </c>
      <c r="E80" s="94"/>
      <c r="F80" s="79" t="str">
        <f t="shared" si="21"/>
        <v/>
      </c>
      <c r="G80" s="94"/>
      <c r="H80" s="79" t="str">
        <f t="shared" si="22"/>
        <v/>
      </c>
      <c r="I80" s="94"/>
      <c r="J80" s="79" t="str">
        <f t="shared" si="23"/>
        <v/>
      </c>
      <c r="K80" s="94"/>
      <c r="L80" s="79" t="str">
        <f t="shared" si="24"/>
        <v/>
      </c>
      <c r="M80" s="94"/>
      <c r="N80" s="79" t="str">
        <f t="shared" si="25"/>
        <v/>
      </c>
      <c r="O80" s="85" t="str">
        <f t="shared" si="26"/>
        <v/>
      </c>
      <c r="P80" s="79" t="str">
        <f t="shared" si="27"/>
        <v/>
      </c>
      <c r="Q80" s="182" t="str">
        <f t="shared" si="28"/>
        <v/>
      </c>
      <c r="R80" s="14"/>
      <c r="S80" s="14"/>
      <c r="T80" s="14"/>
      <c r="U80" s="14"/>
      <c r="V80" s="14" t="str">
        <f t="shared" si="29"/>
        <v/>
      </c>
      <c r="W80" s="14"/>
    </row>
    <row r="81" spans="1:23" x14ac:dyDescent="0.35">
      <c r="A81" s="93"/>
      <c r="B81" s="94"/>
      <c r="C81" s="95"/>
      <c r="D81" s="79" t="str">
        <f t="shared" si="20"/>
        <v/>
      </c>
      <c r="E81" s="94"/>
      <c r="F81" s="79" t="str">
        <f t="shared" si="21"/>
        <v/>
      </c>
      <c r="G81" s="94"/>
      <c r="H81" s="79" t="str">
        <f t="shared" si="22"/>
        <v/>
      </c>
      <c r="I81" s="94"/>
      <c r="J81" s="79" t="str">
        <f t="shared" si="23"/>
        <v/>
      </c>
      <c r="K81" s="94"/>
      <c r="L81" s="79" t="str">
        <f t="shared" si="24"/>
        <v/>
      </c>
      <c r="M81" s="94"/>
      <c r="N81" s="79" t="str">
        <f t="shared" si="25"/>
        <v/>
      </c>
      <c r="O81" s="85" t="str">
        <f t="shared" si="26"/>
        <v/>
      </c>
      <c r="P81" s="79" t="str">
        <f t="shared" si="27"/>
        <v/>
      </c>
      <c r="Q81" s="182" t="str">
        <f t="shared" si="28"/>
        <v/>
      </c>
      <c r="R81" s="14"/>
      <c r="S81" s="14"/>
      <c r="T81" s="14"/>
      <c r="U81" s="14"/>
      <c r="V81" s="14" t="str">
        <f t="shared" si="29"/>
        <v/>
      </c>
      <c r="W81" s="14"/>
    </row>
    <row r="82" spans="1:23" x14ac:dyDescent="0.35">
      <c r="A82" s="93"/>
      <c r="B82" s="94"/>
      <c r="C82" s="95"/>
      <c r="D82" s="79" t="str">
        <f t="shared" si="20"/>
        <v/>
      </c>
      <c r="E82" s="94"/>
      <c r="F82" s="79" t="str">
        <f t="shared" si="21"/>
        <v/>
      </c>
      <c r="G82" s="94"/>
      <c r="H82" s="79" t="str">
        <f t="shared" si="22"/>
        <v/>
      </c>
      <c r="I82" s="94"/>
      <c r="J82" s="79" t="str">
        <f t="shared" si="23"/>
        <v/>
      </c>
      <c r="K82" s="94"/>
      <c r="L82" s="79" t="str">
        <f t="shared" si="24"/>
        <v/>
      </c>
      <c r="M82" s="94"/>
      <c r="N82" s="79" t="str">
        <f t="shared" si="25"/>
        <v/>
      </c>
      <c r="O82" s="85" t="str">
        <f t="shared" si="26"/>
        <v/>
      </c>
      <c r="P82" s="79" t="str">
        <f t="shared" si="27"/>
        <v/>
      </c>
      <c r="Q82" s="182" t="str">
        <f t="shared" si="28"/>
        <v/>
      </c>
      <c r="R82" s="14"/>
      <c r="S82" s="14"/>
      <c r="T82" s="14"/>
      <c r="U82" s="14"/>
      <c r="V82" s="14" t="str">
        <f t="shared" si="29"/>
        <v/>
      </c>
      <c r="W82" s="14"/>
    </row>
    <row r="83" spans="1:23" x14ac:dyDescent="0.35">
      <c r="A83" s="93"/>
      <c r="B83" s="94"/>
      <c r="C83" s="95"/>
      <c r="D83" s="79" t="str">
        <f t="shared" si="20"/>
        <v/>
      </c>
      <c r="E83" s="94"/>
      <c r="F83" s="79" t="str">
        <f t="shared" si="21"/>
        <v/>
      </c>
      <c r="G83" s="94"/>
      <c r="H83" s="79" t="str">
        <f t="shared" si="22"/>
        <v/>
      </c>
      <c r="I83" s="94"/>
      <c r="J83" s="79" t="str">
        <f t="shared" si="23"/>
        <v/>
      </c>
      <c r="K83" s="94"/>
      <c r="L83" s="79" t="str">
        <f t="shared" si="24"/>
        <v/>
      </c>
      <c r="M83" s="94"/>
      <c r="N83" s="79" t="str">
        <f t="shared" si="25"/>
        <v/>
      </c>
      <c r="O83" s="85" t="str">
        <f t="shared" si="26"/>
        <v/>
      </c>
      <c r="P83" s="79" t="str">
        <f t="shared" si="27"/>
        <v/>
      </c>
      <c r="Q83" s="182" t="str">
        <f t="shared" si="28"/>
        <v/>
      </c>
      <c r="R83" s="14"/>
      <c r="S83" s="14"/>
      <c r="T83" s="14"/>
      <c r="U83" s="14"/>
      <c r="V83" s="14" t="str">
        <f t="shared" si="29"/>
        <v/>
      </c>
      <c r="W83" s="14"/>
    </row>
    <row r="84" spans="1:23" x14ac:dyDescent="0.35">
      <c r="A84" s="93"/>
      <c r="B84" s="94"/>
      <c r="C84" s="95"/>
      <c r="D84" s="79" t="str">
        <f t="shared" si="20"/>
        <v/>
      </c>
      <c r="E84" s="94"/>
      <c r="F84" s="79" t="str">
        <f t="shared" si="21"/>
        <v/>
      </c>
      <c r="G84" s="94"/>
      <c r="H84" s="79" t="str">
        <f t="shared" si="22"/>
        <v/>
      </c>
      <c r="I84" s="94"/>
      <c r="J84" s="79" t="str">
        <f t="shared" si="23"/>
        <v/>
      </c>
      <c r="K84" s="94"/>
      <c r="L84" s="79" t="str">
        <f t="shared" si="24"/>
        <v/>
      </c>
      <c r="M84" s="94"/>
      <c r="N84" s="79" t="str">
        <f t="shared" si="25"/>
        <v/>
      </c>
      <c r="O84" s="85" t="str">
        <f t="shared" si="26"/>
        <v/>
      </c>
      <c r="P84" s="79" t="str">
        <f t="shared" si="27"/>
        <v/>
      </c>
      <c r="Q84" s="182" t="str">
        <f t="shared" si="28"/>
        <v/>
      </c>
      <c r="R84" s="14"/>
      <c r="S84" s="14"/>
      <c r="T84" s="14"/>
      <c r="U84" s="14"/>
      <c r="V84" s="14" t="str">
        <f t="shared" si="29"/>
        <v/>
      </c>
      <c r="W84" s="14"/>
    </row>
    <row r="85" spans="1:23" x14ac:dyDescent="0.35">
      <c r="A85" s="93"/>
      <c r="B85" s="94"/>
      <c r="C85" s="95"/>
      <c r="D85" s="79" t="str">
        <f t="shared" si="20"/>
        <v/>
      </c>
      <c r="E85" s="94"/>
      <c r="F85" s="79" t="str">
        <f t="shared" si="21"/>
        <v/>
      </c>
      <c r="G85" s="94"/>
      <c r="H85" s="79" t="str">
        <f t="shared" si="22"/>
        <v/>
      </c>
      <c r="I85" s="94"/>
      <c r="J85" s="79" t="str">
        <f t="shared" si="23"/>
        <v/>
      </c>
      <c r="K85" s="94"/>
      <c r="L85" s="79" t="str">
        <f t="shared" si="24"/>
        <v/>
      </c>
      <c r="M85" s="94"/>
      <c r="N85" s="79" t="str">
        <f t="shared" si="25"/>
        <v/>
      </c>
      <c r="O85" s="85" t="str">
        <f t="shared" si="26"/>
        <v/>
      </c>
      <c r="P85" s="79" t="str">
        <f t="shared" si="27"/>
        <v/>
      </c>
      <c r="Q85" s="182" t="str">
        <f t="shared" si="28"/>
        <v/>
      </c>
      <c r="R85" s="14"/>
      <c r="S85" s="14"/>
      <c r="T85" s="14"/>
      <c r="U85" s="14"/>
      <c r="V85" s="14" t="str">
        <f t="shared" si="29"/>
        <v/>
      </c>
      <c r="W85" s="14"/>
    </row>
    <row r="86" spans="1:23" x14ac:dyDescent="0.35">
      <c r="A86" s="93"/>
      <c r="B86" s="94"/>
      <c r="C86" s="95"/>
      <c r="D86" s="79" t="str">
        <f t="shared" si="20"/>
        <v/>
      </c>
      <c r="E86" s="94"/>
      <c r="F86" s="79" t="str">
        <f t="shared" si="21"/>
        <v/>
      </c>
      <c r="G86" s="94"/>
      <c r="H86" s="79" t="str">
        <f t="shared" si="22"/>
        <v/>
      </c>
      <c r="I86" s="94"/>
      <c r="J86" s="79" t="str">
        <f t="shared" si="23"/>
        <v/>
      </c>
      <c r="K86" s="94"/>
      <c r="L86" s="79" t="str">
        <f t="shared" si="24"/>
        <v/>
      </c>
      <c r="M86" s="94"/>
      <c r="N86" s="79" t="str">
        <f t="shared" si="25"/>
        <v/>
      </c>
      <c r="O86" s="85" t="str">
        <f t="shared" si="26"/>
        <v/>
      </c>
      <c r="P86" s="79" t="str">
        <f t="shared" si="27"/>
        <v/>
      </c>
      <c r="Q86" s="182" t="str">
        <f t="shared" si="28"/>
        <v/>
      </c>
      <c r="R86" s="14"/>
      <c r="S86" s="14"/>
      <c r="T86" s="14"/>
      <c r="U86" s="14"/>
      <c r="V86" s="14" t="str">
        <f t="shared" si="29"/>
        <v/>
      </c>
      <c r="W86" s="14"/>
    </row>
    <row r="87" spans="1:23" x14ac:dyDescent="0.35">
      <c r="A87" s="93"/>
      <c r="B87" s="94"/>
      <c r="C87" s="95"/>
      <c r="D87" s="79" t="str">
        <f t="shared" si="20"/>
        <v/>
      </c>
      <c r="E87" s="94"/>
      <c r="F87" s="79" t="str">
        <f t="shared" si="21"/>
        <v/>
      </c>
      <c r="G87" s="94"/>
      <c r="H87" s="79" t="str">
        <f t="shared" si="22"/>
        <v/>
      </c>
      <c r="I87" s="94"/>
      <c r="J87" s="79" t="str">
        <f t="shared" si="23"/>
        <v/>
      </c>
      <c r="K87" s="94"/>
      <c r="L87" s="79" t="str">
        <f t="shared" si="24"/>
        <v/>
      </c>
      <c r="M87" s="94"/>
      <c r="N87" s="79" t="str">
        <f t="shared" si="25"/>
        <v/>
      </c>
      <c r="O87" s="85" t="str">
        <f t="shared" si="26"/>
        <v/>
      </c>
      <c r="P87" s="79" t="str">
        <f t="shared" si="27"/>
        <v/>
      </c>
      <c r="Q87" s="182" t="str">
        <f t="shared" si="28"/>
        <v/>
      </c>
      <c r="R87" s="14"/>
      <c r="S87" s="14"/>
      <c r="T87" s="14"/>
      <c r="U87" s="14"/>
      <c r="V87" s="14" t="str">
        <f t="shared" si="29"/>
        <v/>
      </c>
      <c r="W87" s="14"/>
    </row>
    <row r="88" spans="1:23" x14ac:dyDescent="0.35">
      <c r="A88" s="93"/>
      <c r="B88" s="94"/>
      <c r="C88" s="95"/>
      <c r="D88" s="79" t="str">
        <f t="shared" si="20"/>
        <v/>
      </c>
      <c r="E88" s="94"/>
      <c r="F88" s="79" t="str">
        <f t="shared" si="21"/>
        <v/>
      </c>
      <c r="G88" s="94"/>
      <c r="H88" s="79" t="str">
        <f t="shared" si="22"/>
        <v/>
      </c>
      <c r="I88" s="94"/>
      <c r="J88" s="79" t="str">
        <f t="shared" si="23"/>
        <v/>
      </c>
      <c r="K88" s="94"/>
      <c r="L88" s="79" t="str">
        <f t="shared" si="24"/>
        <v/>
      </c>
      <c r="M88" s="94"/>
      <c r="N88" s="79" t="str">
        <f t="shared" si="25"/>
        <v/>
      </c>
      <c r="O88" s="85" t="str">
        <f t="shared" si="26"/>
        <v/>
      </c>
      <c r="P88" s="79" t="str">
        <f t="shared" si="27"/>
        <v/>
      </c>
      <c r="Q88" s="182" t="str">
        <f t="shared" si="28"/>
        <v/>
      </c>
      <c r="R88" s="14"/>
      <c r="S88" s="14"/>
      <c r="T88" s="14"/>
      <c r="U88" s="14"/>
      <c r="V88" s="14" t="str">
        <f t="shared" si="29"/>
        <v/>
      </c>
      <c r="W88" s="14"/>
    </row>
    <row r="89" spans="1:23" x14ac:dyDescent="0.35">
      <c r="A89" s="93"/>
      <c r="B89" s="94"/>
      <c r="C89" s="95"/>
      <c r="D89" s="79" t="str">
        <f t="shared" si="20"/>
        <v/>
      </c>
      <c r="E89" s="94"/>
      <c r="F89" s="79" t="str">
        <f t="shared" si="21"/>
        <v/>
      </c>
      <c r="G89" s="94"/>
      <c r="H89" s="79" t="str">
        <f t="shared" si="22"/>
        <v/>
      </c>
      <c r="I89" s="94"/>
      <c r="J89" s="79" t="str">
        <f t="shared" si="23"/>
        <v/>
      </c>
      <c r="K89" s="94"/>
      <c r="L89" s="79" t="str">
        <f t="shared" si="24"/>
        <v/>
      </c>
      <c r="M89" s="94"/>
      <c r="N89" s="79" t="str">
        <f t="shared" si="25"/>
        <v/>
      </c>
      <c r="O89" s="85" t="str">
        <f t="shared" si="26"/>
        <v/>
      </c>
      <c r="P89" s="79" t="str">
        <f t="shared" si="27"/>
        <v/>
      </c>
      <c r="Q89" s="182" t="str">
        <f t="shared" si="28"/>
        <v/>
      </c>
      <c r="R89" s="14"/>
      <c r="S89" s="14"/>
      <c r="T89" s="14"/>
      <c r="U89" s="14"/>
      <c r="V89" s="14" t="str">
        <f t="shared" si="29"/>
        <v/>
      </c>
      <c r="W89" s="14"/>
    </row>
    <row r="90" spans="1:23" x14ac:dyDescent="0.35">
      <c r="A90" s="93"/>
      <c r="B90" s="94"/>
      <c r="C90" s="95"/>
      <c r="D90" s="79" t="str">
        <f t="shared" si="20"/>
        <v/>
      </c>
      <c r="E90" s="94"/>
      <c r="F90" s="79" t="str">
        <f t="shared" si="21"/>
        <v/>
      </c>
      <c r="G90" s="94"/>
      <c r="H90" s="79" t="str">
        <f t="shared" si="22"/>
        <v/>
      </c>
      <c r="I90" s="94"/>
      <c r="J90" s="79" t="str">
        <f t="shared" si="23"/>
        <v/>
      </c>
      <c r="K90" s="94"/>
      <c r="L90" s="79" t="str">
        <f t="shared" si="24"/>
        <v/>
      </c>
      <c r="M90" s="94"/>
      <c r="N90" s="79" t="str">
        <f t="shared" si="25"/>
        <v/>
      </c>
      <c r="O90" s="85" t="str">
        <f t="shared" si="26"/>
        <v/>
      </c>
      <c r="P90" s="79" t="str">
        <f t="shared" si="27"/>
        <v/>
      </c>
      <c r="Q90" s="182" t="str">
        <f t="shared" si="28"/>
        <v/>
      </c>
      <c r="R90" s="14"/>
      <c r="S90" s="14"/>
      <c r="T90" s="14"/>
      <c r="U90" s="14"/>
      <c r="V90" s="14" t="str">
        <f t="shared" si="29"/>
        <v/>
      </c>
      <c r="W90" s="14"/>
    </row>
    <row r="91" spans="1:23" x14ac:dyDescent="0.35">
      <c r="A91" s="93"/>
      <c r="B91" s="94"/>
      <c r="C91" s="95"/>
      <c r="D91" s="79" t="str">
        <f t="shared" si="20"/>
        <v/>
      </c>
      <c r="E91" s="94"/>
      <c r="F91" s="79" t="str">
        <f t="shared" si="21"/>
        <v/>
      </c>
      <c r="G91" s="94"/>
      <c r="H91" s="79" t="str">
        <f t="shared" si="22"/>
        <v/>
      </c>
      <c r="I91" s="94"/>
      <c r="J91" s="79" t="str">
        <f t="shared" si="23"/>
        <v/>
      </c>
      <c r="K91" s="94"/>
      <c r="L91" s="79" t="str">
        <f t="shared" si="24"/>
        <v/>
      </c>
      <c r="M91" s="94"/>
      <c r="N91" s="79" t="str">
        <f t="shared" si="25"/>
        <v/>
      </c>
      <c r="O91" s="85" t="str">
        <f t="shared" si="26"/>
        <v/>
      </c>
      <c r="P91" s="79" t="str">
        <f t="shared" si="27"/>
        <v/>
      </c>
      <c r="Q91" s="182" t="str">
        <f t="shared" si="28"/>
        <v/>
      </c>
      <c r="R91" s="14"/>
      <c r="S91" s="14"/>
      <c r="T91" s="14"/>
      <c r="U91" s="14"/>
      <c r="V91" s="14" t="str">
        <f t="shared" si="29"/>
        <v/>
      </c>
      <c r="W91" s="14"/>
    </row>
    <row r="92" spans="1:23" x14ac:dyDescent="0.35">
      <c r="A92" s="93"/>
      <c r="B92" s="94"/>
      <c r="C92" s="95"/>
      <c r="D92" s="79" t="str">
        <f t="shared" si="20"/>
        <v/>
      </c>
      <c r="E92" s="94"/>
      <c r="F92" s="79" t="str">
        <f t="shared" si="21"/>
        <v/>
      </c>
      <c r="G92" s="94"/>
      <c r="H92" s="79" t="str">
        <f t="shared" si="22"/>
        <v/>
      </c>
      <c r="I92" s="94"/>
      <c r="J92" s="79" t="str">
        <f t="shared" si="23"/>
        <v/>
      </c>
      <c r="K92" s="94"/>
      <c r="L92" s="79" t="str">
        <f t="shared" si="24"/>
        <v/>
      </c>
      <c r="M92" s="94"/>
      <c r="N92" s="79" t="str">
        <f t="shared" si="25"/>
        <v/>
      </c>
      <c r="O92" s="85" t="str">
        <f t="shared" si="26"/>
        <v/>
      </c>
      <c r="P92" s="79" t="str">
        <f t="shared" si="27"/>
        <v/>
      </c>
      <c r="Q92" s="182" t="str">
        <f t="shared" si="28"/>
        <v/>
      </c>
      <c r="R92" s="14"/>
      <c r="S92" s="14"/>
      <c r="T92" s="14"/>
      <c r="U92" s="14"/>
      <c r="V92" s="14" t="str">
        <f t="shared" si="29"/>
        <v/>
      </c>
      <c r="W92" s="14"/>
    </row>
    <row r="93" spans="1:23" x14ac:dyDescent="0.35">
      <c r="A93" s="93"/>
      <c r="B93" s="94"/>
      <c r="C93" s="95"/>
      <c r="D93" s="79" t="str">
        <f t="shared" si="20"/>
        <v/>
      </c>
      <c r="E93" s="94"/>
      <c r="F93" s="79" t="str">
        <f t="shared" si="21"/>
        <v/>
      </c>
      <c r="G93" s="94"/>
      <c r="H93" s="79" t="str">
        <f t="shared" si="22"/>
        <v/>
      </c>
      <c r="I93" s="94"/>
      <c r="J93" s="79" t="str">
        <f t="shared" si="23"/>
        <v/>
      </c>
      <c r="K93" s="94"/>
      <c r="L93" s="79" t="str">
        <f t="shared" si="24"/>
        <v/>
      </c>
      <c r="M93" s="94"/>
      <c r="N93" s="79" t="str">
        <f t="shared" si="25"/>
        <v/>
      </c>
      <c r="O93" s="85" t="str">
        <f t="shared" si="26"/>
        <v/>
      </c>
      <c r="P93" s="79" t="str">
        <f t="shared" si="27"/>
        <v/>
      </c>
      <c r="Q93" s="182" t="str">
        <f t="shared" si="28"/>
        <v/>
      </c>
      <c r="R93" s="14"/>
      <c r="S93" s="14"/>
      <c r="T93" s="14"/>
      <c r="U93" s="14"/>
      <c r="V93" s="14" t="str">
        <f t="shared" si="29"/>
        <v/>
      </c>
      <c r="W93" s="14"/>
    </row>
    <row r="94" spans="1:23" x14ac:dyDescent="0.35">
      <c r="A94" s="93"/>
      <c r="B94" s="94"/>
      <c r="C94" s="95"/>
      <c r="D94" s="79" t="str">
        <f t="shared" si="20"/>
        <v/>
      </c>
      <c r="E94" s="94"/>
      <c r="F94" s="79" t="str">
        <f t="shared" si="21"/>
        <v/>
      </c>
      <c r="G94" s="94"/>
      <c r="H94" s="79" t="str">
        <f t="shared" si="22"/>
        <v/>
      </c>
      <c r="I94" s="94"/>
      <c r="J94" s="79" t="str">
        <f t="shared" si="23"/>
        <v/>
      </c>
      <c r="K94" s="94"/>
      <c r="L94" s="79" t="str">
        <f t="shared" si="24"/>
        <v/>
      </c>
      <c r="M94" s="94"/>
      <c r="N94" s="79" t="str">
        <f t="shared" si="25"/>
        <v/>
      </c>
      <c r="O94" s="85" t="str">
        <f t="shared" si="26"/>
        <v/>
      </c>
      <c r="P94" s="79" t="str">
        <f t="shared" si="27"/>
        <v/>
      </c>
      <c r="Q94" s="182" t="str">
        <f t="shared" si="28"/>
        <v/>
      </c>
      <c r="R94" s="14"/>
      <c r="S94" s="14"/>
      <c r="T94" s="14"/>
      <c r="U94" s="14"/>
      <c r="V94" s="14" t="str">
        <f t="shared" si="29"/>
        <v/>
      </c>
      <c r="W94" s="14"/>
    </row>
    <row r="95" spans="1:23" x14ac:dyDescent="0.35">
      <c r="A95" s="93"/>
      <c r="B95" s="94"/>
      <c r="C95" s="95"/>
      <c r="D95" s="79" t="str">
        <f t="shared" si="20"/>
        <v/>
      </c>
      <c r="E95" s="94"/>
      <c r="F95" s="79" t="str">
        <f t="shared" si="21"/>
        <v/>
      </c>
      <c r="G95" s="94"/>
      <c r="H95" s="79" t="str">
        <f t="shared" si="22"/>
        <v/>
      </c>
      <c r="I95" s="94"/>
      <c r="J95" s="79" t="str">
        <f t="shared" si="23"/>
        <v/>
      </c>
      <c r="K95" s="94"/>
      <c r="L95" s="79" t="str">
        <f t="shared" si="24"/>
        <v/>
      </c>
      <c r="M95" s="94"/>
      <c r="N95" s="79" t="str">
        <f t="shared" si="25"/>
        <v/>
      </c>
      <c r="O95" s="85" t="str">
        <f t="shared" si="26"/>
        <v/>
      </c>
      <c r="P95" s="79" t="str">
        <f t="shared" si="27"/>
        <v/>
      </c>
      <c r="Q95" s="182" t="str">
        <f t="shared" si="28"/>
        <v/>
      </c>
      <c r="R95" s="14"/>
      <c r="S95" s="14"/>
      <c r="T95" s="14"/>
      <c r="U95" s="14"/>
      <c r="V95" s="14" t="str">
        <f t="shared" si="29"/>
        <v/>
      </c>
      <c r="W95" s="14"/>
    </row>
    <row r="96" spans="1:23" x14ac:dyDescent="0.35">
      <c r="A96" s="93"/>
      <c r="B96" s="94"/>
      <c r="C96" s="95"/>
      <c r="D96" s="79" t="str">
        <f t="shared" si="20"/>
        <v/>
      </c>
      <c r="E96" s="94"/>
      <c r="F96" s="79" t="str">
        <f t="shared" si="21"/>
        <v/>
      </c>
      <c r="G96" s="94"/>
      <c r="H96" s="79" t="str">
        <f t="shared" si="22"/>
        <v/>
      </c>
      <c r="I96" s="94"/>
      <c r="J96" s="79" t="str">
        <f t="shared" si="23"/>
        <v/>
      </c>
      <c r="K96" s="94"/>
      <c r="L96" s="79" t="str">
        <f t="shared" si="24"/>
        <v/>
      </c>
      <c r="M96" s="94"/>
      <c r="N96" s="79" t="str">
        <f t="shared" si="25"/>
        <v/>
      </c>
      <c r="O96" s="85" t="str">
        <f t="shared" si="26"/>
        <v/>
      </c>
      <c r="P96" s="79" t="str">
        <f t="shared" si="27"/>
        <v/>
      </c>
      <c r="Q96" s="182" t="str">
        <f t="shared" si="28"/>
        <v/>
      </c>
      <c r="R96" s="14"/>
      <c r="S96" s="14"/>
      <c r="T96" s="14"/>
      <c r="U96" s="14"/>
      <c r="V96" s="14" t="str">
        <f t="shared" si="29"/>
        <v/>
      </c>
      <c r="W96" s="14"/>
    </row>
    <row r="97" spans="1:23" x14ac:dyDescent="0.35">
      <c r="A97" s="93"/>
      <c r="B97" s="94"/>
      <c r="C97" s="95"/>
      <c r="D97" s="79" t="str">
        <f t="shared" si="20"/>
        <v/>
      </c>
      <c r="E97" s="94"/>
      <c r="F97" s="79" t="str">
        <f t="shared" si="21"/>
        <v/>
      </c>
      <c r="G97" s="94"/>
      <c r="H97" s="79" t="str">
        <f t="shared" si="22"/>
        <v/>
      </c>
      <c r="I97" s="94"/>
      <c r="J97" s="79" t="str">
        <f t="shared" si="23"/>
        <v/>
      </c>
      <c r="K97" s="94"/>
      <c r="L97" s="79" t="str">
        <f t="shared" si="24"/>
        <v/>
      </c>
      <c r="M97" s="94"/>
      <c r="N97" s="79" t="str">
        <f t="shared" si="25"/>
        <v/>
      </c>
      <c r="O97" s="85" t="str">
        <f t="shared" si="26"/>
        <v/>
      </c>
      <c r="P97" s="79" t="str">
        <f t="shared" si="27"/>
        <v/>
      </c>
      <c r="Q97" s="182" t="str">
        <f t="shared" si="28"/>
        <v/>
      </c>
      <c r="R97" s="14"/>
      <c r="S97" s="14"/>
      <c r="T97" s="14"/>
      <c r="U97" s="14"/>
      <c r="V97" s="14" t="str">
        <f t="shared" si="29"/>
        <v/>
      </c>
      <c r="W97" s="14"/>
    </row>
    <row r="98" spans="1:23" x14ac:dyDescent="0.35">
      <c r="A98" s="93"/>
      <c r="B98" s="94"/>
      <c r="C98" s="95"/>
      <c r="D98" s="79" t="str">
        <f t="shared" ref="D98:D129" si="30">IF(OR(A98="",B98="",C98=""),"",ROUND(B98*C98,2))</f>
        <v/>
      </c>
      <c r="E98" s="94"/>
      <c r="F98" s="79" t="str">
        <f t="shared" ref="F98:F129" si="31">IF(OR(A98="",E98="",C98="",NOT(ISNUMBER($U$2))),"",ROUND(E98*C98*$U$2,2))</f>
        <v/>
      </c>
      <c r="G98" s="94"/>
      <c r="H98" s="79" t="str">
        <f t="shared" ref="H98:H129" si="32">IF(OR(A98="",G98="",C98="",NOT(ISNUMBER($U$3))),"",ROUND(G98*C98*$U$3,2))</f>
        <v/>
      </c>
      <c r="I98" s="94"/>
      <c r="J98" s="79" t="str">
        <f t="shared" ref="J98:J129" si="33">IF(OR(A98="",I98="",C98="",NOT(ISNUMBER($U$4))),"",ROUND(I98*C98*$U$4,2))</f>
        <v/>
      </c>
      <c r="K98" s="94"/>
      <c r="L98" s="79" t="str">
        <f t="shared" ref="L98:L129" si="34">IF(OR(A98="",K98="",C98="",NOT(ISNUMBER($U$5))),"",ROUND(K98*C98*$U$5,2))</f>
        <v/>
      </c>
      <c r="M98" s="94"/>
      <c r="N98" s="79" t="str">
        <f t="shared" ref="N98:N129" si="35">IF(OR(A98="",M98="",C98="",NOT(ISNUMBER($U$6))),"",ROUND(M98*C98*$U$6,2))</f>
        <v/>
      </c>
      <c r="O98" s="85" t="str">
        <f t="shared" ref="O98:O129" si="36">IF(A98="","",SUM(E98,G98,I98,K98,M98))</f>
        <v/>
      </c>
      <c r="P98" s="79" t="str">
        <f t="shared" ref="P98:P129" si="37">IF(A98="","",SUM(F98,H98,J98,L98,N98))</f>
        <v/>
      </c>
      <c r="Q98" s="182" t="str">
        <f t="shared" ref="Q98:Q129" si="38">IF(A98="","",IF(O98&gt;B98,"DIVERGENCIA: CONSUMO MAIOR QUE CONTRATADO","OK"))</f>
        <v/>
      </c>
      <c r="R98" s="14"/>
      <c r="S98" s="14"/>
      <c r="T98" s="14"/>
      <c r="U98" s="14"/>
      <c r="V98" s="14" t="str">
        <f t="shared" ref="V98:V129" si="39">IF(A98="","",IF(OR(NOT(ISNUMBER(B98)),NOT(ISNUMBER(O98)),NOT(ISNUMBER(C98)),Q98&lt;&gt;"OK"),"",ROUND(MAX(B98-O98,0)*C98,2)))</f>
        <v/>
      </c>
      <c r="W98" s="14"/>
    </row>
    <row r="99" spans="1:23" x14ac:dyDescent="0.35">
      <c r="A99" s="93"/>
      <c r="B99" s="94"/>
      <c r="C99" s="95"/>
      <c r="D99" s="79" t="str">
        <f t="shared" si="30"/>
        <v/>
      </c>
      <c r="E99" s="94"/>
      <c r="F99" s="79" t="str">
        <f t="shared" si="31"/>
        <v/>
      </c>
      <c r="G99" s="94"/>
      <c r="H99" s="79" t="str">
        <f t="shared" si="32"/>
        <v/>
      </c>
      <c r="I99" s="94"/>
      <c r="J99" s="79" t="str">
        <f t="shared" si="33"/>
        <v/>
      </c>
      <c r="K99" s="94"/>
      <c r="L99" s="79" t="str">
        <f t="shared" si="34"/>
        <v/>
      </c>
      <c r="M99" s="94"/>
      <c r="N99" s="79" t="str">
        <f t="shared" si="35"/>
        <v/>
      </c>
      <c r="O99" s="85" t="str">
        <f t="shared" si="36"/>
        <v/>
      </c>
      <c r="P99" s="79" t="str">
        <f t="shared" si="37"/>
        <v/>
      </c>
      <c r="Q99" s="182" t="str">
        <f t="shared" si="38"/>
        <v/>
      </c>
      <c r="R99" s="14"/>
      <c r="S99" s="14"/>
      <c r="T99" s="14"/>
      <c r="U99" s="14"/>
      <c r="V99" s="14" t="str">
        <f t="shared" si="39"/>
        <v/>
      </c>
      <c r="W99" s="14"/>
    </row>
    <row r="100" spans="1:23" x14ac:dyDescent="0.35">
      <c r="A100" s="93"/>
      <c r="B100" s="94"/>
      <c r="C100" s="95"/>
      <c r="D100" s="79" t="str">
        <f t="shared" si="30"/>
        <v/>
      </c>
      <c r="E100" s="94"/>
      <c r="F100" s="79" t="str">
        <f t="shared" si="31"/>
        <v/>
      </c>
      <c r="G100" s="94"/>
      <c r="H100" s="79" t="str">
        <f t="shared" si="32"/>
        <v/>
      </c>
      <c r="I100" s="94"/>
      <c r="J100" s="79" t="str">
        <f t="shared" si="33"/>
        <v/>
      </c>
      <c r="K100" s="94"/>
      <c r="L100" s="79" t="str">
        <f t="shared" si="34"/>
        <v/>
      </c>
      <c r="M100" s="94"/>
      <c r="N100" s="79" t="str">
        <f t="shared" si="35"/>
        <v/>
      </c>
      <c r="O100" s="85" t="str">
        <f t="shared" si="36"/>
        <v/>
      </c>
      <c r="P100" s="79" t="str">
        <f t="shared" si="37"/>
        <v/>
      </c>
      <c r="Q100" s="182" t="str">
        <f t="shared" si="38"/>
        <v/>
      </c>
      <c r="R100" s="14"/>
      <c r="S100" s="14"/>
      <c r="T100" s="14"/>
      <c r="U100" s="14"/>
      <c r="V100" s="14" t="str">
        <f t="shared" si="39"/>
        <v/>
      </c>
      <c r="W100" s="14"/>
    </row>
    <row r="101" spans="1:23" x14ac:dyDescent="0.35">
      <c r="A101" s="93"/>
      <c r="B101" s="94"/>
      <c r="C101" s="95"/>
      <c r="D101" s="79" t="str">
        <f t="shared" si="30"/>
        <v/>
      </c>
      <c r="E101" s="94"/>
      <c r="F101" s="79" t="str">
        <f t="shared" si="31"/>
        <v/>
      </c>
      <c r="G101" s="94"/>
      <c r="H101" s="79" t="str">
        <f t="shared" si="32"/>
        <v/>
      </c>
      <c r="I101" s="94"/>
      <c r="J101" s="79" t="str">
        <f t="shared" si="33"/>
        <v/>
      </c>
      <c r="K101" s="94"/>
      <c r="L101" s="79" t="str">
        <f t="shared" si="34"/>
        <v/>
      </c>
      <c r="M101" s="94"/>
      <c r="N101" s="79" t="str">
        <f t="shared" si="35"/>
        <v/>
      </c>
      <c r="O101" s="85" t="str">
        <f t="shared" si="36"/>
        <v/>
      </c>
      <c r="P101" s="79" t="str">
        <f t="shared" si="37"/>
        <v/>
      </c>
      <c r="Q101" s="182" t="str">
        <f t="shared" si="38"/>
        <v/>
      </c>
      <c r="R101" s="26"/>
      <c r="S101" s="26"/>
      <c r="T101" s="26"/>
      <c r="U101" s="26"/>
      <c r="V101" s="26" t="str">
        <f t="shared" si="39"/>
        <v/>
      </c>
      <c r="W101" s="26"/>
    </row>
    <row r="102" spans="1:23" x14ac:dyDescent="0.35">
      <c r="A102" s="93"/>
      <c r="B102" s="94"/>
      <c r="C102" s="95"/>
      <c r="D102" s="79" t="str">
        <f t="shared" si="30"/>
        <v/>
      </c>
      <c r="E102" s="94"/>
      <c r="F102" s="79" t="str">
        <f t="shared" si="31"/>
        <v/>
      </c>
      <c r="G102" s="94"/>
      <c r="H102" s="79" t="str">
        <f t="shared" si="32"/>
        <v/>
      </c>
      <c r="I102" s="94"/>
      <c r="J102" s="79" t="str">
        <f t="shared" si="33"/>
        <v/>
      </c>
      <c r="K102" s="94"/>
      <c r="L102" s="79" t="str">
        <f t="shared" si="34"/>
        <v/>
      </c>
      <c r="M102" s="94"/>
      <c r="N102" s="79" t="str">
        <f t="shared" si="35"/>
        <v/>
      </c>
      <c r="O102" s="85" t="str">
        <f t="shared" si="36"/>
        <v/>
      </c>
      <c r="P102" s="79" t="str">
        <f t="shared" si="37"/>
        <v/>
      </c>
      <c r="Q102" s="182" t="str">
        <f t="shared" si="38"/>
        <v/>
      </c>
      <c r="R102" s="26"/>
      <c r="S102" s="26"/>
      <c r="T102" s="26"/>
      <c r="U102" s="26"/>
      <c r="V102" s="26" t="str">
        <f t="shared" si="39"/>
        <v/>
      </c>
      <c r="W102" s="26"/>
    </row>
    <row r="103" spans="1:23" x14ac:dyDescent="0.35">
      <c r="A103" s="93"/>
      <c r="B103" s="94"/>
      <c r="C103" s="95"/>
      <c r="D103" s="79" t="str">
        <f t="shared" si="30"/>
        <v/>
      </c>
      <c r="E103" s="94"/>
      <c r="F103" s="79" t="str">
        <f t="shared" si="31"/>
        <v/>
      </c>
      <c r="G103" s="94"/>
      <c r="H103" s="79" t="str">
        <f t="shared" si="32"/>
        <v/>
      </c>
      <c r="I103" s="94"/>
      <c r="J103" s="79" t="str">
        <f t="shared" si="33"/>
        <v/>
      </c>
      <c r="K103" s="94"/>
      <c r="L103" s="79" t="str">
        <f t="shared" si="34"/>
        <v/>
      </c>
      <c r="M103" s="94"/>
      <c r="N103" s="79" t="str">
        <f t="shared" si="35"/>
        <v/>
      </c>
      <c r="O103" s="85" t="str">
        <f t="shared" si="36"/>
        <v/>
      </c>
      <c r="P103" s="79" t="str">
        <f t="shared" si="37"/>
        <v/>
      </c>
      <c r="Q103" s="182" t="str">
        <f t="shared" si="38"/>
        <v/>
      </c>
      <c r="R103" s="26"/>
      <c r="S103" s="26"/>
      <c r="T103" s="26"/>
      <c r="U103" s="26"/>
      <c r="V103" s="26" t="str">
        <f t="shared" si="39"/>
        <v/>
      </c>
      <c r="W103" s="26"/>
    </row>
    <row r="104" spans="1:23" x14ac:dyDescent="0.35">
      <c r="A104" s="93"/>
      <c r="B104" s="94"/>
      <c r="C104" s="95"/>
      <c r="D104" s="79" t="str">
        <f t="shared" si="30"/>
        <v/>
      </c>
      <c r="E104" s="94"/>
      <c r="F104" s="79" t="str">
        <f t="shared" si="31"/>
        <v/>
      </c>
      <c r="G104" s="94"/>
      <c r="H104" s="79" t="str">
        <f t="shared" si="32"/>
        <v/>
      </c>
      <c r="I104" s="94"/>
      <c r="J104" s="79" t="str">
        <f t="shared" si="33"/>
        <v/>
      </c>
      <c r="K104" s="94"/>
      <c r="L104" s="79" t="str">
        <f t="shared" si="34"/>
        <v/>
      </c>
      <c r="M104" s="94"/>
      <c r="N104" s="79" t="str">
        <f t="shared" si="35"/>
        <v/>
      </c>
      <c r="O104" s="85" t="str">
        <f t="shared" si="36"/>
        <v/>
      </c>
      <c r="P104" s="79" t="str">
        <f t="shared" si="37"/>
        <v/>
      </c>
      <c r="Q104" s="182" t="str">
        <f t="shared" si="38"/>
        <v/>
      </c>
      <c r="R104" s="26"/>
      <c r="S104" s="26"/>
      <c r="T104" s="26"/>
      <c r="U104" s="26"/>
      <c r="V104" s="26" t="str">
        <f t="shared" si="39"/>
        <v/>
      </c>
      <c r="W104" s="26"/>
    </row>
    <row r="105" spans="1:23" x14ac:dyDescent="0.35">
      <c r="A105" s="93"/>
      <c r="B105" s="94"/>
      <c r="C105" s="95"/>
      <c r="D105" s="79" t="str">
        <f t="shared" si="30"/>
        <v/>
      </c>
      <c r="E105" s="94"/>
      <c r="F105" s="79" t="str">
        <f t="shared" si="31"/>
        <v/>
      </c>
      <c r="G105" s="94"/>
      <c r="H105" s="79" t="str">
        <f t="shared" si="32"/>
        <v/>
      </c>
      <c r="I105" s="94"/>
      <c r="J105" s="79" t="str">
        <f t="shared" si="33"/>
        <v/>
      </c>
      <c r="K105" s="94"/>
      <c r="L105" s="79" t="str">
        <f t="shared" si="34"/>
        <v/>
      </c>
      <c r="M105" s="94"/>
      <c r="N105" s="79" t="str">
        <f t="shared" si="35"/>
        <v/>
      </c>
      <c r="O105" s="85" t="str">
        <f t="shared" si="36"/>
        <v/>
      </c>
      <c r="P105" s="79" t="str">
        <f t="shared" si="37"/>
        <v/>
      </c>
      <c r="Q105" s="182" t="str">
        <f t="shared" si="38"/>
        <v/>
      </c>
      <c r="R105" s="26"/>
      <c r="S105" s="26"/>
      <c r="T105" s="26"/>
      <c r="U105" s="26"/>
      <c r="V105" s="26" t="str">
        <f t="shared" si="39"/>
        <v/>
      </c>
      <c r="W105" s="26"/>
    </row>
    <row r="106" spans="1:23" x14ac:dyDescent="0.35">
      <c r="A106" s="93"/>
      <c r="B106" s="94"/>
      <c r="C106" s="95"/>
      <c r="D106" s="79" t="str">
        <f t="shared" si="30"/>
        <v/>
      </c>
      <c r="E106" s="94"/>
      <c r="F106" s="79" t="str">
        <f t="shared" si="31"/>
        <v/>
      </c>
      <c r="G106" s="94"/>
      <c r="H106" s="79" t="str">
        <f t="shared" si="32"/>
        <v/>
      </c>
      <c r="I106" s="94"/>
      <c r="J106" s="79" t="str">
        <f t="shared" si="33"/>
        <v/>
      </c>
      <c r="K106" s="94"/>
      <c r="L106" s="79" t="str">
        <f t="shared" si="34"/>
        <v/>
      </c>
      <c r="M106" s="94"/>
      <c r="N106" s="79" t="str">
        <f t="shared" si="35"/>
        <v/>
      </c>
      <c r="O106" s="85" t="str">
        <f t="shared" si="36"/>
        <v/>
      </c>
      <c r="P106" s="79" t="str">
        <f t="shared" si="37"/>
        <v/>
      </c>
      <c r="Q106" s="182" t="str">
        <f t="shared" si="38"/>
        <v/>
      </c>
      <c r="R106" s="26"/>
      <c r="S106" s="26"/>
      <c r="T106" s="26"/>
      <c r="U106" s="26"/>
      <c r="V106" s="26" t="str">
        <f t="shared" si="39"/>
        <v/>
      </c>
      <c r="W106" s="26"/>
    </row>
    <row r="107" spans="1:23" x14ac:dyDescent="0.35">
      <c r="A107" s="93"/>
      <c r="B107" s="94"/>
      <c r="C107" s="95"/>
      <c r="D107" s="79" t="str">
        <f t="shared" si="30"/>
        <v/>
      </c>
      <c r="E107" s="94"/>
      <c r="F107" s="79" t="str">
        <f t="shared" si="31"/>
        <v/>
      </c>
      <c r="G107" s="94"/>
      <c r="H107" s="79" t="str">
        <f t="shared" si="32"/>
        <v/>
      </c>
      <c r="I107" s="94"/>
      <c r="J107" s="79" t="str">
        <f t="shared" si="33"/>
        <v/>
      </c>
      <c r="K107" s="94"/>
      <c r="L107" s="79" t="str">
        <f t="shared" si="34"/>
        <v/>
      </c>
      <c r="M107" s="94"/>
      <c r="N107" s="79" t="str">
        <f t="shared" si="35"/>
        <v/>
      </c>
      <c r="O107" s="85" t="str">
        <f t="shared" si="36"/>
        <v/>
      </c>
      <c r="P107" s="79" t="str">
        <f t="shared" si="37"/>
        <v/>
      </c>
      <c r="Q107" s="182" t="str">
        <f t="shared" si="38"/>
        <v/>
      </c>
      <c r="R107" s="26"/>
      <c r="S107" s="26"/>
      <c r="T107" s="26"/>
      <c r="U107" s="26"/>
      <c r="V107" s="26" t="str">
        <f t="shared" si="39"/>
        <v/>
      </c>
      <c r="W107" s="26"/>
    </row>
    <row r="108" spans="1:23" x14ac:dyDescent="0.35">
      <c r="A108" s="93"/>
      <c r="B108" s="94"/>
      <c r="C108" s="95"/>
      <c r="D108" s="79" t="str">
        <f t="shared" si="30"/>
        <v/>
      </c>
      <c r="E108" s="94"/>
      <c r="F108" s="79" t="str">
        <f t="shared" si="31"/>
        <v/>
      </c>
      <c r="G108" s="94"/>
      <c r="H108" s="79" t="str">
        <f t="shared" si="32"/>
        <v/>
      </c>
      <c r="I108" s="94"/>
      <c r="J108" s="79" t="str">
        <f t="shared" si="33"/>
        <v/>
      </c>
      <c r="K108" s="94"/>
      <c r="L108" s="79" t="str">
        <f t="shared" si="34"/>
        <v/>
      </c>
      <c r="M108" s="94"/>
      <c r="N108" s="79" t="str">
        <f t="shared" si="35"/>
        <v/>
      </c>
      <c r="O108" s="85" t="str">
        <f t="shared" si="36"/>
        <v/>
      </c>
      <c r="P108" s="79" t="str">
        <f t="shared" si="37"/>
        <v/>
      </c>
      <c r="Q108" s="182" t="str">
        <f t="shared" si="38"/>
        <v/>
      </c>
      <c r="R108" s="26"/>
      <c r="S108" s="26"/>
      <c r="T108" s="26"/>
      <c r="U108" s="26"/>
      <c r="V108" s="26" t="str">
        <f t="shared" si="39"/>
        <v/>
      </c>
      <c r="W108" s="26"/>
    </row>
    <row r="109" spans="1:23" x14ac:dyDescent="0.35">
      <c r="A109" s="93"/>
      <c r="B109" s="94"/>
      <c r="C109" s="95"/>
      <c r="D109" s="79" t="str">
        <f t="shared" si="30"/>
        <v/>
      </c>
      <c r="E109" s="94"/>
      <c r="F109" s="79" t="str">
        <f t="shared" si="31"/>
        <v/>
      </c>
      <c r="G109" s="94"/>
      <c r="H109" s="79" t="str">
        <f t="shared" si="32"/>
        <v/>
      </c>
      <c r="I109" s="94"/>
      <c r="J109" s="79" t="str">
        <f t="shared" si="33"/>
        <v/>
      </c>
      <c r="K109" s="94"/>
      <c r="L109" s="79" t="str">
        <f t="shared" si="34"/>
        <v/>
      </c>
      <c r="M109" s="94"/>
      <c r="N109" s="79" t="str">
        <f t="shared" si="35"/>
        <v/>
      </c>
      <c r="O109" s="85" t="str">
        <f t="shared" si="36"/>
        <v/>
      </c>
      <c r="P109" s="79" t="str">
        <f t="shared" si="37"/>
        <v/>
      </c>
      <c r="Q109" s="182" t="str">
        <f t="shared" si="38"/>
        <v/>
      </c>
      <c r="R109" s="26"/>
      <c r="S109" s="26"/>
      <c r="T109" s="26"/>
      <c r="U109" s="26"/>
      <c r="V109" s="26" t="str">
        <f t="shared" si="39"/>
        <v/>
      </c>
      <c r="W109" s="26"/>
    </row>
    <row r="110" spans="1:23" x14ac:dyDescent="0.35">
      <c r="A110" s="93"/>
      <c r="B110" s="94"/>
      <c r="C110" s="95"/>
      <c r="D110" s="79" t="str">
        <f t="shared" si="30"/>
        <v/>
      </c>
      <c r="E110" s="94"/>
      <c r="F110" s="79" t="str">
        <f t="shared" si="31"/>
        <v/>
      </c>
      <c r="G110" s="94"/>
      <c r="H110" s="79" t="str">
        <f t="shared" si="32"/>
        <v/>
      </c>
      <c r="I110" s="94"/>
      <c r="J110" s="79" t="str">
        <f t="shared" si="33"/>
        <v/>
      </c>
      <c r="K110" s="94"/>
      <c r="L110" s="79" t="str">
        <f t="shared" si="34"/>
        <v/>
      </c>
      <c r="M110" s="94"/>
      <c r="N110" s="79" t="str">
        <f t="shared" si="35"/>
        <v/>
      </c>
      <c r="O110" s="85" t="str">
        <f t="shared" si="36"/>
        <v/>
      </c>
      <c r="P110" s="79" t="str">
        <f t="shared" si="37"/>
        <v/>
      </c>
      <c r="Q110" s="182" t="str">
        <f t="shared" si="38"/>
        <v/>
      </c>
      <c r="R110" s="26"/>
      <c r="S110" s="26"/>
      <c r="T110" s="26"/>
      <c r="U110" s="26"/>
      <c r="V110" s="26" t="str">
        <f t="shared" si="39"/>
        <v/>
      </c>
      <c r="W110" s="26"/>
    </row>
    <row r="111" spans="1:23" x14ac:dyDescent="0.35">
      <c r="A111" s="93"/>
      <c r="B111" s="94"/>
      <c r="C111" s="95"/>
      <c r="D111" s="79" t="str">
        <f t="shared" si="30"/>
        <v/>
      </c>
      <c r="E111" s="94"/>
      <c r="F111" s="79" t="str">
        <f t="shared" si="31"/>
        <v/>
      </c>
      <c r="G111" s="94"/>
      <c r="H111" s="79" t="str">
        <f t="shared" si="32"/>
        <v/>
      </c>
      <c r="I111" s="94"/>
      <c r="J111" s="79" t="str">
        <f t="shared" si="33"/>
        <v/>
      </c>
      <c r="K111" s="94"/>
      <c r="L111" s="79" t="str">
        <f t="shared" si="34"/>
        <v/>
      </c>
      <c r="M111" s="94"/>
      <c r="N111" s="79" t="str">
        <f t="shared" si="35"/>
        <v/>
      </c>
      <c r="O111" s="85" t="str">
        <f t="shared" si="36"/>
        <v/>
      </c>
      <c r="P111" s="79" t="str">
        <f t="shared" si="37"/>
        <v/>
      </c>
      <c r="Q111" s="182" t="str">
        <f t="shared" si="38"/>
        <v/>
      </c>
      <c r="R111" s="26"/>
      <c r="S111" s="26"/>
      <c r="T111" s="26"/>
      <c r="U111" s="26"/>
      <c r="V111" s="26" t="str">
        <f t="shared" si="39"/>
        <v/>
      </c>
      <c r="W111" s="26"/>
    </row>
    <row r="112" spans="1:23" x14ac:dyDescent="0.35">
      <c r="A112" s="93"/>
      <c r="B112" s="94"/>
      <c r="C112" s="95"/>
      <c r="D112" s="79" t="str">
        <f t="shared" si="30"/>
        <v/>
      </c>
      <c r="E112" s="94"/>
      <c r="F112" s="79" t="str">
        <f t="shared" si="31"/>
        <v/>
      </c>
      <c r="G112" s="94"/>
      <c r="H112" s="79" t="str">
        <f t="shared" si="32"/>
        <v/>
      </c>
      <c r="I112" s="94"/>
      <c r="J112" s="79" t="str">
        <f t="shared" si="33"/>
        <v/>
      </c>
      <c r="K112" s="94"/>
      <c r="L112" s="79" t="str">
        <f t="shared" si="34"/>
        <v/>
      </c>
      <c r="M112" s="94"/>
      <c r="N112" s="79" t="str">
        <f t="shared" si="35"/>
        <v/>
      </c>
      <c r="O112" s="85" t="str">
        <f t="shared" si="36"/>
        <v/>
      </c>
      <c r="P112" s="79" t="str">
        <f t="shared" si="37"/>
        <v/>
      </c>
      <c r="Q112" s="182" t="str">
        <f t="shared" si="38"/>
        <v/>
      </c>
      <c r="R112" s="26"/>
      <c r="S112" s="26"/>
      <c r="T112" s="26"/>
      <c r="U112" s="26"/>
      <c r="V112" s="26" t="str">
        <f t="shared" si="39"/>
        <v/>
      </c>
      <c r="W112" s="26"/>
    </row>
    <row r="113" spans="1:23" x14ac:dyDescent="0.35">
      <c r="A113" s="93"/>
      <c r="B113" s="94"/>
      <c r="C113" s="95"/>
      <c r="D113" s="79" t="str">
        <f t="shared" si="30"/>
        <v/>
      </c>
      <c r="E113" s="94"/>
      <c r="F113" s="79" t="str">
        <f t="shared" si="31"/>
        <v/>
      </c>
      <c r="G113" s="94"/>
      <c r="H113" s="79" t="str">
        <f t="shared" si="32"/>
        <v/>
      </c>
      <c r="I113" s="94"/>
      <c r="J113" s="79" t="str">
        <f t="shared" si="33"/>
        <v/>
      </c>
      <c r="K113" s="94"/>
      <c r="L113" s="79" t="str">
        <f t="shared" si="34"/>
        <v/>
      </c>
      <c r="M113" s="94"/>
      <c r="N113" s="79" t="str">
        <f t="shared" si="35"/>
        <v/>
      </c>
      <c r="O113" s="85" t="str">
        <f t="shared" si="36"/>
        <v/>
      </c>
      <c r="P113" s="79" t="str">
        <f t="shared" si="37"/>
        <v/>
      </c>
      <c r="Q113" s="182" t="str">
        <f t="shared" si="38"/>
        <v/>
      </c>
      <c r="R113" s="26"/>
      <c r="S113" s="26"/>
      <c r="T113" s="26"/>
      <c r="U113" s="26"/>
      <c r="V113" s="26" t="str">
        <f t="shared" si="39"/>
        <v/>
      </c>
      <c r="W113" s="26"/>
    </row>
    <row r="114" spans="1:23" x14ac:dyDescent="0.35">
      <c r="A114" s="93"/>
      <c r="B114" s="94"/>
      <c r="C114" s="95"/>
      <c r="D114" s="79" t="str">
        <f t="shared" si="30"/>
        <v/>
      </c>
      <c r="E114" s="94"/>
      <c r="F114" s="79" t="str">
        <f t="shared" si="31"/>
        <v/>
      </c>
      <c r="G114" s="94"/>
      <c r="H114" s="79" t="str">
        <f t="shared" si="32"/>
        <v/>
      </c>
      <c r="I114" s="94"/>
      <c r="J114" s="79" t="str">
        <f t="shared" si="33"/>
        <v/>
      </c>
      <c r="K114" s="94"/>
      <c r="L114" s="79" t="str">
        <f t="shared" si="34"/>
        <v/>
      </c>
      <c r="M114" s="94"/>
      <c r="N114" s="79" t="str">
        <f t="shared" si="35"/>
        <v/>
      </c>
      <c r="O114" s="85" t="str">
        <f t="shared" si="36"/>
        <v/>
      </c>
      <c r="P114" s="79" t="str">
        <f t="shared" si="37"/>
        <v/>
      </c>
      <c r="Q114" s="182" t="str">
        <f t="shared" si="38"/>
        <v/>
      </c>
      <c r="R114" s="26"/>
      <c r="S114" s="26"/>
      <c r="T114" s="26"/>
      <c r="U114" s="26"/>
      <c r="V114" s="26" t="str">
        <f t="shared" si="39"/>
        <v/>
      </c>
      <c r="W114" s="26"/>
    </row>
    <row r="115" spans="1:23" x14ac:dyDescent="0.35">
      <c r="A115" s="93"/>
      <c r="B115" s="94"/>
      <c r="C115" s="95"/>
      <c r="D115" s="79" t="str">
        <f t="shared" si="30"/>
        <v/>
      </c>
      <c r="E115" s="94"/>
      <c r="F115" s="79" t="str">
        <f t="shared" si="31"/>
        <v/>
      </c>
      <c r="G115" s="94"/>
      <c r="H115" s="79" t="str">
        <f t="shared" si="32"/>
        <v/>
      </c>
      <c r="I115" s="94"/>
      <c r="J115" s="79" t="str">
        <f t="shared" si="33"/>
        <v/>
      </c>
      <c r="K115" s="94"/>
      <c r="L115" s="79" t="str">
        <f t="shared" si="34"/>
        <v/>
      </c>
      <c r="M115" s="94"/>
      <c r="N115" s="79" t="str">
        <f t="shared" si="35"/>
        <v/>
      </c>
      <c r="O115" s="85" t="str">
        <f t="shared" si="36"/>
        <v/>
      </c>
      <c r="P115" s="79" t="str">
        <f t="shared" si="37"/>
        <v/>
      </c>
      <c r="Q115" s="182" t="str">
        <f t="shared" si="38"/>
        <v/>
      </c>
      <c r="R115" s="26"/>
      <c r="S115" s="26"/>
      <c r="T115" s="26"/>
      <c r="U115" s="26"/>
      <c r="V115" s="26" t="str">
        <f t="shared" si="39"/>
        <v/>
      </c>
      <c r="W115" s="26"/>
    </row>
    <row r="116" spans="1:23" x14ac:dyDescent="0.35">
      <c r="A116" s="93"/>
      <c r="B116" s="94"/>
      <c r="C116" s="95"/>
      <c r="D116" s="79" t="str">
        <f t="shared" si="30"/>
        <v/>
      </c>
      <c r="E116" s="94"/>
      <c r="F116" s="79" t="str">
        <f t="shared" si="31"/>
        <v/>
      </c>
      <c r="G116" s="94"/>
      <c r="H116" s="79" t="str">
        <f t="shared" si="32"/>
        <v/>
      </c>
      <c r="I116" s="94"/>
      <c r="J116" s="79" t="str">
        <f t="shared" si="33"/>
        <v/>
      </c>
      <c r="K116" s="94"/>
      <c r="L116" s="79" t="str">
        <f t="shared" si="34"/>
        <v/>
      </c>
      <c r="M116" s="94"/>
      <c r="N116" s="79" t="str">
        <f t="shared" si="35"/>
        <v/>
      </c>
      <c r="O116" s="85" t="str">
        <f t="shared" si="36"/>
        <v/>
      </c>
      <c r="P116" s="79" t="str">
        <f t="shared" si="37"/>
        <v/>
      </c>
      <c r="Q116" s="182" t="str">
        <f t="shared" si="38"/>
        <v/>
      </c>
      <c r="R116" s="26"/>
      <c r="S116" s="26"/>
      <c r="T116" s="26"/>
      <c r="U116" s="26"/>
      <c r="V116" s="26" t="str">
        <f t="shared" si="39"/>
        <v/>
      </c>
      <c r="W116" s="26"/>
    </row>
    <row r="117" spans="1:23" x14ac:dyDescent="0.35">
      <c r="A117" s="93"/>
      <c r="B117" s="94"/>
      <c r="C117" s="95"/>
      <c r="D117" s="79" t="str">
        <f t="shared" si="30"/>
        <v/>
      </c>
      <c r="E117" s="94"/>
      <c r="F117" s="79" t="str">
        <f t="shared" si="31"/>
        <v/>
      </c>
      <c r="G117" s="94"/>
      <c r="H117" s="79" t="str">
        <f t="shared" si="32"/>
        <v/>
      </c>
      <c r="I117" s="94"/>
      <c r="J117" s="79" t="str">
        <f t="shared" si="33"/>
        <v/>
      </c>
      <c r="K117" s="94"/>
      <c r="L117" s="79" t="str">
        <f t="shared" si="34"/>
        <v/>
      </c>
      <c r="M117" s="94"/>
      <c r="N117" s="79" t="str">
        <f t="shared" si="35"/>
        <v/>
      </c>
      <c r="O117" s="85" t="str">
        <f t="shared" si="36"/>
        <v/>
      </c>
      <c r="P117" s="79" t="str">
        <f t="shared" si="37"/>
        <v/>
      </c>
      <c r="Q117" s="182" t="str">
        <f t="shared" si="38"/>
        <v/>
      </c>
      <c r="R117" s="26"/>
      <c r="S117" s="26"/>
      <c r="T117" s="26"/>
      <c r="U117" s="26"/>
      <c r="V117" s="26" t="str">
        <f t="shared" si="39"/>
        <v/>
      </c>
      <c r="W117" s="26"/>
    </row>
    <row r="118" spans="1:23" x14ac:dyDescent="0.35">
      <c r="A118" s="93"/>
      <c r="B118" s="94"/>
      <c r="C118" s="95"/>
      <c r="D118" s="79" t="str">
        <f t="shared" si="30"/>
        <v/>
      </c>
      <c r="E118" s="94"/>
      <c r="F118" s="79" t="str">
        <f t="shared" si="31"/>
        <v/>
      </c>
      <c r="G118" s="94"/>
      <c r="H118" s="79" t="str">
        <f t="shared" si="32"/>
        <v/>
      </c>
      <c r="I118" s="94"/>
      <c r="J118" s="79" t="str">
        <f t="shared" si="33"/>
        <v/>
      </c>
      <c r="K118" s="94"/>
      <c r="L118" s="79" t="str">
        <f t="shared" si="34"/>
        <v/>
      </c>
      <c r="M118" s="94"/>
      <c r="N118" s="79" t="str">
        <f t="shared" si="35"/>
        <v/>
      </c>
      <c r="O118" s="85" t="str">
        <f t="shared" si="36"/>
        <v/>
      </c>
      <c r="P118" s="79" t="str">
        <f t="shared" si="37"/>
        <v/>
      </c>
      <c r="Q118" s="182" t="str">
        <f t="shared" si="38"/>
        <v/>
      </c>
      <c r="R118" s="26"/>
      <c r="S118" s="26"/>
      <c r="T118" s="26"/>
      <c r="U118" s="26"/>
      <c r="V118" s="26" t="str">
        <f t="shared" si="39"/>
        <v/>
      </c>
      <c r="W118" s="26"/>
    </row>
    <row r="119" spans="1:23" x14ac:dyDescent="0.35">
      <c r="A119" s="93"/>
      <c r="B119" s="94"/>
      <c r="C119" s="95"/>
      <c r="D119" s="79" t="str">
        <f t="shared" si="30"/>
        <v/>
      </c>
      <c r="E119" s="94"/>
      <c r="F119" s="79" t="str">
        <f t="shared" si="31"/>
        <v/>
      </c>
      <c r="G119" s="94"/>
      <c r="H119" s="79" t="str">
        <f t="shared" si="32"/>
        <v/>
      </c>
      <c r="I119" s="94"/>
      <c r="J119" s="79" t="str">
        <f t="shared" si="33"/>
        <v/>
      </c>
      <c r="K119" s="94"/>
      <c r="L119" s="79" t="str">
        <f t="shared" si="34"/>
        <v/>
      </c>
      <c r="M119" s="94"/>
      <c r="N119" s="79" t="str">
        <f t="shared" si="35"/>
        <v/>
      </c>
      <c r="O119" s="85" t="str">
        <f t="shared" si="36"/>
        <v/>
      </c>
      <c r="P119" s="79" t="str">
        <f t="shared" si="37"/>
        <v/>
      </c>
      <c r="Q119" s="182" t="str">
        <f t="shared" si="38"/>
        <v/>
      </c>
      <c r="R119" s="26"/>
      <c r="S119" s="26"/>
      <c r="T119" s="26"/>
      <c r="U119" s="26"/>
      <c r="V119" s="26" t="str">
        <f t="shared" si="39"/>
        <v/>
      </c>
      <c r="W119" s="26"/>
    </row>
    <row r="120" spans="1:23" x14ac:dyDescent="0.35">
      <c r="A120" s="93"/>
      <c r="B120" s="94"/>
      <c r="C120" s="95"/>
      <c r="D120" s="79" t="str">
        <f t="shared" si="30"/>
        <v/>
      </c>
      <c r="E120" s="94"/>
      <c r="F120" s="79" t="str">
        <f t="shared" si="31"/>
        <v/>
      </c>
      <c r="G120" s="94"/>
      <c r="H120" s="79" t="str">
        <f t="shared" si="32"/>
        <v/>
      </c>
      <c r="I120" s="94"/>
      <c r="J120" s="79" t="str">
        <f t="shared" si="33"/>
        <v/>
      </c>
      <c r="K120" s="94"/>
      <c r="L120" s="79" t="str">
        <f t="shared" si="34"/>
        <v/>
      </c>
      <c r="M120" s="94"/>
      <c r="N120" s="79" t="str">
        <f t="shared" si="35"/>
        <v/>
      </c>
      <c r="O120" s="85" t="str">
        <f t="shared" si="36"/>
        <v/>
      </c>
      <c r="P120" s="79" t="str">
        <f t="shared" si="37"/>
        <v/>
      </c>
      <c r="Q120" s="182" t="str">
        <f t="shared" si="38"/>
        <v/>
      </c>
      <c r="R120" s="26"/>
      <c r="S120" s="26"/>
      <c r="T120" s="26"/>
      <c r="U120" s="26"/>
      <c r="V120" s="26" t="str">
        <f t="shared" si="39"/>
        <v/>
      </c>
      <c r="W120" s="26"/>
    </row>
    <row r="121" spans="1:23" x14ac:dyDescent="0.35">
      <c r="A121" s="93"/>
      <c r="B121" s="94"/>
      <c r="C121" s="95"/>
      <c r="D121" s="79" t="str">
        <f t="shared" si="30"/>
        <v/>
      </c>
      <c r="E121" s="94"/>
      <c r="F121" s="79" t="str">
        <f t="shared" si="31"/>
        <v/>
      </c>
      <c r="G121" s="94"/>
      <c r="H121" s="79" t="str">
        <f t="shared" si="32"/>
        <v/>
      </c>
      <c r="I121" s="94"/>
      <c r="J121" s="79" t="str">
        <f t="shared" si="33"/>
        <v/>
      </c>
      <c r="K121" s="94"/>
      <c r="L121" s="79" t="str">
        <f t="shared" si="34"/>
        <v/>
      </c>
      <c r="M121" s="94"/>
      <c r="N121" s="79" t="str">
        <f t="shared" si="35"/>
        <v/>
      </c>
      <c r="O121" s="85" t="str">
        <f t="shared" si="36"/>
        <v/>
      </c>
      <c r="P121" s="79" t="str">
        <f t="shared" si="37"/>
        <v/>
      </c>
      <c r="Q121" s="182" t="str">
        <f t="shared" si="38"/>
        <v/>
      </c>
      <c r="R121" s="26"/>
      <c r="S121" s="26"/>
      <c r="T121" s="26"/>
      <c r="U121" s="26"/>
      <c r="V121" s="26" t="str">
        <f t="shared" si="39"/>
        <v/>
      </c>
      <c r="W121" s="26"/>
    </row>
    <row r="122" spans="1:23" x14ac:dyDescent="0.35">
      <c r="A122" s="93"/>
      <c r="B122" s="94"/>
      <c r="C122" s="95"/>
      <c r="D122" s="79" t="str">
        <f t="shared" si="30"/>
        <v/>
      </c>
      <c r="E122" s="94"/>
      <c r="F122" s="79" t="str">
        <f t="shared" si="31"/>
        <v/>
      </c>
      <c r="G122" s="94"/>
      <c r="H122" s="79" t="str">
        <f t="shared" si="32"/>
        <v/>
      </c>
      <c r="I122" s="94"/>
      <c r="J122" s="79" t="str">
        <f t="shared" si="33"/>
        <v/>
      </c>
      <c r="K122" s="94"/>
      <c r="L122" s="79" t="str">
        <f t="shared" si="34"/>
        <v/>
      </c>
      <c r="M122" s="94"/>
      <c r="N122" s="79" t="str">
        <f t="shared" si="35"/>
        <v/>
      </c>
      <c r="O122" s="85" t="str">
        <f t="shared" si="36"/>
        <v/>
      </c>
      <c r="P122" s="79" t="str">
        <f t="shared" si="37"/>
        <v/>
      </c>
      <c r="Q122" s="182" t="str">
        <f t="shared" si="38"/>
        <v/>
      </c>
      <c r="R122" s="26"/>
      <c r="S122" s="26"/>
      <c r="T122" s="26"/>
      <c r="U122" s="26"/>
      <c r="V122" s="26" t="str">
        <f t="shared" si="39"/>
        <v/>
      </c>
      <c r="W122" s="26"/>
    </row>
    <row r="123" spans="1:23" x14ac:dyDescent="0.35">
      <c r="A123" s="93"/>
      <c r="B123" s="94"/>
      <c r="C123" s="95"/>
      <c r="D123" s="79" t="str">
        <f t="shared" si="30"/>
        <v/>
      </c>
      <c r="E123" s="94"/>
      <c r="F123" s="79" t="str">
        <f t="shared" si="31"/>
        <v/>
      </c>
      <c r="G123" s="94"/>
      <c r="H123" s="79" t="str">
        <f t="shared" si="32"/>
        <v/>
      </c>
      <c r="I123" s="94"/>
      <c r="J123" s="79" t="str">
        <f t="shared" si="33"/>
        <v/>
      </c>
      <c r="K123" s="94"/>
      <c r="L123" s="79" t="str">
        <f t="shared" si="34"/>
        <v/>
      </c>
      <c r="M123" s="94"/>
      <c r="N123" s="79" t="str">
        <f t="shared" si="35"/>
        <v/>
      </c>
      <c r="O123" s="85" t="str">
        <f t="shared" si="36"/>
        <v/>
      </c>
      <c r="P123" s="79" t="str">
        <f t="shared" si="37"/>
        <v/>
      </c>
      <c r="Q123" s="182" t="str">
        <f t="shared" si="38"/>
        <v/>
      </c>
      <c r="R123" s="26"/>
      <c r="S123" s="26"/>
      <c r="T123" s="26"/>
      <c r="U123" s="26"/>
      <c r="V123" s="26" t="str">
        <f t="shared" si="39"/>
        <v/>
      </c>
      <c r="W123" s="26"/>
    </row>
    <row r="124" spans="1:23" x14ac:dyDescent="0.35">
      <c r="A124" s="93"/>
      <c r="B124" s="94"/>
      <c r="C124" s="95"/>
      <c r="D124" s="79" t="str">
        <f t="shared" si="30"/>
        <v/>
      </c>
      <c r="E124" s="94"/>
      <c r="F124" s="79" t="str">
        <f t="shared" si="31"/>
        <v/>
      </c>
      <c r="G124" s="94"/>
      <c r="H124" s="79" t="str">
        <f t="shared" si="32"/>
        <v/>
      </c>
      <c r="I124" s="94"/>
      <c r="J124" s="79" t="str">
        <f t="shared" si="33"/>
        <v/>
      </c>
      <c r="K124" s="94"/>
      <c r="L124" s="79" t="str">
        <f t="shared" si="34"/>
        <v/>
      </c>
      <c r="M124" s="94"/>
      <c r="N124" s="79" t="str">
        <f t="shared" si="35"/>
        <v/>
      </c>
      <c r="O124" s="85" t="str">
        <f t="shared" si="36"/>
        <v/>
      </c>
      <c r="P124" s="79" t="str">
        <f t="shared" si="37"/>
        <v/>
      </c>
      <c r="Q124" s="182" t="str">
        <f t="shared" si="38"/>
        <v/>
      </c>
      <c r="R124" s="26"/>
      <c r="S124" s="26"/>
      <c r="T124" s="26"/>
      <c r="U124" s="26"/>
      <c r="V124" s="26" t="str">
        <f t="shared" si="39"/>
        <v/>
      </c>
      <c r="W124" s="26"/>
    </row>
    <row r="125" spans="1:23" x14ac:dyDescent="0.35">
      <c r="A125" s="93"/>
      <c r="B125" s="94"/>
      <c r="C125" s="95"/>
      <c r="D125" s="79" t="str">
        <f t="shared" si="30"/>
        <v/>
      </c>
      <c r="E125" s="94"/>
      <c r="F125" s="79" t="str">
        <f t="shared" si="31"/>
        <v/>
      </c>
      <c r="G125" s="94"/>
      <c r="H125" s="79" t="str">
        <f t="shared" si="32"/>
        <v/>
      </c>
      <c r="I125" s="94"/>
      <c r="J125" s="79" t="str">
        <f t="shared" si="33"/>
        <v/>
      </c>
      <c r="K125" s="94"/>
      <c r="L125" s="79" t="str">
        <f t="shared" si="34"/>
        <v/>
      </c>
      <c r="M125" s="94"/>
      <c r="N125" s="79" t="str">
        <f t="shared" si="35"/>
        <v/>
      </c>
      <c r="O125" s="85" t="str">
        <f t="shared" si="36"/>
        <v/>
      </c>
      <c r="P125" s="79" t="str">
        <f t="shared" si="37"/>
        <v/>
      </c>
      <c r="Q125" s="182" t="str">
        <f t="shared" si="38"/>
        <v/>
      </c>
      <c r="R125" s="26"/>
      <c r="S125" s="26"/>
      <c r="T125" s="26"/>
      <c r="U125" s="26"/>
      <c r="V125" s="26" t="str">
        <f t="shared" si="39"/>
        <v/>
      </c>
      <c r="W125" s="26"/>
    </row>
    <row r="126" spans="1:23" x14ac:dyDescent="0.35">
      <c r="A126" s="93"/>
      <c r="B126" s="94"/>
      <c r="C126" s="95"/>
      <c r="D126" s="79" t="str">
        <f t="shared" si="30"/>
        <v/>
      </c>
      <c r="E126" s="94"/>
      <c r="F126" s="79" t="str">
        <f t="shared" si="31"/>
        <v/>
      </c>
      <c r="G126" s="94"/>
      <c r="H126" s="79" t="str">
        <f t="shared" si="32"/>
        <v/>
      </c>
      <c r="I126" s="94"/>
      <c r="J126" s="79" t="str">
        <f t="shared" si="33"/>
        <v/>
      </c>
      <c r="K126" s="94"/>
      <c r="L126" s="79" t="str">
        <f t="shared" si="34"/>
        <v/>
      </c>
      <c r="M126" s="94"/>
      <c r="N126" s="79" t="str">
        <f t="shared" si="35"/>
        <v/>
      </c>
      <c r="O126" s="85" t="str">
        <f t="shared" si="36"/>
        <v/>
      </c>
      <c r="P126" s="79" t="str">
        <f t="shared" si="37"/>
        <v/>
      </c>
      <c r="Q126" s="182" t="str">
        <f t="shared" si="38"/>
        <v/>
      </c>
      <c r="R126" s="26"/>
      <c r="S126" s="26"/>
      <c r="T126" s="26"/>
      <c r="U126" s="26"/>
      <c r="V126" s="26" t="str">
        <f t="shared" si="39"/>
        <v/>
      </c>
      <c r="W126" s="26"/>
    </row>
    <row r="127" spans="1:23" x14ac:dyDescent="0.35">
      <c r="A127" s="93"/>
      <c r="B127" s="94"/>
      <c r="C127" s="95"/>
      <c r="D127" s="79" t="str">
        <f t="shared" si="30"/>
        <v/>
      </c>
      <c r="E127" s="94"/>
      <c r="F127" s="79" t="str">
        <f t="shared" si="31"/>
        <v/>
      </c>
      <c r="G127" s="94"/>
      <c r="H127" s="79" t="str">
        <f t="shared" si="32"/>
        <v/>
      </c>
      <c r="I127" s="94"/>
      <c r="J127" s="79" t="str">
        <f t="shared" si="33"/>
        <v/>
      </c>
      <c r="K127" s="94"/>
      <c r="L127" s="79" t="str">
        <f t="shared" si="34"/>
        <v/>
      </c>
      <c r="M127" s="94"/>
      <c r="N127" s="79" t="str">
        <f t="shared" si="35"/>
        <v/>
      </c>
      <c r="O127" s="85" t="str">
        <f t="shared" si="36"/>
        <v/>
      </c>
      <c r="P127" s="79" t="str">
        <f t="shared" si="37"/>
        <v/>
      </c>
      <c r="Q127" s="182" t="str">
        <f t="shared" si="38"/>
        <v/>
      </c>
      <c r="R127" s="26"/>
      <c r="S127" s="26"/>
      <c r="T127" s="26"/>
      <c r="U127" s="26"/>
      <c r="V127" s="26" t="str">
        <f t="shared" si="39"/>
        <v/>
      </c>
      <c r="W127" s="26"/>
    </row>
    <row r="128" spans="1:23" x14ac:dyDescent="0.35">
      <c r="A128" s="93"/>
      <c r="B128" s="94"/>
      <c r="C128" s="95"/>
      <c r="D128" s="79" t="str">
        <f t="shared" si="30"/>
        <v/>
      </c>
      <c r="E128" s="94"/>
      <c r="F128" s="79" t="str">
        <f t="shared" si="31"/>
        <v/>
      </c>
      <c r="G128" s="94"/>
      <c r="H128" s="79" t="str">
        <f t="shared" si="32"/>
        <v/>
      </c>
      <c r="I128" s="94"/>
      <c r="J128" s="79" t="str">
        <f t="shared" si="33"/>
        <v/>
      </c>
      <c r="K128" s="94"/>
      <c r="L128" s="79" t="str">
        <f t="shared" si="34"/>
        <v/>
      </c>
      <c r="M128" s="94"/>
      <c r="N128" s="79" t="str">
        <f t="shared" si="35"/>
        <v/>
      </c>
      <c r="O128" s="85" t="str">
        <f t="shared" si="36"/>
        <v/>
      </c>
      <c r="P128" s="79" t="str">
        <f t="shared" si="37"/>
        <v/>
      </c>
      <c r="Q128" s="182" t="str">
        <f t="shared" si="38"/>
        <v/>
      </c>
      <c r="R128" s="26"/>
      <c r="S128" s="26"/>
      <c r="T128" s="26"/>
      <c r="U128" s="26"/>
      <c r="V128" s="26" t="str">
        <f t="shared" si="39"/>
        <v/>
      </c>
      <c r="W128" s="26"/>
    </row>
    <row r="129" spans="1:23" x14ac:dyDescent="0.35">
      <c r="A129" s="93"/>
      <c r="B129" s="94"/>
      <c r="C129" s="95"/>
      <c r="D129" s="79" t="str">
        <f t="shared" si="30"/>
        <v/>
      </c>
      <c r="E129" s="94"/>
      <c r="F129" s="79" t="str">
        <f t="shared" si="31"/>
        <v/>
      </c>
      <c r="G129" s="94"/>
      <c r="H129" s="79" t="str">
        <f t="shared" si="32"/>
        <v/>
      </c>
      <c r="I129" s="94"/>
      <c r="J129" s="79" t="str">
        <f t="shared" si="33"/>
        <v/>
      </c>
      <c r="K129" s="94"/>
      <c r="L129" s="79" t="str">
        <f t="shared" si="34"/>
        <v/>
      </c>
      <c r="M129" s="94"/>
      <c r="N129" s="79" t="str">
        <f t="shared" si="35"/>
        <v/>
      </c>
      <c r="O129" s="85" t="str">
        <f t="shared" si="36"/>
        <v/>
      </c>
      <c r="P129" s="79" t="str">
        <f t="shared" si="37"/>
        <v/>
      </c>
      <c r="Q129" s="182" t="str">
        <f t="shared" si="38"/>
        <v/>
      </c>
      <c r="R129" s="26"/>
      <c r="S129" s="26"/>
      <c r="T129" s="26"/>
      <c r="U129" s="26"/>
      <c r="V129" s="26" t="str">
        <f t="shared" si="39"/>
        <v/>
      </c>
      <c r="W129" s="26"/>
    </row>
    <row r="130" spans="1:23" x14ac:dyDescent="0.35">
      <c r="A130" s="93"/>
      <c r="B130" s="94"/>
      <c r="C130" s="95"/>
      <c r="D130" s="79" t="str">
        <f t="shared" ref="D130:D161" si="40">IF(OR(A130="",B130="",C130=""),"",ROUND(B130*C130,2))</f>
        <v/>
      </c>
      <c r="E130" s="94"/>
      <c r="F130" s="79" t="str">
        <f t="shared" ref="F130:F161" si="41">IF(OR(A130="",E130="",C130="",NOT(ISNUMBER($U$2))),"",ROUND(E130*C130*$U$2,2))</f>
        <v/>
      </c>
      <c r="G130" s="94"/>
      <c r="H130" s="79" t="str">
        <f t="shared" ref="H130:H161" si="42">IF(OR(A130="",G130="",C130="",NOT(ISNUMBER($U$3))),"",ROUND(G130*C130*$U$3,2))</f>
        <v/>
      </c>
      <c r="I130" s="94"/>
      <c r="J130" s="79" t="str">
        <f t="shared" ref="J130:J161" si="43">IF(OR(A130="",I130="",C130="",NOT(ISNUMBER($U$4))),"",ROUND(I130*C130*$U$4,2))</f>
        <v/>
      </c>
      <c r="K130" s="94"/>
      <c r="L130" s="79" t="str">
        <f t="shared" ref="L130:L161" si="44">IF(OR(A130="",K130="",C130="",NOT(ISNUMBER($U$5))),"",ROUND(K130*C130*$U$5,2))</f>
        <v/>
      </c>
      <c r="M130" s="94"/>
      <c r="N130" s="79" t="str">
        <f t="shared" ref="N130:N161" si="45">IF(OR(A130="",M130="",C130="",NOT(ISNUMBER($U$6))),"",ROUND(M130*C130*$U$6,2))</f>
        <v/>
      </c>
      <c r="O130" s="85" t="str">
        <f t="shared" ref="O130:O161" si="46">IF(A130="","",SUM(E130,G130,I130,K130,M130))</f>
        <v/>
      </c>
      <c r="P130" s="79" t="str">
        <f t="shared" ref="P130:P161" si="47">IF(A130="","",SUM(F130,H130,J130,L130,N130))</f>
        <v/>
      </c>
      <c r="Q130" s="182" t="str">
        <f t="shared" ref="Q130:Q161" si="48">IF(A130="","",IF(O130&gt;B130,"DIVERGENCIA: CONSUMO MAIOR QUE CONTRATADO","OK"))</f>
        <v/>
      </c>
      <c r="R130" s="26"/>
      <c r="S130" s="26"/>
      <c r="T130" s="26"/>
      <c r="U130" s="26"/>
      <c r="V130" s="26" t="str">
        <f t="shared" ref="V130:V161" si="49">IF(A130="","",IF(OR(NOT(ISNUMBER(B130)),NOT(ISNUMBER(O130)),NOT(ISNUMBER(C130)),Q130&lt;&gt;"OK"),"",ROUND(MAX(B130-O130,0)*C130,2)))</f>
        <v/>
      </c>
      <c r="W130" s="26"/>
    </row>
    <row r="131" spans="1:23" x14ac:dyDescent="0.35">
      <c r="A131" s="93"/>
      <c r="B131" s="94"/>
      <c r="C131" s="95"/>
      <c r="D131" s="79" t="str">
        <f t="shared" si="40"/>
        <v/>
      </c>
      <c r="E131" s="94"/>
      <c r="F131" s="79" t="str">
        <f t="shared" si="41"/>
        <v/>
      </c>
      <c r="G131" s="94"/>
      <c r="H131" s="79" t="str">
        <f t="shared" si="42"/>
        <v/>
      </c>
      <c r="I131" s="94"/>
      <c r="J131" s="79" t="str">
        <f t="shared" si="43"/>
        <v/>
      </c>
      <c r="K131" s="94"/>
      <c r="L131" s="79" t="str">
        <f t="shared" si="44"/>
        <v/>
      </c>
      <c r="M131" s="94"/>
      <c r="N131" s="79" t="str">
        <f t="shared" si="45"/>
        <v/>
      </c>
      <c r="O131" s="85" t="str">
        <f t="shared" si="46"/>
        <v/>
      </c>
      <c r="P131" s="79" t="str">
        <f t="shared" si="47"/>
        <v/>
      </c>
      <c r="Q131" s="182" t="str">
        <f t="shared" si="48"/>
        <v/>
      </c>
      <c r="R131" s="26"/>
      <c r="S131" s="26"/>
      <c r="T131" s="26"/>
      <c r="U131" s="26"/>
      <c r="V131" s="26" t="str">
        <f t="shared" si="49"/>
        <v/>
      </c>
      <c r="W131" s="26"/>
    </row>
    <row r="132" spans="1:23" x14ac:dyDescent="0.35">
      <c r="A132" s="93"/>
      <c r="B132" s="94"/>
      <c r="C132" s="95"/>
      <c r="D132" s="79" t="str">
        <f t="shared" si="40"/>
        <v/>
      </c>
      <c r="E132" s="94"/>
      <c r="F132" s="79" t="str">
        <f t="shared" si="41"/>
        <v/>
      </c>
      <c r="G132" s="94"/>
      <c r="H132" s="79" t="str">
        <f t="shared" si="42"/>
        <v/>
      </c>
      <c r="I132" s="94"/>
      <c r="J132" s="79" t="str">
        <f t="shared" si="43"/>
        <v/>
      </c>
      <c r="K132" s="94"/>
      <c r="L132" s="79" t="str">
        <f t="shared" si="44"/>
        <v/>
      </c>
      <c r="M132" s="94"/>
      <c r="N132" s="79" t="str">
        <f t="shared" si="45"/>
        <v/>
      </c>
      <c r="O132" s="85" t="str">
        <f t="shared" si="46"/>
        <v/>
      </c>
      <c r="P132" s="79" t="str">
        <f t="shared" si="47"/>
        <v/>
      </c>
      <c r="Q132" s="182" t="str">
        <f t="shared" si="48"/>
        <v/>
      </c>
      <c r="R132" s="26"/>
      <c r="S132" s="26"/>
      <c r="T132" s="26"/>
      <c r="U132" s="26"/>
      <c r="V132" s="26" t="str">
        <f t="shared" si="49"/>
        <v/>
      </c>
      <c r="W132" s="26"/>
    </row>
    <row r="133" spans="1:23" x14ac:dyDescent="0.35">
      <c r="A133" s="93"/>
      <c r="B133" s="94"/>
      <c r="C133" s="95"/>
      <c r="D133" s="79" t="str">
        <f t="shared" si="40"/>
        <v/>
      </c>
      <c r="E133" s="94"/>
      <c r="F133" s="79" t="str">
        <f t="shared" si="41"/>
        <v/>
      </c>
      <c r="G133" s="94"/>
      <c r="H133" s="79" t="str">
        <f t="shared" si="42"/>
        <v/>
      </c>
      <c r="I133" s="94"/>
      <c r="J133" s="79" t="str">
        <f t="shared" si="43"/>
        <v/>
      </c>
      <c r="K133" s="94"/>
      <c r="L133" s="79" t="str">
        <f t="shared" si="44"/>
        <v/>
      </c>
      <c r="M133" s="94"/>
      <c r="N133" s="79" t="str">
        <f t="shared" si="45"/>
        <v/>
      </c>
      <c r="O133" s="85" t="str">
        <f t="shared" si="46"/>
        <v/>
      </c>
      <c r="P133" s="79" t="str">
        <f t="shared" si="47"/>
        <v/>
      </c>
      <c r="Q133" s="182" t="str">
        <f t="shared" si="48"/>
        <v/>
      </c>
      <c r="R133" s="26"/>
      <c r="S133" s="26"/>
      <c r="T133" s="26"/>
      <c r="U133" s="26"/>
      <c r="V133" s="26" t="str">
        <f t="shared" si="49"/>
        <v/>
      </c>
      <c r="W133" s="26"/>
    </row>
    <row r="134" spans="1:23" x14ac:dyDescent="0.35">
      <c r="A134" s="93"/>
      <c r="B134" s="94"/>
      <c r="C134" s="95"/>
      <c r="D134" s="79" t="str">
        <f t="shared" si="40"/>
        <v/>
      </c>
      <c r="E134" s="94"/>
      <c r="F134" s="79" t="str">
        <f t="shared" si="41"/>
        <v/>
      </c>
      <c r="G134" s="94"/>
      <c r="H134" s="79" t="str">
        <f t="shared" si="42"/>
        <v/>
      </c>
      <c r="I134" s="94"/>
      <c r="J134" s="79" t="str">
        <f t="shared" si="43"/>
        <v/>
      </c>
      <c r="K134" s="94"/>
      <c r="L134" s="79" t="str">
        <f t="shared" si="44"/>
        <v/>
      </c>
      <c r="M134" s="94"/>
      <c r="N134" s="79" t="str">
        <f t="shared" si="45"/>
        <v/>
      </c>
      <c r="O134" s="85" t="str">
        <f t="shared" si="46"/>
        <v/>
      </c>
      <c r="P134" s="79" t="str">
        <f t="shared" si="47"/>
        <v/>
      </c>
      <c r="Q134" s="182" t="str">
        <f t="shared" si="48"/>
        <v/>
      </c>
      <c r="R134" s="26"/>
      <c r="S134" s="26"/>
      <c r="T134" s="26"/>
      <c r="U134" s="26"/>
      <c r="V134" s="26" t="str">
        <f t="shared" si="49"/>
        <v/>
      </c>
      <c r="W134" s="26"/>
    </row>
    <row r="135" spans="1:23" x14ac:dyDescent="0.35">
      <c r="A135" s="93"/>
      <c r="B135" s="94"/>
      <c r="C135" s="95"/>
      <c r="D135" s="79" t="str">
        <f t="shared" si="40"/>
        <v/>
      </c>
      <c r="E135" s="94"/>
      <c r="F135" s="79" t="str">
        <f t="shared" si="41"/>
        <v/>
      </c>
      <c r="G135" s="94"/>
      <c r="H135" s="79" t="str">
        <f t="shared" si="42"/>
        <v/>
      </c>
      <c r="I135" s="94"/>
      <c r="J135" s="79" t="str">
        <f t="shared" si="43"/>
        <v/>
      </c>
      <c r="K135" s="94"/>
      <c r="L135" s="79" t="str">
        <f t="shared" si="44"/>
        <v/>
      </c>
      <c r="M135" s="94"/>
      <c r="N135" s="79" t="str">
        <f t="shared" si="45"/>
        <v/>
      </c>
      <c r="O135" s="85" t="str">
        <f t="shared" si="46"/>
        <v/>
      </c>
      <c r="P135" s="79" t="str">
        <f t="shared" si="47"/>
        <v/>
      </c>
      <c r="Q135" s="182" t="str">
        <f t="shared" si="48"/>
        <v/>
      </c>
      <c r="R135" s="26"/>
      <c r="S135" s="26"/>
      <c r="T135" s="26"/>
      <c r="U135" s="26"/>
      <c r="V135" s="26" t="str">
        <f t="shared" si="49"/>
        <v/>
      </c>
      <c r="W135" s="26"/>
    </row>
    <row r="136" spans="1:23" x14ac:dyDescent="0.35">
      <c r="A136" s="93"/>
      <c r="B136" s="94"/>
      <c r="C136" s="95"/>
      <c r="D136" s="79" t="str">
        <f t="shared" si="40"/>
        <v/>
      </c>
      <c r="E136" s="94"/>
      <c r="F136" s="79" t="str">
        <f t="shared" si="41"/>
        <v/>
      </c>
      <c r="G136" s="94"/>
      <c r="H136" s="79" t="str">
        <f t="shared" si="42"/>
        <v/>
      </c>
      <c r="I136" s="94"/>
      <c r="J136" s="79" t="str">
        <f t="shared" si="43"/>
        <v/>
      </c>
      <c r="K136" s="94"/>
      <c r="L136" s="79" t="str">
        <f t="shared" si="44"/>
        <v/>
      </c>
      <c r="M136" s="94"/>
      <c r="N136" s="79" t="str">
        <f t="shared" si="45"/>
        <v/>
      </c>
      <c r="O136" s="85" t="str">
        <f t="shared" si="46"/>
        <v/>
      </c>
      <c r="P136" s="79" t="str">
        <f t="shared" si="47"/>
        <v/>
      </c>
      <c r="Q136" s="182" t="str">
        <f t="shared" si="48"/>
        <v/>
      </c>
      <c r="R136" s="26"/>
      <c r="S136" s="26"/>
      <c r="T136" s="26"/>
      <c r="U136" s="26"/>
      <c r="V136" s="26" t="str">
        <f t="shared" si="49"/>
        <v/>
      </c>
      <c r="W136" s="26"/>
    </row>
    <row r="137" spans="1:23" x14ac:dyDescent="0.35">
      <c r="A137" s="93"/>
      <c r="B137" s="94"/>
      <c r="C137" s="95"/>
      <c r="D137" s="79" t="str">
        <f t="shared" si="40"/>
        <v/>
      </c>
      <c r="E137" s="94"/>
      <c r="F137" s="79" t="str">
        <f t="shared" si="41"/>
        <v/>
      </c>
      <c r="G137" s="94"/>
      <c r="H137" s="79" t="str">
        <f t="shared" si="42"/>
        <v/>
      </c>
      <c r="I137" s="94"/>
      <c r="J137" s="79" t="str">
        <f t="shared" si="43"/>
        <v/>
      </c>
      <c r="K137" s="94"/>
      <c r="L137" s="79" t="str">
        <f t="shared" si="44"/>
        <v/>
      </c>
      <c r="M137" s="94"/>
      <c r="N137" s="79" t="str">
        <f t="shared" si="45"/>
        <v/>
      </c>
      <c r="O137" s="85" t="str">
        <f t="shared" si="46"/>
        <v/>
      </c>
      <c r="P137" s="79" t="str">
        <f t="shared" si="47"/>
        <v/>
      </c>
      <c r="Q137" s="182" t="str">
        <f t="shared" si="48"/>
        <v/>
      </c>
      <c r="R137" s="26"/>
      <c r="S137" s="26"/>
      <c r="T137" s="26"/>
      <c r="U137" s="26"/>
      <c r="V137" s="26" t="str">
        <f t="shared" si="49"/>
        <v/>
      </c>
      <c r="W137" s="26"/>
    </row>
    <row r="138" spans="1:23" x14ac:dyDescent="0.35">
      <c r="A138" s="93"/>
      <c r="B138" s="94"/>
      <c r="C138" s="95"/>
      <c r="D138" s="79" t="str">
        <f t="shared" si="40"/>
        <v/>
      </c>
      <c r="E138" s="94"/>
      <c r="F138" s="79" t="str">
        <f t="shared" si="41"/>
        <v/>
      </c>
      <c r="G138" s="94"/>
      <c r="H138" s="79" t="str">
        <f t="shared" si="42"/>
        <v/>
      </c>
      <c r="I138" s="94"/>
      <c r="J138" s="79" t="str">
        <f t="shared" si="43"/>
        <v/>
      </c>
      <c r="K138" s="94"/>
      <c r="L138" s="79" t="str">
        <f t="shared" si="44"/>
        <v/>
      </c>
      <c r="M138" s="94"/>
      <c r="N138" s="79" t="str">
        <f t="shared" si="45"/>
        <v/>
      </c>
      <c r="O138" s="85" t="str">
        <f t="shared" si="46"/>
        <v/>
      </c>
      <c r="P138" s="79" t="str">
        <f t="shared" si="47"/>
        <v/>
      </c>
      <c r="Q138" s="182" t="str">
        <f t="shared" si="48"/>
        <v/>
      </c>
      <c r="R138" s="26"/>
      <c r="S138" s="26"/>
      <c r="T138" s="26"/>
      <c r="U138" s="26"/>
      <c r="V138" s="26" t="str">
        <f t="shared" si="49"/>
        <v/>
      </c>
      <c r="W138" s="26"/>
    </row>
    <row r="139" spans="1:23" x14ac:dyDescent="0.35">
      <c r="A139" s="93"/>
      <c r="B139" s="94"/>
      <c r="C139" s="95"/>
      <c r="D139" s="79" t="str">
        <f t="shared" si="40"/>
        <v/>
      </c>
      <c r="E139" s="94"/>
      <c r="F139" s="79" t="str">
        <f t="shared" si="41"/>
        <v/>
      </c>
      <c r="G139" s="94"/>
      <c r="H139" s="79" t="str">
        <f t="shared" si="42"/>
        <v/>
      </c>
      <c r="I139" s="94"/>
      <c r="J139" s="79" t="str">
        <f t="shared" si="43"/>
        <v/>
      </c>
      <c r="K139" s="94"/>
      <c r="L139" s="79" t="str">
        <f t="shared" si="44"/>
        <v/>
      </c>
      <c r="M139" s="94"/>
      <c r="N139" s="79" t="str">
        <f t="shared" si="45"/>
        <v/>
      </c>
      <c r="O139" s="85" t="str">
        <f t="shared" si="46"/>
        <v/>
      </c>
      <c r="P139" s="79" t="str">
        <f t="shared" si="47"/>
        <v/>
      </c>
      <c r="Q139" s="182" t="str">
        <f t="shared" si="48"/>
        <v/>
      </c>
      <c r="R139" s="26"/>
      <c r="S139" s="26"/>
      <c r="T139" s="26"/>
      <c r="U139" s="26"/>
      <c r="V139" s="26" t="str">
        <f t="shared" si="49"/>
        <v/>
      </c>
      <c r="W139" s="26"/>
    </row>
    <row r="140" spans="1:23" x14ac:dyDescent="0.35">
      <c r="A140" s="93"/>
      <c r="B140" s="94"/>
      <c r="C140" s="95"/>
      <c r="D140" s="79" t="str">
        <f t="shared" si="40"/>
        <v/>
      </c>
      <c r="E140" s="94"/>
      <c r="F140" s="79" t="str">
        <f t="shared" si="41"/>
        <v/>
      </c>
      <c r="G140" s="94"/>
      <c r="H140" s="79" t="str">
        <f t="shared" si="42"/>
        <v/>
      </c>
      <c r="I140" s="94"/>
      <c r="J140" s="79" t="str">
        <f t="shared" si="43"/>
        <v/>
      </c>
      <c r="K140" s="94"/>
      <c r="L140" s="79" t="str">
        <f t="shared" si="44"/>
        <v/>
      </c>
      <c r="M140" s="94"/>
      <c r="N140" s="79" t="str">
        <f t="shared" si="45"/>
        <v/>
      </c>
      <c r="O140" s="85" t="str">
        <f t="shared" si="46"/>
        <v/>
      </c>
      <c r="P140" s="79" t="str">
        <f t="shared" si="47"/>
        <v/>
      </c>
      <c r="Q140" s="182" t="str">
        <f t="shared" si="48"/>
        <v/>
      </c>
      <c r="R140" s="26"/>
      <c r="S140" s="26"/>
      <c r="T140" s="26"/>
      <c r="U140" s="26"/>
      <c r="V140" s="26" t="str">
        <f t="shared" si="49"/>
        <v/>
      </c>
      <c r="W140" s="26"/>
    </row>
    <row r="141" spans="1:23" x14ac:dyDescent="0.35">
      <c r="A141" s="93"/>
      <c r="B141" s="94"/>
      <c r="C141" s="95"/>
      <c r="D141" s="79" t="str">
        <f t="shared" si="40"/>
        <v/>
      </c>
      <c r="E141" s="94"/>
      <c r="F141" s="79" t="str">
        <f t="shared" si="41"/>
        <v/>
      </c>
      <c r="G141" s="94"/>
      <c r="H141" s="79" t="str">
        <f t="shared" si="42"/>
        <v/>
      </c>
      <c r="I141" s="94"/>
      <c r="J141" s="79" t="str">
        <f t="shared" si="43"/>
        <v/>
      </c>
      <c r="K141" s="94"/>
      <c r="L141" s="79" t="str">
        <f t="shared" si="44"/>
        <v/>
      </c>
      <c r="M141" s="94"/>
      <c r="N141" s="79" t="str">
        <f t="shared" si="45"/>
        <v/>
      </c>
      <c r="O141" s="85" t="str">
        <f t="shared" si="46"/>
        <v/>
      </c>
      <c r="P141" s="79" t="str">
        <f t="shared" si="47"/>
        <v/>
      </c>
      <c r="Q141" s="182" t="str">
        <f t="shared" si="48"/>
        <v/>
      </c>
      <c r="R141" s="26"/>
      <c r="S141" s="26"/>
      <c r="T141" s="26"/>
      <c r="U141" s="26"/>
      <c r="V141" s="26" t="str">
        <f t="shared" si="49"/>
        <v/>
      </c>
      <c r="W141" s="26"/>
    </row>
    <row r="142" spans="1:23" x14ac:dyDescent="0.35">
      <c r="A142" s="93"/>
      <c r="B142" s="94"/>
      <c r="C142" s="95"/>
      <c r="D142" s="79" t="str">
        <f t="shared" si="40"/>
        <v/>
      </c>
      <c r="E142" s="94"/>
      <c r="F142" s="79" t="str">
        <f t="shared" si="41"/>
        <v/>
      </c>
      <c r="G142" s="94"/>
      <c r="H142" s="79" t="str">
        <f t="shared" si="42"/>
        <v/>
      </c>
      <c r="I142" s="94"/>
      <c r="J142" s="79" t="str">
        <f t="shared" si="43"/>
        <v/>
      </c>
      <c r="K142" s="94"/>
      <c r="L142" s="79" t="str">
        <f t="shared" si="44"/>
        <v/>
      </c>
      <c r="M142" s="94"/>
      <c r="N142" s="79" t="str">
        <f t="shared" si="45"/>
        <v/>
      </c>
      <c r="O142" s="85" t="str">
        <f t="shared" si="46"/>
        <v/>
      </c>
      <c r="P142" s="79" t="str">
        <f t="shared" si="47"/>
        <v/>
      </c>
      <c r="Q142" s="182" t="str">
        <f t="shared" si="48"/>
        <v/>
      </c>
      <c r="R142" s="26"/>
      <c r="S142" s="26"/>
      <c r="T142" s="26"/>
      <c r="U142" s="26"/>
      <c r="V142" s="26" t="str">
        <f t="shared" si="49"/>
        <v/>
      </c>
      <c r="W142" s="26"/>
    </row>
    <row r="143" spans="1:23" x14ac:dyDescent="0.35">
      <c r="A143" s="93"/>
      <c r="B143" s="94"/>
      <c r="C143" s="95"/>
      <c r="D143" s="79" t="str">
        <f t="shared" si="40"/>
        <v/>
      </c>
      <c r="E143" s="94"/>
      <c r="F143" s="79" t="str">
        <f t="shared" si="41"/>
        <v/>
      </c>
      <c r="G143" s="94"/>
      <c r="H143" s="79" t="str">
        <f t="shared" si="42"/>
        <v/>
      </c>
      <c r="I143" s="94"/>
      <c r="J143" s="79" t="str">
        <f t="shared" si="43"/>
        <v/>
      </c>
      <c r="K143" s="94"/>
      <c r="L143" s="79" t="str">
        <f t="shared" si="44"/>
        <v/>
      </c>
      <c r="M143" s="94"/>
      <c r="N143" s="79" t="str">
        <f t="shared" si="45"/>
        <v/>
      </c>
      <c r="O143" s="85" t="str">
        <f t="shared" si="46"/>
        <v/>
      </c>
      <c r="P143" s="79" t="str">
        <f t="shared" si="47"/>
        <v/>
      </c>
      <c r="Q143" s="182" t="str">
        <f t="shared" si="48"/>
        <v/>
      </c>
      <c r="R143" s="26"/>
      <c r="S143" s="26"/>
      <c r="T143" s="26"/>
      <c r="U143" s="26"/>
      <c r="V143" s="26" t="str">
        <f t="shared" si="49"/>
        <v/>
      </c>
      <c r="W143" s="26"/>
    </row>
    <row r="144" spans="1:23" x14ac:dyDescent="0.35">
      <c r="A144" s="93"/>
      <c r="B144" s="94"/>
      <c r="C144" s="95"/>
      <c r="D144" s="79" t="str">
        <f t="shared" si="40"/>
        <v/>
      </c>
      <c r="E144" s="94"/>
      <c r="F144" s="79" t="str">
        <f t="shared" si="41"/>
        <v/>
      </c>
      <c r="G144" s="94"/>
      <c r="H144" s="79" t="str">
        <f t="shared" si="42"/>
        <v/>
      </c>
      <c r="I144" s="94"/>
      <c r="J144" s="79" t="str">
        <f t="shared" si="43"/>
        <v/>
      </c>
      <c r="K144" s="94"/>
      <c r="L144" s="79" t="str">
        <f t="shared" si="44"/>
        <v/>
      </c>
      <c r="M144" s="94"/>
      <c r="N144" s="79" t="str">
        <f t="shared" si="45"/>
        <v/>
      </c>
      <c r="O144" s="85" t="str">
        <f t="shared" si="46"/>
        <v/>
      </c>
      <c r="P144" s="79" t="str">
        <f t="shared" si="47"/>
        <v/>
      </c>
      <c r="Q144" s="182" t="str">
        <f t="shared" si="48"/>
        <v/>
      </c>
      <c r="R144" s="26"/>
      <c r="S144" s="26"/>
      <c r="T144" s="26"/>
      <c r="U144" s="26"/>
      <c r="V144" s="26" t="str">
        <f t="shared" si="49"/>
        <v/>
      </c>
      <c r="W144" s="26"/>
    </row>
    <row r="145" spans="1:23" x14ac:dyDescent="0.35">
      <c r="A145" s="93"/>
      <c r="B145" s="94"/>
      <c r="C145" s="95"/>
      <c r="D145" s="79" t="str">
        <f t="shared" si="40"/>
        <v/>
      </c>
      <c r="E145" s="94"/>
      <c r="F145" s="79" t="str">
        <f t="shared" si="41"/>
        <v/>
      </c>
      <c r="G145" s="94"/>
      <c r="H145" s="79" t="str">
        <f t="shared" si="42"/>
        <v/>
      </c>
      <c r="I145" s="94"/>
      <c r="J145" s="79" t="str">
        <f t="shared" si="43"/>
        <v/>
      </c>
      <c r="K145" s="94"/>
      <c r="L145" s="79" t="str">
        <f t="shared" si="44"/>
        <v/>
      </c>
      <c r="M145" s="94"/>
      <c r="N145" s="79" t="str">
        <f t="shared" si="45"/>
        <v/>
      </c>
      <c r="O145" s="85" t="str">
        <f t="shared" si="46"/>
        <v/>
      </c>
      <c r="P145" s="79" t="str">
        <f t="shared" si="47"/>
        <v/>
      </c>
      <c r="Q145" s="182" t="str">
        <f t="shared" si="48"/>
        <v/>
      </c>
      <c r="R145" s="26"/>
      <c r="S145" s="26"/>
      <c r="T145" s="26"/>
      <c r="U145" s="26"/>
      <c r="V145" s="26" t="str">
        <f t="shared" si="49"/>
        <v/>
      </c>
      <c r="W145" s="26"/>
    </row>
    <row r="146" spans="1:23" x14ac:dyDescent="0.35">
      <c r="A146" s="93"/>
      <c r="B146" s="94"/>
      <c r="C146" s="95"/>
      <c r="D146" s="79" t="str">
        <f t="shared" si="40"/>
        <v/>
      </c>
      <c r="E146" s="94"/>
      <c r="F146" s="79" t="str">
        <f t="shared" si="41"/>
        <v/>
      </c>
      <c r="G146" s="94"/>
      <c r="H146" s="79" t="str">
        <f t="shared" si="42"/>
        <v/>
      </c>
      <c r="I146" s="94"/>
      <c r="J146" s="79" t="str">
        <f t="shared" si="43"/>
        <v/>
      </c>
      <c r="K146" s="94"/>
      <c r="L146" s="79" t="str">
        <f t="shared" si="44"/>
        <v/>
      </c>
      <c r="M146" s="94"/>
      <c r="N146" s="79" t="str">
        <f t="shared" si="45"/>
        <v/>
      </c>
      <c r="O146" s="85" t="str">
        <f t="shared" si="46"/>
        <v/>
      </c>
      <c r="P146" s="79" t="str">
        <f t="shared" si="47"/>
        <v/>
      </c>
      <c r="Q146" s="182" t="str">
        <f t="shared" si="48"/>
        <v/>
      </c>
      <c r="R146" s="26"/>
      <c r="S146" s="26"/>
      <c r="T146" s="26"/>
      <c r="U146" s="26"/>
      <c r="V146" s="26" t="str">
        <f t="shared" si="49"/>
        <v/>
      </c>
      <c r="W146" s="26"/>
    </row>
    <row r="147" spans="1:23" x14ac:dyDescent="0.35">
      <c r="A147" s="93"/>
      <c r="B147" s="94"/>
      <c r="C147" s="95"/>
      <c r="D147" s="79" t="str">
        <f t="shared" si="40"/>
        <v/>
      </c>
      <c r="E147" s="94"/>
      <c r="F147" s="79" t="str">
        <f t="shared" si="41"/>
        <v/>
      </c>
      <c r="G147" s="94"/>
      <c r="H147" s="79" t="str">
        <f t="shared" si="42"/>
        <v/>
      </c>
      <c r="I147" s="94"/>
      <c r="J147" s="79" t="str">
        <f t="shared" si="43"/>
        <v/>
      </c>
      <c r="K147" s="94"/>
      <c r="L147" s="79" t="str">
        <f t="shared" si="44"/>
        <v/>
      </c>
      <c r="M147" s="94"/>
      <c r="N147" s="79" t="str">
        <f t="shared" si="45"/>
        <v/>
      </c>
      <c r="O147" s="85" t="str">
        <f t="shared" si="46"/>
        <v/>
      </c>
      <c r="P147" s="79" t="str">
        <f t="shared" si="47"/>
        <v/>
      </c>
      <c r="Q147" s="182" t="str">
        <f t="shared" si="48"/>
        <v/>
      </c>
      <c r="R147" s="26"/>
      <c r="S147" s="26"/>
      <c r="T147" s="26"/>
      <c r="U147" s="26"/>
      <c r="V147" s="26" t="str">
        <f t="shared" si="49"/>
        <v/>
      </c>
      <c r="W147" s="26"/>
    </row>
    <row r="148" spans="1:23" x14ac:dyDescent="0.35">
      <c r="A148" s="93"/>
      <c r="B148" s="94"/>
      <c r="C148" s="95"/>
      <c r="D148" s="79" t="str">
        <f t="shared" si="40"/>
        <v/>
      </c>
      <c r="E148" s="94"/>
      <c r="F148" s="79" t="str">
        <f t="shared" si="41"/>
        <v/>
      </c>
      <c r="G148" s="94"/>
      <c r="H148" s="79" t="str">
        <f t="shared" si="42"/>
        <v/>
      </c>
      <c r="I148" s="94"/>
      <c r="J148" s="79" t="str">
        <f t="shared" si="43"/>
        <v/>
      </c>
      <c r="K148" s="94"/>
      <c r="L148" s="79" t="str">
        <f t="shared" si="44"/>
        <v/>
      </c>
      <c r="M148" s="94"/>
      <c r="N148" s="79" t="str">
        <f t="shared" si="45"/>
        <v/>
      </c>
      <c r="O148" s="85" t="str">
        <f t="shared" si="46"/>
        <v/>
      </c>
      <c r="P148" s="79" t="str">
        <f t="shared" si="47"/>
        <v/>
      </c>
      <c r="Q148" s="182" t="str">
        <f t="shared" si="48"/>
        <v/>
      </c>
      <c r="R148" s="26"/>
      <c r="S148" s="26"/>
      <c r="T148" s="26"/>
      <c r="U148" s="26"/>
      <c r="V148" s="26" t="str">
        <f t="shared" si="49"/>
        <v/>
      </c>
      <c r="W148" s="26"/>
    </row>
    <row r="149" spans="1:23" x14ac:dyDescent="0.35">
      <c r="A149" s="93"/>
      <c r="B149" s="94"/>
      <c r="C149" s="95"/>
      <c r="D149" s="79" t="str">
        <f t="shared" si="40"/>
        <v/>
      </c>
      <c r="E149" s="94"/>
      <c r="F149" s="79" t="str">
        <f t="shared" si="41"/>
        <v/>
      </c>
      <c r="G149" s="94"/>
      <c r="H149" s="79" t="str">
        <f t="shared" si="42"/>
        <v/>
      </c>
      <c r="I149" s="94"/>
      <c r="J149" s="79" t="str">
        <f t="shared" si="43"/>
        <v/>
      </c>
      <c r="K149" s="94"/>
      <c r="L149" s="79" t="str">
        <f t="shared" si="44"/>
        <v/>
      </c>
      <c r="M149" s="94"/>
      <c r="N149" s="79" t="str">
        <f t="shared" si="45"/>
        <v/>
      </c>
      <c r="O149" s="85" t="str">
        <f t="shared" si="46"/>
        <v/>
      </c>
      <c r="P149" s="79" t="str">
        <f t="shared" si="47"/>
        <v/>
      </c>
      <c r="Q149" s="182" t="str">
        <f t="shared" si="48"/>
        <v/>
      </c>
      <c r="R149" s="26"/>
      <c r="S149" s="26"/>
      <c r="T149" s="26"/>
      <c r="U149" s="26"/>
      <c r="V149" s="26" t="str">
        <f t="shared" si="49"/>
        <v/>
      </c>
      <c r="W149" s="26"/>
    </row>
    <row r="150" spans="1:23" x14ac:dyDescent="0.35">
      <c r="A150" s="93"/>
      <c r="B150" s="94"/>
      <c r="C150" s="95"/>
      <c r="D150" s="79" t="str">
        <f t="shared" si="40"/>
        <v/>
      </c>
      <c r="E150" s="94"/>
      <c r="F150" s="79" t="str">
        <f t="shared" si="41"/>
        <v/>
      </c>
      <c r="G150" s="94"/>
      <c r="H150" s="79" t="str">
        <f t="shared" si="42"/>
        <v/>
      </c>
      <c r="I150" s="94"/>
      <c r="J150" s="79" t="str">
        <f t="shared" si="43"/>
        <v/>
      </c>
      <c r="K150" s="94"/>
      <c r="L150" s="79" t="str">
        <f t="shared" si="44"/>
        <v/>
      </c>
      <c r="M150" s="94"/>
      <c r="N150" s="79" t="str">
        <f t="shared" si="45"/>
        <v/>
      </c>
      <c r="O150" s="85" t="str">
        <f t="shared" si="46"/>
        <v/>
      </c>
      <c r="P150" s="79" t="str">
        <f t="shared" si="47"/>
        <v/>
      </c>
      <c r="Q150" s="182" t="str">
        <f t="shared" si="48"/>
        <v/>
      </c>
      <c r="R150" s="26"/>
      <c r="S150" s="26"/>
      <c r="T150" s="26"/>
      <c r="U150" s="26"/>
      <c r="V150" s="26" t="str">
        <f t="shared" si="49"/>
        <v/>
      </c>
      <c r="W150" s="26"/>
    </row>
    <row r="151" spans="1:23" x14ac:dyDescent="0.35">
      <c r="A151" s="93"/>
      <c r="B151" s="94"/>
      <c r="C151" s="95"/>
      <c r="D151" s="79" t="str">
        <f t="shared" si="40"/>
        <v/>
      </c>
      <c r="E151" s="94"/>
      <c r="F151" s="79" t="str">
        <f t="shared" si="41"/>
        <v/>
      </c>
      <c r="G151" s="94"/>
      <c r="H151" s="79" t="str">
        <f t="shared" si="42"/>
        <v/>
      </c>
      <c r="I151" s="94"/>
      <c r="J151" s="79" t="str">
        <f t="shared" si="43"/>
        <v/>
      </c>
      <c r="K151" s="94"/>
      <c r="L151" s="79" t="str">
        <f t="shared" si="44"/>
        <v/>
      </c>
      <c r="M151" s="94"/>
      <c r="N151" s="79" t="str">
        <f t="shared" si="45"/>
        <v/>
      </c>
      <c r="O151" s="85" t="str">
        <f t="shared" si="46"/>
        <v/>
      </c>
      <c r="P151" s="79" t="str">
        <f t="shared" si="47"/>
        <v/>
      </c>
      <c r="Q151" s="182" t="str">
        <f t="shared" si="48"/>
        <v/>
      </c>
      <c r="R151" s="26"/>
      <c r="S151" s="26"/>
      <c r="T151" s="26"/>
      <c r="U151" s="26"/>
      <c r="V151" s="26" t="str">
        <f t="shared" si="49"/>
        <v/>
      </c>
      <c r="W151" s="26"/>
    </row>
    <row r="152" spans="1:23" x14ac:dyDescent="0.35">
      <c r="A152" s="93"/>
      <c r="B152" s="94"/>
      <c r="C152" s="95"/>
      <c r="D152" s="79" t="str">
        <f t="shared" si="40"/>
        <v/>
      </c>
      <c r="E152" s="94"/>
      <c r="F152" s="79" t="str">
        <f t="shared" si="41"/>
        <v/>
      </c>
      <c r="G152" s="94"/>
      <c r="H152" s="79" t="str">
        <f t="shared" si="42"/>
        <v/>
      </c>
      <c r="I152" s="94"/>
      <c r="J152" s="79" t="str">
        <f t="shared" si="43"/>
        <v/>
      </c>
      <c r="K152" s="94"/>
      <c r="L152" s="79" t="str">
        <f t="shared" si="44"/>
        <v/>
      </c>
      <c r="M152" s="94"/>
      <c r="N152" s="79" t="str">
        <f t="shared" si="45"/>
        <v/>
      </c>
      <c r="O152" s="85" t="str">
        <f t="shared" si="46"/>
        <v/>
      </c>
      <c r="P152" s="79" t="str">
        <f t="shared" si="47"/>
        <v/>
      </c>
      <c r="Q152" s="182" t="str">
        <f t="shared" si="48"/>
        <v/>
      </c>
      <c r="R152" s="26"/>
      <c r="S152" s="26"/>
      <c r="T152" s="26"/>
      <c r="U152" s="26"/>
      <c r="V152" s="26" t="str">
        <f t="shared" si="49"/>
        <v/>
      </c>
      <c r="W152" s="26"/>
    </row>
    <row r="153" spans="1:23" x14ac:dyDescent="0.35">
      <c r="A153" s="93"/>
      <c r="B153" s="94"/>
      <c r="C153" s="95"/>
      <c r="D153" s="79" t="str">
        <f t="shared" si="40"/>
        <v/>
      </c>
      <c r="E153" s="94"/>
      <c r="F153" s="79" t="str">
        <f t="shared" si="41"/>
        <v/>
      </c>
      <c r="G153" s="94"/>
      <c r="H153" s="79" t="str">
        <f t="shared" si="42"/>
        <v/>
      </c>
      <c r="I153" s="94"/>
      <c r="J153" s="79" t="str">
        <f t="shared" si="43"/>
        <v/>
      </c>
      <c r="K153" s="94"/>
      <c r="L153" s="79" t="str">
        <f t="shared" si="44"/>
        <v/>
      </c>
      <c r="M153" s="94"/>
      <c r="N153" s="79" t="str">
        <f t="shared" si="45"/>
        <v/>
      </c>
      <c r="O153" s="85" t="str">
        <f t="shared" si="46"/>
        <v/>
      </c>
      <c r="P153" s="79" t="str">
        <f t="shared" si="47"/>
        <v/>
      </c>
      <c r="Q153" s="182" t="str">
        <f t="shared" si="48"/>
        <v/>
      </c>
      <c r="R153" s="26"/>
      <c r="S153" s="26"/>
      <c r="T153" s="26"/>
      <c r="U153" s="26"/>
      <c r="V153" s="26" t="str">
        <f t="shared" si="49"/>
        <v/>
      </c>
      <c r="W153" s="26"/>
    </row>
    <row r="154" spans="1:23" x14ac:dyDescent="0.35">
      <c r="A154" s="93"/>
      <c r="B154" s="94"/>
      <c r="C154" s="95"/>
      <c r="D154" s="79" t="str">
        <f t="shared" si="40"/>
        <v/>
      </c>
      <c r="E154" s="94"/>
      <c r="F154" s="79" t="str">
        <f t="shared" si="41"/>
        <v/>
      </c>
      <c r="G154" s="94"/>
      <c r="H154" s="79" t="str">
        <f t="shared" si="42"/>
        <v/>
      </c>
      <c r="I154" s="94"/>
      <c r="J154" s="79" t="str">
        <f t="shared" si="43"/>
        <v/>
      </c>
      <c r="K154" s="94"/>
      <c r="L154" s="79" t="str">
        <f t="shared" si="44"/>
        <v/>
      </c>
      <c r="M154" s="94"/>
      <c r="N154" s="79" t="str">
        <f t="shared" si="45"/>
        <v/>
      </c>
      <c r="O154" s="85" t="str">
        <f t="shared" si="46"/>
        <v/>
      </c>
      <c r="P154" s="79" t="str">
        <f t="shared" si="47"/>
        <v/>
      </c>
      <c r="Q154" s="182" t="str">
        <f t="shared" si="48"/>
        <v/>
      </c>
      <c r="R154" s="26"/>
      <c r="S154" s="26"/>
      <c r="T154" s="26"/>
      <c r="U154" s="26"/>
      <c r="V154" s="26" t="str">
        <f t="shared" si="49"/>
        <v/>
      </c>
      <c r="W154" s="26"/>
    </row>
    <row r="155" spans="1:23" x14ac:dyDescent="0.35">
      <c r="A155" s="93"/>
      <c r="B155" s="94"/>
      <c r="C155" s="95"/>
      <c r="D155" s="79" t="str">
        <f t="shared" si="40"/>
        <v/>
      </c>
      <c r="E155" s="94"/>
      <c r="F155" s="79" t="str">
        <f t="shared" si="41"/>
        <v/>
      </c>
      <c r="G155" s="94"/>
      <c r="H155" s="79" t="str">
        <f t="shared" si="42"/>
        <v/>
      </c>
      <c r="I155" s="94"/>
      <c r="J155" s="79" t="str">
        <f t="shared" si="43"/>
        <v/>
      </c>
      <c r="K155" s="94"/>
      <c r="L155" s="79" t="str">
        <f t="shared" si="44"/>
        <v/>
      </c>
      <c r="M155" s="94"/>
      <c r="N155" s="79" t="str">
        <f t="shared" si="45"/>
        <v/>
      </c>
      <c r="O155" s="85" t="str">
        <f t="shared" si="46"/>
        <v/>
      </c>
      <c r="P155" s="79" t="str">
        <f t="shared" si="47"/>
        <v/>
      </c>
      <c r="Q155" s="182" t="str">
        <f t="shared" si="48"/>
        <v/>
      </c>
      <c r="R155" s="26"/>
      <c r="S155" s="26"/>
      <c r="T155" s="26"/>
      <c r="U155" s="26"/>
      <c r="V155" s="26" t="str">
        <f t="shared" si="49"/>
        <v/>
      </c>
      <c r="W155" s="26"/>
    </row>
    <row r="156" spans="1:23" x14ac:dyDescent="0.35">
      <c r="A156" s="93"/>
      <c r="B156" s="94"/>
      <c r="C156" s="95"/>
      <c r="D156" s="79" t="str">
        <f t="shared" si="40"/>
        <v/>
      </c>
      <c r="E156" s="94"/>
      <c r="F156" s="79" t="str">
        <f t="shared" si="41"/>
        <v/>
      </c>
      <c r="G156" s="94"/>
      <c r="H156" s="79" t="str">
        <f t="shared" si="42"/>
        <v/>
      </c>
      <c r="I156" s="94"/>
      <c r="J156" s="79" t="str">
        <f t="shared" si="43"/>
        <v/>
      </c>
      <c r="K156" s="94"/>
      <c r="L156" s="79" t="str">
        <f t="shared" si="44"/>
        <v/>
      </c>
      <c r="M156" s="94"/>
      <c r="N156" s="79" t="str">
        <f t="shared" si="45"/>
        <v/>
      </c>
      <c r="O156" s="85" t="str">
        <f t="shared" si="46"/>
        <v/>
      </c>
      <c r="P156" s="79" t="str">
        <f t="shared" si="47"/>
        <v/>
      </c>
      <c r="Q156" s="182" t="str">
        <f t="shared" si="48"/>
        <v/>
      </c>
      <c r="R156" s="26"/>
      <c r="S156" s="26"/>
      <c r="T156" s="26"/>
      <c r="U156" s="26"/>
      <c r="V156" s="26" t="str">
        <f t="shared" si="49"/>
        <v/>
      </c>
      <c r="W156" s="26"/>
    </row>
    <row r="157" spans="1:23" x14ac:dyDescent="0.35">
      <c r="A157" s="93"/>
      <c r="B157" s="94"/>
      <c r="C157" s="95"/>
      <c r="D157" s="79" t="str">
        <f t="shared" si="40"/>
        <v/>
      </c>
      <c r="E157" s="94"/>
      <c r="F157" s="79" t="str">
        <f t="shared" si="41"/>
        <v/>
      </c>
      <c r="G157" s="94"/>
      <c r="H157" s="79" t="str">
        <f t="shared" si="42"/>
        <v/>
      </c>
      <c r="I157" s="94"/>
      <c r="J157" s="79" t="str">
        <f t="shared" si="43"/>
        <v/>
      </c>
      <c r="K157" s="94"/>
      <c r="L157" s="79" t="str">
        <f t="shared" si="44"/>
        <v/>
      </c>
      <c r="M157" s="94"/>
      <c r="N157" s="79" t="str">
        <f t="shared" si="45"/>
        <v/>
      </c>
      <c r="O157" s="85" t="str">
        <f t="shared" si="46"/>
        <v/>
      </c>
      <c r="P157" s="79" t="str">
        <f t="shared" si="47"/>
        <v/>
      </c>
      <c r="Q157" s="182" t="str">
        <f t="shared" si="48"/>
        <v/>
      </c>
      <c r="R157" s="26"/>
      <c r="S157" s="26"/>
      <c r="T157" s="26"/>
      <c r="U157" s="26"/>
      <c r="V157" s="26" t="str">
        <f t="shared" si="49"/>
        <v/>
      </c>
      <c r="W157" s="26"/>
    </row>
    <row r="158" spans="1:23" x14ac:dyDescent="0.35">
      <c r="A158" s="93"/>
      <c r="B158" s="94"/>
      <c r="C158" s="95"/>
      <c r="D158" s="79" t="str">
        <f t="shared" si="40"/>
        <v/>
      </c>
      <c r="E158" s="94"/>
      <c r="F158" s="79" t="str">
        <f t="shared" si="41"/>
        <v/>
      </c>
      <c r="G158" s="94"/>
      <c r="H158" s="79" t="str">
        <f t="shared" si="42"/>
        <v/>
      </c>
      <c r="I158" s="94"/>
      <c r="J158" s="79" t="str">
        <f t="shared" si="43"/>
        <v/>
      </c>
      <c r="K158" s="94"/>
      <c r="L158" s="79" t="str">
        <f t="shared" si="44"/>
        <v/>
      </c>
      <c r="M158" s="94"/>
      <c r="N158" s="79" t="str">
        <f t="shared" si="45"/>
        <v/>
      </c>
      <c r="O158" s="85" t="str">
        <f t="shared" si="46"/>
        <v/>
      </c>
      <c r="P158" s="79" t="str">
        <f t="shared" si="47"/>
        <v/>
      </c>
      <c r="Q158" s="182" t="str">
        <f t="shared" si="48"/>
        <v/>
      </c>
      <c r="R158" s="26"/>
      <c r="S158" s="26"/>
      <c r="T158" s="26"/>
      <c r="U158" s="26"/>
      <c r="V158" s="26" t="str">
        <f t="shared" si="49"/>
        <v/>
      </c>
      <c r="W158" s="26"/>
    </row>
    <row r="159" spans="1:23" x14ac:dyDescent="0.35">
      <c r="A159" s="93"/>
      <c r="B159" s="94"/>
      <c r="C159" s="95"/>
      <c r="D159" s="79" t="str">
        <f t="shared" si="40"/>
        <v/>
      </c>
      <c r="E159" s="94"/>
      <c r="F159" s="79" t="str">
        <f t="shared" si="41"/>
        <v/>
      </c>
      <c r="G159" s="94"/>
      <c r="H159" s="79" t="str">
        <f t="shared" si="42"/>
        <v/>
      </c>
      <c r="I159" s="94"/>
      <c r="J159" s="79" t="str">
        <f t="shared" si="43"/>
        <v/>
      </c>
      <c r="K159" s="94"/>
      <c r="L159" s="79" t="str">
        <f t="shared" si="44"/>
        <v/>
      </c>
      <c r="M159" s="94"/>
      <c r="N159" s="79" t="str">
        <f t="shared" si="45"/>
        <v/>
      </c>
      <c r="O159" s="85" t="str">
        <f t="shared" si="46"/>
        <v/>
      </c>
      <c r="P159" s="79" t="str">
        <f t="shared" si="47"/>
        <v/>
      </c>
      <c r="Q159" s="182" t="str">
        <f t="shared" si="48"/>
        <v/>
      </c>
      <c r="R159" s="26"/>
      <c r="S159" s="26"/>
      <c r="T159" s="26"/>
      <c r="U159" s="26"/>
      <c r="V159" s="26" t="str">
        <f t="shared" si="49"/>
        <v/>
      </c>
      <c r="W159" s="26"/>
    </row>
    <row r="160" spans="1:23" x14ac:dyDescent="0.35">
      <c r="A160" s="93"/>
      <c r="B160" s="94"/>
      <c r="C160" s="95"/>
      <c r="D160" s="79" t="str">
        <f t="shared" si="40"/>
        <v/>
      </c>
      <c r="E160" s="94"/>
      <c r="F160" s="79" t="str">
        <f t="shared" si="41"/>
        <v/>
      </c>
      <c r="G160" s="94"/>
      <c r="H160" s="79" t="str">
        <f t="shared" si="42"/>
        <v/>
      </c>
      <c r="I160" s="94"/>
      <c r="J160" s="79" t="str">
        <f t="shared" si="43"/>
        <v/>
      </c>
      <c r="K160" s="94"/>
      <c r="L160" s="79" t="str">
        <f t="shared" si="44"/>
        <v/>
      </c>
      <c r="M160" s="94"/>
      <c r="N160" s="79" t="str">
        <f t="shared" si="45"/>
        <v/>
      </c>
      <c r="O160" s="85" t="str">
        <f t="shared" si="46"/>
        <v/>
      </c>
      <c r="P160" s="79" t="str">
        <f t="shared" si="47"/>
        <v/>
      </c>
      <c r="Q160" s="182" t="str">
        <f t="shared" si="48"/>
        <v/>
      </c>
      <c r="R160" s="26"/>
      <c r="S160" s="26"/>
      <c r="T160" s="26"/>
      <c r="U160" s="26"/>
      <c r="V160" s="26" t="str">
        <f t="shared" si="49"/>
        <v/>
      </c>
      <c r="W160" s="26"/>
    </row>
    <row r="161" spans="1:23" x14ac:dyDescent="0.35">
      <c r="A161" s="93"/>
      <c r="B161" s="94"/>
      <c r="C161" s="95"/>
      <c r="D161" s="79" t="str">
        <f t="shared" si="40"/>
        <v/>
      </c>
      <c r="E161" s="94"/>
      <c r="F161" s="79" t="str">
        <f t="shared" si="41"/>
        <v/>
      </c>
      <c r="G161" s="94"/>
      <c r="H161" s="79" t="str">
        <f t="shared" si="42"/>
        <v/>
      </c>
      <c r="I161" s="94"/>
      <c r="J161" s="79" t="str">
        <f t="shared" si="43"/>
        <v/>
      </c>
      <c r="K161" s="94"/>
      <c r="L161" s="79" t="str">
        <f t="shared" si="44"/>
        <v/>
      </c>
      <c r="M161" s="94"/>
      <c r="N161" s="79" t="str">
        <f t="shared" si="45"/>
        <v/>
      </c>
      <c r="O161" s="85" t="str">
        <f t="shared" si="46"/>
        <v/>
      </c>
      <c r="P161" s="79" t="str">
        <f t="shared" si="47"/>
        <v/>
      </c>
      <c r="Q161" s="182" t="str">
        <f t="shared" si="48"/>
        <v/>
      </c>
      <c r="R161" s="26"/>
      <c r="S161" s="26"/>
      <c r="T161" s="26"/>
      <c r="U161" s="26"/>
      <c r="V161" s="26" t="str">
        <f t="shared" si="49"/>
        <v/>
      </c>
      <c r="W161" s="26"/>
    </row>
    <row r="162" spans="1:23" x14ac:dyDescent="0.35">
      <c r="A162" s="93"/>
      <c r="B162" s="94"/>
      <c r="C162" s="95"/>
      <c r="D162" s="79" t="str">
        <f t="shared" ref="D162:D193" si="50">IF(OR(A162="",B162="",C162=""),"",ROUND(B162*C162,2))</f>
        <v/>
      </c>
      <c r="E162" s="94"/>
      <c r="F162" s="79" t="str">
        <f t="shared" ref="F162:F193" si="51">IF(OR(A162="",E162="",C162="",NOT(ISNUMBER($U$2))),"",ROUND(E162*C162*$U$2,2))</f>
        <v/>
      </c>
      <c r="G162" s="94"/>
      <c r="H162" s="79" t="str">
        <f t="shared" ref="H162:H193" si="52">IF(OR(A162="",G162="",C162="",NOT(ISNUMBER($U$3))),"",ROUND(G162*C162*$U$3,2))</f>
        <v/>
      </c>
      <c r="I162" s="94"/>
      <c r="J162" s="79" t="str">
        <f t="shared" ref="J162:J193" si="53">IF(OR(A162="",I162="",C162="",NOT(ISNUMBER($U$4))),"",ROUND(I162*C162*$U$4,2))</f>
        <v/>
      </c>
      <c r="K162" s="94"/>
      <c r="L162" s="79" t="str">
        <f t="shared" ref="L162:L193" si="54">IF(OR(A162="",K162="",C162="",NOT(ISNUMBER($U$5))),"",ROUND(K162*C162*$U$5,2))</f>
        <v/>
      </c>
      <c r="M162" s="94"/>
      <c r="N162" s="79" t="str">
        <f t="shared" ref="N162:N193" si="55">IF(OR(A162="",M162="",C162="",NOT(ISNUMBER($U$6))),"",ROUND(M162*C162*$U$6,2))</f>
        <v/>
      </c>
      <c r="O162" s="85" t="str">
        <f t="shared" ref="O162:O193" si="56">IF(A162="","",SUM(E162,G162,I162,K162,M162))</f>
        <v/>
      </c>
      <c r="P162" s="79" t="str">
        <f t="shared" ref="P162:P193" si="57">IF(A162="","",SUM(F162,H162,J162,L162,N162))</f>
        <v/>
      </c>
      <c r="Q162" s="182" t="str">
        <f t="shared" ref="Q162:Q193" si="58">IF(A162="","",IF(O162&gt;B162,"DIVERGENCIA: CONSUMO MAIOR QUE CONTRATADO","OK"))</f>
        <v/>
      </c>
      <c r="R162" s="26"/>
      <c r="S162" s="26"/>
      <c r="T162" s="26"/>
      <c r="U162" s="26"/>
      <c r="V162" s="26" t="str">
        <f t="shared" ref="V162:V193" si="59">IF(A162="","",IF(OR(NOT(ISNUMBER(B162)),NOT(ISNUMBER(O162)),NOT(ISNUMBER(C162)),Q162&lt;&gt;"OK"),"",ROUND(MAX(B162-O162,0)*C162,2)))</f>
        <v/>
      </c>
      <c r="W162" s="26"/>
    </row>
    <row r="163" spans="1:23" x14ac:dyDescent="0.35">
      <c r="A163" s="93"/>
      <c r="B163" s="94"/>
      <c r="C163" s="95"/>
      <c r="D163" s="79" t="str">
        <f t="shared" si="50"/>
        <v/>
      </c>
      <c r="E163" s="94"/>
      <c r="F163" s="79" t="str">
        <f t="shared" si="51"/>
        <v/>
      </c>
      <c r="G163" s="94"/>
      <c r="H163" s="79" t="str">
        <f t="shared" si="52"/>
        <v/>
      </c>
      <c r="I163" s="94"/>
      <c r="J163" s="79" t="str">
        <f t="shared" si="53"/>
        <v/>
      </c>
      <c r="K163" s="94"/>
      <c r="L163" s="79" t="str">
        <f t="shared" si="54"/>
        <v/>
      </c>
      <c r="M163" s="94"/>
      <c r="N163" s="79" t="str">
        <f t="shared" si="55"/>
        <v/>
      </c>
      <c r="O163" s="85" t="str">
        <f t="shared" si="56"/>
        <v/>
      </c>
      <c r="P163" s="79" t="str">
        <f t="shared" si="57"/>
        <v/>
      </c>
      <c r="Q163" s="182" t="str">
        <f t="shared" si="58"/>
        <v/>
      </c>
      <c r="R163" s="26"/>
      <c r="S163" s="26"/>
      <c r="T163" s="26"/>
      <c r="U163" s="26"/>
      <c r="V163" s="26" t="str">
        <f t="shared" si="59"/>
        <v/>
      </c>
      <c r="W163" s="26"/>
    </row>
    <row r="164" spans="1:23" x14ac:dyDescent="0.35">
      <c r="A164" s="93"/>
      <c r="B164" s="94"/>
      <c r="C164" s="95"/>
      <c r="D164" s="79" t="str">
        <f t="shared" si="50"/>
        <v/>
      </c>
      <c r="E164" s="94"/>
      <c r="F164" s="79" t="str">
        <f t="shared" si="51"/>
        <v/>
      </c>
      <c r="G164" s="94"/>
      <c r="H164" s="79" t="str">
        <f t="shared" si="52"/>
        <v/>
      </c>
      <c r="I164" s="94"/>
      <c r="J164" s="79" t="str">
        <f t="shared" si="53"/>
        <v/>
      </c>
      <c r="K164" s="94"/>
      <c r="L164" s="79" t="str">
        <f t="shared" si="54"/>
        <v/>
      </c>
      <c r="M164" s="94"/>
      <c r="N164" s="79" t="str">
        <f t="shared" si="55"/>
        <v/>
      </c>
      <c r="O164" s="85" t="str">
        <f t="shared" si="56"/>
        <v/>
      </c>
      <c r="P164" s="79" t="str">
        <f t="shared" si="57"/>
        <v/>
      </c>
      <c r="Q164" s="182" t="str">
        <f t="shared" si="58"/>
        <v/>
      </c>
      <c r="R164" s="26"/>
      <c r="S164" s="26"/>
      <c r="T164" s="26"/>
      <c r="U164" s="26"/>
      <c r="V164" s="26" t="str">
        <f t="shared" si="59"/>
        <v/>
      </c>
      <c r="W164" s="26"/>
    </row>
    <row r="165" spans="1:23" x14ac:dyDescent="0.35">
      <c r="A165" s="93"/>
      <c r="B165" s="94"/>
      <c r="C165" s="95"/>
      <c r="D165" s="79" t="str">
        <f t="shared" si="50"/>
        <v/>
      </c>
      <c r="E165" s="94"/>
      <c r="F165" s="79" t="str">
        <f t="shared" si="51"/>
        <v/>
      </c>
      <c r="G165" s="94"/>
      <c r="H165" s="79" t="str">
        <f t="shared" si="52"/>
        <v/>
      </c>
      <c r="I165" s="94"/>
      <c r="J165" s="79" t="str">
        <f t="shared" si="53"/>
        <v/>
      </c>
      <c r="K165" s="94"/>
      <c r="L165" s="79" t="str">
        <f t="shared" si="54"/>
        <v/>
      </c>
      <c r="M165" s="94"/>
      <c r="N165" s="79" t="str">
        <f t="shared" si="55"/>
        <v/>
      </c>
      <c r="O165" s="85" t="str">
        <f t="shared" si="56"/>
        <v/>
      </c>
      <c r="P165" s="79" t="str">
        <f t="shared" si="57"/>
        <v/>
      </c>
      <c r="Q165" s="182" t="str">
        <f t="shared" si="58"/>
        <v/>
      </c>
      <c r="R165" s="26"/>
      <c r="S165" s="26"/>
      <c r="T165" s="26"/>
      <c r="U165" s="26"/>
      <c r="V165" s="26" t="str">
        <f t="shared" si="59"/>
        <v/>
      </c>
      <c r="W165" s="26"/>
    </row>
    <row r="166" spans="1:23" x14ac:dyDescent="0.35">
      <c r="A166" s="93"/>
      <c r="B166" s="94"/>
      <c r="C166" s="95"/>
      <c r="D166" s="79" t="str">
        <f t="shared" si="50"/>
        <v/>
      </c>
      <c r="E166" s="94"/>
      <c r="F166" s="79" t="str">
        <f t="shared" si="51"/>
        <v/>
      </c>
      <c r="G166" s="94"/>
      <c r="H166" s="79" t="str">
        <f t="shared" si="52"/>
        <v/>
      </c>
      <c r="I166" s="94"/>
      <c r="J166" s="79" t="str">
        <f t="shared" si="53"/>
        <v/>
      </c>
      <c r="K166" s="94"/>
      <c r="L166" s="79" t="str">
        <f t="shared" si="54"/>
        <v/>
      </c>
      <c r="M166" s="94"/>
      <c r="N166" s="79" t="str">
        <f t="shared" si="55"/>
        <v/>
      </c>
      <c r="O166" s="85" t="str">
        <f t="shared" si="56"/>
        <v/>
      </c>
      <c r="P166" s="79" t="str">
        <f t="shared" si="57"/>
        <v/>
      </c>
      <c r="Q166" s="182" t="str">
        <f t="shared" si="58"/>
        <v/>
      </c>
      <c r="R166" s="26"/>
      <c r="S166" s="26"/>
      <c r="T166" s="26"/>
      <c r="U166" s="26"/>
      <c r="V166" s="26" t="str">
        <f t="shared" si="59"/>
        <v/>
      </c>
      <c r="W166" s="26"/>
    </row>
    <row r="167" spans="1:23" x14ac:dyDescent="0.35">
      <c r="A167" s="93"/>
      <c r="B167" s="94"/>
      <c r="C167" s="95"/>
      <c r="D167" s="79" t="str">
        <f t="shared" si="50"/>
        <v/>
      </c>
      <c r="E167" s="94"/>
      <c r="F167" s="79" t="str">
        <f t="shared" si="51"/>
        <v/>
      </c>
      <c r="G167" s="94"/>
      <c r="H167" s="79" t="str">
        <f t="shared" si="52"/>
        <v/>
      </c>
      <c r="I167" s="94"/>
      <c r="J167" s="79" t="str">
        <f t="shared" si="53"/>
        <v/>
      </c>
      <c r="K167" s="94"/>
      <c r="L167" s="79" t="str">
        <f t="shared" si="54"/>
        <v/>
      </c>
      <c r="M167" s="94"/>
      <c r="N167" s="79" t="str">
        <f t="shared" si="55"/>
        <v/>
      </c>
      <c r="O167" s="85" t="str">
        <f t="shared" si="56"/>
        <v/>
      </c>
      <c r="P167" s="79" t="str">
        <f t="shared" si="57"/>
        <v/>
      </c>
      <c r="Q167" s="182" t="str">
        <f t="shared" si="58"/>
        <v/>
      </c>
      <c r="R167" s="26"/>
      <c r="S167" s="26"/>
      <c r="T167" s="26"/>
      <c r="U167" s="26"/>
      <c r="V167" s="26" t="str">
        <f t="shared" si="59"/>
        <v/>
      </c>
      <c r="W167" s="26"/>
    </row>
    <row r="168" spans="1:23" x14ac:dyDescent="0.35">
      <c r="A168" s="93"/>
      <c r="B168" s="94"/>
      <c r="C168" s="95"/>
      <c r="D168" s="79" t="str">
        <f t="shared" si="50"/>
        <v/>
      </c>
      <c r="E168" s="94"/>
      <c r="F168" s="79" t="str">
        <f t="shared" si="51"/>
        <v/>
      </c>
      <c r="G168" s="94"/>
      <c r="H168" s="79" t="str">
        <f t="shared" si="52"/>
        <v/>
      </c>
      <c r="I168" s="94"/>
      <c r="J168" s="79" t="str">
        <f t="shared" si="53"/>
        <v/>
      </c>
      <c r="K168" s="94"/>
      <c r="L168" s="79" t="str">
        <f t="shared" si="54"/>
        <v/>
      </c>
      <c r="M168" s="94"/>
      <c r="N168" s="79" t="str">
        <f t="shared" si="55"/>
        <v/>
      </c>
      <c r="O168" s="85" t="str">
        <f t="shared" si="56"/>
        <v/>
      </c>
      <c r="P168" s="79" t="str">
        <f t="shared" si="57"/>
        <v/>
      </c>
      <c r="Q168" s="182" t="str">
        <f t="shared" si="58"/>
        <v/>
      </c>
      <c r="R168" s="26"/>
      <c r="S168" s="26"/>
      <c r="T168" s="26"/>
      <c r="U168" s="26"/>
      <c r="V168" s="26" t="str">
        <f t="shared" si="59"/>
        <v/>
      </c>
      <c r="W168" s="26"/>
    </row>
    <row r="169" spans="1:23" x14ac:dyDescent="0.35">
      <c r="A169" s="93"/>
      <c r="B169" s="94"/>
      <c r="C169" s="95"/>
      <c r="D169" s="79" t="str">
        <f t="shared" si="50"/>
        <v/>
      </c>
      <c r="E169" s="94"/>
      <c r="F169" s="79" t="str">
        <f t="shared" si="51"/>
        <v/>
      </c>
      <c r="G169" s="94"/>
      <c r="H169" s="79" t="str">
        <f t="shared" si="52"/>
        <v/>
      </c>
      <c r="I169" s="94"/>
      <c r="J169" s="79" t="str">
        <f t="shared" si="53"/>
        <v/>
      </c>
      <c r="K169" s="94"/>
      <c r="L169" s="79" t="str">
        <f t="shared" si="54"/>
        <v/>
      </c>
      <c r="M169" s="94"/>
      <c r="N169" s="79" t="str">
        <f t="shared" si="55"/>
        <v/>
      </c>
      <c r="O169" s="85" t="str">
        <f t="shared" si="56"/>
        <v/>
      </c>
      <c r="P169" s="79" t="str">
        <f t="shared" si="57"/>
        <v/>
      </c>
      <c r="Q169" s="182" t="str">
        <f t="shared" si="58"/>
        <v/>
      </c>
      <c r="R169" s="26"/>
      <c r="S169" s="26"/>
      <c r="T169" s="26"/>
      <c r="U169" s="26"/>
      <c r="V169" s="26" t="str">
        <f t="shared" si="59"/>
        <v/>
      </c>
      <c r="W169" s="26"/>
    </row>
    <row r="170" spans="1:23" x14ac:dyDescent="0.35">
      <c r="A170" s="93"/>
      <c r="B170" s="94"/>
      <c r="C170" s="95"/>
      <c r="D170" s="79" t="str">
        <f t="shared" si="50"/>
        <v/>
      </c>
      <c r="E170" s="94"/>
      <c r="F170" s="79" t="str">
        <f t="shared" si="51"/>
        <v/>
      </c>
      <c r="G170" s="94"/>
      <c r="H170" s="79" t="str">
        <f t="shared" si="52"/>
        <v/>
      </c>
      <c r="I170" s="94"/>
      <c r="J170" s="79" t="str">
        <f t="shared" si="53"/>
        <v/>
      </c>
      <c r="K170" s="94"/>
      <c r="L170" s="79" t="str">
        <f t="shared" si="54"/>
        <v/>
      </c>
      <c r="M170" s="94"/>
      <c r="N170" s="79" t="str">
        <f t="shared" si="55"/>
        <v/>
      </c>
      <c r="O170" s="85" t="str">
        <f t="shared" si="56"/>
        <v/>
      </c>
      <c r="P170" s="79" t="str">
        <f t="shared" si="57"/>
        <v/>
      </c>
      <c r="Q170" s="182" t="str">
        <f t="shared" si="58"/>
        <v/>
      </c>
      <c r="R170" s="26"/>
      <c r="S170" s="26"/>
      <c r="T170" s="26"/>
      <c r="U170" s="26"/>
      <c r="V170" s="26" t="str">
        <f t="shared" si="59"/>
        <v/>
      </c>
      <c r="W170" s="26"/>
    </row>
    <row r="171" spans="1:23" x14ac:dyDescent="0.35">
      <c r="A171" s="93"/>
      <c r="B171" s="94"/>
      <c r="C171" s="95"/>
      <c r="D171" s="79" t="str">
        <f t="shared" si="50"/>
        <v/>
      </c>
      <c r="E171" s="94"/>
      <c r="F171" s="79" t="str">
        <f t="shared" si="51"/>
        <v/>
      </c>
      <c r="G171" s="94"/>
      <c r="H171" s="79" t="str">
        <f t="shared" si="52"/>
        <v/>
      </c>
      <c r="I171" s="94"/>
      <c r="J171" s="79" t="str">
        <f t="shared" si="53"/>
        <v/>
      </c>
      <c r="K171" s="94"/>
      <c r="L171" s="79" t="str">
        <f t="shared" si="54"/>
        <v/>
      </c>
      <c r="M171" s="94"/>
      <c r="N171" s="79" t="str">
        <f t="shared" si="55"/>
        <v/>
      </c>
      <c r="O171" s="85" t="str">
        <f t="shared" si="56"/>
        <v/>
      </c>
      <c r="P171" s="79" t="str">
        <f t="shared" si="57"/>
        <v/>
      </c>
      <c r="Q171" s="182" t="str">
        <f t="shared" si="58"/>
        <v/>
      </c>
      <c r="R171" s="26"/>
      <c r="S171" s="26"/>
      <c r="T171" s="26"/>
      <c r="U171" s="26"/>
      <c r="V171" s="26" t="str">
        <f t="shared" si="59"/>
        <v/>
      </c>
      <c r="W171" s="26"/>
    </row>
    <row r="172" spans="1:23" x14ac:dyDescent="0.35">
      <c r="A172" s="93"/>
      <c r="B172" s="94"/>
      <c r="C172" s="95"/>
      <c r="D172" s="79" t="str">
        <f t="shared" si="50"/>
        <v/>
      </c>
      <c r="E172" s="94"/>
      <c r="F172" s="79" t="str">
        <f t="shared" si="51"/>
        <v/>
      </c>
      <c r="G172" s="94"/>
      <c r="H172" s="79" t="str">
        <f t="shared" si="52"/>
        <v/>
      </c>
      <c r="I172" s="94"/>
      <c r="J172" s="79" t="str">
        <f t="shared" si="53"/>
        <v/>
      </c>
      <c r="K172" s="94"/>
      <c r="L172" s="79" t="str">
        <f t="shared" si="54"/>
        <v/>
      </c>
      <c r="M172" s="94"/>
      <c r="N172" s="79" t="str">
        <f t="shared" si="55"/>
        <v/>
      </c>
      <c r="O172" s="85" t="str">
        <f t="shared" si="56"/>
        <v/>
      </c>
      <c r="P172" s="79" t="str">
        <f t="shared" si="57"/>
        <v/>
      </c>
      <c r="Q172" s="182" t="str">
        <f t="shared" si="58"/>
        <v/>
      </c>
      <c r="R172" s="26"/>
      <c r="S172" s="26"/>
      <c r="T172" s="26"/>
      <c r="U172" s="26"/>
      <c r="V172" s="26" t="str">
        <f t="shared" si="59"/>
        <v/>
      </c>
      <c r="W172" s="26"/>
    </row>
    <row r="173" spans="1:23" x14ac:dyDescent="0.35">
      <c r="A173" s="93"/>
      <c r="B173" s="94"/>
      <c r="C173" s="95"/>
      <c r="D173" s="79" t="str">
        <f t="shared" si="50"/>
        <v/>
      </c>
      <c r="E173" s="94"/>
      <c r="F173" s="79" t="str">
        <f t="shared" si="51"/>
        <v/>
      </c>
      <c r="G173" s="94"/>
      <c r="H173" s="79" t="str">
        <f t="shared" si="52"/>
        <v/>
      </c>
      <c r="I173" s="94"/>
      <c r="J173" s="79" t="str">
        <f t="shared" si="53"/>
        <v/>
      </c>
      <c r="K173" s="94"/>
      <c r="L173" s="79" t="str">
        <f t="shared" si="54"/>
        <v/>
      </c>
      <c r="M173" s="94"/>
      <c r="N173" s="79" t="str">
        <f t="shared" si="55"/>
        <v/>
      </c>
      <c r="O173" s="85" t="str">
        <f t="shared" si="56"/>
        <v/>
      </c>
      <c r="P173" s="79" t="str">
        <f t="shared" si="57"/>
        <v/>
      </c>
      <c r="Q173" s="182" t="str">
        <f t="shared" si="58"/>
        <v/>
      </c>
      <c r="R173" s="26"/>
      <c r="S173" s="26"/>
      <c r="T173" s="26"/>
      <c r="U173" s="26"/>
      <c r="V173" s="26" t="str">
        <f t="shared" si="59"/>
        <v/>
      </c>
      <c r="W173" s="26"/>
    </row>
    <row r="174" spans="1:23" x14ac:dyDescent="0.35">
      <c r="A174" s="93"/>
      <c r="B174" s="94"/>
      <c r="C174" s="95"/>
      <c r="D174" s="79" t="str">
        <f t="shared" si="50"/>
        <v/>
      </c>
      <c r="E174" s="94"/>
      <c r="F174" s="79" t="str">
        <f t="shared" si="51"/>
        <v/>
      </c>
      <c r="G174" s="94"/>
      <c r="H174" s="79" t="str">
        <f t="shared" si="52"/>
        <v/>
      </c>
      <c r="I174" s="94"/>
      <c r="J174" s="79" t="str">
        <f t="shared" si="53"/>
        <v/>
      </c>
      <c r="K174" s="94"/>
      <c r="L174" s="79" t="str">
        <f t="shared" si="54"/>
        <v/>
      </c>
      <c r="M174" s="94"/>
      <c r="N174" s="79" t="str">
        <f t="shared" si="55"/>
        <v/>
      </c>
      <c r="O174" s="85" t="str">
        <f t="shared" si="56"/>
        <v/>
      </c>
      <c r="P174" s="79" t="str">
        <f t="shared" si="57"/>
        <v/>
      </c>
      <c r="Q174" s="182" t="str">
        <f t="shared" si="58"/>
        <v/>
      </c>
      <c r="R174" s="26"/>
      <c r="S174" s="26"/>
      <c r="T174" s="26"/>
      <c r="U174" s="26"/>
      <c r="V174" s="26" t="str">
        <f t="shared" si="59"/>
        <v/>
      </c>
      <c r="W174" s="26"/>
    </row>
    <row r="175" spans="1:23" x14ac:dyDescent="0.35">
      <c r="A175" s="93"/>
      <c r="B175" s="94"/>
      <c r="C175" s="95"/>
      <c r="D175" s="79" t="str">
        <f t="shared" si="50"/>
        <v/>
      </c>
      <c r="E175" s="94"/>
      <c r="F175" s="79" t="str">
        <f t="shared" si="51"/>
        <v/>
      </c>
      <c r="G175" s="94"/>
      <c r="H175" s="79" t="str">
        <f t="shared" si="52"/>
        <v/>
      </c>
      <c r="I175" s="94"/>
      <c r="J175" s="79" t="str">
        <f t="shared" si="53"/>
        <v/>
      </c>
      <c r="K175" s="94"/>
      <c r="L175" s="79" t="str">
        <f t="shared" si="54"/>
        <v/>
      </c>
      <c r="M175" s="94"/>
      <c r="N175" s="79" t="str">
        <f t="shared" si="55"/>
        <v/>
      </c>
      <c r="O175" s="85" t="str">
        <f t="shared" si="56"/>
        <v/>
      </c>
      <c r="P175" s="79" t="str">
        <f t="shared" si="57"/>
        <v/>
      </c>
      <c r="Q175" s="182" t="str">
        <f t="shared" si="58"/>
        <v/>
      </c>
      <c r="R175" s="26"/>
      <c r="S175" s="26"/>
      <c r="T175" s="26"/>
      <c r="U175" s="26"/>
      <c r="V175" s="26" t="str">
        <f t="shared" si="59"/>
        <v/>
      </c>
      <c r="W175" s="26"/>
    </row>
    <row r="176" spans="1:23" x14ac:dyDescent="0.35">
      <c r="A176" s="93"/>
      <c r="B176" s="94"/>
      <c r="C176" s="95"/>
      <c r="D176" s="79" t="str">
        <f t="shared" si="50"/>
        <v/>
      </c>
      <c r="E176" s="94"/>
      <c r="F176" s="79" t="str">
        <f t="shared" si="51"/>
        <v/>
      </c>
      <c r="G176" s="94"/>
      <c r="H176" s="79" t="str">
        <f t="shared" si="52"/>
        <v/>
      </c>
      <c r="I176" s="94"/>
      <c r="J176" s="79" t="str">
        <f t="shared" si="53"/>
        <v/>
      </c>
      <c r="K176" s="94"/>
      <c r="L176" s="79" t="str">
        <f t="shared" si="54"/>
        <v/>
      </c>
      <c r="M176" s="94"/>
      <c r="N176" s="79" t="str">
        <f t="shared" si="55"/>
        <v/>
      </c>
      <c r="O176" s="85" t="str">
        <f t="shared" si="56"/>
        <v/>
      </c>
      <c r="P176" s="79" t="str">
        <f t="shared" si="57"/>
        <v/>
      </c>
      <c r="Q176" s="182" t="str">
        <f t="shared" si="58"/>
        <v/>
      </c>
      <c r="R176" s="26"/>
      <c r="S176" s="26"/>
      <c r="T176" s="26"/>
      <c r="U176" s="26"/>
      <c r="V176" s="26" t="str">
        <f t="shared" si="59"/>
        <v/>
      </c>
      <c r="W176" s="26"/>
    </row>
    <row r="177" spans="1:23" x14ac:dyDescent="0.35">
      <c r="A177" s="93"/>
      <c r="B177" s="94"/>
      <c r="C177" s="95"/>
      <c r="D177" s="79" t="str">
        <f t="shared" si="50"/>
        <v/>
      </c>
      <c r="E177" s="94"/>
      <c r="F177" s="79" t="str">
        <f t="shared" si="51"/>
        <v/>
      </c>
      <c r="G177" s="94"/>
      <c r="H177" s="79" t="str">
        <f t="shared" si="52"/>
        <v/>
      </c>
      <c r="I177" s="94"/>
      <c r="J177" s="79" t="str">
        <f t="shared" si="53"/>
        <v/>
      </c>
      <c r="K177" s="94"/>
      <c r="L177" s="79" t="str">
        <f t="shared" si="54"/>
        <v/>
      </c>
      <c r="M177" s="94"/>
      <c r="N177" s="79" t="str">
        <f t="shared" si="55"/>
        <v/>
      </c>
      <c r="O177" s="85" t="str">
        <f t="shared" si="56"/>
        <v/>
      </c>
      <c r="P177" s="79" t="str">
        <f t="shared" si="57"/>
        <v/>
      </c>
      <c r="Q177" s="182" t="str">
        <f t="shared" si="58"/>
        <v/>
      </c>
      <c r="R177" s="26"/>
      <c r="S177" s="26"/>
      <c r="T177" s="26"/>
      <c r="U177" s="26"/>
      <c r="V177" s="26" t="str">
        <f t="shared" si="59"/>
        <v/>
      </c>
      <c r="W177" s="26"/>
    </row>
    <row r="178" spans="1:23" x14ac:dyDescent="0.35">
      <c r="A178" s="93"/>
      <c r="B178" s="94"/>
      <c r="C178" s="95"/>
      <c r="D178" s="79" t="str">
        <f t="shared" si="50"/>
        <v/>
      </c>
      <c r="E178" s="94"/>
      <c r="F178" s="79" t="str">
        <f t="shared" si="51"/>
        <v/>
      </c>
      <c r="G178" s="94"/>
      <c r="H178" s="79" t="str">
        <f t="shared" si="52"/>
        <v/>
      </c>
      <c r="I178" s="94"/>
      <c r="J178" s="79" t="str">
        <f t="shared" si="53"/>
        <v/>
      </c>
      <c r="K178" s="94"/>
      <c r="L178" s="79" t="str">
        <f t="shared" si="54"/>
        <v/>
      </c>
      <c r="M178" s="94"/>
      <c r="N178" s="79" t="str">
        <f t="shared" si="55"/>
        <v/>
      </c>
      <c r="O178" s="85" t="str">
        <f t="shared" si="56"/>
        <v/>
      </c>
      <c r="P178" s="79" t="str">
        <f t="shared" si="57"/>
        <v/>
      </c>
      <c r="Q178" s="182" t="str">
        <f t="shared" si="58"/>
        <v/>
      </c>
      <c r="R178" s="26"/>
      <c r="S178" s="26"/>
      <c r="T178" s="26"/>
      <c r="U178" s="26"/>
      <c r="V178" s="26" t="str">
        <f t="shared" si="59"/>
        <v/>
      </c>
      <c r="W178" s="26"/>
    </row>
    <row r="179" spans="1:23" x14ac:dyDescent="0.35">
      <c r="A179" s="93"/>
      <c r="B179" s="94"/>
      <c r="C179" s="95"/>
      <c r="D179" s="79" t="str">
        <f t="shared" si="50"/>
        <v/>
      </c>
      <c r="E179" s="94"/>
      <c r="F179" s="79" t="str">
        <f t="shared" si="51"/>
        <v/>
      </c>
      <c r="G179" s="94"/>
      <c r="H179" s="79" t="str">
        <f t="shared" si="52"/>
        <v/>
      </c>
      <c r="I179" s="94"/>
      <c r="J179" s="79" t="str">
        <f t="shared" si="53"/>
        <v/>
      </c>
      <c r="K179" s="94"/>
      <c r="L179" s="79" t="str">
        <f t="shared" si="54"/>
        <v/>
      </c>
      <c r="M179" s="94"/>
      <c r="N179" s="79" t="str">
        <f t="shared" si="55"/>
        <v/>
      </c>
      <c r="O179" s="85" t="str">
        <f t="shared" si="56"/>
        <v/>
      </c>
      <c r="P179" s="79" t="str">
        <f t="shared" si="57"/>
        <v/>
      </c>
      <c r="Q179" s="182" t="str">
        <f t="shared" si="58"/>
        <v/>
      </c>
      <c r="R179" s="26"/>
      <c r="S179" s="26"/>
      <c r="T179" s="26"/>
      <c r="U179" s="26"/>
      <c r="V179" s="26" t="str">
        <f t="shared" si="59"/>
        <v/>
      </c>
      <c r="W179" s="26"/>
    </row>
    <row r="180" spans="1:23" x14ac:dyDescent="0.35">
      <c r="A180" s="93"/>
      <c r="B180" s="94"/>
      <c r="C180" s="95"/>
      <c r="D180" s="79" t="str">
        <f t="shared" si="50"/>
        <v/>
      </c>
      <c r="E180" s="94"/>
      <c r="F180" s="79" t="str">
        <f t="shared" si="51"/>
        <v/>
      </c>
      <c r="G180" s="94"/>
      <c r="H180" s="79" t="str">
        <f t="shared" si="52"/>
        <v/>
      </c>
      <c r="I180" s="94"/>
      <c r="J180" s="79" t="str">
        <f t="shared" si="53"/>
        <v/>
      </c>
      <c r="K180" s="94"/>
      <c r="L180" s="79" t="str">
        <f t="shared" si="54"/>
        <v/>
      </c>
      <c r="M180" s="94"/>
      <c r="N180" s="79" t="str">
        <f t="shared" si="55"/>
        <v/>
      </c>
      <c r="O180" s="85" t="str">
        <f t="shared" si="56"/>
        <v/>
      </c>
      <c r="P180" s="79" t="str">
        <f t="shared" si="57"/>
        <v/>
      </c>
      <c r="Q180" s="182" t="str">
        <f t="shared" si="58"/>
        <v/>
      </c>
      <c r="R180" s="26"/>
      <c r="S180" s="26"/>
      <c r="T180" s="26"/>
      <c r="U180" s="26"/>
      <c r="V180" s="26" t="str">
        <f t="shared" si="59"/>
        <v/>
      </c>
      <c r="W180" s="26"/>
    </row>
    <row r="181" spans="1:23" x14ac:dyDescent="0.35">
      <c r="A181" s="93"/>
      <c r="B181" s="94"/>
      <c r="C181" s="95"/>
      <c r="D181" s="79" t="str">
        <f t="shared" si="50"/>
        <v/>
      </c>
      <c r="E181" s="94"/>
      <c r="F181" s="79" t="str">
        <f t="shared" si="51"/>
        <v/>
      </c>
      <c r="G181" s="94"/>
      <c r="H181" s="79" t="str">
        <f t="shared" si="52"/>
        <v/>
      </c>
      <c r="I181" s="94"/>
      <c r="J181" s="79" t="str">
        <f t="shared" si="53"/>
        <v/>
      </c>
      <c r="K181" s="94"/>
      <c r="L181" s="79" t="str">
        <f t="shared" si="54"/>
        <v/>
      </c>
      <c r="M181" s="94"/>
      <c r="N181" s="79" t="str">
        <f t="shared" si="55"/>
        <v/>
      </c>
      <c r="O181" s="85" t="str">
        <f t="shared" si="56"/>
        <v/>
      </c>
      <c r="P181" s="79" t="str">
        <f t="shared" si="57"/>
        <v/>
      </c>
      <c r="Q181" s="182" t="str">
        <f t="shared" si="58"/>
        <v/>
      </c>
      <c r="R181" s="26"/>
      <c r="S181" s="26"/>
      <c r="T181" s="26"/>
      <c r="U181" s="26"/>
      <c r="V181" s="26" t="str">
        <f t="shared" si="59"/>
        <v/>
      </c>
      <c r="W181" s="26"/>
    </row>
    <row r="182" spans="1:23" x14ac:dyDescent="0.35">
      <c r="A182" s="93"/>
      <c r="B182" s="94"/>
      <c r="C182" s="95"/>
      <c r="D182" s="79" t="str">
        <f t="shared" si="50"/>
        <v/>
      </c>
      <c r="E182" s="94"/>
      <c r="F182" s="79" t="str">
        <f t="shared" si="51"/>
        <v/>
      </c>
      <c r="G182" s="94"/>
      <c r="H182" s="79" t="str">
        <f t="shared" si="52"/>
        <v/>
      </c>
      <c r="I182" s="94"/>
      <c r="J182" s="79" t="str">
        <f t="shared" si="53"/>
        <v/>
      </c>
      <c r="K182" s="94"/>
      <c r="L182" s="79" t="str">
        <f t="shared" si="54"/>
        <v/>
      </c>
      <c r="M182" s="94"/>
      <c r="N182" s="79" t="str">
        <f t="shared" si="55"/>
        <v/>
      </c>
      <c r="O182" s="85" t="str">
        <f t="shared" si="56"/>
        <v/>
      </c>
      <c r="P182" s="79" t="str">
        <f t="shared" si="57"/>
        <v/>
      </c>
      <c r="Q182" s="182" t="str">
        <f t="shared" si="58"/>
        <v/>
      </c>
      <c r="R182" s="26"/>
      <c r="S182" s="26"/>
      <c r="T182" s="26"/>
      <c r="U182" s="26"/>
      <c r="V182" s="26" t="str">
        <f t="shared" si="59"/>
        <v/>
      </c>
      <c r="W182" s="26"/>
    </row>
    <row r="183" spans="1:23" x14ac:dyDescent="0.35">
      <c r="A183" s="93"/>
      <c r="B183" s="94"/>
      <c r="C183" s="95"/>
      <c r="D183" s="79" t="str">
        <f t="shared" si="50"/>
        <v/>
      </c>
      <c r="E183" s="94"/>
      <c r="F183" s="79" t="str">
        <f t="shared" si="51"/>
        <v/>
      </c>
      <c r="G183" s="94"/>
      <c r="H183" s="79" t="str">
        <f t="shared" si="52"/>
        <v/>
      </c>
      <c r="I183" s="94"/>
      <c r="J183" s="79" t="str">
        <f t="shared" si="53"/>
        <v/>
      </c>
      <c r="K183" s="94"/>
      <c r="L183" s="79" t="str">
        <f t="shared" si="54"/>
        <v/>
      </c>
      <c r="M183" s="94"/>
      <c r="N183" s="79" t="str">
        <f t="shared" si="55"/>
        <v/>
      </c>
      <c r="O183" s="85" t="str">
        <f t="shared" si="56"/>
        <v/>
      </c>
      <c r="P183" s="79" t="str">
        <f t="shared" si="57"/>
        <v/>
      </c>
      <c r="Q183" s="182" t="str">
        <f t="shared" si="58"/>
        <v/>
      </c>
      <c r="R183" s="26"/>
      <c r="S183" s="26"/>
      <c r="T183" s="26"/>
      <c r="U183" s="26"/>
      <c r="V183" s="26" t="str">
        <f t="shared" si="59"/>
        <v/>
      </c>
      <c r="W183" s="26"/>
    </row>
    <row r="184" spans="1:23" x14ac:dyDescent="0.35">
      <c r="A184" s="93"/>
      <c r="B184" s="94"/>
      <c r="C184" s="95"/>
      <c r="D184" s="79" t="str">
        <f t="shared" si="50"/>
        <v/>
      </c>
      <c r="E184" s="94"/>
      <c r="F184" s="79" t="str">
        <f t="shared" si="51"/>
        <v/>
      </c>
      <c r="G184" s="94"/>
      <c r="H184" s="79" t="str">
        <f t="shared" si="52"/>
        <v/>
      </c>
      <c r="I184" s="94"/>
      <c r="J184" s="79" t="str">
        <f t="shared" si="53"/>
        <v/>
      </c>
      <c r="K184" s="94"/>
      <c r="L184" s="79" t="str">
        <f t="shared" si="54"/>
        <v/>
      </c>
      <c r="M184" s="94"/>
      <c r="N184" s="79" t="str">
        <f t="shared" si="55"/>
        <v/>
      </c>
      <c r="O184" s="85" t="str">
        <f t="shared" si="56"/>
        <v/>
      </c>
      <c r="P184" s="79" t="str">
        <f t="shared" si="57"/>
        <v/>
      </c>
      <c r="Q184" s="182" t="str">
        <f t="shared" si="58"/>
        <v/>
      </c>
      <c r="R184" s="26"/>
      <c r="S184" s="26"/>
      <c r="T184" s="26"/>
      <c r="U184" s="26"/>
      <c r="V184" s="26" t="str">
        <f t="shared" si="59"/>
        <v/>
      </c>
      <c r="W184" s="26"/>
    </row>
    <row r="185" spans="1:23" x14ac:dyDescent="0.35">
      <c r="A185" s="93"/>
      <c r="B185" s="94"/>
      <c r="C185" s="95"/>
      <c r="D185" s="79" t="str">
        <f t="shared" si="50"/>
        <v/>
      </c>
      <c r="E185" s="94"/>
      <c r="F185" s="79" t="str">
        <f t="shared" si="51"/>
        <v/>
      </c>
      <c r="G185" s="94"/>
      <c r="H185" s="79" t="str">
        <f t="shared" si="52"/>
        <v/>
      </c>
      <c r="I185" s="94"/>
      <c r="J185" s="79" t="str">
        <f t="shared" si="53"/>
        <v/>
      </c>
      <c r="K185" s="94"/>
      <c r="L185" s="79" t="str">
        <f t="shared" si="54"/>
        <v/>
      </c>
      <c r="M185" s="94"/>
      <c r="N185" s="79" t="str">
        <f t="shared" si="55"/>
        <v/>
      </c>
      <c r="O185" s="85" t="str">
        <f t="shared" si="56"/>
        <v/>
      </c>
      <c r="P185" s="79" t="str">
        <f t="shared" si="57"/>
        <v/>
      </c>
      <c r="Q185" s="182" t="str">
        <f t="shared" si="58"/>
        <v/>
      </c>
      <c r="R185" s="26"/>
      <c r="S185" s="26"/>
      <c r="T185" s="26"/>
      <c r="U185" s="26"/>
      <c r="V185" s="26" t="str">
        <f t="shared" si="59"/>
        <v/>
      </c>
      <c r="W185" s="26"/>
    </row>
    <row r="186" spans="1:23" x14ac:dyDescent="0.35">
      <c r="A186" s="93"/>
      <c r="B186" s="94"/>
      <c r="C186" s="95"/>
      <c r="D186" s="79" t="str">
        <f t="shared" si="50"/>
        <v/>
      </c>
      <c r="E186" s="94"/>
      <c r="F186" s="79" t="str">
        <f t="shared" si="51"/>
        <v/>
      </c>
      <c r="G186" s="94"/>
      <c r="H186" s="79" t="str">
        <f t="shared" si="52"/>
        <v/>
      </c>
      <c r="I186" s="94"/>
      <c r="J186" s="79" t="str">
        <f t="shared" si="53"/>
        <v/>
      </c>
      <c r="K186" s="94"/>
      <c r="L186" s="79" t="str">
        <f t="shared" si="54"/>
        <v/>
      </c>
      <c r="M186" s="94"/>
      <c r="N186" s="79" t="str">
        <f t="shared" si="55"/>
        <v/>
      </c>
      <c r="O186" s="85" t="str">
        <f t="shared" si="56"/>
        <v/>
      </c>
      <c r="P186" s="79" t="str">
        <f t="shared" si="57"/>
        <v/>
      </c>
      <c r="Q186" s="182" t="str">
        <f t="shared" si="58"/>
        <v/>
      </c>
      <c r="R186" s="26"/>
      <c r="S186" s="26"/>
      <c r="T186" s="26"/>
      <c r="U186" s="26"/>
      <c r="V186" s="26" t="str">
        <f t="shared" si="59"/>
        <v/>
      </c>
      <c r="W186" s="26"/>
    </row>
    <row r="187" spans="1:23" x14ac:dyDescent="0.35">
      <c r="A187" s="93"/>
      <c r="B187" s="94"/>
      <c r="C187" s="95"/>
      <c r="D187" s="79" t="str">
        <f t="shared" si="50"/>
        <v/>
      </c>
      <c r="E187" s="94"/>
      <c r="F187" s="79" t="str">
        <f t="shared" si="51"/>
        <v/>
      </c>
      <c r="G187" s="94"/>
      <c r="H187" s="79" t="str">
        <f t="shared" si="52"/>
        <v/>
      </c>
      <c r="I187" s="94"/>
      <c r="J187" s="79" t="str">
        <f t="shared" si="53"/>
        <v/>
      </c>
      <c r="K187" s="94"/>
      <c r="L187" s="79" t="str">
        <f t="shared" si="54"/>
        <v/>
      </c>
      <c r="M187" s="94"/>
      <c r="N187" s="79" t="str">
        <f t="shared" si="55"/>
        <v/>
      </c>
      <c r="O187" s="85" t="str">
        <f t="shared" si="56"/>
        <v/>
      </c>
      <c r="P187" s="79" t="str">
        <f t="shared" si="57"/>
        <v/>
      </c>
      <c r="Q187" s="182" t="str">
        <f t="shared" si="58"/>
        <v/>
      </c>
      <c r="R187" s="26"/>
      <c r="S187" s="26"/>
      <c r="T187" s="26"/>
      <c r="U187" s="26"/>
      <c r="V187" s="26" t="str">
        <f t="shared" si="59"/>
        <v/>
      </c>
      <c r="W187" s="26"/>
    </row>
    <row r="188" spans="1:23" x14ac:dyDescent="0.35">
      <c r="A188" s="93"/>
      <c r="B188" s="94"/>
      <c r="C188" s="95"/>
      <c r="D188" s="79" t="str">
        <f t="shared" si="50"/>
        <v/>
      </c>
      <c r="E188" s="94"/>
      <c r="F188" s="79" t="str">
        <f t="shared" si="51"/>
        <v/>
      </c>
      <c r="G188" s="94"/>
      <c r="H188" s="79" t="str">
        <f t="shared" si="52"/>
        <v/>
      </c>
      <c r="I188" s="94"/>
      <c r="J188" s="79" t="str">
        <f t="shared" si="53"/>
        <v/>
      </c>
      <c r="K188" s="94"/>
      <c r="L188" s="79" t="str">
        <f t="shared" si="54"/>
        <v/>
      </c>
      <c r="M188" s="94"/>
      <c r="N188" s="79" t="str">
        <f t="shared" si="55"/>
        <v/>
      </c>
      <c r="O188" s="85" t="str">
        <f t="shared" si="56"/>
        <v/>
      </c>
      <c r="P188" s="79" t="str">
        <f t="shared" si="57"/>
        <v/>
      </c>
      <c r="Q188" s="182" t="str">
        <f t="shared" si="58"/>
        <v/>
      </c>
      <c r="R188" s="26"/>
      <c r="S188" s="26"/>
      <c r="T188" s="26"/>
      <c r="U188" s="26"/>
      <c r="V188" s="26" t="str">
        <f t="shared" si="59"/>
        <v/>
      </c>
      <c r="W188" s="26"/>
    </row>
    <row r="189" spans="1:23" x14ac:dyDescent="0.35">
      <c r="A189" s="93"/>
      <c r="B189" s="94"/>
      <c r="C189" s="95"/>
      <c r="D189" s="79" t="str">
        <f t="shared" si="50"/>
        <v/>
      </c>
      <c r="E189" s="94"/>
      <c r="F189" s="79" t="str">
        <f t="shared" si="51"/>
        <v/>
      </c>
      <c r="G189" s="94"/>
      <c r="H189" s="79" t="str">
        <f t="shared" si="52"/>
        <v/>
      </c>
      <c r="I189" s="94"/>
      <c r="J189" s="79" t="str">
        <f t="shared" si="53"/>
        <v/>
      </c>
      <c r="K189" s="94"/>
      <c r="L189" s="79" t="str">
        <f t="shared" si="54"/>
        <v/>
      </c>
      <c r="M189" s="94"/>
      <c r="N189" s="79" t="str">
        <f t="shared" si="55"/>
        <v/>
      </c>
      <c r="O189" s="85" t="str">
        <f t="shared" si="56"/>
        <v/>
      </c>
      <c r="P189" s="79" t="str">
        <f t="shared" si="57"/>
        <v/>
      </c>
      <c r="Q189" s="182" t="str">
        <f t="shared" si="58"/>
        <v/>
      </c>
      <c r="R189" s="26"/>
      <c r="S189" s="26"/>
      <c r="T189" s="26"/>
      <c r="U189" s="26"/>
      <c r="V189" s="26" t="str">
        <f t="shared" si="59"/>
        <v/>
      </c>
      <c r="W189" s="26"/>
    </row>
    <row r="190" spans="1:23" x14ac:dyDescent="0.35">
      <c r="A190" s="93"/>
      <c r="B190" s="94"/>
      <c r="C190" s="95"/>
      <c r="D190" s="79" t="str">
        <f t="shared" si="50"/>
        <v/>
      </c>
      <c r="E190" s="94"/>
      <c r="F190" s="79" t="str">
        <f t="shared" si="51"/>
        <v/>
      </c>
      <c r="G190" s="94"/>
      <c r="H190" s="79" t="str">
        <f t="shared" si="52"/>
        <v/>
      </c>
      <c r="I190" s="94"/>
      <c r="J190" s="79" t="str">
        <f t="shared" si="53"/>
        <v/>
      </c>
      <c r="K190" s="94"/>
      <c r="L190" s="79" t="str">
        <f t="shared" si="54"/>
        <v/>
      </c>
      <c r="M190" s="94"/>
      <c r="N190" s="79" t="str">
        <f t="shared" si="55"/>
        <v/>
      </c>
      <c r="O190" s="85" t="str">
        <f t="shared" si="56"/>
        <v/>
      </c>
      <c r="P190" s="79" t="str">
        <f t="shared" si="57"/>
        <v/>
      </c>
      <c r="Q190" s="182" t="str">
        <f t="shared" si="58"/>
        <v/>
      </c>
      <c r="R190" s="26"/>
      <c r="S190" s="26"/>
      <c r="T190" s="26"/>
      <c r="U190" s="26"/>
      <c r="V190" s="26" t="str">
        <f t="shared" si="59"/>
        <v/>
      </c>
      <c r="W190" s="26"/>
    </row>
    <row r="191" spans="1:23" x14ac:dyDescent="0.35">
      <c r="A191" s="93"/>
      <c r="B191" s="94"/>
      <c r="C191" s="95"/>
      <c r="D191" s="79" t="str">
        <f t="shared" si="50"/>
        <v/>
      </c>
      <c r="E191" s="94"/>
      <c r="F191" s="79" t="str">
        <f t="shared" si="51"/>
        <v/>
      </c>
      <c r="G191" s="94"/>
      <c r="H191" s="79" t="str">
        <f t="shared" si="52"/>
        <v/>
      </c>
      <c r="I191" s="94"/>
      <c r="J191" s="79" t="str">
        <f t="shared" si="53"/>
        <v/>
      </c>
      <c r="K191" s="94"/>
      <c r="L191" s="79" t="str">
        <f t="shared" si="54"/>
        <v/>
      </c>
      <c r="M191" s="94"/>
      <c r="N191" s="79" t="str">
        <f t="shared" si="55"/>
        <v/>
      </c>
      <c r="O191" s="85" t="str">
        <f t="shared" si="56"/>
        <v/>
      </c>
      <c r="P191" s="79" t="str">
        <f t="shared" si="57"/>
        <v/>
      </c>
      <c r="Q191" s="182" t="str">
        <f t="shared" si="58"/>
        <v/>
      </c>
      <c r="R191" s="26"/>
      <c r="S191" s="26"/>
      <c r="T191" s="26"/>
      <c r="U191" s="26"/>
      <c r="V191" s="26" t="str">
        <f t="shared" si="59"/>
        <v/>
      </c>
      <c r="W191" s="26"/>
    </row>
    <row r="192" spans="1:23" x14ac:dyDescent="0.35">
      <c r="A192" s="93"/>
      <c r="B192" s="94"/>
      <c r="C192" s="95"/>
      <c r="D192" s="79" t="str">
        <f t="shared" si="50"/>
        <v/>
      </c>
      <c r="E192" s="94"/>
      <c r="F192" s="79" t="str">
        <f t="shared" si="51"/>
        <v/>
      </c>
      <c r="G192" s="94"/>
      <c r="H192" s="79" t="str">
        <f t="shared" si="52"/>
        <v/>
      </c>
      <c r="I192" s="94"/>
      <c r="J192" s="79" t="str">
        <f t="shared" si="53"/>
        <v/>
      </c>
      <c r="K192" s="94"/>
      <c r="L192" s="79" t="str">
        <f t="shared" si="54"/>
        <v/>
      </c>
      <c r="M192" s="94"/>
      <c r="N192" s="79" t="str">
        <f t="shared" si="55"/>
        <v/>
      </c>
      <c r="O192" s="85" t="str">
        <f t="shared" si="56"/>
        <v/>
      </c>
      <c r="P192" s="79" t="str">
        <f t="shared" si="57"/>
        <v/>
      </c>
      <c r="Q192" s="182" t="str">
        <f t="shared" si="58"/>
        <v/>
      </c>
      <c r="R192" s="26"/>
      <c r="S192" s="26"/>
      <c r="T192" s="26"/>
      <c r="U192" s="26"/>
      <c r="V192" s="26" t="str">
        <f t="shared" si="59"/>
        <v/>
      </c>
      <c r="W192" s="26"/>
    </row>
    <row r="193" spans="1:23" x14ac:dyDescent="0.35">
      <c r="A193" s="93"/>
      <c r="B193" s="94"/>
      <c r="C193" s="95"/>
      <c r="D193" s="79" t="str">
        <f t="shared" si="50"/>
        <v/>
      </c>
      <c r="E193" s="94"/>
      <c r="F193" s="79" t="str">
        <f t="shared" si="51"/>
        <v/>
      </c>
      <c r="G193" s="94"/>
      <c r="H193" s="79" t="str">
        <f t="shared" si="52"/>
        <v/>
      </c>
      <c r="I193" s="94"/>
      <c r="J193" s="79" t="str">
        <f t="shared" si="53"/>
        <v/>
      </c>
      <c r="K193" s="94"/>
      <c r="L193" s="79" t="str">
        <f t="shared" si="54"/>
        <v/>
      </c>
      <c r="M193" s="94"/>
      <c r="N193" s="79" t="str">
        <f t="shared" si="55"/>
        <v/>
      </c>
      <c r="O193" s="85" t="str">
        <f t="shared" si="56"/>
        <v/>
      </c>
      <c r="P193" s="79" t="str">
        <f t="shared" si="57"/>
        <v/>
      </c>
      <c r="Q193" s="182" t="str">
        <f t="shared" si="58"/>
        <v/>
      </c>
      <c r="R193" s="26"/>
      <c r="S193" s="26"/>
      <c r="T193" s="26"/>
      <c r="U193" s="26"/>
      <c r="V193" s="26" t="str">
        <f t="shared" si="59"/>
        <v/>
      </c>
      <c r="W193" s="26"/>
    </row>
    <row r="194" spans="1:23" x14ac:dyDescent="0.35">
      <c r="A194" s="93"/>
      <c r="B194" s="94"/>
      <c r="C194" s="95"/>
      <c r="D194" s="79" t="str">
        <f t="shared" ref="D194:D225" si="60">IF(OR(A194="",B194="",C194=""),"",ROUND(B194*C194,2))</f>
        <v/>
      </c>
      <c r="E194" s="94"/>
      <c r="F194" s="79" t="str">
        <f t="shared" ref="F194:F225" si="61">IF(OR(A194="",E194="",C194="",NOT(ISNUMBER($U$2))),"",ROUND(E194*C194*$U$2,2))</f>
        <v/>
      </c>
      <c r="G194" s="94"/>
      <c r="H194" s="79" t="str">
        <f t="shared" ref="H194:H225" si="62">IF(OR(A194="",G194="",C194="",NOT(ISNUMBER($U$3))),"",ROUND(G194*C194*$U$3,2))</f>
        <v/>
      </c>
      <c r="I194" s="94"/>
      <c r="J194" s="79" t="str">
        <f t="shared" ref="J194:J225" si="63">IF(OR(A194="",I194="",C194="",NOT(ISNUMBER($U$4))),"",ROUND(I194*C194*$U$4,2))</f>
        <v/>
      </c>
      <c r="K194" s="94"/>
      <c r="L194" s="79" t="str">
        <f t="shared" ref="L194:L225" si="64">IF(OR(A194="",K194="",C194="",NOT(ISNUMBER($U$5))),"",ROUND(K194*C194*$U$5,2))</f>
        <v/>
      </c>
      <c r="M194" s="94"/>
      <c r="N194" s="79" t="str">
        <f t="shared" ref="N194:N225" si="65">IF(OR(A194="",M194="",C194="",NOT(ISNUMBER($U$6))),"",ROUND(M194*C194*$U$6,2))</f>
        <v/>
      </c>
      <c r="O194" s="85" t="str">
        <f t="shared" ref="O194:O200" si="66">IF(A194="","",SUM(E194,G194,I194,K194,M194))</f>
        <v/>
      </c>
      <c r="P194" s="79" t="str">
        <f t="shared" ref="P194:P200" si="67">IF(A194="","",SUM(F194,H194,J194,L194,N194))</f>
        <v/>
      </c>
      <c r="Q194" s="182" t="str">
        <f t="shared" ref="Q194:Q200" si="68">IF(A194="","",IF(O194&gt;B194,"DIVERGENCIA: CONSUMO MAIOR QUE CONTRATADO","OK"))</f>
        <v/>
      </c>
      <c r="R194" s="26"/>
      <c r="S194" s="26"/>
      <c r="T194" s="26"/>
      <c r="U194" s="26"/>
      <c r="V194" s="26" t="str">
        <f t="shared" ref="V194:V200" si="69">IF(A194="","",IF(OR(NOT(ISNUMBER(B194)),NOT(ISNUMBER(O194)),NOT(ISNUMBER(C194)),Q194&lt;&gt;"OK"),"",ROUND(MAX(B194-O194,0)*C194,2)))</f>
        <v/>
      </c>
      <c r="W194" s="26"/>
    </row>
    <row r="195" spans="1:23" x14ac:dyDescent="0.35">
      <c r="A195" s="93"/>
      <c r="B195" s="94"/>
      <c r="C195" s="95"/>
      <c r="D195" s="79" t="str">
        <f t="shared" si="60"/>
        <v/>
      </c>
      <c r="E195" s="94"/>
      <c r="F195" s="79" t="str">
        <f t="shared" si="61"/>
        <v/>
      </c>
      <c r="G195" s="94"/>
      <c r="H195" s="79" t="str">
        <f t="shared" si="62"/>
        <v/>
      </c>
      <c r="I195" s="94"/>
      <c r="J195" s="79" t="str">
        <f t="shared" si="63"/>
        <v/>
      </c>
      <c r="K195" s="94"/>
      <c r="L195" s="79" t="str">
        <f t="shared" si="64"/>
        <v/>
      </c>
      <c r="M195" s="94"/>
      <c r="N195" s="79" t="str">
        <f t="shared" si="65"/>
        <v/>
      </c>
      <c r="O195" s="85" t="str">
        <f t="shared" si="66"/>
        <v/>
      </c>
      <c r="P195" s="79" t="str">
        <f t="shared" si="67"/>
        <v/>
      </c>
      <c r="Q195" s="182" t="str">
        <f t="shared" si="68"/>
        <v/>
      </c>
      <c r="R195" s="26"/>
      <c r="S195" s="26"/>
      <c r="T195" s="26"/>
      <c r="U195" s="26"/>
      <c r="V195" s="26" t="str">
        <f t="shared" si="69"/>
        <v/>
      </c>
      <c r="W195" s="26"/>
    </row>
    <row r="196" spans="1:23" x14ac:dyDescent="0.35">
      <c r="A196" s="93"/>
      <c r="B196" s="94"/>
      <c r="C196" s="95"/>
      <c r="D196" s="79" t="str">
        <f t="shared" si="60"/>
        <v/>
      </c>
      <c r="E196" s="94"/>
      <c r="F196" s="79" t="str">
        <f t="shared" si="61"/>
        <v/>
      </c>
      <c r="G196" s="94"/>
      <c r="H196" s="79" t="str">
        <f t="shared" si="62"/>
        <v/>
      </c>
      <c r="I196" s="94"/>
      <c r="J196" s="79" t="str">
        <f t="shared" si="63"/>
        <v/>
      </c>
      <c r="K196" s="94"/>
      <c r="L196" s="79" t="str">
        <f t="shared" si="64"/>
        <v/>
      </c>
      <c r="M196" s="94"/>
      <c r="N196" s="79" t="str">
        <f t="shared" si="65"/>
        <v/>
      </c>
      <c r="O196" s="85" t="str">
        <f t="shared" si="66"/>
        <v/>
      </c>
      <c r="P196" s="79" t="str">
        <f t="shared" si="67"/>
        <v/>
      </c>
      <c r="Q196" s="182" t="str">
        <f t="shared" si="68"/>
        <v/>
      </c>
      <c r="R196" s="26"/>
      <c r="S196" s="26"/>
      <c r="T196" s="26"/>
      <c r="U196" s="26"/>
      <c r="V196" s="26" t="str">
        <f t="shared" si="69"/>
        <v/>
      </c>
      <c r="W196" s="26"/>
    </row>
    <row r="197" spans="1:23" x14ac:dyDescent="0.35">
      <c r="A197" s="93"/>
      <c r="B197" s="94"/>
      <c r="C197" s="95"/>
      <c r="D197" s="79" t="str">
        <f t="shared" si="60"/>
        <v/>
      </c>
      <c r="E197" s="94"/>
      <c r="F197" s="79" t="str">
        <f t="shared" si="61"/>
        <v/>
      </c>
      <c r="G197" s="94"/>
      <c r="H197" s="79" t="str">
        <f t="shared" si="62"/>
        <v/>
      </c>
      <c r="I197" s="94"/>
      <c r="J197" s="79" t="str">
        <f t="shared" si="63"/>
        <v/>
      </c>
      <c r="K197" s="94"/>
      <c r="L197" s="79" t="str">
        <f t="shared" si="64"/>
        <v/>
      </c>
      <c r="M197" s="94"/>
      <c r="N197" s="79" t="str">
        <f t="shared" si="65"/>
        <v/>
      </c>
      <c r="O197" s="85" t="str">
        <f t="shared" si="66"/>
        <v/>
      </c>
      <c r="P197" s="79" t="str">
        <f t="shared" si="67"/>
        <v/>
      </c>
      <c r="Q197" s="182" t="str">
        <f t="shared" si="68"/>
        <v/>
      </c>
      <c r="R197" s="26"/>
      <c r="S197" s="26"/>
      <c r="T197" s="26"/>
      <c r="U197" s="26"/>
      <c r="V197" s="26" t="str">
        <f t="shared" si="69"/>
        <v/>
      </c>
      <c r="W197" s="26"/>
    </row>
    <row r="198" spans="1:23" x14ac:dyDescent="0.35">
      <c r="A198" s="93"/>
      <c r="B198" s="94"/>
      <c r="C198" s="95"/>
      <c r="D198" s="79" t="str">
        <f t="shared" si="60"/>
        <v/>
      </c>
      <c r="E198" s="94"/>
      <c r="F198" s="79" t="str">
        <f t="shared" si="61"/>
        <v/>
      </c>
      <c r="G198" s="94"/>
      <c r="H198" s="79" t="str">
        <f t="shared" si="62"/>
        <v/>
      </c>
      <c r="I198" s="94"/>
      <c r="J198" s="79" t="str">
        <f t="shared" si="63"/>
        <v/>
      </c>
      <c r="K198" s="94"/>
      <c r="L198" s="79" t="str">
        <f t="shared" si="64"/>
        <v/>
      </c>
      <c r="M198" s="94"/>
      <c r="N198" s="79" t="str">
        <f t="shared" si="65"/>
        <v/>
      </c>
      <c r="O198" s="85" t="str">
        <f t="shared" si="66"/>
        <v/>
      </c>
      <c r="P198" s="79" t="str">
        <f t="shared" si="67"/>
        <v/>
      </c>
      <c r="Q198" s="182" t="str">
        <f t="shared" si="68"/>
        <v/>
      </c>
      <c r="R198" s="26"/>
      <c r="S198" s="26"/>
      <c r="T198" s="26"/>
      <c r="U198" s="26"/>
      <c r="V198" s="26" t="str">
        <f t="shared" si="69"/>
        <v/>
      </c>
      <c r="W198" s="26"/>
    </row>
    <row r="199" spans="1:23" x14ac:dyDescent="0.35">
      <c r="A199" s="93"/>
      <c r="B199" s="94"/>
      <c r="C199" s="95"/>
      <c r="D199" s="79" t="str">
        <f t="shared" si="60"/>
        <v/>
      </c>
      <c r="E199" s="94"/>
      <c r="F199" s="79" t="str">
        <f t="shared" si="61"/>
        <v/>
      </c>
      <c r="G199" s="94"/>
      <c r="H199" s="79" t="str">
        <f t="shared" si="62"/>
        <v/>
      </c>
      <c r="I199" s="94"/>
      <c r="J199" s="79" t="str">
        <f t="shared" si="63"/>
        <v/>
      </c>
      <c r="K199" s="94"/>
      <c r="L199" s="79" t="str">
        <f t="shared" si="64"/>
        <v/>
      </c>
      <c r="M199" s="94"/>
      <c r="N199" s="79" t="str">
        <f t="shared" si="65"/>
        <v/>
      </c>
      <c r="O199" s="85" t="str">
        <f t="shared" si="66"/>
        <v/>
      </c>
      <c r="P199" s="79" t="str">
        <f t="shared" si="67"/>
        <v/>
      </c>
      <c r="Q199" s="182" t="str">
        <f t="shared" si="68"/>
        <v/>
      </c>
      <c r="R199" s="26"/>
      <c r="S199" s="26"/>
      <c r="T199" s="26"/>
      <c r="U199" s="26"/>
      <c r="V199" s="26" t="str">
        <f t="shared" si="69"/>
        <v/>
      </c>
      <c r="W199" s="26"/>
    </row>
    <row r="200" spans="1:23" x14ac:dyDescent="0.35">
      <c r="A200" s="93"/>
      <c r="B200" s="94"/>
      <c r="C200" s="95"/>
      <c r="D200" s="79" t="str">
        <f t="shared" si="60"/>
        <v/>
      </c>
      <c r="E200" s="94"/>
      <c r="F200" s="79" t="str">
        <f t="shared" si="61"/>
        <v/>
      </c>
      <c r="G200" s="94"/>
      <c r="H200" s="79" t="str">
        <f t="shared" si="62"/>
        <v/>
      </c>
      <c r="I200" s="94"/>
      <c r="J200" s="79" t="str">
        <f t="shared" si="63"/>
        <v/>
      </c>
      <c r="K200" s="94"/>
      <c r="L200" s="79" t="str">
        <f t="shared" si="64"/>
        <v/>
      </c>
      <c r="M200" s="94"/>
      <c r="N200" s="79" t="str">
        <f t="shared" si="65"/>
        <v/>
      </c>
      <c r="O200" s="85" t="str">
        <f t="shared" si="66"/>
        <v/>
      </c>
      <c r="P200" s="79" t="str">
        <f t="shared" si="67"/>
        <v/>
      </c>
      <c r="Q200" s="182" t="str">
        <f t="shared" si="68"/>
        <v/>
      </c>
      <c r="R200" s="26"/>
      <c r="S200" s="26"/>
      <c r="T200" s="26"/>
      <c r="U200" s="26"/>
      <c r="V200" s="26" t="str">
        <f t="shared" si="69"/>
        <v/>
      </c>
      <c r="W200" s="26"/>
    </row>
  </sheetData>
  <dataValidations count="1">
    <dataValidation type="list" allowBlank="1" showInputMessage="1" showErrorMessage="1" sqref="Z2:Z6" xr:uid="{00000000-0002-0000-0500-000000000000}">
      <formula1>"Valor pago,Glosa"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AC5001"/>
  <sheetViews>
    <sheetView showGridLines="0" workbookViewId="0"/>
  </sheetViews>
  <sheetFormatPr defaultColWidth="22.81640625" defaultRowHeight="14.5" x14ac:dyDescent="0.35"/>
  <cols>
    <col min="1" max="1" width="14.6328125" style="156" customWidth="1"/>
    <col min="2" max="3" width="16" customWidth="1"/>
    <col min="4" max="5" width="18" customWidth="1"/>
    <col min="6" max="6" width="20" customWidth="1"/>
    <col min="7" max="7" width="24" customWidth="1"/>
    <col min="8" max="8" width="28" customWidth="1"/>
    <col min="9" max="9" width="26" customWidth="1"/>
    <col min="10" max="10" width="20" customWidth="1"/>
    <col min="11" max="11" width="30" customWidth="1"/>
    <col min="12" max="12" width="24.6328125" customWidth="1"/>
    <col min="13" max="13" width="20.6328125" customWidth="1"/>
    <col min="14" max="14" width="18.6328125" customWidth="1"/>
    <col min="15" max="15" width="16.6328125" customWidth="1"/>
    <col min="16" max="16" width="17.6328125" customWidth="1"/>
    <col min="17" max="17" width="18.6328125" customWidth="1"/>
    <col min="18" max="18" width="20.6328125" customWidth="1"/>
    <col min="19" max="20" width="18.6328125" customWidth="1"/>
    <col min="21" max="21" width="24.6328125" customWidth="1"/>
    <col min="22" max="29" width="13" hidden="1" customWidth="1"/>
  </cols>
  <sheetData>
    <row r="1" spans="1:29" ht="30" customHeight="1" x14ac:dyDescent="0.35">
      <c r="A1" s="185" t="s">
        <v>142</v>
      </c>
      <c r="B1" s="49" t="s">
        <v>143</v>
      </c>
      <c r="C1" s="49" t="s">
        <v>144</v>
      </c>
      <c r="D1" s="49" t="s">
        <v>145</v>
      </c>
      <c r="E1" s="49" t="s">
        <v>40</v>
      </c>
      <c r="F1" s="49" t="s">
        <v>65</v>
      </c>
      <c r="G1" s="32" t="s">
        <v>146</v>
      </c>
      <c r="H1" s="389" t="s">
        <v>147</v>
      </c>
      <c r="I1" s="390" t="s">
        <v>148</v>
      </c>
      <c r="J1" s="391" t="s">
        <v>149</v>
      </c>
      <c r="K1" s="32" t="s">
        <v>150</v>
      </c>
      <c r="L1" s="32" t="s">
        <v>151</v>
      </c>
      <c r="M1" s="424" t="s">
        <v>152</v>
      </c>
      <c r="N1" s="425"/>
      <c r="O1" s="425"/>
      <c r="P1" s="425"/>
      <c r="Q1" s="425"/>
      <c r="R1" s="425"/>
      <c r="S1" s="425"/>
      <c r="T1" s="426"/>
      <c r="U1" s="213" t="s">
        <v>153</v>
      </c>
      <c r="V1" s="210" t="s">
        <v>154</v>
      </c>
      <c r="W1" s="27" t="s">
        <v>155</v>
      </c>
      <c r="X1" s="27" t="s">
        <v>156</v>
      </c>
      <c r="Y1" s="27" t="s">
        <v>157</v>
      </c>
      <c r="Z1" s="27" t="s">
        <v>158</v>
      </c>
      <c r="AA1" s="27" t="s">
        <v>159</v>
      </c>
      <c r="AB1" s="27" t="s">
        <v>160</v>
      </c>
      <c r="AC1" s="27" t="s">
        <v>161</v>
      </c>
    </row>
    <row r="2" spans="1:29" ht="30" customHeight="1" x14ac:dyDescent="0.35">
      <c r="A2" s="392" t="s">
        <v>162</v>
      </c>
      <c r="B2" s="393">
        <v>45337</v>
      </c>
      <c r="C2" s="99" t="str">
        <f>IF(B2="","",IF(NOT(ISNUMBER(B2)),"DATA_PC invalida",IF(NOT(ISNUMBER(parametros!$C$2)),"Fora dos ciclos",IF(OR(B2&lt;parametros!$C$2,(YEAR(B2)-YEAR(parametros!$C$2))*12+MONTH(B2)-MONTH(parametros!$C$2)&gt;59),"Fora dos ciclos","C"&amp;INT(((YEAR(B2)-YEAR(parametros!$C$2))*12+MONTH(B2)-MONTH(parametros!$C$2))/12)))))</f>
        <v>C1</v>
      </c>
      <c r="D2" s="394">
        <v>180000</v>
      </c>
      <c r="E2" s="78">
        <f>IF(C2="","",IFERROR(VLOOKUP(C2,parametros!$A$11:$E$15,5,0),""))</f>
        <v>1.0511999999999999</v>
      </c>
      <c r="F2" s="79">
        <f t="shared" ref="F2:F65" si="0">IF(OR(D2="",E2=""),"",ROUND(D2*E2,2))</f>
        <v>189216</v>
      </c>
      <c r="G2" s="395" t="s">
        <v>51</v>
      </c>
      <c r="H2" s="91">
        <f t="shared" ref="H2:H65" si="1">IF(G2="Sim",IF(OR(F2="",D2="",L2=""),"",IF(L2="Sim",ROUND(F2-D2,2),0)),0)</f>
        <v>9216</v>
      </c>
      <c r="I2" s="91">
        <f t="shared" ref="I2:I65" si="2">IF(G2="Sim",0,IF(OR(F2="",L2=""),"",F2))</f>
        <v>0</v>
      </c>
      <c r="J2" s="91">
        <f t="shared" ref="J2:J65" si="3">IF(G2="Sim",0,IF(OR(F2="",D2="",L2=""),"",IF(L2="Sim",ROUND(F2-D2,2),0)))</f>
        <v>0</v>
      </c>
      <c r="K2" s="92" t="str">
        <f>IF(AND(A2="",B2="",D2="",G2=""),"",IF(AND(A2&lt;&gt;"",COUNTIF($A$2:$A$5001,A2)&gt;1),"NUMERO_PC duplicado",IF(B2="","DATA_PC vazia",IF(NOT(ISNUMBER(B2)),"DATA_PC invalida",IF(OR(C2="",C2="Fora dos ciclos"),"CICLO_PC nao identificado",IF(OR(D2="",D2=0),"VALOR_PC vazio ou zero",IF(AND(G2&lt;&gt;"Sim",G2&lt;&gt;"Nao",G2&lt;&gt;""),"PC_PAGO_A_CONTRATADA invalido",IF(AND(C2&lt;&gt;"C0",IFERROR(INDEX(parametros!$A$2:$A$6,MATCH(C2,parametros!$B$2:$B$6,0)),"")="Sim",IFERROR(INDEX(parametros!$H$2:$H$6,MATCH(C2,parametros!$B$2:$B$6,0)),"")=""),"INICIO_EFEITO ausente: PC "&amp;A2&amp;" - "&amp;C2,IF(L2="","EFEITO_PC nao calculado: PC "&amp;A2&amp;" - "&amp;C2,"OK")))))))))</f>
        <v>OK</v>
      </c>
      <c r="L2" s="347" t="str">
        <f>IF(AND(A2="",B2="",D2="",G2=""),"",IF(OR(B2="",NOT(ISNUMBER(B2)),C2="",C2="Fora dos ciclos"),"",IF(C2="C0","Nao",IF(IFERROR(INDEX(parametros!$A$2:$A$6,MATCH(C2,parametros!$B$2:$B$6,0)),"")&lt;&gt;"Sim","Nao",IF(IFERROR(INDEX(parametros!$H$2:$H$6,MATCH(C2,parametros!$B$2:$B$6,0)),"")="","",IF(B2&gt;=IFERROR(INDEX(parametros!$H$2:$H$6,MATCH(C2,parametros!$B$2:$B$6,0)),""),"Sim","Nao"))))))</f>
        <v>Sim</v>
      </c>
      <c r="M2" s="346" t="s">
        <v>36</v>
      </c>
      <c r="N2" s="346" t="s">
        <v>163</v>
      </c>
      <c r="O2" s="346" t="s">
        <v>164</v>
      </c>
      <c r="P2" s="346" t="s">
        <v>165</v>
      </c>
      <c r="Q2" s="396" t="s">
        <v>147</v>
      </c>
      <c r="R2" s="397" t="s">
        <v>166</v>
      </c>
      <c r="S2" s="398" t="s">
        <v>149</v>
      </c>
      <c r="T2" s="346" t="s">
        <v>167</v>
      </c>
      <c r="U2" s="348">
        <f t="shared" ref="U2:U65" si="4">IF(OR($D2="",$H2=""),"",ROUND($D2+$H2,2))</f>
        <v>189216</v>
      </c>
      <c r="V2" s="212" t="s">
        <v>50</v>
      </c>
      <c r="W2" s="100" t="s">
        <v>168</v>
      </c>
      <c r="X2" s="100" t="s">
        <v>169</v>
      </c>
      <c r="Y2" s="101" t="s">
        <v>170</v>
      </c>
      <c r="Z2" s="101" t="s">
        <v>171</v>
      </c>
      <c r="AA2" s="101" t="s">
        <v>50</v>
      </c>
      <c r="AB2" s="101" t="s">
        <v>172</v>
      </c>
      <c r="AC2" s="102" t="s">
        <v>173</v>
      </c>
    </row>
    <row r="3" spans="1:29" ht="25.5" customHeight="1" x14ac:dyDescent="0.35">
      <c r="A3" s="392" t="s">
        <v>174</v>
      </c>
      <c r="B3" s="393">
        <v>45432</v>
      </c>
      <c r="C3" s="99" t="str">
        <f>IF(B3="","",IF(NOT(ISNUMBER(B3)),"DATA_PC invalida",IF(NOT(ISNUMBER(parametros!$C$2)),"Fora dos ciclos",IF(OR(B3&lt;parametros!$C$2,(YEAR(B3)-YEAR(parametros!$C$2))*12+MONTH(B3)-MONTH(parametros!$C$2)&gt;59),"Fora dos ciclos","C"&amp;INT(((YEAR(B3)-YEAR(parametros!$C$2))*12+MONTH(B3)-MONTH(parametros!$C$2))/12)))))</f>
        <v>C1</v>
      </c>
      <c r="D3" s="394">
        <v>96500</v>
      </c>
      <c r="E3" s="78">
        <f>IF(C3="","",IFERROR(VLOOKUP(C3,parametros!$A$11:$E$15,5,0),""))</f>
        <v>1.0511999999999999</v>
      </c>
      <c r="F3" s="79">
        <f t="shared" si="0"/>
        <v>101440.8</v>
      </c>
      <c r="G3" s="395" t="s">
        <v>51</v>
      </c>
      <c r="H3" s="91">
        <f t="shared" si="1"/>
        <v>4940.8</v>
      </c>
      <c r="I3" s="91">
        <f t="shared" si="2"/>
        <v>0</v>
      </c>
      <c r="J3" s="91">
        <f t="shared" si="3"/>
        <v>0</v>
      </c>
      <c r="K3" s="92" t="str">
        <f>IF(AND(A3="",B3="",D3="",G3=""),"",IF(AND(A3&lt;&gt;"",COUNTIF($A$2:$A$5001,A3)&gt;1),"NUMERO_PC duplicado",IF(B3="","DATA_PC vazia",IF(NOT(ISNUMBER(B3)),"DATA_PC invalida",IF(OR(C3="",C3="Fora dos ciclos"),"CICLO_PC nao identificado",IF(OR(D3="",D3=0),"VALOR_PC vazio ou zero",IF(AND(G3&lt;&gt;"Sim",G3&lt;&gt;"Nao",G3&lt;&gt;""),"PC_PAGO_A_CONTRATADA invalido",IF(AND(C3&lt;&gt;"C0",IFERROR(INDEX(parametros!$A$2:$A$6,MATCH(C3,parametros!$B$2:$B$6,0)),"")="Sim",IFERROR(INDEX(parametros!$H$2:$H$6,MATCH(C3,parametros!$B$2:$B$6,0)),"")=""),"INICIO_EFEITO ausente: PC "&amp;A3&amp;" - "&amp;C3,IF(L3="","EFEITO_PC nao calculado: PC "&amp;A3&amp;" - "&amp;C3,"OK")))))))))</f>
        <v>OK</v>
      </c>
      <c r="L3" s="347" t="str">
        <f>IF(AND(A3="",B3="",D3="",G3=""),"",IF(OR(B3="",NOT(ISNUMBER(B3)),C3="",C3="Fora dos ciclos"),"",IF(C3="C0","Nao",IF(IFERROR(INDEX(parametros!$A$2:$A$6,MATCH(C3,parametros!$B$2:$B$6,0)),"")&lt;&gt;"Sim","Nao",IF(IFERROR(INDEX(parametros!$H$2:$H$6,MATCH(C3,parametros!$B$2:$B$6,0)),"")="","",IF(B3&gt;=IFERROR(INDEX(parametros!$H$2:$H$6,MATCH(C3,parametros!$B$2:$B$6,0)),""),"Sim","Nao"))))))</f>
        <v>Sim</v>
      </c>
      <c r="M3" s="350" t="s">
        <v>26</v>
      </c>
      <c r="N3" s="351">
        <f>COUNTIF($C$2:$C$5001,M3)</f>
        <v>0</v>
      </c>
      <c r="O3" s="352">
        <f>SUMIF($C$2:$C$5001,M3,$D$2:$D$5001)</f>
        <v>0</v>
      </c>
      <c r="P3" s="352">
        <f>SUMIF($C$2:$C$5001,M3,$F$2:$F$5001)</f>
        <v>0</v>
      </c>
      <c r="Q3" s="399">
        <f>SUMIF($C$2:$C$5001,M3,$H$2:$H$5001)</f>
        <v>0</v>
      </c>
      <c r="R3" s="400">
        <f>SUMIF($C$2:$C$5001,M3,$I$2:$I$5001)</f>
        <v>0</v>
      </c>
      <c r="S3" s="401">
        <f>SUMIF($C$2:$C$5001,M3,$J$2:$J$5001)</f>
        <v>0</v>
      </c>
      <c r="T3" s="351">
        <f>COUNTIFS($C$2:$C$5001,M3,$K$2:$K$5001,"&lt;&gt;OK",$K$2:$K$5001,"&lt;&gt;")</f>
        <v>0</v>
      </c>
      <c r="U3" s="349">
        <f t="shared" si="4"/>
        <v>101440.8</v>
      </c>
      <c r="V3" s="212" t="s">
        <v>50</v>
      </c>
      <c r="W3" s="100" t="s">
        <v>168</v>
      </c>
      <c r="X3" s="100" t="s">
        <v>169</v>
      </c>
      <c r="Y3" s="101" t="s">
        <v>170</v>
      </c>
      <c r="Z3" s="101" t="s">
        <v>171</v>
      </c>
      <c r="AA3" s="101" t="s">
        <v>50</v>
      </c>
      <c r="AB3" s="101" t="s">
        <v>172</v>
      </c>
      <c r="AC3" s="102" t="s">
        <v>173</v>
      </c>
    </row>
    <row r="4" spans="1:29" ht="25.5" customHeight="1" x14ac:dyDescent="0.35">
      <c r="A4" s="392" t="s">
        <v>175</v>
      </c>
      <c r="B4" s="393">
        <v>45565</v>
      </c>
      <c r="C4" s="99" t="str">
        <f>IF(B4="","",IF(NOT(ISNUMBER(B4)),"DATA_PC invalida",IF(NOT(ISNUMBER(parametros!$C$2)),"Fora dos ciclos",IF(OR(B4&lt;parametros!$C$2,(YEAR(B4)-YEAR(parametros!$C$2))*12+MONTH(B4)-MONTH(parametros!$C$2)&gt;59),"Fora dos ciclos","C"&amp;INT(((YEAR(B4)-YEAR(parametros!$C$2))*12+MONTH(B4)-MONTH(parametros!$C$2))/12)))))</f>
        <v>C1</v>
      </c>
      <c r="D4" s="394">
        <v>145250</v>
      </c>
      <c r="E4" s="78">
        <f>IF(C4="","",IFERROR(VLOOKUP(C4,parametros!$A$11:$E$15,5,0),""))</f>
        <v>1.0511999999999999</v>
      </c>
      <c r="F4" s="79">
        <f t="shared" si="0"/>
        <v>152686.79999999999</v>
      </c>
      <c r="G4" s="395" t="s">
        <v>50</v>
      </c>
      <c r="H4" s="91">
        <f t="shared" si="1"/>
        <v>0</v>
      </c>
      <c r="I4" s="91">
        <f t="shared" si="2"/>
        <v>152686.79999999999</v>
      </c>
      <c r="J4" s="91">
        <f t="shared" si="3"/>
        <v>7436.8</v>
      </c>
      <c r="K4" s="92" t="str">
        <f>IF(AND(A4="",B4="",D4="",G4=""),"",IF(AND(A4&lt;&gt;"",COUNTIF($A$2:$A$5001,A4)&gt;1),"NUMERO_PC duplicado",IF(B4="","DATA_PC vazia",IF(NOT(ISNUMBER(B4)),"DATA_PC invalida",IF(OR(C4="",C4="Fora dos ciclos"),"CICLO_PC nao identificado",IF(OR(D4="",D4=0),"VALOR_PC vazio ou zero",IF(AND(G4&lt;&gt;"Sim",G4&lt;&gt;"Nao",G4&lt;&gt;""),"PC_PAGO_A_CONTRATADA invalido",IF(AND(C4&lt;&gt;"C0",IFERROR(INDEX(parametros!$A$2:$A$6,MATCH(C4,parametros!$B$2:$B$6,0)),"")="Sim",IFERROR(INDEX(parametros!$H$2:$H$6,MATCH(C4,parametros!$B$2:$B$6,0)),"")=""),"INICIO_EFEITO ausente: PC "&amp;A4&amp;" - "&amp;C4,IF(L4="","EFEITO_PC nao calculado: PC "&amp;A4&amp;" - "&amp;C4,"OK")))))))))</f>
        <v>OK</v>
      </c>
      <c r="L4" s="347" t="str">
        <f>IF(AND(A4="",B4="",D4="",G4=""),"",IF(OR(B4="",NOT(ISNUMBER(B4)),C4="",C4="Fora dos ciclos"),"",IF(C4="C0","Nao",IF(IFERROR(INDEX(parametros!$A$2:$A$6,MATCH(C4,parametros!$B$2:$B$6,0)),"")&lt;&gt;"Sim","Nao",IF(IFERROR(INDEX(parametros!$H$2:$H$6,MATCH(C4,parametros!$B$2:$B$6,0)),"")="","",IF(B4&gt;=IFERROR(INDEX(parametros!$H$2:$H$6,MATCH(C4,parametros!$B$2:$B$6,0)),""),"Sim","Nao"))))))</f>
        <v>Sim</v>
      </c>
      <c r="M4" s="350" t="s">
        <v>3</v>
      </c>
      <c r="N4" s="351">
        <f>COUNTIF($C$2:$C$5001,M4)</f>
        <v>3</v>
      </c>
      <c r="O4" s="352">
        <f>SUMIF($C$2:$C$5001,M4,$D$2:$D$5001)</f>
        <v>421750</v>
      </c>
      <c r="P4" s="352">
        <f>SUMIF($C$2:$C$5001,M4,$F$2:$F$5001)</f>
        <v>443343.6</v>
      </c>
      <c r="Q4" s="399">
        <f>SUMIF($C$2:$C$5001,M4,$H$2:$H$5001)</f>
        <v>14156.8</v>
      </c>
      <c r="R4" s="400">
        <f>SUMIF($C$2:$C$5001,M4,$I$2:$I$5001)</f>
        <v>152686.79999999999</v>
      </c>
      <c r="S4" s="401">
        <f>SUMIF($C$2:$C$5001,M4,$J$2:$J$5001)</f>
        <v>7436.8</v>
      </c>
      <c r="T4" s="351">
        <f>COUNTIFS($C$2:$C$5001,M4,$K$2:$K$5001,"&lt;&gt;OK",$K$2:$K$5001,"&lt;&gt;")</f>
        <v>0</v>
      </c>
      <c r="U4" s="349">
        <f t="shared" si="4"/>
        <v>145250</v>
      </c>
      <c r="V4" s="212" t="s">
        <v>50</v>
      </c>
      <c r="W4" s="100" t="s">
        <v>168</v>
      </c>
      <c r="X4" s="100" t="s">
        <v>169</v>
      </c>
      <c r="Y4" s="101" t="s">
        <v>170</v>
      </c>
      <c r="Z4" s="101" t="s">
        <v>171</v>
      </c>
      <c r="AA4" s="101" t="s">
        <v>50</v>
      </c>
      <c r="AB4" s="101" t="s">
        <v>172</v>
      </c>
      <c r="AC4" s="102" t="s">
        <v>173</v>
      </c>
    </row>
    <row r="5" spans="1:29" ht="25.5" customHeight="1" x14ac:dyDescent="0.35">
      <c r="A5" s="392"/>
      <c r="B5" s="393"/>
      <c r="C5" s="99" t="str">
        <f>IF(B5="","",IF(NOT(ISNUMBER(B5)),"DATA_PC invalida",IF(NOT(ISNUMBER(parametros!$C$2)),"Fora dos ciclos",IF(OR(B5&lt;parametros!$C$2,(YEAR(B5)-YEAR(parametros!$C$2))*12+MONTH(B5)-MONTH(parametros!$C$2)&gt;59),"Fora dos ciclos","C"&amp;INT(((YEAR(B5)-YEAR(parametros!$C$2))*12+MONTH(B5)-MONTH(parametros!$C$2))/12)))))</f>
        <v/>
      </c>
      <c r="D5" s="394"/>
      <c r="E5" s="78" t="str">
        <f>IF(C5="","",IFERROR(VLOOKUP(C5,parametros!$A$11:$E$15,5,0),""))</f>
        <v/>
      </c>
      <c r="F5" s="79" t="str">
        <f t="shared" si="0"/>
        <v/>
      </c>
      <c r="G5" s="395"/>
      <c r="H5" s="91">
        <f t="shared" si="1"/>
        <v>0</v>
      </c>
      <c r="I5" s="91" t="str">
        <f t="shared" si="2"/>
        <v/>
      </c>
      <c r="J5" s="91" t="str">
        <f t="shared" si="3"/>
        <v/>
      </c>
      <c r="K5" s="92" t="str">
        <f>IF(AND(A5="",B5="",D5="",G5=""),"",IF(AND(A5&lt;&gt;"",COUNTIF($A$2:$A$5001,A5)&gt;1),"NUMERO_PC duplicado",IF(B5="","DATA_PC vazia",IF(NOT(ISNUMBER(B5)),"DATA_PC invalida",IF(OR(C5="",C5="Fora dos ciclos"),"CICLO_PC nao identificado",IF(OR(D5="",D5=0),"VALOR_PC vazio ou zero",IF(AND(G5&lt;&gt;"Sim",G5&lt;&gt;"Nao",G5&lt;&gt;""),"PC_PAGO_A_CONTRATADA invalido",IF(AND(C5&lt;&gt;"C0",IFERROR(INDEX(parametros!$A$2:$A$6,MATCH(C5,parametros!$B$2:$B$6,0)),"")="Sim",IFERROR(INDEX(parametros!$H$2:$H$6,MATCH(C5,parametros!$B$2:$B$6,0)),"")=""),"INICIO_EFEITO ausente: PC "&amp;A5&amp;" - "&amp;C5,IF(L5="","EFEITO_PC nao calculado: PC "&amp;A5&amp;" - "&amp;C5,"OK")))))))))</f>
        <v/>
      </c>
      <c r="L5" s="347" t="str">
        <f>IF(AND(A5="",B5="",D5="",G5=""),"",IF(OR(B5="",NOT(ISNUMBER(B5)),C5="",C5="Fora dos ciclos"),"",IF(C5="C0","Nao",IF(IFERROR(INDEX(parametros!$A$2:$A$6,MATCH(C5,parametros!$B$2:$B$6,0)),"")&lt;&gt;"Sim","Nao",IF(IFERROR(INDEX(parametros!$H$2:$H$6,MATCH(C5,parametros!$B$2:$B$6,0)),"")="","",IF(B5&gt;=IFERROR(INDEX(parametros!$H$2:$H$6,MATCH(C5,parametros!$B$2:$B$6,0)),""),"Sim","Nao"))))))</f>
        <v/>
      </c>
      <c r="M5" s="350" t="s">
        <v>27</v>
      </c>
      <c r="N5" s="351">
        <f>COUNTIF($C$2:$C$5001,M5)</f>
        <v>0</v>
      </c>
      <c r="O5" s="352">
        <f>SUMIF($C$2:$C$5001,M5,$D$2:$D$5001)</f>
        <v>0</v>
      </c>
      <c r="P5" s="352">
        <f>SUMIF($C$2:$C$5001,M5,$F$2:$F$5001)</f>
        <v>0</v>
      </c>
      <c r="Q5" s="399">
        <f>SUMIF($C$2:$C$5001,M5,$H$2:$H$5001)</f>
        <v>0</v>
      </c>
      <c r="R5" s="400">
        <f>SUMIF($C$2:$C$5001,M5,$I$2:$I$5001)</f>
        <v>0</v>
      </c>
      <c r="S5" s="401">
        <f>SUMIF($C$2:$C$5001,M5,$J$2:$J$5001)</f>
        <v>0</v>
      </c>
      <c r="T5" s="351">
        <f>COUNTIFS($C$2:$C$5001,M5,$K$2:$K$5001,"&lt;&gt;OK",$K$2:$K$5001,"&lt;&gt;")</f>
        <v>0</v>
      </c>
      <c r="U5" s="349" t="str">
        <f t="shared" si="4"/>
        <v/>
      </c>
      <c r="V5" s="212" t="s">
        <v>50</v>
      </c>
      <c r="W5" s="100" t="s">
        <v>168</v>
      </c>
      <c r="X5" s="100" t="s">
        <v>169</v>
      </c>
      <c r="Y5" s="101" t="s">
        <v>170</v>
      </c>
      <c r="Z5" s="101" t="s">
        <v>171</v>
      </c>
      <c r="AA5" s="101" t="s">
        <v>50</v>
      </c>
      <c r="AB5" s="101" t="s">
        <v>172</v>
      </c>
      <c r="AC5" s="102" t="s">
        <v>173</v>
      </c>
    </row>
    <row r="6" spans="1:29" ht="25.5" customHeight="1" x14ac:dyDescent="0.35">
      <c r="A6" s="392"/>
      <c r="B6" s="393"/>
      <c r="C6" s="99" t="str">
        <f>IF(B6="","",IF(NOT(ISNUMBER(B6)),"DATA_PC invalida",IF(NOT(ISNUMBER(parametros!$C$2)),"Fora dos ciclos",IF(OR(B6&lt;parametros!$C$2,(YEAR(B6)-YEAR(parametros!$C$2))*12+MONTH(B6)-MONTH(parametros!$C$2)&gt;59),"Fora dos ciclos","C"&amp;INT(((YEAR(B6)-YEAR(parametros!$C$2))*12+MONTH(B6)-MONTH(parametros!$C$2))/12)))))</f>
        <v/>
      </c>
      <c r="D6" s="394"/>
      <c r="E6" s="78" t="str">
        <f>IF(C6="","",IFERROR(VLOOKUP(C6,parametros!$A$11:$E$15,5,0),""))</f>
        <v/>
      </c>
      <c r="F6" s="79" t="str">
        <f t="shared" si="0"/>
        <v/>
      </c>
      <c r="G6" s="395"/>
      <c r="H6" s="91">
        <f t="shared" si="1"/>
        <v>0</v>
      </c>
      <c r="I6" s="91" t="str">
        <f t="shared" si="2"/>
        <v/>
      </c>
      <c r="J6" s="91" t="str">
        <f t="shared" si="3"/>
        <v/>
      </c>
      <c r="K6" s="92" t="str">
        <f>IF(AND(A6="",B6="",D6="",G6=""),"",IF(AND(A6&lt;&gt;"",COUNTIF($A$2:$A$5001,A6)&gt;1),"NUMERO_PC duplicado",IF(B6="","DATA_PC vazia",IF(NOT(ISNUMBER(B6)),"DATA_PC invalida",IF(OR(C6="",C6="Fora dos ciclos"),"CICLO_PC nao identificado",IF(OR(D6="",D6=0),"VALOR_PC vazio ou zero",IF(AND(G6&lt;&gt;"Sim",G6&lt;&gt;"Nao",G6&lt;&gt;""),"PC_PAGO_A_CONTRATADA invalido",IF(AND(C6&lt;&gt;"C0",IFERROR(INDEX(parametros!$A$2:$A$6,MATCH(C6,parametros!$B$2:$B$6,0)),"")="Sim",IFERROR(INDEX(parametros!$H$2:$H$6,MATCH(C6,parametros!$B$2:$B$6,0)),"")=""),"INICIO_EFEITO ausente: PC "&amp;A6&amp;" - "&amp;C6,IF(L6="","EFEITO_PC nao calculado: PC "&amp;A6&amp;" - "&amp;C6,"OK")))))))))</f>
        <v/>
      </c>
      <c r="L6" s="347" t="str">
        <f>IF(AND(A6="",B6="",D6="",G6=""),"",IF(OR(B6="",NOT(ISNUMBER(B6)),C6="",C6="Fora dos ciclos"),"",IF(C6="C0","Nao",IF(IFERROR(INDEX(parametros!$A$2:$A$6,MATCH(C6,parametros!$B$2:$B$6,0)),"")&lt;&gt;"Sim","Nao",IF(IFERROR(INDEX(parametros!$H$2:$H$6,MATCH(C6,parametros!$B$2:$B$6,0)),"")="","",IF(B6&gt;=IFERROR(INDEX(parametros!$H$2:$H$6,MATCH(C6,parametros!$B$2:$B$6,0)),""),"Sim","Nao"))))))</f>
        <v/>
      </c>
      <c r="M6" s="350" t="s">
        <v>28</v>
      </c>
      <c r="N6" s="351">
        <f>COUNTIF($C$2:$C$5001,M6)</f>
        <v>0</v>
      </c>
      <c r="O6" s="352">
        <f>SUMIF($C$2:$C$5001,M6,$D$2:$D$5001)</f>
        <v>0</v>
      </c>
      <c r="P6" s="352">
        <f>SUMIF($C$2:$C$5001,M6,$F$2:$F$5001)</f>
        <v>0</v>
      </c>
      <c r="Q6" s="399">
        <f>SUMIF($C$2:$C$5001,M6,$H$2:$H$5001)</f>
        <v>0</v>
      </c>
      <c r="R6" s="400">
        <f>SUMIF($C$2:$C$5001,M6,$I$2:$I$5001)</f>
        <v>0</v>
      </c>
      <c r="S6" s="401">
        <f>SUMIF($C$2:$C$5001,M6,$J$2:$J$5001)</f>
        <v>0</v>
      </c>
      <c r="T6" s="351">
        <f>COUNTIFS($C$2:$C$5001,M6,$K$2:$K$5001,"&lt;&gt;OK",$K$2:$K$5001,"&lt;&gt;")</f>
        <v>0</v>
      </c>
      <c r="U6" s="349" t="str">
        <f t="shared" si="4"/>
        <v/>
      </c>
      <c r="V6" s="212" t="s">
        <v>50</v>
      </c>
      <c r="W6" s="100" t="s">
        <v>168</v>
      </c>
      <c r="X6" s="100" t="s">
        <v>169</v>
      </c>
      <c r="Y6" s="101" t="s">
        <v>170</v>
      </c>
      <c r="Z6" s="101" t="s">
        <v>171</v>
      </c>
      <c r="AA6" s="101" t="s">
        <v>50</v>
      </c>
      <c r="AB6" s="101" t="s">
        <v>172</v>
      </c>
      <c r="AC6" s="102" t="s">
        <v>173</v>
      </c>
    </row>
    <row r="7" spans="1:29" ht="25.5" customHeight="1" x14ac:dyDescent="0.35">
      <c r="A7" s="392"/>
      <c r="B7" s="393"/>
      <c r="C7" s="99" t="str">
        <f>IF(B7="","",IF(NOT(ISNUMBER(B7)),"DATA_PC invalida",IF(NOT(ISNUMBER(parametros!$C$2)),"Fora dos ciclos",IF(OR(B7&lt;parametros!$C$2,(YEAR(B7)-YEAR(parametros!$C$2))*12+MONTH(B7)-MONTH(parametros!$C$2)&gt;59),"Fora dos ciclos","C"&amp;INT(((YEAR(B7)-YEAR(parametros!$C$2))*12+MONTH(B7)-MONTH(parametros!$C$2))/12)))))</f>
        <v/>
      </c>
      <c r="D7" s="394"/>
      <c r="E7" s="78" t="str">
        <f>IF(C7="","",IFERROR(VLOOKUP(C7,parametros!$A$11:$E$15,5,0),""))</f>
        <v/>
      </c>
      <c r="F7" s="79" t="str">
        <f t="shared" si="0"/>
        <v/>
      </c>
      <c r="G7" s="395"/>
      <c r="H7" s="91">
        <f t="shared" si="1"/>
        <v>0</v>
      </c>
      <c r="I7" s="91" t="str">
        <f t="shared" si="2"/>
        <v/>
      </c>
      <c r="J7" s="91" t="str">
        <f t="shared" si="3"/>
        <v/>
      </c>
      <c r="K7" s="92" t="str">
        <f>IF(AND(A7="",B7="",D7="",G7=""),"",IF(AND(A7&lt;&gt;"",COUNTIF($A$2:$A$5001,A7)&gt;1),"NUMERO_PC duplicado",IF(B7="","DATA_PC vazia",IF(NOT(ISNUMBER(B7)),"DATA_PC invalida",IF(OR(C7="",C7="Fora dos ciclos"),"CICLO_PC nao identificado",IF(OR(D7="",D7=0),"VALOR_PC vazio ou zero",IF(AND(G7&lt;&gt;"Sim",G7&lt;&gt;"Nao",G7&lt;&gt;""),"PC_PAGO_A_CONTRATADA invalido",IF(AND(C7&lt;&gt;"C0",IFERROR(INDEX(parametros!$A$2:$A$6,MATCH(C7,parametros!$B$2:$B$6,0)),"")="Sim",IFERROR(INDEX(parametros!$H$2:$H$6,MATCH(C7,parametros!$B$2:$B$6,0)),"")=""),"INICIO_EFEITO ausente: PC "&amp;A7&amp;" - "&amp;C7,IF(L7="","EFEITO_PC nao calculado: PC "&amp;A7&amp;" - "&amp;C7,"OK")))))))))</f>
        <v/>
      </c>
      <c r="L7" s="347" t="str">
        <f>IF(AND(A7="",B7="",D7="",G7=""),"",IF(OR(B7="",NOT(ISNUMBER(B7)),C7="",C7="Fora dos ciclos"),"",IF(C7="C0","Nao",IF(IFERROR(INDEX(parametros!$A$2:$A$6,MATCH(C7,parametros!$B$2:$B$6,0)),"")&lt;&gt;"Sim","Nao",IF(IFERROR(INDEX(parametros!$H$2:$H$6,MATCH(C7,parametros!$B$2:$B$6,0)),"")="","",IF(B7&gt;=IFERROR(INDEX(parametros!$H$2:$H$6,MATCH(C7,parametros!$B$2:$B$6,0)),""),"Sim","Nao"))))))</f>
        <v/>
      </c>
      <c r="M7" s="350" t="s">
        <v>29</v>
      </c>
      <c r="N7" s="351">
        <f>COUNTIF($C$2:$C$5001,M7)</f>
        <v>0</v>
      </c>
      <c r="O7" s="352">
        <f>SUMIF($C$2:$C$5001,M7,$D$2:$D$5001)</f>
        <v>0</v>
      </c>
      <c r="P7" s="352">
        <f>SUMIF($C$2:$C$5001,M7,$F$2:$F$5001)</f>
        <v>0</v>
      </c>
      <c r="Q7" s="399">
        <f>SUMIF($C$2:$C$5001,M7,$H$2:$H$5001)</f>
        <v>0</v>
      </c>
      <c r="R7" s="400">
        <f>SUMIF($C$2:$C$5001,M7,$I$2:$I$5001)</f>
        <v>0</v>
      </c>
      <c r="S7" s="401">
        <f>SUMIF($C$2:$C$5001,M7,$J$2:$J$5001)</f>
        <v>0</v>
      </c>
      <c r="T7" s="351">
        <f>COUNTIFS($C$2:$C$5001,M7,$K$2:$K$5001,"&lt;&gt;OK",$K$2:$K$5001,"&lt;&gt;")</f>
        <v>0</v>
      </c>
      <c r="U7" s="349" t="str">
        <f t="shared" si="4"/>
        <v/>
      </c>
      <c r="V7" s="212" t="s">
        <v>50</v>
      </c>
      <c r="W7" s="100" t="s">
        <v>168</v>
      </c>
      <c r="X7" s="100" t="s">
        <v>169</v>
      </c>
      <c r="Y7" s="101" t="s">
        <v>170</v>
      </c>
      <c r="Z7" s="101" t="s">
        <v>171</v>
      </c>
      <c r="AA7" s="101" t="s">
        <v>50</v>
      </c>
      <c r="AB7" s="101" t="s">
        <v>172</v>
      </c>
      <c r="AC7" s="102" t="s">
        <v>173</v>
      </c>
    </row>
    <row r="8" spans="1:29" ht="25.5" customHeight="1" thickBot="1" x14ac:dyDescent="0.4">
      <c r="A8" s="392"/>
      <c r="B8" s="393"/>
      <c r="C8" s="99" t="str">
        <f>IF(B8="","",IF(NOT(ISNUMBER(B8)),"DATA_PC invalida",IF(NOT(ISNUMBER(parametros!$C$2)),"Fora dos ciclos",IF(OR(B8&lt;parametros!$C$2,(YEAR(B8)-YEAR(parametros!$C$2))*12+MONTH(B8)-MONTH(parametros!$C$2)&gt;59),"Fora dos ciclos","C"&amp;INT(((YEAR(B8)-YEAR(parametros!$C$2))*12+MONTH(B8)-MONTH(parametros!$C$2))/12)))))</f>
        <v/>
      </c>
      <c r="D8" s="394"/>
      <c r="E8" s="78" t="str">
        <f>IF(C8="","",IFERROR(VLOOKUP(C8,parametros!$A$11:$E$15,5,0),""))</f>
        <v/>
      </c>
      <c r="F8" s="79" t="str">
        <f t="shared" si="0"/>
        <v/>
      </c>
      <c r="G8" s="395"/>
      <c r="H8" s="91">
        <f t="shared" si="1"/>
        <v>0</v>
      </c>
      <c r="I8" s="91" t="str">
        <f t="shared" si="2"/>
        <v/>
      </c>
      <c r="J8" s="91" t="str">
        <f t="shared" si="3"/>
        <v/>
      </c>
      <c r="K8" s="92" t="str">
        <f>IF(AND(A8="",B8="",D8="",G8=""),"",IF(AND(A8&lt;&gt;"",COUNTIF($A$2:$A$5001,A8)&gt;1),"NUMERO_PC duplicado",IF(B8="","DATA_PC vazia",IF(NOT(ISNUMBER(B8)),"DATA_PC invalida",IF(OR(C8="",C8="Fora dos ciclos"),"CICLO_PC nao identificado",IF(OR(D8="",D8=0),"VALOR_PC vazio ou zero",IF(AND(G8&lt;&gt;"Sim",G8&lt;&gt;"Nao",G8&lt;&gt;""),"PC_PAGO_A_CONTRATADA invalido",IF(AND(C8&lt;&gt;"C0",IFERROR(INDEX(parametros!$A$2:$A$6,MATCH(C8,parametros!$B$2:$B$6,0)),"")="Sim",IFERROR(INDEX(parametros!$H$2:$H$6,MATCH(C8,parametros!$B$2:$B$6,0)),"")=""),"INICIO_EFEITO ausente: PC "&amp;A8&amp;" - "&amp;C8,IF(L8="","EFEITO_PC nao calculado: PC "&amp;A8&amp;" - "&amp;C8,"OK")))))))))</f>
        <v/>
      </c>
      <c r="L8" s="347" t="str">
        <f>IF(AND(A8="",B8="",D8="",G8=""),"",IF(OR(B8="",NOT(ISNUMBER(B8)),C8="",C8="Fora dos ciclos"),"",IF(C8="C0","Nao",IF(IFERROR(INDEX(parametros!$A$2:$A$6,MATCH(C8,parametros!$B$2:$B$6,0)),"")&lt;&gt;"Sim","Nao",IF(IFERROR(INDEX(parametros!$H$2:$H$6,MATCH(C8,parametros!$B$2:$B$6,0)),"")="","",IF(B8&gt;=IFERROR(INDEX(parametros!$H$2:$H$6,MATCH(C8,parametros!$B$2:$B$6,0)),""),"Sim","Nao"))))))</f>
        <v/>
      </c>
      <c r="M8" s="372" t="s">
        <v>176</v>
      </c>
      <c r="N8" s="373">
        <f>COUNTIF($A$2:$A$5001,"&lt;&gt;")-SUM(N3:N7)</f>
        <v>0</v>
      </c>
      <c r="O8" s="374">
        <f>SUM($D$2:$D$5001)-SUM(O3:O7)</f>
        <v>0</v>
      </c>
      <c r="P8" s="374">
        <f>SUM($F$2:$F$5001)-SUM(P3:P7)</f>
        <v>0</v>
      </c>
      <c r="Q8" s="402">
        <f>SUM($H$2:$H$5001)-SUM(Q3:Q7)</f>
        <v>0</v>
      </c>
      <c r="R8" s="403">
        <f>SUM($I$2:$I$5001)-SUM(R3:R7)</f>
        <v>0</v>
      </c>
      <c r="S8" s="404">
        <f>SUM($J$2:$J$5001)-SUM(S3:S7)</f>
        <v>0</v>
      </c>
      <c r="T8" s="373">
        <f>COUNTIFS($A$2:$A$5001,"&lt;&gt;",$K$2:$K$5001,"&lt;&gt;OK",$K$2:$K$5001,"&lt;&gt;")-SUM(T3:T7)</f>
        <v>0</v>
      </c>
      <c r="U8" s="349" t="str">
        <f t="shared" si="4"/>
        <v/>
      </c>
      <c r="V8" s="212" t="s">
        <v>50</v>
      </c>
      <c r="W8" s="100" t="s">
        <v>168</v>
      </c>
      <c r="X8" s="100" t="s">
        <v>169</v>
      </c>
      <c r="Y8" s="101" t="s">
        <v>170</v>
      </c>
      <c r="Z8" s="101" t="s">
        <v>171</v>
      </c>
      <c r="AA8" s="101" t="s">
        <v>50</v>
      </c>
      <c r="AB8" s="101" t="s">
        <v>172</v>
      </c>
      <c r="AC8" s="102" t="s">
        <v>173</v>
      </c>
    </row>
    <row r="9" spans="1:29" ht="25.5" customHeight="1" x14ac:dyDescent="0.35">
      <c r="A9" s="392"/>
      <c r="B9" s="393"/>
      <c r="C9" s="99" t="str">
        <f>IF(B9="","",IF(NOT(ISNUMBER(B9)),"DATA_PC invalida",IF(NOT(ISNUMBER(parametros!$C$2)),"Fora dos ciclos",IF(OR(B9&lt;parametros!$C$2,(YEAR(B9)-YEAR(parametros!$C$2))*12+MONTH(B9)-MONTH(parametros!$C$2)&gt;59),"Fora dos ciclos","C"&amp;INT(((YEAR(B9)-YEAR(parametros!$C$2))*12+MONTH(B9)-MONTH(parametros!$C$2))/12)))))</f>
        <v/>
      </c>
      <c r="D9" s="394"/>
      <c r="E9" s="78" t="str">
        <f>IF(C9="","",IFERROR(VLOOKUP(C9,parametros!$A$11:$E$15,5,0),""))</f>
        <v/>
      </c>
      <c r="F9" s="79" t="str">
        <f t="shared" si="0"/>
        <v/>
      </c>
      <c r="G9" s="395"/>
      <c r="H9" s="91">
        <f t="shared" si="1"/>
        <v>0</v>
      </c>
      <c r="I9" s="91" t="str">
        <f t="shared" si="2"/>
        <v/>
      </c>
      <c r="J9" s="91" t="str">
        <f t="shared" si="3"/>
        <v/>
      </c>
      <c r="K9" s="92" t="str">
        <f>IF(AND(A9="",B9="",D9="",G9=""),"",IF(AND(A9&lt;&gt;"",COUNTIF($A$2:$A$5001,A9)&gt;1),"NUMERO_PC duplicado",IF(B9="","DATA_PC vazia",IF(NOT(ISNUMBER(B9)),"DATA_PC invalida",IF(OR(C9="",C9="Fora dos ciclos"),"CICLO_PC nao identificado",IF(OR(D9="",D9=0),"VALOR_PC vazio ou zero",IF(AND(G9&lt;&gt;"Sim",G9&lt;&gt;"Nao",G9&lt;&gt;""),"PC_PAGO_A_CONTRATADA invalido",IF(AND(C9&lt;&gt;"C0",IFERROR(INDEX(parametros!$A$2:$A$6,MATCH(C9,parametros!$B$2:$B$6,0)),"")="Sim",IFERROR(INDEX(parametros!$H$2:$H$6,MATCH(C9,parametros!$B$2:$B$6,0)),"")=""),"INICIO_EFEITO ausente: PC "&amp;A9&amp;" - "&amp;C9,IF(L9="","EFEITO_PC nao calculado: PC "&amp;A9&amp;" - "&amp;C9,"OK")))))))))</f>
        <v/>
      </c>
      <c r="L9" s="347" t="str">
        <f>IF(AND(A9="",B9="",D9="",G9=""),"",IF(OR(B9="",NOT(ISNUMBER(B9)),C9="",C9="Fora dos ciclos"),"",IF(C9="C0","Nao",IF(IFERROR(INDEX(parametros!$A$2:$A$6,MATCH(C9,parametros!$B$2:$B$6,0)),"")&lt;&gt;"Sim","Nao",IF(IFERROR(INDEX(parametros!$H$2:$H$6,MATCH(C9,parametros!$B$2:$B$6,0)),"")="","",IF(B9&gt;=IFERROR(INDEX(parametros!$H$2:$H$6,MATCH(C9,parametros!$B$2:$B$6,0)),""),"Sim","Nao"))))))</f>
        <v/>
      </c>
      <c r="M9" s="375" t="s">
        <v>30</v>
      </c>
      <c r="N9" s="376">
        <f t="shared" ref="N9:T9" si="5">SUM(N3:N8)</f>
        <v>3</v>
      </c>
      <c r="O9" s="377">
        <f t="shared" si="5"/>
        <v>421750</v>
      </c>
      <c r="P9" s="377">
        <f t="shared" si="5"/>
        <v>443343.6</v>
      </c>
      <c r="Q9" s="377">
        <f t="shared" si="5"/>
        <v>14156.8</v>
      </c>
      <c r="R9" s="377">
        <f t="shared" si="5"/>
        <v>152686.79999999999</v>
      </c>
      <c r="S9" s="382">
        <f t="shared" si="5"/>
        <v>7436.8</v>
      </c>
      <c r="T9" s="378">
        <f t="shared" si="5"/>
        <v>0</v>
      </c>
      <c r="U9" s="349" t="str">
        <f t="shared" si="4"/>
        <v/>
      </c>
      <c r="V9" s="212" t="s">
        <v>50</v>
      </c>
      <c r="W9" s="100" t="s">
        <v>168</v>
      </c>
      <c r="X9" s="100" t="s">
        <v>169</v>
      </c>
      <c r="Y9" s="101" t="s">
        <v>170</v>
      </c>
      <c r="Z9" s="101" t="s">
        <v>171</v>
      </c>
      <c r="AA9" s="101" t="s">
        <v>50</v>
      </c>
      <c r="AB9" s="101" t="s">
        <v>172</v>
      </c>
      <c r="AC9" s="102" t="s">
        <v>173</v>
      </c>
    </row>
    <row r="10" spans="1:29" ht="34" customHeight="1" x14ac:dyDescent="0.35">
      <c r="A10" s="392"/>
      <c r="B10" s="393"/>
      <c r="C10" s="99" t="str">
        <f>IF(B10="","",IF(NOT(ISNUMBER(B10)),"DATA_PC invalida",IF(NOT(ISNUMBER(parametros!$C$2)),"Fora dos ciclos",IF(OR(B10&lt;parametros!$C$2,(YEAR(B10)-YEAR(parametros!$C$2))*12+MONTH(B10)-MONTH(parametros!$C$2)&gt;59),"Fora dos ciclos","C"&amp;INT(((YEAR(B10)-YEAR(parametros!$C$2))*12+MONTH(B10)-MONTH(parametros!$C$2))/12)))))</f>
        <v/>
      </c>
      <c r="D10" s="394"/>
      <c r="E10" s="78" t="str">
        <f>IF(C10="","",IFERROR(VLOOKUP(C10,parametros!$A$11:$E$15,5,0),""))</f>
        <v/>
      </c>
      <c r="F10" s="79" t="str">
        <f t="shared" si="0"/>
        <v/>
      </c>
      <c r="G10" s="395"/>
      <c r="H10" s="91">
        <f t="shared" si="1"/>
        <v>0</v>
      </c>
      <c r="I10" s="91" t="str">
        <f t="shared" si="2"/>
        <v/>
      </c>
      <c r="J10" s="91" t="str">
        <f t="shared" si="3"/>
        <v/>
      </c>
      <c r="K10" s="92" t="str">
        <f>IF(AND(A10="",B10="",D10="",G10=""),"",IF(AND(A10&lt;&gt;"",COUNTIF($A$2:$A$5001,A10)&gt;1),"NUMERO_PC duplicado",IF(B10="","DATA_PC vazia",IF(NOT(ISNUMBER(B10)),"DATA_PC invalida",IF(OR(C10="",C10="Fora dos ciclos"),"CICLO_PC nao identificado",IF(OR(D10="",D10=0),"VALOR_PC vazio ou zero",IF(AND(G10&lt;&gt;"Sim",G10&lt;&gt;"Nao",G10&lt;&gt;""),"PC_PAGO_A_CONTRATADA invalido",IF(AND(C10&lt;&gt;"C0",IFERROR(INDEX(parametros!$A$2:$A$6,MATCH(C10,parametros!$B$2:$B$6,0)),"")="Sim",IFERROR(INDEX(parametros!$H$2:$H$6,MATCH(C10,parametros!$B$2:$B$6,0)),"")=""),"INICIO_EFEITO ausente: PC "&amp;A10&amp;" - "&amp;C10,IF(L10="","EFEITO_PC nao calculado: PC "&amp;A10&amp;" - "&amp;C10,"OK")))))))))</f>
        <v/>
      </c>
      <c r="L10" s="92" t="str">
        <f>IF(AND(A10="",B10="",D10="",G10=""),"",IF(OR(B10="",NOT(ISNUMBER(B10)),C10="",C10="Fora dos ciclos"),"",IF(C10="C0","Nao",IF(IFERROR(INDEX(parametros!$A$2:$A$6,MATCH(C10,parametros!$B$2:$B$6,0)),"")&lt;&gt;"Sim","Nao",IF(IFERROR(INDEX(parametros!$H$2:$H$6,MATCH(C10,parametros!$B$2:$B$6,0)),"")="","",IF(B10&gt;=IFERROR(INDEX(parametros!$H$2:$H$6,MATCH(C10,parametros!$B$2:$B$6,0)),""),"Sim","Nao"))))))</f>
        <v/>
      </c>
      <c r="M10" s="435" t="s">
        <v>177</v>
      </c>
      <c r="N10" s="425"/>
      <c r="O10" s="425"/>
      <c r="P10" s="425"/>
      <c r="Q10" s="425"/>
      <c r="R10" s="425"/>
      <c r="S10" s="425"/>
      <c r="T10" s="436"/>
      <c r="U10" s="214" t="str">
        <f t="shared" si="4"/>
        <v/>
      </c>
      <c r="V10" s="212" t="s">
        <v>50</v>
      </c>
      <c r="W10" s="100" t="s">
        <v>168</v>
      </c>
      <c r="X10" s="100" t="s">
        <v>169</v>
      </c>
      <c r="Y10" s="101" t="s">
        <v>170</v>
      </c>
      <c r="Z10" s="101" t="s">
        <v>171</v>
      </c>
      <c r="AA10" s="101" t="s">
        <v>50</v>
      </c>
      <c r="AB10" s="101" t="s">
        <v>172</v>
      </c>
      <c r="AC10" s="102" t="s">
        <v>173</v>
      </c>
    </row>
    <row r="11" spans="1:29" ht="34" customHeight="1" x14ac:dyDescent="0.35">
      <c r="A11" s="392"/>
      <c r="B11" s="393"/>
      <c r="C11" s="99" t="str">
        <f>IF(B11="","",IF(NOT(ISNUMBER(B11)),"DATA_PC invalida",IF(NOT(ISNUMBER(parametros!$C$2)),"Fora dos ciclos",IF(OR(B11&lt;parametros!$C$2,(YEAR(B11)-YEAR(parametros!$C$2))*12+MONTH(B11)-MONTH(parametros!$C$2)&gt;59),"Fora dos ciclos","C"&amp;INT(((YEAR(B11)-YEAR(parametros!$C$2))*12+MONTH(B11)-MONTH(parametros!$C$2))/12)))))</f>
        <v/>
      </c>
      <c r="D11" s="394"/>
      <c r="E11" s="78" t="str">
        <f>IF(C11="","",IFERROR(VLOOKUP(C11,parametros!$A$11:$E$15,5,0),""))</f>
        <v/>
      </c>
      <c r="F11" s="79" t="str">
        <f t="shared" si="0"/>
        <v/>
      </c>
      <c r="G11" s="395"/>
      <c r="H11" s="91">
        <f t="shared" si="1"/>
        <v>0</v>
      </c>
      <c r="I11" s="91" t="str">
        <f t="shared" si="2"/>
        <v/>
      </c>
      <c r="J11" s="91" t="str">
        <f t="shared" si="3"/>
        <v/>
      </c>
      <c r="K11" s="92" t="str">
        <f>IF(AND(A11="",B11="",D11="",G11=""),"",IF(AND(A11&lt;&gt;"",COUNTIF($A$2:$A$5001,A11)&gt;1),"NUMERO_PC duplicado",IF(B11="","DATA_PC vazia",IF(NOT(ISNUMBER(B11)),"DATA_PC invalida",IF(OR(C11="",C11="Fora dos ciclos"),"CICLO_PC nao identificado",IF(OR(D11="",D11=0),"VALOR_PC vazio ou zero",IF(AND(G11&lt;&gt;"Sim",G11&lt;&gt;"Nao",G11&lt;&gt;""),"PC_PAGO_A_CONTRATADA invalido",IF(AND(C11&lt;&gt;"C0",IFERROR(INDEX(parametros!$A$2:$A$6,MATCH(C11,parametros!$B$2:$B$6,0)),"")="Sim",IFERROR(INDEX(parametros!$H$2:$H$6,MATCH(C11,parametros!$B$2:$B$6,0)),"")=""),"INICIO_EFEITO ausente: PC "&amp;A11&amp;" - "&amp;C11,IF(L11="","EFEITO_PC nao calculado: PC "&amp;A11&amp;" - "&amp;C11,"OK")))))))))</f>
        <v/>
      </c>
      <c r="L11" s="347" t="str">
        <f>IF(AND(A11="",B11="",D11="",G11=""),"",IF(OR(B11="",NOT(ISNUMBER(B11)),C11="",C11="Fora dos ciclos"),"",IF(C11="C0","Nao",IF(IFERROR(INDEX(parametros!$A$2:$A$6,MATCH(C11,parametros!$B$2:$B$6,0)),"")&lt;&gt;"Sim","Nao",IF(IFERROR(INDEX(parametros!$H$2:$H$6,MATCH(C11,parametros!$B$2:$B$6,0)),"")="","",IF(B11&gt;=IFERROR(INDEX(parametros!$H$2:$H$6,MATCH(C11,parametros!$B$2:$B$6,0)),""),"Sim","Nao"))))))</f>
        <v/>
      </c>
      <c r="M11" s="346" t="s">
        <v>178</v>
      </c>
      <c r="N11" s="346" t="s">
        <v>179</v>
      </c>
      <c r="O11" s="346" t="s">
        <v>180</v>
      </c>
      <c r="P11" s="346" t="s">
        <v>181</v>
      </c>
      <c r="Q11" s="396" t="s">
        <v>182</v>
      </c>
      <c r="R11" s="397" t="s">
        <v>183</v>
      </c>
      <c r="S11" s="398" t="s">
        <v>184</v>
      </c>
      <c r="T11" s="346" t="s">
        <v>185</v>
      </c>
      <c r="U11" s="349" t="str">
        <f t="shared" si="4"/>
        <v/>
      </c>
      <c r="V11" s="212" t="s">
        <v>50</v>
      </c>
      <c r="W11" s="100" t="s">
        <v>168</v>
      </c>
      <c r="X11" s="100" t="s">
        <v>169</v>
      </c>
      <c r="Y11" s="101" t="s">
        <v>170</v>
      </c>
      <c r="Z11" s="101" t="s">
        <v>171</v>
      </c>
      <c r="AA11" s="101" t="s">
        <v>50</v>
      </c>
      <c r="AB11" s="101" t="s">
        <v>172</v>
      </c>
      <c r="AC11" s="102" t="s">
        <v>173</v>
      </c>
    </row>
    <row r="12" spans="1:29" ht="25.5" customHeight="1" x14ac:dyDescent="0.35">
      <c r="A12" s="392"/>
      <c r="B12" s="393"/>
      <c r="C12" s="99" t="str">
        <f>IF(B12="","",IF(NOT(ISNUMBER(B12)),"DATA_PC invalida",IF(NOT(ISNUMBER(parametros!$C$2)),"Fora dos ciclos",IF(OR(B12&lt;parametros!$C$2,(YEAR(B12)-YEAR(parametros!$C$2))*12+MONTH(B12)-MONTH(parametros!$C$2)&gt;59),"Fora dos ciclos","C"&amp;INT(((YEAR(B12)-YEAR(parametros!$C$2))*12+MONTH(B12)-MONTH(parametros!$C$2))/12)))))</f>
        <v/>
      </c>
      <c r="D12" s="394"/>
      <c r="E12" s="78" t="str">
        <f>IF(C12="","",IFERROR(VLOOKUP(C12,parametros!$A$11:$E$15,5,0),""))</f>
        <v/>
      </c>
      <c r="F12" s="79" t="str">
        <f t="shared" si="0"/>
        <v/>
      </c>
      <c r="G12" s="395"/>
      <c r="H12" s="91">
        <f t="shared" si="1"/>
        <v>0</v>
      </c>
      <c r="I12" s="91" t="str">
        <f t="shared" si="2"/>
        <v/>
      </c>
      <c r="J12" s="91" t="str">
        <f t="shared" si="3"/>
        <v/>
      </c>
      <c r="K12" s="92" t="str">
        <f>IF(AND(A12="",B12="",D12="",G12=""),"",IF(AND(A12&lt;&gt;"",COUNTIF($A$2:$A$5001,A12)&gt;1),"NUMERO_PC duplicado",IF(B12="","DATA_PC vazia",IF(NOT(ISNUMBER(B12)),"DATA_PC invalida",IF(OR(C12="",C12="Fora dos ciclos"),"CICLO_PC nao identificado",IF(OR(D12="",D12=0),"VALOR_PC vazio ou zero",IF(AND(G12&lt;&gt;"Sim",G12&lt;&gt;"Nao",G12&lt;&gt;""),"PC_PAGO_A_CONTRATADA invalido",IF(AND(C12&lt;&gt;"C0",IFERROR(INDEX(parametros!$A$2:$A$6,MATCH(C12,parametros!$B$2:$B$6,0)),"")="Sim",IFERROR(INDEX(parametros!$H$2:$H$6,MATCH(C12,parametros!$B$2:$B$6,0)),"")=""),"INICIO_EFEITO ausente: PC "&amp;A12&amp;" - "&amp;C12,IF(L12="","EFEITO_PC nao calculado: PC "&amp;A12&amp;" - "&amp;C12,"OK")))))))))</f>
        <v/>
      </c>
      <c r="L12" s="347" t="str">
        <f>IF(AND(A12="",B12="",D12="",G12=""),"",IF(OR(B12="",NOT(ISNUMBER(B12)),C12="",C12="Fora dos ciclos"),"",IF(C12="C0","Nao",IF(IFERROR(INDEX(parametros!$A$2:$A$6,MATCH(C12,parametros!$B$2:$B$6,0)),"")&lt;&gt;"Sim","Nao",IF(IFERROR(INDEX(parametros!$H$2:$H$6,MATCH(C12,parametros!$B$2:$B$6,0)),"")="","",IF(B12&gt;=IFERROR(INDEX(parametros!$H$2:$H$6,MATCH(C12,parametros!$B$2:$B$6,0)),""),"Sim","Nao"))))))</f>
        <v/>
      </c>
      <c r="M12" s="353" t="s">
        <v>26</v>
      </c>
      <c r="N12" s="353">
        <f>IF(MEMORIA_RESULTADOS!$T$31="",COUNTIFS($C$2:$C$5001,$M12,$G$2:$G$5001,"Sim"),COUNTIFS($C$2:$C$5001,$M12,$G$2:$G$5001,"Sim",$B$2:$B$5001,"&lt;="&amp;MEMORIA_RESULTADOS!$T$31))</f>
        <v>0</v>
      </c>
      <c r="O12" s="354">
        <f>IF(MEMORIA_RESULTADOS!$T$31="",SUMIFS($D$2:$D$5001,$C$2:$C$5001,$M12,$G$2:$G$5001,"Sim"),SUMIFS($D$2:$D$5001,$C$2:$C$5001,$M12,$G$2:$G$5001,"Sim",$B$2:$B$5001,"&lt;="&amp;MEMORIA_RESULTADOS!$T$31))</f>
        <v>0</v>
      </c>
      <c r="P12" s="354">
        <f>IF(MEMORIA_RESULTADOS!$T$31="",SUMIFS($U$2:$U$5001,$C$2:$C$5001,$M12,$G$2:$G$5001,"Sim"),SUMIFS($U$2:$U$5001,$C$2:$C$5001,$M12,$G$2:$G$5001,"Sim",$B$2:$B$5001,"&lt;="&amp;MEMORIA_RESULTADOS!$T$31))</f>
        <v>0</v>
      </c>
      <c r="Q12" s="405">
        <f>IF(MEMORIA_RESULTADOS!$T$31="",SUMIFS($H$2:$H$5001,$C$2:$C$5001,$M12,$G$2:$G$5001,"Sim"),SUMIFS($H$2:$H$5001,$C$2:$C$5001,$M12,$G$2:$G$5001,"Sim",$B$2:$B$5001,"&lt;="&amp;MEMORIA_RESULTADOS!$T$31))</f>
        <v>0</v>
      </c>
      <c r="R12" s="406">
        <f>IF(MEMORIA_RESULTADOS!$T$31="",SUMIFS($I$2:$I$5001,$C$2:$C$5001,$M12),SUMIFS($I$2:$I$5001,$C$2:$C$5001,$M12,$B$2:$B$5001,"&lt;="&amp;MEMORIA_RESULTADOS!$T$31))</f>
        <v>0</v>
      </c>
      <c r="S12" s="407">
        <f>IF(MEMORIA_RESULTADOS!$T$31="",SUMIFS($J$2:$J$5001,$C$2:$C$5001,$M12),SUMIFS($J$2:$J$5001,$C$2:$C$5001,$M12,$B$2:$B$5001,"&lt;="&amp;MEMORIA_RESULTADOS!$T$31))</f>
        <v>0</v>
      </c>
      <c r="T12" s="354">
        <f>IF(MEMORIA_RESULTADOS!$T$31="",0,SUMIFS($D$2:$D$5001,$C$2:$C$5001,$M12,$B$2:$B$5001,"&gt;"&amp;MEMORIA_RESULTADOS!$T$31))</f>
        <v>0</v>
      </c>
      <c r="U12" s="349" t="str">
        <f t="shared" si="4"/>
        <v/>
      </c>
      <c r="V12" s="212" t="s">
        <v>50</v>
      </c>
      <c r="W12" s="100" t="s">
        <v>168</v>
      </c>
      <c r="X12" s="100" t="s">
        <v>169</v>
      </c>
      <c r="Y12" s="101" t="s">
        <v>170</v>
      </c>
      <c r="Z12" s="101" t="s">
        <v>171</v>
      </c>
      <c r="AA12" s="101" t="s">
        <v>50</v>
      </c>
      <c r="AB12" s="101" t="s">
        <v>172</v>
      </c>
      <c r="AC12" s="102" t="s">
        <v>173</v>
      </c>
    </row>
    <row r="13" spans="1:29" ht="25.5" customHeight="1" x14ac:dyDescent="0.35">
      <c r="A13" s="392"/>
      <c r="B13" s="393"/>
      <c r="C13" s="99" t="str">
        <f>IF(B13="","",IF(NOT(ISNUMBER(B13)),"DATA_PC invalida",IF(NOT(ISNUMBER(parametros!$C$2)),"Fora dos ciclos",IF(OR(B13&lt;parametros!$C$2,(YEAR(B13)-YEAR(parametros!$C$2))*12+MONTH(B13)-MONTH(parametros!$C$2)&gt;59),"Fora dos ciclos","C"&amp;INT(((YEAR(B13)-YEAR(parametros!$C$2))*12+MONTH(B13)-MONTH(parametros!$C$2))/12)))))</f>
        <v/>
      </c>
      <c r="D13" s="394"/>
      <c r="E13" s="78" t="str">
        <f>IF(C13="","",IFERROR(VLOOKUP(C13,parametros!$A$11:$E$15,5,0),""))</f>
        <v/>
      </c>
      <c r="F13" s="79" t="str">
        <f t="shared" si="0"/>
        <v/>
      </c>
      <c r="G13" s="395"/>
      <c r="H13" s="91">
        <f t="shared" si="1"/>
        <v>0</v>
      </c>
      <c r="I13" s="91" t="str">
        <f t="shared" si="2"/>
        <v/>
      </c>
      <c r="J13" s="91" t="str">
        <f t="shared" si="3"/>
        <v/>
      </c>
      <c r="K13" s="92" t="str">
        <f>IF(AND(A13="",B13="",D13="",G13=""),"",IF(AND(A13&lt;&gt;"",COUNTIF($A$2:$A$5001,A13)&gt;1),"NUMERO_PC duplicado",IF(B13="","DATA_PC vazia",IF(NOT(ISNUMBER(B13)),"DATA_PC invalida",IF(OR(C13="",C13="Fora dos ciclos"),"CICLO_PC nao identificado",IF(OR(D13="",D13=0),"VALOR_PC vazio ou zero",IF(AND(G13&lt;&gt;"Sim",G13&lt;&gt;"Nao",G13&lt;&gt;""),"PC_PAGO_A_CONTRATADA invalido",IF(AND(C13&lt;&gt;"C0",IFERROR(INDEX(parametros!$A$2:$A$6,MATCH(C13,parametros!$B$2:$B$6,0)),"")="Sim",IFERROR(INDEX(parametros!$H$2:$H$6,MATCH(C13,parametros!$B$2:$B$6,0)),"")=""),"INICIO_EFEITO ausente: PC "&amp;A13&amp;" - "&amp;C13,IF(L13="","EFEITO_PC nao calculado: PC "&amp;A13&amp;" - "&amp;C13,"OK")))))))))</f>
        <v/>
      </c>
      <c r="L13" s="347" t="str">
        <f>IF(AND(A13="",B13="",D13="",G13=""),"",IF(OR(B13="",NOT(ISNUMBER(B13)),C13="",C13="Fora dos ciclos"),"",IF(C13="C0","Nao",IF(IFERROR(INDEX(parametros!$A$2:$A$6,MATCH(C13,parametros!$B$2:$B$6,0)),"")&lt;&gt;"Sim","Nao",IF(IFERROR(INDEX(parametros!$H$2:$H$6,MATCH(C13,parametros!$B$2:$B$6,0)),"")="","",IF(B13&gt;=IFERROR(INDEX(parametros!$H$2:$H$6,MATCH(C13,parametros!$B$2:$B$6,0)),""),"Sim","Nao"))))))</f>
        <v/>
      </c>
      <c r="M13" s="353" t="s">
        <v>3</v>
      </c>
      <c r="N13" s="353">
        <f>IF(MEMORIA_RESULTADOS!$T$31="",COUNTIFS($C$2:$C$5001,$M13,$G$2:$G$5001,"Sim"),COUNTIFS($C$2:$C$5001,$M13,$G$2:$G$5001,"Sim",$B$2:$B$5001,"&lt;="&amp;MEMORIA_RESULTADOS!$T$31))</f>
        <v>2</v>
      </c>
      <c r="O13" s="354">
        <f>IF(MEMORIA_RESULTADOS!$T$31="",SUMIFS($D$2:$D$5001,$C$2:$C$5001,$M13,$G$2:$G$5001,"Sim"),SUMIFS($D$2:$D$5001,$C$2:$C$5001,$M13,$G$2:$G$5001,"Sim",$B$2:$B$5001,"&lt;="&amp;MEMORIA_RESULTADOS!$T$31))</f>
        <v>276500</v>
      </c>
      <c r="P13" s="354">
        <f>IF(MEMORIA_RESULTADOS!$T$31="",SUMIFS($U$2:$U$5001,$C$2:$C$5001,$M13,$G$2:$G$5001,"Sim"),SUMIFS($U$2:$U$5001,$C$2:$C$5001,$M13,$G$2:$G$5001,"Sim",$B$2:$B$5001,"&lt;="&amp;MEMORIA_RESULTADOS!$T$31))</f>
        <v>290656.8</v>
      </c>
      <c r="Q13" s="405">
        <f>IF(MEMORIA_RESULTADOS!$T$31="",SUMIFS($H$2:$H$5001,$C$2:$C$5001,$M13,$G$2:$G$5001,"Sim"),SUMIFS($H$2:$H$5001,$C$2:$C$5001,$M13,$G$2:$G$5001,"Sim",$B$2:$B$5001,"&lt;="&amp;MEMORIA_RESULTADOS!$T$31))</f>
        <v>14156.8</v>
      </c>
      <c r="R13" s="406">
        <f>IF(MEMORIA_RESULTADOS!$T$31="",SUMIFS($I$2:$I$5001,$C$2:$C$5001,$M13),SUMIFS($I$2:$I$5001,$C$2:$C$5001,$M13,$B$2:$B$5001,"&lt;="&amp;MEMORIA_RESULTADOS!$T$31))</f>
        <v>152686.79999999999</v>
      </c>
      <c r="S13" s="407">
        <f>IF(MEMORIA_RESULTADOS!$T$31="",SUMIFS($J$2:$J$5001,$C$2:$C$5001,$M13),SUMIFS($J$2:$J$5001,$C$2:$C$5001,$M13,$B$2:$B$5001,"&lt;="&amp;MEMORIA_RESULTADOS!$T$31))</f>
        <v>7436.8</v>
      </c>
      <c r="T13" s="354">
        <f>IF(MEMORIA_RESULTADOS!$T$31="",0,SUMIFS($D$2:$D$5001,$C$2:$C$5001,$M13,$B$2:$B$5001,"&gt;"&amp;MEMORIA_RESULTADOS!$T$31))</f>
        <v>0</v>
      </c>
      <c r="U13" s="349" t="str">
        <f t="shared" si="4"/>
        <v/>
      </c>
      <c r="V13" s="212" t="s">
        <v>50</v>
      </c>
      <c r="W13" s="100" t="s">
        <v>168</v>
      </c>
      <c r="X13" s="100" t="s">
        <v>169</v>
      </c>
      <c r="Y13" s="101" t="s">
        <v>170</v>
      </c>
      <c r="Z13" s="101" t="s">
        <v>171</v>
      </c>
      <c r="AA13" s="101" t="s">
        <v>50</v>
      </c>
      <c r="AB13" s="101" t="s">
        <v>172</v>
      </c>
      <c r="AC13" s="102" t="s">
        <v>173</v>
      </c>
    </row>
    <row r="14" spans="1:29" ht="25.5" customHeight="1" x14ac:dyDescent="0.35">
      <c r="A14" s="392"/>
      <c r="B14" s="393"/>
      <c r="C14" s="99" t="str">
        <f>IF(B14="","",IF(NOT(ISNUMBER(B14)),"DATA_PC invalida",IF(NOT(ISNUMBER(parametros!$C$2)),"Fora dos ciclos",IF(OR(B14&lt;parametros!$C$2,(YEAR(B14)-YEAR(parametros!$C$2))*12+MONTH(B14)-MONTH(parametros!$C$2)&gt;59),"Fora dos ciclos","C"&amp;INT(((YEAR(B14)-YEAR(parametros!$C$2))*12+MONTH(B14)-MONTH(parametros!$C$2))/12)))))</f>
        <v/>
      </c>
      <c r="D14" s="394"/>
      <c r="E14" s="78" t="str">
        <f>IF(C14="","",IFERROR(VLOOKUP(C14,parametros!$A$11:$E$15,5,0),""))</f>
        <v/>
      </c>
      <c r="F14" s="79" t="str">
        <f t="shared" si="0"/>
        <v/>
      </c>
      <c r="G14" s="395"/>
      <c r="H14" s="91">
        <f t="shared" si="1"/>
        <v>0</v>
      </c>
      <c r="I14" s="91" t="str">
        <f t="shared" si="2"/>
        <v/>
      </c>
      <c r="J14" s="91" t="str">
        <f t="shared" si="3"/>
        <v/>
      </c>
      <c r="K14" s="92" t="str">
        <f>IF(AND(A14="",B14="",D14="",G14=""),"",IF(AND(A14&lt;&gt;"",COUNTIF($A$2:$A$5001,A14)&gt;1),"NUMERO_PC duplicado",IF(B14="","DATA_PC vazia",IF(NOT(ISNUMBER(B14)),"DATA_PC invalida",IF(OR(C14="",C14="Fora dos ciclos"),"CICLO_PC nao identificado",IF(OR(D14="",D14=0),"VALOR_PC vazio ou zero",IF(AND(G14&lt;&gt;"Sim",G14&lt;&gt;"Nao",G14&lt;&gt;""),"PC_PAGO_A_CONTRATADA invalido",IF(AND(C14&lt;&gt;"C0",IFERROR(INDEX(parametros!$A$2:$A$6,MATCH(C14,parametros!$B$2:$B$6,0)),"")="Sim",IFERROR(INDEX(parametros!$H$2:$H$6,MATCH(C14,parametros!$B$2:$B$6,0)),"")=""),"INICIO_EFEITO ausente: PC "&amp;A14&amp;" - "&amp;C14,IF(L14="","EFEITO_PC nao calculado: PC "&amp;A14&amp;" - "&amp;C14,"OK")))))))))</f>
        <v/>
      </c>
      <c r="L14" s="347" t="str">
        <f>IF(AND(A14="",B14="",D14="",G14=""),"",IF(OR(B14="",NOT(ISNUMBER(B14)),C14="",C14="Fora dos ciclos"),"",IF(C14="C0","Nao",IF(IFERROR(INDEX(parametros!$A$2:$A$6,MATCH(C14,parametros!$B$2:$B$6,0)),"")&lt;&gt;"Sim","Nao",IF(IFERROR(INDEX(parametros!$H$2:$H$6,MATCH(C14,parametros!$B$2:$B$6,0)),"")="","",IF(B14&gt;=IFERROR(INDEX(parametros!$H$2:$H$6,MATCH(C14,parametros!$B$2:$B$6,0)),""),"Sim","Nao"))))))</f>
        <v/>
      </c>
      <c r="M14" s="353" t="s">
        <v>27</v>
      </c>
      <c r="N14" s="353">
        <f>IF(MEMORIA_RESULTADOS!$T$31="",COUNTIFS($C$2:$C$5001,$M14,$G$2:$G$5001,"Sim"),COUNTIFS($C$2:$C$5001,$M14,$G$2:$G$5001,"Sim",$B$2:$B$5001,"&lt;="&amp;MEMORIA_RESULTADOS!$T$31))</f>
        <v>0</v>
      </c>
      <c r="O14" s="354">
        <f>IF(MEMORIA_RESULTADOS!$T$31="",SUMIFS($D$2:$D$5001,$C$2:$C$5001,$M14,$G$2:$G$5001,"Sim"),SUMIFS($D$2:$D$5001,$C$2:$C$5001,$M14,$G$2:$G$5001,"Sim",$B$2:$B$5001,"&lt;="&amp;MEMORIA_RESULTADOS!$T$31))</f>
        <v>0</v>
      </c>
      <c r="P14" s="354">
        <f>IF(MEMORIA_RESULTADOS!$T$31="",SUMIFS($U$2:$U$5001,$C$2:$C$5001,$M14,$G$2:$G$5001,"Sim"),SUMIFS($U$2:$U$5001,$C$2:$C$5001,$M14,$G$2:$G$5001,"Sim",$B$2:$B$5001,"&lt;="&amp;MEMORIA_RESULTADOS!$T$31))</f>
        <v>0</v>
      </c>
      <c r="Q14" s="405">
        <f>IF(MEMORIA_RESULTADOS!$T$31="",SUMIFS($H$2:$H$5001,$C$2:$C$5001,$M14,$G$2:$G$5001,"Sim"),SUMIFS($H$2:$H$5001,$C$2:$C$5001,$M14,$G$2:$G$5001,"Sim",$B$2:$B$5001,"&lt;="&amp;MEMORIA_RESULTADOS!$T$31))</f>
        <v>0</v>
      </c>
      <c r="R14" s="406">
        <f>IF(MEMORIA_RESULTADOS!$T$31="",SUMIFS($I$2:$I$5001,$C$2:$C$5001,$M14),SUMIFS($I$2:$I$5001,$C$2:$C$5001,$M14,$B$2:$B$5001,"&lt;="&amp;MEMORIA_RESULTADOS!$T$31))</f>
        <v>0</v>
      </c>
      <c r="S14" s="407">
        <f>IF(MEMORIA_RESULTADOS!$T$31="",SUMIFS($J$2:$J$5001,$C$2:$C$5001,$M14),SUMIFS($J$2:$J$5001,$C$2:$C$5001,$M14,$B$2:$B$5001,"&lt;="&amp;MEMORIA_RESULTADOS!$T$31))</f>
        <v>0</v>
      </c>
      <c r="T14" s="354">
        <f>IF(MEMORIA_RESULTADOS!$T$31="",0,SUMIFS($D$2:$D$5001,$C$2:$C$5001,$M14,$B$2:$B$5001,"&gt;"&amp;MEMORIA_RESULTADOS!$T$31))</f>
        <v>0</v>
      </c>
      <c r="U14" s="349" t="str">
        <f t="shared" si="4"/>
        <v/>
      </c>
      <c r="V14" s="212" t="s">
        <v>50</v>
      </c>
      <c r="W14" s="100" t="s">
        <v>168</v>
      </c>
      <c r="X14" s="100" t="s">
        <v>169</v>
      </c>
      <c r="Y14" s="101" t="s">
        <v>170</v>
      </c>
      <c r="Z14" s="101" t="s">
        <v>171</v>
      </c>
      <c r="AA14" s="101" t="s">
        <v>50</v>
      </c>
      <c r="AB14" s="101" t="s">
        <v>172</v>
      </c>
      <c r="AC14" s="102" t="s">
        <v>173</v>
      </c>
    </row>
    <row r="15" spans="1:29" ht="25.5" customHeight="1" x14ac:dyDescent="0.35">
      <c r="A15" s="392"/>
      <c r="B15" s="393"/>
      <c r="C15" s="99" t="str">
        <f>IF(B15="","",IF(NOT(ISNUMBER(B15)),"DATA_PC invalida",IF(NOT(ISNUMBER(parametros!$C$2)),"Fora dos ciclos",IF(OR(B15&lt;parametros!$C$2,(YEAR(B15)-YEAR(parametros!$C$2))*12+MONTH(B15)-MONTH(parametros!$C$2)&gt;59),"Fora dos ciclos","C"&amp;INT(((YEAR(B15)-YEAR(parametros!$C$2))*12+MONTH(B15)-MONTH(parametros!$C$2))/12)))))</f>
        <v/>
      </c>
      <c r="D15" s="394"/>
      <c r="E15" s="78" t="str">
        <f>IF(C15="","",IFERROR(VLOOKUP(C15,parametros!$A$11:$E$15,5,0),""))</f>
        <v/>
      </c>
      <c r="F15" s="79" t="str">
        <f t="shared" si="0"/>
        <v/>
      </c>
      <c r="G15" s="395"/>
      <c r="H15" s="91">
        <f t="shared" si="1"/>
        <v>0</v>
      </c>
      <c r="I15" s="91" t="str">
        <f t="shared" si="2"/>
        <v/>
      </c>
      <c r="J15" s="91" t="str">
        <f t="shared" si="3"/>
        <v/>
      </c>
      <c r="K15" s="92" t="str">
        <f>IF(AND(A15="",B15="",D15="",G15=""),"",IF(AND(A15&lt;&gt;"",COUNTIF($A$2:$A$5001,A15)&gt;1),"NUMERO_PC duplicado",IF(B15="","DATA_PC vazia",IF(NOT(ISNUMBER(B15)),"DATA_PC invalida",IF(OR(C15="",C15="Fora dos ciclos"),"CICLO_PC nao identificado",IF(OR(D15="",D15=0),"VALOR_PC vazio ou zero",IF(AND(G15&lt;&gt;"Sim",G15&lt;&gt;"Nao",G15&lt;&gt;""),"PC_PAGO_A_CONTRATADA invalido",IF(AND(C15&lt;&gt;"C0",IFERROR(INDEX(parametros!$A$2:$A$6,MATCH(C15,parametros!$B$2:$B$6,0)),"")="Sim",IFERROR(INDEX(parametros!$H$2:$H$6,MATCH(C15,parametros!$B$2:$B$6,0)),"")=""),"INICIO_EFEITO ausente: PC "&amp;A15&amp;" - "&amp;C15,IF(L15="","EFEITO_PC nao calculado: PC "&amp;A15&amp;" - "&amp;C15,"OK")))))))))</f>
        <v/>
      </c>
      <c r="L15" s="347" t="str">
        <f>IF(AND(A15="",B15="",D15="",G15=""),"",IF(OR(B15="",NOT(ISNUMBER(B15)),C15="",C15="Fora dos ciclos"),"",IF(C15="C0","Nao",IF(IFERROR(INDEX(parametros!$A$2:$A$6,MATCH(C15,parametros!$B$2:$B$6,0)),"")&lt;&gt;"Sim","Nao",IF(IFERROR(INDEX(parametros!$H$2:$H$6,MATCH(C15,parametros!$B$2:$B$6,0)),"")="","",IF(B15&gt;=IFERROR(INDEX(parametros!$H$2:$H$6,MATCH(C15,parametros!$B$2:$B$6,0)),""),"Sim","Nao"))))))</f>
        <v/>
      </c>
      <c r="M15" s="353" t="s">
        <v>28</v>
      </c>
      <c r="N15" s="353">
        <f>IF(MEMORIA_RESULTADOS!$T$31="",COUNTIFS($C$2:$C$5001,$M15,$G$2:$G$5001,"Sim"),COUNTIFS($C$2:$C$5001,$M15,$G$2:$G$5001,"Sim",$B$2:$B$5001,"&lt;="&amp;MEMORIA_RESULTADOS!$T$31))</f>
        <v>0</v>
      </c>
      <c r="O15" s="354">
        <f>IF(MEMORIA_RESULTADOS!$T$31="",SUMIFS($D$2:$D$5001,$C$2:$C$5001,$M15,$G$2:$G$5001,"Sim"),SUMIFS($D$2:$D$5001,$C$2:$C$5001,$M15,$G$2:$G$5001,"Sim",$B$2:$B$5001,"&lt;="&amp;MEMORIA_RESULTADOS!$T$31))</f>
        <v>0</v>
      </c>
      <c r="P15" s="354">
        <f>IF(MEMORIA_RESULTADOS!$T$31="",SUMIFS($U$2:$U$5001,$C$2:$C$5001,$M15,$G$2:$G$5001,"Sim"),SUMIFS($U$2:$U$5001,$C$2:$C$5001,$M15,$G$2:$G$5001,"Sim",$B$2:$B$5001,"&lt;="&amp;MEMORIA_RESULTADOS!$T$31))</f>
        <v>0</v>
      </c>
      <c r="Q15" s="405">
        <f>IF(MEMORIA_RESULTADOS!$T$31="",SUMIFS($H$2:$H$5001,$C$2:$C$5001,$M15,$G$2:$G$5001,"Sim"),SUMIFS($H$2:$H$5001,$C$2:$C$5001,$M15,$G$2:$G$5001,"Sim",$B$2:$B$5001,"&lt;="&amp;MEMORIA_RESULTADOS!$T$31))</f>
        <v>0</v>
      </c>
      <c r="R15" s="406">
        <f>IF(MEMORIA_RESULTADOS!$T$31="",SUMIFS($I$2:$I$5001,$C$2:$C$5001,$M15),SUMIFS($I$2:$I$5001,$C$2:$C$5001,$M15,$B$2:$B$5001,"&lt;="&amp;MEMORIA_RESULTADOS!$T$31))</f>
        <v>0</v>
      </c>
      <c r="S15" s="407">
        <f>IF(MEMORIA_RESULTADOS!$T$31="",SUMIFS($J$2:$J$5001,$C$2:$C$5001,$M15),SUMIFS($J$2:$J$5001,$C$2:$C$5001,$M15,$B$2:$B$5001,"&lt;="&amp;MEMORIA_RESULTADOS!$T$31))</f>
        <v>0</v>
      </c>
      <c r="T15" s="354">
        <f>IF(MEMORIA_RESULTADOS!$T$31="",0,SUMIFS($D$2:$D$5001,$C$2:$C$5001,$M15,$B$2:$B$5001,"&gt;"&amp;MEMORIA_RESULTADOS!$T$31))</f>
        <v>0</v>
      </c>
      <c r="U15" s="349" t="str">
        <f t="shared" si="4"/>
        <v/>
      </c>
      <c r="V15" s="212" t="s">
        <v>50</v>
      </c>
      <c r="W15" s="100" t="s">
        <v>168</v>
      </c>
      <c r="X15" s="100" t="s">
        <v>169</v>
      </c>
      <c r="Y15" s="101" t="s">
        <v>170</v>
      </c>
      <c r="Z15" s="101" t="s">
        <v>171</v>
      </c>
      <c r="AA15" s="101" t="s">
        <v>50</v>
      </c>
      <c r="AB15" s="101" t="s">
        <v>172</v>
      </c>
      <c r="AC15" s="102" t="s">
        <v>173</v>
      </c>
    </row>
    <row r="16" spans="1:29" ht="25.5" customHeight="1" x14ac:dyDescent="0.35">
      <c r="A16" s="392"/>
      <c r="B16" s="393"/>
      <c r="C16" s="99" t="str">
        <f>IF(B16="","",IF(NOT(ISNUMBER(B16)),"DATA_PC invalida",IF(NOT(ISNUMBER(parametros!$C$2)),"Fora dos ciclos",IF(OR(B16&lt;parametros!$C$2,(YEAR(B16)-YEAR(parametros!$C$2))*12+MONTH(B16)-MONTH(parametros!$C$2)&gt;59),"Fora dos ciclos","C"&amp;INT(((YEAR(B16)-YEAR(parametros!$C$2))*12+MONTH(B16)-MONTH(parametros!$C$2))/12)))))</f>
        <v/>
      </c>
      <c r="D16" s="394"/>
      <c r="E16" s="78" t="str">
        <f>IF(C16="","",IFERROR(VLOOKUP(C16,parametros!$A$11:$E$15,5,0),""))</f>
        <v/>
      </c>
      <c r="F16" s="79" t="str">
        <f t="shared" si="0"/>
        <v/>
      </c>
      <c r="G16" s="395"/>
      <c r="H16" s="91">
        <f t="shared" si="1"/>
        <v>0</v>
      </c>
      <c r="I16" s="91" t="str">
        <f t="shared" si="2"/>
        <v/>
      </c>
      <c r="J16" s="91" t="str">
        <f t="shared" si="3"/>
        <v/>
      </c>
      <c r="K16" s="92" t="str">
        <f>IF(AND(A16="",B16="",D16="",G16=""),"",IF(AND(A16&lt;&gt;"",COUNTIF($A$2:$A$5001,A16)&gt;1),"NUMERO_PC duplicado",IF(B16="","DATA_PC vazia",IF(NOT(ISNUMBER(B16)),"DATA_PC invalida",IF(OR(C16="",C16="Fora dos ciclos"),"CICLO_PC nao identificado",IF(OR(D16="",D16=0),"VALOR_PC vazio ou zero",IF(AND(G16&lt;&gt;"Sim",G16&lt;&gt;"Nao",G16&lt;&gt;""),"PC_PAGO_A_CONTRATADA invalido",IF(AND(C16&lt;&gt;"C0",IFERROR(INDEX(parametros!$A$2:$A$6,MATCH(C16,parametros!$B$2:$B$6,0)),"")="Sim",IFERROR(INDEX(parametros!$H$2:$H$6,MATCH(C16,parametros!$B$2:$B$6,0)),"")=""),"INICIO_EFEITO ausente: PC "&amp;A16&amp;" - "&amp;C16,IF(L16="","EFEITO_PC nao calculado: PC "&amp;A16&amp;" - "&amp;C16,"OK")))))))))</f>
        <v/>
      </c>
      <c r="L16" s="347" t="str">
        <f>IF(AND(A16="",B16="",D16="",G16=""),"",IF(OR(B16="",NOT(ISNUMBER(B16)),C16="",C16="Fora dos ciclos"),"",IF(C16="C0","Nao",IF(IFERROR(INDEX(parametros!$A$2:$A$6,MATCH(C16,parametros!$B$2:$B$6,0)),"")&lt;&gt;"Sim","Nao",IF(IFERROR(INDEX(parametros!$H$2:$H$6,MATCH(C16,parametros!$B$2:$B$6,0)),"")="","",IF(B16&gt;=IFERROR(INDEX(parametros!$H$2:$H$6,MATCH(C16,parametros!$B$2:$B$6,0)),""),"Sim","Nao"))))))</f>
        <v/>
      </c>
      <c r="M16" s="353" t="s">
        <v>29</v>
      </c>
      <c r="N16" s="353">
        <f>IF(MEMORIA_RESULTADOS!$T$31="",COUNTIFS($C$2:$C$5001,$M16,$G$2:$G$5001,"Sim"),COUNTIFS($C$2:$C$5001,$M16,$G$2:$G$5001,"Sim",$B$2:$B$5001,"&lt;="&amp;MEMORIA_RESULTADOS!$T$31))</f>
        <v>0</v>
      </c>
      <c r="O16" s="354">
        <f>IF(MEMORIA_RESULTADOS!$T$31="",SUMIFS($D$2:$D$5001,$C$2:$C$5001,$M16,$G$2:$G$5001,"Sim"),SUMIFS($D$2:$D$5001,$C$2:$C$5001,$M16,$G$2:$G$5001,"Sim",$B$2:$B$5001,"&lt;="&amp;MEMORIA_RESULTADOS!$T$31))</f>
        <v>0</v>
      </c>
      <c r="P16" s="354">
        <f>IF(MEMORIA_RESULTADOS!$T$31="",SUMIFS($U$2:$U$5001,$C$2:$C$5001,$M16,$G$2:$G$5001,"Sim"),SUMIFS($U$2:$U$5001,$C$2:$C$5001,$M16,$G$2:$G$5001,"Sim",$B$2:$B$5001,"&lt;="&amp;MEMORIA_RESULTADOS!$T$31))</f>
        <v>0</v>
      </c>
      <c r="Q16" s="405">
        <f>IF(MEMORIA_RESULTADOS!$T$31="",SUMIFS($H$2:$H$5001,$C$2:$C$5001,$M16,$G$2:$G$5001,"Sim"),SUMIFS($H$2:$H$5001,$C$2:$C$5001,$M16,$G$2:$G$5001,"Sim",$B$2:$B$5001,"&lt;="&amp;MEMORIA_RESULTADOS!$T$31))</f>
        <v>0</v>
      </c>
      <c r="R16" s="406">
        <f>IF(MEMORIA_RESULTADOS!$T$31="",SUMIFS($I$2:$I$5001,$C$2:$C$5001,$M16),SUMIFS($I$2:$I$5001,$C$2:$C$5001,$M16,$B$2:$B$5001,"&lt;="&amp;MEMORIA_RESULTADOS!$T$31))</f>
        <v>0</v>
      </c>
      <c r="S16" s="407">
        <f>IF(MEMORIA_RESULTADOS!$T$31="",SUMIFS($J$2:$J$5001,$C$2:$C$5001,$M16),SUMIFS($J$2:$J$5001,$C$2:$C$5001,$M16,$B$2:$B$5001,"&lt;="&amp;MEMORIA_RESULTADOS!$T$31))</f>
        <v>0</v>
      </c>
      <c r="T16" s="354">
        <f>IF(MEMORIA_RESULTADOS!$T$31="",0,SUMIFS($D$2:$D$5001,$C$2:$C$5001,$M16,$B$2:$B$5001,"&gt;"&amp;MEMORIA_RESULTADOS!$T$31))</f>
        <v>0</v>
      </c>
      <c r="U16" s="349" t="str">
        <f t="shared" si="4"/>
        <v/>
      </c>
      <c r="V16" s="212" t="s">
        <v>50</v>
      </c>
      <c r="W16" s="100" t="s">
        <v>168</v>
      </c>
      <c r="X16" s="100" t="s">
        <v>169</v>
      </c>
      <c r="Y16" s="101" t="s">
        <v>170</v>
      </c>
      <c r="Z16" s="101" t="s">
        <v>171</v>
      </c>
      <c r="AA16" s="101" t="s">
        <v>50</v>
      </c>
      <c r="AB16" s="101" t="s">
        <v>172</v>
      </c>
      <c r="AC16" s="102" t="s">
        <v>173</v>
      </c>
    </row>
    <row r="17" spans="1:29" ht="25.5" customHeight="1" thickBot="1" x14ac:dyDescent="0.4">
      <c r="A17" s="392"/>
      <c r="B17" s="393"/>
      <c r="C17" s="99" t="str">
        <f>IF(B17="","",IF(NOT(ISNUMBER(B17)),"DATA_PC invalida",IF(NOT(ISNUMBER(parametros!$C$2)),"Fora dos ciclos",IF(OR(B17&lt;parametros!$C$2,(YEAR(B17)-YEAR(parametros!$C$2))*12+MONTH(B17)-MONTH(parametros!$C$2)&gt;59),"Fora dos ciclos","C"&amp;INT(((YEAR(B17)-YEAR(parametros!$C$2))*12+MONTH(B17)-MONTH(parametros!$C$2))/12)))))</f>
        <v/>
      </c>
      <c r="D17" s="394"/>
      <c r="E17" s="78" t="str">
        <f>IF(C17="","",IFERROR(VLOOKUP(C17,parametros!$A$11:$E$15,5,0),""))</f>
        <v/>
      </c>
      <c r="F17" s="79" t="str">
        <f t="shared" si="0"/>
        <v/>
      </c>
      <c r="G17" s="395"/>
      <c r="H17" s="91">
        <f t="shared" si="1"/>
        <v>0</v>
      </c>
      <c r="I17" s="91" t="str">
        <f t="shared" si="2"/>
        <v/>
      </c>
      <c r="J17" s="91" t="str">
        <f t="shared" si="3"/>
        <v/>
      </c>
      <c r="K17" s="92" t="str">
        <f>IF(AND(A17="",B17="",D17="",G17=""),"",IF(AND(A17&lt;&gt;"",COUNTIF($A$2:$A$5001,A17)&gt;1),"NUMERO_PC duplicado",IF(B17="","DATA_PC vazia",IF(NOT(ISNUMBER(B17)),"DATA_PC invalida",IF(OR(C17="",C17="Fora dos ciclos"),"CICLO_PC nao identificado",IF(OR(D17="",D17=0),"VALOR_PC vazio ou zero",IF(AND(G17&lt;&gt;"Sim",G17&lt;&gt;"Nao",G17&lt;&gt;""),"PC_PAGO_A_CONTRATADA invalido",IF(AND(C17&lt;&gt;"C0",IFERROR(INDEX(parametros!$A$2:$A$6,MATCH(C17,parametros!$B$2:$B$6,0)),"")="Sim",IFERROR(INDEX(parametros!$H$2:$H$6,MATCH(C17,parametros!$B$2:$B$6,0)),"")=""),"INICIO_EFEITO ausente: PC "&amp;A17&amp;" - "&amp;C17,IF(L17="","EFEITO_PC nao calculado: PC "&amp;A17&amp;" - "&amp;C17,"OK")))))))))</f>
        <v/>
      </c>
      <c r="L17" s="347" t="str">
        <f>IF(AND(A17="",B17="",D17="",G17=""),"",IF(OR(B17="",NOT(ISNUMBER(B17)),C17="",C17="Fora dos ciclos"),"",IF(C17="C0","Nao",IF(IFERROR(INDEX(parametros!$A$2:$A$6,MATCH(C17,parametros!$B$2:$B$6,0)),"")&lt;&gt;"Sim","Nao",IF(IFERROR(INDEX(parametros!$H$2:$H$6,MATCH(C17,parametros!$B$2:$B$6,0)),"")="","",IF(B17&gt;=IFERROR(INDEX(parametros!$H$2:$H$6,MATCH(C17,parametros!$B$2:$B$6,0)),""),"Sim","Nao"))))))</f>
        <v/>
      </c>
      <c r="M17" s="379" t="s">
        <v>176</v>
      </c>
      <c r="N17" s="364">
        <f>IF(MEMORIA_RESULTADOS!$T$31="",COUNTIF($G$2:$G$5001,"Sim")-SUM(N12:N16),COUNTIFS($G$2:$G$5001,"Sim",$B$2:$B$5001,"&lt;="&amp;MEMORIA_RESULTADOS!$T$31)-SUM(N12:N16))</f>
        <v>0</v>
      </c>
      <c r="O17" s="365">
        <f>IF(MEMORIA_RESULTADOS!$T$31="",SUMIFS($D$2:$D$5001,$G$2:$G$5001,"Sim")-SUM(O12:O16),SUMIFS($D$2:$D$5001,$G$2:$G$5001,"Sim",$B$2:$B$5001,"&lt;="&amp;MEMORIA_RESULTADOS!$T$31)-SUM(O12:O16))</f>
        <v>0</v>
      </c>
      <c r="P17" s="365">
        <f>IF(MEMORIA_RESULTADOS!$T$31="",SUMIFS($U$2:$U$5001,$G$2:$G$5001,"Sim")-SUM(P12:P16),SUMIFS($U$2:$U$5001,$G$2:$G$5001,"Sim",$B$2:$B$5001,"&lt;="&amp;MEMORIA_RESULTADOS!$T$31)-SUM(P12:P16))</f>
        <v>0</v>
      </c>
      <c r="Q17" s="408">
        <f>IF(MEMORIA_RESULTADOS!$T$31="",SUMIFS($H$2:$H$5001,$G$2:$G$5001,"Sim")-SUM(Q12:Q16),SUMIFS($H$2:$H$5001,$G$2:$G$5001,"Sim",$B$2:$B$5001,"&lt;="&amp;MEMORIA_RESULTADOS!$T$31)-SUM(Q12:Q16))</f>
        <v>0</v>
      </c>
      <c r="R17" s="409">
        <f>IF(MEMORIA_RESULTADOS!$T$31="",SUM($I$2:$I$5001)-SUM(R12:R16),SUMIFS($I$2:$I$5001,$B$2:$B$5001,"&lt;="&amp;MEMORIA_RESULTADOS!$T$31)-SUM(R12:R16))</f>
        <v>0</v>
      </c>
      <c r="S17" s="410">
        <f>IF(MEMORIA_RESULTADOS!$T$31="",SUM($J$2:$J$5001)-SUM(S12:S16),SUMIFS($J$2:$J$5001,$B$2:$B$5001,"&lt;="&amp;MEMORIA_RESULTADOS!$T$31)-SUM(S12:S16))</f>
        <v>0</v>
      </c>
      <c r="T17" s="365">
        <f>IF(MEMORIA_RESULTADOS!$T$31="",0,SUMIFS($D$2:$D$5001,$B$2:$B$5001,"&gt;"&amp;MEMORIA_RESULTADOS!$T$31)-SUM(T12:T16))</f>
        <v>0</v>
      </c>
      <c r="U17" s="349" t="str">
        <f t="shared" si="4"/>
        <v/>
      </c>
      <c r="V17" s="212" t="s">
        <v>50</v>
      </c>
      <c r="W17" s="100" t="s">
        <v>168</v>
      </c>
      <c r="X17" s="100" t="s">
        <v>169</v>
      </c>
      <c r="Y17" s="101" t="s">
        <v>170</v>
      </c>
      <c r="Z17" s="101" t="s">
        <v>171</v>
      </c>
      <c r="AA17" s="101" t="s">
        <v>50</v>
      </c>
      <c r="AB17" s="101" t="s">
        <v>172</v>
      </c>
      <c r="AC17" s="102" t="s">
        <v>173</v>
      </c>
    </row>
    <row r="18" spans="1:29" ht="25.5" customHeight="1" thickBot="1" x14ac:dyDescent="0.4">
      <c r="A18" s="392"/>
      <c r="B18" s="393"/>
      <c r="C18" s="99" t="str">
        <f>IF(B18="","",IF(NOT(ISNUMBER(B18)),"DATA_PC invalida",IF(NOT(ISNUMBER(parametros!$C$2)),"Fora dos ciclos",IF(OR(B18&lt;parametros!$C$2,(YEAR(B18)-YEAR(parametros!$C$2))*12+MONTH(B18)-MONTH(parametros!$C$2)&gt;59),"Fora dos ciclos","C"&amp;INT(((YEAR(B18)-YEAR(parametros!$C$2))*12+MONTH(B18)-MONTH(parametros!$C$2))/12)))))</f>
        <v/>
      </c>
      <c r="D18" s="394"/>
      <c r="E18" s="78" t="str">
        <f>IF(C18="","",IFERROR(VLOOKUP(C18,parametros!$A$11:$E$15,5,0),""))</f>
        <v/>
      </c>
      <c r="F18" s="79" t="str">
        <f t="shared" si="0"/>
        <v/>
      </c>
      <c r="G18" s="395"/>
      <c r="H18" s="91">
        <f t="shared" si="1"/>
        <v>0</v>
      </c>
      <c r="I18" s="91" t="str">
        <f t="shared" si="2"/>
        <v/>
      </c>
      <c r="J18" s="91" t="str">
        <f t="shared" si="3"/>
        <v/>
      </c>
      <c r="K18" s="92" t="str">
        <f>IF(AND(A18="",B18="",D18="",G18=""),"",IF(AND(A18&lt;&gt;"",COUNTIF($A$2:$A$5001,A18)&gt;1),"NUMERO_PC duplicado",IF(B18="","DATA_PC vazia",IF(NOT(ISNUMBER(B18)),"DATA_PC invalida",IF(OR(C18="",C18="Fora dos ciclos"),"CICLO_PC nao identificado",IF(OR(D18="",D18=0),"VALOR_PC vazio ou zero",IF(AND(G18&lt;&gt;"Sim",G18&lt;&gt;"Nao",G18&lt;&gt;""),"PC_PAGO_A_CONTRATADA invalido",IF(AND(C18&lt;&gt;"C0",IFERROR(INDEX(parametros!$A$2:$A$6,MATCH(C18,parametros!$B$2:$B$6,0)),"")="Sim",IFERROR(INDEX(parametros!$H$2:$H$6,MATCH(C18,parametros!$B$2:$B$6,0)),"")=""),"INICIO_EFEITO ausente: PC "&amp;A18&amp;" - "&amp;C18,IF(L18="","EFEITO_PC nao calculado: PC "&amp;A18&amp;" - "&amp;C18,"OK")))))))))</f>
        <v/>
      </c>
      <c r="L18" s="347" t="str">
        <f>IF(AND(A18="",B18="",D18="",G18=""),"",IF(OR(B18="",NOT(ISNUMBER(B18)),C18="",C18="Fora dos ciclos"),"",IF(C18="C0","Nao",IF(IFERROR(INDEX(parametros!$A$2:$A$6,MATCH(C18,parametros!$B$2:$B$6,0)),"")&lt;&gt;"Sim","Nao",IF(IFERROR(INDEX(parametros!$H$2:$H$6,MATCH(C18,parametros!$B$2:$B$6,0)),"")="","",IF(B18&gt;=IFERROR(INDEX(parametros!$H$2:$H$6,MATCH(C18,parametros!$B$2:$B$6,0)),""),"Sim","Nao"))))))</f>
        <v/>
      </c>
      <c r="M18" s="380" t="s">
        <v>30</v>
      </c>
      <c r="N18" s="380">
        <f t="shared" ref="N18:T18" si="6">SUM(N12:N17)</f>
        <v>2</v>
      </c>
      <c r="O18" s="381">
        <f t="shared" si="6"/>
        <v>276500</v>
      </c>
      <c r="P18" s="381">
        <f t="shared" si="6"/>
        <v>290656.8</v>
      </c>
      <c r="Q18" s="381">
        <f t="shared" si="6"/>
        <v>14156.8</v>
      </c>
      <c r="R18" s="381">
        <f t="shared" si="6"/>
        <v>152686.79999999999</v>
      </c>
      <c r="S18" s="383">
        <f t="shared" si="6"/>
        <v>7436.8</v>
      </c>
      <c r="T18" s="381">
        <f t="shared" si="6"/>
        <v>0</v>
      </c>
      <c r="U18" s="349" t="str">
        <f t="shared" si="4"/>
        <v/>
      </c>
      <c r="V18" s="212" t="s">
        <v>50</v>
      </c>
      <c r="W18" s="100" t="s">
        <v>168</v>
      </c>
      <c r="X18" s="100" t="s">
        <v>169</v>
      </c>
      <c r="Y18" s="101" t="s">
        <v>170</v>
      </c>
      <c r="Z18" s="101" t="s">
        <v>171</v>
      </c>
      <c r="AA18" s="101" t="s">
        <v>50</v>
      </c>
      <c r="AB18" s="101" t="s">
        <v>172</v>
      </c>
      <c r="AC18" s="102" t="s">
        <v>173</v>
      </c>
    </row>
    <row r="19" spans="1:29" ht="32" customHeight="1" x14ac:dyDescent="0.35">
      <c r="A19" s="392"/>
      <c r="B19" s="393"/>
      <c r="C19" s="99" t="str">
        <f>IF(B19="","",IF(NOT(ISNUMBER(B19)),"DATA_PC invalida",IF(NOT(ISNUMBER(parametros!$C$2)),"Fora dos ciclos",IF(OR(B19&lt;parametros!$C$2,(YEAR(B19)-YEAR(parametros!$C$2))*12+MONTH(B19)-MONTH(parametros!$C$2)&gt;59),"Fora dos ciclos","C"&amp;INT(((YEAR(B19)-YEAR(parametros!$C$2))*12+MONTH(B19)-MONTH(parametros!$C$2))/12)))))</f>
        <v/>
      </c>
      <c r="D19" s="394"/>
      <c r="E19" s="78" t="str">
        <f>IF(C19="","",IFERROR(VLOOKUP(C19,parametros!$A$11:$E$15,5,0),""))</f>
        <v/>
      </c>
      <c r="F19" s="79" t="str">
        <f t="shared" si="0"/>
        <v/>
      </c>
      <c r="G19" s="395"/>
      <c r="H19" s="91">
        <f t="shared" si="1"/>
        <v>0</v>
      </c>
      <c r="I19" s="91" t="str">
        <f t="shared" si="2"/>
        <v/>
      </c>
      <c r="J19" s="91" t="str">
        <f t="shared" si="3"/>
        <v/>
      </c>
      <c r="K19" s="92" t="str">
        <f>IF(AND(A19="",B19="",D19="",G19=""),"",IF(AND(A19&lt;&gt;"",COUNTIF($A$2:$A$5001,A19)&gt;1),"NUMERO_PC duplicado",IF(B19="","DATA_PC vazia",IF(NOT(ISNUMBER(B19)),"DATA_PC invalida",IF(OR(C19="",C19="Fora dos ciclos"),"CICLO_PC nao identificado",IF(OR(D19="",D19=0),"VALOR_PC vazio ou zero",IF(AND(G19&lt;&gt;"Sim",G19&lt;&gt;"Nao",G19&lt;&gt;""),"PC_PAGO_A_CONTRATADA invalido",IF(AND(C19&lt;&gt;"C0",IFERROR(INDEX(parametros!$A$2:$A$6,MATCH(C19,parametros!$B$2:$B$6,0)),"")="Sim",IFERROR(INDEX(parametros!$H$2:$H$6,MATCH(C19,parametros!$B$2:$B$6,0)),"")=""),"INICIO_EFEITO ausente: PC "&amp;A19&amp;" - "&amp;C19,IF(L19="","EFEITO_PC nao calculado: PC "&amp;A19&amp;" - "&amp;C19,"OK")))))))))</f>
        <v/>
      </c>
      <c r="L19" s="347" t="str">
        <f>IF(AND(A19="",B19="",D19="",G19=""),"",IF(OR(B19="",NOT(ISNUMBER(B19)),C19="",C19="Fora dos ciclos"),"",IF(C19="C0","Nao",IF(IFERROR(INDEX(parametros!$A$2:$A$6,MATCH(C19,parametros!$B$2:$B$6,0)),"")&lt;&gt;"Sim","Nao",IF(IFERROR(INDEX(parametros!$H$2:$H$6,MATCH(C19,parametros!$B$2:$B$6,0)),"")="","",IF(B19&gt;=IFERROR(INDEX(parametros!$H$2:$H$6,MATCH(C19,parametros!$B$2:$B$6,0)),""),"Sim","Nao"))))))</f>
        <v/>
      </c>
      <c r="M19" s="431" t="str">
        <f>"RETROATIVO CONSIDERADO NO VTA = RECONHECIDO R$ "&amp;TEXT(N($Q$18),"#.##0,00")&amp;"  +  POTENCIAL POSITIVO INCORPORADO R$ "&amp;TEXT(N(MEMORIA_RESULTADOS!$T$39),"#.##0,00")&amp;IF(N(MEMORIA_RESULTADOS!$T$47)&lt;0,"   (há ainda R$ "&amp;TEXT(-N(MEMORIA_RESULTADOS!$T$47),"#.##0,00")&amp;" de potencial negativo: permanece visível e não reduz o VTA)","   (todo o potencial positivo apurado até a data de corte integra o VTA)")</f>
        <v>RETROATIVO CONSIDERADO NO VTA = RECONHECIDO R$ 14.156,80  +  POTENCIAL POSITIVO INCORPORADO R$ 7.436,80   (todo o potencial positivo apurado até a data de corte integra o VTA)</v>
      </c>
      <c r="N19" s="432"/>
      <c r="O19" s="432"/>
      <c r="P19" s="432"/>
      <c r="Q19" s="432"/>
      <c r="R19" s="433"/>
      <c r="S19" s="434">
        <f>ROUND(N($Q$18)+N(MEMORIA_RESULTADOS!$T$39),2)</f>
        <v>21593.599999999999</v>
      </c>
      <c r="T19" s="433"/>
      <c r="U19" s="349" t="str">
        <f t="shared" si="4"/>
        <v/>
      </c>
      <c r="V19" s="212" t="s">
        <v>50</v>
      </c>
      <c r="W19" s="100" t="s">
        <v>168</v>
      </c>
      <c r="X19" s="100" t="s">
        <v>169</v>
      </c>
      <c r="Y19" s="101" t="s">
        <v>170</v>
      </c>
      <c r="Z19" s="101" t="s">
        <v>171</v>
      </c>
      <c r="AA19" s="101" t="s">
        <v>50</v>
      </c>
      <c r="AB19" s="101" t="s">
        <v>172</v>
      </c>
      <c r="AC19" s="102" t="s">
        <v>173</v>
      </c>
    </row>
    <row r="20" spans="1:29" ht="28" customHeight="1" x14ac:dyDescent="0.35">
      <c r="A20" s="392"/>
      <c r="B20" s="393"/>
      <c r="C20" s="99" t="str">
        <f>IF(B20="","",IF(NOT(ISNUMBER(B20)),"DATA_PC invalida",IF(NOT(ISNUMBER(parametros!$C$2)),"Fora dos ciclos",IF(OR(B20&lt;parametros!$C$2,(YEAR(B20)-YEAR(parametros!$C$2))*12+MONTH(B20)-MONTH(parametros!$C$2)&gt;59),"Fora dos ciclos","C"&amp;INT(((YEAR(B20)-YEAR(parametros!$C$2))*12+MONTH(B20)-MONTH(parametros!$C$2))/12)))))</f>
        <v/>
      </c>
      <c r="D20" s="394"/>
      <c r="E20" s="78" t="str">
        <f>IF(C20="","",IFERROR(VLOOKUP(C20,parametros!$A$11:$E$15,5,0),""))</f>
        <v/>
      </c>
      <c r="F20" s="79" t="str">
        <f t="shared" si="0"/>
        <v/>
      </c>
      <c r="G20" s="395"/>
      <c r="H20" s="91">
        <f t="shared" si="1"/>
        <v>0</v>
      </c>
      <c r="I20" s="91" t="str">
        <f t="shared" si="2"/>
        <v/>
      </c>
      <c r="J20" s="91" t="str">
        <f t="shared" si="3"/>
        <v/>
      </c>
      <c r="K20" s="92" t="str">
        <f>IF(AND(A20="",B20="",D20="",G20=""),"",IF(AND(A20&lt;&gt;"",COUNTIF($A$2:$A$5001,A20)&gt;1),"NUMERO_PC duplicado",IF(B20="","DATA_PC vazia",IF(NOT(ISNUMBER(B20)),"DATA_PC invalida",IF(OR(C20="",C20="Fora dos ciclos"),"CICLO_PC nao identificado",IF(OR(D20="",D20=0),"VALOR_PC vazio ou zero",IF(AND(G20&lt;&gt;"Sim",G20&lt;&gt;"Nao",G20&lt;&gt;""),"PC_PAGO_A_CONTRATADA invalido",IF(AND(C20&lt;&gt;"C0",IFERROR(INDEX(parametros!$A$2:$A$6,MATCH(C20,parametros!$B$2:$B$6,0)),"")="Sim",IFERROR(INDEX(parametros!$H$2:$H$6,MATCH(C20,parametros!$B$2:$B$6,0)),"")=""),"INICIO_EFEITO ausente: PC "&amp;A20&amp;" - "&amp;C20,IF(L20="","EFEITO_PC nao calculado: PC "&amp;A20&amp;" - "&amp;C20,"OK")))))))))</f>
        <v/>
      </c>
      <c r="L20" s="92" t="str">
        <f>IF(AND(A20="",B20="",D20="",G20=""),"",IF(OR(B20="",NOT(ISNUMBER(B20)),C20="",C20="Fora dos ciclos"),"",IF(C20="C0","Nao",IF(IFERROR(INDEX(parametros!$A$2:$A$6,MATCH(C20,parametros!$B$2:$B$6,0)),"")&lt;&gt;"Sim","Nao",IF(IFERROR(INDEX(parametros!$H$2:$H$6,MATCH(C20,parametros!$B$2:$B$6,0)),"")="","",IF(B20&gt;=IFERROR(INDEX(parametros!$H$2:$H$6,MATCH(C20,parametros!$B$2:$B$6,0)),""),"Sim","Nao"))))))</f>
        <v/>
      </c>
      <c r="M20" s="428" t="s">
        <v>186</v>
      </c>
      <c r="N20" s="429"/>
      <c r="O20" s="429"/>
      <c r="P20" s="429"/>
      <c r="Q20" s="429"/>
      <c r="R20" s="429"/>
      <c r="S20" s="429"/>
      <c r="T20" s="430"/>
      <c r="U20" s="214" t="str">
        <f t="shared" si="4"/>
        <v/>
      </c>
      <c r="V20" s="212" t="s">
        <v>50</v>
      </c>
      <c r="W20" s="100" t="s">
        <v>168</v>
      </c>
      <c r="X20" s="100" t="s">
        <v>169</v>
      </c>
      <c r="Y20" s="101" t="s">
        <v>170</v>
      </c>
      <c r="Z20" s="101" t="s">
        <v>171</v>
      </c>
      <c r="AA20" s="101" t="s">
        <v>50</v>
      </c>
      <c r="AB20" s="101" t="s">
        <v>172</v>
      </c>
      <c r="AC20" s="102" t="s">
        <v>173</v>
      </c>
    </row>
    <row r="21" spans="1:29" ht="28" customHeight="1" x14ac:dyDescent="0.35">
      <c r="A21" s="392"/>
      <c r="B21" s="393"/>
      <c r="C21" s="99" t="str">
        <f>IF(B21="","",IF(NOT(ISNUMBER(B21)),"DATA_PC invalida",IF(NOT(ISNUMBER(parametros!$C$2)),"Fora dos ciclos",IF(OR(B21&lt;parametros!$C$2,(YEAR(B21)-YEAR(parametros!$C$2))*12+MONTH(B21)-MONTH(parametros!$C$2)&gt;59),"Fora dos ciclos","C"&amp;INT(((YEAR(B21)-YEAR(parametros!$C$2))*12+MONTH(B21)-MONTH(parametros!$C$2))/12)))))</f>
        <v/>
      </c>
      <c r="D21" s="394"/>
      <c r="E21" s="78" t="str">
        <f>IF(C21="","",IFERROR(VLOOKUP(C21,parametros!$A$11:$E$15,5,0),""))</f>
        <v/>
      </c>
      <c r="F21" s="79" t="str">
        <f t="shared" si="0"/>
        <v/>
      </c>
      <c r="G21" s="395"/>
      <c r="H21" s="91">
        <f t="shared" si="1"/>
        <v>0</v>
      </c>
      <c r="I21" s="91" t="str">
        <f t="shared" si="2"/>
        <v/>
      </c>
      <c r="J21" s="91" t="str">
        <f t="shared" si="3"/>
        <v/>
      </c>
      <c r="K21" s="92" t="str">
        <f>IF(AND(A21="",B21="",D21="",G21=""),"",IF(AND(A21&lt;&gt;"",COUNTIF($A$2:$A$5001,A21)&gt;1),"NUMERO_PC duplicado",IF(B21="","DATA_PC vazia",IF(NOT(ISNUMBER(B21)),"DATA_PC invalida",IF(OR(C21="",C21="Fora dos ciclos"),"CICLO_PC nao identificado",IF(OR(D21="",D21=0),"VALOR_PC vazio ou zero",IF(AND(G21&lt;&gt;"Sim",G21&lt;&gt;"Nao",G21&lt;&gt;""),"PC_PAGO_A_CONTRATADA invalido",IF(AND(C21&lt;&gt;"C0",IFERROR(INDEX(parametros!$A$2:$A$6,MATCH(C21,parametros!$B$2:$B$6,0)),"")="Sim",IFERROR(INDEX(parametros!$H$2:$H$6,MATCH(C21,parametros!$B$2:$B$6,0)),"")=""),"INICIO_EFEITO ausente: PC "&amp;A21&amp;" - "&amp;C21,IF(L21="","EFEITO_PC nao calculado: PC "&amp;A21&amp;" - "&amp;C21,"OK")))))))))</f>
        <v/>
      </c>
      <c r="L21" s="92" t="str">
        <f>IF(AND(A21="",B21="",D21="",G21=""),"",IF(OR(B21="",NOT(ISNUMBER(B21)),C21="",C21="Fora dos ciclos"),"",IF(C21="C0","Nao",IF(IFERROR(INDEX(parametros!$A$2:$A$6,MATCH(C21,parametros!$B$2:$B$6,0)),"")&lt;&gt;"Sim","Nao",IF(IFERROR(INDEX(parametros!$H$2:$H$6,MATCH(C21,parametros!$B$2:$B$6,0)),"")="","",IF(B21&gt;=IFERROR(INDEX(parametros!$H$2:$H$6,MATCH(C21,parametros!$B$2:$B$6,0)),""),"Sim","Nao"))))))</f>
        <v/>
      </c>
      <c r="M21" s="427" t="s">
        <v>187</v>
      </c>
      <c r="N21" s="422"/>
      <c r="O21" s="422"/>
      <c r="P21" s="422"/>
      <c r="Q21" s="422"/>
      <c r="R21" s="422"/>
      <c r="S21" s="422"/>
      <c r="T21" s="423"/>
      <c r="U21" s="214" t="str">
        <f t="shared" si="4"/>
        <v/>
      </c>
      <c r="V21" s="212" t="s">
        <v>50</v>
      </c>
      <c r="W21" s="100" t="s">
        <v>168</v>
      </c>
      <c r="X21" s="100" t="s">
        <v>169</v>
      </c>
      <c r="Y21" s="101" t="s">
        <v>170</v>
      </c>
      <c r="Z21" s="101" t="s">
        <v>171</v>
      </c>
      <c r="AA21" s="101" t="s">
        <v>50</v>
      </c>
      <c r="AB21" s="101" t="s">
        <v>172</v>
      </c>
      <c r="AC21" s="102" t="s">
        <v>173</v>
      </c>
    </row>
    <row r="22" spans="1:29" ht="28" customHeight="1" x14ac:dyDescent="0.35">
      <c r="A22" s="392"/>
      <c r="B22" s="393"/>
      <c r="C22" s="99" t="str">
        <f>IF(B22="","",IF(NOT(ISNUMBER(B22)),"DATA_PC invalida",IF(NOT(ISNUMBER(parametros!$C$2)),"Fora dos ciclos",IF(OR(B22&lt;parametros!$C$2,(YEAR(B22)-YEAR(parametros!$C$2))*12+MONTH(B22)-MONTH(parametros!$C$2)&gt;59),"Fora dos ciclos","C"&amp;INT(((YEAR(B22)-YEAR(parametros!$C$2))*12+MONTH(B22)-MONTH(parametros!$C$2))/12)))))</f>
        <v/>
      </c>
      <c r="D22" s="394"/>
      <c r="E22" s="78" t="str">
        <f>IF(C22="","",IFERROR(VLOOKUP(C22,parametros!$A$11:$E$15,5,0),""))</f>
        <v/>
      </c>
      <c r="F22" s="79" t="str">
        <f t="shared" si="0"/>
        <v/>
      </c>
      <c r="G22" s="395"/>
      <c r="H22" s="91">
        <f t="shared" si="1"/>
        <v>0</v>
      </c>
      <c r="I22" s="91" t="str">
        <f t="shared" si="2"/>
        <v/>
      </c>
      <c r="J22" s="91" t="str">
        <f t="shared" si="3"/>
        <v/>
      </c>
      <c r="K22" s="92" t="str">
        <f>IF(AND(A22="",B22="",D22="",G22=""),"",IF(AND(A22&lt;&gt;"",COUNTIF($A$2:$A$5001,A22)&gt;1),"NUMERO_PC duplicado",IF(B22="","DATA_PC vazia",IF(NOT(ISNUMBER(B22)),"DATA_PC invalida",IF(OR(C22="",C22="Fora dos ciclos"),"CICLO_PC nao identificado",IF(OR(D22="",D22=0),"VALOR_PC vazio ou zero",IF(AND(G22&lt;&gt;"Sim",G22&lt;&gt;"Nao",G22&lt;&gt;""),"PC_PAGO_A_CONTRATADA invalido",IF(AND(C22&lt;&gt;"C0",IFERROR(INDEX(parametros!$A$2:$A$6,MATCH(C22,parametros!$B$2:$B$6,0)),"")="Sim",IFERROR(INDEX(parametros!$H$2:$H$6,MATCH(C22,parametros!$B$2:$B$6,0)),"")=""),"INICIO_EFEITO ausente: PC "&amp;A22&amp;" - "&amp;C22,IF(L22="","EFEITO_PC nao calculado: PC "&amp;A22&amp;" - "&amp;C22,"OK")))))))))</f>
        <v/>
      </c>
      <c r="L22" s="92" t="str">
        <f>IF(AND(A22="",B22="",D22="",G22=""),"",IF(OR(B22="",NOT(ISNUMBER(B22)),C22="",C22="Fora dos ciclos"),"",IF(C22="C0","Nao",IF(IFERROR(INDEX(parametros!$A$2:$A$6,MATCH(C22,parametros!$B$2:$B$6,0)),"")&lt;&gt;"Sim","Nao",IF(IFERROR(INDEX(parametros!$H$2:$H$6,MATCH(C22,parametros!$B$2:$B$6,0)),"")="","",IF(B22&gt;=IFERROR(INDEX(parametros!$H$2:$H$6,MATCH(C22,parametros!$B$2:$B$6,0)),""),"Sim","Nao"))))))</f>
        <v/>
      </c>
      <c r="M22" s="427" t="s">
        <v>188</v>
      </c>
      <c r="N22" s="422"/>
      <c r="O22" s="422"/>
      <c r="P22" s="422"/>
      <c r="Q22" s="422"/>
      <c r="R22" s="422"/>
      <c r="S22" s="422"/>
      <c r="T22" s="423"/>
      <c r="U22" s="214" t="str">
        <f t="shared" si="4"/>
        <v/>
      </c>
      <c r="V22" s="212" t="s">
        <v>50</v>
      </c>
      <c r="W22" s="100" t="s">
        <v>168</v>
      </c>
      <c r="X22" s="100" t="s">
        <v>169</v>
      </c>
      <c r="Y22" s="101" t="s">
        <v>170</v>
      </c>
      <c r="Z22" s="101" t="s">
        <v>171</v>
      </c>
      <c r="AA22" s="101" t="s">
        <v>50</v>
      </c>
      <c r="AB22" s="101" t="s">
        <v>172</v>
      </c>
      <c r="AC22" s="102" t="s">
        <v>173</v>
      </c>
    </row>
    <row r="23" spans="1:29" ht="28" customHeight="1" x14ac:dyDescent="0.35">
      <c r="A23" s="392"/>
      <c r="B23" s="393"/>
      <c r="C23" s="99" t="str">
        <f>IF(B23="","",IF(NOT(ISNUMBER(B23)),"DATA_PC invalida",IF(NOT(ISNUMBER(parametros!$C$2)),"Fora dos ciclos",IF(OR(B23&lt;parametros!$C$2,(YEAR(B23)-YEAR(parametros!$C$2))*12+MONTH(B23)-MONTH(parametros!$C$2)&gt;59),"Fora dos ciclos","C"&amp;INT(((YEAR(B23)-YEAR(parametros!$C$2))*12+MONTH(B23)-MONTH(parametros!$C$2))/12)))))</f>
        <v/>
      </c>
      <c r="D23" s="394"/>
      <c r="E23" s="78" t="str">
        <f>IF(C23="","",IFERROR(VLOOKUP(C23,parametros!$A$11:$E$15,5,0),""))</f>
        <v/>
      </c>
      <c r="F23" s="79" t="str">
        <f t="shared" si="0"/>
        <v/>
      </c>
      <c r="G23" s="395"/>
      <c r="H23" s="91">
        <f t="shared" si="1"/>
        <v>0</v>
      </c>
      <c r="I23" s="91" t="str">
        <f t="shared" si="2"/>
        <v/>
      </c>
      <c r="J23" s="91" t="str">
        <f t="shared" si="3"/>
        <v/>
      </c>
      <c r="K23" s="92" t="str">
        <f>IF(AND(A23="",B23="",D23="",G23=""),"",IF(AND(A23&lt;&gt;"",COUNTIF($A$2:$A$5001,A23)&gt;1),"NUMERO_PC duplicado",IF(B23="","DATA_PC vazia",IF(NOT(ISNUMBER(B23)),"DATA_PC invalida",IF(OR(C23="",C23="Fora dos ciclos"),"CICLO_PC nao identificado",IF(OR(D23="",D23=0),"VALOR_PC vazio ou zero",IF(AND(G23&lt;&gt;"Sim",G23&lt;&gt;"Nao",G23&lt;&gt;""),"PC_PAGO_A_CONTRATADA invalido",IF(AND(C23&lt;&gt;"C0",IFERROR(INDEX(parametros!$A$2:$A$6,MATCH(C23,parametros!$B$2:$B$6,0)),"")="Sim",IFERROR(INDEX(parametros!$H$2:$H$6,MATCH(C23,parametros!$B$2:$B$6,0)),"")=""),"INICIO_EFEITO ausente: PC "&amp;A23&amp;" - "&amp;C23,IF(L23="","EFEITO_PC nao calculado: PC "&amp;A23&amp;" - "&amp;C23,"OK")))))))))</f>
        <v/>
      </c>
      <c r="L23" s="92" t="str">
        <f>IF(AND(A23="",B23="",D23="",G23=""),"",IF(OR(B23="",NOT(ISNUMBER(B23)),C23="",C23="Fora dos ciclos"),"",IF(C23="C0","Nao",IF(IFERROR(INDEX(parametros!$A$2:$A$6,MATCH(C23,parametros!$B$2:$B$6,0)),"")&lt;&gt;"Sim","Nao",IF(IFERROR(INDEX(parametros!$H$2:$H$6,MATCH(C23,parametros!$B$2:$B$6,0)),"")="","",IF(B23&gt;=IFERROR(INDEX(parametros!$H$2:$H$6,MATCH(C23,parametros!$B$2:$B$6,0)),""),"Sim","Nao"))))))</f>
        <v/>
      </c>
      <c r="M23" s="427" t="s">
        <v>189</v>
      </c>
      <c r="N23" s="422"/>
      <c r="O23" s="422"/>
      <c r="P23" s="422"/>
      <c r="Q23" s="422"/>
      <c r="R23" s="422"/>
      <c r="S23" s="422"/>
      <c r="T23" s="423"/>
      <c r="U23" s="214" t="str">
        <f t="shared" si="4"/>
        <v/>
      </c>
      <c r="V23" s="212" t="s">
        <v>50</v>
      </c>
      <c r="W23" s="100" t="s">
        <v>168</v>
      </c>
      <c r="X23" s="100" t="s">
        <v>169</v>
      </c>
      <c r="Y23" s="101" t="s">
        <v>170</v>
      </c>
      <c r="Z23" s="101" t="s">
        <v>171</v>
      </c>
      <c r="AA23" s="101" t="s">
        <v>50</v>
      </c>
      <c r="AB23" s="101" t="s">
        <v>172</v>
      </c>
      <c r="AC23" s="102" t="s">
        <v>173</v>
      </c>
    </row>
    <row r="24" spans="1:29" ht="28" customHeight="1" x14ac:dyDescent="0.35">
      <c r="A24" s="392"/>
      <c r="B24" s="393"/>
      <c r="C24" s="99" t="str">
        <f>IF(B24="","",IF(NOT(ISNUMBER(B24)),"DATA_PC invalida",IF(NOT(ISNUMBER(parametros!$C$2)),"Fora dos ciclos",IF(OR(B24&lt;parametros!$C$2,(YEAR(B24)-YEAR(parametros!$C$2))*12+MONTH(B24)-MONTH(parametros!$C$2)&gt;59),"Fora dos ciclos","C"&amp;INT(((YEAR(B24)-YEAR(parametros!$C$2))*12+MONTH(B24)-MONTH(parametros!$C$2))/12)))))</f>
        <v/>
      </c>
      <c r="D24" s="394"/>
      <c r="E24" s="78" t="str">
        <f>IF(C24="","",IFERROR(VLOOKUP(C24,parametros!$A$11:$E$15,5,0),""))</f>
        <v/>
      </c>
      <c r="F24" s="79" t="str">
        <f t="shared" si="0"/>
        <v/>
      </c>
      <c r="G24" s="395"/>
      <c r="H24" s="91">
        <f t="shared" si="1"/>
        <v>0</v>
      </c>
      <c r="I24" s="91" t="str">
        <f t="shared" si="2"/>
        <v/>
      </c>
      <c r="J24" s="91" t="str">
        <f t="shared" si="3"/>
        <v/>
      </c>
      <c r="K24" s="92" t="str">
        <f>IF(AND(A24="",B24="",D24="",G24=""),"",IF(AND(A24&lt;&gt;"",COUNTIF($A$2:$A$5001,A24)&gt;1),"NUMERO_PC duplicado",IF(B24="","DATA_PC vazia",IF(NOT(ISNUMBER(B24)),"DATA_PC invalida",IF(OR(C24="",C24="Fora dos ciclos"),"CICLO_PC nao identificado",IF(OR(D24="",D24=0),"VALOR_PC vazio ou zero",IF(AND(G24&lt;&gt;"Sim",G24&lt;&gt;"Nao",G24&lt;&gt;""),"PC_PAGO_A_CONTRATADA invalido",IF(AND(C24&lt;&gt;"C0",IFERROR(INDEX(parametros!$A$2:$A$6,MATCH(C24,parametros!$B$2:$B$6,0)),"")="Sim",IFERROR(INDEX(parametros!$H$2:$H$6,MATCH(C24,parametros!$B$2:$B$6,0)),"")=""),"INICIO_EFEITO ausente: PC "&amp;A24&amp;" - "&amp;C24,IF(L24="","EFEITO_PC nao calculado: PC "&amp;A24&amp;" - "&amp;C24,"OK")))))))))</f>
        <v/>
      </c>
      <c r="L24" s="92" t="str">
        <f>IF(AND(A24="",B24="",D24="",G24=""),"",IF(OR(B24="",NOT(ISNUMBER(B24)),C24="",C24="Fora dos ciclos"),"",IF(C24="C0","Nao",IF(IFERROR(INDEX(parametros!$A$2:$A$6,MATCH(C24,parametros!$B$2:$B$6,0)),"")&lt;&gt;"Sim","Nao",IF(IFERROR(INDEX(parametros!$H$2:$H$6,MATCH(C24,parametros!$B$2:$B$6,0)),"")="","",IF(B24&gt;=IFERROR(INDEX(parametros!$H$2:$H$6,MATCH(C24,parametros!$B$2:$B$6,0)),""),"Sim","Nao"))))))</f>
        <v/>
      </c>
      <c r="M24" s="427" t="s">
        <v>190</v>
      </c>
      <c r="N24" s="422"/>
      <c r="O24" s="422"/>
      <c r="P24" s="422"/>
      <c r="Q24" s="422"/>
      <c r="R24" s="422"/>
      <c r="S24" s="422"/>
      <c r="T24" s="423"/>
      <c r="U24" s="214" t="str">
        <f t="shared" si="4"/>
        <v/>
      </c>
      <c r="V24" s="212" t="s">
        <v>50</v>
      </c>
      <c r="W24" s="100" t="s">
        <v>168</v>
      </c>
      <c r="X24" s="100" t="s">
        <v>169</v>
      </c>
      <c r="Y24" s="101" t="s">
        <v>170</v>
      </c>
      <c r="Z24" s="101" t="s">
        <v>171</v>
      </c>
      <c r="AA24" s="101" t="s">
        <v>50</v>
      </c>
      <c r="AB24" s="101" t="s">
        <v>172</v>
      </c>
      <c r="AC24" s="102" t="s">
        <v>173</v>
      </c>
    </row>
    <row r="25" spans="1:29" ht="28" customHeight="1" x14ac:dyDescent="0.35">
      <c r="A25" s="392"/>
      <c r="B25" s="393"/>
      <c r="C25" s="99" t="str">
        <f>IF(B25="","",IF(NOT(ISNUMBER(B25)),"DATA_PC invalida",IF(NOT(ISNUMBER(parametros!$C$2)),"Fora dos ciclos",IF(OR(B25&lt;parametros!$C$2,(YEAR(B25)-YEAR(parametros!$C$2))*12+MONTH(B25)-MONTH(parametros!$C$2)&gt;59),"Fora dos ciclos","C"&amp;INT(((YEAR(B25)-YEAR(parametros!$C$2))*12+MONTH(B25)-MONTH(parametros!$C$2))/12)))))</f>
        <v/>
      </c>
      <c r="D25" s="394"/>
      <c r="E25" s="78" t="str">
        <f>IF(C25="","",IFERROR(VLOOKUP(C25,parametros!$A$11:$E$15,5,0),""))</f>
        <v/>
      </c>
      <c r="F25" s="79" t="str">
        <f t="shared" si="0"/>
        <v/>
      </c>
      <c r="G25" s="395"/>
      <c r="H25" s="91">
        <f t="shared" si="1"/>
        <v>0</v>
      </c>
      <c r="I25" s="91" t="str">
        <f t="shared" si="2"/>
        <v/>
      </c>
      <c r="J25" s="91" t="str">
        <f t="shared" si="3"/>
        <v/>
      </c>
      <c r="K25" s="92" t="str">
        <f>IF(AND(A25="",B25="",D25="",G25=""),"",IF(AND(A25&lt;&gt;"",COUNTIF($A$2:$A$5001,A25)&gt;1),"NUMERO_PC duplicado",IF(B25="","DATA_PC vazia",IF(NOT(ISNUMBER(B25)),"DATA_PC invalida",IF(OR(C25="",C25="Fora dos ciclos"),"CICLO_PC nao identificado",IF(OR(D25="",D25=0),"VALOR_PC vazio ou zero",IF(AND(G25&lt;&gt;"Sim",G25&lt;&gt;"Nao",G25&lt;&gt;""),"PC_PAGO_A_CONTRATADA invalido",IF(AND(C25&lt;&gt;"C0",IFERROR(INDEX(parametros!$A$2:$A$6,MATCH(C25,parametros!$B$2:$B$6,0)),"")="Sim",IFERROR(INDEX(parametros!$H$2:$H$6,MATCH(C25,parametros!$B$2:$B$6,0)),"")=""),"INICIO_EFEITO ausente: PC "&amp;A25&amp;" - "&amp;C25,IF(L25="","EFEITO_PC nao calculado: PC "&amp;A25&amp;" - "&amp;C25,"OK")))))))))</f>
        <v/>
      </c>
      <c r="L25" s="92" t="str">
        <f>IF(AND(A25="",B25="",D25="",G25=""),"",IF(OR(B25="",NOT(ISNUMBER(B25)),C25="",C25="Fora dos ciclos"),"",IF(C25="C0","Nao",IF(IFERROR(INDEX(parametros!$A$2:$A$6,MATCH(C25,parametros!$B$2:$B$6,0)),"")&lt;&gt;"Sim","Nao",IF(IFERROR(INDEX(parametros!$H$2:$H$6,MATCH(C25,parametros!$B$2:$B$6,0)),"")="","",IF(B25&gt;=IFERROR(INDEX(parametros!$H$2:$H$6,MATCH(C25,parametros!$B$2:$B$6,0)),""),"Sim","Nao"))))))</f>
        <v/>
      </c>
      <c r="M25" s="427" t="s">
        <v>191</v>
      </c>
      <c r="N25" s="422"/>
      <c r="O25" s="422"/>
      <c r="P25" s="422"/>
      <c r="Q25" s="422"/>
      <c r="R25" s="422"/>
      <c r="S25" s="422"/>
      <c r="T25" s="423"/>
      <c r="U25" s="214" t="str">
        <f t="shared" si="4"/>
        <v/>
      </c>
      <c r="V25" s="212" t="s">
        <v>50</v>
      </c>
      <c r="W25" s="100" t="s">
        <v>168</v>
      </c>
      <c r="X25" s="100" t="s">
        <v>169</v>
      </c>
      <c r="Y25" s="101" t="s">
        <v>170</v>
      </c>
      <c r="Z25" s="101" t="s">
        <v>171</v>
      </c>
      <c r="AA25" s="101" t="s">
        <v>50</v>
      </c>
      <c r="AB25" s="101" t="s">
        <v>172</v>
      </c>
      <c r="AC25" s="102" t="s">
        <v>173</v>
      </c>
    </row>
    <row r="26" spans="1:29" ht="28" customHeight="1" x14ac:dyDescent="0.35">
      <c r="A26" s="392"/>
      <c r="B26" s="393"/>
      <c r="C26" s="99" t="str">
        <f>IF(B26="","",IF(NOT(ISNUMBER(B26)),"DATA_PC invalida",IF(NOT(ISNUMBER(parametros!$C$2)),"Fora dos ciclos",IF(OR(B26&lt;parametros!$C$2,(YEAR(B26)-YEAR(parametros!$C$2))*12+MONTH(B26)-MONTH(parametros!$C$2)&gt;59),"Fora dos ciclos","C"&amp;INT(((YEAR(B26)-YEAR(parametros!$C$2))*12+MONTH(B26)-MONTH(parametros!$C$2))/12)))))</f>
        <v/>
      </c>
      <c r="D26" s="394"/>
      <c r="E26" s="78" t="str">
        <f>IF(C26="","",IFERROR(VLOOKUP(C26,parametros!$A$11:$E$15,5,0),""))</f>
        <v/>
      </c>
      <c r="F26" s="79" t="str">
        <f t="shared" si="0"/>
        <v/>
      </c>
      <c r="G26" s="395"/>
      <c r="H26" s="91">
        <f t="shared" si="1"/>
        <v>0</v>
      </c>
      <c r="I26" s="91" t="str">
        <f t="shared" si="2"/>
        <v/>
      </c>
      <c r="J26" s="91" t="str">
        <f t="shared" si="3"/>
        <v/>
      </c>
      <c r="K26" s="92" t="str">
        <f>IF(AND(A26="",B26="",D26="",G26=""),"",IF(AND(A26&lt;&gt;"",COUNTIF($A$2:$A$5001,A26)&gt;1),"NUMERO_PC duplicado",IF(B26="","DATA_PC vazia",IF(NOT(ISNUMBER(B26)),"DATA_PC invalida",IF(OR(C26="",C26="Fora dos ciclos"),"CICLO_PC nao identificado",IF(OR(D26="",D26=0),"VALOR_PC vazio ou zero",IF(AND(G26&lt;&gt;"Sim",G26&lt;&gt;"Nao",G26&lt;&gt;""),"PC_PAGO_A_CONTRATADA invalido",IF(AND(C26&lt;&gt;"C0",IFERROR(INDEX(parametros!$A$2:$A$6,MATCH(C26,parametros!$B$2:$B$6,0)),"")="Sim",IFERROR(INDEX(parametros!$H$2:$H$6,MATCH(C26,parametros!$B$2:$B$6,0)),"")=""),"INICIO_EFEITO ausente: PC "&amp;A26&amp;" - "&amp;C26,IF(L26="","EFEITO_PC nao calculado: PC "&amp;A26&amp;" - "&amp;C26,"OK")))))))))</f>
        <v/>
      </c>
      <c r="L26" s="92" t="str">
        <f>IF(AND(A26="",B26="",D26="",G26=""),"",IF(OR(B26="",NOT(ISNUMBER(B26)),C26="",C26="Fora dos ciclos"),"",IF(C26="C0","Nao",IF(IFERROR(INDEX(parametros!$A$2:$A$6,MATCH(C26,parametros!$B$2:$B$6,0)),"")&lt;&gt;"Sim","Nao",IF(IFERROR(INDEX(parametros!$H$2:$H$6,MATCH(C26,parametros!$B$2:$B$6,0)),"")="","",IF(B26&gt;=IFERROR(INDEX(parametros!$H$2:$H$6,MATCH(C26,parametros!$B$2:$B$6,0)),""),"Sim","Nao"))))))</f>
        <v/>
      </c>
      <c r="M26" s="427" t="s">
        <v>192</v>
      </c>
      <c r="N26" s="422"/>
      <c r="O26" s="422"/>
      <c r="P26" s="422"/>
      <c r="Q26" s="422"/>
      <c r="R26" s="422"/>
      <c r="S26" s="422"/>
      <c r="T26" s="423"/>
      <c r="U26" s="214" t="str">
        <f t="shared" si="4"/>
        <v/>
      </c>
      <c r="V26" s="212" t="s">
        <v>50</v>
      </c>
      <c r="W26" s="100" t="s">
        <v>168</v>
      </c>
      <c r="X26" s="100" t="s">
        <v>169</v>
      </c>
      <c r="Y26" s="101" t="s">
        <v>170</v>
      </c>
      <c r="Z26" s="101" t="s">
        <v>171</v>
      </c>
      <c r="AA26" s="101" t="s">
        <v>50</v>
      </c>
      <c r="AB26" s="101" t="s">
        <v>172</v>
      </c>
      <c r="AC26" s="102" t="s">
        <v>173</v>
      </c>
    </row>
    <row r="27" spans="1:29" ht="28" customHeight="1" x14ac:dyDescent="0.35">
      <c r="A27" s="392"/>
      <c r="B27" s="393"/>
      <c r="C27" s="99" t="str">
        <f>IF(B27="","",IF(NOT(ISNUMBER(B27)),"DATA_PC invalida",IF(NOT(ISNUMBER(parametros!$C$2)),"Fora dos ciclos",IF(OR(B27&lt;parametros!$C$2,(YEAR(B27)-YEAR(parametros!$C$2))*12+MONTH(B27)-MONTH(parametros!$C$2)&gt;59),"Fora dos ciclos","C"&amp;INT(((YEAR(B27)-YEAR(parametros!$C$2))*12+MONTH(B27)-MONTH(parametros!$C$2))/12)))))</f>
        <v/>
      </c>
      <c r="D27" s="394"/>
      <c r="E27" s="78" t="str">
        <f>IF(C27="","",IFERROR(VLOOKUP(C27,parametros!$A$11:$E$15,5,0),""))</f>
        <v/>
      </c>
      <c r="F27" s="79" t="str">
        <f t="shared" si="0"/>
        <v/>
      </c>
      <c r="G27" s="395"/>
      <c r="H27" s="91">
        <f t="shared" si="1"/>
        <v>0</v>
      </c>
      <c r="I27" s="91" t="str">
        <f t="shared" si="2"/>
        <v/>
      </c>
      <c r="J27" s="91" t="str">
        <f t="shared" si="3"/>
        <v/>
      </c>
      <c r="K27" s="92" t="str">
        <f>IF(AND(A27="",B27="",D27="",G27=""),"",IF(AND(A27&lt;&gt;"",COUNTIF($A$2:$A$5001,A27)&gt;1),"NUMERO_PC duplicado",IF(B27="","DATA_PC vazia",IF(NOT(ISNUMBER(B27)),"DATA_PC invalida",IF(OR(C27="",C27="Fora dos ciclos"),"CICLO_PC nao identificado",IF(OR(D27="",D27=0),"VALOR_PC vazio ou zero",IF(AND(G27&lt;&gt;"Sim",G27&lt;&gt;"Nao",G27&lt;&gt;""),"PC_PAGO_A_CONTRATADA invalido",IF(AND(C27&lt;&gt;"C0",IFERROR(INDEX(parametros!$A$2:$A$6,MATCH(C27,parametros!$B$2:$B$6,0)),"")="Sim",IFERROR(INDEX(parametros!$H$2:$H$6,MATCH(C27,parametros!$B$2:$B$6,0)),"")=""),"INICIO_EFEITO ausente: PC "&amp;A27&amp;" - "&amp;C27,IF(L27="","EFEITO_PC nao calculado: PC "&amp;A27&amp;" - "&amp;C27,"OK")))))))))</f>
        <v/>
      </c>
      <c r="L27" s="92" t="str">
        <f>IF(AND(A27="",B27="",D27="",G27=""),"",IF(OR(B27="",NOT(ISNUMBER(B27)),C27="",C27="Fora dos ciclos"),"",IF(C27="C0","Nao",IF(IFERROR(INDEX(parametros!$A$2:$A$6,MATCH(C27,parametros!$B$2:$B$6,0)),"")&lt;&gt;"Sim","Nao",IF(IFERROR(INDEX(parametros!$H$2:$H$6,MATCH(C27,parametros!$B$2:$B$6,0)),"")="","",IF(B27&gt;=IFERROR(INDEX(parametros!$H$2:$H$6,MATCH(C27,parametros!$B$2:$B$6,0)),""),"Sim","Nao"))))))</f>
        <v/>
      </c>
      <c r="M27" s="427" t="s">
        <v>193</v>
      </c>
      <c r="N27" s="422"/>
      <c r="O27" s="422"/>
      <c r="P27" s="422"/>
      <c r="Q27" s="422"/>
      <c r="R27" s="422"/>
      <c r="S27" s="422"/>
      <c r="T27" s="423"/>
      <c r="U27" s="214" t="str">
        <f t="shared" si="4"/>
        <v/>
      </c>
      <c r="V27" s="212" t="s">
        <v>50</v>
      </c>
      <c r="W27" s="100" t="s">
        <v>168</v>
      </c>
      <c r="X27" s="100" t="s">
        <v>169</v>
      </c>
      <c r="Y27" s="101" t="s">
        <v>170</v>
      </c>
      <c r="Z27" s="101" t="s">
        <v>171</v>
      </c>
      <c r="AA27" s="101" t="s">
        <v>50</v>
      </c>
      <c r="AB27" s="101" t="s">
        <v>172</v>
      </c>
      <c r="AC27" s="102" t="s">
        <v>173</v>
      </c>
    </row>
    <row r="28" spans="1:29" ht="28" customHeight="1" x14ac:dyDescent="0.35">
      <c r="A28" s="392"/>
      <c r="B28" s="393"/>
      <c r="C28" s="99" t="str">
        <f>IF(B28="","",IF(NOT(ISNUMBER(B28)),"DATA_PC invalida",IF(NOT(ISNUMBER(parametros!$C$2)),"Fora dos ciclos",IF(OR(B28&lt;parametros!$C$2,(YEAR(B28)-YEAR(parametros!$C$2))*12+MONTH(B28)-MONTH(parametros!$C$2)&gt;59),"Fora dos ciclos","C"&amp;INT(((YEAR(B28)-YEAR(parametros!$C$2))*12+MONTH(B28)-MONTH(parametros!$C$2))/12)))))</f>
        <v/>
      </c>
      <c r="D28" s="394"/>
      <c r="E28" s="78" t="str">
        <f>IF(C28="","",IFERROR(VLOOKUP(C28,parametros!$A$11:$E$15,5,0),""))</f>
        <v/>
      </c>
      <c r="F28" s="79" t="str">
        <f t="shared" si="0"/>
        <v/>
      </c>
      <c r="G28" s="395"/>
      <c r="H28" s="91">
        <f t="shared" si="1"/>
        <v>0</v>
      </c>
      <c r="I28" s="91" t="str">
        <f t="shared" si="2"/>
        <v/>
      </c>
      <c r="J28" s="91" t="str">
        <f t="shared" si="3"/>
        <v/>
      </c>
      <c r="K28" s="92" t="str">
        <f>IF(AND(A28="",B28="",D28="",G28=""),"",IF(AND(A28&lt;&gt;"",COUNTIF($A$2:$A$5001,A28)&gt;1),"NUMERO_PC duplicado",IF(B28="","DATA_PC vazia",IF(NOT(ISNUMBER(B28)),"DATA_PC invalida",IF(OR(C28="",C28="Fora dos ciclos"),"CICLO_PC nao identificado",IF(OR(D28="",D28=0),"VALOR_PC vazio ou zero",IF(AND(G28&lt;&gt;"Sim",G28&lt;&gt;"Nao",G28&lt;&gt;""),"PC_PAGO_A_CONTRATADA invalido",IF(AND(C28&lt;&gt;"C0",IFERROR(INDEX(parametros!$A$2:$A$6,MATCH(C28,parametros!$B$2:$B$6,0)),"")="Sim",IFERROR(INDEX(parametros!$H$2:$H$6,MATCH(C28,parametros!$B$2:$B$6,0)),"")=""),"INICIO_EFEITO ausente: PC "&amp;A28&amp;" - "&amp;C28,IF(L28="","EFEITO_PC nao calculado: PC "&amp;A28&amp;" - "&amp;C28,"OK")))))))))</f>
        <v/>
      </c>
      <c r="L28" s="92" t="str">
        <f>IF(AND(A28="",B28="",D28="",G28=""),"",IF(OR(B28="",NOT(ISNUMBER(B28)),C28="",C28="Fora dos ciclos"),"",IF(C28="C0","Nao",IF(IFERROR(INDEX(parametros!$A$2:$A$6,MATCH(C28,parametros!$B$2:$B$6,0)),"")&lt;&gt;"Sim","Nao",IF(IFERROR(INDEX(parametros!$H$2:$H$6,MATCH(C28,parametros!$B$2:$B$6,0)),"")="","",IF(B28&gt;=IFERROR(INDEX(parametros!$H$2:$H$6,MATCH(C28,parametros!$B$2:$B$6,0)),""),"Sim","Nao"))))))</f>
        <v/>
      </c>
      <c r="M28" s="427" t="s">
        <v>194</v>
      </c>
      <c r="N28" s="422"/>
      <c r="O28" s="422"/>
      <c r="P28" s="422"/>
      <c r="Q28" s="422"/>
      <c r="R28" s="422"/>
      <c r="S28" s="422"/>
      <c r="T28" s="423"/>
      <c r="U28" s="214" t="str">
        <f t="shared" si="4"/>
        <v/>
      </c>
      <c r="V28" s="212" t="s">
        <v>50</v>
      </c>
      <c r="W28" s="100" t="s">
        <v>168</v>
      </c>
      <c r="X28" s="100" t="s">
        <v>169</v>
      </c>
      <c r="Y28" s="101" t="s">
        <v>170</v>
      </c>
      <c r="Z28" s="101" t="s">
        <v>171</v>
      </c>
      <c r="AA28" s="101" t="s">
        <v>50</v>
      </c>
      <c r="AB28" s="101" t="s">
        <v>172</v>
      </c>
      <c r="AC28" s="102" t="s">
        <v>173</v>
      </c>
    </row>
    <row r="29" spans="1:29" ht="28" customHeight="1" x14ac:dyDescent="0.35">
      <c r="A29" s="392"/>
      <c r="B29" s="393"/>
      <c r="C29" s="99" t="str">
        <f>IF(B29="","",IF(NOT(ISNUMBER(B29)),"DATA_PC invalida",IF(NOT(ISNUMBER(parametros!$C$2)),"Fora dos ciclos",IF(OR(B29&lt;parametros!$C$2,(YEAR(B29)-YEAR(parametros!$C$2))*12+MONTH(B29)-MONTH(parametros!$C$2)&gt;59),"Fora dos ciclos","C"&amp;INT(((YEAR(B29)-YEAR(parametros!$C$2))*12+MONTH(B29)-MONTH(parametros!$C$2))/12)))))</f>
        <v/>
      </c>
      <c r="D29" s="394"/>
      <c r="E29" s="78" t="str">
        <f>IF(C29="","",IFERROR(VLOOKUP(C29,parametros!$A$11:$E$15,5,0),""))</f>
        <v/>
      </c>
      <c r="F29" s="79" t="str">
        <f t="shared" si="0"/>
        <v/>
      </c>
      <c r="G29" s="395"/>
      <c r="H29" s="91">
        <f t="shared" si="1"/>
        <v>0</v>
      </c>
      <c r="I29" s="91" t="str">
        <f t="shared" si="2"/>
        <v/>
      </c>
      <c r="J29" s="91" t="str">
        <f t="shared" si="3"/>
        <v/>
      </c>
      <c r="K29" s="92" t="str">
        <f>IF(AND(A29="",B29="",D29="",G29=""),"",IF(AND(A29&lt;&gt;"",COUNTIF($A$2:$A$5001,A29)&gt;1),"NUMERO_PC duplicado",IF(B29="","DATA_PC vazia",IF(NOT(ISNUMBER(B29)),"DATA_PC invalida",IF(OR(C29="",C29="Fora dos ciclos"),"CICLO_PC nao identificado",IF(OR(D29="",D29=0),"VALOR_PC vazio ou zero",IF(AND(G29&lt;&gt;"Sim",G29&lt;&gt;"Nao",G29&lt;&gt;""),"PC_PAGO_A_CONTRATADA invalido",IF(AND(C29&lt;&gt;"C0",IFERROR(INDEX(parametros!$A$2:$A$6,MATCH(C29,parametros!$B$2:$B$6,0)),"")="Sim",IFERROR(INDEX(parametros!$H$2:$H$6,MATCH(C29,parametros!$B$2:$B$6,0)),"")=""),"INICIO_EFEITO ausente: PC "&amp;A29&amp;" - "&amp;C29,IF(L29="","EFEITO_PC nao calculado: PC "&amp;A29&amp;" - "&amp;C29,"OK")))))))))</f>
        <v/>
      </c>
      <c r="L29" s="92" t="str">
        <f>IF(AND(A29="",B29="",D29="",G29=""),"",IF(OR(B29="",NOT(ISNUMBER(B29)),C29="",C29="Fora dos ciclos"),"",IF(C29="C0","Nao",IF(IFERROR(INDEX(parametros!$A$2:$A$6,MATCH(C29,parametros!$B$2:$B$6,0)),"")&lt;&gt;"Sim","Nao",IF(IFERROR(INDEX(parametros!$H$2:$H$6,MATCH(C29,parametros!$B$2:$B$6,0)),"")="","",IF(B29&gt;=IFERROR(INDEX(parametros!$H$2:$H$6,MATCH(C29,parametros!$B$2:$B$6,0)),""),"Sim","Nao"))))))</f>
        <v/>
      </c>
      <c r="M29" s="427" t="s">
        <v>195</v>
      </c>
      <c r="N29" s="422"/>
      <c r="O29" s="422"/>
      <c r="P29" s="422"/>
      <c r="Q29" s="422"/>
      <c r="R29" s="422"/>
      <c r="S29" s="422"/>
      <c r="T29" s="423"/>
      <c r="U29" s="214" t="str">
        <f t="shared" si="4"/>
        <v/>
      </c>
      <c r="V29" s="212" t="s">
        <v>50</v>
      </c>
      <c r="W29" s="100" t="s">
        <v>168</v>
      </c>
      <c r="X29" s="100" t="s">
        <v>169</v>
      </c>
      <c r="Y29" s="101" t="s">
        <v>170</v>
      </c>
      <c r="Z29" s="101" t="s">
        <v>171</v>
      </c>
      <c r="AA29" s="101" t="s">
        <v>50</v>
      </c>
      <c r="AB29" s="101" t="s">
        <v>172</v>
      </c>
      <c r="AC29" s="102" t="s">
        <v>173</v>
      </c>
    </row>
    <row r="30" spans="1:29" ht="25.5" customHeight="1" x14ac:dyDescent="0.35">
      <c r="A30" s="392"/>
      <c r="B30" s="393"/>
      <c r="C30" s="99" t="str">
        <f>IF(B30="","",IF(NOT(ISNUMBER(B30)),"DATA_PC invalida",IF(NOT(ISNUMBER(parametros!$C$2)),"Fora dos ciclos",IF(OR(B30&lt;parametros!$C$2,(YEAR(B30)-YEAR(parametros!$C$2))*12+MONTH(B30)-MONTH(parametros!$C$2)&gt;59),"Fora dos ciclos","C"&amp;INT(((YEAR(B30)-YEAR(parametros!$C$2))*12+MONTH(B30)-MONTH(parametros!$C$2))/12)))))</f>
        <v/>
      </c>
      <c r="D30" s="394"/>
      <c r="E30" s="78" t="str">
        <f>IF(C30="","",IFERROR(VLOOKUP(C30,parametros!$A$11:$E$15,5,0),""))</f>
        <v/>
      </c>
      <c r="F30" s="79" t="str">
        <f t="shared" si="0"/>
        <v/>
      </c>
      <c r="G30" s="395"/>
      <c r="H30" s="91">
        <f t="shared" si="1"/>
        <v>0</v>
      </c>
      <c r="I30" s="91" t="str">
        <f t="shared" si="2"/>
        <v/>
      </c>
      <c r="J30" s="91" t="str">
        <f t="shared" si="3"/>
        <v/>
      </c>
      <c r="K30" s="92" t="str">
        <f>IF(AND(A30="",B30="",D30="",G30=""),"",IF(AND(A30&lt;&gt;"",COUNTIF($A$2:$A$5001,A30)&gt;1),"NUMERO_PC duplicado",IF(B30="","DATA_PC vazia",IF(NOT(ISNUMBER(B30)),"DATA_PC invalida",IF(OR(C30="",C30="Fora dos ciclos"),"CICLO_PC nao identificado",IF(OR(D30="",D30=0),"VALOR_PC vazio ou zero",IF(AND(G30&lt;&gt;"Sim",G30&lt;&gt;"Nao",G30&lt;&gt;""),"PC_PAGO_A_CONTRATADA invalido",IF(AND(C30&lt;&gt;"C0",IFERROR(INDEX(parametros!$A$2:$A$6,MATCH(C30,parametros!$B$2:$B$6,0)),"")="Sim",IFERROR(INDEX(parametros!$H$2:$H$6,MATCH(C30,parametros!$B$2:$B$6,0)),"")=""),"INICIO_EFEITO ausente: PC "&amp;A30&amp;" - "&amp;C30,IF(L30="","EFEITO_PC nao calculado: PC "&amp;A30&amp;" - "&amp;C30,"OK")))))))))</f>
        <v/>
      </c>
      <c r="L30" s="92" t="str">
        <f>IF(AND(A30="",B30="",D30="",G30=""),"",IF(OR(B30="",NOT(ISNUMBER(B30)),C30="",C30="Fora dos ciclos"),"",IF(C30="C0","Nao",IF(IFERROR(INDEX(parametros!$A$2:$A$6,MATCH(C30,parametros!$B$2:$B$6,0)),"")&lt;&gt;"Sim","Nao",IF(IFERROR(INDEX(parametros!$H$2:$H$6,MATCH(C30,parametros!$B$2:$B$6,0)),"")="","",IF(B30&gt;=IFERROR(INDEX(parametros!$H$2:$H$6,MATCH(C30,parametros!$B$2:$B$6,0)),""),"Sim","Nao"))))))</f>
        <v/>
      </c>
      <c r="M30" s="14"/>
      <c r="N30" s="14"/>
      <c r="O30" s="14"/>
      <c r="P30" s="14"/>
      <c r="Q30" s="14"/>
      <c r="R30" s="14"/>
      <c r="S30" s="14"/>
      <c r="T30" s="211"/>
      <c r="U30" s="214" t="str">
        <f t="shared" si="4"/>
        <v/>
      </c>
      <c r="V30" s="212" t="s">
        <v>50</v>
      </c>
      <c r="W30" s="100" t="s">
        <v>168</v>
      </c>
      <c r="X30" s="100" t="s">
        <v>169</v>
      </c>
      <c r="Y30" s="101" t="s">
        <v>170</v>
      </c>
      <c r="Z30" s="101" t="s">
        <v>171</v>
      </c>
      <c r="AA30" s="101" t="s">
        <v>50</v>
      </c>
      <c r="AB30" s="101" t="s">
        <v>172</v>
      </c>
      <c r="AC30" s="102" t="s">
        <v>173</v>
      </c>
    </row>
    <row r="31" spans="1:29" ht="25.5" customHeight="1" x14ac:dyDescent="0.35">
      <c r="A31" s="392"/>
      <c r="B31" s="393"/>
      <c r="C31" s="99" t="str">
        <f>IF(B31="","",IF(NOT(ISNUMBER(B31)),"DATA_PC invalida",IF(NOT(ISNUMBER(parametros!$C$2)),"Fora dos ciclos",IF(OR(B31&lt;parametros!$C$2,(YEAR(B31)-YEAR(parametros!$C$2))*12+MONTH(B31)-MONTH(parametros!$C$2)&gt;59),"Fora dos ciclos","C"&amp;INT(((YEAR(B31)-YEAR(parametros!$C$2))*12+MONTH(B31)-MONTH(parametros!$C$2))/12)))))</f>
        <v/>
      </c>
      <c r="D31" s="394"/>
      <c r="E31" s="78" t="str">
        <f>IF(C31="","",IFERROR(VLOOKUP(C31,parametros!$A$11:$E$15,5,0),""))</f>
        <v/>
      </c>
      <c r="F31" s="79" t="str">
        <f t="shared" si="0"/>
        <v/>
      </c>
      <c r="G31" s="395"/>
      <c r="H31" s="91">
        <f t="shared" si="1"/>
        <v>0</v>
      </c>
      <c r="I31" s="91" t="str">
        <f t="shared" si="2"/>
        <v/>
      </c>
      <c r="J31" s="91" t="str">
        <f t="shared" si="3"/>
        <v/>
      </c>
      <c r="K31" s="92" t="str">
        <f>IF(AND(A31="",B31="",D31="",G31=""),"",IF(AND(A31&lt;&gt;"",COUNTIF($A$2:$A$5001,A31)&gt;1),"NUMERO_PC duplicado",IF(B31="","DATA_PC vazia",IF(NOT(ISNUMBER(B31)),"DATA_PC invalida",IF(OR(C31="",C31="Fora dos ciclos"),"CICLO_PC nao identificado",IF(OR(D31="",D31=0),"VALOR_PC vazio ou zero",IF(AND(G31&lt;&gt;"Sim",G31&lt;&gt;"Nao",G31&lt;&gt;""),"PC_PAGO_A_CONTRATADA invalido",IF(AND(C31&lt;&gt;"C0",IFERROR(INDEX(parametros!$A$2:$A$6,MATCH(C31,parametros!$B$2:$B$6,0)),"")="Sim",IFERROR(INDEX(parametros!$H$2:$H$6,MATCH(C31,parametros!$B$2:$B$6,0)),"")=""),"INICIO_EFEITO ausente: PC "&amp;A31&amp;" - "&amp;C31,IF(L31="","EFEITO_PC nao calculado: PC "&amp;A31&amp;" - "&amp;C31,"OK")))))))))</f>
        <v/>
      </c>
      <c r="L31" s="92" t="str">
        <f>IF(AND(A31="",B31="",D31="",G31=""),"",IF(OR(B31="",NOT(ISNUMBER(B31)),C31="",C31="Fora dos ciclos"),"",IF(C31="C0","Nao",IF(IFERROR(INDEX(parametros!$A$2:$A$6,MATCH(C31,parametros!$B$2:$B$6,0)),"")&lt;&gt;"Sim","Nao",IF(IFERROR(INDEX(parametros!$H$2:$H$6,MATCH(C31,parametros!$B$2:$B$6,0)),"")="","",IF(B31&gt;=IFERROR(INDEX(parametros!$H$2:$H$6,MATCH(C31,parametros!$B$2:$B$6,0)),""),"Sim","Nao"))))))</f>
        <v/>
      </c>
      <c r="M31" s="14"/>
      <c r="N31" s="14"/>
      <c r="O31" s="14"/>
      <c r="P31" s="14"/>
      <c r="Q31" s="14"/>
      <c r="R31" s="14"/>
      <c r="S31" s="14"/>
      <c r="T31" s="211"/>
      <c r="U31" s="214" t="str">
        <f t="shared" si="4"/>
        <v/>
      </c>
      <c r="V31" s="212" t="s">
        <v>50</v>
      </c>
      <c r="W31" s="100" t="s">
        <v>168</v>
      </c>
      <c r="X31" s="100" t="s">
        <v>169</v>
      </c>
      <c r="Y31" s="101" t="s">
        <v>170</v>
      </c>
      <c r="Z31" s="101" t="s">
        <v>171</v>
      </c>
      <c r="AA31" s="101" t="s">
        <v>50</v>
      </c>
      <c r="AB31" s="101" t="s">
        <v>172</v>
      </c>
      <c r="AC31" s="102" t="s">
        <v>173</v>
      </c>
    </row>
    <row r="32" spans="1:29" ht="25.5" customHeight="1" x14ac:dyDescent="0.35">
      <c r="A32" s="392"/>
      <c r="B32" s="393"/>
      <c r="C32" s="99" t="str">
        <f>IF(B32="","",IF(NOT(ISNUMBER(B32)),"DATA_PC invalida",IF(NOT(ISNUMBER(parametros!$C$2)),"Fora dos ciclos",IF(OR(B32&lt;parametros!$C$2,(YEAR(B32)-YEAR(parametros!$C$2))*12+MONTH(B32)-MONTH(parametros!$C$2)&gt;59),"Fora dos ciclos","C"&amp;INT(((YEAR(B32)-YEAR(parametros!$C$2))*12+MONTH(B32)-MONTH(parametros!$C$2))/12)))))</f>
        <v/>
      </c>
      <c r="D32" s="394"/>
      <c r="E32" s="78" t="str">
        <f>IF(C32="","",IFERROR(VLOOKUP(C32,parametros!$A$11:$E$15,5,0),""))</f>
        <v/>
      </c>
      <c r="F32" s="79" t="str">
        <f t="shared" si="0"/>
        <v/>
      </c>
      <c r="G32" s="395"/>
      <c r="H32" s="91">
        <f t="shared" si="1"/>
        <v>0</v>
      </c>
      <c r="I32" s="91" t="str">
        <f t="shared" si="2"/>
        <v/>
      </c>
      <c r="J32" s="91" t="str">
        <f t="shared" si="3"/>
        <v/>
      </c>
      <c r="K32" s="92" t="str">
        <f>IF(AND(A32="",B32="",D32="",G32=""),"",IF(AND(A32&lt;&gt;"",COUNTIF($A$2:$A$5001,A32)&gt;1),"NUMERO_PC duplicado",IF(B32="","DATA_PC vazia",IF(NOT(ISNUMBER(B32)),"DATA_PC invalida",IF(OR(C32="",C32="Fora dos ciclos"),"CICLO_PC nao identificado",IF(OR(D32="",D32=0),"VALOR_PC vazio ou zero",IF(AND(G32&lt;&gt;"Sim",G32&lt;&gt;"Nao",G32&lt;&gt;""),"PC_PAGO_A_CONTRATADA invalido",IF(AND(C32&lt;&gt;"C0",IFERROR(INDEX(parametros!$A$2:$A$6,MATCH(C32,parametros!$B$2:$B$6,0)),"")="Sim",IFERROR(INDEX(parametros!$H$2:$H$6,MATCH(C32,parametros!$B$2:$B$6,0)),"")=""),"INICIO_EFEITO ausente: PC "&amp;A32&amp;" - "&amp;C32,IF(L32="","EFEITO_PC nao calculado: PC "&amp;A32&amp;" - "&amp;C32,"OK")))))))))</f>
        <v/>
      </c>
      <c r="L32" s="92" t="str">
        <f>IF(AND(A32="",B32="",D32="",G32=""),"",IF(OR(B32="",NOT(ISNUMBER(B32)),C32="",C32="Fora dos ciclos"),"",IF(C32="C0","Nao",IF(IFERROR(INDEX(parametros!$A$2:$A$6,MATCH(C32,parametros!$B$2:$B$6,0)),"")&lt;&gt;"Sim","Nao",IF(IFERROR(INDEX(parametros!$H$2:$H$6,MATCH(C32,parametros!$B$2:$B$6,0)),"")="","",IF(B32&gt;=IFERROR(INDEX(parametros!$H$2:$H$6,MATCH(C32,parametros!$B$2:$B$6,0)),""),"Sim","Nao"))))))</f>
        <v/>
      </c>
      <c r="M32" s="14"/>
      <c r="N32" s="14"/>
      <c r="O32" s="14"/>
      <c r="P32" s="14"/>
      <c r="Q32" s="14"/>
      <c r="R32" s="14"/>
      <c r="S32" s="14"/>
      <c r="T32" s="211"/>
      <c r="U32" s="214" t="str">
        <f t="shared" si="4"/>
        <v/>
      </c>
      <c r="V32" s="212" t="s">
        <v>50</v>
      </c>
      <c r="W32" s="100" t="s">
        <v>168</v>
      </c>
      <c r="X32" s="100" t="s">
        <v>169</v>
      </c>
      <c r="Y32" s="101" t="s">
        <v>170</v>
      </c>
      <c r="Z32" s="101" t="s">
        <v>171</v>
      </c>
      <c r="AA32" s="101" t="s">
        <v>50</v>
      </c>
      <c r="AB32" s="101" t="s">
        <v>172</v>
      </c>
      <c r="AC32" s="102" t="s">
        <v>173</v>
      </c>
    </row>
    <row r="33" spans="1:29" ht="25.5" customHeight="1" x14ac:dyDescent="0.35">
      <c r="A33" s="392"/>
      <c r="B33" s="393"/>
      <c r="C33" s="99" t="str">
        <f>IF(B33="","",IF(NOT(ISNUMBER(B33)),"DATA_PC invalida",IF(NOT(ISNUMBER(parametros!$C$2)),"Fora dos ciclos",IF(OR(B33&lt;parametros!$C$2,(YEAR(B33)-YEAR(parametros!$C$2))*12+MONTH(B33)-MONTH(parametros!$C$2)&gt;59),"Fora dos ciclos","C"&amp;INT(((YEAR(B33)-YEAR(parametros!$C$2))*12+MONTH(B33)-MONTH(parametros!$C$2))/12)))))</f>
        <v/>
      </c>
      <c r="D33" s="394"/>
      <c r="E33" s="78" t="str">
        <f>IF(C33="","",IFERROR(VLOOKUP(C33,parametros!$A$11:$E$15,5,0),""))</f>
        <v/>
      </c>
      <c r="F33" s="79" t="str">
        <f t="shared" si="0"/>
        <v/>
      </c>
      <c r="G33" s="395"/>
      <c r="H33" s="91">
        <f t="shared" si="1"/>
        <v>0</v>
      </c>
      <c r="I33" s="91" t="str">
        <f t="shared" si="2"/>
        <v/>
      </c>
      <c r="J33" s="91" t="str">
        <f t="shared" si="3"/>
        <v/>
      </c>
      <c r="K33" s="92" t="str">
        <f>IF(AND(A33="",B33="",D33="",G33=""),"",IF(AND(A33&lt;&gt;"",COUNTIF($A$2:$A$5001,A33)&gt;1),"NUMERO_PC duplicado",IF(B33="","DATA_PC vazia",IF(NOT(ISNUMBER(B33)),"DATA_PC invalida",IF(OR(C33="",C33="Fora dos ciclos"),"CICLO_PC nao identificado",IF(OR(D33="",D33=0),"VALOR_PC vazio ou zero",IF(AND(G33&lt;&gt;"Sim",G33&lt;&gt;"Nao",G33&lt;&gt;""),"PC_PAGO_A_CONTRATADA invalido",IF(AND(C33&lt;&gt;"C0",IFERROR(INDEX(parametros!$A$2:$A$6,MATCH(C33,parametros!$B$2:$B$6,0)),"")="Sim",IFERROR(INDEX(parametros!$H$2:$H$6,MATCH(C33,parametros!$B$2:$B$6,0)),"")=""),"INICIO_EFEITO ausente: PC "&amp;A33&amp;" - "&amp;C33,IF(L33="","EFEITO_PC nao calculado: PC "&amp;A33&amp;" - "&amp;C33,"OK")))))))))</f>
        <v/>
      </c>
      <c r="L33" s="92" t="str">
        <f>IF(AND(A33="",B33="",D33="",G33=""),"",IF(OR(B33="",NOT(ISNUMBER(B33)),C33="",C33="Fora dos ciclos"),"",IF(C33="C0","Nao",IF(IFERROR(INDEX(parametros!$A$2:$A$6,MATCH(C33,parametros!$B$2:$B$6,0)),"")&lt;&gt;"Sim","Nao",IF(IFERROR(INDEX(parametros!$H$2:$H$6,MATCH(C33,parametros!$B$2:$B$6,0)),"")="","",IF(B33&gt;=IFERROR(INDEX(parametros!$H$2:$H$6,MATCH(C33,parametros!$B$2:$B$6,0)),""),"Sim","Nao"))))))</f>
        <v/>
      </c>
      <c r="M33" s="14"/>
      <c r="N33" s="14"/>
      <c r="O33" s="14"/>
      <c r="P33" s="14"/>
      <c r="Q33" s="14"/>
      <c r="R33" s="14"/>
      <c r="S33" s="14"/>
      <c r="T33" s="211"/>
      <c r="U33" s="214" t="str">
        <f t="shared" si="4"/>
        <v/>
      </c>
      <c r="V33" s="212" t="s">
        <v>50</v>
      </c>
      <c r="W33" s="100" t="s">
        <v>168</v>
      </c>
      <c r="X33" s="100" t="s">
        <v>169</v>
      </c>
      <c r="Y33" s="101" t="s">
        <v>170</v>
      </c>
      <c r="Z33" s="101" t="s">
        <v>171</v>
      </c>
      <c r="AA33" s="101" t="s">
        <v>50</v>
      </c>
      <c r="AB33" s="101" t="s">
        <v>172</v>
      </c>
      <c r="AC33" s="102" t="s">
        <v>173</v>
      </c>
    </row>
    <row r="34" spans="1:29" ht="25.5" customHeight="1" x14ac:dyDescent="0.35">
      <c r="A34" s="392"/>
      <c r="B34" s="393"/>
      <c r="C34" s="99" t="str">
        <f>IF(B34="","",IF(NOT(ISNUMBER(B34)),"DATA_PC invalida",IF(NOT(ISNUMBER(parametros!$C$2)),"Fora dos ciclos",IF(OR(B34&lt;parametros!$C$2,(YEAR(B34)-YEAR(parametros!$C$2))*12+MONTH(B34)-MONTH(parametros!$C$2)&gt;59),"Fora dos ciclos","C"&amp;INT(((YEAR(B34)-YEAR(parametros!$C$2))*12+MONTH(B34)-MONTH(parametros!$C$2))/12)))))</f>
        <v/>
      </c>
      <c r="D34" s="394"/>
      <c r="E34" s="78" t="str">
        <f>IF(C34="","",IFERROR(VLOOKUP(C34,parametros!$A$11:$E$15,5,0),""))</f>
        <v/>
      </c>
      <c r="F34" s="79" t="str">
        <f t="shared" si="0"/>
        <v/>
      </c>
      <c r="G34" s="395"/>
      <c r="H34" s="91">
        <f t="shared" si="1"/>
        <v>0</v>
      </c>
      <c r="I34" s="91" t="str">
        <f t="shared" si="2"/>
        <v/>
      </c>
      <c r="J34" s="91" t="str">
        <f t="shared" si="3"/>
        <v/>
      </c>
      <c r="K34" s="92" t="str">
        <f>IF(AND(A34="",B34="",D34="",G34=""),"",IF(AND(A34&lt;&gt;"",COUNTIF($A$2:$A$5001,A34)&gt;1),"NUMERO_PC duplicado",IF(B34="","DATA_PC vazia",IF(NOT(ISNUMBER(B34)),"DATA_PC invalida",IF(OR(C34="",C34="Fora dos ciclos"),"CICLO_PC nao identificado",IF(OR(D34="",D34=0),"VALOR_PC vazio ou zero",IF(AND(G34&lt;&gt;"Sim",G34&lt;&gt;"Nao",G34&lt;&gt;""),"PC_PAGO_A_CONTRATADA invalido",IF(AND(C34&lt;&gt;"C0",IFERROR(INDEX(parametros!$A$2:$A$6,MATCH(C34,parametros!$B$2:$B$6,0)),"")="Sim",IFERROR(INDEX(parametros!$H$2:$H$6,MATCH(C34,parametros!$B$2:$B$6,0)),"")=""),"INICIO_EFEITO ausente: PC "&amp;A34&amp;" - "&amp;C34,IF(L34="","EFEITO_PC nao calculado: PC "&amp;A34&amp;" - "&amp;C34,"OK")))))))))</f>
        <v/>
      </c>
      <c r="L34" s="92" t="str">
        <f>IF(AND(A34="",B34="",D34="",G34=""),"",IF(OR(B34="",NOT(ISNUMBER(B34)),C34="",C34="Fora dos ciclos"),"",IF(C34="C0","Nao",IF(IFERROR(INDEX(parametros!$A$2:$A$6,MATCH(C34,parametros!$B$2:$B$6,0)),"")&lt;&gt;"Sim","Nao",IF(IFERROR(INDEX(parametros!$H$2:$H$6,MATCH(C34,parametros!$B$2:$B$6,0)),"")="","",IF(B34&gt;=IFERROR(INDEX(parametros!$H$2:$H$6,MATCH(C34,parametros!$B$2:$B$6,0)),""),"Sim","Nao"))))))</f>
        <v/>
      </c>
      <c r="M34" s="14"/>
      <c r="N34" s="14"/>
      <c r="O34" s="14"/>
      <c r="P34" s="14"/>
      <c r="Q34" s="14"/>
      <c r="R34" s="14"/>
      <c r="S34" s="14"/>
      <c r="T34" s="211"/>
      <c r="U34" s="214" t="str">
        <f t="shared" si="4"/>
        <v/>
      </c>
      <c r="V34" s="212" t="s">
        <v>50</v>
      </c>
      <c r="W34" s="100" t="s">
        <v>168</v>
      </c>
      <c r="X34" s="100" t="s">
        <v>169</v>
      </c>
      <c r="Y34" s="101" t="s">
        <v>170</v>
      </c>
      <c r="Z34" s="101" t="s">
        <v>171</v>
      </c>
      <c r="AA34" s="101" t="s">
        <v>50</v>
      </c>
      <c r="AB34" s="101" t="s">
        <v>172</v>
      </c>
      <c r="AC34" s="102" t="s">
        <v>173</v>
      </c>
    </row>
    <row r="35" spans="1:29" ht="25.5" customHeight="1" x14ac:dyDescent="0.35">
      <c r="A35" s="392"/>
      <c r="B35" s="393"/>
      <c r="C35" s="99" t="str">
        <f>IF(B35="","",IF(NOT(ISNUMBER(B35)),"DATA_PC invalida",IF(NOT(ISNUMBER(parametros!$C$2)),"Fora dos ciclos",IF(OR(B35&lt;parametros!$C$2,(YEAR(B35)-YEAR(parametros!$C$2))*12+MONTH(B35)-MONTH(parametros!$C$2)&gt;59),"Fora dos ciclos","C"&amp;INT(((YEAR(B35)-YEAR(parametros!$C$2))*12+MONTH(B35)-MONTH(parametros!$C$2))/12)))))</f>
        <v/>
      </c>
      <c r="D35" s="394"/>
      <c r="E35" s="78" t="str">
        <f>IF(C35="","",IFERROR(VLOOKUP(C35,parametros!$A$11:$E$15,5,0),""))</f>
        <v/>
      </c>
      <c r="F35" s="79" t="str">
        <f t="shared" si="0"/>
        <v/>
      </c>
      <c r="G35" s="395"/>
      <c r="H35" s="91">
        <f t="shared" si="1"/>
        <v>0</v>
      </c>
      <c r="I35" s="91" t="str">
        <f t="shared" si="2"/>
        <v/>
      </c>
      <c r="J35" s="91" t="str">
        <f t="shared" si="3"/>
        <v/>
      </c>
      <c r="K35" s="92" t="str">
        <f>IF(AND(A35="",B35="",D35="",G35=""),"",IF(AND(A35&lt;&gt;"",COUNTIF($A$2:$A$5001,A35)&gt;1),"NUMERO_PC duplicado",IF(B35="","DATA_PC vazia",IF(NOT(ISNUMBER(B35)),"DATA_PC invalida",IF(OR(C35="",C35="Fora dos ciclos"),"CICLO_PC nao identificado",IF(OR(D35="",D35=0),"VALOR_PC vazio ou zero",IF(AND(G35&lt;&gt;"Sim",G35&lt;&gt;"Nao",G35&lt;&gt;""),"PC_PAGO_A_CONTRATADA invalido",IF(AND(C35&lt;&gt;"C0",IFERROR(INDEX(parametros!$A$2:$A$6,MATCH(C35,parametros!$B$2:$B$6,0)),"")="Sim",IFERROR(INDEX(parametros!$H$2:$H$6,MATCH(C35,parametros!$B$2:$B$6,0)),"")=""),"INICIO_EFEITO ausente: PC "&amp;A35&amp;" - "&amp;C35,IF(L35="","EFEITO_PC nao calculado: PC "&amp;A35&amp;" - "&amp;C35,"OK")))))))))</f>
        <v/>
      </c>
      <c r="L35" s="92" t="str">
        <f>IF(AND(A35="",B35="",D35="",G35=""),"",IF(OR(B35="",NOT(ISNUMBER(B35)),C35="",C35="Fora dos ciclos"),"",IF(C35="C0","Nao",IF(IFERROR(INDEX(parametros!$A$2:$A$6,MATCH(C35,parametros!$B$2:$B$6,0)),"")&lt;&gt;"Sim","Nao",IF(IFERROR(INDEX(parametros!$H$2:$H$6,MATCH(C35,parametros!$B$2:$B$6,0)),"")="","",IF(B35&gt;=IFERROR(INDEX(parametros!$H$2:$H$6,MATCH(C35,parametros!$B$2:$B$6,0)),""),"Sim","Nao"))))))</f>
        <v/>
      </c>
      <c r="M35" s="14"/>
      <c r="N35" s="14"/>
      <c r="O35" s="14"/>
      <c r="P35" s="14"/>
      <c r="Q35" s="14"/>
      <c r="R35" s="14"/>
      <c r="S35" s="14"/>
      <c r="T35" s="211"/>
      <c r="U35" s="214" t="str">
        <f t="shared" si="4"/>
        <v/>
      </c>
      <c r="V35" s="212" t="s">
        <v>50</v>
      </c>
      <c r="W35" s="100" t="s">
        <v>168</v>
      </c>
      <c r="X35" s="100" t="s">
        <v>169</v>
      </c>
      <c r="Y35" s="101" t="s">
        <v>170</v>
      </c>
      <c r="Z35" s="101" t="s">
        <v>171</v>
      </c>
      <c r="AA35" s="101" t="s">
        <v>50</v>
      </c>
      <c r="AB35" s="101" t="s">
        <v>172</v>
      </c>
      <c r="AC35" s="102" t="s">
        <v>173</v>
      </c>
    </row>
    <row r="36" spans="1:29" ht="25.5" customHeight="1" x14ac:dyDescent="0.35">
      <c r="A36" s="392"/>
      <c r="B36" s="393"/>
      <c r="C36" s="99" t="str">
        <f>IF(B36="","",IF(NOT(ISNUMBER(B36)),"DATA_PC invalida",IF(NOT(ISNUMBER(parametros!$C$2)),"Fora dos ciclos",IF(OR(B36&lt;parametros!$C$2,(YEAR(B36)-YEAR(parametros!$C$2))*12+MONTH(B36)-MONTH(parametros!$C$2)&gt;59),"Fora dos ciclos","C"&amp;INT(((YEAR(B36)-YEAR(parametros!$C$2))*12+MONTH(B36)-MONTH(parametros!$C$2))/12)))))</f>
        <v/>
      </c>
      <c r="D36" s="394"/>
      <c r="E36" s="78" t="str">
        <f>IF(C36="","",IFERROR(VLOOKUP(C36,parametros!$A$11:$E$15,5,0),""))</f>
        <v/>
      </c>
      <c r="F36" s="79" t="str">
        <f t="shared" si="0"/>
        <v/>
      </c>
      <c r="G36" s="395"/>
      <c r="H36" s="91">
        <f t="shared" si="1"/>
        <v>0</v>
      </c>
      <c r="I36" s="91" t="str">
        <f t="shared" si="2"/>
        <v/>
      </c>
      <c r="J36" s="91" t="str">
        <f t="shared" si="3"/>
        <v/>
      </c>
      <c r="K36" s="92" t="str">
        <f>IF(AND(A36="",B36="",D36="",G36=""),"",IF(AND(A36&lt;&gt;"",COUNTIF($A$2:$A$5001,A36)&gt;1),"NUMERO_PC duplicado",IF(B36="","DATA_PC vazia",IF(NOT(ISNUMBER(B36)),"DATA_PC invalida",IF(OR(C36="",C36="Fora dos ciclos"),"CICLO_PC nao identificado",IF(OR(D36="",D36=0),"VALOR_PC vazio ou zero",IF(AND(G36&lt;&gt;"Sim",G36&lt;&gt;"Nao",G36&lt;&gt;""),"PC_PAGO_A_CONTRATADA invalido",IF(AND(C36&lt;&gt;"C0",IFERROR(INDEX(parametros!$A$2:$A$6,MATCH(C36,parametros!$B$2:$B$6,0)),"")="Sim",IFERROR(INDEX(parametros!$H$2:$H$6,MATCH(C36,parametros!$B$2:$B$6,0)),"")=""),"INICIO_EFEITO ausente: PC "&amp;A36&amp;" - "&amp;C36,IF(L36="","EFEITO_PC nao calculado: PC "&amp;A36&amp;" - "&amp;C36,"OK")))))))))</f>
        <v/>
      </c>
      <c r="L36" s="92" t="str">
        <f>IF(AND(A36="",B36="",D36="",G36=""),"",IF(OR(B36="",NOT(ISNUMBER(B36)),C36="",C36="Fora dos ciclos"),"",IF(C36="C0","Nao",IF(IFERROR(INDEX(parametros!$A$2:$A$6,MATCH(C36,parametros!$B$2:$B$6,0)),"")&lt;&gt;"Sim","Nao",IF(IFERROR(INDEX(parametros!$H$2:$H$6,MATCH(C36,parametros!$B$2:$B$6,0)),"")="","",IF(B36&gt;=IFERROR(INDEX(parametros!$H$2:$H$6,MATCH(C36,parametros!$B$2:$B$6,0)),""),"Sim","Nao"))))))</f>
        <v/>
      </c>
      <c r="M36" s="14"/>
      <c r="N36" s="14"/>
      <c r="O36" s="14"/>
      <c r="P36" s="14"/>
      <c r="Q36" s="14"/>
      <c r="R36" s="14"/>
      <c r="S36" s="14"/>
      <c r="T36" s="211"/>
      <c r="U36" s="214" t="str">
        <f t="shared" si="4"/>
        <v/>
      </c>
      <c r="V36" s="212" t="s">
        <v>50</v>
      </c>
      <c r="W36" s="100" t="s">
        <v>168</v>
      </c>
      <c r="X36" s="100" t="s">
        <v>169</v>
      </c>
      <c r="Y36" s="101" t="s">
        <v>170</v>
      </c>
      <c r="Z36" s="101" t="s">
        <v>171</v>
      </c>
      <c r="AA36" s="101" t="s">
        <v>50</v>
      </c>
      <c r="AB36" s="101" t="s">
        <v>172</v>
      </c>
      <c r="AC36" s="102" t="s">
        <v>173</v>
      </c>
    </row>
    <row r="37" spans="1:29" ht="25.5" customHeight="1" x14ac:dyDescent="0.35">
      <c r="A37" s="392"/>
      <c r="B37" s="393"/>
      <c r="C37" s="99" t="str">
        <f>IF(B37="","",IF(NOT(ISNUMBER(B37)),"DATA_PC invalida",IF(NOT(ISNUMBER(parametros!$C$2)),"Fora dos ciclos",IF(OR(B37&lt;parametros!$C$2,(YEAR(B37)-YEAR(parametros!$C$2))*12+MONTH(B37)-MONTH(parametros!$C$2)&gt;59),"Fora dos ciclos","C"&amp;INT(((YEAR(B37)-YEAR(parametros!$C$2))*12+MONTH(B37)-MONTH(parametros!$C$2))/12)))))</f>
        <v/>
      </c>
      <c r="D37" s="394"/>
      <c r="E37" s="78" t="str">
        <f>IF(C37="","",IFERROR(VLOOKUP(C37,parametros!$A$11:$E$15,5,0),""))</f>
        <v/>
      </c>
      <c r="F37" s="79" t="str">
        <f t="shared" si="0"/>
        <v/>
      </c>
      <c r="G37" s="395"/>
      <c r="H37" s="91">
        <f t="shared" si="1"/>
        <v>0</v>
      </c>
      <c r="I37" s="91" t="str">
        <f t="shared" si="2"/>
        <v/>
      </c>
      <c r="J37" s="91" t="str">
        <f t="shared" si="3"/>
        <v/>
      </c>
      <c r="K37" s="92" t="str">
        <f>IF(AND(A37="",B37="",D37="",G37=""),"",IF(AND(A37&lt;&gt;"",COUNTIF($A$2:$A$5001,A37)&gt;1),"NUMERO_PC duplicado",IF(B37="","DATA_PC vazia",IF(NOT(ISNUMBER(B37)),"DATA_PC invalida",IF(OR(C37="",C37="Fora dos ciclos"),"CICLO_PC nao identificado",IF(OR(D37="",D37=0),"VALOR_PC vazio ou zero",IF(AND(G37&lt;&gt;"Sim",G37&lt;&gt;"Nao",G37&lt;&gt;""),"PC_PAGO_A_CONTRATADA invalido",IF(AND(C37&lt;&gt;"C0",IFERROR(INDEX(parametros!$A$2:$A$6,MATCH(C37,parametros!$B$2:$B$6,0)),"")="Sim",IFERROR(INDEX(parametros!$H$2:$H$6,MATCH(C37,parametros!$B$2:$B$6,0)),"")=""),"INICIO_EFEITO ausente: PC "&amp;A37&amp;" - "&amp;C37,IF(L37="","EFEITO_PC nao calculado: PC "&amp;A37&amp;" - "&amp;C37,"OK")))))))))</f>
        <v/>
      </c>
      <c r="L37" s="92" t="str">
        <f>IF(AND(A37="",B37="",D37="",G37=""),"",IF(OR(B37="",NOT(ISNUMBER(B37)),C37="",C37="Fora dos ciclos"),"",IF(C37="C0","Nao",IF(IFERROR(INDEX(parametros!$A$2:$A$6,MATCH(C37,parametros!$B$2:$B$6,0)),"")&lt;&gt;"Sim","Nao",IF(IFERROR(INDEX(parametros!$H$2:$H$6,MATCH(C37,parametros!$B$2:$B$6,0)),"")="","",IF(B37&gt;=IFERROR(INDEX(parametros!$H$2:$H$6,MATCH(C37,parametros!$B$2:$B$6,0)),""),"Sim","Nao"))))))</f>
        <v/>
      </c>
      <c r="M37" s="14"/>
      <c r="N37" s="14"/>
      <c r="O37" s="14"/>
      <c r="P37" s="14"/>
      <c r="Q37" s="14"/>
      <c r="R37" s="14"/>
      <c r="S37" s="14"/>
      <c r="T37" s="211"/>
      <c r="U37" s="214" t="str">
        <f t="shared" si="4"/>
        <v/>
      </c>
      <c r="V37" s="212" t="s">
        <v>50</v>
      </c>
      <c r="W37" s="100" t="s">
        <v>168</v>
      </c>
      <c r="X37" s="100" t="s">
        <v>169</v>
      </c>
      <c r="Y37" s="101" t="s">
        <v>170</v>
      </c>
      <c r="Z37" s="101" t="s">
        <v>171</v>
      </c>
      <c r="AA37" s="101" t="s">
        <v>50</v>
      </c>
      <c r="AB37" s="101" t="s">
        <v>172</v>
      </c>
      <c r="AC37" s="102" t="s">
        <v>173</v>
      </c>
    </row>
    <row r="38" spans="1:29" ht="25.5" customHeight="1" x14ac:dyDescent="0.35">
      <c r="A38" s="392"/>
      <c r="B38" s="393"/>
      <c r="C38" s="99" t="str">
        <f>IF(B38="","",IF(NOT(ISNUMBER(B38)),"DATA_PC invalida",IF(NOT(ISNUMBER(parametros!$C$2)),"Fora dos ciclos",IF(OR(B38&lt;parametros!$C$2,(YEAR(B38)-YEAR(parametros!$C$2))*12+MONTH(B38)-MONTH(parametros!$C$2)&gt;59),"Fora dos ciclos","C"&amp;INT(((YEAR(B38)-YEAR(parametros!$C$2))*12+MONTH(B38)-MONTH(parametros!$C$2))/12)))))</f>
        <v/>
      </c>
      <c r="D38" s="394"/>
      <c r="E38" s="78" t="str">
        <f>IF(C38="","",IFERROR(VLOOKUP(C38,parametros!$A$11:$E$15,5,0),""))</f>
        <v/>
      </c>
      <c r="F38" s="79" t="str">
        <f t="shared" si="0"/>
        <v/>
      </c>
      <c r="G38" s="395"/>
      <c r="H38" s="91">
        <f t="shared" si="1"/>
        <v>0</v>
      </c>
      <c r="I38" s="91" t="str">
        <f t="shared" si="2"/>
        <v/>
      </c>
      <c r="J38" s="91" t="str">
        <f t="shared" si="3"/>
        <v/>
      </c>
      <c r="K38" s="92" t="str">
        <f>IF(AND(A38="",B38="",D38="",G38=""),"",IF(AND(A38&lt;&gt;"",COUNTIF($A$2:$A$5001,A38)&gt;1),"NUMERO_PC duplicado",IF(B38="","DATA_PC vazia",IF(NOT(ISNUMBER(B38)),"DATA_PC invalida",IF(OR(C38="",C38="Fora dos ciclos"),"CICLO_PC nao identificado",IF(OR(D38="",D38=0),"VALOR_PC vazio ou zero",IF(AND(G38&lt;&gt;"Sim",G38&lt;&gt;"Nao",G38&lt;&gt;""),"PC_PAGO_A_CONTRATADA invalido",IF(AND(C38&lt;&gt;"C0",IFERROR(INDEX(parametros!$A$2:$A$6,MATCH(C38,parametros!$B$2:$B$6,0)),"")="Sim",IFERROR(INDEX(parametros!$H$2:$H$6,MATCH(C38,parametros!$B$2:$B$6,0)),"")=""),"INICIO_EFEITO ausente: PC "&amp;A38&amp;" - "&amp;C38,IF(L38="","EFEITO_PC nao calculado: PC "&amp;A38&amp;" - "&amp;C38,"OK")))))))))</f>
        <v/>
      </c>
      <c r="L38" s="92" t="str">
        <f>IF(AND(A38="",B38="",D38="",G38=""),"",IF(OR(B38="",NOT(ISNUMBER(B38)),C38="",C38="Fora dos ciclos"),"",IF(C38="C0","Nao",IF(IFERROR(INDEX(parametros!$A$2:$A$6,MATCH(C38,parametros!$B$2:$B$6,0)),"")&lt;&gt;"Sim","Nao",IF(IFERROR(INDEX(parametros!$H$2:$H$6,MATCH(C38,parametros!$B$2:$B$6,0)),"")="","",IF(B38&gt;=IFERROR(INDEX(parametros!$H$2:$H$6,MATCH(C38,parametros!$B$2:$B$6,0)),""),"Sim","Nao"))))))</f>
        <v/>
      </c>
      <c r="M38" s="14"/>
      <c r="N38" s="14"/>
      <c r="O38" s="14"/>
      <c r="P38" s="14"/>
      <c r="Q38" s="14"/>
      <c r="R38" s="14"/>
      <c r="S38" s="14"/>
      <c r="T38" s="211"/>
      <c r="U38" s="214" t="str">
        <f t="shared" si="4"/>
        <v/>
      </c>
      <c r="V38" s="212" t="s">
        <v>50</v>
      </c>
      <c r="W38" s="100" t="s">
        <v>168</v>
      </c>
      <c r="X38" s="100" t="s">
        <v>169</v>
      </c>
      <c r="Y38" s="101" t="s">
        <v>170</v>
      </c>
      <c r="Z38" s="101" t="s">
        <v>171</v>
      </c>
      <c r="AA38" s="101" t="s">
        <v>50</v>
      </c>
      <c r="AB38" s="101" t="s">
        <v>172</v>
      </c>
      <c r="AC38" s="102" t="s">
        <v>173</v>
      </c>
    </row>
    <row r="39" spans="1:29" ht="25.5" customHeight="1" x14ac:dyDescent="0.35">
      <c r="A39" s="392"/>
      <c r="B39" s="393"/>
      <c r="C39" s="99" t="str">
        <f>IF(B39="","",IF(NOT(ISNUMBER(B39)),"DATA_PC invalida",IF(NOT(ISNUMBER(parametros!$C$2)),"Fora dos ciclos",IF(OR(B39&lt;parametros!$C$2,(YEAR(B39)-YEAR(parametros!$C$2))*12+MONTH(B39)-MONTH(parametros!$C$2)&gt;59),"Fora dos ciclos","C"&amp;INT(((YEAR(B39)-YEAR(parametros!$C$2))*12+MONTH(B39)-MONTH(parametros!$C$2))/12)))))</f>
        <v/>
      </c>
      <c r="D39" s="394"/>
      <c r="E39" s="78" t="str">
        <f>IF(C39="","",IFERROR(VLOOKUP(C39,parametros!$A$11:$E$15,5,0),""))</f>
        <v/>
      </c>
      <c r="F39" s="79" t="str">
        <f t="shared" si="0"/>
        <v/>
      </c>
      <c r="G39" s="395"/>
      <c r="H39" s="91">
        <f t="shared" si="1"/>
        <v>0</v>
      </c>
      <c r="I39" s="91" t="str">
        <f t="shared" si="2"/>
        <v/>
      </c>
      <c r="J39" s="91" t="str">
        <f t="shared" si="3"/>
        <v/>
      </c>
      <c r="K39" s="92" t="str">
        <f>IF(AND(A39="",B39="",D39="",G39=""),"",IF(AND(A39&lt;&gt;"",COUNTIF($A$2:$A$5001,A39)&gt;1),"NUMERO_PC duplicado",IF(B39="","DATA_PC vazia",IF(NOT(ISNUMBER(B39)),"DATA_PC invalida",IF(OR(C39="",C39="Fora dos ciclos"),"CICLO_PC nao identificado",IF(OR(D39="",D39=0),"VALOR_PC vazio ou zero",IF(AND(G39&lt;&gt;"Sim",G39&lt;&gt;"Nao",G39&lt;&gt;""),"PC_PAGO_A_CONTRATADA invalido",IF(AND(C39&lt;&gt;"C0",IFERROR(INDEX(parametros!$A$2:$A$6,MATCH(C39,parametros!$B$2:$B$6,0)),"")="Sim",IFERROR(INDEX(parametros!$H$2:$H$6,MATCH(C39,parametros!$B$2:$B$6,0)),"")=""),"INICIO_EFEITO ausente: PC "&amp;A39&amp;" - "&amp;C39,IF(L39="","EFEITO_PC nao calculado: PC "&amp;A39&amp;" - "&amp;C39,"OK")))))))))</f>
        <v/>
      </c>
      <c r="L39" s="92" t="str">
        <f>IF(AND(A39="",B39="",D39="",G39=""),"",IF(OR(B39="",NOT(ISNUMBER(B39)),C39="",C39="Fora dos ciclos"),"",IF(C39="C0","Nao",IF(IFERROR(INDEX(parametros!$A$2:$A$6,MATCH(C39,parametros!$B$2:$B$6,0)),"")&lt;&gt;"Sim","Nao",IF(IFERROR(INDEX(parametros!$H$2:$H$6,MATCH(C39,parametros!$B$2:$B$6,0)),"")="","",IF(B39&gt;=IFERROR(INDEX(parametros!$H$2:$H$6,MATCH(C39,parametros!$B$2:$B$6,0)),""),"Sim","Nao"))))))</f>
        <v/>
      </c>
      <c r="M39" s="14"/>
      <c r="N39" s="14"/>
      <c r="O39" s="14"/>
      <c r="P39" s="14"/>
      <c r="Q39" s="14"/>
      <c r="R39" s="14"/>
      <c r="S39" s="14"/>
      <c r="T39" s="211"/>
      <c r="U39" s="214" t="str">
        <f t="shared" si="4"/>
        <v/>
      </c>
      <c r="V39" s="212" t="s">
        <v>50</v>
      </c>
      <c r="W39" s="100" t="s">
        <v>168</v>
      </c>
      <c r="X39" s="100" t="s">
        <v>169</v>
      </c>
      <c r="Y39" s="101" t="s">
        <v>170</v>
      </c>
      <c r="Z39" s="101" t="s">
        <v>171</v>
      </c>
      <c r="AA39" s="101" t="s">
        <v>50</v>
      </c>
      <c r="AB39" s="101" t="s">
        <v>172</v>
      </c>
      <c r="AC39" s="102" t="s">
        <v>173</v>
      </c>
    </row>
    <row r="40" spans="1:29" ht="25.5" customHeight="1" x14ac:dyDescent="0.35">
      <c r="A40" s="392"/>
      <c r="B40" s="393"/>
      <c r="C40" s="99" t="str">
        <f>IF(B40="","",IF(NOT(ISNUMBER(B40)),"DATA_PC invalida",IF(NOT(ISNUMBER(parametros!$C$2)),"Fora dos ciclos",IF(OR(B40&lt;parametros!$C$2,(YEAR(B40)-YEAR(parametros!$C$2))*12+MONTH(B40)-MONTH(parametros!$C$2)&gt;59),"Fora dos ciclos","C"&amp;INT(((YEAR(B40)-YEAR(parametros!$C$2))*12+MONTH(B40)-MONTH(parametros!$C$2))/12)))))</f>
        <v/>
      </c>
      <c r="D40" s="394"/>
      <c r="E40" s="78" t="str">
        <f>IF(C40="","",IFERROR(VLOOKUP(C40,parametros!$A$11:$E$15,5,0),""))</f>
        <v/>
      </c>
      <c r="F40" s="79" t="str">
        <f t="shared" si="0"/>
        <v/>
      </c>
      <c r="G40" s="395"/>
      <c r="H40" s="91">
        <f t="shared" si="1"/>
        <v>0</v>
      </c>
      <c r="I40" s="91" t="str">
        <f t="shared" si="2"/>
        <v/>
      </c>
      <c r="J40" s="91" t="str">
        <f t="shared" si="3"/>
        <v/>
      </c>
      <c r="K40" s="92" t="str">
        <f>IF(AND(A40="",B40="",D40="",G40=""),"",IF(AND(A40&lt;&gt;"",COUNTIF($A$2:$A$5001,A40)&gt;1),"NUMERO_PC duplicado",IF(B40="","DATA_PC vazia",IF(NOT(ISNUMBER(B40)),"DATA_PC invalida",IF(OR(C40="",C40="Fora dos ciclos"),"CICLO_PC nao identificado",IF(OR(D40="",D40=0),"VALOR_PC vazio ou zero",IF(AND(G40&lt;&gt;"Sim",G40&lt;&gt;"Nao",G40&lt;&gt;""),"PC_PAGO_A_CONTRATADA invalido",IF(AND(C40&lt;&gt;"C0",IFERROR(INDEX(parametros!$A$2:$A$6,MATCH(C40,parametros!$B$2:$B$6,0)),"")="Sim",IFERROR(INDEX(parametros!$H$2:$H$6,MATCH(C40,parametros!$B$2:$B$6,0)),"")=""),"INICIO_EFEITO ausente: PC "&amp;A40&amp;" - "&amp;C40,IF(L40="","EFEITO_PC nao calculado: PC "&amp;A40&amp;" - "&amp;C40,"OK")))))))))</f>
        <v/>
      </c>
      <c r="L40" s="92" t="str">
        <f>IF(AND(A40="",B40="",D40="",G40=""),"",IF(OR(B40="",NOT(ISNUMBER(B40)),C40="",C40="Fora dos ciclos"),"",IF(C40="C0","Nao",IF(IFERROR(INDEX(parametros!$A$2:$A$6,MATCH(C40,parametros!$B$2:$B$6,0)),"")&lt;&gt;"Sim","Nao",IF(IFERROR(INDEX(parametros!$H$2:$H$6,MATCH(C40,parametros!$B$2:$B$6,0)),"")="","",IF(B40&gt;=IFERROR(INDEX(parametros!$H$2:$H$6,MATCH(C40,parametros!$B$2:$B$6,0)),""),"Sim","Nao"))))))</f>
        <v/>
      </c>
      <c r="M40" s="14"/>
      <c r="N40" s="14"/>
      <c r="O40" s="14"/>
      <c r="P40" s="14"/>
      <c r="Q40" s="14"/>
      <c r="R40" s="14"/>
      <c r="S40" s="14"/>
      <c r="T40" s="211"/>
      <c r="U40" s="214" t="str">
        <f t="shared" si="4"/>
        <v/>
      </c>
      <c r="V40" s="212" t="s">
        <v>50</v>
      </c>
      <c r="W40" s="100" t="s">
        <v>168</v>
      </c>
      <c r="X40" s="100" t="s">
        <v>169</v>
      </c>
      <c r="Y40" s="101" t="s">
        <v>170</v>
      </c>
      <c r="Z40" s="101" t="s">
        <v>171</v>
      </c>
      <c r="AA40" s="101" t="s">
        <v>50</v>
      </c>
      <c r="AB40" s="101" t="s">
        <v>172</v>
      </c>
      <c r="AC40" s="102" t="s">
        <v>173</v>
      </c>
    </row>
    <row r="41" spans="1:29" ht="25.5" customHeight="1" x14ac:dyDescent="0.35">
      <c r="A41" s="392"/>
      <c r="B41" s="393"/>
      <c r="C41" s="99" t="str">
        <f>IF(B41="","",IF(NOT(ISNUMBER(B41)),"DATA_PC invalida",IF(NOT(ISNUMBER(parametros!$C$2)),"Fora dos ciclos",IF(OR(B41&lt;parametros!$C$2,(YEAR(B41)-YEAR(parametros!$C$2))*12+MONTH(B41)-MONTH(parametros!$C$2)&gt;59),"Fora dos ciclos","C"&amp;INT(((YEAR(B41)-YEAR(parametros!$C$2))*12+MONTH(B41)-MONTH(parametros!$C$2))/12)))))</f>
        <v/>
      </c>
      <c r="D41" s="394"/>
      <c r="E41" s="78" t="str">
        <f>IF(C41="","",IFERROR(VLOOKUP(C41,parametros!$A$11:$E$15,5,0),""))</f>
        <v/>
      </c>
      <c r="F41" s="79" t="str">
        <f t="shared" si="0"/>
        <v/>
      </c>
      <c r="G41" s="395"/>
      <c r="H41" s="91">
        <f t="shared" si="1"/>
        <v>0</v>
      </c>
      <c r="I41" s="91" t="str">
        <f t="shared" si="2"/>
        <v/>
      </c>
      <c r="J41" s="91" t="str">
        <f t="shared" si="3"/>
        <v/>
      </c>
      <c r="K41" s="92" t="str">
        <f>IF(AND(A41="",B41="",D41="",G41=""),"",IF(AND(A41&lt;&gt;"",COUNTIF($A$2:$A$5001,A41)&gt;1),"NUMERO_PC duplicado",IF(B41="","DATA_PC vazia",IF(NOT(ISNUMBER(B41)),"DATA_PC invalida",IF(OR(C41="",C41="Fora dos ciclos"),"CICLO_PC nao identificado",IF(OR(D41="",D41=0),"VALOR_PC vazio ou zero",IF(AND(G41&lt;&gt;"Sim",G41&lt;&gt;"Nao",G41&lt;&gt;""),"PC_PAGO_A_CONTRATADA invalido",IF(AND(C41&lt;&gt;"C0",IFERROR(INDEX(parametros!$A$2:$A$6,MATCH(C41,parametros!$B$2:$B$6,0)),"")="Sim",IFERROR(INDEX(parametros!$H$2:$H$6,MATCH(C41,parametros!$B$2:$B$6,0)),"")=""),"INICIO_EFEITO ausente: PC "&amp;A41&amp;" - "&amp;C41,IF(L41="","EFEITO_PC nao calculado: PC "&amp;A41&amp;" - "&amp;C41,"OK")))))))))</f>
        <v/>
      </c>
      <c r="L41" s="92" t="str">
        <f>IF(AND(A41="",B41="",D41="",G41=""),"",IF(OR(B41="",NOT(ISNUMBER(B41)),C41="",C41="Fora dos ciclos"),"",IF(C41="C0","Nao",IF(IFERROR(INDEX(parametros!$A$2:$A$6,MATCH(C41,parametros!$B$2:$B$6,0)),"")&lt;&gt;"Sim","Nao",IF(IFERROR(INDEX(parametros!$H$2:$H$6,MATCH(C41,parametros!$B$2:$B$6,0)),"")="","",IF(B41&gt;=IFERROR(INDEX(parametros!$H$2:$H$6,MATCH(C41,parametros!$B$2:$B$6,0)),""),"Sim","Nao"))))))</f>
        <v/>
      </c>
      <c r="M41" s="14"/>
      <c r="N41" s="14"/>
      <c r="O41" s="14"/>
      <c r="P41" s="14"/>
      <c r="Q41" s="14"/>
      <c r="R41" s="14"/>
      <c r="S41" s="14"/>
      <c r="T41" s="211"/>
      <c r="U41" s="214" t="str">
        <f t="shared" si="4"/>
        <v/>
      </c>
      <c r="V41" s="212" t="s">
        <v>50</v>
      </c>
      <c r="W41" s="100" t="s">
        <v>168</v>
      </c>
      <c r="X41" s="100" t="s">
        <v>169</v>
      </c>
      <c r="Y41" s="101" t="s">
        <v>170</v>
      </c>
      <c r="Z41" s="101" t="s">
        <v>171</v>
      </c>
      <c r="AA41" s="101" t="s">
        <v>50</v>
      </c>
      <c r="AB41" s="101" t="s">
        <v>172</v>
      </c>
      <c r="AC41" s="102" t="s">
        <v>173</v>
      </c>
    </row>
    <row r="42" spans="1:29" ht="25.5" customHeight="1" x14ac:dyDescent="0.35">
      <c r="A42" s="392"/>
      <c r="B42" s="393"/>
      <c r="C42" s="99" t="str">
        <f>IF(B42="","",IF(NOT(ISNUMBER(B42)),"DATA_PC invalida",IF(NOT(ISNUMBER(parametros!$C$2)),"Fora dos ciclos",IF(OR(B42&lt;parametros!$C$2,(YEAR(B42)-YEAR(parametros!$C$2))*12+MONTH(B42)-MONTH(parametros!$C$2)&gt;59),"Fora dos ciclos","C"&amp;INT(((YEAR(B42)-YEAR(parametros!$C$2))*12+MONTH(B42)-MONTH(parametros!$C$2))/12)))))</f>
        <v/>
      </c>
      <c r="D42" s="394"/>
      <c r="E42" s="78" t="str">
        <f>IF(C42="","",IFERROR(VLOOKUP(C42,parametros!$A$11:$E$15,5,0),""))</f>
        <v/>
      </c>
      <c r="F42" s="79" t="str">
        <f t="shared" si="0"/>
        <v/>
      </c>
      <c r="G42" s="395"/>
      <c r="H42" s="91">
        <f t="shared" si="1"/>
        <v>0</v>
      </c>
      <c r="I42" s="91" t="str">
        <f t="shared" si="2"/>
        <v/>
      </c>
      <c r="J42" s="91" t="str">
        <f t="shared" si="3"/>
        <v/>
      </c>
      <c r="K42" s="92" t="str">
        <f>IF(AND(A42="",B42="",D42="",G42=""),"",IF(AND(A42&lt;&gt;"",COUNTIF($A$2:$A$5001,A42)&gt;1),"NUMERO_PC duplicado",IF(B42="","DATA_PC vazia",IF(NOT(ISNUMBER(B42)),"DATA_PC invalida",IF(OR(C42="",C42="Fora dos ciclos"),"CICLO_PC nao identificado",IF(OR(D42="",D42=0),"VALOR_PC vazio ou zero",IF(AND(G42&lt;&gt;"Sim",G42&lt;&gt;"Nao",G42&lt;&gt;""),"PC_PAGO_A_CONTRATADA invalido",IF(AND(C42&lt;&gt;"C0",IFERROR(INDEX(parametros!$A$2:$A$6,MATCH(C42,parametros!$B$2:$B$6,0)),"")="Sim",IFERROR(INDEX(parametros!$H$2:$H$6,MATCH(C42,parametros!$B$2:$B$6,0)),"")=""),"INICIO_EFEITO ausente: PC "&amp;A42&amp;" - "&amp;C42,IF(L42="","EFEITO_PC nao calculado: PC "&amp;A42&amp;" - "&amp;C42,"OK")))))))))</f>
        <v/>
      </c>
      <c r="L42" s="92" t="str">
        <f>IF(AND(A42="",B42="",D42="",G42=""),"",IF(OR(B42="",NOT(ISNUMBER(B42)),C42="",C42="Fora dos ciclos"),"",IF(C42="C0","Nao",IF(IFERROR(INDEX(parametros!$A$2:$A$6,MATCH(C42,parametros!$B$2:$B$6,0)),"")&lt;&gt;"Sim","Nao",IF(IFERROR(INDEX(parametros!$H$2:$H$6,MATCH(C42,parametros!$B$2:$B$6,0)),"")="","",IF(B42&gt;=IFERROR(INDEX(parametros!$H$2:$H$6,MATCH(C42,parametros!$B$2:$B$6,0)),""),"Sim","Nao"))))))</f>
        <v/>
      </c>
      <c r="M42" s="14"/>
      <c r="N42" s="14"/>
      <c r="O42" s="14"/>
      <c r="P42" s="14"/>
      <c r="Q42" s="14"/>
      <c r="R42" s="14"/>
      <c r="S42" s="14"/>
      <c r="T42" s="211"/>
      <c r="U42" s="214" t="str">
        <f t="shared" si="4"/>
        <v/>
      </c>
      <c r="V42" s="212" t="s">
        <v>50</v>
      </c>
      <c r="W42" s="100" t="s">
        <v>168</v>
      </c>
      <c r="X42" s="100" t="s">
        <v>169</v>
      </c>
      <c r="Y42" s="101" t="s">
        <v>170</v>
      </c>
      <c r="Z42" s="101" t="s">
        <v>171</v>
      </c>
      <c r="AA42" s="101" t="s">
        <v>50</v>
      </c>
      <c r="AB42" s="101" t="s">
        <v>172</v>
      </c>
      <c r="AC42" s="102" t="s">
        <v>173</v>
      </c>
    </row>
    <row r="43" spans="1:29" ht="25.5" customHeight="1" x14ac:dyDescent="0.35">
      <c r="A43" s="392"/>
      <c r="B43" s="393"/>
      <c r="C43" s="99" t="str">
        <f>IF(B43="","",IF(NOT(ISNUMBER(B43)),"DATA_PC invalida",IF(NOT(ISNUMBER(parametros!$C$2)),"Fora dos ciclos",IF(OR(B43&lt;parametros!$C$2,(YEAR(B43)-YEAR(parametros!$C$2))*12+MONTH(B43)-MONTH(parametros!$C$2)&gt;59),"Fora dos ciclos","C"&amp;INT(((YEAR(B43)-YEAR(parametros!$C$2))*12+MONTH(B43)-MONTH(parametros!$C$2))/12)))))</f>
        <v/>
      </c>
      <c r="D43" s="394"/>
      <c r="E43" s="78" t="str">
        <f>IF(C43="","",IFERROR(VLOOKUP(C43,parametros!$A$11:$E$15,5,0),""))</f>
        <v/>
      </c>
      <c r="F43" s="79" t="str">
        <f t="shared" si="0"/>
        <v/>
      </c>
      <c r="G43" s="395"/>
      <c r="H43" s="91">
        <f t="shared" si="1"/>
        <v>0</v>
      </c>
      <c r="I43" s="91" t="str">
        <f t="shared" si="2"/>
        <v/>
      </c>
      <c r="J43" s="91" t="str">
        <f t="shared" si="3"/>
        <v/>
      </c>
      <c r="K43" s="92" t="str">
        <f>IF(AND(A43="",B43="",D43="",G43=""),"",IF(AND(A43&lt;&gt;"",COUNTIF($A$2:$A$5001,A43)&gt;1),"NUMERO_PC duplicado",IF(B43="","DATA_PC vazia",IF(NOT(ISNUMBER(B43)),"DATA_PC invalida",IF(OR(C43="",C43="Fora dos ciclos"),"CICLO_PC nao identificado",IF(OR(D43="",D43=0),"VALOR_PC vazio ou zero",IF(AND(G43&lt;&gt;"Sim",G43&lt;&gt;"Nao",G43&lt;&gt;""),"PC_PAGO_A_CONTRATADA invalido",IF(AND(C43&lt;&gt;"C0",IFERROR(INDEX(parametros!$A$2:$A$6,MATCH(C43,parametros!$B$2:$B$6,0)),"")="Sim",IFERROR(INDEX(parametros!$H$2:$H$6,MATCH(C43,parametros!$B$2:$B$6,0)),"")=""),"INICIO_EFEITO ausente: PC "&amp;A43&amp;" - "&amp;C43,IF(L43="","EFEITO_PC nao calculado: PC "&amp;A43&amp;" - "&amp;C43,"OK")))))))))</f>
        <v/>
      </c>
      <c r="L43" s="92" t="str">
        <f>IF(AND(A43="",B43="",D43="",G43=""),"",IF(OR(B43="",NOT(ISNUMBER(B43)),C43="",C43="Fora dos ciclos"),"",IF(C43="C0","Nao",IF(IFERROR(INDEX(parametros!$A$2:$A$6,MATCH(C43,parametros!$B$2:$B$6,0)),"")&lt;&gt;"Sim","Nao",IF(IFERROR(INDEX(parametros!$H$2:$H$6,MATCH(C43,parametros!$B$2:$B$6,0)),"")="","",IF(B43&gt;=IFERROR(INDEX(parametros!$H$2:$H$6,MATCH(C43,parametros!$B$2:$B$6,0)),""),"Sim","Nao"))))))</f>
        <v/>
      </c>
      <c r="M43" s="14"/>
      <c r="N43" s="14"/>
      <c r="O43" s="14"/>
      <c r="P43" s="14"/>
      <c r="Q43" s="14"/>
      <c r="R43" s="14"/>
      <c r="S43" s="14"/>
      <c r="T43" s="211"/>
      <c r="U43" s="214" t="str">
        <f t="shared" si="4"/>
        <v/>
      </c>
      <c r="V43" s="212" t="s">
        <v>50</v>
      </c>
      <c r="W43" s="100" t="s">
        <v>168</v>
      </c>
      <c r="X43" s="100" t="s">
        <v>169</v>
      </c>
      <c r="Y43" s="101" t="s">
        <v>170</v>
      </c>
      <c r="Z43" s="101" t="s">
        <v>171</v>
      </c>
      <c r="AA43" s="101" t="s">
        <v>50</v>
      </c>
      <c r="AB43" s="101" t="s">
        <v>172</v>
      </c>
      <c r="AC43" s="102" t="s">
        <v>173</v>
      </c>
    </row>
    <row r="44" spans="1:29" ht="25.5" customHeight="1" x14ac:dyDescent="0.35">
      <c r="A44" s="392"/>
      <c r="B44" s="393"/>
      <c r="C44" s="99" t="str">
        <f>IF(B44="","",IF(NOT(ISNUMBER(B44)),"DATA_PC invalida",IF(NOT(ISNUMBER(parametros!$C$2)),"Fora dos ciclos",IF(OR(B44&lt;parametros!$C$2,(YEAR(B44)-YEAR(parametros!$C$2))*12+MONTH(B44)-MONTH(parametros!$C$2)&gt;59),"Fora dos ciclos","C"&amp;INT(((YEAR(B44)-YEAR(parametros!$C$2))*12+MONTH(B44)-MONTH(parametros!$C$2))/12)))))</f>
        <v/>
      </c>
      <c r="D44" s="394"/>
      <c r="E44" s="78" t="str">
        <f>IF(C44="","",IFERROR(VLOOKUP(C44,parametros!$A$11:$E$15,5,0),""))</f>
        <v/>
      </c>
      <c r="F44" s="79" t="str">
        <f t="shared" si="0"/>
        <v/>
      </c>
      <c r="G44" s="395"/>
      <c r="H44" s="91">
        <f t="shared" si="1"/>
        <v>0</v>
      </c>
      <c r="I44" s="91" t="str">
        <f t="shared" si="2"/>
        <v/>
      </c>
      <c r="J44" s="91" t="str">
        <f t="shared" si="3"/>
        <v/>
      </c>
      <c r="K44" s="92" t="str">
        <f>IF(AND(A44="",B44="",D44="",G44=""),"",IF(AND(A44&lt;&gt;"",COUNTIF($A$2:$A$5001,A44)&gt;1),"NUMERO_PC duplicado",IF(B44="","DATA_PC vazia",IF(NOT(ISNUMBER(B44)),"DATA_PC invalida",IF(OR(C44="",C44="Fora dos ciclos"),"CICLO_PC nao identificado",IF(OR(D44="",D44=0),"VALOR_PC vazio ou zero",IF(AND(G44&lt;&gt;"Sim",G44&lt;&gt;"Nao",G44&lt;&gt;""),"PC_PAGO_A_CONTRATADA invalido",IF(AND(C44&lt;&gt;"C0",IFERROR(INDEX(parametros!$A$2:$A$6,MATCH(C44,parametros!$B$2:$B$6,0)),"")="Sim",IFERROR(INDEX(parametros!$H$2:$H$6,MATCH(C44,parametros!$B$2:$B$6,0)),"")=""),"INICIO_EFEITO ausente: PC "&amp;A44&amp;" - "&amp;C44,IF(L44="","EFEITO_PC nao calculado: PC "&amp;A44&amp;" - "&amp;C44,"OK")))))))))</f>
        <v/>
      </c>
      <c r="L44" s="92" t="str">
        <f>IF(AND(A44="",B44="",D44="",G44=""),"",IF(OR(B44="",NOT(ISNUMBER(B44)),C44="",C44="Fora dos ciclos"),"",IF(C44="C0","Nao",IF(IFERROR(INDEX(parametros!$A$2:$A$6,MATCH(C44,parametros!$B$2:$B$6,0)),"")&lt;&gt;"Sim","Nao",IF(IFERROR(INDEX(parametros!$H$2:$H$6,MATCH(C44,parametros!$B$2:$B$6,0)),"")="","",IF(B44&gt;=IFERROR(INDEX(parametros!$H$2:$H$6,MATCH(C44,parametros!$B$2:$B$6,0)),""),"Sim","Nao"))))))</f>
        <v/>
      </c>
      <c r="M44" s="14"/>
      <c r="N44" s="14"/>
      <c r="O44" s="14"/>
      <c r="P44" s="14"/>
      <c r="Q44" s="14"/>
      <c r="R44" s="14"/>
      <c r="S44" s="14"/>
      <c r="T44" s="211"/>
      <c r="U44" s="214" t="str">
        <f t="shared" si="4"/>
        <v/>
      </c>
      <c r="V44" s="212" t="s">
        <v>50</v>
      </c>
      <c r="W44" s="100" t="s">
        <v>168</v>
      </c>
      <c r="X44" s="100" t="s">
        <v>169</v>
      </c>
      <c r="Y44" s="101" t="s">
        <v>170</v>
      </c>
      <c r="Z44" s="101" t="s">
        <v>171</v>
      </c>
      <c r="AA44" s="101" t="s">
        <v>50</v>
      </c>
      <c r="AB44" s="101" t="s">
        <v>172</v>
      </c>
      <c r="AC44" s="102" t="s">
        <v>173</v>
      </c>
    </row>
    <row r="45" spans="1:29" ht="25.5" customHeight="1" x14ac:dyDescent="0.35">
      <c r="A45" s="392"/>
      <c r="B45" s="393"/>
      <c r="C45" s="99" t="str">
        <f>IF(B45="","",IF(NOT(ISNUMBER(B45)),"DATA_PC invalida",IF(NOT(ISNUMBER(parametros!$C$2)),"Fora dos ciclos",IF(OR(B45&lt;parametros!$C$2,(YEAR(B45)-YEAR(parametros!$C$2))*12+MONTH(B45)-MONTH(parametros!$C$2)&gt;59),"Fora dos ciclos","C"&amp;INT(((YEAR(B45)-YEAR(parametros!$C$2))*12+MONTH(B45)-MONTH(parametros!$C$2))/12)))))</f>
        <v/>
      </c>
      <c r="D45" s="394"/>
      <c r="E45" s="78" t="str">
        <f>IF(C45="","",IFERROR(VLOOKUP(C45,parametros!$A$11:$E$15,5,0),""))</f>
        <v/>
      </c>
      <c r="F45" s="79" t="str">
        <f t="shared" si="0"/>
        <v/>
      </c>
      <c r="G45" s="395"/>
      <c r="H45" s="91">
        <f t="shared" si="1"/>
        <v>0</v>
      </c>
      <c r="I45" s="91" t="str">
        <f t="shared" si="2"/>
        <v/>
      </c>
      <c r="J45" s="91" t="str">
        <f t="shared" si="3"/>
        <v/>
      </c>
      <c r="K45" s="92" t="str">
        <f>IF(AND(A45="",B45="",D45="",G45=""),"",IF(AND(A45&lt;&gt;"",COUNTIF($A$2:$A$5001,A45)&gt;1),"NUMERO_PC duplicado",IF(B45="","DATA_PC vazia",IF(NOT(ISNUMBER(B45)),"DATA_PC invalida",IF(OR(C45="",C45="Fora dos ciclos"),"CICLO_PC nao identificado",IF(OR(D45="",D45=0),"VALOR_PC vazio ou zero",IF(AND(G45&lt;&gt;"Sim",G45&lt;&gt;"Nao",G45&lt;&gt;""),"PC_PAGO_A_CONTRATADA invalido",IF(AND(C45&lt;&gt;"C0",IFERROR(INDEX(parametros!$A$2:$A$6,MATCH(C45,parametros!$B$2:$B$6,0)),"")="Sim",IFERROR(INDEX(parametros!$H$2:$H$6,MATCH(C45,parametros!$B$2:$B$6,0)),"")=""),"INICIO_EFEITO ausente: PC "&amp;A45&amp;" - "&amp;C45,IF(L45="","EFEITO_PC nao calculado: PC "&amp;A45&amp;" - "&amp;C45,"OK")))))))))</f>
        <v/>
      </c>
      <c r="L45" s="92" t="str">
        <f>IF(AND(A45="",B45="",D45="",G45=""),"",IF(OR(B45="",NOT(ISNUMBER(B45)),C45="",C45="Fora dos ciclos"),"",IF(C45="C0","Nao",IF(IFERROR(INDEX(parametros!$A$2:$A$6,MATCH(C45,parametros!$B$2:$B$6,0)),"")&lt;&gt;"Sim","Nao",IF(IFERROR(INDEX(parametros!$H$2:$H$6,MATCH(C45,parametros!$B$2:$B$6,0)),"")="","",IF(B45&gt;=IFERROR(INDEX(parametros!$H$2:$H$6,MATCH(C45,parametros!$B$2:$B$6,0)),""),"Sim","Nao"))))))</f>
        <v/>
      </c>
      <c r="M45" s="14"/>
      <c r="N45" s="14"/>
      <c r="O45" s="14"/>
      <c r="P45" s="14"/>
      <c r="Q45" s="14"/>
      <c r="R45" s="14"/>
      <c r="S45" s="14"/>
      <c r="T45" s="211"/>
      <c r="U45" s="214" t="str">
        <f t="shared" si="4"/>
        <v/>
      </c>
      <c r="V45" s="212" t="s">
        <v>50</v>
      </c>
      <c r="W45" s="100" t="s">
        <v>168</v>
      </c>
      <c r="X45" s="100" t="s">
        <v>169</v>
      </c>
      <c r="Y45" s="101" t="s">
        <v>170</v>
      </c>
      <c r="Z45" s="101" t="s">
        <v>171</v>
      </c>
      <c r="AA45" s="101" t="s">
        <v>50</v>
      </c>
      <c r="AB45" s="101" t="s">
        <v>172</v>
      </c>
      <c r="AC45" s="102" t="s">
        <v>173</v>
      </c>
    </row>
    <row r="46" spans="1:29" ht="25.5" customHeight="1" x14ac:dyDescent="0.35">
      <c r="A46" s="392"/>
      <c r="B46" s="393"/>
      <c r="C46" s="99" t="str">
        <f>IF(B46="","",IF(NOT(ISNUMBER(B46)),"DATA_PC invalida",IF(NOT(ISNUMBER(parametros!$C$2)),"Fora dos ciclos",IF(OR(B46&lt;parametros!$C$2,(YEAR(B46)-YEAR(parametros!$C$2))*12+MONTH(B46)-MONTH(parametros!$C$2)&gt;59),"Fora dos ciclos","C"&amp;INT(((YEAR(B46)-YEAR(parametros!$C$2))*12+MONTH(B46)-MONTH(parametros!$C$2))/12)))))</f>
        <v/>
      </c>
      <c r="D46" s="394"/>
      <c r="E46" s="78" t="str">
        <f>IF(C46="","",IFERROR(VLOOKUP(C46,parametros!$A$11:$E$15,5,0),""))</f>
        <v/>
      </c>
      <c r="F46" s="79" t="str">
        <f t="shared" si="0"/>
        <v/>
      </c>
      <c r="G46" s="395"/>
      <c r="H46" s="91">
        <f t="shared" si="1"/>
        <v>0</v>
      </c>
      <c r="I46" s="91" t="str">
        <f t="shared" si="2"/>
        <v/>
      </c>
      <c r="J46" s="91" t="str">
        <f t="shared" si="3"/>
        <v/>
      </c>
      <c r="K46" s="92" t="str">
        <f>IF(AND(A46="",B46="",D46="",G46=""),"",IF(AND(A46&lt;&gt;"",COUNTIF($A$2:$A$5001,A46)&gt;1),"NUMERO_PC duplicado",IF(B46="","DATA_PC vazia",IF(NOT(ISNUMBER(B46)),"DATA_PC invalida",IF(OR(C46="",C46="Fora dos ciclos"),"CICLO_PC nao identificado",IF(OR(D46="",D46=0),"VALOR_PC vazio ou zero",IF(AND(G46&lt;&gt;"Sim",G46&lt;&gt;"Nao",G46&lt;&gt;""),"PC_PAGO_A_CONTRATADA invalido",IF(AND(C46&lt;&gt;"C0",IFERROR(INDEX(parametros!$A$2:$A$6,MATCH(C46,parametros!$B$2:$B$6,0)),"")="Sim",IFERROR(INDEX(parametros!$H$2:$H$6,MATCH(C46,parametros!$B$2:$B$6,0)),"")=""),"INICIO_EFEITO ausente: PC "&amp;A46&amp;" - "&amp;C46,IF(L46="","EFEITO_PC nao calculado: PC "&amp;A46&amp;" - "&amp;C46,"OK")))))))))</f>
        <v/>
      </c>
      <c r="L46" s="92" t="str">
        <f>IF(AND(A46="",B46="",D46="",G46=""),"",IF(OR(B46="",NOT(ISNUMBER(B46)),C46="",C46="Fora dos ciclos"),"",IF(C46="C0","Nao",IF(IFERROR(INDEX(parametros!$A$2:$A$6,MATCH(C46,parametros!$B$2:$B$6,0)),"")&lt;&gt;"Sim","Nao",IF(IFERROR(INDEX(parametros!$H$2:$H$6,MATCH(C46,parametros!$B$2:$B$6,0)),"")="","",IF(B46&gt;=IFERROR(INDEX(parametros!$H$2:$H$6,MATCH(C46,parametros!$B$2:$B$6,0)),""),"Sim","Nao"))))))</f>
        <v/>
      </c>
      <c r="M46" s="14"/>
      <c r="N46" s="14"/>
      <c r="O46" s="14"/>
      <c r="P46" s="14"/>
      <c r="Q46" s="14"/>
      <c r="R46" s="14"/>
      <c r="S46" s="14"/>
      <c r="T46" s="211"/>
      <c r="U46" s="214" t="str">
        <f t="shared" si="4"/>
        <v/>
      </c>
      <c r="V46" s="212" t="s">
        <v>50</v>
      </c>
      <c r="W46" s="100" t="s">
        <v>168</v>
      </c>
      <c r="X46" s="100" t="s">
        <v>169</v>
      </c>
      <c r="Y46" s="101" t="s">
        <v>170</v>
      </c>
      <c r="Z46" s="101" t="s">
        <v>171</v>
      </c>
      <c r="AA46" s="101" t="s">
        <v>50</v>
      </c>
      <c r="AB46" s="101" t="s">
        <v>172</v>
      </c>
      <c r="AC46" s="102" t="s">
        <v>173</v>
      </c>
    </row>
    <row r="47" spans="1:29" ht="25.5" customHeight="1" x14ac:dyDescent="0.35">
      <c r="A47" s="392"/>
      <c r="B47" s="393"/>
      <c r="C47" s="99" t="str">
        <f>IF(B47="","",IF(NOT(ISNUMBER(B47)),"DATA_PC invalida",IF(NOT(ISNUMBER(parametros!$C$2)),"Fora dos ciclos",IF(OR(B47&lt;parametros!$C$2,(YEAR(B47)-YEAR(parametros!$C$2))*12+MONTH(B47)-MONTH(parametros!$C$2)&gt;59),"Fora dos ciclos","C"&amp;INT(((YEAR(B47)-YEAR(parametros!$C$2))*12+MONTH(B47)-MONTH(parametros!$C$2))/12)))))</f>
        <v/>
      </c>
      <c r="D47" s="394"/>
      <c r="E47" s="78" t="str">
        <f>IF(C47="","",IFERROR(VLOOKUP(C47,parametros!$A$11:$E$15,5,0),""))</f>
        <v/>
      </c>
      <c r="F47" s="79" t="str">
        <f t="shared" si="0"/>
        <v/>
      </c>
      <c r="G47" s="395"/>
      <c r="H47" s="91">
        <f t="shared" si="1"/>
        <v>0</v>
      </c>
      <c r="I47" s="91" t="str">
        <f t="shared" si="2"/>
        <v/>
      </c>
      <c r="J47" s="91" t="str">
        <f t="shared" si="3"/>
        <v/>
      </c>
      <c r="K47" s="92" t="str">
        <f>IF(AND(A47="",B47="",D47="",G47=""),"",IF(AND(A47&lt;&gt;"",COUNTIF($A$2:$A$5001,A47)&gt;1),"NUMERO_PC duplicado",IF(B47="","DATA_PC vazia",IF(NOT(ISNUMBER(B47)),"DATA_PC invalida",IF(OR(C47="",C47="Fora dos ciclos"),"CICLO_PC nao identificado",IF(OR(D47="",D47=0),"VALOR_PC vazio ou zero",IF(AND(G47&lt;&gt;"Sim",G47&lt;&gt;"Nao",G47&lt;&gt;""),"PC_PAGO_A_CONTRATADA invalido",IF(AND(C47&lt;&gt;"C0",IFERROR(INDEX(parametros!$A$2:$A$6,MATCH(C47,parametros!$B$2:$B$6,0)),"")="Sim",IFERROR(INDEX(parametros!$H$2:$H$6,MATCH(C47,parametros!$B$2:$B$6,0)),"")=""),"INICIO_EFEITO ausente: PC "&amp;A47&amp;" - "&amp;C47,IF(L47="","EFEITO_PC nao calculado: PC "&amp;A47&amp;" - "&amp;C47,"OK")))))))))</f>
        <v/>
      </c>
      <c r="L47" s="92" t="str">
        <f>IF(AND(A47="",B47="",D47="",G47=""),"",IF(OR(B47="",NOT(ISNUMBER(B47)),C47="",C47="Fora dos ciclos"),"",IF(C47="C0","Nao",IF(IFERROR(INDEX(parametros!$A$2:$A$6,MATCH(C47,parametros!$B$2:$B$6,0)),"")&lt;&gt;"Sim","Nao",IF(IFERROR(INDEX(parametros!$H$2:$H$6,MATCH(C47,parametros!$B$2:$B$6,0)),"")="","",IF(B47&gt;=IFERROR(INDEX(parametros!$H$2:$H$6,MATCH(C47,parametros!$B$2:$B$6,0)),""),"Sim","Nao"))))))</f>
        <v/>
      </c>
      <c r="M47" s="14"/>
      <c r="N47" s="14"/>
      <c r="O47" s="14"/>
      <c r="P47" s="14"/>
      <c r="Q47" s="14"/>
      <c r="R47" s="14"/>
      <c r="S47" s="14"/>
      <c r="T47" s="211"/>
      <c r="U47" s="214" t="str">
        <f t="shared" si="4"/>
        <v/>
      </c>
      <c r="V47" s="212" t="s">
        <v>50</v>
      </c>
      <c r="W47" s="100" t="s">
        <v>168</v>
      </c>
      <c r="X47" s="100" t="s">
        <v>169</v>
      </c>
      <c r="Y47" s="101" t="s">
        <v>170</v>
      </c>
      <c r="Z47" s="101" t="s">
        <v>171</v>
      </c>
      <c r="AA47" s="101" t="s">
        <v>50</v>
      </c>
      <c r="AB47" s="101" t="s">
        <v>172</v>
      </c>
      <c r="AC47" s="102" t="s">
        <v>173</v>
      </c>
    </row>
    <row r="48" spans="1:29" ht="25.5" customHeight="1" x14ac:dyDescent="0.35">
      <c r="A48" s="392"/>
      <c r="B48" s="393"/>
      <c r="C48" s="99" t="str">
        <f>IF(B48="","",IF(NOT(ISNUMBER(B48)),"DATA_PC invalida",IF(NOT(ISNUMBER(parametros!$C$2)),"Fora dos ciclos",IF(OR(B48&lt;parametros!$C$2,(YEAR(B48)-YEAR(parametros!$C$2))*12+MONTH(B48)-MONTH(parametros!$C$2)&gt;59),"Fora dos ciclos","C"&amp;INT(((YEAR(B48)-YEAR(parametros!$C$2))*12+MONTH(B48)-MONTH(parametros!$C$2))/12)))))</f>
        <v/>
      </c>
      <c r="D48" s="394"/>
      <c r="E48" s="78" t="str">
        <f>IF(C48="","",IFERROR(VLOOKUP(C48,parametros!$A$11:$E$15,5,0),""))</f>
        <v/>
      </c>
      <c r="F48" s="79" t="str">
        <f t="shared" si="0"/>
        <v/>
      </c>
      <c r="G48" s="395"/>
      <c r="H48" s="91">
        <f t="shared" si="1"/>
        <v>0</v>
      </c>
      <c r="I48" s="91" t="str">
        <f t="shared" si="2"/>
        <v/>
      </c>
      <c r="J48" s="91" t="str">
        <f t="shared" si="3"/>
        <v/>
      </c>
      <c r="K48" s="92" t="str">
        <f>IF(AND(A48="",B48="",D48="",G48=""),"",IF(AND(A48&lt;&gt;"",COUNTIF($A$2:$A$5001,A48)&gt;1),"NUMERO_PC duplicado",IF(B48="","DATA_PC vazia",IF(NOT(ISNUMBER(B48)),"DATA_PC invalida",IF(OR(C48="",C48="Fora dos ciclos"),"CICLO_PC nao identificado",IF(OR(D48="",D48=0),"VALOR_PC vazio ou zero",IF(AND(G48&lt;&gt;"Sim",G48&lt;&gt;"Nao",G48&lt;&gt;""),"PC_PAGO_A_CONTRATADA invalido",IF(AND(C48&lt;&gt;"C0",IFERROR(INDEX(parametros!$A$2:$A$6,MATCH(C48,parametros!$B$2:$B$6,0)),"")="Sim",IFERROR(INDEX(parametros!$H$2:$H$6,MATCH(C48,parametros!$B$2:$B$6,0)),"")=""),"INICIO_EFEITO ausente: PC "&amp;A48&amp;" - "&amp;C48,IF(L48="","EFEITO_PC nao calculado: PC "&amp;A48&amp;" - "&amp;C48,"OK")))))))))</f>
        <v/>
      </c>
      <c r="L48" s="92" t="str">
        <f>IF(AND(A48="",B48="",D48="",G48=""),"",IF(OR(B48="",NOT(ISNUMBER(B48)),C48="",C48="Fora dos ciclos"),"",IF(C48="C0","Nao",IF(IFERROR(INDEX(parametros!$A$2:$A$6,MATCH(C48,parametros!$B$2:$B$6,0)),"")&lt;&gt;"Sim","Nao",IF(IFERROR(INDEX(parametros!$H$2:$H$6,MATCH(C48,parametros!$B$2:$B$6,0)),"")="","",IF(B48&gt;=IFERROR(INDEX(parametros!$H$2:$H$6,MATCH(C48,parametros!$B$2:$B$6,0)),""),"Sim","Nao"))))))</f>
        <v/>
      </c>
      <c r="M48" s="14"/>
      <c r="N48" s="14"/>
      <c r="O48" s="14"/>
      <c r="P48" s="14"/>
      <c r="Q48" s="14"/>
      <c r="R48" s="14"/>
      <c r="S48" s="14"/>
      <c r="T48" s="211"/>
      <c r="U48" s="214" t="str">
        <f t="shared" si="4"/>
        <v/>
      </c>
      <c r="V48" s="212" t="s">
        <v>50</v>
      </c>
      <c r="W48" s="100" t="s">
        <v>168</v>
      </c>
      <c r="X48" s="100" t="s">
        <v>169</v>
      </c>
      <c r="Y48" s="101" t="s">
        <v>170</v>
      </c>
      <c r="Z48" s="101" t="s">
        <v>171</v>
      </c>
      <c r="AA48" s="101" t="s">
        <v>50</v>
      </c>
      <c r="AB48" s="101" t="s">
        <v>172</v>
      </c>
      <c r="AC48" s="102" t="s">
        <v>173</v>
      </c>
    </row>
    <row r="49" spans="1:29" ht="25.5" customHeight="1" x14ac:dyDescent="0.35">
      <c r="A49" s="392"/>
      <c r="B49" s="393"/>
      <c r="C49" s="99" t="str">
        <f>IF(B49="","",IF(NOT(ISNUMBER(B49)),"DATA_PC invalida",IF(NOT(ISNUMBER(parametros!$C$2)),"Fora dos ciclos",IF(OR(B49&lt;parametros!$C$2,(YEAR(B49)-YEAR(parametros!$C$2))*12+MONTH(B49)-MONTH(parametros!$C$2)&gt;59),"Fora dos ciclos","C"&amp;INT(((YEAR(B49)-YEAR(parametros!$C$2))*12+MONTH(B49)-MONTH(parametros!$C$2))/12)))))</f>
        <v/>
      </c>
      <c r="D49" s="394"/>
      <c r="E49" s="78" t="str">
        <f>IF(C49="","",IFERROR(VLOOKUP(C49,parametros!$A$11:$E$15,5,0),""))</f>
        <v/>
      </c>
      <c r="F49" s="79" t="str">
        <f t="shared" si="0"/>
        <v/>
      </c>
      <c r="G49" s="395"/>
      <c r="H49" s="91">
        <f t="shared" si="1"/>
        <v>0</v>
      </c>
      <c r="I49" s="91" t="str">
        <f t="shared" si="2"/>
        <v/>
      </c>
      <c r="J49" s="91" t="str">
        <f t="shared" si="3"/>
        <v/>
      </c>
      <c r="K49" s="92" t="str">
        <f>IF(AND(A49="",B49="",D49="",G49=""),"",IF(AND(A49&lt;&gt;"",COUNTIF($A$2:$A$5001,A49)&gt;1),"NUMERO_PC duplicado",IF(B49="","DATA_PC vazia",IF(NOT(ISNUMBER(B49)),"DATA_PC invalida",IF(OR(C49="",C49="Fora dos ciclos"),"CICLO_PC nao identificado",IF(OR(D49="",D49=0),"VALOR_PC vazio ou zero",IF(AND(G49&lt;&gt;"Sim",G49&lt;&gt;"Nao",G49&lt;&gt;""),"PC_PAGO_A_CONTRATADA invalido",IF(AND(C49&lt;&gt;"C0",IFERROR(INDEX(parametros!$A$2:$A$6,MATCH(C49,parametros!$B$2:$B$6,0)),"")="Sim",IFERROR(INDEX(parametros!$H$2:$H$6,MATCH(C49,parametros!$B$2:$B$6,0)),"")=""),"INICIO_EFEITO ausente: PC "&amp;A49&amp;" - "&amp;C49,IF(L49="","EFEITO_PC nao calculado: PC "&amp;A49&amp;" - "&amp;C49,"OK")))))))))</f>
        <v/>
      </c>
      <c r="L49" s="92" t="str">
        <f>IF(AND(A49="",B49="",D49="",G49=""),"",IF(OR(B49="",NOT(ISNUMBER(B49)),C49="",C49="Fora dos ciclos"),"",IF(C49="C0","Nao",IF(IFERROR(INDEX(parametros!$A$2:$A$6,MATCH(C49,parametros!$B$2:$B$6,0)),"")&lt;&gt;"Sim","Nao",IF(IFERROR(INDEX(parametros!$H$2:$H$6,MATCH(C49,parametros!$B$2:$B$6,0)),"")="","",IF(B49&gt;=IFERROR(INDEX(parametros!$H$2:$H$6,MATCH(C49,parametros!$B$2:$B$6,0)),""),"Sim","Nao"))))))</f>
        <v/>
      </c>
      <c r="M49" s="14"/>
      <c r="N49" s="14"/>
      <c r="O49" s="14"/>
      <c r="P49" s="14"/>
      <c r="Q49" s="14"/>
      <c r="R49" s="14"/>
      <c r="S49" s="14"/>
      <c r="T49" s="211"/>
      <c r="U49" s="214" t="str">
        <f t="shared" si="4"/>
        <v/>
      </c>
      <c r="V49" s="212" t="s">
        <v>50</v>
      </c>
      <c r="W49" s="100" t="s">
        <v>168</v>
      </c>
      <c r="X49" s="100" t="s">
        <v>169</v>
      </c>
      <c r="Y49" s="101" t="s">
        <v>170</v>
      </c>
      <c r="Z49" s="101" t="s">
        <v>171</v>
      </c>
      <c r="AA49" s="101" t="s">
        <v>50</v>
      </c>
      <c r="AB49" s="101" t="s">
        <v>172</v>
      </c>
      <c r="AC49" s="102" t="s">
        <v>173</v>
      </c>
    </row>
    <row r="50" spans="1:29" ht="25.5" customHeight="1" x14ac:dyDescent="0.35">
      <c r="A50" s="392"/>
      <c r="B50" s="393"/>
      <c r="C50" s="99" t="str">
        <f>IF(B50="","",IF(NOT(ISNUMBER(B50)),"DATA_PC invalida",IF(NOT(ISNUMBER(parametros!$C$2)),"Fora dos ciclos",IF(OR(B50&lt;parametros!$C$2,(YEAR(B50)-YEAR(parametros!$C$2))*12+MONTH(B50)-MONTH(parametros!$C$2)&gt;59),"Fora dos ciclos","C"&amp;INT(((YEAR(B50)-YEAR(parametros!$C$2))*12+MONTH(B50)-MONTH(parametros!$C$2))/12)))))</f>
        <v/>
      </c>
      <c r="D50" s="394"/>
      <c r="E50" s="78" t="str">
        <f>IF(C50="","",IFERROR(VLOOKUP(C50,parametros!$A$11:$E$15,5,0),""))</f>
        <v/>
      </c>
      <c r="F50" s="79" t="str">
        <f t="shared" si="0"/>
        <v/>
      </c>
      <c r="G50" s="395"/>
      <c r="H50" s="91">
        <f t="shared" si="1"/>
        <v>0</v>
      </c>
      <c r="I50" s="91" t="str">
        <f t="shared" si="2"/>
        <v/>
      </c>
      <c r="J50" s="91" t="str">
        <f t="shared" si="3"/>
        <v/>
      </c>
      <c r="K50" s="92" t="str">
        <f>IF(AND(A50="",B50="",D50="",G50=""),"",IF(AND(A50&lt;&gt;"",COUNTIF($A$2:$A$5001,A50)&gt;1),"NUMERO_PC duplicado",IF(B50="","DATA_PC vazia",IF(NOT(ISNUMBER(B50)),"DATA_PC invalida",IF(OR(C50="",C50="Fora dos ciclos"),"CICLO_PC nao identificado",IF(OR(D50="",D50=0),"VALOR_PC vazio ou zero",IF(AND(G50&lt;&gt;"Sim",G50&lt;&gt;"Nao",G50&lt;&gt;""),"PC_PAGO_A_CONTRATADA invalido",IF(AND(C50&lt;&gt;"C0",IFERROR(INDEX(parametros!$A$2:$A$6,MATCH(C50,parametros!$B$2:$B$6,0)),"")="Sim",IFERROR(INDEX(parametros!$H$2:$H$6,MATCH(C50,parametros!$B$2:$B$6,0)),"")=""),"INICIO_EFEITO ausente: PC "&amp;A50&amp;" - "&amp;C50,IF(L50="","EFEITO_PC nao calculado: PC "&amp;A50&amp;" - "&amp;C50,"OK")))))))))</f>
        <v/>
      </c>
      <c r="L50" s="92" t="str">
        <f>IF(AND(A50="",B50="",D50="",G50=""),"",IF(OR(B50="",NOT(ISNUMBER(B50)),C50="",C50="Fora dos ciclos"),"",IF(C50="C0","Nao",IF(IFERROR(INDEX(parametros!$A$2:$A$6,MATCH(C50,parametros!$B$2:$B$6,0)),"")&lt;&gt;"Sim","Nao",IF(IFERROR(INDEX(parametros!$H$2:$H$6,MATCH(C50,parametros!$B$2:$B$6,0)),"")="","",IF(B50&gt;=IFERROR(INDEX(parametros!$H$2:$H$6,MATCH(C50,parametros!$B$2:$B$6,0)),""),"Sim","Nao"))))))</f>
        <v/>
      </c>
      <c r="M50" s="14"/>
      <c r="N50" s="14"/>
      <c r="O50" s="14"/>
      <c r="P50" s="14"/>
      <c r="Q50" s="14"/>
      <c r="R50" s="14"/>
      <c r="S50" s="14"/>
      <c r="T50" s="211"/>
      <c r="U50" s="214" t="str">
        <f t="shared" si="4"/>
        <v/>
      </c>
      <c r="V50" s="212" t="s">
        <v>50</v>
      </c>
      <c r="W50" s="100" t="s">
        <v>168</v>
      </c>
      <c r="X50" s="100" t="s">
        <v>169</v>
      </c>
      <c r="Y50" s="101" t="s">
        <v>170</v>
      </c>
      <c r="Z50" s="101" t="s">
        <v>171</v>
      </c>
      <c r="AA50" s="101" t="s">
        <v>50</v>
      </c>
      <c r="AB50" s="101" t="s">
        <v>172</v>
      </c>
      <c r="AC50" s="102" t="s">
        <v>173</v>
      </c>
    </row>
    <row r="51" spans="1:29" ht="25.5" customHeight="1" x14ac:dyDescent="0.35">
      <c r="A51" s="392"/>
      <c r="B51" s="393"/>
      <c r="C51" s="99" t="str">
        <f>IF(B51="","",IF(NOT(ISNUMBER(B51)),"DATA_PC invalida",IF(NOT(ISNUMBER(parametros!$C$2)),"Fora dos ciclos",IF(OR(B51&lt;parametros!$C$2,(YEAR(B51)-YEAR(parametros!$C$2))*12+MONTH(B51)-MONTH(parametros!$C$2)&gt;59),"Fora dos ciclos","C"&amp;INT(((YEAR(B51)-YEAR(parametros!$C$2))*12+MONTH(B51)-MONTH(parametros!$C$2))/12)))))</f>
        <v/>
      </c>
      <c r="D51" s="394"/>
      <c r="E51" s="78" t="str">
        <f>IF(C51="","",IFERROR(VLOOKUP(C51,parametros!$A$11:$E$15,5,0),""))</f>
        <v/>
      </c>
      <c r="F51" s="79" t="str">
        <f t="shared" si="0"/>
        <v/>
      </c>
      <c r="G51" s="395"/>
      <c r="H51" s="91">
        <f t="shared" si="1"/>
        <v>0</v>
      </c>
      <c r="I51" s="91" t="str">
        <f t="shared" si="2"/>
        <v/>
      </c>
      <c r="J51" s="91" t="str">
        <f t="shared" si="3"/>
        <v/>
      </c>
      <c r="K51" s="92" t="str">
        <f>IF(AND(A51="",B51="",D51="",G51=""),"",IF(AND(A51&lt;&gt;"",COUNTIF($A$2:$A$5001,A51)&gt;1),"NUMERO_PC duplicado",IF(B51="","DATA_PC vazia",IF(NOT(ISNUMBER(B51)),"DATA_PC invalida",IF(OR(C51="",C51="Fora dos ciclos"),"CICLO_PC nao identificado",IF(OR(D51="",D51=0),"VALOR_PC vazio ou zero",IF(AND(G51&lt;&gt;"Sim",G51&lt;&gt;"Nao",G51&lt;&gt;""),"PC_PAGO_A_CONTRATADA invalido",IF(AND(C51&lt;&gt;"C0",IFERROR(INDEX(parametros!$A$2:$A$6,MATCH(C51,parametros!$B$2:$B$6,0)),"")="Sim",IFERROR(INDEX(parametros!$H$2:$H$6,MATCH(C51,parametros!$B$2:$B$6,0)),"")=""),"INICIO_EFEITO ausente: PC "&amp;A51&amp;" - "&amp;C51,IF(L51="","EFEITO_PC nao calculado: PC "&amp;A51&amp;" - "&amp;C51,"OK")))))))))</f>
        <v/>
      </c>
      <c r="L51" s="92" t="str">
        <f>IF(AND(A51="",B51="",D51="",G51=""),"",IF(OR(B51="",NOT(ISNUMBER(B51)),C51="",C51="Fora dos ciclos"),"",IF(C51="C0","Nao",IF(IFERROR(INDEX(parametros!$A$2:$A$6,MATCH(C51,parametros!$B$2:$B$6,0)),"")&lt;&gt;"Sim","Nao",IF(IFERROR(INDEX(parametros!$H$2:$H$6,MATCH(C51,parametros!$B$2:$B$6,0)),"")="","",IF(B51&gt;=IFERROR(INDEX(parametros!$H$2:$H$6,MATCH(C51,parametros!$B$2:$B$6,0)),""),"Sim","Nao"))))))</f>
        <v/>
      </c>
      <c r="M51" s="14"/>
      <c r="N51" s="14"/>
      <c r="O51" s="14"/>
      <c r="P51" s="14"/>
      <c r="Q51" s="14"/>
      <c r="R51" s="14"/>
      <c r="S51" s="14"/>
      <c r="T51" s="211"/>
      <c r="U51" s="214" t="str">
        <f t="shared" si="4"/>
        <v/>
      </c>
      <c r="V51" s="212" t="s">
        <v>50</v>
      </c>
      <c r="W51" s="100" t="s">
        <v>168</v>
      </c>
      <c r="X51" s="100" t="s">
        <v>169</v>
      </c>
      <c r="Y51" s="101" t="s">
        <v>170</v>
      </c>
      <c r="Z51" s="101" t="s">
        <v>171</v>
      </c>
      <c r="AA51" s="101" t="s">
        <v>50</v>
      </c>
      <c r="AB51" s="101" t="s">
        <v>172</v>
      </c>
      <c r="AC51" s="102" t="s">
        <v>173</v>
      </c>
    </row>
    <row r="52" spans="1:29" ht="25.5" customHeight="1" x14ac:dyDescent="0.35">
      <c r="A52" s="392"/>
      <c r="B52" s="393"/>
      <c r="C52" s="99" t="str">
        <f>IF(B52="","",IF(NOT(ISNUMBER(B52)),"DATA_PC invalida",IF(NOT(ISNUMBER(parametros!$C$2)),"Fora dos ciclos",IF(OR(B52&lt;parametros!$C$2,(YEAR(B52)-YEAR(parametros!$C$2))*12+MONTH(B52)-MONTH(parametros!$C$2)&gt;59),"Fora dos ciclos","C"&amp;INT(((YEAR(B52)-YEAR(parametros!$C$2))*12+MONTH(B52)-MONTH(parametros!$C$2))/12)))))</f>
        <v/>
      </c>
      <c r="D52" s="394"/>
      <c r="E52" s="78" t="str">
        <f>IF(C52="","",IFERROR(VLOOKUP(C52,parametros!$A$11:$E$15,5,0),""))</f>
        <v/>
      </c>
      <c r="F52" s="79" t="str">
        <f t="shared" si="0"/>
        <v/>
      </c>
      <c r="G52" s="395"/>
      <c r="H52" s="91">
        <f t="shared" si="1"/>
        <v>0</v>
      </c>
      <c r="I52" s="91" t="str">
        <f t="shared" si="2"/>
        <v/>
      </c>
      <c r="J52" s="91" t="str">
        <f t="shared" si="3"/>
        <v/>
      </c>
      <c r="K52" s="92" t="str">
        <f>IF(AND(A52="",B52="",D52="",G52=""),"",IF(AND(A52&lt;&gt;"",COUNTIF($A$2:$A$5001,A52)&gt;1),"NUMERO_PC duplicado",IF(B52="","DATA_PC vazia",IF(NOT(ISNUMBER(B52)),"DATA_PC invalida",IF(OR(C52="",C52="Fora dos ciclos"),"CICLO_PC nao identificado",IF(OR(D52="",D52=0),"VALOR_PC vazio ou zero",IF(AND(G52&lt;&gt;"Sim",G52&lt;&gt;"Nao",G52&lt;&gt;""),"PC_PAGO_A_CONTRATADA invalido",IF(AND(C52&lt;&gt;"C0",IFERROR(INDEX(parametros!$A$2:$A$6,MATCH(C52,parametros!$B$2:$B$6,0)),"")="Sim",IFERROR(INDEX(parametros!$H$2:$H$6,MATCH(C52,parametros!$B$2:$B$6,0)),"")=""),"INICIO_EFEITO ausente: PC "&amp;A52&amp;" - "&amp;C52,IF(L52="","EFEITO_PC nao calculado: PC "&amp;A52&amp;" - "&amp;C52,"OK")))))))))</f>
        <v/>
      </c>
      <c r="L52" s="92" t="str">
        <f>IF(AND(A52="",B52="",D52="",G52=""),"",IF(OR(B52="",NOT(ISNUMBER(B52)),C52="",C52="Fora dos ciclos"),"",IF(C52="C0","Nao",IF(IFERROR(INDEX(parametros!$A$2:$A$6,MATCH(C52,parametros!$B$2:$B$6,0)),"")&lt;&gt;"Sim","Nao",IF(IFERROR(INDEX(parametros!$H$2:$H$6,MATCH(C52,parametros!$B$2:$B$6,0)),"")="","",IF(B52&gt;=IFERROR(INDEX(parametros!$H$2:$H$6,MATCH(C52,parametros!$B$2:$B$6,0)),""),"Sim","Nao"))))))</f>
        <v/>
      </c>
      <c r="M52" s="14"/>
      <c r="N52" s="14"/>
      <c r="O52" s="14"/>
      <c r="P52" s="14"/>
      <c r="Q52" s="14"/>
      <c r="R52" s="14"/>
      <c r="S52" s="14"/>
      <c r="T52" s="211"/>
      <c r="U52" s="214" t="str">
        <f t="shared" si="4"/>
        <v/>
      </c>
      <c r="V52" s="212" t="s">
        <v>50</v>
      </c>
      <c r="W52" s="100" t="s">
        <v>168</v>
      </c>
      <c r="X52" s="100" t="s">
        <v>169</v>
      </c>
      <c r="Y52" s="101" t="s">
        <v>170</v>
      </c>
      <c r="Z52" s="101" t="s">
        <v>171</v>
      </c>
      <c r="AA52" s="101" t="s">
        <v>50</v>
      </c>
      <c r="AB52" s="101" t="s">
        <v>172</v>
      </c>
      <c r="AC52" s="102" t="s">
        <v>173</v>
      </c>
    </row>
    <row r="53" spans="1:29" ht="25.5" customHeight="1" x14ac:dyDescent="0.35">
      <c r="A53" s="392"/>
      <c r="B53" s="393"/>
      <c r="C53" s="99" t="str">
        <f>IF(B53="","",IF(NOT(ISNUMBER(B53)),"DATA_PC invalida",IF(NOT(ISNUMBER(parametros!$C$2)),"Fora dos ciclos",IF(OR(B53&lt;parametros!$C$2,(YEAR(B53)-YEAR(parametros!$C$2))*12+MONTH(B53)-MONTH(parametros!$C$2)&gt;59),"Fora dos ciclos","C"&amp;INT(((YEAR(B53)-YEAR(parametros!$C$2))*12+MONTH(B53)-MONTH(parametros!$C$2))/12)))))</f>
        <v/>
      </c>
      <c r="D53" s="394"/>
      <c r="E53" s="78" t="str">
        <f>IF(C53="","",IFERROR(VLOOKUP(C53,parametros!$A$11:$E$15,5,0),""))</f>
        <v/>
      </c>
      <c r="F53" s="79" t="str">
        <f t="shared" si="0"/>
        <v/>
      </c>
      <c r="G53" s="395"/>
      <c r="H53" s="91">
        <f t="shared" si="1"/>
        <v>0</v>
      </c>
      <c r="I53" s="91" t="str">
        <f t="shared" si="2"/>
        <v/>
      </c>
      <c r="J53" s="91" t="str">
        <f t="shared" si="3"/>
        <v/>
      </c>
      <c r="K53" s="92" t="str">
        <f>IF(AND(A53="",B53="",D53="",G53=""),"",IF(AND(A53&lt;&gt;"",COUNTIF($A$2:$A$5001,A53)&gt;1),"NUMERO_PC duplicado",IF(B53="","DATA_PC vazia",IF(NOT(ISNUMBER(B53)),"DATA_PC invalida",IF(OR(C53="",C53="Fora dos ciclos"),"CICLO_PC nao identificado",IF(OR(D53="",D53=0),"VALOR_PC vazio ou zero",IF(AND(G53&lt;&gt;"Sim",G53&lt;&gt;"Nao",G53&lt;&gt;""),"PC_PAGO_A_CONTRATADA invalido",IF(AND(C53&lt;&gt;"C0",IFERROR(INDEX(parametros!$A$2:$A$6,MATCH(C53,parametros!$B$2:$B$6,0)),"")="Sim",IFERROR(INDEX(parametros!$H$2:$H$6,MATCH(C53,parametros!$B$2:$B$6,0)),"")=""),"INICIO_EFEITO ausente: PC "&amp;A53&amp;" - "&amp;C53,IF(L53="","EFEITO_PC nao calculado: PC "&amp;A53&amp;" - "&amp;C53,"OK")))))))))</f>
        <v/>
      </c>
      <c r="L53" s="92" t="str">
        <f>IF(AND(A53="",B53="",D53="",G53=""),"",IF(OR(B53="",NOT(ISNUMBER(B53)),C53="",C53="Fora dos ciclos"),"",IF(C53="C0","Nao",IF(IFERROR(INDEX(parametros!$A$2:$A$6,MATCH(C53,parametros!$B$2:$B$6,0)),"")&lt;&gt;"Sim","Nao",IF(IFERROR(INDEX(parametros!$H$2:$H$6,MATCH(C53,parametros!$B$2:$B$6,0)),"")="","",IF(B53&gt;=IFERROR(INDEX(parametros!$H$2:$H$6,MATCH(C53,parametros!$B$2:$B$6,0)),""),"Sim","Nao"))))))</f>
        <v/>
      </c>
      <c r="M53" s="14"/>
      <c r="N53" s="14"/>
      <c r="O53" s="14"/>
      <c r="P53" s="14"/>
      <c r="Q53" s="14"/>
      <c r="R53" s="14"/>
      <c r="S53" s="14"/>
      <c r="T53" s="211"/>
      <c r="U53" s="214" t="str">
        <f t="shared" si="4"/>
        <v/>
      </c>
      <c r="V53" s="212" t="s">
        <v>50</v>
      </c>
      <c r="W53" s="100" t="s">
        <v>168</v>
      </c>
      <c r="X53" s="100" t="s">
        <v>169</v>
      </c>
      <c r="Y53" s="101" t="s">
        <v>170</v>
      </c>
      <c r="Z53" s="101" t="s">
        <v>171</v>
      </c>
      <c r="AA53" s="101" t="s">
        <v>50</v>
      </c>
      <c r="AB53" s="101" t="s">
        <v>172</v>
      </c>
      <c r="AC53" s="102" t="s">
        <v>173</v>
      </c>
    </row>
    <row r="54" spans="1:29" ht="25.5" customHeight="1" x14ac:dyDescent="0.35">
      <c r="A54" s="392"/>
      <c r="B54" s="393"/>
      <c r="C54" s="99" t="str">
        <f>IF(B54="","",IF(NOT(ISNUMBER(B54)),"DATA_PC invalida",IF(NOT(ISNUMBER(parametros!$C$2)),"Fora dos ciclos",IF(OR(B54&lt;parametros!$C$2,(YEAR(B54)-YEAR(parametros!$C$2))*12+MONTH(B54)-MONTH(parametros!$C$2)&gt;59),"Fora dos ciclos","C"&amp;INT(((YEAR(B54)-YEAR(parametros!$C$2))*12+MONTH(B54)-MONTH(parametros!$C$2))/12)))))</f>
        <v/>
      </c>
      <c r="D54" s="394"/>
      <c r="E54" s="78" t="str">
        <f>IF(C54="","",IFERROR(VLOOKUP(C54,parametros!$A$11:$E$15,5,0),""))</f>
        <v/>
      </c>
      <c r="F54" s="79" t="str">
        <f t="shared" si="0"/>
        <v/>
      </c>
      <c r="G54" s="395"/>
      <c r="H54" s="91">
        <f t="shared" si="1"/>
        <v>0</v>
      </c>
      <c r="I54" s="91" t="str">
        <f t="shared" si="2"/>
        <v/>
      </c>
      <c r="J54" s="91" t="str">
        <f t="shared" si="3"/>
        <v/>
      </c>
      <c r="K54" s="92" t="str">
        <f>IF(AND(A54="",B54="",D54="",G54=""),"",IF(AND(A54&lt;&gt;"",COUNTIF($A$2:$A$5001,A54)&gt;1),"NUMERO_PC duplicado",IF(B54="","DATA_PC vazia",IF(NOT(ISNUMBER(B54)),"DATA_PC invalida",IF(OR(C54="",C54="Fora dos ciclos"),"CICLO_PC nao identificado",IF(OR(D54="",D54=0),"VALOR_PC vazio ou zero",IF(AND(G54&lt;&gt;"Sim",G54&lt;&gt;"Nao",G54&lt;&gt;""),"PC_PAGO_A_CONTRATADA invalido",IF(AND(C54&lt;&gt;"C0",IFERROR(INDEX(parametros!$A$2:$A$6,MATCH(C54,parametros!$B$2:$B$6,0)),"")="Sim",IFERROR(INDEX(parametros!$H$2:$H$6,MATCH(C54,parametros!$B$2:$B$6,0)),"")=""),"INICIO_EFEITO ausente: PC "&amp;A54&amp;" - "&amp;C54,IF(L54="","EFEITO_PC nao calculado: PC "&amp;A54&amp;" - "&amp;C54,"OK")))))))))</f>
        <v/>
      </c>
      <c r="L54" s="92" t="str">
        <f>IF(AND(A54="",B54="",D54="",G54=""),"",IF(OR(B54="",NOT(ISNUMBER(B54)),C54="",C54="Fora dos ciclos"),"",IF(C54="C0","Nao",IF(IFERROR(INDEX(parametros!$A$2:$A$6,MATCH(C54,parametros!$B$2:$B$6,0)),"")&lt;&gt;"Sim","Nao",IF(IFERROR(INDEX(parametros!$H$2:$H$6,MATCH(C54,parametros!$B$2:$B$6,0)),"")="","",IF(B54&gt;=IFERROR(INDEX(parametros!$H$2:$H$6,MATCH(C54,parametros!$B$2:$B$6,0)),""),"Sim","Nao"))))))</f>
        <v/>
      </c>
      <c r="M54" s="14"/>
      <c r="N54" s="14"/>
      <c r="O54" s="14"/>
      <c r="P54" s="14"/>
      <c r="Q54" s="14"/>
      <c r="R54" s="14"/>
      <c r="S54" s="14"/>
      <c r="T54" s="211"/>
      <c r="U54" s="214" t="str">
        <f t="shared" si="4"/>
        <v/>
      </c>
      <c r="V54" s="212" t="s">
        <v>50</v>
      </c>
      <c r="W54" s="100" t="s">
        <v>168</v>
      </c>
      <c r="X54" s="100" t="s">
        <v>169</v>
      </c>
      <c r="Y54" s="101" t="s">
        <v>170</v>
      </c>
      <c r="Z54" s="101" t="s">
        <v>171</v>
      </c>
      <c r="AA54" s="101" t="s">
        <v>50</v>
      </c>
      <c r="AB54" s="101" t="s">
        <v>172</v>
      </c>
      <c r="AC54" s="102" t="s">
        <v>173</v>
      </c>
    </row>
    <row r="55" spans="1:29" ht="25.5" customHeight="1" x14ac:dyDescent="0.35">
      <c r="A55" s="392"/>
      <c r="B55" s="393"/>
      <c r="C55" s="99" t="str">
        <f>IF(B55="","",IF(NOT(ISNUMBER(B55)),"DATA_PC invalida",IF(NOT(ISNUMBER(parametros!$C$2)),"Fora dos ciclos",IF(OR(B55&lt;parametros!$C$2,(YEAR(B55)-YEAR(parametros!$C$2))*12+MONTH(B55)-MONTH(parametros!$C$2)&gt;59),"Fora dos ciclos","C"&amp;INT(((YEAR(B55)-YEAR(parametros!$C$2))*12+MONTH(B55)-MONTH(parametros!$C$2))/12)))))</f>
        <v/>
      </c>
      <c r="D55" s="394"/>
      <c r="E55" s="78" t="str">
        <f>IF(C55="","",IFERROR(VLOOKUP(C55,parametros!$A$11:$E$15,5,0),""))</f>
        <v/>
      </c>
      <c r="F55" s="79" t="str">
        <f t="shared" si="0"/>
        <v/>
      </c>
      <c r="G55" s="395"/>
      <c r="H55" s="91">
        <f t="shared" si="1"/>
        <v>0</v>
      </c>
      <c r="I55" s="91" t="str">
        <f t="shared" si="2"/>
        <v/>
      </c>
      <c r="J55" s="91" t="str">
        <f t="shared" si="3"/>
        <v/>
      </c>
      <c r="K55" s="92" t="str">
        <f>IF(AND(A55="",B55="",D55="",G55=""),"",IF(AND(A55&lt;&gt;"",COUNTIF($A$2:$A$5001,A55)&gt;1),"NUMERO_PC duplicado",IF(B55="","DATA_PC vazia",IF(NOT(ISNUMBER(B55)),"DATA_PC invalida",IF(OR(C55="",C55="Fora dos ciclos"),"CICLO_PC nao identificado",IF(OR(D55="",D55=0),"VALOR_PC vazio ou zero",IF(AND(G55&lt;&gt;"Sim",G55&lt;&gt;"Nao",G55&lt;&gt;""),"PC_PAGO_A_CONTRATADA invalido",IF(AND(C55&lt;&gt;"C0",IFERROR(INDEX(parametros!$A$2:$A$6,MATCH(C55,parametros!$B$2:$B$6,0)),"")="Sim",IFERROR(INDEX(parametros!$H$2:$H$6,MATCH(C55,parametros!$B$2:$B$6,0)),"")=""),"INICIO_EFEITO ausente: PC "&amp;A55&amp;" - "&amp;C55,IF(L55="","EFEITO_PC nao calculado: PC "&amp;A55&amp;" - "&amp;C55,"OK")))))))))</f>
        <v/>
      </c>
      <c r="L55" s="92" t="str">
        <f>IF(AND(A55="",B55="",D55="",G55=""),"",IF(OR(B55="",NOT(ISNUMBER(B55)),C55="",C55="Fora dos ciclos"),"",IF(C55="C0","Nao",IF(IFERROR(INDEX(parametros!$A$2:$A$6,MATCH(C55,parametros!$B$2:$B$6,0)),"")&lt;&gt;"Sim","Nao",IF(IFERROR(INDEX(parametros!$H$2:$H$6,MATCH(C55,parametros!$B$2:$B$6,0)),"")="","",IF(B55&gt;=IFERROR(INDEX(parametros!$H$2:$H$6,MATCH(C55,parametros!$B$2:$B$6,0)),""),"Sim","Nao"))))))</f>
        <v/>
      </c>
      <c r="M55" s="14"/>
      <c r="N55" s="14"/>
      <c r="O55" s="14"/>
      <c r="P55" s="14"/>
      <c r="Q55" s="14"/>
      <c r="R55" s="14"/>
      <c r="S55" s="14"/>
      <c r="T55" s="211"/>
      <c r="U55" s="214" t="str">
        <f t="shared" si="4"/>
        <v/>
      </c>
      <c r="V55" s="212" t="s">
        <v>50</v>
      </c>
      <c r="W55" s="100" t="s">
        <v>168</v>
      </c>
      <c r="X55" s="100" t="s">
        <v>169</v>
      </c>
      <c r="Y55" s="101" t="s">
        <v>170</v>
      </c>
      <c r="Z55" s="101" t="s">
        <v>171</v>
      </c>
      <c r="AA55" s="101" t="s">
        <v>50</v>
      </c>
      <c r="AB55" s="101" t="s">
        <v>172</v>
      </c>
      <c r="AC55" s="102" t="s">
        <v>173</v>
      </c>
    </row>
    <row r="56" spans="1:29" ht="25.5" customHeight="1" x14ac:dyDescent="0.35">
      <c r="A56" s="392"/>
      <c r="B56" s="393"/>
      <c r="C56" s="99" t="str">
        <f>IF(B56="","",IF(NOT(ISNUMBER(B56)),"DATA_PC invalida",IF(NOT(ISNUMBER(parametros!$C$2)),"Fora dos ciclos",IF(OR(B56&lt;parametros!$C$2,(YEAR(B56)-YEAR(parametros!$C$2))*12+MONTH(B56)-MONTH(parametros!$C$2)&gt;59),"Fora dos ciclos","C"&amp;INT(((YEAR(B56)-YEAR(parametros!$C$2))*12+MONTH(B56)-MONTH(parametros!$C$2))/12)))))</f>
        <v/>
      </c>
      <c r="D56" s="394"/>
      <c r="E56" s="78" t="str">
        <f>IF(C56="","",IFERROR(VLOOKUP(C56,parametros!$A$11:$E$15,5,0),""))</f>
        <v/>
      </c>
      <c r="F56" s="79" t="str">
        <f t="shared" si="0"/>
        <v/>
      </c>
      <c r="G56" s="395"/>
      <c r="H56" s="91">
        <f t="shared" si="1"/>
        <v>0</v>
      </c>
      <c r="I56" s="91" t="str">
        <f t="shared" si="2"/>
        <v/>
      </c>
      <c r="J56" s="91" t="str">
        <f t="shared" si="3"/>
        <v/>
      </c>
      <c r="K56" s="92" t="str">
        <f>IF(AND(A56="",B56="",D56="",G56=""),"",IF(AND(A56&lt;&gt;"",COUNTIF($A$2:$A$5001,A56)&gt;1),"NUMERO_PC duplicado",IF(B56="","DATA_PC vazia",IF(NOT(ISNUMBER(B56)),"DATA_PC invalida",IF(OR(C56="",C56="Fora dos ciclos"),"CICLO_PC nao identificado",IF(OR(D56="",D56=0),"VALOR_PC vazio ou zero",IF(AND(G56&lt;&gt;"Sim",G56&lt;&gt;"Nao",G56&lt;&gt;""),"PC_PAGO_A_CONTRATADA invalido",IF(AND(C56&lt;&gt;"C0",IFERROR(INDEX(parametros!$A$2:$A$6,MATCH(C56,parametros!$B$2:$B$6,0)),"")="Sim",IFERROR(INDEX(parametros!$H$2:$H$6,MATCH(C56,parametros!$B$2:$B$6,0)),"")=""),"INICIO_EFEITO ausente: PC "&amp;A56&amp;" - "&amp;C56,IF(L56="","EFEITO_PC nao calculado: PC "&amp;A56&amp;" - "&amp;C56,"OK")))))))))</f>
        <v/>
      </c>
      <c r="L56" s="92" t="str">
        <f>IF(AND(A56="",B56="",D56="",G56=""),"",IF(OR(B56="",NOT(ISNUMBER(B56)),C56="",C56="Fora dos ciclos"),"",IF(C56="C0","Nao",IF(IFERROR(INDEX(parametros!$A$2:$A$6,MATCH(C56,parametros!$B$2:$B$6,0)),"")&lt;&gt;"Sim","Nao",IF(IFERROR(INDEX(parametros!$H$2:$H$6,MATCH(C56,parametros!$B$2:$B$6,0)),"")="","",IF(B56&gt;=IFERROR(INDEX(parametros!$H$2:$H$6,MATCH(C56,parametros!$B$2:$B$6,0)),""),"Sim","Nao"))))))</f>
        <v/>
      </c>
      <c r="M56" s="14"/>
      <c r="N56" s="14"/>
      <c r="O56" s="14"/>
      <c r="P56" s="14"/>
      <c r="Q56" s="14"/>
      <c r="R56" s="14"/>
      <c r="S56" s="14"/>
      <c r="T56" s="211"/>
      <c r="U56" s="214" t="str">
        <f t="shared" si="4"/>
        <v/>
      </c>
      <c r="V56" s="212" t="s">
        <v>50</v>
      </c>
      <c r="W56" s="100" t="s">
        <v>168</v>
      </c>
      <c r="X56" s="100" t="s">
        <v>169</v>
      </c>
      <c r="Y56" s="101" t="s">
        <v>170</v>
      </c>
      <c r="Z56" s="101" t="s">
        <v>171</v>
      </c>
      <c r="AA56" s="101" t="s">
        <v>50</v>
      </c>
      <c r="AB56" s="101" t="s">
        <v>172</v>
      </c>
      <c r="AC56" s="102" t="s">
        <v>173</v>
      </c>
    </row>
    <row r="57" spans="1:29" ht="25.5" customHeight="1" x14ac:dyDescent="0.35">
      <c r="A57" s="392"/>
      <c r="B57" s="393"/>
      <c r="C57" s="99" t="str">
        <f>IF(B57="","",IF(NOT(ISNUMBER(B57)),"DATA_PC invalida",IF(NOT(ISNUMBER(parametros!$C$2)),"Fora dos ciclos",IF(OR(B57&lt;parametros!$C$2,(YEAR(B57)-YEAR(parametros!$C$2))*12+MONTH(B57)-MONTH(parametros!$C$2)&gt;59),"Fora dos ciclos","C"&amp;INT(((YEAR(B57)-YEAR(parametros!$C$2))*12+MONTH(B57)-MONTH(parametros!$C$2))/12)))))</f>
        <v/>
      </c>
      <c r="D57" s="394"/>
      <c r="E57" s="78" t="str">
        <f>IF(C57="","",IFERROR(VLOOKUP(C57,parametros!$A$11:$E$15,5,0),""))</f>
        <v/>
      </c>
      <c r="F57" s="79" t="str">
        <f t="shared" si="0"/>
        <v/>
      </c>
      <c r="G57" s="395"/>
      <c r="H57" s="91">
        <f t="shared" si="1"/>
        <v>0</v>
      </c>
      <c r="I57" s="91" t="str">
        <f t="shared" si="2"/>
        <v/>
      </c>
      <c r="J57" s="91" t="str">
        <f t="shared" si="3"/>
        <v/>
      </c>
      <c r="K57" s="92" t="str">
        <f>IF(AND(A57="",B57="",D57="",G57=""),"",IF(AND(A57&lt;&gt;"",COUNTIF($A$2:$A$5001,A57)&gt;1),"NUMERO_PC duplicado",IF(B57="","DATA_PC vazia",IF(NOT(ISNUMBER(B57)),"DATA_PC invalida",IF(OR(C57="",C57="Fora dos ciclos"),"CICLO_PC nao identificado",IF(OR(D57="",D57=0),"VALOR_PC vazio ou zero",IF(AND(G57&lt;&gt;"Sim",G57&lt;&gt;"Nao",G57&lt;&gt;""),"PC_PAGO_A_CONTRATADA invalido",IF(AND(C57&lt;&gt;"C0",IFERROR(INDEX(parametros!$A$2:$A$6,MATCH(C57,parametros!$B$2:$B$6,0)),"")="Sim",IFERROR(INDEX(parametros!$H$2:$H$6,MATCH(C57,parametros!$B$2:$B$6,0)),"")=""),"INICIO_EFEITO ausente: PC "&amp;A57&amp;" - "&amp;C57,IF(L57="","EFEITO_PC nao calculado: PC "&amp;A57&amp;" - "&amp;C57,"OK")))))))))</f>
        <v/>
      </c>
      <c r="L57" s="92" t="str">
        <f>IF(AND(A57="",B57="",D57="",G57=""),"",IF(OR(B57="",NOT(ISNUMBER(B57)),C57="",C57="Fora dos ciclos"),"",IF(C57="C0","Nao",IF(IFERROR(INDEX(parametros!$A$2:$A$6,MATCH(C57,parametros!$B$2:$B$6,0)),"")&lt;&gt;"Sim","Nao",IF(IFERROR(INDEX(parametros!$H$2:$H$6,MATCH(C57,parametros!$B$2:$B$6,0)),"")="","",IF(B57&gt;=IFERROR(INDEX(parametros!$H$2:$H$6,MATCH(C57,parametros!$B$2:$B$6,0)),""),"Sim","Nao"))))))</f>
        <v/>
      </c>
      <c r="M57" s="14"/>
      <c r="N57" s="14"/>
      <c r="O57" s="14"/>
      <c r="P57" s="14"/>
      <c r="Q57" s="14"/>
      <c r="R57" s="14"/>
      <c r="S57" s="14"/>
      <c r="T57" s="211"/>
      <c r="U57" s="214" t="str">
        <f t="shared" si="4"/>
        <v/>
      </c>
      <c r="V57" s="212" t="s">
        <v>50</v>
      </c>
      <c r="W57" s="100" t="s">
        <v>168</v>
      </c>
      <c r="X57" s="100" t="s">
        <v>169</v>
      </c>
      <c r="Y57" s="101" t="s">
        <v>170</v>
      </c>
      <c r="Z57" s="101" t="s">
        <v>171</v>
      </c>
      <c r="AA57" s="101" t="s">
        <v>50</v>
      </c>
      <c r="AB57" s="101" t="s">
        <v>172</v>
      </c>
      <c r="AC57" s="102" t="s">
        <v>173</v>
      </c>
    </row>
    <row r="58" spans="1:29" ht="25.5" customHeight="1" x14ac:dyDescent="0.35">
      <c r="A58" s="392"/>
      <c r="B58" s="393"/>
      <c r="C58" s="99" t="str">
        <f>IF(B58="","",IF(NOT(ISNUMBER(B58)),"DATA_PC invalida",IF(NOT(ISNUMBER(parametros!$C$2)),"Fora dos ciclos",IF(OR(B58&lt;parametros!$C$2,(YEAR(B58)-YEAR(parametros!$C$2))*12+MONTH(B58)-MONTH(parametros!$C$2)&gt;59),"Fora dos ciclos","C"&amp;INT(((YEAR(B58)-YEAR(parametros!$C$2))*12+MONTH(B58)-MONTH(parametros!$C$2))/12)))))</f>
        <v/>
      </c>
      <c r="D58" s="394"/>
      <c r="E58" s="78" t="str">
        <f>IF(C58="","",IFERROR(VLOOKUP(C58,parametros!$A$11:$E$15,5,0),""))</f>
        <v/>
      </c>
      <c r="F58" s="79" t="str">
        <f t="shared" si="0"/>
        <v/>
      </c>
      <c r="G58" s="395"/>
      <c r="H58" s="91">
        <f t="shared" si="1"/>
        <v>0</v>
      </c>
      <c r="I58" s="91" t="str">
        <f t="shared" si="2"/>
        <v/>
      </c>
      <c r="J58" s="91" t="str">
        <f t="shared" si="3"/>
        <v/>
      </c>
      <c r="K58" s="92" t="str">
        <f>IF(AND(A58="",B58="",D58="",G58=""),"",IF(AND(A58&lt;&gt;"",COUNTIF($A$2:$A$5001,A58)&gt;1),"NUMERO_PC duplicado",IF(B58="","DATA_PC vazia",IF(NOT(ISNUMBER(B58)),"DATA_PC invalida",IF(OR(C58="",C58="Fora dos ciclos"),"CICLO_PC nao identificado",IF(OR(D58="",D58=0),"VALOR_PC vazio ou zero",IF(AND(G58&lt;&gt;"Sim",G58&lt;&gt;"Nao",G58&lt;&gt;""),"PC_PAGO_A_CONTRATADA invalido",IF(AND(C58&lt;&gt;"C0",IFERROR(INDEX(parametros!$A$2:$A$6,MATCH(C58,parametros!$B$2:$B$6,0)),"")="Sim",IFERROR(INDEX(parametros!$H$2:$H$6,MATCH(C58,parametros!$B$2:$B$6,0)),"")=""),"INICIO_EFEITO ausente: PC "&amp;A58&amp;" - "&amp;C58,IF(L58="","EFEITO_PC nao calculado: PC "&amp;A58&amp;" - "&amp;C58,"OK")))))))))</f>
        <v/>
      </c>
      <c r="L58" s="92" t="str">
        <f>IF(AND(A58="",B58="",D58="",G58=""),"",IF(OR(B58="",NOT(ISNUMBER(B58)),C58="",C58="Fora dos ciclos"),"",IF(C58="C0","Nao",IF(IFERROR(INDEX(parametros!$A$2:$A$6,MATCH(C58,parametros!$B$2:$B$6,0)),"")&lt;&gt;"Sim","Nao",IF(IFERROR(INDEX(parametros!$H$2:$H$6,MATCH(C58,parametros!$B$2:$B$6,0)),"")="","",IF(B58&gt;=IFERROR(INDEX(parametros!$H$2:$H$6,MATCH(C58,parametros!$B$2:$B$6,0)),""),"Sim","Nao"))))))</f>
        <v/>
      </c>
      <c r="M58" s="14"/>
      <c r="N58" s="14"/>
      <c r="O58" s="14"/>
      <c r="P58" s="14"/>
      <c r="Q58" s="14"/>
      <c r="R58" s="14"/>
      <c r="S58" s="14"/>
      <c r="T58" s="211"/>
      <c r="U58" s="214" t="str">
        <f t="shared" si="4"/>
        <v/>
      </c>
      <c r="V58" s="212" t="s">
        <v>50</v>
      </c>
      <c r="W58" s="100" t="s">
        <v>168</v>
      </c>
      <c r="X58" s="100" t="s">
        <v>169</v>
      </c>
      <c r="Y58" s="101" t="s">
        <v>170</v>
      </c>
      <c r="Z58" s="101" t="s">
        <v>171</v>
      </c>
      <c r="AA58" s="101" t="s">
        <v>50</v>
      </c>
      <c r="AB58" s="101" t="s">
        <v>172</v>
      </c>
      <c r="AC58" s="102" t="s">
        <v>173</v>
      </c>
    </row>
    <row r="59" spans="1:29" ht="25.5" customHeight="1" x14ac:dyDescent="0.35">
      <c r="A59" s="392"/>
      <c r="B59" s="393"/>
      <c r="C59" s="99" t="str">
        <f>IF(B59="","",IF(NOT(ISNUMBER(B59)),"DATA_PC invalida",IF(NOT(ISNUMBER(parametros!$C$2)),"Fora dos ciclos",IF(OR(B59&lt;parametros!$C$2,(YEAR(B59)-YEAR(parametros!$C$2))*12+MONTH(B59)-MONTH(parametros!$C$2)&gt;59),"Fora dos ciclos","C"&amp;INT(((YEAR(B59)-YEAR(parametros!$C$2))*12+MONTH(B59)-MONTH(parametros!$C$2))/12)))))</f>
        <v/>
      </c>
      <c r="D59" s="394"/>
      <c r="E59" s="78" t="str">
        <f>IF(C59="","",IFERROR(VLOOKUP(C59,parametros!$A$11:$E$15,5,0),""))</f>
        <v/>
      </c>
      <c r="F59" s="79" t="str">
        <f t="shared" si="0"/>
        <v/>
      </c>
      <c r="G59" s="395"/>
      <c r="H59" s="91">
        <f t="shared" si="1"/>
        <v>0</v>
      </c>
      <c r="I59" s="91" t="str">
        <f t="shared" si="2"/>
        <v/>
      </c>
      <c r="J59" s="91" t="str">
        <f t="shared" si="3"/>
        <v/>
      </c>
      <c r="K59" s="92" t="str">
        <f>IF(AND(A59="",B59="",D59="",G59=""),"",IF(AND(A59&lt;&gt;"",COUNTIF($A$2:$A$5001,A59)&gt;1),"NUMERO_PC duplicado",IF(B59="","DATA_PC vazia",IF(NOT(ISNUMBER(B59)),"DATA_PC invalida",IF(OR(C59="",C59="Fora dos ciclos"),"CICLO_PC nao identificado",IF(OR(D59="",D59=0),"VALOR_PC vazio ou zero",IF(AND(G59&lt;&gt;"Sim",G59&lt;&gt;"Nao",G59&lt;&gt;""),"PC_PAGO_A_CONTRATADA invalido",IF(AND(C59&lt;&gt;"C0",IFERROR(INDEX(parametros!$A$2:$A$6,MATCH(C59,parametros!$B$2:$B$6,0)),"")="Sim",IFERROR(INDEX(parametros!$H$2:$H$6,MATCH(C59,parametros!$B$2:$B$6,0)),"")=""),"INICIO_EFEITO ausente: PC "&amp;A59&amp;" - "&amp;C59,IF(L59="","EFEITO_PC nao calculado: PC "&amp;A59&amp;" - "&amp;C59,"OK")))))))))</f>
        <v/>
      </c>
      <c r="L59" s="92" t="str">
        <f>IF(AND(A59="",B59="",D59="",G59=""),"",IF(OR(B59="",NOT(ISNUMBER(B59)),C59="",C59="Fora dos ciclos"),"",IF(C59="C0","Nao",IF(IFERROR(INDEX(parametros!$A$2:$A$6,MATCH(C59,parametros!$B$2:$B$6,0)),"")&lt;&gt;"Sim","Nao",IF(IFERROR(INDEX(parametros!$H$2:$H$6,MATCH(C59,parametros!$B$2:$B$6,0)),"")="","",IF(B59&gt;=IFERROR(INDEX(parametros!$H$2:$H$6,MATCH(C59,parametros!$B$2:$B$6,0)),""),"Sim","Nao"))))))</f>
        <v/>
      </c>
      <c r="M59" s="14"/>
      <c r="N59" s="14"/>
      <c r="O59" s="14"/>
      <c r="P59" s="14"/>
      <c r="Q59" s="14"/>
      <c r="R59" s="14"/>
      <c r="S59" s="14"/>
      <c r="T59" s="211"/>
      <c r="U59" s="214" t="str">
        <f t="shared" si="4"/>
        <v/>
      </c>
      <c r="V59" s="212" t="s">
        <v>50</v>
      </c>
      <c r="W59" s="100" t="s">
        <v>168</v>
      </c>
      <c r="X59" s="100" t="s">
        <v>169</v>
      </c>
      <c r="Y59" s="101" t="s">
        <v>170</v>
      </c>
      <c r="Z59" s="101" t="s">
        <v>171</v>
      </c>
      <c r="AA59" s="101" t="s">
        <v>50</v>
      </c>
      <c r="AB59" s="101" t="s">
        <v>172</v>
      </c>
      <c r="AC59" s="102" t="s">
        <v>173</v>
      </c>
    </row>
    <row r="60" spans="1:29" ht="25.5" customHeight="1" x14ac:dyDescent="0.35">
      <c r="A60" s="392"/>
      <c r="B60" s="393"/>
      <c r="C60" s="99" t="str">
        <f>IF(B60="","",IF(NOT(ISNUMBER(B60)),"DATA_PC invalida",IF(NOT(ISNUMBER(parametros!$C$2)),"Fora dos ciclos",IF(OR(B60&lt;parametros!$C$2,(YEAR(B60)-YEAR(parametros!$C$2))*12+MONTH(B60)-MONTH(parametros!$C$2)&gt;59),"Fora dos ciclos","C"&amp;INT(((YEAR(B60)-YEAR(parametros!$C$2))*12+MONTH(B60)-MONTH(parametros!$C$2))/12)))))</f>
        <v/>
      </c>
      <c r="D60" s="394"/>
      <c r="E60" s="78" t="str">
        <f>IF(C60="","",IFERROR(VLOOKUP(C60,parametros!$A$11:$E$15,5,0),""))</f>
        <v/>
      </c>
      <c r="F60" s="79" t="str">
        <f t="shared" si="0"/>
        <v/>
      </c>
      <c r="G60" s="395"/>
      <c r="H60" s="91">
        <f t="shared" si="1"/>
        <v>0</v>
      </c>
      <c r="I60" s="91" t="str">
        <f t="shared" si="2"/>
        <v/>
      </c>
      <c r="J60" s="91" t="str">
        <f t="shared" si="3"/>
        <v/>
      </c>
      <c r="K60" s="92" t="str">
        <f>IF(AND(A60="",B60="",D60="",G60=""),"",IF(AND(A60&lt;&gt;"",COUNTIF($A$2:$A$5001,A60)&gt;1),"NUMERO_PC duplicado",IF(B60="","DATA_PC vazia",IF(NOT(ISNUMBER(B60)),"DATA_PC invalida",IF(OR(C60="",C60="Fora dos ciclos"),"CICLO_PC nao identificado",IF(OR(D60="",D60=0),"VALOR_PC vazio ou zero",IF(AND(G60&lt;&gt;"Sim",G60&lt;&gt;"Nao",G60&lt;&gt;""),"PC_PAGO_A_CONTRATADA invalido",IF(AND(C60&lt;&gt;"C0",IFERROR(INDEX(parametros!$A$2:$A$6,MATCH(C60,parametros!$B$2:$B$6,0)),"")="Sim",IFERROR(INDEX(parametros!$H$2:$H$6,MATCH(C60,parametros!$B$2:$B$6,0)),"")=""),"INICIO_EFEITO ausente: PC "&amp;A60&amp;" - "&amp;C60,IF(L60="","EFEITO_PC nao calculado: PC "&amp;A60&amp;" - "&amp;C60,"OK")))))))))</f>
        <v/>
      </c>
      <c r="L60" s="92" t="str">
        <f>IF(AND(A60="",B60="",D60="",G60=""),"",IF(OR(B60="",NOT(ISNUMBER(B60)),C60="",C60="Fora dos ciclos"),"",IF(C60="C0","Nao",IF(IFERROR(INDEX(parametros!$A$2:$A$6,MATCH(C60,parametros!$B$2:$B$6,0)),"")&lt;&gt;"Sim","Nao",IF(IFERROR(INDEX(parametros!$H$2:$H$6,MATCH(C60,parametros!$B$2:$B$6,0)),"")="","",IF(B60&gt;=IFERROR(INDEX(parametros!$H$2:$H$6,MATCH(C60,parametros!$B$2:$B$6,0)),""),"Sim","Nao"))))))</f>
        <v/>
      </c>
      <c r="M60" s="14"/>
      <c r="N60" s="14"/>
      <c r="O60" s="14"/>
      <c r="P60" s="14"/>
      <c r="Q60" s="14"/>
      <c r="R60" s="14"/>
      <c r="S60" s="14"/>
      <c r="T60" s="211"/>
      <c r="U60" s="214" t="str">
        <f t="shared" si="4"/>
        <v/>
      </c>
      <c r="V60" s="212" t="s">
        <v>50</v>
      </c>
      <c r="W60" s="100" t="s">
        <v>168</v>
      </c>
      <c r="X60" s="100" t="s">
        <v>169</v>
      </c>
      <c r="Y60" s="101" t="s">
        <v>170</v>
      </c>
      <c r="Z60" s="101" t="s">
        <v>171</v>
      </c>
      <c r="AA60" s="101" t="s">
        <v>50</v>
      </c>
      <c r="AB60" s="101" t="s">
        <v>172</v>
      </c>
      <c r="AC60" s="102" t="s">
        <v>173</v>
      </c>
    </row>
    <row r="61" spans="1:29" ht="25.5" customHeight="1" x14ac:dyDescent="0.35">
      <c r="A61" s="392"/>
      <c r="B61" s="393"/>
      <c r="C61" s="99" t="str">
        <f>IF(B61="","",IF(NOT(ISNUMBER(B61)),"DATA_PC invalida",IF(NOT(ISNUMBER(parametros!$C$2)),"Fora dos ciclos",IF(OR(B61&lt;parametros!$C$2,(YEAR(B61)-YEAR(parametros!$C$2))*12+MONTH(B61)-MONTH(parametros!$C$2)&gt;59),"Fora dos ciclos","C"&amp;INT(((YEAR(B61)-YEAR(parametros!$C$2))*12+MONTH(B61)-MONTH(parametros!$C$2))/12)))))</f>
        <v/>
      </c>
      <c r="D61" s="394"/>
      <c r="E61" s="78" t="str">
        <f>IF(C61="","",IFERROR(VLOOKUP(C61,parametros!$A$11:$E$15,5,0),""))</f>
        <v/>
      </c>
      <c r="F61" s="79" t="str">
        <f t="shared" si="0"/>
        <v/>
      </c>
      <c r="G61" s="395"/>
      <c r="H61" s="91">
        <f t="shared" si="1"/>
        <v>0</v>
      </c>
      <c r="I61" s="91" t="str">
        <f t="shared" si="2"/>
        <v/>
      </c>
      <c r="J61" s="91" t="str">
        <f t="shared" si="3"/>
        <v/>
      </c>
      <c r="K61" s="92" t="str">
        <f>IF(AND(A61="",B61="",D61="",G61=""),"",IF(AND(A61&lt;&gt;"",COUNTIF($A$2:$A$5001,A61)&gt;1),"NUMERO_PC duplicado",IF(B61="","DATA_PC vazia",IF(NOT(ISNUMBER(B61)),"DATA_PC invalida",IF(OR(C61="",C61="Fora dos ciclos"),"CICLO_PC nao identificado",IF(OR(D61="",D61=0),"VALOR_PC vazio ou zero",IF(AND(G61&lt;&gt;"Sim",G61&lt;&gt;"Nao",G61&lt;&gt;""),"PC_PAGO_A_CONTRATADA invalido",IF(AND(C61&lt;&gt;"C0",IFERROR(INDEX(parametros!$A$2:$A$6,MATCH(C61,parametros!$B$2:$B$6,0)),"")="Sim",IFERROR(INDEX(parametros!$H$2:$H$6,MATCH(C61,parametros!$B$2:$B$6,0)),"")=""),"INICIO_EFEITO ausente: PC "&amp;A61&amp;" - "&amp;C61,IF(L61="","EFEITO_PC nao calculado: PC "&amp;A61&amp;" - "&amp;C61,"OK")))))))))</f>
        <v/>
      </c>
      <c r="L61" s="92" t="str">
        <f>IF(AND(A61="",B61="",D61="",G61=""),"",IF(OR(B61="",NOT(ISNUMBER(B61)),C61="",C61="Fora dos ciclos"),"",IF(C61="C0","Nao",IF(IFERROR(INDEX(parametros!$A$2:$A$6,MATCH(C61,parametros!$B$2:$B$6,0)),"")&lt;&gt;"Sim","Nao",IF(IFERROR(INDEX(parametros!$H$2:$H$6,MATCH(C61,parametros!$B$2:$B$6,0)),"")="","",IF(B61&gt;=IFERROR(INDEX(parametros!$H$2:$H$6,MATCH(C61,parametros!$B$2:$B$6,0)),""),"Sim","Nao"))))))</f>
        <v/>
      </c>
      <c r="M61" s="14"/>
      <c r="N61" s="14"/>
      <c r="O61" s="14"/>
      <c r="P61" s="14"/>
      <c r="Q61" s="14"/>
      <c r="R61" s="14"/>
      <c r="S61" s="14"/>
      <c r="T61" s="211"/>
      <c r="U61" s="214" t="str">
        <f t="shared" si="4"/>
        <v/>
      </c>
      <c r="V61" s="212" t="s">
        <v>50</v>
      </c>
      <c r="W61" s="100" t="s">
        <v>168</v>
      </c>
      <c r="X61" s="100" t="s">
        <v>169</v>
      </c>
      <c r="Y61" s="101" t="s">
        <v>170</v>
      </c>
      <c r="Z61" s="101" t="s">
        <v>171</v>
      </c>
      <c r="AA61" s="101" t="s">
        <v>50</v>
      </c>
      <c r="AB61" s="101" t="s">
        <v>172</v>
      </c>
      <c r="AC61" s="102" t="s">
        <v>173</v>
      </c>
    </row>
    <row r="62" spans="1:29" ht="25.5" customHeight="1" x14ac:dyDescent="0.35">
      <c r="A62" s="392"/>
      <c r="B62" s="393"/>
      <c r="C62" s="99" t="str">
        <f>IF(B62="","",IF(NOT(ISNUMBER(B62)),"DATA_PC invalida",IF(NOT(ISNUMBER(parametros!$C$2)),"Fora dos ciclos",IF(OR(B62&lt;parametros!$C$2,(YEAR(B62)-YEAR(parametros!$C$2))*12+MONTH(B62)-MONTH(parametros!$C$2)&gt;59),"Fora dos ciclos","C"&amp;INT(((YEAR(B62)-YEAR(parametros!$C$2))*12+MONTH(B62)-MONTH(parametros!$C$2))/12)))))</f>
        <v/>
      </c>
      <c r="D62" s="394"/>
      <c r="E62" s="78" t="str">
        <f>IF(C62="","",IFERROR(VLOOKUP(C62,parametros!$A$11:$E$15,5,0),""))</f>
        <v/>
      </c>
      <c r="F62" s="79" t="str">
        <f t="shared" si="0"/>
        <v/>
      </c>
      <c r="G62" s="395"/>
      <c r="H62" s="91">
        <f t="shared" si="1"/>
        <v>0</v>
      </c>
      <c r="I62" s="91" t="str">
        <f t="shared" si="2"/>
        <v/>
      </c>
      <c r="J62" s="91" t="str">
        <f t="shared" si="3"/>
        <v/>
      </c>
      <c r="K62" s="92" t="str">
        <f>IF(AND(A62="",B62="",D62="",G62=""),"",IF(AND(A62&lt;&gt;"",COUNTIF($A$2:$A$5001,A62)&gt;1),"NUMERO_PC duplicado",IF(B62="","DATA_PC vazia",IF(NOT(ISNUMBER(B62)),"DATA_PC invalida",IF(OR(C62="",C62="Fora dos ciclos"),"CICLO_PC nao identificado",IF(OR(D62="",D62=0),"VALOR_PC vazio ou zero",IF(AND(G62&lt;&gt;"Sim",G62&lt;&gt;"Nao",G62&lt;&gt;""),"PC_PAGO_A_CONTRATADA invalido",IF(AND(C62&lt;&gt;"C0",IFERROR(INDEX(parametros!$A$2:$A$6,MATCH(C62,parametros!$B$2:$B$6,0)),"")="Sim",IFERROR(INDEX(parametros!$H$2:$H$6,MATCH(C62,parametros!$B$2:$B$6,0)),"")=""),"INICIO_EFEITO ausente: PC "&amp;A62&amp;" - "&amp;C62,IF(L62="","EFEITO_PC nao calculado: PC "&amp;A62&amp;" - "&amp;C62,"OK")))))))))</f>
        <v/>
      </c>
      <c r="L62" s="92" t="str">
        <f>IF(AND(A62="",B62="",D62="",G62=""),"",IF(OR(B62="",NOT(ISNUMBER(B62)),C62="",C62="Fora dos ciclos"),"",IF(C62="C0","Nao",IF(IFERROR(INDEX(parametros!$A$2:$A$6,MATCH(C62,parametros!$B$2:$B$6,0)),"")&lt;&gt;"Sim","Nao",IF(IFERROR(INDEX(parametros!$H$2:$H$6,MATCH(C62,parametros!$B$2:$B$6,0)),"")="","",IF(B62&gt;=IFERROR(INDEX(parametros!$H$2:$H$6,MATCH(C62,parametros!$B$2:$B$6,0)),""),"Sim","Nao"))))))</f>
        <v/>
      </c>
      <c r="M62" s="14"/>
      <c r="N62" s="14"/>
      <c r="O62" s="14"/>
      <c r="P62" s="14"/>
      <c r="Q62" s="14"/>
      <c r="R62" s="14"/>
      <c r="S62" s="14"/>
      <c r="T62" s="211"/>
      <c r="U62" s="214" t="str">
        <f t="shared" si="4"/>
        <v/>
      </c>
      <c r="V62" s="212" t="s">
        <v>50</v>
      </c>
      <c r="W62" s="100" t="s">
        <v>168</v>
      </c>
      <c r="X62" s="100" t="s">
        <v>169</v>
      </c>
      <c r="Y62" s="101" t="s">
        <v>170</v>
      </c>
      <c r="Z62" s="101" t="s">
        <v>171</v>
      </c>
      <c r="AA62" s="101" t="s">
        <v>50</v>
      </c>
      <c r="AB62" s="101" t="s">
        <v>172</v>
      </c>
      <c r="AC62" s="102" t="s">
        <v>173</v>
      </c>
    </row>
    <row r="63" spans="1:29" ht="25.5" customHeight="1" x14ac:dyDescent="0.35">
      <c r="A63" s="392"/>
      <c r="B63" s="393"/>
      <c r="C63" s="99" t="str">
        <f>IF(B63="","",IF(NOT(ISNUMBER(B63)),"DATA_PC invalida",IF(NOT(ISNUMBER(parametros!$C$2)),"Fora dos ciclos",IF(OR(B63&lt;parametros!$C$2,(YEAR(B63)-YEAR(parametros!$C$2))*12+MONTH(B63)-MONTH(parametros!$C$2)&gt;59),"Fora dos ciclos","C"&amp;INT(((YEAR(B63)-YEAR(parametros!$C$2))*12+MONTH(B63)-MONTH(parametros!$C$2))/12)))))</f>
        <v/>
      </c>
      <c r="D63" s="394"/>
      <c r="E63" s="78" t="str">
        <f>IF(C63="","",IFERROR(VLOOKUP(C63,parametros!$A$11:$E$15,5,0),""))</f>
        <v/>
      </c>
      <c r="F63" s="79" t="str">
        <f t="shared" si="0"/>
        <v/>
      </c>
      <c r="G63" s="395"/>
      <c r="H63" s="91">
        <f t="shared" si="1"/>
        <v>0</v>
      </c>
      <c r="I63" s="91" t="str">
        <f t="shared" si="2"/>
        <v/>
      </c>
      <c r="J63" s="91" t="str">
        <f t="shared" si="3"/>
        <v/>
      </c>
      <c r="K63" s="92" t="str">
        <f>IF(AND(A63="",B63="",D63="",G63=""),"",IF(AND(A63&lt;&gt;"",COUNTIF($A$2:$A$5001,A63)&gt;1),"NUMERO_PC duplicado",IF(B63="","DATA_PC vazia",IF(NOT(ISNUMBER(B63)),"DATA_PC invalida",IF(OR(C63="",C63="Fora dos ciclos"),"CICLO_PC nao identificado",IF(OR(D63="",D63=0),"VALOR_PC vazio ou zero",IF(AND(G63&lt;&gt;"Sim",G63&lt;&gt;"Nao",G63&lt;&gt;""),"PC_PAGO_A_CONTRATADA invalido",IF(AND(C63&lt;&gt;"C0",IFERROR(INDEX(parametros!$A$2:$A$6,MATCH(C63,parametros!$B$2:$B$6,0)),"")="Sim",IFERROR(INDEX(parametros!$H$2:$H$6,MATCH(C63,parametros!$B$2:$B$6,0)),"")=""),"INICIO_EFEITO ausente: PC "&amp;A63&amp;" - "&amp;C63,IF(L63="","EFEITO_PC nao calculado: PC "&amp;A63&amp;" - "&amp;C63,"OK")))))))))</f>
        <v/>
      </c>
      <c r="L63" s="92" t="str">
        <f>IF(AND(A63="",B63="",D63="",G63=""),"",IF(OR(B63="",NOT(ISNUMBER(B63)),C63="",C63="Fora dos ciclos"),"",IF(C63="C0","Nao",IF(IFERROR(INDEX(parametros!$A$2:$A$6,MATCH(C63,parametros!$B$2:$B$6,0)),"")&lt;&gt;"Sim","Nao",IF(IFERROR(INDEX(parametros!$H$2:$H$6,MATCH(C63,parametros!$B$2:$B$6,0)),"")="","",IF(B63&gt;=IFERROR(INDEX(parametros!$H$2:$H$6,MATCH(C63,parametros!$B$2:$B$6,0)),""),"Sim","Nao"))))))</f>
        <v/>
      </c>
      <c r="M63" s="14"/>
      <c r="N63" s="14"/>
      <c r="O63" s="14"/>
      <c r="P63" s="14"/>
      <c r="Q63" s="14"/>
      <c r="R63" s="14"/>
      <c r="S63" s="14"/>
      <c r="T63" s="211"/>
      <c r="U63" s="214" t="str">
        <f t="shared" si="4"/>
        <v/>
      </c>
      <c r="V63" s="212" t="s">
        <v>50</v>
      </c>
      <c r="W63" s="100" t="s">
        <v>168</v>
      </c>
      <c r="X63" s="100" t="s">
        <v>169</v>
      </c>
      <c r="Y63" s="101" t="s">
        <v>170</v>
      </c>
      <c r="Z63" s="101" t="s">
        <v>171</v>
      </c>
      <c r="AA63" s="101" t="s">
        <v>50</v>
      </c>
      <c r="AB63" s="101" t="s">
        <v>172</v>
      </c>
      <c r="AC63" s="102" t="s">
        <v>173</v>
      </c>
    </row>
    <row r="64" spans="1:29" ht="25.5" customHeight="1" x14ac:dyDescent="0.35">
      <c r="A64" s="392"/>
      <c r="B64" s="393"/>
      <c r="C64" s="99" t="str">
        <f>IF(B64="","",IF(NOT(ISNUMBER(B64)),"DATA_PC invalida",IF(NOT(ISNUMBER(parametros!$C$2)),"Fora dos ciclos",IF(OR(B64&lt;parametros!$C$2,(YEAR(B64)-YEAR(parametros!$C$2))*12+MONTH(B64)-MONTH(parametros!$C$2)&gt;59),"Fora dos ciclos","C"&amp;INT(((YEAR(B64)-YEAR(parametros!$C$2))*12+MONTH(B64)-MONTH(parametros!$C$2))/12)))))</f>
        <v/>
      </c>
      <c r="D64" s="394"/>
      <c r="E64" s="78" t="str">
        <f>IF(C64="","",IFERROR(VLOOKUP(C64,parametros!$A$11:$E$15,5,0),""))</f>
        <v/>
      </c>
      <c r="F64" s="79" t="str">
        <f t="shared" si="0"/>
        <v/>
      </c>
      <c r="G64" s="395"/>
      <c r="H64" s="91">
        <f t="shared" si="1"/>
        <v>0</v>
      </c>
      <c r="I64" s="91" t="str">
        <f t="shared" si="2"/>
        <v/>
      </c>
      <c r="J64" s="91" t="str">
        <f t="shared" si="3"/>
        <v/>
      </c>
      <c r="K64" s="92" t="str">
        <f>IF(AND(A64="",B64="",D64="",G64=""),"",IF(AND(A64&lt;&gt;"",COUNTIF($A$2:$A$5001,A64)&gt;1),"NUMERO_PC duplicado",IF(B64="","DATA_PC vazia",IF(NOT(ISNUMBER(B64)),"DATA_PC invalida",IF(OR(C64="",C64="Fora dos ciclos"),"CICLO_PC nao identificado",IF(OR(D64="",D64=0),"VALOR_PC vazio ou zero",IF(AND(G64&lt;&gt;"Sim",G64&lt;&gt;"Nao",G64&lt;&gt;""),"PC_PAGO_A_CONTRATADA invalido",IF(AND(C64&lt;&gt;"C0",IFERROR(INDEX(parametros!$A$2:$A$6,MATCH(C64,parametros!$B$2:$B$6,0)),"")="Sim",IFERROR(INDEX(parametros!$H$2:$H$6,MATCH(C64,parametros!$B$2:$B$6,0)),"")=""),"INICIO_EFEITO ausente: PC "&amp;A64&amp;" - "&amp;C64,IF(L64="","EFEITO_PC nao calculado: PC "&amp;A64&amp;" - "&amp;C64,"OK")))))))))</f>
        <v/>
      </c>
      <c r="L64" s="92" t="str">
        <f>IF(AND(A64="",B64="",D64="",G64=""),"",IF(OR(B64="",NOT(ISNUMBER(B64)),C64="",C64="Fora dos ciclos"),"",IF(C64="C0","Nao",IF(IFERROR(INDEX(parametros!$A$2:$A$6,MATCH(C64,parametros!$B$2:$B$6,0)),"")&lt;&gt;"Sim","Nao",IF(IFERROR(INDEX(parametros!$H$2:$H$6,MATCH(C64,parametros!$B$2:$B$6,0)),"")="","",IF(B64&gt;=IFERROR(INDEX(parametros!$H$2:$H$6,MATCH(C64,parametros!$B$2:$B$6,0)),""),"Sim","Nao"))))))</f>
        <v/>
      </c>
      <c r="M64" s="14"/>
      <c r="N64" s="14"/>
      <c r="O64" s="14"/>
      <c r="P64" s="14"/>
      <c r="Q64" s="14"/>
      <c r="R64" s="14"/>
      <c r="S64" s="14"/>
      <c r="T64" s="211"/>
      <c r="U64" s="214" t="str">
        <f t="shared" si="4"/>
        <v/>
      </c>
      <c r="V64" s="212" t="s">
        <v>50</v>
      </c>
      <c r="W64" s="100" t="s">
        <v>168</v>
      </c>
      <c r="X64" s="100" t="s">
        <v>169</v>
      </c>
      <c r="Y64" s="101" t="s">
        <v>170</v>
      </c>
      <c r="Z64" s="101" t="s">
        <v>171</v>
      </c>
      <c r="AA64" s="101" t="s">
        <v>50</v>
      </c>
      <c r="AB64" s="101" t="s">
        <v>172</v>
      </c>
      <c r="AC64" s="102" t="s">
        <v>173</v>
      </c>
    </row>
    <row r="65" spans="1:29" ht="25.5" customHeight="1" x14ac:dyDescent="0.35">
      <c r="A65" s="392"/>
      <c r="B65" s="393"/>
      <c r="C65" s="99" t="str">
        <f>IF(B65="","",IF(NOT(ISNUMBER(B65)),"DATA_PC invalida",IF(NOT(ISNUMBER(parametros!$C$2)),"Fora dos ciclos",IF(OR(B65&lt;parametros!$C$2,(YEAR(B65)-YEAR(parametros!$C$2))*12+MONTH(B65)-MONTH(parametros!$C$2)&gt;59),"Fora dos ciclos","C"&amp;INT(((YEAR(B65)-YEAR(parametros!$C$2))*12+MONTH(B65)-MONTH(parametros!$C$2))/12)))))</f>
        <v/>
      </c>
      <c r="D65" s="394"/>
      <c r="E65" s="78" t="str">
        <f>IF(C65="","",IFERROR(VLOOKUP(C65,parametros!$A$11:$E$15,5,0),""))</f>
        <v/>
      </c>
      <c r="F65" s="79" t="str">
        <f t="shared" si="0"/>
        <v/>
      </c>
      <c r="G65" s="395"/>
      <c r="H65" s="91">
        <f t="shared" si="1"/>
        <v>0</v>
      </c>
      <c r="I65" s="91" t="str">
        <f t="shared" si="2"/>
        <v/>
      </c>
      <c r="J65" s="91" t="str">
        <f t="shared" si="3"/>
        <v/>
      </c>
      <c r="K65" s="92" t="str">
        <f>IF(AND(A65="",B65="",D65="",G65=""),"",IF(AND(A65&lt;&gt;"",COUNTIF($A$2:$A$5001,A65)&gt;1),"NUMERO_PC duplicado",IF(B65="","DATA_PC vazia",IF(NOT(ISNUMBER(B65)),"DATA_PC invalida",IF(OR(C65="",C65="Fora dos ciclos"),"CICLO_PC nao identificado",IF(OR(D65="",D65=0),"VALOR_PC vazio ou zero",IF(AND(G65&lt;&gt;"Sim",G65&lt;&gt;"Nao",G65&lt;&gt;""),"PC_PAGO_A_CONTRATADA invalido",IF(AND(C65&lt;&gt;"C0",IFERROR(INDEX(parametros!$A$2:$A$6,MATCH(C65,parametros!$B$2:$B$6,0)),"")="Sim",IFERROR(INDEX(parametros!$H$2:$H$6,MATCH(C65,parametros!$B$2:$B$6,0)),"")=""),"INICIO_EFEITO ausente: PC "&amp;A65&amp;" - "&amp;C65,IF(L65="","EFEITO_PC nao calculado: PC "&amp;A65&amp;" - "&amp;C65,"OK")))))))))</f>
        <v/>
      </c>
      <c r="L65" s="92" t="str">
        <f>IF(AND(A65="",B65="",D65="",G65=""),"",IF(OR(B65="",NOT(ISNUMBER(B65)),C65="",C65="Fora dos ciclos"),"",IF(C65="C0","Nao",IF(IFERROR(INDEX(parametros!$A$2:$A$6,MATCH(C65,parametros!$B$2:$B$6,0)),"")&lt;&gt;"Sim","Nao",IF(IFERROR(INDEX(parametros!$H$2:$H$6,MATCH(C65,parametros!$B$2:$B$6,0)),"")="","",IF(B65&gt;=IFERROR(INDEX(parametros!$H$2:$H$6,MATCH(C65,parametros!$B$2:$B$6,0)),""),"Sim","Nao"))))))</f>
        <v/>
      </c>
      <c r="M65" s="14"/>
      <c r="N65" s="14"/>
      <c r="O65" s="14"/>
      <c r="P65" s="14"/>
      <c r="Q65" s="14"/>
      <c r="R65" s="14"/>
      <c r="S65" s="14"/>
      <c r="T65" s="211"/>
      <c r="U65" s="214" t="str">
        <f t="shared" si="4"/>
        <v/>
      </c>
      <c r="V65" s="212" t="s">
        <v>50</v>
      </c>
      <c r="W65" s="100" t="s">
        <v>168</v>
      </c>
      <c r="X65" s="100" t="s">
        <v>169</v>
      </c>
      <c r="Y65" s="101" t="s">
        <v>170</v>
      </c>
      <c r="Z65" s="101" t="s">
        <v>171</v>
      </c>
      <c r="AA65" s="101" t="s">
        <v>50</v>
      </c>
      <c r="AB65" s="101" t="s">
        <v>172</v>
      </c>
      <c r="AC65" s="102" t="s">
        <v>173</v>
      </c>
    </row>
    <row r="66" spans="1:29" ht="25.5" customHeight="1" x14ac:dyDescent="0.35">
      <c r="A66" s="392"/>
      <c r="B66" s="393"/>
      <c r="C66" s="99" t="str">
        <f>IF(B66="","",IF(NOT(ISNUMBER(B66)),"DATA_PC invalida",IF(NOT(ISNUMBER(parametros!$C$2)),"Fora dos ciclos",IF(OR(B66&lt;parametros!$C$2,(YEAR(B66)-YEAR(parametros!$C$2))*12+MONTH(B66)-MONTH(parametros!$C$2)&gt;59),"Fora dos ciclos","C"&amp;INT(((YEAR(B66)-YEAR(parametros!$C$2))*12+MONTH(B66)-MONTH(parametros!$C$2))/12)))))</f>
        <v/>
      </c>
      <c r="D66" s="394"/>
      <c r="E66" s="78" t="str">
        <f>IF(C66="","",IFERROR(VLOOKUP(C66,parametros!$A$11:$E$15,5,0),""))</f>
        <v/>
      </c>
      <c r="F66" s="79" t="str">
        <f t="shared" ref="F66:F129" si="7">IF(OR(D66="",E66=""),"",ROUND(D66*E66,2))</f>
        <v/>
      </c>
      <c r="G66" s="395"/>
      <c r="H66" s="91">
        <f t="shared" ref="H66:H129" si="8">IF(G66="Sim",IF(OR(F66="",D66="",L66=""),"",IF(L66="Sim",ROUND(F66-D66,2),0)),0)</f>
        <v>0</v>
      </c>
      <c r="I66" s="91" t="str">
        <f t="shared" ref="I66:I129" si="9">IF(G66="Sim",0,IF(OR(F66="",L66=""),"",F66))</f>
        <v/>
      </c>
      <c r="J66" s="91" t="str">
        <f t="shared" ref="J66:J129" si="10">IF(G66="Sim",0,IF(OR(F66="",D66="",L66=""),"",IF(L66="Sim",ROUND(F66-D66,2),0)))</f>
        <v/>
      </c>
      <c r="K66" s="92" t="str">
        <f>IF(AND(A66="",B66="",D66="",G66=""),"",IF(AND(A66&lt;&gt;"",COUNTIF($A$2:$A$5001,A66)&gt;1),"NUMERO_PC duplicado",IF(B66="","DATA_PC vazia",IF(NOT(ISNUMBER(B66)),"DATA_PC invalida",IF(OR(C66="",C66="Fora dos ciclos"),"CICLO_PC nao identificado",IF(OR(D66="",D66=0),"VALOR_PC vazio ou zero",IF(AND(G66&lt;&gt;"Sim",G66&lt;&gt;"Nao",G66&lt;&gt;""),"PC_PAGO_A_CONTRATADA invalido",IF(AND(C66&lt;&gt;"C0",IFERROR(INDEX(parametros!$A$2:$A$6,MATCH(C66,parametros!$B$2:$B$6,0)),"")="Sim",IFERROR(INDEX(parametros!$H$2:$H$6,MATCH(C66,parametros!$B$2:$B$6,0)),"")=""),"INICIO_EFEITO ausente: PC "&amp;A66&amp;" - "&amp;C66,IF(L66="","EFEITO_PC nao calculado: PC "&amp;A66&amp;" - "&amp;C66,"OK")))))))))</f>
        <v/>
      </c>
      <c r="L66" s="92" t="str">
        <f>IF(AND(A66="",B66="",D66="",G66=""),"",IF(OR(B66="",NOT(ISNUMBER(B66)),C66="",C66="Fora dos ciclos"),"",IF(C66="C0","Nao",IF(IFERROR(INDEX(parametros!$A$2:$A$6,MATCH(C66,parametros!$B$2:$B$6,0)),"")&lt;&gt;"Sim","Nao",IF(IFERROR(INDEX(parametros!$H$2:$H$6,MATCH(C66,parametros!$B$2:$B$6,0)),"")="","",IF(B66&gt;=IFERROR(INDEX(parametros!$H$2:$H$6,MATCH(C66,parametros!$B$2:$B$6,0)),""),"Sim","Nao"))))))</f>
        <v/>
      </c>
      <c r="M66" s="14"/>
      <c r="N66" s="14"/>
      <c r="O66" s="14"/>
      <c r="P66" s="14"/>
      <c r="Q66" s="14"/>
      <c r="R66" s="14"/>
      <c r="S66" s="14"/>
      <c r="T66" s="211"/>
      <c r="U66" s="214" t="str">
        <f t="shared" ref="U66:U129" si="11">IF(OR($D66="",$H66=""),"",ROUND($D66+$H66,2))</f>
        <v/>
      </c>
      <c r="V66" s="212" t="s">
        <v>50</v>
      </c>
      <c r="W66" s="100" t="s">
        <v>168</v>
      </c>
      <c r="X66" s="100" t="s">
        <v>169</v>
      </c>
      <c r="Y66" s="101" t="s">
        <v>170</v>
      </c>
      <c r="Z66" s="101" t="s">
        <v>171</v>
      </c>
      <c r="AA66" s="101" t="s">
        <v>50</v>
      </c>
      <c r="AB66" s="101" t="s">
        <v>172</v>
      </c>
      <c r="AC66" s="102" t="s">
        <v>173</v>
      </c>
    </row>
    <row r="67" spans="1:29" ht="25.5" customHeight="1" x14ac:dyDescent="0.35">
      <c r="A67" s="392"/>
      <c r="B67" s="393"/>
      <c r="C67" s="99" t="str">
        <f>IF(B67="","",IF(NOT(ISNUMBER(B67)),"DATA_PC invalida",IF(NOT(ISNUMBER(parametros!$C$2)),"Fora dos ciclos",IF(OR(B67&lt;parametros!$C$2,(YEAR(B67)-YEAR(parametros!$C$2))*12+MONTH(B67)-MONTH(parametros!$C$2)&gt;59),"Fora dos ciclos","C"&amp;INT(((YEAR(B67)-YEAR(parametros!$C$2))*12+MONTH(B67)-MONTH(parametros!$C$2))/12)))))</f>
        <v/>
      </c>
      <c r="D67" s="394"/>
      <c r="E67" s="78" t="str">
        <f>IF(C67="","",IFERROR(VLOOKUP(C67,parametros!$A$11:$E$15,5,0),""))</f>
        <v/>
      </c>
      <c r="F67" s="79" t="str">
        <f t="shared" si="7"/>
        <v/>
      </c>
      <c r="G67" s="395"/>
      <c r="H67" s="91">
        <f t="shared" si="8"/>
        <v>0</v>
      </c>
      <c r="I67" s="91" t="str">
        <f t="shared" si="9"/>
        <v/>
      </c>
      <c r="J67" s="91" t="str">
        <f t="shared" si="10"/>
        <v/>
      </c>
      <c r="K67" s="92" t="str">
        <f>IF(AND(A67="",B67="",D67="",G67=""),"",IF(AND(A67&lt;&gt;"",COUNTIF($A$2:$A$5001,A67)&gt;1),"NUMERO_PC duplicado",IF(B67="","DATA_PC vazia",IF(NOT(ISNUMBER(B67)),"DATA_PC invalida",IF(OR(C67="",C67="Fora dos ciclos"),"CICLO_PC nao identificado",IF(OR(D67="",D67=0),"VALOR_PC vazio ou zero",IF(AND(G67&lt;&gt;"Sim",G67&lt;&gt;"Nao",G67&lt;&gt;""),"PC_PAGO_A_CONTRATADA invalido",IF(AND(C67&lt;&gt;"C0",IFERROR(INDEX(parametros!$A$2:$A$6,MATCH(C67,parametros!$B$2:$B$6,0)),"")="Sim",IFERROR(INDEX(parametros!$H$2:$H$6,MATCH(C67,parametros!$B$2:$B$6,0)),"")=""),"INICIO_EFEITO ausente: PC "&amp;A67&amp;" - "&amp;C67,IF(L67="","EFEITO_PC nao calculado: PC "&amp;A67&amp;" - "&amp;C67,"OK")))))))))</f>
        <v/>
      </c>
      <c r="L67" s="92" t="str">
        <f>IF(AND(A67="",B67="",D67="",G67=""),"",IF(OR(B67="",NOT(ISNUMBER(B67)),C67="",C67="Fora dos ciclos"),"",IF(C67="C0","Nao",IF(IFERROR(INDEX(parametros!$A$2:$A$6,MATCH(C67,parametros!$B$2:$B$6,0)),"")&lt;&gt;"Sim","Nao",IF(IFERROR(INDEX(parametros!$H$2:$H$6,MATCH(C67,parametros!$B$2:$B$6,0)),"")="","",IF(B67&gt;=IFERROR(INDEX(parametros!$H$2:$H$6,MATCH(C67,parametros!$B$2:$B$6,0)),""),"Sim","Nao"))))))</f>
        <v/>
      </c>
      <c r="M67" s="14"/>
      <c r="N67" s="14"/>
      <c r="O67" s="14"/>
      <c r="P67" s="14"/>
      <c r="Q67" s="14"/>
      <c r="R67" s="14"/>
      <c r="S67" s="14"/>
      <c r="T67" s="211"/>
      <c r="U67" s="214" t="str">
        <f t="shared" si="11"/>
        <v/>
      </c>
      <c r="V67" s="212" t="s">
        <v>50</v>
      </c>
      <c r="W67" s="100" t="s">
        <v>168</v>
      </c>
      <c r="X67" s="100" t="s">
        <v>169</v>
      </c>
      <c r="Y67" s="101" t="s">
        <v>170</v>
      </c>
      <c r="Z67" s="101" t="s">
        <v>171</v>
      </c>
      <c r="AA67" s="101" t="s">
        <v>50</v>
      </c>
      <c r="AB67" s="101" t="s">
        <v>172</v>
      </c>
      <c r="AC67" s="102" t="s">
        <v>173</v>
      </c>
    </row>
    <row r="68" spans="1:29" ht="25.5" customHeight="1" x14ac:dyDescent="0.35">
      <c r="A68" s="392"/>
      <c r="B68" s="393"/>
      <c r="C68" s="99" t="str">
        <f>IF(B68="","",IF(NOT(ISNUMBER(B68)),"DATA_PC invalida",IF(NOT(ISNUMBER(parametros!$C$2)),"Fora dos ciclos",IF(OR(B68&lt;parametros!$C$2,(YEAR(B68)-YEAR(parametros!$C$2))*12+MONTH(B68)-MONTH(parametros!$C$2)&gt;59),"Fora dos ciclos","C"&amp;INT(((YEAR(B68)-YEAR(parametros!$C$2))*12+MONTH(B68)-MONTH(parametros!$C$2))/12)))))</f>
        <v/>
      </c>
      <c r="D68" s="394"/>
      <c r="E68" s="78" t="str">
        <f>IF(C68="","",IFERROR(VLOOKUP(C68,parametros!$A$11:$E$15,5,0),""))</f>
        <v/>
      </c>
      <c r="F68" s="79" t="str">
        <f t="shared" si="7"/>
        <v/>
      </c>
      <c r="G68" s="395"/>
      <c r="H68" s="91">
        <f t="shared" si="8"/>
        <v>0</v>
      </c>
      <c r="I68" s="91" t="str">
        <f t="shared" si="9"/>
        <v/>
      </c>
      <c r="J68" s="91" t="str">
        <f t="shared" si="10"/>
        <v/>
      </c>
      <c r="K68" s="92" t="str">
        <f>IF(AND(A68="",B68="",D68="",G68=""),"",IF(AND(A68&lt;&gt;"",COUNTIF($A$2:$A$5001,A68)&gt;1),"NUMERO_PC duplicado",IF(B68="","DATA_PC vazia",IF(NOT(ISNUMBER(B68)),"DATA_PC invalida",IF(OR(C68="",C68="Fora dos ciclos"),"CICLO_PC nao identificado",IF(OR(D68="",D68=0),"VALOR_PC vazio ou zero",IF(AND(G68&lt;&gt;"Sim",G68&lt;&gt;"Nao",G68&lt;&gt;""),"PC_PAGO_A_CONTRATADA invalido",IF(AND(C68&lt;&gt;"C0",IFERROR(INDEX(parametros!$A$2:$A$6,MATCH(C68,parametros!$B$2:$B$6,0)),"")="Sim",IFERROR(INDEX(parametros!$H$2:$H$6,MATCH(C68,parametros!$B$2:$B$6,0)),"")=""),"INICIO_EFEITO ausente: PC "&amp;A68&amp;" - "&amp;C68,IF(L68="","EFEITO_PC nao calculado: PC "&amp;A68&amp;" - "&amp;C68,"OK")))))))))</f>
        <v/>
      </c>
      <c r="L68" s="92" t="str">
        <f>IF(AND(A68="",B68="",D68="",G68=""),"",IF(OR(B68="",NOT(ISNUMBER(B68)),C68="",C68="Fora dos ciclos"),"",IF(C68="C0","Nao",IF(IFERROR(INDEX(parametros!$A$2:$A$6,MATCH(C68,parametros!$B$2:$B$6,0)),"")&lt;&gt;"Sim","Nao",IF(IFERROR(INDEX(parametros!$H$2:$H$6,MATCH(C68,parametros!$B$2:$B$6,0)),"")="","",IF(B68&gt;=IFERROR(INDEX(parametros!$H$2:$H$6,MATCH(C68,parametros!$B$2:$B$6,0)),""),"Sim","Nao"))))))</f>
        <v/>
      </c>
      <c r="M68" s="14"/>
      <c r="N68" s="14"/>
      <c r="O68" s="14"/>
      <c r="P68" s="14"/>
      <c r="Q68" s="14"/>
      <c r="R68" s="14"/>
      <c r="S68" s="14"/>
      <c r="T68" s="211"/>
      <c r="U68" s="214" t="str">
        <f t="shared" si="11"/>
        <v/>
      </c>
      <c r="V68" s="212" t="s">
        <v>50</v>
      </c>
      <c r="W68" s="100" t="s">
        <v>168</v>
      </c>
      <c r="X68" s="100" t="s">
        <v>169</v>
      </c>
      <c r="Y68" s="101" t="s">
        <v>170</v>
      </c>
      <c r="Z68" s="101" t="s">
        <v>171</v>
      </c>
      <c r="AA68" s="101" t="s">
        <v>50</v>
      </c>
      <c r="AB68" s="101" t="s">
        <v>172</v>
      </c>
      <c r="AC68" s="102" t="s">
        <v>173</v>
      </c>
    </row>
    <row r="69" spans="1:29" ht="25.5" customHeight="1" x14ac:dyDescent="0.35">
      <c r="A69" s="392"/>
      <c r="B69" s="393"/>
      <c r="C69" s="99" t="str">
        <f>IF(B69="","",IF(NOT(ISNUMBER(B69)),"DATA_PC invalida",IF(NOT(ISNUMBER(parametros!$C$2)),"Fora dos ciclos",IF(OR(B69&lt;parametros!$C$2,(YEAR(B69)-YEAR(parametros!$C$2))*12+MONTH(B69)-MONTH(parametros!$C$2)&gt;59),"Fora dos ciclos","C"&amp;INT(((YEAR(B69)-YEAR(parametros!$C$2))*12+MONTH(B69)-MONTH(parametros!$C$2))/12)))))</f>
        <v/>
      </c>
      <c r="D69" s="394"/>
      <c r="E69" s="78" t="str">
        <f>IF(C69="","",IFERROR(VLOOKUP(C69,parametros!$A$11:$E$15,5,0),""))</f>
        <v/>
      </c>
      <c r="F69" s="79" t="str">
        <f t="shared" si="7"/>
        <v/>
      </c>
      <c r="G69" s="395"/>
      <c r="H69" s="91">
        <f t="shared" si="8"/>
        <v>0</v>
      </c>
      <c r="I69" s="91" t="str">
        <f t="shared" si="9"/>
        <v/>
      </c>
      <c r="J69" s="91" t="str">
        <f t="shared" si="10"/>
        <v/>
      </c>
      <c r="K69" s="92" t="str">
        <f>IF(AND(A69="",B69="",D69="",G69=""),"",IF(AND(A69&lt;&gt;"",COUNTIF($A$2:$A$5001,A69)&gt;1),"NUMERO_PC duplicado",IF(B69="","DATA_PC vazia",IF(NOT(ISNUMBER(B69)),"DATA_PC invalida",IF(OR(C69="",C69="Fora dos ciclos"),"CICLO_PC nao identificado",IF(OR(D69="",D69=0),"VALOR_PC vazio ou zero",IF(AND(G69&lt;&gt;"Sim",G69&lt;&gt;"Nao",G69&lt;&gt;""),"PC_PAGO_A_CONTRATADA invalido",IF(AND(C69&lt;&gt;"C0",IFERROR(INDEX(parametros!$A$2:$A$6,MATCH(C69,parametros!$B$2:$B$6,0)),"")="Sim",IFERROR(INDEX(parametros!$H$2:$H$6,MATCH(C69,parametros!$B$2:$B$6,0)),"")=""),"INICIO_EFEITO ausente: PC "&amp;A69&amp;" - "&amp;C69,IF(L69="","EFEITO_PC nao calculado: PC "&amp;A69&amp;" - "&amp;C69,"OK")))))))))</f>
        <v/>
      </c>
      <c r="L69" s="92" t="str">
        <f>IF(AND(A69="",B69="",D69="",G69=""),"",IF(OR(B69="",NOT(ISNUMBER(B69)),C69="",C69="Fora dos ciclos"),"",IF(C69="C0","Nao",IF(IFERROR(INDEX(parametros!$A$2:$A$6,MATCH(C69,parametros!$B$2:$B$6,0)),"")&lt;&gt;"Sim","Nao",IF(IFERROR(INDEX(parametros!$H$2:$H$6,MATCH(C69,parametros!$B$2:$B$6,0)),"")="","",IF(B69&gt;=IFERROR(INDEX(parametros!$H$2:$H$6,MATCH(C69,parametros!$B$2:$B$6,0)),""),"Sim","Nao"))))))</f>
        <v/>
      </c>
      <c r="M69" s="14"/>
      <c r="N69" s="14"/>
      <c r="O69" s="14"/>
      <c r="P69" s="14"/>
      <c r="Q69" s="14"/>
      <c r="R69" s="14"/>
      <c r="S69" s="14"/>
      <c r="T69" s="211"/>
      <c r="U69" s="214" t="str">
        <f t="shared" si="11"/>
        <v/>
      </c>
      <c r="V69" s="212" t="s">
        <v>50</v>
      </c>
      <c r="W69" s="100" t="s">
        <v>168</v>
      </c>
      <c r="X69" s="100" t="s">
        <v>169</v>
      </c>
      <c r="Y69" s="101" t="s">
        <v>170</v>
      </c>
      <c r="Z69" s="101" t="s">
        <v>171</v>
      </c>
      <c r="AA69" s="101" t="s">
        <v>50</v>
      </c>
      <c r="AB69" s="101" t="s">
        <v>172</v>
      </c>
      <c r="AC69" s="102" t="s">
        <v>173</v>
      </c>
    </row>
    <row r="70" spans="1:29" ht="25.5" customHeight="1" x14ac:dyDescent="0.35">
      <c r="A70" s="392"/>
      <c r="B70" s="393"/>
      <c r="C70" s="99" t="str">
        <f>IF(B70="","",IF(NOT(ISNUMBER(B70)),"DATA_PC invalida",IF(NOT(ISNUMBER(parametros!$C$2)),"Fora dos ciclos",IF(OR(B70&lt;parametros!$C$2,(YEAR(B70)-YEAR(parametros!$C$2))*12+MONTH(B70)-MONTH(parametros!$C$2)&gt;59),"Fora dos ciclos","C"&amp;INT(((YEAR(B70)-YEAR(parametros!$C$2))*12+MONTH(B70)-MONTH(parametros!$C$2))/12)))))</f>
        <v/>
      </c>
      <c r="D70" s="394"/>
      <c r="E70" s="78" t="str">
        <f>IF(C70="","",IFERROR(VLOOKUP(C70,parametros!$A$11:$E$15,5,0),""))</f>
        <v/>
      </c>
      <c r="F70" s="79" t="str">
        <f t="shared" si="7"/>
        <v/>
      </c>
      <c r="G70" s="395"/>
      <c r="H70" s="91">
        <f t="shared" si="8"/>
        <v>0</v>
      </c>
      <c r="I70" s="91" t="str">
        <f t="shared" si="9"/>
        <v/>
      </c>
      <c r="J70" s="91" t="str">
        <f t="shared" si="10"/>
        <v/>
      </c>
      <c r="K70" s="92" t="str">
        <f>IF(AND(A70="",B70="",D70="",G70=""),"",IF(AND(A70&lt;&gt;"",COUNTIF($A$2:$A$5001,A70)&gt;1),"NUMERO_PC duplicado",IF(B70="","DATA_PC vazia",IF(NOT(ISNUMBER(B70)),"DATA_PC invalida",IF(OR(C70="",C70="Fora dos ciclos"),"CICLO_PC nao identificado",IF(OR(D70="",D70=0),"VALOR_PC vazio ou zero",IF(AND(G70&lt;&gt;"Sim",G70&lt;&gt;"Nao",G70&lt;&gt;""),"PC_PAGO_A_CONTRATADA invalido",IF(AND(C70&lt;&gt;"C0",IFERROR(INDEX(parametros!$A$2:$A$6,MATCH(C70,parametros!$B$2:$B$6,0)),"")="Sim",IFERROR(INDEX(parametros!$H$2:$H$6,MATCH(C70,parametros!$B$2:$B$6,0)),"")=""),"INICIO_EFEITO ausente: PC "&amp;A70&amp;" - "&amp;C70,IF(L70="","EFEITO_PC nao calculado: PC "&amp;A70&amp;" - "&amp;C70,"OK")))))))))</f>
        <v/>
      </c>
      <c r="L70" s="92" t="str">
        <f>IF(AND(A70="",B70="",D70="",G70=""),"",IF(OR(B70="",NOT(ISNUMBER(B70)),C70="",C70="Fora dos ciclos"),"",IF(C70="C0","Nao",IF(IFERROR(INDEX(parametros!$A$2:$A$6,MATCH(C70,parametros!$B$2:$B$6,0)),"")&lt;&gt;"Sim","Nao",IF(IFERROR(INDEX(parametros!$H$2:$H$6,MATCH(C70,parametros!$B$2:$B$6,0)),"")="","",IF(B70&gt;=IFERROR(INDEX(parametros!$H$2:$H$6,MATCH(C70,parametros!$B$2:$B$6,0)),""),"Sim","Nao"))))))</f>
        <v/>
      </c>
      <c r="M70" s="14"/>
      <c r="N70" s="14"/>
      <c r="O70" s="14"/>
      <c r="P70" s="14"/>
      <c r="Q70" s="14"/>
      <c r="R70" s="14"/>
      <c r="S70" s="14"/>
      <c r="T70" s="211"/>
      <c r="U70" s="214" t="str">
        <f t="shared" si="11"/>
        <v/>
      </c>
      <c r="V70" s="212" t="s">
        <v>50</v>
      </c>
      <c r="W70" s="100" t="s">
        <v>168</v>
      </c>
      <c r="X70" s="100" t="s">
        <v>169</v>
      </c>
      <c r="Y70" s="101" t="s">
        <v>170</v>
      </c>
      <c r="Z70" s="101" t="s">
        <v>171</v>
      </c>
      <c r="AA70" s="101" t="s">
        <v>50</v>
      </c>
      <c r="AB70" s="101" t="s">
        <v>172</v>
      </c>
      <c r="AC70" s="102" t="s">
        <v>173</v>
      </c>
    </row>
    <row r="71" spans="1:29" ht="25.5" customHeight="1" x14ac:dyDescent="0.35">
      <c r="A71" s="392"/>
      <c r="B71" s="393"/>
      <c r="C71" s="99" t="str">
        <f>IF(B71="","",IF(NOT(ISNUMBER(B71)),"DATA_PC invalida",IF(NOT(ISNUMBER(parametros!$C$2)),"Fora dos ciclos",IF(OR(B71&lt;parametros!$C$2,(YEAR(B71)-YEAR(parametros!$C$2))*12+MONTH(B71)-MONTH(parametros!$C$2)&gt;59),"Fora dos ciclos","C"&amp;INT(((YEAR(B71)-YEAR(parametros!$C$2))*12+MONTH(B71)-MONTH(parametros!$C$2))/12)))))</f>
        <v/>
      </c>
      <c r="D71" s="394"/>
      <c r="E71" s="78" t="str">
        <f>IF(C71="","",IFERROR(VLOOKUP(C71,parametros!$A$11:$E$15,5,0),""))</f>
        <v/>
      </c>
      <c r="F71" s="79" t="str">
        <f t="shared" si="7"/>
        <v/>
      </c>
      <c r="G71" s="395"/>
      <c r="H71" s="91">
        <f t="shared" si="8"/>
        <v>0</v>
      </c>
      <c r="I71" s="91" t="str">
        <f t="shared" si="9"/>
        <v/>
      </c>
      <c r="J71" s="91" t="str">
        <f t="shared" si="10"/>
        <v/>
      </c>
      <c r="K71" s="92" t="str">
        <f>IF(AND(A71="",B71="",D71="",G71=""),"",IF(AND(A71&lt;&gt;"",COUNTIF($A$2:$A$5001,A71)&gt;1),"NUMERO_PC duplicado",IF(B71="","DATA_PC vazia",IF(NOT(ISNUMBER(B71)),"DATA_PC invalida",IF(OR(C71="",C71="Fora dos ciclos"),"CICLO_PC nao identificado",IF(OR(D71="",D71=0),"VALOR_PC vazio ou zero",IF(AND(G71&lt;&gt;"Sim",G71&lt;&gt;"Nao",G71&lt;&gt;""),"PC_PAGO_A_CONTRATADA invalido",IF(AND(C71&lt;&gt;"C0",IFERROR(INDEX(parametros!$A$2:$A$6,MATCH(C71,parametros!$B$2:$B$6,0)),"")="Sim",IFERROR(INDEX(parametros!$H$2:$H$6,MATCH(C71,parametros!$B$2:$B$6,0)),"")=""),"INICIO_EFEITO ausente: PC "&amp;A71&amp;" - "&amp;C71,IF(L71="","EFEITO_PC nao calculado: PC "&amp;A71&amp;" - "&amp;C71,"OK")))))))))</f>
        <v/>
      </c>
      <c r="L71" s="92" t="str">
        <f>IF(AND(A71="",B71="",D71="",G71=""),"",IF(OR(B71="",NOT(ISNUMBER(B71)),C71="",C71="Fora dos ciclos"),"",IF(C71="C0","Nao",IF(IFERROR(INDEX(parametros!$A$2:$A$6,MATCH(C71,parametros!$B$2:$B$6,0)),"")&lt;&gt;"Sim","Nao",IF(IFERROR(INDEX(parametros!$H$2:$H$6,MATCH(C71,parametros!$B$2:$B$6,0)),"")="","",IF(B71&gt;=IFERROR(INDEX(parametros!$H$2:$H$6,MATCH(C71,parametros!$B$2:$B$6,0)),""),"Sim","Nao"))))))</f>
        <v/>
      </c>
      <c r="M71" s="14"/>
      <c r="N71" s="14"/>
      <c r="O71" s="14"/>
      <c r="P71" s="14"/>
      <c r="Q71" s="14"/>
      <c r="R71" s="14"/>
      <c r="S71" s="14"/>
      <c r="T71" s="211"/>
      <c r="U71" s="214" t="str">
        <f t="shared" si="11"/>
        <v/>
      </c>
      <c r="V71" s="212" t="s">
        <v>50</v>
      </c>
      <c r="W71" s="100" t="s">
        <v>168</v>
      </c>
      <c r="X71" s="100" t="s">
        <v>169</v>
      </c>
      <c r="Y71" s="101" t="s">
        <v>170</v>
      </c>
      <c r="Z71" s="101" t="s">
        <v>171</v>
      </c>
      <c r="AA71" s="101" t="s">
        <v>50</v>
      </c>
      <c r="AB71" s="101" t="s">
        <v>172</v>
      </c>
      <c r="AC71" s="102" t="s">
        <v>173</v>
      </c>
    </row>
    <row r="72" spans="1:29" ht="25.5" customHeight="1" x14ac:dyDescent="0.35">
      <c r="A72" s="392"/>
      <c r="B72" s="393"/>
      <c r="C72" s="99" t="str">
        <f>IF(B72="","",IF(NOT(ISNUMBER(B72)),"DATA_PC invalida",IF(NOT(ISNUMBER(parametros!$C$2)),"Fora dos ciclos",IF(OR(B72&lt;parametros!$C$2,(YEAR(B72)-YEAR(parametros!$C$2))*12+MONTH(B72)-MONTH(parametros!$C$2)&gt;59),"Fora dos ciclos","C"&amp;INT(((YEAR(B72)-YEAR(parametros!$C$2))*12+MONTH(B72)-MONTH(parametros!$C$2))/12)))))</f>
        <v/>
      </c>
      <c r="D72" s="394"/>
      <c r="E72" s="78" t="str">
        <f>IF(C72="","",IFERROR(VLOOKUP(C72,parametros!$A$11:$E$15,5,0),""))</f>
        <v/>
      </c>
      <c r="F72" s="79" t="str">
        <f t="shared" si="7"/>
        <v/>
      </c>
      <c r="G72" s="395"/>
      <c r="H72" s="91">
        <f t="shared" si="8"/>
        <v>0</v>
      </c>
      <c r="I72" s="91" t="str">
        <f t="shared" si="9"/>
        <v/>
      </c>
      <c r="J72" s="91" t="str">
        <f t="shared" si="10"/>
        <v/>
      </c>
      <c r="K72" s="92" t="str">
        <f>IF(AND(A72="",B72="",D72="",G72=""),"",IF(AND(A72&lt;&gt;"",COUNTIF($A$2:$A$5001,A72)&gt;1),"NUMERO_PC duplicado",IF(B72="","DATA_PC vazia",IF(NOT(ISNUMBER(B72)),"DATA_PC invalida",IF(OR(C72="",C72="Fora dos ciclos"),"CICLO_PC nao identificado",IF(OR(D72="",D72=0),"VALOR_PC vazio ou zero",IF(AND(G72&lt;&gt;"Sim",G72&lt;&gt;"Nao",G72&lt;&gt;""),"PC_PAGO_A_CONTRATADA invalido",IF(AND(C72&lt;&gt;"C0",IFERROR(INDEX(parametros!$A$2:$A$6,MATCH(C72,parametros!$B$2:$B$6,0)),"")="Sim",IFERROR(INDEX(parametros!$H$2:$H$6,MATCH(C72,parametros!$B$2:$B$6,0)),"")=""),"INICIO_EFEITO ausente: PC "&amp;A72&amp;" - "&amp;C72,IF(L72="","EFEITO_PC nao calculado: PC "&amp;A72&amp;" - "&amp;C72,"OK")))))))))</f>
        <v/>
      </c>
      <c r="L72" s="92" t="str">
        <f>IF(AND(A72="",B72="",D72="",G72=""),"",IF(OR(B72="",NOT(ISNUMBER(B72)),C72="",C72="Fora dos ciclos"),"",IF(C72="C0","Nao",IF(IFERROR(INDEX(parametros!$A$2:$A$6,MATCH(C72,parametros!$B$2:$B$6,0)),"")&lt;&gt;"Sim","Nao",IF(IFERROR(INDEX(parametros!$H$2:$H$6,MATCH(C72,parametros!$B$2:$B$6,0)),"")="","",IF(B72&gt;=IFERROR(INDEX(parametros!$H$2:$H$6,MATCH(C72,parametros!$B$2:$B$6,0)),""),"Sim","Nao"))))))</f>
        <v/>
      </c>
      <c r="M72" s="14"/>
      <c r="N72" s="14"/>
      <c r="O72" s="14"/>
      <c r="P72" s="14"/>
      <c r="Q72" s="14"/>
      <c r="R72" s="14"/>
      <c r="S72" s="14"/>
      <c r="T72" s="211"/>
      <c r="U72" s="214" t="str">
        <f t="shared" si="11"/>
        <v/>
      </c>
      <c r="V72" s="212" t="s">
        <v>50</v>
      </c>
      <c r="W72" s="100" t="s">
        <v>168</v>
      </c>
      <c r="X72" s="100" t="s">
        <v>169</v>
      </c>
      <c r="Y72" s="101" t="s">
        <v>170</v>
      </c>
      <c r="Z72" s="101" t="s">
        <v>171</v>
      </c>
      <c r="AA72" s="101" t="s">
        <v>50</v>
      </c>
      <c r="AB72" s="101" t="s">
        <v>172</v>
      </c>
      <c r="AC72" s="102" t="s">
        <v>173</v>
      </c>
    </row>
    <row r="73" spans="1:29" ht="25.5" customHeight="1" x14ac:dyDescent="0.35">
      <c r="A73" s="392"/>
      <c r="B73" s="393"/>
      <c r="C73" s="99" t="str">
        <f>IF(B73="","",IF(NOT(ISNUMBER(B73)),"DATA_PC invalida",IF(NOT(ISNUMBER(parametros!$C$2)),"Fora dos ciclos",IF(OR(B73&lt;parametros!$C$2,(YEAR(B73)-YEAR(parametros!$C$2))*12+MONTH(B73)-MONTH(parametros!$C$2)&gt;59),"Fora dos ciclos","C"&amp;INT(((YEAR(B73)-YEAR(parametros!$C$2))*12+MONTH(B73)-MONTH(parametros!$C$2))/12)))))</f>
        <v/>
      </c>
      <c r="D73" s="394"/>
      <c r="E73" s="78" t="str">
        <f>IF(C73="","",IFERROR(VLOOKUP(C73,parametros!$A$11:$E$15,5,0),""))</f>
        <v/>
      </c>
      <c r="F73" s="79" t="str">
        <f t="shared" si="7"/>
        <v/>
      </c>
      <c r="G73" s="395"/>
      <c r="H73" s="91">
        <f t="shared" si="8"/>
        <v>0</v>
      </c>
      <c r="I73" s="91" t="str">
        <f t="shared" si="9"/>
        <v/>
      </c>
      <c r="J73" s="91" t="str">
        <f t="shared" si="10"/>
        <v/>
      </c>
      <c r="K73" s="92" t="str">
        <f>IF(AND(A73="",B73="",D73="",G73=""),"",IF(AND(A73&lt;&gt;"",COUNTIF($A$2:$A$5001,A73)&gt;1),"NUMERO_PC duplicado",IF(B73="","DATA_PC vazia",IF(NOT(ISNUMBER(B73)),"DATA_PC invalida",IF(OR(C73="",C73="Fora dos ciclos"),"CICLO_PC nao identificado",IF(OR(D73="",D73=0),"VALOR_PC vazio ou zero",IF(AND(G73&lt;&gt;"Sim",G73&lt;&gt;"Nao",G73&lt;&gt;""),"PC_PAGO_A_CONTRATADA invalido",IF(AND(C73&lt;&gt;"C0",IFERROR(INDEX(parametros!$A$2:$A$6,MATCH(C73,parametros!$B$2:$B$6,0)),"")="Sim",IFERROR(INDEX(parametros!$H$2:$H$6,MATCH(C73,parametros!$B$2:$B$6,0)),"")=""),"INICIO_EFEITO ausente: PC "&amp;A73&amp;" - "&amp;C73,IF(L73="","EFEITO_PC nao calculado: PC "&amp;A73&amp;" - "&amp;C73,"OK")))))))))</f>
        <v/>
      </c>
      <c r="L73" s="92" t="str">
        <f>IF(AND(A73="",B73="",D73="",G73=""),"",IF(OR(B73="",NOT(ISNUMBER(B73)),C73="",C73="Fora dos ciclos"),"",IF(C73="C0","Nao",IF(IFERROR(INDEX(parametros!$A$2:$A$6,MATCH(C73,parametros!$B$2:$B$6,0)),"")&lt;&gt;"Sim","Nao",IF(IFERROR(INDEX(parametros!$H$2:$H$6,MATCH(C73,parametros!$B$2:$B$6,0)),"")="","",IF(B73&gt;=IFERROR(INDEX(parametros!$H$2:$H$6,MATCH(C73,parametros!$B$2:$B$6,0)),""),"Sim","Nao"))))))</f>
        <v/>
      </c>
      <c r="M73" s="14"/>
      <c r="N73" s="14"/>
      <c r="O73" s="14"/>
      <c r="P73" s="14"/>
      <c r="Q73" s="14"/>
      <c r="R73" s="14"/>
      <c r="S73" s="14"/>
      <c r="T73" s="211"/>
      <c r="U73" s="214" t="str">
        <f t="shared" si="11"/>
        <v/>
      </c>
      <c r="V73" s="212" t="s">
        <v>50</v>
      </c>
      <c r="W73" s="100" t="s">
        <v>168</v>
      </c>
      <c r="X73" s="100" t="s">
        <v>169</v>
      </c>
      <c r="Y73" s="101" t="s">
        <v>170</v>
      </c>
      <c r="Z73" s="101" t="s">
        <v>171</v>
      </c>
      <c r="AA73" s="101" t="s">
        <v>50</v>
      </c>
      <c r="AB73" s="101" t="s">
        <v>172</v>
      </c>
      <c r="AC73" s="102" t="s">
        <v>173</v>
      </c>
    </row>
    <row r="74" spans="1:29" ht="25.5" customHeight="1" x14ac:dyDescent="0.35">
      <c r="A74" s="392"/>
      <c r="B74" s="393"/>
      <c r="C74" s="99" t="str">
        <f>IF(B74="","",IF(NOT(ISNUMBER(B74)),"DATA_PC invalida",IF(NOT(ISNUMBER(parametros!$C$2)),"Fora dos ciclos",IF(OR(B74&lt;parametros!$C$2,(YEAR(B74)-YEAR(parametros!$C$2))*12+MONTH(B74)-MONTH(parametros!$C$2)&gt;59),"Fora dos ciclos","C"&amp;INT(((YEAR(B74)-YEAR(parametros!$C$2))*12+MONTH(B74)-MONTH(parametros!$C$2))/12)))))</f>
        <v/>
      </c>
      <c r="D74" s="394"/>
      <c r="E74" s="78" t="str">
        <f>IF(C74="","",IFERROR(VLOOKUP(C74,parametros!$A$11:$E$15,5,0),""))</f>
        <v/>
      </c>
      <c r="F74" s="79" t="str">
        <f t="shared" si="7"/>
        <v/>
      </c>
      <c r="G74" s="395"/>
      <c r="H74" s="91">
        <f t="shared" si="8"/>
        <v>0</v>
      </c>
      <c r="I74" s="91" t="str">
        <f t="shared" si="9"/>
        <v/>
      </c>
      <c r="J74" s="91" t="str">
        <f t="shared" si="10"/>
        <v/>
      </c>
      <c r="K74" s="92" t="str">
        <f>IF(AND(A74="",B74="",D74="",G74=""),"",IF(AND(A74&lt;&gt;"",COUNTIF($A$2:$A$5001,A74)&gt;1),"NUMERO_PC duplicado",IF(B74="","DATA_PC vazia",IF(NOT(ISNUMBER(B74)),"DATA_PC invalida",IF(OR(C74="",C74="Fora dos ciclos"),"CICLO_PC nao identificado",IF(OR(D74="",D74=0),"VALOR_PC vazio ou zero",IF(AND(G74&lt;&gt;"Sim",G74&lt;&gt;"Nao",G74&lt;&gt;""),"PC_PAGO_A_CONTRATADA invalido",IF(AND(C74&lt;&gt;"C0",IFERROR(INDEX(parametros!$A$2:$A$6,MATCH(C74,parametros!$B$2:$B$6,0)),"")="Sim",IFERROR(INDEX(parametros!$H$2:$H$6,MATCH(C74,parametros!$B$2:$B$6,0)),"")=""),"INICIO_EFEITO ausente: PC "&amp;A74&amp;" - "&amp;C74,IF(L74="","EFEITO_PC nao calculado: PC "&amp;A74&amp;" - "&amp;C74,"OK")))))))))</f>
        <v/>
      </c>
      <c r="L74" s="92" t="str">
        <f>IF(AND(A74="",B74="",D74="",G74=""),"",IF(OR(B74="",NOT(ISNUMBER(B74)),C74="",C74="Fora dos ciclos"),"",IF(C74="C0","Nao",IF(IFERROR(INDEX(parametros!$A$2:$A$6,MATCH(C74,parametros!$B$2:$B$6,0)),"")&lt;&gt;"Sim","Nao",IF(IFERROR(INDEX(parametros!$H$2:$H$6,MATCH(C74,parametros!$B$2:$B$6,0)),"")="","",IF(B74&gt;=IFERROR(INDEX(parametros!$H$2:$H$6,MATCH(C74,parametros!$B$2:$B$6,0)),""),"Sim","Nao"))))))</f>
        <v/>
      </c>
      <c r="M74" s="14"/>
      <c r="N74" s="14"/>
      <c r="O74" s="14"/>
      <c r="P74" s="14"/>
      <c r="Q74" s="14"/>
      <c r="R74" s="14"/>
      <c r="S74" s="14"/>
      <c r="T74" s="211"/>
      <c r="U74" s="214" t="str">
        <f t="shared" si="11"/>
        <v/>
      </c>
      <c r="V74" s="212" t="s">
        <v>50</v>
      </c>
      <c r="W74" s="100" t="s">
        <v>168</v>
      </c>
      <c r="X74" s="100" t="s">
        <v>169</v>
      </c>
      <c r="Y74" s="101" t="s">
        <v>170</v>
      </c>
      <c r="Z74" s="101" t="s">
        <v>171</v>
      </c>
      <c r="AA74" s="101" t="s">
        <v>50</v>
      </c>
      <c r="AB74" s="101" t="s">
        <v>172</v>
      </c>
      <c r="AC74" s="102" t="s">
        <v>173</v>
      </c>
    </row>
    <row r="75" spans="1:29" ht="25.5" customHeight="1" x14ac:dyDescent="0.35">
      <c r="A75" s="392"/>
      <c r="B75" s="393"/>
      <c r="C75" s="99" t="str">
        <f>IF(B75="","",IF(NOT(ISNUMBER(B75)),"DATA_PC invalida",IF(NOT(ISNUMBER(parametros!$C$2)),"Fora dos ciclos",IF(OR(B75&lt;parametros!$C$2,(YEAR(B75)-YEAR(parametros!$C$2))*12+MONTH(B75)-MONTH(parametros!$C$2)&gt;59),"Fora dos ciclos","C"&amp;INT(((YEAR(B75)-YEAR(parametros!$C$2))*12+MONTH(B75)-MONTH(parametros!$C$2))/12)))))</f>
        <v/>
      </c>
      <c r="D75" s="394"/>
      <c r="E75" s="78" t="str">
        <f>IF(C75="","",IFERROR(VLOOKUP(C75,parametros!$A$11:$E$15,5,0),""))</f>
        <v/>
      </c>
      <c r="F75" s="79" t="str">
        <f t="shared" si="7"/>
        <v/>
      </c>
      <c r="G75" s="395"/>
      <c r="H75" s="91">
        <f t="shared" si="8"/>
        <v>0</v>
      </c>
      <c r="I75" s="91" t="str">
        <f t="shared" si="9"/>
        <v/>
      </c>
      <c r="J75" s="91" t="str">
        <f t="shared" si="10"/>
        <v/>
      </c>
      <c r="K75" s="92" t="str">
        <f>IF(AND(A75="",B75="",D75="",G75=""),"",IF(AND(A75&lt;&gt;"",COUNTIF($A$2:$A$5001,A75)&gt;1),"NUMERO_PC duplicado",IF(B75="","DATA_PC vazia",IF(NOT(ISNUMBER(B75)),"DATA_PC invalida",IF(OR(C75="",C75="Fora dos ciclos"),"CICLO_PC nao identificado",IF(OR(D75="",D75=0),"VALOR_PC vazio ou zero",IF(AND(G75&lt;&gt;"Sim",G75&lt;&gt;"Nao",G75&lt;&gt;""),"PC_PAGO_A_CONTRATADA invalido",IF(AND(C75&lt;&gt;"C0",IFERROR(INDEX(parametros!$A$2:$A$6,MATCH(C75,parametros!$B$2:$B$6,0)),"")="Sim",IFERROR(INDEX(parametros!$H$2:$H$6,MATCH(C75,parametros!$B$2:$B$6,0)),"")=""),"INICIO_EFEITO ausente: PC "&amp;A75&amp;" - "&amp;C75,IF(L75="","EFEITO_PC nao calculado: PC "&amp;A75&amp;" - "&amp;C75,"OK")))))))))</f>
        <v/>
      </c>
      <c r="L75" s="92" t="str">
        <f>IF(AND(A75="",B75="",D75="",G75=""),"",IF(OR(B75="",NOT(ISNUMBER(B75)),C75="",C75="Fora dos ciclos"),"",IF(C75="C0","Nao",IF(IFERROR(INDEX(parametros!$A$2:$A$6,MATCH(C75,parametros!$B$2:$B$6,0)),"")&lt;&gt;"Sim","Nao",IF(IFERROR(INDEX(parametros!$H$2:$H$6,MATCH(C75,parametros!$B$2:$B$6,0)),"")="","",IF(B75&gt;=IFERROR(INDEX(parametros!$H$2:$H$6,MATCH(C75,parametros!$B$2:$B$6,0)),""),"Sim","Nao"))))))</f>
        <v/>
      </c>
      <c r="M75" s="14"/>
      <c r="N75" s="14"/>
      <c r="O75" s="14"/>
      <c r="P75" s="14"/>
      <c r="Q75" s="14"/>
      <c r="R75" s="14"/>
      <c r="S75" s="14"/>
      <c r="T75" s="211"/>
      <c r="U75" s="214" t="str">
        <f t="shared" si="11"/>
        <v/>
      </c>
      <c r="V75" s="212" t="s">
        <v>50</v>
      </c>
      <c r="W75" s="100" t="s">
        <v>168</v>
      </c>
      <c r="X75" s="100" t="s">
        <v>169</v>
      </c>
      <c r="Y75" s="101" t="s">
        <v>170</v>
      </c>
      <c r="Z75" s="101" t="s">
        <v>171</v>
      </c>
      <c r="AA75" s="101" t="s">
        <v>50</v>
      </c>
      <c r="AB75" s="101" t="s">
        <v>172</v>
      </c>
      <c r="AC75" s="102" t="s">
        <v>173</v>
      </c>
    </row>
    <row r="76" spans="1:29" ht="25.5" customHeight="1" x14ac:dyDescent="0.35">
      <c r="A76" s="392"/>
      <c r="B76" s="393"/>
      <c r="C76" s="99" t="str">
        <f>IF(B76="","",IF(NOT(ISNUMBER(B76)),"DATA_PC invalida",IF(NOT(ISNUMBER(parametros!$C$2)),"Fora dos ciclos",IF(OR(B76&lt;parametros!$C$2,(YEAR(B76)-YEAR(parametros!$C$2))*12+MONTH(B76)-MONTH(parametros!$C$2)&gt;59),"Fora dos ciclos","C"&amp;INT(((YEAR(B76)-YEAR(parametros!$C$2))*12+MONTH(B76)-MONTH(parametros!$C$2))/12)))))</f>
        <v/>
      </c>
      <c r="D76" s="394"/>
      <c r="E76" s="78" t="str">
        <f>IF(C76="","",IFERROR(VLOOKUP(C76,parametros!$A$11:$E$15,5,0),""))</f>
        <v/>
      </c>
      <c r="F76" s="79" t="str">
        <f t="shared" si="7"/>
        <v/>
      </c>
      <c r="G76" s="395"/>
      <c r="H76" s="91">
        <f t="shared" si="8"/>
        <v>0</v>
      </c>
      <c r="I76" s="91" t="str">
        <f t="shared" si="9"/>
        <v/>
      </c>
      <c r="J76" s="91" t="str">
        <f t="shared" si="10"/>
        <v/>
      </c>
      <c r="K76" s="92" t="str">
        <f>IF(AND(A76="",B76="",D76="",G76=""),"",IF(AND(A76&lt;&gt;"",COUNTIF($A$2:$A$5001,A76)&gt;1),"NUMERO_PC duplicado",IF(B76="","DATA_PC vazia",IF(NOT(ISNUMBER(B76)),"DATA_PC invalida",IF(OR(C76="",C76="Fora dos ciclos"),"CICLO_PC nao identificado",IF(OR(D76="",D76=0),"VALOR_PC vazio ou zero",IF(AND(G76&lt;&gt;"Sim",G76&lt;&gt;"Nao",G76&lt;&gt;""),"PC_PAGO_A_CONTRATADA invalido",IF(AND(C76&lt;&gt;"C0",IFERROR(INDEX(parametros!$A$2:$A$6,MATCH(C76,parametros!$B$2:$B$6,0)),"")="Sim",IFERROR(INDEX(parametros!$H$2:$H$6,MATCH(C76,parametros!$B$2:$B$6,0)),"")=""),"INICIO_EFEITO ausente: PC "&amp;A76&amp;" - "&amp;C76,IF(L76="","EFEITO_PC nao calculado: PC "&amp;A76&amp;" - "&amp;C76,"OK")))))))))</f>
        <v/>
      </c>
      <c r="L76" s="92" t="str">
        <f>IF(AND(A76="",B76="",D76="",G76=""),"",IF(OR(B76="",NOT(ISNUMBER(B76)),C76="",C76="Fora dos ciclos"),"",IF(C76="C0","Nao",IF(IFERROR(INDEX(parametros!$A$2:$A$6,MATCH(C76,parametros!$B$2:$B$6,0)),"")&lt;&gt;"Sim","Nao",IF(IFERROR(INDEX(parametros!$H$2:$H$6,MATCH(C76,parametros!$B$2:$B$6,0)),"")="","",IF(B76&gt;=IFERROR(INDEX(parametros!$H$2:$H$6,MATCH(C76,parametros!$B$2:$B$6,0)),""),"Sim","Nao"))))))</f>
        <v/>
      </c>
      <c r="M76" s="14"/>
      <c r="N76" s="14"/>
      <c r="O76" s="14"/>
      <c r="P76" s="14"/>
      <c r="Q76" s="14"/>
      <c r="R76" s="14"/>
      <c r="S76" s="14"/>
      <c r="T76" s="211"/>
      <c r="U76" s="214" t="str">
        <f t="shared" si="11"/>
        <v/>
      </c>
      <c r="V76" s="212" t="s">
        <v>50</v>
      </c>
      <c r="W76" s="100" t="s">
        <v>168</v>
      </c>
      <c r="X76" s="100" t="s">
        <v>169</v>
      </c>
      <c r="Y76" s="101" t="s">
        <v>170</v>
      </c>
      <c r="Z76" s="101" t="s">
        <v>171</v>
      </c>
      <c r="AA76" s="101" t="s">
        <v>50</v>
      </c>
      <c r="AB76" s="101" t="s">
        <v>172</v>
      </c>
      <c r="AC76" s="102" t="s">
        <v>173</v>
      </c>
    </row>
    <row r="77" spans="1:29" ht="25.5" customHeight="1" x14ac:dyDescent="0.35">
      <c r="A77" s="392"/>
      <c r="B77" s="393"/>
      <c r="C77" s="99" t="str">
        <f>IF(B77="","",IF(NOT(ISNUMBER(B77)),"DATA_PC invalida",IF(NOT(ISNUMBER(parametros!$C$2)),"Fora dos ciclos",IF(OR(B77&lt;parametros!$C$2,(YEAR(B77)-YEAR(parametros!$C$2))*12+MONTH(B77)-MONTH(parametros!$C$2)&gt;59),"Fora dos ciclos","C"&amp;INT(((YEAR(B77)-YEAR(parametros!$C$2))*12+MONTH(B77)-MONTH(parametros!$C$2))/12)))))</f>
        <v/>
      </c>
      <c r="D77" s="394"/>
      <c r="E77" s="78" t="str">
        <f>IF(C77="","",IFERROR(VLOOKUP(C77,parametros!$A$11:$E$15,5,0),""))</f>
        <v/>
      </c>
      <c r="F77" s="79" t="str">
        <f t="shared" si="7"/>
        <v/>
      </c>
      <c r="G77" s="395"/>
      <c r="H77" s="91">
        <f t="shared" si="8"/>
        <v>0</v>
      </c>
      <c r="I77" s="91" t="str">
        <f t="shared" si="9"/>
        <v/>
      </c>
      <c r="J77" s="91" t="str">
        <f t="shared" si="10"/>
        <v/>
      </c>
      <c r="K77" s="92" t="str">
        <f>IF(AND(A77="",B77="",D77="",G77=""),"",IF(AND(A77&lt;&gt;"",COUNTIF($A$2:$A$5001,A77)&gt;1),"NUMERO_PC duplicado",IF(B77="","DATA_PC vazia",IF(NOT(ISNUMBER(B77)),"DATA_PC invalida",IF(OR(C77="",C77="Fora dos ciclos"),"CICLO_PC nao identificado",IF(OR(D77="",D77=0),"VALOR_PC vazio ou zero",IF(AND(G77&lt;&gt;"Sim",G77&lt;&gt;"Nao",G77&lt;&gt;""),"PC_PAGO_A_CONTRATADA invalido",IF(AND(C77&lt;&gt;"C0",IFERROR(INDEX(parametros!$A$2:$A$6,MATCH(C77,parametros!$B$2:$B$6,0)),"")="Sim",IFERROR(INDEX(parametros!$H$2:$H$6,MATCH(C77,parametros!$B$2:$B$6,0)),"")=""),"INICIO_EFEITO ausente: PC "&amp;A77&amp;" - "&amp;C77,IF(L77="","EFEITO_PC nao calculado: PC "&amp;A77&amp;" - "&amp;C77,"OK")))))))))</f>
        <v/>
      </c>
      <c r="L77" s="92" t="str">
        <f>IF(AND(A77="",B77="",D77="",G77=""),"",IF(OR(B77="",NOT(ISNUMBER(B77)),C77="",C77="Fora dos ciclos"),"",IF(C77="C0","Nao",IF(IFERROR(INDEX(parametros!$A$2:$A$6,MATCH(C77,parametros!$B$2:$B$6,0)),"")&lt;&gt;"Sim","Nao",IF(IFERROR(INDEX(parametros!$H$2:$H$6,MATCH(C77,parametros!$B$2:$B$6,0)),"")="","",IF(B77&gt;=IFERROR(INDEX(parametros!$H$2:$H$6,MATCH(C77,parametros!$B$2:$B$6,0)),""),"Sim","Nao"))))))</f>
        <v/>
      </c>
      <c r="M77" s="14"/>
      <c r="N77" s="14"/>
      <c r="O77" s="14"/>
      <c r="P77" s="14"/>
      <c r="Q77" s="14"/>
      <c r="R77" s="14"/>
      <c r="S77" s="14"/>
      <c r="T77" s="211"/>
      <c r="U77" s="214" t="str">
        <f t="shared" si="11"/>
        <v/>
      </c>
      <c r="V77" s="212" t="s">
        <v>50</v>
      </c>
      <c r="W77" s="100" t="s">
        <v>168</v>
      </c>
      <c r="X77" s="100" t="s">
        <v>169</v>
      </c>
      <c r="Y77" s="101" t="s">
        <v>170</v>
      </c>
      <c r="Z77" s="101" t="s">
        <v>171</v>
      </c>
      <c r="AA77" s="101" t="s">
        <v>50</v>
      </c>
      <c r="AB77" s="101" t="s">
        <v>172</v>
      </c>
      <c r="AC77" s="102" t="s">
        <v>173</v>
      </c>
    </row>
    <row r="78" spans="1:29" ht="25.5" customHeight="1" x14ac:dyDescent="0.35">
      <c r="A78" s="392"/>
      <c r="B78" s="393"/>
      <c r="C78" s="99" t="str">
        <f>IF(B78="","",IF(NOT(ISNUMBER(B78)),"DATA_PC invalida",IF(NOT(ISNUMBER(parametros!$C$2)),"Fora dos ciclos",IF(OR(B78&lt;parametros!$C$2,(YEAR(B78)-YEAR(parametros!$C$2))*12+MONTH(B78)-MONTH(parametros!$C$2)&gt;59),"Fora dos ciclos","C"&amp;INT(((YEAR(B78)-YEAR(parametros!$C$2))*12+MONTH(B78)-MONTH(parametros!$C$2))/12)))))</f>
        <v/>
      </c>
      <c r="D78" s="394"/>
      <c r="E78" s="78" t="str">
        <f>IF(C78="","",IFERROR(VLOOKUP(C78,parametros!$A$11:$E$15,5,0),""))</f>
        <v/>
      </c>
      <c r="F78" s="79" t="str">
        <f t="shared" si="7"/>
        <v/>
      </c>
      <c r="G78" s="395"/>
      <c r="H78" s="91">
        <f t="shared" si="8"/>
        <v>0</v>
      </c>
      <c r="I78" s="91" t="str">
        <f t="shared" si="9"/>
        <v/>
      </c>
      <c r="J78" s="91" t="str">
        <f t="shared" si="10"/>
        <v/>
      </c>
      <c r="K78" s="92" t="str">
        <f>IF(AND(A78="",B78="",D78="",G78=""),"",IF(AND(A78&lt;&gt;"",COUNTIF($A$2:$A$5001,A78)&gt;1),"NUMERO_PC duplicado",IF(B78="","DATA_PC vazia",IF(NOT(ISNUMBER(B78)),"DATA_PC invalida",IF(OR(C78="",C78="Fora dos ciclos"),"CICLO_PC nao identificado",IF(OR(D78="",D78=0),"VALOR_PC vazio ou zero",IF(AND(G78&lt;&gt;"Sim",G78&lt;&gt;"Nao",G78&lt;&gt;""),"PC_PAGO_A_CONTRATADA invalido",IF(AND(C78&lt;&gt;"C0",IFERROR(INDEX(parametros!$A$2:$A$6,MATCH(C78,parametros!$B$2:$B$6,0)),"")="Sim",IFERROR(INDEX(parametros!$H$2:$H$6,MATCH(C78,parametros!$B$2:$B$6,0)),"")=""),"INICIO_EFEITO ausente: PC "&amp;A78&amp;" - "&amp;C78,IF(L78="","EFEITO_PC nao calculado: PC "&amp;A78&amp;" - "&amp;C78,"OK")))))))))</f>
        <v/>
      </c>
      <c r="L78" s="92" t="str">
        <f>IF(AND(A78="",B78="",D78="",G78=""),"",IF(OR(B78="",NOT(ISNUMBER(B78)),C78="",C78="Fora dos ciclos"),"",IF(C78="C0","Nao",IF(IFERROR(INDEX(parametros!$A$2:$A$6,MATCH(C78,parametros!$B$2:$B$6,0)),"")&lt;&gt;"Sim","Nao",IF(IFERROR(INDEX(parametros!$H$2:$H$6,MATCH(C78,parametros!$B$2:$B$6,0)),"")="","",IF(B78&gt;=IFERROR(INDEX(parametros!$H$2:$H$6,MATCH(C78,parametros!$B$2:$B$6,0)),""),"Sim","Nao"))))))</f>
        <v/>
      </c>
      <c r="M78" s="14"/>
      <c r="N78" s="14"/>
      <c r="O78" s="14"/>
      <c r="P78" s="14"/>
      <c r="Q78" s="14"/>
      <c r="R78" s="14"/>
      <c r="S78" s="14"/>
      <c r="T78" s="211"/>
      <c r="U78" s="214" t="str">
        <f t="shared" si="11"/>
        <v/>
      </c>
      <c r="V78" s="212" t="s">
        <v>50</v>
      </c>
      <c r="W78" s="100" t="s">
        <v>168</v>
      </c>
      <c r="X78" s="100" t="s">
        <v>169</v>
      </c>
      <c r="Y78" s="101" t="s">
        <v>170</v>
      </c>
      <c r="Z78" s="101" t="s">
        <v>171</v>
      </c>
      <c r="AA78" s="101" t="s">
        <v>50</v>
      </c>
      <c r="AB78" s="101" t="s">
        <v>172</v>
      </c>
      <c r="AC78" s="102" t="s">
        <v>173</v>
      </c>
    </row>
    <row r="79" spans="1:29" ht="25.5" customHeight="1" x14ac:dyDescent="0.35">
      <c r="A79" s="392"/>
      <c r="B79" s="393"/>
      <c r="C79" s="99" t="str">
        <f>IF(B79="","",IF(NOT(ISNUMBER(B79)),"DATA_PC invalida",IF(NOT(ISNUMBER(parametros!$C$2)),"Fora dos ciclos",IF(OR(B79&lt;parametros!$C$2,(YEAR(B79)-YEAR(parametros!$C$2))*12+MONTH(B79)-MONTH(parametros!$C$2)&gt;59),"Fora dos ciclos","C"&amp;INT(((YEAR(B79)-YEAR(parametros!$C$2))*12+MONTH(B79)-MONTH(parametros!$C$2))/12)))))</f>
        <v/>
      </c>
      <c r="D79" s="394"/>
      <c r="E79" s="78" t="str">
        <f>IF(C79="","",IFERROR(VLOOKUP(C79,parametros!$A$11:$E$15,5,0),""))</f>
        <v/>
      </c>
      <c r="F79" s="79" t="str">
        <f t="shared" si="7"/>
        <v/>
      </c>
      <c r="G79" s="395"/>
      <c r="H79" s="91">
        <f t="shared" si="8"/>
        <v>0</v>
      </c>
      <c r="I79" s="91" t="str">
        <f t="shared" si="9"/>
        <v/>
      </c>
      <c r="J79" s="91" t="str">
        <f t="shared" si="10"/>
        <v/>
      </c>
      <c r="K79" s="92" t="str">
        <f>IF(AND(A79="",B79="",D79="",G79=""),"",IF(AND(A79&lt;&gt;"",COUNTIF($A$2:$A$5001,A79)&gt;1),"NUMERO_PC duplicado",IF(B79="","DATA_PC vazia",IF(NOT(ISNUMBER(B79)),"DATA_PC invalida",IF(OR(C79="",C79="Fora dos ciclos"),"CICLO_PC nao identificado",IF(OR(D79="",D79=0),"VALOR_PC vazio ou zero",IF(AND(G79&lt;&gt;"Sim",G79&lt;&gt;"Nao",G79&lt;&gt;""),"PC_PAGO_A_CONTRATADA invalido",IF(AND(C79&lt;&gt;"C0",IFERROR(INDEX(parametros!$A$2:$A$6,MATCH(C79,parametros!$B$2:$B$6,0)),"")="Sim",IFERROR(INDEX(parametros!$H$2:$H$6,MATCH(C79,parametros!$B$2:$B$6,0)),"")=""),"INICIO_EFEITO ausente: PC "&amp;A79&amp;" - "&amp;C79,IF(L79="","EFEITO_PC nao calculado: PC "&amp;A79&amp;" - "&amp;C79,"OK")))))))))</f>
        <v/>
      </c>
      <c r="L79" s="92" t="str">
        <f>IF(AND(A79="",B79="",D79="",G79=""),"",IF(OR(B79="",NOT(ISNUMBER(B79)),C79="",C79="Fora dos ciclos"),"",IF(C79="C0","Nao",IF(IFERROR(INDEX(parametros!$A$2:$A$6,MATCH(C79,parametros!$B$2:$B$6,0)),"")&lt;&gt;"Sim","Nao",IF(IFERROR(INDEX(parametros!$H$2:$H$6,MATCH(C79,parametros!$B$2:$B$6,0)),"")="","",IF(B79&gt;=IFERROR(INDEX(parametros!$H$2:$H$6,MATCH(C79,parametros!$B$2:$B$6,0)),""),"Sim","Nao"))))))</f>
        <v/>
      </c>
      <c r="M79" s="14"/>
      <c r="N79" s="14"/>
      <c r="O79" s="14"/>
      <c r="P79" s="14"/>
      <c r="Q79" s="14"/>
      <c r="R79" s="14"/>
      <c r="S79" s="14"/>
      <c r="T79" s="211"/>
      <c r="U79" s="214" t="str">
        <f t="shared" si="11"/>
        <v/>
      </c>
      <c r="V79" s="212" t="s">
        <v>50</v>
      </c>
      <c r="W79" s="100" t="s">
        <v>168</v>
      </c>
      <c r="X79" s="100" t="s">
        <v>169</v>
      </c>
      <c r="Y79" s="101" t="s">
        <v>170</v>
      </c>
      <c r="Z79" s="101" t="s">
        <v>171</v>
      </c>
      <c r="AA79" s="101" t="s">
        <v>50</v>
      </c>
      <c r="AB79" s="101" t="s">
        <v>172</v>
      </c>
      <c r="AC79" s="102" t="s">
        <v>173</v>
      </c>
    </row>
    <row r="80" spans="1:29" ht="25.5" customHeight="1" x14ac:dyDescent="0.35">
      <c r="A80" s="392"/>
      <c r="B80" s="393"/>
      <c r="C80" s="99" t="str">
        <f>IF(B80="","",IF(NOT(ISNUMBER(B80)),"DATA_PC invalida",IF(NOT(ISNUMBER(parametros!$C$2)),"Fora dos ciclos",IF(OR(B80&lt;parametros!$C$2,(YEAR(B80)-YEAR(parametros!$C$2))*12+MONTH(B80)-MONTH(parametros!$C$2)&gt;59),"Fora dos ciclos","C"&amp;INT(((YEAR(B80)-YEAR(parametros!$C$2))*12+MONTH(B80)-MONTH(parametros!$C$2))/12)))))</f>
        <v/>
      </c>
      <c r="D80" s="394"/>
      <c r="E80" s="78" t="str">
        <f>IF(C80="","",IFERROR(VLOOKUP(C80,parametros!$A$11:$E$15,5,0),""))</f>
        <v/>
      </c>
      <c r="F80" s="79" t="str">
        <f t="shared" si="7"/>
        <v/>
      </c>
      <c r="G80" s="395"/>
      <c r="H80" s="91">
        <f t="shared" si="8"/>
        <v>0</v>
      </c>
      <c r="I80" s="91" t="str">
        <f t="shared" si="9"/>
        <v/>
      </c>
      <c r="J80" s="91" t="str">
        <f t="shared" si="10"/>
        <v/>
      </c>
      <c r="K80" s="92" t="str">
        <f>IF(AND(A80="",B80="",D80="",G80=""),"",IF(AND(A80&lt;&gt;"",COUNTIF($A$2:$A$5001,A80)&gt;1),"NUMERO_PC duplicado",IF(B80="","DATA_PC vazia",IF(NOT(ISNUMBER(B80)),"DATA_PC invalida",IF(OR(C80="",C80="Fora dos ciclos"),"CICLO_PC nao identificado",IF(OR(D80="",D80=0),"VALOR_PC vazio ou zero",IF(AND(G80&lt;&gt;"Sim",G80&lt;&gt;"Nao",G80&lt;&gt;""),"PC_PAGO_A_CONTRATADA invalido",IF(AND(C80&lt;&gt;"C0",IFERROR(INDEX(parametros!$A$2:$A$6,MATCH(C80,parametros!$B$2:$B$6,0)),"")="Sim",IFERROR(INDEX(parametros!$H$2:$H$6,MATCH(C80,parametros!$B$2:$B$6,0)),"")=""),"INICIO_EFEITO ausente: PC "&amp;A80&amp;" - "&amp;C80,IF(L80="","EFEITO_PC nao calculado: PC "&amp;A80&amp;" - "&amp;C80,"OK")))))))))</f>
        <v/>
      </c>
      <c r="L80" s="92" t="str">
        <f>IF(AND(A80="",B80="",D80="",G80=""),"",IF(OR(B80="",NOT(ISNUMBER(B80)),C80="",C80="Fora dos ciclos"),"",IF(C80="C0","Nao",IF(IFERROR(INDEX(parametros!$A$2:$A$6,MATCH(C80,parametros!$B$2:$B$6,0)),"")&lt;&gt;"Sim","Nao",IF(IFERROR(INDEX(parametros!$H$2:$H$6,MATCH(C80,parametros!$B$2:$B$6,0)),"")="","",IF(B80&gt;=IFERROR(INDEX(parametros!$H$2:$H$6,MATCH(C80,parametros!$B$2:$B$6,0)),""),"Sim","Nao"))))))</f>
        <v/>
      </c>
      <c r="M80" s="14"/>
      <c r="N80" s="14"/>
      <c r="O80" s="14"/>
      <c r="P80" s="14"/>
      <c r="Q80" s="14"/>
      <c r="R80" s="14"/>
      <c r="S80" s="14"/>
      <c r="T80" s="211"/>
      <c r="U80" s="214" t="str">
        <f t="shared" si="11"/>
        <v/>
      </c>
      <c r="V80" s="212" t="s">
        <v>50</v>
      </c>
      <c r="W80" s="100" t="s">
        <v>168</v>
      </c>
      <c r="X80" s="100" t="s">
        <v>169</v>
      </c>
      <c r="Y80" s="101" t="s">
        <v>170</v>
      </c>
      <c r="Z80" s="101" t="s">
        <v>171</v>
      </c>
      <c r="AA80" s="101" t="s">
        <v>50</v>
      </c>
      <c r="AB80" s="101" t="s">
        <v>172</v>
      </c>
      <c r="AC80" s="102" t="s">
        <v>173</v>
      </c>
    </row>
    <row r="81" spans="1:29" ht="25.5" customHeight="1" x14ac:dyDescent="0.35">
      <c r="A81" s="392"/>
      <c r="B81" s="393"/>
      <c r="C81" s="99" t="str">
        <f>IF(B81="","",IF(NOT(ISNUMBER(B81)),"DATA_PC invalida",IF(NOT(ISNUMBER(parametros!$C$2)),"Fora dos ciclos",IF(OR(B81&lt;parametros!$C$2,(YEAR(B81)-YEAR(parametros!$C$2))*12+MONTH(B81)-MONTH(parametros!$C$2)&gt;59),"Fora dos ciclos","C"&amp;INT(((YEAR(B81)-YEAR(parametros!$C$2))*12+MONTH(B81)-MONTH(parametros!$C$2))/12)))))</f>
        <v/>
      </c>
      <c r="D81" s="394"/>
      <c r="E81" s="78" t="str">
        <f>IF(C81="","",IFERROR(VLOOKUP(C81,parametros!$A$11:$E$15,5,0),""))</f>
        <v/>
      </c>
      <c r="F81" s="79" t="str">
        <f t="shared" si="7"/>
        <v/>
      </c>
      <c r="G81" s="395"/>
      <c r="H81" s="91">
        <f t="shared" si="8"/>
        <v>0</v>
      </c>
      <c r="I81" s="91" t="str">
        <f t="shared" si="9"/>
        <v/>
      </c>
      <c r="J81" s="91" t="str">
        <f t="shared" si="10"/>
        <v/>
      </c>
      <c r="K81" s="92" t="str">
        <f>IF(AND(A81="",B81="",D81="",G81=""),"",IF(AND(A81&lt;&gt;"",COUNTIF($A$2:$A$5001,A81)&gt;1),"NUMERO_PC duplicado",IF(B81="","DATA_PC vazia",IF(NOT(ISNUMBER(B81)),"DATA_PC invalida",IF(OR(C81="",C81="Fora dos ciclos"),"CICLO_PC nao identificado",IF(OR(D81="",D81=0),"VALOR_PC vazio ou zero",IF(AND(G81&lt;&gt;"Sim",G81&lt;&gt;"Nao",G81&lt;&gt;""),"PC_PAGO_A_CONTRATADA invalido",IF(AND(C81&lt;&gt;"C0",IFERROR(INDEX(parametros!$A$2:$A$6,MATCH(C81,parametros!$B$2:$B$6,0)),"")="Sim",IFERROR(INDEX(parametros!$H$2:$H$6,MATCH(C81,parametros!$B$2:$B$6,0)),"")=""),"INICIO_EFEITO ausente: PC "&amp;A81&amp;" - "&amp;C81,IF(L81="","EFEITO_PC nao calculado: PC "&amp;A81&amp;" - "&amp;C81,"OK")))))))))</f>
        <v/>
      </c>
      <c r="L81" s="92" t="str">
        <f>IF(AND(A81="",B81="",D81="",G81=""),"",IF(OR(B81="",NOT(ISNUMBER(B81)),C81="",C81="Fora dos ciclos"),"",IF(C81="C0","Nao",IF(IFERROR(INDEX(parametros!$A$2:$A$6,MATCH(C81,parametros!$B$2:$B$6,0)),"")&lt;&gt;"Sim","Nao",IF(IFERROR(INDEX(parametros!$H$2:$H$6,MATCH(C81,parametros!$B$2:$B$6,0)),"")="","",IF(B81&gt;=IFERROR(INDEX(parametros!$H$2:$H$6,MATCH(C81,parametros!$B$2:$B$6,0)),""),"Sim","Nao"))))))</f>
        <v/>
      </c>
      <c r="M81" s="14"/>
      <c r="N81" s="14"/>
      <c r="O81" s="14"/>
      <c r="P81" s="14"/>
      <c r="Q81" s="14"/>
      <c r="R81" s="14"/>
      <c r="S81" s="14"/>
      <c r="T81" s="211"/>
      <c r="U81" s="214" t="str">
        <f t="shared" si="11"/>
        <v/>
      </c>
      <c r="V81" s="212" t="s">
        <v>50</v>
      </c>
      <c r="W81" s="100" t="s">
        <v>168</v>
      </c>
      <c r="X81" s="100" t="s">
        <v>169</v>
      </c>
      <c r="Y81" s="101" t="s">
        <v>170</v>
      </c>
      <c r="Z81" s="101" t="s">
        <v>171</v>
      </c>
      <c r="AA81" s="101" t="s">
        <v>50</v>
      </c>
      <c r="AB81" s="101" t="s">
        <v>172</v>
      </c>
      <c r="AC81" s="102" t="s">
        <v>173</v>
      </c>
    </row>
    <row r="82" spans="1:29" ht="25.5" customHeight="1" x14ac:dyDescent="0.35">
      <c r="A82" s="392"/>
      <c r="B82" s="393"/>
      <c r="C82" s="99" t="str">
        <f>IF(B82="","",IF(NOT(ISNUMBER(B82)),"DATA_PC invalida",IF(NOT(ISNUMBER(parametros!$C$2)),"Fora dos ciclos",IF(OR(B82&lt;parametros!$C$2,(YEAR(B82)-YEAR(parametros!$C$2))*12+MONTH(B82)-MONTH(parametros!$C$2)&gt;59),"Fora dos ciclos","C"&amp;INT(((YEAR(B82)-YEAR(parametros!$C$2))*12+MONTH(B82)-MONTH(parametros!$C$2))/12)))))</f>
        <v/>
      </c>
      <c r="D82" s="394"/>
      <c r="E82" s="78" t="str">
        <f>IF(C82="","",IFERROR(VLOOKUP(C82,parametros!$A$11:$E$15,5,0),""))</f>
        <v/>
      </c>
      <c r="F82" s="79" t="str">
        <f t="shared" si="7"/>
        <v/>
      </c>
      <c r="G82" s="395"/>
      <c r="H82" s="91">
        <f t="shared" si="8"/>
        <v>0</v>
      </c>
      <c r="I82" s="91" t="str">
        <f t="shared" si="9"/>
        <v/>
      </c>
      <c r="J82" s="91" t="str">
        <f t="shared" si="10"/>
        <v/>
      </c>
      <c r="K82" s="92" t="str">
        <f>IF(AND(A82="",B82="",D82="",G82=""),"",IF(AND(A82&lt;&gt;"",COUNTIF($A$2:$A$5001,A82)&gt;1),"NUMERO_PC duplicado",IF(B82="","DATA_PC vazia",IF(NOT(ISNUMBER(B82)),"DATA_PC invalida",IF(OR(C82="",C82="Fora dos ciclos"),"CICLO_PC nao identificado",IF(OR(D82="",D82=0),"VALOR_PC vazio ou zero",IF(AND(G82&lt;&gt;"Sim",G82&lt;&gt;"Nao",G82&lt;&gt;""),"PC_PAGO_A_CONTRATADA invalido",IF(AND(C82&lt;&gt;"C0",IFERROR(INDEX(parametros!$A$2:$A$6,MATCH(C82,parametros!$B$2:$B$6,0)),"")="Sim",IFERROR(INDEX(parametros!$H$2:$H$6,MATCH(C82,parametros!$B$2:$B$6,0)),"")=""),"INICIO_EFEITO ausente: PC "&amp;A82&amp;" - "&amp;C82,IF(L82="","EFEITO_PC nao calculado: PC "&amp;A82&amp;" - "&amp;C82,"OK")))))))))</f>
        <v/>
      </c>
      <c r="L82" s="92" t="str">
        <f>IF(AND(A82="",B82="",D82="",G82=""),"",IF(OR(B82="",NOT(ISNUMBER(B82)),C82="",C82="Fora dos ciclos"),"",IF(C82="C0","Nao",IF(IFERROR(INDEX(parametros!$A$2:$A$6,MATCH(C82,parametros!$B$2:$B$6,0)),"")&lt;&gt;"Sim","Nao",IF(IFERROR(INDEX(parametros!$H$2:$H$6,MATCH(C82,parametros!$B$2:$B$6,0)),"")="","",IF(B82&gt;=IFERROR(INDEX(parametros!$H$2:$H$6,MATCH(C82,parametros!$B$2:$B$6,0)),""),"Sim","Nao"))))))</f>
        <v/>
      </c>
      <c r="M82" s="14"/>
      <c r="N82" s="14"/>
      <c r="O82" s="14"/>
      <c r="P82" s="14"/>
      <c r="Q82" s="14"/>
      <c r="R82" s="14"/>
      <c r="S82" s="14"/>
      <c r="T82" s="211"/>
      <c r="U82" s="214" t="str">
        <f t="shared" si="11"/>
        <v/>
      </c>
      <c r="V82" s="212" t="s">
        <v>50</v>
      </c>
      <c r="W82" s="100" t="s">
        <v>168</v>
      </c>
      <c r="X82" s="100" t="s">
        <v>169</v>
      </c>
      <c r="Y82" s="101" t="s">
        <v>170</v>
      </c>
      <c r="Z82" s="101" t="s">
        <v>171</v>
      </c>
      <c r="AA82" s="101" t="s">
        <v>50</v>
      </c>
      <c r="AB82" s="101" t="s">
        <v>172</v>
      </c>
      <c r="AC82" s="102" t="s">
        <v>173</v>
      </c>
    </row>
    <row r="83" spans="1:29" ht="25.5" customHeight="1" x14ac:dyDescent="0.35">
      <c r="A83" s="392"/>
      <c r="B83" s="393"/>
      <c r="C83" s="99" t="str">
        <f>IF(B83="","",IF(NOT(ISNUMBER(B83)),"DATA_PC invalida",IF(NOT(ISNUMBER(parametros!$C$2)),"Fora dos ciclos",IF(OR(B83&lt;parametros!$C$2,(YEAR(B83)-YEAR(parametros!$C$2))*12+MONTH(B83)-MONTH(parametros!$C$2)&gt;59),"Fora dos ciclos","C"&amp;INT(((YEAR(B83)-YEAR(parametros!$C$2))*12+MONTH(B83)-MONTH(parametros!$C$2))/12)))))</f>
        <v/>
      </c>
      <c r="D83" s="394"/>
      <c r="E83" s="78" t="str">
        <f>IF(C83="","",IFERROR(VLOOKUP(C83,parametros!$A$11:$E$15,5,0),""))</f>
        <v/>
      </c>
      <c r="F83" s="79" t="str">
        <f t="shared" si="7"/>
        <v/>
      </c>
      <c r="G83" s="395"/>
      <c r="H83" s="91">
        <f t="shared" si="8"/>
        <v>0</v>
      </c>
      <c r="I83" s="91" t="str">
        <f t="shared" si="9"/>
        <v/>
      </c>
      <c r="J83" s="91" t="str">
        <f t="shared" si="10"/>
        <v/>
      </c>
      <c r="K83" s="92" t="str">
        <f>IF(AND(A83="",B83="",D83="",G83=""),"",IF(AND(A83&lt;&gt;"",COUNTIF($A$2:$A$5001,A83)&gt;1),"NUMERO_PC duplicado",IF(B83="","DATA_PC vazia",IF(NOT(ISNUMBER(B83)),"DATA_PC invalida",IF(OR(C83="",C83="Fora dos ciclos"),"CICLO_PC nao identificado",IF(OR(D83="",D83=0),"VALOR_PC vazio ou zero",IF(AND(G83&lt;&gt;"Sim",G83&lt;&gt;"Nao",G83&lt;&gt;""),"PC_PAGO_A_CONTRATADA invalido",IF(AND(C83&lt;&gt;"C0",IFERROR(INDEX(parametros!$A$2:$A$6,MATCH(C83,parametros!$B$2:$B$6,0)),"")="Sim",IFERROR(INDEX(parametros!$H$2:$H$6,MATCH(C83,parametros!$B$2:$B$6,0)),"")=""),"INICIO_EFEITO ausente: PC "&amp;A83&amp;" - "&amp;C83,IF(L83="","EFEITO_PC nao calculado: PC "&amp;A83&amp;" - "&amp;C83,"OK")))))))))</f>
        <v/>
      </c>
      <c r="L83" s="92" t="str">
        <f>IF(AND(A83="",B83="",D83="",G83=""),"",IF(OR(B83="",NOT(ISNUMBER(B83)),C83="",C83="Fora dos ciclos"),"",IF(C83="C0","Nao",IF(IFERROR(INDEX(parametros!$A$2:$A$6,MATCH(C83,parametros!$B$2:$B$6,0)),"")&lt;&gt;"Sim","Nao",IF(IFERROR(INDEX(parametros!$H$2:$H$6,MATCH(C83,parametros!$B$2:$B$6,0)),"")="","",IF(B83&gt;=IFERROR(INDEX(parametros!$H$2:$H$6,MATCH(C83,parametros!$B$2:$B$6,0)),""),"Sim","Nao"))))))</f>
        <v/>
      </c>
      <c r="M83" s="14"/>
      <c r="N83" s="14"/>
      <c r="O83" s="14"/>
      <c r="P83" s="14"/>
      <c r="Q83" s="14"/>
      <c r="R83" s="14"/>
      <c r="S83" s="14"/>
      <c r="T83" s="211"/>
      <c r="U83" s="214" t="str">
        <f t="shared" si="11"/>
        <v/>
      </c>
      <c r="V83" s="212" t="s">
        <v>50</v>
      </c>
      <c r="W83" s="100" t="s">
        <v>168</v>
      </c>
      <c r="X83" s="100" t="s">
        <v>169</v>
      </c>
      <c r="Y83" s="101" t="s">
        <v>170</v>
      </c>
      <c r="Z83" s="101" t="s">
        <v>171</v>
      </c>
      <c r="AA83" s="101" t="s">
        <v>50</v>
      </c>
      <c r="AB83" s="101" t="s">
        <v>172</v>
      </c>
      <c r="AC83" s="102" t="s">
        <v>173</v>
      </c>
    </row>
    <row r="84" spans="1:29" ht="25.5" customHeight="1" x14ac:dyDescent="0.35">
      <c r="A84" s="392"/>
      <c r="B84" s="393"/>
      <c r="C84" s="99" t="str">
        <f>IF(B84="","",IF(NOT(ISNUMBER(B84)),"DATA_PC invalida",IF(NOT(ISNUMBER(parametros!$C$2)),"Fora dos ciclos",IF(OR(B84&lt;parametros!$C$2,(YEAR(B84)-YEAR(parametros!$C$2))*12+MONTH(B84)-MONTH(parametros!$C$2)&gt;59),"Fora dos ciclos","C"&amp;INT(((YEAR(B84)-YEAR(parametros!$C$2))*12+MONTH(B84)-MONTH(parametros!$C$2))/12)))))</f>
        <v/>
      </c>
      <c r="D84" s="394"/>
      <c r="E84" s="78" t="str">
        <f>IF(C84="","",IFERROR(VLOOKUP(C84,parametros!$A$11:$E$15,5,0),""))</f>
        <v/>
      </c>
      <c r="F84" s="79" t="str">
        <f t="shared" si="7"/>
        <v/>
      </c>
      <c r="G84" s="395"/>
      <c r="H84" s="91">
        <f t="shared" si="8"/>
        <v>0</v>
      </c>
      <c r="I84" s="91" t="str">
        <f t="shared" si="9"/>
        <v/>
      </c>
      <c r="J84" s="91" t="str">
        <f t="shared" si="10"/>
        <v/>
      </c>
      <c r="K84" s="92" t="str">
        <f>IF(AND(A84="",B84="",D84="",G84=""),"",IF(AND(A84&lt;&gt;"",COUNTIF($A$2:$A$5001,A84)&gt;1),"NUMERO_PC duplicado",IF(B84="","DATA_PC vazia",IF(NOT(ISNUMBER(B84)),"DATA_PC invalida",IF(OR(C84="",C84="Fora dos ciclos"),"CICLO_PC nao identificado",IF(OR(D84="",D84=0),"VALOR_PC vazio ou zero",IF(AND(G84&lt;&gt;"Sim",G84&lt;&gt;"Nao",G84&lt;&gt;""),"PC_PAGO_A_CONTRATADA invalido",IF(AND(C84&lt;&gt;"C0",IFERROR(INDEX(parametros!$A$2:$A$6,MATCH(C84,parametros!$B$2:$B$6,0)),"")="Sim",IFERROR(INDEX(parametros!$H$2:$H$6,MATCH(C84,parametros!$B$2:$B$6,0)),"")=""),"INICIO_EFEITO ausente: PC "&amp;A84&amp;" - "&amp;C84,IF(L84="","EFEITO_PC nao calculado: PC "&amp;A84&amp;" - "&amp;C84,"OK")))))))))</f>
        <v/>
      </c>
      <c r="L84" s="92" t="str">
        <f>IF(AND(A84="",B84="",D84="",G84=""),"",IF(OR(B84="",NOT(ISNUMBER(B84)),C84="",C84="Fora dos ciclos"),"",IF(C84="C0","Nao",IF(IFERROR(INDEX(parametros!$A$2:$A$6,MATCH(C84,parametros!$B$2:$B$6,0)),"")&lt;&gt;"Sim","Nao",IF(IFERROR(INDEX(parametros!$H$2:$H$6,MATCH(C84,parametros!$B$2:$B$6,0)),"")="","",IF(B84&gt;=IFERROR(INDEX(parametros!$H$2:$H$6,MATCH(C84,parametros!$B$2:$B$6,0)),""),"Sim","Nao"))))))</f>
        <v/>
      </c>
      <c r="M84" s="14"/>
      <c r="N84" s="14"/>
      <c r="O84" s="14"/>
      <c r="P84" s="14"/>
      <c r="Q84" s="14"/>
      <c r="R84" s="14"/>
      <c r="S84" s="14"/>
      <c r="T84" s="211"/>
      <c r="U84" s="214" t="str">
        <f t="shared" si="11"/>
        <v/>
      </c>
      <c r="V84" s="212" t="s">
        <v>50</v>
      </c>
      <c r="W84" s="100" t="s">
        <v>168</v>
      </c>
      <c r="X84" s="100" t="s">
        <v>169</v>
      </c>
      <c r="Y84" s="101" t="s">
        <v>170</v>
      </c>
      <c r="Z84" s="101" t="s">
        <v>171</v>
      </c>
      <c r="AA84" s="101" t="s">
        <v>50</v>
      </c>
      <c r="AB84" s="101" t="s">
        <v>172</v>
      </c>
      <c r="AC84" s="102" t="s">
        <v>173</v>
      </c>
    </row>
    <row r="85" spans="1:29" ht="25.5" customHeight="1" x14ac:dyDescent="0.35">
      <c r="A85" s="392"/>
      <c r="B85" s="393"/>
      <c r="C85" s="99" t="str">
        <f>IF(B85="","",IF(NOT(ISNUMBER(B85)),"DATA_PC invalida",IF(NOT(ISNUMBER(parametros!$C$2)),"Fora dos ciclos",IF(OR(B85&lt;parametros!$C$2,(YEAR(B85)-YEAR(parametros!$C$2))*12+MONTH(B85)-MONTH(parametros!$C$2)&gt;59),"Fora dos ciclos","C"&amp;INT(((YEAR(B85)-YEAR(parametros!$C$2))*12+MONTH(B85)-MONTH(parametros!$C$2))/12)))))</f>
        <v/>
      </c>
      <c r="D85" s="394"/>
      <c r="E85" s="78" t="str">
        <f>IF(C85="","",IFERROR(VLOOKUP(C85,parametros!$A$11:$E$15,5,0),""))</f>
        <v/>
      </c>
      <c r="F85" s="79" t="str">
        <f t="shared" si="7"/>
        <v/>
      </c>
      <c r="G85" s="395"/>
      <c r="H85" s="91">
        <f t="shared" si="8"/>
        <v>0</v>
      </c>
      <c r="I85" s="91" t="str">
        <f t="shared" si="9"/>
        <v/>
      </c>
      <c r="J85" s="91" t="str">
        <f t="shared" si="10"/>
        <v/>
      </c>
      <c r="K85" s="92" t="str">
        <f>IF(AND(A85="",B85="",D85="",G85=""),"",IF(AND(A85&lt;&gt;"",COUNTIF($A$2:$A$5001,A85)&gt;1),"NUMERO_PC duplicado",IF(B85="","DATA_PC vazia",IF(NOT(ISNUMBER(B85)),"DATA_PC invalida",IF(OR(C85="",C85="Fora dos ciclos"),"CICLO_PC nao identificado",IF(OR(D85="",D85=0),"VALOR_PC vazio ou zero",IF(AND(G85&lt;&gt;"Sim",G85&lt;&gt;"Nao",G85&lt;&gt;""),"PC_PAGO_A_CONTRATADA invalido",IF(AND(C85&lt;&gt;"C0",IFERROR(INDEX(parametros!$A$2:$A$6,MATCH(C85,parametros!$B$2:$B$6,0)),"")="Sim",IFERROR(INDEX(parametros!$H$2:$H$6,MATCH(C85,parametros!$B$2:$B$6,0)),"")=""),"INICIO_EFEITO ausente: PC "&amp;A85&amp;" - "&amp;C85,IF(L85="","EFEITO_PC nao calculado: PC "&amp;A85&amp;" - "&amp;C85,"OK")))))))))</f>
        <v/>
      </c>
      <c r="L85" s="92" t="str">
        <f>IF(AND(A85="",B85="",D85="",G85=""),"",IF(OR(B85="",NOT(ISNUMBER(B85)),C85="",C85="Fora dos ciclos"),"",IF(C85="C0","Nao",IF(IFERROR(INDEX(parametros!$A$2:$A$6,MATCH(C85,parametros!$B$2:$B$6,0)),"")&lt;&gt;"Sim","Nao",IF(IFERROR(INDEX(parametros!$H$2:$H$6,MATCH(C85,parametros!$B$2:$B$6,0)),"")="","",IF(B85&gt;=IFERROR(INDEX(parametros!$H$2:$H$6,MATCH(C85,parametros!$B$2:$B$6,0)),""),"Sim","Nao"))))))</f>
        <v/>
      </c>
      <c r="M85" s="14"/>
      <c r="N85" s="14"/>
      <c r="O85" s="14"/>
      <c r="P85" s="14"/>
      <c r="Q85" s="14"/>
      <c r="R85" s="14"/>
      <c r="S85" s="14"/>
      <c r="T85" s="211"/>
      <c r="U85" s="214" t="str">
        <f t="shared" si="11"/>
        <v/>
      </c>
      <c r="V85" s="212" t="s">
        <v>50</v>
      </c>
      <c r="W85" s="100" t="s">
        <v>168</v>
      </c>
      <c r="X85" s="100" t="s">
        <v>169</v>
      </c>
      <c r="Y85" s="101" t="s">
        <v>170</v>
      </c>
      <c r="Z85" s="101" t="s">
        <v>171</v>
      </c>
      <c r="AA85" s="101" t="s">
        <v>50</v>
      </c>
      <c r="AB85" s="101" t="s">
        <v>172</v>
      </c>
      <c r="AC85" s="102" t="s">
        <v>173</v>
      </c>
    </row>
    <row r="86" spans="1:29" ht="25.5" customHeight="1" x14ac:dyDescent="0.35">
      <c r="A86" s="392"/>
      <c r="B86" s="393"/>
      <c r="C86" s="99" t="str">
        <f>IF(B86="","",IF(NOT(ISNUMBER(B86)),"DATA_PC invalida",IF(NOT(ISNUMBER(parametros!$C$2)),"Fora dos ciclos",IF(OR(B86&lt;parametros!$C$2,(YEAR(B86)-YEAR(parametros!$C$2))*12+MONTH(B86)-MONTH(parametros!$C$2)&gt;59),"Fora dos ciclos","C"&amp;INT(((YEAR(B86)-YEAR(parametros!$C$2))*12+MONTH(B86)-MONTH(parametros!$C$2))/12)))))</f>
        <v/>
      </c>
      <c r="D86" s="394"/>
      <c r="E86" s="78" t="str">
        <f>IF(C86="","",IFERROR(VLOOKUP(C86,parametros!$A$11:$E$15,5,0),""))</f>
        <v/>
      </c>
      <c r="F86" s="79" t="str">
        <f t="shared" si="7"/>
        <v/>
      </c>
      <c r="G86" s="395"/>
      <c r="H86" s="91">
        <f t="shared" si="8"/>
        <v>0</v>
      </c>
      <c r="I86" s="91" t="str">
        <f t="shared" si="9"/>
        <v/>
      </c>
      <c r="J86" s="91" t="str">
        <f t="shared" si="10"/>
        <v/>
      </c>
      <c r="K86" s="92" t="str">
        <f>IF(AND(A86="",B86="",D86="",G86=""),"",IF(AND(A86&lt;&gt;"",COUNTIF($A$2:$A$5001,A86)&gt;1),"NUMERO_PC duplicado",IF(B86="","DATA_PC vazia",IF(NOT(ISNUMBER(B86)),"DATA_PC invalida",IF(OR(C86="",C86="Fora dos ciclos"),"CICLO_PC nao identificado",IF(OR(D86="",D86=0),"VALOR_PC vazio ou zero",IF(AND(G86&lt;&gt;"Sim",G86&lt;&gt;"Nao",G86&lt;&gt;""),"PC_PAGO_A_CONTRATADA invalido",IF(AND(C86&lt;&gt;"C0",IFERROR(INDEX(parametros!$A$2:$A$6,MATCH(C86,parametros!$B$2:$B$6,0)),"")="Sim",IFERROR(INDEX(parametros!$H$2:$H$6,MATCH(C86,parametros!$B$2:$B$6,0)),"")=""),"INICIO_EFEITO ausente: PC "&amp;A86&amp;" - "&amp;C86,IF(L86="","EFEITO_PC nao calculado: PC "&amp;A86&amp;" - "&amp;C86,"OK")))))))))</f>
        <v/>
      </c>
      <c r="L86" s="92" t="str">
        <f>IF(AND(A86="",B86="",D86="",G86=""),"",IF(OR(B86="",NOT(ISNUMBER(B86)),C86="",C86="Fora dos ciclos"),"",IF(C86="C0","Nao",IF(IFERROR(INDEX(parametros!$A$2:$A$6,MATCH(C86,parametros!$B$2:$B$6,0)),"")&lt;&gt;"Sim","Nao",IF(IFERROR(INDEX(parametros!$H$2:$H$6,MATCH(C86,parametros!$B$2:$B$6,0)),"")="","",IF(B86&gt;=IFERROR(INDEX(parametros!$H$2:$H$6,MATCH(C86,parametros!$B$2:$B$6,0)),""),"Sim","Nao"))))))</f>
        <v/>
      </c>
      <c r="M86" s="14"/>
      <c r="N86" s="14"/>
      <c r="O86" s="14"/>
      <c r="P86" s="14"/>
      <c r="Q86" s="14"/>
      <c r="R86" s="14"/>
      <c r="S86" s="14"/>
      <c r="T86" s="211"/>
      <c r="U86" s="214" t="str">
        <f t="shared" si="11"/>
        <v/>
      </c>
      <c r="V86" s="212" t="s">
        <v>50</v>
      </c>
      <c r="W86" s="100" t="s">
        <v>168</v>
      </c>
      <c r="X86" s="100" t="s">
        <v>169</v>
      </c>
      <c r="Y86" s="101" t="s">
        <v>170</v>
      </c>
      <c r="Z86" s="101" t="s">
        <v>171</v>
      </c>
      <c r="AA86" s="101" t="s">
        <v>50</v>
      </c>
      <c r="AB86" s="101" t="s">
        <v>172</v>
      </c>
      <c r="AC86" s="102" t="s">
        <v>173</v>
      </c>
    </row>
    <row r="87" spans="1:29" ht="25.5" customHeight="1" x14ac:dyDescent="0.35">
      <c r="A87" s="392"/>
      <c r="B87" s="393"/>
      <c r="C87" s="99" t="str">
        <f>IF(B87="","",IF(NOT(ISNUMBER(B87)),"DATA_PC invalida",IF(NOT(ISNUMBER(parametros!$C$2)),"Fora dos ciclos",IF(OR(B87&lt;parametros!$C$2,(YEAR(B87)-YEAR(parametros!$C$2))*12+MONTH(B87)-MONTH(parametros!$C$2)&gt;59),"Fora dos ciclos","C"&amp;INT(((YEAR(B87)-YEAR(parametros!$C$2))*12+MONTH(B87)-MONTH(parametros!$C$2))/12)))))</f>
        <v/>
      </c>
      <c r="D87" s="394"/>
      <c r="E87" s="78" t="str">
        <f>IF(C87="","",IFERROR(VLOOKUP(C87,parametros!$A$11:$E$15,5,0),""))</f>
        <v/>
      </c>
      <c r="F87" s="79" t="str">
        <f t="shared" si="7"/>
        <v/>
      </c>
      <c r="G87" s="395"/>
      <c r="H87" s="91">
        <f t="shared" si="8"/>
        <v>0</v>
      </c>
      <c r="I87" s="91" t="str">
        <f t="shared" si="9"/>
        <v/>
      </c>
      <c r="J87" s="91" t="str">
        <f t="shared" si="10"/>
        <v/>
      </c>
      <c r="K87" s="92" t="str">
        <f>IF(AND(A87="",B87="",D87="",G87=""),"",IF(AND(A87&lt;&gt;"",COUNTIF($A$2:$A$5001,A87)&gt;1),"NUMERO_PC duplicado",IF(B87="","DATA_PC vazia",IF(NOT(ISNUMBER(B87)),"DATA_PC invalida",IF(OR(C87="",C87="Fora dos ciclos"),"CICLO_PC nao identificado",IF(OR(D87="",D87=0),"VALOR_PC vazio ou zero",IF(AND(G87&lt;&gt;"Sim",G87&lt;&gt;"Nao",G87&lt;&gt;""),"PC_PAGO_A_CONTRATADA invalido",IF(AND(C87&lt;&gt;"C0",IFERROR(INDEX(parametros!$A$2:$A$6,MATCH(C87,parametros!$B$2:$B$6,0)),"")="Sim",IFERROR(INDEX(parametros!$H$2:$H$6,MATCH(C87,parametros!$B$2:$B$6,0)),"")=""),"INICIO_EFEITO ausente: PC "&amp;A87&amp;" - "&amp;C87,IF(L87="","EFEITO_PC nao calculado: PC "&amp;A87&amp;" - "&amp;C87,"OK")))))))))</f>
        <v/>
      </c>
      <c r="L87" s="92" t="str">
        <f>IF(AND(A87="",B87="",D87="",G87=""),"",IF(OR(B87="",NOT(ISNUMBER(B87)),C87="",C87="Fora dos ciclos"),"",IF(C87="C0","Nao",IF(IFERROR(INDEX(parametros!$A$2:$A$6,MATCH(C87,parametros!$B$2:$B$6,0)),"")&lt;&gt;"Sim","Nao",IF(IFERROR(INDEX(parametros!$H$2:$H$6,MATCH(C87,parametros!$B$2:$B$6,0)),"")="","",IF(B87&gt;=IFERROR(INDEX(parametros!$H$2:$H$6,MATCH(C87,parametros!$B$2:$B$6,0)),""),"Sim","Nao"))))))</f>
        <v/>
      </c>
      <c r="M87" s="14"/>
      <c r="N87" s="14"/>
      <c r="O87" s="14"/>
      <c r="P87" s="14"/>
      <c r="Q87" s="14"/>
      <c r="R87" s="14"/>
      <c r="S87" s="14"/>
      <c r="T87" s="211"/>
      <c r="U87" s="214" t="str">
        <f t="shared" si="11"/>
        <v/>
      </c>
      <c r="V87" s="212" t="s">
        <v>50</v>
      </c>
      <c r="W87" s="100" t="s">
        <v>168</v>
      </c>
      <c r="X87" s="100" t="s">
        <v>169</v>
      </c>
      <c r="Y87" s="101" t="s">
        <v>170</v>
      </c>
      <c r="Z87" s="101" t="s">
        <v>171</v>
      </c>
      <c r="AA87" s="101" t="s">
        <v>50</v>
      </c>
      <c r="AB87" s="101" t="s">
        <v>172</v>
      </c>
      <c r="AC87" s="102" t="s">
        <v>173</v>
      </c>
    </row>
    <row r="88" spans="1:29" ht="25.5" customHeight="1" x14ac:dyDescent="0.35">
      <c r="A88" s="392"/>
      <c r="B88" s="393"/>
      <c r="C88" s="99" t="str">
        <f>IF(B88="","",IF(NOT(ISNUMBER(B88)),"DATA_PC invalida",IF(NOT(ISNUMBER(parametros!$C$2)),"Fora dos ciclos",IF(OR(B88&lt;parametros!$C$2,(YEAR(B88)-YEAR(parametros!$C$2))*12+MONTH(B88)-MONTH(parametros!$C$2)&gt;59),"Fora dos ciclos","C"&amp;INT(((YEAR(B88)-YEAR(parametros!$C$2))*12+MONTH(B88)-MONTH(parametros!$C$2))/12)))))</f>
        <v/>
      </c>
      <c r="D88" s="394"/>
      <c r="E88" s="78" t="str">
        <f>IF(C88="","",IFERROR(VLOOKUP(C88,parametros!$A$11:$E$15,5,0),""))</f>
        <v/>
      </c>
      <c r="F88" s="79" t="str">
        <f t="shared" si="7"/>
        <v/>
      </c>
      <c r="G88" s="395"/>
      <c r="H88" s="91">
        <f t="shared" si="8"/>
        <v>0</v>
      </c>
      <c r="I88" s="91" t="str">
        <f t="shared" si="9"/>
        <v/>
      </c>
      <c r="J88" s="91" t="str">
        <f t="shared" si="10"/>
        <v/>
      </c>
      <c r="K88" s="92" t="str">
        <f>IF(AND(A88="",B88="",D88="",G88=""),"",IF(AND(A88&lt;&gt;"",COUNTIF($A$2:$A$5001,A88)&gt;1),"NUMERO_PC duplicado",IF(B88="","DATA_PC vazia",IF(NOT(ISNUMBER(B88)),"DATA_PC invalida",IF(OR(C88="",C88="Fora dos ciclos"),"CICLO_PC nao identificado",IF(OR(D88="",D88=0),"VALOR_PC vazio ou zero",IF(AND(G88&lt;&gt;"Sim",G88&lt;&gt;"Nao",G88&lt;&gt;""),"PC_PAGO_A_CONTRATADA invalido",IF(AND(C88&lt;&gt;"C0",IFERROR(INDEX(parametros!$A$2:$A$6,MATCH(C88,parametros!$B$2:$B$6,0)),"")="Sim",IFERROR(INDEX(parametros!$H$2:$H$6,MATCH(C88,parametros!$B$2:$B$6,0)),"")=""),"INICIO_EFEITO ausente: PC "&amp;A88&amp;" - "&amp;C88,IF(L88="","EFEITO_PC nao calculado: PC "&amp;A88&amp;" - "&amp;C88,"OK")))))))))</f>
        <v/>
      </c>
      <c r="L88" s="92" t="str">
        <f>IF(AND(A88="",B88="",D88="",G88=""),"",IF(OR(B88="",NOT(ISNUMBER(B88)),C88="",C88="Fora dos ciclos"),"",IF(C88="C0","Nao",IF(IFERROR(INDEX(parametros!$A$2:$A$6,MATCH(C88,parametros!$B$2:$B$6,0)),"")&lt;&gt;"Sim","Nao",IF(IFERROR(INDEX(parametros!$H$2:$H$6,MATCH(C88,parametros!$B$2:$B$6,0)),"")="","",IF(B88&gt;=IFERROR(INDEX(parametros!$H$2:$H$6,MATCH(C88,parametros!$B$2:$B$6,0)),""),"Sim","Nao"))))))</f>
        <v/>
      </c>
      <c r="M88" s="14"/>
      <c r="N88" s="14"/>
      <c r="O88" s="14"/>
      <c r="P88" s="14"/>
      <c r="Q88" s="14"/>
      <c r="R88" s="14"/>
      <c r="S88" s="14"/>
      <c r="T88" s="211"/>
      <c r="U88" s="214" t="str">
        <f t="shared" si="11"/>
        <v/>
      </c>
      <c r="V88" s="212" t="s">
        <v>50</v>
      </c>
      <c r="W88" s="100" t="s">
        <v>168</v>
      </c>
      <c r="X88" s="100" t="s">
        <v>169</v>
      </c>
      <c r="Y88" s="101" t="s">
        <v>170</v>
      </c>
      <c r="Z88" s="101" t="s">
        <v>171</v>
      </c>
      <c r="AA88" s="101" t="s">
        <v>50</v>
      </c>
      <c r="AB88" s="101" t="s">
        <v>172</v>
      </c>
      <c r="AC88" s="102" t="s">
        <v>173</v>
      </c>
    </row>
    <row r="89" spans="1:29" ht="25.5" customHeight="1" x14ac:dyDescent="0.35">
      <c r="A89" s="392"/>
      <c r="B89" s="393"/>
      <c r="C89" s="99" t="str">
        <f>IF(B89="","",IF(NOT(ISNUMBER(B89)),"DATA_PC invalida",IF(NOT(ISNUMBER(parametros!$C$2)),"Fora dos ciclos",IF(OR(B89&lt;parametros!$C$2,(YEAR(B89)-YEAR(parametros!$C$2))*12+MONTH(B89)-MONTH(parametros!$C$2)&gt;59),"Fora dos ciclos","C"&amp;INT(((YEAR(B89)-YEAR(parametros!$C$2))*12+MONTH(B89)-MONTH(parametros!$C$2))/12)))))</f>
        <v/>
      </c>
      <c r="D89" s="394"/>
      <c r="E89" s="78" t="str">
        <f>IF(C89="","",IFERROR(VLOOKUP(C89,parametros!$A$11:$E$15,5,0),""))</f>
        <v/>
      </c>
      <c r="F89" s="79" t="str">
        <f t="shared" si="7"/>
        <v/>
      </c>
      <c r="G89" s="395"/>
      <c r="H89" s="91">
        <f t="shared" si="8"/>
        <v>0</v>
      </c>
      <c r="I89" s="91" t="str">
        <f t="shared" si="9"/>
        <v/>
      </c>
      <c r="J89" s="91" t="str">
        <f t="shared" si="10"/>
        <v/>
      </c>
      <c r="K89" s="92" t="str">
        <f>IF(AND(A89="",B89="",D89="",G89=""),"",IF(AND(A89&lt;&gt;"",COUNTIF($A$2:$A$5001,A89)&gt;1),"NUMERO_PC duplicado",IF(B89="","DATA_PC vazia",IF(NOT(ISNUMBER(B89)),"DATA_PC invalida",IF(OR(C89="",C89="Fora dos ciclos"),"CICLO_PC nao identificado",IF(OR(D89="",D89=0),"VALOR_PC vazio ou zero",IF(AND(G89&lt;&gt;"Sim",G89&lt;&gt;"Nao",G89&lt;&gt;""),"PC_PAGO_A_CONTRATADA invalido",IF(AND(C89&lt;&gt;"C0",IFERROR(INDEX(parametros!$A$2:$A$6,MATCH(C89,parametros!$B$2:$B$6,0)),"")="Sim",IFERROR(INDEX(parametros!$H$2:$H$6,MATCH(C89,parametros!$B$2:$B$6,0)),"")=""),"INICIO_EFEITO ausente: PC "&amp;A89&amp;" - "&amp;C89,IF(L89="","EFEITO_PC nao calculado: PC "&amp;A89&amp;" - "&amp;C89,"OK")))))))))</f>
        <v/>
      </c>
      <c r="L89" s="92" t="str">
        <f>IF(AND(A89="",B89="",D89="",G89=""),"",IF(OR(B89="",NOT(ISNUMBER(B89)),C89="",C89="Fora dos ciclos"),"",IF(C89="C0","Nao",IF(IFERROR(INDEX(parametros!$A$2:$A$6,MATCH(C89,parametros!$B$2:$B$6,0)),"")&lt;&gt;"Sim","Nao",IF(IFERROR(INDEX(parametros!$H$2:$H$6,MATCH(C89,parametros!$B$2:$B$6,0)),"")="","",IF(B89&gt;=IFERROR(INDEX(parametros!$H$2:$H$6,MATCH(C89,parametros!$B$2:$B$6,0)),""),"Sim","Nao"))))))</f>
        <v/>
      </c>
      <c r="M89" s="14"/>
      <c r="N89" s="14"/>
      <c r="O89" s="14"/>
      <c r="P89" s="14"/>
      <c r="Q89" s="14"/>
      <c r="R89" s="14"/>
      <c r="S89" s="14"/>
      <c r="T89" s="211"/>
      <c r="U89" s="214" t="str">
        <f t="shared" si="11"/>
        <v/>
      </c>
      <c r="V89" s="212" t="s">
        <v>50</v>
      </c>
      <c r="W89" s="100" t="s">
        <v>168</v>
      </c>
      <c r="X89" s="100" t="s">
        <v>169</v>
      </c>
      <c r="Y89" s="101" t="s">
        <v>170</v>
      </c>
      <c r="Z89" s="101" t="s">
        <v>171</v>
      </c>
      <c r="AA89" s="101" t="s">
        <v>50</v>
      </c>
      <c r="AB89" s="101" t="s">
        <v>172</v>
      </c>
      <c r="AC89" s="102" t="s">
        <v>173</v>
      </c>
    </row>
    <row r="90" spans="1:29" ht="25.5" customHeight="1" x14ac:dyDescent="0.35">
      <c r="A90" s="392"/>
      <c r="B90" s="393"/>
      <c r="C90" s="99" t="str">
        <f>IF(B90="","",IF(NOT(ISNUMBER(B90)),"DATA_PC invalida",IF(NOT(ISNUMBER(parametros!$C$2)),"Fora dos ciclos",IF(OR(B90&lt;parametros!$C$2,(YEAR(B90)-YEAR(parametros!$C$2))*12+MONTH(B90)-MONTH(parametros!$C$2)&gt;59),"Fora dos ciclos","C"&amp;INT(((YEAR(B90)-YEAR(parametros!$C$2))*12+MONTH(B90)-MONTH(parametros!$C$2))/12)))))</f>
        <v/>
      </c>
      <c r="D90" s="394"/>
      <c r="E90" s="78" t="str">
        <f>IF(C90="","",IFERROR(VLOOKUP(C90,parametros!$A$11:$E$15,5,0),""))</f>
        <v/>
      </c>
      <c r="F90" s="79" t="str">
        <f t="shared" si="7"/>
        <v/>
      </c>
      <c r="G90" s="395"/>
      <c r="H90" s="91">
        <f t="shared" si="8"/>
        <v>0</v>
      </c>
      <c r="I90" s="91" t="str">
        <f t="shared" si="9"/>
        <v/>
      </c>
      <c r="J90" s="91" t="str">
        <f t="shared" si="10"/>
        <v/>
      </c>
      <c r="K90" s="92" t="str">
        <f>IF(AND(A90="",B90="",D90="",G90=""),"",IF(AND(A90&lt;&gt;"",COUNTIF($A$2:$A$5001,A90)&gt;1),"NUMERO_PC duplicado",IF(B90="","DATA_PC vazia",IF(NOT(ISNUMBER(B90)),"DATA_PC invalida",IF(OR(C90="",C90="Fora dos ciclos"),"CICLO_PC nao identificado",IF(OR(D90="",D90=0),"VALOR_PC vazio ou zero",IF(AND(G90&lt;&gt;"Sim",G90&lt;&gt;"Nao",G90&lt;&gt;""),"PC_PAGO_A_CONTRATADA invalido",IF(AND(C90&lt;&gt;"C0",IFERROR(INDEX(parametros!$A$2:$A$6,MATCH(C90,parametros!$B$2:$B$6,0)),"")="Sim",IFERROR(INDEX(parametros!$H$2:$H$6,MATCH(C90,parametros!$B$2:$B$6,0)),"")=""),"INICIO_EFEITO ausente: PC "&amp;A90&amp;" - "&amp;C90,IF(L90="","EFEITO_PC nao calculado: PC "&amp;A90&amp;" - "&amp;C90,"OK")))))))))</f>
        <v/>
      </c>
      <c r="L90" s="92" t="str">
        <f>IF(AND(A90="",B90="",D90="",G90=""),"",IF(OR(B90="",NOT(ISNUMBER(B90)),C90="",C90="Fora dos ciclos"),"",IF(C90="C0","Nao",IF(IFERROR(INDEX(parametros!$A$2:$A$6,MATCH(C90,parametros!$B$2:$B$6,0)),"")&lt;&gt;"Sim","Nao",IF(IFERROR(INDEX(parametros!$H$2:$H$6,MATCH(C90,parametros!$B$2:$B$6,0)),"")="","",IF(B90&gt;=IFERROR(INDEX(parametros!$H$2:$H$6,MATCH(C90,parametros!$B$2:$B$6,0)),""),"Sim","Nao"))))))</f>
        <v/>
      </c>
      <c r="M90" s="14"/>
      <c r="N90" s="14"/>
      <c r="O90" s="14"/>
      <c r="P90" s="14"/>
      <c r="Q90" s="14"/>
      <c r="R90" s="14"/>
      <c r="S90" s="14"/>
      <c r="T90" s="211"/>
      <c r="U90" s="214" t="str">
        <f t="shared" si="11"/>
        <v/>
      </c>
      <c r="V90" s="212" t="s">
        <v>50</v>
      </c>
      <c r="W90" s="100" t="s">
        <v>168</v>
      </c>
      <c r="X90" s="100" t="s">
        <v>169</v>
      </c>
      <c r="Y90" s="101" t="s">
        <v>170</v>
      </c>
      <c r="Z90" s="101" t="s">
        <v>171</v>
      </c>
      <c r="AA90" s="101" t="s">
        <v>50</v>
      </c>
      <c r="AB90" s="101" t="s">
        <v>172</v>
      </c>
      <c r="AC90" s="102" t="s">
        <v>173</v>
      </c>
    </row>
    <row r="91" spans="1:29" ht="25.5" customHeight="1" x14ac:dyDescent="0.35">
      <c r="A91" s="392"/>
      <c r="B91" s="393"/>
      <c r="C91" s="99" t="str">
        <f>IF(B91="","",IF(NOT(ISNUMBER(B91)),"DATA_PC invalida",IF(NOT(ISNUMBER(parametros!$C$2)),"Fora dos ciclos",IF(OR(B91&lt;parametros!$C$2,(YEAR(B91)-YEAR(parametros!$C$2))*12+MONTH(B91)-MONTH(parametros!$C$2)&gt;59),"Fora dos ciclos","C"&amp;INT(((YEAR(B91)-YEAR(parametros!$C$2))*12+MONTH(B91)-MONTH(parametros!$C$2))/12)))))</f>
        <v/>
      </c>
      <c r="D91" s="394"/>
      <c r="E91" s="78" t="str">
        <f>IF(C91="","",IFERROR(VLOOKUP(C91,parametros!$A$11:$E$15,5,0),""))</f>
        <v/>
      </c>
      <c r="F91" s="79" t="str">
        <f t="shared" si="7"/>
        <v/>
      </c>
      <c r="G91" s="395"/>
      <c r="H91" s="91">
        <f t="shared" si="8"/>
        <v>0</v>
      </c>
      <c r="I91" s="91" t="str">
        <f t="shared" si="9"/>
        <v/>
      </c>
      <c r="J91" s="91" t="str">
        <f t="shared" si="10"/>
        <v/>
      </c>
      <c r="K91" s="92" t="str">
        <f>IF(AND(A91="",B91="",D91="",G91=""),"",IF(AND(A91&lt;&gt;"",COUNTIF($A$2:$A$5001,A91)&gt;1),"NUMERO_PC duplicado",IF(B91="","DATA_PC vazia",IF(NOT(ISNUMBER(B91)),"DATA_PC invalida",IF(OR(C91="",C91="Fora dos ciclos"),"CICLO_PC nao identificado",IF(OR(D91="",D91=0),"VALOR_PC vazio ou zero",IF(AND(G91&lt;&gt;"Sim",G91&lt;&gt;"Nao",G91&lt;&gt;""),"PC_PAGO_A_CONTRATADA invalido",IF(AND(C91&lt;&gt;"C0",IFERROR(INDEX(parametros!$A$2:$A$6,MATCH(C91,parametros!$B$2:$B$6,0)),"")="Sim",IFERROR(INDEX(parametros!$H$2:$H$6,MATCH(C91,parametros!$B$2:$B$6,0)),"")=""),"INICIO_EFEITO ausente: PC "&amp;A91&amp;" - "&amp;C91,IF(L91="","EFEITO_PC nao calculado: PC "&amp;A91&amp;" - "&amp;C91,"OK")))))))))</f>
        <v/>
      </c>
      <c r="L91" s="92" t="str">
        <f>IF(AND(A91="",B91="",D91="",G91=""),"",IF(OR(B91="",NOT(ISNUMBER(B91)),C91="",C91="Fora dos ciclos"),"",IF(C91="C0","Nao",IF(IFERROR(INDEX(parametros!$A$2:$A$6,MATCH(C91,parametros!$B$2:$B$6,0)),"")&lt;&gt;"Sim","Nao",IF(IFERROR(INDEX(parametros!$H$2:$H$6,MATCH(C91,parametros!$B$2:$B$6,0)),"")="","",IF(B91&gt;=IFERROR(INDEX(parametros!$H$2:$H$6,MATCH(C91,parametros!$B$2:$B$6,0)),""),"Sim","Nao"))))))</f>
        <v/>
      </c>
      <c r="M91" s="14"/>
      <c r="N91" s="14"/>
      <c r="O91" s="14"/>
      <c r="P91" s="14"/>
      <c r="Q91" s="14"/>
      <c r="R91" s="14"/>
      <c r="S91" s="14"/>
      <c r="T91" s="211"/>
      <c r="U91" s="214" t="str">
        <f t="shared" si="11"/>
        <v/>
      </c>
      <c r="V91" s="212" t="s">
        <v>50</v>
      </c>
      <c r="W91" s="100" t="s">
        <v>168</v>
      </c>
      <c r="X91" s="100" t="s">
        <v>169</v>
      </c>
      <c r="Y91" s="101" t="s">
        <v>170</v>
      </c>
      <c r="Z91" s="101" t="s">
        <v>171</v>
      </c>
      <c r="AA91" s="101" t="s">
        <v>50</v>
      </c>
      <c r="AB91" s="101" t="s">
        <v>172</v>
      </c>
      <c r="AC91" s="102" t="s">
        <v>173</v>
      </c>
    </row>
    <row r="92" spans="1:29" ht="25.5" customHeight="1" x14ac:dyDescent="0.35">
      <c r="A92" s="392"/>
      <c r="B92" s="393"/>
      <c r="C92" s="99" t="str">
        <f>IF(B92="","",IF(NOT(ISNUMBER(B92)),"DATA_PC invalida",IF(NOT(ISNUMBER(parametros!$C$2)),"Fora dos ciclos",IF(OR(B92&lt;parametros!$C$2,(YEAR(B92)-YEAR(parametros!$C$2))*12+MONTH(B92)-MONTH(parametros!$C$2)&gt;59),"Fora dos ciclos","C"&amp;INT(((YEAR(B92)-YEAR(parametros!$C$2))*12+MONTH(B92)-MONTH(parametros!$C$2))/12)))))</f>
        <v/>
      </c>
      <c r="D92" s="394"/>
      <c r="E92" s="78" t="str">
        <f>IF(C92="","",IFERROR(VLOOKUP(C92,parametros!$A$11:$E$15,5,0),""))</f>
        <v/>
      </c>
      <c r="F92" s="79" t="str">
        <f t="shared" si="7"/>
        <v/>
      </c>
      <c r="G92" s="395"/>
      <c r="H92" s="91">
        <f t="shared" si="8"/>
        <v>0</v>
      </c>
      <c r="I92" s="91" t="str">
        <f t="shared" si="9"/>
        <v/>
      </c>
      <c r="J92" s="91" t="str">
        <f t="shared" si="10"/>
        <v/>
      </c>
      <c r="K92" s="92" t="str">
        <f>IF(AND(A92="",B92="",D92="",G92=""),"",IF(AND(A92&lt;&gt;"",COUNTIF($A$2:$A$5001,A92)&gt;1),"NUMERO_PC duplicado",IF(B92="","DATA_PC vazia",IF(NOT(ISNUMBER(B92)),"DATA_PC invalida",IF(OR(C92="",C92="Fora dos ciclos"),"CICLO_PC nao identificado",IF(OR(D92="",D92=0),"VALOR_PC vazio ou zero",IF(AND(G92&lt;&gt;"Sim",G92&lt;&gt;"Nao",G92&lt;&gt;""),"PC_PAGO_A_CONTRATADA invalido",IF(AND(C92&lt;&gt;"C0",IFERROR(INDEX(parametros!$A$2:$A$6,MATCH(C92,parametros!$B$2:$B$6,0)),"")="Sim",IFERROR(INDEX(parametros!$H$2:$H$6,MATCH(C92,parametros!$B$2:$B$6,0)),"")=""),"INICIO_EFEITO ausente: PC "&amp;A92&amp;" - "&amp;C92,IF(L92="","EFEITO_PC nao calculado: PC "&amp;A92&amp;" - "&amp;C92,"OK")))))))))</f>
        <v/>
      </c>
      <c r="L92" s="92" t="str">
        <f>IF(AND(A92="",B92="",D92="",G92=""),"",IF(OR(B92="",NOT(ISNUMBER(B92)),C92="",C92="Fora dos ciclos"),"",IF(C92="C0","Nao",IF(IFERROR(INDEX(parametros!$A$2:$A$6,MATCH(C92,parametros!$B$2:$B$6,0)),"")&lt;&gt;"Sim","Nao",IF(IFERROR(INDEX(parametros!$H$2:$H$6,MATCH(C92,parametros!$B$2:$B$6,0)),"")="","",IF(B92&gt;=IFERROR(INDEX(parametros!$H$2:$H$6,MATCH(C92,parametros!$B$2:$B$6,0)),""),"Sim","Nao"))))))</f>
        <v/>
      </c>
      <c r="M92" s="14"/>
      <c r="N92" s="14"/>
      <c r="O92" s="14"/>
      <c r="P92" s="14"/>
      <c r="Q92" s="14"/>
      <c r="R92" s="14"/>
      <c r="S92" s="14"/>
      <c r="T92" s="211"/>
      <c r="U92" s="214" t="str">
        <f t="shared" si="11"/>
        <v/>
      </c>
      <c r="V92" s="212" t="s">
        <v>50</v>
      </c>
      <c r="W92" s="100" t="s">
        <v>168</v>
      </c>
      <c r="X92" s="100" t="s">
        <v>169</v>
      </c>
      <c r="Y92" s="101" t="s">
        <v>170</v>
      </c>
      <c r="Z92" s="101" t="s">
        <v>171</v>
      </c>
      <c r="AA92" s="101" t="s">
        <v>50</v>
      </c>
      <c r="AB92" s="101" t="s">
        <v>172</v>
      </c>
      <c r="AC92" s="102" t="s">
        <v>173</v>
      </c>
    </row>
    <row r="93" spans="1:29" ht="25.5" customHeight="1" x14ac:dyDescent="0.35">
      <c r="A93" s="392"/>
      <c r="B93" s="393"/>
      <c r="C93" s="99" t="str">
        <f>IF(B93="","",IF(NOT(ISNUMBER(B93)),"DATA_PC invalida",IF(NOT(ISNUMBER(parametros!$C$2)),"Fora dos ciclos",IF(OR(B93&lt;parametros!$C$2,(YEAR(B93)-YEAR(parametros!$C$2))*12+MONTH(B93)-MONTH(parametros!$C$2)&gt;59),"Fora dos ciclos","C"&amp;INT(((YEAR(B93)-YEAR(parametros!$C$2))*12+MONTH(B93)-MONTH(parametros!$C$2))/12)))))</f>
        <v/>
      </c>
      <c r="D93" s="394"/>
      <c r="E93" s="78" t="str">
        <f>IF(C93="","",IFERROR(VLOOKUP(C93,parametros!$A$11:$E$15,5,0),""))</f>
        <v/>
      </c>
      <c r="F93" s="79" t="str">
        <f t="shared" si="7"/>
        <v/>
      </c>
      <c r="G93" s="395"/>
      <c r="H93" s="91">
        <f t="shared" si="8"/>
        <v>0</v>
      </c>
      <c r="I93" s="91" t="str">
        <f t="shared" si="9"/>
        <v/>
      </c>
      <c r="J93" s="91" t="str">
        <f t="shared" si="10"/>
        <v/>
      </c>
      <c r="K93" s="92" t="str">
        <f>IF(AND(A93="",B93="",D93="",G93=""),"",IF(AND(A93&lt;&gt;"",COUNTIF($A$2:$A$5001,A93)&gt;1),"NUMERO_PC duplicado",IF(B93="","DATA_PC vazia",IF(NOT(ISNUMBER(B93)),"DATA_PC invalida",IF(OR(C93="",C93="Fora dos ciclos"),"CICLO_PC nao identificado",IF(OR(D93="",D93=0),"VALOR_PC vazio ou zero",IF(AND(G93&lt;&gt;"Sim",G93&lt;&gt;"Nao",G93&lt;&gt;""),"PC_PAGO_A_CONTRATADA invalido",IF(AND(C93&lt;&gt;"C0",IFERROR(INDEX(parametros!$A$2:$A$6,MATCH(C93,parametros!$B$2:$B$6,0)),"")="Sim",IFERROR(INDEX(parametros!$H$2:$H$6,MATCH(C93,parametros!$B$2:$B$6,0)),"")=""),"INICIO_EFEITO ausente: PC "&amp;A93&amp;" - "&amp;C93,IF(L93="","EFEITO_PC nao calculado: PC "&amp;A93&amp;" - "&amp;C93,"OK")))))))))</f>
        <v/>
      </c>
      <c r="L93" s="92" t="str">
        <f>IF(AND(A93="",B93="",D93="",G93=""),"",IF(OR(B93="",NOT(ISNUMBER(B93)),C93="",C93="Fora dos ciclos"),"",IF(C93="C0","Nao",IF(IFERROR(INDEX(parametros!$A$2:$A$6,MATCH(C93,parametros!$B$2:$B$6,0)),"")&lt;&gt;"Sim","Nao",IF(IFERROR(INDEX(parametros!$H$2:$H$6,MATCH(C93,parametros!$B$2:$B$6,0)),"")="","",IF(B93&gt;=IFERROR(INDEX(parametros!$H$2:$H$6,MATCH(C93,parametros!$B$2:$B$6,0)),""),"Sim","Nao"))))))</f>
        <v/>
      </c>
      <c r="M93" s="14"/>
      <c r="N93" s="14"/>
      <c r="O93" s="14"/>
      <c r="P93" s="14"/>
      <c r="Q93" s="14"/>
      <c r="R93" s="14"/>
      <c r="S93" s="14"/>
      <c r="T93" s="211"/>
      <c r="U93" s="214" t="str">
        <f t="shared" si="11"/>
        <v/>
      </c>
      <c r="V93" s="212" t="s">
        <v>50</v>
      </c>
      <c r="W93" s="100" t="s">
        <v>168</v>
      </c>
      <c r="X93" s="100" t="s">
        <v>169</v>
      </c>
      <c r="Y93" s="101" t="s">
        <v>170</v>
      </c>
      <c r="Z93" s="101" t="s">
        <v>171</v>
      </c>
      <c r="AA93" s="101" t="s">
        <v>50</v>
      </c>
      <c r="AB93" s="101" t="s">
        <v>172</v>
      </c>
      <c r="AC93" s="102" t="s">
        <v>173</v>
      </c>
    </row>
    <row r="94" spans="1:29" ht="25.5" customHeight="1" x14ac:dyDescent="0.35">
      <c r="A94" s="392"/>
      <c r="B94" s="393"/>
      <c r="C94" s="99" t="str">
        <f>IF(B94="","",IF(NOT(ISNUMBER(B94)),"DATA_PC invalida",IF(NOT(ISNUMBER(parametros!$C$2)),"Fora dos ciclos",IF(OR(B94&lt;parametros!$C$2,(YEAR(B94)-YEAR(parametros!$C$2))*12+MONTH(B94)-MONTH(parametros!$C$2)&gt;59),"Fora dos ciclos","C"&amp;INT(((YEAR(B94)-YEAR(parametros!$C$2))*12+MONTH(B94)-MONTH(parametros!$C$2))/12)))))</f>
        <v/>
      </c>
      <c r="D94" s="394"/>
      <c r="E94" s="78" t="str">
        <f>IF(C94="","",IFERROR(VLOOKUP(C94,parametros!$A$11:$E$15,5,0),""))</f>
        <v/>
      </c>
      <c r="F94" s="79" t="str">
        <f t="shared" si="7"/>
        <v/>
      </c>
      <c r="G94" s="395"/>
      <c r="H94" s="91">
        <f t="shared" si="8"/>
        <v>0</v>
      </c>
      <c r="I94" s="91" t="str">
        <f t="shared" si="9"/>
        <v/>
      </c>
      <c r="J94" s="91" t="str">
        <f t="shared" si="10"/>
        <v/>
      </c>
      <c r="K94" s="92" t="str">
        <f>IF(AND(A94="",B94="",D94="",G94=""),"",IF(AND(A94&lt;&gt;"",COUNTIF($A$2:$A$5001,A94)&gt;1),"NUMERO_PC duplicado",IF(B94="","DATA_PC vazia",IF(NOT(ISNUMBER(B94)),"DATA_PC invalida",IF(OR(C94="",C94="Fora dos ciclos"),"CICLO_PC nao identificado",IF(OR(D94="",D94=0),"VALOR_PC vazio ou zero",IF(AND(G94&lt;&gt;"Sim",G94&lt;&gt;"Nao",G94&lt;&gt;""),"PC_PAGO_A_CONTRATADA invalido",IF(AND(C94&lt;&gt;"C0",IFERROR(INDEX(parametros!$A$2:$A$6,MATCH(C94,parametros!$B$2:$B$6,0)),"")="Sim",IFERROR(INDEX(parametros!$H$2:$H$6,MATCH(C94,parametros!$B$2:$B$6,0)),"")=""),"INICIO_EFEITO ausente: PC "&amp;A94&amp;" - "&amp;C94,IF(L94="","EFEITO_PC nao calculado: PC "&amp;A94&amp;" - "&amp;C94,"OK")))))))))</f>
        <v/>
      </c>
      <c r="L94" s="92" t="str">
        <f>IF(AND(A94="",B94="",D94="",G94=""),"",IF(OR(B94="",NOT(ISNUMBER(B94)),C94="",C94="Fora dos ciclos"),"",IF(C94="C0","Nao",IF(IFERROR(INDEX(parametros!$A$2:$A$6,MATCH(C94,parametros!$B$2:$B$6,0)),"")&lt;&gt;"Sim","Nao",IF(IFERROR(INDEX(parametros!$H$2:$H$6,MATCH(C94,parametros!$B$2:$B$6,0)),"")="","",IF(B94&gt;=IFERROR(INDEX(parametros!$H$2:$H$6,MATCH(C94,parametros!$B$2:$B$6,0)),""),"Sim","Nao"))))))</f>
        <v/>
      </c>
      <c r="M94" s="14"/>
      <c r="N94" s="14"/>
      <c r="O94" s="14"/>
      <c r="P94" s="14"/>
      <c r="Q94" s="14"/>
      <c r="R94" s="14"/>
      <c r="S94" s="14"/>
      <c r="T94" s="211"/>
      <c r="U94" s="214" t="str">
        <f t="shared" si="11"/>
        <v/>
      </c>
      <c r="V94" s="212" t="s">
        <v>50</v>
      </c>
      <c r="W94" s="100" t="s">
        <v>168</v>
      </c>
      <c r="X94" s="100" t="s">
        <v>169</v>
      </c>
      <c r="Y94" s="101" t="s">
        <v>170</v>
      </c>
      <c r="Z94" s="101" t="s">
        <v>171</v>
      </c>
      <c r="AA94" s="101" t="s">
        <v>50</v>
      </c>
      <c r="AB94" s="101" t="s">
        <v>172</v>
      </c>
      <c r="AC94" s="102" t="s">
        <v>173</v>
      </c>
    </row>
    <row r="95" spans="1:29" ht="25.5" customHeight="1" x14ac:dyDescent="0.35">
      <c r="A95" s="392"/>
      <c r="B95" s="393"/>
      <c r="C95" s="99" t="str">
        <f>IF(B95="","",IF(NOT(ISNUMBER(B95)),"DATA_PC invalida",IF(NOT(ISNUMBER(parametros!$C$2)),"Fora dos ciclos",IF(OR(B95&lt;parametros!$C$2,(YEAR(B95)-YEAR(parametros!$C$2))*12+MONTH(B95)-MONTH(parametros!$C$2)&gt;59),"Fora dos ciclos","C"&amp;INT(((YEAR(B95)-YEAR(parametros!$C$2))*12+MONTH(B95)-MONTH(parametros!$C$2))/12)))))</f>
        <v/>
      </c>
      <c r="D95" s="394"/>
      <c r="E95" s="78" t="str">
        <f>IF(C95="","",IFERROR(VLOOKUP(C95,parametros!$A$11:$E$15,5,0),""))</f>
        <v/>
      </c>
      <c r="F95" s="79" t="str">
        <f t="shared" si="7"/>
        <v/>
      </c>
      <c r="G95" s="395"/>
      <c r="H95" s="91">
        <f t="shared" si="8"/>
        <v>0</v>
      </c>
      <c r="I95" s="91" t="str">
        <f t="shared" si="9"/>
        <v/>
      </c>
      <c r="J95" s="91" t="str">
        <f t="shared" si="10"/>
        <v/>
      </c>
      <c r="K95" s="92" t="str">
        <f>IF(AND(A95="",B95="",D95="",G95=""),"",IF(AND(A95&lt;&gt;"",COUNTIF($A$2:$A$5001,A95)&gt;1),"NUMERO_PC duplicado",IF(B95="","DATA_PC vazia",IF(NOT(ISNUMBER(B95)),"DATA_PC invalida",IF(OR(C95="",C95="Fora dos ciclos"),"CICLO_PC nao identificado",IF(OR(D95="",D95=0),"VALOR_PC vazio ou zero",IF(AND(G95&lt;&gt;"Sim",G95&lt;&gt;"Nao",G95&lt;&gt;""),"PC_PAGO_A_CONTRATADA invalido",IF(AND(C95&lt;&gt;"C0",IFERROR(INDEX(parametros!$A$2:$A$6,MATCH(C95,parametros!$B$2:$B$6,0)),"")="Sim",IFERROR(INDEX(parametros!$H$2:$H$6,MATCH(C95,parametros!$B$2:$B$6,0)),"")=""),"INICIO_EFEITO ausente: PC "&amp;A95&amp;" - "&amp;C95,IF(L95="","EFEITO_PC nao calculado: PC "&amp;A95&amp;" - "&amp;C95,"OK")))))))))</f>
        <v/>
      </c>
      <c r="L95" s="92" t="str">
        <f>IF(AND(A95="",B95="",D95="",G95=""),"",IF(OR(B95="",NOT(ISNUMBER(B95)),C95="",C95="Fora dos ciclos"),"",IF(C95="C0","Nao",IF(IFERROR(INDEX(parametros!$A$2:$A$6,MATCH(C95,parametros!$B$2:$B$6,0)),"")&lt;&gt;"Sim","Nao",IF(IFERROR(INDEX(parametros!$H$2:$H$6,MATCH(C95,parametros!$B$2:$B$6,0)),"")="","",IF(B95&gt;=IFERROR(INDEX(parametros!$H$2:$H$6,MATCH(C95,parametros!$B$2:$B$6,0)),""),"Sim","Nao"))))))</f>
        <v/>
      </c>
      <c r="M95" s="14"/>
      <c r="N95" s="14"/>
      <c r="O95" s="14"/>
      <c r="P95" s="14"/>
      <c r="Q95" s="14"/>
      <c r="R95" s="14"/>
      <c r="S95" s="14"/>
      <c r="T95" s="211"/>
      <c r="U95" s="214" t="str">
        <f t="shared" si="11"/>
        <v/>
      </c>
      <c r="V95" s="212" t="s">
        <v>50</v>
      </c>
      <c r="W95" s="100" t="s">
        <v>168</v>
      </c>
      <c r="X95" s="100" t="s">
        <v>169</v>
      </c>
      <c r="Y95" s="101" t="s">
        <v>170</v>
      </c>
      <c r="Z95" s="101" t="s">
        <v>171</v>
      </c>
      <c r="AA95" s="101" t="s">
        <v>50</v>
      </c>
      <c r="AB95" s="101" t="s">
        <v>172</v>
      </c>
      <c r="AC95" s="102" t="s">
        <v>173</v>
      </c>
    </row>
    <row r="96" spans="1:29" ht="25.5" customHeight="1" x14ac:dyDescent="0.35">
      <c r="A96" s="392"/>
      <c r="B96" s="393"/>
      <c r="C96" s="99" t="str">
        <f>IF(B96="","",IF(NOT(ISNUMBER(B96)),"DATA_PC invalida",IF(NOT(ISNUMBER(parametros!$C$2)),"Fora dos ciclos",IF(OR(B96&lt;parametros!$C$2,(YEAR(B96)-YEAR(parametros!$C$2))*12+MONTH(B96)-MONTH(parametros!$C$2)&gt;59),"Fora dos ciclos","C"&amp;INT(((YEAR(B96)-YEAR(parametros!$C$2))*12+MONTH(B96)-MONTH(parametros!$C$2))/12)))))</f>
        <v/>
      </c>
      <c r="D96" s="394"/>
      <c r="E96" s="78" t="str">
        <f>IF(C96="","",IFERROR(VLOOKUP(C96,parametros!$A$11:$E$15,5,0),""))</f>
        <v/>
      </c>
      <c r="F96" s="79" t="str">
        <f t="shared" si="7"/>
        <v/>
      </c>
      <c r="G96" s="395"/>
      <c r="H96" s="91">
        <f t="shared" si="8"/>
        <v>0</v>
      </c>
      <c r="I96" s="91" t="str">
        <f t="shared" si="9"/>
        <v/>
      </c>
      <c r="J96" s="91" t="str">
        <f t="shared" si="10"/>
        <v/>
      </c>
      <c r="K96" s="92" t="str">
        <f>IF(AND(A96="",B96="",D96="",G96=""),"",IF(AND(A96&lt;&gt;"",COUNTIF($A$2:$A$5001,A96)&gt;1),"NUMERO_PC duplicado",IF(B96="","DATA_PC vazia",IF(NOT(ISNUMBER(B96)),"DATA_PC invalida",IF(OR(C96="",C96="Fora dos ciclos"),"CICLO_PC nao identificado",IF(OR(D96="",D96=0),"VALOR_PC vazio ou zero",IF(AND(G96&lt;&gt;"Sim",G96&lt;&gt;"Nao",G96&lt;&gt;""),"PC_PAGO_A_CONTRATADA invalido",IF(AND(C96&lt;&gt;"C0",IFERROR(INDEX(parametros!$A$2:$A$6,MATCH(C96,parametros!$B$2:$B$6,0)),"")="Sim",IFERROR(INDEX(parametros!$H$2:$H$6,MATCH(C96,parametros!$B$2:$B$6,0)),"")=""),"INICIO_EFEITO ausente: PC "&amp;A96&amp;" - "&amp;C96,IF(L96="","EFEITO_PC nao calculado: PC "&amp;A96&amp;" - "&amp;C96,"OK")))))))))</f>
        <v/>
      </c>
      <c r="L96" s="92" t="str">
        <f>IF(AND(A96="",B96="",D96="",G96=""),"",IF(OR(B96="",NOT(ISNUMBER(B96)),C96="",C96="Fora dos ciclos"),"",IF(C96="C0","Nao",IF(IFERROR(INDEX(parametros!$A$2:$A$6,MATCH(C96,parametros!$B$2:$B$6,0)),"")&lt;&gt;"Sim","Nao",IF(IFERROR(INDEX(parametros!$H$2:$H$6,MATCH(C96,parametros!$B$2:$B$6,0)),"")="","",IF(B96&gt;=IFERROR(INDEX(parametros!$H$2:$H$6,MATCH(C96,parametros!$B$2:$B$6,0)),""),"Sim","Nao"))))))</f>
        <v/>
      </c>
      <c r="M96" s="14"/>
      <c r="N96" s="14"/>
      <c r="O96" s="14"/>
      <c r="P96" s="14"/>
      <c r="Q96" s="14"/>
      <c r="R96" s="14"/>
      <c r="S96" s="14"/>
      <c r="T96" s="211"/>
      <c r="U96" s="214" t="str">
        <f t="shared" si="11"/>
        <v/>
      </c>
      <c r="V96" s="212" t="s">
        <v>50</v>
      </c>
      <c r="W96" s="100" t="s">
        <v>168</v>
      </c>
      <c r="X96" s="100" t="s">
        <v>169</v>
      </c>
      <c r="Y96" s="101" t="s">
        <v>170</v>
      </c>
      <c r="Z96" s="101" t="s">
        <v>171</v>
      </c>
      <c r="AA96" s="101" t="s">
        <v>50</v>
      </c>
      <c r="AB96" s="101" t="s">
        <v>172</v>
      </c>
      <c r="AC96" s="102" t="s">
        <v>173</v>
      </c>
    </row>
    <row r="97" spans="1:29" ht="25.5" customHeight="1" x14ac:dyDescent="0.35">
      <c r="A97" s="392"/>
      <c r="B97" s="393"/>
      <c r="C97" s="99" t="str">
        <f>IF(B97="","",IF(NOT(ISNUMBER(B97)),"DATA_PC invalida",IF(NOT(ISNUMBER(parametros!$C$2)),"Fora dos ciclos",IF(OR(B97&lt;parametros!$C$2,(YEAR(B97)-YEAR(parametros!$C$2))*12+MONTH(B97)-MONTH(parametros!$C$2)&gt;59),"Fora dos ciclos","C"&amp;INT(((YEAR(B97)-YEAR(parametros!$C$2))*12+MONTH(B97)-MONTH(parametros!$C$2))/12)))))</f>
        <v/>
      </c>
      <c r="D97" s="394"/>
      <c r="E97" s="78" t="str">
        <f>IF(C97="","",IFERROR(VLOOKUP(C97,parametros!$A$11:$E$15,5,0),""))</f>
        <v/>
      </c>
      <c r="F97" s="79" t="str">
        <f t="shared" si="7"/>
        <v/>
      </c>
      <c r="G97" s="395"/>
      <c r="H97" s="91">
        <f t="shared" si="8"/>
        <v>0</v>
      </c>
      <c r="I97" s="91" t="str">
        <f t="shared" si="9"/>
        <v/>
      </c>
      <c r="J97" s="91" t="str">
        <f t="shared" si="10"/>
        <v/>
      </c>
      <c r="K97" s="92" t="str">
        <f>IF(AND(A97="",B97="",D97="",G97=""),"",IF(AND(A97&lt;&gt;"",COUNTIF($A$2:$A$5001,A97)&gt;1),"NUMERO_PC duplicado",IF(B97="","DATA_PC vazia",IF(NOT(ISNUMBER(B97)),"DATA_PC invalida",IF(OR(C97="",C97="Fora dos ciclos"),"CICLO_PC nao identificado",IF(OR(D97="",D97=0),"VALOR_PC vazio ou zero",IF(AND(G97&lt;&gt;"Sim",G97&lt;&gt;"Nao",G97&lt;&gt;""),"PC_PAGO_A_CONTRATADA invalido",IF(AND(C97&lt;&gt;"C0",IFERROR(INDEX(parametros!$A$2:$A$6,MATCH(C97,parametros!$B$2:$B$6,0)),"")="Sim",IFERROR(INDEX(parametros!$H$2:$H$6,MATCH(C97,parametros!$B$2:$B$6,0)),"")=""),"INICIO_EFEITO ausente: PC "&amp;A97&amp;" - "&amp;C97,IF(L97="","EFEITO_PC nao calculado: PC "&amp;A97&amp;" - "&amp;C97,"OK")))))))))</f>
        <v/>
      </c>
      <c r="L97" s="92" t="str">
        <f>IF(AND(A97="",B97="",D97="",G97=""),"",IF(OR(B97="",NOT(ISNUMBER(B97)),C97="",C97="Fora dos ciclos"),"",IF(C97="C0","Nao",IF(IFERROR(INDEX(parametros!$A$2:$A$6,MATCH(C97,parametros!$B$2:$B$6,0)),"")&lt;&gt;"Sim","Nao",IF(IFERROR(INDEX(parametros!$H$2:$H$6,MATCH(C97,parametros!$B$2:$B$6,0)),"")="","",IF(B97&gt;=IFERROR(INDEX(parametros!$H$2:$H$6,MATCH(C97,parametros!$B$2:$B$6,0)),""),"Sim","Nao"))))))</f>
        <v/>
      </c>
      <c r="M97" s="14"/>
      <c r="N97" s="14"/>
      <c r="O97" s="14"/>
      <c r="P97" s="14"/>
      <c r="Q97" s="14"/>
      <c r="R97" s="14"/>
      <c r="S97" s="14"/>
      <c r="T97" s="211"/>
      <c r="U97" s="214" t="str">
        <f t="shared" si="11"/>
        <v/>
      </c>
      <c r="V97" s="212" t="s">
        <v>50</v>
      </c>
      <c r="W97" s="100" t="s">
        <v>168</v>
      </c>
      <c r="X97" s="100" t="s">
        <v>169</v>
      </c>
      <c r="Y97" s="101" t="s">
        <v>170</v>
      </c>
      <c r="Z97" s="101" t="s">
        <v>171</v>
      </c>
      <c r="AA97" s="101" t="s">
        <v>50</v>
      </c>
      <c r="AB97" s="101" t="s">
        <v>172</v>
      </c>
      <c r="AC97" s="102" t="s">
        <v>173</v>
      </c>
    </row>
    <row r="98" spans="1:29" ht="25.5" customHeight="1" x14ac:dyDescent="0.35">
      <c r="A98" s="392"/>
      <c r="B98" s="393"/>
      <c r="C98" s="99" t="str">
        <f>IF(B98="","",IF(NOT(ISNUMBER(B98)),"DATA_PC invalida",IF(NOT(ISNUMBER(parametros!$C$2)),"Fora dos ciclos",IF(OR(B98&lt;parametros!$C$2,(YEAR(B98)-YEAR(parametros!$C$2))*12+MONTH(B98)-MONTH(parametros!$C$2)&gt;59),"Fora dos ciclos","C"&amp;INT(((YEAR(B98)-YEAR(parametros!$C$2))*12+MONTH(B98)-MONTH(parametros!$C$2))/12)))))</f>
        <v/>
      </c>
      <c r="D98" s="394"/>
      <c r="E98" s="78" t="str">
        <f>IF(C98="","",IFERROR(VLOOKUP(C98,parametros!$A$11:$E$15,5,0),""))</f>
        <v/>
      </c>
      <c r="F98" s="79" t="str">
        <f t="shared" si="7"/>
        <v/>
      </c>
      <c r="G98" s="395"/>
      <c r="H98" s="91">
        <f t="shared" si="8"/>
        <v>0</v>
      </c>
      <c r="I98" s="91" t="str">
        <f t="shared" si="9"/>
        <v/>
      </c>
      <c r="J98" s="91" t="str">
        <f t="shared" si="10"/>
        <v/>
      </c>
      <c r="K98" s="92" t="str">
        <f>IF(AND(A98="",B98="",D98="",G98=""),"",IF(AND(A98&lt;&gt;"",COUNTIF($A$2:$A$5001,A98)&gt;1),"NUMERO_PC duplicado",IF(B98="","DATA_PC vazia",IF(NOT(ISNUMBER(B98)),"DATA_PC invalida",IF(OR(C98="",C98="Fora dos ciclos"),"CICLO_PC nao identificado",IF(OR(D98="",D98=0),"VALOR_PC vazio ou zero",IF(AND(G98&lt;&gt;"Sim",G98&lt;&gt;"Nao",G98&lt;&gt;""),"PC_PAGO_A_CONTRATADA invalido",IF(AND(C98&lt;&gt;"C0",IFERROR(INDEX(parametros!$A$2:$A$6,MATCH(C98,parametros!$B$2:$B$6,0)),"")="Sim",IFERROR(INDEX(parametros!$H$2:$H$6,MATCH(C98,parametros!$B$2:$B$6,0)),"")=""),"INICIO_EFEITO ausente: PC "&amp;A98&amp;" - "&amp;C98,IF(L98="","EFEITO_PC nao calculado: PC "&amp;A98&amp;" - "&amp;C98,"OK")))))))))</f>
        <v/>
      </c>
      <c r="L98" s="92" t="str">
        <f>IF(AND(A98="",B98="",D98="",G98=""),"",IF(OR(B98="",NOT(ISNUMBER(B98)),C98="",C98="Fora dos ciclos"),"",IF(C98="C0","Nao",IF(IFERROR(INDEX(parametros!$A$2:$A$6,MATCH(C98,parametros!$B$2:$B$6,0)),"")&lt;&gt;"Sim","Nao",IF(IFERROR(INDEX(parametros!$H$2:$H$6,MATCH(C98,parametros!$B$2:$B$6,0)),"")="","",IF(B98&gt;=IFERROR(INDEX(parametros!$H$2:$H$6,MATCH(C98,parametros!$B$2:$B$6,0)),""),"Sim","Nao"))))))</f>
        <v/>
      </c>
      <c r="M98" s="14"/>
      <c r="N98" s="14"/>
      <c r="O98" s="14"/>
      <c r="P98" s="14"/>
      <c r="Q98" s="14"/>
      <c r="R98" s="14"/>
      <c r="S98" s="14"/>
      <c r="T98" s="211"/>
      <c r="U98" s="214" t="str">
        <f t="shared" si="11"/>
        <v/>
      </c>
      <c r="V98" s="212" t="s">
        <v>50</v>
      </c>
      <c r="W98" s="100" t="s">
        <v>168</v>
      </c>
      <c r="X98" s="100" t="s">
        <v>169</v>
      </c>
      <c r="Y98" s="101" t="s">
        <v>170</v>
      </c>
      <c r="Z98" s="101" t="s">
        <v>171</v>
      </c>
      <c r="AA98" s="101" t="s">
        <v>50</v>
      </c>
      <c r="AB98" s="101" t="s">
        <v>172</v>
      </c>
      <c r="AC98" s="102" t="s">
        <v>173</v>
      </c>
    </row>
    <row r="99" spans="1:29" ht="25.5" customHeight="1" x14ac:dyDescent="0.35">
      <c r="A99" s="392"/>
      <c r="B99" s="393"/>
      <c r="C99" s="99" t="str">
        <f>IF(B99="","",IF(NOT(ISNUMBER(B99)),"DATA_PC invalida",IF(NOT(ISNUMBER(parametros!$C$2)),"Fora dos ciclos",IF(OR(B99&lt;parametros!$C$2,(YEAR(B99)-YEAR(parametros!$C$2))*12+MONTH(B99)-MONTH(parametros!$C$2)&gt;59),"Fora dos ciclos","C"&amp;INT(((YEAR(B99)-YEAR(parametros!$C$2))*12+MONTH(B99)-MONTH(parametros!$C$2))/12)))))</f>
        <v/>
      </c>
      <c r="D99" s="394"/>
      <c r="E99" s="78" t="str">
        <f>IF(C99="","",IFERROR(VLOOKUP(C99,parametros!$A$11:$E$15,5,0),""))</f>
        <v/>
      </c>
      <c r="F99" s="79" t="str">
        <f t="shared" si="7"/>
        <v/>
      </c>
      <c r="G99" s="395"/>
      <c r="H99" s="91">
        <f t="shared" si="8"/>
        <v>0</v>
      </c>
      <c r="I99" s="91" t="str">
        <f t="shared" si="9"/>
        <v/>
      </c>
      <c r="J99" s="91" t="str">
        <f t="shared" si="10"/>
        <v/>
      </c>
      <c r="K99" s="92" t="str">
        <f>IF(AND(A99="",B99="",D99="",G99=""),"",IF(AND(A99&lt;&gt;"",COUNTIF($A$2:$A$5001,A99)&gt;1),"NUMERO_PC duplicado",IF(B99="","DATA_PC vazia",IF(NOT(ISNUMBER(B99)),"DATA_PC invalida",IF(OR(C99="",C99="Fora dos ciclos"),"CICLO_PC nao identificado",IF(OR(D99="",D99=0),"VALOR_PC vazio ou zero",IF(AND(G99&lt;&gt;"Sim",G99&lt;&gt;"Nao",G99&lt;&gt;""),"PC_PAGO_A_CONTRATADA invalido",IF(AND(C99&lt;&gt;"C0",IFERROR(INDEX(parametros!$A$2:$A$6,MATCH(C99,parametros!$B$2:$B$6,0)),"")="Sim",IFERROR(INDEX(parametros!$H$2:$H$6,MATCH(C99,parametros!$B$2:$B$6,0)),"")=""),"INICIO_EFEITO ausente: PC "&amp;A99&amp;" - "&amp;C99,IF(L99="","EFEITO_PC nao calculado: PC "&amp;A99&amp;" - "&amp;C99,"OK")))))))))</f>
        <v/>
      </c>
      <c r="L99" s="92" t="str">
        <f>IF(AND(A99="",B99="",D99="",G99=""),"",IF(OR(B99="",NOT(ISNUMBER(B99)),C99="",C99="Fora dos ciclos"),"",IF(C99="C0","Nao",IF(IFERROR(INDEX(parametros!$A$2:$A$6,MATCH(C99,parametros!$B$2:$B$6,0)),"")&lt;&gt;"Sim","Nao",IF(IFERROR(INDEX(parametros!$H$2:$H$6,MATCH(C99,parametros!$B$2:$B$6,0)),"")="","",IF(B99&gt;=IFERROR(INDEX(parametros!$H$2:$H$6,MATCH(C99,parametros!$B$2:$B$6,0)),""),"Sim","Nao"))))))</f>
        <v/>
      </c>
      <c r="M99" s="14"/>
      <c r="N99" s="14"/>
      <c r="O99" s="14"/>
      <c r="P99" s="14"/>
      <c r="Q99" s="14"/>
      <c r="R99" s="14"/>
      <c r="S99" s="14"/>
      <c r="T99" s="211"/>
      <c r="U99" s="214" t="str">
        <f t="shared" si="11"/>
        <v/>
      </c>
      <c r="V99" s="212" t="s">
        <v>50</v>
      </c>
      <c r="W99" s="100" t="s">
        <v>168</v>
      </c>
      <c r="X99" s="100" t="s">
        <v>169</v>
      </c>
      <c r="Y99" s="101" t="s">
        <v>170</v>
      </c>
      <c r="Z99" s="101" t="s">
        <v>171</v>
      </c>
      <c r="AA99" s="101" t="s">
        <v>50</v>
      </c>
      <c r="AB99" s="101" t="s">
        <v>172</v>
      </c>
      <c r="AC99" s="102" t="s">
        <v>173</v>
      </c>
    </row>
    <row r="100" spans="1:29" ht="25.5" customHeight="1" x14ac:dyDescent="0.35">
      <c r="A100" s="392"/>
      <c r="B100" s="393"/>
      <c r="C100" s="99" t="str">
        <f>IF(B100="","",IF(NOT(ISNUMBER(B100)),"DATA_PC invalida",IF(NOT(ISNUMBER(parametros!$C$2)),"Fora dos ciclos",IF(OR(B100&lt;parametros!$C$2,(YEAR(B100)-YEAR(parametros!$C$2))*12+MONTH(B100)-MONTH(parametros!$C$2)&gt;59),"Fora dos ciclos","C"&amp;INT(((YEAR(B100)-YEAR(parametros!$C$2))*12+MONTH(B100)-MONTH(parametros!$C$2))/12)))))</f>
        <v/>
      </c>
      <c r="D100" s="394"/>
      <c r="E100" s="78" t="str">
        <f>IF(C100="","",IFERROR(VLOOKUP(C100,parametros!$A$11:$E$15,5,0),""))</f>
        <v/>
      </c>
      <c r="F100" s="79" t="str">
        <f t="shared" si="7"/>
        <v/>
      </c>
      <c r="G100" s="395"/>
      <c r="H100" s="91">
        <f t="shared" si="8"/>
        <v>0</v>
      </c>
      <c r="I100" s="91" t="str">
        <f t="shared" si="9"/>
        <v/>
      </c>
      <c r="J100" s="91" t="str">
        <f t="shared" si="10"/>
        <v/>
      </c>
      <c r="K100" s="92" t="str">
        <f>IF(AND(A100="",B100="",D100="",G100=""),"",IF(AND(A100&lt;&gt;"",COUNTIF($A$2:$A$5001,A100)&gt;1),"NUMERO_PC duplicado",IF(B100="","DATA_PC vazia",IF(NOT(ISNUMBER(B100)),"DATA_PC invalida",IF(OR(C100="",C100="Fora dos ciclos"),"CICLO_PC nao identificado",IF(OR(D100="",D100=0),"VALOR_PC vazio ou zero",IF(AND(G100&lt;&gt;"Sim",G100&lt;&gt;"Nao",G100&lt;&gt;""),"PC_PAGO_A_CONTRATADA invalido",IF(AND(C100&lt;&gt;"C0",IFERROR(INDEX(parametros!$A$2:$A$6,MATCH(C100,parametros!$B$2:$B$6,0)),"")="Sim",IFERROR(INDEX(parametros!$H$2:$H$6,MATCH(C100,parametros!$B$2:$B$6,0)),"")=""),"INICIO_EFEITO ausente: PC "&amp;A100&amp;" - "&amp;C100,IF(L100="","EFEITO_PC nao calculado: PC "&amp;A100&amp;" - "&amp;C100,"OK")))))))))</f>
        <v/>
      </c>
      <c r="L100" s="92" t="str">
        <f>IF(AND(A100="",B100="",D100="",G100=""),"",IF(OR(B100="",NOT(ISNUMBER(B100)),C100="",C100="Fora dos ciclos"),"",IF(C100="C0","Nao",IF(IFERROR(INDEX(parametros!$A$2:$A$6,MATCH(C100,parametros!$B$2:$B$6,0)),"")&lt;&gt;"Sim","Nao",IF(IFERROR(INDEX(parametros!$H$2:$H$6,MATCH(C100,parametros!$B$2:$B$6,0)),"")="","",IF(B100&gt;=IFERROR(INDEX(parametros!$H$2:$H$6,MATCH(C100,parametros!$B$2:$B$6,0)),""),"Sim","Nao"))))))</f>
        <v/>
      </c>
      <c r="M100" s="14"/>
      <c r="N100" s="14"/>
      <c r="O100" s="14"/>
      <c r="P100" s="14"/>
      <c r="Q100" s="14"/>
      <c r="R100" s="14"/>
      <c r="S100" s="14"/>
      <c r="T100" s="211"/>
      <c r="U100" s="214" t="str">
        <f t="shared" si="11"/>
        <v/>
      </c>
      <c r="V100" s="212" t="s">
        <v>50</v>
      </c>
      <c r="W100" s="100" t="s">
        <v>168</v>
      </c>
      <c r="X100" s="100" t="s">
        <v>169</v>
      </c>
      <c r="Y100" s="101" t="s">
        <v>170</v>
      </c>
      <c r="Z100" s="101" t="s">
        <v>171</v>
      </c>
      <c r="AA100" s="101" t="s">
        <v>50</v>
      </c>
      <c r="AB100" s="101" t="s">
        <v>172</v>
      </c>
      <c r="AC100" s="102" t="s">
        <v>173</v>
      </c>
    </row>
    <row r="101" spans="1:29" ht="25.5" customHeight="1" x14ac:dyDescent="0.35">
      <c r="A101" s="392"/>
      <c r="B101" s="393"/>
      <c r="C101" s="99" t="str">
        <f>IF(B101="","",IF(NOT(ISNUMBER(B101)),"DATA_PC invalida",IF(NOT(ISNUMBER(parametros!$C$2)),"Fora dos ciclos",IF(OR(B101&lt;parametros!$C$2,(YEAR(B101)-YEAR(parametros!$C$2))*12+MONTH(B101)-MONTH(parametros!$C$2)&gt;59),"Fora dos ciclos","C"&amp;INT(((YEAR(B101)-YEAR(parametros!$C$2))*12+MONTH(B101)-MONTH(parametros!$C$2))/12)))))</f>
        <v/>
      </c>
      <c r="D101" s="394"/>
      <c r="E101" s="78" t="str">
        <f>IF(C101="","",IFERROR(VLOOKUP(C101,parametros!$A$11:$E$15,5,0),""))</f>
        <v/>
      </c>
      <c r="F101" s="79" t="str">
        <f t="shared" si="7"/>
        <v/>
      </c>
      <c r="G101" s="395"/>
      <c r="H101" s="91">
        <f t="shared" si="8"/>
        <v>0</v>
      </c>
      <c r="I101" s="91" t="str">
        <f t="shared" si="9"/>
        <v/>
      </c>
      <c r="J101" s="91" t="str">
        <f t="shared" si="10"/>
        <v/>
      </c>
      <c r="K101" s="92" t="str">
        <f>IF(AND(A101="",B101="",D101="",G101=""),"",IF(AND(A101&lt;&gt;"",COUNTIF($A$2:$A$5001,A101)&gt;1),"NUMERO_PC duplicado",IF(B101="","DATA_PC vazia",IF(NOT(ISNUMBER(B101)),"DATA_PC invalida",IF(OR(C101="",C101="Fora dos ciclos"),"CICLO_PC nao identificado",IF(OR(D101="",D101=0),"VALOR_PC vazio ou zero",IF(AND(G101&lt;&gt;"Sim",G101&lt;&gt;"Nao",G101&lt;&gt;""),"PC_PAGO_A_CONTRATADA invalido",IF(AND(C101&lt;&gt;"C0",IFERROR(INDEX(parametros!$A$2:$A$6,MATCH(C101,parametros!$B$2:$B$6,0)),"")="Sim",IFERROR(INDEX(parametros!$H$2:$H$6,MATCH(C101,parametros!$B$2:$B$6,0)),"")=""),"INICIO_EFEITO ausente: PC "&amp;A101&amp;" - "&amp;C101,IF(L101="","EFEITO_PC nao calculado: PC "&amp;A101&amp;" - "&amp;C101,"OK")))))))))</f>
        <v/>
      </c>
      <c r="L101" s="92" t="str">
        <f>IF(AND(A101="",B101="",D101="",G101=""),"",IF(OR(B101="",NOT(ISNUMBER(B101)),C101="",C101="Fora dos ciclos"),"",IF(C101="C0","Nao",IF(IFERROR(INDEX(parametros!$A$2:$A$6,MATCH(C101,parametros!$B$2:$B$6,0)),"")&lt;&gt;"Sim","Nao",IF(IFERROR(INDEX(parametros!$H$2:$H$6,MATCH(C101,parametros!$B$2:$B$6,0)),"")="","",IF(B101&gt;=IFERROR(INDEX(parametros!$H$2:$H$6,MATCH(C101,parametros!$B$2:$B$6,0)),""),"Sim","Nao"))))))</f>
        <v/>
      </c>
      <c r="M101" s="13"/>
      <c r="N101" s="13"/>
      <c r="O101" s="13"/>
      <c r="P101" s="13"/>
      <c r="Q101" s="13"/>
      <c r="R101" s="13"/>
      <c r="S101" s="13"/>
      <c r="T101" s="13"/>
      <c r="U101" s="214" t="str">
        <f t="shared" si="11"/>
        <v/>
      </c>
      <c r="V101" s="212" t="s">
        <v>50</v>
      </c>
      <c r="W101" s="100" t="s">
        <v>168</v>
      </c>
      <c r="X101" s="100" t="s">
        <v>169</v>
      </c>
      <c r="Y101" s="101" t="s">
        <v>170</v>
      </c>
      <c r="Z101" s="101" t="s">
        <v>171</v>
      </c>
      <c r="AA101" s="101" t="s">
        <v>50</v>
      </c>
      <c r="AB101" s="101" t="s">
        <v>172</v>
      </c>
      <c r="AC101" s="102" t="s">
        <v>173</v>
      </c>
    </row>
    <row r="102" spans="1:29" ht="25.5" customHeight="1" x14ac:dyDescent="0.35">
      <c r="A102" s="392"/>
      <c r="B102" s="393"/>
      <c r="C102" s="99" t="str">
        <f>IF(B102="","",IF(NOT(ISNUMBER(B102)),"DATA_PC invalida",IF(NOT(ISNUMBER(parametros!$C$2)),"Fora dos ciclos",IF(OR(B102&lt;parametros!$C$2,(YEAR(B102)-YEAR(parametros!$C$2))*12+MONTH(B102)-MONTH(parametros!$C$2)&gt;59),"Fora dos ciclos","C"&amp;INT(((YEAR(B102)-YEAR(parametros!$C$2))*12+MONTH(B102)-MONTH(parametros!$C$2))/12)))))</f>
        <v/>
      </c>
      <c r="D102" s="394"/>
      <c r="E102" s="78" t="str">
        <f>IF(C102="","",IFERROR(VLOOKUP(C102,parametros!$A$11:$E$15,5,0),""))</f>
        <v/>
      </c>
      <c r="F102" s="79" t="str">
        <f t="shared" si="7"/>
        <v/>
      </c>
      <c r="G102" s="395"/>
      <c r="H102" s="91">
        <f t="shared" si="8"/>
        <v>0</v>
      </c>
      <c r="I102" s="91" t="str">
        <f t="shared" si="9"/>
        <v/>
      </c>
      <c r="J102" s="91" t="str">
        <f t="shared" si="10"/>
        <v/>
      </c>
      <c r="K102" s="92" t="str">
        <f>IF(AND(A102="",B102="",D102="",G102=""),"",IF(AND(A102&lt;&gt;"",COUNTIF($A$2:$A$5001,A102)&gt;1),"NUMERO_PC duplicado",IF(B102="","DATA_PC vazia",IF(NOT(ISNUMBER(B102)),"DATA_PC invalida",IF(OR(C102="",C102="Fora dos ciclos"),"CICLO_PC nao identificado",IF(OR(D102="",D102=0),"VALOR_PC vazio ou zero",IF(AND(G102&lt;&gt;"Sim",G102&lt;&gt;"Nao",G102&lt;&gt;""),"PC_PAGO_A_CONTRATADA invalido",IF(AND(C102&lt;&gt;"C0",IFERROR(INDEX(parametros!$A$2:$A$6,MATCH(C102,parametros!$B$2:$B$6,0)),"")="Sim",IFERROR(INDEX(parametros!$H$2:$H$6,MATCH(C102,parametros!$B$2:$B$6,0)),"")=""),"INICIO_EFEITO ausente: PC "&amp;A102&amp;" - "&amp;C102,IF(L102="","EFEITO_PC nao calculado: PC "&amp;A102&amp;" - "&amp;C102,"OK")))))))))</f>
        <v/>
      </c>
      <c r="L102" s="92" t="str">
        <f>IF(AND(A102="",B102="",D102="",G102=""),"",IF(OR(B102="",NOT(ISNUMBER(B102)),C102="",C102="Fora dos ciclos"),"",IF(C102="C0","Nao",IF(IFERROR(INDEX(parametros!$A$2:$A$6,MATCH(C102,parametros!$B$2:$B$6,0)),"")&lt;&gt;"Sim","Nao",IF(IFERROR(INDEX(parametros!$H$2:$H$6,MATCH(C102,parametros!$B$2:$B$6,0)),"")="","",IF(B102&gt;=IFERROR(INDEX(parametros!$H$2:$H$6,MATCH(C102,parametros!$B$2:$B$6,0)),""),"Sim","Nao"))))))</f>
        <v/>
      </c>
      <c r="M102" s="13"/>
      <c r="N102" s="13"/>
      <c r="O102" s="13"/>
      <c r="P102" s="13"/>
      <c r="Q102" s="13"/>
      <c r="R102" s="13"/>
      <c r="S102" s="13"/>
      <c r="T102" s="13"/>
      <c r="U102" s="214" t="str">
        <f t="shared" si="11"/>
        <v/>
      </c>
      <c r="V102" s="212" t="s">
        <v>50</v>
      </c>
      <c r="W102" s="100" t="s">
        <v>168</v>
      </c>
      <c r="X102" s="100" t="s">
        <v>169</v>
      </c>
      <c r="Y102" s="101" t="s">
        <v>170</v>
      </c>
      <c r="Z102" s="101" t="s">
        <v>171</v>
      </c>
      <c r="AA102" s="101" t="s">
        <v>50</v>
      </c>
      <c r="AB102" s="101" t="s">
        <v>172</v>
      </c>
      <c r="AC102" s="102" t="s">
        <v>173</v>
      </c>
    </row>
    <row r="103" spans="1:29" ht="25.5" customHeight="1" x14ac:dyDescent="0.35">
      <c r="A103" s="392"/>
      <c r="B103" s="393"/>
      <c r="C103" s="99" t="str">
        <f>IF(B103="","",IF(NOT(ISNUMBER(B103)),"DATA_PC invalida",IF(NOT(ISNUMBER(parametros!$C$2)),"Fora dos ciclos",IF(OR(B103&lt;parametros!$C$2,(YEAR(B103)-YEAR(parametros!$C$2))*12+MONTH(B103)-MONTH(parametros!$C$2)&gt;59),"Fora dos ciclos","C"&amp;INT(((YEAR(B103)-YEAR(parametros!$C$2))*12+MONTH(B103)-MONTH(parametros!$C$2))/12)))))</f>
        <v/>
      </c>
      <c r="D103" s="394"/>
      <c r="E103" s="78" t="str">
        <f>IF(C103="","",IFERROR(VLOOKUP(C103,parametros!$A$11:$E$15,5,0),""))</f>
        <v/>
      </c>
      <c r="F103" s="79" t="str">
        <f t="shared" si="7"/>
        <v/>
      </c>
      <c r="G103" s="395"/>
      <c r="H103" s="91">
        <f t="shared" si="8"/>
        <v>0</v>
      </c>
      <c r="I103" s="91" t="str">
        <f t="shared" si="9"/>
        <v/>
      </c>
      <c r="J103" s="91" t="str">
        <f t="shared" si="10"/>
        <v/>
      </c>
      <c r="K103" s="92" t="str">
        <f>IF(AND(A103="",B103="",D103="",G103=""),"",IF(AND(A103&lt;&gt;"",COUNTIF($A$2:$A$5001,A103)&gt;1),"NUMERO_PC duplicado",IF(B103="","DATA_PC vazia",IF(NOT(ISNUMBER(B103)),"DATA_PC invalida",IF(OR(C103="",C103="Fora dos ciclos"),"CICLO_PC nao identificado",IF(OR(D103="",D103=0),"VALOR_PC vazio ou zero",IF(AND(G103&lt;&gt;"Sim",G103&lt;&gt;"Nao",G103&lt;&gt;""),"PC_PAGO_A_CONTRATADA invalido",IF(AND(C103&lt;&gt;"C0",IFERROR(INDEX(parametros!$A$2:$A$6,MATCH(C103,parametros!$B$2:$B$6,0)),"")="Sim",IFERROR(INDEX(parametros!$H$2:$H$6,MATCH(C103,parametros!$B$2:$B$6,0)),"")=""),"INICIO_EFEITO ausente: PC "&amp;A103&amp;" - "&amp;C103,IF(L103="","EFEITO_PC nao calculado: PC "&amp;A103&amp;" - "&amp;C103,"OK")))))))))</f>
        <v/>
      </c>
      <c r="L103" s="92" t="str">
        <f>IF(AND(A103="",B103="",D103="",G103=""),"",IF(OR(B103="",NOT(ISNUMBER(B103)),C103="",C103="Fora dos ciclos"),"",IF(C103="C0","Nao",IF(IFERROR(INDEX(parametros!$A$2:$A$6,MATCH(C103,parametros!$B$2:$B$6,0)),"")&lt;&gt;"Sim","Nao",IF(IFERROR(INDEX(parametros!$H$2:$H$6,MATCH(C103,parametros!$B$2:$B$6,0)),"")="","",IF(B103&gt;=IFERROR(INDEX(parametros!$H$2:$H$6,MATCH(C103,parametros!$B$2:$B$6,0)),""),"Sim","Nao"))))))</f>
        <v/>
      </c>
      <c r="M103" s="13"/>
      <c r="N103" s="13"/>
      <c r="O103" s="13"/>
      <c r="P103" s="13"/>
      <c r="Q103" s="13"/>
      <c r="R103" s="13"/>
      <c r="S103" s="13"/>
      <c r="T103" s="13"/>
      <c r="U103" s="214" t="str">
        <f t="shared" si="11"/>
        <v/>
      </c>
      <c r="V103" s="212" t="s">
        <v>50</v>
      </c>
      <c r="W103" s="100" t="s">
        <v>168</v>
      </c>
      <c r="X103" s="100" t="s">
        <v>169</v>
      </c>
      <c r="Y103" s="101" t="s">
        <v>170</v>
      </c>
      <c r="Z103" s="101" t="s">
        <v>171</v>
      </c>
      <c r="AA103" s="101" t="s">
        <v>50</v>
      </c>
      <c r="AB103" s="101" t="s">
        <v>172</v>
      </c>
      <c r="AC103" s="102" t="s">
        <v>173</v>
      </c>
    </row>
    <row r="104" spans="1:29" ht="25.5" customHeight="1" x14ac:dyDescent="0.35">
      <c r="A104" s="392"/>
      <c r="B104" s="393"/>
      <c r="C104" s="99" t="str">
        <f>IF(B104="","",IF(NOT(ISNUMBER(B104)),"DATA_PC invalida",IF(NOT(ISNUMBER(parametros!$C$2)),"Fora dos ciclos",IF(OR(B104&lt;parametros!$C$2,(YEAR(B104)-YEAR(parametros!$C$2))*12+MONTH(B104)-MONTH(parametros!$C$2)&gt;59),"Fora dos ciclos","C"&amp;INT(((YEAR(B104)-YEAR(parametros!$C$2))*12+MONTH(B104)-MONTH(parametros!$C$2))/12)))))</f>
        <v/>
      </c>
      <c r="D104" s="394"/>
      <c r="E104" s="78" t="str">
        <f>IF(C104="","",IFERROR(VLOOKUP(C104,parametros!$A$11:$E$15,5,0),""))</f>
        <v/>
      </c>
      <c r="F104" s="79" t="str">
        <f t="shared" si="7"/>
        <v/>
      </c>
      <c r="G104" s="395"/>
      <c r="H104" s="91">
        <f t="shared" si="8"/>
        <v>0</v>
      </c>
      <c r="I104" s="91" t="str">
        <f t="shared" si="9"/>
        <v/>
      </c>
      <c r="J104" s="91" t="str">
        <f t="shared" si="10"/>
        <v/>
      </c>
      <c r="K104" s="92" t="str">
        <f>IF(AND(A104="",B104="",D104="",G104=""),"",IF(AND(A104&lt;&gt;"",COUNTIF($A$2:$A$5001,A104)&gt;1),"NUMERO_PC duplicado",IF(B104="","DATA_PC vazia",IF(NOT(ISNUMBER(B104)),"DATA_PC invalida",IF(OR(C104="",C104="Fora dos ciclos"),"CICLO_PC nao identificado",IF(OR(D104="",D104=0),"VALOR_PC vazio ou zero",IF(AND(G104&lt;&gt;"Sim",G104&lt;&gt;"Nao",G104&lt;&gt;""),"PC_PAGO_A_CONTRATADA invalido",IF(AND(C104&lt;&gt;"C0",IFERROR(INDEX(parametros!$A$2:$A$6,MATCH(C104,parametros!$B$2:$B$6,0)),"")="Sim",IFERROR(INDEX(parametros!$H$2:$H$6,MATCH(C104,parametros!$B$2:$B$6,0)),"")=""),"INICIO_EFEITO ausente: PC "&amp;A104&amp;" - "&amp;C104,IF(L104="","EFEITO_PC nao calculado: PC "&amp;A104&amp;" - "&amp;C104,"OK")))))))))</f>
        <v/>
      </c>
      <c r="L104" s="92" t="str">
        <f>IF(AND(A104="",B104="",D104="",G104=""),"",IF(OR(B104="",NOT(ISNUMBER(B104)),C104="",C104="Fora dos ciclos"),"",IF(C104="C0","Nao",IF(IFERROR(INDEX(parametros!$A$2:$A$6,MATCH(C104,parametros!$B$2:$B$6,0)),"")&lt;&gt;"Sim","Nao",IF(IFERROR(INDEX(parametros!$H$2:$H$6,MATCH(C104,parametros!$B$2:$B$6,0)),"")="","",IF(B104&gt;=IFERROR(INDEX(parametros!$H$2:$H$6,MATCH(C104,parametros!$B$2:$B$6,0)),""),"Sim","Nao"))))))</f>
        <v/>
      </c>
      <c r="M104" s="13"/>
      <c r="N104" s="13"/>
      <c r="O104" s="13"/>
      <c r="P104" s="13"/>
      <c r="Q104" s="13"/>
      <c r="R104" s="13"/>
      <c r="S104" s="13"/>
      <c r="T104" s="13"/>
      <c r="U104" s="214" t="str">
        <f t="shared" si="11"/>
        <v/>
      </c>
      <c r="V104" s="212" t="s">
        <v>50</v>
      </c>
      <c r="W104" s="100" t="s">
        <v>168</v>
      </c>
      <c r="X104" s="100" t="s">
        <v>169</v>
      </c>
      <c r="Y104" s="101" t="s">
        <v>170</v>
      </c>
      <c r="Z104" s="101" t="s">
        <v>171</v>
      </c>
      <c r="AA104" s="101" t="s">
        <v>50</v>
      </c>
      <c r="AB104" s="101" t="s">
        <v>172</v>
      </c>
      <c r="AC104" s="102" t="s">
        <v>173</v>
      </c>
    </row>
    <row r="105" spans="1:29" ht="25.5" customHeight="1" x14ac:dyDescent="0.35">
      <c r="A105" s="392"/>
      <c r="B105" s="393"/>
      <c r="C105" s="99" t="str">
        <f>IF(B105="","",IF(NOT(ISNUMBER(B105)),"DATA_PC invalida",IF(NOT(ISNUMBER(parametros!$C$2)),"Fora dos ciclos",IF(OR(B105&lt;parametros!$C$2,(YEAR(B105)-YEAR(parametros!$C$2))*12+MONTH(B105)-MONTH(parametros!$C$2)&gt;59),"Fora dos ciclos","C"&amp;INT(((YEAR(B105)-YEAR(parametros!$C$2))*12+MONTH(B105)-MONTH(parametros!$C$2))/12)))))</f>
        <v/>
      </c>
      <c r="D105" s="394"/>
      <c r="E105" s="78" t="str">
        <f>IF(C105="","",IFERROR(VLOOKUP(C105,parametros!$A$11:$E$15,5,0),""))</f>
        <v/>
      </c>
      <c r="F105" s="79" t="str">
        <f t="shared" si="7"/>
        <v/>
      </c>
      <c r="G105" s="395"/>
      <c r="H105" s="91">
        <f t="shared" si="8"/>
        <v>0</v>
      </c>
      <c r="I105" s="91" t="str">
        <f t="shared" si="9"/>
        <v/>
      </c>
      <c r="J105" s="91" t="str">
        <f t="shared" si="10"/>
        <v/>
      </c>
      <c r="K105" s="92" t="str">
        <f>IF(AND(A105="",B105="",D105="",G105=""),"",IF(AND(A105&lt;&gt;"",COUNTIF($A$2:$A$5001,A105)&gt;1),"NUMERO_PC duplicado",IF(B105="","DATA_PC vazia",IF(NOT(ISNUMBER(B105)),"DATA_PC invalida",IF(OR(C105="",C105="Fora dos ciclos"),"CICLO_PC nao identificado",IF(OR(D105="",D105=0),"VALOR_PC vazio ou zero",IF(AND(G105&lt;&gt;"Sim",G105&lt;&gt;"Nao",G105&lt;&gt;""),"PC_PAGO_A_CONTRATADA invalido",IF(AND(C105&lt;&gt;"C0",IFERROR(INDEX(parametros!$A$2:$A$6,MATCH(C105,parametros!$B$2:$B$6,0)),"")="Sim",IFERROR(INDEX(parametros!$H$2:$H$6,MATCH(C105,parametros!$B$2:$B$6,0)),"")=""),"INICIO_EFEITO ausente: PC "&amp;A105&amp;" - "&amp;C105,IF(L105="","EFEITO_PC nao calculado: PC "&amp;A105&amp;" - "&amp;C105,"OK")))))))))</f>
        <v/>
      </c>
      <c r="L105" s="92" t="str">
        <f>IF(AND(A105="",B105="",D105="",G105=""),"",IF(OR(B105="",NOT(ISNUMBER(B105)),C105="",C105="Fora dos ciclos"),"",IF(C105="C0","Nao",IF(IFERROR(INDEX(parametros!$A$2:$A$6,MATCH(C105,parametros!$B$2:$B$6,0)),"")&lt;&gt;"Sim","Nao",IF(IFERROR(INDEX(parametros!$H$2:$H$6,MATCH(C105,parametros!$B$2:$B$6,0)),"")="","",IF(B105&gt;=IFERROR(INDEX(parametros!$H$2:$H$6,MATCH(C105,parametros!$B$2:$B$6,0)),""),"Sim","Nao"))))))</f>
        <v/>
      </c>
      <c r="M105" s="13"/>
      <c r="N105" s="13"/>
      <c r="O105" s="13"/>
      <c r="P105" s="13"/>
      <c r="Q105" s="13"/>
      <c r="R105" s="13"/>
      <c r="S105" s="13"/>
      <c r="T105" s="13"/>
      <c r="U105" s="214" t="str">
        <f t="shared" si="11"/>
        <v/>
      </c>
      <c r="V105" s="212" t="s">
        <v>50</v>
      </c>
      <c r="W105" s="100" t="s">
        <v>168</v>
      </c>
      <c r="X105" s="100" t="s">
        <v>169</v>
      </c>
      <c r="Y105" s="101" t="s">
        <v>170</v>
      </c>
      <c r="Z105" s="101" t="s">
        <v>171</v>
      </c>
      <c r="AA105" s="101" t="s">
        <v>50</v>
      </c>
      <c r="AB105" s="101" t="s">
        <v>172</v>
      </c>
      <c r="AC105" s="102" t="s">
        <v>173</v>
      </c>
    </row>
    <row r="106" spans="1:29" ht="25.5" customHeight="1" x14ac:dyDescent="0.35">
      <c r="A106" s="392"/>
      <c r="B106" s="393"/>
      <c r="C106" s="99" t="str">
        <f>IF(B106="","",IF(NOT(ISNUMBER(B106)),"DATA_PC invalida",IF(NOT(ISNUMBER(parametros!$C$2)),"Fora dos ciclos",IF(OR(B106&lt;parametros!$C$2,(YEAR(B106)-YEAR(parametros!$C$2))*12+MONTH(B106)-MONTH(parametros!$C$2)&gt;59),"Fora dos ciclos","C"&amp;INT(((YEAR(B106)-YEAR(parametros!$C$2))*12+MONTH(B106)-MONTH(parametros!$C$2))/12)))))</f>
        <v/>
      </c>
      <c r="D106" s="394"/>
      <c r="E106" s="78" t="str">
        <f>IF(C106="","",IFERROR(VLOOKUP(C106,parametros!$A$11:$E$15,5,0),""))</f>
        <v/>
      </c>
      <c r="F106" s="79" t="str">
        <f t="shared" si="7"/>
        <v/>
      </c>
      <c r="G106" s="395"/>
      <c r="H106" s="91">
        <f t="shared" si="8"/>
        <v>0</v>
      </c>
      <c r="I106" s="91" t="str">
        <f t="shared" si="9"/>
        <v/>
      </c>
      <c r="J106" s="91" t="str">
        <f t="shared" si="10"/>
        <v/>
      </c>
      <c r="K106" s="92" t="str">
        <f>IF(AND(A106="",B106="",D106="",G106=""),"",IF(AND(A106&lt;&gt;"",COUNTIF($A$2:$A$5001,A106)&gt;1),"NUMERO_PC duplicado",IF(B106="","DATA_PC vazia",IF(NOT(ISNUMBER(B106)),"DATA_PC invalida",IF(OR(C106="",C106="Fora dos ciclos"),"CICLO_PC nao identificado",IF(OR(D106="",D106=0),"VALOR_PC vazio ou zero",IF(AND(G106&lt;&gt;"Sim",G106&lt;&gt;"Nao",G106&lt;&gt;""),"PC_PAGO_A_CONTRATADA invalido",IF(AND(C106&lt;&gt;"C0",IFERROR(INDEX(parametros!$A$2:$A$6,MATCH(C106,parametros!$B$2:$B$6,0)),"")="Sim",IFERROR(INDEX(parametros!$H$2:$H$6,MATCH(C106,parametros!$B$2:$B$6,0)),"")=""),"INICIO_EFEITO ausente: PC "&amp;A106&amp;" - "&amp;C106,IF(L106="","EFEITO_PC nao calculado: PC "&amp;A106&amp;" - "&amp;C106,"OK")))))))))</f>
        <v/>
      </c>
      <c r="L106" s="92" t="str">
        <f>IF(AND(A106="",B106="",D106="",G106=""),"",IF(OR(B106="",NOT(ISNUMBER(B106)),C106="",C106="Fora dos ciclos"),"",IF(C106="C0","Nao",IF(IFERROR(INDEX(parametros!$A$2:$A$6,MATCH(C106,parametros!$B$2:$B$6,0)),"")&lt;&gt;"Sim","Nao",IF(IFERROR(INDEX(parametros!$H$2:$H$6,MATCH(C106,parametros!$B$2:$B$6,0)),"")="","",IF(B106&gt;=IFERROR(INDEX(parametros!$H$2:$H$6,MATCH(C106,parametros!$B$2:$B$6,0)),""),"Sim","Nao"))))))</f>
        <v/>
      </c>
      <c r="M106" s="13"/>
      <c r="N106" s="13"/>
      <c r="O106" s="13"/>
      <c r="P106" s="13"/>
      <c r="Q106" s="13"/>
      <c r="R106" s="13"/>
      <c r="S106" s="13"/>
      <c r="T106" s="13"/>
      <c r="U106" s="214" t="str">
        <f t="shared" si="11"/>
        <v/>
      </c>
      <c r="V106" s="212" t="s">
        <v>50</v>
      </c>
      <c r="W106" s="100" t="s">
        <v>168</v>
      </c>
      <c r="X106" s="100" t="s">
        <v>169</v>
      </c>
      <c r="Y106" s="101" t="s">
        <v>170</v>
      </c>
      <c r="Z106" s="101" t="s">
        <v>171</v>
      </c>
      <c r="AA106" s="101" t="s">
        <v>50</v>
      </c>
      <c r="AB106" s="101" t="s">
        <v>172</v>
      </c>
      <c r="AC106" s="102" t="s">
        <v>173</v>
      </c>
    </row>
    <row r="107" spans="1:29" ht="25.5" customHeight="1" x14ac:dyDescent="0.35">
      <c r="A107" s="392"/>
      <c r="B107" s="393"/>
      <c r="C107" s="99" t="str">
        <f>IF(B107="","",IF(NOT(ISNUMBER(B107)),"DATA_PC invalida",IF(NOT(ISNUMBER(parametros!$C$2)),"Fora dos ciclos",IF(OR(B107&lt;parametros!$C$2,(YEAR(B107)-YEAR(parametros!$C$2))*12+MONTH(B107)-MONTH(parametros!$C$2)&gt;59),"Fora dos ciclos","C"&amp;INT(((YEAR(B107)-YEAR(parametros!$C$2))*12+MONTH(B107)-MONTH(parametros!$C$2))/12)))))</f>
        <v/>
      </c>
      <c r="D107" s="394"/>
      <c r="E107" s="78" t="str">
        <f>IF(C107="","",IFERROR(VLOOKUP(C107,parametros!$A$11:$E$15,5,0),""))</f>
        <v/>
      </c>
      <c r="F107" s="79" t="str">
        <f t="shared" si="7"/>
        <v/>
      </c>
      <c r="G107" s="395"/>
      <c r="H107" s="91">
        <f t="shared" si="8"/>
        <v>0</v>
      </c>
      <c r="I107" s="91" t="str">
        <f t="shared" si="9"/>
        <v/>
      </c>
      <c r="J107" s="91" t="str">
        <f t="shared" si="10"/>
        <v/>
      </c>
      <c r="K107" s="92" t="str">
        <f>IF(AND(A107="",B107="",D107="",G107=""),"",IF(AND(A107&lt;&gt;"",COUNTIF($A$2:$A$5001,A107)&gt;1),"NUMERO_PC duplicado",IF(B107="","DATA_PC vazia",IF(NOT(ISNUMBER(B107)),"DATA_PC invalida",IF(OR(C107="",C107="Fora dos ciclos"),"CICLO_PC nao identificado",IF(OR(D107="",D107=0),"VALOR_PC vazio ou zero",IF(AND(G107&lt;&gt;"Sim",G107&lt;&gt;"Nao",G107&lt;&gt;""),"PC_PAGO_A_CONTRATADA invalido",IF(AND(C107&lt;&gt;"C0",IFERROR(INDEX(parametros!$A$2:$A$6,MATCH(C107,parametros!$B$2:$B$6,0)),"")="Sim",IFERROR(INDEX(parametros!$H$2:$H$6,MATCH(C107,parametros!$B$2:$B$6,0)),"")=""),"INICIO_EFEITO ausente: PC "&amp;A107&amp;" - "&amp;C107,IF(L107="","EFEITO_PC nao calculado: PC "&amp;A107&amp;" - "&amp;C107,"OK")))))))))</f>
        <v/>
      </c>
      <c r="L107" s="92" t="str">
        <f>IF(AND(A107="",B107="",D107="",G107=""),"",IF(OR(B107="",NOT(ISNUMBER(B107)),C107="",C107="Fora dos ciclos"),"",IF(C107="C0","Nao",IF(IFERROR(INDEX(parametros!$A$2:$A$6,MATCH(C107,parametros!$B$2:$B$6,0)),"")&lt;&gt;"Sim","Nao",IF(IFERROR(INDEX(parametros!$H$2:$H$6,MATCH(C107,parametros!$B$2:$B$6,0)),"")="","",IF(B107&gt;=IFERROR(INDEX(parametros!$H$2:$H$6,MATCH(C107,parametros!$B$2:$B$6,0)),""),"Sim","Nao"))))))</f>
        <v/>
      </c>
      <c r="M107" s="13"/>
      <c r="N107" s="13"/>
      <c r="O107" s="13"/>
      <c r="P107" s="13"/>
      <c r="Q107" s="13"/>
      <c r="R107" s="13"/>
      <c r="S107" s="13"/>
      <c r="T107" s="13"/>
      <c r="U107" s="214" t="str">
        <f t="shared" si="11"/>
        <v/>
      </c>
      <c r="V107" s="212" t="s">
        <v>50</v>
      </c>
      <c r="W107" s="100" t="s">
        <v>168</v>
      </c>
      <c r="X107" s="100" t="s">
        <v>169</v>
      </c>
      <c r="Y107" s="101" t="s">
        <v>170</v>
      </c>
      <c r="Z107" s="101" t="s">
        <v>171</v>
      </c>
      <c r="AA107" s="101" t="s">
        <v>50</v>
      </c>
      <c r="AB107" s="101" t="s">
        <v>172</v>
      </c>
      <c r="AC107" s="102" t="s">
        <v>173</v>
      </c>
    </row>
    <row r="108" spans="1:29" ht="25.5" customHeight="1" x14ac:dyDescent="0.35">
      <c r="A108" s="392"/>
      <c r="B108" s="393"/>
      <c r="C108" s="99" t="str">
        <f>IF(B108="","",IF(NOT(ISNUMBER(B108)),"DATA_PC invalida",IF(NOT(ISNUMBER(parametros!$C$2)),"Fora dos ciclos",IF(OR(B108&lt;parametros!$C$2,(YEAR(B108)-YEAR(parametros!$C$2))*12+MONTH(B108)-MONTH(parametros!$C$2)&gt;59),"Fora dos ciclos","C"&amp;INT(((YEAR(B108)-YEAR(parametros!$C$2))*12+MONTH(B108)-MONTH(parametros!$C$2))/12)))))</f>
        <v/>
      </c>
      <c r="D108" s="394"/>
      <c r="E108" s="78" t="str">
        <f>IF(C108="","",IFERROR(VLOOKUP(C108,parametros!$A$11:$E$15,5,0),""))</f>
        <v/>
      </c>
      <c r="F108" s="79" t="str">
        <f t="shared" si="7"/>
        <v/>
      </c>
      <c r="G108" s="395"/>
      <c r="H108" s="91">
        <f t="shared" si="8"/>
        <v>0</v>
      </c>
      <c r="I108" s="91" t="str">
        <f t="shared" si="9"/>
        <v/>
      </c>
      <c r="J108" s="91" t="str">
        <f t="shared" si="10"/>
        <v/>
      </c>
      <c r="K108" s="92" t="str">
        <f>IF(AND(A108="",B108="",D108="",G108=""),"",IF(AND(A108&lt;&gt;"",COUNTIF($A$2:$A$5001,A108)&gt;1),"NUMERO_PC duplicado",IF(B108="","DATA_PC vazia",IF(NOT(ISNUMBER(B108)),"DATA_PC invalida",IF(OR(C108="",C108="Fora dos ciclos"),"CICLO_PC nao identificado",IF(OR(D108="",D108=0),"VALOR_PC vazio ou zero",IF(AND(G108&lt;&gt;"Sim",G108&lt;&gt;"Nao",G108&lt;&gt;""),"PC_PAGO_A_CONTRATADA invalido",IF(AND(C108&lt;&gt;"C0",IFERROR(INDEX(parametros!$A$2:$A$6,MATCH(C108,parametros!$B$2:$B$6,0)),"")="Sim",IFERROR(INDEX(parametros!$H$2:$H$6,MATCH(C108,parametros!$B$2:$B$6,0)),"")=""),"INICIO_EFEITO ausente: PC "&amp;A108&amp;" - "&amp;C108,IF(L108="","EFEITO_PC nao calculado: PC "&amp;A108&amp;" - "&amp;C108,"OK")))))))))</f>
        <v/>
      </c>
      <c r="L108" s="92" t="str">
        <f>IF(AND(A108="",B108="",D108="",G108=""),"",IF(OR(B108="",NOT(ISNUMBER(B108)),C108="",C108="Fora dos ciclos"),"",IF(C108="C0","Nao",IF(IFERROR(INDEX(parametros!$A$2:$A$6,MATCH(C108,parametros!$B$2:$B$6,0)),"")&lt;&gt;"Sim","Nao",IF(IFERROR(INDEX(parametros!$H$2:$H$6,MATCH(C108,parametros!$B$2:$B$6,0)),"")="","",IF(B108&gt;=IFERROR(INDEX(parametros!$H$2:$H$6,MATCH(C108,parametros!$B$2:$B$6,0)),""),"Sim","Nao"))))))</f>
        <v/>
      </c>
      <c r="M108" s="13"/>
      <c r="N108" s="13"/>
      <c r="O108" s="13"/>
      <c r="P108" s="13"/>
      <c r="Q108" s="13"/>
      <c r="R108" s="13"/>
      <c r="S108" s="13"/>
      <c r="T108" s="13"/>
      <c r="U108" s="214" t="str">
        <f t="shared" si="11"/>
        <v/>
      </c>
      <c r="V108" s="212" t="s">
        <v>50</v>
      </c>
      <c r="W108" s="100" t="s">
        <v>168</v>
      </c>
      <c r="X108" s="100" t="s">
        <v>169</v>
      </c>
      <c r="Y108" s="101" t="s">
        <v>170</v>
      </c>
      <c r="Z108" s="101" t="s">
        <v>171</v>
      </c>
      <c r="AA108" s="101" t="s">
        <v>50</v>
      </c>
      <c r="AB108" s="101" t="s">
        <v>172</v>
      </c>
      <c r="AC108" s="102" t="s">
        <v>173</v>
      </c>
    </row>
    <row r="109" spans="1:29" ht="25.5" customHeight="1" x14ac:dyDescent="0.35">
      <c r="A109" s="392"/>
      <c r="B109" s="393"/>
      <c r="C109" s="99" t="str">
        <f>IF(B109="","",IF(NOT(ISNUMBER(B109)),"DATA_PC invalida",IF(NOT(ISNUMBER(parametros!$C$2)),"Fora dos ciclos",IF(OR(B109&lt;parametros!$C$2,(YEAR(B109)-YEAR(parametros!$C$2))*12+MONTH(B109)-MONTH(parametros!$C$2)&gt;59),"Fora dos ciclos","C"&amp;INT(((YEAR(B109)-YEAR(parametros!$C$2))*12+MONTH(B109)-MONTH(parametros!$C$2))/12)))))</f>
        <v/>
      </c>
      <c r="D109" s="394"/>
      <c r="E109" s="78" t="str">
        <f>IF(C109="","",IFERROR(VLOOKUP(C109,parametros!$A$11:$E$15,5,0),""))</f>
        <v/>
      </c>
      <c r="F109" s="79" t="str">
        <f t="shared" si="7"/>
        <v/>
      </c>
      <c r="G109" s="395"/>
      <c r="H109" s="91">
        <f t="shared" si="8"/>
        <v>0</v>
      </c>
      <c r="I109" s="91" t="str">
        <f t="shared" si="9"/>
        <v/>
      </c>
      <c r="J109" s="91" t="str">
        <f t="shared" si="10"/>
        <v/>
      </c>
      <c r="K109" s="92" t="str">
        <f>IF(AND(A109="",B109="",D109="",G109=""),"",IF(AND(A109&lt;&gt;"",COUNTIF($A$2:$A$5001,A109)&gt;1),"NUMERO_PC duplicado",IF(B109="","DATA_PC vazia",IF(NOT(ISNUMBER(B109)),"DATA_PC invalida",IF(OR(C109="",C109="Fora dos ciclos"),"CICLO_PC nao identificado",IF(OR(D109="",D109=0),"VALOR_PC vazio ou zero",IF(AND(G109&lt;&gt;"Sim",G109&lt;&gt;"Nao",G109&lt;&gt;""),"PC_PAGO_A_CONTRATADA invalido",IF(AND(C109&lt;&gt;"C0",IFERROR(INDEX(parametros!$A$2:$A$6,MATCH(C109,parametros!$B$2:$B$6,0)),"")="Sim",IFERROR(INDEX(parametros!$H$2:$H$6,MATCH(C109,parametros!$B$2:$B$6,0)),"")=""),"INICIO_EFEITO ausente: PC "&amp;A109&amp;" - "&amp;C109,IF(L109="","EFEITO_PC nao calculado: PC "&amp;A109&amp;" - "&amp;C109,"OK")))))))))</f>
        <v/>
      </c>
      <c r="L109" s="92" t="str">
        <f>IF(AND(A109="",B109="",D109="",G109=""),"",IF(OR(B109="",NOT(ISNUMBER(B109)),C109="",C109="Fora dos ciclos"),"",IF(C109="C0","Nao",IF(IFERROR(INDEX(parametros!$A$2:$A$6,MATCH(C109,parametros!$B$2:$B$6,0)),"")&lt;&gt;"Sim","Nao",IF(IFERROR(INDEX(parametros!$H$2:$H$6,MATCH(C109,parametros!$B$2:$B$6,0)),"")="","",IF(B109&gt;=IFERROR(INDEX(parametros!$H$2:$H$6,MATCH(C109,parametros!$B$2:$B$6,0)),""),"Sim","Nao"))))))</f>
        <v/>
      </c>
      <c r="M109" s="13"/>
      <c r="N109" s="13"/>
      <c r="O109" s="13"/>
      <c r="P109" s="13"/>
      <c r="Q109" s="13"/>
      <c r="R109" s="13"/>
      <c r="S109" s="13"/>
      <c r="T109" s="13"/>
      <c r="U109" s="214" t="str">
        <f t="shared" si="11"/>
        <v/>
      </c>
      <c r="V109" s="212" t="s">
        <v>50</v>
      </c>
      <c r="W109" s="100" t="s">
        <v>168</v>
      </c>
      <c r="X109" s="100" t="s">
        <v>169</v>
      </c>
      <c r="Y109" s="101" t="s">
        <v>170</v>
      </c>
      <c r="Z109" s="101" t="s">
        <v>171</v>
      </c>
      <c r="AA109" s="101" t="s">
        <v>50</v>
      </c>
      <c r="AB109" s="101" t="s">
        <v>172</v>
      </c>
      <c r="AC109" s="102" t="s">
        <v>173</v>
      </c>
    </row>
    <row r="110" spans="1:29" ht="25.5" customHeight="1" x14ac:dyDescent="0.35">
      <c r="A110" s="392"/>
      <c r="B110" s="393"/>
      <c r="C110" s="99" t="str">
        <f>IF(B110="","",IF(NOT(ISNUMBER(B110)),"DATA_PC invalida",IF(NOT(ISNUMBER(parametros!$C$2)),"Fora dos ciclos",IF(OR(B110&lt;parametros!$C$2,(YEAR(B110)-YEAR(parametros!$C$2))*12+MONTH(B110)-MONTH(parametros!$C$2)&gt;59),"Fora dos ciclos","C"&amp;INT(((YEAR(B110)-YEAR(parametros!$C$2))*12+MONTH(B110)-MONTH(parametros!$C$2))/12)))))</f>
        <v/>
      </c>
      <c r="D110" s="394"/>
      <c r="E110" s="78" t="str">
        <f>IF(C110="","",IFERROR(VLOOKUP(C110,parametros!$A$11:$E$15,5,0),""))</f>
        <v/>
      </c>
      <c r="F110" s="79" t="str">
        <f t="shared" si="7"/>
        <v/>
      </c>
      <c r="G110" s="395"/>
      <c r="H110" s="91">
        <f t="shared" si="8"/>
        <v>0</v>
      </c>
      <c r="I110" s="91" t="str">
        <f t="shared" si="9"/>
        <v/>
      </c>
      <c r="J110" s="91" t="str">
        <f t="shared" si="10"/>
        <v/>
      </c>
      <c r="K110" s="92" t="str">
        <f>IF(AND(A110="",B110="",D110="",G110=""),"",IF(AND(A110&lt;&gt;"",COUNTIF($A$2:$A$5001,A110)&gt;1),"NUMERO_PC duplicado",IF(B110="","DATA_PC vazia",IF(NOT(ISNUMBER(B110)),"DATA_PC invalida",IF(OR(C110="",C110="Fora dos ciclos"),"CICLO_PC nao identificado",IF(OR(D110="",D110=0),"VALOR_PC vazio ou zero",IF(AND(G110&lt;&gt;"Sim",G110&lt;&gt;"Nao",G110&lt;&gt;""),"PC_PAGO_A_CONTRATADA invalido",IF(AND(C110&lt;&gt;"C0",IFERROR(INDEX(parametros!$A$2:$A$6,MATCH(C110,parametros!$B$2:$B$6,0)),"")="Sim",IFERROR(INDEX(parametros!$H$2:$H$6,MATCH(C110,parametros!$B$2:$B$6,0)),"")=""),"INICIO_EFEITO ausente: PC "&amp;A110&amp;" - "&amp;C110,IF(L110="","EFEITO_PC nao calculado: PC "&amp;A110&amp;" - "&amp;C110,"OK")))))))))</f>
        <v/>
      </c>
      <c r="L110" s="92" t="str">
        <f>IF(AND(A110="",B110="",D110="",G110=""),"",IF(OR(B110="",NOT(ISNUMBER(B110)),C110="",C110="Fora dos ciclos"),"",IF(C110="C0","Nao",IF(IFERROR(INDEX(parametros!$A$2:$A$6,MATCH(C110,parametros!$B$2:$B$6,0)),"")&lt;&gt;"Sim","Nao",IF(IFERROR(INDEX(parametros!$H$2:$H$6,MATCH(C110,parametros!$B$2:$B$6,0)),"")="","",IF(B110&gt;=IFERROR(INDEX(parametros!$H$2:$H$6,MATCH(C110,parametros!$B$2:$B$6,0)),""),"Sim","Nao"))))))</f>
        <v/>
      </c>
      <c r="M110" s="13"/>
      <c r="N110" s="13"/>
      <c r="O110" s="13"/>
      <c r="P110" s="13"/>
      <c r="Q110" s="13"/>
      <c r="R110" s="13"/>
      <c r="S110" s="13"/>
      <c r="T110" s="13"/>
      <c r="U110" s="214" t="str">
        <f t="shared" si="11"/>
        <v/>
      </c>
      <c r="V110" s="212" t="s">
        <v>50</v>
      </c>
      <c r="W110" s="100" t="s">
        <v>168</v>
      </c>
      <c r="X110" s="100" t="s">
        <v>169</v>
      </c>
      <c r="Y110" s="101" t="s">
        <v>170</v>
      </c>
      <c r="Z110" s="101" t="s">
        <v>171</v>
      </c>
      <c r="AA110" s="101" t="s">
        <v>50</v>
      </c>
      <c r="AB110" s="101" t="s">
        <v>172</v>
      </c>
      <c r="AC110" s="102" t="s">
        <v>173</v>
      </c>
    </row>
    <row r="111" spans="1:29" ht="25.5" customHeight="1" x14ac:dyDescent="0.35">
      <c r="A111" s="392"/>
      <c r="B111" s="393"/>
      <c r="C111" s="99" t="str">
        <f>IF(B111="","",IF(NOT(ISNUMBER(B111)),"DATA_PC invalida",IF(NOT(ISNUMBER(parametros!$C$2)),"Fora dos ciclos",IF(OR(B111&lt;parametros!$C$2,(YEAR(B111)-YEAR(parametros!$C$2))*12+MONTH(B111)-MONTH(parametros!$C$2)&gt;59),"Fora dos ciclos","C"&amp;INT(((YEAR(B111)-YEAR(parametros!$C$2))*12+MONTH(B111)-MONTH(parametros!$C$2))/12)))))</f>
        <v/>
      </c>
      <c r="D111" s="394"/>
      <c r="E111" s="78" t="str">
        <f>IF(C111="","",IFERROR(VLOOKUP(C111,parametros!$A$11:$E$15,5,0),""))</f>
        <v/>
      </c>
      <c r="F111" s="79" t="str">
        <f t="shared" si="7"/>
        <v/>
      </c>
      <c r="G111" s="395"/>
      <c r="H111" s="91">
        <f t="shared" si="8"/>
        <v>0</v>
      </c>
      <c r="I111" s="91" t="str">
        <f t="shared" si="9"/>
        <v/>
      </c>
      <c r="J111" s="91" t="str">
        <f t="shared" si="10"/>
        <v/>
      </c>
      <c r="K111" s="92" t="str">
        <f>IF(AND(A111="",B111="",D111="",G111=""),"",IF(AND(A111&lt;&gt;"",COUNTIF($A$2:$A$5001,A111)&gt;1),"NUMERO_PC duplicado",IF(B111="","DATA_PC vazia",IF(NOT(ISNUMBER(B111)),"DATA_PC invalida",IF(OR(C111="",C111="Fora dos ciclos"),"CICLO_PC nao identificado",IF(OR(D111="",D111=0),"VALOR_PC vazio ou zero",IF(AND(G111&lt;&gt;"Sim",G111&lt;&gt;"Nao",G111&lt;&gt;""),"PC_PAGO_A_CONTRATADA invalido",IF(AND(C111&lt;&gt;"C0",IFERROR(INDEX(parametros!$A$2:$A$6,MATCH(C111,parametros!$B$2:$B$6,0)),"")="Sim",IFERROR(INDEX(parametros!$H$2:$H$6,MATCH(C111,parametros!$B$2:$B$6,0)),"")=""),"INICIO_EFEITO ausente: PC "&amp;A111&amp;" - "&amp;C111,IF(L111="","EFEITO_PC nao calculado: PC "&amp;A111&amp;" - "&amp;C111,"OK")))))))))</f>
        <v/>
      </c>
      <c r="L111" s="92" t="str">
        <f>IF(AND(A111="",B111="",D111="",G111=""),"",IF(OR(B111="",NOT(ISNUMBER(B111)),C111="",C111="Fora dos ciclos"),"",IF(C111="C0","Nao",IF(IFERROR(INDEX(parametros!$A$2:$A$6,MATCH(C111,parametros!$B$2:$B$6,0)),"")&lt;&gt;"Sim","Nao",IF(IFERROR(INDEX(parametros!$H$2:$H$6,MATCH(C111,parametros!$B$2:$B$6,0)),"")="","",IF(B111&gt;=IFERROR(INDEX(parametros!$H$2:$H$6,MATCH(C111,parametros!$B$2:$B$6,0)),""),"Sim","Nao"))))))</f>
        <v/>
      </c>
      <c r="M111" s="13"/>
      <c r="N111" s="13"/>
      <c r="O111" s="13"/>
      <c r="P111" s="13"/>
      <c r="Q111" s="13"/>
      <c r="R111" s="13"/>
      <c r="S111" s="13"/>
      <c r="T111" s="13"/>
      <c r="U111" s="214" t="str">
        <f t="shared" si="11"/>
        <v/>
      </c>
      <c r="V111" s="212" t="s">
        <v>50</v>
      </c>
      <c r="W111" s="100" t="s">
        <v>168</v>
      </c>
      <c r="X111" s="100" t="s">
        <v>169</v>
      </c>
      <c r="Y111" s="101" t="s">
        <v>170</v>
      </c>
      <c r="Z111" s="101" t="s">
        <v>171</v>
      </c>
      <c r="AA111" s="101" t="s">
        <v>50</v>
      </c>
      <c r="AB111" s="101" t="s">
        <v>172</v>
      </c>
      <c r="AC111" s="102" t="s">
        <v>173</v>
      </c>
    </row>
    <row r="112" spans="1:29" ht="25.5" customHeight="1" x14ac:dyDescent="0.35">
      <c r="A112" s="392"/>
      <c r="B112" s="393"/>
      <c r="C112" s="99" t="str">
        <f>IF(B112="","",IF(NOT(ISNUMBER(B112)),"DATA_PC invalida",IF(NOT(ISNUMBER(parametros!$C$2)),"Fora dos ciclos",IF(OR(B112&lt;parametros!$C$2,(YEAR(B112)-YEAR(parametros!$C$2))*12+MONTH(B112)-MONTH(parametros!$C$2)&gt;59),"Fora dos ciclos","C"&amp;INT(((YEAR(B112)-YEAR(parametros!$C$2))*12+MONTH(B112)-MONTH(parametros!$C$2))/12)))))</f>
        <v/>
      </c>
      <c r="D112" s="394"/>
      <c r="E112" s="78" t="str">
        <f>IF(C112="","",IFERROR(VLOOKUP(C112,parametros!$A$11:$E$15,5,0),""))</f>
        <v/>
      </c>
      <c r="F112" s="79" t="str">
        <f t="shared" si="7"/>
        <v/>
      </c>
      <c r="G112" s="395"/>
      <c r="H112" s="91">
        <f t="shared" si="8"/>
        <v>0</v>
      </c>
      <c r="I112" s="91" t="str">
        <f t="shared" si="9"/>
        <v/>
      </c>
      <c r="J112" s="91" t="str">
        <f t="shared" si="10"/>
        <v/>
      </c>
      <c r="K112" s="92" t="str">
        <f>IF(AND(A112="",B112="",D112="",G112=""),"",IF(AND(A112&lt;&gt;"",COUNTIF($A$2:$A$5001,A112)&gt;1),"NUMERO_PC duplicado",IF(B112="","DATA_PC vazia",IF(NOT(ISNUMBER(B112)),"DATA_PC invalida",IF(OR(C112="",C112="Fora dos ciclos"),"CICLO_PC nao identificado",IF(OR(D112="",D112=0),"VALOR_PC vazio ou zero",IF(AND(G112&lt;&gt;"Sim",G112&lt;&gt;"Nao",G112&lt;&gt;""),"PC_PAGO_A_CONTRATADA invalido",IF(AND(C112&lt;&gt;"C0",IFERROR(INDEX(parametros!$A$2:$A$6,MATCH(C112,parametros!$B$2:$B$6,0)),"")="Sim",IFERROR(INDEX(parametros!$H$2:$H$6,MATCH(C112,parametros!$B$2:$B$6,0)),"")=""),"INICIO_EFEITO ausente: PC "&amp;A112&amp;" - "&amp;C112,IF(L112="","EFEITO_PC nao calculado: PC "&amp;A112&amp;" - "&amp;C112,"OK")))))))))</f>
        <v/>
      </c>
      <c r="L112" s="92" t="str">
        <f>IF(AND(A112="",B112="",D112="",G112=""),"",IF(OR(B112="",NOT(ISNUMBER(B112)),C112="",C112="Fora dos ciclos"),"",IF(C112="C0","Nao",IF(IFERROR(INDEX(parametros!$A$2:$A$6,MATCH(C112,parametros!$B$2:$B$6,0)),"")&lt;&gt;"Sim","Nao",IF(IFERROR(INDEX(parametros!$H$2:$H$6,MATCH(C112,parametros!$B$2:$B$6,0)),"")="","",IF(B112&gt;=IFERROR(INDEX(parametros!$H$2:$H$6,MATCH(C112,parametros!$B$2:$B$6,0)),""),"Sim","Nao"))))))</f>
        <v/>
      </c>
      <c r="M112" s="13"/>
      <c r="N112" s="13"/>
      <c r="O112" s="13"/>
      <c r="P112" s="13"/>
      <c r="Q112" s="13"/>
      <c r="R112" s="13"/>
      <c r="S112" s="13"/>
      <c r="T112" s="13"/>
      <c r="U112" s="214" t="str">
        <f t="shared" si="11"/>
        <v/>
      </c>
      <c r="V112" s="212" t="s">
        <v>50</v>
      </c>
      <c r="W112" s="100" t="s">
        <v>168</v>
      </c>
      <c r="X112" s="100" t="s">
        <v>169</v>
      </c>
      <c r="Y112" s="101" t="s">
        <v>170</v>
      </c>
      <c r="Z112" s="101" t="s">
        <v>171</v>
      </c>
      <c r="AA112" s="101" t="s">
        <v>50</v>
      </c>
      <c r="AB112" s="101" t="s">
        <v>172</v>
      </c>
      <c r="AC112" s="102" t="s">
        <v>173</v>
      </c>
    </row>
    <row r="113" spans="1:29" ht="25.5" customHeight="1" x14ac:dyDescent="0.35">
      <c r="A113" s="392"/>
      <c r="B113" s="393"/>
      <c r="C113" s="99" t="str">
        <f>IF(B113="","",IF(NOT(ISNUMBER(B113)),"DATA_PC invalida",IF(NOT(ISNUMBER(parametros!$C$2)),"Fora dos ciclos",IF(OR(B113&lt;parametros!$C$2,(YEAR(B113)-YEAR(parametros!$C$2))*12+MONTH(B113)-MONTH(parametros!$C$2)&gt;59),"Fora dos ciclos","C"&amp;INT(((YEAR(B113)-YEAR(parametros!$C$2))*12+MONTH(B113)-MONTH(parametros!$C$2))/12)))))</f>
        <v/>
      </c>
      <c r="D113" s="394"/>
      <c r="E113" s="78" t="str">
        <f>IF(C113="","",IFERROR(VLOOKUP(C113,parametros!$A$11:$E$15,5,0),""))</f>
        <v/>
      </c>
      <c r="F113" s="79" t="str">
        <f t="shared" si="7"/>
        <v/>
      </c>
      <c r="G113" s="395"/>
      <c r="H113" s="91">
        <f t="shared" si="8"/>
        <v>0</v>
      </c>
      <c r="I113" s="91" t="str">
        <f t="shared" si="9"/>
        <v/>
      </c>
      <c r="J113" s="91" t="str">
        <f t="shared" si="10"/>
        <v/>
      </c>
      <c r="K113" s="92" t="str">
        <f>IF(AND(A113="",B113="",D113="",G113=""),"",IF(AND(A113&lt;&gt;"",COUNTIF($A$2:$A$5001,A113)&gt;1),"NUMERO_PC duplicado",IF(B113="","DATA_PC vazia",IF(NOT(ISNUMBER(B113)),"DATA_PC invalida",IF(OR(C113="",C113="Fora dos ciclos"),"CICLO_PC nao identificado",IF(OR(D113="",D113=0),"VALOR_PC vazio ou zero",IF(AND(G113&lt;&gt;"Sim",G113&lt;&gt;"Nao",G113&lt;&gt;""),"PC_PAGO_A_CONTRATADA invalido",IF(AND(C113&lt;&gt;"C0",IFERROR(INDEX(parametros!$A$2:$A$6,MATCH(C113,parametros!$B$2:$B$6,0)),"")="Sim",IFERROR(INDEX(parametros!$H$2:$H$6,MATCH(C113,parametros!$B$2:$B$6,0)),"")=""),"INICIO_EFEITO ausente: PC "&amp;A113&amp;" - "&amp;C113,IF(L113="","EFEITO_PC nao calculado: PC "&amp;A113&amp;" - "&amp;C113,"OK")))))))))</f>
        <v/>
      </c>
      <c r="L113" s="92" t="str">
        <f>IF(AND(A113="",B113="",D113="",G113=""),"",IF(OR(B113="",NOT(ISNUMBER(B113)),C113="",C113="Fora dos ciclos"),"",IF(C113="C0","Nao",IF(IFERROR(INDEX(parametros!$A$2:$A$6,MATCH(C113,parametros!$B$2:$B$6,0)),"")&lt;&gt;"Sim","Nao",IF(IFERROR(INDEX(parametros!$H$2:$H$6,MATCH(C113,parametros!$B$2:$B$6,0)),"")="","",IF(B113&gt;=IFERROR(INDEX(parametros!$H$2:$H$6,MATCH(C113,parametros!$B$2:$B$6,0)),""),"Sim","Nao"))))))</f>
        <v/>
      </c>
      <c r="M113" s="13"/>
      <c r="N113" s="13"/>
      <c r="O113" s="13"/>
      <c r="P113" s="13"/>
      <c r="Q113" s="13"/>
      <c r="R113" s="13"/>
      <c r="S113" s="13"/>
      <c r="T113" s="13"/>
      <c r="U113" s="214" t="str">
        <f t="shared" si="11"/>
        <v/>
      </c>
      <c r="V113" s="212" t="s">
        <v>50</v>
      </c>
      <c r="W113" s="100" t="s">
        <v>168</v>
      </c>
      <c r="X113" s="100" t="s">
        <v>169</v>
      </c>
      <c r="Y113" s="101" t="s">
        <v>170</v>
      </c>
      <c r="Z113" s="101" t="s">
        <v>171</v>
      </c>
      <c r="AA113" s="101" t="s">
        <v>50</v>
      </c>
      <c r="AB113" s="101" t="s">
        <v>172</v>
      </c>
      <c r="AC113" s="102" t="s">
        <v>173</v>
      </c>
    </row>
    <row r="114" spans="1:29" ht="25.5" customHeight="1" x14ac:dyDescent="0.35">
      <c r="A114" s="392"/>
      <c r="B114" s="393"/>
      <c r="C114" s="99" t="str">
        <f>IF(B114="","",IF(NOT(ISNUMBER(B114)),"DATA_PC invalida",IF(NOT(ISNUMBER(parametros!$C$2)),"Fora dos ciclos",IF(OR(B114&lt;parametros!$C$2,(YEAR(B114)-YEAR(parametros!$C$2))*12+MONTH(B114)-MONTH(parametros!$C$2)&gt;59),"Fora dos ciclos","C"&amp;INT(((YEAR(B114)-YEAR(parametros!$C$2))*12+MONTH(B114)-MONTH(parametros!$C$2))/12)))))</f>
        <v/>
      </c>
      <c r="D114" s="394"/>
      <c r="E114" s="78" t="str">
        <f>IF(C114="","",IFERROR(VLOOKUP(C114,parametros!$A$11:$E$15,5,0),""))</f>
        <v/>
      </c>
      <c r="F114" s="79" t="str">
        <f t="shared" si="7"/>
        <v/>
      </c>
      <c r="G114" s="395"/>
      <c r="H114" s="91">
        <f t="shared" si="8"/>
        <v>0</v>
      </c>
      <c r="I114" s="91" t="str">
        <f t="shared" si="9"/>
        <v/>
      </c>
      <c r="J114" s="91" t="str">
        <f t="shared" si="10"/>
        <v/>
      </c>
      <c r="K114" s="92" t="str">
        <f>IF(AND(A114="",B114="",D114="",G114=""),"",IF(AND(A114&lt;&gt;"",COUNTIF($A$2:$A$5001,A114)&gt;1),"NUMERO_PC duplicado",IF(B114="","DATA_PC vazia",IF(NOT(ISNUMBER(B114)),"DATA_PC invalida",IF(OR(C114="",C114="Fora dos ciclos"),"CICLO_PC nao identificado",IF(OR(D114="",D114=0),"VALOR_PC vazio ou zero",IF(AND(G114&lt;&gt;"Sim",G114&lt;&gt;"Nao",G114&lt;&gt;""),"PC_PAGO_A_CONTRATADA invalido",IF(AND(C114&lt;&gt;"C0",IFERROR(INDEX(parametros!$A$2:$A$6,MATCH(C114,parametros!$B$2:$B$6,0)),"")="Sim",IFERROR(INDEX(parametros!$H$2:$H$6,MATCH(C114,parametros!$B$2:$B$6,0)),"")=""),"INICIO_EFEITO ausente: PC "&amp;A114&amp;" - "&amp;C114,IF(L114="","EFEITO_PC nao calculado: PC "&amp;A114&amp;" - "&amp;C114,"OK")))))))))</f>
        <v/>
      </c>
      <c r="L114" s="92" t="str">
        <f>IF(AND(A114="",B114="",D114="",G114=""),"",IF(OR(B114="",NOT(ISNUMBER(B114)),C114="",C114="Fora dos ciclos"),"",IF(C114="C0","Nao",IF(IFERROR(INDEX(parametros!$A$2:$A$6,MATCH(C114,parametros!$B$2:$B$6,0)),"")&lt;&gt;"Sim","Nao",IF(IFERROR(INDEX(parametros!$H$2:$H$6,MATCH(C114,parametros!$B$2:$B$6,0)),"")="","",IF(B114&gt;=IFERROR(INDEX(parametros!$H$2:$H$6,MATCH(C114,parametros!$B$2:$B$6,0)),""),"Sim","Nao"))))))</f>
        <v/>
      </c>
      <c r="M114" s="13"/>
      <c r="N114" s="13"/>
      <c r="O114" s="13"/>
      <c r="P114" s="13"/>
      <c r="Q114" s="13"/>
      <c r="R114" s="13"/>
      <c r="S114" s="13"/>
      <c r="T114" s="13"/>
      <c r="U114" s="214" t="str">
        <f t="shared" si="11"/>
        <v/>
      </c>
      <c r="V114" s="212" t="s">
        <v>50</v>
      </c>
      <c r="W114" s="100" t="s">
        <v>168</v>
      </c>
      <c r="X114" s="100" t="s">
        <v>169</v>
      </c>
      <c r="Y114" s="101" t="s">
        <v>170</v>
      </c>
      <c r="Z114" s="101" t="s">
        <v>171</v>
      </c>
      <c r="AA114" s="101" t="s">
        <v>50</v>
      </c>
      <c r="AB114" s="101" t="s">
        <v>172</v>
      </c>
      <c r="AC114" s="102" t="s">
        <v>173</v>
      </c>
    </row>
    <row r="115" spans="1:29" ht="25.5" customHeight="1" x14ac:dyDescent="0.35">
      <c r="A115" s="392"/>
      <c r="B115" s="393"/>
      <c r="C115" s="99" t="str">
        <f>IF(B115="","",IF(NOT(ISNUMBER(B115)),"DATA_PC invalida",IF(NOT(ISNUMBER(parametros!$C$2)),"Fora dos ciclos",IF(OR(B115&lt;parametros!$C$2,(YEAR(B115)-YEAR(parametros!$C$2))*12+MONTH(B115)-MONTH(parametros!$C$2)&gt;59),"Fora dos ciclos","C"&amp;INT(((YEAR(B115)-YEAR(parametros!$C$2))*12+MONTH(B115)-MONTH(parametros!$C$2))/12)))))</f>
        <v/>
      </c>
      <c r="D115" s="394"/>
      <c r="E115" s="78" t="str">
        <f>IF(C115="","",IFERROR(VLOOKUP(C115,parametros!$A$11:$E$15,5,0),""))</f>
        <v/>
      </c>
      <c r="F115" s="79" t="str">
        <f t="shared" si="7"/>
        <v/>
      </c>
      <c r="G115" s="395"/>
      <c r="H115" s="91">
        <f t="shared" si="8"/>
        <v>0</v>
      </c>
      <c r="I115" s="91" t="str">
        <f t="shared" si="9"/>
        <v/>
      </c>
      <c r="J115" s="91" t="str">
        <f t="shared" si="10"/>
        <v/>
      </c>
      <c r="K115" s="92" t="str">
        <f>IF(AND(A115="",B115="",D115="",G115=""),"",IF(AND(A115&lt;&gt;"",COUNTIF($A$2:$A$5001,A115)&gt;1),"NUMERO_PC duplicado",IF(B115="","DATA_PC vazia",IF(NOT(ISNUMBER(B115)),"DATA_PC invalida",IF(OR(C115="",C115="Fora dos ciclos"),"CICLO_PC nao identificado",IF(OR(D115="",D115=0),"VALOR_PC vazio ou zero",IF(AND(G115&lt;&gt;"Sim",G115&lt;&gt;"Nao",G115&lt;&gt;""),"PC_PAGO_A_CONTRATADA invalido",IF(AND(C115&lt;&gt;"C0",IFERROR(INDEX(parametros!$A$2:$A$6,MATCH(C115,parametros!$B$2:$B$6,0)),"")="Sim",IFERROR(INDEX(parametros!$H$2:$H$6,MATCH(C115,parametros!$B$2:$B$6,0)),"")=""),"INICIO_EFEITO ausente: PC "&amp;A115&amp;" - "&amp;C115,IF(L115="","EFEITO_PC nao calculado: PC "&amp;A115&amp;" - "&amp;C115,"OK")))))))))</f>
        <v/>
      </c>
      <c r="L115" s="92" t="str">
        <f>IF(AND(A115="",B115="",D115="",G115=""),"",IF(OR(B115="",NOT(ISNUMBER(B115)),C115="",C115="Fora dos ciclos"),"",IF(C115="C0","Nao",IF(IFERROR(INDEX(parametros!$A$2:$A$6,MATCH(C115,parametros!$B$2:$B$6,0)),"")&lt;&gt;"Sim","Nao",IF(IFERROR(INDEX(parametros!$H$2:$H$6,MATCH(C115,parametros!$B$2:$B$6,0)),"")="","",IF(B115&gt;=IFERROR(INDEX(parametros!$H$2:$H$6,MATCH(C115,parametros!$B$2:$B$6,0)),""),"Sim","Nao"))))))</f>
        <v/>
      </c>
      <c r="M115" s="13"/>
      <c r="N115" s="13"/>
      <c r="O115" s="13"/>
      <c r="P115" s="13"/>
      <c r="Q115" s="13"/>
      <c r="R115" s="13"/>
      <c r="S115" s="13"/>
      <c r="T115" s="13"/>
      <c r="U115" s="214" t="str">
        <f t="shared" si="11"/>
        <v/>
      </c>
      <c r="V115" s="212" t="s">
        <v>50</v>
      </c>
      <c r="W115" s="100" t="s">
        <v>168</v>
      </c>
      <c r="X115" s="100" t="s">
        <v>169</v>
      </c>
      <c r="Y115" s="101" t="s">
        <v>170</v>
      </c>
      <c r="Z115" s="101" t="s">
        <v>171</v>
      </c>
      <c r="AA115" s="101" t="s">
        <v>50</v>
      </c>
      <c r="AB115" s="101" t="s">
        <v>172</v>
      </c>
      <c r="AC115" s="102" t="s">
        <v>173</v>
      </c>
    </row>
    <row r="116" spans="1:29" ht="25.5" customHeight="1" x14ac:dyDescent="0.35">
      <c r="A116" s="392"/>
      <c r="B116" s="393"/>
      <c r="C116" s="99" t="str">
        <f>IF(B116="","",IF(NOT(ISNUMBER(B116)),"DATA_PC invalida",IF(NOT(ISNUMBER(parametros!$C$2)),"Fora dos ciclos",IF(OR(B116&lt;parametros!$C$2,(YEAR(B116)-YEAR(parametros!$C$2))*12+MONTH(B116)-MONTH(parametros!$C$2)&gt;59),"Fora dos ciclos","C"&amp;INT(((YEAR(B116)-YEAR(parametros!$C$2))*12+MONTH(B116)-MONTH(parametros!$C$2))/12)))))</f>
        <v/>
      </c>
      <c r="D116" s="394"/>
      <c r="E116" s="78" t="str">
        <f>IF(C116="","",IFERROR(VLOOKUP(C116,parametros!$A$11:$E$15,5,0),""))</f>
        <v/>
      </c>
      <c r="F116" s="79" t="str">
        <f t="shared" si="7"/>
        <v/>
      </c>
      <c r="G116" s="395"/>
      <c r="H116" s="91">
        <f t="shared" si="8"/>
        <v>0</v>
      </c>
      <c r="I116" s="91" t="str">
        <f t="shared" si="9"/>
        <v/>
      </c>
      <c r="J116" s="91" t="str">
        <f t="shared" si="10"/>
        <v/>
      </c>
      <c r="K116" s="92" t="str">
        <f>IF(AND(A116="",B116="",D116="",G116=""),"",IF(AND(A116&lt;&gt;"",COUNTIF($A$2:$A$5001,A116)&gt;1),"NUMERO_PC duplicado",IF(B116="","DATA_PC vazia",IF(NOT(ISNUMBER(B116)),"DATA_PC invalida",IF(OR(C116="",C116="Fora dos ciclos"),"CICLO_PC nao identificado",IF(OR(D116="",D116=0),"VALOR_PC vazio ou zero",IF(AND(G116&lt;&gt;"Sim",G116&lt;&gt;"Nao",G116&lt;&gt;""),"PC_PAGO_A_CONTRATADA invalido",IF(AND(C116&lt;&gt;"C0",IFERROR(INDEX(parametros!$A$2:$A$6,MATCH(C116,parametros!$B$2:$B$6,0)),"")="Sim",IFERROR(INDEX(parametros!$H$2:$H$6,MATCH(C116,parametros!$B$2:$B$6,0)),"")=""),"INICIO_EFEITO ausente: PC "&amp;A116&amp;" - "&amp;C116,IF(L116="","EFEITO_PC nao calculado: PC "&amp;A116&amp;" - "&amp;C116,"OK")))))))))</f>
        <v/>
      </c>
      <c r="L116" s="92" t="str">
        <f>IF(AND(A116="",B116="",D116="",G116=""),"",IF(OR(B116="",NOT(ISNUMBER(B116)),C116="",C116="Fora dos ciclos"),"",IF(C116="C0","Nao",IF(IFERROR(INDEX(parametros!$A$2:$A$6,MATCH(C116,parametros!$B$2:$B$6,0)),"")&lt;&gt;"Sim","Nao",IF(IFERROR(INDEX(parametros!$H$2:$H$6,MATCH(C116,parametros!$B$2:$B$6,0)),"")="","",IF(B116&gt;=IFERROR(INDEX(parametros!$H$2:$H$6,MATCH(C116,parametros!$B$2:$B$6,0)),""),"Sim","Nao"))))))</f>
        <v/>
      </c>
      <c r="M116" s="13"/>
      <c r="N116" s="13"/>
      <c r="O116" s="13"/>
      <c r="P116" s="13"/>
      <c r="Q116" s="13"/>
      <c r="R116" s="13"/>
      <c r="S116" s="13"/>
      <c r="T116" s="13"/>
      <c r="U116" s="214" t="str">
        <f t="shared" si="11"/>
        <v/>
      </c>
      <c r="V116" s="212" t="s">
        <v>50</v>
      </c>
      <c r="W116" s="100" t="s">
        <v>168</v>
      </c>
      <c r="X116" s="100" t="s">
        <v>169</v>
      </c>
      <c r="Y116" s="101" t="s">
        <v>170</v>
      </c>
      <c r="Z116" s="101" t="s">
        <v>171</v>
      </c>
      <c r="AA116" s="101" t="s">
        <v>50</v>
      </c>
      <c r="AB116" s="101" t="s">
        <v>172</v>
      </c>
      <c r="AC116" s="102" t="s">
        <v>173</v>
      </c>
    </row>
    <row r="117" spans="1:29" ht="25.5" customHeight="1" x14ac:dyDescent="0.35">
      <c r="A117" s="392"/>
      <c r="B117" s="393"/>
      <c r="C117" s="99" t="str">
        <f>IF(B117="","",IF(NOT(ISNUMBER(B117)),"DATA_PC invalida",IF(NOT(ISNUMBER(parametros!$C$2)),"Fora dos ciclos",IF(OR(B117&lt;parametros!$C$2,(YEAR(B117)-YEAR(parametros!$C$2))*12+MONTH(B117)-MONTH(parametros!$C$2)&gt;59),"Fora dos ciclos","C"&amp;INT(((YEAR(B117)-YEAR(parametros!$C$2))*12+MONTH(B117)-MONTH(parametros!$C$2))/12)))))</f>
        <v/>
      </c>
      <c r="D117" s="394"/>
      <c r="E117" s="78" t="str">
        <f>IF(C117="","",IFERROR(VLOOKUP(C117,parametros!$A$11:$E$15,5,0),""))</f>
        <v/>
      </c>
      <c r="F117" s="79" t="str">
        <f t="shared" si="7"/>
        <v/>
      </c>
      <c r="G117" s="395"/>
      <c r="H117" s="91">
        <f t="shared" si="8"/>
        <v>0</v>
      </c>
      <c r="I117" s="91" t="str">
        <f t="shared" si="9"/>
        <v/>
      </c>
      <c r="J117" s="91" t="str">
        <f t="shared" si="10"/>
        <v/>
      </c>
      <c r="K117" s="92" t="str">
        <f>IF(AND(A117="",B117="",D117="",G117=""),"",IF(AND(A117&lt;&gt;"",COUNTIF($A$2:$A$5001,A117)&gt;1),"NUMERO_PC duplicado",IF(B117="","DATA_PC vazia",IF(NOT(ISNUMBER(B117)),"DATA_PC invalida",IF(OR(C117="",C117="Fora dos ciclos"),"CICLO_PC nao identificado",IF(OR(D117="",D117=0),"VALOR_PC vazio ou zero",IF(AND(G117&lt;&gt;"Sim",G117&lt;&gt;"Nao",G117&lt;&gt;""),"PC_PAGO_A_CONTRATADA invalido",IF(AND(C117&lt;&gt;"C0",IFERROR(INDEX(parametros!$A$2:$A$6,MATCH(C117,parametros!$B$2:$B$6,0)),"")="Sim",IFERROR(INDEX(parametros!$H$2:$H$6,MATCH(C117,parametros!$B$2:$B$6,0)),"")=""),"INICIO_EFEITO ausente: PC "&amp;A117&amp;" - "&amp;C117,IF(L117="","EFEITO_PC nao calculado: PC "&amp;A117&amp;" - "&amp;C117,"OK")))))))))</f>
        <v/>
      </c>
      <c r="L117" s="92" t="str">
        <f>IF(AND(A117="",B117="",D117="",G117=""),"",IF(OR(B117="",NOT(ISNUMBER(B117)),C117="",C117="Fora dos ciclos"),"",IF(C117="C0","Nao",IF(IFERROR(INDEX(parametros!$A$2:$A$6,MATCH(C117,parametros!$B$2:$B$6,0)),"")&lt;&gt;"Sim","Nao",IF(IFERROR(INDEX(parametros!$H$2:$H$6,MATCH(C117,parametros!$B$2:$B$6,0)),"")="","",IF(B117&gt;=IFERROR(INDEX(parametros!$H$2:$H$6,MATCH(C117,parametros!$B$2:$B$6,0)),""),"Sim","Nao"))))))</f>
        <v/>
      </c>
      <c r="M117" s="13"/>
      <c r="N117" s="13"/>
      <c r="O117" s="13"/>
      <c r="P117" s="13"/>
      <c r="Q117" s="13"/>
      <c r="R117" s="13"/>
      <c r="S117" s="13"/>
      <c r="T117" s="13"/>
      <c r="U117" s="214" t="str">
        <f t="shared" si="11"/>
        <v/>
      </c>
      <c r="V117" s="212" t="s">
        <v>50</v>
      </c>
      <c r="W117" s="100" t="s">
        <v>168</v>
      </c>
      <c r="X117" s="100" t="s">
        <v>169</v>
      </c>
      <c r="Y117" s="101" t="s">
        <v>170</v>
      </c>
      <c r="Z117" s="101" t="s">
        <v>171</v>
      </c>
      <c r="AA117" s="101" t="s">
        <v>50</v>
      </c>
      <c r="AB117" s="101" t="s">
        <v>172</v>
      </c>
      <c r="AC117" s="102" t="s">
        <v>173</v>
      </c>
    </row>
    <row r="118" spans="1:29" ht="25.5" customHeight="1" x14ac:dyDescent="0.35">
      <c r="A118" s="392"/>
      <c r="B118" s="393"/>
      <c r="C118" s="99" t="str">
        <f>IF(B118="","",IF(NOT(ISNUMBER(B118)),"DATA_PC invalida",IF(NOT(ISNUMBER(parametros!$C$2)),"Fora dos ciclos",IF(OR(B118&lt;parametros!$C$2,(YEAR(B118)-YEAR(parametros!$C$2))*12+MONTH(B118)-MONTH(parametros!$C$2)&gt;59),"Fora dos ciclos","C"&amp;INT(((YEAR(B118)-YEAR(parametros!$C$2))*12+MONTH(B118)-MONTH(parametros!$C$2))/12)))))</f>
        <v/>
      </c>
      <c r="D118" s="394"/>
      <c r="E118" s="78" t="str">
        <f>IF(C118="","",IFERROR(VLOOKUP(C118,parametros!$A$11:$E$15,5,0),""))</f>
        <v/>
      </c>
      <c r="F118" s="79" t="str">
        <f t="shared" si="7"/>
        <v/>
      </c>
      <c r="G118" s="395"/>
      <c r="H118" s="91">
        <f t="shared" si="8"/>
        <v>0</v>
      </c>
      <c r="I118" s="91" t="str">
        <f t="shared" si="9"/>
        <v/>
      </c>
      <c r="J118" s="91" t="str">
        <f t="shared" si="10"/>
        <v/>
      </c>
      <c r="K118" s="92" t="str">
        <f>IF(AND(A118="",B118="",D118="",G118=""),"",IF(AND(A118&lt;&gt;"",COUNTIF($A$2:$A$5001,A118)&gt;1),"NUMERO_PC duplicado",IF(B118="","DATA_PC vazia",IF(NOT(ISNUMBER(B118)),"DATA_PC invalida",IF(OR(C118="",C118="Fora dos ciclos"),"CICLO_PC nao identificado",IF(OR(D118="",D118=0),"VALOR_PC vazio ou zero",IF(AND(G118&lt;&gt;"Sim",G118&lt;&gt;"Nao",G118&lt;&gt;""),"PC_PAGO_A_CONTRATADA invalido",IF(AND(C118&lt;&gt;"C0",IFERROR(INDEX(parametros!$A$2:$A$6,MATCH(C118,parametros!$B$2:$B$6,0)),"")="Sim",IFERROR(INDEX(parametros!$H$2:$H$6,MATCH(C118,parametros!$B$2:$B$6,0)),"")=""),"INICIO_EFEITO ausente: PC "&amp;A118&amp;" - "&amp;C118,IF(L118="","EFEITO_PC nao calculado: PC "&amp;A118&amp;" - "&amp;C118,"OK")))))))))</f>
        <v/>
      </c>
      <c r="L118" s="92" t="str">
        <f>IF(AND(A118="",B118="",D118="",G118=""),"",IF(OR(B118="",NOT(ISNUMBER(B118)),C118="",C118="Fora dos ciclos"),"",IF(C118="C0","Nao",IF(IFERROR(INDEX(parametros!$A$2:$A$6,MATCH(C118,parametros!$B$2:$B$6,0)),"")&lt;&gt;"Sim","Nao",IF(IFERROR(INDEX(parametros!$H$2:$H$6,MATCH(C118,parametros!$B$2:$B$6,0)),"")="","",IF(B118&gt;=IFERROR(INDEX(parametros!$H$2:$H$6,MATCH(C118,parametros!$B$2:$B$6,0)),""),"Sim","Nao"))))))</f>
        <v/>
      </c>
      <c r="M118" s="13"/>
      <c r="N118" s="13"/>
      <c r="O118" s="13"/>
      <c r="P118" s="13"/>
      <c r="Q118" s="13"/>
      <c r="R118" s="13"/>
      <c r="S118" s="13"/>
      <c r="T118" s="13"/>
      <c r="U118" s="214" t="str">
        <f t="shared" si="11"/>
        <v/>
      </c>
      <c r="V118" s="212" t="s">
        <v>50</v>
      </c>
      <c r="W118" s="100" t="s">
        <v>168</v>
      </c>
      <c r="X118" s="100" t="s">
        <v>169</v>
      </c>
      <c r="Y118" s="101" t="s">
        <v>170</v>
      </c>
      <c r="Z118" s="101" t="s">
        <v>171</v>
      </c>
      <c r="AA118" s="101" t="s">
        <v>50</v>
      </c>
      <c r="AB118" s="101" t="s">
        <v>172</v>
      </c>
      <c r="AC118" s="102" t="s">
        <v>173</v>
      </c>
    </row>
    <row r="119" spans="1:29" ht="25.5" customHeight="1" x14ac:dyDescent="0.35">
      <c r="A119" s="392"/>
      <c r="B119" s="393"/>
      <c r="C119" s="99" t="str">
        <f>IF(B119="","",IF(NOT(ISNUMBER(B119)),"DATA_PC invalida",IF(NOT(ISNUMBER(parametros!$C$2)),"Fora dos ciclos",IF(OR(B119&lt;parametros!$C$2,(YEAR(B119)-YEAR(parametros!$C$2))*12+MONTH(B119)-MONTH(parametros!$C$2)&gt;59),"Fora dos ciclos","C"&amp;INT(((YEAR(B119)-YEAR(parametros!$C$2))*12+MONTH(B119)-MONTH(parametros!$C$2))/12)))))</f>
        <v/>
      </c>
      <c r="D119" s="394"/>
      <c r="E119" s="78" t="str">
        <f>IF(C119="","",IFERROR(VLOOKUP(C119,parametros!$A$11:$E$15,5,0),""))</f>
        <v/>
      </c>
      <c r="F119" s="79" t="str">
        <f t="shared" si="7"/>
        <v/>
      </c>
      <c r="G119" s="395"/>
      <c r="H119" s="91">
        <f t="shared" si="8"/>
        <v>0</v>
      </c>
      <c r="I119" s="91" t="str">
        <f t="shared" si="9"/>
        <v/>
      </c>
      <c r="J119" s="91" t="str">
        <f t="shared" si="10"/>
        <v/>
      </c>
      <c r="K119" s="92" t="str">
        <f>IF(AND(A119="",B119="",D119="",G119=""),"",IF(AND(A119&lt;&gt;"",COUNTIF($A$2:$A$5001,A119)&gt;1),"NUMERO_PC duplicado",IF(B119="","DATA_PC vazia",IF(NOT(ISNUMBER(B119)),"DATA_PC invalida",IF(OR(C119="",C119="Fora dos ciclos"),"CICLO_PC nao identificado",IF(OR(D119="",D119=0),"VALOR_PC vazio ou zero",IF(AND(G119&lt;&gt;"Sim",G119&lt;&gt;"Nao",G119&lt;&gt;""),"PC_PAGO_A_CONTRATADA invalido",IF(AND(C119&lt;&gt;"C0",IFERROR(INDEX(parametros!$A$2:$A$6,MATCH(C119,parametros!$B$2:$B$6,0)),"")="Sim",IFERROR(INDEX(parametros!$H$2:$H$6,MATCH(C119,parametros!$B$2:$B$6,0)),"")=""),"INICIO_EFEITO ausente: PC "&amp;A119&amp;" - "&amp;C119,IF(L119="","EFEITO_PC nao calculado: PC "&amp;A119&amp;" - "&amp;C119,"OK")))))))))</f>
        <v/>
      </c>
      <c r="L119" s="92" t="str">
        <f>IF(AND(A119="",B119="",D119="",G119=""),"",IF(OR(B119="",NOT(ISNUMBER(B119)),C119="",C119="Fora dos ciclos"),"",IF(C119="C0","Nao",IF(IFERROR(INDEX(parametros!$A$2:$A$6,MATCH(C119,parametros!$B$2:$B$6,0)),"")&lt;&gt;"Sim","Nao",IF(IFERROR(INDEX(parametros!$H$2:$H$6,MATCH(C119,parametros!$B$2:$B$6,0)),"")="","",IF(B119&gt;=IFERROR(INDEX(parametros!$H$2:$H$6,MATCH(C119,parametros!$B$2:$B$6,0)),""),"Sim","Nao"))))))</f>
        <v/>
      </c>
      <c r="M119" s="13"/>
      <c r="N119" s="13"/>
      <c r="O119" s="13"/>
      <c r="P119" s="13"/>
      <c r="Q119" s="13"/>
      <c r="R119" s="13"/>
      <c r="S119" s="13"/>
      <c r="T119" s="13"/>
      <c r="U119" s="214" t="str">
        <f t="shared" si="11"/>
        <v/>
      </c>
      <c r="V119" s="212" t="s">
        <v>50</v>
      </c>
      <c r="W119" s="100" t="s">
        <v>168</v>
      </c>
      <c r="X119" s="100" t="s">
        <v>169</v>
      </c>
      <c r="Y119" s="101" t="s">
        <v>170</v>
      </c>
      <c r="Z119" s="101" t="s">
        <v>171</v>
      </c>
      <c r="AA119" s="101" t="s">
        <v>50</v>
      </c>
      <c r="AB119" s="101" t="s">
        <v>172</v>
      </c>
      <c r="AC119" s="102" t="s">
        <v>173</v>
      </c>
    </row>
    <row r="120" spans="1:29" ht="25.5" customHeight="1" x14ac:dyDescent="0.35">
      <c r="A120" s="392"/>
      <c r="B120" s="393"/>
      <c r="C120" s="99" t="str">
        <f>IF(B120="","",IF(NOT(ISNUMBER(B120)),"DATA_PC invalida",IF(NOT(ISNUMBER(parametros!$C$2)),"Fora dos ciclos",IF(OR(B120&lt;parametros!$C$2,(YEAR(B120)-YEAR(parametros!$C$2))*12+MONTH(B120)-MONTH(parametros!$C$2)&gt;59),"Fora dos ciclos","C"&amp;INT(((YEAR(B120)-YEAR(parametros!$C$2))*12+MONTH(B120)-MONTH(parametros!$C$2))/12)))))</f>
        <v/>
      </c>
      <c r="D120" s="394"/>
      <c r="E120" s="78" t="str">
        <f>IF(C120="","",IFERROR(VLOOKUP(C120,parametros!$A$11:$E$15,5,0),""))</f>
        <v/>
      </c>
      <c r="F120" s="79" t="str">
        <f t="shared" si="7"/>
        <v/>
      </c>
      <c r="G120" s="395"/>
      <c r="H120" s="91">
        <f t="shared" si="8"/>
        <v>0</v>
      </c>
      <c r="I120" s="91" t="str">
        <f t="shared" si="9"/>
        <v/>
      </c>
      <c r="J120" s="91" t="str">
        <f t="shared" si="10"/>
        <v/>
      </c>
      <c r="K120" s="92" t="str">
        <f>IF(AND(A120="",B120="",D120="",G120=""),"",IF(AND(A120&lt;&gt;"",COUNTIF($A$2:$A$5001,A120)&gt;1),"NUMERO_PC duplicado",IF(B120="","DATA_PC vazia",IF(NOT(ISNUMBER(B120)),"DATA_PC invalida",IF(OR(C120="",C120="Fora dos ciclos"),"CICLO_PC nao identificado",IF(OR(D120="",D120=0),"VALOR_PC vazio ou zero",IF(AND(G120&lt;&gt;"Sim",G120&lt;&gt;"Nao",G120&lt;&gt;""),"PC_PAGO_A_CONTRATADA invalido",IF(AND(C120&lt;&gt;"C0",IFERROR(INDEX(parametros!$A$2:$A$6,MATCH(C120,parametros!$B$2:$B$6,0)),"")="Sim",IFERROR(INDEX(parametros!$H$2:$H$6,MATCH(C120,parametros!$B$2:$B$6,0)),"")=""),"INICIO_EFEITO ausente: PC "&amp;A120&amp;" - "&amp;C120,IF(L120="","EFEITO_PC nao calculado: PC "&amp;A120&amp;" - "&amp;C120,"OK")))))))))</f>
        <v/>
      </c>
      <c r="L120" s="92" t="str">
        <f>IF(AND(A120="",B120="",D120="",G120=""),"",IF(OR(B120="",NOT(ISNUMBER(B120)),C120="",C120="Fora dos ciclos"),"",IF(C120="C0","Nao",IF(IFERROR(INDEX(parametros!$A$2:$A$6,MATCH(C120,parametros!$B$2:$B$6,0)),"")&lt;&gt;"Sim","Nao",IF(IFERROR(INDEX(parametros!$H$2:$H$6,MATCH(C120,parametros!$B$2:$B$6,0)),"")="","",IF(B120&gt;=IFERROR(INDEX(parametros!$H$2:$H$6,MATCH(C120,parametros!$B$2:$B$6,0)),""),"Sim","Nao"))))))</f>
        <v/>
      </c>
      <c r="M120" s="13"/>
      <c r="N120" s="13"/>
      <c r="O120" s="13"/>
      <c r="P120" s="13"/>
      <c r="Q120" s="13"/>
      <c r="R120" s="13"/>
      <c r="S120" s="13"/>
      <c r="T120" s="13"/>
      <c r="U120" s="214" t="str">
        <f t="shared" si="11"/>
        <v/>
      </c>
      <c r="V120" s="212" t="s">
        <v>50</v>
      </c>
      <c r="W120" s="100" t="s">
        <v>168</v>
      </c>
      <c r="X120" s="100" t="s">
        <v>169</v>
      </c>
      <c r="Y120" s="101" t="s">
        <v>170</v>
      </c>
      <c r="Z120" s="101" t="s">
        <v>171</v>
      </c>
      <c r="AA120" s="101" t="s">
        <v>50</v>
      </c>
      <c r="AB120" s="101" t="s">
        <v>172</v>
      </c>
      <c r="AC120" s="102" t="s">
        <v>173</v>
      </c>
    </row>
    <row r="121" spans="1:29" ht="25.5" customHeight="1" x14ac:dyDescent="0.35">
      <c r="A121" s="392"/>
      <c r="B121" s="393"/>
      <c r="C121" s="99" t="str">
        <f>IF(B121="","",IF(NOT(ISNUMBER(B121)),"DATA_PC invalida",IF(NOT(ISNUMBER(parametros!$C$2)),"Fora dos ciclos",IF(OR(B121&lt;parametros!$C$2,(YEAR(B121)-YEAR(parametros!$C$2))*12+MONTH(B121)-MONTH(parametros!$C$2)&gt;59),"Fora dos ciclos","C"&amp;INT(((YEAR(B121)-YEAR(parametros!$C$2))*12+MONTH(B121)-MONTH(parametros!$C$2))/12)))))</f>
        <v/>
      </c>
      <c r="D121" s="394"/>
      <c r="E121" s="78" t="str">
        <f>IF(C121="","",IFERROR(VLOOKUP(C121,parametros!$A$11:$E$15,5,0),""))</f>
        <v/>
      </c>
      <c r="F121" s="79" t="str">
        <f t="shared" si="7"/>
        <v/>
      </c>
      <c r="G121" s="395"/>
      <c r="H121" s="91">
        <f t="shared" si="8"/>
        <v>0</v>
      </c>
      <c r="I121" s="91" t="str">
        <f t="shared" si="9"/>
        <v/>
      </c>
      <c r="J121" s="91" t="str">
        <f t="shared" si="10"/>
        <v/>
      </c>
      <c r="K121" s="92" t="str">
        <f>IF(AND(A121="",B121="",D121="",G121=""),"",IF(AND(A121&lt;&gt;"",COUNTIF($A$2:$A$5001,A121)&gt;1),"NUMERO_PC duplicado",IF(B121="","DATA_PC vazia",IF(NOT(ISNUMBER(B121)),"DATA_PC invalida",IF(OR(C121="",C121="Fora dos ciclos"),"CICLO_PC nao identificado",IF(OR(D121="",D121=0),"VALOR_PC vazio ou zero",IF(AND(G121&lt;&gt;"Sim",G121&lt;&gt;"Nao",G121&lt;&gt;""),"PC_PAGO_A_CONTRATADA invalido",IF(AND(C121&lt;&gt;"C0",IFERROR(INDEX(parametros!$A$2:$A$6,MATCH(C121,parametros!$B$2:$B$6,0)),"")="Sim",IFERROR(INDEX(parametros!$H$2:$H$6,MATCH(C121,parametros!$B$2:$B$6,0)),"")=""),"INICIO_EFEITO ausente: PC "&amp;A121&amp;" - "&amp;C121,IF(L121="","EFEITO_PC nao calculado: PC "&amp;A121&amp;" - "&amp;C121,"OK")))))))))</f>
        <v/>
      </c>
      <c r="L121" s="92" t="str">
        <f>IF(AND(A121="",B121="",D121="",G121=""),"",IF(OR(B121="",NOT(ISNUMBER(B121)),C121="",C121="Fora dos ciclos"),"",IF(C121="C0","Nao",IF(IFERROR(INDEX(parametros!$A$2:$A$6,MATCH(C121,parametros!$B$2:$B$6,0)),"")&lt;&gt;"Sim","Nao",IF(IFERROR(INDEX(parametros!$H$2:$H$6,MATCH(C121,parametros!$B$2:$B$6,0)),"")="","",IF(B121&gt;=IFERROR(INDEX(parametros!$H$2:$H$6,MATCH(C121,parametros!$B$2:$B$6,0)),""),"Sim","Nao"))))))</f>
        <v/>
      </c>
      <c r="M121" s="13"/>
      <c r="N121" s="13"/>
      <c r="O121" s="13"/>
      <c r="P121" s="13"/>
      <c r="Q121" s="13"/>
      <c r="R121" s="13"/>
      <c r="S121" s="13"/>
      <c r="T121" s="13"/>
      <c r="U121" s="214" t="str">
        <f t="shared" si="11"/>
        <v/>
      </c>
      <c r="V121" s="212" t="s">
        <v>50</v>
      </c>
      <c r="W121" s="100" t="s">
        <v>168</v>
      </c>
      <c r="X121" s="100" t="s">
        <v>169</v>
      </c>
      <c r="Y121" s="101" t="s">
        <v>170</v>
      </c>
      <c r="Z121" s="101" t="s">
        <v>171</v>
      </c>
      <c r="AA121" s="101" t="s">
        <v>50</v>
      </c>
      <c r="AB121" s="101" t="s">
        <v>172</v>
      </c>
      <c r="AC121" s="102" t="s">
        <v>173</v>
      </c>
    </row>
    <row r="122" spans="1:29" ht="25.5" customHeight="1" x14ac:dyDescent="0.35">
      <c r="A122" s="392"/>
      <c r="B122" s="393"/>
      <c r="C122" s="99" t="str">
        <f>IF(B122="","",IF(NOT(ISNUMBER(B122)),"DATA_PC invalida",IF(NOT(ISNUMBER(parametros!$C$2)),"Fora dos ciclos",IF(OR(B122&lt;parametros!$C$2,(YEAR(B122)-YEAR(parametros!$C$2))*12+MONTH(B122)-MONTH(parametros!$C$2)&gt;59),"Fora dos ciclos","C"&amp;INT(((YEAR(B122)-YEAR(parametros!$C$2))*12+MONTH(B122)-MONTH(parametros!$C$2))/12)))))</f>
        <v/>
      </c>
      <c r="D122" s="394"/>
      <c r="E122" s="78" t="str">
        <f>IF(C122="","",IFERROR(VLOOKUP(C122,parametros!$A$11:$E$15,5,0),""))</f>
        <v/>
      </c>
      <c r="F122" s="79" t="str">
        <f t="shared" si="7"/>
        <v/>
      </c>
      <c r="G122" s="395"/>
      <c r="H122" s="91">
        <f t="shared" si="8"/>
        <v>0</v>
      </c>
      <c r="I122" s="91" t="str">
        <f t="shared" si="9"/>
        <v/>
      </c>
      <c r="J122" s="91" t="str">
        <f t="shared" si="10"/>
        <v/>
      </c>
      <c r="K122" s="92" t="str">
        <f>IF(AND(A122="",B122="",D122="",G122=""),"",IF(AND(A122&lt;&gt;"",COUNTIF($A$2:$A$5001,A122)&gt;1),"NUMERO_PC duplicado",IF(B122="","DATA_PC vazia",IF(NOT(ISNUMBER(B122)),"DATA_PC invalida",IF(OR(C122="",C122="Fora dos ciclos"),"CICLO_PC nao identificado",IF(OR(D122="",D122=0),"VALOR_PC vazio ou zero",IF(AND(G122&lt;&gt;"Sim",G122&lt;&gt;"Nao",G122&lt;&gt;""),"PC_PAGO_A_CONTRATADA invalido",IF(AND(C122&lt;&gt;"C0",IFERROR(INDEX(parametros!$A$2:$A$6,MATCH(C122,parametros!$B$2:$B$6,0)),"")="Sim",IFERROR(INDEX(parametros!$H$2:$H$6,MATCH(C122,parametros!$B$2:$B$6,0)),"")=""),"INICIO_EFEITO ausente: PC "&amp;A122&amp;" - "&amp;C122,IF(L122="","EFEITO_PC nao calculado: PC "&amp;A122&amp;" - "&amp;C122,"OK")))))))))</f>
        <v/>
      </c>
      <c r="L122" s="92" t="str">
        <f>IF(AND(A122="",B122="",D122="",G122=""),"",IF(OR(B122="",NOT(ISNUMBER(B122)),C122="",C122="Fora dos ciclos"),"",IF(C122="C0","Nao",IF(IFERROR(INDEX(parametros!$A$2:$A$6,MATCH(C122,parametros!$B$2:$B$6,0)),"")&lt;&gt;"Sim","Nao",IF(IFERROR(INDEX(parametros!$H$2:$H$6,MATCH(C122,parametros!$B$2:$B$6,0)),"")="","",IF(B122&gt;=IFERROR(INDEX(parametros!$H$2:$H$6,MATCH(C122,parametros!$B$2:$B$6,0)),""),"Sim","Nao"))))))</f>
        <v/>
      </c>
      <c r="M122" s="13"/>
      <c r="N122" s="13"/>
      <c r="O122" s="13"/>
      <c r="P122" s="13"/>
      <c r="Q122" s="13"/>
      <c r="R122" s="13"/>
      <c r="S122" s="13"/>
      <c r="T122" s="13"/>
      <c r="U122" s="214" t="str">
        <f t="shared" si="11"/>
        <v/>
      </c>
      <c r="V122" s="212" t="s">
        <v>50</v>
      </c>
      <c r="W122" s="100" t="s">
        <v>168</v>
      </c>
      <c r="X122" s="100" t="s">
        <v>169</v>
      </c>
      <c r="Y122" s="101" t="s">
        <v>170</v>
      </c>
      <c r="Z122" s="101" t="s">
        <v>171</v>
      </c>
      <c r="AA122" s="101" t="s">
        <v>50</v>
      </c>
      <c r="AB122" s="101" t="s">
        <v>172</v>
      </c>
      <c r="AC122" s="102" t="s">
        <v>173</v>
      </c>
    </row>
    <row r="123" spans="1:29" ht="25.5" customHeight="1" x14ac:dyDescent="0.35">
      <c r="A123" s="392"/>
      <c r="B123" s="393"/>
      <c r="C123" s="99" t="str">
        <f>IF(B123="","",IF(NOT(ISNUMBER(B123)),"DATA_PC invalida",IF(NOT(ISNUMBER(parametros!$C$2)),"Fora dos ciclos",IF(OR(B123&lt;parametros!$C$2,(YEAR(B123)-YEAR(parametros!$C$2))*12+MONTH(B123)-MONTH(parametros!$C$2)&gt;59),"Fora dos ciclos","C"&amp;INT(((YEAR(B123)-YEAR(parametros!$C$2))*12+MONTH(B123)-MONTH(parametros!$C$2))/12)))))</f>
        <v/>
      </c>
      <c r="D123" s="394"/>
      <c r="E123" s="78" t="str">
        <f>IF(C123="","",IFERROR(VLOOKUP(C123,parametros!$A$11:$E$15,5,0),""))</f>
        <v/>
      </c>
      <c r="F123" s="79" t="str">
        <f t="shared" si="7"/>
        <v/>
      </c>
      <c r="G123" s="395"/>
      <c r="H123" s="91">
        <f t="shared" si="8"/>
        <v>0</v>
      </c>
      <c r="I123" s="91" t="str">
        <f t="shared" si="9"/>
        <v/>
      </c>
      <c r="J123" s="91" t="str">
        <f t="shared" si="10"/>
        <v/>
      </c>
      <c r="K123" s="92" t="str">
        <f>IF(AND(A123="",B123="",D123="",G123=""),"",IF(AND(A123&lt;&gt;"",COUNTIF($A$2:$A$5001,A123)&gt;1),"NUMERO_PC duplicado",IF(B123="","DATA_PC vazia",IF(NOT(ISNUMBER(B123)),"DATA_PC invalida",IF(OR(C123="",C123="Fora dos ciclos"),"CICLO_PC nao identificado",IF(OR(D123="",D123=0),"VALOR_PC vazio ou zero",IF(AND(G123&lt;&gt;"Sim",G123&lt;&gt;"Nao",G123&lt;&gt;""),"PC_PAGO_A_CONTRATADA invalido",IF(AND(C123&lt;&gt;"C0",IFERROR(INDEX(parametros!$A$2:$A$6,MATCH(C123,parametros!$B$2:$B$6,0)),"")="Sim",IFERROR(INDEX(parametros!$H$2:$H$6,MATCH(C123,parametros!$B$2:$B$6,0)),"")=""),"INICIO_EFEITO ausente: PC "&amp;A123&amp;" - "&amp;C123,IF(L123="","EFEITO_PC nao calculado: PC "&amp;A123&amp;" - "&amp;C123,"OK")))))))))</f>
        <v/>
      </c>
      <c r="L123" s="92" t="str">
        <f>IF(AND(A123="",B123="",D123="",G123=""),"",IF(OR(B123="",NOT(ISNUMBER(B123)),C123="",C123="Fora dos ciclos"),"",IF(C123="C0","Nao",IF(IFERROR(INDEX(parametros!$A$2:$A$6,MATCH(C123,parametros!$B$2:$B$6,0)),"")&lt;&gt;"Sim","Nao",IF(IFERROR(INDEX(parametros!$H$2:$H$6,MATCH(C123,parametros!$B$2:$B$6,0)),"")="","",IF(B123&gt;=IFERROR(INDEX(parametros!$H$2:$H$6,MATCH(C123,parametros!$B$2:$B$6,0)),""),"Sim","Nao"))))))</f>
        <v/>
      </c>
      <c r="M123" s="13"/>
      <c r="N123" s="13"/>
      <c r="O123" s="13"/>
      <c r="P123" s="13"/>
      <c r="Q123" s="13"/>
      <c r="R123" s="13"/>
      <c r="S123" s="13"/>
      <c r="T123" s="13"/>
      <c r="U123" s="214" t="str">
        <f t="shared" si="11"/>
        <v/>
      </c>
      <c r="V123" s="212" t="s">
        <v>50</v>
      </c>
      <c r="W123" s="100" t="s">
        <v>168</v>
      </c>
      <c r="X123" s="100" t="s">
        <v>169</v>
      </c>
      <c r="Y123" s="101" t="s">
        <v>170</v>
      </c>
      <c r="Z123" s="101" t="s">
        <v>171</v>
      </c>
      <c r="AA123" s="101" t="s">
        <v>50</v>
      </c>
      <c r="AB123" s="101" t="s">
        <v>172</v>
      </c>
      <c r="AC123" s="102" t="s">
        <v>173</v>
      </c>
    </row>
    <row r="124" spans="1:29" ht="25.5" customHeight="1" x14ac:dyDescent="0.35">
      <c r="A124" s="392"/>
      <c r="B124" s="393"/>
      <c r="C124" s="99" t="str">
        <f>IF(B124="","",IF(NOT(ISNUMBER(B124)),"DATA_PC invalida",IF(NOT(ISNUMBER(parametros!$C$2)),"Fora dos ciclos",IF(OR(B124&lt;parametros!$C$2,(YEAR(B124)-YEAR(parametros!$C$2))*12+MONTH(B124)-MONTH(parametros!$C$2)&gt;59),"Fora dos ciclos","C"&amp;INT(((YEAR(B124)-YEAR(parametros!$C$2))*12+MONTH(B124)-MONTH(parametros!$C$2))/12)))))</f>
        <v/>
      </c>
      <c r="D124" s="394"/>
      <c r="E124" s="78" t="str">
        <f>IF(C124="","",IFERROR(VLOOKUP(C124,parametros!$A$11:$E$15,5,0),""))</f>
        <v/>
      </c>
      <c r="F124" s="79" t="str">
        <f t="shared" si="7"/>
        <v/>
      </c>
      <c r="G124" s="395"/>
      <c r="H124" s="91">
        <f t="shared" si="8"/>
        <v>0</v>
      </c>
      <c r="I124" s="91" t="str">
        <f t="shared" si="9"/>
        <v/>
      </c>
      <c r="J124" s="91" t="str">
        <f t="shared" si="10"/>
        <v/>
      </c>
      <c r="K124" s="92" t="str">
        <f>IF(AND(A124="",B124="",D124="",G124=""),"",IF(AND(A124&lt;&gt;"",COUNTIF($A$2:$A$5001,A124)&gt;1),"NUMERO_PC duplicado",IF(B124="","DATA_PC vazia",IF(NOT(ISNUMBER(B124)),"DATA_PC invalida",IF(OR(C124="",C124="Fora dos ciclos"),"CICLO_PC nao identificado",IF(OR(D124="",D124=0),"VALOR_PC vazio ou zero",IF(AND(G124&lt;&gt;"Sim",G124&lt;&gt;"Nao",G124&lt;&gt;""),"PC_PAGO_A_CONTRATADA invalido",IF(AND(C124&lt;&gt;"C0",IFERROR(INDEX(parametros!$A$2:$A$6,MATCH(C124,parametros!$B$2:$B$6,0)),"")="Sim",IFERROR(INDEX(parametros!$H$2:$H$6,MATCH(C124,parametros!$B$2:$B$6,0)),"")=""),"INICIO_EFEITO ausente: PC "&amp;A124&amp;" - "&amp;C124,IF(L124="","EFEITO_PC nao calculado: PC "&amp;A124&amp;" - "&amp;C124,"OK")))))))))</f>
        <v/>
      </c>
      <c r="L124" s="92" t="str">
        <f>IF(AND(A124="",B124="",D124="",G124=""),"",IF(OR(B124="",NOT(ISNUMBER(B124)),C124="",C124="Fora dos ciclos"),"",IF(C124="C0","Nao",IF(IFERROR(INDEX(parametros!$A$2:$A$6,MATCH(C124,parametros!$B$2:$B$6,0)),"")&lt;&gt;"Sim","Nao",IF(IFERROR(INDEX(parametros!$H$2:$H$6,MATCH(C124,parametros!$B$2:$B$6,0)),"")="","",IF(B124&gt;=IFERROR(INDEX(parametros!$H$2:$H$6,MATCH(C124,parametros!$B$2:$B$6,0)),""),"Sim","Nao"))))))</f>
        <v/>
      </c>
      <c r="M124" s="13"/>
      <c r="N124" s="13"/>
      <c r="O124" s="13"/>
      <c r="P124" s="13"/>
      <c r="Q124" s="13"/>
      <c r="R124" s="13"/>
      <c r="S124" s="13"/>
      <c r="T124" s="13"/>
      <c r="U124" s="214" t="str">
        <f t="shared" si="11"/>
        <v/>
      </c>
      <c r="V124" s="212" t="s">
        <v>50</v>
      </c>
      <c r="W124" s="100" t="s">
        <v>168</v>
      </c>
      <c r="X124" s="100" t="s">
        <v>169</v>
      </c>
      <c r="Y124" s="101" t="s">
        <v>170</v>
      </c>
      <c r="Z124" s="101" t="s">
        <v>171</v>
      </c>
      <c r="AA124" s="101" t="s">
        <v>50</v>
      </c>
      <c r="AB124" s="101" t="s">
        <v>172</v>
      </c>
      <c r="AC124" s="102" t="s">
        <v>173</v>
      </c>
    </row>
    <row r="125" spans="1:29" ht="25.5" customHeight="1" x14ac:dyDescent="0.35">
      <c r="A125" s="392"/>
      <c r="B125" s="393"/>
      <c r="C125" s="99" t="str">
        <f>IF(B125="","",IF(NOT(ISNUMBER(B125)),"DATA_PC invalida",IF(NOT(ISNUMBER(parametros!$C$2)),"Fora dos ciclos",IF(OR(B125&lt;parametros!$C$2,(YEAR(B125)-YEAR(parametros!$C$2))*12+MONTH(B125)-MONTH(parametros!$C$2)&gt;59),"Fora dos ciclos","C"&amp;INT(((YEAR(B125)-YEAR(parametros!$C$2))*12+MONTH(B125)-MONTH(parametros!$C$2))/12)))))</f>
        <v/>
      </c>
      <c r="D125" s="394"/>
      <c r="E125" s="78" t="str">
        <f>IF(C125="","",IFERROR(VLOOKUP(C125,parametros!$A$11:$E$15,5,0),""))</f>
        <v/>
      </c>
      <c r="F125" s="79" t="str">
        <f t="shared" si="7"/>
        <v/>
      </c>
      <c r="G125" s="395"/>
      <c r="H125" s="91">
        <f t="shared" si="8"/>
        <v>0</v>
      </c>
      <c r="I125" s="91" t="str">
        <f t="shared" si="9"/>
        <v/>
      </c>
      <c r="J125" s="91" t="str">
        <f t="shared" si="10"/>
        <v/>
      </c>
      <c r="K125" s="92" t="str">
        <f>IF(AND(A125="",B125="",D125="",G125=""),"",IF(AND(A125&lt;&gt;"",COUNTIF($A$2:$A$5001,A125)&gt;1),"NUMERO_PC duplicado",IF(B125="","DATA_PC vazia",IF(NOT(ISNUMBER(B125)),"DATA_PC invalida",IF(OR(C125="",C125="Fora dos ciclos"),"CICLO_PC nao identificado",IF(OR(D125="",D125=0),"VALOR_PC vazio ou zero",IF(AND(G125&lt;&gt;"Sim",G125&lt;&gt;"Nao",G125&lt;&gt;""),"PC_PAGO_A_CONTRATADA invalido",IF(AND(C125&lt;&gt;"C0",IFERROR(INDEX(parametros!$A$2:$A$6,MATCH(C125,parametros!$B$2:$B$6,0)),"")="Sim",IFERROR(INDEX(parametros!$H$2:$H$6,MATCH(C125,parametros!$B$2:$B$6,0)),"")=""),"INICIO_EFEITO ausente: PC "&amp;A125&amp;" - "&amp;C125,IF(L125="","EFEITO_PC nao calculado: PC "&amp;A125&amp;" - "&amp;C125,"OK")))))))))</f>
        <v/>
      </c>
      <c r="L125" s="92" t="str">
        <f>IF(AND(A125="",B125="",D125="",G125=""),"",IF(OR(B125="",NOT(ISNUMBER(B125)),C125="",C125="Fora dos ciclos"),"",IF(C125="C0","Nao",IF(IFERROR(INDEX(parametros!$A$2:$A$6,MATCH(C125,parametros!$B$2:$B$6,0)),"")&lt;&gt;"Sim","Nao",IF(IFERROR(INDEX(parametros!$H$2:$H$6,MATCH(C125,parametros!$B$2:$B$6,0)),"")="","",IF(B125&gt;=IFERROR(INDEX(parametros!$H$2:$H$6,MATCH(C125,parametros!$B$2:$B$6,0)),""),"Sim","Nao"))))))</f>
        <v/>
      </c>
      <c r="M125" s="13"/>
      <c r="N125" s="13"/>
      <c r="O125" s="13"/>
      <c r="P125" s="13"/>
      <c r="Q125" s="13"/>
      <c r="R125" s="13"/>
      <c r="S125" s="13"/>
      <c r="T125" s="13"/>
      <c r="U125" s="214" t="str">
        <f t="shared" si="11"/>
        <v/>
      </c>
      <c r="V125" s="212" t="s">
        <v>50</v>
      </c>
      <c r="W125" s="100" t="s">
        <v>168</v>
      </c>
      <c r="X125" s="100" t="s">
        <v>169</v>
      </c>
      <c r="Y125" s="101" t="s">
        <v>170</v>
      </c>
      <c r="Z125" s="101" t="s">
        <v>171</v>
      </c>
      <c r="AA125" s="101" t="s">
        <v>50</v>
      </c>
      <c r="AB125" s="101" t="s">
        <v>172</v>
      </c>
      <c r="AC125" s="102" t="s">
        <v>173</v>
      </c>
    </row>
    <row r="126" spans="1:29" ht="25.5" customHeight="1" x14ac:dyDescent="0.35">
      <c r="A126" s="392"/>
      <c r="B126" s="393"/>
      <c r="C126" s="99" t="str">
        <f>IF(B126="","",IF(NOT(ISNUMBER(B126)),"DATA_PC invalida",IF(NOT(ISNUMBER(parametros!$C$2)),"Fora dos ciclos",IF(OR(B126&lt;parametros!$C$2,(YEAR(B126)-YEAR(parametros!$C$2))*12+MONTH(B126)-MONTH(parametros!$C$2)&gt;59),"Fora dos ciclos","C"&amp;INT(((YEAR(B126)-YEAR(parametros!$C$2))*12+MONTH(B126)-MONTH(parametros!$C$2))/12)))))</f>
        <v/>
      </c>
      <c r="D126" s="394"/>
      <c r="E126" s="78" t="str">
        <f>IF(C126="","",IFERROR(VLOOKUP(C126,parametros!$A$11:$E$15,5,0),""))</f>
        <v/>
      </c>
      <c r="F126" s="79" t="str">
        <f t="shared" si="7"/>
        <v/>
      </c>
      <c r="G126" s="395"/>
      <c r="H126" s="91">
        <f t="shared" si="8"/>
        <v>0</v>
      </c>
      <c r="I126" s="91" t="str">
        <f t="shared" si="9"/>
        <v/>
      </c>
      <c r="J126" s="91" t="str">
        <f t="shared" si="10"/>
        <v/>
      </c>
      <c r="K126" s="92" t="str">
        <f>IF(AND(A126="",B126="",D126="",G126=""),"",IF(AND(A126&lt;&gt;"",COUNTIF($A$2:$A$5001,A126)&gt;1),"NUMERO_PC duplicado",IF(B126="","DATA_PC vazia",IF(NOT(ISNUMBER(B126)),"DATA_PC invalida",IF(OR(C126="",C126="Fora dos ciclos"),"CICLO_PC nao identificado",IF(OR(D126="",D126=0),"VALOR_PC vazio ou zero",IF(AND(G126&lt;&gt;"Sim",G126&lt;&gt;"Nao",G126&lt;&gt;""),"PC_PAGO_A_CONTRATADA invalido",IF(AND(C126&lt;&gt;"C0",IFERROR(INDEX(parametros!$A$2:$A$6,MATCH(C126,parametros!$B$2:$B$6,0)),"")="Sim",IFERROR(INDEX(parametros!$H$2:$H$6,MATCH(C126,parametros!$B$2:$B$6,0)),"")=""),"INICIO_EFEITO ausente: PC "&amp;A126&amp;" - "&amp;C126,IF(L126="","EFEITO_PC nao calculado: PC "&amp;A126&amp;" - "&amp;C126,"OK")))))))))</f>
        <v/>
      </c>
      <c r="L126" s="92" t="str">
        <f>IF(AND(A126="",B126="",D126="",G126=""),"",IF(OR(B126="",NOT(ISNUMBER(B126)),C126="",C126="Fora dos ciclos"),"",IF(C126="C0","Nao",IF(IFERROR(INDEX(parametros!$A$2:$A$6,MATCH(C126,parametros!$B$2:$B$6,0)),"")&lt;&gt;"Sim","Nao",IF(IFERROR(INDEX(parametros!$H$2:$H$6,MATCH(C126,parametros!$B$2:$B$6,0)),"")="","",IF(B126&gt;=IFERROR(INDEX(parametros!$H$2:$H$6,MATCH(C126,parametros!$B$2:$B$6,0)),""),"Sim","Nao"))))))</f>
        <v/>
      </c>
      <c r="M126" s="13"/>
      <c r="N126" s="13"/>
      <c r="O126" s="13"/>
      <c r="P126" s="13"/>
      <c r="Q126" s="13"/>
      <c r="R126" s="13"/>
      <c r="S126" s="13"/>
      <c r="T126" s="13"/>
      <c r="U126" s="214" t="str">
        <f t="shared" si="11"/>
        <v/>
      </c>
      <c r="V126" s="212" t="s">
        <v>50</v>
      </c>
      <c r="W126" s="100" t="s">
        <v>168</v>
      </c>
      <c r="X126" s="100" t="s">
        <v>169</v>
      </c>
      <c r="Y126" s="101" t="s">
        <v>170</v>
      </c>
      <c r="Z126" s="101" t="s">
        <v>171</v>
      </c>
      <c r="AA126" s="101" t="s">
        <v>50</v>
      </c>
      <c r="AB126" s="101" t="s">
        <v>172</v>
      </c>
      <c r="AC126" s="102" t="s">
        <v>173</v>
      </c>
    </row>
    <row r="127" spans="1:29" ht="25.5" customHeight="1" x14ac:dyDescent="0.35">
      <c r="A127" s="392"/>
      <c r="B127" s="393"/>
      <c r="C127" s="99" t="str">
        <f>IF(B127="","",IF(NOT(ISNUMBER(B127)),"DATA_PC invalida",IF(NOT(ISNUMBER(parametros!$C$2)),"Fora dos ciclos",IF(OR(B127&lt;parametros!$C$2,(YEAR(B127)-YEAR(parametros!$C$2))*12+MONTH(B127)-MONTH(parametros!$C$2)&gt;59),"Fora dos ciclos","C"&amp;INT(((YEAR(B127)-YEAR(parametros!$C$2))*12+MONTH(B127)-MONTH(parametros!$C$2))/12)))))</f>
        <v/>
      </c>
      <c r="D127" s="394"/>
      <c r="E127" s="78" t="str">
        <f>IF(C127="","",IFERROR(VLOOKUP(C127,parametros!$A$11:$E$15,5,0),""))</f>
        <v/>
      </c>
      <c r="F127" s="79" t="str">
        <f t="shared" si="7"/>
        <v/>
      </c>
      <c r="G127" s="395"/>
      <c r="H127" s="91">
        <f t="shared" si="8"/>
        <v>0</v>
      </c>
      <c r="I127" s="91" t="str">
        <f t="shared" si="9"/>
        <v/>
      </c>
      <c r="J127" s="91" t="str">
        <f t="shared" si="10"/>
        <v/>
      </c>
      <c r="K127" s="92" t="str">
        <f>IF(AND(A127="",B127="",D127="",G127=""),"",IF(AND(A127&lt;&gt;"",COUNTIF($A$2:$A$5001,A127)&gt;1),"NUMERO_PC duplicado",IF(B127="","DATA_PC vazia",IF(NOT(ISNUMBER(B127)),"DATA_PC invalida",IF(OR(C127="",C127="Fora dos ciclos"),"CICLO_PC nao identificado",IF(OR(D127="",D127=0),"VALOR_PC vazio ou zero",IF(AND(G127&lt;&gt;"Sim",G127&lt;&gt;"Nao",G127&lt;&gt;""),"PC_PAGO_A_CONTRATADA invalido",IF(AND(C127&lt;&gt;"C0",IFERROR(INDEX(parametros!$A$2:$A$6,MATCH(C127,parametros!$B$2:$B$6,0)),"")="Sim",IFERROR(INDEX(parametros!$H$2:$H$6,MATCH(C127,parametros!$B$2:$B$6,0)),"")=""),"INICIO_EFEITO ausente: PC "&amp;A127&amp;" - "&amp;C127,IF(L127="","EFEITO_PC nao calculado: PC "&amp;A127&amp;" - "&amp;C127,"OK")))))))))</f>
        <v/>
      </c>
      <c r="L127" s="92" t="str">
        <f>IF(AND(A127="",B127="",D127="",G127=""),"",IF(OR(B127="",NOT(ISNUMBER(B127)),C127="",C127="Fora dos ciclos"),"",IF(C127="C0","Nao",IF(IFERROR(INDEX(parametros!$A$2:$A$6,MATCH(C127,parametros!$B$2:$B$6,0)),"")&lt;&gt;"Sim","Nao",IF(IFERROR(INDEX(parametros!$H$2:$H$6,MATCH(C127,parametros!$B$2:$B$6,0)),"")="","",IF(B127&gt;=IFERROR(INDEX(parametros!$H$2:$H$6,MATCH(C127,parametros!$B$2:$B$6,0)),""),"Sim","Nao"))))))</f>
        <v/>
      </c>
      <c r="M127" s="13"/>
      <c r="N127" s="13"/>
      <c r="O127" s="13"/>
      <c r="P127" s="13"/>
      <c r="Q127" s="13"/>
      <c r="R127" s="13"/>
      <c r="S127" s="13"/>
      <c r="T127" s="13"/>
      <c r="U127" s="214" t="str">
        <f t="shared" si="11"/>
        <v/>
      </c>
      <c r="V127" s="212" t="s">
        <v>50</v>
      </c>
      <c r="W127" s="100" t="s">
        <v>168</v>
      </c>
      <c r="X127" s="100" t="s">
        <v>169</v>
      </c>
      <c r="Y127" s="101" t="s">
        <v>170</v>
      </c>
      <c r="Z127" s="101" t="s">
        <v>171</v>
      </c>
      <c r="AA127" s="101" t="s">
        <v>50</v>
      </c>
      <c r="AB127" s="101" t="s">
        <v>172</v>
      </c>
      <c r="AC127" s="102" t="s">
        <v>173</v>
      </c>
    </row>
    <row r="128" spans="1:29" ht="25.5" customHeight="1" x14ac:dyDescent="0.35">
      <c r="A128" s="392"/>
      <c r="B128" s="393"/>
      <c r="C128" s="99" t="str">
        <f>IF(B128="","",IF(NOT(ISNUMBER(B128)),"DATA_PC invalida",IF(NOT(ISNUMBER(parametros!$C$2)),"Fora dos ciclos",IF(OR(B128&lt;parametros!$C$2,(YEAR(B128)-YEAR(parametros!$C$2))*12+MONTH(B128)-MONTH(parametros!$C$2)&gt;59),"Fora dos ciclos","C"&amp;INT(((YEAR(B128)-YEAR(parametros!$C$2))*12+MONTH(B128)-MONTH(parametros!$C$2))/12)))))</f>
        <v/>
      </c>
      <c r="D128" s="394"/>
      <c r="E128" s="78" t="str">
        <f>IF(C128="","",IFERROR(VLOOKUP(C128,parametros!$A$11:$E$15,5,0),""))</f>
        <v/>
      </c>
      <c r="F128" s="79" t="str">
        <f t="shared" si="7"/>
        <v/>
      </c>
      <c r="G128" s="395"/>
      <c r="H128" s="91">
        <f t="shared" si="8"/>
        <v>0</v>
      </c>
      <c r="I128" s="91" t="str">
        <f t="shared" si="9"/>
        <v/>
      </c>
      <c r="J128" s="91" t="str">
        <f t="shared" si="10"/>
        <v/>
      </c>
      <c r="K128" s="92" t="str">
        <f>IF(AND(A128="",B128="",D128="",G128=""),"",IF(AND(A128&lt;&gt;"",COUNTIF($A$2:$A$5001,A128)&gt;1),"NUMERO_PC duplicado",IF(B128="","DATA_PC vazia",IF(NOT(ISNUMBER(B128)),"DATA_PC invalida",IF(OR(C128="",C128="Fora dos ciclos"),"CICLO_PC nao identificado",IF(OR(D128="",D128=0),"VALOR_PC vazio ou zero",IF(AND(G128&lt;&gt;"Sim",G128&lt;&gt;"Nao",G128&lt;&gt;""),"PC_PAGO_A_CONTRATADA invalido",IF(AND(C128&lt;&gt;"C0",IFERROR(INDEX(parametros!$A$2:$A$6,MATCH(C128,parametros!$B$2:$B$6,0)),"")="Sim",IFERROR(INDEX(parametros!$H$2:$H$6,MATCH(C128,parametros!$B$2:$B$6,0)),"")=""),"INICIO_EFEITO ausente: PC "&amp;A128&amp;" - "&amp;C128,IF(L128="","EFEITO_PC nao calculado: PC "&amp;A128&amp;" - "&amp;C128,"OK")))))))))</f>
        <v/>
      </c>
      <c r="L128" s="92" t="str">
        <f>IF(AND(A128="",B128="",D128="",G128=""),"",IF(OR(B128="",NOT(ISNUMBER(B128)),C128="",C128="Fora dos ciclos"),"",IF(C128="C0","Nao",IF(IFERROR(INDEX(parametros!$A$2:$A$6,MATCH(C128,parametros!$B$2:$B$6,0)),"")&lt;&gt;"Sim","Nao",IF(IFERROR(INDEX(parametros!$H$2:$H$6,MATCH(C128,parametros!$B$2:$B$6,0)),"")="","",IF(B128&gt;=IFERROR(INDEX(parametros!$H$2:$H$6,MATCH(C128,parametros!$B$2:$B$6,0)),""),"Sim","Nao"))))))</f>
        <v/>
      </c>
      <c r="M128" s="13"/>
      <c r="N128" s="13"/>
      <c r="O128" s="13"/>
      <c r="P128" s="13"/>
      <c r="Q128" s="13"/>
      <c r="R128" s="13"/>
      <c r="S128" s="13"/>
      <c r="T128" s="13"/>
      <c r="U128" s="214" t="str">
        <f t="shared" si="11"/>
        <v/>
      </c>
      <c r="V128" s="212" t="s">
        <v>50</v>
      </c>
      <c r="W128" s="100" t="s">
        <v>168</v>
      </c>
      <c r="X128" s="100" t="s">
        <v>169</v>
      </c>
      <c r="Y128" s="101" t="s">
        <v>170</v>
      </c>
      <c r="Z128" s="101" t="s">
        <v>171</v>
      </c>
      <c r="AA128" s="101" t="s">
        <v>50</v>
      </c>
      <c r="AB128" s="101" t="s">
        <v>172</v>
      </c>
      <c r="AC128" s="102" t="s">
        <v>173</v>
      </c>
    </row>
    <row r="129" spans="1:29" ht="25.5" customHeight="1" x14ac:dyDescent="0.35">
      <c r="A129" s="392"/>
      <c r="B129" s="393"/>
      <c r="C129" s="99" t="str">
        <f>IF(B129="","",IF(NOT(ISNUMBER(B129)),"DATA_PC invalida",IF(NOT(ISNUMBER(parametros!$C$2)),"Fora dos ciclos",IF(OR(B129&lt;parametros!$C$2,(YEAR(B129)-YEAR(parametros!$C$2))*12+MONTH(B129)-MONTH(parametros!$C$2)&gt;59),"Fora dos ciclos","C"&amp;INT(((YEAR(B129)-YEAR(parametros!$C$2))*12+MONTH(B129)-MONTH(parametros!$C$2))/12)))))</f>
        <v/>
      </c>
      <c r="D129" s="394"/>
      <c r="E129" s="78" t="str">
        <f>IF(C129="","",IFERROR(VLOOKUP(C129,parametros!$A$11:$E$15,5,0),""))</f>
        <v/>
      </c>
      <c r="F129" s="79" t="str">
        <f t="shared" si="7"/>
        <v/>
      </c>
      <c r="G129" s="395"/>
      <c r="H129" s="91">
        <f t="shared" si="8"/>
        <v>0</v>
      </c>
      <c r="I129" s="91" t="str">
        <f t="shared" si="9"/>
        <v/>
      </c>
      <c r="J129" s="91" t="str">
        <f t="shared" si="10"/>
        <v/>
      </c>
      <c r="K129" s="92" t="str">
        <f>IF(AND(A129="",B129="",D129="",G129=""),"",IF(AND(A129&lt;&gt;"",COUNTIF($A$2:$A$5001,A129)&gt;1),"NUMERO_PC duplicado",IF(B129="","DATA_PC vazia",IF(NOT(ISNUMBER(B129)),"DATA_PC invalida",IF(OR(C129="",C129="Fora dos ciclos"),"CICLO_PC nao identificado",IF(OR(D129="",D129=0),"VALOR_PC vazio ou zero",IF(AND(G129&lt;&gt;"Sim",G129&lt;&gt;"Nao",G129&lt;&gt;""),"PC_PAGO_A_CONTRATADA invalido",IF(AND(C129&lt;&gt;"C0",IFERROR(INDEX(parametros!$A$2:$A$6,MATCH(C129,parametros!$B$2:$B$6,0)),"")="Sim",IFERROR(INDEX(parametros!$H$2:$H$6,MATCH(C129,parametros!$B$2:$B$6,0)),"")=""),"INICIO_EFEITO ausente: PC "&amp;A129&amp;" - "&amp;C129,IF(L129="","EFEITO_PC nao calculado: PC "&amp;A129&amp;" - "&amp;C129,"OK")))))))))</f>
        <v/>
      </c>
      <c r="L129" s="92" t="str">
        <f>IF(AND(A129="",B129="",D129="",G129=""),"",IF(OR(B129="",NOT(ISNUMBER(B129)),C129="",C129="Fora dos ciclos"),"",IF(C129="C0","Nao",IF(IFERROR(INDEX(parametros!$A$2:$A$6,MATCH(C129,parametros!$B$2:$B$6,0)),"")&lt;&gt;"Sim","Nao",IF(IFERROR(INDEX(parametros!$H$2:$H$6,MATCH(C129,parametros!$B$2:$B$6,0)),"")="","",IF(B129&gt;=IFERROR(INDEX(parametros!$H$2:$H$6,MATCH(C129,parametros!$B$2:$B$6,0)),""),"Sim","Nao"))))))</f>
        <v/>
      </c>
      <c r="M129" s="13"/>
      <c r="N129" s="13"/>
      <c r="O129" s="13"/>
      <c r="P129" s="13"/>
      <c r="Q129" s="13"/>
      <c r="R129" s="13"/>
      <c r="S129" s="13"/>
      <c r="T129" s="13"/>
      <c r="U129" s="214" t="str">
        <f t="shared" si="11"/>
        <v/>
      </c>
      <c r="V129" s="212" t="s">
        <v>50</v>
      </c>
      <c r="W129" s="100" t="s">
        <v>168</v>
      </c>
      <c r="X129" s="100" t="s">
        <v>169</v>
      </c>
      <c r="Y129" s="101" t="s">
        <v>170</v>
      </c>
      <c r="Z129" s="101" t="s">
        <v>171</v>
      </c>
      <c r="AA129" s="101" t="s">
        <v>50</v>
      </c>
      <c r="AB129" s="101" t="s">
        <v>172</v>
      </c>
      <c r="AC129" s="102" t="s">
        <v>173</v>
      </c>
    </row>
    <row r="130" spans="1:29" ht="25.5" customHeight="1" x14ac:dyDescent="0.35">
      <c r="A130" s="392"/>
      <c r="B130" s="393"/>
      <c r="C130" s="99" t="str">
        <f>IF(B130="","",IF(NOT(ISNUMBER(B130)),"DATA_PC invalida",IF(NOT(ISNUMBER(parametros!$C$2)),"Fora dos ciclos",IF(OR(B130&lt;parametros!$C$2,(YEAR(B130)-YEAR(parametros!$C$2))*12+MONTH(B130)-MONTH(parametros!$C$2)&gt;59),"Fora dos ciclos","C"&amp;INT(((YEAR(B130)-YEAR(parametros!$C$2))*12+MONTH(B130)-MONTH(parametros!$C$2))/12)))))</f>
        <v/>
      </c>
      <c r="D130" s="394"/>
      <c r="E130" s="78" t="str">
        <f>IF(C130="","",IFERROR(VLOOKUP(C130,parametros!$A$11:$E$15,5,0),""))</f>
        <v/>
      </c>
      <c r="F130" s="79" t="str">
        <f t="shared" ref="F130:F193" si="12">IF(OR(D130="",E130=""),"",ROUND(D130*E130,2))</f>
        <v/>
      </c>
      <c r="G130" s="395"/>
      <c r="H130" s="91">
        <f t="shared" ref="H130:H193" si="13">IF(G130="Sim",IF(OR(F130="",D130="",L130=""),"",IF(L130="Sim",ROUND(F130-D130,2),0)),0)</f>
        <v>0</v>
      </c>
      <c r="I130" s="91" t="str">
        <f t="shared" ref="I130:I193" si="14">IF(G130="Sim",0,IF(OR(F130="",L130=""),"",F130))</f>
        <v/>
      </c>
      <c r="J130" s="91" t="str">
        <f t="shared" ref="J130:J193" si="15">IF(G130="Sim",0,IF(OR(F130="",D130="",L130=""),"",IF(L130="Sim",ROUND(F130-D130,2),0)))</f>
        <v/>
      </c>
      <c r="K130" s="92" t="str">
        <f>IF(AND(A130="",B130="",D130="",G130=""),"",IF(AND(A130&lt;&gt;"",COUNTIF($A$2:$A$5001,A130)&gt;1),"NUMERO_PC duplicado",IF(B130="","DATA_PC vazia",IF(NOT(ISNUMBER(B130)),"DATA_PC invalida",IF(OR(C130="",C130="Fora dos ciclos"),"CICLO_PC nao identificado",IF(OR(D130="",D130=0),"VALOR_PC vazio ou zero",IF(AND(G130&lt;&gt;"Sim",G130&lt;&gt;"Nao",G130&lt;&gt;""),"PC_PAGO_A_CONTRATADA invalido",IF(AND(C130&lt;&gt;"C0",IFERROR(INDEX(parametros!$A$2:$A$6,MATCH(C130,parametros!$B$2:$B$6,0)),"")="Sim",IFERROR(INDEX(parametros!$H$2:$H$6,MATCH(C130,parametros!$B$2:$B$6,0)),"")=""),"INICIO_EFEITO ausente: PC "&amp;A130&amp;" - "&amp;C130,IF(L130="","EFEITO_PC nao calculado: PC "&amp;A130&amp;" - "&amp;C130,"OK")))))))))</f>
        <v/>
      </c>
      <c r="L130" s="92" t="str">
        <f>IF(AND(A130="",B130="",D130="",G130=""),"",IF(OR(B130="",NOT(ISNUMBER(B130)),C130="",C130="Fora dos ciclos"),"",IF(C130="C0","Nao",IF(IFERROR(INDEX(parametros!$A$2:$A$6,MATCH(C130,parametros!$B$2:$B$6,0)),"")&lt;&gt;"Sim","Nao",IF(IFERROR(INDEX(parametros!$H$2:$H$6,MATCH(C130,parametros!$B$2:$B$6,0)),"")="","",IF(B130&gt;=IFERROR(INDEX(parametros!$H$2:$H$6,MATCH(C130,parametros!$B$2:$B$6,0)),""),"Sim","Nao"))))))</f>
        <v/>
      </c>
      <c r="M130" s="13"/>
      <c r="N130" s="13"/>
      <c r="O130" s="13"/>
      <c r="P130" s="13"/>
      <c r="Q130" s="13"/>
      <c r="R130" s="13"/>
      <c r="S130" s="13"/>
      <c r="T130" s="13"/>
      <c r="U130" s="214" t="str">
        <f t="shared" ref="U130:U193" si="16">IF(OR($D130="",$H130=""),"",ROUND($D130+$H130,2))</f>
        <v/>
      </c>
      <c r="V130" s="212" t="s">
        <v>50</v>
      </c>
      <c r="W130" s="100" t="s">
        <v>168</v>
      </c>
      <c r="X130" s="100" t="s">
        <v>169</v>
      </c>
      <c r="Y130" s="101" t="s">
        <v>170</v>
      </c>
      <c r="Z130" s="101" t="s">
        <v>171</v>
      </c>
      <c r="AA130" s="101" t="s">
        <v>50</v>
      </c>
      <c r="AB130" s="101" t="s">
        <v>172</v>
      </c>
      <c r="AC130" s="102" t="s">
        <v>173</v>
      </c>
    </row>
    <row r="131" spans="1:29" ht="25.5" customHeight="1" x14ac:dyDescent="0.35">
      <c r="A131" s="392"/>
      <c r="B131" s="393"/>
      <c r="C131" s="99" t="str">
        <f>IF(B131="","",IF(NOT(ISNUMBER(B131)),"DATA_PC invalida",IF(NOT(ISNUMBER(parametros!$C$2)),"Fora dos ciclos",IF(OR(B131&lt;parametros!$C$2,(YEAR(B131)-YEAR(parametros!$C$2))*12+MONTH(B131)-MONTH(parametros!$C$2)&gt;59),"Fora dos ciclos","C"&amp;INT(((YEAR(B131)-YEAR(parametros!$C$2))*12+MONTH(B131)-MONTH(parametros!$C$2))/12)))))</f>
        <v/>
      </c>
      <c r="D131" s="394"/>
      <c r="E131" s="78" t="str">
        <f>IF(C131="","",IFERROR(VLOOKUP(C131,parametros!$A$11:$E$15,5,0),""))</f>
        <v/>
      </c>
      <c r="F131" s="79" t="str">
        <f t="shared" si="12"/>
        <v/>
      </c>
      <c r="G131" s="395"/>
      <c r="H131" s="91">
        <f t="shared" si="13"/>
        <v>0</v>
      </c>
      <c r="I131" s="91" t="str">
        <f t="shared" si="14"/>
        <v/>
      </c>
      <c r="J131" s="91" t="str">
        <f t="shared" si="15"/>
        <v/>
      </c>
      <c r="K131" s="92" t="str">
        <f>IF(AND(A131="",B131="",D131="",G131=""),"",IF(AND(A131&lt;&gt;"",COUNTIF($A$2:$A$5001,A131)&gt;1),"NUMERO_PC duplicado",IF(B131="","DATA_PC vazia",IF(NOT(ISNUMBER(B131)),"DATA_PC invalida",IF(OR(C131="",C131="Fora dos ciclos"),"CICLO_PC nao identificado",IF(OR(D131="",D131=0),"VALOR_PC vazio ou zero",IF(AND(G131&lt;&gt;"Sim",G131&lt;&gt;"Nao",G131&lt;&gt;""),"PC_PAGO_A_CONTRATADA invalido",IF(AND(C131&lt;&gt;"C0",IFERROR(INDEX(parametros!$A$2:$A$6,MATCH(C131,parametros!$B$2:$B$6,0)),"")="Sim",IFERROR(INDEX(parametros!$H$2:$H$6,MATCH(C131,parametros!$B$2:$B$6,0)),"")=""),"INICIO_EFEITO ausente: PC "&amp;A131&amp;" - "&amp;C131,IF(L131="","EFEITO_PC nao calculado: PC "&amp;A131&amp;" - "&amp;C131,"OK")))))))))</f>
        <v/>
      </c>
      <c r="L131" s="92" t="str">
        <f>IF(AND(A131="",B131="",D131="",G131=""),"",IF(OR(B131="",NOT(ISNUMBER(B131)),C131="",C131="Fora dos ciclos"),"",IF(C131="C0","Nao",IF(IFERROR(INDEX(parametros!$A$2:$A$6,MATCH(C131,parametros!$B$2:$B$6,0)),"")&lt;&gt;"Sim","Nao",IF(IFERROR(INDEX(parametros!$H$2:$H$6,MATCH(C131,parametros!$B$2:$B$6,0)),"")="","",IF(B131&gt;=IFERROR(INDEX(parametros!$H$2:$H$6,MATCH(C131,parametros!$B$2:$B$6,0)),""),"Sim","Nao"))))))</f>
        <v/>
      </c>
      <c r="M131" s="13"/>
      <c r="N131" s="13"/>
      <c r="O131" s="13"/>
      <c r="P131" s="13"/>
      <c r="Q131" s="13"/>
      <c r="R131" s="13"/>
      <c r="S131" s="13"/>
      <c r="T131" s="13"/>
      <c r="U131" s="214" t="str">
        <f t="shared" si="16"/>
        <v/>
      </c>
      <c r="V131" s="212" t="s">
        <v>50</v>
      </c>
      <c r="W131" s="100" t="s">
        <v>168</v>
      </c>
      <c r="X131" s="100" t="s">
        <v>169</v>
      </c>
      <c r="Y131" s="101" t="s">
        <v>170</v>
      </c>
      <c r="Z131" s="101" t="s">
        <v>171</v>
      </c>
      <c r="AA131" s="101" t="s">
        <v>50</v>
      </c>
      <c r="AB131" s="101" t="s">
        <v>172</v>
      </c>
      <c r="AC131" s="102" t="s">
        <v>173</v>
      </c>
    </row>
    <row r="132" spans="1:29" ht="25.5" customHeight="1" x14ac:dyDescent="0.35">
      <c r="A132" s="392"/>
      <c r="B132" s="393"/>
      <c r="C132" s="99" t="str">
        <f>IF(B132="","",IF(NOT(ISNUMBER(B132)),"DATA_PC invalida",IF(NOT(ISNUMBER(parametros!$C$2)),"Fora dos ciclos",IF(OR(B132&lt;parametros!$C$2,(YEAR(B132)-YEAR(parametros!$C$2))*12+MONTH(B132)-MONTH(parametros!$C$2)&gt;59),"Fora dos ciclos","C"&amp;INT(((YEAR(B132)-YEAR(parametros!$C$2))*12+MONTH(B132)-MONTH(parametros!$C$2))/12)))))</f>
        <v/>
      </c>
      <c r="D132" s="394"/>
      <c r="E132" s="78" t="str">
        <f>IF(C132="","",IFERROR(VLOOKUP(C132,parametros!$A$11:$E$15,5,0),""))</f>
        <v/>
      </c>
      <c r="F132" s="79" t="str">
        <f t="shared" si="12"/>
        <v/>
      </c>
      <c r="G132" s="395"/>
      <c r="H132" s="91">
        <f t="shared" si="13"/>
        <v>0</v>
      </c>
      <c r="I132" s="91" t="str">
        <f t="shared" si="14"/>
        <v/>
      </c>
      <c r="J132" s="91" t="str">
        <f t="shared" si="15"/>
        <v/>
      </c>
      <c r="K132" s="92" t="str">
        <f>IF(AND(A132="",B132="",D132="",G132=""),"",IF(AND(A132&lt;&gt;"",COUNTIF($A$2:$A$5001,A132)&gt;1),"NUMERO_PC duplicado",IF(B132="","DATA_PC vazia",IF(NOT(ISNUMBER(B132)),"DATA_PC invalida",IF(OR(C132="",C132="Fora dos ciclos"),"CICLO_PC nao identificado",IF(OR(D132="",D132=0),"VALOR_PC vazio ou zero",IF(AND(G132&lt;&gt;"Sim",G132&lt;&gt;"Nao",G132&lt;&gt;""),"PC_PAGO_A_CONTRATADA invalido",IF(AND(C132&lt;&gt;"C0",IFERROR(INDEX(parametros!$A$2:$A$6,MATCH(C132,parametros!$B$2:$B$6,0)),"")="Sim",IFERROR(INDEX(parametros!$H$2:$H$6,MATCH(C132,parametros!$B$2:$B$6,0)),"")=""),"INICIO_EFEITO ausente: PC "&amp;A132&amp;" - "&amp;C132,IF(L132="","EFEITO_PC nao calculado: PC "&amp;A132&amp;" - "&amp;C132,"OK")))))))))</f>
        <v/>
      </c>
      <c r="L132" s="92" t="str">
        <f>IF(AND(A132="",B132="",D132="",G132=""),"",IF(OR(B132="",NOT(ISNUMBER(B132)),C132="",C132="Fora dos ciclos"),"",IF(C132="C0","Nao",IF(IFERROR(INDEX(parametros!$A$2:$A$6,MATCH(C132,parametros!$B$2:$B$6,0)),"")&lt;&gt;"Sim","Nao",IF(IFERROR(INDEX(parametros!$H$2:$H$6,MATCH(C132,parametros!$B$2:$B$6,0)),"")="","",IF(B132&gt;=IFERROR(INDEX(parametros!$H$2:$H$6,MATCH(C132,parametros!$B$2:$B$6,0)),""),"Sim","Nao"))))))</f>
        <v/>
      </c>
      <c r="M132" s="13"/>
      <c r="N132" s="13"/>
      <c r="O132" s="13"/>
      <c r="P132" s="13"/>
      <c r="Q132" s="13"/>
      <c r="R132" s="13"/>
      <c r="S132" s="13"/>
      <c r="T132" s="13"/>
      <c r="U132" s="214" t="str">
        <f t="shared" si="16"/>
        <v/>
      </c>
      <c r="V132" s="212" t="s">
        <v>50</v>
      </c>
      <c r="W132" s="100" t="s">
        <v>168</v>
      </c>
      <c r="X132" s="100" t="s">
        <v>169</v>
      </c>
      <c r="Y132" s="101" t="s">
        <v>170</v>
      </c>
      <c r="Z132" s="101" t="s">
        <v>171</v>
      </c>
      <c r="AA132" s="101" t="s">
        <v>50</v>
      </c>
      <c r="AB132" s="101" t="s">
        <v>172</v>
      </c>
      <c r="AC132" s="102" t="s">
        <v>173</v>
      </c>
    </row>
    <row r="133" spans="1:29" ht="25.5" customHeight="1" x14ac:dyDescent="0.35">
      <c r="A133" s="392"/>
      <c r="B133" s="393"/>
      <c r="C133" s="99" t="str">
        <f>IF(B133="","",IF(NOT(ISNUMBER(B133)),"DATA_PC invalida",IF(NOT(ISNUMBER(parametros!$C$2)),"Fora dos ciclos",IF(OR(B133&lt;parametros!$C$2,(YEAR(B133)-YEAR(parametros!$C$2))*12+MONTH(B133)-MONTH(parametros!$C$2)&gt;59),"Fora dos ciclos","C"&amp;INT(((YEAR(B133)-YEAR(parametros!$C$2))*12+MONTH(B133)-MONTH(parametros!$C$2))/12)))))</f>
        <v/>
      </c>
      <c r="D133" s="394"/>
      <c r="E133" s="78" t="str">
        <f>IF(C133="","",IFERROR(VLOOKUP(C133,parametros!$A$11:$E$15,5,0),""))</f>
        <v/>
      </c>
      <c r="F133" s="79" t="str">
        <f t="shared" si="12"/>
        <v/>
      </c>
      <c r="G133" s="395"/>
      <c r="H133" s="91">
        <f t="shared" si="13"/>
        <v>0</v>
      </c>
      <c r="I133" s="91" t="str">
        <f t="shared" si="14"/>
        <v/>
      </c>
      <c r="J133" s="91" t="str">
        <f t="shared" si="15"/>
        <v/>
      </c>
      <c r="K133" s="92" t="str">
        <f>IF(AND(A133="",B133="",D133="",G133=""),"",IF(AND(A133&lt;&gt;"",COUNTIF($A$2:$A$5001,A133)&gt;1),"NUMERO_PC duplicado",IF(B133="","DATA_PC vazia",IF(NOT(ISNUMBER(B133)),"DATA_PC invalida",IF(OR(C133="",C133="Fora dos ciclos"),"CICLO_PC nao identificado",IF(OR(D133="",D133=0),"VALOR_PC vazio ou zero",IF(AND(G133&lt;&gt;"Sim",G133&lt;&gt;"Nao",G133&lt;&gt;""),"PC_PAGO_A_CONTRATADA invalido",IF(AND(C133&lt;&gt;"C0",IFERROR(INDEX(parametros!$A$2:$A$6,MATCH(C133,parametros!$B$2:$B$6,0)),"")="Sim",IFERROR(INDEX(parametros!$H$2:$H$6,MATCH(C133,parametros!$B$2:$B$6,0)),"")=""),"INICIO_EFEITO ausente: PC "&amp;A133&amp;" - "&amp;C133,IF(L133="","EFEITO_PC nao calculado: PC "&amp;A133&amp;" - "&amp;C133,"OK")))))))))</f>
        <v/>
      </c>
      <c r="L133" s="92" t="str">
        <f>IF(AND(A133="",B133="",D133="",G133=""),"",IF(OR(B133="",NOT(ISNUMBER(B133)),C133="",C133="Fora dos ciclos"),"",IF(C133="C0","Nao",IF(IFERROR(INDEX(parametros!$A$2:$A$6,MATCH(C133,parametros!$B$2:$B$6,0)),"")&lt;&gt;"Sim","Nao",IF(IFERROR(INDEX(parametros!$H$2:$H$6,MATCH(C133,parametros!$B$2:$B$6,0)),"")="","",IF(B133&gt;=IFERROR(INDEX(parametros!$H$2:$H$6,MATCH(C133,parametros!$B$2:$B$6,0)),""),"Sim","Nao"))))))</f>
        <v/>
      </c>
      <c r="M133" s="13"/>
      <c r="N133" s="13"/>
      <c r="O133" s="13"/>
      <c r="P133" s="13"/>
      <c r="Q133" s="13"/>
      <c r="R133" s="13"/>
      <c r="S133" s="13"/>
      <c r="T133" s="13"/>
      <c r="U133" s="214" t="str">
        <f t="shared" si="16"/>
        <v/>
      </c>
      <c r="V133" s="212" t="s">
        <v>50</v>
      </c>
      <c r="W133" s="100" t="s">
        <v>168</v>
      </c>
      <c r="X133" s="100" t="s">
        <v>169</v>
      </c>
      <c r="Y133" s="101" t="s">
        <v>170</v>
      </c>
      <c r="Z133" s="101" t="s">
        <v>171</v>
      </c>
      <c r="AA133" s="101" t="s">
        <v>50</v>
      </c>
      <c r="AB133" s="101" t="s">
        <v>172</v>
      </c>
      <c r="AC133" s="102" t="s">
        <v>173</v>
      </c>
    </row>
    <row r="134" spans="1:29" ht="25.5" customHeight="1" x14ac:dyDescent="0.35">
      <c r="A134" s="392"/>
      <c r="B134" s="393"/>
      <c r="C134" s="99" t="str">
        <f>IF(B134="","",IF(NOT(ISNUMBER(B134)),"DATA_PC invalida",IF(NOT(ISNUMBER(parametros!$C$2)),"Fora dos ciclos",IF(OR(B134&lt;parametros!$C$2,(YEAR(B134)-YEAR(parametros!$C$2))*12+MONTH(B134)-MONTH(parametros!$C$2)&gt;59),"Fora dos ciclos","C"&amp;INT(((YEAR(B134)-YEAR(parametros!$C$2))*12+MONTH(B134)-MONTH(parametros!$C$2))/12)))))</f>
        <v/>
      </c>
      <c r="D134" s="394"/>
      <c r="E134" s="78" t="str">
        <f>IF(C134="","",IFERROR(VLOOKUP(C134,parametros!$A$11:$E$15,5,0),""))</f>
        <v/>
      </c>
      <c r="F134" s="79" t="str">
        <f t="shared" si="12"/>
        <v/>
      </c>
      <c r="G134" s="395"/>
      <c r="H134" s="91">
        <f t="shared" si="13"/>
        <v>0</v>
      </c>
      <c r="I134" s="91" t="str">
        <f t="shared" si="14"/>
        <v/>
      </c>
      <c r="J134" s="91" t="str">
        <f t="shared" si="15"/>
        <v/>
      </c>
      <c r="K134" s="92" t="str">
        <f>IF(AND(A134="",B134="",D134="",G134=""),"",IF(AND(A134&lt;&gt;"",COUNTIF($A$2:$A$5001,A134)&gt;1),"NUMERO_PC duplicado",IF(B134="","DATA_PC vazia",IF(NOT(ISNUMBER(B134)),"DATA_PC invalida",IF(OR(C134="",C134="Fora dos ciclos"),"CICLO_PC nao identificado",IF(OR(D134="",D134=0),"VALOR_PC vazio ou zero",IF(AND(G134&lt;&gt;"Sim",G134&lt;&gt;"Nao",G134&lt;&gt;""),"PC_PAGO_A_CONTRATADA invalido",IF(AND(C134&lt;&gt;"C0",IFERROR(INDEX(parametros!$A$2:$A$6,MATCH(C134,parametros!$B$2:$B$6,0)),"")="Sim",IFERROR(INDEX(parametros!$H$2:$H$6,MATCH(C134,parametros!$B$2:$B$6,0)),"")=""),"INICIO_EFEITO ausente: PC "&amp;A134&amp;" - "&amp;C134,IF(L134="","EFEITO_PC nao calculado: PC "&amp;A134&amp;" - "&amp;C134,"OK")))))))))</f>
        <v/>
      </c>
      <c r="L134" s="92" t="str">
        <f>IF(AND(A134="",B134="",D134="",G134=""),"",IF(OR(B134="",NOT(ISNUMBER(B134)),C134="",C134="Fora dos ciclos"),"",IF(C134="C0","Nao",IF(IFERROR(INDEX(parametros!$A$2:$A$6,MATCH(C134,parametros!$B$2:$B$6,0)),"")&lt;&gt;"Sim","Nao",IF(IFERROR(INDEX(parametros!$H$2:$H$6,MATCH(C134,parametros!$B$2:$B$6,0)),"")="","",IF(B134&gt;=IFERROR(INDEX(parametros!$H$2:$H$6,MATCH(C134,parametros!$B$2:$B$6,0)),""),"Sim","Nao"))))))</f>
        <v/>
      </c>
      <c r="M134" s="13"/>
      <c r="N134" s="13"/>
      <c r="O134" s="13"/>
      <c r="P134" s="13"/>
      <c r="Q134" s="13"/>
      <c r="R134" s="13"/>
      <c r="S134" s="13"/>
      <c r="T134" s="13"/>
      <c r="U134" s="214" t="str">
        <f t="shared" si="16"/>
        <v/>
      </c>
      <c r="V134" s="212" t="s">
        <v>50</v>
      </c>
      <c r="W134" s="100" t="s">
        <v>168</v>
      </c>
      <c r="X134" s="100" t="s">
        <v>169</v>
      </c>
      <c r="Y134" s="101" t="s">
        <v>170</v>
      </c>
      <c r="Z134" s="101" t="s">
        <v>171</v>
      </c>
      <c r="AA134" s="101" t="s">
        <v>50</v>
      </c>
      <c r="AB134" s="101" t="s">
        <v>172</v>
      </c>
      <c r="AC134" s="102" t="s">
        <v>173</v>
      </c>
    </row>
    <row r="135" spans="1:29" ht="25.5" customHeight="1" x14ac:dyDescent="0.35">
      <c r="A135" s="392"/>
      <c r="B135" s="393"/>
      <c r="C135" s="99" t="str">
        <f>IF(B135="","",IF(NOT(ISNUMBER(B135)),"DATA_PC invalida",IF(NOT(ISNUMBER(parametros!$C$2)),"Fora dos ciclos",IF(OR(B135&lt;parametros!$C$2,(YEAR(B135)-YEAR(parametros!$C$2))*12+MONTH(B135)-MONTH(parametros!$C$2)&gt;59),"Fora dos ciclos","C"&amp;INT(((YEAR(B135)-YEAR(parametros!$C$2))*12+MONTH(B135)-MONTH(parametros!$C$2))/12)))))</f>
        <v/>
      </c>
      <c r="D135" s="394"/>
      <c r="E135" s="78" t="str">
        <f>IF(C135="","",IFERROR(VLOOKUP(C135,parametros!$A$11:$E$15,5,0),""))</f>
        <v/>
      </c>
      <c r="F135" s="79" t="str">
        <f t="shared" si="12"/>
        <v/>
      </c>
      <c r="G135" s="395"/>
      <c r="H135" s="91">
        <f t="shared" si="13"/>
        <v>0</v>
      </c>
      <c r="I135" s="91" t="str">
        <f t="shared" si="14"/>
        <v/>
      </c>
      <c r="J135" s="91" t="str">
        <f t="shared" si="15"/>
        <v/>
      </c>
      <c r="K135" s="92" t="str">
        <f>IF(AND(A135="",B135="",D135="",G135=""),"",IF(AND(A135&lt;&gt;"",COUNTIF($A$2:$A$5001,A135)&gt;1),"NUMERO_PC duplicado",IF(B135="","DATA_PC vazia",IF(NOT(ISNUMBER(B135)),"DATA_PC invalida",IF(OR(C135="",C135="Fora dos ciclos"),"CICLO_PC nao identificado",IF(OR(D135="",D135=0),"VALOR_PC vazio ou zero",IF(AND(G135&lt;&gt;"Sim",G135&lt;&gt;"Nao",G135&lt;&gt;""),"PC_PAGO_A_CONTRATADA invalido",IF(AND(C135&lt;&gt;"C0",IFERROR(INDEX(parametros!$A$2:$A$6,MATCH(C135,parametros!$B$2:$B$6,0)),"")="Sim",IFERROR(INDEX(parametros!$H$2:$H$6,MATCH(C135,parametros!$B$2:$B$6,0)),"")=""),"INICIO_EFEITO ausente: PC "&amp;A135&amp;" - "&amp;C135,IF(L135="","EFEITO_PC nao calculado: PC "&amp;A135&amp;" - "&amp;C135,"OK")))))))))</f>
        <v/>
      </c>
      <c r="L135" s="92" t="str">
        <f>IF(AND(A135="",B135="",D135="",G135=""),"",IF(OR(B135="",NOT(ISNUMBER(B135)),C135="",C135="Fora dos ciclos"),"",IF(C135="C0","Nao",IF(IFERROR(INDEX(parametros!$A$2:$A$6,MATCH(C135,parametros!$B$2:$B$6,0)),"")&lt;&gt;"Sim","Nao",IF(IFERROR(INDEX(parametros!$H$2:$H$6,MATCH(C135,parametros!$B$2:$B$6,0)),"")="","",IF(B135&gt;=IFERROR(INDEX(parametros!$H$2:$H$6,MATCH(C135,parametros!$B$2:$B$6,0)),""),"Sim","Nao"))))))</f>
        <v/>
      </c>
      <c r="M135" s="13"/>
      <c r="N135" s="13"/>
      <c r="O135" s="13"/>
      <c r="P135" s="13"/>
      <c r="Q135" s="13"/>
      <c r="R135" s="13"/>
      <c r="S135" s="13"/>
      <c r="T135" s="13"/>
      <c r="U135" s="214" t="str">
        <f t="shared" si="16"/>
        <v/>
      </c>
      <c r="V135" s="212" t="s">
        <v>50</v>
      </c>
      <c r="W135" s="100" t="s">
        <v>168</v>
      </c>
      <c r="X135" s="100" t="s">
        <v>169</v>
      </c>
      <c r="Y135" s="101" t="s">
        <v>170</v>
      </c>
      <c r="Z135" s="101" t="s">
        <v>171</v>
      </c>
      <c r="AA135" s="101" t="s">
        <v>50</v>
      </c>
      <c r="AB135" s="101" t="s">
        <v>172</v>
      </c>
      <c r="AC135" s="102" t="s">
        <v>173</v>
      </c>
    </row>
    <row r="136" spans="1:29" ht="25.5" customHeight="1" x14ac:dyDescent="0.35">
      <c r="A136" s="392"/>
      <c r="B136" s="393"/>
      <c r="C136" s="99" t="str">
        <f>IF(B136="","",IF(NOT(ISNUMBER(B136)),"DATA_PC invalida",IF(NOT(ISNUMBER(parametros!$C$2)),"Fora dos ciclos",IF(OR(B136&lt;parametros!$C$2,(YEAR(B136)-YEAR(parametros!$C$2))*12+MONTH(B136)-MONTH(parametros!$C$2)&gt;59),"Fora dos ciclos","C"&amp;INT(((YEAR(B136)-YEAR(parametros!$C$2))*12+MONTH(B136)-MONTH(parametros!$C$2))/12)))))</f>
        <v/>
      </c>
      <c r="D136" s="394"/>
      <c r="E136" s="78" t="str">
        <f>IF(C136="","",IFERROR(VLOOKUP(C136,parametros!$A$11:$E$15,5,0),""))</f>
        <v/>
      </c>
      <c r="F136" s="79" t="str">
        <f t="shared" si="12"/>
        <v/>
      </c>
      <c r="G136" s="395"/>
      <c r="H136" s="91">
        <f t="shared" si="13"/>
        <v>0</v>
      </c>
      <c r="I136" s="91" t="str">
        <f t="shared" si="14"/>
        <v/>
      </c>
      <c r="J136" s="91" t="str">
        <f t="shared" si="15"/>
        <v/>
      </c>
      <c r="K136" s="92" t="str">
        <f>IF(AND(A136="",B136="",D136="",G136=""),"",IF(AND(A136&lt;&gt;"",COUNTIF($A$2:$A$5001,A136)&gt;1),"NUMERO_PC duplicado",IF(B136="","DATA_PC vazia",IF(NOT(ISNUMBER(B136)),"DATA_PC invalida",IF(OR(C136="",C136="Fora dos ciclos"),"CICLO_PC nao identificado",IF(OR(D136="",D136=0),"VALOR_PC vazio ou zero",IF(AND(G136&lt;&gt;"Sim",G136&lt;&gt;"Nao",G136&lt;&gt;""),"PC_PAGO_A_CONTRATADA invalido",IF(AND(C136&lt;&gt;"C0",IFERROR(INDEX(parametros!$A$2:$A$6,MATCH(C136,parametros!$B$2:$B$6,0)),"")="Sim",IFERROR(INDEX(parametros!$H$2:$H$6,MATCH(C136,parametros!$B$2:$B$6,0)),"")=""),"INICIO_EFEITO ausente: PC "&amp;A136&amp;" - "&amp;C136,IF(L136="","EFEITO_PC nao calculado: PC "&amp;A136&amp;" - "&amp;C136,"OK")))))))))</f>
        <v/>
      </c>
      <c r="L136" s="92" t="str">
        <f>IF(AND(A136="",B136="",D136="",G136=""),"",IF(OR(B136="",NOT(ISNUMBER(B136)),C136="",C136="Fora dos ciclos"),"",IF(C136="C0","Nao",IF(IFERROR(INDEX(parametros!$A$2:$A$6,MATCH(C136,parametros!$B$2:$B$6,0)),"")&lt;&gt;"Sim","Nao",IF(IFERROR(INDEX(parametros!$H$2:$H$6,MATCH(C136,parametros!$B$2:$B$6,0)),"")="","",IF(B136&gt;=IFERROR(INDEX(parametros!$H$2:$H$6,MATCH(C136,parametros!$B$2:$B$6,0)),""),"Sim","Nao"))))))</f>
        <v/>
      </c>
      <c r="M136" s="13"/>
      <c r="N136" s="13"/>
      <c r="O136" s="13"/>
      <c r="P136" s="13"/>
      <c r="Q136" s="13"/>
      <c r="R136" s="13"/>
      <c r="S136" s="13"/>
      <c r="T136" s="13"/>
      <c r="U136" s="214" t="str">
        <f t="shared" si="16"/>
        <v/>
      </c>
      <c r="V136" s="212" t="s">
        <v>50</v>
      </c>
      <c r="W136" s="100" t="s">
        <v>168</v>
      </c>
      <c r="X136" s="100" t="s">
        <v>169</v>
      </c>
      <c r="Y136" s="101" t="s">
        <v>170</v>
      </c>
      <c r="Z136" s="101" t="s">
        <v>171</v>
      </c>
      <c r="AA136" s="101" t="s">
        <v>50</v>
      </c>
      <c r="AB136" s="101" t="s">
        <v>172</v>
      </c>
      <c r="AC136" s="102" t="s">
        <v>173</v>
      </c>
    </row>
    <row r="137" spans="1:29" ht="25.5" customHeight="1" x14ac:dyDescent="0.35">
      <c r="A137" s="392"/>
      <c r="B137" s="393"/>
      <c r="C137" s="99" t="str">
        <f>IF(B137="","",IF(NOT(ISNUMBER(B137)),"DATA_PC invalida",IF(NOT(ISNUMBER(parametros!$C$2)),"Fora dos ciclos",IF(OR(B137&lt;parametros!$C$2,(YEAR(B137)-YEAR(parametros!$C$2))*12+MONTH(B137)-MONTH(parametros!$C$2)&gt;59),"Fora dos ciclos","C"&amp;INT(((YEAR(B137)-YEAR(parametros!$C$2))*12+MONTH(B137)-MONTH(parametros!$C$2))/12)))))</f>
        <v/>
      </c>
      <c r="D137" s="394"/>
      <c r="E137" s="78" t="str">
        <f>IF(C137="","",IFERROR(VLOOKUP(C137,parametros!$A$11:$E$15,5,0),""))</f>
        <v/>
      </c>
      <c r="F137" s="79" t="str">
        <f t="shared" si="12"/>
        <v/>
      </c>
      <c r="G137" s="395"/>
      <c r="H137" s="91">
        <f t="shared" si="13"/>
        <v>0</v>
      </c>
      <c r="I137" s="91" t="str">
        <f t="shared" si="14"/>
        <v/>
      </c>
      <c r="J137" s="91" t="str">
        <f t="shared" si="15"/>
        <v/>
      </c>
      <c r="K137" s="92" t="str">
        <f>IF(AND(A137="",B137="",D137="",G137=""),"",IF(AND(A137&lt;&gt;"",COUNTIF($A$2:$A$5001,A137)&gt;1),"NUMERO_PC duplicado",IF(B137="","DATA_PC vazia",IF(NOT(ISNUMBER(B137)),"DATA_PC invalida",IF(OR(C137="",C137="Fora dos ciclos"),"CICLO_PC nao identificado",IF(OR(D137="",D137=0),"VALOR_PC vazio ou zero",IF(AND(G137&lt;&gt;"Sim",G137&lt;&gt;"Nao",G137&lt;&gt;""),"PC_PAGO_A_CONTRATADA invalido",IF(AND(C137&lt;&gt;"C0",IFERROR(INDEX(parametros!$A$2:$A$6,MATCH(C137,parametros!$B$2:$B$6,0)),"")="Sim",IFERROR(INDEX(parametros!$H$2:$H$6,MATCH(C137,parametros!$B$2:$B$6,0)),"")=""),"INICIO_EFEITO ausente: PC "&amp;A137&amp;" - "&amp;C137,IF(L137="","EFEITO_PC nao calculado: PC "&amp;A137&amp;" - "&amp;C137,"OK")))))))))</f>
        <v/>
      </c>
      <c r="L137" s="92" t="str">
        <f>IF(AND(A137="",B137="",D137="",G137=""),"",IF(OR(B137="",NOT(ISNUMBER(B137)),C137="",C137="Fora dos ciclos"),"",IF(C137="C0","Nao",IF(IFERROR(INDEX(parametros!$A$2:$A$6,MATCH(C137,parametros!$B$2:$B$6,0)),"")&lt;&gt;"Sim","Nao",IF(IFERROR(INDEX(parametros!$H$2:$H$6,MATCH(C137,parametros!$B$2:$B$6,0)),"")="","",IF(B137&gt;=IFERROR(INDEX(parametros!$H$2:$H$6,MATCH(C137,parametros!$B$2:$B$6,0)),""),"Sim","Nao"))))))</f>
        <v/>
      </c>
      <c r="M137" s="13"/>
      <c r="N137" s="13"/>
      <c r="O137" s="13"/>
      <c r="P137" s="13"/>
      <c r="Q137" s="13"/>
      <c r="R137" s="13"/>
      <c r="S137" s="13"/>
      <c r="T137" s="13"/>
      <c r="U137" s="214" t="str">
        <f t="shared" si="16"/>
        <v/>
      </c>
      <c r="V137" s="212" t="s">
        <v>50</v>
      </c>
      <c r="W137" s="100" t="s">
        <v>168</v>
      </c>
      <c r="X137" s="100" t="s">
        <v>169</v>
      </c>
      <c r="Y137" s="101" t="s">
        <v>170</v>
      </c>
      <c r="Z137" s="101" t="s">
        <v>171</v>
      </c>
      <c r="AA137" s="101" t="s">
        <v>50</v>
      </c>
      <c r="AB137" s="101" t="s">
        <v>172</v>
      </c>
      <c r="AC137" s="102" t="s">
        <v>173</v>
      </c>
    </row>
    <row r="138" spans="1:29" ht="25.5" customHeight="1" x14ac:dyDescent="0.35">
      <c r="A138" s="392"/>
      <c r="B138" s="393"/>
      <c r="C138" s="99" t="str">
        <f>IF(B138="","",IF(NOT(ISNUMBER(B138)),"DATA_PC invalida",IF(NOT(ISNUMBER(parametros!$C$2)),"Fora dos ciclos",IF(OR(B138&lt;parametros!$C$2,(YEAR(B138)-YEAR(parametros!$C$2))*12+MONTH(B138)-MONTH(parametros!$C$2)&gt;59),"Fora dos ciclos","C"&amp;INT(((YEAR(B138)-YEAR(parametros!$C$2))*12+MONTH(B138)-MONTH(parametros!$C$2))/12)))))</f>
        <v/>
      </c>
      <c r="D138" s="394"/>
      <c r="E138" s="78" t="str">
        <f>IF(C138="","",IFERROR(VLOOKUP(C138,parametros!$A$11:$E$15,5,0),""))</f>
        <v/>
      </c>
      <c r="F138" s="79" t="str">
        <f t="shared" si="12"/>
        <v/>
      </c>
      <c r="G138" s="395"/>
      <c r="H138" s="91">
        <f t="shared" si="13"/>
        <v>0</v>
      </c>
      <c r="I138" s="91" t="str">
        <f t="shared" si="14"/>
        <v/>
      </c>
      <c r="J138" s="91" t="str">
        <f t="shared" si="15"/>
        <v/>
      </c>
      <c r="K138" s="92" t="str">
        <f>IF(AND(A138="",B138="",D138="",G138=""),"",IF(AND(A138&lt;&gt;"",COUNTIF($A$2:$A$5001,A138)&gt;1),"NUMERO_PC duplicado",IF(B138="","DATA_PC vazia",IF(NOT(ISNUMBER(B138)),"DATA_PC invalida",IF(OR(C138="",C138="Fora dos ciclos"),"CICLO_PC nao identificado",IF(OR(D138="",D138=0),"VALOR_PC vazio ou zero",IF(AND(G138&lt;&gt;"Sim",G138&lt;&gt;"Nao",G138&lt;&gt;""),"PC_PAGO_A_CONTRATADA invalido",IF(AND(C138&lt;&gt;"C0",IFERROR(INDEX(parametros!$A$2:$A$6,MATCH(C138,parametros!$B$2:$B$6,0)),"")="Sim",IFERROR(INDEX(parametros!$H$2:$H$6,MATCH(C138,parametros!$B$2:$B$6,0)),"")=""),"INICIO_EFEITO ausente: PC "&amp;A138&amp;" - "&amp;C138,IF(L138="","EFEITO_PC nao calculado: PC "&amp;A138&amp;" - "&amp;C138,"OK")))))))))</f>
        <v/>
      </c>
      <c r="L138" s="92" t="str">
        <f>IF(AND(A138="",B138="",D138="",G138=""),"",IF(OR(B138="",NOT(ISNUMBER(B138)),C138="",C138="Fora dos ciclos"),"",IF(C138="C0","Nao",IF(IFERROR(INDEX(parametros!$A$2:$A$6,MATCH(C138,parametros!$B$2:$B$6,0)),"")&lt;&gt;"Sim","Nao",IF(IFERROR(INDEX(parametros!$H$2:$H$6,MATCH(C138,parametros!$B$2:$B$6,0)),"")="","",IF(B138&gt;=IFERROR(INDEX(parametros!$H$2:$H$6,MATCH(C138,parametros!$B$2:$B$6,0)),""),"Sim","Nao"))))))</f>
        <v/>
      </c>
      <c r="M138" s="13"/>
      <c r="N138" s="13"/>
      <c r="O138" s="13"/>
      <c r="P138" s="13"/>
      <c r="Q138" s="13"/>
      <c r="R138" s="13"/>
      <c r="S138" s="13"/>
      <c r="T138" s="13"/>
      <c r="U138" s="214" t="str">
        <f t="shared" si="16"/>
        <v/>
      </c>
      <c r="V138" s="212" t="s">
        <v>50</v>
      </c>
      <c r="W138" s="100" t="s">
        <v>168</v>
      </c>
      <c r="X138" s="100" t="s">
        <v>169</v>
      </c>
      <c r="Y138" s="101" t="s">
        <v>170</v>
      </c>
      <c r="Z138" s="101" t="s">
        <v>171</v>
      </c>
      <c r="AA138" s="101" t="s">
        <v>50</v>
      </c>
      <c r="AB138" s="101" t="s">
        <v>172</v>
      </c>
      <c r="AC138" s="102" t="s">
        <v>173</v>
      </c>
    </row>
    <row r="139" spans="1:29" ht="25.5" customHeight="1" x14ac:dyDescent="0.35">
      <c r="A139" s="392"/>
      <c r="B139" s="393"/>
      <c r="C139" s="99" t="str">
        <f>IF(B139="","",IF(NOT(ISNUMBER(B139)),"DATA_PC invalida",IF(NOT(ISNUMBER(parametros!$C$2)),"Fora dos ciclos",IF(OR(B139&lt;parametros!$C$2,(YEAR(B139)-YEAR(parametros!$C$2))*12+MONTH(B139)-MONTH(parametros!$C$2)&gt;59),"Fora dos ciclos","C"&amp;INT(((YEAR(B139)-YEAR(parametros!$C$2))*12+MONTH(B139)-MONTH(parametros!$C$2))/12)))))</f>
        <v/>
      </c>
      <c r="D139" s="394"/>
      <c r="E139" s="78" t="str">
        <f>IF(C139="","",IFERROR(VLOOKUP(C139,parametros!$A$11:$E$15,5,0),""))</f>
        <v/>
      </c>
      <c r="F139" s="79" t="str">
        <f t="shared" si="12"/>
        <v/>
      </c>
      <c r="G139" s="395"/>
      <c r="H139" s="91">
        <f t="shared" si="13"/>
        <v>0</v>
      </c>
      <c r="I139" s="91" t="str">
        <f t="shared" si="14"/>
        <v/>
      </c>
      <c r="J139" s="91" t="str">
        <f t="shared" si="15"/>
        <v/>
      </c>
      <c r="K139" s="92" t="str">
        <f>IF(AND(A139="",B139="",D139="",G139=""),"",IF(AND(A139&lt;&gt;"",COUNTIF($A$2:$A$5001,A139)&gt;1),"NUMERO_PC duplicado",IF(B139="","DATA_PC vazia",IF(NOT(ISNUMBER(B139)),"DATA_PC invalida",IF(OR(C139="",C139="Fora dos ciclos"),"CICLO_PC nao identificado",IF(OR(D139="",D139=0),"VALOR_PC vazio ou zero",IF(AND(G139&lt;&gt;"Sim",G139&lt;&gt;"Nao",G139&lt;&gt;""),"PC_PAGO_A_CONTRATADA invalido",IF(AND(C139&lt;&gt;"C0",IFERROR(INDEX(parametros!$A$2:$A$6,MATCH(C139,parametros!$B$2:$B$6,0)),"")="Sim",IFERROR(INDEX(parametros!$H$2:$H$6,MATCH(C139,parametros!$B$2:$B$6,0)),"")=""),"INICIO_EFEITO ausente: PC "&amp;A139&amp;" - "&amp;C139,IF(L139="","EFEITO_PC nao calculado: PC "&amp;A139&amp;" - "&amp;C139,"OK")))))))))</f>
        <v/>
      </c>
      <c r="L139" s="92" t="str">
        <f>IF(AND(A139="",B139="",D139="",G139=""),"",IF(OR(B139="",NOT(ISNUMBER(B139)),C139="",C139="Fora dos ciclos"),"",IF(C139="C0","Nao",IF(IFERROR(INDEX(parametros!$A$2:$A$6,MATCH(C139,parametros!$B$2:$B$6,0)),"")&lt;&gt;"Sim","Nao",IF(IFERROR(INDEX(parametros!$H$2:$H$6,MATCH(C139,parametros!$B$2:$B$6,0)),"")="","",IF(B139&gt;=IFERROR(INDEX(parametros!$H$2:$H$6,MATCH(C139,parametros!$B$2:$B$6,0)),""),"Sim","Nao"))))))</f>
        <v/>
      </c>
      <c r="M139" s="13"/>
      <c r="N139" s="13"/>
      <c r="O139" s="13"/>
      <c r="P139" s="13"/>
      <c r="Q139" s="13"/>
      <c r="R139" s="13"/>
      <c r="S139" s="13"/>
      <c r="T139" s="13"/>
      <c r="U139" s="214" t="str">
        <f t="shared" si="16"/>
        <v/>
      </c>
      <c r="V139" s="212" t="s">
        <v>50</v>
      </c>
      <c r="W139" s="100" t="s">
        <v>168</v>
      </c>
      <c r="X139" s="100" t="s">
        <v>169</v>
      </c>
      <c r="Y139" s="101" t="s">
        <v>170</v>
      </c>
      <c r="Z139" s="101" t="s">
        <v>171</v>
      </c>
      <c r="AA139" s="101" t="s">
        <v>50</v>
      </c>
      <c r="AB139" s="101" t="s">
        <v>172</v>
      </c>
      <c r="AC139" s="102" t="s">
        <v>173</v>
      </c>
    </row>
    <row r="140" spans="1:29" ht="25.5" customHeight="1" x14ac:dyDescent="0.35">
      <c r="A140" s="392"/>
      <c r="B140" s="393"/>
      <c r="C140" s="99" t="str">
        <f>IF(B140="","",IF(NOT(ISNUMBER(B140)),"DATA_PC invalida",IF(NOT(ISNUMBER(parametros!$C$2)),"Fora dos ciclos",IF(OR(B140&lt;parametros!$C$2,(YEAR(B140)-YEAR(parametros!$C$2))*12+MONTH(B140)-MONTH(parametros!$C$2)&gt;59),"Fora dos ciclos","C"&amp;INT(((YEAR(B140)-YEAR(parametros!$C$2))*12+MONTH(B140)-MONTH(parametros!$C$2))/12)))))</f>
        <v/>
      </c>
      <c r="D140" s="394"/>
      <c r="E140" s="78" t="str">
        <f>IF(C140="","",IFERROR(VLOOKUP(C140,parametros!$A$11:$E$15,5,0),""))</f>
        <v/>
      </c>
      <c r="F140" s="79" t="str">
        <f t="shared" si="12"/>
        <v/>
      </c>
      <c r="G140" s="395"/>
      <c r="H140" s="91">
        <f t="shared" si="13"/>
        <v>0</v>
      </c>
      <c r="I140" s="91" t="str">
        <f t="shared" si="14"/>
        <v/>
      </c>
      <c r="J140" s="91" t="str">
        <f t="shared" si="15"/>
        <v/>
      </c>
      <c r="K140" s="92" t="str">
        <f>IF(AND(A140="",B140="",D140="",G140=""),"",IF(AND(A140&lt;&gt;"",COUNTIF($A$2:$A$5001,A140)&gt;1),"NUMERO_PC duplicado",IF(B140="","DATA_PC vazia",IF(NOT(ISNUMBER(B140)),"DATA_PC invalida",IF(OR(C140="",C140="Fora dos ciclos"),"CICLO_PC nao identificado",IF(OR(D140="",D140=0),"VALOR_PC vazio ou zero",IF(AND(G140&lt;&gt;"Sim",G140&lt;&gt;"Nao",G140&lt;&gt;""),"PC_PAGO_A_CONTRATADA invalido",IF(AND(C140&lt;&gt;"C0",IFERROR(INDEX(parametros!$A$2:$A$6,MATCH(C140,parametros!$B$2:$B$6,0)),"")="Sim",IFERROR(INDEX(parametros!$H$2:$H$6,MATCH(C140,parametros!$B$2:$B$6,0)),"")=""),"INICIO_EFEITO ausente: PC "&amp;A140&amp;" - "&amp;C140,IF(L140="","EFEITO_PC nao calculado: PC "&amp;A140&amp;" - "&amp;C140,"OK")))))))))</f>
        <v/>
      </c>
      <c r="L140" s="92" t="str">
        <f>IF(AND(A140="",B140="",D140="",G140=""),"",IF(OR(B140="",NOT(ISNUMBER(B140)),C140="",C140="Fora dos ciclos"),"",IF(C140="C0","Nao",IF(IFERROR(INDEX(parametros!$A$2:$A$6,MATCH(C140,parametros!$B$2:$B$6,0)),"")&lt;&gt;"Sim","Nao",IF(IFERROR(INDEX(parametros!$H$2:$H$6,MATCH(C140,parametros!$B$2:$B$6,0)),"")="","",IF(B140&gt;=IFERROR(INDEX(parametros!$H$2:$H$6,MATCH(C140,parametros!$B$2:$B$6,0)),""),"Sim","Nao"))))))</f>
        <v/>
      </c>
      <c r="M140" s="13"/>
      <c r="N140" s="13"/>
      <c r="O140" s="13"/>
      <c r="P140" s="13"/>
      <c r="Q140" s="13"/>
      <c r="R140" s="13"/>
      <c r="S140" s="13"/>
      <c r="T140" s="13"/>
      <c r="U140" s="214" t="str">
        <f t="shared" si="16"/>
        <v/>
      </c>
      <c r="V140" s="212" t="s">
        <v>50</v>
      </c>
      <c r="W140" s="100" t="s">
        <v>168</v>
      </c>
      <c r="X140" s="100" t="s">
        <v>169</v>
      </c>
      <c r="Y140" s="101" t="s">
        <v>170</v>
      </c>
      <c r="Z140" s="101" t="s">
        <v>171</v>
      </c>
      <c r="AA140" s="101" t="s">
        <v>50</v>
      </c>
      <c r="AB140" s="101" t="s">
        <v>172</v>
      </c>
      <c r="AC140" s="102" t="s">
        <v>173</v>
      </c>
    </row>
    <row r="141" spans="1:29" ht="25.5" customHeight="1" x14ac:dyDescent="0.35">
      <c r="A141" s="392"/>
      <c r="B141" s="393"/>
      <c r="C141" s="99" t="str">
        <f>IF(B141="","",IF(NOT(ISNUMBER(B141)),"DATA_PC invalida",IF(NOT(ISNUMBER(parametros!$C$2)),"Fora dos ciclos",IF(OR(B141&lt;parametros!$C$2,(YEAR(B141)-YEAR(parametros!$C$2))*12+MONTH(B141)-MONTH(parametros!$C$2)&gt;59),"Fora dos ciclos","C"&amp;INT(((YEAR(B141)-YEAR(parametros!$C$2))*12+MONTH(B141)-MONTH(parametros!$C$2))/12)))))</f>
        <v/>
      </c>
      <c r="D141" s="394"/>
      <c r="E141" s="78" t="str">
        <f>IF(C141="","",IFERROR(VLOOKUP(C141,parametros!$A$11:$E$15,5,0),""))</f>
        <v/>
      </c>
      <c r="F141" s="79" t="str">
        <f t="shared" si="12"/>
        <v/>
      </c>
      <c r="G141" s="395"/>
      <c r="H141" s="91">
        <f t="shared" si="13"/>
        <v>0</v>
      </c>
      <c r="I141" s="91" t="str">
        <f t="shared" si="14"/>
        <v/>
      </c>
      <c r="J141" s="91" t="str">
        <f t="shared" si="15"/>
        <v/>
      </c>
      <c r="K141" s="92" t="str">
        <f>IF(AND(A141="",B141="",D141="",G141=""),"",IF(AND(A141&lt;&gt;"",COUNTIF($A$2:$A$5001,A141)&gt;1),"NUMERO_PC duplicado",IF(B141="","DATA_PC vazia",IF(NOT(ISNUMBER(B141)),"DATA_PC invalida",IF(OR(C141="",C141="Fora dos ciclos"),"CICLO_PC nao identificado",IF(OR(D141="",D141=0),"VALOR_PC vazio ou zero",IF(AND(G141&lt;&gt;"Sim",G141&lt;&gt;"Nao",G141&lt;&gt;""),"PC_PAGO_A_CONTRATADA invalido",IF(AND(C141&lt;&gt;"C0",IFERROR(INDEX(parametros!$A$2:$A$6,MATCH(C141,parametros!$B$2:$B$6,0)),"")="Sim",IFERROR(INDEX(parametros!$H$2:$H$6,MATCH(C141,parametros!$B$2:$B$6,0)),"")=""),"INICIO_EFEITO ausente: PC "&amp;A141&amp;" - "&amp;C141,IF(L141="","EFEITO_PC nao calculado: PC "&amp;A141&amp;" - "&amp;C141,"OK")))))))))</f>
        <v/>
      </c>
      <c r="L141" s="92" t="str">
        <f>IF(AND(A141="",B141="",D141="",G141=""),"",IF(OR(B141="",NOT(ISNUMBER(B141)),C141="",C141="Fora dos ciclos"),"",IF(C141="C0","Nao",IF(IFERROR(INDEX(parametros!$A$2:$A$6,MATCH(C141,parametros!$B$2:$B$6,0)),"")&lt;&gt;"Sim","Nao",IF(IFERROR(INDEX(parametros!$H$2:$H$6,MATCH(C141,parametros!$B$2:$B$6,0)),"")="","",IF(B141&gt;=IFERROR(INDEX(parametros!$H$2:$H$6,MATCH(C141,parametros!$B$2:$B$6,0)),""),"Sim","Nao"))))))</f>
        <v/>
      </c>
      <c r="M141" s="13"/>
      <c r="N141" s="13"/>
      <c r="O141" s="13"/>
      <c r="P141" s="13"/>
      <c r="Q141" s="13"/>
      <c r="R141" s="13"/>
      <c r="S141" s="13"/>
      <c r="T141" s="13"/>
      <c r="U141" s="214" t="str">
        <f t="shared" si="16"/>
        <v/>
      </c>
      <c r="V141" s="212" t="s">
        <v>50</v>
      </c>
      <c r="W141" s="100" t="s">
        <v>168</v>
      </c>
      <c r="X141" s="100" t="s">
        <v>169</v>
      </c>
      <c r="Y141" s="101" t="s">
        <v>170</v>
      </c>
      <c r="Z141" s="101" t="s">
        <v>171</v>
      </c>
      <c r="AA141" s="101" t="s">
        <v>50</v>
      </c>
      <c r="AB141" s="101" t="s">
        <v>172</v>
      </c>
      <c r="AC141" s="102" t="s">
        <v>173</v>
      </c>
    </row>
    <row r="142" spans="1:29" ht="25.5" customHeight="1" x14ac:dyDescent="0.35">
      <c r="A142" s="392"/>
      <c r="B142" s="393"/>
      <c r="C142" s="99" t="str">
        <f>IF(B142="","",IF(NOT(ISNUMBER(B142)),"DATA_PC invalida",IF(NOT(ISNUMBER(parametros!$C$2)),"Fora dos ciclos",IF(OR(B142&lt;parametros!$C$2,(YEAR(B142)-YEAR(parametros!$C$2))*12+MONTH(B142)-MONTH(parametros!$C$2)&gt;59),"Fora dos ciclos","C"&amp;INT(((YEAR(B142)-YEAR(parametros!$C$2))*12+MONTH(B142)-MONTH(parametros!$C$2))/12)))))</f>
        <v/>
      </c>
      <c r="D142" s="394"/>
      <c r="E142" s="78" t="str">
        <f>IF(C142="","",IFERROR(VLOOKUP(C142,parametros!$A$11:$E$15,5,0),""))</f>
        <v/>
      </c>
      <c r="F142" s="79" t="str">
        <f t="shared" si="12"/>
        <v/>
      </c>
      <c r="G142" s="395"/>
      <c r="H142" s="91">
        <f t="shared" si="13"/>
        <v>0</v>
      </c>
      <c r="I142" s="91" t="str">
        <f t="shared" si="14"/>
        <v/>
      </c>
      <c r="J142" s="91" t="str">
        <f t="shared" si="15"/>
        <v/>
      </c>
      <c r="K142" s="92" t="str">
        <f>IF(AND(A142="",B142="",D142="",G142=""),"",IF(AND(A142&lt;&gt;"",COUNTIF($A$2:$A$5001,A142)&gt;1),"NUMERO_PC duplicado",IF(B142="","DATA_PC vazia",IF(NOT(ISNUMBER(B142)),"DATA_PC invalida",IF(OR(C142="",C142="Fora dos ciclos"),"CICLO_PC nao identificado",IF(OR(D142="",D142=0),"VALOR_PC vazio ou zero",IF(AND(G142&lt;&gt;"Sim",G142&lt;&gt;"Nao",G142&lt;&gt;""),"PC_PAGO_A_CONTRATADA invalido",IF(AND(C142&lt;&gt;"C0",IFERROR(INDEX(parametros!$A$2:$A$6,MATCH(C142,parametros!$B$2:$B$6,0)),"")="Sim",IFERROR(INDEX(parametros!$H$2:$H$6,MATCH(C142,parametros!$B$2:$B$6,0)),"")=""),"INICIO_EFEITO ausente: PC "&amp;A142&amp;" - "&amp;C142,IF(L142="","EFEITO_PC nao calculado: PC "&amp;A142&amp;" - "&amp;C142,"OK")))))))))</f>
        <v/>
      </c>
      <c r="L142" s="92" t="str">
        <f>IF(AND(A142="",B142="",D142="",G142=""),"",IF(OR(B142="",NOT(ISNUMBER(B142)),C142="",C142="Fora dos ciclos"),"",IF(C142="C0","Nao",IF(IFERROR(INDEX(parametros!$A$2:$A$6,MATCH(C142,parametros!$B$2:$B$6,0)),"")&lt;&gt;"Sim","Nao",IF(IFERROR(INDEX(parametros!$H$2:$H$6,MATCH(C142,parametros!$B$2:$B$6,0)),"")="","",IF(B142&gt;=IFERROR(INDEX(parametros!$H$2:$H$6,MATCH(C142,parametros!$B$2:$B$6,0)),""),"Sim","Nao"))))))</f>
        <v/>
      </c>
      <c r="M142" s="13"/>
      <c r="N142" s="13"/>
      <c r="O142" s="13"/>
      <c r="P142" s="13"/>
      <c r="Q142" s="13"/>
      <c r="R142" s="13"/>
      <c r="S142" s="13"/>
      <c r="T142" s="13"/>
      <c r="U142" s="214" t="str">
        <f t="shared" si="16"/>
        <v/>
      </c>
      <c r="V142" s="212" t="s">
        <v>50</v>
      </c>
      <c r="W142" s="100" t="s">
        <v>168</v>
      </c>
      <c r="X142" s="100" t="s">
        <v>169</v>
      </c>
      <c r="Y142" s="101" t="s">
        <v>170</v>
      </c>
      <c r="Z142" s="101" t="s">
        <v>171</v>
      </c>
      <c r="AA142" s="101" t="s">
        <v>50</v>
      </c>
      <c r="AB142" s="101" t="s">
        <v>172</v>
      </c>
      <c r="AC142" s="102" t="s">
        <v>173</v>
      </c>
    </row>
    <row r="143" spans="1:29" ht="25.5" customHeight="1" x14ac:dyDescent="0.35">
      <c r="A143" s="392"/>
      <c r="B143" s="393"/>
      <c r="C143" s="99" t="str">
        <f>IF(B143="","",IF(NOT(ISNUMBER(B143)),"DATA_PC invalida",IF(NOT(ISNUMBER(parametros!$C$2)),"Fora dos ciclos",IF(OR(B143&lt;parametros!$C$2,(YEAR(B143)-YEAR(parametros!$C$2))*12+MONTH(B143)-MONTH(parametros!$C$2)&gt;59),"Fora dos ciclos","C"&amp;INT(((YEAR(B143)-YEAR(parametros!$C$2))*12+MONTH(B143)-MONTH(parametros!$C$2))/12)))))</f>
        <v/>
      </c>
      <c r="D143" s="394"/>
      <c r="E143" s="78" t="str">
        <f>IF(C143="","",IFERROR(VLOOKUP(C143,parametros!$A$11:$E$15,5,0),""))</f>
        <v/>
      </c>
      <c r="F143" s="79" t="str">
        <f t="shared" si="12"/>
        <v/>
      </c>
      <c r="G143" s="395"/>
      <c r="H143" s="91">
        <f t="shared" si="13"/>
        <v>0</v>
      </c>
      <c r="I143" s="91" t="str">
        <f t="shared" si="14"/>
        <v/>
      </c>
      <c r="J143" s="91" t="str">
        <f t="shared" si="15"/>
        <v/>
      </c>
      <c r="K143" s="92" t="str">
        <f>IF(AND(A143="",B143="",D143="",G143=""),"",IF(AND(A143&lt;&gt;"",COUNTIF($A$2:$A$5001,A143)&gt;1),"NUMERO_PC duplicado",IF(B143="","DATA_PC vazia",IF(NOT(ISNUMBER(B143)),"DATA_PC invalida",IF(OR(C143="",C143="Fora dos ciclos"),"CICLO_PC nao identificado",IF(OR(D143="",D143=0),"VALOR_PC vazio ou zero",IF(AND(G143&lt;&gt;"Sim",G143&lt;&gt;"Nao",G143&lt;&gt;""),"PC_PAGO_A_CONTRATADA invalido",IF(AND(C143&lt;&gt;"C0",IFERROR(INDEX(parametros!$A$2:$A$6,MATCH(C143,parametros!$B$2:$B$6,0)),"")="Sim",IFERROR(INDEX(parametros!$H$2:$H$6,MATCH(C143,parametros!$B$2:$B$6,0)),"")=""),"INICIO_EFEITO ausente: PC "&amp;A143&amp;" - "&amp;C143,IF(L143="","EFEITO_PC nao calculado: PC "&amp;A143&amp;" - "&amp;C143,"OK")))))))))</f>
        <v/>
      </c>
      <c r="L143" s="92" t="str">
        <f>IF(AND(A143="",B143="",D143="",G143=""),"",IF(OR(B143="",NOT(ISNUMBER(B143)),C143="",C143="Fora dos ciclos"),"",IF(C143="C0","Nao",IF(IFERROR(INDEX(parametros!$A$2:$A$6,MATCH(C143,parametros!$B$2:$B$6,0)),"")&lt;&gt;"Sim","Nao",IF(IFERROR(INDEX(parametros!$H$2:$H$6,MATCH(C143,parametros!$B$2:$B$6,0)),"")="","",IF(B143&gt;=IFERROR(INDEX(parametros!$H$2:$H$6,MATCH(C143,parametros!$B$2:$B$6,0)),""),"Sim","Nao"))))))</f>
        <v/>
      </c>
      <c r="M143" s="13"/>
      <c r="N143" s="13"/>
      <c r="O143" s="13"/>
      <c r="P143" s="13"/>
      <c r="Q143" s="13"/>
      <c r="R143" s="13"/>
      <c r="S143" s="13"/>
      <c r="T143" s="13"/>
      <c r="U143" s="214" t="str">
        <f t="shared" si="16"/>
        <v/>
      </c>
      <c r="V143" s="212" t="s">
        <v>50</v>
      </c>
      <c r="W143" s="100" t="s">
        <v>168</v>
      </c>
      <c r="X143" s="100" t="s">
        <v>169</v>
      </c>
      <c r="Y143" s="101" t="s">
        <v>170</v>
      </c>
      <c r="Z143" s="101" t="s">
        <v>171</v>
      </c>
      <c r="AA143" s="101" t="s">
        <v>50</v>
      </c>
      <c r="AB143" s="101" t="s">
        <v>172</v>
      </c>
      <c r="AC143" s="102" t="s">
        <v>173</v>
      </c>
    </row>
    <row r="144" spans="1:29" ht="25.5" customHeight="1" x14ac:dyDescent="0.35">
      <c r="A144" s="392"/>
      <c r="B144" s="393"/>
      <c r="C144" s="99" t="str">
        <f>IF(B144="","",IF(NOT(ISNUMBER(B144)),"DATA_PC invalida",IF(NOT(ISNUMBER(parametros!$C$2)),"Fora dos ciclos",IF(OR(B144&lt;parametros!$C$2,(YEAR(B144)-YEAR(parametros!$C$2))*12+MONTH(B144)-MONTH(parametros!$C$2)&gt;59),"Fora dos ciclos","C"&amp;INT(((YEAR(B144)-YEAR(parametros!$C$2))*12+MONTH(B144)-MONTH(parametros!$C$2))/12)))))</f>
        <v/>
      </c>
      <c r="D144" s="394"/>
      <c r="E144" s="78" t="str">
        <f>IF(C144="","",IFERROR(VLOOKUP(C144,parametros!$A$11:$E$15,5,0),""))</f>
        <v/>
      </c>
      <c r="F144" s="79" t="str">
        <f t="shared" si="12"/>
        <v/>
      </c>
      <c r="G144" s="395"/>
      <c r="H144" s="91">
        <f t="shared" si="13"/>
        <v>0</v>
      </c>
      <c r="I144" s="91" t="str">
        <f t="shared" si="14"/>
        <v/>
      </c>
      <c r="J144" s="91" t="str">
        <f t="shared" si="15"/>
        <v/>
      </c>
      <c r="K144" s="92" t="str">
        <f>IF(AND(A144="",B144="",D144="",G144=""),"",IF(AND(A144&lt;&gt;"",COUNTIF($A$2:$A$5001,A144)&gt;1),"NUMERO_PC duplicado",IF(B144="","DATA_PC vazia",IF(NOT(ISNUMBER(B144)),"DATA_PC invalida",IF(OR(C144="",C144="Fora dos ciclos"),"CICLO_PC nao identificado",IF(OR(D144="",D144=0),"VALOR_PC vazio ou zero",IF(AND(G144&lt;&gt;"Sim",G144&lt;&gt;"Nao",G144&lt;&gt;""),"PC_PAGO_A_CONTRATADA invalido",IF(AND(C144&lt;&gt;"C0",IFERROR(INDEX(parametros!$A$2:$A$6,MATCH(C144,parametros!$B$2:$B$6,0)),"")="Sim",IFERROR(INDEX(parametros!$H$2:$H$6,MATCH(C144,parametros!$B$2:$B$6,0)),"")=""),"INICIO_EFEITO ausente: PC "&amp;A144&amp;" - "&amp;C144,IF(L144="","EFEITO_PC nao calculado: PC "&amp;A144&amp;" - "&amp;C144,"OK")))))))))</f>
        <v/>
      </c>
      <c r="L144" s="92" t="str">
        <f>IF(AND(A144="",B144="",D144="",G144=""),"",IF(OR(B144="",NOT(ISNUMBER(B144)),C144="",C144="Fora dos ciclos"),"",IF(C144="C0","Nao",IF(IFERROR(INDEX(parametros!$A$2:$A$6,MATCH(C144,parametros!$B$2:$B$6,0)),"")&lt;&gt;"Sim","Nao",IF(IFERROR(INDEX(parametros!$H$2:$H$6,MATCH(C144,parametros!$B$2:$B$6,0)),"")="","",IF(B144&gt;=IFERROR(INDEX(parametros!$H$2:$H$6,MATCH(C144,parametros!$B$2:$B$6,0)),""),"Sim","Nao"))))))</f>
        <v/>
      </c>
      <c r="M144" s="13"/>
      <c r="N144" s="13"/>
      <c r="O144" s="13"/>
      <c r="P144" s="13"/>
      <c r="Q144" s="13"/>
      <c r="R144" s="13"/>
      <c r="S144" s="13"/>
      <c r="T144" s="13"/>
      <c r="U144" s="214" t="str">
        <f t="shared" si="16"/>
        <v/>
      </c>
      <c r="V144" s="212" t="s">
        <v>50</v>
      </c>
      <c r="W144" s="100" t="s">
        <v>168</v>
      </c>
      <c r="X144" s="100" t="s">
        <v>169</v>
      </c>
      <c r="Y144" s="101" t="s">
        <v>170</v>
      </c>
      <c r="Z144" s="101" t="s">
        <v>171</v>
      </c>
      <c r="AA144" s="101" t="s">
        <v>50</v>
      </c>
      <c r="AB144" s="101" t="s">
        <v>172</v>
      </c>
      <c r="AC144" s="102" t="s">
        <v>173</v>
      </c>
    </row>
    <row r="145" spans="1:29" ht="25.5" customHeight="1" x14ac:dyDescent="0.35">
      <c r="A145" s="392"/>
      <c r="B145" s="393"/>
      <c r="C145" s="99" t="str">
        <f>IF(B145="","",IF(NOT(ISNUMBER(B145)),"DATA_PC invalida",IF(NOT(ISNUMBER(parametros!$C$2)),"Fora dos ciclos",IF(OR(B145&lt;parametros!$C$2,(YEAR(B145)-YEAR(parametros!$C$2))*12+MONTH(B145)-MONTH(parametros!$C$2)&gt;59),"Fora dos ciclos","C"&amp;INT(((YEAR(B145)-YEAR(parametros!$C$2))*12+MONTH(B145)-MONTH(parametros!$C$2))/12)))))</f>
        <v/>
      </c>
      <c r="D145" s="394"/>
      <c r="E145" s="78" t="str">
        <f>IF(C145="","",IFERROR(VLOOKUP(C145,parametros!$A$11:$E$15,5,0),""))</f>
        <v/>
      </c>
      <c r="F145" s="79" t="str">
        <f t="shared" si="12"/>
        <v/>
      </c>
      <c r="G145" s="395"/>
      <c r="H145" s="91">
        <f t="shared" si="13"/>
        <v>0</v>
      </c>
      <c r="I145" s="91" t="str">
        <f t="shared" si="14"/>
        <v/>
      </c>
      <c r="J145" s="91" t="str">
        <f t="shared" si="15"/>
        <v/>
      </c>
      <c r="K145" s="92" t="str">
        <f>IF(AND(A145="",B145="",D145="",G145=""),"",IF(AND(A145&lt;&gt;"",COUNTIF($A$2:$A$5001,A145)&gt;1),"NUMERO_PC duplicado",IF(B145="","DATA_PC vazia",IF(NOT(ISNUMBER(B145)),"DATA_PC invalida",IF(OR(C145="",C145="Fora dos ciclos"),"CICLO_PC nao identificado",IF(OR(D145="",D145=0),"VALOR_PC vazio ou zero",IF(AND(G145&lt;&gt;"Sim",G145&lt;&gt;"Nao",G145&lt;&gt;""),"PC_PAGO_A_CONTRATADA invalido",IF(AND(C145&lt;&gt;"C0",IFERROR(INDEX(parametros!$A$2:$A$6,MATCH(C145,parametros!$B$2:$B$6,0)),"")="Sim",IFERROR(INDEX(parametros!$H$2:$H$6,MATCH(C145,parametros!$B$2:$B$6,0)),"")=""),"INICIO_EFEITO ausente: PC "&amp;A145&amp;" - "&amp;C145,IF(L145="","EFEITO_PC nao calculado: PC "&amp;A145&amp;" - "&amp;C145,"OK")))))))))</f>
        <v/>
      </c>
      <c r="L145" s="92" t="str">
        <f>IF(AND(A145="",B145="",D145="",G145=""),"",IF(OR(B145="",NOT(ISNUMBER(B145)),C145="",C145="Fora dos ciclos"),"",IF(C145="C0","Nao",IF(IFERROR(INDEX(parametros!$A$2:$A$6,MATCH(C145,parametros!$B$2:$B$6,0)),"")&lt;&gt;"Sim","Nao",IF(IFERROR(INDEX(parametros!$H$2:$H$6,MATCH(C145,parametros!$B$2:$B$6,0)),"")="","",IF(B145&gt;=IFERROR(INDEX(parametros!$H$2:$H$6,MATCH(C145,parametros!$B$2:$B$6,0)),""),"Sim","Nao"))))))</f>
        <v/>
      </c>
      <c r="M145" s="13"/>
      <c r="N145" s="13"/>
      <c r="O145" s="13"/>
      <c r="P145" s="13"/>
      <c r="Q145" s="13"/>
      <c r="R145" s="13"/>
      <c r="S145" s="13"/>
      <c r="T145" s="13"/>
      <c r="U145" s="214" t="str">
        <f t="shared" si="16"/>
        <v/>
      </c>
      <c r="V145" s="212" t="s">
        <v>50</v>
      </c>
      <c r="W145" s="100" t="s">
        <v>168</v>
      </c>
      <c r="X145" s="100" t="s">
        <v>169</v>
      </c>
      <c r="Y145" s="101" t="s">
        <v>170</v>
      </c>
      <c r="Z145" s="101" t="s">
        <v>171</v>
      </c>
      <c r="AA145" s="101" t="s">
        <v>50</v>
      </c>
      <c r="AB145" s="101" t="s">
        <v>172</v>
      </c>
      <c r="AC145" s="102" t="s">
        <v>173</v>
      </c>
    </row>
    <row r="146" spans="1:29" ht="25.5" customHeight="1" x14ac:dyDescent="0.35">
      <c r="A146" s="392"/>
      <c r="B146" s="393"/>
      <c r="C146" s="99" t="str">
        <f>IF(B146="","",IF(NOT(ISNUMBER(B146)),"DATA_PC invalida",IF(NOT(ISNUMBER(parametros!$C$2)),"Fora dos ciclos",IF(OR(B146&lt;parametros!$C$2,(YEAR(B146)-YEAR(parametros!$C$2))*12+MONTH(B146)-MONTH(parametros!$C$2)&gt;59),"Fora dos ciclos","C"&amp;INT(((YEAR(B146)-YEAR(parametros!$C$2))*12+MONTH(B146)-MONTH(parametros!$C$2))/12)))))</f>
        <v/>
      </c>
      <c r="D146" s="394"/>
      <c r="E146" s="78" t="str">
        <f>IF(C146="","",IFERROR(VLOOKUP(C146,parametros!$A$11:$E$15,5,0),""))</f>
        <v/>
      </c>
      <c r="F146" s="79" t="str">
        <f t="shared" si="12"/>
        <v/>
      </c>
      <c r="G146" s="395"/>
      <c r="H146" s="91">
        <f t="shared" si="13"/>
        <v>0</v>
      </c>
      <c r="I146" s="91" t="str">
        <f t="shared" si="14"/>
        <v/>
      </c>
      <c r="J146" s="91" t="str">
        <f t="shared" si="15"/>
        <v/>
      </c>
      <c r="K146" s="92" t="str">
        <f>IF(AND(A146="",B146="",D146="",G146=""),"",IF(AND(A146&lt;&gt;"",COUNTIF($A$2:$A$5001,A146)&gt;1),"NUMERO_PC duplicado",IF(B146="","DATA_PC vazia",IF(NOT(ISNUMBER(B146)),"DATA_PC invalida",IF(OR(C146="",C146="Fora dos ciclos"),"CICLO_PC nao identificado",IF(OR(D146="",D146=0),"VALOR_PC vazio ou zero",IF(AND(G146&lt;&gt;"Sim",G146&lt;&gt;"Nao",G146&lt;&gt;""),"PC_PAGO_A_CONTRATADA invalido",IF(AND(C146&lt;&gt;"C0",IFERROR(INDEX(parametros!$A$2:$A$6,MATCH(C146,parametros!$B$2:$B$6,0)),"")="Sim",IFERROR(INDEX(parametros!$H$2:$H$6,MATCH(C146,parametros!$B$2:$B$6,0)),"")=""),"INICIO_EFEITO ausente: PC "&amp;A146&amp;" - "&amp;C146,IF(L146="","EFEITO_PC nao calculado: PC "&amp;A146&amp;" - "&amp;C146,"OK")))))))))</f>
        <v/>
      </c>
      <c r="L146" s="92" t="str">
        <f>IF(AND(A146="",B146="",D146="",G146=""),"",IF(OR(B146="",NOT(ISNUMBER(B146)),C146="",C146="Fora dos ciclos"),"",IF(C146="C0","Nao",IF(IFERROR(INDEX(parametros!$A$2:$A$6,MATCH(C146,parametros!$B$2:$B$6,0)),"")&lt;&gt;"Sim","Nao",IF(IFERROR(INDEX(parametros!$H$2:$H$6,MATCH(C146,parametros!$B$2:$B$6,0)),"")="","",IF(B146&gt;=IFERROR(INDEX(parametros!$H$2:$H$6,MATCH(C146,parametros!$B$2:$B$6,0)),""),"Sim","Nao"))))))</f>
        <v/>
      </c>
      <c r="M146" s="13"/>
      <c r="N146" s="13"/>
      <c r="O146" s="13"/>
      <c r="P146" s="13"/>
      <c r="Q146" s="13"/>
      <c r="R146" s="13"/>
      <c r="S146" s="13"/>
      <c r="T146" s="13"/>
      <c r="U146" s="214" t="str">
        <f t="shared" si="16"/>
        <v/>
      </c>
      <c r="V146" s="212" t="s">
        <v>50</v>
      </c>
      <c r="W146" s="100" t="s">
        <v>168</v>
      </c>
      <c r="X146" s="100" t="s">
        <v>169</v>
      </c>
      <c r="Y146" s="101" t="s">
        <v>170</v>
      </c>
      <c r="Z146" s="101" t="s">
        <v>171</v>
      </c>
      <c r="AA146" s="101" t="s">
        <v>50</v>
      </c>
      <c r="AB146" s="101" t="s">
        <v>172</v>
      </c>
      <c r="AC146" s="102" t="s">
        <v>173</v>
      </c>
    </row>
    <row r="147" spans="1:29" ht="25.5" customHeight="1" x14ac:dyDescent="0.35">
      <c r="A147" s="392"/>
      <c r="B147" s="393"/>
      <c r="C147" s="99" t="str">
        <f>IF(B147="","",IF(NOT(ISNUMBER(B147)),"DATA_PC invalida",IF(NOT(ISNUMBER(parametros!$C$2)),"Fora dos ciclos",IF(OR(B147&lt;parametros!$C$2,(YEAR(B147)-YEAR(parametros!$C$2))*12+MONTH(B147)-MONTH(parametros!$C$2)&gt;59),"Fora dos ciclos","C"&amp;INT(((YEAR(B147)-YEAR(parametros!$C$2))*12+MONTH(B147)-MONTH(parametros!$C$2))/12)))))</f>
        <v/>
      </c>
      <c r="D147" s="394"/>
      <c r="E147" s="78" t="str">
        <f>IF(C147="","",IFERROR(VLOOKUP(C147,parametros!$A$11:$E$15,5,0),""))</f>
        <v/>
      </c>
      <c r="F147" s="79" t="str">
        <f t="shared" si="12"/>
        <v/>
      </c>
      <c r="G147" s="395"/>
      <c r="H147" s="91">
        <f t="shared" si="13"/>
        <v>0</v>
      </c>
      <c r="I147" s="91" t="str">
        <f t="shared" si="14"/>
        <v/>
      </c>
      <c r="J147" s="91" t="str">
        <f t="shared" si="15"/>
        <v/>
      </c>
      <c r="K147" s="92" t="str">
        <f>IF(AND(A147="",B147="",D147="",G147=""),"",IF(AND(A147&lt;&gt;"",COUNTIF($A$2:$A$5001,A147)&gt;1),"NUMERO_PC duplicado",IF(B147="","DATA_PC vazia",IF(NOT(ISNUMBER(B147)),"DATA_PC invalida",IF(OR(C147="",C147="Fora dos ciclos"),"CICLO_PC nao identificado",IF(OR(D147="",D147=0),"VALOR_PC vazio ou zero",IF(AND(G147&lt;&gt;"Sim",G147&lt;&gt;"Nao",G147&lt;&gt;""),"PC_PAGO_A_CONTRATADA invalido",IF(AND(C147&lt;&gt;"C0",IFERROR(INDEX(parametros!$A$2:$A$6,MATCH(C147,parametros!$B$2:$B$6,0)),"")="Sim",IFERROR(INDEX(parametros!$H$2:$H$6,MATCH(C147,parametros!$B$2:$B$6,0)),"")=""),"INICIO_EFEITO ausente: PC "&amp;A147&amp;" - "&amp;C147,IF(L147="","EFEITO_PC nao calculado: PC "&amp;A147&amp;" - "&amp;C147,"OK")))))))))</f>
        <v/>
      </c>
      <c r="L147" s="92" t="str">
        <f>IF(AND(A147="",B147="",D147="",G147=""),"",IF(OR(B147="",NOT(ISNUMBER(B147)),C147="",C147="Fora dos ciclos"),"",IF(C147="C0","Nao",IF(IFERROR(INDEX(parametros!$A$2:$A$6,MATCH(C147,parametros!$B$2:$B$6,0)),"")&lt;&gt;"Sim","Nao",IF(IFERROR(INDEX(parametros!$H$2:$H$6,MATCH(C147,parametros!$B$2:$B$6,0)),"")="","",IF(B147&gt;=IFERROR(INDEX(parametros!$H$2:$H$6,MATCH(C147,parametros!$B$2:$B$6,0)),""),"Sim","Nao"))))))</f>
        <v/>
      </c>
      <c r="M147" s="13"/>
      <c r="N147" s="13"/>
      <c r="O147" s="13"/>
      <c r="P147" s="13"/>
      <c r="Q147" s="13"/>
      <c r="R147" s="13"/>
      <c r="S147" s="13"/>
      <c r="T147" s="13"/>
      <c r="U147" s="214" t="str">
        <f t="shared" si="16"/>
        <v/>
      </c>
      <c r="V147" s="212" t="s">
        <v>50</v>
      </c>
      <c r="W147" s="100" t="s">
        <v>168</v>
      </c>
      <c r="X147" s="100" t="s">
        <v>169</v>
      </c>
      <c r="Y147" s="101" t="s">
        <v>170</v>
      </c>
      <c r="Z147" s="101" t="s">
        <v>171</v>
      </c>
      <c r="AA147" s="101" t="s">
        <v>50</v>
      </c>
      <c r="AB147" s="101" t="s">
        <v>172</v>
      </c>
      <c r="AC147" s="102" t="s">
        <v>173</v>
      </c>
    </row>
    <row r="148" spans="1:29" ht="25.5" customHeight="1" x14ac:dyDescent="0.35">
      <c r="A148" s="392"/>
      <c r="B148" s="393"/>
      <c r="C148" s="99" t="str">
        <f>IF(B148="","",IF(NOT(ISNUMBER(B148)),"DATA_PC invalida",IF(NOT(ISNUMBER(parametros!$C$2)),"Fora dos ciclos",IF(OR(B148&lt;parametros!$C$2,(YEAR(B148)-YEAR(parametros!$C$2))*12+MONTH(B148)-MONTH(parametros!$C$2)&gt;59),"Fora dos ciclos","C"&amp;INT(((YEAR(B148)-YEAR(parametros!$C$2))*12+MONTH(B148)-MONTH(parametros!$C$2))/12)))))</f>
        <v/>
      </c>
      <c r="D148" s="394"/>
      <c r="E148" s="78" t="str">
        <f>IF(C148="","",IFERROR(VLOOKUP(C148,parametros!$A$11:$E$15,5,0),""))</f>
        <v/>
      </c>
      <c r="F148" s="79" t="str">
        <f t="shared" si="12"/>
        <v/>
      </c>
      <c r="G148" s="395"/>
      <c r="H148" s="91">
        <f t="shared" si="13"/>
        <v>0</v>
      </c>
      <c r="I148" s="91" t="str">
        <f t="shared" si="14"/>
        <v/>
      </c>
      <c r="J148" s="91" t="str">
        <f t="shared" si="15"/>
        <v/>
      </c>
      <c r="K148" s="92" t="str">
        <f>IF(AND(A148="",B148="",D148="",G148=""),"",IF(AND(A148&lt;&gt;"",COUNTIF($A$2:$A$5001,A148)&gt;1),"NUMERO_PC duplicado",IF(B148="","DATA_PC vazia",IF(NOT(ISNUMBER(B148)),"DATA_PC invalida",IF(OR(C148="",C148="Fora dos ciclos"),"CICLO_PC nao identificado",IF(OR(D148="",D148=0),"VALOR_PC vazio ou zero",IF(AND(G148&lt;&gt;"Sim",G148&lt;&gt;"Nao",G148&lt;&gt;""),"PC_PAGO_A_CONTRATADA invalido",IF(AND(C148&lt;&gt;"C0",IFERROR(INDEX(parametros!$A$2:$A$6,MATCH(C148,parametros!$B$2:$B$6,0)),"")="Sim",IFERROR(INDEX(parametros!$H$2:$H$6,MATCH(C148,parametros!$B$2:$B$6,0)),"")=""),"INICIO_EFEITO ausente: PC "&amp;A148&amp;" - "&amp;C148,IF(L148="","EFEITO_PC nao calculado: PC "&amp;A148&amp;" - "&amp;C148,"OK")))))))))</f>
        <v/>
      </c>
      <c r="L148" s="92" t="str">
        <f>IF(AND(A148="",B148="",D148="",G148=""),"",IF(OR(B148="",NOT(ISNUMBER(B148)),C148="",C148="Fora dos ciclos"),"",IF(C148="C0","Nao",IF(IFERROR(INDEX(parametros!$A$2:$A$6,MATCH(C148,parametros!$B$2:$B$6,0)),"")&lt;&gt;"Sim","Nao",IF(IFERROR(INDEX(parametros!$H$2:$H$6,MATCH(C148,parametros!$B$2:$B$6,0)),"")="","",IF(B148&gt;=IFERROR(INDEX(parametros!$H$2:$H$6,MATCH(C148,parametros!$B$2:$B$6,0)),""),"Sim","Nao"))))))</f>
        <v/>
      </c>
      <c r="M148" s="13"/>
      <c r="N148" s="13"/>
      <c r="O148" s="13"/>
      <c r="P148" s="13"/>
      <c r="Q148" s="13"/>
      <c r="R148" s="13"/>
      <c r="S148" s="13"/>
      <c r="T148" s="13"/>
      <c r="U148" s="214" t="str">
        <f t="shared" si="16"/>
        <v/>
      </c>
      <c r="V148" s="212" t="s">
        <v>50</v>
      </c>
      <c r="W148" s="100" t="s">
        <v>168</v>
      </c>
      <c r="X148" s="100" t="s">
        <v>169</v>
      </c>
      <c r="Y148" s="101" t="s">
        <v>170</v>
      </c>
      <c r="Z148" s="101" t="s">
        <v>171</v>
      </c>
      <c r="AA148" s="101" t="s">
        <v>50</v>
      </c>
      <c r="AB148" s="101" t="s">
        <v>172</v>
      </c>
      <c r="AC148" s="102" t="s">
        <v>173</v>
      </c>
    </row>
    <row r="149" spans="1:29" ht="25.5" customHeight="1" x14ac:dyDescent="0.35">
      <c r="A149" s="392"/>
      <c r="B149" s="393"/>
      <c r="C149" s="99" t="str">
        <f>IF(B149="","",IF(NOT(ISNUMBER(B149)),"DATA_PC invalida",IF(NOT(ISNUMBER(parametros!$C$2)),"Fora dos ciclos",IF(OR(B149&lt;parametros!$C$2,(YEAR(B149)-YEAR(parametros!$C$2))*12+MONTH(B149)-MONTH(parametros!$C$2)&gt;59),"Fora dos ciclos","C"&amp;INT(((YEAR(B149)-YEAR(parametros!$C$2))*12+MONTH(B149)-MONTH(parametros!$C$2))/12)))))</f>
        <v/>
      </c>
      <c r="D149" s="394"/>
      <c r="E149" s="78" t="str">
        <f>IF(C149="","",IFERROR(VLOOKUP(C149,parametros!$A$11:$E$15,5,0),""))</f>
        <v/>
      </c>
      <c r="F149" s="79" t="str">
        <f t="shared" si="12"/>
        <v/>
      </c>
      <c r="G149" s="395"/>
      <c r="H149" s="91">
        <f t="shared" si="13"/>
        <v>0</v>
      </c>
      <c r="I149" s="91" t="str">
        <f t="shared" si="14"/>
        <v/>
      </c>
      <c r="J149" s="91" t="str">
        <f t="shared" si="15"/>
        <v/>
      </c>
      <c r="K149" s="92" t="str">
        <f>IF(AND(A149="",B149="",D149="",G149=""),"",IF(AND(A149&lt;&gt;"",COUNTIF($A$2:$A$5001,A149)&gt;1),"NUMERO_PC duplicado",IF(B149="","DATA_PC vazia",IF(NOT(ISNUMBER(B149)),"DATA_PC invalida",IF(OR(C149="",C149="Fora dos ciclos"),"CICLO_PC nao identificado",IF(OR(D149="",D149=0),"VALOR_PC vazio ou zero",IF(AND(G149&lt;&gt;"Sim",G149&lt;&gt;"Nao",G149&lt;&gt;""),"PC_PAGO_A_CONTRATADA invalido",IF(AND(C149&lt;&gt;"C0",IFERROR(INDEX(parametros!$A$2:$A$6,MATCH(C149,parametros!$B$2:$B$6,0)),"")="Sim",IFERROR(INDEX(parametros!$H$2:$H$6,MATCH(C149,parametros!$B$2:$B$6,0)),"")=""),"INICIO_EFEITO ausente: PC "&amp;A149&amp;" - "&amp;C149,IF(L149="","EFEITO_PC nao calculado: PC "&amp;A149&amp;" - "&amp;C149,"OK")))))))))</f>
        <v/>
      </c>
      <c r="L149" s="92" t="str">
        <f>IF(AND(A149="",B149="",D149="",G149=""),"",IF(OR(B149="",NOT(ISNUMBER(B149)),C149="",C149="Fora dos ciclos"),"",IF(C149="C0","Nao",IF(IFERROR(INDEX(parametros!$A$2:$A$6,MATCH(C149,parametros!$B$2:$B$6,0)),"")&lt;&gt;"Sim","Nao",IF(IFERROR(INDEX(parametros!$H$2:$H$6,MATCH(C149,parametros!$B$2:$B$6,0)),"")="","",IF(B149&gt;=IFERROR(INDEX(parametros!$H$2:$H$6,MATCH(C149,parametros!$B$2:$B$6,0)),""),"Sim","Nao"))))))</f>
        <v/>
      </c>
      <c r="M149" s="13"/>
      <c r="N149" s="13"/>
      <c r="O149" s="13"/>
      <c r="P149" s="13"/>
      <c r="Q149" s="13"/>
      <c r="R149" s="13"/>
      <c r="S149" s="13"/>
      <c r="T149" s="13"/>
      <c r="U149" s="214" t="str">
        <f t="shared" si="16"/>
        <v/>
      </c>
      <c r="V149" s="212" t="s">
        <v>50</v>
      </c>
      <c r="W149" s="100" t="s">
        <v>168</v>
      </c>
      <c r="X149" s="100" t="s">
        <v>169</v>
      </c>
      <c r="Y149" s="101" t="s">
        <v>170</v>
      </c>
      <c r="Z149" s="101" t="s">
        <v>171</v>
      </c>
      <c r="AA149" s="101" t="s">
        <v>50</v>
      </c>
      <c r="AB149" s="101" t="s">
        <v>172</v>
      </c>
      <c r="AC149" s="102" t="s">
        <v>173</v>
      </c>
    </row>
    <row r="150" spans="1:29" ht="25.5" customHeight="1" x14ac:dyDescent="0.35">
      <c r="A150" s="392"/>
      <c r="B150" s="393"/>
      <c r="C150" s="99" t="str">
        <f>IF(B150="","",IF(NOT(ISNUMBER(B150)),"DATA_PC invalida",IF(NOT(ISNUMBER(parametros!$C$2)),"Fora dos ciclos",IF(OR(B150&lt;parametros!$C$2,(YEAR(B150)-YEAR(parametros!$C$2))*12+MONTH(B150)-MONTH(parametros!$C$2)&gt;59),"Fora dos ciclos","C"&amp;INT(((YEAR(B150)-YEAR(parametros!$C$2))*12+MONTH(B150)-MONTH(parametros!$C$2))/12)))))</f>
        <v/>
      </c>
      <c r="D150" s="394"/>
      <c r="E150" s="78" t="str">
        <f>IF(C150="","",IFERROR(VLOOKUP(C150,parametros!$A$11:$E$15,5,0),""))</f>
        <v/>
      </c>
      <c r="F150" s="79" t="str">
        <f t="shared" si="12"/>
        <v/>
      </c>
      <c r="G150" s="395"/>
      <c r="H150" s="91">
        <f t="shared" si="13"/>
        <v>0</v>
      </c>
      <c r="I150" s="91" t="str">
        <f t="shared" si="14"/>
        <v/>
      </c>
      <c r="J150" s="91" t="str">
        <f t="shared" si="15"/>
        <v/>
      </c>
      <c r="K150" s="92" t="str">
        <f>IF(AND(A150="",B150="",D150="",G150=""),"",IF(AND(A150&lt;&gt;"",COUNTIF($A$2:$A$5001,A150)&gt;1),"NUMERO_PC duplicado",IF(B150="","DATA_PC vazia",IF(NOT(ISNUMBER(B150)),"DATA_PC invalida",IF(OR(C150="",C150="Fora dos ciclos"),"CICLO_PC nao identificado",IF(OR(D150="",D150=0),"VALOR_PC vazio ou zero",IF(AND(G150&lt;&gt;"Sim",G150&lt;&gt;"Nao",G150&lt;&gt;""),"PC_PAGO_A_CONTRATADA invalido",IF(AND(C150&lt;&gt;"C0",IFERROR(INDEX(parametros!$A$2:$A$6,MATCH(C150,parametros!$B$2:$B$6,0)),"")="Sim",IFERROR(INDEX(parametros!$H$2:$H$6,MATCH(C150,parametros!$B$2:$B$6,0)),"")=""),"INICIO_EFEITO ausente: PC "&amp;A150&amp;" - "&amp;C150,IF(L150="","EFEITO_PC nao calculado: PC "&amp;A150&amp;" - "&amp;C150,"OK")))))))))</f>
        <v/>
      </c>
      <c r="L150" s="92" t="str">
        <f>IF(AND(A150="",B150="",D150="",G150=""),"",IF(OR(B150="",NOT(ISNUMBER(B150)),C150="",C150="Fora dos ciclos"),"",IF(C150="C0","Nao",IF(IFERROR(INDEX(parametros!$A$2:$A$6,MATCH(C150,parametros!$B$2:$B$6,0)),"")&lt;&gt;"Sim","Nao",IF(IFERROR(INDEX(parametros!$H$2:$H$6,MATCH(C150,parametros!$B$2:$B$6,0)),"")="","",IF(B150&gt;=IFERROR(INDEX(parametros!$H$2:$H$6,MATCH(C150,parametros!$B$2:$B$6,0)),""),"Sim","Nao"))))))</f>
        <v/>
      </c>
      <c r="M150" s="13"/>
      <c r="N150" s="13"/>
      <c r="O150" s="13"/>
      <c r="P150" s="13"/>
      <c r="Q150" s="13"/>
      <c r="R150" s="13"/>
      <c r="S150" s="13"/>
      <c r="T150" s="13"/>
      <c r="U150" s="214" t="str">
        <f t="shared" si="16"/>
        <v/>
      </c>
      <c r="V150" s="212" t="s">
        <v>50</v>
      </c>
      <c r="W150" s="100" t="s">
        <v>168</v>
      </c>
      <c r="X150" s="100" t="s">
        <v>169</v>
      </c>
      <c r="Y150" s="101" t="s">
        <v>170</v>
      </c>
      <c r="Z150" s="101" t="s">
        <v>171</v>
      </c>
      <c r="AA150" s="101" t="s">
        <v>50</v>
      </c>
      <c r="AB150" s="101" t="s">
        <v>172</v>
      </c>
      <c r="AC150" s="102" t="s">
        <v>173</v>
      </c>
    </row>
    <row r="151" spans="1:29" ht="25.5" customHeight="1" x14ac:dyDescent="0.35">
      <c r="A151" s="392"/>
      <c r="B151" s="393"/>
      <c r="C151" s="99" t="str">
        <f>IF(B151="","",IF(NOT(ISNUMBER(B151)),"DATA_PC invalida",IF(NOT(ISNUMBER(parametros!$C$2)),"Fora dos ciclos",IF(OR(B151&lt;parametros!$C$2,(YEAR(B151)-YEAR(parametros!$C$2))*12+MONTH(B151)-MONTH(parametros!$C$2)&gt;59),"Fora dos ciclos","C"&amp;INT(((YEAR(B151)-YEAR(parametros!$C$2))*12+MONTH(B151)-MONTH(parametros!$C$2))/12)))))</f>
        <v/>
      </c>
      <c r="D151" s="394"/>
      <c r="E151" s="78" t="str">
        <f>IF(C151="","",IFERROR(VLOOKUP(C151,parametros!$A$11:$E$15,5,0),""))</f>
        <v/>
      </c>
      <c r="F151" s="79" t="str">
        <f t="shared" si="12"/>
        <v/>
      </c>
      <c r="G151" s="395"/>
      <c r="H151" s="91">
        <f t="shared" si="13"/>
        <v>0</v>
      </c>
      <c r="I151" s="91" t="str">
        <f t="shared" si="14"/>
        <v/>
      </c>
      <c r="J151" s="91" t="str">
        <f t="shared" si="15"/>
        <v/>
      </c>
      <c r="K151" s="92" t="str">
        <f>IF(AND(A151="",B151="",D151="",G151=""),"",IF(AND(A151&lt;&gt;"",COUNTIF($A$2:$A$5001,A151)&gt;1),"NUMERO_PC duplicado",IF(B151="","DATA_PC vazia",IF(NOT(ISNUMBER(B151)),"DATA_PC invalida",IF(OR(C151="",C151="Fora dos ciclos"),"CICLO_PC nao identificado",IF(OR(D151="",D151=0),"VALOR_PC vazio ou zero",IF(AND(G151&lt;&gt;"Sim",G151&lt;&gt;"Nao",G151&lt;&gt;""),"PC_PAGO_A_CONTRATADA invalido",IF(AND(C151&lt;&gt;"C0",IFERROR(INDEX(parametros!$A$2:$A$6,MATCH(C151,parametros!$B$2:$B$6,0)),"")="Sim",IFERROR(INDEX(parametros!$H$2:$H$6,MATCH(C151,parametros!$B$2:$B$6,0)),"")=""),"INICIO_EFEITO ausente: PC "&amp;A151&amp;" - "&amp;C151,IF(L151="","EFEITO_PC nao calculado: PC "&amp;A151&amp;" - "&amp;C151,"OK")))))))))</f>
        <v/>
      </c>
      <c r="L151" s="92" t="str">
        <f>IF(AND(A151="",B151="",D151="",G151=""),"",IF(OR(B151="",NOT(ISNUMBER(B151)),C151="",C151="Fora dos ciclos"),"",IF(C151="C0","Nao",IF(IFERROR(INDEX(parametros!$A$2:$A$6,MATCH(C151,parametros!$B$2:$B$6,0)),"")&lt;&gt;"Sim","Nao",IF(IFERROR(INDEX(parametros!$H$2:$H$6,MATCH(C151,parametros!$B$2:$B$6,0)),"")="","",IF(B151&gt;=IFERROR(INDEX(parametros!$H$2:$H$6,MATCH(C151,parametros!$B$2:$B$6,0)),""),"Sim","Nao"))))))</f>
        <v/>
      </c>
      <c r="M151" s="13"/>
      <c r="N151" s="13"/>
      <c r="O151" s="13"/>
      <c r="P151" s="13"/>
      <c r="Q151" s="13"/>
      <c r="R151" s="13"/>
      <c r="S151" s="13"/>
      <c r="T151" s="13"/>
      <c r="U151" s="214" t="str">
        <f t="shared" si="16"/>
        <v/>
      </c>
      <c r="V151" s="212" t="s">
        <v>50</v>
      </c>
      <c r="W151" s="100" t="s">
        <v>168</v>
      </c>
      <c r="X151" s="100" t="s">
        <v>169</v>
      </c>
      <c r="Y151" s="101" t="s">
        <v>170</v>
      </c>
      <c r="Z151" s="101" t="s">
        <v>171</v>
      </c>
      <c r="AA151" s="101" t="s">
        <v>50</v>
      </c>
      <c r="AB151" s="101" t="s">
        <v>172</v>
      </c>
      <c r="AC151" s="102" t="s">
        <v>173</v>
      </c>
    </row>
    <row r="152" spans="1:29" ht="25.5" customHeight="1" x14ac:dyDescent="0.35">
      <c r="A152" s="392"/>
      <c r="B152" s="393"/>
      <c r="C152" s="99" t="str">
        <f>IF(B152="","",IF(NOT(ISNUMBER(B152)),"DATA_PC invalida",IF(NOT(ISNUMBER(parametros!$C$2)),"Fora dos ciclos",IF(OR(B152&lt;parametros!$C$2,(YEAR(B152)-YEAR(parametros!$C$2))*12+MONTH(B152)-MONTH(parametros!$C$2)&gt;59),"Fora dos ciclos","C"&amp;INT(((YEAR(B152)-YEAR(parametros!$C$2))*12+MONTH(B152)-MONTH(parametros!$C$2))/12)))))</f>
        <v/>
      </c>
      <c r="D152" s="394"/>
      <c r="E152" s="78" t="str">
        <f>IF(C152="","",IFERROR(VLOOKUP(C152,parametros!$A$11:$E$15,5,0),""))</f>
        <v/>
      </c>
      <c r="F152" s="79" t="str">
        <f t="shared" si="12"/>
        <v/>
      </c>
      <c r="G152" s="395"/>
      <c r="H152" s="91">
        <f t="shared" si="13"/>
        <v>0</v>
      </c>
      <c r="I152" s="91" t="str">
        <f t="shared" si="14"/>
        <v/>
      </c>
      <c r="J152" s="91" t="str">
        <f t="shared" si="15"/>
        <v/>
      </c>
      <c r="K152" s="92" t="str">
        <f>IF(AND(A152="",B152="",D152="",G152=""),"",IF(AND(A152&lt;&gt;"",COUNTIF($A$2:$A$5001,A152)&gt;1),"NUMERO_PC duplicado",IF(B152="","DATA_PC vazia",IF(NOT(ISNUMBER(B152)),"DATA_PC invalida",IF(OR(C152="",C152="Fora dos ciclos"),"CICLO_PC nao identificado",IF(OR(D152="",D152=0),"VALOR_PC vazio ou zero",IF(AND(G152&lt;&gt;"Sim",G152&lt;&gt;"Nao",G152&lt;&gt;""),"PC_PAGO_A_CONTRATADA invalido",IF(AND(C152&lt;&gt;"C0",IFERROR(INDEX(parametros!$A$2:$A$6,MATCH(C152,parametros!$B$2:$B$6,0)),"")="Sim",IFERROR(INDEX(parametros!$H$2:$H$6,MATCH(C152,parametros!$B$2:$B$6,0)),"")=""),"INICIO_EFEITO ausente: PC "&amp;A152&amp;" - "&amp;C152,IF(L152="","EFEITO_PC nao calculado: PC "&amp;A152&amp;" - "&amp;C152,"OK")))))))))</f>
        <v/>
      </c>
      <c r="L152" s="92" t="str">
        <f>IF(AND(A152="",B152="",D152="",G152=""),"",IF(OR(B152="",NOT(ISNUMBER(B152)),C152="",C152="Fora dos ciclos"),"",IF(C152="C0","Nao",IF(IFERROR(INDEX(parametros!$A$2:$A$6,MATCH(C152,parametros!$B$2:$B$6,0)),"")&lt;&gt;"Sim","Nao",IF(IFERROR(INDEX(parametros!$H$2:$H$6,MATCH(C152,parametros!$B$2:$B$6,0)),"")="","",IF(B152&gt;=IFERROR(INDEX(parametros!$H$2:$H$6,MATCH(C152,parametros!$B$2:$B$6,0)),""),"Sim","Nao"))))))</f>
        <v/>
      </c>
      <c r="M152" s="13"/>
      <c r="N152" s="13"/>
      <c r="O152" s="13"/>
      <c r="P152" s="13"/>
      <c r="Q152" s="13"/>
      <c r="R152" s="13"/>
      <c r="S152" s="13"/>
      <c r="T152" s="13"/>
      <c r="U152" s="214" t="str">
        <f t="shared" si="16"/>
        <v/>
      </c>
      <c r="V152" s="212" t="s">
        <v>50</v>
      </c>
      <c r="W152" s="100" t="s">
        <v>168</v>
      </c>
      <c r="X152" s="100" t="s">
        <v>169</v>
      </c>
      <c r="Y152" s="101" t="s">
        <v>170</v>
      </c>
      <c r="Z152" s="101" t="s">
        <v>171</v>
      </c>
      <c r="AA152" s="101" t="s">
        <v>50</v>
      </c>
      <c r="AB152" s="101" t="s">
        <v>172</v>
      </c>
      <c r="AC152" s="102" t="s">
        <v>173</v>
      </c>
    </row>
    <row r="153" spans="1:29" ht="25.5" customHeight="1" x14ac:dyDescent="0.35">
      <c r="A153" s="392"/>
      <c r="B153" s="393"/>
      <c r="C153" s="99" t="str">
        <f>IF(B153="","",IF(NOT(ISNUMBER(B153)),"DATA_PC invalida",IF(NOT(ISNUMBER(parametros!$C$2)),"Fora dos ciclos",IF(OR(B153&lt;parametros!$C$2,(YEAR(B153)-YEAR(parametros!$C$2))*12+MONTH(B153)-MONTH(parametros!$C$2)&gt;59),"Fora dos ciclos","C"&amp;INT(((YEAR(B153)-YEAR(parametros!$C$2))*12+MONTH(B153)-MONTH(parametros!$C$2))/12)))))</f>
        <v/>
      </c>
      <c r="D153" s="394"/>
      <c r="E153" s="78" t="str">
        <f>IF(C153="","",IFERROR(VLOOKUP(C153,parametros!$A$11:$E$15,5,0),""))</f>
        <v/>
      </c>
      <c r="F153" s="79" t="str">
        <f t="shared" si="12"/>
        <v/>
      </c>
      <c r="G153" s="395"/>
      <c r="H153" s="91">
        <f t="shared" si="13"/>
        <v>0</v>
      </c>
      <c r="I153" s="91" t="str">
        <f t="shared" si="14"/>
        <v/>
      </c>
      <c r="J153" s="91" t="str">
        <f t="shared" si="15"/>
        <v/>
      </c>
      <c r="K153" s="92" t="str">
        <f>IF(AND(A153="",B153="",D153="",G153=""),"",IF(AND(A153&lt;&gt;"",COUNTIF($A$2:$A$5001,A153)&gt;1),"NUMERO_PC duplicado",IF(B153="","DATA_PC vazia",IF(NOT(ISNUMBER(B153)),"DATA_PC invalida",IF(OR(C153="",C153="Fora dos ciclos"),"CICLO_PC nao identificado",IF(OR(D153="",D153=0),"VALOR_PC vazio ou zero",IF(AND(G153&lt;&gt;"Sim",G153&lt;&gt;"Nao",G153&lt;&gt;""),"PC_PAGO_A_CONTRATADA invalido",IF(AND(C153&lt;&gt;"C0",IFERROR(INDEX(parametros!$A$2:$A$6,MATCH(C153,parametros!$B$2:$B$6,0)),"")="Sim",IFERROR(INDEX(parametros!$H$2:$H$6,MATCH(C153,parametros!$B$2:$B$6,0)),"")=""),"INICIO_EFEITO ausente: PC "&amp;A153&amp;" - "&amp;C153,IF(L153="","EFEITO_PC nao calculado: PC "&amp;A153&amp;" - "&amp;C153,"OK")))))))))</f>
        <v/>
      </c>
      <c r="L153" s="92" t="str">
        <f>IF(AND(A153="",B153="",D153="",G153=""),"",IF(OR(B153="",NOT(ISNUMBER(B153)),C153="",C153="Fora dos ciclos"),"",IF(C153="C0","Nao",IF(IFERROR(INDEX(parametros!$A$2:$A$6,MATCH(C153,parametros!$B$2:$B$6,0)),"")&lt;&gt;"Sim","Nao",IF(IFERROR(INDEX(parametros!$H$2:$H$6,MATCH(C153,parametros!$B$2:$B$6,0)),"")="","",IF(B153&gt;=IFERROR(INDEX(parametros!$H$2:$H$6,MATCH(C153,parametros!$B$2:$B$6,0)),""),"Sim","Nao"))))))</f>
        <v/>
      </c>
      <c r="M153" s="13"/>
      <c r="N153" s="13"/>
      <c r="O153" s="13"/>
      <c r="P153" s="13"/>
      <c r="Q153" s="13"/>
      <c r="R153" s="13"/>
      <c r="S153" s="13"/>
      <c r="T153" s="13"/>
      <c r="U153" s="214" t="str">
        <f t="shared" si="16"/>
        <v/>
      </c>
      <c r="V153" s="212" t="s">
        <v>50</v>
      </c>
      <c r="W153" s="100" t="s">
        <v>168</v>
      </c>
      <c r="X153" s="100" t="s">
        <v>169</v>
      </c>
      <c r="Y153" s="101" t="s">
        <v>170</v>
      </c>
      <c r="Z153" s="101" t="s">
        <v>171</v>
      </c>
      <c r="AA153" s="101" t="s">
        <v>50</v>
      </c>
      <c r="AB153" s="101" t="s">
        <v>172</v>
      </c>
      <c r="AC153" s="102" t="s">
        <v>173</v>
      </c>
    </row>
    <row r="154" spans="1:29" ht="25.5" customHeight="1" x14ac:dyDescent="0.35">
      <c r="A154" s="392"/>
      <c r="B154" s="393"/>
      <c r="C154" s="99" t="str">
        <f>IF(B154="","",IF(NOT(ISNUMBER(B154)),"DATA_PC invalida",IF(NOT(ISNUMBER(parametros!$C$2)),"Fora dos ciclos",IF(OR(B154&lt;parametros!$C$2,(YEAR(B154)-YEAR(parametros!$C$2))*12+MONTH(B154)-MONTH(parametros!$C$2)&gt;59),"Fora dos ciclos","C"&amp;INT(((YEAR(B154)-YEAR(parametros!$C$2))*12+MONTH(B154)-MONTH(parametros!$C$2))/12)))))</f>
        <v/>
      </c>
      <c r="D154" s="394"/>
      <c r="E154" s="78" t="str">
        <f>IF(C154="","",IFERROR(VLOOKUP(C154,parametros!$A$11:$E$15,5,0),""))</f>
        <v/>
      </c>
      <c r="F154" s="79" t="str">
        <f t="shared" si="12"/>
        <v/>
      </c>
      <c r="G154" s="395"/>
      <c r="H154" s="91">
        <f t="shared" si="13"/>
        <v>0</v>
      </c>
      <c r="I154" s="91" t="str">
        <f t="shared" si="14"/>
        <v/>
      </c>
      <c r="J154" s="91" t="str">
        <f t="shared" si="15"/>
        <v/>
      </c>
      <c r="K154" s="92" t="str">
        <f>IF(AND(A154="",B154="",D154="",G154=""),"",IF(AND(A154&lt;&gt;"",COUNTIF($A$2:$A$5001,A154)&gt;1),"NUMERO_PC duplicado",IF(B154="","DATA_PC vazia",IF(NOT(ISNUMBER(B154)),"DATA_PC invalida",IF(OR(C154="",C154="Fora dos ciclos"),"CICLO_PC nao identificado",IF(OR(D154="",D154=0),"VALOR_PC vazio ou zero",IF(AND(G154&lt;&gt;"Sim",G154&lt;&gt;"Nao",G154&lt;&gt;""),"PC_PAGO_A_CONTRATADA invalido",IF(AND(C154&lt;&gt;"C0",IFERROR(INDEX(parametros!$A$2:$A$6,MATCH(C154,parametros!$B$2:$B$6,0)),"")="Sim",IFERROR(INDEX(parametros!$H$2:$H$6,MATCH(C154,parametros!$B$2:$B$6,0)),"")=""),"INICIO_EFEITO ausente: PC "&amp;A154&amp;" - "&amp;C154,IF(L154="","EFEITO_PC nao calculado: PC "&amp;A154&amp;" - "&amp;C154,"OK")))))))))</f>
        <v/>
      </c>
      <c r="L154" s="92" t="str">
        <f>IF(AND(A154="",B154="",D154="",G154=""),"",IF(OR(B154="",NOT(ISNUMBER(B154)),C154="",C154="Fora dos ciclos"),"",IF(C154="C0","Nao",IF(IFERROR(INDEX(parametros!$A$2:$A$6,MATCH(C154,parametros!$B$2:$B$6,0)),"")&lt;&gt;"Sim","Nao",IF(IFERROR(INDEX(parametros!$H$2:$H$6,MATCH(C154,parametros!$B$2:$B$6,0)),"")="","",IF(B154&gt;=IFERROR(INDEX(parametros!$H$2:$H$6,MATCH(C154,parametros!$B$2:$B$6,0)),""),"Sim","Nao"))))))</f>
        <v/>
      </c>
      <c r="M154" s="13"/>
      <c r="N154" s="13"/>
      <c r="O154" s="13"/>
      <c r="P154" s="13"/>
      <c r="Q154" s="13"/>
      <c r="R154" s="13"/>
      <c r="S154" s="13"/>
      <c r="T154" s="13"/>
      <c r="U154" s="214" t="str">
        <f t="shared" si="16"/>
        <v/>
      </c>
      <c r="V154" s="212" t="s">
        <v>50</v>
      </c>
      <c r="W154" s="100" t="s">
        <v>168</v>
      </c>
      <c r="X154" s="100" t="s">
        <v>169</v>
      </c>
      <c r="Y154" s="101" t="s">
        <v>170</v>
      </c>
      <c r="Z154" s="101" t="s">
        <v>171</v>
      </c>
      <c r="AA154" s="101" t="s">
        <v>50</v>
      </c>
      <c r="AB154" s="101" t="s">
        <v>172</v>
      </c>
      <c r="AC154" s="102" t="s">
        <v>173</v>
      </c>
    </row>
    <row r="155" spans="1:29" ht="25.5" customHeight="1" x14ac:dyDescent="0.35">
      <c r="A155" s="392"/>
      <c r="B155" s="393"/>
      <c r="C155" s="99" t="str">
        <f>IF(B155="","",IF(NOT(ISNUMBER(B155)),"DATA_PC invalida",IF(NOT(ISNUMBER(parametros!$C$2)),"Fora dos ciclos",IF(OR(B155&lt;parametros!$C$2,(YEAR(B155)-YEAR(parametros!$C$2))*12+MONTH(B155)-MONTH(parametros!$C$2)&gt;59),"Fora dos ciclos","C"&amp;INT(((YEAR(B155)-YEAR(parametros!$C$2))*12+MONTH(B155)-MONTH(parametros!$C$2))/12)))))</f>
        <v/>
      </c>
      <c r="D155" s="394"/>
      <c r="E155" s="78" t="str">
        <f>IF(C155="","",IFERROR(VLOOKUP(C155,parametros!$A$11:$E$15,5,0),""))</f>
        <v/>
      </c>
      <c r="F155" s="79" t="str">
        <f t="shared" si="12"/>
        <v/>
      </c>
      <c r="G155" s="395"/>
      <c r="H155" s="91">
        <f t="shared" si="13"/>
        <v>0</v>
      </c>
      <c r="I155" s="91" t="str">
        <f t="shared" si="14"/>
        <v/>
      </c>
      <c r="J155" s="91" t="str">
        <f t="shared" si="15"/>
        <v/>
      </c>
      <c r="K155" s="92" t="str">
        <f>IF(AND(A155="",B155="",D155="",G155=""),"",IF(AND(A155&lt;&gt;"",COUNTIF($A$2:$A$5001,A155)&gt;1),"NUMERO_PC duplicado",IF(B155="","DATA_PC vazia",IF(NOT(ISNUMBER(B155)),"DATA_PC invalida",IF(OR(C155="",C155="Fora dos ciclos"),"CICLO_PC nao identificado",IF(OR(D155="",D155=0),"VALOR_PC vazio ou zero",IF(AND(G155&lt;&gt;"Sim",G155&lt;&gt;"Nao",G155&lt;&gt;""),"PC_PAGO_A_CONTRATADA invalido",IF(AND(C155&lt;&gt;"C0",IFERROR(INDEX(parametros!$A$2:$A$6,MATCH(C155,parametros!$B$2:$B$6,0)),"")="Sim",IFERROR(INDEX(parametros!$H$2:$H$6,MATCH(C155,parametros!$B$2:$B$6,0)),"")=""),"INICIO_EFEITO ausente: PC "&amp;A155&amp;" - "&amp;C155,IF(L155="","EFEITO_PC nao calculado: PC "&amp;A155&amp;" - "&amp;C155,"OK")))))))))</f>
        <v/>
      </c>
      <c r="L155" s="92" t="str">
        <f>IF(AND(A155="",B155="",D155="",G155=""),"",IF(OR(B155="",NOT(ISNUMBER(B155)),C155="",C155="Fora dos ciclos"),"",IF(C155="C0","Nao",IF(IFERROR(INDEX(parametros!$A$2:$A$6,MATCH(C155,parametros!$B$2:$B$6,0)),"")&lt;&gt;"Sim","Nao",IF(IFERROR(INDEX(parametros!$H$2:$H$6,MATCH(C155,parametros!$B$2:$B$6,0)),"")="","",IF(B155&gt;=IFERROR(INDEX(parametros!$H$2:$H$6,MATCH(C155,parametros!$B$2:$B$6,0)),""),"Sim","Nao"))))))</f>
        <v/>
      </c>
      <c r="M155" s="13"/>
      <c r="N155" s="13"/>
      <c r="O155" s="13"/>
      <c r="P155" s="13"/>
      <c r="Q155" s="13"/>
      <c r="R155" s="13"/>
      <c r="S155" s="13"/>
      <c r="T155" s="13"/>
      <c r="U155" s="214" t="str">
        <f t="shared" si="16"/>
        <v/>
      </c>
      <c r="V155" s="212" t="s">
        <v>50</v>
      </c>
      <c r="W155" s="100" t="s">
        <v>168</v>
      </c>
      <c r="X155" s="100" t="s">
        <v>169</v>
      </c>
      <c r="Y155" s="101" t="s">
        <v>170</v>
      </c>
      <c r="Z155" s="101" t="s">
        <v>171</v>
      </c>
      <c r="AA155" s="101" t="s">
        <v>50</v>
      </c>
      <c r="AB155" s="101" t="s">
        <v>172</v>
      </c>
      <c r="AC155" s="102" t="s">
        <v>173</v>
      </c>
    </row>
    <row r="156" spans="1:29" ht="25.5" customHeight="1" x14ac:dyDescent="0.35">
      <c r="A156" s="392"/>
      <c r="B156" s="393"/>
      <c r="C156" s="99" t="str">
        <f>IF(B156="","",IF(NOT(ISNUMBER(B156)),"DATA_PC invalida",IF(NOT(ISNUMBER(parametros!$C$2)),"Fora dos ciclos",IF(OR(B156&lt;parametros!$C$2,(YEAR(B156)-YEAR(parametros!$C$2))*12+MONTH(B156)-MONTH(parametros!$C$2)&gt;59),"Fora dos ciclos","C"&amp;INT(((YEAR(B156)-YEAR(parametros!$C$2))*12+MONTH(B156)-MONTH(parametros!$C$2))/12)))))</f>
        <v/>
      </c>
      <c r="D156" s="394"/>
      <c r="E156" s="78" t="str">
        <f>IF(C156="","",IFERROR(VLOOKUP(C156,parametros!$A$11:$E$15,5,0),""))</f>
        <v/>
      </c>
      <c r="F156" s="79" t="str">
        <f t="shared" si="12"/>
        <v/>
      </c>
      <c r="G156" s="395"/>
      <c r="H156" s="91">
        <f t="shared" si="13"/>
        <v>0</v>
      </c>
      <c r="I156" s="91" t="str">
        <f t="shared" si="14"/>
        <v/>
      </c>
      <c r="J156" s="91" t="str">
        <f t="shared" si="15"/>
        <v/>
      </c>
      <c r="K156" s="92" t="str">
        <f>IF(AND(A156="",B156="",D156="",G156=""),"",IF(AND(A156&lt;&gt;"",COUNTIF($A$2:$A$5001,A156)&gt;1),"NUMERO_PC duplicado",IF(B156="","DATA_PC vazia",IF(NOT(ISNUMBER(B156)),"DATA_PC invalida",IF(OR(C156="",C156="Fora dos ciclos"),"CICLO_PC nao identificado",IF(OR(D156="",D156=0),"VALOR_PC vazio ou zero",IF(AND(G156&lt;&gt;"Sim",G156&lt;&gt;"Nao",G156&lt;&gt;""),"PC_PAGO_A_CONTRATADA invalido",IF(AND(C156&lt;&gt;"C0",IFERROR(INDEX(parametros!$A$2:$A$6,MATCH(C156,parametros!$B$2:$B$6,0)),"")="Sim",IFERROR(INDEX(parametros!$H$2:$H$6,MATCH(C156,parametros!$B$2:$B$6,0)),"")=""),"INICIO_EFEITO ausente: PC "&amp;A156&amp;" - "&amp;C156,IF(L156="","EFEITO_PC nao calculado: PC "&amp;A156&amp;" - "&amp;C156,"OK")))))))))</f>
        <v/>
      </c>
      <c r="L156" s="92" t="str">
        <f>IF(AND(A156="",B156="",D156="",G156=""),"",IF(OR(B156="",NOT(ISNUMBER(B156)),C156="",C156="Fora dos ciclos"),"",IF(C156="C0","Nao",IF(IFERROR(INDEX(parametros!$A$2:$A$6,MATCH(C156,parametros!$B$2:$B$6,0)),"")&lt;&gt;"Sim","Nao",IF(IFERROR(INDEX(parametros!$H$2:$H$6,MATCH(C156,parametros!$B$2:$B$6,0)),"")="","",IF(B156&gt;=IFERROR(INDEX(parametros!$H$2:$H$6,MATCH(C156,parametros!$B$2:$B$6,0)),""),"Sim","Nao"))))))</f>
        <v/>
      </c>
      <c r="M156" s="13"/>
      <c r="N156" s="13"/>
      <c r="O156" s="13"/>
      <c r="P156" s="13"/>
      <c r="Q156" s="13"/>
      <c r="R156" s="13"/>
      <c r="S156" s="13"/>
      <c r="T156" s="13"/>
      <c r="U156" s="214" t="str">
        <f t="shared" si="16"/>
        <v/>
      </c>
      <c r="V156" s="212" t="s">
        <v>50</v>
      </c>
      <c r="W156" s="100" t="s">
        <v>168</v>
      </c>
      <c r="X156" s="100" t="s">
        <v>169</v>
      </c>
      <c r="Y156" s="101" t="s">
        <v>170</v>
      </c>
      <c r="Z156" s="101" t="s">
        <v>171</v>
      </c>
      <c r="AA156" s="101" t="s">
        <v>50</v>
      </c>
      <c r="AB156" s="101" t="s">
        <v>172</v>
      </c>
      <c r="AC156" s="102" t="s">
        <v>173</v>
      </c>
    </row>
    <row r="157" spans="1:29" ht="25.5" customHeight="1" x14ac:dyDescent="0.35">
      <c r="A157" s="392"/>
      <c r="B157" s="393"/>
      <c r="C157" s="99" t="str">
        <f>IF(B157="","",IF(NOT(ISNUMBER(B157)),"DATA_PC invalida",IF(NOT(ISNUMBER(parametros!$C$2)),"Fora dos ciclos",IF(OR(B157&lt;parametros!$C$2,(YEAR(B157)-YEAR(parametros!$C$2))*12+MONTH(B157)-MONTH(parametros!$C$2)&gt;59),"Fora dos ciclos","C"&amp;INT(((YEAR(B157)-YEAR(parametros!$C$2))*12+MONTH(B157)-MONTH(parametros!$C$2))/12)))))</f>
        <v/>
      </c>
      <c r="D157" s="394"/>
      <c r="E157" s="78" t="str">
        <f>IF(C157="","",IFERROR(VLOOKUP(C157,parametros!$A$11:$E$15,5,0),""))</f>
        <v/>
      </c>
      <c r="F157" s="79" t="str">
        <f t="shared" si="12"/>
        <v/>
      </c>
      <c r="G157" s="395"/>
      <c r="H157" s="91">
        <f t="shared" si="13"/>
        <v>0</v>
      </c>
      <c r="I157" s="91" t="str">
        <f t="shared" si="14"/>
        <v/>
      </c>
      <c r="J157" s="91" t="str">
        <f t="shared" si="15"/>
        <v/>
      </c>
      <c r="K157" s="92" t="str">
        <f>IF(AND(A157="",B157="",D157="",G157=""),"",IF(AND(A157&lt;&gt;"",COUNTIF($A$2:$A$5001,A157)&gt;1),"NUMERO_PC duplicado",IF(B157="","DATA_PC vazia",IF(NOT(ISNUMBER(B157)),"DATA_PC invalida",IF(OR(C157="",C157="Fora dos ciclos"),"CICLO_PC nao identificado",IF(OR(D157="",D157=0),"VALOR_PC vazio ou zero",IF(AND(G157&lt;&gt;"Sim",G157&lt;&gt;"Nao",G157&lt;&gt;""),"PC_PAGO_A_CONTRATADA invalido",IF(AND(C157&lt;&gt;"C0",IFERROR(INDEX(parametros!$A$2:$A$6,MATCH(C157,parametros!$B$2:$B$6,0)),"")="Sim",IFERROR(INDEX(parametros!$H$2:$H$6,MATCH(C157,parametros!$B$2:$B$6,0)),"")=""),"INICIO_EFEITO ausente: PC "&amp;A157&amp;" - "&amp;C157,IF(L157="","EFEITO_PC nao calculado: PC "&amp;A157&amp;" - "&amp;C157,"OK")))))))))</f>
        <v/>
      </c>
      <c r="L157" s="92" t="str">
        <f>IF(AND(A157="",B157="",D157="",G157=""),"",IF(OR(B157="",NOT(ISNUMBER(B157)),C157="",C157="Fora dos ciclos"),"",IF(C157="C0","Nao",IF(IFERROR(INDEX(parametros!$A$2:$A$6,MATCH(C157,parametros!$B$2:$B$6,0)),"")&lt;&gt;"Sim","Nao",IF(IFERROR(INDEX(parametros!$H$2:$H$6,MATCH(C157,parametros!$B$2:$B$6,0)),"")="","",IF(B157&gt;=IFERROR(INDEX(parametros!$H$2:$H$6,MATCH(C157,parametros!$B$2:$B$6,0)),""),"Sim","Nao"))))))</f>
        <v/>
      </c>
      <c r="M157" s="13"/>
      <c r="N157" s="13"/>
      <c r="O157" s="13"/>
      <c r="P157" s="13"/>
      <c r="Q157" s="13"/>
      <c r="R157" s="13"/>
      <c r="S157" s="13"/>
      <c r="T157" s="13"/>
      <c r="U157" s="214" t="str">
        <f t="shared" si="16"/>
        <v/>
      </c>
      <c r="V157" s="212" t="s">
        <v>50</v>
      </c>
      <c r="W157" s="100" t="s">
        <v>168</v>
      </c>
      <c r="X157" s="100" t="s">
        <v>169</v>
      </c>
      <c r="Y157" s="101" t="s">
        <v>170</v>
      </c>
      <c r="Z157" s="101" t="s">
        <v>171</v>
      </c>
      <c r="AA157" s="101" t="s">
        <v>50</v>
      </c>
      <c r="AB157" s="101" t="s">
        <v>172</v>
      </c>
      <c r="AC157" s="102" t="s">
        <v>173</v>
      </c>
    </row>
    <row r="158" spans="1:29" ht="25.5" customHeight="1" x14ac:dyDescent="0.35">
      <c r="A158" s="392"/>
      <c r="B158" s="393"/>
      <c r="C158" s="99" t="str">
        <f>IF(B158="","",IF(NOT(ISNUMBER(B158)),"DATA_PC invalida",IF(NOT(ISNUMBER(parametros!$C$2)),"Fora dos ciclos",IF(OR(B158&lt;parametros!$C$2,(YEAR(B158)-YEAR(parametros!$C$2))*12+MONTH(B158)-MONTH(parametros!$C$2)&gt;59),"Fora dos ciclos","C"&amp;INT(((YEAR(B158)-YEAR(parametros!$C$2))*12+MONTH(B158)-MONTH(parametros!$C$2))/12)))))</f>
        <v/>
      </c>
      <c r="D158" s="394"/>
      <c r="E158" s="78" t="str">
        <f>IF(C158="","",IFERROR(VLOOKUP(C158,parametros!$A$11:$E$15,5,0),""))</f>
        <v/>
      </c>
      <c r="F158" s="79" t="str">
        <f t="shared" si="12"/>
        <v/>
      </c>
      <c r="G158" s="395"/>
      <c r="H158" s="91">
        <f t="shared" si="13"/>
        <v>0</v>
      </c>
      <c r="I158" s="91" t="str">
        <f t="shared" si="14"/>
        <v/>
      </c>
      <c r="J158" s="91" t="str">
        <f t="shared" si="15"/>
        <v/>
      </c>
      <c r="K158" s="92" t="str">
        <f>IF(AND(A158="",B158="",D158="",G158=""),"",IF(AND(A158&lt;&gt;"",COUNTIF($A$2:$A$5001,A158)&gt;1),"NUMERO_PC duplicado",IF(B158="","DATA_PC vazia",IF(NOT(ISNUMBER(B158)),"DATA_PC invalida",IF(OR(C158="",C158="Fora dos ciclos"),"CICLO_PC nao identificado",IF(OR(D158="",D158=0),"VALOR_PC vazio ou zero",IF(AND(G158&lt;&gt;"Sim",G158&lt;&gt;"Nao",G158&lt;&gt;""),"PC_PAGO_A_CONTRATADA invalido",IF(AND(C158&lt;&gt;"C0",IFERROR(INDEX(parametros!$A$2:$A$6,MATCH(C158,parametros!$B$2:$B$6,0)),"")="Sim",IFERROR(INDEX(parametros!$H$2:$H$6,MATCH(C158,parametros!$B$2:$B$6,0)),"")=""),"INICIO_EFEITO ausente: PC "&amp;A158&amp;" - "&amp;C158,IF(L158="","EFEITO_PC nao calculado: PC "&amp;A158&amp;" - "&amp;C158,"OK")))))))))</f>
        <v/>
      </c>
      <c r="L158" s="92" t="str">
        <f>IF(AND(A158="",B158="",D158="",G158=""),"",IF(OR(B158="",NOT(ISNUMBER(B158)),C158="",C158="Fora dos ciclos"),"",IF(C158="C0","Nao",IF(IFERROR(INDEX(parametros!$A$2:$A$6,MATCH(C158,parametros!$B$2:$B$6,0)),"")&lt;&gt;"Sim","Nao",IF(IFERROR(INDEX(parametros!$H$2:$H$6,MATCH(C158,parametros!$B$2:$B$6,0)),"")="","",IF(B158&gt;=IFERROR(INDEX(parametros!$H$2:$H$6,MATCH(C158,parametros!$B$2:$B$6,0)),""),"Sim","Nao"))))))</f>
        <v/>
      </c>
      <c r="M158" s="13"/>
      <c r="N158" s="13"/>
      <c r="O158" s="13"/>
      <c r="P158" s="13"/>
      <c r="Q158" s="13"/>
      <c r="R158" s="13"/>
      <c r="S158" s="13"/>
      <c r="T158" s="13"/>
      <c r="U158" s="214" t="str">
        <f t="shared" si="16"/>
        <v/>
      </c>
      <c r="V158" s="212" t="s">
        <v>50</v>
      </c>
      <c r="W158" s="100" t="s">
        <v>168</v>
      </c>
      <c r="X158" s="100" t="s">
        <v>169</v>
      </c>
      <c r="Y158" s="101" t="s">
        <v>170</v>
      </c>
      <c r="Z158" s="101" t="s">
        <v>171</v>
      </c>
      <c r="AA158" s="101" t="s">
        <v>50</v>
      </c>
      <c r="AB158" s="101" t="s">
        <v>172</v>
      </c>
      <c r="AC158" s="102" t="s">
        <v>173</v>
      </c>
    </row>
    <row r="159" spans="1:29" ht="25.5" customHeight="1" x14ac:dyDescent="0.35">
      <c r="A159" s="392"/>
      <c r="B159" s="393"/>
      <c r="C159" s="99" t="str">
        <f>IF(B159="","",IF(NOT(ISNUMBER(B159)),"DATA_PC invalida",IF(NOT(ISNUMBER(parametros!$C$2)),"Fora dos ciclos",IF(OR(B159&lt;parametros!$C$2,(YEAR(B159)-YEAR(parametros!$C$2))*12+MONTH(B159)-MONTH(parametros!$C$2)&gt;59),"Fora dos ciclos","C"&amp;INT(((YEAR(B159)-YEAR(parametros!$C$2))*12+MONTH(B159)-MONTH(parametros!$C$2))/12)))))</f>
        <v/>
      </c>
      <c r="D159" s="394"/>
      <c r="E159" s="78" t="str">
        <f>IF(C159="","",IFERROR(VLOOKUP(C159,parametros!$A$11:$E$15,5,0),""))</f>
        <v/>
      </c>
      <c r="F159" s="79" t="str">
        <f t="shared" si="12"/>
        <v/>
      </c>
      <c r="G159" s="395"/>
      <c r="H159" s="91">
        <f t="shared" si="13"/>
        <v>0</v>
      </c>
      <c r="I159" s="91" t="str">
        <f t="shared" si="14"/>
        <v/>
      </c>
      <c r="J159" s="91" t="str">
        <f t="shared" si="15"/>
        <v/>
      </c>
      <c r="K159" s="92" t="str">
        <f>IF(AND(A159="",B159="",D159="",G159=""),"",IF(AND(A159&lt;&gt;"",COUNTIF($A$2:$A$5001,A159)&gt;1),"NUMERO_PC duplicado",IF(B159="","DATA_PC vazia",IF(NOT(ISNUMBER(B159)),"DATA_PC invalida",IF(OR(C159="",C159="Fora dos ciclos"),"CICLO_PC nao identificado",IF(OR(D159="",D159=0),"VALOR_PC vazio ou zero",IF(AND(G159&lt;&gt;"Sim",G159&lt;&gt;"Nao",G159&lt;&gt;""),"PC_PAGO_A_CONTRATADA invalido",IF(AND(C159&lt;&gt;"C0",IFERROR(INDEX(parametros!$A$2:$A$6,MATCH(C159,parametros!$B$2:$B$6,0)),"")="Sim",IFERROR(INDEX(parametros!$H$2:$H$6,MATCH(C159,parametros!$B$2:$B$6,0)),"")=""),"INICIO_EFEITO ausente: PC "&amp;A159&amp;" - "&amp;C159,IF(L159="","EFEITO_PC nao calculado: PC "&amp;A159&amp;" - "&amp;C159,"OK")))))))))</f>
        <v/>
      </c>
      <c r="L159" s="92" t="str">
        <f>IF(AND(A159="",B159="",D159="",G159=""),"",IF(OR(B159="",NOT(ISNUMBER(B159)),C159="",C159="Fora dos ciclos"),"",IF(C159="C0","Nao",IF(IFERROR(INDEX(parametros!$A$2:$A$6,MATCH(C159,parametros!$B$2:$B$6,0)),"")&lt;&gt;"Sim","Nao",IF(IFERROR(INDEX(parametros!$H$2:$H$6,MATCH(C159,parametros!$B$2:$B$6,0)),"")="","",IF(B159&gt;=IFERROR(INDEX(parametros!$H$2:$H$6,MATCH(C159,parametros!$B$2:$B$6,0)),""),"Sim","Nao"))))))</f>
        <v/>
      </c>
      <c r="M159" s="13"/>
      <c r="N159" s="13"/>
      <c r="O159" s="13"/>
      <c r="P159" s="13"/>
      <c r="Q159" s="13"/>
      <c r="R159" s="13"/>
      <c r="S159" s="13"/>
      <c r="T159" s="13"/>
      <c r="U159" s="214" t="str">
        <f t="shared" si="16"/>
        <v/>
      </c>
      <c r="V159" s="212" t="s">
        <v>50</v>
      </c>
      <c r="W159" s="100" t="s">
        <v>168</v>
      </c>
      <c r="X159" s="100" t="s">
        <v>169</v>
      </c>
      <c r="Y159" s="101" t="s">
        <v>170</v>
      </c>
      <c r="Z159" s="101" t="s">
        <v>171</v>
      </c>
      <c r="AA159" s="101" t="s">
        <v>50</v>
      </c>
      <c r="AB159" s="101" t="s">
        <v>172</v>
      </c>
      <c r="AC159" s="102" t="s">
        <v>173</v>
      </c>
    </row>
    <row r="160" spans="1:29" ht="25.5" customHeight="1" x14ac:dyDescent="0.35">
      <c r="A160" s="392"/>
      <c r="B160" s="393"/>
      <c r="C160" s="99" t="str">
        <f>IF(B160="","",IF(NOT(ISNUMBER(B160)),"DATA_PC invalida",IF(NOT(ISNUMBER(parametros!$C$2)),"Fora dos ciclos",IF(OR(B160&lt;parametros!$C$2,(YEAR(B160)-YEAR(parametros!$C$2))*12+MONTH(B160)-MONTH(parametros!$C$2)&gt;59),"Fora dos ciclos","C"&amp;INT(((YEAR(B160)-YEAR(parametros!$C$2))*12+MONTH(B160)-MONTH(parametros!$C$2))/12)))))</f>
        <v/>
      </c>
      <c r="D160" s="394"/>
      <c r="E160" s="78" t="str">
        <f>IF(C160="","",IFERROR(VLOOKUP(C160,parametros!$A$11:$E$15,5,0),""))</f>
        <v/>
      </c>
      <c r="F160" s="79" t="str">
        <f t="shared" si="12"/>
        <v/>
      </c>
      <c r="G160" s="395"/>
      <c r="H160" s="91">
        <f t="shared" si="13"/>
        <v>0</v>
      </c>
      <c r="I160" s="91" t="str">
        <f t="shared" si="14"/>
        <v/>
      </c>
      <c r="J160" s="91" t="str">
        <f t="shared" si="15"/>
        <v/>
      </c>
      <c r="K160" s="92" t="str">
        <f>IF(AND(A160="",B160="",D160="",G160=""),"",IF(AND(A160&lt;&gt;"",COUNTIF($A$2:$A$5001,A160)&gt;1),"NUMERO_PC duplicado",IF(B160="","DATA_PC vazia",IF(NOT(ISNUMBER(B160)),"DATA_PC invalida",IF(OR(C160="",C160="Fora dos ciclos"),"CICLO_PC nao identificado",IF(OR(D160="",D160=0),"VALOR_PC vazio ou zero",IF(AND(G160&lt;&gt;"Sim",G160&lt;&gt;"Nao",G160&lt;&gt;""),"PC_PAGO_A_CONTRATADA invalido",IF(AND(C160&lt;&gt;"C0",IFERROR(INDEX(parametros!$A$2:$A$6,MATCH(C160,parametros!$B$2:$B$6,0)),"")="Sim",IFERROR(INDEX(parametros!$H$2:$H$6,MATCH(C160,parametros!$B$2:$B$6,0)),"")=""),"INICIO_EFEITO ausente: PC "&amp;A160&amp;" - "&amp;C160,IF(L160="","EFEITO_PC nao calculado: PC "&amp;A160&amp;" - "&amp;C160,"OK")))))))))</f>
        <v/>
      </c>
      <c r="L160" s="92" t="str">
        <f>IF(AND(A160="",B160="",D160="",G160=""),"",IF(OR(B160="",NOT(ISNUMBER(B160)),C160="",C160="Fora dos ciclos"),"",IF(C160="C0","Nao",IF(IFERROR(INDEX(parametros!$A$2:$A$6,MATCH(C160,parametros!$B$2:$B$6,0)),"")&lt;&gt;"Sim","Nao",IF(IFERROR(INDEX(parametros!$H$2:$H$6,MATCH(C160,parametros!$B$2:$B$6,0)),"")="","",IF(B160&gt;=IFERROR(INDEX(parametros!$H$2:$H$6,MATCH(C160,parametros!$B$2:$B$6,0)),""),"Sim","Nao"))))))</f>
        <v/>
      </c>
      <c r="M160" s="13"/>
      <c r="N160" s="13"/>
      <c r="O160" s="13"/>
      <c r="P160" s="13"/>
      <c r="Q160" s="13"/>
      <c r="R160" s="13"/>
      <c r="S160" s="13"/>
      <c r="T160" s="13"/>
      <c r="U160" s="214" t="str">
        <f t="shared" si="16"/>
        <v/>
      </c>
      <c r="V160" s="212" t="s">
        <v>50</v>
      </c>
      <c r="W160" s="100" t="s">
        <v>168</v>
      </c>
      <c r="X160" s="100" t="s">
        <v>169</v>
      </c>
      <c r="Y160" s="101" t="s">
        <v>170</v>
      </c>
      <c r="Z160" s="101" t="s">
        <v>171</v>
      </c>
      <c r="AA160" s="101" t="s">
        <v>50</v>
      </c>
      <c r="AB160" s="101" t="s">
        <v>172</v>
      </c>
      <c r="AC160" s="102" t="s">
        <v>173</v>
      </c>
    </row>
    <row r="161" spans="1:29" ht="25.5" customHeight="1" x14ac:dyDescent="0.35">
      <c r="A161" s="392"/>
      <c r="B161" s="393"/>
      <c r="C161" s="99" t="str">
        <f>IF(B161="","",IF(NOT(ISNUMBER(B161)),"DATA_PC invalida",IF(NOT(ISNUMBER(parametros!$C$2)),"Fora dos ciclos",IF(OR(B161&lt;parametros!$C$2,(YEAR(B161)-YEAR(parametros!$C$2))*12+MONTH(B161)-MONTH(parametros!$C$2)&gt;59),"Fora dos ciclos","C"&amp;INT(((YEAR(B161)-YEAR(parametros!$C$2))*12+MONTH(B161)-MONTH(parametros!$C$2))/12)))))</f>
        <v/>
      </c>
      <c r="D161" s="394"/>
      <c r="E161" s="78" t="str">
        <f>IF(C161="","",IFERROR(VLOOKUP(C161,parametros!$A$11:$E$15,5,0),""))</f>
        <v/>
      </c>
      <c r="F161" s="79" t="str">
        <f t="shared" si="12"/>
        <v/>
      </c>
      <c r="G161" s="395"/>
      <c r="H161" s="91">
        <f t="shared" si="13"/>
        <v>0</v>
      </c>
      <c r="I161" s="91" t="str">
        <f t="shared" si="14"/>
        <v/>
      </c>
      <c r="J161" s="91" t="str">
        <f t="shared" si="15"/>
        <v/>
      </c>
      <c r="K161" s="92" t="str">
        <f>IF(AND(A161="",B161="",D161="",G161=""),"",IF(AND(A161&lt;&gt;"",COUNTIF($A$2:$A$5001,A161)&gt;1),"NUMERO_PC duplicado",IF(B161="","DATA_PC vazia",IF(NOT(ISNUMBER(B161)),"DATA_PC invalida",IF(OR(C161="",C161="Fora dos ciclos"),"CICLO_PC nao identificado",IF(OR(D161="",D161=0),"VALOR_PC vazio ou zero",IF(AND(G161&lt;&gt;"Sim",G161&lt;&gt;"Nao",G161&lt;&gt;""),"PC_PAGO_A_CONTRATADA invalido",IF(AND(C161&lt;&gt;"C0",IFERROR(INDEX(parametros!$A$2:$A$6,MATCH(C161,parametros!$B$2:$B$6,0)),"")="Sim",IFERROR(INDEX(parametros!$H$2:$H$6,MATCH(C161,parametros!$B$2:$B$6,0)),"")=""),"INICIO_EFEITO ausente: PC "&amp;A161&amp;" - "&amp;C161,IF(L161="","EFEITO_PC nao calculado: PC "&amp;A161&amp;" - "&amp;C161,"OK")))))))))</f>
        <v/>
      </c>
      <c r="L161" s="92" t="str">
        <f>IF(AND(A161="",B161="",D161="",G161=""),"",IF(OR(B161="",NOT(ISNUMBER(B161)),C161="",C161="Fora dos ciclos"),"",IF(C161="C0","Nao",IF(IFERROR(INDEX(parametros!$A$2:$A$6,MATCH(C161,parametros!$B$2:$B$6,0)),"")&lt;&gt;"Sim","Nao",IF(IFERROR(INDEX(parametros!$H$2:$H$6,MATCH(C161,parametros!$B$2:$B$6,0)),"")="","",IF(B161&gt;=IFERROR(INDEX(parametros!$H$2:$H$6,MATCH(C161,parametros!$B$2:$B$6,0)),""),"Sim","Nao"))))))</f>
        <v/>
      </c>
      <c r="M161" s="13"/>
      <c r="N161" s="13"/>
      <c r="O161" s="13"/>
      <c r="P161" s="13"/>
      <c r="Q161" s="13"/>
      <c r="R161" s="13"/>
      <c r="S161" s="13"/>
      <c r="T161" s="13"/>
      <c r="U161" s="214" t="str">
        <f t="shared" si="16"/>
        <v/>
      </c>
      <c r="V161" s="212" t="s">
        <v>50</v>
      </c>
      <c r="W161" s="100" t="s">
        <v>168</v>
      </c>
      <c r="X161" s="100" t="s">
        <v>169</v>
      </c>
      <c r="Y161" s="101" t="s">
        <v>170</v>
      </c>
      <c r="Z161" s="101" t="s">
        <v>171</v>
      </c>
      <c r="AA161" s="101" t="s">
        <v>50</v>
      </c>
      <c r="AB161" s="101" t="s">
        <v>172</v>
      </c>
      <c r="AC161" s="102" t="s">
        <v>173</v>
      </c>
    </row>
    <row r="162" spans="1:29" ht="25.5" customHeight="1" x14ac:dyDescent="0.35">
      <c r="A162" s="392"/>
      <c r="B162" s="393"/>
      <c r="C162" s="99" t="str">
        <f>IF(B162="","",IF(NOT(ISNUMBER(B162)),"DATA_PC invalida",IF(NOT(ISNUMBER(parametros!$C$2)),"Fora dos ciclos",IF(OR(B162&lt;parametros!$C$2,(YEAR(B162)-YEAR(parametros!$C$2))*12+MONTH(B162)-MONTH(parametros!$C$2)&gt;59),"Fora dos ciclos","C"&amp;INT(((YEAR(B162)-YEAR(parametros!$C$2))*12+MONTH(B162)-MONTH(parametros!$C$2))/12)))))</f>
        <v/>
      </c>
      <c r="D162" s="394"/>
      <c r="E162" s="78" t="str">
        <f>IF(C162="","",IFERROR(VLOOKUP(C162,parametros!$A$11:$E$15,5,0),""))</f>
        <v/>
      </c>
      <c r="F162" s="79" t="str">
        <f t="shared" si="12"/>
        <v/>
      </c>
      <c r="G162" s="395"/>
      <c r="H162" s="91">
        <f t="shared" si="13"/>
        <v>0</v>
      </c>
      <c r="I162" s="91" t="str">
        <f t="shared" si="14"/>
        <v/>
      </c>
      <c r="J162" s="91" t="str">
        <f t="shared" si="15"/>
        <v/>
      </c>
      <c r="K162" s="92" t="str">
        <f>IF(AND(A162="",B162="",D162="",G162=""),"",IF(AND(A162&lt;&gt;"",COUNTIF($A$2:$A$5001,A162)&gt;1),"NUMERO_PC duplicado",IF(B162="","DATA_PC vazia",IF(NOT(ISNUMBER(B162)),"DATA_PC invalida",IF(OR(C162="",C162="Fora dos ciclos"),"CICLO_PC nao identificado",IF(OR(D162="",D162=0),"VALOR_PC vazio ou zero",IF(AND(G162&lt;&gt;"Sim",G162&lt;&gt;"Nao",G162&lt;&gt;""),"PC_PAGO_A_CONTRATADA invalido",IF(AND(C162&lt;&gt;"C0",IFERROR(INDEX(parametros!$A$2:$A$6,MATCH(C162,parametros!$B$2:$B$6,0)),"")="Sim",IFERROR(INDEX(parametros!$H$2:$H$6,MATCH(C162,parametros!$B$2:$B$6,0)),"")=""),"INICIO_EFEITO ausente: PC "&amp;A162&amp;" - "&amp;C162,IF(L162="","EFEITO_PC nao calculado: PC "&amp;A162&amp;" - "&amp;C162,"OK")))))))))</f>
        <v/>
      </c>
      <c r="L162" s="92" t="str">
        <f>IF(AND(A162="",B162="",D162="",G162=""),"",IF(OR(B162="",NOT(ISNUMBER(B162)),C162="",C162="Fora dos ciclos"),"",IF(C162="C0","Nao",IF(IFERROR(INDEX(parametros!$A$2:$A$6,MATCH(C162,parametros!$B$2:$B$6,0)),"")&lt;&gt;"Sim","Nao",IF(IFERROR(INDEX(parametros!$H$2:$H$6,MATCH(C162,parametros!$B$2:$B$6,0)),"")="","",IF(B162&gt;=IFERROR(INDEX(parametros!$H$2:$H$6,MATCH(C162,parametros!$B$2:$B$6,0)),""),"Sim","Nao"))))))</f>
        <v/>
      </c>
      <c r="M162" s="13"/>
      <c r="N162" s="13"/>
      <c r="O162" s="13"/>
      <c r="P162" s="13"/>
      <c r="Q162" s="13"/>
      <c r="R162" s="13"/>
      <c r="S162" s="13"/>
      <c r="T162" s="13"/>
      <c r="U162" s="214" t="str">
        <f t="shared" si="16"/>
        <v/>
      </c>
      <c r="V162" s="212" t="s">
        <v>50</v>
      </c>
      <c r="W162" s="100" t="s">
        <v>168</v>
      </c>
      <c r="X162" s="100" t="s">
        <v>169</v>
      </c>
      <c r="Y162" s="101" t="s">
        <v>170</v>
      </c>
      <c r="Z162" s="101" t="s">
        <v>171</v>
      </c>
      <c r="AA162" s="101" t="s">
        <v>50</v>
      </c>
      <c r="AB162" s="101" t="s">
        <v>172</v>
      </c>
      <c r="AC162" s="102" t="s">
        <v>173</v>
      </c>
    </row>
    <row r="163" spans="1:29" ht="25.5" customHeight="1" x14ac:dyDescent="0.35">
      <c r="A163" s="392"/>
      <c r="B163" s="393"/>
      <c r="C163" s="99" t="str">
        <f>IF(B163="","",IF(NOT(ISNUMBER(B163)),"DATA_PC invalida",IF(NOT(ISNUMBER(parametros!$C$2)),"Fora dos ciclos",IF(OR(B163&lt;parametros!$C$2,(YEAR(B163)-YEAR(parametros!$C$2))*12+MONTH(B163)-MONTH(parametros!$C$2)&gt;59),"Fora dos ciclos","C"&amp;INT(((YEAR(B163)-YEAR(parametros!$C$2))*12+MONTH(B163)-MONTH(parametros!$C$2))/12)))))</f>
        <v/>
      </c>
      <c r="D163" s="394"/>
      <c r="E163" s="78" t="str">
        <f>IF(C163="","",IFERROR(VLOOKUP(C163,parametros!$A$11:$E$15,5,0),""))</f>
        <v/>
      </c>
      <c r="F163" s="79" t="str">
        <f t="shared" si="12"/>
        <v/>
      </c>
      <c r="G163" s="395"/>
      <c r="H163" s="91">
        <f t="shared" si="13"/>
        <v>0</v>
      </c>
      <c r="I163" s="91" t="str">
        <f t="shared" si="14"/>
        <v/>
      </c>
      <c r="J163" s="91" t="str">
        <f t="shared" si="15"/>
        <v/>
      </c>
      <c r="K163" s="92" t="str">
        <f>IF(AND(A163="",B163="",D163="",G163=""),"",IF(AND(A163&lt;&gt;"",COUNTIF($A$2:$A$5001,A163)&gt;1),"NUMERO_PC duplicado",IF(B163="","DATA_PC vazia",IF(NOT(ISNUMBER(B163)),"DATA_PC invalida",IF(OR(C163="",C163="Fora dos ciclos"),"CICLO_PC nao identificado",IF(OR(D163="",D163=0),"VALOR_PC vazio ou zero",IF(AND(G163&lt;&gt;"Sim",G163&lt;&gt;"Nao",G163&lt;&gt;""),"PC_PAGO_A_CONTRATADA invalido",IF(AND(C163&lt;&gt;"C0",IFERROR(INDEX(parametros!$A$2:$A$6,MATCH(C163,parametros!$B$2:$B$6,0)),"")="Sim",IFERROR(INDEX(parametros!$H$2:$H$6,MATCH(C163,parametros!$B$2:$B$6,0)),"")=""),"INICIO_EFEITO ausente: PC "&amp;A163&amp;" - "&amp;C163,IF(L163="","EFEITO_PC nao calculado: PC "&amp;A163&amp;" - "&amp;C163,"OK")))))))))</f>
        <v/>
      </c>
      <c r="L163" s="92" t="str">
        <f>IF(AND(A163="",B163="",D163="",G163=""),"",IF(OR(B163="",NOT(ISNUMBER(B163)),C163="",C163="Fora dos ciclos"),"",IF(C163="C0","Nao",IF(IFERROR(INDEX(parametros!$A$2:$A$6,MATCH(C163,parametros!$B$2:$B$6,0)),"")&lt;&gt;"Sim","Nao",IF(IFERROR(INDEX(parametros!$H$2:$H$6,MATCH(C163,parametros!$B$2:$B$6,0)),"")="","",IF(B163&gt;=IFERROR(INDEX(parametros!$H$2:$H$6,MATCH(C163,parametros!$B$2:$B$6,0)),""),"Sim","Nao"))))))</f>
        <v/>
      </c>
      <c r="M163" s="13"/>
      <c r="N163" s="13"/>
      <c r="O163" s="13"/>
      <c r="P163" s="13"/>
      <c r="Q163" s="13"/>
      <c r="R163" s="13"/>
      <c r="S163" s="13"/>
      <c r="T163" s="13"/>
      <c r="U163" s="214" t="str">
        <f t="shared" si="16"/>
        <v/>
      </c>
      <c r="V163" s="212" t="s">
        <v>50</v>
      </c>
      <c r="W163" s="100" t="s">
        <v>168</v>
      </c>
      <c r="X163" s="100" t="s">
        <v>169</v>
      </c>
      <c r="Y163" s="101" t="s">
        <v>170</v>
      </c>
      <c r="Z163" s="101" t="s">
        <v>171</v>
      </c>
      <c r="AA163" s="101" t="s">
        <v>50</v>
      </c>
      <c r="AB163" s="101" t="s">
        <v>172</v>
      </c>
      <c r="AC163" s="102" t="s">
        <v>173</v>
      </c>
    </row>
    <row r="164" spans="1:29" ht="25.5" customHeight="1" x14ac:dyDescent="0.35">
      <c r="A164" s="392"/>
      <c r="B164" s="393"/>
      <c r="C164" s="99" t="str">
        <f>IF(B164="","",IF(NOT(ISNUMBER(B164)),"DATA_PC invalida",IF(NOT(ISNUMBER(parametros!$C$2)),"Fora dos ciclos",IF(OR(B164&lt;parametros!$C$2,(YEAR(B164)-YEAR(parametros!$C$2))*12+MONTH(B164)-MONTH(parametros!$C$2)&gt;59),"Fora dos ciclos","C"&amp;INT(((YEAR(B164)-YEAR(parametros!$C$2))*12+MONTH(B164)-MONTH(parametros!$C$2))/12)))))</f>
        <v/>
      </c>
      <c r="D164" s="394"/>
      <c r="E164" s="78" t="str">
        <f>IF(C164="","",IFERROR(VLOOKUP(C164,parametros!$A$11:$E$15,5,0),""))</f>
        <v/>
      </c>
      <c r="F164" s="79" t="str">
        <f t="shared" si="12"/>
        <v/>
      </c>
      <c r="G164" s="395"/>
      <c r="H164" s="91">
        <f t="shared" si="13"/>
        <v>0</v>
      </c>
      <c r="I164" s="91" t="str">
        <f t="shared" si="14"/>
        <v/>
      </c>
      <c r="J164" s="91" t="str">
        <f t="shared" si="15"/>
        <v/>
      </c>
      <c r="K164" s="92" t="str">
        <f>IF(AND(A164="",B164="",D164="",G164=""),"",IF(AND(A164&lt;&gt;"",COUNTIF($A$2:$A$5001,A164)&gt;1),"NUMERO_PC duplicado",IF(B164="","DATA_PC vazia",IF(NOT(ISNUMBER(B164)),"DATA_PC invalida",IF(OR(C164="",C164="Fora dos ciclos"),"CICLO_PC nao identificado",IF(OR(D164="",D164=0),"VALOR_PC vazio ou zero",IF(AND(G164&lt;&gt;"Sim",G164&lt;&gt;"Nao",G164&lt;&gt;""),"PC_PAGO_A_CONTRATADA invalido",IF(AND(C164&lt;&gt;"C0",IFERROR(INDEX(parametros!$A$2:$A$6,MATCH(C164,parametros!$B$2:$B$6,0)),"")="Sim",IFERROR(INDEX(parametros!$H$2:$H$6,MATCH(C164,parametros!$B$2:$B$6,0)),"")=""),"INICIO_EFEITO ausente: PC "&amp;A164&amp;" - "&amp;C164,IF(L164="","EFEITO_PC nao calculado: PC "&amp;A164&amp;" - "&amp;C164,"OK")))))))))</f>
        <v/>
      </c>
      <c r="L164" s="92" t="str">
        <f>IF(AND(A164="",B164="",D164="",G164=""),"",IF(OR(B164="",NOT(ISNUMBER(B164)),C164="",C164="Fora dos ciclos"),"",IF(C164="C0","Nao",IF(IFERROR(INDEX(parametros!$A$2:$A$6,MATCH(C164,parametros!$B$2:$B$6,0)),"")&lt;&gt;"Sim","Nao",IF(IFERROR(INDEX(parametros!$H$2:$H$6,MATCH(C164,parametros!$B$2:$B$6,0)),"")="","",IF(B164&gt;=IFERROR(INDEX(parametros!$H$2:$H$6,MATCH(C164,parametros!$B$2:$B$6,0)),""),"Sim","Nao"))))))</f>
        <v/>
      </c>
      <c r="M164" s="13"/>
      <c r="N164" s="13"/>
      <c r="O164" s="13"/>
      <c r="P164" s="13"/>
      <c r="Q164" s="13"/>
      <c r="R164" s="13"/>
      <c r="S164" s="13"/>
      <c r="T164" s="13"/>
      <c r="U164" s="214" t="str">
        <f t="shared" si="16"/>
        <v/>
      </c>
      <c r="V164" s="212" t="s">
        <v>50</v>
      </c>
      <c r="W164" s="100" t="s">
        <v>168</v>
      </c>
      <c r="X164" s="100" t="s">
        <v>169</v>
      </c>
      <c r="Y164" s="101" t="s">
        <v>170</v>
      </c>
      <c r="Z164" s="101" t="s">
        <v>171</v>
      </c>
      <c r="AA164" s="101" t="s">
        <v>50</v>
      </c>
      <c r="AB164" s="101" t="s">
        <v>172</v>
      </c>
      <c r="AC164" s="102" t="s">
        <v>173</v>
      </c>
    </row>
    <row r="165" spans="1:29" ht="25.5" customHeight="1" x14ac:dyDescent="0.35">
      <c r="A165" s="392"/>
      <c r="B165" s="393"/>
      <c r="C165" s="99" t="str">
        <f>IF(B165="","",IF(NOT(ISNUMBER(B165)),"DATA_PC invalida",IF(NOT(ISNUMBER(parametros!$C$2)),"Fora dos ciclos",IF(OR(B165&lt;parametros!$C$2,(YEAR(B165)-YEAR(parametros!$C$2))*12+MONTH(B165)-MONTH(parametros!$C$2)&gt;59),"Fora dos ciclos","C"&amp;INT(((YEAR(B165)-YEAR(parametros!$C$2))*12+MONTH(B165)-MONTH(parametros!$C$2))/12)))))</f>
        <v/>
      </c>
      <c r="D165" s="394"/>
      <c r="E165" s="78" t="str">
        <f>IF(C165="","",IFERROR(VLOOKUP(C165,parametros!$A$11:$E$15,5,0),""))</f>
        <v/>
      </c>
      <c r="F165" s="79" t="str">
        <f t="shared" si="12"/>
        <v/>
      </c>
      <c r="G165" s="395"/>
      <c r="H165" s="91">
        <f t="shared" si="13"/>
        <v>0</v>
      </c>
      <c r="I165" s="91" t="str">
        <f t="shared" si="14"/>
        <v/>
      </c>
      <c r="J165" s="91" t="str">
        <f t="shared" si="15"/>
        <v/>
      </c>
      <c r="K165" s="92" t="str">
        <f>IF(AND(A165="",B165="",D165="",G165=""),"",IF(AND(A165&lt;&gt;"",COUNTIF($A$2:$A$5001,A165)&gt;1),"NUMERO_PC duplicado",IF(B165="","DATA_PC vazia",IF(NOT(ISNUMBER(B165)),"DATA_PC invalida",IF(OR(C165="",C165="Fora dos ciclos"),"CICLO_PC nao identificado",IF(OR(D165="",D165=0),"VALOR_PC vazio ou zero",IF(AND(G165&lt;&gt;"Sim",G165&lt;&gt;"Nao",G165&lt;&gt;""),"PC_PAGO_A_CONTRATADA invalido",IF(AND(C165&lt;&gt;"C0",IFERROR(INDEX(parametros!$A$2:$A$6,MATCH(C165,parametros!$B$2:$B$6,0)),"")="Sim",IFERROR(INDEX(parametros!$H$2:$H$6,MATCH(C165,parametros!$B$2:$B$6,0)),"")=""),"INICIO_EFEITO ausente: PC "&amp;A165&amp;" - "&amp;C165,IF(L165="","EFEITO_PC nao calculado: PC "&amp;A165&amp;" - "&amp;C165,"OK")))))))))</f>
        <v/>
      </c>
      <c r="L165" s="92" t="str">
        <f>IF(AND(A165="",B165="",D165="",G165=""),"",IF(OR(B165="",NOT(ISNUMBER(B165)),C165="",C165="Fora dos ciclos"),"",IF(C165="C0","Nao",IF(IFERROR(INDEX(parametros!$A$2:$A$6,MATCH(C165,parametros!$B$2:$B$6,0)),"")&lt;&gt;"Sim","Nao",IF(IFERROR(INDEX(parametros!$H$2:$H$6,MATCH(C165,parametros!$B$2:$B$6,0)),"")="","",IF(B165&gt;=IFERROR(INDEX(parametros!$H$2:$H$6,MATCH(C165,parametros!$B$2:$B$6,0)),""),"Sim","Nao"))))))</f>
        <v/>
      </c>
      <c r="M165" s="13"/>
      <c r="N165" s="13"/>
      <c r="O165" s="13"/>
      <c r="P165" s="13"/>
      <c r="Q165" s="13"/>
      <c r="R165" s="13"/>
      <c r="S165" s="13"/>
      <c r="T165" s="13"/>
      <c r="U165" s="214" t="str">
        <f t="shared" si="16"/>
        <v/>
      </c>
      <c r="V165" s="212" t="s">
        <v>50</v>
      </c>
      <c r="W165" s="100" t="s">
        <v>168</v>
      </c>
      <c r="X165" s="100" t="s">
        <v>169</v>
      </c>
      <c r="Y165" s="101" t="s">
        <v>170</v>
      </c>
      <c r="Z165" s="101" t="s">
        <v>171</v>
      </c>
      <c r="AA165" s="101" t="s">
        <v>50</v>
      </c>
      <c r="AB165" s="101" t="s">
        <v>172</v>
      </c>
      <c r="AC165" s="102" t="s">
        <v>173</v>
      </c>
    </row>
    <row r="166" spans="1:29" ht="25.5" customHeight="1" x14ac:dyDescent="0.35">
      <c r="A166" s="392"/>
      <c r="B166" s="393"/>
      <c r="C166" s="99" t="str">
        <f>IF(B166="","",IF(NOT(ISNUMBER(B166)),"DATA_PC invalida",IF(NOT(ISNUMBER(parametros!$C$2)),"Fora dos ciclos",IF(OR(B166&lt;parametros!$C$2,(YEAR(B166)-YEAR(parametros!$C$2))*12+MONTH(B166)-MONTH(parametros!$C$2)&gt;59),"Fora dos ciclos","C"&amp;INT(((YEAR(B166)-YEAR(parametros!$C$2))*12+MONTH(B166)-MONTH(parametros!$C$2))/12)))))</f>
        <v/>
      </c>
      <c r="D166" s="394"/>
      <c r="E166" s="78" t="str">
        <f>IF(C166="","",IFERROR(VLOOKUP(C166,parametros!$A$11:$E$15,5,0),""))</f>
        <v/>
      </c>
      <c r="F166" s="79" t="str">
        <f t="shared" si="12"/>
        <v/>
      </c>
      <c r="G166" s="395"/>
      <c r="H166" s="91">
        <f t="shared" si="13"/>
        <v>0</v>
      </c>
      <c r="I166" s="91" t="str">
        <f t="shared" si="14"/>
        <v/>
      </c>
      <c r="J166" s="91" t="str">
        <f t="shared" si="15"/>
        <v/>
      </c>
      <c r="K166" s="92" t="str">
        <f>IF(AND(A166="",B166="",D166="",G166=""),"",IF(AND(A166&lt;&gt;"",COUNTIF($A$2:$A$5001,A166)&gt;1),"NUMERO_PC duplicado",IF(B166="","DATA_PC vazia",IF(NOT(ISNUMBER(B166)),"DATA_PC invalida",IF(OR(C166="",C166="Fora dos ciclos"),"CICLO_PC nao identificado",IF(OR(D166="",D166=0),"VALOR_PC vazio ou zero",IF(AND(G166&lt;&gt;"Sim",G166&lt;&gt;"Nao",G166&lt;&gt;""),"PC_PAGO_A_CONTRATADA invalido",IF(AND(C166&lt;&gt;"C0",IFERROR(INDEX(parametros!$A$2:$A$6,MATCH(C166,parametros!$B$2:$B$6,0)),"")="Sim",IFERROR(INDEX(parametros!$H$2:$H$6,MATCH(C166,parametros!$B$2:$B$6,0)),"")=""),"INICIO_EFEITO ausente: PC "&amp;A166&amp;" - "&amp;C166,IF(L166="","EFEITO_PC nao calculado: PC "&amp;A166&amp;" - "&amp;C166,"OK")))))))))</f>
        <v/>
      </c>
      <c r="L166" s="92" t="str">
        <f>IF(AND(A166="",B166="",D166="",G166=""),"",IF(OR(B166="",NOT(ISNUMBER(B166)),C166="",C166="Fora dos ciclos"),"",IF(C166="C0","Nao",IF(IFERROR(INDEX(parametros!$A$2:$A$6,MATCH(C166,parametros!$B$2:$B$6,0)),"")&lt;&gt;"Sim","Nao",IF(IFERROR(INDEX(parametros!$H$2:$H$6,MATCH(C166,parametros!$B$2:$B$6,0)),"")="","",IF(B166&gt;=IFERROR(INDEX(parametros!$H$2:$H$6,MATCH(C166,parametros!$B$2:$B$6,0)),""),"Sim","Nao"))))))</f>
        <v/>
      </c>
      <c r="M166" s="13"/>
      <c r="N166" s="13"/>
      <c r="O166" s="13"/>
      <c r="P166" s="13"/>
      <c r="Q166" s="13"/>
      <c r="R166" s="13"/>
      <c r="S166" s="13"/>
      <c r="T166" s="13"/>
      <c r="U166" s="214" t="str">
        <f t="shared" si="16"/>
        <v/>
      </c>
      <c r="V166" s="212" t="s">
        <v>50</v>
      </c>
      <c r="W166" s="100" t="s">
        <v>168</v>
      </c>
      <c r="X166" s="100" t="s">
        <v>169</v>
      </c>
      <c r="Y166" s="101" t="s">
        <v>170</v>
      </c>
      <c r="Z166" s="101" t="s">
        <v>171</v>
      </c>
      <c r="AA166" s="101" t="s">
        <v>50</v>
      </c>
      <c r="AB166" s="101" t="s">
        <v>172</v>
      </c>
      <c r="AC166" s="102" t="s">
        <v>173</v>
      </c>
    </row>
    <row r="167" spans="1:29" ht="25.5" customHeight="1" x14ac:dyDescent="0.35">
      <c r="A167" s="392"/>
      <c r="B167" s="393"/>
      <c r="C167" s="99" t="str">
        <f>IF(B167="","",IF(NOT(ISNUMBER(B167)),"DATA_PC invalida",IF(NOT(ISNUMBER(parametros!$C$2)),"Fora dos ciclos",IF(OR(B167&lt;parametros!$C$2,(YEAR(B167)-YEAR(parametros!$C$2))*12+MONTH(B167)-MONTH(parametros!$C$2)&gt;59),"Fora dos ciclos","C"&amp;INT(((YEAR(B167)-YEAR(parametros!$C$2))*12+MONTH(B167)-MONTH(parametros!$C$2))/12)))))</f>
        <v/>
      </c>
      <c r="D167" s="394"/>
      <c r="E167" s="78" t="str">
        <f>IF(C167="","",IFERROR(VLOOKUP(C167,parametros!$A$11:$E$15,5,0),""))</f>
        <v/>
      </c>
      <c r="F167" s="79" t="str">
        <f t="shared" si="12"/>
        <v/>
      </c>
      <c r="G167" s="395"/>
      <c r="H167" s="91">
        <f t="shared" si="13"/>
        <v>0</v>
      </c>
      <c r="I167" s="91" t="str">
        <f t="shared" si="14"/>
        <v/>
      </c>
      <c r="J167" s="91" t="str">
        <f t="shared" si="15"/>
        <v/>
      </c>
      <c r="K167" s="92" t="str">
        <f>IF(AND(A167="",B167="",D167="",G167=""),"",IF(AND(A167&lt;&gt;"",COUNTIF($A$2:$A$5001,A167)&gt;1),"NUMERO_PC duplicado",IF(B167="","DATA_PC vazia",IF(NOT(ISNUMBER(B167)),"DATA_PC invalida",IF(OR(C167="",C167="Fora dos ciclos"),"CICLO_PC nao identificado",IF(OR(D167="",D167=0),"VALOR_PC vazio ou zero",IF(AND(G167&lt;&gt;"Sim",G167&lt;&gt;"Nao",G167&lt;&gt;""),"PC_PAGO_A_CONTRATADA invalido",IF(AND(C167&lt;&gt;"C0",IFERROR(INDEX(parametros!$A$2:$A$6,MATCH(C167,parametros!$B$2:$B$6,0)),"")="Sim",IFERROR(INDEX(parametros!$H$2:$H$6,MATCH(C167,parametros!$B$2:$B$6,0)),"")=""),"INICIO_EFEITO ausente: PC "&amp;A167&amp;" - "&amp;C167,IF(L167="","EFEITO_PC nao calculado: PC "&amp;A167&amp;" - "&amp;C167,"OK")))))))))</f>
        <v/>
      </c>
      <c r="L167" s="92" t="str">
        <f>IF(AND(A167="",B167="",D167="",G167=""),"",IF(OR(B167="",NOT(ISNUMBER(B167)),C167="",C167="Fora dos ciclos"),"",IF(C167="C0","Nao",IF(IFERROR(INDEX(parametros!$A$2:$A$6,MATCH(C167,parametros!$B$2:$B$6,0)),"")&lt;&gt;"Sim","Nao",IF(IFERROR(INDEX(parametros!$H$2:$H$6,MATCH(C167,parametros!$B$2:$B$6,0)),"")="","",IF(B167&gt;=IFERROR(INDEX(parametros!$H$2:$H$6,MATCH(C167,parametros!$B$2:$B$6,0)),""),"Sim","Nao"))))))</f>
        <v/>
      </c>
      <c r="M167" s="13"/>
      <c r="N167" s="13"/>
      <c r="O167" s="13"/>
      <c r="P167" s="13"/>
      <c r="Q167" s="13"/>
      <c r="R167" s="13"/>
      <c r="S167" s="13"/>
      <c r="T167" s="13"/>
      <c r="U167" s="214" t="str">
        <f t="shared" si="16"/>
        <v/>
      </c>
      <c r="V167" s="212" t="s">
        <v>50</v>
      </c>
      <c r="W167" s="100" t="s">
        <v>168</v>
      </c>
      <c r="X167" s="100" t="s">
        <v>169</v>
      </c>
      <c r="Y167" s="101" t="s">
        <v>170</v>
      </c>
      <c r="Z167" s="101" t="s">
        <v>171</v>
      </c>
      <c r="AA167" s="101" t="s">
        <v>50</v>
      </c>
      <c r="AB167" s="101" t="s">
        <v>172</v>
      </c>
      <c r="AC167" s="102" t="s">
        <v>173</v>
      </c>
    </row>
    <row r="168" spans="1:29" ht="25.5" customHeight="1" x14ac:dyDescent="0.35">
      <c r="A168" s="392"/>
      <c r="B168" s="393"/>
      <c r="C168" s="99" t="str">
        <f>IF(B168="","",IF(NOT(ISNUMBER(B168)),"DATA_PC invalida",IF(NOT(ISNUMBER(parametros!$C$2)),"Fora dos ciclos",IF(OR(B168&lt;parametros!$C$2,(YEAR(B168)-YEAR(parametros!$C$2))*12+MONTH(B168)-MONTH(parametros!$C$2)&gt;59),"Fora dos ciclos","C"&amp;INT(((YEAR(B168)-YEAR(parametros!$C$2))*12+MONTH(B168)-MONTH(parametros!$C$2))/12)))))</f>
        <v/>
      </c>
      <c r="D168" s="394"/>
      <c r="E168" s="78" t="str">
        <f>IF(C168="","",IFERROR(VLOOKUP(C168,parametros!$A$11:$E$15,5,0),""))</f>
        <v/>
      </c>
      <c r="F168" s="79" t="str">
        <f t="shared" si="12"/>
        <v/>
      </c>
      <c r="G168" s="395"/>
      <c r="H168" s="91">
        <f t="shared" si="13"/>
        <v>0</v>
      </c>
      <c r="I168" s="91" t="str">
        <f t="shared" si="14"/>
        <v/>
      </c>
      <c r="J168" s="91" t="str">
        <f t="shared" si="15"/>
        <v/>
      </c>
      <c r="K168" s="92" t="str">
        <f>IF(AND(A168="",B168="",D168="",G168=""),"",IF(AND(A168&lt;&gt;"",COUNTIF($A$2:$A$5001,A168)&gt;1),"NUMERO_PC duplicado",IF(B168="","DATA_PC vazia",IF(NOT(ISNUMBER(B168)),"DATA_PC invalida",IF(OR(C168="",C168="Fora dos ciclos"),"CICLO_PC nao identificado",IF(OR(D168="",D168=0),"VALOR_PC vazio ou zero",IF(AND(G168&lt;&gt;"Sim",G168&lt;&gt;"Nao",G168&lt;&gt;""),"PC_PAGO_A_CONTRATADA invalido",IF(AND(C168&lt;&gt;"C0",IFERROR(INDEX(parametros!$A$2:$A$6,MATCH(C168,parametros!$B$2:$B$6,0)),"")="Sim",IFERROR(INDEX(parametros!$H$2:$H$6,MATCH(C168,parametros!$B$2:$B$6,0)),"")=""),"INICIO_EFEITO ausente: PC "&amp;A168&amp;" - "&amp;C168,IF(L168="","EFEITO_PC nao calculado: PC "&amp;A168&amp;" - "&amp;C168,"OK")))))))))</f>
        <v/>
      </c>
      <c r="L168" s="92" t="str">
        <f>IF(AND(A168="",B168="",D168="",G168=""),"",IF(OR(B168="",NOT(ISNUMBER(B168)),C168="",C168="Fora dos ciclos"),"",IF(C168="C0","Nao",IF(IFERROR(INDEX(parametros!$A$2:$A$6,MATCH(C168,parametros!$B$2:$B$6,0)),"")&lt;&gt;"Sim","Nao",IF(IFERROR(INDEX(parametros!$H$2:$H$6,MATCH(C168,parametros!$B$2:$B$6,0)),"")="","",IF(B168&gt;=IFERROR(INDEX(parametros!$H$2:$H$6,MATCH(C168,parametros!$B$2:$B$6,0)),""),"Sim","Nao"))))))</f>
        <v/>
      </c>
      <c r="M168" s="13"/>
      <c r="N168" s="13"/>
      <c r="O168" s="13"/>
      <c r="P168" s="13"/>
      <c r="Q168" s="13"/>
      <c r="R168" s="13"/>
      <c r="S168" s="13"/>
      <c r="T168" s="13"/>
      <c r="U168" s="214" t="str">
        <f t="shared" si="16"/>
        <v/>
      </c>
      <c r="V168" s="212" t="s">
        <v>50</v>
      </c>
      <c r="W168" s="100" t="s">
        <v>168</v>
      </c>
      <c r="X168" s="100" t="s">
        <v>169</v>
      </c>
      <c r="Y168" s="101" t="s">
        <v>170</v>
      </c>
      <c r="Z168" s="101" t="s">
        <v>171</v>
      </c>
      <c r="AA168" s="101" t="s">
        <v>50</v>
      </c>
      <c r="AB168" s="101" t="s">
        <v>172</v>
      </c>
      <c r="AC168" s="102" t="s">
        <v>173</v>
      </c>
    </row>
    <row r="169" spans="1:29" ht="25.5" customHeight="1" x14ac:dyDescent="0.35">
      <c r="A169" s="392"/>
      <c r="B169" s="393"/>
      <c r="C169" s="99" t="str">
        <f>IF(B169="","",IF(NOT(ISNUMBER(B169)),"DATA_PC invalida",IF(NOT(ISNUMBER(parametros!$C$2)),"Fora dos ciclos",IF(OR(B169&lt;parametros!$C$2,(YEAR(B169)-YEAR(parametros!$C$2))*12+MONTH(B169)-MONTH(parametros!$C$2)&gt;59),"Fora dos ciclos","C"&amp;INT(((YEAR(B169)-YEAR(parametros!$C$2))*12+MONTH(B169)-MONTH(parametros!$C$2))/12)))))</f>
        <v/>
      </c>
      <c r="D169" s="394"/>
      <c r="E169" s="78" t="str">
        <f>IF(C169="","",IFERROR(VLOOKUP(C169,parametros!$A$11:$E$15,5,0),""))</f>
        <v/>
      </c>
      <c r="F169" s="79" t="str">
        <f t="shared" si="12"/>
        <v/>
      </c>
      <c r="G169" s="395"/>
      <c r="H169" s="91">
        <f t="shared" si="13"/>
        <v>0</v>
      </c>
      <c r="I169" s="91" t="str">
        <f t="shared" si="14"/>
        <v/>
      </c>
      <c r="J169" s="91" t="str">
        <f t="shared" si="15"/>
        <v/>
      </c>
      <c r="K169" s="92" t="str">
        <f>IF(AND(A169="",B169="",D169="",G169=""),"",IF(AND(A169&lt;&gt;"",COUNTIF($A$2:$A$5001,A169)&gt;1),"NUMERO_PC duplicado",IF(B169="","DATA_PC vazia",IF(NOT(ISNUMBER(B169)),"DATA_PC invalida",IF(OR(C169="",C169="Fora dos ciclos"),"CICLO_PC nao identificado",IF(OR(D169="",D169=0),"VALOR_PC vazio ou zero",IF(AND(G169&lt;&gt;"Sim",G169&lt;&gt;"Nao",G169&lt;&gt;""),"PC_PAGO_A_CONTRATADA invalido",IF(AND(C169&lt;&gt;"C0",IFERROR(INDEX(parametros!$A$2:$A$6,MATCH(C169,parametros!$B$2:$B$6,0)),"")="Sim",IFERROR(INDEX(parametros!$H$2:$H$6,MATCH(C169,parametros!$B$2:$B$6,0)),"")=""),"INICIO_EFEITO ausente: PC "&amp;A169&amp;" - "&amp;C169,IF(L169="","EFEITO_PC nao calculado: PC "&amp;A169&amp;" - "&amp;C169,"OK")))))))))</f>
        <v/>
      </c>
      <c r="L169" s="92" t="str">
        <f>IF(AND(A169="",B169="",D169="",G169=""),"",IF(OR(B169="",NOT(ISNUMBER(B169)),C169="",C169="Fora dos ciclos"),"",IF(C169="C0","Nao",IF(IFERROR(INDEX(parametros!$A$2:$A$6,MATCH(C169,parametros!$B$2:$B$6,0)),"")&lt;&gt;"Sim","Nao",IF(IFERROR(INDEX(parametros!$H$2:$H$6,MATCH(C169,parametros!$B$2:$B$6,0)),"")="","",IF(B169&gt;=IFERROR(INDEX(parametros!$H$2:$H$6,MATCH(C169,parametros!$B$2:$B$6,0)),""),"Sim","Nao"))))))</f>
        <v/>
      </c>
      <c r="M169" s="13"/>
      <c r="N169" s="13"/>
      <c r="O169" s="13"/>
      <c r="P169" s="13"/>
      <c r="Q169" s="13"/>
      <c r="R169" s="13"/>
      <c r="S169" s="13"/>
      <c r="T169" s="13"/>
      <c r="U169" s="214" t="str">
        <f t="shared" si="16"/>
        <v/>
      </c>
      <c r="V169" s="212" t="s">
        <v>50</v>
      </c>
      <c r="W169" s="100" t="s">
        <v>168</v>
      </c>
      <c r="X169" s="100" t="s">
        <v>169</v>
      </c>
      <c r="Y169" s="101" t="s">
        <v>170</v>
      </c>
      <c r="Z169" s="101" t="s">
        <v>171</v>
      </c>
      <c r="AA169" s="101" t="s">
        <v>50</v>
      </c>
      <c r="AB169" s="101" t="s">
        <v>172</v>
      </c>
      <c r="AC169" s="102" t="s">
        <v>173</v>
      </c>
    </row>
    <row r="170" spans="1:29" ht="25.5" customHeight="1" x14ac:dyDescent="0.35">
      <c r="A170" s="392"/>
      <c r="B170" s="393"/>
      <c r="C170" s="99" t="str">
        <f>IF(B170="","",IF(NOT(ISNUMBER(B170)),"DATA_PC invalida",IF(NOT(ISNUMBER(parametros!$C$2)),"Fora dos ciclos",IF(OR(B170&lt;parametros!$C$2,(YEAR(B170)-YEAR(parametros!$C$2))*12+MONTH(B170)-MONTH(parametros!$C$2)&gt;59),"Fora dos ciclos","C"&amp;INT(((YEAR(B170)-YEAR(parametros!$C$2))*12+MONTH(B170)-MONTH(parametros!$C$2))/12)))))</f>
        <v/>
      </c>
      <c r="D170" s="394"/>
      <c r="E170" s="78" t="str">
        <f>IF(C170="","",IFERROR(VLOOKUP(C170,parametros!$A$11:$E$15,5,0),""))</f>
        <v/>
      </c>
      <c r="F170" s="79" t="str">
        <f t="shared" si="12"/>
        <v/>
      </c>
      <c r="G170" s="395"/>
      <c r="H170" s="91">
        <f t="shared" si="13"/>
        <v>0</v>
      </c>
      <c r="I170" s="91" t="str">
        <f t="shared" si="14"/>
        <v/>
      </c>
      <c r="J170" s="91" t="str">
        <f t="shared" si="15"/>
        <v/>
      </c>
      <c r="K170" s="92" t="str">
        <f>IF(AND(A170="",B170="",D170="",G170=""),"",IF(AND(A170&lt;&gt;"",COUNTIF($A$2:$A$5001,A170)&gt;1),"NUMERO_PC duplicado",IF(B170="","DATA_PC vazia",IF(NOT(ISNUMBER(B170)),"DATA_PC invalida",IF(OR(C170="",C170="Fora dos ciclos"),"CICLO_PC nao identificado",IF(OR(D170="",D170=0),"VALOR_PC vazio ou zero",IF(AND(G170&lt;&gt;"Sim",G170&lt;&gt;"Nao",G170&lt;&gt;""),"PC_PAGO_A_CONTRATADA invalido",IF(AND(C170&lt;&gt;"C0",IFERROR(INDEX(parametros!$A$2:$A$6,MATCH(C170,parametros!$B$2:$B$6,0)),"")="Sim",IFERROR(INDEX(parametros!$H$2:$H$6,MATCH(C170,parametros!$B$2:$B$6,0)),"")=""),"INICIO_EFEITO ausente: PC "&amp;A170&amp;" - "&amp;C170,IF(L170="","EFEITO_PC nao calculado: PC "&amp;A170&amp;" - "&amp;C170,"OK")))))))))</f>
        <v/>
      </c>
      <c r="L170" s="92" t="str">
        <f>IF(AND(A170="",B170="",D170="",G170=""),"",IF(OR(B170="",NOT(ISNUMBER(B170)),C170="",C170="Fora dos ciclos"),"",IF(C170="C0","Nao",IF(IFERROR(INDEX(parametros!$A$2:$A$6,MATCH(C170,parametros!$B$2:$B$6,0)),"")&lt;&gt;"Sim","Nao",IF(IFERROR(INDEX(parametros!$H$2:$H$6,MATCH(C170,parametros!$B$2:$B$6,0)),"")="","",IF(B170&gt;=IFERROR(INDEX(parametros!$H$2:$H$6,MATCH(C170,parametros!$B$2:$B$6,0)),""),"Sim","Nao"))))))</f>
        <v/>
      </c>
      <c r="M170" s="13"/>
      <c r="N170" s="13"/>
      <c r="O170" s="13"/>
      <c r="P170" s="13"/>
      <c r="Q170" s="13"/>
      <c r="R170" s="13"/>
      <c r="S170" s="13"/>
      <c r="T170" s="13"/>
      <c r="U170" s="214" t="str">
        <f t="shared" si="16"/>
        <v/>
      </c>
      <c r="V170" s="212" t="s">
        <v>50</v>
      </c>
      <c r="W170" s="100" t="s">
        <v>168</v>
      </c>
      <c r="X170" s="100" t="s">
        <v>169</v>
      </c>
      <c r="Y170" s="101" t="s">
        <v>170</v>
      </c>
      <c r="Z170" s="101" t="s">
        <v>171</v>
      </c>
      <c r="AA170" s="101" t="s">
        <v>50</v>
      </c>
      <c r="AB170" s="101" t="s">
        <v>172</v>
      </c>
      <c r="AC170" s="102" t="s">
        <v>173</v>
      </c>
    </row>
    <row r="171" spans="1:29" ht="25.5" customHeight="1" x14ac:dyDescent="0.35">
      <c r="A171" s="392"/>
      <c r="B171" s="393"/>
      <c r="C171" s="99" t="str">
        <f>IF(B171="","",IF(NOT(ISNUMBER(B171)),"DATA_PC invalida",IF(NOT(ISNUMBER(parametros!$C$2)),"Fora dos ciclos",IF(OR(B171&lt;parametros!$C$2,(YEAR(B171)-YEAR(parametros!$C$2))*12+MONTH(B171)-MONTH(parametros!$C$2)&gt;59),"Fora dos ciclos","C"&amp;INT(((YEAR(B171)-YEAR(parametros!$C$2))*12+MONTH(B171)-MONTH(parametros!$C$2))/12)))))</f>
        <v/>
      </c>
      <c r="D171" s="394"/>
      <c r="E171" s="78" t="str">
        <f>IF(C171="","",IFERROR(VLOOKUP(C171,parametros!$A$11:$E$15,5,0),""))</f>
        <v/>
      </c>
      <c r="F171" s="79" t="str">
        <f t="shared" si="12"/>
        <v/>
      </c>
      <c r="G171" s="395"/>
      <c r="H171" s="91">
        <f t="shared" si="13"/>
        <v>0</v>
      </c>
      <c r="I171" s="91" t="str">
        <f t="shared" si="14"/>
        <v/>
      </c>
      <c r="J171" s="91" t="str">
        <f t="shared" si="15"/>
        <v/>
      </c>
      <c r="K171" s="92" t="str">
        <f>IF(AND(A171="",B171="",D171="",G171=""),"",IF(AND(A171&lt;&gt;"",COUNTIF($A$2:$A$5001,A171)&gt;1),"NUMERO_PC duplicado",IF(B171="","DATA_PC vazia",IF(NOT(ISNUMBER(B171)),"DATA_PC invalida",IF(OR(C171="",C171="Fora dos ciclos"),"CICLO_PC nao identificado",IF(OR(D171="",D171=0),"VALOR_PC vazio ou zero",IF(AND(G171&lt;&gt;"Sim",G171&lt;&gt;"Nao",G171&lt;&gt;""),"PC_PAGO_A_CONTRATADA invalido",IF(AND(C171&lt;&gt;"C0",IFERROR(INDEX(parametros!$A$2:$A$6,MATCH(C171,parametros!$B$2:$B$6,0)),"")="Sim",IFERROR(INDEX(parametros!$H$2:$H$6,MATCH(C171,parametros!$B$2:$B$6,0)),"")=""),"INICIO_EFEITO ausente: PC "&amp;A171&amp;" - "&amp;C171,IF(L171="","EFEITO_PC nao calculado: PC "&amp;A171&amp;" - "&amp;C171,"OK")))))))))</f>
        <v/>
      </c>
      <c r="L171" s="92" t="str">
        <f>IF(AND(A171="",B171="",D171="",G171=""),"",IF(OR(B171="",NOT(ISNUMBER(B171)),C171="",C171="Fora dos ciclos"),"",IF(C171="C0","Nao",IF(IFERROR(INDEX(parametros!$A$2:$A$6,MATCH(C171,parametros!$B$2:$B$6,0)),"")&lt;&gt;"Sim","Nao",IF(IFERROR(INDEX(parametros!$H$2:$H$6,MATCH(C171,parametros!$B$2:$B$6,0)),"")="","",IF(B171&gt;=IFERROR(INDEX(parametros!$H$2:$H$6,MATCH(C171,parametros!$B$2:$B$6,0)),""),"Sim","Nao"))))))</f>
        <v/>
      </c>
      <c r="M171" s="13"/>
      <c r="N171" s="13"/>
      <c r="O171" s="13"/>
      <c r="P171" s="13"/>
      <c r="Q171" s="13"/>
      <c r="R171" s="13"/>
      <c r="S171" s="13"/>
      <c r="T171" s="13"/>
      <c r="U171" s="214" t="str">
        <f t="shared" si="16"/>
        <v/>
      </c>
      <c r="V171" s="212" t="s">
        <v>50</v>
      </c>
      <c r="W171" s="100" t="s">
        <v>168</v>
      </c>
      <c r="X171" s="100" t="s">
        <v>169</v>
      </c>
      <c r="Y171" s="101" t="s">
        <v>170</v>
      </c>
      <c r="Z171" s="101" t="s">
        <v>171</v>
      </c>
      <c r="AA171" s="101" t="s">
        <v>50</v>
      </c>
      <c r="AB171" s="101" t="s">
        <v>172</v>
      </c>
      <c r="AC171" s="102" t="s">
        <v>173</v>
      </c>
    </row>
    <row r="172" spans="1:29" ht="25.5" customHeight="1" x14ac:dyDescent="0.35">
      <c r="A172" s="392"/>
      <c r="B172" s="393"/>
      <c r="C172" s="99" t="str">
        <f>IF(B172="","",IF(NOT(ISNUMBER(B172)),"DATA_PC invalida",IF(NOT(ISNUMBER(parametros!$C$2)),"Fora dos ciclos",IF(OR(B172&lt;parametros!$C$2,(YEAR(B172)-YEAR(parametros!$C$2))*12+MONTH(B172)-MONTH(parametros!$C$2)&gt;59),"Fora dos ciclos","C"&amp;INT(((YEAR(B172)-YEAR(parametros!$C$2))*12+MONTH(B172)-MONTH(parametros!$C$2))/12)))))</f>
        <v/>
      </c>
      <c r="D172" s="394"/>
      <c r="E172" s="78" t="str">
        <f>IF(C172="","",IFERROR(VLOOKUP(C172,parametros!$A$11:$E$15,5,0),""))</f>
        <v/>
      </c>
      <c r="F172" s="79" t="str">
        <f t="shared" si="12"/>
        <v/>
      </c>
      <c r="G172" s="395"/>
      <c r="H172" s="91">
        <f t="shared" si="13"/>
        <v>0</v>
      </c>
      <c r="I172" s="91" t="str">
        <f t="shared" si="14"/>
        <v/>
      </c>
      <c r="J172" s="91" t="str">
        <f t="shared" si="15"/>
        <v/>
      </c>
      <c r="K172" s="92" t="str">
        <f>IF(AND(A172="",B172="",D172="",G172=""),"",IF(AND(A172&lt;&gt;"",COUNTIF($A$2:$A$5001,A172)&gt;1),"NUMERO_PC duplicado",IF(B172="","DATA_PC vazia",IF(NOT(ISNUMBER(B172)),"DATA_PC invalida",IF(OR(C172="",C172="Fora dos ciclos"),"CICLO_PC nao identificado",IF(OR(D172="",D172=0),"VALOR_PC vazio ou zero",IF(AND(G172&lt;&gt;"Sim",G172&lt;&gt;"Nao",G172&lt;&gt;""),"PC_PAGO_A_CONTRATADA invalido",IF(AND(C172&lt;&gt;"C0",IFERROR(INDEX(parametros!$A$2:$A$6,MATCH(C172,parametros!$B$2:$B$6,0)),"")="Sim",IFERROR(INDEX(parametros!$H$2:$H$6,MATCH(C172,parametros!$B$2:$B$6,0)),"")=""),"INICIO_EFEITO ausente: PC "&amp;A172&amp;" - "&amp;C172,IF(L172="","EFEITO_PC nao calculado: PC "&amp;A172&amp;" - "&amp;C172,"OK")))))))))</f>
        <v/>
      </c>
      <c r="L172" s="92" t="str">
        <f>IF(AND(A172="",B172="",D172="",G172=""),"",IF(OR(B172="",NOT(ISNUMBER(B172)),C172="",C172="Fora dos ciclos"),"",IF(C172="C0","Nao",IF(IFERROR(INDEX(parametros!$A$2:$A$6,MATCH(C172,parametros!$B$2:$B$6,0)),"")&lt;&gt;"Sim","Nao",IF(IFERROR(INDEX(parametros!$H$2:$H$6,MATCH(C172,parametros!$B$2:$B$6,0)),"")="","",IF(B172&gt;=IFERROR(INDEX(parametros!$H$2:$H$6,MATCH(C172,parametros!$B$2:$B$6,0)),""),"Sim","Nao"))))))</f>
        <v/>
      </c>
      <c r="M172" s="13"/>
      <c r="N172" s="13"/>
      <c r="O172" s="13"/>
      <c r="P172" s="13"/>
      <c r="Q172" s="13"/>
      <c r="R172" s="13"/>
      <c r="S172" s="13"/>
      <c r="T172" s="13"/>
      <c r="U172" s="214" t="str">
        <f t="shared" si="16"/>
        <v/>
      </c>
      <c r="V172" s="212" t="s">
        <v>50</v>
      </c>
      <c r="W172" s="100" t="s">
        <v>168</v>
      </c>
      <c r="X172" s="100" t="s">
        <v>169</v>
      </c>
      <c r="Y172" s="101" t="s">
        <v>170</v>
      </c>
      <c r="Z172" s="101" t="s">
        <v>171</v>
      </c>
      <c r="AA172" s="101" t="s">
        <v>50</v>
      </c>
      <c r="AB172" s="101" t="s">
        <v>172</v>
      </c>
      <c r="AC172" s="102" t="s">
        <v>173</v>
      </c>
    </row>
    <row r="173" spans="1:29" ht="25.5" customHeight="1" x14ac:dyDescent="0.35">
      <c r="A173" s="392"/>
      <c r="B173" s="393"/>
      <c r="C173" s="99" t="str">
        <f>IF(B173="","",IF(NOT(ISNUMBER(B173)),"DATA_PC invalida",IF(NOT(ISNUMBER(parametros!$C$2)),"Fora dos ciclos",IF(OR(B173&lt;parametros!$C$2,(YEAR(B173)-YEAR(parametros!$C$2))*12+MONTH(B173)-MONTH(parametros!$C$2)&gt;59),"Fora dos ciclos","C"&amp;INT(((YEAR(B173)-YEAR(parametros!$C$2))*12+MONTH(B173)-MONTH(parametros!$C$2))/12)))))</f>
        <v/>
      </c>
      <c r="D173" s="394"/>
      <c r="E173" s="78" t="str">
        <f>IF(C173="","",IFERROR(VLOOKUP(C173,parametros!$A$11:$E$15,5,0),""))</f>
        <v/>
      </c>
      <c r="F173" s="79" t="str">
        <f t="shared" si="12"/>
        <v/>
      </c>
      <c r="G173" s="395"/>
      <c r="H173" s="91">
        <f t="shared" si="13"/>
        <v>0</v>
      </c>
      <c r="I173" s="91" t="str">
        <f t="shared" si="14"/>
        <v/>
      </c>
      <c r="J173" s="91" t="str">
        <f t="shared" si="15"/>
        <v/>
      </c>
      <c r="K173" s="92" t="str">
        <f>IF(AND(A173="",B173="",D173="",G173=""),"",IF(AND(A173&lt;&gt;"",COUNTIF($A$2:$A$5001,A173)&gt;1),"NUMERO_PC duplicado",IF(B173="","DATA_PC vazia",IF(NOT(ISNUMBER(B173)),"DATA_PC invalida",IF(OR(C173="",C173="Fora dos ciclos"),"CICLO_PC nao identificado",IF(OR(D173="",D173=0),"VALOR_PC vazio ou zero",IF(AND(G173&lt;&gt;"Sim",G173&lt;&gt;"Nao",G173&lt;&gt;""),"PC_PAGO_A_CONTRATADA invalido",IF(AND(C173&lt;&gt;"C0",IFERROR(INDEX(parametros!$A$2:$A$6,MATCH(C173,parametros!$B$2:$B$6,0)),"")="Sim",IFERROR(INDEX(parametros!$H$2:$H$6,MATCH(C173,parametros!$B$2:$B$6,0)),"")=""),"INICIO_EFEITO ausente: PC "&amp;A173&amp;" - "&amp;C173,IF(L173="","EFEITO_PC nao calculado: PC "&amp;A173&amp;" - "&amp;C173,"OK")))))))))</f>
        <v/>
      </c>
      <c r="L173" s="92" t="str">
        <f>IF(AND(A173="",B173="",D173="",G173=""),"",IF(OR(B173="",NOT(ISNUMBER(B173)),C173="",C173="Fora dos ciclos"),"",IF(C173="C0","Nao",IF(IFERROR(INDEX(parametros!$A$2:$A$6,MATCH(C173,parametros!$B$2:$B$6,0)),"")&lt;&gt;"Sim","Nao",IF(IFERROR(INDEX(parametros!$H$2:$H$6,MATCH(C173,parametros!$B$2:$B$6,0)),"")="","",IF(B173&gt;=IFERROR(INDEX(parametros!$H$2:$H$6,MATCH(C173,parametros!$B$2:$B$6,0)),""),"Sim","Nao"))))))</f>
        <v/>
      </c>
      <c r="M173" s="13"/>
      <c r="N173" s="13"/>
      <c r="O173" s="13"/>
      <c r="P173" s="13"/>
      <c r="Q173" s="13"/>
      <c r="R173" s="13"/>
      <c r="S173" s="13"/>
      <c r="T173" s="13"/>
      <c r="U173" s="214" t="str">
        <f t="shared" si="16"/>
        <v/>
      </c>
      <c r="V173" s="212" t="s">
        <v>50</v>
      </c>
      <c r="W173" s="100" t="s">
        <v>168</v>
      </c>
      <c r="X173" s="100" t="s">
        <v>169</v>
      </c>
      <c r="Y173" s="101" t="s">
        <v>170</v>
      </c>
      <c r="Z173" s="101" t="s">
        <v>171</v>
      </c>
      <c r="AA173" s="101" t="s">
        <v>50</v>
      </c>
      <c r="AB173" s="101" t="s">
        <v>172</v>
      </c>
      <c r="AC173" s="102" t="s">
        <v>173</v>
      </c>
    </row>
    <row r="174" spans="1:29" ht="25.5" customHeight="1" x14ac:dyDescent="0.35">
      <c r="A174" s="392"/>
      <c r="B174" s="393"/>
      <c r="C174" s="99" t="str">
        <f>IF(B174="","",IF(NOT(ISNUMBER(B174)),"DATA_PC invalida",IF(NOT(ISNUMBER(parametros!$C$2)),"Fora dos ciclos",IF(OR(B174&lt;parametros!$C$2,(YEAR(B174)-YEAR(parametros!$C$2))*12+MONTH(B174)-MONTH(parametros!$C$2)&gt;59),"Fora dos ciclos","C"&amp;INT(((YEAR(B174)-YEAR(parametros!$C$2))*12+MONTH(B174)-MONTH(parametros!$C$2))/12)))))</f>
        <v/>
      </c>
      <c r="D174" s="394"/>
      <c r="E174" s="78" t="str">
        <f>IF(C174="","",IFERROR(VLOOKUP(C174,parametros!$A$11:$E$15,5,0),""))</f>
        <v/>
      </c>
      <c r="F174" s="79" t="str">
        <f t="shared" si="12"/>
        <v/>
      </c>
      <c r="G174" s="395"/>
      <c r="H174" s="91">
        <f t="shared" si="13"/>
        <v>0</v>
      </c>
      <c r="I174" s="91" t="str">
        <f t="shared" si="14"/>
        <v/>
      </c>
      <c r="J174" s="91" t="str">
        <f t="shared" si="15"/>
        <v/>
      </c>
      <c r="K174" s="92" t="str">
        <f>IF(AND(A174="",B174="",D174="",G174=""),"",IF(AND(A174&lt;&gt;"",COUNTIF($A$2:$A$5001,A174)&gt;1),"NUMERO_PC duplicado",IF(B174="","DATA_PC vazia",IF(NOT(ISNUMBER(B174)),"DATA_PC invalida",IF(OR(C174="",C174="Fora dos ciclos"),"CICLO_PC nao identificado",IF(OR(D174="",D174=0),"VALOR_PC vazio ou zero",IF(AND(G174&lt;&gt;"Sim",G174&lt;&gt;"Nao",G174&lt;&gt;""),"PC_PAGO_A_CONTRATADA invalido",IF(AND(C174&lt;&gt;"C0",IFERROR(INDEX(parametros!$A$2:$A$6,MATCH(C174,parametros!$B$2:$B$6,0)),"")="Sim",IFERROR(INDEX(parametros!$H$2:$H$6,MATCH(C174,parametros!$B$2:$B$6,0)),"")=""),"INICIO_EFEITO ausente: PC "&amp;A174&amp;" - "&amp;C174,IF(L174="","EFEITO_PC nao calculado: PC "&amp;A174&amp;" - "&amp;C174,"OK")))))))))</f>
        <v/>
      </c>
      <c r="L174" s="92" t="str">
        <f>IF(AND(A174="",B174="",D174="",G174=""),"",IF(OR(B174="",NOT(ISNUMBER(B174)),C174="",C174="Fora dos ciclos"),"",IF(C174="C0","Nao",IF(IFERROR(INDEX(parametros!$A$2:$A$6,MATCH(C174,parametros!$B$2:$B$6,0)),"")&lt;&gt;"Sim","Nao",IF(IFERROR(INDEX(parametros!$H$2:$H$6,MATCH(C174,parametros!$B$2:$B$6,0)),"")="","",IF(B174&gt;=IFERROR(INDEX(parametros!$H$2:$H$6,MATCH(C174,parametros!$B$2:$B$6,0)),""),"Sim","Nao"))))))</f>
        <v/>
      </c>
      <c r="M174" s="13"/>
      <c r="N174" s="13"/>
      <c r="O174" s="13"/>
      <c r="P174" s="13"/>
      <c r="Q174" s="13"/>
      <c r="R174" s="13"/>
      <c r="S174" s="13"/>
      <c r="T174" s="13"/>
      <c r="U174" s="214" t="str">
        <f t="shared" si="16"/>
        <v/>
      </c>
      <c r="V174" s="212" t="s">
        <v>50</v>
      </c>
      <c r="W174" s="100" t="s">
        <v>168</v>
      </c>
      <c r="X174" s="100" t="s">
        <v>169</v>
      </c>
      <c r="Y174" s="101" t="s">
        <v>170</v>
      </c>
      <c r="Z174" s="101" t="s">
        <v>171</v>
      </c>
      <c r="AA174" s="101" t="s">
        <v>50</v>
      </c>
      <c r="AB174" s="101" t="s">
        <v>172</v>
      </c>
      <c r="AC174" s="102" t="s">
        <v>173</v>
      </c>
    </row>
    <row r="175" spans="1:29" ht="25.5" customHeight="1" x14ac:dyDescent="0.35">
      <c r="A175" s="392"/>
      <c r="B175" s="393"/>
      <c r="C175" s="99" t="str">
        <f>IF(B175="","",IF(NOT(ISNUMBER(B175)),"DATA_PC invalida",IF(NOT(ISNUMBER(parametros!$C$2)),"Fora dos ciclos",IF(OR(B175&lt;parametros!$C$2,(YEAR(B175)-YEAR(parametros!$C$2))*12+MONTH(B175)-MONTH(parametros!$C$2)&gt;59),"Fora dos ciclos","C"&amp;INT(((YEAR(B175)-YEAR(parametros!$C$2))*12+MONTH(B175)-MONTH(parametros!$C$2))/12)))))</f>
        <v/>
      </c>
      <c r="D175" s="394"/>
      <c r="E175" s="78" t="str">
        <f>IF(C175="","",IFERROR(VLOOKUP(C175,parametros!$A$11:$E$15,5,0),""))</f>
        <v/>
      </c>
      <c r="F175" s="79" t="str">
        <f t="shared" si="12"/>
        <v/>
      </c>
      <c r="G175" s="395"/>
      <c r="H175" s="91">
        <f t="shared" si="13"/>
        <v>0</v>
      </c>
      <c r="I175" s="91" t="str">
        <f t="shared" si="14"/>
        <v/>
      </c>
      <c r="J175" s="91" t="str">
        <f t="shared" si="15"/>
        <v/>
      </c>
      <c r="K175" s="92" t="str">
        <f>IF(AND(A175="",B175="",D175="",G175=""),"",IF(AND(A175&lt;&gt;"",COUNTIF($A$2:$A$5001,A175)&gt;1),"NUMERO_PC duplicado",IF(B175="","DATA_PC vazia",IF(NOT(ISNUMBER(B175)),"DATA_PC invalida",IF(OR(C175="",C175="Fora dos ciclos"),"CICLO_PC nao identificado",IF(OR(D175="",D175=0),"VALOR_PC vazio ou zero",IF(AND(G175&lt;&gt;"Sim",G175&lt;&gt;"Nao",G175&lt;&gt;""),"PC_PAGO_A_CONTRATADA invalido",IF(AND(C175&lt;&gt;"C0",IFERROR(INDEX(parametros!$A$2:$A$6,MATCH(C175,parametros!$B$2:$B$6,0)),"")="Sim",IFERROR(INDEX(parametros!$H$2:$H$6,MATCH(C175,parametros!$B$2:$B$6,0)),"")=""),"INICIO_EFEITO ausente: PC "&amp;A175&amp;" - "&amp;C175,IF(L175="","EFEITO_PC nao calculado: PC "&amp;A175&amp;" - "&amp;C175,"OK")))))))))</f>
        <v/>
      </c>
      <c r="L175" s="92" t="str">
        <f>IF(AND(A175="",B175="",D175="",G175=""),"",IF(OR(B175="",NOT(ISNUMBER(B175)),C175="",C175="Fora dos ciclos"),"",IF(C175="C0","Nao",IF(IFERROR(INDEX(parametros!$A$2:$A$6,MATCH(C175,parametros!$B$2:$B$6,0)),"")&lt;&gt;"Sim","Nao",IF(IFERROR(INDEX(parametros!$H$2:$H$6,MATCH(C175,parametros!$B$2:$B$6,0)),"")="","",IF(B175&gt;=IFERROR(INDEX(parametros!$H$2:$H$6,MATCH(C175,parametros!$B$2:$B$6,0)),""),"Sim","Nao"))))))</f>
        <v/>
      </c>
      <c r="M175" s="13"/>
      <c r="N175" s="13"/>
      <c r="O175" s="13"/>
      <c r="P175" s="13"/>
      <c r="Q175" s="13"/>
      <c r="R175" s="13"/>
      <c r="S175" s="13"/>
      <c r="T175" s="13"/>
      <c r="U175" s="214" t="str">
        <f t="shared" si="16"/>
        <v/>
      </c>
      <c r="V175" s="212" t="s">
        <v>50</v>
      </c>
      <c r="W175" s="100" t="s">
        <v>168</v>
      </c>
      <c r="X175" s="100" t="s">
        <v>169</v>
      </c>
      <c r="Y175" s="101" t="s">
        <v>170</v>
      </c>
      <c r="Z175" s="101" t="s">
        <v>171</v>
      </c>
      <c r="AA175" s="101" t="s">
        <v>50</v>
      </c>
      <c r="AB175" s="101" t="s">
        <v>172</v>
      </c>
      <c r="AC175" s="102" t="s">
        <v>173</v>
      </c>
    </row>
    <row r="176" spans="1:29" ht="25.5" customHeight="1" x14ac:dyDescent="0.35">
      <c r="A176" s="392"/>
      <c r="B176" s="393"/>
      <c r="C176" s="99" t="str">
        <f>IF(B176="","",IF(NOT(ISNUMBER(B176)),"DATA_PC invalida",IF(NOT(ISNUMBER(parametros!$C$2)),"Fora dos ciclos",IF(OR(B176&lt;parametros!$C$2,(YEAR(B176)-YEAR(parametros!$C$2))*12+MONTH(B176)-MONTH(parametros!$C$2)&gt;59),"Fora dos ciclos","C"&amp;INT(((YEAR(B176)-YEAR(parametros!$C$2))*12+MONTH(B176)-MONTH(parametros!$C$2))/12)))))</f>
        <v/>
      </c>
      <c r="D176" s="394"/>
      <c r="E176" s="78" t="str">
        <f>IF(C176="","",IFERROR(VLOOKUP(C176,parametros!$A$11:$E$15,5,0),""))</f>
        <v/>
      </c>
      <c r="F176" s="79" t="str">
        <f t="shared" si="12"/>
        <v/>
      </c>
      <c r="G176" s="395"/>
      <c r="H176" s="91">
        <f t="shared" si="13"/>
        <v>0</v>
      </c>
      <c r="I176" s="91" t="str">
        <f t="shared" si="14"/>
        <v/>
      </c>
      <c r="J176" s="91" t="str">
        <f t="shared" si="15"/>
        <v/>
      </c>
      <c r="K176" s="92" t="str">
        <f>IF(AND(A176="",B176="",D176="",G176=""),"",IF(AND(A176&lt;&gt;"",COUNTIF($A$2:$A$5001,A176)&gt;1),"NUMERO_PC duplicado",IF(B176="","DATA_PC vazia",IF(NOT(ISNUMBER(B176)),"DATA_PC invalida",IF(OR(C176="",C176="Fora dos ciclos"),"CICLO_PC nao identificado",IF(OR(D176="",D176=0),"VALOR_PC vazio ou zero",IF(AND(G176&lt;&gt;"Sim",G176&lt;&gt;"Nao",G176&lt;&gt;""),"PC_PAGO_A_CONTRATADA invalido",IF(AND(C176&lt;&gt;"C0",IFERROR(INDEX(parametros!$A$2:$A$6,MATCH(C176,parametros!$B$2:$B$6,0)),"")="Sim",IFERROR(INDEX(parametros!$H$2:$H$6,MATCH(C176,parametros!$B$2:$B$6,0)),"")=""),"INICIO_EFEITO ausente: PC "&amp;A176&amp;" - "&amp;C176,IF(L176="","EFEITO_PC nao calculado: PC "&amp;A176&amp;" - "&amp;C176,"OK")))))))))</f>
        <v/>
      </c>
      <c r="L176" s="92" t="str">
        <f>IF(AND(A176="",B176="",D176="",G176=""),"",IF(OR(B176="",NOT(ISNUMBER(B176)),C176="",C176="Fora dos ciclos"),"",IF(C176="C0","Nao",IF(IFERROR(INDEX(parametros!$A$2:$A$6,MATCH(C176,parametros!$B$2:$B$6,0)),"")&lt;&gt;"Sim","Nao",IF(IFERROR(INDEX(parametros!$H$2:$H$6,MATCH(C176,parametros!$B$2:$B$6,0)),"")="","",IF(B176&gt;=IFERROR(INDEX(parametros!$H$2:$H$6,MATCH(C176,parametros!$B$2:$B$6,0)),""),"Sim","Nao"))))))</f>
        <v/>
      </c>
      <c r="M176" s="13"/>
      <c r="N176" s="13"/>
      <c r="O176" s="13"/>
      <c r="P176" s="13"/>
      <c r="Q176" s="13"/>
      <c r="R176" s="13"/>
      <c r="S176" s="13"/>
      <c r="T176" s="13"/>
      <c r="U176" s="214" t="str">
        <f t="shared" si="16"/>
        <v/>
      </c>
      <c r="V176" s="212" t="s">
        <v>50</v>
      </c>
      <c r="W176" s="100" t="s">
        <v>168</v>
      </c>
      <c r="X176" s="100" t="s">
        <v>169</v>
      </c>
      <c r="Y176" s="101" t="s">
        <v>170</v>
      </c>
      <c r="Z176" s="101" t="s">
        <v>171</v>
      </c>
      <c r="AA176" s="101" t="s">
        <v>50</v>
      </c>
      <c r="AB176" s="101" t="s">
        <v>172</v>
      </c>
      <c r="AC176" s="102" t="s">
        <v>173</v>
      </c>
    </row>
    <row r="177" spans="1:29" ht="25.5" customHeight="1" x14ac:dyDescent="0.35">
      <c r="A177" s="392"/>
      <c r="B177" s="393"/>
      <c r="C177" s="99" t="str">
        <f>IF(B177="","",IF(NOT(ISNUMBER(B177)),"DATA_PC invalida",IF(NOT(ISNUMBER(parametros!$C$2)),"Fora dos ciclos",IF(OR(B177&lt;parametros!$C$2,(YEAR(B177)-YEAR(parametros!$C$2))*12+MONTH(B177)-MONTH(parametros!$C$2)&gt;59),"Fora dos ciclos","C"&amp;INT(((YEAR(B177)-YEAR(parametros!$C$2))*12+MONTH(B177)-MONTH(parametros!$C$2))/12)))))</f>
        <v/>
      </c>
      <c r="D177" s="394"/>
      <c r="E177" s="78" t="str">
        <f>IF(C177="","",IFERROR(VLOOKUP(C177,parametros!$A$11:$E$15,5,0),""))</f>
        <v/>
      </c>
      <c r="F177" s="79" t="str">
        <f t="shared" si="12"/>
        <v/>
      </c>
      <c r="G177" s="395"/>
      <c r="H177" s="91">
        <f t="shared" si="13"/>
        <v>0</v>
      </c>
      <c r="I177" s="91" t="str">
        <f t="shared" si="14"/>
        <v/>
      </c>
      <c r="J177" s="91" t="str">
        <f t="shared" si="15"/>
        <v/>
      </c>
      <c r="K177" s="92" t="str">
        <f>IF(AND(A177="",B177="",D177="",G177=""),"",IF(AND(A177&lt;&gt;"",COUNTIF($A$2:$A$5001,A177)&gt;1),"NUMERO_PC duplicado",IF(B177="","DATA_PC vazia",IF(NOT(ISNUMBER(B177)),"DATA_PC invalida",IF(OR(C177="",C177="Fora dos ciclos"),"CICLO_PC nao identificado",IF(OR(D177="",D177=0),"VALOR_PC vazio ou zero",IF(AND(G177&lt;&gt;"Sim",G177&lt;&gt;"Nao",G177&lt;&gt;""),"PC_PAGO_A_CONTRATADA invalido",IF(AND(C177&lt;&gt;"C0",IFERROR(INDEX(parametros!$A$2:$A$6,MATCH(C177,parametros!$B$2:$B$6,0)),"")="Sim",IFERROR(INDEX(parametros!$H$2:$H$6,MATCH(C177,parametros!$B$2:$B$6,0)),"")=""),"INICIO_EFEITO ausente: PC "&amp;A177&amp;" - "&amp;C177,IF(L177="","EFEITO_PC nao calculado: PC "&amp;A177&amp;" - "&amp;C177,"OK")))))))))</f>
        <v/>
      </c>
      <c r="L177" s="92" t="str">
        <f>IF(AND(A177="",B177="",D177="",G177=""),"",IF(OR(B177="",NOT(ISNUMBER(B177)),C177="",C177="Fora dos ciclos"),"",IF(C177="C0","Nao",IF(IFERROR(INDEX(parametros!$A$2:$A$6,MATCH(C177,parametros!$B$2:$B$6,0)),"")&lt;&gt;"Sim","Nao",IF(IFERROR(INDEX(parametros!$H$2:$H$6,MATCH(C177,parametros!$B$2:$B$6,0)),"")="","",IF(B177&gt;=IFERROR(INDEX(parametros!$H$2:$H$6,MATCH(C177,parametros!$B$2:$B$6,0)),""),"Sim","Nao"))))))</f>
        <v/>
      </c>
      <c r="M177" s="13"/>
      <c r="N177" s="13"/>
      <c r="O177" s="13"/>
      <c r="P177" s="13"/>
      <c r="Q177" s="13"/>
      <c r="R177" s="13"/>
      <c r="S177" s="13"/>
      <c r="T177" s="13"/>
      <c r="U177" s="214" t="str">
        <f t="shared" si="16"/>
        <v/>
      </c>
      <c r="V177" s="212" t="s">
        <v>50</v>
      </c>
      <c r="W177" s="100" t="s">
        <v>168</v>
      </c>
      <c r="X177" s="100" t="s">
        <v>169</v>
      </c>
      <c r="Y177" s="101" t="s">
        <v>170</v>
      </c>
      <c r="Z177" s="101" t="s">
        <v>171</v>
      </c>
      <c r="AA177" s="101" t="s">
        <v>50</v>
      </c>
      <c r="AB177" s="101" t="s">
        <v>172</v>
      </c>
      <c r="AC177" s="102" t="s">
        <v>173</v>
      </c>
    </row>
    <row r="178" spans="1:29" ht="25.5" customHeight="1" x14ac:dyDescent="0.35">
      <c r="A178" s="392"/>
      <c r="B178" s="393"/>
      <c r="C178" s="99" t="str">
        <f>IF(B178="","",IF(NOT(ISNUMBER(B178)),"DATA_PC invalida",IF(NOT(ISNUMBER(parametros!$C$2)),"Fora dos ciclos",IF(OR(B178&lt;parametros!$C$2,(YEAR(B178)-YEAR(parametros!$C$2))*12+MONTH(B178)-MONTH(parametros!$C$2)&gt;59),"Fora dos ciclos","C"&amp;INT(((YEAR(B178)-YEAR(parametros!$C$2))*12+MONTH(B178)-MONTH(parametros!$C$2))/12)))))</f>
        <v/>
      </c>
      <c r="D178" s="394"/>
      <c r="E178" s="78" t="str">
        <f>IF(C178="","",IFERROR(VLOOKUP(C178,parametros!$A$11:$E$15,5,0),""))</f>
        <v/>
      </c>
      <c r="F178" s="79" t="str">
        <f t="shared" si="12"/>
        <v/>
      </c>
      <c r="G178" s="395"/>
      <c r="H178" s="91">
        <f t="shared" si="13"/>
        <v>0</v>
      </c>
      <c r="I178" s="91" t="str">
        <f t="shared" si="14"/>
        <v/>
      </c>
      <c r="J178" s="91" t="str">
        <f t="shared" si="15"/>
        <v/>
      </c>
      <c r="K178" s="92" t="str">
        <f>IF(AND(A178="",B178="",D178="",G178=""),"",IF(AND(A178&lt;&gt;"",COUNTIF($A$2:$A$5001,A178)&gt;1),"NUMERO_PC duplicado",IF(B178="","DATA_PC vazia",IF(NOT(ISNUMBER(B178)),"DATA_PC invalida",IF(OR(C178="",C178="Fora dos ciclos"),"CICLO_PC nao identificado",IF(OR(D178="",D178=0),"VALOR_PC vazio ou zero",IF(AND(G178&lt;&gt;"Sim",G178&lt;&gt;"Nao",G178&lt;&gt;""),"PC_PAGO_A_CONTRATADA invalido",IF(AND(C178&lt;&gt;"C0",IFERROR(INDEX(parametros!$A$2:$A$6,MATCH(C178,parametros!$B$2:$B$6,0)),"")="Sim",IFERROR(INDEX(parametros!$H$2:$H$6,MATCH(C178,parametros!$B$2:$B$6,0)),"")=""),"INICIO_EFEITO ausente: PC "&amp;A178&amp;" - "&amp;C178,IF(L178="","EFEITO_PC nao calculado: PC "&amp;A178&amp;" - "&amp;C178,"OK")))))))))</f>
        <v/>
      </c>
      <c r="L178" s="92" t="str">
        <f>IF(AND(A178="",B178="",D178="",G178=""),"",IF(OR(B178="",NOT(ISNUMBER(B178)),C178="",C178="Fora dos ciclos"),"",IF(C178="C0","Nao",IF(IFERROR(INDEX(parametros!$A$2:$A$6,MATCH(C178,parametros!$B$2:$B$6,0)),"")&lt;&gt;"Sim","Nao",IF(IFERROR(INDEX(parametros!$H$2:$H$6,MATCH(C178,parametros!$B$2:$B$6,0)),"")="","",IF(B178&gt;=IFERROR(INDEX(parametros!$H$2:$H$6,MATCH(C178,parametros!$B$2:$B$6,0)),""),"Sim","Nao"))))))</f>
        <v/>
      </c>
      <c r="M178" s="13"/>
      <c r="N178" s="13"/>
      <c r="O178" s="13"/>
      <c r="P178" s="13"/>
      <c r="Q178" s="13"/>
      <c r="R178" s="13"/>
      <c r="S178" s="13"/>
      <c r="T178" s="13"/>
      <c r="U178" s="214" t="str">
        <f t="shared" si="16"/>
        <v/>
      </c>
      <c r="V178" s="212" t="s">
        <v>50</v>
      </c>
      <c r="W178" s="100" t="s">
        <v>168</v>
      </c>
      <c r="X178" s="100" t="s">
        <v>169</v>
      </c>
      <c r="Y178" s="101" t="s">
        <v>170</v>
      </c>
      <c r="Z178" s="101" t="s">
        <v>171</v>
      </c>
      <c r="AA178" s="101" t="s">
        <v>50</v>
      </c>
      <c r="AB178" s="101" t="s">
        <v>172</v>
      </c>
      <c r="AC178" s="102" t="s">
        <v>173</v>
      </c>
    </row>
    <row r="179" spans="1:29" ht="25.5" customHeight="1" x14ac:dyDescent="0.35">
      <c r="A179" s="392"/>
      <c r="B179" s="393"/>
      <c r="C179" s="99" t="str">
        <f>IF(B179="","",IF(NOT(ISNUMBER(B179)),"DATA_PC invalida",IF(NOT(ISNUMBER(parametros!$C$2)),"Fora dos ciclos",IF(OR(B179&lt;parametros!$C$2,(YEAR(B179)-YEAR(parametros!$C$2))*12+MONTH(B179)-MONTH(parametros!$C$2)&gt;59),"Fora dos ciclos","C"&amp;INT(((YEAR(B179)-YEAR(parametros!$C$2))*12+MONTH(B179)-MONTH(parametros!$C$2))/12)))))</f>
        <v/>
      </c>
      <c r="D179" s="394"/>
      <c r="E179" s="78" t="str">
        <f>IF(C179="","",IFERROR(VLOOKUP(C179,parametros!$A$11:$E$15,5,0),""))</f>
        <v/>
      </c>
      <c r="F179" s="79" t="str">
        <f t="shared" si="12"/>
        <v/>
      </c>
      <c r="G179" s="395"/>
      <c r="H179" s="91">
        <f t="shared" si="13"/>
        <v>0</v>
      </c>
      <c r="I179" s="91" t="str">
        <f t="shared" si="14"/>
        <v/>
      </c>
      <c r="J179" s="91" t="str">
        <f t="shared" si="15"/>
        <v/>
      </c>
      <c r="K179" s="92" t="str">
        <f>IF(AND(A179="",B179="",D179="",G179=""),"",IF(AND(A179&lt;&gt;"",COUNTIF($A$2:$A$5001,A179)&gt;1),"NUMERO_PC duplicado",IF(B179="","DATA_PC vazia",IF(NOT(ISNUMBER(B179)),"DATA_PC invalida",IF(OR(C179="",C179="Fora dos ciclos"),"CICLO_PC nao identificado",IF(OR(D179="",D179=0),"VALOR_PC vazio ou zero",IF(AND(G179&lt;&gt;"Sim",G179&lt;&gt;"Nao",G179&lt;&gt;""),"PC_PAGO_A_CONTRATADA invalido",IF(AND(C179&lt;&gt;"C0",IFERROR(INDEX(parametros!$A$2:$A$6,MATCH(C179,parametros!$B$2:$B$6,0)),"")="Sim",IFERROR(INDEX(parametros!$H$2:$H$6,MATCH(C179,parametros!$B$2:$B$6,0)),"")=""),"INICIO_EFEITO ausente: PC "&amp;A179&amp;" - "&amp;C179,IF(L179="","EFEITO_PC nao calculado: PC "&amp;A179&amp;" - "&amp;C179,"OK")))))))))</f>
        <v/>
      </c>
      <c r="L179" s="92" t="str">
        <f>IF(AND(A179="",B179="",D179="",G179=""),"",IF(OR(B179="",NOT(ISNUMBER(B179)),C179="",C179="Fora dos ciclos"),"",IF(C179="C0","Nao",IF(IFERROR(INDEX(parametros!$A$2:$A$6,MATCH(C179,parametros!$B$2:$B$6,0)),"")&lt;&gt;"Sim","Nao",IF(IFERROR(INDEX(parametros!$H$2:$H$6,MATCH(C179,parametros!$B$2:$B$6,0)),"")="","",IF(B179&gt;=IFERROR(INDEX(parametros!$H$2:$H$6,MATCH(C179,parametros!$B$2:$B$6,0)),""),"Sim","Nao"))))))</f>
        <v/>
      </c>
      <c r="M179" s="13"/>
      <c r="N179" s="13"/>
      <c r="O179" s="13"/>
      <c r="P179" s="13"/>
      <c r="Q179" s="13"/>
      <c r="R179" s="13"/>
      <c r="S179" s="13"/>
      <c r="T179" s="13"/>
      <c r="U179" s="214" t="str">
        <f t="shared" si="16"/>
        <v/>
      </c>
      <c r="V179" s="212" t="s">
        <v>50</v>
      </c>
      <c r="W179" s="100" t="s">
        <v>168</v>
      </c>
      <c r="X179" s="100" t="s">
        <v>169</v>
      </c>
      <c r="Y179" s="101" t="s">
        <v>170</v>
      </c>
      <c r="Z179" s="101" t="s">
        <v>171</v>
      </c>
      <c r="AA179" s="101" t="s">
        <v>50</v>
      </c>
      <c r="AB179" s="101" t="s">
        <v>172</v>
      </c>
      <c r="AC179" s="102" t="s">
        <v>173</v>
      </c>
    </row>
    <row r="180" spans="1:29" ht="25.5" customHeight="1" x14ac:dyDescent="0.35">
      <c r="A180" s="392"/>
      <c r="B180" s="393"/>
      <c r="C180" s="99" t="str">
        <f>IF(B180="","",IF(NOT(ISNUMBER(B180)),"DATA_PC invalida",IF(NOT(ISNUMBER(parametros!$C$2)),"Fora dos ciclos",IF(OR(B180&lt;parametros!$C$2,(YEAR(B180)-YEAR(parametros!$C$2))*12+MONTH(B180)-MONTH(parametros!$C$2)&gt;59),"Fora dos ciclos","C"&amp;INT(((YEAR(B180)-YEAR(parametros!$C$2))*12+MONTH(B180)-MONTH(parametros!$C$2))/12)))))</f>
        <v/>
      </c>
      <c r="D180" s="394"/>
      <c r="E180" s="78" t="str">
        <f>IF(C180="","",IFERROR(VLOOKUP(C180,parametros!$A$11:$E$15,5,0),""))</f>
        <v/>
      </c>
      <c r="F180" s="79" t="str">
        <f t="shared" si="12"/>
        <v/>
      </c>
      <c r="G180" s="395"/>
      <c r="H180" s="91">
        <f t="shared" si="13"/>
        <v>0</v>
      </c>
      <c r="I180" s="91" t="str">
        <f t="shared" si="14"/>
        <v/>
      </c>
      <c r="J180" s="91" t="str">
        <f t="shared" si="15"/>
        <v/>
      </c>
      <c r="K180" s="92" t="str">
        <f>IF(AND(A180="",B180="",D180="",G180=""),"",IF(AND(A180&lt;&gt;"",COUNTIF($A$2:$A$5001,A180)&gt;1),"NUMERO_PC duplicado",IF(B180="","DATA_PC vazia",IF(NOT(ISNUMBER(B180)),"DATA_PC invalida",IF(OR(C180="",C180="Fora dos ciclos"),"CICLO_PC nao identificado",IF(OR(D180="",D180=0),"VALOR_PC vazio ou zero",IF(AND(G180&lt;&gt;"Sim",G180&lt;&gt;"Nao",G180&lt;&gt;""),"PC_PAGO_A_CONTRATADA invalido",IF(AND(C180&lt;&gt;"C0",IFERROR(INDEX(parametros!$A$2:$A$6,MATCH(C180,parametros!$B$2:$B$6,0)),"")="Sim",IFERROR(INDEX(parametros!$H$2:$H$6,MATCH(C180,parametros!$B$2:$B$6,0)),"")=""),"INICIO_EFEITO ausente: PC "&amp;A180&amp;" - "&amp;C180,IF(L180="","EFEITO_PC nao calculado: PC "&amp;A180&amp;" - "&amp;C180,"OK")))))))))</f>
        <v/>
      </c>
      <c r="L180" s="92" t="str">
        <f>IF(AND(A180="",B180="",D180="",G180=""),"",IF(OR(B180="",NOT(ISNUMBER(B180)),C180="",C180="Fora dos ciclos"),"",IF(C180="C0","Nao",IF(IFERROR(INDEX(parametros!$A$2:$A$6,MATCH(C180,parametros!$B$2:$B$6,0)),"")&lt;&gt;"Sim","Nao",IF(IFERROR(INDEX(parametros!$H$2:$H$6,MATCH(C180,parametros!$B$2:$B$6,0)),"")="","",IF(B180&gt;=IFERROR(INDEX(parametros!$H$2:$H$6,MATCH(C180,parametros!$B$2:$B$6,0)),""),"Sim","Nao"))))))</f>
        <v/>
      </c>
      <c r="M180" s="13"/>
      <c r="N180" s="13"/>
      <c r="O180" s="13"/>
      <c r="P180" s="13"/>
      <c r="Q180" s="13"/>
      <c r="R180" s="13"/>
      <c r="S180" s="13"/>
      <c r="T180" s="13"/>
      <c r="U180" s="214" t="str">
        <f t="shared" si="16"/>
        <v/>
      </c>
      <c r="V180" s="212" t="s">
        <v>50</v>
      </c>
      <c r="W180" s="100" t="s">
        <v>168</v>
      </c>
      <c r="X180" s="100" t="s">
        <v>169</v>
      </c>
      <c r="Y180" s="101" t="s">
        <v>170</v>
      </c>
      <c r="Z180" s="101" t="s">
        <v>171</v>
      </c>
      <c r="AA180" s="101" t="s">
        <v>50</v>
      </c>
      <c r="AB180" s="101" t="s">
        <v>172</v>
      </c>
      <c r="AC180" s="102" t="s">
        <v>173</v>
      </c>
    </row>
    <row r="181" spans="1:29" ht="25.5" customHeight="1" x14ac:dyDescent="0.35">
      <c r="A181" s="392"/>
      <c r="B181" s="393"/>
      <c r="C181" s="99" t="str">
        <f>IF(B181="","",IF(NOT(ISNUMBER(B181)),"DATA_PC invalida",IF(NOT(ISNUMBER(parametros!$C$2)),"Fora dos ciclos",IF(OR(B181&lt;parametros!$C$2,(YEAR(B181)-YEAR(parametros!$C$2))*12+MONTH(B181)-MONTH(parametros!$C$2)&gt;59),"Fora dos ciclos","C"&amp;INT(((YEAR(B181)-YEAR(parametros!$C$2))*12+MONTH(B181)-MONTH(parametros!$C$2))/12)))))</f>
        <v/>
      </c>
      <c r="D181" s="394"/>
      <c r="E181" s="78" t="str">
        <f>IF(C181="","",IFERROR(VLOOKUP(C181,parametros!$A$11:$E$15,5,0),""))</f>
        <v/>
      </c>
      <c r="F181" s="79" t="str">
        <f t="shared" si="12"/>
        <v/>
      </c>
      <c r="G181" s="395"/>
      <c r="H181" s="91">
        <f t="shared" si="13"/>
        <v>0</v>
      </c>
      <c r="I181" s="91" t="str">
        <f t="shared" si="14"/>
        <v/>
      </c>
      <c r="J181" s="91" t="str">
        <f t="shared" si="15"/>
        <v/>
      </c>
      <c r="K181" s="92" t="str">
        <f>IF(AND(A181="",B181="",D181="",G181=""),"",IF(AND(A181&lt;&gt;"",COUNTIF($A$2:$A$5001,A181)&gt;1),"NUMERO_PC duplicado",IF(B181="","DATA_PC vazia",IF(NOT(ISNUMBER(B181)),"DATA_PC invalida",IF(OR(C181="",C181="Fora dos ciclos"),"CICLO_PC nao identificado",IF(OR(D181="",D181=0),"VALOR_PC vazio ou zero",IF(AND(G181&lt;&gt;"Sim",G181&lt;&gt;"Nao",G181&lt;&gt;""),"PC_PAGO_A_CONTRATADA invalido",IF(AND(C181&lt;&gt;"C0",IFERROR(INDEX(parametros!$A$2:$A$6,MATCH(C181,parametros!$B$2:$B$6,0)),"")="Sim",IFERROR(INDEX(parametros!$H$2:$H$6,MATCH(C181,parametros!$B$2:$B$6,0)),"")=""),"INICIO_EFEITO ausente: PC "&amp;A181&amp;" - "&amp;C181,IF(L181="","EFEITO_PC nao calculado: PC "&amp;A181&amp;" - "&amp;C181,"OK")))))))))</f>
        <v/>
      </c>
      <c r="L181" s="92" t="str">
        <f>IF(AND(A181="",B181="",D181="",G181=""),"",IF(OR(B181="",NOT(ISNUMBER(B181)),C181="",C181="Fora dos ciclos"),"",IF(C181="C0","Nao",IF(IFERROR(INDEX(parametros!$A$2:$A$6,MATCH(C181,parametros!$B$2:$B$6,0)),"")&lt;&gt;"Sim","Nao",IF(IFERROR(INDEX(parametros!$H$2:$H$6,MATCH(C181,parametros!$B$2:$B$6,0)),"")="","",IF(B181&gt;=IFERROR(INDEX(parametros!$H$2:$H$6,MATCH(C181,parametros!$B$2:$B$6,0)),""),"Sim","Nao"))))))</f>
        <v/>
      </c>
      <c r="M181" s="13"/>
      <c r="N181" s="13"/>
      <c r="O181" s="13"/>
      <c r="P181" s="13"/>
      <c r="Q181" s="13"/>
      <c r="R181" s="13"/>
      <c r="S181" s="13"/>
      <c r="T181" s="13"/>
      <c r="U181" s="214" t="str">
        <f t="shared" si="16"/>
        <v/>
      </c>
      <c r="V181" s="212" t="s">
        <v>50</v>
      </c>
      <c r="W181" s="100" t="s">
        <v>168</v>
      </c>
      <c r="X181" s="100" t="s">
        <v>169</v>
      </c>
      <c r="Y181" s="101" t="s">
        <v>170</v>
      </c>
      <c r="Z181" s="101" t="s">
        <v>171</v>
      </c>
      <c r="AA181" s="101" t="s">
        <v>50</v>
      </c>
      <c r="AB181" s="101" t="s">
        <v>172</v>
      </c>
      <c r="AC181" s="102" t="s">
        <v>173</v>
      </c>
    </row>
    <row r="182" spans="1:29" ht="25.5" customHeight="1" x14ac:dyDescent="0.35">
      <c r="A182" s="392"/>
      <c r="B182" s="393"/>
      <c r="C182" s="99" t="str">
        <f>IF(B182="","",IF(NOT(ISNUMBER(B182)),"DATA_PC invalida",IF(NOT(ISNUMBER(parametros!$C$2)),"Fora dos ciclos",IF(OR(B182&lt;parametros!$C$2,(YEAR(B182)-YEAR(parametros!$C$2))*12+MONTH(B182)-MONTH(parametros!$C$2)&gt;59),"Fora dos ciclos","C"&amp;INT(((YEAR(B182)-YEAR(parametros!$C$2))*12+MONTH(B182)-MONTH(parametros!$C$2))/12)))))</f>
        <v/>
      </c>
      <c r="D182" s="394"/>
      <c r="E182" s="78" t="str">
        <f>IF(C182="","",IFERROR(VLOOKUP(C182,parametros!$A$11:$E$15,5,0),""))</f>
        <v/>
      </c>
      <c r="F182" s="79" t="str">
        <f t="shared" si="12"/>
        <v/>
      </c>
      <c r="G182" s="395"/>
      <c r="H182" s="91">
        <f t="shared" si="13"/>
        <v>0</v>
      </c>
      <c r="I182" s="91" t="str">
        <f t="shared" si="14"/>
        <v/>
      </c>
      <c r="J182" s="91" t="str">
        <f t="shared" si="15"/>
        <v/>
      </c>
      <c r="K182" s="92" t="str">
        <f>IF(AND(A182="",B182="",D182="",G182=""),"",IF(AND(A182&lt;&gt;"",COUNTIF($A$2:$A$5001,A182)&gt;1),"NUMERO_PC duplicado",IF(B182="","DATA_PC vazia",IF(NOT(ISNUMBER(B182)),"DATA_PC invalida",IF(OR(C182="",C182="Fora dos ciclos"),"CICLO_PC nao identificado",IF(OR(D182="",D182=0),"VALOR_PC vazio ou zero",IF(AND(G182&lt;&gt;"Sim",G182&lt;&gt;"Nao",G182&lt;&gt;""),"PC_PAGO_A_CONTRATADA invalido",IF(AND(C182&lt;&gt;"C0",IFERROR(INDEX(parametros!$A$2:$A$6,MATCH(C182,parametros!$B$2:$B$6,0)),"")="Sim",IFERROR(INDEX(parametros!$H$2:$H$6,MATCH(C182,parametros!$B$2:$B$6,0)),"")=""),"INICIO_EFEITO ausente: PC "&amp;A182&amp;" - "&amp;C182,IF(L182="","EFEITO_PC nao calculado: PC "&amp;A182&amp;" - "&amp;C182,"OK")))))))))</f>
        <v/>
      </c>
      <c r="L182" s="92" t="str">
        <f>IF(AND(A182="",B182="",D182="",G182=""),"",IF(OR(B182="",NOT(ISNUMBER(B182)),C182="",C182="Fora dos ciclos"),"",IF(C182="C0","Nao",IF(IFERROR(INDEX(parametros!$A$2:$A$6,MATCH(C182,parametros!$B$2:$B$6,0)),"")&lt;&gt;"Sim","Nao",IF(IFERROR(INDEX(parametros!$H$2:$H$6,MATCH(C182,parametros!$B$2:$B$6,0)),"")="","",IF(B182&gt;=IFERROR(INDEX(parametros!$H$2:$H$6,MATCH(C182,parametros!$B$2:$B$6,0)),""),"Sim","Nao"))))))</f>
        <v/>
      </c>
      <c r="M182" s="13"/>
      <c r="N182" s="13"/>
      <c r="O182" s="13"/>
      <c r="P182" s="13"/>
      <c r="Q182" s="13"/>
      <c r="R182" s="13"/>
      <c r="S182" s="13"/>
      <c r="T182" s="13"/>
      <c r="U182" s="214" t="str">
        <f t="shared" si="16"/>
        <v/>
      </c>
      <c r="V182" s="212" t="s">
        <v>50</v>
      </c>
      <c r="W182" s="100" t="s">
        <v>168</v>
      </c>
      <c r="X182" s="100" t="s">
        <v>169</v>
      </c>
      <c r="Y182" s="101" t="s">
        <v>170</v>
      </c>
      <c r="Z182" s="101" t="s">
        <v>171</v>
      </c>
      <c r="AA182" s="101" t="s">
        <v>50</v>
      </c>
      <c r="AB182" s="101" t="s">
        <v>172</v>
      </c>
      <c r="AC182" s="102" t="s">
        <v>173</v>
      </c>
    </row>
    <row r="183" spans="1:29" ht="25.5" customHeight="1" x14ac:dyDescent="0.35">
      <c r="A183" s="392"/>
      <c r="B183" s="393"/>
      <c r="C183" s="99" t="str">
        <f>IF(B183="","",IF(NOT(ISNUMBER(B183)),"DATA_PC invalida",IF(NOT(ISNUMBER(parametros!$C$2)),"Fora dos ciclos",IF(OR(B183&lt;parametros!$C$2,(YEAR(B183)-YEAR(parametros!$C$2))*12+MONTH(B183)-MONTH(parametros!$C$2)&gt;59),"Fora dos ciclos","C"&amp;INT(((YEAR(B183)-YEAR(parametros!$C$2))*12+MONTH(B183)-MONTH(parametros!$C$2))/12)))))</f>
        <v/>
      </c>
      <c r="D183" s="394"/>
      <c r="E183" s="78" t="str">
        <f>IF(C183="","",IFERROR(VLOOKUP(C183,parametros!$A$11:$E$15,5,0),""))</f>
        <v/>
      </c>
      <c r="F183" s="79" t="str">
        <f t="shared" si="12"/>
        <v/>
      </c>
      <c r="G183" s="395"/>
      <c r="H183" s="91">
        <f t="shared" si="13"/>
        <v>0</v>
      </c>
      <c r="I183" s="91" t="str">
        <f t="shared" si="14"/>
        <v/>
      </c>
      <c r="J183" s="91" t="str">
        <f t="shared" si="15"/>
        <v/>
      </c>
      <c r="K183" s="92" t="str">
        <f>IF(AND(A183="",B183="",D183="",G183=""),"",IF(AND(A183&lt;&gt;"",COUNTIF($A$2:$A$5001,A183)&gt;1),"NUMERO_PC duplicado",IF(B183="","DATA_PC vazia",IF(NOT(ISNUMBER(B183)),"DATA_PC invalida",IF(OR(C183="",C183="Fora dos ciclos"),"CICLO_PC nao identificado",IF(OR(D183="",D183=0),"VALOR_PC vazio ou zero",IF(AND(G183&lt;&gt;"Sim",G183&lt;&gt;"Nao",G183&lt;&gt;""),"PC_PAGO_A_CONTRATADA invalido",IF(AND(C183&lt;&gt;"C0",IFERROR(INDEX(parametros!$A$2:$A$6,MATCH(C183,parametros!$B$2:$B$6,0)),"")="Sim",IFERROR(INDEX(parametros!$H$2:$H$6,MATCH(C183,parametros!$B$2:$B$6,0)),"")=""),"INICIO_EFEITO ausente: PC "&amp;A183&amp;" - "&amp;C183,IF(L183="","EFEITO_PC nao calculado: PC "&amp;A183&amp;" - "&amp;C183,"OK")))))))))</f>
        <v/>
      </c>
      <c r="L183" s="92" t="str">
        <f>IF(AND(A183="",B183="",D183="",G183=""),"",IF(OR(B183="",NOT(ISNUMBER(B183)),C183="",C183="Fora dos ciclos"),"",IF(C183="C0","Nao",IF(IFERROR(INDEX(parametros!$A$2:$A$6,MATCH(C183,parametros!$B$2:$B$6,0)),"")&lt;&gt;"Sim","Nao",IF(IFERROR(INDEX(parametros!$H$2:$H$6,MATCH(C183,parametros!$B$2:$B$6,0)),"")="","",IF(B183&gt;=IFERROR(INDEX(parametros!$H$2:$H$6,MATCH(C183,parametros!$B$2:$B$6,0)),""),"Sim","Nao"))))))</f>
        <v/>
      </c>
      <c r="M183" s="13"/>
      <c r="N183" s="13"/>
      <c r="O183" s="13"/>
      <c r="P183" s="13"/>
      <c r="Q183" s="13"/>
      <c r="R183" s="13"/>
      <c r="S183" s="13"/>
      <c r="T183" s="13"/>
      <c r="U183" s="214" t="str">
        <f t="shared" si="16"/>
        <v/>
      </c>
      <c r="V183" s="212" t="s">
        <v>50</v>
      </c>
      <c r="W183" s="100" t="s">
        <v>168</v>
      </c>
      <c r="X183" s="100" t="s">
        <v>169</v>
      </c>
      <c r="Y183" s="101" t="s">
        <v>170</v>
      </c>
      <c r="Z183" s="101" t="s">
        <v>171</v>
      </c>
      <c r="AA183" s="101" t="s">
        <v>50</v>
      </c>
      <c r="AB183" s="101" t="s">
        <v>172</v>
      </c>
      <c r="AC183" s="102" t="s">
        <v>173</v>
      </c>
    </row>
    <row r="184" spans="1:29" ht="25.5" customHeight="1" x14ac:dyDescent="0.35">
      <c r="A184" s="392"/>
      <c r="B184" s="393"/>
      <c r="C184" s="99" t="str">
        <f>IF(B184="","",IF(NOT(ISNUMBER(B184)),"DATA_PC invalida",IF(NOT(ISNUMBER(parametros!$C$2)),"Fora dos ciclos",IF(OR(B184&lt;parametros!$C$2,(YEAR(B184)-YEAR(parametros!$C$2))*12+MONTH(B184)-MONTH(parametros!$C$2)&gt;59),"Fora dos ciclos","C"&amp;INT(((YEAR(B184)-YEAR(parametros!$C$2))*12+MONTH(B184)-MONTH(parametros!$C$2))/12)))))</f>
        <v/>
      </c>
      <c r="D184" s="394"/>
      <c r="E184" s="78" t="str">
        <f>IF(C184="","",IFERROR(VLOOKUP(C184,parametros!$A$11:$E$15,5,0),""))</f>
        <v/>
      </c>
      <c r="F184" s="79" t="str">
        <f t="shared" si="12"/>
        <v/>
      </c>
      <c r="G184" s="395"/>
      <c r="H184" s="91">
        <f t="shared" si="13"/>
        <v>0</v>
      </c>
      <c r="I184" s="91" t="str">
        <f t="shared" si="14"/>
        <v/>
      </c>
      <c r="J184" s="91" t="str">
        <f t="shared" si="15"/>
        <v/>
      </c>
      <c r="K184" s="92" t="str">
        <f>IF(AND(A184="",B184="",D184="",G184=""),"",IF(AND(A184&lt;&gt;"",COUNTIF($A$2:$A$5001,A184)&gt;1),"NUMERO_PC duplicado",IF(B184="","DATA_PC vazia",IF(NOT(ISNUMBER(B184)),"DATA_PC invalida",IF(OR(C184="",C184="Fora dos ciclos"),"CICLO_PC nao identificado",IF(OR(D184="",D184=0),"VALOR_PC vazio ou zero",IF(AND(G184&lt;&gt;"Sim",G184&lt;&gt;"Nao",G184&lt;&gt;""),"PC_PAGO_A_CONTRATADA invalido",IF(AND(C184&lt;&gt;"C0",IFERROR(INDEX(parametros!$A$2:$A$6,MATCH(C184,parametros!$B$2:$B$6,0)),"")="Sim",IFERROR(INDEX(parametros!$H$2:$H$6,MATCH(C184,parametros!$B$2:$B$6,0)),"")=""),"INICIO_EFEITO ausente: PC "&amp;A184&amp;" - "&amp;C184,IF(L184="","EFEITO_PC nao calculado: PC "&amp;A184&amp;" - "&amp;C184,"OK")))))))))</f>
        <v/>
      </c>
      <c r="L184" s="92" t="str">
        <f>IF(AND(A184="",B184="",D184="",G184=""),"",IF(OR(B184="",NOT(ISNUMBER(B184)),C184="",C184="Fora dos ciclos"),"",IF(C184="C0","Nao",IF(IFERROR(INDEX(parametros!$A$2:$A$6,MATCH(C184,parametros!$B$2:$B$6,0)),"")&lt;&gt;"Sim","Nao",IF(IFERROR(INDEX(parametros!$H$2:$H$6,MATCH(C184,parametros!$B$2:$B$6,0)),"")="","",IF(B184&gt;=IFERROR(INDEX(parametros!$H$2:$H$6,MATCH(C184,parametros!$B$2:$B$6,0)),""),"Sim","Nao"))))))</f>
        <v/>
      </c>
      <c r="M184" s="13"/>
      <c r="N184" s="13"/>
      <c r="O184" s="13"/>
      <c r="P184" s="13"/>
      <c r="Q184" s="13"/>
      <c r="R184" s="13"/>
      <c r="S184" s="13"/>
      <c r="T184" s="13"/>
      <c r="U184" s="214" t="str">
        <f t="shared" si="16"/>
        <v/>
      </c>
      <c r="V184" s="212" t="s">
        <v>50</v>
      </c>
      <c r="W184" s="100" t="s">
        <v>168</v>
      </c>
      <c r="X184" s="100" t="s">
        <v>169</v>
      </c>
      <c r="Y184" s="101" t="s">
        <v>170</v>
      </c>
      <c r="Z184" s="101" t="s">
        <v>171</v>
      </c>
      <c r="AA184" s="101" t="s">
        <v>50</v>
      </c>
      <c r="AB184" s="101" t="s">
        <v>172</v>
      </c>
      <c r="AC184" s="102" t="s">
        <v>173</v>
      </c>
    </row>
    <row r="185" spans="1:29" ht="25.5" customHeight="1" x14ac:dyDescent="0.35">
      <c r="A185" s="392"/>
      <c r="B185" s="393"/>
      <c r="C185" s="99" t="str">
        <f>IF(B185="","",IF(NOT(ISNUMBER(B185)),"DATA_PC invalida",IF(NOT(ISNUMBER(parametros!$C$2)),"Fora dos ciclos",IF(OR(B185&lt;parametros!$C$2,(YEAR(B185)-YEAR(parametros!$C$2))*12+MONTH(B185)-MONTH(parametros!$C$2)&gt;59),"Fora dos ciclos","C"&amp;INT(((YEAR(B185)-YEAR(parametros!$C$2))*12+MONTH(B185)-MONTH(parametros!$C$2))/12)))))</f>
        <v/>
      </c>
      <c r="D185" s="394"/>
      <c r="E185" s="78" t="str">
        <f>IF(C185="","",IFERROR(VLOOKUP(C185,parametros!$A$11:$E$15,5,0),""))</f>
        <v/>
      </c>
      <c r="F185" s="79" t="str">
        <f t="shared" si="12"/>
        <v/>
      </c>
      <c r="G185" s="395"/>
      <c r="H185" s="91">
        <f t="shared" si="13"/>
        <v>0</v>
      </c>
      <c r="I185" s="91" t="str">
        <f t="shared" si="14"/>
        <v/>
      </c>
      <c r="J185" s="91" t="str">
        <f t="shared" si="15"/>
        <v/>
      </c>
      <c r="K185" s="92" t="str">
        <f>IF(AND(A185="",B185="",D185="",G185=""),"",IF(AND(A185&lt;&gt;"",COUNTIF($A$2:$A$5001,A185)&gt;1),"NUMERO_PC duplicado",IF(B185="","DATA_PC vazia",IF(NOT(ISNUMBER(B185)),"DATA_PC invalida",IF(OR(C185="",C185="Fora dos ciclos"),"CICLO_PC nao identificado",IF(OR(D185="",D185=0),"VALOR_PC vazio ou zero",IF(AND(G185&lt;&gt;"Sim",G185&lt;&gt;"Nao",G185&lt;&gt;""),"PC_PAGO_A_CONTRATADA invalido",IF(AND(C185&lt;&gt;"C0",IFERROR(INDEX(parametros!$A$2:$A$6,MATCH(C185,parametros!$B$2:$B$6,0)),"")="Sim",IFERROR(INDEX(parametros!$H$2:$H$6,MATCH(C185,parametros!$B$2:$B$6,0)),"")=""),"INICIO_EFEITO ausente: PC "&amp;A185&amp;" - "&amp;C185,IF(L185="","EFEITO_PC nao calculado: PC "&amp;A185&amp;" - "&amp;C185,"OK")))))))))</f>
        <v/>
      </c>
      <c r="L185" s="92" t="str">
        <f>IF(AND(A185="",B185="",D185="",G185=""),"",IF(OR(B185="",NOT(ISNUMBER(B185)),C185="",C185="Fora dos ciclos"),"",IF(C185="C0","Nao",IF(IFERROR(INDEX(parametros!$A$2:$A$6,MATCH(C185,parametros!$B$2:$B$6,0)),"")&lt;&gt;"Sim","Nao",IF(IFERROR(INDEX(parametros!$H$2:$H$6,MATCH(C185,parametros!$B$2:$B$6,0)),"")="","",IF(B185&gt;=IFERROR(INDEX(parametros!$H$2:$H$6,MATCH(C185,parametros!$B$2:$B$6,0)),""),"Sim","Nao"))))))</f>
        <v/>
      </c>
      <c r="M185" s="13"/>
      <c r="N185" s="13"/>
      <c r="O185" s="13"/>
      <c r="P185" s="13"/>
      <c r="Q185" s="13"/>
      <c r="R185" s="13"/>
      <c r="S185" s="13"/>
      <c r="T185" s="13"/>
      <c r="U185" s="214" t="str">
        <f t="shared" si="16"/>
        <v/>
      </c>
      <c r="V185" s="212" t="s">
        <v>50</v>
      </c>
      <c r="W185" s="100" t="s">
        <v>168</v>
      </c>
      <c r="X185" s="100" t="s">
        <v>169</v>
      </c>
      <c r="Y185" s="101" t="s">
        <v>170</v>
      </c>
      <c r="Z185" s="101" t="s">
        <v>171</v>
      </c>
      <c r="AA185" s="101" t="s">
        <v>50</v>
      </c>
      <c r="AB185" s="101" t="s">
        <v>172</v>
      </c>
      <c r="AC185" s="102" t="s">
        <v>173</v>
      </c>
    </row>
    <row r="186" spans="1:29" ht="25.5" customHeight="1" x14ac:dyDescent="0.35">
      <c r="A186" s="392"/>
      <c r="B186" s="393"/>
      <c r="C186" s="99" t="str">
        <f>IF(B186="","",IF(NOT(ISNUMBER(B186)),"DATA_PC invalida",IF(NOT(ISNUMBER(parametros!$C$2)),"Fora dos ciclos",IF(OR(B186&lt;parametros!$C$2,(YEAR(B186)-YEAR(parametros!$C$2))*12+MONTH(B186)-MONTH(parametros!$C$2)&gt;59),"Fora dos ciclos","C"&amp;INT(((YEAR(B186)-YEAR(parametros!$C$2))*12+MONTH(B186)-MONTH(parametros!$C$2))/12)))))</f>
        <v/>
      </c>
      <c r="D186" s="394"/>
      <c r="E186" s="78" t="str">
        <f>IF(C186="","",IFERROR(VLOOKUP(C186,parametros!$A$11:$E$15,5,0),""))</f>
        <v/>
      </c>
      <c r="F186" s="79" t="str">
        <f t="shared" si="12"/>
        <v/>
      </c>
      <c r="G186" s="395"/>
      <c r="H186" s="91">
        <f t="shared" si="13"/>
        <v>0</v>
      </c>
      <c r="I186" s="91" t="str">
        <f t="shared" si="14"/>
        <v/>
      </c>
      <c r="J186" s="91" t="str">
        <f t="shared" si="15"/>
        <v/>
      </c>
      <c r="K186" s="92" t="str">
        <f>IF(AND(A186="",B186="",D186="",G186=""),"",IF(AND(A186&lt;&gt;"",COUNTIF($A$2:$A$5001,A186)&gt;1),"NUMERO_PC duplicado",IF(B186="","DATA_PC vazia",IF(NOT(ISNUMBER(B186)),"DATA_PC invalida",IF(OR(C186="",C186="Fora dos ciclos"),"CICLO_PC nao identificado",IF(OR(D186="",D186=0),"VALOR_PC vazio ou zero",IF(AND(G186&lt;&gt;"Sim",G186&lt;&gt;"Nao",G186&lt;&gt;""),"PC_PAGO_A_CONTRATADA invalido",IF(AND(C186&lt;&gt;"C0",IFERROR(INDEX(parametros!$A$2:$A$6,MATCH(C186,parametros!$B$2:$B$6,0)),"")="Sim",IFERROR(INDEX(parametros!$H$2:$H$6,MATCH(C186,parametros!$B$2:$B$6,0)),"")=""),"INICIO_EFEITO ausente: PC "&amp;A186&amp;" - "&amp;C186,IF(L186="","EFEITO_PC nao calculado: PC "&amp;A186&amp;" - "&amp;C186,"OK")))))))))</f>
        <v/>
      </c>
      <c r="L186" s="92" t="str">
        <f>IF(AND(A186="",B186="",D186="",G186=""),"",IF(OR(B186="",NOT(ISNUMBER(B186)),C186="",C186="Fora dos ciclos"),"",IF(C186="C0","Nao",IF(IFERROR(INDEX(parametros!$A$2:$A$6,MATCH(C186,parametros!$B$2:$B$6,0)),"")&lt;&gt;"Sim","Nao",IF(IFERROR(INDEX(parametros!$H$2:$H$6,MATCH(C186,parametros!$B$2:$B$6,0)),"")="","",IF(B186&gt;=IFERROR(INDEX(parametros!$H$2:$H$6,MATCH(C186,parametros!$B$2:$B$6,0)),""),"Sim","Nao"))))))</f>
        <v/>
      </c>
      <c r="M186" s="13"/>
      <c r="N186" s="13"/>
      <c r="O186" s="13"/>
      <c r="P186" s="13"/>
      <c r="Q186" s="13"/>
      <c r="R186" s="13"/>
      <c r="S186" s="13"/>
      <c r="T186" s="13"/>
      <c r="U186" s="214" t="str">
        <f t="shared" si="16"/>
        <v/>
      </c>
      <c r="V186" s="212" t="s">
        <v>50</v>
      </c>
      <c r="W186" s="100" t="s">
        <v>168</v>
      </c>
      <c r="X186" s="100" t="s">
        <v>169</v>
      </c>
      <c r="Y186" s="101" t="s">
        <v>170</v>
      </c>
      <c r="Z186" s="101" t="s">
        <v>171</v>
      </c>
      <c r="AA186" s="101" t="s">
        <v>50</v>
      </c>
      <c r="AB186" s="101" t="s">
        <v>172</v>
      </c>
      <c r="AC186" s="102" t="s">
        <v>173</v>
      </c>
    </row>
    <row r="187" spans="1:29" ht="25.5" customHeight="1" x14ac:dyDescent="0.35">
      <c r="A187" s="392"/>
      <c r="B187" s="393"/>
      <c r="C187" s="99" t="str">
        <f>IF(B187="","",IF(NOT(ISNUMBER(B187)),"DATA_PC invalida",IF(NOT(ISNUMBER(parametros!$C$2)),"Fora dos ciclos",IF(OR(B187&lt;parametros!$C$2,(YEAR(B187)-YEAR(parametros!$C$2))*12+MONTH(B187)-MONTH(parametros!$C$2)&gt;59),"Fora dos ciclos","C"&amp;INT(((YEAR(B187)-YEAR(parametros!$C$2))*12+MONTH(B187)-MONTH(parametros!$C$2))/12)))))</f>
        <v/>
      </c>
      <c r="D187" s="394"/>
      <c r="E187" s="78" t="str">
        <f>IF(C187="","",IFERROR(VLOOKUP(C187,parametros!$A$11:$E$15,5,0),""))</f>
        <v/>
      </c>
      <c r="F187" s="79" t="str">
        <f t="shared" si="12"/>
        <v/>
      </c>
      <c r="G187" s="395"/>
      <c r="H187" s="91">
        <f t="shared" si="13"/>
        <v>0</v>
      </c>
      <c r="I187" s="91" t="str">
        <f t="shared" si="14"/>
        <v/>
      </c>
      <c r="J187" s="91" t="str">
        <f t="shared" si="15"/>
        <v/>
      </c>
      <c r="K187" s="92" t="str">
        <f>IF(AND(A187="",B187="",D187="",G187=""),"",IF(AND(A187&lt;&gt;"",COUNTIF($A$2:$A$5001,A187)&gt;1),"NUMERO_PC duplicado",IF(B187="","DATA_PC vazia",IF(NOT(ISNUMBER(B187)),"DATA_PC invalida",IF(OR(C187="",C187="Fora dos ciclos"),"CICLO_PC nao identificado",IF(OR(D187="",D187=0),"VALOR_PC vazio ou zero",IF(AND(G187&lt;&gt;"Sim",G187&lt;&gt;"Nao",G187&lt;&gt;""),"PC_PAGO_A_CONTRATADA invalido",IF(AND(C187&lt;&gt;"C0",IFERROR(INDEX(parametros!$A$2:$A$6,MATCH(C187,parametros!$B$2:$B$6,0)),"")="Sim",IFERROR(INDEX(parametros!$H$2:$H$6,MATCH(C187,parametros!$B$2:$B$6,0)),"")=""),"INICIO_EFEITO ausente: PC "&amp;A187&amp;" - "&amp;C187,IF(L187="","EFEITO_PC nao calculado: PC "&amp;A187&amp;" - "&amp;C187,"OK")))))))))</f>
        <v/>
      </c>
      <c r="L187" s="92" t="str">
        <f>IF(AND(A187="",B187="",D187="",G187=""),"",IF(OR(B187="",NOT(ISNUMBER(B187)),C187="",C187="Fora dos ciclos"),"",IF(C187="C0","Nao",IF(IFERROR(INDEX(parametros!$A$2:$A$6,MATCH(C187,parametros!$B$2:$B$6,0)),"")&lt;&gt;"Sim","Nao",IF(IFERROR(INDEX(parametros!$H$2:$H$6,MATCH(C187,parametros!$B$2:$B$6,0)),"")="","",IF(B187&gt;=IFERROR(INDEX(parametros!$H$2:$H$6,MATCH(C187,parametros!$B$2:$B$6,0)),""),"Sim","Nao"))))))</f>
        <v/>
      </c>
      <c r="M187" s="13"/>
      <c r="N187" s="13"/>
      <c r="O187" s="13"/>
      <c r="P187" s="13"/>
      <c r="Q187" s="13"/>
      <c r="R187" s="13"/>
      <c r="S187" s="13"/>
      <c r="T187" s="13"/>
      <c r="U187" s="214" t="str">
        <f t="shared" si="16"/>
        <v/>
      </c>
      <c r="V187" s="212" t="s">
        <v>50</v>
      </c>
      <c r="W187" s="100" t="s">
        <v>168</v>
      </c>
      <c r="X187" s="100" t="s">
        <v>169</v>
      </c>
      <c r="Y187" s="101" t="s">
        <v>170</v>
      </c>
      <c r="Z187" s="101" t="s">
        <v>171</v>
      </c>
      <c r="AA187" s="101" t="s">
        <v>50</v>
      </c>
      <c r="AB187" s="101" t="s">
        <v>172</v>
      </c>
      <c r="AC187" s="102" t="s">
        <v>173</v>
      </c>
    </row>
    <row r="188" spans="1:29" ht="25.5" customHeight="1" x14ac:dyDescent="0.35">
      <c r="A188" s="392"/>
      <c r="B188" s="393"/>
      <c r="C188" s="99" t="str">
        <f>IF(B188="","",IF(NOT(ISNUMBER(B188)),"DATA_PC invalida",IF(NOT(ISNUMBER(parametros!$C$2)),"Fora dos ciclos",IF(OR(B188&lt;parametros!$C$2,(YEAR(B188)-YEAR(parametros!$C$2))*12+MONTH(B188)-MONTH(parametros!$C$2)&gt;59),"Fora dos ciclos","C"&amp;INT(((YEAR(B188)-YEAR(parametros!$C$2))*12+MONTH(B188)-MONTH(parametros!$C$2))/12)))))</f>
        <v/>
      </c>
      <c r="D188" s="394"/>
      <c r="E188" s="78" t="str">
        <f>IF(C188="","",IFERROR(VLOOKUP(C188,parametros!$A$11:$E$15,5,0),""))</f>
        <v/>
      </c>
      <c r="F188" s="79" t="str">
        <f t="shared" si="12"/>
        <v/>
      </c>
      <c r="G188" s="395"/>
      <c r="H188" s="91">
        <f t="shared" si="13"/>
        <v>0</v>
      </c>
      <c r="I188" s="91" t="str">
        <f t="shared" si="14"/>
        <v/>
      </c>
      <c r="J188" s="91" t="str">
        <f t="shared" si="15"/>
        <v/>
      </c>
      <c r="K188" s="92" t="str">
        <f>IF(AND(A188="",B188="",D188="",G188=""),"",IF(AND(A188&lt;&gt;"",COUNTIF($A$2:$A$5001,A188)&gt;1),"NUMERO_PC duplicado",IF(B188="","DATA_PC vazia",IF(NOT(ISNUMBER(B188)),"DATA_PC invalida",IF(OR(C188="",C188="Fora dos ciclos"),"CICLO_PC nao identificado",IF(OR(D188="",D188=0),"VALOR_PC vazio ou zero",IF(AND(G188&lt;&gt;"Sim",G188&lt;&gt;"Nao",G188&lt;&gt;""),"PC_PAGO_A_CONTRATADA invalido",IF(AND(C188&lt;&gt;"C0",IFERROR(INDEX(parametros!$A$2:$A$6,MATCH(C188,parametros!$B$2:$B$6,0)),"")="Sim",IFERROR(INDEX(parametros!$H$2:$H$6,MATCH(C188,parametros!$B$2:$B$6,0)),"")=""),"INICIO_EFEITO ausente: PC "&amp;A188&amp;" - "&amp;C188,IF(L188="","EFEITO_PC nao calculado: PC "&amp;A188&amp;" - "&amp;C188,"OK")))))))))</f>
        <v/>
      </c>
      <c r="L188" s="92" t="str">
        <f>IF(AND(A188="",B188="",D188="",G188=""),"",IF(OR(B188="",NOT(ISNUMBER(B188)),C188="",C188="Fora dos ciclos"),"",IF(C188="C0","Nao",IF(IFERROR(INDEX(parametros!$A$2:$A$6,MATCH(C188,parametros!$B$2:$B$6,0)),"")&lt;&gt;"Sim","Nao",IF(IFERROR(INDEX(parametros!$H$2:$H$6,MATCH(C188,parametros!$B$2:$B$6,0)),"")="","",IF(B188&gt;=IFERROR(INDEX(parametros!$H$2:$H$6,MATCH(C188,parametros!$B$2:$B$6,0)),""),"Sim","Nao"))))))</f>
        <v/>
      </c>
      <c r="M188" s="13"/>
      <c r="N188" s="13"/>
      <c r="O188" s="13"/>
      <c r="P188" s="13"/>
      <c r="Q188" s="13"/>
      <c r="R188" s="13"/>
      <c r="S188" s="13"/>
      <c r="T188" s="13"/>
      <c r="U188" s="214" t="str">
        <f t="shared" si="16"/>
        <v/>
      </c>
      <c r="V188" s="212" t="s">
        <v>50</v>
      </c>
      <c r="W188" s="100" t="s">
        <v>168</v>
      </c>
      <c r="X188" s="100" t="s">
        <v>169</v>
      </c>
      <c r="Y188" s="101" t="s">
        <v>170</v>
      </c>
      <c r="Z188" s="101" t="s">
        <v>171</v>
      </c>
      <c r="AA188" s="101" t="s">
        <v>50</v>
      </c>
      <c r="AB188" s="101" t="s">
        <v>172</v>
      </c>
      <c r="AC188" s="102" t="s">
        <v>173</v>
      </c>
    </row>
    <row r="189" spans="1:29" ht="25.5" customHeight="1" x14ac:dyDescent="0.35">
      <c r="A189" s="392"/>
      <c r="B189" s="393"/>
      <c r="C189" s="99" t="str">
        <f>IF(B189="","",IF(NOT(ISNUMBER(B189)),"DATA_PC invalida",IF(NOT(ISNUMBER(parametros!$C$2)),"Fora dos ciclos",IF(OR(B189&lt;parametros!$C$2,(YEAR(B189)-YEAR(parametros!$C$2))*12+MONTH(B189)-MONTH(parametros!$C$2)&gt;59),"Fora dos ciclos","C"&amp;INT(((YEAR(B189)-YEAR(parametros!$C$2))*12+MONTH(B189)-MONTH(parametros!$C$2))/12)))))</f>
        <v/>
      </c>
      <c r="D189" s="394"/>
      <c r="E189" s="78" t="str">
        <f>IF(C189="","",IFERROR(VLOOKUP(C189,parametros!$A$11:$E$15,5,0),""))</f>
        <v/>
      </c>
      <c r="F189" s="79" t="str">
        <f t="shared" si="12"/>
        <v/>
      </c>
      <c r="G189" s="395"/>
      <c r="H189" s="91">
        <f t="shared" si="13"/>
        <v>0</v>
      </c>
      <c r="I189" s="91" t="str">
        <f t="shared" si="14"/>
        <v/>
      </c>
      <c r="J189" s="91" t="str">
        <f t="shared" si="15"/>
        <v/>
      </c>
      <c r="K189" s="92" t="str">
        <f>IF(AND(A189="",B189="",D189="",G189=""),"",IF(AND(A189&lt;&gt;"",COUNTIF($A$2:$A$5001,A189)&gt;1),"NUMERO_PC duplicado",IF(B189="","DATA_PC vazia",IF(NOT(ISNUMBER(B189)),"DATA_PC invalida",IF(OR(C189="",C189="Fora dos ciclos"),"CICLO_PC nao identificado",IF(OR(D189="",D189=0),"VALOR_PC vazio ou zero",IF(AND(G189&lt;&gt;"Sim",G189&lt;&gt;"Nao",G189&lt;&gt;""),"PC_PAGO_A_CONTRATADA invalido",IF(AND(C189&lt;&gt;"C0",IFERROR(INDEX(parametros!$A$2:$A$6,MATCH(C189,parametros!$B$2:$B$6,0)),"")="Sim",IFERROR(INDEX(parametros!$H$2:$H$6,MATCH(C189,parametros!$B$2:$B$6,0)),"")=""),"INICIO_EFEITO ausente: PC "&amp;A189&amp;" - "&amp;C189,IF(L189="","EFEITO_PC nao calculado: PC "&amp;A189&amp;" - "&amp;C189,"OK")))))))))</f>
        <v/>
      </c>
      <c r="L189" s="92" t="str">
        <f>IF(AND(A189="",B189="",D189="",G189=""),"",IF(OR(B189="",NOT(ISNUMBER(B189)),C189="",C189="Fora dos ciclos"),"",IF(C189="C0","Nao",IF(IFERROR(INDEX(parametros!$A$2:$A$6,MATCH(C189,parametros!$B$2:$B$6,0)),"")&lt;&gt;"Sim","Nao",IF(IFERROR(INDEX(parametros!$H$2:$H$6,MATCH(C189,parametros!$B$2:$B$6,0)),"")="","",IF(B189&gt;=IFERROR(INDEX(parametros!$H$2:$H$6,MATCH(C189,parametros!$B$2:$B$6,0)),""),"Sim","Nao"))))))</f>
        <v/>
      </c>
      <c r="M189" s="13"/>
      <c r="N189" s="13"/>
      <c r="O189" s="13"/>
      <c r="P189" s="13"/>
      <c r="Q189" s="13"/>
      <c r="R189" s="13"/>
      <c r="S189" s="13"/>
      <c r="T189" s="13"/>
      <c r="U189" s="214" t="str">
        <f t="shared" si="16"/>
        <v/>
      </c>
      <c r="V189" s="212" t="s">
        <v>50</v>
      </c>
      <c r="W189" s="100" t="s">
        <v>168</v>
      </c>
      <c r="X189" s="100" t="s">
        <v>169</v>
      </c>
      <c r="Y189" s="101" t="s">
        <v>170</v>
      </c>
      <c r="Z189" s="101" t="s">
        <v>171</v>
      </c>
      <c r="AA189" s="101" t="s">
        <v>50</v>
      </c>
      <c r="AB189" s="101" t="s">
        <v>172</v>
      </c>
      <c r="AC189" s="102" t="s">
        <v>173</v>
      </c>
    </row>
    <row r="190" spans="1:29" ht="25.5" customHeight="1" x14ac:dyDescent="0.35">
      <c r="A190" s="392"/>
      <c r="B190" s="393"/>
      <c r="C190" s="99" t="str">
        <f>IF(B190="","",IF(NOT(ISNUMBER(B190)),"DATA_PC invalida",IF(NOT(ISNUMBER(parametros!$C$2)),"Fora dos ciclos",IF(OR(B190&lt;parametros!$C$2,(YEAR(B190)-YEAR(parametros!$C$2))*12+MONTH(B190)-MONTH(parametros!$C$2)&gt;59),"Fora dos ciclos","C"&amp;INT(((YEAR(B190)-YEAR(parametros!$C$2))*12+MONTH(B190)-MONTH(parametros!$C$2))/12)))))</f>
        <v/>
      </c>
      <c r="D190" s="394"/>
      <c r="E190" s="78" t="str">
        <f>IF(C190="","",IFERROR(VLOOKUP(C190,parametros!$A$11:$E$15,5,0),""))</f>
        <v/>
      </c>
      <c r="F190" s="79" t="str">
        <f t="shared" si="12"/>
        <v/>
      </c>
      <c r="G190" s="395"/>
      <c r="H190" s="91">
        <f t="shared" si="13"/>
        <v>0</v>
      </c>
      <c r="I190" s="91" t="str">
        <f t="shared" si="14"/>
        <v/>
      </c>
      <c r="J190" s="91" t="str">
        <f t="shared" si="15"/>
        <v/>
      </c>
      <c r="K190" s="92" t="str">
        <f>IF(AND(A190="",B190="",D190="",G190=""),"",IF(AND(A190&lt;&gt;"",COUNTIF($A$2:$A$5001,A190)&gt;1),"NUMERO_PC duplicado",IF(B190="","DATA_PC vazia",IF(NOT(ISNUMBER(B190)),"DATA_PC invalida",IF(OR(C190="",C190="Fora dos ciclos"),"CICLO_PC nao identificado",IF(OR(D190="",D190=0),"VALOR_PC vazio ou zero",IF(AND(G190&lt;&gt;"Sim",G190&lt;&gt;"Nao",G190&lt;&gt;""),"PC_PAGO_A_CONTRATADA invalido",IF(AND(C190&lt;&gt;"C0",IFERROR(INDEX(parametros!$A$2:$A$6,MATCH(C190,parametros!$B$2:$B$6,0)),"")="Sim",IFERROR(INDEX(parametros!$H$2:$H$6,MATCH(C190,parametros!$B$2:$B$6,0)),"")=""),"INICIO_EFEITO ausente: PC "&amp;A190&amp;" - "&amp;C190,IF(L190="","EFEITO_PC nao calculado: PC "&amp;A190&amp;" - "&amp;C190,"OK")))))))))</f>
        <v/>
      </c>
      <c r="L190" s="92" t="str">
        <f>IF(AND(A190="",B190="",D190="",G190=""),"",IF(OR(B190="",NOT(ISNUMBER(B190)),C190="",C190="Fora dos ciclos"),"",IF(C190="C0","Nao",IF(IFERROR(INDEX(parametros!$A$2:$A$6,MATCH(C190,parametros!$B$2:$B$6,0)),"")&lt;&gt;"Sim","Nao",IF(IFERROR(INDEX(parametros!$H$2:$H$6,MATCH(C190,parametros!$B$2:$B$6,0)),"")="","",IF(B190&gt;=IFERROR(INDEX(parametros!$H$2:$H$6,MATCH(C190,parametros!$B$2:$B$6,0)),""),"Sim","Nao"))))))</f>
        <v/>
      </c>
      <c r="M190" s="13"/>
      <c r="N190" s="13"/>
      <c r="O190" s="13"/>
      <c r="P190" s="13"/>
      <c r="Q190" s="13"/>
      <c r="R190" s="13"/>
      <c r="S190" s="13"/>
      <c r="T190" s="13"/>
      <c r="U190" s="214" t="str">
        <f t="shared" si="16"/>
        <v/>
      </c>
      <c r="V190" s="212" t="s">
        <v>50</v>
      </c>
      <c r="W190" s="100" t="s">
        <v>168</v>
      </c>
      <c r="X190" s="100" t="s">
        <v>169</v>
      </c>
      <c r="Y190" s="101" t="s">
        <v>170</v>
      </c>
      <c r="Z190" s="101" t="s">
        <v>171</v>
      </c>
      <c r="AA190" s="101" t="s">
        <v>50</v>
      </c>
      <c r="AB190" s="101" t="s">
        <v>172</v>
      </c>
      <c r="AC190" s="102" t="s">
        <v>173</v>
      </c>
    </row>
    <row r="191" spans="1:29" ht="25.5" customHeight="1" x14ac:dyDescent="0.35">
      <c r="A191" s="392"/>
      <c r="B191" s="393"/>
      <c r="C191" s="99" t="str">
        <f>IF(B191="","",IF(NOT(ISNUMBER(B191)),"DATA_PC invalida",IF(NOT(ISNUMBER(parametros!$C$2)),"Fora dos ciclos",IF(OR(B191&lt;parametros!$C$2,(YEAR(B191)-YEAR(parametros!$C$2))*12+MONTH(B191)-MONTH(parametros!$C$2)&gt;59),"Fora dos ciclos","C"&amp;INT(((YEAR(B191)-YEAR(parametros!$C$2))*12+MONTH(B191)-MONTH(parametros!$C$2))/12)))))</f>
        <v/>
      </c>
      <c r="D191" s="394"/>
      <c r="E191" s="78" t="str">
        <f>IF(C191="","",IFERROR(VLOOKUP(C191,parametros!$A$11:$E$15,5,0),""))</f>
        <v/>
      </c>
      <c r="F191" s="79" t="str">
        <f t="shared" si="12"/>
        <v/>
      </c>
      <c r="G191" s="395"/>
      <c r="H191" s="91">
        <f t="shared" si="13"/>
        <v>0</v>
      </c>
      <c r="I191" s="91" t="str">
        <f t="shared" si="14"/>
        <v/>
      </c>
      <c r="J191" s="91" t="str">
        <f t="shared" si="15"/>
        <v/>
      </c>
      <c r="K191" s="92" t="str">
        <f>IF(AND(A191="",B191="",D191="",G191=""),"",IF(AND(A191&lt;&gt;"",COUNTIF($A$2:$A$5001,A191)&gt;1),"NUMERO_PC duplicado",IF(B191="","DATA_PC vazia",IF(NOT(ISNUMBER(B191)),"DATA_PC invalida",IF(OR(C191="",C191="Fora dos ciclos"),"CICLO_PC nao identificado",IF(OR(D191="",D191=0),"VALOR_PC vazio ou zero",IF(AND(G191&lt;&gt;"Sim",G191&lt;&gt;"Nao",G191&lt;&gt;""),"PC_PAGO_A_CONTRATADA invalido",IF(AND(C191&lt;&gt;"C0",IFERROR(INDEX(parametros!$A$2:$A$6,MATCH(C191,parametros!$B$2:$B$6,0)),"")="Sim",IFERROR(INDEX(parametros!$H$2:$H$6,MATCH(C191,parametros!$B$2:$B$6,0)),"")=""),"INICIO_EFEITO ausente: PC "&amp;A191&amp;" - "&amp;C191,IF(L191="","EFEITO_PC nao calculado: PC "&amp;A191&amp;" - "&amp;C191,"OK")))))))))</f>
        <v/>
      </c>
      <c r="L191" s="92" t="str">
        <f>IF(AND(A191="",B191="",D191="",G191=""),"",IF(OR(B191="",NOT(ISNUMBER(B191)),C191="",C191="Fora dos ciclos"),"",IF(C191="C0","Nao",IF(IFERROR(INDEX(parametros!$A$2:$A$6,MATCH(C191,parametros!$B$2:$B$6,0)),"")&lt;&gt;"Sim","Nao",IF(IFERROR(INDEX(parametros!$H$2:$H$6,MATCH(C191,parametros!$B$2:$B$6,0)),"")="","",IF(B191&gt;=IFERROR(INDEX(parametros!$H$2:$H$6,MATCH(C191,parametros!$B$2:$B$6,0)),""),"Sim","Nao"))))))</f>
        <v/>
      </c>
      <c r="M191" s="13"/>
      <c r="N191" s="13"/>
      <c r="O191" s="13"/>
      <c r="P191" s="13"/>
      <c r="Q191" s="13"/>
      <c r="R191" s="13"/>
      <c r="S191" s="13"/>
      <c r="T191" s="13"/>
      <c r="U191" s="214" t="str">
        <f t="shared" si="16"/>
        <v/>
      </c>
      <c r="V191" s="212" t="s">
        <v>50</v>
      </c>
      <c r="W191" s="100" t="s">
        <v>168</v>
      </c>
      <c r="X191" s="100" t="s">
        <v>169</v>
      </c>
      <c r="Y191" s="101" t="s">
        <v>170</v>
      </c>
      <c r="Z191" s="101" t="s">
        <v>171</v>
      </c>
      <c r="AA191" s="101" t="s">
        <v>50</v>
      </c>
      <c r="AB191" s="101" t="s">
        <v>172</v>
      </c>
      <c r="AC191" s="102" t="s">
        <v>173</v>
      </c>
    </row>
    <row r="192" spans="1:29" ht="25.5" customHeight="1" x14ac:dyDescent="0.35">
      <c r="A192" s="392"/>
      <c r="B192" s="393"/>
      <c r="C192" s="99" t="str">
        <f>IF(B192="","",IF(NOT(ISNUMBER(B192)),"DATA_PC invalida",IF(NOT(ISNUMBER(parametros!$C$2)),"Fora dos ciclos",IF(OR(B192&lt;parametros!$C$2,(YEAR(B192)-YEAR(parametros!$C$2))*12+MONTH(B192)-MONTH(parametros!$C$2)&gt;59),"Fora dos ciclos","C"&amp;INT(((YEAR(B192)-YEAR(parametros!$C$2))*12+MONTH(B192)-MONTH(parametros!$C$2))/12)))))</f>
        <v/>
      </c>
      <c r="D192" s="394"/>
      <c r="E192" s="78" t="str">
        <f>IF(C192="","",IFERROR(VLOOKUP(C192,parametros!$A$11:$E$15,5,0),""))</f>
        <v/>
      </c>
      <c r="F192" s="79" t="str">
        <f t="shared" si="12"/>
        <v/>
      </c>
      <c r="G192" s="395"/>
      <c r="H192" s="91">
        <f t="shared" si="13"/>
        <v>0</v>
      </c>
      <c r="I192" s="91" t="str">
        <f t="shared" si="14"/>
        <v/>
      </c>
      <c r="J192" s="91" t="str">
        <f t="shared" si="15"/>
        <v/>
      </c>
      <c r="K192" s="92" t="str">
        <f>IF(AND(A192="",B192="",D192="",G192=""),"",IF(AND(A192&lt;&gt;"",COUNTIF($A$2:$A$5001,A192)&gt;1),"NUMERO_PC duplicado",IF(B192="","DATA_PC vazia",IF(NOT(ISNUMBER(B192)),"DATA_PC invalida",IF(OR(C192="",C192="Fora dos ciclos"),"CICLO_PC nao identificado",IF(OR(D192="",D192=0),"VALOR_PC vazio ou zero",IF(AND(G192&lt;&gt;"Sim",G192&lt;&gt;"Nao",G192&lt;&gt;""),"PC_PAGO_A_CONTRATADA invalido",IF(AND(C192&lt;&gt;"C0",IFERROR(INDEX(parametros!$A$2:$A$6,MATCH(C192,parametros!$B$2:$B$6,0)),"")="Sim",IFERROR(INDEX(parametros!$H$2:$H$6,MATCH(C192,parametros!$B$2:$B$6,0)),"")=""),"INICIO_EFEITO ausente: PC "&amp;A192&amp;" - "&amp;C192,IF(L192="","EFEITO_PC nao calculado: PC "&amp;A192&amp;" - "&amp;C192,"OK")))))))))</f>
        <v/>
      </c>
      <c r="L192" s="92" t="str">
        <f>IF(AND(A192="",B192="",D192="",G192=""),"",IF(OR(B192="",NOT(ISNUMBER(B192)),C192="",C192="Fora dos ciclos"),"",IF(C192="C0","Nao",IF(IFERROR(INDEX(parametros!$A$2:$A$6,MATCH(C192,parametros!$B$2:$B$6,0)),"")&lt;&gt;"Sim","Nao",IF(IFERROR(INDEX(parametros!$H$2:$H$6,MATCH(C192,parametros!$B$2:$B$6,0)),"")="","",IF(B192&gt;=IFERROR(INDEX(parametros!$H$2:$H$6,MATCH(C192,parametros!$B$2:$B$6,0)),""),"Sim","Nao"))))))</f>
        <v/>
      </c>
      <c r="M192" s="13"/>
      <c r="N192" s="13"/>
      <c r="O192" s="13"/>
      <c r="P192" s="13"/>
      <c r="Q192" s="13"/>
      <c r="R192" s="13"/>
      <c r="S192" s="13"/>
      <c r="T192" s="13"/>
      <c r="U192" s="214" t="str">
        <f t="shared" si="16"/>
        <v/>
      </c>
      <c r="V192" s="212" t="s">
        <v>50</v>
      </c>
      <c r="W192" s="100" t="s">
        <v>168</v>
      </c>
      <c r="X192" s="100" t="s">
        <v>169</v>
      </c>
      <c r="Y192" s="101" t="s">
        <v>170</v>
      </c>
      <c r="Z192" s="101" t="s">
        <v>171</v>
      </c>
      <c r="AA192" s="101" t="s">
        <v>50</v>
      </c>
      <c r="AB192" s="101" t="s">
        <v>172</v>
      </c>
      <c r="AC192" s="102" t="s">
        <v>173</v>
      </c>
    </row>
    <row r="193" spans="1:29" ht="25.5" customHeight="1" x14ac:dyDescent="0.35">
      <c r="A193" s="392"/>
      <c r="B193" s="393"/>
      <c r="C193" s="99" t="str">
        <f>IF(B193="","",IF(NOT(ISNUMBER(B193)),"DATA_PC invalida",IF(NOT(ISNUMBER(parametros!$C$2)),"Fora dos ciclos",IF(OR(B193&lt;parametros!$C$2,(YEAR(B193)-YEAR(parametros!$C$2))*12+MONTH(B193)-MONTH(parametros!$C$2)&gt;59),"Fora dos ciclos","C"&amp;INT(((YEAR(B193)-YEAR(parametros!$C$2))*12+MONTH(B193)-MONTH(parametros!$C$2))/12)))))</f>
        <v/>
      </c>
      <c r="D193" s="394"/>
      <c r="E193" s="78" t="str">
        <f>IF(C193="","",IFERROR(VLOOKUP(C193,parametros!$A$11:$E$15,5,0),""))</f>
        <v/>
      </c>
      <c r="F193" s="79" t="str">
        <f t="shared" si="12"/>
        <v/>
      </c>
      <c r="G193" s="395"/>
      <c r="H193" s="91">
        <f t="shared" si="13"/>
        <v>0</v>
      </c>
      <c r="I193" s="91" t="str">
        <f t="shared" si="14"/>
        <v/>
      </c>
      <c r="J193" s="91" t="str">
        <f t="shared" si="15"/>
        <v/>
      </c>
      <c r="K193" s="92" t="str">
        <f>IF(AND(A193="",B193="",D193="",G193=""),"",IF(AND(A193&lt;&gt;"",COUNTIF($A$2:$A$5001,A193)&gt;1),"NUMERO_PC duplicado",IF(B193="","DATA_PC vazia",IF(NOT(ISNUMBER(B193)),"DATA_PC invalida",IF(OR(C193="",C193="Fora dos ciclos"),"CICLO_PC nao identificado",IF(OR(D193="",D193=0),"VALOR_PC vazio ou zero",IF(AND(G193&lt;&gt;"Sim",G193&lt;&gt;"Nao",G193&lt;&gt;""),"PC_PAGO_A_CONTRATADA invalido",IF(AND(C193&lt;&gt;"C0",IFERROR(INDEX(parametros!$A$2:$A$6,MATCH(C193,parametros!$B$2:$B$6,0)),"")="Sim",IFERROR(INDEX(parametros!$H$2:$H$6,MATCH(C193,parametros!$B$2:$B$6,0)),"")=""),"INICIO_EFEITO ausente: PC "&amp;A193&amp;" - "&amp;C193,IF(L193="","EFEITO_PC nao calculado: PC "&amp;A193&amp;" - "&amp;C193,"OK")))))))))</f>
        <v/>
      </c>
      <c r="L193" s="92" t="str">
        <f>IF(AND(A193="",B193="",D193="",G193=""),"",IF(OR(B193="",NOT(ISNUMBER(B193)),C193="",C193="Fora dos ciclos"),"",IF(C193="C0","Nao",IF(IFERROR(INDEX(parametros!$A$2:$A$6,MATCH(C193,parametros!$B$2:$B$6,0)),"")&lt;&gt;"Sim","Nao",IF(IFERROR(INDEX(parametros!$H$2:$H$6,MATCH(C193,parametros!$B$2:$B$6,0)),"")="","",IF(B193&gt;=IFERROR(INDEX(parametros!$H$2:$H$6,MATCH(C193,parametros!$B$2:$B$6,0)),""),"Sim","Nao"))))))</f>
        <v/>
      </c>
      <c r="M193" s="13"/>
      <c r="N193" s="13"/>
      <c r="O193" s="13"/>
      <c r="P193" s="13"/>
      <c r="Q193" s="13"/>
      <c r="R193" s="13"/>
      <c r="S193" s="13"/>
      <c r="T193" s="13"/>
      <c r="U193" s="214" t="str">
        <f t="shared" si="16"/>
        <v/>
      </c>
      <c r="V193" s="212" t="s">
        <v>50</v>
      </c>
      <c r="W193" s="100" t="s">
        <v>168</v>
      </c>
      <c r="X193" s="100" t="s">
        <v>169</v>
      </c>
      <c r="Y193" s="101" t="s">
        <v>170</v>
      </c>
      <c r="Z193" s="101" t="s">
        <v>171</v>
      </c>
      <c r="AA193" s="101" t="s">
        <v>50</v>
      </c>
      <c r="AB193" s="101" t="s">
        <v>172</v>
      </c>
      <c r="AC193" s="102" t="s">
        <v>173</v>
      </c>
    </row>
    <row r="194" spans="1:29" ht="25.5" customHeight="1" x14ac:dyDescent="0.35">
      <c r="A194" s="392"/>
      <c r="B194" s="393"/>
      <c r="C194" s="99" t="str">
        <f>IF(B194="","",IF(NOT(ISNUMBER(B194)),"DATA_PC invalida",IF(NOT(ISNUMBER(parametros!$C$2)),"Fora dos ciclos",IF(OR(B194&lt;parametros!$C$2,(YEAR(B194)-YEAR(parametros!$C$2))*12+MONTH(B194)-MONTH(parametros!$C$2)&gt;59),"Fora dos ciclos","C"&amp;INT(((YEAR(B194)-YEAR(parametros!$C$2))*12+MONTH(B194)-MONTH(parametros!$C$2))/12)))))</f>
        <v/>
      </c>
      <c r="D194" s="394"/>
      <c r="E194" s="78" t="str">
        <f>IF(C194="","",IFERROR(VLOOKUP(C194,parametros!$A$11:$E$15,5,0),""))</f>
        <v/>
      </c>
      <c r="F194" s="79" t="str">
        <f t="shared" ref="F194:F257" si="17">IF(OR(D194="",E194=""),"",ROUND(D194*E194,2))</f>
        <v/>
      </c>
      <c r="G194" s="395"/>
      <c r="H194" s="91">
        <f t="shared" ref="H194:H257" si="18">IF(G194="Sim",IF(OR(F194="",D194="",L194=""),"",IF(L194="Sim",ROUND(F194-D194,2),0)),0)</f>
        <v>0</v>
      </c>
      <c r="I194" s="91" t="str">
        <f t="shared" ref="I194:I257" si="19">IF(G194="Sim",0,IF(OR(F194="",L194=""),"",F194))</f>
        <v/>
      </c>
      <c r="J194" s="91" t="str">
        <f t="shared" ref="J194:J257" si="20">IF(G194="Sim",0,IF(OR(F194="",D194="",L194=""),"",IF(L194="Sim",ROUND(F194-D194,2),0)))</f>
        <v/>
      </c>
      <c r="K194" s="92" t="str">
        <f>IF(AND(A194="",B194="",D194="",G194=""),"",IF(AND(A194&lt;&gt;"",COUNTIF($A$2:$A$5001,A194)&gt;1),"NUMERO_PC duplicado",IF(B194="","DATA_PC vazia",IF(NOT(ISNUMBER(B194)),"DATA_PC invalida",IF(OR(C194="",C194="Fora dos ciclos"),"CICLO_PC nao identificado",IF(OR(D194="",D194=0),"VALOR_PC vazio ou zero",IF(AND(G194&lt;&gt;"Sim",G194&lt;&gt;"Nao",G194&lt;&gt;""),"PC_PAGO_A_CONTRATADA invalido",IF(AND(C194&lt;&gt;"C0",IFERROR(INDEX(parametros!$A$2:$A$6,MATCH(C194,parametros!$B$2:$B$6,0)),"")="Sim",IFERROR(INDEX(parametros!$H$2:$H$6,MATCH(C194,parametros!$B$2:$B$6,0)),"")=""),"INICIO_EFEITO ausente: PC "&amp;A194&amp;" - "&amp;C194,IF(L194="","EFEITO_PC nao calculado: PC "&amp;A194&amp;" - "&amp;C194,"OK")))))))))</f>
        <v/>
      </c>
      <c r="L194" s="92" t="str">
        <f>IF(AND(A194="",B194="",D194="",G194=""),"",IF(OR(B194="",NOT(ISNUMBER(B194)),C194="",C194="Fora dos ciclos"),"",IF(C194="C0","Nao",IF(IFERROR(INDEX(parametros!$A$2:$A$6,MATCH(C194,parametros!$B$2:$B$6,0)),"")&lt;&gt;"Sim","Nao",IF(IFERROR(INDEX(parametros!$H$2:$H$6,MATCH(C194,parametros!$B$2:$B$6,0)),"")="","",IF(B194&gt;=IFERROR(INDEX(parametros!$H$2:$H$6,MATCH(C194,parametros!$B$2:$B$6,0)),""),"Sim","Nao"))))))</f>
        <v/>
      </c>
      <c r="M194" s="13"/>
      <c r="N194" s="13"/>
      <c r="O194" s="13"/>
      <c r="P194" s="13"/>
      <c r="Q194" s="13"/>
      <c r="R194" s="13"/>
      <c r="S194" s="13"/>
      <c r="T194" s="13"/>
      <c r="U194" s="214" t="str">
        <f t="shared" ref="U194:U257" si="21">IF(OR($D194="",$H194=""),"",ROUND($D194+$H194,2))</f>
        <v/>
      </c>
      <c r="V194" s="212" t="s">
        <v>50</v>
      </c>
      <c r="W194" s="100" t="s">
        <v>168</v>
      </c>
      <c r="X194" s="100" t="s">
        <v>169</v>
      </c>
      <c r="Y194" s="101" t="s">
        <v>170</v>
      </c>
      <c r="Z194" s="101" t="s">
        <v>171</v>
      </c>
      <c r="AA194" s="101" t="s">
        <v>50</v>
      </c>
      <c r="AB194" s="101" t="s">
        <v>172</v>
      </c>
      <c r="AC194" s="102" t="s">
        <v>173</v>
      </c>
    </row>
    <row r="195" spans="1:29" ht="25.5" customHeight="1" x14ac:dyDescent="0.35">
      <c r="A195" s="392"/>
      <c r="B195" s="393"/>
      <c r="C195" s="99" t="str">
        <f>IF(B195="","",IF(NOT(ISNUMBER(B195)),"DATA_PC invalida",IF(NOT(ISNUMBER(parametros!$C$2)),"Fora dos ciclos",IF(OR(B195&lt;parametros!$C$2,(YEAR(B195)-YEAR(parametros!$C$2))*12+MONTH(B195)-MONTH(parametros!$C$2)&gt;59),"Fora dos ciclos","C"&amp;INT(((YEAR(B195)-YEAR(parametros!$C$2))*12+MONTH(B195)-MONTH(parametros!$C$2))/12)))))</f>
        <v/>
      </c>
      <c r="D195" s="394"/>
      <c r="E195" s="78" t="str">
        <f>IF(C195="","",IFERROR(VLOOKUP(C195,parametros!$A$11:$E$15,5,0),""))</f>
        <v/>
      </c>
      <c r="F195" s="79" t="str">
        <f t="shared" si="17"/>
        <v/>
      </c>
      <c r="G195" s="395"/>
      <c r="H195" s="91">
        <f t="shared" si="18"/>
        <v>0</v>
      </c>
      <c r="I195" s="91" t="str">
        <f t="shared" si="19"/>
        <v/>
      </c>
      <c r="J195" s="91" t="str">
        <f t="shared" si="20"/>
        <v/>
      </c>
      <c r="K195" s="92" t="str">
        <f>IF(AND(A195="",B195="",D195="",G195=""),"",IF(AND(A195&lt;&gt;"",COUNTIF($A$2:$A$5001,A195)&gt;1),"NUMERO_PC duplicado",IF(B195="","DATA_PC vazia",IF(NOT(ISNUMBER(B195)),"DATA_PC invalida",IF(OR(C195="",C195="Fora dos ciclos"),"CICLO_PC nao identificado",IF(OR(D195="",D195=0),"VALOR_PC vazio ou zero",IF(AND(G195&lt;&gt;"Sim",G195&lt;&gt;"Nao",G195&lt;&gt;""),"PC_PAGO_A_CONTRATADA invalido",IF(AND(C195&lt;&gt;"C0",IFERROR(INDEX(parametros!$A$2:$A$6,MATCH(C195,parametros!$B$2:$B$6,0)),"")="Sim",IFERROR(INDEX(parametros!$H$2:$H$6,MATCH(C195,parametros!$B$2:$B$6,0)),"")=""),"INICIO_EFEITO ausente: PC "&amp;A195&amp;" - "&amp;C195,IF(L195="","EFEITO_PC nao calculado: PC "&amp;A195&amp;" - "&amp;C195,"OK")))))))))</f>
        <v/>
      </c>
      <c r="L195" s="92" t="str">
        <f>IF(AND(A195="",B195="",D195="",G195=""),"",IF(OR(B195="",NOT(ISNUMBER(B195)),C195="",C195="Fora dos ciclos"),"",IF(C195="C0","Nao",IF(IFERROR(INDEX(parametros!$A$2:$A$6,MATCH(C195,parametros!$B$2:$B$6,0)),"")&lt;&gt;"Sim","Nao",IF(IFERROR(INDEX(parametros!$H$2:$H$6,MATCH(C195,parametros!$B$2:$B$6,0)),"")="","",IF(B195&gt;=IFERROR(INDEX(parametros!$H$2:$H$6,MATCH(C195,parametros!$B$2:$B$6,0)),""),"Sim","Nao"))))))</f>
        <v/>
      </c>
      <c r="M195" s="13"/>
      <c r="N195" s="13"/>
      <c r="O195" s="13"/>
      <c r="P195" s="13"/>
      <c r="Q195" s="13"/>
      <c r="R195" s="13"/>
      <c r="S195" s="13"/>
      <c r="T195" s="13"/>
      <c r="U195" s="214" t="str">
        <f t="shared" si="21"/>
        <v/>
      </c>
      <c r="V195" s="212" t="s">
        <v>50</v>
      </c>
      <c r="W195" s="100" t="s">
        <v>168</v>
      </c>
      <c r="X195" s="100" t="s">
        <v>169</v>
      </c>
      <c r="Y195" s="101" t="s">
        <v>170</v>
      </c>
      <c r="Z195" s="101" t="s">
        <v>171</v>
      </c>
      <c r="AA195" s="101" t="s">
        <v>50</v>
      </c>
      <c r="AB195" s="101" t="s">
        <v>172</v>
      </c>
      <c r="AC195" s="102" t="s">
        <v>173</v>
      </c>
    </row>
    <row r="196" spans="1:29" ht="25.5" customHeight="1" x14ac:dyDescent="0.35">
      <c r="A196" s="392"/>
      <c r="B196" s="393"/>
      <c r="C196" s="99" t="str">
        <f>IF(B196="","",IF(NOT(ISNUMBER(B196)),"DATA_PC invalida",IF(NOT(ISNUMBER(parametros!$C$2)),"Fora dos ciclos",IF(OR(B196&lt;parametros!$C$2,(YEAR(B196)-YEAR(parametros!$C$2))*12+MONTH(B196)-MONTH(parametros!$C$2)&gt;59),"Fora dos ciclos","C"&amp;INT(((YEAR(B196)-YEAR(parametros!$C$2))*12+MONTH(B196)-MONTH(parametros!$C$2))/12)))))</f>
        <v/>
      </c>
      <c r="D196" s="394"/>
      <c r="E196" s="78" t="str">
        <f>IF(C196="","",IFERROR(VLOOKUP(C196,parametros!$A$11:$E$15,5,0),""))</f>
        <v/>
      </c>
      <c r="F196" s="79" t="str">
        <f t="shared" si="17"/>
        <v/>
      </c>
      <c r="G196" s="395"/>
      <c r="H196" s="91">
        <f t="shared" si="18"/>
        <v>0</v>
      </c>
      <c r="I196" s="91" t="str">
        <f t="shared" si="19"/>
        <v/>
      </c>
      <c r="J196" s="91" t="str">
        <f t="shared" si="20"/>
        <v/>
      </c>
      <c r="K196" s="92" t="str">
        <f>IF(AND(A196="",B196="",D196="",G196=""),"",IF(AND(A196&lt;&gt;"",COUNTIF($A$2:$A$5001,A196)&gt;1),"NUMERO_PC duplicado",IF(B196="","DATA_PC vazia",IF(NOT(ISNUMBER(B196)),"DATA_PC invalida",IF(OR(C196="",C196="Fora dos ciclos"),"CICLO_PC nao identificado",IF(OR(D196="",D196=0),"VALOR_PC vazio ou zero",IF(AND(G196&lt;&gt;"Sim",G196&lt;&gt;"Nao",G196&lt;&gt;""),"PC_PAGO_A_CONTRATADA invalido",IF(AND(C196&lt;&gt;"C0",IFERROR(INDEX(parametros!$A$2:$A$6,MATCH(C196,parametros!$B$2:$B$6,0)),"")="Sim",IFERROR(INDEX(parametros!$H$2:$H$6,MATCH(C196,parametros!$B$2:$B$6,0)),"")=""),"INICIO_EFEITO ausente: PC "&amp;A196&amp;" - "&amp;C196,IF(L196="","EFEITO_PC nao calculado: PC "&amp;A196&amp;" - "&amp;C196,"OK")))))))))</f>
        <v/>
      </c>
      <c r="L196" s="92" t="str">
        <f>IF(AND(A196="",B196="",D196="",G196=""),"",IF(OR(B196="",NOT(ISNUMBER(B196)),C196="",C196="Fora dos ciclos"),"",IF(C196="C0","Nao",IF(IFERROR(INDEX(parametros!$A$2:$A$6,MATCH(C196,parametros!$B$2:$B$6,0)),"")&lt;&gt;"Sim","Nao",IF(IFERROR(INDEX(parametros!$H$2:$H$6,MATCH(C196,parametros!$B$2:$B$6,0)),"")="","",IF(B196&gt;=IFERROR(INDEX(parametros!$H$2:$H$6,MATCH(C196,parametros!$B$2:$B$6,0)),""),"Sim","Nao"))))))</f>
        <v/>
      </c>
      <c r="M196" s="13"/>
      <c r="N196" s="13"/>
      <c r="O196" s="13"/>
      <c r="P196" s="13"/>
      <c r="Q196" s="13"/>
      <c r="R196" s="13"/>
      <c r="S196" s="13"/>
      <c r="T196" s="13"/>
      <c r="U196" s="214" t="str">
        <f t="shared" si="21"/>
        <v/>
      </c>
      <c r="V196" s="212" t="s">
        <v>50</v>
      </c>
      <c r="W196" s="100" t="s">
        <v>168</v>
      </c>
      <c r="X196" s="100" t="s">
        <v>169</v>
      </c>
      <c r="Y196" s="101" t="s">
        <v>170</v>
      </c>
      <c r="Z196" s="101" t="s">
        <v>171</v>
      </c>
      <c r="AA196" s="101" t="s">
        <v>50</v>
      </c>
      <c r="AB196" s="101" t="s">
        <v>172</v>
      </c>
      <c r="AC196" s="102" t="s">
        <v>173</v>
      </c>
    </row>
    <row r="197" spans="1:29" ht="25.5" customHeight="1" x14ac:dyDescent="0.35">
      <c r="A197" s="392"/>
      <c r="B197" s="393"/>
      <c r="C197" s="99" t="str">
        <f>IF(B197="","",IF(NOT(ISNUMBER(B197)),"DATA_PC invalida",IF(NOT(ISNUMBER(parametros!$C$2)),"Fora dos ciclos",IF(OR(B197&lt;parametros!$C$2,(YEAR(B197)-YEAR(parametros!$C$2))*12+MONTH(B197)-MONTH(parametros!$C$2)&gt;59),"Fora dos ciclos","C"&amp;INT(((YEAR(B197)-YEAR(parametros!$C$2))*12+MONTH(B197)-MONTH(parametros!$C$2))/12)))))</f>
        <v/>
      </c>
      <c r="D197" s="394"/>
      <c r="E197" s="78" t="str">
        <f>IF(C197="","",IFERROR(VLOOKUP(C197,parametros!$A$11:$E$15,5,0),""))</f>
        <v/>
      </c>
      <c r="F197" s="79" t="str">
        <f t="shared" si="17"/>
        <v/>
      </c>
      <c r="G197" s="395"/>
      <c r="H197" s="91">
        <f t="shared" si="18"/>
        <v>0</v>
      </c>
      <c r="I197" s="91" t="str">
        <f t="shared" si="19"/>
        <v/>
      </c>
      <c r="J197" s="91" t="str">
        <f t="shared" si="20"/>
        <v/>
      </c>
      <c r="K197" s="92" t="str">
        <f>IF(AND(A197="",B197="",D197="",G197=""),"",IF(AND(A197&lt;&gt;"",COUNTIF($A$2:$A$5001,A197)&gt;1),"NUMERO_PC duplicado",IF(B197="","DATA_PC vazia",IF(NOT(ISNUMBER(B197)),"DATA_PC invalida",IF(OR(C197="",C197="Fora dos ciclos"),"CICLO_PC nao identificado",IF(OR(D197="",D197=0),"VALOR_PC vazio ou zero",IF(AND(G197&lt;&gt;"Sim",G197&lt;&gt;"Nao",G197&lt;&gt;""),"PC_PAGO_A_CONTRATADA invalido",IF(AND(C197&lt;&gt;"C0",IFERROR(INDEX(parametros!$A$2:$A$6,MATCH(C197,parametros!$B$2:$B$6,0)),"")="Sim",IFERROR(INDEX(parametros!$H$2:$H$6,MATCH(C197,parametros!$B$2:$B$6,0)),"")=""),"INICIO_EFEITO ausente: PC "&amp;A197&amp;" - "&amp;C197,IF(L197="","EFEITO_PC nao calculado: PC "&amp;A197&amp;" - "&amp;C197,"OK")))))))))</f>
        <v/>
      </c>
      <c r="L197" s="92" t="str">
        <f>IF(AND(A197="",B197="",D197="",G197=""),"",IF(OR(B197="",NOT(ISNUMBER(B197)),C197="",C197="Fora dos ciclos"),"",IF(C197="C0","Nao",IF(IFERROR(INDEX(parametros!$A$2:$A$6,MATCH(C197,parametros!$B$2:$B$6,0)),"")&lt;&gt;"Sim","Nao",IF(IFERROR(INDEX(parametros!$H$2:$H$6,MATCH(C197,parametros!$B$2:$B$6,0)),"")="","",IF(B197&gt;=IFERROR(INDEX(parametros!$H$2:$H$6,MATCH(C197,parametros!$B$2:$B$6,0)),""),"Sim","Nao"))))))</f>
        <v/>
      </c>
      <c r="M197" s="13"/>
      <c r="N197" s="13"/>
      <c r="O197" s="13"/>
      <c r="P197" s="13"/>
      <c r="Q197" s="13"/>
      <c r="R197" s="13"/>
      <c r="S197" s="13"/>
      <c r="T197" s="13"/>
      <c r="U197" s="214" t="str">
        <f t="shared" si="21"/>
        <v/>
      </c>
      <c r="V197" s="212" t="s">
        <v>50</v>
      </c>
      <c r="W197" s="100" t="s">
        <v>168</v>
      </c>
      <c r="X197" s="100" t="s">
        <v>169</v>
      </c>
      <c r="Y197" s="101" t="s">
        <v>170</v>
      </c>
      <c r="Z197" s="101" t="s">
        <v>171</v>
      </c>
      <c r="AA197" s="101" t="s">
        <v>50</v>
      </c>
      <c r="AB197" s="101" t="s">
        <v>172</v>
      </c>
      <c r="AC197" s="102" t="s">
        <v>173</v>
      </c>
    </row>
    <row r="198" spans="1:29" ht="25.5" customHeight="1" x14ac:dyDescent="0.35">
      <c r="A198" s="392"/>
      <c r="B198" s="393"/>
      <c r="C198" s="99" t="str">
        <f>IF(B198="","",IF(NOT(ISNUMBER(B198)),"DATA_PC invalida",IF(NOT(ISNUMBER(parametros!$C$2)),"Fora dos ciclos",IF(OR(B198&lt;parametros!$C$2,(YEAR(B198)-YEAR(parametros!$C$2))*12+MONTH(B198)-MONTH(parametros!$C$2)&gt;59),"Fora dos ciclos","C"&amp;INT(((YEAR(B198)-YEAR(parametros!$C$2))*12+MONTH(B198)-MONTH(parametros!$C$2))/12)))))</f>
        <v/>
      </c>
      <c r="D198" s="394"/>
      <c r="E198" s="78" t="str">
        <f>IF(C198="","",IFERROR(VLOOKUP(C198,parametros!$A$11:$E$15,5,0),""))</f>
        <v/>
      </c>
      <c r="F198" s="79" t="str">
        <f t="shared" si="17"/>
        <v/>
      </c>
      <c r="G198" s="395"/>
      <c r="H198" s="91">
        <f t="shared" si="18"/>
        <v>0</v>
      </c>
      <c r="I198" s="91" t="str">
        <f t="shared" si="19"/>
        <v/>
      </c>
      <c r="J198" s="91" t="str">
        <f t="shared" si="20"/>
        <v/>
      </c>
      <c r="K198" s="92" t="str">
        <f>IF(AND(A198="",B198="",D198="",G198=""),"",IF(AND(A198&lt;&gt;"",COUNTIF($A$2:$A$5001,A198)&gt;1),"NUMERO_PC duplicado",IF(B198="","DATA_PC vazia",IF(NOT(ISNUMBER(B198)),"DATA_PC invalida",IF(OR(C198="",C198="Fora dos ciclos"),"CICLO_PC nao identificado",IF(OR(D198="",D198=0),"VALOR_PC vazio ou zero",IF(AND(G198&lt;&gt;"Sim",G198&lt;&gt;"Nao",G198&lt;&gt;""),"PC_PAGO_A_CONTRATADA invalido",IF(AND(C198&lt;&gt;"C0",IFERROR(INDEX(parametros!$A$2:$A$6,MATCH(C198,parametros!$B$2:$B$6,0)),"")="Sim",IFERROR(INDEX(parametros!$H$2:$H$6,MATCH(C198,parametros!$B$2:$B$6,0)),"")=""),"INICIO_EFEITO ausente: PC "&amp;A198&amp;" - "&amp;C198,IF(L198="","EFEITO_PC nao calculado: PC "&amp;A198&amp;" - "&amp;C198,"OK")))))))))</f>
        <v/>
      </c>
      <c r="L198" s="92" t="str">
        <f>IF(AND(A198="",B198="",D198="",G198=""),"",IF(OR(B198="",NOT(ISNUMBER(B198)),C198="",C198="Fora dos ciclos"),"",IF(C198="C0","Nao",IF(IFERROR(INDEX(parametros!$A$2:$A$6,MATCH(C198,parametros!$B$2:$B$6,0)),"")&lt;&gt;"Sim","Nao",IF(IFERROR(INDEX(parametros!$H$2:$H$6,MATCH(C198,parametros!$B$2:$B$6,0)),"")="","",IF(B198&gt;=IFERROR(INDEX(parametros!$H$2:$H$6,MATCH(C198,parametros!$B$2:$B$6,0)),""),"Sim","Nao"))))))</f>
        <v/>
      </c>
      <c r="M198" s="13"/>
      <c r="N198" s="13"/>
      <c r="O198" s="13"/>
      <c r="P198" s="13"/>
      <c r="Q198" s="13"/>
      <c r="R198" s="13"/>
      <c r="S198" s="13"/>
      <c r="T198" s="13"/>
      <c r="U198" s="214" t="str">
        <f t="shared" si="21"/>
        <v/>
      </c>
      <c r="V198" s="212" t="s">
        <v>50</v>
      </c>
      <c r="W198" s="100" t="s">
        <v>168</v>
      </c>
      <c r="X198" s="100" t="s">
        <v>169</v>
      </c>
      <c r="Y198" s="101" t="s">
        <v>170</v>
      </c>
      <c r="Z198" s="101" t="s">
        <v>171</v>
      </c>
      <c r="AA198" s="101" t="s">
        <v>50</v>
      </c>
      <c r="AB198" s="101" t="s">
        <v>172</v>
      </c>
      <c r="AC198" s="102" t="s">
        <v>173</v>
      </c>
    </row>
    <row r="199" spans="1:29" ht="25.5" customHeight="1" x14ac:dyDescent="0.35">
      <c r="A199" s="392"/>
      <c r="B199" s="393"/>
      <c r="C199" s="99" t="str">
        <f>IF(B199="","",IF(NOT(ISNUMBER(B199)),"DATA_PC invalida",IF(NOT(ISNUMBER(parametros!$C$2)),"Fora dos ciclos",IF(OR(B199&lt;parametros!$C$2,(YEAR(B199)-YEAR(parametros!$C$2))*12+MONTH(B199)-MONTH(parametros!$C$2)&gt;59),"Fora dos ciclos","C"&amp;INT(((YEAR(B199)-YEAR(parametros!$C$2))*12+MONTH(B199)-MONTH(parametros!$C$2))/12)))))</f>
        <v/>
      </c>
      <c r="D199" s="394"/>
      <c r="E199" s="78" t="str">
        <f>IF(C199="","",IFERROR(VLOOKUP(C199,parametros!$A$11:$E$15,5,0),""))</f>
        <v/>
      </c>
      <c r="F199" s="79" t="str">
        <f t="shared" si="17"/>
        <v/>
      </c>
      <c r="G199" s="395"/>
      <c r="H199" s="91">
        <f t="shared" si="18"/>
        <v>0</v>
      </c>
      <c r="I199" s="91" t="str">
        <f t="shared" si="19"/>
        <v/>
      </c>
      <c r="J199" s="91" t="str">
        <f t="shared" si="20"/>
        <v/>
      </c>
      <c r="K199" s="92" t="str">
        <f>IF(AND(A199="",B199="",D199="",G199=""),"",IF(AND(A199&lt;&gt;"",COUNTIF($A$2:$A$5001,A199)&gt;1),"NUMERO_PC duplicado",IF(B199="","DATA_PC vazia",IF(NOT(ISNUMBER(B199)),"DATA_PC invalida",IF(OR(C199="",C199="Fora dos ciclos"),"CICLO_PC nao identificado",IF(OR(D199="",D199=0),"VALOR_PC vazio ou zero",IF(AND(G199&lt;&gt;"Sim",G199&lt;&gt;"Nao",G199&lt;&gt;""),"PC_PAGO_A_CONTRATADA invalido",IF(AND(C199&lt;&gt;"C0",IFERROR(INDEX(parametros!$A$2:$A$6,MATCH(C199,parametros!$B$2:$B$6,0)),"")="Sim",IFERROR(INDEX(parametros!$H$2:$H$6,MATCH(C199,parametros!$B$2:$B$6,0)),"")=""),"INICIO_EFEITO ausente: PC "&amp;A199&amp;" - "&amp;C199,IF(L199="","EFEITO_PC nao calculado: PC "&amp;A199&amp;" - "&amp;C199,"OK")))))))))</f>
        <v/>
      </c>
      <c r="L199" s="92" t="str">
        <f>IF(AND(A199="",B199="",D199="",G199=""),"",IF(OR(B199="",NOT(ISNUMBER(B199)),C199="",C199="Fora dos ciclos"),"",IF(C199="C0","Nao",IF(IFERROR(INDEX(parametros!$A$2:$A$6,MATCH(C199,parametros!$B$2:$B$6,0)),"")&lt;&gt;"Sim","Nao",IF(IFERROR(INDEX(parametros!$H$2:$H$6,MATCH(C199,parametros!$B$2:$B$6,0)),"")="","",IF(B199&gt;=IFERROR(INDEX(parametros!$H$2:$H$6,MATCH(C199,parametros!$B$2:$B$6,0)),""),"Sim","Nao"))))))</f>
        <v/>
      </c>
      <c r="M199" s="13"/>
      <c r="N199" s="13"/>
      <c r="O199" s="13"/>
      <c r="P199" s="13"/>
      <c r="Q199" s="13"/>
      <c r="R199" s="13"/>
      <c r="S199" s="13"/>
      <c r="T199" s="13"/>
      <c r="U199" s="214" t="str">
        <f t="shared" si="21"/>
        <v/>
      </c>
      <c r="V199" s="212" t="s">
        <v>50</v>
      </c>
      <c r="W199" s="100" t="s">
        <v>168</v>
      </c>
      <c r="X199" s="100" t="s">
        <v>169</v>
      </c>
      <c r="Y199" s="101" t="s">
        <v>170</v>
      </c>
      <c r="Z199" s="101" t="s">
        <v>171</v>
      </c>
      <c r="AA199" s="101" t="s">
        <v>50</v>
      </c>
      <c r="AB199" s="101" t="s">
        <v>172</v>
      </c>
      <c r="AC199" s="102" t="s">
        <v>173</v>
      </c>
    </row>
    <row r="200" spans="1:29" ht="25.5" customHeight="1" x14ac:dyDescent="0.35">
      <c r="A200" s="392"/>
      <c r="B200" s="393"/>
      <c r="C200" s="99" t="str">
        <f>IF(B200="","",IF(NOT(ISNUMBER(B200)),"DATA_PC invalida",IF(NOT(ISNUMBER(parametros!$C$2)),"Fora dos ciclos",IF(OR(B200&lt;parametros!$C$2,(YEAR(B200)-YEAR(parametros!$C$2))*12+MONTH(B200)-MONTH(parametros!$C$2)&gt;59),"Fora dos ciclos","C"&amp;INT(((YEAR(B200)-YEAR(parametros!$C$2))*12+MONTH(B200)-MONTH(parametros!$C$2))/12)))))</f>
        <v/>
      </c>
      <c r="D200" s="394"/>
      <c r="E200" s="78" t="str">
        <f>IF(C200="","",IFERROR(VLOOKUP(C200,parametros!$A$11:$E$15,5,0),""))</f>
        <v/>
      </c>
      <c r="F200" s="79" t="str">
        <f t="shared" si="17"/>
        <v/>
      </c>
      <c r="G200" s="395"/>
      <c r="H200" s="91">
        <f t="shared" si="18"/>
        <v>0</v>
      </c>
      <c r="I200" s="91" t="str">
        <f t="shared" si="19"/>
        <v/>
      </c>
      <c r="J200" s="91" t="str">
        <f t="shared" si="20"/>
        <v/>
      </c>
      <c r="K200" s="92" t="str">
        <f>IF(AND(A200="",B200="",D200="",G200=""),"",IF(AND(A200&lt;&gt;"",COUNTIF($A$2:$A$5001,A200)&gt;1),"NUMERO_PC duplicado",IF(B200="","DATA_PC vazia",IF(NOT(ISNUMBER(B200)),"DATA_PC invalida",IF(OR(C200="",C200="Fora dos ciclos"),"CICLO_PC nao identificado",IF(OR(D200="",D200=0),"VALOR_PC vazio ou zero",IF(AND(G200&lt;&gt;"Sim",G200&lt;&gt;"Nao",G200&lt;&gt;""),"PC_PAGO_A_CONTRATADA invalido",IF(AND(C200&lt;&gt;"C0",IFERROR(INDEX(parametros!$A$2:$A$6,MATCH(C200,parametros!$B$2:$B$6,0)),"")="Sim",IFERROR(INDEX(parametros!$H$2:$H$6,MATCH(C200,parametros!$B$2:$B$6,0)),"")=""),"INICIO_EFEITO ausente: PC "&amp;A200&amp;" - "&amp;C200,IF(L200="","EFEITO_PC nao calculado: PC "&amp;A200&amp;" - "&amp;C200,"OK")))))))))</f>
        <v/>
      </c>
      <c r="L200" s="92" t="str">
        <f>IF(AND(A200="",B200="",D200="",G200=""),"",IF(OR(B200="",NOT(ISNUMBER(B200)),C200="",C200="Fora dos ciclos"),"",IF(C200="C0","Nao",IF(IFERROR(INDEX(parametros!$A$2:$A$6,MATCH(C200,parametros!$B$2:$B$6,0)),"")&lt;&gt;"Sim","Nao",IF(IFERROR(INDEX(parametros!$H$2:$H$6,MATCH(C200,parametros!$B$2:$B$6,0)),"")="","",IF(B200&gt;=IFERROR(INDEX(parametros!$H$2:$H$6,MATCH(C200,parametros!$B$2:$B$6,0)),""),"Sim","Nao"))))))</f>
        <v/>
      </c>
      <c r="M200" s="13"/>
      <c r="N200" s="13"/>
      <c r="O200" s="13"/>
      <c r="P200" s="13"/>
      <c r="Q200" s="13"/>
      <c r="R200" s="13"/>
      <c r="S200" s="13"/>
      <c r="T200" s="13"/>
      <c r="U200" s="214" t="str">
        <f t="shared" si="21"/>
        <v/>
      </c>
      <c r="V200" s="212" t="s">
        <v>50</v>
      </c>
      <c r="W200" s="100" t="s">
        <v>168</v>
      </c>
      <c r="X200" s="100" t="s">
        <v>169</v>
      </c>
      <c r="Y200" s="101" t="s">
        <v>170</v>
      </c>
      <c r="Z200" s="101" t="s">
        <v>171</v>
      </c>
      <c r="AA200" s="101" t="s">
        <v>50</v>
      </c>
      <c r="AB200" s="101" t="s">
        <v>172</v>
      </c>
      <c r="AC200" s="102" t="s">
        <v>173</v>
      </c>
    </row>
    <row r="201" spans="1:29" ht="25.5" customHeight="1" x14ac:dyDescent="0.35">
      <c r="A201" s="392"/>
      <c r="B201" s="393"/>
      <c r="C201" s="99" t="str">
        <f>IF(B201="","",IF(NOT(ISNUMBER(B201)),"DATA_PC invalida",IF(NOT(ISNUMBER(parametros!$C$2)),"Fora dos ciclos",IF(OR(B201&lt;parametros!$C$2,(YEAR(B201)-YEAR(parametros!$C$2))*12+MONTH(B201)-MONTH(parametros!$C$2)&gt;59),"Fora dos ciclos","C"&amp;INT(((YEAR(B201)-YEAR(parametros!$C$2))*12+MONTH(B201)-MONTH(parametros!$C$2))/12)))))</f>
        <v/>
      </c>
      <c r="D201" s="394"/>
      <c r="E201" s="78" t="str">
        <f>IF(C201="","",IFERROR(VLOOKUP(C201,parametros!$A$11:$E$15,5,0),""))</f>
        <v/>
      </c>
      <c r="F201" s="79" t="str">
        <f t="shared" si="17"/>
        <v/>
      </c>
      <c r="G201" s="395"/>
      <c r="H201" s="91">
        <f t="shared" si="18"/>
        <v>0</v>
      </c>
      <c r="I201" s="91" t="str">
        <f t="shared" si="19"/>
        <v/>
      </c>
      <c r="J201" s="91" t="str">
        <f t="shared" si="20"/>
        <v/>
      </c>
      <c r="K201" s="92" t="str">
        <f>IF(AND(A201="",B201="",D201="",G201=""),"",IF(AND(A201&lt;&gt;"",COUNTIF($A$2:$A$5001,A201)&gt;1),"NUMERO_PC duplicado",IF(B201="","DATA_PC vazia",IF(NOT(ISNUMBER(B201)),"DATA_PC invalida",IF(OR(C201="",C201="Fora dos ciclos"),"CICLO_PC nao identificado",IF(OR(D201="",D201=0),"VALOR_PC vazio ou zero",IF(AND(G201&lt;&gt;"Sim",G201&lt;&gt;"Nao",G201&lt;&gt;""),"PC_PAGO_A_CONTRATADA invalido",IF(AND(C201&lt;&gt;"C0",IFERROR(INDEX(parametros!$A$2:$A$6,MATCH(C201,parametros!$B$2:$B$6,0)),"")="Sim",IFERROR(INDEX(parametros!$H$2:$H$6,MATCH(C201,parametros!$B$2:$B$6,0)),"")=""),"INICIO_EFEITO ausente: PC "&amp;A201&amp;" - "&amp;C201,IF(L201="","EFEITO_PC nao calculado: PC "&amp;A201&amp;" - "&amp;C201,"OK")))))))))</f>
        <v/>
      </c>
      <c r="L201" s="92" t="str">
        <f>IF(AND(A201="",B201="",D201="",G201=""),"",IF(OR(B201="",NOT(ISNUMBER(B201)),C201="",C201="Fora dos ciclos"),"",IF(C201="C0","Nao",IF(IFERROR(INDEX(parametros!$A$2:$A$6,MATCH(C201,parametros!$B$2:$B$6,0)),"")&lt;&gt;"Sim","Nao",IF(IFERROR(INDEX(parametros!$H$2:$H$6,MATCH(C201,parametros!$B$2:$B$6,0)),"")="","",IF(B201&gt;=IFERROR(INDEX(parametros!$H$2:$H$6,MATCH(C201,parametros!$B$2:$B$6,0)),""),"Sim","Nao"))))))</f>
        <v/>
      </c>
      <c r="M201" s="13"/>
      <c r="N201" s="13"/>
      <c r="O201" s="13"/>
      <c r="P201" s="13"/>
      <c r="Q201" s="13"/>
      <c r="R201" s="13"/>
      <c r="S201" s="13"/>
      <c r="T201" s="13"/>
      <c r="U201" s="214" t="str">
        <f t="shared" si="21"/>
        <v/>
      </c>
      <c r="V201" s="212" t="s">
        <v>50</v>
      </c>
      <c r="W201" s="100" t="s">
        <v>168</v>
      </c>
      <c r="X201" s="100" t="s">
        <v>169</v>
      </c>
      <c r="Y201" s="101" t="s">
        <v>170</v>
      </c>
      <c r="Z201" s="101" t="s">
        <v>171</v>
      </c>
      <c r="AA201" s="101" t="s">
        <v>50</v>
      </c>
      <c r="AB201" s="101" t="s">
        <v>172</v>
      </c>
      <c r="AC201" s="102" t="s">
        <v>173</v>
      </c>
    </row>
    <row r="202" spans="1:29" ht="25.5" customHeight="1" x14ac:dyDescent="0.35">
      <c r="A202" s="392"/>
      <c r="B202" s="393"/>
      <c r="C202" s="99" t="str">
        <f>IF(B202="","",IF(NOT(ISNUMBER(B202)),"DATA_PC invalida",IF(NOT(ISNUMBER(parametros!$C$2)),"Fora dos ciclos",IF(OR(B202&lt;parametros!$C$2,(YEAR(B202)-YEAR(parametros!$C$2))*12+MONTH(B202)-MONTH(parametros!$C$2)&gt;59),"Fora dos ciclos","C"&amp;INT(((YEAR(B202)-YEAR(parametros!$C$2))*12+MONTH(B202)-MONTH(parametros!$C$2))/12)))))</f>
        <v/>
      </c>
      <c r="D202" s="394"/>
      <c r="E202" s="78" t="str">
        <f>IF(C202="","",IFERROR(VLOOKUP(C202,parametros!$A$11:$E$15,5,0),""))</f>
        <v/>
      </c>
      <c r="F202" s="79" t="str">
        <f t="shared" si="17"/>
        <v/>
      </c>
      <c r="G202" s="395"/>
      <c r="H202" s="91">
        <f t="shared" si="18"/>
        <v>0</v>
      </c>
      <c r="I202" s="91" t="str">
        <f t="shared" si="19"/>
        <v/>
      </c>
      <c r="J202" s="91" t="str">
        <f t="shared" si="20"/>
        <v/>
      </c>
      <c r="K202" s="92" t="str">
        <f>IF(AND(A202="",B202="",D202="",G202=""),"",IF(AND(A202&lt;&gt;"",COUNTIF($A$2:$A$5001,A202)&gt;1),"NUMERO_PC duplicado",IF(B202="","DATA_PC vazia",IF(NOT(ISNUMBER(B202)),"DATA_PC invalida",IF(OR(C202="",C202="Fora dos ciclos"),"CICLO_PC nao identificado",IF(OR(D202="",D202=0),"VALOR_PC vazio ou zero",IF(AND(G202&lt;&gt;"Sim",G202&lt;&gt;"Nao",G202&lt;&gt;""),"PC_PAGO_A_CONTRATADA invalido",IF(AND(C202&lt;&gt;"C0",IFERROR(INDEX(parametros!$A$2:$A$6,MATCH(C202,parametros!$B$2:$B$6,0)),"")="Sim",IFERROR(INDEX(parametros!$H$2:$H$6,MATCH(C202,parametros!$B$2:$B$6,0)),"")=""),"INICIO_EFEITO ausente: PC "&amp;A202&amp;" - "&amp;C202,IF(L202="","EFEITO_PC nao calculado: PC "&amp;A202&amp;" - "&amp;C202,"OK")))))))))</f>
        <v/>
      </c>
      <c r="L202" s="92" t="str">
        <f>IF(AND(A202="",B202="",D202="",G202=""),"",IF(OR(B202="",NOT(ISNUMBER(B202)),C202="",C202="Fora dos ciclos"),"",IF(C202="C0","Nao",IF(IFERROR(INDEX(parametros!$A$2:$A$6,MATCH(C202,parametros!$B$2:$B$6,0)),"")&lt;&gt;"Sim","Nao",IF(IFERROR(INDEX(parametros!$H$2:$H$6,MATCH(C202,parametros!$B$2:$B$6,0)),"")="","",IF(B202&gt;=IFERROR(INDEX(parametros!$H$2:$H$6,MATCH(C202,parametros!$B$2:$B$6,0)),""),"Sim","Nao"))))))</f>
        <v/>
      </c>
      <c r="M202" s="13"/>
      <c r="N202" s="13"/>
      <c r="O202" s="13"/>
      <c r="P202" s="13"/>
      <c r="Q202" s="13"/>
      <c r="R202" s="13"/>
      <c r="S202" s="13"/>
      <c r="T202" s="13"/>
      <c r="U202" s="214" t="str">
        <f t="shared" si="21"/>
        <v/>
      </c>
      <c r="V202" s="212" t="s">
        <v>50</v>
      </c>
      <c r="W202" s="100" t="s">
        <v>168</v>
      </c>
      <c r="X202" s="100" t="s">
        <v>169</v>
      </c>
      <c r="Y202" s="101" t="s">
        <v>170</v>
      </c>
      <c r="Z202" s="101" t="s">
        <v>171</v>
      </c>
      <c r="AA202" s="101" t="s">
        <v>50</v>
      </c>
      <c r="AB202" s="101" t="s">
        <v>172</v>
      </c>
      <c r="AC202" s="102" t="s">
        <v>173</v>
      </c>
    </row>
    <row r="203" spans="1:29" ht="25.5" customHeight="1" x14ac:dyDescent="0.35">
      <c r="A203" s="392"/>
      <c r="B203" s="393"/>
      <c r="C203" s="99" t="str">
        <f>IF(B203="","",IF(NOT(ISNUMBER(B203)),"DATA_PC invalida",IF(NOT(ISNUMBER(parametros!$C$2)),"Fora dos ciclos",IF(OR(B203&lt;parametros!$C$2,(YEAR(B203)-YEAR(parametros!$C$2))*12+MONTH(B203)-MONTH(parametros!$C$2)&gt;59),"Fora dos ciclos","C"&amp;INT(((YEAR(B203)-YEAR(parametros!$C$2))*12+MONTH(B203)-MONTH(parametros!$C$2))/12)))))</f>
        <v/>
      </c>
      <c r="D203" s="394"/>
      <c r="E203" s="78" t="str">
        <f>IF(C203="","",IFERROR(VLOOKUP(C203,parametros!$A$11:$E$15,5,0),""))</f>
        <v/>
      </c>
      <c r="F203" s="79" t="str">
        <f t="shared" si="17"/>
        <v/>
      </c>
      <c r="G203" s="395"/>
      <c r="H203" s="91">
        <f t="shared" si="18"/>
        <v>0</v>
      </c>
      <c r="I203" s="91" t="str">
        <f t="shared" si="19"/>
        <v/>
      </c>
      <c r="J203" s="91" t="str">
        <f t="shared" si="20"/>
        <v/>
      </c>
      <c r="K203" s="92" t="str">
        <f>IF(AND(A203="",B203="",D203="",G203=""),"",IF(AND(A203&lt;&gt;"",COUNTIF($A$2:$A$5001,A203)&gt;1),"NUMERO_PC duplicado",IF(B203="","DATA_PC vazia",IF(NOT(ISNUMBER(B203)),"DATA_PC invalida",IF(OR(C203="",C203="Fora dos ciclos"),"CICLO_PC nao identificado",IF(OR(D203="",D203=0),"VALOR_PC vazio ou zero",IF(AND(G203&lt;&gt;"Sim",G203&lt;&gt;"Nao",G203&lt;&gt;""),"PC_PAGO_A_CONTRATADA invalido",IF(AND(C203&lt;&gt;"C0",IFERROR(INDEX(parametros!$A$2:$A$6,MATCH(C203,parametros!$B$2:$B$6,0)),"")="Sim",IFERROR(INDEX(parametros!$H$2:$H$6,MATCH(C203,parametros!$B$2:$B$6,0)),"")=""),"INICIO_EFEITO ausente: PC "&amp;A203&amp;" - "&amp;C203,IF(L203="","EFEITO_PC nao calculado: PC "&amp;A203&amp;" - "&amp;C203,"OK")))))))))</f>
        <v/>
      </c>
      <c r="L203" s="92" t="str">
        <f>IF(AND(A203="",B203="",D203="",G203=""),"",IF(OR(B203="",NOT(ISNUMBER(B203)),C203="",C203="Fora dos ciclos"),"",IF(C203="C0","Nao",IF(IFERROR(INDEX(parametros!$A$2:$A$6,MATCH(C203,parametros!$B$2:$B$6,0)),"")&lt;&gt;"Sim","Nao",IF(IFERROR(INDEX(parametros!$H$2:$H$6,MATCH(C203,parametros!$B$2:$B$6,0)),"")="","",IF(B203&gt;=IFERROR(INDEX(parametros!$H$2:$H$6,MATCH(C203,parametros!$B$2:$B$6,0)),""),"Sim","Nao"))))))</f>
        <v/>
      </c>
      <c r="M203" s="13"/>
      <c r="N203" s="13"/>
      <c r="O203" s="13"/>
      <c r="P203" s="13"/>
      <c r="Q203" s="13"/>
      <c r="R203" s="13"/>
      <c r="S203" s="13"/>
      <c r="T203" s="13"/>
      <c r="U203" s="214" t="str">
        <f t="shared" si="21"/>
        <v/>
      </c>
      <c r="V203" s="212" t="s">
        <v>50</v>
      </c>
      <c r="W203" s="100" t="s">
        <v>168</v>
      </c>
      <c r="X203" s="100" t="s">
        <v>169</v>
      </c>
      <c r="Y203" s="101" t="s">
        <v>170</v>
      </c>
      <c r="Z203" s="101" t="s">
        <v>171</v>
      </c>
      <c r="AA203" s="101" t="s">
        <v>50</v>
      </c>
      <c r="AB203" s="101" t="s">
        <v>172</v>
      </c>
      <c r="AC203" s="102" t="s">
        <v>173</v>
      </c>
    </row>
    <row r="204" spans="1:29" ht="25.5" customHeight="1" x14ac:dyDescent="0.35">
      <c r="A204" s="392"/>
      <c r="B204" s="393"/>
      <c r="C204" s="99" t="str">
        <f>IF(B204="","",IF(NOT(ISNUMBER(B204)),"DATA_PC invalida",IF(NOT(ISNUMBER(parametros!$C$2)),"Fora dos ciclos",IF(OR(B204&lt;parametros!$C$2,(YEAR(B204)-YEAR(parametros!$C$2))*12+MONTH(B204)-MONTH(parametros!$C$2)&gt;59),"Fora dos ciclos","C"&amp;INT(((YEAR(B204)-YEAR(parametros!$C$2))*12+MONTH(B204)-MONTH(parametros!$C$2))/12)))))</f>
        <v/>
      </c>
      <c r="D204" s="394"/>
      <c r="E204" s="78" t="str">
        <f>IF(C204="","",IFERROR(VLOOKUP(C204,parametros!$A$11:$E$15,5,0),""))</f>
        <v/>
      </c>
      <c r="F204" s="79" t="str">
        <f t="shared" si="17"/>
        <v/>
      </c>
      <c r="G204" s="395"/>
      <c r="H204" s="91">
        <f t="shared" si="18"/>
        <v>0</v>
      </c>
      <c r="I204" s="91" t="str">
        <f t="shared" si="19"/>
        <v/>
      </c>
      <c r="J204" s="91" t="str">
        <f t="shared" si="20"/>
        <v/>
      </c>
      <c r="K204" s="92" t="str">
        <f>IF(AND(A204="",B204="",D204="",G204=""),"",IF(AND(A204&lt;&gt;"",COUNTIF($A$2:$A$5001,A204)&gt;1),"NUMERO_PC duplicado",IF(B204="","DATA_PC vazia",IF(NOT(ISNUMBER(B204)),"DATA_PC invalida",IF(OR(C204="",C204="Fora dos ciclos"),"CICLO_PC nao identificado",IF(OR(D204="",D204=0),"VALOR_PC vazio ou zero",IF(AND(G204&lt;&gt;"Sim",G204&lt;&gt;"Nao",G204&lt;&gt;""),"PC_PAGO_A_CONTRATADA invalido",IF(AND(C204&lt;&gt;"C0",IFERROR(INDEX(parametros!$A$2:$A$6,MATCH(C204,parametros!$B$2:$B$6,0)),"")="Sim",IFERROR(INDEX(parametros!$H$2:$H$6,MATCH(C204,parametros!$B$2:$B$6,0)),"")=""),"INICIO_EFEITO ausente: PC "&amp;A204&amp;" - "&amp;C204,IF(L204="","EFEITO_PC nao calculado: PC "&amp;A204&amp;" - "&amp;C204,"OK")))))))))</f>
        <v/>
      </c>
      <c r="L204" s="92" t="str">
        <f>IF(AND(A204="",B204="",D204="",G204=""),"",IF(OR(B204="",NOT(ISNUMBER(B204)),C204="",C204="Fora dos ciclos"),"",IF(C204="C0","Nao",IF(IFERROR(INDEX(parametros!$A$2:$A$6,MATCH(C204,parametros!$B$2:$B$6,0)),"")&lt;&gt;"Sim","Nao",IF(IFERROR(INDEX(parametros!$H$2:$H$6,MATCH(C204,parametros!$B$2:$B$6,0)),"")="","",IF(B204&gt;=IFERROR(INDEX(parametros!$H$2:$H$6,MATCH(C204,parametros!$B$2:$B$6,0)),""),"Sim","Nao"))))))</f>
        <v/>
      </c>
      <c r="M204" s="13"/>
      <c r="N204" s="13"/>
      <c r="O204" s="13"/>
      <c r="P204" s="13"/>
      <c r="Q204" s="13"/>
      <c r="R204" s="13"/>
      <c r="S204" s="13"/>
      <c r="T204" s="13"/>
      <c r="U204" s="214" t="str">
        <f t="shared" si="21"/>
        <v/>
      </c>
      <c r="V204" s="212" t="s">
        <v>50</v>
      </c>
      <c r="W204" s="100" t="s">
        <v>168</v>
      </c>
      <c r="X204" s="100" t="s">
        <v>169</v>
      </c>
      <c r="Y204" s="101" t="s">
        <v>170</v>
      </c>
      <c r="Z204" s="101" t="s">
        <v>171</v>
      </c>
      <c r="AA204" s="101" t="s">
        <v>50</v>
      </c>
      <c r="AB204" s="101" t="s">
        <v>172</v>
      </c>
      <c r="AC204" s="102" t="s">
        <v>173</v>
      </c>
    </row>
    <row r="205" spans="1:29" ht="25.5" customHeight="1" x14ac:dyDescent="0.35">
      <c r="A205" s="392"/>
      <c r="B205" s="393"/>
      <c r="C205" s="99" t="str">
        <f>IF(B205="","",IF(NOT(ISNUMBER(B205)),"DATA_PC invalida",IF(NOT(ISNUMBER(parametros!$C$2)),"Fora dos ciclos",IF(OR(B205&lt;parametros!$C$2,(YEAR(B205)-YEAR(parametros!$C$2))*12+MONTH(B205)-MONTH(parametros!$C$2)&gt;59),"Fora dos ciclos","C"&amp;INT(((YEAR(B205)-YEAR(parametros!$C$2))*12+MONTH(B205)-MONTH(parametros!$C$2))/12)))))</f>
        <v/>
      </c>
      <c r="D205" s="394"/>
      <c r="E205" s="78" t="str">
        <f>IF(C205="","",IFERROR(VLOOKUP(C205,parametros!$A$11:$E$15,5,0),""))</f>
        <v/>
      </c>
      <c r="F205" s="79" t="str">
        <f t="shared" si="17"/>
        <v/>
      </c>
      <c r="G205" s="395"/>
      <c r="H205" s="91">
        <f t="shared" si="18"/>
        <v>0</v>
      </c>
      <c r="I205" s="91" t="str">
        <f t="shared" si="19"/>
        <v/>
      </c>
      <c r="J205" s="91" t="str">
        <f t="shared" si="20"/>
        <v/>
      </c>
      <c r="K205" s="92" t="str">
        <f>IF(AND(A205="",B205="",D205="",G205=""),"",IF(AND(A205&lt;&gt;"",COUNTIF($A$2:$A$5001,A205)&gt;1),"NUMERO_PC duplicado",IF(B205="","DATA_PC vazia",IF(NOT(ISNUMBER(B205)),"DATA_PC invalida",IF(OR(C205="",C205="Fora dos ciclos"),"CICLO_PC nao identificado",IF(OR(D205="",D205=0),"VALOR_PC vazio ou zero",IF(AND(G205&lt;&gt;"Sim",G205&lt;&gt;"Nao",G205&lt;&gt;""),"PC_PAGO_A_CONTRATADA invalido",IF(AND(C205&lt;&gt;"C0",IFERROR(INDEX(parametros!$A$2:$A$6,MATCH(C205,parametros!$B$2:$B$6,0)),"")="Sim",IFERROR(INDEX(parametros!$H$2:$H$6,MATCH(C205,parametros!$B$2:$B$6,0)),"")=""),"INICIO_EFEITO ausente: PC "&amp;A205&amp;" - "&amp;C205,IF(L205="","EFEITO_PC nao calculado: PC "&amp;A205&amp;" - "&amp;C205,"OK")))))))))</f>
        <v/>
      </c>
      <c r="L205" s="92" t="str">
        <f>IF(AND(A205="",B205="",D205="",G205=""),"",IF(OR(B205="",NOT(ISNUMBER(B205)),C205="",C205="Fora dos ciclos"),"",IF(C205="C0","Nao",IF(IFERROR(INDEX(parametros!$A$2:$A$6,MATCH(C205,parametros!$B$2:$B$6,0)),"")&lt;&gt;"Sim","Nao",IF(IFERROR(INDEX(parametros!$H$2:$H$6,MATCH(C205,parametros!$B$2:$B$6,0)),"")="","",IF(B205&gt;=IFERROR(INDEX(parametros!$H$2:$H$6,MATCH(C205,parametros!$B$2:$B$6,0)),""),"Sim","Nao"))))))</f>
        <v/>
      </c>
      <c r="M205" s="13"/>
      <c r="N205" s="13"/>
      <c r="O205" s="13"/>
      <c r="P205" s="13"/>
      <c r="Q205" s="13"/>
      <c r="R205" s="13"/>
      <c r="S205" s="13"/>
      <c r="T205" s="13"/>
      <c r="U205" s="214" t="str">
        <f t="shared" si="21"/>
        <v/>
      </c>
      <c r="V205" s="212" t="s">
        <v>50</v>
      </c>
      <c r="W205" s="100" t="s">
        <v>168</v>
      </c>
      <c r="X205" s="100" t="s">
        <v>169</v>
      </c>
      <c r="Y205" s="101" t="s">
        <v>170</v>
      </c>
      <c r="Z205" s="101" t="s">
        <v>171</v>
      </c>
      <c r="AA205" s="101" t="s">
        <v>50</v>
      </c>
      <c r="AB205" s="101" t="s">
        <v>172</v>
      </c>
      <c r="AC205" s="102" t="s">
        <v>173</v>
      </c>
    </row>
    <row r="206" spans="1:29" ht="25.5" customHeight="1" x14ac:dyDescent="0.35">
      <c r="A206" s="392"/>
      <c r="B206" s="393"/>
      <c r="C206" s="99" t="str">
        <f>IF(B206="","",IF(NOT(ISNUMBER(B206)),"DATA_PC invalida",IF(NOT(ISNUMBER(parametros!$C$2)),"Fora dos ciclos",IF(OR(B206&lt;parametros!$C$2,(YEAR(B206)-YEAR(parametros!$C$2))*12+MONTH(B206)-MONTH(parametros!$C$2)&gt;59),"Fora dos ciclos","C"&amp;INT(((YEAR(B206)-YEAR(parametros!$C$2))*12+MONTH(B206)-MONTH(parametros!$C$2))/12)))))</f>
        <v/>
      </c>
      <c r="D206" s="394"/>
      <c r="E206" s="78" t="str">
        <f>IF(C206="","",IFERROR(VLOOKUP(C206,parametros!$A$11:$E$15,5,0),""))</f>
        <v/>
      </c>
      <c r="F206" s="79" t="str">
        <f t="shared" si="17"/>
        <v/>
      </c>
      <c r="G206" s="395"/>
      <c r="H206" s="91">
        <f t="shared" si="18"/>
        <v>0</v>
      </c>
      <c r="I206" s="91" t="str">
        <f t="shared" si="19"/>
        <v/>
      </c>
      <c r="J206" s="91" t="str">
        <f t="shared" si="20"/>
        <v/>
      </c>
      <c r="K206" s="92" t="str">
        <f>IF(AND(A206="",B206="",D206="",G206=""),"",IF(AND(A206&lt;&gt;"",COUNTIF($A$2:$A$5001,A206)&gt;1),"NUMERO_PC duplicado",IF(B206="","DATA_PC vazia",IF(NOT(ISNUMBER(B206)),"DATA_PC invalida",IF(OR(C206="",C206="Fora dos ciclos"),"CICLO_PC nao identificado",IF(OR(D206="",D206=0),"VALOR_PC vazio ou zero",IF(AND(G206&lt;&gt;"Sim",G206&lt;&gt;"Nao",G206&lt;&gt;""),"PC_PAGO_A_CONTRATADA invalido",IF(AND(C206&lt;&gt;"C0",IFERROR(INDEX(parametros!$A$2:$A$6,MATCH(C206,parametros!$B$2:$B$6,0)),"")="Sim",IFERROR(INDEX(parametros!$H$2:$H$6,MATCH(C206,parametros!$B$2:$B$6,0)),"")=""),"INICIO_EFEITO ausente: PC "&amp;A206&amp;" - "&amp;C206,IF(L206="","EFEITO_PC nao calculado: PC "&amp;A206&amp;" - "&amp;C206,"OK")))))))))</f>
        <v/>
      </c>
      <c r="L206" s="92" t="str">
        <f>IF(AND(A206="",B206="",D206="",G206=""),"",IF(OR(B206="",NOT(ISNUMBER(B206)),C206="",C206="Fora dos ciclos"),"",IF(C206="C0","Nao",IF(IFERROR(INDEX(parametros!$A$2:$A$6,MATCH(C206,parametros!$B$2:$B$6,0)),"")&lt;&gt;"Sim","Nao",IF(IFERROR(INDEX(parametros!$H$2:$H$6,MATCH(C206,parametros!$B$2:$B$6,0)),"")="","",IF(B206&gt;=IFERROR(INDEX(parametros!$H$2:$H$6,MATCH(C206,parametros!$B$2:$B$6,0)),""),"Sim","Nao"))))))</f>
        <v/>
      </c>
      <c r="M206" s="13"/>
      <c r="N206" s="13"/>
      <c r="O206" s="13"/>
      <c r="P206" s="13"/>
      <c r="Q206" s="13"/>
      <c r="R206" s="13"/>
      <c r="S206" s="13"/>
      <c r="T206" s="13"/>
      <c r="U206" s="214" t="str">
        <f t="shared" si="21"/>
        <v/>
      </c>
      <c r="V206" s="212" t="s">
        <v>50</v>
      </c>
      <c r="W206" s="100" t="s">
        <v>168</v>
      </c>
      <c r="X206" s="100" t="s">
        <v>169</v>
      </c>
      <c r="Y206" s="101" t="s">
        <v>170</v>
      </c>
      <c r="Z206" s="101" t="s">
        <v>171</v>
      </c>
      <c r="AA206" s="101" t="s">
        <v>50</v>
      </c>
      <c r="AB206" s="101" t="s">
        <v>172</v>
      </c>
      <c r="AC206" s="102" t="s">
        <v>173</v>
      </c>
    </row>
    <row r="207" spans="1:29" ht="25.5" customHeight="1" x14ac:dyDescent="0.35">
      <c r="A207" s="392"/>
      <c r="B207" s="393"/>
      <c r="C207" s="99" t="str">
        <f>IF(B207="","",IF(NOT(ISNUMBER(B207)),"DATA_PC invalida",IF(NOT(ISNUMBER(parametros!$C$2)),"Fora dos ciclos",IF(OR(B207&lt;parametros!$C$2,(YEAR(B207)-YEAR(parametros!$C$2))*12+MONTH(B207)-MONTH(parametros!$C$2)&gt;59),"Fora dos ciclos","C"&amp;INT(((YEAR(B207)-YEAR(parametros!$C$2))*12+MONTH(B207)-MONTH(parametros!$C$2))/12)))))</f>
        <v/>
      </c>
      <c r="D207" s="394"/>
      <c r="E207" s="78" t="str">
        <f>IF(C207="","",IFERROR(VLOOKUP(C207,parametros!$A$11:$E$15,5,0),""))</f>
        <v/>
      </c>
      <c r="F207" s="79" t="str">
        <f t="shared" si="17"/>
        <v/>
      </c>
      <c r="G207" s="395"/>
      <c r="H207" s="91">
        <f t="shared" si="18"/>
        <v>0</v>
      </c>
      <c r="I207" s="91" t="str">
        <f t="shared" si="19"/>
        <v/>
      </c>
      <c r="J207" s="91" t="str">
        <f t="shared" si="20"/>
        <v/>
      </c>
      <c r="K207" s="92" t="str">
        <f>IF(AND(A207="",B207="",D207="",G207=""),"",IF(AND(A207&lt;&gt;"",COUNTIF($A$2:$A$5001,A207)&gt;1),"NUMERO_PC duplicado",IF(B207="","DATA_PC vazia",IF(NOT(ISNUMBER(B207)),"DATA_PC invalida",IF(OR(C207="",C207="Fora dos ciclos"),"CICLO_PC nao identificado",IF(OR(D207="",D207=0),"VALOR_PC vazio ou zero",IF(AND(G207&lt;&gt;"Sim",G207&lt;&gt;"Nao",G207&lt;&gt;""),"PC_PAGO_A_CONTRATADA invalido",IF(AND(C207&lt;&gt;"C0",IFERROR(INDEX(parametros!$A$2:$A$6,MATCH(C207,parametros!$B$2:$B$6,0)),"")="Sim",IFERROR(INDEX(parametros!$H$2:$H$6,MATCH(C207,parametros!$B$2:$B$6,0)),"")=""),"INICIO_EFEITO ausente: PC "&amp;A207&amp;" - "&amp;C207,IF(L207="","EFEITO_PC nao calculado: PC "&amp;A207&amp;" - "&amp;C207,"OK")))))))))</f>
        <v/>
      </c>
      <c r="L207" s="92" t="str">
        <f>IF(AND(A207="",B207="",D207="",G207=""),"",IF(OR(B207="",NOT(ISNUMBER(B207)),C207="",C207="Fora dos ciclos"),"",IF(C207="C0","Nao",IF(IFERROR(INDEX(parametros!$A$2:$A$6,MATCH(C207,parametros!$B$2:$B$6,0)),"")&lt;&gt;"Sim","Nao",IF(IFERROR(INDEX(parametros!$H$2:$H$6,MATCH(C207,parametros!$B$2:$B$6,0)),"")="","",IF(B207&gt;=IFERROR(INDEX(parametros!$H$2:$H$6,MATCH(C207,parametros!$B$2:$B$6,0)),""),"Sim","Nao"))))))</f>
        <v/>
      </c>
      <c r="M207" s="13"/>
      <c r="N207" s="13"/>
      <c r="O207" s="13"/>
      <c r="P207" s="13"/>
      <c r="Q207" s="13"/>
      <c r="R207" s="13"/>
      <c r="S207" s="13"/>
      <c r="T207" s="13"/>
      <c r="U207" s="214" t="str">
        <f t="shared" si="21"/>
        <v/>
      </c>
      <c r="V207" s="212" t="s">
        <v>50</v>
      </c>
      <c r="W207" s="100" t="s">
        <v>168</v>
      </c>
      <c r="X207" s="100" t="s">
        <v>169</v>
      </c>
      <c r="Y207" s="101" t="s">
        <v>170</v>
      </c>
      <c r="Z207" s="101" t="s">
        <v>171</v>
      </c>
      <c r="AA207" s="101" t="s">
        <v>50</v>
      </c>
      <c r="AB207" s="101" t="s">
        <v>172</v>
      </c>
      <c r="AC207" s="102" t="s">
        <v>173</v>
      </c>
    </row>
    <row r="208" spans="1:29" ht="25.5" customHeight="1" x14ac:dyDescent="0.35">
      <c r="A208" s="392"/>
      <c r="B208" s="393"/>
      <c r="C208" s="99" t="str">
        <f>IF(B208="","",IF(NOT(ISNUMBER(B208)),"DATA_PC invalida",IF(NOT(ISNUMBER(parametros!$C$2)),"Fora dos ciclos",IF(OR(B208&lt;parametros!$C$2,(YEAR(B208)-YEAR(parametros!$C$2))*12+MONTH(B208)-MONTH(parametros!$C$2)&gt;59),"Fora dos ciclos","C"&amp;INT(((YEAR(B208)-YEAR(parametros!$C$2))*12+MONTH(B208)-MONTH(parametros!$C$2))/12)))))</f>
        <v/>
      </c>
      <c r="D208" s="394"/>
      <c r="E208" s="78" t="str">
        <f>IF(C208="","",IFERROR(VLOOKUP(C208,parametros!$A$11:$E$15,5,0),""))</f>
        <v/>
      </c>
      <c r="F208" s="79" t="str">
        <f t="shared" si="17"/>
        <v/>
      </c>
      <c r="G208" s="395"/>
      <c r="H208" s="91">
        <f t="shared" si="18"/>
        <v>0</v>
      </c>
      <c r="I208" s="91" t="str">
        <f t="shared" si="19"/>
        <v/>
      </c>
      <c r="J208" s="91" t="str">
        <f t="shared" si="20"/>
        <v/>
      </c>
      <c r="K208" s="92" t="str">
        <f>IF(AND(A208="",B208="",D208="",G208=""),"",IF(AND(A208&lt;&gt;"",COUNTIF($A$2:$A$5001,A208)&gt;1),"NUMERO_PC duplicado",IF(B208="","DATA_PC vazia",IF(NOT(ISNUMBER(B208)),"DATA_PC invalida",IF(OR(C208="",C208="Fora dos ciclos"),"CICLO_PC nao identificado",IF(OR(D208="",D208=0),"VALOR_PC vazio ou zero",IF(AND(G208&lt;&gt;"Sim",G208&lt;&gt;"Nao",G208&lt;&gt;""),"PC_PAGO_A_CONTRATADA invalido",IF(AND(C208&lt;&gt;"C0",IFERROR(INDEX(parametros!$A$2:$A$6,MATCH(C208,parametros!$B$2:$B$6,0)),"")="Sim",IFERROR(INDEX(parametros!$H$2:$H$6,MATCH(C208,parametros!$B$2:$B$6,0)),"")=""),"INICIO_EFEITO ausente: PC "&amp;A208&amp;" - "&amp;C208,IF(L208="","EFEITO_PC nao calculado: PC "&amp;A208&amp;" - "&amp;C208,"OK")))))))))</f>
        <v/>
      </c>
      <c r="L208" s="92" t="str">
        <f>IF(AND(A208="",B208="",D208="",G208=""),"",IF(OR(B208="",NOT(ISNUMBER(B208)),C208="",C208="Fora dos ciclos"),"",IF(C208="C0","Nao",IF(IFERROR(INDEX(parametros!$A$2:$A$6,MATCH(C208,parametros!$B$2:$B$6,0)),"")&lt;&gt;"Sim","Nao",IF(IFERROR(INDEX(parametros!$H$2:$H$6,MATCH(C208,parametros!$B$2:$B$6,0)),"")="","",IF(B208&gt;=IFERROR(INDEX(parametros!$H$2:$H$6,MATCH(C208,parametros!$B$2:$B$6,0)),""),"Sim","Nao"))))))</f>
        <v/>
      </c>
      <c r="M208" s="13"/>
      <c r="N208" s="13"/>
      <c r="O208" s="13"/>
      <c r="P208" s="13"/>
      <c r="Q208" s="13"/>
      <c r="R208" s="13"/>
      <c r="S208" s="13"/>
      <c r="T208" s="13"/>
      <c r="U208" s="214" t="str">
        <f t="shared" si="21"/>
        <v/>
      </c>
      <c r="V208" s="212" t="s">
        <v>50</v>
      </c>
      <c r="W208" s="100" t="s">
        <v>168</v>
      </c>
      <c r="X208" s="100" t="s">
        <v>169</v>
      </c>
      <c r="Y208" s="101" t="s">
        <v>170</v>
      </c>
      <c r="Z208" s="101" t="s">
        <v>171</v>
      </c>
      <c r="AA208" s="101" t="s">
        <v>50</v>
      </c>
      <c r="AB208" s="101" t="s">
        <v>172</v>
      </c>
      <c r="AC208" s="102" t="s">
        <v>173</v>
      </c>
    </row>
    <row r="209" spans="1:29" ht="25.5" customHeight="1" x14ac:dyDescent="0.35">
      <c r="A209" s="392"/>
      <c r="B209" s="393"/>
      <c r="C209" s="99" t="str">
        <f>IF(B209="","",IF(NOT(ISNUMBER(B209)),"DATA_PC invalida",IF(NOT(ISNUMBER(parametros!$C$2)),"Fora dos ciclos",IF(OR(B209&lt;parametros!$C$2,(YEAR(B209)-YEAR(parametros!$C$2))*12+MONTH(B209)-MONTH(parametros!$C$2)&gt;59),"Fora dos ciclos","C"&amp;INT(((YEAR(B209)-YEAR(parametros!$C$2))*12+MONTH(B209)-MONTH(parametros!$C$2))/12)))))</f>
        <v/>
      </c>
      <c r="D209" s="394"/>
      <c r="E209" s="78" t="str">
        <f>IF(C209="","",IFERROR(VLOOKUP(C209,parametros!$A$11:$E$15,5,0),""))</f>
        <v/>
      </c>
      <c r="F209" s="79" t="str">
        <f t="shared" si="17"/>
        <v/>
      </c>
      <c r="G209" s="395"/>
      <c r="H209" s="91">
        <f t="shared" si="18"/>
        <v>0</v>
      </c>
      <c r="I209" s="91" t="str">
        <f t="shared" si="19"/>
        <v/>
      </c>
      <c r="J209" s="91" t="str">
        <f t="shared" si="20"/>
        <v/>
      </c>
      <c r="K209" s="92" t="str">
        <f>IF(AND(A209="",B209="",D209="",G209=""),"",IF(AND(A209&lt;&gt;"",COUNTIF($A$2:$A$5001,A209)&gt;1),"NUMERO_PC duplicado",IF(B209="","DATA_PC vazia",IF(NOT(ISNUMBER(B209)),"DATA_PC invalida",IF(OR(C209="",C209="Fora dos ciclos"),"CICLO_PC nao identificado",IF(OR(D209="",D209=0),"VALOR_PC vazio ou zero",IF(AND(G209&lt;&gt;"Sim",G209&lt;&gt;"Nao",G209&lt;&gt;""),"PC_PAGO_A_CONTRATADA invalido",IF(AND(C209&lt;&gt;"C0",IFERROR(INDEX(parametros!$A$2:$A$6,MATCH(C209,parametros!$B$2:$B$6,0)),"")="Sim",IFERROR(INDEX(parametros!$H$2:$H$6,MATCH(C209,parametros!$B$2:$B$6,0)),"")=""),"INICIO_EFEITO ausente: PC "&amp;A209&amp;" - "&amp;C209,IF(L209="","EFEITO_PC nao calculado: PC "&amp;A209&amp;" - "&amp;C209,"OK")))))))))</f>
        <v/>
      </c>
      <c r="L209" s="92" t="str">
        <f>IF(AND(A209="",B209="",D209="",G209=""),"",IF(OR(B209="",NOT(ISNUMBER(B209)),C209="",C209="Fora dos ciclos"),"",IF(C209="C0","Nao",IF(IFERROR(INDEX(parametros!$A$2:$A$6,MATCH(C209,parametros!$B$2:$B$6,0)),"")&lt;&gt;"Sim","Nao",IF(IFERROR(INDEX(parametros!$H$2:$H$6,MATCH(C209,parametros!$B$2:$B$6,0)),"")="","",IF(B209&gt;=IFERROR(INDEX(parametros!$H$2:$H$6,MATCH(C209,parametros!$B$2:$B$6,0)),""),"Sim","Nao"))))))</f>
        <v/>
      </c>
      <c r="M209" s="13"/>
      <c r="N209" s="13"/>
      <c r="O209" s="13"/>
      <c r="P209" s="13"/>
      <c r="Q209" s="13"/>
      <c r="R209" s="13"/>
      <c r="S209" s="13"/>
      <c r="T209" s="13"/>
      <c r="U209" s="214" t="str">
        <f t="shared" si="21"/>
        <v/>
      </c>
      <c r="V209" s="212" t="s">
        <v>50</v>
      </c>
      <c r="W209" s="100" t="s">
        <v>168</v>
      </c>
      <c r="X209" s="100" t="s">
        <v>169</v>
      </c>
      <c r="Y209" s="101" t="s">
        <v>170</v>
      </c>
      <c r="Z209" s="101" t="s">
        <v>171</v>
      </c>
      <c r="AA209" s="101" t="s">
        <v>50</v>
      </c>
      <c r="AB209" s="101" t="s">
        <v>172</v>
      </c>
      <c r="AC209" s="102" t="s">
        <v>173</v>
      </c>
    </row>
    <row r="210" spans="1:29" ht="25.5" customHeight="1" x14ac:dyDescent="0.35">
      <c r="A210" s="392"/>
      <c r="B210" s="393"/>
      <c r="C210" s="99" t="str">
        <f>IF(B210="","",IF(NOT(ISNUMBER(B210)),"DATA_PC invalida",IF(NOT(ISNUMBER(parametros!$C$2)),"Fora dos ciclos",IF(OR(B210&lt;parametros!$C$2,(YEAR(B210)-YEAR(parametros!$C$2))*12+MONTH(B210)-MONTH(parametros!$C$2)&gt;59),"Fora dos ciclos","C"&amp;INT(((YEAR(B210)-YEAR(parametros!$C$2))*12+MONTH(B210)-MONTH(parametros!$C$2))/12)))))</f>
        <v/>
      </c>
      <c r="D210" s="394"/>
      <c r="E210" s="78" t="str">
        <f>IF(C210="","",IFERROR(VLOOKUP(C210,parametros!$A$11:$E$15,5,0),""))</f>
        <v/>
      </c>
      <c r="F210" s="79" t="str">
        <f t="shared" si="17"/>
        <v/>
      </c>
      <c r="G210" s="395"/>
      <c r="H210" s="91">
        <f t="shared" si="18"/>
        <v>0</v>
      </c>
      <c r="I210" s="91" t="str">
        <f t="shared" si="19"/>
        <v/>
      </c>
      <c r="J210" s="91" t="str">
        <f t="shared" si="20"/>
        <v/>
      </c>
      <c r="K210" s="92" t="str">
        <f>IF(AND(A210="",B210="",D210="",G210=""),"",IF(AND(A210&lt;&gt;"",COUNTIF($A$2:$A$5001,A210)&gt;1),"NUMERO_PC duplicado",IF(B210="","DATA_PC vazia",IF(NOT(ISNUMBER(B210)),"DATA_PC invalida",IF(OR(C210="",C210="Fora dos ciclos"),"CICLO_PC nao identificado",IF(OR(D210="",D210=0),"VALOR_PC vazio ou zero",IF(AND(G210&lt;&gt;"Sim",G210&lt;&gt;"Nao",G210&lt;&gt;""),"PC_PAGO_A_CONTRATADA invalido",IF(AND(C210&lt;&gt;"C0",IFERROR(INDEX(parametros!$A$2:$A$6,MATCH(C210,parametros!$B$2:$B$6,0)),"")="Sim",IFERROR(INDEX(parametros!$H$2:$H$6,MATCH(C210,parametros!$B$2:$B$6,0)),"")=""),"INICIO_EFEITO ausente: PC "&amp;A210&amp;" - "&amp;C210,IF(L210="","EFEITO_PC nao calculado: PC "&amp;A210&amp;" - "&amp;C210,"OK")))))))))</f>
        <v/>
      </c>
      <c r="L210" s="92" t="str">
        <f>IF(AND(A210="",B210="",D210="",G210=""),"",IF(OR(B210="",NOT(ISNUMBER(B210)),C210="",C210="Fora dos ciclos"),"",IF(C210="C0","Nao",IF(IFERROR(INDEX(parametros!$A$2:$A$6,MATCH(C210,parametros!$B$2:$B$6,0)),"")&lt;&gt;"Sim","Nao",IF(IFERROR(INDEX(parametros!$H$2:$H$6,MATCH(C210,parametros!$B$2:$B$6,0)),"")="","",IF(B210&gt;=IFERROR(INDEX(parametros!$H$2:$H$6,MATCH(C210,parametros!$B$2:$B$6,0)),""),"Sim","Nao"))))))</f>
        <v/>
      </c>
      <c r="M210" s="13"/>
      <c r="N210" s="13"/>
      <c r="O210" s="13"/>
      <c r="P210" s="13"/>
      <c r="Q210" s="13"/>
      <c r="R210" s="13"/>
      <c r="S210" s="13"/>
      <c r="T210" s="13"/>
      <c r="U210" s="214" t="str">
        <f t="shared" si="21"/>
        <v/>
      </c>
      <c r="V210" s="212" t="s">
        <v>50</v>
      </c>
      <c r="W210" s="100" t="s">
        <v>168</v>
      </c>
      <c r="X210" s="100" t="s">
        <v>169</v>
      </c>
      <c r="Y210" s="101" t="s">
        <v>170</v>
      </c>
      <c r="Z210" s="101" t="s">
        <v>171</v>
      </c>
      <c r="AA210" s="101" t="s">
        <v>50</v>
      </c>
      <c r="AB210" s="101" t="s">
        <v>172</v>
      </c>
      <c r="AC210" s="102" t="s">
        <v>173</v>
      </c>
    </row>
    <row r="211" spans="1:29" ht="25.5" customHeight="1" x14ac:dyDescent="0.35">
      <c r="A211" s="392"/>
      <c r="B211" s="393"/>
      <c r="C211" s="99" t="str">
        <f>IF(B211="","",IF(NOT(ISNUMBER(B211)),"DATA_PC invalida",IF(NOT(ISNUMBER(parametros!$C$2)),"Fora dos ciclos",IF(OR(B211&lt;parametros!$C$2,(YEAR(B211)-YEAR(parametros!$C$2))*12+MONTH(B211)-MONTH(parametros!$C$2)&gt;59),"Fora dos ciclos","C"&amp;INT(((YEAR(B211)-YEAR(parametros!$C$2))*12+MONTH(B211)-MONTH(parametros!$C$2))/12)))))</f>
        <v/>
      </c>
      <c r="D211" s="394"/>
      <c r="E211" s="78" t="str">
        <f>IF(C211="","",IFERROR(VLOOKUP(C211,parametros!$A$11:$E$15,5,0),""))</f>
        <v/>
      </c>
      <c r="F211" s="79" t="str">
        <f t="shared" si="17"/>
        <v/>
      </c>
      <c r="G211" s="395"/>
      <c r="H211" s="91">
        <f t="shared" si="18"/>
        <v>0</v>
      </c>
      <c r="I211" s="91" t="str">
        <f t="shared" si="19"/>
        <v/>
      </c>
      <c r="J211" s="91" t="str">
        <f t="shared" si="20"/>
        <v/>
      </c>
      <c r="K211" s="92" t="str">
        <f>IF(AND(A211="",B211="",D211="",G211=""),"",IF(AND(A211&lt;&gt;"",COUNTIF($A$2:$A$5001,A211)&gt;1),"NUMERO_PC duplicado",IF(B211="","DATA_PC vazia",IF(NOT(ISNUMBER(B211)),"DATA_PC invalida",IF(OR(C211="",C211="Fora dos ciclos"),"CICLO_PC nao identificado",IF(OR(D211="",D211=0),"VALOR_PC vazio ou zero",IF(AND(G211&lt;&gt;"Sim",G211&lt;&gt;"Nao",G211&lt;&gt;""),"PC_PAGO_A_CONTRATADA invalido",IF(AND(C211&lt;&gt;"C0",IFERROR(INDEX(parametros!$A$2:$A$6,MATCH(C211,parametros!$B$2:$B$6,0)),"")="Sim",IFERROR(INDEX(parametros!$H$2:$H$6,MATCH(C211,parametros!$B$2:$B$6,0)),"")=""),"INICIO_EFEITO ausente: PC "&amp;A211&amp;" - "&amp;C211,IF(L211="","EFEITO_PC nao calculado: PC "&amp;A211&amp;" - "&amp;C211,"OK")))))))))</f>
        <v/>
      </c>
      <c r="L211" s="92" t="str">
        <f>IF(AND(A211="",B211="",D211="",G211=""),"",IF(OR(B211="",NOT(ISNUMBER(B211)),C211="",C211="Fora dos ciclos"),"",IF(C211="C0","Nao",IF(IFERROR(INDEX(parametros!$A$2:$A$6,MATCH(C211,parametros!$B$2:$B$6,0)),"")&lt;&gt;"Sim","Nao",IF(IFERROR(INDEX(parametros!$H$2:$H$6,MATCH(C211,parametros!$B$2:$B$6,0)),"")="","",IF(B211&gt;=IFERROR(INDEX(parametros!$H$2:$H$6,MATCH(C211,parametros!$B$2:$B$6,0)),""),"Sim","Nao"))))))</f>
        <v/>
      </c>
      <c r="T211" s="156"/>
      <c r="U211" s="214" t="str">
        <f t="shared" si="21"/>
        <v/>
      </c>
      <c r="V211" s="212" t="s">
        <v>50</v>
      </c>
      <c r="W211" s="100" t="s">
        <v>168</v>
      </c>
      <c r="X211" s="100" t="s">
        <v>169</v>
      </c>
      <c r="Y211" s="101" t="s">
        <v>170</v>
      </c>
      <c r="Z211" s="101" t="s">
        <v>171</v>
      </c>
      <c r="AA211" s="101" t="s">
        <v>50</v>
      </c>
      <c r="AB211" s="101" t="s">
        <v>172</v>
      </c>
      <c r="AC211" s="102" t="s">
        <v>173</v>
      </c>
    </row>
    <row r="212" spans="1:29" ht="25.5" customHeight="1" x14ac:dyDescent="0.35">
      <c r="A212" s="392"/>
      <c r="B212" s="393"/>
      <c r="C212" s="99" t="str">
        <f>IF(B212="","",IF(NOT(ISNUMBER(B212)),"DATA_PC invalida",IF(NOT(ISNUMBER(parametros!$C$2)),"Fora dos ciclos",IF(OR(B212&lt;parametros!$C$2,(YEAR(B212)-YEAR(parametros!$C$2))*12+MONTH(B212)-MONTH(parametros!$C$2)&gt;59),"Fora dos ciclos","C"&amp;INT(((YEAR(B212)-YEAR(parametros!$C$2))*12+MONTH(B212)-MONTH(parametros!$C$2))/12)))))</f>
        <v/>
      </c>
      <c r="D212" s="394"/>
      <c r="E212" s="78" t="str">
        <f>IF(C212="","",IFERROR(VLOOKUP(C212,parametros!$A$11:$E$15,5,0),""))</f>
        <v/>
      </c>
      <c r="F212" s="79" t="str">
        <f t="shared" si="17"/>
        <v/>
      </c>
      <c r="G212" s="395"/>
      <c r="H212" s="91">
        <f t="shared" si="18"/>
        <v>0</v>
      </c>
      <c r="I212" s="91" t="str">
        <f t="shared" si="19"/>
        <v/>
      </c>
      <c r="J212" s="91" t="str">
        <f t="shared" si="20"/>
        <v/>
      </c>
      <c r="K212" s="92" t="str">
        <f>IF(AND(A212="",B212="",D212="",G212=""),"",IF(AND(A212&lt;&gt;"",COUNTIF($A$2:$A$5001,A212)&gt;1),"NUMERO_PC duplicado",IF(B212="","DATA_PC vazia",IF(NOT(ISNUMBER(B212)),"DATA_PC invalida",IF(OR(C212="",C212="Fora dos ciclos"),"CICLO_PC nao identificado",IF(OR(D212="",D212=0),"VALOR_PC vazio ou zero",IF(AND(G212&lt;&gt;"Sim",G212&lt;&gt;"Nao",G212&lt;&gt;""),"PC_PAGO_A_CONTRATADA invalido",IF(AND(C212&lt;&gt;"C0",IFERROR(INDEX(parametros!$A$2:$A$6,MATCH(C212,parametros!$B$2:$B$6,0)),"")="Sim",IFERROR(INDEX(parametros!$H$2:$H$6,MATCH(C212,parametros!$B$2:$B$6,0)),"")=""),"INICIO_EFEITO ausente: PC "&amp;A212&amp;" - "&amp;C212,IF(L212="","EFEITO_PC nao calculado: PC "&amp;A212&amp;" - "&amp;C212,"OK")))))))))</f>
        <v/>
      </c>
      <c r="L212" s="92" t="str">
        <f>IF(AND(A212="",B212="",D212="",G212=""),"",IF(OR(B212="",NOT(ISNUMBER(B212)),C212="",C212="Fora dos ciclos"),"",IF(C212="C0","Nao",IF(IFERROR(INDEX(parametros!$A$2:$A$6,MATCH(C212,parametros!$B$2:$B$6,0)),"")&lt;&gt;"Sim","Nao",IF(IFERROR(INDEX(parametros!$H$2:$H$6,MATCH(C212,parametros!$B$2:$B$6,0)),"")="","",IF(B212&gt;=IFERROR(INDEX(parametros!$H$2:$H$6,MATCH(C212,parametros!$B$2:$B$6,0)),""),"Sim","Nao"))))))</f>
        <v/>
      </c>
      <c r="T212" s="156"/>
      <c r="U212" s="214" t="str">
        <f t="shared" si="21"/>
        <v/>
      </c>
      <c r="V212" s="212" t="s">
        <v>50</v>
      </c>
      <c r="W212" s="100" t="s">
        <v>168</v>
      </c>
      <c r="X212" s="100" t="s">
        <v>169</v>
      </c>
      <c r="Y212" s="101" t="s">
        <v>170</v>
      </c>
      <c r="Z212" s="101" t="s">
        <v>171</v>
      </c>
      <c r="AA212" s="101" t="s">
        <v>50</v>
      </c>
      <c r="AB212" s="101" t="s">
        <v>172</v>
      </c>
      <c r="AC212" s="102" t="s">
        <v>173</v>
      </c>
    </row>
    <row r="213" spans="1:29" ht="25.5" customHeight="1" x14ac:dyDescent="0.35">
      <c r="A213" s="392"/>
      <c r="B213" s="393"/>
      <c r="C213" s="99" t="str">
        <f>IF(B213="","",IF(NOT(ISNUMBER(B213)),"DATA_PC invalida",IF(NOT(ISNUMBER(parametros!$C$2)),"Fora dos ciclos",IF(OR(B213&lt;parametros!$C$2,(YEAR(B213)-YEAR(parametros!$C$2))*12+MONTH(B213)-MONTH(parametros!$C$2)&gt;59),"Fora dos ciclos","C"&amp;INT(((YEAR(B213)-YEAR(parametros!$C$2))*12+MONTH(B213)-MONTH(parametros!$C$2))/12)))))</f>
        <v/>
      </c>
      <c r="D213" s="394"/>
      <c r="E213" s="78" t="str">
        <f>IF(C213="","",IFERROR(VLOOKUP(C213,parametros!$A$11:$E$15,5,0),""))</f>
        <v/>
      </c>
      <c r="F213" s="79" t="str">
        <f t="shared" si="17"/>
        <v/>
      </c>
      <c r="G213" s="395"/>
      <c r="H213" s="91">
        <f t="shared" si="18"/>
        <v>0</v>
      </c>
      <c r="I213" s="91" t="str">
        <f t="shared" si="19"/>
        <v/>
      </c>
      <c r="J213" s="91" t="str">
        <f t="shared" si="20"/>
        <v/>
      </c>
      <c r="K213" s="92" t="str">
        <f>IF(AND(A213="",B213="",D213="",G213=""),"",IF(AND(A213&lt;&gt;"",COUNTIF($A$2:$A$5001,A213)&gt;1),"NUMERO_PC duplicado",IF(B213="","DATA_PC vazia",IF(NOT(ISNUMBER(B213)),"DATA_PC invalida",IF(OR(C213="",C213="Fora dos ciclos"),"CICLO_PC nao identificado",IF(OR(D213="",D213=0),"VALOR_PC vazio ou zero",IF(AND(G213&lt;&gt;"Sim",G213&lt;&gt;"Nao",G213&lt;&gt;""),"PC_PAGO_A_CONTRATADA invalido",IF(AND(C213&lt;&gt;"C0",IFERROR(INDEX(parametros!$A$2:$A$6,MATCH(C213,parametros!$B$2:$B$6,0)),"")="Sim",IFERROR(INDEX(parametros!$H$2:$H$6,MATCH(C213,parametros!$B$2:$B$6,0)),"")=""),"INICIO_EFEITO ausente: PC "&amp;A213&amp;" - "&amp;C213,IF(L213="","EFEITO_PC nao calculado: PC "&amp;A213&amp;" - "&amp;C213,"OK")))))))))</f>
        <v/>
      </c>
      <c r="L213" s="92" t="str">
        <f>IF(AND(A213="",B213="",D213="",G213=""),"",IF(OR(B213="",NOT(ISNUMBER(B213)),C213="",C213="Fora dos ciclos"),"",IF(C213="C0","Nao",IF(IFERROR(INDEX(parametros!$A$2:$A$6,MATCH(C213,parametros!$B$2:$B$6,0)),"")&lt;&gt;"Sim","Nao",IF(IFERROR(INDEX(parametros!$H$2:$H$6,MATCH(C213,parametros!$B$2:$B$6,0)),"")="","",IF(B213&gt;=IFERROR(INDEX(parametros!$H$2:$H$6,MATCH(C213,parametros!$B$2:$B$6,0)),""),"Sim","Nao"))))))</f>
        <v/>
      </c>
      <c r="T213" s="156"/>
      <c r="U213" s="214" t="str">
        <f t="shared" si="21"/>
        <v/>
      </c>
      <c r="V213" s="212" t="s">
        <v>50</v>
      </c>
      <c r="W213" s="100" t="s">
        <v>168</v>
      </c>
      <c r="X213" s="100" t="s">
        <v>169</v>
      </c>
      <c r="Y213" s="101" t="s">
        <v>170</v>
      </c>
      <c r="Z213" s="101" t="s">
        <v>171</v>
      </c>
      <c r="AA213" s="101" t="s">
        <v>50</v>
      </c>
      <c r="AB213" s="101" t="s">
        <v>172</v>
      </c>
      <c r="AC213" s="102" t="s">
        <v>173</v>
      </c>
    </row>
    <row r="214" spans="1:29" ht="25.5" customHeight="1" x14ac:dyDescent="0.35">
      <c r="A214" s="392"/>
      <c r="B214" s="393"/>
      <c r="C214" s="99" t="str">
        <f>IF(B214="","",IF(NOT(ISNUMBER(B214)),"DATA_PC invalida",IF(NOT(ISNUMBER(parametros!$C$2)),"Fora dos ciclos",IF(OR(B214&lt;parametros!$C$2,(YEAR(B214)-YEAR(parametros!$C$2))*12+MONTH(B214)-MONTH(parametros!$C$2)&gt;59),"Fora dos ciclos","C"&amp;INT(((YEAR(B214)-YEAR(parametros!$C$2))*12+MONTH(B214)-MONTH(parametros!$C$2))/12)))))</f>
        <v/>
      </c>
      <c r="D214" s="394"/>
      <c r="E214" s="78" t="str">
        <f>IF(C214="","",IFERROR(VLOOKUP(C214,parametros!$A$11:$E$15,5,0),""))</f>
        <v/>
      </c>
      <c r="F214" s="79" t="str">
        <f t="shared" si="17"/>
        <v/>
      </c>
      <c r="G214" s="395"/>
      <c r="H214" s="91">
        <f t="shared" si="18"/>
        <v>0</v>
      </c>
      <c r="I214" s="91" t="str">
        <f t="shared" si="19"/>
        <v/>
      </c>
      <c r="J214" s="91" t="str">
        <f t="shared" si="20"/>
        <v/>
      </c>
      <c r="K214" s="92" t="str">
        <f>IF(AND(A214="",B214="",D214="",G214=""),"",IF(AND(A214&lt;&gt;"",COUNTIF($A$2:$A$5001,A214)&gt;1),"NUMERO_PC duplicado",IF(B214="","DATA_PC vazia",IF(NOT(ISNUMBER(B214)),"DATA_PC invalida",IF(OR(C214="",C214="Fora dos ciclos"),"CICLO_PC nao identificado",IF(OR(D214="",D214=0),"VALOR_PC vazio ou zero",IF(AND(G214&lt;&gt;"Sim",G214&lt;&gt;"Nao",G214&lt;&gt;""),"PC_PAGO_A_CONTRATADA invalido",IF(AND(C214&lt;&gt;"C0",IFERROR(INDEX(parametros!$A$2:$A$6,MATCH(C214,parametros!$B$2:$B$6,0)),"")="Sim",IFERROR(INDEX(parametros!$H$2:$H$6,MATCH(C214,parametros!$B$2:$B$6,0)),"")=""),"INICIO_EFEITO ausente: PC "&amp;A214&amp;" - "&amp;C214,IF(L214="","EFEITO_PC nao calculado: PC "&amp;A214&amp;" - "&amp;C214,"OK")))))))))</f>
        <v/>
      </c>
      <c r="L214" s="92" t="str">
        <f>IF(AND(A214="",B214="",D214="",G214=""),"",IF(OR(B214="",NOT(ISNUMBER(B214)),C214="",C214="Fora dos ciclos"),"",IF(C214="C0","Nao",IF(IFERROR(INDEX(parametros!$A$2:$A$6,MATCH(C214,parametros!$B$2:$B$6,0)),"")&lt;&gt;"Sim","Nao",IF(IFERROR(INDEX(parametros!$H$2:$H$6,MATCH(C214,parametros!$B$2:$B$6,0)),"")="","",IF(B214&gt;=IFERROR(INDEX(parametros!$H$2:$H$6,MATCH(C214,parametros!$B$2:$B$6,0)),""),"Sim","Nao"))))))</f>
        <v/>
      </c>
      <c r="T214" s="156"/>
      <c r="U214" s="214" t="str">
        <f t="shared" si="21"/>
        <v/>
      </c>
      <c r="V214" s="212" t="s">
        <v>50</v>
      </c>
      <c r="W214" s="100" t="s">
        <v>168</v>
      </c>
      <c r="X214" s="100" t="s">
        <v>169</v>
      </c>
      <c r="Y214" s="101" t="s">
        <v>170</v>
      </c>
      <c r="Z214" s="101" t="s">
        <v>171</v>
      </c>
      <c r="AA214" s="101" t="s">
        <v>50</v>
      </c>
      <c r="AB214" s="101" t="s">
        <v>172</v>
      </c>
      <c r="AC214" s="102" t="s">
        <v>173</v>
      </c>
    </row>
    <row r="215" spans="1:29" ht="25.5" customHeight="1" x14ac:dyDescent="0.35">
      <c r="A215" s="392"/>
      <c r="B215" s="393"/>
      <c r="C215" s="99" t="str">
        <f>IF(B215="","",IF(NOT(ISNUMBER(B215)),"DATA_PC invalida",IF(NOT(ISNUMBER(parametros!$C$2)),"Fora dos ciclos",IF(OR(B215&lt;parametros!$C$2,(YEAR(B215)-YEAR(parametros!$C$2))*12+MONTH(B215)-MONTH(parametros!$C$2)&gt;59),"Fora dos ciclos","C"&amp;INT(((YEAR(B215)-YEAR(parametros!$C$2))*12+MONTH(B215)-MONTH(parametros!$C$2))/12)))))</f>
        <v/>
      </c>
      <c r="D215" s="394"/>
      <c r="E215" s="78" t="str">
        <f>IF(C215="","",IFERROR(VLOOKUP(C215,parametros!$A$11:$E$15,5,0),""))</f>
        <v/>
      </c>
      <c r="F215" s="79" t="str">
        <f t="shared" si="17"/>
        <v/>
      </c>
      <c r="G215" s="395"/>
      <c r="H215" s="91">
        <f t="shared" si="18"/>
        <v>0</v>
      </c>
      <c r="I215" s="91" t="str">
        <f t="shared" si="19"/>
        <v/>
      </c>
      <c r="J215" s="91" t="str">
        <f t="shared" si="20"/>
        <v/>
      </c>
      <c r="K215" s="92" t="str">
        <f>IF(AND(A215="",B215="",D215="",G215=""),"",IF(AND(A215&lt;&gt;"",COUNTIF($A$2:$A$5001,A215)&gt;1),"NUMERO_PC duplicado",IF(B215="","DATA_PC vazia",IF(NOT(ISNUMBER(B215)),"DATA_PC invalida",IF(OR(C215="",C215="Fora dos ciclos"),"CICLO_PC nao identificado",IF(OR(D215="",D215=0),"VALOR_PC vazio ou zero",IF(AND(G215&lt;&gt;"Sim",G215&lt;&gt;"Nao",G215&lt;&gt;""),"PC_PAGO_A_CONTRATADA invalido",IF(AND(C215&lt;&gt;"C0",IFERROR(INDEX(parametros!$A$2:$A$6,MATCH(C215,parametros!$B$2:$B$6,0)),"")="Sim",IFERROR(INDEX(parametros!$H$2:$H$6,MATCH(C215,parametros!$B$2:$B$6,0)),"")=""),"INICIO_EFEITO ausente: PC "&amp;A215&amp;" - "&amp;C215,IF(L215="","EFEITO_PC nao calculado: PC "&amp;A215&amp;" - "&amp;C215,"OK")))))))))</f>
        <v/>
      </c>
      <c r="L215" s="92" t="str">
        <f>IF(AND(A215="",B215="",D215="",G215=""),"",IF(OR(B215="",NOT(ISNUMBER(B215)),C215="",C215="Fora dos ciclos"),"",IF(C215="C0","Nao",IF(IFERROR(INDEX(parametros!$A$2:$A$6,MATCH(C215,parametros!$B$2:$B$6,0)),"")&lt;&gt;"Sim","Nao",IF(IFERROR(INDEX(parametros!$H$2:$H$6,MATCH(C215,parametros!$B$2:$B$6,0)),"")="","",IF(B215&gt;=IFERROR(INDEX(parametros!$H$2:$H$6,MATCH(C215,parametros!$B$2:$B$6,0)),""),"Sim","Nao"))))))</f>
        <v/>
      </c>
      <c r="T215" s="156"/>
      <c r="U215" s="214" t="str">
        <f t="shared" si="21"/>
        <v/>
      </c>
      <c r="V215" s="212" t="s">
        <v>50</v>
      </c>
      <c r="W215" s="100" t="s">
        <v>168</v>
      </c>
      <c r="X215" s="100" t="s">
        <v>169</v>
      </c>
      <c r="Y215" s="101" t="s">
        <v>170</v>
      </c>
      <c r="Z215" s="101" t="s">
        <v>171</v>
      </c>
      <c r="AA215" s="101" t="s">
        <v>50</v>
      </c>
      <c r="AB215" s="101" t="s">
        <v>172</v>
      </c>
      <c r="AC215" s="102" t="s">
        <v>173</v>
      </c>
    </row>
    <row r="216" spans="1:29" ht="25.5" customHeight="1" x14ac:dyDescent="0.35">
      <c r="A216" s="392"/>
      <c r="B216" s="393"/>
      <c r="C216" s="99" t="str">
        <f>IF(B216="","",IF(NOT(ISNUMBER(B216)),"DATA_PC invalida",IF(NOT(ISNUMBER(parametros!$C$2)),"Fora dos ciclos",IF(OR(B216&lt;parametros!$C$2,(YEAR(B216)-YEAR(parametros!$C$2))*12+MONTH(B216)-MONTH(parametros!$C$2)&gt;59),"Fora dos ciclos","C"&amp;INT(((YEAR(B216)-YEAR(parametros!$C$2))*12+MONTH(B216)-MONTH(parametros!$C$2))/12)))))</f>
        <v/>
      </c>
      <c r="D216" s="394"/>
      <c r="E216" s="78" t="str">
        <f>IF(C216="","",IFERROR(VLOOKUP(C216,parametros!$A$11:$E$15,5,0),""))</f>
        <v/>
      </c>
      <c r="F216" s="79" t="str">
        <f t="shared" si="17"/>
        <v/>
      </c>
      <c r="G216" s="395"/>
      <c r="H216" s="91">
        <f t="shared" si="18"/>
        <v>0</v>
      </c>
      <c r="I216" s="91" t="str">
        <f t="shared" si="19"/>
        <v/>
      </c>
      <c r="J216" s="91" t="str">
        <f t="shared" si="20"/>
        <v/>
      </c>
      <c r="K216" s="92" t="str">
        <f>IF(AND(A216="",B216="",D216="",G216=""),"",IF(AND(A216&lt;&gt;"",COUNTIF($A$2:$A$5001,A216)&gt;1),"NUMERO_PC duplicado",IF(B216="","DATA_PC vazia",IF(NOT(ISNUMBER(B216)),"DATA_PC invalida",IF(OR(C216="",C216="Fora dos ciclos"),"CICLO_PC nao identificado",IF(OR(D216="",D216=0),"VALOR_PC vazio ou zero",IF(AND(G216&lt;&gt;"Sim",G216&lt;&gt;"Nao",G216&lt;&gt;""),"PC_PAGO_A_CONTRATADA invalido",IF(AND(C216&lt;&gt;"C0",IFERROR(INDEX(parametros!$A$2:$A$6,MATCH(C216,parametros!$B$2:$B$6,0)),"")="Sim",IFERROR(INDEX(parametros!$H$2:$H$6,MATCH(C216,parametros!$B$2:$B$6,0)),"")=""),"INICIO_EFEITO ausente: PC "&amp;A216&amp;" - "&amp;C216,IF(L216="","EFEITO_PC nao calculado: PC "&amp;A216&amp;" - "&amp;C216,"OK")))))))))</f>
        <v/>
      </c>
      <c r="L216" s="92" t="str">
        <f>IF(AND(A216="",B216="",D216="",G216=""),"",IF(OR(B216="",NOT(ISNUMBER(B216)),C216="",C216="Fora dos ciclos"),"",IF(C216="C0","Nao",IF(IFERROR(INDEX(parametros!$A$2:$A$6,MATCH(C216,parametros!$B$2:$B$6,0)),"")&lt;&gt;"Sim","Nao",IF(IFERROR(INDEX(parametros!$H$2:$H$6,MATCH(C216,parametros!$B$2:$B$6,0)),"")="","",IF(B216&gt;=IFERROR(INDEX(parametros!$H$2:$H$6,MATCH(C216,parametros!$B$2:$B$6,0)),""),"Sim","Nao"))))))</f>
        <v/>
      </c>
      <c r="T216" s="156"/>
      <c r="U216" s="214" t="str">
        <f t="shared" si="21"/>
        <v/>
      </c>
      <c r="V216" s="212" t="s">
        <v>50</v>
      </c>
      <c r="W216" s="100" t="s">
        <v>168</v>
      </c>
      <c r="X216" s="100" t="s">
        <v>169</v>
      </c>
      <c r="Y216" s="101" t="s">
        <v>170</v>
      </c>
      <c r="Z216" s="101" t="s">
        <v>171</v>
      </c>
      <c r="AA216" s="101" t="s">
        <v>50</v>
      </c>
      <c r="AB216" s="101" t="s">
        <v>172</v>
      </c>
      <c r="AC216" s="102" t="s">
        <v>173</v>
      </c>
    </row>
    <row r="217" spans="1:29" ht="25.5" customHeight="1" x14ac:dyDescent="0.35">
      <c r="A217" s="392"/>
      <c r="B217" s="393"/>
      <c r="C217" s="99" t="str">
        <f>IF(B217="","",IF(NOT(ISNUMBER(B217)),"DATA_PC invalida",IF(NOT(ISNUMBER(parametros!$C$2)),"Fora dos ciclos",IF(OR(B217&lt;parametros!$C$2,(YEAR(B217)-YEAR(parametros!$C$2))*12+MONTH(B217)-MONTH(parametros!$C$2)&gt;59),"Fora dos ciclos","C"&amp;INT(((YEAR(B217)-YEAR(parametros!$C$2))*12+MONTH(B217)-MONTH(parametros!$C$2))/12)))))</f>
        <v/>
      </c>
      <c r="D217" s="394"/>
      <c r="E217" s="78" t="str">
        <f>IF(C217="","",IFERROR(VLOOKUP(C217,parametros!$A$11:$E$15,5,0),""))</f>
        <v/>
      </c>
      <c r="F217" s="79" t="str">
        <f t="shared" si="17"/>
        <v/>
      </c>
      <c r="G217" s="395"/>
      <c r="H217" s="91">
        <f t="shared" si="18"/>
        <v>0</v>
      </c>
      <c r="I217" s="91" t="str">
        <f t="shared" si="19"/>
        <v/>
      </c>
      <c r="J217" s="91" t="str">
        <f t="shared" si="20"/>
        <v/>
      </c>
      <c r="K217" s="92" t="str">
        <f>IF(AND(A217="",B217="",D217="",G217=""),"",IF(AND(A217&lt;&gt;"",COUNTIF($A$2:$A$5001,A217)&gt;1),"NUMERO_PC duplicado",IF(B217="","DATA_PC vazia",IF(NOT(ISNUMBER(B217)),"DATA_PC invalida",IF(OR(C217="",C217="Fora dos ciclos"),"CICLO_PC nao identificado",IF(OR(D217="",D217=0),"VALOR_PC vazio ou zero",IF(AND(G217&lt;&gt;"Sim",G217&lt;&gt;"Nao",G217&lt;&gt;""),"PC_PAGO_A_CONTRATADA invalido",IF(AND(C217&lt;&gt;"C0",IFERROR(INDEX(parametros!$A$2:$A$6,MATCH(C217,parametros!$B$2:$B$6,0)),"")="Sim",IFERROR(INDEX(parametros!$H$2:$H$6,MATCH(C217,parametros!$B$2:$B$6,0)),"")=""),"INICIO_EFEITO ausente: PC "&amp;A217&amp;" - "&amp;C217,IF(L217="","EFEITO_PC nao calculado: PC "&amp;A217&amp;" - "&amp;C217,"OK")))))))))</f>
        <v/>
      </c>
      <c r="L217" s="92" t="str">
        <f>IF(AND(A217="",B217="",D217="",G217=""),"",IF(OR(B217="",NOT(ISNUMBER(B217)),C217="",C217="Fora dos ciclos"),"",IF(C217="C0","Nao",IF(IFERROR(INDEX(parametros!$A$2:$A$6,MATCH(C217,parametros!$B$2:$B$6,0)),"")&lt;&gt;"Sim","Nao",IF(IFERROR(INDEX(parametros!$H$2:$H$6,MATCH(C217,parametros!$B$2:$B$6,0)),"")="","",IF(B217&gt;=IFERROR(INDEX(parametros!$H$2:$H$6,MATCH(C217,parametros!$B$2:$B$6,0)),""),"Sim","Nao"))))))</f>
        <v/>
      </c>
      <c r="T217" s="156"/>
      <c r="U217" s="214" t="str">
        <f t="shared" si="21"/>
        <v/>
      </c>
      <c r="V217" s="212" t="s">
        <v>50</v>
      </c>
      <c r="W217" s="100" t="s">
        <v>168</v>
      </c>
      <c r="X217" s="100" t="s">
        <v>169</v>
      </c>
      <c r="Y217" s="101" t="s">
        <v>170</v>
      </c>
      <c r="Z217" s="101" t="s">
        <v>171</v>
      </c>
      <c r="AA217" s="101" t="s">
        <v>50</v>
      </c>
      <c r="AB217" s="101" t="s">
        <v>172</v>
      </c>
      <c r="AC217" s="102" t="s">
        <v>173</v>
      </c>
    </row>
    <row r="218" spans="1:29" ht="25.5" customHeight="1" x14ac:dyDescent="0.35">
      <c r="A218" s="392"/>
      <c r="B218" s="393"/>
      <c r="C218" s="99" t="str">
        <f>IF(B218="","",IF(NOT(ISNUMBER(B218)),"DATA_PC invalida",IF(NOT(ISNUMBER(parametros!$C$2)),"Fora dos ciclos",IF(OR(B218&lt;parametros!$C$2,(YEAR(B218)-YEAR(parametros!$C$2))*12+MONTH(B218)-MONTH(parametros!$C$2)&gt;59),"Fora dos ciclos","C"&amp;INT(((YEAR(B218)-YEAR(parametros!$C$2))*12+MONTH(B218)-MONTH(parametros!$C$2))/12)))))</f>
        <v/>
      </c>
      <c r="D218" s="394"/>
      <c r="E218" s="78" t="str">
        <f>IF(C218="","",IFERROR(VLOOKUP(C218,parametros!$A$11:$E$15,5,0),""))</f>
        <v/>
      </c>
      <c r="F218" s="79" t="str">
        <f t="shared" si="17"/>
        <v/>
      </c>
      <c r="G218" s="395"/>
      <c r="H218" s="91">
        <f t="shared" si="18"/>
        <v>0</v>
      </c>
      <c r="I218" s="91" t="str">
        <f t="shared" si="19"/>
        <v/>
      </c>
      <c r="J218" s="91" t="str">
        <f t="shared" si="20"/>
        <v/>
      </c>
      <c r="K218" s="92" t="str">
        <f>IF(AND(A218="",B218="",D218="",G218=""),"",IF(AND(A218&lt;&gt;"",COUNTIF($A$2:$A$5001,A218)&gt;1),"NUMERO_PC duplicado",IF(B218="","DATA_PC vazia",IF(NOT(ISNUMBER(B218)),"DATA_PC invalida",IF(OR(C218="",C218="Fora dos ciclos"),"CICLO_PC nao identificado",IF(OR(D218="",D218=0),"VALOR_PC vazio ou zero",IF(AND(G218&lt;&gt;"Sim",G218&lt;&gt;"Nao",G218&lt;&gt;""),"PC_PAGO_A_CONTRATADA invalido",IF(AND(C218&lt;&gt;"C0",IFERROR(INDEX(parametros!$A$2:$A$6,MATCH(C218,parametros!$B$2:$B$6,0)),"")="Sim",IFERROR(INDEX(parametros!$H$2:$H$6,MATCH(C218,parametros!$B$2:$B$6,0)),"")=""),"INICIO_EFEITO ausente: PC "&amp;A218&amp;" - "&amp;C218,IF(L218="","EFEITO_PC nao calculado: PC "&amp;A218&amp;" - "&amp;C218,"OK")))))))))</f>
        <v/>
      </c>
      <c r="L218" s="92" t="str">
        <f>IF(AND(A218="",B218="",D218="",G218=""),"",IF(OR(B218="",NOT(ISNUMBER(B218)),C218="",C218="Fora dos ciclos"),"",IF(C218="C0","Nao",IF(IFERROR(INDEX(parametros!$A$2:$A$6,MATCH(C218,parametros!$B$2:$B$6,0)),"")&lt;&gt;"Sim","Nao",IF(IFERROR(INDEX(parametros!$H$2:$H$6,MATCH(C218,parametros!$B$2:$B$6,0)),"")="","",IF(B218&gt;=IFERROR(INDEX(parametros!$H$2:$H$6,MATCH(C218,parametros!$B$2:$B$6,0)),""),"Sim","Nao"))))))</f>
        <v/>
      </c>
      <c r="T218" s="156"/>
      <c r="U218" s="214" t="str">
        <f t="shared" si="21"/>
        <v/>
      </c>
      <c r="V218" s="212" t="s">
        <v>50</v>
      </c>
      <c r="W218" s="100" t="s">
        <v>168</v>
      </c>
      <c r="X218" s="100" t="s">
        <v>169</v>
      </c>
      <c r="Y218" s="101" t="s">
        <v>170</v>
      </c>
      <c r="Z218" s="101" t="s">
        <v>171</v>
      </c>
      <c r="AA218" s="101" t="s">
        <v>50</v>
      </c>
      <c r="AB218" s="101" t="s">
        <v>172</v>
      </c>
      <c r="AC218" s="102" t="s">
        <v>173</v>
      </c>
    </row>
    <row r="219" spans="1:29" ht="25.5" customHeight="1" x14ac:dyDescent="0.35">
      <c r="A219" s="392"/>
      <c r="B219" s="393"/>
      <c r="C219" s="99" t="str">
        <f>IF(B219="","",IF(NOT(ISNUMBER(B219)),"DATA_PC invalida",IF(NOT(ISNUMBER(parametros!$C$2)),"Fora dos ciclos",IF(OR(B219&lt;parametros!$C$2,(YEAR(B219)-YEAR(parametros!$C$2))*12+MONTH(B219)-MONTH(parametros!$C$2)&gt;59),"Fora dos ciclos","C"&amp;INT(((YEAR(B219)-YEAR(parametros!$C$2))*12+MONTH(B219)-MONTH(parametros!$C$2))/12)))))</f>
        <v/>
      </c>
      <c r="D219" s="394"/>
      <c r="E219" s="78" t="str">
        <f>IF(C219="","",IFERROR(VLOOKUP(C219,parametros!$A$11:$E$15,5,0),""))</f>
        <v/>
      </c>
      <c r="F219" s="79" t="str">
        <f t="shared" si="17"/>
        <v/>
      </c>
      <c r="G219" s="395"/>
      <c r="H219" s="91">
        <f t="shared" si="18"/>
        <v>0</v>
      </c>
      <c r="I219" s="91" t="str">
        <f t="shared" si="19"/>
        <v/>
      </c>
      <c r="J219" s="91" t="str">
        <f t="shared" si="20"/>
        <v/>
      </c>
      <c r="K219" s="92" t="str">
        <f>IF(AND(A219="",B219="",D219="",G219=""),"",IF(AND(A219&lt;&gt;"",COUNTIF($A$2:$A$5001,A219)&gt;1),"NUMERO_PC duplicado",IF(B219="","DATA_PC vazia",IF(NOT(ISNUMBER(B219)),"DATA_PC invalida",IF(OR(C219="",C219="Fora dos ciclos"),"CICLO_PC nao identificado",IF(OR(D219="",D219=0),"VALOR_PC vazio ou zero",IF(AND(G219&lt;&gt;"Sim",G219&lt;&gt;"Nao",G219&lt;&gt;""),"PC_PAGO_A_CONTRATADA invalido",IF(AND(C219&lt;&gt;"C0",IFERROR(INDEX(parametros!$A$2:$A$6,MATCH(C219,parametros!$B$2:$B$6,0)),"")="Sim",IFERROR(INDEX(parametros!$H$2:$H$6,MATCH(C219,parametros!$B$2:$B$6,0)),"")=""),"INICIO_EFEITO ausente: PC "&amp;A219&amp;" - "&amp;C219,IF(L219="","EFEITO_PC nao calculado: PC "&amp;A219&amp;" - "&amp;C219,"OK")))))))))</f>
        <v/>
      </c>
      <c r="L219" s="92" t="str">
        <f>IF(AND(A219="",B219="",D219="",G219=""),"",IF(OR(B219="",NOT(ISNUMBER(B219)),C219="",C219="Fora dos ciclos"),"",IF(C219="C0","Nao",IF(IFERROR(INDEX(parametros!$A$2:$A$6,MATCH(C219,parametros!$B$2:$B$6,0)),"")&lt;&gt;"Sim","Nao",IF(IFERROR(INDEX(parametros!$H$2:$H$6,MATCH(C219,parametros!$B$2:$B$6,0)),"")="","",IF(B219&gt;=IFERROR(INDEX(parametros!$H$2:$H$6,MATCH(C219,parametros!$B$2:$B$6,0)),""),"Sim","Nao"))))))</f>
        <v/>
      </c>
      <c r="T219" s="156"/>
      <c r="U219" s="214" t="str">
        <f t="shared" si="21"/>
        <v/>
      </c>
      <c r="V219" s="212" t="s">
        <v>50</v>
      </c>
      <c r="W219" s="100" t="s">
        <v>168</v>
      </c>
      <c r="X219" s="100" t="s">
        <v>169</v>
      </c>
      <c r="Y219" s="101" t="s">
        <v>170</v>
      </c>
      <c r="Z219" s="101" t="s">
        <v>171</v>
      </c>
      <c r="AA219" s="101" t="s">
        <v>50</v>
      </c>
      <c r="AB219" s="101" t="s">
        <v>172</v>
      </c>
      <c r="AC219" s="102" t="s">
        <v>173</v>
      </c>
    </row>
    <row r="220" spans="1:29" ht="25.5" customHeight="1" x14ac:dyDescent="0.35">
      <c r="A220" s="392"/>
      <c r="B220" s="393"/>
      <c r="C220" s="99" t="str">
        <f>IF(B220="","",IF(NOT(ISNUMBER(B220)),"DATA_PC invalida",IF(NOT(ISNUMBER(parametros!$C$2)),"Fora dos ciclos",IF(OR(B220&lt;parametros!$C$2,(YEAR(B220)-YEAR(parametros!$C$2))*12+MONTH(B220)-MONTH(parametros!$C$2)&gt;59),"Fora dos ciclos","C"&amp;INT(((YEAR(B220)-YEAR(parametros!$C$2))*12+MONTH(B220)-MONTH(parametros!$C$2))/12)))))</f>
        <v/>
      </c>
      <c r="D220" s="394"/>
      <c r="E220" s="78" t="str">
        <f>IF(C220="","",IFERROR(VLOOKUP(C220,parametros!$A$11:$E$15,5,0),""))</f>
        <v/>
      </c>
      <c r="F220" s="79" t="str">
        <f t="shared" si="17"/>
        <v/>
      </c>
      <c r="G220" s="395"/>
      <c r="H220" s="91">
        <f t="shared" si="18"/>
        <v>0</v>
      </c>
      <c r="I220" s="91" t="str">
        <f t="shared" si="19"/>
        <v/>
      </c>
      <c r="J220" s="91" t="str">
        <f t="shared" si="20"/>
        <v/>
      </c>
      <c r="K220" s="92" t="str">
        <f>IF(AND(A220="",B220="",D220="",G220=""),"",IF(AND(A220&lt;&gt;"",COUNTIF($A$2:$A$5001,A220)&gt;1),"NUMERO_PC duplicado",IF(B220="","DATA_PC vazia",IF(NOT(ISNUMBER(B220)),"DATA_PC invalida",IF(OR(C220="",C220="Fora dos ciclos"),"CICLO_PC nao identificado",IF(OR(D220="",D220=0),"VALOR_PC vazio ou zero",IF(AND(G220&lt;&gt;"Sim",G220&lt;&gt;"Nao",G220&lt;&gt;""),"PC_PAGO_A_CONTRATADA invalido",IF(AND(C220&lt;&gt;"C0",IFERROR(INDEX(parametros!$A$2:$A$6,MATCH(C220,parametros!$B$2:$B$6,0)),"")="Sim",IFERROR(INDEX(parametros!$H$2:$H$6,MATCH(C220,parametros!$B$2:$B$6,0)),"")=""),"INICIO_EFEITO ausente: PC "&amp;A220&amp;" - "&amp;C220,IF(L220="","EFEITO_PC nao calculado: PC "&amp;A220&amp;" - "&amp;C220,"OK")))))))))</f>
        <v/>
      </c>
      <c r="L220" s="92" t="str">
        <f>IF(AND(A220="",B220="",D220="",G220=""),"",IF(OR(B220="",NOT(ISNUMBER(B220)),C220="",C220="Fora dos ciclos"),"",IF(C220="C0","Nao",IF(IFERROR(INDEX(parametros!$A$2:$A$6,MATCH(C220,parametros!$B$2:$B$6,0)),"")&lt;&gt;"Sim","Nao",IF(IFERROR(INDEX(parametros!$H$2:$H$6,MATCH(C220,parametros!$B$2:$B$6,0)),"")="","",IF(B220&gt;=IFERROR(INDEX(parametros!$H$2:$H$6,MATCH(C220,parametros!$B$2:$B$6,0)),""),"Sim","Nao"))))))</f>
        <v/>
      </c>
      <c r="T220" s="156"/>
      <c r="U220" s="214" t="str">
        <f t="shared" si="21"/>
        <v/>
      </c>
      <c r="V220" s="212" t="s">
        <v>50</v>
      </c>
      <c r="W220" s="100" t="s">
        <v>168</v>
      </c>
      <c r="X220" s="100" t="s">
        <v>169</v>
      </c>
      <c r="Y220" s="101" t="s">
        <v>170</v>
      </c>
      <c r="Z220" s="101" t="s">
        <v>171</v>
      </c>
      <c r="AA220" s="101" t="s">
        <v>50</v>
      </c>
      <c r="AB220" s="101" t="s">
        <v>172</v>
      </c>
      <c r="AC220" s="102" t="s">
        <v>173</v>
      </c>
    </row>
    <row r="221" spans="1:29" ht="25.5" customHeight="1" x14ac:dyDescent="0.35">
      <c r="A221" s="392"/>
      <c r="B221" s="393"/>
      <c r="C221" s="99" t="str">
        <f>IF(B221="","",IF(NOT(ISNUMBER(B221)),"DATA_PC invalida",IF(NOT(ISNUMBER(parametros!$C$2)),"Fora dos ciclos",IF(OR(B221&lt;parametros!$C$2,(YEAR(B221)-YEAR(parametros!$C$2))*12+MONTH(B221)-MONTH(parametros!$C$2)&gt;59),"Fora dos ciclos","C"&amp;INT(((YEAR(B221)-YEAR(parametros!$C$2))*12+MONTH(B221)-MONTH(parametros!$C$2))/12)))))</f>
        <v/>
      </c>
      <c r="D221" s="394"/>
      <c r="E221" s="78" t="str">
        <f>IF(C221="","",IFERROR(VLOOKUP(C221,parametros!$A$11:$E$15,5,0),""))</f>
        <v/>
      </c>
      <c r="F221" s="79" t="str">
        <f t="shared" si="17"/>
        <v/>
      </c>
      <c r="G221" s="395"/>
      <c r="H221" s="91">
        <f t="shared" si="18"/>
        <v>0</v>
      </c>
      <c r="I221" s="91" t="str">
        <f t="shared" si="19"/>
        <v/>
      </c>
      <c r="J221" s="91" t="str">
        <f t="shared" si="20"/>
        <v/>
      </c>
      <c r="K221" s="92" t="str">
        <f>IF(AND(A221="",B221="",D221="",G221=""),"",IF(AND(A221&lt;&gt;"",COUNTIF($A$2:$A$5001,A221)&gt;1),"NUMERO_PC duplicado",IF(B221="","DATA_PC vazia",IF(NOT(ISNUMBER(B221)),"DATA_PC invalida",IF(OR(C221="",C221="Fora dos ciclos"),"CICLO_PC nao identificado",IF(OR(D221="",D221=0),"VALOR_PC vazio ou zero",IF(AND(G221&lt;&gt;"Sim",G221&lt;&gt;"Nao",G221&lt;&gt;""),"PC_PAGO_A_CONTRATADA invalido",IF(AND(C221&lt;&gt;"C0",IFERROR(INDEX(parametros!$A$2:$A$6,MATCH(C221,parametros!$B$2:$B$6,0)),"")="Sim",IFERROR(INDEX(parametros!$H$2:$H$6,MATCH(C221,parametros!$B$2:$B$6,0)),"")=""),"INICIO_EFEITO ausente: PC "&amp;A221&amp;" - "&amp;C221,IF(L221="","EFEITO_PC nao calculado: PC "&amp;A221&amp;" - "&amp;C221,"OK")))))))))</f>
        <v/>
      </c>
      <c r="L221" s="92" t="str">
        <f>IF(AND(A221="",B221="",D221="",G221=""),"",IF(OR(B221="",NOT(ISNUMBER(B221)),C221="",C221="Fora dos ciclos"),"",IF(C221="C0","Nao",IF(IFERROR(INDEX(parametros!$A$2:$A$6,MATCH(C221,parametros!$B$2:$B$6,0)),"")&lt;&gt;"Sim","Nao",IF(IFERROR(INDEX(parametros!$H$2:$H$6,MATCH(C221,parametros!$B$2:$B$6,0)),"")="","",IF(B221&gt;=IFERROR(INDEX(parametros!$H$2:$H$6,MATCH(C221,parametros!$B$2:$B$6,0)),""),"Sim","Nao"))))))</f>
        <v/>
      </c>
      <c r="T221" s="156"/>
      <c r="U221" s="214" t="str">
        <f t="shared" si="21"/>
        <v/>
      </c>
      <c r="V221" s="212" t="s">
        <v>50</v>
      </c>
      <c r="W221" s="100" t="s">
        <v>168</v>
      </c>
      <c r="X221" s="100" t="s">
        <v>169</v>
      </c>
      <c r="Y221" s="101" t="s">
        <v>170</v>
      </c>
      <c r="Z221" s="101" t="s">
        <v>171</v>
      </c>
      <c r="AA221" s="101" t="s">
        <v>50</v>
      </c>
      <c r="AB221" s="101" t="s">
        <v>172</v>
      </c>
      <c r="AC221" s="102" t="s">
        <v>173</v>
      </c>
    </row>
    <row r="222" spans="1:29" ht="25.5" customHeight="1" x14ac:dyDescent="0.35">
      <c r="A222" s="392"/>
      <c r="B222" s="393"/>
      <c r="C222" s="99" t="str">
        <f>IF(B222="","",IF(NOT(ISNUMBER(B222)),"DATA_PC invalida",IF(NOT(ISNUMBER(parametros!$C$2)),"Fora dos ciclos",IF(OR(B222&lt;parametros!$C$2,(YEAR(B222)-YEAR(parametros!$C$2))*12+MONTH(B222)-MONTH(parametros!$C$2)&gt;59),"Fora dos ciclos","C"&amp;INT(((YEAR(B222)-YEAR(parametros!$C$2))*12+MONTH(B222)-MONTH(parametros!$C$2))/12)))))</f>
        <v/>
      </c>
      <c r="D222" s="394"/>
      <c r="E222" s="78" t="str">
        <f>IF(C222="","",IFERROR(VLOOKUP(C222,parametros!$A$11:$E$15,5,0),""))</f>
        <v/>
      </c>
      <c r="F222" s="79" t="str">
        <f t="shared" si="17"/>
        <v/>
      </c>
      <c r="G222" s="395"/>
      <c r="H222" s="91">
        <f t="shared" si="18"/>
        <v>0</v>
      </c>
      <c r="I222" s="91" t="str">
        <f t="shared" si="19"/>
        <v/>
      </c>
      <c r="J222" s="91" t="str">
        <f t="shared" si="20"/>
        <v/>
      </c>
      <c r="K222" s="92" t="str">
        <f>IF(AND(A222="",B222="",D222="",G222=""),"",IF(AND(A222&lt;&gt;"",COUNTIF($A$2:$A$5001,A222)&gt;1),"NUMERO_PC duplicado",IF(B222="","DATA_PC vazia",IF(NOT(ISNUMBER(B222)),"DATA_PC invalida",IF(OR(C222="",C222="Fora dos ciclos"),"CICLO_PC nao identificado",IF(OR(D222="",D222=0),"VALOR_PC vazio ou zero",IF(AND(G222&lt;&gt;"Sim",G222&lt;&gt;"Nao",G222&lt;&gt;""),"PC_PAGO_A_CONTRATADA invalido",IF(AND(C222&lt;&gt;"C0",IFERROR(INDEX(parametros!$A$2:$A$6,MATCH(C222,parametros!$B$2:$B$6,0)),"")="Sim",IFERROR(INDEX(parametros!$H$2:$H$6,MATCH(C222,parametros!$B$2:$B$6,0)),"")=""),"INICIO_EFEITO ausente: PC "&amp;A222&amp;" - "&amp;C222,IF(L222="","EFEITO_PC nao calculado: PC "&amp;A222&amp;" - "&amp;C222,"OK")))))))))</f>
        <v/>
      </c>
      <c r="L222" s="92" t="str">
        <f>IF(AND(A222="",B222="",D222="",G222=""),"",IF(OR(B222="",NOT(ISNUMBER(B222)),C222="",C222="Fora dos ciclos"),"",IF(C222="C0","Nao",IF(IFERROR(INDEX(parametros!$A$2:$A$6,MATCH(C222,parametros!$B$2:$B$6,0)),"")&lt;&gt;"Sim","Nao",IF(IFERROR(INDEX(parametros!$H$2:$H$6,MATCH(C222,parametros!$B$2:$B$6,0)),"")="","",IF(B222&gt;=IFERROR(INDEX(parametros!$H$2:$H$6,MATCH(C222,parametros!$B$2:$B$6,0)),""),"Sim","Nao"))))))</f>
        <v/>
      </c>
      <c r="T222" s="156"/>
      <c r="U222" s="214" t="str">
        <f t="shared" si="21"/>
        <v/>
      </c>
      <c r="V222" s="212" t="s">
        <v>50</v>
      </c>
      <c r="W222" s="100" t="s">
        <v>168</v>
      </c>
      <c r="X222" s="100" t="s">
        <v>169</v>
      </c>
      <c r="Y222" s="101" t="s">
        <v>170</v>
      </c>
      <c r="Z222" s="101" t="s">
        <v>171</v>
      </c>
      <c r="AA222" s="101" t="s">
        <v>50</v>
      </c>
      <c r="AB222" s="101" t="s">
        <v>172</v>
      </c>
      <c r="AC222" s="102" t="s">
        <v>173</v>
      </c>
    </row>
    <row r="223" spans="1:29" ht="25.5" customHeight="1" x14ac:dyDescent="0.35">
      <c r="A223" s="392"/>
      <c r="B223" s="393"/>
      <c r="C223" s="99" t="str">
        <f>IF(B223="","",IF(NOT(ISNUMBER(B223)),"DATA_PC invalida",IF(NOT(ISNUMBER(parametros!$C$2)),"Fora dos ciclos",IF(OR(B223&lt;parametros!$C$2,(YEAR(B223)-YEAR(parametros!$C$2))*12+MONTH(B223)-MONTH(parametros!$C$2)&gt;59),"Fora dos ciclos","C"&amp;INT(((YEAR(B223)-YEAR(parametros!$C$2))*12+MONTH(B223)-MONTH(parametros!$C$2))/12)))))</f>
        <v/>
      </c>
      <c r="D223" s="394"/>
      <c r="E223" s="78" t="str">
        <f>IF(C223="","",IFERROR(VLOOKUP(C223,parametros!$A$11:$E$15,5,0),""))</f>
        <v/>
      </c>
      <c r="F223" s="79" t="str">
        <f t="shared" si="17"/>
        <v/>
      </c>
      <c r="G223" s="395"/>
      <c r="H223" s="91">
        <f t="shared" si="18"/>
        <v>0</v>
      </c>
      <c r="I223" s="91" t="str">
        <f t="shared" si="19"/>
        <v/>
      </c>
      <c r="J223" s="91" t="str">
        <f t="shared" si="20"/>
        <v/>
      </c>
      <c r="K223" s="92" t="str">
        <f>IF(AND(A223="",B223="",D223="",G223=""),"",IF(AND(A223&lt;&gt;"",COUNTIF($A$2:$A$5001,A223)&gt;1),"NUMERO_PC duplicado",IF(B223="","DATA_PC vazia",IF(NOT(ISNUMBER(B223)),"DATA_PC invalida",IF(OR(C223="",C223="Fora dos ciclos"),"CICLO_PC nao identificado",IF(OR(D223="",D223=0),"VALOR_PC vazio ou zero",IF(AND(G223&lt;&gt;"Sim",G223&lt;&gt;"Nao",G223&lt;&gt;""),"PC_PAGO_A_CONTRATADA invalido",IF(AND(C223&lt;&gt;"C0",IFERROR(INDEX(parametros!$A$2:$A$6,MATCH(C223,parametros!$B$2:$B$6,0)),"")="Sim",IFERROR(INDEX(parametros!$H$2:$H$6,MATCH(C223,parametros!$B$2:$B$6,0)),"")=""),"INICIO_EFEITO ausente: PC "&amp;A223&amp;" - "&amp;C223,IF(L223="","EFEITO_PC nao calculado: PC "&amp;A223&amp;" - "&amp;C223,"OK")))))))))</f>
        <v/>
      </c>
      <c r="L223" s="92" t="str">
        <f>IF(AND(A223="",B223="",D223="",G223=""),"",IF(OR(B223="",NOT(ISNUMBER(B223)),C223="",C223="Fora dos ciclos"),"",IF(C223="C0","Nao",IF(IFERROR(INDEX(parametros!$A$2:$A$6,MATCH(C223,parametros!$B$2:$B$6,0)),"")&lt;&gt;"Sim","Nao",IF(IFERROR(INDEX(parametros!$H$2:$H$6,MATCH(C223,parametros!$B$2:$B$6,0)),"")="","",IF(B223&gt;=IFERROR(INDEX(parametros!$H$2:$H$6,MATCH(C223,parametros!$B$2:$B$6,0)),""),"Sim","Nao"))))))</f>
        <v/>
      </c>
      <c r="T223" s="156"/>
      <c r="U223" s="214" t="str">
        <f t="shared" si="21"/>
        <v/>
      </c>
      <c r="V223" s="212" t="s">
        <v>50</v>
      </c>
      <c r="W223" s="100" t="s">
        <v>168</v>
      </c>
      <c r="X223" s="100" t="s">
        <v>169</v>
      </c>
      <c r="Y223" s="101" t="s">
        <v>170</v>
      </c>
      <c r="Z223" s="101" t="s">
        <v>171</v>
      </c>
      <c r="AA223" s="101" t="s">
        <v>50</v>
      </c>
      <c r="AB223" s="101" t="s">
        <v>172</v>
      </c>
      <c r="AC223" s="102" t="s">
        <v>173</v>
      </c>
    </row>
    <row r="224" spans="1:29" ht="25.5" customHeight="1" x14ac:dyDescent="0.35">
      <c r="A224" s="392"/>
      <c r="B224" s="393"/>
      <c r="C224" s="99" t="str">
        <f>IF(B224="","",IF(NOT(ISNUMBER(B224)),"DATA_PC invalida",IF(NOT(ISNUMBER(parametros!$C$2)),"Fora dos ciclos",IF(OR(B224&lt;parametros!$C$2,(YEAR(B224)-YEAR(parametros!$C$2))*12+MONTH(B224)-MONTH(parametros!$C$2)&gt;59),"Fora dos ciclos","C"&amp;INT(((YEAR(B224)-YEAR(parametros!$C$2))*12+MONTH(B224)-MONTH(parametros!$C$2))/12)))))</f>
        <v/>
      </c>
      <c r="D224" s="394"/>
      <c r="E224" s="78" t="str">
        <f>IF(C224="","",IFERROR(VLOOKUP(C224,parametros!$A$11:$E$15,5,0),""))</f>
        <v/>
      </c>
      <c r="F224" s="79" t="str">
        <f t="shared" si="17"/>
        <v/>
      </c>
      <c r="G224" s="395"/>
      <c r="H224" s="91">
        <f t="shared" si="18"/>
        <v>0</v>
      </c>
      <c r="I224" s="91" t="str">
        <f t="shared" si="19"/>
        <v/>
      </c>
      <c r="J224" s="91" t="str">
        <f t="shared" si="20"/>
        <v/>
      </c>
      <c r="K224" s="92" t="str">
        <f>IF(AND(A224="",B224="",D224="",G224=""),"",IF(AND(A224&lt;&gt;"",COUNTIF($A$2:$A$5001,A224)&gt;1),"NUMERO_PC duplicado",IF(B224="","DATA_PC vazia",IF(NOT(ISNUMBER(B224)),"DATA_PC invalida",IF(OR(C224="",C224="Fora dos ciclos"),"CICLO_PC nao identificado",IF(OR(D224="",D224=0),"VALOR_PC vazio ou zero",IF(AND(G224&lt;&gt;"Sim",G224&lt;&gt;"Nao",G224&lt;&gt;""),"PC_PAGO_A_CONTRATADA invalido",IF(AND(C224&lt;&gt;"C0",IFERROR(INDEX(parametros!$A$2:$A$6,MATCH(C224,parametros!$B$2:$B$6,0)),"")="Sim",IFERROR(INDEX(parametros!$H$2:$H$6,MATCH(C224,parametros!$B$2:$B$6,0)),"")=""),"INICIO_EFEITO ausente: PC "&amp;A224&amp;" - "&amp;C224,IF(L224="","EFEITO_PC nao calculado: PC "&amp;A224&amp;" - "&amp;C224,"OK")))))))))</f>
        <v/>
      </c>
      <c r="L224" s="92" t="str">
        <f>IF(AND(A224="",B224="",D224="",G224=""),"",IF(OR(B224="",NOT(ISNUMBER(B224)),C224="",C224="Fora dos ciclos"),"",IF(C224="C0","Nao",IF(IFERROR(INDEX(parametros!$A$2:$A$6,MATCH(C224,parametros!$B$2:$B$6,0)),"")&lt;&gt;"Sim","Nao",IF(IFERROR(INDEX(parametros!$H$2:$H$6,MATCH(C224,parametros!$B$2:$B$6,0)),"")="","",IF(B224&gt;=IFERROR(INDEX(parametros!$H$2:$H$6,MATCH(C224,parametros!$B$2:$B$6,0)),""),"Sim","Nao"))))))</f>
        <v/>
      </c>
      <c r="T224" s="156"/>
      <c r="U224" s="214" t="str">
        <f t="shared" si="21"/>
        <v/>
      </c>
      <c r="V224" s="212" t="s">
        <v>50</v>
      </c>
      <c r="W224" s="100" t="s">
        <v>168</v>
      </c>
      <c r="X224" s="100" t="s">
        <v>169</v>
      </c>
      <c r="Y224" s="101" t="s">
        <v>170</v>
      </c>
      <c r="Z224" s="101" t="s">
        <v>171</v>
      </c>
      <c r="AA224" s="101" t="s">
        <v>50</v>
      </c>
      <c r="AB224" s="101" t="s">
        <v>172</v>
      </c>
      <c r="AC224" s="102" t="s">
        <v>173</v>
      </c>
    </row>
    <row r="225" spans="1:29" ht="25.5" customHeight="1" x14ac:dyDescent="0.35">
      <c r="A225" s="392"/>
      <c r="B225" s="393"/>
      <c r="C225" s="99" t="str">
        <f>IF(B225="","",IF(NOT(ISNUMBER(B225)),"DATA_PC invalida",IF(NOT(ISNUMBER(parametros!$C$2)),"Fora dos ciclos",IF(OR(B225&lt;parametros!$C$2,(YEAR(B225)-YEAR(parametros!$C$2))*12+MONTH(B225)-MONTH(parametros!$C$2)&gt;59),"Fora dos ciclos","C"&amp;INT(((YEAR(B225)-YEAR(parametros!$C$2))*12+MONTH(B225)-MONTH(parametros!$C$2))/12)))))</f>
        <v/>
      </c>
      <c r="D225" s="394"/>
      <c r="E225" s="78" t="str">
        <f>IF(C225="","",IFERROR(VLOOKUP(C225,parametros!$A$11:$E$15,5,0),""))</f>
        <v/>
      </c>
      <c r="F225" s="79" t="str">
        <f t="shared" si="17"/>
        <v/>
      </c>
      <c r="G225" s="395"/>
      <c r="H225" s="91">
        <f t="shared" si="18"/>
        <v>0</v>
      </c>
      <c r="I225" s="91" t="str">
        <f t="shared" si="19"/>
        <v/>
      </c>
      <c r="J225" s="91" t="str">
        <f t="shared" si="20"/>
        <v/>
      </c>
      <c r="K225" s="92" t="str">
        <f>IF(AND(A225="",B225="",D225="",G225=""),"",IF(AND(A225&lt;&gt;"",COUNTIF($A$2:$A$5001,A225)&gt;1),"NUMERO_PC duplicado",IF(B225="","DATA_PC vazia",IF(NOT(ISNUMBER(B225)),"DATA_PC invalida",IF(OR(C225="",C225="Fora dos ciclos"),"CICLO_PC nao identificado",IF(OR(D225="",D225=0),"VALOR_PC vazio ou zero",IF(AND(G225&lt;&gt;"Sim",G225&lt;&gt;"Nao",G225&lt;&gt;""),"PC_PAGO_A_CONTRATADA invalido",IF(AND(C225&lt;&gt;"C0",IFERROR(INDEX(parametros!$A$2:$A$6,MATCH(C225,parametros!$B$2:$B$6,0)),"")="Sim",IFERROR(INDEX(parametros!$H$2:$H$6,MATCH(C225,parametros!$B$2:$B$6,0)),"")=""),"INICIO_EFEITO ausente: PC "&amp;A225&amp;" - "&amp;C225,IF(L225="","EFEITO_PC nao calculado: PC "&amp;A225&amp;" - "&amp;C225,"OK")))))))))</f>
        <v/>
      </c>
      <c r="L225" s="92" t="str">
        <f>IF(AND(A225="",B225="",D225="",G225=""),"",IF(OR(B225="",NOT(ISNUMBER(B225)),C225="",C225="Fora dos ciclos"),"",IF(C225="C0","Nao",IF(IFERROR(INDEX(parametros!$A$2:$A$6,MATCH(C225,parametros!$B$2:$B$6,0)),"")&lt;&gt;"Sim","Nao",IF(IFERROR(INDEX(parametros!$H$2:$H$6,MATCH(C225,parametros!$B$2:$B$6,0)),"")="","",IF(B225&gt;=IFERROR(INDEX(parametros!$H$2:$H$6,MATCH(C225,parametros!$B$2:$B$6,0)),""),"Sim","Nao"))))))</f>
        <v/>
      </c>
      <c r="T225" s="156"/>
      <c r="U225" s="214" t="str">
        <f t="shared" si="21"/>
        <v/>
      </c>
      <c r="V225" s="212" t="s">
        <v>50</v>
      </c>
      <c r="W225" s="100" t="s">
        <v>168</v>
      </c>
      <c r="X225" s="100" t="s">
        <v>169</v>
      </c>
      <c r="Y225" s="101" t="s">
        <v>170</v>
      </c>
      <c r="Z225" s="101" t="s">
        <v>171</v>
      </c>
      <c r="AA225" s="101" t="s">
        <v>50</v>
      </c>
      <c r="AB225" s="101" t="s">
        <v>172</v>
      </c>
      <c r="AC225" s="102" t="s">
        <v>173</v>
      </c>
    </row>
    <row r="226" spans="1:29" ht="25.5" customHeight="1" x14ac:dyDescent="0.35">
      <c r="A226" s="392"/>
      <c r="B226" s="393"/>
      <c r="C226" s="99" t="str">
        <f>IF(B226="","",IF(NOT(ISNUMBER(B226)),"DATA_PC invalida",IF(NOT(ISNUMBER(parametros!$C$2)),"Fora dos ciclos",IF(OR(B226&lt;parametros!$C$2,(YEAR(B226)-YEAR(parametros!$C$2))*12+MONTH(B226)-MONTH(parametros!$C$2)&gt;59),"Fora dos ciclos","C"&amp;INT(((YEAR(B226)-YEAR(parametros!$C$2))*12+MONTH(B226)-MONTH(parametros!$C$2))/12)))))</f>
        <v/>
      </c>
      <c r="D226" s="394"/>
      <c r="E226" s="78" t="str">
        <f>IF(C226="","",IFERROR(VLOOKUP(C226,parametros!$A$11:$E$15,5,0),""))</f>
        <v/>
      </c>
      <c r="F226" s="79" t="str">
        <f t="shared" si="17"/>
        <v/>
      </c>
      <c r="G226" s="395"/>
      <c r="H226" s="91">
        <f t="shared" si="18"/>
        <v>0</v>
      </c>
      <c r="I226" s="91" t="str">
        <f t="shared" si="19"/>
        <v/>
      </c>
      <c r="J226" s="91" t="str">
        <f t="shared" si="20"/>
        <v/>
      </c>
      <c r="K226" s="92" t="str">
        <f>IF(AND(A226="",B226="",D226="",G226=""),"",IF(AND(A226&lt;&gt;"",COUNTIF($A$2:$A$5001,A226)&gt;1),"NUMERO_PC duplicado",IF(B226="","DATA_PC vazia",IF(NOT(ISNUMBER(B226)),"DATA_PC invalida",IF(OR(C226="",C226="Fora dos ciclos"),"CICLO_PC nao identificado",IF(OR(D226="",D226=0),"VALOR_PC vazio ou zero",IF(AND(G226&lt;&gt;"Sim",G226&lt;&gt;"Nao",G226&lt;&gt;""),"PC_PAGO_A_CONTRATADA invalido",IF(AND(C226&lt;&gt;"C0",IFERROR(INDEX(parametros!$A$2:$A$6,MATCH(C226,parametros!$B$2:$B$6,0)),"")="Sim",IFERROR(INDEX(parametros!$H$2:$H$6,MATCH(C226,parametros!$B$2:$B$6,0)),"")=""),"INICIO_EFEITO ausente: PC "&amp;A226&amp;" - "&amp;C226,IF(L226="","EFEITO_PC nao calculado: PC "&amp;A226&amp;" - "&amp;C226,"OK")))))))))</f>
        <v/>
      </c>
      <c r="L226" s="92" t="str">
        <f>IF(AND(A226="",B226="",D226="",G226=""),"",IF(OR(B226="",NOT(ISNUMBER(B226)),C226="",C226="Fora dos ciclos"),"",IF(C226="C0","Nao",IF(IFERROR(INDEX(parametros!$A$2:$A$6,MATCH(C226,parametros!$B$2:$B$6,0)),"")&lt;&gt;"Sim","Nao",IF(IFERROR(INDEX(parametros!$H$2:$H$6,MATCH(C226,parametros!$B$2:$B$6,0)),"")="","",IF(B226&gt;=IFERROR(INDEX(parametros!$H$2:$H$6,MATCH(C226,parametros!$B$2:$B$6,0)),""),"Sim","Nao"))))))</f>
        <v/>
      </c>
      <c r="T226" s="156"/>
      <c r="U226" s="214" t="str">
        <f t="shared" si="21"/>
        <v/>
      </c>
      <c r="V226" s="212" t="s">
        <v>50</v>
      </c>
      <c r="W226" s="100" t="s">
        <v>168</v>
      </c>
      <c r="X226" s="100" t="s">
        <v>169</v>
      </c>
      <c r="Y226" s="101" t="s">
        <v>170</v>
      </c>
      <c r="Z226" s="101" t="s">
        <v>171</v>
      </c>
      <c r="AA226" s="101" t="s">
        <v>50</v>
      </c>
      <c r="AB226" s="101" t="s">
        <v>172</v>
      </c>
      <c r="AC226" s="102" t="s">
        <v>173</v>
      </c>
    </row>
    <row r="227" spans="1:29" ht="25.5" customHeight="1" x14ac:dyDescent="0.35">
      <c r="A227" s="392"/>
      <c r="B227" s="393"/>
      <c r="C227" s="99" t="str">
        <f>IF(B227="","",IF(NOT(ISNUMBER(B227)),"DATA_PC invalida",IF(NOT(ISNUMBER(parametros!$C$2)),"Fora dos ciclos",IF(OR(B227&lt;parametros!$C$2,(YEAR(B227)-YEAR(parametros!$C$2))*12+MONTH(B227)-MONTH(parametros!$C$2)&gt;59),"Fora dos ciclos","C"&amp;INT(((YEAR(B227)-YEAR(parametros!$C$2))*12+MONTH(B227)-MONTH(parametros!$C$2))/12)))))</f>
        <v/>
      </c>
      <c r="D227" s="394"/>
      <c r="E227" s="78" t="str">
        <f>IF(C227="","",IFERROR(VLOOKUP(C227,parametros!$A$11:$E$15,5,0),""))</f>
        <v/>
      </c>
      <c r="F227" s="79" t="str">
        <f t="shared" si="17"/>
        <v/>
      </c>
      <c r="G227" s="395"/>
      <c r="H227" s="91">
        <f t="shared" si="18"/>
        <v>0</v>
      </c>
      <c r="I227" s="91" t="str">
        <f t="shared" si="19"/>
        <v/>
      </c>
      <c r="J227" s="91" t="str">
        <f t="shared" si="20"/>
        <v/>
      </c>
      <c r="K227" s="92" t="str">
        <f>IF(AND(A227="",B227="",D227="",G227=""),"",IF(AND(A227&lt;&gt;"",COUNTIF($A$2:$A$5001,A227)&gt;1),"NUMERO_PC duplicado",IF(B227="","DATA_PC vazia",IF(NOT(ISNUMBER(B227)),"DATA_PC invalida",IF(OR(C227="",C227="Fora dos ciclos"),"CICLO_PC nao identificado",IF(OR(D227="",D227=0),"VALOR_PC vazio ou zero",IF(AND(G227&lt;&gt;"Sim",G227&lt;&gt;"Nao",G227&lt;&gt;""),"PC_PAGO_A_CONTRATADA invalido",IF(AND(C227&lt;&gt;"C0",IFERROR(INDEX(parametros!$A$2:$A$6,MATCH(C227,parametros!$B$2:$B$6,0)),"")="Sim",IFERROR(INDEX(parametros!$H$2:$H$6,MATCH(C227,parametros!$B$2:$B$6,0)),"")=""),"INICIO_EFEITO ausente: PC "&amp;A227&amp;" - "&amp;C227,IF(L227="","EFEITO_PC nao calculado: PC "&amp;A227&amp;" - "&amp;C227,"OK")))))))))</f>
        <v/>
      </c>
      <c r="L227" s="92" t="str">
        <f>IF(AND(A227="",B227="",D227="",G227=""),"",IF(OR(B227="",NOT(ISNUMBER(B227)),C227="",C227="Fora dos ciclos"),"",IF(C227="C0","Nao",IF(IFERROR(INDEX(parametros!$A$2:$A$6,MATCH(C227,parametros!$B$2:$B$6,0)),"")&lt;&gt;"Sim","Nao",IF(IFERROR(INDEX(parametros!$H$2:$H$6,MATCH(C227,parametros!$B$2:$B$6,0)),"")="","",IF(B227&gt;=IFERROR(INDEX(parametros!$H$2:$H$6,MATCH(C227,parametros!$B$2:$B$6,0)),""),"Sim","Nao"))))))</f>
        <v/>
      </c>
      <c r="T227" s="156"/>
      <c r="U227" s="214" t="str">
        <f t="shared" si="21"/>
        <v/>
      </c>
      <c r="V227" s="212" t="s">
        <v>50</v>
      </c>
      <c r="W227" s="100" t="s">
        <v>168</v>
      </c>
      <c r="X227" s="100" t="s">
        <v>169</v>
      </c>
      <c r="Y227" s="101" t="s">
        <v>170</v>
      </c>
      <c r="Z227" s="101" t="s">
        <v>171</v>
      </c>
      <c r="AA227" s="101" t="s">
        <v>50</v>
      </c>
      <c r="AB227" s="101" t="s">
        <v>172</v>
      </c>
      <c r="AC227" s="102" t="s">
        <v>173</v>
      </c>
    </row>
    <row r="228" spans="1:29" ht="25.5" customHeight="1" x14ac:dyDescent="0.35">
      <c r="A228" s="392"/>
      <c r="B228" s="393"/>
      <c r="C228" s="99" t="str">
        <f>IF(B228="","",IF(NOT(ISNUMBER(B228)),"DATA_PC invalida",IF(NOT(ISNUMBER(parametros!$C$2)),"Fora dos ciclos",IF(OR(B228&lt;parametros!$C$2,(YEAR(B228)-YEAR(parametros!$C$2))*12+MONTH(B228)-MONTH(parametros!$C$2)&gt;59),"Fora dos ciclos","C"&amp;INT(((YEAR(B228)-YEAR(parametros!$C$2))*12+MONTH(B228)-MONTH(parametros!$C$2))/12)))))</f>
        <v/>
      </c>
      <c r="D228" s="394"/>
      <c r="E228" s="78" t="str">
        <f>IF(C228="","",IFERROR(VLOOKUP(C228,parametros!$A$11:$E$15,5,0),""))</f>
        <v/>
      </c>
      <c r="F228" s="79" t="str">
        <f t="shared" si="17"/>
        <v/>
      </c>
      <c r="G228" s="395"/>
      <c r="H228" s="91">
        <f t="shared" si="18"/>
        <v>0</v>
      </c>
      <c r="I228" s="91" t="str">
        <f t="shared" si="19"/>
        <v/>
      </c>
      <c r="J228" s="91" t="str">
        <f t="shared" si="20"/>
        <v/>
      </c>
      <c r="K228" s="92" t="str">
        <f>IF(AND(A228="",B228="",D228="",G228=""),"",IF(AND(A228&lt;&gt;"",COUNTIF($A$2:$A$5001,A228)&gt;1),"NUMERO_PC duplicado",IF(B228="","DATA_PC vazia",IF(NOT(ISNUMBER(B228)),"DATA_PC invalida",IF(OR(C228="",C228="Fora dos ciclos"),"CICLO_PC nao identificado",IF(OR(D228="",D228=0),"VALOR_PC vazio ou zero",IF(AND(G228&lt;&gt;"Sim",G228&lt;&gt;"Nao",G228&lt;&gt;""),"PC_PAGO_A_CONTRATADA invalido",IF(AND(C228&lt;&gt;"C0",IFERROR(INDEX(parametros!$A$2:$A$6,MATCH(C228,parametros!$B$2:$B$6,0)),"")="Sim",IFERROR(INDEX(parametros!$H$2:$H$6,MATCH(C228,parametros!$B$2:$B$6,0)),"")=""),"INICIO_EFEITO ausente: PC "&amp;A228&amp;" - "&amp;C228,IF(L228="","EFEITO_PC nao calculado: PC "&amp;A228&amp;" - "&amp;C228,"OK")))))))))</f>
        <v/>
      </c>
      <c r="L228" s="92" t="str">
        <f>IF(AND(A228="",B228="",D228="",G228=""),"",IF(OR(B228="",NOT(ISNUMBER(B228)),C228="",C228="Fora dos ciclos"),"",IF(C228="C0","Nao",IF(IFERROR(INDEX(parametros!$A$2:$A$6,MATCH(C228,parametros!$B$2:$B$6,0)),"")&lt;&gt;"Sim","Nao",IF(IFERROR(INDEX(parametros!$H$2:$H$6,MATCH(C228,parametros!$B$2:$B$6,0)),"")="","",IF(B228&gt;=IFERROR(INDEX(parametros!$H$2:$H$6,MATCH(C228,parametros!$B$2:$B$6,0)),""),"Sim","Nao"))))))</f>
        <v/>
      </c>
      <c r="T228" s="156"/>
      <c r="U228" s="214" t="str">
        <f t="shared" si="21"/>
        <v/>
      </c>
      <c r="V228" s="212" t="s">
        <v>50</v>
      </c>
      <c r="W228" s="100" t="s">
        <v>168</v>
      </c>
      <c r="X228" s="100" t="s">
        <v>169</v>
      </c>
      <c r="Y228" s="101" t="s">
        <v>170</v>
      </c>
      <c r="Z228" s="101" t="s">
        <v>171</v>
      </c>
      <c r="AA228" s="101" t="s">
        <v>50</v>
      </c>
      <c r="AB228" s="101" t="s">
        <v>172</v>
      </c>
      <c r="AC228" s="102" t="s">
        <v>173</v>
      </c>
    </row>
    <row r="229" spans="1:29" ht="25.5" customHeight="1" x14ac:dyDescent="0.35">
      <c r="A229" s="392"/>
      <c r="B229" s="393"/>
      <c r="C229" s="99" t="str">
        <f>IF(B229="","",IF(NOT(ISNUMBER(B229)),"DATA_PC invalida",IF(NOT(ISNUMBER(parametros!$C$2)),"Fora dos ciclos",IF(OR(B229&lt;parametros!$C$2,(YEAR(B229)-YEAR(parametros!$C$2))*12+MONTH(B229)-MONTH(parametros!$C$2)&gt;59),"Fora dos ciclos","C"&amp;INT(((YEAR(B229)-YEAR(parametros!$C$2))*12+MONTH(B229)-MONTH(parametros!$C$2))/12)))))</f>
        <v/>
      </c>
      <c r="D229" s="394"/>
      <c r="E229" s="78" t="str">
        <f>IF(C229="","",IFERROR(VLOOKUP(C229,parametros!$A$11:$E$15,5,0),""))</f>
        <v/>
      </c>
      <c r="F229" s="79" t="str">
        <f t="shared" si="17"/>
        <v/>
      </c>
      <c r="G229" s="395"/>
      <c r="H229" s="91">
        <f t="shared" si="18"/>
        <v>0</v>
      </c>
      <c r="I229" s="91" t="str">
        <f t="shared" si="19"/>
        <v/>
      </c>
      <c r="J229" s="91" t="str">
        <f t="shared" si="20"/>
        <v/>
      </c>
      <c r="K229" s="92" t="str">
        <f>IF(AND(A229="",B229="",D229="",G229=""),"",IF(AND(A229&lt;&gt;"",COUNTIF($A$2:$A$5001,A229)&gt;1),"NUMERO_PC duplicado",IF(B229="","DATA_PC vazia",IF(NOT(ISNUMBER(B229)),"DATA_PC invalida",IF(OR(C229="",C229="Fora dos ciclos"),"CICLO_PC nao identificado",IF(OR(D229="",D229=0),"VALOR_PC vazio ou zero",IF(AND(G229&lt;&gt;"Sim",G229&lt;&gt;"Nao",G229&lt;&gt;""),"PC_PAGO_A_CONTRATADA invalido",IF(AND(C229&lt;&gt;"C0",IFERROR(INDEX(parametros!$A$2:$A$6,MATCH(C229,parametros!$B$2:$B$6,0)),"")="Sim",IFERROR(INDEX(parametros!$H$2:$H$6,MATCH(C229,parametros!$B$2:$B$6,0)),"")=""),"INICIO_EFEITO ausente: PC "&amp;A229&amp;" - "&amp;C229,IF(L229="","EFEITO_PC nao calculado: PC "&amp;A229&amp;" - "&amp;C229,"OK")))))))))</f>
        <v/>
      </c>
      <c r="L229" s="92" t="str">
        <f>IF(AND(A229="",B229="",D229="",G229=""),"",IF(OR(B229="",NOT(ISNUMBER(B229)),C229="",C229="Fora dos ciclos"),"",IF(C229="C0","Nao",IF(IFERROR(INDEX(parametros!$A$2:$A$6,MATCH(C229,parametros!$B$2:$B$6,0)),"")&lt;&gt;"Sim","Nao",IF(IFERROR(INDEX(parametros!$H$2:$H$6,MATCH(C229,parametros!$B$2:$B$6,0)),"")="","",IF(B229&gt;=IFERROR(INDEX(parametros!$H$2:$H$6,MATCH(C229,parametros!$B$2:$B$6,0)),""),"Sim","Nao"))))))</f>
        <v/>
      </c>
      <c r="T229" s="156"/>
      <c r="U229" s="214" t="str">
        <f t="shared" si="21"/>
        <v/>
      </c>
      <c r="V229" s="212" t="s">
        <v>50</v>
      </c>
      <c r="W229" s="100" t="s">
        <v>168</v>
      </c>
      <c r="X229" s="100" t="s">
        <v>169</v>
      </c>
      <c r="Y229" s="101" t="s">
        <v>170</v>
      </c>
      <c r="Z229" s="101" t="s">
        <v>171</v>
      </c>
      <c r="AA229" s="101" t="s">
        <v>50</v>
      </c>
      <c r="AB229" s="101" t="s">
        <v>172</v>
      </c>
      <c r="AC229" s="102" t="s">
        <v>173</v>
      </c>
    </row>
    <row r="230" spans="1:29" ht="25.5" customHeight="1" x14ac:dyDescent="0.35">
      <c r="A230" s="392"/>
      <c r="B230" s="393"/>
      <c r="C230" s="99" t="str">
        <f>IF(B230="","",IF(NOT(ISNUMBER(B230)),"DATA_PC invalida",IF(NOT(ISNUMBER(parametros!$C$2)),"Fora dos ciclos",IF(OR(B230&lt;parametros!$C$2,(YEAR(B230)-YEAR(parametros!$C$2))*12+MONTH(B230)-MONTH(parametros!$C$2)&gt;59),"Fora dos ciclos","C"&amp;INT(((YEAR(B230)-YEAR(parametros!$C$2))*12+MONTH(B230)-MONTH(parametros!$C$2))/12)))))</f>
        <v/>
      </c>
      <c r="D230" s="394"/>
      <c r="E230" s="78" t="str">
        <f>IF(C230="","",IFERROR(VLOOKUP(C230,parametros!$A$11:$E$15,5,0),""))</f>
        <v/>
      </c>
      <c r="F230" s="79" t="str">
        <f t="shared" si="17"/>
        <v/>
      </c>
      <c r="G230" s="395"/>
      <c r="H230" s="91">
        <f t="shared" si="18"/>
        <v>0</v>
      </c>
      <c r="I230" s="91" t="str">
        <f t="shared" si="19"/>
        <v/>
      </c>
      <c r="J230" s="91" t="str">
        <f t="shared" si="20"/>
        <v/>
      </c>
      <c r="K230" s="92" t="str">
        <f>IF(AND(A230="",B230="",D230="",G230=""),"",IF(AND(A230&lt;&gt;"",COUNTIF($A$2:$A$5001,A230)&gt;1),"NUMERO_PC duplicado",IF(B230="","DATA_PC vazia",IF(NOT(ISNUMBER(B230)),"DATA_PC invalida",IF(OR(C230="",C230="Fora dos ciclos"),"CICLO_PC nao identificado",IF(OR(D230="",D230=0),"VALOR_PC vazio ou zero",IF(AND(G230&lt;&gt;"Sim",G230&lt;&gt;"Nao",G230&lt;&gt;""),"PC_PAGO_A_CONTRATADA invalido",IF(AND(C230&lt;&gt;"C0",IFERROR(INDEX(parametros!$A$2:$A$6,MATCH(C230,parametros!$B$2:$B$6,0)),"")="Sim",IFERROR(INDEX(parametros!$H$2:$H$6,MATCH(C230,parametros!$B$2:$B$6,0)),"")=""),"INICIO_EFEITO ausente: PC "&amp;A230&amp;" - "&amp;C230,IF(L230="","EFEITO_PC nao calculado: PC "&amp;A230&amp;" - "&amp;C230,"OK")))))))))</f>
        <v/>
      </c>
      <c r="L230" s="92" t="str">
        <f>IF(AND(A230="",B230="",D230="",G230=""),"",IF(OR(B230="",NOT(ISNUMBER(B230)),C230="",C230="Fora dos ciclos"),"",IF(C230="C0","Nao",IF(IFERROR(INDEX(parametros!$A$2:$A$6,MATCH(C230,parametros!$B$2:$B$6,0)),"")&lt;&gt;"Sim","Nao",IF(IFERROR(INDEX(parametros!$H$2:$H$6,MATCH(C230,parametros!$B$2:$B$6,0)),"")="","",IF(B230&gt;=IFERROR(INDEX(parametros!$H$2:$H$6,MATCH(C230,parametros!$B$2:$B$6,0)),""),"Sim","Nao"))))))</f>
        <v/>
      </c>
      <c r="T230" s="156"/>
      <c r="U230" s="214" t="str">
        <f t="shared" si="21"/>
        <v/>
      </c>
      <c r="V230" s="212" t="s">
        <v>50</v>
      </c>
      <c r="W230" s="100" t="s">
        <v>168</v>
      </c>
      <c r="X230" s="100" t="s">
        <v>169</v>
      </c>
      <c r="Y230" s="101" t="s">
        <v>170</v>
      </c>
      <c r="Z230" s="101" t="s">
        <v>171</v>
      </c>
      <c r="AA230" s="101" t="s">
        <v>50</v>
      </c>
      <c r="AB230" s="101" t="s">
        <v>172</v>
      </c>
      <c r="AC230" s="102" t="s">
        <v>173</v>
      </c>
    </row>
    <row r="231" spans="1:29" ht="25.5" customHeight="1" x14ac:dyDescent="0.35">
      <c r="A231" s="392"/>
      <c r="B231" s="393"/>
      <c r="C231" s="99" t="str">
        <f>IF(B231="","",IF(NOT(ISNUMBER(B231)),"DATA_PC invalida",IF(NOT(ISNUMBER(parametros!$C$2)),"Fora dos ciclos",IF(OR(B231&lt;parametros!$C$2,(YEAR(B231)-YEAR(parametros!$C$2))*12+MONTH(B231)-MONTH(parametros!$C$2)&gt;59),"Fora dos ciclos","C"&amp;INT(((YEAR(B231)-YEAR(parametros!$C$2))*12+MONTH(B231)-MONTH(parametros!$C$2))/12)))))</f>
        <v/>
      </c>
      <c r="D231" s="394"/>
      <c r="E231" s="78" t="str">
        <f>IF(C231="","",IFERROR(VLOOKUP(C231,parametros!$A$11:$E$15,5,0),""))</f>
        <v/>
      </c>
      <c r="F231" s="79" t="str">
        <f t="shared" si="17"/>
        <v/>
      </c>
      <c r="G231" s="395"/>
      <c r="H231" s="91">
        <f t="shared" si="18"/>
        <v>0</v>
      </c>
      <c r="I231" s="91" t="str">
        <f t="shared" si="19"/>
        <v/>
      </c>
      <c r="J231" s="91" t="str">
        <f t="shared" si="20"/>
        <v/>
      </c>
      <c r="K231" s="92" t="str">
        <f>IF(AND(A231="",B231="",D231="",G231=""),"",IF(AND(A231&lt;&gt;"",COUNTIF($A$2:$A$5001,A231)&gt;1),"NUMERO_PC duplicado",IF(B231="","DATA_PC vazia",IF(NOT(ISNUMBER(B231)),"DATA_PC invalida",IF(OR(C231="",C231="Fora dos ciclos"),"CICLO_PC nao identificado",IF(OR(D231="",D231=0),"VALOR_PC vazio ou zero",IF(AND(G231&lt;&gt;"Sim",G231&lt;&gt;"Nao",G231&lt;&gt;""),"PC_PAGO_A_CONTRATADA invalido",IF(AND(C231&lt;&gt;"C0",IFERROR(INDEX(parametros!$A$2:$A$6,MATCH(C231,parametros!$B$2:$B$6,0)),"")="Sim",IFERROR(INDEX(parametros!$H$2:$H$6,MATCH(C231,parametros!$B$2:$B$6,0)),"")=""),"INICIO_EFEITO ausente: PC "&amp;A231&amp;" - "&amp;C231,IF(L231="","EFEITO_PC nao calculado: PC "&amp;A231&amp;" - "&amp;C231,"OK")))))))))</f>
        <v/>
      </c>
      <c r="L231" s="92" t="str">
        <f>IF(AND(A231="",B231="",D231="",G231=""),"",IF(OR(B231="",NOT(ISNUMBER(B231)),C231="",C231="Fora dos ciclos"),"",IF(C231="C0","Nao",IF(IFERROR(INDEX(parametros!$A$2:$A$6,MATCH(C231,parametros!$B$2:$B$6,0)),"")&lt;&gt;"Sim","Nao",IF(IFERROR(INDEX(parametros!$H$2:$H$6,MATCH(C231,parametros!$B$2:$B$6,0)),"")="","",IF(B231&gt;=IFERROR(INDEX(parametros!$H$2:$H$6,MATCH(C231,parametros!$B$2:$B$6,0)),""),"Sim","Nao"))))))</f>
        <v/>
      </c>
      <c r="T231" s="156"/>
      <c r="U231" s="214" t="str">
        <f t="shared" si="21"/>
        <v/>
      </c>
      <c r="V231" s="212" t="s">
        <v>50</v>
      </c>
      <c r="W231" s="100" t="s">
        <v>168</v>
      </c>
      <c r="X231" s="100" t="s">
        <v>169</v>
      </c>
      <c r="Y231" s="101" t="s">
        <v>170</v>
      </c>
      <c r="Z231" s="101" t="s">
        <v>171</v>
      </c>
      <c r="AA231" s="101" t="s">
        <v>50</v>
      </c>
      <c r="AB231" s="101" t="s">
        <v>172</v>
      </c>
      <c r="AC231" s="102" t="s">
        <v>173</v>
      </c>
    </row>
    <row r="232" spans="1:29" ht="25.5" customHeight="1" x14ac:dyDescent="0.35">
      <c r="A232" s="392"/>
      <c r="B232" s="393"/>
      <c r="C232" s="99" t="str">
        <f>IF(B232="","",IF(NOT(ISNUMBER(B232)),"DATA_PC invalida",IF(NOT(ISNUMBER(parametros!$C$2)),"Fora dos ciclos",IF(OR(B232&lt;parametros!$C$2,(YEAR(B232)-YEAR(parametros!$C$2))*12+MONTH(B232)-MONTH(parametros!$C$2)&gt;59),"Fora dos ciclos","C"&amp;INT(((YEAR(B232)-YEAR(parametros!$C$2))*12+MONTH(B232)-MONTH(parametros!$C$2))/12)))))</f>
        <v/>
      </c>
      <c r="D232" s="394"/>
      <c r="E232" s="78" t="str">
        <f>IF(C232="","",IFERROR(VLOOKUP(C232,parametros!$A$11:$E$15,5,0),""))</f>
        <v/>
      </c>
      <c r="F232" s="79" t="str">
        <f t="shared" si="17"/>
        <v/>
      </c>
      <c r="G232" s="395"/>
      <c r="H232" s="91">
        <f t="shared" si="18"/>
        <v>0</v>
      </c>
      <c r="I232" s="91" t="str">
        <f t="shared" si="19"/>
        <v/>
      </c>
      <c r="J232" s="91" t="str">
        <f t="shared" si="20"/>
        <v/>
      </c>
      <c r="K232" s="92" t="str">
        <f>IF(AND(A232="",B232="",D232="",G232=""),"",IF(AND(A232&lt;&gt;"",COUNTIF($A$2:$A$5001,A232)&gt;1),"NUMERO_PC duplicado",IF(B232="","DATA_PC vazia",IF(NOT(ISNUMBER(B232)),"DATA_PC invalida",IF(OR(C232="",C232="Fora dos ciclos"),"CICLO_PC nao identificado",IF(OR(D232="",D232=0),"VALOR_PC vazio ou zero",IF(AND(G232&lt;&gt;"Sim",G232&lt;&gt;"Nao",G232&lt;&gt;""),"PC_PAGO_A_CONTRATADA invalido",IF(AND(C232&lt;&gt;"C0",IFERROR(INDEX(parametros!$A$2:$A$6,MATCH(C232,parametros!$B$2:$B$6,0)),"")="Sim",IFERROR(INDEX(parametros!$H$2:$H$6,MATCH(C232,parametros!$B$2:$B$6,0)),"")=""),"INICIO_EFEITO ausente: PC "&amp;A232&amp;" - "&amp;C232,IF(L232="","EFEITO_PC nao calculado: PC "&amp;A232&amp;" - "&amp;C232,"OK")))))))))</f>
        <v/>
      </c>
      <c r="L232" s="92" t="str">
        <f>IF(AND(A232="",B232="",D232="",G232=""),"",IF(OR(B232="",NOT(ISNUMBER(B232)),C232="",C232="Fora dos ciclos"),"",IF(C232="C0","Nao",IF(IFERROR(INDEX(parametros!$A$2:$A$6,MATCH(C232,parametros!$B$2:$B$6,0)),"")&lt;&gt;"Sim","Nao",IF(IFERROR(INDEX(parametros!$H$2:$H$6,MATCH(C232,parametros!$B$2:$B$6,0)),"")="","",IF(B232&gt;=IFERROR(INDEX(parametros!$H$2:$H$6,MATCH(C232,parametros!$B$2:$B$6,0)),""),"Sim","Nao"))))))</f>
        <v/>
      </c>
      <c r="T232" s="156"/>
      <c r="U232" s="214" t="str">
        <f t="shared" si="21"/>
        <v/>
      </c>
      <c r="V232" s="212" t="s">
        <v>50</v>
      </c>
      <c r="W232" s="100" t="s">
        <v>168</v>
      </c>
      <c r="X232" s="100" t="s">
        <v>169</v>
      </c>
      <c r="Y232" s="101" t="s">
        <v>170</v>
      </c>
      <c r="Z232" s="101" t="s">
        <v>171</v>
      </c>
      <c r="AA232" s="101" t="s">
        <v>50</v>
      </c>
      <c r="AB232" s="101" t="s">
        <v>172</v>
      </c>
      <c r="AC232" s="102" t="s">
        <v>173</v>
      </c>
    </row>
    <row r="233" spans="1:29" ht="25.5" customHeight="1" x14ac:dyDescent="0.35">
      <c r="A233" s="392"/>
      <c r="B233" s="393"/>
      <c r="C233" s="99" t="str">
        <f>IF(B233="","",IF(NOT(ISNUMBER(B233)),"DATA_PC invalida",IF(NOT(ISNUMBER(parametros!$C$2)),"Fora dos ciclos",IF(OR(B233&lt;parametros!$C$2,(YEAR(B233)-YEAR(parametros!$C$2))*12+MONTH(B233)-MONTH(parametros!$C$2)&gt;59),"Fora dos ciclos","C"&amp;INT(((YEAR(B233)-YEAR(parametros!$C$2))*12+MONTH(B233)-MONTH(parametros!$C$2))/12)))))</f>
        <v/>
      </c>
      <c r="D233" s="394"/>
      <c r="E233" s="78" t="str">
        <f>IF(C233="","",IFERROR(VLOOKUP(C233,parametros!$A$11:$E$15,5,0),""))</f>
        <v/>
      </c>
      <c r="F233" s="79" t="str">
        <f t="shared" si="17"/>
        <v/>
      </c>
      <c r="G233" s="395"/>
      <c r="H233" s="91">
        <f t="shared" si="18"/>
        <v>0</v>
      </c>
      <c r="I233" s="91" t="str">
        <f t="shared" si="19"/>
        <v/>
      </c>
      <c r="J233" s="91" t="str">
        <f t="shared" si="20"/>
        <v/>
      </c>
      <c r="K233" s="92" t="str">
        <f>IF(AND(A233="",B233="",D233="",G233=""),"",IF(AND(A233&lt;&gt;"",COUNTIF($A$2:$A$5001,A233)&gt;1),"NUMERO_PC duplicado",IF(B233="","DATA_PC vazia",IF(NOT(ISNUMBER(B233)),"DATA_PC invalida",IF(OR(C233="",C233="Fora dos ciclos"),"CICLO_PC nao identificado",IF(OR(D233="",D233=0),"VALOR_PC vazio ou zero",IF(AND(G233&lt;&gt;"Sim",G233&lt;&gt;"Nao",G233&lt;&gt;""),"PC_PAGO_A_CONTRATADA invalido",IF(AND(C233&lt;&gt;"C0",IFERROR(INDEX(parametros!$A$2:$A$6,MATCH(C233,parametros!$B$2:$B$6,0)),"")="Sim",IFERROR(INDEX(parametros!$H$2:$H$6,MATCH(C233,parametros!$B$2:$B$6,0)),"")=""),"INICIO_EFEITO ausente: PC "&amp;A233&amp;" - "&amp;C233,IF(L233="","EFEITO_PC nao calculado: PC "&amp;A233&amp;" - "&amp;C233,"OK")))))))))</f>
        <v/>
      </c>
      <c r="L233" s="92" t="str">
        <f>IF(AND(A233="",B233="",D233="",G233=""),"",IF(OR(B233="",NOT(ISNUMBER(B233)),C233="",C233="Fora dos ciclos"),"",IF(C233="C0","Nao",IF(IFERROR(INDEX(parametros!$A$2:$A$6,MATCH(C233,parametros!$B$2:$B$6,0)),"")&lt;&gt;"Sim","Nao",IF(IFERROR(INDEX(parametros!$H$2:$H$6,MATCH(C233,parametros!$B$2:$B$6,0)),"")="","",IF(B233&gt;=IFERROR(INDEX(parametros!$H$2:$H$6,MATCH(C233,parametros!$B$2:$B$6,0)),""),"Sim","Nao"))))))</f>
        <v/>
      </c>
      <c r="T233" s="156"/>
      <c r="U233" s="214" t="str">
        <f t="shared" si="21"/>
        <v/>
      </c>
      <c r="V233" s="212" t="s">
        <v>50</v>
      </c>
      <c r="W233" s="100" t="s">
        <v>168</v>
      </c>
      <c r="X233" s="100" t="s">
        <v>169</v>
      </c>
      <c r="Y233" s="101" t="s">
        <v>170</v>
      </c>
      <c r="Z233" s="101" t="s">
        <v>171</v>
      </c>
      <c r="AA233" s="101" t="s">
        <v>50</v>
      </c>
      <c r="AB233" s="101" t="s">
        <v>172</v>
      </c>
      <c r="AC233" s="102" t="s">
        <v>173</v>
      </c>
    </row>
    <row r="234" spans="1:29" ht="25.5" customHeight="1" x14ac:dyDescent="0.35">
      <c r="A234" s="392"/>
      <c r="B234" s="393"/>
      <c r="C234" s="99" t="str">
        <f>IF(B234="","",IF(NOT(ISNUMBER(B234)),"DATA_PC invalida",IF(NOT(ISNUMBER(parametros!$C$2)),"Fora dos ciclos",IF(OR(B234&lt;parametros!$C$2,(YEAR(B234)-YEAR(parametros!$C$2))*12+MONTH(B234)-MONTH(parametros!$C$2)&gt;59),"Fora dos ciclos","C"&amp;INT(((YEAR(B234)-YEAR(parametros!$C$2))*12+MONTH(B234)-MONTH(parametros!$C$2))/12)))))</f>
        <v/>
      </c>
      <c r="D234" s="394"/>
      <c r="E234" s="78" t="str">
        <f>IF(C234="","",IFERROR(VLOOKUP(C234,parametros!$A$11:$E$15,5,0),""))</f>
        <v/>
      </c>
      <c r="F234" s="79" t="str">
        <f t="shared" si="17"/>
        <v/>
      </c>
      <c r="G234" s="395"/>
      <c r="H234" s="91">
        <f t="shared" si="18"/>
        <v>0</v>
      </c>
      <c r="I234" s="91" t="str">
        <f t="shared" si="19"/>
        <v/>
      </c>
      <c r="J234" s="91" t="str">
        <f t="shared" si="20"/>
        <v/>
      </c>
      <c r="K234" s="92" t="str">
        <f>IF(AND(A234="",B234="",D234="",G234=""),"",IF(AND(A234&lt;&gt;"",COUNTIF($A$2:$A$5001,A234)&gt;1),"NUMERO_PC duplicado",IF(B234="","DATA_PC vazia",IF(NOT(ISNUMBER(B234)),"DATA_PC invalida",IF(OR(C234="",C234="Fora dos ciclos"),"CICLO_PC nao identificado",IF(OR(D234="",D234=0),"VALOR_PC vazio ou zero",IF(AND(G234&lt;&gt;"Sim",G234&lt;&gt;"Nao",G234&lt;&gt;""),"PC_PAGO_A_CONTRATADA invalido",IF(AND(C234&lt;&gt;"C0",IFERROR(INDEX(parametros!$A$2:$A$6,MATCH(C234,parametros!$B$2:$B$6,0)),"")="Sim",IFERROR(INDEX(parametros!$H$2:$H$6,MATCH(C234,parametros!$B$2:$B$6,0)),"")=""),"INICIO_EFEITO ausente: PC "&amp;A234&amp;" - "&amp;C234,IF(L234="","EFEITO_PC nao calculado: PC "&amp;A234&amp;" - "&amp;C234,"OK")))))))))</f>
        <v/>
      </c>
      <c r="L234" s="92" t="str">
        <f>IF(AND(A234="",B234="",D234="",G234=""),"",IF(OR(B234="",NOT(ISNUMBER(B234)),C234="",C234="Fora dos ciclos"),"",IF(C234="C0","Nao",IF(IFERROR(INDEX(parametros!$A$2:$A$6,MATCH(C234,parametros!$B$2:$B$6,0)),"")&lt;&gt;"Sim","Nao",IF(IFERROR(INDEX(parametros!$H$2:$H$6,MATCH(C234,parametros!$B$2:$B$6,0)),"")="","",IF(B234&gt;=IFERROR(INDEX(parametros!$H$2:$H$6,MATCH(C234,parametros!$B$2:$B$6,0)),""),"Sim","Nao"))))))</f>
        <v/>
      </c>
      <c r="T234" s="156"/>
      <c r="U234" s="214" t="str">
        <f t="shared" si="21"/>
        <v/>
      </c>
      <c r="V234" s="212" t="s">
        <v>50</v>
      </c>
      <c r="W234" s="100" t="s">
        <v>168</v>
      </c>
      <c r="X234" s="100" t="s">
        <v>169</v>
      </c>
      <c r="Y234" s="101" t="s">
        <v>170</v>
      </c>
      <c r="Z234" s="101" t="s">
        <v>171</v>
      </c>
      <c r="AA234" s="101" t="s">
        <v>50</v>
      </c>
      <c r="AB234" s="101" t="s">
        <v>172</v>
      </c>
      <c r="AC234" s="102" t="s">
        <v>173</v>
      </c>
    </row>
    <row r="235" spans="1:29" ht="25.5" customHeight="1" x14ac:dyDescent="0.35">
      <c r="A235" s="392"/>
      <c r="B235" s="393"/>
      <c r="C235" s="99" t="str">
        <f>IF(B235="","",IF(NOT(ISNUMBER(B235)),"DATA_PC invalida",IF(NOT(ISNUMBER(parametros!$C$2)),"Fora dos ciclos",IF(OR(B235&lt;parametros!$C$2,(YEAR(B235)-YEAR(parametros!$C$2))*12+MONTH(B235)-MONTH(parametros!$C$2)&gt;59),"Fora dos ciclos","C"&amp;INT(((YEAR(B235)-YEAR(parametros!$C$2))*12+MONTH(B235)-MONTH(parametros!$C$2))/12)))))</f>
        <v/>
      </c>
      <c r="D235" s="394"/>
      <c r="E235" s="78" t="str">
        <f>IF(C235="","",IFERROR(VLOOKUP(C235,parametros!$A$11:$E$15,5,0),""))</f>
        <v/>
      </c>
      <c r="F235" s="79" t="str">
        <f t="shared" si="17"/>
        <v/>
      </c>
      <c r="G235" s="395"/>
      <c r="H235" s="91">
        <f t="shared" si="18"/>
        <v>0</v>
      </c>
      <c r="I235" s="91" t="str">
        <f t="shared" si="19"/>
        <v/>
      </c>
      <c r="J235" s="91" t="str">
        <f t="shared" si="20"/>
        <v/>
      </c>
      <c r="K235" s="92" t="str">
        <f>IF(AND(A235="",B235="",D235="",G235=""),"",IF(AND(A235&lt;&gt;"",COUNTIF($A$2:$A$5001,A235)&gt;1),"NUMERO_PC duplicado",IF(B235="","DATA_PC vazia",IF(NOT(ISNUMBER(B235)),"DATA_PC invalida",IF(OR(C235="",C235="Fora dos ciclos"),"CICLO_PC nao identificado",IF(OR(D235="",D235=0),"VALOR_PC vazio ou zero",IF(AND(G235&lt;&gt;"Sim",G235&lt;&gt;"Nao",G235&lt;&gt;""),"PC_PAGO_A_CONTRATADA invalido",IF(AND(C235&lt;&gt;"C0",IFERROR(INDEX(parametros!$A$2:$A$6,MATCH(C235,parametros!$B$2:$B$6,0)),"")="Sim",IFERROR(INDEX(parametros!$H$2:$H$6,MATCH(C235,parametros!$B$2:$B$6,0)),"")=""),"INICIO_EFEITO ausente: PC "&amp;A235&amp;" - "&amp;C235,IF(L235="","EFEITO_PC nao calculado: PC "&amp;A235&amp;" - "&amp;C235,"OK")))))))))</f>
        <v/>
      </c>
      <c r="L235" s="92" t="str">
        <f>IF(AND(A235="",B235="",D235="",G235=""),"",IF(OR(B235="",NOT(ISNUMBER(B235)),C235="",C235="Fora dos ciclos"),"",IF(C235="C0","Nao",IF(IFERROR(INDEX(parametros!$A$2:$A$6,MATCH(C235,parametros!$B$2:$B$6,0)),"")&lt;&gt;"Sim","Nao",IF(IFERROR(INDEX(parametros!$H$2:$H$6,MATCH(C235,parametros!$B$2:$B$6,0)),"")="","",IF(B235&gt;=IFERROR(INDEX(parametros!$H$2:$H$6,MATCH(C235,parametros!$B$2:$B$6,0)),""),"Sim","Nao"))))))</f>
        <v/>
      </c>
      <c r="T235" s="156"/>
      <c r="U235" s="214" t="str">
        <f t="shared" si="21"/>
        <v/>
      </c>
      <c r="V235" s="212" t="s">
        <v>50</v>
      </c>
      <c r="W235" s="100" t="s">
        <v>168</v>
      </c>
      <c r="X235" s="100" t="s">
        <v>169</v>
      </c>
      <c r="Y235" s="101" t="s">
        <v>170</v>
      </c>
      <c r="Z235" s="101" t="s">
        <v>171</v>
      </c>
      <c r="AA235" s="101" t="s">
        <v>50</v>
      </c>
      <c r="AB235" s="101" t="s">
        <v>172</v>
      </c>
      <c r="AC235" s="102" t="s">
        <v>173</v>
      </c>
    </row>
    <row r="236" spans="1:29" ht="25.5" customHeight="1" x14ac:dyDescent="0.35">
      <c r="A236" s="392"/>
      <c r="B236" s="393"/>
      <c r="C236" s="99" t="str">
        <f>IF(B236="","",IF(NOT(ISNUMBER(B236)),"DATA_PC invalida",IF(NOT(ISNUMBER(parametros!$C$2)),"Fora dos ciclos",IF(OR(B236&lt;parametros!$C$2,(YEAR(B236)-YEAR(parametros!$C$2))*12+MONTH(B236)-MONTH(parametros!$C$2)&gt;59),"Fora dos ciclos","C"&amp;INT(((YEAR(B236)-YEAR(parametros!$C$2))*12+MONTH(B236)-MONTH(parametros!$C$2))/12)))))</f>
        <v/>
      </c>
      <c r="D236" s="394"/>
      <c r="E236" s="78" t="str">
        <f>IF(C236="","",IFERROR(VLOOKUP(C236,parametros!$A$11:$E$15,5,0),""))</f>
        <v/>
      </c>
      <c r="F236" s="79" t="str">
        <f t="shared" si="17"/>
        <v/>
      </c>
      <c r="G236" s="395"/>
      <c r="H236" s="91">
        <f t="shared" si="18"/>
        <v>0</v>
      </c>
      <c r="I236" s="91" t="str">
        <f t="shared" si="19"/>
        <v/>
      </c>
      <c r="J236" s="91" t="str">
        <f t="shared" si="20"/>
        <v/>
      </c>
      <c r="K236" s="92" t="str">
        <f>IF(AND(A236="",B236="",D236="",G236=""),"",IF(AND(A236&lt;&gt;"",COUNTIF($A$2:$A$5001,A236)&gt;1),"NUMERO_PC duplicado",IF(B236="","DATA_PC vazia",IF(NOT(ISNUMBER(B236)),"DATA_PC invalida",IF(OR(C236="",C236="Fora dos ciclos"),"CICLO_PC nao identificado",IF(OR(D236="",D236=0),"VALOR_PC vazio ou zero",IF(AND(G236&lt;&gt;"Sim",G236&lt;&gt;"Nao",G236&lt;&gt;""),"PC_PAGO_A_CONTRATADA invalido",IF(AND(C236&lt;&gt;"C0",IFERROR(INDEX(parametros!$A$2:$A$6,MATCH(C236,parametros!$B$2:$B$6,0)),"")="Sim",IFERROR(INDEX(parametros!$H$2:$H$6,MATCH(C236,parametros!$B$2:$B$6,0)),"")=""),"INICIO_EFEITO ausente: PC "&amp;A236&amp;" - "&amp;C236,IF(L236="","EFEITO_PC nao calculado: PC "&amp;A236&amp;" - "&amp;C236,"OK")))))))))</f>
        <v/>
      </c>
      <c r="L236" s="92" t="str">
        <f>IF(AND(A236="",B236="",D236="",G236=""),"",IF(OR(B236="",NOT(ISNUMBER(B236)),C236="",C236="Fora dos ciclos"),"",IF(C236="C0","Nao",IF(IFERROR(INDEX(parametros!$A$2:$A$6,MATCH(C236,parametros!$B$2:$B$6,0)),"")&lt;&gt;"Sim","Nao",IF(IFERROR(INDEX(parametros!$H$2:$H$6,MATCH(C236,parametros!$B$2:$B$6,0)),"")="","",IF(B236&gt;=IFERROR(INDEX(parametros!$H$2:$H$6,MATCH(C236,parametros!$B$2:$B$6,0)),""),"Sim","Nao"))))))</f>
        <v/>
      </c>
      <c r="T236" s="156"/>
      <c r="U236" s="214" t="str">
        <f t="shared" si="21"/>
        <v/>
      </c>
      <c r="V236" s="212" t="s">
        <v>50</v>
      </c>
      <c r="W236" s="100" t="s">
        <v>168</v>
      </c>
      <c r="X236" s="100" t="s">
        <v>169</v>
      </c>
      <c r="Y236" s="101" t="s">
        <v>170</v>
      </c>
      <c r="Z236" s="101" t="s">
        <v>171</v>
      </c>
      <c r="AA236" s="101" t="s">
        <v>50</v>
      </c>
      <c r="AB236" s="101" t="s">
        <v>172</v>
      </c>
      <c r="AC236" s="102" t="s">
        <v>173</v>
      </c>
    </row>
    <row r="237" spans="1:29" ht="25.5" customHeight="1" x14ac:dyDescent="0.35">
      <c r="A237" s="392"/>
      <c r="B237" s="393"/>
      <c r="C237" s="99" t="str">
        <f>IF(B237="","",IF(NOT(ISNUMBER(B237)),"DATA_PC invalida",IF(NOT(ISNUMBER(parametros!$C$2)),"Fora dos ciclos",IF(OR(B237&lt;parametros!$C$2,(YEAR(B237)-YEAR(parametros!$C$2))*12+MONTH(B237)-MONTH(parametros!$C$2)&gt;59),"Fora dos ciclos","C"&amp;INT(((YEAR(B237)-YEAR(parametros!$C$2))*12+MONTH(B237)-MONTH(parametros!$C$2))/12)))))</f>
        <v/>
      </c>
      <c r="D237" s="394"/>
      <c r="E237" s="78" t="str">
        <f>IF(C237="","",IFERROR(VLOOKUP(C237,parametros!$A$11:$E$15,5,0),""))</f>
        <v/>
      </c>
      <c r="F237" s="79" t="str">
        <f t="shared" si="17"/>
        <v/>
      </c>
      <c r="G237" s="395"/>
      <c r="H237" s="91">
        <f t="shared" si="18"/>
        <v>0</v>
      </c>
      <c r="I237" s="91" t="str">
        <f t="shared" si="19"/>
        <v/>
      </c>
      <c r="J237" s="91" t="str">
        <f t="shared" si="20"/>
        <v/>
      </c>
      <c r="K237" s="92" t="str">
        <f>IF(AND(A237="",B237="",D237="",G237=""),"",IF(AND(A237&lt;&gt;"",COUNTIF($A$2:$A$5001,A237)&gt;1),"NUMERO_PC duplicado",IF(B237="","DATA_PC vazia",IF(NOT(ISNUMBER(B237)),"DATA_PC invalida",IF(OR(C237="",C237="Fora dos ciclos"),"CICLO_PC nao identificado",IF(OR(D237="",D237=0),"VALOR_PC vazio ou zero",IF(AND(G237&lt;&gt;"Sim",G237&lt;&gt;"Nao",G237&lt;&gt;""),"PC_PAGO_A_CONTRATADA invalido",IF(AND(C237&lt;&gt;"C0",IFERROR(INDEX(parametros!$A$2:$A$6,MATCH(C237,parametros!$B$2:$B$6,0)),"")="Sim",IFERROR(INDEX(parametros!$H$2:$H$6,MATCH(C237,parametros!$B$2:$B$6,0)),"")=""),"INICIO_EFEITO ausente: PC "&amp;A237&amp;" - "&amp;C237,IF(L237="","EFEITO_PC nao calculado: PC "&amp;A237&amp;" - "&amp;C237,"OK")))))))))</f>
        <v/>
      </c>
      <c r="L237" s="92" t="str">
        <f>IF(AND(A237="",B237="",D237="",G237=""),"",IF(OR(B237="",NOT(ISNUMBER(B237)),C237="",C237="Fora dos ciclos"),"",IF(C237="C0","Nao",IF(IFERROR(INDEX(parametros!$A$2:$A$6,MATCH(C237,parametros!$B$2:$B$6,0)),"")&lt;&gt;"Sim","Nao",IF(IFERROR(INDEX(parametros!$H$2:$H$6,MATCH(C237,parametros!$B$2:$B$6,0)),"")="","",IF(B237&gt;=IFERROR(INDEX(parametros!$H$2:$H$6,MATCH(C237,parametros!$B$2:$B$6,0)),""),"Sim","Nao"))))))</f>
        <v/>
      </c>
      <c r="T237" s="156"/>
      <c r="U237" s="214" t="str">
        <f t="shared" si="21"/>
        <v/>
      </c>
      <c r="V237" s="212" t="s">
        <v>50</v>
      </c>
      <c r="W237" s="100" t="s">
        <v>168</v>
      </c>
      <c r="X237" s="100" t="s">
        <v>169</v>
      </c>
      <c r="Y237" s="101" t="s">
        <v>170</v>
      </c>
      <c r="Z237" s="101" t="s">
        <v>171</v>
      </c>
      <c r="AA237" s="101" t="s">
        <v>50</v>
      </c>
      <c r="AB237" s="101" t="s">
        <v>172</v>
      </c>
      <c r="AC237" s="102" t="s">
        <v>173</v>
      </c>
    </row>
    <row r="238" spans="1:29" ht="25.5" customHeight="1" x14ac:dyDescent="0.35">
      <c r="A238" s="392"/>
      <c r="B238" s="393"/>
      <c r="C238" s="99" t="str">
        <f>IF(B238="","",IF(NOT(ISNUMBER(B238)),"DATA_PC invalida",IF(NOT(ISNUMBER(parametros!$C$2)),"Fora dos ciclos",IF(OR(B238&lt;parametros!$C$2,(YEAR(B238)-YEAR(parametros!$C$2))*12+MONTH(B238)-MONTH(parametros!$C$2)&gt;59),"Fora dos ciclos","C"&amp;INT(((YEAR(B238)-YEAR(parametros!$C$2))*12+MONTH(B238)-MONTH(parametros!$C$2))/12)))))</f>
        <v/>
      </c>
      <c r="D238" s="394"/>
      <c r="E238" s="78" t="str">
        <f>IF(C238="","",IFERROR(VLOOKUP(C238,parametros!$A$11:$E$15,5,0),""))</f>
        <v/>
      </c>
      <c r="F238" s="79" t="str">
        <f t="shared" si="17"/>
        <v/>
      </c>
      <c r="G238" s="395"/>
      <c r="H238" s="91">
        <f t="shared" si="18"/>
        <v>0</v>
      </c>
      <c r="I238" s="91" t="str">
        <f t="shared" si="19"/>
        <v/>
      </c>
      <c r="J238" s="91" t="str">
        <f t="shared" si="20"/>
        <v/>
      </c>
      <c r="K238" s="92" t="str">
        <f>IF(AND(A238="",B238="",D238="",G238=""),"",IF(AND(A238&lt;&gt;"",COUNTIF($A$2:$A$5001,A238)&gt;1),"NUMERO_PC duplicado",IF(B238="","DATA_PC vazia",IF(NOT(ISNUMBER(B238)),"DATA_PC invalida",IF(OR(C238="",C238="Fora dos ciclos"),"CICLO_PC nao identificado",IF(OR(D238="",D238=0),"VALOR_PC vazio ou zero",IF(AND(G238&lt;&gt;"Sim",G238&lt;&gt;"Nao",G238&lt;&gt;""),"PC_PAGO_A_CONTRATADA invalido",IF(AND(C238&lt;&gt;"C0",IFERROR(INDEX(parametros!$A$2:$A$6,MATCH(C238,parametros!$B$2:$B$6,0)),"")="Sim",IFERROR(INDEX(parametros!$H$2:$H$6,MATCH(C238,parametros!$B$2:$B$6,0)),"")=""),"INICIO_EFEITO ausente: PC "&amp;A238&amp;" - "&amp;C238,IF(L238="","EFEITO_PC nao calculado: PC "&amp;A238&amp;" - "&amp;C238,"OK")))))))))</f>
        <v/>
      </c>
      <c r="L238" s="92" t="str">
        <f>IF(AND(A238="",B238="",D238="",G238=""),"",IF(OR(B238="",NOT(ISNUMBER(B238)),C238="",C238="Fora dos ciclos"),"",IF(C238="C0","Nao",IF(IFERROR(INDEX(parametros!$A$2:$A$6,MATCH(C238,parametros!$B$2:$B$6,0)),"")&lt;&gt;"Sim","Nao",IF(IFERROR(INDEX(parametros!$H$2:$H$6,MATCH(C238,parametros!$B$2:$B$6,0)),"")="","",IF(B238&gt;=IFERROR(INDEX(parametros!$H$2:$H$6,MATCH(C238,parametros!$B$2:$B$6,0)),""),"Sim","Nao"))))))</f>
        <v/>
      </c>
      <c r="T238" s="156"/>
      <c r="U238" s="214" t="str">
        <f t="shared" si="21"/>
        <v/>
      </c>
      <c r="V238" s="212" t="s">
        <v>50</v>
      </c>
      <c r="W238" s="100" t="s">
        <v>168</v>
      </c>
      <c r="X238" s="100" t="s">
        <v>169</v>
      </c>
      <c r="Y238" s="101" t="s">
        <v>170</v>
      </c>
      <c r="Z238" s="101" t="s">
        <v>171</v>
      </c>
      <c r="AA238" s="101" t="s">
        <v>50</v>
      </c>
      <c r="AB238" s="101" t="s">
        <v>172</v>
      </c>
      <c r="AC238" s="102" t="s">
        <v>173</v>
      </c>
    </row>
    <row r="239" spans="1:29" ht="25.5" customHeight="1" x14ac:dyDescent="0.35">
      <c r="A239" s="392"/>
      <c r="B239" s="393"/>
      <c r="C239" s="99" t="str">
        <f>IF(B239="","",IF(NOT(ISNUMBER(B239)),"DATA_PC invalida",IF(NOT(ISNUMBER(parametros!$C$2)),"Fora dos ciclos",IF(OR(B239&lt;parametros!$C$2,(YEAR(B239)-YEAR(parametros!$C$2))*12+MONTH(B239)-MONTH(parametros!$C$2)&gt;59),"Fora dos ciclos","C"&amp;INT(((YEAR(B239)-YEAR(parametros!$C$2))*12+MONTH(B239)-MONTH(parametros!$C$2))/12)))))</f>
        <v/>
      </c>
      <c r="D239" s="394"/>
      <c r="E239" s="78" t="str">
        <f>IF(C239="","",IFERROR(VLOOKUP(C239,parametros!$A$11:$E$15,5,0),""))</f>
        <v/>
      </c>
      <c r="F239" s="79" t="str">
        <f t="shared" si="17"/>
        <v/>
      </c>
      <c r="G239" s="395"/>
      <c r="H239" s="91">
        <f t="shared" si="18"/>
        <v>0</v>
      </c>
      <c r="I239" s="91" t="str">
        <f t="shared" si="19"/>
        <v/>
      </c>
      <c r="J239" s="91" t="str">
        <f t="shared" si="20"/>
        <v/>
      </c>
      <c r="K239" s="92" t="str">
        <f>IF(AND(A239="",B239="",D239="",G239=""),"",IF(AND(A239&lt;&gt;"",COUNTIF($A$2:$A$5001,A239)&gt;1),"NUMERO_PC duplicado",IF(B239="","DATA_PC vazia",IF(NOT(ISNUMBER(B239)),"DATA_PC invalida",IF(OR(C239="",C239="Fora dos ciclos"),"CICLO_PC nao identificado",IF(OR(D239="",D239=0),"VALOR_PC vazio ou zero",IF(AND(G239&lt;&gt;"Sim",G239&lt;&gt;"Nao",G239&lt;&gt;""),"PC_PAGO_A_CONTRATADA invalido",IF(AND(C239&lt;&gt;"C0",IFERROR(INDEX(parametros!$A$2:$A$6,MATCH(C239,parametros!$B$2:$B$6,0)),"")="Sim",IFERROR(INDEX(parametros!$H$2:$H$6,MATCH(C239,parametros!$B$2:$B$6,0)),"")=""),"INICIO_EFEITO ausente: PC "&amp;A239&amp;" - "&amp;C239,IF(L239="","EFEITO_PC nao calculado: PC "&amp;A239&amp;" - "&amp;C239,"OK")))))))))</f>
        <v/>
      </c>
      <c r="L239" s="92" t="str">
        <f>IF(AND(A239="",B239="",D239="",G239=""),"",IF(OR(B239="",NOT(ISNUMBER(B239)),C239="",C239="Fora dos ciclos"),"",IF(C239="C0","Nao",IF(IFERROR(INDEX(parametros!$A$2:$A$6,MATCH(C239,parametros!$B$2:$B$6,0)),"")&lt;&gt;"Sim","Nao",IF(IFERROR(INDEX(parametros!$H$2:$H$6,MATCH(C239,parametros!$B$2:$B$6,0)),"")="","",IF(B239&gt;=IFERROR(INDEX(parametros!$H$2:$H$6,MATCH(C239,parametros!$B$2:$B$6,0)),""),"Sim","Nao"))))))</f>
        <v/>
      </c>
      <c r="T239" s="156"/>
      <c r="U239" s="214" t="str">
        <f t="shared" si="21"/>
        <v/>
      </c>
      <c r="V239" s="212" t="s">
        <v>50</v>
      </c>
      <c r="W239" s="100" t="s">
        <v>168</v>
      </c>
      <c r="X239" s="100" t="s">
        <v>169</v>
      </c>
      <c r="Y239" s="101" t="s">
        <v>170</v>
      </c>
      <c r="Z239" s="101" t="s">
        <v>171</v>
      </c>
      <c r="AA239" s="101" t="s">
        <v>50</v>
      </c>
      <c r="AB239" s="101" t="s">
        <v>172</v>
      </c>
      <c r="AC239" s="102" t="s">
        <v>173</v>
      </c>
    </row>
    <row r="240" spans="1:29" ht="25.5" customHeight="1" x14ac:dyDescent="0.35">
      <c r="A240" s="392"/>
      <c r="B240" s="393"/>
      <c r="C240" s="99" t="str">
        <f>IF(B240="","",IF(NOT(ISNUMBER(B240)),"DATA_PC invalida",IF(NOT(ISNUMBER(parametros!$C$2)),"Fora dos ciclos",IF(OR(B240&lt;parametros!$C$2,(YEAR(B240)-YEAR(parametros!$C$2))*12+MONTH(B240)-MONTH(parametros!$C$2)&gt;59),"Fora dos ciclos","C"&amp;INT(((YEAR(B240)-YEAR(parametros!$C$2))*12+MONTH(B240)-MONTH(parametros!$C$2))/12)))))</f>
        <v/>
      </c>
      <c r="D240" s="394"/>
      <c r="E240" s="78" t="str">
        <f>IF(C240="","",IFERROR(VLOOKUP(C240,parametros!$A$11:$E$15,5,0),""))</f>
        <v/>
      </c>
      <c r="F240" s="79" t="str">
        <f t="shared" si="17"/>
        <v/>
      </c>
      <c r="G240" s="395"/>
      <c r="H240" s="91">
        <f t="shared" si="18"/>
        <v>0</v>
      </c>
      <c r="I240" s="91" t="str">
        <f t="shared" si="19"/>
        <v/>
      </c>
      <c r="J240" s="91" t="str">
        <f t="shared" si="20"/>
        <v/>
      </c>
      <c r="K240" s="92" t="str">
        <f>IF(AND(A240="",B240="",D240="",G240=""),"",IF(AND(A240&lt;&gt;"",COUNTIF($A$2:$A$5001,A240)&gt;1),"NUMERO_PC duplicado",IF(B240="","DATA_PC vazia",IF(NOT(ISNUMBER(B240)),"DATA_PC invalida",IF(OR(C240="",C240="Fora dos ciclos"),"CICLO_PC nao identificado",IF(OR(D240="",D240=0),"VALOR_PC vazio ou zero",IF(AND(G240&lt;&gt;"Sim",G240&lt;&gt;"Nao",G240&lt;&gt;""),"PC_PAGO_A_CONTRATADA invalido",IF(AND(C240&lt;&gt;"C0",IFERROR(INDEX(parametros!$A$2:$A$6,MATCH(C240,parametros!$B$2:$B$6,0)),"")="Sim",IFERROR(INDEX(parametros!$H$2:$H$6,MATCH(C240,parametros!$B$2:$B$6,0)),"")=""),"INICIO_EFEITO ausente: PC "&amp;A240&amp;" - "&amp;C240,IF(L240="","EFEITO_PC nao calculado: PC "&amp;A240&amp;" - "&amp;C240,"OK")))))))))</f>
        <v/>
      </c>
      <c r="L240" s="92" t="str">
        <f>IF(AND(A240="",B240="",D240="",G240=""),"",IF(OR(B240="",NOT(ISNUMBER(B240)),C240="",C240="Fora dos ciclos"),"",IF(C240="C0","Nao",IF(IFERROR(INDEX(parametros!$A$2:$A$6,MATCH(C240,parametros!$B$2:$B$6,0)),"")&lt;&gt;"Sim","Nao",IF(IFERROR(INDEX(parametros!$H$2:$H$6,MATCH(C240,parametros!$B$2:$B$6,0)),"")="","",IF(B240&gt;=IFERROR(INDEX(parametros!$H$2:$H$6,MATCH(C240,parametros!$B$2:$B$6,0)),""),"Sim","Nao"))))))</f>
        <v/>
      </c>
      <c r="T240" s="156"/>
      <c r="U240" s="214" t="str">
        <f t="shared" si="21"/>
        <v/>
      </c>
      <c r="V240" s="212" t="s">
        <v>50</v>
      </c>
      <c r="W240" s="100" t="s">
        <v>168</v>
      </c>
      <c r="X240" s="100" t="s">
        <v>169</v>
      </c>
      <c r="Y240" s="101" t="s">
        <v>170</v>
      </c>
      <c r="Z240" s="101" t="s">
        <v>171</v>
      </c>
      <c r="AA240" s="101" t="s">
        <v>50</v>
      </c>
      <c r="AB240" s="101" t="s">
        <v>172</v>
      </c>
      <c r="AC240" s="102" t="s">
        <v>173</v>
      </c>
    </row>
    <row r="241" spans="1:29" ht="25.5" customHeight="1" x14ac:dyDescent="0.35">
      <c r="A241" s="392"/>
      <c r="B241" s="393"/>
      <c r="C241" s="99" t="str">
        <f>IF(B241="","",IF(NOT(ISNUMBER(B241)),"DATA_PC invalida",IF(NOT(ISNUMBER(parametros!$C$2)),"Fora dos ciclos",IF(OR(B241&lt;parametros!$C$2,(YEAR(B241)-YEAR(parametros!$C$2))*12+MONTH(B241)-MONTH(parametros!$C$2)&gt;59),"Fora dos ciclos","C"&amp;INT(((YEAR(B241)-YEAR(parametros!$C$2))*12+MONTH(B241)-MONTH(parametros!$C$2))/12)))))</f>
        <v/>
      </c>
      <c r="D241" s="394"/>
      <c r="E241" s="78" t="str">
        <f>IF(C241="","",IFERROR(VLOOKUP(C241,parametros!$A$11:$E$15,5,0),""))</f>
        <v/>
      </c>
      <c r="F241" s="79" t="str">
        <f t="shared" si="17"/>
        <v/>
      </c>
      <c r="G241" s="395"/>
      <c r="H241" s="91">
        <f t="shared" si="18"/>
        <v>0</v>
      </c>
      <c r="I241" s="91" t="str">
        <f t="shared" si="19"/>
        <v/>
      </c>
      <c r="J241" s="91" t="str">
        <f t="shared" si="20"/>
        <v/>
      </c>
      <c r="K241" s="92" t="str">
        <f>IF(AND(A241="",B241="",D241="",G241=""),"",IF(AND(A241&lt;&gt;"",COUNTIF($A$2:$A$5001,A241)&gt;1),"NUMERO_PC duplicado",IF(B241="","DATA_PC vazia",IF(NOT(ISNUMBER(B241)),"DATA_PC invalida",IF(OR(C241="",C241="Fora dos ciclos"),"CICLO_PC nao identificado",IF(OR(D241="",D241=0),"VALOR_PC vazio ou zero",IF(AND(G241&lt;&gt;"Sim",G241&lt;&gt;"Nao",G241&lt;&gt;""),"PC_PAGO_A_CONTRATADA invalido",IF(AND(C241&lt;&gt;"C0",IFERROR(INDEX(parametros!$A$2:$A$6,MATCH(C241,parametros!$B$2:$B$6,0)),"")="Sim",IFERROR(INDEX(parametros!$H$2:$H$6,MATCH(C241,parametros!$B$2:$B$6,0)),"")=""),"INICIO_EFEITO ausente: PC "&amp;A241&amp;" - "&amp;C241,IF(L241="","EFEITO_PC nao calculado: PC "&amp;A241&amp;" - "&amp;C241,"OK")))))))))</f>
        <v/>
      </c>
      <c r="L241" s="92" t="str">
        <f>IF(AND(A241="",B241="",D241="",G241=""),"",IF(OR(B241="",NOT(ISNUMBER(B241)),C241="",C241="Fora dos ciclos"),"",IF(C241="C0","Nao",IF(IFERROR(INDEX(parametros!$A$2:$A$6,MATCH(C241,parametros!$B$2:$B$6,0)),"")&lt;&gt;"Sim","Nao",IF(IFERROR(INDEX(parametros!$H$2:$H$6,MATCH(C241,parametros!$B$2:$B$6,0)),"")="","",IF(B241&gt;=IFERROR(INDEX(parametros!$H$2:$H$6,MATCH(C241,parametros!$B$2:$B$6,0)),""),"Sim","Nao"))))))</f>
        <v/>
      </c>
      <c r="T241" s="156"/>
      <c r="U241" s="214" t="str">
        <f t="shared" si="21"/>
        <v/>
      </c>
      <c r="V241" s="212" t="s">
        <v>50</v>
      </c>
      <c r="W241" s="100" t="s">
        <v>168</v>
      </c>
      <c r="X241" s="100" t="s">
        <v>169</v>
      </c>
      <c r="Y241" s="101" t="s">
        <v>170</v>
      </c>
      <c r="Z241" s="101" t="s">
        <v>171</v>
      </c>
      <c r="AA241" s="101" t="s">
        <v>50</v>
      </c>
      <c r="AB241" s="101" t="s">
        <v>172</v>
      </c>
      <c r="AC241" s="102" t="s">
        <v>173</v>
      </c>
    </row>
    <row r="242" spans="1:29" ht="25.5" customHeight="1" x14ac:dyDescent="0.35">
      <c r="A242" s="392"/>
      <c r="B242" s="393"/>
      <c r="C242" s="99" t="str">
        <f>IF(B242="","",IF(NOT(ISNUMBER(B242)),"DATA_PC invalida",IF(NOT(ISNUMBER(parametros!$C$2)),"Fora dos ciclos",IF(OR(B242&lt;parametros!$C$2,(YEAR(B242)-YEAR(parametros!$C$2))*12+MONTH(B242)-MONTH(parametros!$C$2)&gt;59),"Fora dos ciclos","C"&amp;INT(((YEAR(B242)-YEAR(parametros!$C$2))*12+MONTH(B242)-MONTH(parametros!$C$2))/12)))))</f>
        <v/>
      </c>
      <c r="D242" s="394"/>
      <c r="E242" s="78" t="str">
        <f>IF(C242="","",IFERROR(VLOOKUP(C242,parametros!$A$11:$E$15,5,0),""))</f>
        <v/>
      </c>
      <c r="F242" s="79" t="str">
        <f t="shared" si="17"/>
        <v/>
      </c>
      <c r="G242" s="395"/>
      <c r="H242" s="91">
        <f t="shared" si="18"/>
        <v>0</v>
      </c>
      <c r="I242" s="91" t="str">
        <f t="shared" si="19"/>
        <v/>
      </c>
      <c r="J242" s="91" t="str">
        <f t="shared" si="20"/>
        <v/>
      </c>
      <c r="K242" s="92" t="str">
        <f>IF(AND(A242="",B242="",D242="",G242=""),"",IF(AND(A242&lt;&gt;"",COUNTIF($A$2:$A$5001,A242)&gt;1),"NUMERO_PC duplicado",IF(B242="","DATA_PC vazia",IF(NOT(ISNUMBER(B242)),"DATA_PC invalida",IF(OR(C242="",C242="Fora dos ciclos"),"CICLO_PC nao identificado",IF(OR(D242="",D242=0),"VALOR_PC vazio ou zero",IF(AND(G242&lt;&gt;"Sim",G242&lt;&gt;"Nao",G242&lt;&gt;""),"PC_PAGO_A_CONTRATADA invalido",IF(AND(C242&lt;&gt;"C0",IFERROR(INDEX(parametros!$A$2:$A$6,MATCH(C242,parametros!$B$2:$B$6,0)),"")="Sim",IFERROR(INDEX(parametros!$H$2:$H$6,MATCH(C242,parametros!$B$2:$B$6,0)),"")=""),"INICIO_EFEITO ausente: PC "&amp;A242&amp;" - "&amp;C242,IF(L242="","EFEITO_PC nao calculado: PC "&amp;A242&amp;" - "&amp;C242,"OK")))))))))</f>
        <v/>
      </c>
      <c r="L242" s="92" t="str">
        <f>IF(AND(A242="",B242="",D242="",G242=""),"",IF(OR(B242="",NOT(ISNUMBER(B242)),C242="",C242="Fora dos ciclos"),"",IF(C242="C0","Nao",IF(IFERROR(INDEX(parametros!$A$2:$A$6,MATCH(C242,parametros!$B$2:$B$6,0)),"")&lt;&gt;"Sim","Nao",IF(IFERROR(INDEX(parametros!$H$2:$H$6,MATCH(C242,parametros!$B$2:$B$6,0)),"")="","",IF(B242&gt;=IFERROR(INDEX(parametros!$H$2:$H$6,MATCH(C242,parametros!$B$2:$B$6,0)),""),"Sim","Nao"))))))</f>
        <v/>
      </c>
      <c r="T242" s="156"/>
      <c r="U242" s="214" t="str">
        <f t="shared" si="21"/>
        <v/>
      </c>
      <c r="V242" s="212" t="s">
        <v>50</v>
      </c>
      <c r="W242" s="100" t="s">
        <v>168</v>
      </c>
      <c r="X242" s="100" t="s">
        <v>169</v>
      </c>
      <c r="Y242" s="101" t="s">
        <v>170</v>
      </c>
      <c r="Z242" s="101" t="s">
        <v>171</v>
      </c>
      <c r="AA242" s="101" t="s">
        <v>50</v>
      </c>
      <c r="AB242" s="101" t="s">
        <v>172</v>
      </c>
      <c r="AC242" s="102" t="s">
        <v>173</v>
      </c>
    </row>
    <row r="243" spans="1:29" ht="25.5" customHeight="1" x14ac:dyDescent="0.35">
      <c r="A243" s="392"/>
      <c r="B243" s="393"/>
      <c r="C243" s="99" t="str">
        <f>IF(B243="","",IF(NOT(ISNUMBER(B243)),"DATA_PC invalida",IF(NOT(ISNUMBER(parametros!$C$2)),"Fora dos ciclos",IF(OR(B243&lt;parametros!$C$2,(YEAR(B243)-YEAR(parametros!$C$2))*12+MONTH(B243)-MONTH(parametros!$C$2)&gt;59),"Fora dos ciclos","C"&amp;INT(((YEAR(B243)-YEAR(parametros!$C$2))*12+MONTH(B243)-MONTH(parametros!$C$2))/12)))))</f>
        <v/>
      </c>
      <c r="D243" s="394"/>
      <c r="E243" s="78" t="str">
        <f>IF(C243="","",IFERROR(VLOOKUP(C243,parametros!$A$11:$E$15,5,0),""))</f>
        <v/>
      </c>
      <c r="F243" s="79" t="str">
        <f t="shared" si="17"/>
        <v/>
      </c>
      <c r="G243" s="395"/>
      <c r="H243" s="91">
        <f t="shared" si="18"/>
        <v>0</v>
      </c>
      <c r="I243" s="91" t="str">
        <f t="shared" si="19"/>
        <v/>
      </c>
      <c r="J243" s="91" t="str">
        <f t="shared" si="20"/>
        <v/>
      </c>
      <c r="K243" s="92" t="str">
        <f>IF(AND(A243="",B243="",D243="",G243=""),"",IF(AND(A243&lt;&gt;"",COUNTIF($A$2:$A$5001,A243)&gt;1),"NUMERO_PC duplicado",IF(B243="","DATA_PC vazia",IF(NOT(ISNUMBER(B243)),"DATA_PC invalida",IF(OR(C243="",C243="Fora dos ciclos"),"CICLO_PC nao identificado",IF(OR(D243="",D243=0),"VALOR_PC vazio ou zero",IF(AND(G243&lt;&gt;"Sim",G243&lt;&gt;"Nao",G243&lt;&gt;""),"PC_PAGO_A_CONTRATADA invalido",IF(AND(C243&lt;&gt;"C0",IFERROR(INDEX(parametros!$A$2:$A$6,MATCH(C243,parametros!$B$2:$B$6,0)),"")="Sim",IFERROR(INDEX(parametros!$H$2:$H$6,MATCH(C243,parametros!$B$2:$B$6,0)),"")=""),"INICIO_EFEITO ausente: PC "&amp;A243&amp;" - "&amp;C243,IF(L243="","EFEITO_PC nao calculado: PC "&amp;A243&amp;" - "&amp;C243,"OK")))))))))</f>
        <v/>
      </c>
      <c r="L243" s="92" t="str">
        <f>IF(AND(A243="",B243="",D243="",G243=""),"",IF(OR(B243="",NOT(ISNUMBER(B243)),C243="",C243="Fora dos ciclos"),"",IF(C243="C0","Nao",IF(IFERROR(INDEX(parametros!$A$2:$A$6,MATCH(C243,parametros!$B$2:$B$6,0)),"")&lt;&gt;"Sim","Nao",IF(IFERROR(INDEX(parametros!$H$2:$H$6,MATCH(C243,parametros!$B$2:$B$6,0)),"")="","",IF(B243&gt;=IFERROR(INDEX(parametros!$H$2:$H$6,MATCH(C243,parametros!$B$2:$B$6,0)),""),"Sim","Nao"))))))</f>
        <v/>
      </c>
      <c r="T243" s="156"/>
      <c r="U243" s="214" t="str">
        <f t="shared" si="21"/>
        <v/>
      </c>
      <c r="V243" s="212" t="s">
        <v>50</v>
      </c>
      <c r="W243" s="100" t="s">
        <v>168</v>
      </c>
      <c r="X243" s="100" t="s">
        <v>169</v>
      </c>
      <c r="Y243" s="101" t="s">
        <v>170</v>
      </c>
      <c r="Z243" s="101" t="s">
        <v>171</v>
      </c>
      <c r="AA243" s="101" t="s">
        <v>50</v>
      </c>
      <c r="AB243" s="101" t="s">
        <v>172</v>
      </c>
      <c r="AC243" s="102" t="s">
        <v>173</v>
      </c>
    </row>
    <row r="244" spans="1:29" ht="25.5" customHeight="1" x14ac:dyDescent="0.35">
      <c r="A244" s="392"/>
      <c r="B244" s="393"/>
      <c r="C244" s="99" t="str">
        <f>IF(B244="","",IF(NOT(ISNUMBER(B244)),"DATA_PC invalida",IF(NOT(ISNUMBER(parametros!$C$2)),"Fora dos ciclos",IF(OR(B244&lt;parametros!$C$2,(YEAR(B244)-YEAR(parametros!$C$2))*12+MONTH(B244)-MONTH(parametros!$C$2)&gt;59),"Fora dos ciclos","C"&amp;INT(((YEAR(B244)-YEAR(parametros!$C$2))*12+MONTH(B244)-MONTH(parametros!$C$2))/12)))))</f>
        <v/>
      </c>
      <c r="D244" s="394"/>
      <c r="E244" s="78" t="str">
        <f>IF(C244="","",IFERROR(VLOOKUP(C244,parametros!$A$11:$E$15,5,0),""))</f>
        <v/>
      </c>
      <c r="F244" s="79" t="str">
        <f t="shared" si="17"/>
        <v/>
      </c>
      <c r="G244" s="395"/>
      <c r="H244" s="91">
        <f t="shared" si="18"/>
        <v>0</v>
      </c>
      <c r="I244" s="91" t="str">
        <f t="shared" si="19"/>
        <v/>
      </c>
      <c r="J244" s="91" t="str">
        <f t="shared" si="20"/>
        <v/>
      </c>
      <c r="K244" s="92" t="str">
        <f>IF(AND(A244="",B244="",D244="",G244=""),"",IF(AND(A244&lt;&gt;"",COUNTIF($A$2:$A$5001,A244)&gt;1),"NUMERO_PC duplicado",IF(B244="","DATA_PC vazia",IF(NOT(ISNUMBER(B244)),"DATA_PC invalida",IF(OR(C244="",C244="Fora dos ciclos"),"CICLO_PC nao identificado",IF(OR(D244="",D244=0),"VALOR_PC vazio ou zero",IF(AND(G244&lt;&gt;"Sim",G244&lt;&gt;"Nao",G244&lt;&gt;""),"PC_PAGO_A_CONTRATADA invalido",IF(AND(C244&lt;&gt;"C0",IFERROR(INDEX(parametros!$A$2:$A$6,MATCH(C244,parametros!$B$2:$B$6,0)),"")="Sim",IFERROR(INDEX(parametros!$H$2:$H$6,MATCH(C244,parametros!$B$2:$B$6,0)),"")=""),"INICIO_EFEITO ausente: PC "&amp;A244&amp;" - "&amp;C244,IF(L244="","EFEITO_PC nao calculado: PC "&amp;A244&amp;" - "&amp;C244,"OK")))))))))</f>
        <v/>
      </c>
      <c r="L244" s="92" t="str">
        <f>IF(AND(A244="",B244="",D244="",G244=""),"",IF(OR(B244="",NOT(ISNUMBER(B244)),C244="",C244="Fora dos ciclos"),"",IF(C244="C0","Nao",IF(IFERROR(INDEX(parametros!$A$2:$A$6,MATCH(C244,parametros!$B$2:$B$6,0)),"")&lt;&gt;"Sim","Nao",IF(IFERROR(INDEX(parametros!$H$2:$H$6,MATCH(C244,parametros!$B$2:$B$6,0)),"")="","",IF(B244&gt;=IFERROR(INDEX(parametros!$H$2:$H$6,MATCH(C244,parametros!$B$2:$B$6,0)),""),"Sim","Nao"))))))</f>
        <v/>
      </c>
      <c r="T244" s="156"/>
      <c r="U244" s="214" t="str">
        <f t="shared" si="21"/>
        <v/>
      </c>
      <c r="V244" s="212" t="s">
        <v>50</v>
      </c>
      <c r="W244" s="100" t="s">
        <v>168</v>
      </c>
      <c r="X244" s="100" t="s">
        <v>169</v>
      </c>
      <c r="Y244" s="101" t="s">
        <v>170</v>
      </c>
      <c r="Z244" s="101" t="s">
        <v>171</v>
      </c>
      <c r="AA244" s="101" t="s">
        <v>50</v>
      </c>
      <c r="AB244" s="101" t="s">
        <v>172</v>
      </c>
      <c r="AC244" s="102" t="s">
        <v>173</v>
      </c>
    </row>
    <row r="245" spans="1:29" ht="25.5" customHeight="1" x14ac:dyDescent="0.35">
      <c r="A245" s="392"/>
      <c r="B245" s="393"/>
      <c r="C245" s="99" t="str">
        <f>IF(B245="","",IF(NOT(ISNUMBER(B245)),"DATA_PC invalida",IF(NOT(ISNUMBER(parametros!$C$2)),"Fora dos ciclos",IF(OR(B245&lt;parametros!$C$2,(YEAR(B245)-YEAR(parametros!$C$2))*12+MONTH(B245)-MONTH(parametros!$C$2)&gt;59),"Fora dos ciclos","C"&amp;INT(((YEAR(B245)-YEAR(parametros!$C$2))*12+MONTH(B245)-MONTH(parametros!$C$2))/12)))))</f>
        <v/>
      </c>
      <c r="D245" s="394"/>
      <c r="E245" s="78" t="str">
        <f>IF(C245="","",IFERROR(VLOOKUP(C245,parametros!$A$11:$E$15,5,0),""))</f>
        <v/>
      </c>
      <c r="F245" s="79" t="str">
        <f t="shared" si="17"/>
        <v/>
      </c>
      <c r="G245" s="395"/>
      <c r="H245" s="91">
        <f t="shared" si="18"/>
        <v>0</v>
      </c>
      <c r="I245" s="91" t="str">
        <f t="shared" si="19"/>
        <v/>
      </c>
      <c r="J245" s="91" t="str">
        <f t="shared" si="20"/>
        <v/>
      </c>
      <c r="K245" s="92" t="str">
        <f>IF(AND(A245="",B245="",D245="",G245=""),"",IF(AND(A245&lt;&gt;"",COUNTIF($A$2:$A$5001,A245)&gt;1),"NUMERO_PC duplicado",IF(B245="","DATA_PC vazia",IF(NOT(ISNUMBER(B245)),"DATA_PC invalida",IF(OR(C245="",C245="Fora dos ciclos"),"CICLO_PC nao identificado",IF(OR(D245="",D245=0),"VALOR_PC vazio ou zero",IF(AND(G245&lt;&gt;"Sim",G245&lt;&gt;"Nao",G245&lt;&gt;""),"PC_PAGO_A_CONTRATADA invalido",IF(AND(C245&lt;&gt;"C0",IFERROR(INDEX(parametros!$A$2:$A$6,MATCH(C245,parametros!$B$2:$B$6,0)),"")="Sim",IFERROR(INDEX(parametros!$H$2:$H$6,MATCH(C245,parametros!$B$2:$B$6,0)),"")=""),"INICIO_EFEITO ausente: PC "&amp;A245&amp;" - "&amp;C245,IF(L245="","EFEITO_PC nao calculado: PC "&amp;A245&amp;" - "&amp;C245,"OK")))))))))</f>
        <v/>
      </c>
      <c r="L245" s="92" t="str">
        <f>IF(AND(A245="",B245="",D245="",G245=""),"",IF(OR(B245="",NOT(ISNUMBER(B245)),C245="",C245="Fora dos ciclos"),"",IF(C245="C0","Nao",IF(IFERROR(INDEX(parametros!$A$2:$A$6,MATCH(C245,parametros!$B$2:$B$6,0)),"")&lt;&gt;"Sim","Nao",IF(IFERROR(INDEX(parametros!$H$2:$H$6,MATCH(C245,parametros!$B$2:$B$6,0)),"")="","",IF(B245&gt;=IFERROR(INDEX(parametros!$H$2:$H$6,MATCH(C245,parametros!$B$2:$B$6,0)),""),"Sim","Nao"))))))</f>
        <v/>
      </c>
      <c r="T245" s="156"/>
      <c r="U245" s="214" t="str">
        <f t="shared" si="21"/>
        <v/>
      </c>
      <c r="V245" s="212" t="s">
        <v>50</v>
      </c>
      <c r="W245" s="100" t="s">
        <v>168</v>
      </c>
      <c r="X245" s="100" t="s">
        <v>169</v>
      </c>
      <c r="Y245" s="101" t="s">
        <v>170</v>
      </c>
      <c r="Z245" s="101" t="s">
        <v>171</v>
      </c>
      <c r="AA245" s="101" t="s">
        <v>50</v>
      </c>
      <c r="AB245" s="101" t="s">
        <v>172</v>
      </c>
      <c r="AC245" s="102" t="s">
        <v>173</v>
      </c>
    </row>
    <row r="246" spans="1:29" ht="25.5" customHeight="1" x14ac:dyDescent="0.35">
      <c r="A246" s="392"/>
      <c r="B246" s="393"/>
      <c r="C246" s="99" t="str">
        <f>IF(B246="","",IF(NOT(ISNUMBER(B246)),"DATA_PC invalida",IF(NOT(ISNUMBER(parametros!$C$2)),"Fora dos ciclos",IF(OR(B246&lt;parametros!$C$2,(YEAR(B246)-YEAR(parametros!$C$2))*12+MONTH(B246)-MONTH(parametros!$C$2)&gt;59),"Fora dos ciclos","C"&amp;INT(((YEAR(B246)-YEAR(parametros!$C$2))*12+MONTH(B246)-MONTH(parametros!$C$2))/12)))))</f>
        <v/>
      </c>
      <c r="D246" s="394"/>
      <c r="E246" s="78" t="str">
        <f>IF(C246="","",IFERROR(VLOOKUP(C246,parametros!$A$11:$E$15,5,0),""))</f>
        <v/>
      </c>
      <c r="F246" s="79" t="str">
        <f t="shared" si="17"/>
        <v/>
      </c>
      <c r="G246" s="395"/>
      <c r="H246" s="91">
        <f t="shared" si="18"/>
        <v>0</v>
      </c>
      <c r="I246" s="91" t="str">
        <f t="shared" si="19"/>
        <v/>
      </c>
      <c r="J246" s="91" t="str">
        <f t="shared" si="20"/>
        <v/>
      </c>
      <c r="K246" s="92" t="str">
        <f>IF(AND(A246="",B246="",D246="",G246=""),"",IF(AND(A246&lt;&gt;"",COUNTIF($A$2:$A$5001,A246)&gt;1),"NUMERO_PC duplicado",IF(B246="","DATA_PC vazia",IF(NOT(ISNUMBER(B246)),"DATA_PC invalida",IF(OR(C246="",C246="Fora dos ciclos"),"CICLO_PC nao identificado",IF(OR(D246="",D246=0),"VALOR_PC vazio ou zero",IF(AND(G246&lt;&gt;"Sim",G246&lt;&gt;"Nao",G246&lt;&gt;""),"PC_PAGO_A_CONTRATADA invalido",IF(AND(C246&lt;&gt;"C0",IFERROR(INDEX(parametros!$A$2:$A$6,MATCH(C246,parametros!$B$2:$B$6,0)),"")="Sim",IFERROR(INDEX(parametros!$H$2:$H$6,MATCH(C246,parametros!$B$2:$B$6,0)),"")=""),"INICIO_EFEITO ausente: PC "&amp;A246&amp;" - "&amp;C246,IF(L246="","EFEITO_PC nao calculado: PC "&amp;A246&amp;" - "&amp;C246,"OK")))))))))</f>
        <v/>
      </c>
      <c r="L246" s="92" t="str">
        <f>IF(AND(A246="",B246="",D246="",G246=""),"",IF(OR(B246="",NOT(ISNUMBER(B246)),C246="",C246="Fora dos ciclos"),"",IF(C246="C0","Nao",IF(IFERROR(INDEX(parametros!$A$2:$A$6,MATCH(C246,parametros!$B$2:$B$6,0)),"")&lt;&gt;"Sim","Nao",IF(IFERROR(INDEX(parametros!$H$2:$H$6,MATCH(C246,parametros!$B$2:$B$6,0)),"")="","",IF(B246&gt;=IFERROR(INDEX(parametros!$H$2:$H$6,MATCH(C246,parametros!$B$2:$B$6,0)),""),"Sim","Nao"))))))</f>
        <v/>
      </c>
      <c r="T246" s="156"/>
      <c r="U246" s="214" t="str">
        <f t="shared" si="21"/>
        <v/>
      </c>
      <c r="V246" s="212" t="s">
        <v>50</v>
      </c>
      <c r="W246" s="100" t="s">
        <v>168</v>
      </c>
      <c r="X246" s="100" t="s">
        <v>169</v>
      </c>
      <c r="Y246" s="101" t="s">
        <v>170</v>
      </c>
      <c r="Z246" s="101" t="s">
        <v>171</v>
      </c>
      <c r="AA246" s="101" t="s">
        <v>50</v>
      </c>
      <c r="AB246" s="101" t="s">
        <v>172</v>
      </c>
      <c r="AC246" s="102" t="s">
        <v>173</v>
      </c>
    </row>
    <row r="247" spans="1:29" ht="25.5" customHeight="1" x14ac:dyDescent="0.35">
      <c r="A247" s="392"/>
      <c r="B247" s="393"/>
      <c r="C247" s="99" t="str">
        <f>IF(B247="","",IF(NOT(ISNUMBER(B247)),"DATA_PC invalida",IF(NOT(ISNUMBER(parametros!$C$2)),"Fora dos ciclos",IF(OR(B247&lt;parametros!$C$2,(YEAR(B247)-YEAR(parametros!$C$2))*12+MONTH(B247)-MONTH(parametros!$C$2)&gt;59),"Fora dos ciclos","C"&amp;INT(((YEAR(B247)-YEAR(parametros!$C$2))*12+MONTH(B247)-MONTH(parametros!$C$2))/12)))))</f>
        <v/>
      </c>
      <c r="D247" s="394"/>
      <c r="E247" s="78" t="str">
        <f>IF(C247="","",IFERROR(VLOOKUP(C247,parametros!$A$11:$E$15,5,0),""))</f>
        <v/>
      </c>
      <c r="F247" s="79" t="str">
        <f t="shared" si="17"/>
        <v/>
      </c>
      <c r="G247" s="395"/>
      <c r="H247" s="91">
        <f t="shared" si="18"/>
        <v>0</v>
      </c>
      <c r="I247" s="91" t="str">
        <f t="shared" si="19"/>
        <v/>
      </c>
      <c r="J247" s="91" t="str">
        <f t="shared" si="20"/>
        <v/>
      </c>
      <c r="K247" s="92" t="str">
        <f>IF(AND(A247="",B247="",D247="",G247=""),"",IF(AND(A247&lt;&gt;"",COUNTIF($A$2:$A$5001,A247)&gt;1),"NUMERO_PC duplicado",IF(B247="","DATA_PC vazia",IF(NOT(ISNUMBER(B247)),"DATA_PC invalida",IF(OR(C247="",C247="Fora dos ciclos"),"CICLO_PC nao identificado",IF(OR(D247="",D247=0),"VALOR_PC vazio ou zero",IF(AND(G247&lt;&gt;"Sim",G247&lt;&gt;"Nao",G247&lt;&gt;""),"PC_PAGO_A_CONTRATADA invalido",IF(AND(C247&lt;&gt;"C0",IFERROR(INDEX(parametros!$A$2:$A$6,MATCH(C247,parametros!$B$2:$B$6,0)),"")="Sim",IFERROR(INDEX(parametros!$H$2:$H$6,MATCH(C247,parametros!$B$2:$B$6,0)),"")=""),"INICIO_EFEITO ausente: PC "&amp;A247&amp;" - "&amp;C247,IF(L247="","EFEITO_PC nao calculado: PC "&amp;A247&amp;" - "&amp;C247,"OK")))))))))</f>
        <v/>
      </c>
      <c r="L247" s="92" t="str">
        <f>IF(AND(A247="",B247="",D247="",G247=""),"",IF(OR(B247="",NOT(ISNUMBER(B247)),C247="",C247="Fora dos ciclos"),"",IF(C247="C0","Nao",IF(IFERROR(INDEX(parametros!$A$2:$A$6,MATCH(C247,parametros!$B$2:$B$6,0)),"")&lt;&gt;"Sim","Nao",IF(IFERROR(INDEX(parametros!$H$2:$H$6,MATCH(C247,parametros!$B$2:$B$6,0)),"")="","",IF(B247&gt;=IFERROR(INDEX(parametros!$H$2:$H$6,MATCH(C247,parametros!$B$2:$B$6,0)),""),"Sim","Nao"))))))</f>
        <v/>
      </c>
      <c r="T247" s="156"/>
      <c r="U247" s="214" t="str">
        <f t="shared" si="21"/>
        <v/>
      </c>
      <c r="V247" s="212" t="s">
        <v>50</v>
      </c>
      <c r="W247" s="100" t="s">
        <v>168</v>
      </c>
      <c r="X247" s="100" t="s">
        <v>169</v>
      </c>
      <c r="Y247" s="101" t="s">
        <v>170</v>
      </c>
      <c r="Z247" s="101" t="s">
        <v>171</v>
      </c>
      <c r="AA247" s="101" t="s">
        <v>50</v>
      </c>
      <c r="AB247" s="101" t="s">
        <v>172</v>
      </c>
      <c r="AC247" s="102" t="s">
        <v>173</v>
      </c>
    </row>
    <row r="248" spans="1:29" ht="25.5" customHeight="1" x14ac:dyDescent="0.35">
      <c r="A248" s="392"/>
      <c r="B248" s="393"/>
      <c r="C248" s="99" t="str">
        <f>IF(B248="","",IF(NOT(ISNUMBER(B248)),"DATA_PC invalida",IF(NOT(ISNUMBER(parametros!$C$2)),"Fora dos ciclos",IF(OR(B248&lt;parametros!$C$2,(YEAR(B248)-YEAR(parametros!$C$2))*12+MONTH(B248)-MONTH(parametros!$C$2)&gt;59),"Fora dos ciclos","C"&amp;INT(((YEAR(B248)-YEAR(parametros!$C$2))*12+MONTH(B248)-MONTH(parametros!$C$2))/12)))))</f>
        <v/>
      </c>
      <c r="D248" s="394"/>
      <c r="E248" s="78" t="str">
        <f>IF(C248="","",IFERROR(VLOOKUP(C248,parametros!$A$11:$E$15,5,0),""))</f>
        <v/>
      </c>
      <c r="F248" s="79" t="str">
        <f t="shared" si="17"/>
        <v/>
      </c>
      <c r="G248" s="395"/>
      <c r="H248" s="91">
        <f t="shared" si="18"/>
        <v>0</v>
      </c>
      <c r="I248" s="91" t="str">
        <f t="shared" si="19"/>
        <v/>
      </c>
      <c r="J248" s="91" t="str">
        <f t="shared" si="20"/>
        <v/>
      </c>
      <c r="K248" s="92" t="str">
        <f>IF(AND(A248="",B248="",D248="",G248=""),"",IF(AND(A248&lt;&gt;"",COUNTIF($A$2:$A$5001,A248)&gt;1),"NUMERO_PC duplicado",IF(B248="","DATA_PC vazia",IF(NOT(ISNUMBER(B248)),"DATA_PC invalida",IF(OR(C248="",C248="Fora dos ciclos"),"CICLO_PC nao identificado",IF(OR(D248="",D248=0),"VALOR_PC vazio ou zero",IF(AND(G248&lt;&gt;"Sim",G248&lt;&gt;"Nao",G248&lt;&gt;""),"PC_PAGO_A_CONTRATADA invalido",IF(AND(C248&lt;&gt;"C0",IFERROR(INDEX(parametros!$A$2:$A$6,MATCH(C248,parametros!$B$2:$B$6,0)),"")="Sim",IFERROR(INDEX(parametros!$H$2:$H$6,MATCH(C248,parametros!$B$2:$B$6,0)),"")=""),"INICIO_EFEITO ausente: PC "&amp;A248&amp;" - "&amp;C248,IF(L248="","EFEITO_PC nao calculado: PC "&amp;A248&amp;" - "&amp;C248,"OK")))))))))</f>
        <v/>
      </c>
      <c r="L248" s="92" t="str">
        <f>IF(AND(A248="",B248="",D248="",G248=""),"",IF(OR(B248="",NOT(ISNUMBER(B248)),C248="",C248="Fora dos ciclos"),"",IF(C248="C0","Nao",IF(IFERROR(INDEX(parametros!$A$2:$A$6,MATCH(C248,parametros!$B$2:$B$6,0)),"")&lt;&gt;"Sim","Nao",IF(IFERROR(INDEX(parametros!$H$2:$H$6,MATCH(C248,parametros!$B$2:$B$6,0)),"")="","",IF(B248&gt;=IFERROR(INDEX(parametros!$H$2:$H$6,MATCH(C248,parametros!$B$2:$B$6,0)),""),"Sim","Nao"))))))</f>
        <v/>
      </c>
      <c r="T248" s="156"/>
      <c r="U248" s="214" t="str">
        <f t="shared" si="21"/>
        <v/>
      </c>
      <c r="V248" s="212" t="s">
        <v>50</v>
      </c>
      <c r="W248" s="100" t="s">
        <v>168</v>
      </c>
      <c r="X248" s="100" t="s">
        <v>169</v>
      </c>
      <c r="Y248" s="101" t="s">
        <v>170</v>
      </c>
      <c r="Z248" s="101" t="s">
        <v>171</v>
      </c>
      <c r="AA248" s="101" t="s">
        <v>50</v>
      </c>
      <c r="AB248" s="101" t="s">
        <v>172</v>
      </c>
      <c r="AC248" s="102" t="s">
        <v>173</v>
      </c>
    </row>
    <row r="249" spans="1:29" ht="25.5" customHeight="1" x14ac:dyDescent="0.35">
      <c r="A249" s="392"/>
      <c r="B249" s="393"/>
      <c r="C249" s="99" t="str">
        <f>IF(B249="","",IF(NOT(ISNUMBER(B249)),"DATA_PC invalida",IF(NOT(ISNUMBER(parametros!$C$2)),"Fora dos ciclos",IF(OR(B249&lt;parametros!$C$2,(YEAR(B249)-YEAR(parametros!$C$2))*12+MONTH(B249)-MONTH(parametros!$C$2)&gt;59),"Fora dos ciclos","C"&amp;INT(((YEAR(B249)-YEAR(parametros!$C$2))*12+MONTH(B249)-MONTH(parametros!$C$2))/12)))))</f>
        <v/>
      </c>
      <c r="D249" s="394"/>
      <c r="E249" s="78" t="str">
        <f>IF(C249="","",IFERROR(VLOOKUP(C249,parametros!$A$11:$E$15,5,0),""))</f>
        <v/>
      </c>
      <c r="F249" s="79" t="str">
        <f t="shared" si="17"/>
        <v/>
      </c>
      <c r="G249" s="395"/>
      <c r="H249" s="91">
        <f t="shared" si="18"/>
        <v>0</v>
      </c>
      <c r="I249" s="91" t="str">
        <f t="shared" si="19"/>
        <v/>
      </c>
      <c r="J249" s="91" t="str">
        <f t="shared" si="20"/>
        <v/>
      </c>
      <c r="K249" s="92" t="str">
        <f>IF(AND(A249="",B249="",D249="",G249=""),"",IF(AND(A249&lt;&gt;"",COUNTIF($A$2:$A$5001,A249)&gt;1),"NUMERO_PC duplicado",IF(B249="","DATA_PC vazia",IF(NOT(ISNUMBER(B249)),"DATA_PC invalida",IF(OR(C249="",C249="Fora dos ciclos"),"CICLO_PC nao identificado",IF(OR(D249="",D249=0),"VALOR_PC vazio ou zero",IF(AND(G249&lt;&gt;"Sim",G249&lt;&gt;"Nao",G249&lt;&gt;""),"PC_PAGO_A_CONTRATADA invalido",IF(AND(C249&lt;&gt;"C0",IFERROR(INDEX(parametros!$A$2:$A$6,MATCH(C249,parametros!$B$2:$B$6,0)),"")="Sim",IFERROR(INDEX(parametros!$H$2:$H$6,MATCH(C249,parametros!$B$2:$B$6,0)),"")=""),"INICIO_EFEITO ausente: PC "&amp;A249&amp;" - "&amp;C249,IF(L249="","EFEITO_PC nao calculado: PC "&amp;A249&amp;" - "&amp;C249,"OK")))))))))</f>
        <v/>
      </c>
      <c r="L249" s="92" t="str">
        <f>IF(AND(A249="",B249="",D249="",G249=""),"",IF(OR(B249="",NOT(ISNUMBER(B249)),C249="",C249="Fora dos ciclos"),"",IF(C249="C0","Nao",IF(IFERROR(INDEX(parametros!$A$2:$A$6,MATCH(C249,parametros!$B$2:$B$6,0)),"")&lt;&gt;"Sim","Nao",IF(IFERROR(INDEX(parametros!$H$2:$H$6,MATCH(C249,parametros!$B$2:$B$6,0)),"")="","",IF(B249&gt;=IFERROR(INDEX(parametros!$H$2:$H$6,MATCH(C249,parametros!$B$2:$B$6,0)),""),"Sim","Nao"))))))</f>
        <v/>
      </c>
      <c r="T249" s="156"/>
      <c r="U249" s="214" t="str">
        <f t="shared" si="21"/>
        <v/>
      </c>
      <c r="V249" s="212" t="s">
        <v>50</v>
      </c>
      <c r="W249" s="100" t="s">
        <v>168</v>
      </c>
      <c r="X249" s="100" t="s">
        <v>169</v>
      </c>
      <c r="Y249" s="101" t="s">
        <v>170</v>
      </c>
      <c r="Z249" s="101" t="s">
        <v>171</v>
      </c>
      <c r="AA249" s="101" t="s">
        <v>50</v>
      </c>
      <c r="AB249" s="101" t="s">
        <v>172</v>
      </c>
      <c r="AC249" s="102" t="s">
        <v>173</v>
      </c>
    </row>
    <row r="250" spans="1:29" ht="25.5" customHeight="1" x14ac:dyDescent="0.35">
      <c r="A250" s="392"/>
      <c r="B250" s="393"/>
      <c r="C250" s="99" t="str">
        <f>IF(B250="","",IF(NOT(ISNUMBER(B250)),"DATA_PC invalida",IF(NOT(ISNUMBER(parametros!$C$2)),"Fora dos ciclos",IF(OR(B250&lt;parametros!$C$2,(YEAR(B250)-YEAR(parametros!$C$2))*12+MONTH(B250)-MONTH(parametros!$C$2)&gt;59),"Fora dos ciclos","C"&amp;INT(((YEAR(B250)-YEAR(parametros!$C$2))*12+MONTH(B250)-MONTH(parametros!$C$2))/12)))))</f>
        <v/>
      </c>
      <c r="D250" s="394"/>
      <c r="E250" s="78" t="str">
        <f>IF(C250="","",IFERROR(VLOOKUP(C250,parametros!$A$11:$E$15,5,0),""))</f>
        <v/>
      </c>
      <c r="F250" s="79" t="str">
        <f t="shared" si="17"/>
        <v/>
      </c>
      <c r="G250" s="395"/>
      <c r="H250" s="91">
        <f t="shared" si="18"/>
        <v>0</v>
      </c>
      <c r="I250" s="91" t="str">
        <f t="shared" si="19"/>
        <v/>
      </c>
      <c r="J250" s="91" t="str">
        <f t="shared" si="20"/>
        <v/>
      </c>
      <c r="K250" s="92" t="str">
        <f>IF(AND(A250="",B250="",D250="",G250=""),"",IF(AND(A250&lt;&gt;"",COUNTIF($A$2:$A$5001,A250)&gt;1),"NUMERO_PC duplicado",IF(B250="","DATA_PC vazia",IF(NOT(ISNUMBER(B250)),"DATA_PC invalida",IF(OR(C250="",C250="Fora dos ciclos"),"CICLO_PC nao identificado",IF(OR(D250="",D250=0),"VALOR_PC vazio ou zero",IF(AND(G250&lt;&gt;"Sim",G250&lt;&gt;"Nao",G250&lt;&gt;""),"PC_PAGO_A_CONTRATADA invalido",IF(AND(C250&lt;&gt;"C0",IFERROR(INDEX(parametros!$A$2:$A$6,MATCH(C250,parametros!$B$2:$B$6,0)),"")="Sim",IFERROR(INDEX(parametros!$H$2:$H$6,MATCH(C250,parametros!$B$2:$B$6,0)),"")=""),"INICIO_EFEITO ausente: PC "&amp;A250&amp;" - "&amp;C250,IF(L250="","EFEITO_PC nao calculado: PC "&amp;A250&amp;" - "&amp;C250,"OK")))))))))</f>
        <v/>
      </c>
      <c r="L250" s="92" t="str">
        <f>IF(AND(A250="",B250="",D250="",G250=""),"",IF(OR(B250="",NOT(ISNUMBER(B250)),C250="",C250="Fora dos ciclos"),"",IF(C250="C0","Nao",IF(IFERROR(INDEX(parametros!$A$2:$A$6,MATCH(C250,parametros!$B$2:$B$6,0)),"")&lt;&gt;"Sim","Nao",IF(IFERROR(INDEX(parametros!$H$2:$H$6,MATCH(C250,parametros!$B$2:$B$6,0)),"")="","",IF(B250&gt;=IFERROR(INDEX(parametros!$H$2:$H$6,MATCH(C250,parametros!$B$2:$B$6,0)),""),"Sim","Nao"))))))</f>
        <v/>
      </c>
      <c r="T250" s="156"/>
      <c r="U250" s="214" t="str">
        <f t="shared" si="21"/>
        <v/>
      </c>
      <c r="V250" s="212" t="s">
        <v>50</v>
      </c>
      <c r="W250" s="100" t="s">
        <v>168</v>
      </c>
      <c r="X250" s="100" t="s">
        <v>169</v>
      </c>
      <c r="Y250" s="101" t="s">
        <v>170</v>
      </c>
      <c r="Z250" s="101" t="s">
        <v>171</v>
      </c>
      <c r="AA250" s="101" t="s">
        <v>50</v>
      </c>
      <c r="AB250" s="101" t="s">
        <v>172</v>
      </c>
      <c r="AC250" s="102" t="s">
        <v>173</v>
      </c>
    </row>
    <row r="251" spans="1:29" ht="25.5" customHeight="1" x14ac:dyDescent="0.35">
      <c r="A251" s="392"/>
      <c r="B251" s="393"/>
      <c r="C251" s="99" t="str">
        <f>IF(B251="","",IF(NOT(ISNUMBER(B251)),"DATA_PC invalida",IF(NOT(ISNUMBER(parametros!$C$2)),"Fora dos ciclos",IF(OR(B251&lt;parametros!$C$2,(YEAR(B251)-YEAR(parametros!$C$2))*12+MONTH(B251)-MONTH(parametros!$C$2)&gt;59),"Fora dos ciclos","C"&amp;INT(((YEAR(B251)-YEAR(parametros!$C$2))*12+MONTH(B251)-MONTH(parametros!$C$2))/12)))))</f>
        <v/>
      </c>
      <c r="D251" s="394"/>
      <c r="E251" s="78" t="str">
        <f>IF(C251="","",IFERROR(VLOOKUP(C251,parametros!$A$11:$E$15,5,0),""))</f>
        <v/>
      </c>
      <c r="F251" s="79" t="str">
        <f t="shared" si="17"/>
        <v/>
      </c>
      <c r="G251" s="395"/>
      <c r="H251" s="91">
        <f t="shared" si="18"/>
        <v>0</v>
      </c>
      <c r="I251" s="91" t="str">
        <f t="shared" si="19"/>
        <v/>
      </c>
      <c r="J251" s="91" t="str">
        <f t="shared" si="20"/>
        <v/>
      </c>
      <c r="K251" s="92" t="str">
        <f>IF(AND(A251="",B251="",D251="",G251=""),"",IF(AND(A251&lt;&gt;"",COUNTIF($A$2:$A$5001,A251)&gt;1),"NUMERO_PC duplicado",IF(B251="","DATA_PC vazia",IF(NOT(ISNUMBER(B251)),"DATA_PC invalida",IF(OR(C251="",C251="Fora dos ciclos"),"CICLO_PC nao identificado",IF(OR(D251="",D251=0),"VALOR_PC vazio ou zero",IF(AND(G251&lt;&gt;"Sim",G251&lt;&gt;"Nao",G251&lt;&gt;""),"PC_PAGO_A_CONTRATADA invalido",IF(AND(C251&lt;&gt;"C0",IFERROR(INDEX(parametros!$A$2:$A$6,MATCH(C251,parametros!$B$2:$B$6,0)),"")="Sim",IFERROR(INDEX(parametros!$H$2:$H$6,MATCH(C251,parametros!$B$2:$B$6,0)),"")=""),"INICIO_EFEITO ausente: PC "&amp;A251&amp;" - "&amp;C251,IF(L251="","EFEITO_PC nao calculado: PC "&amp;A251&amp;" - "&amp;C251,"OK")))))))))</f>
        <v/>
      </c>
      <c r="L251" s="92" t="str">
        <f>IF(AND(A251="",B251="",D251="",G251=""),"",IF(OR(B251="",NOT(ISNUMBER(B251)),C251="",C251="Fora dos ciclos"),"",IF(C251="C0","Nao",IF(IFERROR(INDEX(parametros!$A$2:$A$6,MATCH(C251,parametros!$B$2:$B$6,0)),"")&lt;&gt;"Sim","Nao",IF(IFERROR(INDEX(parametros!$H$2:$H$6,MATCH(C251,parametros!$B$2:$B$6,0)),"")="","",IF(B251&gt;=IFERROR(INDEX(parametros!$H$2:$H$6,MATCH(C251,parametros!$B$2:$B$6,0)),""),"Sim","Nao"))))))</f>
        <v/>
      </c>
      <c r="T251" s="156"/>
      <c r="U251" s="214" t="str">
        <f t="shared" si="21"/>
        <v/>
      </c>
      <c r="V251" s="212" t="s">
        <v>50</v>
      </c>
      <c r="W251" s="100" t="s">
        <v>168</v>
      </c>
      <c r="X251" s="100" t="s">
        <v>169</v>
      </c>
      <c r="Y251" s="101" t="s">
        <v>170</v>
      </c>
      <c r="Z251" s="101" t="s">
        <v>171</v>
      </c>
      <c r="AA251" s="101" t="s">
        <v>50</v>
      </c>
      <c r="AB251" s="101" t="s">
        <v>172</v>
      </c>
      <c r="AC251" s="102" t="s">
        <v>173</v>
      </c>
    </row>
    <row r="252" spans="1:29" ht="25.5" customHeight="1" x14ac:dyDescent="0.35">
      <c r="A252" s="392"/>
      <c r="B252" s="393"/>
      <c r="C252" s="99" t="str">
        <f>IF(B252="","",IF(NOT(ISNUMBER(B252)),"DATA_PC invalida",IF(NOT(ISNUMBER(parametros!$C$2)),"Fora dos ciclos",IF(OR(B252&lt;parametros!$C$2,(YEAR(B252)-YEAR(parametros!$C$2))*12+MONTH(B252)-MONTH(parametros!$C$2)&gt;59),"Fora dos ciclos","C"&amp;INT(((YEAR(B252)-YEAR(parametros!$C$2))*12+MONTH(B252)-MONTH(parametros!$C$2))/12)))))</f>
        <v/>
      </c>
      <c r="D252" s="394"/>
      <c r="E252" s="78" t="str">
        <f>IF(C252="","",IFERROR(VLOOKUP(C252,parametros!$A$11:$E$15,5,0),""))</f>
        <v/>
      </c>
      <c r="F252" s="79" t="str">
        <f t="shared" si="17"/>
        <v/>
      </c>
      <c r="G252" s="395"/>
      <c r="H252" s="91">
        <f t="shared" si="18"/>
        <v>0</v>
      </c>
      <c r="I252" s="91" t="str">
        <f t="shared" si="19"/>
        <v/>
      </c>
      <c r="J252" s="91" t="str">
        <f t="shared" si="20"/>
        <v/>
      </c>
      <c r="K252" s="92" t="str">
        <f>IF(AND(A252="",B252="",D252="",G252=""),"",IF(AND(A252&lt;&gt;"",COUNTIF($A$2:$A$5001,A252)&gt;1),"NUMERO_PC duplicado",IF(B252="","DATA_PC vazia",IF(NOT(ISNUMBER(B252)),"DATA_PC invalida",IF(OR(C252="",C252="Fora dos ciclos"),"CICLO_PC nao identificado",IF(OR(D252="",D252=0),"VALOR_PC vazio ou zero",IF(AND(G252&lt;&gt;"Sim",G252&lt;&gt;"Nao",G252&lt;&gt;""),"PC_PAGO_A_CONTRATADA invalido",IF(AND(C252&lt;&gt;"C0",IFERROR(INDEX(parametros!$A$2:$A$6,MATCH(C252,parametros!$B$2:$B$6,0)),"")="Sim",IFERROR(INDEX(parametros!$H$2:$H$6,MATCH(C252,parametros!$B$2:$B$6,0)),"")=""),"INICIO_EFEITO ausente: PC "&amp;A252&amp;" - "&amp;C252,IF(L252="","EFEITO_PC nao calculado: PC "&amp;A252&amp;" - "&amp;C252,"OK")))))))))</f>
        <v/>
      </c>
      <c r="L252" s="92" t="str">
        <f>IF(AND(A252="",B252="",D252="",G252=""),"",IF(OR(B252="",NOT(ISNUMBER(B252)),C252="",C252="Fora dos ciclos"),"",IF(C252="C0","Nao",IF(IFERROR(INDEX(parametros!$A$2:$A$6,MATCH(C252,parametros!$B$2:$B$6,0)),"")&lt;&gt;"Sim","Nao",IF(IFERROR(INDEX(parametros!$H$2:$H$6,MATCH(C252,parametros!$B$2:$B$6,0)),"")="","",IF(B252&gt;=IFERROR(INDEX(parametros!$H$2:$H$6,MATCH(C252,parametros!$B$2:$B$6,0)),""),"Sim","Nao"))))))</f>
        <v/>
      </c>
      <c r="T252" s="156"/>
      <c r="U252" s="214" t="str">
        <f t="shared" si="21"/>
        <v/>
      </c>
      <c r="V252" s="212" t="s">
        <v>50</v>
      </c>
      <c r="W252" s="100" t="s">
        <v>168</v>
      </c>
      <c r="X252" s="100" t="s">
        <v>169</v>
      </c>
      <c r="Y252" s="101" t="s">
        <v>170</v>
      </c>
      <c r="Z252" s="101" t="s">
        <v>171</v>
      </c>
      <c r="AA252" s="101" t="s">
        <v>50</v>
      </c>
      <c r="AB252" s="101" t="s">
        <v>172</v>
      </c>
      <c r="AC252" s="102" t="s">
        <v>173</v>
      </c>
    </row>
    <row r="253" spans="1:29" ht="25.5" customHeight="1" x14ac:dyDescent="0.35">
      <c r="A253" s="392"/>
      <c r="B253" s="393"/>
      <c r="C253" s="99" t="str">
        <f>IF(B253="","",IF(NOT(ISNUMBER(B253)),"DATA_PC invalida",IF(NOT(ISNUMBER(parametros!$C$2)),"Fora dos ciclos",IF(OR(B253&lt;parametros!$C$2,(YEAR(B253)-YEAR(parametros!$C$2))*12+MONTH(B253)-MONTH(parametros!$C$2)&gt;59),"Fora dos ciclos","C"&amp;INT(((YEAR(B253)-YEAR(parametros!$C$2))*12+MONTH(B253)-MONTH(parametros!$C$2))/12)))))</f>
        <v/>
      </c>
      <c r="D253" s="394"/>
      <c r="E253" s="78" t="str">
        <f>IF(C253="","",IFERROR(VLOOKUP(C253,parametros!$A$11:$E$15,5,0),""))</f>
        <v/>
      </c>
      <c r="F253" s="79" t="str">
        <f t="shared" si="17"/>
        <v/>
      </c>
      <c r="G253" s="395"/>
      <c r="H253" s="91">
        <f t="shared" si="18"/>
        <v>0</v>
      </c>
      <c r="I253" s="91" t="str">
        <f t="shared" si="19"/>
        <v/>
      </c>
      <c r="J253" s="91" t="str">
        <f t="shared" si="20"/>
        <v/>
      </c>
      <c r="K253" s="92" t="str">
        <f>IF(AND(A253="",B253="",D253="",G253=""),"",IF(AND(A253&lt;&gt;"",COUNTIF($A$2:$A$5001,A253)&gt;1),"NUMERO_PC duplicado",IF(B253="","DATA_PC vazia",IF(NOT(ISNUMBER(B253)),"DATA_PC invalida",IF(OR(C253="",C253="Fora dos ciclos"),"CICLO_PC nao identificado",IF(OR(D253="",D253=0),"VALOR_PC vazio ou zero",IF(AND(G253&lt;&gt;"Sim",G253&lt;&gt;"Nao",G253&lt;&gt;""),"PC_PAGO_A_CONTRATADA invalido",IF(AND(C253&lt;&gt;"C0",IFERROR(INDEX(parametros!$A$2:$A$6,MATCH(C253,parametros!$B$2:$B$6,0)),"")="Sim",IFERROR(INDEX(parametros!$H$2:$H$6,MATCH(C253,parametros!$B$2:$B$6,0)),"")=""),"INICIO_EFEITO ausente: PC "&amp;A253&amp;" - "&amp;C253,IF(L253="","EFEITO_PC nao calculado: PC "&amp;A253&amp;" - "&amp;C253,"OK")))))))))</f>
        <v/>
      </c>
      <c r="L253" s="92" t="str">
        <f>IF(AND(A253="",B253="",D253="",G253=""),"",IF(OR(B253="",NOT(ISNUMBER(B253)),C253="",C253="Fora dos ciclos"),"",IF(C253="C0","Nao",IF(IFERROR(INDEX(parametros!$A$2:$A$6,MATCH(C253,parametros!$B$2:$B$6,0)),"")&lt;&gt;"Sim","Nao",IF(IFERROR(INDEX(parametros!$H$2:$H$6,MATCH(C253,parametros!$B$2:$B$6,0)),"")="","",IF(B253&gt;=IFERROR(INDEX(parametros!$H$2:$H$6,MATCH(C253,parametros!$B$2:$B$6,0)),""),"Sim","Nao"))))))</f>
        <v/>
      </c>
      <c r="T253" s="156"/>
      <c r="U253" s="214" t="str">
        <f t="shared" si="21"/>
        <v/>
      </c>
      <c r="V253" s="212" t="s">
        <v>50</v>
      </c>
      <c r="W253" s="100" t="s">
        <v>168</v>
      </c>
      <c r="X253" s="100" t="s">
        <v>169</v>
      </c>
      <c r="Y253" s="101" t="s">
        <v>170</v>
      </c>
      <c r="Z253" s="101" t="s">
        <v>171</v>
      </c>
      <c r="AA253" s="101" t="s">
        <v>50</v>
      </c>
      <c r="AB253" s="101" t="s">
        <v>172</v>
      </c>
      <c r="AC253" s="102" t="s">
        <v>173</v>
      </c>
    </row>
    <row r="254" spans="1:29" ht="25.5" customHeight="1" x14ac:dyDescent="0.35">
      <c r="A254" s="392"/>
      <c r="B254" s="393"/>
      <c r="C254" s="99" t="str">
        <f>IF(B254="","",IF(NOT(ISNUMBER(B254)),"DATA_PC invalida",IF(NOT(ISNUMBER(parametros!$C$2)),"Fora dos ciclos",IF(OR(B254&lt;parametros!$C$2,(YEAR(B254)-YEAR(parametros!$C$2))*12+MONTH(B254)-MONTH(parametros!$C$2)&gt;59),"Fora dos ciclos","C"&amp;INT(((YEAR(B254)-YEAR(parametros!$C$2))*12+MONTH(B254)-MONTH(parametros!$C$2))/12)))))</f>
        <v/>
      </c>
      <c r="D254" s="394"/>
      <c r="E254" s="78" t="str">
        <f>IF(C254="","",IFERROR(VLOOKUP(C254,parametros!$A$11:$E$15,5,0),""))</f>
        <v/>
      </c>
      <c r="F254" s="79" t="str">
        <f t="shared" si="17"/>
        <v/>
      </c>
      <c r="G254" s="395"/>
      <c r="H254" s="91">
        <f t="shared" si="18"/>
        <v>0</v>
      </c>
      <c r="I254" s="91" t="str">
        <f t="shared" si="19"/>
        <v/>
      </c>
      <c r="J254" s="91" t="str">
        <f t="shared" si="20"/>
        <v/>
      </c>
      <c r="K254" s="92" t="str">
        <f>IF(AND(A254="",B254="",D254="",G254=""),"",IF(AND(A254&lt;&gt;"",COUNTIF($A$2:$A$5001,A254)&gt;1),"NUMERO_PC duplicado",IF(B254="","DATA_PC vazia",IF(NOT(ISNUMBER(B254)),"DATA_PC invalida",IF(OR(C254="",C254="Fora dos ciclos"),"CICLO_PC nao identificado",IF(OR(D254="",D254=0),"VALOR_PC vazio ou zero",IF(AND(G254&lt;&gt;"Sim",G254&lt;&gt;"Nao",G254&lt;&gt;""),"PC_PAGO_A_CONTRATADA invalido",IF(AND(C254&lt;&gt;"C0",IFERROR(INDEX(parametros!$A$2:$A$6,MATCH(C254,parametros!$B$2:$B$6,0)),"")="Sim",IFERROR(INDEX(parametros!$H$2:$H$6,MATCH(C254,parametros!$B$2:$B$6,0)),"")=""),"INICIO_EFEITO ausente: PC "&amp;A254&amp;" - "&amp;C254,IF(L254="","EFEITO_PC nao calculado: PC "&amp;A254&amp;" - "&amp;C254,"OK")))))))))</f>
        <v/>
      </c>
      <c r="L254" s="92" t="str">
        <f>IF(AND(A254="",B254="",D254="",G254=""),"",IF(OR(B254="",NOT(ISNUMBER(B254)),C254="",C254="Fora dos ciclos"),"",IF(C254="C0","Nao",IF(IFERROR(INDEX(parametros!$A$2:$A$6,MATCH(C254,parametros!$B$2:$B$6,0)),"")&lt;&gt;"Sim","Nao",IF(IFERROR(INDEX(parametros!$H$2:$H$6,MATCH(C254,parametros!$B$2:$B$6,0)),"")="","",IF(B254&gt;=IFERROR(INDEX(parametros!$H$2:$H$6,MATCH(C254,parametros!$B$2:$B$6,0)),""),"Sim","Nao"))))))</f>
        <v/>
      </c>
      <c r="T254" s="156"/>
      <c r="U254" s="214" t="str">
        <f t="shared" si="21"/>
        <v/>
      </c>
      <c r="V254" s="212" t="s">
        <v>50</v>
      </c>
      <c r="W254" s="100" t="s">
        <v>168</v>
      </c>
      <c r="X254" s="100" t="s">
        <v>169</v>
      </c>
      <c r="Y254" s="101" t="s">
        <v>170</v>
      </c>
      <c r="Z254" s="101" t="s">
        <v>171</v>
      </c>
      <c r="AA254" s="101" t="s">
        <v>50</v>
      </c>
      <c r="AB254" s="101" t="s">
        <v>172</v>
      </c>
      <c r="AC254" s="102" t="s">
        <v>173</v>
      </c>
    </row>
    <row r="255" spans="1:29" ht="25.5" customHeight="1" x14ac:dyDescent="0.35">
      <c r="A255" s="392"/>
      <c r="B255" s="393"/>
      <c r="C255" s="99" t="str">
        <f>IF(B255="","",IF(NOT(ISNUMBER(B255)),"DATA_PC invalida",IF(NOT(ISNUMBER(parametros!$C$2)),"Fora dos ciclos",IF(OR(B255&lt;parametros!$C$2,(YEAR(B255)-YEAR(parametros!$C$2))*12+MONTH(B255)-MONTH(parametros!$C$2)&gt;59),"Fora dos ciclos","C"&amp;INT(((YEAR(B255)-YEAR(parametros!$C$2))*12+MONTH(B255)-MONTH(parametros!$C$2))/12)))))</f>
        <v/>
      </c>
      <c r="D255" s="394"/>
      <c r="E255" s="78" t="str">
        <f>IF(C255="","",IFERROR(VLOOKUP(C255,parametros!$A$11:$E$15,5,0),""))</f>
        <v/>
      </c>
      <c r="F255" s="79" t="str">
        <f t="shared" si="17"/>
        <v/>
      </c>
      <c r="G255" s="395"/>
      <c r="H255" s="91">
        <f t="shared" si="18"/>
        <v>0</v>
      </c>
      <c r="I255" s="91" t="str">
        <f t="shared" si="19"/>
        <v/>
      </c>
      <c r="J255" s="91" t="str">
        <f t="shared" si="20"/>
        <v/>
      </c>
      <c r="K255" s="92" t="str">
        <f>IF(AND(A255="",B255="",D255="",G255=""),"",IF(AND(A255&lt;&gt;"",COUNTIF($A$2:$A$5001,A255)&gt;1),"NUMERO_PC duplicado",IF(B255="","DATA_PC vazia",IF(NOT(ISNUMBER(B255)),"DATA_PC invalida",IF(OR(C255="",C255="Fora dos ciclos"),"CICLO_PC nao identificado",IF(OR(D255="",D255=0),"VALOR_PC vazio ou zero",IF(AND(G255&lt;&gt;"Sim",G255&lt;&gt;"Nao",G255&lt;&gt;""),"PC_PAGO_A_CONTRATADA invalido",IF(AND(C255&lt;&gt;"C0",IFERROR(INDEX(parametros!$A$2:$A$6,MATCH(C255,parametros!$B$2:$B$6,0)),"")="Sim",IFERROR(INDEX(parametros!$H$2:$H$6,MATCH(C255,parametros!$B$2:$B$6,0)),"")=""),"INICIO_EFEITO ausente: PC "&amp;A255&amp;" - "&amp;C255,IF(L255="","EFEITO_PC nao calculado: PC "&amp;A255&amp;" - "&amp;C255,"OK")))))))))</f>
        <v/>
      </c>
      <c r="L255" s="92" t="str">
        <f>IF(AND(A255="",B255="",D255="",G255=""),"",IF(OR(B255="",NOT(ISNUMBER(B255)),C255="",C255="Fora dos ciclos"),"",IF(C255="C0","Nao",IF(IFERROR(INDEX(parametros!$A$2:$A$6,MATCH(C255,parametros!$B$2:$B$6,0)),"")&lt;&gt;"Sim","Nao",IF(IFERROR(INDEX(parametros!$H$2:$H$6,MATCH(C255,parametros!$B$2:$B$6,0)),"")="","",IF(B255&gt;=IFERROR(INDEX(parametros!$H$2:$H$6,MATCH(C255,parametros!$B$2:$B$6,0)),""),"Sim","Nao"))))))</f>
        <v/>
      </c>
      <c r="T255" s="156"/>
      <c r="U255" s="214" t="str">
        <f t="shared" si="21"/>
        <v/>
      </c>
      <c r="V255" s="212" t="s">
        <v>50</v>
      </c>
      <c r="W255" s="100" t="s">
        <v>168</v>
      </c>
      <c r="X255" s="100" t="s">
        <v>169</v>
      </c>
      <c r="Y255" s="101" t="s">
        <v>170</v>
      </c>
      <c r="Z255" s="101" t="s">
        <v>171</v>
      </c>
      <c r="AA255" s="101" t="s">
        <v>50</v>
      </c>
      <c r="AB255" s="101" t="s">
        <v>172</v>
      </c>
      <c r="AC255" s="102" t="s">
        <v>173</v>
      </c>
    </row>
    <row r="256" spans="1:29" ht="25.5" customHeight="1" x14ac:dyDescent="0.35">
      <c r="A256" s="392"/>
      <c r="B256" s="393"/>
      <c r="C256" s="99" t="str">
        <f>IF(B256="","",IF(NOT(ISNUMBER(B256)),"DATA_PC invalida",IF(NOT(ISNUMBER(parametros!$C$2)),"Fora dos ciclos",IF(OR(B256&lt;parametros!$C$2,(YEAR(B256)-YEAR(parametros!$C$2))*12+MONTH(B256)-MONTH(parametros!$C$2)&gt;59),"Fora dos ciclos","C"&amp;INT(((YEAR(B256)-YEAR(parametros!$C$2))*12+MONTH(B256)-MONTH(parametros!$C$2))/12)))))</f>
        <v/>
      </c>
      <c r="D256" s="394"/>
      <c r="E256" s="78" t="str">
        <f>IF(C256="","",IFERROR(VLOOKUP(C256,parametros!$A$11:$E$15,5,0),""))</f>
        <v/>
      </c>
      <c r="F256" s="79" t="str">
        <f t="shared" si="17"/>
        <v/>
      </c>
      <c r="G256" s="395"/>
      <c r="H256" s="91">
        <f t="shared" si="18"/>
        <v>0</v>
      </c>
      <c r="I256" s="91" t="str">
        <f t="shared" si="19"/>
        <v/>
      </c>
      <c r="J256" s="91" t="str">
        <f t="shared" si="20"/>
        <v/>
      </c>
      <c r="K256" s="92" t="str">
        <f>IF(AND(A256="",B256="",D256="",G256=""),"",IF(AND(A256&lt;&gt;"",COUNTIF($A$2:$A$5001,A256)&gt;1),"NUMERO_PC duplicado",IF(B256="","DATA_PC vazia",IF(NOT(ISNUMBER(B256)),"DATA_PC invalida",IF(OR(C256="",C256="Fora dos ciclos"),"CICLO_PC nao identificado",IF(OR(D256="",D256=0),"VALOR_PC vazio ou zero",IF(AND(G256&lt;&gt;"Sim",G256&lt;&gt;"Nao",G256&lt;&gt;""),"PC_PAGO_A_CONTRATADA invalido",IF(AND(C256&lt;&gt;"C0",IFERROR(INDEX(parametros!$A$2:$A$6,MATCH(C256,parametros!$B$2:$B$6,0)),"")="Sim",IFERROR(INDEX(parametros!$H$2:$H$6,MATCH(C256,parametros!$B$2:$B$6,0)),"")=""),"INICIO_EFEITO ausente: PC "&amp;A256&amp;" - "&amp;C256,IF(L256="","EFEITO_PC nao calculado: PC "&amp;A256&amp;" - "&amp;C256,"OK")))))))))</f>
        <v/>
      </c>
      <c r="L256" s="92" t="str">
        <f>IF(AND(A256="",B256="",D256="",G256=""),"",IF(OR(B256="",NOT(ISNUMBER(B256)),C256="",C256="Fora dos ciclos"),"",IF(C256="C0","Nao",IF(IFERROR(INDEX(parametros!$A$2:$A$6,MATCH(C256,parametros!$B$2:$B$6,0)),"")&lt;&gt;"Sim","Nao",IF(IFERROR(INDEX(parametros!$H$2:$H$6,MATCH(C256,parametros!$B$2:$B$6,0)),"")="","",IF(B256&gt;=IFERROR(INDEX(parametros!$H$2:$H$6,MATCH(C256,parametros!$B$2:$B$6,0)),""),"Sim","Nao"))))))</f>
        <v/>
      </c>
      <c r="T256" s="156"/>
      <c r="U256" s="214" t="str">
        <f t="shared" si="21"/>
        <v/>
      </c>
      <c r="V256" s="212" t="s">
        <v>50</v>
      </c>
      <c r="W256" s="100" t="s">
        <v>168</v>
      </c>
      <c r="X256" s="100" t="s">
        <v>169</v>
      </c>
      <c r="Y256" s="101" t="s">
        <v>170</v>
      </c>
      <c r="Z256" s="101" t="s">
        <v>171</v>
      </c>
      <c r="AA256" s="101" t="s">
        <v>50</v>
      </c>
      <c r="AB256" s="101" t="s">
        <v>172</v>
      </c>
      <c r="AC256" s="102" t="s">
        <v>173</v>
      </c>
    </row>
    <row r="257" spans="1:29" ht="25.5" customHeight="1" x14ac:dyDescent="0.35">
      <c r="A257" s="392"/>
      <c r="B257" s="393"/>
      <c r="C257" s="99" t="str">
        <f>IF(B257="","",IF(NOT(ISNUMBER(B257)),"DATA_PC invalida",IF(NOT(ISNUMBER(parametros!$C$2)),"Fora dos ciclos",IF(OR(B257&lt;parametros!$C$2,(YEAR(B257)-YEAR(parametros!$C$2))*12+MONTH(B257)-MONTH(parametros!$C$2)&gt;59),"Fora dos ciclos","C"&amp;INT(((YEAR(B257)-YEAR(parametros!$C$2))*12+MONTH(B257)-MONTH(parametros!$C$2))/12)))))</f>
        <v/>
      </c>
      <c r="D257" s="394"/>
      <c r="E257" s="78" t="str">
        <f>IF(C257="","",IFERROR(VLOOKUP(C257,parametros!$A$11:$E$15,5,0),""))</f>
        <v/>
      </c>
      <c r="F257" s="79" t="str">
        <f t="shared" si="17"/>
        <v/>
      </c>
      <c r="G257" s="395"/>
      <c r="H257" s="91">
        <f t="shared" si="18"/>
        <v>0</v>
      </c>
      <c r="I257" s="91" t="str">
        <f t="shared" si="19"/>
        <v/>
      </c>
      <c r="J257" s="91" t="str">
        <f t="shared" si="20"/>
        <v/>
      </c>
      <c r="K257" s="92" t="str">
        <f>IF(AND(A257="",B257="",D257="",G257=""),"",IF(AND(A257&lt;&gt;"",COUNTIF($A$2:$A$5001,A257)&gt;1),"NUMERO_PC duplicado",IF(B257="","DATA_PC vazia",IF(NOT(ISNUMBER(B257)),"DATA_PC invalida",IF(OR(C257="",C257="Fora dos ciclos"),"CICLO_PC nao identificado",IF(OR(D257="",D257=0),"VALOR_PC vazio ou zero",IF(AND(G257&lt;&gt;"Sim",G257&lt;&gt;"Nao",G257&lt;&gt;""),"PC_PAGO_A_CONTRATADA invalido",IF(AND(C257&lt;&gt;"C0",IFERROR(INDEX(parametros!$A$2:$A$6,MATCH(C257,parametros!$B$2:$B$6,0)),"")="Sim",IFERROR(INDEX(parametros!$H$2:$H$6,MATCH(C257,parametros!$B$2:$B$6,0)),"")=""),"INICIO_EFEITO ausente: PC "&amp;A257&amp;" - "&amp;C257,IF(L257="","EFEITO_PC nao calculado: PC "&amp;A257&amp;" - "&amp;C257,"OK")))))))))</f>
        <v/>
      </c>
      <c r="L257" s="92" t="str">
        <f>IF(AND(A257="",B257="",D257="",G257=""),"",IF(OR(B257="",NOT(ISNUMBER(B257)),C257="",C257="Fora dos ciclos"),"",IF(C257="C0","Nao",IF(IFERROR(INDEX(parametros!$A$2:$A$6,MATCH(C257,parametros!$B$2:$B$6,0)),"")&lt;&gt;"Sim","Nao",IF(IFERROR(INDEX(parametros!$H$2:$H$6,MATCH(C257,parametros!$B$2:$B$6,0)),"")="","",IF(B257&gt;=IFERROR(INDEX(parametros!$H$2:$H$6,MATCH(C257,parametros!$B$2:$B$6,0)),""),"Sim","Nao"))))))</f>
        <v/>
      </c>
      <c r="T257" s="156"/>
      <c r="U257" s="214" t="str">
        <f t="shared" si="21"/>
        <v/>
      </c>
      <c r="V257" s="212" t="s">
        <v>50</v>
      </c>
      <c r="W257" s="100" t="s">
        <v>168</v>
      </c>
      <c r="X257" s="100" t="s">
        <v>169</v>
      </c>
      <c r="Y257" s="101" t="s">
        <v>170</v>
      </c>
      <c r="Z257" s="101" t="s">
        <v>171</v>
      </c>
      <c r="AA257" s="101" t="s">
        <v>50</v>
      </c>
      <c r="AB257" s="101" t="s">
        <v>172</v>
      </c>
      <c r="AC257" s="102" t="s">
        <v>173</v>
      </c>
    </row>
    <row r="258" spans="1:29" ht="25.5" customHeight="1" x14ac:dyDescent="0.35">
      <c r="A258" s="392"/>
      <c r="B258" s="393"/>
      <c r="C258" s="99" t="str">
        <f>IF(B258="","",IF(NOT(ISNUMBER(B258)),"DATA_PC invalida",IF(NOT(ISNUMBER(parametros!$C$2)),"Fora dos ciclos",IF(OR(B258&lt;parametros!$C$2,(YEAR(B258)-YEAR(parametros!$C$2))*12+MONTH(B258)-MONTH(parametros!$C$2)&gt;59),"Fora dos ciclos","C"&amp;INT(((YEAR(B258)-YEAR(parametros!$C$2))*12+MONTH(B258)-MONTH(parametros!$C$2))/12)))))</f>
        <v/>
      </c>
      <c r="D258" s="394"/>
      <c r="E258" s="78" t="str">
        <f>IF(C258="","",IFERROR(VLOOKUP(C258,parametros!$A$11:$E$15,5,0),""))</f>
        <v/>
      </c>
      <c r="F258" s="79" t="str">
        <f t="shared" ref="F258:F321" si="22">IF(OR(D258="",E258=""),"",ROUND(D258*E258,2))</f>
        <v/>
      </c>
      <c r="G258" s="395"/>
      <c r="H258" s="91">
        <f t="shared" ref="H258:H321" si="23">IF(G258="Sim",IF(OR(F258="",D258="",L258=""),"",IF(L258="Sim",ROUND(F258-D258,2),0)),0)</f>
        <v>0</v>
      </c>
      <c r="I258" s="91" t="str">
        <f t="shared" ref="I258:I321" si="24">IF(G258="Sim",0,IF(OR(F258="",L258=""),"",F258))</f>
        <v/>
      </c>
      <c r="J258" s="91" t="str">
        <f t="shared" ref="J258:J321" si="25">IF(G258="Sim",0,IF(OR(F258="",D258="",L258=""),"",IF(L258="Sim",ROUND(F258-D258,2),0)))</f>
        <v/>
      </c>
      <c r="K258" s="92" t="str">
        <f>IF(AND(A258="",B258="",D258="",G258=""),"",IF(AND(A258&lt;&gt;"",COUNTIF($A$2:$A$5001,A258)&gt;1),"NUMERO_PC duplicado",IF(B258="","DATA_PC vazia",IF(NOT(ISNUMBER(B258)),"DATA_PC invalida",IF(OR(C258="",C258="Fora dos ciclos"),"CICLO_PC nao identificado",IF(OR(D258="",D258=0),"VALOR_PC vazio ou zero",IF(AND(G258&lt;&gt;"Sim",G258&lt;&gt;"Nao",G258&lt;&gt;""),"PC_PAGO_A_CONTRATADA invalido",IF(AND(C258&lt;&gt;"C0",IFERROR(INDEX(parametros!$A$2:$A$6,MATCH(C258,parametros!$B$2:$B$6,0)),"")="Sim",IFERROR(INDEX(parametros!$H$2:$H$6,MATCH(C258,parametros!$B$2:$B$6,0)),"")=""),"INICIO_EFEITO ausente: PC "&amp;A258&amp;" - "&amp;C258,IF(L258="","EFEITO_PC nao calculado: PC "&amp;A258&amp;" - "&amp;C258,"OK")))))))))</f>
        <v/>
      </c>
      <c r="L258" s="92" t="str">
        <f>IF(AND(A258="",B258="",D258="",G258=""),"",IF(OR(B258="",NOT(ISNUMBER(B258)),C258="",C258="Fora dos ciclos"),"",IF(C258="C0","Nao",IF(IFERROR(INDEX(parametros!$A$2:$A$6,MATCH(C258,parametros!$B$2:$B$6,0)),"")&lt;&gt;"Sim","Nao",IF(IFERROR(INDEX(parametros!$H$2:$H$6,MATCH(C258,parametros!$B$2:$B$6,0)),"")="","",IF(B258&gt;=IFERROR(INDEX(parametros!$H$2:$H$6,MATCH(C258,parametros!$B$2:$B$6,0)),""),"Sim","Nao"))))))</f>
        <v/>
      </c>
      <c r="T258" s="156"/>
      <c r="U258" s="214" t="str">
        <f t="shared" ref="U258:U321" si="26">IF(OR($D258="",$H258=""),"",ROUND($D258+$H258,2))</f>
        <v/>
      </c>
      <c r="V258" s="212" t="s">
        <v>50</v>
      </c>
      <c r="W258" s="100" t="s">
        <v>168</v>
      </c>
      <c r="X258" s="100" t="s">
        <v>169</v>
      </c>
      <c r="Y258" s="101" t="s">
        <v>170</v>
      </c>
      <c r="Z258" s="101" t="s">
        <v>171</v>
      </c>
      <c r="AA258" s="101" t="s">
        <v>50</v>
      </c>
      <c r="AB258" s="101" t="s">
        <v>172</v>
      </c>
      <c r="AC258" s="102" t="s">
        <v>173</v>
      </c>
    </row>
    <row r="259" spans="1:29" ht="25.5" customHeight="1" x14ac:dyDescent="0.35">
      <c r="A259" s="392"/>
      <c r="B259" s="393"/>
      <c r="C259" s="99" t="str">
        <f>IF(B259="","",IF(NOT(ISNUMBER(B259)),"DATA_PC invalida",IF(NOT(ISNUMBER(parametros!$C$2)),"Fora dos ciclos",IF(OR(B259&lt;parametros!$C$2,(YEAR(B259)-YEAR(parametros!$C$2))*12+MONTH(B259)-MONTH(parametros!$C$2)&gt;59),"Fora dos ciclos","C"&amp;INT(((YEAR(B259)-YEAR(parametros!$C$2))*12+MONTH(B259)-MONTH(parametros!$C$2))/12)))))</f>
        <v/>
      </c>
      <c r="D259" s="394"/>
      <c r="E259" s="78" t="str">
        <f>IF(C259="","",IFERROR(VLOOKUP(C259,parametros!$A$11:$E$15,5,0),""))</f>
        <v/>
      </c>
      <c r="F259" s="79" t="str">
        <f t="shared" si="22"/>
        <v/>
      </c>
      <c r="G259" s="395"/>
      <c r="H259" s="91">
        <f t="shared" si="23"/>
        <v>0</v>
      </c>
      <c r="I259" s="91" t="str">
        <f t="shared" si="24"/>
        <v/>
      </c>
      <c r="J259" s="91" t="str">
        <f t="shared" si="25"/>
        <v/>
      </c>
      <c r="K259" s="92" t="str">
        <f>IF(AND(A259="",B259="",D259="",G259=""),"",IF(AND(A259&lt;&gt;"",COUNTIF($A$2:$A$5001,A259)&gt;1),"NUMERO_PC duplicado",IF(B259="","DATA_PC vazia",IF(NOT(ISNUMBER(B259)),"DATA_PC invalida",IF(OR(C259="",C259="Fora dos ciclos"),"CICLO_PC nao identificado",IF(OR(D259="",D259=0),"VALOR_PC vazio ou zero",IF(AND(G259&lt;&gt;"Sim",G259&lt;&gt;"Nao",G259&lt;&gt;""),"PC_PAGO_A_CONTRATADA invalido",IF(AND(C259&lt;&gt;"C0",IFERROR(INDEX(parametros!$A$2:$A$6,MATCH(C259,parametros!$B$2:$B$6,0)),"")="Sim",IFERROR(INDEX(parametros!$H$2:$H$6,MATCH(C259,parametros!$B$2:$B$6,0)),"")=""),"INICIO_EFEITO ausente: PC "&amp;A259&amp;" - "&amp;C259,IF(L259="","EFEITO_PC nao calculado: PC "&amp;A259&amp;" - "&amp;C259,"OK")))))))))</f>
        <v/>
      </c>
      <c r="L259" s="92" t="str">
        <f>IF(AND(A259="",B259="",D259="",G259=""),"",IF(OR(B259="",NOT(ISNUMBER(B259)),C259="",C259="Fora dos ciclos"),"",IF(C259="C0","Nao",IF(IFERROR(INDEX(parametros!$A$2:$A$6,MATCH(C259,parametros!$B$2:$B$6,0)),"")&lt;&gt;"Sim","Nao",IF(IFERROR(INDEX(parametros!$H$2:$H$6,MATCH(C259,parametros!$B$2:$B$6,0)),"")="","",IF(B259&gt;=IFERROR(INDEX(parametros!$H$2:$H$6,MATCH(C259,parametros!$B$2:$B$6,0)),""),"Sim","Nao"))))))</f>
        <v/>
      </c>
      <c r="T259" s="156"/>
      <c r="U259" s="214" t="str">
        <f t="shared" si="26"/>
        <v/>
      </c>
      <c r="V259" s="212" t="s">
        <v>50</v>
      </c>
      <c r="W259" s="100" t="s">
        <v>168</v>
      </c>
      <c r="X259" s="100" t="s">
        <v>169</v>
      </c>
      <c r="Y259" s="101" t="s">
        <v>170</v>
      </c>
      <c r="Z259" s="101" t="s">
        <v>171</v>
      </c>
      <c r="AA259" s="101" t="s">
        <v>50</v>
      </c>
      <c r="AB259" s="101" t="s">
        <v>172</v>
      </c>
      <c r="AC259" s="102" t="s">
        <v>173</v>
      </c>
    </row>
    <row r="260" spans="1:29" ht="25.5" customHeight="1" x14ac:dyDescent="0.35">
      <c r="A260" s="392"/>
      <c r="B260" s="393"/>
      <c r="C260" s="99" t="str">
        <f>IF(B260="","",IF(NOT(ISNUMBER(B260)),"DATA_PC invalida",IF(NOT(ISNUMBER(parametros!$C$2)),"Fora dos ciclos",IF(OR(B260&lt;parametros!$C$2,(YEAR(B260)-YEAR(parametros!$C$2))*12+MONTH(B260)-MONTH(parametros!$C$2)&gt;59),"Fora dos ciclos","C"&amp;INT(((YEAR(B260)-YEAR(parametros!$C$2))*12+MONTH(B260)-MONTH(parametros!$C$2))/12)))))</f>
        <v/>
      </c>
      <c r="D260" s="394"/>
      <c r="E260" s="78" t="str">
        <f>IF(C260="","",IFERROR(VLOOKUP(C260,parametros!$A$11:$E$15,5,0),""))</f>
        <v/>
      </c>
      <c r="F260" s="79" t="str">
        <f t="shared" si="22"/>
        <v/>
      </c>
      <c r="G260" s="395"/>
      <c r="H260" s="91">
        <f t="shared" si="23"/>
        <v>0</v>
      </c>
      <c r="I260" s="91" t="str">
        <f t="shared" si="24"/>
        <v/>
      </c>
      <c r="J260" s="91" t="str">
        <f t="shared" si="25"/>
        <v/>
      </c>
      <c r="K260" s="92" t="str">
        <f>IF(AND(A260="",B260="",D260="",G260=""),"",IF(AND(A260&lt;&gt;"",COUNTIF($A$2:$A$5001,A260)&gt;1),"NUMERO_PC duplicado",IF(B260="","DATA_PC vazia",IF(NOT(ISNUMBER(B260)),"DATA_PC invalida",IF(OR(C260="",C260="Fora dos ciclos"),"CICLO_PC nao identificado",IF(OR(D260="",D260=0),"VALOR_PC vazio ou zero",IF(AND(G260&lt;&gt;"Sim",G260&lt;&gt;"Nao",G260&lt;&gt;""),"PC_PAGO_A_CONTRATADA invalido",IF(AND(C260&lt;&gt;"C0",IFERROR(INDEX(parametros!$A$2:$A$6,MATCH(C260,parametros!$B$2:$B$6,0)),"")="Sim",IFERROR(INDEX(parametros!$H$2:$H$6,MATCH(C260,parametros!$B$2:$B$6,0)),"")=""),"INICIO_EFEITO ausente: PC "&amp;A260&amp;" - "&amp;C260,IF(L260="","EFEITO_PC nao calculado: PC "&amp;A260&amp;" - "&amp;C260,"OK")))))))))</f>
        <v/>
      </c>
      <c r="L260" s="92" t="str">
        <f>IF(AND(A260="",B260="",D260="",G260=""),"",IF(OR(B260="",NOT(ISNUMBER(B260)),C260="",C260="Fora dos ciclos"),"",IF(C260="C0","Nao",IF(IFERROR(INDEX(parametros!$A$2:$A$6,MATCH(C260,parametros!$B$2:$B$6,0)),"")&lt;&gt;"Sim","Nao",IF(IFERROR(INDEX(parametros!$H$2:$H$6,MATCH(C260,parametros!$B$2:$B$6,0)),"")="","",IF(B260&gt;=IFERROR(INDEX(parametros!$H$2:$H$6,MATCH(C260,parametros!$B$2:$B$6,0)),""),"Sim","Nao"))))))</f>
        <v/>
      </c>
      <c r="T260" s="156"/>
      <c r="U260" s="214" t="str">
        <f t="shared" si="26"/>
        <v/>
      </c>
      <c r="V260" s="212" t="s">
        <v>50</v>
      </c>
      <c r="W260" s="100" t="s">
        <v>168</v>
      </c>
      <c r="X260" s="100" t="s">
        <v>169</v>
      </c>
      <c r="Y260" s="101" t="s">
        <v>170</v>
      </c>
      <c r="Z260" s="101" t="s">
        <v>171</v>
      </c>
      <c r="AA260" s="101" t="s">
        <v>50</v>
      </c>
      <c r="AB260" s="101" t="s">
        <v>172</v>
      </c>
      <c r="AC260" s="102" t="s">
        <v>173</v>
      </c>
    </row>
    <row r="261" spans="1:29" ht="25.5" customHeight="1" x14ac:dyDescent="0.35">
      <c r="A261" s="392"/>
      <c r="B261" s="393"/>
      <c r="C261" s="99" t="str">
        <f>IF(B261="","",IF(NOT(ISNUMBER(B261)),"DATA_PC invalida",IF(NOT(ISNUMBER(parametros!$C$2)),"Fora dos ciclos",IF(OR(B261&lt;parametros!$C$2,(YEAR(B261)-YEAR(parametros!$C$2))*12+MONTH(B261)-MONTH(parametros!$C$2)&gt;59),"Fora dos ciclos","C"&amp;INT(((YEAR(B261)-YEAR(parametros!$C$2))*12+MONTH(B261)-MONTH(parametros!$C$2))/12)))))</f>
        <v/>
      </c>
      <c r="D261" s="394"/>
      <c r="E261" s="78" t="str">
        <f>IF(C261="","",IFERROR(VLOOKUP(C261,parametros!$A$11:$E$15,5,0),""))</f>
        <v/>
      </c>
      <c r="F261" s="79" t="str">
        <f t="shared" si="22"/>
        <v/>
      </c>
      <c r="G261" s="395"/>
      <c r="H261" s="91">
        <f t="shared" si="23"/>
        <v>0</v>
      </c>
      <c r="I261" s="91" t="str">
        <f t="shared" si="24"/>
        <v/>
      </c>
      <c r="J261" s="91" t="str">
        <f t="shared" si="25"/>
        <v/>
      </c>
      <c r="K261" s="92" t="str">
        <f>IF(AND(A261="",B261="",D261="",G261=""),"",IF(AND(A261&lt;&gt;"",COUNTIF($A$2:$A$5001,A261)&gt;1),"NUMERO_PC duplicado",IF(B261="","DATA_PC vazia",IF(NOT(ISNUMBER(B261)),"DATA_PC invalida",IF(OR(C261="",C261="Fora dos ciclos"),"CICLO_PC nao identificado",IF(OR(D261="",D261=0),"VALOR_PC vazio ou zero",IF(AND(G261&lt;&gt;"Sim",G261&lt;&gt;"Nao",G261&lt;&gt;""),"PC_PAGO_A_CONTRATADA invalido",IF(AND(C261&lt;&gt;"C0",IFERROR(INDEX(parametros!$A$2:$A$6,MATCH(C261,parametros!$B$2:$B$6,0)),"")="Sim",IFERROR(INDEX(parametros!$H$2:$H$6,MATCH(C261,parametros!$B$2:$B$6,0)),"")=""),"INICIO_EFEITO ausente: PC "&amp;A261&amp;" - "&amp;C261,IF(L261="","EFEITO_PC nao calculado: PC "&amp;A261&amp;" - "&amp;C261,"OK")))))))))</f>
        <v/>
      </c>
      <c r="L261" s="92" t="str">
        <f>IF(AND(A261="",B261="",D261="",G261=""),"",IF(OR(B261="",NOT(ISNUMBER(B261)),C261="",C261="Fora dos ciclos"),"",IF(C261="C0","Nao",IF(IFERROR(INDEX(parametros!$A$2:$A$6,MATCH(C261,parametros!$B$2:$B$6,0)),"")&lt;&gt;"Sim","Nao",IF(IFERROR(INDEX(parametros!$H$2:$H$6,MATCH(C261,parametros!$B$2:$B$6,0)),"")="","",IF(B261&gt;=IFERROR(INDEX(parametros!$H$2:$H$6,MATCH(C261,parametros!$B$2:$B$6,0)),""),"Sim","Nao"))))))</f>
        <v/>
      </c>
      <c r="T261" s="156"/>
      <c r="U261" s="214" t="str">
        <f t="shared" si="26"/>
        <v/>
      </c>
      <c r="V261" s="212" t="s">
        <v>50</v>
      </c>
      <c r="W261" s="100" t="s">
        <v>168</v>
      </c>
      <c r="X261" s="100" t="s">
        <v>169</v>
      </c>
      <c r="Y261" s="101" t="s">
        <v>170</v>
      </c>
      <c r="Z261" s="101" t="s">
        <v>171</v>
      </c>
      <c r="AA261" s="101" t="s">
        <v>50</v>
      </c>
      <c r="AB261" s="101" t="s">
        <v>172</v>
      </c>
      <c r="AC261" s="102" t="s">
        <v>173</v>
      </c>
    </row>
    <row r="262" spans="1:29" ht="25.5" customHeight="1" x14ac:dyDescent="0.35">
      <c r="A262" s="392"/>
      <c r="B262" s="393"/>
      <c r="C262" s="99" t="str">
        <f>IF(B262="","",IF(NOT(ISNUMBER(B262)),"DATA_PC invalida",IF(NOT(ISNUMBER(parametros!$C$2)),"Fora dos ciclos",IF(OR(B262&lt;parametros!$C$2,(YEAR(B262)-YEAR(parametros!$C$2))*12+MONTH(B262)-MONTH(parametros!$C$2)&gt;59),"Fora dos ciclos","C"&amp;INT(((YEAR(B262)-YEAR(parametros!$C$2))*12+MONTH(B262)-MONTH(parametros!$C$2))/12)))))</f>
        <v/>
      </c>
      <c r="D262" s="394"/>
      <c r="E262" s="78" t="str">
        <f>IF(C262="","",IFERROR(VLOOKUP(C262,parametros!$A$11:$E$15,5,0),""))</f>
        <v/>
      </c>
      <c r="F262" s="79" t="str">
        <f t="shared" si="22"/>
        <v/>
      </c>
      <c r="G262" s="395"/>
      <c r="H262" s="91">
        <f t="shared" si="23"/>
        <v>0</v>
      </c>
      <c r="I262" s="91" t="str">
        <f t="shared" si="24"/>
        <v/>
      </c>
      <c r="J262" s="91" t="str">
        <f t="shared" si="25"/>
        <v/>
      </c>
      <c r="K262" s="92" t="str">
        <f>IF(AND(A262="",B262="",D262="",G262=""),"",IF(AND(A262&lt;&gt;"",COUNTIF($A$2:$A$5001,A262)&gt;1),"NUMERO_PC duplicado",IF(B262="","DATA_PC vazia",IF(NOT(ISNUMBER(B262)),"DATA_PC invalida",IF(OR(C262="",C262="Fora dos ciclos"),"CICLO_PC nao identificado",IF(OR(D262="",D262=0),"VALOR_PC vazio ou zero",IF(AND(G262&lt;&gt;"Sim",G262&lt;&gt;"Nao",G262&lt;&gt;""),"PC_PAGO_A_CONTRATADA invalido",IF(AND(C262&lt;&gt;"C0",IFERROR(INDEX(parametros!$A$2:$A$6,MATCH(C262,parametros!$B$2:$B$6,0)),"")="Sim",IFERROR(INDEX(parametros!$H$2:$H$6,MATCH(C262,parametros!$B$2:$B$6,0)),"")=""),"INICIO_EFEITO ausente: PC "&amp;A262&amp;" - "&amp;C262,IF(L262="","EFEITO_PC nao calculado: PC "&amp;A262&amp;" - "&amp;C262,"OK")))))))))</f>
        <v/>
      </c>
      <c r="L262" s="92" t="str">
        <f>IF(AND(A262="",B262="",D262="",G262=""),"",IF(OR(B262="",NOT(ISNUMBER(B262)),C262="",C262="Fora dos ciclos"),"",IF(C262="C0","Nao",IF(IFERROR(INDEX(parametros!$A$2:$A$6,MATCH(C262,parametros!$B$2:$B$6,0)),"")&lt;&gt;"Sim","Nao",IF(IFERROR(INDEX(parametros!$H$2:$H$6,MATCH(C262,parametros!$B$2:$B$6,0)),"")="","",IF(B262&gt;=IFERROR(INDEX(parametros!$H$2:$H$6,MATCH(C262,parametros!$B$2:$B$6,0)),""),"Sim","Nao"))))))</f>
        <v/>
      </c>
      <c r="T262" s="156"/>
      <c r="U262" s="214" t="str">
        <f t="shared" si="26"/>
        <v/>
      </c>
      <c r="V262" s="212" t="s">
        <v>50</v>
      </c>
      <c r="W262" s="100" t="s">
        <v>168</v>
      </c>
      <c r="X262" s="100" t="s">
        <v>169</v>
      </c>
      <c r="Y262" s="101" t="s">
        <v>170</v>
      </c>
      <c r="Z262" s="101" t="s">
        <v>171</v>
      </c>
      <c r="AA262" s="101" t="s">
        <v>50</v>
      </c>
      <c r="AB262" s="101" t="s">
        <v>172</v>
      </c>
      <c r="AC262" s="102" t="s">
        <v>173</v>
      </c>
    </row>
    <row r="263" spans="1:29" ht="25.5" customHeight="1" x14ac:dyDescent="0.35">
      <c r="A263" s="392"/>
      <c r="B263" s="393"/>
      <c r="C263" s="99" t="str">
        <f>IF(B263="","",IF(NOT(ISNUMBER(B263)),"DATA_PC invalida",IF(NOT(ISNUMBER(parametros!$C$2)),"Fora dos ciclos",IF(OR(B263&lt;parametros!$C$2,(YEAR(B263)-YEAR(parametros!$C$2))*12+MONTH(B263)-MONTH(parametros!$C$2)&gt;59),"Fora dos ciclos","C"&amp;INT(((YEAR(B263)-YEAR(parametros!$C$2))*12+MONTH(B263)-MONTH(parametros!$C$2))/12)))))</f>
        <v/>
      </c>
      <c r="D263" s="394"/>
      <c r="E263" s="78" t="str">
        <f>IF(C263="","",IFERROR(VLOOKUP(C263,parametros!$A$11:$E$15,5,0),""))</f>
        <v/>
      </c>
      <c r="F263" s="79" t="str">
        <f t="shared" si="22"/>
        <v/>
      </c>
      <c r="G263" s="395"/>
      <c r="H263" s="91">
        <f t="shared" si="23"/>
        <v>0</v>
      </c>
      <c r="I263" s="91" t="str">
        <f t="shared" si="24"/>
        <v/>
      </c>
      <c r="J263" s="91" t="str">
        <f t="shared" si="25"/>
        <v/>
      </c>
      <c r="K263" s="92" t="str">
        <f>IF(AND(A263="",B263="",D263="",G263=""),"",IF(AND(A263&lt;&gt;"",COUNTIF($A$2:$A$5001,A263)&gt;1),"NUMERO_PC duplicado",IF(B263="","DATA_PC vazia",IF(NOT(ISNUMBER(B263)),"DATA_PC invalida",IF(OR(C263="",C263="Fora dos ciclos"),"CICLO_PC nao identificado",IF(OR(D263="",D263=0),"VALOR_PC vazio ou zero",IF(AND(G263&lt;&gt;"Sim",G263&lt;&gt;"Nao",G263&lt;&gt;""),"PC_PAGO_A_CONTRATADA invalido",IF(AND(C263&lt;&gt;"C0",IFERROR(INDEX(parametros!$A$2:$A$6,MATCH(C263,parametros!$B$2:$B$6,0)),"")="Sim",IFERROR(INDEX(parametros!$H$2:$H$6,MATCH(C263,parametros!$B$2:$B$6,0)),"")=""),"INICIO_EFEITO ausente: PC "&amp;A263&amp;" - "&amp;C263,IF(L263="","EFEITO_PC nao calculado: PC "&amp;A263&amp;" - "&amp;C263,"OK")))))))))</f>
        <v/>
      </c>
      <c r="L263" s="92" t="str">
        <f>IF(AND(A263="",B263="",D263="",G263=""),"",IF(OR(B263="",NOT(ISNUMBER(B263)),C263="",C263="Fora dos ciclos"),"",IF(C263="C0","Nao",IF(IFERROR(INDEX(parametros!$A$2:$A$6,MATCH(C263,parametros!$B$2:$B$6,0)),"")&lt;&gt;"Sim","Nao",IF(IFERROR(INDEX(parametros!$H$2:$H$6,MATCH(C263,parametros!$B$2:$B$6,0)),"")="","",IF(B263&gt;=IFERROR(INDEX(parametros!$H$2:$H$6,MATCH(C263,parametros!$B$2:$B$6,0)),""),"Sim","Nao"))))))</f>
        <v/>
      </c>
      <c r="T263" s="156"/>
      <c r="U263" s="214" t="str">
        <f t="shared" si="26"/>
        <v/>
      </c>
      <c r="V263" s="212" t="s">
        <v>50</v>
      </c>
      <c r="W263" s="100" t="s">
        <v>168</v>
      </c>
      <c r="X263" s="100" t="s">
        <v>169</v>
      </c>
      <c r="Y263" s="101" t="s">
        <v>170</v>
      </c>
      <c r="Z263" s="101" t="s">
        <v>171</v>
      </c>
      <c r="AA263" s="101" t="s">
        <v>50</v>
      </c>
      <c r="AB263" s="101" t="s">
        <v>172</v>
      </c>
      <c r="AC263" s="102" t="s">
        <v>173</v>
      </c>
    </row>
    <row r="264" spans="1:29" ht="25.5" customHeight="1" x14ac:dyDescent="0.35">
      <c r="A264" s="392"/>
      <c r="B264" s="393"/>
      <c r="C264" s="99" t="str">
        <f>IF(B264="","",IF(NOT(ISNUMBER(B264)),"DATA_PC invalida",IF(NOT(ISNUMBER(parametros!$C$2)),"Fora dos ciclos",IF(OR(B264&lt;parametros!$C$2,(YEAR(B264)-YEAR(parametros!$C$2))*12+MONTH(B264)-MONTH(parametros!$C$2)&gt;59),"Fora dos ciclos","C"&amp;INT(((YEAR(B264)-YEAR(parametros!$C$2))*12+MONTH(B264)-MONTH(parametros!$C$2))/12)))))</f>
        <v/>
      </c>
      <c r="D264" s="394"/>
      <c r="E264" s="78" t="str">
        <f>IF(C264="","",IFERROR(VLOOKUP(C264,parametros!$A$11:$E$15,5,0),""))</f>
        <v/>
      </c>
      <c r="F264" s="79" t="str">
        <f t="shared" si="22"/>
        <v/>
      </c>
      <c r="G264" s="395"/>
      <c r="H264" s="91">
        <f t="shared" si="23"/>
        <v>0</v>
      </c>
      <c r="I264" s="91" t="str">
        <f t="shared" si="24"/>
        <v/>
      </c>
      <c r="J264" s="91" t="str">
        <f t="shared" si="25"/>
        <v/>
      </c>
      <c r="K264" s="92" t="str">
        <f>IF(AND(A264="",B264="",D264="",G264=""),"",IF(AND(A264&lt;&gt;"",COUNTIF($A$2:$A$5001,A264)&gt;1),"NUMERO_PC duplicado",IF(B264="","DATA_PC vazia",IF(NOT(ISNUMBER(B264)),"DATA_PC invalida",IF(OR(C264="",C264="Fora dos ciclos"),"CICLO_PC nao identificado",IF(OR(D264="",D264=0),"VALOR_PC vazio ou zero",IF(AND(G264&lt;&gt;"Sim",G264&lt;&gt;"Nao",G264&lt;&gt;""),"PC_PAGO_A_CONTRATADA invalido",IF(AND(C264&lt;&gt;"C0",IFERROR(INDEX(parametros!$A$2:$A$6,MATCH(C264,parametros!$B$2:$B$6,0)),"")="Sim",IFERROR(INDEX(parametros!$H$2:$H$6,MATCH(C264,parametros!$B$2:$B$6,0)),"")=""),"INICIO_EFEITO ausente: PC "&amp;A264&amp;" - "&amp;C264,IF(L264="","EFEITO_PC nao calculado: PC "&amp;A264&amp;" - "&amp;C264,"OK")))))))))</f>
        <v/>
      </c>
      <c r="L264" s="92" t="str">
        <f>IF(AND(A264="",B264="",D264="",G264=""),"",IF(OR(B264="",NOT(ISNUMBER(B264)),C264="",C264="Fora dos ciclos"),"",IF(C264="C0","Nao",IF(IFERROR(INDEX(parametros!$A$2:$A$6,MATCH(C264,parametros!$B$2:$B$6,0)),"")&lt;&gt;"Sim","Nao",IF(IFERROR(INDEX(parametros!$H$2:$H$6,MATCH(C264,parametros!$B$2:$B$6,0)),"")="","",IF(B264&gt;=IFERROR(INDEX(parametros!$H$2:$H$6,MATCH(C264,parametros!$B$2:$B$6,0)),""),"Sim","Nao"))))))</f>
        <v/>
      </c>
      <c r="T264" s="156"/>
      <c r="U264" s="214" t="str">
        <f t="shared" si="26"/>
        <v/>
      </c>
      <c r="V264" s="212" t="s">
        <v>50</v>
      </c>
      <c r="W264" s="100" t="s">
        <v>168</v>
      </c>
      <c r="X264" s="100" t="s">
        <v>169</v>
      </c>
      <c r="Y264" s="101" t="s">
        <v>170</v>
      </c>
      <c r="Z264" s="101" t="s">
        <v>171</v>
      </c>
      <c r="AA264" s="101" t="s">
        <v>50</v>
      </c>
      <c r="AB264" s="101" t="s">
        <v>172</v>
      </c>
      <c r="AC264" s="102" t="s">
        <v>173</v>
      </c>
    </row>
    <row r="265" spans="1:29" ht="25.5" customHeight="1" x14ac:dyDescent="0.35">
      <c r="A265" s="392"/>
      <c r="B265" s="393"/>
      <c r="C265" s="99" t="str">
        <f>IF(B265="","",IF(NOT(ISNUMBER(B265)),"DATA_PC invalida",IF(NOT(ISNUMBER(parametros!$C$2)),"Fora dos ciclos",IF(OR(B265&lt;parametros!$C$2,(YEAR(B265)-YEAR(parametros!$C$2))*12+MONTH(B265)-MONTH(parametros!$C$2)&gt;59),"Fora dos ciclos","C"&amp;INT(((YEAR(B265)-YEAR(parametros!$C$2))*12+MONTH(B265)-MONTH(parametros!$C$2))/12)))))</f>
        <v/>
      </c>
      <c r="D265" s="394"/>
      <c r="E265" s="78" t="str">
        <f>IF(C265="","",IFERROR(VLOOKUP(C265,parametros!$A$11:$E$15,5,0),""))</f>
        <v/>
      </c>
      <c r="F265" s="79" t="str">
        <f t="shared" si="22"/>
        <v/>
      </c>
      <c r="G265" s="395"/>
      <c r="H265" s="91">
        <f t="shared" si="23"/>
        <v>0</v>
      </c>
      <c r="I265" s="91" t="str">
        <f t="shared" si="24"/>
        <v/>
      </c>
      <c r="J265" s="91" t="str">
        <f t="shared" si="25"/>
        <v/>
      </c>
      <c r="K265" s="92" t="str">
        <f>IF(AND(A265="",B265="",D265="",G265=""),"",IF(AND(A265&lt;&gt;"",COUNTIF($A$2:$A$5001,A265)&gt;1),"NUMERO_PC duplicado",IF(B265="","DATA_PC vazia",IF(NOT(ISNUMBER(B265)),"DATA_PC invalida",IF(OR(C265="",C265="Fora dos ciclos"),"CICLO_PC nao identificado",IF(OR(D265="",D265=0),"VALOR_PC vazio ou zero",IF(AND(G265&lt;&gt;"Sim",G265&lt;&gt;"Nao",G265&lt;&gt;""),"PC_PAGO_A_CONTRATADA invalido",IF(AND(C265&lt;&gt;"C0",IFERROR(INDEX(parametros!$A$2:$A$6,MATCH(C265,parametros!$B$2:$B$6,0)),"")="Sim",IFERROR(INDEX(parametros!$H$2:$H$6,MATCH(C265,parametros!$B$2:$B$6,0)),"")=""),"INICIO_EFEITO ausente: PC "&amp;A265&amp;" - "&amp;C265,IF(L265="","EFEITO_PC nao calculado: PC "&amp;A265&amp;" - "&amp;C265,"OK")))))))))</f>
        <v/>
      </c>
      <c r="L265" s="92" t="str">
        <f>IF(AND(A265="",B265="",D265="",G265=""),"",IF(OR(B265="",NOT(ISNUMBER(B265)),C265="",C265="Fora dos ciclos"),"",IF(C265="C0","Nao",IF(IFERROR(INDEX(parametros!$A$2:$A$6,MATCH(C265,parametros!$B$2:$B$6,0)),"")&lt;&gt;"Sim","Nao",IF(IFERROR(INDEX(parametros!$H$2:$H$6,MATCH(C265,parametros!$B$2:$B$6,0)),"")="","",IF(B265&gt;=IFERROR(INDEX(parametros!$H$2:$H$6,MATCH(C265,parametros!$B$2:$B$6,0)),""),"Sim","Nao"))))))</f>
        <v/>
      </c>
      <c r="T265" s="156"/>
      <c r="U265" s="214" t="str">
        <f t="shared" si="26"/>
        <v/>
      </c>
      <c r="V265" s="212" t="s">
        <v>50</v>
      </c>
      <c r="W265" s="100" t="s">
        <v>168</v>
      </c>
      <c r="X265" s="100" t="s">
        <v>169</v>
      </c>
      <c r="Y265" s="101" t="s">
        <v>170</v>
      </c>
      <c r="Z265" s="101" t="s">
        <v>171</v>
      </c>
      <c r="AA265" s="101" t="s">
        <v>50</v>
      </c>
      <c r="AB265" s="101" t="s">
        <v>172</v>
      </c>
      <c r="AC265" s="102" t="s">
        <v>173</v>
      </c>
    </row>
    <row r="266" spans="1:29" ht="25.5" customHeight="1" x14ac:dyDescent="0.35">
      <c r="A266" s="392"/>
      <c r="B266" s="393"/>
      <c r="C266" s="99" t="str">
        <f>IF(B266="","",IF(NOT(ISNUMBER(B266)),"DATA_PC invalida",IF(NOT(ISNUMBER(parametros!$C$2)),"Fora dos ciclos",IF(OR(B266&lt;parametros!$C$2,(YEAR(B266)-YEAR(parametros!$C$2))*12+MONTH(B266)-MONTH(parametros!$C$2)&gt;59),"Fora dos ciclos","C"&amp;INT(((YEAR(B266)-YEAR(parametros!$C$2))*12+MONTH(B266)-MONTH(parametros!$C$2))/12)))))</f>
        <v/>
      </c>
      <c r="D266" s="394"/>
      <c r="E266" s="78" t="str">
        <f>IF(C266="","",IFERROR(VLOOKUP(C266,parametros!$A$11:$E$15,5,0),""))</f>
        <v/>
      </c>
      <c r="F266" s="79" t="str">
        <f t="shared" si="22"/>
        <v/>
      </c>
      <c r="G266" s="395"/>
      <c r="H266" s="91">
        <f t="shared" si="23"/>
        <v>0</v>
      </c>
      <c r="I266" s="91" t="str">
        <f t="shared" si="24"/>
        <v/>
      </c>
      <c r="J266" s="91" t="str">
        <f t="shared" si="25"/>
        <v/>
      </c>
      <c r="K266" s="92" t="str">
        <f>IF(AND(A266="",B266="",D266="",G266=""),"",IF(AND(A266&lt;&gt;"",COUNTIF($A$2:$A$5001,A266)&gt;1),"NUMERO_PC duplicado",IF(B266="","DATA_PC vazia",IF(NOT(ISNUMBER(B266)),"DATA_PC invalida",IF(OR(C266="",C266="Fora dos ciclos"),"CICLO_PC nao identificado",IF(OR(D266="",D266=0),"VALOR_PC vazio ou zero",IF(AND(G266&lt;&gt;"Sim",G266&lt;&gt;"Nao",G266&lt;&gt;""),"PC_PAGO_A_CONTRATADA invalido",IF(AND(C266&lt;&gt;"C0",IFERROR(INDEX(parametros!$A$2:$A$6,MATCH(C266,parametros!$B$2:$B$6,0)),"")="Sim",IFERROR(INDEX(parametros!$H$2:$H$6,MATCH(C266,parametros!$B$2:$B$6,0)),"")=""),"INICIO_EFEITO ausente: PC "&amp;A266&amp;" - "&amp;C266,IF(L266="","EFEITO_PC nao calculado: PC "&amp;A266&amp;" - "&amp;C266,"OK")))))))))</f>
        <v/>
      </c>
      <c r="L266" s="92" t="str">
        <f>IF(AND(A266="",B266="",D266="",G266=""),"",IF(OR(B266="",NOT(ISNUMBER(B266)),C266="",C266="Fora dos ciclos"),"",IF(C266="C0","Nao",IF(IFERROR(INDEX(parametros!$A$2:$A$6,MATCH(C266,parametros!$B$2:$B$6,0)),"")&lt;&gt;"Sim","Nao",IF(IFERROR(INDEX(parametros!$H$2:$H$6,MATCH(C266,parametros!$B$2:$B$6,0)),"")="","",IF(B266&gt;=IFERROR(INDEX(parametros!$H$2:$H$6,MATCH(C266,parametros!$B$2:$B$6,0)),""),"Sim","Nao"))))))</f>
        <v/>
      </c>
      <c r="T266" s="156"/>
      <c r="U266" s="214" t="str">
        <f t="shared" si="26"/>
        <v/>
      </c>
      <c r="V266" s="212" t="s">
        <v>50</v>
      </c>
      <c r="W266" s="100" t="s">
        <v>168</v>
      </c>
      <c r="X266" s="100" t="s">
        <v>169</v>
      </c>
      <c r="Y266" s="101" t="s">
        <v>170</v>
      </c>
      <c r="Z266" s="101" t="s">
        <v>171</v>
      </c>
      <c r="AA266" s="101" t="s">
        <v>50</v>
      </c>
      <c r="AB266" s="101" t="s">
        <v>172</v>
      </c>
      <c r="AC266" s="102" t="s">
        <v>173</v>
      </c>
    </row>
    <row r="267" spans="1:29" ht="25.5" customHeight="1" x14ac:dyDescent="0.35">
      <c r="A267" s="392"/>
      <c r="B267" s="393"/>
      <c r="C267" s="99" t="str">
        <f>IF(B267="","",IF(NOT(ISNUMBER(B267)),"DATA_PC invalida",IF(NOT(ISNUMBER(parametros!$C$2)),"Fora dos ciclos",IF(OR(B267&lt;parametros!$C$2,(YEAR(B267)-YEAR(parametros!$C$2))*12+MONTH(B267)-MONTH(parametros!$C$2)&gt;59),"Fora dos ciclos","C"&amp;INT(((YEAR(B267)-YEAR(parametros!$C$2))*12+MONTH(B267)-MONTH(parametros!$C$2))/12)))))</f>
        <v/>
      </c>
      <c r="D267" s="394"/>
      <c r="E267" s="78" t="str">
        <f>IF(C267="","",IFERROR(VLOOKUP(C267,parametros!$A$11:$E$15,5,0),""))</f>
        <v/>
      </c>
      <c r="F267" s="79" t="str">
        <f t="shared" si="22"/>
        <v/>
      </c>
      <c r="G267" s="395"/>
      <c r="H267" s="91">
        <f t="shared" si="23"/>
        <v>0</v>
      </c>
      <c r="I267" s="91" t="str">
        <f t="shared" si="24"/>
        <v/>
      </c>
      <c r="J267" s="91" t="str">
        <f t="shared" si="25"/>
        <v/>
      </c>
      <c r="K267" s="92" t="str">
        <f>IF(AND(A267="",B267="",D267="",G267=""),"",IF(AND(A267&lt;&gt;"",COUNTIF($A$2:$A$5001,A267)&gt;1),"NUMERO_PC duplicado",IF(B267="","DATA_PC vazia",IF(NOT(ISNUMBER(B267)),"DATA_PC invalida",IF(OR(C267="",C267="Fora dos ciclos"),"CICLO_PC nao identificado",IF(OR(D267="",D267=0),"VALOR_PC vazio ou zero",IF(AND(G267&lt;&gt;"Sim",G267&lt;&gt;"Nao",G267&lt;&gt;""),"PC_PAGO_A_CONTRATADA invalido",IF(AND(C267&lt;&gt;"C0",IFERROR(INDEX(parametros!$A$2:$A$6,MATCH(C267,parametros!$B$2:$B$6,0)),"")="Sim",IFERROR(INDEX(parametros!$H$2:$H$6,MATCH(C267,parametros!$B$2:$B$6,0)),"")=""),"INICIO_EFEITO ausente: PC "&amp;A267&amp;" - "&amp;C267,IF(L267="","EFEITO_PC nao calculado: PC "&amp;A267&amp;" - "&amp;C267,"OK")))))))))</f>
        <v/>
      </c>
      <c r="L267" s="92" t="str">
        <f>IF(AND(A267="",B267="",D267="",G267=""),"",IF(OR(B267="",NOT(ISNUMBER(B267)),C267="",C267="Fora dos ciclos"),"",IF(C267="C0","Nao",IF(IFERROR(INDEX(parametros!$A$2:$A$6,MATCH(C267,parametros!$B$2:$B$6,0)),"")&lt;&gt;"Sim","Nao",IF(IFERROR(INDEX(parametros!$H$2:$H$6,MATCH(C267,parametros!$B$2:$B$6,0)),"")="","",IF(B267&gt;=IFERROR(INDEX(parametros!$H$2:$H$6,MATCH(C267,parametros!$B$2:$B$6,0)),""),"Sim","Nao"))))))</f>
        <v/>
      </c>
      <c r="T267" s="156"/>
      <c r="U267" s="214" t="str">
        <f t="shared" si="26"/>
        <v/>
      </c>
      <c r="V267" s="212" t="s">
        <v>50</v>
      </c>
      <c r="W267" s="100" t="s">
        <v>168</v>
      </c>
      <c r="X267" s="100" t="s">
        <v>169</v>
      </c>
      <c r="Y267" s="101" t="s">
        <v>170</v>
      </c>
      <c r="Z267" s="101" t="s">
        <v>171</v>
      </c>
      <c r="AA267" s="101" t="s">
        <v>50</v>
      </c>
      <c r="AB267" s="101" t="s">
        <v>172</v>
      </c>
      <c r="AC267" s="102" t="s">
        <v>173</v>
      </c>
    </row>
    <row r="268" spans="1:29" ht="25.5" customHeight="1" x14ac:dyDescent="0.35">
      <c r="A268" s="392"/>
      <c r="B268" s="393"/>
      <c r="C268" s="99" t="str">
        <f>IF(B268="","",IF(NOT(ISNUMBER(B268)),"DATA_PC invalida",IF(NOT(ISNUMBER(parametros!$C$2)),"Fora dos ciclos",IF(OR(B268&lt;parametros!$C$2,(YEAR(B268)-YEAR(parametros!$C$2))*12+MONTH(B268)-MONTH(parametros!$C$2)&gt;59),"Fora dos ciclos","C"&amp;INT(((YEAR(B268)-YEAR(parametros!$C$2))*12+MONTH(B268)-MONTH(parametros!$C$2))/12)))))</f>
        <v/>
      </c>
      <c r="D268" s="394"/>
      <c r="E268" s="78" t="str">
        <f>IF(C268="","",IFERROR(VLOOKUP(C268,parametros!$A$11:$E$15,5,0),""))</f>
        <v/>
      </c>
      <c r="F268" s="79" t="str">
        <f t="shared" si="22"/>
        <v/>
      </c>
      <c r="G268" s="395"/>
      <c r="H268" s="91">
        <f t="shared" si="23"/>
        <v>0</v>
      </c>
      <c r="I268" s="91" t="str">
        <f t="shared" si="24"/>
        <v/>
      </c>
      <c r="J268" s="91" t="str">
        <f t="shared" si="25"/>
        <v/>
      </c>
      <c r="K268" s="92" t="str">
        <f>IF(AND(A268="",B268="",D268="",G268=""),"",IF(AND(A268&lt;&gt;"",COUNTIF($A$2:$A$5001,A268)&gt;1),"NUMERO_PC duplicado",IF(B268="","DATA_PC vazia",IF(NOT(ISNUMBER(B268)),"DATA_PC invalida",IF(OR(C268="",C268="Fora dos ciclos"),"CICLO_PC nao identificado",IF(OR(D268="",D268=0),"VALOR_PC vazio ou zero",IF(AND(G268&lt;&gt;"Sim",G268&lt;&gt;"Nao",G268&lt;&gt;""),"PC_PAGO_A_CONTRATADA invalido",IF(AND(C268&lt;&gt;"C0",IFERROR(INDEX(parametros!$A$2:$A$6,MATCH(C268,parametros!$B$2:$B$6,0)),"")="Sim",IFERROR(INDEX(parametros!$H$2:$H$6,MATCH(C268,parametros!$B$2:$B$6,0)),"")=""),"INICIO_EFEITO ausente: PC "&amp;A268&amp;" - "&amp;C268,IF(L268="","EFEITO_PC nao calculado: PC "&amp;A268&amp;" - "&amp;C268,"OK")))))))))</f>
        <v/>
      </c>
      <c r="L268" s="92" t="str">
        <f>IF(AND(A268="",B268="",D268="",G268=""),"",IF(OR(B268="",NOT(ISNUMBER(B268)),C268="",C268="Fora dos ciclos"),"",IF(C268="C0","Nao",IF(IFERROR(INDEX(parametros!$A$2:$A$6,MATCH(C268,parametros!$B$2:$B$6,0)),"")&lt;&gt;"Sim","Nao",IF(IFERROR(INDEX(parametros!$H$2:$H$6,MATCH(C268,parametros!$B$2:$B$6,0)),"")="","",IF(B268&gt;=IFERROR(INDEX(parametros!$H$2:$H$6,MATCH(C268,parametros!$B$2:$B$6,0)),""),"Sim","Nao"))))))</f>
        <v/>
      </c>
      <c r="T268" s="156"/>
      <c r="U268" s="214" t="str">
        <f t="shared" si="26"/>
        <v/>
      </c>
      <c r="V268" s="212" t="s">
        <v>50</v>
      </c>
      <c r="W268" s="100" t="s">
        <v>168</v>
      </c>
      <c r="X268" s="100" t="s">
        <v>169</v>
      </c>
      <c r="Y268" s="101" t="s">
        <v>170</v>
      </c>
      <c r="Z268" s="101" t="s">
        <v>171</v>
      </c>
      <c r="AA268" s="101" t="s">
        <v>50</v>
      </c>
      <c r="AB268" s="101" t="s">
        <v>172</v>
      </c>
      <c r="AC268" s="102" t="s">
        <v>173</v>
      </c>
    </row>
    <row r="269" spans="1:29" ht="25.5" customHeight="1" x14ac:dyDescent="0.35">
      <c r="A269" s="392"/>
      <c r="B269" s="393"/>
      <c r="C269" s="99" t="str">
        <f>IF(B269="","",IF(NOT(ISNUMBER(B269)),"DATA_PC invalida",IF(NOT(ISNUMBER(parametros!$C$2)),"Fora dos ciclos",IF(OR(B269&lt;parametros!$C$2,(YEAR(B269)-YEAR(parametros!$C$2))*12+MONTH(B269)-MONTH(parametros!$C$2)&gt;59),"Fora dos ciclos","C"&amp;INT(((YEAR(B269)-YEAR(parametros!$C$2))*12+MONTH(B269)-MONTH(parametros!$C$2))/12)))))</f>
        <v/>
      </c>
      <c r="D269" s="394"/>
      <c r="E269" s="78" t="str">
        <f>IF(C269="","",IFERROR(VLOOKUP(C269,parametros!$A$11:$E$15,5,0),""))</f>
        <v/>
      </c>
      <c r="F269" s="79" t="str">
        <f t="shared" si="22"/>
        <v/>
      </c>
      <c r="G269" s="395"/>
      <c r="H269" s="91">
        <f t="shared" si="23"/>
        <v>0</v>
      </c>
      <c r="I269" s="91" t="str">
        <f t="shared" si="24"/>
        <v/>
      </c>
      <c r="J269" s="91" t="str">
        <f t="shared" si="25"/>
        <v/>
      </c>
      <c r="K269" s="92" t="str">
        <f>IF(AND(A269="",B269="",D269="",G269=""),"",IF(AND(A269&lt;&gt;"",COUNTIF($A$2:$A$5001,A269)&gt;1),"NUMERO_PC duplicado",IF(B269="","DATA_PC vazia",IF(NOT(ISNUMBER(B269)),"DATA_PC invalida",IF(OR(C269="",C269="Fora dos ciclos"),"CICLO_PC nao identificado",IF(OR(D269="",D269=0),"VALOR_PC vazio ou zero",IF(AND(G269&lt;&gt;"Sim",G269&lt;&gt;"Nao",G269&lt;&gt;""),"PC_PAGO_A_CONTRATADA invalido",IF(AND(C269&lt;&gt;"C0",IFERROR(INDEX(parametros!$A$2:$A$6,MATCH(C269,parametros!$B$2:$B$6,0)),"")="Sim",IFERROR(INDEX(parametros!$H$2:$H$6,MATCH(C269,parametros!$B$2:$B$6,0)),"")=""),"INICIO_EFEITO ausente: PC "&amp;A269&amp;" - "&amp;C269,IF(L269="","EFEITO_PC nao calculado: PC "&amp;A269&amp;" - "&amp;C269,"OK")))))))))</f>
        <v/>
      </c>
      <c r="L269" s="92" t="str">
        <f>IF(AND(A269="",B269="",D269="",G269=""),"",IF(OR(B269="",NOT(ISNUMBER(B269)),C269="",C269="Fora dos ciclos"),"",IF(C269="C0","Nao",IF(IFERROR(INDEX(parametros!$A$2:$A$6,MATCH(C269,parametros!$B$2:$B$6,0)),"")&lt;&gt;"Sim","Nao",IF(IFERROR(INDEX(parametros!$H$2:$H$6,MATCH(C269,parametros!$B$2:$B$6,0)),"")="","",IF(B269&gt;=IFERROR(INDEX(parametros!$H$2:$H$6,MATCH(C269,parametros!$B$2:$B$6,0)),""),"Sim","Nao"))))))</f>
        <v/>
      </c>
      <c r="T269" s="156"/>
      <c r="U269" s="214" t="str">
        <f t="shared" si="26"/>
        <v/>
      </c>
      <c r="V269" s="212" t="s">
        <v>50</v>
      </c>
      <c r="W269" s="100" t="s">
        <v>168</v>
      </c>
      <c r="X269" s="100" t="s">
        <v>169</v>
      </c>
      <c r="Y269" s="101" t="s">
        <v>170</v>
      </c>
      <c r="Z269" s="101" t="s">
        <v>171</v>
      </c>
      <c r="AA269" s="101" t="s">
        <v>50</v>
      </c>
      <c r="AB269" s="101" t="s">
        <v>172</v>
      </c>
      <c r="AC269" s="102" t="s">
        <v>173</v>
      </c>
    </row>
    <row r="270" spans="1:29" ht="25.5" customHeight="1" x14ac:dyDescent="0.35">
      <c r="A270" s="392"/>
      <c r="B270" s="393"/>
      <c r="C270" s="99" t="str">
        <f>IF(B270="","",IF(NOT(ISNUMBER(B270)),"DATA_PC invalida",IF(NOT(ISNUMBER(parametros!$C$2)),"Fora dos ciclos",IF(OR(B270&lt;parametros!$C$2,(YEAR(B270)-YEAR(parametros!$C$2))*12+MONTH(B270)-MONTH(parametros!$C$2)&gt;59),"Fora dos ciclos","C"&amp;INT(((YEAR(B270)-YEAR(parametros!$C$2))*12+MONTH(B270)-MONTH(parametros!$C$2))/12)))))</f>
        <v/>
      </c>
      <c r="D270" s="394"/>
      <c r="E270" s="78" t="str">
        <f>IF(C270="","",IFERROR(VLOOKUP(C270,parametros!$A$11:$E$15,5,0),""))</f>
        <v/>
      </c>
      <c r="F270" s="79" t="str">
        <f t="shared" si="22"/>
        <v/>
      </c>
      <c r="G270" s="395"/>
      <c r="H270" s="91">
        <f t="shared" si="23"/>
        <v>0</v>
      </c>
      <c r="I270" s="91" t="str">
        <f t="shared" si="24"/>
        <v/>
      </c>
      <c r="J270" s="91" t="str">
        <f t="shared" si="25"/>
        <v/>
      </c>
      <c r="K270" s="92" t="str">
        <f>IF(AND(A270="",B270="",D270="",G270=""),"",IF(AND(A270&lt;&gt;"",COUNTIF($A$2:$A$5001,A270)&gt;1),"NUMERO_PC duplicado",IF(B270="","DATA_PC vazia",IF(NOT(ISNUMBER(B270)),"DATA_PC invalida",IF(OR(C270="",C270="Fora dos ciclos"),"CICLO_PC nao identificado",IF(OR(D270="",D270=0),"VALOR_PC vazio ou zero",IF(AND(G270&lt;&gt;"Sim",G270&lt;&gt;"Nao",G270&lt;&gt;""),"PC_PAGO_A_CONTRATADA invalido",IF(AND(C270&lt;&gt;"C0",IFERROR(INDEX(parametros!$A$2:$A$6,MATCH(C270,parametros!$B$2:$B$6,0)),"")="Sim",IFERROR(INDEX(parametros!$H$2:$H$6,MATCH(C270,parametros!$B$2:$B$6,0)),"")=""),"INICIO_EFEITO ausente: PC "&amp;A270&amp;" - "&amp;C270,IF(L270="","EFEITO_PC nao calculado: PC "&amp;A270&amp;" - "&amp;C270,"OK")))))))))</f>
        <v/>
      </c>
      <c r="L270" s="92" t="str">
        <f>IF(AND(A270="",B270="",D270="",G270=""),"",IF(OR(B270="",NOT(ISNUMBER(B270)),C270="",C270="Fora dos ciclos"),"",IF(C270="C0","Nao",IF(IFERROR(INDEX(parametros!$A$2:$A$6,MATCH(C270,parametros!$B$2:$B$6,0)),"")&lt;&gt;"Sim","Nao",IF(IFERROR(INDEX(parametros!$H$2:$H$6,MATCH(C270,parametros!$B$2:$B$6,0)),"")="","",IF(B270&gt;=IFERROR(INDEX(parametros!$H$2:$H$6,MATCH(C270,parametros!$B$2:$B$6,0)),""),"Sim","Nao"))))))</f>
        <v/>
      </c>
      <c r="T270" s="156"/>
      <c r="U270" s="214" t="str">
        <f t="shared" si="26"/>
        <v/>
      </c>
      <c r="V270" s="212" t="s">
        <v>50</v>
      </c>
      <c r="W270" s="100" t="s">
        <v>168</v>
      </c>
      <c r="X270" s="100" t="s">
        <v>169</v>
      </c>
      <c r="Y270" s="101" t="s">
        <v>170</v>
      </c>
      <c r="Z270" s="101" t="s">
        <v>171</v>
      </c>
      <c r="AA270" s="101" t="s">
        <v>50</v>
      </c>
      <c r="AB270" s="101" t="s">
        <v>172</v>
      </c>
      <c r="AC270" s="102" t="s">
        <v>173</v>
      </c>
    </row>
    <row r="271" spans="1:29" ht="25.5" customHeight="1" x14ac:dyDescent="0.35">
      <c r="A271" s="392"/>
      <c r="B271" s="393"/>
      <c r="C271" s="99" t="str">
        <f>IF(B271="","",IF(NOT(ISNUMBER(B271)),"DATA_PC invalida",IF(NOT(ISNUMBER(parametros!$C$2)),"Fora dos ciclos",IF(OR(B271&lt;parametros!$C$2,(YEAR(B271)-YEAR(parametros!$C$2))*12+MONTH(B271)-MONTH(parametros!$C$2)&gt;59),"Fora dos ciclos","C"&amp;INT(((YEAR(B271)-YEAR(parametros!$C$2))*12+MONTH(B271)-MONTH(parametros!$C$2))/12)))))</f>
        <v/>
      </c>
      <c r="D271" s="394"/>
      <c r="E271" s="78" t="str">
        <f>IF(C271="","",IFERROR(VLOOKUP(C271,parametros!$A$11:$E$15,5,0),""))</f>
        <v/>
      </c>
      <c r="F271" s="79" t="str">
        <f t="shared" si="22"/>
        <v/>
      </c>
      <c r="G271" s="395"/>
      <c r="H271" s="91">
        <f t="shared" si="23"/>
        <v>0</v>
      </c>
      <c r="I271" s="91" t="str">
        <f t="shared" si="24"/>
        <v/>
      </c>
      <c r="J271" s="91" t="str">
        <f t="shared" si="25"/>
        <v/>
      </c>
      <c r="K271" s="92" t="str">
        <f>IF(AND(A271="",B271="",D271="",G271=""),"",IF(AND(A271&lt;&gt;"",COUNTIF($A$2:$A$5001,A271)&gt;1),"NUMERO_PC duplicado",IF(B271="","DATA_PC vazia",IF(NOT(ISNUMBER(B271)),"DATA_PC invalida",IF(OR(C271="",C271="Fora dos ciclos"),"CICLO_PC nao identificado",IF(OR(D271="",D271=0),"VALOR_PC vazio ou zero",IF(AND(G271&lt;&gt;"Sim",G271&lt;&gt;"Nao",G271&lt;&gt;""),"PC_PAGO_A_CONTRATADA invalido",IF(AND(C271&lt;&gt;"C0",IFERROR(INDEX(parametros!$A$2:$A$6,MATCH(C271,parametros!$B$2:$B$6,0)),"")="Sim",IFERROR(INDEX(parametros!$H$2:$H$6,MATCH(C271,parametros!$B$2:$B$6,0)),"")=""),"INICIO_EFEITO ausente: PC "&amp;A271&amp;" - "&amp;C271,IF(L271="","EFEITO_PC nao calculado: PC "&amp;A271&amp;" - "&amp;C271,"OK")))))))))</f>
        <v/>
      </c>
      <c r="L271" s="92" t="str">
        <f>IF(AND(A271="",B271="",D271="",G271=""),"",IF(OR(B271="",NOT(ISNUMBER(B271)),C271="",C271="Fora dos ciclos"),"",IF(C271="C0","Nao",IF(IFERROR(INDEX(parametros!$A$2:$A$6,MATCH(C271,parametros!$B$2:$B$6,0)),"")&lt;&gt;"Sim","Nao",IF(IFERROR(INDEX(parametros!$H$2:$H$6,MATCH(C271,parametros!$B$2:$B$6,0)),"")="","",IF(B271&gt;=IFERROR(INDEX(parametros!$H$2:$H$6,MATCH(C271,parametros!$B$2:$B$6,0)),""),"Sim","Nao"))))))</f>
        <v/>
      </c>
      <c r="T271" s="156"/>
      <c r="U271" s="214" t="str">
        <f t="shared" si="26"/>
        <v/>
      </c>
      <c r="V271" s="212" t="s">
        <v>50</v>
      </c>
      <c r="W271" s="100" t="s">
        <v>168</v>
      </c>
      <c r="X271" s="100" t="s">
        <v>169</v>
      </c>
      <c r="Y271" s="101" t="s">
        <v>170</v>
      </c>
      <c r="Z271" s="101" t="s">
        <v>171</v>
      </c>
      <c r="AA271" s="101" t="s">
        <v>50</v>
      </c>
      <c r="AB271" s="101" t="s">
        <v>172</v>
      </c>
      <c r="AC271" s="102" t="s">
        <v>173</v>
      </c>
    </row>
    <row r="272" spans="1:29" ht="25.5" customHeight="1" x14ac:dyDescent="0.35">
      <c r="A272" s="392"/>
      <c r="B272" s="393"/>
      <c r="C272" s="99" t="str">
        <f>IF(B272="","",IF(NOT(ISNUMBER(B272)),"DATA_PC invalida",IF(NOT(ISNUMBER(parametros!$C$2)),"Fora dos ciclos",IF(OR(B272&lt;parametros!$C$2,(YEAR(B272)-YEAR(parametros!$C$2))*12+MONTH(B272)-MONTH(parametros!$C$2)&gt;59),"Fora dos ciclos","C"&amp;INT(((YEAR(B272)-YEAR(parametros!$C$2))*12+MONTH(B272)-MONTH(parametros!$C$2))/12)))))</f>
        <v/>
      </c>
      <c r="D272" s="394"/>
      <c r="E272" s="78" t="str">
        <f>IF(C272="","",IFERROR(VLOOKUP(C272,parametros!$A$11:$E$15,5,0),""))</f>
        <v/>
      </c>
      <c r="F272" s="79" t="str">
        <f t="shared" si="22"/>
        <v/>
      </c>
      <c r="G272" s="395"/>
      <c r="H272" s="91">
        <f t="shared" si="23"/>
        <v>0</v>
      </c>
      <c r="I272" s="91" t="str">
        <f t="shared" si="24"/>
        <v/>
      </c>
      <c r="J272" s="91" t="str">
        <f t="shared" si="25"/>
        <v/>
      </c>
      <c r="K272" s="92" t="str">
        <f>IF(AND(A272="",B272="",D272="",G272=""),"",IF(AND(A272&lt;&gt;"",COUNTIF($A$2:$A$5001,A272)&gt;1),"NUMERO_PC duplicado",IF(B272="","DATA_PC vazia",IF(NOT(ISNUMBER(B272)),"DATA_PC invalida",IF(OR(C272="",C272="Fora dos ciclos"),"CICLO_PC nao identificado",IF(OR(D272="",D272=0),"VALOR_PC vazio ou zero",IF(AND(G272&lt;&gt;"Sim",G272&lt;&gt;"Nao",G272&lt;&gt;""),"PC_PAGO_A_CONTRATADA invalido",IF(AND(C272&lt;&gt;"C0",IFERROR(INDEX(parametros!$A$2:$A$6,MATCH(C272,parametros!$B$2:$B$6,0)),"")="Sim",IFERROR(INDEX(parametros!$H$2:$H$6,MATCH(C272,parametros!$B$2:$B$6,0)),"")=""),"INICIO_EFEITO ausente: PC "&amp;A272&amp;" - "&amp;C272,IF(L272="","EFEITO_PC nao calculado: PC "&amp;A272&amp;" - "&amp;C272,"OK")))))))))</f>
        <v/>
      </c>
      <c r="L272" s="92" t="str">
        <f>IF(AND(A272="",B272="",D272="",G272=""),"",IF(OR(B272="",NOT(ISNUMBER(B272)),C272="",C272="Fora dos ciclos"),"",IF(C272="C0","Nao",IF(IFERROR(INDEX(parametros!$A$2:$A$6,MATCH(C272,parametros!$B$2:$B$6,0)),"")&lt;&gt;"Sim","Nao",IF(IFERROR(INDEX(parametros!$H$2:$H$6,MATCH(C272,parametros!$B$2:$B$6,0)),"")="","",IF(B272&gt;=IFERROR(INDEX(parametros!$H$2:$H$6,MATCH(C272,parametros!$B$2:$B$6,0)),""),"Sim","Nao"))))))</f>
        <v/>
      </c>
      <c r="T272" s="156"/>
      <c r="U272" s="214" t="str">
        <f t="shared" si="26"/>
        <v/>
      </c>
      <c r="V272" s="212" t="s">
        <v>50</v>
      </c>
      <c r="W272" s="100" t="s">
        <v>168</v>
      </c>
      <c r="X272" s="100" t="s">
        <v>169</v>
      </c>
      <c r="Y272" s="101" t="s">
        <v>170</v>
      </c>
      <c r="Z272" s="101" t="s">
        <v>171</v>
      </c>
      <c r="AA272" s="101" t="s">
        <v>50</v>
      </c>
      <c r="AB272" s="101" t="s">
        <v>172</v>
      </c>
      <c r="AC272" s="102" t="s">
        <v>173</v>
      </c>
    </row>
    <row r="273" spans="1:29" ht="25.5" customHeight="1" x14ac:dyDescent="0.35">
      <c r="A273" s="392"/>
      <c r="B273" s="393"/>
      <c r="C273" s="99" t="str">
        <f>IF(B273="","",IF(NOT(ISNUMBER(B273)),"DATA_PC invalida",IF(NOT(ISNUMBER(parametros!$C$2)),"Fora dos ciclos",IF(OR(B273&lt;parametros!$C$2,(YEAR(B273)-YEAR(parametros!$C$2))*12+MONTH(B273)-MONTH(parametros!$C$2)&gt;59),"Fora dos ciclos","C"&amp;INT(((YEAR(B273)-YEAR(parametros!$C$2))*12+MONTH(B273)-MONTH(parametros!$C$2))/12)))))</f>
        <v/>
      </c>
      <c r="D273" s="394"/>
      <c r="E273" s="78" t="str">
        <f>IF(C273="","",IFERROR(VLOOKUP(C273,parametros!$A$11:$E$15,5,0),""))</f>
        <v/>
      </c>
      <c r="F273" s="79" t="str">
        <f t="shared" si="22"/>
        <v/>
      </c>
      <c r="G273" s="395"/>
      <c r="H273" s="91">
        <f t="shared" si="23"/>
        <v>0</v>
      </c>
      <c r="I273" s="91" t="str">
        <f t="shared" si="24"/>
        <v/>
      </c>
      <c r="J273" s="91" t="str">
        <f t="shared" si="25"/>
        <v/>
      </c>
      <c r="K273" s="92" t="str">
        <f>IF(AND(A273="",B273="",D273="",G273=""),"",IF(AND(A273&lt;&gt;"",COUNTIF($A$2:$A$5001,A273)&gt;1),"NUMERO_PC duplicado",IF(B273="","DATA_PC vazia",IF(NOT(ISNUMBER(B273)),"DATA_PC invalida",IF(OR(C273="",C273="Fora dos ciclos"),"CICLO_PC nao identificado",IF(OR(D273="",D273=0),"VALOR_PC vazio ou zero",IF(AND(G273&lt;&gt;"Sim",G273&lt;&gt;"Nao",G273&lt;&gt;""),"PC_PAGO_A_CONTRATADA invalido",IF(AND(C273&lt;&gt;"C0",IFERROR(INDEX(parametros!$A$2:$A$6,MATCH(C273,parametros!$B$2:$B$6,0)),"")="Sim",IFERROR(INDEX(parametros!$H$2:$H$6,MATCH(C273,parametros!$B$2:$B$6,0)),"")=""),"INICIO_EFEITO ausente: PC "&amp;A273&amp;" - "&amp;C273,IF(L273="","EFEITO_PC nao calculado: PC "&amp;A273&amp;" - "&amp;C273,"OK")))))))))</f>
        <v/>
      </c>
      <c r="L273" s="92" t="str">
        <f>IF(AND(A273="",B273="",D273="",G273=""),"",IF(OR(B273="",NOT(ISNUMBER(B273)),C273="",C273="Fora dos ciclos"),"",IF(C273="C0","Nao",IF(IFERROR(INDEX(parametros!$A$2:$A$6,MATCH(C273,parametros!$B$2:$B$6,0)),"")&lt;&gt;"Sim","Nao",IF(IFERROR(INDEX(parametros!$H$2:$H$6,MATCH(C273,parametros!$B$2:$B$6,0)),"")="","",IF(B273&gt;=IFERROR(INDEX(parametros!$H$2:$H$6,MATCH(C273,parametros!$B$2:$B$6,0)),""),"Sim","Nao"))))))</f>
        <v/>
      </c>
      <c r="T273" s="156"/>
      <c r="U273" s="214" t="str">
        <f t="shared" si="26"/>
        <v/>
      </c>
      <c r="V273" s="212" t="s">
        <v>50</v>
      </c>
      <c r="W273" s="100" t="s">
        <v>168</v>
      </c>
      <c r="X273" s="100" t="s">
        <v>169</v>
      </c>
      <c r="Y273" s="101" t="s">
        <v>170</v>
      </c>
      <c r="Z273" s="101" t="s">
        <v>171</v>
      </c>
      <c r="AA273" s="101" t="s">
        <v>50</v>
      </c>
      <c r="AB273" s="101" t="s">
        <v>172</v>
      </c>
      <c r="AC273" s="102" t="s">
        <v>173</v>
      </c>
    </row>
    <row r="274" spans="1:29" ht="25.5" customHeight="1" x14ac:dyDescent="0.35">
      <c r="A274" s="392"/>
      <c r="B274" s="393"/>
      <c r="C274" s="99" t="str">
        <f>IF(B274="","",IF(NOT(ISNUMBER(B274)),"DATA_PC invalida",IF(NOT(ISNUMBER(parametros!$C$2)),"Fora dos ciclos",IF(OR(B274&lt;parametros!$C$2,(YEAR(B274)-YEAR(parametros!$C$2))*12+MONTH(B274)-MONTH(parametros!$C$2)&gt;59),"Fora dos ciclos","C"&amp;INT(((YEAR(B274)-YEAR(parametros!$C$2))*12+MONTH(B274)-MONTH(parametros!$C$2))/12)))))</f>
        <v/>
      </c>
      <c r="D274" s="394"/>
      <c r="E274" s="78" t="str">
        <f>IF(C274="","",IFERROR(VLOOKUP(C274,parametros!$A$11:$E$15,5,0),""))</f>
        <v/>
      </c>
      <c r="F274" s="79" t="str">
        <f t="shared" si="22"/>
        <v/>
      </c>
      <c r="G274" s="395"/>
      <c r="H274" s="91">
        <f t="shared" si="23"/>
        <v>0</v>
      </c>
      <c r="I274" s="91" t="str">
        <f t="shared" si="24"/>
        <v/>
      </c>
      <c r="J274" s="91" t="str">
        <f t="shared" si="25"/>
        <v/>
      </c>
      <c r="K274" s="92" t="str">
        <f>IF(AND(A274="",B274="",D274="",G274=""),"",IF(AND(A274&lt;&gt;"",COUNTIF($A$2:$A$5001,A274)&gt;1),"NUMERO_PC duplicado",IF(B274="","DATA_PC vazia",IF(NOT(ISNUMBER(B274)),"DATA_PC invalida",IF(OR(C274="",C274="Fora dos ciclos"),"CICLO_PC nao identificado",IF(OR(D274="",D274=0),"VALOR_PC vazio ou zero",IF(AND(G274&lt;&gt;"Sim",G274&lt;&gt;"Nao",G274&lt;&gt;""),"PC_PAGO_A_CONTRATADA invalido",IF(AND(C274&lt;&gt;"C0",IFERROR(INDEX(parametros!$A$2:$A$6,MATCH(C274,parametros!$B$2:$B$6,0)),"")="Sim",IFERROR(INDEX(parametros!$H$2:$H$6,MATCH(C274,parametros!$B$2:$B$6,0)),"")=""),"INICIO_EFEITO ausente: PC "&amp;A274&amp;" - "&amp;C274,IF(L274="","EFEITO_PC nao calculado: PC "&amp;A274&amp;" - "&amp;C274,"OK")))))))))</f>
        <v/>
      </c>
      <c r="L274" s="92" t="str">
        <f>IF(AND(A274="",B274="",D274="",G274=""),"",IF(OR(B274="",NOT(ISNUMBER(B274)),C274="",C274="Fora dos ciclos"),"",IF(C274="C0","Nao",IF(IFERROR(INDEX(parametros!$A$2:$A$6,MATCH(C274,parametros!$B$2:$B$6,0)),"")&lt;&gt;"Sim","Nao",IF(IFERROR(INDEX(parametros!$H$2:$H$6,MATCH(C274,parametros!$B$2:$B$6,0)),"")="","",IF(B274&gt;=IFERROR(INDEX(parametros!$H$2:$H$6,MATCH(C274,parametros!$B$2:$B$6,0)),""),"Sim","Nao"))))))</f>
        <v/>
      </c>
      <c r="T274" s="156"/>
      <c r="U274" s="214" t="str">
        <f t="shared" si="26"/>
        <v/>
      </c>
      <c r="V274" s="212" t="s">
        <v>50</v>
      </c>
      <c r="W274" s="100" t="s">
        <v>168</v>
      </c>
      <c r="X274" s="100" t="s">
        <v>169</v>
      </c>
      <c r="Y274" s="101" t="s">
        <v>170</v>
      </c>
      <c r="Z274" s="101" t="s">
        <v>171</v>
      </c>
      <c r="AA274" s="101" t="s">
        <v>50</v>
      </c>
      <c r="AB274" s="101" t="s">
        <v>172</v>
      </c>
      <c r="AC274" s="102" t="s">
        <v>173</v>
      </c>
    </row>
    <row r="275" spans="1:29" ht="25.5" customHeight="1" x14ac:dyDescent="0.35">
      <c r="A275" s="392"/>
      <c r="B275" s="393"/>
      <c r="C275" s="99" t="str">
        <f>IF(B275="","",IF(NOT(ISNUMBER(B275)),"DATA_PC invalida",IF(NOT(ISNUMBER(parametros!$C$2)),"Fora dos ciclos",IF(OR(B275&lt;parametros!$C$2,(YEAR(B275)-YEAR(parametros!$C$2))*12+MONTH(B275)-MONTH(parametros!$C$2)&gt;59),"Fora dos ciclos","C"&amp;INT(((YEAR(B275)-YEAR(parametros!$C$2))*12+MONTH(B275)-MONTH(parametros!$C$2))/12)))))</f>
        <v/>
      </c>
      <c r="D275" s="394"/>
      <c r="E275" s="78" t="str">
        <f>IF(C275="","",IFERROR(VLOOKUP(C275,parametros!$A$11:$E$15,5,0),""))</f>
        <v/>
      </c>
      <c r="F275" s="79" t="str">
        <f t="shared" si="22"/>
        <v/>
      </c>
      <c r="G275" s="395"/>
      <c r="H275" s="91">
        <f t="shared" si="23"/>
        <v>0</v>
      </c>
      <c r="I275" s="91" t="str">
        <f t="shared" si="24"/>
        <v/>
      </c>
      <c r="J275" s="91" t="str">
        <f t="shared" si="25"/>
        <v/>
      </c>
      <c r="K275" s="92" t="str">
        <f>IF(AND(A275="",B275="",D275="",G275=""),"",IF(AND(A275&lt;&gt;"",COUNTIF($A$2:$A$5001,A275)&gt;1),"NUMERO_PC duplicado",IF(B275="","DATA_PC vazia",IF(NOT(ISNUMBER(B275)),"DATA_PC invalida",IF(OR(C275="",C275="Fora dos ciclos"),"CICLO_PC nao identificado",IF(OR(D275="",D275=0),"VALOR_PC vazio ou zero",IF(AND(G275&lt;&gt;"Sim",G275&lt;&gt;"Nao",G275&lt;&gt;""),"PC_PAGO_A_CONTRATADA invalido",IF(AND(C275&lt;&gt;"C0",IFERROR(INDEX(parametros!$A$2:$A$6,MATCH(C275,parametros!$B$2:$B$6,0)),"")="Sim",IFERROR(INDEX(parametros!$H$2:$H$6,MATCH(C275,parametros!$B$2:$B$6,0)),"")=""),"INICIO_EFEITO ausente: PC "&amp;A275&amp;" - "&amp;C275,IF(L275="","EFEITO_PC nao calculado: PC "&amp;A275&amp;" - "&amp;C275,"OK")))))))))</f>
        <v/>
      </c>
      <c r="L275" s="92" t="str">
        <f>IF(AND(A275="",B275="",D275="",G275=""),"",IF(OR(B275="",NOT(ISNUMBER(B275)),C275="",C275="Fora dos ciclos"),"",IF(C275="C0","Nao",IF(IFERROR(INDEX(parametros!$A$2:$A$6,MATCH(C275,parametros!$B$2:$B$6,0)),"")&lt;&gt;"Sim","Nao",IF(IFERROR(INDEX(parametros!$H$2:$H$6,MATCH(C275,parametros!$B$2:$B$6,0)),"")="","",IF(B275&gt;=IFERROR(INDEX(parametros!$H$2:$H$6,MATCH(C275,parametros!$B$2:$B$6,0)),""),"Sim","Nao"))))))</f>
        <v/>
      </c>
      <c r="T275" s="156"/>
      <c r="U275" s="214" t="str">
        <f t="shared" si="26"/>
        <v/>
      </c>
      <c r="V275" s="212" t="s">
        <v>50</v>
      </c>
      <c r="W275" s="100" t="s">
        <v>168</v>
      </c>
      <c r="X275" s="100" t="s">
        <v>169</v>
      </c>
      <c r="Y275" s="101" t="s">
        <v>170</v>
      </c>
      <c r="Z275" s="101" t="s">
        <v>171</v>
      </c>
      <c r="AA275" s="101" t="s">
        <v>50</v>
      </c>
      <c r="AB275" s="101" t="s">
        <v>172</v>
      </c>
      <c r="AC275" s="102" t="s">
        <v>173</v>
      </c>
    </row>
    <row r="276" spans="1:29" ht="25.5" customHeight="1" x14ac:dyDescent="0.35">
      <c r="A276" s="392"/>
      <c r="B276" s="393"/>
      <c r="C276" s="99" t="str">
        <f>IF(B276="","",IF(NOT(ISNUMBER(B276)),"DATA_PC invalida",IF(NOT(ISNUMBER(parametros!$C$2)),"Fora dos ciclos",IF(OR(B276&lt;parametros!$C$2,(YEAR(B276)-YEAR(parametros!$C$2))*12+MONTH(B276)-MONTH(parametros!$C$2)&gt;59),"Fora dos ciclos","C"&amp;INT(((YEAR(B276)-YEAR(parametros!$C$2))*12+MONTH(B276)-MONTH(parametros!$C$2))/12)))))</f>
        <v/>
      </c>
      <c r="D276" s="394"/>
      <c r="E276" s="78" t="str">
        <f>IF(C276="","",IFERROR(VLOOKUP(C276,parametros!$A$11:$E$15,5,0),""))</f>
        <v/>
      </c>
      <c r="F276" s="79" t="str">
        <f t="shared" si="22"/>
        <v/>
      </c>
      <c r="G276" s="395"/>
      <c r="H276" s="91">
        <f t="shared" si="23"/>
        <v>0</v>
      </c>
      <c r="I276" s="91" t="str">
        <f t="shared" si="24"/>
        <v/>
      </c>
      <c r="J276" s="91" t="str">
        <f t="shared" si="25"/>
        <v/>
      </c>
      <c r="K276" s="92" t="str">
        <f>IF(AND(A276="",B276="",D276="",G276=""),"",IF(AND(A276&lt;&gt;"",COUNTIF($A$2:$A$5001,A276)&gt;1),"NUMERO_PC duplicado",IF(B276="","DATA_PC vazia",IF(NOT(ISNUMBER(B276)),"DATA_PC invalida",IF(OR(C276="",C276="Fora dos ciclos"),"CICLO_PC nao identificado",IF(OR(D276="",D276=0),"VALOR_PC vazio ou zero",IF(AND(G276&lt;&gt;"Sim",G276&lt;&gt;"Nao",G276&lt;&gt;""),"PC_PAGO_A_CONTRATADA invalido",IF(AND(C276&lt;&gt;"C0",IFERROR(INDEX(parametros!$A$2:$A$6,MATCH(C276,parametros!$B$2:$B$6,0)),"")="Sim",IFERROR(INDEX(parametros!$H$2:$H$6,MATCH(C276,parametros!$B$2:$B$6,0)),"")=""),"INICIO_EFEITO ausente: PC "&amp;A276&amp;" - "&amp;C276,IF(L276="","EFEITO_PC nao calculado: PC "&amp;A276&amp;" - "&amp;C276,"OK")))))))))</f>
        <v/>
      </c>
      <c r="L276" s="92" t="str">
        <f>IF(AND(A276="",B276="",D276="",G276=""),"",IF(OR(B276="",NOT(ISNUMBER(B276)),C276="",C276="Fora dos ciclos"),"",IF(C276="C0","Nao",IF(IFERROR(INDEX(parametros!$A$2:$A$6,MATCH(C276,parametros!$B$2:$B$6,0)),"")&lt;&gt;"Sim","Nao",IF(IFERROR(INDEX(parametros!$H$2:$H$6,MATCH(C276,parametros!$B$2:$B$6,0)),"")="","",IF(B276&gt;=IFERROR(INDEX(parametros!$H$2:$H$6,MATCH(C276,parametros!$B$2:$B$6,0)),""),"Sim","Nao"))))))</f>
        <v/>
      </c>
      <c r="T276" s="156"/>
      <c r="U276" s="214" t="str">
        <f t="shared" si="26"/>
        <v/>
      </c>
      <c r="V276" s="212" t="s">
        <v>50</v>
      </c>
      <c r="W276" s="100" t="s">
        <v>168</v>
      </c>
      <c r="X276" s="100" t="s">
        <v>169</v>
      </c>
      <c r="Y276" s="101" t="s">
        <v>170</v>
      </c>
      <c r="Z276" s="101" t="s">
        <v>171</v>
      </c>
      <c r="AA276" s="101" t="s">
        <v>50</v>
      </c>
      <c r="AB276" s="101" t="s">
        <v>172</v>
      </c>
      <c r="AC276" s="102" t="s">
        <v>173</v>
      </c>
    </row>
    <row r="277" spans="1:29" ht="25.5" customHeight="1" x14ac:dyDescent="0.35">
      <c r="A277" s="392"/>
      <c r="B277" s="393"/>
      <c r="C277" s="99" t="str">
        <f>IF(B277="","",IF(NOT(ISNUMBER(B277)),"DATA_PC invalida",IF(NOT(ISNUMBER(parametros!$C$2)),"Fora dos ciclos",IF(OR(B277&lt;parametros!$C$2,(YEAR(B277)-YEAR(parametros!$C$2))*12+MONTH(B277)-MONTH(parametros!$C$2)&gt;59),"Fora dos ciclos","C"&amp;INT(((YEAR(B277)-YEAR(parametros!$C$2))*12+MONTH(B277)-MONTH(parametros!$C$2))/12)))))</f>
        <v/>
      </c>
      <c r="D277" s="394"/>
      <c r="E277" s="78" t="str">
        <f>IF(C277="","",IFERROR(VLOOKUP(C277,parametros!$A$11:$E$15,5,0),""))</f>
        <v/>
      </c>
      <c r="F277" s="79" t="str">
        <f t="shared" si="22"/>
        <v/>
      </c>
      <c r="G277" s="395"/>
      <c r="H277" s="91">
        <f t="shared" si="23"/>
        <v>0</v>
      </c>
      <c r="I277" s="91" t="str">
        <f t="shared" si="24"/>
        <v/>
      </c>
      <c r="J277" s="91" t="str">
        <f t="shared" si="25"/>
        <v/>
      </c>
      <c r="K277" s="92" t="str">
        <f>IF(AND(A277="",B277="",D277="",G277=""),"",IF(AND(A277&lt;&gt;"",COUNTIF($A$2:$A$5001,A277)&gt;1),"NUMERO_PC duplicado",IF(B277="","DATA_PC vazia",IF(NOT(ISNUMBER(B277)),"DATA_PC invalida",IF(OR(C277="",C277="Fora dos ciclos"),"CICLO_PC nao identificado",IF(OR(D277="",D277=0),"VALOR_PC vazio ou zero",IF(AND(G277&lt;&gt;"Sim",G277&lt;&gt;"Nao",G277&lt;&gt;""),"PC_PAGO_A_CONTRATADA invalido",IF(AND(C277&lt;&gt;"C0",IFERROR(INDEX(parametros!$A$2:$A$6,MATCH(C277,parametros!$B$2:$B$6,0)),"")="Sim",IFERROR(INDEX(parametros!$H$2:$H$6,MATCH(C277,parametros!$B$2:$B$6,0)),"")=""),"INICIO_EFEITO ausente: PC "&amp;A277&amp;" - "&amp;C277,IF(L277="","EFEITO_PC nao calculado: PC "&amp;A277&amp;" - "&amp;C277,"OK")))))))))</f>
        <v/>
      </c>
      <c r="L277" s="92" t="str">
        <f>IF(AND(A277="",B277="",D277="",G277=""),"",IF(OR(B277="",NOT(ISNUMBER(B277)),C277="",C277="Fora dos ciclos"),"",IF(C277="C0","Nao",IF(IFERROR(INDEX(parametros!$A$2:$A$6,MATCH(C277,parametros!$B$2:$B$6,0)),"")&lt;&gt;"Sim","Nao",IF(IFERROR(INDEX(parametros!$H$2:$H$6,MATCH(C277,parametros!$B$2:$B$6,0)),"")="","",IF(B277&gt;=IFERROR(INDEX(parametros!$H$2:$H$6,MATCH(C277,parametros!$B$2:$B$6,0)),""),"Sim","Nao"))))))</f>
        <v/>
      </c>
      <c r="T277" s="156"/>
      <c r="U277" s="214" t="str">
        <f t="shared" si="26"/>
        <v/>
      </c>
      <c r="V277" s="212" t="s">
        <v>50</v>
      </c>
      <c r="W277" s="100" t="s">
        <v>168</v>
      </c>
      <c r="X277" s="100" t="s">
        <v>169</v>
      </c>
      <c r="Y277" s="101" t="s">
        <v>170</v>
      </c>
      <c r="Z277" s="101" t="s">
        <v>171</v>
      </c>
      <c r="AA277" s="101" t="s">
        <v>50</v>
      </c>
      <c r="AB277" s="101" t="s">
        <v>172</v>
      </c>
      <c r="AC277" s="102" t="s">
        <v>173</v>
      </c>
    </row>
    <row r="278" spans="1:29" ht="25.5" customHeight="1" x14ac:dyDescent="0.35">
      <c r="A278" s="392"/>
      <c r="B278" s="393"/>
      <c r="C278" s="99" t="str">
        <f>IF(B278="","",IF(NOT(ISNUMBER(B278)),"DATA_PC invalida",IF(NOT(ISNUMBER(parametros!$C$2)),"Fora dos ciclos",IF(OR(B278&lt;parametros!$C$2,(YEAR(B278)-YEAR(parametros!$C$2))*12+MONTH(B278)-MONTH(parametros!$C$2)&gt;59),"Fora dos ciclos","C"&amp;INT(((YEAR(B278)-YEAR(parametros!$C$2))*12+MONTH(B278)-MONTH(parametros!$C$2))/12)))))</f>
        <v/>
      </c>
      <c r="D278" s="394"/>
      <c r="E278" s="78" t="str">
        <f>IF(C278="","",IFERROR(VLOOKUP(C278,parametros!$A$11:$E$15,5,0),""))</f>
        <v/>
      </c>
      <c r="F278" s="79" t="str">
        <f t="shared" si="22"/>
        <v/>
      </c>
      <c r="G278" s="395"/>
      <c r="H278" s="91">
        <f t="shared" si="23"/>
        <v>0</v>
      </c>
      <c r="I278" s="91" t="str">
        <f t="shared" si="24"/>
        <v/>
      </c>
      <c r="J278" s="91" t="str">
        <f t="shared" si="25"/>
        <v/>
      </c>
      <c r="K278" s="92" t="str">
        <f>IF(AND(A278="",B278="",D278="",G278=""),"",IF(AND(A278&lt;&gt;"",COUNTIF($A$2:$A$5001,A278)&gt;1),"NUMERO_PC duplicado",IF(B278="","DATA_PC vazia",IF(NOT(ISNUMBER(B278)),"DATA_PC invalida",IF(OR(C278="",C278="Fora dos ciclos"),"CICLO_PC nao identificado",IF(OR(D278="",D278=0),"VALOR_PC vazio ou zero",IF(AND(G278&lt;&gt;"Sim",G278&lt;&gt;"Nao",G278&lt;&gt;""),"PC_PAGO_A_CONTRATADA invalido",IF(AND(C278&lt;&gt;"C0",IFERROR(INDEX(parametros!$A$2:$A$6,MATCH(C278,parametros!$B$2:$B$6,0)),"")="Sim",IFERROR(INDEX(parametros!$H$2:$H$6,MATCH(C278,parametros!$B$2:$B$6,0)),"")=""),"INICIO_EFEITO ausente: PC "&amp;A278&amp;" - "&amp;C278,IF(L278="","EFEITO_PC nao calculado: PC "&amp;A278&amp;" - "&amp;C278,"OK")))))))))</f>
        <v/>
      </c>
      <c r="L278" s="92" t="str">
        <f>IF(AND(A278="",B278="",D278="",G278=""),"",IF(OR(B278="",NOT(ISNUMBER(B278)),C278="",C278="Fora dos ciclos"),"",IF(C278="C0","Nao",IF(IFERROR(INDEX(parametros!$A$2:$A$6,MATCH(C278,parametros!$B$2:$B$6,0)),"")&lt;&gt;"Sim","Nao",IF(IFERROR(INDEX(parametros!$H$2:$H$6,MATCH(C278,parametros!$B$2:$B$6,0)),"")="","",IF(B278&gt;=IFERROR(INDEX(parametros!$H$2:$H$6,MATCH(C278,parametros!$B$2:$B$6,0)),""),"Sim","Nao"))))))</f>
        <v/>
      </c>
      <c r="T278" s="156"/>
      <c r="U278" s="214" t="str">
        <f t="shared" si="26"/>
        <v/>
      </c>
      <c r="V278" s="212" t="s">
        <v>50</v>
      </c>
      <c r="W278" s="100" t="s">
        <v>168</v>
      </c>
      <c r="X278" s="100" t="s">
        <v>169</v>
      </c>
      <c r="Y278" s="101" t="s">
        <v>170</v>
      </c>
      <c r="Z278" s="101" t="s">
        <v>171</v>
      </c>
      <c r="AA278" s="101" t="s">
        <v>50</v>
      </c>
      <c r="AB278" s="101" t="s">
        <v>172</v>
      </c>
      <c r="AC278" s="102" t="s">
        <v>173</v>
      </c>
    </row>
    <row r="279" spans="1:29" ht="25.5" customHeight="1" x14ac:dyDescent="0.35">
      <c r="A279" s="392"/>
      <c r="B279" s="393"/>
      <c r="C279" s="99" t="str">
        <f>IF(B279="","",IF(NOT(ISNUMBER(B279)),"DATA_PC invalida",IF(NOT(ISNUMBER(parametros!$C$2)),"Fora dos ciclos",IF(OR(B279&lt;parametros!$C$2,(YEAR(B279)-YEAR(parametros!$C$2))*12+MONTH(B279)-MONTH(parametros!$C$2)&gt;59),"Fora dos ciclos","C"&amp;INT(((YEAR(B279)-YEAR(parametros!$C$2))*12+MONTH(B279)-MONTH(parametros!$C$2))/12)))))</f>
        <v/>
      </c>
      <c r="D279" s="394"/>
      <c r="E279" s="78" t="str">
        <f>IF(C279="","",IFERROR(VLOOKUP(C279,parametros!$A$11:$E$15,5,0),""))</f>
        <v/>
      </c>
      <c r="F279" s="79" t="str">
        <f t="shared" si="22"/>
        <v/>
      </c>
      <c r="G279" s="395"/>
      <c r="H279" s="91">
        <f t="shared" si="23"/>
        <v>0</v>
      </c>
      <c r="I279" s="91" t="str">
        <f t="shared" si="24"/>
        <v/>
      </c>
      <c r="J279" s="91" t="str">
        <f t="shared" si="25"/>
        <v/>
      </c>
      <c r="K279" s="92" t="str">
        <f>IF(AND(A279="",B279="",D279="",G279=""),"",IF(AND(A279&lt;&gt;"",COUNTIF($A$2:$A$5001,A279)&gt;1),"NUMERO_PC duplicado",IF(B279="","DATA_PC vazia",IF(NOT(ISNUMBER(B279)),"DATA_PC invalida",IF(OR(C279="",C279="Fora dos ciclos"),"CICLO_PC nao identificado",IF(OR(D279="",D279=0),"VALOR_PC vazio ou zero",IF(AND(G279&lt;&gt;"Sim",G279&lt;&gt;"Nao",G279&lt;&gt;""),"PC_PAGO_A_CONTRATADA invalido",IF(AND(C279&lt;&gt;"C0",IFERROR(INDEX(parametros!$A$2:$A$6,MATCH(C279,parametros!$B$2:$B$6,0)),"")="Sim",IFERROR(INDEX(parametros!$H$2:$H$6,MATCH(C279,parametros!$B$2:$B$6,0)),"")=""),"INICIO_EFEITO ausente: PC "&amp;A279&amp;" - "&amp;C279,IF(L279="","EFEITO_PC nao calculado: PC "&amp;A279&amp;" - "&amp;C279,"OK")))))))))</f>
        <v/>
      </c>
      <c r="L279" s="92" t="str">
        <f>IF(AND(A279="",B279="",D279="",G279=""),"",IF(OR(B279="",NOT(ISNUMBER(B279)),C279="",C279="Fora dos ciclos"),"",IF(C279="C0","Nao",IF(IFERROR(INDEX(parametros!$A$2:$A$6,MATCH(C279,parametros!$B$2:$B$6,0)),"")&lt;&gt;"Sim","Nao",IF(IFERROR(INDEX(parametros!$H$2:$H$6,MATCH(C279,parametros!$B$2:$B$6,0)),"")="","",IF(B279&gt;=IFERROR(INDEX(parametros!$H$2:$H$6,MATCH(C279,parametros!$B$2:$B$6,0)),""),"Sim","Nao"))))))</f>
        <v/>
      </c>
      <c r="T279" s="156"/>
      <c r="U279" s="214" t="str">
        <f t="shared" si="26"/>
        <v/>
      </c>
      <c r="V279" s="212" t="s">
        <v>50</v>
      </c>
      <c r="W279" s="100" t="s">
        <v>168</v>
      </c>
      <c r="X279" s="100" t="s">
        <v>169</v>
      </c>
      <c r="Y279" s="101" t="s">
        <v>170</v>
      </c>
      <c r="Z279" s="101" t="s">
        <v>171</v>
      </c>
      <c r="AA279" s="101" t="s">
        <v>50</v>
      </c>
      <c r="AB279" s="101" t="s">
        <v>172</v>
      </c>
      <c r="AC279" s="102" t="s">
        <v>173</v>
      </c>
    </row>
    <row r="280" spans="1:29" ht="25.5" customHeight="1" x14ac:dyDescent="0.35">
      <c r="A280" s="392"/>
      <c r="B280" s="393"/>
      <c r="C280" s="99" t="str">
        <f>IF(B280="","",IF(NOT(ISNUMBER(B280)),"DATA_PC invalida",IF(NOT(ISNUMBER(parametros!$C$2)),"Fora dos ciclos",IF(OR(B280&lt;parametros!$C$2,(YEAR(B280)-YEAR(parametros!$C$2))*12+MONTH(B280)-MONTH(parametros!$C$2)&gt;59),"Fora dos ciclos","C"&amp;INT(((YEAR(B280)-YEAR(parametros!$C$2))*12+MONTH(B280)-MONTH(parametros!$C$2))/12)))))</f>
        <v/>
      </c>
      <c r="D280" s="394"/>
      <c r="E280" s="78" t="str">
        <f>IF(C280="","",IFERROR(VLOOKUP(C280,parametros!$A$11:$E$15,5,0),""))</f>
        <v/>
      </c>
      <c r="F280" s="79" t="str">
        <f t="shared" si="22"/>
        <v/>
      </c>
      <c r="G280" s="395"/>
      <c r="H280" s="91">
        <f t="shared" si="23"/>
        <v>0</v>
      </c>
      <c r="I280" s="91" t="str">
        <f t="shared" si="24"/>
        <v/>
      </c>
      <c r="J280" s="91" t="str">
        <f t="shared" si="25"/>
        <v/>
      </c>
      <c r="K280" s="92" t="str">
        <f>IF(AND(A280="",B280="",D280="",G280=""),"",IF(AND(A280&lt;&gt;"",COUNTIF($A$2:$A$5001,A280)&gt;1),"NUMERO_PC duplicado",IF(B280="","DATA_PC vazia",IF(NOT(ISNUMBER(B280)),"DATA_PC invalida",IF(OR(C280="",C280="Fora dos ciclos"),"CICLO_PC nao identificado",IF(OR(D280="",D280=0),"VALOR_PC vazio ou zero",IF(AND(G280&lt;&gt;"Sim",G280&lt;&gt;"Nao",G280&lt;&gt;""),"PC_PAGO_A_CONTRATADA invalido",IF(AND(C280&lt;&gt;"C0",IFERROR(INDEX(parametros!$A$2:$A$6,MATCH(C280,parametros!$B$2:$B$6,0)),"")="Sim",IFERROR(INDEX(parametros!$H$2:$H$6,MATCH(C280,parametros!$B$2:$B$6,0)),"")=""),"INICIO_EFEITO ausente: PC "&amp;A280&amp;" - "&amp;C280,IF(L280="","EFEITO_PC nao calculado: PC "&amp;A280&amp;" - "&amp;C280,"OK")))))))))</f>
        <v/>
      </c>
      <c r="L280" s="92" t="str">
        <f>IF(AND(A280="",B280="",D280="",G280=""),"",IF(OR(B280="",NOT(ISNUMBER(B280)),C280="",C280="Fora dos ciclos"),"",IF(C280="C0","Nao",IF(IFERROR(INDEX(parametros!$A$2:$A$6,MATCH(C280,parametros!$B$2:$B$6,0)),"")&lt;&gt;"Sim","Nao",IF(IFERROR(INDEX(parametros!$H$2:$H$6,MATCH(C280,parametros!$B$2:$B$6,0)),"")="","",IF(B280&gt;=IFERROR(INDEX(parametros!$H$2:$H$6,MATCH(C280,parametros!$B$2:$B$6,0)),""),"Sim","Nao"))))))</f>
        <v/>
      </c>
      <c r="T280" s="156"/>
      <c r="U280" s="214" t="str">
        <f t="shared" si="26"/>
        <v/>
      </c>
      <c r="V280" s="212" t="s">
        <v>50</v>
      </c>
      <c r="W280" s="100" t="s">
        <v>168</v>
      </c>
      <c r="X280" s="100" t="s">
        <v>169</v>
      </c>
      <c r="Y280" s="101" t="s">
        <v>170</v>
      </c>
      <c r="Z280" s="101" t="s">
        <v>171</v>
      </c>
      <c r="AA280" s="101" t="s">
        <v>50</v>
      </c>
      <c r="AB280" s="101" t="s">
        <v>172</v>
      </c>
      <c r="AC280" s="102" t="s">
        <v>173</v>
      </c>
    </row>
    <row r="281" spans="1:29" ht="25.5" customHeight="1" x14ac:dyDescent="0.35">
      <c r="A281" s="392"/>
      <c r="B281" s="393"/>
      <c r="C281" s="99" t="str">
        <f>IF(B281="","",IF(NOT(ISNUMBER(B281)),"DATA_PC invalida",IF(NOT(ISNUMBER(parametros!$C$2)),"Fora dos ciclos",IF(OR(B281&lt;parametros!$C$2,(YEAR(B281)-YEAR(parametros!$C$2))*12+MONTH(B281)-MONTH(parametros!$C$2)&gt;59),"Fora dos ciclos","C"&amp;INT(((YEAR(B281)-YEAR(parametros!$C$2))*12+MONTH(B281)-MONTH(parametros!$C$2))/12)))))</f>
        <v/>
      </c>
      <c r="D281" s="394"/>
      <c r="E281" s="78" t="str">
        <f>IF(C281="","",IFERROR(VLOOKUP(C281,parametros!$A$11:$E$15,5,0),""))</f>
        <v/>
      </c>
      <c r="F281" s="79" t="str">
        <f t="shared" si="22"/>
        <v/>
      </c>
      <c r="G281" s="395"/>
      <c r="H281" s="91">
        <f t="shared" si="23"/>
        <v>0</v>
      </c>
      <c r="I281" s="91" t="str">
        <f t="shared" si="24"/>
        <v/>
      </c>
      <c r="J281" s="91" t="str">
        <f t="shared" si="25"/>
        <v/>
      </c>
      <c r="K281" s="92" t="str">
        <f>IF(AND(A281="",B281="",D281="",G281=""),"",IF(AND(A281&lt;&gt;"",COUNTIF($A$2:$A$5001,A281)&gt;1),"NUMERO_PC duplicado",IF(B281="","DATA_PC vazia",IF(NOT(ISNUMBER(B281)),"DATA_PC invalida",IF(OR(C281="",C281="Fora dos ciclos"),"CICLO_PC nao identificado",IF(OR(D281="",D281=0),"VALOR_PC vazio ou zero",IF(AND(G281&lt;&gt;"Sim",G281&lt;&gt;"Nao",G281&lt;&gt;""),"PC_PAGO_A_CONTRATADA invalido",IF(AND(C281&lt;&gt;"C0",IFERROR(INDEX(parametros!$A$2:$A$6,MATCH(C281,parametros!$B$2:$B$6,0)),"")="Sim",IFERROR(INDEX(parametros!$H$2:$H$6,MATCH(C281,parametros!$B$2:$B$6,0)),"")=""),"INICIO_EFEITO ausente: PC "&amp;A281&amp;" - "&amp;C281,IF(L281="","EFEITO_PC nao calculado: PC "&amp;A281&amp;" - "&amp;C281,"OK")))))))))</f>
        <v/>
      </c>
      <c r="L281" s="92" t="str">
        <f>IF(AND(A281="",B281="",D281="",G281=""),"",IF(OR(B281="",NOT(ISNUMBER(B281)),C281="",C281="Fora dos ciclos"),"",IF(C281="C0","Nao",IF(IFERROR(INDEX(parametros!$A$2:$A$6,MATCH(C281,parametros!$B$2:$B$6,0)),"")&lt;&gt;"Sim","Nao",IF(IFERROR(INDEX(parametros!$H$2:$H$6,MATCH(C281,parametros!$B$2:$B$6,0)),"")="","",IF(B281&gt;=IFERROR(INDEX(parametros!$H$2:$H$6,MATCH(C281,parametros!$B$2:$B$6,0)),""),"Sim","Nao"))))))</f>
        <v/>
      </c>
      <c r="T281" s="156"/>
      <c r="U281" s="214" t="str">
        <f t="shared" si="26"/>
        <v/>
      </c>
      <c r="V281" s="212" t="s">
        <v>50</v>
      </c>
      <c r="W281" s="100" t="s">
        <v>168</v>
      </c>
      <c r="X281" s="100" t="s">
        <v>169</v>
      </c>
      <c r="Y281" s="101" t="s">
        <v>170</v>
      </c>
      <c r="Z281" s="101" t="s">
        <v>171</v>
      </c>
      <c r="AA281" s="101" t="s">
        <v>50</v>
      </c>
      <c r="AB281" s="101" t="s">
        <v>172</v>
      </c>
      <c r="AC281" s="102" t="s">
        <v>173</v>
      </c>
    </row>
    <row r="282" spans="1:29" ht="25.5" customHeight="1" x14ac:dyDescent="0.35">
      <c r="A282" s="392"/>
      <c r="B282" s="393"/>
      <c r="C282" s="99" t="str">
        <f>IF(B282="","",IF(NOT(ISNUMBER(B282)),"DATA_PC invalida",IF(NOT(ISNUMBER(parametros!$C$2)),"Fora dos ciclos",IF(OR(B282&lt;parametros!$C$2,(YEAR(B282)-YEAR(parametros!$C$2))*12+MONTH(B282)-MONTH(parametros!$C$2)&gt;59),"Fora dos ciclos","C"&amp;INT(((YEAR(B282)-YEAR(parametros!$C$2))*12+MONTH(B282)-MONTH(parametros!$C$2))/12)))))</f>
        <v/>
      </c>
      <c r="D282" s="394"/>
      <c r="E282" s="78" t="str">
        <f>IF(C282="","",IFERROR(VLOOKUP(C282,parametros!$A$11:$E$15,5,0),""))</f>
        <v/>
      </c>
      <c r="F282" s="79" t="str">
        <f t="shared" si="22"/>
        <v/>
      </c>
      <c r="G282" s="395"/>
      <c r="H282" s="91">
        <f t="shared" si="23"/>
        <v>0</v>
      </c>
      <c r="I282" s="91" t="str">
        <f t="shared" si="24"/>
        <v/>
      </c>
      <c r="J282" s="91" t="str">
        <f t="shared" si="25"/>
        <v/>
      </c>
      <c r="K282" s="92" t="str">
        <f>IF(AND(A282="",B282="",D282="",G282=""),"",IF(AND(A282&lt;&gt;"",COUNTIF($A$2:$A$5001,A282)&gt;1),"NUMERO_PC duplicado",IF(B282="","DATA_PC vazia",IF(NOT(ISNUMBER(B282)),"DATA_PC invalida",IF(OR(C282="",C282="Fora dos ciclos"),"CICLO_PC nao identificado",IF(OR(D282="",D282=0),"VALOR_PC vazio ou zero",IF(AND(G282&lt;&gt;"Sim",G282&lt;&gt;"Nao",G282&lt;&gt;""),"PC_PAGO_A_CONTRATADA invalido",IF(AND(C282&lt;&gt;"C0",IFERROR(INDEX(parametros!$A$2:$A$6,MATCH(C282,parametros!$B$2:$B$6,0)),"")="Sim",IFERROR(INDEX(parametros!$H$2:$H$6,MATCH(C282,parametros!$B$2:$B$6,0)),"")=""),"INICIO_EFEITO ausente: PC "&amp;A282&amp;" - "&amp;C282,IF(L282="","EFEITO_PC nao calculado: PC "&amp;A282&amp;" - "&amp;C282,"OK")))))))))</f>
        <v/>
      </c>
      <c r="L282" s="92" t="str">
        <f>IF(AND(A282="",B282="",D282="",G282=""),"",IF(OR(B282="",NOT(ISNUMBER(B282)),C282="",C282="Fora dos ciclos"),"",IF(C282="C0","Nao",IF(IFERROR(INDEX(parametros!$A$2:$A$6,MATCH(C282,parametros!$B$2:$B$6,0)),"")&lt;&gt;"Sim","Nao",IF(IFERROR(INDEX(parametros!$H$2:$H$6,MATCH(C282,parametros!$B$2:$B$6,0)),"")="","",IF(B282&gt;=IFERROR(INDEX(parametros!$H$2:$H$6,MATCH(C282,parametros!$B$2:$B$6,0)),""),"Sim","Nao"))))))</f>
        <v/>
      </c>
      <c r="T282" s="156"/>
      <c r="U282" s="214" t="str">
        <f t="shared" si="26"/>
        <v/>
      </c>
      <c r="V282" s="212" t="s">
        <v>50</v>
      </c>
      <c r="W282" s="100" t="s">
        <v>168</v>
      </c>
      <c r="X282" s="100" t="s">
        <v>169</v>
      </c>
      <c r="Y282" s="101" t="s">
        <v>170</v>
      </c>
      <c r="Z282" s="101" t="s">
        <v>171</v>
      </c>
      <c r="AA282" s="101" t="s">
        <v>50</v>
      </c>
      <c r="AB282" s="101" t="s">
        <v>172</v>
      </c>
      <c r="AC282" s="102" t="s">
        <v>173</v>
      </c>
    </row>
    <row r="283" spans="1:29" ht="25.5" customHeight="1" x14ac:dyDescent="0.35">
      <c r="A283" s="392"/>
      <c r="B283" s="393"/>
      <c r="C283" s="99" t="str">
        <f>IF(B283="","",IF(NOT(ISNUMBER(B283)),"DATA_PC invalida",IF(NOT(ISNUMBER(parametros!$C$2)),"Fora dos ciclos",IF(OR(B283&lt;parametros!$C$2,(YEAR(B283)-YEAR(parametros!$C$2))*12+MONTH(B283)-MONTH(parametros!$C$2)&gt;59),"Fora dos ciclos","C"&amp;INT(((YEAR(B283)-YEAR(parametros!$C$2))*12+MONTH(B283)-MONTH(parametros!$C$2))/12)))))</f>
        <v/>
      </c>
      <c r="D283" s="394"/>
      <c r="E283" s="78" t="str">
        <f>IF(C283="","",IFERROR(VLOOKUP(C283,parametros!$A$11:$E$15,5,0),""))</f>
        <v/>
      </c>
      <c r="F283" s="79" t="str">
        <f t="shared" si="22"/>
        <v/>
      </c>
      <c r="G283" s="395"/>
      <c r="H283" s="91">
        <f t="shared" si="23"/>
        <v>0</v>
      </c>
      <c r="I283" s="91" t="str">
        <f t="shared" si="24"/>
        <v/>
      </c>
      <c r="J283" s="91" t="str">
        <f t="shared" si="25"/>
        <v/>
      </c>
      <c r="K283" s="92" t="str">
        <f>IF(AND(A283="",B283="",D283="",G283=""),"",IF(AND(A283&lt;&gt;"",COUNTIF($A$2:$A$5001,A283)&gt;1),"NUMERO_PC duplicado",IF(B283="","DATA_PC vazia",IF(NOT(ISNUMBER(B283)),"DATA_PC invalida",IF(OR(C283="",C283="Fora dos ciclos"),"CICLO_PC nao identificado",IF(OR(D283="",D283=0),"VALOR_PC vazio ou zero",IF(AND(G283&lt;&gt;"Sim",G283&lt;&gt;"Nao",G283&lt;&gt;""),"PC_PAGO_A_CONTRATADA invalido",IF(AND(C283&lt;&gt;"C0",IFERROR(INDEX(parametros!$A$2:$A$6,MATCH(C283,parametros!$B$2:$B$6,0)),"")="Sim",IFERROR(INDEX(parametros!$H$2:$H$6,MATCH(C283,parametros!$B$2:$B$6,0)),"")=""),"INICIO_EFEITO ausente: PC "&amp;A283&amp;" - "&amp;C283,IF(L283="","EFEITO_PC nao calculado: PC "&amp;A283&amp;" - "&amp;C283,"OK")))))))))</f>
        <v/>
      </c>
      <c r="L283" s="92" t="str">
        <f>IF(AND(A283="",B283="",D283="",G283=""),"",IF(OR(B283="",NOT(ISNUMBER(B283)),C283="",C283="Fora dos ciclos"),"",IF(C283="C0","Nao",IF(IFERROR(INDEX(parametros!$A$2:$A$6,MATCH(C283,parametros!$B$2:$B$6,0)),"")&lt;&gt;"Sim","Nao",IF(IFERROR(INDEX(parametros!$H$2:$H$6,MATCH(C283,parametros!$B$2:$B$6,0)),"")="","",IF(B283&gt;=IFERROR(INDEX(parametros!$H$2:$H$6,MATCH(C283,parametros!$B$2:$B$6,0)),""),"Sim","Nao"))))))</f>
        <v/>
      </c>
      <c r="T283" s="156"/>
      <c r="U283" s="214" t="str">
        <f t="shared" si="26"/>
        <v/>
      </c>
      <c r="V283" s="212" t="s">
        <v>50</v>
      </c>
      <c r="W283" s="100" t="s">
        <v>168</v>
      </c>
      <c r="X283" s="100" t="s">
        <v>169</v>
      </c>
      <c r="Y283" s="101" t="s">
        <v>170</v>
      </c>
      <c r="Z283" s="101" t="s">
        <v>171</v>
      </c>
      <c r="AA283" s="101" t="s">
        <v>50</v>
      </c>
      <c r="AB283" s="101" t="s">
        <v>172</v>
      </c>
      <c r="AC283" s="102" t="s">
        <v>173</v>
      </c>
    </row>
    <row r="284" spans="1:29" ht="25.5" customHeight="1" x14ac:dyDescent="0.35">
      <c r="A284" s="392"/>
      <c r="B284" s="393"/>
      <c r="C284" s="99" t="str">
        <f>IF(B284="","",IF(NOT(ISNUMBER(B284)),"DATA_PC invalida",IF(NOT(ISNUMBER(parametros!$C$2)),"Fora dos ciclos",IF(OR(B284&lt;parametros!$C$2,(YEAR(B284)-YEAR(parametros!$C$2))*12+MONTH(B284)-MONTH(parametros!$C$2)&gt;59),"Fora dos ciclos","C"&amp;INT(((YEAR(B284)-YEAR(parametros!$C$2))*12+MONTH(B284)-MONTH(parametros!$C$2))/12)))))</f>
        <v/>
      </c>
      <c r="D284" s="394"/>
      <c r="E284" s="78" t="str">
        <f>IF(C284="","",IFERROR(VLOOKUP(C284,parametros!$A$11:$E$15,5,0),""))</f>
        <v/>
      </c>
      <c r="F284" s="79" t="str">
        <f t="shared" si="22"/>
        <v/>
      </c>
      <c r="G284" s="395"/>
      <c r="H284" s="91">
        <f t="shared" si="23"/>
        <v>0</v>
      </c>
      <c r="I284" s="91" t="str">
        <f t="shared" si="24"/>
        <v/>
      </c>
      <c r="J284" s="91" t="str">
        <f t="shared" si="25"/>
        <v/>
      </c>
      <c r="K284" s="92" t="str">
        <f>IF(AND(A284="",B284="",D284="",G284=""),"",IF(AND(A284&lt;&gt;"",COUNTIF($A$2:$A$5001,A284)&gt;1),"NUMERO_PC duplicado",IF(B284="","DATA_PC vazia",IF(NOT(ISNUMBER(B284)),"DATA_PC invalida",IF(OR(C284="",C284="Fora dos ciclos"),"CICLO_PC nao identificado",IF(OR(D284="",D284=0),"VALOR_PC vazio ou zero",IF(AND(G284&lt;&gt;"Sim",G284&lt;&gt;"Nao",G284&lt;&gt;""),"PC_PAGO_A_CONTRATADA invalido",IF(AND(C284&lt;&gt;"C0",IFERROR(INDEX(parametros!$A$2:$A$6,MATCH(C284,parametros!$B$2:$B$6,0)),"")="Sim",IFERROR(INDEX(parametros!$H$2:$H$6,MATCH(C284,parametros!$B$2:$B$6,0)),"")=""),"INICIO_EFEITO ausente: PC "&amp;A284&amp;" - "&amp;C284,IF(L284="","EFEITO_PC nao calculado: PC "&amp;A284&amp;" - "&amp;C284,"OK")))))))))</f>
        <v/>
      </c>
      <c r="L284" s="92" t="str">
        <f>IF(AND(A284="",B284="",D284="",G284=""),"",IF(OR(B284="",NOT(ISNUMBER(B284)),C284="",C284="Fora dos ciclos"),"",IF(C284="C0","Nao",IF(IFERROR(INDEX(parametros!$A$2:$A$6,MATCH(C284,parametros!$B$2:$B$6,0)),"")&lt;&gt;"Sim","Nao",IF(IFERROR(INDEX(parametros!$H$2:$H$6,MATCH(C284,parametros!$B$2:$B$6,0)),"")="","",IF(B284&gt;=IFERROR(INDEX(parametros!$H$2:$H$6,MATCH(C284,parametros!$B$2:$B$6,0)),""),"Sim","Nao"))))))</f>
        <v/>
      </c>
      <c r="T284" s="156"/>
      <c r="U284" s="214" t="str">
        <f t="shared" si="26"/>
        <v/>
      </c>
      <c r="V284" s="212" t="s">
        <v>50</v>
      </c>
      <c r="W284" s="100" t="s">
        <v>168</v>
      </c>
      <c r="X284" s="100" t="s">
        <v>169</v>
      </c>
      <c r="Y284" s="101" t="s">
        <v>170</v>
      </c>
      <c r="Z284" s="101" t="s">
        <v>171</v>
      </c>
      <c r="AA284" s="101" t="s">
        <v>50</v>
      </c>
      <c r="AB284" s="101" t="s">
        <v>172</v>
      </c>
      <c r="AC284" s="102" t="s">
        <v>173</v>
      </c>
    </row>
    <row r="285" spans="1:29" ht="25.5" customHeight="1" x14ac:dyDescent="0.35">
      <c r="A285" s="392"/>
      <c r="B285" s="393"/>
      <c r="C285" s="99" t="str">
        <f>IF(B285="","",IF(NOT(ISNUMBER(B285)),"DATA_PC invalida",IF(NOT(ISNUMBER(parametros!$C$2)),"Fora dos ciclos",IF(OR(B285&lt;parametros!$C$2,(YEAR(B285)-YEAR(parametros!$C$2))*12+MONTH(B285)-MONTH(parametros!$C$2)&gt;59),"Fora dos ciclos","C"&amp;INT(((YEAR(B285)-YEAR(parametros!$C$2))*12+MONTH(B285)-MONTH(parametros!$C$2))/12)))))</f>
        <v/>
      </c>
      <c r="D285" s="394"/>
      <c r="E285" s="78" t="str">
        <f>IF(C285="","",IFERROR(VLOOKUP(C285,parametros!$A$11:$E$15,5,0),""))</f>
        <v/>
      </c>
      <c r="F285" s="79" t="str">
        <f t="shared" si="22"/>
        <v/>
      </c>
      <c r="G285" s="395"/>
      <c r="H285" s="91">
        <f t="shared" si="23"/>
        <v>0</v>
      </c>
      <c r="I285" s="91" t="str">
        <f t="shared" si="24"/>
        <v/>
      </c>
      <c r="J285" s="91" t="str">
        <f t="shared" si="25"/>
        <v/>
      </c>
      <c r="K285" s="92" t="str">
        <f>IF(AND(A285="",B285="",D285="",G285=""),"",IF(AND(A285&lt;&gt;"",COUNTIF($A$2:$A$5001,A285)&gt;1),"NUMERO_PC duplicado",IF(B285="","DATA_PC vazia",IF(NOT(ISNUMBER(B285)),"DATA_PC invalida",IF(OR(C285="",C285="Fora dos ciclos"),"CICLO_PC nao identificado",IF(OR(D285="",D285=0),"VALOR_PC vazio ou zero",IF(AND(G285&lt;&gt;"Sim",G285&lt;&gt;"Nao",G285&lt;&gt;""),"PC_PAGO_A_CONTRATADA invalido",IF(AND(C285&lt;&gt;"C0",IFERROR(INDEX(parametros!$A$2:$A$6,MATCH(C285,parametros!$B$2:$B$6,0)),"")="Sim",IFERROR(INDEX(parametros!$H$2:$H$6,MATCH(C285,parametros!$B$2:$B$6,0)),"")=""),"INICIO_EFEITO ausente: PC "&amp;A285&amp;" - "&amp;C285,IF(L285="","EFEITO_PC nao calculado: PC "&amp;A285&amp;" - "&amp;C285,"OK")))))))))</f>
        <v/>
      </c>
      <c r="L285" s="92" t="str">
        <f>IF(AND(A285="",B285="",D285="",G285=""),"",IF(OR(B285="",NOT(ISNUMBER(B285)),C285="",C285="Fora dos ciclos"),"",IF(C285="C0","Nao",IF(IFERROR(INDEX(parametros!$A$2:$A$6,MATCH(C285,parametros!$B$2:$B$6,0)),"")&lt;&gt;"Sim","Nao",IF(IFERROR(INDEX(parametros!$H$2:$H$6,MATCH(C285,parametros!$B$2:$B$6,0)),"")="","",IF(B285&gt;=IFERROR(INDEX(parametros!$H$2:$H$6,MATCH(C285,parametros!$B$2:$B$6,0)),""),"Sim","Nao"))))))</f>
        <v/>
      </c>
      <c r="T285" s="156"/>
      <c r="U285" s="214" t="str">
        <f t="shared" si="26"/>
        <v/>
      </c>
      <c r="V285" s="212" t="s">
        <v>50</v>
      </c>
      <c r="W285" s="100" t="s">
        <v>168</v>
      </c>
      <c r="X285" s="100" t="s">
        <v>169</v>
      </c>
      <c r="Y285" s="101" t="s">
        <v>170</v>
      </c>
      <c r="Z285" s="101" t="s">
        <v>171</v>
      </c>
      <c r="AA285" s="101" t="s">
        <v>50</v>
      </c>
      <c r="AB285" s="101" t="s">
        <v>172</v>
      </c>
      <c r="AC285" s="102" t="s">
        <v>173</v>
      </c>
    </row>
    <row r="286" spans="1:29" ht="25.5" customHeight="1" x14ac:dyDescent="0.35">
      <c r="A286" s="392"/>
      <c r="B286" s="393"/>
      <c r="C286" s="99" t="str">
        <f>IF(B286="","",IF(NOT(ISNUMBER(B286)),"DATA_PC invalida",IF(NOT(ISNUMBER(parametros!$C$2)),"Fora dos ciclos",IF(OR(B286&lt;parametros!$C$2,(YEAR(B286)-YEAR(parametros!$C$2))*12+MONTH(B286)-MONTH(parametros!$C$2)&gt;59),"Fora dos ciclos","C"&amp;INT(((YEAR(B286)-YEAR(parametros!$C$2))*12+MONTH(B286)-MONTH(parametros!$C$2))/12)))))</f>
        <v/>
      </c>
      <c r="D286" s="394"/>
      <c r="E286" s="78" t="str">
        <f>IF(C286="","",IFERROR(VLOOKUP(C286,parametros!$A$11:$E$15,5,0),""))</f>
        <v/>
      </c>
      <c r="F286" s="79" t="str">
        <f t="shared" si="22"/>
        <v/>
      </c>
      <c r="G286" s="395"/>
      <c r="H286" s="91">
        <f t="shared" si="23"/>
        <v>0</v>
      </c>
      <c r="I286" s="91" t="str">
        <f t="shared" si="24"/>
        <v/>
      </c>
      <c r="J286" s="91" t="str">
        <f t="shared" si="25"/>
        <v/>
      </c>
      <c r="K286" s="92" t="str">
        <f>IF(AND(A286="",B286="",D286="",G286=""),"",IF(AND(A286&lt;&gt;"",COUNTIF($A$2:$A$5001,A286)&gt;1),"NUMERO_PC duplicado",IF(B286="","DATA_PC vazia",IF(NOT(ISNUMBER(B286)),"DATA_PC invalida",IF(OR(C286="",C286="Fora dos ciclos"),"CICLO_PC nao identificado",IF(OR(D286="",D286=0),"VALOR_PC vazio ou zero",IF(AND(G286&lt;&gt;"Sim",G286&lt;&gt;"Nao",G286&lt;&gt;""),"PC_PAGO_A_CONTRATADA invalido",IF(AND(C286&lt;&gt;"C0",IFERROR(INDEX(parametros!$A$2:$A$6,MATCH(C286,parametros!$B$2:$B$6,0)),"")="Sim",IFERROR(INDEX(parametros!$H$2:$H$6,MATCH(C286,parametros!$B$2:$B$6,0)),"")=""),"INICIO_EFEITO ausente: PC "&amp;A286&amp;" - "&amp;C286,IF(L286="","EFEITO_PC nao calculado: PC "&amp;A286&amp;" - "&amp;C286,"OK")))))))))</f>
        <v/>
      </c>
      <c r="L286" s="92" t="str">
        <f>IF(AND(A286="",B286="",D286="",G286=""),"",IF(OR(B286="",NOT(ISNUMBER(B286)),C286="",C286="Fora dos ciclos"),"",IF(C286="C0","Nao",IF(IFERROR(INDEX(parametros!$A$2:$A$6,MATCH(C286,parametros!$B$2:$B$6,0)),"")&lt;&gt;"Sim","Nao",IF(IFERROR(INDEX(parametros!$H$2:$H$6,MATCH(C286,parametros!$B$2:$B$6,0)),"")="","",IF(B286&gt;=IFERROR(INDEX(parametros!$H$2:$H$6,MATCH(C286,parametros!$B$2:$B$6,0)),""),"Sim","Nao"))))))</f>
        <v/>
      </c>
      <c r="T286" s="156"/>
      <c r="U286" s="214" t="str">
        <f t="shared" si="26"/>
        <v/>
      </c>
      <c r="V286" s="212" t="s">
        <v>50</v>
      </c>
      <c r="W286" s="100" t="s">
        <v>168</v>
      </c>
      <c r="X286" s="100" t="s">
        <v>169</v>
      </c>
      <c r="Y286" s="101" t="s">
        <v>170</v>
      </c>
      <c r="Z286" s="101" t="s">
        <v>171</v>
      </c>
      <c r="AA286" s="101" t="s">
        <v>50</v>
      </c>
      <c r="AB286" s="101" t="s">
        <v>172</v>
      </c>
      <c r="AC286" s="102" t="s">
        <v>173</v>
      </c>
    </row>
    <row r="287" spans="1:29" ht="25.5" customHeight="1" x14ac:dyDescent="0.35">
      <c r="A287" s="392"/>
      <c r="B287" s="393"/>
      <c r="C287" s="99" t="str">
        <f>IF(B287="","",IF(NOT(ISNUMBER(B287)),"DATA_PC invalida",IF(NOT(ISNUMBER(parametros!$C$2)),"Fora dos ciclos",IF(OR(B287&lt;parametros!$C$2,(YEAR(B287)-YEAR(parametros!$C$2))*12+MONTH(B287)-MONTH(parametros!$C$2)&gt;59),"Fora dos ciclos","C"&amp;INT(((YEAR(B287)-YEAR(parametros!$C$2))*12+MONTH(B287)-MONTH(parametros!$C$2))/12)))))</f>
        <v/>
      </c>
      <c r="D287" s="394"/>
      <c r="E287" s="78" t="str">
        <f>IF(C287="","",IFERROR(VLOOKUP(C287,parametros!$A$11:$E$15,5,0),""))</f>
        <v/>
      </c>
      <c r="F287" s="79" t="str">
        <f t="shared" si="22"/>
        <v/>
      </c>
      <c r="G287" s="395"/>
      <c r="H287" s="91">
        <f t="shared" si="23"/>
        <v>0</v>
      </c>
      <c r="I287" s="91" t="str">
        <f t="shared" si="24"/>
        <v/>
      </c>
      <c r="J287" s="91" t="str">
        <f t="shared" si="25"/>
        <v/>
      </c>
      <c r="K287" s="92" t="str">
        <f>IF(AND(A287="",B287="",D287="",G287=""),"",IF(AND(A287&lt;&gt;"",COUNTIF($A$2:$A$5001,A287)&gt;1),"NUMERO_PC duplicado",IF(B287="","DATA_PC vazia",IF(NOT(ISNUMBER(B287)),"DATA_PC invalida",IF(OR(C287="",C287="Fora dos ciclos"),"CICLO_PC nao identificado",IF(OR(D287="",D287=0),"VALOR_PC vazio ou zero",IF(AND(G287&lt;&gt;"Sim",G287&lt;&gt;"Nao",G287&lt;&gt;""),"PC_PAGO_A_CONTRATADA invalido",IF(AND(C287&lt;&gt;"C0",IFERROR(INDEX(parametros!$A$2:$A$6,MATCH(C287,parametros!$B$2:$B$6,0)),"")="Sim",IFERROR(INDEX(parametros!$H$2:$H$6,MATCH(C287,parametros!$B$2:$B$6,0)),"")=""),"INICIO_EFEITO ausente: PC "&amp;A287&amp;" - "&amp;C287,IF(L287="","EFEITO_PC nao calculado: PC "&amp;A287&amp;" - "&amp;C287,"OK")))))))))</f>
        <v/>
      </c>
      <c r="L287" s="92" t="str">
        <f>IF(AND(A287="",B287="",D287="",G287=""),"",IF(OR(B287="",NOT(ISNUMBER(B287)),C287="",C287="Fora dos ciclos"),"",IF(C287="C0","Nao",IF(IFERROR(INDEX(parametros!$A$2:$A$6,MATCH(C287,parametros!$B$2:$B$6,0)),"")&lt;&gt;"Sim","Nao",IF(IFERROR(INDEX(parametros!$H$2:$H$6,MATCH(C287,parametros!$B$2:$B$6,0)),"")="","",IF(B287&gt;=IFERROR(INDEX(parametros!$H$2:$H$6,MATCH(C287,parametros!$B$2:$B$6,0)),""),"Sim","Nao"))))))</f>
        <v/>
      </c>
      <c r="T287" s="156"/>
      <c r="U287" s="214" t="str">
        <f t="shared" si="26"/>
        <v/>
      </c>
      <c r="V287" s="212" t="s">
        <v>50</v>
      </c>
      <c r="W287" s="100" t="s">
        <v>168</v>
      </c>
      <c r="X287" s="100" t="s">
        <v>169</v>
      </c>
      <c r="Y287" s="101" t="s">
        <v>170</v>
      </c>
      <c r="Z287" s="101" t="s">
        <v>171</v>
      </c>
      <c r="AA287" s="101" t="s">
        <v>50</v>
      </c>
      <c r="AB287" s="101" t="s">
        <v>172</v>
      </c>
      <c r="AC287" s="102" t="s">
        <v>173</v>
      </c>
    </row>
    <row r="288" spans="1:29" ht="25.5" customHeight="1" x14ac:dyDescent="0.35">
      <c r="A288" s="392"/>
      <c r="B288" s="393"/>
      <c r="C288" s="99" t="str">
        <f>IF(B288="","",IF(NOT(ISNUMBER(B288)),"DATA_PC invalida",IF(NOT(ISNUMBER(parametros!$C$2)),"Fora dos ciclos",IF(OR(B288&lt;parametros!$C$2,(YEAR(B288)-YEAR(parametros!$C$2))*12+MONTH(B288)-MONTH(parametros!$C$2)&gt;59),"Fora dos ciclos","C"&amp;INT(((YEAR(B288)-YEAR(parametros!$C$2))*12+MONTH(B288)-MONTH(parametros!$C$2))/12)))))</f>
        <v/>
      </c>
      <c r="D288" s="394"/>
      <c r="E288" s="78" t="str">
        <f>IF(C288="","",IFERROR(VLOOKUP(C288,parametros!$A$11:$E$15,5,0),""))</f>
        <v/>
      </c>
      <c r="F288" s="79" t="str">
        <f t="shared" si="22"/>
        <v/>
      </c>
      <c r="G288" s="395"/>
      <c r="H288" s="91">
        <f t="shared" si="23"/>
        <v>0</v>
      </c>
      <c r="I288" s="91" t="str">
        <f t="shared" si="24"/>
        <v/>
      </c>
      <c r="J288" s="91" t="str">
        <f t="shared" si="25"/>
        <v/>
      </c>
      <c r="K288" s="92" t="str">
        <f>IF(AND(A288="",B288="",D288="",G288=""),"",IF(AND(A288&lt;&gt;"",COUNTIF($A$2:$A$5001,A288)&gt;1),"NUMERO_PC duplicado",IF(B288="","DATA_PC vazia",IF(NOT(ISNUMBER(B288)),"DATA_PC invalida",IF(OR(C288="",C288="Fora dos ciclos"),"CICLO_PC nao identificado",IF(OR(D288="",D288=0),"VALOR_PC vazio ou zero",IF(AND(G288&lt;&gt;"Sim",G288&lt;&gt;"Nao",G288&lt;&gt;""),"PC_PAGO_A_CONTRATADA invalido",IF(AND(C288&lt;&gt;"C0",IFERROR(INDEX(parametros!$A$2:$A$6,MATCH(C288,parametros!$B$2:$B$6,0)),"")="Sim",IFERROR(INDEX(parametros!$H$2:$H$6,MATCH(C288,parametros!$B$2:$B$6,0)),"")=""),"INICIO_EFEITO ausente: PC "&amp;A288&amp;" - "&amp;C288,IF(L288="","EFEITO_PC nao calculado: PC "&amp;A288&amp;" - "&amp;C288,"OK")))))))))</f>
        <v/>
      </c>
      <c r="L288" s="92" t="str">
        <f>IF(AND(A288="",B288="",D288="",G288=""),"",IF(OR(B288="",NOT(ISNUMBER(B288)),C288="",C288="Fora dos ciclos"),"",IF(C288="C0","Nao",IF(IFERROR(INDEX(parametros!$A$2:$A$6,MATCH(C288,parametros!$B$2:$B$6,0)),"")&lt;&gt;"Sim","Nao",IF(IFERROR(INDEX(parametros!$H$2:$H$6,MATCH(C288,parametros!$B$2:$B$6,0)),"")="","",IF(B288&gt;=IFERROR(INDEX(parametros!$H$2:$H$6,MATCH(C288,parametros!$B$2:$B$6,0)),""),"Sim","Nao"))))))</f>
        <v/>
      </c>
      <c r="T288" s="156"/>
      <c r="U288" s="214" t="str">
        <f t="shared" si="26"/>
        <v/>
      </c>
      <c r="V288" s="212" t="s">
        <v>50</v>
      </c>
      <c r="W288" s="100" t="s">
        <v>168</v>
      </c>
      <c r="X288" s="100" t="s">
        <v>169</v>
      </c>
      <c r="Y288" s="101" t="s">
        <v>170</v>
      </c>
      <c r="Z288" s="101" t="s">
        <v>171</v>
      </c>
      <c r="AA288" s="101" t="s">
        <v>50</v>
      </c>
      <c r="AB288" s="101" t="s">
        <v>172</v>
      </c>
      <c r="AC288" s="102" t="s">
        <v>173</v>
      </c>
    </row>
    <row r="289" spans="1:29" ht="25.5" customHeight="1" x14ac:dyDescent="0.35">
      <c r="A289" s="392"/>
      <c r="B289" s="393"/>
      <c r="C289" s="99" t="str">
        <f>IF(B289="","",IF(NOT(ISNUMBER(B289)),"DATA_PC invalida",IF(NOT(ISNUMBER(parametros!$C$2)),"Fora dos ciclos",IF(OR(B289&lt;parametros!$C$2,(YEAR(B289)-YEAR(parametros!$C$2))*12+MONTH(B289)-MONTH(parametros!$C$2)&gt;59),"Fora dos ciclos","C"&amp;INT(((YEAR(B289)-YEAR(parametros!$C$2))*12+MONTH(B289)-MONTH(parametros!$C$2))/12)))))</f>
        <v/>
      </c>
      <c r="D289" s="394"/>
      <c r="E289" s="78" t="str">
        <f>IF(C289="","",IFERROR(VLOOKUP(C289,parametros!$A$11:$E$15,5,0),""))</f>
        <v/>
      </c>
      <c r="F289" s="79" t="str">
        <f t="shared" si="22"/>
        <v/>
      </c>
      <c r="G289" s="395"/>
      <c r="H289" s="91">
        <f t="shared" si="23"/>
        <v>0</v>
      </c>
      <c r="I289" s="91" t="str">
        <f t="shared" si="24"/>
        <v/>
      </c>
      <c r="J289" s="91" t="str">
        <f t="shared" si="25"/>
        <v/>
      </c>
      <c r="K289" s="92" t="str">
        <f>IF(AND(A289="",B289="",D289="",G289=""),"",IF(AND(A289&lt;&gt;"",COUNTIF($A$2:$A$5001,A289)&gt;1),"NUMERO_PC duplicado",IF(B289="","DATA_PC vazia",IF(NOT(ISNUMBER(B289)),"DATA_PC invalida",IF(OR(C289="",C289="Fora dos ciclos"),"CICLO_PC nao identificado",IF(OR(D289="",D289=0),"VALOR_PC vazio ou zero",IF(AND(G289&lt;&gt;"Sim",G289&lt;&gt;"Nao",G289&lt;&gt;""),"PC_PAGO_A_CONTRATADA invalido",IF(AND(C289&lt;&gt;"C0",IFERROR(INDEX(parametros!$A$2:$A$6,MATCH(C289,parametros!$B$2:$B$6,0)),"")="Sim",IFERROR(INDEX(parametros!$H$2:$H$6,MATCH(C289,parametros!$B$2:$B$6,0)),"")=""),"INICIO_EFEITO ausente: PC "&amp;A289&amp;" - "&amp;C289,IF(L289="","EFEITO_PC nao calculado: PC "&amp;A289&amp;" - "&amp;C289,"OK")))))))))</f>
        <v/>
      </c>
      <c r="L289" s="92" t="str">
        <f>IF(AND(A289="",B289="",D289="",G289=""),"",IF(OR(B289="",NOT(ISNUMBER(B289)),C289="",C289="Fora dos ciclos"),"",IF(C289="C0","Nao",IF(IFERROR(INDEX(parametros!$A$2:$A$6,MATCH(C289,parametros!$B$2:$B$6,0)),"")&lt;&gt;"Sim","Nao",IF(IFERROR(INDEX(parametros!$H$2:$H$6,MATCH(C289,parametros!$B$2:$B$6,0)),"")="","",IF(B289&gt;=IFERROR(INDEX(parametros!$H$2:$H$6,MATCH(C289,parametros!$B$2:$B$6,0)),""),"Sim","Nao"))))))</f>
        <v/>
      </c>
      <c r="T289" s="156"/>
      <c r="U289" s="214" t="str">
        <f t="shared" si="26"/>
        <v/>
      </c>
      <c r="V289" s="212" t="s">
        <v>50</v>
      </c>
      <c r="W289" s="100" t="s">
        <v>168</v>
      </c>
      <c r="X289" s="100" t="s">
        <v>169</v>
      </c>
      <c r="Y289" s="101" t="s">
        <v>170</v>
      </c>
      <c r="Z289" s="101" t="s">
        <v>171</v>
      </c>
      <c r="AA289" s="101" t="s">
        <v>50</v>
      </c>
      <c r="AB289" s="101" t="s">
        <v>172</v>
      </c>
      <c r="AC289" s="102" t="s">
        <v>173</v>
      </c>
    </row>
    <row r="290" spans="1:29" ht="25.5" customHeight="1" x14ac:dyDescent="0.35">
      <c r="A290" s="392"/>
      <c r="B290" s="393"/>
      <c r="C290" s="99" t="str">
        <f>IF(B290="","",IF(NOT(ISNUMBER(B290)),"DATA_PC invalida",IF(NOT(ISNUMBER(parametros!$C$2)),"Fora dos ciclos",IF(OR(B290&lt;parametros!$C$2,(YEAR(B290)-YEAR(parametros!$C$2))*12+MONTH(B290)-MONTH(parametros!$C$2)&gt;59),"Fora dos ciclos","C"&amp;INT(((YEAR(B290)-YEAR(parametros!$C$2))*12+MONTH(B290)-MONTH(parametros!$C$2))/12)))))</f>
        <v/>
      </c>
      <c r="D290" s="394"/>
      <c r="E290" s="78" t="str">
        <f>IF(C290="","",IFERROR(VLOOKUP(C290,parametros!$A$11:$E$15,5,0),""))</f>
        <v/>
      </c>
      <c r="F290" s="79" t="str">
        <f t="shared" si="22"/>
        <v/>
      </c>
      <c r="G290" s="395"/>
      <c r="H290" s="91">
        <f t="shared" si="23"/>
        <v>0</v>
      </c>
      <c r="I290" s="91" t="str">
        <f t="shared" si="24"/>
        <v/>
      </c>
      <c r="J290" s="91" t="str">
        <f t="shared" si="25"/>
        <v/>
      </c>
      <c r="K290" s="92" t="str">
        <f>IF(AND(A290="",B290="",D290="",G290=""),"",IF(AND(A290&lt;&gt;"",COUNTIF($A$2:$A$5001,A290)&gt;1),"NUMERO_PC duplicado",IF(B290="","DATA_PC vazia",IF(NOT(ISNUMBER(B290)),"DATA_PC invalida",IF(OR(C290="",C290="Fora dos ciclos"),"CICLO_PC nao identificado",IF(OR(D290="",D290=0),"VALOR_PC vazio ou zero",IF(AND(G290&lt;&gt;"Sim",G290&lt;&gt;"Nao",G290&lt;&gt;""),"PC_PAGO_A_CONTRATADA invalido",IF(AND(C290&lt;&gt;"C0",IFERROR(INDEX(parametros!$A$2:$A$6,MATCH(C290,parametros!$B$2:$B$6,0)),"")="Sim",IFERROR(INDEX(parametros!$H$2:$H$6,MATCH(C290,parametros!$B$2:$B$6,0)),"")=""),"INICIO_EFEITO ausente: PC "&amp;A290&amp;" - "&amp;C290,IF(L290="","EFEITO_PC nao calculado: PC "&amp;A290&amp;" - "&amp;C290,"OK")))))))))</f>
        <v/>
      </c>
      <c r="L290" s="92" t="str">
        <f>IF(AND(A290="",B290="",D290="",G290=""),"",IF(OR(B290="",NOT(ISNUMBER(B290)),C290="",C290="Fora dos ciclos"),"",IF(C290="C0","Nao",IF(IFERROR(INDEX(parametros!$A$2:$A$6,MATCH(C290,parametros!$B$2:$B$6,0)),"")&lt;&gt;"Sim","Nao",IF(IFERROR(INDEX(parametros!$H$2:$H$6,MATCH(C290,parametros!$B$2:$B$6,0)),"")="","",IF(B290&gt;=IFERROR(INDEX(parametros!$H$2:$H$6,MATCH(C290,parametros!$B$2:$B$6,0)),""),"Sim","Nao"))))))</f>
        <v/>
      </c>
      <c r="T290" s="156"/>
      <c r="U290" s="214" t="str">
        <f t="shared" si="26"/>
        <v/>
      </c>
      <c r="V290" s="212" t="s">
        <v>50</v>
      </c>
      <c r="W290" s="100" t="s">
        <v>168</v>
      </c>
      <c r="X290" s="100" t="s">
        <v>169</v>
      </c>
      <c r="Y290" s="101" t="s">
        <v>170</v>
      </c>
      <c r="Z290" s="101" t="s">
        <v>171</v>
      </c>
      <c r="AA290" s="101" t="s">
        <v>50</v>
      </c>
      <c r="AB290" s="101" t="s">
        <v>172</v>
      </c>
      <c r="AC290" s="102" t="s">
        <v>173</v>
      </c>
    </row>
    <row r="291" spans="1:29" ht="25.5" customHeight="1" x14ac:dyDescent="0.35">
      <c r="A291" s="392"/>
      <c r="B291" s="393"/>
      <c r="C291" s="99" t="str">
        <f>IF(B291="","",IF(NOT(ISNUMBER(B291)),"DATA_PC invalida",IF(NOT(ISNUMBER(parametros!$C$2)),"Fora dos ciclos",IF(OR(B291&lt;parametros!$C$2,(YEAR(B291)-YEAR(parametros!$C$2))*12+MONTH(B291)-MONTH(parametros!$C$2)&gt;59),"Fora dos ciclos","C"&amp;INT(((YEAR(B291)-YEAR(parametros!$C$2))*12+MONTH(B291)-MONTH(parametros!$C$2))/12)))))</f>
        <v/>
      </c>
      <c r="D291" s="394"/>
      <c r="E291" s="78" t="str">
        <f>IF(C291="","",IFERROR(VLOOKUP(C291,parametros!$A$11:$E$15,5,0),""))</f>
        <v/>
      </c>
      <c r="F291" s="79" t="str">
        <f t="shared" si="22"/>
        <v/>
      </c>
      <c r="G291" s="395"/>
      <c r="H291" s="91">
        <f t="shared" si="23"/>
        <v>0</v>
      </c>
      <c r="I291" s="91" t="str">
        <f t="shared" si="24"/>
        <v/>
      </c>
      <c r="J291" s="91" t="str">
        <f t="shared" si="25"/>
        <v/>
      </c>
      <c r="K291" s="92" t="str">
        <f>IF(AND(A291="",B291="",D291="",G291=""),"",IF(AND(A291&lt;&gt;"",COUNTIF($A$2:$A$5001,A291)&gt;1),"NUMERO_PC duplicado",IF(B291="","DATA_PC vazia",IF(NOT(ISNUMBER(B291)),"DATA_PC invalida",IF(OR(C291="",C291="Fora dos ciclos"),"CICLO_PC nao identificado",IF(OR(D291="",D291=0),"VALOR_PC vazio ou zero",IF(AND(G291&lt;&gt;"Sim",G291&lt;&gt;"Nao",G291&lt;&gt;""),"PC_PAGO_A_CONTRATADA invalido",IF(AND(C291&lt;&gt;"C0",IFERROR(INDEX(parametros!$A$2:$A$6,MATCH(C291,parametros!$B$2:$B$6,0)),"")="Sim",IFERROR(INDEX(parametros!$H$2:$H$6,MATCH(C291,parametros!$B$2:$B$6,0)),"")=""),"INICIO_EFEITO ausente: PC "&amp;A291&amp;" - "&amp;C291,IF(L291="","EFEITO_PC nao calculado: PC "&amp;A291&amp;" - "&amp;C291,"OK")))))))))</f>
        <v/>
      </c>
      <c r="L291" s="92" t="str">
        <f>IF(AND(A291="",B291="",D291="",G291=""),"",IF(OR(B291="",NOT(ISNUMBER(B291)),C291="",C291="Fora dos ciclos"),"",IF(C291="C0","Nao",IF(IFERROR(INDEX(parametros!$A$2:$A$6,MATCH(C291,parametros!$B$2:$B$6,0)),"")&lt;&gt;"Sim","Nao",IF(IFERROR(INDEX(parametros!$H$2:$H$6,MATCH(C291,parametros!$B$2:$B$6,0)),"")="","",IF(B291&gt;=IFERROR(INDEX(parametros!$H$2:$H$6,MATCH(C291,parametros!$B$2:$B$6,0)),""),"Sim","Nao"))))))</f>
        <v/>
      </c>
      <c r="T291" s="156"/>
      <c r="U291" s="214" t="str">
        <f t="shared" si="26"/>
        <v/>
      </c>
      <c r="V291" s="212" t="s">
        <v>50</v>
      </c>
      <c r="W291" s="100" t="s">
        <v>168</v>
      </c>
      <c r="X291" s="100" t="s">
        <v>169</v>
      </c>
      <c r="Y291" s="101" t="s">
        <v>170</v>
      </c>
      <c r="Z291" s="101" t="s">
        <v>171</v>
      </c>
      <c r="AA291" s="101" t="s">
        <v>50</v>
      </c>
      <c r="AB291" s="101" t="s">
        <v>172</v>
      </c>
      <c r="AC291" s="102" t="s">
        <v>173</v>
      </c>
    </row>
    <row r="292" spans="1:29" ht="25.5" customHeight="1" x14ac:dyDescent="0.35">
      <c r="A292" s="392"/>
      <c r="B292" s="393"/>
      <c r="C292" s="99" t="str">
        <f>IF(B292="","",IF(NOT(ISNUMBER(B292)),"DATA_PC invalida",IF(NOT(ISNUMBER(parametros!$C$2)),"Fora dos ciclos",IF(OR(B292&lt;parametros!$C$2,(YEAR(B292)-YEAR(parametros!$C$2))*12+MONTH(B292)-MONTH(parametros!$C$2)&gt;59),"Fora dos ciclos","C"&amp;INT(((YEAR(B292)-YEAR(parametros!$C$2))*12+MONTH(B292)-MONTH(parametros!$C$2))/12)))))</f>
        <v/>
      </c>
      <c r="D292" s="394"/>
      <c r="E292" s="78" t="str">
        <f>IF(C292="","",IFERROR(VLOOKUP(C292,parametros!$A$11:$E$15,5,0),""))</f>
        <v/>
      </c>
      <c r="F292" s="79" t="str">
        <f t="shared" si="22"/>
        <v/>
      </c>
      <c r="G292" s="395"/>
      <c r="H292" s="91">
        <f t="shared" si="23"/>
        <v>0</v>
      </c>
      <c r="I292" s="91" t="str">
        <f t="shared" si="24"/>
        <v/>
      </c>
      <c r="J292" s="91" t="str">
        <f t="shared" si="25"/>
        <v/>
      </c>
      <c r="K292" s="92" t="str">
        <f>IF(AND(A292="",B292="",D292="",G292=""),"",IF(AND(A292&lt;&gt;"",COUNTIF($A$2:$A$5001,A292)&gt;1),"NUMERO_PC duplicado",IF(B292="","DATA_PC vazia",IF(NOT(ISNUMBER(B292)),"DATA_PC invalida",IF(OR(C292="",C292="Fora dos ciclos"),"CICLO_PC nao identificado",IF(OR(D292="",D292=0),"VALOR_PC vazio ou zero",IF(AND(G292&lt;&gt;"Sim",G292&lt;&gt;"Nao",G292&lt;&gt;""),"PC_PAGO_A_CONTRATADA invalido",IF(AND(C292&lt;&gt;"C0",IFERROR(INDEX(parametros!$A$2:$A$6,MATCH(C292,parametros!$B$2:$B$6,0)),"")="Sim",IFERROR(INDEX(parametros!$H$2:$H$6,MATCH(C292,parametros!$B$2:$B$6,0)),"")=""),"INICIO_EFEITO ausente: PC "&amp;A292&amp;" - "&amp;C292,IF(L292="","EFEITO_PC nao calculado: PC "&amp;A292&amp;" - "&amp;C292,"OK")))))))))</f>
        <v/>
      </c>
      <c r="L292" s="92" t="str">
        <f>IF(AND(A292="",B292="",D292="",G292=""),"",IF(OR(B292="",NOT(ISNUMBER(B292)),C292="",C292="Fora dos ciclos"),"",IF(C292="C0","Nao",IF(IFERROR(INDEX(parametros!$A$2:$A$6,MATCH(C292,parametros!$B$2:$B$6,0)),"")&lt;&gt;"Sim","Nao",IF(IFERROR(INDEX(parametros!$H$2:$H$6,MATCH(C292,parametros!$B$2:$B$6,0)),"")="","",IF(B292&gt;=IFERROR(INDEX(parametros!$H$2:$H$6,MATCH(C292,parametros!$B$2:$B$6,0)),""),"Sim","Nao"))))))</f>
        <v/>
      </c>
      <c r="T292" s="156"/>
      <c r="U292" s="214" t="str">
        <f t="shared" si="26"/>
        <v/>
      </c>
      <c r="V292" s="212" t="s">
        <v>50</v>
      </c>
      <c r="W292" s="100" t="s">
        <v>168</v>
      </c>
      <c r="X292" s="100" t="s">
        <v>169</v>
      </c>
      <c r="Y292" s="101" t="s">
        <v>170</v>
      </c>
      <c r="Z292" s="101" t="s">
        <v>171</v>
      </c>
      <c r="AA292" s="101" t="s">
        <v>50</v>
      </c>
      <c r="AB292" s="101" t="s">
        <v>172</v>
      </c>
      <c r="AC292" s="102" t="s">
        <v>173</v>
      </c>
    </row>
    <row r="293" spans="1:29" ht="25.5" customHeight="1" x14ac:dyDescent="0.35">
      <c r="A293" s="392"/>
      <c r="B293" s="393"/>
      <c r="C293" s="99" t="str">
        <f>IF(B293="","",IF(NOT(ISNUMBER(B293)),"DATA_PC invalida",IF(NOT(ISNUMBER(parametros!$C$2)),"Fora dos ciclos",IF(OR(B293&lt;parametros!$C$2,(YEAR(B293)-YEAR(parametros!$C$2))*12+MONTH(B293)-MONTH(parametros!$C$2)&gt;59),"Fora dos ciclos","C"&amp;INT(((YEAR(B293)-YEAR(parametros!$C$2))*12+MONTH(B293)-MONTH(parametros!$C$2))/12)))))</f>
        <v/>
      </c>
      <c r="D293" s="394"/>
      <c r="E293" s="78" t="str">
        <f>IF(C293="","",IFERROR(VLOOKUP(C293,parametros!$A$11:$E$15,5,0),""))</f>
        <v/>
      </c>
      <c r="F293" s="79" t="str">
        <f t="shared" si="22"/>
        <v/>
      </c>
      <c r="G293" s="395"/>
      <c r="H293" s="91">
        <f t="shared" si="23"/>
        <v>0</v>
      </c>
      <c r="I293" s="91" t="str">
        <f t="shared" si="24"/>
        <v/>
      </c>
      <c r="J293" s="91" t="str">
        <f t="shared" si="25"/>
        <v/>
      </c>
      <c r="K293" s="92" t="str">
        <f>IF(AND(A293="",B293="",D293="",G293=""),"",IF(AND(A293&lt;&gt;"",COUNTIF($A$2:$A$5001,A293)&gt;1),"NUMERO_PC duplicado",IF(B293="","DATA_PC vazia",IF(NOT(ISNUMBER(B293)),"DATA_PC invalida",IF(OR(C293="",C293="Fora dos ciclos"),"CICLO_PC nao identificado",IF(OR(D293="",D293=0),"VALOR_PC vazio ou zero",IF(AND(G293&lt;&gt;"Sim",G293&lt;&gt;"Nao",G293&lt;&gt;""),"PC_PAGO_A_CONTRATADA invalido",IF(AND(C293&lt;&gt;"C0",IFERROR(INDEX(parametros!$A$2:$A$6,MATCH(C293,parametros!$B$2:$B$6,0)),"")="Sim",IFERROR(INDEX(parametros!$H$2:$H$6,MATCH(C293,parametros!$B$2:$B$6,0)),"")=""),"INICIO_EFEITO ausente: PC "&amp;A293&amp;" - "&amp;C293,IF(L293="","EFEITO_PC nao calculado: PC "&amp;A293&amp;" - "&amp;C293,"OK")))))))))</f>
        <v/>
      </c>
      <c r="L293" s="92" t="str">
        <f>IF(AND(A293="",B293="",D293="",G293=""),"",IF(OR(B293="",NOT(ISNUMBER(B293)),C293="",C293="Fora dos ciclos"),"",IF(C293="C0","Nao",IF(IFERROR(INDEX(parametros!$A$2:$A$6,MATCH(C293,parametros!$B$2:$B$6,0)),"")&lt;&gt;"Sim","Nao",IF(IFERROR(INDEX(parametros!$H$2:$H$6,MATCH(C293,parametros!$B$2:$B$6,0)),"")="","",IF(B293&gt;=IFERROR(INDEX(parametros!$H$2:$H$6,MATCH(C293,parametros!$B$2:$B$6,0)),""),"Sim","Nao"))))))</f>
        <v/>
      </c>
      <c r="T293" s="156"/>
      <c r="U293" s="214" t="str">
        <f t="shared" si="26"/>
        <v/>
      </c>
      <c r="V293" s="212" t="s">
        <v>50</v>
      </c>
      <c r="W293" s="100" t="s">
        <v>168</v>
      </c>
      <c r="X293" s="100" t="s">
        <v>169</v>
      </c>
      <c r="Y293" s="101" t="s">
        <v>170</v>
      </c>
      <c r="Z293" s="101" t="s">
        <v>171</v>
      </c>
      <c r="AA293" s="101" t="s">
        <v>50</v>
      </c>
      <c r="AB293" s="101" t="s">
        <v>172</v>
      </c>
      <c r="AC293" s="102" t="s">
        <v>173</v>
      </c>
    </row>
    <row r="294" spans="1:29" ht="25.5" customHeight="1" x14ac:dyDescent="0.35">
      <c r="A294" s="392"/>
      <c r="B294" s="393"/>
      <c r="C294" s="99" t="str">
        <f>IF(B294="","",IF(NOT(ISNUMBER(B294)),"DATA_PC invalida",IF(NOT(ISNUMBER(parametros!$C$2)),"Fora dos ciclos",IF(OR(B294&lt;parametros!$C$2,(YEAR(B294)-YEAR(parametros!$C$2))*12+MONTH(B294)-MONTH(parametros!$C$2)&gt;59),"Fora dos ciclos","C"&amp;INT(((YEAR(B294)-YEAR(parametros!$C$2))*12+MONTH(B294)-MONTH(parametros!$C$2))/12)))))</f>
        <v/>
      </c>
      <c r="D294" s="394"/>
      <c r="E294" s="78" t="str">
        <f>IF(C294="","",IFERROR(VLOOKUP(C294,parametros!$A$11:$E$15,5,0),""))</f>
        <v/>
      </c>
      <c r="F294" s="79" t="str">
        <f t="shared" si="22"/>
        <v/>
      </c>
      <c r="G294" s="395"/>
      <c r="H294" s="91">
        <f t="shared" si="23"/>
        <v>0</v>
      </c>
      <c r="I294" s="91" t="str">
        <f t="shared" si="24"/>
        <v/>
      </c>
      <c r="J294" s="91" t="str">
        <f t="shared" si="25"/>
        <v/>
      </c>
      <c r="K294" s="92" t="str">
        <f>IF(AND(A294="",B294="",D294="",G294=""),"",IF(AND(A294&lt;&gt;"",COUNTIF($A$2:$A$5001,A294)&gt;1),"NUMERO_PC duplicado",IF(B294="","DATA_PC vazia",IF(NOT(ISNUMBER(B294)),"DATA_PC invalida",IF(OR(C294="",C294="Fora dos ciclos"),"CICLO_PC nao identificado",IF(OR(D294="",D294=0),"VALOR_PC vazio ou zero",IF(AND(G294&lt;&gt;"Sim",G294&lt;&gt;"Nao",G294&lt;&gt;""),"PC_PAGO_A_CONTRATADA invalido",IF(AND(C294&lt;&gt;"C0",IFERROR(INDEX(parametros!$A$2:$A$6,MATCH(C294,parametros!$B$2:$B$6,0)),"")="Sim",IFERROR(INDEX(parametros!$H$2:$H$6,MATCH(C294,parametros!$B$2:$B$6,0)),"")=""),"INICIO_EFEITO ausente: PC "&amp;A294&amp;" - "&amp;C294,IF(L294="","EFEITO_PC nao calculado: PC "&amp;A294&amp;" - "&amp;C294,"OK")))))))))</f>
        <v/>
      </c>
      <c r="L294" s="92" t="str">
        <f>IF(AND(A294="",B294="",D294="",G294=""),"",IF(OR(B294="",NOT(ISNUMBER(B294)),C294="",C294="Fora dos ciclos"),"",IF(C294="C0","Nao",IF(IFERROR(INDEX(parametros!$A$2:$A$6,MATCH(C294,parametros!$B$2:$B$6,0)),"")&lt;&gt;"Sim","Nao",IF(IFERROR(INDEX(parametros!$H$2:$H$6,MATCH(C294,parametros!$B$2:$B$6,0)),"")="","",IF(B294&gt;=IFERROR(INDEX(parametros!$H$2:$H$6,MATCH(C294,parametros!$B$2:$B$6,0)),""),"Sim","Nao"))))))</f>
        <v/>
      </c>
      <c r="T294" s="156"/>
      <c r="U294" s="214" t="str">
        <f t="shared" si="26"/>
        <v/>
      </c>
      <c r="V294" s="212" t="s">
        <v>50</v>
      </c>
      <c r="W294" s="100" t="s">
        <v>168</v>
      </c>
      <c r="X294" s="100" t="s">
        <v>169</v>
      </c>
      <c r="Y294" s="101" t="s">
        <v>170</v>
      </c>
      <c r="Z294" s="101" t="s">
        <v>171</v>
      </c>
      <c r="AA294" s="101" t="s">
        <v>50</v>
      </c>
      <c r="AB294" s="101" t="s">
        <v>172</v>
      </c>
      <c r="AC294" s="102" t="s">
        <v>173</v>
      </c>
    </row>
    <row r="295" spans="1:29" ht="25.5" customHeight="1" x14ac:dyDescent="0.35">
      <c r="A295" s="392"/>
      <c r="B295" s="393"/>
      <c r="C295" s="99" t="str">
        <f>IF(B295="","",IF(NOT(ISNUMBER(B295)),"DATA_PC invalida",IF(NOT(ISNUMBER(parametros!$C$2)),"Fora dos ciclos",IF(OR(B295&lt;parametros!$C$2,(YEAR(B295)-YEAR(parametros!$C$2))*12+MONTH(B295)-MONTH(parametros!$C$2)&gt;59),"Fora dos ciclos","C"&amp;INT(((YEAR(B295)-YEAR(parametros!$C$2))*12+MONTH(B295)-MONTH(parametros!$C$2))/12)))))</f>
        <v/>
      </c>
      <c r="D295" s="394"/>
      <c r="E295" s="78" t="str">
        <f>IF(C295="","",IFERROR(VLOOKUP(C295,parametros!$A$11:$E$15,5,0),""))</f>
        <v/>
      </c>
      <c r="F295" s="79" t="str">
        <f t="shared" si="22"/>
        <v/>
      </c>
      <c r="G295" s="395"/>
      <c r="H295" s="91">
        <f t="shared" si="23"/>
        <v>0</v>
      </c>
      <c r="I295" s="91" t="str">
        <f t="shared" si="24"/>
        <v/>
      </c>
      <c r="J295" s="91" t="str">
        <f t="shared" si="25"/>
        <v/>
      </c>
      <c r="K295" s="92" t="str">
        <f>IF(AND(A295="",B295="",D295="",G295=""),"",IF(AND(A295&lt;&gt;"",COUNTIF($A$2:$A$5001,A295)&gt;1),"NUMERO_PC duplicado",IF(B295="","DATA_PC vazia",IF(NOT(ISNUMBER(B295)),"DATA_PC invalida",IF(OR(C295="",C295="Fora dos ciclos"),"CICLO_PC nao identificado",IF(OR(D295="",D295=0),"VALOR_PC vazio ou zero",IF(AND(G295&lt;&gt;"Sim",G295&lt;&gt;"Nao",G295&lt;&gt;""),"PC_PAGO_A_CONTRATADA invalido",IF(AND(C295&lt;&gt;"C0",IFERROR(INDEX(parametros!$A$2:$A$6,MATCH(C295,parametros!$B$2:$B$6,0)),"")="Sim",IFERROR(INDEX(parametros!$H$2:$H$6,MATCH(C295,parametros!$B$2:$B$6,0)),"")=""),"INICIO_EFEITO ausente: PC "&amp;A295&amp;" - "&amp;C295,IF(L295="","EFEITO_PC nao calculado: PC "&amp;A295&amp;" - "&amp;C295,"OK")))))))))</f>
        <v/>
      </c>
      <c r="L295" s="92" t="str">
        <f>IF(AND(A295="",B295="",D295="",G295=""),"",IF(OR(B295="",NOT(ISNUMBER(B295)),C295="",C295="Fora dos ciclos"),"",IF(C295="C0","Nao",IF(IFERROR(INDEX(parametros!$A$2:$A$6,MATCH(C295,parametros!$B$2:$B$6,0)),"")&lt;&gt;"Sim","Nao",IF(IFERROR(INDEX(parametros!$H$2:$H$6,MATCH(C295,parametros!$B$2:$B$6,0)),"")="","",IF(B295&gt;=IFERROR(INDEX(parametros!$H$2:$H$6,MATCH(C295,parametros!$B$2:$B$6,0)),""),"Sim","Nao"))))))</f>
        <v/>
      </c>
      <c r="T295" s="156"/>
      <c r="U295" s="214" t="str">
        <f t="shared" si="26"/>
        <v/>
      </c>
      <c r="V295" s="212" t="s">
        <v>50</v>
      </c>
      <c r="W295" s="100" t="s">
        <v>168</v>
      </c>
      <c r="X295" s="100" t="s">
        <v>169</v>
      </c>
      <c r="Y295" s="101" t="s">
        <v>170</v>
      </c>
      <c r="Z295" s="101" t="s">
        <v>171</v>
      </c>
      <c r="AA295" s="101" t="s">
        <v>50</v>
      </c>
      <c r="AB295" s="101" t="s">
        <v>172</v>
      </c>
      <c r="AC295" s="102" t="s">
        <v>173</v>
      </c>
    </row>
    <row r="296" spans="1:29" ht="25.5" customHeight="1" x14ac:dyDescent="0.35">
      <c r="A296" s="392"/>
      <c r="B296" s="393"/>
      <c r="C296" s="99" t="str">
        <f>IF(B296="","",IF(NOT(ISNUMBER(B296)),"DATA_PC invalida",IF(NOT(ISNUMBER(parametros!$C$2)),"Fora dos ciclos",IF(OR(B296&lt;parametros!$C$2,(YEAR(B296)-YEAR(parametros!$C$2))*12+MONTH(B296)-MONTH(parametros!$C$2)&gt;59),"Fora dos ciclos","C"&amp;INT(((YEAR(B296)-YEAR(parametros!$C$2))*12+MONTH(B296)-MONTH(parametros!$C$2))/12)))))</f>
        <v/>
      </c>
      <c r="D296" s="394"/>
      <c r="E296" s="78" t="str">
        <f>IF(C296="","",IFERROR(VLOOKUP(C296,parametros!$A$11:$E$15,5,0),""))</f>
        <v/>
      </c>
      <c r="F296" s="79" t="str">
        <f t="shared" si="22"/>
        <v/>
      </c>
      <c r="G296" s="395"/>
      <c r="H296" s="91">
        <f t="shared" si="23"/>
        <v>0</v>
      </c>
      <c r="I296" s="91" t="str">
        <f t="shared" si="24"/>
        <v/>
      </c>
      <c r="J296" s="91" t="str">
        <f t="shared" si="25"/>
        <v/>
      </c>
      <c r="K296" s="92" t="str">
        <f>IF(AND(A296="",B296="",D296="",G296=""),"",IF(AND(A296&lt;&gt;"",COUNTIF($A$2:$A$5001,A296)&gt;1),"NUMERO_PC duplicado",IF(B296="","DATA_PC vazia",IF(NOT(ISNUMBER(B296)),"DATA_PC invalida",IF(OR(C296="",C296="Fora dos ciclos"),"CICLO_PC nao identificado",IF(OR(D296="",D296=0),"VALOR_PC vazio ou zero",IF(AND(G296&lt;&gt;"Sim",G296&lt;&gt;"Nao",G296&lt;&gt;""),"PC_PAGO_A_CONTRATADA invalido",IF(AND(C296&lt;&gt;"C0",IFERROR(INDEX(parametros!$A$2:$A$6,MATCH(C296,parametros!$B$2:$B$6,0)),"")="Sim",IFERROR(INDEX(parametros!$H$2:$H$6,MATCH(C296,parametros!$B$2:$B$6,0)),"")=""),"INICIO_EFEITO ausente: PC "&amp;A296&amp;" - "&amp;C296,IF(L296="","EFEITO_PC nao calculado: PC "&amp;A296&amp;" - "&amp;C296,"OK")))))))))</f>
        <v/>
      </c>
      <c r="L296" s="92" t="str">
        <f>IF(AND(A296="",B296="",D296="",G296=""),"",IF(OR(B296="",NOT(ISNUMBER(B296)),C296="",C296="Fora dos ciclos"),"",IF(C296="C0","Nao",IF(IFERROR(INDEX(parametros!$A$2:$A$6,MATCH(C296,parametros!$B$2:$B$6,0)),"")&lt;&gt;"Sim","Nao",IF(IFERROR(INDEX(parametros!$H$2:$H$6,MATCH(C296,parametros!$B$2:$B$6,0)),"")="","",IF(B296&gt;=IFERROR(INDEX(parametros!$H$2:$H$6,MATCH(C296,parametros!$B$2:$B$6,0)),""),"Sim","Nao"))))))</f>
        <v/>
      </c>
      <c r="T296" s="156"/>
      <c r="U296" s="214" t="str">
        <f t="shared" si="26"/>
        <v/>
      </c>
      <c r="V296" s="212" t="s">
        <v>50</v>
      </c>
      <c r="W296" s="100" t="s">
        <v>168</v>
      </c>
      <c r="X296" s="100" t="s">
        <v>169</v>
      </c>
      <c r="Y296" s="101" t="s">
        <v>170</v>
      </c>
      <c r="Z296" s="101" t="s">
        <v>171</v>
      </c>
      <c r="AA296" s="101" t="s">
        <v>50</v>
      </c>
      <c r="AB296" s="101" t="s">
        <v>172</v>
      </c>
      <c r="AC296" s="102" t="s">
        <v>173</v>
      </c>
    </row>
    <row r="297" spans="1:29" ht="25.5" customHeight="1" x14ac:dyDescent="0.35">
      <c r="A297" s="392"/>
      <c r="B297" s="393"/>
      <c r="C297" s="99" t="str">
        <f>IF(B297="","",IF(NOT(ISNUMBER(B297)),"DATA_PC invalida",IF(NOT(ISNUMBER(parametros!$C$2)),"Fora dos ciclos",IF(OR(B297&lt;parametros!$C$2,(YEAR(B297)-YEAR(parametros!$C$2))*12+MONTH(B297)-MONTH(parametros!$C$2)&gt;59),"Fora dos ciclos","C"&amp;INT(((YEAR(B297)-YEAR(parametros!$C$2))*12+MONTH(B297)-MONTH(parametros!$C$2))/12)))))</f>
        <v/>
      </c>
      <c r="D297" s="394"/>
      <c r="E297" s="78" t="str">
        <f>IF(C297="","",IFERROR(VLOOKUP(C297,parametros!$A$11:$E$15,5,0),""))</f>
        <v/>
      </c>
      <c r="F297" s="79" t="str">
        <f t="shared" si="22"/>
        <v/>
      </c>
      <c r="G297" s="395"/>
      <c r="H297" s="91">
        <f t="shared" si="23"/>
        <v>0</v>
      </c>
      <c r="I297" s="91" t="str">
        <f t="shared" si="24"/>
        <v/>
      </c>
      <c r="J297" s="91" t="str">
        <f t="shared" si="25"/>
        <v/>
      </c>
      <c r="K297" s="92" t="str">
        <f>IF(AND(A297="",B297="",D297="",G297=""),"",IF(AND(A297&lt;&gt;"",COUNTIF($A$2:$A$5001,A297)&gt;1),"NUMERO_PC duplicado",IF(B297="","DATA_PC vazia",IF(NOT(ISNUMBER(B297)),"DATA_PC invalida",IF(OR(C297="",C297="Fora dos ciclos"),"CICLO_PC nao identificado",IF(OR(D297="",D297=0),"VALOR_PC vazio ou zero",IF(AND(G297&lt;&gt;"Sim",G297&lt;&gt;"Nao",G297&lt;&gt;""),"PC_PAGO_A_CONTRATADA invalido",IF(AND(C297&lt;&gt;"C0",IFERROR(INDEX(parametros!$A$2:$A$6,MATCH(C297,parametros!$B$2:$B$6,0)),"")="Sim",IFERROR(INDEX(parametros!$H$2:$H$6,MATCH(C297,parametros!$B$2:$B$6,0)),"")=""),"INICIO_EFEITO ausente: PC "&amp;A297&amp;" - "&amp;C297,IF(L297="","EFEITO_PC nao calculado: PC "&amp;A297&amp;" - "&amp;C297,"OK")))))))))</f>
        <v/>
      </c>
      <c r="L297" s="92" t="str">
        <f>IF(AND(A297="",B297="",D297="",G297=""),"",IF(OR(B297="",NOT(ISNUMBER(B297)),C297="",C297="Fora dos ciclos"),"",IF(C297="C0","Nao",IF(IFERROR(INDEX(parametros!$A$2:$A$6,MATCH(C297,parametros!$B$2:$B$6,0)),"")&lt;&gt;"Sim","Nao",IF(IFERROR(INDEX(parametros!$H$2:$H$6,MATCH(C297,parametros!$B$2:$B$6,0)),"")="","",IF(B297&gt;=IFERROR(INDEX(parametros!$H$2:$H$6,MATCH(C297,parametros!$B$2:$B$6,0)),""),"Sim","Nao"))))))</f>
        <v/>
      </c>
      <c r="T297" s="156"/>
      <c r="U297" s="214" t="str">
        <f t="shared" si="26"/>
        <v/>
      </c>
      <c r="V297" s="212" t="s">
        <v>50</v>
      </c>
      <c r="W297" s="100" t="s">
        <v>168</v>
      </c>
      <c r="X297" s="100" t="s">
        <v>169</v>
      </c>
      <c r="Y297" s="101" t="s">
        <v>170</v>
      </c>
      <c r="Z297" s="101" t="s">
        <v>171</v>
      </c>
      <c r="AA297" s="101" t="s">
        <v>50</v>
      </c>
      <c r="AB297" s="101" t="s">
        <v>172</v>
      </c>
      <c r="AC297" s="102" t="s">
        <v>173</v>
      </c>
    </row>
    <row r="298" spans="1:29" ht="25.5" customHeight="1" x14ac:dyDescent="0.35">
      <c r="A298" s="392"/>
      <c r="B298" s="393"/>
      <c r="C298" s="99" t="str">
        <f>IF(B298="","",IF(NOT(ISNUMBER(B298)),"DATA_PC invalida",IF(NOT(ISNUMBER(parametros!$C$2)),"Fora dos ciclos",IF(OR(B298&lt;parametros!$C$2,(YEAR(B298)-YEAR(parametros!$C$2))*12+MONTH(B298)-MONTH(parametros!$C$2)&gt;59),"Fora dos ciclos","C"&amp;INT(((YEAR(B298)-YEAR(parametros!$C$2))*12+MONTH(B298)-MONTH(parametros!$C$2))/12)))))</f>
        <v/>
      </c>
      <c r="D298" s="394"/>
      <c r="E298" s="78" t="str">
        <f>IF(C298="","",IFERROR(VLOOKUP(C298,parametros!$A$11:$E$15,5,0),""))</f>
        <v/>
      </c>
      <c r="F298" s="79" t="str">
        <f t="shared" si="22"/>
        <v/>
      </c>
      <c r="G298" s="395"/>
      <c r="H298" s="91">
        <f t="shared" si="23"/>
        <v>0</v>
      </c>
      <c r="I298" s="91" t="str">
        <f t="shared" si="24"/>
        <v/>
      </c>
      <c r="J298" s="91" t="str">
        <f t="shared" si="25"/>
        <v/>
      </c>
      <c r="K298" s="92" t="str">
        <f>IF(AND(A298="",B298="",D298="",G298=""),"",IF(AND(A298&lt;&gt;"",COUNTIF($A$2:$A$5001,A298)&gt;1),"NUMERO_PC duplicado",IF(B298="","DATA_PC vazia",IF(NOT(ISNUMBER(B298)),"DATA_PC invalida",IF(OR(C298="",C298="Fora dos ciclos"),"CICLO_PC nao identificado",IF(OR(D298="",D298=0),"VALOR_PC vazio ou zero",IF(AND(G298&lt;&gt;"Sim",G298&lt;&gt;"Nao",G298&lt;&gt;""),"PC_PAGO_A_CONTRATADA invalido",IF(AND(C298&lt;&gt;"C0",IFERROR(INDEX(parametros!$A$2:$A$6,MATCH(C298,parametros!$B$2:$B$6,0)),"")="Sim",IFERROR(INDEX(parametros!$H$2:$H$6,MATCH(C298,parametros!$B$2:$B$6,0)),"")=""),"INICIO_EFEITO ausente: PC "&amp;A298&amp;" - "&amp;C298,IF(L298="","EFEITO_PC nao calculado: PC "&amp;A298&amp;" - "&amp;C298,"OK")))))))))</f>
        <v/>
      </c>
      <c r="L298" s="92" t="str">
        <f>IF(AND(A298="",B298="",D298="",G298=""),"",IF(OR(B298="",NOT(ISNUMBER(B298)),C298="",C298="Fora dos ciclos"),"",IF(C298="C0","Nao",IF(IFERROR(INDEX(parametros!$A$2:$A$6,MATCH(C298,parametros!$B$2:$B$6,0)),"")&lt;&gt;"Sim","Nao",IF(IFERROR(INDEX(parametros!$H$2:$H$6,MATCH(C298,parametros!$B$2:$B$6,0)),"")="","",IF(B298&gt;=IFERROR(INDEX(parametros!$H$2:$H$6,MATCH(C298,parametros!$B$2:$B$6,0)),""),"Sim","Nao"))))))</f>
        <v/>
      </c>
      <c r="T298" s="156"/>
      <c r="U298" s="214" t="str">
        <f t="shared" si="26"/>
        <v/>
      </c>
      <c r="V298" s="212" t="s">
        <v>50</v>
      </c>
      <c r="W298" s="100" t="s">
        <v>168</v>
      </c>
      <c r="X298" s="100" t="s">
        <v>169</v>
      </c>
      <c r="Y298" s="101" t="s">
        <v>170</v>
      </c>
      <c r="Z298" s="101" t="s">
        <v>171</v>
      </c>
      <c r="AA298" s="101" t="s">
        <v>50</v>
      </c>
      <c r="AB298" s="101" t="s">
        <v>172</v>
      </c>
      <c r="AC298" s="102" t="s">
        <v>173</v>
      </c>
    </row>
    <row r="299" spans="1:29" ht="25.5" customHeight="1" x14ac:dyDescent="0.35">
      <c r="A299" s="392"/>
      <c r="B299" s="393"/>
      <c r="C299" s="99" t="str">
        <f>IF(B299="","",IF(NOT(ISNUMBER(B299)),"DATA_PC invalida",IF(NOT(ISNUMBER(parametros!$C$2)),"Fora dos ciclos",IF(OR(B299&lt;parametros!$C$2,(YEAR(B299)-YEAR(parametros!$C$2))*12+MONTH(B299)-MONTH(parametros!$C$2)&gt;59),"Fora dos ciclos","C"&amp;INT(((YEAR(B299)-YEAR(parametros!$C$2))*12+MONTH(B299)-MONTH(parametros!$C$2))/12)))))</f>
        <v/>
      </c>
      <c r="D299" s="394"/>
      <c r="E299" s="78" t="str">
        <f>IF(C299="","",IFERROR(VLOOKUP(C299,parametros!$A$11:$E$15,5,0),""))</f>
        <v/>
      </c>
      <c r="F299" s="79" t="str">
        <f t="shared" si="22"/>
        <v/>
      </c>
      <c r="G299" s="395"/>
      <c r="H299" s="91">
        <f t="shared" si="23"/>
        <v>0</v>
      </c>
      <c r="I299" s="91" t="str">
        <f t="shared" si="24"/>
        <v/>
      </c>
      <c r="J299" s="91" t="str">
        <f t="shared" si="25"/>
        <v/>
      </c>
      <c r="K299" s="92" t="str">
        <f>IF(AND(A299="",B299="",D299="",G299=""),"",IF(AND(A299&lt;&gt;"",COUNTIF($A$2:$A$5001,A299)&gt;1),"NUMERO_PC duplicado",IF(B299="","DATA_PC vazia",IF(NOT(ISNUMBER(B299)),"DATA_PC invalida",IF(OR(C299="",C299="Fora dos ciclos"),"CICLO_PC nao identificado",IF(OR(D299="",D299=0),"VALOR_PC vazio ou zero",IF(AND(G299&lt;&gt;"Sim",G299&lt;&gt;"Nao",G299&lt;&gt;""),"PC_PAGO_A_CONTRATADA invalido",IF(AND(C299&lt;&gt;"C0",IFERROR(INDEX(parametros!$A$2:$A$6,MATCH(C299,parametros!$B$2:$B$6,0)),"")="Sim",IFERROR(INDEX(parametros!$H$2:$H$6,MATCH(C299,parametros!$B$2:$B$6,0)),"")=""),"INICIO_EFEITO ausente: PC "&amp;A299&amp;" - "&amp;C299,IF(L299="","EFEITO_PC nao calculado: PC "&amp;A299&amp;" - "&amp;C299,"OK")))))))))</f>
        <v/>
      </c>
      <c r="L299" s="92" t="str">
        <f>IF(AND(A299="",B299="",D299="",G299=""),"",IF(OR(B299="",NOT(ISNUMBER(B299)),C299="",C299="Fora dos ciclos"),"",IF(C299="C0","Nao",IF(IFERROR(INDEX(parametros!$A$2:$A$6,MATCH(C299,parametros!$B$2:$B$6,0)),"")&lt;&gt;"Sim","Nao",IF(IFERROR(INDEX(parametros!$H$2:$H$6,MATCH(C299,parametros!$B$2:$B$6,0)),"")="","",IF(B299&gt;=IFERROR(INDEX(parametros!$H$2:$H$6,MATCH(C299,parametros!$B$2:$B$6,0)),""),"Sim","Nao"))))))</f>
        <v/>
      </c>
      <c r="T299" s="156"/>
      <c r="U299" s="214" t="str">
        <f t="shared" si="26"/>
        <v/>
      </c>
      <c r="V299" s="212" t="s">
        <v>50</v>
      </c>
      <c r="W299" s="100" t="s">
        <v>168</v>
      </c>
      <c r="X299" s="100" t="s">
        <v>169</v>
      </c>
      <c r="Y299" s="101" t="s">
        <v>170</v>
      </c>
      <c r="Z299" s="101" t="s">
        <v>171</v>
      </c>
      <c r="AA299" s="101" t="s">
        <v>50</v>
      </c>
      <c r="AB299" s="101" t="s">
        <v>172</v>
      </c>
      <c r="AC299" s="102" t="s">
        <v>173</v>
      </c>
    </row>
    <row r="300" spans="1:29" ht="25.5" customHeight="1" x14ac:dyDescent="0.35">
      <c r="A300" s="392"/>
      <c r="B300" s="393"/>
      <c r="C300" s="99" t="str">
        <f>IF(B300="","",IF(NOT(ISNUMBER(B300)),"DATA_PC invalida",IF(NOT(ISNUMBER(parametros!$C$2)),"Fora dos ciclos",IF(OR(B300&lt;parametros!$C$2,(YEAR(B300)-YEAR(parametros!$C$2))*12+MONTH(B300)-MONTH(parametros!$C$2)&gt;59),"Fora dos ciclos","C"&amp;INT(((YEAR(B300)-YEAR(parametros!$C$2))*12+MONTH(B300)-MONTH(parametros!$C$2))/12)))))</f>
        <v/>
      </c>
      <c r="D300" s="394"/>
      <c r="E300" s="78" t="str">
        <f>IF(C300="","",IFERROR(VLOOKUP(C300,parametros!$A$11:$E$15,5,0),""))</f>
        <v/>
      </c>
      <c r="F300" s="79" t="str">
        <f t="shared" si="22"/>
        <v/>
      </c>
      <c r="G300" s="395"/>
      <c r="H300" s="91">
        <f t="shared" si="23"/>
        <v>0</v>
      </c>
      <c r="I300" s="91" t="str">
        <f t="shared" si="24"/>
        <v/>
      </c>
      <c r="J300" s="91" t="str">
        <f t="shared" si="25"/>
        <v/>
      </c>
      <c r="K300" s="92" t="str">
        <f>IF(AND(A300="",B300="",D300="",G300=""),"",IF(AND(A300&lt;&gt;"",COUNTIF($A$2:$A$5001,A300)&gt;1),"NUMERO_PC duplicado",IF(B300="","DATA_PC vazia",IF(NOT(ISNUMBER(B300)),"DATA_PC invalida",IF(OR(C300="",C300="Fora dos ciclos"),"CICLO_PC nao identificado",IF(OR(D300="",D300=0),"VALOR_PC vazio ou zero",IF(AND(G300&lt;&gt;"Sim",G300&lt;&gt;"Nao",G300&lt;&gt;""),"PC_PAGO_A_CONTRATADA invalido",IF(AND(C300&lt;&gt;"C0",IFERROR(INDEX(parametros!$A$2:$A$6,MATCH(C300,parametros!$B$2:$B$6,0)),"")="Sim",IFERROR(INDEX(parametros!$H$2:$H$6,MATCH(C300,parametros!$B$2:$B$6,0)),"")=""),"INICIO_EFEITO ausente: PC "&amp;A300&amp;" - "&amp;C300,IF(L300="","EFEITO_PC nao calculado: PC "&amp;A300&amp;" - "&amp;C300,"OK")))))))))</f>
        <v/>
      </c>
      <c r="L300" s="92" t="str">
        <f>IF(AND(A300="",B300="",D300="",G300=""),"",IF(OR(B300="",NOT(ISNUMBER(B300)),C300="",C300="Fora dos ciclos"),"",IF(C300="C0","Nao",IF(IFERROR(INDEX(parametros!$A$2:$A$6,MATCH(C300,parametros!$B$2:$B$6,0)),"")&lt;&gt;"Sim","Nao",IF(IFERROR(INDEX(parametros!$H$2:$H$6,MATCH(C300,parametros!$B$2:$B$6,0)),"")="","",IF(B300&gt;=IFERROR(INDEX(parametros!$H$2:$H$6,MATCH(C300,parametros!$B$2:$B$6,0)),""),"Sim","Nao"))))))</f>
        <v/>
      </c>
      <c r="T300" s="156"/>
      <c r="U300" s="214" t="str">
        <f t="shared" si="26"/>
        <v/>
      </c>
      <c r="V300" s="212" t="s">
        <v>50</v>
      </c>
      <c r="W300" s="100" t="s">
        <v>168</v>
      </c>
      <c r="X300" s="100" t="s">
        <v>169</v>
      </c>
      <c r="Y300" s="101" t="s">
        <v>170</v>
      </c>
      <c r="Z300" s="101" t="s">
        <v>171</v>
      </c>
      <c r="AA300" s="101" t="s">
        <v>50</v>
      </c>
      <c r="AB300" s="101" t="s">
        <v>172</v>
      </c>
      <c r="AC300" s="102" t="s">
        <v>173</v>
      </c>
    </row>
    <row r="301" spans="1:29" ht="25.5" customHeight="1" x14ac:dyDescent="0.35">
      <c r="A301" s="392"/>
      <c r="B301" s="393"/>
      <c r="C301" s="99" t="str">
        <f>IF(B301="","",IF(NOT(ISNUMBER(B301)),"DATA_PC invalida",IF(NOT(ISNUMBER(parametros!$C$2)),"Fora dos ciclos",IF(OR(B301&lt;parametros!$C$2,(YEAR(B301)-YEAR(parametros!$C$2))*12+MONTH(B301)-MONTH(parametros!$C$2)&gt;59),"Fora dos ciclos","C"&amp;INT(((YEAR(B301)-YEAR(parametros!$C$2))*12+MONTH(B301)-MONTH(parametros!$C$2))/12)))))</f>
        <v/>
      </c>
      <c r="D301" s="394"/>
      <c r="E301" s="78" t="str">
        <f>IF(C301="","",IFERROR(VLOOKUP(C301,parametros!$A$11:$E$15,5,0),""))</f>
        <v/>
      </c>
      <c r="F301" s="79" t="str">
        <f t="shared" si="22"/>
        <v/>
      </c>
      <c r="G301" s="395"/>
      <c r="H301" s="91">
        <f t="shared" si="23"/>
        <v>0</v>
      </c>
      <c r="I301" s="91" t="str">
        <f t="shared" si="24"/>
        <v/>
      </c>
      <c r="J301" s="91" t="str">
        <f t="shared" si="25"/>
        <v/>
      </c>
      <c r="K301" s="92" t="str">
        <f>IF(AND(A301="",B301="",D301="",G301=""),"",IF(AND(A301&lt;&gt;"",COUNTIF($A$2:$A$5001,A301)&gt;1),"NUMERO_PC duplicado",IF(B301="","DATA_PC vazia",IF(NOT(ISNUMBER(B301)),"DATA_PC invalida",IF(OR(C301="",C301="Fora dos ciclos"),"CICLO_PC nao identificado",IF(OR(D301="",D301=0),"VALOR_PC vazio ou zero",IF(AND(G301&lt;&gt;"Sim",G301&lt;&gt;"Nao",G301&lt;&gt;""),"PC_PAGO_A_CONTRATADA invalido",IF(AND(C301&lt;&gt;"C0",IFERROR(INDEX(parametros!$A$2:$A$6,MATCH(C301,parametros!$B$2:$B$6,0)),"")="Sim",IFERROR(INDEX(parametros!$H$2:$H$6,MATCH(C301,parametros!$B$2:$B$6,0)),"")=""),"INICIO_EFEITO ausente: PC "&amp;A301&amp;" - "&amp;C301,IF(L301="","EFEITO_PC nao calculado: PC "&amp;A301&amp;" - "&amp;C301,"OK")))))))))</f>
        <v/>
      </c>
      <c r="L301" s="92" t="str">
        <f>IF(AND(A301="",B301="",D301="",G301=""),"",IF(OR(B301="",NOT(ISNUMBER(B301)),C301="",C301="Fora dos ciclos"),"",IF(C301="C0","Nao",IF(IFERROR(INDEX(parametros!$A$2:$A$6,MATCH(C301,parametros!$B$2:$B$6,0)),"")&lt;&gt;"Sim","Nao",IF(IFERROR(INDEX(parametros!$H$2:$H$6,MATCH(C301,parametros!$B$2:$B$6,0)),"")="","",IF(B301&gt;=IFERROR(INDEX(parametros!$H$2:$H$6,MATCH(C301,parametros!$B$2:$B$6,0)),""),"Sim","Nao"))))))</f>
        <v/>
      </c>
      <c r="T301" s="156"/>
      <c r="U301" s="214" t="str">
        <f t="shared" si="26"/>
        <v/>
      </c>
      <c r="V301" s="212" t="s">
        <v>50</v>
      </c>
      <c r="W301" s="100" t="s">
        <v>168</v>
      </c>
      <c r="X301" s="100" t="s">
        <v>169</v>
      </c>
      <c r="Y301" s="101" t="s">
        <v>170</v>
      </c>
      <c r="Z301" s="101" t="s">
        <v>171</v>
      </c>
      <c r="AA301" s="101" t="s">
        <v>50</v>
      </c>
      <c r="AB301" s="101" t="s">
        <v>172</v>
      </c>
      <c r="AC301" s="102" t="s">
        <v>173</v>
      </c>
    </row>
    <row r="302" spans="1:29" ht="25.5" customHeight="1" x14ac:dyDescent="0.35">
      <c r="A302" s="392"/>
      <c r="B302" s="393"/>
      <c r="C302" s="99" t="str">
        <f>IF(B302="","",IF(NOT(ISNUMBER(B302)),"DATA_PC invalida",IF(NOT(ISNUMBER(parametros!$C$2)),"Fora dos ciclos",IF(OR(B302&lt;parametros!$C$2,(YEAR(B302)-YEAR(parametros!$C$2))*12+MONTH(B302)-MONTH(parametros!$C$2)&gt;59),"Fora dos ciclos","C"&amp;INT(((YEAR(B302)-YEAR(parametros!$C$2))*12+MONTH(B302)-MONTH(parametros!$C$2))/12)))))</f>
        <v/>
      </c>
      <c r="D302" s="394"/>
      <c r="E302" s="78" t="str">
        <f>IF(C302="","",IFERROR(VLOOKUP(C302,parametros!$A$11:$E$15,5,0),""))</f>
        <v/>
      </c>
      <c r="F302" s="79" t="str">
        <f t="shared" si="22"/>
        <v/>
      </c>
      <c r="G302" s="395"/>
      <c r="H302" s="91">
        <f t="shared" si="23"/>
        <v>0</v>
      </c>
      <c r="I302" s="91" t="str">
        <f t="shared" si="24"/>
        <v/>
      </c>
      <c r="J302" s="91" t="str">
        <f t="shared" si="25"/>
        <v/>
      </c>
      <c r="K302" s="92" t="str">
        <f>IF(AND(A302="",B302="",D302="",G302=""),"",IF(AND(A302&lt;&gt;"",COUNTIF($A$2:$A$5001,A302)&gt;1),"NUMERO_PC duplicado",IF(B302="","DATA_PC vazia",IF(NOT(ISNUMBER(B302)),"DATA_PC invalida",IF(OR(C302="",C302="Fora dos ciclos"),"CICLO_PC nao identificado",IF(OR(D302="",D302=0),"VALOR_PC vazio ou zero",IF(AND(G302&lt;&gt;"Sim",G302&lt;&gt;"Nao",G302&lt;&gt;""),"PC_PAGO_A_CONTRATADA invalido",IF(AND(C302&lt;&gt;"C0",IFERROR(INDEX(parametros!$A$2:$A$6,MATCH(C302,parametros!$B$2:$B$6,0)),"")="Sim",IFERROR(INDEX(parametros!$H$2:$H$6,MATCH(C302,parametros!$B$2:$B$6,0)),"")=""),"INICIO_EFEITO ausente: PC "&amp;A302&amp;" - "&amp;C302,IF(L302="","EFEITO_PC nao calculado: PC "&amp;A302&amp;" - "&amp;C302,"OK")))))))))</f>
        <v/>
      </c>
      <c r="L302" s="92" t="str">
        <f>IF(AND(A302="",B302="",D302="",G302=""),"",IF(OR(B302="",NOT(ISNUMBER(B302)),C302="",C302="Fora dos ciclos"),"",IF(C302="C0","Nao",IF(IFERROR(INDEX(parametros!$A$2:$A$6,MATCH(C302,parametros!$B$2:$B$6,0)),"")&lt;&gt;"Sim","Nao",IF(IFERROR(INDEX(parametros!$H$2:$H$6,MATCH(C302,parametros!$B$2:$B$6,0)),"")="","",IF(B302&gt;=IFERROR(INDEX(parametros!$H$2:$H$6,MATCH(C302,parametros!$B$2:$B$6,0)),""),"Sim","Nao"))))))</f>
        <v/>
      </c>
      <c r="T302" s="156"/>
      <c r="U302" s="214" t="str">
        <f t="shared" si="26"/>
        <v/>
      </c>
      <c r="V302" s="212" t="s">
        <v>50</v>
      </c>
      <c r="W302" s="100" t="s">
        <v>168</v>
      </c>
      <c r="X302" s="100" t="s">
        <v>169</v>
      </c>
      <c r="Y302" s="101" t="s">
        <v>170</v>
      </c>
      <c r="Z302" s="101" t="s">
        <v>171</v>
      </c>
      <c r="AA302" s="101" t="s">
        <v>50</v>
      </c>
      <c r="AB302" s="101" t="s">
        <v>172</v>
      </c>
      <c r="AC302" s="102" t="s">
        <v>173</v>
      </c>
    </row>
    <row r="303" spans="1:29" ht="25.5" customHeight="1" x14ac:dyDescent="0.35">
      <c r="A303" s="392"/>
      <c r="B303" s="393"/>
      <c r="C303" s="99" t="str">
        <f>IF(B303="","",IF(NOT(ISNUMBER(B303)),"DATA_PC invalida",IF(NOT(ISNUMBER(parametros!$C$2)),"Fora dos ciclos",IF(OR(B303&lt;parametros!$C$2,(YEAR(B303)-YEAR(parametros!$C$2))*12+MONTH(B303)-MONTH(parametros!$C$2)&gt;59),"Fora dos ciclos","C"&amp;INT(((YEAR(B303)-YEAR(parametros!$C$2))*12+MONTH(B303)-MONTH(parametros!$C$2))/12)))))</f>
        <v/>
      </c>
      <c r="D303" s="394"/>
      <c r="E303" s="78" t="str">
        <f>IF(C303="","",IFERROR(VLOOKUP(C303,parametros!$A$11:$E$15,5,0),""))</f>
        <v/>
      </c>
      <c r="F303" s="79" t="str">
        <f t="shared" si="22"/>
        <v/>
      </c>
      <c r="G303" s="395"/>
      <c r="H303" s="91">
        <f t="shared" si="23"/>
        <v>0</v>
      </c>
      <c r="I303" s="91" t="str">
        <f t="shared" si="24"/>
        <v/>
      </c>
      <c r="J303" s="91" t="str">
        <f t="shared" si="25"/>
        <v/>
      </c>
      <c r="K303" s="92" t="str">
        <f>IF(AND(A303="",B303="",D303="",G303=""),"",IF(AND(A303&lt;&gt;"",COUNTIF($A$2:$A$5001,A303)&gt;1),"NUMERO_PC duplicado",IF(B303="","DATA_PC vazia",IF(NOT(ISNUMBER(B303)),"DATA_PC invalida",IF(OR(C303="",C303="Fora dos ciclos"),"CICLO_PC nao identificado",IF(OR(D303="",D303=0),"VALOR_PC vazio ou zero",IF(AND(G303&lt;&gt;"Sim",G303&lt;&gt;"Nao",G303&lt;&gt;""),"PC_PAGO_A_CONTRATADA invalido",IF(AND(C303&lt;&gt;"C0",IFERROR(INDEX(parametros!$A$2:$A$6,MATCH(C303,parametros!$B$2:$B$6,0)),"")="Sim",IFERROR(INDEX(parametros!$H$2:$H$6,MATCH(C303,parametros!$B$2:$B$6,0)),"")=""),"INICIO_EFEITO ausente: PC "&amp;A303&amp;" - "&amp;C303,IF(L303="","EFEITO_PC nao calculado: PC "&amp;A303&amp;" - "&amp;C303,"OK")))))))))</f>
        <v/>
      </c>
      <c r="L303" s="92" t="str">
        <f>IF(AND(A303="",B303="",D303="",G303=""),"",IF(OR(B303="",NOT(ISNUMBER(B303)),C303="",C303="Fora dos ciclos"),"",IF(C303="C0","Nao",IF(IFERROR(INDEX(parametros!$A$2:$A$6,MATCH(C303,parametros!$B$2:$B$6,0)),"")&lt;&gt;"Sim","Nao",IF(IFERROR(INDEX(parametros!$H$2:$H$6,MATCH(C303,parametros!$B$2:$B$6,0)),"")="","",IF(B303&gt;=IFERROR(INDEX(parametros!$H$2:$H$6,MATCH(C303,parametros!$B$2:$B$6,0)),""),"Sim","Nao"))))))</f>
        <v/>
      </c>
      <c r="T303" s="156"/>
      <c r="U303" s="214" t="str">
        <f t="shared" si="26"/>
        <v/>
      </c>
      <c r="V303" s="212" t="s">
        <v>50</v>
      </c>
      <c r="W303" s="100" t="s">
        <v>168</v>
      </c>
      <c r="X303" s="100" t="s">
        <v>169</v>
      </c>
      <c r="Y303" s="101" t="s">
        <v>170</v>
      </c>
      <c r="Z303" s="101" t="s">
        <v>171</v>
      </c>
      <c r="AA303" s="101" t="s">
        <v>50</v>
      </c>
      <c r="AB303" s="101" t="s">
        <v>172</v>
      </c>
      <c r="AC303" s="102" t="s">
        <v>173</v>
      </c>
    </row>
    <row r="304" spans="1:29" ht="25.5" customHeight="1" x14ac:dyDescent="0.35">
      <c r="A304" s="392"/>
      <c r="B304" s="393"/>
      <c r="C304" s="99" t="str">
        <f>IF(B304="","",IF(NOT(ISNUMBER(B304)),"DATA_PC invalida",IF(NOT(ISNUMBER(parametros!$C$2)),"Fora dos ciclos",IF(OR(B304&lt;parametros!$C$2,(YEAR(B304)-YEAR(parametros!$C$2))*12+MONTH(B304)-MONTH(parametros!$C$2)&gt;59),"Fora dos ciclos","C"&amp;INT(((YEAR(B304)-YEAR(parametros!$C$2))*12+MONTH(B304)-MONTH(parametros!$C$2))/12)))))</f>
        <v/>
      </c>
      <c r="D304" s="394"/>
      <c r="E304" s="78" t="str">
        <f>IF(C304="","",IFERROR(VLOOKUP(C304,parametros!$A$11:$E$15,5,0),""))</f>
        <v/>
      </c>
      <c r="F304" s="79" t="str">
        <f t="shared" si="22"/>
        <v/>
      </c>
      <c r="G304" s="395"/>
      <c r="H304" s="91">
        <f t="shared" si="23"/>
        <v>0</v>
      </c>
      <c r="I304" s="91" t="str">
        <f t="shared" si="24"/>
        <v/>
      </c>
      <c r="J304" s="91" t="str">
        <f t="shared" si="25"/>
        <v/>
      </c>
      <c r="K304" s="92" t="str">
        <f>IF(AND(A304="",B304="",D304="",G304=""),"",IF(AND(A304&lt;&gt;"",COUNTIF($A$2:$A$5001,A304)&gt;1),"NUMERO_PC duplicado",IF(B304="","DATA_PC vazia",IF(NOT(ISNUMBER(B304)),"DATA_PC invalida",IF(OR(C304="",C304="Fora dos ciclos"),"CICLO_PC nao identificado",IF(OR(D304="",D304=0),"VALOR_PC vazio ou zero",IF(AND(G304&lt;&gt;"Sim",G304&lt;&gt;"Nao",G304&lt;&gt;""),"PC_PAGO_A_CONTRATADA invalido",IF(AND(C304&lt;&gt;"C0",IFERROR(INDEX(parametros!$A$2:$A$6,MATCH(C304,parametros!$B$2:$B$6,0)),"")="Sim",IFERROR(INDEX(parametros!$H$2:$H$6,MATCH(C304,parametros!$B$2:$B$6,0)),"")=""),"INICIO_EFEITO ausente: PC "&amp;A304&amp;" - "&amp;C304,IF(L304="","EFEITO_PC nao calculado: PC "&amp;A304&amp;" - "&amp;C304,"OK")))))))))</f>
        <v/>
      </c>
      <c r="L304" s="92" t="str">
        <f>IF(AND(A304="",B304="",D304="",G304=""),"",IF(OR(B304="",NOT(ISNUMBER(B304)),C304="",C304="Fora dos ciclos"),"",IF(C304="C0","Nao",IF(IFERROR(INDEX(parametros!$A$2:$A$6,MATCH(C304,parametros!$B$2:$B$6,0)),"")&lt;&gt;"Sim","Nao",IF(IFERROR(INDEX(parametros!$H$2:$H$6,MATCH(C304,parametros!$B$2:$B$6,0)),"")="","",IF(B304&gt;=IFERROR(INDEX(parametros!$H$2:$H$6,MATCH(C304,parametros!$B$2:$B$6,0)),""),"Sim","Nao"))))))</f>
        <v/>
      </c>
      <c r="T304" s="156"/>
      <c r="U304" s="214" t="str">
        <f t="shared" si="26"/>
        <v/>
      </c>
      <c r="V304" s="212" t="s">
        <v>50</v>
      </c>
      <c r="W304" s="100" t="s">
        <v>168</v>
      </c>
      <c r="X304" s="100" t="s">
        <v>169</v>
      </c>
      <c r="Y304" s="101" t="s">
        <v>170</v>
      </c>
      <c r="Z304" s="101" t="s">
        <v>171</v>
      </c>
      <c r="AA304" s="101" t="s">
        <v>50</v>
      </c>
      <c r="AB304" s="101" t="s">
        <v>172</v>
      </c>
      <c r="AC304" s="102" t="s">
        <v>173</v>
      </c>
    </row>
    <row r="305" spans="1:29" ht="25.5" customHeight="1" x14ac:dyDescent="0.35">
      <c r="A305" s="392"/>
      <c r="B305" s="393"/>
      <c r="C305" s="99" t="str">
        <f>IF(B305="","",IF(NOT(ISNUMBER(B305)),"DATA_PC invalida",IF(NOT(ISNUMBER(parametros!$C$2)),"Fora dos ciclos",IF(OR(B305&lt;parametros!$C$2,(YEAR(B305)-YEAR(parametros!$C$2))*12+MONTH(B305)-MONTH(parametros!$C$2)&gt;59),"Fora dos ciclos","C"&amp;INT(((YEAR(B305)-YEAR(parametros!$C$2))*12+MONTH(B305)-MONTH(parametros!$C$2))/12)))))</f>
        <v/>
      </c>
      <c r="D305" s="394"/>
      <c r="E305" s="78" t="str">
        <f>IF(C305="","",IFERROR(VLOOKUP(C305,parametros!$A$11:$E$15,5,0),""))</f>
        <v/>
      </c>
      <c r="F305" s="79" t="str">
        <f t="shared" si="22"/>
        <v/>
      </c>
      <c r="G305" s="395"/>
      <c r="H305" s="91">
        <f t="shared" si="23"/>
        <v>0</v>
      </c>
      <c r="I305" s="91" t="str">
        <f t="shared" si="24"/>
        <v/>
      </c>
      <c r="J305" s="91" t="str">
        <f t="shared" si="25"/>
        <v/>
      </c>
      <c r="K305" s="92" t="str">
        <f>IF(AND(A305="",B305="",D305="",G305=""),"",IF(AND(A305&lt;&gt;"",COUNTIF($A$2:$A$5001,A305)&gt;1),"NUMERO_PC duplicado",IF(B305="","DATA_PC vazia",IF(NOT(ISNUMBER(B305)),"DATA_PC invalida",IF(OR(C305="",C305="Fora dos ciclos"),"CICLO_PC nao identificado",IF(OR(D305="",D305=0),"VALOR_PC vazio ou zero",IF(AND(G305&lt;&gt;"Sim",G305&lt;&gt;"Nao",G305&lt;&gt;""),"PC_PAGO_A_CONTRATADA invalido",IF(AND(C305&lt;&gt;"C0",IFERROR(INDEX(parametros!$A$2:$A$6,MATCH(C305,parametros!$B$2:$B$6,0)),"")="Sim",IFERROR(INDEX(parametros!$H$2:$H$6,MATCH(C305,parametros!$B$2:$B$6,0)),"")=""),"INICIO_EFEITO ausente: PC "&amp;A305&amp;" - "&amp;C305,IF(L305="","EFEITO_PC nao calculado: PC "&amp;A305&amp;" - "&amp;C305,"OK")))))))))</f>
        <v/>
      </c>
      <c r="L305" s="92" t="str">
        <f>IF(AND(A305="",B305="",D305="",G305=""),"",IF(OR(B305="",NOT(ISNUMBER(B305)),C305="",C305="Fora dos ciclos"),"",IF(C305="C0","Nao",IF(IFERROR(INDEX(parametros!$A$2:$A$6,MATCH(C305,parametros!$B$2:$B$6,0)),"")&lt;&gt;"Sim","Nao",IF(IFERROR(INDEX(parametros!$H$2:$H$6,MATCH(C305,parametros!$B$2:$B$6,0)),"")="","",IF(B305&gt;=IFERROR(INDEX(parametros!$H$2:$H$6,MATCH(C305,parametros!$B$2:$B$6,0)),""),"Sim","Nao"))))))</f>
        <v/>
      </c>
      <c r="T305" s="156"/>
      <c r="U305" s="214" t="str">
        <f t="shared" si="26"/>
        <v/>
      </c>
      <c r="V305" s="212" t="s">
        <v>50</v>
      </c>
      <c r="W305" s="100" t="s">
        <v>168</v>
      </c>
      <c r="X305" s="100" t="s">
        <v>169</v>
      </c>
      <c r="Y305" s="101" t="s">
        <v>170</v>
      </c>
      <c r="Z305" s="101" t="s">
        <v>171</v>
      </c>
      <c r="AA305" s="101" t="s">
        <v>50</v>
      </c>
      <c r="AB305" s="101" t="s">
        <v>172</v>
      </c>
      <c r="AC305" s="102" t="s">
        <v>173</v>
      </c>
    </row>
    <row r="306" spans="1:29" ht="25.5" customHeight="1" x14ac:dyDescent="0.35">
      <c r="A306" s="392"/>
      <c r="B306" s="393"/>
      <c r="C306" s="99" t="str">
        <f>IF(B306="","",IF(NOT(ISNUMBER(B306)),"DATA_PC invalida",IF(NOT(ISNUMBER(parametros!$C$2)),"Fora dos ciclos",IF(OR(B306&lt;parametros!$C$2,(YEAR(B306)-YEAR(parametros!$C$2))*12+MONTH(B306)-MONTH(parametros!$C$2)&gt;59),"Fora dos ciclos","C"&amp;INT(((YEAR(B306)-YEAR(parametros!$C$2))*12+MONTH(B306)-MONTH(parametros!$C$2))/12)))))</f>
        <v/>
      </c>
      <c r="D306" s="394"/>
      <c r="E306" s="78" t="str">
        <f>IF(C306="","",IFERROR(VLOOKUP(C306,parametros!$A$11:$E$15,5,0),""))</f>
        <v/>
      </c>
      <c r="F306" s="79" t="str">
        <f t="shared" si="22"/>
        <v/>
      </c>
      <c r="G306" s="395"/>
      <c r="H306" s="91">
        <f t="shared" si="23"/>
        <v>0</v>
      </c>
      <c r="I306" s="91" t="str">
        <f t="shared" si="24"/>
        <v/>
      </c>
      <c r="J306" s="91" t="str">
        <f t="shared" si="25"/>
        <v/>
      </c>
      <c r="K306" s="92" t="str">
        <f>IF(AND(A306="",B306="",D306="",G306=""),"",IF(AND(A306&lt;&gt;"",COUNTIF($A$2:$A$5001,A306)&gt;1),"NUMERO_PC duplicado",IF(B306="","DATA_PC vazia",IF(NOT(ISNUMBER(B306)),"DATA_PC invalida",IF(OR(C306="",C306="Fora dos ciclos"),"CICLO_PC nao identificado",IF(OR(D306="",D306=0),"VALOR_PC vazio ou zero",IF(AND(G306&lt;&gt;"Sim",G306&lt;&gt;"Nao",G306&lt;&gt;""),"PC_PAGO_A_CONTRATADA invalido",IF(AND(C306&lt;&gt;"C0",IFERROR(INDEX(parametros!$A$2:$A$6,MATCH(C306,parametros!$B$2:$B$6,0)),"")="Sim",IFERROR(INDEX(parametros!$H$2:$H$6,MATCH(C306,parametros!$B$2:$B$6,0)),"")=""),"INICIO_EFEITO ausente: PC "&amp;A306&amp;" - "&amp;C306,IF(L306="","EFEITO_PC nao calculado: PC "&amp;A306&amp;" - "&amp;C306,"OK")))))))))</f>
        <v/>
      </c>
      <c r="L306" s="92" t="str">
        <f>IF(AND(A306="",B306="",D306="",G306=""),"",IF(OR(B306="",NOT(ISNUMBER(B306)),C306="",C306="Fora dos ciclos"),"",IF(C306="C0","Nao",IF(IFERROR(INDEX(parametros!$A$2:$A$6,MATCH(C306,parametros!$B$2:$B$6,0)),"")&lt;&gt;"Sim","Nao",IF(IFERROR(INDEX(parametros!$H$2:$H$6,MATCH(C306,parametros!$B$2:$B$6,0)),"")="","",IF(B306&gt;=IFERROR(INDEX(parametros!$H$2:$H$6,MATCH(C306,parametros!$B$2:$B$6,0)),""),"Sim","Nao"))))))</f>
        <v/>
      </c>
      <c r="T306" s="156"/>
      <c r="U306" s="214" t="str">
        <f t="shared" si="26"/>
        <v/>
      </c>
      <c r="V306" s="212" t="s">
        <v>50</v>
      </c>
      <c r="W306" s="100" t="s">
        <v>168</v>
      </c>
      <c r="X306" s="100" t="s">
        <v>169</v>
      </c>
      <c r="Y306" s="101" t="s">
        <v>170</v>
      </c>
      <c r="Z306" s="101" t="s">
        <v>171</v>
      </c>
      <c r="AA306" s="101" t="s">
        <v>50</v>
      </c>
      <c r="AB306" s="101" t="s">
        <v>172</v>
      </c>
      <c r="AC306" s="102" t="s">
        <v>173</v>
      </c>
    </row>
    <row r="307" spans="1:29" ht="25.5" customHeight="1" x14ac:dyDescent="0.35">
      <c r="A307" s="392"/>
      <c r="B307" s="393"/>
      <c r="C307" s="99" t="str">
        <f>IF(B307="","",IF(NOT(ISNUMBER(B307)),"DATA_PC invalida",IF(NOT(ISNUMBER(parametros!$C$2)),"Fora dos ciclos",IF(OR(B307&lt;parametros!$C$2,(YEAR(B307)-YEAR(parametros!$C$2))*12+MONTH(B307)-MONTH(parametros!$C$2)&gt;59),"Fora dos ciclos","C"&amp;INT(((YEAR(B307)-YEAR(parametros!$C$2))*12+MONTH(B307)-MONTH(parametros!$C$2))/12)))))</f>
        <v/>
      </c>
      <c r="D307" s="394"/>
      <c r="E307" s="78" t="str">
        <f>IF(C307="","",IFERROR(VLOOKUP(C307,parametros!$A$11:$E$15,5,0),""))</f>
        <v/>
      </c>
      <c r="F307" s="79" t="str">
        <f t="shared" si="22"/>
        <v/>
      </c>
      <c r="G307" s="395"/>
      <c r="H307" s="91">
        <f t="shared" si="23"/>
        <v>0</v>
      </c>
      <c r="I307" s="91" t="str">
        <f t="shared" si="24"/>
        <v/>
      </c>
      <c r="J307" s="91" t="str">
        <f t="shared" si="25"/>
        <v/>
      </c>
      <c r="K307" s="92" t="str">
        <f>IF(AND(A307="",B307="",D307="",G307=""),"",IF(AND(A307&lt;&gt;"",COUNTIF($A$2:$A$5001,A307)&gt;1),"NUMERO_PC duplicado",IF(B307="","DATA_PC vazia",IF(NOT(ISNUMBER(B307)),"DATA_PC invalida",IF(OR(C307="",C307="Fora dos ciclos"),"CICLO_PC nao identificado",IF(OR(D307="",D307=0),"VALOR_PC vazio ou zero",IF(AND(G307&lt;&gt;"Sim",G307&lt;&gt;"Nao",G307&lt;&gt;""),"PC_PAGO_A_CONTRATADA invalido",IF(AND(C307&lt;&gt;"C0",IFERROR(INDEX(parametros!$A$2:$A$6,MATCH(C307,parametros!$B$2:$B$6,0)),"")="Sim",IFERROR(INDEX(parametros!$H$2:$H$6,MATCH(C307,parametros!$B$2:$B$6,0)),"")=""),"INICIO_EFEITO ausente: PC "&amp;A307&amp;" - "&amp;C307,IF(L307="","EFEITO_PC nao calculado: PC "&amp;A307&amp;" - "&amp;C307,"OK")))))))))</f>
        <v/>
      </c>
      <c r="L307" s="92" t="str">
        <f>IF(AND(A307="",B307="",D307="",G307=""),"",IF(OR(B307="",NOT(ISNUMBER(B307)),C307="",C307="Fora dos ciclos"),"",IF(C307="C0","Nao",IF(IFERROR(INDEX(parametros!$A$2:$A$6,MATCH(C307,parametros!$B$2:$B$6,0)),"")&lt;&gt;"Sim","Nao",IF(IFERROR(INDEX(parametros!$H$2:$H$6,MATCH(C307,parametros!$B$2:$B$6,0)),"")="","",IF(B307&gt;=IFERROR(INDEX(parametros!$H$2:$H$6,MATCH(C307,parametros!$B$2:$B$6,0)),""),"Sim","Nao"))))))</f>
        <v/>
      </c>
      <c r="T307" s="156"/>
      <c r="U307" s="214" t="str">
        <f t="shared" si="26"/>
        <v/>
      </c>
      <c r="V307" s="212" t="s">
        <v>50</v>
      </c>
      <c r="W307" s="100" t="s">
        <v>168</v>
      </c>
      <c r="X307" s="100" t="s">
        <v>169</v>
      </c>
      <c r="Y307" s="101" t="s">
        <v>170</v>
      </c>
      <c r="Z307" s="101" t="s">
        <v>171</v>
      </c>
      <c r="AA307" s="101" t="s">
        <v>50</v>
      </c>
      <c r="AB307" s="101" t="s">
        <v>172</v>
      </c>
      <c r="AC307" s="102" t="s">
        <v>173</v>
      </c>
    </row>
    <row r="308" spans="1:29" ht="25.5" customHeight="1" x14ac:dyDescent="0.35">
      <c r="A308" s="392"/>
      <c r="B308" s="393"/>
      <c r="C308" s="99" t="str">
        <f>IF(B308="","",IF(NOT(ISNUMBER(B308)),"DATA_PC invalida",IF(NOT(ISNUMBER(parametros!$C$2)),"Fora dos ciclos",IF(OR(B308&lt;parametros!$C$2,(YEAR(B308)-YEAR(parametros!$C$2))*12+MONTH(B308)-MONTH(parametros!$C$2)&gt;59),"Fora dos ciclos","C"&amp;INT(((YEAR(B308)-YEAR(parametros!$C$2))*12+MONTH(B308)-MONTH(parametros!$C$2))/12)))))</f>
        <v/>
      </c>
      <c r="D308" s="394"/>
      <c r="E308" s="78" t="str">
        <f>IF(C308="","",IFERROR(VLOOKUP(C308,parametros!$A$11:$E$15,5,0),""))</f>
        <v/>
      </c>
      <c r="F308" s="79" t="str">
        <f t="shared" si="22"/>
        <v/>
      </c>
      <c r="G308" s="395"/>
      <c r="H308" s="91">
        <f t="shared" si="23"/>
        <v>0</v>
      </c>
      <c r="I308" s="91" t="str">
        <f t="shared" si="24"/>
        <v/>
      </c>
      <c r="J308" s="91" t="str">
        <f t="shared" si="25"/>
        <v/>
      </c>
      <c r="K308" s="92" t="str">
        <f>IF(AND(A308="",B308="",D308="",G308=""),"",IF(AND(A308&lt;&gt;"",COUNTIF($A$2:$A$5001,A308)&gt;1),"NUMERO_PC duplicado",IF(B308="","DATA_PC vazia",IF(NOT(ISNUMBER(B308)),"DATA_PC invalida",IF(OR(C308="",C308="Fora dos ciclos"),"CICLO_PC nao identificado",IF(OR(D308="",D308=0),"VALOR_PC vazio ou zero",IF(AND(G308&lt;&gt;"Sim",G308&lt;&gt;"Nao",G308&lt;&gt;""),"PC_PAGO_A_CONTRATADA invalido",IF(AND(C308&lt;&gt;"C0",IFERROR(INDEX(parametros!$A$2:$A$6,MATCH(C308,parametros!$B$2:$B$6,0)),"")="Sim",IFERROR(INDEX(parametros!$H$2:$H$6,MATCH(C308,parametros!$B$2:$B$6,0)),"")=""),"INICIO_EFEITO ausente: PC "&amp;A308&amp;" - "&amp;C308,IF(L308="","EFEITO_PC nao calculado: PC "&amp;A308&amp;" - "&amp;C308,"OK")))))))))</f>
        <v/>
      </c>
      <c r="L308" s="92" t="str">
        <f>IF(AND(A308="",B308="",D308="",G308=""),"",IF(OR(B308="",NOT(ISNUMBER(B308)),C308="",C308="Fora dos ciclos"),"",IF(C308="C0","Nao",IF(IFERROR(INDEX(parametros!$A$2:$A$6,MATCH(C308,parametros!$B$2:$B$6,0)),"")&lt;&gt;"Sim","Nao",IF(IFERROR(INDEX(parametros!$H$2:$H$6,MATCH(C308,parametros!$B$2:$B$6,0)),"")="","",IF(B308&gt;=IFERROR(INDEX(parametros!$H$2:$H$6,MATCH(C308,parametros!$B$2:$B$6,0)),""),"Sim","Nao"))))))</f>
        <v/>
      </c>
      <c r="T308" s="156"/>
      <c r="U308" s="214" t="str">
        <f t="shared" si="26"/>
        <v/>
      </c>
      <c r="V308" s="212" t="s">
        <v>50</v>
      </c>
      <c r="W308" s="100" t="s">
        <v>168</v>
      </c>
      <c r="X308" s="100" t="s">
        <v>169</v>
      </c>
      <c r="Y308" s="101" t="s">
        <v>170</v>
      </c>
      <c r="Z308" s="101" t="s">
        <v>171</v>
      </c>
      <c r="AA308" s="101" t="s">
        <v>50</v>
      </c>
      <c r="AB308" s="101" t="s">
        <v>172</v>
      </c>
      <c r="AC308" s="102" t="s">
        <v>173</v>
      </c>
    </row>
    <row r="309" spans="1:29" ht="25.5" customHeight="1" x14ac:dyDescent="0.35">
      <c r="A309" s="392"/>
      <c r="B309" s="393"/>
      <c r="C309" s="99" t="str">
        <f>IF(B309="","",IF(NOT(ISNUMBER(B309)),"DATA_PC invalida",IF(NOT(ISNUMBER(parametros!$C$2)),"Fora dos ciclos",IF(OR(B309&lt;parametros!$C$2,(YEAR(B309)-YEAR(parametros!$C$2))*12+MONTH(B309)-MONTH(parametros!$C$2)&gt;59),"Fora dos ciclos","C"&amp;INT(((YEAR(B309)-YEAR(parametros!$C$2))*12+MONTH(B309)-MONTH(parametros!$C$2))/12)))))</f>
        <v/>
      </c>
      <c r="D309" s="394"/>
      <c r="E309" s="78" t="str">
        <f>IF(C309="","",IFERROR(VLOOKUP(C309,parametros!$A$11:$E$15,5,0),""))</f>
        <v/>
      </c>
      <c r="F309" s="79" t="str">
        <f t="shared" si="22"/>
        <v/>
      </c>
      <c r="G309" s="395"/>
      <c r="H309" s="91">
        <f t="shared" si="23"/>
        <v>0</v>
      </c>
      <c r="I309" s="91" t="str">
        <f t="shared" si="24"/>
        <v/>
      </c>
      <c r="J309" s="91" t="str">
        <f t="shared" si="25"/>
        <v/>
      </c>
      <c r="K309" s="92" t="str">
        <f>IF(AND(A309="",B309="",D309="",G309=""),"",IF(AND(A309&lt;&gt;"",COUNTIF($A$2:$A$5001,A309)&gt;1),"NUMERO_PC duplicado",IF(B309="","DATA_PC vazia",IF(NOT(ISNUMBER(B309)),"DATA_PC invalida",IF(OR(C309="",C309="Fora dos ciclos"),"CICLO_PC nao identificado",IF(OR(D309="",D309=0),"VALOR_PC vazio ou zero",IF(AND(G309&lt;&gt;"Sim",G309&lt;&gt;"Nao",G309&lt;&gt;""),"PC_PAGO_A_CONTRATADA invalido",IF(AND(C309&lt;&gt;"C0",IFERROR(INDEX(parametros!$A$2:$A$6,MATCH(C309,parametros!$B$2:$B$6,0)),"")="Sim",IFERROR(INDEX(parametros!$H$2:$H$6,MATCH(C309,parametros!$B$2:$B$6,0)),"")=""),"INICIO_EFEITO ausente: PC "&amp;A309&amp;" - "&amp;C309,IF(L309="","EFEITO_PC nao calculado: PC "&amp;A309&amp;" - "&amp;C309,"OK")))))))))</f>
        <v/>
      </c>
      <c r="L309" s="92" t="str">
        <f>IF(AND(A309="",B309="",D309="",G309=""),"",IF(OR(B309="",NOT(ISNUMBER(B309)),C309="",C309="Fora dos ciclos"),"",IF(C309="C0","Nao",IF(IFERROR(INDEX(parametros!$A$2:$A$6,MATCH(C309,parametros!$B$2:$B$6,0)),"")&lt;&gt;"Sim","Nao",IF(IFERROR(INDEX(parametros!$H$2:$H$6,MATCH(C309,parametros!$B$2:$B$6,0)),"")="","",IF(B309&gt;=IFERROR(INDEX(parametros!$H$2:$H$6,MATCH(C309,parametros!$B$2:$B$6,0)),""),"Sim","Nao"))))))</f>
        <v/>
      </c>
      <c r="T309" s="156"/>
      <c r="U309" s="214" t="str">
        <f t="shared" si="26"/>
        <v/>
      </c>
      <c r="V309" s="212" t="s">
        <v>50</v>
      </c>
      <c r="W309" s="100" t="s">
        <v>168</v>
      </c>
      <c r="X309" s="100" t="s">
        <v>169</v>
      </c>
      <c r="Y309" s="101" t="s">
        <v>170</v>
      </c>
      <c r="Z309" s="101" t="s">
        <v>171</v>
      </c>
      <c r="AA309" s="101" t="s">
        <v>50</v>
      </c>
      <c r="AB309" s="101" t="s">
        <v>172</v>
      </c>
      <c r="AC309" s="102" t="s">
        <v>173</v>
      </c>
    </row>
    <row r="310" spans="1:29" ht="25.5" customHeight="1" x14ac:dyDescent="0.35">
      <c r="A310" s="392"/>
      <c r="B310" s="393"/>
      <c r="C310" s="99" t="str">
        <f>IF(B310="","",IF(NOT(ISNUMBER(B310)),"DATA_PC invalida",IF(NOT(ISNUMBER(parametros!$C$2)),"Fora dos ciclos",IF(OR(B310&lt;parametros!$C$2,(YEAR(B310)-YEAR(parametros!$C$2))*12+MONTH(B310)-MONTH(parametros!$C$2)&gt;59),"Fora dos ciclos","C"&amp;INT(((YEAR(B310)-YEAR(parametros!$C$2))*12+MONTH(B310)-MONTH(parametros!$C$2))/12)))))</f>
        <v/>
      </c>
      <c r="D310" s="394"/>
      <c r="E310" s="78" t="str">
        <f>IF(C310="","",IFERROR(VLOOKUP(C310,parametros!$A$11:$E$15,5,0),""))</f>
        <v/>
      </c>
      <c r="F310" s="79" t="str">
        <f t="shared" si="22"/>
        <v/>
      </c>
      <c r="G310" s="395"/>
      <c r="H310" s="91">
        <f t="shared" si="23"/>
        <v>0</v>
      </c>
      <c r="I310" s="91" t="str">
        <f t="shared" si="24"/>
        <v/>
      </c>
      <c r="J310" s="91" t="str">
        <f t="shared" si="25"/>
        <v/>
      </c>
      <c r="K310" s="92" t="str">
        <f>IF(AND(A310="",B310="",D310="",G310=""),"",IF(AND(A310&lt;&gt;"",COUNTIF($A$2:$A$5001,A310)&gt;1),"NUMERO_PC duplicado",IF(B310="","DATA_PC vazia",IF(NOT(ISNUMBER(B310)),"DATA_PC invalida",IF(OR(C310="",C310="Fora dos ciclos"),"CICLO_PC nao identificado",IF(OR(D310="",D310=0),"VALOR_PC vazio ou zero",IF(AND(G310&lt;&gt;"Sim",G310&lt;&gt;"Nao",G310&lt;&gt;""),"PC_PAGO_A_CONTRATADA invalido",IF(AND(C310&lt;&gt;"C0",IFERROR(INDEX(parametros!$A$2:$A$6,MATCH(C310,parametros!$B$2:$B$6,0)),"")="Sim",IFERROR(INDEX(parametros!$H$2:$H$6,MATCH(C310,parametros!$B$2:$B$6,0)),"")=""),"INICIO_EFEITO ausente: PC "&amp;A310&amp;" - "&amp;C310,IF(L310="","EFEITO_PC nao calculado: PC "&amp;A310&amp;" - "&amp;C310,"OK")))))))))</f>
        <v/>
      </c>
      <c r="L310" s="92" t="str">
        <f>IF(AND(A310="",B310="",D310="",G310=""),"",IF(OR(B310="",NOT(ISNUMBER(B310)),C310="",C310="Fora dos ciclos"),"",IF(C310="C0","Nao",IF(IFERROR(INDEX(parametros!$A$2:$A$6,MATCH(C310,parametros!$B$2:$B$6,0)),"")&lt;&gt;"Sim","Nao",IF(IFERROR(INDEX(parametros!$H$2:$H$6,MATCH(C310,parametros!$B$2:$B$6,0)),"")="","",IF(B310&gt;=IFERROR(INDEX(parametros!$H$2:$H$6,MATCH(C310,parametros!$B$2:$B$6,0)),""),"Sim","Nao"))))))</f>
        <v/>
      </c>
      <c r="T310" s="156"/>
      <c r="U310" s="214" t="str">
        <f t="shared" si="26"/>
        <v/>
      </c>
      <c r="V310" s="212" t="s">
        <v>50</v>
      </c>
      <c r="W310" s="100" t="s">
        <v>168</v>
      </c>
      <c r="X310" s="100" t="s">
        <v>169</v>
      </c>
      <c r="Y310" s="101" t="s">
        <v>170</v>
      </c>
      <c r="Z310" s="101" t="s">
        <v>171</v>
      </c>
      <c r="AA310" s="101" t="s">
        <v>50</v>
      </c>
      <c r="AB310" s="101" t="s">
        <v>172</v>
      </c>
      <c r="AC310" s="102" t="s">
        <v>173</v>
      </c>
    </row>
    <row r="311" spans="1:29" ht="25.5" customHeight="1" x14ac:dyDescent="0.35">
      <c r="A311" s="392"/>
      <c r="B311" s="393"/>
      <c r="C311" s="99" t="str">
        <f>IF(B311="","",IF(NOT(ISNUMBER(B311)),"DATA_PC invalida",IF(NOT(ISNUMBER(parametros!$C$2)),"Fora dos ciclos",IF(OR(B311&lt;parametros!$C$2,(YEAR(B311)-YEAR(parametros!$C$2))*12+MONTH(B311)-MONTH(parametros!$C$2)&gt;59),"Fora dos ciclos","C"&amp;INT(((YEAR(B311)-YEAR(parametros!$C$2))*12+MONTH(B311)-MONTH(parametros!$C$2))/12)))))</f>
        <v/>
      </c>
      <c r="D311" s="394"/>
      <c r="E311" s="78" t="str">
        <f>IF(C311="","",IFERROR(VLOOKUP(C311,parametros!$A$11:$E$15,5,0),""))</f>
        <v/>
      </c>
      <c r="F311" s="79" t="str">
        <f t="shared" si="22"/>
        <v/>
      </c>
      <c r="G311" s="395"/>
      <c r="H311" s="91">
        <f t="shared" si="23"/>
        <v>0</v>
      </c>
      <c r="I311" s="91" t="str">
        <f t="shared" si="24"/>
        <v/>
      </c>
      <c r="J311" s="91" t="str">
        <f t="shared" si="25"/>
        <v/>
      </c>
      <c r="K311" s="92" t="str">
        <f>IF(AND(A311="",B311="",D311="",G311=""),"",IF(AND(A311&lt;&gt;"",COUNTIF($A$2:$A$5001,A311)&gt;1),"NUMERO_PC duplicado",IF(B311="","DATA_PC vazia",IF(NOT(ISNUMBER(B311)),"DATA_PC invalida",IF(OR(C311="",C311="Fora dos ciclos"),"CICLO_PC nao identificado",IF(OR(D311="",D311=0),"VALOR_PC vazio ou zero",IF(AND(G311&lt;&gt;"Sim",G311&lt;&gt;"Nao",G311&lt;&gt;""),"PC_PAGO_A_CONTRATADA invalido",IF(AND(C311&lt;&gt;"C0",IFERROR(INDEX(parametros!$A$2:$A$6,MATCH(C311,parametros!$B$2:$B$6,0)),"")="Sim",IFERROR(INDEX(parametros!$H$2:$H$6,MATCH(C311,parametros!$B$2:$B$6,0)),"")=""),"INICIO_EFEITO ausente: PC "&amp;A311&amp;" - "&amp;C311,IF(L311="","EFEITO_PC nao calculado: PC "&amp;A311&amp;" - "&amp;C311,"OK")))))))))</f>
        <v/>
      </c>
      <c r="L311" s="92" t="str">
        <f>IF(AND(A311="",B311="",D311="",G311=""),"",IF(OR(B311="",NOT(ISNUMBER(B311)),C311="",C311="Fora dos ciclos"),"",IF(C311="C0","Nao",IF(IFERROR(INDEX(parametros!$A$2:$A$6,MATCH(C311,parametros!$B$2:$B$6,0)),"")&lt;&gt;"Sim","Nao",IF(IFERROR(INDEX(parametros!$H$2:$H$6,MATCH(C311,parametros!$B$2:$B$6,0)),"")="","",IF(B311&gt;=IFERROR(INDEX(parametros!$H$2:$H$6,MATCH(C311,parametros!$B$2:$B$6,0)),""),"Sim","Nao"))))))</f>
        <v/>
      </c>
      <c r="T311" s="156"/>
      <c r="U311" s="214" t="str">
        <f t="shared" si="26"/>
        <v/>
      </c>
      <c r="V311" s="212" t="s">
        <v>50</v>
      </c>
      <c r="W311" s="100" t="s">
        <v>168</v>
      </c>
      <c r="X311" s="100" t="s">
        <v>169</v>
      </c>
      <c r="Y311" s="101" t="s">
        <v>170</v>
      </c>
      <c r="Z311" s="101" t="s">
        <v>171</v>
      </c>
      <c r="AA311" s="101" t="s">
        <v>50</v>
      </c>
      <c r="AB311" s="101" t="s">
        <v>172</v>
      </c>
      <c r="AC311" s="102" t="s">
        <v>173</v>
      </c>
    </row>
    <row r="312" spans="1:29" ht="25.5" customHeight="1" x14ac:dyDescent="0.35">
      <c r="A312" s="392"/>
      <c r="B312" s="393"/>
      <c r="C312" s="99" t="str">
        <f>IF(B312="","",IF(NOT(ISNUMBER(B312)),"DATA_PC invalida",IF(NOT(ISNUMBER(parametros!$C$2)),"Fora dos ciclos",IF(OR(B312&lt;parametros!$C$2,(YEAR(B312)-YEAR(parametros!$C$2))*12+MONTH(B312)-MONTH(parametros!$C$2)&gt;59),"Fora dos ciclos","C"&amp;INT(((YEAR(B312)-YEAR(parametros!$C$2))*12+MONTH(B312)-MONTH(parametros!$C$2))/12)))))</f>
        <v/>
      </c>
      <c r="D312" s="394"/>
      <c r="E312" s="78" t="str">
        <f>IF(C312="","",IFERROR(VLOOKUP(C312,parametros!$A$11:$E$15,5,0),""))</f>
        <v/>
      </c>
      <c r="F312" s="79" t="str">
        <f t="shared" si="22"/>
        <v/>
      </c>
      <c r="G312" s="395"/>
      <c r="H312" s="91">
        <f t="shared" si="23"/>
        <v>0</v>
      </c>
      <c r="I312" s="91" t="str">
        <f t="shared" si="24"/>
        <v/>
      </c>
      <c r="J312" s="91" t="str">
        <f t="shared" si="25"/>
        <v/>
      </c>
      <c r="K312" s="92" t="str">
        <f>IF(AND(A312="",B312="",D312="",G312=""),"",IF(AND(A312&lt;&gt;"",COUNTIF($A$2:$A$5001,A312)&gt;1),"NUMERO_PC duplicado",IF(B312="","DATA_PC vazia",IF(NOT(ISNUMBER(B312)),"DATA_PC invalida",IF(OR(C312="",C312="Fora dos ciclos"),"CICLO_PC nao identificado",IF(OR(D312="",D312=0),"VALOR_PC vazio ou zero",IF(AND(G312&lt;&gt;"Sim",G312&lt;&gt;"Nao",G312&lt;&gt;""),"PC_PAGO_A_CONTRATADA invalido",IF(AND(C312&lt;&gt;"C0",IFERROR(INDEX(parametros!$A$2:$A$6,MATCH(C312,parametros!$B$2:$B$6,0)),"")="Sim",IFERROR(INDEX(parametros!$H$2:$H$6,MATCH(C312,parametros!$B$2:$B$6,0)),"")=""),"INICIO_EFEITO ausente: PC "&amp;A312&amp;" - "&amp;C312,IF(L312="","EFEITO_PC nao calculado: PC "&amp;A312&amp;" - "&amp;C312,"OK")))))))))</f>
        <v/>
      </c>
      <c r="L312" s="92" t="str">
        <f>IF(AND(A312="",B312="",D312="",G312=""),"",IF(OR(B312="",NOT(ISNUMBER(B312)),C312="",C312="Fora dos ciclos"),"",IF(C312="C0","Nao",IF(IFERROR(INDEX(parametros!$A$2:$A$6,MATCH(C312,parametros!$B$2:$B$6,0)),"")&lt;&gt;"Sim","Nao",IF(IFERROR(INDEX(parametros!$H$2:$H$6,MATCH(C312,parametros!$B$2:$B$6,0)),"")="","",IF(B312&gt;=IFERROR(INDEX(parametros!$H$2:$H$6,MATCH(C312,parametros!$B$2:$B$6,0)),""),"Sim","Nao"))))))</f>
        <v/>
      </c>
      <c r="T312" s="156"/>
      <c r="U312" s="214" t="str">
        <f t="shared" si="26"/>
        <v/>
      </c>
      <c r="V312" s="212" t="s">
        <v>50</v>
      </c>
      <c r="W312" s="100" t="s">
        <v>168</v>
      </c>
      <c r="X312" s="100" t="s">
        <v>169</v>
      </c>
      <c r="Y312" s="101" t="s">
        <v>170</v>
      </c>
      <c r="Z312" s="101" t="s">
        <v>171</v>
      </c>
      <c r="AA312" s="101" t="s">
        <v>50</v>
      </c>
      <c r="AB312" s="101" t="s">
        <v>172</v>
      </c>
      <c r="AC312" s="102" t="s">
        <v>173</v>
      </c>
    </row>
    <row r="313" spans="1:29" ht="25.5" customHeight="1" x14ac:dyDescent="0.35">
      <c r="A313" s="392"/>
      <c r="B313" s="393"/>
      <c r="C313" s="99" t="str">
        <f>IF(B313="","",IF(NOT(ISNUMBER(B313)),"DATA_PC invalida",IF(NOT(ISNUMBER(parametros!$C$2)),"Fora dos ciclos",IF(OR(B313&lt;parametros!$C$2,(YEAR(B313)-YEAR(parametros!$C$2))*12+MONTH(B313)-MONTH(parametros!$C$2)&gt;59),"Fora dos ciclos","C"&amp;INT(((YEAR(B313)-YEAR(parametros!$C$2))*12+MONTH(B313)-MONTH(parametros!$C$2))/12)))))</f>
        <v/>
      </c>
      <c r="D313" s="394"/>
      <c r="E313" s="78" t="str">
        <f>IF(C313="","",IFERROR(VLOOKUP(C313,parametros!$A$11:$E$15,5,0),""))</f>
        <v/>
      </c>
      <c r="F313" s="79" t="str">
        <f t="shared" si="22"/>
        <v/>
      </c>
      <c r="G313" s="395"/>
      <c r="H313" s="91">
        <f t="shared" si="23"/>
        <v>0</v>
      </c>
      <c r="I313" s="91" t="str">
        <f t="shared" si="24"/>
        <v/>
      </c>
      <c r="J313" s="91" t="str">
        <f t="shared" si="25"/>
        <v/>
      </c>
      <c r="K313" s="92" t="str">
        <f>IF(AND(A313="",B313="",D313="",G313=""),"",IF(AND(A313&lt;&gt;"",COUNTIF($A$2:$A$5001,A313)&gt;1),"NUMERO_PC duplicado",IF(B313="","DATA_PC vazia",IF(NOT(ISNUMBER(B313)),"DATA_PC invalida",IF(OR(C313="",C313="Fora dos ciclos"),"CICLO_PC nao identificado",IF(OR(D313="",D313=0),"VALOR_PC vazio ou zero",IF(AND(G313&lt;&gt;"Sim",G313&lt;&gt;"Nao",G313&lt;&gt;""),"PC_PAGO_A_CONTRATADA invalido",IF(AND(C313&lt;&gt;"C0",IFERROR(INDEX(parametros!$A$2:$A$6,MATCH(C313,parametros!$B$2:$B$6,0)),"")="Sim",IFERROR(INDEX(parametros!$H$2:$H$6,MATCH(C313,parametros!$B$2:$B$6,0)),"")=""),"INICIO_EFEITO ausente: PC "&amp;A313&amp;" - "&amp;C313,IF(L313="","EFEITO_PC nao calculado: PC "&amp;A313&amp;" - "&amp;C313,"OK")))))))))</f>
        <v/>
      </c>
      <c r="L313" s="92" t="str">
        <f>IF(AND(A313="",B313="",D313="",G313=""),"",IF(OR(B313="",NOT(ISNUMBER(B313)),C313="",C313="Fora dos ciclos"),"",IF(C313="C0","Nao",IF(IFERROR(INDEX(parametros!$A$2:$A$6,MATCH(C313,parametros!$B$2:$B$6,0)),"")&lt;&gt;"Sim","Nao",IF(IFERROR(INDEX(parametros!$H$2:$H$6,MATCH(C313,parametros!$B$2:$B$6,0)),"")="","",IF(B313&gt;=IFERROR(INDEX(parametros!$H$2:$H$6,MATCH(C313,parametros!$B$2:$B$6,0)),""),"Sim","Nao"))))))</f>
        <v/>
      </c>
      <c r="T313" s="156"/>
      <c r="U313" s="214" t="str">
        <f t="shared" si="26"/>
        <v/>
      </c>
      <c r="V313" s="212" t="s">
        <v>50</v>
      </c>
      <c r="W313" s="100" t="s">
        <v>168</v>
      </c>
      <c r="X313" s="100" t="s">
        <v>169</v>
      </c>
      <c r="Y313" s="101" t="s">
        <v>170</v>
      </c>
      <c r="Z313" s="101" t="s">
        <v>171</v>
      </c>
      <c r="AA313" s="101" t="s">
        <v>50</v>
      </c>
      <c r="AB313" s="101" t="s">
        <v>172</v>
      </c>
      <c r="AC313" s="102" t="s">
        <v>173</v>
      </c>
    </row>
    <row r="314" spans="1:29" ht="25.5" customHeight="1" x14ac:dyDescent="0.35">
      <c r="A314" s="392"/>
      <c r="B314" s="393"/>
      <c r="C314" s="99" t="str">
        <f>IF(B314="","",IF(NOT(ISNUMBER(B314)),"DATA_PC invalida",IF(NOT(ISNUMBER(parametros!$C$2)),"Fora dos ciclos",IF(OR(B314&lt;parametros!$C$2,(YEAR(B314)-YEAR(parametros!$C$2))*12+MONTH(B314)-MONTH(parametros!$C$2)&gt;59),"Fora dos ciclos","C"&amp;INT(((YEAR(B314)-YEAR(parametros!$C$2))*12+MONTH(B314)-MONTH(parametros!$C$2))/12)))))</f>
        <v/>
      </c>
      <c r="D314" s="394"/>
      <c r="E314" s="78" t="str">
        <f>IF(C314="","",IFERROR(VLOOKUP(C314,parametros!$A$11:$E$15,5,0),""))</f>
        <v/>
      </c>
      <c r="F314" s="79" t="str">
        <f t="shared" si="22"/>
        <v/>
      </c>
      <c r="G314" s="395"/>
      <c r="H314" s="91">
        <f t="shared" si="23"/>
        <v>0</v>
      </c>
      <c r="I314" s="91" t="str">
        <f t="shared" si="24"/>
        <v/>
      </c>
      <c r="J314" s="91" t="str">
        <f t="shared" si="25"/>
        <v/>
      </c>
      <c r="K314" s="92" t="str">
        <f>IF(AND(A314="",B314="",D314="",G314=""),"",IF(AND(A314&lt;&gt;"",COUNTIF($A$2:$A$5001,A314)&gt;1),"NUMERO_PC duplicado",IF(B314="","DATA_PC vazia",IF(NOT(ISNUMBER(B314)),"DATA_PC invalida",IF(OR(C314="",C314="Fora dos ciclos"),"CICLO_PC nao identificado",IF(OR(D314="",D314=0),"VALOR_PC vazio ou zero",IF(AND(G314&lt;&gt;"Sim",G314&lt;&gt;"Nao",G314&lt;&gt;""),"PC_PAGO_A_CONTRATADA invalido",IF(AND(C314&lt;&gt;"C0",IFERROR(INDEX(parametros!$A$2:$A$6,MATCH(C314,parametros!$B$2:$B$6,0)),"")="Sim",IFERROR(INDEX(parametros!$H$2:$H$6,MATCH(C314,parametros!$B$2:$B$6,0)),"")=""),"INICIO_EFEITO ausente: PC "&amp;A314&amp;" - "&amp;C314,IF(L314="","EFEITO_PC nao calculado: PC "&amp;A314&amp;" - "&amp;C314,"OK")))))))))</f>
        <v/>
      </c>
      <c r="L314" s="92" t="str">
        <f>IF(AND(A314="",B314="",D314="",G314=""),"",IF(OR(B314="",NOT(ISNUMBER(B314)),C314="",C314="Fora dos ciclos"),"",IF(C314="C0","Nao",IF(IFERROR(INDEX(parametros!$A$2:$A$6,MATCH(C314,parametros!$B$2:$B$6,0)),"")&lt;&gt;"Sim","Nao",IF(IFERROR(INDEX(parametros!$H$2:$H$6,MATCH(C314,parametros!$B$2:$B$6,0)),"")="","",IF(B314&gt;=IFERROR(INDEX(parametros!$H$2:$H$6,MATCH(C314,parametros!$B$2:$B$6,0)),""),"Sim","Nao"))))))</f>
        <v/>
      </c>
      <c r="T314" s="156"/>
      <c r="U314" s="214" t="str">
        <f t="shared" si="26"/>
        <v/>
      </c>
      <c r="V314" s="212" t="s">
        <v>50</v>
      </c>
      <c r="W314" s="100" t="s">
        <v>168</v>
      </c>
      <c r="X314" s="100" t="s">
        <v>169</v>
      </c>
      <c r="Y314" s="101" t="s">
        <v>170</v>
      </c>
      <c r="Z314" s="101" t="s">
        <v>171</v>
      </c>
      <c r="AA314" s="101" t="s">
        <v>50</v>
      </c>
      <c r="AB314" s="101" t="s">
        <v>172</v>
      </c>
      <c r="AC314" s="102" t="s">
        <v>173</v>
      </c>
    </row>
    <row r="315" spans="1:29" ht="25.5" customHeight="1" x14ac:dyDescent="0.35">
      <c r="A315" s="392"/>
      <c r="B315" s="393"/>
      <c r="C315" s="99" t="str">
        <f>IF(B315="","",IF(NOT(ISNUMBER(B315)),"DATA_PC invalida",IF(NOT(ISNUMBER(parametros!$C$2)),"Fora dos ciclos",IF(OR(B315&lt;parametros!$C$2,(YEAR(B315)-YEAR(parametros!$C$2))*12+MONTH(B315)-MONTH(parametros!$C$2)&gt;59),"Fora dos ciclos","C"&amp;INT(((YEAR(B315)-YEAR(parametros!$C$2))*12+MONTH(B315)-MONTH(parametros!$C$2))/12)))))</f>
        <v/>
      </c>
      <c r="D315" s="394"/>
      <c r="E315" s="78" t="str">
        <f>IF(C315="","",IFERROR(VLOOKUP(C315,parametros!$A$11:$E$15,5,0),""))</f>
        <v/>
      </c>
      <c r="F315" s="79" t="str">
        <f t="shared" si="22"/>
        <v/>
      </c>
      <c r="G315" s="395"/>
      <c r="H315" s="91">
        <f t="shared" si="23"/>
        <v>0</v>
      </c>
      <c r="I315" s="91" t="str">
        <f t="shared" si="24"/>
        <v/>
      </c>
      <c r="J315" s="91" t="str">
        <f t="shared" si="25"/>
        <v/>
      </c>
      <c r="K315" s="92" t="str">
        <f>IF(AND(A315="",B315="",D315="",G315=""),"",IF(AND(A315&lt;&gt;"",COUNTIF($A$2:$A$5001,A315)&gt;1),"NUMERO_PC duplicado",IF(B315="","DATA_PC vazia",IF(NOT(ISNUMBER(B315)),"DATA_PC invalida",IF(OR(C315="",C315="Fora dos ciclos"),"CICLO_PC nao identificado",IF(OR(D315="",D315=0),"VALOR_PC vazio ou zero",IF(AND(G315&lt;&gt;"Sim",G315&lt;&gt;"Nao",G315&lt;&gt;""),"PC_PAGO_A_CONTRATADA invalido",IF(AND(C315&lt;&gt;"C0",IFERROR(INDEX(parametros!$A$2:$A$6,MATCH(C315,parametros!$B$2:$B$6,0)),"")="Sim",IFERROR(INDEX(parametros!$H$2:$H$6,MATCH(C315,parametros!$B$2:$B$6,0)),"")=""),"INICIO_EFEITO ausente: PC "&amp;A315&amp;" - "&amp;C315,IF(L315="","EFEITO_PC nao calculado: PC "&amp;A315&amp;" - "&amp;C315,"OK")))))))))</f>
        <v/>
      </c>
      <c r="L315" s="92" t="str">
        <f>IF(AND(A315="",B315="",D315="",G315=""),"",IF(OR(B315="",NOT(ISNUMBER(B315)),C315="",C315="Fora dos ciclos"),"",IF(C315="C0","Nao",IF(IFERROR(INDEX(parametros!$A$2:$A$6,MATCH(C315,parametros!$B$2:$B$6,0)),"")&lt;&gt;"Sim","Nao",IF(IFERROR(INDEX(parametros!$H$2:$H$6,MATCH(C315,parametros!$B$2:$B$6,0)),"")="","",IF(B315&gt;=IFERROR(INDEX(parametros!$H$2:$H$6,MATCH(C315,parametros!$B$2:$B$6,0)),""),"Sim","Nao"))))))</f>
        <v/>
      </c>
      <c r="T315" s="156"/>
      <c r="U315" s="214" t="str">
        <f t="shared" si="26"/>
        <v/>
      </c>
      <c r="V315" s="212" t="s">
        <v>50</v>
      </c>
      <c r="W315" s="100" t="s">
        <v>168</v>
      </c>
      <c r="X315" s="100" t="s">
        <v>169</v>
      </c>
      <c r="Y315" s="101" t="s">
        <v>170</v>
      </c>
      <c r="Z315" s="101" t="s">
        <v>171</v>
      </c>
      <c r="AA315" s="101" t="s">
        <v>50</v>
      </c>
      <c r="AB315" s="101" t="s">
        <v>172</v>
      </c>
      <c r="AC315" s="102" t="s">
        <v>173</v>
      </c>
    </row>
    <row r="316" spans="1:29" ht="25.5" customHeight="1" x14ac:dyDescent="0.35">
      <c r="A316" s="392"/>
      <c r="B316" s="393"/>
      <c r="C316" s="99" t="str">
        <f>IF(B316="","",IF(NOT(ISNUMBER(B316)),"DATA_PC invalida",IF(NOT(ISNUMBER(parametros!$C$2)),"Fora dos ciclos",IF(OR(B316&lt;parametros!$C$2,(YEAR(B316)-YEAR(parametros!$C$2))*12+MONTH(B316)-MONTH(parametros!$C$2)&gt;59),"Fora dos ciclos","C"&amp;INT(((YEAR(B316)-YEAR(parametros!$C$2))*12+MONTH(B316)-MONTH(parametros!$C$2))/12)))))</f>
        <v/>
      </c>
      <c r="D316" s="394"/>
      <c r="E316" s="78" t="str">
        <f>IF(C316="","",IFERROR(VLOOKUP(C316,parametros!$A$11:$E$15,5,0),""))</f>
        <v/>
      </c>
      <c r="F316" s="79" t="str">
        <f t="shared" si="22"/>
        <v/>
      </c>
      <c r="G316" s="395"/>
      <c r="H316" s="91">
        <f t="shared" si="23"/>
        <v>0</v>
      </c>
      <c r="I316" s="91" t="str">
        <f t="shared" si="24"/>
        <v/>
      </c>
      <c r="J316" s="91" t="str">
        <f t="shared" si="25"/>
        <v/>
      </c>
      <c r="K316" s="92" t="str">
        <f>IF(AND(A316="",B316="",D316="",G316=""),"",IF(AND(A316&lt;&gt;"",COUNTIF($A$2:$A$5001,A316)&gt;1),"NUMERO_PC duplicado",IF(B316="","DATA_PC vazia",IF(NOT(ISNUMBER(B316)),"DATA_PC invalida",IF(OR(C316="",C316="Fora dos ciclos"),"CICLO_PC nao identificado",IF(OR(D316="",D316=0),"VALOR_PC vazio ou zero",IF(AND(G316&lt;&gt;"Sim",G316&lt;&gt;"Nao",G316&lt;&gt;""),"PC_PAGO_A_CONTRATADA invalido",IF(AND(C316&lt;&gt;"C0",IFERROR(INDEX(parametros!$A$2:$A$6,MATCH(C316,parametros!$B$2:$B$6,0)),"")="Sim",IFERROR(INDEX(parametros!$H$2:$H$6,MATCH(C316,parametros!$B$2:$B$6,0)),"")=""),"INICIO_EFEITO ausente: PC "&amp;A316&amp;" - "&amp;C316,IF(L316="","EFEITO_PC nao calculado: PC "&amp;A316&amp;" - "&amp;C316,"OK")))))))))</f>
        <v/>
      </c>
      <c r="L316" s="92" t="str">
        <f>IF(AND(A316="",B316="",D316="",G316=""),"",IF(OR(B316="",NOT(ISNUMBER(B316)),C316="",C316="Fora dos ciclos"),"",IF(C316="C0","Nao",IF(IFERROR(INDEX(parametros!$A$2:$A$6,MATCH(C316,parametros!$B$2:$B$6,0)),"")&lt;&gt;"Sim","Nao",IF(IFERROR(INDEX(parametros!$H$2:$H$6,MATCH(C316,parametros!$B$2:$B$6,0)),"")="","",IF(B316&gt;=IFERROR(INDEX(parametros!$H$2:$H$6,MATCH(C316,parametros!$B$2:$B$6,0)),""),"Sim","Nao"))))))</f>
        <v/>
      </c>
      <c r="T316" s="156"/>
      <c r="U316" s="214" t="str">
        <f t="shared" si="26"/>
        <v/>
      </c>
      <c r="V316" s="212" t="s">
        <v>50</v>
      </c>
      <c r="W316" s="100" t="s">
        <v>168</v>
      </c>
      <c r="X316" s="100" t="s">
        <v>169</v>
      </c>
      <c r="Y316" s="101" t="s">
        <v>170</v>
      </c>
      <c r="Z316" s="101" t="s">
        <v>171</v>
      </c>
      <c r="AA316" s="101" t="s">
        <v>50</v>
      </c>
      <c r="AB316" s="101" t="s">
        <v>172</v>
      </c>
      <c r="AC316" s="102" t="s">
        <v>173</v>
      </c>
    </row>
    <row r="317" spans="1:29" ht="25.5" customHeight="1" x14ac:dyDescent="0.35">
      <c r="A317" s="392"/>
      <c r="B317" s="393"/>
      <c r="C317" s="99" t="str">
        <f>IF(B317="","",IF(NOT(ISNUMBER(B317)),"DATA_PC invalida",IF(NOT(ISNUMBER(parametros!$C$2)),"Fora dos ciclos",IF(OR(B317&lt;parametros!$C$2,(YEAR(B317)-YEAR(parametros!$C$2))*12+MONTH(B317)-MONTH(parametros!$C$2)&gt;59),"Fora dos ciclos","C"&amp;INT(((YEAR(B317)-YEAR(parametros!$C$2))*12+MONTH(B317)-MONTH(parametros!$C$2))/12)))))</f>
        <v/>
      </c>
      <c r="D317" s="394"/>
      <c r="E317" s="78" t="str">
        <f>IF(C317="","",IFERROR(VLOOKUP(C317,parametros!$A$11:$E$15,5,0),""))</f>
        <v/>
      </c>
      <c r="F317" s="79" t="str">
        <f t="shared" si="22"/>
        <v/>
      </c>
      <c r="G317" s="395"/>
      <c r="H317" s="91">
        <f t="shared" si="23"/>
        <v>0</v>
      </c>
      <c r="I317" s="91" t="str">
        <f t="shared" si="24"/>
        <v/>
      </c>
      <c r="J317" s="91" t="str">
        <f t="shared" si="25"/>
        <v/>
      </c>
      <c r="K317" s="92" t="str">
        <f>IF(AND(A317="",B317="",D317="",G317=""),"",IF(AND(A317&lt;&gt;"",COUNTIF($A$2:$A$5001,A317)&gt;1),"NUMERO_PC duplicado",IF(B317="","DATA_PC vazia",IF(NOT(ISNUMBER(B317)),"DATA_PC invalida",IF(OR(C317="",C317="Fora dos ciclos"),"CICLO_PC nao identificado",IF(OR(D317="",D317=0),"VALOR_PC vazio ou zero",IF(AND(G317&lt;&gt;"Sim",G317&lt;&gt;"Nao",G317&lt;&gt;""),"PC_PAGO_A_CONTRATADA invalido",IF(AND(C317&lt;&gt;"C0",IFERROR(INDEX(parametros!$A$2:$A$6,MATCH(C317,parametros!$B$2:$B$6,0)),"")="Sim",IFERROR(INDEX(parametros!$H$2:$H$6,MATCH(C317,parametros!$B$2:$B$6,0)),"")=""),"INICIO_EFEITO ausente: PC "&amp;A317&amp;" - "&amp;C317,IF(L317="","EFEITO_PC nao calculado: PC "&amp;A317&amp;" - "&amp;C317,"OK")))))))))</f>
        <v/>
      </c>
      <c r="L317" s="92" t="str">
        <f>IF(AND(A317="",B317="",D317="",G317=""),"",IF(OR(B317="",NOT(ISNUMBER(B317)),C317="",C317="Fora dos ciclos"),"",IF(C317="C0","Nao",IF(IFERROR(INDEX(parametros!$A$2:$A$6,MATCH(C317,parametros!$B$2:$B$6,0)),"")&lt;&gt;"Sim","Nao",IF(IFERROR(INDEX(parametros!$H$2:$H$6,MATCH(C317,parametros!$B$2:$B$6,0)),"")="","",IF(B317&gt;=IFERROR(INDEX(parametros!$H$2:$H$6,MATCH(C317,parametros!$B$2:$B$6,0)),""),"Sim","Nao"))))))</f>
        <v/>
      </c>
      <c r="T317" s="156"/>
      <c r="U317" s="214" t="str">
        <f t="shared" si="26"/>
        <v/>
      </c>
      <c r="V317" s="212" t="s">
        <v>50</v>
      </c>
      <c r="W317" s="100" t="s">
        <v>168</v>
      </c>
      <c r="X317" s="100" t="s">
        <v>169</v>
      </c>
      <c r="Y317" s="101" t="s">
        <v>170</v>
      </c>
      <c r="Z317" s="101" t="s">
        <v>171</v>
      </c>
      <c r="AA317" s="101" t="s">
        <v>50</v>
      </c>
      <c r="AB317" s="101" t="s">
        <v>172</v>
      </c>
      <c r="AC317" s="102" t="s">
        <v>173</v>
      </c>
    </row>
    <row r="318" spans="1:29" ht="25.5" customHeight="1" x14ac:dyDescent="0.35">
      <c r="A318" s="392"/>
      <c r="B318" s="393"/>
      <c r="C318" s="99" t="str">
        <f>IF(B318="","",IF(NOT(ISNUMBER(B318)),"DATA_PC invalida",IF(NOT(ISNUMBER(parametros!$C$2)),"Fora dos ciclos",IF(OR(B318&lt;parametros!$C$2,(YEAR(B318)-YEAR(parametros!$C$2))*12+MONTH(B318)-MONTH(parametros!$C$2)&gt;59),"Fora dos ciclos","C"&amp;INT(((YEAR(B318)-YEAR(parametros!$C$2))*12+MONTH(B318)-MONTH(parametros!$C$2))/12)))))</f>
        <v/>
      </c>
      <c r="D318" s="394"/>
      <c r="E318" s="78" t="str">
        <f>IF(C318="","",IFERROR(VLOOKUP(C318,parametros!$A$11:$E$15,5,0),""))</f>
        <v/>
      </c>
      <c r="F318" s="79" t="str">
        <f t="shared" si="22"/>
        <v/>
      </c>
      <c r="G318" s="395"/>
      <c r="H318" s="91">
        <f t="shared" si="23"/>
        <v>0</v>
      </c>
      <c r="I318" s="91" t="str">
        <f t="shared" si="24"/>
        <v/>
      </c>
      <c r="J318" s="91" t="str">
        <f t="shared" si="25"/>
        <v/>
      </c>
      <c r="K318" s="92" t="str">
        <f>IF(AND(A318="",B318="",D318="",G318=""),"",IF(AND(A318&lt;&gt;"",COUNTIF($A$2:$A$5001,A318)&gt;1),"NUMERO_PC duplicado",IF(B318="","DATA_PC vazia",IF(NOT(ISNUMBER(B318)),"DATA_PC invalida",IF(OR(C318="",C318="Fora dos ciclos"),"CICLO_PC nao identificado",IF(OR(D318="",D318=0),"VALOR_PC vazio ou zero",IF(AND(G318&lt;&gt;"Sim",G318&lt;&gt;"Nao",G318&lt;&gt;""),"PC_PAGO_A_CONTRATADA invalido",IF(AND(C318&lt;&gt;"C0",IFERROR(INDEX(parametros!$A$2:$A$6,MATCH(C318,parametros!$B$2:$B$6,0)),"")="Sim",IFERROR(INDEX(parametros!$H$2:$H$6,MATCH(C318,parametros!$B$2:$B$6,0)),"")=""),"INICIO_EFEITO ausente: PC "&amp;A318&amp;" - "&amp;C318,IF(L318="","EFEITO_PC nao calculado: PC "&amp;A318&amp;" - "&amp;C318,"OK")))))))))</f>
        <v/>
      </c>
      <c r="L318" s="92" t="str">
        <f>IF(AND(A318="",B318="",D318="",G318=""),"",IF(OR(B318="",NOT(ISNUMBER(B318)),C318="",C318="Fora dos ciclos"),"",IF(C318="C0","Nao",IF(IFERROR(INDEX(parametros!$A$2:$A$6,MATCH(C318,parametros!$B$2:$B$6,0)),"")&lt;&gt;"Sim","Nao",IF(IFERROR(INDEX(parametros!$H$2:$H$6,MATCH(C318,parametros!$B$2:$B$6,0)),"")="","",IF(B318&gt;=IFERROR(INDEX(parametros!$H$2:$H$6,MATCH(C318,parametros!$B$2:$B$6,0)),""),"Sim","Nao"))))))</f>
        <v/>
      </c>
      <c r="T318" s="156"/>
      <c r="U318" s="214" t="str">
        <f t="shared" si="26"/>
        <v/>
      </c>
      <c r="V318" s="212" t="s">
        <v>50</v>
      </c>
      <c r="W318" s="100" t="s">
        <v>168</v>
      </c>
      <c r="X318" s="100" t="s">
        <v>169</v>
      </c>
      <c r="Y318" s="101" t="s">
        <v>170</v>
      </c>
      <c r="Z318" s="101" t="s">
        <v>171</v>
      </c>
      <c r="AA318" s="101" t="s">
        <v>50</v>
      </c>
      <c r="AB318" s="101" t="s">
        <v>172</v>
      </c>
      <c r="AC318" s="102" t="s">
        <v>173</v>
      </c>
    </row>
    <row r="319" spans="1:29" ht="25.5" customHeight="1" x14ac:dyDescent="0.35">
      <c r="A319" s="392"/>
      <c r="B319" s="393"/>
      <c r="C319" s="99" t="str">
        <f>IF(B319="","",IF(NOT(ISNUMBER(B319)),"DATA_PC invalida",IF(NOT(ISNUMBER(parametros!$C$2)),"Fora dos ciclos",IF(OR(B319&lt;parametros!$C$2,(YEAR(B319)-YEAR(parametros!$C$2))*12+MONTH(B319)-MONTH(parametros!$C$2)&gt;59),"Fora dos ciclos","C"&amp;INT(((YEAR(B319)-YEAR(parametros!$C$2))*12+MONTH(B319)-MONTH(parametros!$C$2))/12)))))</f>
        <v/>
      </c>
      <c r="D319" s="394"/>
      <c r="E319" s="78" t="str">
        <f>IF(C319="","",IFERROR(VLOOKUP(C319,parametros!$A$11:$E$15,5,0),""))</f>
        <v/>
      </c>
      <c r="F319" s="79" t="str">
        <f t="shared" si="22"/>
        <v/>
      </c>
      <c r="G319" s="395"/>
      <c r="H319" s="91">
        <f t="shared" si="23"/>
        <v>0</v>
      </c>
      <c r="I319" s="91" t="str">
        <f t="shared" si="24"/>
        <v/>
      </c>
      <c r="J319" s="91" t="str">
        <f t="shared" si="25"/>
        <v/>
      </c>
      <c r="K319" s="92" t="str">
        <f>IF(AND(A319="",B319="",D319="",G319=""),"",IF(AND(A319&lt;&gt;"",COUNTIF($A$2:$A$5001,A319)&gt;1),"NUMERO_PC duplicado",IF(B319="","DATA_PC vazia",IF(NOT(ISNUMBER(B319)),"DATA_PC invalida",IF(OR(C319="",C319="Fora dos ciclos"),"CICLO_PC nao identificado",IF(OR(D319="",D319=0),"VALOR_PC vazio ou zero",IF(AND(G319&lt;&gt;"Sim",G319&lt;&gt;"Nao",G319&lt;&gt;""),"PC_PAGO_A_CONTRATADA invalido",IF(AND(C319&lt;&gt;"C0",IFERROR(INDEX(parametros!$A$2:$A$6,MATCH(C319,parametros!$B$2:$B$6,0)),"")="Sim",IFERROR(INDEX(parametros!$H$2:$H$6,MATCH(C319,parametros!$B$2:$B$6,0)),"")=""),"INICIO_EFEITO ausente: PC "&amp;A319&amp;" - "&amp;C319,IF(L319="","EFEITO_PC nao calculado: PC "&amp;A319&amp;" - "&amp;C319,"OK")))))))))</f>
        <v/>
      </c>
      <c r="L319" s="92" t="str">
        <f>IF(AND(A319="",B319="",D319="",G319=""),"",IF(OR(B319="",NOT(ISNUMBER(B319)),C319="",C319="Fora dos ciclos"),"",IF(C319="C0","Nao",IF(IFERROR(INDEX(parametros!$A$2:$A$6,MATCH(C319,parametros!$B$2:$B$6,0)),"")&lt;&gt;"Sim","Nao",IF(IFERROR(INDEX(parametros!$H$2:$H$6,MATCH(C319,parametros!$B$2:$B$6,0)),"")="","",IF(B319&gt;=IFERROR(INDEX(parametros!$H$2:$H$6,MATCH(C319,parametros!$B$2:$B$6,0)),""),"Sim","Nao"))))))</f>
        <v/>
      </c>
      <c r="T319" s="156"/>
      <c r="U319" s="214" t="str">
        <f t="shared" si="26"/>
        <v/>
      </c>
      <c r="V319" s="212" t="s">
        <v>50</v>
      </c>
      <c r="W319" s="100" t="s">
        <v>168</v>
      </c>
      <c r="X319" s="100" t="s">
        <v>169</v>
      </c>
      <c r="Y319" s="101" t="s">
        <v>170</v>
      </c>
      <c r="Z319" s="101" t="s">
        <v>171</v>
      </c>
      <c r="AA319" s="101" t="s">
        <v>50</v>
      </c>
      <c r="AB319" s="101" t="s">
        <v>172</v>
      </c>
      <c r="AC319" s="102" t="s">
        <v>173</v>
      </c>
    </row>
    <row r="320" spans="1:29" ht="25.5" customHeight="1" x14ac:dyDescent="0.35">
      <c r="A320" s="392"/>
      <c r="B320" s="393"/>
      <c r="C320" s="99" t="str">
        <f>IF(B320="","",IF(NOT(ISNUMBER(B320)),"DATA_PC invalida",IF(NOT(ISNUMBER(parametros!$C$2)),"Fora dos ciclos",IF(OR(B320&lt;parametros!$C$2,(YEAR(B320)-YEAR(parametros!$C$2))*12+MONTH(B320)-MONTH(parametros!$C$2)&gt;59),"Fora dos ciclos","C"&amp;INT(((YEAR(B320)-YEAR(parametros!$C$2))*12+MONTH(B320)-MONTH(parametros!$C$2))/12)))))</f>
        <v/>
      </c>
      <c r="D320" s="394"/>
      <c r="E320" s="78" t="str">
        <f>IF(C320="","",IFERROR(VLOOKUP(C320,parametros!$A$11:$E$15,5,0),""))</f>
        <v/>
      </c>
      <c r="F320" s="79" t="str">
        <f t="shared" si="22"/>
        <v/>
      </c>
      <c r="G320" s="395"/>
      <c r="H320" s="91">
        <f t="shared" si="23"/>
        <v>0</v>
      </c>
      <c r="I320" s="91" t="str">
        <f t="shared" si="24"/>
        <v/>
      </c>
      <c r="J320" s="91" t="str">
        <f t="shared" si="25"/>
        <v/>
      </c>
      <c r="K320" s="92" t="str">
        <f>IF(AND(A320="",B320="",D320="",G320=""),"",IF(AND(A320&lt;&gt;"",COUNTIF($A$2:$A$5001,A320)&gt;1),"NUMERO_PC duplicado",IF(B320="","DATA_PC vazia",IF(NOT(ISNUMBER(B320)),"DATA_PC invalida",IF(OR(C320="",C320="Fora dos ciclos"),"CICLO_PC nao identificado",IF(OR(D320="",D320=0),"VALOR_PC vazio ou zero",IF(AND(G320&lt;&gt;"Sim",G320&lt;&gt;"Nao",G320&lt;&gt;""),"PC_PAGO_A_CONTRATADA invalido",IF(AND(C320&lt;&gt;"C0",IFERROR(INDEX(parametros!$A$2:$A$6,MATCH(C320,parametros!$B$2:$B$6,0)),"")="Sim",IFERROR(INDEX(parametros!$H$2:$H$6,MATCH(C320,parametros!$B$2:$B$6,0)),"")=""),"INICIO_EFEITO ausente: PC "&amp;A320&amp;" - "&amp;C320,IF(L320="","EFEITO_PC nao calculado: PC "&amp;A320&amp;" - "&amp;C320,"OK")))))))))</f>
        <v/>
      </c>
      <c r="L320" s="92" t="str">
        <f>IF(AND(A320="",B320="",D320="",G320=""),"",IF(OR(B320="",NOT(ISNUMBER(B320)),C320="",C320="Fora dos ciclos"),"",IF(C320="C0","Nao",IF(IFERROR(INDEX(parametros!$A$2:$A$6,MATCH(C320,parametros!$B$2:$B$6,0)),"")&lt;&gt;"Sim","Nao",IF(IFERROR(INDEX(parametros!$H$2:$H$6,MATCH(C320,parametros!$B$2:$B$6,0)),"")="","",IF(B320&gt;=IFERROR(INDEX(parametros!$H$2:$H$6,MATCH(C320,parametros!$B$2:$B$6,0)),""),"Sim","Nao"))))))</f>
        <v/>
      </c>
      <c r="T320" s="156"/>
      <c r="U320" s="214" t="str">
        <f t="shared" si="26"/>
        <v/>
      </c>
      <c r="V320" s="212" t="s">
        <v>50</v>
      </c>
      <c r="W320" s="100" t="s">
        <v>168</v>
      </c>
      <c r="X320" s="100" t="s">
        <v>169</v>
      </c>
      <c r="Y320" s="101" t="s">
        <v>170</v>
      </c>
      <c r="Z320" s="101" t="s">
        <v>171</v>
      </c>
      <c r="AA320" s="101" t="s">
        <v>50</v>
      </c>
      <c r="AB320" s="101" t="s">
        <v>172</v>
      </c>
      <c r="AC320" s="102" t="s">
        <v>173</v>
      </c>
    </row>
    <row r="321" spans="1:29" ht="25.5" customHeight="1" x14ac:dyDescent="0.35">
      <c r="A321" s="392"/>
      <c r="B321" s="393"/>
      <c r="C321" s="99" t="str">
        <f>IF(B321="","",IF(NOT(ISNUMBER(B321)),"DATA_PC invalida",IF(NOT(ISNUMBER(parametros!$C$2)),"Fora dos ciclos",IF(OR(B321&lt;parametros!$C$2,(YEAR(B321)-YEAR(parametros!$C$2))*12+MONTH(B321)-MONTH(parametros!$C$2)&gt;59),"Fora dos ciclos","C"&amp;INT(((YEAR(B321)-YEAR(parametros!$C$2))*12+MONTH(B321)-MONTH(parametros!$C$2))/12)))))</f>
        <v/>
      </c>
      <c r="D321" s="394"/>
      <c r="E321" s="78" t="str">
        <f>IF(C321="","",IFERROR(VLOOKUP(C321,parametros!$A$11:$E$15,5,0),""))</f>
        <v/>
      </c>
      <c r="F321" s="79" t="str">
        <f t="shared" si="22"/>
        <v/>
      </c>
      <c r="G321" s="395"/>
      <c r="H321" s="91">
        <f t="shared" si="23"/>
        <v>0</v>
      </c>
      <c r="I321" s="91" t="str">
        <f t="shared" si="24"/>
        <v/>
      </c>
      <c r="J321" s="91" t="str">
        <f t="shared" si="25"/>
        <v/>
      </c>
      <c r="K321" s="92" t="str">
        <f>IF(AND(A321="",B321="",D321="",G321=""),"",IF(AND(A321&lt;&gt;"",COUNTIF($A$2:$A$5001,A321)&gt;1),"NUMERO_PC duplicado",IF(B321="","DATA_PC vazia",IF(NOT(ISNUMBER(B321)),"DATA_PC invalida",IF(OR(C321="",C321="Fora dos ciclos"),"CICLO_PC nao identificado",IF(OR(D321="",D321=0),"VALOR_PC vazio ou zero",IF(AND(G321&lt;&gt;"Sim",G321&lt;&gt;"Nao",G321&lt;&gt;""),"PC_PAGO_A_CONTRATADA invalido",IF(AND(C321&lt;&gt;"C0",IFERROR(INDEX(parametros!$A$2:$A$6,MATCH(C321,parametros!$B$2:$B$6,0)),"")="Sim",IFERROR(INDEX(parametros!$H$2:$H$6,MATCH(C321,parametros!$B$2:$B$6,0)),"")=""),"INICIO_EFEITO ausente: PC "&amp;A321&amp;" - "&amp;C321,IF(L321="","EFEITO_PC nao calculado: PC "&amp;A321&amp;" - "&amp;C321,"OK")))))))))</f>
        <v/>
      </c>
      <c r="L321" s="92" t="str">
        <f>IF(AND(A321="",B321="",D321="",G321=""),"",IF(OR(B321="",NOT(ISNUMBER(B321)),C321="",C321="Fora dos ciclos"),"",IF(C321="C0","Nao",IF(IFERROR(INDEX(parametros!$A$2:$A$6,MATCH(C321,parametros!$B$2:$B$6,0)),"")&lt;&gt;"Sim","Nao",IF(IFERROR(INDEX(parametros!$H$2:$H$6,MATCH(C321,parametros!$B$2:$B$6,0)),"")="","",IF(B321&gt;=IFERROR(INDEX(parametros!$H$2:$H$6,MATCH(C321,parametros!$B$2:$B$6,0)),""),"Sim","Nao"))))))</f>
        <v/>
      </c>
      <c r="T321" s="156"/>
      <c r="U321" s="214" t="str">
        <f t="shared" si="26"/>
        <v/>
      </c>
      <c r="V321" s="212" t="s">
        <v>50</v>
      </c>
      <c r="W321" s="100" t="s">
        <v>168</v>
      </c>
      <c r="X321" s="100" t="s">
        <v>169</v>
      </c>
      <c r="Y321" s="101" t="s">
        <v>170</v>
      </c>
      <c r="Z321" s="101" t="s">
        <v>171</v>
      </c>
      <c r="AA321" s="101" t="s">
        <v>50</v>
      </c>
      <c r="AB321" s="101" t="s">
        <v>172</v>
      </c>
      <c r="AC321" s="102" t="s">
        <v>173</v>
      </c>
    </row>
    <row r="322" spans="1:29" ht="25.5" customHeight="1" x14ac:dyDescent="0.35">
      <c r="A322" s="392"/>
      <c r="B322" s="393"/>
      <c r="C322" s="99" t="str">
        <f>IF(B322="","",IF(NOT(ISNUMBER(B322)),"DATA_PC invalida",IF(NOT(ISNUMBER(parametros!$C$2)),"Fora dos ciclos",IF(OR(B322&lt;parametros!$C$2,(YEAR(B322)-YEAR(parametros!$C$2))*12+MONTH(B322)-MONTH(parametros!$C$2)&gt;59),"Fora dos ciclos","C"&amp;INT(((YEAR(B322)-YEAR(parametros!$C$2))*12+MONTH(B322)-MONTH(parametros!$C$2))/12)))))</f>
        <v/>
      </c>
      <c r="D322" s="394"/>
      <c r="E322" s="78" t="str">
        <f>IF(C322="","",IFERROR(VLOOKUP(C322,parametros!$A$11:$E$15,5,0),""))</f>
        <v/>
      </c>
      <c r="F322" s="79" t="str">
        <f t="shared" ref="F322:F385" si="27">IF(OR(D322="",E322=""),"",ROUND(D322*E322,2))</f>
        <v/>
      </c>
      <c r="G322" s="395"/>
      <c r="H322" s="91">
        <f t="shared" ref="H322:H385" si="28">IF(G322="Sim",IF(OR(F322="",D322="",L322=""),"",IF(L322="Sim",ROUND(F322-D322,2),0)),0)</f>
        <v>0</v>
      </c>
      <c r="I322" s="91" t="str">
        <f t="shared" ref="I322:I385" si="29">IF(G322="Sim",0,IF(OR(F322="",L322=""),"",F322))</f>
        <v/>
      </c>
      <c r="J322" s="91" t="str">
        <f t="shared" ref="J322:J385" si="30">IF(G322="Sim",0,IF(OR(F322="",D322="",L322=""),"",IF(L322="Sim",ROUND(F322-D322,2),0)))</f>
        <v/>
      </c>
      <c r="K322" s="92" t="str">
        <f>IF(AND(A322="",B322="",D322="",G322=""),"",IF(AND(A322&lt;&gt;"",COUNTIF($A$2:$A$5001,A322)&gt;1),"NUMERO_PC duplicado",IF(B322="","DATA_PC vazia",IF(NOT(ISNUMBER(B322)),"DATA_PC invalida",IF(OR(C322="",C322="Fora dos ciclos"),"CICLO_PC nao identificado",IF(OR(D322="",D322=0),"VALOR_PC vazio ou zero",IF(AND(G322&lt;&gt;"Sim",G322&lt;&gt;"Nao",G322&lt;&gt;""),"PC_PAGO_A_CONTRATADA invalido",IF(AND(C322&lt;&gt;"C0",IFERROR(INDEX(parametros!$A$2:$A$6,MATCH(C322,parametros!$B$2:$B$6,0)),"")="Sim",IFERROR(INDEX(parametros!$H$2:$H$6,MATCH(C322,parametros!$B$2:$B$6,0)),"")=""),"INICIO_EFEITO ausente: PC "&amp;A322&amp;" - "&amp;C322,IF(L322="","EFEITO_PC nao calculado: PC "&amp;A322&amp;" - "&amp;C322,"OK")))))))))</f>
        <v/>
      </c>
      <c r="L322" s="92" t="str">
        <f>IF(AND(A322="",B322="",D322="",G322=""),"",IF(OR(B322="",NOT(ISNUMBER(B322)),C322="",C322="Fora dos ciclos"),"",IF(C322="C0","Nao",IF(IFERROR(INDEX(parametros!$A$2:$A$6,MATCH(C322,parametros!$B$2:$B$6,0)),"")&lt;&gt;"Sim","Nao",IF(IFERROR(INDEX(parametros!$H$2:$H$6,MATCH(C322,parametros!$B$2:$B$6,0)),"")="","",IF(B322&gt;=IFERROR(INDEX(parametros!$H$2:$H$6,MATCH(C322,parametros!$B$2:$B$6,0)),""),"Sim","Nao"))))))</f>
        <v/>
      </c>
      <c r="T322" s="156"/>
      <c r="U322" s="214" t="str">
        <f t="shared" ref="U322:U385" si="31">IF(OR($D322="",$H322=""),"",ROUND($D322+$H322,2))</f>
        <v/>
      </c>
      <c r="V322" s="212" t="s">
        <v>50</v>
      </c>
      <c r="W322" s="100" t="s">
        <v>168</v>
      </c>
      <c r="X322" s="100" t="s">
        <v>169</v>
      </c>
      <c r="Y322" s="101" t="s">
        <v>170</v>
      </c>
      <c r="Z322" s="101" t="s">
        <v>171</v>
      </c>
      <c r="AA322" s="101" t="s">
        <v>50</v>
      </c>
      <c r="AB322" s="101" t="s">
        <v>172</v>
      </c>
      <c r="AC322" s="102" t="s">
        <v>173</v>
      </c>
    </row>
    <row r="323" spans="1:29" ht="25.5" customHeight="1" x14ac:dyDescent="0.35">
      <c r="A323" s="392"/>
      <c r="B323" s="393"/>
      <c r="C323" s="99" t="str">
        <f>IF(B323="","",IF(NOT(ISNUMBER(B323)),"DATA_PC invalida",IF(NOT(ISNUMBER(parametros!$C$2)),"Fora dos ciclos",IF(OR(B323&lt;parametros!$C$2,(YEAR(B323)-YEAR(parametros!$C$2))*12+MONTH(B323)-MONTH(parametros!$C$2)&gt;59),"Fora dos ciclos","C"&amp;INT(((YEAR(B323)-YEAR(parametros!$C$2))*12+MONTH(B323)-MONTH(parametros!$C$2))/12)))))</f>
        <v/>
      </c>
      <c r="D323" s="394"/>
      <c r="E323" s="78" t="str">
        <f>IF(C323="","",IFERROR(VLOOKUP(C323,parametros!$A$11:$E$15,5,0),""))</f>
        <v/>
      </c>
      <c r="F323" s="79" t="str">
        <f t="shared" si="27"/>
        <v/>
      </c>
      <c r="G323" s="395"/>
      <c r="H323" s="91">
        <f t="shared" si="28"/>
        <v>0</v>
      </c>
      <c r="I323" s="91" t="str">
        <f t="shared" si="29"/>
        <v/>
      </c>
      <c r="J323" s="91" t="str">
        <f t="shared" si="30"/>
        <v/>
      </c>
      <c r="K323" s="92" t="str">
        <f>IF(AND(A323="",B323="",D323="",G323=""),"",IF(AND(A323&lt;&gt;"",COUNTIF($A$2:$A$5001,A323)&gt;1),"NUMERO_PC duplicado",IF(B323="","DATA_PC vazia",IF(NOT(ISNUMBER(B323)),"DATA_PC invalida",IF(OR(C323="",C323="Fora dos ciclos"),"CICLO_PC nao identificado",IF(OR(D323="",D323=0),"VALOR_PC vazio ou zero",IF(AND(G323&lt;&gt;"Sim",G323&lt;&gt;"Nao",G323&lt;&gt;""),"PC_PAGO_A_CONTRATADA invalido",IF(AND(C323&lt;&gt;"C0",IFERROR(INDEX(parametros!$A$2:$A$6,MATCH(C323,parametros!$B$2:$B$6,0)),"")="Sim",IFERROR(INDEX(parametros!$H$2:$H$6,MATCH(C323,parametros!$B$2:$B$6,0)),"")=""),"INICIO_EFEITO ausente: PC "&amp;A323&amp;" - "&amp;C323,IF(L323="","EFEITO_PC nao calculado: PC "&amp;A323&amp;" - "&amp;C323,"OK")))))))))</f>
        <v/>
      </c>
      <c r="L323" s="92" t="str">
        <f>IF(AND(A323="",B323="",D323="",G323=""),"",IF(OR(B323="",NOT(ISNUMBER(B323)),C323="",C323="Fora dos ciclos"),"",IF(C323="C0","Nao",IF(IFERROR(INDEX(parametros!$A$2:$A$6,MATCH(C323,parametros!$B$2:$B$6,0)),"")&lt;&gt;"Sim","Nao",IF(IFERROR(INDEX(parametros!$H$2:$H$6,MATCH(C323,parametros!$B$2:$B$6,0)),"")="","",IF(B323&gt;=IFERROR(INDEX(parametros!$H$2:$H$6,MATCH(C323,parametros!$B$2:$B$6,0)),""),"Sim","Nao"))))))</f>
        <v/>
      </c>
      <c r="T323" s="156"/>
      <c r="U323" s="214" t="str">
        <f t="shared" si="31"/>
        <v/>
      </c>
      <c r="V323" s="212" t="s">
        <v>50</v>
      </c>
      <c r="W323" s="100" t="s">
        <v>168</v>
      </c>
      <c r="X323" s="100" t="s">
        <v>169</v>
      </c>
      <c r="Y323" s="101" t="s">
        <v>170</v>
      </c>
      <c r="Z323" s="101" t="s">
        <v>171</v>
      </c>
      <c r="AA323" s="101" t="s">
        <v>50</v>
      </c>
      <c r="AB323" s="101" t="s">
        <v>172</v>
      </c>
      <c r="AC323" s="102" t="s">
        <v>173</v>
      </c>
    </row>
    <row r="324" spans="1:29" ht="25.5" customHeight="1" x14ac:dyDescent="0.35">
      <c r="A324" s="392"/>
      <c r="B324" s="393"/>
      <c r="C324" s="99" t="str">
        <f>IF(B324="","",IF(NOT(ISNUMBER(B324)),"DATA_PC invalida",IF(NOT(ISNUMBER(parametros!$C$2)),"Fora dos ciclos",IF(OR(B324&lt;parametros!$C$2,(YEAR(B324)-YEAR(parametros!$C$2))*12+MONTH(B324)-MONTH(parametros!$C$2)&gt;59),"Fora dos ciclos","C"&amp;INT(((YEAR(B324)-YEAR(parametros!$C$2))*12+MONTH(B324)-MONTH(parametros!$C$2))/12)))))</f>
        <v/>
      </c>
      <c r="D324" s="394"/>
      <c r="E324" s="78" t="str">
        <f>IF(C324="","",IFERROR(VLOOKUP(C324,parametros!$A$11:$E$15,5,0),""))</f>
        <v/>
      </c>
      <c r="F324" s="79" t="str">
        <f t="shared" si="27"/>
        <v/>
      </c>
      <c r="G324" s="395"/>
      <c r="H324" s="91">
        <f t="shared" si="28"/>
        <v>0</v>
      </c>
      <c r="I324" s="91" t="str">
        <f t="shared" si="29"/>
        <v/>
      </c>
      <c r="J324" s="91" t="str">
        <f t="shared" si="30"/>
        <v/>
      </c>
      <c r="K324" s="92" t="str">
        <f>IF(AND(A324="",B324="",D324="",G324=""),"",IF(AND(A324&lt;&gt;"",COUNTIF($A$2:$A$5001,A324)&gt;1),"NUMERO_PC duplicado",IF(B324="","DATA_PC vazia",IF(NOT(ISNUMBER(B324)),"DATA_PC invalida",IF(OR(C324="",C324="Fora dos ciclos"),"CICLO_PC nao identificado",IF(OR(D324="",D324=0),"VALOR_PC vazio ou zero",IF(AND(G324&lt;&gt;"Sim",G324&lt;&gt;"Nao",G324&lt;&gt;""),"PC_PAGO_A_CONTRATADA invalido",IF(AND(C324&lt;&gt;"C0",IFERROR(INDEX(parametros!$A$2:$A$6,MATCH(C324,parametros!$B$2:$B$6,0)),"")="Sim",IFERROR(INDEX(parametros!$H$2:$H$6,MATCH(C324,parametros!$B$2:$B$6,0)),"")=""),"INICIO_EFEITO ausente: PC "&amp;A324&amp;" - "&amp;C324,IF(L324="","EFEITO_PC nao calculado: PC "&amp;A324&amp;" - "&amp;C324,"OK")))))))))</f>
        <v/>
      </c>
      <c r="L324" s="92" t="str">
        <f>IF(AND(A324="",B324="",D324="",G324=""),"",IF(OR(B324="",NOT(ISNUMBER(B324)),C324="",C324="Fora dos ciclos"),"",IF(C324="C0","Nao",IF(IFERROR(INDEX(parametros!$A$2:$A$6,MATCH(C324,parametros!$B$2:$B$6,0)),"")&lt;&gt;"Sim","Nao",IF(IFERROR(INDEX(parametros!$H$2:$H$6,MATCH(C324,parametros!$B$2:$B$6,0)),"")="","",IF(B324&gt;=IFERROR(INDEX(parametros!$H$2:$H$6,MATCH(C324,parametros!$B$2:$B$6,0)),""),"Sim","Nao"))))))</f>
        <v/>
      </c>
      <c r="T324" s="156"/>
      <c r="U324" s="214" t="str">
        <f t="shared" si="31"/>
        <v/>
      </c>
      <c r="V324" s="212" t="s">
        <v>50</v>
      </c>
      <c r="W324" s="100" t="s">
        <v>168</v>
      </c>
      <c r="X324" s="100" t="s">
        <v>169</v>
      </c>
      <c r="Y324" s="101" t="s">
        <v>170</v>
      </c>
      <c r="Z324" s="101" t="s">
        <v>171</v>
      </c>
      <c r="AA324" s="101" t="s">
        <v>50</v>
      </c>
      <c r="AB324" s="101" t="s">
        <v>172</v>
      </c>
      <c r="AC324" s="102" t="s">
        <v>173</v>
      </c>
    </row>
    <row r="325" spans="1:29" ht="25.5" customHeight="1" x14ac:dyDescent="0.35">
      <c r="A325" s="392"/>
      <c r="B325" s="393"/>
      <c r="C325" s="99" t="str">
        <f>IF(B325="","",IF(NOT(ISNUMBER(B325)),"DATA_PC invalida",IF(NOT(ISNUMBER(parametros!$C$2)),"Fora dos ciclos",IF(OR(B325&lt;parametros!$C$2,(YEAR(B325)-YEAR(parametros!$C$2))*12+MONTH(B325)-MONTH(parametros!$C$2)&gt;59),"Fora dos ciclos","C"&amp;INT(((YEAR(B325)-YEAR(parametros!$C$2))*12+MONTH(B325)-MONTH(parametros!$C$2))/12)))))</f>
        <v/>
      </c>
      <c r="D325" s="394"/>
      <c r="E325" s="78" t="str">
        <f>IF(C325="","",IFERROR(VLOOKUP(C325,parametros!$A$11:$E$15,5,0),""))</f>
        <v/>
      </c>
      <c r="F325" s="79" t="str">
        <f t="shared" si="27"/>
        <v/>
      </c>
      <c r="G325" s="395"/>
      <c r="H325" s="91">
        <f t="shared" si="28"/>
        <v>0</v>
      </c>
      <c r="I325" s="91" t="str">
        <f t="shared" si="29"/>
        <v/>
      </c>
      <c r="J325" s="91" t="str">
        <f t="shared" si="30"/>
        <v/>
      </c>
      <c r="K325" s="92" t="str">
        <f>IF(AND(A325="",B325="",D325="",G325=""),"",IF(AND(A325&lt;&gt;"",COUNTIF($A$2:$A$5001,A325)&gt;1),"NUMERO_PC duplicado",IF(B325="","DATA_PC vazia",IF(NOT(ISNUMBER(B325)),"DATA_PC invalida",IF(OR(C325="",C325="Fora dos ciclos"),"CICLO_PC nao identificado",IF(OR(D325="",D325=0),"VALOR_PC vazio ou zero",IF(AND(G325&lt;&gt;"Sim",G325&lt;&gt;"Nao",G325&lt;&gt;""),"PC_PAGO_A_CONTRATADA invalido",IF(AND(C325&lt;&gt;"C0",IFERROR(INDEX(parametros!$A$2:$A$6,MATCH(C325,parametros!$B$2:$B$6,0)),"")="Sim",IFERROR(INDEX(parametros!$H$2:$H$6,MATCH(C325,parametros!$B$2:$B$6,0)),"")=""),"INICIO_EFEITO ausente: PC "&amp;A325&amp;" - "&amp;C325,IF(L325="","EFEITO_PC nao calculado: PC "&amp;A325&amp;" - "&amp;C325,"OK")))))))))</f>
        <v/>
      </c>
      <c r="L325" s="92" t="str">
        <f>IF(AND(A325="",B325="",D325="",G325=""),"",IF(OR(B325="",NOT(ISNUMBER(B325)),C325="",C325="Fora dos ciclos"),"",IF(C325="C0","Nao",IF(IFERROR(INDEX(parametros!$A$2:$A$6,MATCH(C325,parametros!$B$2:$B$6,0)),"")&lt;&gt;"Sim","Nao",IF(IFERROR(INDEX(parametros!$H$2:$H$6,MATCH(C325,parametros!$B$2:$B$6,0)),"")="","",IF(B325&gt;=IFERROR(INDEX(parametros!$H$2:$H$6,MATCH(C325,parametros!$B$2:$B$6,0)),""),"Sim","Nao"))))))</f>
        <v/>
      </c>
      <c r="T325" s="156"/>
      <c r="U325" s="214" t="str">
        <f t="shared" si="31"/>
        <v/>
      </c>
      <c r="V325" s="212" t="s">
        <v>50</v>
      </c>
      <c r="W325" s="100" t="s">
        <v>168</v>
      </c>
      <c r="X325" s="100" t="s">
        <v>169</v>
      </c>
      <c r="Y325" s="101" t="s">
        <v>170</v>
      </c>
      <c r="Z325" s="101" t="s">
        <v>171</v>
      </c>
      <c r="AA325" s="101" t="s">
        <v>50</v>
      </c>
      <c r="AB325" s="101" t="s">
        <v>172</v>
      </c>
      <c r="AC325" s="102" t="s">
        <v>173</v>
      </c>
    </row>
    <row r="326" spans="1:29" ht="25.5" customHeight="1" x14ac:dyDescent="0.35">
      <c r="A326" s="392"/>
      <c r="B326" s="393"/>
      <c r="C326" s="99" t="str">
        <f>IF(B326="","",IF(NOT(ISNUMBER(B326)),"DATA_PC invalida",IF(NOT(ISNUMBER(parametros!$C$2)),"Fora dos ciclos",IF(OR(B326&lt;parametros!$C$2,(YEAR(B326)-YEAR(parametros!$C$2))*12+MONTH(B326)-MONTH(parametros!$C$2)&gt;59),"Fora dos ciclos","C"&amp;INT(((YEAR(B326)-YEAR(parametros!$C$2))*12+MONTH(B326)-MONTH(parametros!$C$2))/12)))))</f>
        <v/>
      </c>
      <c r="D326" s="394"/>
      <c r="E326" s="78" t="str">
        <f>IF(C326="","",IFERROR(VLOOKUP(C326,parametros!$A$11:$E$15,5,0),""))</f>
        <v/>
      </c>
      <c r="F326" s="79" t="str">
        <f t="shared" si="27"/>
        <v/>
      </c>
      <c r="G326" s="395"/>
      <c r="H326" s="91">
        <f t="shared" si="28"/>
        <v>0</v>
      </c>
      <c r="I326" s="91" t="str">
        <f t="shared" si="29"/>
        <v/>
      </c>
      <c r="J326" s="91" t="str">
        <f t="shared" si="30"/>
        <v/>
      </c>
      <c r="K326" s="92" t="str">
        <f>IF(AND(A326="",B326="",D326="",G326=""),"",IF(AND(A326&lt;&gt;"",COUNTIF($A$2:$A$5001,A326)&gt;1),"NUMERO_PC duplicado",IF(B326="","DATA_PC vazia",IF(NOT(ISNUMBER(B326)),"DATA_PC invalida",IF(OR(C326="",C326="Fora dos ciclos"),"CICLO_PC nao identificado",IF(OR(D326="",D326=0),"VALOR_PC vazio ou zero",IF(AND(G326&lt;&gt;"Sim",G326&lt;&gt;"Nao",G326&lt;&gt;""),"PC_PAGO_A_CONTRATADA invalido",IF(AND(C326&lt;&gt;"C0",IFERROR(INDEX(parametros!$A$2:$A$6,MATCH(C326,parametros!$B$2:$B$6,0)),"")="Sim",IFERROR(INDEX(parametros!$H$2:$H$6,MATCH(C326,parametros!$B$2:$B$6,0)),"")=""),"INICIO_EFEITO ausente: PC "&amp;A326&amp;" - "&amp;C326,IF(L326="","EFEITO_PC nao calculado: PC "&amp;A326&amp;" - "&amp;C326,"OK")))))))))</f>
        <v/>
      </c>
      <c r="L326" s="92" t="str">
        <f>IF(AND(A326="",B326="",D326="",G326=""),"",IF(OR(B326="",NOT(ISNUMBER(B326)),C326="",C326="Fora dos ciclos"),"",IF(C326="C0","Nao",IF(IFERROR(INDEX(parametros!$A$2:$A$6,MATCH(C326,parametros!$B$2:$B$6,0)),"")&lt;&gt;"Sim","Nao",IF(IFERROR(INDEX(parametros!$H$2:$H$6,MATCH(C326,parametros!$B$2:$B$6,0)),"")="","",IF(B326&gt;=IFERROR(INDEX(parametros!$H$2:$H$6,MATCH(C326,parametros!$B$2:$B$6,0)),""),"Sim","Nao"))))))</f>
        <v/>
      </c>
      <c r="T326" s="156"/>
      <c r="U326" s="214" t="str">
        <f t="shared" si="31"/>
        <v/>
      </c>
      <c r="V326" s="212" t="s">
        <v>50</v>
      </c>
      <c r="W326" s="100" t="s">
        <v>168</v>
      </c>
      <c r="X326" s="100" t="s">
        <v>169</v>
      </c>
      <c r="Y326" s="101" t="s">
        <v>170</v>
      </c>
      <c r="Z326" s="101" t="s">
        <v>171</v>
      </c>
      <c r="AA326" s="101" t="s">
        <v>50</v>
      </c>
      <c r="AB326" s="101" t="s">
        <v>172</v>
      </c>
      <c r="AC326" s="102" t="s">
        <v>173</v>
      </c>
    </row>
    <row r="327" spans="1:29" ht="25.5" customHeight="1" x14ac:dyDescent="0.35">
      <c r="A327" s="392"/>
      <c r="B327" s="393"/>
      <c r="C327" s="99" t="str">
        <f>IF(B327="","",IF(NOT(ISNUMBER(B327)),"DATA_PC invalida",IF(NOT(ISNUMBER(parametros!$C$2)),"Fora dos ciclos",IF(OR(B327&lt;parametros!$C$2,(YEAR(B327)-YEAR(parametros!$C$2))*12+MONTH(B327)-MONTH(parametros!$C$2)&gt;59),"Fora dos ciclos","C"&amp;INT(((YEAR(B327)-YEAR(parametros!$C$2))*12+MONTH(B327)-MONTH(parametros!$C$2))/12)))))</f>
        <v/>
      </c>
      <c r="D327" s="394"/>
      <c r="E327" s="78" t="str">
        <f>IF(C327="","",IFERROR(VLOOKUP(C327,parametros!$A$11:$E$15,5,0),""))</f>
        <v/>
      </c>
      <c r="F327" s="79" t="str">
        <f t="shared" si="27"/>
        <v/>
      </c>
      <c r="G327" s="395"/>
      <c r="H327" s="91">
        <f t="shared" si="28"/>
        <v>0</v>
      </c>
      <c r="I327" s="91" t="str">
        <f t="shared" si="29"/>
        <v/>
      </c>
      <c r="J327" s="91" t="str">
        <f t="shared" si="30"/>
        <v/>
      </c>
      <c r="K327" s="92" t="str">
        <f>IF(AND(A327="",B327="",D327="",G327=""),"",IF(AND(A327&lt;&gt;"",COUNTIF($A$2:$A$5001,A327)&gt;1),"NUMERO_PC duplicado",IF(B327="","DATA_PC vazia",IF(NOT(ISNUMBER(B327)),"DATA_PC invalida",IF(OR(C327="",C327="Fora dos ciclos"),"CICLO_PC nao identificado",IF(OR(D327="",D327=0),"VALOR_PC vazio ou zero",IF(AND(G327&lt;&gt;"Sim",G327&lt;&gt;"Nao",G327&lt;&gt;""),"PC_PAGO_A_CONTRATADA invalido",IF(AND(C327&lt;&gt;"C0",IFERROR(INDEX(parametros!$A$2:$A$6,MATCH(C327,parametros!$B$2:$B$6,0)),"")="Sim",IFERROR(INDEX(parametros!$H$2:$H$6,MATCH(C327,parametros!$B$2:$B$6,0)),"")=""),"INICIO_EFEITO ausente: PC "&amp;A327&amp;" - "&amp;C327,IF(L327="","EFEITO_PC nao calculado: PC "&amp;A327&amp;" - "&amp;C327,"OK")))))))))</f>
        <v/>
      </c>
      <c r="L327" s="92" t="str">
        <f>IF(AND(A327="",B327="",D327="",G327=""),"",IF(OR(B327="",NOT(ISNUMBER(B327)),C327="",C327="Fora dos ciclos"),"",IF(C327="C0","Nao",IF(IFERROR(INDEX(parametros!$A$2:$A$6,MATCH(C327,parametros!$B$2:$B$6,0)),"")&lt;&gt;"Sim","Nao",IF(IFERROR(INDEX(parametros!$H$2:$H$6,MATCH(C327,parametros!$B$2:$B$6,0)),"")="","",IF(B327&gt;=IFERROR(INDEX(parametros!$H$2:$H$6,MATCH(C327,parametros!$B$2:$B$6,0)),""),"Sim","Nao"))))))</f>
        <v/>
      </c>
      <c r="T327" s="156"/>
      <c r="U327" s="214" t="str">
        <f t="shared" si="31"/>
        <v/>
      </c>
      <c r="V327" s="212" t="s">
        <v>50</v>
      </c>
      <c r="W327" s="100" t="s">
        <v>168</v>
      </c>
      <c r="X327" s="100" t="s">
        <v>169</v>
      </c>
      <c r="Y327" s="101" t="s">
        <v>170</v>
      </c>
      <c r="Z327" s="101" t="s">
        <v>171</v>
      </c>
      <c r="AA327" s="101" t="s">
        <v>50</v>
      </c>
      <c r="AB327" s="101" t="s">
        <v>172</v>
      </c>
      <c r="AC327" s="102" t="s">
        <v>173</v>
      </c>
    </row>
    <row r="328" spans="1:29" ht="25.5" customHeight="1" x14ac:dyDescent="0.35">
      <c r="A328" s="392"/>
      <c r="B328" s="393"/>
      <c r="C328" s="99" t="str">
        <f>IF(B328="","",IF(NOT(ISNUMBER(B328)),"DATA_PC invalida",IF(NOT(ISNUMBER(parametros!$C$2)),"Fora dos ciclos",IF(OR(B328&lt;parametros!$C$2,(YEAR(B328)-YEAR(parametros!$C$2))*12+MONTH(B328)-MONTH(parametros!$C$2)&gt;59),"Fora dos ciclos","C"&amp;INT(((YEAR(B328)-YEAR(parametros!$C$2))*12+MONTH(B328)-MONTH(parametros!$C$2))/12)))))</f>
        <v/>
      </c>
      <c r="D328" s="394"/>
      <c r="E328" s="78" t="str">
        <f>IF(C328="","",IFERROR(VLOOKUP(C328,parametros!$A$11:$E$15,5,0),""))</f>
        <v/>
      </c>
      <c r="F328" s="79" t="str">
        <f t="shared" si="27"/>
        <v/>
      </c>
      <c r="G328" s="395"/>
      <c r="H328" s="91">
        <f t="shared" si="28"/>
        <v>0</v>
      </c>
      <c r="I328" s="91" t="str">
        <f t="shared" si="29"/>
        <v/>
      </c>
      <c r="J328" s="91" t="str">
        <f t="shared" si="30"/>
        <v/>
      </c>
      <c r="K328" s="92" t="str">
        <f>IF(AND(A328="",B328="",D328="",G328=""),"",IF(AND(A328&lt;&gt;"",COUNTIF($A$2:$A$5001,A328)&gt;1),"NUMERO_PC duplicado",IF(B328="","DATA_PC vazia",IF(NOT(ISNUMBER(B328)),"DATA_PC invalida",IF(OR(C328="",C328="Fora dos ciclos"),"CICLO_PC nao identificado",IF(OR(D328="",D328=0),"VALOR_PC vazio ou zero",IF(AND(G328&lt;&gt;"Sim",G328&lt;&gt;"Nao",G328&lt;&gt;""),"PC_PAGO_A_CONTRATADA invalido",IF(AND(C328&lt;&gt;"C0",IFERROR(INDEX(parametros!$A$2:$A$6,MATCH(C328,parametros!$B$2:$B$6,0)),"")="Sim",IFERROR(INDEX(parametros!$H$2:$H$6,MATCH(C328,parametros!$B$2:$B$6,0)),"")=""),"INICIO_EFEITO ausente: PC "&amp;A328&amp;" - "&amp;C328,IF(L328="","EFEITO_PC nao calculado: PC "&amp;A328&amp;" - "&amp;C328,"OK")))))))))</f>
        <v/>
      </c>
      <c r="L328" s="92" t="str">
        <f>IF(AND(A328="",B328="",D328="",G328=""),"",IF(OR(B328="",NOT(ISNUMBER(B328)),C328="",C328="Fora dos ciclos"),"",IF(C328="C0","Nao",IF(IFERROR(INDEX(parametros!$A$2:$A$6,MATCH(C328,parametros!$B$2:$B$6,0)),"")&lt;&gt;"Sim","Nao",IF(IFERROR(INDEX(parametros!$H$2:$H$6,MATCH(C328,parametros!$B$2:$B$6,0)),"")="","",IF(B328&gt;=IFERROR(INDEX(parametros!$H$2:$H$6,MATCH(C328,parametros!$B$2:$B$6,0)),""),"Sim","Nao"))))))</f>
        <v/>
      </c>
      <c r="T328" s="156"/>
      <c r="U328" s="214" t="str">
        <f t="shared" si="31"/>
        <v/>
      </c>
      <c r="V328" s="212" t="s">
        <v>50</v>
      </c>
      <c r="W328" s="100" t="s">
        <v>168</v>
      </c>
      <c r="X328" s="100" t="s">
        <v>169</v>
      </c>
      <c r="Y328" s="101" t="s">
        <v>170</v>
      </c>
      <c r="Z328" s="101" t="s">
        <v>171</v>
      </c>
      <c r="AA328" s="101" t="s">
        <v>50</v>
      </c>
      <c r="AB328" s="101" t="s">
        <v>172</v>
      </c>
      <c r="AC328" s="102" t="s">
        <v>173</v>
      </c>
    </row>
    <row r="329" spans="1:29" ht="25.5" customHeight="1" x14ac:dyDescent="0.35">
      <c r="A329" s="392"/>
      <c r="B329" s="393"/>
      <c r="C329" s="99" t="str">
        <f>IF(B329="","",IF(NOT(ISNUMBER(B329)),"DATA_PC invalida",IF(NOT(ISNUMBER(parametros!$C$2)),"Fora dos ciclos",IF(OR(B329&lt;parametros!$C$2,(YEAR(B329)-YEAR(parametros!$C$2))*12+MONTH(B329)-MONTH(parametros!$C$2)&gt;59),"Fora dos ciclos","C"&amp;INT(((YEAR(B329)-YEAR(parametros!$C$2))*12+MONTH(B329)-MONTH(parametros!$C$2))/12)))))</f>
        <v/>
      </c>
      <c r="D329" s="394"/>
      <c r="E329" s="78" t="str">
        <f>IF(C329="","",IFERROR(VLOOKUP(C329,parametros!$A$11:$E$15,5,0),""))</f>
        <v/>
      </c>
      <c r="F329" s="79" t="str">
        <f t="shared" si="27"/>
        <v/>
      </c>
      <c r="G329" s="395"/>
      <c r="H329" s="91">
        <f t="shared" si="28"/>
        <v>0</v>
      </c>
      <c r="I329" s="91" t="str">
        <f t="shared" si="29"/>
        <v/>
      </c>
      <c r="J329" s="91" t="str">
        <f t="shared" si="30"/>
        <v/>
      </c>
      <c r="K329" s="92" t="str">
        <f>IF(AND(A329="",B329="",D329="",G329=""),"",IF(AND(A329&lt;&gt;"",COUNTIF($A$2:$A$5001,A329)&gt;1),"NUMERO_PC duplicado",IF(B329="","DATA_PC vazia",IF(NOT(ISNUMBER(B329)),"DATA_PC invalida",IF(OR(C329="",C329="Fora dos ciclos"),"CICLO_PC nao identificado",IF(OR(D329="",D329=0),"VALOR_PC vazio ou zero",IF(AND(G329&lt;&gt;"Sim",G329&lt;&gt;"Nao",G329&lt;&gt;""),"PC_PAGO_A_CONTRATADA invalido",IF(AND(C329&lt;&gt;"C0",IFERROR(INDEX(parametros!$A$2:$A$6,MATCH(C329,parametros!$B$2:$B$6,0)),"")="Sim",IFERROR(INDEX(parametros!$H$2:$H$6,MATCH(C329,parametros!$B$2:$B$6,0)),"")=""),"INICIO_EFEITO ausente: PC "&amp;A329&amp;" - "&amp;C329,IF(L329="","EFEITO_PC nao calculado: PC "&amp;A329&amp;" - "&amp;C329,"OK")))))))))</f>
        <v/>
      </c>
      <c r="L329" s="92" t="str">
        <f>IF(AND(A329="",B329="",D329="",G329=""),"",IF(OR(B329="",NOT(ISNUMBER(B329)),C329="",C329="Fora dos ciclos"),"",IF(C329="C0","Nao",IF(IFERROR(INDEX(parametros!$A$2:$A$6,MATCH(C329,parametros!$B$2:$B$6,0)),"")&lt;&gt;"Sim","Nao",IF(IFERROR(INDEX(parametros!$H$2:$H$6,MATCH(C329,parametros!$B$2:$B$6,0)),"")="","",IF(B329&gt;=IFERROR(INDEX(parametros!$H$2:$H$6,MATCH(C329,parametros!$B$2:$B$6,0)),""),"Sim","Nao"))))))</f>
        <v/>
      </c>
      <c r="T329" s="156"/>
      <c r="U329" s="214" t="str">
        <f t="shared" si="31"/>
        <v/>
      </c>
      <c r="V329" s="212" t="s">
        <v>50</v>
      </c>
      <c r="W329" s="100" t="s">
        <v>168</v>
      </c>
      <c r="X329" s="100" t="s">
        <v>169</v>
      </c>
      <c r="Y329" s="101" t="s">
        <v>170</v>
      </c>
      <c r="Z329" s="101" t="s">
        <v>171</v>
      </c>
      <c r="AA329" s="101" t="s">
        <v>50</v>
      </c>
      <c r="AB329" s="101" t="s">
        <v>172</v>
      </c>
      <c r="AC329" s="102" t="s">
        <v>173</v>
      </c>
    </row>
    <row r="330" spans="1:29" ht="25.5" customHeight="1" x14ac:dyDescent="0.35">
      <c r="A330" s="392"/>
      <c r="B330" s="393"/>
      <c r="C330" s="99" t="str">
        <f>IF(B330="","",IF(NOT(ISNUMBER(B330)),"DATA_PC invalida",IF(NOT(ISNUMBER(parametros!$C$2)),"Fora dos ciclos",IF(OR(B330&lt;parametros!$C$2,(YEAR(B330)-YEAR(parametros!$C$2))*12+MONTH(B330)-MONTH(parametros!$C$2)&gt;59),"Fora dos ciclos","C"&amp;INT(((YEAR(B330)-YEAR(parametros!$C$2))*12+MONTH(B330)-MONTH(parametros!$C$2))/12)))))</f>
        <v/>
      </c>
      <c r="D330" s="394"/>
      <c r="E330" s="78" t="str">
        <f>IF(C330="","",IFERROR(VLOOKUP(C330,parametros!$A$11:$E$15,5,0),""))</f>
        <v/>
      </c>
      <c r="F330" s="79" t="str">
        <f t="shared" si="27"/>
        <v/>
      </c>
      <c r="G330" s="395"/>
      <c r="H330" s="91">
        <f t="shared" si="28"/>
        <v>0</v>
      </c>
      <c r="I330" s="91" t="str">
        <f t="shared" si="29"/>
        <v/>
      </c>
      <c r="J330" s="91" t="str">
        <f t="shared" si="30"/>
        <v/>
      </c>
      <c r="K330" s="92" t="str">
        <f>IF(AND(A330="",B330="",D330="",G330=""),"",IF(AND(A330&lt;&gt;"",COUNTIF($A$2:$A$5001,A330)&gt;1),"NUMERO_PC duplicado",IF(B330="","DATA_PC vazia",IF(NOT(ISNUMBER(B330)),"DATA_PC invalida",IF(OR(C330="",C330="Fora dos ciclos"),"CICLO_PC nao identificado",IF(OR(D330="",D330=0),"VALOR_PC vazio ou zero",IF(AND(G330&lt;&gt;"Sim",G330&lt;&gt;"Nao",G330&lt;&gt;""),"PC_PAGO_A_CONTRATADA invalido",IF(AND(C330&lt;&gt;"C0",IFERROR(INDEX(parametros!$A$2:$A$6,MATCH(C330,parametros!$B$2:$B$6,0)),"")="Sim",IFERROR(INDEX(parametros!$H$2:$H$6,MATCH(C330,parametros!$B$2:$B$6,0)),"")=""),"INICIO_EFEITO ausente: PC "&amp;A330&amp;" - "&amp;C330,IF(L330="","EFEITO_PC nao calculado: PC "&amp;A330&amp;" - "&amp;C330,"OK")))))))))</f>
        <v/>
      </c>
      <c r="L330" s="92" t="str">
        <f>IF(AND(A330="",B330="",D330="",G330=""),"",IF(OR(B330="",NOT(ISNUMBER(B330)),C330="",C330="Fora dos ciclos"),"",IF(C330="C0","Nao",IF(IFERROR(INDEX(parametros!$A$2:$A$6,MATCH(C330,parametros!$B$2:$B$6,0)),"")&lt;&gt;"Sim","Nao",IF(IFERROR(INDEX(parametros!$H$2:$H$6,MATCH(C330,parametros!$B$2:$B$6,0)),"")="","",IF(B330&gt;=IFERROR(INDEX(parametros!$H$2:$H$6,MATCH(C330,parametros!$B$2:$B$6,0)),""),"Sim","Nao"))))))</f>
        <v/>
      </c>
      <c r="T330" s="156"/>
      <c r="U330" s="214" t="str">
        <f t="shared" si="31"/>
        <v/>
      </c>
      <c r="V330" s="212" t="s">
        <v>50</v>
      </c>
      <c r="W330" s="100" t="s">
        <v>168</v>
      </c>
      <c r="X330" s="100" t="s">
        <v>169</v>
      </c>
      <c r="Y330" s="101" t="s">
        <v>170</v>
      </c>
      <c r="Z330" s="101" t="s">
        <v>171</v>
      </c>
      <c r="AA330" s="101" t="s">
        <v>50</v>
      </c>
      <c r="AB330" s="101" t="s">
        <v>172</v>
      </c>
      <c r="AC330" s="102" t="s">
        <v>173</v>
      </c>
    </row>
    <row r="331" spans="1:29" ht="25.5" customHeight="1" x14ac:dyDescent="0.35">
      <c r="A331" s="392"/>
      <c r="B331" s="393"/>
      <c r="C331" s="99" t="str">
        <f>IF(B331="","",IF(NOT(ISNUMBER(B331)),"DATA_PC invalida",IF(NOT(ISNUMBER(parametros!$C$2)),"Fora dos ciclos",IF(OR(B331&lt;parametros!$C$2,(YEAR(B331)-YEAR(parametros!$C$2))*12+MONTH(B331)-MONTH(parametros!$C$2)&gt;59),"Fora dos ciclos","C"&amp;INT(((YEAR(B331)-YEAR(parametros!$C$2))*12+MONTH(B331)-MONTH(parametros!$C$2))/12)))))</f>
        <v/>
      </c>
      <c r="D331" s="394"/>
      <c r="E331" s="78" t="str">
        <f>IF(C331="","",IFERROR(VLOOKUP(C331,parametros!$A$11:$E$15,5,0),""))</f>
        <v/>
      </c>
      <c r="F331" s="79" t="str">
        <f t="shared" si="27"/>
        <v/>
      </c>
      <c r="G331" s="395"/>
      <c r="H331" s="91">
        <f t="shared" si="28"/>
        <v>0</v>
      </c>
      <c r="I331" s="91" t="str">
        <f t="shared" si="29"/>
        <v/>
      </c>
      <c r="J331" s="91" t="str">
        <f t="shared" si="30"/>
        <v/>
      </c>
      <c r="K331" s="92" t="str">
        <f>IF(AND(A331="",B331="",D331="",G331=""),"",IF(AND(A331&lt;&gt;"",COUNTIF($A$2:$A$5001,A331)&gt;1),"NUMERO_PC duplicado",IF(B331="","DATA_PC vazia",IF(NOT(ISNUMBER(B331)),"DATA_PC invalida",IF(OR(C331="",C331="Fora dos ciclos"),"CICLO_PC nao identificado",IF(OR(D331="",D331=0),"VALOR_PC vazio ou zero",IF(AND(G331&lt;&gt;"Sim",G331&lt;&gt;"Nao",G331&lt;&gt;""),"PC_PAGO_A_CONTRATADA invalido",IF(AND(C331&lt;&gt;"C0",IFERROR(INDEX(parametros!$A$2:$A$6,MATCH(C331,parametros!$B$2:$B$6,0)),"")="Sim",IFERROR(INDEX(parametros!$H$2:$H$6,MATCH(C331,parametros!$B$2:$B$6,0)),"")=""),"INICIO_EFEITO ausente: PC "&amp;A331&amp;" - "&amp;C331,IF(L331="","EFEITO_PC nao calculado: PC "&amp;A331&amp;" - "&amp;C331,"OK")))))))))</f>
        <v/>
      </c>
      <c r="L331" s="92" t="str">
        <f>IF(AND(A331="",B331="",D331="",G331=""),"",IF(OR(B331="",NOT(ISNUMBER(B331)),C331="",C331="Fora dos ciclos"),"",IF(C331="C0","Nao",IF(IFERROR(INDEX(parametros!$A$2:$A$6,MATCH(C331,parametros!$B$2:$B$6,0)),"")&lt;&gt;"Sim","Nao",IF(IFERROR(INDEX(parametros!$H$2:$H$6,MATCH(C331,parametros!$B$2:$B$6,0)),"")="","",IF(B331&gt;=IFERROR(INDEX(parametros!$H$2:$H$6,MATCH(C331,parametros!$B$2:$B$6,0)),""),"Sim","Nao"))))))</f>
        <v/>
      </c>
      <c r="T331" s="156"/>
      <c r="U331" s="214" t="str">
        <f t="shared" si="31"/>
        <v/>
      </c>
      <c r="V331" s="212" t="s">
        <v>50</v>
      </c>
      <c r="W331" s="100" t="s">
        <v>168</v>
      </c>
      <c r="X331" s="100" t="s">
        <v>169</v>
      </c>
      <c r="Y331" s="101" t="s">
        <v>170</v>
      </c>
      <c r="Z331" s="101" t="s">
        <v>171</v>
      </c>
      <c r="AA331" s="101" t="s">
        <v>50</v>
      </c>
      <c r="AB331" s="101" t="s">
        <v>172</v>
      </c>
      <c r="AC331" s="102" t="s">
        <v>173</v>
      </c>
    </row>
    <row r="332" spans="1:29" ht="25.5" customHeight="1" x14ac:dyDescent="0.35">
      <c r="A332" s="392"/>
      <c r="B332" s="393"/>
      <c r="C332" s="99" t="str">
        <f>IF(B332="","",IF(NOT(ISNUMBER(B332)),"DATA_PC invalida",IF(NOT(ISNUMBER(parametros!$C$2)),"Fora dos ciclos",IF(OR(B332&lt;parametros!$C$2,(YEAR(B332)-YEAR(parametros!$C$2))*12+MONTH(B332)-MONTH(parametros!$C$2)&gt;59),"Fora dos ciclos","C"&amp;INT(((YEAR(B332)-YEAR(parametros!$C$2))*12+MONTH(B332)-MONTH(parametros!$C$2))/12)))))</f>
        <v/>
      </c>
      <c r="D332" s="394"/>
      <c r="E332" s="78" t="str">
        <f>IF(C332="","",IFERROR(VLOOKUP(C332,parametros!$A$11:$E$15,5,0),""))</f>
        <v/>
      </c>
      <c r="F332" s="79" t="str">
        <f t="shared" si="27"/>
        <v/>
      </c>
      <c r="G332" s="395"/>
      <c r="H332" s="91">
        <f t="shared" si="28"/>
        <v>0</v>
      </c>
      <c r="I332" s="91" t="str">
        <f t="shared" si="29"/>
        <v/>
      </c>
      <c r="J332" s="91" t="str">
        <f t="shared" si="30"/>
        <v/>
      </c>
      <c r="K332" s="92" t="str">
        <f>IF(AND(A332="",B332="",D332="",G332=""),"",IF(AND(A332&lt;&gt;"",COUNTIF($A$2:$A$5001,A332)&gt;1),"NUMERO_PC duplicado",IF(B332="","DATA_PC vazia",IF(NOT(ISNUMBER(B332)),"DATA_PC invalida",IF(OR(C332="",C332="Fora dos ciclos"),"CICLO_PC nao identificado",IF(OR(D332="",D332=0),"VALOR_PC vazio ou zero",IF(AND(G332&lt;&gt;"Sim",G332&lt;&gt;"Nao",G332&lt;&gt;""),"PC_PAGO_A_CONTRATADA invalido",IF(AND(C332&lt;&gt;"C0",IFERROR(INDEX(parametros!$A$2:$A$6,MATCH(C332,parametros!$B$2:$B$6,0)),"")="Sim",IFERROR(INDEX(parametros!$H$2:$H$6,MATCH(C332,parametros!$B$2:$B$6,0)),"")=""),"INICIO_EFEITO ausente: PC "&amp;A332&amp;" - "&amp;C332,IF(L332="","EFEITO_PC nao calculado: PC "&amp;A332&amp;" - "&amp;C332,"OK")))))))))</f>
        <v/>
      </c>
      <c r="L332" s="92" t="str">
        <f>IF(AND(A332="",B332="",D332="",G332=""),"",IF(OR(B332="",NOT(ISNUMBER(B332)),C332="",C332="Fora dos ciclos"),"",IF(C332="C0","Nao",IF(IFERROR(INDEX(parametros!$A$2:$A$6,MATCH(C332,parametros!$B$2:$B$6,0)),"")&lt;&gt;"Sim","Nao",IF(IFERROR(INDEX(parametros!$H$2:$H$6,MATCH(C332,parametros!$B$2:$B$6,0)),"")="","",IF(B332&gt;=IFERROR(INDEX(parametros!$H$2:$H$6,MATCH(C332,parametros!$B$2:$B$6,0)),""),"Sim","Nao"))))))</f>
        <v/>
      </c>
      <c r="T332" s="156"/>
      <c r="U332" s="214" t="str">
        <f t="shared" si="31"/>
        <v/>
      </c>
      <c r="V332" s="212" t="s">
        <v>50</v>
      </c>
      <c r="W332" s="100" t="s">
        <v>168</v>
      </c>
      <c r="X332" s="100" t="s">
        <v>169</v>
      </c>
      <c r="Y332" s="101" t="s">
        <v>170</v>
      </c>
      <c r="Z332" s="101" t="s">
        <v>171</v>
      </c>
      <c r="AA332" s="101" t="s">
        <v>50</v>
      </c>
      <c r="AB332" s="101" t="s">
        <v>172</v>
      </c>
      <c r="AC332" s="102" t="s">
        <v>173</v>
      </c>
    </row>
    <row r="333" spans="1:29" ht="25.5" customHeight="1" x14ac:dyDescent="0.35">
      <c r="A333" s="392"/>
      <c r="B333" s="393"/>
      <c r="C333" s="99" t="str">
        <f>IF(B333="","",IF(NOT(ISNUMBER(B333)),"DATA_PC invalida",IF(NOT(ISNUMBER(parametros!$C$2)),"Fora dos ciclos",IF(OR(B333&lt;parametros!$C$2,(YEAR(B333)-YEAR(parametros!$C$2))*12+MONTH(B333)-MONTH(parametros!$C$2)&gt;59),"Fora dos ciclos","C"&amp;INT(((YEAR(B333)-YEAR(parametros!$C$2))*12+MONTH(B333)-MONTH(parametros!$C$2))/12)))))</f>
        <v/>
      </c>
      <c r="D333" s="394"/>
      <c r="E333" s="78" t="str">
        <f>IF(C333="","",IFERROR(VLOOKUP(C333,parametros!$A$11:$E$15,5,0),""))</f>
        <v/>
      </c>
      <c r="F333" s="79" t="str">
        <f t="shared" si="27"/>
        <v/>
      </c>
      <c r="G333" s="395"/>
      <c r="H333" s="91">
        <f t="shared" si="28"/>
        <v>0</v>
      </c>
      <c r="I333" s="91" t="str">
        <f t="shared" si="29"/>
        <v/>
      </c>
      <c r="J333" s="91" t="str">
        <f t="shared" si="30"/>
        <v/>
      </c>
      <c r="K333" s="92" t="str">
        <f>IF(AND(A333="",B333="",D333="",G333=""),"",IF(AND(A333&lt;&gt;"",COUNTIF($A$2:$A$5001,A333)&gt;1),"NUMERO_PC duplicado",IF(B333="","DATA_PC vazia",IF(NOT(ISNUMBER(B333)),"DATA_PC invalida",IF(OR(C333="",C333="Fora dos ciclos"),"CICLO_PC nao identificado",IF(OR(D333="",D333=0),"VALOR_PC vazio ou zero",IF(AND(G333&lt;&gt;"Sim",G333&lt;&gt;"Nao",G333&lt;&gt;""),"PC_PAGO_A_CONTRATADA invalido",IF(AND(C333&lt;&gt;"C0",IFERROR(INDEX(parametros!$A$2:$A$6,MATCH(C333,parametros!$B$2:$B$6,0)),"")="Sim",IFERROR(INDEX(parametros!$H$2:$H$6,MATCH(C333,parametros!$B$2:$B$6,0)),"")=""),"INICIO_EFEITO ausente: PC "&amp;A333&amp;" - "&amp;C333,IF(L333="","EFEITO_PC nao calculado: PC "&amp;A333&amp;" - "&amp;C333,"OK")))))))))</f>
        <v/>
      </c>
      <c r="L333" s="92" t="str">
        <f>IF(AND(A333="",B333="",D333="",G333=""),"",IF(OR(B333="",NOT(ISNUMBER(B333)),C333="",C333="Fora dos ciclos"),"",IF(C333="C0","Nao",IF(IFERROR(INDEX(parametros!$A$2:$A$6,MATCH(C333,parametros!$B$2:$B$6,0)),"")&lt;&gt;"Sim","Nao",IF(IFERROR(INDEX(parametros!$H$2:$H$6,MATCH(C333,parametros!$B$2:$B$6,0)),"")="","",IF(B333&gt;=IFERROR(INDEX(parametros!$H$2:$H$6,MATCH(C333,parametros!$B$2:$B$6,0)),""),"Sim","Nao"))))))</f>
        <v/>
      </c>
      <c r="T333" s="156"/>
      <c r="U333" s="214" t="str">
        <f t="shared" si="31"/>
        <v/>
      </c>
      <c r="V333" s="212" t="s">
        <v>50</v>
      </c>
      <c r="W333" s="100" t="s">
        <v>168</v>
      </c>
      <c r="X333" s="100" t="s">
        <v>169</v>
      </c>
      <c r="Y333" s="101" t="s">
        <v>170</v>
      </c>
      <c r="Z333" s="101" t="s">
        <v>171</v>
      </c>
      <c r="AA333" s="101" t="s">
        <v>50</v>
      </c>
      <c r="AB333" s="101" t="s">
        <v>172</v>
      </c>
      <c r="AC333" s="102" t="s">
        <v>173</v>
      </c>
    </row>
    <row r="334" spans="1:29" ht="25.5" customHeight="1" x14ac:dyDescent="0.35">
      <c r="A334" s="392"/>
      <c r="B334" s="393"/>
      <c r="C334" s="99" t="str">
        <f>IF(B334="","",IF(NOT(ISNUMBER(B334)),"DATA_PC invalida",IF(NOT(ISNUMBER(parametros!$C$2)),"Fora dos ciclos",IF(OR(B334&lt;parametros!$C$2,(YEAR(B334)-YEAR(parametros!$C$2))*12+MONTH(B334)-MONTH(parametros!$C$2)&gt;59),"Fora dos ciclos","C"&amp;INT(((YEAR(B334)-YEAR(parametros!$C$2))*12+MONTH(B334)-MONTH(parametros!$C$2))/12)))))</f>
        <v/>
      </c>
      <c r="D334" s="394"/>
      <c r="E334" s="78" t="str">
        <f>IF(C334="","",IFERROR(VLOOKUP(C334,parametros!$A$11:$E$15,5,0),""))</f>
        <v/>
      </c>
      <c r="F334" s="79" t="str">
        <f t="shared" si="27"/>
        <v/>
      </c>
      <c r="G334" s="395"/>
      <c r="H334" s="91">
        <f t="shared" si="28"/>
        <v>0</v>
      </c>
      <c r="I334" s="91" t="str">
        <f t="shared" si="29"/>
        <v/>
      </c>
      <c r="J334" s="91" t="str">
        <f t="shared" si="30"/>
        <v/>
      </c>
      <c r="K334" s="92" t="str">
        <f>IF(AND(A334="",B334="",D334="",G334=""),"",IF(AND(A334&lt;&gt;"",COUNTIF($A$2:$A$5001,A334)&gt;1),"NUMERO_PC duplicado",IF(B334="","DATA_PC vazia",IF(NOT(ISNUMBER(B334)),"DATA_PC invalida",IF(OR(C334="",C334="Fora dos ciclos"),"CICLO_PC nao identificado",IF(OR(D334="",D334=0),"VALOR_PC vazio ou zero",IF(AND(G334&lt;&gt;"Sim",G334&lt;&gt;"Nao",G334&lt;&gt;""),"PC_PAGO_A_CONTRATADA invalido",IF(AND(C334&lt;&gt;"C0",IFERROR(INDEX(parametros!$A$2:$A$6,MATCH(C334,parametros!$B$2:$B$6,0)),"")="Sim",IFERROR(INDEX(parametros!$H$2:$H$6,MATCH(C334,parametros!$B$2:$B$6,0)),"")=""),"INICIO_EFEITO ausente: PC "&amp;A334&amp;" - "&amp;C334,IF(L334="","EFEITO_PC nao calculado: PC "&amp;A334&amp;" - "&amp;C334,"OK")))))))))</f>
        <v/>
      </c>
      <c r="L334" s="92" t="str">
        <f>IF(AND(A334="",B334="",D334="",G334=""),"",IF(OR(B334="",NOT(ISNUMBER(B334)),C334="",C334="Fora dos ciclos"),"",IF(C334="C0","Nao",IF(IFERROR(INDEX(parametros!$A$2:$A$6,MATCH(C334,parametros!$B$2:$B$6,0)),"")&lt;&gt;"Sim","Nao",IF(IFERROR(INDEX(parametros!$H$2:$H$6,MATCH(C334,parametros!$B$2:$B$6,0)),"")="","",IF(B334&gt;=IFERROR(INDEX(parametros!$H$2:$H$6,MATCH(C334,parametros!$B$2:$B$6,0)),""),"Sim","Nao"))))))</f>
        <v/>
      </c>
      <c r="T334" s="156"/>
      <c r="U334" s="214" t="str">
        <f t="shared" si="31"/>
        <v/>
      </c>
      <c r="V334" s="212" t="s">
        <v>50</v>
      </c>
      <c r="W334" s="100" t="s">
        <v>168</v>
      </c>
      <c r="X334" s="100" t="s">
        <v>169</v>
      </c>
      <c r="Y334" s="101" t="s">
        <v>170</v>
      </c>
      <c r="Z334" s="101" t="s">
        <v>171</v>
      </c>
      <c r="AA334" s="101" t="s">
        <v>50</v>
      </c>
      <c r="AB334" s="101" t="s">
        <v>172</v>
      </c>
      <c r="AC334" s="102" t="s">
        <v>173</v>
      </c>
    </row>
    <row r="335" spans="1:29" ht="25.5" customHeight="1" x14ac:dyDescent="0.35">
      <c r="A335" s="392"/>
      <c r="B335" s="393"/>
      <c r="C335" s="99" t="str">
        <f>IF(B335="","",IF(NOT(ISNUMBER(B335)),"DATA_PC invalida",IF(NOT(ISNUMBER(parametros!$C$2)),"Fora dos ciclos",IF(OR(B335&lt;parametros!$C$2,(YEAR(B335)-YEAR(parametros!$C$2))*12+MONTH(B335)-MONTH(parametros!$C$2)&gt;59),"Fora dos ciclos","C"&amp;INT(((YEAR(B335)-YEAR(parametros!$C$2))*12+MONTH(B335)-MONTH(parametros!$C$2))/12)))))</f>
        <v/>
      </c>
      <c r="D335" s="394"/>
      <c r="E335" s="78" t="str">
        <f>IF(C335="","",IFERROR(VLOOKUP(C335,parametros!$A$11:$E$15,5,0),""))</f>
        <v/>
      </c>
      <c r="F335" s="79" t="str">
        <f t="shared" si="27"/>
        <v/>
      </c>
      <c r="G335" s="395"/>
      <c r="H335" s="91">
        <f t="shared" si="28"/>
        <v>0</v>
      </c>
      <c r="I335" s="91" t="str">
        <f t="shared" si="29"/>
        <v/>
      </c>
      <c r="J335" s="91" t="str">
        <f t="shared" si="30"/>
        <v/>
      </c>
      <c r="K335" s="92" t="str">
        <f>IF(AND(A335="",B335="",D335="",G335=""),"",IF(AND(A335&lt;&gt;"",COUNTIF($A$2:$A$5001,A335)&gt;1),"NUMERO_PC duplicado",IF(B335="","DATA_PC vazia",IF(NOT(ISNUMBER(B335)),"DATA_PC invalida",IF(OR(C335="",C335="Fora dos ciclos"),"CICLO_PC nao identificado",IF(OR(D335="",D335=0),"VALOR_PC vazio ou zero",IF(AND(G335&lt;&gt;"Sim",G335&lt;&gt;"Nao",G335&lt;&gt;""),"PC_PAGO_A_CONTRATADA invalido",IF(AND(C335&lt;&gt;"C0",IFERROR(INDEX(parametros!$A$2:$A$6,MATCH(C335,parametros!$B$2:$B$6,0)),"")="Sim",IFERROR(INDEX(parametros!$H$2:$H$6,MATCH(C335,parametros!$B$2:$B$6,0)),"")=""),"INICIO_EFEITO ausente: PC "&amp;A335&amp;" - "&amp;C335,IF(L335="","EFEITO_PC nao calculado: PC "&amp;A335&amp;" - "&amp;C335,"OK")))))))))</f>
        <v/>
      </c>
      <c r="L335" s="92" t="str">
        <f>IF(AND(A335="",B335="",D335="",G335=""),"",IF(OR(B335="",NOT(ISNUMBER(B335)),C335="",C335="Fora dos ciclos"),"",IF(C335="C0","Nao",IF(IFERROR(INDEX(parametros!$A$2:$A$6,MATCH(C335,parametros!$B$2:$B$6,0)),"")&lt;&gt;"Sim","Nao",IF(IFERROR(INDEX(parametros!$H$2:$H$6,MATCH(C335,parametros!$B$2:$B$6,0)),"")="","",IF(B335&gt;=IFERROR(INDEX(parametros!$H$2:$H$6,MATCH(C335,parametros!$B$2:$B$6,0)),""),"Sim","Nao"))))))</f>
        <v/>
      </c>
      <c r="T335" s="156"/>
      <c r="U335" s="214" t="str">
        <f t="shared" si="31"/>
        <v/>
      </c>
      <c r="V335" s="212" t="s">
        <v>50</v>
      </c>
      <c r="W335" s="100" t="s">
        <v>168</v>
      </c>
      <c r="X335" s="100" t="s">
        <v>169</v>
      </c>
      <c r="Y335" s="101" t="s">
        <v>170</v>
      </c>
      <c r="Z335" s="101" t="s">
        <v>171</v>
      </c>
      <c r="AA335" s="101" t="s">
        <v>50</v>
      </c>
      <c r="AB335" s="101" t="s">
        <v>172</v>
      </c>
      <c r="AC335" s="102" t="s">
        <v>173</v>
      </c>
    </row>
    <row r="336" spans="1:29" ht="25.5" customHeight="1" x14ac:dyDescent="0.35">
      <c r="A336" s="392"/>
      <c r="B336" s="393"/>
      <c r="C336" s="99" t="str">
        <f>IF(B336="","",IF(NOT(ISNUMBER(B336)),"DATA_PC invalida",IF(NOT(ISNUMBER(parametros!$C$2)),"Fora dos ciclos",IF(OR(B336&lt;parametros!$C$2,(YEAR(B336)-YEAR(parametros!$C$2))*12+MONTH(B336)-MONTH(parametros!$C$2)&gt;59),"Fora dos ciclos","C"&amp;INT(((YEAR(B336)-YEAR(parametros!$C$2))*12+MONTH(B336)-MONTH(parametros!$C$2))/12)))))</f>
        <v/>
      </c>
      <c r="D336" s="394"/>
      <c r="E336" s="78" t="str">
        <f>IF(C336="","",IFERROR(VLOOKUP(C336,parametros!$A$11:$E$15,5,0),""))</f>
        <v/>
      </c>
      <c r="F336" s="79" t="str">
        <f t="shared" si="27"/>
        <v/>
      </c>
      <c r="G336" s="395"/>
      <c r="H336" s="91">
        <f t="shared" si="28"/>
        <v>0</v>
      </c>
      <c r="I336" s="91" t="str">
        <f t="shared" si="29"/>
        <v/>
      </c>
      <c r="J336" s="91" t="str">
        <f t="shared" si="30"/>
        <v/>
      </c>
      <c r="K336" s="92" t="str">
        <f>IF(AND(A336="",B336="",D336="",G336=""),"",IF(AND(A336&lt;&gt;"",COUNTIF($A$2:$A$5001,A336)&gt;1),"NUMERO_PC duplicado",IF(B336="","DATA_PC vazia",IF(NOT(ISNUMBER(B336)),"DATA_PC invalida",IF(OR(C336="",C336="Fora dos ciclos"),"CICLO_PC nao identificado",IF(OR(D336="",D336=0),"VALOR_PC vazio ou zero",IF(AND(G336&lt;&gt;"Sim",G336&lt;&gt;"Nao",G336&lt;&gt;""),"PC_PAGO_A_CONTRATADA invalido",IF(AND(C336&lt;&gt;"C0",IFERROR(INDEX(parametros!$A$2:$A$6,MATCH(C336,parametros!$B$2:$B$6,0)),"")="Sim",IFERROR(INDEX(parametros!$H$2:$H$6,MATCH(C336,parametros!$B$2:$B$6,0)),"")=""),"INICIO_EFEITO ausente: PC "&amp;A336&amp;" - "&amp;C336,IF(L336="","EFEITO_PC nao calculado: PC "&amp;A336&amp;" - "&amp;C336,"OK")))))))))</f>
        <v/>
      </c>
      <c r="L336" s="92" t="str">
        <f>IF(AND(A336="",B336="",D336="",G336=""),"",IF(OR(B336="",NOT(ISNUMBER(B336)),C336="",C336="Fora dos ciclos"),"",IF(C336="C0","Nao",IF(IFERROR(INDEX(parametros!$A$2:$A$6,MATCH(C336,parametros!$B$2:$B$6,0)),"")&lt;&gt;"Sim","Nao",IF(IFERROR(INDEX(parametros!$H$2:$H$6,MATCH(C336,parametros!$B$2:$B$6,0)),"")="","",IF(B336&gt;=IFERROR(INDEX(parametros!$H$2:$H$6,MATCH(C336,parametros!$B$2:$B$6,0)),""),"Sim","Nao"))))))</f>
        <v/>
      </c>
      <c r="T336" s="156"/>
      <c r="U336" s="214" t="str">
        <f t="shared" si="31"/>
        <v/>
      </c>
      <c r="V336" s="212" t="s">
        <v>50</v>
      </c>
      <c r="W336" s="100" t="s">
        <v>168</v>
      </c>
      <c r="X336" s="100" t="s">
        <v>169</v>
      </c>
      <c r="Y336" s="101" t="s">
        <v>170</v>
      </c>
      <c r="Z336" s="101" t="s">
        <v>171</v>
      </c>
      <c r="AA336" s="101" t="s">
        <v>50</v>
      </c>
      <c r="AB336" s="101" t="s">
        <v>172</v>
      </c>
      <c r="AC336" s="102" t="s">
        <v>173</v>
      </c>
    </row>
    <row r="337" spans="1:29" ht="25.5" customHeight="1" x14ac:dyDescent="0.35">
      <c r="A337" s="392"/>
      <c r="B337" s="393"/>
      <c r="C337" s="99" t="str">
        <f>IF(B337="","",IF(NOT(ISNUMBER(B337)),"DATA_PC invalida",IF(NOT(ISNUMBER(parametros!$C$2)),"Fora dos ciclos",IF(OR(B337&lt;parametros!$C$2,(YEAR(B337)-YEAR(parametros!$C$2))*12+MONTH(B337)-MONTH(parametros!$C$2)&gt;59),"Fora dos ciclos","C"&amp;INT(((YEAR(B337)-YEAR(parametros!$C$2))*12+MONTH(B337)-MONTH(parametros!$C$2))/12)))))</f>
        <v/>
      </c>
      <c r="D337" s="394"/>
      <c r="E337" s="78" t="str">
        <f>IF(C337="","",IFERROR(VLOOKUP(C337,parametros!$A$11:$E$15,5,0),""))</f>
        <v/>
      </c>
      <c r="F337" s="79" t="str">
        <f t="shared" si="27"/>
        <v/>
      </c>
      <c r="G337" s="395"/>
      <c r="H337" s="91">
        <f t="shared" si="28"/>
        <v>0</v>
      </c>
      <c r="I337" s="91" t="str">
        <f t="shared" si="29"/>
        <v/>
      </c>
      <c r="J337" s="91" t="str">
        <f t="shared" si="30"/>
        <v/>
      </c>
      <c r="K337" s="92" t="str">
        <f>IF(AND(A337="",B337="",D337="",G337=""),"",IF(AND(A337&lt;&gt;"",COUNTIF($A$2:$A$5001,A337)&gt;1),"NUMERO_PC duplicado",IF(B337="","DATA_PC vazia",IF(NOT(ISNUMBER(B337)),"DATA_PC invalida",IF(OR(C337="",C337="Fora dos ciclos"),"CICLO_PC nao identificado",IF(OR(D337="",D337=0),"VALOR_PC vazio ou zero",IF(AND(G337&lt;&gt;"Sim",G337&lt;&gt;"Nao",G337&lt;&gt;""),"PC_PAGO_A_CONTRATADA invalido",IF(AND(C337&lt;&gt;"C0",IFERROR(INDEX(parametros!$A$2:$A$6,MATCH(C337,parametros!$B$2:$B$6,0)),"")="Sim",IFERROR(INDEX(parametros!$H$2:$H$6,MATCH(C337,parametros!$B$2:$B$6,0)),"")=""),"INICIO_EFEITO ausente: PC "&amp;A337&amp;" - "&amp;C337,IF(L337="","EFEITO_PC nao calculado: PC "&amp;A337&amp;" - "&amp;C337,"OK")))))))))</f>
        <v/>
      </c>
      <c r="L337" s="92" t="str">
        <f>IF(AND(A337="",B337="",D337="",G337=""),"",IF(OR(B337="",NOT(ISNUMBER(B337)),C337="",C337="Fora dos ciclos"),"",IF(C337="C0","Nao",IF(IFERROR(INDEX(parametros!$A$2:$A$6,MATCH(C337,parametros!$B$2:$B$6,0)),"")&lt;&gt;"Sim","Nao",IF(IFERROR(INDEX(parametros!$H$2:$H$6,MATCH(C337,parametros!$B$2:$B$6,0)),"")="","",IF(B337&gt;=IFERROR(INDEX(parametros!$H$2:$H$6,MATCH(C337,parametros!$B$2:$B$6,0)),""),"Sim","Nao"))))))</f>
        <v/>
      </c>
      <c r="T337" s="156"/>
      <c r="U337" s="214" t="str">
        <f t="shared" si="31"/>
        <v/>
      </c>
      <c r="V337" s="212" t="s">
        <v>50</v>
      </c>
      <c r="W337" s="100" t="s">
        <v>168</v>
      </c>
      <c r="X337" s="100" t="s">
        <v>169</v>
      </c>
      <c r="Y337" s="101" t="s">
        <v>170</v>
      </c>
      <c r="Z337" s="101" t="s">
        <v>171</v>
      </c>
      <c r="AA337" s="101" t="s">
        <v>50</v>
      </c>
      <c r="AB337" s="101" t="s">
        <v>172</v>
      </c>
      <c r="AC337" s="102" t="s">
        <v>173</v>
      </c>
    </row>
    <row r="338" spans="1:29" ht="25.5" customHeight="1" x14ac:dyDescent="0.35">
      <c r="A338" s="392"/>
      <c r="B338" s="393"/>
      <c r="C338" s="99" t="str">
        <f>IF(B338="","",IF(NOT(ISNUMBER(B338)),"DATA_PC invalida",IF(NOT(ISNUMBER(parametros!$C$2)),"Fora dos ciclos",IF(OR(B338&lt;parametros!$C$2,(YEAR(B338)-YEAR(parametros!$C$2))*12+MONTH(B338)-MONTH(parametros!$C$2)&gt;59),"Fora dos ciclos","C"&amp;INT(((YEAR(B338)-YEAR(parametros!$C$2))*12+MONTH(B338)-MONTH(parametros!$C$2))/12)))))</f>
        <v/>
      </c>
      <c r="D338" s="394"/>
      <c r="E338" s="78" t="str">
        <f>IF(C338="","",IFERROR(VLOOKUP(C338,parametros!$A$11:$E$15,5,0),""))</f>
        <v/>
      </c>
      <c r="F338" s="79" t="str">
        <f t="shared" si="27"/>
        <v/>
      </c>
      <c r="G338" s="395"/>
      <c r="H338" s="91">
        <f t="shared" si="28"/>
        <v>0</v>
      </c>
      <c r="I338" s="91" t="str">
        <f t="shared" si="29"/>
        <v/>
      </c>
      <c r="J338" s="91" t="str">
        <f t="shared" si="30"/>
        <v/>
      </c>
      <c r="K338" s="92" t="str">
        <f>IF(AND(A338="",B338="",D338="",G338=""),"",IF(AND(A338&lt;&gt;"",COUNTIF($A$2:$A$5001,A338)&gt;1),"NUMERO_PC duplicado",IF(B338="","DATA_PC vazia",IF(NOT(ISNUMBER(B338)),"DATA_PC invalida",IF(OR(C338="",C338="Fora dos ciclos"),"CICLO_PC nao identificado",IF(OR(D338="",D338=0),"VALOR_PC vazio ou zero",IF(AND(G338&lt;&gt;"Sim",G338&lt;&gt;"Nao",G338&lt;&gt;""),"PC_PAGO_A_CONTRATADA invalido",IF(AND(C338&lt;&gt;"C0",IFERROR(INDEX(parametros!$A$2:$A$6,MATCH(C338,parametros!$B$2:$B$6,0)),"")="Sim",IFERROR(INDEX(parametros!$H$2:$H$6,MATCH(C338,parametros!$B$2:$B$6,0)),"")=""),"INICIO_EFEITO ausente: PC "&amp;A338&amp;" - "&amp;C338,IF(L338="","EFEITO_PC nao calculado: PC "&amp;A338&amp;" - "&amp;C338,"OK")))))))))</f>
        <v/>
      </c>
      <c r="L338" s="92" t="str">
        <f>IF(AND(A338="",B338="",D338="",G338=""),"",IF(OR(B338="",NOT(ISNUMBER(B338)),C338="",C338="Fora dos ciclos"),"",IF(C338="C0","Nao",IF(IFERROR(INDEX(parametros!$A$2:$A$6,MATCH(C338,parametros!$B$2:$B$6,0)),"")&lt;&gt;"Sim","Nao",IF(IFERROR(INDEX(parametros!$H$2:$H$6,MATCH(C338,parametros!$B$2:$B$6,0)),"")="","",IF(B338&gt;=IFERROR(INDEX(parametros!$H$2:$H$6,MATCH(C338,parametros!$B$2:$B$6,0)),""),"Sim","Nao"))))))</f>
        <v/>
      </c>
      <c r="T338" s="156"/>
      <c r="U338" s="214" t="str">
        <f t="shared" si="31"/>
        <v/>
      </c>
      <c r="V338" s="212" t="s">
        <v>50</v>
      </c>
      <c r="W338" s="100" t="s">
        <v>168</v>
      </c>
      <c r="X338" s="100" t="s">
        <v>169</v>
      </c>
      <c r="Y338" s="101" t="s">
        <v>170</v>
      </c>
      <c r="Z338" s="101" t="s">
        <v>171</v>
      </c>
      <c r="AA338" s="101" t="s">
        <v>50</v>
      </c>
      <c r="AB338" s="101" t="s">
        <v>172</v>
      </c>
      <c r="AC338" s="102" t="s">
        <v>173</v>
      </c>
    </row>
    <row r="339" spans="1:29" ht="25.5" customHeight="1" x14ac:dyDescent="0.35">
      <c r="A339" s="392"/>
      <c r="B339" s="393"/>
      <c r="C339" s="99" t="str">
        <f>IF(B339="","",IF(NOT(ISNUMBER(B339)),"DATA_PC invalida",IF(NOT(ISNUMBER(parametros!$C$2)),"Fora dos ciclos",IF(OR(B339&lt;parametros!$C$2,(YEAR(B339)-YEAR(parametros!$C$2))*12+MONTH(B339)-MONTH(parametros!$C$2)&gt;59),"Fora dos ciclos","C"&amp;INT(((YEAR(B339)-YEAR(parametros!$C$2))*12+MONTH(B339)-MONTH(parametros!$C$2))/12)))))</f>
        <v/>
      </c>
      <c r="D339" s="394"/>
      <c r="E339" s="78" t="str">
        <f>IF(C339="","",IFERROR(VLOOKUP(C339,parametros!$A$11:$E$15,5,0),""))</f>
        <v/>
      </c>
      <c r="F339" s="79" t="str">
        <f t="shared" si="27"/>
        <v/>
      </c>
      <c r="G339" s="395"/>
      <c r="H339" s="91">
        <f t="shared" si="28"/>
        <v>0</v>
      </c>
      <c r="I339" s="91" t="str">
        <f t="shared" si="29"/>
        <v/>
      </c>
      <c r="J339" s="91" t="str">
        <f t="shared" si="30"/>
        <v/>
      </c>
      <c r="K339" s="92" t="str">
        <f>IF(AND(A339="",B339="",D339="",G339=""),"",IF(AND(A339&lt;&gt;"",COUNTIF($A$2:$A$5001,A339)&gt;1),"NUMERO_PC duplicado",IF(B339="","DATA_PC vazia",IF(NOT(ISNUMBER(B339)),"DATA_PC invalida",IF(OR(C339="",C339="Fora dos ciclos"),"CICLO_PC nao identificado",IF(OR(D339="",D339=0),"VALOR_PC vazio ou zero",IF(AND(G339&lt;&gt;"Sim",G339&lt;&gt;"Nao",G339&lt;&gt;""),"PC_PAGO_A_CONTRATADA invalido",IF(AND(C339&lt;&gt;"C0",IFERROR(INDEX(parametros!$A$2:$A$6,MATCH(C339,parametros!$B$2:$B$6,0)),"")="Sim",IFERROR(INDEX(parametros!$H$2:$H$6,MATCH(C339,parametros!$B$2:$B$6,0)),"")=""),"INICIO_EFEITO ausente: PC "&amp;A339&amp;" - "&amp;C339,IF(L339="","EFEITO_PC nao calculado: PC "&amp;A339&amp;" - "&amp;C339,"OK")))))))))</f>
        <v/>
      </c>
      <c r="L339" s="92" t="str">
        <f>IF(AND(A339="",B339="",D339="",G339=""),"",IF(OR(B339="",NOT(ISNUMBER(B339)),C339="",C339="Fora dos ciclos"),"",IF(C339="C0","Nao",IF(IFERROR(INDEX(parametros!$A$2:$A$6,MATCH(C339,parametros!$B$2:$B$6,0)),"")&lt;&gt;"Sim","Nao",IF(IFERROR(INDEX(parametros!$H$2:$H$6,MATCH(C339,parametros!$B$2:$B$6,0)),"")="","",IF(B339&gt;=IFERROR(INDEX(parametros!$H$2:$H$6,MATCH(C339,parametros!$B$2:$B$6,0)),""),"Sim","Nao"))))))</f>
        <v/>
      </c>
      <c r="T339" s="156"/>
      <c r="U339" s="214" t="str">
        <f t="shared" si="31"/>
        <v/>
      </c>
      <c r="V339" s="212" t="s">
        <v>50</v>
      </c>
      <c r="W339" s="100" t="s">
        <v>168</v>
      </c>
      <c r="X339" s="100" t="s">
        <v>169</v>
      </c>
      <c r="Y339" s="101" t="s">
        <v>170</v>
      </c>
      <c r="Z339" s="101" t="s">
        <v>171</v>
      </c>
      <c r="AA339" s="101" t="s">
        <v>50</v>
      </c>
      <c r="AB339" s="101" t="s">
        <v>172</v>
      </c>
      <c r="AC339" s="102" t="s">
        <v>173</v>
      </c>
    </row>
    <row r="340" spans="1:29" ht="25.5" customHeight="1" x14ac:dyDescent="0.35">
      <c r="A340" s="392"/>
      <c r="B340" s="393"/>
      <c r="C340" s="99" t="str">
        <f>IF(B340="","",IF(NOT(ISNUMBER(B340)),"DATA_PC invalida",IF(NOT(ISNUMBER(parametros!$C$2)),"Fora dos ciclos",IF(OR(B340&lt;parametros!$C$2,(YEAR(B340)-YEAR(parametros!$C$2))*12+MONTH(B340)-MONTH(parametros!$C$2)&gt;59),"Fora dos ciclos","C"&amp;INT(((YEAR(B340)-YEAR(parametros!$C$2))*12+MONTH(B340)-MONTH(parametros!$C$2))/12)))))</f>
        <v/>
      </c>
      <c r="D340" s="394"/>
      <c r="E340" s="78" t="str">
        <f>IF(C340="","",IFERROR(VLOOKUP(C340,parametros!$A$11:$E$15,5,0),""))</f>
        <v/>
      </c>
      <c r="F340" s="79" t="str">
        <f t="shared" si="27"/>
        <v/>
      </c>
      <c r="G340" s="395"/>
      <c r="H340" s="91">
        <f t="shared" si="28"/>
        <v>0</v>
      </c>
      <c r="I340" s="91" t="str">
        <f t="shared" si="29"/>
        <v/>
      </c>
      <c r="J340" s="91" t="str">
        <f t="shared" si="30"/>
        <v/>
      </c>
      <c r="K340" s="92" t="str">
        <f>IF(AND(A340="",B340="",D340="",G340=""),"",IF(AND(A340&lt;&gt;"",COUNTIF($A$2:$A$5001,A340)&gt;1),"NUMERO_PC duplicado",IF(B340="","DATA_PC vazia",IF(NOT(ISNUMBER(B340)),"DATA_PC invalida",IF(OR(C340="",C340="Fora dos ciclos"),"CICLO_PC nao identificado",IF(OR(D340="",D340=0),"VALOR_PC vazio ou zero",IF(AND(G340&lt;&gt;"Sim",G340&lt;&gt;"Nao",G340&lt;&gt;""),"PC_PAGO_A_CONTRATADA invalido",IF(AND(C340&lt;&gt;"C0",IFERROR(INDEX(parametros!$A$2:$A$6,MATCH(C340,parametros!$B$2:$B$6,0)),"")="Sim",IFERROR(INDEX(parametros!$H$2:$H$6,MATCH(C340,parametros!$B$2:$B$6,0)),"")=""),"INICIO_EFEITO ausente: PC "&amp;A340&amp;" - "&amp;C340,IF(L340="","EFEITO_PC nao calculado: PC "&amp;A340&amp;" - "&amp;C340,"OK")))))))))</f>
        <v/>
      </c>
      <c r="L340" s="92" t="str">
        <f>IF(AND(A340="",B340="",D340="",G340=""),"",IF(OR(B340="",NOT(ISNUMBER(B340)),C340="",C340="Fora dos ciclos"),"",IF(C340="C0","Nao",IF(IFERROR(INDEX(parametros!$A$2:$A$6,MATCH(C340,parametros!$B$2:$B$6,0)),"")&lt;&gt;"Sim","Nao",IF(IFERROR(INDEX(parametros!$H$2:$H$6,MATCH(C340,parametros!$B$2:$B$6,0)),"")="","",IF(B340&gt;=IFERROR(INDEX(parametros!$H$2:$H$6,MATCH(C340,parametros!$B$2:$B$6,0)),""),"Sim","Nao"))))))</f>
        <v/>
      </c>
      <c r="T340" s="156"/>
      <c r="U340" s="214" t="str">
        <f t="shared" si="31"/>
        <v/>
      </c>
      <c r="V340" s="212" t="s">
        <v>50</v>
      </c>
      <c r="W340" s="100" t="s">
        <v>168</v>
      </c>
      <c r="X340" s="100" t="s">
        <v>169</v>
      </c>
      <c r="Y340" s="101" t="s">
        <v>170</v>
      </c>
      <c r="Z340" s="101" t="s">
        <v>171</v>
      </c>
      <c r="AA340" s="101" t="s">
        <v>50</v>
      </c>
      <c r="AB340" s="101" t="s">
        <v>172</v>
      </c>
      <c r="AC340" s="102" t="s">
        <v>173</v>
      </c>
    </row>
    <row r="341" spans="1:29" ht="25.5" customHeight="1" x14ac:dyDescent="0.35">
      <c r="A341" s="392"/>
      <c r="B341" s="393"/>
      <c r="C341" s="99" t="str">
        <f>IF(B341="","",IF(NOT(ISNUMBER(B341)),"DATA_PC invalida",IF(NOT(ISNUMBER(parametros!$C$2)),"Fora dos ciclos",IF(OR(B341&lt;parametros!$C$2,(YEAR(B341)-YEAR(parametros!$C$2))*12+MONTH(B341)-MONTH(parametros!$C$2)&gt;59),"Fora dos ciclos","C"&amp;INT(((YEAR(B341)-YEAR(parametros!$C$2))*12+MONTH(B341)-MONTH(parametros!$C$2))/12)))))</f>
        <v/>
      </c>
      <c r="D341" s="394"/>
      <c r="E341" s="78" t="str">
        <f>IF(C341="","",IFERROR(VLOOKUP(C341,parametros!$A$11:$E$15,5,0),""))</f>
        <v/>
      </c>
      <c r="F341" s="79" t="str">
        <f t="shared" si="27"/>
        <v/>
      </c>
      <c r="G341" s="395"/>
      <c r="H341" s="91">
        <f t="shared" si="28"/>
        <v>0</v>
      </c>
      <c r="I341" s="91" t="str">
        <f t="shared" si="29"/>
        <v/>
      </c>
      <c r="J341" s="91" t="str">
        <f t="shared" si="30"/>
        <v/>
      </c>
      <c r="K341" s="92" t="str">
        <f>IF(AND(A341="",B341="",D341="",G341=""),"",IF(AND(A341&lt;&gt;"",COUNTIF($A$2:$A$5001,A341)&gt;1),"NUMERO_PC duplicado",IF(B341="","DATA_PC vazia",IF(NOT(ISNUMBER(B341)),"DATA_PC invalida",IF(OR(C341="",C341="Fora dos ciclos"),"CICLO_PC nao identificado",IF(OR(D341="",D341=0),"VALOR_PC vazio ou zero",IF(AND(G341&lt;&gt;"Sim",G341&lt;&gt;"Nao",G341&lt;&gt;""),"PC_PAGO_A_CONTRATADA invalido",IF(AND(C341&lt;&gt;"C0",IFERROR(INDEX(parametros!$A$2:$A$6,MATCH(C341,parametros!$B$2:$B$6,0)),"")="Sim",IFERROR(INDEX(parametros!$H$2:$H$6,MATCH(C341,parametros!$B$2:$B$6,0)),"")=""),"INICIO_EFEITO ausente: PC "&amp;A341&amp;" - "&amp;C341,IF(L341="","EFEITO_PC nao calculado: PC "&amp;A341&amp;" - "&amp;C341,"OK")))))))))</f>
        <v/>
      </c>
      <c r="L341" s="92" t="str">
        <f>IF(AND(A341="",B341="",D341="",G341=""),"",IF(OR(B341="",NOT(ISNUMBER(B341)),C341="",C341="Fora dos ciclos"),"",IF(C341="C0","Nao",IF(IFERROR(INDEX(parametros!$A$2:$A$6,MATCH(C341,parametros!$B$2:$B$6,0)),"")&lt;&gt;"Sim","Nao",IF(IFERROR(INDEX(parametros!$H$2:$H$6,MATCH(C341,parametros!$B$2:$B$6,0)),"")="","",IF(B341&gt;=IFERROR(INDEX(parametros!$H$2:$H$6,MATCH(C341,parametros!$B$2:$B$6,0)),""),"Sim","Nao"))))))</f>
        <v/>
      </c>
      <c r="T341" s="156"/>
      <c r="U341" s="214" t="str">
        <f t="shared" si="31"/>
        <v/>
      </c>
      <c r="V341" s="212" t="s">
        <v>50</v>
      </c>
      <c r="W341" s="100" t="s">
        <v>168</v>
      </c>
      <c r="X341" s="100" t="s">
        <v>169</v>
      </c>
      <c r="Y341" s="101" t="s">
        <v>170</v>
      </c>
      <c r="Z341" s="101" t="s">
        <v>171</v>
      </c>
      <c r="AA341" s="101" t="s">
        <v>50</v>
      </c>
      <c r="AB341" s="101" t="s">
        <v>172</v>
      </c>
      <c r="AC341" s="102" t="s">
        <v>173</v>
      </c>
    </row>
    <row r="342" spans="1:29" ht="25.5" customHeight="1" x14ac:dyDescent="0.35">
      <c r="A342" s="392"/>
      <c r="B342" s="393"/>
      <c r="C342" s="99" t="str">
        <f>IF(B342="","",IF(NOT(ISNUMBER(B342)),"DATA_PC invalida",IF(NOT(ISNUMBER(parametros!$C$2)),"Fora dos ciclos",IF(OR(B342&lt;parametros!$C$2,(YEAR(B342)-YEAR(parametros!$C$2))*12+MONTH(B342)-MONTH(parametros!$C$2)&gt;59),"Fora dos ciclos","C"&amp;INT(((YEAR(B342)-YEAR(parametros!$C$2))*12+MONTH(B342)-MONTH(parametros!$C$2))/12)))))</f>
        <v/>
      </c>
      <c r="D342" s="394"/>
      <c r="E342" s="78" t="str">
        <f>IF(C342="","",IFERROR(VLOOKUP(C342,parametros!$A$11:$E$15,5,0),""))</f>
        <v/>
      </c>
      <c r="F342" s="79" t="str">
        <f t="shared" si="27"/>
        <v/>
      </c>
      <c r="G342" s="395"/>
      <c r="H342" s="91">
        <f t="shared" si="28"/>
        <v>0</v>
      </c>
      <c r="I342" s="91" t="str">
        <f t="shared" si="29"/>
        <v/>
      </c>
      <c r="J342" s="91" t="str">
        <f t="shared" si="30"/>
        <v/>
      </c>
      <c r="K342" s="92" t="str">
        <f>IF(AND(A342="",B342="",D342="",G342=""),"",IF(AND(A342&lt;&gt;"",COUNTIF($A$2:$A$5001,A342)&gt;1),"NUMERO_PC duplicado",IF(B342="","DATA_PC vazia",IF(NOT(ISNUMBER(B342)),"DATA_PC invalida",IF(OR(C342="",C342="Fora dos ciclos"),"CICLO_PC nao identificado",IF(OR(D342="",D342=0),"VALOR_PC vazio ou zero",IF(AND(G342&lt;&gt;"Sim",G342&lt;&gt;"Nao",G342&lt;&gt;""),"PC_PAGO_A_CONTRATADA invalido",IF(AND(C342&lt;&gt;"C0",IFERROR(INDEX(parametros!$A$2:$A$6,MATCH(C342,parametros!$B$2:$B$6,0)),"")="Sim",IFERROR(INDEX(parametros!$H$2:$H$6,MATCH(C342,parametros!$B$2:$B$6,0)),"")=""),"INICIO_EFEITO ausente: PC "&amp;A342&amp;" - "&amp;C342,IF(L342="","EFEITO_PC nao calculado: PC "&amp;A342&amp;" - "&amp;C342,"OK")))))))))</f>
        <v/>
      </c>
      <c r="L342" s="92" t="str">
        <f>IF(AND(A342="",B342="",D342="",G342=""),"",IF(OR(B342="",NOT(ISNUMBER(B342)),C342="",C342="Fora dos ciclos"),"",IF(C342="C0","Nao",IF(IFERROR(INDEX(parametros!$A$2:$A$6,MATCH(C342,parametros!$B$2:$B$6,0)),"")&lt;&gt;"Sim","Nao",IF(IFERROR(INDEX(parametros!$H$2:$H$6,MATCH(C342,parametros!$B$2:$B$6,0)),"")="","",IF(B342&gt;=IFERROR(INDEX(parametros!$H$2:$H$6,MATCH(C342,parametros!$B$2:$B$6,0)),""),"Sim","Nao"))))))</f>
        <v/>
      </c>
      <c r="T342" s="156"/>
      <c r="U342" s="214" t="str">
        <f t="shared" si="31"/>
        <v/>
      </c>
      <c r="V342" s="212" t="s">
        <v>50</v>
      </c>
      <c r="W342" s="100" t="s">
        <v>168</v>
      </c>
      <c r="X342" s="100" t="s">
        <v>169</v>
      </c>
      <c r="Y342" s="101" t="s">
        <v>170</v>
      </c>
      <c r="Z342" s="101" t="s">
        <v>171</v>
      </c>
      <c r="AA342" s="101" t="s">
        <v>50</v>
      </c>
      <c r="AB342" s="101" t="s">
        <v>172</v>
      </c>
      <c r="AC342" s="102" t="s">
        <v>173</v>
      </c>
    </row>
    <row r="343" spans="1:29" ht="25.5" customHeight="1" x14ac:dyDescent="0.35">
      <c r="A343" s="392"/>
      <c r="B343" s="393"/>
      <c r="C343" s="99" t="str">
        <f>IF(B343="","",IF(NOT(ISNUMBER(B343)),"DATA_PC invalida",IF(NOT(ISNUMBER(parametros!$C$2)),"Fora dos ciclos",IF(OR(B343&lt;parametros!$C$2,(YEAR(B343)-YEAR(parametros!$C$2))*12+MONTH(B343)-MONTH(parametros!$C$2)&gt;59),"Fora dos ciclos","C"&amp;INT(((YEAR(B343)-YEAR(parametros!$C$2))*12+MONTH(B343)-MONTH(parametros!$C$2))/12)))))</f>
        <v/>
      </c>
      <c r="D343" s="394"/>
      <c r="E343" s="78" t="str">
        <f>IF(C343="","",IFERROR(VLOOKUP(C343,parametros!$A$11:$E$15,5,0),""))</f>
        <v/>
      </c>
      <c r="F343" s="79" t="str">
        <f t="shared" si="27"/>
        <v/>
      </c>
      <c r="G343" s="395"/>
      <c r="H343" s="91">
        <f t="shared" si="28"/>
        <v>0</v>
      </c>
      <c r="I343" s="91" t="str">
        <f t="shared" si="29"/>
        <v/>
      </c>
      <c r="J343" s="91" t="str">
        <f t="shared" si="30"/>
        <v/>
      </c>
      <c r="K343" s="92" t="str">
        <f>IF(AND(A343="",B343="",D343="",G343=""),"",IF(AND(A343&lt;&gt;"",COUNTIF($A$2:$A$5001,A343)&gt;1),"NUMERO_PC duplicado",IF(B343="","DATA_PC vazia",IF(NOT(ISNUMBER(B343)),"DATA_PC invalida",IF(OR(C343="",C343="Fora dos ciclos"),"CICLO_PC nao identificado",IF(OR(D343="",D343=0),"VALOR_PC vazio ou zero",IF(AND(G343&lt;&gt;"Sim",G343&lt;&gt;"Nao",G343&lt;&gt;""),"PC_PAGO_A_CONTRATADA invalido",IF(AND(C343&lt;&gt;"C0",IFERROR(INDEX(parametros!$A$2:$A$6,MATCH(C343,parametros!$B$2:$B$6,0)),"")="Sim",IFERROR(INDEX(parametros!$H$2:$H$6,MATCH(C343,parametros!$B$2:$B$6,0)),"")=""),"INICIO_EFEITO ausente: PC "&amp;A343&amp;" - "&amp;C343,IF(L343="","EFEITO_PC nao calculado: PC "&amp;A343&amp;" - "&amp;C343,"OK")))))))))</f>
        <v/>
      </c>
      <c r="L343" s="92" t="str">
        <f>IF(AND(A343="",B343="",D343="",G343=""),"",IF(OR(B343="",NOT(ISNUMBER(B343)),C343="",C343="Fora dos ciclos"),"",IF(C343="C0","Nao",IF(IFERROR(INDEX(parametros!$A$2:$A$6,MATCH(C343,parametros!$B$2:$B$6,0)),"")&lt;&gt;"Sim","Nao",IF(IFERROR(INDEX(parametros!$H$2:$H$6,MATCH(C343,parametros!$B$2:$B$6,0)),"")="","",IF(B343&gt;=IFERROR(INDEX(parametros!$H$2:$H$6,MATCH(C343,parametros!$B$2:$B$6,0)),""),"Sim","Nao"))))))</f>
        <v/>
      </c>
      <c r="T343" s="156"/>
      <c r="U343" s="214" t="str">
        <f t="shared" si="31"/>
        <v/>
      </c>
      <c r="V343" s="212" t="s">
        <v>50</v>
      </c>
      <c r="W343" s="100" t="s">
        <v>168</v>
      </c>
      <c r="X343" s="100" t="s">
        <v>169</v>
      </c>
      <c r="Y343" s="101" t="s">
        <v>170</v>
      </c>
      <c r="Z343" s="101" t="s">
        <v>171</v>
      </c>
      <c r="AA343" s="101" t="s">
        <v>50</v>
      </c>
      <c r="AB343" s="101" t="s">
        <v>172</v>
      </c>
      <c r="AC343" s="102" t="s">
        <v>173</v>
      </c>
    </row>
    <row r="344" spans="1:29" ht="25.5" customHeight="1" x14ac:dyDescent="0.35">
      <c r="A344" s="392"/>
      <c r="B344" s="393"/>
      <c r="C344" s="99" t="str">
        <f>IF(B344="","",IF(NOT(ISNUMBER(B344)),"DATA_PC invalida",IF(NOT(ISNUMBER(parametros!$C$2)),"Fora dos ciclos",IF(OR(B344&lt;parametros!$C$2,(YEAR(B344)-YEAR(parametros!$C$2))*12+MONTH(B344)-MONTH(parametros!$C$2)&gt;59),"Fora dos ciclos","C"&amp;INT(((YEAR(B344)-YEAR(parametros!$C$2))*12+MONTH(B344)-MONTH(parametros!$C$2))/12)))))</f>
        <v/>
      </c>
      <c r="D344" s="394"/>
      <c r="E344" s="78" t="str">
        <f>IF(C344="","",IFERROR(VLOOKUP(C344,parametros!$A$11:$E$15,5,0),""))</f>
        <v/>
      </c>
      <c r="F344" s="79" t="str">
        <f t="shared" si="27"/>
        <v/>
      </c>
      <c r="G344" s="395"/>
      <c r="H344" s="91">
        <f t="shared" si="28"/>
        <v>0</v>
      </c>
      <c r="I344" s="91" t="str">
        <f t="shared" si="29"/>
        <v/>
      </c>
      <c r="J344" s="91" t="str">
        <f t="shared" si="30"/>
        <v/>
      </c>
      <c r="K344" s="92" t="str">
        <f>IF(AND(A344="",B344="",D344="",G344=""),"",IF(AND(A344&lt;&gt;"",COUNTIF($A$2:$A$5001,A344)&gt;1),"NUMERO_PC duplicado",IF(B344="","DATA_PC vazia",IF(NOT(ISNUMBER(B344)),"DATA_PC invalida",IF(OR(C344="",C344="Fora dos ciclos"),"CICLO_PC nao identificado",IF(OR(D344="",D344=0),"VALOR_PC vazio ou zero",IF(AND(G344&lt;&gt;"Sim",G344&lt;&gt;"Nao",G344&lt;&gt;""),"PC_PAGO_A_CONTRATADA invalido",IF(AND(C344&lt;&gt;"C0",IFERROR(INDEX(parametros!$A$2:$A$6,MATCH(C344,parametros!$B$2:$B$6,0)),"")="Sim",IFERROR(INDEX(parametros!$H$2:$H$6,MATCH(C344,parametros!$B$2:$B$6,0)),"")=""),"INICIO_EFEITO ausente: PC "&amp;A344&amp;" - "&amp;C344,IF(L344="","EFEITO_PC nao calculado: PC "&amp;A344&amp;" - "&amp;C344,"OK")))))))))</f>
        <v/>
      </c>
      <c r="L344" s="92" t="str">
        <f>IF(AND(A344="",B344="",D344="",G344=""),"",IF(OR(B344="",NOT(ISNUMBER(B344)),C344="",C344="Fora dos ciclos"),"",IF(C344="C0","Nao",IF(IFERROR(INDEX(parametros!$A$2:$A$6,MATCH(C344,parametros!$B$2:$B$6,0)),"")&lt;&gt;"Sim","Nao",IF(IFERROR(INDEX(parametros!$H$2:$H$6,MATCH(C344,parametros!$B$2:$B$6,0)),"")="","",IF(B344&gt;=IFERROR(INDEX(parametros!$H$2:$H$6,MATCH(C344,parametros!$B$2:$B$6,0)),""),"Sim","Nao"))))))</f>
        <v/>
      </c>
      <c r="T344" s="156"/>
      <c r="U344" s="214" t="str">
        <f t="shared" si="31"/>
        <v/>
      </c>
      <c r="V344" s="212" t="s">
        <v>50</v>
      </c>
      <c r="W344" s="100" t="s">
        <v>168</v>
      </c>
      <c r="X344" s="100" t="s">
        <v>169</v>
      </c>
      <c r="Y344" s="101" t="s">
        <v>170</v>
      </c>
      <c r="Z344" s="101" t="s">
        <v>171</v>
      </c>
      <c r="AA344" s="101" t="s">
        <v>50</v>
      </c>
      <c r="AB344" s="101" t="s">
        <v>172</v>
      </c>
      <c r="AC344" s="102" t="s">
        <v>173</v>
      </c>
    </row>
    <row r="345" spans="1:29" ht="25.5" customHeight="1" x14ac:dyDescent="0.35">
      <c r="A345" s="392"/>
      <c r="B345" s="393"/>
      <c r="C345" s="99" t="str">
        <f>IF(B345="","",IF(NOT(ISNUMBER(B345)),"DATA_PC invalida",IF(NOT(ISNUMBER(parametros!$C$2)),"Fora dos ciclos",IF(OR(B345&lt;parametros!$C$2,(YEAR(B345)-YEAR(parametros!$C$2))*12+MONTH(B345)-MONTH(parametros!$C$2)&gt;59),"Fora dos ciclos","C"&amp;INT(((YEAR(B345)-YEAR(parametros!$C$2))*12+MONTH(B345)-MONTH(parametros!$C$2))/12)))))</f>
        <v/>
      </c>
      <c r="D345" s="394"/>
      <c r="E345" s="78" t="str">
        <f>IF(C345="","",IFERROR(VLOOKUP(C345,parametros!$A$11:$E$15,5,0),""))</f>
        <v/>
      </c>
      <c r="F345" s="79" t="str">
        <f t="shared" si="27"/>
        <v/>
      </c>
      <c r="G345" s="395"/>
      <c r="H345" s="91">
        <f t="shared" si="28"/>
        <v>0</v>
      </c>
      <c r="I345" s="91" t="str">
        <f t="shared" si="29"/>
        <v/>
      </c>
      <c r="J345" s="91" t="str">
        <f t="shared" si="30"/>
        <v/>
      </c>
      <c r="K345" s="92" t="str">
        <f>IF(AND(A345="",B345="",D345="",G345=""),"",IF(AND(A345&lt;&gt;"",COUNTIF($A$2:$A$5001,A345)&gt;1),"NUMERO_PC duplicado",IF(B345="","DATA_PC vazia",IF(NOT(ISNUMBER(B345)),"DATA_PC invalida",IF(OR(C345="",C345="Fora dos ciclos"),"CICLO_PC nao identificado",IF(OR(D345="",D345=0),"VALOR_PC vazio ou zero",IF(AND(G345&lt;&gt;"Sim",G345&lt;&gt;"Nao",G345&lt;&gt;""),"PC_PAGO_A_CONTRATADA invalido",IF(AND(C345&lt;&gt;"C0",IFERROR(INDEX(parametros!$A$2:$A$6,MATCH(C345,parametros!$B$2:$B$6,0)),"")="Sim",IFERROR(INDEX(parametros!$H$2:$H$6,MATCH(C345,parametros!$B$2:$B$6,0)),"")=""),"INICIO_EFEITO ausente: PC "&amp;A345&amp;" - "&amp;C345,IF(L345="","EFEITO_PC nao calculado: PC "&amp;A345&amp;" - "&amp;C345,"OK")))))))))</f>
        <v/>
      </c>
      <c r="L345" s="92" t="str">
        <f>IF(AND(A345="",B345="",D345="",G345=""),"",IF(OR(B345="",NOT(ISNUMBER(B345)),C345="",C345="Fora dos ciclos"),"",IF(C345="C0","Nao",IF(IFERROR(INDEX(parametros!$A$2:$A$6,MATCH(C345,parametros!$B$2:$B$6,0)),"")&lt;&gt;"Sim","Nao",IF(IFERROR(INDEX(parametros!$H$2:$H$6,MATCH(C345,parametros!$B$2:$B$6,0)),"")="","",IF(B345&gt;=IFERROR(INDEX(parametros!$H$2:$H$6,MATCH(C345,parametros!$B$2:$B$6,0)),""),"Sim","Nao"))))))</f>
        <v/>
      </c>
      <c r="T345" s="156"/>
      <c r="U345" s="214" t="str">
        <f t="shared" si="31"/>
        <v/>
      </c>
      <c r="V345" s="212" t="s">
        <v>50</v>
      </c>
      <c r="W345" s="100" t="s">
        <v>168</v>
      </c>
      <c r="X345" s="100" t="s">
        <v>169</v>
      </c>
      <c r="Y345" s="101" t="s">
        <v>170</v>
      </c>
      <c r="Z345" s="101" t="s">
        <v>171</v>
      </c>
      <c r="AA345" s="101" t="s">
        <v>50</v>
      </c>
      <c r="AB345" s="101" t="s">
        <v>172</v>
      </c>
      <c r="AC345" s="102" t="s">
        <v>173</v>
      </c>
    </row>
    <row r="346" spans="1:29" ht="25.5" customHeight="1" x14ac:dyDescent="0.35">
      <c r="A346" s="392"/>
      <c r="B346" s="393"/>
      <c r="C346" s="99" t="str">
        <f>IF(B346="","",IF(NOT(ISNUMBER(B346)),"DATA_PC invalida",IF(NOT(ISNUMBER(parametros!$C$2)),"Fora dos ciclos",IF(OR(B346&lt;parametros!$C$2,(YEAR(B346)-YEAR(parametros!$C$2))*12+MONTH(B346)-MONTH(parametros!$C$2)&gt;59),"Fora dos ciclos","C"&amp;INT(((YEAR(B346)-YEAR(parametros!$C$2))*12+MONTH(B346)-MONTH(parametros!$C$2))/12)))))</f>
        <v/>
      </c>
      <c r="D346" s="394"/>
      <c r="E346" s="78" t="str">
        <f>IF(C346="","",IFERROR(VLOOKUP(C346,parametros!$A$11:$E$15,5,0),""))</f>
        <v/>
      </c>
      <c r="F346" s="79" t="str">
        <f t="shared" si="27"/>
        <v/>
      </c>
      <c r="G346" s="395"/>
      <c r="H346" s="91">
        <f t="shared" si="28"/>
        <v>0</v>
      </c>
      <c r="I346" s="91" t="str">
        <f t="shared" si="29"/>
        <v/>
      </c>
      <c r="J346" s="91" t="str">
        <f t="shared" si="30"/>
        <v/>
      </c>
      <c r="K346" s="92" t="str">
        <f>IF(AND(A346="",B346="",D346="",G346=""),"",IF(AND(A346&lt;&gt;"",COUNTIF($A$2:$A$5001,A346)&gt;1),"NUMERO_PC duplicado",IF(B346="","DATA_PC vazia",IF(NOT(ISNUMBER(B346)),"DATA_PC invalida",IF(OR(C346="",C346="Fora dos ciclos"),"CICLO_PC nao identificado",IF(OR(D346="",D346=0),"VALOR_PC vazio ou zero",IF(AND(G346&lt;&gt;"Sim",G346&lt;&gt;"Nao",G346&lt;&gt;""),"PC_PAGO_A_CONTRATADA invalido",IF(AND(C346&lt;&gt;"C0",IFERROR(INDEX(parametros!$A$2:$A$6,MATCH(C346,parametros!$B$2:$B$6,0)),"")="Sim",IFERROR(INDEX(parametros!$H$2:$H$6,MATCH(C346,parametros!$B$2:$B$6,0)),"")=""),"INICIO_EFEITO ausente: PC "&amp;A346&amp;" - "&amp;C346,IF(L346="","EFEITO_PC nao calculado: PC "&amp;A346&amp;" - "&amp;C346,"OK")))))))))</f>
        <v/>
      </c>
      <c r="L346" s="92" t="str">
        <f>IF(AND(A346="",B346="",D346="",G346=""),"",IF(OR(B346="",NOT(ISNUMBER(B346)),C346="",C346="Fora dos ciclos"),"",IF(C346="C0","Nao",IF(IFERROR(INDEX(parametros!$A$2:$A$6,MATCH(C346,parametros!$B$2:$B$6,0)),"")&lt;&gt;"Sim","Nao",IF(IFERROR(INDEX(parametros!$H$2:$H$6,MATCH(C346,parametros!$B$2:$B$6,0)),"")="","",IF(B346&gt;=IFERROR(INDEX(parametros!$H$2:$H$6,MATCH(C346,parametros!$B$2:$B$6,0)),""),"Sim","Nao"))))))</f>
        <v/>
      </c>
      <c r="T346" s="156"/>
      <c r="U346" s="214" t="str">
        <f t="shared" si="31"/>
        <v/>
      </c>
      <c r="V346" s="212" t="s">
        <v>50</v>
      </c>
      <c r="W346" s="100" t="s">
        <v>168</v>
      </c>
      <c r="X346" s="100" t="s">
        <v>169</v>
      </c>
      <c r="Y346" s="101" t="s">
        <v>170</v>
      </c>
      <c r="Z346" s="101" t="s">
        <v>171</v>
      </c>
      <c r="AA346" s="101" t="s">
        <v>50</v>
      </c>
      <c r="AB346" s="101" t="s">
        <v>172</v>
      </c>
      <c r="AC346" s="102" t="s">
        <v>173</v>
      </c>
    </row>
    <row r="347" spans="1:29" ht="25.5" customHeight="1" x14ac:dyDescent="0.35">
      <c r="A347" s="392"/>
      <c r="B347" s="393"/>
      <c r="C347" s="99" t="str">
        <f>IF(B347="","",IF(NOT(ISNUMBER(B347)),"DATA_PC invalida",IF(NOT(ISNUMBER(parametros!$C$2)),"Fora dos ciclos",IF(OR(B347&lt;parametros!$C$2,(YEAR(B347)-YEAR(parametros!$C$2))*12+MONTH(B347)-MONTH(parametros!$C$2)&gt;59),"Fora dos ciclos","C"&amp;INT(((YEAR(B347)-YEAR(parametros!$C$2))*12+MONTH(B347)-MONTH(parametros!$C$2))/12)))))</f>
        <v/>
      </c>
      <c r="D347" s="394"/>
      <c r="E347" s="78" t="str">
        <f>IF(C347="","",IFERROR(VLOOKUP(C347,parametros!$A$11:$E$15,5,0),""))</f>
        <v/>
      </c>
      <c r="F347" s="79" t="str">
        <f t="shared" si="27"/>
        <v/>
      </c>
      <c r="G347" s="395"/>
      <c r="H347" s="91">
        <f t="shared" si="28"/>
        <v>0</v>
      </c>
      <c r="I347" s="91" t="str">
        <f t="shared" si="29"/>
        <v/>
      </c>
      <c r="J347" s="91" t="str">
        <f t="shared" si="30"/>
        <v/>
      </c>
      <c r="K347" s="92" t="str">
        <f>IF(AND(A347="",B347="",D347="",G347=""),"",IF(AND(A347&lt;&gt;"",COUNTIF($A$2:$A$5001,A347)&gt;1),"NUMERO_PC duplicado",IF(B347="","DATA_PC vazia",IF(NOT(ISNUMBER(B347)),"DATA_PC invalida",IF(OR(C347="",C347="Fora dos ciclos"),"CICLO_PC nao identificado",IF(OR(D347="",D347=0),"VALOR_PC vazio ou zero",IF(AND(G347&lt;&gt;"Sim",G347&lt;&gt;"Nao",G347&lt;&gt;""),"PC_PAGO_A_CONTRATADA invalido",IF(AND(C347&lt;&gt;"C0",IFERROR(INDEX(parametros!$A$2:$A$6,MATCH(C347,parametros!$B$2:$B$6,0)),"")="Sim",IFERROR(INDEX(parametros!$H$2:$H$6,MATCH(C347,parametros!$B$2:$B$6,0)),"")=""),"INICIO_EFEITO ausente: PC "&amp;A347&amp;" - "&amp;C347,IF(L347="","EFEITO_PC nao calculado: PC "&amp;A347&amp;" - "&amp;C347,"OK")))))))))</f>
        <v/>
      </c>
      <c r="L347" s="92" t="str">
        <f>IF(AND(A347="",B347="",D347="",G347=""),"",IF(OR(B347="",NOT(ISNUMBER(B347)),C347="",C347="Fora dos ciclos"),"",IF(C347="C0","Nao",IF(IFERROR(INDEX(parametros!$A$2:$A$6,MATCH(C347,parametros!$B$2:$B$6,0)),"")&lt;&gt;"Sim","Nao",IF(IFERROR(INDEX(parametros!$H$2:$H$6,MATCH(C347,parametros!$B$2:$B$6,0)),"")="","",IF(B347&gt;=IFERROR(INDEX(parametros!$H$2:$H$6,MATCH(C347,parametros!$B$2:$B$6,0)),""),"Sim","Nao"))))))</f>
        <v/>
      </c>
      <c r="T347" s="156"/>
      <c r="U347" s="214" t="str">
        <f t="shared" si="31"/>
        <v/>
      </c>
      <c r="V347" s="212" t="s">
        <v>50</v>
      </c>
      <c r="W347" s="100" t="s">
        <v>168</v>
      </c>
      <c r="X347" s="100" t="s">
        <v>169</v>
      </c>
      <c r="Y347" s="101" t="s">
        <v>170</v>
      </c>
      <c r="Z347" s="101" t="s">
        <v>171</v>
      </c>
      <c r="AA347" s="101" t="s">
        <v>50</v>
      </c>
      <c r="AB347" s="101" t="s">
        <v>172</v>
      </c>
      <c r="AC347" s="102" t="s">
        <v>173</v>
      </c>
    </row>
    <row r="348" spans="1:29" ht="25.5" customHeight="1" x14ac:dyDescent="0.35">
      <c r="A348" s="392"/>
      <c r="B348" s="393"/>
      <c r="C348" s="99" t="str">
        <f>IF(B348="","",IF(NOT(ISNUMBER(B348)),"DATA_PC invalida",IF(NOT(ISNUMBER(parametros!$C$2)),"Fora dos ciclos",IF(OR(B348&lt;parametros!$C$2,(YEAR(B348)-YEAR(parametros!$C$2))*12+MONTH(B348)-MONTH(parametros!$C$2)&gt;59),"Fora dos ciclos","C"&amp;INT(((YEAR(B348)-YEAR(parametros!$C$2))*12+MONTH(B348)-MONTH(parametros!$C$2))/12)))))</f>
        <v/>
      </c>
      <c r="D348" s="394"/>
      <c r="E348" s="78" t="str">
        <f>IF(C348="","",IFERROR(VLOOKUP(C348,parametros!$A$11:$E$15,5,0),""))</f>
        <v/>
      </c>
      <c r="F348" s="79" t="str">
        <f t="shared" si="27"/>
        <v/>
      </c>
      <c r="G348" s="395"/>
      <c r="H348" s="91">
        <f t="shared" si="28"/>
        <v>0</v>
      </c>
      <c r="I348" s="91" t="str">
        <f t="shared" si="29"/>
        <v/>
      </c>
      <c r="J348" s="91" t="str">
        <f t="shared" si="30"/>
        <v/>
      </c>
      <c r="K348" s="92" t="str">
        <f>IF(AND(A348="",B348="",D348="",G348=""),"",IF(AND(A348&lt;&gt;"",COUNTIF($A$2:$A$5001,A348)&gt;1),"NUMERO_PC duplicado",IF(B348="","DATA_PC vazia",IF(NOT(ISNUMBER(B348)),"DATA_PC invalida",IF(OR(C348="",C348="Fora dos ciclos"),"CICLO_PC nao identificado",IF(OR(D348="",D348=0),"VALOR_PC vazio ou zero",IF(AND(G348&lt;&gt;"Sim",G348&lt;&gt;"Nao",G348&lt;&gt;""),"PC_PAGO_A_CONTRATADA invalido",IF(AND(C348&lt;&gt;"C0",IFERROR(INDEX(parametros!$A$2:$A$6,MATCH(C348,parametros!$B$2:$B$6,0)),"")="Sim",IFERROR(INDEX(parametros!$H$2:$H$6,MATCH(C348,parametros!$B$2:$B$6,0)),"")=""),"INICIO_EFEITO ausente: PC "&amp;A348&amp;" - "&amp;C348,IF(L348="","EFEITO_PC nao calculado: PC "&amp;A348&amp;" - "&amp;C348,"OK")))))))))</f>
        <v/>
      </c>
      <c r="L348" s="92" t="str">
        <f>IF(AND(A348="",B348="",D348="",G348=""),"",IF(OR(B348="",NOT(ISNUMBER(B348)),C348="",C348="Fora dos ciclos"),"",IF(C348="C0","Nao",IF(IFERROR(INDEX(parametros!$A$2:$A$6,MATCH(C348,parametros!$B$2:$B$6,0)),"")&lt;&gt;"Sim","Nao",IF(IFERROR(INDEX(parametros!$H$2:$H$6,MATCH(C348,parametros!$B$2:$B$6,0)),"")="","",IF(B348&gt;=IFERROR(INDEX(parametros!$H$2:$H$6,MATCH(C348,parametros!$B$2:$B$6,0)),""),"Sim","Nao"))))))</f>
        <v/>
      </c>
      <c r="T348" s="156"/>
      <c r="U348" s="214" t="str">
        <f t="shared" si="31"/>
        <v/>
      </c>
      <c r="V348" s="212" t="s">
        <v>50</v>
      </c>
      <c r="W348" s="100" t="s">
        <v>168</v>
      </c>
      <c r="X348" s="100" t="s">
        <v>169</v>
      </c>
      <c r="Y348" s="101" t="s">
        <v>170</v>
      </c>
      <c r="Z348" s="101" t="s">
        <v>171</v>
      </c>
      <c r="AA348" s="101" t="s">
        <v>50</v>
      </c>
      <c r="AB348" s="101" t="s">
        <v>172</v>
      </c>
      <c r="AC348" s="102" t="s">
        <v>173</v>
      </c>
    </row>
    <row r="349" spans="1:29" ht="25.5" customHeight="1" x14ac:dyDescent="0.35">
      <c r="A349" s="392"/>
      <c r="B349" s="393"/>
      <c r="C349" s="99" t="str">
        <f>IF(B349="","",IF(NOT(ISNUMBER(B349)),"DATA_PC invalida",IF(NOT(ISNUMBER(parametros!$C$2)),"Fora dos ciclos",IF(OR(B349&lt;parametros!$C$2,(YEAR(B349)-YEAR(parametros!$C$2))*12+MONTH(B349)-MONTH(parametros!$C$2)&gt;59),"Fora dos ciclos","C"&amp;INT(((YEAR(B349)-YEAR(parametros!$C$2))*12+MONTH(B349)-MONTH(parametros!$C$2))/12)))))</f>
        <v/>
      </c>
      <c r="D349" s="394"/>
      <c r="E349" s="78" t="str">
        <f>IF(C349="","",IFERROR(VLOOKUP(C349,parametros!$A$11:$E$15,5,0),""))</f>
        <v/>
      </c>
      <c r="F349" s="79" t="str">
        <f t="shared" si="27"/>
        <v/>
      </c>
      <c r="G349" s="395"/>
      <c r="H349" s="91">
        <f t="shared" si="28"/>
        <v>0</v>
      </c>
      <c r="I349" s="91" t="str">
        <f t="shared" si="29"/>
        <v/>
      </c>
      <c r="J349" s="91" t="str">
        <f t="shared" si="30"/>
        <v/>
      </c>
      <c r="K349" s="92" t="str">
        <f>IF(AND(A349="",B349="",D349="",G349=""),"",IF(AND(A349&lt;&gt;"",COUNTIF($A$2:$A$5001,A349)&gt;1),"NUMERO_PC duplicado",IF(B349="","DATA_PC vazia",IF(NOT(ISNUMBER(B349)),"DATA_PC invalida",IF(OR(C349="",C349="Fora dos ciclos"),"CICLO_PC nao identificado",IF(OR(D349="",D349=0),"VALOR_PC vazio ou zero",IF(AND(G349&lt;&gt;"Sim",G349&lt;&gt;"Nao",G349&lt;&gt;""),"PC_PAGO_A_CONTRATADA invalido",IF(AND(C349&lt;&gt;"C0",IFERROR(INDEX(parametros!$A$2:$A$6,MATCH(C349,parametros!$B$2:$B$6,0)),"")="Sim",IFERROR(INDEX(parametros!$H$2:$H$6,MATCH(C349,parametros!$B$2:$B$6,0)),"")=""),"INICIO_EFEITO ausente: PC "&amp;A349&amp;" - "&amp;C349,IF(L349="","EFEITO_PC nao calculado: PC "&amp;A349&amp;" - "&amp;C349,"OK")))))))))</f>
        <v/>
      </c>
      <c r="L349" s="92" t="str">
        <f>IF(AND(A349="",B349="",D349="",G349=""),"",IF(OR(B349="",NOT(ISNUMBER(B349)),C349="",C349="Fora dos ciclos"),"",IF(C349="C0","Nao",IF(IFERROR(INDEX(parametros!$A$2:$A$6,MATCH(C349,parametros!$B$2:$B$6,0)),"")&lt;&gt;"Sim","Nao",IF(IFERROR(INDEX(parametros!$H$2:$H$6,MATCH(C349,parametros!$B$2:$B$6,0)),"")="","",IF(B349&gt;=IFERROR(INDEX(parametros!$H$2:$H$6,MATCH(C349,parametros!$B$2:$B$6,0)),""),"Sim","Nao"))))))</f>
        <v/>
      </c>
      <c r="T349" s="156"/>
      <c r="U349" s="214" t="str">
        <f t="shared" si="31"/>
        <v/>
      </c>
      <c r="V349" s="212" t="s">
        <v>50</v>
      </c>
      <c r="W349" s="100" t="s">
        <v>168</v>
      </c>
      <c r="X349" s="100" t="s">
        <v>169</v>
      </c>
      <c r="Y349" s="101" t="s">
        <v>170</v>
      </c>
      <c r="Z349" s="101" t="s">
        <v>171</v>
      </c>
      <c r="AA349" s="101" t="s">
        <v>50</v>
      </c>
      <c r="AB349" s="101" t="s">
        <v>172</v>
      </c>
      <c r="AC349" s="102" t="s">
        <v>173</v>
      </c>
    </row>
    <row r="350" spans="1:29" ht="25.5" customHeight="1" x14ac:dyDescent="0.35">
      <c r="A350" s="392"/>
      <c r="B350" s="393"/>
      <c r="C350" s="99" t="str">
        <f>IF(B350="","",IF(NOT(ISNUMBER(B350)),"DATA_PC invalida",IF(NOT(ISNUMBER(parametros!$C$2)),"Fora dos ciclos",IF(OR(B350&lt;parametros!$C$2,(YEAR(B350)-YEAR(parametros!$C$2))*12+MONTH(B350)-MONTH(parametros!$C$2)&gt;59),"Fora dos ciclos","C"&amp;INT(((YEAR(B350)-YEAR(parametros!$C$2))*12+MONTH(B350)-MONTH(parametros!$C$2))/12)))))</f>
        <v/>
      </c>
      <c r="D350" s="394"/>
      <c r="E350" s="78" t="str">
        <f>IF(C350="","",IFERROR(VLOOKUP(C350,parametros!$A$11:$E$15,5,0),""))</f>
        <v/>
      </c>
      <c r="F350" s="79" t="str">
        <f t="shared" si="27"/>
        <v/>
      </c>
      <c r="G350" s="395"/>
      <c r="H350" s="91">
        <f t="shared" si="28"/>
        <v>0</v>
      </c>
      <c r="I350" s="91" t="str">
        <f t="shared" si="29"/>
        <v/>
      </c>
      <c r="J350" s="91" t="str">
        <f t="shared" si="30"/>
        <v/>
      </c>
      <c r="K350" s="92" t="str">
        <f>IF(AND(A350="",B350="",D350="",G350=""),"",IF(AND(A350&lt;&gt;"",COUNTIF($A$2:$A$5001,A350)&gt;1),"NUMERO_PC duplicado",IF(B350="","DATA_PC vazia",IF(NOT(ISNUMBER(B350)),"DATA_PC invalida",IF(OR(C350="",C350="Fora dos ciclos"),"CICLO_PC nao identificado",IF(OR(D350="",D350=0),"VALOR_PC vazio ou zero",IF(AND(G350&lt;&gt;"Sim",G350&lt;&gt;"Nao",G350&lt;&gt;""),"PC_PAGO_A_CONTRATADA invalido",IF(AND(C350&lt;&gt;"C0",IFERROR(INDEX(parametros!$A$2:$A$6,MATCH(C350,parametros!$B$2:$B$6,0)),"")="Sim",IFERROR(INDEX(parametros!$H$2:$H$6,MATCH(C350,parametros!$B$2:$B$6,0)),"")=""),"INICIO_EFEITO ausente: PC "&amp;A350&amp;" - "&amp;C350,IF(L350="","EFEITO_PC nao calculado: PC "&amp;A350&amp;" - "&amp;C350,"OK")))))))))</f>
        <v/>
      </c>
      <c r="L350" s="92" t="str">
        <f>IF(AND(A350="",B350="",D350="",G350=""),"",IF(OR(B350="",NOT(ISNUMBER(B350)),C350="",C350="Fora dos ciclos"),"",IF(C350="C0","Nao",IF(IFERROR(INDEX(parametros!$A$2:$A$6,MATCH(C350,parametros!$B$2:$B$6,0)),"")&lt;&gt;"Sim","Nao",IF(IFERROR(INDEX(parametros!$H$2:$H$6,MATCH(C350,parametros!$B$2:$B$6,0)),"")="","",IF(B350&gt;=IFERROR(INDEX(parametros!$H$2:$H$6,MATCH(C350,parametros!$B$2:$B$6,0)),""),"Sim","Nao"))))))</f>
        <v/>
      </c>
      <c r="T350" s="156"/>
      <c r="U350" s="214" t="str">
        <f t="shared" si="31"/>
        <v/>
      </c>
      <c r="V350" s="212" t="s">
        <v>50</v>
      </c>
      <c r="W350" s="100" t="s">
        <v>168</v>
      </c>
      <c r="X350" s="100" t="s">
        <v>169</v>
      </c>
      <c r="Y350" s="101" t="s">
        <v>170</v>
      </c>
      <c r="Z350" s="101" t="s">
        <v>171</v>
      </c>
      <c r="AA350" s="101" t="s">
        <v>50</v>
      </c>
      <c r="AB350" s="101" t="s">
        <v>172</v>
      </c>
      <c r="AC350" s="102" t="s">
        <v>173</v>
      </c>
    </row>
    <row r="351" spans="1:29" ht="25.5" customHeight="1" x14ac:dyDescent="0.35">
      <c r="A351" s="392"/>
      <c r="B351" s="393"/>
      <c r="C351" s="99" t="str">
        <f>IF(B351="","",IF(NOT(ISNUMBER(B351)),"DATA_PC invalida",IF(NOT(ISNUMBER(parametros!$C$2)),"Fora dos ciclos",IF(OR(B351&lt;parametros!$C$2,(YEAR(B351)-YEAR(parametros!$C$2))*12+MONTH(B351)-MONTH(parametros!$C$2)&gt;59),"Fora dos ciclos","C"&amp;INT(((YEAR(B351)-YEAR(parametros!$C$2))*12+MONTH(B351)-MONTH(parametros!$C$2))/12)))))</f>
        <v/>
      </c>
      <c r="D351" s="394"/>
      <c r="E351" s="78" t="str">
        <f>IF(C351="","",IFERROR(VLOOKUP(C351,parametros!$A$11:$E$15,5,0),""))</f>
        <v/>
      </c>
      <c r="F351" s="79" t="str">
        <f t="shared" si="27"/>
        <v/>
      </c>
      <c r="G351" s="395"/>
      <c r="H351" s="91">
        <f t="shared" si="28"/>
        <v>0</v>
      </c>
      <c r="I351" s="91" t="str">
        <f t="shared" si="29"/>
        <v/>
      </c>
      <c r="J351" s="91" t="str">
        <f t="shared" si="30"/>
        <v/>
      </c>
      <c r="K351" s="92" t="str">
        <f>IF(AND(A351="",B351="",D351="",G351=""),"",IF(AND(A351&lt;&gt;"",COUNTIF($A$2:$A$5001,A351)&gt;1),"NUMERO_PC duplicado",IF(B351="","DATA_PC vazia",IF(NOT(ISNUMBER(B351)),"DATA_PC invalida",IF(OR(C351="",C351="Fora dos ciclos"),"CICLO_PC nao identificado",IF(OR(D351="",D351=0),"VALOR_PC vazio ou zero",IF(AND(G351&lt;&gt;"Sim",G351&lt;&gt;"Nao",G351&lt;&gt;""),"PC_PAGO_A_CONTRATADA invalido",IF(AND(C351&lt;&gt;"C0",IFERROR(INDEX(parametros!$A$2:$A$6,MATCH(C351,parametros!$B$2:$B$6,0)),"")="Sim",IFERROR(INDEX(parametros!$H$2:$H$6,MATCH(C351,parametros!$B$2:$B$6,0)),"")=""),"INICIO_EFEITO ausente: PC "&amp;A351&amp;" - "&amp;C351,IF(L351="","EFEITO_PC nao calculado: PC "&amp;A351&amp;" - "&amp;C351,"OK")))))))))</f>
        <v/>
      </c>
      <c r="L351" s="92" t="str">
        <f>IF(AND(A351="",B351="",D351="",G351=""),"",IF(OR(B351="",NOT(ISNUMBER(B351)),C351="",C351="Fora dos ciclos"),"",IF(C351="C0","Nao",IF(IFERROR(INDEX(parametros!$A$2:$A$6,MATCH(C351,parametros!$B$2:$B$6,0)),"")&lt;&gt;"Sim","Nao",IF(IFERROR(INDEX(parametros!$H$2:$H$6,MATCH(C351,parametros!$B$2:$B$6,0)),"")="","",IF(B351&gt;=IFERROR(INDEX(parametros!$H$2:$H$6,MATCH(C351,parametros!$B$2:$B$6,0)),""),"Sim","Nao"))))))</f>
        <v/>
      </c>
      <c r="T351" s="156"/>
      <c r="U351" s="214" t="str">
        <f t="shared" si="31"/>
        <v/>
      </c>
      <c r="V351" s="212" t="s">
        <v>50</v>
      </c>
      <c r="W351" s="100" t="s">
        <v>168</v>
      </c>
      <c r="X351" s="100" t="s">
        <v>169</v>
      </c>
      <c r="Y351" s="101" t="s">
        <v>170</v>
      </c>
      <c r="Z351" s="101" t="s">
        <v>171</v>
      </c>
      <c r="AA351" s="101" t="s">
        <v>50</v>
      </c>
      <c r="AB351" s="101" t="s">
        <v>172</v>
      </c>
      <c r="AC351" s="102" t="s">
        <v>173</v>
      </c>
    </row>
    <row r="352" spans="1:29" ht="25.5" customHeight="1" x14ac:dyDescent="0.35">
      <c r="A352" s="392"/>
      <c r="B352" s="393"/>
      <c r="C352" s="99" t="str">
        <f>IF(B352="","",IF(NOT(ISNUMBER(B352)),"DATA_PC invalida",IF(NOT(ISNUMBER(parametros!$C$2)),"Fora dos ciclos",IF(OR(B352&lt;parametros!$C$2,(YEAR(B352)-YEAR(parametros!$C$2))*12+MONTH(B352)-MONTH(parametros!$C$2)&gt;59),"Fora dos ciclos","C"&amp;INT(((YEAR(B352)-YEAR(parametros!$C$2))*12+MONTH(B352)-MONTH(parametros!$C$2))/12)))))</f>
        <v/>
      </c>
      <c r="D352" s="394"/>
      <c r="E352" s="78" t="str">
        <f>IF(C352="","",IFERROR(VLOOKUP(C352,parametros!$A$11:$E$15,5,0),""))</f>
        <v/>
      </c>
      <c r="F352" s="79" t="str">
        <f t="shared" si="27"/>
        <v/>
      </c>
      <c r="G352" s="395"/>
      <c r="H352" s="91">
        <f t="shared" si="28"/>
        <v>0</v>
      </c>
      <c r="I352" s="91" t="str">
        <f t="shared" si="29"/>
        <v/>
      </c>
      <c r="J352" s="91" t="str">
        <f t="shared" si="30"/>
        <v/>
      </c>
      <c r="K352" s="92" t="str">
        <f>IF(AND(A352="",B352="",D352="",G352=""),"",IF(AND(A352&lt;&gt;"",COUNTIF($A$2:$A$5001,A352)&gt;1),"NUMERO_PC duplicado",IF(B352="","DATA_PC vazia",IF(NOT(ISNUMBER(B352)),"DATA_PC invalida",IF(OR(C352="",C352="Fora dos ciclos"),"CICLO_PC nao identificado",IF(OR(D352="",D352=0),"VALOR_PC vazio ou zero",IF(AND(G352&lt;&gt;"Sim",G352&lt;&gt;"Nao",G352&lt;&gt;""),"PC_PAGO_A_CONTRATADA invalido",IF(AND(C352&lt;&gt;"C0",IFERROR(INDEX(parametros!$A$2:$A$6,MATCH(C352,parametros!$B$2:$B$6,0)),"")="Sim",IFERROR(INDEX(parametros!$H$2:$H$6,MATCH(C352,parametros!$B$2:$B$6,0)),"")=""),"INICIO_EFEITO ausente: PC "&amp;A352&amp;" - "&amp;C352,IF(L352="","EFEITO_PC nao calculado: PC "&amp;A352&amp;" - "&amp;C352,"OK")))))))))</f>
        <v/>
      </c>
      <c r="L352" s="92" t="str">
        <f>IF(AND(A352="",B352="",D352="",G352=""),"",IF(OR(B352="",NOT(ISNUMBER(B352)),C352="",C352="Fora dos ciclos"),"",IF(C352="C0","Nao",IF(IFERROR(INDEX(parametros!$A$2:$A$6,MATCH(C352,parametros!$B$2:$B$6,0)),"")&lt;&gt;"Sim","Nao",IF(IFERROR(INDEX(parametros!$H$2:$H$6,MATCH(C352,parametros!$B$2:$B$6,0)),"")="","",IF(B352&gt;=IFERROR(INDEX(parametros!$H$2:$H$6,MATCH(C352,parametros!$B$2:$B$6,0)),""),"Sim","Nao"))))))</f>
        <v/>
      </c>
      <c r="T352" s="156"/>
      <c r="U352" s="214" t="str">
        <f t="shared" si="31"/>
        <v/>
      </c>
      <c r="V352" s="212" t="s">
        <v>50</v>
      </c>
      <c r="W352" s="100" t="s">
        <v>168</v>
      </c>
      <c r="X352" s="100" t="s">
        <v>169</v>
      </c>
      <c r="Y352" s="101" t="s">
        <v>170</v>
      </c>
      <c r="Z352" s="101" t="s">
        <v>171</v>
      </c>
      <c r="AA352" s="101" t="s">
        <v>50</v>
      </c>
      <c r="AB352" s="101" t="s">
        <v>172</v>
      </c>
      <c r="AC352" s="102" t="s">
        <v>173</v>
      </c>
    </row>
    <row r="353" spans="1:29" ht="25.5" customHeight="1" x14ac:dyDescent="0.35">
      <c r="A353" s="392"/>
      <c r="B353" s="393"/>
      <c r="C353" s="99" t="str">
        <f>IF(B353="","",IF(NOT(ISNUMBER(B353)),"DATA_PC invalida",IF(NOT(ISNUMBER(parametros!$C$2)),"Fora dos ciclos",IF(OR(B353&lt;parametros!$C$2,(YEAR(B353)-YEAR(parametros!$C$2))*12+MONTH(B353)-MONTH(parametros!$C$2)&gt;59),"Fora dos ciclos","C"&amp;INT(((YEAR(B353)-YEAR(parametros!$C$2))*12+MONTH(B353)-MONTH(parametros!$C$2))/12)))))</f>
        <v/>
      </c>
      <c r="D353" s="394"/>
      <c r="E353" s="78" t="str">
        <f>IF(C353="","",IFERROR(VLOOKUP(C353,parametros!$A$11:$E$15,5,0),""))</f>
        <v/>
      </c>
      <c r="F353" s="79" t="str">
        <f t="shared" si="27"/>
        <v/>
      </c>
      <c r="G353" s="395"/>
      <c r="H353" s="91">
        <f t="shared" si="28"/>
        <v>0</v>
      </c>
      <c r="I353" s="91" t="str">
        <f t="shared" si="29"/>
        <v/>
      </c>
      <c r="J353" s="91" t="str">
        <f t="shared" si="30"/>
        <v/>
      </c>
      <c r="K353" s="92" t="str">
        <f>IF(AND(A353="",B353="",D353="",G353=""),"",IF(AND(A353&lt;&gt;"",COUNTIF($A$2:$A$5001,A353)&gt;1),"NUMERO_PC duplicado",IF(B353="","DATA_PC vazia",IF(NOT(ISNUMBER(B353)),"DATA_PC invalida",IF(OR(C353="",C353="Fora dos ciclos"),"CICLO_PC nao identificado",IF(OR(D353="",D353=0),"VALOR_PC vazio ou zero",IF(AND(G353&lt;&gt;"Sim",G353&lt;&gt;"Nao",G353&lt;&gt;""),"PC_PAGO_A_CONTRATADA invalido",IF(AND(C353&lt;&gt;"C0",IFERROR(INDEX(parametros!$A$2:$A$6,MATCH(C353,parametros!$B$2:$B$6,0)),"")="Sim",IFERROR(INDEX(parametros!$H$2:$H$6,MATCH(C353,parametros!$B$2:$B$6,0)),"")=""),"INICIO_EFEITO ausente: PC "&amp;A353&amp;" - "&amp;C353,IF(L353="","EFEITO_PC nao calculado: PC "&amp;A353&amp;" - "&amp;C353,"OK")))))))))</f>
        <v/>
      </c>
      <c r="L353" s="92" t="str">
        <f>IF(AND(A353="",B353="",D353="",G353=""),"",IF(OR(B353="",NOT(ISNUMBER(B353)),C353="",C353="Fora dos ciclos"),"",IF(C353="C0","Nao",IF(IFERROR(INDEX(parametros!$A$2:$A$6,MATCH(C353,parametros!$B$2:$B$6,0)),"")&lt;&gt;"Sim","Nao",IF(IFERROR(INDEX(parametros!$H$2:$H$6,MATCH(C353,parametros!$B$2:$B$6,0)),"")="","",IF(B353&gt;=IFERROR(INDEX(parametros!$H$2:$H$6,MATCH(C353,parametros!$B$2:$B$6,0)),""),"Sim","Nao"))))))</f>
        <v/>
      </c>
      <c r="T353" s="156"/>
      <c r="U353" s="214" t="str">
        <f t="shared" si="31"/>
        <v/>
      </c>
      <c r="V353" s="212" t="s">
        <v>50</v>
      </c>
      <c r="W353" s="100" t="s">
        <v>168</v>
      </c>
      <c r="X353" s="100" t="s">
        <v>169</v>
      </c>
      <c r="Y353" s="101" t="s">
        <v>170</v>
      </c>
      <c r="Z353" s="101" t="s">
        <v>171</v>
      </c>
      <c r="AA353" s="101" t="s">
        <v>50</v>
      </c>
      <c r="AB353" s="101" t="s">
        <v>172</v>
      </c>
      <c r="AC353" s="102" t="s">
        <v>173</v>
      </c>
    </row>
    <row r="354" spans="1:29" ht="25.5" customHeight="1" x14ac:dyDescent="0.35">
      <c r="A354" s="392"/>
      <c r="B354" s="393"/>
      <c r="C354" s="99" t="str">
        <f>IF(B354="","",IF(NOT(ISNUMBER(B354)),"DATA_PC invalida",IF(NOT(ISNUMBER(parametros!$C$2)),"Fora dos ciclos",IF(OR(B354&lt;parametros!$C$2,(YEAR(B354)-YEAR(parametros!$C$2))*12+MONTH(B354)-MONTH(parametros!$C$2)&gt;59),"Fora dos ciclos","C"&amp;INT(((YEAR(B354)-YEAR(parametros!$C$2))*12+MONTH(B354)-MONTH(parametros!$C$2))/12)))))</f>
        <v/>
      </c>
      <c r="D354" s="394"/>
      <c r="E354" s="78" t="str">
        <f>IF(C354="","",IFERROR(VLOOKUP(C354,parametros!$A$11:$E$15,5,0),""))</f>
        <v/>
      </c>
      <c r="F354" s="79" t="str">
        <f t="shared" si="27"/>
        <v/>
      </c>
      <c r="G354" s="395"/>
      <c r="H354" s="91">
        <f t="shared" si="28"/>
        <v>0</v>
      </c>
      <c r="I354" s="91" t="str">
        <f t="shared" si="29"/>
        <v/>
      </c>
      <c r="J354" s="91" t="str">
        <f t="shared" si="30"/>
        <v/>
      </c>
      <c r="K354" s="92" t="str">
        <f>IF(AND(A354="",B354="",D354="",G354=""),"",IF(AND(A354&lt;&gt;"",COUNTIF($A$2:$A$5001,A354)&gt;1),"NUMERO_PC duplicado",IF(B354="","DATA_PC vazia",IF(NOT(ISNUMBER(B354)),"DATA_PC invalida",IF(OR(C354="",C354="Fora dos ciclos"),"CICLO_PC nao identificado",IF(OR(D354="",D354=0),"VALOR_PC vazio ou zero",IF(AND(G354&lt;&gt;"Sim",G354&lt;&gt;"Nao",G354&lt;&gt;""),"PC_PAGO_A_CONTRATADA invalido",IF(AND(C354&lt;&gt;"C0",IFERROR(INDEX(parametros!$A$2:$A$6,MATCH(C354,parametros!$B$2:$B$6,0)),"")="Sim",IFERROR(INDEX(parametros!$H$2:$H$6,MATCH(C354,parametros!$B$2:$B$6,0)),"")=""),"INICIO_EFEITO ausente: PC "&amp;A354&amp;" - "&amp;C354,IF(L354="","EFEITO_PC nao calculado: PC "&amp;A354&amp;" - "&amp;C354,"OK")))))))))</f>
        <v/>
      </c>
      <c r="L354" s="92" t="str">
        <f>IF(AND(A354="",B354="",D354="",G354=""),"",IF(OR(B354="",NOT(ISNUMBER(B354)),C354="",C354="Fora dos ciclos"),"",IF(C354="C0","Nao",IF(IFERROR(INDEX(parametros!$A$2:$A$6,MATCH(C354,parametros!$B$2:$B$6,0)),"")&lt;&gt;"Sim","Nao",IF(IFERROR(INDEX(parametros!$H$2:$H$6,MATCH(C354,parametros!$B$2:$B$6,0)),"")="","",IF(B354&gt;=IFERROR(INDEX(parametros!$H$2:$H$6,MATCH(C354,parametros!$B$2:$B$6,0)),""),"Sim","Nao"))))))</f>
        <v/>
      </c>
      <c r="T354" s="156"/>
      <c r="U354" s="214" t="str">
        <f t="shared" si="31"/>
        <v/>
      </c>
      <c r="V354" s="212" t="s">
        <v>50</v>
      </c>
      <c r="W354" s="100" t="s">
        <v>168</v>
      </c>
      <c r="X354" s="100" t="s">
        <v>169</v>
      </c>
      <c r="Y354" s="101" t="s">
        <v>170</v>
      </c>
      <c r="Z354" s="101" t="s">
        <v>171</v>
      </c>
      <c r="AA354" s="101" t="s">
        <v>50</v>
      </c>
      <c r="AB354" s="101" t="s">
        <v>172</v>
      </c>
      <c r="AC354" s="102" t="s">
        <v>173</v>
      </c>
    </row>
    <row r="355" spans="1:29" ht="25.5" customHeight="1" x14ac:dyDescent="0.35">
      <c r="A355" s="392"/>
      <c r="B355" s="393"/>
      <c r="C355" s="99" t="str">
        <f>IF(B355="","",IF(NOT(ISNUMBER(B355)),"DATA_PC invalida",IF(NOT(ISNUMBER(parametros!$C$2)),"Fora dos ciclos",IF(OR(B355&lt;parametros!$C$2,(YEAR(B355)-YEAR(parametros!$C$2))*12+MONTH(B355)-MONTH(parametros!$C$2)&gt;59),"Fora dos ciclos","C"&amp;INT(((YEAR(B355)-YEAR(parametros!$C$2))*12+MONTH(B355)-MONTH(parametros!$C$2))/12)))))</f>
        <v/>
      </c>
      <c r="D355" s="394"/>
      <c r="E355" s="78" t="str">
        <f>IF(C355="","",IFERROR(VLOOKUP(C355,parametros!$A$11:$E$15,5,0),""))</f>
        <v/>
      </c>
      <c r="F355" s="79" t="str">
        <f t="shared" si="27"/>
        <v/>
      </c>
      <c r="G355" s="395"/>
      <c r="H355" s="91">
        <f t="shared" si="28"/>
        <v>0</v>
      </c>
      <c r="I355" s="91" t="str">
        <f t="shared" si="29"/>
        <v/>
      </c>
      <c r="J355" s="91" t="str">
        <f t="shared" si="30"/>
        <v/>
      </c>
      <c r="K355" s="92" t="str">
        <f>IF(AND(A355="",B355="",D355="",G355=""),"",IF(AND(A355&lt;&gt;"",COUNTIF($A$2:$A$5001,A355)&gt;1),"NUMERO_PC duplicado",IF(B355="","DATA_PC vazia",IF(NOT(ISNUMBER(B355)),"DATA_PC invalida",IF(OR(C355="",C355="Fora dos ciclos"),"CICLO_PC nao identificado",IF(OR(D355="",D355=0),"VALOR_PC vazio ou zero",IF(AND(G355&lt;&gt;"Sim",G355&lt;&gt;"Nao",G355&lt;&gt;""),"PC_PAGO_A_CONTRATADA invalido",IF(AND(C355&lt;&gt;"C0",IFERROR(INDEX(parametros!$A$2:$A$6,MATCH(C355,parametros!$B$2:$B$6,0)),"")="Sim",IFERROR(INDEX(parametros!$H$2:$H$6,MATCH(C355,parametros!$B$2:$B$6,0)),"")=""),"INICIO_EFEITO ausente: PC "&amp;A355&amp;" - "&amp;C355,IF(L355="","EFEITO_PC nao calculado: PC "&amp;A355&amp;" - "&amp;C355,"OK")))))))))</f>
        <v/>
      </c>
      <c r="L355" s="92" t="str">
        <f>IF(AND(A355="",B355="",D355="",G355=""),"",IF(OR(B355="",NOT(ISNUMBER(B355)),C355="",C355="Fora dos ciclos"),"",IF(C355="C0","Nao",IF(IFERROR(INDEX(parametros!$A$2:$A$6,MATCH(C355,parametros!$B$2:$B$6,0)),"")&lt;&gt;"Sim","Nao",IF(IFERROR(INDEX(parametros!$H$2:$H$6,MATCH(C355,parametros!$B$2:$B$6,0)),"")="","",IF(B355&gt;=IFERROR(INDEX(parametros!$H$2:$H$6,MATCH(C355,parametros!$B$2:$B$6,0)),""),"Sim","Nao"))))))</f>
        <v/>
      </c>
      <c r="T355" s="156"/>
      <c r="U355" s="214" t="str">
        <f t="shared" si="31"/>
        <v/>
      </c>
      <c r="V355" s="212" t="s">
        <v>50</v>
      </c>
      <c r="W355" s="100" t="s">
        <v>168</v>
      </c>
      <c r="X355" s="100" t="s">
        <v>169</v>
      </c>
      <c r="Y355" s="101" t="s">
        <v>170</v>
      </c>
      <c r="Z355" s="101" t="s">
        <v>171</v>
      </c>
      <c r="AA355" s="101" t="s">
        <v>50</v>
      </c>
      <c r="AB355" s="101" t="s">
        <v>172</v>
      </c>
      <c r="AC355" s="102" t="s">
        <v>173</v>
      </c>
    </row>
    <row r="356" spans="1:29" ht="25.5" customHeight="1" x14ac:dyDescent="0.35">
      <c r="A356" s="392"/>
      <c r="B356" s="393"/>
      <c r="C356" s="99" t="str">
        <f>IF(B356="","",IF(NOT(ISNUMBER(B356)),"DATA_PC invalida",IF(NOT(ISNUMBER(parametros!$C$2)),"Fora dos ciclos",IF(OR(B356&lt;parametros!$C$2,(YEAR(B356)-YEAR(parametros!$C$2))*12+MONTH(B356)-MONTH(parametros!$C$2)&gt;59),"Fora dos ciclos","C"&amp;INT(((YEAR(B356)-YEAR(parametros!$C$2))*12+MONTH(B356)-MONTH(parametros!$C$2))/12)))))</f>
        <v/>
      </c>
      <c r="D356" s="394"/>
      <c r="E356" s="78" t="str">
        <f>IF(C356="","",IFERROR(VLOOKUP(C356,parametros!$A$11:$E$15,5,0),""))</f>
        <v/>
      </c>
      <c r="F356" s="79" t="str">
        <f t="shared" si="27"/>
        <v/>
      </c>
      <c r="G356" s="395"/>
      <c r="H356" s="91">
        <f t="shared" si="28"/>
        <v>0</v>
      </c>
      <c r="I356" s="91" t="str">
        <f t="shared" si="29"/>
        <v/>
      </c>
      <c r="J356" s="91" t="str">
        <f t="shared" si="30"/>
        <v/>
      </c>
      <c r="K356" s="92" t="str">
        <f>IF(AND(A356="",B356="",D356="",G356=""),"",IF(AND(A356&lt;&gt;"",COUNTIF($A$2:$A$5001,A356)&gt;1),"NUMERO_PC duplicado",IF(B356="","DATA_PC vazia",IF(NOT(ISNUMBER(B356)),"DATA_PC invalida",IF(OR(C356="",C356="Fora dos ciclos"),"CICLO_PC nao identificado",IF(OR(D356="",D356=0),"VALOR_PC vazio ou zero",IF(AND(G356&lt;&gt;"Sim",G356&lt;&gt;"Nao",G356&lt;&gt;""),"PC_PAGO_A_CONTRATADA invalido",IF(AND(C356&lt;&gt;"C0",IFERROR(INDEX(parametros!$A$2:$A$6,MATCH(C356,parametros!$B$2:$B$6,0)),"")="Sim",IFERROR(INDEX(parametros!$H$2:$H$6,MATCH(C356,parametros!$B$2:$B$6,0)),"")=""),"INICIO_EFEITO ausente: PC "&amp;A356&amp;" - "&amp;C356,IF(L356="","EFEITO_PC nao calculado: PC "&amp;A356&amp;" - "&amp;C356,"OK")))))))))</f>
        <v/>
      </c>
      <c r="L356" s="92" t="str">
        <f>IF(AND(A356="",B356="",D356="",G356=""),"",IF(OR(B356="",NOT(ISNUMBER(B356)),C356="",C356="Fora dos ciclos"),"",IF(C356="C0","Nao",IF(IFERROR(INDEX(parametros!$A$2:$A$6,MATCH(C356,parametros!$B$2:$B$6,0)),"")&lt;&gt;"Sim","Nao",IF(IFERROR(INDEX(parametros!$H$2:$H$6,MATCH(C356,parametros!$B$2:$B$6,0)),"")="","",IF(B356&gt;=IFERROR(INDEX(parametros!$H$2:$H$6,MATCH(C356,parametros!$B$2:$B$6,0)),""),"Sim","Nao"))))))</f>
        <v/>
      </c>
      <c r="T356" s="156"/>
      <c r="U356" s="214" t="str">
        <f t="shared" si="31"/>
        <v/>
      </c>
      <c r="V356" s="212" t="s">
        <v>50</v>
      </c>
      <c r="W356" s="100" t="s">
        <v>168</v>
      </c>
      <c r="X356" s="100" t="s">
        <v>169</v>
      </c>
      <c r="Y356" s="101" t="s">
        <v>170</v>
      </c>
      <c r="Z356" s="101" t="s">
        <v>171</v>
      </c>
      <c r="AA356" s="101" t="s">
        <v>50</v>
      </c>
      <c r="AB356" s="101" t="s">
        <v>172</v>
      </c>
      <c r="AC356" s="102" t="s">
        <v>173</v>
      </c>
    </row>
    <row r="357" spans="1:29" ht="25.5" customHeight="1" x14ac:dyDescent="0.35">
      <c r="A357" s="392"/>
      <c r="B357" s="393"/>
      <c r="C357" s="99" t="str">
        <f>IF(B357="","",IF(NOT(ISNUMBER(B357)),"DATA_PC invalida",IF(NOT(ISNUMBER(parametros!$C$2)),"Fora dos ciclos",IF(OR(B357&lt;parametros!$C$2,(YEAR(B357)-YEAR(parametros!$C$2))*12+MONTH(B357)-MONTH(parametros!$C$2)&gt;59),"Fora dos ciclos","C"&amp;INT(((YEAR(B357)-YEAR(parametros!$C$2))*12+MONTH(B357)-MONTH(parametros!$C$2))/12)))))</f>
        <v/>
      </c>
      <c r="D357" s="394"/>
      <c r="E357" s="78" t="str">
        <f>IF(C357="","",IFERROR(VLOOKUP(C357,parametros!$A$11:$E$15,5,0),""))</f>
        <v/>
      </c>
      <c r="F357" s="79" t="str">
        <f t="shared" si="27"/>
        <v/>
      </c>
      <c r="G357" s="395"/>
      <c r="H357" s="91">
        <f t="shared" si="28"/>
        <v>0</v>
      </c>
      <c r="I357" s="91" t="str">
        <f t="shared" si="29"/>
        <v/>
      </c>
      <c r="J357" s="91" t="str">
        <f t="shared" si="30"/>
        <v/>
      </c>
      <c r="K357" s="92" t="str">
        <f>IF(AND(A357="",B357="",D357="",G357=""),"",IF(AND(A357&lt;&gt;"",COUNTIF($A$2:$A$5001,A357)&gt;1),"NUMERO_PC duplicado",IF(B357="","DATA_PC vazia",IF(NOT(ISNUMBER(B357)),"DATA_PC invalida",IF(OR(C357="",C357="Fora dos ciclos"),"CICLO_PC nao identificado",IF(OR(D357="",D357=0),"VALOR_PC vazio ou zero",IF(AND(G357&lt;&gt;"Sim",G357&lt;&gt;"Nao",G357&lt;&gt;""),"PC_PAGO_A_CONTRATADA invalido",IF(AND(C357&lt;&gt;"C0",IFERROR(INDEX(parametros!$A$2:$A$6,MATCH(C357,parametros!$B$2:$B$6,0)),"")="Sim",IFERROR(INDEX(parametros!$H$2:$H$6,MATCH(C357,parametros!$B$2:$B$6,0)),"")=""),"INICIO_EFEITO ausente: PC "&amp;A357&amp;" - "&amp;C357,IF(L357="","EFEITO_PC nao calculado: PC "&amp;A357&amp;" - "&amp;C357,"OK")))))))))</f>
        <v/>
      </c>
      <c r="L357" s="92" t="str">
        <f>IF(AND(A357="",B357="",D357="",G357=""),"",IF(OR(B357="",NOT(ISNUMBER(B357)),C357="",C357="Fora dos ciclos"),"",IF(C357="C0","Nao",IF(IFERROR(INDEX(parametros!$A$2:$A$6,MATCH(C357,parametros!$B$2:$B$6,0)),"")&lt;&gt;"Sim","Nao",IF(IFERROR(INDEX(parametros!$H$2:$H$6,MATCH(C357,parametros!$B$2:$B$6,0)),"")="","",IF(B357&gt;=IFERROR(INDEX(parametros!$H$2:$H$6,MATCH(C357,parametros!$B$2:$B$6,0)),""),"Sim","Nao"))))))</f>
        <v/>
      </c>
      <c r="T357" s="156"/>
      <c r="U357" s="214" t="str">
        <f t="shared" si="31"/>
        <v/>
      </c>
      <c r="V357" s="212" t="s">
        <v>50</v>
      </c>
      <c r="W357" s="100" t="s">
        <v>168</v>
      </c>
      <c r="X357" s="100" t="s">
        <v>169</v>
      </c>
      <c r="Y357" s="101" t="s">
        <v>170</v>
      </c>
      <c r="Z357" s="101" t="s">
        <v>171</v>
      </c>
      <c r="AA357" s="101" t="s">
        <v>50</v>
      </c>
      <c r="AB357" s="101" t="s">
        <v>172</v>
      </c>
      <c r="AC357" s="102" t="s">
        <v>173</v>
      </c>
    </row>
    <row r="358" spans="1:29" ht="25.5" customHeight="1" x14ac:dyDescent="0.35">
      <c r="A358" s="392"/>
      <c r="B358" s="393"/>
      <c r="C358" s="99" t="str">
        <f>IF(B358="","",IF(NOT(ISNUMBER(B358)),"DATA_PC invalida",IF(NOT(ISNUMBER(parametros!$C$2)),"Fora dos ciclos",IF(OR(B358&lt;parametros!$C$2,(YEAR(B358)-YEAR(parametros!$C$2))*12+MONTH(B358)-MONTH(parametros!$C$2)&gt;59),"Fora dos ciclos","C"&amp;INT(((YEAR(B358)-YEAR(parametros!$C$2))*12+MONTH(B358)-MONTH(parametros!$C$2))/12)))))</f>
        <v/>
      </c>
      <c r="D358" s="394"/>
      <c r="E358" s="78" t="str">
        <f>IF(C358="","",IFERROR(VLOOKUP(C358,parametros!$A$11:$E$15,5,0),""))</f>
        <v/>
      </c>
      <c r="F358" s="79" t="str">
        <f t="shared" si="27"/>
        <v/>
      </c>
      <c r="G358" s="395"/>
      <c r="H358" s="91">
        <f t="shared" si="28"/>
        <v>0</v>
      </c>
      <c r="I358" s="91" t="str">
        <f t="shared" si="29"/>
        <v/>
      </c>
      <c r="J358" s="91" t="str">
        <f t="shared" si="30"/>
        <v/>
      </c>
      <c r="K358" s="92" t="str">
        <f>IF(AND(A358="",B358="",D358="",G358=""),"",IF(AND(A358&lt;&gt;"",COUNTIF($A$2:$A$5001,A358)&gt;1),"NUMERO_PC duplicado",IF(B358="","DATA_PC vazia",IF(NOT(ISNUMBER(B358)),"DATA_PC invalida",IF(OR(C358="",C358="Fora dos ciclos"),"CICLO_PC nao identificado",IF(OR(D358="",D358=0),"VALOR_PC vazio ou zero",IF(AND(G358&lt;&gt;"Sim",G358&lt;&gt;"Nao",G358&lt;&gt;""),"PC_PAGO_A_CONTRATADA invalido",IF(AND(C358&lt;&gt;"C0",IFERROR(INDEX(parametros!$A$2:$A$6,MATCH(C358,parametros!$B$2:$B$6,0)),"")="Sim",IFERROR(INDEX(parametros!$H$2:$H$6,MATCH(C358,parametros!$B$2:$B$6,0)),"")=""),"INICIO_EFEITO ausente: PC "&amp;A358&amp;" - "&amp;C358,IF(L358="","EFEITO_PC nao calculado: PC "&amp;A358&amp;" - "&amp;C358,"OK")))))))))</f>
        <v/>
      </c>
      <c r="L358" s="92" t="str">
        <f>IF(AND(A358="",B358="",D358="",G358=""),"",IF(OR(B358="",NOT(ISNUMBER(B358)),C358="",C358="Fora dos ciclos"),"",IF(C358="C0","Nao",IF(IFERROR(INDEX(parametros!$A$2:$A$6,MATCH(C358,parametros!$B$2:$B$6,0)),"")&lt;&gt;"Sim","Nao",IF(IFERROR(INDEX(parametros!$H$2:$H$6,MATCH(C358,parametros!$B$2:$B$6,0)),"")="","",IF(B358&gt;=IFERROR(INDEX(parametros!$H$2:$H$6,MATCH(C358,parametros!$B$2:$B$6,0)),""),"Sim","Nao"))))))</f>
        <v/>
      </c>
      <c r="T358" s="156"/>
      <c r="U358" s="214" t="str">
        <f t="shared" si="31"/>
        <v/>
      </c>
      <c r="V358" s="212" t="s">
        <v>50</v>
      </c>
      <c r="W358" s="100" t="s">
        <v>168</v>
      </c>
      <c r="X358" s="100" t="s">
        <v>169</v>
      </c>
      <c r="Y358" s="101" t="s">
        <v>170</v>
      </c>
      <c r="Z358" s="101" t="s">
        <v>171</v>
      </c>
      <c r="AA358" s="101" t="s">
        <v>50</v>
      </c>
      <c r="AB358" s="101" t="s">
        <v>172</v>
      </c>
      <c r="AC358" s="102" t="s">
        <v>173</v>
      </c>
    </row>
    <row r="359" spans="1:29" ht="25.5" customHeight="1" x14ac:dyDescent="0.35">
      <c r="A359" s="392"/>
      <c r="B359" s="393"/>
      <c r="C359" s="99" t="str">
        <f>IF(B359="","",IF(NOT(ISNUMBER(B359)),"DATA_PC invalida",IF(NOT(ISNUMBER(parametros!$C$2)),"Fora dos ciclos",IF(OR(B359&lt;parametros!$C$2,(YEAR(B359)-YEAR(parametros!$C$2))*12+MONTH(B359)-MONTH(parametros!$C$2)&gt;59),"Fora dos ciclos","C"&amp;INT(((YEAR(B359)-YEAR(parametros!$C$2))*12+MONTH(B359)-MONTH(parametros!$C$2))/12)))))</f>
        <v/>
      </c>
      <c r="D359" s="394"/>
      <c r="E359" s="78" t="str">
        <f>IF(C359="","",IFERROR(VLOOKUP(C359,parametros!$A$11:$E$15,5,0),""))</f>
        <v/>
      </c>
      <c r="F359" s="79" t="str">
        <f t="shared" si="27"/>
        <v/>
      </c>
      <c r="G359" s="395"/>
      <c r="H359" s="91">
        <f t="shared" si="28"/>
        <v>0</v>
      </c>
      <c r="I359" s="91" t="str">
        <f t="shared" si="29"/>
        <v/>
      </c>
      <c r="J359" s="91" t="str">
        <f t="shared" si="30"/>
        <v/>
      </c>
      <c r="K359" s="92" t="str">
        <f>IF(AND(A359="",B359="",D359="",G359=""),"",IF(AND(A359&lt;&gt;"",COUNTIF($A$2:$A$5001,A359)&gt;1),"NUMERO_PC duplicado",IF(B359="","DATA_PC vazia",IF(NOT(ISNUMBER(B359)),"DATA_PC invalida",IF(OR(C359="",C359="Fora dos ciclos"),"CICLO_PC nao identificado",IF(OR(D359="",D359=0),"VALOR_PC vazio ou zero",IF(AND(G359&lt;&gt;"Sim",G359&lt;&gt;"Nao",G359&lt;&gt;""),"PC_PAGO_A_CONTRATADA invalido",IF(AND(C359&lt;&gt;"C0",IFERROR(INDEX(parametros!$A$2:$A$6,MATCH(C359,parametros!$B$2:$B$6,0)),"")="Sim",IFERROR(INDEX(parametros!$H$2:$H$6,MATCH(C359,parametros!$B$2:$B$6,0)),"")=""),"INICIO_EFEITO ausente: PC "&amp;A359&amp;" - "&amp;C359,IF(L359="","EFEITO_PC nao calculado: PC "&amp;A359&amp;" - "&amp;C359,"OK")))))))))</f>
        <v/>
      </c>
      <c r="L359" s="92" t="str">
        <f>IF(AND(A359="",B359="",D359="",G359=""),"",IF(OR(B359="",NOT(ISNUMBER(B359)),C359="",C359="Fora dos ciclos"),"",IF(C359="C0","Nao",IF(IFERROR(INDEX(parametros!$A$2:$A$6,MATCH(C359,parametros!$B$2:$B$6,0)),"")&lt;&gt;"Sim","Nao",IF(IFERROR(INDEX(parametros!$H$2:$H$6,MATCH(C359,parametros!$B$2:$B$6,0)),"")="","",IF(B359&gt;=IFERROR(INDEX(parametros!$H$2:$H$6,MATCH(C359,parametros!$B$2:$B$6,0)),""),"Sim","Nao"))))))</f>
        <v/>
      </c>
      <c r="T359" s="156"/>
      <c r="U359" s="214" t="str">
        <f t="shared" si="31"/>
        <v/>
      </c>
      <c r="V359" s="212" t="s">
        <v>50</v>
      </c>
      <c r="W359" s="100" t="s">
        <v>168</v>
      </c>
      <c r="X359" s="100" t="s">
        <v>169</v>
      </c>
      <c r="Y359" s="101" t="s">
        <v>170</v>
      </c>
      <c r="Z359" s="101" t="s">
        <v>171</v>
      </c>
      <c r="AA359" s="101" t="s">
        <v>50</v>
      </c>
      <c r="AB359" s="101" t="s">
        <v>172</v>
      </c>
      <c r="AC359" s="102" t="s">
        <v>173</v>
      </c>
    </row>
    <row r="360" spans="1:29" ht="25.5" customHeight="1" x14ac:dyDescent="0.35">
      <c r="A360" s="392"/>
      <c r="B360" s="393"/>
      <c r="C360" s="99" t="str">
        <f>IF(B360="","",IF(NOT(ISNUMBER(B360)),"DATA_PC invalida",IF(NOT(ISNUMBER(parametros!$C$2)),"Fora dos ciclos",IF(OR(B360&lt;parametros!$C$2,(YEAR(B360)-YEAR(parametros!$C$2))*12+MONTH(B360)-MONTH(parametros!$C$2)&gt;59),"Fora dos ciclos","C"&amp;INT(((YEAR(B360)-YEAR(parametros!$C$2))*12+MONTH(B360)-MONTH(parametros!$C$2))/12)))))</f>
        <v/>
      </c>
      <c r="D360" s="394"/>
      <c r="E360" s="78" t="str">
        <f>IF(C360="","",IFERROR(VLOOKUP(C360,parametros!$A$11:$E$15,5,0),""))</f>
        <v/>
      </c>
      <c r="F360" s="79" t="str">
        <f t="shared" si="27"/>
        <v/>
      </c>
      <c r="G360" s="395"/>
      <c r="H360" s="91">
        <f t="shared" si="28"/>
        <v>0</v>
      </c>
      <c r="I360" s="91" t="str">
        <f t="shared" si="29"/>
        <v/>
      </c>
      <c r="J360" s="91" t="str">
        <f t="shared" si="30"/>
        <v/>
      </c>
      <c r="K360" s="92" t="str">
        <f>IF(AND(A360="",B360="",D360="",G360=""),"",IF(AND(A360&lt;&gt;"",COUNTIF($A$2:$A$5001,A360)&gt;1),"NUMERO_PC duplicado",IF(B360="","DATA_PC vazia",IF(NOT(ISNUMBER(B360)),"DATA_PC invalida",IF(OR(C360="",C360="Fora dos ciclos"),"CICLO_PC nao identificado",IF(OR(D360="",D360=0),"VALOR_PC vazio ou zero",IF(AND(G360&lt;&gt;"Sim",G360&lt;&gt;"Nao",G360&lt;&gt;""),"PC_PAGO_A_CONTRATADA invalido",IF(AND(C360&lt;&gt;"C0",IFERROR(INDEX(parametros!$A$2:$A$6,MATCH(C360,parametros!$B$2:$B$6,0)),"")="Sim",IFERROR(INDEX(parametros!$H$2:$H$6,MATCH(C360,parametros!$B$2:$B$6,0)),"")=""),"INICIO_EFEITO ausente: PC "&amp;A360&amp;" - "&amp;C360,IF(L360="","EFEITO_PC nao calculado: PC "&amp;A360&amp;" - "&amp;C360,"OK")))))))))</f>
        <v/>
      </c>
      <c r="L360" s="92" t="str">
        <f>IF(AND(A360="",B360="",D360="",G360=""),"",IF(OR(B360="",NOT(ISNUMBER(B360)),C360="",C360="Fora dos ciclos"),"",IF(C360="C0","Nao",IF(IFERROR(INDEX(parametros!$A$2:$A$6,MATCH(C360,parametros!$B$2:$B$6,0)),"")&lt;&gt;"Sim","Nao",IF(IFERROR(INDEX(parametros!$H$2:$H$6,MATCH(C360,parametros!$B$2:$B$6,0)),"")="","",IF(B360&gt;=IFERROR(INDEX(parametros!$H$2:$H$6,MATCH(C360,parametros!$B$2:$B$6,0)),""),"Sim","Nao"))))))</f>
        <v/>
      </c>
      <c r="T360" s="156"/>
      <c r="U360" s="214" t="str">
        <f t="shared" si="31"/>
        <v/>
      </c>
      <c r="V360" s="212" t="s">
        <v>50</v>
      </c>
      <c r="W360" s="100" t="s">
        <v>168</v>
      </c>
      <c r="X360" s="100" t="s">
        <v>169</v>
      </c>
      <c r="Y360" s="101" t="s">
        <v>170</v>
      </c>
      <c r="Z360" s="101" t="s">
        <v>171</v>
      </c>
      <c r="AA360" s="101" t="s">
        <v>50</v>
      </c>
      <c r="AB360" s="101" t="s">
        <v>172</v>
      </c>
      <c r="AC360" s="102" t="s">
        <v>173</v>
      </c>
    </row>
    <row r="361" spans="1:29" ht="25.5" customHeight="1" x14ac:dyDescent="0.35">
      <c r="A361" s="392"/>
      <c r="B361" s="393"/>
      <c r="C361" s="99" t="str">
        <f>IF(B361="","",IF(NOT(ISNUMBER(B361)),"DATA_PC invalida",IF(NOT(ISNUMBER(parametros!$C$2)),"Fora dos ciclos",IF(OR(B361&lt;parametros!$C$2,(YEAR(B361)-YEAR(parametros!$C$2))*12+MONTH(B361)-MONTH(parametros!$C$2)&gt;59),"Fora dos ciclos","C"&amp;INT(((YEAR(B361)-YEAR(parametros!$C$2))*12+MONTH(B361)-MONTH(parametros!$C$2))/12)))))</f>
        <v/>
      </c>
      <c r="D361" s="394"/>
      <c r="E361" s="78" t="str">
        <f>IF(C361="","",IFERROR(VLOOKUP(C361,parametros!$A$11:$E$15,5,0),""))</f>
        <v/>
      </c>
      <c r="F361" s="79" t="str">
        <f t="shared" si="27"/>
        <v/>
      </c>
      <c r="G361" s="395"/>
      <c r="H361" s="91">
        <f t="shared" si="28"/>
        <v>0</v>
      </c>
      <c r="I361" s="91" t="str">
        <f t="shared" si="29"/>
        <v/>
      </c>
      <c r="J361" s="91" t="str">
        <f t="shared" si="30"/>
        <v/>
      </c>
      <c r="K361" s="92" t="str">
        <f>IF(AND(A361="",B361="",D361="",G361=""),"",IF(AND(A361&lt;&gt;"",COUNTIF($A$2:$A$5001,A361)&gt;1),"NUMERO_PC duplicado",IF(B361="","DATA_PC vazia",IF(NOT(ISNUMBER(B361)),"DATA_PC invalida",IF(OR(C361="",C361="Fora dos ciclos"),"CICLO_PC nao identificado",IF(OR(D361="",D361=0),"VALOR_PC vazio ou zero",IF(AND(G361&lt;&gt;"Sim",G361&lt;&gt;"Nao",G361&lt;&gt;""),"PC_PAGO_A_CONTRATADA invalido",IF(AND(C361&lt;&gt;"C0",IFERROR(INDEX(parametros!$A$2:$A$6,MATCH(C361,parametros!$B$2:$B$6,0)),"")="Sim",IFERROR(INDEX(parametros!$H$2:$H$6,MATCH(C361,parametros!$B$2:$B$6,0)),"")=""),"INICIO_EFEITO ausente: PC "&amp;A361&amp;" - "&amp;C361,IF(L361="","EFEITO_PC nao calculado: PC "&amp;A361&amp;" - "&amp;C361,"OK")))))))))</f>
        <v/>
      </c>
      <c r="L361" s="92" t="str">
        <f>IF(AND(A361="",B361="",D361="",G361=""),"",IF(OR(B361="",NOT(ISNUMBER(B361)),C361="",C361="Fora dos ciclos"),"",IF(C361="C0","Nao",IF(IFERROR(INDEX(parametros!$A$2:$A$6,MATCH(C361,parametros!$B$2:$B$6,0)),"")&lt;&gt;"Sim","Nao",IF(IFERROR(INDEX(parametros!$H$2:$H$6,MATCH(C361,parametros!$B$2:$B$6,0)),"")="","",IF(B361&gt;=IFERROR(INDEX(parametros!$H$2:$H$6,MATCH(C361,parametros!$B$2:$B$6,0)),""),"Sim","Nao"))))))</f>
        <v/>
      </c>
      <c r="T361" s="156"/>
      <c r="U361" s="214" t="str">
        <f t="shared" si="31"/>
        <v/>
      </c>
      <c r="V361" s="212" t="s">
        <v>50</v>
      </c>
      <c r="W361" s="100" t="s">
        <v>168</v>
      </c>
      <c r="X361" s="100" t="s">
        <v>169</v>
      </c>
      <c r="Y361" s="101" t="s">
        <v>170</v>
      </c>
      <c r="Z361" s="101" t="s">
        <v>171</v>
      </c>
      <c r="AA361" s="101" t="s">
        <v>50</v>
      </c>
      <c r="AB361" s="101" t="s">
        <v>172</v>
      </c>
      <c r="AC361" s="102" t="s">
        <v>173</v>
      </c>
    </row>
    <row r="362" spans="1:29" ht="25.5" customHeight="1" x14ac:dyDescent="0.35">
      <c r="A362" s="392"/>
      <c r="B362" s="393"/>
      <c r="C362" s="99" t="str">
        <f>IF(B362="","",IF(NOT(ISNUMBER(B362)),"DATA_PC invalida",IF(NOT(ISNUMBER(parametros!$C$2)),"Fora dos ciclos",IF(OR(B362&lt;parametros!$C$2,(YEAR(B362)-YEAR(parametros!$C$2))*12+MONTH(B362)-MONTH(parametros!$C$2)&gt;59),"Fora dos ciclos","C"&amp;INT(((YEAR(B362)-YEAR(parametros!$C$2))*12+MONTH(B362)-MONTH(parametros!$C$2))/12)))))</f>
        <v/>
      </c>
      <c r="D362" s="394"/>
      <c r="E362" s="78" t="str">
        <f>IF(C362="","",IFERROR(VLOOKUP(C362,parametros!$A$11:$E$15,5,0),""))</f>
        <v/>
      </c>
      <c r="F362" s="79" t="str">
        <f t="shared" si="27"/>
        <v/>
      </c>
      <c r="G362" s="395"/>
      <c r="H362" s="91">
        <f t="shared" si="28"/>
        <v>0</v>
      </c>
      <c r="I362" s="91" t="str">
        <f t="shared" si="29"/>
        <v/>
      </c>
      <c r="J362" s="91" t="str">
        <f t="shared" si="30"/>
        <v/>
      </c>
      <c r="K362" s="92" t="str">
        <f>IF(AND(A362="",B362="",D362="",G362=""),"",IF(AND(A362&lt;&gt;"",COUNTIF($A$2:$A$5001,A362)&gt;1),"NUMERO_PC duplicado",IF(B362="","DATA_PC vazia",IF(NOT(ISNUMBER(B362)),"DATA_PC invalida",IF(OR(C362="",C362="Fora dos ciclos"),"CICLO_PC nao identificado",IF(OR(D362="",D362=0),"VALOR_PC vazio ou zero",IF(AND(G362&lt;&gt;"Sim",G362&lt;&gt;"Nao",G362&lt;&gt;""),"PC_PAGO_A_CONTRATADA invalido",IF(AND(C362&lt;&gt;"C0",IFERROR(INDEX(parametros!$A$2:$A$6,MATCH(C362,parametros!$B$2:$B$6,0)),"")="Sim",IFERROR(INDEX(parametros!$H$2:$H$6,MATCH(C362,parametros!$B$2:$B$6,0)),"")=""),"INICIO_EFEITO ausente: PC "&amp;A362&amp;" - "&amp;C362,IF(L362="","EFEITO_PC nao calculado: PC "&amp;A362&amp;" - "&amp;C362,"OK")))))))))</f>
        <v/>
      </c>
      <c r="L362" s="92" t="str">
        <f>IF(AND(A362="",B362="",D362="",G362=""),"",IF(OR(B362="",NOT(ISNUMBER(B362)),C362="",C362="Fora dos ciclos"),"",IF(C362="C0","Nao",IF(IFERROR(INDEX(parametros!$A$2:$A$6,MATCH(C362,parametros!$B$2:$B$6,0)),"")&lt;&gt;"Sim","Nao",IF(IFERROR(INDEX(parametros!$H$2:$H$6,MATCH(C362,parametros!$B$2:$B$6,0)),"")="","",IF(B362&gt;=IFERROR(INDEX(parametros!$H$2:$H$6,MATCH(C362,parametros!$B$2:$B$6,0)),""),"Sim","Nao"))))))</f>
        <v/>
      </c>
      <c r="T362" s="156"/>
      <c r="U362" s="214" t="str">
        <f t="shared" si="31"/>
        <v/>
      </c>
      <c r="V362" s="212" t="s">
        <v>50</v>
      </c>
      <c r="W362" s="100" t="s">
        <v>168</v>
      </c>
      <c r="X362" s="100" t="s">
        <v>169</v>
      </c>
      <c r="Y362" s="101" t="s">
        <v>170</v>
      </c>
      <c r="Z362" s="101" t="s">
        <v>171</v>
      </c>
      <c r="AA362" s="101" t="s">
        <v>50</v>
      </c>
      <c r="AB362" s="101" t="s">
        <v>172</v>
      </c>
      <c r="AC362" s="102" t="s">
        <v>173</v>
      </c>
    </row>
    <row r="363" spans="1:29" ht="25.5" customHeight="1" x14ac:dyDescent="0.35">
      <c r="A363" s="392"/>
      <c r="B363" s="393"/>
      <c r="C363" s="99" t="str">
        <f>IF(B363="","",IF(NOT(ISNUMBER(B363)),"DATA_PC invalida",IF(NOT(ISNUMBER(parametros!$C$2)),"Fora dos ciclos",IF(OR(B363&lt;parametros!$C$2,(YEAR(B363)-YEAR(parametros!$C$2))*12+MONTH(B363)-MONTH(parametros!$C$2)&gt;59),"Fora dos ciclos","C"&amp;INT(((YEAR(B363)-YEAR(parametros!$C$2))*12+MONTH(B363)-MONTH(parametros!$C$2))/12)))))</f>
        <v/>
      </c>
      <c r="D363" s="394"/>
      <c r="E363" s="78" t="str">
        <f>IF(C363="","",IFERROR(VLOOKUP(C363,parametros!$A$11:$E$15,5,0),""))</f>
        <v/>
      </c>
      <c r="F363" s="79" t="str">
        <f t="shared" si="27"/>
        <v/>
      </c>
      <c r="G363" s="395"/>
      <c r="H363" s="91">
        <f t="shared" si="28"/>
        <v>0</v>
      </c>
      <c r="I363" s="91" t="str">
        <f t="shared" si="29"/>
        <v/>
      </c>
      <c r="J363" s="91" t="str">
        <f t="shared" si="30"/>
        <v/>
      </c>
      <c r="K363" s="92" t="str">
        <f>IF(AND(A363="",B363="",D363="",G363=""),"",IF(AND(A363&lt;&gt;"",COUNTIF($A$2:$A$5001,A363)&gt;1),"NUMERO_PC duplicado",IF(B363="","DATA_PC vazia",IF(NOT(ISNUMBER(B363)),"DATA_PC invalida",IF(OR(C363="",C363="Fora dos ciclos"),"CICLO_PC nao identificado",IF(OR(D363="",D363=0),"VALOR_PC vazio ou zero",IF(AND(G363&lt;&gt;"Sim",G363&lt;&gt;"Nao",G363&lt;&gt;""),"PC_PAGO_A_CONTRATADA invalido",IF(AND(C363&lt;&gt;"C0",IFERROR(INDEX(parametros!$A$2:$A$6,MATCH(C363,parametros!$B$2:$B$6,0)),"")="Sim",IFERROR(INDEX(parametros!$H$2:$H$6,MATCH(C363,parametros!$B$2:$B$6,0)),"")=""),"INICIO_EFEITO ausente: PC "&amp;A363&amp;" - "&amp;C363,IF(L363="","EFEITO_PC nao calculado: PC "&amp;A363&amp;" - "&amp;C363,"OK")))))))))</f>
        <v/>
      </c>
      <c r="L363" s="92" t="str">
        <f>IF(AND(A363="",B363="",D363="",G363=""),"",IF(OR(B363="",NOT(ISNUMBER(B363)),C363="",C363="Fora dos ciclos"),"",IF(C363="C0","Nao",IF(IFERROR(INDEX(parametros!$A$2:$A$6,MATCH(C363,parametros!$B$2:$B$6,0)),"")&lt;&gt;"Sim","Nao",IF(IFERROR(INDEX(parametros!$H$2:$H$6,MATCH(C363,parametros!$B$2:$B$6,0)),"")="","",IF(B363&gt;=IFERROR(INDEX(parametros!$H$2:$H$6,MATCH(C363,parametros!$B$2:$B$6,0)),""),"Sim","Nao"))))))</f>
        <v/>
      </c>
      <c r="T363" s="156"/>
      <c r="U363" s="214" t="str">
        <f t="shared" si="31"/>
        <v/>
      </c>
      <c r="V363" s="212" t="s">
        <v>50</v>
      </c>
      <c r="W363" s="100" t="s">
        <v>168</v>
      </c>
      <c r="X363" s="100" t="s">
        <v>169</v>
      </c>
      <c r="Y363" s="101" t="s">
        <v>170</v>
      </c>
      <c r="Z363" s="101" t="s">
        <v>171</v>
      </c>
      <c r="AA363" s="101" t="s">
        <v>50</v>
      </c>
      <c r="AB363" s="101" t="s">
        <v>172</v>
      </c>
      <c r="AC363" s="102" t="s">
        <v>173</v>
      </c>
    </row>
    <row r="364" spans="1:29" ht="25.5" customHeight="1" x14ac:dyDescent="0.35">
      <c r="A364" s="392"/>
      <c r="B364" s="393"/>
      <c r="C364" s="99" t="str">
        <f>IF(B364="","",IF(NOT(ISNUMBER(B364)),"DATA_PC invalida",IF(NOT(ISNUMBER(parametros!$C$2)),"Fora dos ciclos",IF(OR(B364&lt;parametros!$C$2,(YEAR(B364)-YEAR(parametros!$C$2))*12+MONTH(B364)-MONTH(parametros!$C$2)&gt;59),"Fora dos ciclos","C"&amp;INT(((YEAR(B364)-YEAR(parametros!$C$2))*12+MONTH(B364)-MONTH(parametros!$C$2))/12)))))</f>
        <v/>
      </c>
      <c r="D364" s="394"/>
      <c r="E364" s="78" t="str">
        <f>IF(C364="","",IFERROR(VLOOKUP(C364,parametros!$A$11:$E$15,5,0),""))</f>
        <v/>
      </c>
      <c r="F364" s="79" t="str">
        <f t="shared" si="27"/>
        <v/>
      </c>
      <c r="G364" s="395"/>
      <c r="H364" s="91">
        <f t="shared" si="28"/>
        <v>0</v>
      </c>
      <c r="I364" s="91" t="str">
        <f t="shared" si="29"/>
        <v/>
      </c>
      <c r="J364" s="91" t="str">
        <f t="shared" si="30"/>
        <v/>
      </c>
      <c r="K364" s="92" t="str">
        <f>IF(AND(A364="",B364="",D364="",G364=""),"",IF(AND(A364&lt;&gt;"",COUNTIF($A$2:$A$5001,A364)&gt;1),"NUMERO_PC duplicado",IF(B364="","DATA_PC vazia",IF(NOT(ISNUMBER(B364)),"DATA_PC invalida",IF(OR(C364="",C364="Fora dos ciclos"),"CICLO_PC nao identificado",IF(OR(D364="",D364=0),"VALOR_PC vazio ou zero",IF(AND(G364&lt;&gt;"Sim",G364&lt;&gt;"Nao",G364&lt;&gt;""),"PC_PAGO_A_CONTRATADA invalido",IF(AND(C364&lt;&gt;"C0",IFERROR(INDEX(parametros!$A$2:$A$6,MATCH(C364,parametros!$B$2:$B$6,0)),"")="Sim",IFERROR(INDEX(parametros!$H$2:$H$6,MATCH(C364,parametros!$B$2:$B$6,0)),"")=""),"INICIO_EFEITO ausente: PC "&amp;A364&amp;" - "&amp;C364,IF(L364="","EFEITO_PC nao calculado: PC "&amp;A364&amp;" - "&amp;C364,"OK")))))))))</f>
        <v/>
      </c>
      <c r="L364" s="92" t="str">
        <f>IF(AND(A364="",B364="",D364="",G364=""),"",IF(OR(B364="",NOT(ISNUMBER(B364)),C364="",C364="Fora dos ciclos"),"",IF(C364="C0","Nao",IF(IFERROR(INDEX(parametros!$A$2:$A$6,MATCH(C364,parametros!$B$2:$B$6,0)),"")&lt;&gt;"Sim","Nao",IF(IFERROR(INDEX(parametros!$H$2:$H$6,MATCH(C364,parametros!$B$2:$B$6,0)),"")="","",IF(B364&gt;=IFERROR(INDEX(parametros!$H$2:$H$6,MATCH(C364,parametros!$B$2:$B$6,0)),""),"Sim","Nao"))))))</f>
        <v/>
      </c>
      <c r="T364" s="156"/>
      <c r="U364" s="214" t="str">
        <f t="shared" si="31"/>
        <v/>
      </c>
      <c r="V364" s="212" t="s">
        <v>50</v>
      </c>
      <c r="W364" s="100" t="s">
        <v>168</v>
      </c>
      <c r="X364" s="100" t="s">
        <v>169</v>
      </c>
      <c r="Y364" s="101" t="s">
        <v>170</v>
      </c>
      <c r="Z364" s="101" t="s">
        <v>171</v>
      </c>
      <c r="AA364" s="101" t="s">
        <v>50</v>
      </c>
      <c r="AB364" s="101" t="s">
        <v>172</v>
      </c>
      <c r="AC364" s="102" t="s">
        <v>173</v>
      </c>
    </row>
    <row r="365" spans="1:29" ht="25.5" customHeight="1" x14ac:dyDescent="0.35">
      <c r="A365" s="392"/>
      <c r="B365" s="393"/>
      <c r="C365" s="99" t="str">
        <f>IF(B365="","",IF(NOT(ISNUMBER(B365)),"DATA_PC invalida",IF(NOT(ISNUMBER(parametros!$C$2)),"Fora dos ciclos",IF(OR(B365&lt;parametros!$C$2,(YEAR(B365)-YEAR(parametros!$C$2))*12+MONTH(B365)-MONTH(parametros!$C$2)&gt;59),"Fora dos ciclos","C"&amp;INT(((YEAR(B365)-YEAR(parametros!$C$2))*12+MONTH(B365)-MONTH(parametros!$C$2))/12)))))</f>
        <v/>
      </c>
      <c r="D365" s="394"/>
      <c r="E365" s="78" t="str">
        <f>IF(C365="","",IFERROR(VLOOKUP(C365,parametros!$A$11:$E$15,5,0),""))</f>
        <v/>
      </c>
      <c r="F365" s="79" t="str">
        <f t="shared" si="27"/>
        <v/>
      </c>
      <c r="G365" s="395"/>
      <c r="H365" s="91">
        <f t="shared" si="28"/>
        <v>0</v>
      </c>
      <c r="I365" s="91" t="str">
        <f t="shared" si="29"/>
        <v/>
      </c>
      <c r="J365" s="91" t="str">
        <f t="shared" si="30"/>
        <v/>
      </c>
      <c r="K365" s="92" t="str">
        <f>IF(AND(A365="",B365="",D365="",G365=""),"",IF(AND(A365&lt;&gt;"",COUNTIF($A$2:$A$5001,A365)&gt;1),"NUMERO_PC duplicado",IF(B365="","DATA_PC vazia",IF(NOT(ISNUMBER(B365)),"DATA_PC invalida",IF(OR(C365="",C365="Fora dos ciclos"),"CICLO_PC nao identificado",IF(OR(D365="",D365=0),"VALOR_PC vazio ou zero",IF(AND(G365&lt;&gt;"Sim",G365&lt;&gt;"Nao",G365&lt;&gt;""),"PC_PAGO_A_CONTRATADA invalido",IF(AND(C365&lt;&gt;"C0",IFERROR(INDEX(parametros!$A$2:$A$6,MATCH(C365,parametros!$B$2:$B$6,0)),"")="Sim",IFERROR(INDEX(parametros!$H$2:$H$6,MATCH(C365,parametros!$B$2:$B$6,0)),"")=""),"INICIO_EFEITO ausente: PC "&amp;A365&amp;" - "&amp;C365,IF(L365="","EFEITO_PC nao calculado: PC "&amp;A365&amp;" - "&amp;C365,"OK")))))))))</f>
        <v/>
      </c>
      <c r="L365" s="92" t="str">
        <f>IF(AND(A365="",B365="",D365="",G365=""),"",IF(OR(B365="",NOT(ISNUMBER(B365)),C365="",C365="Fora dos ciclos"),"",IF(C365="C0","Nao",IF(IFERROR(INDEX(parametros!$A$2:$A$6,MATCH(C365,parametros!$B$2:$B$6,0)),"")&lt;&gt;"Sim","Nao",IF(IFERROR(INDEX(parametros!$H$2:$H$6,MATCH(C365,parametros!$B$2:$B$6,0)),"")="","",IF(B365&gt;=IFERROR(INDEX(parametros!$H$2:$H$6,MATCH(C365,parametros!$B$2:$B$6,0)),""),"Sim","Nao"))))))</f>
        <v/>
      </c>
      <c r="T365" s="156"/>
      <c r="U365" s="214" t="str">
        <f t="shared" si="31"/>
        <v/>
      </c>
      <c r="V365" s="212" t="s">
        <v>50</v>
      </c>
      <c r="W365" s="100" t="s">
        <v>168</v>
      </c>
      <c r="X365" s="100" t="s">
        <v>169</v>
      </c>
      <c r="Y365" s="101" t="s">
        <v>170</v>
      </c>
      <c r="Z365" s="101" t="s">
        <v>171</v>
      </c>
      <c r="AA365" s="101" t="s">
        <v>50</v>
      </c>
      <c r="AB365" s="101" t="s">
        <v>172</v>
      </c>
      <c r="AC365" s="102" t="s">
        <v>173</v>
      </c>
    </row>
    <row r="366" spans="1:29" ht="25.5" customHeight="1" x14ac:dyDescent="0.35">
      <c r="A366" s="392"/>
      <c r="B366" s="393"/>
      <c r="C366" s="99" t="str">
        <f>IF(B366="","",IF(NOT(ISNUMBER(B366)),"DATA_PC invalida",IF(NOT(ISNUMBER(parametros!$C$2)),"Fora dos ciclos",IF(OR(B366&lt;parametros!$C$2,(YEAR(B366)-YEAR(parametros!$C$2))*12+MONTH(B366)-MONTH(parametros!$C$2)&gt;59),"Fora dos ciclos","C"&amp;INT(((YEAR(B366)-YEAR(parametros!$C$2))*12+MONTH(B366)-MONTH(parametros!$C$2))/12)))))</f>
        <v/>
      </c>
      <c r="D366" s="394"/>
      <c r="E366" s="78" t="str">
        <f>IF(C366="","",IFERROR(VLOOKUP(C366,parametros!$A$11:$E$15,5,0),""))</f>
        <v/>
      </c>
      <c r="F366" s="79" t="str">
        <f t="shared" si="27"/>
        <v/>
      </c>
      <c r="G366" s="395"/>
      <c r="H366" s="91">
        <f t="shared" si="28"/>
        <v>0</v>
      </c>
      <c r="I366" s="91" t="str">
        <f t="shared" si="29"/>
        <v/>
      </c>
      <c r="J366" s="91" t="str">
        <f t="shared" si="30"/>
        <v/>
      </c>
      <c r="K366" s="92" t="str">
        <f>IF(AND(A366="",B366="",D366="",G366=""),"",IF(AND(A366&lt;&gt;"",COUNTIF($A$2:$A$5001,A366)&gt;1),"NUMERO_PC duplicado",IF(B366="","DATA_PC vazia",IF(NOT(ISNUMBER(B366)),"DATA_PC invalida",IF(OR(C366="",C366="Fora dos ciclos"),"CICLO_PC nao identificado",IF(OR(D366="",D366=0),"VALOR_PC vazio ou zero",IF(AND(G366&lt;&gt;"Sim",G366&lt;&gt;"Nao",G366&lt;&gt;""),"PC_PAGO_A_CONTRATADA invalido",IF(AND(C366&lt;&gt;"C0",IFERROR(INDEX(parametros!$A$2:$A$6,MATCH(C366,parametros!$B$2:$B$6,0)),"")="Sim",IFERROR(INDEX(parametros!$H$2:$H$6,MATCH(C366,parametros!$B$2:$B$6,0)),"")=""),"INICIO_EFEITO ausente: PC "&amp;A366&amp;" - "&amp;C366,IF(L366="","EFEITO_PC nao calculado: PC "&amp;A366&amp;" - "&amp;C366,"OK")))))))))</f>
        <v/>
      </c>
      <c r="L366" s="92" t="str">
        <f>IF(AND(A366="",B366="",D366="",G366=""),"",IF(OR(B366="",NOT(ISNUMBER(B366)),C366="",C366="Fora dos ciclos"),"",IF(C366="C0","Nao",IF(IFERROR(INDEX(parametros!$A$2:$A$6,MATCH(C366,parametros!$B$2:$B$6,0)),"")&lt;&gt;"Sim","Nao",IF(IFERROR(INDEX(parametros!$H$2:$H$6,MATCH(C366,parametros!$B$2:$B$6,0)),"")="","",IF(B366&gt;=IFERROR(INDEX(parametros!$H$2:$H$6,MATCH(C366,parametros!$B$2:$B$6,0)),""),"Sim","Nao"))))))</f>
        <v/>
      </c>
      <c r="T366" s="156"/>
      <c r="U366" s="214" t="str">
        <f t="shared" si="31"/>
        <v/>
      </c>
      <c r="V366" s="212" t="s">
        <v>50</v>
      </c>
      <c r="W366" s="100" t="s">
        <v>168</v>
      </c>
      <c r="X366" s="100" t="s">
        <v>169</v>
      </c>
      <c r="Y366" s="101" t="s">
        <v>170</v>
      </c>
      <c r="Z366" s="101" t="s">
        <v>171</v>
      </c>
      <c r="AA366" s="101" t="s">
        <v>50</v>
      </c>
      <c r="AB366" s="101" t="s">
        <v>172</v>
      </c>
      <c r="AC366" s="102" t="s">
        <v>173</v>
      </c>
    </row>
    <row r="367" spans="1:29" ht="25.5" customHeight="1" x14ac:dyDescent="0.35">
      <c r="A367" s="392"/>
      <c r="B367" s="393"/>
      <c r="C367" s="99" t="str">
        <f>IF(B367="","",IF(NOT(ISNUMBER(B367)),"DATA_PC invalida",IF(NOT(ISNUMBER(parametros!$C$2)),"Fora dos ciclos",IF(OR(B367&lt;parametros!$C$2,(YEAR(B367)-YEAR(parametros!$C$2))*12+MONTH(B367)-MONTH(parametros!$C$2)&gt;59),"Fora dos ciclos","C"&amp;INT(((YEAR(B367)-YEAR(parametros!$C$2))*12+MONTH(B367)-MONTH(parametros!$C$2))/12)))))</f>
        <v/>
      </c>
      <c r="D367" s="394"/>
      <c r="E367" s="78" t="str">
        <f>IF(C367="","",IFERROR(VLOOKUP(C367,parametros!$A$11:$E$15,5,0),""))</f>
        <v/>
      </c>
      <c r="F367" s="79" t="str">
        <f t="shared" si="27"/>
        <v/>
      </c>
      <c r="G367" s="395"/>
      <c r="H367" s="91">
        <f t="shared" si="28"/>
        <v>0</v>
      </c>
      <c r="I367" s="91" t="str">
        <f t="shared" si="29"/>
        <v/>
      </c>
      <c r="J367" s="91" t="str">
        <f t="shared" si="30"/>
        <v/>
      </c>
      <c r="K367" s="92" t="str">
        <f>IF(AND(A367="",B367="",D367="",G367=""),"",IF(AND(A367&lt;&gt;"",COUNTIF($A$2:$A$5001,A367)&gt;1),"NUMERO_PC duplicado",IF(B367="","DATA_PC vazia",IF(NOT(ISNUMBER(B367)),"DATA_PC invalida",IF(OR(C367="",C367="Fora dos ciclos"),"CICLO_PC nao identificado",IF(OR(D367="",D367=0),"VALOR_PC vazio ou zero",IF(AND(G367&lt;&gt;"Sim",G367&lt;&gt;"Nao",G367&lt;&gt;""),"PC_PAGO_A_CONTRATADA invalido",IF(AND(C367&lt;&gt;"C0",IFERROR(INDEX(parametros!$A$2:$A$6,MATCH(C367,parametros!$B$2:$B$6,0)),"")="Sim",IFERROR(INDEX(parametros!$H$2:$H$6,MATCH(C367,parametros!$B$2:$B$6,0)),"")=""),"INICIO_EFEITO ausente: PC "&amp;A367&amp;" - "&amp;C367,IF(L367="","EFEITO_PC nao calculado: PC "&amp;A367&amp;" - "&amp;C367,"OK")))))))))</f>
        <v/>
      </c>
      <c r="L367" s="92" t="str">
        <f>IF(AND(A367="",B367="",D367="",G367=""),"",IF(OR(B367="",NOT(ISNUMBER(B367)),C367="",C367="Fora dos ciclos"),"",IF(C367="C0","Nao",IF(IFERROR(INDEX(parametros!$A$2:$A$6,MATCH(C367,parametros!$B$2:$B$6,0)),"")&lt;&gt;"Sim","Nao",IF(IFERROR(INDEX(parametros!$H$2:$H$6,MATCH(C367,parametros!$B$2:$B$6,0)),"")="","",IF(B367&gt;=IFERROR(INDEX(parametros!$H$2:$H$6,MATCH(C367,parametros!$B$2:$B$6,0)),""),"Sim","Nao"))))))</f>
        <v/>
      </c>
      <c r="T367" s="156"/>
      <c r="U367" s="214" t="str">
        <f t="shared" si="31"/>
        <v/>
      </c>
      <c r="V367" s="212" t="s">
        <v>50</v>
      </c>
      <c r="W367" s="100" t="s">
        <v>168</v>
      </c>
      <c r="X367" s="100" t="s">
        <v>169</v>
      </c>
      <c r="Y367" s="101" t="s">
        <v>170</v>
      </c>
      <c r="Z367" s="101" t="s">
        <v>171</v>
      </c>
      <c r="AA367" s="101" t="s">
        <v>50</v>
      </c>
      <c r="AB367" s="101" t="s">
        <v>172</v>
      </c>
      <c r="AC367" s="102" t="s">
        <v>173</v>
      </c>
    </row>
    <row r="368" spans="1:29" ht="25.5" customHeight="1" x14ac:dyDescent="0.35">
      <c r="A368" s="392"/>
      <c r="B368" s="393"/>
      <c r="C368" s="99" t="str">
        <f>IF(B368="","",IF(NOT(ISNUMBER(B368)),"DATA_PC invalida",IF(NOT(ISNUMBER(parametros!$C$2)),"Fora dos ciclos",IF(OR(B368&lt;parametros!$C$2,(YEAR(B368)-YEAR(parametros!$C$2))*12+MONTH(B368)-MONTH(parametros!$C$2)&gt;59),"Fora dos ciclos","C"&amp;INT(((YEAR(B368)-YEAR(parametros!$C$2))*12+MONTH(B368)-MONTH(parametros!$C$2))/12)))))</f>
        <v/>
      </c>
      <c r="D368" s="394"/>
      <c r="E368" s="78" t="str">
        <f>IF(C368="","",IFERROR(VLOOKUP(C368,parametros!$A$11:$E$15,5,0),""))</f>
        <v/>
      </c>
      <c r="F368" s="79" t="str">
        <f t="shared" si="27"/>
        <v/>
      </c>
      <c r="G368" s="395"/>
      <c r="H368" s="91">
        <f t="shared" si="28"/>
        <v>0</v>
      </c>
      <c r="I368" s="91" t="str">
        <f t="shared" si="29"/>
        <v/>
      </c>
      <c r="J368" s="91" t="str">
        <f t="shared" si="30"/>
        <v/>
      </c>
      <c r="K368" s="92" t="str">
        <f>IF(AND(A368="",B368="",D368="",G368=""),"",IF(AND(A368&lt;&gt;"",COUNTIF($A$2:$A$5001,A368)&gt;1),"NUMERO_PC duplicado",IF(B368="","DATA_PC vazia",IF(NOT(ISNUMBER(B368)),"DATA_PC invalida",IF(OR(C368="",C368="Fora dos ciclos"),"CICLO_PC nao identificado",IF(OR(D368="",D368=0),"VALOR_PC vazio ou zero",IF(AND(G368&lt;&gt;"Sim",G368&lt;&gt;"Nao",G368&lt;&gt;""),"PC_PAGO_A_CONTRATADA invalido",IF(AND(C368&lt;&gt;"C0",IFERROR(INDEX(parametros!$A$2:$A$6,MATCH(C368,parametros!$B$2:$B$6,0)),"")="Sim",IFERROR(INDEX(parametros!$H$2:$H$6,MATCH(C368,parametros!$B$2:$B$6,0)),"")=""),"INICIO_EFEITO ausente: PC "&amp;A368&amp;" - "&amp;C368,IF(L368="","EFEITO_PC nao calculado: PC "&amp;A368&amp;" - "&amp;C368,"OK")))))))))</f>
        <v/>
      </c>
      <c r="L368" s="92" t="str">
        <f>IF(AND(A368="",B368="",D368="",G368=""),"",IF(OR(B368="",NOT(ISNUMBER(B368)),C368="",C368="Fora dos ciclos"),"",IF(C368="C0","Nao",IF(IFERROR(INDEX(parametros!$A$2:$A$6,MATCH(C368,parametros!$B$2:$B$6,0)),"")&lt;&gt;"Sim","Nao",IF(IFERROR(INDEX(parametros!$H$2:$H$6,MATCH(C368,parametros!$B$2:$B$6,0)),"")="","",IF(B368&gt;=IFERROR(INDEX(parametros!$H$2:$H$6,MATCH(C368,parametros!$B$2:$B$6,0)),""),"Sim","Nao"))))))</f>
        <v/>
      </c>
      <c r="T368" s="156"/>
      <c r="U368" s="214" t="str">
        <f t="shared" si="31"/>
        <v/>
      </c>
      <c r="V368" s="212" t="s">
        <v>50</v>
      </c>
      <c r="W368" s="100" t="s">
        <v>168</v>
      </c>
      <c r="X368" s="100" t="s">
        <v>169</v>
      </c>
      <c r="Y368" s="101" t="s">
        <v>170</v>
      </c>
      <c r="Z368" s="101" t="s">
        <v>171</v>
      </c>
      <c r="AA368" s="101" t="s">
        <v>50</v>
      </c>
      <c r="AB368" s="101" t="s">
        <v>172</v>
      </c>
      <c r="AC368" s="102" t="s">
        <v>173</v>
      </c>
    </row>
    <row r="369" spans="1:29" ht="25.5" customHeight="1" x14ac:dyDescent="0.35">
      <c r="A369" s="392"/>
      <c r="B369" s="393"/>
      <c r="C369" s="99" t="str">
        <f>IF(B369="","",IF(NOT(ISNUMBER(B369)),"DATA_PC invalida",IF(NOT(ISNUMBER(parametros!$C$2)),"Fora dos ciclos",IF(OR(B369&lt;parametros!$C$2,(YEAR(B369)-YEAR(parametros!$C$2))*12+MONTH(B369)-MONTH(parametros!$C$2)&gt;59),"Fora dos ciclos","C"&amp;INT(((YEAR(B369)-YEAR(parametros!$C$2))*12+MONTH(B369)-MONTH(parametros!$C$2))/12)))))</f>
        <v/>
      </c>
      <c r="D369" s="394"/>
      <c r="E369" s="78" t="str">
        <f>IF(C369="","",IFERROR(VLOOKUP(C369,parametros!$A$11:$E$15,5,0),""))</f>
        <v/>
      </c>
      <c r="F369" s="79" t="str">
        <f t="shared" si="27"/>
        <v/>
      </c>
      <c r="G369" s="395"/>
      <c r="H369" s="91">
        <f t="shared" si="28"/>
        <v>0</v>
      </c>
      <c r="I369" s="91" t="str">
        <f t="shared" si="29"/>
        <v/>
      </c>
      <c r="J369" s="91" t="str">
        <f t="shared" si="30"/>
        <v/>
      </c>
      <c r="K369" s="92" t="str">
        <f>IF(AND(A369="",B369="",D369="",G369=""),"",IF(AND(A369&lt;&gt;"",COUNTIF($A$2:$A$5001,A369)&gt;1),"NUMERO_PC duplicado",IF(B369="","DATA_PC vazia",IF(NOT(ISNUMBER(B369)),"DATA_PC invalida",IF(OR(C369="",C369="Fora dos ciclos"),"CICLO_PC nao identificado",IF(OR(D369="",D369=0),"VALOR_PC vazio ou zero",IF(AND(G369&lt;&gt;"Sim",G369&lt;&gt;"Nao",G369&lt;&gt;""),"PC_PAGO_A_CONTRATADA invalido",IF(AND(C369&lt;&gt;"C0",IFERROR(INDEX(parametros!$A$2:$A$6,MATCH(C369,parametros!$B$2:$B$6,0)),"")="Sim",IFERROR(INDEX(parametros!$H$2:$H$6,MATCH(C369,parametros!$B$2:$B$6,0)),"")=""),"INICIO_EFEITO ausente: PC "&amp;A369&amp;" - "&amp;C369,IF(L369="","EFEITO_PC nao calculado: PC "&amp;A369&amp;" - "&amp;C369,"OK")))))))))</f>
        <v/>
      </c>
      <c r="L369" s="92" t="str">
        <f>IF(AND(A369="",B369="",D369="",G369=""),"",IF(OR(B369="",NOT(ISNUMBER(B369)),C369="",C369="Fora dos ciclos"),"",IF(C369="C0","Nao",IF(IFERROR(INDEX(parametros!$A$2:$A$6,MATCH(C369,parametros!$B$2:$B$6,0)),"")&lt;&gt;"Sim","Nao",IF(IFERROR(INDEX(parametros!$H$2:$H$6,MATCH(C369,parametros!$B$2:$B$6,0)),"")="","",IF(B369&gt;=IFERROR(INDEX(parametros!$H$2:$H$6,MATCH(C369,parametros!$B$2:$B$6,0)),""),"Sim","Nao"))))))</f>
        <v/>
      </c>
      <c r="T369" s="156"/>
      <c r="U369" s="214" t="str">
        <f t="shared" si="31"/>
        <v/>
      </c>
      <c r="V369" s="212" t="s">
        <v>50</v>
      </c>
      <c r="W369" s="100" t="s">
        <v>168</v>
      </c>
      <c r="X369" s="100" t="s">
        <v>169</v>
      </c>
      <c r="Y369" s="101" t="s">
        <v>170</v>
      </c>
      <c r="Z369" s="101" t="s">
        <v>171</v>
      </c>
      <c r="AA369" s="101" t="s">
        <v>50</v>
      </c>
      <c r="AB369" s="101" t="s">
        <v>172</v>
      </c>
      <c r="AC369" s="102" t="s">
        <v>173</v>
      </c>
    </row>
    <row r="370" spans="1:29" ht="25.5" customHeight="1" x14ac:dyDescent="0.35">
      <c r="A370" s="392"/>
      <c r="B370" s="393"/>
      <c r="C370" s="99" t="str">
        <f>IF(B370="","",IF(NOT(ISNUMBER(B370)),"DATA_PC invalida",IF(NOT(ISNUMBER(parametros!$C$2)),"Fora dos ciclos",IF(OR(B370&lt;parametros!$C$2,(YEAR(B370)-YEAR(parametros!$C$2))*12+MONTH(B370)-MONTH(parametros!$C$2)&gt;59),"Fora dos ciclos","C"&amp;INT(((YEAR(B370)-YEAR(parametros!$C$2))*12+MONTH(B370)-MONTH(parametros!$C$2))/12)))))</f>
        <v/>
      </c>
      <c r="D370" s="394"/>
      <c r="E370" s="78" t="str">
        <f>IF(C370="","",IFERROR(VLOOKUP(C370,parametros!$A$11:$E$15,5,0),""))</f>
        <v/>
      </c>
      <c r="F370" s="79" t="str">
        <f t="shared" si="27"/>
        <v/>
      </c>
      <c r="G370" s="395"/>
      <c r="H370" s="91">
        <f t="shared" si="28"/>
        <v>0</v>
      </c>
      <c r="I370" s="91" t="str">
        <f t="shared" si="29"/>
        <v/>
      </c>
      <c r="J370" s="91" t="str">
        <f t="shared" si="30"/>
        <v/>
      </c>
      <c r="K370" s="92" t="str">
        <f>IF(AND(A370="",B370="",D370="",G370=""),"",IF(AND(A370&lt;&gt;"",COUNTIF($A$2:$A$5001,A370)&gt;1),"NUMERO_PC duplicado",IF(B370="","DATA_PC vazia",IF(NOT(ISNUMBER(B370)),"DATA_PC invalida",IF(OR(C370="",C370="Fora dos ciclos"),"CICLO_PC nao identificado",IF(OR(D370="",D370=0),"VALOR_PC vazio ou zero",IF(AND(G370&lt;&gt;"Sim",G370&lt;&gt;"Nao",G370&lt;&gt;""),"PC_PAGO_A_CONTRATADA invalido",IF(AND(C370&lt;&gt;"C0",IFERROR(INDEX(parametros!$A$2:$A$6,MATCH(C370,parametros!$B$2:$B$6,0)),"")="Sim",IFERROR(INDEX(parametros!$H$2:$H$6,MATCH(C370,parametros!$B$2:$B$6,0)),"")=""),"INICIO_EFEITO ausente: PC "&amp;A370&amp;" - "&amp;C370,IF(L370="","EFEITO_PC nao calculado: PC "&amp;A370&amp;" - "&amp;C370,"OK")))))))))</f>
        <v/>
      </c>
      <c r="L370" s="92" t="str">
        <f>IF(AND(A370="",B370="",D370="",G370=""),"",IF(OR(B370="",NOT(ISNUMBER(B370)),C370="",C370="Fora dos ciclos"),"",IF(C370="C0","Nao",IF(IFERROR(INDEX(parametros!$A$2:$A$6,MATCH(C370,parametros!$B$2:$B$6,0)),"")&lt;&gt;"Sim","Nao",IF(IFERROR(INDEX(parametros!$H$2:$H$6,MATCH(C370,parametros!$B$2:$B$6,0)),"")="","",IF(B370&gt;=IFERROR(INDEX(parametros!$H$2:$H$6,MATCH(C370,parametros!$B$2:$B$6,0)),""),"Sim","Nao"))))))</f>
        <v/>
      </c>
      <c r="T370" s="156"/>
      <c r="U370" s="214" t="str">
        <f t="shared" si="31"/>
        <v/>
      </c>
      <c r="V370" s="212" t="s">
        <v>50</v>
      </c>
      <c r="W370" s="100" t="s">
        <v>168</v>
      </c>
      <c r="X370" s="100" t="s">
        <v>169</v>
      </c>
      <c r="Y370" s="101" t="s">
        <v>170</v>
      </c>
      <c r="Z370" s="101" t="s">
        <v>171</v>
      </c>
      <c r="AA370" s="101" t="s">
        <v>50</v>
      </c>
      <c r="AB370" s="101" t="s">
        <v>172</v>
      </c>
      <c r="AC370" s="102" t="s">
        <v>173</v>
      </c>
    </row>
    <row r="371" spans="1:29" ht="25.5" customHeight="1" x14ac:dyDescent="0.35">
      <c r="A371" s="392"/>
      <c r="B371" s="393"/>
      <c r="C371" s="99" t="str">
        <f>IF(B371="","",IF(NOT(ISNUMBER(B371)),"DATA_PC invalida",IF(NOT(ISNUMBER(parametros!$C$2)),"Fora dos ciclos",IF(OR(B371&lt;parametros!$C$2,(YEAR(B371)-YEAR(parametros!$C$2))*12+MONTH(B371)-MONTH(parametros!$C$2)&gt;59),"Fora dos ciclos","C"&amp;INT(((YEAR(B371)-YEAR(parametros!$C$2))*12+MONTH(B371)-MONTH(parametros!$C$2))/12)))))</f>
        <v/>
      </c>
      <c r="D371" s="394"/>
      <c r="E371" s="78" t="str">
        <f>IF(C371="","",IFERROR(VLOOKUP(C371,parametros!$A$11:$E$15,5,0),""))</f>
        <v/>
      </c>
      <c r="F371" s="79" t="str">
        <f t="shared" si="27"/>
        <v/>
      </c>
      <c r="G371" s="395"/>
      <c r="H371" s="91">
        <f t="shared" si="28"/>
        <v>0</v>
      </c>
      <c r="I371" s="91" t="str">
        <f t="shared" si="29"/>
        <v/>
      </c>
      <c r="J371" s="91" t="str">
        <f t="shared" si="30"/>
        <v/>
      </c>
      <c r="K371" s="92" t="str">
        <f>IF(AND(A371="",B371="",D371="",G371=""),"",IF(AND(A371&lt;&gt;"",COUNTIF($A$2:$A$5001,A371)&gt;1),"NUMERO_PC duplicado",IF(B371="","DATA_PC vazia",IF(NOT(ISNUMBER(B371)),"DATA_PC invalida",IF(OR(C371="",C371="Fora dos ciclos"),"CICLO_PC nao identificado",IF(OR(D371="",D371=0),"VALOR_PC vazio ou zero",IF(AND(G371&lt;&gt;"Sim",G371&lt;&gt;"Nao",G371&lt;&gt;""),"PC_PAGO_A_CONTRATADA invalido",IF(AND(C371&lt;&gt;"C0",IFERROR(INDEX(parametros!$A$2:$A$6,MATCH(C371,parametros!$B$2:$B$6,0)),"")="Sim",IFERROR(INDEX(parametros!$H$2:$H$6,MATCH(C371,parametros!$B$2:$B$6,0)),"")=""),"INICIO_EFEITO ausente: PC "&amp;A371&amp;" - "&amp;C371,IF(L371="","EFEITO_PC nao calculado: PC "&amp;A371&amp;" - "&amp;C371,"OK")))))))))</f>
        <v/>
      </c>
      <c r="L371" s="92" t="str">
        <f>IF(AND(A371="",B371="",D371="",G371=""),"",IF(OR(B371="",NOT(ISNUMBER(B371)),C371="",C371="Fora dos ciclos"),"",IF(C371="C0","Nao",IF(IFERROR(INDEX(parametros!$A$2:$A$6,MATCH(C371,parametros!$B$2:$B$6,0)),"")&lt;&gt;"Sim","Nao",IF(IFERROR(INDEX(parametros!$H$2:$H$6,MATCH(C371,parametros!$B$2:$B$6,0)),"")="","",IF(B371&gt;=IFERROR(INDEX(parametros!$H$2:$H$6,MATCH(C371,parametros!$B$2:$B$6,0)),""),"Sim","Nao"))))))</f>
        <v/>
      </c>
      <c r="T371" s="156"/>
      <c r="U371" s="214" t="str">
        <f t="shared" si="31"/>
        <v/>
      </c>
      <c r="V371" s="212" t="s">
        <v>50</v>
      </c>
      <c r="W371" s="100" t="s">
        <v>168</v>
      </c>
      <c r="X371" s="100" t="s">
        <v>169</v>
      </c>
      <c r="Y371" s="101" t="s">
        <v>170</v>
      </c>
      <c r="Z371" s="101" t="s">
        <v>171</v>
      </c>
      <c r="AA371" s="101" t="s">
        <v>50</v>
      </c>
      <c r="AB371" s="101" t="s">
        <v>172</v>
      </c>
      <c r="AC371" s="102" t="s">
        <v>173</v>
      </c>
    </row>
    <row r="372" spans="1:29" ht="25.5" customHeight="1" x14ac:dyDescent="0.35">
      <c r="A372" s="392"/>
      <c r="B372" s="393"/>
      <c r="C372" s="99" t="str">
        <f>IF(B372="","",IF(NOT(ISNUMBER(B372)),"DATA_PC invalida",IF(NOT(ISNUMBER(parametros!$C$2)),"Fora dos ciclos",IF(OR(B372&lt;parametros!$C$2,(YEAR(B372)-YEAR(parametros!$C$2))*12+MONTH(B372)-MONTH(parametros!$C$2)&gt;59),"Fora dos ciclos","C"&amp;INT(((YEAR(B372)-YEAR(parametros!$C$2))*12+MONTH(B372)-MONTH(parametros!$C$2))/12)))))</f>
        <v/>
      </c>
      <c r="D372" s="394"/>
      <c r="E372" s="78" t="str">
        <f>IF(C372="","",IFERROR(VLOOKUP(C372,parametros!$A$11:$E$15,5,0),""))</f>
        <v/>
      </c>
      <c r="F372" s="79" t="str">
        <f t="shared" si="27"/>
        <v/>
      </c>
      <c r="G372" s="395"/>
      <c r="H372" s="91">
        <f t="shared" si="28"/>
        <v>0</v>
      </c>
      <c r="I372" s="91" t="str">
        <f t="shared" si="29"/>
        <v/>
      </c>
      <c r="J372" s="91" t="str">
        <f t="shared" si="30"/>
        <v/>
      </c>
      <c r="K372" s="92" t="str">
        <f>IF(AND(A372="",B372="",D372="",G372=""),"",IF(AND(A372&lt;&gt;"",COUNTIF($A$2:$A$5001,A372)&gt;1),"NUMERO_PC duplicado",IF(B372="","DATA_PC vazia",IF(NOT(ISNUMBER(B372)),"DATA_PC invalida",IF(OR(C372="",C372="Fora dos ciclos"),"CICLO_PC nao identificado",IF(OR(D372="",D372=0),"VALOR_PC vazio ou zero",IF(AND(G372&lt;&gt;"Sim",G372&lt;&gt;"Nao",G372&lt;&gt;""),"PC_PAGO_A_CONTRATADA invalido",IF(AND(C372&lt;&gt;"C0",IFERROR(INDEX(parametros!$A$2:$A$6,MATCH(C372,parametros!$B$2:$B$6,0)),"")="Sim",IFERROR(INDEX(parametros!$H$2:$H$6,MATCH(C372,parametros!$B$2:$B$6,0)),"")=""),"INICIO_EFEITO ausente: PC "&amp;A372&amp;" - "&amp;C372,IF(L372="","EFEITO_PC nao calculado: PC "&amp;A372&amp;" - "&amp;C372,"OK")))))))))</f>
        <v/>
      </c>
      <c r="L372" s="92" t="str">
        <f>IF(AND(A372="",B372="",D372="",G372=""),"",IF(OR(B372="",NOT(ISNUMBER(B372)),C372="",C372="Fora dos ciclos"),"",IF(C372="C0","Nao",IF(IFERROR(INDEX(parametros!$A$2:$A$6,MATCH(C372,parametros!$B$2:$B$6,0)),"")&lt;&gt;"Sim","Nao",IF(IFERROR(INDEX(parametros!$H$2:$H$6,MATCH(C372,parametros!$B$2:$B$6,0)),"")="","",IF(B372&gt;=IFERROR(INDEX(parametros!$H$2:$H$6,MATCH(C372,parametros!$B$2:$B$6,0)),""),"Sim","Nao"))))))</f>
        <v/>
      </c>
      <c r="T372" s="156"/>
      <c r="U372" s="214" t="str">
        <f t="shared" si="31"/>
        <v/>
      </c>
      <c r="V372" s="212" t="s">
        <v>50</v>
      </c>
      <c r="W372" s="100" t="s">
        <v>168</v>
      </c>
      <c r="X372" s="100" t="s">
        <v>169</v>
      </c>
      <c r="Y372" s="101" t="s">
        <v>170</v>
      </c>
      <c r="Z372" s="101" t="s">
        <v>171</v>
      </c>
      <c r="AA372" s="101" t="s">
        <v>50</v>
      </c>
      <c r="AB372" s="101" t="s">
        <v>172</v>
      </c>
      <c r="AC372" s="102" t="s">
        <v>173</v>
      </c>
    </row>
    <row r="373" spans="1:29" ht="25.5" customHeight="1" x14ac:dyDescent="0.35">
      <c r="A373" s="392"/>
      <c r="B373" s="393"/>
      <c r="C373" s="99" t="str">
        <f>IF(B373="","",IF(NOT(ISNUMBER(B373)),"DATA_PC invalida",IF(NOT(ISNUMBER(parametros!$C$2)),"Fora dos ciclos",IF(OR(B373&lt;parametros!$C$2,(YEAR(B373)-YEAR(parametros!$C$2))*12+MONTH(B373)-MONTH(parametros!$C$2)&gt;59),"Fora dos ciclos","C"&amp;INT(((YEAR(B373)-YEAR(parametros!$C$2))*12+MONTH(B373)-MONTH(parametros!$C$2))/12)))))</f>
        <v/>
      </c>
      <c r="D373" s="394"/>
      <c r="E373" s="78" t="str">
        <f>IF(C373="","",IFERROR(VLOOKUP(C373,parametros!$A$11:$E$15,5,0),""))</f>
        <v/>
      </c>
      <c r="F373" s="79" t="str">
        <f t="shared" si="27"/>
        <v/>
      </c>
      <c r="G373" s="395"/>
      <c r="H373" s="91">
        <f t="shared" si="28"/>
        <v>0</v>
      </c>
      <c r="I373" s="91" t="str">
        <f t="shared" si="29"/>
        <v/>
      </c>
      <c r="J373" s="91" t="str">
        <f t="shared" si="30"/>
        <v/>
      </c>
      <c r="K373" s="92" t="str">
        <f>IF(AND(A373="",B373="",D373="",G373=""),"",IF(AND(A373&lt;&gt;"",COUNTIF($A$2:$A$5001,A373)&gt;1),"NUMERO_PC duplicado",IF(B373="","DATA_PC vazia",IF(NOT(ISNUMBER(B373)),"DATA_PC invalida",IF(OR(C373="",C373="Fora dos ciclos"),"CICLO_PC nao identificado",IF(OR(D373="",D373=0),"VALOR_PC vazio ou zero",IF(AND(G373&lt;&gt;"Sim",G373&lt;&gt;"Nao",G373&lt;&gt;""),"PC_PAGO_A_CONTRATADA invalido",IF(AND(C373&lt;&gt;"C0",IFERROR(INDEX(parametros!$A$2:$A$6,MATCH(C373,parametros!$B$2:$B$6,0)),"")="Sim",IFERROR(INDEX(parametros!$H$2:$H$6,MATCH(C373,parametros!$B$2:$B$6,0)),"")=""),"INICIO_EFEITO ausente: PC "&amp;A373&amp;" - "&amp;C373,IF(L373="","EFEITO_PC nao calculado: PC "&amp;A373&amp;" - "&amp;C373,"OK")))))))))</f>
        <v/>
      </c>
      <c r="L373" s="92" t="str">
        <f>IF(AND(A373="",B373="",D373="",G373=""),"",IF(OR(B373="",NOT(ISNUMBER(B373)),C373="",C373="Fora dos ciclos"),"",IF(C373="C0","Nao",IF(IFERROR(INDEX(parametros!$A$2:$A$6,MATCH(C373,parametros!$B$2:$B$6,0)),"")&lt;&gt;"Sim","Nao",IF(IFERROR(INDEX(parametros!$H$2:$H$6,MATCH(C373,parametros!$B$2:$B$6,0)),"")="","",IF(B373&gt;=IFERROR(INDEX(parametros!$H$2:$H$6,MATCH(C373,parametros!$B$2:$B$6,0)),""),"Sim","Nao"))))))</f>
        <v/>
      </c>
      <c r="T373" s="156"/>
      <c r="U373" s="214" t="str">
        <f t="shared" si="31"/>
        <v/>
      </c>
      <c r="V373" s="212" t="s">
        <v>50</v>
      </c>
      <c r="W373" s="100" t="s">
        <v>168</v>
      </c>
      <c r="X373" s="100" t="s">
        <v>169</v>
      </c>
      <c r="Y373" s="101" t="s">
        <v>170</v>
      </c>
      <c r="Z373" s="101" t="s">
        <v>171</v>
      </c>
      <c r="AA373" s="101" t="s">
        <v>50</v>
      </c>
      <c r="AB373" s="101" t="s">
        <v>172</v>
      </c>
      <c r="AC373" s="102" t="s">
        <v>173</v>
      </c>
    </row>
    <row r="374" spans="1:29" ht="25.5" customHeight="1" x14ac:dyDescent="0.35">
      <c r="A374" s="392"/>
      <c r="B374" s="393"/>
      <c r="C374" s="99" t="str">
        <f>IF(B374="","",IF(NOT(ISNUMBER(B374)),"DATA_PC invalida",IF(NOT(ISNUMBER(parametros!$C$2)),"Fora dos ciclos",IF(OR(B374&lt;parametros!$C$2,(YEAR(B374)-YEAR(parametros!$C$2))*12+MONTH(B374)-MONTH(parametros!$C$2)&gt;59),"Fora dos ciclos","C"&amp;INT(((YEAR(B374)-YEAR(parametros!$C$2))*12+MONTH(B374)-MONTH(parametros!$C$2))/12)))))</f>
        <v/>
      </c>
      <c r="D374" s="394"/>
      <c r="E374" s="78" t="str">
        <f>IF(C374="","",IFERROR(VLOOKUP(C374,parametros!$A$11:$E$15,5,0),""))</f>
        <v/>
      </c>
      <c r="F374" s="79" t="str">
        <f t="shared" si="27"/>
        <v/>
      </c>
      <c r="G374" s="395"/>
      <c r="H374" s="91">
        <f t="shared" si="28"/>
        <v>0</v>
      </c>
      <c r="I374" s="91" t="str">
        <f t="shared" si="29"/>
        <v/>
      </c>
      <c r="J374" s="91" t="str">
        <f t="shared" si="30"/>
        <v/>
      </c>
      <c r="K374" s="92" t="str">
        <f>IF(AND(A374="",B374="",D374="",G374=""),"",IF(AND(A374&lt;&gt;"",COUNTIF($A$2:$A$5001,A374)&gt;1),"NUMERO_PC duplicado",IF(B374="","DATA_PC vazia",IF(NOT(ISNUMBER(B374)),"DATA_PC invalida",IF(OR(C374="",C374="Fora dos ciclos"),"CICLO_PC nao identificado",IF(OR(D374="",D374=0),"VALOR_PC vazio ou zero",IF(AND(G374&lt;&gt;"Sim",G374&lt;&gt;"Nao",G374&lt;&gt;""),"PC_PAGO_A_CONTRATADA invalido",IF(AND(C374&lt;&gt;"C0",IFERROR(INDEX(parametros!$A$2:$A$6,MATCH(C374,parametros!$B$2:$B$6,0)),"")="Sim",IFERROR(INDEX(parametros!$H$2:$H$6,MATCH(C374,parametros!$B$2:$B$6,0)),"")=""),"INICIO_EFEITO ausente: PC "&amp;A374&amp;" - "&amp;C374,IF(L374="","EFEITO_PC nao calculado: PC "&amp;A374&amp;" - "&amp;C374,"OK")))))))))</f>
        <v/>
      </c>
      <c r="L374" s="92" t="str">
        <f>IF(AND(A374="",B374="",D374="",G374=""),"",IF(OR(B374="",NOT(ISNUMBER(B374)),C374="",C374="Fora dos ciclos"),"",IF(C374="C0","Nao",IF(IFERROR(INDEX(parametros!$A$2:$A$6,MATCH(C374,parametros!$B$2:$B$6,0)),"")&lt;&gt;"Sim","Nao",IF(IFERROR(INDEX(parametros!$H$2:$H$6,MATCH(C374,parametros!$B$2:$B$6,0)),"")="","",IF(B374&gt;=IFERROR(INDEX(parametros!$H$2:$H$6,MATCH(C374,parametros!$B$2:$B$6,0)),""),"Sim","Nao"))))))</f>
        <v/>
      </c>
      <c r="T374" s="156"/>
      <c r="U374" s="214" t="str">
        <f t="shared" si="31"/>
        <v/>
      </c>
      <c r="V374" s="212" t="s">
        <v>50</v>
      </c>
      <c r="W374" s="100" t="s">
        <v>168</v>
      </c>
      <c r="X374" s="100" t="s">
        <v>169</v>
      </c>
      <c r="Y374" s="101" t="s">
        <v>170</v>
      </c>
      <c r="Z374" s="101" t="s">
        <v>171</v>
      </c>
      <c r="AA374" s="101" t="s">
        <v>50</v>
      </c>
      <c r="AB374" s="101" t="s">
        <v>172</v>
      </c>
      <c r="AC374" s="102" t="s">
        <v>173</v>
      </c>
    </row>
    <row r="375" spans="1:29" ht="25.5" customHeight="1" x14ac:dyDescent="0.35">
      <c r="A375" s="392"/>
      <c r="B375" s="393"/>
      <c r="C375" s="99" t="str">
        <f>IF(B375="","",IF(NOT(ISNUMBER(B375)),"DATA_PC invalida",IF(NOT(ISNUMBER(parametros!$C$2)),"Fora dos ciclos",IF(OR(B375&lt;parametros!$C$2,(YEAR(B375)-YEAR(parametros!$C$2))*12+MONTH(B375)-MONTH(parametros!$C$2)&gt;59),"Fora dos ciclos","C"&amp;INT(((YEAR(B375)-YEAR(parametros!$C$2))*12+MONTH(B375)-MONTH(parametros!$C$2))/12)))))</f>
        <v/>
      </c>
      <c r="D375" s="394"/>
      <c r="E375" s="78" t="str">
        <f>IF(C375="","",IFERROR(VLOOKUP(C375,parametros!$A$11:$E$15,5,0),""))</f>
        <v/>
      </c>
      <c r="F375" s="79" t="str">
        <f t="shared" si="27"/>
        <v/>
      </c>
      <c r="G375" s="395"/>
      <c r="H375" s="91">
        <f t="shared" si="28"/>
        <v>0</v>
      </c>
      <c r="I375" s="91" t="str">
        <f t="shared" si="29"/>
        <v/>
      </c>
      <c r="J375" s="91" t="str">
        <f t="shared" si="30"/>
        <v/>
      </c>
      <c r="K375" s="92" t="str">
        <f>IF(AND(A375="",B375="",D375="",G375=""),"",IF(AND(A375&lt;&gt;"",COUNTIF($A$2:$A$5001,A375)&gt;1),"NUMERO_PC duplicado",IF(B375="","DATA_PC vazia",IF(NOT(ISNUMBER(B375)),"DATA_PC invalida",IF(OR(C375="",C375="Fora dos ciclos"),"CICLO_PC nao identificado",IF(OR(D375="",D375=0),"VALOR_PC vazio ou zero",IF(AND(G375&lt;&gt;"Sim",G375&lt;&gt;"Nao",G375&lt;&gt;""),"PC_PAGO_A_CONTRATADA invalido",IF(AND(C375&lt;&gt;"C0",IFERROR(INDEX(parametros!$A$2:$A$6,MATCH(C375,parametros!$B$2:$B$6,0)),"")="Sim",IFERROR(INDEX(parametros!$H$2:$H$6,MATCH(C375,parametros!$B$2:$B$6,0)),"")=""),"INICIO_EFEITO ausente: PC "&amp;A375&amp;" - "&amp;C375,IF(L375="","EFEITO_PC nao calculado: PC "&amp;A375&amp;" - "&amp;C375,"OK")))))))))</f>
        <v/>
      </c>
      <c r="L375" s="92" t="str">
        <f>IF(AND(A375="",B375="",D375="",G375=""),"",IF(OR(B375="",NOT(ISNUMBER(B375)),C375="",C375="Fora dos ciclos"),"",IF(C375="C0","Nao",IF(IFERROR(INDEX(parametros!$A$2:$A$6,MATCH(C375,parametros!$B$2:$B$6,0)),"")&lt;&gt;"Sim","Nao",IF(IFERROR(INDEX(parametros!$H$2:$H$6,MATCH(C375,parametros!$B$2:$B$6,0)),"")="","",IF(B375&gt;=IFERROR(INDEX(parametros!$H$2:$H$6,MATCH(C375,parametros!$B$2:$B$6,0)),""),"Sim","Nao"))))))</f>
        <v/>
      </c>
      <c r="T375" s="156"/>
      <c r="U375" s="214" t="str">
        <f t="shared" si="31"/>
        <v/>
      </c>
      <c r="V375" s="212" t="s">
        <v>50</v>
      </c>
      <c r="W375" s="100" t="s">
        <v>168</v>
      </c>
      <c r="X375" s="100" t="s">
        <v>169</v>
      </c>
      <c r="Y375" s="101" t="s">
        <v>170</v>
      </c>
      <c r="Z375" s="101" t="s">
        <v>171</v>
      </c>
      <c r="AA375" s="101" t="s">
        <v>50</v>
      </c>
      <c r="AB375" s="101" t="s">
        <v>172</v>
      </c>
      <c r="AC375" s="102" t="s">
        <v>173</v>
      </c>
    </row>
    <row r="376" spans="1:29" ht="25.5" customHeight="1" x14ac:dyDescent="0.35">
      <c r="A376" s="392"/>
      <c r="B376" s="393"/>
      <c r="C376" s="99" t="str">
        <f>IF(B376="","",IF(NOT(ISNUMBER(B376)),"DATA_PC invalida",IF(NOT(ISNUMBER(parametros!$C$2)),"Fora dos ciclos",IF(OR(B376&lt;parametros!$C$2,(YEAR(B376)-YEAR(parametros!$C$2))*12+MONTH(B376)-MONTH(parametros!$C$2)&gt;59),"Fora dos ciclos","C"&amp;INT(((YEAR(B376)-YEAR(parametros!$C$2))*12+MONTH(B376)-MONTH(parametros!$C$2))/12)))))</f>
        <v/>
      </c>
      <c r="D376" s="394"/>
      <c r="E376" s="78" t="str">
        <f>IF(C376="","",IFERROR(VLOOKUP(C376,parametros!$A$11:$E$15,5,0),""))</f>
        <v/>
      </c>
      <c r="F376" s="79" t="str">
        <f t="shared" si="27"/>
        <v/>
      </c>
      <c r="G376" s="395"/>
      <c r="H376" s="91">
        <f t="shared" si="28"/>
        <v>0</v>
      </c>
      <c r="I376" s="91" t="str">
        <f t="shared" si="29"/>
        <v/>
      </c>
      <c r="J376" s="91" t="str">
        <f t="shared" si="30"/>
        <v/>
      </c>
      <c r="K376" s="92" t="str">
        <f>IF(AND(A376="",B376="",D376="",G376=""),"",IF(AND(A376&lt;&gt;"",COUNTIF($A$2:$A$5001,A376)&gt;1),"NUMERO_PC duplicado",IF(B376="","DATA_PC vazia",IF(NOT(ISNUMBER(B376)),"DATA_PC invalida",IF(OR(C376="",C376="Fora dos ciclos"),"CICLO_PC nao identificado",IF(OR(D376="",D376=0),"VALOR_PC vazio ou zero",IF(AND(G376&lt;&gt;"Sim",G376&lt;&gt;"Nao",G376&lt;&gt;""),"PC_PAGO_A_CONTRATADA invalido",IF(AND(C376&lt;&gt;"C0",IFERROR(INDEX(parametros!$A$2:$A$6,MATCH(C376,parametros!$B$2:$B$6,0)),"")="Sim",IFERROR(INDEX(parametros!$H$2:$H$6,MATCH(C376,parametros!$B$2:$B$6,0)),"")=""),"INICIO_EFEITO ausente: PC "&amp;A376&amp;" - "&amp;C376,IF(L376="","EFEITO_PC nao calculado: PC "&amp;A376&amp;" - "&amp;C376,"OK")))))))))</f>
        <v/>
      </c>
      <c r="L376" s="92" t="str">
        <f>IF(AND(A376="",B376="",D376="",G376=""),"",IF(OR(B376="",NOT(ISNUMBER(B376)),C376="",C376="Fora dos ciclos"),"",IF(C376="C0","Nao",IF(IFERROR(INDEX(parametros!$A$2:$A$6,MATCH(C376,parametros!$B$2:$B$6,0)),"")&lt;&gt;"Sim","Nao",IF(IFERROR(INDEX(parametros!$H$2:$H$6,MATCH(C376,parametros!$B$2:$B$6,0)),"")="","",IF(B376&gt;=IFERROR(INDEX(parametros!$H$2:$H$6,MATCH(C376,parametros!$B$2:$B$6,0)),""),"Sim","Nao"))))))</f>
        <v/>
      </c>
      <c r="T376" s="156"/>
      <c r="U376" s="214" t="str">
        <f t="shared" si="31"/>
        <v/>
      </c>
      <c r="V376" s="212" t="s">
        <v>50</v>
      </c>
      <c r="W376" s="100" t="s">
        <v>168</v>
      </c>
      <c r="X376" s="100" t="s">
        <v>169</v>
      </c>
      <c r="Y376" s="101" t="s">
        <v>170</v>
      </c>
      <c r="Z376" s="101" t="s">
        <v>171</v>
      </c>
      <c r="AA376" s="101" t="s">
        <v>50</v>
      </c>
      <c r="AB376" s="101" t="s">
        <v>172</v>
      </c>
      <c r="AC376" s="102" t="s">
        <v>173</v>
      </c>
    </row>
    <row r="377" spans="1:29" ht="25.5" customHeight="1" x14ac:dyDescent="0.35">
      <c r="A377" s="392"/>
      <c r="B377" s="393"/>
      <c r="C377" s="99" t="str">
        <f>IF(B377="","",IF(NOT(ISNUMBER(B377)),"DATA_PC invalida",IF(NOT(ISNUMBER(parametros!$C$2)),"Fora dos ciclos",IF(OR(B377&lt;parametros!$C$2,(YEAR(B377)-YEAR(parametros!$C$2))*12+MONTH(B377)-MONTH(parametros!$C$2)&gt;59),"Fora dos ciclos","C"&amp;INT(((YEAR(B377)-YEAR(parametros!$C$2))*12+MONTH(B377)-MONTH(parametros!$C$2))/12)))))</f>
        <v/>
      </c>
      <c r="D377" s="394"/>
      <c r="E377" s="78" t="str">
        <f>IF(C377="","",IFERROR(VLOOKUP(C377,parametros!$A$11:$E$15,5,0),""))</f>
        <v/>
      </c>
      <c r="F377" s="79" t="str">
        <f t="shared" si="27"/>
        <v/>
      </c>
      <c r="G377" s="395"/>
      <c r="H377" s="91">
        <f t="shared" si="28"/>
        <v>0</v>
      </c>
      <c r="I377" s="91" t="str">
        <f t="shared" si="29"/>
        <v/>
      </c>
      <c r="J377" s="91" t="str">
        <f t="shared" si="30"/>
        <v/>
      </c>
      <c r="K377" s="92" t="str">
        <f>IF(AND(A377="",B377="",D377="",G377=""),"",IF(AND(A377&lt;&gt;"",COUNTIF($A$2:$A$5001,A377)&gt;1),"NUMERO_PC duplicado",IF(B377="","DATA_PC vazia",IF(NOT(ISNUMBER(B377)),"DATA_PC invalida",IF(OR(C377="",C377="Fora dos ciclos"),"CICLO_PC nao identificado",IF(OR(D377="",D377=0),"VALOR_PC vazio ou zero",IF(AND(G377&lt;&gt;"Sim",G377&lt;&gt;"Nao",G377&lt;&gt;""),"PC_PAGO_A_CONTRATADA invalido",IF(AND(C377&lt;&gt;"C0",IFERROR(INDEX(parametros!$A$2:$A$6,MATCH(C377,parametros!$B$2:$B$6,0)),"")="Sim",IFERROR(INDEX(parametros!$H$2:$H$6,MATCH(C377,parametros!$B$2:$B$6,0)),"")=""),"INICIO_EFEITO ausente: PC "&amp;A377&amp;" - "&amp;C377,IF(L377="","EFEITO_PC nao calculado: PC "&amp;A377&amp;" - "&amp;C377,"OK")))))))))</f>
        <v/>
      </c>
      <c r="L377" s="92" t="str">
        <f>IF(AND(A377="",B377="",D377="",G377=""),"",IF(OR(B377="",NOT(ISNUMBER(B377)),C377="",C377="Fora dos ciclos"),"",IF(C377="C0","Nao",IF(IFERROR(INDEX(parametros!$A$2:$A$6,MATCH(C377,parametros!$B$2:$B$6,0)),"")&lt;&gt;"Sim","Nao",IF(IFERROR(INDEX(parametros!$H$2:$H$6,MATCH(C377,parametros!$B$2:$B$6,0)),"")="","",IF(B377&gt;=IFERROR(INDEX(parametros!$H$2:$H$6,MATCH(C377,parametros!$B$2:$B$6,0)),""),"Sim","Nao"))))))</f>
        <v/>
      </c>
      <c r="T377" s="156"/>
      <c r="U377" s="214" t="str">
        <f t="shared" si="31"/>
        <v/>
      </c>
      <c r="V377" s="212" t="s">
        <v>50</v>
      </c>
      <c r="W377" s="100" t="s">
        <v>168</v>
      </c>
      <c r="X377" s="100" t="s">
        <v>169</v>
      </c>
      <c r="Y377" s="101" t="s">
        <v>170</v>
      </c>
      <c r="Z377" s="101" t="s">
        <v>171</v>
      </c>
      <c r="AA377" s="101" t="s">
        <v>50</v>
      </c>
      <c r="AB377" s="101" t="s">
        <v>172</v>
      </c>
      <c r="AC377" s="102" t="s">
        <v>173</v>
      </c>
    </row>
    <row r="378" spans="1:29" ht="25.5" customHeight="1" x14ac:dyDescent="0.35">
      <c r="A378" s="392"/>
      <c r="B378" s="393"/>
      <c r="C378" s="99" t="str">
        <f>IF(B378="","",IF(NOT(ISNUMBER(B378)),"DATA_PC invalida",IF(NOT(ISNUMBER(parametros!$C$2)),"Fora dos ciclos",IF(OR(B378&lt;parametros!$C$2,(YEAR(B378)-YEAR(parametros!$C$2))*12+MONTH(B378)-MONTH(parametros!$C$2)&gt;59),"Fora dos ciclos","C"&amp;INT(((YEAR(B378)-YEAR(parametros!$C$2))*12+MONTH(B378)-MONTH(parametros!$C$2))/12)))))</f>
        <v/>
      </c>
      <c r="D378" s="394"/>
      <c r="E378" s="78" t="str">
        <f>IF(C378="","",IFERROR(VLOOKUP(C378,parametros!$A$11:$E$15,5,0),""))</f>
        <v/>
      </c>
      <c r="F378" s="79" t="str">
        <f t="shared" si="27"/>
        <v/>
      </c>
      <c r="G378" s="395"/>
      <c r="H378" s="91">
        <f t="shared" si="28"/>
        <v>0</v>
      </c>
      <c r="I378" s="91" t="str">
        <f t="shared" si="29"/>
        <v/>
      </c>
      <c r="J378" s="91" t="str">
        <f t="shared" si="30"/>
        <v/>
      </c>
      <c r="K378" s="92" t="str">
        <f>IF(AND(A378="",B378="",D378="",G378=""),"",IF(AND(A378&lt;&gt;"",COUNTIF($A$2:$A$5001,A378)&gt;1),"NUMERO_PC duplicado",IF(B378="","DATA_PC vazia",IF(NOT(ISNUMBER(B378)),"DATA_PC invalida",IF(OR(C378="",C378="Fora dos ciclos"),"CICLO_PC nao identificado",IF(OR(D378="",D378=0),"VALOR_PC vazio ou zero",IF(AND(G378&lt;&gt;"Sim",G378&lt;&gt;"Nao",G378&lt;&gt;""),"PC_PAGO_A_CONTRATADA invalido",IF(AND(C378&lt;&gt;"C0",IFERROR(INDEX(parametros!$A$2:$A$6,MATCH(C378,parametros!$B$2:$B$6,0)),"")="Sim",IFERROR(INDEX(parametros!$H$2:$H$6,MATCH(C378,parametros!$B$2:$B$6,0)),"")=""),"INICIO_EFEITO ausente: PC "&amp;A378&amp;" - "&amp;C378,IF(L378="","EFEITO_PC nao calculado: PC "&amp;A378&amp;" - "&amp;C378,"OK")))))))))</f>
        <v/>
      </c>
      <c r="L378" s="92" t="str">
        <f>IF(AND(A378="",B378="",D378="",G378=""),"",IF(OR(B378="",NOT(ISNUMBER(B378)),C378="",C378="Fora dos ciclos"),"",IF(C378="C0","Nao",IF(IFERROR(INDEX(parametros!$A$2:$A$6,MATCH(C378,parametros!$B$2:$B$6,0)),"")&lt;&gt;"Sim","Nao",IF(IFERROR(INDEX(parametros!$H$2:$H$6,MATCH(C378,parametros!$B$2:$B$6,0)),"")="","",IF(B378&gt;=IFERROR(INDEX(parametros!$H$2:$H$6,MATCH(C378,parametros!$B$2:$B$6,0)),""),"Sim","Nao"))))))</f>
        <v/>
      </c>
      <c r="T378" s="156"/>
      <c r="U378" s="214" t="str">
        <f t="shared" si="31"/>
        <v/>
      </c>
      <c r="V378" s="212" t="s">
        <v>50</v>
      </c>
      <c r="W378" s="100" t="s">
        <v>168</v>
      </c>
      <c r="X378" s="100" t="s">
        <v>169</v>
      </c>
      <c r="Y378" s="101" t="s">
        <v>170</v>
      </c>
      <c r="Z378" s="101" t="s">
        <v>171</v>
      </c>
      <c r="AA378" s="101" t="s">
        <v>50</v>
      </c>
      <c r="AB378" s="101" t="s">
        <v>172</v>
      </c>
      <c r="AC378" s="102" t="s">
        <v>173</v>
      </c>
    </row>
    <row r="379" spans="1:29" ht="25.5" customHeight="1" x14ac:dyDescent="0.35">
      <c r="A379" s="392"/>
      <c r="B379" s="393"/>
      <c r="C379" s="99" t="str">
        <f>IF(B379="","",IF(NOT(ISNUMBER(B379)),"DATA_PC invalida",IF(NOT(ISNUMBER(parametros!$C$2)),"Fora dos ciclos",IF(OR(B379&lt;parametros!$C$2,(YEAR(B379)-YEAR(parametros!$C$2))*12+MONTH(B379)-MONTH(parametros!$C$2)&gt;59),"Fora dos ciclos","C"&amp;INT(((YEAR(B379)-YEAR(parametros!$C$2))*12+MONTH(B379)-MONTH(parametros!$C$2))/12)))))</f>
        <v/>
      </c>
      <c r="D379" s="394"/>
      <c r="E379" s="78" t="str">
        <f>IF(C379="","",IFERROR(VLOOKUP(C379,parametros!$A$11:$E$15,5,0),""))</f>
        <v/>
      </c>
      <c r="F379" s="79" t="str">
        <f t="shared" si="27"/>
        <v/>
      </c>
      <c r="G379" s="395"/>
      <c r="H379" s="91">
        <f t="shared" si="28"/>
        <v>0</v>
      </c>
      <c r="I379" s="91" t="str">
        <f t="shared" si="29"/>
        <v/>
      </c>
      <c r="J379" s="91" t="str">
        <f t="shared" si="30"/>
        <v/>
      </c>
      <c r="K379" s="92" t="str">
        <f>IF(AND(A379="",B379="",D379="",G379=""),"",IF(AND(A379&lt;&gt;"",COUNTIF($A$2:$A$5001,A379)&gt;1),"NUMERO_PC duplicado",IF(B379="","DATA_PC vazia",IF(NOT(ISNUMBER(B379)),"DATA_PC invalida",IF(OR(C379="",C379="Fora dos ciclos"),"CICLO_PC nao identificado",IF(OR(D379="",D379=0),"VALOR_PC vazio ou zero",IF(AND(G379&lt;&gt;"Sim",G379&lt;&gt;"Nao",G379&lt;&gt;""),"PC_PAGO_A_CONTRATADA invalido",IF(AND(C379&lt;&gt;"C0",IFERROR(INDEX(parametros!$A$2:$A$6,MATCH(C379,parametros!$B$2:$B$6,0)),"")="Sim",IFERROR(INDEX(parametros!$H$2:$H$6,MATCH(C379,parametros!$B$2:$B$6,0)),"")=""),"INICIO_EFEITO ausente: PC "&amp;A379&amp;" - "&amp;C379,IF(L379="","EFEITO_PC nao calculado: PC "&amp;A379&amp;" - "&amp;C379,"OK")))))))))</f>
        <v/>
      </c>
      <c r="L379" s="92" t="str">
        <f>IF(AND(A379="",B379="",D379="",G379=""),"",IF(OR(B379="",NOT(ISNUMBER(B379)),C379="",C379="Fora dos ciclos"),"",IF(C379="C0","Nao",IF(IFERROR(INDEX(parametros!$A$2:$A$6,MATCH(C379,parametros!$B$2:$B$6,0)),"")&lt;&gt;"Sim","Nao",IF(IFERROR(INDEX(parametros!$H$2:$H$6,MATCH(C379,parametros!$B$2:$B$6,0)),"")="","",IF(B379&gt;=IFERROR(INDEX(parametros!$H$2:$H$6,MATCH(C379,parametros!$B$2:$B$6,0)),""),"Sim","Nao"))))))</f>
        <v/>
      </c>
      <c r="T379" s="156"/>
      <c r="U379" s="214" t="str">
        <f t="shared" si="31"/>
        <v/>
      </c>
      <c r="V379" s="212" t="s">
        <v>50</v>
      </c>
      <c r="W379" s="100" t="s">
        <v>168</v>
      </c>
      <c r="X379" s="100" t="s">
        <v>169</v>
      </c>
      <c r="Y379" s="101" t="s">
        <v>170</v>
      </c>
      <c r="Z379" s="101" t="s">
        <v>171</v>
      </c>
      <c r="AA379" s="101" t="s">
        <v>50</v>
      </c>
      <c r="AB379" s="101" t="s">
        <v>172</v>
      </c>
      <c r="AC379" s="102" t="s">
        <v>173</v>
      </c>
    </row>
    <row r="380" spans="1:29" ht="25.5" customHeight="1" x14ac:dyDescent="0.35">
      <c r="A380" s="392"/>
      <c r="B380" s="393"/>
      <c r="C380" s="99" t="str">
        <f>IF(B380="","",IF(NOT(ISNUMBER(B380)),"DATA_PC invalida",IF(NOT(ISNUMBER(parametros!$C$2)),"Fora dos ciclos",IF(OR(B380&lt;parametros!$C$2,(YEAR(B380)-YEAR(parametros!$C$2))*12+MONTH(B380)-MONTH(parametros!$C$2)&gt;59),"Fora dos ciclos","C"&amp;INT(((YEAR(B380)-YEAR(parametros!$C$2))*12+MONTH(B380)-MONTH(parametros!$C$2))/12)))))</f>
        <v/>
      </c>
      <c r="D380" s="394"/>
      <c r="E380" s="78" t="str">
        <f>IF(C380="","",IFERROR(VLOOKUP(C380,parametros!$A$11:$E$15,5,0),""))</f>
        <v/>
      </c>
      <c r="F380" s="79" t="str">
        <f t="shared" si="27"/>
        <v/>
      </c>
      <c r="G380" s="395"/>
      <c r="H380" s="91">
        <f t="shared" si="28"/>
        <v>0</v>
      </c>
      <c r="I380" s="91" t="str">
        <f t="shared" si="29"/>
        <v/>
      </c>
      <c r="J380" s="91" t="str">
        <f t="shared" si="30"/>
        <v/>
      </c>
      <c r="K380" s="92" t="str">
        <f>IF(AND(A380="",B380="",D380="",G380=""),"",IF(AND(A380&lt;&gt;"",COUNTIF($A$2:$A$5001,A380)&gt;1),"NUMERO_PC duplicado",IF(B380="","DATA_PC vazia",IF(NOT(ISNUMBER(B380)),"DATA_PC invalida",IF(OR(C380="",C380="Fora dos ciclos"),"CICLO_PC nao identificado",IF(OR(D380="",D380=0),"VALOR_PC vazio ou zero",IF(AND(G380&lt;&gt;"Sim",G380&lt;&gt;"Nao",G380&lt;&gt;""),"PC_PAGO_A_CONTRATADA invalido",IF(AND(C380&lt;&gt;"C0",IFERROR(INDEX(parametros!$A$2:$A$6,MATCH(C380,parametros!$B$2:$B$6,0)),"")="Sim",IFERROR(INDEX(parametros!$H$2:$H$6,MATCH(C380,parametros!$B$2:$B$6,0)),"")=""),"INICIO_EFEITO ausente: PC "&amp;A380&amp;" - "&amp;C380,IF(L380="","EFEITO_PC nao calculado: PC "&amp;A380&amp;" - "&amp;C380,"OK")))))))))</f>
        <v/>
      </c>
      <c r="L380" s="92" t="str">
        <f>IF(AND(A380="",B380="",D380="",G380=""),"",IF(OR(B380="",NOT(ISNUMBER(B380)),C380="",C380="Fora dos ciclos"),"",IF(C380="C0","Nao",IF(IFERROR(INDEX(parametros!$A$2:$A$6,MATCH(C380,parametros!$B$2:$B$6,0)),"")&lt;&gt;"Sim","Nao",IF(IFERROR(INDEX(parametros!$H$2:$H$6,MATCH(C380,parametros!$B$2:$B$6,0)),"")="","",IF(B380&gt;=IFERROR(INDEX(parametros!$H$2:$H$6,MATCH(C380,parametros!$B$2:$B$6,0)),""),"Sim","Nao"))))))</f>
        <v/>
      </c>
      <c r="T380" s="156"/>
      <c r="U380" s="214" t="str">
        <f t="shared" si="31"/>
        <v/>
      </c>
      <c r="V380" s="212" t="s">
        <v>50</v>
      </c>
      <c r="W380" s="100" t="s">
        <v>168</v>
      </c>
      <c r="X380" s="100" t="s">
        <v>169</v>
      </c>
      <c r="Y380" s="101" t="s">
        <v>170</v>
      </c>
      <c r="Z380" s="101" t="s">
        <v>171</v>
      </c>
      <c r="AA380" s="101" t="s">
        <v>50</v>
      </c>
      <c r="AB380" s="101" t="s">
        <v>172</v>
      </c>
      <c r="AC380" s="102" t="s">
        <v>173</v>
      </c>
    </row>
    <row r="381" spans="1:29" ht="25.5" customHeight="1" x14ac:dyDescent="0.35">
      <c r="A381" s="392"/>
      <c r="B381" s="393"/>
      <c r="C381" s="99" t="str">
        <f>IF(B381="","",IF(NOT(ISNUMBER(B381)),"DATA_PC invalida",IF(NOT(ISNUMBER(parametros!$C$2)),"Fora dos ciclos",IF(OR(B381&lt;parametros!$C$2,(YEAR(B381)-YEAR(parametros!$C$2))*12+MONTH(B381)-MONTH(parametros!$C$2)&gt;59),"Fora dos ciclos","C"&amp;INT(((YEAR(B381)-YEAR(parametros!$C$2))*12+MONTH(B381)-MONTH(parametros!$C$2))/12)))))</f>
        <v/>
      </c>
      <c r="D381" s="394"/>
      <c r="E381" s="78" t="str">
        <f>IF(C381="","",IFERROR(VLOOKUP(C381,parametros!$A$11:$E$15,5,0),""))</f>
        <v/>
      </c>
      <c r="F381" s="79" t="str">
        <f t="shared" si="27"/>
        <v/>
      </c>
      <c r="G381" s="395"/>
      <c r="H381" s="91">
        <f t="shared" si="28"/>
        <v>0</v>
      </c>
      <c r="I381" s="91" t="str">
        <f t="shared" si="29"/>
        <v/>
      </c>
      <c r="J381" s="91" t="str">
        <f t="shared" si="30"/>
        <v/>
      </c>
      <c r="K381" s="92" t="str">
        <f>IF(AND(A381="",B381="",D381="",G381=""),"",IF(AND(A381&lt;&gt;"",COUNTIF($A$2:$A$5001,A381)&gt;1),"NUMERO_PC duplicado",IF(B381="","DATA_PC vazia",IF(NOT(ISNUMBER(B381)),"DATA_PC invalida",IF(OR(C381="",C381="Fora dos ciclos"),"CICLO_PC nao identificado",IF(OR(D381="",D381=0),"VALOR_PC vazio ou zero",IF(AND(G381&lt;&gt;"Sim",G381&lt;&gt;"Nao",G381&lt;&gt;""),"PC_PAGO_A_CONTRATADA invalido",IF(AND(C381&lt;&gt;"C0",IFERROR(INDEX(parametros!$A$2:$A$6,MATCH(C381,parametros!$B$2:$B$6,0)),"")="Sim",IFERROR(INDEX(parametros!$H$2:$H$6,MATCH(C381,parametros!$B$2:$B$6,0)),"")=""),"INICIO_EFEITO ausente: PC "&amp;A381&amp;" - "&amp;C381,IF(L381="","EFEITO_PC nao calculado: PC "&amp;A381&amp;" - "&amp;C381,"OK")))))))))</f>
        <v/>
      </c>
      <c r="L381" s="92" t="str">
        <f>IF(AND(A381="",B381="",D381="",G381=""),"",IF(OR(B381="",NOT(ISNUMBER(B381)),C381="",C381="Fora dos ciclos"),"",IF(C381="C0","Nao",IF(IFERROR(INDEX(parametros!$A$2:$A$6,MATCH(C381,parametros!$B$2:$B$6,0)),"")&lt;&gt;"Sim","Nao",IF(IFERROR(INDEX(parametros!$H$2:$H$6,MATCH(C381,parametros!$B$2:$B$6,0)),"")="","",IF(B381&gt;=IFERROR(INDEX(parametros!$H$2:$H$6,MATCH(C381,parametros!$B$2:$B$6,0)),""),"Sim","Nao"))))))</f>
        <v/>
      </c>
      <c r="T381" s="156"/>
      <c r="U381" s="214" t="str">
        <f t="shared" si="31"/>
        <v/>
      </c>
      <c r="V381" s="212" t="s">
        <v>50</v>
      </c>
      <c r="W381" s="100" t="s">
        <v>168</v>
      </c>
      <c r="X381" s="100" t="s">
        <v>169</v>
      </c>
      <c r="Y381" s="101" t="s">
        <v>170</v>
      </c>
      <c r="Z381" s="101" t="s">
        <v>171</v>
      </c>
      <c r="AA381" s="101" t="s">
        <v>50</v>
      </c>
      <c r="AB381" s="101" t="s">
        <v>172</v>
      </c>
      <c r="AC381" s="102" t="s">
        <v>173</v>
      </c>
    </row>
    <row r="382" spans="1:29" ht="25.5" customHeight="1" x14ac:dyDescent="0.35">
      <c r="A382" s="392"/>
      <c r="B382" s="393"/>
      <c r="C382" s="99" t="str">
        <f>IF(B382="","",IF(NOT(ISNUMBER(B382)),"DATA_PC invalida",IF(NOT(ISNUMBER(parametros!$C$2)),"Fora dos ciclos",IF(OR(B382&lt;parametros!$C$2,(YEAR(B382)-YEAR(parametros!$C$2))*12+MONTH(B382)-MONTH(parametros!$C$2)&gt;59),"Fora dos ciclos","C"&amp;INT(((YEAR(B382)-YEAR(parametros!$C$2))*12+MONTH(B382)-MONTH(parametros!$C$2))/12)))))</f>
        <v/>
      </c>
      <c r="D382" s="394"/>
      <c r="E382" s="78" t="str">
        <f>IF(C382="","",IFERROR(VLOOKUP(C382,parametros!$A$11:$E$15,5,0),""))</f>
        <v/>
      </c>
      <c r="F382" s="79" t="str">
        <f t="shared" si="27"/>
        <v/>
      </c>
      <c r="G382" s="395"/>
      <c r="H382" s="91">
        <f t="shared" si="28"/>
        <v>0</v>
      </c>
      <c r="I382" s="91" t="str">
        <f t="shared" si="29"/>
        <v/>
      </c>
      <c r="J382" s="91" t="str">
        <f t="shared" si="30"/>
        <v/>
      </c>
      <c r="K382" s="92" t="str">
        <f>IF(AND(A382="",B382="",D382="",G382=""),"",IF(AND(A382&lt;&gt;"",COUNTIF($A$2:$A$5001,A382)&gt;1),"NUMERO_PC duplicado",IF(B382="","DATA_PC vazia",IF(NOT(ISNUMBER(B382)),"DATA_PC invalida",IF(OR(C382="",C382="Fora dos ciclos"),"CICLO_PC nao identificado",IF(OR(D382="",D382=0),"VALOR_PC vazio ou zero",IF(AND(G382&lt;&gt;"Sim",G382&lt;&gt;"Nao",G382&lt;&gt;""),"PC_PAGO_A_CONTRATADA invalido",IF(AND(C382&lt;&gt;"C0",IFERROR(INDEX(parametros!$A$2:$A$6,MATCH(C382,parametros!$B$2:$B$6,0)),"")="Sim",IFERROR(INDEX(parametros!$H$2:$H$6,MATCH(C382,parametros!$B$2:$B$6,0)),"")=""),"INICIO_EFEITO ausente: PC "&amp;A382&amp;" - "&amp;C382,IF(L382="","EFEITO_PC nao calculado: PC "&amp;A382&amp;" - "&amp;C382,"OK")))))))))</f>
        <v/>
      </c>
      <c r="L382" s="92" t="str">
        <f>IF(AND(A382="",B382="",D382="",G382=""),"",IF(OR(B382="",NOT(ISNUMBER(B382)),C382="",C382="Fora dos ciclos"),"",IF(C382="C0","Nao",IF(IFERROR(INDEX(parametros!$A$2:$A$6,MATCH(C382,parametros!$B$2:$B$6,0)),"")&lt;&gt;"Sim","Nao",IF(IFERROR(INDEX(parametros!$H$2:$H$6,MATCH(C382,parametros!$B$2:$B$6,0)),"")="","",IF(B382&gt;=IFERROR(INDEX(parametros!$H$2:$H$6,MATCH(C382,parametros!$B$2:$B$6,0)),""),"Sim","Nao"))))))</f>
        <v/>
      </c>
      <c r="T382" s="156"/>
      <c r="U382" s="214" t="str">
        <f t="shared" si="31"/>
        <v/>
      </c>
      <c r="V382" s="212" t="s">
        <v>50</v>
      </c>
      <c r="W382" s="100" t="s">
        <v>168</v>
      </c>
      <c r="X382" s="100" t="s">
        <v>169</v>
      </c>
      <c r="Y382" s="101" t="s">
        <v>170</v>
      </c>
      <c r="Z382" s="101" t="s">
        <v>171</v>
      </c>
      <c r="AA382" s="101" t="s">
        <v>50</v>
      </c>
      <c r="AB382" s="101" t="s">
        <v>172</v>
      </c>
      <c r="AC382" s="102" t="s">
        <v>173</v>
      </c>
    </row>
    <row r="383" spans="1:29" ht="25.5" customHeight="1" x14ac:dyDescent="0.35">
      <c r="A383" s="392"/>
      <c r="B383" s="393"/>
      <c r="C383" s="99" t="str">
        <f>IF(B383="","",IF(NOT(ISNUMBER(B383)),"DATA_PC invalida",IF(NOT(ISNUMBER(parametros!$C$2)),"Fora dos ciclos",IF(OR(B383&lt;parametros!$C$2,(YEAR(B383)-YEAR(parametros!$C$2))*12+MONTH(B383)-MONTH(parametros!$C$2)&gt;59),"Fora dos ciclos","C"&amp;INT(((YEAR(B383)-YEAR(parametros!$C$2))*12+MONTH(B383)-MONTH(parametros!$C$2))/12)))))</f>
        <v/>
      </c>
      <c r="D383" s="394"/>
      <c r="E383" s="78" t="str">
        <f>IF(C383="","",IFERROR(VLOOKUP(C383,parametros!$A$11:$E$15,5,0),""))</f>
        <v/>
      </c>
      <c r="F383" s="79" t="str">
        <f t="shared" si="27"/>
        <v/>
      </c>
      <c r="G383" s="395"/>
      <c r="H383" s="91">
        <f t="shared" si="28"/>
        <v>0</v>
      </c>
      <c r="I383" s="91" t="str">
        <f t="shared" si="29"/>
        <v/>
      </c>
      <c r="J383" s="91" t="str">
        <f t="shared" si="30"/>
        <v/>
      </c>
      <c r="K383" s="92" t="str">
        <f>IF(AND(A383="",B383="",D383="",G383=""),"",IF(AND(A383&lt;&gt;"",COUNTIF($A$2:$A$5001,A383)&gt;1),"NUMERO_PC duplicado",IF(B383="","DATA_PC vazia",IF(NOT(ISNUMBER(B383)),"DATA_PC invalida",IF(OR(C383="",C383="Fora dos ciclos"),"CICLO_PC nao identificado",IF(OR(D383="",D383=0),"VALOR_PC vazio ou zero",IF(AND(G383&lt;&gt;"Sim",G383&lt;&gt;"Nao",G383&lt;&gt;""),"PC_PAGO_A_CONTRATADA invalido",IF(AND(C383&lt;&gt;"C0",IFERROR(INDEX(parametros!$A$2:$A$6,MATCH(C383,parametros!$B$2:$B$6,0)),"")="Sim",IFERROR(INDEX(parametros!$H$2:$H$6,MATCH(C383,parametros!$B$2:$B$6,0)),"")=""),"INICIO_EFEITO ausente: PC "&amp;A383&amp;" - "&amp;C383,IF(L383="","EFEITO_PC nao calculado: PC "&amp;A383&amp;" - "&amp;C383,"OK")))))))))</f>
        <v/>
      </c>
      <c r="L383" s="92" t="str">
        <f>IF(AND(A383="",B383="",D383="",G383=""),"",IF(OR(B383="",NOT(ISNUMBER(B383)),C383="",C383="Fora dos ciclos"),"",IF(C383="C0","Nao",IF(IFERROR(INDEX(parametros!$A$2:$A$6,MATCH(C383,parametros!$B$2:$B$6,0)),"")&lt;&gt;"Sim","Nao",IF(IFERROR(INDEX(parametros!$H$2:$H$6,MATCH(C383,parametros!$B$2:$B$6,0)),"")="","",IF(B383&gt;=IFERROR(INDEX(parametros!$H$2:$H$6,MATCH(C383,parametros!$B$2:$B$6,0)),""),"Sim","Nao"))))))</f>
        <v/>
      </c>
      <c r="T383" s="156"/>
      <c r="U383" s="214" t="str">
        <f t="shared" si="31"/>
        <v/>
      </c>
      <c r="V383" s="212" t="s">
        <v>50</v>
      </c>
      <c r="W383" s="100" t="s">
        <v>168</v>
      </c>
      <c r="X383" s="100" t="s">
        <v>169</v>
      </c>
      <c r="Y383" s="101" t="s">
        <v>170</v>
      </c>
      <c r="Z383" s="101" t="s">
        <v>171</v>
      </c>
      <c r="AA383" s="101" t="s">
        <v>50</v>
      </c>
      <c r="AB383" s="101" t="s">
        <v>172</v>
      </c>
      <c r="AC383" s="102" t="s">
        <v>173</v>
      </c>
    </row>
    <row r="384" spans="1:29" ht="25.5" customHeight="1" x14ac:dyDescent="0.35">
      <c r="A384" s="392"/>
      <c r="B384" s="393"/>
      <c r="C384" s="99" t="str">
        <f>IF(B384="","",IF(NOT(ISNUMBER(B384)),"DATA_PC invalida",IF(NOT(ISNUMBER(parametros!$C$2)),"Fora dos ciclos",IF(OR(B384&lt;parametros!$C$2,(YEAR(B384)-YEAR(parametros!$C$2))*12+MONTH(B384)-MONTH(parametros!$C$2)&gt;59),"Fora dos ciclos","C"&amp;INT(((YEAR(B384)-YEAR(parametros!$C$2))*12+MONTH(B384)-MONTH(parametros!$C$2))/12)))))</f>
        <v/>
      </c>
      <c r="D384" s="394"/>
      <c r="E384" s="78" t="str">
        <f>IF(C384="","",IFERROR(VLOOKUP(C384,parametros!$A$11:$E$15,5,0),""))</f>
        <v/>
      </c>
      <c r="F384" s="79" t="str">
        <f t="shared" si="27"/>
        <v/>
      </c>
      <c r="G384" s="395"/>
      <c r="H384" s="91">
        <f t="shared" si="28"/>
        <v>0</v>
      </c>
      <c r="I384" s="91" t="str">
        <f t="shared" si="29"/>
        <v/>
      </c>
      <c r="J384" s="91" t="str">
        <f t="shared" si="30"/>
        <v/>
      </c>
      <c r="K384" s="92" t="str">
        <f>IF(AND(A384="",B384="",D384="",G384=""),"",IF(AND(A384&lt;&gt;"",COUNTIF($A$2:$A$5001,A384)&gt;1),"NUMERO_PC duplicado",IF(B384="","DATA_PC vazia",IF(NOT(ISNUMBER(B384)),"DATA_PC invalida",IF(OR(C384="",C384="Fora dos ciclos"),"CICLO_PC nao identificado",IF(OR(D384="",D384=0),"VALOR_PC vazio ou zero",IF(AND(G384&lt;&gt;"Sim",G384&lt;&gt;"Nao",G384&lt;&gt;""),"PC_PAGO_A_CONTRATADA invalido",IF(AND(C384&lt;&gt;"C0",IFERROR(INDEX(parametros!$A$2:$A$6,MATCH(C384,parametros!$B$2:$B$6,0)),"")="Sim",IFERROR(INDEX(parametros!$H$2:$H$6,MATCH(C384,parametros!$B$2:$B$6,0)),"")=""),"INICIO_EFEITO ausente: PC "&amp;A384&amp;" - "&amp;C384,IF(L384="","EFEITO_PC nao calculado: PC "&amp;A384&amp;" - "&amp;C384,"OK")))))))))</f>
        <v/>
      </c>
      <c r="L384" s="92" t="str">
        <f>IF(AND(A384="",B384="",D384="",G384=""),"",IF(OR(B384="",NOT(ISNUMBER(B384)),C384="",C384="Fora dos ciclos"),"",IF(C384="C0","Nao",IF(IFERROR(INDEX(parametros!$A$2:$A$6,MATCH(C384,parametros!$B$2:$B$6,0)),"")&lt;&gt;"Sim","Nao",IF(IFERROR(INDEX(parametros!$H$2:$H$6,MATCH(C384,parametros!$B$2:$B$6,0)),"")="","",IF(B384&gt;=IFERROR(INDEX(parametros!$H$2:$H$6,MATCH(C384,parametros!$B$2:$B$6,0)),""),"Sim","Nao"))))))</f>
        <v/>
      </c>
      <c r="T384" s="156"/>
      <c r="U384" s="214" t="str">
        <f t="shared" si="31"/>
        <v/>
      </c>
      <c r="V384" s="212" t="s">
        <v>50</v>
      </c>
      <c r="W384" s="100" t="s">
        <v>168</v>
      </c>
      <c r="X384" s="100" t="s">
        <v>169</v>
      </c>
      <c r="Y384" s="101" t="s">
        <v>170</v>
      </c>
      <c r="Z384" s="101" t="s">
        <v>171</v>
      </c>
      <c r="AA384" s="101" t="s">
        <v>50</v>
      </c>
      <c r="AB384" s="101" t="s">
        <v>172</v>
      </c>
      <c r="AC384" s="102" t="s">
        <v>173</v>
      </c>
    </row>
    <row r="385" spans="1:29" ht="25.5" customHeight="1" x14ac:dyDescent="0.35">
      <c r="A385" s="392"/>
      <c r="B385" s="393"/>
      <c r="C385" s="99" t="str">
        <f>IF(B385="","",IF(NOT(ISNUMBER(B385)),"DATA_PC invalida",IF(NOT(ISNUMBER(parametros!$C$2)),"Fora dos ciclos",IF(OR(B385&lt;parametros!$C$2,(YEAR(B385)-YEAR(parametros!$C$2))*12+MONTH(B385)-MONTH(parametros!$C$2)&gt;59),"Fora dos ciclos","C"&amp;INT(((YEAR(B385)-YEAR(parametros!$C$2))*12+MONTH(B385)-MONTH(parametros!$C$2))/12)))))</f>
        <v/>
      </c>
      <c r="D385" s="394"/>
      <c r="E385" s="78" t="str">
        <f>IF(C385="","",IFERROR(VLOOKUP(C385,parametros!$A$11:$E$15,5,0),""))</f>
        <v/>
      </c>
      <c r="F385" s="79" t="str">
        <f t="shared" si="27"/>
        <v/>
      </c>
      <c r="G385" s="395"/>
      <c r="H385" s="91">
        <f t="shared" si="28"/>
        <v>0</v>
      </c>
      <c r="I385" s="91" t="str">
        <f t="shared" si="29"/>
        <v/>
      </c>
      <c r="J385" s="91" t="str">
        <f t="shared" si="30"/>
        <v/>
      </c>
      <c r="K385" s="92" t="str">
        <f>IF(AND(A385="",B385="",D385="",G385=""),"",IF(AND(A385&lt;&gt;"",COUNTIF($A$2:$A$5001,A385)&gt;1),"NUMERO_PC duplicado",IF(B385="","DATA_PC vazia",IF(NOT(ISNUMBER(B385)),"DATA_PC invalida",IF(OR(C385="",C385="Fora dos ciclos"),"CICLO_PC nao identificado",IF(OR(D385="",D385=0),"VALOR_PC vazio ou zero",IF(AND(G385&lt;&gt;"Sim",G385&lt;&gt;"Nao",G385&lt;&gt;""),"PC_PAGO_A_CONTRATADA invalido",IF(AND(C385&lt;&gt;"C0",IFERROR(INDEX(parametros!$A$2:$A$6,MATCH(C385,parametros!$B$2:$B$6,0)),"")="Sim",IFERROR(INDEX(parametros!$H$2:$H$6,MATCH(C385,parametros!$B$2:$B$6,0)),"")=""),"INICIO_EFEITO ausente: PC "&amp;A385&amp;" - "&amp;C385,IF(L385="","EFEITO_PC nao calculado: PC "&amp;A385&amp;" - "&amp;C385,"OK")))))))))</f>
        <v/>
      </c>
      <c r="L385" s="92" t="str">
        <f>IF(AND(A385="",B385="",D385="",G385=""),"",IF(OR(B385="",NOT(ISNUMBER(B385)),C385="",C385="Fora dos ciclos"),"",IF(C385="C0","Nao",IF(IFERROR(INDEX(parametros!$A$2:$A$6,MATCH(C385,parametros!$B$2:$B$6,0)),"")&lt;&gt;"Sim","Nao",IF(IFERROR(INDEX(parametros!$H$2:$H$6,MATCH(C385,parametros!$B$2:$B$6,0)),"")="","",IF(B385&gt;=IFERROR(INDEX(parametros!$H$2:$H$6,MATCH(C385,parametros!$B$2:$B$6,0)),""),"Sim","Nao"))))))</f>
        <v/>
      </c>
      <c r="T385" s="156"/>
      <c r="U385" s="214" t="str">
        <f t="shared" si="31"/>
        <v/>
      </c>
      <c r="V385" s="212" t="s">
        <v>50</v>
      </c>
      <c r="W385" s="100" t="s">
        <v>168</v>
      </c>
      <c r="X385" s="100" t="s">
        <v>169</v>
      </c>
      <c r="Y385" s="101" t="s">
        <v>170</v>
      </c>
      <c r="Z385" s="101" t="s">
        <v>171</v>
      </c>
      <c r="AA385" s="101" t="s">
        <v>50</v>
      </c>
      <c r="AB385" s="101" t="s">
        <v>172</v>
      </c>
      <c r="AC385" s="102" t="s">
        <v>173</v>
      </c>
    </row>
    <row r="386" spans="1:29" ht="25.5" customHeight="1" x14ac:dyDescent="0.35">
      <c r="A386" s="392"/>
      <c r="B386" s="393"/>
      <c r="C386" s="99" t="str">
        <f>IF(B386="","",IF(NOT(ISNUMBER(B386)),"DATA_PC invalida",IF(NOT(ISNUMBER(parametros!$C$2)),"Fora dos ciclos",IF(OR(B386&lt;parametros!$C$2,(YEAR(B386)-YEAR(parametros!$C$2))*12+MONTH(B386)-MONTH(parametros!$C$2)&gt;59),"Fora dos ciclos","C"&amp;INT(((YEAR(B386)-YEAR(parametros!$C$2))*12+MONTH(B386)-MONTH(parametros!$C$2))/12)))))</f>
        <v/>
      </c>
      <c r="D386" s="394"/>
      <c r="E386" s="78" t="str">
        <f>IF(C386="","",IFERROR(VLOOKUP(C386,parametros!$A$11:$E$15,5,0),""))</f>
        <v/>
      </c>
      <c r="F386" s="79" t="str">
        <f t="shared" ref="F386:F449" si="32">IF(OR(D386="",E386=""),"",ROUND(D386*E386,2))</f>
        <v/>
      </c>
      <c r="G386" s="395"/>
      <c r="H386" s="91">
        <f t="shared" ref="H386:H449" si="33">IF(G386="Sim",IF(OR(F386="",D386="",L386=""),"",IF(L386="Sim",ROUND(F386-D386,2),0)),0)</f>
        <v>0</v>
      </c>
      <c r="I386" s="91" t="str">
        <f t="shared" ref="I386:I449" si="34">IF(G386="Sim",0,IF(OR(F386="",L386=""),"",F386))</f>
        <v/>
      </c>
      <c r="J386" s="91" t="str">
        <f t="shared" ref="J386:J449" si="35">IF(G386="Sim",0,IF(OR(F386="",D386="",L386=""),"",IF(L386="Sim",ROUND(F386-D386,2),0)))</f>
        <v/>
      </c>
      <c r="K386" s="92" t="str">
        <f>IF(AND(A386="",B386="",D386="",G386=""),"",IF(AND(A386&lt;&gt;"",COUNTIF($A$2:$A$5001,A386)&gt;1),"NUMERO_PC duplicado",IF(B386="","DATA_PC vazia",IF(NOT(ISNUMBER(B386)),"DATA_PC invalida",IF(OR(C386="",C386="Fora dos ciclos"),"CICLO_PC nao identificado",IF(OR(D386="",D386=0),"VALOR_PC vazio ou zero",IF(AND(G386&lt;&gt;"Sim",G386&lt;&gt;"Nao",G386&lt;&gt;""),"PC_PAGO_A_CONTRATADA invalido",IF(AND(C386&lt;&gt;"C0",IFERROR(INDEX(parametros!$A$2:$A$6,MATCH(C386,parametros!$B$2:$B$6,0)),"")="Sim",IFERROR(INDEX(parametros!$H$2:$H$6,MATCH(C386,parametros!$B$2:$B$6,0)),"")=""),"INICIO_EFEITO ausente: PC "&amp;A386&amp;" - "&amp;C386,IF(L386="","EFEITO_PC nao calculado: PC "&amp;A386&amp;" - "&amp;C386,"OK")))))))))</f>
        <v/>
      </c>
      <c r="L386" s="92" t="str">
        <f>IF(AND(A386="",B386="",D386="",G386=""),"",IF(OR(B386="",NOT(ISNUMBER(B386)),C386="",C386="Fora dos ciclos"),"",IF(C386="C0","Nao",IF(IFERROR(INDEX(parametros!$A$2:$A$6,MATCH(C386,parametros!$B$2:$B$6,0)),"")&lt;&gt;"Sim","Nao",IF(IFERROR(INDEX(parametros!$H$2:$H$6,MATCH(C386,parametros!$B$2:$B$6,0)),"")="","",IF(B386&gt;=IFERROR(INDEX(parametros!$H$2:$H$6,MATCH(C386,parametros!$B$2:$B$6,0)),""),"Sim","Nao"))))))</f>
        <v/>
      </c>
      <c r="T386" s="156"/>
      <c r="U386" s="214" t="str">
        <f t="shared" ref="U386:U449" si="36">IF(OR($D386="",$H386=""),"",ROUND($D386+$H386,2))</f>
        <v/>
      </c>
      <c r="V386" s="212" t="s">
        <v>50</v>
      </c>
      <c r="W386" s="100" t="s">
        <v>168</v>
      </c>
      <c r="X386" s="100" t="s">
        <v>169</v>
      </c>
      <c r="Y386" s="101" t="s">
        <v>170</v>
      </c>
      <c r="Z386" s="101" t="s">
        <v>171</v>
      </c>
      <c r="AA386" s="101" t="s">
        <v>50</v>
      </c>
      <c r="AB386" s="101" t="s">
        <v>172</v>
      </c>
      <c r="AC386" s="102" t="s">
        <v>173</v>
      </c>
    </row>
    <row r="387" spans="1:29" ht="25.5" customHeight="1" x14ac:dyDescent="0.35">
      <c r="A387" s="392"/>
      <c r="B387" s="393"/>
      <c r="C387" s="99" t="str">
        <f>IF(B387="","",IF(NOT(ISNUMBER(B387)),"DATA_PC invalida",IF(NOT(ISNUMBER(parametros!$C$2)),"Fora dos ciclos",IF(OR(B387&lt;parametros!$C$2,(YEAR(B387)-YEAR(parametros!$C$2))*12+MONTH(B387)-MONTH(parametros!$C$2)&gt;59),"Fora dos ciclos","C"&amp;INT(((YEAR(B387)-YEAR(parametros!$C$2))*12+MONTH(B387)-MONTH(parametros!$C$2))/12)))))</f>
        <v/>
      </c>
      <c r="D387" s="394"/>
      <c r="E387" s="78" t="str">
        <f>IF(C387="","",IFERROR(VLOOKUP(C387,parametros!$A$11:$E$15,5,0),""))</f>
        <v/>
      </c>
      <c r="F387" s="79" t="str">
        <f t="shared" si="32"/>
        <v/>
      </c>
      <c r="G387" s="395"/>
      <c r="H387" s="91">
        <f t="shared" si="33"/>
        <v>0</v>
      </c>
      <c r="I387" s="91" t="str">
        <f t="shared" si="34"/>
        <v/>
      </c>
      <c r="J387" s="91" t="str">
        <f t="shared" si="35"/>
        <v/>
      </c>
      <c r="K387" s="92" t="str">
        <f>IF(AND(A387="",B387="",D387="",G387=""),"",IF(AND(A387&lt;&gt;"",COUNTIF($A$2:$A$5001,A387)&gt;1),"NUMERO_PC duplicado",IF(B387="","DATA_PC vazia",IF(NOT(ISNUMBER(B387)),"DATA_PC invalida",IF(OR(C387="",C387="Fora dos ciclos"),"CICLO_PC nao identificado",IF(OR(D387="",D387=0),"VALOR_PC vazio ou zero",IF(AND(G387&lt;&gt;"Sim",G387&lt;&gt;"Nao",G387&lt;&gt;""),"PC_PAGO_A_CONTRATADA invalido",IF(AND(C387&lt;&gt;"C0",IFERROR(INDEX(parametros!$A$2:$A$6,MATCH(C387,parametros!$B$2:$B$6,0)),"")="Sim",IFERROR(INDEX(parametros!$H$2:$H$6,MATCH(C387,parametros!$B$2:$B$6,0)),"")=""),"INICIO_EFEITO ausente: PC "&amp;A387&amp;" - "&amp;C387,IF(L387="","EFEITO_PC nao calculado: PC "&amp;A387&amp;" - "&amp;C387,"OK")))))))))</f>
        <v/>
      </c>
      <c r="L387" s="92" t="str">
        <f>IF(AND(A387="",B387="",D387="",G387=""),"",IF(OR(B387="",NOT(ISNUMBER(B387)),C387="",C387="Fora dos ciclos"),"",IF(C387="C0","Nao",IF(IFERROR(INDEX(parametros!$A$2:$A$6,MATCH(C387,parametros!$B$2:$B$6,0)),"")&lt;&gt;"Sim","Nao",IF(IFERROR(INDEX(parametros!$H$2:$H$6,MATCH(C387,parametros!$B$2:$B$6,0)),"")="","",IF(B387&gt;=IFERROR(INDEX(parametros!$H$2:$H$6,MATCH(C387,parametros!$B$2:$B$6,0)),""),"Sim","Nao"))))))</f>
        <v/>
      </c>
      <c r="T387" s="156"/>
      <c r="U387" s="214" t="str">
        <f t="shared" si="36"/>
        <v/>
      </c>
      <c r="V387" s="212" t="s">
        <v>50</v>
      </c>
      <c r="W387" s="100" t="s">
        <v>168</v>
      </c>
      <c r="X387" s="100" t="s">
        <v>169</v>
      </c>
      <c r="Y387" s="101" t="s">
        <v>170</v>
      </c>
      <c r="Z387" s="101" t="s">
        <v>171</v>
      </c>
      <c r="AA387" s="101" t="s">
        <v>50</v>
      </c>
      <c r="AB387" s="101" t="s">
        <v>172</v>
      </c>
      <c r="AC387" s="102" t="s">
        <v>173</v>
      </c>
    </row>
    <row r="388" spans="1:29" ht="25.5" customHeight="1" x14ac:dyDescent="0.35">
      <c r="A388" s="392"/>
      <c r="B388" s="393"/>
      <c r="C388" s="99" t="str">
        <f>IF(B388="","",IF(NOT(ISNUMBER(B388)),"DATA_PC invalida",IF(NOT(ISNUMBER(parametros!$C$2)),"Fora dos ciclos",IF(OR(B388&lt;parametros!$C$2,(YEAR(B388)-YEAR(parametros!$C$2))*12+MONTH(B388)-MONTH(parametros!$C$2)&gt;59),"Fora dos ciclos","C"&amp;INT(((YEAR(B388)-YEAR(parametros!$C$2))*12+MONTH(B388)-MONTH(parametros!$C$2))/12)))))</f>
        <v/>
      </c>
      <c r="D388" s="394"/>
      <c r="E388" s="78" t="str">
        <f>IF(C388="","",IFERROR(VLOOKUP(C388,parametros!$A$11:$E$15,5,0),""))</f>
        <v/>
      </c>
      <c r="F388" s="79" t="str">
        <f t="shared" si="32"/>
        <v/>
      </c>
      <c r="G388" s="395"/>
      <c r="H388" s="91">
        <f t="shared" si="33"/>
        <v>0</v>
      </c>
      <c r="I388" s="91" t="str">
        <f t="shared" si="34"/>
        <v/>
      </c>
      <c r="J388" s="91" t="str">
        <f t="shared" si="35"/>
        <v/>
      </c>
      <c r="K388" s="92" t="str">
        <f>IF(AND(A388="",B388="",D388="",G388=""),"",IF(AND(A388&lt;&gt;"",COUNTIF($A$2:$A$5001,A388)&gt;1),"NUMERO_PC duplicado",IF(B388="","DATA_PC vazia",IF(NOT(ISNUMBER(B388)),"DATA_PC invalida",IF(OR(C388="",C388="Fora dos ciclos"),"CICLO_PC nao identificado",IF(OR(D388="",D388=0),"VALOR_PC vazio ou zero",IF(AND(G388&lt;&gt;"Sim",G388&lt;&gt;"Nao",G388&lt;&gt;""),"PC_PAGO_A_CONTRATADA invalido",IF(AND(C388&lt;&gt;"C0",IFERROR(INDEX(parametros!$A$2:$A$6,MATCH(C388,parametros!$B$2:$B$6,0)),"")="Sim",IFERROR(INDEX(parametros!$H$2:$H$6,MATCH(C388,parametros!$B$2:$B$6,0)),"")=""),"INICIO_EFEITO ausente: PC "&amp;A388&amp;" - "&amp;C388,IF(L388="","EFEITO_PC nao calculado: PC "&amp;A388&amp;" - "&amp;C388,"OK")))))))))</f>
        <v/>
      </c>
      <c r="L388" s="92" t="str">
        <f>IF(AND(A388="",B388="",D388="",G388=""),"",IF(OR(B388="",NOT(ISNUMBER(B388)),C388="",C388="Fora dos ciclos"),"",IF(C388="C0","Nao",IF(IFERROR(INDEX(parametros!$A$2:$A$6,MATCH(C388,parametros!$B$2:$B$6,0)),"")&lt;&gt;"Sim","Nao",IF(IFERROR(INDEX(parametros!$H$2:$H$6,MATCH(C388,parametros!$B$2:$B$6,0)),"")="","",IF(B388&gt;=IFERROR(INDEX(parametros!$H$2:$H$6,MATCH(C388,parametros!$B$2:$B$6,0)),""),"Sim","Nao"))))))</f>
        <v/>
      </c>
      <c r="T388" s="156"/>
      <c r="U388" s="214" t="str">
        <f t="shared" si="36"/>
        <v/>
      </c>
      <c r="V388" s="212" t="s">
        <v>50</v>
      </c>
      <c r="W388" s="100" t="s">
        <v>168</v>
      </c>
      <c r="X388" s="100" t="s">
        <v>169</v>
      </c>
      <c r="Y388" s="101" t="s">
        <v>170</v>
      </c>
      <c r="Z388" s="101" t="s">
        <v>171</v>
      </c>
      <c r="AA388" s="101" t="s">
        <v>50</v>
      </c>
      <c r="AB388" s="101" t="s">
        <v>172</v>
      </c>
      <c r="AC388" s="102" t="s">
        <v>173</v>
      </c>
    </row>
    <row r="389" spans="1:29" ht="25.5" customHeight="1" x14ac:dyDescent="0.35">
      <c r="A389" s="392"/>
      <c r="B389" s="393"/>
      <c r="C389" s="99" t="str">
        <f>IF(B389="","",IF(NOT(ISNUMBER(B389)),"DATA_PC invalida",IF(NOT(ISNUMBER(parametros!$C$2)),"Fora dos ciclos",IF(OR(B389&lt;parametros!$C$2,(YEAR(B389)-YEAR(parametros!$C$2))*12+MONTH(B389)-MONTH(parametros!$C$2)&gt;59),"Fora dos ciclos","C"&amp;INT(((YEAR(B389)-YEAR(parametros!$C$2))*12+MONTH(B389)-MONTH(parametros!$C$2))/12)))))</f>
        <v/>
      </c>
      <c r="D389" s="394"/>
      <c r="E389" s="78" t="str">
        <f>IF(C389="","",IFERROR(VLOOKUP(C389,parametros!$A$11:$E$15,5,0),""))</f>
        <v/>
      </c>
      <c r="F389" s="79" t="str">
        <f t="shared" si="32"/>
        <v/>
      </c>
      <c r="G389" s="395"/>
      <c r="H389" s="91">
        <f t="shared" si="33"/>
        <v>0</v>
      </c>
      <c r="I389" s="91" t="str">
        <f t="shared" si="34"/>
        <v/>
      </c>
      <c r="J389" s="91" t="str">
        <f t="shared" si="35"/>
        <v/>
      </c>
      <c r="K389" s="92" t="str">
        <f>IF(AND(A389="",B389="",D389="",G389=""),"",IF(AND(A389&lt;&gt;"",COUNTIF($A$2:$A$5001,A389)&gt;1),"NUMERO_PC duplicado",IF(B389="","DATA_PC vazia",IF(NOT(ISNUMBER(B389)),"DATA_PC invalida",IF(OR(C389="",C389="Fora dos ciclos"),"CICLO_PC nao identificado",IF(OR(D389="",D389=0),"VALOR_PC vazio ou zero",IF(AND(G389&lt;&gt;"Sim",G389&lt;&gt;"Nao",G389&lt;&gt;""),"PC_PAGO_A_CONTRATADA invalido",IF(AND(C389&lt;&gt;"C0",IFERROR(INDEX(parametros!$A$2:$A$6,MATCH(C389,parametros!$B$2:$B$6,0)),"")="Sim",IFERROR(INDEX(parametros!$H$2:$H$6,MATCH(C389,parametros!$B$2:$B$6,0)),"")=""),"INICIO_EFEITO ausente: PC "&amp;A389&amp;" - "&amp;C389,IF(L389="","EFEITO_PC nao calculado: PC "&amp;A389&amp;" - "&amp;C389,"OK")))))))))</f>
        <v/>
      </c>
      <c r="L389" s="92" t="str">
        <f>IF(AND(A389="",B389="",D389="",G389=""),"",IF(OR(B389="",NOT(ISNUMBER(B389)),C389="",C389="Fora dos ciclos"),"",IF(C389="C0","Nao",IF(IFERROR(INDEX(parametros!$A$2:$A$6,MATCH(C389,parametros!$B$2:$B$6,0)),"")&lt;&gt;"Sim","Nao",IF(IFERROR(INDEX(parametros!$H$2:$H$6,MATCH(C389,parametros!$B$2:$B$6,0)),"")="","",IF(B389&gt;=IFERROR(INDEX(parametros!$H$2:$H$6,MATCH(C389,parametros!$B$2:$B$6,0)),""),"Sim","Nao"))))))</f>
        <v/>
      </c>
      <c r="T389" s="156"/>
      <c r="U389" s="214" t="str">
        <f t="shared" si="36"/>
        <v/>
      </c>
      <c r="V389" s="212" t="s">
        <v>50</v>
      </c>
      <c r="W389" s="100" t="s">
        <v>168</v>
      </c>
      <c r="X389" s="100" t="s">
        <v>169</v>
      </c>
      <c r="Y389" s="101" t="s">
        <v>170</v>
      </c>
      <c r="Z389" s="101" t="s">
        <v>171</v>
      </c>
      <c r="AA389" s="101" t="s">
        <v>50</v>
      </c>
      <c r="AB389" s="101" t="s">
        <v>172</v>
      </c>
      <c r="AC389" s="102" t="s">
        <v>173</v>
      </c>
    </row>
    <row r="390" spans="1:29" ht="25.5" customHeight="1" x14ac:dyDescent="0.35">
      <c r="A390" s="392"/>
      <c r="B390" s="393"/>
      <c r="C390" s="99" t="str">
        <f>IF(B390="","",IF(NOT(ISNUMBER(B390)),"DATA_PC invalida",IF(NOT(ISNUMBER(parametros!$C$2)),"Fora dos ciclos",IF(OR(B390&lt;parametros!$C$2,(YEAR(B390)-YEAR(parametros!$C$2))*12+MONTH(B390)-MONTH(parametros!$C$2)&gt;59),"Fora dos ciclos","C"&amp;INT(((YEAR(B390)-YEAR(parametros!$C$2))*12+MONTH(B390)-MONTH(parametros!$C$2))/12)))))</f>
        <v/>
      </c>
      <c r="D390" s="394"/>
      <c r="E390" s="78" t="str">
        <f>IF(C390="","",IFERROR(VLOOKUP(C390,parametros!$A$11:$E$15,5,0),""))</f>
        <v/>
      </c>
      <c r="F390" s="79" t="str">
        <f t="shared" si="32"/>
        <v/>
      </c>
      <c r="G390" s="395"/>
      <c r="H390" s="91">
        <f t="shared" si="33"/>
        <v>0</v>
      </c>
      <c r="I390" s="91" t="str">
        <f t="shared" si="34"/>
        <v/>
      </c>
      <c r="J390" s="91" t="str">
        <f t="shared" si="35"/>
        <v/>
      </c>
      <c r="K390" s="92" t="str">
        <f>IF(AND(A390="",B390="",D390="",G390=""),"",IF(AND(A390&lt;&gt;"",COUNTIF($A$2:$A$5001,A390)&gt;1),"NUMERO_PC duplicado",IF(B390="","DATA_PC vazia",IF(NOT(ISNUMBER(B390)),"DATA_PC invalida",IF(OR(C390="",C390="Fora dos ciclos"),"CICLO_PC nao identificado",IF(OR(D390="",D390=0),"VALOR_PC vazio ou zero",IF(AND(G390&lt;&gt;"Sim",G390&lt;&gt;"Nao",G390&lt;&gt;""),"PC_PAGO_A_CONTRATADA invalido",IF(AND(C390&lt;&gt;"C0",IFERROR(INDEX(parametros!$A$2:$A$6,MATCH(C390,parametros!$B$2:$B$6,0)),"")="Sim",IFERROR(INDEX(parametros!$H$2:$H$6,MATCH(C390,parametros!$B$2:$B$6,0)),"")=""),"INICIO_EFEITO ausente: PC "&amp;A390&amp;" - "&amp;C390,IF(L390="","EFEITO_PC nao calculado: PC "&amp;A390&amp;" - "&amp;C390,"OK")))))))))</f>
        <v/>
      </c>
      <c r="L390" s="92" t="str">
        <f>IF(AND(A390="",B390="",D390="",G390=""),"",IF(OR(B390="",NOT(ISNUMBER(B390)),C390="",C390="Fora dos ciclos"),"",IF(C390="C0","Nao",IF(IFERROR(INDEX(parametros!$A$2:$A$6,MATCH(C390,parametros!$B$2:$B$6,0)),"")&lt;&gt;"Sim","Nao",IF(IFERROR(INDEX(parametros!$H$2:$H$6,MATCH(C390,parametros!$B$2:$B$6,0)),"")="","",IF(B390&gt;=IFERROR(INDEX(parametros!$H$2:$H$6,MATCH(C390,parametros!$B$2:$B$6,0)),""),"Sim","Nao"))))))</f>
        <v/>
      </c>
      <c r="T390" s="156"/>
      <c r="U390" s="214" t="str">
        <f t="shared" si="36"/>
        <v/>
      </c>
      <c r="V390" s="212" t="s">
        <v>50</v>
      </c>
      <c r="W390" s="100" t="s">
        <v>168</v>
      </c>
      <c r="X390" s="100" t="s">
        <v>169</v>
      </c>
      <c r="Y390" s="101" t="s">
        <v>170</v>
      </c>
      <c r="Z390" s="101" t="s">
        <v>171</v>
      </c>
      <c r="AA390" s="101" t="s">
        <v>50</v>
      </c>
      <c r="AB390" s="101" t="s">
        <v>172</v>
      </c>
      <c r="AC390" s="102" t="s">
        <v>173</v>
      </c>
    </row>
    <row r="391" spans="1:29" ht="25.5" customHeight="1" x14ac:dyDescent="0.35">
      <c r="A391" s="392"/>
      <c r="B391" s="393"/>
      <c r="C391" s="99" t="str">
        <f>IF(B391="","",IF(NOT(ISNUMBER(B391)),"DATA_PC invalida",IF(NOT(ISNUMBER(parametros!$C$2)),"Fora dos ciclos",IF(OR(B391&lt;parametros!$C$2,(YEAR(B391)-YEAR(parametros!$C$2))*12+MONTH(B391)-MONTH(parametros!$C$2)&gt;59),"Fora dos ciclos","C"&amp;INT(((YEAR(B391)-YEAR(parametros!$C$2))*12+MONTH(B391)-MONTH(parametros!$C$2))/12)))))</f>
        <v/>
      </c>
      <c r="D391" s="394"/>
      <c r="E391" s="78" t="str">
        <f>IF(C391="","",IFERROR(VLOOKUP(C391,parametros!$A$11:$E$15,5,0),""))</f>
        <v/>
      </c>
      <c r="F391" s="79" t="str">
        <f t="shared" si="32"/>
        <v/>
      </c>
      <c r="G391" s="395"/>
      <c r="H391" s="91">
        <f t="shared" si="33"/>
        <v>0</v>
      </c>
      <c r="I391" s="91" t="str">
        <f t="shared" si="34"/>
        <v/>
      </c>
      <c r="J391" s="91" t="str">
        <f t="shared" si="35"/>
        <v/>
      </c>
      <c r="K391" s="92" t="str">
        <f>IF(AND(A391="",B391="",D391="",G391=""),"",IF(AND(A391&lt;&gt;"",COUNTIF($A$2:$A$5001,A391)&gt;1),"NUMERO_PC duplicado",IF(B391="","DATA_PC vazia",IF(NOT(ISNUMBER(B391)),"DATA_PC invalida",IF(OR(C391="",C391="Fora dos ciclos"),"CICLO_PC nao identificado",IF(OR(D391="",D391=0),"VALOR_PC vazio ou zero",IF(AND(G391&lt;&gt;"Sim",G391&lt;&gt;"Nao",G391&lt;&gt;""),"PC_PAGO_A_CONTRATADA invalido",IF(AND(C391&lt;&gt;"C0",IFERROR(INDEX(parametros!$A$2:$A$6,MATCH(C391,parametros!$B$2:$B$6,0)),"")="Sim",IFERROR(INDEX(parametros!$H$2:$H$6,MATCH(C391,parametros!$B$2:$B$6,0)),"")=""),"INICIO_EFEITO ausente: PC "&amp;A391&amp;" - "&amp;C391,IF(L391="","EFEITO_PC nao calculado: PC "&amp;A391&amp;" - "&amp;C391,"OK")))))))))</f>
        <v/>
      </c>
      <c r="L391" s="92" t="str">
        <f>IF(AND(A391="",B391="",D391="",G391=""),"",IF(OR(B391="",NOT(ISNUMBER(B391)),C391="",C391="Fora dos ciclos"),"",IF(C391="C0","Nao",IF(IFERROR(INDEX(parametros!$A$2:$A$6,MATCH(C391,parametros!$B$2:$B$6,0)),"")&lt;&gt;"Sim","Nao",IF(IFERROR(INDEX(parametros!$H$2:$H$6,MATCH(C391,parametros!$B$2:$B$6,0)),"")="","",IF(B391&gt;=IFERROR(INDEX(parametros!$H$2:$H$6,MATCH(C391,parametros!$B$2:$B$6,0)),""),"Sim","Nao"))))))</f>
        <v/>
      </c>
      <c r="T391" s="156"/>
      <c r="U391" s="214" t="str">
        <f t="shared" si="36"/>
        <v/>
      </c>
      <c r="V391" s="212" t="s">
        <v>50</v>
      </c>
      <c r="W391" s="100" t="s">
        <v>168</v>
      </c>
      <c r="X391" s="100" t="s">
        <v>169</v>
      </c>
      <c r="Y391" s="101" t="s">
        <v>170</v>
      </c>
      <c r="Z391" s="101" t="s">
        <v>171</v>
      </c>
      <c r="AA391" s="101" t="s">
        <v>50</v>
      </c>
      <c r="AB391" s="101" t="s">
        <v>172</v>
      </c>
      <c r="AC391" s="102" t="s">
        <v>173</v>
      </c>
    </row>
    <row r="392" spans="1:29" ht="25.5" customHeight="1" x14ac:dyDescent="0.35">
      <c r="A392" s="392"/>
      <c r="B392" s="393"/>
      <c r="C392" s="99" t="str">
        <f>IF(B392="","",IF(NOT(ISNUMBER(B392)),"DATA_PC invalida",IF(NOT(ISNUMBER(parametros!$C$2)),"Fora dos ciclos",IF(OR(B392&lt;parametros!$C$2,(YEAR(B392)-YEAR(parametros!$C$2))*12+MONTH(B392)-MONTH(parametros!$C$2)&gt;59),"Fora dos ciclos","C"&amp;INT(((YEAR(B392)-YEAR(parametros!$C$2))*12+MONTH(B392)-MONTH(parametros!$C$2))/12)))))</f>
        <v/>
      </c>
      <c r="D392" s="394"/>
      <c r="E392" s="78" t="str">
        <f>IF(C392="","",IFERROR(VLOOKUP(C392,parametros!$A$11:$E$15,5,0),""))</f>
        <v/>
      </c>
      <c r="F392" s="79" t="str">
        <f t="shared" si="32"/>
        <v/>
      </c>
      <c r="G392" s="395"/>
      <c r="H392" s="91">
        <f t="shared" si="33"/>
        <v>0</v>
      </c>
      <c r="I392" s="91" t="str">
        <f t="shared" si="34"/>
        <v/>
      </c>
      <c r="J392" s="91" t="str">
        <f t="shared" si="35"/>
        <v/>
      </c>
      <c r="K392" s="92" t="str">
        <f>IF(AND(A392="",B392="",D392="",G392=""),"",IF(AND(A392&lt;&gt;"",COUNTIF($A$2:$A$5001,A392)&gt;1),"NUMERO_PC duplicado",IF(B392="","DATA_PC vazia",IF(NOT(ISNUMBER(B392)),"DATA_PC invalida",IF(OR(C392="",C392="Fora dos ciclos"),"CICLO_PC nao identificado",IF(OR(D392="",D392=0),"VALOR_PC vazio ou zero",IF(AND(G392&lt;&gt;"Sim",G392&lt;&gt;"Nao",G392&lt;&gt;""),"PC_PAGO_A_CONTRATADA invalido",IF(AND(C392&lt;&gt;"C0",IFERROR(INDEX(parametros!$A$2:$A$6,MATCH(C392,parametros!$B$2:$B$6,0)),"")="Sim",IFERROR(INDEX(parametros!$H$2:$H$6,MATCH(C392,parametros!$B$2:$B$6,0)),"")=""),"INICIO_EFEITO ausente: PC "&amp;A392&amp;" - "&amp;C392,IF(L392="","EFEITO_PC nao calculado: PC "&amp;A392&amp;" - "&amp;C392,"OK")))))))))</f>
        <v/>
      </c>
      <c r="L392" s="92" t="str">
        <f>IF(AND(A392="",B392="",D392="",G392=""),"",IF(OR(B392="",NOT(ISNUMBER(B392)),C392="",C392="Fora dos ciclos"),"",IF(C392="C0","Nao",IF(IFERROR(INDEX(parametros!$A$2:$A$6,MATCH(C392,parametros!$B$2:$B$6,0)),"")&lt;&gt;"Sim","Nao",IF(IFERROR(INDEX(parametros!$H$2:$H$6,MATCH(C392,parametros!$B$2:$B$6,0)),"")="","",IF(B392&gt;=IFERROR(INDEX(parametros!$H$2:$H$6,MATCH(C392,parametros!$B$2:$B$6,0)),""),"Sim","Nao"))))))</f>
        <v/>
      </c>
      <c r="T392" s="156"/>
      <c r="U392" s="214" t="str">
        <f t="shared" si="36"/>
        <v/>
      </c>
      <c r="V392" s="212" t="s">
        <v>50</v>
      </c>
      <c r="W392" s="100" t="s">
        <v>168</v>
      </c>
      <c r="X392" s="100" t="s">
        <v>169</v>
      </c>
      <c r="Y392" s="101" t="s">
        <v>170</v>
      </c>
      <c r="Z392" s="101" t="s">
        <v>171</v>
      </c>
      <c r="AA392" s="101" t="s">
        <v>50</v>
      </c>
      <c r="AB392" s="101" t="s">
        <v>172</v>
      </c>
      <c r="AC392" s="102" t="s">
        <v>173</v>
      </c>
    </row>
    <row r="393" spans="1:29" ht="25.5" customHeight="1" x14ac:dyDescent="0.35">
      <c r="A393" s="392"/>
      <c r="B393" s="393"/>
      <c r="C393" s="99" t="str">
        <f>IF(B393="","",IF(NOT(ISNUMBER(B393)),"DATA_PC invalida",IF(NOT(ISNUMBER(parametros!$C$2)),"Fora dos ciclos",IF(OR(B393&lt;parametros!$C$2,(YEAR(B393)-YEAR(parametros!$C$2))*12+MONTH(B393)-MONTH(parametros!$C$2)&gt;59),"Fora dos ciclos","C"&amp;INT(((YEAR(B393)-YEAR(parametros!$C$2))*12+MONTH(B393)-MONTH(parametros!$C$2))/12)))))</f>
        <v/>
      </c>
      <c r="D393" s="394"/>
      <c r="E393" s="78" t="str">
        <f>IF(C393="","",IFERROR(VLOOKUP(C393,parametros!$A$11:$E$15,5,0),""))</f>
        <v/>
      </c>
      <c r="F393" s="79" t="str">
        <f t="shared" si="32"/>
        <v/>
      </c>
      <c r="G393" s="395"/>
      <c r="H393" s="91">
        <f t="shared" si="33"/>
        <v>0</v>
      </c>
      <c r="I393" s="91" t="str">
        <f t="shared" si="34"/>
        <v/>
      </c>
      <c r="J393" s="91" t="str">
        <f t="shared" si="35"/>
        <v/>
      </c>
      <c r="K393" s="92" t="str">
        <f>IF(AND(A393="",B393="",D393="",G393=""),"",IF(AND(A393&lt;&gt;"",COUNTIF($A$2:$A$5001,A393)&gt;1),"NUMERO_PC duplicado",IF(B393="","DATA_PC vazia",IF(NOT(ISNUMBER(B393)),"DATA_PC invalida",IF(OR(C393="",C393="Fora dos ciclos"),"CICLO_PC nao identificado",IF(OR(D393="",D393=0),"VALOR_PC vazio ou zero",IF(AND(G393&lt;&gt;"Sim",G393&lt;&gt;"Nao",G393&lt;&gt;""),"PC_PAGO_A_CONTRATADA invalido",IF(AND(C393&lt;&gt;"C0",IFERROR(INDEX(parametros!$A$2:$A$6,MATCH(C393,parametros!$B$2:$B$6,0)),"")="Sim",IFERROR(INDEX(parametros!$H$2:$H$6,MATCH(C393,parametros!$B$2:$B$6,0)),"")=""),"INICIO_EFEITO ausente: PC "&amp;A393&amp;" - "&amp;C393,IF(L393="","EFEITO_PC nao calculado: PC "&amp;A393&amp;" - "&amp;C393,"OK")))))))))</f>
        <v/>
      </c>
      <c r="L393" s="92" t="str">
        <f>IF(AND(A393="",B393="",D393="",G393=""),"",IF(OR(B393="",NOT(ISNUMBER(B393)),C393="",C393="Fora dos ciclos"),"",IF(C393="C0","Nao",IF(IFERROR(INDEX(parametros!$A$2:$A$6,MATCH(C393,parametros!$B$2:$B$6,0)),"")&lt;&gt;"Sim","Nao",IF(IFERROR(INDEX(parametros!$H$2:$H$6,MATCH(C393,parametros!$B$2:$B$6,0)),"")="","",IF(B393&gt;=IFERROR(INDEX(parametros!$H$2:$H$6,MATCH(C393,parametros!$B$2:$B$6,0)),""),"Sim","Nao"))))))</f>
        <v/>
      </c>
      <c r="T393" s="156"/>
      <c r="U393" s="214" t="str">
        <f t="shared" si="36"/>
        <v/>
      </c>
      <c r="V393" s="212" t="s">
        <v>50</v>
      </c>
      <c r="W393" s="100" t="s">
        <v>168</v>
      </c>
      <c r="X393" s="100" t="s">
        <v>169</v>
      </c>
      <c r="Y393" s="101" t="s">
        <v>170</v>
      </c>
      <c r="Z393" s="101" t="s">
        <v>171</v>
      </c>
      <c r="AA393" s="101" t="s">
        <v>50</v>
      </c>
      <c r="AB393" s="101" t="s">
        <v>172</v>
      </c>
      <c r="AC393" s="102" t="s">
        <v>173</v>
      </c>
    </row>
    <row r="394" spans="1:29" ht="25.5" customHeight="1" x14ac:dyDescent="0.35">
      <c r="A394" s="392"/>
      <c r="B394" s="393"/>
      <c r="C394" s="99" t="str">
        <f>IF(B394="","",IF(NOT(ISNUMBER(B394)),"DATA_PC invalida",IF(NOT(ISNUMBER(parametros!$C$2)),"Fora dos ciclos",IF(OR(B394&lt;parametros!$C$2,(YEAR(B394)-YEAR(parametros!$C$2))*12+MONTH(B394)-MONTH(parametros!$C$2)&gt;59),"Fora dos ciclos","C"&amp;INT(((YEAR(B394)-YEAR(parametros!$C$2))*12+MONTH(B394)-MONTH(parametros!$C$2))/12)))))</f>
        <v/>
      </c>
      <c r="D394" s="394"/>
      <c r="E394" s="78" t="str">
        <f>IF(C394="","",IFERROR(VLOOKUP(C394,parametros!$A$11:$E$15,5,0),""))</f>
        <v/>
      </c>
      <c r="F394" s="79" t="str">
        <f t="shared" si="32"/>
        <v/>
      </c>
      <c r="G394" s="395"/>
      <c r="H394" s="91">
        <f t="shared" si="33"/>
        <v>0</v>
      </c>
      <c r="I394" s="91" t="str">
        <f t="shared" si="34"/>
        <v/>
      </c>
      <c r="J394" s="91" t="str">
        <f t="shared" si="35"/>
        <v/>
      </c>
      <c r="K394" s="92" t="str">
        <f>IF(AND(A394="",B394="",D394="",G394=""),"",IF(AND(A394&lt;&gt;"",COUNTIF($A$2:$A$5001,A394)&gt;1),"NUMERO_PC duplicado",IF(B394="","DATA_PC vazia",IF(NOT(ISNUMBER(B394)),"DATA_PC invalida",IF(OR(C394="",C394="Fora dos ciclos"),"CICLO_PC nao identificado",IF(OR(D394="",D394=0),"VALOR_PC vazio ou zero",IF(AND(G394&lt;&gt;"Sim",G394&lt;&gt;"Nao",G394&lt;&gt;""),"PC_PAGO_A_CONTRATADA invalido",IF(AND(C394&lt;&gt;"C0",IFERROR(INDEX(parametros!$A$2:$A$6,MATCH(C394,parametros!$B$2:$B$6,0)),"")="Sim",IFERROR(INDEX(parametros!$H$2:$H$6,MATCH(C394,parametros!$B$2:$B$6,0)),"")=""),"INICIO_EFEITO ausente: PC "&amp;A394&amp;" - "&amp;C394,IF(L394="","EFEITO_PC nao calculado: PC "&amp;A394&amp;" - "&amp;C394,"OK")))))))))</f>
        <v/>
      </c>
      <c r="L394" s="92" t="str">
        <f>IF(AND(A394="",B394="",D394="",G394=""),"",IF(OR(B394="",NOT(ISNUMBER(B394)),C394="",C394="Fora dos ciclos"),"",IF(C394="C0","Nao",IF(IFERROR(INDEX(parametros!$A$2:$A$6,MATCH(C394,parametros!$B$2:$B$6,0)),"")&lt;&gt;"Sim","Nao",IF(IFERROR(INDEX(parametros!$H$2:$H$6,MATCH(C394,parametros!$B$2:$B$6,0)),"")="","",IF(B394&gt;=IFERROR(INDEX(parametros!$H$2:$H$6,MATCH(C394,parametros!$B$2:$B$6,0)),""),"Sim","Nao"))))))</f>
        <v/>
      </c>
      <c r="T394" s="156"/>
      <c r="U394" s="214" t="str">
        <f t="shared" si="36"/>
        <v/>
      </c>
      <c r="V394" s="212" t="s">
        <v>50</v>
      </c>
      <c r="W394" s="100" t="s">
        <v>168</v>
      </c>
      <c r="X394" s="100" t="s">
        <v>169</v>
      </c>
      <c r="Y394" s="101" t="s">
        <v>170</v>
      </c>
      <c r="Z394" s="101" t="s">
        <v>171</v>
      </c>
      <c r="AA394" s="101" t="s">
        <v>50</v>
      </c>
      <c r="AB394" s="101" t="s">
        <v>172</v>
      </c>
      <c r="AC394" s="102" t="s">
        <v>173</v>
      </c>
    </row>
    <row r="395" spans="1:29" ht="25.5" customHeight="1" x14ac:dyDescent="0.35">
      <c r="A395" s="392"/>
      <c r="B395" s="393"/>
      <c r="C395" s="99" t="str">
        <f>IF(B395="","",IF(NOT(ISNUMBER(B395)),"DATA_PC invalida",IF(NOT(ISNUMBER(parametros!$C$2)),"Fora dos ciclos",IF(OR(B395&lt;parametros!$C$2,(YEAR(B395)-YEAR(parametros!$C$2))*12+MONTH(B395)-MONTH(parametros!$C$2)&gt;59),"Fora dos ciclos","C"&amp;INT(((YEAR(B395)-YEAR(parametros!$C$2))*12+MONTH(B395)-MONTH(parametros!$C$2))/12)))))</f>
        <v/>
      </c>
      <c r="D395" s="394"/>
      <c r="E395" s="78" t="str">
        <f>IF(C395="","",IFERROR(VLOOKUP(C395,parametros!$A$11:$E$15,5,0),""))</f>
        <v/>
      </c>
      <c r="F395" s="79" t="str">
        <f t="shared" si="32"/>
        <v/>
      </c>
      <c r="G395" s="395"/>
      <c r="H395" s="91">
        <f t="shared" si="33"/>
        <v>0</v>
      </c>
      <c r="I395" s="91" t="str">
        <f t="shared" si="34"/>
        <v/>
      </c>
      <c r="J395" s="91" t="str">
        <f t="shared" si="35"/>
        <v/>
      </c>
      <c r="K395" s="92" t="str">
        <f>IF(AND(A395="",B395="",D395="",G395=""),"",IF(AND(A395&lt;&gt;"",COUNTIF($A$2:$A$5001,A395)&gt;1),"NUMERO_PC duplicado",IF(B395="","DATA_PC vazia",IF(NOT(ISNUMBER(B395)),"DATA_PC invalida",IF(OR(C395="",C395="Fora dos ciclos"),"CICLO_PC nao identificado",IF(OR(D395="",D395=0),"VALOR_PC vazio ou zero",IF(AND(G395&lt;&gt;"Sim",G395&lt;&gt;"Nao",G395&lt;&gt;""),"PC_PAGO_A_CONTRATADA invalido",IF(AND(C395&lt;&gt;"C0",IFERROR(INDEX(parametros!$A$2:$A$6,MATCH(C395,parametros!$B$2:$B$6,0)),"")="Sim",IFERROR(INDEX(parametros!$H$2:$H$6,MATCH(C395,parametros!$B$2:$B$6,0)),"")=""),"INICIO_EFEITO ausente: PC "&amp;A395&amp;" - "&amp;C395,IF(L395="","EFEITO_PC nao calculado: PC "&amp;A395&amp;" - "&amp;C395,"OK")))))))))</f>
        <v/>
      </c>
      <c r="L395" s="92" t="str">
        <f>IF(AND(A395="",B395="",D395="",G395=""),"",IF(OR(B395="",NOT(ISNUMBER(B395)),C395="",C395="Fora dos ciclos"),"",IF(C395="C0","Nao",IF(IFERROR(INDEX(parametros!$A$2:$A$6,MATCH(C395,parametros!$B$2:$B$6,0)),"")&lt;&gt;"Sim","Nao",IF(IFERROR(INDEX(parametros!$H$2:$H$6,MATCH(C395,parametros!$B$2:$B$6,0)),"")="","",IF(B395&gt;=IFERROR(INDEX(parametros!$H$2:$H$6,MATCH(C395,parametros!$B$2:$B$6,0)),""),"Sim","Nao"))))))</f>
        <v/>
      </c>
      <c r="T395" s="156"/>
      <c r="U395" s="214" t="str">
        <f t="shared" si="36"/>
        <v/>
      </c>
      <c r="V395" s="212" t="s">
        <v>50</v>
      </c>
      <c r="W395" s="100" t="s">
        <v>168</v>
      </c>
      <c r="X395" s="100" t="s">
        <v>169</v>
      </c>
      <c r="Y395" s="101" t="s">
        <v>170</v>
      </c>
      <c r="Z395" s="101" t="s">
        <v>171</v>
      </c>
      <c r="AA395" s="101" t="s">
        <v>50</v>
      </c>
      <c r="AB395" s="101" t="s">
        <v>172</v>
      </c>
      <c r="AC395" s="102" t="s">
        <v>173</v>
      </c>
    </row>
    <row r="396" spans="1:29" ht="25.5" customHeight="1" x14ac:dyDescent="0.35">
      <c r="A396" s="392"/>
      <c r="B396" s="393"/>
      <c r="C396" s="99" t="str">
        <f>IF(B396="","",IF(NOT(ISNUMBER(B396)),"DATA_PC invalida",IF(NOT(ISNUMBER(parametros!$C$2)),"Fora dos ciclos",IF(OR(B396&lt;parametros!$C$2,(YEAR(B396)-YEAR(parametros!$C$2))*12+MONTH(B396)-MONTH(parametros!$C$2)&gt;59),"Fora dos ciclos","C"&amp;INT(((YEAR(B396)-YEAR(parametros!$C$2))*12+MONTH(B396)-MONTH(parametros!$C$2))/12)))))</f>
        <v/>
      </c>
      <c r="D396" s="394"/>
      <c r="E396" s="78" t="str">
        <f>IF(C396="","",IFERROR(VLOOKUP(C396,parametros!$A$11:$E$15,5,0),""))</f>
        <v/>
      </c>
      <c r="F396" s="79" t="str">
        <f t="shared" si="32"/>
        <v/>
      </c>
      <c r="G396" s="395"/>
      <c r="H396" s="91">
        <f t="shared" si="33"/>
        <v>0</v>
      </c>
      <c r="I396" s="91" t="str">
        <f t="shared" si="34"/>
        <v/>
      </c>
      <c r="J396" s="91" t="str">
        <f t="shared" si="35"/>
        <v/>
      </c>
      <c r="K396" s="92" t="str">
        <f>IF(AND(A396="",B396="",D396="",G396=""),"",IF(AND(A396&lt;&gt;"",COUNTIF($A$2:$A$5001,A396)&gt;1),"NUMERO_PC duplicado",IF(B396="","DATA_PC vazia",IF(NOT(ISNUMBER(B396)),"DATA_PC invalida",IF(OR(C396="",C396="Fora dos ciclos"),"CICLO_PC nao identificado",IF(OR(D396="",D396=0),"VALOR_PC vazio ou zero",IF(AND(G396&lt;&gt;"Sim",G396&lt;&gt;"Nao",G396&lt;&gt;""),"PC_PAGO_A_CONTRATADA invalido",IF(AND(C396&lt;&gt;"C0",IFERROR(INDEX(parametros!$A$2:$A$6,MATCH(C396,parametros!$B$2:$B$6,0)),"")="Sim",IFERROR(INDEX(parametros!$H$2:$H$6,MATCH(C396,parametros!$B$2:$B$6,0)),"")=""),"INICIO_EFEITO ausente: PC "&amp;A396&amp;" - "&amp;C396,IF(L396="","EFEITO_PC nao calculado: PC "&amp;A396&amp;" - "&amp;C396,"OK")))))))))</f>
        <v/>
      </c>
      <c r="L396" s="92" t="str">
        <f>IF(AND(A396="",B396="",D396="",G396=""),"",IF(OR(B396="",NOT(ISNUMBER(B396)),C396="",C396="Fora dos ciclos"),"",IF(C396="C0","Nao",IF(IFERROR(INDEX(parametros!$A$2:$A$6,MATCH(C396,parametros!$B$2:$B$6,0)),"")&lt;&gt;"Sim","Nao",IF(IFERROR(INDEX(parametros!$H$2:$H$6,MATCH(C396,parametros!$B$2:$B$6,0)),"")="","",IF(B396&gt;=IFERROR(INDEX(parametros!$H$2:$H$6,MATCH(C396,parametros!$B$2:$B$6,0)),""),"Sim","Nao"))))))</f>
        <v/>
      </c>
      <c r="T396" s="156"/>
      <c r="U396" s="214" t="str">
        <f t="shared" si="36"/>
        <v/>
      </c>
      <c r="V396" s="212" t="s">
        <v>50</v>
      </c>
      <c r="W396" s="100" t="s">
        <v>168</v>
      </c>
      <c r="X396" s="100" t="s">
        <v>169</v>
      </c>
      <c r="Y396" s="101" t="s">
        <v>170</v>
      </c>
      <c r="Z396" s="101" t="s">
        <v>171</v>
      </c>
      <c r="AA396" s="101" t="s">
        <v>50</v>
      </c>
      <c r="AB396" s="101" t="s">
        <v>172</v>
      </c>
      <c r="AC396" s="102" t="s">
        <v>173</v>
      </c>
    </row>
    <row r="397" spans="1:29" ht="25.5" customHeight="1" x14ac:dyDescent="0.35">
      <c r="A397" s="392"/>
      <c r="B397" s="393"/>
      <c r="C397" s="99" t="str">
        <f>IF(B397="","",IF(NOT(ISNUMBER(B397)),"DATA_PC invalida",IF(NOT(ISNUMBER(parametros!$C$2)),"Fora dos ciclos",IF(OR(B397&lt;parametros!$C$2,(YEAR(B397)-YEAR(parametros!$C$2))*12+MONTH(B397)-MONTH(parametros!$C$2)&gt;59),"Fora dos ciclos","C"&amp;INT(((YEAR(B397)-YEAR(parametros!$C$2))*12+MONTH(B397)-MONTH(parametros!$C$2))/12)))))</f>
        <v/>
      </c>
      <c r="D397" s="394"/>
      <c r="E397" s="78" t="str">
        <f>IF(C397="","",IFERROR(VLOOKUP(C397,parametros!$A$11:$E$15,5,0),""))</f>
        <v/>
      </c>
      <c r="F397" s="79" t="str">
        <f t="shared" si="32"/>
        <v/>
      </c>
      <c r="G397" s="395"/>
      <c r="H397" s="91">
        <f t="shared" si="33"/>
        <v>0</v>
      </c>
      <c r="I397" s="91" t="str">
        <f t="shared" si="34"/>
        <v/>
      </c>
      <c r="J397" s="91" t="str">
        <f t="shared" si="35"/>
        <v/>
      </c>
      <c r="K397" s="92" t="str">
        <f>IF(AND(A397="",B397="",D397="",G397=""),"",IF(AND(A397&lt;&gt;"",COUNTIF($A$2:$A$5001,A397)&gt;1),"NUMERO_PC duplicado",IF(B397="","DATA_PC vazia",IF(NOT(ISNUMBER(B397)),"DATA_PC invalida",IF(OR(C397="",C397="Fora dos ciclos"),"CICLO_PC nao identificado",IF(OR(D397="",D397=0),"VALOR_PC vazio ou zero",IF(AND(G397&lt;&gt;"Sim",G397&lt;&gt;"Nao",G397&lt;&gt;""),"PC_PAGO_A_CONTRATADA invalido",IF(AND(C397&lt;&gt;"C0",IFERROR(INDEX(parametros!$A$2:$A$6,MATCH(C397,parametros!$B$2:$B$6,0)),"")="Sim",IFERROR(INDEX(parametros!$H$2:$H$6,MATCH(C397,parametros!$B$2:$B$6,0)),"")=""),"INICIO_EFEITO ausente: PC "&amp;A397&amp;" - "&amp;C397,IF(L397="","EFEITO_PC nao calculado: PC "&amp;A397&amp;" - "&amp;C397,"OK")))))))))</f>
        <v/>
      </c>
      <c r="L397" s="92" t="str">
        <f>IF(AND(A397="",B397="",D397="",G397=""),"",IF(OR(B397="",NOT(ISNUMBER(B397)),C397="",C397="Fora dos ciclos"),"",IF(C397="C0","Nao",IF(IFERROR(INDEX(parametros!$A$2:$A$6,MATCH(C397,parametros!$B$2:$B$6,0)),"")&lt;&gt;"Sim","Nao",IF(IFERROR(INDEX(parametros!$H$2:$H$6,MATCH(C397,parametros!$B$2:$B$6,0)),"")="","",IF(B397&gt;=IFERROR(INDEX(parametros!$H$2:$H$6,MATCH(C397,parametros!$B$2:$B$6,0)),""),"Sim","Nao"))))))</f>
        <v/>
      </c>
      <c r="T397" s="156"/>
      <c r="U397" s="214" t="str">
        <f t="shared" si="36"/>
        <v/>
      </c>
      <c r="V397" s="212" t="s">
        <v>50</v>
      </c>
      <c r="W397" s="100" t="s">
        <v>168</v>
      </c>
      <c r="X397" s="100" t="s">
        <v>169</v>
      </c>
      <c r="Y397" s="101" t="s">
        <v>170</v>
      </c>
      <c r="Z397" s="101" t="s">
        <v>171</v>
      </c>
      <c r="AA397" s="101" t="s">
        <v>50</v>
      </c>
      <c r="AB397" s="101" t="s">
        <v>172</v>
      </c>
      <c r="AC397" s="102" t="s">
        <v>173</v>
      </c>
    </row>
    <row r="398" spans="1:29" ht="25.5" customHeight="1" x14ac:dyDescent="0.35">
      <c r="A398" s="392"/>
      <c r="B398" s="393"/>
      <c r="C398" s="99" t="str">
        <f>IF(B398="","",IF(NOT(ISNUMBER(B398)),"DATA_PC invalida",IF(NOT(ISNUMBER(parametros!$C$2)),"Fora dos ciclos",IF(OR(B398&lt;parametros!$C$2,(YEAR(B398)-YEAR(parametros!$C$2))*12+MONTH(B398)-MONTH(parametros!$C$2)&gt;59),"Fora dos ciclos","C"&amp;INT(((YEAR(B398)-YEAR(parametros!$C$2))*12+MONTH(B398)-MONTH(parametros!$C$2))/12)))))</f>
        <v/>
      </c>
      <c r="D398" s="394"/>
      <c r="E398" s="78" t="str">
        <f>IF(C398="","",IFERROR(VLOOKUP(C398,parametros!$A$11:$E$15,5,0),""))</f>
        <v/>
      </c>
      <c r="F398" s="79" t="str">
        <f t="shared" si="32"/>
        <v/>
      </c>
      <c r="G398" s="395"/>
      <c r="H398" s="91">
        <f t="shared" si="33"/>
        <v>0</v>
      </c>
      <c r="I398" s="91" t="str">
        <f t="shared" si="34"/>
        <v/>
      </c>
      <c r="J398" s="91" t="str">
        <f t="shared" si="35"/>
        <v/>
      </c>
      <c r="K398" s="92" t="str">
        <f>IF(AND(A398="",B398="",D398="",G398=""),"",IF(AND(A398&lt;&gt;"",COUNTIF($A$2:$A$5001,A398)&gt;1),"NUMERO_PC duplicado",IF(B398="","DATA_PC vazia",IF(NOT(ISNUMBER(B398)),"DATA_PC invalida",IF(OR(C398="",C398="Fora dos ciclos"),"CICLO_PC nao identificado",IF(OR(D398="",D398=0),"VALOR_PC vazio ou zero",IF(AND(G398&lt;&gt;"Sim",G398&lt;&gt;"Nao",G398&lt;&gt;""),"PC_PAGO_A_CONTRATADA invalido",IF(AND(C398&lt;&gt;"C0",IFERROR(INDEX(parametros!$A$2:$A$6,MATCH(C398,parametros!$B$2:$B$6,0)),"")="Sim",IFERROR(INDEX(parametros!$H$2:$H$6,MATCH(C398,parametros!$B$2:$B$6,0)),"")=""),"INICIO_EFEITO ausente: PC "&amp;A398&amp;" - "&amp;C398,IF(L398="","EFEITO_PC nao calculado: PC "&amp;A398&amp;" - "&amp;C398,"OK")))))))))</f>
        <v/>
      </c>
      <c r="L398" s="92" t="str">
        <f>IF(AND(A398="",B398="",D398="",G398=""),"",IF(OR(B398="",NOT(ISNUMBER(B398)),C398="",C398="Fora dos ciclos"),"",IF(C398="C0","Nao",IF(IFERROR(INDEX(parametros!$A$2:$A$6,MATCH(C398,parametros!$B$2:$B$6,0)),"")&lt;&gt;"Sim","Nao",IF(IFERROR(INDEX(parametros!$H$2:$H$6,MATCH(C398,parametros!$B$2:$B$6,0)),"")="","",IF(B398&gt;=IFERROR(INDEX(parametros!$H$2:$H$6,MATCH(C398,parametros!$B$2:$B$6,0)),""),"Sim","Nao"))))))</f>
        <v/>
      </c>
      <c r="T398" s="156"/>
      <c r="U398" s="214" t="str">
        <f t="shared" si="36"/>
        <v/>
      </c>
      <c r="V398" s="212" t="s">
        <v>50</v>
      </c>
      <c r="W398" s="100" t="s">
        <v>168</v>
      </c>
      <c r="X398" s="100" t="s">
        <v>169</v>
      </c>
      <c r="Y398" s="101" t="s">
        <v>170</v>
      </c>
      <c r="Z398" s="101" t="s">
        <v>171</v>
      </c>
      <c r="AA398" s="101" t="s">
        <v>50</v>
      </c>
      <c r="AB398" s="101" t="s">
        <v>172</v>
      </c>
      <c r="AC398" s="102" t="s">
        <v>173</v>
      </c>
    </row>
    <row r="399" spans="1:29" ht="25.5" customHeight="1" x14ac:dyDescent="0.35">
      <c r="A399" s="392"/>
      <c r="B399" s="393"/>
      <c r="C399" s="99" t="str">
        <f>IF(B399="","",IF(NOT(ISNUMBER(B399)),"DATA_PC invalida",IF(NOT(ISNUMBER(parametros!$C$2)),"Fora dos ciclos",IF(OR(B399&lt;parametros!$C$2,(YEAR(B399)-YEAR(parametros!$C$2))*12+MONTH(B399)-MONTH(parametros!$C$2)&gt;59),"Fora dos ciclos","C"&amp;INT(((YEAR(B399)-YEAR(parametros!$C$2))*12+MONTH(B399)-MONTH(parametros!$C$2))/12)))))</f>
        <v/>
      </c>
      <c r="D399" s="394"/>
      <c r="E399" s="78" t="str">
        <f>IF(C399="","",IFERROR(VLOOKUP(C399,parametros!$A$11:$E$15,5,0),""))</f>
        <v/>
      </c>
      <c r="F399" s="79" t="str">
        <f t="shared" si="32"/>
        <v/>
      </c>
      <c r="G399" s="395"/>
      <c r="H399" s="91">
        <f t="shared" si="33"/>
        <v>0</v>
      </c>
      <c r="I399" s="91" t="str">
        <f t="shared" si="34"/>
        <v/>
      </c>
      <c r="J399" s="91" t="str">
        <f t="shared" si="35"/>
        <v/>
      </c>
      <c r="K399" s="92" t="str">
        <f>IF(AND(A399="",B399="",D399="",G399=""),"",IF(AND(A399&lt;&gt;"",COUNTIF($A$2:$A$5001,A399)&gt;1),"NUMERO_PC duplicado",IF(B399="","DATA_PC vazia",IF(NOT(ISNUMBER(B399)),"DATA_PC invalida",IF(OR(C399="",C399="Fora dos ciclos"),"CICLO_PC nao identificado",IF(OR(D399="",D399=0),"VALOR_PC vazio ou zero",IF(AND(G399&lt;&gt;"Sim",G399&lt;&gt;"Nao",G399&lt;&gt;""),"PC_PAGO_A_CONTRATADA invalido",IF(AND(C399&lt;&gt;"C0",IFERROR(INDEX(parametros!$A$2:$A$6,MATCH(C399,parametros!$B$2:$B$6,0)),"")="Sim",IFERROR(INDEX(parametros!$H$2:$H$6,MATCH(C399,parametros!$B$2:$B$6,0)),"")=""),"INICIO_EFEITO ausente: PC "&amp;A399&amp;" - "&amp;C399,IF(L399="","EFEITO_PC nao calculado: PC "&amp;A399&amp;" - "&amp;C399,"OK")))))))))</f>
        <v/>
      </c>
      <c r="L399" s="92" t="str">
        <f>IF(AND(A399="",B399="",D399="",G399=""),"",IF(OR(B399="",NOT(ISNUMBER(B399)),C399="",C399="Fora dos ciclos"),"",IF(C399="C0","Nao",IF(IFERROR(INDEX(parametros!$A$2:$A$6,MATCH(C399,parametros!$B$2:$B$6,0)),"")&lt;&gt;"Sim","Nao",IF(IFERROR(INDEX(parametros!$H$2:$H$6,MATCH(C399,parametros!$B$2:$B$6,0)),"")="","",IF(B399&gt;=IFERROR(INDEX(parametros!$H$2:$H$6,MATCH(C399,parametros!$B$2:$B$6,0)),""),"Sim","Nao"))))))</f>
        <v/>
      </c>
      <c r="T399" s="156"/>
      <c r="U399" s="214" t="str">
        <f t="shared" si="36"/>
        <v/>
      </c>
      <c r="V399" s="212" t="s">
        <v>50</v>
      </c>
      <c r="W399" s="100" t="s">
        <v>168</v>
      </c>
      <c r="X399" s="100" t="s">
        <v>169</v>
      </c>
      <c r="Y399" s="101" t="s">
        <v>170</v>
      </c>
      <c r="Z399" s="101" t="s">
        <v>171</v>
      </c>
      <c r="AA399" s="101" t="s">
        <v>50</v>
      </c>
      <c r="AB399" s="101" t="s">
        <v>172</v>
      </c>
      <c r="AC399" s="102" t="s">
        <v>173</v>
      </c>
    </row>
    <row r="400" spans="1:29" ht="25.5" customHeight="1" x14ac:dyDescent="0.35">
      <c r="A400" s="392"/>
      <c r="B400" s="393"/>
      <c r="C400" s="99" t="str">
        <f>IF(B400="","",IF(NOT(ISNUMBER(B400)),"DATA_PC invalida",IF(NOT(ISNUMBER(parametros!$C$2)),"Fora dos ciclos",IF(OR(B400&lt;parametros!$C$2,(YEAR(B400)-YEAR(parametros!$C$2))*12+MONTH(B400)-MONTH(parametros!$C$2)&gt;59),"Fora dos ciclos","C"&amp;INT(((YEAR(B400)-YEAR(parametros!$C$2))*12+MONTH(B400)-MONTH(parametros!$C$2))/12)))))</f>
        <v/>
      </c>
      <c r="D400" s="394"/>
      <c r="E400" s="78" t="str">
        <f>IF(C400="","",IFERROR(VLOOKUP(C400,parametros!$A$11:$E$15,5,0),""))</f>
        <v/>
      </c>
      <c r="F400" s="79" t="str">
        <f t="shared" si="32"/>
        <v/>
      </c>
      <c r="G400" s="395"/>
      <c r="H400" s="91">
        <f t="shared" si="33"/>
        <v>0</v>
      </c>
      <c r="I400" s="91" t="str">
        <f t="shared" si="34"/>
        <v/>
      </c>
      <c r="J400" s="91" t="str">
        <f t="shared" si="35"/>
        <v/>
      </c>
      <c r="K400" s="92" t="str">
        <f>IF(AND(A400="",B400="",D400="",G400=""),"",IF(AND(A400&lt;&gt;"",COUNTIF($A$2:$A$5001,A400)&gt;1),"NUMERO_PC duplicado",IF(B400="","DATA_PC vazia",IF(NOT(ISNUMBER(B400)),"DATA_PC invalida",IF(OR(C400="",C400="Fora dos ciclos"),"CICLO_PC nao identificado",IF(OR(D400="",D400=0),"VALOR_PC vazio ou zero",IF(AND(G400&lt;&gt;"Sim",G400&lt;&gt;"Nao",G400&lt;&gt;""),"PC_PAGO_A_CONTRATADA invalido",IF(AND(C400&lt;&gt;"C0",IFERROR(INDEX(parametros!$A$2:$A$6,MATCH(C400,parametros!$B$2:$B$6,0)),"")="Sim",IFERROR(INDEX(parametros!$H$2:$H$6,MATCH(C400,parametros!$B$2:$B$6,0)),"")=""),"INICIO_EFEITO ausente: PC "&amp;A400&amp;" - "&amp;C400,IF(L400="","EFEITO_PC nao calculado: PC "&amp;A400&amp;" - "&amp;C400,"OK")))))))))</f>
        <v/>
      </c>
      <c r="L400" s="92" t="str">
        <f>IF(AND(A400="",B400="",D400="",G400=""),"",IF(OR(B400="",NOT(ISNUMBER(B400)),C400="",C400="Fora dos ciclos"),"",IF(C400="C0","Nao",IF(IFERROR(INDEX(parametros!$A$2:$A$6,MATCH(C400,parametros!$B$2:$B$6,0)),"")&lt;&gt;"Sim","Nao",IF(IFERROR(INDEX(parametros!$H$2:$H$6,MATCH(C400,parametros!$B$2:$B$6,0)),"")="","",IF(B400&gt;=IFERROR(INDEX(parametros!$H$2:$H$6,MATCH(C400,parametros!$B$2:$B$6,0)),""),"Sim","Nao"))))))</f>
        <v/>
      </c>
      <c r="T400" s="156"/>
      <c r="U400" s="214" t="str">
        <f t="shared" si="36"/>
        <v/>
      </c>
      <c r="V400" s="212" t="s">
        <v>50</v>
      </c>
      <c r="W400" s="100" t="s">
        <v>168</v>
      </c>
      <c r="X400" s="100" t="s">
        <v>169</v>
      </c>
      <c r="Y400" s="101" t="s">
        <v>170</v>
      </c>
      <c r="Z400" s="101" t="s">
        <v>171</v>
      </c>
      <c r="AA400" s="101" t="s">
        <v>50</v>
      </c>
      <c r="AB400" s="101" t="s">
        <v>172</v>
      </c>
      <c r="AC400" s="102" t="s">
        <v>173</v>
      </c>
    </row>
    <row r="401" spans="1:29" ht="25.5" customHeight="1" x14ac:dyDescent="0.35">
      <c r="A401" s="392"/>
      <c r="B401" s="393"/>
      <c r="C401" s="99" t="str">
        <f>IF(B401="","",IF(NOT(ISNUMBER(B401)),"DATA_PC invalida",IF(NOT(ISNUMBER(parametros!$C$2)),"Fora dos ciclos",IF(OR(B401&lt;parametros!$C$2,(YEAR(B401)-YEAR(parametros!$C$2))*12+MONTH(B401)-MONTH(parametros!$C$2)&gt;59),"Fora dos ciclos","C"&amp;INT(((YEAR(B401)-YEAR(parametros!$C$2))*12+MONTH(B401)-MONTH(parametros!$C$2))/12)))))</f>
        <v/>
      </c>
      <c r="D401" s="394"/>
      <c r="E401" s="78" t="str">
        <f>IF(C401="","",IFERROR(VLOOKUP(C401,parametros!$A$11:$E$15,5,0),""))</f>
        <v/>
      </c>
      <c r="F401" s="79" t="str">
        <f t="shared" si="32"/>
        <v/>
      </c>
      <c r="G401" s="395"/>
      <c r="H401" s="91">
        <f t="shared" si="33"/>
        <v>0</v>
      </c>
      <c r="I401" s="91" t="str">
        <f t="shared" si="34"/>
        <v/>
      </c>
      <c r="J401" s="91" t="str">
        <f t="shared" si="35"/>
        <v/>
      </c>
      <c r="K401" s="92" t="str">
        <f>IF(AND(A401="",B401="",D401="",G401=""),"",IF(AND(A401&lt;&gt;"",COUNTIF($A$2:$A$5001,A401)&gt;1),"NUMERO_PC duplicado",IF(B401="","DATA_PC vazia",IF(NOT(ISNUMBER(B401)),"DATA_PC invalida",IF(OR(C401="",C401="Fora dos ciclos"),"CICLO_PC nao identificado",IF(OR(D401="",D401=0),"VALOR_PC vazio ou zero",IF(AND(G401&lt;&gt;"Sim",G401&lt;&gt;"Nao",G401&lt;&gt;""),"PC_PAGO_A_CONTRATADA invalido",IF(AND(C401&lt;&gt;"C0",IFERROR(INDEX(parametros!$A$2:$A$6,MATCH(C401,parametros!$B$2:$B$6,0)),"")="Sim",IFERROR(INDEX(parametros!$H$2:$H$6,MATCH(C401,parametros!$B$2:$B$6,0)),"")=""),"INICIO_EFEITO ausente: PC "&amp;A401&amp;" - "&amp;C401,IF(L401="","EFEITO_PC nao calculado: PC "&amp;A401&amp;" - "&amp;C401,"OK")))))))))</f>
        <v/>
      </c>
      <c r="L401" s="92" t="str">
        <f>IF(AND(A401="",B401="",D401="",G401=""),"",IF(OR(B401="",NOT(ISNUMBER(B401)),C401="",C401="Fora dos ciclos"),"",IF(C401="C0","Nao",IF(IFERROR(INDEX(parametros!$A$2:$A$6,MATCH(C401,parametros!$B$2:$B$6,0)),"")&lt;&gt;"Sim","Nao",IF(IFERROR(INDEX(parametros!$H$2:$H$6,MATCH(C401,parametros!$B$2:$B$6,0)),"")="","",IF(B401&gt;=IFERROR(INDEX(parametros!$H$2:$H$6,MATCH(C401,parametros!$B$2:$B$6,0)),""),"Sim","Nao"))))))</f>
        <v/>
      </c>
      <c r="T401" s="156"/>
      <c r="U401" s="214" t="str">
        <f t="shared" si="36"/>
        <v/>
      </c>
      <c r="V401" s="212" t="s">
        <v>50</v>
      </c>
      <c r="W401" s="100" t="s">
        <v>168</v>
      </c>
      <c r="X401" s="100" t="s">
        <v>169</v>
      </c>
      <c r="Y401" s="101" t="s">
        <v>170</v>
      </c>
      <c r="Z401" s="101" t="s">
        <v>171</v>
      </c>
      <c r="AA401" s="101" t="s">
        <v>50</v>
      </c>
      <c r="AB401" s="101" t="s">
        <v>172</v>
      </c>
      <c r="AC401" s="102" t="s">
        <v>173</v>
      </c>
    </row>
    <row r="402" spans="1:29" ht="25.5" customHeight="1" x14ac:dyDescent="0.35">
      <c r="A402" s="392"/>
      <c r="B402" s="393"/>
      <c r="C402" s="99" t="str">
        <f>IF(B402="","",IF(NOT(ISNUMBER(B402)),"DATA_PC invalida",IF(NOT(ISNUMBER(parametros!$C$2)),"Fora dos ciclos",IF(OR(B402&lt;parametros!$C$2,(YEAR(B402)-YEAR(parametros!$C$2))*12+MONTH(B402)-MONTH(parametros!$C$2)&gt;59),"Fora dos ciclos","C"&amp;INT(((YEAR(B402)-YEAR(parametros!$C$2))*12+MONTH(B402)-MONTH(parametros!$C$2))/12)))))</f>
        <v/>
      </c>
      <c r="D402" s="394"/>
      <c r="E402" s="78" t="str">
        <f>IF(C402="","",IFERROR(VLOOKUP(C402,parametros!$A$11:$E$15,5,0),""))</f>
        <v/>
      </c>
      <c r="F402" s="79" t="str">
        <f t="shared" si="32"/>
        <v/>
      </c>
      <c r="G402" s="395"/>
      <c r="H402" s="91">
        <f t="shared" si="33"/>
        <v>0</v>
      </c>
      <c r="I402" s="91" t="str">
        <f t="shared" si="34"/>
        <v/>
      </c>
      <c r="J402" s="91" t="str">
        <f t="shared" si="35"/>
        <v/>
      </c>
      <c r="K402" s="92" t="str">
        <f>IF(AND(A402="",B402="",D402="",G402=""),"",IF(AND(A402&lt;&gt;"",COUNTIF($A$2:$A$5001,A402)&gt;1),"NUMERO_PC duplicado",IF(B402="","DATA_PC vazia",IF(NOT(ISNUMBER(B402)),"DATA_PC invalida",IF(OR(C402="",C402="Fora dos ciclos"),"CICLO_PC nao identificado",IF(OR(D402="",D402=0),"VALOR_PC vazio ou zero",IF(AND(G402&lt;&gt;"Sim",G402&lt;&gt;"Nao",G402&lt;&gt;""),"PC_PAGO_A_CONTRATADA invalido",IF(AND(C402&lt;&gt;"C0",IFERROR(INDEX(parametros!$A$2:$A$6,MATCH(C402,parametros!$B$2:$B$6,0)),"")="Sim",IFERROR(INDEX(parametros!$H$2:$H$6,MATCH(C402,parametros!$B$2:$B$6,0)),"")=""),"INICIO_EFEITO ausente: PC "&amp;A402&amp;" - "&amp;C402,IF(L402="","EFEITO_PC nao calculado: PC "&amp;A402&amp;" - "&amp;C402,"OK")))))))))</f>
        <v/>
      </c>
      <c r="L402" s="92" t="str">
        <f>IF(AND(A402="",B402="",D402="",G402=""),"",IF(OR(B402="",NOT(ISNUMBER(B402)),C402="",C402="Fora dos ciclos"),"",IF(C402="C0","Nao",IF(IFERROR(INDEX(parametros!$A$2:$A$6,MATCH(C402,parametros!$B$2:$B$6,0)),"")&lt;&gt;"Sim","Nao",IF(IFERROR(INDEX(parametros!$H$2:$H$6,MATCH(C402,parametros!$B$2:$B$6,0)),"")="","",IF(B402&gt;=IFERROR(INDEX(parametros!$H$2:$H$6,MATCH(C402,parametros!$B$2:$B$6,0)),""),"Sim","Nao"))))))</f>
        <v/>
      </c>
      <c r="T402" s="156"/>
      <c r="U402" s="214" t="str">
        <f t="shared" si="36"/>
        <v/>
      </c>
      <c r="V402" s="212" t="s">
        <v>50</v>
      </c>
      <c r="W402" s="100" t="s">
        <v>168</v>
      </c>
      <c r="X402" s="100" t="s">
        <v>169</v>
      </c>
      <c r="Y402" s="101" t="s">
        <v>170</v>
      </c>
      <c r="Z402" s="101" t="s">
        <v>171</v>
      </c>
      <c r="AA402" s="101" t="s">
        <v>50</v>
      </c>
      <c r="AB402" s="101" t="s">
        <v>172</v>
      </c>
      <c r="AC402" s="102" t="s">
        <v>173</v>
      </c>
    </row>
    <row r="403" spans="1:29" ht="25.5" customHeight="1" x14ac:dyDescent="0.35">
      <c r="A403" s="392"/>
      <c r="B403" s="393"/>
      <c r="C403" s="99" t="str">
        <f>IF(B403="","",IF(NOT(ISNUMBER(B403)),"DATA_PC invalida",IF(NOT(ISNUMBER(parametros!$C$2)),"Fora dos ciclos",IF(OR(B403&lt;parametros!$C$2,(YEAR(B403)-YEAR(parametros!$C$2))*12+MONTH(B403)-MONTH(parametros!$C$2)&gt;59),"Fora dos ciclos","C"&amp;INT(((YEAR(B403)-YEAR(parametros!$C$2))*12+MONTH(B403)-MONTH(parametros!$C$2))/12)))))</f>
        <v/>
      </c>
      <c r="D403" s="394"/>
      <c r="E403" s="78" t="str">
        <f>IF(C403="","",IFERROR(VLOOKUP(C403,parametros!$A$11:$E$15,5,0),""))</f>
        <v/>
      </c>
      <c r="F403" s="79" t="str">
        <f t="shared" si="32"/>
        <v/>
      </c>
      <c r="G403" s="395"/>
      <c r="H403" s="91">
        <f t="shared" si="33"/>
        <v>0</v>
      </c>
      <c r="I403" s="91" t="str">
        <f t="shared" si="34"/>
        <v/>
      </c>
      <c r="J403" s="91" t="str">
        <f t="shared" si="35"/>
        <v/>
      </c>
      <c r="K403" s="92" t="str">
        <f>IF(AND(A403="",B403="",D403="",G403=""),"",IF(AND(A403&lt;&gt;"",COUNTIF($A$2:$A$5001,A403)&gt;1),"NUMERO_PC duplicado",IF(B403="","DATA_PC vazia",IF(NOT(ISNUMBER(B403)),"DATA_PC invalida",IF(OR(C403="",C403="Fora dos ciclos"),"CICLO_PC nao identificado",IF(OR(D403="",D403=0),"VALOR_PC vazio ou zero",IF(AND(G403&lt;&gt;"Sim",G403&lt;&gt;"Nao",G403&lt;&gt;""),"PC_PAGO_A_CONTRATADA invalido",IF(AND(C403&lt;&gt;"C0",IFERROR(INDEX(parametros!$A$2:$A$6,MATCH(C403,parametros!$B$2:$B$6,0)),"")="Sim",IFERROR(INDEX(parametros!$H$2:$H$6,MATCH(C403,parametros!$B$2:$B$6,0)),"")=""),"INICIO_EFEITO ausente: PC "&amp;A403&amp;" - "&amp;C403,IF(L403="","EFEITO_PC nao calculado: PC "&amp;A403&amp;" - "&amp;C403,"OK")))))))))</f>
        <v/>
      </c>
      <c r="L403" s="92" t="str">
        <f>IF(AND(A403="",B403="",D403="",G403=""),"",IF(OR(B403="",NOT(ISNUMBER(B403)),C403="",C403="Fora dos ciclos"),"",IF(C403="C0","Nao",IF(IFERROR(INDEX(parametros!$A$2:$A$6,MATCH(C403,parametros!$B$2:$B$6,0)),"")&lt;&gt;"Sim","Nao",IF(IFERROR(INDEX(parametros!$H$2:$H$6,MATCH(C403,parametros!$B$2:$B$6,0)),"")="","",IF(B403&gt;=IFERROR(INDEX(parametros!$H$2:$H$6,MATCH(C403,parametros!$B$2:$B$6,0)),""),"Sim","Nao"))))))</f>
        <v/>
      </c>
      <c r="T403" s="156"/>
      <c r="U403" s="214" t="str">
        <f t="shared" si="36"/>
        <v/>
      </c>
      <c r="V403" s="212" t="s">
        <v>50</v>
      </c>
      <c r="W403" s="100" t="s">
        <v>168</v>
      </c>
      <c r="X403" s="100" t="s">
        <v>169</v>
      </c>
      <c r="Y403" s="101" t="s">
        <v>170</v>
      </c>
      <c r="Z403" s="101" t="s">
        <v>171</v>
      </c>
      <c r="AA403" s="101" t="s">
        <v>50</v>
      </c>
      <c r="AB403" s="101" t="s">
        <v>172</v>
      </c>
      <c r="AC403" s="102" t="s">
        <v>173</v>
      </c>
    </row>
    <row r="404" spans="1:29" ht="25.5" customHeight="1" x14ac:dyDescent="0.35">
      <c r="A404" s="392"/>
      <c r="B404" s="393"/>
      <c r="C404" s="99" t="str">
        <f>IF(B404="","",IF(NOT(ISNUMBER(B404)),"DATA_PC invalida",IF(NOT(ISNUMBER(parametros!$C$2)),"Fora dos ciclos",IF(OR(B404&lt;parametros!$C$2,(YEAR(B404)-YEAR(parametros!$C$2))*12+MONTH(B404)-MONTH(parametros!$C$2)&gt;59),"Fora dos ciclos","C"&amp;INT(((YEAR(B404)-YEAR(parametros!$C$2))*12+MONTH(B404)-MONTH(parametros!$C$2))/12)))))</f>
        <v/>
      </c>
      <c r="D404" s="394"/>
      <c r="E404" s="78" t="str">
        <f>IF(C404="","",IFERROR(VLOOKUP(C404,parametros!$A$11:$E$15,5,0),""))</f>
        <v/>
      </c>
      <c r="F404" s="79" t="str">
        <f t="shared" si="32"/>
        <v/>
      </c>
      <c r="G404" s="395"/>
      <c r="H404" s="91">
        <f t="shared" si="33"/>
        <v>0</v>
      </c>
      <c r="I404" s="91" t="str">
        <f t="shared" si="34"/>
        <v/>
      </c>
      <c r="J404" s="91" t="str">
        <f t="shared" si="35"/>
        <v/>
      </c>
      <c r="K404" s="92" t="str">
        <f>IF(AND(A404="",B404="",D404="",G404=""),"",IF(AND(A404&lt;&gt;"",COUNTIF($A$2:$A$5001,A404)&gt;1),"NUMERO_PC duplicado",IF(B404="","DATA_PC vazia",IF(NOT(ISNUMBER(B404)),"DATA_PC invalida",IF(OR(C404="",C404="Fora dos ciclos"),"CICLO_PC nao identificado",IF(OR(D404="",D404=0),"VALOR_PC vazio ou zero",IF(AND(G404&lt;&gt;"Sim",G404&lt;&gt;"Nao",G404&lt;&gt;""),"PC_PAGO_A_CONTRATADA invalido",IF(AND(C404&lt;&gt;"C0",IFERROR(INDEX(parametros!$A$2:$A$6,MATCH(C404,parametros!$B$2:$B$6,0)),"")="Sim",IFERROR(INDEX(parametros!$H$2:$H$6,MATCH(C404,parametros!$B$2:$B$6,0)),"")=""),"INICIO_EFEITO ausente: PC "&amp;A404&amp;" - "&amp;C404,IF(L404="","EFEITO_PC nao calculado: PC "&amp;A404&amp;" - "&amp;C404,"OK")))))))))</f>
        <v/>
      </c>
      <c r="L404" s="92" t="str">
        <f>IF(AND(A404="",B404="",D404="",G404=""),"",IF(OR(B404="",NOT(ISNUMBER(B404)),C404="",C404="Fora dos ciclos"),"",IF(C404="C0","Nao",IF(IFERROR(INDEX(parametros!$A$2:$A$6,MATCH(C404,parametros!$B$2:$B$6,0)),"")&lt;&gt;"Sim","Nao",IF(IFERROR(INDEX(parametros!$H$2:$H$6,MATCH(C404,parametros!$B$2:$B$6,0)),"")="","",IF(B404&gt;=IFERROR(INDEX(parametros!$H$2:$H$6,MATCH(C404,parametros!$B$2:$B$6,0)),""),"Sim","Nao"))))))</f>
        <v/>
      </c>
      <c r="T404" s="156"/>
      <c r="U404" s="214" t="str">
        <f t="shared" si="36"/>
        <v/>
      </c>
      <c r="V404" s="212" t="s">
        <v>50</v>
      </c>
      <c r="W404" s="100" t="s">
        <v>168</v>
      </c>
      <c r="X404" s="100" t="s">
        <v>169</v>
      </c>
      <c r="Y404" s="101" t="s">
        <v>170</v>
      </c>
      <c r="Z404" s="101" t="s">
        <v>171</v>
      </c>
      <c r="AA404" s="101" t="s">
        <v>50</v>
      </c>
      <c r="AB404" s="101" t="s">
        <v>172</v>
      </c>
      <c r="AC404" s="102" t="s">
        <v>173</v>
      </c>
    </row>
    <row r="405" spans="1:29" ht="25.5" customHeight="1" x14ac:dyDescent="0.35">
      <c r="A405" s="392"/>
      <c r="B405" s="393"/>
      <c r="C405" s="99" t="str">
        <f>IF(B405="","",IF(NOT(ISNUMBER(B405)),"DATA_PC invalida",IF(NOT(ISNUMBER(parametros!$C$2)),"Fora dos ciclos",IF(OR(B405&lt;parametros!$C$2,(YEAR(B405)-YEAR(parametros!$C$2))*12+MONTH(B405)-MONTH(parametros!$C$2)&gt;59),"Fora dos ciclos","C"&amp;INT(((YEAR(B405)-YEAR(parametros!$C$2))*12+MONTH(B405)-MONTH(parametros!$C$2))/12)))))</f>
        <v/>
      </c>
      <c r="D405" s="394"/>
      <c r="E405" s="78" t="str">
        <f>IF(C405="","",IFERROR(VLOOKUP(C405,parametros!$A$11:$E$15,5,0),""))</f>
        <v/>
      </c>
      <c r="F405" s="79" t="str">
        <f t="shared" si="32"/>
        <v/>
      </c>
      <c r="G405" s="395"/>
      <c r="H405" s="91">
        <f t="shared" si="33"/>
        <v>0</v>
      </c>
      <c r="I405" s="91" t="str">
        <f t="shared" si="34"/>
        <v/>
      </c>
      <c r="J405" s="91" t="str">
        <f t="shared" si="35"/>
        <v/>
      </c>
      <c r="K405" s="92" t="str">
        <f>IF(AND(A405="",B405="",D405="",G405=""),"",IF(AND(A405&lt;&gt;"",COUNTIF($A$2:$A$5001,A405)&gt;1),"NUMERO_PC duplicado",IF(B405="","DATA_PC vazia",IF(NOT(ISNUMBER(B405)),"DATA_PC invalida",IF(OR(C405="",C405="Fora dos ciclos"),"CICLO_PC nao identificado",IF(OR(D405="",D405=0),"VALOR_PC vazio ou zero",IF(AND(G405&lt;&gt;"Sim",G405&lt;&gt;"Nao",G405&lt;&gt;""),"PC_PAGO_A_CONTRATADA invalido",IF(AND(C405&lt;&gt;"C0",IFERROR(INDEX(parametros!$A$2:$A$6,MATCH(C405,parametros!$B$2:$B$6,0)),"")="Sim",IFERROR(INDEX(parametros!$H$2:$H$6,MATCH(C405,parametros!$B$2:$B$6,0)),"")=""),"INICIO_EFEITO ausente: PC "&amp;A405&amp;" - "&amp;C405,IF(L405="","EFEITO_PC nao calculado: PC "&amp;A405&amp;" - "&amp;C405,"OK")))))))))</f>
        <v/>
      </c>
      <c r="L405" s="92" t="str">
        <f>IF(AND(A405="",B405="",D405="",G405=""),"",IF(OR(B405="",NOT(ISNUMBER(B405)),C405="",C405="Fora dos ciclos"),"",IF(C405="C0","Nao",IF(IFERROR(INDEX(parametros!$A$2:$A$6,MATCH(C405,parametros!$B$2:$B$6,0)),"")&lt;&gt;"Sim","Nao",IF(IFERROR(INDEX(parametros!$H$2:$H$6,MATCH(C405,parametros!$B$2:$B$6,0)),"")="","",IF(B405&gt;=IFERROR(INDEX(parametros!$H$2:$H$6,MATCH(C405,parametros!$B$2:$B$6,0)),""),"Sim","Nao"))))))</f>
        <v/>
      </c>
      <c r="T405" s="156"/>
      <c r="U405" s="214" t="str">
        <f t="shared" si="36"/>
        <v/>
      </c>
      <c r="V405" s="212" t="s">
        <v>50</v>
      </c>
      <c r="W405" s="100" t="s">
        <v>168</v>
      </c>
      <c r="X405" s="100" t="s">
        <v>169</v>
      </c>
      <c r="Y405" s="101" t="s">
        <v>170</v>
      </c>
      <c r="Z405" s="101" t="s">
        <v>171</v>
      </c>
      <c r="AA405" s="101" t="s">
        <v>50</v>
      </c>
      <c r="AB405" s="101" t="s">
        <v>172</v>
      </c>
      <c r="AC405" s="102" t="s">
        <v>173</v>
      </c>
    </row>
    <row r="406" spans="1:29" ht="25.5" customHeight="1" x14ac:dyDescent="0.35">
      <c r="A406" s="392"/>
      <c r="B406" s="393"/>
      <c r="C406" s="99" t="str">
        <f>IF(B406="","",IF(NOT(ISNUMBER(B406)),"DATA_PC invalida",IF(NOT(ISNUMBER(parametros!$C$2)),"Fora dos ciclos",IF(OR(B406&lt;parametros!$C$2,(YEAR(B406)-YEAR(parametros!$C$2))*12+MONTH(B406)-MONTH(parametros!$C$2)&gt;59),"Fora dos ciclos","C"&amp;INT(((YEAR(B406)-YEAR(parametros!$C$2))*12+MONTH(B406)-MONTH(parametros!$C$2))/12)))))</f>
        <v/>
      </c>
      <c r="D406" s="394"/>
      <c r="E406" s="78" t="str">
        <f>IF(C406="","",IFERROR(VLOOKUP(C406,parametros!$A$11:$E$15,5,0),""))</f>
        <v/>
      </c>
      <c r="F406" s="79" t="str">
        <f t="shared" si="32"/>
        <v/>
      </c>
      <c r="G406" s="395"/>
      <c r="H406" s="91">
        <f t="shared" si="33"/>
        <v>0</v>
      </c>
      <c r="I406" s="91" t="str">
        <f t="shared" si="34"/>
        <v/>
      </c>
      <c r="J406" s="91" t="str">
        <f t="shared" si="35"/>
        <v/>
      </c>
      <c r="K406" s="92" t="str">
        <f>IF(AND(A406="",B406="",D406="",G406=""),"",IF(AND(A406&lt;&gt;"",COUNTIF($A$2:$A$5001,A406)&gt;1),"NUMERO_PC duplicado",IF(B406="","DATA_PC vazia",IF(NOT(ISNUMBER(B406)),"DATA_PC invalida",IF(OR(C406="",C406="Fora dos ciclos"),"CICLO_PC nao identificado",IF(OR(D406="",D406=0),"VALOR_PC vazio ou zero",IF(AND(G406&lt;&gt;"Sim",G406&lt;&gt;"Nao",G406&lt;&gt;""),"PC_PAGO_A_CONTRATADA invalido",IF(AND(C406&lt;&gt;"C0",IFERROR(INDEX(parametros!$A$2:$A$6,MATCH(C406,parametros!$B$2:$B$6,0)),"")="Sim",IFERROR(INDEX(parametros!$H$2:$H$6,MATCH(C406,parametros!$B$2:$B$6,0)),"")=""),"INICIO_EFEITO ausente: PC "&amp;A406&amp;" - "&amp;C406,IF(L406="","EFEITO_PC nao calculado: PC "&amp;A406&amp;" - "&amp;C406,"OK")))))))))</f>
        <v/>
      </c>
      <c r="L406" s="92" t="str">
        <f>IF(AND(A406="",B406="",D406="",G406=""),"",IF(OR(B406="",NOT(ISNUMBER(B406)),C406="",C406="Fora dos ciclos"),"",IF(C406="C0","Nao",IF(IFERROR(INDEX(parametros!$A$2:$A$6,MATCH(C406,parametros!$B$2:$B$6,0)),"")&lt;&gt;"Sim","Nao",IF(IFERROR(INDEX(parametros!$H$2:$H$6,MATCH(C406,parametros!$B$2:$B$6,0)),"")="","",IF(B406&gt;=IFERROR(INDEX(parametros!$H$2:$H$6,MATCH(C406,parametros!$B$2:$B$6,0)),""),"Sim","Nao"))))))</f>
        <v/>
      </c>
      <c r="T406" s="156"/>
      <c r="U406" s="214" t="str">
        <f t="shared" si="36"/>
        <v/>
      </c>
      <c r="V406" s="212" t="s">
        <v>50</v>
      </c>
      <c r="W406" s="100" t="s">
        <v>168</v>
      </c>
      <c r="X406" s="100" t="s">
        <v>169</v>
      </c>
      <c r="Y406" s="101" t="s">
        <v>170</v>
      </c>
      <c r="Z406" s="101" t="s">
        <v>171</v>
      </c>
      <c r="AA406" s="101" t="s">
        <v>50</v>
      </c>
      <c r="AB406" s="101" t="s">
        <v>172</v>
      </c>
      <c r="AC406" s="102" t="s">
        <v>173</v>
      </c>
    </row>
    <row r="407" spans="1:29" ht="25.5" customHeight="1" x14ac:dyDescent="0.35">
      <c r="A407" s="392"/>
      <c r="B407" s="393"/>
      <c r="C407" s="99" t="str">
        <f>IF(B407="","",IF(NOT(ISNUMBER(B407)),"DATA_PC invalida",IF(NOT(ISNUMBER(parametros!$C$2)),"Fora dos ciclos",IF(OR(B407&lt;parametros!$C$2,(YEAR(B407)-YEAR(parametros!$C$2))*12+MONTH(B407)-MONTH(parametros!$C$2)&gt;59),"Fora dos ciclos","C"&amp;INT(((YEAR(B407)-YEAR(parametros!$C$2))*12+MONTH(B407)-MONTH(parametros!$C$2))/12)))))</f>
        <v/>
      </c>
      <c r="D407" s="394"/>
      <c r="E407" s="78" t="str">
        <f>IF(C407="","",IFERROR(VLOOKUP(C407,parametros!$A$11:$E$15,5,0),""))</f>
        <v/>
      </c>
      <c r="F407" s="79" t="str">
        <f t="shared" si="32"/>
        <v/>
      </c>
      <c r="G407" s="395"/>
      <c r="H407" s="91">
        <f t="shared" si="33"/>
        <v>0</v>
      </c>
      <c r="I407" s="91" t="str">
        <f t="shared" si="34"/>
        <v/>
      </c>
      <c r="J407" s="91" t="str">
        <f t="shared" si="35"/>
        <v/>
      </c>
      <c r="K407" s="92" t="str">
        <f>IF(AND(A407="",B407="",D407="",G407=""),"",IF(AND(A407&lt;&gt;"",COUNTIF($A$2:$A$5001,A407)&gt;1),"NUMERO_PC duplicado",IF(B407="","DATA_PC vazia",IF(NOT(ISNUMBER(B407)),"DATA_PC invalida",IF(OR(C407="",C407="Fora dos ciclos"),"CICLO_PC nao identificado",IF(OR(D407="",D407=0),"VALOR_PC vazio ou zero",IF(AND(G407&lt;&gt;"Sim",G407&lt;&gt;"Nao",G407&lt;&gt;""),"PC_PAGO_A_CONTRATADA invalido",IF(AND(C407&lt;&gt;"C0",IFERROR(INDEX(parametros!$A$2:$A$6,MATCH(C407,parametros!$B$2:$B$6,0)),"")="Sim",IFERROR(INDEX(parametros!$H$2:$H$6,MATCH(C407,parametros!$B$2:$B$6,0)),"")=""),"INICIO_EFEITO ausente: PC "&amp;A407&amp;" - "&amp;C407,IF(L407="","EFEITO_PC nao calculado: PC "&amp;A407&amp;" - "&amp;C407,"OK")))))))))</f>
        <v/>
      </c>
      <c r="L407" s="92" t="str">
        <f>IF(AND(A407="",B407="",D407="",G407=""),"",IF(OR(B407="",NOT(ISNUMBER(B407)),C407="",C407="Fora dos ciclos"),"",IF(C407="C0","Nao",IF(IFERROR(INDEX(parametros!$A$2:$A$6,MATCH(C407,parametros!$B$2:$B$6,0)),"")&lt;&gt;"Sim","Nao",IF(IFERROR(INDEX(parametros!$H$2:$H$6,MATCH(C407,parametros!$B$2:$B$6,0)),"")="","",IF(B407&gt;=IFERROR(INDEX(parametros!$H$2:$H$6,MATCH(C407,parametros!$B$2:$B$6,0)),""),"Sim","Nao"))))))</f>
        <v/>
      </c>
      <c r="T407" s="156"/>
      <c r="U407" s="214" t="str">
        <f t="shared" si="36"/>
        <v/>
      </c>
      <c r="V407" s="212" t="s">
        <v>50</v>
      </c>
      <c r="W407" s="100" t="s">
        <v>168</v>
      </c>
      <c r="X407" s="100" t="s">
        <v>169</v>
      </c>
      <c r="Y407" s="101" t="s">
        <v>170</v>
      </c>
      <c r="Z407" s="101" t="s">
        <v>171</v>
      </c>
      <c r="AA407" s="101" t="s">
        <v>50</v>
      </c>
      <c r="AB407" s="101" t="s">
        <v>172</v>
      </c>
      <c r="AC407" s="102" t="s">
        <v>173</v>
      </c>
    </row>
    <row r="408" spans="1:29" ht="25.5" customHeight="1" x14ac:dyDescent="0.35">
      <c r="A408" s="392"/>
      <c r="B408" s="393"/>
      <c r="C408" s="99" t="str">
        <f>IF(B408="","",IF(NOT(ISNUMBER(B408)),"DATA_PC invalida",IF(NOT(ISNUMBER(parametros!$C$2)),"Fora dos ciclos",IF(OR(B408&lt;parametros!$C$2,(YEAR(B408)-YEAR(parametros!$C$2))*12+MONTH(B408)-MONTH(parametros!$C$2)&gt;59),"Fora dos ciclos","C"&amp;INT(((YEAR(B408)-YEAR(parametros!$C$2))*12+MONTH(B408)-MONTH(parametros!$C$2))/12)))))</f>
        <v/>
      </c>
      <c r="D408" s="394"/>
      <c r="E408" s="78" t="str">
        <f>IF(C408="","",IFERROR(VLOOKUP(C408,parametros!$A$11:$E$15,5,0),""))</f>
        <v/>
      </c>
      <c r="F408" s="79" t="str">
        <f t="shared" si="32"/>
        <v/>
      </c>
      <c r="G408" s="395"/>
      <c r="H408" s="91">
        <f t="shared" si="33"/>
        <v>0</v>
      </c>
      <c r="I408" s="91" t="str">
        <f t="shared" si="34"/>
        <v/>
      </c>
      <c r="J408" s="91" t="str">
        <f t="shared" si="35"/>
        <v/>
      </c>
      <c r="K408" s="92" t="str">
        <f>IF(AND(A408="",B408="",D408="",G408=""),"",IF(AND(A408&lt;&gt;"",COUNTIF($A$2:$A$5001,A408)&gt;1),"NUMERO_PC duplicado",IF(B408="","DATA_PC vazia",IF(NOT(ISNUMBER(B408)),"DATA_PC invalida",IF(OR(C408="",C408="Fora dos ciclos"),"CICLO_PC nao identificado",IF(OR(D408="",D408=0),"VALOR_PC vazio ou zero",IF(AND(G408&lt;&gt;"Sim",G408&lt;&gt;"Nao",G408&lt;&gt;""),"PC_PAGO_A_CONTRATADA invalido",IF(AND(C408&lt;&gt;"C0",IFERROR(INDEX(parametros!$A$2:$A$6,MATCH(C408,parametros!$B$2:$B$6,0)),"")="Sim",IFERROR(INDEX(parametros!$H$2:$H$6,MATCH(C408,parametros!$B$2:$B$6,0)),"")=""),"INICIO_EFEITO ausente: PC "&amp;A408&amp;" - "&amp;C408,IF(L408="","EFEITO_PC nao calculado: PC "&amp;A408&amp;" - "&amp;C408,"OK")))))))))</f>
        <v/>
      </c>
      <c r="L408" s="92" t="str">
        <f>IF(AND(A408="",B408="",D408="",G408=""),"",IF(OR(B408="",NOT(ISNUMBER(B408)),C408="",C408="Fora dos ciclos"),"",IF(C408="C0","Nao",IF(IFERROR(INDEX(parametros!$A$2:$A$6,MATCH(C408,parametros!$B$2:$B$6,0)),"")&lt;&gt;"Sim","Nao",IF(IFERROR(INDEX(parametros!$H$2:$H$6,MATCH(C408,parametros!$B$2:$B$6,0)),"")="","",IF(B408&gt;=IFERROR(INDEX(parametros!$H$2:$H$6,MATCH(C408,parametros!$B$2:$B$6,0)),""),"Sim","Nao"))))))</f>
        <v/>
      </c>
      <c r="T408" s="156"/>
      <c r="U408" s="214" t="str">
        <f t="shared" si="36"/>
        <v/>
      </c>
      <c r="V408" s="212" t="s">
        <v>50</v>
      </c>
      <c r="W408" s="100" t="s">
        <v>168</v>
      </c>
      <c r="X408" s="100" t="s">
        <v>169</v>
      </c>
      <c r="Y408" s="101" t="s">
        <v>170</v>
      </c>
      <c r="Z408" s="101" t="s">
        <v>171</v>
      </c>
      <c r="AA408" s="101" t="s">
        <v>50</v>
      </c>
      <c r="AB408" s="101" t="s">
        <v>172</v>
      </c>
      <c r="AC408" s="102" t="s">
        <v>173</v>
      </c>
    </row>
    <row r="409" spans="1:29" ht="25.5" customHeight="1" x14ac:dyDescent="0.35">
      <c r="A409" s="392"/>
      <c r="B409" s="393"/>
      <c r="C409" s="99" t="str">
        <f>IF(B409="","",IF(NOT(ISNUMBER(B409)),"DATA_PC invalida",IF(NOT(ISNUMBER(parametros!$C$2)),"Fora dos ciclos",IF(OR(B409&lt;parametros!$C$2,(YEAR(B409)-YEAR(parametros!$C$2))*12+MONTH(B409)-MONTH(parametros!$C$2)&gt;59),"Fora dos ciclos","C"&amp;INT(((YEAR(B409)-YEAR(parametros!$C$2))*12+MONTH(B409)-MONTH(parametros!$C$2))/12)))))</f>
        <v/>
      </c>
      <c r="D409" s="394"/>
      <c r="E409" s="78" t="str">
        <f>IF(C409="","",IFERROR(VLOOKUP(C409,parametros!$A$11:$E$15,5,0),""))</f>
        <v/>
      </c>
      <c r="F409" s="79" t="str">
        <f t="shared" si="32"/>
        <v/>
      </c>
      <c r="G409" s="395"/>
      <c r="H409" s="91">
        <f t="shared" si="33"/>
        <v>0</v>
      </c>
      <c r="I409" s="91" t="str">
        <f t="shared" si="34"/>
        <v/>
      </c>
      <c r="J409" s="91" t="str">
        <f t="shared" si="35"/>
        <v/>
      </c>
      <c r="K409" s="92" t="str">
        <f>IF(AND(A409="",B409="",D409="",G409=""),"",IF(AND(A409&lt;&gt;"",COUNTIF($A$2:$A$5001,A409)&gt;1),"NUMERO_PC duplicado",IF(B409="","DATA_PC vazia",IF(NOT(ISNUMBER(B409)),"DATA_PC invalida",IF(OR(C409="",C409="Fora dos ciclos"),"CICLO_PC nao identificado",IF(OR(D409="",D409=0),"VALOR_PC vazio ou zero",IF(AND(G409&lt;&gt;"Sim",G409&lt;&gt;"Nao",G409&lt;&gt;""),"PC_PAGO_A_CONTRATADA invalido",IF(AND(C409&lt;&gt;"C0",IFERROR(INDEX(parametros!$A$2:$A$6,MATCH(C409,parametros!$B$2:$B$6,0)),"")="Sim",IFERROR(INDEX(parametros!$H$2:$H$6,MATCH(C409,parametros!$B$2:$B$6,0)),"")=""),"INICIO_EFEITO ausente: PC "&amp;A409&amp;" - "&amp;C409,IF(L409="","EFEITO_PC nao calculado: PC "&amp;A409&amp;" - "&amp;C409,"OK")))))))))</f>
        <v/>
      </c>
      <c r="L409" s="92" t="str">
        <f>IF(AND(A409="",B409="",D409="",G409=""),"",IF(OR(B409="",NOT(ISNUMBER(B409)),C409="",C409="Fora dos ciclos"),"",IF(C409="C0","Nao",IF(IFERROR(INDEX(parametros!$A$2:$A$6,MATCH(C409,parametros!$B$2:$B$6,0)),"")&lt;&gt;"Sim","Nao",IF(IFERROR(INDEX(parametros!$H$2:$H$6,MATCH(C409,parametros!$B$2:$B$6,0)),"")="","",IF(B409&gt;=IFERROR(INDEX(parametros!$H$2:$H$6,MATCH(C409,parametros!$B$2:$B$6,0)),""),"Sim","Nao"))))))</f>
        <v/>
      </c>
      <c r="T409" s="156"/>
      <c r="U409" s="214" t="str">
        <f t="shared" si="36"/>
        <v/>
      </c>
      <c r="V409" s="212" t="s">
        <v>50</v>
      </c>
      <c r="W409" s="100" t="s">
        <v>168</v>
      </c>
      <c r="X409" s="100" t="s">
        <v>169</v>
      </c>
      <c r="Y409" s="101" t="s">
        <v>170</v>
      </c>
      <c r="Z409" s="101" t="s">
        <v>171</v>
      </c>
      <c r="AA409" s="101" t="s">
        <v>50</v>
      </c>
      <c r="AB409" s="101" t="s">
        <v>172</v>
      </c>
      <c r="AC409" s="102" t="s">
        <v>173</v>
      </c>
    </row>
    <row r="410" spans="1:29" ht="25.5" customHeight="1" x14ac:dyDescent="0.35">
      <c r="A410" s="392"/>
      <c r="B410" s="393"/>
      <c r="C410" s="99" t="str">
        <f>IF(B410="","",IF(NOT(ISNUMBER(B410)),"DATA_PC invalida",IF(NOT(ISNUMBER(parametros!$C$2)),"Fora dos ciclos",IF(OR(B410&lt;parametros!$C$2,(YEAR(B410)-YEAR(parametros!$C$2))*12+MONTH(B410)-MONTH(parametros!$C$2)&gt;59),"Fora dos ciclos","C"&amp;INT(((YEAR(B410)-YEAR(parametros!$C$2))*12+MONTH(B410)-MONTH(parametros!$C$2))/12)))))</f>
        <v/>
      </c>
      <c r="D410" s="394"/>
      <c r="E410" s="78" t="str">
        <f>IF(C410="","",IFERROR(VLOOKUP(C410,parametros!$A$11:$E$15,5,0),""))</f>
        <v/>
      </c>
      <c r="F410" s="79" t="str">
        <f t="shared" si="32"/>
        <v/>
      </c>
      <c r="G410" s="395"/>
      <c r="H410" s="91">
        <f t="shared" si="33"/>
        <v>0</v>
      </c>
      <c r="I410" s="91" t="str">
        <f t="shared" si="34"/>
        <v/>
      </c>
      <c r="J410" s="91" t="str">
        <f t="shared" si="35"/>
        <v/>
      </c>
      <c r="K410" s="92" t="str">
        <f>IF(AND(A410="",B410="",D410="",G410=""),"",IF(AND(A410&lt;&gt;"",COUNTIF($A$2:$A$5001,A410)&gt;1),"NUMERO_PC duplicado",IF(B410="","DATA_PC vazia",IF(NOT(ISNUMBER(B410)),"DATA_PC invalida",IF(OR(C410="",C410="Fora dos ciclos"),"CICLO_PC nao identificado",IF(OR(D410="",D410=0),"VALOR_PC vazio ou zero",IF(AND(G410&lt;&gt;"Sim",G410&lt;&gt;"Nao",G410&lt;&gt;""),"PC_PAGO_A_CONTRATADA invalido",IF(AND(C410&lt;&gt;"C0",IFERROR(INDEX(parametros!$A$2:$A$6,MATCH(C410,parametros!$B$2:$B$6,0)),"")="Sim",IFERROR(INDEX(parametros!$H$2:$H$6,MATCH(C410,parametros!$B$2:$B$6,0)),"")=""),"INICIO_EFEITO ausente: PC "&amp;A410&amp;" - "&amp;C410,IF(L410="","EFEITO_PC nao calculado: PC "&amp;A410&amp;" - "&amp;C410,"OK")))))))))</f>
        <v/>
      </c>
      <c r="L410" s="92" t="str">
        <f>IF(AND(A410="",B410="",D410="",G410=""),"",IF(OR(B410="",NOT(ISNUMBER(B410)),C410="",C410="Fora dos ciclos"),"",IF(C410="C0","Nao",IF(IFERROR(INDEX(parametros!$A$2:$A$6,MATCH(C410,parametros!$B$2:$B$6,0)),"")&lt;&gt;"Sim","Nao",IF(IFERROR(INDEX(parametros!$H$2:$H$6,MATCH(C410,parametros!$B$2:$B$6,0)),"")="","",IF(B410&gt;=IFERROR(INDEX(parametros!$H$2:$H$6,MATCH(C410,parametros!$B$2:$B$6,0)),""),"Sim","Nao"))))))</f>
        <v/>
      </c>
      <c r="T410" s="156"/>
      <c r="U410" s="214" t="str">
        <f t="shared" si="36"/>
        <v/>
      </c>
      <c r="V410" s="212" t="s">
        <v>50</v>
      </c>
      <c r="W410" s="100" t="s">
        <v>168</v>
      </c>
      <c r="X410" s="100" t="s">
        <v>169</v>
      </c>
      <c r="Y410" s="101" t="s">
        <v>170</v>
      </c>
      <c r="Z410" s="101" t="s">
        <v>171</v>
      </c>
      <c r="AA410" s="101" t="s">
        <v>50</v>
      </c>
      <c r="AB410" s="101" t="s">
        <v>172</v>
      </c>
      <c r="AC410" s="102" t="s">
        <v>173</v>
      </c>
    </row>
    <row r="411" spans="1:29" ht="25.5" customHeight="1" x14ac:dyDescent="0.35">
      <c r="A411" s="392"/>
      <c r="B411" s="393"/>
      <c r="C411" s="99" t="str">
        <f>IF(B411="","",IF(NOT(ISNUMBER(B411)),"DATA_PC invalida",IF(NOT(ISNUMBER(parametros!$C$2)),"Fora dos ciclos",IF(OR(B411&lt;parametros!$C$2,(YEAR(B411)-YEAR(parametros!$C$2))*12+MONTH(B411)-MONTH(parametros!$C$2)&gt;59),"Fora dos ciclos","C"&amp;INT(((YEAR(B411)-YEAR(parametros!$C$2))*12+MONTH(B411)-MONTH(parametros!$C$2))/12)))))</f>
        <v/>
      </c>
      <c r="D411" s="394"/>
      <c r="E411" s="78" t="str">
        <f>IF(C411="","",IFERROR(VLOOKUP(C411,parametros!$A$11:$E$15,5,0),""))</f>
        <v/>
      </c>
      <c r="F411" s="79" t="str">
        <f t="shared" si="32"/>
        <v/>
      </c>
      <c r="G411" s="395"/>
      <c r="H411" s="91">
        <f t="shared" si="33"/>
        <v>0</v>
      </c>
      <c r="I411" s="91" t="str">
        <f t="shared" si="34"/>
        <v/>
      </c>
      <c r="J411" s="91" t="str">
        <f t="shared" si="35"/>
        <v/>
      </c>
      <c r="K411" s="92" t="str">
        <f>IF(AND(A411="",B411="",D411="",G411=""),"",IF(AND(A411&lt;&gt;"",COUNTIF($A$2:$A$5001,A411)&gt;1),"NUMERO_PC duplicado",IF(B411="","DATA_PC vazia",IF(NOT(ISNUMBER(B411)),"DATA_PC invalida",IF(OR(C411="",C411="Fora dos ciclos"),"CICLO_PC nao identificado",IF(OR(D411="",D411=0),"VALOR_PC vazio ou zero",IF(AND(G411&lt;&gt;"Sim",G411&lt;&gt;"Nao",G411&lt;&gt;""),"PC_PAGO_A_CONTRATADA invalido",IF(AND(C411&lt;&gt;"C0",IFERROR(INDEX(parametros!$A$2:$A$6,MATCH(C411,parametros!$B$2:$B$6,0)),"")="Sim",IFERROR(INDEX(parametros!$H$2:$H$6,MATCH(C411,parametros!$B$2:$B$6,0)),"")=""),"INICIO_EFEITO ausente: PC "&amp;A411&amp;" - "&amp;C411,IF(L411="","EFEITO_PC nao calculado: PC "&amp;A411&amp;" - "&amp;C411,"OK")))))))))</f>
        <v/>
      </c>
      <c r="L411" s="92" t="str">
        <f>IF(AND(A411="",B411="",D411="",G411=""),"",IF(OR(B411="",NOT(ISNUMBER(B411)),C411="",C411="Fora dos ciclos"),"",IF(C411="C0","Nao",IF(IFERROR(INDEX(parametros!$A$2:$A$6,MATCH(C411,parametros!$B$2:$B$6,0)),"")&lt;&gt;"Sim","Nao",IF(IFERROR(INDEX(parametros!$H$2:$H$6,MATCH(C411,parametros!$B$2:$B$6,0)),"")="","",IF(B411&gt;=IFERROR(INDEX(parametros!$H$2:$H$6,MATCH(C411,parametros!$B$2:$B$6,0)),""),"Sim","Nao"))))))</f>
        <v/>
      </c>
      <c r="T411" s="156"/>
      <c r="U411" s="214" t="str">
        <f t="shared" si="36"/>
        <v/>
      </c>
      <c r="V411" s="212" t="s">
        <v>50</v>
      </c>
      <c r="W411" s="100" t="s">
        <v>168</v>
      </c>
      <c r="X411" s="100" t="s">
        <v>169</v>
      </c>
      <c r="Y411" s="101" t="s">
        <v>170</v>
      </c>
      <c r="Z411" s="101" t="s">
        <v>171</v>
      </c>
      <c r="AA411" s="101" t="s">
        <v>50</v>
      </c>
      <c r="AB411" s="101" t="s">
        <v>172</v>
      </c>
      <c r="AC411" s="102" t="s">
        <v>173</v>
      </c>
    </row>
    <row r="412" spans="1:29" ht="25.5" customHeight="1" x14ac:dyDescent="0.35">
      <c r="A412" s="392"/>
      <c r="B412" s="393"/>
      <c r="C412" s="99" t="str">
        <f>IF(B412="","",IF(NOT(ISNUMBER(B412)),"DATA_PC invalida",IF(NOT(ISNUMBER(parametros!$C$2)),"Fora dos ciclos",IF(OR(B412&lt;parametros!$C$2,(YEAR(B412)-YEAR(parametros!$C$2))*12+MONTH(B412)-MONTH(parametros!$C$2)&gt;59),"Fora dos ciclos","C"&amp;INT(((YEAR(B412)-YEAR(parametros!$C$2))*12+MONTH(B412)-MONTH(parametros!$C$2))/12)))))</f>
        <v/>
      </c>
      <c r="D412" s="394"/>
      <c r="E412" s="78" t="str">
        <f>IF(C412="","",IFERROR(VLOOKUP(C412,parametros!$A$11:$E$15,5,0),""))</f>
        <v/>
      </c>
      <c r="F412" s="79" t="str">
        <f t="shared" si="32"/>
        <v/>
      </c>
      <c r="G412" s="395"/>
      <c r="H412" s="91">
        <f t="shared" si="33"/>
        <v>0</v>
      </c>
      <c r="I412" s="91" t="str">
        <f t="shared" si="34"/>
        <v/>
      </c>
      <c r="J412" s="91" t="str">
        <f t="shared" si="35"/>
        <v/>
      </c>
      <c r="K412" s="92" t="str">
        <f>IF(AND(A412="",B412="",D412="",G412=""),"",IF(AND(A412&lt;&gt;"",COUNTIF($A$2:$A$5001,A412)&gt;1),"NUMERO_PC duplicado",IF(B412="","DATA_PC vazia",IF(NOT(ISNUMBER(B412)),"DATA_PC invalida",IF(OR(C412="",C412="Fora dos ciclos"),"CICLO_PC nao identificado",IF(OR(D412="",D412=0),"VALOR_PC vazio ou zero",IF(AND(G412&lt;&gt;"Sim",G412&lt;&gt;"Nao",G412&lt;&gt;""),"PC_PAGO_A_CONTRATADA invalido",IF(AND(C412&lt;&gt;"C0",IFERROR(INDEX(parametros!$A$2:$A$6,MATCH(C412,parametros!$B$2:$B$6,0)),"")="Sim",IFERROR(INDEX(parametros!$H$2:$H$6,MATCH(C412,parametros!$B$2:$B$6,0)),"")=""),"INICIO_EFEITO ausente: PC "&amp;A412&amp;" - "&amp;C412,IF(L412="","EFEITO_PC nao calculado: PC "&amp;A412&amp;" - "&amp;C412,"OK")))))))))</f>
        <v/>
      </c>
      <c r="L412" s="92" t="str">
        <f>IF(AND(A412="",B412="",D412="",G412=""),"",IF(OR(B412="",NOT(ISNUMBER(B412)),C412="",C412="Fora dos ciclos"),"",IF(C412="C0","Nao",IF(IFERROR(INDEX(parametros!$A$2:$A$6,MATCH(C412,parametros!$B$2:$B$6,0)),"")&lt;&gt;"Sim","Nao",IF(IFERROR(INDEX(parametros!$H$2:$H$6,MATCH(C412,parametros!$B$2:$B$6,0)),"")="","",IF(B412&gt;=IFERROR(INDEX(parametros!$H$2:$H$6,MATCH(C412,parametros!$B$2:$B$6,0)),""),"Sim","Nao"))))))</f>
        <v/>
      </c>
      <c r="T412" s="156"/>
      <c r="U412" s="214" t="str">
        <f t="shared" si="36"/>
        <v/>
      </c>
      <c r="V412" s="212" t="s">
        <v>50</v>
      </c>
      <c r="W412" s="100" t="s">
        <v>168</v>
      </c>
      <c r="X412" s="100" t="s">
        <v>169</v>
      </c>
      <c r="Y412" s="101" t="s">
        <v>170</v>
      </c>
      <c r="Z412" s="101" t="s">
        <v>171</v>
      </c>
      <c r="AA412" s="101" t="s">
        <v>50</v>
      </c>
      <c r="AB412" s="101" t="s">
        <v>172</v>
      </c>
      <c r="AC412" s="102" t="s">
        <v>173</v>
      </c>
    </row>
    <row r="413" spans="1:29" ht="25.5" customHeight="1" x14ac:dyDescent="0.35">
      <c r="A413" s="392"/>
      <c r="B413" s="393"/>
      <c r="C413" s="99" t="str">
        <f>IF(B413="","",IF(NOT(ISNUMBER(B413)),"DATA_PC invalida",IF(NOT(ISNUMBER(parametros!$C$2)),"Fora dos ciclos",IF(OR(B413&lt;parametros!$C$2,(YEAR(B413)-YEAR(parametros!$C$2))*12+MONTH(B413)-MONTH(parametros!$C$2)&gt;59),"Fora dos ciclos","C"&amp;INT(((YEAR(B413)-YEAR(parametros!$C$2))*12+MONTH(B413)-MONTH(parametros!$C$2))/12)))))</f>
        <v/>
      </c>
      <c r="D413" s="394"/>
      <c r="E413" s="78" t="str">
        <f>IF(C413="","",IFERROR(VLOOKUP(C413,parametros!$A$11:$E$15,5,0),""))</f>
        <v/>
      </c>
      <c r="F413" s="79" t="str">
        <f t="shared" si="32"/>
        <v/>
      </c>
      <c r="G413" s="395"/>
      <c r="H413" s="91">
        <f t="shared" si="33"/>
        <v>0</v>
      </c>
      <c r="I413" s="91" t="str">
        <f t="shared" si="34"/>
        <v/>
      </c>
      <c r="J413" s="91" t="str">
        <f t="shared" si="35"/>
        <v/>
      </c>
      <c r="K413" s="92" t="str">
        <f>IF(AND(A413="",B413="",D413="",G413=""),"",IF(AND(A413&lt;&gt;"",COUNTIF($A$2:$A$5001,A413)&gt;1),"NUMERO_PC duplicado",IF(B413="","DATA_PC vazia",IF(NOT(ISNUMBER(B413)),"DATA_PC invalida",IF(OR(C413="",C413="Fora dos ciclos"),"CICLO_PC nao identificado",IF(OR(D413="",D413=0),"VALOR_PC vazio ou zero",IF(AND(G413&lt;&gt;"Sim",G413&lt;&gt;"Nao",G413&lt;&gt;""),"PC_PAGO_A_CONTRATADA invalido",IF(AND(C413&lt;&gt;"C0",IFERROR(INDEX(parametros!$A$2:$A$6,MATCH(C413,parametros!$B$2:$B$6,0)),"")="Sim",IFERROR(INDEX(parametros!$H$2:$H$6,MATCH(C413,parametros!$B$2:$B$6,0)),"")=""),"INICIO_EFEITO ausente: PC "&amp;A413&amp;" - "&amp;C413,IF(L413="","EFEITO_PC nao calculado: PC "&amp;A413&amp;" - "&amp;C413,"OK")))))))))</f>
        <v/>
      </c>
      <c r="L413" s="92" t="str">
        <f>IF(AND(A413="",B413="",D413="",G413=""),"",IF(OR(B413="",NOT(ISNUMBER(B413)),C413="",C413="Fora dos ciclos"),"",IF(C413="C0","Nao",IF(IFERROR(INDEX(parametros!$A$2:$A$6,MATCH(C413,parametros!$B$2:$B$6,0)),"")&lt;&gt;"Sim","Nao",IF(IFERROR(INDEX(parametros!$H$2:$H$6,MATCH(C413,parametros!$B$2:$B$6,0)),"")="","",IF(B413&gt;=IFERROR(INDEX(parametros!$H$2:$H$6,MATCH(C413,parametros!$B$2:$B$6,0)),""),"Sim","Nao"))))))</f>
        <v/>
      </c>
      <c r="T413" s="156"/>
      <c r="U413" s="214" t="str">
        <f t="shared" si="36"/>
        <v/>
      </c>
      <c r="V413" s="212" t="s">
        <v>50</v>
      </c>
      <c r="W413" s="100" t="s">
        <v>168</v>
      </c>
      <c r="X413" s="100" t="s">
        <v>169</v>
      </c>
      <c r="Y413" s="101" t="s">
        <v>170</v>
      </c>
      <c r="Z413" s="101" t="s">
        <v>171</v>
      </c>
      <c r="AA413" s="101" t="s">
        <v>50</v>
      </c>
      <c r="AB413" s="101" t="s">
        <v>172</v>
      </c>
      <c r="AC413" s="102" t="s">
        <v>173</v>
      </c>
    </row>
    <row r="414" spans="1:29" ht="25.5" customHeight="1" x14ac:dyDescent="0.35">
      <c r="A414" s="392"/>
      <c r="B414" s="393"/>
      <c r="C414" s="99" t="str">
        <f>IF(B414="","",IF(NOT(ISNUMBER(B414)),"DATA_PC invalida",IF(NOT(ISNUMBER(parametros!$C$2)),"Fora dos ciclos",IF(OR(B414&lt;parametros!$C$2,(YEAR(B414)-YEAR(parametros!$C$2))*12+MONTH(B414)-MONTH(parametros!$C$2)&gt;59),"Fora dos ciclos","C"&amp;INT(((YEAR(B414)-YEAR(parametros!$C$2))*12+MONTH(B414)-MONTH(parametros!$C$2))/12)))))</f>
        <v/>
      </c>
      <c r="D414" s="394"/>
      <c r="E414" s="78" t="str">
        <f>IF(C414="","",IFERROR(VLOOKUP(C414,parametros!$A$11:$E$15,5,0),""))</f>
        <v/>
      </c>
      <c r="F414" s="79" t="str">
        <f t="shared" si="32"/>
        <v/>
      </c>
      <c r="G414" s="395"/>
      <c r="H414" s="91">
        <f t="shared" si="33"/>
        <v>0</v>
      </c>
      <c r="I414" s="91" t="str">
        <f t="shared" si="34"/>
        <v/>
      </c>
      <c r="J414" s="91" t="str">
        <f t="shared" si="35"/>
        <v/>
      </c>
      <c r="K414" s="92" t="str">
        <f>IF(AND(A414="",B414="",D414="",G414=""),"",IF(AND(A414&lt;&gt;"",COUNTIF($A$2:$A$5001,A414)&gt;1),"NUMERO_PC duplicado",IF(B414="","DATA_PC vazia",IF(NOT(ISNUMBER(B414)),"DATA_PC invalida",IF(OR(C414="",C414="Fora dos ciclos"),"CICLO_PC nao identificado",IF(OR(D414="",D414=0),"VALOR_PC vazio ou zero",IF(AND(G414&lt;&gt;"Sim",G414&lt;&gt;"Nao",G414&lt;&gt;""),"PC_PAGO_A_CONTRATADA invalido",IF(AND(C414&lt;&gt;"C0",IFERROR(INDEX(parametros!$A$2:$A$6,MATCH(C414,parametros!$B$2:$B$6,0)),"")="Sim",IFERROR(INDEX(parametros!$H$2:$H$6,MATCH(C414,parametros!$B$2:$B$6,0)),"")=""),"INICIO_EFEITO ausente: PC "&amp;A414&amp;" - "&amp;C414,IF(L414="","EFEITO_PC nao calculado: PC "&amp;A414&amp;" - "&amp;C414,"OK")))))))))</f>
        <v/>
      </c>
      <c r="L414" s="92" t="str">
        <f>IF(AND(A414="",B414="",D414="",G414=""),"",IF(OR(B414="",NOT(ISNUMBER(B414)),C414="",C414="Fora dos ciclos"),"",IF(C414="C0","Nao",IF(IFERROR(INDEX(parametros!$A$2:$A$6,MATCH(C414,parametros!$B$2:$B$6,0)),"")&lt;&gt;"Sim","Nao",IF(IFERROR(INDEX(parametros!$H$2:$H$6,MATCH(C414,parametros!$B$2:$B$6,0)),"")="","",IF(B414&gt;=IFERROR(INDEX(parametros!$H$2:$H$6,MATCH(C414,parametros!$B$2:$B$6,0)),""),"Sim","Nao"))))))</f>
        <v/>
      </c>
      <c r="T414" s="156"/>
      <c r="U414" s="214" t="str">
        <f t="shared" si="36"/>
        <v/>
      </c>
      <c r="V414" s="212" t="s">
        <v>50</v>
      </c>
      <c r="W414" s="100" t="s">
        <v>168</v>
      </c>
      <c r="X414" s="100" t="s">
        <v>169</v>
      </c>
      <c r="Y414" s="101" t="s">
        <v>170</v>
      </c>
      <c r="Z414" s="101" t="s">
        <v>171</v>
      </c>
      <c r="AA414" s="101" t="s">
        <v>50</v>
      </c>
      <c r="AB414" s="101" t="s">
        <v>172</v>
      </c>
      <c r="AC414" s="102" t="s">
        <v>173</v>
      </c>
    </row>
    <row r="415" spans="1:29" ht="25.5" customHeight="1" x14ac:dyDescent="0.35">
      <c r="A415" s="392"/>
      <c r="B415" s="393"/>
      <c r="C415" s="99" t="str">
        <f>IF(B415="","",IF(NOT(ISNUMBER(B415)),"DATA_PC invalida",IF(NOT(ISNUMBER(parametros!$C$2)),"Fora dos ciclos",IF(OR(B415&lt;parametros!$C$2,(YEAR(B415)-YEAR(parametros!$C$2))*12+MONTH(B415)-MONTH(parametros!$C$2)&gt;59),"Fora dos ciclos","C"&amp;INT(((YEAR(B415)-YEAR(parametros!$C$2))*12+MONTH(B415)-MONTH(parametros!$C$2))/12)))))</f>
        <v/>
      </c>
      <c r="D415" s="394"/>
      <c r="E415" s="78" t="str">
        <f>IF(C415="","",IFERROR(VLOOKUP(C415,parametros!$A$11:$E$15,5,0),""))</f>
        <v/>
      </c>
      <c r="F415" s="79" t="str">
        <f t="shared" si="32"/>
        <v/>
      </c>
      <c r="G415" s="395"/>
      <c r="H415" s="91">
        <f t="shared" si="33"/>
        <v>0</v>
      </c>
      <c r="I415" s="91" t="str">
        <f t="shared" si="34"/>
        <v/>
      </c>
      <c r="J415" s="91" t="str">
        <f t="shared" si="35"/>
        <v/>
      </c>
      <c r="K415" s="92" t="str">
        <f>IF(AND(A415="",B415="",D415="",G415=""),"",IF(AND(A415&lt;&gt;"",COUNTIF($A$2:$A$5001,A415)&gt;1),"NUMERO_PC duplicado",IF(B415="","DATA_PC vazia",IF(NOT(ISNUMBER(B415)),"DATA_PC invalida",IF(OR(C415="",C415="Fora dos ciclos"),"CICLO_PC nao identificado",IF(OR(D415="",D415=0),"VALOR_PC vazio ou zero",IF(AND(G415&lt;&gt;"Sim",G415&lt;&gt;"Nao",G415&lt;&gt;""),"PC_PAGO_A_CONTRATADA invalido",IF(AND(C415&lt;&gt;"C0",IFERROR(INDEX(parametros!$A$2:$A$6,MATCH(C415,parametros!$B$2:$B$6,0)),"")="Sim",IFERROR(INDEX(parametros!$H$2:$H$6,MATCH(C415,parametros!$B$2:$B$6,0)),"")=""),"INICIO_EFEITO ausente: PC "&amp;A415&amp;" - "&amp;C415,IF(L415="","EFEITO_PC nao calculado: PC "&amp;A415&amp;" - "&amp;C415,"OK")))))))))</f>
        <v/>
      </c>
      <c r="L415" s="92" t="str">
        <f>IF(AND(A415="",B415="",D415="",G415=""),"",IF(OR(B415="",NOT(ISNUMBER(B415)),C415="",C415="Fora dos ciclos"),"",IF(C415="C0","Nao",IF(IFERROR(INDEX(parametros!$A$2:$A$6,MATCH(C415,parametros!$B$2:$B$6,0)),"")&lt;&gt;"Sim","Nao",IF(IFERROR(INDEX(parametros!$H$2:$H$6,MATCH(C415,parametros!$B$2:$B$6,0)),"")="","",IF(B415&gt;=IFERROR(INDEX(parametros!$H$2:$H$6,MATCH(C415,parametros!$B$2:$B$6,0)),""),"Sim","Nao"))))))</f>
        <v/>
      </c>
      <c r="T415" s="156"/>
      <c r="U415" s="214" t="str">
        <f t="shared" si="36"/>
        <v/>
      </c>
      <c r="V415" s="212" t="s">
        <v>50</v>
      </c>
      <c r="W415" s="100" t="s">
        <v>168</v>
      </c>
      <c r="X415" s="100" t="s">
        <v>169</v>
      </c>
      <c r="Y415" s="101" t="s">
        <v>170</v>
      </c>
      <c r="Z415" s="101" t="s">
        <v>171</v>
      </c>
      <c r="AA415" s="101" t="s">
        <v>50</v>
      </c>
      <c r="AB415" s="101" t="s">
        <v>172</v>
      </c>
      <c r="AC415" s="102" t="s">
        <v>173</v>
      </c>
    </row>
    <row r="416" spans="1:29" ht="25.5" customHeight="1" x14ac:dyDescent="0.35">
      <c r="A416" s="392"/>
      <c r="B416" s="393"/>
      <c r="C416" s="99" t="str">
        <f>IF(B416="","",IF(NOT(ISNUMBER(B416)),"DATA_PC invalida",IF(NOT(ISNUMBER(parametros!$C$2)),"Fora dos ciclos",IF(OR(B416&lt;parametros!$C$2,(YEAR(B416)-YEAR(parametros!$C$2))*12+MONTH(B416)-MONTH(parametros!$C$2)&gt;59),"Fora dos ciclos","C"&amp;INT(((YEAR(B416)-YEAR(parametros!$C$2))*12+MONTH(B416)-MONTH(parametros!$C$2))/12)))))</f>
        <v/>
      </c>
      <c r="D416" s="394"/>
      <c r="E416" s="78" t="str">
        <f>IF(C416="","",IFERROR(VLOOKUP(C416,parametros!$A$11:$E$15,5,0),""))</f>
        <v/>
      </c>
      <c r="F416" s="79" t="str">
        <f t="shared" si="32"/>
        <v/>
      </c>
      <c r="G416" s="395"/>
      <c r="H416" s="91">
        <f t="shared" si="33"/>
        <v>0</v>
      </c>
      <c r="I416" s="91" t="str">
        <f t="shared" si="34"/>
        <v/>
      </c>
      <c r="J416" s="91" t="str">
        <f t="shared" si="35"/>
        <v/>
      </c>
      <c r="K416" s="92" t="str">
        <f>IF(AND(A416="",B416="",D416="",G416=""),"",IF(AND(A416&lt;&gt;"",COUNTIF($A$2:$A$5001,A416)&gt;1),"NUMERO_PC duplicado",IF(B416="","DATA_PC vazia",IF(NOT(ISNUMBER(B416)),"DATA_PC invalida",IF(OR(C416="",C416="Fora dos ciclos"),"CICLO_PC nao identificado",IF(OR(D416="",D416=0),"VALOR_PC vazio ou zero",IF(AND(G416&lt;&gt;"Sim",G416&lt;&gt;"Nao",G416&lt;&gt;""),"PC_PAGO_A_CONTRATADA invalido",IF(AND(C416&lt;&gt;"C0",IFERROR(INDEX(parametros!$A$2:$A$6,MATCH(C416,parametros!$B$2:$B$6,0)),"")="Sim",IFERROR(INDEX(parametros!$H$2:$H$6,MATCH(C416,parametros!$B$2:$B$6,0)),"")=""),"INICIO_EFEITO ausente: PC "&amp;A416&amp;" - "&amp;C416,IF(L416="","EFEITO_PC nao calculado: PC "&amp;A416&amp;" - "&amp;C416,"OK")))))))))</f>
        <v/>
      </c>
      <c r="L416" s="92" t="str">
        <f>IF(AND(A416="",B416="",D416="",G416=""),"",IF(OR(B416="",NOT(ISNUMBER(B416)),C416="",C416="Fora dos ciclos"),"",IF(C416="C0","Nao",IF(IFERROR(INDEX(parametros!$A$2:$A$6,MATCH(C416,parametros!$B$2:$B$6,0)),"")&lt;&gt;"Sim","Nao",IF(IFERROR(INDEX(parametros!$H$2:$H$6,MATCH(C416,parametros!$B$2:$B$6,0)),"")="","",IF(B416&gt;=IFERROR(INDEX(parametros!$H$2:$H$6,MATCH(C416,parametros!$B$2:$B$6,0)),""),"Sim","Nao"))))))</f>
        <v/>
      </c>
      <c r="T416" s="156"/>
      <c r="U416" s="214" t="str">
        <f t="shared" si="36"/>
        <v/>
      </c>
      <c r="V416" s="212" t="s">
        <v>50</v>
      </c>
      <c r="W416" s="100" t="s">
        <v>168</v>
      </c>
      <c r="X416" s="100" t="s">
        <v>169</v>
      </c>
      <c r="Y416" s="101" t="s">
        <v>170</v>
      </c>
      <c r="Z416" s="101" t="s">
        <v>171</v>
      </c>
      <c r="AA416" s="101" t="s">
        <v>50</v>
      </c>
      <c r="AB416" s="101" t="s">
        <v>172</v>
      </c>
      <c r="AC416" s="102" t="s">
        <v>173</v>
      </c>
    </row>
    <row r="417" spans="1:29" ht="25.5" customHeight="1" x14ac:dyDescent="0.35">
      <c r="A417" s="392"/>
      <c r="B417" s="393"/>
      <c r="C417" s="99" t="str">
        <f>IF(B417="","",IF(NOT(ISNUMBER(B417)),"DATA_PC invalida",IF(NOT(ISNUMBER(parametros!$C$2)),"Fora dos ciclos",IF(OR(B417&lt;parametros!$C$2,(YEAR(B417)-YEAR(parametros!$C$2))*12+MONTH(B417)-MONTH(parametros!$C$2)&gt;59),"Fora dos ciclos","C"&amp;INT(((YEAR(B417)-YEAR(parametros!$C$2))*12+MONTH(B417)-MONTH(parametros!$C$2))/12)))))</f>
        <v/>
      </c>
      <c r="D417" s="394"/>
      <c r="E417" s="78" t="str">
        <f>IF(C417="","",IFERROR(VLOOKUP(C417,parametros!$A$11:$E$15,5,0),""))</f>
        <v/>
      </c>
      <c r="F417" s="79" t="str">
        <f t="shared" si="32"/>
        <v/>
      </c>
      <c r="G417" s="395"/>
      <c r="H417" s="91">
        <f t="shared" si="33"/>
        <v>0</v>
      </c>
      <c r="I417" s="91" t="str">
        <f t="shared" si="34"/>
        <v/>
      </c>
      <c r="J417" s="91" t="str">
        <f t="shared" si="35"/>
        <v/>
      </c>
      <c r="K417" s="92" t="str">
        <f>IF(AND(A417="",B417="",D417="",G417=""),"",IF(AND(A417&lt;&gt;"",COUNTIF($A$2:$A$5001,A417)&gt;1),"NUMERO_PC duplicado",IF(B417="","DATA_PC vazia",IF(NOT(ISNUMBER(B417)),"DATA_PC invalida",IF(OR(C417="",C417="Fora dos ciclos"),"CICLO_PC nao identificado",IF(OR(D417="",D417=0),"VALOR_PC vazio ou zero",IF(AND(G417&lt;&gt;"Sim",G417&lt;&gt;"Nao",G417&lt;&gt;""),"PC_PAGO_A_CONTRATADA invalido",IF(AND(C417&lt;&gt;"C0",IFERROR(INDEX(parametros!$A$2:$A$6,MATCH(C417,parametros!$B$2:$B$6,0)),"")="Sim",IFERROR(INDEX(parametros!$H$2:$H$6,MATCH(C417,parametros!$B$2:$B$6,0)),"")=""),"INICIO_EFEITO ausente: PC "&amp;A417&amp;" - "&amp;C417,IF(L417="","EFEITO_PC nao calculado: PC "&amp;A417&amp;" - "&amp;C417,"OK")))))))))</f>
        <v/>
      </c>
      <c r="L417" s="92" t="str">
        <f>IF(AND(A417="",B417="",D417="",G417=""),"",IF(OR(B417="",NOT(ISNUMBER(B417)),C417="",C417="Fora dos ciclos"),"",IF(C417="C0","Nao",IF(IFERROR(INDEX(parametros!$A$2:$A$6,MATCH(C417,parametros!$B$2:$B$6,0)),"")&lt;&gt;"Sim","Nao",IF(IFERROR(INDEX(parametros!$H$2:$H$6,MATCH(C417,parametros!$B$2:$B$6,0)),"")="","",IF(B417&gt;=IFERROR(INDEX(parametros!$H$2:$H$6,MATCH(C417,parametros!$B$2:$B$6,0)),""),"Sim","Nao"))))))</f>
        <v/>
      </c>
      <c r="T417" s="156"/>
      <c r="U417" s="214" t="str">
        <f t="shared" si="36"/>
        <v/>
      </c>
      <c r="V417" s="212" t="s">
        <v>50</v>
      </c>
      <c r="W417" s="100" t="s">
        <v>168</v>
      </c>
      <c r="X417" s="100" t="s">
        <v>169</v>
      </c>
      <c r="Y417" s="101" t="s">
        <v>170</v>
      </c>
      <c r="Z417" s="101" t="s">
        <v>171</v>
      </c>
      <c r="AA417" s="101" t="s">
        <v>50</v>
      </c>
      <c r="AB417" s="101" t="s">
        <v>172</v>
      </c>
      <c r="AC417" s="102" t="s">
        <v>173</v>
      </c>
    </row>
    <row r="418" spans="1:29" ht="25.5" customHeight="1" x14ac:dyDescent="0.35">
      <c r="A418" s="392"/>
      <c r="B418" s="393"/>
      <c r="C418" s="99" t="str">
        <f>IF(B418="","",IF(NOT(ISNUMBER(B418)),"DATA_PC invalida",IF(NOT(ISNUMBER(parametros!$C$2)),"Fora dos ciclos",IF(OR(B418&lt;parametros!$C$2,(YEAR(B418)-YEAR(parametros!$C$2))*12+MONTH(B418)-MONTH(parametros!$C$2)&gt;59),"Fora dos ciclos","C"&amp;INT(((YEAR(B418)-YEAR(parametros!$C$2))*12+MONTH(B418)-MONTH(parametros!$C$2))/12)))))</f>
        <v/>
      </c>
      <c r="D418" s="394"/>
      <c r="E418" s="78" t="str">
        <f>IF(C418="","",IFERROR(VLOOKUP(C418,parametros!$A$11:$E$15,5,0),""))</f>
        <v/>
      </c>
      <c r="F418" s="79" t="str">
        <f t="shared" si="32"/>
        <v/>
      </c>
      <c r="G418" s="395"/>
      <c r="H418" s="91">
        <f t="shared" si="33"/>
        <v>0</v>
      </c>
      <c r="I418" s="91" t="str">
        <f t="shared" si="34"/>
        <v/>
      </c>
      <c r="J418" s="91" t="str">
        <f t="shared" si="35"/>
        <v/>
      </c>
      <c r="K418" s="92" t="str">
        <f>IF(AND(A418="",B418="",D418="",G418=""),"",IF(AND(A418&lt;&gt;"",COUNTIF($A$2:$A$5001,A418)&gt;1),"NUMERO_PC duplicado",IF(B418="","DATA_PC vazia",IF(NOT(ISNUMBER(B418)),"DATA_PC invalida",IF(OR(C418="",C418="Fora dos ciclos"),"CICLO_PC nao identificado",IF(OR(D418="",D418=0),"VALOR_PC vazio ou zero",IF(AND(G418&lt;&gt;"Sim",G418&lt;&gt;"Nao",G418&lt;&gt;""),"PC_PAGO_A_CONTRATADA invalido",IF(AND(C418&lt;&gt;"C0",IFERROR(INDEX(parametros!$A$2:$A$6,MATCH(C418,parametros!$B$2:$B$6,0)),"")="Sim",IFERROR(INDEX(parametros!$H$2:$H$6,MATCH(C418,parametros!$B$2:$B$6,0)),"")=""),"INICIO_EFEITO ausente: PC "&amp;A418&amp;" - "&amp;C418,IF(L418="","EFEITO_PC nao calculado: PC "&amp;A418&amp;" - "&amp;C418,"OK")))))))))</f>
        <v/>
      </c>
      <c r="L418" s="92" t="str">
        <f>IF(AND(A418="",B418="",D418="",G418=""),"",IF(OR(B418="",NOT(ISNUMBER(B418)),C418="",C418="Fora dos ciclos"),"",IF(C418="C0","Nao",IF(IFERROR(INDEX(parametros!$A$2:$A$6,MATCH(C418,parametros!$B$2:$B$6,0)),"")&lt;&gt;"Sim","Nao",IF(IFERROR(INDEX(parametros!$H$2:$H$6,MATCH(C418,parametros!$B$2:$B$6,0)),"")="","",IF(B418&gt;=IFERROR(INDEX(parametros!$H$2:$H$6,MATCH(C418,parametros!$B$2:$B$6,0)),""),"Sim","Nao"))))))</f>
        <v/>
      </c>
      <c r="T418" s="156"/>
      <c r="U418" s="214" t="str">
        <f t="shared" si="36"/>
        <v/>
      </c>
      <c r="V418" s="212" t="s">
        <v>50</v>
      </c>
      <c r="W418" s="100" t="s">
        <v>168</v>
      </c>
      <c r="X418" s="100" t="s">
        <v>169</v>
      </c>
      <c r="Y418" s="101" t="s">
        <v>170</v>
      </c>
      <c r="Z418" s="101" t="s">
        <v>171</v>
      </c>
      <c r="AA418" s="101" t="s">
        <v>50</v>
      </c>
      <c r="AB418" s="101" t="s">
        <v>172</v>
      </c>
      <c r="AC418" s="102" t="s">
        <v>173</v>
      </c>
    </row>
    <row r="419" spans="1:29" ht="25.5" customHeight="1" x14ac:dyDescent="0.35">
      <c r="A419" s="392"/>
      <c r="B419" s="393"/>
      <c r="C419" s="99" t="str">
        <f>IF(B419="","",IF(NOT(ISNUMBER(B419)),"DATA_PC invalida",IF(NOT(ISNUMBER(parametros!$C$2)),"Fora dos ciclos",IF(OR(B419&lt;parametros!$C$2,(YEAR(B419)-YEAR(parametros!$C$2))*12+MONTH(B419)-MONTH(parametros!$C$2)&gt;59),"Fora dos ciclos","C"&amp;INT(((YEAR(B419)-YEAR(parametros!$C$2))*12+MONTH(B419)-MONTH(parametros!$C$2))/12)))))</f>
        <v/>
      </c>
      <c r="D419" s="394"/>
      <c r="E419" s="78" t="str">
        <f>IF(C419="","",IFERROR(VLOOKUP(C419,parametros!$A$11:$E$15,5,0),""))</f>
        <v/>
      </c>
      <c r="F419" s="79" t="str">
        <f t="shared" si="32"/>
        <v/>
      </c>
      <c r="G419" s="395"/>
      <c r="H419" s="91">
        <f t="shared" si="33"/>
        <v>0</v>
      </c>
      <c r="I419" s="91" t="str">
        <f t="shared" si="34"/>
        <v/>
      </c>
      <c r="J419" s="91" t="str">
        <f t="shared" si="35"/>
        <v/>
      </c>
      <c r="K419" s="92" t="str">
        <f>IF(AND(A419="",B419="",D419="",G419=""),"",IF(AND(A419&lt;&gt;"",COUNTIF($A$2:$A$5001,A419)&gt;1),"NUMERO_PC duplicado",IF(B419="","DATA_PC vazia",IF(NOT(ISNUMBER(B419)),"DATA_PC invalida",IF(OR(C419="",C419="Fora dos ciclos"),"CICLO_PC nao identificado",IF(OR(D419="",D419=0),"VALOR_PC vazio ou zero",IF(AND(G419&lt;&gt;"Sim",G419&lt;&gt;"Nao",G419&lt;&gt;""),"PC_PAGO_A_CONTRATADA invalido",IF(AND(C419&lt;&gt;"C0",IFERROR(INDEX(parametros!$A$2:$A$6,MATCH(C419,parametros!$B$2:$B$6,0)),"")="Sim",IFERROR(INDEX(parametros!$H$2:$H$6,MATCH(C419,parametros!$B$2:$B$6,0)),"")=""),"INICIO_EFEITO ausente: PC "&amp;A419&amp;" - "&amp;C419,IF(L419="","EFEITO_PC nao calculado: PC "&amp;A419&amp;" - "&amp;C419,"OK")))))))))</f>
        <v/>
      </c>
      <c r="L419" s="92" t="str">
        <f>IF(AND(A419="",B419="",D419="",G419=""),"",IF(OR(B419="",NOT(ISNUMBER(B419)),C419="",C419="Fora dos ciclos"),"",IF(C419="C0","Nao",IF(IFERROR(INDEX(parametros!$A$2:$A$6,MATCH(C419,parametros!$B$2:$B$6,0)),"")&lt;&gt;"Sim","Nao",IF(IFERROR(INDEX(parametros!$H$2:$H$6,MATCH(C419,parametros!$B$2:$B$6,0)),"")="","",IF(B419&gt;=IFERROR(INDEX(parametros!$H$2:$H$6,MATCH(C419,parametros!$B$2:$B$6,0)),""),"Sim","Nao"))))))</f>
        <v/>
      </c>
      <c r="T419" s="156"/>
      <c r="U419" s="214" t="str">
        <f t="shared" si="36"/>
        <v/>
      </c>
      <c r="V419" s="212" t="s">
        <v>50</v>
      </c>
      <c r="W419" s="100" t="s">
        <v>168</v>
      </c>
      <c r="X419" s="100" t="s">
        <v>169</v>
      </c>
      <c r="Y419" s="101" t="s">
        <v>170</v>
      </c>
      <c r="Z419" s="101" t="s">
        <v>171</v>
      </c>
      <c r="AA419" s="101" t="s">
        <v>50</v>
      </c>
      <c r="AB419" s="101" t="s">
        <v>172</v>
      </c>
      <c r="AC419" s="102" t="s">
        <v>173</v>
      </c>
    </row>
    <row r="420" spans="1:29" ht="25.5" customHeight="1" x14ac:dyDescent="0.35">
      <c r="A420" s="392"/>
      <c r="B420" s="393"/>
      <c r="C420" s="99" t="str">
        <f>IF(B420="","",IF(NOT(ISNUMBER(B420)),"DATA_PC invalida",IF(NOT(ISNUMBER(parametros!$C$2)),"Fora dos ciclos",IF(OR(B420&lt;parametros!$C$2,(YEAR(B420)-YEAR(parametros!$C$2))*12+MONTH(B420)-MONTH(parametros!$C$2)&gt;59),"Fora dos ciclos","C"&amp;INT(((YEAR(B420)-YEAR(parametros!$C$2))*12+MONTH(B420)-MONTH(parametros!$C$2))/12)))))</f>
        <v/>
      </c>
      <c r="D420" s="394"/>
      <c r="E420" s="78" t="str">
        <f>IF(C420="","",IFERROR(VLOOKUP(C420,parametros!$A$11:$E$15,5,0),""))</f>
        <v/>
      </c>
      <c r="F420" s="79" t="str">
        <f t="shared" si="32"/>
        <v/>
      </c>
      <c r="G420" s="395"/>
      <c r="H420" s="91">
        <f t="shared" si="33"/>
        <v>0</v>
      </c>
      <c r="I420" s="91" t="str">
        <f t="shared" si="34"/>
        <v/>
      </c>
      <c r="J420" s="91" t="str">
        <f t="shared" si="35"/>
        <v/>
      </c>
      <c r="K420" s="92" t="str">
        <f>IF(AND(A420="",B420="",D420="",G420=""),"",IF(AND(A420&lt;&gt;"",COUNTIF($A$2:$A$5001,A420)&gt;1),"NUMERO_PC duplicado",IF(B420="","DATA_PC vazia",IF(NOT(ISNUMBER(B420)),"DATA_PC invalida",IF(OR(C420="",C420="Fora dos ciclos"),"CICLO_PC nao identificado",IF(OR(D420="",D420=0),"VALOR_PC vazio ou zero",IF(AND(G420&lt;&gt;"Sim",G420&lt;&gt;"Nao",G420&lt;&gt;""),"PC_PAGO_A_CONTRATADA invalido",IF(AND(C420&lt;&gt;"C0",IFERROR(INDEX(parametros!$A$2:$A$6,MATCH(C420,parametros!$B$2:$B$6,0)),"")="Sim",IFERROR(INDEX(parametros!$H$2:$H$6,MATCH(C420,parametros!$B$2:$B$6,0)),"")=""),"INICIO_EFEITO ausente: PC "&amp;A420&amp;" - "&amp;C420,IF(L420="","EFEITO_PC nao calculado: PC "&amp;A420&amp;" - "&amp;C420,"OK")))))))))</f>
        <v/>
      </c>
      <c r="L420" s="92" t="str">
        <f>IF(AND(A420="",B420="",D420="",G420=""),"",IF(OR(B420="",NOT(ISNUMBER(B420)),C420="",C420="Fora dos ciclos"),"",IF(C420="C0","Nao",IF(IFERROR(INDEX(parametros!$A$2:$A$6,MATCH(C420,parametros!$B$2:$B$6,0)),"")&lt;&gt;"Sim","Nao",IF(IFERROR(INDEX(parametros!$H$2:$H$6,MATCH(C420,parametros!$B$2:$B$6,0)),"")="","",IF(B420&gt;=IFERROR(INDEX(parametros!$H$2:$H$6,MATCH(C420,parametros!$B$2:$B$6,0)),""),"Sim","Nao"))))))</f>
        <v/>
      </c>
      <c r="T420" s="156"/>
      <c r="U420" s="214" t="str">
        <f t="shared" si="36"/>
        <v/>
      </c>
      <c r="V420" s="212" t="s">
        <v>50</v>
      </c>
      <c r="W420" s="100" t="s">
        <v>168</v>
      </c>
      <c r="X420" s="100" t="s">
        <v>169</v>
      </c>
      <c r="Y420" s="101" t="s">
        <v>170</v>
      </c>
      <c r="Z420" s="101" t="s">
        <v>171</v>
      </c>
      <c r="AA420" s="101" t="s">
        <v>50</v>
      </c>
      <c r="AB420" s="101" t="s">
        <v>172</v>
      </c>
      <c r="AC420" s="102" t="s">
        <v>173</v>
      </c>
    </row>
    <row r="421" spans="1:29" ht="25.5" customHeight="1" x14ac:dyDescent="0.35">
      <c r="A421" s="392"/>
      <c r="B421" s="393"/>
      <c r="C421" s="99" t="str">
        <f>IF(B421="","",IF(NOT(ISNUMBER(B421)),"DATA_PC invalida",IF(NOT(ISNUMBER(parametros!$C$2)),"Fora dos ciclos",IF(OR(B421&lt;parametros!$C$2,(YEAR(B421)-YEAR(parametros!$C$2))*12+MONTH(B421)-MONTH(parametros!$C$2)&gt;59),"Fora dos ciclos","C"&amp;INT(((YEAR(B421)-YEAR(parametros!$C$2))*12+MONTH(B421)-MONTH(parametros!$C$2))/12)))))</f>
        <v/>
      </c>
      <c r="D421" s="394"/>
      <c r="E421" s="78" t="str">
        <f>IF(C421="","",IFERROR(VLOOKUP(C421,parametros!$A$11:$E$15,5,0),""))</f>
        <v/>
      </c>
      <c r="F421" s="79" t="str">
        <f t="shared" si="32"/>
        <v/>
      </c>
      <c r="G421" s="395"/>
      <c r="H421" s="91">
        <f t="shared" si="33"/>
        <v>0</v>
      </c>
      <c r="I421" s="91" t="str">
        <f t="shared" si="34"/>
        <v/>
      </c>
      <c r="J421" s="91" t="str">
        <f t="shared" si="35"/>
        <v/>
      </c>
      <c r="K421" s="92" t="str">
        <f>IF(AND(A421="",B421="",D421="",G421=""),"",IF(AND(A421&lt;&gt;"",COUNTIF($A$2:$A$5001,A421)&gt;1),"NUMERO_PC duplicado",IF(B421="","DATA_PC vazia",IF(NOT(ISNUMBER(B421)),"DATA_PC invalida",IF(OR(C421="",C421="Fora dos ciclos"),"CICLO_PC nao identificado",IF(OR(D421="",D421=0),"VALOR_PC vazio ou zero",IF(AND(G421&lt;&gt;"Sim",G421&lt;&gt;"Nao",G421&lt;&gt;""),"PC_PAGO_A_CONTRATADA invalido",IF(AND(C421&lt;&gt;"C0",IFERROR(INDEX(parametros!$A$2:$A$6,MATCH(C421,parametros!$B$2:$B$6,0)),"")="Sim",IFERROR(INDEX(parametros!$H$2:$H$6,MATCH(C421,parametros!$B$2:$B$6,0)),"")=""),"INICIO_EFEITO ausente: PC "&amp;A421&amp;" - "&amp;C421,IF(L421="","EFEITO_PC nao calculado: PC "&amp;A421&amp;" - "&amp;C421,"OK")))))))))</f>
        <v/>
      </c>
      <c r="L421" s="92" t="str">
        <f>IF(AND(A421="",B421="",D421="",G421=""),"",IF(OR(B421="",NOT(ISNUMBER(B421)),C421="",C421="Fora dos ciclos"),"",IF(C421="C0","Nao",IF(IFERROR(INDEX(parametros!$A$2:$A$6,MATCH(C421,parametros!$B$2:$B$6,0)),"")&lt;&gt;"Sim","Nao",IF(IFERROR(INDEX(parametros!$H$2:$H$6,MATCH(C421,parametros!$B$2:$B$6,0)),"")="","",IF(B421&gt;=IFERROR(INDEX(parametros!$H$2:$H$6,MATCH(C421,parametros!$B$2:$B$6,0)),""),"Sim","Nao"))))))</f>
        <v/>
      </c>
      <c r="T421" s="156"/>
      <c r="U421" s="214" t="str">
        <f t="shared" si="36"/>
        <v/>
      </c>
      <c r="V421" s="212" t="s">
        <v>50</v>
      </c>
      <c r="W421" s="100" t="s">
        <v>168</v>
      </c>
      <c r="X421" s="100" t="s">
        <v>169</v>
      </c>
      <c r="Y421" s="101" t="s">
        <v>170</v>
      </c>
      <c r="Z421" s="101" t="s">
        <v>171</v>
      </c>
      <c r="AA421" s="101" t="s">
        <v>50</v>
      </c>
      <c r="AB421" s="101" t="s">
        <v>172</v>
      </c>
      <c r="AC421" s="102" t="s">
        <v>173</v>
      </c>
    </row>
    <row r="422" spans="1:29" ht="25.5" customHeight="1" x14ac:dyDescent="0.35">
      <c r="A422" s="392"/>
      <c r="B422" s="393"/>
      <c r="C422" s="99" t="str">
        <f>IF(B422="","",IF(NOT(ISNUMBER(B422)),"DATA_PC invalida",IF(NOT(ISNUMBER(parametros!$C$2)),"Fora dos ciclos",IF(OR(B422&lt;parametros!$C$2,(YEAR(B422)-YEAR(parametros!$C$2))*12+MONTH(B422)-MONTH(parametros!$C$2)&gt;59),"Fora dos ciclos","C"&amp;INT(((YEAR(B422)-YEAR(parametros!$C$2))*12+MONTH(B422)-MONTH(parametros!$C$2))/12)))))</f>
        <v/>
      </c>
      <c r="D422" s="394"/>
      <c r="E422" s="78" t="str">
        <f>IF(C422="","",IFERROR(VLOOKUP(C422,parametros!$A$11:$E$15,5,0),""))</f>
        <v/>
      </c>
      <c r="F422" s="79" t="str">
        <f t="shared" si="32"/>
        <v/>
      </c>
      <c r="G422" s="395"/>
      <c r="H422" s="91">
        <f t="shared" si="33"/>
        <v>0</v>
      </c>
      <c r="I422" s="91" t="str">
        <f t="shared" si="34"/>
        <v/>
      </c>
      <c r="J422" s="91" t="str">
        <f t="shared" si="35"/>
        <v/>
      </c>
      <c r="K422" s="92" t="str">
        <f>IF(AND(A422="",B422="",D422="",G422=""),"",IF(AND(A422&lt;&gt;"",COUNTIF($A$2:$A$5001,A422)&gt;1),"NUMERO_PC duplicado",IF(B422="","DATA_PC vazia",IF(NOT(ISNUMBER(B422)),"DATA_PC invalida",IF(OR(C422="",C422="Fora dos ciclos"),"CICLO_PC nao identificado",IF(OR(D422="",D422=0),"VALOR_PC vazio ou zero",IF(AND(G422&lt;&gt;"Sim",G422&lt;&gt;"Nao",G422&lt;&gt;""),"PC_PAGO_A_CONTRATADA invalido",IF(AND(C422&lt;&gt;"C0",IFERROR(INDEX(parametros!$A$2:$A$6,MATCH(C422,parametros!$B$2:$B$6,0)),"")="Sim",IFERROR(INDEX(parametros!$H$2:$H$6,MATCH(C422,parametros!$B$2:$B$6,0)),"")=""),"INICIO_EFEITO ausente: PC "&amp;A422&amp;" - "&amp;C422,IF(L422="","EFEITO_PC nao calculado: PC "&amp;A422&amp;" - "&amp;C422,"OK")))))))))</f>
        <v/>
      </c>
      <c r="L422" s="92" t="str">
        <f>IF(AND(A422="",B422="",D422="",G422=""),"",IF(OR(B422="",NOT(ISNUMBER(B422)),C422="",C422="Fora dos ciclos"),"",IF(C422="C0","Nao",IF(IFERROR(INDEX(parametros!$A$2:$A$6,MATCH(C422,parametros!$B$2:$B$6,0)),"")&lt;&gt;"Sim","Nao",IF(IFERROR(INDEX(parametros!$H$2:$H$6,MATCH(C422,parametros!$B$2:$B$6,0)),"")="","",IF(B422&gt;=IFERROR(INDEX(parametros!$H$2:$H$6,MATCH(C422,parametros!$B$2:$B$6,0)),""),"Sim","Nao"))))))</f>
        <v/>
      </c>
      <c r="T422" s="156"/>
      <c r="U422" s="214" t="str">
        <f t="shared" si="36"/>
        <v/>
      </c>
      <c r="V422" s="212" t="s">
        <v>50</v>
      </c>
      <c r="W422" s="100" t="s">
        <v>168</v>
      </c>
      <c r="X422" s="100" t="s">
        <v>169</v>
      </c>
      <c r="Y422" s="101" t="s">
        <v>170</v>
      </c>
      <c r="Z422" s="101" t="s">
        <v>171</v>
      </c>
      <c r="AA422" s="101" t="s">
        <v>50</v>
      </c>
      <c r="AB422" s="101" t="s">
        <v>172</v>
      </c>
      <c r="AC422" s="102" t="s">
        <v>173</v>
      </c>
    </row>
    <row r="423" spans="1:29" ht="25.5" customHeight="1" x14ac:dyDescent="0.35">
      <c r="A423" s="392"/>
      <c r="B423" s="393"/>
      <c r="C423" s="99" t="str">
        <f>IF(B423="","",IF(NOT(ISNUMBER(B423)),"DATA_PC invalida",IF(NOT(ISNUMBER(parametros!$C$2)),"Fora dos ciclos",IF(OR(B423&lt;parametros!$C$2,(YEAR(B423)-YEAR(parametros!$C$2))*12+MONTH(B423)-MONTH(parametros!$C$2)&gt;59),"Fora dos ciclos","C"&amp;INT(((YEAR(B423)-YEAR(parametros!$C$2))*12+MONTH(B423)-MONTH(parametros!$C$2))/12)))))</f>
        <v/>
      </c>
      <c r="D423" s="394"/>
      <c r="E423" s="78" t="str">
        <f>IF(C423="","",IFERROR(VLOOKUP(C423,parametros!$A$11:$E$15,5,0),""))</f>
        <v/>
      </c>
      <c r="F423" s="79" t="str">
        <f t="shared" si="32"/>
        <v/>
      </c>
      <c r="G423" s="395"/>
      <c r="H423" s="91">
        <f t="shared" si="33"/>
        <v>0</v>
      </c>
      <c r="I423" s="91" t="str">
        <f t="shared" si="34"/>
        <v/>
      </c>
      <c r="J423" s="91" t="str">
        <f t="shared" si="35"/>
        <v/>
      </c>
      <c r="K423" s="92" t="str">
        <f>IF(AND(A423="",B423="",D423="",G423=""),"",IF(AND(A423&lt;&gt;"",COUNTIF($A$2:$A$5001,A423)&gt;1),"NUMERO_PC duplicado",IF(B423="","DATA_PC vazia",IF(NOT(ISNUMBER(B423)),"DATA_PC invalida",IF(OR(C423="",C423="Fora dos ciclos"),"CICLO_PC nao identificado",IF(OR(D423="",D423=0),"VALOR_PC vazio ou zero",IF(AND(G423&lt;&gt;"Sim",G423&lt;&gt;"Nao",G423&lt;&gt;""),"PC_PAGO_A_CONTRATADA invalido",IF(AND(C423&lt;&gt;"C0",IFERROR(INDEX(parametros!$A$2:$A$6,MATCH(C423,parametros!$B$2:$B$6,0)),"")="Sim",IFERROR(INDEX(parametros!$H$2:$H$6,MATCH(C423,parametros!$B$2:$B$6,0)),"")=""),"INICIO_EFEITO ausente: PC "&amp;A423&amp;" - "&amp;C423,IF(L423="","EFEITO_PC nao calculado: PC "&amp;A423&amp;" - "&amp;C423,"OK")))))))))</f>
        <v/>
      </c>
      <c r="L423" s="92" t="str">
        <f>IF(AND(A423="",B423="",D423="",G423=""),"",IF(OR(B423="",NOT(ISNUMBER(B423)),C423="",C423="Fora dos ciclos"),"",IF(C423="C0","Nao",IF(IFERROR(INDEX(parametros!$A$2:$A$6,MATCH(C423,parametros!$B$2:$B$6,0)),"")&lt;&gt;"Sim","Nao",IF(IFERROR(INDEX(parametros!$H$2:$H$6,MATCH(C423,parametros!$B$2:$B$6,0)),"")="","",IF(B423&gt;=IFERROR(INDEX(parametros!$H$2:$H$6,MATCH(C423,parametros!$B$2:$B$6,0)),""),"Sim","Nao"))))))</f>
        <v/>
      </c>
      <c r="T423" s="156"/>
      <c r="U423" s="214" t="str">
        <f t="shared" si="36"/>
        <v/>
      </c>
      <c r="V423" s="212" t="s">
        <v>50</v>
      </c>
      <c r="W423" s="100" t="s">
        <v>168</v>
      </c>
      <c r="X423" s="100" t="s">
        <v>169</v>
      </c>
      <c r="Y423" s="101" t="s">
        <v>170</v>
      </c>
      <c r="Z423" s="101" t="s">
        <v>171</v>
      </c>
      <c r="AA423" s="101" t="s">
        <v>50</v>
      </c>
      <c r="AB423" s="101" t="s">
        <v>172</v>
      </c>
      <c r="AC423" s="102" t="s">
        <v>173</v>
      </c>
    </row>
    <row r="424" spans="1:29" ht="25.5" customHeight="1" x14ac:dyDescent="0.35">
      <c r="A424" s="392"/>
      <c r="B424" s="393"/>
      <c r="C424" s="99" t="str">
        <f>IF(B424="","",IF(NOT(ISNUMBER(B424)),"DATA_PC invalida",IF(NOT(ISNUMBER(parametros!$C$2)),"Fora dos ciclos",IF(OR(B424&lt;parametros!$C$2,(YEAR(B424)-YEAR(parametros!$C$2))*12+MONTH(B424)-MONTH(parametros!$C$2)&gt;59),"Fora dos ciclos","C"&amp;INT(((YEAR(B424)-YEAR(parametros!$C$2))*12+MONTH(B424)-MONTH(parametros!$C$2))/12)))))</f>
        <v/>
      </c>
      <c r="D424" s="394"/>
      <c r="E424" s="78" t="str">
        <f>IF(C424="","",IFERROR(VLOOKUP(C424,parametros!$A$11:$E$15,5,0),""))</f>
        <v/>
      </c>
      <c r="F424" s="79" t="str">
        <f t="shared" si="32"/>
        <v/>
      </c>
      <c r="G424" s="395"/>
      <c r="H424" s="91">
        <f t="shared" si="33"/>
        <v>0</v>
      </c>
      <c r="I424" s="91" t="str">
        <f t="shared" si="34"/>
        <v/>
      </c>
      <c r="J424" s="91" t="str">
        <f t="shared" si="35"/>
        <v/>
      </c>
      <c r="K424" s="92" t="str">
        <f>IF(AND(A424="",B424="",D424="",G424=""),"",IF(AND(A424&lt;&gt;"",COUNTIF($A$2:$A$5001,A424)&gt;1),"NUMERO_PC duplicado",IF(B424="","DATA_PC vazia",IF(NOT(ISNUMBER(B424)),"DATA_PC invalida",IF(OR(C424="",C424="Fora dos ciclos"),"CICLO_PC nao identificado",IF(OR(D424="",D424=0),"VALOR_PC vazio ou zero",IF(AND(G424&lt;&gt;"Sim",G424&lt;&gt;"Nao",G424&lt;&gt;""),"PC_PAGO_A_CONTRATADA invalido",IF(AND(C424&lt;&gt;"C0",IFERROR(INDEX(parametros!$A$2:$A$6,MATCH(C424,parametros!$B$2:$B$6,0)),"")="Sim",IFERROR(INDEX(parametros!$H$2:$H$6,MATCH(C424,parametros!$B$2:$B$6,0)),"")=""),"INICIO_EFEITO ausente: PC "&amp;A424&amp;" - "&amp;C424,IF(L424="","EFEITO_PC nao calculado: PC "&amp;A424&amp;" - "&amp;C424,"OK")))))))))</f>
        <v/>
      </c>
      <c r="L424" s="92" t="str">
        <f>IF(AND(A424="",B424="",D424="",G424=""),"",IF(OR(B424="",NOT(ISNUMBER(B424)),C424="",C424="Fora dos ciclos"),"",IF(C424="C0","Nao",IF(IFERROR(INDEX(parametros!$A$2:$A$6,MATCH(C424,parametros!$B$2:$B$6,0)),"")&lt;&gt;"Sim","Nao",IF(IFERROR(INDEX(parametros!$H$2:$H$6,MATCH(C424,parametros!$B$2:$B$6,0)),"")="","",IF(B424&gt;=IFERROR(INDEX(parametros!$H$2:$H$6,MATCH(C424,parametros!$B$2:$B$6,0)),""),"Sim","Nao"))))))</f>
        <v/>
      </c>
      <c r="T424" s="156"/>
      <c r="U424" s="214" t="str">
        <f t="shared" si="36"/>
        <v/>
      </c>
      <c r="V424" s="212" t="s">
        <v>50</v>
      </c>
      <c r="W424" s="100" t="s">
        <v>168</v>
      </c>
      <c r="X424" s="100" t="s">
        <v>169</v>
      </c>
      <c r="Y424" s="101" t="s">
        <v>170</v>
      </c>
      <c r="Z424" s="101" t="s">
        <v>171</v>
      </c>
      <c r="AA424" s="101" t="s">
        <v>50</v>
      </c>
      <c r="AB424" s="101" t="s">
        <v>172</v>
      </c>
      <c r="AC424" s="102" t="s">
        <v>173</v>
      </c>
    </row>
    <row r="425" spans="1:29" ht="25.5" customHeight="1" x14ac:dyDescent="0.35">
      <c r="A425" s="392"/>
      <c r="B425" s="393"/>
      <c r="C425" s="99" t="str">
        <f>IF(B425="","",IF(NOT(ISNUMBER(B425)),"DATA_PC invalida",IF(NOT(ISNUMBER(parametros!$C$2)),"Fora dos ciclos",IF(OR(B425&lt;parametros!$C$2,(YEAR(B425)-YEAR(parametros!$C$2))*12+MONTH(B425)-MONTH(parametros!$C$2)&gt;59),"Fora dos ciclos","C"&amp;INT(((YEAR(B425)-YEAR(parametros!$C$2))*12+MONTH(B425)-MONTH(parametros!$C$2))/12)))))</f>
        <v/>
      </c>
      <c r="D425" s="394"/>
      <c r="E425" s="78" t="str">
        <f>IF(C425="","",IFERROR(VLOOKUP(C425,parametros!$A$11:$E$15,5,0),""))</f>
        <v/>
      </c>
      <c r="F425" s="79" t="str">
        <f t="shared" si="32"/>
        <v/>
      </c>
      <c r="G425" s="395"/>
      <c r="H425" s="91">
        <f t="shared" si="33"/>
        <v>0</v>
      </c>
      <c r="I425" s="91" t="str">
        <f t="shared" si="34"/>
        <v/>
      </c>
      <c r="J425" s="91" t="str">
        <f t="shared" si="35"/>
        <v/>
      </c>
      <c r="K425" s="92" t="str">
        <f>IF(AND(A425="",B425="",D425="",G425=""),"",IF(AND(A425&lt;&gt;"",COUNTIF($A$2:$A$5001,A425)&gt;1),"NUMERO_PC duplicado",IF(B425="","DATA_PC vazia",IF(NOT(ISNUMBER(B425)),"DATA_PC invalida",IF(OR(C425="",C425="Fora dos ciclos"),"CICLO_PC nao identificado",IF(OR(D425="",D425=0),"VALOR_PC vazio ou zero",IF(AND(G425&lt;&gt;"Sim",G425&lt;&gt;"Nao",G425&lt;&gt;""),"PC_PAGO_A_CONTRATADA invalido",IF(AND(C425&lt;&gt;"C0",IFERROR(INDEX(parametros!$A$2:$A$6,MATCH(C425,parametros!$B$2:$B$6,0)),"")="Sim",IFERROR(INDEX(parametros!$H$2:$H$6,MATCH(C425,parametros!$B$2:$B$6,0)),"")=""),"INICIO_EFEITO ausente: PC "&amp;A425&amp;" - "&amp;C425,IF(L425="","EFEITO_PC nao calculado: PC "&amp;A425&amp;" - "&amp;C425,"OK")))))))))</f>
        <v/>
      </c>
      <c r="L425" s="92" t="str">
        <f>IF(AND(A425="",B425="",D425="",G425=""),"",IF(OR(B425="",NOT(ISNUMBER(B425)),C425="",C425="Fora dos ciclos"),"",IF(C425="C0","Nao",IF(IFERROR(INDEX(parametros!$A$2:$A$6,MATCH(C425,parametros!$B$2:$B$6,0)),"")&lt;&gt;"Sim","Nao",IF(IFERROR(INDEX(parametros!$H$2:$H$6,MATCH(C425,parametros!$B$2:$B$6,0)),"")="","",IF(B425&gt;=IFERROR(INDEX(parametros!$H$2:$H$6,MATCH(C425,parametros!$B$2:$B$6,0)),""),"Sim","Nao"))))))</f>
        <v/>
      </c>
      <c r="T425" s="156"/>
      <c r="U425" s="214" t="str">
        <f t="shared" si="36"/>
        <v/>
      </c>
      <c r="V425" s="212" t="s">
        <v>50</v>
      </c>
      <c r="W425" s="100" t="s">
        <v>168</v>
      </c>
      <c r="X425" s="100" t="s">
        <v>169</v>
      </c>
      <c r="Y425" s="101" t="s">
        <v>170</v>
      </c>
      <c r="Z425" s="101" t="s">
        <v>171</v>
      </c>
      <c r="AA425" s="101" t="s">
        <v>50</v>
      </c>
      <c r="AB425" s="101" t="s">
        <v>172</v>
      </c>
      <c r="AC425" s="102" t="s">
        <v>173</v>
      </c>
    </row>
    <row r="426" spans="1:29" ht="25.5" customHeight="1" x14ac:dyDescent="0.35">
      <c r="A426" s="392"/>
      <c r="B426" s="393"/>
      <c r="C426" s="99" t="str">
        <f>IF(B426="","",IF(NOT(ISNUMBER(B426)),"DATA_PC invalida",IF(NOT(ISNUMBER(parametros!$C$2)),"Fora dos ciclos",IF(OR(B426&lt;parametros!$C$2,(YEAR(B426)-YEAR(parametros!$C$2))*12+MONTH(B426)-MONTH(parametros!$C$2)&gt;59),"Fora dos ciclos","C"&amp;INT(((YEAR(B426)-YEAR(parametros!$C$2))*12+MONTH(B426)-MONTH(parametros!$C$2))/12)))))</f>
        <v/>
      </c>
      <c r="D426" s="394"/>
      <c r="E426" s="78" t="str">
        <f>IF(C426="","",IFERROR(VLOOKUP(C426,parametros!$A$11:$E$15,5,0),""))</f>
        <v/>
      </c>
      <c r="F426" s="79" t="str">
        <f t="shared" si="32"/>
        <v/>
      </c>
      <c r="G426" s="395"/>
      <c r="H426" s="91">
        <f t="shared" si="33"/>
        <v>0</v>
      </c>
      <c r="I426" s="91" t="str">
        <f t="shared" si="34"/>
        <v/>
      </c>
      <c r="J426" s="91" t="str">
        <f t="shared" si="35"/>
        <v/>
      </c>
      <c r="K426" s="92" t="str">
        <f>IF(AND(A426="",B426="",D426="",G426=""),"",IF(AND(A426&lt;&gt;"",COUNTIF($A$2:$A$5001,A426)&gt;1),"NUMERO_PC duplicado",IF(B426="","DATA_PC vazia",IF(NOT(ISNUMBER(B426)),"DATA_PC invalida",IF(OR(C426="",C426="Fora dos ciclos"),"CICLO_PC nao identificado",IF(OR(D426="",D426=0),"VALOR_PC vazio ou zero",IF(AND(G426&lt;&gt;"Sim",G426&lt;&gt;"Nao",G426&lt;&gt;""),"PC_PAGO_A_CONTRATADA invalido",IF(AND(C426&lt;&gt;"C0",IFERROR(INDEX(parametros!$A$2:$A$6,MATCH(C426,parametros!$B$2:$B$6,0)),"")="Sim",IFERROR(INDEX(parametros!$H$2:$H$6,MATCH(C426,parametros!$B$2:$B$6,0)),"")=""),"INICIO_EFEITO ausente: PC "&amp;A426&amp;" - "&amp;C426,IF(L426="","EFEITO_PC nao calculado: PC "&amp;A426&amp;" - "&amp;C426,"OK")))))))))</f>
        <v/>
      </c>
      <c r="L426" s="92" t="str">
        <f>IF(AND(A426="",B426="",D426="",G426=""),"",IF(OR(B426="",NOT(ISNUMBER(B426)),C426="",C426="Fora dos ciclos"),"",IF(C426="C0","Nao",IF(IFERROR(INDEX(parametros!$A$2:$A$6,MATCH(C426,parametros!$B$2:$B$6,0)),"")&lt;&gt;"Sim","Nao",IF(IFERROR(INDEX(parametros!$H$2:$H$6,MATCH(C426,parametros!$B$2:$B$6,0)),"")="","",IF(B426&gt;=IFERROR(INDEX(parametros!$H$2:$H$6,MATCH(C426,parametros!$B$2:$B$6,0)),""),"Sim","Nao"))))))</f>
        <v/>
      </c>
      <c r="T426" s="156"/>
      <c r="U426" s="214" t="str">
        <f t="shared" si="36"/>
        <v/>
      </c>
      <c r="V426" s="212" t="s">
        <v>50</v>
      </c>
      <c r="W426" s="100" t="s">
        <v>168</v>
      </c>
      <c r="X426" s="100" t="s">
        <v>169</v>
      </c>
      <c r="Y426" s="101" t="s">
        <v>170</v>
      </c>
      <c r="Z426" s="101" t="s">
        <v>171</v>
      </c>
      <c r="AA426" s="101" t="s">
        <v>50</v>
      </c>
      <c r="AB426" s="101" t="s">
        <v>172</v>
      </c>
      <c r="AC426" s="102" t="s">
        <v>173</v>
      </c>
    </row>
    <row r="427" spans="1:29" ht="25.5" customHeight="1" x14ac:dyDescent="0.35">
      <c r="A427" s="392"/>
      <c r="B427" s="393"/>
      <c r="C427" s="99" t="str">
        <f>IF(B427="","",IF(NOT(ISNUMBER(B427)),"DATA_PC invalida",IF(NOT(ISNUMBER(parametros!$C$2)),"Fora dos ciclos",IF(OR(B427&lt;parametros!$C$2,(YEAR(B427)-YEAR(parametros!$C$2))*12+MONTH(B427)-MONTH(parametros!$C$2)&gt;59),"Fora dos ciclos","C"&amp;INT(((YEAR(B427)-YEAR(parametros!$C$2))*12+MONTH(B427)-MONTH(parametros!$C$2))/12)))))</f>
        <v/>
      </c>
      <c r="D427" s="394"/>
      <c r="E427" s="78" t="str">
        <f>IF(C427="","",IFERROR(VLOOKUP(C427,parametros!$A$11:$E$15,5,0),""))</f>
        <v/>
      </c>
      <c r="F427" s="79" t="str">
        <f t="shared" si="32"/>
        <v/>
      </c>
      <c r="G427" s="395"/>
      <c r="H427" s="91">
        <f t="shared" si="33"/>
        <v>0</v>
      </c>
      <c r="I427" s="91" t="str">
        <f t="shared" si="34"/>
        <v/>
      </c>
      <c r="J427" s="91" t="str">
        <f t="shared" si="35"/>
        <v/>
      </c>
      <c r="K427" s="92" t="str">
        <f>IF(AND(A427="",B427="",D427="",G427=""),"",IF(AND(A427&lt;&gt;"",COUNTIF($A$2:$A$5001,A427)&gt;1),"NUMERO_PC duplicado",IF(B427="","DATA_PC vazia",IF(NOT(ISNUMBER(B427)),"DATA_PC invalida",IF(OR(C427="",C427="Fora dos ciclos"),"CICLO_PC nao identificado",IF(OR(D427="",D427=0),"VALOR_PC vazio ou zero",IF(AND(G427&lt;&gt;"Sim",G427&lt;&gt;"Nao",G427&lt;&gt;""),"PC_PAGO_A_CONTRATADA invalido",IF(AND(C427&lt;&gt;"C0",IFERROR(INDEX(parametros!$A$2:$A$6,MATCH(C427,parametros!$B$2:$B$6,0)),"")="Sim",IFERROR(INDEX(parametros!$H$2:$H$6,MATCH(C427,parametros!$B$2:$B$6,0)),"")=""),"INICIO_EFEITO ausente: PC "&amp;A427&amp;" - "&amp;C427,IF(L427="","EFEITO_PC nao calculado: PC "&amp;A427&amp;" - "&amp;C427,"OK")))))))))</f>
        <v/>
      </c>
      <c r="L427" s="92" t="str">
        <f>IF(AND(A427="",B427="",D427="",G427=""),"",IF(OR(B427="",NOT(ISNUMBER(B427)),C427="",C427="Fora dos ciclos"),"",IF(C427="C0","Nao",IF(IFERROR(INDEX(parametros!$A$2:$A$6,MATCH(C427,parametros!$B$2:$B$6,0)),"")&lt;&gt;"Sim","Nao",IF(IFERROR(INDEX(parametros!$H$2:$H$6,MATCH(C427,parametros!$B$2:$B$6,0)),"")="","",IF(B427&gt;=IFERROR(INDEX(parametros!$H$2:$H$6,MATCH(C427,parametros!$B$2:$B$6,0)),""),"Sim","Nao"))))))</f>
        <v/>
      </c>
      <c r="T427" s="156"/>
      <c r="U427" s="214" t="str">
        <f t="shared" si="36"/>
        <v/>
      </c>
      <c r="V427" s="212" t="s">
        <v>50</v>
      </c>
      <c r="W427" s="100" t="s">
        <v>168</v>
      </c>
      <c r="X427" s="100" t="s">
        <v>169</v>
      </c>
      <c r="Y427" s="101" t="s">
        <v>170</v>
      </c>
      <c r="Z427" s="101" t="s">
        <v>171</v>
      </c>
      <c r="AA427" s="101" t="s">
        <v>50</v>
      </c>
      <c r="AB427" s="101" t="s">
        <v>172</v>
      </c>
      <c r="AC427" s="102" t="s">
        <v>173</v>
      </c>
    </row>
    <row r="428" spans="1:29" ht="25.5" customHeight="1" x14ac:dyDescent="0.35">
      <c r="A428" s="392"/>
      <c r="B428" s="393"/>
      <c r="C428" s="99" t="str">
        <f>IF(B428="","",IF(NOT(ISNUMBER(B428)),"DATA_PC invalida",IF(NOT(ISNUMBER(parametros!$C$2)),"Fora dos ciclos",IF(OR(B428&lt;parametros!$C$2,(YEAR(B428)-YEAR(parametros!$C$2))*12+MONTH(B428)-MONTH(parametros!$C$2)&gt;59),"Fora dos ciclos","C"&amp;INT(((YEAR(B428)-YEAR(parametros!$C$2))*12+MONTH(B428)-MONTH(parametros!$C$2))/12)))))</f>
        <v/>
      </c>
      <c r="D428" s="394"/>
      <c r="E428" s="78" t="str">
        <f>IF(C428="","",IFERROR(VLOOKUP(C428,parametros!$A$11:$E$15,5,0),""))</f>
        <v/>
      </c>
      <c r="F428" s="79" t="str">
        <f t="shared" si="32"/>
        <v/>
      </c>
      <c r="G428" s="395"/>
      <c r="H428" s="91">
        <f t="shared" si="33"/>
        <v>0</v>
      </c>
      <c r="I428" s="91" t="str">
        <f t="shared" si="34"/>
        <v/>
      </c>
      <c r="J428" s="91" t="str">
        <f t="shared" si="35"/>
        <v/>
      </c>
      <c r="K428" s="92" t="str">
        <f>IF(AND(A428="",B428="",D428="",G428=""),"",IF(AND(A428&lt;&gt;"",COUNTIF($A$2:$A$5001,A428)&gt;1),"NUMERO_PC duplicado",IF(B428="","DATA_PC vazia",IF(NOT(ISNUMBER(B428)),"DATA_PC invalida",IF(OR(C428="",C428="Fora dos ciclos"),"CICLO_PC nao identificado",IF(OR(D428="",D428=0),"VALOR_PC vazio ou zero",IF(AND(G428&lt;&gt;"Sim",G428&lt;&gt;"Nao",G428&lt;&gt;""),"PC_PAGO_A_CONTRATADA invalido",IF(AND(C428&lt;&gt;"C0",IFERROR(INDEX(parametros!$A$2:$A$6,MATCH(C428,parametros!$B$2:$B$6,0)),"")="Sim",IFERROR(INDEX(parametros!$H$2:$H$6,MATCH(C428,parametros!$B$2:$B$6,0)),"")=""),"INICIO_EFEITO ausente: PC "&amp;A428&amp;" - "&amp;C428,IF(L428="","EFEITO_PC nao calculado: PC "&amp;A428&amp;" - "&amp;C428,"OK")))))))))</f>
        <v/>
      </c>
      <c r="L428" s="92" t="str">
        <f>IF(AND(A428="",B428="",D428="",G428=""),"",IF(OR(B428="",NOT(ISNUMBER(B428)),C428="",C428="Fora dos ciclos"),"",IF(C428="C0","Nao",IF(IFERROR(INDEX(parametros!$A$2:$A$6,MATCH(C428,parametros!$B$2:$B$6,0)),"")&lt;&gt;"Sim","Nao",IF(IFERROR(INDEX(parametros!$H$2:$H$6,MATCH(C428,parametros!$B$2:$B$6,0)),"")="","",IF(B428&gt;=IFERROR(INDEX(parametros!$H$2:$H$6,MATCH(C428,parametros!$B$2:$B$6,0)),""),"Sim","Nao"))))))</f>
        <v/>
      </c>
      <c r="T428" s="156"/>
      <c r="U428" s="214" t="str">
        <f t="shared" si="36"/>
        <v/>
      </c>
      <c r="V428" s="212" t="s">
        <v>50</v>
      </c>
      <c r="W428" s="100" t="s">
        <v>168</v>
      </c>
      <c r="X428" s="100" t="s">
        <v>169</v>
      </c>
      <c r="Y428" s="101" t="s">
        <v>170</v>
      </c>
      <c r="Z428" s="101" t="s">
        <v>171</v>
      </c>
      <c r="AA428" s="101" t="s">
        <v>50</v>
      </c>
      <c r="AB428" s="101" t="s">
        <v>172</v>
      </c>
      <c r="AC428" s="102" t="s">
        <v>173</v>
      </c>
    </row>
    <row r="429" spans="1:29" ht="25.5" customHeight="1" x14ac:dyDescent="0.35">
      <c r="A429" s="392"/>
      <c r="B429" s="393"/>
      <c r="C429" s="99" t="str">
        <f>IF(B429="","",IF(NOT(ISNUMBER(B429)),"DATA_PC invalida",IF(NOT(ISNUMBER(parametros!$C$2)),"Fora dos ciclos",IF(OR(B429&lt;parametros!$C$2,(YEAR(B429)-YEAR(parametros!$C$2))*12+MONTH(B429)-MONTH(parametros!$C$2)&gt;59),"Fora dos ciclos","C"&amp;INT(((YEAR(B429)-YEAR(parametros!$C$2))*12+MONTH(B429)-MONTH(parametros!$C$2))/12)))))</f>
        <v/>
      </c>
      <c r="D429" s="394"/>
      <c r="E429" s="78" t="str">
        <f>IF(C429="","",IFERROR(VLOOKUP(C429,parametros!$A$11:$E$15,5,0),""))</f>
        <v/>
      </c>
      <c r="F429" s="79" t="str">
        <f t="shared" si="32"/>
        <v/>
      </c>
      <c r="G429" s="395"/>
      <c r="H429" s="91">
        <f t="shared" si="33"/>
        <v>0</v>
      </c>
      <c r="I429" s="91" t="str">
        <f t="shared" si="34"/>
        <v/>
      </c>
      <c r="J429" s="91" t="str">
        <f t="shared" si="35"/>
        <v/>
      </c>
      <c r="K429" s="92" t="str">
        <f>IF(AND(A429="",B429="",D429="",G429=""),"",IF(AND(A429&lt;&gt;"",COUNTIF($A$2:$A$5001,A429)&gt;1),"NUMERO_PC duplicado",IF(B429="","DATA_PC vazia",IF(NOT(ISNUMBER(B429)),"DATA_PC invalida",IF(OR(C429="",C429="Fora dos ciclos"),"CICLO_PC nao identificado",IF(OR(D429="",D429=0),"VALOR_PC vazio ou zero",IF(AND(G429&lt;&gt;"Sim",G429&lt;&gt;"Nao",G429&lt;&gt;""),"PC_PAGO_A_CONTRATADA invalido",IF(AND(C429&lt;&gt;"C0",IFERROR(INDEX(parametros!$A$2:$A$6,MATCH(C429,parametros!$B$2:$B$6,0)),"")="Sim",IFERROR(INDEX(parametros!$H$2:$H$6,MATCH(C429,parametros!$B$2:$B$6,0)),"")=""),"INICIO_EFEITO ausente: PC "&amp;A429&amp;" - "&amp;C429,IF(L429="","EFEITO_PC nao calculado: PC "&amp;A429&amp;" - "&amp;C429,"OK")))))))))</f>
        <v/>
      </c>
      <c r="L429" s="92" t="str">
        <f>IF(AND(A429="",B429="",D429="",G429=""),"",IF(OR(B429="",NOT(ISNUMBER(B429)),C429="",C429="Fora dos ciclos"),"",IF(C429="C0","Nao",IF(IFERROR(INDEX(parametros!$A$2:$A$6,MATCH(C429,parametros!$B$2:$B$6,0)),"")&lt;&gt;"Sim","Nao",IF(IFERROR(INDEX(parametros!$H$2:$H$6,MATCH(C429,parametros!$B$2:$B$6,0)),"")="","",IF(B429&gt;=IFERROR(INDEX(parametros!$H$2:$H$6,MATCH(C429,parametros!$B$2:$B$6,0)),""),"Sim","Nao"))))))</f>
        <v/>
      </c>
      <c r="T429" s="156"/>
      <c r="U429" s="214" t="str">
        <f t="shared" si="36"/>
        <v/>
      </c>
      <c r="V429" s="212" t="s">
        <v>50</v>
      </c>
      <c r="W429" s="100" t="s">
        <v>168</v>
      </c>
      <c r="X429" s="100" t="s">
        <v>169</v>
      </c>
      <c r="Y429" s="101" t="s">
        <v>170</v>
      </c>
      <c r="Z429" s="101" t="s">
        <v>171</v>
      </c>
      <c r="AA429" s="101" t="s">
        <v>50</v>
      </c>
      <c r="AB429" s="101" t="s">
        <v>172</v>
      </c>
      <c r="AC429" s="102" t="s">
        <v>173</v>
      </c>
    </row>
    <row r="430" spans="1:29" ht="25.5" customHeight="1" x14ac:dyDescent="0.35">
      <c r="A430" s="392"/>
      <c r="B430" s="393"/>
      <c r="C430" s="99" t="str">
        <f>IF(B430="","",IF(NOT(ISNUMBER(B430)),"DATA_PC invalida",IF(NOT(ISNUMBER(parametros!$C$2)),"Fora dos ciclos",IF(OR(B430&lt;parametros!$C$2,(YEAR(B430)-YEAR(parametros!$C$2))*12+MONTH(B430)-MONTH(parametros!$C$2)&gt;59),"Fora dos ciclos","C"&amp;INT(((YEAR(B430)-YEAR(parametros!$C$2))*12+MONTH(B430)-MONTH(parametros!$C$2))/12)))))</f>
        <v/>
      </c>
      <c r="D430" s="394"/>
      <c r="E430" s="78" t="str">
        <f>IF(C430="","",IFERROR(VLOOKUP(C430,parametros!$A$11:$E$15,5,0),""))</f>
        <v/>
      </c>
      <c r="F430" s="79" t="str">
        <f t="shared" si="32"/>
        <v/>
      </c>
      <c r="G430" s="395"/>
      <c r="H430" s="91">
        <f t="shared" si="33"/>
        <v>0</v>
      </c>
      <c r="I430" s="91" t="str">
        <f t="shared" si="34"/>
        <v/>
      </c>
      <c r="J430" s="91" t="str">
        <f t="shared" si="35"/>
        <v/>
      </c>
      <c r="K430" s="92" t="str">
        <f>IF(AND(A430="",B430="",D430="",G430=""),"",IF(AND(A430&lt;&gt;"",COUNTIF($A$2:$A$5001,A430)&gt;1),"NUMERO_PC duplicado",IF(B430="","DATA_PC vazia",IF(NOT(ISNUMBER(B430)),"DATA_PC invalida",IF(OR(C430="",C430="Fora dos ciclos"),"CICLO_PC nao identificado",IF(OR(D430="",D430=0),"VALOR_PC vazio ou zero",IF(AND(G430&lt;&gt;"Sim",G430&lt;&gt;"Nao",G430&lt;&gt;""),"PC_PAGO_A_CONTRATADA invalido",IF(AND(C430&lt;&gt;"C0",IFERROR(INDEX(parametros!$A$2:$A$6,MATCH(C430,parametros!$B$2:$B$6,0)),"")="Sim",IFERROR(INDEX(parametros!$H$2:$H$6,MATCH(C430,parametros!$B$2:$B$6,0)),"")=""),"INICIO_EFEITO ausente: PC "&amp;A430&amp;" - "&amp;C430,IF(L430="","EFEITO_PC nao calculado: PC "&amp;A430&amp;" - "&amp;C430,"OK")))))))))</f>
        <v/>
      </c>
      <c r="L430" s="92" t="str">
        <f>IF(AND(A430="",B430="",D430="",G430=""),"",IF(OR(B430="",NOT(ISNUMBER(B430)),C430="",C430="Fora dos ciclos"),"",IF(C430="C0","Nao",IF(IFERROR(INDEX(parametros!$A$2:$A$6,MATCH(C430,parametros!$B$2:$B$6,0)),"")&lt;&gt;"Sim","Nao",IF(IFERROR(INDEX(parametros!$H$2:$H$6,MATCH(C430,parametros!$B$2:$B$6,0)),"")="","",IF(B430&gt;=IFERROR(INDEX(parametros!$H$2:$H$6,MATCH(C430,parametros!$B$2:$B$6,0)),""),"Sim","Nao"))))))</f>
        <v/>
      </c>
      <c r="T430" s="156"/>
      <c r="U430" s="214" t="str">
        <f t="shared" si="36"/>
        <v/>
      </c>
      <c r="V430" s="212" t="s">
        <v>50</v>
      </c>
      <c r="W430" s="100" t="s">
        <v>168</v>
      </c>
      <c r="X430" s="100" t="s">
        <v>169</v>
      </c>
      <c r="Y430" s="101" t="s">
        <v>170</v>
      </c>
      <c r="Z430" s="101" t="s">
        <v>171</v>
      </c>
      <c r="AA430" s="101" t="s">
        <v>50</v>
      </c>
      <c r="AB430" s="101" t="s">
        <v>172</v>
      </c>
      <c r="AC430" s="102" t="s">
        <v>173</v>
      </c>
    </row>
    <row r="431" spans="1:29" ht="25.5" customHeight="1" x14ac:dyDescent="0.35">
      <c r="A431" s="392"/>
      <c r="B431" s="393"/>
      <c r="C431" s="99" t="str">
        <f>IF(B431="","",IF(NOT(ISNUMBER(B431)),"DATA_PC invalida",IF(NOT(ISNUMBER(parametros!$C$2)),"Fora dos ciclos",IF(OR(B431&lt;parametros!$C$2,(YEAR(B431)-YEAR(parametros!$C$2))*12+MONTH(B431)-MONTH(parametros!$C$2)&gt;59),"Fora dos ciclos","C"&amp;INT(((YEAR(B431)-YEAR(parametros!$C$2))*12+MONTH(B431)-MONTH(parametros!$C$2))/12)))))</f>
        <v/>
      </c>
      <c r="D431" s="394"/>
      <c r="E431" s="78" t="str">
        <f>IF(C431="","",IFERROR(VLOOKUP(C431,parametros!$A$11:$E$15,5,0),""))</f>
        <v/>
      </c>
      <c r="F431" s="79" t="str">
        <f t="shared" si="32"/>
        <v/>
      </c>
      <c r="G431" s="395"/>
      <c r="H431" s="91">
        <f t="shared" si="33"/>
        <v>0</v>
      </c>
      <c r="I431" s="91" t="str">
        <f t="shared" si="34"/>
        <v/>
      </c>
      <c r="J431" s="91" t="str">
        <f t="shared" si="35"/>
        <v/>
      </c>
      <c r="K431" s="92" t="str">
        <f>IF(AND(A431="",B431="",D431="",G431=""),"",IF(AND(A431&lt;&gt;"",COUNTIF($A$2:$A$5001,A431)&gt;1),"NUMERO_PC duplicado",IF(B431="","DATA_PC vazia",IF(NOT(ISNUMBER(B431)),"DATA_PC invalida",IF(OR(C431="",C431="Fora dos ciclos"),"CICLO_PC nao identificado",IF(OR(D431="",D431=0),"VALOR_PC vazio ou zero",IF(AND(G431&lt;&gt;"Sim",G431&lt;&gt;"Nao",G431&lt;&gt;""),"PC_PAGO_A_CONTRATADA invalido",IF(AND(C431&lt;&gt;"C0",IFERROR(INDEX(parametros!$A$2:$A$6,MATCH(C431,parametros!$B$2:$B$6,0)),"")="Sim",IFERROR(INDEX(parametros!$H$2:$H$6,MATCH(C431,parametros!$B$2:$B$6,0)),"")=""),"INICIO_EFEITO ausente: PC "&amp;A431&amp;" - "&amp;C431,IF(L431="","EFEITO_PC nao calculado: PC "&amp;A431&amp;" - "&amp;C431,"OK")))))))))</f>
        <v/>
      </c>
      <c r="L431" s="92" t="str">
        <f>IF(AND(A431="",B431="",D431="",G431=""),"",IF(OR(B431="",NOT(ISNUMBER(B431)),C431="",C431="Fora dos ciclos"),"",IF(C431="C0","Nao",IF(IFERROR(INDEX(parametros!$A$2:$A$6,MATCH(C431,parametros!$B$2:$B$6,0)),"")&lt;&gt;"Sim","Nao",IF(IFERROR(INDEX(parametros!$H$2:$H$6,MATCH(C431,parametros!$B$2:$B$6,0)),"")="","",IF(B431&gt;=IFERROR(INDEX(parametros!$H$2:$H$6,MATCH(C431,parametros!$B$2:$B$6,0)),""),"Sim","Nao"))))))</f>
        <v/>
      </c>
      <c r="T431" s="156"/>
      <c r="U431" s="214" t="str">
        <f t="shared" si="36"/>
        <v/>
      </c>
      <c r="V431" s="212" t="s">
        <v>50</v>
      </c>
      <c r="W431" s="100" t="s">
        <v>168</v>
      </c>
      <c r="X431" s="100" t="s">
        <v>169</v>
      </c>
      <c r="Y431" s="101" t="s">
        <v>170</v>
      </c>
      <c r="Z431" s="101" t="s">
        <v>171</v>
      </c>
      <c r="AA431" s="101" t="s">
        <v>50</v>
      </c>
      <c r="AB431" s="101" t="s">
        <v>172</v>
      </c>
      <c r="AC431" s="102" t="s">
        <v>173</v>
      </c>
    </row>
    <row r="432" spans="1:29" ht="25.5" customHeight="1" x14ac:dyDescent="0.35">
      <c r="A432" s="392"/>
      <c r="B432" s="393"/>
      <c r="C432" s="99" t="str">
        <f>IF(B432="","",IF(NOT(ISNUMBER(B432)),"DATA_PC invalida",IF(NOT(ISNUMBER(parametros!$C$2)),"Fora dos ciclos",IF(OR(B432&lt;parametros!$C$2,(YEAR(B432)-YEAR(parametros!$C$2))*12+MONTH(B432)-MONTH(parametros!$C$2)&gt;59),"Fora dos ciclos","C"&amp;INT(((YEAR(B432)-YEAR(parametros!$C$2))*12+MONTH(B432)-MONTH(parametros!$C$2))/12)))))</f>
        <v/>
      </c>
      <c r="D432" s="394"/>
      <c r="E432" s="78" t="str">
        <f>IF(C432="","",IFERROR(VLOOKUP(C432,parametros!$A$11:$E$15,5,0),""))</f>
        <v/>
      </c>
      <c r="F432" s="79" t="str">
        <f t="shared" si="32"/>
        <v/>
      </c>
      <c r="G432" s="395"/>
      <c r="H432" s="91">
        <f t="shared" si="33"/>
        <v>0</v>
      </c>
      <c r="I432" s="91" t="str">
        <f t="shared" si="34"/>
        <v/>
      </c>
      <c r="J432" s="91" t="str">
        <f t="shared" si="35"/>
        <v/>
      </c>
      <c r="K432" s="92" t="str">
        <f>IF(AND(A432="",B432="",D432="",G432=""),"",IF(AND(A432&lt;&gt;"",COUNTIF($A$2:$A$5001,A432)&gt;1),"NUMERO_PC duplicado",IF(B432="","DATA_PC vazia",IF(NOT(ISNUMBER(B432)),"DATA_PC invalida",IF(OR(C432="",C432="Fora dos ciclos"),"CICLO_PC nao identificado",IF(OR(D432="",D432=0),"VALOR_PC vazio ou zero",IF(AND(G432&lt;&gt;"Sim",G432&lt;&gt;"Nao",G432&lt;&gt;""),"PC_PAGO_A_CONTRATADA invalido",IF(AND(C432&lt;&gt;"C0",IFERROR(INDEX(parametros!$A$2:$A$6,MATCH(C432,parametros!$B$2:$B$6,0)),"")="Sim",IFERROR(INDEX(parametros!$H$2:$H$6,MATCH(C432,parametros!$B$2:$B$6,0)),"")=""),"INICIO_EFEITO ausente: PC "&amp;A432&amp;" - "&amp;C432,IF(L432="","EFEITO_PC nao calculado: PC "&amp;A432&amp;" - "&amp;C432,"OK")))))))))</f>
        <v/>
      </c>
      <c r="L432" s="92" t="str">
        <f>IF(AND(A432="",B432="",D432="",G432=""),"",IF(OR(B432="",NOT(ISNUMBER(B432)),C432="",C432="Fora dos ciclos"),"",IF(C432="C0","Nao",IF(IFERROR(INDEX(parametros!$A$2:$A$6,MATCH(C432,parametros!$B$2:$B$6,0)),"")&lt;&gt;"Sim","Nao",IF(IFERROR(INDEX(parametros!$H$2:$H$6,MATCH(C432,parametros!$B$2:$B$6,0)),"")="","",IF(B432&gt;=IFERROR(INDEX(parametros!$H$2:$H$6,MATCH(C432,parametros!$B$2:$B$6,0)),""),"Sim","Nao"))))))</f>
        <v/>
      </c>
      <c r="T432" s="156"/>
      <c r="U432" s="214" t="str">
        <f t="shared" si="36"/>
        <v/>
      </c>
      <c r="V432" s="212" t="s">
        <v>50</v>
      </c>
      <c r="W432" s="100" t="s">
        <v>168</v>
      </c>
      <c r="X432" s="100" t="s">
        <v>169</v>
      </c>
      <c r="Y432" s="101" t="s">
        <v>170</v>
      </c>
      <c r="Z432" s="101" t="s">
        <v>171</v>
      </c>
      <c r="AA432" s="101" t="s">
        <v>50</v>
      </c>
      <c r="AB432" s="101" t="s">
        <v>172</v>
      </c>
      <c r="AC432" s="102" t="s">
        <v>173</v>
      </c>
    </row>
    <row r="433" spans="1:29" ht="25.5" customHeight="1" x14ac:dyDescent="0.35">
      <c r="A433" s="392"/>
      <c r="B433" s="393"/>
      <c r="C433" s="99" t="str">
        <f>IF(B433="","",IF(NOT(ISNUMBER(B433)),"DATA_PC invalida",IF(NOT(ISNUMBER(parametros!$C$2)),"Fora dos ciclos",IF(OR(B433&lt;parametros!$C$2,(YEAR(B433)-YEAR(parametros!$C$2))*12+MONTH(B433)-MONTH(parametros!$C$2)&gt;59),"Fora dos ciclos","C"&amp;INT(((YEAR(B433)-YEAR(parametros!$C$2))*12+MONTH(B433)-MONTH(parametros!$C$2))/12)))))</f>
        <v/>
      </c>
      <c r="D433" s="394"/>
      <c r="E433" s="78" t="str">
        <f>IF(C433="","",IFERROR(VLOOKUP(C433,parametros!$A$11:$E$15,5,0),""))</f>
        <v/>
      </c>
      <c r="F433" s="79" t="str">
        <f t="shared" si="32"/>
        <v/>
      </c>
      <c r="G433" s="395"/>
      <c r="H433" s="91">
        <f t="shared" si="33"/>
        <v>0</v>
      </c>
      <c r="I433" s="91" t="str">
        <f t="shared" si="34"/>
        <v/>
      </c>
      <c r="J433" s="91" t="str">
        <f t="shared" si="35"/>
        <v/>
      </c>
      <c r="K433" s="92" t="str">
        <f>IF(AND(A433="",B433="",D433="",G433=""),"",IF(AND(A433&lt;&gt;"",COUNTIF($A$2:$A$5001,A433)&gt;1),"NUMERO_PC duplicado",IF(B433="","DATA_PC vazia",IF(NOT(ISNUMBER(B433)),"DATA_PC invalida",IF(OR(C433="",C433="Fora dos ciclos"),"CICLO_PC nao identificado",IF(OR(D433="",D433=0),"VALOR_PC vazio ou zero",IF(AND(G433&lt;&gt;"Sim",G433&lt;&gt;"Nao",G433&lt;&gt;""),"PC_PAGO_A_CONTRATADA invalido",IF(AND(C433&lt;&gt;"C0",IFERROR(INDEX(parametros!$A$2:$A$6,MATCH(C433,parametros!$B$2:$B$6,0)),"")="Sim",IFERROR(INDEX(parametros!$H$2:$H$6,MATCH(C433,parametros!$B$2:$B$6,0)),"")=""),"INICIO_EFEITO ausente: PC "&amp;A433&amp;" - "&amp;C433,IF(L433="","EFEITO_PC nao calculado: PC "&amp;A433&amp;" - "&amp;C433,"OK")))))))))</f>
        <v/>
      </c>
      <c r="L433" s="92" t="str">
        <f>IF(AND(A433="",B433="",D433="",G433=""),"",IF(OR(B433="",NOT(ISNUMBER(B433)),C433="",C433="Fora dos ciclos"),"",IF(C433="C0","Nao",IF(IFERROR(INDEX(parametros!$A$2:$A$6,MATCH(C433,parametros!$B$2:$B$6,0)),"")&lt;&gt;"Sim","Nao",IF(IFERROR(INDEX(parametros!$H$2:$H$6,MATCH(C433,parametros!$B$2:$B$6,0)),"")="","",IF(B433&gt;=IFERROR(INDEX(parametros!$H$2:$H$6,MATCH(C433,parametros!$B$2:$B$6,0)),""),"Sim","Nao"))))))</f>
        <v/>
      </c>
      <c r="T433" s="156"/>
      <c r="U433" s="214" t="str">
        <f t="shared" si="36"/>
        <v/>
      </c>
      <c r="V433" s="212" t="s">
        <v>50</v>
      </c>
      <c r="W433" s="100" t="s">
        <v>168</v>
      </c>
      <c r="X433" s="100" t="s">
        <v>169</v>
      </c>
      <c r="Y433" s="101" t="s">
        <v>170</v>
      </c>
      <c r="Z433" s="101" t="s">
        <v>171</v>
      </c>
      <c r="AA433" s="101" t="s">
        <v>50</v>
      </c>
      <c r="AB433" s="101" t="s">
        <v>172</v>
      </c>
      <c r="AC433" s="102" t="s">
        <v>173</v>
      </c>
    </row>
    <row r="434" spans="1:29" ht="25.5" customHeight="1" x14ac:dyDescent="0.35">
      <c r="A434" s="392"/>
      <c r="B434" s="393"/>
      <c r="C434" s="99" t="str">
        <f>IF(B434="","",IF(NOT(ISNUMBER(B434)),"DATA_PC invalida",IF(NOT(ISNUMBER(parametros!$C$2)),"Fora dos ciclos",IF(OR(B434&lt;parametros!$C$2,(YEAR(B434)-YEAR(parametros!$C$2))*12+MONTH(B434)-MONTH(parametros!$C$2)&gt;59),"Fora dos ciclos","C"&amp;INT(((YEAR(B434)-YEAR(parametros!$C$2))*12+MONTH(B434)-MONTH(parametros!$C$2))/12)))))</f>
        <v/>
      </c>
      <c r="D434" s="394"/>
      <c r="E434" s="78" t="str">
        <f>IF(C434="","",IFERROR(VLOOKUP(C434,parametros!$A$11:$E$15,5,0),""))</f>
        <v/>
      </c>
      <c r="F434" s="79" t="str">
        <f t="shared" si="32"/>
        <v/>
      </c>
      <c r="G434" s="395"/>
      <c r="H434" s="91">
        <f t="shared" si="33"/>
        <v>0</v>
      </c>
      <c r="I434" s="91" t="str">
        <f t="shared" si="34"/>
        <v/>
      </c>
      <c r="J434" s="91" t="str">
        <f t="shared" si="35"/>
        <v/>
      </c>
      <c r="K434" s="92" t="str">
        <f>IF(AND(A434="",B434="",D434="",G434=""),"",IF(AND(A434&lt;&gt;"",COUNTIF($A$2:$A$5001,A434)&gt;1),"NUMERO_PC duplicado",IF(B434="","DATA_PC vazia",IF(NOT(ISNUMBER(B434)),"DATA_PC invalida",IF(OR(C434="",C434="Fora dos ciclos"),"CICLO_PC nao identificado",IF(OR(D434="",D434=0),"VALOR_PC vazio ou zero",IF(AND(G434&lt;&gt;"Sim",G434&lt;&gt;"Nao",G434&lt;&gt;""),"PC_PAGO_A_CONTRATADA invalido",IF(AND(C434&lt;&gt;"C0",IFERROR(INDEX(parametros!$A$2:$A$6,MATCH(C434,parametros!$B$2:$B$6,0)),"")="Sim",IFERROR(INDEX(parametros!$H$2:$H$6,MATCH(C434,parametros!$B$2:$B$6,0)),"")=""),"INICIO_EFEITO ausente: PC "&amp;A434&amp;" - "&amp;C434,IF(L434="","EFEITO_PC nao calculado: PC "&amp;A434&amp;" - "&amp;C434,"OK")))))))))</f>
        <v/>
      </c>
      <c r="L434" s="92" t="str">
        <f>IF(AND(A434="",B434="",D434="",G434=""),"",IF(OR(B434="",NOT(ISNUMBER(B434)),C434="",C434="Fora dos ciclos"),"",IF(C434="C0","Nao",IF(IFERROR(INDEX(parametros!$A$2:$A$6,MATCH(C434,parametros!$B$2:$B$6,0)),"")&lt;&gt;"Sim","Nao",IF(IFERROR(INDEX(parametros!$H$2:$H$6,MATCH(C434,parametros!$B$2:$B$6,0)),"")="","",IF(B434&gt;=IFERROR(INDEX(parametros!$H$2:$H$6,MATCH(C434,parametros!$B$2:$B$6,0)),""),"Sim","Nao"))))))</f>
        <v/>
      </c>
      <c r="T434" s="156"/>
      <c r="U434" s="214" t="str">
        <f t="shared" si="36"/>
        <v/>
      </c>
      <c r="V434" s="212" t="s">
        <v>50</v>
      </c>
      <c r="W434" s="100" t="s">
        <v>168</v>
      </c>
      <c r="X434" s="100" t="s">
        <v>169</v>
      </c>
      <c r="Y434" s="101" t="s">
        <v>170</v>
      </c>
      <c r="Z434" s="101" t="s">
        <v>171</v>
      </c>
      <c r="AA434" s="101" t="s">
        <v>50</v>
      </c>
      <c r="AB434" s="101" t="s">
        <v>172</v>
      </c>
      <c r="AC434" s="102" t="s">
        <v>173</v>
      </c>
    </row>
    <row r="435" spans="1:29" ht="25.5" customHeight="1" x14ac:dyDescent="0.35">
      <c r="A435" s="392"/>
      <c r="B435" s="393"/>
      <c r="C435" s="99" t="str">
        <f>IF(B435="","",IF(NOT(ISNUMBER(B435)),"DATA_PC invalida",IF(NOT(ISNUMBER(parametros!$C$2)),"Fora dos ciclos",IF(OR(B435&lt;parametros!$C$2,(YEAR(B435)-YEAR(parametros!$C$2))*12+MONTH(B435)-MONTH(parametros!$C$2)&gt;59),"Fora dos ciclos","C"&amp;INT(((YEAR(B435)-YEAR(parametros!$C$2))*12+MONTH(B435)-MONTH(parametros!$C$2))/12)))))</f>
        <v/>
      </c>
      <c r="D435" s="394"/>
      <c r="E435" s="78" t="str">
        <f>IF(C435="","",IFERROR(VLOOKUP(C435,parametros!$A$11:$E$15,5,0),""))</f>
        <v/>
      </c>
      <c r="F435" s="79" t="str">
        <f t="shared" si="32"/>
        <v/>
      </c>
      <c r="G435" s="395"/>
      <c r="H435" s="91">
        <f t="shared" si="33"/>
        <v>0</v>
      </c>
      <c r="I435" s="91" t="str">
        <f t="shared" si="34"/>
        <v/>
      </c>
      <c r="J435" s="91" t="str">
        <f t="shared" si="35"/>
        <v/>
      </c>
      <c r="K435" s="92" t="str">
        <f>IF(AND(A435="",B435="",D435="",G435=""),"",IF(AND(A435&lt;&gt;"",COUNTIF($A$2:$A$5001,A435)&gt;1),"NUMERO_PC duplicado",IF(B435="","DATA_PC vazia",IF(NOT(ISNUMBER(B435)),"DATA_PC invalida",IF(OR(C435="",C435="Fora dos ciclos"),"CICLO_PC nao identificado",IF(OR(D435="",D435=0),"VALOR_PC vazio ou zero",IF(AND(G435&lt;&gt;"Sim",G435&lt;&gt;"Nao",G435&lt;&gt;""),"PC_PAGO_A_CONTRATADA invalido",IF(AND(C435&lt;&gt;"C0",IFERROR(INDEX(parametros!$A$2:$A$6,MATCH(C435,parametros!$B$2:$B$6,0)),"")="Sim",IFERROR(INDEX(parametros!$H$2:$H$6,MATCH(C435,parametros!$B$2:$B$6,0)),"")=""),"INICIO_EFEITO ausente: PC "&amp;A435&amp;" - "&amp;C435,IF(L435="","EFEITO_PC nao calculado: PC "&amp;A435&amp;" - "&amp;C435,"OK")))))))))</f>
        <v/>
      </c>
      <c r="L435" s="92" t="str">
        <f>IF(AND(A435="",B435="",D435="",G435=""),"",IF(OR(B435="",NOT(ISNUMBER(B435)),C435="",C435="Fora dos ciclos"),"",IF(C435="C0","Nao",IF(IFERROR(INDEX(parametros!$A$2:$A$6,MATCH(C435,parametros!$B$2:$B$6,0)),"")&lt;&gt;"Sim","Nao",IF(IFERROR(INDEX(parametros!$H$2:$H$6,MATCH(C435,parametros!$B$2:$B$6,0)),"")="","",IF(B435&gt;=IFERROR(INDEX(parametros!$H$2:$H$6,MATCH(C435,parametros!$B$2:$B$6,0)),""),"Sim","Nao"))))))</f>
        <v/>
      </c>
      <c r="T435" s="156"/>
      <c r="U435" s="214" t="str">
        <f t="shared" si="36"/>
        <v/>
      </c>
      <c r="V435" s="212" t="s">
        <v>50</v>
      </c>
      <c r="W435" s="100" t="s">
        <v>168</v>
      </c>
      <c r="X435" s="100" t="s">
        <v>169</v>
      </c>
      <c r="Y435" s="101" t="s">
        <v>170</v>
      </c>
      <c r="Z435" s="101" t="s">
        <v>171</v>
      </c>
      <c r="AA435" s="101" t="s">
        <v>50</v>
      </c>
      <c r="AB435" s="101" t="s">
        <v>172</v>
      </c>
      <c r="AC435" s="102" t="s">
        <v>173</v>
      </c>
    </row>
    <row r="436" spans="1:29" ht="25.5" customHeight="1" x14ac:dyDescent="0.35">
      <c r="A436" s="392"/>
      <c r="B436" s="393"/>
      <c r="C436" s="99" t="str">
        <f>IF(B436="","",IF(NOT(ISNUMBER(B436)),"DATA_PC invalida",IF(NOT(ISNUMBER(parametros!$C$2)),"Fora dos ciclos",IF(OR(B436&lt;parametros!$C$2,(YEAR(B436)-YEAR(parametros!$C$2))*12+MONTH(B436)-MONTH(parametros!$C$2)&gt;59),"Fora dos ciclos","C"&amp;INT(((YEAR(B436)-YEAR(parametros!$C$2))*12+MONTH(B436)-MONTH(parametros!$C$2))/12)))))</f>
        <v/>
      </c>
      <c r="D436" s="394"/>
      <c r="E436" s="78" t="str">
        <f>IF(C436="","",IFERROR(VLOOKUP(C436,parametros!$A$11:$E$15,5,0),""))</f>
        <v/>
      </c>
      <c r="F436" s="79" t="str">
        <f t="shared" si="32"/>
        <v/>
      </c>
      <c r="G436" s="395"/>
      <c r="H436" s="91">
        <f t="shared" si="33"/>
        <v>0</v>
      </c>
      <c r="I436" s="91" t="str">
        <f t="shared" si="34"/>
        <v/>
      </c>
      <c r="J436" s="91" t="str">
        <f t="shared" si="35"/>
        <v/>
      </c>
      <c r="K436" s="92" t="str">
        <f>IF(AND(A436="",B436="",D436="",G436=""),"",IF(AND(A436&lt;&gt;"",COUNTIF($A$2:$A$5001,A436)&gt;1),"NUMERO_PC duplicado",IF(B436="","DATA_PC vazia",IF(NOT(ISNUMBER(B436)),"DATA_PC invalida",IF(OR(C436="",C436="Fora dos ciclos"),"CICLO_PC nao identificado",IF(OR(D436="",D436=0),"VALOR_PC vazio ou zero",IF(AND(G436&lt;&gt;"Sim",G436&lt;&gt;"Nao",G436&lt;&gt;""),"PC_PAGO_A_CONTRATADA invalido",IF(AND(C436&lt;&gt;"C0",IFERROR(INDEX(parametros!$A$2:$A$6,MATCH(C436,parametros!$B$2:$B$6,0)),"")="Sim",IFERROR(INDEX(parametros!$H$2:$H$6,MATCH(C436,parametros!$B$2:$B$6,0)),"")=""),"INICIO_EFEITO ausente: PC "&amp;A436&amp;" - "&amp;C436,IF(L436="","EFEITO_PC nao calculado: PC "&amp;A436&amp;" - "&amp;C436,"OK")))))))))</f>
        <v/>
      </c>
      <c r="L436" s="92" t="str">
        <f>IF(AND(A436="",B436="",D436="",G436=""),"",IF(OR(B436="",NOT(ISNUMBER(B436)),C436="",C436="Fora dos ciclos"),"",IF(C436="C0","Nao",IF(IFERROR(INDEX(parametros!$A$2:$A$6,MATCH(C436,parametros!$B$2:$B$6,0)),"")&lt;&gt;"Sim","Nao",IF(IFERROR(INDEX(parametros!$H$2:$H$6,MATCH(C436,parametros!$B$2:$B$6,0)),"")="","",IF(B436&gt;=IFERROR(INDEX(parametros!$H$2:$H$6,MATCH(C436,parametros!$B$2:$B$6,0)),""),"Sim","Nao"))))))</f>
        <v/>
      </c>
      <c r="T436" s="156"/>
      <c r="U436" s="214" t="str">
        <f t="shared" si="36"/>
        <v/>
      </c>
      <c r="V436" s="212" t="s">
        <v>50</v>
      </c>
      <c r="W436" s="100" t="s">
        <v>168</v>
      </c>
      <c r="X436" s="100" t="s">
        <v>169</v>
      </c>
      <c r="Y436" s="101" t="s">
        <v>170</v>
      </c>
      <c r="Z436" s="101" t="s">
        <v>171</v>
      </c>
      <c r="AA436" s="101" t="s">
        <v>50</v>
      </c>
      <c r="AB436" s="101" t="s">
        <v>172</v>
      </c>
      <c r="AC436" s="102" t="s">
        <v>173</v>
      </c>
    </row>
    <row r="437" spans="1:29" ht="25.5" customHeight="1" x14ac:dyDescent="0.35">
      <c r="A437" s="392"/>
      <c r="B437" s="393"/>
      <c r="C437" s="99" t="str">
        <f>IF(B437="","",IF(NOT(ISNUMBER(B437)),"DATA_PC invalida",IF(NOT(ISNUMBER(parametros!$C$2)),"Fora dos ciclos",IF(OR(B437&lt;parametros!$C$2,(YEAR(B437)-YEAR(parametros!$C$2))*12+MONTH(B437)-MONTH(parametros!$C$2)&gt;59),"Fora dos ciclos","C"&amp;INT(((YEAR(B437)-YEAR(parametros!$C$2))*12+MONTH(B437)-MONTH(parametros!$C$2))/12)))))</f>
        <v/>
      </c>
      <c r="D437" s="394"/>
      <c r="E437" s="78" t="str">
        <f>IF(C437="","",IFERROR(VLOOKUP(C437,parametros!$A$11:$E$15,5,0),""))</f>
        <v/>
      </c>
      <c r="F437" s="79" t="str">
        <f t="shared" si="32"/>
        <v/>
      </c>
      <c r="G437" s="395"/>
      <c r="H437" s="91">
        <f t="shared" si="33"/>
        <v>0</v>
      </c>
      <c r="I437" s="91" t="str">
        <f t="shared" si="34"/>
        <v/>
      </c>
      <c r="J437" s="91" t="str">
        <f t="shared" si="35"/>
        <v/>
      </c>
      <c r="K437" s="92" t="str">
        <f>IF(AND(A437="",B437="",D437="",G437=""),"",IF(AND(A437&lt;&gt;"",COUNTIF($A$2:$A$5001,A437)&gt;1),"NUMERO_PC duplicado",IF(B437="","DATA_PC vazia",IF(NOT(ISNUMBER(B437)),"DATA_PC invalida",IF(OR(C437="",C437="Fora dos ciclos"),"CICLO_PC nao identificado",IF(OR(D437="",D437=0),"VALOR_PC vazio ou zero",IF(AND(G437&lt;&gt;"Sim",G437&lt;&gt;"Nao",G437&lt;&gt;""),"PC_PAGO_A_CONTRATADA invalido",IF(AND(C437&lt;&gt;"C0",IFERROR(INDEX(parametros!$A$2:$A$6,MATCH(C437,parametros!$B$2:$B$6,0)),"")="Sim",IFERROR(INDEX(parametros!$H$2:$H$6,MATCH(C437,parametros!$B$2:$B$6,0)),"")=""),"INICIO_EFEITO ausente: PC "&amp;A437&amp;" - "&amp;C437,IF(L437="","EFEITO_PC nao calculado: PC "&amp;A437&amp;" - "&amp;C437,"OK")))))))))</f>
        <v/>
      </c>
      <c r="L437" s="92" t="str">
        <f>IF(AND(A437="",B437="",D437="",G437=""),"",IF(OR(B437="",NOT(ISNUMBER(B437)),C437="",C437="Fora dos ciclos"),"",IF(C437="C0","Nao",IF(IFERROR(INDEX(parametros!$A$2:$A$6,MATCH(C437,parametros!$B$2:$B$6,0)),"")&lt;&gt;"Sim","Nao",IF(IFERROR(INDEX(parametros!$H$2:$H$6,MATCH(C437,parametros!$B$2:$B$6,0)),"")="","",IF(B437&gt;=IFERROR(INDEX(parametros!$H$2:$H$6,MATCH(C437,parametros!$B$2:$B$6,0)),""),"Sim","Nao"))))))</f>
        <v/>
      </c>
      <c r="T437" s="156"/>
      <c r="U437" s="214" t="str">
        <f t="shared" si="36"/>
        <v/>
      </c>
      <c r="V437" s="212" t="s">
        <v>50</v>
      </c>
      <c r="W437" s="100" t="s">
        <v>168</v>
      </c>
      <c r="X437" s="100" t="s">
        <v>169</v>
      </c>
      <c r="Y437" s="101" t="s">
        <v>170</v>
      </c>
      <c r="Z437" s="101" t="s">
        <v>171</v>
      </c>
      <c r="AA437" s="101" t="s">
        <v>50</v>
      </c>
      <c r="AB437" s="101" t="s">
        <v>172</v>
      </c>
      <c r="AC437" s="102" t="s">
        <v>173</v>
      </c>
    </row>
    <row r="438" spans="1:29" ht="25.5" customHeight="1" x14ac:dyDescent="0.35">
      <c r="A438" s="392"/>
      <c r="B438" s="393"/>
      <c r="C438" s="99" t="str">
        <f>IF(B438="","",IF(NOT(ISNUMBER(B438)),"DATA_PC invalida",IF(NOT(ISNUMBER(parametros!$C$2)),"Fora dos ciclos",IF(OR(B438&lt;parametros!$C$2,(YEAR(B438)-YEAR(parametros!$C$2))*12+MONTH(B438)-MONTH(parametros!$C$2)&gt;59),"Fora dos ciclos","C"&amp;INT(((YEAR(B438)-YEAR(parametros!$C$2))*12+MONTH(B438)-MONTH(parametros!$C$2))/12)))))</f>
        <v/>
      </c>
      <c r="D438" s="394"/>
      <c r="E438" s="78" t="str">
        <f>IF(C438="","",IFERROR(VLOOKUP(C438,parametros!$A$11:$E$15,5,0),""))</f>
        <v/>
      </c>
      <c r="F438" s="79" t="str">
        <f t="shared" si="32"/>
        <v/>
      </c>
      <c r="G438" s="395"/>
      <c r="H438" s="91">
        <f t="shared" si="33"/>
        <v>0</v>
      </c>
      <c r="I438" s="91" t="str">
        <f t="shared" si="34"/>
        <v/>
      </c>
      <c r="J438" s="91" t="str">
        <f t="shared" si="35"/>
        <v/>
      </c>
      <c r="K438" s="92" t="str">
        <f>IF(AND(A438="",B438="",D438="",G438=""),"",IF(AND(A438&lt;&gt;"",COUNTIF($A$2:$A$5001,A438)&gt;1),"NUMERO_PC duplicado",IF(B438="","DATA_PC vazia",IF(NOT(ISNUMBER(B438)),"DATA_PC invalida",IF(OR(C438="",C438="Fora dos ciclos"),"CICLO_PC nao identificado",IF(OR(D438="",D438=0),"VALOR_PC vazio ou zero",IF(AND(G438&lt;&gt;"Sim",G438&lt;&gt;"Nao",G438&lt;&gt;""),"PC_PAGO_A_CONTRATADA invalido",IF(AND(C438&lt;&gt;"C0",IFERROR(INDEX(parametros!$A$2:$A$6,MATCH(C438,parametros!$B$2:$B$6,0)),"")="Sim",IFERROR(INDEX(parametros!$H$2:$H$6,MATCH(C438,parametros!$B$2:$B$6,0)),"")=""),"INICIO_EFEITO ausente: PC "&amp;A438&amp;" - "&amp;C438,IF(L438="","EFEITO_PC nao calculado: PC "&amp;A438&amp;" - "&amp;C438,"OK")))))))))</f>
        <v/>
      </c>
      <c r="L438" s="92" t="str">
        <f>IF(AND(A438="",B438="",D438="",G438=""),"",IF(OR(B438="",NOT(ISNUMBER(B438)),C438="",C438="Fora dos ciclos"),"",IF(C438="C0","Nao",IF(IFERROR(INDEX(parametros!$A$2:$A$6,MATCH(C438,parametros!$B$2:$B$6,0)),"")&lt;&gt;"Sim","Nao",IF(IFERROR(INDEX(parametros!$H$2:$H$6,MATCH(C438,parametros!$B$2:$B$6,0)),"")="","",IF(B438&gt;=IFERROR(INDEX(parametros!$H$2:$H$6,MATCH(C438,parametros!$B$2:$B$6,0)),""),"Sim","Nao"))))))</f>
        <v/>
      </c>
      <c r="T438" s="156"/>
      <c r="U438" s="214" t="str">
        <f t="shared" si="36"/>
        <v/>
      </c>
      <c r="V438" s="212" t="s">
        <v>50</v>
      </c>
      <c r="W438" s="100" t="s">
        <v>168</v>
      </c>
      <c r="X438" s="100" t="s">
        <v>169</v>
      </c>
      <c r="Y438" s="101" t="s">
        <v>170</v>
      </c>
      <c r="Z438" s="101" t="s">
        <v>171</v>
      </c>
      <c r="AA438" s="101" t="s">
        <v>50</v>
      </c>
      <c r="AB438" s="101" t="s">
        <v>172</v>
      </c>
      <c r="AC438" s="102" t="s">
        <v>173</v>
      </c>
    </row>
    <row r="439" spans="1:29" ht="25.5" customHeight="1" x14ac:dyDescent="0.35">
      <c r="A439" s="392"/>
      <c r="B439" s="393"/>
      <c r="C439" s="99" t="str">
        <f>IF(B439="","",IF(NOT(ISNUMBER(B439)),"DATA_PC invalida",IF(NOT(ISNUMBER(parametros!$C$2)),"Fora dos ciclos",IF(OR(B439&lt;parametros!$C$2,(YEAR(B439)-YEAR(parametros!$C$2))*12+MONTH(B439)-MONTH(parametros!$C$2)&gt;59),"Fora dos ciclos","C"&amp;INT(((YEAR(B439)-YEAR(parametros!$C$2))*12+MONTH(B439)-MONTH(parametros!$C$2))/12)))))</f>
        <v/>
      </c>
      <c r="D439" s="394"/>
      <c r="E439" s="78" t="str">
        <f>IF(C439="","",IFERROR(VLOOKUP(C439,parametros!$A$11:$E$15,5,0),""))</f>
        <v/>
      </c>
      <c r="F439" s="79" t="str">
        <f t="shared" si="32"/>
        <v/>
      </c>
      <c r="G439" s="395"/>
      <c r="H439" s="91">
        <f t="shared" si="33"/>
        <v>0</v>
      </c>
      <c r="I439" s="91" t="str">
        <f t="shared" si="34"/>
        <v/>
      </c>
      <c r="J439" s="91" t="str">
        <f t="shared" si="35"/>
        <v/>
      </c>
      <c r="K439" s="92" t="str">
        <f>IF(AND(A439="",B439="",D439="",G439=""),"",IF(AND(A439&lt;&gt;"",COUNTIF($A$2:$A$5001,A439)&gt;1),"NUMERO_PC duplicado",IF(B439="","DATA_PC vazia",IF(NOT(ISNUMBER(B439)),"DATA_PC invalida",IF(OR(C439="",C439="Fora dos ciclos"),"CICLO_PC nao identificado",IF(OR(D439="",D439=0),"VALOR_PC vazio ou zero",IF(AND(G439&lt;&gt;"Sim",G439&lt;&gt;"Nao",G439&lt;&gt;""),"PC_PAGO_A_CONTRATADA invalido",IF(AND(C439&lt;&gt;"C0",IFERROR(INDEX(parametros!$A$2:$A$6,MATCH(C439,parametros!$B$2:$B$6,0)),"")="Sim",IFERROR(INDEX(parametros!$H$2:$H$6,MATCH(C439,parametros!$B$2:$B$6,0)),"")=""),"INICIO_EFEITO ausente: PC "&amp;A439&amp;" - "&amp;C439,IF(L439="","EFEITO_PC nao calculado: PC "&amp;A439&amp;" - "&amp;C439,"OK")))))))))</f>
        <v/>
      </c>
      <c r="L439" s="92" t="str">
        <f>IF(AND(A439="",B439="",D439="",G439=""),"",IF(OR(B439="",NOT(ISNUMBER(B439)),C439="",C439="Fora dos ciclos"),"",IF(C439="C0","Nao",IF(IFERROR(INDEX(parametros!$A$2:$A$6,MATCH(C439,parametros!$B$2:$B$6,0)),"")&lt;&gt;"Sim","Nao",IF(IFERROR(INDEX(parametros!$H$2:$H$6,MATCH(C439,parametros!$B$2:$B$6,0)),"")="","",IF(B439&gt;=IFERROR(INDEX(parametros!$H$2:$H$6,MATCH(C439,parametros!$B$2:$B$6,0)),""),"Sim","Nao"))))))</f>
        <v/>
      </c>
      <c r="T439" s="156"/>
      <c r="U439" s="214" t="str">
        <f t="shared" si="36"/>
        <v/>
      </c>
      <c r="V439" s="212" t="s">
        <v>50</v>
      </c>
      <c r="W439" s="100" t="s">
        <v>168</v>
      </c>
      <c r="X439" s="100" t="s">
        <v>169</v>
      </c>
      <c r="Y439" s="101" t="s">
        <v>170</v>
      </c>
      <c r="Z439" s="101" t="s">
        <v>171</v>
      </c>
      <c r="AA439" s="101" t="s">
        <v>50</v>
      </c>
      <c r="AB439" s="101" t="s">
        <v>172</v>
      </c>
      <c r="AC439" s="102" t="s">
        <v>173</v>
      </c>
    </row>
    <row r="440" spans="1:29" ht="25.5" customHeight="1" x14ac:dyDescent="0.35">
      <c r="A440" s="392"/>
      <c r="B440" s="393"/>
      <c r="C440" s="99" t="str">
        <f>IF(B440="","",IF(NOT(ISNUMBER(B440)),"DATA_PC invalida",IF(NOT(ISNUMBER(parametros!$C$2)),"Fora dos ciclos",IF(OR(B440&lt;parametros!$C$2,(YEAR(B440)-YEAR(parametros!$C$2))*12+MONTH(B440)-MONTH(parametros!$C$2)&gt;59),"Fora dos ciclos","C"&amp;INT(((YEAR(B440)-YEAR(parametros!$C$2))*12+MONTH(B440)-MONTH(parametros!$C$2))/12)))))</f>
        <v/>
      </c>
      <c r="D440" s="394"/>
      <c r="E440" s="78" t="str">
        <f>IF(C440="","",IFERROR(VLOOKUP(C440,parametros!$A$11:$E$15,5,0),""))</f>
        <v/>
      </c>
      <c r="F440" s="79" t="str">
        <f t="shared" si="32"/>
        <v/>
      </c>
      <c r="G440" s="395"/>
      <c r="H440" s="91">
        <f t="shared" si="33"/>
        <v>0</v>
      </c>
      <c r="I440" s="91" t="str">
        <f t="shared" si="34"/>
        <v/>
      </c>
      <c r="J440" s="91" t="str">
        <f t="shared" si="35"/>
        <v/>
      </c>
      <c r="K440" s="92" t="str">
        <f>IF(AND(A440="",B440="",D440="",G440=""),"",IF(AND(A440&lt;&gt;"",COUNTIF($A$2:$A$5001,A440)&gt;1),"NUMERO_PC duplicado",IF(B440="","DATA_PC vazia",IF(NOT(ISNUMBER(B440)),"DATA_PC invalida",IF(OR(C440="",C440="Fora dos ciclos"),"CICLO_PC nao identificado",IF(OR(D440="",D440=0),"VALOR_PC vazio ou zero",IF(AND(G440&lt;&gt;"Sim",G440&lt;&gt;"Nao",G440&lt;&gt;""),"PC_PAGO_A_CONTRATADA invalido",IF(AND(C440&lt;&gt;"C0",IFERROR(INDEX(parametros!$A$2:$A$6,MATCH(C440,parametros!$B$2:$B$6,0)),"")="Sim",IFERROR(INDEX(parametros!$H$2:$H$6,MATCH(C440,parametros!$B$2:$B$6,0)),"")=""),"INICIO_EFEITO ausente: PC "&amp;A440&amp;" - "&amp;C440,IF(L440="","EFEITO_PC nao calculado: PC "&amp;A440&amp;" - "&amp;C440,"OK")))))))))</f>
        <v/>
      </c>
      <c r="L440" s="92" t="str">
        <f>IF(AND(A440="",B440="",D440="",G440=""),"",IF(OR(B440="",NOT(ISNUMBER(B440)),C440="",C440="Fora dos ciclos"),"",IF(C440="C0","Nao",IF(IFERROR(INDEX(parametros!$A$2:$A$6,MATCH(C440,parametros!$B$2:$B$6,0)),"")&lt;&gt;"Sim","Nao",IF(IFERROR(INDEX(parametros!$H$2:$H$6,MATCH(C440,parametros!$B$2:$B$6,0)),"")="","",IF(B440&gt;=IFERROR(INDEX(parametros!$H$2:$H$6,MATCH(C440,parametros!$B$2:$B$6,0)),""),"Sim","Nao"))))))</f>
        <v/>
      </c>
      <c r="T440" s="156"/>
      <c r="U440" s="214" t="str">
        <f t="shared" si="36"/>
        <v/>
      </c>
      <c r="V440" s="212" t="s">
        <v>50</v>
      </c>
      <c r="W440" s="100" t="s">
        <v>168</v>
      </c>
      <c r="X440" s="100" t="s">
        <v>169</v>
      </c>
      <c r="Y440" s="101" t="s">
        <v>170</v>
      </c>
      <c r="Z440" s="101" t="s">
        <v>171</v>
      </c>
      <c r="AA440" s="101" t="s">
        <v>50</v>
      </c>
      <c r="AB440" s="101" t="s">
        <v>172</v>
      </c>
      <c r="AC440" s="102" t="s">
        <v>173</v>
      </c>
    </row>
    <row r="441" spans="1:29" ht="25.5" customHeight="1" x14ac:dyDescent="0.35">
      <c r="A441" s="392"/>
      <c r="B441" s="393"/>
      <c r="C441" s="99" t="str">
        <f>IF(B441="","",IF(NOT(ISNUMBER(B441)),"DATA_PC invalida",IF(NOT(ISNUMBER(parametros!$C$2)),"Fora dos ciclos",IF(OR(B441&lt;parametros!$C$2,(YEAR(B441)-YEAR(parametros!$C$2))*12+MONTH(B441)-MONTH(parametros!$C$2)&gt;59),"Fora dos ciclos","C"&amp;INT(((YEAR(B441)-YEAR(parametros!$C$2))*12+MONTH(B441)-MONTH(parametros!$C$2))/12)))))</f>
        <v/>
      </c>
      <c r="D441" s="394"/>
      <c r="E441" s="78" t="str">
        <f>IF(C441="","",IFERROR(VLOOKUP(C441,parametros!$A$11:$E$15,5,0),""))</f>
        <v/>
      </c>
      <c r="F441" s="79" t="str">
        <f t="shared" si="32"/>
        <v/>
      </c>
      <c r="G441" s="395"/>
      <c r="H441" s="91">
        <f t="shared" si="33"/>
        <v>0</v>
      </c>
      <c r="I441" s="91" t="str">
        <f t="shared" si="34"/>
        <v/>
      </c>
      <c r="J441" s="91" t="str">
        <f t="shared" si="35"/>
        <v/>
      </c>
      <c r="K441" s="92" t="str">
        <f>IF(AND(A441="",B441="",D441="",G441=""),"",IF(AND(A441&lt;&gt;"",COUNTIF($A$2:$A$5001,A441)&gt;1),"NUMERO_PC duplicado",IF(B441="","DATA_PC vazia",IF(NOT(ISNUMBER(B441)),"DATA_PC invalida",IF(OR(C441="",C441="Fora dos ciclos"),"CICLO_PC nao identificado",IF(OR(D441="",D441=0),"VALOR_PC vazio ou zero",IF(AND(G441&lt;&gt;"Sim",G441&lt;&gt;"Nao",G441&lt;&gt;""),"PC_PAGO_A_CONTRATADA invalido",IF(AND(C441&lt;&gt;"C0",IFERROR(INDEX(parametros!$A$2:$A$6,MATCH(C441,parametros!$B$2:$B$6,0)),"")="Sim",IFERROR(INDEX(parametros!$H$2:$H$6,MATCH(C441,parametros!$B$2:$B$6,0)),"")=""),"INICIO_EFEITO ausente: PC "&amp;A441&amp;" - "&amp;C441,IF(L441="","EFEITO_PC nao calculado: PC "&amp;A441&amp;" - "&amp;C441,"OK")))))))))</f>
        <v/>
      </c>
      <c r="L441" s="92" t="str">
        <f>IF(AND(A441="",B441="",D441="",G441=""),"",IF(OR(B441="",NOT(ISNUMBER(B441)),C441="",C441="Fora dos ciclos"),"",IF(C441="C0","Nao",IF(IFERROR(INDEX(parametros!$A$2:$A$6,MATCH(C441,parametros!$B$2:$B$6,0)),"")&lt;&gt;"Sim","Nao",IF(IFERROR(INDEX(parametros!$H$2:$H$6,MATCH(C441,parametros!$B$2:$B$6,0)),"")="","",IF(B441&gt;=IFERROR(INDEX(parametros!$H$2:$H$6,MATCH(C441,parametros!$B$2:$B$6,0)),""),"Sim","Nao"))))))</f>
        <v/>
      </c>
      <c r="T441" s="156"/>
      <c r="U441" s="214" t="str">
        <f t="shared" si="36"/>
        <v/>
      </c>
      <c r="V441" s="212" t="s">
        <v>50</v>
      </c>
      <c r="W441" s="100" t="s">
        <v>168</v>
      </c>
      <c r="X441" s="100" t="s">
        <v>169</v>
      </c>
      <c r="Y441" s="101" t="s">
        <v>170</v>
      </c>
      <c r="Z441" s="101" t="s">
        <v>171</v>
      </c>
      <c r="AA441" s="101" t="s">
        <v>50</v>
      </c>
      <c r="AB441" s="101" t="s">
        <v>172</v>
      </c>
      <c r="AC441" s="102" t="s">
        <v>173</v>
      </c>
    </row>
    <row r="442" spans="1:29" ht="25.5" customHeight="1" x14ac:dyDescent="0.35">
      <c r="A442" s="392"/>
      <c r="B442" s="393"/>
      <c r="C442" s="99" t="str">
        <f>IF(B442="","",IF(NOT(ISNUMBER(B442)),"DATA_PC invalida",IF(NOT(ISNUMBER(parametros!$C$2)),"Fora dos ciclos",IF(OR(B442&lt;parametros!$C$2,(YEAR(B442)-YEAR(parametros!$C$2))*12+MONTH(B442)-MONTH(parametros!$C$2)&gt;59),"Fora dos ciclos","C"&amp;INT(((YEAR(B442)-YEAR(parametros!$C$2))*12+MONTH(B442)-MONTH(parametros!$C$2))/12)))))</f>
        <v/>
      </c>
      <c r="D442" s="394"/>
      <c r="E442" s="78" t="str">
        <f>IF(C442="","",IFERROR(VLOOKUP(C442,parametros!$A$11:$E$15,5,0),""))</f>
        <v/>
      </c>
      <c r="F442" s="79" t="str">
        <f t="shared" si="32"/>
        <v/>
      </c>
      <c r="G442" s="395"/>
      <c r="H442" s="91">
        <f t="shared" si="33"/>
        <v>0</v>
      </c>
      <c r="I442" s="91" t="str">
        <f t="shared" si="34"/>
        <v/>
      </c>
      <c r="J442" s="91" t="str">
        <f t="shared" si="35"/>
        <v/>
      </c>
      <c r="K442" s="92" t="str">
        <f>IF(AND(A442="",B442="",D442="",G442=""),"",IF(AND(A442&lt;&gt;"",COUNTIF($A$2:$A$5001,A442)&gt;1),"NUMERO_PC duplicado",IF(B442="","DATA_PC vazia",IF(NOT(ISNUMBER(B442)),"DATA_PC invalida",IF(OR(C442="",C442="Fora dos ciclos"),"CICLO_PC nao identificado",IF(OR(D442="",D442=0),"VALOR_PC vazio ou zero",IF(AND(G442&lt;&gt;"Sim",G442&lt;&gt;"Nao",G442&lt;&gt;""),"PC_PAGO_A_CONTRATADA invalido",IF(AND(C442&lt;&gt;"C0",IFERROR(INDEX(parametros!$A$2:$A$6,MATCH(C442,parametros!$B$2:$B$6,0)),"")="Sim",IFERROR(INDEX(parametros!$H$2:$H$6,MATCH(C442,parametros!$B$2:$B$6,0)),"")=""),"INICIO_EFEITO ausente: PC "&amp;A442&amp;" - "&amp;C442,IF(L442="","EFEITO_PC nao calculado: PC "&amp;A442&amp;" - "&amp;C442,"OK")))))))))</f>
        <v/>
      </c>
      <c r="L442" s="92" t="str">
        <f>IF(AND(A442="",B442="",D442="",G442=""),"",IF(OR(B442="",NOT(ISNUMBER(B442)),C442="",C442="Fora dos ciclos"),"",IF(C442="C0","Nao",IF(IFERROR(INDEX(parametros!$A$2:$A$6,MATCH(C442,parametros!$B$2:$B$6,0)),"")&lt;&gt;"Sim","Nao",IF(IFERROR(INDEX(parametros!$H$2:$H$6,MATCH(C442,parametros!$B$2:$B$6,0)),"")="","",IF(B442&gt;=IFERROR(INDEX(parametros!$H$2:$H$6,MATCH(C442,parametros!$B$2:$B$6,0)),""),"Sim","Nao"))))))</f>
        <v/>
      </c>
      <c r="T442" s="156"/>
      <c r="U442" s="214" t="str">
        <f t="shared" si="36"/>
        <v/>
      </c>
      <c r="V442" s="212" t="s">
        <v>50</v>
      </c>
      <c r="W442" s="100" t="s">
        <v>168</v>
      </c>
      <c r="X442" s="100" t="s">
        <v>169</v>
      </c>
      <c r="Y442" s="101" t="s">
        <v>170</v>
      </c>
      <c r="Z442" s="101" t="s">
        <v>171</v>
      </c>
      <c r="AA442" s="101" t="s">
        <v>50</v>
      </c>
      <c r="AB442" s="101" t="s">
        <v>172</v>
      </c>
      <c r="AC442" s="102" t="s">
        <v>173</v>
      </c>
    </row>
    <row r="443" spans="1:29" ht="25.5" customHeight="1" x14ac:dyDescent="0.35">
      <c r="A443" s="392"/>
      <c r="B443" s="393"/>
      <c r="C443" s="99" t="str">
        <f>IF(B443="","",IF(NOT(ISNUMBER(B443)),"DATA_PC invalida",IF(NOT(ISNUMBER(parametros!$C$2)),"Fora dos ciclos",IF(OR(B443&lt;parametros!$C$2,(YEAR(B443)-YEAR(parametros!$C$2))*12+MONTH(B443)-MONTH(parametros!$C$2)&gt;59),"Fora dos ciclos","C"&amp;INT(((YEAR(B443)-YEAR(parametros!$C$2))*12+MONTH(B443)-MONTH(parametros!$C$2))/12)))))</f>
        <v/>
      </c>
      <c r="D443" s="394"/>
      <c r="E443" s="78" t="str">
        <f>IF(C443="","",IFERROR(VLOOKUP(C443,parametros!$A$11:$E$15,5,0),""))</f>
        <v/>
      </c>
      <c r="F443" s="79" t="str">
        <f t="shared" si="32"/>
        <v/>
      </c>
      <c r="G443" s="395"/>
      <c r="H443" s="91">
        <f t="shared" si="33"/>
        <v>0</v>
      </c>
      <c r="I443" s="91" t="str">
        <f t="shared" si="34"/>
        <v/>
      </c>
      <c r="J443" s="91" t="str">
        <f t="shared" si="35"/>
        <v/>
      </c>
      <c r="K443" s="92" t="str">
        <f>IF(AND(A443="",B443="",D443="",G443=""),"",IF(AND(A443&lt;&gt;"",COUNTIF($A$2:$A$5001,A443)&gt;1),"NUMERO_PC duplicado",IF(B443="","DATA_PC vazia",IF(NOT(ISNUMBER(B443)),"DATA_PC invalida",IF(OR(C443="",C443="Fora dos ciclos"),"CICLO_PC nao identificado",IF(OR(D443="",D443=0),"VALOR_PC vazio ou zero",IF(AND(G443&lt;&gt;"Sim",G443&lt;&gt;"Nao",G443&lt;&gt;""),"PC_PAGO_A_CONTRATADA invalido",IF(AND(C443&lt;&gt;"C0",IFERROR(INDEX(parametros!$A$2:$A$6,MATCH(C443,parametros!$B$2:$B$6,0)),"")="Sim",IFERROR(INDEX(parametros!$H$2:$H$6,MATCH(C443,parametros!$B$2:$B$6,0)),"")=""),"INICIO_EFEITO ausente: PC "&amp;A443&amp;" - "&amp;C443,IF(L443="","EFEITO_PC nao calculado: PC "&amp;A443&amp;" - "&amp;C443,"OK")))))))))</f>
        <v/>
      </c>
      <c r="L443" s="92" t="str">
        <f>IF(AND(A443="",B443="",D443="",G443=""),"",IF(OR(B443="",NOT(ISNUMBER(B443)),C443="",C443="Fora dos ciclos"),"",IF(C443="C0","Nao",IF(IFERROR(INDEX(parametros!$A$2:$A$6,MATCH(C443,parametros!$B$2:$B$6,0)),"")&lt;&gt;"Sim","Nao",IF(IFERROR(INDEX(parametros!$H$2:$H$6,MATCH(C443,parametros!$B$2:$B$6,0)),"")="","",IF(B443&gt;=IFERROR(INDEX(parametros!$H$2:$H$6,MATCH(C443,parametros!$B$2:$B$6,0)),""),"Sim","Nao"))))))</f>
        <v/>
      </c>
      <c r="T443" s="156"/>
      <c r="U443" s="214" t="str">
        <f t="shared" si="36"/>
        <v/>
      </c>
      <c r="V443" s="212" t="s">
        <v>50</v>
      </c>
      <c r="W443" s="100" t="s">
        <v>168</v>
      </c>
      <c r="X443" s="100" t="s">
        <v>169</v>
      </c>
      <c r="Y443" s="101" t="s">
        <v>170</v>
      </c>
      <c r="Z443" s="101" t="s">
        <v>171</v>
      </c>
      <c r="AA443" s="101" t="s">
        <v>50</v>
      </c>
      <c r="AB443" s="101" t="s">
        <v>172</v>
      </c>
      <c r="AC443" s="102" t="s">
        <v>173</v>
      </c>
    </row>
    <row r="444" spans="1:29" ht="25.5" customHeight="1" x14ac:dyDescent="0.35">
      <c r="A444" s="392"/>
      <c r="B444" s="393"/>
      <c r="C444" s="99" t="str">
        <f>IF(B444="","",IF(NOT(ISNUMBER(B444)),"DATA_PC invalida",IF(NOT(ISNUMBER(parametros!$C$2)),"Fora dos ciclos",IF(OR(B444&lt;parametros!$C$2,(YEAR(B444)-YEAR(parametros!$C$2))*12+MONTH(B444)-MONTH(parametros!$C$2)&gt;59),"Fora dos ciclos","C"&amp;INT(((YEAR(B444)-YEAR(parametros!$C$2))*12+MONTH(B444)-MONTH(parametros!$C$2))/12)))))</f>
        <v/>
      </c>
      <c r="D444" s="394"/>
      <c r="E444" s="78" t="str">
        <f>IF(C444="","",IFERROR(VLOOKUP(C444,parametros!$A$11:$E$15,5,0),""))</f>
        <v/>
      </c>
      <c r="F444" s="79" t="str">
        <f t="shared" si="32"/>
        <v/>
      </c>
      <c r="G444" s="395"/>
      <c r="H444" s="91">
        <f t="shared" si="33"/>
        <v>0</v>
      </c>
      <c r="I444" s="91" t="str">
        <f t="shared" si="34"/>
        <v/>
      </c>
      <c r="J444" s="91" t="str">
        <f t="shared" si="35"/>
        <v/>
      </c>
      <c r="K444" s="92" t="str">
        <f>IF(AND(A444="",B444="",D444="",G444=""),"",IF(AND(A444&lt;&gt;"",COUNTIF($A$2:$A$5001,A444)&gt;1),"NUMERO_PC duplicado",IF(B444="","DATA_PC vazia",IF(NOT(ISNUMBER(B444)),"DATA_PC invalida",IF(OR(C444="",C444="Fora dos ciclos"),"CICLO_PC nao identificado",IF(OR(D444="",D444=0),"VALOR_PC vazio ou zero",IF(AND(G444&lt;&gt;"Sim",G444&lt;&gt;"Nao",G444&lt;&gt;""),"PC_PAGO_A_CONTRATADA invalido",IF(AND(C444&lt;&gt;"C0",IFERROR(INDEX(parametros!$A$2:$A$6,MATCH(C444,parametros!$B$2:$B$6,0)),"")="Sim",IFERROR(INDEX(parametros!$H$2:$H$6,MATCH(C444,parametros!$B$2:$B$6,0)),"")=""),"INICIO_EFEITO ausente: PC "&amp;A444&amp;" - "&amp;C444,IF(L444="","EFEITO_PC nao calculado: PC "&amp;A444&amp;" - "&amp;C444,"OK")))))))))</f>
        <v/>
      </c>
      <c r="L444" s="92" t="str">
        <f>IF(AND(A444="",B444="",D444="",G444=""),"",IF(OR(B444="",NOT(ISNUMBER(B444)),C444="",C444="Fora dos ciclos"),"",IF(C444="C0","Nao",IF(IFERROR(INDEX(parametros!$A$2:$A$6,MATCH(C444,parametros!$B$2:$B$6,0)),"")&lt;&gt;"Sim","Nao",IF(IFERROR(INDEX(parametros!$H$2:$H$6,MATCH(C444,parametros!$B$2:$B$6,0)),"")="","",IF(B444&gt;=IFERROR(INDEX(parametros!$H$2:$H$6,MATCH(C444,parametros!$B$2:$B$6,0)),""),"Sim","Nao"))))))</f>
        <v/>
      </c>
      <c r="T444" s="156"/>
      <c r="U444" s="214" t="str">
        <f t="shared" si="36"/>
        <v/>
      </c>
      <c r="V444" s="212" t="s">
        <v>50</v>
      </c>
      <c r="W444" s="100" t="s">
        <v>168</v>
      </c>
      <c r="X444" s="100" t="s">
        <v>169</v>
      </c>
      <c r="Y444" s="101" t="s">
        <v>170</v>
      </c>
      <c r="Z444" s="101" t="s">
        <v>171</v>
      </c>
      <c r="AA444" s="101" t="s">
        <v>50</v>
      </c>
      <c r="AB444" s="101" t="s">
        <v>172</v>
      </c>
      <c r="AC444" s="102" t="s">
        <v>173</v>
      </c>
    </row>
    <row r="445" spans="1:29" ht="25.5" customHeight="1" x14ac:dyDescent="0.35">
      <c r="A445" s="392"/>
      <c r="B445" s="393"/>
      <c r="C445" s="99" t="str">
        <f>IF(B445="","",IF(NOT(ISNUMBER(B445)),"DATA_PC invalida",IF(NOT(ISNUMBER(parametros!$C$2)),"Fora dos ciclos",IF(OR(B445&lt;parametros!$C$2,(YEAR(B445)-YEAR(parametros!$C$2))*12+MONTH(B445)-MONTH(parametros!$C$2)&gt;59),"Fora dos ciclos","C"&amp;INT(((YEAR(B445)-YEAR(parametros!$C$2))*12+MONTH(B445)-MONTH(parametros!$C$2))/12)))))</f>
        <v/>
      </c>
      <c r="D445" s="394"/>
      <c r="E445" s="78" t="str">
        <f>IF(C445="","",IFERROR(VLOOKUP(C445,parametros!$A$11:$E$15,5,0),""))</f>
        <v/>
      </c>
      <c r="F445" s="79" t="str">
        <f t="shared" si="32"/>
        <v/>
      </c>
      <c r="G445" s="395"/>
      <c r="H445" s="91">
        <f t="shared" si="33"/>
        <v>0</v>
      </c>
      <c r="I445" s="91" t="str">
        <f t="shared" si="34"/>
        <v/>
      </c>
      <c r="J445" s="91" t="str">
        <f t="shared" si="35"/>
        <v/>
      </c>
      <c r="K445" s="92" t="str">
        <f>IF(AND(A445="",B445="",D445="",G445=""),"",IF(AND(A445&lt;&gt;"",COUNTIF($A$2:$A$5001,A445)&gt;1),"NUMERO_PC duplicado",IF(B445="","DATA_PC vazia",IF(NOT(ISNUMBER(B445)),"DATA_PC invalida",IF(OR(C445="",C445="Fora dos ciclos"),"CICLO_PC nao identificado",IF(OR(D445="",D445=0),"VALOR_PC vazio ou zero",IF(AND(G445&lt;&gt;"Sim",G445&lt;&gt;"Nao",G445&lt;&gt;""),"PC_PAGO_A_CONTRATADA invalido",IF(AND(C445&lt;&gt;"C0",IFERROR(INDEX(parametros!$A$2:$A$6,MATCH(C445,parametros!$B$2:$B$6,0)),"")="Sim",IFERROR(INDEX(parametros!$H$2:$H$6,MATCH(C445,parametros!$B$2:$B$6,0)),"")=""),"INICIO_EFEITO ausente: PC "&amp;A445&amp;" - "&amp;C445,IF(L445="","EFEITO_PC nao calculado: PC "&amp;A445&amp;" - "&amp;C445,"OK")))))))))</f>
        <v/>
      </c>
      <c r="L445" s="92" t="str">
        <f>IF(AND(A445="",B445="",D445="",G445=""),"",IF(OR(B445="",NOT(ISNUMBER(B445)),C445="",C445="Fora dos ciclos"),"",IF(C445="C0","Nao",IF(IFERROR(INDEX(parametros!$A$2:$A$6,MATCH(C445,parametros!$B$2:$B$6,0)),"")&lt;&gt;"Sim","Nao",IF(IFERROR(INDEX(parametros!$H$2:$H$6,MATCH(C445,parametros!$B$2:$B$6,0)),"")="","",IF(B445&gt;=IFERROR(INDEX(parametros!$H$2:$H$6,MATCH(C445,parametros!$B$2:$B$6,0)),""),"Sim","Nao"))))))</f>
        <v/>
      </c>
      <c r="T445" s="156"/>
      <c r="U445" s="214" t="str">
        <f t="shared" si="36"/>
        <v/>
      </c>
      <c r="V445" s="212" t="s">
        <v>50</v>
      </c>
      <c r="W445" s="100" t="s">
        <v>168</v>
      </c>
      <c r="X445" s="100" t="s">
        <v>169</v>
      </c>
      <c r="Y445" s="101" t="s">
        <v>170</v>
      </c>
      <c r="Z445" s="101" t="s">
        <v>171</v>
      </c>
      <c r="AA445" s="101" t="s">
        <v>50</v>
      </c>
      <c r="AB445" s="101" t="s">
        <v>172</v>
      </c>
      <c r="AC445" s="102" t="s">
        <v>173</v>
      </c>
    </row>
    <row r="446" spans="1:29" ht="25.5" customHeight="1" x14ac:dyDescent="0.35">
      <c r="A446" s="392"/>
      <c r="B446" s="393"/>
      <c r="C446" s="99" t="str">
        <f>IF(B446="","",IF(NOT(ISNUMBER(B446)),"DATA_PC invalida",IF(NOT(ISNUMBER(parametros!$C$2)),"Fora dos ciclos",IF(OR(B446&lt;parametros!$C$2,(YEAR(B446)-YEAR(parametros!$C$2))*12+MONTH(B446)-MONTH(parametros!$C$2)&gt;59),"Fora dos ciclos","C"&amp;INT(((YEAR(B446)-YEAR(parametros!$C$2))*12+MONTH(B446)-MONTH(parametros!$C$2))/12)))))</f>
        <v/>
      </c>
      <c r="D446" s="394"/>
      <c r="E446" s="78" t="str">
        <f>IF(C446="","",IFERROR(VLOOKUP(C446,parametros!$A$11:$E$15,5,0),""))</f>
        <v/>
      </c>
      <c r="F446" s="79" t="str">
        <f t="shared" si="32"/>
        <v/>
      </c>
      <c r="G446" s="395"/>
      <c r="H446" s="91">
        <f t="shared" si="33"/>
        <v>0</v>
      </c>
      <c r="I446" s="91" t="str">
        <f t="shared" si="34"/>
        <v/>
      </c>
      <c r="J446" s="91" t="str">
        <f t="shared" si="35"/>
        <v/>
      </c>
      <c r="K446" s="92" t="str">
        <f>IF(AND(A446="",B446="",D446="",G446=""),"",IF(AND(A446&lt;&gt;"",COUNTIF($A$2:$A$5001,A446)&gt;1),"NUMERO_PC duplicado",IF(B446="","DATA_PC vazia",IF(NOT(ISNUMBER(B446)),"DATA_PC invalida",IF(OR(C446="",C446="Fora dos ciclos"),"CICLO_PC nao identificado",IF(OR(D446="",D446=0),"VALOR_PC vazio ou zero",IF(AND(G446&lt;&gt;"Sim",G446&lt;&gt;"Nao",G446&lt;&gt;""),"PC_PAGO_A_CONTRATADA invalido",IF(AND(C446&lt;&gt;"C0",IFERROR(INDEX(parametros!$A$2:$A$6,MATCH(C446,parametros!$B$2:$B$6,0)),"")="Sim",IFERROR(INDEX(parametros!$H$2:$H$6,MATCH(C446,parametros!$B$2:$B$6,0)),"")=""),"INICIO_EFEITO ausente: PC "&amp;A446&amp;" - "&amp;C446,IF(L446="","EFEITO_PC nao calculado: PC "&amp;A446&amp;" - "&amp;C446,"OK")))))))))</f>
        <v/>
      </c>
      <c r="L446" s="92" t="str">
        <f>IF(AND(A446="",B446="",D446="",G446=""),"",IF(OR(B446="",NOT(ISNUMBER(B446)),C446="",C446="Fora dos ciclos"),"",IF(C446="C0","Nao",IF(IFERROR(INDEX(parametros!$A$2:$A$6,MATCH(C446,parametros!$B$2:$B$6,0)),"")&lt;&gt;"Sim","Nao",IF(IFERROR(INDEX(parametros!$H$2:$H$6,MATCH(C446,parametros!$B$2:$B$6,0)),"")="","",IF(B446&gt;=IFERROR(INDEX(parametros!$H$2:$H$6,MATCH(C446,parametros!$B$2:$B$6,0)),""),"Sim","Nao"))))))</f>
        <v/>
      </c>
      <c r="T446" s="156"/>
      <c r="U446" s="214" t="str">
        <f t="shared" si="36"/>
        <v/>
      </c>
      <c r="V446" s="212" t="s">
        <v>50</v>
      </c>
      <c r="W446" s="100" t="s">
        <v>168</v>
      </c>
      <c r="X446" s="100" t="s">
        <v>169</v>
      </c>
      <c r="Y446" s="101" t="s">
        <v>170</v>
      </c>
      <c r="Z446" s="101" t="s">
        <v>171</v>
      </c>
      <c r="AA446" s="101" t="s">
        <v>50</v>
      </c>
      <c r="AB446" s="101" t="s">
        <v>172</v>
      </c>
      <c r="AC446" s="102" t="s">
        <v>173</v>
      </c>
    </row>
    <row r="447" spans="1:29" ht="25.5" customHeight="1" x14ac:dyDescent="0.35">
      <c r="A447" s="392"/>
      <c r="B447" s="393"/>
      <c r="C447" s="99" t="str">
        <f>IF(B447="","",IF(NOT(ISNUMBER(B447)),"DATA_PC invalida",IF(NOT(ISNUMBER(parametros!$C$2)),"Fora dos ciclos",IF(OR(B447&lt;parametros!$C$2,(YEAR(B447)-YEAR(parametros!$C$2))*12+MONTH(B447)-MONTH(parametros!$C$2)&gt;59),"Fora dos ciclos","C"&amp;INT(((YEAR(B447)-YEAR(parametros!$C$2))*12+MONTH(B447)-MONTH(parametros!$C$2))/12)))))</f>
        <v/>
      </c>
      <c r="D447" s="394"/>
      <c r="E447" s="78" t="str">
        <f>IF(C447="","",IFERROR(VLOOKUP(C447,parametros!$A$11:$E$15,5,0),""))</f>
        <v/>
      </c>
      <c r="F447" s="79" t="str">
        <f t="shared" si="32"/>
        <v/>
      </c>
      <c r="G447" s="395"/>
      <c r="H447" s="91">
        <f t="shared" si="33"/>
        <v>0</v>
      </c>
      <c r="I447" s="91" t="str">
        <f t="shared" si="34"/>
        <v/>
      </c>
      <c r="J447" s="91" t="str">
        <f t="shared" si="35"/>
        <v/>
      </c>
      <c r="K447" s="92" t="str">
        <f>IF(AND(A447="",B447="",D447="",G447=""),"",IF(AND(A447&lt;&gt;"",COUNTIF($A$2:$A$5001,A447)&gt;1),"NUMERO_PC duplicado",IF(B447="","DATA_PC vazia",IF(NOT(ISNUMBER(B447)),"DATA_PC invalida",IF(OR(C447="",C447="Fora dos ciclos"),"CICLO_PC nao identificado",IF(OR(D447="",D447=0),"VALOR_PC vazio ou zero",IF(AND(G447&lt;&gt;"Sim",G447&lt;&gt;"Nao",G447&lt;&gt;""),"PC_PAGO_A_CONTRATADA invalido",IF(AND(C447&lt;&gt;"C0",IFERROR(INDEX(parametros!$A$2:$A$6,MATCH(C447,parametros!$B$2:$B$6,0)),"")="Sim",IFERROR(INDEX(parametros!$H$2:$H$6,MATCH(C447,parametros!$B$2:$B$6,0)),"")=""),"INICIO_EFEITO ausente: PC "&amp;A447&amp;" - "&amp;C447,IF(L447="","EFEITO_PC nao calculado: PC "&amp;A447&amp;" - "&amp;C447,"OK")))))))))</f>
        <v/>
      </c>
      <c r="L447" s="92" t="str">
        <f>IF(AND(A447="",B447="",D447="",G447=""),"",IF(OR(B447="",NOT(ISNUMBER(B447)),C447="",C447="Fora dos ciclos"),"",IF(C447="C0","Nao",IF(IFERROR(INDEX(parametros!$A$2:$A$6,MATCH(C447,parametros!$B$2:$B$6,0)),"")&lt;&gt;"Sim","Nao",IF(IFERROR(INDEX(parametros!$H$2:$H$6,MATCH(C447,parametros!$B$2:$B$6,0)),"")="","",IF(B447&gt;=IFERROR(INDEX(parametros!$H$2:$H$6,MATCH(C447,parametros!$B$2:$B$6,0)),""),"Sim","Nao"))))))</f>
        <v/>
      </c>
      <c r="T447" s="156"/>
      <c r="U447" s="214" t="str">
        <f t="shared" si="36"/>
        <v/>
      </c>
      <c r="V447" s="212" t="s">
        <v>50</v>
      </c>
      <c r="W447" s="100" t="s">
        <v>168</v>
      </c>
      <c r="X447" s="100" t="s">
        <v>169</v>
      </c>
      <c r="Y447" s="101" t="s">
        <v>170</v>
      </c>
      <c r="Z447" s="101" t="s">
        <v>171</v>
      </c>
      <c r="AA447" s="101" t="s">
        <v>50</v>
      </c>
      <c r="AB447" s="101" t="s">
        <v>172</v>
      </c>
      <c r="AC447" s="102" t="s">
        <v>173</v>
      </c>
    </row>
    <row r="448" spans="1:29" ht="25.5" customHeight="1" x14ac:dyDescent="0.35">
      <c r="A448" s="392"/>
      <c r="B448" s="393"/>
      <c r="C448" s="99" t="str">
        <f>IF(B448="","",IF(NOT(ISNUMBER(B448)),"DATA_PC invalida",IF(NOT(ISNUMBER(parametros!$C$2)),"Fora dos ciclos",IF(OR(B448&lt;parametros!$C$2,(YEAR(B448)-YEAR(parametros!$C$2))*12+MONTH(B448)-MONTH(parametros!$C$2)&gt;59),"Fora dos ciclos","C"&amp;INT(((YEAR(B448)-YEAR(parametros!$C$2))*12+MONTH(B448)-MONTH(parametros!$C$2))/12)))))</f>
        <v/>
      </c>
      <c r="D448" s="394"/>
      <c r="E448" s="78" t="str">
        <f>IF(C448="","",IFERROR(VLOOKUP(C448,parametros!$A$11:$E$15,5,0),""))</f>
        <v/>
      </c>
      <c r="F448" s="79" t="str">
        <f t="shared" si="32"/>
        <v/>
      </c>
      <c r="G448" s="395"/>
      <c r="H448" s="91">
        <f t="shared" si="33"/>
        <v>0</v>
      </c>
      <c r="I448" s="91" t="str">
        <f t="shared" si="34"/>
        <v/>
      </c>
      <c r="J448" s="91" t="str">
        <f t="shared" si="35"/>
        <v/>
      </c>
      <c r="K448" s="92" t="str">
        <f>IF(AND(A448="",B448="",D448="",G448=""),"",IF(AND(A448&lt;&gt;"",COUNTIF($A$2:$A$5001,A448)&gt;1),"NUMERO_PC duplicado",IF(B448="","DATA_PC vazia",IF(NOT(ISNUMBER(B448)),"DATA_PC invalida",IF(OR(C448="",C448="Fora dos ciclos"),"CICLO_PC nao identificado",IF(OR(D448="",D448=0),"VALOR_PC vazio ou zero",IF(AND(G448&lt;&gt;"Sim",G448&lt;&gt;"Nao",G448&lt;&gt;""),"PC_PAGO_A_CONTRATADA invalido",IF(AND(C448&lt;&gt;"C0",IFERROR(INDEX(parametros!$A$2:$A$6,MATCH(C448,parametros!$B$2:$B$6,0)),"")="Sim",IFERROR(INDEX(parametros!$H$2:$H$6,MATCH(C448,parametros!$B$2:$B$6,0)),"")=""),"INICIO_EFEITO ausente: PC "&amp;A448&amp;" - "&amp;C448,IF(L448="","EFEITO_PC nao calculado: PC "&amp;A448&amp;" - "&amp;C448,"OK")))))))))</f>
        <v/>
      </c>
      <c r="L448" s="92" t="str">
        <f>IF(AND(A448="",B448="",D448="",G448=""),"",IF(OR(B448="",NOT(ISNUMBER(B448)),C448="",C448="Fora dos ciclos"),"",IF(C448="C0","Nao",IF(IFERROR(INDEX(parametros!$A$2:$A$6,MATCH(C448,parametros!$B$2:$B$6,0)),"")&lt;&gt;"Sim","Nao",IF(IFERROR(INDEX(parametros!$H$2:$H$6,MATCH(C448,parametros!$B$2:$B$6,0)),"")="","",IF(B448&gt;=IFERROR(INDEX(parametros!$H$2:$H$6,MATCH(C448,parametros!$B$2:$B$6,0)),""),"Sim","Nao"))))))</f>
        <v/>
      </c>
      <c r="T448" s="156"/>
      <c r="U448" s="214" t="str">
        <f t="shared" si="36"/>
        <v/>
      </c>
      <c r="V448" s="212" t="s">
        <v>50</v>
      </c>
      <c r="W448" s="100" t="s">
        <v>168</v>
      </c>
      <c r="X448" s="100" t="s">
        <v>169</v>
      </c>
      <c r="Y448" s="101" t="s">
        <v>170</v>
      </c>
      <c r="Z448" s="101" t="s">
        <v>171</v>
      </c>
      <c r="AA448" s="101" t="s">
        <v>50</v>
      </c>
      <c r="AB448" s="101" t="s">
        <v>172</v>
      </c>
      <c r="AC448" s="102" t="s">
        <v>173</v>
      </c>
    </row>
    <row r="449" spans="1:29" ht="25.5" customHeight="1" x14ac:dyDescent="0.35">
      <c r="A449" s="392"/>
      <c r="B449" s="393"/>
      <c r="C449" s="99" t="str">
        <f>IF(B449="","",IF(NOT(ISNUMBER(B449)),"DATA_PC invalida",IF(NOT(ISNUMBER(parametros!$C$2)),"Fora dos ciclos",IF(OR(B449&lt;parametros!$C$2,(YEAR(B449)-YEAR(parametros!$C$2))*12+MONTH(B449)-MONTH(parametros!$C$2)&gt;59),"Fora dos ciclos","C"&amp;INT(((YEAR(B449)-YEAR(parametros!$C$2))*12+MONTH(B449)-MONTH(parametros!$C$2))/12)))))</f>
        <v/>
      </c>
      <c r="D449" s="394"/>
      <c r="E449" s="78" t="str">
        <f>IF(C449="","",IFERROR(VLOOKUP(C449,parametros!$A$11:$E$15,5,0),""))</f>
        <v/>
      </c>
      <c r="F449" s="79" t="str">
        <f t="shared" si="32"/>
        <v/>
      </c>
      <c r="G449" s="395"/>
      <c r="H449" s="91">
        <f t="shared" si="33"/>
        <v>0</v>
      </c>
      <c r="I449" s="91" t="str">
        <f t="shared" si="34"/>
        <v/>
      </c>
      <c r="J449" s="91" t="str">
        <f t="shared" si="35"/>
        <v/>
      </c>
      <c r="K449" s="92" t="str">
        <f>IF(AND(A449="",B449="",D449="",G449=""),"",IF(AND(A449&lt;&gt;"",COUNTIF($A$2:$A$5001,A449)&gt;1),"NUMERO_PC duplicado",IF(B449="","DATA_PC vazia",IF(NOT(ISNUMBER(B449)),"DATA_PC invalida",IF(OR(C449="",C449="Fora dos ciclos"),"CICLO_PC nao identificado",IF(OR(D449="",D449=0),"VALOR_PC vazio ou zero",IF(AND(G449&lt;&gt;"Sim",G449&lt;&gt;"Nao",G449&lt;&gt;""),"PC_PAGO_A_CONTRATADA invalido",IF(AND(C449&lt;&gt;"C0",IFERROR(INDEX(parametros!$A$2:$A$6,MATCH(C449,parametros!$B$2:$B$6,0)),"")="Sim",IFERROR(INDEX(parametros!$H$2:$H$6,MATCH(C449,parametros!$B$2:$B$6,0)),"")=""),"INICIO_EFEITO ausente: PC "&amp;A449&amp;" - "&amp;C449,IF(L449="","EFEITO_PC nao calculado: PC "&amp;A449&amp;" - "&amp;C449,"OK")))))))))</f>
        <v/>
      </c>
      <c r="L449" s="92" t="str">
        <f>IF(AND(A449="",B449="",D449="",G449=""),"",IF(OR(B449="",NOT(ISNUMBER(B449)),C449="",C449="Fora dos ciclos"),"",IF(C449="C0","Nao",IF(IFERROR(INDEX(parametros!$A$2:$A$6,MATCH(C449,parametros!$B$2:$B$6,0)),"")&lt;&gt;"Sim","Nao",IF(IFERROR(INDEX(parametros!$H$2:$H$6,MATCH(C449,parametros!$B$2:$B$6,0)),"")="","",IF(B449&gt;=IFERROR(INDEX(parametros!$H$2:$H$6,MATCH(C449,parametros!$B$2:$B$6,0)),""),"Sim","Nao"))))))</f>
        <v/>
      </c>
      <c r="T449" s="156"/>
      <c r="U449" s="214" t="str">
        <f t="shared" si="36"/>
        <v/>
      </c>
      <c r="V449" s="212" t="s">
        <v>50</v>
      </c>
      <c r="W449" s="100" t="s">
        <v>168</v>
      </c>
      <c r="X449" s="100" t="s">
        <v>169</v>
      </c>
      <c r="Y449" s="101" t="s">
        <v>170</v>
      </c>
      <c r="Z449" s="101" t="s">
        <v>171</v>
      </c>
      <c r="AA449" s="101" t="s">
        <v>50</v>
      </c>
      <c r="AB449" s="101" t="s">
        <v>172</v>
      </c>
      <c r="AC449" s="102" t="s">
        <v>173</v>
      </c>
    </row>
    <row r="450" spans="1:29" ht="25.5" customHeight="1" x14ac:dyDescent="0.35">
      <c r="A450" s="392"/>
      <c r="B450" s="393"/>
      <c r="C450" s="99" t="str">
        <f>IF(B450="","",IF(NOT(ISNUMBER(B450)),"DATA_PC invalida",IF(NOT(ISNUMBER(parametros!$C$2)),"Fora dos ciclos",IF(OR(B450&lt;parametros!$C$2,(YEAR(B450)-YEAR(parametros!$C$2))*12+MONTH(B450)-MONTH(parametros!$C$2)&gt;59),"Fora dos ciclos","C"&amp;INT(((YEAR(B450)-YEAR(parametros!$C$2))*12+MONTH(B450)-MONTH(parametros!$C$2))/12)))))</f>
        <v/>
      </c>
      <c r="D450" s="394"/>
      <c r="E450" s="78" t="str">
        <f>IF(C450="","",IFERROR(VLOOKUP(C450,parametros!$A$11:$E$15,5,0),""))</f>
        <v/>
      </c>
      <c r="F450" s="79" t="str">
        <f t="shared" ref="F450:F513" si="37">IF(OR(D450="",E450=""),"",ROUND(D450*E450,2))</f>
        <v/>
      </c>
      <c r="G450" s="395"/>
      <c r="H450" s="91">
        <f t="shared" ref="H450:H513" si="38">IF(G450="Sim",IF(OR(F450="",D450="",L450=""),"",IF(L450="Sim",ROUND(F450-D450,2),0)),0)</f>
        <v>0</v>
      </c>
      <c r="I450" s="91" t="str">
        <f t="shared" ref="I450:I513" si="39">IF(G450="Sim",0,IF(OR(F450="",L450=""),"",F450))</f>
        <v/>
      </c>
      <c r="J450" s="91" t="str">
        <f t="shared" ref="J450:J513" si="40">IF(G450="Sim",0,IF(OR(F450="",D450="",L450=""),"",IF(L450="Sim",ROUND(F450-D450,2),0)))</f>
        <v/>
      </c>
      <c r="K450" s="92" t="str">
        <f>IF(AND(A450="",B450="",D450="",G450=""),"",IF(AND(A450&lt;&gt;"",COUNTIF($A$2:$A$5001,A450)&gt;1),"NUMERO_PC duplicado",IF(B450="","DATA_PC vazia",IF(NOT(ISNUMBER(B450)),"DATA_PC invalida",IF(OR(C450="",C450="Fora dos ciclos"),"CICLO_PC nao identificado",IF(OR(D450="",D450=0),"VALOR_PC vazio ou zero",IF(AND(G450&lt;&gt;"Sim",G450&lt;&gt;"Nao",G450&lt;&gt;""),"PC_PAGO_A_CONTRATADA invalido",IF(AND(C450&lt;&gt;"C0",IFERROR(INDEX(parametros!$A$2:$A$6,MATCH(C450,parametros!$B$2:$B$6,0)),"")="Sim",IFERROR(INDEX(parametros!$H$2:$H$6,MATCH(C450,parametros!$B$2:$B$6,0)),"")=""),"INICIO_EFEITO ausente: PC "&amp;A450&amp;" - "&amp;C450,IF(L450="","EFEITO_PC nao calculado: PC "&amp;A450&amp;" - "&amp;C450,"OK")))))))))</f>
        <v/>
      </c>
      <c r="L450" s="92" t="str">
        <f>IF(AND(A450="",B450="",D450="",G450=""),"",IF(OR(B450="",NOT(ISNUMBER(B450)),C450="",C450="Fora dos ciclos"),"",IF(C450="C0","Nao",IF(IFERROR(INDEX(parametros!$A$2:$A$6,MATCH(C450,parametros!$B$2:$B$6,0)),"")&lt;&gt;"Sim","Nao",IF(IFERROR(INDEX(parametros!$H$2:$H$6,MATCH(C450,parametros!$B$2:$B$6,0)),"")="","",IF(B450&gt;=IFERROR(INDEX(parametros!$H$2:$H$6,MATCH(C450,parametros!$B$2:$B$6,0)),""),"Sim","Nao"))))))</f>
        <v/>
      </c>
      <c r="T450" s="156"/>
      <c r="U450" s="214" t="str">
        <f t="shared" ref="U450:U513" si="41">IF(OR($D450="",$H450=""),"",ROUND($D450+$H450,2))</f>
        <v/>
      </c>
      <c r="V450" s="212" t="s">
        <v>50</v>
      </c>
      <c r="W450" s="100" t="s">
        <v>168</v>
      </c>
      <c r="X450" s="100" t="s">
        <v>169</v>
      </c>
      <c r="Y450" s="101" t="s">
        <v>170</v>
      </c>
      <c r="Z450" s="101" t="s">
        <v>171</v>
      </c>
      <c r="AA450" s="101" t="s">
        <v>50</v>
      </c>
      <c r="AB450" s="101" t="s">
        <v>172</v>
      </c>
      <c r="AC450" s="102" t="s">
        <v>173</v>
      </c>
    </row>
    <row r="451" spans="1:29" ht="25.5" customHeight="1" x14ac:dyDescent="0.35">
      <c r="A451" s="392"/>
      <c r="B451" s="393"/>
      <c r="C451" s="99" t="str">
        <f>IF(B451="","",IF(NOT(ISNUMBER(B451)),"DATA_PC invalida",IF(NOT(ISNUMBER(parametros!$C$2)),"Fora dos ciclos",IF(OR(B451&lt;parametros!$C$2,(YEAR(B451)-YEAR(parametros!$C$2))*12+MONTH(B451)-MONTH(parametros!$C$2)&gt;59),"Fora dos ciclos","C"&amp;INT(((YEAR(B451)-YEAR(parametros!$C$2))*12+MONTH(B451)-MONTH(parametros!$C$2))/12)))))</f>
        <v/>
      </c>
      <c r="D451" s="394"/>
      <c r="E451" s="78" t="str">
        <f>IF(C451="","",IFERROR(VLOOKUP(C451,parametros!$A$11:$E$15,5,0),""))</f>
        <v/>
      </c>
      <c r="F451" s="79" t="str">
        <f t="shared" si="37"/>
        <v/>
      </c>
      <c r="G451" s="395"/>
      <c r="H451" s="91">
        <f t="shared" si="38"/>
        <v>0</v>
      </c>
      <c r="I451" s="91" t="str">
        <f t="shared" si="39"/>
        <v/>
      </c>
      <c r="J451" s="91" t="str">
        <f t="shared" si="40"/>
        <v/>
      </c>
      <c r="K451" s="92" t="str">
        <f>IF(AND(A451="",B451="",D451="",G451=""),"",IF(AND(A451&lt;&gt;"",COUNTIF($A$2:$A$5001,A451)&gt;1),"NUMERO_PC duplicado",IF(B451="","DATA_PC vazia",IF(NOT(ISNUMBER(B451)),"DATA_PC invalida",IF(OR(C451="",C451="Fora dos ciclos"),"CICLO_PC nao identificado",IF(OR(D451="",D451=0),"VALOR_PC vazio ou zero",IF(AND(G451&lt;&gt;"Sim",G451&lt;&gt;"Nao",G451&lt;&gt;""),"PC_PAGO_A_CONTRATADA invalido",IF(AND(C451&lt;&gt;"C0",IFERROR(INDEX(parametros!$A$2:$A$6,MATCH(C451,parametros!$B$2:$B$6,0)),"")="Sim",IFERROR(INDEX(parametros!$H$2:$H$6,MATCH(C451,parametros!$B$2:$B$6,0)),"")=""),"INICIO_EFEITO ausente: PC "&amp;A451&amp;" - "&amp;C451,IF(L451="","EFEITO_PC nao calculado: PC "&amp;A451&amp;" - "&amp;C451,"OK")))))))))</f>
        <v/>
      </c>
      <c r="L451" s="92" t="str">
        <f>IF(AND(A451="",B451="",D451="",G451=""),"",IF(OR(B451="",NOT(ISNUMBER(B451)),C451="",C451="Fora dos ciclos"),"",IF(C451="C0","Nao",IF(IFERROR(INDEX(parametros!$A$2:$A$6,MATCH(C451,parametros!$B$2:$B$6,0)),"")&lt;&gt;"Sim","Nao",IF(IFERROR(INDEX(parametros!$H$2:$H$6,MATCH(C451,parametros!$B$2:$B$6,0)),"")="","",IF(B451&gt;=IFERROR(INDEX(parametros!$H$2:$H$6,MATCH(C451,parametros!$B$2:$B$6,0)),""),"Sim","Nao"))))))</f>
        <v/>
      </c>
      <c r="T451" s="156"/>
      <c r="U451" s="214" t="str">
        <f t="shared" si="41"/>
        <v/>
      </c>
      <c r="V451" s="212" t="s">
        <v>50</v>
      </c>
      <c r="W451" s="100" t="s">
        <v>168</v>
      </c>
      <c r="X451" s="100" t="s">
        <v>169</v>
      </c>
      <c r="Y451" s="101" t="s">
        <v>170</v>
      </c>
      <c r="Z451" s="101" t="s">
        <v>171</v>
      </c>
      <c r="AA451" s="101" t="s">
        <v>50</v>
      </c>
      <c r="AB451" s="101" t="s">
        <v>172</v>
      </c>
      <c r="AC451" s="102" t="s">
        <v>173</v>
      </c>
    </row>
    <row r="452" spans="1:29" ht="25.5" customHeight="1" x14ac:dyDescent="0.35">
      <c r="A452" s="392"/>
      <c r="B452" s="393"/>
      <c r="C452" s="99" t="str">
        <f>IF(B452="","",IF(NOT(ISNUMBER(B452)),"DATA_PC invalida",IF(NOT(ISNUMBER(parametros!$C$2)),"Fora dos ciclos",IF(OR(B452&lt;parametros!$C$2,(YEAR(B452)-YEAR(parametros!$C$2))*12+MONTH(B452)-MONTH(parametros!$C$2)&gt;59),"Fora dos ciclos","C"&amp;INT(((YEAR(B452)-YEAR(parametros!$C$2))*12+MONTH(B452)-MONTH(parametros!$C$2))/12)))))</f>
        <v/>
      </c>
      <c r="D452" s="394"/>
      <c r="E452" s="78" t="str">
        <f>IF(C452="","",IFERROR(VLOOKUP(C452,parametros!$A$11:$E$15,5,0),""))</f>
        <v/>
      </c>
      <c r="F452" s="79" t="str">
        <f t="shared" si="37"/>
        <v/>
      </c>
      <c r="G452" s="395"/>
      <c r="H452" s="91">
        <f t="shared" si="38"/>
        <v>0</v>
      </c>
      <c r="I452" s="91" t="str">
        <f t="shared" si="39"/>
        <v/>
      </c>
      <c r="J452" s="91" t="str">
        <f t="shared" si="40"/>
        <v/>
      </c>
      <c r="K452" s="92" t="str">
        <f>IF(AND(A452="",B452="",D452="",G452=""),"",IF(AND(A452&lt;&gt;"",COUNTIF($A$2:$A$5001,A452)&gt;1),"NUMERO_PC duplicado",IF(B452="","DATA_PC vazia",IF(NOT(ISNUMBER(B452)),"DATA_PC invalida",IF(OR(C452="",C452="Fora dos ciclos"),"CICLO_PC nao identificado",IF(OR(D452="",D452=0),"VALOR_PC vazio ou zero",IF(AND(G452&lt;&gt;"Sim",G452&lt;&gt;"Nao",G452&lt;&gt;""),"PC_PAGO_A_CONTRATADA invalido",IF(AND(C452&lt;&gt;"C0",IFERROR(INDEX(parametros!$A$2:$A$6,MATCH(C452,parametros!$B$2:$B$6,0)),"")="Sim",IFERROR(INDEX(parametros!$H$2:$H$6,MATCH(C452,parametros!$B$2:$B$6,0)),"")=""),"INICIO_EFEITO ausente: PC "&amp;A452&amp;" - "&amp;C452,IF(L452="","EFEITO_PC nao calculado: PC "&amp;A452&amp;" - "&amp;C452,"OK")))))))))</f>
        <v/>
      </c>
      <c r="L452" s="92" t="str">
        <f>IF(AND(A452="",B452="",D452="",G452=""),"",IF(OR(B452="",NOT(ISNUMBER(B452)),C452="",C452="Fora dos ciclos"),"",IF(C452="C0","Nao",IF(IFERROR(INDEX(parametros!$A$2:$A$6,MATCH(C452,parametros!$B$2:$B$6,0)),"")&lt;&gt;"Sim","Nao",IF(IFERROR(INDEX(parametros!$H$2:$H$6,MATCH(C452,parametros!$B$2:$B$6,0)),"")="","",IF(B452&gt;=IFERROR(INDEX(parametros!$H$2:$H$6,MATCH(C452,parametros!$B$2:$B$6,0)),""),"Sim","Nao"))))))</f>
        <v/>
      </c>
      <c r="T452" s="156"/>
      <c r="U452" s="214" t="str">
        <f t="shared" si="41"/>
        <v/>
      </c>
      <c r="V452" s="212" t="s">
        <v>50</v>
      </c>
      <c r="W452" s="100" t="s">
        <v>168</v>
      </c>
      <c r="X452" s="100" t="s">
        <v>169</v>
      </c>
      <c r="Y452" s="101" t="s">
        <v>170</v>
      </c>
      <c r="Z452" s="101" t="s">
        <v>171</v>
      </c>
      <c r="AA452" s="101" t="s">
        <v>50</v>
      </c>
      <c r="AB452" s="101" t="s">
        <v>172</v>
      </c>
      <c r="AC452" s="102" t="s">
        <v>173</v>
      </c>
    </row>
    <row r="453" spans="1:29" ht="25.5" customHeight="1" x14ac:dyDescent="0.35">
      <c r="A453" s="392"/>
      <c r="B453" s="393"/>
      <c r="C453" s="99" t="str">
        <f>IF(B453="","",IF(NOT(ISNUMBER(B453)),"DATA_PC invalida",IF(NOT(ISNUMBER(parametros!$C$2)),"Fora dos ciclos",IF(OR(B453&lt;parametros!$C$2,(YEAR(B453)-YEAR(parametros!$C$2))*12+MONTH(B453)-MONTH(parametros!$C$2)&gt;59),"Fora dos ciclos","C"&amp;INT(((YEAR(B453)-YEAR(parametros!$C$2))*12+MONTH(B453)-MONTH(parametros!$C$2))/12)))))</f>
        <v/>
      </c>
      <c r="D453" s="394"/>
      <c r="E453" s="78" t="str">
        <f>IF(C453="","",IFERROR(VLOOKUP(C453,parametros!$A$11:$E$15,5,0),""))</f>
        <v/>
      </c>
      <c r="F453" s="79" t="str">
        <f t="shared" si="37"/>
        <v/>
      </c>
      <c r="G453" s="395"/>
      <c r="H453" s="91">
        <f t="shared" si="38"/>
        <v>0</v>
      </c>
      <c r="I453" s="91" t="str">
        <f t="shared" si="39"/>
        <v/>
      </c>
      <c r="J453" s="91" t="str">
        <f t="shared" si="40"/>
        <v/>
      </c>
      <c r="K453" s="92" t="str">
        <f>IF(AND(A453="",B453="",D453="",G453=""),"",IF(AND(A453&lt;&gt;"",COUNTIF($A$2:$A$5001,A453)&gt;1),"NUMERO_PC duplicado",IF(B453="","DATA_PC vazia",IF(NOT(ISNUMBER(B453)),"DATA_PC invalida",IF(OR(C453="",C453="Fora dos ciclos"),"CICLO_PC nao identificado",IF(OR(D453="",D453=0),"VALOR_PC vazio ou zero",IF(AND(G453&lt;&gt;"Sim",G453&lt;&gt;"Nao",G453&lt;&gt;""),"PC_PAGO_A_CONTRATADA invalido",IF(AND(C453&lt;&gt;"C0",IFERROR(INDEX(parametros!$A$2:$A$6,MATCH(C453,parametros!$B$2:$B$6,0)),"")="Sim",IFERROR(INDEX(parametros!$H$2:$H$6,MATCH(C453,parametros!$B$2:$B$6,0)),"")=""),"INICIO_EFEITO ausente: PC "&amp;A453&amp;" - "&amp;C453,IF(L453="","EFEITO_PC nao calculado: PC "&amp;A453&amp;" - "&amp;C453,"OK")))))))))</f>
        <v/>
      </c>
      <c r="L453" s="92" t="str">
        <f>IF(AND(A453="",B453="",D453="",G453=""),"",IF(OR(B453="",NOT(ISNUMBER(B453)),C453="",C453="Fora dos ciclos"),"",IF(C453="C0","Nao",IF(IFERROR(INDEX(parametros!$A$2:$A$6,MATCH(C453,parametros!$B$2:$B$6,0)),"")&lt;&gt;"Sim","Nao",IF(IFERROR(INDEX(parametros!$H$2:$H$6,MATCH(C453,parametros!$B$2:$B$6,0)),"")="","",IF(B453&gt;=IFERROR(INDEX(parametros!$H$2:$H$6,MATCH(C453,parametros!$B$2:$B$6,0)),""),"Sim","Nao"))))))</f>
        <v/>
      </c>
      <c r="T453" s="156"/>
      <c r="U453" s="214" t="str">
        <f t="shared" si="41"/>
        <v/>
      </c>
      <c r="V453" s="212" t="s">
        <v>50</v>
      </c>
      <c r="W453" s="100" t="s">
        <v>168</v>
      </c>
      <c r="X453" s="100" t="s">
        <v>169</v>
      </c>
      <c r="Y453" s="101" t="s">
        <v>170</v>
      </c>
      <c r="Z453" s="101" t="s">
        <v>171</v>
      </c>
      <c r="AA453" s="101" t="s">
        <v>50</v>
      </c>
      <c r="AB453" s="101" t="s">
        <v>172</v>
      </c>
      <c r="AC453" s="102" t="s">
        <v>173</v>
      </c>
    </row>
    <row r="454" spans="1:29" ht="25.5" customHeight="1" x14ac:dyDescent="0.35">
      <c r="A454" s="392"/>
      <c r="B454" s="393"/>
      <c r="C454" s="99" t="str">
        <f>IF(B454="","",IF(NOT(ISNUMBER(B454)),"DATA_PC invalida",IF(NOT(ISNUMBER(parametros!$C$2)),"Fora dos ciclos",IF(OR(B454&lt;parametros!$C$2,(YEAR(B454)-YEAR(parametros!$C$2))*12+MONTH(B454)-MONTH(parametros!$C$2)&gt;59),"Fora dos ciclos","C"&amp;INT(((YEAR(B454)-YEAR(parametros!$C$2))*12+MONTH(B454)-MONTH(parametros!$C$2))/12)))))</f>
        <v/>
      </c>
      <c r="D454" s="394"/>
      <c r="E454" s="78" t="str">
        <f>IF(C454="","",IFERROR(VLOOKUP(C454,parametros!$A$11:$E$15,5,0),""))</f>
        <v/>
      </c>
      <c r="F454" s="79" t="str">
        <f t="shared" si="37"/>
        <v/>
      </c>
      <c r="G454" s="395"/>
      <c r="H454" s="91">
        <f t="shared" si="38"/>
        <v>0</v>
      </c>
      <c r="I454" s="91" t="str">
        <f t="shared" si="39"/>
        <v/>
      </c>
      <c r="J454" s="91" t="str">
        <f t="shared" si="40"/>
        <v/>
      </c>
      <c r="K454" s="92" t="str">
        <f>IF(AND(A454="",B454="",D454="",G454=""),"",IF(AND(A454&lt;&gt;"",COUNTIF($A$2:$A$5001,A454)&gt;1),"NUMERO_PC duplicado",IF(B454="","DATA_PC vazia",IF(NOT(ISNUMBER(B454)),"DATA_PC invalida",IF(OR(C454="",C454="Fora dos ciclos"),"CICLO_PC nao identificado",IF(OR(D454="",D454=0),"VALOR_PC vazio ou zero",IF(AND(G454&lt;&gt;"Sim",G454&lt;&gt;"Nao",G454&lt;&gt;""),"PC_PAGO_A_CONTRATADA invalido",IF(AND(C454&lt;&gt;"C0",IFERROR(INDEX(parametros!$A$2:$A$6,MATCH(C454,parametros!$B$2:$B$6,0)),"")="Sim",IFERROR(INDEX(parametros!$H$2:$H$6,MATCH(C454,parametros!$B$2:$B$6,0)),"")=""),"INICIO_EFEITO ausente: PC "&amp;A454&amp;" - "&amp;C454,IF(L454="","EFEITO_PC nao calculado: PC "&amp;A454&amp;" - "&amp;C454,"OK")))))))))</f>
        <v/>
      </c>
      <c r="L454" s="92" t="str">
        <f>IF(AND(A454="",B454="",D454="",G454=""),"",IF(OR(B454="",NOT(ISNUMBER(B454)),C454="",C454="Fora dos ciclos"),"",IF(C454="C0","Nao",IF(IFERROR(INDEX(parametros!$A$2:$A$6,MATCH(C454,parametros!$B$2:$B$6,0)),"")&lt;&gt;"Sim","Nao",IF(IFERROR(INDEX(parametros!$H$2:$H$6,MATCH(C454,parametros!$B$2:$B$6,0)),"")="","",IF(B454&gt;=IFERROR(INDEX(parametros!$H$2:$H$6,MATCH(C454,parametros!$B$2:$B$6,0)),""),"Sim","Nao"))))))</f>
        <v/>
      </c>
      <c r="T454" s="156"/>
      <c r="U454" s="214" t="str">
        <f t="shared" si="41"/>
        <v/>
      </c>
      <c r="V454" s="212" t="s">
        <v>50</v>
      </c>
      <c r="W454" s="100" t="s">
        <v>168</v>
      </c>
      <c r="X454" s="100" t="s">
        <v>169</v>
      </c>
      <c r="Y454" s="101" t="s">
        <v>170</v>
      </c>
      <c r="Z454" s="101" t="s">
        <v>171</v>
      </c>
      <c r="AA454" s="101" t="s">
        <v>50</v>
      </c>
      <c r="AB454" s="101" t="s">
        <v>172</v>
      </c>
      <c r="AC454" s="102" t="s">
        <v>173</v>
      </c>
    </row>
    <row r="455" spans="1:29" ht="25.5" customHeight="1" x14ac:dyDescent="0.35">
      <c r="A455" s="392"/>
      <c r="B455" s="393"/>
      <c r="C455" s="99" t="str">
        <f>IF(B455="","",IF(NOT(ISNUMBER(B455)),"DATA_PC invalida",IF(NOT(ISNUMBER(parametros!$C$2)),"Fora dos ciclos",IF(OR(B455&lt;parametros!$C$2,(YEAR(B455)-YEAR(parametros!$C$2))*12+MONTH(B455)-MONTH(parametros!$C$2)&gt;59),"Fora dos ciclos","C"&amp;INT(((YEAR(B455)-YEAR(parametros!$C$2))*12+MONTH(B455)-MONTH(parametros!$C$2))/12)))))</f>
        <v/>
      </c>
      <c r="D455" s="394"/>
      <c r="E455" s="78" t="str">
        <f>IF(C455="","",IFERROR(VLOOKUP(C455,parametros!$A$11:$E$15,5,0),""))</f>
        <v/>
      </c>
      <c r="F455" s="79" t="str">
        <f t="shared" si="37"/>
        <v/>
      </c>
      <c r="G455" s="395"/>
      <c r="H455" s="91">
        <f t="shared" si="38"/>
        <v>0</v>
      </c>
      <c r="I455" s="91" t="str">
        <f t="shared" si="39"/>
        <v/>
      </c>
      <c r="J455" s="91" t="str">
        <f t="shared" si="40"/>
        <v/>
      </c>
      <c r="K455" s="92" t="str">
        <f>IF(AND(A455="",B455="",D455="",G455=""),"",IF(AND(A455&lt;&gt;"",COUNTIF($A$2:$A$5001,A455)&gt;1),"NUMERO_PC duplicado",IF(B455="","DATA_PC vazia",IF(NOT(ISNUMBER(B455)),"DATA_PC invalida",IF(OR(C455="",C455="Fora dos ciclos"),"CICLO_PC nao identificado",IF(OR(D455="",D455=0),"VALOR_PC vazio ou zero",IF(AND(G455&lt;&gt;"Sim",G455&lt;&gt;"Nao",G455&lt;&gt;""),"PC_PAGO_A_CONTRATADA invalido",IF(AND(C455&lt;&gt;"C0",IFERROR(INDEX(parametros!$A$2:$A$6,MATCH(C455,parametros!$B$2:$B$6,0)),"")="Sim",IFERROR(INDEX(parametros!$H$2:$H$6,MATCH(C455,parametros!$B$2:$B$6,0)),"")=""),"INICIO_EFEITO ausente: PC "&amp;A455&amp;" - "&amp;C455,IF(L455="","EFEITO_PC nao calculado: PC "&amp;A455&amp;" - "&amp;C455,"OK")))))))))</f>
        <v/>
      </c>
      <c r="L455" s="92" t="str">
        <f>IF(AND(A455="",B455="",D455="",G455=""),"",IF(OR(B455="",NOT(ISNUMBER(B455)),C455="",C455="Fora dos ciclos"),"",IF(C455="C0","Nao",IF(IFERROR(INDEX(parametros!$A$2:$A$6,MATCH(C455,parametros!$B$2:$B$6,0)),"")&lt;&gt;"Sim","Nao",IF(IFERROR(INDEX(parametros!$H$2:$H$6,MATCH(C455,parametros!$B$2:$B$6,0)),"")="","",IF(B455&gt;=IFERROR(INDEX(parametros!$H$2:$H$6,MATCH(C455,parametros!$B$2:$B$6,0)),""),"Sim","Nao"))))))</f>
        <v/>
      </c>
      <c r="T455" s="156"/>
      <c r="U455" s="214" t="str">
        <f t="shared" si="41"/>
        <v/>
      </c>
      <c r="V455" s="212" t="s">
        <v>50</v>
      </c>
      <c r="W455" s="100" t="s">
        <v>168</v>
      </c>
      <c r="X455" s="100" t="s">
        <v>169</v>
      </c>
      <c r="Y455" s="101" t="s">
        <v>170</v>
      </c>
      <c r="Z455" s="101" t="s">
        <v>171</v>
      </c>
      <c r="AA455" s="101" t="s">
        <v>50</v>
      </c>
      <c r="AB455" s="101" t="s">
        <v>172</v>
      </c>
      <c r="AC455" s="102" t="s">
        <v>173</v>
      </c>
    </row>
    <row r="456" spans="1:29" ht="25.5" customHeight="1" x14ac:dyDescent="0.35">
      <c r="A456" s="392"/>
      <c r="B456" s="393"/>
      <c r="C456" s="99" t="str">
        <f>IF(B456="","",IF(NOT(ISNUMBER(B456)),"DATA_PC invalida",IF(NOT(ISNUMBER(parametros!$C$2)),"Fora dos ciclos",IF(OR(B456&lt;parametros!$C$2,(YEAR(B456)-YEAR(parametros!$C$2))*12+MONTH(B456)-MONTH(parametros!$C$2)&gt;59),"Fora dos ciclos","C"&amp;INT(((YEAR(B456)-YEAR(parametros!$C$2))*12+MONTH(B456)-MONTH(parametros!$C$2))/12)))))</f>
        <v/>
      </c>
      <c r="D456" s="394"/>
      <c r="E456" s="78" t="str">
        <f>IF(C456="","",IFERROR(VLOOKUP(C456,parametros!$A$11:$E$15,5,0),""))</f>
        <v/>
      </c>
      <c r="F456" s="79" t="str">
        <f t="shared" si="37"/>
        <v/>
      </c>
      <c r="G456" s="395"/>
      <c r="H456" s="91">
        <f t="shared" si="38"/>
        <v>0</v>
      </c>
      <c r="I456" s="91" t="str">
        <f t="shared" si="39"/>
        <v/>
      </c>
      <c r="J456" s="91" t="str">
        <f t="shared" si="40"/>
        <v/>
      </c>
      <c r="K456" s="92" t="str">
        <f>IF(AND(A456="",B456="",D456="",G456=""),"",IF(AND(A456&lt;&gt;"",COUNTIF($A$2:$A$5001,A456)&gt;1),"NUMERO_PC duplicado",IF(B456="","DATA_PC vazia",IF(NOT(ISNUMBER(B456)),"DATA_PC invalida",IF(OR(C456="",C456="Fora dos ciclos"),"CICLO_PC nao identificado",IF(OR(D456="",D456=0),"VALOR_PC vazio ou zero",IF(AND(G456&lt;&gt;"Sim",G456&lt;&gt;"Nao",G456&lt;&gt;""),"PC_PAGO_A_CONTRATADA invalido",IF(AND(C456&lt;&gt;"C0",IFERROR(INDEX(parametros!$A$2:$A$6,MATCH(C456,parametros!$B$2:$B$6,0)),"")="Sim",IFERROR(INDEX(parametros!$H$2:$H$6,MATCH(C456,parametros!$B$2:$B$6,0)),"")=""),"INICIO_EFEITO ausente: PC "&amp;A456&amp;" - "&amp;C456,IF(L456="","EFEITO_PC nao calculado: PC "&amp;A456&amp;" - "&amp;C456,"OK")))))))))</f>
        <v/>
      </c>
      <c r="L456" s="92" t="str">
        <f>IF(AND(A456="",B456="",D456="",G456=""),"",IF(OR(B456="",NOT(ISNUMBER(B456)),C456="",C456="Fora dos ciclos"),"",IF(C456="C0","Nao",IF(IFERROR(INDEX(parametros!$A$2:$A$6,MATCH(C456,parametros!$B$2:$B$6,0)),"")&lt;&gt;"Sim","Nao",IF(IFERROR(INDEX(parametros!$H$2:$H$6,MATCH(C456,parametros!$B$2:$B$6,0)),"")="","",IF(B456&gt;=IFERROR(INDEX(parametros!$H$2:$H$6,MATCH(C456,parametros!$B$2:$B$6,0)),""),"Sim","Nao"))))))</f>
        <v/>
      </c>
      <c r="T456" s="156"/>
      <c r="U456" s="214" t="str">
        <f t="shared" si="41"/>
        <v/>
      </c>
      <c r="V456" s="212" t="s">
        <v>50</v>
      </c>
      <c r="W456" s="100" t="s">
        <v>168</v>
      </c>
      <c r="X456" s="100" t="s">
        <v>169</v>
      </c>
      <c r="Y456" s="101" t="s">
        <v>170</v>
      </c>
      <c r="Z456" s="101" t="s">
        <v>171</v>
      </c>
      <c r="AA456" s="101" t="s">
        <v>50</v>
      </c>
      <c r="AB456" s="101" t="s">
        <v>172</v>
      </c>
      <c r="AC456" s="102" t="s">
        <v>173</v>
      </c>
    </row>
    <row r="457" spans="1:29" ht="25.5" customHeight="1" x14ac:dyDescent="0.35">
      <c r="A457" s="392"/>
      <c r="B457" s="393"/>
      <c r="C457" s="99" t="str">
        <f>IF(B457="","",IF(NOT(ISNUMBER(B457)),"DATA_PC invalida",IF(NOT(ISNUMBER(parametros!$C$2)),"Fora dos ciclos",IF(OR(B457&lt;parametros!$C$2,(YEAR(B457)-YEAR(parametros!$C$2))*12+MONTH(B457)-MONTH(parametros!$C$2)&gt;59),"Fora dos ciclos","C"&amp;INT(((YEAR(B457)-YEAR(parametros!$C$2))*12+MONTH(B457)-MONTH(parametros!$C$2))/12)))))</f>
        <v/>
      </c>
      <c r="D457" s="394"/>
      <c r="E457" s="78" t="str">
        <f>IF(C457="","",IFERROR(VLOOKUP(C457,parametros!$A$11:$E$15,5,0),""))</f>
        <v/>
      </c>
      <c r="F457" s="79" t="str">
        <f t="shared" si="37"/>
        <v/>
      </c>
      <c r="G457" s="395"/>
      <c r="H457" s="91">
        <f t="shared" si="38"/>
        <v>0</v>
      </c>
      <c r="I457" s="91" t="str">
        <f t="shared" si="39"/>
        <v/>
      </c>
      <c r="J457" s="91" t="str">
        <f t="shared" si="40"/>
        <v/>
      </c>
      <c r="K457" s="92" t="str">
        <f>IF(AND(A457="",B457="",D457="",G457=""),"",IF(AND(A457&lt;&gt;"",COUNTIF($A$2:$A$5001,A457)&gt;1),"NUMERO_PC duplicado",IF(B457="","DATA_PC vazia",IF(NOT(ISNUMBER(B457)),"DATA_PC invalida",IF(OR(C457="",C457="Fora dos ciclos"),"CICLO_PC nao identificado",IF(OR(D457="",D457=0),"VALOR_PC vazio ou zero",IF(AND(G457&lt;&gt;"Sim",G457&lt;&gt;"Nao",G457&lt;&gt;""),"PC_PAGO_A_CONTRATADA invalido",IF(AND(C457&lt;&gt;"C0",IFERROR(INDEX(parametros!$A$2:$A$6,MATCH(C457,parametros!$B$2:$B$6,0)),"")="Sim",IFERROR(INDEX(parametros!$H$2:$H$6,MATCH(C457,parametros!$B$2:$B$6,0)),"")=""),"INICIO_EFEITO ausente: PC "&amp;A457&amp;" - "&amp;C457,IF(L457="","EFEITO_PC nao calculado: PC "&amp;A457&amp;" - "&amp;C457,"OK")))))))))</f>
        <v/>
      </c>
      <c r="L457" s="92" t="str">
        <f>IF(AND(A457="",B457="",D457="",G457=""),"",IF(OR(B457="",NOT(ISNUMBER(B457)),C457="",C457="Fora dos ciclos"),"",IF(C457="C0","Nao",IF(IFERROR(INDEX(parametros!$A$2:$A$6,MATCH(C457,parametros!$B$2:$B$6,0)),"")&lt;&gt;"Sim","Nao",IF(IFERROR(INDEX(parametros!$H$2:$H$6,MATCH(C457,parametros!$B$2:$B$6,0)),"")="","",IF(B457&gt;=IFERROR(INDEX(parametros!$H$2:$H$6,MATCH(C457,parametros!$B$2:$B$6,0)),""),"Sim","Nao"))))))</f>
        <v/>
      </c>
      <c r="T457" s="156"/>
      <c r="U457" s="214" t="str">
        <f t="shared" si="41"/>
        <v/>
      </c>
      <c r="V457" s="212" t="s">
        <v>50</v>
      </c>
      <c r="W457" s="100" t="s">
        <v>168</v>
      </c>
      <c r="X457" s="100" t="s">
        <v>169</v>
      </c>
      <c r="Y457" s="101" t="s">
        <v>170</v>
      </c>
      <c r="Z457" s="101" t="s">
        <v>171</v>
      </c>
      <c r="AA457" s="101" t="s">
        <v>50</v>
      </c>
      <c r="AB457" s="101" t="s">
        <v>172</v>
      </c>
      <c r="AC457" s="102" t="s">
        <v>173</v>
      </c>
    </row>
    <row r="458" spans="1:29" ht="25.5" customHeight="1" x14ac:dyDescent="0.35">
      <c r="A458" s="392"/>
      <c r="B458" s="393"/>
      <c r="C458" s="99" t="str">
        <f>IF(B458="","",IF(NOT(ISNUMBER(B458)),"DATA_PC invalida",IF(NOT(ISNUMBER(parametros!$C$2)),"Fora dos ciclos",IF(OR(B458&lt;parametros!$C$2,(YEAR(B458)-YEAR(parametros!$C$2))*12+MONTH(B458)-MONTH(parametros!$C$2)&gt;59),"Fora dos ciclos","C"&amp;INT(((YEAR(B458)-YEAR(parametros!$C$2))*12+MONTH(B458)-MONTH(parametros!$C$2))/12)))))</f>
        <v/>
      </c>
      <c r="D458" s="394"/>
      <c r="E458" s="78" t="str">
        <f>IF(C458="","",IFERROR(VLOOKUP(C458,parametros!$A$11:$E$15,5,0),""))</f>
        <v/>
      </c>
      <c r="F458" s="79" t="str">
        <f t="shared" si="37"/>
        <v/>
      </c>
      <c r="G458" s="395"/>
      <c r="H458" s="91">
        <f t="shared" si="38"/>
        <v>0</v>
      </c>
      <c r="I458" s="91" t="str">
        <f t="shared" si="39"/>
        <v/>
      </c>
      <c r="J458" s="91" t="str">
        <f t="shared" si="40"/>
        <v/>
      </c>
      <c r="K458" s="92" t="str">
        <f>IF(AND(A458="",B458="",D458="",G458=""),"",IF(AND(A458&lt;&gt;"",COUNTIF($A$2:$A$5001,A458)&gt;1),"NUMERO_PC duplicado",IF(B458="","DATA_PC vazia",IF(NOT(ISNUMBER(B458)),"DATA_PC invalida",IF(OR(C458="",C458="Fora dos ciclos"),"CICLO_PC nao identificado",IF(OR(D458="",D458=0),"VALOR_PC vazio ou zero",IF(AND(G458&lt;&gt;"Sim",G458&lt;&gt;"Nao",G458&lt;&gt;""),"PC_PAGO_A_CONTRATADA invalido",IF(AND(C458&lt;&gt;"C0",IFERROR(INDEX(parametros!$A$2:$A$6,MATCH(C458,parametros!$B$2:$B$6,0)),"")="Sim",IFERROR(INDEX(parametros!$H$2:$H$6,MATCH(C458,parametros!$B$2:$B$6,0)),"")=""),"INICIO_EFEITO ausente: PC "&amp;A458&amp;" - "&amp;C458,IF(L458="","EFEITO_PC nao calculado: PC "&amp;A458&amp;" - "&amp;C458,"OK")))))))))</f>
        <v/>
      </c>
      <c r="L458" s="92" t="str">
        <f>IF(AND(A458="",B458="",D458="",G458=""),"",IF(OR(B458="",NOT(ISNUMBER(B458)),C458="",C458="Fora dos ciclos"),"",IF(C458="C0","Nao",IF(IFERROR(INDEX(parametros!$A$2:$A$6,MATCH(C458,parametros!$B$2:$B$6,0)),"")&lt;&gt;"Sim","Nao",IF(IFERROR(INDEX(parametros!$H$2:$H$6,MATCH(C458,parametros!$B$2:$B$6,0)),"")="","",IF(B458&gt;=IFERROR(INDEX(parametros!$H$2:$H$6,MATCH(C458,parametros!$B$2:$B$6,0)),""),"Sim","Nao"))))))</f>
        <v/>
      </c>
      <c r="T458" s="156"/>
      <c r="U458" s="214" t="str">
        <f t="shared" si="41"/>
        <v/>
      </c>
      <c r="V458" s="212" t="s">
        <v>50</v>
      </c>
      <c r="W458" s="100" t="s">
        <v>168</v>
      </c>
      <c r="X458" s="100" t="s">
        <v>169</v>
      </c>
      <c r="Y458" s="101" t="s">
        <v>170</v>
      </c>
      <c r="Z458" s="101" t="s">
        <v>171</v>
      </c>
      <c r="AA458" s="101" t="s">
        <v>50</v>
      </c>
      <c r="AB458" s="101" t="s">
        <v>172</v>
      </c>
      <c r="AC458" s="102" t="s">
        <v>173</v>
      </c>
    </row>
    <row r="459" spans="1:29" ht="25.5" customHeight="1" x14ac:dyDescent="0.35">
      <c r="A459" s="392"/>
      <c r="B459" s="393"/>
      <c r="C459" s="99" t="str">
        <f>IF(B459="","",IF(NOT(ISNUMBER(B459)),"DATA_PC invalida",IF(NOT(ISNUMBER(parametros!$C$2)),"Fora dos ciclos",IF(OR(B459&lt;parametros!$C$2,(YEAR(B459)-YEAR(parametros!$C$2))*12+MONTH(B459)-MONTH(parametros!$C$2)&gt;59),"Fora dos ciclos","C"&amp;INT(((YEAR(B459)-YEAR(parametros!$C$2))*12+MONTH(B459)-MONTH(parametros!$C$2))/12)))))</f>
        <v/>
      </c>
      <c r="D459" s="394"/>
      <c r="E459" s="78" t="str">
        <f>IF(C459="","",IFERROR(VLOOKUP(C459,parametros!$A$11:$E$15,5,0),""))</f>
        <v/>
      </c>
      <c r="F459" s="79" t="str">
        <f t="shared" si="37"/>
        <v/>
      </c>
      <c r="G459" s="395"/>
      <c r="H459" s="91">
        <f t="shared" si="38"/>
        <v>0</v>
      </c>
      <c r="I459" s="91" t="str">
        <f t="shared" si="39"/>
        <v/>
      </c>
      <c r="J459" s="91" t="str">
        <f t="shared" si="40"/>
        <v/>
      </c>
      <c r="K459" s="92" t="str">
        <f>IF(AND(A459="",B459="",D459="",G459=""),"",IF(AND(A459&lt;&gt;"",COUNTIF($A$2:$A$5001,A459)&gt;1),"NUMERO_PC duplicado",IF(B459="","DATA_PC vazia",IF(NOT(ISNUMBER(B459)),"DATA_PC invalida",IF(OR(C459="",C459="Fora dos ciclos"),"CICLO_PC nao identificado",IF(OR(D459="",D459=0),"VALOR_PC vazio ou zero",IF(AND(G459&lt;&gt;"Sim",G459&lt;&gt;"Nao",G459&lt;&gt;""),"PC_PAGO_A_CONTRATADA invalido",IF(AND(C459&lt;&gt;"C0",IFERROR(INDEX(parametros!$A$2:$A$6,MATCH(C459,parametros!$B$2:$B$6,0)),"")="Sim",IFERROR(INDEX(parametros!$H$2:$H$6,MATCH(C459,parametros!$B$2:$B$6,0)),"")=""),"INICIO_EFEITO ausente: PC "&amp;A459&amp;" - "&amp;C459,IF(L459="","EFEITO_PC nao calculado: PC "&amp;A459&amp;" - "&amp;C459,"OK")))))))))</f>
        <v/>
      </c>
      <c r="L459" s="92" t="str">
        <f>IF(AND(A459="",B459="",D459="",G459=""),"",IF(OR(B459="",NOT(ISNUMBER(B459)),C459="",C459="Fora dos ciclos"),"",IF(C459="C0","Nao",IF(IFERROR(INDEX(parametros!$A$2:$A$6,MATCH(C459,parametros!$B$2:$B$6,0)),"")&lt;&gt;"Sim","Nao",IF(IFERROR(INDEX(parametros!$H$2:$H$6,MATCH(C459,parametros!$B$2:$B$6,0)),"")="","",IF(B459&gt;=IFERROR(INDEX(parametros!$H$2:$H$6,MATCH(C459,parametros!$B$2:$B$6,0)),""),"Sim","Nao"))))))</f>
        <v/>
      </c>
      <c r="T459" s="156"/>
      <c r="U459" s="214" t="str">
        <f t="shared" si="41"/>
        <v/>
      </c>
      <c r="V459" s="212" t="s">
        <v>50</v>
      </c>
      <c r="W459" s="100" t="s">
        <v>168</v>
      </c>
      <c r="X459" s="100" t="s">
        <v>169</v>
      </c>
      <c r="Y459" s="101" t="s">
        <v>170</v>
      </c>
      <c r="Z459" s="101" t="s">
        <v>171</v>
      </c>
      <c r="AA459" s="101" t="s">
        <v>50</v>
      </c>
      <c r="AB459" s="101" t="s">
        <v>172</v>
      </c>
      <c r="AC459" s="102" t="s">
        <v>173</v>
      </c>
    </row>
    <row r="460" spans="1:29" ht="25.5" customHeight="1" x14ac:dyDescent="0.35">
      <c r="A460" s="392"/>
      <c r="B460" s="393"/>
      <c r="C460" s="99" t="str">
        <f>IF(B460="","",IF(NOT(ISNUMBER(B460)),"DATA_PC invalida",IF(NOT(ISNUMBER(parametros!$C$2)),"Fora dos ciclos",IF(OR(B460&lt;parametros!$C$2,(YEAR(B460)-YEAR(parametros!$C$2))*12+MONTH(B460)-MONTH(parametros!$C$2)&gt;59),"Fora dos ciclos","C"&amp;INT(((YEAR(B460)-YEAR(parametros!$C$2))*12+MONTH(B460)-MONTH(parametros!$C$2))/12)))))</f>
        <v/>
      </c>
      <c r="D460" s="394"/>
      <c r="E460" s="78" t="str">
        <f>IF(C460="","",IFERROR(VLOOKUP(C460,parametros!$A$11:$E$15,5,0),""))</f>
        <v/>
      </c>
      <c r="F460" s="79" t="str">
        <f t="shared" si="37"/>
        <v/>
      </c>
      <c r="G460" s="395"/>
      <c r="H460" s="91">
        <f t="shared" si="38"/>
        <v>0</v>
      </c>
      <c r="I460" s="91" t="str">
        <f t="shared" si="39"/>
        <v/>
      </c>
      <c r="J460" s="91" t="str">
        <f t="shared" si="40"/>
        <v/>
      </c>
      <c r="K460" s="92" t="str">
        <f>IF(AND(A460="",B460="",D460="",G460=""),"",IF(AND(A460&lt;&gt;"",COUNTIF($A$2:$A$5001,A460)&gt;1),"NUMERO_PC duplicado",IF(B460="","DATA_PC vazia",IF(NOT(ISNUMBER(B460)),"DATA_PC invalida",IF(OR(C460="",C460="Fora dos ciclos"),"CICLO_PC nao identificado",IF(OR(D460="",D460=0),"VALOR_PC vazio ou zero",IF(AND(G460&lt;&gt;"Sim",G460&lt;&gt;"Nao",G460&lt;&gt;""),"PC_PAGO_A_CONTRATADA invalido",IF(AND(C460&lt;&gt;"C0",IFERROR(INDEX(parametros!$A$2:$A$6,MATCH(C460,parametros!$B$2:$B$6,0)),"")="Sim",IFERROR(INDEX(parametros!$H$2:$H$6,MATCH(C460,parametros!$B$2:$B$6,0)),"")=""),"INICIO_EFEITO ausente: PC "&amp;A460&amp;" - "&amp;C460,IF(L460="","EFEITO_PC nao calculado: PC "&amp;A460&amp;" - "&amp;C460,"OK")))))))))</f>
        <v/>
      </c>
      <c r="L460" s="92" t="str">
        <f>IF(AND(A460="",B460="",D460="",G460=""),"",IF(OR(B460="",NOT(ISNUMBER(B460)),C460="",C460="Fora dos ciclos"),"",IF(C460="C0","Nao",IF(IFERROR(INDEX(parametros!$A$2:$A$6,MATCH(C460,parametros!$B$2:$B$6,0)),"")&lt;&gt;"Sim","Nao",IF(IFERROR(INDEX(parametros!$H$2:$H$6,MATCH(C460,parametros!$B$2:$B$6,0)),"")="","",IF(B460&gt;=IFERROR(INDEX(parametros!$H$2:$H$6,MATCH(C460,parametros!$B$2:$B$6,0)),""),"Sim","Nao"))))))</f>
        <v/>
      </c>
      <c r="T460" s="156"/>
      <c r="U460" s="214" t="str">
        <f t="shared" si="41"/>
        <v/>
      </c>
      <c r="V460" s="212" t="s">
        <v>50</v>
      </c>
      <c r="W460" s="100" t="s">
        <v>168</v>
      </c>
      <c r="X460" s="100" t="s">
        <v>169</v>
      </c>
      <c r="Y460" s="101" t="s">
        <v>170</v>
      </c>
      <c r="Z460" s="101" t="s">
        <v>171</v>
      </c>
      <c r="AA460" s="101" t="s">
        <v>50</v>
      </c>
      <c r="AB460" s="101" t="s">
        <v>172</v>
      </c>
      <c r="AC460" s="102" t="s">
        <v>173</v>
      </c>
    </row>
    <row r="461" spans="1:29" ht="25.5" customHeight="1" x14ac:dyDescent="0.35">
      <c r="A461" s="392"/>
      <c r="B461" s="393"/>
      <c r="C461" s="99" t="str">
        <f>IF(B461="","",IF(NOT(ISNUMBER(B461)),"DATA_PC invalida",IF(NOT(ISNUMBER(parametros!$C$2)),"Fora dos ciclos",IF(OR(B461&lt;parametros!$C$2,(YEAR(B461)-YEAR(parametros!$C$2))*12+MONTH(B461)-MONTH(parametros!$C$2)&gt;59),"Fora dos ciclos","C"&amp;INT(((YEAR(B461)-YEAR(parametros!$C$2))*12+MONTH(B461)-MONTH(parametros!$C$2))/12)))))</f>
        <v/>
      </c>
      <c r="D461" s="394"/>
      <c r="E461" s="78" t="str">
        <f>IF(C461="","",IFERROR(VLOOKUP(C461,parametros!$A$11:$E$15,5,0),""))</f>
        <v/>
      </c>
      <c r="F461" s="79" t="str">
        <f t="shared" si="37"/>
        <v/>
      </c>
      <c r="G461" s="395"/>
      <c r="H461" s="91">
        <f t="shared" si="38"/>
        <v>0</v>
      </c>
      <c r="I461" s="91" t="str">
        <f t="shared" si="39"/>
        <v/>
      </c>
      <c r="J461" s="91" t="str">
        <f t="shared" si="40"/>
        <v/>
      </c>
      <c r="K461" s="92" t="str">
        <f>IF(AND(A461="",B461="",D461="",G461=""),"",IF(AND(A461&lt;&gt;"",COUNTIF($A$2:$A$5001,A461)&gt;1),"NUMERO_PC duplicado",IF(B461="","DATA_PC vazia",IF(NOT(ISNUMBER(B461)),"DATA_PC invalida",IF(OR(C461="",C461="Fora dos ciclos"),"CICLO_PC nao identificado",IF(OR(D461="",D461=0),"VALOR_PC vazio ou zero",IF(AND(G461&lt;&gt;"Sim",G461&lt;&gt;"Nao",G461&lt;&gt;""),"PC_PAGO_A_CONTRATADA invalido",IF(AND(C461&lt;&gt;"C0",IFERROR(INDEX(parametros!$A$2:$A$6,MATCH(C461,parametros!$B$2:$B$6,0)),"")="Sim",IFERROR(INDEX(parametros!$H$2:$H$6,MATCH(C461,parametros!$B$2:$B$6,0)),"")=""),"INICIO_EFEITO ausente: PC "&amp;A461&amp;" - "&amp;C461,IF(L461="","EFEITO_PC nao calculado: PC "&amp;A461&amp;" - "&amp;C461,"OK")))))))))</f>
        <v/>
      </c>
      <c r="L461" s="92" t="str">
        <f>IF(AND(A461="",B461="",D461="",G461=""),"",IF(OR(B461="",NOT(ISNUMBER(B461)),C461="",C461="Fora dos ciclos"),"",IF(C461="C0","Nao",IF(IFERROR(INDEX(parametros!$A$2:$A$6,MATCH(C461,parametros!$B$2:$B$6,0)),"")&lt;&gt;"Sim","Nao",IF(IFERROR(INDEX(parametros!$H$2:$H$6,MATCH(C461,parametros!$B$2:$B$6,0)),"")="","",IF(B461&gt;=IFERROR(INDEX(parametros!$H$2:$H$6,MATCH(C461,parametros!$B$2:$B$6,0)),""),"Sim","Nao"))))))</f>
        <v/>
      </c>
      <c r="T461" s="156"/>
      <c r="U461" s="214" t="str">
        <f t="shared" si="41"/>
        <v/>
      </c>
      <c r="V461" s="212" t="s">
        <v>50</v>
      </c>
      <c r="W461" s="100" t="s">
        <v>168</v>
      </c>
      <c r="X461" s="100" t="s">
        <v>169</v>
      </c>
      <c r="Y461" s="101" t="s">
        <v>170</v>
      </c>
      <c r="Z461" s="101" t="s">
        <v>171</v>
      </c>
      <c r="AA461" s="101" t="s">
        <v>50</v>
      </c>
      <c r="AB461" s="101" t="s">
        <v>172</v>
      </c>
      <c r="AC461" s="102" t="s">
        <v>173</v>
      </c>
    </row>
    <row r="462" spans="1:29" ht="25.5" customHeight="1" x14ac:dyDescent="0.35">
      <c r="A462" s="392"/>
      <c r="B462" s="393"/>
      <c r="C462" s="99" t="str">
        <f>IF(B462="","",IF(NOT(ISNUMBER(B462)),"DATA_PC invalida",IF(NOT(ISNUMBER(parametros!$C$2)),"Fora dos ciclos",IF(OR(B462&lt;parametros!$C$2,(YEAR(B462)-YEAR(parametros!$C$2))*12+MONTH(B462)-MONTH(parametros!$C$2)&gt;59),"Fora dos ciclos","C"&amp;INT(((YEAR(B462)-YEAR(parametros!$C$2))*12+MONTH(B462)-MONTH(parametros!$C$2))/12)))))</f>
        <v/>
      </c>
      <c r="D462" s="394"/>
      <c r="E462" s="78" t="str">
        <f>IF(C462="","",IFERROR(VLOOKUP(C462,parametros!$A$11:$E$15,5,0),""))</f>
        <v/>
      </c>
      <c r="F462" s="79" t="str">
        <f t="shared" si="37"/>
        <v/>
      </c>
      <c r="G462" s="395"/>
      <c r="H462" s="91">
        <f t="shared" si="38"/>
        <v>0</v>
      </c>
      <c r="I462" s="91" t="str">
        <f t="shared" si="39"/>
        <v/>
      </c>
      <c r="J462" s="91" t="str">
        <f t="shared" si="40"/>
        <v/>
      </c>
      <c r="K462" s="92" t="str">
        <f>IF(AND(A462="",B462="",D462="",G462=""),"",IF(AND(A462&lt;&gt;"",COUNTIF($A$2:$A$5001,A462)&gt;1),"NUMERO_PC duplicado",IF(B462="","DATA_PC vazia",IF(NOT(ISNUMBER(B462)),"DATA_PC invalida",IF(OR(C462="",C462="Fora dos ciclos"),"CICLO_PC nao identificado",IF(OR(D462="",D462=0),"VALOR_PC vazio ou zero",IF(AND(G462&lt;&gt;"Sim",G462&lt;&gt;"Nao",G462&lt;&gt;""),"PC_PAGO_A_CONTRATADA invalido",IF(AND(C462&lt;&gt;"C0",IFERROR(INDEX(parametros!$A$2:$A$6,MATCH(C462,parametros!$B$2:$B$6,0)),"")="Sim",IFERROR(INDEX(parametros!$H$2:$H$6,MATCH(C462,parametros!$B$2:$B$6,0)),"")=""),"INICIO_EFEITO ausente: PC "&amp;A462&amp;" - "&amp;C462,IF(L462="","EFEITO_PC nao calculado: PC "&amp;A462&amp;" - "&amp;C462,"OK")))))))))</f>
        <v/>
      </c>
      <c r="L462" s="92" t="str">
        <f>IF(AND(A462="",B462="",D462="",G462=""),"",IF(OR(B462="",NOT(ISNUMBER(B462)),C462="",C462="Fora dos ciclos"),"",IF(C462="C0","Nao",IF(IFERROR(INDEX(parametros!$A$2:$A$6,MATCH(C462,parametros!$B$2:$B$6,0)),"")&lt;&gt;"Sim","Nao",IF(IFERROR(INDEX(parametros!$H$2:$H$6,MATCH(C462,parametros!$B$2:$B$6,0)),"")="","",IF(B462&gt;=IFERROR(INDEX(parametros!$H$2:$H$6,MATCH(C462,parametros!$B$2:$B$6,0)),""),"Sim","Nao"))))))</f>
        <v/>
      </c>
      <c r="T462" s="156"/>
      <c r="U462" s="214" t="str">
        <f t="shared" si="41"/>
        <v/>
      </c>
      <c r="V462" s="212" t="s">
        <v>50</v>
      </c>
      <c r="W462" s="100" t="s">
        <v>168</v>
      </c>
      <c r="X462" s="100" t="s">
        <v>169</v>
      </c>
      <c r="Y462" s="101" t="s">
        <v>170</v>
      </c>
      <c r="Z462" s="101" t="s">
        <v>171</v>
      </c>
      <c r="AA462" s="101" t="s">
        <v>50</v>
      </c>
      <c r="AB462" s="101" t="s">
        <v>172</v>
      </c>
      <c r="AC462" s="102" t="s">
        <v>173</v>
      </c>
    </row>
    <row r="463" spans="1:29" ht="25.5" customHeight="1" x14ac:dyDescent="0.35">
      <c r="A463" s="392"/>
      <c r="B463" s="393"/>
      <c r="C463" s="99" t="str">
        <f>IF(B463="","",IF(NOT(ISNUMBER(B463)),"DATA_PC invalida",IF(NOT(ISNUMBER(parametros!$C$2)),"Fora dos ciclos",IF(OR(B463&lt;parametros!$C$2,(YEAR(B463)-YEAR(parametros!$C$2))*12+MONTH(B463)-MONTH(parametros!$C$2)&gt;59),"Fora dos ciclos","C"&amp;INT(((YEAR(B463)-YEAR(parametros!$C$2))*12+MONTH(B463)-MONTH(parametros!$C$2))/12)))))</f>
        <v/>
      </c>
      <c r="D463" s="394"/>
      <c r="E463" s="78" t="str">
        <f>IF(C463="","",IFERROR(VLOOKUP(C463,parametros!$A$11:$E$15,5,0),""))</f>
        <v/>
      </c>
      <c r="F463" s="79" t="str">
        <f t="shared" si="37"/>
        <v/>
      </c>
      <c r="G463" s="395"/>
      <c r="H463" s="91">
        <f t="shared" si="38"/>
        <v>0</v>
      </c>
      <c r="I463" s="91" t="str">
        <f t="shared" si="39"/>
        <v/>
      </c>
      <c r="J463" s="91" t="str">
        <f t="shared" si="40"/>
        <v/>
      </c>
      <c r="K463" s="92" t="str">
        <f>IF(AND(A463="",B463="",D463="",G463=""),"",IF(AND(A463&lt;&gt;"",COUNTIF($A$2:$A$5001,A463)&gt;1),"NUMERO_PC duplicado",IF(B463="","DATA_PC vazia",IF(NOT(ISNUMBER(B463)),"DATA_PC invalida",IF(OR(C463="",C463="Fora dos ciclos"),"CICLO_PC nao identificado",IF(OR(D463="",D463=0),"VALOR_PC vazio ou zero",IF(AND(G463&lt;&gt;"Sim",G463&lt;&gt;"Nao",G463&lt;&gt;""),"PC_PAGO_A_CONTRATADA invalido",IF(AND(C463&lt;&gt;"C0",IFERROR(INDEX(parametros!$A$2:$A$6,MATCH(C463,parametros!$B$2:$B$6,0)),"")="Sim",IFERROR(INDEX(parametros!$H$2:$H$6,MATCH(C463,parametros!$B$2:$B$6,0)),"")=""),"INICIO_EFEITO ausente: PC "&amp;A463&amp;" - "&amp;C463,IF(L463="","EFEITO_PC nao calculado: PC "&amp;A463&amp;" - "&amp;C463,"OK")))))))))</f>
        <v/>
      </c>
      <c r="L463" s="92" t="str">
        <f>IF(AND(A463="",B463="",D463="",G463=""),"",IF(OR(B463="",NOT(ISNUMBER(B463)),C463="",C463="Fora dos ciclos"),"",IF(C463="C0","Nao",IF(IFERROR(INDEX(parametros!$A$2:$A$6,MATCH(C463,parametros!$B$2:$B$6,0)),"")&lt;&gt;"Sim","Nao",IF(IFERROR(INDEX(parametros!$H$2:$H$6,MATCH(C463,parametros!$B$2:$B$6,0)),"")="","",IF(B463&gt;=IFERROR(INDEX(parametros!$H$2:$H$6,MATCH(C463,parametros!$B$2:$B$6,0)),""),"Sim","Nao"))))))</f>
        <v/>
      </c>
      <c r="T463" s="156"/>
      <c r="U463" s="214" t="str">
        <f t="shared" si="41"/>
        <v/>
      </c>
      <c r="V463" s="212" t="s">
        <v>50</v>
      </c>
      <c r="W463" s="100" t="s">
        <v>168</v>
      </c>
      <c r="X463" s="100" t="s">
        <v>169</v>
      </c>
      <c r="Y463" s="101" t="s">
        <v>170</v>
      </c>
      <c r="Z463" s="101" t="s">
        <v>171</v>
      </c>
      <c r="AA463" s="101" t="s">
        <v>50</v>
      </c>
      <c r="AB463" s="101" t="s">
        <v>172</v>
      </c>
      <c r="AC463" s="102" t="s">
        <v>173</v>
      </c>
    </row>
    <row r="464" spans="1:29" ht="25.5" customHeight="1" x14ac:dyDescent="0.35">
      <c r="A464" s="392"/>
      <c r="B464" s="393"/>
      <c r="C464" s="99" t="str">
        <f>IF(B464="","",IF(NOT(ISNUMBER(B464)),"DATA_PC invalida",IF(NOT(ISNUMBER(parametros!$C$2)),"Fora dos ciclos",IF(OR(B464&lt;parametros!$C$2,(YEAR(B464)-YEAR(parametros!$C$2))*12+MONTH(B464)-MONTH(parametros!$C$2)&gt;59),"Fora dos ciclos","C"&amp;INT(((YEAR(B464)-YEAR(parametros!$C$2))*12+MONTH(B464)-MONTH(parametros!$C$2))/12)))))</f>
        <v/>
      </c>
      <c r="D464" s="394"/>
      <c r="E464" s="78" t="str">
        <f>IF(C464="","",IFERROR(VLOOKUP(C464,parametros!$A$11:$E$15,5,0),""))</f>
        <v/>
      </c>
      <c r="F464" s="79" t="str">
        <f t="shared" si="37"/>
        <v/>
      </c>
      <c r="G464" s="395"/>
      <c r="H464" s="91">
        <f t="shared" si="38"/>
        <v>0</v>
      </c>
      <c r="I464" s="91" t="str">
        <f t="shared" si="39"/>
        <v/>
      </c>
      <c r="J464" s="91" t="str">
        <f t="shared" si="40"/>
        <v/>
      </c>
      <c r="K464" s="92" t="str">
        <f>IF(AND(A464="",B464="",D464="",G464=""),"",IF(AND(A464&lt;&gt;"",COUNTIF($A$2:$A$5001,A464)&gt;1),"NUMERO_PC duplicado",IF(B464="","DATA_PC vazia",IF(NOT(ISNUMBER(B464)),"DATA_PC invalida",IF(OR(C464="",C464="Fora dos ciclos"),"CICLO_PC nao identificado",IF(OR(D464="",D464=0),"VALOR_PC vazio ou zero",IF(AND(G464&lt;&gt;"Sim",G464&lt;&gt;"Nao",G464&lt;&gt;""),"PC_PAGO_A_CONTRATADA invalido",IF(AND(C464&lt;&gt;"C0",IFERROR(INDEX(parametros!$A$2:$A$6,MATCH(C464,parametros!$B$2:$B$6,0)),"")="Sim",IFERROR(INDEX(parametros!$H$2:$H$6,MATCH(C464,parametros!$B$2:$B$6,0)),"")=""),"INICIO_EFEITO ausente: PC "&amp;A464&amp;" - "&amp;C464,IF(L464="","EFEITO_PC nao calculado: PC "&amp;A464&amp;" - "&amp;C464,"OK")))))))))</f>
        <v/>
      </c>
      <c r="L464" s="92" t="str">
        <f>IF(AND(A464="",B464="",D464="",G464=""),"",IF(OR(B464="",NOT(ISNUMBER(B464)),C464="",C464="Fora dos ciclos"),"",IF(C464="C0","Nao",IF(IFERROR(INDEX(parametros!$A$2:$A$6,MATCH(C464,parametros!$B$2:$B$6,0)),"")&lt;&gt;"Sim","Nao",IF(IFERROR(INDEX(parametros!$H$2:$H$6,MATCH(C464,parametros!$B$2:$B$6,0)),"")="","",IF(B464&gt;=IFERROR(INDEX(parametros!$H$2:$H$6,MATCH(C464,parametros!$B$2:$B$6,0)),""),"Sim","Nao"))))))</f>
        <v/>
      </c>
      <c r="T464" s="156"/>
      <c r="U464" s="214" t="str">
        <f t="shared" si="41"/>
        <v/>
      </c>
      <c r="V464" s="212" t="s">
        <v>50</v>
      </c>
      <c r="W464" s="100" t="s">
        <v>168</v>
      </c>
      <c r="X464" s="100" t="s">
        <v>169</v>
      </c>
      <c r="Y464" s="101" t="s">
        <v>170</v>
      </c>
      <c r="Z464" s="101" t="s">
        <v>171</v>
      </c>
      <c r="AA464" s="101" t="s">
        <v>50</v>
      </c>
      <c r="AB464" s="101" t="s">
        <v>172</v>
      </c>
      <c r="AC464" s="102" t="s">
        <v>173</v>
      </c>
    </row>
    <row r="465" spans="1:29" ht="25.5" customHeight="1" x14ac:dyDescent="0.35">
      <c r="A465" s="392"/>
      <c r="B465" s="393"/>
      <c r="C465" s="99" t="str">
        <f>IF(B465="","",IF(NOT(ISNUMBER(B465)),"DATA_PC invalida",IF(NOT(ISNUMBER(parametros!$C$2)),"Fora dos ciclos",IF(OR(B465&lt;parametros!$C$2,(YEAR(B465)-YEAR(parametros!$C$2))*12+MONTH(B465)-MONTH(parametros!$C$2)&gt;59),"Fora dos ciclos","C"&amp;INT(((YEAR(B465)-YEAR(parametros!$C$2))*12+MONTH(B465)-MONTH(parametros!$C$2))/12)))))</f>
        <v/>
      </c>
      <c r="D465" s="394"/>
      <c r="E465" s="78" t="str">
        <f>IF(C465="","",IFERROR(VLOOKUP(C465,parametros!$A$11:$E$15,5,0),""))</f>
        <v/>
      </c>
      <c r="F465" s="79" t="str">
        <f t="shared" si="37"/>
        <v/>
      </c>
      <c r="G465" s="395"/>
      <c r="H465" s="91">
        <f t="shared" si="38"/>
        <v>0</v>
      </c>
      <c r="I465" s="91" t="str">
        <f t="shared" si="39"/>
        <v/>
      </c>
      <c r="J465" s="91" t="str">
        <f t="shared" si="40"/>
        <v/>
      </c>
      <c r="K465" s="92" t="str">
        <f>IF(AND(A465="",B465="",D465="",G465=""),"",IF(AND(A465&lt;&gt;"",COUNTIF($A$2:$A$5001,A465)&gt;1),"NUMERO_PC duplicado",IF(B465="","DATA_PC vazia",IF(NOT(ISNUMBER(B465)),"DATA_PC invalida",IF(OR(C465="",C465="Fora dos ciclos"),"CICLO_PC nao identificado",IF(OR(D465="",D465=0),"VALOR_PC vazio ou zero",IF(AND(G465&lt;&gt;"Sim",G465&lt;&gt;"Nao",G465&lt;&gt;""),"PC_PAGO_A_CONTRATADA invalido",IF(AND(C465&lt;&gt;"C0",IFERROR(INDEX(parametros!$A$2:$A$6,MATCH(C465,parametros!$B$2:$B$6,0)),"")="Sim",IFERROR(INDEX(parametros!$H$2:$H$6,MATCH(C465,parametros!$B$2:$B$6,0)),"")=""),"INICIO_EFEITO ausente: PC "&amp;A465&amp;" - "&amp;C465,IF(L465="","EFEITO_PC nao calculado: PC "&amp;A465&amp;" - "&amp;C465,"OK")))))))))</f>
        <v/>
      </c>
      <c r="L465" s="92" t="str">
        <f>IF(AND(A465="",B465="",D465="",G465=""),"",IF(OR(B465="",NOT(ISNUMBER(B465)),C465="",C465="Fora dos ciclos"),"",IF(C465="C0","Nao",IF(IFERROR(INDEX(parametros!$A$2:$A$6,MATCH(C465,parametros!$B$2:$B$6,0)),"")&lt;&gt;"Sim","Nao",IF(IFERROR(INDEX(parametros!$H$2:$H$6,MATCH(C465,parametros!$B$2:$B$6,0)),"")="","",IF(B465&gt;=IFERROR(INDEX(parametros!$H$2:$H$6,MATCH(C465,parametros!$B$2:$B$6,0)),""),"Sim","Nao"))))))</f>
        <v/>
      </c>
      <c r="T465" s="156"/>
      <c r="U465" s="214" t="str">
        <f t="shared" si="41"/>
        <v/>
      </c>
      <c r="V465" s="212" t="s">
        <v>50</v>
      </c>
      <c r="W465" s="100" t="s">
        <v>168</v>
      </c>
      <c r="X465" s="100" t="s">
        <v>169</v>
      </c>
      <c r="Y465" s="101" t="s">
        <v>170</v>
      </c>
      <c r="Z465" s="101" t="s">
        <v>171</v>
      </c>
      <c r="AA465" s="101" t="s">
        <v>50</v>
      </c>
      <c r="AB465" s="101" t="s">
        <v>172</v>
      </c>
      <c r="AC465" s="102" t="s">
        <v>173</v>
      </c>
    </row>
    <row r="466" spans="1:29" ht="25.5" customHeight="1" x14ac:dyDescent="0.35">
      <c r="A466" s="392"/>
      <c r="B466" s="393"/>
      <c r="C466" s="99" t="str">
        <f>IF(B466="","",IF(NOT(ISNUMBER(B466)),"DATA_PC invalida",IF(NOT(ISNUMBER(parametros!$C$2)),"Fora dos ciclos",IF(OR(B466&lt;parametros!$C$2,(YEAR(B466)-YEAR(parametros!$C$2))*12+MONTH(B466)-MONTH(parametros!$C$2)&gt;59),"Fora dos ciclos","C"&amp;INT(((YEAR(B466)-YEAR(parametros!$C$2))*12+MONTH(B466)-MONTH(parametros!$C$2))/12)))))</f>
        <v/>
      </c>
      <c r="D466" s="394"/>
      <c r="E466" s="78" t="str">
        <f>IF(C466="","",IFERROR(VLOOKUP(C466,parametros!$A$11:$E$15,5,0),""))</f>
        <v/>
      </c>
      <c r="F466" s="79" t="str">
        <f t="shared" si="37"/>
        <v/>
      </c>
      <c r="G466" s="395"/>
      <c r="H466" s="91">
        <f t="shared" si="38"/>
        <v>0</v>
      </c>
      <c r="I466" s="91" t="str">
        <f t="shared" si="39"/>
        <v/>
      </c>
      <c r="J466" s="91" t="str">
        <f t="shared" si="40"/>
        <v/>
      </c>
      <c r="K466" s="92" t="str">
        <f>IF(AND(A466="",B466="",D466="",G466=""),"",IF(AND(A466&lt;&gt;"",COUNTIF($A$2:$A$5001,A466)&gt;1),"NUMERO_PC duplicado",IF(B466="","DATA_PC vazia",IF(NOT(ISNUMBER(B466)),"DATA_PC invalida",IF(OR(C466="",C466="Fora dos ciclos"),"CICLO_PC nao identificado",IF(OR(D466="",D466=0),"VALOR_PC vazio ou zero",IF(AND(G466&lt;&gt;"Sim",G466&lt;&gt;"Nao",G466&lt;&gt;""),"PC_PAGO_A_CONTRATADA invalido",IF(AND(C466&lt;&gt;"C0",IFERROR(INDEX(parametros!$A$2:$A$6,MATCH(C466,parametros!$B$2:$B$6,0)),"")="Sim",IFERROR(INDEX(parametros!$H$2:$H$6,MATCH(C466,parametros!$B$2:$B$6,0)),"")=""),"INICIO_EFEITO ausente: PC "&amp;A466&amp;" - "&amp;C466,IF(L466="","EFEITO_PC nao calculado: PC "&amp;A466&amp;" - "&amp;C466,"OK")))))))))</f>
        <v/>
      </c>
      <c r="L466" s="92" t="str">
        <f>IF(AND(A466="",B466="",D466="",G466=""),"",IF(OR(B466="",NOT(ISNUMBER(B466)),C466="",C466="Fora dos ciclos"),"",IF(C466="C0","Nao",IF(IFERROR(INDEX(parametros!$A$2:$A$6,MATCH(C466,parametros!$B$2:$B$6,0)),"")&lt;&gt;"Sim","Nao",IF(IFERROR(INDEX(parametros!$H$2:$H$6,MATCH(C466,parametros!$B$2:$B$6,0)),"")="","",IF(B466&gt;=IFERROR(INDEX(parametros!$H$2:$H$6,MATCH(C466,parametros!$B$2:$B$6,0)),""),"Sim","Nao"))))))</f>
        <v/>
      </c>
      <c r="T466" s="156"/>
      <c r="U466" s="214" t="str">
        <f t="shared" si="41"/>
        <v/>
      </c>
      <c r="V466" s="212" t="s">
        <v>50</v>
      </c>
      <c r="W466" s="100" t="s">
        <v>168</v>
      </c>
      <c r="X466" s="100" t="s">
        <v>169</v>
      </c>
      <c r="Y466" s="101" t="s">
        <v>170</v>
      </c>
      <c r="Z466" s="101" t="s">
        <v>171</v>
      </c>
      <c r="AA466" s="101" t="s">
        <v>50</v>
      </c>
      <c r="AB466" s="101" t="s">
        <v>172</v>
      </c>
      <c r="AC466" s="102" t="s">
        <v>173</v>
      </c>
    </row>
    <row r="467" spans="1:29" ht="25.5" customHeight="1" x14ac:dyDescent="0.35">
      <c r="A467" s="392"/>
      <c r="B467" s="393"/>
      <c r="C467" s="99" t="str">
        <f>IF(B467="","",IF(NOT(ISNUMBER(B467)),"DATA_PC invalida",IF(NOT(ISNUMBER(parametros!$C$2)),"Fora dos ciclos",IF(OR(B467&lt;parametros!$C$2,(YEAR(B467)-YEAR(parametros!$C$2))*12+MONTH(B467)-MONTH(parametros!$C$2)&gt;59),"Fora dos ciclos","C"&amp;INT(((YEAR(B467)-YEAR(parametros!$C$2))*12+MONTH(B467)-MONTH(parametros!$C$2))/12)))))</f>
        <v/>
      </c>
      <c r="D467" s="394"/>
      <c r="E467" s="78" t="str">
        <f>IF(C467="","",IFERROR(VLOOKUP(C467,parametros!$A$11:$E$15,5,0),""))</f>
        <v/>
      </c>
      <c r="F467" s="79" t="str">
        <f t="shared" si="37"/>
        <v/>
      </c>
      <c r="G467" s="395"/>
      <c r="H467" s="91">
        <f t="shared" si="38"/>
        <v>0</v>
      </c>
      <c r="I467" s="91" t="str">
        <f t="shared" si="39"/>
        <v/>
      </c>
      <c r="J467" s="91" t="str">
        <f t="shared" si="40"/>
        <v/>
      </c>
      <c r="K467" s="92" t="str">
        <f>IF(AND(A467="",B467="",D467="",G467=""),"",IF(AND(A467&lt;&gt;"",COUNTIF($A$2:$A$5001,A467)&gt;1),"NUMERO_PC duplicado",IF(B467="","DATA_PC vazia",IF(NOT(ISNUMBER(B467)),"DATA_PC invalida",IF(OR(C467="",C467="Fora dos ciclos"),"CICLO_PC nao identificado",IF(OR(D467="",D467=0),"VALOR_PC vazio ou zero",IF(AND(G467&lt;&gt;"Sim",G467&lt;&gt;"Nao",G467&lt;&gt;""),"PC_PAGO_A_CONTRATADA invalido",IF(AND(C467&lt;&gt;"C0",IFERROR(INDEX(parametros!$A$2:$A$6,MATCH(C467,parametros!$B$2:$B$6,0)),"")="Sim",IFERROR(INDEX(parametros!$H$2:$H$6,MATCH(C467,parametros!$B$2:$B$6,0)),"")=""),"INICIO_EFEITO ausente: PC "&amp;A467&amp;" - "&amp;C467,IF(L467="","EFEITO_PC nao calculado: PC "&amp;A467&amp;" - "&amp;C467,"OK")))))))))</f>
        <v/>
      </c>
      <c r="L467" s="92" t="str">
        <f>IF(AND(A467="",B467="",D467="",G467=""),"",IF(OR(B467="",NOT(ISNUMBER(B467)),C467="",C467="Fora dos ciclos"),"",IF(C467="C0","Nao",IF(IFERROR(INDEX(parametros!$A$2:$A$6,MATCH(C467,parametros!$B$2:$B$6,0)),"")&lt;&gt;"Sim","Nao",IF(IFERROR(INDEX(parametros!$H$2:$H$6,MATCH(C467,parametros!$B$2:$B$6,0)),"")="","",IF(B467&gt;=IFERROR(INDEX(parametros!$H$2:$H$6,MATCH(C467,parametros!$B$2:$B$6,0)),""),"Sim","Nao"))))))</f>
        <v/>
      </c>
      <c r="T467" s="156"/>
      <c r="U467" s="214" t="str">
        <f t="shared" si="41"/>
        <v/>
      </c>
      <c r="V467" s="212" t="s">
        <v>50</v>
      </c>
      <c r="W467" s="100" t="s">
        <v>168</v>
      </c>
      <c r="X467" s="100" t="s">
        <v>169</v>
      </c>
      <c r="Y467" s="101" t="s">
        <v>170</v>
      </c>
      <c r="Z467" s="101" t="s">
        <v>171</v>
      </c>
      <c r="AA467" s="101" t="s">
        <v>50</v>
      </c>
      <c r="AB467" s="101" t="s">
        <v>172</v>
      </c>
      <c r="AC467" s="102" t="s">
        <v>173</v>
      </c>
    </row>
    <row r="468" spans="1:29" ht="25.5" customHeight="1" x14ac:dyDescent="0.35">
      <c r="A468" s="392"/>
      <c r="B468" s="393"/>
      <c r="C468" s="99" t="str">
        <f>IF(B468="","",IF(NOT(ISNUMBER(B468)),"DATA_PC invalida",IF(NOT(ISNUMBER(parametros!$C$2)),"Fora dos ciclos",IF(OR(B468&lt;parametros!$C$2,(YEAR(B468)-YEAR(parametros!$C$2))*12+MONTH(B468)-MONTH(parametros!$C$2)&gt;59),"Fora dos ciclos","C"&amp;INT(((YEAR(B468)-YEAR(parametros!$C$2))*12+MONTH(B468)-MONTH(parametros!$C$2))/12)))))</f>
        <v/>
      </c>
      <c r="D468" s="394"/>
      <c r="E468" s="78" t="str">
        <f>IF(C468="","",IFERROR(VLOOKUP(C468,parametros!$A$11:$E$15,5,0),""))</f>
        <v/>
      </c>
      <c r="F468" s="79" t="str">
        <f t="shared" si="37"/>
        <v/>
      </c>
      <c r="G468" s="395"/>
      <c r="H468" s="91">
        <f t="shared" si="38"/>
        <v>0</v>
      </c>
      <c r="I468" s="91" t="str">
        <f t="shared" si="39"/>
        <v/>
      </c>
      <c r="J468" s="91" t="str">
        <f t="shared" si="40"/>
        <v/>
      </c>
      <c r="K468" s="92" t="str">
        <f>IF(AND(A468="",B468="",D468="",G468=""),"",IF(AND(A468&lt;&gt;"",COUNTIF($A$2:$A$5001,A468)&gt;1),"NUMERO_PC duplicado",IF(B468="","DATA_PC vazia",IF(NOT(ISNUMBER(B468)),"DATA_PC invalida",IF(OR(C468="",C468="Fora dos ciclos"),"CICLO_PC nao identificado",IF(OR(D468="",D468=0),"VALOR_PC vazio ou zero",IF(AND(G468&lt;&gt;"Sim",G468&lt;&gt;"Nao",G468&lt;&gt;""),"PC_PAGO_A_CONTRATADA invalido",IF(AND(C468&lt;&gt;"C0",IFERROR(INDEX(parametros!$A$2:$A$6,MATCH(C468,parametros!$B$2:$B$6,0)),"")="Sim",IFERROR(INDEX(parametros!$H$2:$H$6,MATCH(C468,parametros!$B$2:$B$6,0)),"")=""),"INICIO_EFEITO ausente: PC "&amp;A468&amp;" - "&amp;C468,IF(L468="","EFEITO_PC nao calculado: PC "&amp;A468&amp;" - "&amp;C468,"OK")))))))))</f>
        <v/>
      </c>
      <c r="L468" s="92" t="str">
        <f>IF(AND(A468="",B468="",D468="",G468=""),"",IF(OR(B468="",NOT(ISNUMBER(B468)),C468="",C468="Fora dos ciclos"),"",IF(C468="C0","Nao",IF(IFERROR(INDEX(parametros!$A$2:$A$6,MATCH(C468,parametros!$B$2:$B$6,0)),"")&lt;&gt;"Sim","Nao",IF(IFERROR(INDEX(parametros!$H$2:$H$6,MATCH(C468,parametros!$B$2:$B$6,0)),"")="","",IF(B468&gt;=IFERROR(INDEX(parametros!$H$2:$H$6,MATCH(C468,parametros!$B$2:$B$6,0)),""),"Sim","Nao"))))))</f>
        <v/>
      </c>
      <c r="T468" s="156"/>
      <c r="U468" s="214" t="str">
        <f t="shared" si="41"/>
        <v/>
      </c>
      <c r="V468" s="212" t="s">
        <v>50</v>
      </c>
      <c r="W468" s="100" t="s">
        <v>168</v>
      </c>
      <c r="X468" s="100" t="s">
        <v>169</v>
      </c>
      <c r="Y468" s="101" t="s">
        <v>170</v>
      </c>
      <c r="Z468" s="101" t="s">
        <v>171</v>
      </c>
      <c r="AA468" s="101" t="s">
        <v>50</v>
      </c>
      <c r="AB468" s="101" t="s">
        <v>172</v>
      </c>
      <c r="AC468" s="102" t="s">
        <v>173</v>
      </c>
    </row>
    <row r="469" spans="1:29" ht="25.5" customHeight="1" x14ac:dyDescent="0.35">
      <c r="A469" s="392"/>
      <c r="B469" s="393"/>
      <c r="C469" s="99" t="str">
        <f>IF(B469="","",IF(NOT(ISNUMBER(B469)),"DATA_PC invalida",IF(NOT(ISNUMBER(parametros!$C$2)),"Fora dos ciclos",IF(OR(B469&lt;parametros!$C$2,(YEAR(B469)-YEAR(parametros!$C$2))*12+MONTH(B469)-MONTH(parametros!$C$2)&gt;59),"Fora dos ciclos","C"&amp;INT(((YEAR(B469)-YEAR(parametros!$C$2))*12+MONTH(B469)-MONTH(parametros!$C$2))/12)))))</f>
        <v/>
      </c>
      <c r="D469" s="394"/>
      <c r="E469" s="78" t="str">
        <f>IF(C469="","",IFERROR(VLOOKUP(C469,parametros!$A$11:$E$15,5,0),""))</f>
        <v/>
      </c>
      <c r="F469" s="79" t="str">
        <f t="shared" si="37"/>
        <v/>
      </c>
      <c r="G469" s="395"/>
      <c r="H469" s="91">
        <f t="shared" si="38"/>
        <v>0</v>
      </c>
      <c r="I469" s="91" t="str">
        <f t="shared" si="39"/>
        <v/>
      </c>
      <c r="J469" s="91" t="str">
        <f t="shared" si="40"/>
        <v/>
      </c>
      <c r="K469" s="92" t="str">
        <f>IF(AND(A469="",B469="",D469="",G469=""),"",IF(AND(A469&lt;&gt;"",COUNTIF($A$2:$A$5001,A469)&gt;1),"NUMERO_PC duplicado",IF(B469="","DATA_PC vazia",IF(NOT(ISNUMBER(B469)),"DATA_PC invalida",IF(OR(C469="",C469="Fora dos ciclos"),"CICLO_PC nao identificado",IF(OR(D469="",D469=0),"VALOR_PC vazio ou zero",IF(AND(G469&lt;&gt;"Sim",G469&lt;&gt;"Nao",G469&lt;&gt;""),"PC_PAGO_A_CONTRATADA invalido",IF(AND(C469&lt;&gt;"C0",IFERROR(INDEX(parametros!$A$2:$A$6,MATCH(C469,parametros!$B$2:$B$6,0)),"")="Sim",IFERROR(INDEX(parametros!$H$2:$H$6,MATCH(C469,parametros!$B$2:$B$6,0)),"")=""),"INICIO_EFEITO ausente: PC "&amp;A469&amp;" - "&amp;C469,IF(L469="","EFEITO_PC nao calculado: PC "&amp;A469&amp;" - "&amp;C469,"OK")))))))))</f>
        <v/>
      </c>
      <c r="L469" s="92" t="str">
        <f>IF(AND(A469="",B469="",D469="",G469=""),"",IF(OR(B469="",NOT(ISNUMBER(B469)),C469="",C469="Fora dos ciclos"),"",IF(C469="C0","Nao",IF(IFERROR(INDEX(parametros!$A$2:$A$6,MATCH(C469,parametros!$B$2:$B$6,0)),"")&lt;&gt;"Sim","Nao",IF(IFERROR(INDEX(parametros!$H$2:$H$6,MATCH(C469,parametros!$B$2:$B$6,0)),"")="","",IF(B469&gt;=IFERROR(INDEX(parametros!$H$2:$H$6,MATCH(C469,parametros!$B$2:$B$6,0)),""),"Sim","Nao"))))))</f>
        <v/>
      </c>
      <c r="T469" s="156"/>
      <c r="U469" s="214" t="str">
        <f t="shared" si="41"/>
        <v/>
      </c>
      <c r="V469" s="212" t="s">
        <v>50</v>
      </c>
      <c r="W469" s="100" t="s">
        <v>168</v>
      </c>
      <c r="X469" s="100" t="s">
        <v>169</v>
      </c>
      <c r="Y469" s="101" t="s">
        <v>170</v>
      </c>
      <c r="Z469" s="101" t="s">
        <v>171</v>
      </c>
      <c r="AA469" s="101" t="s">
        <v>50</v>
      </c>
      <c r="AB469" s="101" t="s">
        <v>172</v>
      </c>
      <c r="AC469" s="102" t="s">
        <v>173</v>
      </c>
    </row>
    <row r="470" spans="1:29" ht="25.5" customHeight="1" x14ac:dyDescent="0.35">
      <c r="A470" s="392"/>
      <c r="B470" s="393"/>
      <c r="C470" s="99" t="str">
        <f>IF(B470="","",IF(NOT(ISNUMBER(B470)),"DATA_PC invalida",IF(NOT(ISNUMBER(parametros!$C$2)),"Fora dos ciclos",IF(OR(B470&lt;parametros!$C$2,(YEAR(B470)-YEAR(parametros!$C$2))*12+MONTH(B470)-MONTH(parametros!$C$2)&gt;59),"Fora dos ciclos","C"&amp;INT(((YEAR(B470)-YEAR(parametros!$C$2))*12+MONTH(B470)-MONTH(parametros!$C$2))/12)))))</f>
        <v/>
      </c>
      <c r="D470" s="394"/>
      <c r="E470" s="78" t="str">
        <f>IF(C470="","",IFERROR(VLOOKUP(C470,parametros!$A$11:$E$15,5,0),""))</f>
        <v/>
      </c>
      <c r="F470" s="79" t="str">
        <f t="shared" si="37"/>
        <v/>
      </c>
      <c r="G470" s="395"/>
      <c r="H470" s="91">
        <f t="shared" si="38"/>
        <v>0</v>
      </c>
      <c r="I470" s="91" t="str">
        <f t="shared" si="39"/>
        <v/>
      </c>
      <c r="J470" s="91" t="str">
        <f t="shared" si="40"/>
        <v/>
      </c>
      <c r="K470" s="92" t="str">
        <f>IF(AND(A470="",B470="",D470="",G470=""),"",IF(AND(A470&lt;&gt;"",COUNTIF($A$2:$A$5001,A470)&gt;1),"NUMERO_PC duplicado",IF(B470="","DATA_PC vazia",IF(NOT(ISNUMBER(B470)),"DATA_PC invalida",IF(OR(C470="",C470="Fora dos ciclos"),"CICLO_PC nao identificado",IF(OR(D470="",D470=0),"VALOR_PC vazio ou zero",IF(AND(G470&lt;&gt;"Sim",G470&lt;&gt;"Nao",G470&lt;&gt;""),"PC_PAGO_A_CONTRATADA invalido",IF(AND(C470&lt;&gt;"C0",IFERROR(INDEX(parametros!$A$2:$A$6,MATCH(C470,parametros!$B$2:$B$6,0)),"")="Sim",IFERROR(INDEX(parametros!$H$2:$H$6,MATCH(C470,parametros!$B$2:$B$6,0)),"")=""),"INICIO_EFEITO ausente: PC "&amp;A470&amp;" - "&amp;C470,IF(L470="","EFEITO_PC nao calculado: PC "&amp;A470&amp;" - "&amp;C470,"OK")))))))))</f>
        <v/>
      </c>
      <c r="L470" s="92" t="str">
        <f>IF(AND(A470="",B470="",D470="",G470=""),"",IF(OR(B470="",NOT(ISNUMBER(B470)),C470="",C470="Fora dos ciclos"),"",IF(C470="C0","Nao",IF(IFERROR(INDEX(parametros!$A$2:$A$6,MATCH(C470,parametros!$B$2:$B$6,0)),"")&lt;&gt;"Sim","Nao",IF(IFERROR(INDEX(parametros!$H$2:$H$6,MATCH(C470,parametros!$B$2:$B$6,0)),"")="","",IF(B470&gt;=IFERROR(INDEX(parametros!$H$2:$H$6,MATCH(C470,parametros!$B$2:$B$6,0)),""),"Sim","Nao"))))))</f>
        <v/>
      </c>
      <c r="T470" s="156"/>
      <c r="U470" s="214" t="str">
        <f t="shared" si="41"/>
        <v/>
      </c>
      <c r="V470" s="212" t="s">
        <v>50</v>
      </c>
      <c r="W470" s="100" t="s">
        <v>168</v>
      </c>
      <c r="X470" s="100" t="s">
        <v>169</v>
      </c>
      <c r="Y470" s="101" t="s">
        <v>170</v>
      </c>
      <c r="Z470" s="101" t="s">
        <v>171</v>
      </c>
      <c r="AA470" s="101" t="s">
        <v>50</v>
      </c>
      <c r="AB470" s="101" t="s">
        <v>172</v>
      </c>
      <c r="AC470" s="102" t="s">
        <v>173</v>
      </c>
    </row>
    <row r="471" spans="1:29" ht="25.5" customHeight="1" x14ac:dyDescent="0.35">
      <c r="A471" s="392"/>
      <c r="B471" s="393"/>
      <c r="C471" s="99" t="str">
        <f>IF(B471="","",IF(NOT(ISNUMBER(B471)),"DATA_PC invalida",IF(NOT(ISNUMBER(parametros!$C$2)),"Fora dos ciclos",IF(OR(B471&lt;parametros!$C$2,(YEAR(B471)-YEAR(parametros!$C$2))*12+MONTH(B471)-MONTH(parametros!$C$2)&gt;59),"Fora dos ciclos","C"&amp;INT(((YEAR(B471)-YEAR(parametros!$C$2))*12+MONTH(B471)-MONTH(parametros!$C$2))/12)))))</f>
        <v/>
      </c>
      <c r="D471" s="394"/>
      <c r="E471" s="78" t="str">
        <f>IF(C471="","",IFERROR(VLOOKUP(C471,parametros!$A$11:$E$15,5,0),""))</f>
        <v/>
      </c>
      <c r="F471" s="79" t="str">
        <f t="shared" si="37"/>
        <v/>
      </c>
      <c r="G471" s="395"/>
      <c r="H471" s="91">
        <f t="shared" si="38"/>
        <v>0</v>
      </c>
      <c r="I471" s="91" t="str">
        <f t="shared" si="39"/>
        <v/>
      </c>
      <c r="J471" s="91" t="str">
        <f t="shared" si="40"/>
        <v/>
      </c>
      <c r="K471" s="92" t="str">
        <f>IF(AND(A471="",B471="",D471="",G471=""),"",IF(AND(A471&lt;&gt;"",COUNTIF($A$2:$A$5001,A471)&gt;1),"NUMERO_PC duplicado",IF(B471="","DATA_PC vazia",IF(NOT(ISNUMBER(B471)),"DATA_PC invalida",IF(OR(C471="",C471="Fora dos ciclos"),"CICLO_PC nao identificado",IF(OR(D471="",D471=0),"VALOR_PC vazio ou zero",IF(AND(G471&lt;&gt;"Sim",G471&lt;&gt;"Nao",G471&lt;&gt;""),"PC_PAGO_A_CONTRATADA invalido",IF(AND(C471&lt;&gt;"C0",IFERROR(INDEX(parametros!$A$2:$A$6,MATCH(C471,parametros!$B$2:$B$6,0)),"")="Sim",IFERROR(INDEX(parametros!$H$2:$H$6,MATCH(C471,parametros!$B$2:$B$6,0)),"")=""),"INICIO_EFEITO ausente: PC "&amp;A471&amp;" - "&amp;C471,IF(L471="","EFEITO_PC nao calculado: PC "&amp;A471&amp;" - "&amp;C471,"OK")))))))))</f>
        <v/>
      </c>
      <c r="L471" s="92" t="str">
        <f>IF(AND(A471="",B471="",D471="",G471=""),"",IF(OR(B471="",NOT(ISNUMBER(B471)),C471="",C471="Fora dos ciclos"),"",IF(C471="C0","Nao",IF(IFERROR(INDEX(parametros!$A$2:$A$6,MATCH(C471,parametros!$B$2:$B$6,0)),"")&lt;&gt;"Sim","Nao",IF(IFERROR(INDEX(parametros!$H$2:$H$6,MATCH(C471,parametros!$B$2:$B$6,0)),"")="","",IF(B471&gt;=IFERROR(INDEX(parametros!$H$2:$H$6,MATCH(C471,parametros!$B$2:$B$6,0)),""),"Sim","Nao"))))))</f>
        <v/>
      </c>
      <c r="T471" s="156"/>
      <c r="U471" s="214" t="str">
        <f t="shared" si="41"/>
        <v/>
      </c>
      <c r="V471" s="212" t="s">
        <v>50</v>
      </c>
      <c r="W471" s="100" t="s">
        <v>168</v>
      </c>
      <c r="X471" s="100" t="s">
        <v>169</v>
      </c>
      <c r="Y471" s="101" t="s">
        <v>170</v>
      </c>
      <c r="Z471" s="101" t="s">
        <v>171</v>
      </c>
      <c r="AA471" s="101" t="s">
        <v>50</v>
      </c>
      <c r="AB471" s="101" t="s">
        <v>172</v>
      </c>
      <c r="AC471" s="102" t="s">
        <v>173</v>
      </c>
    </row>
    <row r="472" spans="1:29" ht="25.5" customHeight="1" x14ac:dyDescent="0.35">
      <c r="A472" s="392"/>
      <c r="B472" s="393"/>
      <c r="C472" s="99" t="str">
        <f>IF(B472="","",IF(NOT(ISNUMBER(B472)),"DATA_PC invalida",IF(NOT(ISNUMBER(parametros!$C$2)),"Fora dos ciclos",IF(OR(B472&lt;parametros!$C$2,(YEAR(B472)-YEAR(parametros!$C$2))*12+MONTH(B472)-MONTH(parametros!$C$2)&gt;59),"Fora dos ciclos","C"&amp;INT(((YEAR(B472)-YEAR(parametros!$C$2))*12+MONTH(B472)-MONTH(parametros!$C$2))/12)))))</f>
        <v/>
      </c>
      <c r="D472" s="394"/>
      <c r="E472" s="78" t="str">
        <f>IF(C472="","",IFERROR(VLOOKUP(C472,parametros!$A$11:$E$15,5,0),""))</f>
        <v/>
      </c>
      <c r="F472" s="79" t="str">
        <f t="shared" si="37"/>
        <v/>
      </c>
      <c r="G472" s="395"/>
      <c r="H472" s="91">
        <f t="shared" si="38"/>
        <v>0</v>
      </c>
      <c r="I472" s="91" t="str">
        <f t="shared" si="39"/>
        <v/>
      </c>
      <c r="J472" s="91" t="str">
        <f t="shared" si="40"/>
        <v/>
      </c>
      <c r="K472" s="92" t="str">
        <f>IF(AND(A472="",B472="",D472="",G472=""),"",IF(AND(A472&lt;&gt;"",COUNTIF($A$2:$A$5001,A472)&gt;1),"NUMERO_PC duplicado",IF(B472="","DATA_PC vazia",IF(NOT(ISNUMBER(B472)),"DATA_PC invalida",IF(OR(C472="",C472="Fora dos ciclos"),"CICLO_PC nao identificado",IF(OR(D472="",D472=0),"VALOR_PC vazio ou zero",IF(AND(G472&lt;&gt;"Sim",G472&lt;&gt;"Nao",G472&lt;&gt;""),"PC_PAGO_A_CONTRATADA invalido",IF(AND(C472&lt;&gt;"C0",IFERROR(INDEX(parametros!$A$2:$A$6,MATCH(C472,parametros!$B$2:$B$6,0)),"")="Sim",IFERROR(INDEX(parametros!$H$2:$H$6,MATCH(C472,parametros!$B$2:$B$6,0)),"")=""),"INICIO_EFEITO ausente: PC "&amp;A472&amp;" - "&amp;C472,IF(L472="","EFEITO_PC nao calculado: PC "&amp;A472&amp;" - "&amp;C472,"OK")))))))))</f>
        <v/>
      </c>
      <c r="L472" s="92" t="str">
        <f>IF(AND(A472="",B472="",D472="",G472=""),"",IF(OR(B472="",NOT(ISNUMBER(B472)),C472="",C472="Fora dos ciclos"),"",IF(C472="C0","Nao",IF(IFERROR(INDEX(parametros!$A$2:$A$6,MATCH(C472,parametros!$B$2:$B$6,0)),"")&lt;&gt;"Sim","Nao",IF(IFERROR(INDEX(parametros!$H$2:$H$6,MATCH(C472,parametros!$B$2:$B$6,0)),"")="","",IF(B472&gt;=IFERROR(INDEX(parametros!$H$2:$H$6,MATCH(C472,parametros!$B$2:$B$6,0)),""),"Sim","Nao"))))))</f>
        <v/>
      </c>
      <c r="T472" s="156"/>
      <c r="U472" s="214" t="str">
        <f t="shared" si="41"/>
        <v/>
      </c>
      <c r="V472" s="212" t="s">
        <v>50</v>
      </c>
      <c r="W472" s="100" t="s">
        <v>168</v>
      </c>
      <c r="X472" s="100" t="s">
        <v>169</v>
      </c>
      <c r="Y472" s="101" t="s">
        <v>170</v>
      </c>
      <c r="Z472" s="101" t="s">
        <v>171</v>
      </c>
      <c r="AA472" s="101" t="s">
        <v>50</v>
      </c>
      <c r="AB472" s="101" t="s">
        <v>172</v>
      </c>
      <c r="AC472" s="102" t="s">
        <v>173</v>
      </c>
    </row>
    <row r="473" spans="1:29" ht="25.5" customHeight="1" x14ac:dyDescent="0.35">
      <c r="A473" s="392"/>
      <c r="B473" s="393"/>
      <c r="C473" s="99" t="str">
        <f>IF(B473="","",IF(NOT(ISNUMBER(B473)),"DATA_PC invalida",IF(NOT(ISNUMBER(parametros!$C$2)),"Fora dos ciclos",IF(OR(B473&lt;parametros!$C$2,(YEAR(B473)-YEAR(parametros!$C$2))*12+MONTH(B473)-MONTH(parametros!$C$2)&gt;59),"Fora dos ciclos","C"&amp;INT(((YEAR(B473)-YEAR(parametros!$C$2))*12+MONTH(B473)-MONTH(parametros!$C$2))/12)))))</f>
        <v/>
      </c>
      <c r="D473" s="394"/>
      <c r="E473" s="78" t="str">
        <f>IF(C473="","",IFERROR(VLOOKUP(C473,parametros!$A$11:$E$15,5,0),""))</f>
        <v/>
      </c>
      <c r="F473" s="79" t="str">
        <f t="shared" si="37"/>
        <v/>
      </c>
      <c r="G473" s="395"/>
      <c r="H473" s="91">
        <f t="shared" si="38"/>
        <v>0</v>
      </c>
      <c r="I473" s="91" t="str">
        <f t="shared" si="39"/>
        <v/>
      </c>
      <c r="J473" s="91" t="str">
        <f t="shared" si="40"/>
        <v/>
      </c>
      <c r="K473" s="92" t="str">
        <f>IF(AND(A473="",B473="",D473="",G473=""),"",IF(AND(A473&lt;&gt;"",COUNTIF($A$2:$A$5001,A473)&gt;1),"NUMERO_PC duplicado",IF(B473="","DATA_PC vazia",IF(NOT(ISNUMBER(B473)),"DATA_PC invalida",IF(OR(C473="",C473="Fora dos ciclos"),"CICLO_PC nao identificado",IF(OR(D473="",D473=0),"VALOR_PC vazio ou zero",IF(AND(G473&lt;&gt;"Sim",G473&lt;&gt;"Nao",G473&lt;&gt;""),"PC_PAGO_A_CONTRATADA invalido",IF(AND(C473&lt;&gt;"C0",IFERROR(INDEX(parametros!$A$2:$A$6,MATCH(C473,parametros!$B$2:$B$6,0)),"")="Sim",IFERROR(INDEX(parametros!$H$2:$H$6,MATCH(C473,parametros!$B$2:$B$6,0)),"")=""),"INICIO_EFEITO ausente: PC "&amp;A473&amp;" - "&amp;C473,IF(L473="","EFEITO_PC nao calculado: PC "&amp;A473&amp;" - "&amp;C473,"OK")))))))))</f>
        <v/>
      </c>
      <c r="L473" s="92" t="str">
        <f>IF(AND(A473="",B473="",D473="",G473=""),"",IF(OR(B473="",NOT(ISNUMBER(B473)),C473="",C473="Fora dos ciclos"),"",IF(C473="C0","Nao",IF(IFERROR(INDEX(parametros!$A$2:$A$6,MATCH(C473,parametros!$B$2:$B$6,0)),"")&lt;&gt;"Sim","Nao",IF(IFERROR(INDEX(parametros!$H$2:$H$6,MATCH(C473,parametros!$B$2:$B$6,0)),"")="","",IF(B473&gt;=IFERROR(INDEX(parametros!$H$2:$H$6,MATCH(C473,parametros!$B$2:$B$6,0)),""),"Sim","Nao"))))))</f>
        <v/>
      </c>
      <c r="T473" s="156"/>
      <c r="U473" s="214" t="str">
        <f t="shared" si="41"/>
        <v/>
      </c>
      <c r="V473" s="212" t="s">
        <v>50</v>
      </c>
      <c r="W473" s="100" t="s">
        <v>168</v>
      </c>
      <c r="X473" s="100" t="s">
        <v>169</v>
      </c>
      <c r="Y473" s="101" t="s">
        <v>170</v>
      </c>
      <c r="Z473" s="101" t="s">
        <v>171</v>
      </c>
      <c r="AA473" s="101" t="s">
        <v>50</v>
      </c>
      <c r="AB473" s="101" t="s">
        <v>172</v>
      </c>
      <c r="AC473" s="102" t="s">
        <v>173</v>
      </c>
    </row>
    <row r="474" spans="1:29" ht="25.5" customHeight="1" x14ac:dyDescent="0.35">
      <c r="A474" s="392"/>
      <c r="B474" s="393"/>
      <c r="C474" s="99" t="str">
        <f>IF(B474="","",IF(NOT(ISNUMBER(B474)),"DATA_PC invalida",IF(NOT(ISNUMBER(parametros!$C$2)),"Fora dos ciclos",IF(OR(B474&lt;parametros!$C$2,(YEAR(B474)-YEAR(parametros!$C$2))*12+MONTH(B474)-MONTH(parametros!$C$2)&gt;59),"Fora dos ciclos","C"&amp;INT(((YEAR(B474)-YEAR(parametros!$C$2))*12+MONTH(B474)-MONTH(parametros!$C$2))/12)))))</f>
        <v/>
      </c>
      <c r="D474" s="394"/>
      <c r="E474" s="78" t="str">
        <f>IF(C474="","",IFERROR(VLOOKUP(C474,parametros!$A$11:$E$15,5,0),""))</f>
        <v/>
      </c>
      <c r="F474" s="79" t="str">
        <f t="shared" si="37"/>
        <v/>
      </c>
      <c r="G474" s="395"/>
      <c r="H474" s="91">
        <f t="shared" si="38"/>
        <v>0</v>
      </c>
      <c r="I474" s="91" t="str">
        <f t="shared" si="39"/>
        <v/>
      </c>
      <c r="J474" s="91" t="str">
        <f t="shared" si="40"/>
        <v/>
      </c>
      <c r="K474" s="92" t="str">
        <f>IF(AND(A474="",B474="",D474="",G474=""),"",IF(AND(A474&lt;&gt;"",COUNTIF($A$2:$A$5001,A474)&gt;1),"NUMERO_PC duplicado",IF(B474="","DATA_PC vazia",IF(NOT(ISNUMBER(B474)),"DATA_PC invalida",IF(OR(C474="",C474="Fora dos ciclos"),"CICLO_PC nao identificado",IF(OR(D474="",D474=0),"VALOR_PC vazio ou zero",IF(AND(G474&lt;&gt;"Sim",G474&lt;&gt;"Nao",G474&lt;&gt;""),"PC_PAGO_A_CONTRATADA invalido",IF(AND(C474&lt;&gt;"C0",IFERROR(INDEX(parametros!$A$2:$A$6,MATCH(C474,parametros!$B$2:$B$6,0)),"")="Sim",IFERROR(INDEX(parametros!$H$2:$H$6,MATCH(C474,parametros!$B$2:$B$6,0)),"")=""),"INICIO_EFEITO ausente: PC "&amp;A474&amp;" - "&amp;C474,IF(L474="","EFEITO_PC nao calculado: PC "&amp;A474&amp;" - "&amp;C474,"OK")))))))))</f>
        <v/>
      </c>
      <c r="L474" s="92" t="str">
        <f>IF(AND(A474="",B474="",D474="",G474=""),"",IF(OR(B474="",NOT(ISNUMBER(B474)),C474="",C474="Fora dos ciclos"),"",IF(C474="C0","Nao",IF(IFERROR(INDEX(parametros!$A$2:$A$6,MATCH(C474,parametros!$B$2:$B$6,0)),"")&lt;&gt;"Sim","Nao",IF(IFERROR(INDEX(parametros!$H$2:$H$6,MATCH(C474,parametros!$B$2:$B$6,0)),"")="","",IF(B474&gt;=IFERROR(INDEX(parametros!$H$2:$H$6,MATCH(C474,parametros!$B$2:$B$6,0)),""),"Sim","Nao"))))))</f>
        <v/>
      </c>
      <c r="T474" s="156"/>
      <c r="U474" s="214" t="str">
        <f t="shared" si="41"/>
        <v/>
      </c>
      <c r="V474" s="212" t="s">
        <v>50</v>
      </c>
      <c r="W474" s="100" t="s">
        <v>168</v>
      </c>
      <c r="X474" s="100" t="s">
        <v>169</v>
      </c>
      <c r="Y474" s="101" t="s">
        <v>170</v>
      </c>
      <c r="Z474" s="101" t="s">
        <v>171</v>
      </c>
      <c r="AA474" s="101" t="s">
        <v>50</v>
      </c>
      <c r="AB474" s="101" t="s">
        <v>172</v>
      </c>
      <c r="AC474" s="102" t="s">
        <v>173</v>
      </c>
    </row>
    <row r="475" spans="1:29" ht="25.5" customHeight="1" x14ac:dyDescent="0.35">
      <c r="A475" s="392"/>
      <c r="B475" s="393"/>
      <c r="C475" s="99" t="str">
        <f>IF(B475="","",IF(NOT(ISNUMBER(B475)),"DATA_PC invalida",IF(NOT(ISNUMBER(parametros!$C$2)),"Fora dos ciclos",IF(OR(B475&lt;parametros!$C$2,(YEAR(B475)-YEAR(parametros!$C$2))*12+MONTH(B475)-MONTH(parametros!$C$2)&gt;59),"Fora dos ciclos","C"&amp;INT(((YEAR(B475)-YEAR(parametros!$C$2))*12+MONTH(B475)-MONTH(parametros!$C$2))/12)))))</f>
        <v/>
      </c>
      <c r="D475" s="394"/>
      <c r="E475" s="78" t="str">
        <f>IF(C475="","",IFERROR(VLOOKUP(C475,parametros!$A$11:$E$15,5,0),""))</f>
        <v/>
      </c>
      <c r="F475" s="79" t="str">
        <f t="shared" si="37"/>
        <v/>
      </c>
      <c r="G475" s="395"/>
      <c r="H475" s="91">
        <f t="shared" si="38"/>
        <v>0</v>
      </c>
      <c r="I475" s="91" t="str">
        <f t="shared" si="39"/>
        <v/>
      </c>
      <c r="J475" s="91" t="str">
        <f t="shared" si="40"/>
        <v/>
      </c>
      <c r="K475" s="92" t="str">
        <f>IF(AND(A475="",B475="",D475="",G475=""),"",IF(AND(A475&lt;&gt;"",COUNTIF($A$2:$A$5001,A475)&gt;1),"NUMERO_PC duplicado",IF(B475="","DATA_PC vazia",IF(NOT(ISNUMBER(B475)),"DATA_PC invalida",IF(OR(C475="",C475="Fora dos ciclos"),"CICLO_PC nao identificado",IF(OR(D475="",D475=0),"VALOR_PC vazio ou zero",IF(AND(G475&lt;&gt;"Sim",G475&lt;&gt;"Nao",G475&lt;&gt;""),"PC_PAGO_A_CONTRATADA invalido",IF(AND(C475&lt;&gt;"C0",IFERROR(INDEX(parametros!$A$2:$A$6,MATCH(C475,parametros!$B$2:$B$6,0)),"")="Sim",IFERROR(INDEX(parametros!$H$2:$H$6,MATCH(C475,parametros!$B$2:$B$6,0)),"")=""),"INICIO_EFEITO ausente: PC "&amp;A475&amp;" - "&amp;C475,IF(L475="","EFEITO_PC nao calculado: PC "&amp;A475&amp;" - "&amp;C475,"OK")))))))))</f>
        <v/>
      </c>
      <c r="L475" s="92" t="str">
        <f>IF(AND(A475="",B475="",D475="",G475=""),"",IF(OR(B475="",NOT(ISNUMBER(B475)),C475="",C475="Fora dos ciclos"),"",IF(C475="C0","Nao",IF(IFERROR(INDEX(parametros!$A$2:$A$6,MATCH(C475,parametros!$B$2:$B$6,0)),"")&lt;&gt;"Sim","Nao",IF(IFERROR(INDEX(parametros!$H$2:$H$6,MATCH(C475,parametros!$B$2:$B$6,0)),"")="","",IF(B475&gt;=IFERROR(INDEX(parametros!$H$2:$H$6,MATCH(C475,parametros!$B$2:$B$6,0)),""),"Sim","Nao"))))))</f>
        <v/>
      </c>
      <c r="T475" s="156"/>
      <c r="U475" s="214" t="str">
        <f t="shared" si="41"/>
        <v/>
      </c>
      <c r="V475" s="212" t="s">
        <v>50</v>
      </c>
      <c r="W475" s="100" t="s">
        <v>168</v>
      </c>
      <c r="X475" s="100" t="s">
        <v>169</v>
      </c>
      <c r="Y475" s="101" t="s">
        <v>170</v>
      </c>
      <c r="Z475" s="101" t="s">
        <v>171</v>
      </c>
      <c r="AA475" s="101" t="s">
        <v>50</v>
      </c>
      <c r="AB475" s="101" t="s">
        <v>172</v>
      </c>
      <c r="AC475" s="102" t="s">
        <v>173</v>
      </c>
    </row>
    <row r="476" spans="1:29" ht="25.5" customHeight="1" x14ac:dyDescent="0.35">
      <c r="A476" s="392"/>
      <c r="B476" s="393"/>
      <c r="C476" s="99" t="str">
        <f>IF(B476="","",IF(NOT(ISNUMBER(B476)),"DATA_PC invalida",IF(NOT(ISNUMBER(parametros!$C$2)),"Fora dos ciclos",IF(OR(B476&lt;parametros!$C$2,(YEAR(B476)-YEAR(parametros!$C$2))*12+MONTH(B476)-MONTH(parametros!$C$2)&gt;59),"Fora dos ciclos","C"&amp;INT(((YEAR(B476)-YEAR(parametros!$C$2))*12+MONTH(B476)-MONTH(parametros!$C$2))/12)))))</f>
        <v/>
      </c>
      <c r="D476" s="394"/>
      <c r="E476" s="78" t="str">
        <f>IF(C476="","",IFERROR(VLOOKUP(C476,parametros!$A$11:$E$15,5,0),""))</f>
        <v/>
      </c>
      <c r="F476" s="79" t="str">
        <f t="shared" si="37"/>
        <v/>
      </c>
      <c r="G476" s="395"/>
      <c r="H476" s="91">
        <f t="shared" si="38"/>
        <v>0</v>
      </c>
      <c r="I476" s="91" t="str">
        <f t="shared" si="39"/>
        <v/>
      </c>
      <c r="J476" s="91" t="str">
        <f t="shared" si="40"/>
        <v/>
      </c>
      <c r="K476" s="92" t="str">
        <f>IF(AND(A476="",B476="",D476="",G476=""),"",IF(AND(A476&lt;&gt;"",COUNTIF($A$2:$A$5001,A476)&gt;1),"NUMERO_PC duplicado",IF(B476="","DATA_PC vazia",IF(NOT(ISNUMBER(B476)),"DATA_PC invalida",IF(OR(C476="",C476="Fora dos ciclos"),"CICLO_PC nao identificado",IF(OR(D476="",D476=0),"VALOR_PC vazio ou zero",IF(AND(G476&lt;&gt;"Sim",G476&lt;&gt;"Nao",G476&lt;&gt;""),"PC_PAGO_A_CONTRATADA invalido",IF(AND(C476&lt;&gt;"C0",IFERROR(INDEX(parametros!$A$2:$A$6,MATCH(C476,parametros!$B$2:$B$6,0)),"")="Sim",IFERROR(INDEX(parametros!$H$2:$H$6,MATCH(C476,parametros!$B$2:$B$6,0)),"")=""),"INICIO_EFEITO ausente: PC "&amp;A476&amp;" - "&amp;C476,IF(L476="","EFEITO_PC nao calculado: PC "&amp;A476&amp;" - "&amp;C476,"OK")))))))))</f>
        <v/>
      </c>
      <c r="L476" s="92" t="str">
        <f>IF(AND(A476="",B476="",D476="",G476=""),"",IF(OR(B476="",NOT(ISNUMBER(B476)),C476="",C476="Fora dos ciclos"),"",IF(C476="C0","Nao",IF(IFERROR(INDEX(parametros!$A$2:$A$6,MATCH(C476,parametros!$B$2:$B$6,0)),"")&lt;&gt;"Sim","Nao",IF(IFERROR(INDEX(parametros!$H$2:$H$6,MATCH(C476,parametros!$B$2:$B$6,0)),"")="","",IF(B476&gt;=IFERROR(INDEX(parametros!$H$2:$H$6,MATCH(C476,parametros!$B$2:$B$6,0)),""),"Sim","Nao"))))))</f>
        <v/>
      </c>
      <c r="T476" s="156"/>
      <c r="U476" s="214" t="str">
        <f t="shared" si="41"/>
        <v/>
      </c>
      <c r="V476" s="212" t="s">
        <v>50</v>
      </c>
      <c r="W476" s="100" t="s">
        <v>168</v>
      </c>
      <c r="X476" s="100" t="s">
        <v>169</v>
      </c>
      <c r="Y476" s="101" t="s">
        <v>170</v>
      </c>
      <c r="Z476" s="101" t="s">
        <v>171</v>
      </c>
      <c r="AA476" s="101" t="s">
        <v>50</v>
      </c>
      <c r="AB476" s="101" t="s">
        <v>172</v>
      </c>
      <c r="AC476" s="102" t="s">
        <v>173</v>
      </c>
    </row>
    <row r="477" spans="1:29" ht="25.5" customHeight="1" x14ac:dyDescent="0.35">
      <c r="A477" s="392"/>
      <c r="B477" s="393"/>
      <c r="C477" s="99" t="str">
        <f>IF(B477="","",IF(NOT(ISNUMBER(B477)),"DATA_PC invalida",IF(NOT(ISNUMBER(parametros!$C$2)),"Fora dos ciclos",IF(OR(B477&lt;parametros!$C$2,(YEAR(B477)-YEAR(parametros!$C$2))*12+MONTH(B477)-MONTH(parametros!$C$2)&gt;59),"Fora dos ciclos","C"&amp;INT(((YEAR(B477)-YEAR(parametros!$C$2))*12+MONTH(B477)-MONTH(parametros!$C$2))/12)))))</f>
        <v/>
      </c>
      <c r="D477" s="394"/>
      <c r="E477" s="78" t="str">
        <f>IF(C477="","",IFERROR(VLOOKUP(C477,parametros!$A$11:$E$15,5,0),""))</f>
        <v/>
      </c>
      <c r="F477" s="79" t="str">
        <f t="shared" si="37"/>
        <v/>
      </c>
      <c r="G477" s="395"/>
      <c r="H477" s="91">
        <f t="shared" si="38"/>
        <v>0</v>
      </c>
      <c r="I477" s="91" t="str">
        <f t="shared" si="39"/>
        <v/>
      </c>
      <c r="J477" s="91" t="str">
        <f t="shared" si="40"/>
        <v/>
      </c>
      <c r="K477" s="92" t="str">
        <f>IF(AND(A477="",B477="",D477="",G477=""),"",IF(AND(A477&lt;&gt;"",COUNTIF($A$2:$A$5001,A477)&gt;1),"NUMERO_PC duplicado",IF(B477="","DATA_PC vazia",IF(NOT(ISNUMBER(B477)),"DATA_PC invalida",IF(OR(C477="",C477="Fora dos ciclos"),"CICLO_PC nao identificado",IF(OR(D477="",D477=0),"VALOR_PC vazio ou zero",IF(AND(G477&lt;&gt;"Sim",G477&lt;&gt;"Nao",G477&lt;&gt;""),"PC_PAGO_A_CONTRATADA invalido",IF(AND(C477&lt;&gt;"C0",IFERROR(INDEX(parametros!$A$2:$A$6,MATCH(C477,parametros!$B$2:$B$6,0)),"")="Sim",IFERROR(INDEX(parametros!$H$2:$H$6,MATCH(C477,parametros!$B$2:$B$6,0)),"")=""),"INICIO_EFEITO ausente: PC "&amp;A477&amp;" - "&amp;C477,IF(L477="","EFEITO_PC nao calculado: PC "&amp;A477&amp;" - "&amp;C477,"OK")))))))))</f>
        <v/>
      </c>
      <c r="L477" s="92" t="str">
        <f>IF(AND(A477="",B477="",D477="",G477=""),"",IF(OR(B477="",NOT(ISNUMBER(B477)),C477="",C477="Fora dos ciclos"),"",IF(C477="C0","Nao",IF(IFERROR(INDEX(parametros!$A$2:$A$6,MATCH(C477,parametros!$B$2:$B$6,0)),"")&lt;&gt;"Sim","Nao",IF(IFERROR(INDEX(parametros!$H$2:$H$6,MATCH(C477,parametros!$B$2:$B$6,0)),"")="","",IF(B477&gt;=IFERROR(INDEX(parametros!$H$2:$H$6,MATCH(C477,parametros!$B$2:$B$6,0)),""),"Sim","Nao"))))))</f>
        <v/>
      </c>
      <c r="T477" s="156"/>
      <c r="U477" s="214" t="str">
        <f t="shared" si="41"/>
        <v/>
      </c>
      <c r="V477" s="212" t="s">
        <v>50</v>
      </c>
      <c r="W477" s="100" t="s">
        <v>168</v>
      </c>
      <c r="X477" s="100" t="s">
        <v>169</v>
      </c>
      <c r="Y477" s="101" t="s">
        <v>170</v>
      </c>
      <c r="Z477" s="101" t="s">
        <v>171</v>
      </c>
      <c r="AA477" s="101" t="s">
        <v>50</v>
      </c>
      <c r="AB477" s="101" t="s">
        <v>172</v>
      </c>
      <c r="AC477" s="102" t="s">
        <v>173</v>
      </c>
    </row>
    <row r="478" spans="1:29" ht="25.5" customHeight="1" x14ac:dyDescent="0.35">
      <c r="A478" s="392"/>
      <c r="B478" s="393"/>
      <c r="C478" s="99" t="str">
        <f>IF(B478="","",IF(NOT(ISNUMBER(B478)),"DATA_PC invalida",IF(NOT(ISNUMBER(parametros!$C$2)),"Fora dos ciclos",IF(OR(B478&lt;parametros!$C$2,(YEAR(B478)-YEAR(parametros!$C$2))*12+MONTH(B478)-MONTH(parametros!$C$2)&gt;59),"Fora dos ciclos","C"&amp;INT(((YEAR(B478)-YEAR(parametros!$C$2))*12+MONTH(B478)-MONTH(parametros!$C$2))/12)))))</f>
        <v/>
      </c>
      <c r="D478" s="394"/>
      <c r="E478" s="78" t="str">
        <f>IF(C478="","",IFERROR(VLOOKUP(C478,parametros!$A$11:$E$15,5,0),""))</f>
        <v/>
      </c>
      <c r="F478" s="79" t="str">
        <f t="shared" si="37"/>
        <v/>
      </c>
      <c r="G478" s="395"/>
      <c r="H478" s="91">
        <f t="shared" si="38"/>
        <v>0</v>
      </c>
      <c r="I478" s="91" t="str">
        <f t="shared" si="39"/>
        <v/>
      </c>
      <c r="J478" s="91" t="str">
        <f t="shared" si="40"/>
        <v/>
      </c>
      <c r="K478" s="92" t="str">
        <f>IF(AND(A478="",B478="",D478="",G478=""),"",IF(AND(A478&lt;&gt;"",COUNTIF($A$2:$A$5001,A478)&gt;1),"NUMERO_PC duplicado",IF(B478="","DATA_PC vazia",IF(NOT(ISNUMBER(B478)),"DATA_PC invalida",IF(OR(C478="",C478="Fora dos ciclos"),"CICLO_PC nao identificado",IF(OR(D478="",D478=0),"VALOR_PC vazio ou zero",IF(AND(G478&lt;&gt;"Sim",G478&lt;&gt;"Nao",G478&lt;&gt;""),"PC_PAGO_A_CONTRATADA invalido",IF(AND(C478&lt;&gt;"C0",IFERROR(INDEX(parametros!$A$2:$A$6,MATCH(C478,parametros!$B$2:$B$6,0)),"")="Sim",IFERROR(INDEX(parametros!$H$2:$H$6,MATCH(C478,parametros!$B$2:$B$6,0)),"")=""),"INICIO_EFEITO ausente: PC "&amp;A478&amp;" - "&amp;C478,IF(L478="","EFEITO_PC nao calculado: PC "&amp;A478&amp;" - "&amp;C478,"OK")))))))))</f>
        <v/>
      </c>
      <c r="L478" s="92" t="str">
        <f>IF(AND(A478="",B478="",D478="",G478=""),"",IF(OR(B478="",NOT(ISNUMBER(B478)),C478="",C478="Fora dos ciclos"),"",IF(C478="C0","Nao",IF(IFERROR(INDEX(parametros!$A$2:$A$6,MATCH(C478,parametros!$B$2:$B$6,0)),"")&lt;&gt;"Sim","Nao",IF(IFERROR(INDEX(parametros!$H$2:$H$6,MATCH(C478,parametros!$B$2:$B$6,0)),"")="","",IF(B478&gt;=IFERROR(INDEX(parametros!$H$2:$H$6,MATCH(C478,parametros!$B$2:$B$6,0)),""),"Sim","Nao"))))))</f>
        <v/>
      </c>
      <c r="T478" s="156"/>
      <c r="U478" s="214" t="str">
        <f t="shared" si="41"/>
        <v/>
      </c>
      <c r="V478" s="212" t="s">
        <v>50</v>
      </c>
      <c r="W478" s="100" t="s">
        <v>168</v>
      </c>
      <c r="X478" s="100" t="s">
        <v>169</v>
      </c>
      <c r="Y478" s="101" t="s">
        <v>170</v>
      </c>
      <c r="Z478" s="101" t="s">
        <v>171</v>
      </c>
      <c r="AA478" s="101" t="s">
        <v>50</v>
      </c>
      <c r="AB478" s="101" t="s">
        <v>172</v>
      </c>
      <c r="AC478" s="102" t="s">
        <v>173</v>
      </c>
    </row>
    <row r="479" spans="1:29" ht="25.5" customHeight="1" x14ac:dyDescent="0.35">
      <c r="A479" s="392"/>
      <c r="B479" s="393"/>
      <c r="C479" s="99" t="str">
        <f>IF(B479="","",IF(NOT(ISNUMBER(B479)),"DATA_PC invalida",IF(NOT(ISNUMBER(parametros!$C$2)),"Fora dos ciclos",IF(OR(B479&lt;parametros!$C$2,(YEAR(B479)-YEAR(parametros!$C$2))*12+MONTH(B479)-MONTH(parametros!$C$2)&gt;59),"Fora dos ciclos","C"&amp;INT(((YEAR(B479)-YEAR(parametros!$C$2))*12+MONTH(B479)-MONTH(parametros!$C$2))/12)))))</f>
        <v/>
      </c>
      <c r="D479" s="394"/>
      <c r="E479" s="78" t="str">
        <f>IF(C479="","",IFERROR(VLOOKUP(C479,parametros!$A$11:$E$15,5,0),""))</f>
        <v/>
      </c>
      <c r="F479" s="79" t="str">
        <f t="shared" si="37"/>
        <v/>
      </c>
      <c r="G479" s="395"/>
      <c r="H479" s="91">
        <f t="shared" si="38"/>
        <v>0</v>
      </c>
      <c r="I479" s="91" t="str">
        <f t="shared" si="39"/>
        <v/>
      </c>
      <c r="J479" s="91" t="str">
        <f t="shared" si="40"/>
        <v/>
      </c>
      <c r="K479" s="92" t="str">
        <f>IF(AND(A479="",B479="",D479="",G479=""),"",IF(AND(A479&lt;&gt;"",COUNTIF($A$2:$A$5001,A479)&gt;1),"NUMERO_PC duplicado",IF(B479="","DATA_PC vazia",IF(NOT(ISNUMBER(B479)),"DATA_PC invalida",IF(OR(C479="",C479="Fora dos ciclos"),"CICLO_PC nao identificado",IF(OR(D479="",D479=0),"VALOR_PC vazio ou zero",IF(AND(G479&lt;&gt;"Sim",G479&lt;&gt;"Nao",G479&lt;&gt;""),"PC_PAGO_A_CONTRATADA invalido",IF(AND(C479&lt;&gt;"C0",IFERROR(INDEX(parametros!$A$2:$A$6,MATCH(C479,parametros!$B$2:$B$6,0)),"")="Sim",IFERROR(INDEX(parametros!$H$2:$H$6,MATCH(C479,parametros!$B$2:$B$6,0)),"")=""),"INICIO_EFEITO ausente: PC "&amp;A479&amp;" - "&amp;C479,IF(L479="","EFEITO_PC nao calculado: PC "&amp;A479&amp;" - "&amp;C479,"OK")))))))))</f>
        <v/>
      </c>
      <c r="L479" s="92" t="str">
        <f>IF(AND(A479="",B479="",D479="",G479=""),"",IF(OR(B479="",NOT(ISNUMBER(B479)),C479="",C479="Fora dos ciclos"),"",IF(C479="C0","Nao",IF(IFERROR(INDEX(parametros!$A$2:$A$6,MATCH(C479,parametros!$B$2:$B$6,0)),"")&lt;&gt;"Sim","Nao",IF(IFERROR(INDEX(parametros!$H$2:$H$6,MATCH(C479,parametros!$B$2:$B$6,0)),"")="","",IF(B479&gt;=IFERROR(INDEX(parametros!$H$2:$H$6,MATCH(C479,parametros!$B$2:$B$6,0)),""),"Sim","Nao"))))))</f>
        <v/>
      </c>
      <c r="T479" s="156"/>
      <c r="U479" s="214" t="str">
        <f t="shared" si="41"/>
        <v/>
      </c>
      <c r="V479" s="212" t="s">
        <v>50</v>
      </c>
      <c r="W479" s="100" t="s">
        <v>168</v>
      </c>
      <c r="X479" s="100" t="s">
        <v>169</v>
      </c>
      <c r="Y479" s="101" t="s">
        <v>170</v>
      </c>
      <c r="Z479" s="101" t="s">
        <v>171</v>
      </c>
      <c r="AA479" s="101" t="s">
        <v>50</v>
      </c>
      <c r="AB479" s="101" t="s">
        <v>172</v>
      </c>
      <c r="AC479" s="102" t="s">
        <v>173</v>
      </c>
    </row>
    <row r="480" spans="1:29" ht="25.5" customHeight="1" x14ac:dyDescent="0.35">
      <c r="A480" s="392"/>
      <c r="B480" s="393"/>
      <c r="C480" s="99" t="str">
        <f>IF(B480="","",IF(NOT(ISNUMBER(B480)),"DATA_PC invalida",IF(NOT(ISNUMBER(parametros!$C$2)),"Fora dos ciclos",IF(OR(B480&lt;parametros!$C$2,(YEAR(B480)-YEAR(parametros!$C$2))*12+MONTH(B480)-MONTH(parametros!$C$2)&gt;59),"Fora dos ciclos","C"&amp;INT(((YEAR(B480)-YEAR(parametros!$C$2))*12+MONTH(B480)-MONTH(parametros!$C$2))/12)))))</f>
        <v/>
      </c>
      <c r="D480" s="394"/>
      <c r="E480" s="78" t="str">
        <f>IF(C480="","",IFERROR(VLOOKUP(C480,parametros!$A$11:$E$15,5,0),""))</f>
        <v/>
      </c>
      <c r="F480" s="79" t="str">
        <f t="shared" si="37"/>
        <v/>
      </c>
      <c r="G480" s="395"/>
      <c r="H480" s="91">
        <f t="shared" si="38"/>
        <v>0</v>
      </c>
      <c r="I480" s="91" t="str">
        <f t="shared" si="39"/>
        <v/>
      </c>
      <c r="J480" s="91" t="str">
        <f t="shared" si="40"/>
        <v/>
      </c>
      <c r="K480" s="92" t="str">
        <f>IF(AND(A480="",B480="",D480="",G480=""),"",IF(AND(A480&lt;&gt;"",COUNTIF($A$2:$A$5001,A480)&gt;1),"NUMERO_PC duplicado",IF(B480="","DATA_PC vazia",IF(NOT(ISNUMBER(B480)),"DATA_PC invalida",IF(OR(C480="",C480="Fora dos ciclos"),"CICLO_PC nao identificado",IF(OR(D480="",D480=0),"VALOR_PC vazio ou zero",IF(AND(G480&lt;&gt;"Sim",G480&lt;&gt;"Nao",G480&lt;&gt;""),"PC_PAGO_A_CONTRATADA invalido",IF(AND(C480&lt;&gt;"C0",IFERROR(INDEX(parametros!$A$2:$A$6,MATCH(C480,parametros!$B$2:$B$6,0)),"")="Sim",IFERROR(INDEX(parametros!$H$2:$H$6,MATCH(C480,parametros!$B$2:$B$6,0)),"")=""),"INICIO_EFEITO ausente: PC "&amp;A480&amp;" - "&amp;C480,IF(L480="","EFEITO_PC nao calculado: PC "&amp;A480&amp;" - "&amp;C480,"OK")))))))))</f>
        <v/>
      </c>
      <c r="L480" s="92" t="str">
        <f>IF(AND(A480="",B480="",D480="",G480=""),"",IF(OR(B480="",NOT(ISNUMBER(B480)),C480="",C480="Fora dos ciclos"),"",IF(C480="C0","Nao",IF(IFERROR(INDEX(parametros!$A$2:$A$6,MATCH(C480,parametros!$B$2:$B$6,0)),"")&lt;&gt;"Sim","Nao",IF(IFERROR(INDEX(parametros!$H$2:$H$6,MATCH(C480,parametros!$B$2:$B$6,0)),"")="","",IF(B480&gt;=IFERROR(INDEX(parametros!$H$2:$H$6,MATCH(C480,parametros!$B$2:$B$6,0)),""),"Sim","Nao"))))))</f>
        <v/>
      </c>
      <c r="T480" s="156"/>
      <c r="U480" s="214" t="str">
        <f t="shared" si="41"/>
        <v/>
      </c>
      <c r="V480" s="212" t="s">
        <v>50</v>
      </c>
      <c r="W480" s="100" t="s">
        <v>168</v>
      </c>
      <c r="X480" s="100" t="s">
        <v>169</v>
      </c>
      <c r="Y480" s="101" t="s">
        <v>170</v>
      </c>
      <c r="Z480" s="101" t="s">
        <v>171</v>
      </c>
      <c r="AA480" s="101" t="s">
        <v>50</v>
      </c>
      <c r="AB480" s="101" t="s">
        <v>172</v>
      </c>
      <c r="AC480" s="102" t="s">
        <v>173</v>
      </c>
    </row>
    <row r="481" spans="1:29" ht="25.5" customHeight="1" x14ac:dyDescent="0.35">
      <c r="A481" s="392"/>
      <c r="B481" s="393"/>
      <c r="C481" s="99" t="str">
        <f>IF(B481="","",IF(NOT(ISNUMBER(B481)),"DATA_PC invalida",IF(NOT(ISNUMBER(parametros!$C$2)),"Fora dos ciclos",IF(OR(B481&lt;parametros!$C$2,(YEAR(B481)-YEAR(parametros!$C$2))*12+MONTH(B481)-MONTH(parametros!$C$2)&gt;59),"Fora dos ciclos","C"&amp;INT(((YEAR(B481)-YEAR(parametros!$C$2))*12+MONTH(B481)-MONTH(parametros!$C$2))/12)))))</f>
        <v/>
      </c>
      <c r="D481" s="394"/>
      <c r="E481" s="78" t="str">
        <f>IF(C481="","",IFERROR(VLOOKUP(C481,parametros!$A$11:$E$15,5,0),""))</f>
        <v/>
      </c>
      <c r="F481" s="79" t="str">
        <f t="shared" si="37"/>
        <v/>
      </c>
      <c r="G481" s="395"/>
      <c r="H481" s="91">
        <f t="shared" si="38"/>
        <v>0</v>
      </c>
      <c r="I481" s="91" t="str">
        <f t="shared" si="39"/>
        <v/>
      </c>
      <c r="J481" s="91" t="str">
        <f t="shared" si="40"/>
        <v/>
      </c>
      <c r="K481" s="92" t="str">
        <f>IF(AND(A481="",B481="",D481="",G481=""),"",IF(AND(A481&lt;&gt;"",COUNTIF($A$2:$A$5001,A481)&gt;1),"NUMERO_PC duplicado",IF(B481="","DATA_PC vazia",IF(NOT(ISNUMBER(B481)),"DATA_PC invalida",IF(OR(C481="",C481="Fora dos ciclos"),"CICLO_PC nao identificado",IF(OR(D481="",D481=0),"VALOR_PC vazio ou zero",IF(AND(G481&lt;&gt;"Sim",G481&lt;&gt;"Nao",G481&lt;&gt;""),"PC_PAGO_A_CONTRATADA invalido",IF(AND(C481&lt;&gt;"C0",IFERROR(INDEX(parametros!$A$2:$A$6,MATCH(C481,parametros!$B$2:$B$6,0)),"")="Sim",IFERROR(INDEX(parametros!$H$2:$H$6,MATCH(C481,parametros!$B$2:$B$6,0)),"")=""),"INICIO_EFEITO ausente: PC "&amp;A481&amp;" - "&amp;C481,IF(L481="","EFEITO_PC nao calculado: PC "&amp;A481&amp;" - "&amp;C481,"OK")))))))))</f>
        <v/>
      </c>
      <c r="L481" s="92" t="str">
        <f>IF(AND(A481="",B481="",D481="",G481=""),"",IF(OR(B481="",NOT(ISNUMBER(B481)),C481="",C481="Fora dos ciclos"),"",IF(C481="C0","Nao",IF(IFERROR(INDEX(parametros!$A$2:$A$6,MATCH(C481,parametros!$B$2:$B$6,0)),"")&lt;&gt;"Sim","Nao",IF(IFERROR(INDEX(parametros!$H$2:$H$6,MATCH(C481,parametros!$B$2:$B$6,0)),"")="","",IF(B481&gt;=IFERROR(INDEX(parametros!$H$2:$H$6,MATCH(C481,parametros!$B$2:$B$6,0)),""),"Sim","Nao"))))))</f>
        <v/>
      </c>
      <c r="T481" s="156"/>
      <c r="U481" s="214" t="str">
        <f t="shared" si="41"/>
        <v/>
      </c>
      <c r="V481" s="212" t="s">
        <v>50</v>
      </c>
      <c r="W481" s="100" t="s">
        <v>168</v>
      </c>
      <c r="X481" s="100" t="s">
        <v>169</v>
      </c>
      <c r="Y481" s="101" t="s">
        <v>170</v>
      </c>
      <c r="Z481" s="101" t="s">
        <v>171</v>
      </c>
      <c r="AA481" s="101" t="s">
        <v>50</v>
      </c>
      <c r="AB481" s="101" t="s">
        <v>172</v>
      </c>
      <c r="AC481" s="102" t="s">
        <v>173</v>
      </c>
    </row>
    <row r="482" spans="1:29" ht="25.5" customHeight="1" x14ac:dyDescent="0.35">
      <c r="A482" s="392"/>
      <c r="B482" s="393"/>
      <c r="C482" s="99" t="str">
        <f>IF(B482="","",IF(NOT(ISNUMBER(B482)),"DATA_PC invalida",IF(NOT(ISNUMBER(parametros!$C$2)),"Fora dos ciclos",IF(OR(B482&lt;parametros!$C$2,(YEAR(B482)-YEAR(parametros!$C$2))*12+MONTH(B482)-MONTH(parametros!$C$2)&gt;59),"Fora dos ciclos","C"&amp;INT(((YEAR(B482)-YEAR(parametros!$C$2))*12+MONTH(B482)-MONTH(parametros!$C$2))/12)))))</f>
        <v/>
      </c>
      <c r="D482" s="394"/>
      <c r="E482" s="78" t="str">
        <f>IF(C482="","",IFERROR(VLOOKUP(C482,parametros!$A$11:$E$15,5,0),""))</f>
        <v/>
      </c>
      <c r="F482" s="79" t="str">
        <f t="shared" si="37"/>
        <v/>
      </c>
      <c r="G482" s="395"/>
      <c r="H482" s="91">
        <f t="shared" si="38"/>
        <v>0</v>
      </c>
      <c r="I482" s="91" t="str">
        <f t="shared" si="39"/>
        <v/>
      </c>
      <c r="J482" s="91" t="str">
        <f t="shared" si="40"/>
        <v/>
      </c>
      <c r="K482" s="92" t="str">
        <f>IF(AND(A482="",B482="",D482="",G482=""),"",IF(AND(A482&lt;&gt;"",COUNTIF($A$2:$A$5001,A482)&gt;1),"NUMERO_PC duplicado",IF(B482="","DATA_PC vazia",IF(NOT(ISNUMBER(B482)),"DATA_PC invalida",IF(OR(C482="",C482="Fora dos ciclos"),"CICLO_PC nao identificado",IF(OR(D482="",D482=0),"VALOR_PC vazio ou zero",IF(AND(G482&lt;&gt;"Sim",G482&lt;&gt;"Nao",G482&lt;&gt;""),"PC_PAGO_A_CONTRATADA invalido",IF(AND(C482&lt;&gt;"C0",IFERROR(INDEX(parametros!$A$2:$A$6,MATCH(C482,parametros!$B$2:$B$6,0)),"")="Sim",IFERROR(INDEX(parametros!$H$2:$H$6,MATCH(C482,parametros!$B$2:$B$6,0)),"")=""),"INICIO_EFEITO ausente: PC "&amp;A482&amp;" - "&amp;C482,IF(L482="","EFEITO_PC nao calculado: PC "&amp;A482&amp;" - "&amp;C482,"OK")))))))))</f>
        <v/>
      </c>
      <c r="L482" s="92" t="str">
        <f>IF(AND(A482="",B482="",D482="",G482=""),"",IF(OR(B482="",NOT(ISNUMBER(B482)),C482="",C482="Fora dos ciclos"),"",IF(C482="C0","Nao",IF(IFERROR(INDEX(parametros!$A$2:$A$6,MATCH(C482,parametros!$B$2:$B$6,0)),"")&lt;&gt;"Sim","Nao",IF(IFERROR(INDEX(parametros!$H$2:$H$6,MATCH(C482,parametros!$B$2:$B$6,0)),"")="","",IF(B482&gt;=IFERROR(INDEX(parametros!$H$2:$H$6,MATCH(C482,parametros!$B$2:$B$6,0)),""),"Sim","Nao"))))))</f>
        <v/>
      </c>
      <c r="T482" s="156"/>
      <c r="U482" s="214" t="str">
        <f t="shared" si="41"/>
        <v/>
      </c>
      <c r="V482" s="212" t="s">
        <v>50</v>
      </c>
      <c r="W482" s="100" t="s">
        <v>168</v>
      </c>
      <c r="X482" s="100" t="s">
        <v>169</v>
      </c>
      <c r="Y482" s="101" t="s">
        <v>170</v>
      </c>
      <c r="Z482" s="101" t="s">
        <v>171</v>
      </c>
      <c r="AA482" s="101" t="s">
        <v>50</v>
      </c>
      <c r="AB482" s="101" t="s">
        <v>172</v>
      </c>
      <c r="AC482" s="102" t="s">
        <v>173</v>
      </c>
    </row>
    <row r="483" spans="1:29" ht="25.5" customHeight="1" x14ac:dyDescent="0.35">
      <c r="A483" s="392"/>
      <c r="B483" s="393"/>
      <c r="C483" s="99" t="str">
        <f>IF(B483="","",IF(NOT(ISNUMBER(B483)),"DATA_PC invalida",IF(NOT(ISNUMBER(parametros!$C$2)),"Fora dos ciclos",IF(OR(B483&lt;parametros!$C$2,(YEAR(B483)-YEAR(parametros!$C$2))*12+MONTH(B483)-MONTH(parametros!$C$2)&gt;59),"Fora dos ciclos","C"&amp;INT(((YEAR(B483)-YEAR(parametros!$C$2))*12+MONTH(B483)-MONTH(parametros!$C$2))/12)))))</f>
        <v/>
      </c>
      <c r="D483" s="394"/>
      <c r="E483" s="78" t="str">
        <f>IF(C483="","",IFERROR(VLOOKUP(C483,parametros!$A$11:$E$15,5,0),""))</f>
        <v/>
      </c>
      <c r="F483" s="79" t="str">
        <f t="shared" si="37"/>
        <v/>
      </c>
      <c r="G483" s="395"/>
      <c r="H483" s="91">
        <f t="shared" si="38"/>
        <v>0</v>
      </c>
      <c r="I483" s="91" t="str">
        <f t="shared" si="39"/>
        <v/>
      </c>
      <c r="J483" s="91" t="str">
        <f t="shared" si="40"/>
        <v/>
      </c>
      <c r="K483" s="92" t="str">
        <f>IF(AND(A483="",B483="",D483="",G483=""),"",IF(AND(A483&lt;&gt;"",COUNTIF($A$2:$A$5001,A483)&gt;1),"NUMERO_PC duplicado",IF(B483="","DATA_PC vazia",IF(NOT(ISNUMBER(B483)),"DATA_PC invalida",IF(OR(C483="",C483="Fora dos ciclos"),"CICLO_PC nao identificado",IF(OR(D483="",D483=0),"VALOR_PC vazio ou zero",IF(AND(G483&lt;&gt;"Sim",G483&lt;&gt;"Nao",G483&lt;&gt;""),"PC_PAGO_A_CONTRATADA invalido",IF(AND(C483&lt;&gt;"C0",IFERROR(INDEX(parametros!$A$2:$A$6,MATCH(C483,parametros!$B$2:$B$6,0)),"")="Sim",IFERROR(INDEX(parametros!$H$2:$H$6,MATCH(C483,parametros!$B$2:$B$6,0)),"")=""),"INICIO_EFEITO ausente: PC "&amp;A483&amp;" - "&amp;C483,IF(L483="","EFEITO_PC nao calculado: PC "&amp;A483&amp;" - "&amp;C483,"OK")))))))))</f>
        <v/>
      </c>
      <c r="L483" s="92" t="str">
        <f>IF(AND(A483="",B483="",D483="",G483=""),"",IF(OR(B483="",NOT(ISNUMBER(B483)),C483="",C483="Fora dos ciclos"),"",IF(C483="C0","Nao",IF(IFERROR(INDEX(parametros!$A$2:$A$6,MATCH(C483,parametros!$B$2:$B$6,0)),"")&lt;&gt;"Sim","Nao",IF(IFERROR(INDEX(parametros!$H$2:$H$6,MATCH(C483,parametros!$B$2:$B$6,0)),"")="","",IF(B483&gt;=IFERROR(INDEX(parametros!$H$2:$H$6,MATCH(C483,parametros!$B$2:$B$6,0)),""),"Sim","Nao"))))))</f>
        <v/>
      </c>
      <c r="T483" s="156"/>
      <c r="U483" s="214" t="str">
        <f t="shared" si="41"/>
        <v/>
      </c>
      <c r="V483" s="212" t="s">
        <v>50</v>
      </c>
      <c r="W483" s="100" t="s">
        <v>168</v>
      </c>
      <c r="X483" s="100" t="s">
        <v>169</v>
      </c>
      <c r="Y483" s="101" t="s">
        <v>170</v>
      </c>
      <c r="Z483" s="101" t="s">
        <v>171</v>
      </c>
      <c r="AA483" s="101" t="s">
        <v>50</v>
      </c>
      <c r="AB483" s="101" t="s">
        <v>172</v>
      </c>
      <c r="AC483" s="102" t="s">
        <v>173</v>
      </c>
    </row>
    <row r="484" spans="1:29" ht="25.5" customHeight="1" x14ac:dyDescent="0.35">
      <c r="A484" s="392"/>
      <c r="B484" s="393"/>
      <c r="C484" s="99" t="str">
        <f>IF(B484="","",IF(NOT(ISNUMBER(B484)),"DATA_PC invalida",IF(NOT(ISNUMBER(parametros!$C$2)),"Fora dos ciclos",IF(OR(B484&lt;parametros!$C$2,(YEAR(B484)-YEAR(parametros!$C$2))*12+MONTH(B484)-MONTH(parametros!$C$2)&gt;59),"Fora dos ciclos","C"&amp;INT(((YEAR(B484)-YEAR(parametros!$C$2))*12+MONTH(B484)-MONTH(parametros!$C$2))/12)))))</f>
        <v/>
      </c>
      <c r="D484" s="394"/>
      <c r="E484" s="78" t="str">
        <f>IF(C484="","",IFERROR(VLOOKUP(C484,parametros!$A$11:$E$15,5,0),""))</f>
        <v/>
      </c>
      <c r="F484" s="79" t="str">
        <f t="shared" si="37"/>
        <v/>
      </c>
      <c r="G484" s="395"/>
      <c r="H484" s="91">
        <f t="shared" si="38"/>
        <v>0</v>
      </c>
      <c r="I484" s="91" t="str">
        <f t="shared" si="39"/>
        <v/>
      </c>
      <c r="J484" s="91" t="str">
        <f t="shared" si="40"/>
        <v/>
      </c>
      <c r="K484" s="92" t="str">
        <f>IF(AND(A484="",B484="",D484="",G484=""),"",IF(AND(A484&lt;&gt;"",COUNTIF($A$2:$A$5001,A484)&gt;1),"NUMERO_PC duplicado",IF(B484="","DATA_PC vazia",IF(NOT(ISNUMBER(B484)),"DATA_PC invalida",IF(OR(C484="",C484="Fora dos ciclos"),"CICLO_PC nao identificado",IF(OR(D484="",D484=0),"VALOR_PC vazio ou zero",IF(AND(G484&lt;&gt;"Sim",G484&lt;&gt;"Nao",G484&lt;&gt;""),"PC_PAGO_A_CONTRATADA invalido",IF(AND(C484&lt;&gt;"C0",IFERROR(INDEX(parametros!$A$2:$A$6,MATCH(C484,parametros!$B$2:$B$6,0)),"")="Sim",IFERROR(INDEX(parametros!$H$2:$H$6,MATCH(C484,parametros!$B$2:$B$6,0)),"")=""),"INICIO_EFEITO ausente: PC "&amp;A484&amp;" - "&amp;C484,IF(L484="","EFEITO_PC nao calculado: PC "&amp;A484&amp;" - "&amp;C484,"OK")))))))))</f>
        <v/>
      </c>
      <c r="L484" s="92" t="str">
        <f>IF(AND(A484="",B484="",D484="",G484=""),"",IF(OR(B484="",NOT(ISNUMBER(B484)),C484="",C484="Fora dos ciclos"),"",IF(C484="C0","Nao",IF(IFERROR(INDEX(parametros!$A$2:$A$6,MATCH(C484,parametros!$B$2:$B$6,0)),"")&lt;&gt;"Sim","Nao",IF(IFERROR(INDEX(parametros!$H$2:$H$6,MATCH(C484,parametros!$B$2:$B$6,0)),"")="","",IF(B484&gt;=IFERROR(INDEX(parametros!$H$2:$H$6,MATCH(C484,parametros!$B$2:$B$6,0)),""),"Sim","Nao"))))))</f>
        <v/>
      </c>
      <c r="T484" s="156"/>
      <c r="U484" s="214" t="str">
        <f t="shared" si="41"/>
        <v/>
      </c>
      <c r="V484" s="212" t="s">
        <v>50</v>
      </c>
      <c r="W484" s="100" t="s">
        <v>168</v>
      </c>
      <c r="X484" s="100" t="s">
        <v>169</v>
      </c>
      <c r="Y484" s="101" t="s">
        <v>170</v>
      </c>
      <c r="Z484" s="101" t="s">
        <v>171</v>
      </c>
      <c r="AA484" s="101" t="s">
        <v>50</v>
      </c>
      <c r="AB484" s="101" t="s">
        <v>172</v>
      </c>
      <c r="AC484" s="102" t="s">
        <v>173</v>
      </c>
    </row>
    <row r="485" spans="1:29" ht="25.5" customHeight="1" x14ac:dyDescent="0.35">
      <c r="A485" s="392"/>
      <c r="B485" s="393"/>
      <c r="C485" s="99" t="str">
        <f>IF(B485="","",IF(NOT(ISNUMBER(B485)),"DATA_PC invalida",IF(NOT(ISNUMBER(parametros!$C$2)),"Fora dos ciclos",IF(OR(B485&lt;parametros!$C$2,(YEAR(B485)-YEAR(parametros!$C$2))*12+MONTH(B485)-MONTH(parametros!$C$2)&gt;59),"Fora dos ciclos","C"&amp;INT(((YEAR(B485)-YEAR(parametros!$C$2))*12+MONTH(B485)-MONTH(parametros!$C$2))/12)))))</f>
        <v/>
      </c>
      <c r="D485" s="394"/>
      <c r="E485" s="78" t="str">
        <f>IF(C485="","",IFERROR(VLOOKUP(C485,parametros!$A$11:$E$15,5,0),""))</f>
        <v/>
      </c>
      <c r="F485" s="79" t="str">
        <f t="shared" si="37"/>
        <v/>
      </c>
      <c r="G485" s="395"/>
      <c r="H485" s="91">
        <f t="shared" si="38"/>
        <v>0</v>
      </c>
      <c r="I485" s="91" t="str">
        <f t="shared" si="39"/>
        <v/>
      </c>
      <c r="J485" s="91" t="str">
        <f t="shared" si="40"/>
        <v/>
      </c>
      <c r="K485" s="92" t="str">
        <f>IF(AND(A485="",B485="",D485="",G485=""),"",IF(AND(A485&lt;&gt;"",COUNTIF($A$2:$A$5001,A485)&gt;1),"NUMERO_PC duplicado",IF(B485="","DATA_PC vazia",IF(NOT(ISNUMBER(B485)),"DATA_PC invalida",IF(OR(C485="",C485="Fora dos ciclos"),"CICLO_PC nao identificado",IF(OR(D485="",D485=0),"VALOR_PC vazio ou zero",IF(AND(G485&lt;&gt;"Sim",G485&lt;&gt;"Nao",G485&lt;&gt;""),"PC_PAGO_A_CONTRATADA invalido",IF(AND(C485&lt;&gt;"C0",IFERROR(INDEX(parametros!$A$2:$A$6,MATCH(C485,parametros!$B$2:$B$6,0)),"")="Sim",IFERROR(INDEX(parametros!$H$2:$H$6,MATCH(C485,parametros!$B$2:$B$6,0)),"")=""),"INICIO_EFEITO ausente: PC "&amp;A485&amp;" - "&amp;C485,IF(L485="","EFEITO_PC nao calculado: PC "&amp;A485&amp;" - "&amp;C485,"OK")))))))))</f>
        <v/>
      </c>
      <c r="L485" s="92" t="str">
        <f>IF(AND(A485="",B485="",D485="",G485=""),"",IF(OR(B485="",NOT(ISNUMBER(B485)),C485="",C485="Fora dos ciclos"),"",IF(C485="C0","Nao",IF(IFERROR(INDEX(parametros!$A$2:$A$6,MATCH(C485,parametros!$B$2:$B$6,0)),"")&lt;&gt;"Sim","Nao",IF(IFERROR(INDEX(parametros!$H$2:$H$6,MATCH(C485,parametros!$B$2:$B$6,0)),"")="","",IF(B485&gt;=IFERROR(INDEX(parametros!$H$2:$H$6,MATCH(C485,parametros!$B$2:$B$6,0)),""),"Sim","Nao"))))))</f>
        <v/>
      </c>
      <c r="T485" s="156"/>
      <c r="U485" s="214" t="str">
        <f t="shared" si="41"/>
        <v/>
      </c>
      <c r="V485" s="212" t="s">
        <v>50</v>
      </c>
      <c r="W485" s="100" t="s">
        <v>168</v>
      </c>
      <c r="X485" s="100" t="s">
        <v>169</v>
      </c>
      <c r="Y485" s="101" t="s">
        <v>170</v>
      </c>
      <c r="Z485" s="101" t="s">
        <v>171</v>
      </c>
      <c r="AA485" s="101" t="s">
        <v>50</v>
      </c>
      <c r="AB485" s="101" t="s">
        <v>172</v>
      </c>
      <c r="AC485" s="102" t="s">
        <v>173</v>
      </c>
    </row>
    <row r="486" spans="1:29" ht="25.5" customHeight="1" x14ac:dyDescent="0.35">
      <c r="A486" s="392"/>
      <c r="B486" s="393"/>
      <c r="C486" s="99" t="str">
        <f>IF(B486="","",IF(NOT(ISNUMBER(B486)),"DATA_PC invalida",IF(NOT(ISNUMBER(parametros!$C$2)),"Fora dos ciclos",IF(OR(B486&lt;parametros!$C$2,(YEAR(B486)-YEAR(parametros!$C$2))*12+MONTH(B486)-MONTH(parametros!$C$2)&gt;59),"Fora dos ciclos","C"&amp;INT(((YEAR(B486)-YEAR(parametros!$C$2))*12+MONTH(B486)-MONTH(parametros!$C$2))/12)))))</f>
        <v/>
      </c>
      <c r="D486" s="394"/>
      <c r="E486" s="78" t="str">
        <f>IF(C486="","",IFERROR(VLOOKUP(C486,parametros!$A$11:$E$15,5,0),""))</f>
        <v/>
      </c>
      <c r="F486" s="79" t="str">
        <f t="shared" si="37"/>
        <v/>
      </c>
      <c r="G486" s="395"/>
      <c r="H486" s="91">
        <f t="shared" si="38"/>
        <v>0</v>
      </c>
      <c r="I486" s="91" t="str">
        <f t="shared" si="39"/>
        <v/>
      </c>
      <c r="J486" s="91" t="str">
        <f t="shared" si="40"/>
        <v/>
      </c>
      <c r="K486" s="92" t="str">
        <f>IF(AND(A486="",B486="",D486="",G486=""),"",IF(AND(A486&lt;&gt;"",COUNTIF($A$2:$A$5001,A486)&gt;1),"NUMERO_PC duplicado",IF(B486="","DATA_PC vazia",IF(NOT(ISNUMBER(B486)),"DATA_PC invalida",IF(OR(C486="",C486="Fora dos ciclos"),"CICLO_PC nao identificado",IF(OR(D486="",D486=0),"VALOR_PC vazio ou zero",IF(AND(G486&lt;&gt;"Sim",G486&lt;&gt;"Nao",G486&lt;&gt;""),"PC_PAGO_A_CONTRATADA invalido",IF(AND(C486&lt;&gt;"C0",IFERROR(INDEX(parametros!$A$2:$A$6,MATCH(C486,parametros!$B$2:$B$6,0)),"")="Sim",IFERROR(INDEX(parametros!$H$2:$H$6,MATCH(C486,parametros!$B$2:$B$6,0)),"")=""),"INICIO_EFEITO ausente: PC "&amp;A486&amp;" - "&amp;C486,IF(L486="","EFEITO_PC nao calculado: PC "&amp;A486&amp;" - "&amp;C486,"OK")))))))))</f>
        <v/>
      </c>
      <c r="L486" s="92" t="str">
        <f>IF(AND(A486="",B486="",D486="",G486=""),"",IF(OR(B486="",NOT(ISNUMBER(B486)),C486="",C486="Fora dos ciclos"),"",IF(C486="C0","Nao",IF(IFERROR(INDEX(parametros!$A$2:$A$6,MATCH(C486,parametros!$B$2:$B$6,0)),"")&lt;&gt;"Sim","Nao",IF(IFERROR(INDEX(parametros!$H$2:$H$6,MATCH(C486,parametros!$B$2:$B$6,0)),"")="","",IF(B486&gt;=IFERROR(INDEX(parametros!$H$2:$H$6,MATCH(C486,parametros!$B$2:$B$6,0)),""),"Sim","Nao"))))))</f>
        <v/>
      </c>
      <c r="T486" s="156"/>
      <c r="U486" s="214" t="str">
        <f t="shared" si="41"/>
        <v/>
      </c>
      <c r="V486" s="212" t="s">
        <v>50</v>
      </c>
      <c r="W486" s="100" t="s">
        <v>168</v>
      </c>
      <c r="X486" s="100" t="s">
        <v>169</v>
      </c>
      <c r="Y486" s="101" t="s">
        <v>170</v>
      </c>
      <c r="Z486" s="101" t="s">
        <v>171</v>
      </c>
      <c r="AA486" s="101" t="s">
        <v>50</v>
      </c>
      <c r="AB486" s="101" t="s">
        <v>172</v>
      </c>
      <c r="AC486" s="102" t="s">
        <v>173</v>
      </c>
    </row>
    <row r="487" spans="1:29" ht="25.5" customHeight="1" x14ac:dyDescent="0.35">
      <c r="A487" s="392"/>
      <c r="B487" s="393"/>
      <c r="C487" s="99" t="str">
        <f>IF(B487="","",IF(NOT(ISNUMBER(B487)),"DATA_PC invalida",IF(NOT(ISNUMBER(parametros!$C$2)),"Fora dos ciclos",IF(OR(B487&lt;parametros!$C$2,(YEAR(B487)-YEAR(parametros!$C$2))*12+MONTH(B487)-MONTH(parametros!$C$2)&gt;59),"Fora dos ciclos","C"&amp;INT(((YEAR(B487)-YEAR(parametros!$C$2))*12+MONTH(B487)-MONTH(parametros!$C$2))/12)))))</f>
        <v/>
      </c>
      <c r="D487" s="394"/>
      <c r="E487" s="78" t="str">
        <f>IF(C487="","",IFERROR(VLOOKUP(C487,parametros!$A$11:$E$15,5,0),""))</f>
        <v/>
      </c>
      <c r="F487" s="79" t="str">
        <f t="shared" si="37"/>
        <v/>
      </c>
      <c r="G487" s="395"/>
      <c r="H487" s="91">
        <f t="shared" si="38"/>
        <v>0</v>
      </c>
      <c r="I487" s="91" t="str">
        <f t="shared" si="39"/>
        <v/>
      </c>
      <c r="J487" s="91" t="str">
        <f t="shared" si="40"/>
        <v/>
      </c>
      <c r="K487" s="92" t="str">
        <f>IF(AND(A487="",B487="",D487="",G487=""),"",IF(AND(A487&lt;&gt;"",COUNTIF($A$2:$A$5001,A487)&gt;1),"NUMERO_PC duplicado",IF(B487="","DATA_PC vazia",IF(NOT(ISNUMBER(B487)),"DATA_PC invalida",IF(OR(C487="",C487="Fora dos ciclos"),"CICLO_PC nao identificado",IF(OR(D487="",D487=0),"VALOR_PC vazio ou zero",IF(AND(G487&lt;&gt;"Sim",G487&lt;&gt;"Nao",G487&lt;&gt;""),"PC_PAGO_A_CONTRATADA invalido",IF(AND(C487&lt;&gt;"C0",IFERROR(INDEX(parametros!$A$2:$A$6,MATCH(C487,parametros!$B$2:$B$6,0)),"")="Sim",IFERROR(INDEX(parametros!$H$2:$H$6,MATCH(C487,parametros!$B$2:$B$6,0)),"")=""),"INICIO_EFEITO ausente: PC "&amp;A487&amp;" - "&amp;C487,IF(L487="","EFEITO_PC nao calculado: PC "&amp;A487&amp;" - "&amp;C487,"OK")))))))))</f>
        <v/>
      </c>
      <c r="L487" s="92" t="str">
        <f>IF(AND(A487="",B487="",D487="",G487=""),"",IF(OR(B487="",NOT(ISNUMBER(B487)),C487="",C487="Fora dos ciclos"),"",IF(C487="C0","Nao",IF(IFERROR(INDEX(parametros!$A$2:$A$6,MATCH(C487,parametros!$B$2:$B$6,0)),"")&lt;&gt;"Sim","Nao",IF(IFERROR(INDEX(parametros!$H$2:$H$6,MATCH(C487,parametros!$B$2:$B$6,0)),"")="","",IF(B487&gt;=IFERROR(INDEX(parametros!$H$2:$H$6,MATCH(C487,parametros!$B$2:$B$6,0)),""),"Sim","Nao"))))))</f>
        <v/>
      </c>
      <c r="T487" s="156"/>
      <c r="U487" s="214" t="str">
        <f t="shared" si="41"/>
        <v/>
      </c>
      <c r="V487" s="212" t="s">
        <v>50</v>
      </c>
      <c r="W487" s="100" t="s">
        <v>168</v>
      </c>
      <c r="X487" s="100" t="s">
        <v>169</v>
      </c>
      <c r="Y487" s="101" t="s">
        <v>170</v>
      </c>
      <c r="Z487" s="101" t="s">
        <v>171</v>
      </c>
      <c r="AA487" s="101" t="s">
        <v>50</v>
      </c>
      <c r="AB487" s="101" t="s">
        <v>172</v>
      </c>
      <c r="AC487" s="102" t="s">
        <v>173</v>
      </c>
    </row>
    <row r="488" spans="1:29" ht="25.5" customHeight="1" x14ac:dyDescent="0.35">
      <c r="A488" s="392"/>
      <c r="B488" s="393"/>
      <c r="C488" s="99" t="str">
        <f>IF(B488="","",IF(NOT(ISNUMBER(B488)),"DATA_PC invalida",IF(NOT(ISNUMBER(parametros!$C$2)),"Fora dos ciclos",IF(OR(B488&lt;parametros!$C$2,(YEAR(B488)-YEAR(parametros!$C$2))*12+MONTH(B488)-MONTH(parametros!$C$2)&gt;59),"Fora dos ciclos","C"&amp;INT(((YEAR(B488)-YEAR(parametros!$C$2))*12+MONTH(B488)-MONTH(parametros!$C$2))/12)))))</f>
        <v/>
      </c>
      <c r="D488" s="394"/>
      <c r="E488" s="78" t="str">
        <f>IF(C488="","",IFERROR(VLOOKUP(C488,parametros!$A$11:$E$15,5,0),""))</f>
        <v/>
      </c>
      <c r="F488" s="79" t="str">
        <f t="shared" si="37"/>
        <v/>
      </c>
      <c r="G488" s="395"/>
      <c r="H488" s="91">
        <f t="shared" si="38"/>
        <v>0</v>
      </c>
      <c r="I488" s="91" t="str">
        <f t="shared" si="39"/>
        <v/>
      </c>
      <c r="J488" s="91" t="str">
        <f t="shared" si="40"/>
        <v/>
      </c>
      <c r="K488" s="92" t="str">
        <f>IF(AND(A488="",B488="",D488="",G488=""),"",IF(AND(A488&lt;&gt;"",COUNTIF($A$2:$A$5001,A488)&gt;1),"NUMERO_PC duplicado",IF(B488="","DATA_PC vazia",IF(NOT(ISNUMBER(B488)),"DATA_PC invalida",IF(OR(C488="",C488="Fora dos ciclos"),"CICLO_PC nao identificado",IF(OR(D488="",D488=0),"VALOR_PC vazio ou zero",IF(AND(G488&lt;&gt;"Sim",G488&lt;&gt;"Nao",G488&lt;&gt;""),"PC_PAGO_A_CONTRATADA invalido",IF(AND(C488&lt;&gt;"C0",IFERROR(INDEX(parametros!$A$2:$A$6,MATCH(C488,parametros!$B$2:$B$6,0)),"")="Sim",IFERROR(INDEX(parametros!$H$2:$H$6,MATCH(C488,parametros!$B$2:$B$6,0)),"")=""),"INICIO_EFEITO ausente: PC "&amp;A488&amp;" - "&amp;C488,IF(L488="","EFEITO_PC nao calculado: PC "&amp;A488&amp;" - "&amp;C488,"OK")))))))))</f>
        <v/>
      </c>
      <c r="L488" s="92" t="str">
        <f>IF(AND(A488="",B488="",D488="",G488=""),"",IF(OR(B488="",NOT(ISNUMBER(B488)),C488="",C488="Fora dos ciclos"),"",IF(C488="C0","Nao",IF(IFERROR(INDEX(parametros!$A$2:$A$6,MATCH(C488,parametros!$B$2:$B$6,0)),"")&lt;&gt;"Sim","Nao",IF(IFERROR(INDEX(parametros!$H$2:$H$6,MATCH(C488,parametros!$B$2:$B$6,0)),"")="","",IF(B488&gt;=IFERROR(INDEX(parametros!$H$2:$H$6,MATCH(C488,parametros!$B$2:$B$6,0)),""),"Sim","Nao"))))))</f>
        <v/>
      </c>
      <c r="T488" s="156"/>
      <c r="U488" s="214" t="str">
        <f t="shared" si="41"/>
        <v/>
      </c>
      <c r="V488" s="212" t="s">
        <v>50</v>
      </c>
      <c r="W488" s="100" t="s">
        <v>168</v>
      </c>
      <c r="X488" s="100" t="s">
        <v>169</v>
      </c>
      <c r="Y488" s="101" t="s">
        <v>170</v>
      </c>
      <c r="Z488" s="101" t="s">
        <v>171</v>
      </c>
      <c r="AA488" s="101" t="s">
        <v>50</v>
      </c>
      <c r="AB488" s="101" t="s">
        <v>172</v>
      </c>
      <c r="AC488" s="102" t="s">
        <v>173</v>
      </c>
    </row>
    <row r="489" spans="1:29" ht="25.5" customHeight="1" x14ac:dyDescent="0.35">
      <c r="A489" s="392"/>
      <c r="B489" s="393"/>
      <c r="C489" s="99" t="str">
        <f>IF(B489="","",IF(NOT(ISNUMBER(B489)),"DATA_PC invalida",IF(NOT(ISNUMBER(parametros!$C$2)),"Fora dos ciclos",IF(OR(B489&lt;parametros!$C$2,(YEAR(B489)-YEAR(parametros!$C$2))*12+MONTH(B489)-MONTH(parametros!$C$2)&gt;59),"Fora dos ciclos","C"&amp;INT(((YEAR(B489)-YEAR(parametros!$C$2))*12+MONTH(B489)-MONTH(parametros!$C$2))/12)))))</f>
        <v/>
      </c>
      <c r="D489" s="394"/>
      <c r="E489" s="78" t="str">
        <f>IF(C489="","",IFERROR(VLOOKUP(C489,parametros!$A$11:$E$15,5,0),""))</f>
        <v/>
      </c>
      <c r="F489" s="79" t="str">
        <f t="shared" si="37"/>
        <v/>
      </c>
      <c r="G489" s="395"/>
      <c r="H489" s="91">
        <f t="shared" si="38"/>
        <v>0</v>
      </c>
      <c r="I489" s="91" t="str">
        <f t="shared" si="39"/>
        <v/>
      </c>
      <c r="J489" s="91" t="str">
        <f t="shared" si="40"/>
        <v/>
      </c>
      <c r="K489" s="92" t="str">
        <f>IF(AND(A489="",B489="",D489="",G489=""),"",IF(AND(A489&lt;&gt;"",COUNTIF($A$2:$A$5001,A489)&gt;1),"NUMERO_PC duplicado",IF(B489="","DATA_PC vazia",IF(NOT(ISNUMBER(B489)),"DATA_PC invalida",IF(OR(C489="",C489="Fora dos ciclos"),"CICLO_PC nao identificado",IF(OR(D489="",D489=0),"VALOR_PC vazio ou zero",IF(AND(G489&lt;&gt;"Sim",G489&lt;&gt;"Nao",G489&lt;&gt;""),"PC_PAGO_A_CONTRATADA invalido",IF(AND(C489&lt;&gt;"C0",IFERROR(INDEX(parametros!$A$2:$A$6,MATCH(C489,parametros!$B$2:$B$6,0)),"")="Sim",IFERROR(INDEX(parametros!$H$2:$H$6,MATCH(C489,parametros!$B$2:$B$6,0)),"")=""),"INICIO_EFEITO ausente: PC "&amp;A489&amp;" - "&amp;C489,IF(L489="","EFEITO_PC nao calculado: PC "&amp;A489&amp;" - "&amp;C489,"OK")))))))))</f>
        <v/>
      </c>
      <c r="L489" s="92" t="str">
        <f>IF(AND(A489="",B489="",D489="",G489=""),"",IF(OR(B489="",NOT(ISNUMBER(B489)),C489="",C489="Fora dos ciclos"),"",IF(C489="C0","Nao",IF(IFERROR(INDEX(parametros!$A$2:$A$6,MATCH(C489,parametros!$B$2:$B$6,0)),"")&lt;&gt;"Sim","Nao",IF(IFERROR(INDEX(parametros!$H$2:$H$6,MATCH(C489,parametros!$B$2:$B$6,0)),"")="","",IF(B489&gt;=IFERROR(INDEX(parametros!$H$2:$H$6,MATCH(C489,parametros!$B$2:$B$6,0)),""),"Sim","Nao"))))))</f>
        <v/>
      </c>
      <c r="T489" s="156"/>
      <c r="U489" s="214" t="str">
        <f t="shared" si="41"/>
        <v/>
      </c>
      <c r="V489" s="212" t="s">
        <v>50</v>
      </c>
      <c r="W489" s="100" t="s">
        <v>168</v>
      </c>
      <c r="X489" s="100" t="s">
        <v>169</v>
      </c>
      <c r="Y489" s="101" t="s">
        <v>170</v>
      </c>
      <c r="Z489" s="101" t="s">
        <v>171</v>
      </c>
      <c r="AA489" s="101" t="s">
        <v>50</v>
      </c>
      <c r="AB489" s="101" t="s">
        <v>172</v>
      </c>
      <c r="AC489" s="102" t="s">
        <v>173</v>
      </c>
    </row>
    <row r="490" spans="1:29" ht="25.5" customHeight="1" x14ac:dyDescent="0.35">
      <c r="A490" s="392"/>
      <c r="B490" s="393"/>
      <c r="C490" s="99" t="str">
        <f>IF(B490="","",IF(NOT(ISNUMBER(B490)),"DATA_PC invalida",IF(NOT(ISNUMBER(parametros!$C$2)),"Fora dos ciclos",IF(OR(B490&lt;parametros!$C$2,(YEAR(B490)-YEAR(parametros!$C$2))*12+MONTH(B490)-MONTH(parametros!$C$2)&gt;59),"Fora dos ciclos","C"&amp;INT(((YEAR(B490)-YEAR(parametros!$C$2))*12+MONTH(B490)-MONTH(parametros!$C$2))/12)))))</f>
        <v/>
      </c>
      <c r="D490" s="394"/>
      <c r="E490" s="78" t="str">
        <f>IF(C490="","",IFERROR(VLOOKUP(C490,parametros!$A$11:$E$15,5,0),""))</f>
        <v/>
      </c>
      <c r="F490" s="79" t="str">
        <f t="shared" si="37"/>
        <v/>
      </c>
      <c r="G490" s="395"/>
      <c r="H490" s="91">
        <f t="shared" si="38"/>
        <v>0</v>
      </c>
      <c r="I490" s="91" t="str">
        <f t="shared" si="39"/>
        <v/>
      </c>
      <c r="J490" s="91" t="str">
        <f t="shared" si="40"/>
        <v/>
      </c>
      <c r="K490" s="92" t="str">
        <f>IF(AND(A490="",B490="",D490="",G490=""),"",IF(AND(A490&lt;&gt;"",COUNTIF($A$2:$A$5001,A490)&gt;1),"NUMERO_PC duplicado",IF(B490="","DATA_PC vazia",IF(NOT(ISNUMBER(B490)),"DATA_PC invalida",IF(OR(C490="",C490="Fora dos ciclos"),"CICLO_PC nao identificado",IF(OR(D490="",D490=0),"VALOR_PC vazio ou zero",IF(AND(G490&lt;&gt;"Sim",G490&lt;&gt;"Nao",G490&lt;&gt;""),"PC_PAGO_A_CONTRATADA invalido",IF(AND(C490&lt;&gt;"C0",IFERROR(INDEX(parametros!$A$2:$A$6,MATCH(C490,parametros!$B$2:$B$6,0)),"")="Sim",IFERROR(INDEX(parametros!$H$2:$H$6,MATCH(C490,parametros!$B$2:$B$6,0)),"")=""),"INICIO_EFEITO ausente: PC "&amp;A490&amp;" - "&amp;C490,IF(L490="","EFEITO_PC nao calculado: PC "&amp;A490&amp;" - "&amp;C490,"OK")))))))))</f>
        <v/>
      </c>
      <c r="L490" s="92" t="str">
        <f>IF(AND(A490="",B490="",D490="",G490=""),"",IF(OR(B490="",NOT(ISNUMBER(B490)),C490="",C490="Fora dos ciclos"),"",IF(C490="C0","Nao",IF(IFERROR(INDEX(parametros!$A$2:$A$6,MATCH(C490,parametros!$B$2:$B$6,0)),"")&lt;&gt;"Sim","Nao",IF(IFERROR(INDEX(parametros!$H$2:$H$6,MATCH(C490,parametros!$B$2:$B$6,0)),"")="","",IF(B490&gt;=IFERROR(INDEX(parametros!$H$2:$H$6,MATCH(C490,parametros!$B$2:$B$6,0)),""),"Sim","Nao"))))))</f>
        <v/>
      </c>
      <c r="T490" s="156"/>
      <c r="U490" s="214" t="str">
        <f t="shared" si="41"/>
        <v/>
      </c>
      <c r="V490" s="212" t="s">
        <v>50</v>
      </c>
      <c r="W490" s="100" t="s">
        <v>168</v>
      </c>
      <c r="X490" s="100" t="s">
        <v>169</v>
      </c>
      <c r="Y490" s="101" t="s">
        <v>170</v>
      </c>
      <c r="Z490" s="101" t="s">
        <v>171</v>
      </c>
      <c r="AA490" s="101" t="s">
        <v>50</v>
      </c>
      <c r="AB490" s="101" t="s">
        <v>172</v>
      </c>
      <c r="AC490" s="102" t="s">
        <v>173</v>
      </c>
    </row>
    <row r="491" spans="1:29" ht="25.5" customHeight="1" x14ac:dyDescent="0.35">
      <c r="A491" s="392"/>
      <c r="B491" s="393"/>
      <c r="C491" s="99" t="str">
        <f>IF(B491="","",IF(NOT(ISNUMBER(B491)),"DATA_PC invalida",IF(NOT(ISNUMBER(parametros!$C$2)),"Fora dos ciclos",IF(OR(B491&lt;parametros!$C$2,(YEAR(B491)-YEAR(parametros!$C$2))*12+MONTH(B491)-MONTH(parametros!$C$2)&gt;59),"Fora dos ciclos","C"&amp;INT(((YEAR(B491)-YEAR(parametros!$C$2))*12+MONTH(B491)-MONTH(parametros!$C$2))/12)))))</f>
        <v/>
      </c>
      <c r="D491" s="394"/>
      <c r="E491" s="78" t="str">
        <f>IF(C491="","",IFERROR(VLOOKUP(C491,parametros!$A$11:$E$15,5,0),""))</f>
        <v/>
      </c>
      <c r="F491" s="79" t="str">
        <f t="shared" si="37"/>
        <v/>
      </c>
      <c r="G491" s="395"/>
      <c r="H491" s="91">
        <f t="shared" si="38"/>
        <v>0</v>
      </c>
      <c r="I491" s="91" t="str">
        <f t="shared" si="39"/>
        <v/>
      </c>
      <c r="J491" s="91" t="str">
        <f t="shared" si="40"/>
        <v/>
      </c>
      <c r="K491" s="92" t="str">
        <f>IF(AND(A491="",B491="",D491="",G491=""),"",IF(AND(A491&lt;&gt;"",COUNTIF($A$2:$A$5001,A491)&gt;1),"NUMERO_PC duplicado",IF(B491="","DATA_PC vazia",IF(NOT(ISNUMBER(B491)),"DATA_PC invalida",IF(OR(C491="",C491="Fora dos ciclos"),"CICLO_PC nao identificado",IF(OR(D491="",D491=0),"VALOR_PC vazio ou zero",IF(AND(G491&lt;&gt;"Sim",G491&lt;&gt;"Nao",G491&lt;&gt;""),"PC_PAGO_A_CONTRATADA invalido",IF(AND(C491&lt;&gt;"C0",IFERROR(INDEX(parametros!$A$2:$A$6,MATCH(C491,parametros!$B$2:$B$6,0)),"")="Sim",IFERROR(INDEX(parametros!$H$2:$H$6,MATCH(C491,parametros!$B$2:$B$6,0)),"")=""),"INICIO_EFEITO ausente: PC "&amp;A491&amp;" - "&amp;C491,IF(L491="","EFEITO_PC nao calculado: PC "&amp;A491&amp;" - "&amp;C491,"OK")))))))))</f>
        <v/>
      </c>
      <c r="L491" s="92" t="str">
        <f>IF(AND(A491="",B491="",D491="",G491=""),"",IF(OR(B491="",NOT(ISNUMBER(B491)),C491="",C491="Fora dos ciclos"),"",IF(C491="C0","Nao",IF(IFERROR(INDEX(parametros!$A$2:$A$6,MATCH(C491,parametros!$B$2:$B$6,0)),"")&lt;&gt;"Sim","Nao",IF(IFERROR(INDEX(parametros!$H$2:$H$6,MATCH(C491,parametros!$B$2:$B$6,0)),"")="","",IF(B491&gt;=IFERROR(INDEX(parametros!$H$2:$H$6,MATCH(C491,parametros!$B$2:$B$6,0)),""),"Sim","Nao"))))))</f>
        <v/>
      </c>
      <c r="T491" s="156"/>
      <c r="U491" s="214" t="str">
        <f t="shared" si="41"/>
        <v/>
      </c>
      <c r="V491" s="212" t="s">
        <v>50</v>
      </c>
      <c r="W491" s="100" t="s">
        <v>168</v>
      </c>
      <c r="X491" s="100" t="s">
        <v>169</v>
      </c>
      <c r="Y491" s="101" t="s">
        <v>170</v>
      </c>
      <c r="Z491" s="101" t="s">
        <v>171</v>
      </c>
      <c r="AA491" s="101" t="s">
        <v>50</v>
      </c>
      <c r="AB491" s="101" t="s">
        <v>172</v>
      </c>
      <c r="AC491" s="102" t="s">
        <v>173</v>
      </c>
    </row>
    <row r="492" spans="1:29" ht="25.5" customHeight="1" x14ac:dyDescent="0.35">
      <c r="A492" s="392"/>
      <c r="B492" s="393"/>
      <c r="C492" s="99" t="str">
        <f>IF(B492="","",IF(NOT(ISNUMBER(B492)),"DATA_PC invalida",IF(NOT(ISNUMBER(parametros!$C$2)),"Fora dos ciclos",IF(OR(B492&lt;parametros!$C$2,(YEAR(B492)-YEAR(parametros!$C$2))*12+MONTH(B492)-MONTH(parametros!$C$2)&gt;59),"Fora dos ciclos","C"&amp;INT(((YEAR(B492)-YEAR(parametros!$C$2))*12+MONTH(B492)-MONTH(parametros!$C$2))/12)))))</f>
        <v/>
      </c>
      <c r="D492" s="394"/>
      <c r="E492" s="78" t="str">
        <f>IF(C492="","",IFERROR(VLOOKUP(C492,parametros!$A$11:$E$15,5,0),""))</f>
        <v/>
      </c>
      <c r="F492" s="79" t="str">
        <f t="shared" si="37"/>
        <v/>
      </c>
      <c r="G492" s="395"/>
      <c r="H492" s="91">
        <f t="shared" si="38"/>
        <v>0</v>
      </c>
      <c r="I492" s="91" t="str">
        <f t="shared" si="39"/>
        <v/>
      </c>
      <c r="J492" s="91" t="str">
        <f t="shared" si="40"/>
        <v/>
      </c>
      <c r="K492" s="92" t="str">
        <f>IF(AND(A492="",B492="",D492="",G492=""),"",IF(AND(A492&lt;&gt;"",COUNTIF($A$2:$A$5001,A492)&gt;1),"NUMERO_PC duplicado",IF(B492="","DATA_PC vazia",IF(NOT(ISNUMBER(B492)),"DATA_PC invalida",IF(OR(C492="",C492="Fora dos ciclos"),"CICLO_PC nao identificado",IF(OR(D492="",D492=0),"VALOR_PC vazio ou zero",IF(AND(G492&lt;&gt;"Sim",G492&lt;&gt;"Nao",G492&lt;&gt;""),"PC_PAGO_A_CONTRATADA invalido",IF(AND(C492&lt;&gt;"C0",IFERROR(INDEX(parametros!$A$2:$A$6,MATCH(C492,parametros!$B$2:$B$6,0)),"")="Sim",IFERROR(INDEX(parametros!$H$2:$H$6,MATCH(C492,parametros!$B$2:$B$6,0)),"")=""),"INICIO_EFEITO ausente: PC "&amp;A492&amp;" - "&amp;C492,IF(L492="","EFEITO_PC nao calculado: PC "&amp;A492&amp;" - "&amp;C492,"OK")))))))))</f>
        <v/>
      </c>
      <c r="L492" s="92" t="str">
        <f>IF(AND(A492="",B492="",D492="",G492=""),"",IF(OR(B492="",NOT(ISNUMBER(B492)),C492="",C492="Fora dos ciclos"),"",IF(C492="C0","Nao",IF(IFERROR(INDEX(parametros!$A$2:$A$6,MATCH(C492,parametros!$B$2:$B$6,0)),"")&lt;&gt;"Sim","Nao",IF(IFERROR(INDEX(parametros!$H$2:$H$6,MATCH(C492,parametros!$B$2:$B$6,0)),"")="","",IF(B492&gt;=IFERROR(INDEX(parametros!$H$2:$H$6,MATCH(C492,parametros!$B$2:$B$6,0)),""),"Sim","Nao"))))))</f>
        <v/>
      </c>
      <c r="T492" s="156"/>
      <c r="U492" s="214" t="str">
        <f t="shared" si="41"/>
        <v/>
      </c>
      <c r="V492" s="212" t="s">
        <v>50</v>
      </c>
      <c r="W492" s="100" t="s">
        <v>168</v>
      </c>
      <c r="X492" s="100" t="s">
        <v>169</v>
      </c>
      <c r="Y492" s="101" t="s">
        <v>170</v>
      </c>
      <c r="Z492" s="101" t="s">
        <v>171</v>
      </c>
      <c r="AA492" s="101" t="s">
        <v>50</v>
      </c>
      <c r="AB492" s="101" t="s">
        <v>172</v>
      </c>
      <c r="AC492" s="102" t="s">
        <v>173</v>
      </c>
    </row>
    <row r="493" spans="1:29" ht="25.5" customHeight="1" x14ac:dyDescent="0.35">
      <c r="A493" s="392"/>
      <c r="B493" s="393"/>
      <c r="C493" s="99" t="str">
        <f>IF(B493="","",IF(NOT(ISNUMBER(B493)),"DATA_PC invalida",IF(NOT(ISNUMBER(parametros!$C$2)),"Fora dos ciclos",IF(OR(B493&lt;parametros!$C$2,(YEAR(B493)-YEAR(parametros!$C$2))*12+MONTH(B493)-MONTH(parametros!$C$2)&gt;59),"Fora dos ciclos","C"&amp;INT(((YEAR(B493)-YEAR(parametros!$C$2))*12+MONTH(B493)-MONTH(parametros!$C$2))/12)))))</f>
        <v/>
      </c>
      <c r="D493" s="394"/>
      <c r="E493" s="78" t="str">
        <f>IF(C493="","",IFERROR(VLOOKUP(C493,parametros!$A$11:$E$15,5,0),""))</f>
        <v/>
      </c>
      <c r="F493" s="79" t="str">
        <f t="shared" si="37"/>
        <v/>
      </c>
      <c r="G493" s="395"/>
      <c r="H493" s="91">
        <f t="shared" si="38"/>
        <v>0</v>
      </c>
      <c r="I493" s="91" t="str">
        <f t="shared" si="39"/>
        <v/>
      </c>
      <c r="J493" s="91" t="str">
        <f t="shared" si="40"/>
        <v/>
      </c>
      <c r="K493" s="92" t="str">
        <f>IF(AND(A493="",B493="",D493="",G493=""),"",IF(AND(A493&lt;&gt;"",COUNTIF($A$2:$A$5001,A493)&gt;1),"NUMERO_PC duplicado",IF(B493="","DATA_PC vazia",IF(NOT(ISNUMBER(B493)),"DATA_PC invalida",IF(OR(C493="",C493="Fora dos ciclos"),"CICLO_PC nao identificado",IF(OR(D493="",D493=0),"VALOR_PC vazio ou zero",IF(AND(G493&lt;&gt;"Sim",G493&lt;&gt;"Nao",G493&lt;&gt;""),"PC_PAGO_A_CONTRATADA invalido",IF(AND(C493&lt;&gt;"C0",IFERROR(INDEX(parametros!$A$2:$A$6,MATCH(C493,parametros!$B$2:$B$6,0)),"")="Sim",IFERROR(INDEX(parametros!$H$2:$H$6,MATCH(C493,parametros!$B$2:$B$6,0)),"")=""),"INICIO_EFEITO ausente: PC "&amp;A493&amp;" - "&amp;C493,IF(L493="","EFEITO_PC nao calculado: PC "&amp;A493&amp;" - "&amp;C493,"OK")))))))))</f>
        <v/>
      </c>
      <c r="L493" s="92" t="str">
        <f>IF(AND(A493="",B493="",D493="",G493=""),"",IF(OR(B493="",NOT(ISNUMBER(B493)),C493="",C493="Fora dos ciclos"),"",IF(C493="C0","Nao",IF(IFERROR(INDEX(parametros!$A$2:$A$6,MATCH(C493,parametros!$B$2:$B$6,0)),"")&lt;&gt;"Sim","Nao",IF(IFERROR(INDEX(parametros!$H$2:$H$6,MATCH(C493,parametros!$B$2:$B$6,0)),"")="","",IF(B493&gt;=IFERROR(INDEX(parametros!$H$2:$H$6,MATCH(C493,parametros!$B$2:$B$6,0)),""),"Sim","Nao"))))))</f>
        <v/>
      </c>
      <c r="T493" s="156"/>
      <c r="U493" s="214" t="str">
        <f t="shared" si="41"/>
        <v/>
      </c>
      <c r="V493" s="212" t="s">
        <v>50</v>
      </c>
      <c r="W493" s="100" t="s">
        <v>168</v>
      </c>
      <c r="X493" s="100" t="s">
        <v>169</v>
      </c>
      <c r="Y493" s="101" t="s">
        <v>170</v>
      </c>
      <c r="Z493" s="101" t="s">
        <v>171</v>
      </c>
      <c r="AA493" s="101" t="s">
        <v>50</v>
      </c>
      <c r="AB493" s="101" t="s">
        <v>172</v>
      </c>
      <c r="AC493" s="102" t="s">
        <v>173</v>
      </c>
    </row>
    <row r="494" spans="1:29" ht="25.5" customHeight="1" x14ac:dyDescent="0.35">
      <c r="A494" s="392"/>
      <c r="B494" s="393"/>
      <c r="C494" s="99" t="str">
        <f>IF(B494="","",IF(NOT(ISNUMBER(B494)),"DATA_PC invalida",IF(NOT(ISNUMBER(parametros!$C$2)),"Fora dos ciclos",IF(OR(B494&lt;parametros!$C$2,(YEAR(B494)-YEAR(parametros!$C$2))*12+MONTH(B494)-MONTH(parametros!$C$2)&gt;59),"Fora dos ciclos","C"&amp;INT(((YEAR(B494)-YEAR(parametros!$C$2))*12+MONTH(B494)-MONTH(parametros!$C$2))/12)))))</f>
        <v/>
      </c>
      <c r="D494" s="394"/>
      <c r="E494" s="78" t="str">
        <f>IF(C494="","",IFERROR(VLOOKUP(C494,parametros!$A$11:$E$15,5,0),""))</f>
        <v/>
      </c>
      <c r="F494" s="79" t="str">
        <f t="shared" si="37"/>
        <v/>
      </c>
      <c r="G494" s="395"/>
      <c r="H494" s="91">
        <f t="shared" si="38"/>
        <v>0</v>
      </c>
      <c r="I494" s="91" t="str">
        <f t="shared" si="39"/>
        <v/>
      </c>
      <c r="J494" s="91" t="str">
        <f t="shared" si="40"/>
        <v/>
      </c>
      <c r="K494" s="92" t="str">
        <f>IF(AND(A494="",B494="",D494="",G494=""),"",IF(AND(A494&lt;&gt;"",COUNTIF($A$2:$A$5001,A494)&gt;1),"NUMERO_PC duplicado",IF(B494="","DATA_PC vazia",IF(NOT(ISNUMBER(B494)),"DATA_PC invalida",IF(OR(C494="",C494="Fora dos ciclos"),"CICLO_PC nao identificado",IF(OR(D494="",D494=0),"VALOR_PC vazio ou zero",IF(AND(G494&lt;&gt;"Sim",G494&lt;&gt;"Nao",G494&lt;&gt;""),"PC_PAGO_A_CONTRATADA invalido",IF(AND(C494&lt;&gt;"C0",IFERROR(INDEX(parametros!$A$2:$A$6,MATCH(C494,parametros!$B$2:$B$6,0)),"")="Sim",IFERROR(INDEX(parametros!$H$2:$H$6,MATCH(C494,parametros!$B$2:$B$6,0)),"")=""),"INICIO_EFEITO ausente: PC "&amp;A494&amp;" - "&amp;C494,IF(L494="","EFEITO_PC nao calculado: PC "&amp;A494&amp;" - "&amp;C494,"OK")))))))))</f>
        <v/>
      </c>
      <c r="L494" s="92" t="str">
        <f>IF(AND(A494="",B494="",D494="",G494=""),"",IF(OR(B494="",NOT(ISNUMBER(B494)),C494="",C494="Fora dos ciclos"),"",IF(C494="C0","Nao",IF(IFERROR(INDEX(parametros!$A$2:$A$6,MATCH(C494,parametros!$B$2:$B$6,0)),"")&lt;&gt;"Sim","Nao",IF(IFERROR(INDEX(parametros!$H$2:$H$6,MATCH(C494,parametros!$B$2:$B$6,0)),"")="","",IF(B494&gt;=IFERROR(INDEX(parametros!$H$2:$H$6,MATCH(C494,parametros!$B$2:$B$6,0)),""),"Sim","Nao"))))))</f>
        <v/>
      </c>
      <c r="T494" s="156"/>
      <c r="U494" s="214" t="str">
        <f t="shared" si="41"/>
        <v/>
      </c>
      <c r="V494" s="212" t="s">
        <v>50</v>
      </c>
      <c r="W494" s="100" t="s">
        <v>168</v>
      </c>
      <c r="X494" s="100" t="s">
        <v>169</v>
      </c>
      <c r="Y494" s="101" t="s">
        <v>170</v>
      </c>
      <c r="Z494" s="101" t="s">
        <v>171</v>
      </c>
      <c r="AA494" s="101" t="s">
        <v>50</v>
      </c>
      <c r="AB494" s="101" t="s">
        <v>172</v>
      </c>
      <c r="AC494" s="102" t="s">
        <v>173</v>
      </c>
    </row>
    <row r="495" spans="1:29" ht="25.5" customHeight="1" x14ac:dyDescent="0.35">
      <c r="A495" s="392"/>
      <c r="B495" s="393"/>
      <c r="C495" s="99" t="str">
        <f>IF(B495="","",IF(NOT(ISNUMBER(B495)),"DATA_PC invalida",IF(NOT(ISNUMBER(parametros!$C$2)),"Fora dos ciclos",IF(OR(B495&lt;parametros!$C$2,(YEAR(B495)-YEAR(parametros!$C$2))*12+MONTH(B495)-MONTH(parametros!$C$2)&gt;59),"Fora dos ciclos","C"&amp;INT(((YEAR(B495)-YEAR(parametros!$C$2))*12+MONTH(B495)-MONTH(parametros!$C$2))/12)))))</f>
        <v/>
      </c>
      <c r="D495" s="394"/>
      <c r="E495" s="78" t="str">
        <f>IF(C495="","",IFERROR(VLOOKUP(C495,parametros!$A$11:$E$15,5,0),""))</f>
        <v/>
      </c>
      <c r="F495" s="79" t="str">
        <f t="shared" si="37"/>
        <v/>
      </c>
      <c r="G495" s="395"/>
      <c r="H495" s="91">
        <f t="shared" si="38"/>
        <v>0</v>
      </c>
      <c r="I495" s="91" t="str">
        <f t="shared" si="39"/>
        <v/>
      </c>
      <c r="J495" s="91" t="str">
        <f t="shared" si="40"/>
        <v/>
      </c>
      <c r="K495" s="92" t="str">
        <f>IF(AND(A495="",B495="",D495="",G495=""),"",IF(AND(A495&lt;&gt;"",COUNTIF($A$2:$A$5001,A495)&gt;1),"NUMERO_PC duplicado",IF(B495="","DATA_PC vazia",IF(NOT(ISNUMBER(B495)),"DATA_PC invalida",IF(OR(C495="",C495="Fora dos ciclos"),"CICLO_PC nao identificado",IF(OR(D495="",D495=0),"VALOR_PC vazio ou zero",IF(AND(G495&lt;&gt;"Sim",G495&lt;&gt;"Nao",G495&lt;&gt;""),"PC_PAGO_A_CONTRATADA invalido",IF(AND(C495&lt;&gt;"C0",IFERROR(INDEX(parametros!$A$2:$A$6,MATCH(C495,parametros!$B$2:$B$6,0)),"")="Sim",IFERROR(INDEX(parametros!$H$2:$H$6,MATCH(C495,parametros!$B$2:$B$6,0)),"")=""),"INICIO_EFEITO ausente: PC "&amp;A495&amp;" - "&amp;C495,IF(L495="","EFEITO_PC nao calculado: PC "&amp;A495&amp;" - "&amp;C495,"OK")))))))))</f>
        <v/>
      </c>
      <c r="L495" s="92" t="str">
        <f>IF(AND(A495="",B495="",D495="",G495=""),"",IF(OR(B495="",NOT(ISNUMBER(B495)),C495="",C495="Fora dos ciclos"),"",IF(C495="C0","Nao",IF(IFERROR(INDEX(parametros!$A$2:$A$6,MATCH(C495,parametros!$B$2:$B$6,0)),"")&lt;&gt;"Sim","Nao",IF(IFERROR(INDEX(parametros!$H$2:$H$6,MATCH(C495,parametros!$B$2:$B$6,0)),"")="","",IF(B495&gt;=IFERROR(INDEX(parametros!$H$2:$H$6,MATCH(C495,parametros!$B$2:$B$6,0)),""),"Sim","Nao"))))))</f>
        <v/>
      </c>
      <c r="T495" s="156"/>
      <c r="U495" s="214" t="str">
        <f t="shared" si="41"/>
        <v/>
      </c>
      <c r="V495" s="212" t="s">
        <v>50</v>
      </c>
      <c r="W495" s="100" t="s">
        <v>168</v>
      </c>
      <c r="X495" s="100" t="s">
        <v>169</v>
      </c>
      <c r="Y495" s="101" t="s">
        <v>170</v>
      </c>
      <c r="Z495" s="101" t="s">
        <v>171</v>
      </c>
      <c r="AA495" s="101" t="s">
        <v>50</v>
      </c>
      <c r="AB495" s="101" t="s">
        <v>172</v>
      </c>
      <c r="AC495" s="102" t="s">
        <v>173</v>
      </c>
    </row>
    <row r="496" spans="1:29" ht="25.5" customHeight="1" x14ac:dyDescent="0.35">
      <c r="A496" s="392"/>
      <c r="B496" s="393"/>
      <c r="C496" s="99" t="str">
        <f>IF(B496="","",IF(NOT(ISNUMBER(B496)),"DATA_PC invalida",IF(NOT(ISNUMBER(parametros!$C$2)),"Fora dos ciclos",IF(OR(B496&lt;parametros!$C$2,(YEAR(B496)-YEAR(parametros!$C$2))*12+MONTH(B496)-MONTH(parametros!$C$2)&gt;59),"Fora dos ciclos","C"&amp;INT(((YEAR(B496)-YEAR(parametros!$C$2))*12+MONTH(B496)-MONTH(parametros!$C$2))/12)))))</f>
        <v/>
      </c>
      <c r="D496" s="394"/>
      <c r="E496" s="78" t="str">
        <f>IF(C496="","",IFERROR(VLOOKUP(C496,parametros!$A$11:$E$15,5,0),""))</f>
        <v/>
      </c>
      <c r="F496" s="79" t="str">
        <f t="shared" si="37"/>
        <v/>
      </c>
      <c r="G496" s="395"/>
      <c r="H496" s="91">
        <f t="shared" si="38"/>
        <v>0</v>
      </c>
      <c r="I496" s="91" t="str">
        <f t="shared" si="39"/>
        <v/>
      </c>
      <c r="J496" s="91" t="str">
        <f t="shared" si="40"/>
        <v/>
      </c>
      <c r="K496" s="92" t="str">
        <f>IF(AND(A496="",B496="",D496="",G496=""),"",IF(AND(A496&lt;&gt;"",COUNTIF($A$2:$A$5001,A496)&gt;1),"NUMERO_PC duplicado",IF(B496="","DATA_PC vazia",IF(NOT(ISNUMBER(B496)),"DATA_PC invalida",IF(OR(C496="",C496="Fora dos ciclos"),"CICLO_PC nao identificado",IF(OR(D496="",D496=0),"VALOR_PC vazio ou zero",IF(AND(G496&lt;&gt;"Sim",G496&lt;&gt;"Nao",G496&lt;&gt;""),"PC_PAGO_A_CONTRATADA invalido",IF(AND(C496&lt;&gt;"C0",IFERROR(INDEX(parametros!$A$2:$A$6,MATCH(C496,parametros!$B$2:$B$6,0)),"")="Sim",IFERROR(INDEX(parametros!$H$2:$H$6,MATCH(C496,parametros!$B$2:$B$6,0)),"")=""),"INICIO_EFEITO ausente: PC "&amp;A496&amp;" - "&amp;C496,IF(L496="","EFEITO_PC nao calculado: PC "&amp;A496&amp;" - "&amp;C496,"OK")))))))))</f>
        <v/>
      </c>
      <c r="L496" s="92" t="str">
        <f>IF(AND(A496="",B496="",D496="",G496=""),"",IF(OR(B496="",NOT(ISNUMBER(B496)),C496="",C496="Fora dos ciclos"),"",IF(C496="C0","Nao",IF(IFERROR(INDEX(parametros!$A$2:$A$6,MATCH(C496,parametros!$B$2:$B$6,0)),"")&lt;&gt;"Sim","Nao",IF(IFERROR(INDEX(parametros!$H$2:$H$6,MATCH(C496,parametros!$B$2:$B$6,0)),"")="","",IF(B496&gt;=IFERROR(INDEX(parametros!$H$2:$H$6,MATCH(C496,parametros!$B$2:$B$6,0)),""),"Sim","Nao"))))))</f>
        <v/>
      </c>
      <c r="T496" s="156"/>
      <c r="U496" s="214" t="str">
        <f t="shared" si="41"/>
        <v/>
      </c>
      <c r="V496" s="212" t="s">
        <v>50</v>
      </c>
      <c r="W496" s="100" t="s">
        <v>168</v>
      </c>
      <c r="X496" s="100" t="s">
        <v>169</v>
      </c>
      <c r="Y496" s="101" t="s">
        <v>170</v>
      </c>
      <c r="Z496" s="101" t="s">
        <v>171</v>
      </c>
      <c r="AA496" s="101" t="s">
        <v>50</v>
      </c>
      <c r="AB496" s="101" t="s">
        <v>172</v>
      </c>
      <c r="AC496" s="102" t="s">
        <v>173</v>
      </c>
    </row>
    <row r="497" spans="1:29" ht="25.5" customHeight="1" x14ac:dyDescent="0.35">
      <c r="A497" s="392"/>
      <c r="B497" s="393"/>
      <c r="C497" s="99" t="str">
        <f>IF(B497="","",IF(NOT(ISNUMBER(B497)),"DATA_PC invalida",IF(NOT(ISNUMBER(parametros!$C$2)),"Fora dos ciclos",IF(OR(B497&lt;parametros!$C$2,(YEAR(B497)-YEAR(parametros!$C$2))*12+MONTH(B497)-MONTH(parametros!$C$2)&gt;59),"Fora dos ciclos","C"&amp;INT(((YEAR(B497)-YEAR(parametros!$C$2))*12+MONTH(B497)-MONTH(parametros!$C$2))/12)))))</f>
        <v/>
      </c>
      <c r="D497" s="394"/>
      <c r="E497" s="78" t="str">
        <f>IF(C497="","",IFERROR(VLOOKUP(C497,parametros!$A$11:$E$15,5,0),""))</f>
        <v/>
      </c>
      <c r="F497" s="79" t="str">
        <f t="shared" si="37"/>
        <v/>
      </c>
      <c r="G497" s="395"/>
      <c r="H497" s="91">
        <f t="shared" si="38"/>
        <v>0</v>
      </c>
      <c r="I497" s="91" t="str">
        <f t="shared" si="39"/>
        <v/>
      </c>
      <c r="J497" s="91" t="str">
        <f t="shared" si="40"/>
        <v/>
      </c>
      <c r="K497" s="92" t="str">
        <f>IF(AND(A497="",B497="",D497="",G497=""),"",IF(AND(A497&lt;&gt;"",COUNTIF($A$2:$A$5001,A497)&gt;1),"NUMERO_PC duplicado",IF(B497="","DATA_PC vazia",IF(NOT(ISNUMBER(B497)),"DATA_PC invalida",IF(OR(C497="",C497="Fora dos ciclos"),"CICLO_PC nao identificado",IF(OR(D497="",D497=0),"VALOR_PC vazio ou zero",IF(AND(G497&lt;&gt;"Sim",G497&lt;&gt;"Nao",G497&lt;&gt;""),"PC_PAGO_A_CONTRATADA invalido",IF(AND(C497&lt;&gt;"C0",IFERROR(INDEX(parametros!$A$2:$A$6,MATCH(C497,parametros!$B$2:$B$6,0)),"")="Sim",IFERROR(INDEX(parametros!$H$2:$H$6,MATCH(C497,parametros!$B$2:$B$6,0)),"")=""),"INICIO_EFEITO ausente: PC "&amp;A497&amp;" - "&amp;C497,IF(L497="","EFEITO_PC nao calculado: PC "&amp;A497&amp;" - "&amp;C497,"OK")))))))))</f>
        <v/>
      </c>
      <c r="L497" s="92" t="str">
        <f>IF(AND(A497="",B497="",D497="",G497=""),"",IF(OR(B497="",NOT(ISNUMBER(B497)),C497="",C497="Fora dos ciclos"),"",IF(C497="C0","Nao",IF(IFERROR(INDEX(parametros!$A$2:$A$6,MATCH(C497,parametros!$B$2:$B$6,0)),"")&lt;&gt;"Sim","Nao",IF(IFERROR(INDEX(parametros!$H$2:$H$6,MATCH(C497,parametros!$B$2:$B$6,0)),"")="","",IF(B497&gt;=IFERROR(INDEX(parametros!$H$2:$H$6,MATCH(C497,parametros!$B$2:$B$6,0)),""),"Sim","Nao"))))))</f>
        <v/>
      </c>
      <c r="T497" s="156"/>
      <c r="U497" s="214" t="str">
        <f t="shared" si="41"/>
        <v/>
      </c>
      <c r="V497" s="212" t="s">
        <v>50</v>
      </c>
      <c r="W497" s="100" t="s">
        <v>168</v>
      </c>
      <c r="X497" s="100" t="s">
        <v>169</v>
      </c>
      <c r="Y497" s="101" t="s">
        <v>170</v>
      </c>
      <c r="Z497" s="101" t="s">
        <v>171</v>
      </c>
      <c r="AA497" s="101" t="s">
        <v>50</v>
      </c>
      <c r="AB497" s="101" t="s">
        <v>172</v>
      </c>
      <c r="AC497" s="102" t="s">
        <v>173</v>
      </c>
    </row>
    <row r="498" spans="1:29" ht="25.5" customHeight="1" x14ac:dyDescent="0.35">
      <c r="A498" s="392"/>
      <c r="B498" s="393"/>
      <c r="C498" s="99" t="str">
        <f>IF(B498="","",IF(NOT(ISNUMBER(B498)),"DATA_PC invalida",IF(NOT(ISNUMBER(parametros!$C$2)),"Fora dos ciclos",IF(OR(B498&lt;parametros!$C$2,(YEAR(B498)-YEAR(parametros!$C$2))*12+MONTH(B498)-MONTH(parametros!$C$2)&gt;59),"Fora dos ciclos","C"&amp;INT(((YEAR(B498)-YEAR(parametros!$C$2))*12+MONTH(B498)-MONTH(parametros!$C$2))/12)))))</f>
        <v/>
      </c>
      <c r="D498" s="394"/>
      <c r="E498" s="78" t="str">
        <f>IF(C498="","",IFERROR(VLOOKUP(C498,parametros!$A$11:$E$15,5,0),""))</f>
        <v/>
      </c>
      <c r="F498" s="79" t="str">
        <f t="shared" si="37"/>
        <v/>
      </c>
      <c r="G498" s="395"/>
      <c r="H498" s="91">
        <f t="shared" si="38"/>
        <v>0</v>
      </c>
      <c r="I498" s="91" t="str">
        <f t="shared" si="39"/>
        <v/>
      </c>
      <c r="J498" s="91" t="str">
        <f t="shared" si="40"/>
        <v/>
      </c>
      <c r="K498" s="92" t="str">
        <f>IF(AND(A498="",B498="",D498="",G498=""),"",IF(AND(A498&lt;&gt;"",COUNTIF($A$2:$A$5001,A498)&gt;1),"NUMERO_PC duplicado",IF(B498="","DATA_PC vazia",IF(NOT(ISNUMBER(B498)),"DATA_PC invalida",IF(OR(C498="",C498="Fora dos ciclos"),"CICLO_PC nao identificado",IF(OR(D498="",D498=0),"VALOR_PC vazio ou zero",IF(AND(G498&lt;&gt;"Sim",G498&lt;&gt;"Nao",G498&lt;&gt;""),"PC_PAGO_A_CONTRATADA invalido",IF(AND(C498&lt;&gt;"C0",IFERROR(INDEX(parametros!$A$2:$A$6,MATCH(C498,parametros!$B$2:$B$6,0)),"")="Sim",IFERROR(INDEX(parametros!$H$2:$H$6,MATCH(C498,parametros!$B$2:$B$6,0)),"")=""),"INICIO_EFEITO ausente: PC "&amp;A498&amp;" - "&amp;C498,IF(L498="","EFEITO_PC nao calculado: PC "&amp;A498&amp;" - "&amp;C498,"OK")))))))))</f>
        <v/>
      </c>
      <c r="L498" s="92" t="str">
        <f>IF(AND(A498="",B498="",D498="",G498=""),"",IF(OR(B498="",NOT(ISNUMBER(B498)),C498="",C498="Fora dos ciclos"),"",IF(C498="C0","Nao",IF(IFERROR(INDEX(parametros!$A$2:$A$6,MATCH(C498,parametros!$B$2:$B$6,0)),"")&lt;&gt;"Sim","Nao",IF(IFERROR(INDEX(parametros!$H$2:$H$6,MATCH(C498,parametros!$B$2:$B$6,0)),"")="","",IF(B498&gt;=IFERROR(INDEX(parametros!$H$2:$H$6,MATCH(C498,parametros!$B$2:$B$6,0)),""),"Sim","Nao"))))))</f>
        <v/>
      </c>
      <c r="T498" s="156"/>
      <c r="U498" s="214" t="str">
        <f t="shared" si="41"/>
        <v/>
      </c>
      <c r="V498" s="212" t="s">
        <v>50</v>
      </c>
      <c r="W498" s="100" t="s">
        <v>168</v>
      </c>
      <c r="X498" s="100" t="s">
        <v>169</v>
      </c>
      <c r="Y498" s="101" t="s">
        <v>170</v>
      </c>
      <c r="Z498" s="101" t="s">
        <v>171</v>
      </c>
      <c r="AA498" s="101" t="s">
        <v>50</v>
      </c>
      <c r="AB498" s="101" t="s">
        <v>172</v>
      </c>
      <c r="AC498" s="102" t="s">
        <v>173</v>
      </c>
    </row>
    <row r="499" spans="1:29" ht="25.5" customHeight="1" x14ac:dyDescent="0.35">
      <c r="A499" s="392"/>
      <c r="B499" s="393"/>
      <c r="C499" s="99" t="str">
        <f>IF(B499="","",IF(NOT(ISNUMBER(B499)),"DATA_PC invalida",IF(NOT(ISNUMBER(parametros!$C$2)),"Fora dos ciclos",IF(OR(B499&lt;parametros!$C$2,(YEAR(B499)-YEAR(parametros!$C$2))*12+MONTH(B499)-MONTH(parametros!$C$2)&gt;59),"Fora dos ciclos","C"&amp;INT(((YEAR(B499)-YEAR(parametros!$C$2))*12+MONTH(B499)-MONTH(parametros!$C$2))/12)))))</f>
        <v/>
      </c>
      <c r="D499" s="394"/>
      <c r="E499" s="78" t="str">
        <f>IF(C499="","",IFERROR(VLOOKUP(C499,parametros!$A$11:$E$15,5,0),""))</f>
        <v/>
      </c>
      <c r="F499" s="79" t="str">
        <f t="shared" si="37"/>
        <v/>
      </c>
      <c r="G499" s="395"/>
      <c r="H499" s="91">
        <f t="shared" si="38"/>
        <v>0</v>
      </c>
      <c r="I499" s="91" t="str">
        <f t="shared" si="39"/>
        <v/>
      </c>
      <c r="J499" s="91" t="str">
        <f t="shared" si="40"/>
        <v/>
      </c>
      <c r="K499" s="92" t="str">
        <f>IF(AND(A499="",B499="",D499="",G499=""),"",IF(AND(A499&lt;&gt;"",COUNTIF($A$2:$A$5001,A499)&gt;1),"NUMERO_PC duplicado",IF(B499="","DATA_PC vazia",IF(NOT(ISNUMBER(B499)),"DATA_PC invalida",IF(OR(C499="",C499="Fora dos ciclos"),"CICLO_PC nao identificado",IF(OR(D499="",D499=0),"VALOR_PC vazio ou zero",IF(AND(G499&lt;&gt;"Sim",G499&lt;&gt;"Nao",G499&lt;&gt;""),"PC_PAGO_A_CONTRATADA invalido",IF(AND(C499&lt;&gt;"C0",IFERROR(INDEX(parametros!$A$2:$A$6,MATCH(C499,parametros!$B$2:$B$6,0)),"")="Sim",IFERROR(INDEX(parametros!$H$2:$H$6,MATCH(C499,parametros!$B$2:$B$6,0)),"")=""),"INICIO_EFEITO ausente: PC "&amp;A499&amp;" - "&amp;C499,IF(L499="","EFEITO_PC nao calculado: PC "&amp;A499&amp;" - "&amp;C499,"OK")))))))))</f>
        <v/>
      </c>
      <c r="L499" s="92" t="str">
        <f>IF(AND(A499="",B499="",D499="",G499=""),"",IF(OR(B499="",NOT(ISNUMBER(B499)),C499="",C499="Fora dos ciclos"),"",IF(C499="C0","Nao",IF(IFERROR(INDEX(parametros!$A$2:$A$6,MATCH(C499,parametros!$B$2:$B$6,0)),"")&lt;&gt;"Sim","Nao",IF(IFERROR(INDEX(parametros!$H$2:$H$6,MATCH(C499,parametros!$B$2:$B$6,0)),"")="","",IF(B499&gt;=IFERROR(INDEX(parametros!$H$2:$H$6,MATCH(C499,parametros!$B$2:$B$6,0)),""),"Sim","Nao"))))))</f>
        <v/>
      </c>
      <c r="T499" s="156"/>
      <c r="U499" s="214" t="str">
        <f t="shared" si="41"/>
        <v/>
      </c>
      <c r="V499" s="212" t="s">
        <v>50</v>
      </c>
      <c r="W499" s="100" t="s">
        <v>168</v>
      </c>
      <c r="X499" s="100" t="s">
        <v>169</v>
      </c>
      <c r="Y499" s="101" t="s">
        <v>170</v>
      </c>
      <c r="Z499" s="101" t="s">
        <v>171</v>
      </c>
      <c r="AA499" s="101" t="s">
        <v>50</v>
      </c>
      <c r="AB499" s="101" t="s">
        <v>172</v>
      </c>
      <c r="AC499" s="102" t="s">
        <v>173</v>
      </c>
    </row>
    <row r="500" spans="1:29" ht="25.5" customHeight="1" x14ac:dyDescent="0.35">
      <c r="A500" s="392"/>
      <c r="B500" s="393"/>
      <c r="C500" s="99" t="str">
        <f>IF(B500="","",IF(NOT(ISNUMBER(B500)),"DATA_PC invalida",IF(NOT(ISNUMBER(parametros!$C$2)),"Fora dos ciclos",IF(OR(B500&lt;parametros!$C$2,(YEAR(B500)-YEAR(parametros!$C$2))*12+MONTH(B500)-MONTH(parametros!$C$2)&gt;59),"Fora dos ciclos","C"&amp;INT(((YEAR(B500)-YEAR(parametros!$C$2))*12+MONTH(B500)-MONTH(parametros!$C$2))/12)))))</f>
        <v/>
      </c>
      <c r="D500" s="394"/>
      <c r="E500" s="78" t="str">
        <f>IF(C500="","",IFERROR(VLOOKUP(C500,parametros!$A$11:$E$15,5,0),""))</f>
        <v/>
      </c>
      <c r="F500" s="79" t="str">
        <f t="shared" si="37"/>
        <v/>
      </c>
      <c r="G500" s="395"/>
      <c r="H500" s="91">
        <f t="shared" si="38"/>
        <v>0</v>
      </c>
      <c r="I500" s="91" t="str">
        <f t="shared" si="39"/>
        <v/>
      </c>
      <c r="J500" s="91" t="str">
        <f t="shared" si="40"/>
        <v/>
      </c>
      <c r="K500" s="92" t="str">
        <f>IF(AND(A500="",B500="",D500="",G500=""),"",IF(AND(A500&lt;&gt;"",COUNTIF($A$2:$A$5001,A500)&gt;1),"NUMERO_PC duplicado",IF(B500="","DATA_PC vazia",IF(NOT(ISNUMBER(B500)),"DATA_PC invalida",IF(OR(C500="",C500="Fora dos ciclos"),"CICLO_PC nao identificado",IF(OR(D500="",D500=0),"VALOR_PC vazio ou zero",IF(AND(G500&lt;&gt;"Sim",G500&lt;&gt;"Nao",G500&lt;&gt;""),"PC_PAGO_A_CONTRATADA invalido",IF(AND(C500&lt;&gt;"C0",IFERROR(INDEX(parametros!$A$2:$A$6,MATCH(C500,parametros!$B$2:$B$6,0)),"")="Sim",IFERROR(INDEX(parametros!$H$2:$H$6,MATCH(C500,parametros!$B$2:$B$6,0)),"")=""),"INICIO_EFEITO ausente: PC "&amp;A500&amp;" - "&amp;C500,IF(L500="","EFEITO_PC nao calculado: PC "&amp;A500&amp;" - "&amp;C500,"OK")))))))))</f>
        <v/>
      </c>
      <c r="L500" s="92" t="str">
        <f>IF(AND(A500="",B500="",D500="",G500=""),"",IF(OR(B500="",NOT(ISNUMBER(B500)),C500="",C500="Fora dos ciclos"),"",IF(C500="C0","Nao",IF(IFERROR(INDEX(parametros!$A$2:$A$6,MATCH(C500,parametros!$B$2:$B$6,0)),"")&lt;&gt;"Sim","Nao",IF(IFERROR(INDEX(parametros!$H$2:$H$6,MATCH(C500,parametros!$B$2:$B$6,0)),"")="","",IF(B500&gt;=IFERROR(INDEX(parametros!$H$2:$H$6,MATCH(C500,parametros!$B$2:$B$6,0)),""),"Sim","Nao"))))))</f>
        <v/>
      </c>
      <c r="T500" s="156"/>
      <c r="U500" s="214" t="str">
        <f t="shared" si="41"/>
        <v/>
      </c>
      <c r="V500" s="212" t="s">
        <v>50</v>
      </c>
      <c r="W500" s="100" t="s">
        <v>168</v>
      </c>
      <c r="X500" s="100" t="s">
        <v>169</v>
      </c>
      <c r="Y500" s="101" t="s">
        <v>170</v>
      </c>
      <c r="Z500" s="101" t="s">
        <v>171</v>
      </c>
      <c r="AA500" s="101" t="s">
        <v>50</v>
      </c>
      <c r="AB500" s="101" t="s">
        <v>172</v>
      </c>
      <c r="AC500" s="102" t="s">
        <v>173</v>
      </c>
    </row>
    <row r="501" spans="1:29" ht="25.5" customHeight="1" x14ac:dyDescent="0.35">
      <c r="A501" s="392"/>
      <c r="B501" s="393"/>
      <c r="C501" s="99" t="str">
        <f>IF(B501="","",IF(NOT(ISNUMBER(B501)),"DATA_PC invalida",IF(NOT(ISNUMBER(parametros!$C$2)),"Fora dos ciclos",IF(OR(B501&lt;parametros!$C$2,(YEAR(B501)-YEAR(parametros!$C$2))*12+MONTH(B501)-MONTH(parametros!$C$2)&gt;59),"Fora dos ciclos","C"&amp;INT(((YEAR(B501)-YEAR(parametros!$C$2))*12+MONTH(B501)-MONTH(parametros!$C$2))/12)))))</f>
        <v/>
      </c>
      <c r="D501" s="394"/>
      <c r="E501" s="78" t="str">
        <f>IF(C501="","",IFERROR(VLOOKUP(C501,parametros!$A$11:$E$15,5,0),""))</f>
        <v/>
      </c>
      <c r="F501" s="79" t="str">
        <f t="shared" si="37"/>
        <v/>
      </c>
      <c r="G501" s="395"/>
      <c r="H501" s="91">
        <f t="shared" si="38"/>
        <v>0</v>
      </c>
      <c r="I501" s="91" t="str">
        <f t="shared" si="39"/>
        <v/>
      </c>
      <c r="J501" s="91" t="str">
        <f t="shared" si="40"/>
        <v/>
      </c>
      <c r="K501" s="92" t="str">
        <f>IF(AND(A501="",B501="",D501="",G501=""),"",IF(AND(A501&lt;&gt;"",COUNTIF($A$2:$A$5001,A501)&gt;1),"NUMERO_PC duplicado",IF(B501="","DATA_PC vazia",IF(NOT(ISNUMBER(B501)),"DATA_PC invalida",IF(OR(C501="",C501="Fora dos ciclos"),"CICLO_PC nao identificado",IF(OR(D501="",D501=0),"VALOR_PC vazio ou zero",IF(AND(G501&lt;&gt;"Sim",G501&lt;&gt;"Nao",G501&lt;&gt;""),"PC_PAGO_A_CONTRATADA invalido",IF(AND(C501&lt;&gt;"C0",IFERROR(INDEX(parametros!$A$2:$A$6,MATCH(C501,parametros!$B$2:$B$6,0)),"")="Sim",IFERROR(INDEX(parametros!$H$2:$H$6,MATCH(C501,parametros!$B$2:$B$6,0)),"")=""),"INICIO_EFEITO ausente: PC "&amp;A501&amp;" - "&amp;C501,IF(L501="","EFEITO_PC nao calculado: PC "&amp;A501&amp;" - "&amp;C501,"OK")))))))))</f>
        <v/>
      </c>
      <c r="L501" s="92" t="str">
        <f>IF(AND(A501="",B501="",D501="",G501=""),"",IF(OR(B501="",NOT(ISNUMBER(B501)),C501="",C501="Fora dos ciclos"),"",IF(C501="C0","Nao",IF(IFERROR(INDEX(parametros!$A$2:$A$6,MATCH(C501,parametros!$B$2:$B$6,0)),"")&lt;&gt;"Sim","Nao",IF(IFERROR(INDEX(parametros!$H$2:$H$6,MATCH(C501,parametros!$B$2:$B$6,0)),"")="","",IF(B501&gt;=IFERROR(INDEX(parametros!$H$2:$H$6,MATCH(C501,parametros!$B$2:$B$6,0)),""),"Sim","Nao"))))))</f>
        <v/>
      </c>
      <c r="T501" s="156"/>
      <c r="U501" s="214" t="str">
        <f t="shared" si="41"/>
        <v/>
      </c>
      <c r="V501" s="212" t="s">
        <v>50</v>
      </c>
      <c r="W501" s="100" t="s">
        <v>168</v>
      </c>
      <c r="X501" s="100" t="s">
        <v>169</v>
      </c>
      <c r="Y501" s="101" t="s">
        <v>170</v>
      </c>
      <c r="Z501" s="101" t="s">
        <v>171</v>
      </c>
      <c r="AA501" s="101" t="s">
        <v>50</v>
      </c>
      <c r="AB501" s="101" t="s">
        <v>172</v>
      </c>
      <c r="AC501" s="102" t="s">
        <v>173</v>
      </c>
    </row>
    <row r="502" spans="1:29" ht="25.5" customHeight="1" x14ac:dyDescent="0.35">
      <c r="A502" s="392"/>
      <c r="B502" s="393"/>
      <c r="C502" s="99" t="str">
        <f>IF(B502="","",IF(NOT(ISNUMBER(B502)),"DATA_PC invalida",IF(NOT(ISNUMBER(parametros!$C$2)),"Fora dos ciclos",IF(OR(B502&lt;parametros!$C$2,(YEAR(B502)-YEAR(parametros!$C$2))*12+MONTH(B502)-MONTH(parametros!$C$2)&gt;59),"Fora dos ciclos","C"&amp;INT(((YEAR(B502)-YEAR(parametros!$C$2))*12+MONTH(B502)-MONTH(parametros!$C$2))/12)))))</f>
        <v/>
      </c>
      <c r="D502" s="394"/>
      <c r="E502" s="78" t="str">
        <f>IF(C502="","",IFERROR(VLOOKUP(C502,parametros!$A$11:$E$15,5,0),""))</f>
        <v/>
      </c>
      <c r="F502" s="79" t="str">
        <f t="shared" si="37"/>
        <v/>
      </c>
      <c r="G502" s="395"/>
      <c r="H502" s="91">
        <f t="shared" si="38"/>
        <v>0</v>
      </c>
      <c r="I502" s="91" t="str">
        <f t="shared" si="39"/>
        <v/>
      </c>
      <c r="J502" s="91" t="str">
        <f t="shared" si="40"/>
        <v/>
      </c>
      <c r="K502" s="92" t="str">
        <f>IF(AND(A502="",B502="",D502="",G502=""),"",IF(AND(A502&lt;&gt;"",COUNTIF($A$2:$A$5001,A502)&gt;1),"NUMERO_PC duplicado",IF(B502="","DATA_PC vazia",IF(NOT(ISNUMBER(B502)),"DATA_PC invalida",IF(OR(C502="",C502="Fora dos ciclos"),"CICLO_PC nao identificado",IF(OR(D502="",D502=0),"VALOR_PC vazio ou zero",IF(AND(G502&lt;&gt;"Sim",G502&lt;&gt;"Nao",G502&lt;&gt;""),"PC_PAGO_A_CONTRATADA invalido",IF(AND(C502&lt;&gt;"C0",IFERROR(INDEX(parametros!$A$2:$A$6,MATCH(C502,parametros!$B$2:$B$6,0)),"")="Sim",IFERROR(INDEX(parametros!$H$2:$H$6,MATCH(C502,parametros!$B$2:$B$6,0)),"")=""),"INICIO_EFEITO ausente: PC "&amp;A502&amp;" - "&amp;C502,IF(L502="","EFEITO_PC nao calculado: PC "&amp;A502&amp;" - "&amp;C502,"OK")))))))))</f>
        <v/>
      </c>
      <c r="L502" s="92" t="str">
        <f>IF(AND(A502="",B502="",D502="",G502=""),"",IF(OR(B502="",NOT(ISNUMBER(B502)),C502="",C502="Fora dos ciclos"),"",IF(C502="C0","Nao",IF(IFERROR(INDEX(parametros!$A$2:$A$6,MATCH(C502,parametros!$B$2:$B$6,0)),"")&lt;&gt;"Sim","Nao",IF(IFERROR(INDEX(parametros!$H$2:$H$6,MATCH(C502,parametros!$B$2:$B$6,0)),"")="","",IF(B502&gt;=IFERROR(INDEX(parametros!$H$2:$H$6,MATCH(C502,parametros!$B$2:$B$6,0)),""),"Sim","Nao"))))))</f>
        <v/>
      </c>
      <c r="T502" s="156"/>
      <c r="U502" s="214" t="str">
        <f t="shared" si="41"/>
        <v/>
      </c>
      <c r="V502" s="212" t="s">
        <v>50</v>
      </c>
      <c r="W502" s="100" t="s">
        <v>168</v>
      </c>
      <c r="X502" s="100" t="s">
        <v>169</v>
      </c>
      <c r="Y502" s="101" t="s">
        <v>170</v>
      </c>
      <c r="Z502" s="101" t="s">
        <v>171</v>
      </c>
      <c r="AA502" s="101" t="s">
        <v>50</v>
      </c>
      <c r="AB502" s="101" t="s">
        <v>172</v>
      </c>
      <c r="AC502" s="102" t="s">
        <v>173</v>
      </c>
    </row>
    <row r="503" spans="1:29" ht="25.5" customHeight="1" x14ac:dyDescent="0.35">
      <c r="A503" s="392"/>
      <c r="B503" s="393"/>
      <c r="C503" s="99" t="str">
        <f>IF(B503="","",IF(NOT(ISNUMBER(B503)),"DATA_PC invalida",IF(NOT(ISNUMBER(parametros!$C$2)),"Fora dos ciclos",IF(OR(B503&lt;parametros!$C$2,(YEAR(B503)-YEAR(parametros!$C$2))*12+MONTH(B503)-MONTH(parametros!$C$2)&gt;59),"Fora dos ciclos","C"&amp;INT(((YEAR(B503)-YEAR(parametros!$C$2))*12+MONTH(B503)-MONTH(parametros!$C$2))/12)))))</f>
        <v/>
      </c>
      <c r="D503" s="394"/>
      <c r="E503" s="78" t="str">
        <f>IF(C503="","",IFERROR(VLOOKUP(C503,parametros!$A$11:$E$15,5,0),""))</f>
        <v/>
      </c>
      <c r="F503" s="79" t="str">
        <f t="shared" si="37"/>
        <v/>
      </c>
      <c r="G503" s="395"/>
      <c r="H503" s="91">
        <f t="shared" si="38"/>
        <v>0</v>
      </c>
      <c r="I503" s="91" t="str">
        <f t="shared" si="39"/>
        <v/>
      </c>
      <c r="J503" s="91" t="str">
        <f t="shared" si="40"/>
        <v/>
      </c>
      <c r="K503" s="92" t="str">
        <f>IF(AND(A503="",B503="",D503="",G503=""),"",IF(AND(A503&lt;&gt;"",COUNTIF($A$2:$A$5001,A503)&gt;1),"NUMERO_PC duplicado",IF(B503="","DATA_PC vazia",IF(NOT(ISNUMBER(B503)),"DATA_PC invalida",IF(OR(C503="",C503="Fora dos ciclos"),"CICLO_PC nao identificado",IF(OR(D503="",D503=0),"VALOR_PC vazio ou zero",IF(AND(G503&lt;&gt;"Sim",G503&lt;&gt;"Nao",G503&lt;&gt;""),"PC_PAGO_A_CONTRATADA invalido",IF(AND(C503&lt;&gt;"C0",IFERROR(INDEX(parametros!$A$2:$A$6,MATCH(C503,parametros!$B$2:$B$6,0)),"")="Sim",IFERROR(INDEX(parametros!$H$2:$H$6,MATCH(C503,parametros!$B$2:$B$6,0)),"")=""),"INICIO_EFEITO ausente: PC "&amp;A503&amp;" - "&amp;C503,IF(L503="","EFEITO_PC nao calculado: PC "&amp;A503&amp;" - "&amp;C503,"OK")))))))))</f>
        <v/>
      </c>
      <c r="L503" s="92" t="str">
        <f>IF(AND(A503="",B503="",D503="",G503=""),"",IF(OR(B503="",NOT(ISNUMBER(B503)),C503="",C503="Fora dos ciclos"),"",IF(C503="C0","Nao",IF(IFERROR(INDEX(parametros!$A$2:$A$6,MATCH(C503,parametros!$B$2:$B$6,0)),"")&lt;&gt;"Sim","Nao",IF(IFERROR(INDEX(parametros!$H$2:$H$6,MATCH(C503,parametros!$B$2:$B$6,0)),"")="","",IF(B503&gt;=IFERROR(INDEX(parametros!$H$2:$H$6,MATCH(C503,parametros!$B$2:$B$6,0)),""),"Sim","Nao"))))))</f>
        <v/>
      </c>
      <c r="T503" s="156"/>
      <c r="U503" s="214" t="str">
        <f t="shared" si="41"/>
        <v/>
      </c>
      <c r="V503" s="212" t="s">
        <v>50</v>
      </c>
      <c r="W503" s="100" t="s">
        <v>168</v>
      </c>
      <c r="X503" s="100" t="s">
        <v>169</v>
      </c>
      <c r="Y503" s="101" t="s">
        <v>170</v>
      </c>
      <c r="Z503" s="101" t="s">
        <v>171</v>
      </c>
      <c r="AA503" s="101" t="s">
        <v>50</v>
      </c>
      <c r="AB503" s="101" t="s">
        <v>172</v>
      </c>
      <c r="AC503" s="102" t="s">
        <v>173</v>
      </c>
    </row>
    <row r="504" spans="1:29" ht="25.5" customHeight="1" x14ac:dyDescent="0.35">
      <c r="A504" s="392"/>
      <c r="B504" s="393"/>
      <c r="C504" s="99" t="str">
        <f>IF(B504="","",IF(NOT(ISNUMBER(B504)),"DATA_PC invalida",IF(NOT(ISNUMBER(parametros!$C$2)),"Fora dos ciclos",IF(OR(B504&lt;parametros!$C$2,(YEAR(B504)-YEAR(parametros!$C$2))*12+MONTH(B504)-MONTH(parametros!$C$2)&gt;59),"Fora dos ciclos","C"&amp;INT(((YEAR(B504)-YEAR(parametros!$C$2))*12+MONTH(B504)-MONTH(parametros!$C$2))/12)))))</f>
        <v/>
      </c>
      <c r="D504" s="394"/>
      <c r="E504" s="78" t="str">
        <f>IF(C504="","",IFERROR(VLOOKUP(C504,parametros!$A$11:$E$15,5,0),""))</f>
        <v/>
      </c>
      <c r="F504" s="79" t="str">
        <f t="shared" si="37"/>
        <v/>
      </c>
      <c r="G504" s="395"/>
      <c r="H504" s="91">
        <f t="shared" si="38"/>
        <v>0</v>
      </c>
      <c r="I504" s="91" t="str">
        <f t="shared" si="39"/>
        <v/>
      </c>
      <c r="J504" s="91" t="str">
        <f t="shared" si="40"/>
        <v/>
      </c>
      <c r="K504" s="92" t="str">
        <f>IF(AND(A504="",B504="",D504="",G504=""),"",IF(AND(A504&lt;&gt;"",COUNTIF($A$2:$A$5001,A504)&gt;1),"NUMERO_PC duplicado",IF(B504="","DATA_PC vazia",IF(NOT(ISNUMBER(B504)),"DATA_PC invalida",IF(OR(C504="",C504="Fora dos ciclos"),"CICLO_PC nao identificado",IF(OR(D504="",D504=0),"VALOR_PC vazio ou zero",IF(AND(G504&lt;&gt;"Sim",G504&lt;&gt;"Nao",G504&lt;&gt;""),"PC_PAGO_A_CONTRATADA invalido",IF(AND(C504&lt;&gt;"C0",IFERROR(INDEX(parametros!$A$2:$A$6,MATCH(C504,parametros!$B$2:$B$6,0)),"")="Sim",IFERROR(INDEX(parametros!$H$2:$H$6,MATCH(C504,parametros!$B$2:$B$6,0)),"")=""),"INICIO_EFEITO ausente: PC "&amp;A504&amp;" - "&amp;C504,IF(L504="","EFEITO_PC nao calculado: PC "&amp;A504&amp;" - "&amp;C504,"OK")))))))))</f>
        <v/>
      </c>
      <c r="L504" s="92" t="str">
        <f>IF(AND(A504="",B504="",D504="",G504=""),"",IF(OR(B504="",NOT(ISNUMBER(B504)),C504="",C504="Fora dos ciclos"),"",IF(C504="C0","Nao",IF(IFERROR(INDEX(parametros!$A$2:$A$6,MATCH(C504,parametros!$B$2:$B$6,0)),"")&lt;&gt;"Sim","Nao",IF(IFERROR(INDEX(parametros!$H$2:$H$6,MATCH(C504,parametros!$B$2:$B$6,0)),"")="","",IF(B504&gt;=IFERROR(INDEX(parametros!$H$2:$H$6,MATCH(C504,parametros!$B$2:$B$6,0)),""),"Sim","Nao"))))))</f>
        <v/>
      </c>
      <c r="T504" s="156"/>
      <c r="U504" s="214" t="str">
        <f t="shared" si="41"/>
        <v/>
      </c>
      <c r="V504" s="212" t="s">
        <v>50</v>
      </c>
      <c r="W504" s="100" t="s">
        <v>168</v>
      </c>
      <c r="X504" s="100" t="s">
        <v>169</v>
      </c>
      <c r="Y504" s="101" t="s">
        <v>170</v>
      </c>
      <c r="Z504" s="101" t="s">
        <v>171</v>
      </c>
      <c r="AA504" s="101" t="s">
        <v>50</v>
      </c>
      <c r="AB504" s="101" t="s">
        <v>172</v>
      </c>
      <c r="AC504" s="102" t="s">
        <v>173</v>
      </c>
    </row>
    <row r="505" spans="1:29" ht="25.5" customHeight="1" x14ac:dyDescent="0.35">
      <c r="A505" s="392"/>
      <c r="B505" s="393"/>
      <c r="C505" s="99" t="str">
        <f>IF(B505="","",IF(NOT(ISNUMBER(B505)),"DATA_PC invalida",IF(NOT(ISNUMBER(parametros!$C$2)),"Fora dos ciclos",IF(OR(B505&lt;parametros!$C$2,(YEAR(B505)-YEAR(parametros!$C$2))*12+MONTH(B505)-MONTH(parametros!$C$2)&gt;59),"Fora dos ciclos","C"&amp;INT(((YEAR(B505)-YEAR(parametros!$C$2))*12+MONTH(B505)-MONTH(parametros!$C$2))/12)))))</f>
        <v/>
      </c>
      <c r="D505" s="394"/>
      <c r="E505" s="78" t="str">
        <f>IF(C505="","",IFERROR(VLOOKUP(C505,parametros!$A$11:$E$15,5,0),""))</f>
        <v/>
      </c>
      <c r="F505" s="79" t="str">
        <f t="shared" si="37"/>
        <v/>
      </c>
      <c r="G505" s="395"/>
      <c r="H505" s="91">
        <f t="shared" si="38"/>
        <v>0</v>
      </c>
      <c r="I505" s="91" t="str">
        <f t="shared" si="39"/>
        <v/>
      </c>
      <c r="J505" s="91" t="str">
        <f t="shared" si="40"/>
        <v/>
      </c>
      <c r="K505" s="92" t="str">
        <f>IF(AND(A505="",B505="",D505="",G505=""),"",IF(AND(A505&lt;&gt;"",COUNTIF($A$2:$A$5001,A505)&gt;1),"NUMERO_PC duplicado",IF(B505="","DATA_PC vazia",IF(NOT(ISNUMBER(B505)),"DATA_PC invalida",IF(OR(C505="",C505="Fora dos ciclos"),"CICLO_PC nao identificado",IF(OR(D505="",D505=0),"VALOR_PC vazio ou zero",IF(AND(G505&lt;&gt;"Sim",G505&lt;&gt;"Nao",G505&lt;&gt;""),"PC_PAGO_A_CONTRATADA invalido",IF(AND(C505&lt;&gt;"C0",IFERROR(INDEX(parametros!$A$2:$A$6,MATCH(C505,parametros!$B$2:$B$6,0)),"")="Sim",IFERROR(INDEX(parametros!$H$2:$H$6,MATCH(C505,parametros!$B$2:$B$6,0)),"")=""),"INICIO_EFEITO ausente: PC "&amp;A505&amp;" - "&amp;C505,IF(L505="","EFEITO_PC nao calculado: PC "&amp;A505&amp;" - "&amp;C505,"OK")))))))))</f>
        <v/>
      </c>
      <c r="L505" s="92" t="str">
        <f>IF(AND(A505="",B505="",D505="",G505=""),"",IF(OR(B505="",NOT(ISNUMBER(B505)),C505="",C505="Fora dos ciclos"),"",IF(C505="C0","Nao",IF(IFERROR(INDEX(parametros!$A$2:$A$6,MATCH(C505,parametros!$B$2:$B$6,0)),"")&lt;&gt;"Sim","Nao",IF(IFERROR(INDEX(parametros!$H$2:$H$6,MATCH(C505,parametros!$B$2:$B$6,0)),"")="","",IF(B505&gt;=IFERROR(INDEX(parametros!$H$2:$H$6,MATCH(C505,parametros!$B$2:$B$6,0)),""),"Sim","Nao"))))))</f>
        <v/>
      </c>
      <c r="T505" s="156"/>
      <c r="U505" s="214" t="str">
        <f t="shared" si="41"/>
        <v/>
      </c>
      <c r="V505" s="212" t="s">
        <v>50</v>
      </c>
      <c r="W505" s="100" t="s">
        <v>168</v>
      </c>
      <c r="X505" s="100" t="s">
        <v>169</v>
      </c>
      <c r="Y505" s="101" t="s">
        <v>170</v>
      </c>
      <c r="Z505" s="101" t="s">
        <v>171</v>
      </c>
      <c r="AA505" s="101" t="s">
        <v>50</v>
      </c>
      <c r="AB505" s="101" t="s">
        <v>172</v>
      </c>
      <c r="AC505" s="102" t="s">
        <v>173</v>
      </c>
    </row>
    <row r="506" spans="1:29" ht="25.5" customHeight="1" x14ac:dyDescent="0.35">
      <c r="A506" s="392"/>
      <c r="B506" s="393"/>
      <c r="C506" s="99" t="str">
        <f>IF(B506="","",IF(NOT(ISNUMBER(B506)),"DATA_PC invalida",IF(NOT(ISNUMBER(parametros!$C$2)),"Fora dos ciclos",IF(OR(B506&lt;parametros!$C$2,(YEAR(B506)-YEAR(parametros!$C$2))*12+MONTH(B506)-MONTH(parametros!$C$2)&gt;59),"Fora dos ciclos","C"&amp;INT(((YEAR(B506)-YEAR(parametros!$C$2))*12+MONTH(B506)-MONTH(parametros!$C$2))/12)))))</f>
        <v/>
      </c>
      <c r="D506" s="394"/>
      <c r="E506" s="78" t="str">
        <f>IF(C506="","",IFERROR(VLOOKUP(C506,parametros!$A$11:$E$15,5,0),""))</f>
        <v/>
      </c>
      <c r="F506" s="79" t="str">
        <f t="shared" si="37"/>
        <v/>
      </c>
      <c r="G506" s="395"/>
      <c r="H506" s="91">
        <f t="shared" si="38"/>
        <v>0</v>
      </c>
      <c r="I506" s="91" t="str">
        <f t="shared" si="39"/>
        <v/>
      </c>
      <c r="J506" s="91" t="str">
        <f t="shared" si="40"/>
        <v/>
      </c>
      <c r="K506" s="92" t="str">
        <f>IF(AND(A506="",B506="",D506="",G506=""),"",IF(AND(A506&lt;&gt;"",COUNTIF($A$2:$A$5001,A506)&gt;1),"NUMERO_PC duplicado",IF(B506="","DATA_PC vazia",IF(NOT(ISNUMBER(B506)),"DATA_PC invalida",IF(OR(C506="",C506="Fora dos ciclos"),"CICLO_PC nao identificado",IF(OR(D506="",D506=0),"VALOR_PC vazio ou zero",IF(AND(G506&lt;&gt;"Sim",G506&lt;&gt;"Nao",G506&lt;&gt;""),"PC_PAGO_A_CONTRATADA invalido",IF(AND(C506&lt;&gt;"C0",IFERROR(INDEX(parametros!$A$2:$A$6,MATCH(C506,parametros!$B$2:$B$6,0)),"")="Sim",IFERROR(INDEX(parametros!$H$2:$H$6,MATCH(C506,parametros!$B$2:$B$6,0)),"")=""),"INICIO_EFEITO ausente: PC "&amp;A506&amp;" - "&amp;C506,IF(L506="","EFEITO_PC nao calculado: PC "&amp;A506&amp;" - "&amp;C506,"OK")))))))))</f>
        <v/>
      </c>
      <c r="L506" s="92" t="str">
        <f>IF(AND(A506="",B506="",D506="",G506=""),"",IF(OR(B506="",NOT(ISNUMBER(B506)),C506="",C506="Fora dos ciclos"),"",IF(C506="C0","Nao",IF(IFERROR(INDEX(parametros!$A$2:$A$6,MATCH(C506,parametros!$B$2:$B$6,0)),"")&lt;&gt;"Sim","Nao",IF(IFERROR(INDEX(parametros!$H$2:$H$6,MATCH(C506,parametros!$B$2:$B$6,0)),"")="","",IF(B506&gt;=IFERROR(INDEX(parametros!$H$2:$H$6,MATCH(C506,parametros!$B$2:$B$6,0)),""),"Sim","Nao"))))))</f>
        <v/>
      </c>
      <c r="T506" s="156"/>
      <c r="U506" s="214" t="str">
        <f t="shared" si="41"/>
        <v/>
      </c>
      <c r="V506" s="212" t="s">
        <v>50</v>
      </c>
      <c r="W506" s="100" t="s">
        <v>168</v>
      </c>
      <c r="X506" s="100" t="s">
        <v>169</v>
      </c>
      <c r="Y506" s="101" t="s">
        <v>170</v>
      </c>
      <c r="Z506" s="101" t="s">
        <v>171</v>
      </c>
      <c r="AA506" s="101" t="s">
        <v>50</v>
      </c>
      <c r="AB506" s="101" t="s">
        <v>172</v>
      </c>
      <c r="AC506" s="102" t="s">
        <v>173</v>
      </c>
    </row>
    <row r="507" spans="1:29" ht="25.5" customHeight="1" x14ac:dyDescent="0.35">
      <c r="A507" s="392"/>
      <c r="B507" s="393"/>
      <c r="C507" s="99" t="str">
        <f>IF(B507="","",IF(NOT(ISNUMBER(B507)),"DATA_PC invalida",IF(NOT(ISNUMBER(parametros!$C$2)),"Fora dos ciclos",IF(OR(B507&lt;parametros!$C$2,(YEAR(B507)-YEAR(parametros!$C$2))*12+MONTH(B507)-MONTH(parametros!$C$2)&gt;59),"Fora dos ciclos","C"&amp;INT(((YEAR(B507)-YEAR(parametros!$C$2))*12+MONTH(B507)-MONTH(parametros!$C$2))/12)))))</f>
        <v/>
      </c>
      <c r="D507" s="394"/>
      <c r="E507" s="78" t="str">
        <f>IF(C507="","",IFERROR(VLOOKUP(C507,parametros!$A$11:$E$15,5,0),""))</f>
        <v/>
      </c>
      <c r="F507" s="79" t="str">
        <f t="shared" si="37"/>
        <v/>
      </c>
      <c r="G507" s="395"/>
      <c r="H507" s="91">
        <f t="shared" si="38"/>
        <v>0</v>
      </c>
      <c r="I507" s="91" t="str">
        <f t="shared" si="39"/>
        <v/>
      </c>
      <c r="J507" s="91" t="str">
        <f t="shared" si="40"/>
        <v/>
      </c>
      <c r="K507" s="92" t="str">
        <f>IF(AND(A507="",B507="",D507="",G507=""),"",IF(AND(A507&lt;&gt;"",COUNTIF($A$2:$A$5001,A507)&gt;1),"NUMERO_PC duplicado",IF(B507="","DATA_PC vazia",IF(NOT(ISNUMBER(B507)),"DATA_PC invalida",IF(OR(C507="",C507="Fora dos ciclos"),"CICLO_PC nao identificado",IF(OR(D507="",D507=0),"VALOR_PC vazio ou zero",IF(AND(G507&lt;&gt;"Sim",G507&lt;&gt;"Nao",G507&lt;&gt;""),"PC_PAGO_A_CONTRATADA invalido",IF(AND(C507&lt;&gt;"C0",IFERROR(INDEX(parametros!$A$2:$A$6,MATCH(C507,parametros!$B$2:$B$6,0)),"")="Sim",IFERROR(INDEX(parametros!$H$2:$H$6,MATCH(C507,parametros!$B$2:$B$6,0)),"")=""),"INICIO_EFEITO ausente: PC "&amp;A507&amp;" - "&amp;C507,IF(L507="","EFEITO_PC nao calculado: PC "&amp;A507&amp;" - "&amp;C507,"OK")))))))))</f>
        <v/>
      </c>
      <c r="L507" s="92" t="str">
        <f>IF(AND(A507="",B507="",D507="",G507=""),"",IF(OR(B507="",NOT(ISNUMBER(B507)),C507="",C507="Fora dos ciclos"),"",IF(C507="C0","Nao",IF(IFERROR(INDEX(parametros!$A$2:$A$6,MATCH(C507,parametros!$B$2:$B$6,0)),"")&lt;&gt;"Sim","Nao",IF(IFERROR(INDEX(parametros!$H$2:$H$6,MATCH(C507,parametros!$B$2:$B$6,0)),"")="","",IF(B507&gt;=IFERROR(INDEX(parametros!$H$2:$H$6,MATCH(C507,parametros!$B$2:$B$6,0)),""),"Sim","Nao"))))))</f>
        <v/>
      </c>
      <c r="T507" s="156"/>
      <c r="U507" s="214" t="str">
        <f t="shared" si="41"/>
        <v/>
      </c>
      <c r="V507" s="212" t="s">
        <v>50</v>
      </c>
      <c r="W507" s="100" t="s">
        <v>168</v>
      </c>
      <c r="X507" s="100" t="s">
        <v>169</v>
      </c>
      <c r="Y507" s="101" t="s">
        <v>170</v>
      </c>
      <c r="Z507" s="101" t="s">
        <v>171</v>
      </c>
      <c r="AA507" s="101" t="s">
        <v>50</v>
      </c>
      <c r="AB507" s="101" t="s">
        <v>172</v>
      </c>
      <c r="AC507" s="102" t="s">
        <v>173</v>
      </c>
    </row>
    <row r="508" spans="1:29" ht="25.5" customHeight="1" x14ac:dyDescent="0.35">
      <c r="A508" s="392"/>
      <c r="B508" s="393"/>
      <c r="C508" s="99" t="str">
        <f>IF(B508="","",IF(NOT(ISNUMBER(B508)),"DATA_PC invalida",IF(NOT(ISNUMBER(parametros!$C$2)),"Fora dos ciclos",IF(OR(B508&lt;parametros!$C$2,(YEAR(B508)-YEAR(parametros!$C$2))*12+MONTH(B508)-MONTH(parametros!$C$2)&gt;59),"Fora dos ciclos","C"&amp;INT(((YEAR(B508)-YEAR(parametros!$C$2))*12+MONTH(B508)-MONTH(parametros!$C$2))/12)))))</f>
        <v/>
      </c>
      <c r="D508" s="394"/>
      <c r="E508" s="78" t="str">
        <f>IF(C508="","",IFERROR(VLOOKUP(C508,parametros!$A$11:$E$15,5,0),""))</f>
        <v/>
      </c>
      <c r="F508" s="79" t="str">
        <f t="shared" si="37"/>
        <v/>
      </c>
      <c r="G508" s="395"/>
      <c r="H508" s="91">
        <f t="shared" si="38"/>
        <v>0</v>
      </c>
      <c r="I508" s="91" t="str">
        <f t="shared" si="39"/>
        <v/>
      </c>
      <c r="J508" s="91" t="str">
        <f t="shared" si="40"/>
        <v/>
      </c>
      <c r="K508" s="92" t="str">
        <f>IF(AND(A508="",B508="",D508="",G508=""),"",IF(AND(A508&lt;&gt;"",COUNTIF($A$2:$A$5001,A508)&gt;1),"NUMERO_PC duplicado",IF(B508="","DATA_PC vazia",IF(NOT(ISNUMBER(B508)),"DATA_PC invalida",IF(OR(C508="",C508="Fora dos ciclos"),"CICLO_PC nao identificado",IF(OR(D508="",D508=0),"VALOR_PC vazio ou zero",IF(AND(G508&lt;&gt;"Sim",G508&lt;&gt;"Nao",G508&lt;&gt;""),"PC_PAGO_A_CONTRATADA invalido",IF(AND(C508&lt;&gt;"C0",IFERROR(INDEX(parametros!$A$2:$A$6,MATCH(C508,parametros!$B$2:$B$6,0)),"")="Sim",IFERROR(INDEX(parametros!$H$2:$H$6,MATCH(C508,parametros!$B$2:$B$6,0)),"")=""),"INICIO_EFEITO ausente: PC "&amp;A508&amp;" - "&amp;C508,IF(L508="","EFEITO_PC nao calculado: PC "&amp;A508&amp;" - "&amp;C508,"OK")))))))))</f>
        <v/>
      </c>
      <c r="L508" s="92" t="str">
        <f>IF(AND(A508="",B508="",D508="",G508=""),"",IF(OR(B508="",NOT(ISNUMBER(B508)),C508="",C508="Fora dos ciclos"),"",IF(C508="C0","Nao",IF(IFERROR(INDEX(parametros!$A$2:$A$6,MATCH(C508,parametros!$B$2:$B$6,0)),"")&lt;&gt;"Sim","Nao",IF(IFERROR(INDEX(parametros!$H$2:$H$6,MATCH(C508,parametros!$B$2:$B$6,0)),"")="","",IF(B508&gt;=IFERROR(INDEX(parametros!$H$2:$H$6,MATCH(C508,parametros!$B$2:$B$6,0)),""),"Sim","Nao"))))))</f>
        <v/>
      </c>
      <c r="T508" s="156"/>
      <c r="U508" s="214" t="str">
        <f t="shared" si="41"/>
        <v/>
      </c>
      <c r="V508" s="212" t="s">
        <v>50</v>
      </c>
      <c r="W508" s="100" t="s">
        <v>168</v>
      </c>
      <c r="X508" s="100" t="s">
        <v>169</v>
      </c>
      <c r="Y508" s="101" t="s">
        <v>170</v>
      </c>
      <c r="Z508" s="101" t="s">
        <v>171</v>
      </c>
      <c r="AA508" s="101" t="s">
        <v>50</v>
      </c>
      <c r="AB508" s="101" t="s">
        <v>172</v>
      </c>
      <c r="AC508" s="102" t="s">
        <v>173</v>
      </c>
    </row>
    <row r="509" spans="1:29" ht="25.5" customHeight="1" x14ac:dyDescent="0.35">
      <c r="A509" s="392"/>
      <c r="B509" s="393"/>
      <c r="C509" s="99" t="str">
        <f>IF(B509="","",IF(NOT(ISNUMBER(B509)),"DATA_PC invalida",IF(NOT(ISNUMBER(parametros!$C$2)),"Fora dos ciclos",IF(OR(B509&lt;parametros!$C$2,(YEAR(B509)-YEAR(parametros!$C$2))*12+MONTH(B509)-MONTH(parametros!$C$2)&gt;59),"Fora dos ciclos","C"&amp;INT(((YEAR(B509)-YEAR(parametros!$C$2))*12+MONTH(B509)-MONTH(parametros!$C$2))/12)))))</f>
        <v/>
      </c>
      <c r="D509" s="394"/>
      <c r="E509" s="78" t="str">
        <f>IF(C509="","",IFERROR(VLOOKUP(C509,parametros!$A$11:$E$15,5,0),""))</f>
        <v/>
      </c>
      <c r="F509" s="79" t="str">
        <f t="shared" si="37"/>
        <v/>
      </c>
      <c r="G509" s="395"/>
      <c r="H509" s="91">
        <f t="shared" si="38"/>
        <v>0</v>
      </c>
      <c r="I509" s="91" t="str">
        <f t="shared" si="39"/>
        <v/>
      </c>
      <c r="J509" s="91" t="str">
        <f t="shared" si="40"/>
        <v/>
      </c>
      <c r="K509" s="92" t="str">
        <f>IF(AND(A509="",B509="",D509="",G509=""),"",IF(AND(A509&lt;&gt;"",COUNTIF($A$2:$A$5001,A509)&gt;1),"NUMERO_PC duplicado",IF(B509="","DATA_PC vazia",IF(NOT(ISNUMBER(B509)),"DATA_PC invalida",IF(OR(C509="",C509="Fora dos ciclos"),"CICLO_PC nao identificado",IF(OR(D509="",D509=0),"VALOR_PC vazio ou zero",IF(AND(G509&lt;&gt;"Sim",G509&lt;&gt;"Nao",G509&lt;&gt;""),"PC_PAGO_A_CONTRATADA invalido",IF(AND(C509&lt;&gt;"C0",IFERROR(INDEX(parametros!$A$2:$A$6,MATCH(C509,parametros!$B$2:$B$6,0)),"")="Sim",IFERROR(INDEX(parametros!$H$2:$H$6,MATCH(C509,parametros!$B$2:$B$6,0)),"")=""),"INICIO_EFEITO ausente: PC "&amp;A509&amp;" - "&amp;C509,IF(L509="","EFEITO_PC nao calculado: PC "&amp;A509&amp;" - "&amp;C509,"OK")))))))))</f>
        <v/>
      </c>
      <c r="L509" s="92" t="str">
        <f>IF(AND(A509="",B509="",D509="",G509=""),"",IF(OR(B509="",NOT(ISNUMBER(B509)),C509="",C509="Fora dos ciclos"),"",IF(C509="C0","Nao",IF(IFERROR(INDEX(parametros!$A$2:$A$6,MATCH(C509,parametros!$B$2:$B$6,0)),"")&lt;&gt;"Sim","Nao",IF(IFERROR(INDEX(parametros!$H$2:$H$6,MATCH(C509,parametros!$B$2:$B$6,0)),"")="","",IF(B509&gt;=IFERROR(INDEX(parametros!$H$2:$H$6,MATCH(C509,parametros!$B$2:$B$6,0)),""),"Sim","Nao"))))))</f>
        <v/>
      </c>
      <c r="T509" s="156"/>
      <c r="U509" s="214" t="str">
        <f t="shared" si="41"/>
        <v/>
      </c>
      <c r="V509" s="212" t="s">
        <v>50</v>
      </c>
      <c r="W509" s="100" t="s">
        <v>168</v>
      </c>
      <c r="X509" s="100" t="s">
        <v>169</v>
      </c>
      <c r="Y509" s="101" t="s">
        <v>170</v>
      </c>
      <c r="Z509" s="101" t="s">
        <v>171</v>
      </c>
      <c r="AA509" s="101" t="s">
        <v>50</v>
      </c>
      <c r="AB509" s="101" t="s">
        <v>172</v>
      </c>
      <c r="AC509" s="102" t="s">
        <v>173</v>
      </c>
    </row>
    <row r="510" spans="1:29" ht="25.5" customHeight="1" x14ac:dyDescent="0.35">
      <c r="A510" s="392"/>
      <c r="B510" s="393"/>
      <c r="C510" s="99" t="str">
        <f>IF(B510="","",IF(NOT(ISNUMBER(B510)),"DATA_PC invalida",IF(NOT(ISNUMBER(parametros!$C$2)),"Fora dos ciclos",IF(OR(B510&lt;parametros!$C$2,(YEAR(B510)-YEAR(parametros!$C$2))*12+MONTH(B510)-MONTH(parametros!$C$2)&gt;59),"Fora dos ciclos","C"&amp;INT(((YEAR(B510)-YEAR(parametros!$C$2))*12+MONTH(B510)-MONTH(parametros!$C$2))/12)))))</f>
        <v/>
      </c>
      <c r="D510" s="394"/>
      <c r="E510" s="78" t="str">
        <f>IF(C510="","",IFERROR(VLOOKUP(C510,parametros!$A$11:$E$15,5,0),""))</f>
        <v/>
      </c>
      <c r="F510" s="79" t="str">
        <f t="shared" si="37"/>
        <v/>
      </c>
      <c r="G510" s="395"/>
      <c r="H510" s="91">
        <f t="shared" si="38"/>
        <v>0</v>
      </c>
      <c r="I510" s="91" t="str">
        <f t="shared" si="39"/>
        <v/>
      </c>
      <c r="J510" s="91" t="str">
        <f t="shared" si="40"/>
        <v/>
      </c>
      <c r="K510" s="92" t="str">
        <f>IF(AND(A510="",B510="",D510="",G510=""),"",IF(AND(A510&lt;&gt;"",COUNTIF($A$2:$A$5001,A510)&gt;1),"NUMERO_PC duplicado",IF(B510="","DATA_PC vazia",IF(NOT(ISNUMBER(B510)),"DATA_PC invalida",IF(OR(C510="",C510="Fora dos ciclos"),"CICLO_PC nao identificado",IF(OR(D510="",D510=0),"VALOR_PC vazio ou zero",IF(AND(G510&lt;&gt;"Sim",G510&lt;&gt;"Nao",G510&lt;&gt;""),"PC_PAGO_A_CONTRATADA invalido",IF(AND(C510&lt;&gt;"C0",IFERROR(INDEX(parametros!$A$2:$A$6,MATCH(C510,parametros!$B$2:$B$6,0)),"")="Sim",IFERROR(INDEX(parametros!$H$2:$H$6,MATCH(C510,parametros!$B$2:$B$6,0)),"")=""),"INICIO_EFEITO ausente: PC "&amp;A510&amp;" - "&amp;C510,IF(L510="","EFEITO_PC nao calculado: PC "&amp;A510&amp;" - "&amp;C510,"OK")))))))))</f>
        <v/>
      </c>
      <c r="L510" s="92" t="str">
        <f>IF(AND(A510="",B510="",D510="",G510=""),"",IF(OR(B510="",NOT(ISNUMBER(B510)),C510="",C510="Fora dos ciclos"),"",IF(C510="C0","Nao",IF(IFERROR(INDEX(parametros!$A$2:$A$6,MATCH(C510,parametros!$B$2:$B$6,0)),"")&lt;&gt;"Sim","Nao",IF(IFERROR(INDEX(parametros!$H$2:$H$6,MATCH(C510,parametros!$B$2:$B$6,0)),"")="","",IF(B510&gt;=IFERROR(INDEX(parametros!$H$2:$H$6,MATCH(C510,parametros!$B$2:$B$6,0)),""),"Sim","Nao"))))))</f>
        <v/>
      </c>
      <c r="T510" s="156"/>
      <c r="U510" s="214" t="str">
        <f t="shared" si="41"/>
        <v/>
      </c>
      <c r="V510" s="212" t="s">
        <v>50</v>
      </c>
      <c r="W510" s="100" t="s">
        <v>168</v>
      </c>
      <c r="X510" s="100" t="s">
        <v>169</v>
      </c>
      <c r="Y510" s="101" t="s">
        <v>170</v>
      </c>
      <c r="Z510" s="101" t="s">
        <v>171</v>
      </c>
      <c r="AA510" s="101" t="s">
        <v>50</v>
      </c>
      <c r="AB510" s="101" t="s">
        <v>172</v>
      </c>
      <c r="AC510" s="102" t="s">
        <v>173</v>
      </c>
    </row>
    <row r="511" spans="1:29" ht="25.5" customHeight="1" x14ac:dyDescent="0.35">
      <c r="A511" s="392"/>
      <c r="B511" s="393"/>
      <c r="C511" s="99" t="str">
        <f>IF(B511="","",IF(NOT(ISNUMBER(B511)),"DATA_PC invalida",IF(NOT(ISNUMBER(parametros!$C$2)),"Fora dos ciclos",IF(OR(B511&lt;parametros!$C$2,(YEAR(B511)-YEAR(parametros!$C$2))*12+MONTH(B511)-MONTH(parametros!$C$2)&gt;59),"Fora dos ciclos","C"&amp;INT(((YEAR(B511)-YEAR(parametros!$C$2))*12+MONTH(B511)-MONTH(parametros!$C$2))/12)))))</f>
        <v/>
      </c>
      <c r="D511" s="394"/>
      <c r="E511" s="78" t="str">
        <f>IF(C511="","",IFERROR(VLOOKUP(C511,parametros!$A$11:$E$15,5,0),""))</f>
        <v/>
      </c>
      <c r="F511" s="79" t="str">
        <f t="shared" si="37"/>
        <v/>
      </c>
      <c r="G511" s="395"/>
      <c r="H511" s="91">
        <f t="shared" si="38"/>
        <v>0</v>
      </c>
      <c r="I511" s="91" t="str">
        <f t="shared" si="39"/>
        <v/>
      </c>
      <c r="J511" s="91" t="str">
        <f t="shared" si="40"/>
        <v/>
      </c>
      <c r="K511" s="92" t="str">
        <f>IF(AND(A511="",B511="",D511="",G511=""),"",IF(AND(A511&lt;&gt;"",COUNTIF($A$2:$A$5001,A511)&gt;1),"NUMERO_PC duplicado",IF(B511="","DATA_PC vazia",IF(NOT(ISNUMBER(B511)),"DATA_PC invalida",IF(OR(C511="",C511="Fora dos ciclos"),"CICLO_PC nao identificado",IF(OR(D511="",D511=0),"VALOR_PC vazio ou zero",IF(AND(G511&lt;&gt;"Sim",G511&lt;&gt;"Nao",G511&lt;&gt;""),"PC_PAGO_A_CONTRATADA invalido",IF(AND(C511&lt;&gt;"C0",IFERROR(INDEX(parametros!$A$2:$A$6,MATCH(C511,parametros!$B$2:$B$6,0)),"")="Sim",IFERROR(INDEX(parametros!$H$2:$H$6,MATCH(C511,parametros!$B$2:$B$6,0)),"")=""),"INICIO_EFEITO ausente: PC "&amp;A511&amp;" - "&amp;C511,IF(L511="","EFEITO_PC nao calculado: PC "&amp;A511&amp;" - "&amp;C511,"OK")))))))))</f>
        <v/>
      </c>
      <c r="L511" s="92" t="str">
        <f>IF(AND(A511="",B511="",D511="",G511=""),"",IF(OR(B511="",NOT(ISNUMBER(B511)),C511="",C511="Fora dos ciclos"),"",IF(C511="C0","Nao",IF(IFERROR(INDEX(parametros!$A$2:$A$6,MATCH(C511,parametros!$B$2:$B$6,0)),"")&lt;&gt;"Sim","Nao",IF(IFERROR(INDEX(parametros!$H$2:$H$6,MATCH(C511,parametros!$B$2:$B$6,0)),"")="","",IF(B511&gt;=IFERROR(INDEX(parametros!$H$2:$H$6,MATCH(C511,parametros!$B$2:$B$6,0)),""),"Sim","Nao"))))))</f>
        <v/>
      </c>
      <c r="T511" s="156"/>
      <c r="U511" s="214" t="str">
        <f t="shared" si="41"/>
        <v/>
      </c>
      <c r="V511" s="212" t="s">
        <v>50</v>
      </c>
      <c r="W511" s="100" t="s">
        <v>168</v>
      </c>
      <c r="X511" s="100" t="s">
        <v>169</v>
      </c>
      <c r="Y511" s="101" t="s">
        <v>170</v>
      </c>
      <c r="Z511" s="101" t="s">
        <v>171</v>
      </c>
      <c r="AA511" s="101" t="s">
        <v>50</v>
      </c>
      <c r="AB511" s="101" t="s">
        <v>172</v>
      </c>
      <c r="AC511" s="102" t="s">
        <v>173</v>
      </c>
    </row>
    <row r="512" spans="1:29" ht="25.5" customHeight="1" x14ac:dyDescent="0.35">
      <c r="A512" s="392"/>
      <c r="B512" s="393"/>
      <c r="C512" s="99" t="str">
        <f>IF(B512="","",IF(NOT(ISNUMBER(B512)),"DATA_PC invalida",IF(NOT(ISNUMBER(parametros!$C$2)),"Fora dos ciclos",IF(OR(B512&lt;parametros!$C$2,(YEAR(B512)-YEAR(parametros!$C$2))*12+MONTH(B512)-MONTH(parametros!$C$2)&gt;59),"Fora dos ciclos","C"&amp;INT(((YEAR(B512)-YEAR(parametros!$C$2))*12+MONTH(B512)-MONTH(parametros!$C$2))/12)))))</f>
        <v/>
      </c>
      <c r="D512" s="394"/>
      <c r="E512" s="78" t="str">
        <f>IF(C512="","",IFERROR(VLOOKUP(C512,parametros!$A$11:$E$15,5,0),""))</f>
        <v/>
      </c>
      <c r="F512" s="79" t="str">
        <f t="shared" si="37"/>
        <v/>
      </c>
      <c r="G512" s="395"/>
      <c r="H512" s="91">
        <f t="shared" si="38"/>
        <v>0</v>
      </c>
      <c r="I512" s="91" t="str">
        <f t="shared" si="39"/>
        <v/>
      </c>
      <c r="J512" s="91" t="str">
        <f t="shared" si="40"/>
        <v/>
      </c>
      <c r="K512" s="92" t="str">
        <f>IF(AND(A512="",B512="",D512="",G512=""),"",IF(AND(A512&lt;&gt;"",COUNTIF($A$2:$A$5001,A512)&gt;1),"NUMERO_PC duplicado",IF(B512="","DATA_PC vazia",IF(NOT(ISNUMBER(B512)),"DATA_PC invalida",IF(OR(C512="",C512="Fora dos ciclos"),"CICLO_PC nao identificado",IF(OR(D512="",D512=0),"VALOR_PC vazio ou zero",IF(AND(G512&lt;&gt;"Sim",G512&lt;&gt;"Nao",G512&lt;&gt;""),"PC_PAGO_A_CONTRATADA invalido",IF(AND(C512&lt;&gt;"C0",IFERROR(INDEX(parametros!$A$2:$A$6,MATCH(C512,parametros!$B$2:$B$6,0)),"")="Sim",IFERROR(INDEX(parametros!$H$2:$H$6,MATCH(C512,parametros!$B$2:$B$6,0)),"")=""),"INICIO_EFEITO ausente: PC "&amp;A512&amp;" - "&amp;C512,IF(L512="","EFEITO_PC nao calculado: PC "&amp;A512&amp;" - "&amp;C512,"OK")))))))))</f>
        <v/>
      </c>
      <c r="L512" s="92" t="str">
        <f>IF(AND(A512="",B512="",D512="",G512=""),"",IF(OR(B512="",NOT(ISNUMBER(B512)),C512="",C512="Fora dos ciclos"),"",IF(C512="C0","Nao",IF(IFERROR(INDEX(parametros!$A$2:$A$6,MATCH(C512,parametros!$B$2:$B$6,0)),"")&lt;&gt;"Sim","Nao",IF(IFERROR(INDEX(parametros!$H$2:$H$6,MATCH(C512,parametros!$B$2:$B$6,0)),"")="","",IF(B512&gt;=IFERROR(INDEX(parametros!$H$2:$H$6,MATCH(C512,parametros!$B$2:$B$6,0)),""),"Sim","Nao"))))))</f>
        <v/>
      </c>
      <c r="T512" s="156"/>
      <c r="U512" s="214" t="str">
        <f t="shared" si="41"/>
        <v/>
      </c>
      <c r="V512" s="212" t="s">
        <v>50</v>
      </c>
      <c r="W512" s="100" t="s">
        <v>168</v>
      </c>
      <c r="X512" s="100" t="s">
        <v>169</v>
      </c>
      <c r="Y512" s="101" t="s">
        <v>170</v>
      </c>
      <c r="Z512" s="101" t="s">
        <v>171</v>
      </c>
      <c r="AA512" s="101" t="s">
        <v>50</v>
      </c>
      <c r="AB512" s="101" t="s">
        <v>172</v>
      </c>
      <c r="AC512" s="102" t="s">
        <v>173</v>
      </c>
    </row>
    <row r="513" spans="1:29" ht="25.5" customHeight="1" x14ac:dyDescent="0.35">
      <c r="A513" s="392"/>
      <c r="B513" s="393"/>
      <c r="C513" s="99" t="str">
        <f>IF(B513="","",IF(NOT(ISNUMBER(B513)),"DATA_PC invalida",IF(NOT(ISNUMBER(parametros!$C$2)),"Fora dos ciclos",IF(OR(B513&lt;parametros!$C$2,(YEAR(B513)-YEAR(parametros!$C$2))*12+MONTH(B513)-MONTH(parametros!$C$2)&gt;59),"Fora dos ciclos","C"&amp;INT(((YEAR(B513)-YEAR(parametros!$C$2))*12+MONTH(B513)-MONTH(parametros!$C$2))/12)))))</f>
        <v/>
      </c>
      <c r="D513" s="394"/>
      <c r="E513" s="78" t="str">
        <f>IF(C513="","",IFERROR(VLOOKUP(C513,parametros!$A$11:$E$15,5,0),""))</f>
        <v/>
      </c>
      <c r="F513" s="79" t="str">
        <f t="shared" si="37"/>
        <v/>
      </c>
      <c r="G513" s="395"/>
      <c r="H513" s="91">
        <f t="shared" si="38"/>
        <v>0</v>
      </c>
      <c r="I513" s="91" t="str">
        <f t="shared" si="39"/>
        <v/>
      </c>
      <c r="J513" s="91" t="str">
        <f t="shared" si="40"/>
        <v/>
      </c>
      <c r="K513" s="92" t="str">
        <f>IF(AND(A513="",B513="",D513="",G513=""),"",IF(AND(A513&lt;&gt;"",COUNTIF($A$2:$A$5001,A513)&gt;1),"NUMERO_PC duplicado",IF(B513="","DATA_PC vazia",IF(NOT(ISNUMBER(B513)),"DATA_PC invalida",IF(OR(C513="",C513="Fora dos ciclos"),"CICLO_PC nao identificado",IF(OR(D513="",D513=0),"VALOR_PC vazio ou zero",IF(AND(G513&lt;&gt;"Sim",G513&lt;&gt;"Nao",G513&lt;&gt;""),"PC_PAGO_A_CONTRATADA invalido",IF(AND(C513&lt;&gt;"C0",IFERROR(INDEX(parametros!$A$2:$A$6,MATCH(C513,parametros!$B$2:$B$6,0)),"")="Sim",IFERROR(INDEX(parametros!$H$2:$H$6,MATCH(C513,parametros!$B$2:$B$6,0)),"")=""),"INICIO_EFEITO ausente: PC "&amp;A513&amp;" - "&amp;C513,IF(L513="","EFEITO_PC nao calculado: PC "&amp;A513&amp;" - "&amp;C513,"OK")))))))))</f>
        <v/>
      </c>
      <c r="L513" s="92" t="str">
        <f>IF(AND(A513="",B513="",D513="",G513=""),"",IF(OR(B513="",NOT(ISNUMBER(B513)),C513="",C513="Fora dos ciclos"),"",IF(C513="C0","Nao",IF(IFERROR(INDEX(parametros!$A$2:$A$6,MATCH(C513,parametros!$B$2:$B$6,0)),"")&lt;&gt;"Sim","Nao",IF(IFERROR(INDEX(parametros!$H$2:$H$6,MATCH(C513,parametros!$B$2:$B$6,0)),"")="","",IF(B513&gt;=IFERROR(INDEX(parametros!$H$2:$H$6,MATCH(C513,parametros!$B$2:$B$6,0)),""),"Sim","Nao"))))))</f>
        <v/>
      </c>
      <c r="T513" s="156"/>
      <c r="U513" s="214" t="str">
        <f t="shared" si="41"/>
        <v/>
      </c>
      <c r="V513" s="212" t="s">
        <v>50</v>
      </c>
      <c r="W513" s="100" t="s">
        <v>168</v>
      </c>
      <c r="X513" s="100" t="s">
        <v>169</v>
      </c>
      <c r="Y513" s="101" t="s">
        <v>170</v>
      </c>
      <c r="Z513" s="101" t="s">
        <v>171</v>
      </c>
      <c r="AA513" s="101" t="s">
        <v>50</v>
      </c>
      <c r="AB513" s="101" t="s">
        <v>172</v>
      </c>
      <c r="AC513" s="102" t="s">
        <v>173</v>
      </c>
    </row>
    <row r="514" spans="1:29" ht="25.5" customHeight="1" x14ac:dyDescent="0.35">
      <c r="A514" s="392"/>
      <c r="B514" s="393"/>
      <c r="C514" s="99" t="str">
        <f>IF(B514="","",IF(NOT(ISNUMBER(B514)),"DATA_PC invalida",IF(NOT(ISNUMBER(parametros!$C$2)),"Fora dos ciclos",IF(OR(B514&lt;parametros!$C$2,(YEAR(B514)-YEAR(parametros!$C$2))*12+MONTH(B514)-MONTH(parametros!$C$2)&gt;59),"Fora dos ciclos","C"&amp;INT(((YEAR(B514)-YEAR(parametros!$C$2))*12+MONTH(B514)-MONTH(parametros!$C$2))/12)))))</f>
        <v/>
      </c>
      <c r="D514" s="394"/>
      <c r="E514" s="78" t="str">
        <f>IF(C514="","",IFERROR(VLOOKUP(C514,parametros!$A$11:$E$15,5,0),""))</f>
        <v/>
      </c>
      <c r="F514" s="79" t="str">
        <f t="shared" ref="F514:F577" si="42">IF(OR(D514="",E514=""),"",ROUND(D514*E514,2))</f>
        <v/>
      </c>
      <c r="G514" s="395"/>
      <c r="H514" s="91">
        <f t="shared" ref="H514:H577" si="43">IF(G514="Sim",IF(OR(F514="",D514="",L514=""),"",IF(L514="Sim",ROUND(F514-D514,2),0)),0)</f>
        <v>0</v>
      </c>
      <c r="I514" s="91" t="str">
        <f t="shared" ref="I514:I577" si="44">IF(G514="Sim",0,IF(OR(F514="",L514=""),"",F514))</f>
        <v/>
      </c>
      <c r="J514" s="91" t="str">
        <f t="shared" ref="J514:J577" si="45">IF(G514="Sim",0,IF(OR(F514="",D514="",L514=""),"",IF(L514="Sim",ROUND(F514-D514,2),0)))</f>
        <v/>
      </c>
      <c r="K514" s="92" t="str">
        <f>IF(AND(A514="",B514="",D514="",G514=""),"",IF(AND(A514&lt;&gt;"",COUNTIF($A$2:$A$5001,A514)&gt;1),"NUMERO_PC duplicado",IF(B514="","DATA_PC vazia",IF(NOT(ISNUMBER(B514)),"DATA_PC invalida",IF(OR(C514="",C514="Fora dos ciclos"),"CICLO_PC nao identificado",IF(OR(D514="",D514=0),"VALOR_PC vazio ou zero",IF(AND(G514&lt;&gt;"Sim",G514&lt;&gt;"Nao",G514&lt;&gt;""),"PC_PAGO_A_CONTRATADA invalido",IF(AND(C514&lt;&gt;"C0",IFERROR(INDEX(parametros!$A$2:$A$6,MATCH(C514,parametros!$B$2:$B$6,0)),"")="Sim",IFERROR(INDEX(parametros!$H$2:$H$6,MATCH(C514,parametros!$B$2:$B$6,0)),"")=""),"INICIO_EFEITO ausente: PC "&amp;A514&amp;" - "&amp;C514,IF(L514="","EFEITO_PC nao calculado: PC "&amp;A514&amp;" - "&amp;C514,"OK")))))))))</f>
        <v/>
      </c>
      <c r="L514" s="92" t="str">
        <f>IF(AND(A514="",B514="",D514="",G514=""),"",IF(OR(B514="",NOT(ISNUMBER(B514)),C514="",C514="Fora dos ciclos"),"",IF(C514="C0","Nao",IF(IFERROR(INDEX(parametros!$A$2:$A$6,MATCH(C514,parametros!$B$2:$B$6,0)),"")&lt;&gt;"Sim","Nao",IF(IFERROR(INDEX(parametros!$H$2:$H$6,MATCH(C514,parametros!$B$2:$B$6,0)),"")="","",IF(B514&gt;=IFERROR(INDEX(parametros!$H$2:$H$6,MATCH(C514,parametros!$B$2:$B$6,0)),""),"Sim","Nao"))))))</f>
        <v/>
      </c>
      <c r="T514" s="156"/>
      <c r="U514" s="214" t="str">
        <f t="shared" ref="U514:U577" si="46">IF(OR($D514="",$H514=""),"",ROUND($D514+$H514,2))</f>
        <v/>
      </c>
      <c r="V514" s="212" t="s">
        <v>50</v>
      </c>
      <c r="W514" s="100" t="s">
        <v>168</v>
      </c>
      <c r="X514" s="100" t="s">
        <v>169</v>
      </c>
      <c r="Y514" s="101" t="s">
        <v>170</v>
      </c>
      <c r="Z514" s="101" t="s">
        <v>171</v>
      </c>
      <c r="AA514" s="101" t="s">
        <v>50</v>
      </c>
      <c r="AB514" s="101" t="s">
        <v>172</v>
      </c>
      <c r="AC514" s="102" t="s">
        <v>173</v>
      </c>
    </row>
    <row r="515" spans="1:29" ht="25.5" customHeight="1" x14ac:dyDescent="0.35">
      <c r="A515" s="392"/>
      <c r="B515" s="393"/>
      <c r="C515" s="99" t="str">
        <f>IF(B515="","",IF(NOT(ISNUMBER(B515)),"DATA_PC invalida",IF(NOT(ISNUMBER(parametros!$C$2)),"Fora dos ciclos",IF(OR(B515&lt;parametros!$C$2,(YEAR(B515)-YEAR(parametros!$C$2))*12+MONTH(B515)-MONTH(parametros!$C$2)&gt;59),"Fora dos ciclos","C"&amp;INT(((YEAR(B515)-YEAR(parametros!$C$2))*12+MONTH(B515)-MONTH(parametros!$C$2))/12)))))</f>
        <v/>
      </c>
      <c r="D515" s="394"/>
      <c r="E515" s="78" t="str">
        <f>IF(C515="","",IFERROR(VLOOKUP(C515,parametros!$A$11:$E$15,5,0),""))</f>
        <v/>
      </c>
      <c r="F515" s="79" t="str">
        <f t="shared" si="42"/>
        <v/>
      </c>
      <c r="G515" s="395"/>
      <c r="H515" s="91">
        <f t="shared" si="43"/>
        <v>0</v>
      </c>
      <c r="I515" s="91" t="str">
        <f t="shared" si="44"/>
        <v/>
      </c>
      <c r="J515" s="91" t="str">
        <f t="shared" si="45"/>
        <v/>
      </c>
      <c r="K515" s="92" t="str">
        <f>IF(AND(A515="",B515="",D515="",G515=""),"",IF(AND(A515&lt;&gt;"",COUNTIF($A$2:$A$5001,A515)&gt;1),"NUMERO_PC duplicado",IF(B515="","DATA_PC vazia",IF(NOT(ISNUMBER(B515)),"DATA_PC invalida",IF(OR(C515="",C515="Fora dos ciclos"),"CICLO_PC nao identificado",IF(OR(D515="",D515=0),"VALOR_PC vazio ou zero",IF(AND(G515&lt;&gt;"Sim",G515&lt;&gt;"Nao",G515&lt;&gt;""),"PC_PAGO_A_CONTRATADA invalido",IF(AND(C515&lt;&gt;"C0",IFERROR(INDEX(parametros!$A$2:$A$6,MATCH(C515,parametros!$B$2:$B$6,0)),"")="Sim",IFERROR(INDEX(parametros!$H$2:$H$6,MATCH(C515,parametros!$B$2:$B$6,0)),"")=""),"INICIO_EFEITO ausente: PC "&amp;A515&amp;" - "&amp;C515,IF(L515="","EFEITO_PC nao calculado: PC "&amp;A515&amp;" - "&amp;C515,"OK")))))))))</f>
        <v/>
      </c>
      <c r="L515" s="92" t="str">
        <f>IF(AND(A515="",B515="",D515="",G515=""),"",IF(OR(B515="",NOT(ISNUMBER(B515)),C515="",C515="Fora dos ciclos"),"",IF(C515="C0","Nao",IF(IFERROR(INDEX(parametros!$A$2:$A$6,MATCH(C515,parametros!$B$2:$B$6,0)),"")&lt;&gt;"Sim","Nao",IF(IFERROR(INDEX(parametros!$H$2:$H$6,MATCH(C515,parametros!$B$2:$B$6,0)),"")="","",IF(B515&gt;=IFERROR(INDEX(parametros!$H$2:$H$6,MATCH(C515,parametros!$B$2:$B$6,0)),""),"Sim","Nao"))))))</f>
        <v/>
      </c>
      <c r="T515" s="156"/>
      <c r="U515" s="214" t="str">
        <f t="shared" si="46"/>
        <v/>
      </c>
      <c r="V515" s="212" t="s">
        <v>50</v>
      </c>
      <c r="W515" s="100" t="s">
        <v>168</v>
      </c>
      <c r="X515" s="100" t="s">
        <v>169</v>
      </c>
      <c r="Y515" s="101" t="s">
        <v>170</v>
      </c>
      <c r="Z515" s="101" t="s">
        <v>171</v>
      </c>
      <c r="AA515" s="101" t="s">
        <v>50</v>
      </c>
      <c r="AB515" s="101" t="s">
        <v>172</v>
      </c>
      <c r="AC515" s="102" t="s">
        <v>173</v>
      </c>
    </row>
    <row r="516" spans="1:29" ht="25.5" customHeight="1" x14ac:dyDescent="0.35">
      <c r="A516" s="392"/>
      <c r="B516" s="393"/>
      <c r="C516" s="99" t="str">
        <f>IF(B516="","",IF(NOT(ISNUMBER(B516)),"DATA_PC invalida",IF(NOT(ISNUMBER(parametros!$C$2)),"Fora dos ciclos",IF(OR(B516&lt;parametros!$C$2,(YEAR(B516)-YEAR(parametros!$C$2))*12+MONTH(B516)-MONTH(parametros!$C$2)&gt;59),"Fora dos ciclos","C"&amp;INT(((YEAR(B516)-YEAR(parametros!$C$2))*12+MONTH(B516)-MONTH(parametros!$C$2))/12)))))</f>
        <v/>
      </c>
      <c r="D516" s="394"/>
      <c r="E516" s="78" t="str">
        <f>IF(C516="","",IFERROR(VLOOKUP(C516,parametros!$A$11:$E$15,5,0),""))</f>
        <v/>
      </c>
      <c r="F516" s="79" t="str">
        <f t="shared" si="42"/>
        <v/>
      </c>
      <c r="G516" s="395"/>
      <c r="H516" s="91">
        <f t="shared" si="43"/>
        <v>0</v>
      </c>
      <c r="I516" s="91" t="str">
        <f t="shared" si="44"/>
        <v/>
      </c>
      <c r="J516" s="91" t="str">
        <f t="shared" si="45"/>
        <v/>
      </c>
      <c r="K516" s="92" t="str">
        <f>IF(AND(A516="",B516="",D516="",G516=""),"",IF(AND(A516&lt;&gt;"",COUNTIF($A$2:$A$5001,A516)&gt;1),"NUMERO_PC duplicado",IF(B516="","DATA_PC vazia",IF(NOT(ISNUMBER(B516)),"DATA_PC invalida",IF(OR(C516="",C516="Fora dos ciclos"),"CICLO_PC nao identificado",IF(OR(D516="",D516=0),"VALOR_PC vazio ou zero",IF(AND(G516&lt;&gt;"Sim",G516&lt;&gt;"Nao",G516&lt;&gt;""),"PC_PAGO_A_CONTRATADA invalido",IF(AND(C516&lt;&gt;"C0",IFERROR(INDEX(parametros!$A$2:$A$6,MATCH(C516,parametros!$B$2:$B$6,0)),"")="Sim",IFERROR(INDEX(parametros!$H$2:$H$6,MATCH(C516,parametros!$B$2:$B$6,0)),"")=""),"INICIO_EFEITO ausente: PC "&amp;A516&amp;" - "&amp;C516,IF(L516="","EFEITO_PC nao calculado: PC "&amp;A516&amp;" - "&amp;C516,"OK")))))))))</f>
        <v/>
      </c>
      <c r="L516" s="92" t="str">
        <f>IF(AND(A516="",B516="",D516="",G516=""),"",IF(OR(B516="",NOT(ISNUMBER(B516)),C516="",C516="Fora dos ciclos"),"",IF(C516="C0","Nao",IF(IFERROR(INDEX(parametros!$A$2:$A$6,MATCH(C516,parametros!$B$2:$B$6,0)),"")&lt;&gt;"Sim","Nao",IF(IFERROR(INDEX(parametros!$H$2:$H$6,MATCH(C516,parametros!$B$2:$B$6,0)),"")="","",IF(B516&gt;=IFERROR(INDEX(parametros!$H$2:$H$6,MATCH(C516,parametros!$B$2:$B$6,0)),""),"Sim","Nao"))))))</f>
        <v/>
      </c>
      <c r="T516" s="156"/>
      <c r="U516" s="214" t="str">
        <f t="shared" si="46"/>
        <v/>
      </c>
      <c r="V516" s="212" t="s">
        <v>50</v>
      </c>
      <c r="W516" s="100" t="s">
        <v>168</v>
      </c>
      <c r="X516" s="100" t="s">
        <v>169</v>
      </c>
      <c r="Y516" s="101" t="s">
        <v>170</v>
      </c>
      <c r="Z516" s="101" t="s">
        <v>171</v>
      </c>
      <c r="AA516" s="101" t="s">
        <v>50</v>
      </c>
      <c r="AB516" s="101" t="s">
        <v>172</v>
      </c>
      <c r="AC516" s="102" t="s">
        <v>173</v>
      </c>
    </row>
    <row r="517" spans="1:29" ht="25.5" customHeight="1" x14ac:dyDescent="0.35">
      <c r="A517" s="392"/>
      <c r="B517" s="393"/>
      <c r="C517" s="99" t="str">
        <f>IF(B517="","",IF(NOT(ISNUMBER(B517)),"DATA_PC invalida",IF(NOT(ISNUMBER(parametros!$C$2)),"Fora dos ciclos",IF(OR(B517&lt;parametros!$C$2,(YEAR(B517)-YEAR(parametros!$C$2))*12+MONTH(B517)-MONTH(parametros!$C$2)&gt;59),"Fora dos ciclos","C"&amp;INT(((YEAR(B517)-YEAR(parametros!$C$2))*12+MONTH(B517)-MONTH(parametros!$C$2))/12)))))</f>
        <v/>
      </c>
      <c r="D517" s="394"/>
      <c r="E517" s="78" t="str">
        <f>IF(C517="","",IFERROR(VLOOKUP(C517,parametros!$A$11:$E$15,5,0),""))</f>
        <v/>
      </c>
      <c r="F517" s="79" t="str">
        <f t="shared" si="42"/>
        <v/>
      </c>
      <c r="G517" s="395"/>
      <c r="H517" s="91">
        <f t="shared" si="43"/>
        <v>0</v>
      </c>
      <c r="I517" s="91" t="str">
        <f t="shared" si="44"/>
        <v/>
      </c>
      <c r="J517" s="91" t="str">
        <f t="shared" si="45"/>
        <v/>
      </c>
      <c r="K517" s="92" t="str">
        <f>IF(AND(A517="",B517="",D517="",G517=""),"",IF(AND(A517&lt;&gt;"",COUNTIF($A$2:$A$5001,A517)&gt;1),"NUMERO_PC duplicado",IF(B517="","DATA_PC vazia",IF(NOT(ISNUMBER(B517)),"DATA_PC invalida",IF(OR(C517="",C517="Fora dos ciclos"),"CICLO_PC nao identificado",IF(OR(D517="",D517=0),"VALOR_PC vazio ou zero",IF(AND(G517&lt;&gt;"Sim",G517&lt;&gt;"Nao",G517&lt;&gt;""),"PC_PAGO_A_CONTRATADA invalido",IF(AND(C517&lt;&gt;"C0",IFERROR(INDEX(parametros!$A$2:$A$6,MATCH(C517,parametros!$B$2:$B$6,0)),"")="Sim",IFERROR(INDEX(parametros!$H$2:$H$6,MATCH(C517,parametros!$B$2:$B$6,0)),"")=""),"INICIO_EFEITO ausente: PC "&amp;A517&amp;" - "&amp;C517,IF(L517="","EFEITO_PC nao calculado: PC "&amp;A517&amp;" - "&amp;C517,"OK")))))))))</f>
        <v/>
      </c>
      <c r="L517" s="92" t="str">
        <f>IF(AND(A517="",B517="",D517="",G517=""),"",IF(OR(B517="",NOT(ISNUMBER(B517)),C517="",C517="Fora dos ciclos"),"",IF(C517="C0","Nao",IF(IFERROR(INDEX(parametros!$A$2:$A$6,MATCH(C517,parametros!$B$2:$B$6,0)),"")&lt;&gt;"Sim","Nao",IF(IFERROR(INDEX(parametros!$H$2:$H$6,MATCH(C517,parametros!$B$2:$B$6,0)),"")="","",IF(B517&gt;=IFERROR(INDEX(parametros!$H$2:$H$6,MATCH(C517,parametros!$B$2:$B$6,0)),""),"Sim","Nao"))))))</f>
        <v/>
      </c>
      <c r="T517" s="156"/>
      <c r="U517" s="214" t="str">
        <f t="shared" si="46"/>
        <v/>
      </c>
      <c r="V517" s="212" t="s">
        <v>50</v>
      </c>
      <c r="W517" s="100" t="s">
        <v>168</v>
      </c>
      <c r="X517" s="100" t="s">
        <v>169</v>
      </c>
      <c r="Y517" s="101" t="s">
        <v>170</v>
      </c>
      <c r="Z517" s="101" t="s">
        <v>171</v>
      </c>
      <c r="AA517" s="101" t="s">
        <v>50</v>
      </c>
      <c r="AB517" s="101" t="s">
        <v>172</v>
      </c>
      <c r="AC517" s="102" t="s">
        <v>173</v>
      </c>
    </row>
    <row r="518" spans="1:29" ht="25.5" customHeight="1" x14ac:dyDescent="0.35">
      <c r="A518" s="392"/>
      <c r="B518" s="393"/>
      <c r="C518" s="99" t="str">
        <f>IF(B518="","",IF(NOT(ISNUMBER(B518)),"DATA_PC invalida",IF(NOT(ISNUMBER(parametros!$C$2)),"Fora dos ciclos",IF(OR(B518&lt;parametros!$C$2,(YEAR(B518)-YEAR(parametros!$C$2))*12+MONTH(B518)-MONTH(parametros!$C$2)&gt;59),"Fora dos ciclos","C"&amp;INT(((YEAR(B518)-YEAR(parametros!$C$2))*12+MONTH(B518)-MONTH(parametros!$C$2))/12)))))</f>
        <v/>
      </c>
      <c r="D518" s="394"/>
      <c r="E518" s="78" t="str">
        <f>IF(C518="","",IFERROR(VLOOKUP(C518,parametros!$A$11:$E$15,5,0),""))</f>
        <v/>
      </c>
      <c r="F518" s="79" t="str">
        <f t="shared" si="42"/>
        <v/>
      </c>
      <c r="G518" s="395"/>
      <c r="H518" s="91">
        <f t="shared" si="43"/>
        <v>0</v>
      </c>
      <c r="I518" s="91" t="str">
        <f t="shared" si="44"/>
        <v/>
      </c>
      <c r="J518" s="91" t="str">
        <f t="shared" si="45"/>
        <v/>
      </c>
      <c r="K518" s="92" t="str">
        <f>IF(AND(A518="",B518="",D518="",G518=""),"",IF(AND(A518&lt;&gt;"",COUNTIF($A$2:$A$5001,A518)&gt;1),"NUMERO_PC duplicado",IF(B518="","DATA_PC vazia",IF(NOT(ISNUMBER(B518)),"DATA_PC invalida",IF(OR(C518="",C518="Fora dos ciclos"),"CICLO_PC nao identificado",IF(OR(D518="",D518=0),"VALOR_PC vazio ou zero",IF(AND(G518&lt;&gt;"Sim",G518&lt;&gt;"Nao",G518&lt;&gt;""),"PC_PAGO_A_CONTRATADA invalido",IF(AND(C518&lt;&gt;"C0",IFERROR(INDEX(parametros!$A$2:$A$6,MATCH(C518,parametros!$B$2:$B$6,0)),"")="Sim",IFERROR(INDEX(parametros!$H$2:$H$6,MATCH(C518,parametros!$B$2:$B$6,0)),"")=""),"INICIO_EFEITO ausente: PC "&amp;A518&amp;" - "&amp;C518,IF(L518="","EFEITO_PC nao calculado: PC "&amp;A518&amp;" - "&amp;C518,"OK")))))))))</f>
        <v/>
      </c>
      <c r="L518" s="92" t="str">
        <f>IF(AND(A518="",B518="",D518="",G518=""),"",IF(OR(B518="",NOT(ISNUMBER(B518)),C518="",C518="Fora dos ciclos"),"",IF(C518="C0","Nao",IF(IFERROR(INDEX(parametros!$A$2:$A$6,MATCH(C518,parametros!$B$2:$B$6,0)),"")&lt;&gt;"Sim","Nao",IF(IFERROR(INDEX(parametros!$H$2:$H$6,MATCH(C518,parametros!$B$2:$B$6,0)),"")="","",IF(B518&gt;=IFERROR(INDEX(parametros!$H$2:$H$6,MATCH(C518,parametros!$B$2:$B$6,0)),""),"Sim","Nao"))))))</f>
        <v/>
      </c>
      <c r="T518" s="156"/>
      <c r="U518" s="214" t="str">
        <f t="shared" si="46"/>
        <v/>
      </c>
      <c r="V518" s="212" t="s">
        <v>50</v>
      </c>
      <c r="W518" s="100" t="s">
        <v>168</v>
      </c>
      <c r="X518" s="100" t="s">
        <v>169</v>
      </c>
      <c r="Y518" s="101" t="s">
        <v>170</v>
      </c>
      <c r="Z518" s="101" t="s">
        <v>171</v>
      </c>
      <c r="AA518" s="101" t="s">
        <v>50</v>
      </c>
      <c r="AB518" s="101" t="s">
        <v>172</v>
      </c>
      <c r="AC518" s="102" t="s">
        <v>173</v>
      </c>
    </row>
    <row r="519" spans="1:29" ht="25.5" customHeight="1" x14ac:dyDescent="0.35">
      <c r="A519" s="392"/>
      <c r="B519" s="393"/>
      <c r="C519" s="99" t="str">
        <f>IF(B519="","",IF(NOT(ISNUMBER(B519)),"DATA_PC invalida",IF(NOT(ISNUMBER(parametros!$C$2)),"Fora dos ciclos",IF(OR(B519&lt;parametros!$C$2,(YEAR(B519)-YEAR(parametros!$C$2))*12+MONTH(B519)-MONTH(parametros!$C$2)&gt;59),"Fora dos ciclos","C"&amp;INT(((YEAR(B519)-YEAR(parametros!$C$2))*12+MONTH(B519)-MONTH(parametros!$C$2))/12)))))</f>
        <v/>
      </c>
      <c r="D519" s="394"/>
      <c r="E519" s="78" t="str">
        <f>IF(C519="","",IFERROR(VLOOKUP(C519,parametros!$A$11:$E$15,5,0),""))</f>
        <v/>
      </c>
      <c r="F519" s="79" t="str">
        <f t="shared" si="42"/>
        <v/>
      </c>
      <c r="G519" s="395"/>
      <c r="H519" s="91">
        <f t="shared" si="43"/>
        <v>0</v>
      </c>
      <c r="I519" s="91" t="str">
        <f t="shared" si="44"/>
        <v/>
      </c>
      <c r="J519" s="91" t="str">
        <f t="shared" si="45"/>
        <v/>
      </c>
      <c r="K519" s="92" t="str">
        <f>IF(AND(A519="",B519="",D519="",G519=""),"",IF(AND(A519&lt;&gt;"",COUNTIF($A$2:$A$5001,A519)&gt;1),"NUMERO_PC duplicado",IF(B519="","DATA_PC vazia",IF(NOT(ISNUMBER(B519)),"DATA_PC invalida",IF(OR(C519="",C519="Fora dos ciclos"),"CICLO_PC nao identificado",IF(OR(D519="",D519=0),"VALOR_PC vazio ou zero",IF(AND(G519&lt;&gt;"Sim",G519&lt;&gt;"Nao",G519&lt;&gt;""),"PC_PAGO_A_CONTRATADA invalido",IF(AND(C519&lt;&gt;"C0",IFERROR(INDEX(parametros!$A$2:$A$6,MATCH(C519,parametros!$B$2:$B$6,0)),"")="Sim",IFERROR(INDEX(parametros!$H$2:$H$6,MATCH(C519,parametros!$B$2:$B$6,0)),"")=""),"INICIO_EFEITO ausente: PC "&amp;A519&amp;" - "&amp;C519,IF(L519="","EFEITO_PC nao calculado: PC "&amp;A519&amp;" - "&amp;C519,"OK")))))))))</f>
        <v/>
      </c>
      <c r="L519" s="92" t="str">
        <f>IF(AND(A519="",B519="",D519="",G519=""),"",IF(OR(B519="",NOT(ISNUMBER(B519)),C519="",C519="Fora dos ciclos"),"",IF(C519="C0","Nao",IF(IFERROR(INDEX(parametros!$A$2:$A$6,MATCH(C519,parametros!$B$2:$B$6,0)),"")&lt;&gt;"Sim","Nao",IF(IFERROR(INDEX(parametros!$H$2:$H$6,MATCH(C519,parametros!$B$2:$B$6,0)),"")="","",IF(B519&gt;=IFERROR(INDEX(parametros!$H$2:$H$6,MATCH(C519,parametros!$B$2:$B$6,0)),""),"Sim","Nao"))))))</f>
        <v/>
      </c>
      <c r="T519" s="156"/>
      <c r="U519" s="214" t="str">
        <f t="shared" si="46"/>
        <v/>
      </c>
      <c r="V519" s="212" t="s">
        <v>50</v>
      </c>
      <c r="W519" s="100" t="s">
        <v>168</v>
      </c>
      <c r="X519" s="100" t="s">
        <v>169</v>
      </c>
      <c r="Y519" s="101" t="s">
        <v>170</v>
      </c>
      <c r="Z519" s="101" t="s">
        <v>171</v>
      </c>
      <c r="AA519" s="101" t="s">
        <v>50</v>
      </c>
      <c r="AB519" s="101" t="s">
        <v>172</v>
      </c>
      <c r="AC519" s="102" t="s">
        <v>173</v>
      </c>
    </row>
    <row r="520" spans="1:29" ht="25.5" customHeight="1" x14ac:dyDescent="0.35">
      <c r="A520" s="392"/>
      <c r="B520" s="393"/>
      <c r="C520" s="99" t="str">
        <f>IF(B520="","",IF(NOT(ISNUMBER(B520)),"DATA_PC invalida",IF(NOT(ISNUMBER(parametros!$C$2)),"Fora dos ciclos",IF(OR(B520&lt;parametros!$C$2,(YEAR(B520)-YEAR(parametros!$C$2))*12+MONTH(B520)-MONTH(parametros!$C$2)&gt;59),"Fora dos ciclos","C"&amp;INT(((YEAR(B520)-YEAR(parametros!$C$2))*12+MONTH(B520)-MONTH(parametros!$C$2))/12)))))</f>
        <v/>
      </c>
      <c r="D520" s="394"/>
      <c r="E520" s="78" t="str">
        <f>IF(C520="","",IFERROR(VLOOKUP(C520,parametros!$A$11:$E$15,5,0),""))</f>
        <v/>
      </c>
      <c r="F520" s="79" t="str">
        <f t="shared" si="42"/>
        <v/>
      </c>
      <c r="G520" s="395"/>
      <c r="H520" s="91">
        <f t="shared" si="43"/>
        <v>0</v>
      </c>
      <c r="I520" s="91" t="str">
        <f t="shared" si="44"/>
        <v/>
      </c>
      <c r="J520" s="91" t="str">
        <f t="shared" si="45"/>
        <v/>
      </c>
      <c r="K520" s="92" t="str">
        <f>IF(AND(A520="",B520="",D520="",G520=""),"",IF(AND(A520&lt;&gt;"",COUNTIF($A$2:$A$5001,A520)&gt;1),"NUMERO_PC duplicado",IF(B520="","DATA_PC vazia",IF(NOT(ISNUMBER(B520)),"DATA_PC invalida",IF(OR(C520="",C520="Fora dos ciclos"),"CICLO_PC nao identificado",IF(OR(D520="",D520=0),"VALOR_PC vazio ou zero",IF(AND(G520&lt;&gt;"Sim",G520&lt;&gt;"Nao",G520&lt;&gt;""),"PC_PAGO_A_CONTRATADA invalido",IF(AND(C520&lt;&gt;"C0",IFERROR(INDEX(parametros!$A$2:$A$6,MATCH(C520,parametros!$B$2:$B$6,0)),"")="Sim",IFERROR(INDEX(parametros!$H$2:$H$6,MATCH(C520,parametros!$B$2:$B$6,0)),"")=""),"INICIO_EFEITO ausente: PC "&amp;A520&amp;" - "&amp;C520,IF(L520="","EFEITO_PC nao calculado: PC "&amp;A520&amp;" - "&amp;C520,"OK")))))))))</f>
        <v/>
      </c>
      <c r="L520" s="92" t="str">
        <f>IF(AND(A520="",B520="",D520="",G520=""),"",IF(OR(B520="",NOT(ISNUMBER(B520)),C520="",C520="Fora dos ciclos"),"",IF(C520="C0","Nao",IF(IFERROR(INDEX(parametros!$A$2:$A$6,MATCH(C520,parametros!$B$2:$B$6,0)),"")&lt;&gt;"Sim","Nao",IF(IFERROR(INDEX(parametros!$H$2:$H$6,MATCH(C520,parametros!$B$2:$B$6,0)),"")="","",IF(B520&gt;=IFERROR(INDEX(parametros!$H$2:$H$6,MATCH(C520,parametros!$B$2:$B$6,0)),""),"Sim","Nao"))))))</f>
        <v/>
      </c>
      <c r="T520" s="156"/>
      <c r="U520" s="214" t="str">
        <f t="shared" si="46"/>
        <v/>
      </c>
      <c r="V520" s="212" t="s">
        <v>50</v>
      </c>
      <c r="W520" s="100" t="s">
        <v>168</v>
      </c>
      <c r="X520" s="100" t="s">
        <v>169</v>
      </c>
      <c r="Y520" s="101" t="s">
        <v>170</v>
      </c>
      <c r="Z520" s="101" t="s">
        <v>171</v>
      </c>
      <c r="AA520" s="101" t="s">
        <v>50</v>
      </c>
      <c r="AB520" s="101" t="s">
        <v>172</v>
      </c>
      <c r="AC520" s="102" t="s">
        <v>173</v>
      </c>
    </row>
    <row r="521" spans="1:29" ht="25.5" customHeight="1" x14ac:dyDescent="0.35">
      <c r="A521" s="392"/>
      <c r="B521" s="393"/>
      <c r="C521" s="99" t="str">
        <f>IF(B521="","",IF(NOT(ISNUMBER(B521)),"DATA_PC invalida",IF(NOT(ISNUMBER(parametros!$C$2)),"Fora dos ciclos",IF(OR(B521&lt;parametros!$C$2,(YEAR(B521)-YEAR(parametros!$C$2))*12+MONTH(B521)-MONTH(parametros!$C$2)&gt;59),"Fora dos ciclos","C"&amp;INT(((YEAR(B521)-YEAR(parametros!$C$2))*12+MONTH(B521)-MONTH(parametros!$C$2))/12)))))</f>
        <v/>
      </c>
      <c r="D521" s="394"/>
      <c r="E521" s="78" t="str">
        <f>IF(C521="","",IFERROR(VLOOKUP(C521,parametros!$A$11:$E$15,5,0),""))</f>
        <v/>
      </c>
      <c r="F521" s="79" t="str">
        <f t="shared" si="42"/>
        <v/>
      </c>
      <c r="G521" s="395"/>
      <c r="H521" s="91">
        <f t="shared" si="43"/>
        <v>0</v>
      </c>
      <c r="I521" s="91" t="str">
        <f t="shared" si="44"/>
        <v/>
      </c>
      <c r="J521" s="91" t="str">
        <f t="shared" si="45"/>
        <v/>
      </c>
      <c r="K521" s="92" t="str">
        <f>IF(AND(A521="",B521="",D521="",G521=""),"",IF(AND(A521&lt;&gt;"",COUNTIF($A$2:$A$5001,A521)&gt;1),"NUMERO_PC duplicado",IF(B521="","DATA_PC vazia",IF(NOT(ISNUMBER(B521)),"DATA_PC invalida",IF(OR(C521="",C521="Fora dos ciclos"),"CICLO_PC nao identificado",IF(OR(D521="",D521=0),"VALOR_PC vazio ou zero",IF(AND(G521&lt;&gt;"Sim",G521&lt;&gt;"Nao",G521&lt;&gt;""),"PC_PAGO_A_CONTRATADA invalido",IF(AND(C521&lt;&gt;"C0",IFERROR(INDEX(parametros!$A$2:$A$6,MATCH(C521,parametros!$B$2:$B$6,0)),"")="Sim",IFERROR(INDEX(parametros!$H$2:$H$6,MATCH(C521,parametros!$B$2:$B$6,0)),"")=""),"INICIO_EFEITO ausente: PC "&amp;A521&amp;" - "&amp;C521,IF(L521="","EFEITO_PC nao calculado: PC "&amp;A521&amp;" - "&amp;C521,"OK")))))))))</f>
        <v/>
      </c>
      <c r="L521" s="92" t="str">
        <f>IF(AND(A521="",B521="",D521="",G521=""),"",IF(OR(B521="",NOT(ISNUMBER(B521)),C521="",C521="Fora dos ciclos"),"",IF(C521="C0","Nao",IF(IFERROR(INDEX(parametros!$A$2:$A$6,MATCH(C521,parametros!$B$2:$B$6,0)),"")&lt;&gt;"Sim","Nao",IF(IFERROR(INDEX(parametros!$H$2:$H$6,MATCH(C521,parametros!$B$2:$B$6,0)),"")="","",IF(B521&gt;=IFERROR(INDEX(parametros!$H$2:$H$6,MATCH(C521,parametros!$B$2:$B$6,0)),""),"Sim","Nao"))))))</f>
        <v/>
      </c>
      <c r="T521" s="156"/>
      <c r="U521" s="214" t="str">
        <f t="shared" si="46"/>
        <v/>
      </c>
      <c r="V521" s="212" t="s">
        <v>50</v>
      </c>
      <c r="W521" s="100" t="s">
        <v>168</v>
      </c>
      <c r="X521" s="100" t="s">
        <v>169</v>
      </c>
      <c r="Y521" s="101" t="s">
        <v>170</v>
      </c>
      <c r="Z521" s="101" t="s">
        <v>171</v>
      </c>
      <c r="AA521" s="101" t="s">
        <v>50</v>
      </c>
      <c r="AB521" s="101" t="s">
        <v>172</v>
      </c>
      <c r="AC521" s="102" t="s">
        <v>173</v>
      </c>
    </row>
    <row r="522" spans="1:29" ht="25.5" customHeight="1" x14ac:dyDescent="0.35">
      <c r="A522" s="392"/>
      <c r="B522" s="393"/>
      <c r="C522" s="99" t="str">
        <f>IF(B522="","",IF(NOT(ISNUMBER(B522)),"DATA_PC invalida",IF(NOT(ISNUMBER(parametros!$C$2)),"Fora dos ciclos",IF(OR(B522&lt;parametros!$C$2,(YEAR(B522)-YEAR(parametros!$C$2))*12+MONTH(B522)-MONTH(parametros!$C$2)&gt;59),"Fora dos ciclos","C"&amp;INT(((YEAR(B522)-YEAR(parametros!$C$2))*12+MONTH(B522)-MONTH(parametros!$C$2))/12)))))</f>
        <v/>
      </c>
      <c r="D522" s="394"/>
      <c r="E522" s="78" t="str">
        <f>IF(C522="","",IFERROR(VLOOKUP(C522,parametros!$A$11:$E$15,5,0),""))</f>
        <v/>
      </c>
      <c r="F522" s="79" t="str">
        <f t="shared" si="42"/>
        <v/>
      </c>
      <c r="G522" s="395"/>
      <c r="H522" s="91">
        <f t="shared" si="43"/>
        <v>0</v>
      </c>
      <c r="I522" s="91" t="str">
        <f t="shared" si="44"/>
        <v/>
      </c>
      <c r="J522" s="91" t="str">
        <f t="shared" si="45"/>
        <v/>
      </c>
      <c r="K522" s="92" t="str">
        <f>IF(AND(A522="",B522="",D522="",G522=""),"",IF(AND(A522&lt;&gt;"",COUNTIF($A$2:$A$5001,A522)&gt;1),"NUMERO_PC duplicado",IF(B522="","DATA_PC vazia",IF(NOT(ISNUMBER(B522)),"DATA_PC invalida",IF(OR(C522="",C522="Fora dos ciclos"),"CICLO_PC nao identificado",IF(OR(D522="",D522=0),"VALOR_PC vazio ou zero",IF(AND(G522&lt;&gt;"Sim",G522&lt;&gt;"Nao",G522&lt;&gt;""),"PC_PAGO_A_CONTRATADA invalido",IF(AND(C522&lt;&gt;"C0",IFERROR(INDEX(parametros!$A$2:$A$6,MATCH(C522,parametros!$B$2:$B$6,0)),"")="Sim",IFERROR(INDEX(parametros!$H$2:$H$6,MATCH(C522,parametros!$B$2:$B$6,0)),"")=""),"INICIO_EFEITO ausente: PC "&amp;A522&amp;" - "&amp;C522,IF(L522="","EFEITO_PC nao calculado: PC "&amp;A522&amp;" - "&amp;C522,"OK")))))))))</f>
        <v/>
      </c>
      <c r="L522" s="92" t="str">
        <f>IF(AND(A522="",B522="",D522="",G522=""),"",IF(OR(B522="",NOT(ISNUMBER(B522)),C522="",C522="Fora dos ciclos"),"",IF(C522="C0","Nao",IF(IFERROR(INDEX(parametros!$A$2:$A$6,MATCH(C522,parametros!$B$2:$B$6,0)),"")&lt;&gt;"Sim","Nao",IF(IFERROR(INDEX(parametros!$H$2:$H$6,MATCH(C522,parametros!$B$2:$B$6,0)),"")="","",IF(B522&gt;=IFERROR(INDEX(parametros!$H$2:$H$6,MATCH(C522,parametros!$B$2:$B$6,0)),""),"Sim","Nao"))))))</f>
        <v/>
      </c>
      <c r="T522" s="156"/>
      <c r="U522" s="214" t="str">
        <f t="shared" si="46"/>
        <v/>
      </c>
      <c r="V522" s="212" t="s">
        <v>50</v>
      </c>
      <c r="W522" s="100" t="s">
        <v>168</v>
      </c>
      <c r="X522" s="100" t="s">
        <v>169</v>
      </c>
      <c r="Y522" s="101" t="s">
        <v>170</v>
      </c>
      <c r="Z522" s="101" t="s">
        <v>171</v>
      </c>
      <c r="AA522" s="101" t="s">
        <v>50</v>
      </c>
      <c r="AB522" s="101" t="s">
        <v>172</v>
      </c>
      <c r="AC522" s="102" t="s">
        <v>173</v>
      </c>
    </row>
    <row r="523" spans="1:29" ht="25.5" customHeight="1" x14ac:dyDescent="0.35">
      <c r="A523" s="392"/>
      <c r="B523" s="393"/>
      <c r="C523" s="99" t="str">
        <f>IF(B523="","",IF(NOT(ISNUMBER(B523)),"DATA_PC invalida",IF(NOT(ISNUMBER(parametros!$C$2)),"Fora dos ciclos",IF(OR(B523&lt;parametros!$C$2,(YEAR(B523)-YEAR(parametros!$C$2))*12+MONTH(B523)-MONTH(parametros!$C$2)&gt;59),"Fora dos ciclos","C"&amp;INT(((YEAR(B523)-YEAR(parametros!$C$2))*12+MONTH(B523)-MONTH(parametros!$C$2))/12)))))</f>
        <v/>
      </c>
      <c r="D523" s="394"/>
      <c r="E523" s="78" t="str">
        <f>IF(C523="","",IFERROR(VLOOKUP(C523,parametros!$A$11:$E$15,5,0),""))</f>
        <v/>
      </c>
      <c r="F523" s="79" t="str">
        <f t="shared" si="42"/>
        <v/>
      </c>
      <c r="G523" s="395"/>
      <c r="H523" s="91">
        <f t="shared" si="43"/>
        <v>0</v>
      </c>
      <c r="I523" s="91" t="str">
        <f t="shared" si="44"/>
        <v/>
      </c>
      <c r="J523" s="91" t="str">
        <f t="shared" si="45"/>
        <v/>
      </c>
      <c r="K523" s="92" t="str">
        <f>IF(AND(A523="",B523="",D523="",G523=""),"",IF(AND(A523&lt;&gt;"",COUNTIF($A$2:$A$5001,A523)&gt;1),"NUMERO_PC duplicado",IF(B523="","DATA_PC vazia",IF(NOT(ISNUMBER(B523)),"DATA_PC invalida",IF(OR(C523="",C523="Fora dos ciclos"),"CICLO_PC nao identificado",IF(OR(D523="",D523=0),"VALOR_PC vazio ou zero",IF(AND(G523&lt;&gt;"Sim",G523&lt;&gt;"Nao",G523&lt;&gt;""),"PC_PAGO_A_CONTRATADA invalido",IF(AND(C523&lt;&gt;"C0",IFERROR(INDEX(parametros!$A$2:$A$6,MATCH(C523,parametros!$B$2:$B$6,0)),"")="Sim",IFERROR(INDEX(parametros!$H$2:$H$6,MATCH(C523,parametros!$B$2:$B$6,0)),"")=""),"INICIO_EFEITO ausente: PC "&amp;A523&amp;" - "&amp;C523,IF(L523="","EFEITO_PC nao calculado: PC "&amp;A523&amp;" - "&amp;C523,"OK")))))))))</f>
        <v/>
      </c>
      <c r="L523" s="92" t="str">
        <f>IF(AND(A523="",B523="",D523="",G523=""),"",IF(OR(B523="",NOT(ISNUMBER(B523)),C523="",C523="Fora dos ciclos"),"",IF(C523="C0","Nao",IF(IFERROR(INDEX(parametros!$A$2:$A$6,MATCH(C523,parametros!$B$2:$B$6,0)),"")&lt;&gt;"Sim","Nao",IF(IFERROR(INDEX(parametros!$H$2:$H$6,MATCH(C523,parametros!$B$2:$B$6,0)),"")="","",IF(B523&gt;=IFERROR(INDEX(parametros!$H$2:$H$6,MATCH(C523,parametros!$B$2:$B$6,0)),""),"Sim","Nao"))))))</f>
        <v/>
      </c>
      <c r="T523" s="156"/>
      <c r="U523" s="214" t="str">
        <f t="shared" si="46"/>
        <v/>
      </c>
      <c r="V523" s="212" t="s">
        <v>50</v>
      </c>
      <c r="W523" s="100" t="s">
        <v>168</v>
      </c>
      <c r="X523" s="100" t="s">
        <v>169</v>
      </c>
      <c r="Y523" s="101" t="s">
        <v>170</v>
      </c>
      <c r="Z523" s="101" t="s">
        <v>171</v>
      </c>
      <c r="AA523" s="101" t="s">
        <v>50</v>
      </c>
      <c r="AB523" s="101" t="s">
        <v>172</v>
      </c>
      <c r="AC523" s="102" t="s">
        <v>173</v>
      </c>
    </row>
    <row r="524" spans="1:29" ht="25.5" customHeight="1" x14ac:dyDescent="0.35">
      <c r="A524" s="392"/>
      <c r="B524" s="393"/>
      <c r="C524" s="99" t="str">
        <f>IF(B524="","",IF(NOT(ISNUMBER(B524)),"DATA_PC invalida",IF(NOT(ISNUMBER(parametros!$C$2)),"Fora dos ciclos",IF(OR(B524&lt;parametros!$C$2,(YEAR(B524)-YEAR(parametros!$C$2))*12+MONTH(B524)-MONTH(parametros!$C$2)&gt;59),"Fora dos ciclos","C"&amp;INT(((YEAR(B524)-YEAR(parametros!$C$2))*12+MONTH(B524)-MONTH(parametros!$C$2))/12)))))</f>
        <v/>
      </c>
      <c r="D524" s="394"/>
      <c r="E524" s="78" t="str">
        <f>IF(C524="","",IFERROR(VLOOKUP(C524,parametros!$A$11:$E$15,5,0),""))</f>
        <v/>
      </c>
      <c r="F524" s="79" t="str">
        <f t="shared" si="42"/>
        <v/>
      </c>
      <c r="G524" s="395"/>
      <c r="H524" s="91">
        <f t="shared" si="43"/>
        <v>0</v>
      </c>
      <c r="I524" s="91" t="str">
        <f t="shared" si="44"/>
        <v/>
      </c>
      <c r="J524" s="91" t="str">
        <f t="shared" si="45"/>
        <v/>
      </c>
      <c r="K524" s="92" t="str">
        <f>IF(AND(A524="",B524="",D524="",G524=""),"",IF(AND(A524&lt;&gt;"",COUNTIF($A$2:$A$5001,A524)&gt;1),"NUMERO_PC duplicado",IF(B524="","DATA_PC vazia",IF(NOT(ISNUMBER(B524)),"DATA_PC invalida",IF(OR(C524="",C524="Fora dos ciclos"),"CICLO_PC nao identificado",IF(OR(D524="",D524=0),"VALOR_PC vazio ou zero",IF(AND(G524&lt;&gt;"Sim",G524&lt;&gt;"Nao",G524&lt;&gt;""),"PC_PAGO_A_CONTRATADA invalido",IF(AND(C524&lt;&gt;"C0",IFERROR(INDEX(parametros!$A$2:$A$6,MATCH(C524,parametros!$B$2:$B$6,0)),"")="Sim",IFERROR(INDEX(parametros!$H$2:$H$6,MATCH(C524,parametros!$B$2:$B$6,0)),"")=""),"INICIO_EFEITO ausente: PC "&amp;A524&amp;" - "&amp;C524,IF(L524="","EFEITO_PC nao calculado: PC "&amp;A524&amp;" - "&amp;C524,"OK")))))))))</f>
        <v/>
      </c>
      <c r="L524" s="92" t="str">
        <f>IF(AND(A524="",B524="",D524="",G524=""),"",IF(OR(B524="",NOT(ISNUMBER(B524)),C524="",C524="Fora dos ciclos"),"",IF(C524="C0","Nao",IF(IFERROR(INDEX(parametros!$A$2:$A$6,MATCH(C524,parametros!$B$2:$B$6,0)),"")&lt;&gt;"Sim","Nao",IF(IFERROR(INDEX(parametros!$H$2:$H$6,MATCH(C524,parametros!$B$2:$B$6,0)),"")="","",IF(B524&gt;=IFERROR(INDEX(parametros!$H$2:$H$6,MATCH(C524,parametros!$B$2:$B$6,0)),""),"Sim","Nao"))))))</f>
        <v/>
      </c>
      <c r="T524" s="156"/>
      <c r="U524" s="214" t="str">
        <f t="shared" si="46"/>
        <v/>
      </c>
      <c r="V524" s="212" t="s">
        <v>50</v>
      </c>
      <c r="W524" s="100" t="s">
        <v>168</v>
      </c>
      <c r="X524" s="100" t="s">
        <v>169</v>
      </c>
      <c r="Y524" s="101" t="s">
        <v>170</v>
      </c>
      <c r="Z524" s="101" t="s">
        <v>171</v>
      </c>
      <c r="AA524" s="101" t="s">
        <v>50</v>
      </c>
      <c r="AB524" s="101" t="s">
        <v>172</v>
      </c>
      <c r="AC524" s="102" t="s">
        <v>173</v>
      </c>
    </row>
    <row r="525" spans="1:29" ht="25.5" customHeight="1" x14ac:dyDescent="0.35">
      <c r="A525" s="392"/>
      <c r="B525" s="393"/>
      <c r="C525" s="99" t="str">
        <f>IF(B525="","",IF(NOT(ISNUMBER(B525)),"DATA_PC invalida",IF(NOT(ISNUMBER(parametros!$C$2)),"Fora dos ciclos",IF(OR(B525&lt;parametros!$C$2,(YEAR(B525)-YEAR(parametros!$C$2))*12+MONTH(B525)-MONTH(parametros!$C$2)&gt;59),"Fora dos ciclos","C"&amp;INT(((YEAR(B525)-YEAR(parametros!$C$2))*12+MONTH(B525)-MONTH(parametros!$C$2))/12)))))</f>
        <v/>
      </c>
      <c r="D525" s="394"/>
      <c r="E525" s="78" t="str">
        <f>IF(C525="","",IFERROR(VLOOKUP(C525,parametros!$A$11:$E$15,5,0),""))</f>
        <v/>
      </c>
      <c r="F525" s="79" t="str">
        <f t="shared" si="42"/>
        <v/>
      </c>
      <c r="G525" s="395"/>
      <c r="H525" s="91">
        <f t="shared" si="43"/>
        <v>0</v>
      </c>
      <c r="I525" s="91" t="str">
        <f t="shared" si="44"/>
        <v/>
      </c>
      <c r="J525" s="91" t="str">
        <f t="shared" si="45"/>
        <v/>
      </c>
      <c r="K525" s="92" t="str">
        <f>IF(AND(A525="",B525="",D525="",G525=""),"",IF(AND(A525&lt;&gt;"",COUNTIF($A$2:$A$5001,A525)&gt;1),"NUMERO_PC duplicado",IF(B525="","DATA_PC vazia",IF(NOT(ISNUMBER(B525)),"DATA_PC invalida",IF(OR(C525="",C525="Fora dos ciclos"),"CICLO_PC nao identificado",IF(OR(D525="",D525=0),"VALOR_PC vazio ou zero",IF(AND(G525&lt;&gt;"Sim",G525&lt;&gt;"Nao",G525&lt;&gt;""),"PC_PAGO_A_CONTRATADA invalido",IF(AND(C525&lt;&gt;"C0",IFERROR(INDEX(parametros!$A$2:$A$6,MATCH(C525,parametros!$B$2:$B$6,0)),"")="Sim",IFERROR(INDEX(parametros!$H$2:$H$6,MATCH(C525,parametros!$B$2:$B$6,0)),"")=""),"INICIO_EFEITO ausente: PC "&amp;A525&amp;" - "&amp;C525,IF(L525="","EFEITO_PC nao calculado: PC "&amp;A525&amp;" - "&amp;C525,"OK")))))))))</f>
        <v/>
      </c>
      <c r="L525" s="92" t="str">
        <f>IF(AND(A525="",B525="",D525="",G525=""),"",IF(OR(B525="",NOT(ISNUMBER(B525)),C525="",C525="Fora dos ciclos"),"",IF(C525="C0","Nao",IF(IFERROR(INDEX(parametros!$A$2:$A$6,MATCH(C525,parametros!$B$2:$B$6,0)),"")&lt;&gt;"Sim","Nao",IF(IFERROR(INDEX(parametros!$H$2:$H$6,MATCH(C525,parametros!$B$2:$B$6,0)),"")="","",IF(B525&gt;=IFERROR(INDEX(parametros!$H$2:$H$6,MATCH(C525,parametros!$B$2:$B$6,0)),""),"Sim","Nao"))))))</f>
        <v/>
      </c>
      <c r="T525" s="156"/>
      <c r="U525" s="214" t="str">
        <f t="shared" si="46"/>
        <v/>
      </c>
      <c r="V525" s="212" t="s">
        <v>50</v>
      </c>
      <c r="W525" s="100" t="s">
        <v>168</v>
      </c>
      <c r="X525" s="100" t="s">
        <v>169</v>
      </c>
      <c r="Y525" s="101" t="s">
        <v>170</v>
      </c>
      <c r="Z525" s="101" t="s">
        <v>171</v>
      </c>
      <c r="AA525" s="101" t="s">
        <v>50</v>
      </c>
      <c r="AB525" s="101" t="s">
        <v>172</v>
      </c>
      <c r="AC525" s="102" t="s">
        <v>173</v>
      </c>
    </row>
    <row r="526" spans="1:29" ht="25.5" customHeight="1" x14ac:dyDescent="0.35">
      <c r="A526" s="392"/>
      <c r="B526" s="393"/>
      <c r="C526" s="99" t="str">
        <f>IF(B526="","",IF(NOT(ISNUMBER(B526)),"DATA_PC invalida",IF(NOT(ISNUMBER(parametros!$C$2)),"Fora dos ciclos",IF(OR(B526&lt;parametros!$C$2,(YEAR(B526)-YEAR(parametros!$C$2))*12+MONTH(B526)-MONTH(parametros!$C$2)&gt;59),"Fora dos ciclos","C"&amp;INT(((YEAR(B526)-YEAR(parametros!$C$2))*12+MONTH(B526)-MONTH(parametros!$C$2))/12)))))</f>
        <v/>
      </c>
      <c r="D526" s="394"/>
      <c r="E526" s="78" t="str">
        <f>IF(C526="","",IFERROR(VLOOKUP(C526,parametros!$A$11:$E$15,5,0),""))</f>
        <v/>
      </c>
      <c r="F526" s="79" t="str">
        <f t="shared" si="42"/>
        <v/>
      </c>
      <c r="G526" s="395"/>
      <c r="H526" s="91">
        <f t="shared" si="43"/>
        <v>0</v>
      </c>
      <c r="I526" s="91" t="str">
        <f t="shared" si="44"/>
        <v/>
      </c>
      <c r="J526" s="91" t="str">
        <f t="shared" si="45"/>
        <v/>
      </c>
      <c r="K526" s="92" t="str">
        <f>IF(AND(A526="",B526="",D526="",G526=""),"",IF(AND(A526&lt;&gt;"",COUNTIF($A$2:$A$5001,A526)&gt;1),"NUMERO_PC duplicado",IF(B526="","DATA_PC vazia",IF(NOT(ISNUMBER(B526)),"DATA_PC invalida",IF(OR(C526="",C526="Fora dos ciclos"),"CICLO_PC nao identificado",IF(OR(D526="",D526=0),"VALOR_PC vazio ou zero",IF(AND(G526&lt;&gt;"Sim",G526&lt;&gt;"Nao",G526&lt;&gt;""),"PC_PAGO_A_CONTRATADA invalido",IF(AND(C526&lt;&gt;"C0",IFERROR(INDEX(parametros!$A$2:$A$6,MATCH(C526,parametros!$B$2:$B$6,0)),"")="Sim",IFERROR(INDEX(parametros!$H$2:$H$6,MATCH(C526,parametros!$B$2:$B$6,0)),"")=""),"INICIO_EFEITO ausente: PC "&amp;A526&amp;" - "&amp;C526,IF(L526="","EFEITO_PC nao calculado: PC "&amp;A526&amp;" - "&amp;C526,"OK")))))))))</f>
        <v/>
      </c>
      <c r="L526" s="92" t="str">
        <f>IF(AND(A526="",B526="",D526="",G526=""),"",IF(OR(B526="",NOT(ISNUMBER(B526)),C526="",C526="Fora dos ciclos"),"",IF(C526="C0","Nao",IF(IFERROR(INDEX(parametros!$A$2:$A$6,MATCH(C526,parametros!$B$2:$B$6,0)),"")&lt;&gt;"Sim","Nao",IF(IFERROR(INDEX(parametros!$H$2:$H$6,MATCH(C526,parametros!$B$2:$B$6,0)),"")="","",IF(B526&gt;=IFERROR(INDEX(parametros!$H$2:$H$6,MATCH(C526,parametros!$B$2:$B$6,0)),""),"Sim","Nao"))))))</f>
        <v/>
      </c>
      <c r="T526" s="156"/>
      <c r="U526" s="214" t="str">
        <f t="shared" si="46"/>
        <v/>
      </c>
      <c r="V526" s="212" t="s">
        <v>50</v>
      </c>
      <c r="W526" s="100" t="s">
        <v>168</v>
      </c>
      <c r="X526" s="100" t="s">
        <v>169</v>
      </c>
      <c r="Y526" s="101" t="s">
        <v>170</v>
      </c>
      <c r="Z526" s="101" t="s">
        <v>171</v>
      </c>
      <c r="AA526" s="101" t="s">
        <v>50</v>
      </c>
      <c r="AB526" s="101" t="s">
        <v>172</v>
      </c>
      <c r="AC526" s="102" t="s">
        <v>173</v>
      </c>
    </row>
    <row r="527" spans="1:29" ht="25.5" customHeight="1" x14ac:dyDescent="0.35">
      <c r="A527" s="392"/>
      <c r="B527" s="393"/>
      <c r="C527" s="99" t="str">
        <f>IF(B527="","",IF(NOT(ISNUMBER(B527)),"DATA_PC invalida",IF(NOT(ISNUMBER(parametros!$C$2)),"Fora dos ciclos",IF(OR(B527&lt;parametros!$C$2,(YEAR(B527)-YEAR(parametros!$C$2))*12+MONTH(B527)-MONTH(parametros!$C$2)&gt;59),"Fora dos ciclos","C"&amp;INT(((YEAR(B527)-YEAR(parametros!$C$2))*12+MONTH(B527)-MONTH(parametros!$C$2))/12)))))</f>
        <v/>
      </c>
      <c r="D527" s="394"/>
      <c r="E527" s="78" t="str">
        <f>IF(C527="","",IFERROR(VLOOKUP(C527,parametros!$A$11:$E$15,5,0),""))</f>
        <v/>
      </c>
      <c r="F527" s="79" t="str">
        <f t="shared" si="42"/>
        <v/>
      </c>
      <c r="G527" s="395"/>
      <c r="H527" s="91">
        <f t="shared" si="43"/>
        <v>0</v>
      </c>
      <c r="I527" s="91" t="str">
        <f t="shared" si="44"/>
        <v/>
      </c>
      <c r="J527" s="91" t="str">
        <f t="shared" si="45"/>
        <v/>
      </c>
      <c r="K527" s="92" t="str">
        <f>IF(AND(A527="",B527="",D527="",G527=""),"",IF(AND(A527&lt;&gt;"",COUNTIF($A$2:$A$5001,A527)&gt;1),"NUMERO_PC duplicado",IF(B527="","DATA_PC vazia",IF(NOT(ISNUMBER(B527)),"DATA_PC invalida",IF(OR(C527="",C527="Fora dos ciclos"),"CICLO_PC nao identificado",IF(OR(D527="",D527=0),"VALOR_PC vazio ou zero",IF(AND(G527&lt;&gt;"Sim",G527&lt;&gt;"Nao",G527&lt;&gt;""),"PC_PAGO_A_CONTRATADA invalido",IF(AND(C527&lt;&gt;"C0",IFERROR(INDEX(parametros!$A$2:$A$6,MATCH(C527,parametros!$B$2:$B$6,0)),"")="Sim",IFERROR(INDEX(parametros!$H$2:$H$6,MATCH(C527,parametros!$B$2:$B$6,0)),"")=""),"INICIO_EFEITO ausente: PC "&amp;A527&amp;" - "&amp;C527,IF(L527="","EFEITO_PC nao calculado: PC "&amp;A527&amp;" - "&amp;C527,"OK")))))))))</f>
        <v/>
      </c>
      <c r="L527" s="92" t="str">
        <f>IF(AND(A527="",B527="",D527="",G527=""),"",IF(OR(B527="",NOT(ISNUMBER(B527)),C527="",C527="Fora dos ciclos"),"",IF(C527="C0","Nao",IF(IFERROR(INDEX(parametros!$A$2:$A$6,MATCH(C527,parametros!$B$2:$B$6,0)),"")&lt;&gt;"Sim","Nao",IF(IFERROR(INDEX(parametros!$H$2:$H$6,MATCH(C527,parametros!$B$2:$B$6,0)),"")="","",IF(B527&gt;=IFERROR(INDEX(parametros!$H$2:$H$6,MATCH(C527,parametros!$B$2:$B$6,0)),""),"Sim","Nao"))))))</f>
        <v/>
      </c>
      <c r="T527" s="156"/>
      <c r="U527" s="214" t="str">
        <f t="shared" si="46"/>
        <v/>
      </c>
      <c r="V527" s="212" t="s">
        <v>50</v>
      </c>
      <c r="W527" s="100" t="s">
        <v>168</v>
      </c>
      <c r="X527" s="100" t="s">
        <v>169</v>
      </c>
      <c r="Y527" s="101" t="s">
        <v>170</v>
      </c>
      <c r="Z527" s="101" t="s">
        <v>171</v>
      </c>
      <c r="AA527" s="101" t="s">
        <v>50</v>
      </c>
      <c r="AB527" s="101" t="s">
        <v>172</v>
      </c>
      <c r="AC527" s="102" t="s">
        <v>173</v>
      </c>
    </row>
    <row r="528" spans="1:29" ht="25.5" customHeight="1" x14ac:dyDescent="0.35">
      <c r="A528" s="392"/>
      <c r="B528" s="393"/>
      <c r="C528" s="99" t="str">
        <f>IF(B528="","",IF(NOT(ISNUMBER(B528)),"DATA_PC invalida",IF(NOT(ISNUMBER(parametros!$C$2)),"Fora dos ciclos",IF(OR(B528&lt;parametros!$C$2,(YEAR(B528)-YEAR(parametros!$C$2))*12+MONTH(B528)-MONTH(parametros!$C$2)&gt;59),"Fora dos ciclos","C"&amp;INT(((YEAR(B528)-YEAR(parametros!$C$2))*12+MONTH(B528)-MONTH(parametros!$C$2))/12)))))</f>
        <v/>
      </c>
      <c r="D528" s="394"/>
      <c r="E528" s="78" t="str">
        <f>IF(C528="","",IFERROR(VLOOKUP(C528,parametros!$A$11:$E$15,5,0),""))</f>
        <v/>
      </c>
      <c r="F528" s="79" t="str">
        <f t="shared" si="42"/>
        <v/>
      </c>
      <c r="G528" s="395"/>
      <c r="H528" s="91">
        <f t="shared" si="43"/>
        <v>0</v>
      </c>
      <c r="I528" s="91" t="str">
        <f t="shared" si="44"/>
        <v/>
      </c>
      <c r="J528" s="91" t="str">
        <f t="shared" si="45"/>
        <v/>
      </c>
      <c r="K528" s="92" t="str">
        <f>IF(AND(A528="",B528="",D528="",G528=""),"",IF(AND(A528&lt;&gt;"",COUNTIF($A$2:$A$5001,A528)&gt;1),"NUMERO_PC duplicado",IF(B528="","DATA_PC vazia",IF(NOT(ISNUMBER(B528)),"DATA_PC invalida",IF(OR(C528="",C528="Fora dos ciclos"),"CICLO_PC nao identificado",IF(OR(D528="",D528=0),"VALOR_PC vazio ou zero",IF(AND(G528&lt;&gt;"Sim",G528&lt;&gt;"Nao",G528&lt;&gt;""),"PC_PAGO_A_CONTRATADA invalido",IF(AND(C528&lt;&gt;"C0",IFERROR(INDEX(parametros!$A$2:$A$6,MATCH(C528,parametros!$B$2:$B$6,0)),"")="Sim",IFERROR(INDEX(parametros!$H$2:$H$6,MATCH(C528,parametros!$B$2:$B$6,0)),"")=""),"INICIO_EFEITO ausente: PC "&amp;A528&amp;" - "&amp;C528,IF(L528="","EFEITO_PC nao calculado: PC "&amp;A528&amp;" - "&amp;C528,"OK")))))))))</f>
        <v/>
      </c>
      <c r="L528" s="92" t="str">
        <f>IF(AND(A528="",B528="",D528="",G528=""),"",IF(OR(B528="",NOT(ISNUMBER(B528)),C528="",C528="Fora dos ciclos"),"",IF(C528="C0","Nao",IF(IFERROR(INDEX(parametros!$A$2:$A$6,MATCH(C528,parametros!$B$2:$B$6,0)),"")&lt;&gt;"Sim","Nao",IF(IFERROR(INDEX(parametros!$H$2:$H$6,MATCH(C528,parametros!$B$2:$B$6,0)),"")="","",IF(B528&gt;=IFERROR(INDEX(parametros!$H$2:$H$6,MATCH(C528,parametros!$B$2:$B$6,0)),""),"Sim","Nao"))))))</f>
        <v/>
      </c>
      <c r="T528" s="156"/>
      <c r="U528" s="214" t="str">
        <f t="shared" si="46"/>
        <v/>
      </c>
      <c r="V528" s="212" t="s">
        <v>50</v>
      </c>
      <c r="W528" s="100" t="s">
        <v>168</v>
      </c>
      <c r="X528" s="100" t="s">
        <v>169</v>
      </c>
      <c r="Y528" s="101" t="s">
        <v>170</v>
      </c>
      <c r="Z528" s="101" t="s">
        <v>171</v>
      </c>
      <c r="AA528" s="101" t="s">
        <v>50</v>
      </c>
      <c r="AB528" s="101" t="s">
        <v>172</v>
      </c>
      <c r="AC528" s="102" t="s">
        <v>173</v>
      </c>
    </row>
    <row r="529" spans="1:29" ht="25.5" customHeight="1" x14ac:dyDescent="0.35">
      <c r="A529" s="392"/>
      <c r="B529" s="393"/>
      <c r="C529" s="99" t="str">
        <f>IF(B529="","",IF(NOT(ISNUMBER(B529)),"DATA_PC invalida",IF(NOT(ISNUMBER(parametros!$C$2)),"Fora dos ciclos",IF(OR(B529&lt;parametros!$C$2,(YEAR(B529)-YEAR(parametros!$C$2))*12+MONTH(B529)-MONTH(parametros!$C$2)&gt;59),"Fora dos ciclos","C"&amp;INT(((YEAR(B529)-YEAR(parametros!$C$2))*12+MONTH(B529)-MONTH(parametros!$C$2))/12)))))</f>
        <v/>
      </c>
      <c r="D529" s="394"/>
      <c r="E529" s="78" t="str">
        <f>IF(C529="","",IFERROR(VLOOKUP(C529,parametros!$A$11:$E$15,5,0),""))</f>
        <v/>
      </c>
      <c r="F529" s="79" t="str">
        <f t="shared" si="42"/>
        <v/>
      </c>
      <c r="G529" s="395"/>
      <c r="H529" s="91">
        <f t="shared" si="43"/>
        <v>0</v>
      </c>
      <c r="I529" s="91" t="str">
        <f t="shared" si="44"/>
        <v/>
      </c>
      <c r="J529" s="91" t="str">
        <f t="shared" si="45"/>
        <v/>
      </c>
      <c r="K529" s="92" t="str">
        <f>IF(AND(A529="",B529="",D529="",G529=""),"",IF(AND(A529&lt;&gt;"",COUNTIF($A$2:$A$5001,A529)&gt;1),"NUMERO_PC duplicado",IF(B529="","DATA_PC vazia",IF(NOT(ISNUMBER(B529)),"DATA_PC invalida",IF(OR(C529="",C529="Fora dos ciclos"),"CICLO_PC nao identificado",IF(OR(D529="",D529=0),"VALOR_PC vazio ou zero",IF(AND(G529&lt;&gt;"Sim",G529&lt;&gt;"Nao",G529&lt;&gt;""),"PC_PAGO_A_CONTRATADA invalido",IF(AND(C529&lt;&gt;"C0",IFERROR(INDEX(parametros!$A$2:$A$6,MATCH(C529,parametros!$B$2:$B$6,0)),"")="Sim",IFERROR(INDEX(parametros!$H$2:$H$6,MATCH(C529,parametros!$B$2:$B$6,0)),"")=""),"INICIO_EFEITO ausente: PC "&amp;A529&amp;" - "&amp;C529,IF(L529="","EFEITO_PC nao calculado: PC "&amp;A529&amp;" - "&amp;C529,"OK")))))))))</f>
        <v/>
      </c>
      <c r="L529" s="92" t="str">
        <f>IF(AND(A529="",B529="",D529="",G529=""),"",IF(OR(B529="",NOT(ISNUMBER(B529)),C529="",C529="Fora dos ciclos"),"",IF(C529="C0","Nao",IF(IFERROR(INDEX(parametros!$A$2:$A$6,MATCH(C529,parametros!$B$2:$B$6,0)),"")&lt;&gt;"Sim","Nao",IF(IFERROR(INDEX(parametros!$H$2:$H$6,MATCH(C529,parametros!$B$2:$B$6,0)),"")="","",IF(B529&gt;=IFERROR(INDEX(parametros!$H$2:$H$6,MATCH(C529,parametros!$B$2:$B$6,0)),""),"Sim","Nao"))))))</f>
        <v/>
      </c>
      <c r="T529" s="156"/>
      <c r="U529" s="214" t="str">
        <f t="shared" si="46"/>
        <v/>
      </c>
      <c r="V529" s="212" t="s">
        <v>50</v>
      </c>
      <c r="W529" s="100" t="s">
        <v>168</v>
      </c>
      <c r="X529" s="100" t="s">
        <v>169</v>
      </c>
      <c r="Y529" s="101" t="s">
        <v>170</v>
      </c>
      <c r="Z529" s="101" t="s">
        <v>171</v>
      </c>
      <c r="AA529" s="101" t="s">
        <v>50</v>
      </c>
      <c r="AB529" s="101" t="s">
        <v>172</v>
      </c>
      <c r="AC529" s="102" t="s">
        <v>173</v>
      </c>
    </row>
    <row r="530" spans="1:29" ht="25.5" customHeight="1" x14ac:dyDescent="0.35">
      <c r="A530" s="392"/>
      <c r="B530" s="393"/>
      <c r="C530" s="99" t="str">
        <f>IF(B530="","",IF(NOT(ISNUMBER(B530)),"DATA_PC invalida",IF(NOT(ISNUMBER(parametros!$C$2)),"Fora dos ciclos",IF(OR(B530&lt;parametros!$C$2,(YEAR(B530)-YEAR(parametros!$C$2))*12+MONTH(B530)-MONTH(parametros!$C$2)&gt;59),"Fora dos ciclos","C"&amp;INT(((YEAR(B530)-YEAR(parametros!$C$2))*12+MONTH(B530)-MONTH(parametros!$C$2))/12)))))</f>
        <v/>
      </c>
      <c r="D530" s="394"/>
      <c r="E530" s="78" t="str">
        <f>IF(C530="","",IFERROR(VLOOKUP(C530,parametros!$A$11:$E$15,5,0),""))</f>
        <v/>
      </c>
      <c r="F530" s="79" t="str">
        <f t="shared" si="42"/>
        <v/>
      </c>
      <c r="G530" s="395"/>
      <c r="H530" s="91">
        <f t="shared" si="43"/>
        <v>0</v>
      </c>
      <c r="I530" s="91" t="str">
        <f t="shared" si="44"/>
        <v/>
      </c>
      <c r="J530" s="91" t="str">
        <f t="shared" si="45"/>
        <v/>
      </c>
      <c r="K530" s="92" t="str">
        <f>IF(AND(A530="",B530="",D530="",G530=""),"",IF(AND(A530&lt;&gt;"",COUNTIF($A$2:$A$5001,A530)&gt;1),"NUMERO_PC duplicado",IF(B530="","DATA_PC vazia",IF(NOT(ISNUMBER(B530)),"DATA_PC invalida",IF(OR(C530="",C530="Fora dos ciclos"),"CICLO_PC nao identificado",IF(OR(D530="",D530=0),"VALOR_PC vazio ou zero",IF(AND(G530&lt;&gt;"Sim",G530&lt;&gt;"Nao",G530&lt;&gt;""),"PC_PAGO_A_CONTRATADA invalido",IF(AND(C530&lt;&gt;"C0",IFERROR(INDEX(parametros!$A$2:$A$6,MATCH(C530,parametros!$B$2:$B$6,0)),"")="Sim",IFERROR(INDEX(parametros!$H$2:$H$6,MATCH(C530,parametros!$B$2:$B$6,0)),"")=""),"INICIO_EFEITO ausente: PC "&amp;A530&amp;" - "&amp;C530,IF(L530="","EFEITO_PC nao calculado: PC "&amp;A530&amp;" - "&amp;C530,"OK")))))))))</f>
        <v/>
      </c>
      <c r="L530" s="92" t="str">
        <f>IF(AND(A530="",B530="",D530="",G530=""),"",IF(OR(B530="",NOT(ISNUMBER(B530)),C530="",C530="Fora dos ciclos"),"",IF(C530="C0","Nao",IF(IFERROR(INDEX(parametros!$A$2:$A$6,MATCH(C530,parametros!$B$2:$B$6,0)),"")&lt;&gt;"Sim","Nao",IF(IFERROR(INDEX(parametros!$H$2:$H$6,MATCH(C530,parametros!$B$2:$B$6,0)),"")="","",IF(B530&gt;=IFERROR(INDEX(parametros!$H$2:$H$6,MATCH(C530,parametros!$B$2:$B$6,0)),""),"Sim","Nao"))))))</f>
        <v/>
      </c>
      <c r="T530" s="156"/>
      <c r="U530" s="214" t="str">
        <f t="shared" si="46"/>
        <v/>
      </c>
      <c r="V530" s="212" t="s">
        <v>50</v>
      </c>
      <c r="W530" s="100" t="s">
        <v>168</v>
      </c>
      <c r="X530" s="100" t="s">
        <v>169</v>
      </c>
      <c r="Y530" s="101" t="s">
        <v>170</v>
      </c>
      <c r="Z530" s="101" t="s">
        <v>171</v>
      </c>
      <c r="AA530" s="101" t="s">
        <v>50</v>
      </c>
      <c r="AB530" s="101" t="s">
        <v>172</v>
      </c>
      <c r="AC530" s="102" t="s">
        <v>173</v>
      </c>
    </row>
    <row r="531" spans="1:29" ht="25.5" customHeight="1" x14ac:dyDescent="0.35">
      <c r="A531" s="392"/>
      <c r="B531" s="393"/>
      <c r="C531" s="99" t="str">
        <f>IF(B531="","",IF(NOT(ISNUMBER(B531)),"DATA_PC invalida",IF(NOT(ISNUMBER(parametros!$C$2)),"Fora dos ciclos",IF(OR(B531&lt;parametros!$C$2,(YEAR(B531)-YEAR(parametros!$C$2))*12+MONTH(B531)-MONTH(parametros!$C$2)&gt;59),"Fora dos ciclos","C"&amp;INT(((YEAR(B531)-YEAR(parametros!$C$2))*12+MONTH(B531)-MONTH(parametros!$C$2))/12)))))</f>
        <v/>
      </c>
      <c r="D531" s="394"/>
      <c r="E531" s="78" t="str">
        <f>IF(C531="","",IFERROR(VLOOKUP(C531,parametros!$A$11:$E$15,5,0),""))</f>
        <v/>
      </c>
      <c r="F531" s="79" t="str">
        <f t="shared" si="42"/>
        <v/>
      </c>
      <c r="G531" s="395"/>
      <c r="H531" s="91">
        <f t="shared" si="43"/>
        <v>0</v>
      </c>
      <c r="I531" s="91" t="str">
        <f t="shared" si="44"/>
        <v/>
      </c>
      <c r="J531" s="91" t="str">
        <f t="shared" si="45"/>
        <v/>
      </c>
      <c r="K531" s="92" t="str">
        <f>IF(AND(A531="",B531="",D531="",G531=""),"",IF(AND(A531&lt;&gt;"",COUNTIF($A$2:$A$5001,A531)&gt;1),"NUMERO_PC duplicado",IF(B531="","DATA_PC vazia",IF(NOT(ISNUMBER(B531)),"DATA_PC invalida",IF(OR(C531="",C531="Fora dos ciclos"),"CICLO_PC nao identificado",IF(OR(D531="",D531=0),"VALOR_PC vazio ou zero",IF(AND(G531&lt;&gt;"Sim",G531&lt;&gt;"Nao",G531&lt;&gt;""),"PC_PAGO_A_CONTRATADA invalido",IF(AND(C531&lt;&gt;"C0",IFERROR(INDEX(parametros!$A$2:$A$6,MATCH(C531,parametros!$B$2:$B$6,0)),"")="Sim",IFERROR(INDEX(parametros!$H$2:$H$6,MATCH(C531,parametros!$B$2:$B$6,0)),"")=""),"INICIO_EFEITO ausente: PC "&amp;A531&amp;" - "&amp;C531,IF(L531="","EFEITO_PC nao calculado: PC "&amp;A531&amp;" - "&amp;C531,"OK")))))))))</f>
        <v/>
      </c>
      <c r="L531" s="92" t="str">
        <f>IF(AND(A531="",B531="",D531="",G531=""),"",IF(OR(B531="",NOT(ISNUMBER(B531)),C531="",C531="Fora dos ciclos"),"",IF(C531="C0","Nao",IF(IFERROR(INDEX(parametros!$A$2:$A$6,MATCH(C531,parametros!$B$2:$B$6,0)),"")&lt;&gt;"Sim","Nao",IF(IFERROR(INDEX(parametros!$H$2:$H$6,MATCH(C531,parametros!$B$2:$B$6,0)),"")="","",IF(B531&gt;=IFERROR(INDEX(parametros!$H$2:$H$6,MATCH(C531,parametros!$B$2:$B$6,0)),""),"Sim","Nao"))))))</f>
        <v/>
      </c>
      <c r="T531" s="156"/>
      <c r="U531" s="214" t="str">
        <f t="shared" si="46"/>
        <v/>
      </c>
      <c r="V531" s="212" t="s">
        <v>50</v>
      </c>
      <c r="W531" s="100" t="s">
        <v>168</v>
      </c>
      <c r="X531" s="100" t="s">
        <v>169</v>
      </c>
      <c r="Y531" s="101" t="s">
        <v>170</v>
      </c>
      <c r="Z531" s="101" t="s">
        <v>171</v>
      </c>
      <c r="AA531" s="101" t="s">
        <v>50</v>
      </c>
      <c r="AB531" s="101" t="s">
        <v>172</v>
      </c>
      <c r="AC531" s="102" t="s">
        <v>173</v>
      </c>
    </row>
    <row r="532" spans="1:29" ht="25.5" customHeight="1" x14ac:dyDescent="0.35">
      <c r="A532" s="392"/>
      <c r="B532" s="393"/>
      <c r="C532" s="99" t="str">
        <f>IF(B532="","",IF(NOT(ISNUMBER(B532)),"DATA_PC invalida",IF(NOT(ISNUMBER(parametros!$C$2)),"Fora dos ciclos",IF(OR(B532&lt;parametros!$C$2,(YEAR(B532)-YEAR(parametros!$C$2))*12+MONTH(B532)-MONTH(parametros!$C$2)&gt;59),"Fora dos ciclos","C"&amp;INT(((YEAR(B532)-YEAR(parametros!$C$2))*12+MONTH(B532)-MONTH(parametros!$C$2))/12)))))</f>
        <v/>
      </c>
      <c r="D532" s="394"/>
      <c r="E532" s="78" t="str">
        <f>IF(C532="","",IFERROR(VLOOKUP(C532,parametros!$A$11:$E$15,5,0),""))</f>
        <v/>
      </c>
      <c r="F532" s="79" t="str">
        <f t="shared" si="42"/>
        <v/>
      </c>
      <c r="G532" s="395"/>
      <c r="H532" s="91">
        <f t="shared" si="43"/>
        <v>0</v>
      </c>
      <c r="I532" s="91" t="str">
        <f t="shared" si="44"/>
        <v/>
      </c>
      <c r="J532" s="91" t="str">
        <f t="shared" si="45"/>
        <v/>
      </c>
      <c r="K532" s="92" t="str">
        <f>IF(AND(A532="",B532="",D532="",G532=""),"",IF(AND(A532&lt;&gt;"",COUNTIF($A$2:$A$5001,A532)&gt;1),"NUMERO_PC duplicado",IF(B532="","DATA_PC vazia",IF(NOT(ISNUMBER(B532)),"DATA_PC invalida",IF(OR(C532="",C532="Fora dos ciclos"),"CICLO_PC nao identificado",IF(OR(D532="",D532=0),"VALOR_PC vazio ou zero",IF(AND(G532&lt;&gt;"Sim",G532&lt;&gt;"Nao",G532&lt;&gt;""),"PC_PAGO_A_CONTRATADA invalido",IF(AND(C532&lt;&gt;"C0",IFERROR(INDEX(parametros!$A$2:$A$6,MATCH(C532,parametros!$B$2:$B$6,0)),"")="Sim",IFERROR(INDEX(parametros!$H$2:$H$6,MATCH(C532,parametros!$B$2:$B$6,0)),"")=""),"INICIO_EFEITO ausente: PC "&amp;A532&amp;" - "&amp;C532,IF(L532="","EFEITO_PC nao calculado: PC "&amp;A532&amp;" - "&amp;C532,"OK")))))))))</f>
        <v/>
      </c>
      <c r="L532" s="92" t="str">
        <f>IF(AND(A532="",B532="",D532="",G532=""),"",IF(OR(B532="",NOT(ISNUMBER(B532)),C532="",C532="Fora dos ciclos"),"",IF(C532="C0","Nao",IF(IFERROR(INDEX(parametros!$A$2:$A$6,MATCH(C532,parametros!$B$2:$B$6,0)),"")&lt;&gt;"Sim","Nao",IF(IFERROR(INDEX(parametros!$H$2:$H$6,MATCH(C532,parametros!$B$2:$B$6,0)),"")="","",IF(B532&gt;=IFERROR(INDEX(parametros!$H$2:$H$6,MATCH(C532,parametros!$B$2:$B$6,0)),""),"Sim","Nao"))))))</f>
        <v/>
      </c>
      <c r="T532" s="156"/>
      <c r="U532" s="214" t="str">
        <f t="shared" si="46"/>
        <v/>
      </c>
      <c r="V532" s="212" t="s">
        <v>50</v>
      </c>
      <c r="W532" s="100" t="s">
        <v>168</v>
      </c>
      <c r="X532" s="100" t="s">
        <v>169</v>
      </c>
      <c r="Y532" s="101" t="s">
        <v>170</v>
      </c>
      <c r="Z532" s="101" t="s">
        <v>171</v>
      </c>
      <c r="AA532" s="101" t="s">
        <v>50</v>
      </c>
      <c r="AB532" s="101" t="s">
        <v>172</v>
      </c>
      <c r="AC532" s="102" t="s">
        <v>173</v>
      </c>
    </row>
    <row r="533" spans="1:29" ht="25.5" customHeight="1" x14ac:dyDescent="0.35">
      <c r="A533" s="392"/>
      <c r="B533" s="393"/>
      <c r="C533" s="99" t="str">
        <f>IF(B533="","",IF(NOT(ISNUMBER(B533)),"DATA_PC invalida",IF(NOT(ISNUMBER(parametros!$C$2)),"Fora dos ciclos",IF(OR(B533&lt;parametros!$C$2,(YEAR(B533)-YEAR(parametros!$C$2))*12+MONTH(B533)-MONTH(parametros!$C$2)&gt;59),"Fora dos ciclos","C"&amp;INT(((YEAR(B533)-YEAR(parametros!$C$2))*12+MONTH(B533)-MONTH(parametros!$C$2))/12)))))</f>
        <v/>
      </c>
      <c r="D533" s="394"/>
      <c r="E533" s="78" t="str">
        <f>IF(C533="","",IFERROR(VLOOKUP(C533,parametros!$A$11:$E$15,5,0),""))</f>
        <v/>
      </c>
      <c r="F533" s="79" t="str">
        <f t="shared" si="42"/>
        <v/>
      </c>
      <c r="G533" s="395"/>
      <c r="H533" s="91">
        <f t="shared" si="43"/>
        <v>0</v>
      </c>
      <c r="I533" s="91" t="str">
        <f t="shared" si="44"/>
        <v/>
      </c>
      <c r="J533" s="91" t="str">
        <f t="shared" si="45"/>
        <v/>
      </c>
      <c r="K533" s="92" t="str">
        <f>IF(AND(A533="",B533="",D533="",G533=""),"",IF(AND(A533&lt;&gt;"",COUNTIF($A$2:$A$5001,A533)&gt;1),"NUMERO_PC duplicado",IF(B533="","DATA_PC vazia",IF(NOT(ISNUMBER(B533)),"DATA_PC invalida",IF(OR(C533="",C533="Fora dos ciclos"),"CICLO_PC nao identificado",IF(OR(D533="",D533=0),"VALOR_PC vazio ou zero",IF(AND(G533&lt;&gt;"Sim",G533&lt;&gt;"Nao",G533&lt;&gt;""),"PC_PAGO_A_CONTRATADA invalido",IF(AND(C533&lt;&gt;"C0",IFERROR(INDEX(parametros!$A$2:$A$6,MATCH(C533,parametros!$B$2:$B$6,0)),"")="Sim",IFERROR(INDEX(parametros!$H$2:$H$6,MATCH(C533,parametros!$B$2:$B$6,0)),"")=""),"INICIO_EFEITO ausente: PC "&amp;A533&amp;" - "&amp;C533,IF(L533="","EFEITO_PC nao calculado: PC "&amp;A533&amp;" - "&amp;C533,"OK")))))))))</f>
        <v/>
      </c>
      <c r="L533" s="92" t="str">
        <f>IF(AND(A533="",B533="",D533="",G533=""),"",IF(OR(B533="",NOT(ISNUMBER(B533)),C533="",C533="Fora dos ciclos"),"",IF(C533="C0","Nao",IF(IFERROR(INDEX(parametros!$A$2:$A$6,MATCH(C533,parametros!$B$2:$B$6,0)),"")&lt;&gt;"Sim","Nao",IF(IFERROR(INDEX(parametros!$H$2:$H$6,MATCH(C533,parametros!$B$2:$B$6,0)),"")="","",IF(B533&gt;=IFERROR(INDEX(parametros!$H$2:$H$6,MATCH(C533,parametros!$B$2:$B$6,0)),""),"Sim","Nao"))))))</f>
        <v/>
      </c>
      <c r="T533" s="156"/>
      <c r="U533" s="214" t="str">
        <f t="shared" si="46"/>
        <v/>
      </c>
      <c r="V533" s="212" t="s">
        <v>50</v>
      </c>
      <c r="W533" s="100" t="s">
        <v>168</v>
      </c>
      <c r="X533" s="100" t="s">
        <v>169</v>
      </c>
      <c r="Y533" s="101" t="s">
        <v>170</v>
      </c>
      <c r="Z533" s="101" t="s">
        <v>171</v>
      </c>
      <c r="AA533" s="101" t="s">
        <v>50</v>
      </c>
      <c r="AB533" s="101" t="s">
        <v>172</v>
      </c>
      <c r="AC533" s="102" t="s">
        <v>173</v>
      </c>
    </row>
    <row r="534" spans="1:29" ht="25.5" customHeight="1" x14ac:dyDescent="0.35">
      <c r="A534" s="392"/>
      <c r="B534" s="393"/>
      <c r="C534" s="99" t="str">
        <f>IF(B534="","",IF(NOT(ISNUMBER(B534)),"DATA_PC invalida",IF(NOT(ISNUMBER(parametros!$C$2)),"Fora dos ciclos",IF(OR(B534&lt;parametros!$C$2,(YEAR(B534)-YEAR(parametros!$C$2))*12+MONTH(B534)-MONTH(parametros!$C$2)&gt;59),"Fora dos ciclos","C"&amp;INT(((YEAR(B534)-YEAR(parametros!$C$2))*12+MONTH(B534)-MONTH(parametros!$C$2))/12)))))</f>
        <v/>
      </c>
      <c r="D534" s="394"/>
      <c r="E534" s="78" t="str">
        <f>IF(C534="","",IFERROR(VLOOKUP(C534,parametros!$A$11:$E$15,5,0),""))</f>
        <v/>
      </c>
      <c r="F534" s="79" t="str">
        <f t="shared" si="42"/>
        <v/>
      </c>
      <c r="G534" s="395"/>
      <c r="H534" s="91">
        <f t="shared" si="43"/>
        <v>0</v>
      </c>
      <c r="I534" s="91" t="str">
        <f t="shared" si="44"/>
        <v/>
      </c>
      <c r="J534" s="91" t="str">
        <f t="shared" si="45"/>
        <v/>
      </c>
      <c r="K534" s="92" t="str">
        <f>IF(AND(A534="",B534="",D534="",G534=""),"",IF(AND(A534&lt;&gt;"",COUNTIF($A$2:$A$5001,A534)&gt;1),"NUMERO_PC duplicado",IF(B534="","DATA_PC vazia",IF(NOT(ISNUMBER(B534)),"DATA_PC invalida",IF(OR(C534="",C534="Fora dos ciclos"),"CICLO_PC nao identificado",IF(OR(D534="",D534=0),"VALOR_PC vazio ou zero",IF(AND(G534&lt;&gt;"Sim",G534&lt;&gt;"Nao",G534&lt;&gt;""),"PC_PAGO_A_CONTRATADA invalido",IF(AND(C534&lt;&gt;"C0",IFERROR(INDEX(parametros!$A$2:$A$6,MATCH(C534,parametros!$B$2:$B$6,0)),"")="Sim",IFERROR(INDEX(parametros!$H$2:$H$6,MATCH(C534,parametros!$B$2:$B$6,0)),"")=""),"INICIO_EFEITO ausente: PC "&amp;A534&amp;" - "&amp;C534,IF(L534="","EFEITO_PC nao calculado: PC "&amp;A534&amp;" - "&amp;C534,"OK")))))))))</f>
        <v/>
      </c>
      <c r="L534" s="92" t="str">
        <f>IF(AND(A534="",B534="",D534="",G534=""),"",IF(OR(B534="",NOT(ISNUMBER(B534)),C534="",C534="Fora dos ciclos"),"",IF(C534="C0","Nao",IF(IFERROR(INDEX(parametros!$A$2:$A$6,MATCH(C534,parametros!$B$2:$B$6,0)),"")&lt;&gt;"Sim","Nao",IF(IFERROR(INDEX(parametros!$H$2:$H$6,MATCH(C534,parametros!$B$2:$B$6,0)),"")="","",IF(B534&gt;=IFERROR(INDEX(parametros!$H$2:$H$6,MATCH(C534,parametros!$B$2:$B$6,0)),""),"Sim","Nao"))))))</f>
        <v/>
      </c>
      <c r="T534" s="156"/>
      <c r="U534" s="214" t="str">
        <f t="shared" si="46"/>
        <v/>
      </c>
      <c r="V534" s="212" t="s">
        <v>50</v>
      </c>
      <c r="W534" s="100" t="s">
        <v>168</v>
      </c>
      <c r="X534" s="100" t="s">
        <v>169</v>
      </c>
      <c r="Y534" s="101" t="s">
        <v>170</v>
      </c>
      <c r="Z534" s="101" t="s">
        <v>171</v>
      </c>
      <c r="AA534" s="101" t="s">
        <v>50</v>
      </c>
      <c r="AB534" s="101" t="s">
        <v>172</v>
      </c>
      <c r="AC534" s="102" t="s">
        <v>173</v>
      </c>
    </row>
    <row r="535" spans="1:29" ht="25.5" customHeight="1" x14ac:dyDescent="0.35">
      <c r="A535" s="392"/>
      <c r="B535" s="393"/>
      <c r="C535" s="99" t="str">
        <f>IF(B535="","",IF(NOT(ISNUMBER(B535)),"DATA_PC invalida",IF(NOT(ISNUMBER(parametros!$C$2)),"Fora dos ciclos",IF(OR(B535&lt;parametros!$C$2,(YEAR(B535)-YEAR(parametros!$C$2))*12+MONTH(B535)-MONTH(parametros!$C$2)&gt;59),"Fora dos ciclos","C"&amp;INT(((YEAR(B535)-YEAR(parametros!$C$2))*12+MONTH(B535)-MONTH(parametros!$C$2))/12)))))</f>
        <v/>
      </c>
      <c r="D535" s="394"/>
      <c r="E535" s="78" t="str">
        <f>IF(C535="","",IFERROR(VLOOKUP(C535,parametros!$A$11:$E$15,5,0),""))</f>
        <v/>
      </c>
      <c r="F535" s="79" t="str">
        <f t="shared" si="42"/>
        <v/>
      </c>
      <c r="G535" s="395"/>
      <c r="H535" s="91">
        <f t="shared" si="43"/>
        <v>0</v>
      </c>
      <c r="I535" s="91" t="str">
        <f t="shared" si="44"/>
        <v/>
      </c>
      <c r="J535" s="91" t="str">
        <f t="shared" si="45"/>
        <v/>
      </c>
      <c r="K535" s="92" t="str">
        <f>IF(AND(A535="",B535="",D535="",G535=""),"",IF(AND(A535&lt;&gt;"",COUNTIF($A$2:$A$5001,A535)&gt;1),"NUMERO_PC duplicado",IF(B535="","DATA_PC vazia",IF(NOT(ISNUMBER(B535)),"DATA_PC invalida",IF(OR(C535="",C535="Fora dos ciclos"),"CICLO_PC nao identificado",IF(OR(D535="",D535=0),"VALOR_PC vazio ou zero",IF(AND(G535&lt;&gt;"Sim",G535&lt;&gt;"Nao",G535&lt;&gt;""),"PC_PAGO_A_CONTRATADA invalido",IF(AND(C535&lt;&gt;"C0",IFERROR(INDEX(parametros!$A$2:$A$6,MATCH(C535,parametros!$B$2:$B$6,0)),"")="Sim",IFERROR(INDEX(parametros!$H$2:$H$6,MATCH(C535,parametros!$B$2:$B$6,0)),"")=""),"INICIO_EFEITO ausente: PC "&amp;A535&amp;" - "&amp;C535,IF(L535="","EFEITO_PC nao calculado: PC "&amp;A535&amp;" - "&amp;C535,"OK")))))))))</f>
        <v/>
      </c>
      <c r="L535" s="92" t="str">
        <f>IF(AND(A535="",B535="",D535="",G535=""),"",IF(OR(B535="",NOT(ISNUMBER(B535)),C535="",C535="Fora dos ciclos"),"",IF(C535="C0","Nao",IF(IFERROR(INDEX(parametros!$A$2:$A$6,MATCH(C535,parametros!$B$2:$B$6,0)),"")&lt;&gt;"Sim","Nao",IF(IFERROR(INDEX(parametros!$H$2:$H$6,MATCH(C535,parametros!$B$2:$B$6,0)),"")="","",IF(B535&gt;=IFERROR(INDEX(parametros!$H$2:$H$6,MATCH(C535,parametros!$B$2:$B$6,0)),""),"Sim","Nao"))))))</f>
        <v/>
      </c>
      <c r="T535" s="156"/>
      <c r="U535" s="214" t="str">
        <f t="shared" si="46"/>
        <v/>
      </c>
      <c r="V535" s="212" t="s">
        <v>50</v>
      </c>
      <c r="W535" s="100" t="s">
        <v>168</v>
      </c>
      <c r="X535" s="100" t="s">
        <v>169</v>
      </c>
      <c r="Y535" s="101" t="s">
        <v>170</v>
      </c>
      <c r="Z535" s="101" t="s">
        <v>171</v>
      </c>
      <c r="AA535" s="101" t="s">
        <v>50</v>
      </c>
      <c r="AB535" s="101" t="s">
        <v>172</v>
      </c>
      <c r="AC535" s="102" t="s">
        <v>173</v>
      </c>
    </row>
    <row r="536" spans="1:29" ht="25.5" customHeight="1" x14ac:dyDescent="0.35">
      <c r="A536" s="392"/>
      <c r="B536" s="393"/>
      <c r="C536" s="99" t="str">
        <f>IF(B536="","",IF(NOT(ISNUMBER(B536)),"DATA_PC invalida",IF(NOT(ISNUMBER(parametros!$C$2)),"Fora dos ciclos",IF(OR(B536&lt;parametros!$C$2,(YEAR(B536)-YEAR(parametros!$C$2))*12+MONTH(B536)-MONTH(parametros!$C$2)&gt;59),"Fora dos ciclos","C"&amp;INT(((YEAR(B536)-YEAR(parametros!$C$2))*12+MONTH(B536)-MONTH(parametros!$C$2))/12)))))</f>
        <v/>
      </c>
      <c r="D536" s="394"/>
      <c r="E536" s="78" t="str">
        <f>IF(C536="","",IFERROR(VLOOKUP(C536,parametros!$A$11:$E$15,5,0),""))</f>
        <v/>
      </c>
      <c r="F536" s="79" t="str">
        <f t="shared" si="42"/>
        <v/>
      </c>
      <c r="G536" s="395"/>
      <c r="H536" s="91">
        <f t="shared" si="43"/>
        <v>0</v>
      </c>
      <c r="I536" s="91" t="str">
        <f t="shared" si="44"/>
        <v/>
      </c>
      <c r="J536" s="91" t="str">
        <f t="shared" si="45"/>
        <v/>
      </c>
      <c r="K536" s="92" t="str">
        <f>IF(AND(A536="",B536="",D536="",G536=""),"",IF(AND(A536&lt;&gt;"",COUNTIF($A$2:$A$5001,A536)&gt;1),"NUMERO_PC duplicado",IF(B536="","DATA_PC vazia",IF(NOT(ISNUMBER(B536)),"DATA_PC invalida",IF(OR(C536="",C536="Fora dos ciclos"),"CICLO_PC nao identificado",IF(OR(D536="",D536=0),"VALOR_PC vazio ou zero",IF(AND(G536&lt;&gt;"Sim",G536&lt;&gt;"Nao",G536&lt;&gt;""),"PC_PAGO_A_CONTRATADA invalido",IF(AND(C536&lt;&gt;"C0",IFERROR(INDEX(parametros!$A$2:$A$6,MATCH(C536,parametros!$B$2:$B$6,0)),"")="Sim",IFERROR(INDEX(parametros!$H$2:$H$6,MATCH(C536,parametros!$B$2:$B$6,0)),"")=""),"INICIO_EFEITO ausente: PC "&amp;A536&amp;" - "&amp;C536,IF(L536="","EFEITO_PC nao calculado: PC "&amp;A536&amp;" - "&amp;C536,"OK")))))))))</f>
        <v/>
      </c>
      <c r="L536" s="92" t="str">
        <f>IF(AND(A536="",B536="",D536="",G536=""),"",IF(OR(B536="",NOT(ISNUMBER(B536)),C536="",C536="Fora dos ciclos"),"",IF(C536="C0","Nao",IF(IFERROR(INDEX(parametros!$A$2:$A$6,MATCH(C536,parametros!$B$2:$B$6,0)),"")&lt;&gt;"Sim","Nao",IF(IFERROR(INDEX(parametros!$H$2:$H$6,MATCH(C536,parametros!$B$2:$B$6,0)),"")="","",IF(B536&gt;=IFERROR(INDEX(parametros!$H$2:$H$6,MATCH(C536,parametros!$B$2:$B$6,0)),""),"Sim","Nao"))))))</f>
        <v/>
      </c>
      <c r="T536" s="156"/>
      <c r="U536" s="214" t="str">
        <f t="shared" si="46"/>
        <v/>
      </c>
      <c r="V536" s="212" t="s">
        <v>50</v>
      </c>
      <c r="W536" s="100" t="s">
        <v>168</v>
      </c>
      <c r="X536" s="100" t="s">
        <v>169</v>
      </c>
      <c r="Y536" s="101" t="s">
        <v>170</v>
      </c>
      <c r="Z536" s="101" t="s">
        <v>171</v>
      </c>
      <c r="AA536" s="101" t="s">
        <v>50</v>
      </c>
      <c r="AB536" s="101" t="s">
        <v>172</v>
      </c>
      <c r="AC536" s="102" t="s">
        <v>173</v>
      </c>
    </row>
    <row r="537" spans="1:29" ht="25.5" customHeight="1" x14ac:dyDescent="0.35">
      <c r="A537" s="392"/>
      <c r="B537" s="393"/>
      <c r="C537" s="99" t="str">
        <f>IF(B537="","",IF(NOT(ISNUMBER(B537)),"DATA_PC invalida",IF(NOT(ISNUMBER(parametros!$C$2)),"Fora dos ciclos",IF(OR(B537&lt;parametros!$C$2,(YEAR(B537)-YEAR(parametros!$C$2))*12+MONTH(B537)-MONTH(parametros!$C$2)&gt;59),"Fora dos ciclos","C"&amp;INT(((YEAR(B537)-YEAR(parametros!$C$2))*12+MONTH(B537)-MONTH(parametros!$C$2))/12)))))</f>
        <v/>
      </c>
      <c r="D537" s="394"/>
      <c r="E537" s="78" t="str">
        <f>IF(C537="","",IFERROR(VLOOKUP(C537,parametros!$A$11:$E$15,5,0),""))</f>
        <v/>
      </c>
      <c r="F537" s="79" t="str">
        <f t="shared" si="42"/>
        <v/>
      </c>
      <c r="G537" s="395"/>
      <c r="H537" s="91">
        <f t="shared" si="43"/>
        <v>0</v>
      </c>
      <c r="I537" s="91" t="str">
        <f t="shared" si="44"/>
        <v/>
      </c>
      <c r="J537" s="91" t="str">
        <f t="shared" si="45"/>
        <v/>
      </c>
      <c r="K537" s="92" t="str">
        <f>IF(AND(A537="",B537="",D537="",G537=""),"",IF(AND(A537&lt;&gt;"",COUNTIF($A$2:$A$5001,A537)&gt;1),"NUMERO_PC duplicado",IF(B537="","DATA_PC vazia",IF(NOT(ISNUMBER(B537)),"DATA_PC invalida",IF(OR(C537="",C537="Fora dos ciclos"),"CICLO_PC nao identificado",IF(OR(D537="",D537=0),"VALOR_PC vazio ou zero",IF(AND(G537&lt;&gt;"Sim",G537&lt;&gt;"Nao",G537&lt;&gt;""),"PC_PAGO_A_CONTRATADA invalido",IF(AND(C537&lt;&gt;"C0",IFERROR(INDEX(parametros!$A$2:$A$6,MATCH(C537,parametros!$B$2:$B$6,0)),"")="Sim",IFERROR(INDEX(parametros!$H$2:$H$6,MATCH(C537,parametros!$B$2:$B$6,0)),"")=""),"INICIO_EFEITO ausente: PC "&amp;A537&amp;" - "&amp;C537,IF(L537="","EFEITO_PC nao calculado: PC "&amp;A537&amp;" - "&amp;C537,"OK")))))))))</f>
        <v/>
      </c>
      <c r="L537" s="92" t="str">
        <f>IF(AND(A537="",B537="",D537="",G537=""),"",IF(OR(B537="",NOT(ISNUMBER(B537)),C537="",C537="Fora dos ciclos"),"",IF(C537="C0","Nao",IF(IFERROR(INDEX(parametros!$A$2:$A$6,MATCH(C537,parametros!$B$2:$B$6,0)),"")&lt;&gt;"Sim","Nao",IF(IFERROR(INDEX(parametros!$H$2:$H$6,MATCH(C537,parametros!$B$2:$B$6,0)),"")="","",IF(B537&gt;=IFERROR(INDEX(parametros!$H$2:$H$6,MATCH(C537,parametros!$B$2:$B$6,0)),""),"Sim","Nao"))))))</f>
        <v/>
      </c>
      <c r="T537" s="156"/>
      <c r="U537" s="214" t="str">
        <f t="shared" si="46"/>
        <v/>
      </c>
      <c r="V537" s="212" t="s">
        <v>50</v>
      </c>
      <c r="W537" s="100" t="s">
        <v>168</v>
      </c>
      <c r="X537" s="100" t="s">
        <v>169</v>
      </c>
      <c r="Y537" s="101" t="s">
        <v>170</v>
      </c>
      <c r="Z537" s="101" t="s">
        <v>171</v>
      </c>
      <c r="AA537" s="101" t="s">
        <v>50</v>
      </c>
      <c r="AB537" s="101" t="s">
        <v>172</v>
      </c>
      <c r="AC537" s="102" t="s">
        <v>173</v>
      </c>
    </row>
    <row r="538" spans="1:29" ht="25.5" customHeight="1" x14ac:dyDescent="0.35">
      <c r="A538" s="392"/>
      <c r="B538" s="393"/>
      <c r="C538" s="99" t="str">
        <f>IF(B538="","",IF(NOT(ISNUMBER(B538)),"DATA_PC invalida",IF(NOT(ISNUMBER(parametros!$C$2)),"Fora dos ciclos",IF(OR(B538&lt;parametros!$C$2,(YEAR(B538)-YEAR(parametros!$C$2))*12+MONTH(B538)-MONTH(parametros!$C$2)&gt;59),"Fora dos ciclos","C"&amp;INT(((YEAR(B538)-YEAR(parametros!$C$2))*12+MONTH(B538)-MONTH(parametros!$C$2))/12)))))</f>
        <v/>
      </c>
      <c r="D538" s="394"/>
      <c r="E538" s="78" t="str">
        <f>IF(C538="","",IFERROR(VLOOKUP(C538,parametros!$A$11:$E$15,5,0),""))</f>
        <v/>
      </c>
      <c r="F538" s="79" t="str">
        <f t="shared" si="42"/>
        <v/>
      </c>
      <c r="G538" s="395"/>
      <c r="H538" s="91">
        <f t="shared" si="43"/>
        <v>0</v>
      </c>
      <c r="I538" s="91" t="str">
        <f t="shared" si="44"/>
        <v/>
      </c>
      <c r="J538" s="91" t="str">
        <f t="shared" si="45"/>
        <v/>
      </c>
      <c r="K538" s="92" t="str">
        <f>IF(AND(A538="",B538="",D538="",G538=""),"",IF(AND(A538&lt;&gt;"",COUNTIF($A$2:$A$5001,A538)&gt;1),"NUMERO_PC duplicado",IF(B538="","DATA_PC vazia",IF(NOT(ISNUMBER(B538)),"DATA_PC invalida",IF(OR(C538="",C538="Fora dos ciclos"),"CICLO_PC nao identificado",IF(OR(D538="",D538=0),"VALOR_PC vazio ou zero",IF(AND(G538&lt;&gt;"Sim",G538&lt;&gt;"Nao",G538&lt;&gt;""),"PC_PAGO_A_CONTRATADA invalido",IF(AND(C538&lt;&gt;"C0",IFERROR(INDEX(parametros!$A$2:$A$6,MATCH(C538,parametros!$B$2:$B$6,0)),"")="Sim",IFERROR(INDEX(parametros!$H$2:$H$6,MATCH(C538,parametros!$B$2:$B$6,0)),"")=""),"INICIO_EFEITO ausente: PC "&amp;A538&amp;" - "&amp;C538,IF(L538="","EFEITO_PC nao calculado: PC "&amp;A538&amp;" - "&amp;C538,"OK")))))))))</f>
        <v/>
      </c>
      <c r="L538" s="92" t="str">
        <f>IF(AND(A538="",B538="",D538="",G538=""),"",IF(OR(B538="",NOT(ISNUMBER(B538)),C538="",C538="Fora dos ciclos"),"",IF(C538="C0","Nao",IF(IFERROR(INDEX(parametros!$A$2:$A$6,MATCH(C538,parametros!$B$2:$B$6,0)),"")&lt;&gt;"Sim","Nao",IF(IFERROR(INDEX(parametros!$H$2:$H$6,MATCH(C538,parametros!$B$2:$B$6,0)),"")="","",IF(B538&gt;=IFERROR(INDEX(parametros!$H$2:$H$6,MATCH(C538,parametros!$B$2:$B$6,0)),""),"Sim","Nao"))))))</f>
        <v/>
      </c>
      <c r="T538" s="156"/>
      <c r="U538" s="214" t="str">
        <f t="shared" si="46"/>
        <v/>
      </c>
      <c r="V538" s="212" t="s">
        <v>50</v>
      </c>
      <c r="W538" s="100" t="s">
        <v>168</v>
      </c>
      <c r="X538" s="100" t="s">
        <v>169</v>
      </c>
      <c r="Y538" s="101" t="s">
        <v>170</v>
      </c>
      <c r="Z538" s="101" t="s">
        <v>171</v>
      </c>
      <c r="AA538" s="101" t="s">
        <v>50</v>
      </c>
      <c r="AB538" s="101" t="s">
        <v>172</v>
      </c>
      <c r="AC538" s="102" t="s">
        <v>173</v>
      </c>
    </row>
    <row r="539" spans="1:29" ht="25.5" customHeight="1" x14ac:dyDescent="0.35">
      <c r="A539" s="392"/>
      <c r="B539" s="393"/>
      <c r="C539" s="99" t="str">
        <f>IF(B539="","",IF(NOT(ISNUMBER(B539)),"DATA_PC invalida",IF(NOT(ISNUMBER(parametros!$C$2)),"Fora dos ciclos",IF(OR(B539&lt;parametros!$C$2,(YEAR(B539)-YEAR(parametros!$C$2))*12+MONTH(B539)-MONTH(parametros!$C$2)&gt;59),"Fora dos ciclos","C"&amp;INT(((YEAR(B539)-YEAR(parametros!$C$2))*12+MONTH(B539)-MONTH(parametros!$C$2))/12)))))</f>
        <v/>
      </c>
      <c r="D539" s="394"/>
      <c r="E539" s="78" t="str">
        <f>IF(C539="","",IFERROR(VLOOKUP(C539,parametros!$A$11:$E$15,5,0),""))</f>
        <v/>
      </c>
      <c r="F539" s="79" t="str">
        <f t="shared" si="42"/>
        <v/>
      </c>
      <c r="G539" s="395"/>
      <c r="H539" s="91">
        <f t="shared" si="43"/>
        <v>0</v>
      </c>
      <c r="I539" s="91" t="str">
        <f t="shared" si="44"/>
        <v/>
      </c>
      <c r="J539" s="91" t="str">
        <f t="shared" si="45"/>
        <v/>
      </c>
      <c r="K539" s="92" t="str">
        <f>IF(AND(A539="",B539="",D539="",G539=""),"",IF(AND(A539&lt;&gt;"",COUNTIF($A$2:$A$5001,A539)&gt;1),"NUMERO_PC duplicado",IF(B539="","DATA_PC vazia",IF(NOT(ISNUMBER(B539)),"DATA_PC invalida",IF(OR(C539="",C539="Fora dos ciclos"),"CICLO_PC nao identificado",IF(OR(D539="",D539=0),"VALOR_PC vazio ou zero",IF(AND(G539&lt;&gt;"Sim",G539&lt;&gt;"Nao",G539&lt;&gt;""),"PC_PAGO_A_CONTRATADA invalido",IF(AND(C539&lt;&gt;"C0",IFERROR(INDEX(parametros!$A$2:$A$6,MATCH(C539,parametros!$B$2:$B$6,0)),"")="Sim",IFERROR(INDEX(parametros!$H$2:$H$6,MATCH(C539,parametros!$B$2:$B$6,0)),"")=""),"INICIO_EFEITO ausente: PC "&amp;A539&amp;" - "&amp;C539,IF(L539="","EFEITO_PC nao calculado: PC "&amp;A539&amp;" - "&amp;C539,"OK")))))))))</f>
        <v/>
      </c>
      <c r="L539" s="92" t="str">
        <f>IF(AND(A539="",B539="",D539="",G539=""),"",IF(OR(B539="",NOT(ISNUMBER(B539)),C539="",C539="Fora dos ciclos"),"",IF(C539="C0","Nao",IF(IFERROR(INDEX(parametros!$A$2:$A$6,MATCH(C539,parametros!$B$2:$B$6,0)),"")&lt;&gt;"Sim","Nao",IF(IFERROR(INDEX(parametros!$H$2:$H$6,MATCH(C539,parametros!$B$2:$B$6,0)),"")="","",IF(B539&gt;=IFERROR(INDEX(parametros!$H$2:$H$6,MATCH(C539,parametros!$B$2:$B$6,0)),""),"Sim","Nao"))))))</f>
        <v/>
      </c>
      <c r="T539" s="156"/>
      <c r="U539" s="214" t="str">
        <f t="shared" si="46"/>
        <v/>
      </c>
      <c r="V539" s="212" t="s">
        <v>50</v>
      </c>
      <c r="W539" s="100" t="s">
        <v>168</v>
      </c>
      <c r="X539" s="100" t="s">
        <v>169</v>
      </c>
      <c r="Y539" s="101" t="s">
        <v>170</v>
      </c>
      <c r="Z539" s="101" t="s">
        <v>171</v>
      </c>
      <c r="AA539" s="101" t="s">
        <v>50</v>
      </c>
      <c r="AB539" s="101" t="s">
        <v>172</v>
      </c>
      <c r="AC539" s="102" t="s">
        <v>173</v>
      </c>
    </row>
    <row r="540" spans="1:29" ht="25.5" customHeight="1" x14ac:dyDescent="0.35">
      <c r="A540" s="392"/>
      <c r="B540" s="393"/>
      <c r="C540" s="99" t="str">
        <f>IF(B540="","",IF(NOT(ISNUMBER(B540)),"DATA_PC invalida",IF(NOT(ISNUMBER(parametros!$C$2)),"Fora dos ciclos",IF(OR(B540&lt;parametros!$C$2,(YEAR(B540)-YEAR(parametros!$C$2))*12+MONTH(B540)-MONTH(parametros!$C$2)&gt;59),"Fora dos ciclos","C"&amp;INT(((YEAR(B540)-YEAR(parametros!$C$2))*12+MONTH(B540)-MONTH(parametros!$C$2))/12)))))</f>
        <v/>
      </c>
      <c r="D540" s="394"/>
      <c r="E540" s="78" t="str">
        <f>IF(C540="","",IFERROR(VLOOKUP(C540,parametros!$A$11:$E$15,5,0),""))</f>
        <v/>
      </c>
      <c r="F540" s="79" t="str">
        <f t="shared" si="42"/>
        <v/>
      </c>
      <c r="G540" s="395"/>
      <c r="H540" s="91">
        <f t="shared" si="43"/>
        <v>0</v>
      </c>
      <c r="I540" s="91" t="str">
        <f t="shared" si="44"/>
        <v/>
      </c>
      <c r="J540" s="91" t="str">
        <f t="shared" si="45"/>
        <v/>
      </c>
      <c r="K540" s="92" t="str">
        <f>IF(AND(A540="",B540="",D540="",G540=""),"",IF(AND(A540&lt;&gt;"",COUNTIF($A$2:$A$5001,A540)&gt;1),"NUMERO_PC duplicado",IF(B540="","DATA_PC vazia",IF(NOT(ISNUMBER(B540)),"DATA_PC invalida",IF(OR(C540="",C540="Fora dos ciclos"),"CICLO_PC nao identificado",IF(OR(D540="",D540=0),"VALOR_PC vazio ou zero",IF(AND(G540&lt;&gt;"Sim",G540&lt;&gt;"Nao",G540&lt;&gt;""),"PC_PAGO_A_CONTRATADA invalido",IF(AND(C540&lt;&gt;"C0",IFERROR(INDEX(parametros!$A$2:$A$6,MATCH(C540,parametros!$B$2:$B$6,0)),"")="Sim",IFERROR(INDEX(parametros!$H$2:$H$6,MATCH(C540,parametros!$B$2:$B$6,0)),"")=""),"INICIO_EFEITO ausente: PC "&amp;A540&amp;" - "&amp;C540,IF(L540="","EFEITO_PC nao calculado: PC "&amp;A540&amp;" - "&amp;C540,"OK")))))))))</f>
        <v/>
      </c>
      <c r="L540" s="92" t="str">
        <f>IF(AND(A540="",B540="",D540="",G540=""),"",IF(OR(B540="",NOT(ISNUMBER(B540)),C540="",C540="Fora dos ciclos"),"",IF(C540="C0","Nao",IF(IFERROR(INDEX(parametros!$A$2:$A$6,MATCH(C540,parametros!$B$2:$B$6,0)),"")&lt;&gt;"Sim","Nao",IF(IFERROR(INDEX(parametros!$H$2:$H$6,MATCH(C540,parametros!$B$2:$B$6,0)),"")="","",IF(B540&gt;=IFERROR(INDEX(parametros!$H$2:$H$6,MATCH(C540,parametros!$B$2:$B$6,0)),""),"Sim","Nao"))))))</f>
        <v/>
      </c>
      <c r="T540" s="156"/>
      <c r="U540" s="214" t="str">
        <f t="shared" si="46"/>
        <v/>
      </c>
      <c r="V540" s="212" t="s">
        <v>50</v>
      </c>
      <c r="W540" s="100" t="s">
        <v>168</v>
      </c>
      <c r="X540" s="100" t="s">
        <v>169</v>
      </c>
      <c r="Y540" s="101" t="s">
        <v>170</v>
      </c>
      <c r="Z540" s="101" t="s">
        <v>171</v>
      </c>
      <c r="AA540" s="101" t="s">
        <v>50</v>
      </c>
      <c r="AB540" s="101" t="s">
        <v>172</v>
      </c>
      <c r="AC540" s="102" t="s">
        <v>173</v>
      </c>
    </row>
    <row r="541" spans="1:29" ht="25.5" customHeight="1" x14ac:dyDescent="0.35">
      <c r="A541" s="392"/>
      <c r="B541" s="393"/>
      <c r="C541" s="99" t="str">
        <f>IF(B541="","",IF(NOT(ISNUMBER(B541)),"DATA_PC invalida",IF(NOT(ISNUMBER(parametros!$C$2)),"Fora dos ciclos",IF(OR(B541&lt;parametros!$C$2,(YEAR(B541)-YEAR(parametros!$C$2))*12+MONTH(B541)-MONTH(parametros!$C$2)&gt;59),"Fora dos ciclos","C"&amp;INT(((YEAR(B541)-YEAR(parametros!$C$2))*12+MONTH(B541)-MONTH(parametros!$C$2))/12)))))</f>
        <v/>
      </c>
      <c r="D541" s="394"/>
      <c r="E541" s="78" t="str">
        <f>IF(C541="","",IFERROR(VLOOKUP(C541,parametros!$A$11:$E$15,5,0),""))</f>
        <v/>
      </c>
      <c r="F541" s="79" t="str">
        <f t="shared" si="42"/>
        <v/>
      </c>
      <c r="G541" s="395"/>
      <c r="H541" s="91">
        <f t="shared" si="43"/>
        <v>0</v>
      </c>
      <c r="I541" s="91" t="str">
        <f t="shared" si="44"/>
        <v/>
      </c>
      <c r="J541" s="91" t="str">
        <f t="shared" si="45"/>
        <v/>
      </c>
      <c r="K541" s="92" t="str">
        <f>IF(AND(A541="",B541="",D541="",G541=""),"",IF(AND(A541&lt;&gt;"",COUNTIF($A$2:$A$5001,A541)&gt;1),"NUMERO_PC duplicado",IF(B541="","DATA_PC vazia",IF(NOT(ISNUMBER(B541)),"DATA_PC invalida",IF(OR(C541="",C541="Fora dos ciclos"),"CICLO_PC nao identificado",IF(OR(D541="",D541=0),"VALOR_PC vazio ou zero",IF(AND(G541&lt;&gt;"Sim",G541&lt;&gt;"Nao",G541&lt;&gt;""),"PC_PAGO_A_CONTRATADA invalido",IF(AND(C541&lt;&gt;"C0",IFERROR(INDEX(parametros!$A$2:$A$6,MATCH(C541,parametros!$B$2:$B$6,0)),"")="Sim",IFERROR(INDEX(parametros!$H$2:$H$6,MATCH(C541,parametros!$B$2:$B$6,0)),"")=""),"INICIO_EFEITO ausente: PC "&amp;A541&amp;" - "&amp;C541,IF(L541="","EFEITO_PC nao calculado: PC "&amp;A541&amp;" - "&amp;C541,"OK")))))))))</f>
        <v/>
      </c>
      <c r="L541" s="92" t="str">
        <f>IF(AND(A541="",B541="",D541="",G541=""),"",IF(OR(B541="",NOT(ISNUMBER(B541)),C541="",C541="Fora dos ciclos"),"",IF(C541="C0","Nao",IF(IFERROR(INDEX(parametros!$A$2:$A$6,MATCH(C541,parametros!$B$2:$B$6,0)),"")&lt;&gt;"Sim","Nao",IF(IFERROR(INDEX(parametros!$H$2:$H$6,MATCH(C541,parametros!$B$2:$B$6,0)),"")="","",IF(B541&gt;=IFERROR(INDEX(parametros!$H$2:$H$6,MATCH(C541,parametros!$B$2:$B$6,0)),""),"Sim","Nao"))))))</f>
        <v/>
      </c>
      <c r="T541" s="156"/>
      <c r="U541" s="214" t="str">
        <f t="shared" si="46"/>
        <v/>
      </c>
      <c r="V541" s="212" t="s">
        <v>50</v>
      </c>
      <c r="W541" s="100" t="s">
        <v>168</v>
      </c>
      <c r="X541" s="100" t="s">
        <v>169</v>
      </c>
      <c r="Y541" s="101" t="s">
        <v>170</v>
      </c>
      <c r="Z541" s="101" t="s">
        <v>171</v>
      </c>
      <c r="AA541" s="101" t="s">
        <v>50</v>
      </c>
      <c r="AB541" s="101" t="s">
        <v>172</v>
      </c>
      <c r="AC541" s="102" t="s">
        <v>173</v>
      </c>
    </row>
    <row r="542" spans="1:29" ht="25.5" customHeight="1" x14ac:dyDescent="0.35">
      <c r="A542" s="392"/>
      <c r="B542" s="393"/>
      <c r="C542" s="99" t="str">
        <f>IF(B542="","",IF(NOT(ISNUMBER(B542)),"DATA_PC invalida",IF(NOT(ISNUMBER(parametros!$C$2)),"Fora dos ciclos",IF(OR(B542&lt;parametros!$C$2,(YEAR(B542)-YEAR(parametros!$C$2))*12+MONTH(B542)-MONTH(parametros!$C$2)&gt;59),"Fora dos ciclos","C"&amp;INT(((YEAR(B542)-YEAR(parametros!$C$2))*12+MONTH(B542)-MONTH(parametros!$C$2))/12)))))</f>
        <v/>
      </c>
      <c r="D542" s="394"/>
      <c r="E542" s="78" t="str">
        <f>IF(C542="","",IFERROR(VLOOKUP(C542,parametros!$A$11:$E$15,5,0),""))</f>
        <v/>
      </c>
      <c r="F542" s="79" t="str">
        <f t="shared" si="42"/>
        <v/>
      </c>
      <c r="G542" s="395"/>
      <c r="H542" s="91">
        <f t="shared" si="43"/>
        <v>0</v>
      </c>
      <c r="I542" s="91" t="str">
        <f t="shared" si="44"/>
        <v/>
      </c>
      <c r="J542" s="91" t="str">
        <f t="shared" si="45"/>
        <v/>
      </c>
      <c r="K542" s="92" t="str">
        <f>IF(AND(A542="",B542="",D542="",G542=""),"",IF(AND(A542&lt;&gt;"",COUNTIF($A$2:$A$5001,A542)&gt;1),"NUMERO_PC duplicado",IF(B542="","DATA_PC vazia",IF(NOT(ISNUMBER(B542)),"DATA_PC invalida",IF(OR(C542="",C542="Fora dos ciclos"),"CICLO_PC nao identificado",IF(OR(D542="",D542=0),"VALOR_PC vazio ou zero",IF(AND(G542&lt;&gt;"Sim",G542&lt;&gt;"Nao",G542&lt;&gt;""),"PC_PAGO_A_CONTRATADA invalido",IF(AND(C542&lt;&gt;"C0",IFERROR(INDEX(parametros!$A$2:$A$6,MATCH(C542,parametros!$B$2:$B$6,0)),"")="Sim",IFERROR(INDEX(parametros!$H$2:$H$6,MATCH(C542,parametros!$B$2:$B$6,0)),"")=""),"INICIO_EFEITO ausente: PC "&amp;A542&amp;" - "&amp;C542,IF(L542="","EFEITO_PC nao calculado: PC "&amp;A542&amp;" - "&amp;C542,"OK")))))))))</f>
        <v/>
      </c>
      <c r="L542" s="92" t="str">
        <f>IF(AND(A542="",B542="",D542="",G542=""),"",IF(OR(B542="",NOT(ISNUMBER(B542)),C542="",C542="Fora dos ciclos"),"",IF(C542="C0","Nao",IF(IFERROR(INDEX(parametros!$A$2:$A$6,MATCH(C542,parametros!$B$2:$B$6,0)),"")&lt;&gt;"Sim","Nao",IF(IFERROR(INDEX(parametros!$H$2:$H$6,MATCH(C542,parametros!$B$2:$B$6,0)),"")="","",IF(B542&gt;=IFERROR(INDEX(parametros!$H$2:$H$6,MATCH(C542,parametros!$B$2:$B$6,0)),""),"Sim","Nao"))))))</f>
        <v/>
      </c>
      <c r="T542" s="156"/>
      <c r="U542" s="214" t="str">
        <f t="shared" si="46"/>
        <v/>
      </c>
      <c r="V542" s="212" t="s">
        <v>50</v>
      </c>
      <c r="W542" s="100" t="s">
        <v>168</v>
      </c>
      <c r="X542" s="100" t="s">
        <v>169</v>
      </c>
      <c r="Y542" s="101" t="s">
        <v>170</v>
      </c>
      <c r="Z542" s="101" t="s">
        <v>171</v>
      </c>
      <c r="AA542" s="101" t="s">
        <v>50</v>
      </c>
      <c r="AB542" s="101" t="s">
        <v>172</v>
      </c>
      <c r="AC542" s="102" t="s">
        <v>173</v>
      </c>
    </row>
    <row r="543" spans="1:29" ht="25.5" customHeight="1" x14ac:dyDescent="0.35">
      <c r="A543" s="392"/>
      <c r="B543" s="393"/>
      <c r="C543" s="99" t="str">
        <f>IF(B543="","",IF(NOT(ISNUMBER(B543)),"DATA_PC invalida",IF(NOT(ISNUMBER(parametros!$C$2)),"Fora dos ciclos",IF(OR(B543&lt;parametros!$C$2,(YEAR(B543)-YEAR(parametros!$C$2))*12+MONTH(B543)-MONTH(parametros!$C$2)&gt;59),"Fora dos ciclos","C"&amp;INT(((YEAR(B543)-YEAR(parametros!$C$2))*12+MONTH(B543)-MONTH(parametros!$C$2))/12)))))</f>
        <v/>
      </c>
      <c r="D543" s="394"/>
      <c r="E543" s="78" t="str">
        <f>IF(C543="","",IFERROR(VLOOKUP(C543,parametros!$A$11:$E$15,5,0),""))</f>
        <v/>
      </c>
      <c r="F543" s="79" t="str">
        <f t="shared" si="42"/>
        <v/>
      </c>
      <c r="G543" s="395"/>
      <c r="H543" s="91">
        <f t="shared" si="43"/>
        <v>0</v>
      </c>
      <c r="I543" s="91" t="str">
        <f t="shared" si="44"/>
        <v/>
      </c>
      <c r="J543" s="91" t="str">
        <f t="shared" si="45"/>
        <v/>
      </c>
      <c r="K543" s="92" t="str">
        <f>IF(AND(A543="",B543="",D543="",G543=""),"",IF(AND(A543&lt;&gt;"",COUNTIF($A$2:$A$5001,A543)&gt;1),"NUMERO_PC duplicado",IF(B543="","DATA_PC vazia",IF(NOT(ISNUMBER(B543)),"DATA_PC invalida",IF(OR(C543="",C543="Fora dos ciclos"),"CICLO_PC nao identificado",IF(OR(D543="",D543=0),"VALOR_PC vazio ou zero",IF(AND(G543&lt;&gt;"Sim",G543&lt;&gt;"Nao",G543&lt;&gt;""),"PC_PAGO_A_CONTRATADA invalido",IF(AND(C543&lt;&gt;"C0",IFERROR(INDEX(parametros!$A$2:$A$6,MATCH(C543,parametros!$B$2:$B$6,0)),"")="Sim",IFERROR(INDEX(parametros!$H$2:$H$6,MATCH(C543,parametros!$B$2:$B$6,0)),"")=""),"INICIO_EFEITO ausente: PC "&amp;A543&amp;" - "&amp;C543,IF(L543="","EFEITO_PC nao calculado: PC "&amp;A543&amp;" - "&amp;C543,"OK")))))))))</f>
        <v/>
      </c>
      <c r="L543" s="92" t="str">
        <f>IF(AND(A543="",B543="",D543="",G543=""),"",IF(OR(B543="",NOT(ISNUMBER(B543)),C543="",C543="Fora dos ciclos"),"",IF(C543="C0","Nao",IF(IFERROR(INDEX(parametros!$A$2:$A$6,MATCH(C543,parametros!$B$2:$B$6,0)),"")&lt;&gt;"Sim","Nao",IF(IFERROR(INDEX(parametros!$H$2:$H$6,MATCH(C543,parametros!$B$2:$B$6,0)),"")="","",IF(B543&gt;=IFERROR(INDEX(parametros!$H$2:$H$6,MATCH(C543,parametros!$B$2:$B$6,0)),""),"Sim","Nao"))))))</f>
        <v/>
      </c>
      <c r="T543" s="156"/>
      <c r="U543" s="214" t="str">
        <f t="shared" si="46"/>
        <v/>
      </c>
      <c r="V543" s="212" t="s">
        <v>50</v>
      </c>
      <c r="W543" s="100" t="s">
        <v>168</v>
      </c>
      <c r="X543" s="100" t="s">
        <v>169</v>
      </c>
      <c r="Y543" s="101" t="s">
        <v>170</v>
      </c>
      <c r="Z543" s="101" t="s">
        <v>171</v>
      </c>
      <c r="AA543" s="101" t="s">
        <v>50</v>
      </c>
      <c r="AB543" s="101" t="s">
        <v>172</v>
      </c>
      <c r="AC543" s="102" t="s">
        <v>173</v>
      </c>
    </row>
    <row r="544" spans="1:29" ht="25.5" customHeight="1" x14ac:dyDescent="0.35">
      <c r="A544" s="392"/>
      <c r="B544" s="393"/>
      <c r="C544" s="99" t="str">
        <f>IF(B544="","",IF(NOT(ISNUMBER(B544)),"DATA_PC invalida",IF(NOT(ISNUMBER(parametros!$C$2)),"Fora dos ciclos",IF(OR(B544&lt;parametros!$C$2,(YEAR(B544)-YEAR(parametros!$C$2))*12+MONTH(B544)-MONTH(parametros!$C$2)&gt;59),"Fora dos ciclos","C"&amp;INT(((YEAR(B544)-YEAR(parametros!$C$2))*12+MONTH(B544)-MONTH(parametros!$C$2))/12)))))</f>
        <v/>
      </c>
      <c r="D544" s="394"/>
      <c r="E544" s="78" t="str">
        <f>IF(C544="","",IFERROR(VLOOKUP(C544,parametros!$A$11:$E$15,5,0),""))</f>
        <v/>
      </c>
      <c r="F544" s="79" t="str">
        <f t="shared" si="42"/>
        <v/>
      </c>
      <c r="G544" s="395"/>
      <c r="H544" s="91">
        <f t="shared" si="43"/>
        <v>0</v>
      </c>
      <c r="I544" s="91" t="str">
        <f t="shared" si="44"/>
        <v/>
      </c>
      <c r="J544" s="91" t="str">
        <f t="shared" si="45"/>
        <v/>
      </c>
      <c r="K544" s="92" t="str">
        <f>IF(AND(A544="",B544="",D544="",G544=""),"",IF(AND(A544&lt;&gt;"",COUNTIF($A$2:$A$5001,A544)&gt;1),"NUMERO_PC duplicado",IF(B544="","DATA_PC vazia",IF(NOT(ISNUMBER(B544)),"DATA_PC invalida",IF(OR(C544="",C544="Fora dos ciclos"),"CICLO_PC nao identificado",IF(OR(D544="",D544=0),"VALOR_PC vazio ou zero",IF(AND(G544&lt;&gt;"Sim",G544&lt;&gt;"Nao",G544&lt;&gt;""),"PC_PAGO_A_CONTRATADA invalido",IF(AND(C544&lt;&gt;"C0",IFERROR(INDEX(parametros!$A$2:$A$6,MATCH(C544,parametros!$B$2:$B$6,0)),"")="Sim",IFERROR(INDEX(parametros!$H$2:$H$6,MATCH(C544,parametros!$B$2:$B$6,0)),"")=""),"INICIO_EFEITO ausente: PC "&amp;A544&amp;" - "&amp;C544,IF(L544="","EFEITO_PC nao calculado: PC "&amp;A544&amp;" - "&amp;C544,"OK")))))))))</f>
        <v/>
      </c>
      <c r="L544" s="92" t="str">
        <f>IF(AND(A544="",B544="",D544="",G544=""),"",IF(OR(B544="",NOT(ISNUMBER(B544)),C544="",C544="Fora dos ciclos"),"",IF(C544="C0","Nao",IF(IFERROR(INDEX(parametros!$A$2:$A$6,MATCH(C544,parametros!$B$2:$B$6,0)),"")&lt;&gt;"Sim","Nao",IF(IFERROR(INDEX(parametros!$H$2:$H$6,MATCH(C544,parametros!$B$2:$B$6,0)),"")="","",IF(B544&gt;=IFERROR(INDEX(parametros!$H$2:$H$6,MATCH(C544,parametros!$B$2:$B$6,0)),""),"Sim","Nao"))))))</f>
        <v/>
      </c>
      <c r="T544" s="156"/>
      <c r="U544" s="214" t="str">
        <f t="shared" si="46"/>
        <v/>
      </c>
      <c r="V544" s="212" t="s">
        <v>50</v>
      </c>
      <c r="W544" s="100" t="s">
        <v>168</v>
      </c>
      <c r="X544" s="100" t="s">
        <v>169</v>
      </c>
      <c r="Y544" s="101" t="s">
        <v>170</v>
      </c>
      <c r="Z544" s="101" t="s">
        <v>171</v>
      </c>
      <c r="AA544" s="101" t="s">
        <v>50</v>
      </c>
      <c r="AB544" s="101" t="s">
        <v>172</v>
      </c>
      <c r="AC544" s="102" t="s">
        <v>173</v>
      </c>
    </row>
    <row r="545" spans="1:29" ht="25.5" customHeight="1" x14ac:dyDescent="0.35">
      <c r="A545" s="392"/>
      <c r="B545" s="393"/>
      <c r="C545" s="99" t="str">
        <f>IF(B545="","",IF(NOT(ISNUMBER(B545)),"DATA_PC invalida",IF(NOT(ISNUMBER(parametros!$C$2)),"Fora dos ciclos",IF(OR(B545&lt;parametros!$C$2,(YEAR(B545)-YEAR(parametros!$C$2))*12+MONTH(B545)-MONTH(parametros!$C$2)&gt;59),"Fora dos ciclos","C"&amp;INT(((YEAR(B545)-YEAR(parametros!$C$2))*12+MONTH(B545)-MONTH(parametros!$C$2))/12)))))</f>
        <v/>
      </c>
      <c r="D545" s="394"/>
      <c r="E545" s="78" t="str">
        <f>IF(C545="","",IFERROR(VLOOKUP(C545,parametros!$A$11:$E$15,5,0),""))</f>
        <v/>
      </c>
      <c r="F545" s="79" t="str">
        <f t="shared" si="42"/>
        <v/>
      </c>
      <c r="G545" s="395"/>
      <c r="H545" s="91">
        <f t="shared" si="43"/>
        <v>0</v>
      </c>
      <c r="I545" s="91" t="str">
        <f t="shared" si="44"/>
        <v/>
      </c>
      <c r="J545" s="91" t="str">
        <f t="shared" si="45"/>
        <v/>
      </c>
      <c r="K545" s="92" t="str">
        <f>IF(AND(A545="",B545="",D545="",G545=""),"",IF(AND(A545&lt;&gt;"",COUNTIF($A$2:$A$5001,A545)&gt;1),"NUMERO_PC duplicado",IF(B545="","DATA_PC vazia",IF(NOT(ISNUMBER(B545)),"DATA_PC invalida",IF(OR(C545="",C545="Fora dos ciclos"),"CICLO_PC nao identificado",IF(OR(D545="",D545=0),"VALOR_PC vazio ou zero",IF(AND(G545&lt;&gt;"Sim",G545&lt;&gt;"Nao",G545&lt;&gt;""),"PC_PAGO_A_CONTRATADA invalido",IF(AND(C545&lt;&gt;"C0",IFERROR(INDEX(parametros!$A$2:$A$6,MATCH(C545,parametros!$B$2:$B$6,0)),"")="Sim",IFERROR(INDEX(parametros!$H$2:$H$6,MATCH(C545,parametros!$B$2:$B$6,0)),"")=""),"INICIO_EFEITO ausente: PC "&amp;A545&amp;" - "&amp;C545,IF(L545="","EFEITO_PC nao calculado: PC "&amp;A545&amp;" - "&amp;C545,"OK")))))))))</f>
        <v/>
      </c>
      <c r="L545" s="92" t="str">
        <f>IF(AND(A545="",B545="",D545="",G545=""),"",IF(OR(B545="",NOT(ISNUMBER(B545)),C545="",C545="Fora dos ciclos"),"",IF(C545="C0","Nao",IF(IFERROR(INDEX(parametros!$A$2:$A$6,MATCH(C545,parametros!$B$2:$B$6,0)),"")&lt;&gt;"Sim","Nao",IF(IFERROR(INDEX(parametros!$H$2:$H$6,MATCH(C545,parametros!$B$2:$B$6,0)),"")="","",IF(B545&gt;=IFERROR(INDEX(parametros!$H$2:$H$6,MATCH(C545,parametros!$B$2:$B$6,0)),""),"Sim","Nao"))))))</f>
        <v/>
      </c>
      <c r="T545" s="156"/>
      <c r="U545" s="214" t="str">
        <f t="shared" si="46"/>
        <v/>
      </c>
      <c r="V545" s="212" t="s">
        <v>50</v>
      </c>
      <c r="W545" s="100" t="s">
        <v>168</v>
      </c>
      <c r="X545" s="100" t="s">
        <v>169</v>
      </c>
      <c r="Y545" s="101" t="s">
        <v>170</v>
      </c>
      <c r="Z545" s="101" t="s">
        <v>171</v>
      </c>
      <c r="AA545" s="101" t="s">
        <v>50</v>
      </c>
      <c r="AB545" s="101" t="s">
        <v>172</v>
      </c>
      <c r="AC545" s="102" t="s">
        <v>173</v>
      </c>
    </row>
    <row r="546" spans="1:29" ht="25.5" customHeight="1" x14ac:dyDescent="0.35">
      <c r="A546" s="392"/>
      <c r="B546" s="393"/>
      <c r="C546" s="99" t="str">
        <f>IF(B546="","",IF(NOT(ISNUMBER(B546)),"DATA_PC invalida",IF(NOT(ISNUMBER(parametros!$C$2)),"Fora dos ciclos",IF(OR(B546&lt;parametros!$C$2,(YEAR(B546)-YEAR(parametros!$C$2))*12+MONTH(B546)-MONTH(parametros!$C$2)&gt;59),"Fora dos ciclos","C"&amp;INT(((YEAR(B546)-YEAR(parametros!$C$2))*12+MONTH(B546)-MONTH(parametros!$C$2))/12)))))</f>
        <v/>
      </c>
      <c r="D546" s="394"/>
      <c r="E546" s="78" t="str">
        <f>IF(C546="","",IFERROR(VLOOKUP(C546,parametros!$A$11:$E$15,5,0),""))</f>
        <v/>
      </c>
      <c r="F546" s="79" t="str">
        <f t="shared" si="42"/>
        <v/>
      </c>
      <c r="G546" s="395"/>
      <c r="H546" s="91">
        <f t="shared" si="43"/>
        <v>0</v>
      </c>
      <c r="I546" s="91" t="str">
        <f t="shared" si="44"/>
        <v/>
      </c>
      <c r="J546" s="91" t="str">
        <f t="shared" si="45"/>
        <v/>
      </c>
      <c r="K546" s="92" t="str">
        <f>IF(AND(A546="",B546="",D546="",G546=""),"",IF(AND(A546&lt;&gt;"",COUNTIF($A$2:$A$5001,A546)&gt;1),"NUMERO_PC duplicado",IF(B546="","DATA_PC vazia",IF(NOT(ISNUMBER(B546)),"DATA_PC invalida",IF(OR(C546="",C546="Fora dos ciclos"),"CICLO_PC nao identificado",IF(OR(D546="",D546=0),"VALOR_PC vazio ou zero",IF(AND(G546&lt;&gt;"Sim",G546&lt;&gt;"Nao",G546&lt;&gt;""),"PC_PAGO_A_CONTRATADA invalido",IF(AND(C546&lt;&gt;"C0",IFERROR(INDEX(parametros!$A$2:$A$6,MATCH(C546,parametros!$B$2:$B$6,0)),"")="Sim",IFERROR(INDEX(parametros!$H$2:$H$6,MATCH(C546,parametros!$B$2:$B$6,0)),"")=""),"INICIO_EFEITO ausente: PC "&amp;A546&amp;" - "&amp;C546,IF(L546="","EFEITO_PC nao calculado: PC "&amp;A546&amp;" - "&amp;C546,"OK")))))))))</f>
        <v/>
      </c>
      <c r="L546" s="92" t="str">
        <f>IF(AND(A546="",B546="",D546="",G546=""),"",IF(OR(B546="",NOT(ISNUMBER(B546)),C546="",C546="Fora dos ciclos"),"",IF(C546="C0","Nao",IF(IFERROR(INDEX(parametros!$A$2:$A$6,MATCH(C546,parametros!$B$2:$B$6,0)),"")&lt;&gt;"Sim","Nao",IF(IFERROR(INDEX(parametros!$H$2:$H$6,MATCH(C546,parametros!$B$2:$B$6,0)),"")="","",IF(B546&gt;=IFERROR(INDEX(parametros!$H$2:$H$6,MATCH(C546,parametros!$B$2:$B$6,0)),""),"Sim","Nao"))))))</f>
        <v/>
      </c>
      <c r="T546" s="156"/>
      <c r="U546" s="214" t="str">
        <f t="shared" si="46"/>
        <v/>
      </c>
      <c r="V546" s="212" t="s">
        <v>50</v>
      </c>
      <c r="W546" s="100" t="s">
        <v>168</v>
      </c>
      <c r="X546" s="100" t="s">
        <v>169</v>
      </c>
      <c r="Y546" s="101" t="s">
        <v>170</v>
      </c>
      <c r="Z546" s="101" t="s">
        <v>171</v>
      </c>
      <c r="AA546" s="101" t="s">
        <v>50</v>
      </c>
      <c r="AB546" s="101" t="s">
        <v>172</v>
      </c>
      <c r="AC546" s="102" t="s">
        <v>173</v>
      </c>
    </row>
    <row r="547" spans="1:29" ht="25.5" customHeight="1" x14ac:dyDescent="0.35">
      <c r="A547" s="392"/>
      <c r="B547" s="393"/>
      <c r="C547" s="99" t="str">
        <f>IF(B547="","",IF(NOT(ISNUMBER(B547)),"DATA_PC invalida",IF(NOT(ISNUMBER(parametros!$C$2)),"Fora dos ciclos",IF(OR(B547&lt;parametros!$C$2,(YEAR(B547)-YEAR(parametros!$C$2))*12+MONTH(B547)-MONTH(parametros!$C$2)&gt;59),"Fora dos ciclos","C"&amp;INT(((YEAR(B547)-YEAR(parametros!$C$2))*12+MONTH(B547)-MONTH(parametros!$C$2))/12)))))</f>
        <v/>
      </c>
      <c r="D547" s="394"/>
      <c r="E547" s="78" t="str">
        <f>IF(C547="","",IFERROR(VLOOKUP(C547,parametros!$A$11:$E$15,5,0),""))</f>
        <v/>
      </c>
      <c r="F547" s="79" t="str">
        <f t="shared" si="42"/>
        <v/>
      </c>
      <c r="G547" s="395"/>
      <c r="H547" s="91">
        <f t="shared" si="43"/>
        <v>0</v>
      </c>
      <c r="I547" s="91" t="str">
        <f t="shared" si="44"/>
        <v/>
      </c>
      <c r="J547" s="91" t="str">
        <f t="shared" si="45"/>
        <v/>
      </c>
      <c r="K547" s="92" t="str">
        <f>IF(AND(A547="",B547="",D547="",G547=""),"",IF(AND(A547&lt;&gt;"",COUNTIF($A$2:$A$5001,A547)&gt;1),"NUMERO_PC duplicado",IF(B547="","DATA_PC vazia",IF(NOT(ISNUMBER(B547)),"DATA_PC invalida",IF(OR(C547="",C547="Fora dos ciclos"),"CICLO_PC nao identificado",IF(OR(D547="",D547=0),"VALOR_PC vazio ou zero",IF(AND(G547&lt;&gt;"Sim",G547&lt;&gt;"Nao",G547&lt;&gt;""),"PC_PAGO_A_CONTRATADA invalido",IF(AND(C547&lt;&gt;"C0",IFERROR(INDEX(parametros!$A$2:$A$6,MATCH(C547,parametros!$B$2:$B$6,0)),"")="Sim",IFERROR(INDEX(parametros!$H$2:$H$6,MATCH(C547,parametros!$B$2:$B$6,0)),"")=""),"INICIO_EFEITO ausente: PC "&amp;A547&amp;" - "&amp;C547,IF(L547="","EFEITO_PC nao calculado: PC "&amp;A547&amp;" - "&amp;C547,"OK")))))))))</f>
        <v/>
      </c>
      <c r="L547" s="92" t="str">
        <f>IF(AND(A547="",B547="",D547="",G547=""),"",IF(OR(B547="",NOT(ISNUMBER(B547)),C547="",C547="Fora dos ciclos"),"",IF(C547="C0","Nao",IF(IFERROR(INDEX(parametros!$A$2:$A$6,MATCH(C547,parametros!$B$2:$B$6,0)),"")&lt;&gt;"Sim","Nao",IF(IFERROR(INDEX(parametros!$H$2:$H$6,MATCH(C547,parametros!$B$2:$B$6,0)),"")="","",IF(B547&gt;=IFERROR(INDEX(parametros!$H$2:$H$6,MATCH(C547,parametros!$B$2:$B$6,0)),""),"Sim","Nao"))))))</f>
        <v/>
      </c>
      <c r="T547" s="156"/>
      <c r="U547" s="214" t="str">
        <f t="shared" si="46"/>
        <v/>
      </c>
      <c r="V547" s="212" t="s">
        <v>50</v>
      </c>
      <c r="W547" s="100" t="s">
        <v>168</v>
      </c>
      <c r="X547" s="100" t="s">
        <v>169</v>
      </c>
      <c r="Y547" s="101" t="s">
        <v>170</v>
      </c>
      <c r="Z547" s="101" t="s">
        <v>171</v>
      </c>
      <c r="AA547" s="101" t="s">
        <v>50</v>
      </c>
      <c r="AB547" s="101" t="s">
        <v>172</v>
      </c>
      <c r="AC547" s="102" t="s">
        <v>173</v>
      </c>
    </row>
    <row r="548" spans="1:29" ht="25.5" customHeight="1" x14ac:dyDescent="0.35">
      <c r="A548" s="392"/>
      <c r="B548" s="393"/>
      <c r="C548" s="99" t="str">
        <f>IF(B548="","",IF(NOT(ISNUMBER(B548)),"DATA_PC invalida",IF(NOT(ISNUMBER(parametros!$C$2)),"Fora dos ciclos",IF(OR(B548&lt;parametros!$C$2,(YEAR(B548)-YEAR(parametros!$C$2))*12+MONTH(B548)-MONTH(parametros!$C$2)&gt;59),"Fora dos ciclos","C"&amp;INT(((YEAR(B548)-YEAR(parametros!$C$2))*12+MONTH(B548)-MONTH(parametros!$C$2))/12)))))</f>
        <v/>
      </c>
      <c r="D548" s="394"/>
      <c r="E548" s="78" t="str">
        <f>IF(C548="","",IFERROR(VLOOKUP(C548,parametros!$A$11:$E$15,5,0),""))</f>
        <v/>
      </c>
      <c r="F548" s="79" t="str">
        <f t="shared" si="42"/>
        <v/>
      </c>
      <c r="G548" s="395"/>
      <c r="H548" s="91">
        <f t="shared" si="43"/>
        <v>0</v>
      </c>
      <c r="I548" s="91" t="str">
        <f t="shared" si="44"/>
        <v/>
      </c>
      <c r="J548" s="91" t="str">
        <f t="shared" si="45"/>
        <v/>
      </c>
      <c r="K548" s="92" t="str">
        <f>IF(AND(A548="",B548="",D548="",G548=""),"",IF(AND(A548&lt;&gt;"",COUNTIF($A$2:$A$5001,A548)&gt;1),"NUMERO_PC duplicado",IF(B548="","DATA_PC vazia",IF(NOT(ISNUMBER(B548)),"DATA_PC invalida",IF(OR(C548="",C548="Fora dos ciclos"),"CICLO_PC nao identificado",IF(OR(D548="",D548=0),"VALOR_PC vazio ou zero",IF(AND(G548&lt;&gt;"Sim",G548&lt;&gt;"Nao",G548&lt;&gt;""),"PC_PAGO_A_CONTRATADA invalido",IF(AND(C548&lt;&gt;"C0",IFERROR(INDEX(parametros!$A$2:$A$6,MATCH(C548,parametros!$B$2:$B$6,0)),"")="Sim",IFERROR(INDEX(parametros!$H$2:$H$6,MATCH(C548,parametros!$B$2:$B$6,0)),"")=""),"INICIO_EFEITO ausente: PC "&amp;A548&amp;" - "&amp;C548,IF(L548="","EFEITO_PC nao calculado: PC "&amp;A548&amp;" - "&amp;C548,"OK")))))))))</f>
        <v/>
      </c>
      <c r="L548" s="92" t="str">
        <f>IF(AND(A548="",B548="",D548="",G548=""),"",IF(OR(B548="",NOT(ISNUMBER(B548)),C548="",C548="Fora dos ciclos"),"",IF(C548="C0","Nao",IF(IFERROR(INDEX(parametros!$A$2:$A$6,MATCH(C548,parametros!$B$2:$B$6,0)),"")&lt;&gt;"Sim","Nao",IF(IFERROR(INDEX(parametros!$H$2:$H$6,MATCH(C548,parametros!$B$2:$B$6,0)),"")="","",IF(B548&gt;=IFERROR(INDEX(parametros!$H$2:$H$6,MATCH(C548,parametros!$B$2:$B$6,0)),""),"Sim","Nao"))))))</f>
        <v/>
      </c>
      <c r="T548" s="156"/>
      <c r="U548" s="214" t="str">
        <f t="shared" si="46"/>
        <v/>
      </c>
      <c r="V548" s="212" t="s">
        <v>50</v>
      </c>
      <c r="W548" s="100" t="s">
        <v>168</v>
      </c>
      <c r="X548" s="100" t="s">
        <v>169</v>
      </c>
      <c r="Y548" s="101" t="s">
        <v>170</v>
      </c>
      <c r="Z548" s="101" t="s">
        <v>171</v>
      </c>
      <c r="AA548" s="101" t="s">
        <v>50</v>
      </c>
      <c r="AB548" s="101" t="s">
        <v>172</v>
      </c>
      <c r="AC548" s="102" t="s">
        <v>173</v>
      </c>
    </row>
    <row r="549" spans="1:29" ht="25.5" customHeight="1" x14ac:dyDescent="0.35">
      <c r="A549" s="392"/>
      <c r="B549" s="393"/>
      <c r="C549" s="99" t="str">
        <f>IF(B549="","",IF(NOT(ISNUMBER(B549)),"DATA_PC invalida",IF(NOT(ISNUMBER(parametros!$C$2)),"Fora dos ciclos",IF(OR(B549&lt;parametros!$C$2,(YEAR(B549)-YEAR(parametros!$C$2))*12+MONTH(B549)-MONTH(parametros!$C$2)&gt;59),"Fora dos ciclos","C"&amp;INT(((YEAR(B549)-YEAR(parametros!$C$2))*12+MONTH(B549)-MONTH(parametros!$C$2))/12)))))</f>
        <v/>
      </c>
      <c r="D549" s="394"/>
      <c r="E549" s="78" t="str">
        <f>IF(C549="","",IFERROR(VLOOKUP(C549,parametros!$A$11:$E$15,5,0),""))</f>
        <v/>
      </c>
      <c r="F549" s="79" t="str">
        <f t="shared" si="42"/>
        <v/>
      </c>
      <c r="G549" s="395"/>
      <c r="H549" s="91">
        <f t="shared" si="43"/>
        <v>0</v>
      </c>
      <c r="I549" s="91" t="str">
        <f t="shared" si="44"/>
        <v/>
      </c>
      <c r="J549" s="91" t="str">
        <f t="shared" si="45"/>
        <v/>
      </c>
      <c r="K549" s="92" t="str">
        <f>IF(AND(A549="",B549="",D549="",G549=""),"",IF(AND(A549&lt;&gt;"",COUNTIF($A$2:$A$5001,A549)&gt;1),"NUMERO_PC duplicado",IF(B549="","DATA_PC vazia",IF(NOT(ISNUMBER(B549)),"DATA_PC invalida",IF(OR(C549="",C549="Fora dos ciclos"),"CICLO_PC nao identificado",IF(OR(D549="",D549=0),"VALOR_PC vazio ou zero",IF(AND(G549&lt;&gt;"Sim",G549&lt;&gt;"Nao",G549&lt;&gt;""),"PC_PAGO_A_CONTRATADA invalido",IF(AND(C549&lt;&gt;"C0",IFERROR(INDEX(parametros!$A$2:$A$6,MATCH(C549,parametros!$B$2:$B$6,0)),"")="Sim",IFERROR(INDEX(parametros!$H$2:$H$6,MATCH(C549,parametros!$B$2:$B$6,0)),"")=""),"INICIO_EFEITO ausente: PC "&amp;A549&amp;" - "&amp;C549,IF(L549="","EFEITO_PC nao calculado: PC "&amp;A549&amp;" - "&amp;C549,"OK")))))))))</f>
        <v/>
      </c>
      <c r="L549" s="92" t="str">
        <f>IF(AND(A549="",B549="",D549="",G549=""),"",IF(OR(B549="",NOT(ISNUMBER(B549)),C549="",C549="Fora dos ciclos"),"",IF(C549="C0","Nao",IF(IFERROR(INDEX(parametros!$A$2:$A$6,MATCH(C549,parametros!$B$2:$B$6,0)),"")&lt;&gt;"Sim","Nao",IF(IFERROR(INDEX(parametros!$H$2:$H$6,MATCH(C549,parametros!$B$2:$B$6,0)),"")="","",IF(B549&gt;=IFERROR(INDEX(parametros!$H$2:$H$6,MATCH(C549,parametros!$B$2:$B$6,0)),""),"Sim","Nao"))))))</f>
        <v/>
      </c>
      <c r="T549" s="156"/>
      <c r="U549" s="214" t="str">
        <f t="shared" si="46"/>
        <v/>
      </c>
      <c r="V549" s="212" t="s">
        <v>50</v>
      </c>
      <c r="W549" s="100" t="s">
        <v>168</v>
      </c>
      <c r="X549" s="100" t="s">
        <v>169</v>
      </c>
      <c r="Y549" s="101" t="s">
        <v>170</v>
      </c>
      <c r="Z549" s="101" t="s">
        <v>171</v>
      </c>
      <c r="AA549" s="101" t="s">
        <v>50</v>
      </c>
      <c r="AB549" s="101" t="s">
        <v>172</v>
      </c>
      <c r="AC549" s="102" t="s">
        <v>173</v>
      </c>
    </row>
    <row r="550" spans="1:29" ht="25.5" customHeight="1" x14ac:dyDescent="0.35">
      <c r="A550" s="392"/>
      <c r="B550" s="393"/>
      <c r="C550" s="99" t="str">
        <f>IF(B550="","",IF(NOT(ISNUMBER(B550)),"DATA_PC invalida",IF(NOT(ISNUMBER(parametros!$C$2)),"Fora dos ciclos",IF(OR(B550&lt;parametros!$C$2,(YEAR(B550)-YEAR(parametros!$C$2))*12+MONTH(B550)-MONTH(parametros!$C$2)&gt;59),"Fora dos ciclos","C"&amp;INT(((YEAR(B550)-YEAR(parametros!$C$2))*12+MONTH(B550)-MONTH(parametros!$C$2))/12)))))</f>
        <v/>
      </c>
      <c r="D550" s="394"/>
      <c r="E550" s="78" t="str">
        <f>IF(C550="","",IFERROR(VLOOKUP(C550,parametros!$A$11:$E$15,5,0),""))</f>
        <v/>
      </c>
      <c r="F550" s="79" t="str">
        <f t="shared" si="42"/>
        <v/>
      </c>
      <c r="G550" s="395"/>
      <c r="H550" s="91">
        <f t="shared" si="43"/>
        <v>0</v>
      </c>
      <c r="I550" s="91" t="str">
        <f t="shared" si="44"/>
        <v/>
      </c>
      <c r="J550" s="91" t="str">
        <f t="shared" si="45"/>
        <v/>
      </c>
      <c r="K550" s="92" t="str">
        <f>IF(AND(A550="",B550="",D550="",G550=""),"",IF(AND(A550&lt;&gt;"",COUNTIF($A$2:$A$5001,A550)&gt;1),"NUMERO_PC duplicado",IF(B550="","DATA_PC vazia",IF(NOT(ISNUMBER(B550)),"DATA_PC invalida",IF(OR(C550="",C550="Fora dos ciclos"),"CICLO_PC nao identificado",IF(OR(D550="",D550=0),"VALOR_PC vazio ou zero",IF(AND(G550&lt;&gt;"Sim",G550&lt;&gt;"Nao",G550&lt;&gt;""),"PC_PAGO_A_CONTRATADA invalido",IF(AND(C550&lt;&gt;"C0",IFERROR(INDEX(parametros!$A$2:$A$6,MATCH(C550,parametros!$B$2:$B$6,0)),"")="Sim",IFERROR(INDEX(parametros!$H$2:$H$6,MATCH(C550,parametros!$B$2:$B$6,0)),"")=""),"INICIO_EFEITO ausente: PC "&amp;A550&amp;" - "&amp;C550,IF(L550="","EFEITO_PC nao calculado: PC "&amp;A550&amp;" - "&amp;C550,"OK")))))))))</f>
        <v/>
      </c>
      <c r="L550" s="92" t="str">
        <f>IF(AND(A550="",B550="",D550="",G550=""),"",IF(OR(B550="",NOT(ISNUMBER(B550)),C550="",C550="Fora dos ciclos"),"",IF(C550="C0","Nao",IF(IFERROR(INDEX(parametros!$A$2:$A$6,MATCH(C550,parametros!$B$2:$B$6,0)),"")&lt;&gt;"Sim","Nao",IF(IFERROR(INDEX(parametros!$H$2:$H$6,MATCH(C550,parametros!$B$2:$B$6,0)),"")="","",IF(B550&gt;=IFERROR(INDEX(parametros!$H$2:$H$6,MATCH(C550,parametros!$B$2:$B$6,0)),""),"Sim","Nao"))))))</f>
        <v/>
      </c>
      <c r="T550" s="156"/>
      <c r="U550" s="214" t="str">
        <f t="shared" si="46"/>
        <v/>
      </c>
      <c r="V550" s="212" t="s">
        <v>50</v>
      </c>
      <c r="W550" s="100" t="s">
        <v>168</v>
      </c>
      <c r="X550" s="100" t="s">
        <v>169</v>
      </c>
      <c r="Y550" s="101" t="s">
        <v>170</v>
      </c>
      <c r="Z550" s="101" t="s">
        <v>171</v>
      </c>
      <c r="AA550" s="101" t="s">
        <v>50</v>
      </c>
      <c r="AB550" s="101" t="s">
        <v>172</v>
      </c>
      <c r="AC550" s="102" t="s">
        <v>173</v>
      </c>
    </row>
    <row r="551" spans="1:29" ht="25.5" customHeight="1" x14ac:dyDescent="0.35">
      <c r="A551" s="392"/>
      <c r="B551" s="393"/>
      <c r="C551" s="99" t="str">
        <f>IF(B551="","",IF(NOT(ISNUMBER(B551)),"DATA_PC invalida",IF(NOT(ISNUMBER(parametros!$C$2)),"Fora dos ciclos",IF(OR(B551&lt;parametros!$C$2,(YEAR(B551)-YEAR(parametros!$C$2))*12+MONTH(B551)-MONTH(parametros!$C$2)&gt;59),"Fora dos ciclos","C"&amp;INT(((YEAR(B551)-YEAR(parametros!$C$2))*12+MONTH(B551)-MONTH(parametros!$C$2))/12)))))</f>
        <v/>
      </c>
      <c r="D551" s="394"/>
      <c r="E551" s="78" t="str">
        <f>IF(C551="","",IFERROR(VLOOKUP(C551,parametros!$A$11:$E$15,5,0),""))</f>
        <v/>
      </c>
      <c r="F551" s="79" t="str">
        <f t="shared" si="42"/>
        <v/>
      </c>
      <c r="G551" s="395"/>
      <c r="H551" s="91">
        <f t="shared" si="43"/>
        <v>0</v>
      </c>
      <c r="I551" s="91" t="str">
        <f t="shared" si="44"/>
        <v/>
      </c>
      <c r="J551" s="91" t="str">
        <f t="shared" si="45"/>
        <v/>
      </c>
      <c r="K551" s="92" t="str">
        <f>IF(AND(A551="",B551="",D551="",G551=""),"",IF(AND(A551&lt;&gt;"",COUNTIF($A$2:$A$5001,A551)&gt;1),"NUMERO_PC duplicado",IF(B551="","DATA_PC vazia",IF(NOT(ISNUMBER(B551)),"DATA_PC invalida",IF(OR(C551="",C551="Fora dos ciclos"),"CICLO_PC nao identificado",IF(OR(D551="",D551=0),"VALOR_PC vazio ou zero",IF(AND(G551&lt;&gt;"Sim",G551&lt;&gt;"Nao",G551&lt;&gt;""),"PC_PAGO_A_CONTRATADA invalido",IF(AND(C551&lt;&gt;"C0",IFERROR(INDEX(parametros!$A$2:$A$6,MATCH(C551,parametros!$B$2:$B$6,0)),"")="Sim",IFERROR(INDEX(parametros!$H$2:$H$6,MATCH(C551,parametros!$B$2:$B$6,0)),"")=""),"INICIO_EFEITO ausente: PC "&amp;A551&amp;" - "&amp;C551,IF(L551="","EFEITO_PC nao calculado: PC "&amp;A551&amp;" - "&amp;C551,"OK")))))))))</f>
        <v/>
      </c>
      <c r="L551" s="92" t="str">
        <f>IF(AND(A551="",B551="",D551="",G551=""),"",IF(OR(B551="",NOT(ISNUMBER(B551)),C551="",C551="Fora dos ciclos"),"",IF(C551="C0","Nao",IF(IFERROR(INDEX(parametros!$A$2:$A$6,MATCH(C551,parametros!$B$2:$B$6,0)),"")&lt;&gt;"Sim","Nao",IF(IFERROR(INDEX(parametros!$H$2:$H$6,MATCH(C551,parametros!$B$2:$B$6,0)),"")="","",IF(B551&gt;=IFERROR(INDEX(parametros!$H$2:$H$6,MATCH(C551,parametros!$B$2:$B$6,0)),""),"Sim","Nao"))))))</f>
        <v/>
      </c>
      <c r="T551" s="156"/>
      <c r="U551" s="214" t="str">
        <f t="shared" si="46"/>
        <v/>
      </c>
      <c r="V551" s="212" t="s">
        <v>50</v>
      </c>
      <c r="W551" s="100" t="s">
        <v>168</v>
      </c>
      <c r="X551" s="100" t="s">
        <v>169</v>
      </c>
      <c r="Y551" s="101" t="s">
        <v>170</v>
      </c>
      <c r="Z551" s="101" t="s">
        <v>171</v>
      </c>
      <c r="AA551" s="101" t="s">
        <v>50</v>
      </c>
      <c r="AB551" s="101" t="s">
        <v>172</v>
      </c>
      <c r="AC551" s="102" t="s">
        <v>173</v>
      </c>
    </row>
    <row r="552" spans="1:29" ht="25.5" customHeight="1" x14ac:dyDescent="0.35">
      <c r="A552" s="392"/>
      <c r="B552" s="393"/>
      <c r="C552" s="99" t="str">
        <f>IF(B552="","",IF(NOT(ISNUMBER(B552)),"DATA_PC invalida",IF(NOT(ISNUMBER(parametros!$C$2)),"Fora dos ciclos",IF(OR(B552&lt;parametros!$C$2,(YEAR(B552)-YEAR(parametros!$C$2))*12+MONTH(B552)-MONTH(parametros!$C$2)&gt;59),"Fora dos ciclos","C"&amp;INT(((YEAR(B552)-YEAR(parametros!$C$2))*12+MONTH(B552)-MONTH(parametros!$C$2))/12)))))</f>
        <v/>
      </c>
      <c r="D552" s="394"/>
      <c r="E552" s="78" t="str">
        <f>IF(C552="","",IFERROR(VLOOKUP(C552,parametros!$A$11:$E$15,5,0),""))</f>
        <v/>
      </c>
      <c r="F552" s="79" t="str">
        <f t="shared" si="42"/>
        <v/>
      </c>
      <c r="G552" s="395"/>
      <c r="H552" s="91">
        <f t="shared" si="43"/>
        <v>0</v>
      </c>
      <c r="I552" s="91" t="str">
        <f t="shared" si="44"/>
        <v/>
      </c>
      <c r="J552" s="91" t="str">
        <f t="shared" si="45"/>
        <v/>
      </c>
      <c r="K552" s="92" t="str">
        <f>IF(AND(A552="",B552="",D552="",G552=""),"",IF(AND(A552&lt;&gt;"",COUNTIF($A$2:$A$5001,A552)&gt;1),"NUMERO_PC duplicado",IF(B552="","DATA_PC vazia",IF(NOT(ISNUMBER(B552)),"DATA_PC invalida",IF(OR(C552="",C552="Fora dos ciclos"),"CICLO_PC nao identificado",IF(OR(D552="",D552=0),"VALOR_PC vazio ou zero",IF(AND(G552&lt;&gt;"Sim",G552&lt;&gt;"Nao",G552&lt;&gt;""),"PC_PAGO_A_CONTRATADA invalido",IF(AND(C552&lt;&gt;"C0",IFERROR(INDEX(parametros!$A$2:$A$6,MATCH(C552,parametros!$B$2:$B$6,0)),"")="Sim",IFERROR(INDEX(parametros!$H$2:$H$6,MATCH(C552,parametros!$B$2:$B$6,0)),"")=""),"INICIO_EFEITO ausente: PC "&amp;A552&amp;" - "&amp;C552,IF(L552="","EFEITO_PC nao calculado: PC "&amp;A552&amp;" - "&amp;C552,"OK")))))))))</f>
        <v/>
      </c>
      <c r="L552" s="92" t="str">
        <f>IF(AND(A552="",B552="",D552="",G552=""),"",IF(OR(B552="",NOT(ISNUMBER(B552)),C552="",C552="Fora dos ciclos"),"",IF(C552="C0","Nao",IF(IFERROR(INDEX(parametros!$A$2:$A$6,MATCH(C552,parametros!$B$2:$B$6,0)),"")&lt;&gt;"Sim","Nao",IF(IFERROR(INDEX(parametros!$H$2:$H$6,MATCH(C552,parametros!$B$2:$B$6,0)),"")="","",IF(B552&gt;=IFERROR(INDEX(parametros!$H$2:$H$6,MATCH(C552,parametros!$B$2:$B$6,0)),""),"Sim","Nao"))))))</f>
        <v/>
      </c>
      <c r="T552" s="156"/>
      <c r="U552" s="214" t="str">
        <f t="shared" si="46"/>
        <v/>
      </c>
      <c r="V552" s="212" t="s">
        <v>50</v>
      </c>
      <c r="W552" s="100" t="s">
        <v>168</v>
      </c>
      <c r="X552" s="100" t="s">
        <v>169</v>
      </c>
      <c r="Y552" s="101" t="s">
        <v>170</v>
      </c>
      <c r="Z552" s="101" t="s">
        <v>171</v>
      </c>
      <c r="AA552" s="101" t="s">
        <v>50</v>
      </c>
      <c r="AB552" s="101" t="s">
        <v>172</v>
      </c>
      <c r="AC552" s="102" t="s">
        <v>173</v>
      </c>
    </row>
    <row r="553" spans="1:29" ht="25.5" customHeight="1" x14ac:dyDescent="0.35">
      <c r="A553" s="392"/>
      <c r="B553" s="393"/>
      <c r="C553" s="99" t="str">
        <f>IF(B553="","",IF(NOT(ISNUMBER(B553)),"DATA_PC invalida",IF(NOT(ISNUMBER(parametros!$C$2)),"Fora dos ciclos",IF(OR(B553&lt;parametros!$C$2,(YEAR(B553)-YEAR(parametros!$C$2))*12+MONTH(B553)-MONTH(parametros!$C$2)&gt;59),"Fora dos ciclos","C"&amp;INT(((YEAR(B553)-YEAR(parametros!$C$2))*12+MONTH(B553)-MONTH(parametros!$C$2))/12)))))</f>
        <v/>
      </c>
      <c r="D553" s="394"/>
      <c r="E553" s="78" t="str">
        <f>IF(C553="","",IFERROR(VLOOKUP(C553,parametros!$A$11:$E$15,5,0),""))</f>
        <v/>
      </c>
      <c r="F553" s="79" t="str">
        <f t="shared" si="42"/>
        <v/>
      </c>
      <c r="G553" s="395"/>
      <c r="H553" s="91">
        <f t="shared" si="43"/>
        <v>0</v>
      </c>
      <c r="I553" s="91" t="str">
        <f t="shared" si="44"/>
        <v/>
      </c>
      <c r="J553" s="91" t="str">
        <f t="shared" si="45"/>
        <v/>
      </c>
      <c r="K553" s="92" t="str">
        <f>IF(AND(A553="",B553="",D553="",G553=""),"",IF(AND(A553&lt;&gt;"",COUNTIF($A$2:$A$5001,A553)&gt;1),"NUMERO_PC duplicado",IF(B553="","DATA_PC vazia",IF(NOT(ISNUMBER(B553)),"DATA_PC invalida",IF(OR(C553="",C553="Fora dos ciclos"),"CICLO_PC nao identificado",IF(OR(D553="",D553=0),"VALOR_PC vazio ou zero",IF(AND(G553&lt;&gt;"Sim",G553&lt;&gt;"Nao",G553&lt;&gt;""),"PC_PAGO_A_CONTRATADA invalido",IF(AND(C553&lt;&gt;"C0",IFERROR(INDEX(parametros!$A$2:$A$6,MATCH(C553,parametros!$B$2:$B$6,0)),"")="Sim",IFERROR(INDEX(parametros!$H$2:$H$6,MATCH(C553,parametros!$B$2:$B$6,0)),"")=""),"INICIO_EFEITO ausente: PC "&amp;A553&amp;" - "&amp;C553,IF(L553="","EFEITO_PC nao calculado: PC "&amp;A553&amp;" - "&amp;C553,"OK")))))))))</f>
        <v/>
      </c>
      <c r="L553" s="92" t="str">
        <f>IF(AND(A553="",B553="",D553="",G553=""),"",IF(OR(B553="",NOT(ISNUMBER(B553)),C553="",C553="Fora dos ciclos"),"",IF(C553="C0","Nao",IF(IFERROR(INDEX(parametros!$A$2:$A$6,MATCH(C553,parametros!$B$2:$B$6,0)),"")&lt;&gt;"Sim","Nao",IF(IFERROR(INDEX(parametros!$H$2:$H$6,MATCH(C553,parametros!$B$2:$B$6,0)),"")="","",IF(B553&gt;=IFERROR(INDEX(parametros!$H$2:$H$6,MATCH(C553,parametros!$B$2:$B$6,0)),""),"Sim","Nao"))))))</f>
        <v/>
      </c>
      <c r="T553" s="156"/>
      <c r="U553" s="214" t="str">
        <f t="shared" si="46"/>
        <v/>
      </c>
      <c r="V553" s="212" t="s">
        <v>50</v>
      </c>
      <c r="W553" s="100" t="s">
        <v>168</v>
      </c>
      <c r="X553" s="100" t="s">
        <v>169</v>
      </c>
      <c r="Y553" s="101" t="s">
        <v>170</v>
      </c>
      <c r="Z553" s="101" t="s">
        <v>171</v>
      </c>
      <c r="AA553" s="101" t="s">
        <v>50</v>
      </c>
      <c r="AB553" s="101" t="s">
        <v>172</v>
      </c>
      <c r="AC553" s="102" t="s">
        <v>173</v>
      </c>
    </row>
    <row r="554" spans="1:29" ht="25.5" customHeight="1" x14ac:dyDescent="0.35">
      <c r="A554" s="392"/>
      <c r="B554" s="393"/>
      <c r="C554" s="99" t="str">
        <f>IF(B554="","",IF(NOT(ISNUMBER(B554)),"DATA_PC invalida",IF(NOT(ISNUMBER(parametros!$C$2)),"Fora dos ciclos",IF(OR(B554&lt;parametros!$C$2,(YEAR(B554)-YEAR(parametros!$C$2))*12+MONTH(B554)-MONTH(parametros!$C$2)&gt;59),"Fora dos ciclos","C"&amp;INT(((YEAR(B554)-YEAR(parametros!$C$2))*12+MONTH(B554)-MONTH(parametros!$C$2))/12)))))</f>
        <v/>
      </c>
      <c r="D554" s="394"/>
      <c r="E554" s="78" t="str">
        <f>IF(C554="","",IFERROR(VLOOKUP(C554,parametros!$A$11:$E$15,5,0),""))</f>
        <v/>
      </c>
      <c r="F554" s="79" t="str">
        <f t="shared" si="42"/>
        <v/>
      </c>
      <c r="G554" s="395"/>
      <c r="H554" s="91">
        <f t="shared" si="43"/>
        <v>0</v>
      </c>
      <c r="I554" s="91" t="str">
        <f t="shared" si="44"/>
        <v/>
      </c>
      <c r="J554" s="91" t="str">
        <f t="shared" si="45"/>
        <v/>
      </c>
      <c r="K554" s="92" t="str">
        <f>IF(AND(A554="",B554="",D554="",G554=""),"",IF(AND(A554&lt;&gt;"",COUNTIF($A$2:$A$5001,A554)&gt;1),"NUMERO_PC duplicado",IF(B554="","DATA_PC vazia",IF(NOT(ISNUMBER(B554)),"DATA_PC invalida",IF(OR(C554="",C554="Fora dos ciclos"),"CICLO_PC nao identificado",IF(OR(D554="",D554=0),"VALOR_PC vazio ou zero",IF(AND(G554&lt;&gt;"Sim",G554&lt;&gt;"Nao",G554&lt;&gt;""),"PC_PAGO_A_CONTRATADA invalido",IF(AND(C554&lt;&gt;"C0",IFERROR(INDEX(parametros!$A$2:$A$6,MATCH(C554,parametros!$B$2:$B$6,0)),"")="Sim",IFERROR(INDEX(parametros!$H$2:$H$6,MATCH(C554,parametros!$B$2:$B$6,0)),"")=""),"INICIO_EFEITO ausente: PC "&amp;A554&amp;" - "&amp;C554,IF(L554="","EFEITO_PC nao calculado: PC "&amp;A554&amp;" - "&amp;C554,"OK")))))))))</f>
        <v/>
      </c>
      <c r="L554" s="92" t="str">
        <f>IF(AND(A554="",B554="",D554="",G554=""),"",IF(OR(B554="",NOT(ISNUMBER(B554)),C554="",C554="Fora dos ciclos"),"",IF(C554="C0","Nao",IF(IFERROR(INDEX(parametros!$A$2:$A$6,MATCH(C554,parametros!$B$2:$B$6,0)),"")&lt;&gt;"Sim","Nao",IF(IFERROR(INDEX(parametros!$H$2:$H$6,MATCH(C554,parametros!$B$2:$B$6,0)),"")="","",IF(B554&gt;=IFERROR(INDEX(parametros!$H$2:$H$6,MATCH(C554,parametros!$B$2:$B$6,0)),""),"Sim","Nao"))))))</f>
        <v/>
      </c>
      <c r="T554" s="156"/>
      <c r="U554" s="214" t="str">
        <f t="shared" si="46"/>
        <v/>
      </c>
      <c r="V554" s="212" t="s">
        <v>50</v>
      </c>
      <c r="W554" s="100" t="s">
        <v>168</v>
      </c>
      <c r="X554" s="100" t="s">
        <v>169</v>
      </c>
      <c r="Y554" s="101" t="s">
        <v>170</v>
      </c>
      <c r="Z554" s="101" t="s">
        <v>171</v>
      </c>
      <c r="AA554" s="101" t="s">
        <v>50</v>
      </c>
      <c r="AB554" s="101" t="s">
        <v>172</v>
      </c>
      <c r="AC554" s="102" t="s">
        <v>173</v>
      </c>
    </row>
    <row r="555" spans="1:29" ht="25.5" customHeight="1" x14ac:dyDescent="0.35">
      <c r="A555" s="392"/>
      <c r="B555" s="393"/>
      <c r="C555" s="99" t="str">
        <f>IF(B555="","",IF(NOT(ISNUMBER(B555)),"DATA_PC invalida",IF(NOT(ISNUMBER(parametros!$C$2)),"Fora dos ciclos",IF(OR(B555&lt;parametros!$C$2,(YEAR(B555)-YEAR(parametros!$C$2))*12+MONTH(B555)-MONTH(parametros!$C$2)&gt;59),"Fora dos ciclos","C"&amp;INT(((YEAR(B555)-YEAR(parametros!$C$2))*12+MONTH(B555)-MONTH(parametros!$C$2))/12)))))</f>
        <v/>
      </c>
      <c r="D555" s="394"/>
      <c r="E555" s="78" t="str">
        <f>IF(C555="","",IFERROR(VLOOKUP(C555,parametros!$A$11:$E$15,5,0),""))</f>
        <v/>
      </c>
      <c r="F555" s="79" t="str">
        <f t="shared" si="42"/>
        <v/>
      </c>
      <c r="G555" s="395"/>
      <c r="H555" s="91">
        <f t="shared" si="43"/>
        <v>0</v>
      </c>
      <c r="I555" s="91" t="str">
        <f t="shared" si="44"/>
        <v/>
      </c>
      <c r="J555" s="91" t="str">
        <f t="shared" si="45"/>
        <v/>
      </c>
      <c r="K555" s="92" t="str">
        <f>IF(AND(A555="",B555="",D555="",G555=""),"",IF(AND(A555&lt;&gt;"",COUNTIF($A$2:$A$5001,A555)&gt;1),"NUMERO_PC duplicado",IF(B555="","DATA_PC vazia",IF(NOT(ISNUMBER(B555)),"DATA_PC invalida",IF(OR(C555="",C555="Fora dos ciclos"),"CICLO_PC nao identificado",IF(OR(D555="",D555=0),"VALOR_PC vazio ou zero",IF(AND(G555&lt;&gt;"Sim",G555&lt;&gt;"Nao",G555&lt;&gt;""),"PC_PAGO_A_CONTRATADA invalido",IF(AND(C555&lt;&gt;"C0",IFERROR(INDEX(parametros!$A$2:$A$6,MATCH(C555,parametros!$B$2:$B$6,0)),"")="Sim",IFERROR(INDEX(parametros!$H$2:$H$6,MATCH(C555,parametros!$B$2:$B$6,0)),"")=""),"INICIO_EFEITO ausente: PC "&amp;A555&amp;" - "&amp;C555,IF(L555="","EFEITO_PC nao calculado: PC "&amp;A555&amp;" - "&amp;C555,"OK")))))))))</f>
        <v/>
      </c>
      <c r="L555" s="92" t="str">
        <f>IF(AND(A555="",B555="",D555="",G555=""),"",IF(OR(B555="",NOT(ISNUMBER(B555)),C555="",C555="Fora dos ciclos"),"",IF(C555="C0","Nao",IF(IFERROR(INDEX(parametros!$A$2:$A$6,MATCH(C555,parametros!$B$2:$B$6,0)),"")&lt;&gt;"Sim","Nao",IF(IFERROR(INDEX(parametros!$H$2:$H$6,MATCH(C555,parametros!$B$2:$B$6,0)),"")="","",IF(B555&gt;=IFERROR(INDEX(parametros!$H$2:$H$6,MATCH(C555,parametros!$B$2:$B$6,0)),""),"Sim","Nao"))))))</f>
        <v/>
      </c>
      <c r="T555" s="156"/>
      <c r="U555" s="214" t="str">
        <f t="shared" si="46"/>
        <v/>
      </c>
      <c r="V555" s="212" t="s">
        <v>50</v>
      </c>
      <c r="W555" s="100" t="s">
        <v>168</v>
      </c>
      <c r="X555" s="100" t="s">
        <v>169</v>
      </c>
      <c r="Y555" s="101" t="s">
        <v>170</v>
      </c>
      <c r="Z555" s="101" t="s">
        <v>171</v>
      </c>
      <c r="AA555" s="101" t="s">
        <v>50</v>
      </c>
      <c r="AB555" s="101" t="s">
        <v>172</v>
      </c>
      <c r="AC555" s="102" t="s">
        <v>173</v>
      </c>
    </row>
    <row r="556" spans="1:29" ht="25.5" customHeight="1" x14ac:dyDescent="0.35">
      <c r="A556" s="392"/>
      <c r="B556" s="393"/>
      <c r="C556" s="99" t="str">
        <f>IF(B556="","",IF(NOT(ISNUMBER(B556)),"DATA_PC invalida",IF(NOT(ISNUMBER(parametros!$C$2)),"Fora dos ciclos",IF(OR(B556&lt;parametros!$C$2,(YEAR(B556)-YEAR(parametros!$C$2))*12+MONTH(B556)-MONTH(parametros!$C$2)&gt;59),"Fora dos ciclos","C"&amp;INT(((YEAR(B556)-YEAR(parametros!$C$2))*12+MONTH(B556)-MONTH(parametros!$C$2))/12)))))</f>
        <v/>
      </c>
      <c r="D556" s="394"/>
      <c r="E556" s="78" t="str">
        <f>IF(C556="","",IFERROR(VLOOKUP(C556,parametros!$A$11:$E$15,5,0),""))</f>
        <v/>
      </c>
      <c r="F556" s="79" t="str">
        <f t="shared" si="42"/>
        <v/>
      </c>
      <c r="G556" s="395"/>
      <c r="H556" s="91">
        <f t="shared" si="43"/>
        <v>0</v>
      </c>
      <c r="I556" s="91" t="str">
        <f t="shared" si="44"/>
        <v/>
      </c>
      <c r="J556" s="91" t="str">
        <f t="shared" si="45"/>
        <v/>
      </c>
      <c r="K556" s="92" t="str">
        <f>IF(AND(A556="",B556="",D556="",G556=""),"",IF(AND(A556&lt;&gt;"",COUNTIF($A$2:$A$5001,A556)&gt;1),"NUMERO_PC duplicado",IF(B556="","DATA_PC vazia",IF(NOT(ISNUMBER(B556)),"DATA_PC invalida",IF(OR(C556="",C556="Fora dos ciclos"),"CICLO_PC nao identificado",IF(OR(D556="",D556=0),"VALOR_PC vazio ou zero",IF(AND(G556&lt;&gt;"Sim",G556&lt;&gt;"Nao",G556&lt;&gt;""),"PC_PAGO_A_CONTRATADA invalido",IF(AND(C556&lt;&gt;"C0",IFERROR(INDEX(parametros!$A$2:$A$6,MATCH(C556,parametros!$B$2:$B$6,0)),"")="Sim",IFERROR(INDEX(parametros!$H$2:$H$6,MATCH(C556,parametros!$B$2:$B$6,0)),"")=""),"INICIO_EFEITO ausente: PC "&amp;A556&amp;" - "&amp;C556,IF(L556="","EFEITO_PC nao calculado: PC "&amp;A556&amp;" - "&amp;C556,"OK")))))))))</f>
        <v/>
      </c>
      <c r="L556" s="92" t="str">
        <f>IF(AND(A556="",B556="",D556="",G556=""),"",IF(OR(B556="",NOT(ISNUMBER(B556)),C556="",C556="Fora dos ciclos"),"",IF(C556="C0","Nao",IF(IFERROR(INDEX(parametros!$A$2:$A$6,MATCH(C556,parametros!$B$2:$B$6,0)),"")&lt;&gt;"Sim","Nao",IF(IFERROR(INDEX(parametros!$H$2:$H$6,MATCH(C556,parametros!$B$2:$B$6,0)),"")="","",IF(B556&gt;=IFERROR(INDEX(parametros!$H$2:$H$6,MATCH(C556,parametros!$B$2:$B$6,0)),""),"Sim","Nao"))))))</f>
        <v/>
      </c>
      <c r="T556" s="156"/>
      <c r="U556" s="214" t="str">
        <f t="shared" si="46"/>
        <v/>
      </c>
      <c r="V556" s="212" t="s">
        <v>50</v>
      </c>
      <c r="W556" s="100" t="s">
        <v>168</v>
      </c>
      <c r="X556" s="100" t="s">
        <v>169</v>
      </c>
      <c r="Y556" s="101" t="s">
        <v>170</v>
      </c>
      <c r="Z556" s="101" t="s">
        <v>171</v>
      </c>
      <c r="AA556" s="101" t="s">
        <v>50</v>
      </c>
      <c r="AB556" s="101" t="s">
        <v>172</v>
      </c>
      <c r="AC556" s="102" t="s">
        <v>173</v>
      </c>
    </row>
    <row r="557" spans="1:29" ht="25.5" customHeight="1" x14ac:dyDescent="0.35">
      <c r="A557" s="392"/>
      <c r="B557" s="393"/>
      <c r="C557" s="99" t="str">
        <f>IF(B557="","",IF(NOT(ISNUMBER(B557)),"DATA_PC invalida",IF(NOT(ISNUMBER(parametros!$C$2)),"Fora dos ciclos",IF(OR(B557&lt;parametros!$C$2,(YEAR(B557)-YEAR(parametros!$C$2))*12+MONTH(B557)-MONTH(parametros!$C$2)&gt;59),"Fora dos ciclos","C"&amp;INT(((YEAR(B557)-YEAR(parametros!$C$2))*12+MONTH(B557)-MONTH(parametros!$C$2))/12)))))</f>
        <v/>
      </c>
      <c r="D557" s="394"/>
      <c r="E557" s="78" t="str">
        <f>IF(C557="","",IFERROR(VLOOKUP(C557,parametros!$A$11:$E$15,5,0),""))</f>
        <v/>
      </c>
      <c r="F557" s="79" t="str">
        <f t="shared" si="42"/>
        <v/>
      </c>
      <c r="G557" s="395"/>
      <c r="H557" s="91">
        <f t="shared" si="43"/>
        <v>0</v>
      </c>
      <c r="I557" s="91" t="str">
        <f t="shared" si="44"/>
        <v/>
      </c>
      <c r="J557" s="91" t="str">
        <f t="shared" si="45"/>
        <v/>
      </c>
      <c r="K557" s="92" t="str">
        <f>IF(AND(A557="",B557="",D557="",G557=""),"",IF(AND(A557&lt;&gt;"",COUNTIF($A$2:$A$5001,A557)&gt;1),"NUMERO_PC duplicado",IF(B557="","DATA_PC vazia",IF(NOT(ISNUMBER(B557)),"DATA_PC invalida",IF(OR(C557="",C557="Fora dos ciclos"),"CICLO_PC nao identificado",IF(OR(D557="",D557=0),"VALOR_PC vazio ou zero",IF(AND(G557&lt;&gt;"Sim",G557&lt;&gt;"Nao",G557&lt;&gt;""),"PC_PAGO_A_CONTRATADA invalido",IF(AND(C557&lt;&gt;"C0",IFERROR(INDEX(parametros!$A$2:$A$6,MATCH(C557,parametros!$B$2:$B$6,0)),"")="Sim",IFERROR(INDEX(parametros!$H$2:$H$6,MATCH(C557,parametros!$B$2:$B$6,0)),"")=""),"INICIO_EFEITO ausente: PC "&amp;A557&amp;" - "&amp;C557,IF(L557="","EFEITO_PC nao calculado: PC "&amp;A557&amp;" - "&amp;C557,"OK")))))))))</f>
        <v/>
      </c>
      <c r="L557" s="92" t="str">
        <f>IF(AND(A557="",B557="",D557="",G557=""),"",IF(OR(B557="",NOT(ISNUMBER(B557)),C557="",C557="Fora dos ciclos"),"",IF(C557="C0","Nao",IF(IFERROR(INDEX(parametros!$A$2:$A$6,MATCH(C557,parametros!$B$2:$B$6,0)),"")&lt;&gt;"Sim","Nao",IF(IFERROR(INDEX(parametros!$H$2:$H$6,MATCH(C557,parametros!$B$2:$B$6,0)),"")="","",IF(B557&gt;=IFERROR(INDEX(parametros!$H$2:$H$6,MATCH(C557,parametros!$B$2:$B$6,0)),""),"Sim","Nao"))))))</f>
        <v/>
      </c>
      <c r="T557" s="156"/>
      <c r="U557" s="214" t="str">
        <f t="shared" si="46"/>
        <v/>
      </c>
      <c r="V557" s="212" t="s">
        <v>50</v>
      </c>
      <c r="W557" s="100" t="s">
        <v>168</v>
      </c>
      <c r="X557" s="100" t="s">
        <v>169</v>
      </c>
      <c r="Y557" s="101" t="s">
        <v>170</v>
      </c>
      <c r="Z557" s="101" t="s">
        <v>171</v>
      </c>
      <c r="AA557" s="101" t="s">
        <v>50</v>
      </c>
      <c r="AB557" s="101" t="s">
        <v>172</v>
      </c>
      <c r="AC557" s="102" t="s">
        <v>173</v>
      </c>
    </row>
    <row r="558" spans="1:29" ht="25.5" customHeight="1" x14ac:dyDescent="0.35">
      <c r="A558" s="392"/>
      <c r="B558" s="393"/>
      <c r="C558" s="99" t="str">
        <f>IF(B558="","",IF(NOT(ISNUMBER(B558)),"DATA_PC invalida",IF(NOT(ISNUMBER(parametros!$C$2)),"Fora dos ciclos",IF(OR(B558&lt;parametros!$C$2,(YEAR(B558)-YEAR(parametros!$C$2))*12+MONTH(B558)-MONTH(parametros!$C$2)&gt;59),"Fora dos ciclos","C"&amp;INT(((YEAR(B558)-YEAR(parametros!$C$2))*12+MONTH(B558)-MONTH(parametros!$C$2))/12)))))</f>
        <v/>
      </c>
      <c r="D558" s="394"/>
      <c r="E558" s="78" t="str">
        <f>IF(C558="","",IFERROR(VLOOKUP(C558,parametros!$A$11:$E$15,5,0),""))</f>
        <v/>
      </c>
      <c r="F558" s="79" t="str">
        <f t="shared" si="42"/>
        <v/>
      </c>
      <c r="G558" s="395"/>
      <c r="H558" s="91">
        <f t="shared" si="43"/>
        <v>0</v>
      </c>
      <c r="I558" s="91" t="str">
        <f t="shared" si="44"/>
        <v/>
      </c>
      <c r="J558" s="91" t="str">
        <f t="shared" si="45"/>
        <v/>
      </c>
      <c r="K558" s="92" t="str">
        <f>IF(AND(A558="",B558="",D558="",G558=""),"",IF(AND(A558&lt;&gt;"",COUNTIF($A$2:$A$5001,A558)&gt;1),"NUMERO_PC duplicado",IF(B558="","DATA_PC vazia",IF(NOT(ISNUMBER(B558)),"DATA_PC invalida",IF(OR(C558="",C558="Fora dos ciclos"),"CICLO_PC nao identificado",IF(OR(D558="",D558=0),"VALOR_PC vazio ou zero",IF(AND(G558&lt;&gt;"Sim",G558&lt;&gt;"Nao",G558&lt;&gt;""),"PC_PAGO_A_CONTRATADA invalido",IF(AND(C558&lt;&gt;"C0",IFERROR(INDEX(parametros!$A$2:$A$6,MATCH(C558,parametros!$B$2:$B$6,0)),"")="Sim",IFERROR(INDEX(parametros!$H$2:$H$6,MATCH(C558,parametros!$B$2:$B$6,0)),"")=""),"INICIO_EFEITO ausente: PC "&amp;A558&amp;" - "&amp;C558,IF(L558="","EFEITO_PC nao calculado: PC "&amp;A558&amp;" - "&amp;C558,"OK")))))))))</f>
        <v/>
      </c>
      <c r="L558" s="92" t="str">
        <f>IF(AND(A558="",B558="",D558="",G558=""),"",IF(OR(B558="",NOT(ISNUMBER(B558)),C558="",C558="Fora dos ciclos"),"",IF(C558="C0","Nao",IF(IFERROR(INDEX(parametros!$A$2:$A$6,MATCH(C558,parametros!$B$2:$B$6,0)),"")&lt;&gt;"Sim","Nao",IF(IFERROR(INDEX(parametros!$H$2:$H$6,MATCH(C558,parametros!$B$2:$B$6,0)),"")="","",IF(B558&gt;=IFERROR(INDEX(parametros!$H$2:$H$6,MATCH(C558,parametros!$B$2:$B$6,0)),""),"Sim","Nao"))))))</f>
        <v/>
      </c>
      <c r="T558" s="156"/>
      <c r="U558" s="214" t="str">
        <f t="shared" si="46"/>
        <v/>
      </c>
      <c r="V558" s="212" t="s">
        <v>50</v>
      </c>
      <c r="W558" s="100" t="s">
        <v>168</v>
      </c>
      <c r="X558" s="100" t="s">
        <v>169</v>
      </c>
      <c r="Y558" s="101" t="s">
        <v>170</v>
      </c>
      <c r="Z558" s="101" t="s">
        <v>171</v>
      </c>
      <c r="AA558" s="101" t="s">
        <v>50</v>
      </c>
      <c r="AB558" s="101" t="s">
        <v>172</v>
      </c>
      <c r="AC558" s="102" t="s">
        <v>173</v>
      </c>
    </row>
    <row r="559" spans="1:29" ht="25.5" customHeight="1" x14ac:dyDescent="0.35">
      <c r="A559" s="392"/>
      <c r="B559" s="393"/>
      <c r="C559" s="99" t="str">
        <f>IF(B559="","",IF(NOT(ISNUMBER(B559)),"DATA_PC invalida",IF(NOT(ISNUMBER(parametros!$C$2)),"Fora dos ciclos",IF(OR(B559&lt;parametros!$C$2,(YEAR(B559)-YEAR(parametros!$C$2))*12+MONTH(B559)-MONTH(parametros!$C$2)&gt;59),"Fora dos ciclos","C"&amp;INT(((YEAR(B559)-YEAR(parametros!$C$2))*12+MONTH(B559)-MONTH(parametros!$C$2))/12)))))</f>
        <v/>
      </c>
      <c r="D559" s="394"/>
      <c r="E559" s="78" t="str">
        <f>IF(C559="","",IFERROR(VLOOKUP(C559,parametros!$A$11:$E$15,5,0),""))</f>
        <v/>
      </c>
      <c r="F559" s="79" t="str">
        <f t="shared" si="42"/>
        <v/>
      </c>
      <c r="G559" s="395"/>
      <c r="H559" s="91">
        <f t="shared" si="43"/>
        <v>0</v>
      </c>
      <c r="I559" s="91" t="str">
        <f t="shared" si="44"/>
        <v/>
      </c>
      <c r="J559" s="91" t="str">
        <f t="shared" si="45"/>
        <v/>
      </c>
      <c r="K559" s="92" t="str">
        <f>IF(AND(A559="",B559="",D559="",G559=""),"",IF(AND(A559&lt;&gt;"",COUNTIF($A$2:$A$5001,A559)&gt;1),"NUMERO_PC duplicado",IF(B559="","DATA_PC vazia",IF(NOT(ISNUMBER(B559)),"DATA_PC invalida",IF(OR(C559="",C559="Fora dos ciclos"),"CICLO_PC nao identificado",IF(OR(D559="",D559=0),"VALOR_PC vazio ou zero",IF(AND(G559&lt;&gt;"Sim",G559&lt;&gt;"Nao",G559&lt;&gt;""),"PC_PAGO_A_CONTRATADA invalido",IF(AND(C559&lt;&gt;"C0",IFERROR(INDEX(parametros!$A$2:$A$6,MATCH(C559,parametros!$B$2:$B$6,0)),"")="Sim",IFERROR(INDEX(parametros!$H$2:$H$6,MATCH(C559,parametros!$B$2:$B$6,0)),"")=""),"INICIO_EFEITO ausente: PC "&amp;A559&amp;" - "&amp;C559,IF(L559="","EFEITO_PC nao calculado: PC "&amp;A559&amp;" - "&amp;C559,"OK")))))))))</f>
        <v/>
      </c>
      <c r="L559" s="92" t="str">
        <f>IF(AND(A559="",B559="",D559="",G559=""),"",IF(OR(B559="",NOT(ISNUMBER(B559)),C559="",C559="Fora dos ciclos"),"",IF(C559="C0","Nao",IF(IFERROR(INDEX(parametros!$A$2:$A$6,MATCH(C559,parametros!$B$2:$B$6,0)),"")&lt;&gt;"Sim","Nao",IF(IFERROR(INDEX(parametros!$H$2:$H$6,MATCH(C559,parametros!$B$2:$B$6,0)),"")="","",IF(B559&gt;=IFERROR(INDEX(parametros!$H$2:$H$6,MATCH(C559,parametros!$B$2:$B$6,0)),""),"Sim","Nao"))))))</f>
        <v/>
      </c>
      <c r="T559" s="156"/>
      <c r="U559" s="214" t="str">
        <f t="shared" si="46"/>
        <v/>
      </c>
      <c r="V559" s="212" t="s">
        <v>50</v>
      </c>
      <c r="W559" s="100" t="s">
        <v>168</v>
      </c>
      <c r="X559" s="100" t="s">
        <v>169</v>
      </c>
      <c r="Y559" s="101" t="s">
        <v>170</v>
      </c>
      <c r="Z559" s="101" t="s">
        <v>171</v>
      </c>
      <c r="AA559" s="101" t="s">
        <v>50</v>
      </c>
      <c r="AB559" s="101" t="s">
        <v>172</v>
      </c>
      <c r="AC559" s="102" t="s">
        <v>173</v>
      </c>
    </row>
    <row r="560" spans="1:29" ht="25.5" customHeight="1" x14ac:dyDescent="0.35">
      <c r="A560" s="392"/>
      <c r="B560" s="393"/>
      <c r="C560" s="99" t="str">
        <f>IF(B560="","",IF(NOT(ISNUMBER(B560)),"DATA_PC invalida",IF(NOT(ISNUMBER(parametros!$C$2)),"Fora dos ciclos",IF(OR(B560&lt;parametros!$C$2,(YEAR(B560)-YEAR(parametros!$C$2))*12+MONTH(B560)-MONTH(parametros!$C$2)&gt;59),"Fora dos ciclos","C"&amp;INT(((YEAR(B560)-YEAR(parametros!$C$2))*12+MONTH(B560)-MONTH(parametros!$C$2))/12)))))</f>
        <v/>
      </c>
      <c r="D560" s="394"/>
      <c r="E560" s="78" t="str">
        <f>IF(C560="","",IFERROR(VLOOKUP(C560,parametros!$A$11:$E$15,5,0),""))</f>
        <v/>
      </c>
      <c r="F560" s="79" t="str">
        <f t="shared" si="42"/>
        <v/>
      </c>
      <c r="G560" s="395"/>
      <c r="H560" s="91">
        <f t="shared" si="43"/>
        <v>0</v>
      </c>
      <c r="I560" s="91" t="str">
        <f t="shared" si="44"/>
        <v/>
      </c>
      <c r="J560" s="91" t="str">
        <f t="shared" si="45"/>
        <v/>
      </c>
      <c r="K560" s="92" t="str">
        <f>IF(AND(A560="",B560="",D560="",G560=""),"",IF(AND(A560&lt;&gt;"",COUNTIF($A$2:$A$5001,A560)&gt;1),"NUMERO_PC duplicado",IF(B560="","DATA_PC vazia",IF(NOT(ISNUMBER(B560)),"DATA_PC invalida",IF(OR(C560="",C560="Fora dos ciclos"),"CICLO_PC nao identificado",IF(OR(D560="",D560=0),"VALOR_PC vazio ou zero",IF(AND(G560&lt;&gt;"Sim",G560&lt;&gt;"Nao",G560&lt;&gt;""),"PC_PAGO_A_CONTRATADA invalido",IF(AND(C560&lt;&gt;"C0",IFERROR(INDEX(parametros!$A$2:$A$6,MATCH(C560,parametros!$B$2:$B$6,0)),"")="Sim",IFERROR(INDEX(parametros!$H$2:$H$6,MATCH(C560,parametros!$B$2:$B$6,0)),"")=""),"INICIO_EFEITO ausente: PC "&amp;A560&amp;" - "&amp;C560,IF(L560="","EFEITO_PC nao calculado: PC "&amp;A560&amp;" - "&amp;C560,"OK")))))))))</f>
        <v/>
      </c>
      <c r="L560" s="92" t="str">
        <f>IF(AND(A560="",B560="",D560="",G560=""),"",IF(OR(B560="",NOT(ISNUMBER(B560)),C560="",C560="Fora dos ciclos"),"",IF(C560="C0","Nao",IF(IFERROR(INDEX(parametros!$A$2:$A$6,MATCH(C560,parametros!$B$2:$B$6,0)),"")&lt;&gt;"Sim","Nao",IF(IFERROR(INDEX(parametros!$H$2:$H$6,MATCH(C560,parametros!$B$2:$B$6,0)),"")="","",IF(B560&gt;=IFERROR(INDEX(parametros!$H$2:$H$6,MATCH(C560,parametros!$B$2:$B$6,0)),""),"Sim","Nao"))))))</f>
        <v/>
      </c>
      <c r="T560" s="156"/>
      <c r="U560" s="214" t="str">
        <f t="shared" si="46"/>
        <v/>
      </c>
      <c r="V560" s="212" t="s">
        <v>50</v>
      </c>
      <c r="W560" s="100" t="s">
        <v>168</v>
      </c>
      <c r="X560" s="100" t="s">
        <v>169</v>
      </c>
      <c r="Y560" s="101" t="s">
        <v>170</v>
      </c>
      <c r="Z560" s="101" t="s">
        <v>171</v>
      </c>
      <c r="AA560" s="101" t="s">
        <v>50</v>
      </c>
      <c r="AB560" s="101" t="s">
        <v>172</v>
      </c>
      <c r="AC560" s="102" t="s">
        <v>173</v>
      </c>
    </row>
    <row r="561" spans="1:29" ht="25.5" customHeight="1" x14ac:dyDescent="0.35">
      <c r="A561" s="392"/>
      <c r="B561" s="393"/>
      <c r="C561" s="99" t="str">
        <f>IF(B561="","",IF(NOT(ISNUMBER(B561)),"DATA_PC invalida",IF(NOT(ISNUMBER(parametros!$C$2)),"Fora dos ciclos",IF(OR(B561&lt;parametros!$C$2,(YEAR(B561)-YEAR(parametros!$C$2))*12+MONTH(B561)-MONTH(parametros!$C$2)&gt;59),"Fora dos ciclos","C"&amp;INT(((YEAR(B561)-YEAR(parametros!$C$2))*12+MONTH(B561)-MONTH(parametros!$C$2))/12)))))</f>
        <v/>
      </c>
      <c r="D561" s="394"/>
      <c r="E561" s="78" t="str">
        <f>IF(C561="","",IFERROR(VLOOKUP(C561,parametros!$A$11:$E$15,5,0),""))</f>
        <v/>
      </c>
      <c r="F561" s="79" t="str">
        <f t="shared" si="42"/>
        <v/>
      </c>
      <c r="G561" s="395"/>
      <c r="H561" s="91">
        <f t="shared" si="43"/>
        <v>0</v>
      </c>
      <c r="I561" s="91" t="str">
        <f t="shared" si="44"/>
        <v/>
      </c>
      <c r="J561" s="91" t="str">
        <f t="shared" si="45"/>
        <v/>
      </c>
      <c r="K561" s="92" t="str">
        <f>IF(AND(A561="",B561="",D561="",G561=""),"",IF(AND(A561&lt;&gt;"",COUNTIF($A$2:$A$5001,A561)&gt;1),"NUMERO_PC duplicado",IF(B561="","DATA_PC vazia",IF(NOT(ISNUMBER(B561)),"DATA_PC invalida",IF(OR(C561="",C561="Fora dos ciclos"),"CICLO_PC nao identificado",IF(OR(D561="",D561=0),"VALOR_PC vazio ou zero",IF(AND(G561&lt;&gt;"Sim",G561&lt;&gt;"Nao",G561&lt;&gt;""),"PC_PAGO_A_CONTRATADA invalido",IF(AND(C561&lt;&gt;"C0",IFERROR(INDEX(parametros!$A$2:$A$6,MATCH(C561,parametros!$B$2:$B$6,0)),"")="Sim",IFERROR(INDEX(parametros!$H$2:$H$6,MATCH(C561,parametros!$B$2:$B$6,0)),"")=""),"INICIO_EFEITO ausente: PC "&amp;A561&amp;" - "&amp;C561,IF(L561="","EFEITO_PC nao calculado: PC "&amp;A561&amp;" - "&amp;C561,"OK")))))))))</f>
        <v/>
      </c>
      <c r="L561" s="92" t="str">
        <f>IF(AND(A561="",B561="",D561="",G561=""),"",IF(OR(B561="",NOT(ISNUMBER(B561)),C561="",C561="Fora dos ciclos"),"",IF(C561="C0","Nao",IF(IFERROR(INDEX(parametros!$A$2:$A$6,MATCH(C561,parametros!$B$2:$B$6,0)),"")&lt;&gt;"Sim","Nao",IF(IFERROR(INDEX(parametros!$H$2:$H$6,MATCH(C561,parametros!$B$2:$B$6,0)),"")="","",IF(B561&gt;=IFERROR(INDEX(parametros!$H$2:$H$6,MATCH(C561,parametros!$B$2:$B$6,0)),""),"Sim","Nao"))))))</f>
        <v/>
      </c>
      <c r="T561" s="156"/>
      <c r="U561" s="214" t="str">
        <f t="shared" si="46"/>
        <v/>
      </c>
      <c r="V561" s="212" t="s">
        <v>50</v>
      </c>
      <c r="W561" s="100" t="s">
        <v>168</v>
      </c>
      <c r="X561" s="100" t="s">
        <v>169</v>
      </c>
      <c r="Y561" s="101" t="s">
        <v>170</v>
      </c>
      <c r="Z561" s="101" t="s">
        <v>171</v>
      </c>
      <c r="AA561" s="101" t="s">
        <v>50</v>
      </c>
      <c r="AB561" s="101" t="s">
        <v>172</v>
      </c>
      <c r="AC561" s="102" t="s">
        <v>173</v>
      </c>
    </row>
    <row r="562" spans="1:29" ht="25.5" customHeight="1" x14ac:dyDescent="0.35">
      <c r="A562" s="392"/>
      <c r="B562" s="393"/>
      <c r="C562" s="99" t="str">
        <f>IF(B562="","",IF(NOT(ISNUMBER(B562)),"DATA_PC invalida",IF(NOT(ISNUMBER(parametros!$C$2)),"Fora dos ciclos",IF(OR(B562&lt;parametros!$C$2,(YEAR(B562)-YEAR(parametros!$C$2))*12+MONTH(B562)-MONTH(parametros!$C$2)&gt;59),"Fora dos ciclos","C"&amp;INT(((YEAR(B562)-YEAR(parametros!$C$2))*12+MONTH(B562)-MONTH(parametros!$C$2))/12)))))</f>
        <v/>
      </c>
      <c r="D562" s="394"/>
      <c r="E562" s="78" t="str">
        <f>IF(C562="","",IFERROR(VLOOKUP(C562,parametros!$A$11:$E$15,5,0),""))</f>
        <v/>
      </c>
      <c r="F562" s="79" t="str">
        <f t="shared" si="42"/>
        <v/>
      </c>
      <c r="G562" s="395"/>
      <c r="H562" s="91">
        <f t="shared" si="43"/>
        <v>0</v>
      </c>
      <c r="I562" s="91" t="str">
        <f t="shared" si="44"/>
        <v/>
      </c>
      <c r="J562" s="91" t="str">
        <f t="shared" si="45"/>
        <v/>
      </c>
      <c r="K562" s="92" t="str">
        <f>IF(AND(A562="",B562="",D562="",G562=""),"",IF(AND(A562&lt;&gt;"",COUNTIF($A$2:$A$5001,A562)&gt;1),"NUMERO_PC duplicado",IF(B562="","DATA_PC vazia",IF(NOT(ISNUMBER(B562)),"DATA_PC invalida",IF(OR(C562="",C562="Fora dos ciclos"),"CICLO_PC nao identificado",IF(OR(D562="",D562=0),"VALOR_PC vazio ou zero",IF(AND(G562&lt;&gt;"Sim",G562&lt;&gt;"Nao",G562&lt;&gt;""),"PC_PAGO_A_CONTRATADA invalido",IF(AND(C562&lt;&gt;"C0",IFERROR(INDEX(parametros!$A$2:$A$6,MATCH(C562,parametros!$B$2:$B$6,0)),"")="Sim",IFERROR(INDEX(parametros!$H$2:$H$6,MATCH(C562,parametros!$B$2:$B$6,0)),"")=""),"INICIO_EFEITO ausente: PC "&amp;A562&amp;" - "&amp;C562,IF(L562="","EFEITO_PC nao calculado: PC "&amp;A562&amp;" - "&amp;C562,"OK")))))))))</f>
        <v/>
      </c>
      <c r="L562" s="92" t="str">
        <f>IF(AND(A562="",B562="",D562="",G562=""),"",IF(OR(B562="",NOT(ISNUMBER(B562)),C562="",C562="Fora dos ciclos"),"",IF(C562="C0","Nao",IF(IFERROR(INDEX(parametros!$A$2:$A$6,MATCH(C562,parametros!$B$2:$B$6,0)),"")&lt;&gt;"Sim","Nao",IF(IFERROR(INDEX(parametros!$H$2:$H$6,MATCH(C562,parametros!$B$2:$B$6,0)),"")="","",IF(B562&gt;=IFERROR(INDEX(parametros!$H$2:$H$6,MATCH(C562,parametros!$B$2:$B$6,0)),""),"Sim","Nao"))))))</f>
        <v/>
      </c>
      <c r="T562" s="156"/>
      <c r="U562" s="214" t="str">
        <f t="shared" si="46"/>
        <v/>
      </c>
      <c r="V562" s="212" t="s">
        <v>50</v>
      </c>
      <c r="W562" s="100" t="s">
        <v>168</v>
      </c>
      <c r="X562" s="100" t="s">
        <v>169</v>
      </c>
      <c r="Y562" s="101" t="s">
        <v>170</v>
      </c>
      <c r="Z562" s="101" t="s">
        <v>171</v>
      </c>
      <c r="AA562" s="101" t="s">
        <v>50</v>
      </c>
      <c r="AB562" s="101" t="s">
        <v>172</v>
      </c>
      <c r="AC562" s="102" t="s">
        <v>173</v>
      </c>
    </row>
    <row r="563" spans="1:29" ht="25.5" customHeight="1" x14ac:dyDescent="0.35">
      <c r="A563" s="392"/>
      <c r="B563" s="393"/>
      <c r="C563" s="99" t="str">
        <f>IF(B563="","",IF(NOT(ISNUMBER(B563)),"DATA_PC invalida",IF(NOT(ISNUMBER(parametros!$C$2)),"Fora dos ciclos",IF(OR(B563&lt;parametros!$C$2,(YEAR(B563)-YEAR(parametros!$C$2))*12+MONTH(B563)-MONTH(parametros!$C$2)&gt;59),"Fora dos ciclos","C"&amp;INT(((YEAR(B563)-YEAR(parametros!$C$2))*12+MONTH(B563)-MONTH(parametros!$C$2))/12)))))</f>
        <v/>
      </c>
      <c r="D563" s="394"/>
      <c r="E563" s="78" t="str">
        <f>IF(C563="","",IFERROR(VLOOKUP(C563,parametros!$A$11:$E$15,5,0),""))</f>
        <v/>
      </c>
      <c r="F563" s="79" t="str">
        <f t="shared" si="42"/>
        <v/>
      </c>
      <c r="G563" s="395"/>
      <c r="H563" s="91">
        <f t="shared" si="43"/>
        <v>0</v>
      </c>
      <c r="I563" s="91" t="str">
        <f t="shared" si="44"/>
        <v/>
      </c>
      <c r="J563" s="91" t="str">
        <f t="shared" si="45"/>
        <v/>
      </c>
      <c r="K563" s="92" t="str">
        <f>IF(AND(A563="",B563="",D563="",G563=""),"",IF(AND(A563&lt;&gt;"",COUNTIF($A$2:$A$5001,A563)&gt;1),"NUMERO_PC duplicado",IF(B563="","DATA_PC vazia",IF(NOT(ISNUMBER(B563)),"DATA_PC invalida",IF(OR(C563="",C563="Fora dos ciclos"),"CICLO_PC nao identificado",IF(OR(D563="",D563=0),"VALOR_PC vazio ou zero",IF(AND(G563&lt;&gt;"Sim",G563&lt;&gt;"Nao",G563&lt;&gt;""),"PC_PAGO_A_CONTRATADA invalido",IF(AND(C563&lt;&gt;"C0",IFERROR(INDEX(parametros!$A$2:$A$6,MATCH(C563,parametros!$B$2:$B$6,0)),"")="Sim",IFERROR(INDEX(parametros!$H$2:$H$6,MATCH(C563,parametros!$B$2:$B$6,0)),"")=""),"INICIO_EFEITO ausente: PC "&amp;A563&amp;" - "&amp;C563,IF(L563="","EFEITO_PC nao calculado: PC "&amp;A563&amp;" - "&amp;C563,"OK")))))))))</f>
        <v/>
      </c>
      <c r="L563" s="92" t="str">
        <f>IF(AND(A563="",B563="",D563="",G563=""),"",IF(OR(B563="",NOT(ISNUMBER(B563)),C563="",C563="Fora dos ciclos"),"",IF(C563="C0","Nao",IF(IFERROR(INDEX(parametros!$A$2:$A$6,MATCH(C563,parametros!$B$2:$B$6,0)),"")&lt;&gt;"Sim","Nao",IF(IFERROR(INDEX(parametros!$H$2:$H$6,MATCH(C563,parametros!$B$2:$B$6,0)),"")="","",IF(B563&gt;=IFERROR(INDEX(parametros!$H$2:$H$6,MATCH(C563,parametros!$B$2:$B$6,0)),""),"Sim","Nao"))))))</f>
        <v/>
      </c>
      <c r="T563" s="156"/>
      <c r="U563" s="214" t="str">
        <f t="shared" si="46"/>
        <v/>
      </c>
      <c r="V563" s="212" t="s">
        <v>50</v>
      </c>
      <c r="W563" s="100" t="s">
        <v>168</v>
      </c>
      <c r="X563" s="100" t="s">
        <v>169</v>
      </c>
      <c r="Y563" s="101" t="s">
        <v>170</v>
      </c>
      <c r="Z563" s="101" t="s">
        <v>171</v>
      </c>
      <c r="AA563" s="101" t="s">
        <v>50</v>
      </c>
      <c r="AB563" s="101" t="s">
        <v>172</v>
      </c>
      <c r="AC563" s="102" t="s">
        <v>173</v>
      </c>
    </row>
    <row r="564" spans="1:29" ht="25.5" customHeight="1" x14ac:dyDescent="0.35">
      <c r="A564" s="392"/>
      <c r="B564" s="393"/>
      <c r="C564" s="99" t="str">
        <f>IF(B564="","",IF(NOT(ISNUMBER(B564)),"DATA_PC invalida",IF(NOT(ISNUMBER(parametros!$C$2)),"Fora dos ciclos",IF(OR(B564&lt;parametros!$C$2,(YEAR(B564)-YEAR(parametros!$C$2))*12+MONTH(B564)-MONTH(parametros!$C$2)&gt;59),"Fora dos ciclos","C"&amp;INT(((YEAR(B564)-YEAR(parametros!$C$2))*12+MONTH(B564)-MONTH(parametros!$C$2))/12)))))</f>
        <v/>
      </c>
      <c r="D564" s="394"/>
      <c r="E564" s="78" t="str">
        <f>IF(C564="","",IFERROR(VLOOKUP(C564,parametros!$A$11:$E$15,5,0),""))</f>
        <v/>
      </c>
      <c r="F564" s="79" t="str">
        <f t="shared" si="42"/>
        <v/>
      </c>
      <c r="G564" s="395"/>
      <c r="H564" s="91">
        <f t="shared" si="43"/>
        <v>0</v>
      </c>
      <c r="I564" s="91" t="str">
        <f t="shared" si="44"/>
        <v/>
      </c>
      <c r="J564" s="91" t="str">
        <f t="shared" si="45"/>
        <v/>
      </c>
      <c r="K564" s="92" t="str">
        <f>IF(AND(A564="",B564="",D564="",G564=""),"",IF(AND(A564&lt;&gt;"",COUNTIF($A$2:$A$5001,A564)&gt;1),"NUMERO_PC duplicado",IF(B564="","DATA_PC vazia",IF(NOT(ISNUMBER(B564)),"DATA_PC invalida",IF(OR(C564="",C564="Fora dos ciclos"),"CICLO_PC nao identificado",IF(OR(D564="",D564=0),"VALOR_PC vazio ou zero",IF(AND(G564&lt;&gt;"Sim",G564&lt;&gt;"Nao",G564&lt;&gt;""),"PC_PAGO_A_CONTRATADA invalido",IF(AND(C564&lt;&gt;"C0",IFERROR(INDEX(parametros!$A$2:$A$6,MATCH(C564,parametros!$B$2:$B$6,0)),"")="Sim",IFERROR(INDEX(parametros!$H$2:$H$6,MATCH(C564,parametros!$B$2:$B$6,0)),"")=""),"INICIO_EFEITO ausente: PC "&amp;A564&amp;" - "&amp;C564,IF(L564="","EFEITO_PC nao calculado: PC "&amp;A564&amp;" - "&amp;C564,"OK")))))))))</f>
        <v/>
      </c>
      <c r="L564" s="92" t="str">
        <f>IF(AND(A564="",B564="",D564="",G564=""),"",IF(OR(B564="",NOT(ISNUMBER(B564)),C564="",C564="Fora dos ciclos"),"",IF(C564="C0","Nao",IF(IFERROR(INDEX(parametros!$A$2:$A$6,MATCH(C564,parametros!$B$2:$B$6,0)),"")&lt;&gt;"Sim","Nao",IF(IFERROR(INDEX(parametros!$H$2:$H$6,MATCH(C564,parametros!$B$2:$B$6,0)),"")="","",IF(B564&gt;=IFERROR(INDEX(parametros!$H$2:$H$6,MATCH(C564,parametros!$B$2:$B$6,0)),""),"Sim","Nao"))))))</f>
        <v/>
      </c>
      <c r="T564" s="156"/>
      <c r="U564" s="214" t="str">
        <f t="shared" si="46"/>
        <v/>
      </c>
      <c r="V564" s="212" t="s">
        <v>50</v>
      </c>
      <c r="W564" s="100" t="s">
        <v>168</v>
      </c>
      <c r="X564" s="100" t="s">
        <v>169</v>
      </c>
      <c r="Y564" s="101" t="s">
        <v>170</v>
      </c>
      <c r="Z564" s="101" t="s">
        <v>171</v>
      </c>
      <c r="AA564" s="101" t="s">
        <v>50</v>
      </c>
      <c r="AB564" s="101" t="s">
        <v>172</v>
      </c>
      <c r="AC564" s="102" t="s">
        <v>173</v>
      </c>
    </row>
    <row r="565" spans="1:29" ht="25.5" customHeight="1" x14ac:dyDescent="0.35">
      <c r="A565" s="392"/>
      <c r="B565" s="393"/>
      <c r="C565" s="99" t="str">
        <f>IF(B565="","",IF(NOT(ISNUMBER(B565)),"DATA_PC invalida",IF(NOT(ISNUMBER(parametros!$C$2)),"Fora dos ciclos",IF(OR(B565&lt;parametros!$C$2,(YEAR(B565)-YEAR(parametros!$C$2))*12+MONTH(B565)-MONTH(parametros!$C$2)&gt;59),"Fora dos ciclos","C"&amp;INT(((YEAR(B565)-YEAR(parametros!$C$2))*12+MONTH(B565)-MONTH(parametros!$C$2))/12)))))</f>
        <v/>
      </c>
      <c r="D565" s="394"/>
      <c r="E565" s="78" t="str">
        <f>IF(C565="","",IFERROR(VLOOKUP(C565,parametros!$A$11:$E$15,5,0),""))</f>
        <v/>
      </c>
      <c r="F565" s="79" t="str">
        <f t="shared" si="42"/>
        <v/>
      </c>
      <c r="G565" s="395"/>
      <c r="H565" s="91">
        <f t="shared" si="43"/>
        <v>0</v>
      </c>
      <c r="I565" s="91" t="str">
        <f t="shared" si="44"/>
        <v/>
      </c>
      <c r="J565" s="91" t="str">
        <f t="shared" si="45"/>
        <v/>
      </c>
      <c r="K565" s="92" t="str">
        <f>IF(AND(A565="",B565="",D565="",G565=""),"",IF(AND(A565&lt;&gt;"",COUNTIF($A$2:$A$5001,A565)&gt;1),"NUMERO_PC duplicado",IF(B565="","DATA_PC vazia",IF(NOT(ISNUMBER(B565)),"DATA_PC invalida",IF(OR(C565="",C565="Fora dos ciclos"),"CICLO_PC nao identificado",IF(OR(D565="",D565=0),"VALOR_PC vazio ou zero",IF(AND(G565&lt;&gt;"Sim",G565&lt;&gt;"Nao",G565&lt;&gt;""),"PC_PAGO_A_CONTRATADA invalido",IF(AND(C565&lt;&gt;"C0",IFERROR(INDEX(parametros!$A$2:$A$6,MATCH(C565,parametros!$B$2:$B$6,0)),"")="Sim",IFERROR(INDEX(parametros!$H$2:$H$6,MATCH(C565,parametros!$B$2:$B$6,0)),"")=""),"INICIO_EFEITO ausente: PC "&amp;A565&amp;" - "&amp;C565,IF(L565="","EFEITO_PC nao calculado: PC "&amp;A565&amp;" - "&amp;C565,"OK")))))))))</f>
        <v/>
      </c>
      <c r="L565" s="92" t="str">
        <f>IF(AND(A565="",B565="",D565="",G565=""),"",IF(OR(B565="",NOT(ISNUMBER(B565)),C565="",C565="Fora dos ciclos"),"",IF(C565="C0","Nao",IF(IFERROR(INDEX(parametros!$A$2:$A$6,MATCH(C565,parametros!$B$2:$B$6,0)),"")&lt;&gt;"Sim","Nao",IF(IFERROR(INDEX(parametros!$H$2:$H$6,MATCH(C565,parametros!$B$2:$B$6,0)),"")="","",IF(B565&gt;=IFERROR(INDEX(parametros!$H$2:$H$6,MATCH(C565,parametros!$B$2:$B$6,0)),""),"Sim","Nao"))))))</f>
        <v/>
      </c>
      <c r="T565" s="156"/>
      <c r="U565" s="214" t="str">
        <f t="shared" si="46"/>
        <v/>
      </c>
      <c r="V565" s="212" t="s">
        <v>50</v>
      </c>
      <c r="W565" s="100" t="s">
        <v>168</v>
      </c>
      <c r="X565" s="100" t="s">
        <v>169</v>
      </c>
      <c r="Y565" s="101" t="s">
        <v>170</v>
      </c>
      <c r="Z565" s="101" t="s">
        <v>171</v>
      </c>
      <c r="AA565" s="101" t="s">
        <v>50</v>
      </c>
      <c r="AB565" s="101" t="s">
        <v>172</v>
      </c>
      <c r="AC565" s="102" t="s">
        <v>173</v>
      </c>
    </row>
    <row r="566" spans="1:29" ht="25.5" customHeight="1" x14ac:dyDescent="0.35">
      <c r="A566" s="392"/>
      <c r="B566" s="393"/>
      <c r="C566" s="99" t="str">
        <f>IF(B566="","",IF(NOT(ISNUMBER(B566)),"DATA_PC invalida",IF(NOT(ISNUMBER(parametros!$C$2)),"Fora dos ciclos",IF(OR(B566&lt;parametros!$C$2,(YEAR(B566)-YEAR(parametros!$C$2))*12+MONTH(B566)-MONTH(parametros!$C$2)&gt;59),"Fora dos ciclos","C"&amp;INT(((YEAR(B566)-YEAR(parametros!$C$2))*12+MONTH(B566)-MONTH(parametros!$C$2))/12)))))</f>
        <v/>
      </c>
      <c r="D566" s="394"/>
      <c r="E566" s="78" t="str">
        <f>IF(C566="","",IFERROR(VLOOKUP(C566,parametros!$A$11:$E$15,5,0),""))</f>
        <v/>
      </c>
      <c r="F566" s="79" t="str">
        <f t="shared" si="42"/>
        <v/>
      </c>
      <c r="G566" s="395"/>
      <c r="H566" s="91">
        <f t="shared" si="43"/>
        <v>0</v>
      </c>
      <c r="I566" s="91" t="str">
        <f t="shared" si="44"/>
        <v/>
      </c>
      <c r="J566" s="91" t="str">
        <f t="shared" si="45"/>
        <v/>
      </c>
      <c r="K566" s="92" t="str">
        <f>IF(AND(A566="",B566="",D566="",G566=""),"",IF(AND(A566&lt;&gt;"",COUNTIF($A$2:$A$5001,A566)&gt;1),"NUMERO_PC duplicado",IF(B566="","DATA_PC vazia",IF(NOT(ISNUMBER(B566)),"DATA_PC invalida",IF(OR(C566="",C566="Fora dos ciclos"),"CICLO_PC nao identificado",IF(OR(D566="",D566=0),"VALOR_PC vazio ou zero",IF(AND(G566&lt;&gt;"Sim",G566&lt;&gt;"Nao",G566&lt;&gt;""),"PC_PAGO_A_CONTRATADA invalido",IF(AND(C566&lt;&gt;"C0",IFERROR(INDEX(parametros!$A$2:$A$6,MATCH(C566,parametros!$B$2:$B$6,0)),"")="Sim",IFERROR(INDEX(parametros!$H$2:$H$6,MATCH(C566,parametros!$B$2:$B$6,0)),"")=""),"INICIO_EFEITO ausente: PC "&amp;A566&amp;" - "&amp;C566,IF(L566="","EFEITO_PC nao calculado: PC "&amp;A566&amp;" - "&amp;C566,"OK")))))))))</f>
        <v/>
      </c>
      <c r="L566" s="92" t="str">
        <f>IF(AND(A566="",B566="",D566="",G566=""),"",IF(OR(B566="",NOT(ISNUMBER(B566)),C566="",C566="Fora dos ciclos"),"",IF(C566="C0","Nao",IF(IFERROR(INDEX(parametros!$A$2:$A$6,MATCH(C566,parametros!$B$2:$B$6,0)),"")&lt;&gt;"Sim","Nao",IF(IFERROR(INDEX(parametros!$H$2:$H$6,MATCH(C566,parametros!$B$2:$B$6,0)),"")="","",IF(B566&gt;=IFERROR(INDEX(parametros!$H$2:$H$6,MATCH(C566,parametros!$B$2:$B$6,0)),""),"Sim","Nao"))))))</f>
        <v/>
      </c>
      <c r="T566" s="156"/>
      <c r="U566" s="214" t="str">
        <f t="shared" si="46"/>
        <v/>
      </c>
      <c r="V566" s="212" t="s">
        <v>50</v>
      </c>
      <c r="W566" s="100" t="s">
        <v>168</v>
      </c>
      <c r="X566" s="100" t="s">
        <v>169</v>
      </c>
      <c r="Y566" s="101" t="s">
        <v>170</v>
      </c>
      <c r="Z566" s="101" t="s">
        <v>171</v>
      </c>
      <c r="AA566" s="101" t="s">
        <v>50</v>
      </c>
      <c r="AB566" s="101" t="s">
        <v>172</v>
      </c>
      <c r="AC566" s="102" t="s">
        <v>173</v>
      </c>
    </row>
    <row r="567" spans="1:29" ht="25.5" customHeight="1" x14ac:dyDescent="0.35">
      <c r="A567" s="392"/>
      <c r="B567" s="393"/>
      <c r="C567" s="99" t="str">
        <f>IF(B567="","",IF(NOT(ISNUMBER(B567)),"DATA_PC invalida",IF(NOT(ISNUMBER(parametros!$C$2)),"Fora dos ciclos",IF(OR(B567&lt;parametros!$C$2,(YEAR(B567)-YEAR(parametros!$C$2))*12+MONTH(B567)-MONTH(parametros!$C$2)&gt;59),"Fora dos ciclos","C"&amp;INT(((YEAR(B567)-YEAR(parametros!$C$2))*12+MONTH(B567)-MONTH(parametros!$C$2))/12)))))</f>
        <v/>
      </c>
      <c r="D567" s="394"/>
      <c r="E567" s="78" t="str">
        <f>IF(C567="","",IFERROR(VLOOKUP(C567,parametros!$A$11:$E$15,5,0),""))</f>
        <v/>
      </c>
      <c r="F567" s="79" t="str">
        <f t="shared" si="42"/>
        <v/>
      </c>
      <c r="G567" s="395"/>
      <c r="H567" s="91">
        <f t="shared" si="43"/>
        <v>0</v>
      </c>
      <c r="I567" s="91" t="str">
        <f t="shared" si="44"/>
        <v/>
      </c>
      <c r="J567" s="91" t="str">
        <f t="shared" si="45"/>
        <v/>
      </c>
      <c r="K567" s="92" t="str">
        <f>IF(AND(A567="",B567="",D567="",G567=""),"",IF(AND(A567&lt;&gt;"",COUNTIF($A$2:$A$5001,A567)&gt;1),"NUMERO_PC duplicado",IF(B567="","DATA_PC vazia",IF(NOT(ISNUMBER(B567)),"DATA_PC invalida",IF(OR(C567="",C567="Fora dos ciclos"),"CICLO_PC nao identificado",IF(OR(D567="",D567=0),"VALOR_PC vazio ou zero",IF(AND(G567&lt;&gt;"Sim",G567&lt;&gt;"Nao",G567&lt;&gt;""),"PC_PAGO_A_CONTRATADA invalido",IF(AND(C567&lt;&gt;"C0",IFERROR(INDEX(parametros!$A$2:$A$6,MATCH(C567,parametros!$B$2:$B$6,0)),"")="Sim",IFERROR(INDEX(parametros!$H$2:$H$6,MATCH(C567,parametros!$B$2:$B$6,0)),"")=""),"INICIO_EFEITO ausente: PC "&amp;A567&amp;" - "&amp;C567,IF(L567="","EFEITO_PC nao calculado: PC "&amp;A567&amp;" - "&amp;C567,"OK")))))))))</f>
        <v/>
      </c>
      <c r="L567" s="92" t="str">
        <f>IF(AND(A567="",B567="",D567="",G567=""),"",IF(OR(B567="",NOT(ISNUMBER(B567)),C567="",C567="Fora dos ciclos"),"",IF(C567="C0","Nao",IF(IFERROR(INDEX(parametros!$A$2:$A$6,MATCH(C567,parametros!$B$2:$B$6,0)),"")&lt;&gt;"Sim","Nao",IF(IFERROR(INDEX(parametros!$H$2:$H$6,MATCH(C567,parametros!$B$2:$B$6,0)),"")="","",IF(B567&gt;=IFERROR(INDEX(parametros!$H$2:$H$6,MATCH(C567,parametros!$B$2:$B$6,0)),""),"Sim","Nao"))))))</f>
        <v/>
      </c>
      <c r="T567" s="156"/>
      <c r="U567" s="214" t="str">
        <f t="shared" si="46"/>
        <v/>
      </c>
      <c r="V567" s="212" t="s">
        <v>50</v>
      </c>
      <c r="W567" s="100" t="s">
        <v>168</v>
      </c>
      <c r="X567" s="100" t="s">
        <v>169</v>
      </c>
      <c r="Y567" s="101" t="s">
        <v>170</v>
      </c>
      <c r="Z567" s="101" t="s">
        <v>171</v>
      </c>
      <c r="AA567" s="101" t="s">
        <v>50</v>
      </c>
      <c r="AB567" s="101" t="s">
        <v>172</v>
      </c>
      <c r="AC567" s="102" t="s">
        <v>173</v>
      </c>
    </row>
    <row r="568" spans="1:29" ht="25.5" customHeight="1" x14ac:dyDescent="0.35">
      <c r="A568" s="392"/>
      <c r="B568" s="393"/>
      <c r="C568" s="99" t="str">
        <f>IF(B568="","",IF(NOT(ISNUMBER(B568)),"DATA_PC invalida",IF(NOT(ISNUMBER(parametros!$C$2)),"Fora dos ciclos",IF(OR(B568&lt;parametros!$C$2,(YEAR(B568)-YEAR(parametros!$C$2))*12+MONTH(B568)-MONTH(parametros!$C$2)&gt;59),"Fora dos ciclos","C"&amp;INT(((YEAR(B568)-YEAR(parametros!$C$2))*12+MONTH(B568)-MONTH(parametros!$C$2))/12)))))</f>
        <v/>
      </c>
      <c r="D568" s="394"/>
      <c r="E568" s="78" t="str">
        <f>IF(C568="","",IFERROR(VLOOKUP(C568,parametros!$A$11:$E$15,5,0),""))</f>
        <v/>
      </c>
      <c r="F568" s="79" t="str">
        <f t="shared" si="42"/>
        <v/>
      </c>
      <c r="G568" s="395"/>
      <c r="H568" s="91">
        <f t="shared" si="43"/>
        <v>0</v>
      </c>
      <c r="I568" s="91" t="str">
        <f t="shared" si="44"/>
        <v/>
      </c>
      <c r="J568" s="91" t="str">
        <f t="shared" si="45"/>
        <v/>
      </c>
      <c r="K568" s="92" t="str">
        <f>IF(AND(A568="",B568="",D568="",G568=""),"",IF(AND(A568&lt;&gt;"",COUNTIF($A$2:$A$5001,A568)&gt;1),"NUMERO_PC duplicado",IF(B568="","DATA_PC vazia",IF(NOT(ISNUMBER(B568)),"DATA_PC invalida",IF(OR(C568="",C568="Fora dos ciclos"),"CICLO_PC nao identificado",IF(OR(D568="",D568=0),"VALOR_PC vazio ou zero",IF(AND(G568&lt;&gt;"Sim",G568&lt;&gt;"Nao",G568&lt;&gt;""),"PC_PAGO_A_CONTRATADA invalido",IF(AND(C568&lt;&gt;"C0",IFERROR(INDEX(parametros!$A$2:$A$6,MATCH(C568,parametros!$B$2:$B$6,0)),"")="Sim",IFERROR(INDEX(parametros!$H$2:$H$6,MATCH(C568,parametros!$B$2:$B$6,0)),"")=""),"INICIO_EFEITO ausente: PC "&amp;A568&amp;" - "&amp;C568,IF(L568="","EFEITO_PC nao calculado: PC "&amp;A568&amp;" - "&amp;C568,"OK")))))))))</f>
        <v/>
      </c>
      <c r="L568" s="92" t="str">
        <f>IF(AND(A568="",B568="",D568="",G568=""),"",IF(OR(B568="",NOT(ISNUMBER(B568)),C568="",C568="Fora dos ciclos"),"",IF(C568="C0","Nao",IF(IFERROR(INDEX(parametros!$A$2:$A$6,MATCH(C568,parametros!$B$2:$B$6,0)),"")&lt;&gt;"Sim","Nao",IF(IFERROR(INDEX(parametros!$H$2:$H$6,MATCH(C568,parametros!$B$2:$B$6,0)),"")="","",IF(B568&gt;=IFERROR(INDEX(parametros!$H$2:$H$6,MATCH(C568,parametros!$B$2:$B$6,0)),""),"Sim","Nao"))))))</f>
        <v/>
      </c>
      <c r="T568" s="156"/>
      <c r="U568" s="214" t="str">
        <f t="shared" si="46"/>
        <v/>
      </c>
      <c r="V568" s="212" t="s">
        <v>50</v>
      </c>
      <c r="W568" s="100" t="s">
        <v>168</v>
      </c>
      <c r="X568" s="100" t="s">
        <v>169</v>
      </c>
      <c r="Y568" s="101" t="s">
        <v>170</v>
      </c>
      <c r="Z568" s="101" t="s">
        <v>171</v>
      </c>
      <c r="AA568" s="101" t="s">
        <v>50</v>
      </c>
      <c r="AB568" s="101" t="s">
        <v>172</v>
      </c>
      <c r="AC568" s="102" t="s">
        <v>173</v>
      </c>
    </row>
    <row r="569" spans="1:29" ht="25.5" customHeight="1" x14ac:dyDescent="0.35">
      <c r="A569" s="392"/>
      <c r="B569" s="393"/>
      <c r="C569" s="99" t="str">
        <f>IF(B569="","",IF(NOT(ISNUMBER(B569)),"DATA_PC invalida",IF(NOT(ISNUMBER(parametros!$C$2)),"Fora dos ciclos",IF(OR(B569&lt;parametros!$C$2,(YEAR(B569)-YEAR(parametros!$C$2))*12+MONTH(B569)-MONTH(parametros!$C$2)&gt;59),"Fora dos ciclos","C"&amp;INT(((YEAR(B569)-YEAR(parametros!$C$2))*12+MONTH(B569)-MONTH(parametros!$C$2))/12)))))</f>
        <v/>
      </c>
      <c r="D569" s="394"/>
      <c r="E569" s="78" t="str">
        <f>IF(C569="","",IFERROR(VLOOKUP(C569,parametros!$A$11:$E$15,5,0),""))</f>
        <v/>
      </c>
      <c r="F569" s="79" t="str">
        <f t="shared" si="42"/>
        <v/>
      </c>
      <c r="G569" s="395"/>
      <c r="H569" s="91">
        <f t="shared" si="43"/>
        <v>0</v>
      </c>
      <c r="I569" s="91" t="str">
        <f t="shared" si="44"/>
        <v/>
      </c>
      <c r="J569" s="91" t="str">
        <f t="shared" si="45"/>
        <v/>
      </c>
      <c r="K569" s="92" t="str">
        <f>IF(AND(A569="",B569="",D569="",G569=""),"",IF(AND(A569&lt;&gt;"",COUNTIF($A$2:$A$5001,A569)&gt;1),"NUMERO_PC duplicado",IF(B569="","DATA_PC vazia",IF(NOT(ISNUMBER(B569)),"DATA_PC invalida",IF(OR(C569="",C569="Fora dos ciclos"),"CICLO_PC nao identificado",IF(OR(D569="",D569=0),"VALOR_PC vazio ou zero",IF(AND(G569&lt;&gt;"Sim",G569&lt;&gt;"Nao",G569&lt;&gt;""),"PC_PAGO_A_CONTRATADA invalido",IF(AND(C569&lt;&gt;"C0",IFERROR(INDEX(parametros!$A$2:$A$6,MATCH(C569,parametros!$B$2:$B$6,0)),"")="Sim",IFERROR(INDEX(parametros!$H$2:$H$6,MATCH(C569,parametros!$B$2:$B$6,0)),"")=""),"INICIO_EFEITO ausente: PC "&amp;A569&amp;" - "&amp;C569,IF(L569="","EFEITO_PC nao calculado: PC "&amp;A569&amp;" - "&amp;C569,"OK")))))))))</f>
        <v/>
      </c>
      <c r="L569" s="92" t="str">
        <f>IF(AND(A569="",B569="",D569="",G569=""),"",IF(OR(B569="",NOT(ISNUMBER(B569)),C569="",C569="Fora dos ciclos"),"",IF(C569="C0","Nao",IF(IFERROR(INDEX(parametros!$A$2:$A$6,MATCH(C569,parametros!$B$2:$B$6,0)),"")&lt;&gt;"Sim","Nao",IF(IFERROR(INDEX(parametros!$H$2:$H$6,MATCH(C569,parametros!$B$2:$B$6,0)),"")="","",IF(B569&gt;=IFERROR(INDEX(parametros!$H$2:$H$6,MATCH(C569,parametros!$B$2:$B$6,0)),""),"Sim","Nao"))))))</f>
        <v/>
      </c>
      <c r="T569" s="156"/>
      <c r="U569" s="214" t="str">
        <f t="shared" si="46"/>
        <v/>
      </c>
      <c r="V569" s="212" t="s">
        <v>50</v>
      </c>
      <c r="W569" s="100" t="s">
        <v>168</v>
      </c>
      <c r="X569" s="100" t="s">
        <v>169</v>
      </c>
      <c r="Y569" s="101" t="s">
        <v>170</v>
      </c>
      <c r="Z569" s="101" t="s">
        <v>171</v>
      </c>
      <c r="AA569" s="101" t="s">
        <v>50</v>
      </c>
      <c r="AB569" s="101" t="s">
        <v>172</v>
      </c>
      <c r="AC569" s="102" t="s">
        <v>173</v>
      </c>
    </row>
    <row r="570" spans="1:29" ht="25.5" customHeight="1" x14ac:dyDescent="0.35">
      <c r="A570" s="392"/>
      <c r="B570" s="393"/>
      <c r="C570" s="99" t="str">
        <f>IF(B570="","",IF(NOT(ISNUMBER(B570)),"DATA_PC invalida",IF(NOT(ISNUMBER(parametros!$C$2)),"Fora dos ciclos",IF(OR(B570&lt;parametros!$C$2,(YEAR(B570)-YEAR(parametros!$C$2))*12+MONTH(B570)-MONTH(parametros!$C$2)&gt;59),"Fora dos ciclos","C"&amp;INT(((YEAR(B570)-YEAR(parametros!$C$2))*12+MONTH(B570)-MONTH(parametros!$C$2))/12)))))</f>
        <v/>
      </c>
      <c r="D570" s="394"/>
      <c r="E570" s="78" t="str">
        <f>IF(C570="","",IFERROR(VLOOKUP(C570,parametros!$A$11:$E$15,5,0),""))</f>
        <v/>
      </c>
      <c r="F570" s="79" t="str">
        <f t="shared" si="42"/>
        <v/>
      </c>
      <c r="G570" s="395"/>
      <c r="H570" s="91">
        <f t="shared" si="43"/>
        <v>0</v>
      </c>
      <c r="I570" s="91" t="str">
        <f t="shared" si="44"/>
        <v/>
      </c>
      <c r="J570" s="91" t="str">
        <f t="shared" si="45"/>
        <v/>
      </c>
      <c r="K570" s="92" t="str">
        <f>IF(AND(A570="",B570="",D570="",G570=""),"",IF(AND(A570&lt;&gt;"",COUNTIF($A$2:$A$5001,A570)&gt;1),"NUMERO_PC duplicado",IF(B570="","DATA_PC vazia",IF(NOT(ISNUMBER(B570)),"DATA_PC invalida",IF(OR(C570="",C570="Fora dos ciclos"),"CICLO_PC nao identificado",IF(OR(D570="",D570=0),"VALOR_PC vazio ou zero",IF(AND(G570&lt;&gt;"Sim",G570&lt;&gt;"Nao",G570&lt;&gt;""),"PC_PAGO_A_CONTRATADA invalido",IF(AND(C570&lt;&gt;"C0",IFERROR(INDEX(parametros!$A$2:$A$6,MATCH(C570,parametros!$B$2:$B$6,0)),"")="Sim",IFERROR(INDEX(parametros!$H$2:$H$6,MATCH(C570,parametros!$B$2:$B$6,0)),"")=""),"INICIO_EFEITO ausente: PC "&amp;A570&amp;" - "&amp;C570,IF(L570="","EFEITO_PC nao calculado: PC "&amp;A570&amp;" - "&amp;C570,"OK")))))))))</f>
        <v/>
      </c>
      <c r="L570" s="92" t="str">
        <f>IF(AND(A570="",B570="",D570="",G570=""),"",IF(OR(B570="",NOT(ISNUMBER(B570)),C570="",C570="Fora dos ciclos"),"",IF(C570="C0","Nao",IF(IFERROR(INDEX(parametros!$A$2:$A$6,MATCH(C570,parametros!$B$2:$B$6,0)),"")&lt;&gt;"Sim","Nao",IF(IFERROR(INDEX(parametros!$H$2:$H$6,MATCH(C570,parametros!$B$2:$B$6,0)),"")="","",IF(B570&gt;=IFERROR(INDEX(parametros!$H$2:$H$6,MATCH(C570,parametros!$B$2:$B$6,0)),""),"Sim","Nao"))))))</f>
        <v/>
      </c>
      <c r="T570" s="156"/>
      <c r="U570" s="214" t="str">
        <f t="shared" si="46"/>
        <v/>
      </c>
      <c r="V570" s="212" t="s">
        <v>50</v>
      </c>
      <c r="W570" s="100" t="s">
        <v>168</v>
      </c>
      <c r="X570" s="100" t="s">
        <v>169</v>
      </c>
      <c r="Y570" s="101" t="s">
        <v>170</v>
      </c>
      <c r="Z570" s="101" t="s">
        <v>171</v>
      </c>
      <c r="AA570" s="101" t="s">
        <v>50</v>
      </c>
      <c r="AB570" s="101" t="s">
        <v>172</v>
      </c>
      <c r="AC570" s="102" t="s">
        <v>173</v>
      </c>
    </row>
    <row r="571" spans="1:29" ht="25.5" customHeight="1" x14ac:dyDescent="0.35">
      <c r="A571" s="392"/>
      <c r="B571" s="393"/>
      <c r="C571" s="99" t="str">
        <f>IF(B571="","",IF(NOT(ISNUMBER(B571)),"DATA_PC invalida",IF(NOT(ISNUMBER(parametros!$C$2)),"Fora dos ciclos",IF(OR(B571&lt;parametros!$C$2,(YEAR(B571)-YEAR(parametros!$C$2))*12+MONTH(B571)-MONTH(parametros!$C$2)&gt;59),"Fora dos ciclos","C"&amp;INT(((YEAR(B571)-YEAR(parametros!$C$2))*12+MONTH(B571)-MONTH(parametros!$C$2))/12)))))</f>
        <v/>
      </c>
      <c r="D571" s="394"/>
      <c r="E571" s="78" t="str">
        <f>IF(C571="","",IFERROR(VLOOKUP(C571,parametros!$A$11:$E$15,5,0),""))</f>
        <v/>
      </c>
      <c r="F571" s="79" t="str">
        <f t="shared" si="42"/>
        <v/>
      </c>
      <c r="G571" s="395"/>
      <c r="H571" s="91">
        <f t="shared" si="43"/>
        <v>0</v>
      </c>
      <c r="I571" s="91" t="str">
        <f t="shared" si="44"/>
        <v/>
      </c>
      <c r="J571" s="91" t="str">
        <f t="shared" si="45"/>
        <v/>
      </c>
      <c r="K571" s="92" t="str">
        <f>IF(AND(A571="",B571="",D571="",G571=""),"",IF(AND(A571&lt;&gt;"",COUNTIF($A$2:$A$5001,A571)&gt;1),"NUMERO_PC duplicado",IF(B571="","DATA_PC vazia",IF(NOT(ISNUMBER(B571)),"DATA_PC invalida",IF(OR(C571="",C571="Fora dos ciclos"),"CICLO_PC nao identificado",IF(OR(D571="",D571=0),"VALOR_PC vazio ou zero",IF(AND(G571&lt;&gt;"Sim",G571&lt;&gt;"Nao",G571&lt;&gt;""),"PC_PAGO_A_CONTRATADA invalido",IF(AND(C571&lt;&gt;"C0",IFERROR(INDEX(parametros!$A$2:$A$6,MATCH(C571,parametros!$B$2:$B$6,0)),"")="Sim",IFERROR(INDEX(parametros!$H$2:$H$6,MATCH(C571,parametros!$B$2:$B$6,0)),"")=""),"INICIO_EFEITO ausente: PC "&amp;A571&amp;" - "&amp;C571,IF(L571="","EFEITO_PC nao calculado: PC "&amp;A571&amp;" - "&amp;C571,"OK")))))))))</f>
        <v/>
      </c>
      <c r="L571" s="92" t="str">
        <f>IF(AND(A571="",B571="",D571="",G571=""),"",IF(OR(B571="",NOT(ISNUMBER(B571)),C571="",C571="Fora dos ciclos"),"",IF(C571="C0","Nao",IF(IFERROR(INDEX(parametros!$A$2:$A$6,MATCH(C571,parametros!$B$2:$B$6,0)),"")&lt;&gt;"Sim","Nao",IF(IFERROR(INDEX(parametros!$H$2:$H$6,MATCH(C571,parametros!$B$2:$B$6,0)),"")="","",IF(B571&gt;=IFERROR(INDEX(parametros!$H$2:$H$6,MATCH(C571,parametros!$B$2:$B$6,0)),""),"Sim","Nao"))))))</f>
        <v/>
      </c>
      <c r="T571" s="156"/>
      <c r="U571" s="214" t="str">
        <f t="shared" si="46"/>
        <v/>
      </c>
      <c r="V571" s="212" t="s">
        <v>50</v>
      </c>
      <c r="W571" s="100" t="s">
        <v>168</v>
      </c>
      <c r="X571" s="100" t="s">
        <v>169</v>
      </c>
      <c r="Y571" s="101" t="s">
        <v>170</v>
      </c>
      <c r="Z571" s="101" t="s">
        <v>171</v>
      </c>
      <c r="AA571" s="101" t="s">
        <v>50</v>
      </c>
      <c r="AB571" s="101" t="s">
        <v>172</v>
      </c>
      <c r="AC571" s="102" t="s">
        <v>173</v>
      </c>
    </row>
    <row r="572" spans="1:29" ht="25.5" customHeight="1" x14ac:dyDescent="0.35">
      <c r="A572" s="392"/>
      <c r="B572" s="393"/>
      <c r="C572" s="99" t="str">
        <f>IF(B572="","",IF(NOT(ISNUMBER(B572)),"DATA_PC invalida",IF(NOT(ISNUMBER(parametros!$C$2)),"Fora dos ciclos",IF(OR(B572&lt;parametros!$C$2,(YEAR(B572)-YEAR(parametros!$C$2))*12+MONTH(B572)-MONTH(parametros!$C$2)&gt;59),"Fora dos ciclos","C"&amp;INT(((YEAR(B572)-YEAR(parametros!$C$2))*12+MONTH(B572)-MONTH(parametros!$C$2))/12)))))</f>
        <v/>
      </c>
      <c r="D572" s="394"/>
      <c r="E572" s="78" t="str">
        <f>IF(C572="","",IFERROR(VLOOKUP(C572,parametros!$A$11:$E$15,5,0),""))</f>
        <v/>
      </c>
      <c r="F572" s="79" t="str">
        <f t="shared" si="42"/>
        <v/>
      </c>
      <c r="G572" s="395"/>
      <c r="H572" s="91">
        <f t="shared" si="43"/>
        <v>0</v>
      </c>
      <c r="I572" s="91" t="str">
        <f t="shared" si="44"/>
        <v/>
      </c>
      <c r="J572" s="91" t="str">
        <f t="shared" si="45"/>
        <v/>
      </c>
      <c r="K572" s="92" t="str">
        <f>IF(AND(A572="",B572="",D572="",G572=""),"",IF(AND(A572&lt;&gt;"",COUNTIF($A$2:$A$5001,A572)&gt;1),"NUMERO_PC duplicado",IF(B572="","DATA_PC vazia",IF(NOT(ISNUMBER(B572)),"DATA_PC invalida",IF(OR(C572="",C572="Fora dos ciclos"),"CICLO_PC nao identificado",IF(OR(D572="",D572=0),"VALOR_PC vazio ou zero",IF(AND(G572&lt;&gt;"Sim",G572&lt;&gt;"Nao",G572&lt;&gt;""),"PC_PAGO_A_CONTRATADA invalido",IF(AND(C572&lt;&gt;"C0",IFERROR(INDEX(parametros!$A$2:$A$6,MATCH(C572,parametros!$B$2:$B$6,0)),"")="Sim",IFERROR(INDEX(parametros!$H$2:$H$6,MATCH(C572,parametros!$B$2:$B$6,0)),"")=""),"INICIO_EFEITO ausente: PC "&amp;A572&amp;" - "&amp;C572,IF(L572="","EFEITO_PC nao calculado: PC "&amp;A572&amp;" - "&amp;C572,"OK")))))))))</f>
        <v/>
      </c>
      <c r="L572" s="92" t="str">
        <f>IF(AND(A572="",B572="",D572="",G572=""),"",IF(OR(B572="",NOT(ISNUMBER(B572)),C572="",C572="Fora dos ciclos"),"",IF(C572="C0","Nao",IF(IFERROR(INDEX(parametros!$A$2:$A$6,MATCH(C572,parametros!$B$2:$B$6,0)),"")&lt;&gt;"Sim","Nao",IF(IFERROR(INDEX(parametros!$H$2:$H$6,MATCH(C572,parametros!$B$2:$B$6,0)),"")="","",IF(B572&gt;=IFERROR(INDEX(parametros!$H$2:$H$6,MATCH(C572,parametros!$B$2:$B$6,0)),""),"Sim","Nao"))))))</f>
        <v/>
      </c>
      <c r="T572" s="156"/>
      <c r="U572" s="214" t="str">
        <f t="shared" si="46"/>
        <v/>
      </c>
      <c r="V572" s="212" t="s">
        <v>50</v>
      </c>
      <c r="W572" s="100" t="s">
        <v>168</v>
      </c>
      <c r="X572" s="100" t="s">
        <v>169</v>
      </c>
      <c r="Y572" s="101" t="s">
        <v>170</v>
      </c>
      <c r="Z572" s="101" t="s">
        <v>171</v>
      </c>
      <c r="AA572" s="101" t="s">
        <v>50</v>
      </c>
      <c r="AB572" s="101" t="s">
        <v>172</v>
      </c>
      <c r="AC572" s="102" t="s">
        <v>173</v>
      </c>
    </row>
    <row r="573" spans="1:29" ht="25.5" customHeight="1" x14ac:dyDescent="0.35">
      <c r="A573" s="392"/>
      <c r="B573" s="393"/>
      <c r="C573" s="99" t="str">
        <f>IF(B573="","",IF(NOT(ISNUMBER(B573)),"DATA_PC invalida",IF(NOT(ISNUMBER(parametros!$C$2)),"Fora dos ciclos",IF(OR(B573&lt;parametros!$C$2,(YEAR(B573)-YEAR(parametros!$C$2))*12+MONTH(B573)-MONTH(parametros!$C$2)&gt;59),"Fora dos ciclos","C"&amp;INT(((YEAR(B573)-YEAR(parametros!$C$2))*12+MONTH(B573)-MONTH(parametros!$C$2))/12)))))</f>
        <v/>
      </c>
      <c r="D573" s="394"/>
      <c r="E573" s="78" t="str">
        <f>IF(C573="","",IFERROR(VLOOKUP(C573,parametros!$A$11:$E$15,5,0),""))</f>
        <v/>
      </c>
      <c r="F573" s="79" t="str">
        <f t="shared" si="42"/>
        <v/>
      </c>
      <c r="G573" s="395"/>
      <c r="H573" s="91">
        <f t="shared" si="43"/>
        <v>0</v>
      </c>
      <c r="I573" s="91" t="str">
        <f t="shared" si="44"/>
        <v/>
      </c>
      <c r="J573" s="91" t="str">
        <f t="shared" si="45"/>
        <v/>
      </c>
      <c r="K573" s="92" t="str">
        <f>IF(AND(A573="",B573="",D573="",G573=""),"",IF(AND(A573&lt;&gt;"",COUNTIF($A$2:$A$5001,A573)&gt;1),"NUMERO_PC duplicado",IF(B573="","DATA_PC vazia",IF(NOT(ISNUMBER(B573)),"DATA_PC invalida",IF(OR(C573="",C573="Fora dos ciclos"),"CICLO_PC nao identificado",IF(OR(D573="",D573=0),"VALOR_PC vazio ou zero",IF(AND(G573&lt;&gt;"Sim",G573&lt;&gt;"Nao",G573&lt;&gt;""),"PC_PAGO_A_CONTRATADA invalido",IF(AND(C573&lt;&gt;"C0",IFERROR(INDEX(parametros!$A$2:$A$6,MATCH(C573,parametros!$B$2:$B$6,0)),"")="Sim",IFERROR(INDEX(parametros!$H$2:$H$6,MATCH(C573,parametros!$B$2:$B$6,0)),"")=""),"INICIO_EFEITO ausente: PC "&amp;A573&amp;" - "&amp;C573,IF(L573="","EFEITO_PC nao calculado: PC "&amp;A573&amp;" - "&amp;C573,"OK")))))))))</f>
        <v/>
      </c>
      <c r="L573" s="92" t="str">
        <f>IF(AND(A573="",B573="",D573="",G573=""),"",IF(OR(B573="",NOT(ISNUMBER(B573)),C573="",C573="Fora dos ciclos"),"",IF(C573="C0","Nao",IF(IFERROR(INDEX(parametros!$A$2:$A$6,MATCH(C573,parametros!$B$2:$B$6,0)),"")&lt;&gt;"Sim","Nao",IF(IFERROR(INDEX(parametros!$H$2:$H$6,MATCH(C573,parametros!$B$2:$B$6,0)),"")="","",IF(B573&gt;=IFERROR(INDEX(parametros!$H$2:$H$6,MATCH(C573,parametros!$B$2:$B$6,0)),""),"Sim","Nao"))))))</f>
        <v/>
      </c>
      <c r="T573" s="156"/>
      <c r="U573" s="214" t="str">
        <f t="shared" si="46"/>
        <v/>
      </c>
      <c r="V573" s="212" t="s">
        <v>50</v>
      </c>
      <c r="W573" s="100" t="s">
        <v>168</v>
      </c>
      <c r="X573" s="100" t="s">
        <v>169</v>
      </c>
      <c r="Y573" s="101" t="s">
        <v>170</v>
      </c>
      <c r="Z573" s="101" t="s">
        <v>171</v>
      </c>
      <c r="AA573" s="101" t="s">
        <v>50</v>
      </c>
      <c r="AB573" s="101" t="s">
        <v>172</v>
      </c>
      <c r="AC573" s="102" t="s">
        <v>173</v>
      </c>
    </row>
    <row r="574" spans="1:29" ht="25.5" customHeight="1" x14ac:dyDescent="0.35">
      <c r="A574" s="392"/>
      <c r="B574" s="393"/>
      <c r="C574" s="99" t="str">
        <f>IF(B574="","",IF(NOT(ISNUMBER(B574)),"DATA_PC invalida",IF(NOT(ISNUMBER(parametros!$C$2)),"Fora dos ciclos",IF(OR(B574&lt;parametros!$C$2,(YEAR(B574)-YEAR(parametros!$C$2))*12+MONTH(B574)-MONTH(parametros!$C$2)&gt;59),"Fora dos ciclos","C"&amp;INT(((YEAR(B574)-YEAR(parametros!$C$2))*12+MONTH(B574)-MONTH(parametros!$C$2))/12)))))</f>
        <v/>
      </c>
      <c r="D574" s="394"/>
      <c r="E574" s="78" t="str">
        <f>IF(C574="","",IFERROR(VLOOKUP(C574,parametros!$A$11:$E$15,5,0),""))</f>
        <v/>
      </c>
      <c r="F574" s="79" t="str">
        <f t="shared" si="42"/>
        <v/>
      </c>
      <c r="G574" s="395"/>
      <c r="H574" s="91">
        <f t="shared" si="43"/>
        <v>0</v>
      </c>
      <c r="I574" s="91" t="str">
        <f t="shared" si="44"/>
        <v/>
      </c>
      <c r="J574" s="91" t="str">
        <f t="shared" si="45"/>
        <v/>
      </c>
      <c r="K574" s="92" t="str">
        <f>IF(AND(A574="",B574="",D574="",G574=""),"",IF(AND(A574&lt;&gt;"",COUNTIF($A$2:$A$5001,A574)&gt;1),"NUMERO_PC duplicado",IF(B574="","DATA_PC vazia",IF(NOT(ISNUMBER(B574)),"DATA_PC invalida",IF(OR(C574="",C574="Fora dos ciclos"),"CICLO_PC nao identificado",IF(OR(D574="",D574=0),"VALOR_PC vazio ou zero",IF(AND(G574&lt;&gt;"Sim",G574&lt;&gt;"Nao",G574&lt;&gt;""),"PC_PAGO_A_CONTRATADA invalido",IF(AND(C574&lt;&gt;"C0",IFERROR(INDEX(parametros!$A$2:$A$6,MATCH(C574,parametros!$B$2:$B$6,0)),"")="Sim",IFERROR(INDEX(parametros!$H$2:$H$6,MATCH(C574,parametros!$B$2:$B$6,0)),"")=""),"INICIO_EFEITO ausente: PC "&amp;A574&amp;" - "&amp;C574,IF(L574="","EFEITO_PC nao calculado: PC "&amp;A574&amp;" - "&amp;C574,"OK")))))))))</f>
        <v/>
      </c>
      <c r="L574" s="92" t="str">
        <f>IF(AND(A574="",B574="",D574="",G574=""),"",IF(OR(B574="",NOT(ISNUMBER(B574)),C574="",C574="Fora dos ciclos"),"",IF(C574="C0","Nao",IF(IFERROR(INDEX(parametros!$A$2:$A$6,MATCH(C574,parametros!$B$2:$B$6,0)),"")&lt;&gt;"Sim","Nao",IF(IFERROR(INDEX(parametros!$H$2:$H$6,MATCH(C574,parametros!$B$2:$B$6,0)),"")="","",IF(B574&gt;=IFERROR(INDEX(parametros!$H$2:$H$6,MATCH(C574,parametros!$B$2:$B$6,0)),""),"Sim","Nao"))))))</f>
        <v/>
      </c>
      <c r="T574" s="156"/>
      <c r="U574" s="214" t="str">
        <f t="shared" si="46"/>
        <v/>
      </c>
      <c r="V574" s="212" t="s">
        <v>50</v>
      </c>
      <c r="W574" s="100" t="s">
        <v>168</v>
      </c>
      <c r="X574" s="100" t="s">
        <v>169</v>
      </c>
      <c r="Y574" s="101" t="s">
        <v>170</v>
      </c>
      <c r="Z574" s="101" t="s">
        <v>171</v>
      </c>
      <c r="AA574" s="101" t="s">
        <v>50</v>
      </c>
      <c r="AB574" s="101" t="s">
        <v>172</v>
      </c>
      <c r="AC574" s="102" t="s">
        <v>173</v>
      </c>
    </row>
    <row r="575" spans="1:29" ht="25.5" customHeight="1" x14ac:dyDescent="0.35">
      <c r="A575" s="392"/>
      <c r="B575" s="393"/>
      <c r="C575" s="99" t="str">
        <f>IF(B575="","",IF(NOT(ISNUMBER(B575)),"DATA_PC invalida",IF(NOT(ISNUMBER(parametros!$C$2)),"Fora dos ciclos",IF(OR(B575&lt;parametros!$C$2,(YEAR(B575)-YEAR(parametros!$C$2))*12+MONTH(B575)-MONTH(parametros!$C$2)&gt;59),"Fora dos ciclos","C"&amp;INT(((YEAR(B575)-YEAR(parametros!$C$2))*12+MONTH(B575)-MONTH(parametros!$C$2))/12)))))</f>
        <v/>
      </c>
      <c r="D575" s="394"/>
      <c r="E575" s="78" t="str">
        <f>IF(C575="","",IFERROR(VLOOKUP(C575,parametros!$A$11:$E$15,5,0),""))</f>
        <v/>
      </c>
      <c r="F575" s="79" t="str">
        <f t="shared" si="42"/>
        <v/>
      </c>
      <c r="G575" s="395"/>
      <c r="H575" s="91">
        <f t="shared" si="43"/>
        <v>0</v>
      </c>
      <c r="I575" s="91" t="str">
        <f t="shared" si="44"/>
        <v/>
      </c>
      <c r="J575" s="91" t="str">
        <f t="shared" si="45"/>
        <v/>
      </c>
      <c r="K575" s="92" t="str">
        <f>IF(AND(A575="",B575="",D575="",G575=""),"",IF(AND(A575&lt;&gt;"",COUNTIF($A$2:$A$5001,A575)&gt;1),"NUMERO_PC duplicado",IF(B575="","DATA_PC vazia",IF(NOT(ISNUMBER(B575)),"DATA_PC invalida",IF(OR(C575="",C575="Fora dos ciclos"),"CICLO_PC nao identificado",IF(OR(D575="",D575=0),"VALOR_PC vazio ou zero",IF(AND(G575&lt;&gt;"Sim",G575&lt;&gt;"Nao",G575&lt;&gt;""),"PC_PAGO_A_CONTRATADA invalido",IF(AND(C575&lt;&gt;"C0",IFERROR(INDEX(parametros!$A$2:$A$6,MATCH(C575,parametros!$B$2:$B$6,0)),"")="Sim",IFERROR(INDEX(parametros!$H$2:$H$6,MATCH(C575,parametros!$B$2:$B$6,0)),"")=""),"INICIO_EFEITO ausente: PC "&amp;A575&amp;" - "&amp;C575,IF(L575="","EFEITO_PC nao calculado: PC "&amp;A575&amp;" - "&amp;C575,"OK")))))))))</f>
        <v/>
      </c>
      <c r="L575" s="92" t="str">
        <f>IF(AND(A575="",B575="",D575="",G575=""),"",IF(OR(B575="",NOT(ISNUMBER(B575)),C575="",C575="Fora dos ciclos"),"",IF(C575="C0","Nao",IF(IFERROR(INDEX(parametros!$A$2:$A$6,MATCH(C575,parametros!$B$2:$B$6,0)),"")&lt;&gt;"Sim","Nao",IF(IFERROR(INDEX(parametros!$H$2:$H$6,MATCH(C575,parametros!$B$2:$B$6,0)),"")="","",IF(B575&gt;=IFERROR(INDEX(parametros!$H$2:$H$6,MATCH(C575,parametros!$B$2:$B$6,0)),""),"Sim","Nao"))))))</f>
        <v/>
      </c>
      <c r="T575" s="156"/>
      <c r="U575" s="214" t="str">
        <f t="shared" si="46"/>
        <v/>
      </c>
      <c r="V575" s="212" t="s">
        <v>50</v>
      </c>
      <c r="W575" s="100" t="s">
        <v>168</v>
      </c>
      <c r="X575" s="100" t="s">
        <v>169</v>
      </c>
      <c r="Y575" s="101" t="s">
        <v>170</v>
      </c>
      <c r="Z575" s="101" t="s">
        <v>171</v>
      </c>
      <c r="AA575" s="101" t="s">
        <v>50</v>
      </c>
      <c r="AB575" s="101" t="s">
        <v>172</v>
      </c>
      <c r="AC575" s="102" t="s">
        <v>173</v>
      </c>
    </row>
    <row r="576" spans="1:29" ht="25.5" customHeight="1" x14ac:dyDescent="0.35">
      <c r="A576" s="392"/>
      <c r="B576" s="393"/>
      <c r="C576" s="99" t="str">
        <f>IF(B576="","",IF(NOT(ISNUMBER(B576)),"DATA_PC invalida",IF(NOT(ISNUMBER(parametros!$C$2)),"Fora dos ciclos",IF(OR(B576&lt;parametros!$C$2,(YEAR(B576)-YEAR(parametros!$C$2))*12+MONTH(B576)-MONTH(parametros!$C$2)&gt;59),"Fora dos ciclos","C"&amp;INT(((YEAR(B576)-YEAR(parametros!$C$2))*12+MONTH(B576)-MONTH(parametros!$C$2))/12)))))</f>
        <v/>
      </c>
      <c r="D576" s="394"/>
      <c r="E576" s="78" t="str">
        <f>IF(C576="","",IFERROR(VLOOKUP(C576,parametros!$A$11:$E$15,5,0),""))</f>
        <v/>
      </c>
      <c r="F576" s="79" t="str">
        <f t="shared" si="42"/>
        <v/>
      </c>
      <c r="G576" s="395"/>
      <c r="H576" s="91">
        <f t="shared" si="43"/>
        <v>0</v>
      </c>
      <c r="I576" s="91" t="str">
        <f t="shared" si="44"/>
        <v/>
      </c>
      <c r="J576" s="91" t="str">
        <f t="shared" si="45"/>
        <v/>
      </c>
      <c r="K576" s="92" t="str">
        <f>IF(AND(A576="",B576="",D576="",G576=""),"",IF(AND(A576&lt;&gt;"",COUNTIF($A$2:$A$5001,A576)&gt;1),"NUMERO_PC duplicado",IF(B576="","DATA_PC vazia",IF(NOT(ISNUMBER(B576)),"DATA_PC invalida",IF(OR(C576="",C576="Fora dos ciclos"),"CICLO_PC nao identificado",IF(OR(D576="",D576=0),"VALOR_PC vazio ou zero",IF(AND(G576&lt;&gt;"Sim",G576&lt;&gt;"Nao",G576&lt;&gt;""),"PC_PAGO_A_CONTRATADA invalido",IF(AND(C576&lt;&gt;"C0",IFERROR(INDEX(parametros!$A$2:$A$6,MATCH(C576,parametros!$B$2:$B$6,0)),"")="Sim",IFERROR(INDEX(parametros!$H$2:$H$6,MATCH(C576,parametros!$B$2:$B$6,0)),"")=""),"INICIO_EFEITO ausente: PC "&amp;A576&amp;" - "&amp;C576,IF(L576="","EFEITO_PC nao calculado: PC "&amp;A576&amp;" - "&amp;C576,"OK")))))))))</f>
        <v/>
      </c>
      <c r="L576" s="92" t="str">
        <f>IF(AND(A576="",B576="",D576="",G576=""),"",IF(OR(B576="",NOT(ISNUMBER(B576)),C576="",C576="Fora dos ciclos"),"",IF(C576="C0","Nao",IF(IFERROR(INDEX(parametros!$A$2:$A$6,MATCH(C576,parametros!$B$2:$B$6,0)),"")&lt;&gt;"Sim","Nao",IF(IFERROR(INDEX(parametros!$H$2:$H$6,MATCH(C576,parametros!$B$2:$B$6,0)),"")="","",IF(B576&gt;=IFERROR(INDEX(parametros!$H$2:$H$6,MATCH(C576,parametros!$B$2:$B$6,0)),""),"Sim","Nao"))))))</f>
        <v/>
      </c>
      <c r="T576" s="156"/>
      <c r="U576" s="214" t="str">
        <f t="shared" si="46"/>
        <v/>
      </c>
      <c r="V576" s="212" t="s">
        <v>50</v>
      </c>
      <c r="W576" s="100" t="s">
        <v>168</v>
      </c>
      <c r="X576" s="100" t="s">
        <v>169</v>
      </c>
      <c r="Y576" s="101" t="s">
        <v>170</v>
      </c>
      <c r="Z576" s="101" t="s">
        <v>171</v>
      </c>
      <c r="AA576" s="101" t="s">
        <v>50</v>
      </c>
      <c r="AB576" s="101" t="s">
        <v>172</v>
      </c>
      <c r="AC576" s="102" t="s">
        <v>173</v>
      </c>
    </row>
    <row r="577" spans="1:29" ht="25.5" customHeight="1" x14ac:dyDescent="0.35">
      <c r="A577" s="392"/>
      <c r="B577" s="393"/>
      <c r="C577" s="99" t="str">
        <f>IF(B577="","",IF(NOT(ISNUMBER(B577)),"DATA_PC invalida",IF(NOT(ISNUMBER(parametros!$C$2)),"Fora dos ciclos",IF(OR(B577&lt;parametros!$C$2,(YEAR(B577)-YEAR(parametros!$C$2))*12+MONTH(B577)-MONTH(parametros!$C$2)&gt;59),"Fora dos ciclos","C"&amp;INT(((YEAR(B577)-YEAR(parametros!$C$2))*12+MONTH(B577)-MONTH(parametros!$C$2))/12)))))</f>
        <v/>
      </c>
      <c r="D577" s="394"/>
      <c r="E577" s="78" t="str">
        <f>IF(C577="","",IFERROR(VLOOKUP(C577,parametros!$A$11:$E$15,5,0),""))</f>
        <v/>
      </c>
      <c r="F577" s="79" t="str">
        <f t="shared" si="42"/>
        <v/>
      </c>
      <c r="G577" s="395"/>
      <c r="H577" s="91">
        <f t="shared" si="43"/>
        <v>0</v>
      </c>
      <c r="I577" s="91" t="str">
        <f t="shared" si="44"/>
        <v/>
      </c>
      <c r="J577" s="91" t="str">
        <f t="shared" si="45"/>
        <v/>
      </c>
      <c r="K577" s="92" t="str">
        <f>IF(AND(A577="",B577="",D577="",G577=""),"",IF(AND(A577&lt;&gt;"",COUNTIF($A$2:$A$5001,A577)&gt;1),"NUMERO_PC duplicado",IF(B577="","DATA_PC vazia",IF(NOT(ISNUMBER(B577)),"DATA_PC invalida",IF(OR(C577="",C577="Fora dos ciclos"),"CICLO_PC nao identificado",IF(OR(D577="",D577=0),"VALOR_PC vazio ou zero",IF(AND(G577&lt;&gt;"Sim",G577&lt;&gt;"Nao",G577&lt;&gt;""),"PC_PAGO_A_CONTRATADA invalido",IF(AND(C577&lt;&gt;"C0",IFERROR(INDEX(parametros!$A$2:$A$6,MATCH(C577,parametros!$B$2:$B$6,0)),"")="Sim",IFERROR(INDEX(parametros!$H$2:$H$6,MATCH(C577,parametros!$B$2:$B$6,0)),"")=""),"INICIO_EFEITO ausente: PC "&amp;A577&amp;" - "&amp;C577,IF(L577="","EFEITO_PC nao calculado: PC "&amp;A577&amp;" - "&amp;C577,"OK")))))))))</f>
        <v/>
      </c>
      <c r="L577" s="92" t="str">
        <f>IF(AND(A577="",B577="",D577="",G577=""),"",IF(OR(B577="",NOT(ISNUMBER(B577)),C577="",C577="Fora dos ciclos"),"",IF(C577="C0","Nao",IF(IFERROR(INDEX(parametros!$A$2:$A$6,MATCH(C577,parametros!$B$2:$B$6,0)),"")&lt;&gt;"Sim","Nao",IF(IFERROR(INDEX(parametros!$H$2:$H$6,MATCH(C577,parametros!$B$2:$B$6,0)),"")="","",IF(B577&gt;=IFERROR(INDEX(parametros!$H$2:$H$6,MATCH(C577,parametros!$B$2:$B$6,0)),""),"Sim","Nao"))))))</f>
        <v/>
      </c>
      <c r="T577" s="156"/>
      <c r="U577" s="214" t="str">
        <f t="shared" si="46"/>
        <v/>
      </c>
      <c r="V577" s="212" t="s">
        <v>50</v>
      </c>
      <c r="W577" s="100" t="s">
        <v>168</v>
      </c>
      <c r="X577" s="100" t="s">
        <v>169</v>
      </c>
      <c r="Y577" s="101" t="s">
        <v>170</v>
      </c>
      <c r="Z577" s="101" t="s">
        <v>171</v>
      </c>
      <c r="AA577" s="101" t="s">
        <v>50</v>
      </c>
      <c r="AB577" s="101" t="s">
        <v>172</v>
      </c>
      <c r="AC577" s="102" t="s">
        <v>173</v>
      </c>
    </row>
    <row r="578" spans="1:29" ht="25.5" customHeight="1" x14ac:dyDescent="0.35">
      <c r="A578" s="392"/>
      <c r="B578" s="393"/>
      <c r="C578" s="99" t="str">
        <f>IF(B578="","",IF(NOT(ISNUMBER(B578)),"DATA_PC invalida",IF(NOT(ISNUMBER(parametros!$C$2)),"Fora dos ciclos",IF(OR(B578&lt;parametros!$C$2,(YEAR(B578)-YEAR(parametros!$C$2))*12+MONTH(B578)-MONTH(parametros!$C$2)&gt;59),"Fora dos ciclos","C"&amp;INT(((YEAR(B578)-YEAR(parametros!$C$2))*12+MONTH(B578)-MONTH(parametros!$C$2))/12)))))</f>
        <v/>
      </c>
      <c r="D578" s="394"/>
      <c r="E578" s="78" t="str">
        <f>IF(C578="","",IFERROR(VLOOKUP(C578,parametros!$A$11:$E$15,5,0),""))</f>
        <v/>
      </c>
      <c r="F578" s="79" t="str">
        <f t="shared" ref="F578:F641" si="47">IF(OR(D578="",E578=""),"",ROUND(D578*E578,2))</f>
        <v/>
      </c>
      <c r="G578" s="395"/>
      <c r="H578" s="91">
        <f t="shared" ref="H578:H641" si="48">IF(G578="Sim",IF(OR(F578="",D578="",L578=""),"",IF(L578="Sim",ROUND(F578-D578,2),0)),0)</f>
        <v>0</v>
      </c>
      <c r="I578" s="91" t="str">
        <f t="shared" ref="I578:I641" si="49">IF(G578="Sim",0,IF(OR(F578="",L578=""),"",F578))</f>
        <v/>
      </c>
      <c r="J578" s="91" t="str">
        <f t="shared" ref="J578:J641" si="50">IF(G578="Sim",0,IF(OR(F578="",D578="",L578=""),"",IF(L578="Sim",ROUND(F578-D578,2),0)))</f>
        <v/>
      </c>
      <c r="K578" s="92" t="str">
        <f>IF(AND(A578="",B578="",D578="",G578=""),"",IF(AND(A578&lt;&gt;"",COUNTIF($A$2:$A$5001,A578)&gt;1),"NUMERO_PC duplicado",IF(B578="","DATA_PC vazia",IF(NOT(ISNUMBER(B578)),"DATA_PC invalida",IF(OR(C578="",C578="Fora dos ciclos"),"CICLO_PC nao identificado",IF(OR(D578="",D578=0),"VALOR_PC vazio ou zero",IF(AND(G578&lt;&gt;"Sim",G578&lt;&gt;"Nao",G578&lt;&gt;""),"PC_PAGO_A_CONTRATADA invalido",IF(AND(C578&lt;&gt;"C0",IFERROR(INDEX(parametros!$A$2:$A$6,MATCH(C578,parametros!$B$2:$B$6,0)),"")="Sim",IFERROR(INDEX(parametros!$H$2:$H$6,MATCH(C578,parametros!$B$2:$B$6,0)),"")=""),"INICIO_EFEITO ausente: PC "&amp;A578&amp;" - "&amp;C578,IF(L578="","EFEITO_PC nao calculado: PC "&amp;A578&amp;" - "&amp;C578,"OK")))))))))</f>
        <v/>
      </c>
      <c r="L578" s="92" t="str">
        <f>IF(AND(A578="",B578="",D578="",G578=""),"",IF(OR(B578="",NOT(ISNUMBER(B578)),C578="",C578="Fora dos ciclos"),"",IF(C578="C0","Nao",IF(IFERROR(INDEX(parametros!$A$2:$A$6,MATCH(C578,parametros!$B$2:$B$6,0)),"")&lt;&gt;"Sim","Nao",IF(IFERROR(INDEX(parametros!$H$2:$H$6,MATCH(C578,parametros!$B$2:$B$6,0)),"")="","",IF(B578&gt;=IFERROR(INDEX(parametros!$H$2:$H$6,MATCH(C578,parametros!$B$2:$B$6,0)),""),"Sim","Nao"))))))</f>
        <v/>
      </c>
      <c r="T578" s="156"/>
      <c r="U578" s="214" t="str">
        <f t="shared" ref="U578:U641" si="51">IF(OR($D578="",$H578=""),"",ROUND($D578+$H578,2))</f>
        <v/>
      </c>
      <c r="V578" s="212" t="s">
        <v>50</v>
      </c>
      <c r="W578" s="100" t="s">
        <v>168</v>
      </c>
      <c r="X578" s="100" t="s">
        <v>169</v>
      </c>
      <c r="Y578" s="101" t="s">
        <v>170</v>
      </c>
      <c r="Z578" s="101" t="s">
        <v>171</v>
      </c>
      <c r="AA578" s="101" t="s">
        <v>50</v>
      </c>
      <c r="AB578" s="101" t="s">
        <v>172</v>
      </c>
      <c r="AC578" s="102" t="s">
        <v>173</v>
      </c>
    </row>
    <row r="579" spans="1:29" ht="25.5" customHeight="1" x14ac:dyDescent="0.35">
      <c r="A579" s="392"/>
      <c r="B579" s="393"/>
      <c r="C579" s="99" t="str">
        <f>IF(B579="","",IF(NOT(ISNUMBER(B579)),"DATA_PC invalida",IF(NOT(ISNUMBER(parametros!$C$2)),"Fora dos ciclos",IF(OR(B579&lt;parametros!$C$2,(YEAR(B579)-YEAR(parametros!$C$2))*12+MONTH(B579)-MONTH(parametros!$C$2)&gt;59),"Fora dos ciclos","C"&amp;INT(((YEAR(B579)-YEAR(parametros!$C$2))*12+MONTH(B579)-MONTH(parametros!$C$2))/12)))))</f>
        <v/>
      </c>
      <c r="D579" s="394"/>
      <c r="E579" s="78" t="str">
        <f>IF(C579="","",IFERROR(VLOOKUP(C579,parametros!$A$11:$E$15,5,0),""))</f>
        <v/>
      </c>
      <c r="F579" s="79" t="str">
        <f t="shared" si="47"/>
        <v/>
      </c>
      <c r="G579" s="395"/>
      <c r="H579" s="91">
        <f t="shared" si="48"/>
        <v>0</v>
      </c>
      <c r="I579" s="91" t="str">
        <f t="shared" si="49"/>
        <v/>
      </c>
      <c r="J579" s="91" t="str">
        <f t="shared" si="50"/>
        <v/>
      </c>
      <c r="K579" s="92" t="str">
        <f>IF(AND(A579="",B579="",D579="",G579=""),"",IF(AND(A579&lt;&gt;"",COUNTIF($A$2:$A$5001,A579)&gt;1),"NUMERO_PC duplicado",IF(B579="","DATA_PC vazia",IF(NOT(ISNUMBER(B579)),"DATA_PC invalida",IF(OR(C579="",C579="Fora dos ciclos"),"CICLO_PC nao identificado",IF(OR(D579="",D579=0),"VALOR_PC vazio ou zero",IF(AND(G579&lt;&gt;"Sim",G579&lt;&gt;"Nao",G579&lt;&gt;""),"PC_PAGO_A_CONTRATADA invalido",IF(AND(C579&lt;&gt;"C0",IFERROR(INDEX(parametros!$A$2:$A$6,MATCH(C579,parametros!$B$2:$B$6,0)),"")="Sim",IFERROR(INDEX(parametros!$H$2:$H$6,MATCH(C579,parametros!$B$2:$B$6,0)),"")=""),"INICIO_EFEITO ausente: PC "&amp;A579&amp;" - "&amp;C579,IF(L579="","EFEITO_PC nao calculado: PC "&amp;A579&amp;" - "&amp;C579,"OK")))))))))</f>
        <v/>
      </c>
      <c r="L579" s="92" t="str">
        <f>IF(AND(A579="",B579="",D579="",G579=""),"",IF(OR(B579="",NOT(ISNUMBER(B579)),C579="",C579="Fora dos ciclos"),"",IF(C579="C0","Nao",IF(IFERROR(INDEX(parametros!$A$2:$A$6,MATCH(C579,parametros!$B$2:$B$6,0)),"")&lt;&gt;"Sim","Nao",IF(IFERROR(INDEX(parametros!$H$2:$H$6,MATCH(C579,parametros!$B$2:$B$6,0)),"")="","",IF(B579&gt;=IFERROR(INDEX(parametros!$H$2:$H$6,MATCH(C579,parametros!$B$2:$B$6,0)),""),"Sim","Nao"))))))</f>
        <v/>
      </c>
      <c r="T579" s="156"/>
      <c r="U579" s="214" t="str">
        <f t="shared" si="51"/>
        <v/>
      </c>
      <c r="V579" s="212" t="s">
        <v>50</v>
      </c>
      <c r="W579" s="100" t="s">
        <v>168</v>
      </c>
      <c r="X579" s="100" t="s">
        <v>169</v>
      </c>
      <c r="Y579" s="101" t="s">
        <v>170</v>
      </c>
      <c r="Z579" s="101" t="s">
        <v>171</v>
      </c>
      <c r="AA579" s="101" t="s">
        <v>50</v>
      </c>
      <c r="AB579" s="101" t="s">
        <v>172</v>
      </c>
      <c r="AC579" s="102" t="s">
        <v>173</v>
      </c>
    </row>
    <row r="580" spans="1:29" ht="25.5" customHeight="1" x14ac:dyDescent="0.35">
      <c r="A580" s="392"/>
      <c r="B580" s="393"/>
      <c r="C580" s="99" t="str">
        <f>IF(B580="","",IF(NOT(ISNUMBER(B580)),"DATA_PC invalida",IF(NOT(ISNUMBER(parametros!$C$2)),"Fora dos ciclos",IF(OR(B580&lt;parametros!$C$2,(YEAR(B580)-YEAR(parametros!$C$2))*12+MONTH(B580)-MONTH(parametros!$C$2)&gt;59),"Fora dos ciclos","C"&amp;INT(((YEAR(B580)-YEAR(parametros!$C$2))*12+MONTH(B580)-MONTH(parametros!$C$2))/12)))))</f>
        <v/>
      </c>
      <c r="D580" s="394"/>
      <c r="E580" s="78" t="str">
        <f>IF(C580="","",IFERROR(VLOOKUP(C580,parametros!$A$11:$E$15,5,0),""))</f>
        <v/>
      </c>
      <c r="F580" s="79" t="str">
        <f t="shared" si="47"/>
        <v/>
      </c>
      <c r="G580" s="395"/>
      <c r="H580" s="91">
        <f t="shared" si="48"/>
        <v>0</v>
      </c>
      <c r="I580" s="91" t="str">
        <f t="shared" si="49"/>
        <v/>
      </c>
      <c r="J580" s="91" t="str">
        <f t="shared" si="50"/>
        <v/>
      </c>
      <c r="K580" s="92" t="str">
        <f>IF(AND(A580="",B580="",D580="",G580=""),"",IF(AND(A580&lt;&gt;"",COUNTIF($A$2:$A$5001,A580)&gt;1),"NUMERO_PC duplicado",IF(B580="","DATA_PC vazia",IF(NOT(ISNUMBER(B580)),"DATA_PC invalida",IF(OR(C580="",C580="Fora dos ciclos"),"CICLO_PC nao identificado",IF(OR(D580="",D580=0),"VALOR_PC vazio ou zero",IF(AND(G580&lt;&gt;"Sim",G580&lt;&gt;"Nao",G580&lt;&gt;""),"PC_PAGO_A_CONTRATADA invalido",IF(AND(C580&lt;&gt;"C0",IFERROR(INDEX(parametros!$A$2:$A$6,MATCH(C580,parametros!$B$2:$B$6,0)),"")="Sim",IFERROR(INDEX(parametros!$H$2:$H$6,MATCH(C580,parametros!$B$2:$B$6,0)),"")=""),"INICIO_EFEITO ausente: PC "&amp;A580&amp;" - "&amp;C580,IF(L580="","EFEITO_PC nao calculado: PC "&amp;A580&amp;" - "&amp;C580,"OK")))))))))</f>
        <v/>
      </c>
      <c r="L580" s="92" t="str">
        <f>IF(AND(A580="",B580="",D580="",G580=""),"",IF(OR(B580="",NOT(ISNUMBER(B580)),C580="",C580="Fora dos ciclos"),"",IF(C580="C0","Nao",IF(IFERROR(INDEX(parametros!$A$2:$A$6,MATCH(C580,parametros!$B$2:$B$6,0)),"")&lt;&gt;"Sim","Nao",IF(IFERROR(INDEX(parametros!$H$2:$H$6,MATCH(C580,parametros!$B$2:$B$6,0)),"")="","",IF(B580&gt;=IFERROR(INDEX(parametros!$H$2:$H$6,MATCH(C580,parametros!$B$2:$B$6,0)),""),"Sim","Nao"))))))</f>
        <v/>
      </c>
      <c r="T580" s="156"/>
      <c r="U580" s="214" t="str">
        <f t="shared" si="51"/>
        <v/>
      </c>
      <c r="V580" s="212" t="s">
        <v>50</v>
      </c>
      <c r="W580" s="100" t="s">
        <v>168</v>
      </c>
      <c r="X580" s="100" t="s">
        <v>169</v>
      </c>
      <c r="Y580" s="101" t="s">
        <v>170</v>
      </c>
      <c r="Z580" s="101" t="s">
        <v>171</v>
      </c>
      <c r="AA580" s="101" t="s">
        <v>50</v>
      </c>
      <c r="AB580" s="101" t="s">
        <v>172</v>
      </c>
      <c r="AC580" s="102" t="s">
        <v>173</v>
      </c>
    </row>
    <row r="581" spans="1:29" ht="25.5" customHeight="1" x14ac:dyDescent="0.35">
      <c r="A581" s="392"/>
      <c r="B581" s="393"/>
      <c r="C581" s="99" t="str">
        <f>IF(B581="","",IF(NOT(ISNUMBER(B581)),"DATA_PC invalida",IF(NOT(ISNUMBER(parametros!$C$2)),"Fora dos ciclos",IF(OR(B581&lt;parametros!$C$2,(YEAR(B581)-YEAR(parametros!$C$2))*12+MONTH(B581)-MONTH(parametros!$C$2)&gt;59),"Fora dos ciclos","C"&amp;INT(((YEAR(B581)-YEAR(parametros!$C$2))*12+MONTH(B581)-MONTH(parametros!$C$2))/12)))))</f>
        <v/>
      </c>
      <c r="D581" s="394"/>
      <c r="E581" s="78" t="str">
        <f>IF(C581="","",IFERROR(VLOOKUP(C581,parametros!$A$11:$E$15,5,0),""))</f>
        <v/>
      </c>
      <c r="F581" s="79" t="str">
        <f t="shared" si="47"/>
        <v/>
      </c>
      <c r="G581" s="395"/>
      <c r="H581" s="91">
        <f t="shared" si="48"/>
        <v>0</v>
      </c>
      <c r="I581" s="91" t="str">
        <f t="shared" si="49"/>
        <v/>
      </c>
      <c r="J581" s="91" t="str">
        <f t="shared" si="50"/>
        <v/>
      </c>
      <c r="K581" s="92" t="str">
        <f>IF(AND(A581="",B581="",D581="",G581=""),"",IF(AND(A581&lt;&gt;"",COUNTIF($A$2:$A$5001,A581)&gt;1),"NUMERO_PC duplicado",IF(B581="","DATA_PC vazia",IF(NOT(ISNUMBER(B581)),"DATA_PC invalida",IF(OR(C581="",C581="Fora dos ciclos"),"CICLO_PC nao identificado",IF(OR(D581="",D581=0),"VALOR_PC vazio ou zero",IF(AND(G581&lt;&gt;"Sim",G581&lt;&gt;"Nao",G581&lt;&gt;""),"PC_PAGO_A_CONTRATADA invalido",IF(AND(C581&lt;&gt;"C0",IFERROR(INDEX(parametros!$A$2:$A$6,MATCH(C581,parametros!$B$2:$B$6,0)),"")="Sim",IFERROR(INDEX(parametros!$H$2:$H$6,MATCH(C581,parametros!$B$2:$B$6,0)),"")=""),"INICIO_EFEITO ausente: PC "&amp;A581&amp;" - "&amp;C581,IF(L581="","EFEITO_PC nao calculado: PC "&amp;A581&amp;" - "&amp;C581,"OK")))))))))</f>
        <v/>
      </c>
      <c r="L581" s="92" t="str">
        <f>IF(AND(A581="",B581="",D581="",G581=""),"",IF(OR(B581="",NOT(ISNUMBER(B581)),C581="",C581="Fora dos ciclos"),"",IF(C581="C0","Nao",IF(IFERROR(INDEX(parametros!$A$2:$A$6,MATCH(C581,parametros!$B$2:$B$6,0)),"")&lt;&gt;"Sim","Nao",IF(IFERROR(INDEX(parametros!$H$2:$H$6,MATCH(C581,parametros!$B$2:$B$6,0)),"")="","",IF(B581&gt;=IFERROR(INDEX(parametros!$H$2:$H$6,MATCH(C581,parametros!$B$2:$B$6,0)),""),"Sim","Nao"))))))</f>
        <v/>
      </c>
      <c r="T581" s="156"/>
      <c r="U581" s="214" t="str">
        <f t="shared" si="51"/>
        <v/>
      </c>
      <c r="V581" s="212" t="s">
        <v>50</v>
      </c>
      <c r="W581" s="100" t="s">
        <v>168</v>
      </c>
      <c r="X581" s="100" t="s">
        <v>169</v>
      </c>
      <c r="Y581" s="101" t="s">
        <v>170</v>
      </c>
      <c r="Z581" s="101" t="s">
        <v>171</v>
      </c>
      <c r="AA581" s="101" t="s">
        <v>50</v>
      </c>
      <c r="AB581" s="101" t="s">
        <v>172</v>
      </c>
      <c r="AC581" s="102" t="s">
        <v>173</v>
      </c>
    </row>
    <row r="582" spans="1:29" ht="25.5" customHeight="1" x14ac:dyDescent="0.35">
      <c r="A582" s="392"/>
      <c r="B582" s="393"/>
      <c r="C582" s="99" t="str">
        <f>IF(B582="","",IF(NOT(ISNUMBER(B582)),"DATA_PC invalida",IF(NOT(ISNUMBER(parametros!$C$2)),"Fora dos ciclos",IF(OR(B582&lt;parametros!$C$2,(YEAR(B582)-YEAR(parametros!$C$2))*12+MONTH(B582)-MONTH(parametros!$C$2)&gt;59),"Fora dos ciclos","C"&amp;INT(((YEAR(B582)-YEAR(parametros!$C$2))*12+MONTH(B582)-MONTH(parametros!$C$2))/12)))))</f>
        <v/>
      </c>
      <c r="D582" s="394"/>
      <c r="E582" s="78" t="str">
        <f>IF(C582="","",IFERROR(VLOOKUP(C582,parametros!$A$11:$E$15,5,0),""))</f>
        <v/>
      </c>
      <c r="F582" s="79" t="str">
        <f t="shared" si="47"/>
        <v/>
      </c>
      <c r="G582" s="395"/>
      <c r="H582" s="91">
        <f t="shared" si="48"/>
        <v>0</v>
      </c>
      <c r="I582" s="91" t="str">
        <f t="shared" si="49"/>
        <v/>
      </c>
      <c r="J582" s="91" t="str">
        <f t="shared" si="50"/>
        <v/>
      </c>
      <c r="K582" s="92" t="str">
        <f>IF(AND(A582="",B582="",D582="",G582=""),"",IF(AND(A582&lt;&gt;"",COUNTIF($A$2:$A$5001,A582)&gt;1),"NUMERO_PC duplicado",IF(B582="","DATA_PC vazia",IF(NOT(ISNUMBER(B582)),"DATA_PC invalida",IF(OR(C582="",C582="Fora dos ciclos"),"CICLO_PC nao identificado",IF(OR(D582="",D582=0),"VALOR_PC vazio ou zero",IF(AND(G582&lt;&gt;"Sim",G582&lt;&gt;"Nao",G582&lt;&gt;""),"PC_PAGO_A_CONTRATADA invalido",IF(AND(C582&lt;&gt;"C0",IFERROR(INDEX(parametros!$A$2:$A$6,MATCH(C582,parametros!$B$2:$B$6,0)),"")="Sim",IFERROR(INDEX(parametros!$H$2:$H$6,MATCH(C582,parametros!$B$2:$B$6,0)),"")=""),"INICIO_EFEITO ausente: PC "&amp;A582&amp;" - "&amp;C582,IF(L582="","EFEITO_PC nao calculado: PC "&amp;A582&amp;" - "&amp;C582,"OK")))))))))</f>
        <v/>
      </c>
      <c r="L582" s="92" t="str">
        <f>IF(AND(A582="",B582="",D582="",G582=""),"",IF(OR(B582="",NOT(ISNUMBER(B582)),C582="",C582="Fora dos ciclos"),"",IF(C582="C0","Nao",IF(IFERROR(INDEX(parametros!$A$2:$A$6,MATCH(C582,parametros!$B$2:$B$6,0)),"")&lt;&gt;"Sim","Nao",IF(IFERROR(INDEX(parametros!$H$2:$H$6,MATCH(C582,parametros!$B$2:$B$6,0)),"")="","",IF(B582&gt;=IFERROR(INDEX(parametros!$H$2:$H$6,MATCH(C582,parametros!$B$2:$B$6,0)),""),"Sim","Nao"))))))</f>
        <v/>
      </c>
      <c r="T582" s="156"/>
      <c r="U582" s="214" t="str">
        <f t="shared" si="51"/>
        <v/>
      </c>
      <c r="V582" s="212" t="s">
        <v>50</v>
      </c>
      <c r="W582" s="100" t="s">
        <v>168</v>
      </c>
      <c r="X582" s="100" t="s">
        <v>169</v>
      </c>
      <c r="Y582" s="101" t="s">
        <v>170</v>
      </c>
      <c r="Z582" s="101" t="s">
        <v>171</v>
      </c>
      <c r="AA582" s="101" t="s">
        <v>50</v>
      </c>
      <c r="AB582" s="101" t="s">
        <v>172</v>
      </c>
      <c r="AC582" s="102" t="s">
        <v>173</v>
      </c>
    </row>
    <row r="583" spans="1:29" ht="25.5" customHeight="1" x14ac:dyDescent="0.35">
      <c r="A583" s="392"/>
      <c r="B583" s="393"/>
      <c r="C583" s="99" t="str">
        <f>IF(B583="","",IF(NOT(ISNUMBER(B583)),"DATA_PC invalida",IF(NOT(ISNUMBER(parametros!$C$2)),"Fora dos ciclos",IF(OR(B583&lt;parametros!$C$2,(YEAR(B583)-YEAR(parametros!$C$2))*12+MONTH(B583)-MONTH(parametros!$C$2)&gt;59),"Fora dos ciclos","C"&amp;INT(((YEAR(B583)-YEAR(parametros!$C$2))*12+MONTH(B583)-MONTH(parametros!$C$2))/12)))))</f>
        <v/>
      </c>
      <c r="D583" s="394"/>
      <c r="E583" s="78" t="str">
        <f>IF(C583="","",IFERROR(VLOOKUP(C583,parametros!$A$11:$E$15,5,0),""))</f>
        <v/>
      </c>
      <c r="F583" s="79" t="str">
        <f t="shared" si="47"/>
        <v/>
      </c>
      <c r="G583" s="395"/>
      <c r="H583" s="91">
        <f t="shared" si="48"/>
        <v>0</v>
      </c>
      <c r="I583" s="91" t="str">
        <f t="shared" si="49"/>
        <v/>
      </c>
      <c r="J583" s="91" t="str">
        <f t="shared" si="50"/>
        <v/>
      </c>
      <c r="K583" s="92" t="str">
        <f>IF(AND(A583="",B583="",D583="",G583=""),"",IF(AND(A583&lt;&gt;"",COUNTIF($A$2:$A$5001,A583)&gt;1),"NUMERO_PC duplicado",IF(B583="","DATA_PC vazia",IF(NOT(ISNUMBER(B583)),"DATA_PC invalida",IF(OR(C583="",C583="Fora dos ciclos"),"CICLO_PC nao identificado",IF(OR(D583="",D583=0),"VALOR_PC vazio ou zero",IF(AND(G583&lt;&gt;"Sim",G583&lt;&gt;"Nao",G583&lt;&gt;""),"PC_PAGO_A_CONTRATADA invalido",IF(AND(C583&lt;&gt;"C0",IFERROR(INDEX(parametros!$A$2:$A$6,MATCH(C583,parametros!$B$2:$B$6,0)),"")="Sim",IFERROR(INDEX(parametros!$H$2:$H$6,MATCH(C583,parametros!$B$2:$B$6,0)),"")=""),"INICIO_EFEITO ausente: PC "&amp;A583&amp;" - "&amp;C583,IF(L583="","EFEITO_PC nao calculado: PC "&amp;A583&amp;" - "&amp;C583,"OK")))))))))</f>
        <v/>
      </c>
      <c r="L583" s="92" t="str">
        <f>IF(AND(A583="",B583="",D583="",G583=""),"",IF(OR(B583="",NOT(ISNUMBER(B583)),C583="",C583="Fora dos ciclos"),"",IF(C583="C0","Nao",IF(IFERROR(INDEX(parametros!$A$2:$A$6,MATCH(C583,parametros!$B$2:$B$6,0)),"")&lt;&gt;"Sim","Nao",IF(IFERROR(INDEX(parametros!$H$2:$H$6,MATCH(C583,parametros!$B$2:$B$6,0)),"")="","",IF(B583&gt;=IFERROR(INDEX(parametros!$H$2:$H$6,MATCH(C583,parametros!$B$2:$B$6,0)),""),"Sim","Nao"))))))</f>
        <v/>
      </c>
      <c r="T583" s="156"/>
      <c r="U583" s="214" t="str">
        <f t="shared" si="51"/>
        <v/>
      </c>
      <c r="V583" s="212" t="s">
        <v>50</v>
      </c>
      <c r="W583" s="100" t="s">
        <v>168</v>
      </c>
      <c r="X583" s="100" t="s">
        <v>169</v>
      </c>
      <c r="Y583" s="101" t="s">
        <v>170</v>
      </c>
      <c r="Z583" s="101" t="s">
        <v>171</v>
      </c>
      <c r="AA583" s="101" t="s">
        <v>50</v>
      </c>
      <c r="AB583" s="101" t="s">
        <v>172</v>
      </c>
      <c r="AC583" s="102" t="s">
        <v>173</v>
      </c>
    </row>
    <row r="584" spans="1:29" ht="25.5" customHeight="1" x14ac:dyDescent="0.35">
      <c r="A584" s="392"/>
      <c r="B584" s="393"/>
      <c r="C584" s="99" t="str">
        <f>IF(B584="","",IF(NOT(ISNUMBER(B584)),"DATA_PC invalida",IF(NOT(ISNUMBER(parametros!$C$2)),"Fora dos ciclos",IF(OR(B584&lt;parametros!$C$2,(YEAR(B584)-YEAR(parametros!$C$2))*12+MONTH(B584)-MONTH(parametros!$C$2)&gt;59),"Fora dos ciclos","C"&amp;INT(((YEAR(B584)-YEAR(parametros!$C$2))*12+MONTH(B584)-MONTH(parametros!$C$2))/12)))))</f>
        <v/>
      </c>
      <c r="D584" s="394"/>
      <c r="E584" s="78" t="str">
        <f>IF(C584="","",IFERROR(VLOOKUP(C584,parametros!$A$11:$E$15,5,0),""))</f>
        <v/>
      </c>
      <c r="F584" s="79" t="str">
        <f t="shared" si="47"/>
        <v/>
      </c>
      <c r="G584" s="395"/>
      <c r="H584" s="91">
        <f t="shared" si="48"/>
        <v>0</v>
      </c>
      <c r="I584" s="91" t="str">
        <f t="shared" si="49"/>
        <v/>
      </c>
      <c r="J584" s="91" t="str">
        <f t="shared" si="50"/>
        <v/>
      </c>
      <c r="K584" s="92" t="str">
        <f>IF(AND(A584="",B584="",D584="",G584=""),"",IF(AND(A584&lt;&gt;"",COUNTIF($A$2:$A$5001,A584)&gt;1),"NUMERO_PC duplicado",IF(B584="","DATA_PC vazia",IF(NOT(ISNUMBER(B584)),"DATA_PC invalida",IF(OR(C584="",C584="Fora dos ciclos"),"CICLO_PC nao identificado",IF(OR(D584="",D584=0),"VALOR_PC vazio ou zero",IF(AND(G584&lt;&gt;"Sim",G584&lt;&gt;"Nao",G584&lt;&gt;""),"PC_PAGO_A_CONTRATADA invalido",IF(AND(C584&lt;&gt;"C0",IFERROR(INDEX(parametros!$A$2:$A$6,MATCH(C584,parametros!$B$2:$B$6,0)),"")="Sim",IFERROR(INDEX(parametros!$H$2:$H$6,MATCH(C584,parametros!$B$2:$B$6,0)),"")=""),"INICIO_EFEITO ausente: PC "&amp;A584&amp;" - "&amp;C584,IF(L584="","EFEITO_PC nao calculado: PC "&amp;A584&amp;" - "&amp;C584,"OK")))))))))</f>
        <v/>
      </c>
      <c r="L584" s="92" t="str">
        <f>IF(AND(A584="",B584="",D584="",G584=""),"",IF(OR(B584="",NOT(ISNUMBER(B584)),C584="",C584="Fora dos ciclos"),"",IF(C584="C0","Nao",IF(IFERROR(INDEX(parametros!$A$2:$A$6,MATCH(C584,parametros!$B$2:$B$6,0)),"")&lt;&gt;"Sim","Nao",IF(IFERROR(INDEX(parametros!$H$2:$H$6,MATCH(C584,parametros!$B$2:$B$6,0)),"")="","",IF(B584&gt;=IFERROR(INDEX(parametros!$H$2:$H$6,MATCH(C584,parametros!$B$2:$B$6,0)),""),"Sim","Nao"))))))</f>
        <v/>
      </c>
      <c r="T584" s="156"/>
      <c r="U584" s="214" t="str">
        <f t="shared" si="51"/>
        <v/>
      </c>
      <c r="V584" s="212" t="s">
        <v>50</v>
      </c>
      <c r="W584" s="100" t="s">
        <v>168</v>
      </c>
      <c r="X584" s="100" t="s">
        <v>169</v>
      </c>
      <c r="Y584" s="101" t="s">
        <v>170</v>
      </c>
      <c r="Z584" s="101" t="s">
        <v>171</v>
      </c>
      <c r="AA584" s="101" t="s">
        <v>50</v>
      </c>
      <c r="AB584" s="101" t="s">
        <v>172</v>
      </c>
      <c r="AC584" s="102" t="s">
        <v>173</v>
      </c>
    </row>
    <row r="585" spans="1:29" ht="25.5" customHeight="1" x14ac:dyDescent="0.35">
      <c r="A585" s="392"/>
      <c r="B585" s="393"/>
      <c r="C585" s="99" t="str">
        <f>IF(B585="","",IF(NOT(ISNUMBER(B585)),"DATA_PC invalida",IF(NOT(ISNUMBER(parametros!$C$2)),"Fora dos ciclos",IF(OR(B585&lt;parametros!$C$2,(YEAR(B585)-YEAR(parametros!$C$2))*12+MONTH(B585)-MONTH(parametros!$C$2)&gt;59),"Fora dos ciclos","C"&amp;INT(((YEAR(B585)-YEAR(parametros!$C$2))*12+MONTH(B585)-MONTH(parametros!$C$2))/12)))))</f>
        <v/>
      </c>
      <c r="D585" s="394"/>
      <c r="E585" s="78" t="str">
        <f>IF(C585="","",IFERROR(VLOOKUP(C585,parametros!$A$11:$E$15,5,0),""))</f>
        <v/>
      </c>
      <c r="F585" s="79" t="str">
        <f t="shared" si="47"/>
        <v/>
      </c>
      <c r="G585" s="395"/>
      <c r="H585" s="91">
        <f t="shared" si="48"/>
        <v>0</v>
      </c>
      <c r="I585" s="91" t="str">
        <f t="shared" si="49"/>
        <v/>
      </c>
      <c r="J585" s="91" t="str">
        <f t="shared" si="50"/>
        <v/>
      </c>
      <c r="K585" s="92" t="str">
        <f>IF(AND(A585="",B585="",D585="",G585=""),"",IF(AND(A585&lt;&gt;"",COUNTIF($A$2:$A$5001,A585)&gt;1),"NUMERO_PC duplicado",IF(B585="","DATA_PC vazia",IF(NOT(ISNUMBER(B585)),"DATA_PC invalida",IF(OR(C585="",C585="Fora dos ciclos"),"CICLO_PC nao identificado",IF(OR(D585="",D585=0),"VALOR_PC vazio ou zero",IF(AND(G585&lt;&gt;"Sim",G585&lt;&gt;"Nao",G585&lt;&gt;""),"PC_PAGO_A_CONTRATADA invalido",IF(AND(C585&lt;&gt;"C0",IFERROR(INDEX(parametros!$A$2:$A$6,MATCH(C585,parametros!$B$2:$B$6,0)),"")="Sim",IFERROR(INDEX(parametros!$H$2:$H$6,MATCH(C585,parametros!$B$2:$B$6,0)),"")=""),"INICIO_EFEITO ausente: PC "&amp;A585&amp;" - "&amp;C585,IF(L585="","EFEITO_PC nao calculado: PC "&amp;A585&amp;" - "&amp;C585,"OK")))))))))</f>
        <v/>
      </c>
      <c r="L585" s="92" t="str">
        <f>IF(AND(A585="",B585="",D585="",G585=""),"",IF(OR(B585="",NOT(ISNUMBER(B585)),C585="",C585="Fora dos ciclos"),"",IF(C585="C0","Nao",IF(IFERROR(INDEX(parametros!$A$2:$A$6,MATCH(C585,parametros!$B$2:$B$6,0)),"")&lt;&gt;"Sim","Nao",IF(IFERROR(INDEX(parametros!$H$2:$H$6,MATCH(C585,parametros!$B$2:$B$6,0)),"")="","",IF(B585&gt;=IFERROR(INDEX(parametros!$H$2:$H$6,MATCH(C585,parametros!$B$2:$B$6,0)),""),"Sim","Nao"))))))</f>
        <v/>
      </c>
      <c r="T585" s="156"/>
      <c r="U585" s="214" t="str">
        <f t="shared" si="51"/>
        <v/>
      </c>
      <c r="V585" s="212" t="s">
        <v>50</v>
      </c>
      <c r="W585" s="100" t="s">
        <v>168</v>
      </c>
      <c r="X585" s="100" t="s">
        <v>169</v>
      </c>
      <c r="Y585" s="101" t="s">
        <v>170</v>
      </c>
      <c r="Z585" s="101" t="s">
        <v>171</v>
      </c>
      <c r="AA585" s="101" t="s">
        <v>50</v>
      </c>
      <c r="AB585" s="101" t="s">
        <v>172</v>
      </c>
      <c r="AC585" s="102" t="s">
        <v>173</v>
      </c>
    </row>
    <row r="586" spans="1:29" ht="25.5" customHeight="1" x14ac:dyDescent="0.35">
      <c r="A586" s="392"/>
      <c r="B586" s="393"/>
      <c r="C586" s="99" t="str">
        <f>IF(B586="","",IF(NOT(ISNUMBER(B586)),"DATA_PC invalida",IF(NOT(ISNUMBER(parametros!$C$2)),"Fora dos ciclos",IF(OR(B586&lt;parametros!$C$2,(YEAR(B586)-YEAR(parametros!$C$2))*12+MONTH(B586)-MONTH(parametros!$C$2)&gt;59),"Fora dos ciclos","C"&amp;INT(((YEAR(B586)-YEAR(parametros!$C$2))*12+MONTH(B586)-MONTH(parametros!$C$2))/12)))))</f>
        <v/>
      </c>
      <c r="D586" s="394"/>
      <c r="E586" s="78" t="str">
        <f>IF(C586="","",IFERROR(VLOOKUP(C586,parametros!$A$11:$E$15,5,0),""))</f>
        <v/>
      </c>
      <c r="F586" s="79" t="str">
        <f t="shared" si="47"/>
        <v/>
      </c>
      <c r="G586" s="395"/>
      <c r="H586" s="91">
        <f t="shared" si="48"/>
        <v>0</v>
      </c>
      <c r="I586" s="91" t="str">
        <f t="shared" si="49"/>
        <v/>
      </c>
      <c r="J586" s="91" t="str">
        <f t="shared" si="50"/>
        <v/>
      </c>
      <c r="K586" s="92" t="str">
        <f>IF(AND(A586="",B586="",D586="",G586=""),"",IF(AND(A586&lt;&gt;"",COUNTIF($A$2:$A$5001,A586)&gt;1),"NUMERO_PC duplicado",IF(B586="","DATA_PC vazia",IF(NOT(ISNUMBER(B586)),"DATA_PC invalida",IF(OR(C586="",C586="Fora dos ciclos"),"CICLO_PC nao identificado",IF(OR(D586="",D586=0),"VALOR_PC vazio ou zero",IF(AND(G586&lt;&gt;"Sim",G586&lt;&gt;"Nao",G586&lt;&gt;""),"PC_PAGO_A_CONTRATADA invalido",IF(AND(C586&lt;&gt;"C0",IFERROR(INDEX(parametros!$A$2:$A$6,MATCH(C586,parametros!$B$2:$B$6,0)),"")="Sim",IFERROR(INDEX(parametros!$H$2:$H$6,MATCH(C586,parametros!$B$2:$B$6,0)),"")=""),"INICIO_EFEITO ausente: PC "&amp;A586&amp;" - "&amp;C586,IF(L586="","EFEITO_PC nao calculado: PC "&amp;A586&amp;" - "&amp;C586,"OK")))))))))</f>
        <v/>
      </c>
      <c r="L586" s="92" t="str">
        <f>IF(AND(A586="",B586="",D586="",G586=""),"",IF(OR(B586="",NOT(ISNUMBER(B586)),C586="",C586="Fora dos ciclos"),"",IF(C586="C0","Nao",IF(IFERROR(INDEX(parametros!$A$2:$A$6,MATCH(C586,parametros!$B$2:$B$6,0)),"")&lt;&gt;"Sim","Nao",IF(IFERROR(INDEX(parametros!$H$2:$H$6,MATCH(C586,parametros!$B$2:$B$6,0)),"")="","",IF(B586&gt;=IFERROR(INDEX(parametros!$H$2:$H$6,MATCH(C586,parametros!$B$2:$B$6,0)),""),"Sim","Nao"))))))</f>
        <v/>
      </c>
      <c r="T586" s="156"/>
      <c r="U586" s="214" t="str">
        <f t="shared" si="51"/>
        <v/>
      </c>
      <c r="V586" s="212" t="s">
        <v>50</v>
      </c>
      <c r="W586" s="100" t="s">
        <v>168</v>
      </c>
      <c r="X586" s="100" t="s">
        <v>169</v>
      </c>
      <c r="Y586" s="101" t="s">
        <v>170</v>
      </c>
      <c r="Z586" s="101" t="s">
        <v>171</v>
      </c>
      <c r="AA586" s="101" t="s">
        <v>50</v>
      </c>
      <c r="AB586" s="101" t="s">
        <v>172</v>
      </c>
      <c r="AC586" s="102" t="s">
        <v>173</v>
      </c>
    </row>
    <row r="587" spans="1:29" ht="25.5" customHeight="1" x14ac:dyDescent="0.35">
      <c r="A587" s="392"/>
      <c r="B587" s="393"/>
      <c r="C587" s="99" t="str">
        <f>IF(B587="","",IF(NOT(ISNUMBER(B587)),"DATA_PC invalida",IF(NOT(ISNUMBER(parametros!$C$2)),"Fora dos ciclos",IF(OR(B587&lt;parametros!$C$2,(YEAR(B587)-YEAR(parametros!$C$2))*12+MONTH(B587)-MONTH(parametros!$C$2)&gt;59),"Fora dos ciclos","C"&amp;INT(((YEAR(B587)-YEAR(parametros!$C$2))*12+MONTH(B587)-MONTH(parametros!$C$2))/12)))))</f>
        <v/>
      </c>
      <c r="D587" s="394"/>
      <c r="E587" s="78" t="str">
        <f>IF(C587="","",IFERROR(VLOOKUP(C587,parametros!$A$11:$E$15,5,0),""))</f>
        <v/>
      </c>
      <c r="F587" s="79" t="str">
        <f t="shared" si="47"/>
        <v/>
      </c>
      <c r="G587" s="395"/>
      <c r="H587" s="91">
        <f t="shared" si="48"/>
        <v>0</v>
      </c>
      <c r="I587" s="91" t="str">
        <f t="shared" si="49"/>
        <v/>
      </c>
      <c r="J587" s="91" t="str">
        <f t="shared" si="50"/>
        <v/>
      </c>
      <c r="K587" s="92" t="str">
        <f>IF(AND(A587="",B587="",D587="",G587=""),"",IF(AND(A587&lt;&gt;"",COUNTIF($A$2:$A$5001,A587)&gt;1),"NUMERO_PC duplicado",IF(B587="","DATA_PC vazia",IF(NOT(ISNUMBER(B587)),"DATA_PC invalida",IF(OR(C587="",C587="Fora dos ciclos"),"CICLO_PC nao identificado",IF(OR(D587="",D587=0),"VALOR_PC vazio ou zero",IF(AND(G587&lt;&gt;"Sim",G587&lt;&gt;"Nao",G587&lt;&gt;""),"PC_PAGO_A_CONTRATADA invalido",IF(AND(C587&lt;&gt;"C0",IFERROR(INDEX(parametros!$A$2:$A$6,MATCH(C587,parametros!$B$2:$B$6,0)),"")="Sim",IFERROR(INDEX(parametros!$H$2:$H$6,MATCH(C587,parametros!$B$2:$B$6,0)),"")=""),"INICIO_EFEITO ausente: PC "&amp;A587&amp;" - "&amp;C587,IF(L587="","EFEITO_PC nao calculado: PC "&amp;A587&amp;" - "&amp;C587,"OK")))))))))</f>
        <v/>
      </c>
      <c r="L587" s="92" t="str">
        <f>IF(AND(A587="",B587="",D587="",G587=""),"",IF(OR(B587="",NOT(ISNUMBER(B587)),C587="",C587="Fora dos ciclos"),"",IF(C587="C0","Nao",IF(IFERROR(INDEX(parametros!$A$2:$A$6,MATCH(C587,parametros!$B$2:$B$6,0)),"")&lt;&gt;"Sim","Nao",IF(IFERROR(INDEX(parametros!$H$2:$H$6,MATCH(C587,parametros!$B$2:$B$6,0)),"")="","",IF(B587&gt;=IFERROR(INDEX(parametros!$H$2:$H$6,MATCH(C587,parametros!$B$2:$B$6,0)),""),"Sim","Nao"))))))</f>
        <v/>
      </c>
      <c r="T587" s="156"/>
      <c r="U587" s="214" t="str">
        <f t="shared" si="51"/>
        <v/>
      </c>
      <c r="V587" s="212" t="s">
        <v>50</v>
      </c>
      <c r="W587" s="100" t="s">
        <v>168</v>
      </c>
      <c r="X587" s="100" t="s">
        <v>169</v>
      </c>
      <c r="Y587" s="101" t="s">
        <v>170</v>
      </c>
      <c r="Z587" s="101" t="s">
        <v>171</v>
      </c>
      <c r="AA587" s="101" t="s">
        <v>50</v>
      </c>
      <c r="AB587" s="101" t="s">
        <v>172</v>
      </c>
      <c r="AC587" s="102" t="s">
        <v>173</v>
      </c>
    </row>
    <row r="588" spans="1:29" ht="25.5" customHeight="1" x14ac:dyDescent="0.35">
      <c r="A588" s="392"/>
      <c r="B588" s="393"/>
      <c r="C588" s="99" t="str">
        <f>IF(B588="","",IF(NOT(ISNUMBER(B588)),"DATA_PC invalida",IF(NOT(ISNUMBER(parametros!$C$2)),"Fora dos ciclos",IF(OR(B588&lt;parametros!$C$2,(YEAR(B588)-YEAR(parametros!$C$2))*12+MONTH(B588)-MONTH(parametros!$C$2)&gt;59),"Fora dos ciclos","C"&amp;INT(((YEAR(B588)-YEAR(parametros!$C$2))*12+MONTH(B588)-MONTH(parametros!$C$2))/12)))))</f>
        <v/>
      </c>
      <c r="D588" s="394"/>
      <c r="E588" s="78" t="str">
        <f>IF(C588="","",IFERROR(VLOOKUP(C588,parametros!$A$11:$E$15,5,0),""))</f>
        <v/>
      </c>
      <c r="F588" s="79" t="str">
        <f t="shared" si="47"/>
        <v/>
      </c>
      <c r="G588" s="395"/>
      <c r="H588" s="91">
        <f t="shared" si="48"/>
        <v>0</v>
      </c>
      <c r="I588" s="91" t="str">
        <f t="shared" si="49"/>
        <v/>
      </c>
      <c r="J588" s="91" t="str">
        <f t="shared" si="50"/>
        <v/>
      </c>
      <c r="K588" s="92" t="str">
        <f>IF(AND(A588="",B588="",D588="",G588=""),"",IF(AND(A588&lt;&gt;"",COUNTIF($A$2:$A$5001,A588)&gt;1),"NUMERO_PC duplicado",IF(B588="","DATA_PC vazia",IF(NOT(ISNUMBER(B588)),"DATA_PC invalida",IF(OR(C588="",C588="Fora dos ciclos"),"CICLO_PC nao identificado",IF(OR(D588="",D588=0),"VALOR_PC vazio ou zero",IF(AND(G588&lt;&gt;"Sim",G588&lt;&gt;"Nao",G588&lt;&gt;""),"PC_PAGO_A_CONTRATADA invalido",IF(AND(C588&lt;&gt;"C0",IFERROR(INDEX(parametros!$A$2:$A$6,MATCH(C588,parametros!$B$2:$B$6,0)),"")="Sim",IFERROR(INDEX(parametros!$H$2:$H$6,MATCH(C588,parametros!$B$2:$B$6,0)),"")=""),"INICIO_EFEITO ausente: PC "&amp;A588&amp;" - "&amp;C588,IF(L588="","EFEITO_PC nao calculado: PC "&amp;A588&amp;" - "&amp;C588,"OK")))))))))</f>
        <v/>
      </c>
      <c r="L588" s="92" t="str">
        <f>IF(AND(A588="",B588="",D588="",G588=""),"",IF(OR(B588="",NOT(ISNUMBER(B588)),C588="",C588="Fora dos ciclos"),"",IF(C588="C0","Nao",IF(IFERROR(INDEX(parametros!$A$2:$A$6,MATCH(C588,parametros!$B$2:$B$6,0)),"")&lt;&gt;"Sim","Nao",IF(IFERROR(INDEX(parametros!$H$2:$H$6,MATCH(C588,parametros!$B$2:$B$6,0)),"")="","",IF(B588&gt;=IFERROR(INDEX(parametros!$H$2:$H$6,MATCH(C588,parametros!$B$2:$B$6,0)),""),"Sim","Nao"))))))</f>
        <v/>
      </c>
      <c r="T588" s="156"/>
      <c r="U588" s="214" t="str">
        <f t="shared" si="51"/>
        <v/>
      </c>
      <c r="V588" s="212" t="s">
        <v>50</v>
      </c>
      <c r="W588" s="100" t="s">
        <v>168</v>
      </c>
      <c r="X588" s="100" t="s">
        <v>169</v>
      </c>
      <c r="Y588" s="101" t="s">
        <v>170</v>
      </c>
      <c r="Z588" s="101" t="s">
        <v>171</v>
      </c>
      <c r="AA588" s="101" t="s">
        <v>50</v>
      </c>
      <c r="AB588" s="101" t="s">
        <v>172</v>
      </c>
      <c r="AC588" s="102" t="s">
        <v>173</v>
      </c>
    </row>
    <row r="589" spans="1:29" ht="25.5" customHeight="1" x14ac:dyDescent="0.35">
      <c r="A589" s="392"/>
      <c r="B589" s="393"/>
      <c r="C589" s="99" t="str">
        <f>IF(B589="","",IF(NOT(ISNUMBER(B589)),"DATA_PC invalida",IF(NOT(ISNUMBER(parametros!$C$2)),"Fora dos ciclos",IF(OR(B589&lt;parametros!$C$2,(YEAR(B589)-YEAR(parametros!$C$2))*12+MONTH(B589)-MONTH(parametros!$C$2)&gt;59),"Fora dos ciclos","C"&amp;INT(((YEAR(B589)-YEAR(parametros!$C$2))*12+MONTH(B589)-MONTH(parametros!$C$2))/12)))))</f>
        <v/>
      </c>
      <c r="D589" s="394"/>
      <c r="E589" s="78" t="str">
        <f>IF(C589="","",IFERROR(VLOOKUP(C589,parametros!$A$11:$E$15,5,0),""))</f>
        <v/>
      </c>
      <c r="F589" s="79" t="str">
        <f t="shared" si="47"/>
        <v/>
      </c>
      <c r="G589" s="395"/>
      <c r="H589" s="91">
        <f t="shared" si="48"/>
        <v>0</v>
      </c>
      <c r="I589" s="91" t="str">
        <f t="shared" si="49"/>
        <v/>
      </c>
      <c r="J589" s="91" t="str">
        <f t="shared" si="50"/>
        <v/>
      </c>
      <c r="K589" s="92" t="str">
        <f>IF(AND(A589="",B589="",D589="",G589=""),"",IF(AND(A589&lt;&gt;"",COUNTIF($A$2:$A$5001,A589)&gt;1),"NUMERO_PC duplicado",IF(B589="","DATA_PC vazia",IF(NOT(ISNUMBER(B589)),"DATA_PC invalida",IF(OR(C589="",C589="Fora dos ciclos"),"CICLO_PC nao identificado",IF(OR(D589="",D589=0),"VALOR_PC vazio ou zero",IF(AND(G589&lt;&gt;"Sim",G589&lt;&gt;"Nao",G589&lt;&gt;""),"PC_PAGO_A_CONTRATADA invalido",IF(AND(C589&lt;&gt;"C0",IFERROR(INDEX(parametros!$A$2:$A$6,MATCH(C589,parametros!$B$2:$B$6,0)),"")="Sim",IFERROR(INDEX(parametros!$H$2:$H$6,MATCH(C589,parametros!$B$2:$B$6,0)),"")=""),"INICIO_EFEITO ausente: PC "&amp;A589&amp;" - "&amp;C589,IF(L589="","EFEITO_PC nao calculado: PC "&amp;A589&amp;" - "&amp;C589,"OK")))))))))</f>
        <v/>
      </c>
      <c r="L589" s="92" t="str">
        <f>IF(AND(A589="",B589="",D589="",G589=""),"",IF(OR(B589="",NOT(ISNUMBER(B589)),C589="",C589="Fora dos ciclos"),"",IF(C589="C0","Nao",IF(IFERROR(INDEX(parametros!$A$2:$A$6,MATCH(C589,parametros!$B$2:$B$6,0)),"")&lt;&gt;"Sim","Nao",IF(IFERROR(INDEX(parametros!$H$2:$H$6,MATCH(C589,parametros!$B$2:$B$6,0)),"")="","",IF(B589&gt;=IFERROR(INDEX(parametros!$H$2:$H$6,MATCH(C589,parametros!$B$2:$B$6,0)),""),"Sim","Nao"))))))</f>
        <v/>
      </c>
      <c r="T589" s="156"/>
      <c r="U589" s="214" t="str">
        <f t="shared" si="51"/>
        <v/>
      </c>
      <c r="V589" s="212" t="s">
        <v>50</v>
      </c>
      <c r="W589" s="100" t="s">
        <v>168</v>
      </c>
      <c r="X589" s="100" t="s">
        <v>169</v>
      </c>
      <c r="Y589" s="101" t="s">
        <v>170</v>
      </c>
      <c r="Z589" s="101" t="s">
        <v>171</v>
      </c>
      <c r="AA589" s="101" t="s">
        <v>50</v>
      </c>
      <c r="AB589" s="101" t="s">
        <v>172</v>
      </c>
      <c r="AC589" s="102" t="s">
        <v>173</v>
      </c>
    </row>
    <row r="590" spans="1:29" ht="25.5" customHeight="1" x14ac:dyDescent="0.35">
      <c r="A590" s="392"/>
      <c r="B590" s="393"/>
      <c r="C590" s="99" t="str">
        <f>IF(B590="","",IF(NOT(ISNUMBER(B590)),"DATA_PC invalida",IF(NOT(ISNUMBER(parametros!$C$2)),"Fora dos ciclos",IF(OR(B590&lt;parametros!$C$2,(YEAR(B590)-YEAR(parametros!$C$2))*12+MONTH(B590)-MONTH(parametros!$C$2)&gt;59),"Fora dos ciclos","C"&amp;INT(((YEAR(B590)-YEAR(parametros!$C$2))*12+MONTH(B590)-MONTH(parametros!$C$2))/12)))))</f>
        <v/>
      </c>
      <c r="D590" s="394"/>
      <c r="E590" s="78" t="str">
        <f>IF(C590="","",IFERROR(VLOOKUP(C590,parametros!$A$11:$E$15,5,0),""))</f>
        <v/>
      </c>
      <c r="F590" s="79" t="str">
        <f t="shared" si="47"/>
        <v/>
      </c>
      <c r="G590" s="395"/>
      <c r="H590" s="91">
        <f t="shared" si="48"/>
        <v>0</v>
      </c>
      <c r="I590" s="91" t="str">
        <f t="shared" si="49"/>
        <v/>
      </c>
      <c r="J590" s="91" t="str">
        <f t="shared" si="50"/>
        <v/>
      </c>
      <c r="K590" s="92" t="str">
        <f>IF(AND(A590="",B590="",D590="",G590=""),"",IF(AND(A590&lt;&gt;"",COUNTIF($A$2:$A$5001,A590)&gt;1),"NUMERO_PC duplicado",IF(B590="","DATA_PC vazia",IF(NOT(ISNUMBER(B590)),"DATA_PC invalida",IF(OR(C590="",C590="Fora dos ciclos"),"CICLO_PC nao identificado",IF(OR(D590="",D590=0),"VALOR_PC vazio ou zero",IF(AND(G590&lt;&gt;"Sim",G590&lt;&gt;"Nao",G590&lt;&gt;""),"PC_PAGO_A_CONTRATADA invalido",IF(AND(C590&lt;&gt;"C0",IFERROR(INDEX(parametros!$A$2:$A$6,MATCH(C590,parametros!$B$2:$B$6,0)),"")="Sim",IFERROR(INDEX(parametros!$H$2:$H$6,MATCH(C590,parametros!$B$2:$B$6,0)),"")=""),"INICIO_EFEITO ausente: PC "&amp;A590&amp;" - "&amp;C590,IF(L590="","EFEITO_PC nao calculado: PC "&amp;A590&amp;" - "&amp;C590,"OK")))))))))</f>
        <v/>
      </c>
      <c r="L590" s="92" t="str">
        <f>IF(AND(A590="",B590="",D590="",G590=""),"",IF(OR(B590="",NOT(ISNUMBER(B590)),C590="",C590="Fora dos ciclos"),"",IF(C590="C0","Nao",IF(IFERROR(INDEX(parametros!$A$2:$A$6,MATCH(C590,parametros!$B$2:$B$6,0)),"")&lt;&gt;"Sim","Nao",IF(IFERROR(INDEX(parametros!$H$2:$H$6,MATCH(C590,parametros!$B$2:$B$6,0)),"")="","",IF(B590&gt;=IFERROR(INDEX(parametros!$H$2:$H$6,MATCH(C590,parametros!$B$2:$B$6,0)),""),"Sim","Nao"))))))</f>
        <v/>
      </c>
      <c r="T590" s="156"/>
      <c r="U590" s="214" t="str">
        <f t="shared" si="51"/>
        <v/>
      </c>
      <c r="V590" s="212" t="s">
        <v>50</v>
      </c>
      <c r="W590" s="100" t="s">
        <v>168</v>
      </c>
      <c r="X590" s="100" t="s">
        <v>169</v>
      </c>
      <c r="Y590" s="101" t="s">
        <v>170</v>
      </c>
      <c r="Z590" s="101" t="s">
        <v>171</v>
      </c>
      <c r="AA590" s="101" t="s">
        <v>50</v>
      </c>
      <c r="AB590" s="101" t="s">
        <v>172</v>
      </c>
      <c r="AC590" s="102" t="s">
        <v>173</v>
      </c>
    </row>
    <row r="591" spans="1:29" ht="25.5" customHeight="1" x14ac:dyDescent="0.35">
      <c r="A591" s="392"/>
      <c r="B591" s="393"/>
      <c r="C591" s="99" t="str">
        <f>IF(B591="","",IF(NOT(ISNUMBER(B591)),"DATA_PC invalida",IF(NOT(ISNUMBER(parametros!$C$2)),"Fora dos ciclos",IF(OR(B591&lt;parametros!$C$2,(YEAR(B591)-YEAR(parametros!$C$2))*12+MONTH(B591)-MONTH(parametros!$C$2)&gt;59),"Fora dos ciclos","C"&amp;INT(((YEAR(B591)-YEAR(parametros!$C$2))*12+MONTH(B591)-MONTH(parametros!$C$2))/12)))))</f>
        <v/>
      </c>
      <c r="D591" s="394"/>
      <c r="E591" s="78" t="str">
        <f>IF(C591="","",IFERROR(VLOOKUP(C591,parametros!$A$11:$E$15,5,0),""))</f>
        <v/>
      </c>
      <c r="F591" s="79" t="str">
        <f t="shared" si="47"/>
        <v/>
      </c>
      <c r="G591" s="395"/>
      <c r="H591" s="91">
        <f t="shared" si="48"/>
        <v>0</v>
      </c>
      <c r="I591" s="91" t="str">
        <f t="shared" si="49"/>
        <v/>
      </c>
      <c r="J591" s="91" t="str">
        <f t="shared" si="50"/>
        <v/>
      </c>
      <c r="K591" s="92" t="str">
        <f>IF(AND(A591="",B591="",D591="",G591=""),"",IF(AND(A591&lt;&gt;"",COUNTIF($A$2:$A$5001,A591)&gt;1),"NUMERO_PC duplicado",IF(B591="","DATA_PC vazia",IF(NOT(ISNUMBER(B591)),"DATA_PC invalida",IF(OR(C591="",C591="Fora dos ciclos"),"CICLO_PC nao identificado",IF(OR(D591="",D591=0),"VALOR_PC vazio ou zero",IF(AND(G591&lt;&gt;"Sim",G591&lt;&gt;"Nao",G591&lt;&gt;""),"PC_PAGO_A_CONTRATADA invalido",IF(AND(C591&lt;&gt;"C0",IFERROR(INDEX(parametros!$A$2:$A$6,MATCH(C591,parametros!$B$2:$B$6,0)),"")="Sim",IFERROR(INDEX(parametros!$H$2:$H$6,MATCH(C591,parametros!$B$2:$B$6,0)),"")=""),"INICIO_EFEITO ausente: PC "&amp;A591&amp;" - "&amp;C591,IF(L591="","EFEITO_PC nao calculado: PC "&amp;A591&amp;" - "&amp;C591,"OK")))))))))</f>
        <v/>
      </c>
      <c r="L591" s="92" t="str">
        <f>IF(AND(A591="",B591="",D591="",G591=""),"",IF(OR(B591="",NOT(ISNUMBER(B591)),C591="",C591="Fora dos ciclos"),"",IF(C591="C0","Nao",IF(IFERROR(INDEX(parametros!$A$2:$A$6,MATCH(C591,parametros!$B$2:$B$6,0)),"")&lt;&gt;"Sim","Nao",IF(IFERROR(INDEX(parametros!$H$2:$H$6,MATCH(C591,parametros!$B$2:$B$6,0)),"")="","",IF(B591&gt;=IFERROR(INDEX(parametros!$H$2:$H$6,MATCH(C591,parametros!$B$2:$B$6,0)),""),"Sim","Nao"))))))</f>
        <v/>
      </c>
      <c r="T591" s="156"/>
      <c r="U591" s="214" t="str">
        <f t="shared" si="51"/>
        <v/>
      </c>
      <c r="V591" s="212" t="s">
        <v>50</v>
      </c>
      <c r="W591" s="100" t="s">
        <v>168</v>
      </c>
      <c r="X591" s="100" t="s">
        <v>169</v>
      </c>
      <c r="Y591" s="101" t="s">
        <v>170</v>
      </c>
      <c r="Z591" s="101" t="s">
        <v>171</v>
      </c>
      <c r="AA591" s="101" t="s">
        <v>50</v>
      </c>
      <c r="AB591" s="101" t="s">
        <v>172</v>
      </c>
      <c r="AC591" s="102" t="s">
        <v>173</v>
      </c>
    </row>
    <row r="592" spans="1:29" ht="25.5" customHeight="1" x14ac:dyDescent="0.35">
      <c r="A592" s="392"/>
      <c r="B592" s="393"/>
      <c r="C592" s="99" t="str">
        <f>IF(B592="","",IF(NOT(ISNUMBER(B592)),"DATA_PC invalida",IF(NOT(ISNUMBER(parametros!$C$2)),"Fora dos ciclos",IF(OR(B592&lt;parametros!$C$2,(YEAR(B592)-YEAR(parametros!$C$2))*12+MONTH(B592)-MONTH(parametros!$C$2)&gt;59),"Fora dos ciclos","C"&amp;INT(((YEAR(B592)-YEAR(parametros!$C$2))*12+MONTH(B592)-MONTH(parametros!$C$2))/12)))))</f>
        <v/>
      </c>
      <c r="D592" s="394"/>
      <c r="E592" s="78" t="str">
        <f>IF(C592="","",IFERROR(VLOOKUP(C592,parametros!$A$11:$E$15,5,0),""))</f>
        <v/>
      </c>
      <c r="F592" s="79" t="str">
        <f t="shared" si="47"/>
        <v/>
      </c>
      <c r="G592" s="395"/>
      <c r="H592" s="91">
        <f t="shared" si="48"/>
        <v>0</v>
      </c>
      <c r="I592" s="91" t="str">
        <f t="shared" si="49"/>
        <v/>
      </c>
      <c r="J592" s="91" t="str">
        <f t="shared" si="50"/>
        <v/>
      </c>
      <c r="K592" s="92" t="str">
        <f>IF(AND(A592="",B592="",D592="",G592=""),"",IF(AND(A592&lt;&gt;"",COUNTIF($A$2:$A$5001,A592)&gt;1),"NUMERO_PC duplicado",IF(B592="","DATA_PC vazia",IF(NOT(ISNUMBER(B592)),"DATA_PC invalida",IF(OR(C592="",C592="Fora dos ciclos"),"CICLO_PC nao identificado",IF(OR(D592="",D592=0),"VALOR_PC vazio ou zero",IF(AND(G592&lt;&gt;"Sim",G592&lt;&gt;"Nao",G592&lt;&gt;""),"PC_PAGO_A_CONTRATADA invalido",IF(AND(C592&lt;&gt;"C0",IFERROR(INDEX(parametros!$A$2:$A$6,MATCH(C592,parametros!$B$2:$B$6,0)),"")="Sim",IFERROR(INDEX(parametros!$H$2:$H$6,MATCH(C592,parametros!$B$2:$B$6,0)),"")=""),"INICIO_EFEITO ausente: PC "&amp;A592&amp;" - "&amp;C592,IF(L592="","EFEITO_PC nao calculado: PC "&amp;A592&amp;" - "&amp;C592,"OK")))))))))</f>
        <v/>
      </c>
      <c r="L592" s="92" t="str">
        <f>IF(AND(A592="",B592="",D592="",G592=""),"",IF(OR(B592="",NOT(ISNUMBER(B592)),C592="",C592="Fora dos ciclos"),"",IF(C592="C0","Nao",IF(IFERROR(INDEX(parametros!$A$2:$A$6,MATCH(C592,parametros!$B$2:$B$6,0)),"")&lt;&gt;"Sim","Nao",IF(IFERROR(INDEX(parametros!$H$2:$H$6,MATCH(C592,parametros!$B$2:$B$6,0)),"")="","",IF(B592&gt;=IFERROR(INDEX(parametros!$H$2:$H$6,MATCH(C592,parametros!$B$2:$B$6,0)),""),"Sim","Nao"))))))</f>
        <v/>
      </c>
      <c r="T592" s="156"/>
      <c r="U592" s="214" t="str">
        <f t="shared" si="51"/>
        <v/>
      </c>
      <c r="V592" s="212" t="s">
        <v>50</v>
      </c>
      <c r="W592" s="100" t="s">
        <v>168</v>
      </c>
      <c r="X592" s="100" t="s">
        <v>169</v>
      </c>
      <c r="Y592" s="101" t="s">
        <v>170</v>
      </c>
      <c r="Z592" s="101" t="s">
        <v>171</v>
      </c>
      <c r="AA592" s="101" t="s">
        <v>50</v>
      </c>
      <c r="AB592" s="101" t="s">
        <v>172</v>
      </c>
      <c r="AC592" s="102" t="s">
        <v>173</v>
      </c>
    </row>
    <row r="593" spans="1:29" ht="25.5" customHeight="1" x14ac:dyDescent="0.35">
      <c r="A593" s="392"/>
      <c r="B593" s="393"/>
      <c r="C593" s="99" t="str">
        <f>IF(B593="","",IF(NOT(ISNUMBER(B593)),"DATA_PC invalida",IF(NOT(ISNUMBER(parametros!$C$2)),"Fora dos ciclos",IF(OR(B593&lt;parametros!$C$2,(YEAR(B593)-YEAR(parametros!$C$2))*12+MONTH(B593)-MONTH(parametros!$C$2)&gt;59),"Fora dos ciclos","C"&amp;INT(((YEAR(B593)-YEAR(parametros!$C$2))*12+MONTH(B593)-MONTH(parametros!$C$2))/12)))))</f>
        <v/>
      </c>
      <c r="D593" s="394"/>
      <c r="E593" s="78" t="str">
        <f>IF(C593="","",IFERROR(VLOOKUP(C593,parametros!$A$11:$E$15,5,0),""))</f>
        <v/>
      </c>
      <c r="F593" s="79" t="str">
        <f t="shared" si="47"/>
        <v/>
      </c>
      <c r="G593" s="395"/>
      <c r="H593" s="91">
        <f t="shared" si="48"/>
        <v>0</v>
      </c>
      <c r="I593" s="91" t="str">
        <f t="shared" si="49"/>
        <v/>
      </c>
      <c r="J593" s="91" t="str">
        <f t="shared" si="50"/>
        <v/>
      </c>
      <c r="K593" s="92" t="str">
        <f>IF(AND(A593="",B593="",D593="",G593=""),"",IF(AND(A593&lt;&gt;"",COUNTIF($A$2:$A$5001,A593)&gt;1),"NUMERO_PC duplicado",IF(B593="","DATA_PC vazia",IF(NOT(ISNUMBER(B593)),"DATA_PC invalida",IF(OR(C593="",C593="Fora dos ciclos"),"CICLO_PC nao identificado",IF(OR(D593="",D593=0),"VALOR_PC vazio ou zero",IF(AND(G593&lt;&gt;"Sim",G593&lt;&gt;"Nao",G593&lt;&gt;""),"PC_PAGO_A_CONTRATADA invalido",IF(AND(C593&lt;&gt;"C0",IFERROR(INDEX(parametros!$A$2:$A$6,MATCH(C593,parametros!$B$2:$B$6,0)),"")="Sim",IFERROR(INDEX(parametros!$H$2:$H$6,MATCH(C593,parametros!$B$2:$B$6,0)),"")=""),"INICIO_EFEITO ausente: PC "&amp;A593&amp;" - "&amp;C593,IF(L593="","EFEITO_PC nao calculado: PC "&amp;A593&amp;" - "&amp;C593,"OK")))))))))</f>
        <v/>
      </c>
      <c r="L593" s="92" t="str">
        <f>IF(AND(A593="",B593="",D593="",G593=""),"",IF(OR(B593="",NOT(ISNUMBER(B593)),C593="",C593="Fora dos ciclos"),"",IF(C593="C0","Nao",IF(IFERROR(INDEX(parametros!$A$2:$A$6,MATCH(C593,parametros!$B$2:$B$6,0)),"")&lt;&gt;"Sim","Nao",IF(IFERROR(INDEX(parametros!$H$2:$H$6,MATCH(C593,parametros!$B$2:$B$6,0)),"")="","",IF(B593&gt;=IFERROR(INDEX(parametros!$H$2:$H$6,MATCH(C593,parametros!$B$2:$B$6,0)),""),"Sim","Nao"))))))</f>
        <v/>
      </c>
      <c r="T593" s="156"/>
      <c r="U593" s="214" t="str">
        <f t="shared" si="51"/>
        <v/>
      </c>
      <c r="V593" s="212" t="s">
        <v>50</v>
      </c>
      <c r="W593" s="100" t="s">
        <v>168</v>
      </c>
      <c r="X593" s="100" t="s">
        <v>169</v>
      </c>
      <c r="Y593" s="101" t="s">
        <v>170</v>
      </c>
      <c r="Z593" s="101" t="s">
        <v>171</v>
      </c>
      <c r="AA593" s="101" t="s">
        <v>50</v>
      </c>
      <c r="AB593" s="101" t="s">
        <v>172</v>
      </c>
      <c r="AC593" s="102" t="s">
        <v>173</v>
      </c>
    </row>
    <row r="594" spans="1:29" ht="25.5" customHeight="1" x14ac:dyDescent="0.35">
      <c r="A594" s="392"/>
      <c r="B594" s="393"/>
      <c r="C594" s="99" t="str">
        <f>IF(B594="","",IF(NOT(ISNUMBER(B594)),"DATA_PC invalida",IF(NOT(ISNUMBER(parametros!$C$2)),"Fora dos ciclos",IF(OR(B594&lt;parametros!$C$2,(YEAR(B594)-YEAR(parametros!$C$2))*12+MONTH(B594)-MONTH(parametros!$C$2)&gt;59),"Fora dos ciclos","C"&amp;INT(((YEAR(B594)-YEAR(parametros!$C$2))*12+MONTH(B594)-MONTH(parametros!$C$2))/12)))))</f>
        <v/>
      </c>
      <c r="D594" s="394"/>
      <c r="E594" s="78" t="str">
        <f>IF(C594="","",IFERROR(VLOOKUP(C594,parametros!$A$11:$E$15,5,0),""))</f>
        <v/>
      </c>
      <c r="F594" s="79" t="str">
        <f t="shared" si="47"/>
        <v/>
      </c>
      <c r="G594" s="395"/>
      <c r="H594" s="91">
        <f t="shared" si="48"/>
        <v>0</v>
      </c>
      <c r="I594" s="91" t="str">
        <f t="shared" si="49"/>
        <v/>
      </c>
      <c r="J594" s="91" t="str">
        <f t="shared" si="50"/>
        <v/>
      </c>
      <c r="K594" s="92" t="str">
        <f>IF(AND(A594="",B594="",D594="",G594=""),"",IF(AND(A594&lt;&gt;"",COUNTIF($A$2:$A$5001,A594)&gt;1),"NUMERO_PC duplicado",IF(B594="","DATA_PC vazia",IF(NOT(ISNUMBER(B594)),"DATA_PC invalida",IF(OR(C594="",C594="Fora dos ciclos"),"CICLO_PC nao identificado",IF(OR(D594="",D594=0),"VALOR_PC vazio ou zero",IF(AND(G594&lt;&gt;"Sim",G594&lt;&gt;"Nao",G594&lt;&gt;""),"PC_PAGO_A_CONTRATADA invalido",IF(AND(C594&lt;&gt;"C0",IFERROR(INDEX(parametros!$A$2:$A$6,MATCH(C594,parametros!$B$2:$B$6,0)),"")="Sim",IFERROR(INDEX(parametros!$H$2:$H$6,MATCH(C594,parametros!$B$2:$B$6,0)),"")=""),"INICIO_EFEITO ausente: PC "&amp;A594&amp;" - "&amp;C594,IF(L594="","EFEITO_PC nao calculado: PC "&amp;A594&amp;" - "&amp;C594,"OK")))))))))</f>
        <v/>
      </c>
      <c r="L594" s="92" t="str">
        <f>IF(AND(A594="",B594="",D594="",G594=""),"",IF(OR(B594="",NOT(ISNUMBER(B594)),C594="",C594="Fora dos ciclos"),"",IF(C594="C0","Nao",IF(IFERROR(INDEX(parametros!$A$2:$A$6,MATCH(C594,parametros!$B$2:$B$6,0)),"")&lt;&gt;"Sim","Nao",IF(IFERROR(INDEX(parametros!$H$2:$H$6,MATCH(C594,parametros!$B$2:$B$6,0)),"")="","",IF(B594&gt;=IFERROR(INDEX(parametros!$H$2:$H$6,MATCH(C594,parametros!$B$2:$B$6,0)),""),"Sim","Nao"))))))</f>
        <v/>
      </c>
      <c r="T594" s="156"/>
      <c r="U594" s="214" t="str">
        <f t="shared" si="51"/>
        <v/>
      </c>
      <c r="V594" s="212" t="s">
        <v>50</v>
      </c>
      <c r="W594" s="100" t="s">
        <v>168</v>
      </c>
      <c r="X594" s="100" t="s">
        <v>169</v>
      </c>
      <c r="Y594" s="101" t="s">
        <v>170</v>
      </c>
      <c r="Z594" s="101" t="s">
        <v>171</v>
      </c>
      <c r="AA594" s="101" t="s">
        <v>50</v>
      </c>
      <c r="AB594" s="101" t="s">
        <v>172</v>
      </c>
      <c r="AC594" s="102" t="s">
        <v>173</v>
      </c>
    </row>
    <row r="595" spans="1:29" ht="25.5" customHeight="1" x14ac:dyDescent="0.35">
      <c r="A595" s="392"/>
      <c r="B595" s="393"/>
      <c r="C595" s="99" t="str">
        <f>IF(B595="","",IF(NOT(ISNUMBER(B595)),"DATA_PC invalida",IF(NOT(ISNUMBER(parametros!$C$2)),"Fora dos ciclos",IF(OR(B595&lt;parametros!$C$2,(YEAR(B595)-YEAR(parametros!$C$2))*12+MONTH(B595)-MONTH(parametros!$C$2)&gt;59),"Fora dos ciclos","C"&amp;INT(((YEAR(B595)-YEAR(parametros!$C$2))*12+MONTH(B595)-MONTH(parametros!$C$2))/12)))))</f>
        <v/>
      </c>
      <c r="D595" s="394"/>
      <c r="E595" s="78" t="str">
        <f>IF(C595="","",IFERROR(VLOOKUP(C595,parametros!$A$11:$E$15,5,0),""))</f>
        <v/>
      </c>
      <c r="F595" s="79" t="str">
        <f t="shared" si="47"/>
        <v/>
      </c>
      <c r="G595" s="395"/>
      <c r="H595" s="91">
        <f t="shared" si="48"/>
        <v>0</v>
      </c>
      <c r="I595" s="91" t="str">
        <f t="shared" si="49"/>
        <v/>
      </c>
      <c r="J595" s="91" t="str">
        <f t="shared" si="50"/>
        <v/>
      </c>
      <c r="K595" s="92" t="str">
        <f>IF(AND(A595="",B595="",D595="",G595=""),"",IF(AND(A595&lt;&gt;"",COUNTIF($A$2:$A$5001,A595)&gt;1),"NUMERO_PC duplicado",IF(B595="","DATA_PC vazia",IF(NOT(ISNUMBER(B595)),"DATA_PC invalida",IF(OR(C595="",C595="Fora dos ciclos"),"CICLO_PC nao identificado",IF(OR(D595="",D595=0),"VALOR_PC vazio ou zero",IF(AND(G595&lt;&gt;"Sim",G595&lt;&gt;"Nao",G595&lt;&gt;""),"PC_PAGO_A_CONTRATADA invalido",IF(AND(C595&lt;&gt;"C0",IFERROR(INDEX(parametros!$A$2:$A$6,MATCH(C595,parametros!$B$2:$B$6,0)),"")="Sim",IFERROR(INDEX(parametros!$H$2:$H$6,MATCH(C595,parametros!$B$2:$B$6,0)),"")=""),"INICIO_EFEITO ausente: PC "&amp;A595&amp;" - "&amp;C595,IF(L595="","EFEITO_PC nao calculado: PC "&amp;A595&amp;" - "&amp;C595,"OK")))))))))</f>
        <v/>
      </c>
      <c r="L595" s="92" t="str">
        <f>IF(AND(A595="",B595="",D595="",G595=""),"",IF(OR(B595="",NOT(ISNUMBER(B595)),C595="",C595="Fora dos ciclos"),"",IF(C595="C0","Nao",IF(IFERROR(INDEX(parametros!$A$2:$A$6,MATCH(C595,parametros!$B$2:$B$6,0)),"")&lt;&gt;"Sim","Nao",IF(IFERROR(INDEX(parametros!$H$2:$H$6,MATCH(C595,parametros!$B$2:$B$6,0)),"")="","",IF(B595&gt;=IFERROR(INDEX(parametros!$H$2:$H$6,MATCH(C595,parametros!$B$2:$B$6,0)),""),"Sim","Nao"))))))</f>
        <v/>
      </c>
      <c r="T595" s="156"/>
      <c r="U595" s="214" t="str">
        <f t="shared" si="51"/>
        <v/>
      </c>
      <c r="V595" s="212" t="s">
        <v>50</v>
      </c>
      <c r="W595" s="100" t="s">
        <v>168</v>
      </c>
      <c r="X595" s="100" t="s">
        <v>169</v>
      </c>
      <c r="Y595" s="101" t="s">
        <v>170</v>
      </c>
      <c r="Z595" s="101" t="s">
        <v>171</v>
      </c>
      <c r="AA595" s="101" t="s">
        <v>50</v>
      </c>
      <c r="AB595" s="101" t="s">
        <v>172</v>
      </c>
      <c r="AC595" s="102" t="s">
        <v>173</v>
      </c>
    </row>
    <row r="596" spans="1:29" ht="25.5" customHeight="1" x14ac:dyDescent="0.35">
      <c r="A596" s="392"/>
      <c r="B596" s="393"/>
      <c r="C596" s="99" t="str">
        <f>IF(B596="","",IF(NOT(ISNUMBER(B596)),"DATA_PC invalida",IF(NOT(ISNUMBER(parametros!$C$2)),"Fora dos ciclos",IF(OR(B596&lt;parametros!$C$2,(YEAR(B596)-YEAR(parametros!$C$2))*12+MONTH(B596)-MONTH(parametros!$C$2)&gt;59),"Fora dos ciclos","C"&amp;INT(((YEAR(B596)-YEAR(parametros!$C$2))*12+MONTH(B596)-MONTH(parametros!$C$2))/12)))))</f>
        <v/>
      </c>
      <c r="D596" s="394"/>
      <c r="E596" s="78" t="str">
        <f>IF(C596="","",IFERROR(VLOOKUP(C596,parametros!$A$11:$E$15,5,0),""))</f>
        <v/>
      </c>
      <c r="F596" s="79" t="str">
        <f t="shared" si="47"/>
        <v/>
      </c>
      <c r="G596" s="395"/>
      <c r="H596" s="91">
        <f t="shared" si="48"/>
        <v>0</v>
      </c>
      <c r="I596" s="91" t="str">
        <f t="shared" si="49"/>
        <v/>
      </c>
      <c r="J596" s="91" t="str">
        <f t="shared" si="50"/>
        <v/>
      </c>
      <c r="K596" s="92" t="str">
        <f>IF(AND(A596="",B596="",D596="",G596=""),"",IF(AND(A596&lt;&gt;"",COUNTIF($A$2:$A$5001,A596)&gt;1),"NUMERO_PC duplicado",IF(B596="","DATA_PC vazia",IF(NOT(ISNUMBER(B596)),"DATA_PC invalida",IF(OR(C596="",C596="Fora dos ciclos"),"CICLO_PC nao identificado",IF(OR(D596="",D596=0),"VALOR_PC vazio ou zero",IF(AND(G596&lt;&gt;"Sim",G596&lt;&gt;"Nao",G596&lt;&gt;""),"PC_PAGO_A_CONTRATADA invalido",IF(AND(C596&lt;&gt;"C0",IFERROR(INDEX(parametros!$A$2:$A$6,MATCH(C596,parametros!$B$2:$B$6,0)),"")="Sim",IFERROR(INDEX(parametros!$H$2:$H$6,MATCH(C596,parametros!$B$2:$B$6,0)),"")=""),"INICIO_EFEITO ausente: PC "&amp;A596&amp;" - "&amp;C596,IF(L596="","EFEITO_PC nao calculado: PC "&amp;A596&amp;" - "&amp;C596,"OK")))))))))</f>
        <v/>
      </c>
      <c r="L596" s="92" t="str">
        <f>IF(AND(A596="",B596="",D596="",G596=""),"",IF(OR(B596="",NOT(ISNUMBER(B596)),C596="",C596="Fora dos ciclos"),"",IF(C596="C0","Nao",IF(IFERROR(INDEX(parametros!$A$2:$A$6,MATCH(C596,parametros!$B$2:$B$6,0)),"")&lt;&gt;"Sim","Nao",IF(IFERROR(INDEX(parametros!$H$2:$H$6,MATCH(C596,parametros!$B$2:$B$6,0)),"")="","",IF(B596&gt;=IFERROR(INDEX(parametros!$H$2:$H$6,MATCH(C596,parametros!$B$2:$B$6,0)),""),"Sim","Nao"))))))</f>
        <v/>
      </c>
      <c r="T596" s="156"/>
      <c r="U596" s="214" t="str">
        <f t="shared" si="51"/>
        <v/>
      </c>
      <c r="V596" s="212" t="s">
        <v>50</v>
      </c>
      <c r="W596" s="100" t="s">
        <v>168</v>
      </c>
      <c r="X596" s="100" t="s">
        <v>169</v>
      </c>
      <c r="Y596" s="101" t="s">
        <v>170</v>
      </c>
      <c r="Z596" s="101" t="s">
        <v>171</v>
      </c>
      <c r="AA596" s="101" t="s">
        <v>50</v>
      </c>
      <c r="AB596" s="101" t="s">
        <v>172</v>
      </c>
      <c r="AC596" s="102" t="s">
        <v>173</v>
      </c>
    </row>
    <row r="597" spans="1:29" ht="25.5" customHeight="1" x14ac:dyDescent="0.35">
      <c r="A597" s="392"/>
      <c r="B597" s="393"/>
      <c r="C597" s="99" t="str">
        <f>IF(B597="","",IF(NOT(ISNUMBER(B597)),"DATA_PC invalida",IF(NOT(ISNUMBER(parametros!$C$2)),"Fora dos ciclos",IF(OR(B597&lt;parametros!$C$2,(YEAR(B597)-YEAR(parametros!$C$2))*12+MONTH(B597)-MONTH(parametros!$C$2)&gt;59),"Fora dos ciclos","C"&amp;INT(((YEAR(B597)-YEAR(parametros!$C$2))*12+MONTH(B597)-MONTH(parametros!$C$2))/12)))))</f>
        <v/>
      </c>
      <c r="D597" s="394"/>
      <c r="E597" s="78" t="str">
        <f>IF(C597="","",IFERROR(VLOOKUP(C597,parametros!$A$11:$E$15,5,0),""))</f>
        <v/>
      </c>
      <c r="F597" s="79" t="str">
        <f t="shared" si="47"/>
        <v/>
      </c>
      <c r="G597" s="395"/>
      <c r="H597" s="91">
        <f t="shared" si="48"/>
        <v>0</v>
      </c>
      <c r="I597" s="91" t="str">
        <f t="shared" si="49"/>
        <v/>
      </c>
      <c r="J597" s="91" t="str">
        <f t="shared" si="50"/>
        <v/>
      </c>
      <c r="K597" s="92" t="str">
        <f>IF(AND(A597="",B597="",D597="",G597=""),"",IF(AND(A597&lt;&gt;"",COUNTIF($A$2:$A$5001,A597)&gt;1),"NUMERO_PC duplicado",IF(B597="","DATA_PC vazia",IF(NOT(ISNUMBER(B597)),"DATA_PC invalida",IF(OR(C597="",C597="Fora dos ciclos"),"CICLO_PC nao identificado",IF(OR(D597="",D597=0),"VALOR_PC vazio ou zero",IF(AND(G597&lt;&gt;"Sim",G597&lt;&gt;"Nao",G597&lt;&gt;""),"PC_PAGO_A_CONTRATADA invalido",IF(AND(C597&lt;&gt;"C0",IFERROR(INDEX(parametros!$A$2:$A$6,MATCH(C597,parametros!$B$2:$B$6,0)),"")="Sim",IFERROR(INDEX(parametros!$H$2:$H$6,MATCH(C597,parametros!$B$2:$B$6,0)),"")=""),"INICIO_EFEITO ausente: PC "&amp;A597&amp;" - "&amp;C597,IF(L597="","EFEITO_PC nao calculado: PC "&amp;A597&amp;" - "&amp;C597,"OK")))))))))</f>
        <v/>
      </c>
      <c r="L597" s="92" t="str">
        <f>IF(AND(A597="",B597="",D597="",G597=""),"",IF(OR(B597="",NOT(ISNUMBER(B597)),C597="",C597="Fora dos ciclos"),"",IF(C597="C0","Nao",IF(IFERROR(INDEX(parametros!$A$2:$A$6,MATCH(C597,parametros!$B$2:$B$6,0)),"")&lt;&gt;"Sim","Nao",IF(IFERROR(INDEX(parametros!$H$2:$H$6,MATCH(C597,parametros!$B$2:$B$6,0)),"")="","",IF(B597&gt;=IFERROR(INDEX(parametros!$H$2:$H$6,MATCH(C597,parametros!$B$2:$B$6,0)),""),"Sim","Nao"))))))</f>
        <v/>
      </c>
      <c r="T597" s="156"/>
      <c r="U597" s="214" t="str">
        <f t="shared" si="51"/>
        <v/>
      </c>
      <c r="V597" s="212" t="s">
        <v>50</v>
      </c>
      <c r="W597" s="100" t="s">
        <v>168</v>
      </c>
      <c r="X597" s="100" t="s">
        <v>169</v>
      </c>
      <c r="Y597" s="101" t="s">
        <v>170</v>
      </c>
      <c r="Z597" s="101" t="s">
        <v>171</v>
      </c>
      <c r="AA597" s="101" t="s">
        <v>50</v>
      </c>
      <c r="AB597" s="101" t="s">
        <v>172</v>
      </c>
      <c r="AC597" s="102" t="s">
        <v>173</v>
      </c>
    </row>
    <row r="598" spans="1:29" ht="25.5" customHeight="1" x14ac:dyDescent="0.35">
      <c r="A598" s="392"/>
      <c r="B598" s="393"/>
      <c r="C598" s="99" t="str">
        <f>IF(B598="","",IF(NOT(ISNUMBER(B598)),"DATA_PC invalida",IF(NOT(ISNUMBER(parametros!$C$2)),"Fora dos ciclos",IF(OR(B598&lt;parametros!$C$2,(YEAR(B598)-YEAR(parametros!$C$2))*12+MONTH(B598)-MONTH(parametros!$C$2)&gt;59),"Fora dos ciclos","C"&amp;INT(((YEAR(B598)-YEAR(parametros!$C$2))*12+MONTH(B598)-MONTH(parametros!$C$2))/12)))))</f>
        <v/>
      </c>
      <c r="D598" s="394"/>
      <c r="E598" s="78" t="str">
        <f>IF(C598="","",IFERROR(VLOOKUP(C598,parametros!$A$11:$E$15,5,0),""))</f>
        <v/>
      </c>
      <c r="F598" s="79" t="str">
        <f t="shared" si="47"/>
        <v/>
      </c>
      <c r="G598" s="395"/>
      <c r="H598" s="91">
        <f t="shared" si="48"/>
        <v>0</v>
      </c>
      <c r="I598" s="91" t="str">
        <f t="shared" si="49"/>
        <v/>
      </c>
      <c r="J598" s="91" t="str">
        <f t="shared" si="50"/>
        <v/>
      </c>
      <c r="K598" s="92" t="str">
        <f>IF(AND(A598="",B598="",D598="",G598=""),"",IF(AND(A598&lt;&gt;"",COUNTIF($A$2:$A$5001,A598)&gt;1),"NUMERO_PC duplicado",IF(B598="","DATA_PC vazia",IF(NOT(ISNUMBER(B598)),"DATA_PC invalida",IF(OR(C598="",C598="Fora dos ciclos"),"CICLO_PC nao identificado",IF(OR(D598="",D598=0),"VALOR_PC vazio ou zero",IF(AND(G598&lt;&gt;"Sim",G598&lt;&gt;"Nao",G598&lt;&gt;""),"PC_PAGO_A_CONTRATADA invalido",IF(AND(C598&lt;&gt;"C0",IFERROR(INDEX(parametros!$A$2:$A$6,MATCH(C598,parametros!$B$2:$B$6,0)),"")="Sim",IFERROR(INDEX(parametros!$H$2:$H$6,MATCH(C598,parametros!$B$2:$B$6,0)),"")=""),"INICIO_EFEITO ausente: PC "&amp;A598&amp;" - "&amp;C598,IF(L598="","EFEITO_PC nao calculado: PC "&amp;A598&amp;" - "&amp;C598,"OK")))))))))</f>
        <v/>
      </c>
      <c r="L598" s="92" t="str">
        <f>IF(AND(A598="",B598="",D598="",G598=""),"",IF(OR(B598="",NOT(ISNUMBER(B598)),C598="",C598="Fora dos ciclos"),"",IF(C598="C0","Nao",IF(IFERROR(INDEX(parametros!$A$2:$A$6,MATCH(C598,parametros!$B$2:$B$6,0)),"")&lt;&gt;"Sim","Nao",IF(IFERROR(INDEX(parametros!$H$2:$H$6,MATCH(C598,parametros!$B$2:$B$6,0)),"")="","",IF(B598&gt;=IFERROR(INDEX(parametros!$H$2:$H$6,MATCH(C598,parametros!$B$2:$B$6,0)),""),"Sim","Nao"))))))</f>
        <v/>
      </c>
      <c r="T598" s="156"/>
      <c r="U598" s="214" t="str">
        <f t="shared" si="51"/>
        <v/>
      </c>
      <c r="V598" s="212" t="s">
        <v>50</v>
      </c>
      <c r="W598" s="100" t="s">
        <v>168</v>
      </c>
      <c r="X598" s="100" t="s">
        <v>169</v>
      </c>
      <c r="Y598" s="101" t="s">
        <v>170</v>
      </c>
      <c r="Z598" s="101" t="s">
        <v>171</v>
      </c>
      <c r="AA598" s="101" t="s">
        <v>50</v>
      </c>
      <c r="AB598" s="101" t="s">
        <v>172</v>
      </c>
      <c r="AC598" s="102" t="s">
        <v>173</v>
      </c>
    </row>
    <row r="599" spans="1:29" ht="25.5" customHeight="1" x14ac:dyDescent="0.35">
      <c r="A599" s="392"/>
      <c r="B599" s="393"/>
      <c r="C599" s="99" t="str">
        <f>IF(B599="","",IF(NOT(ISNUMBER(B599)),"DATA_PC invalida",IF(NOT(ISNUMBER(parametros!$C$2)),"Fora dos ciclos",IF(OR(B599&lt;parametros!$C$2,(YEAR(B599)-YEAR(parametros!$C$2))*12+MONTH(B599)-MONTH(parametros!$C$2)&gt;59),"Fora dos ciclos","C"&amp;INT(((YEAR(B599)-YEAR(parametros!$C$2))*12+MONTH(B599)-MONTH(parametros!$C$2))/12)))))</f>
        <v/>
      </c>
      <c r="D599" s="394"/>
      <c r="E599" s="78" t="str">
        <f>IF(C599="","",IFERROR(VLOOKUP(C599,parametros!$A$11:$E$15,5,0),""))</f>
        <v/>
      </c>
      <c r="F599" s="79" t="str">
        <f t="shared" si="47"/>
        <v/>
      </c>
      <c r="G599" s="395"/>
      <c r="H599" s="91">
        <f t="shared" si="48"/>
        <v>0</v>
      </c>
      <c r="I599" s="91" t="str">
        <f t="shared" si="49"/>
        <v/>
      </c>
      <c r="J599" s="91" t="str">
        <f t="shared" si="50"/>
        <v/>
      </c>
      <c r="K599" s="92" t="str">
        <f>IF(AND(A599="",B599="",D599="",G599=""),"",IF(AND(A599&lt;&gt;"",COUNTIF($A$2:$A$5001,A599)&gt;1),"NUMERO_PC duplicado",IF(B599="","DATA_PC vazia",IF(NOT(ISNUMBER(B599)),"DATA_PC invalida",IF(OR(C599="",C599="Fora dos ciclos"),"CICLO_PC nao identificado",IF(OR(D599="",D599=0),"VALOR_PC vazio ou zero",IF(AND(G599&lt;&gt;"Sim",G599&lt;&gt;"Nao",G599&lt;&gt;""),"PC_PAGO_A_CONTRATADA invalido",IF(AND(C599&lt;&gt;"C0",IFERROR(INDEX(parametros!$A$2:$A$6,MATCH(C599,parametros!$B$2:$B$6,0)),"")="Sim",IFERROR(INDEX(parametros!$H$2:$H$6,MATCH(C599,parametros!$B$2:$B$6,0)),"")=""),"INICIO_EFEITO ausente: PC "&amp;A599&amp;" - "&amp;C599,IF(L599="","EFEITO_PC nao calculado: PC "&amp;A599&amp;" - "&amp;C599,"OK")))))))))</f>
        <v/>
      </c>
      <c r="L599" s="92" t="str">
        <f>IF(AND(A599="",B599="",D599="",G599=""),"",IF(OR(B599="",NOT(ISNUMBER(B599)),C599="",C599="Fora dos ciclos"),"",IF(C599="C0","Nao",IF(IFERROR(INDEX(parametros!$A$2:$A$6,MATCH(C599,parametros!$B$2:$B$6,0)),"")&lt;&gt;"Sim","Nao",IF(IFERROR(INDEX(parametros!$H$2:$H$6,MATCH(C599,parametros!$B$2:$B$6,0)),"")="","",IF(B599&gt;=IFERROR(INDEX(parametros!$H$2:$H$6,MATCH(C599,parametros!$B$2:$B$6,0)),""),"Sim","Nao"))))))</f>
        <v/>
      </c>
      <c r="T599" s="156"/>
      <c r="U599" s="214" t="str">
        <f t="shared" si="51"/>
        <v/>
      </c>
      <c r="V599" s="212" t="s">
        <v>50</v>
      </c>
      <c r="W599" s="100" t="s">
        <v>168</v>
      </c>
      <c r="X599" s="100" t="s">
        <v>169</v>
      </c>
      <c r="Y599" s="101" t="s">
        <v>170</v>
      </c>
      <c r="Z599" s="101" t="s">
        <v>171</v>
      </c>
      <c r="AA599" s="101" t="s">
        <v>50</v>
      </c>
      <c r="AB599" s="101" t="s">
        <v>172</v>
      </c>
      <c r="AC599" s="102" t="s">
        <v>173</v>
      </c>
    </row>
    <row r="600" spans="1:29" ht="25.5" customHeight="1" x14ac:dyDescent="0.35">
      <c r="A600" s="392"/>
      <c r="B600" s="393"/>
      <c r="C600" s="99" t="str">
        <f>IF(B600="","",IF(NOT(ISNUMBER(B600)),"DATA_PC invalida",IF(NOT(ISNUMBER(parametros!$C$2)),"Fora dos ciclos",IF(OR(B600&lt;parametros!$C$2,(YEAR(B600)-YEAR(parametros!$C$2))*12+MONTH(B600)-MONTH(parametros!$C$2)&gt;59),"Fora dos ciclos","C"&amp;INT(((YEAR(B600)-YEAR(parametros!$C$2))*12+MONTH(B600)-MONTH(parametros!$C$2))/12)))))</f>
        <v/>
      </c>
      <c r="D600" s="394"/>
      <c r="E600" s="78" t="str">
        <f>IF(C600="","",IFERROR(VLOOKUP(C600,parametros!$A$11:$E$15,5,0),""))</f>
        <v/>
      </c>
      <c r="F600" s="79" t="str">
        <f t="shared" si="47"/>
        <v/>
      </c>
      <c r="G600" s="395"/>
      <c r="H600" s="91">
        <f t="shared" si="48"/>
        <v>0</v>
      </c>
      <c r="I600" s="91" t="str">
        <f t="shared" si="49"/>
        <v/>
      </c>
      <c r="J600" s="91" t="str">
        <f t="shared" si="50"/>
        <v/>
      </c>
      <c r="K600" s="92" t="str">
        <f>IF(AND(A600="",B600="",D600="",G600=""),"",IF(AND(A600&lt;&gt;"",COUNTIF($A$2:$A$5001,A600)&gt;1),"NUMERO_PC duplicado",IF(B600="","DATA_PC vazia",IF(NOT(ISNUMBER(B600)),"DATA_PC invalida",IF(OR(C600="",C600="Fora dos ciclos"),"CICLO_PC nao identificado",IF(OR(D600="",D600=0),"VALOR_PC vazio ou zero",IF(AND(G600&lt;&gt;"Sim",G600&lt;&gt;"Nao",G600&lt;&gt;""),"PC_PAGO_A_CONTRATADA invalido",IF(AND(C600&lt;&gt;"C0",IFERROR(INDEX(parametros!$A$2:$A$6,MATCH(C600,parametros!$B$2:$B$6,0)),"")="Sim",IFERROR(INDEX(parametros!$H$2:$H$6,MATCH(C600,parametros!$B$2:$B$6,0)),"")=""),"INICIO_EFEITO ausente: PC "&amp;A600&amp;" - "&amp;C600,IF(L600="","EFEITO_PC nao calculado: PC "&amp;A600&amp;" - "&amp;C600,"OK")))))))))</f>
        <v/>
      </c>
      <c r="L600" s="92" t="str">
        <f>IF(AND(A600="",B600="",D600="",G600=""),"",IF(OR(B600="",NOT(ISNUMBER(B600)),C600="",C600="Fora dos ciclos"),"",IF(C600="C0","Nao",IF(IFERROR(INDEX(parametros!$A$2:$A$6,MATCH(C600,parametros!$B$2:$B$6,0)),"")&lt;&gt;"Sim","Nao",IF(IFERROR(INDEX(parametros!$H$2:$H$6,MATCH(C600,parametros!$B$2:$B$6,0)),"")="","",IF(B600&gt;=IFERROR(INDEX(parametros!$H$2:$H$6,MATCH(C600,parametros!$B$2:$B$6,0)),""),"Sim","Nao"))))))</f>
        <v/>
      </c>
      <c r="T600" s="156"/>
      <c r="U600" s="214" t="str">
        <f t="shared" si="51"/>
        <v/>
      </c>
      <c r="V600" s="212" t="s">
        <v>50</v>
      </c>
      <c r="W600" s="100" t="s">
        <v>168</v>
      </c>
      <c r="X600" s="100" t="s">
        <v>169</v>
      </c>
      <c r="Y600" s="101" t="s">
        <v>170</v>
      </c>
      <c r="Z600" s="101" t="s">
        <v>171</v>
      </c>
      <c r="AA600" s="101" t="s">
        <v>50</v>
      </c>
      <c r="AB600" s="101" t="s">
        <v>172</v>
      </c>
      <c r="AC600" s="102" t="s">
        <v>173</v>
      </c>
    </row>
    <row r="601" spans="1:29" ht="25.5" customHeight="1" x14ac:dyDescent="0.35">
      <c r="A601" s="392"/>
      <c r="B601" s="393"/>
      <c r="C601" s="99" t="str">
        <f>IF(B601="","",IF(NOT(ISNUMBER(B601)),"DATA_PC invalida",IF(NOT(ISNUMBER(parametros!$C$2)),"Fora dos ciclos",IF(OR(B601&lt;parametros!$C$2,(YEAR(B601)-YEAR(parametros!$C$2))*12+MONTH(B601)-MONTH(parametros!$C$2)&gt;59),"Fora dos ciclos","C"&amp;INT(((YEAR(B601)-YEAR(parametros!$C$2))*12+MONTH(B601)-MONTH(parametros!$C$2))/12)))))</f>
        <v/>
      </c>
      <c r="D601" s="394"/>
      <c r="E601" s="78" t="str">
        <f>IF(C601="","",IFERROR(VLOOKUP(C601,parametros!$A$11:$E$15,5,0),""))</f>
        <v/>
      </c>
      <c r="F601" s="79" t="str">
        <f t="shared" si="47"/>
        <v/>
      </c>
      <c r="G601" s="395"/>
      <c r="H601" s="91">
        <f t="shared" si="48"/>
        <v>0</v>
      </c>
      <c r="I601" s="91" t="str">
        <f t="shared" si="49"/>
        <v/>
      </c>
      <c r="J601" s="91" t="str">
        <f t="shared" si="50"/>
        <v/>
      </c>
      <c r="K601" s="92" t="str">
        <f>IF(AND(A601="",B601="",D601="",G601=""),"",IF(AND(A601&lt;&gt;"",COUNTIF($A$2:$A$5001,A601)&gt;1),"NUMERO_PC duplicado",IF(B601="","DATA_PC vazia",IF(NOT(ISNUMBER(B601)),"DATA_PC invalida",IF(OR(C601="",C601="Fora dos ciclos"),"CICLO_PC nao identificado",IF(OR(D601="",D601=0),"VALOR_PC vazio ou zero",IF(AND(G601&lt;&gt;"Sim",G601&lt;&gt;"Nao",G601&lt;&gt;""),"PC_PAGO_A_CONTRATADA invalido",IF(AND(C601&lt;&gt;"C0",IFERROR(INDEX(parametros!$A$2:$A$6,MATCH(C601,parametros!$B$2:$B$6,0)),"")="Sim",IFERROR(INDEX(parametros!$H$2:$H$6,MATCH(C601,parametros!$B$2:$B$6,0)),"")=""),"INICIO_EFEITO ausente: PC "&amp;A601&amp;" - "&amp;C601,IF(L601="","EFEITO_PC nao calculado: PC "&amp;A601&amp;" - "&amp;C601,"OK")))))))))</f>
        <v/>
      </c>
      <c r="L601" s="92" t="str">
        <f>IF(AND(A601="",B601="",D601="",G601=""),"",IF(OR(B601="",NOT(ISNUMBER(B601)),C601="",C601="Fora dos ciclos"),"",IF(C601="C0","Nao",IF(IFERROR(INDEX(parametros!$A$2:$A$6,MATCH(C601,parametros!$B$2:$B$6,0)),"")&lt;&gt;"Sim","Nao",IF(IFERROR(INDEX(parametros!$H$2:$H$6,MATCH(C601,parametros!$B$2:$B$6,0)),"")="","",IF(B601&gt;=IFERROR(INDEX(parametros!$H$2:$H$6,MATCH(C601,parametros!$B$2:$B$6,0)),""),"Sim","Nao"))))))</f>
        <v/>
      </c>
      <c r="T601" s="156"/>
      <c r="U601" s="214" t="str">
        <f t="shared" si="51"/>
        <v/>
      </c>
      <c r="V601" s="212" t="s">
        <v>50</v>
      </c>
      <c r="W601" s="100" t="s">
        <v>168</v>
      </c>
      <c r="X601" s="100" t="s">
        <v>169</v>
      </c>
      <c r="Y601" s="101" t="s">
        <v>170</v>
      </c>
      <c r="Z601" s="101" t="s">
        <v>171</v>
      </c>
      <c r="AA601" s="101" t="s">
        <v>50</v>
      </c>
      <c r="AB601" s="101" t="s">
        <v>172</v>
      </c>
      <c r="AC601" s="102" t="s">
        <v>173</v>
      </c>
    </row>
    <row r="602" spans="1:29" ht="25.5" customHeight="1" x14ac:dyDescent="0.35">
      <c r="A602" s="392"/>
      <c r="B602" s="393"/>
      <c r="C602" s="99" t="str">
        <f>IF(B602="","",IF(NOT(ISNUMBER(B602)),"DATA_PC invalida",IF(NOT(ISNUMBER(parametros!$C$2)),"Fora dos ciclos",IF(OR(B602&lt;parametros!$C$2,(YEAR(B602)-YEAR(parametros!$C$2))*12+MONTH(B602)-MONTH(parametros!$C$2)&gt;59),"Fora dos ciclos","C"&amp;INT(((YEAR(B602)-YEAR(parametros!$C$2))*12+MONTH(B602)-MONTH(parametros!$C$2))/12)))))</f>
        <v/>
      </c>
      <c r="D602" s="394"/>
      <c r="E602" s="78" t="str">
        <f>IF(C602="","",IFERROR(VLOOKUP(C602,parametros!$A$11:$E$15,5,0),""))</f>
        <v/>
      </c>
      <c r="F602" s="79" t="str">
        <f t="shared" si="47"/>
        <v/>
      </c>
      <c r="G602" s="395"/>
      <c r="H602" s="91">
        <f t="shared" si="48"/>
        <v>0</v>
      </c>
      <c r="I602" s="91" t="str">
        <f t="shared" si="49"/>
        <v/>
      </c>
      <c r="J602" s="91" t="str">
        <f t="shared" si="50"/>
        <v/>
      </c>
      <c r="K602" s="92" t="str">
        <f>IF(AND(A602="",B602="",D602="",G602=""),"",IF(AND(A602&lt;&gt;"",COUNTIF($A$2:$A$5001,A602)&gt;1),"NUMERO_PC duplicado",IF(B602="","DATA_PC vazia",IF(NOT(ISNUMBER(B602)),"DATA_PC invalida",IF(OR(C602="",C602="Fora dos ciclos"),"CICLO_PC nao identificado",IF(OR(D602="",D602=0),"VALOR_PC vazio ou zero",IF(AND(G602&lt;&gt;"Sim",G602&lt;&gt;"Nao",G602&lt;&gt;""),"PC_PAGO_A_CONTRATADA invalido",IF(AND(C602&lt;&gt;"C0",IFERROR(INDEX(parametros!$A$2:$A$6,MATCH(C602,parametros!$B$2:$B$6,0)),"")="Sim",IFERROR(INDEX(parametros!$H$2:$H$6,MATCH(C602,parametros!$B$2:$B$6,0)),"")=""),"INICIO_EFEITO ausente: PC "&amp;A602&amp;" - "&amp;C602,IF(L602="","EFEITO_PC nao calculado: PC "&amp;A602&amp;" - "&amp;C602,"OK")))))))))</f>
        <v/>
      </c>
      <c r="L602" s="92" t="str">
        <f>IF(AND(A602="",B602="",D602="",G602=""),"",IF(OR(B602="",NOT(ISNUMBER(B602)),C602="",C602="Fora dos ciclos"),"",IF(C602="C0","Nao",IF(IFERROR(INDEX(parametros!$A$2:$A$6,MATCH(C602,parametros!$B$2:$B$6,0)),"")&lt;&gt;"Sim","Nao",IF(IFERROR(INDEX(parametros!$H$2:$H$6,MATCH(C602,parametros!$B$2:$B$6,0)),"")="","",IF(B602&gt;=IFERROR(INDEX(parametros!$H$2:$H$6,MATCH(C602,parametros!$B$2:$B$6,0)),""),"Sim","Nao"))))))</f>
        <v/>
      </c>
      <c r="T602" s="156"/>
      <c r="U602" s="214" t="str">
        <f t="shared" si="51"/>
        <v/>
      </c>
      <c r="V602" s="212" t="s">
        <v>50</v>
      </c>
      <c r="W602" s="100" t="s">
        <v>168</v>
      </c>
      <c r="X602" s="100" t="s">
        <v>169</v>
      </c>
      <c r="Y602" s="101" t="s">
        <v>170</v>
      </c>
      <c r="Z602" s="101" t="s">
        <v>171</v>
      </c>
      <c r="AA602" s="101" t="s">
        <v>50</v>
      </c>
      <c r="AB602" s="101" t="s">
        <v>172</v>
      </c>
      <c r="AC602" s="102" t="s">
        <v>173</v>
      </c>
    </row>
    <row r="603" spans="1:29" ht="25.5" customHeight="1" x14ac:dyDescent="0.35">
      <c r="A603" s="392"/>
      <c r="B603" s="393"/>
      <c r="C603" s="99" t="str">
        <f>IF(B603="","",IF(NOT(ISNUMBER(B603)),"DATA_PC invalida",IF(NOT(ISNUMBER(parametros!$C$2)),"Fora dos ciclos",IF(OR(B603&lt;parametros!$C$2,(YEAR(B603)-YEAR(parametros!$C$2))*12+MONTH(B603)-MONTH(parametros!$C$2)&gt;59),"Fora dos ciclos","C"&amp;INT(((YEAR(B603)-YEAR(parametros!$C$2))*12+MONTH(B603)-MONTH(parametros!$C$2))/12)))))</f>
        <v/>
      </c>
      <c r="D603" s="394"/>
      <c r="E603" s="78" t="str">
        <f>IF(C603="","",IFERROR(VLOOKUP(C603,parametros!$A$11:$E$15,5,0),""))</f>
        <v/>
      </c>
      <c r="F603" s="79" t="str">
        <f t="shared" si="47"/>
        <v/>
      </c>
      <c r="G603" s="395"/>
      <c r="H603" s="91">
        <f t="shared" si="48"/>
        <v>0</v>
      </c>
      <c r="I603" s="91" t="str">
        <f t="shared" si="49"/>
        <v/>
      </c>
      <c r="J603" s="91" t="str">
        <f t="shared" si="50"/>
        <v/>
      </c>
      <c r="K603" s="92" t="str">
        <f>IF(AND(A603="",B603="",D603="",G603=""),"",IF(AND(A603&lt;&gt;"",COUNTIF($A$2:$A$5001,A603)&gt;1),"NUMERO_PC duplicado",IF(B603="","DATA_PC vazia",IF(NOT(ISNUMBER(B603)),"DATA_PC invalida",IF(OR(C603="",C603="Fora dos ciclos"),"CICLO_PC nao identificado",IF(OR(D603="",D603=0),"VALOR_PC vazio ou zero",IF(AND(G603&lt;&gt;"Sim",G603&lt;&gt;"Nao",G603&lt;&gt;""),"PC_PAGO_A_CONTRATADA invalido",IF(AND(C603&lt;&gt;"C0",IFERROR(INDEX(parametros!$A$2:$A$6,MATCH(C603,parametros!$B$2:$B$6,0)),"")="Sim",IFERROR(INDEX(parametros!$H$2:$H$6,MATCH(C603,parametros!$B$2:$B$6,0)),"")=""),"INICIO_EFEITO ausente: PC "&amp;A603&amp;" - "&amp;C603,IF(L603="","EFEITO_PC nao calculado: PC "&amp;A603&amp;" - "&amp;C603,"OK")))))))))</f>
        <v/>
      </c>
      <c r="L603" s="92" t="str">
        <f>IF(AND(A603="",B603="",D603="",G603=""),"",IF(OR(B603="",NOT(ISNUMBER(B603)),C603="",C603="Fora dos ciclos"),"",IF(C603="C0","Nao",IF(IFERROR(INDEX(parametros!$A$2:$A$6,MATCH(C603,parametros!$B$2:$B$6,0)),"")&lt;&gt;"Sim","Nao",IF(IFERROR(INDEX(parametros!$H$2:$H$6,MATCH(C603,parametros!$B$2:$B$6,0)),"")="","",IF(B603&gt;=IFERROR(INDEX(parametros!$H$2:$H$6,MATCH(C603,parametros!$B$2:$B$6,0)),""),"Sim","Nao"))))))</f>
        <v/>
      </c>
      <c r="T603" s="156"/>
      <c r="U603" s="214" t="str">
        <f t="shared" si="51"/>
        <v/>
      </c>
      <c r="V603" s="212" t="s">
        <v>50</v>
      </c>
      <c r="W603" s="100" t="s">
        <v>168</v>
      </c>
      <c r="X603" s="100" t="s">
        <v>169</v>
      </c>
      <c r="Y603" s="101" t="s">
        <v>170</v>
      </c>
      <c r="Z603" s="101" t="s">
        <v>171</v>
      </c>
      <c r="AA603" s="101" t="s">
        <v>50</v>
      </c>
      <c r="AB603" s="101" t="s">
        <v>172</v>
      </c>
      <c r="AC603" s="102" t="s">
        <v>173</v>
      </c>
    </row>
    <row r="604" spans="1:29" ht="25.5" customHeight="1" x14ac:dyDescent="0.35">
      <c r="A604" s="392"/>
      <c r="B604" s="393"/>
      <c r="C604" s="99" t="str">
        <f>IF(B604="","",IF(NOT(ISNUMBER(B604)),"DATA_PC invalida",IF(NOT(ISNUMBER(parametros!$C$2)),"Fora dos ciclos",IF(OR(B604&lt;parametros!$C$2,(YEAR(B604)-YEAR(parametros!$C$2))*12+MONTH(B604)-MONTH(parametros!$C$2)&gt;59),"Fora dos ciclos","C"&amp;INT(((YEAR(B604)-YEAR(parametros!$C$2))*12+MONTH(B604)-MONTH(parametros!$C$2))/12)))))</f>
        <v/>
      </c>
      <c r="D604" s="394"/>
      <c r="E604" s="78" t="str">
        <f>IF(C604="","",IFERROR(VLOOKUP(C604,parametros!$A$11:$E$15,5,0),""))</f>
        <v/>
      </c>
      <c r="F604" s="79" t="str">
        <f t="shared" si="47"/>
        <v/>
      </c>
      <c r="G604" s="395"/>
      <c r="H604" s="91">
        <f t="shared" si="48"/>
        <v>0</v>
      </c>
      <c r="I604" s="91" t="str">
        <f t="shared" si="49"/>
        <v/>
      </c>
      <c r="J604" s="91" t="str">
        <f t="shared" si="50"/>
        <v/>
      </c>
      <c r="K604" s="92" t="str">
        <f>IF(AND(A604="",B604="",D604="",G604=""),"",IF(AND(A604&lt;&gt;"",COUNTIF($A$2:$A$5001,A604)&gt;1),"NUMERO_PC duplicado",IF(B604="","DATA_PC vazia",IF(NOT(ISNUMBER(B604)),"DATA_PC invalida",IF(OR(C604="",C604="Fora dos ciclos"),"CICLO_PC nao identificado",IF(OR(D604="",D604=0),"VALOR_PC vazio ou zero",IF(AND(G604&lt;&gt;"Sim",G604&lt;&gt;"Nao",G604&lt;&gt;""),"PC_PAGO_A_CONTRATADA invalido",IF(AND(C604&lt;&gt;"C0",IFERROR(INDEX(parametros!$A$2:$A$6,MATCH(C604,parametros!$B$2:$B$6,0)),"")="Sim",IFERROR(INDEX(parametros!$H$2:$H$6,MATCH(C604,parametros!$B$2:$B$6,0)),"")=""),"INICIO_EFEITO ausente: PC "&amp;A604&amp;" - "&amp;C604,IF(L604="","EFEITO_PC nao calculado: PC "&amp;A604&amp;" - "&amp;C604,"OK")))))))))</f>
        <v/>
      </c>
      <c r="L604" s="92" t="str">
        <f>IF(AND(A604="",B604="",D604="",G604=""),"",IF(OR(B604="",NOT(ISNUMBER(B604)),C604="",C604="Fora dos ciclos"),"",IF(C604="C0","Nao",IF(IFERROR(INDEX(parametros!$A$2:$A$6,MATCH(C604,parametros!$B$2:$B$6,0)),"")&lt;&gt;"Sim","Nao",IF(IFERROR(INDEX(parametros!$H$2:$H$6,MATCH(C604,parametros!$B$2:$B$6,0)),"")="","",IF(B604&gt;=IFERROR(INDEX(parametros!$H$2:$H$6,MATCH(C604,parametros!$B$2:$B$6,0)),""),"Sim","Nao"))))))</f>
        <v/>
      </c>
      <c r="T604" s="156"/>
      <c r="U604" s="214" t="str">
        <f t="shared" si="51"/>
        <v/>
      </c>
      <c r="V604" s="212" t="s">
        <v>50</v>
      </c>
      <c r="W604" s="100" t="s">
        <v>168</v>
      </c>
      <c r="X604" s="100" t="s">
        <v>169</v>
      </c>
      <c r="Y604" s="101" t="s">
        <v>170</v>
      </c>
      <c r="Z604" s="101" t="s">
        <v>171</v>
      </c>
      <c r="AA604" s="101" t="s">
        <v>50</v>
      </c>
      <c r="AB604" s="101" t="s">
        <v>172</v>
      </c>
      <c r="AC604" s="102" t="s">
        <v>173</v>
      </c>
    </row>
    <row r="605" spans="1:29" ht="25.5" customHeight="1" x14ac:dyDescent="0.35">
      <c r="A605" s="392"/>
      <c r="B605" s="393"/>
      <c r="C605" s="99" t="str">
        <f>IF(B605="","",IF(NOT(ISNUMBER(B605)),"DATA_PC invalida",IF(NOT(ISNUMBER(parametros!$C$2)),"Fora dos ciclos",IF(OR(B605&lt;parametros!$C$2,(YEAR(B605)-YEAR(parametros!$C$2))*12+MONTH(B605)-MONTH(parametros!$C$2)&gt;59),"Fora dos ciclos","C"&amp;INT(((YEAR(B605)-YEAR(parametros!$C$2))*12+MONTH(B605)-MONTH(parametros!$C$2))/12)))))</f>
        <v/>
      </c>
      <c r="D605" s="394"/>
      <c r="E605" s="78" t="str">
        <f>IF(C605="","",IFERROR(VLOOKUP(C605,parametros!$A$11:$E$15,5,0),""))</f>
        <v/>
      </c>
      <c r="F605" s="79" t="str">
        <f t="shared" si="47"/>
        <v/>
      </c>
      <c r="G605" s="395"/>
      <c r="H605" s="91">
        <f t="shared" si="48"/>
        <v>0</v>
      </c>
      <c r="I605" s="91" t="str">
        <f t="shared" si="49"/>
        <v/>
      </c>
      <c r="J605" s="91" t="str">
        <f t="shared" si="50"/>
        <v/>
      </c>
      <c r="K605" s="92" t="str">
        <f>IF(AND(A605="",B605="",D605="",G605=""),"",IF(AND(A605&lt;&gt;"",COUNTIF($A$2:$A$5001,A605)&gt;1),"NUMERO_PC duplicado",IF(B605="","DATA_PC vazia",IF(NOT(ISNUMBER(B605)),"DATA_PC invalida",IF(OR(C605="",C605="Fora dos ciclos"),"CICLO_PC nao identificado",IF(OR(D605="",D605=0),"VALOR_PC vazio ou zero",IF(AND(G605&lt;&gt;"Sim",G605&lt;&gt;"Nao",G605&lt;&gt;""),"PC_PAGO_A_CONTRATADA invalido",IF(AND(C605&lt;&gt;"C0",IFERROR(INDEX(parametros!$A$2:$A$6,MATCH(C605,parametros!$B$2:$B$6,0)),"")="Sim",IFERROR(INDEX(parametros!$H$2:$H$6,MATCH(C605,parametros!$B$2:$B$6,0)),"")=""),"INICIO_EFEITO ausente: PC "&amp;A605&amp;" - "&amp;C605,IF(L605="","EFEITO_PC nao calculado: PC "&amp;A605&amp;" - "&amp;C605,"OK")))))))))</f>
        <v/>
      </c>
      <c r="L605" s="92" t="str">
        <f>IF(AND(A605="",B605="",D605="",G605=""),"",IF(OR(B605="",NOT(ISNUMBER(B605)),C605="",C605="Fora dos ciclos"),"",IF(C605="C0","Nao",IF(IFERROR(INDEX(parametros!$A$2:$A$6,MATCH(C605,parametros!$B$2:$B$6,0)),"")&lt;&gt;"Sim","Nao",IF(IFERROR(INDEX(parametros!$H$2:$H$6,MATCH(C605,parametros!$B$2:$B$6,0)),"")="","",IF(B605&gt;=IFERROR(INDEX(parametros!$H$2:$H$6,MATCH(C605,parametros!$B$2:$B$6,0)),""),"Sim","Nao"))))))</f>
        <v/>
      </c>
      <c r="T605" s="156"/>
      <c r="U605" s="214" t="str">
        <f t="shared" si="51"/>
        <v/>
      </c>
      <c r="V605" s="212" t="s">
        <v>50</v>
      </c>
      <c r="W605" s="100" t="s">
        <v>168</v>
      </c>
      <c r="X605" s="100" t="s">
        <v>169</v>
      </c>
      <c r="Y605" s="101" t="s">
        <v>170</v>
      </c>
      <c r="Z605" s="101" t="s">
        <v>171</v>
      </c>
      <c r="AA605" s="101" t="s">
        <v>50</v>
      </c>
      <c r="AB605" s="101" t="s">
        <v>172</v>
      </c>
      <c r="AC605" s="102" t="s">
        <v>173</v>
      </c>
    </row>
    <row r="606" spans="1:29" ht="25.5" customHeight="1" x14ac:dyDescent="0.35">
      <c r="A606" s="392"/>
      <c r="B606" s="393"/>
      <c r="C606" s="99" t="str">
        <f>IF(B606="","",IF(NOT(ISNUMBER(B606)),"DATA_PC invalida",IF(NOT(ISNUMBER(parametros!$C$2)),"Fora dos ciclos",IF(OR(B606&lt;parametros!$C$2,(YEAR(B606)-YEAR(parametros!$C$2))*12+MONTH(B606)-MONTH(parametros!$C$2)&gt;59),"Fora dos ciclos","C"&amp;INT(((YEAR(B606)-YEAR(parametros!$C$2))*12+MONTH(B606)-MONTH(parametros!$C$2))/12)))))</f>
        <v/>
      </c>
      <c r="D606" s="394"/>
      <c r="E606" s="78" t="str">
        <f>IF(C606="","",IFERROR(VLOOKUP(C606,parametros!$A$11:$E$15,5,0),""))</f>
        <v/>
      </c>
      <c r="F606" s="79" t="str">
        <f t="shared" si="47"/>
        <v/>
      </c>
      <c r="G606" s="395"/>
      <c r="H606" s="91">
        <f t="shared" si="48"/>
        <v>0</v>
      </c>
      <c r="I606" s="91" t="str">
        <f t="shared" si="49"/>
        <v/>
      </c>
      <c r="J606" s="91" t="str">
        <f t="shared" si="50"/>
        <v/>
      </c>
      <c r="K606" s="92" t="str">
        <f>IF(AND(A606="",B606="",D606="",G606=""),"",IF(AND(A606&lt;&gt;"",COUNTIF($A$2:$A$5001,A606)&gt;1),"NUMERO_PC duplicado",IF(B606="","DATA_PC vazia",IF(NOT(ISNUMBER(B606)),"DATA_PC invalida",IF(OR(C606="",C606="Fora dos ciclos"),"CICLO_PC nao identificado",IF(OR(D606="",D606=0),"VALOR_PC vazio ou zero",IF(AND(G606&lt;&gt;"Sim",G606&lt;&gt;"Nao",G606&lt;&gt;""),"PC_PAGO_A_CONTRATADA invalido",IF(AND(C606&lt;&gt;"C0",IFERROR(INDEX(parametros!$A$2:$A$6,MATCH(C606,parametros!$B$2:$B$6,0)),"")="Sim",IFERROR(INDEX(parametros!$H$2:$H$6,MATCH(C606,parametros!$B$2:$B$6,0)),"")=""),"INICIO_EFEITO ausente: PC "&amp;A606&amp;" - "&amp;C606,IF(L606="","EFEITO_PC nao calculado: PC "&amp;A606&amp;" - "&amp;C606,"OK")))))))))</f>
        <v/>
      </c>
      <c r="L606" s="92" t="str">
        <f>IF(AND(A606="",B606="",D606="",G606=""),"",IF(OR(B606="",NOT(ISNUMBER(B606)),C606="",C606="Fora dos ciclos"),"",IF(C606="C0","Nao",IF(IFERROR(INDEX(parametros!$A$2:$A$6,MATCH(C606,parametros!$B$2:$B$6,0)),"")&lt;&gt;"Sim","Nao",IF(IFERROR(INDEX(parametros!$H$2:$H$6,MATCH(C606,parametros!$B$2:$B$6,0)),"")="","",IF(B606&gt;=IFERROR(INDEX(parametros!$H$2:$H$6,MATCH(C606,parametros!$B$2:$B$6,0)),""),"Sim","Nao"))))))</f>
        <v/>
      </c>
      <c r="T606" s="156"/>
      <c r="U606" s="214" t="str">
        <f t="shared" si="51"/>
        <v/>
      </c>
      <c r="V606" s="212" t="s">
        <v>50</v>
      </c>
      <c r="W606" s="100" t="s">
        <v>168</v>
      </c>
      <c r="X606" s="100" t="s">
        <v>169</v>
      </c>
      <c r="Y606" s="101" t="s">
        <v>170</v>
      </c>
      <c r="Z606" s="101" t="s">
        <v>171</v>
      </c>
      <c r="AA606" s="101" t="s">
        <v>50</v>
      </c>
      <c r="AB606" s="101" t="s">
        <v>172</v>
      </c>
      <c r="AC606" s="102" t="s">
        <v>173</v>
      </c>
    </row>
    <row r="607" spans="1:29" ht="25.5" customHeight="1" x14ac:dyDescent="0.35">
      <c r="A607" s="392"/>
      <c r="B607" s="393"/>
      <c r="C607" s="99" t="str">
        <f>IF(B607="","",IF(NOT(ISNUMBER(B607)),"DATA_PC invalida",IF(NOT(ISNUMBER(parametros!$C$2)),"Fora dos ciclos",IF(OR(B607&lt;parametros!$C$2,(YEAR(B607)-YEAR(parametros!$C$2))*12+MONTH(B607)-MONTH(parametros!$C$2)&gt;59),"Fora dos ciclos","C"&amp;INT(((YEAR(B607)-YEAR(parametros!$C$2))*12+MONTH(B607)-MONTH(parametros!$C$2))/12)))))</f>
        <v/>
      </c>
      <c r="D607" s="394"/>
      <c r="E607" s="78" t="str">
        <f>IF(C607="","",IFERROR(VLOOKUP(C607,parametros!$A$11:$E$15,5,0),""))</f>
        <v/>
      </c>
      <c r="F607" s="79" t="str">
        <f t="shared" si="47"/>
        <v/>
      </c>
      <c r="G607" s="395"/>
      <c r="H607" s="91">
        <f t="shared" si="48"/>
        <v>0</v>
      </c>
      <c r="I607" s="91" t="str">
        <f t="shared" si="49"/>
        <v/>
      </c>
      <c r="J607" s="91" t="str">
        <f t="shared" si="50"/>
        <v/>
      </c>
      <c r="K607" s="92" t="str">
        <f>IF(AND(A607="",B607="",D607="",G607=""),"",IF(AND(A607&lt;&gt;"",COUNTIF($A$2:$A$5001,A607)&gt;1),"NUMERO_PC duplicado",IF(B607="","DATA_PC vazia",IF(NOT(ISNUMBER(B607)),"DATA_PC invalida",IF(OR(C607="",C607="Fora dos ciclos"),"CICLO_PC nao identificado",IF(OR(D607="",D607=0),"VALOR_PC vazio ou zero",IF(AND(G607&lt;&gt;"Sim",G607&lt;&gt;"Nao",G607&lt;&gt;""),"PC_PAGO_A_CONTRATADA invalido",IF(AND(C607&lt;&gt;"C0",IFERROR(INDEX(parametros!$A$2:$A$6,MATCH(C607,parametros!$B$2:$B$6,0)),"")="Sim",IFERROR(INDEX(parametros!$H$2:$H$6,MATCH(C607,parametros!$B$2:$B$6,0)),"")=""),"INICIO_EFEITO ausente: PC "&amp;A607&amp;" - "&amp;C607,IF(L607="","EFEITO_PC nao calculado: PC "&amp;A607&amp;" - "&amp;C607,"OK")))))))))</f>
        <v/>
      </c>
      <c r="L607" s="92" t="str">
        <f>IF(AND(A607="",B607="",D607="",G607=""),"",IF(OR(B607="",NOT(ISNUMBER(B607)),C607="",C607="Fora dos ciclos"),"",IF(C607="C0","Nao",IF(IFERROR(INDEX(parametros!$A$2:$A$6,MATCH(C607,parametros!$B$2:$B$6,0)),"")&lt;&gt;"Sim","Nao",IF(IFERROR(INDEX(parametros!$H$2:$H$6,MATCH(C607,parametros!$B$2:$B$6,0)),"")="","",IF(B607&gt;=IFERROR(INDEX(parametros!$H$2:$H$6,MATCH(C607,parametros!$B$2:$B$6,0)),""),"Sim","Nao"))))))</f>
        <v/>
      </c>
      <c r="T607" s="156"/>
      <c r="U607" s="214" t="str">
        <f t="shared" si="51"/>
        <v/>
      </c>
      <c r="V607" s="212" t="s">
        <v>50</v>
      </c>
      <c r="W607" s="100" t="s">
        <v>168</v>
      </c>
      <c r="X607" s="100" t="s">
        <v>169</v>
      </c>
      <c r="Y607" s="101" t="s">
        <v>170</v>
      </c>
      <c r="Z607" s="101" t="s">
        <v>171</v>
      </c>
      <c r="AA607" s="101" t="s">
        <v>50</v>
      </c>
      <c r="AB607" s="101" t="s">
        <v>172</v>
      </c>
      <c r="AC607" s="102" t="s">
        <v>173</v>
      </c>
    </row>
    <row r="608" spans="1:29" ht="25.5" customHeight="1" x14ac:dyDescent="0.35">
      <c r="A608" s="392"/>
      <c r="B608" s="393"/>
      <c r="C608" s="99" t="str">
        <f>IF(B608="","",IF(NOT(ISNUMBER(B608)),"DATA_PC invalida",IF(NOT(ISNUMBER(parametros!$C$2)),"Fora dos ciclos",IF(OR(B608&lt;parametros!$C$2,(YEAR(B608)-YEAR(parametros!$C$2))*12+MONTH(B608)-MONTH(parametros!$C$2)&gt;59),"Fora dos ciclos","C"&amp;INT(((YEAR(B608)-YEAR(parametros!$C$2))*12+MONTH(B608)-MONTH(parametros!$C$2))/12)))))</f>
        <v/>
      </c>
      <c r="D608" s="394"/>
      <c r="E608" s="78" t="str">
        <f>IF(C608="","",IFERROR(VLOOKUP(C608,parametros!$A$11:$E$15,5,0),""))</f>
        <v/>
      </c>
      <c r="F608" s="79" t="str">
        <f t="shared" si="47"/>
        <v/>
      </c>
      <c r="G608" s="395"/>
      <c r="H608" s="91">
        <f t="shared" si="48"/>
        <v>0</v>
      </c>
      <c r="I608" s="91" t="str">
        <f t="shared" si="49"/>
        <v/>
      </c>
      <c r="J608" s="91" t="str">
        <f t="shared" si="50"/>
        <v/>
      </c>
      <c r="K608" s="92" t="str">
        <f>IF(AND(A608="",B608="",D608="",G608=""),"",IF(AND(A608&lt;&gt;"",COUNTIF($A$2:$A$5001,A608)&gt;1),"NUMERO_PC duplicado",IF(B608="","DATA_PC vazia",IF(NOT(ISNUMBER(B608)),"DATA_PC invalida",IF(OR(C608="",C608="Fora dos ciclos"),"CICLO_PC nao identificado",IF(OR(D608="",D608=0),"VALOR_PC vazio ou zero",IF(AND(G608&lt;&gt;"Sim",G608&lt;&gt;"Nao",G608&lt;&gt;""),"PC_PAGO_A_CONTRATADA invalido",IF(AND(C608&lt;&gt;"C0",IFERROR(INDEX(parametros!$A$2:$A$6,MATCH(C608,parametros!$B$2:$B$6,0)),"")="Sim",IFERROR(INDEX(parametros!$H$2:$H$6,MATCH(C608,parametros!$B$2:$B$6,0)),"")=""),"INICIO_EFEITO ausente: PC "&amp;A608&amp;" - "&amp;C608,IF(L608="","EFEITO_PC nao calculado: PC "&amp;A608&amp;" - "&amp;C608,"OK")))))))))</f>
        <v/>
      </c>
      <c r="L608" s="92" t="str">
        <f>IF(AND(A608="",B608="",D608="",G608=""),"",IF(OR(B608="",NOT(ISNUMBER(B608)),C608="",C608="Fora dos ciclos"),"",IF(C608="C0","Nao",IF(IFERROR(INDEX(parametros!$A$2:$A$6,MATCH(C608,parametros!$B$2:$B$6,0)),"")&lt;&gt;"Sim","Nao",IF(IFERROR(INDEX(parametros!$H$2:$H$6,MATCH(C608,parametros!$B$2:$B$6,0)),"")="","",IF(B608&gt;=IFERROR(INDEX(parametros!$H$2:$H$6,MATCH(C608,parametros!$B$2:$B$6,0)),""),"Sim","Nao"))))))</f>
        <v/>
      </c>
      <c r="T608" s="156"/>
      <c r="U608" s="214" t="str">
        <f t="shared" si="51"/>
        <v/>
      </c>
      <c r="V608" s="212" t="s">
        <v>50</v>
      </c>
      <c r="W608" s="100" t="s">
        <v>168</v>
      </c>
      <c r="X608" s="100" t="s">
        <v>169</v>
      </c>
      <c r="Y608" s="101" t="s">
        <v>170</v>
      </c>
      <c r="Z608" s="101" t="s">
        <v>171</v>
      </c>
      <c r="AA608" s="101" t="s">
        <v>50</v>
      </c>
      <c r="AB608" s="101" t="s">
        <v>172</v>
      </c>
      <c r="AC608" s="102" t="s">
        <v>173</v>
      </c>
    </row>
    <row r="609" spans="1:29" ht="25.5" customHeight="1" x14ac:dyDescent="0.35">
      <c r="A609" s="392"/>
      <c r="B609" s="393"/>
      <c r="C609" s="99" t="str">
        <f>IF(B609="","",IF(NOT(ISNUMBER(B609)),"DATA_PC invalida",IF(NOT(ISNUMBER(parametros!$C$2)),"Fora dos ciclos",IF(OR(B609&lt;parametros!$C$2,(YEAR(B609)-YEAR(parametros!$C$2))*12+MONTH(B609)-MONTH(parametros!$C$2)&gt;59),"Fora dos ciclos","C"&amp;INT(((YEAR(B609)-YEAR(parametros!$C$2))*12+MONTH(B609)-MONTH(parametros!$C$2))/12)))))</f>
        <v/>
      </c>
      <c r="D609" s="394"/>
      <c r="E609" s="78" t="str">
        <f>IF(C609="","",IFERROR(VLOOKUP(C609,parametros!$A$11:$E$15,5,0),""))</f>
        <v/>
      </c>
      <c r="F609" s="79" t="str">
        <f t="shared" si="47"/>
        <v/>
      </c>
      <c r="G609" s="395"/>
      <c r="H609" s="91">
        <f t="shared" si="48"/>
        <v>0</v>
      </c>
      <c r="I609" s="91" t="str">
        <f t="shared" si="49"/>
        <v/>
      </c>
      <c r="J609" s="91" t="str">
        <f t="shared" si="50"/>
        <v/>
      </c>
      <c r="K609" s="92" t="str">
        <f>IF(AND(A609="",B609="",D609="",G609=""),"",IF(AND(A609&lt;&gt;"",COUNTIF($A$2:$A$5001,A609)&gt;1),"NUMERO_PC duplicado",IF(B609="","DATA_PC vazia",IF(NOT(ISNUMBER(B609)),"DATA_PC invalida",IF(OR(C609="",C609="Fora dos ciclos"),"CICLO_PC nao identificado",IF(OR(D609="",D609=0),"VALOR_PC vazio ou zero",IF(AND(G609&lt;&gt;"Sim",G609&lt;&gt;"Nao",G609&lt;&gt;""),"PC_PAGO_A_CONTRATADA invalido",IF(AND(C609&lt;&gt;"C0",IFERROR(INDEX(parametros!$A$2:$A$6,MATCH(C609,parametros!$B$2:$B$6,0)),"")="Sim",IFERROR(INDEX(parametros!$H$2:$H$6,MATCH(C609,parametros!$B$2:$B$6,0)),"")=""),"INICIO_EFEITO ausente: PC "&amp;A609&amp;" - "&amp;C609,IF(L609="","EFEITO_PC nao calculado: PC "&amp;A609&amp;" - "&amp;C609,"OK")))))))))</f>
        <v/>
      </c>
      <c r="L609" s="92" t="str">
        <f>IF(AND(A609="",B609="",D609="",G609=""),"",IF(OR(B609="",NOT(ISNUMBER(B609)),C609="",C609="Fora dos ciclos"),"",IF(C609="C0","Nao",IF(IFERROR(INDEX(parametros!$A$2:$A$6,MATCH(C609,parametros!$B$2:$B$6,0)),"")&lt;&gt;"Sim","Nao",IF(IFERROR(INDEX(parametros!$H$2:$H$6,MATCH(C609,parametros!$B$2:$B$6,0)),"")="","",IF(B609&gt;=IFERROR(INDEX(parametros!$H$2:$H$6,MATCH(C609,parametros!$B$2:$B$6,0)),""),"Sim","Nao"))))))</f>
        <v/>
      </c>
      <c r="T609" s="156"/>
      <c r="U609" s="214" t="str">
        <f t="shared" si="51"/>
        <v/>
      </c>
      <c r="V609" s="212" t="s">
        <v>50</v>
      </c>
      <c r="W609" s="100" t="s">
        <v>168</v>
      </c>
      <c r="X609" s="100" t="s">
        <v>169</v>
      </c>
      <c r="Y609" s="101" t="s">
        <v>170</v>
      </c>
      <c r="Z609" s="101" t="s">
        <v>171</v>
      </c>
      <c r="AA609" s="101" t="s">
        <v>50</v>
      </c>
      <c r="AB609" s="101" t="s">
        <v>172</v>
      </c>
      <c r="AC609" s="102" t="s">
        <v>173</v>
      </c>
    </row>
    <row r="610" spans="1:29" ht="25.5" customHeight="1" x14ac:dyDescent="0.35">
      <c r="A610" s="392"/>
      <c r="B610" s="393"/>
      <c r="C610" s="99" t="str">
        <f>IF(B610="","",IF(NOT(ISNUMBER(B610)),"DATA_PC invalida",IF(NOT(ISNUMBER(parametros!$C$2)),"Fora dos ciclos",IF(OR(B610&lt;parametros!$C$2,(YEAR(B610)-YEAR(parametros!$C$2))*12+MONTH(B610)-MONTH(parametros!$C$2)&gt;59),"Fora dos ciclos","C"&amp;INT(((YEAR(B610)-YEAR(parametros!$C$2))*12+MONTH(B610)-MONTH(parametros!$C$2))/12)))))</f>
        <v/>
      </c>
      <c r="D610" s="394"/>
      <c r="E610" s="78" t="str">
        <f>IF(C610="","",IFERROR(VLOOKUP(C610,parametros!$A$11:$E$15,5,0),""))</f>
        <v/>
      </c>
      <c r="F610" s="79" t="str">
        <f t="shared" si="47"/>
        <v/>
      </c>
      <c r="G610" s="395"/>
      <c r="H610" s="91">
        <f t="shared" si="48"/>
        <v>0</v>
      </c>
      <c r="I610" s="91" t="str">
        <f t="shared" si="49"/>
        <v/>
      </c>
      <c r="J610" s="91" t="str">
        <f t="shared" si="50"/>
        <v/>
      </c>
      <c r="K610" s="92" t="str">
        <f>IF(AND(A610="",B610="",D610="",G610=""),"",IF(AND(A610&lt;&gt;"",COUNTIF($A$2:$A$5001,A610)&gt;1),"NUMERO_PC duplicado",IF(B610="","DATA_PC vazia",IF(NOT(ISNUMBER(B610)),"DATA_PC invalida",IF(OR(C610="",C610="Fora dos ciclos"),"CICLO_PC nao identificado",IF(OR(D610="",D610=0),"VALOR_PC vazio ou zero",IF(AND(G610&lt;&gt;"Sim",G610&lt;&gt;"Nao",G610&lt;&gt;""),"PC_PAGO_A_CONTRATADA invalido",IF(AND(C610&lt;&gt;"C0",IFERROR(INDEX(parametros!$A$2:$A$6,MATCH(C610,parametros!$B$2:$B$6,0)),"")="Sim",IFERROR(INDEX(parametros!$H$2:$H$6,MATCH(C610,parametros!$B$2:$B$6,0)),"")=""),"INICIO_EFEITO ausente: PC "&amp;A610&amp;" - "&amp;C610,IF(L610="","EFEITO_PC nao calculado: PC "&amp;A610&amp;" - "&amp;C610,"OK")))))))))</f>
        <v/>
      </c>
      <c r="L610" s="92" t="str">
        <f>IF(AND(A610="",B610="",D610="",G610=""),"",IF(OR(B610="",NOT(ISNUMBER(B610)),C610="",C610="Fora dos ciclos"),"",IF(C610="C0","Nao",IF(IFERROR(INDEX(parametros!$A$2:$A$6,MATCH(C610,parametros!$B$2:$B$6,0)),"")&lt;&gt;"Sim","Nao",IF(IFERROR(INDEX(parametros!$H$2:$H$6,MATCH(C610,parametros!$B$2:$B$6,0)),"")="","",IF(B610&gt;=IFERROR(INDEX(parametros!$H$2:$H$6,MATCH(C610,parametros!$B$2:$B$6,0)),""),"Sim","Nao"))))))</f>
        <v/>
      </c>
      <c r="T610" s="156"/>
      <c r="U610" s="214" t="str">
        <f t="shared" si="51"/>
        <v/>
      </c>
      <c r="V610" s="212" t="s">
        <v>50</v>
      </c>
      <c r="W610" s="100" t="s">
        <v>168</v>
      </c>
      <c r="X610" s="100" t="s">
        <v>169</v>
      </c>
      <c r="Y610" s="101" t="s">
        <v>170</v>
      </c>
      <c r="Z610" s="101" t="s">
        <v>171</v>
      </c>
      <c r="AA610" s="101" t="s">
        <v>50</v>
      </c>
      <c r="AB610" s="101" t="s">
        <v>172</v>
      </c>
      <c r="AC610" s="102" t="s">
        <v>173</v>
      </c>
    </row>
    <row r="611" spans="1:29" ht="25.5" customHeight="1" x14ac:dyDescent="0.35">
      <c r="A611" s="392"/>
      <c r="B611" s="393"/>
      <c r="C611" s="99" t="str">
        <f>IF(B611="","",IF(NOT(ISNUMBER(B611)),"DATA_PC invalida",IF(NOT(ISNUMBER(parametros!$C$2)),"Fora dos ciclos",IF(OR(B611&lt;parametros!$C$2,(YEAR(B611)-YEAR(parametros!$C$2))*12+MONTH(B611)-MONTH(parametros!$C$2)&gt;59),"Fora dos ciclos","C"&amp;INT(((YEAR(B611)-YEAR(parametros!$C$2))*12+MONTH(B611)-MONTH(parametros!$C$2))/12)))))</f>
        <v/>
      </c>
      <c r="D611" s="394"/>
      <c r="E611" s="78" t="str">
        <f>IF(C611="","",IFERROR(VLOOKUP(C611,parametros!$A$11:$E$15,5,0),""))</f>
        <v/>
      </c>
      <c r="F611" s="79" t="str">
        <f t="shared" si="47"/>
        <v/>
      </c>
      <c r="G611" s="395"/>
      <c r="H611" s="91">
        <f t="shared" si="48"/>
        <v>0</v>
      </c>
      <c r="I611" s="91" t="str">
        <f t="shared" si="49"/>
        <v/>
      </c>
      <c r="J611" s="91" t="str">
        <f t="shared" si="50"/>
        <v/>
      </c>
      <c r="K611" s="92" t="str">
        <f>IF(AND(A611="",B611="",D611="",G611=""),"",IF(AND(A611&lt;&gt;"",COUNTIF($A$2:$A$5001,A611)&gt;1),"NUMERO_PC duplicado",IF(B611="","DATA_PC vazia",IF(NOT(ISNUMBER(B611)),"DATA_PC invalida",IF(OR(C611="",C611="Fora dos ciclos"),"CICLO_PC nao identificado",IF(OR(D611="",D611=0),"VALOR_PC vazio ou zero",IF(AND(G611&lt;&gt;"Sim",G611&lt;&gt;"Nao",G611&lt;&gt;""),"PC_PAGO_A_CONTRATADA invalido",IF(AND(C611&lt;&gt;"C0",IFERROR(INDEX(parametros!$A$2:$A$6,MATCH(C611,parametros!$B$2:$B$6,0)),"")="Sim",IFERROR(INDEX(parametros!$H$2:$H$6,MATCH(C611,parametros!$B$2:$B$6,0)),"")=""),"INICIO_EFEITO ausente: PC "&amp;A611&amp;" - "&amp;C611,IF(L611="","EFEITO_PC nao calculado: PC "&amp;A611&amp;" - "&amp;C611,"OK")))))))))</f>
        <v/>
      </c>
      <c r="L611" s="92" t="str">
        <f>IF(AND(A611="",B611="",D611="",G611=""),"",IF(OR(B611="",NOT(ISNUMBER(B611)),C611="",C611="Fora dos ciclos"),"",IF(C611="C0","Nao",IF(IFERROR(INDEX(parametros!$A$2:$A$6,MATCH(C611,parametros!$B$2:$B$6,0)),"")&lt;&gt;"Sim","Nao",IF(IFERROR(INDEX(parametros!$H$2:$H$6,MATCH(C611,parametros!$B$2:$B$6,0)),"")="","",IF(B611&gt;=IFERROR(INDEX(parametros!$H$2:$H$6,MATCH(C611,parametros!$B$2:$B$6,0)),""),"Sim","Nao"))))))</f>
        <v/>
      </c>
      <c r="T611" s="156"/>
      <c r="U611" s="214" t="str">
        <f t="shared" si="51"/>
        <v/>
      </c>
      <c r="V611" s="212" t="s">
        <v>50</v>
      </c>
      <c r="W611" s="100" t="s">
        <v>168</v>
      </c>
      <c r="X611" s="100" t="s">
        <v>169</v>
      </c>
      <c r="Y611" s="101" t="s">
        <v>170</v>
      </c>
      <c r="Z611" s="101" t="s">
        <v>171</v>
      </c>
      <c r="AA611" s="101" t="s">
        <v>50</v>
      </c>
      <c r="AB611" s="101" t="s">
        <v>172</v>
      </c>
      <c r="AC611" s="102" t="s">
        <v>173</v>
      </c>
    </row>
    <row r="612" spans="1:29" ht="25.5" customHeight="1" x14ac:dyDescent="0.35">
      <c r="A612" s="392"/>
      <c r="B612" s="393"/>
      <c r="C612" s="99" t="str">
        <f>IF(B612="","",IF(NOT(ISNUMBER(B612)),"DATA_PC invalida",IF(NOT(ISNUMBER(parametros!$C$2)),"Fora dos ciclos",IF(OR(B612&lt;parametros!$C$2,(YEAR(B612)-YEAR(parametros!$C$2))*12+MONTH(B612)-MONTH(parametros!$C$2)&gt;59),"Fora dos ciclos","C"&amp;INT(((YEAR(B612)-YEAR(parametros!$C$2))*12+MONTH(B612)-MONTH(parametros!$C$2))/12)))))</f>
        <v/>
      </c>
      <c r="D612" s="394"/>
      <c r="E612" s="78" t="str">
        <f>IF(C612="","",IFERROR(VLOOKUP(C612,parametros!$A$11:$E$15,5,0),""))</f>
        <v/>
      </c>
      <c r="F612" s="79" t="str">
        <f t="shared" si="47"/>
        <v/>
      </c>
      <c r="G612" s="395"/>
      <c r="H612" s="91">
        <f t="shared" si="48"/>
        <v>0</v>
      </c>
      <c r="I612" s="91" t="str">
        <f t="shared" si="49"/>
        <v/>
      </c>
      <c r="J612" s="91" t="str">
        <f t="shared" si="50"/>
        <v/>
      </c>
      <c r="K612" s="92" t="str">
        <f>IF(AND(A612="",B612="",D612="",G612=""),"",IF(AND(A612&lt;&gt;"",COUNTIF($A$2:$A$5001,A612)&gt;1),"NUMERO_PC duplicado",IF(B612="","DATA_PC vazia",IF(NOT(ISNUMBER(B612)),"DATA_PC invalida",IF(OR(C612="",C612="Fora dos ciclos"),"CICLO_PC nao identificado",IF(OR(D612="",D612=0),"VALOR_PC vazio ou zero",IF(AND(G612&lt;&gt;"Sim",G612&lt;&gt;"Nao",G612&lt;&gt;""),"PC_PAGO_A_CONTRATADA invalido",IF(AND(C612&lt;&gt;"C0",IFERROR(INDEX(parametros!$A$2:$A$6,MATCH(C612,parametros!$B$2:$B$6,0)),"")="Sim",IFERROR(INDEX(parametros!$H$2:$H$6,MATCH(C612,parametros!$B$2:$B$6,0)),"")=""),"INICIO_EFEITO ausente: PC "&amp;A612&amp;" - "&amp;C612,IF(L612="","EFEITO_PC nao calculado: PC "&amp;A612&amp;" - "&amp;C612,"OK")))))))))</f>
        <v/>
      </c>
      <c r="L612" s="92" t="str">
        <f>IF(AND(A612="",B612="",D612="",G612=""),"",IF(OR(B612="",NOT(ISNUMBER(B612)),C612="",C612="Fora dos ciclos"),"",IF(C612="C0","Nao",IF(IFERROR(INDEX(parametros!$A$2:$A$6,MATCH(C612,parametros!$B$2:$B$6,0)),"")&lt;&gt;"Sim","Nao",IF(IFERROR(INDEX(parametros!$H$2:$H$6,MATCH(C612,parametros!$B$2:$B$6,0)),"")="","",IF(B612&gt;=IFERROR(INDEX(parametros!$H$2:$H$6,MATCH(C612,parametros!$B$2:$B$6,0)),""),"Sim","Nao"))))))</f>
        <v/>
      </c>
      <c r="T612" s="156"/>
      <c r="U612" s="214" t="str">
        <f t="shared" si="51"/>
        <v/>
      </c>
      <c r="V612" s="212" t="s">
        <v>50</v>
      </c>
      <c r="W612" s="100" t="s">
        <v>168</v>
      </c>
      <c r="X612" s="100" t="s">
        <v>169</v>
      </c>
      <c r="Y612" s="101" t="s">
        <v>170</v>
      </c>
      <c r="Z612" s="101" t="s">
        <v>171</v>
      </c>
      <c r="AA612" s="101" t="s">
        <v>50</v>
      </c>
      <c r="AB612" s="101" t="s">
        <v>172</v>
      </c>
      <c r="AC612" s="102" t="s">
        <v>173</v>
      </c>
    </row>
    <row r="613" spans="1:29" ht="25.5" customHeight="1" x14ac:dyDescent="0.35">
      <c r="A613" s="392"/>
      <c r="B613" s="393"/>
      <c r="C613" s="99" t="str">
        <f>IF(B613="","",IF(NOT(ISNUMBER(B613)),"DATA_PC invalida",IF(NOT(ISNUMBER(parametros!$C$2)),"Fora dos ciclos",IF(OR(B613&lt;parametros!$C$2,(YEAR(B613)-YEAR(parametros!$C$2))*12+MONTH(B613)-MONTH(parametros!$C$2)&gt;59),"Fora dos ciclos","C"&amp;INT(((YEAR(B613)-YEAR(parametros!$C$2))*12+MONTH(B613)-MONTH(parametros!$C$2))/12)))))</f>
        <v/>
      </c>
      <c r="D613" s="394"/>
      <c r="E613" s="78" t="str">
        <f>IF(C613="","",IFERROR(VLOOKUP(C613,parametros!$A$11:$E$15,5,0),""))</f>
        <v/>
      </c>
      <c r="F613" s="79" t="str">
        <f t="shared" si="47"/>
        <v/>
      </c>
      <c r="G613" s="395"/>
      <c r="H613" s="91">
        <f t="shared" si="48"/>
        <v>0</v>
      </c>
      <c r="I613" s="91" t="str">
        <f t="shared" si="49"/>
        <v/>
      </c>
      <c r="J613" s="91" t="str">
        <f t="shared" si="50"/>
        <v/>
      </c>
      <c r="K613" s="92" t="str">
        <f>IF(AND(A613="",B613="",D613="",G613=""),"",IF(AND(A613&lt;&gt;"",COUNTIF($A$2:$A$5001,A613)&gt;1),"NUMERO_PC duplicado",IF(B613="","DATA_PC vazia",IF(NOT(ISNUMBER(B613)),"DATA_PC invalida",IF(OR(C613="",C613="Fora dos ciclos"),"CICLO_PC nao identificado",IF(OR(D613="",D613=0),"VALOR_PC vazio ou zero",IF(AND(G613&lt;&gt;"Sim",G613&lt;&gt;"Nao",G613&lt;&gt;""),"PC_PAGO_A_CONTRATADA invalido",IF(AND(C613&lt;&gt;"C0",IFERROR(INDEX(parametros!$A$2:$A$6,MATCH(C613,parametros!$B$2:$B$6,0)),"")="Sim",IFERROR(INDEX(parametros!$H$2:$H$6,MATCH(C613,parametros!$B$2:$B$6,0)),"")=""),"INICIO_EFEITO ausente: PC "&amp;A613&amp;" - "&amp;C613,IF(L613="","EFEITO_PC nao calculado: PC "&amp;A613&amp;" - "&amp;C613,"OK")))))))))</f>
        <v/>
      </c>
      <c r="L613" s="92" t="str">
        <f>IF(AND(A613="",B613="",D613="",G613=""),"",IF(OR(B613="",NOT(ISNUMBER(B613)),C613="",C613="Fora dos ciclos"),"",IF(C613="C0","Nao",IF(IFERROR(INDEX(parametros!$A$2:$A$6,MATCH(C613,parametros!$B$2:$B$6,0)),"")&lt;&gt;"Sim","Nao",IF(IFERROR(INDEX(parametros!$H$2:$H$6,MATCH(C613,parametros!$B$2:$B$6,0)),"")="","",IF(B613&gt;=IFERROR(INDEX(parametros!$H$2:$H$6,MATCH(C613,parametros!$B$2:$B$6,0)),""),"Sim","Nao"))))))</f>
        <v/>
      </c>
      <c r="T613" s="156"/>
      <c r="U613" s="214" t="str">
        <f t="shared" si="51"/>
        <v/>
      </c>
      <c r="V613" s="212" t="s">
        <v>50</v>
      </c>
      <c r="W613" s="100" t="s">
        <v>168</v>
      </c>
      <c r="X613" s="100" t="s">
        <v>169</v>
      </c>
      <c r="Y613" s="101" t="s">
        <v>170</v>
      </c>
      <c r="Z613" s="101" t="s">
        <v>171</v>
      </c>
      <c r="AA613" s="101" t="s">
        <v>50</v>
      </c>
      <c r="AB613" s="101" t="s">
        <v>172</v>
      </c>
      <c r="AC613" s="102" t="s">
        <v>173</v>
      </c>
    </row>
    <row r="614" spans="1:29" ht="25.5" customHeight="1" x14ac:dyDescent="0.35">
      <c r="A614" s="392"/>
      <c r="B614" s="393"/>
      <c r="C614" s="99" t="str">
        <f>IF(B614="","",IF(NOT(ISNUMBER(B614)),"DATA_PC invalida",IF(NOT(ISNUMBER(parametros!$C$2)),"Fora dos ciclos",IF(OR(B614&lt;parametros!$C$2,(YEAR(B614)-YEAR(parametros!$C$2))*12+MONTH(B614)-MONTH(parametros!$C$2)&gt;59),"Fora dos ciclos","C"&amp;INT(((YEAR(B614)-YEAR(parametros!$C$2))*12+MONTH(B614)-MONTH(parametros!$C$2))/12)))))</f>
        <v/>
      </c>
      <c r="D614" s="394"/>
      <c r="E614" s="78" t="str">
        <f>IF(C614="","",IFERROR(VLOOKUP(C614,parametros!$A$11:$E$15,5,0),""))</f>
        <v/>
      </c>
      <c r="F614" s="79" t="str">
        <f t="shared" si="47"/>
        <v/>
      </c>
      <c r="G614" s="395"/>
      <c r="H614" s="91">
        <f t="shared" si="48"/>
        <v>0</v>
      </c>
      <c r="I614" s="91" t="str">
        <f t="shared" si="49"/>
        <v/>
      </c>
      <c r="J614" s="91" t="str">
        <f t="shared" si="50"/>
        <v/>
      </c>
      <c r="K614" s="92" t="str">
        <f>IF(AND(A614="",B614="",D614="",G614=""),"",IF(AND(A614&lt;&gt;"",COUNTIF($A$2:$A$5001,A614)&gt;1),"NUMERO_PC duplicado",IF(B614="","DATA_PC vazia",IF(NOT(ISNUMBER(B614)),"DATA_PC invalida",IF(OR(C614="",C614="Fora dos ciclos"),"CICLO_PC nao identificado",IF(OR(D614="",D614=0),"VALOR_PC vazio ou zero",IF(AND(G614&lt;&gt;"Sim",G614&lt;&gt;"Nao",G614&lt;&gt;""),"PC_PAGO_A_CONTRATADA invalido",IF(AND(C614&lt;&gt;"C0",IFERROR(INDEX(parametros!$A$2:$A$6,MATCH(C614,parametros!$B$2:$B$6,0)),"")="Sim",IFERROR(INDEX(parametros!$H$2:$H$6,MATCH(C614,parametros!$B$2:$B$6,0)),"")=""),"INICIO_EFEITO ausente: PC "&amp;A614&amp;" - "&amp;C614,IF(L614="","EFEITO_PC nao calculado: PC "&amp;A614&amp;" - "&amp;C614,"OK")))))))))</f>
        <v/>
      </c>
      <c r="L614" s="92" t="str">
        <f>IF(AND(A614="",B614="",D614="",G614=""),"",IF(OR(B614="",NOT(ISNUMBER(B614)),C614="",C614="Fora dos ciclos"),"",IF(C614="C0","Nao",IF(IFERROR(INDEX(parametros!$A$2:$A$6,MATCH(C614,parametros!$B$2:$B$6,0)),"")&lt;&gt;"Sim","Nao",IF(IFERROR(INDEX(parametros!$H$2:$H$6,MATCH(C614,parametros!$B$2:$B$6,0)),"")="","",IF(B614&gt;=IFERROR(INDEX(parametros!$H$2:$H$6,MATCH(C614,parametros!$B$2:$B$6,0)),""),"Sim","Nao"))))))</f>
        <v/>
      </c>
      <c r="T614" s="156"/>
      <c r="U614" s="214" t="str">
        <f t="shared" si="51"/>
        <v/>
      </c>
      <c r="V614" s="212" t="s">
        <v>50</v>
      </c>
      <c r="W614" s="100" t="s">
        <v>168</v>
      </c>
      <c r="X614" s="100" t="s">
        <v>169</v>
      </c>
      <c r="Y614" s="101" t="s">
        <v>170</v>
      </c>
      <c r="Z614" s="101" t="s">
        <v>171</v>
      </c>
      <c r="AA614" s="101" t="s">
        <v>50</v>
      </c>
      <c r="AB614" s="101" t="s">
        <v>172</v>
      </c>
      <c r="AC614" s="102" t="s">
        <v>173</v>
      </c>
    </row>
    <row r="615" spans="1:29" ht="25.5" customHeight="1" x14ac:dyDescent="0.35">
      <c r="A615" s="392"/>
      <c r="B615" s="393"/>
      <c r="C615" s="99" t="str">
        <f>IF(B615="","",IF(NOT(ISNUMBER(B615)),"DATA_PC invalida",IF(NOT(ISNUMBER(parametros!$C$2)),"Fora dos ciclos",IF(OR(B615&lt;parametros!$C$2,(YEAR(B615)-YEAR(parametros!$C$2))*12+MONTH(B615)-MONTH(parametros!$C$2)&gt;59),"Fora dos ciclos","C"&amp;INT(((YEAR(B615)-YEAR(parametros!$C$2))*12+MONTH(B615)-MONTH(parametros!$C$2))/12)))))</f>
        <v/>
      </c>
      <c r="D615" s="394"/>
      <c r="E615" s="78" t="str">
        <f>IF(C615="","",IFERROR(VLOOKUP(C615,parametros!$A$11:$E$15,5,0),""))</f>
        <v/>
      </c>
      <c r="F615" s="79" t="str">
        <f t="shared" si="47"/>
        <v/>
      </c>
      <c r="G615" s="395"/>
      <c r="H615" s="91">
        <f t="shared" si="48"/>
        <v>0</v>
      </c>
      <c r="I615" s="91" t="str">
        <f t="shared" si="49"/>
        <v/>
      </c>
      <c r="J615" s="91" t="str">
        <f t="shared" si="50"/>
        <v/>
      </c>
      <c r="K615" s="92" t="str">
        <f>IF(AND(A615="",B615="",D615="",G615=""),"",IF(AND(A615&lt;&gt;"",COUNTIF($A$2:$A$5001,A615)&gt;1),"NUMERO_PC duplicado",IF(B615="","DATA_PC vazia",IF(NOT(ISNUMBER(B615)),"DATA_PC invalida",IF(OR(C615="",C615="Fora dos ciclos"),"CICLO_PC nao identificado",IF(OR(D615="",D615=0),"VALOR_PC vazio ou zero",IF(AND(G615&lt;&gt;"Sim",G615&lt;&gt;"Nao",G615&lt;&gt;""),"PC_PAGO_A_CONTRATADA invalido",IF(AND(C615&lt;&gt;"C0",IFERROR(INDEX(parametros!$A$2:$A$6,MATCH(C615,parametros!$B$2:$B$6,0)),"")="Sim",IFERROR(INDEX(parametros!$H$2:$H$6,MATCH(C615,parametros!$B$2:$B$6,0)),"")=""),"INICIO_EFEITO ausente: PC "&amp;A615&amp;" - "&amp;C615,IF(L615="","EFEITO_PC nao calculado: PC "&amp;A615&amp;" - "&amp;C615,"OK")))))))))</f>
        <v/>
      </c>
      <c r="L615" s="92" t="str">
        <f>IF(AND(A615="",B615="",D615="",G615=""),"",IF(OR(B615="",NOT(ISNUMBER(B615)),C615="",C615="Fora dos ciclos"),"",IF(C615="C0","Nao",IF(IFERROR(INDEX(parametros!$A$2:$A$6,MATCH(C615,parametros!$B$2:$B$6,0)),"")&lt;&gt;"Sim","Nao",IF(IFERROR(INDEX(parametros!$H$2:$H$6,MATCH(C615,parametros!$B$2:$B$6,0)),"")="","",IF(B615&gt;=IFERROR(INDEX(parametros!$H$2:$H$6,MATCH(C615,parametros!$B$2:$B$6,0)),""),"Sim","Nao"))))))</f>
        <v/>
      </c>
      <c r="T615" s="156"/>
      <c r="U615" s="214" t="str">
        <f t="shared" si="51"/>
        <v/>
      </c>
      <c r="V615" s="212" t="s">
        <v>50</v>
      </c>
      <c r="W615" s="100" t="s">
        <v>168</v>
      </c>
      <c r="X615" s="100" t="s">
        <v>169</v>
      </c>
      <c r="Y615" s="101" t="s">
        <v>170</v>
      </c>
      <c r="Z615" s="101" t="s">
        <v>171</v>
      </c>
      <c r="AA615" s="101" t="s">
        <v>50</v>
      </c>
      <c r="AB615" s="101" t="s">
        <v>172</v>
      </c>
      <c r="AC615" s="102" t="s">
        <v>173</v>
      </c>
    </row>
    <row r="616" spans="1:29" ht="25.5" customHeight="1" x14ac:dyDescent="0.35">
      <c r="A616" s="392"/>
      <c r="B616" s="393"/>
      <c r="C616" s="99" t="str">
        <f>IF(B616="","",IF(NOT(ISNUMBER(B616)),"DATA_PC invalida",IF(NOT(ISNUMBER(parametros!$C$2)),"Fora dos ciclos",IF(OR(B616&lt;parametros!$C$2,(YEAR(B616)-YEAR(parametros!$C$2))*12+MONTH(B616)-MONTH(parametros!$C$2)&gt;59),"Fora dos ciclos","C"&amp;INT(((YEAR(B616)-YEAR(parametros!$C$2))*12+MONTH(B616)-MONTH(parametros!$C$2))/12)))))</f>
        <v/>
      </c>
      <c r="D616" s="394"/>
      <c r="E616" s="78" t="str">
        <f>IF(C616="","",IFERROR(VLOOKUP(C616,parametros!$A$11:$E$15,5,0),""))</f>
        <v/>
      </c>
      <c r="F616" s="79" t="str">
        <f t="shared" si="47"/>
        <v/>
      </c>
      <c r="G616" s="395"/>
      <c r="H616" s="91">
        <f t="shared" si="48"/>
        <v>0</v>
      </c>
      <c r="I616" s="91" t="str">
        <f t="shared" si="49"/>
        <v/>
      </c>
      <c r="J616" s="91" t="str">
        <f t="shared" si="50"/>
        <v/>
      </c>
      <c r="K616" s="92" t="str">
        <f>IF(AND(A616="",B616="",D616="",G616=""),"",IF(AND(A616&lt;&gt;"",COUNTIF($A$2:$A$5001,A616)&gt;1),"NUMERO_PC duplicado",IF(B616="","DATA_PC vazia",IF(NOT(ISNUMBER(B616)),"DATA_PC invalida",IF(OR(C616="",C616="Fora dos ciclos"),"CICLO_PC nao identificado",IF(OR(D616="",D616=0),"VALOR_PC vazio ou zero",IF(AND(G616&lt;&gt;"Sim",G616&lt;&gt;"Nao",G616&lt;&gt;""),"PC_PAGO_A_CONTRATADA invalido",IF(AND(C616&lt;&gt;"C0",IFERROR(INDEX(parametros!$A$2:$A$6,MATCH(C616,parametros!$B$2:$B$6,0)),"")="Sim",IFERROR(INDEX(parametros!$H$2:$H$6,MATCH(C616,parametros!$B$2:$B$6,0)),"")=""),"INICIO_EFEITO ausente: PC "&amp;A616&amp;" - "&amp;C616,IF(L616="","EFEITO_PC nao calculado: PC "&amp;A616&amp;" - "&amp;C616,"OK")))))))))</f>
        <v/>
      </c>
      <c r="L616" s="92" t="str">
        <f>IF(AND(A616="",B616="",D616="",G616=""),"",IF(OR(B616="",NOT(ISNUMBER(B616)),C616="",C616="Fora dos ciclos"),"",IF(C616="C0","Nao",IF(IFERROR(INDEX(parametros!$A$2:$A$6,MATCH(C616,parametros!$B$2:$B$6,0)),"")&lt;&gt;"Sim","Nao",IF(IFERROR(INDEX(parametros!$H$2:$H$6,MATCH(C616,parametros!$B$2:$B$6,0)),"")="","",IF(B616&gt;=IFERROR(INDEX(parametros!$H$2:$H$6,MATCH(C616,parametros!$B$2:$B$6,0)),""),"Sim","Nao"))))))</f>
        <v/>
      </c>
      <c r="T616" s="156"/>
      <c r="U616" s="214" t="str">
        <f t="shared" si="51"/>
        <v/>
      </c>
      <c r="V616" s="212" t="s">
        <v>50</v>
      </c>
      <c r="W616" s="100" t="s">
        <v>168</v>
      </c>
      <c r="X616" s="100" t="s">
        <v>169</v>
      </c>
      <c r="Y616" s="101" t="s">
        <v>170</v>
      </c>
      <c r="Z616" s="101" t="s">
        <v>171</v>
      </c>
      <c r="AA616" s="101" t="s">
        <v>50</v>
      </c>
      <c r="AB616" s="101" t="s">
        <v>172</v>
      </c>
      <c r="AC616" s="102" t="s">
        <v>173</v>
      </c>
    </row>
    <row r="617" spans="1:29" ht="25.5" customHeight="1" x14ac:dyDescent="0.35">
      <c r="A617" s="392"/>
      <c r="B617" s="393"/>
      <c r="C617" s="99" t="str">
        <f>IF(B617="","",IF(NOT(ISNUMBER(B617)),"DATA_PC invalida",IF(NOT(ISNUMBER(parametros!$C$2)),"Fora dos ciclos",IF(OR(B617&lt;parametros!$C$2,(YEAR(B617)-YEAR(parametros!$C$2))*12+MONTH(B617)-MONTH(parametros!$C$2)&gt;59),"Fora dos ciclos","C"&amp;INT(((YEAR(B617)-YEAR(parametros!$C$2))*12+MONTH(B617)-MONTH(parametros!$C$2))/12)))))</f>
        <v/>
      </c>
      <c r="D617" s="394"/>
      <c r="E617" s="78" t="str">
        <f>IF(C617="","",IFERROR(VLOOKUP(C617,parametros!$A$11:$E$15,5,0),""))</f>
        <v/>
      </c>
      <c r="F617" s="79" t="str">
        <f t="shared" si="47"/>
        <v/>
      </c>
      <c r="G617" s="395"/>
      <c r="H617" s="91">
        <f t="shared" si="48"/>
        <v>0</v>
      </c>
      <c r="I617" s="91" t="str">
        <f t="shared" si="49"/>
        <v/>
      </c>
      <c r="J617" s="91" t="str">
        <f t="shared" si="50"/>
        <v/>
      </c>
      <c r="K617" s="92" t="str">
        <f>IF(AND(A617="",B617="",D617="",G617=""),"",IF(AND(A617&lt;&gt;"",COUNTIF($A$2:$A$5001,A617)&gt;1),"NUMERO_PC duplicado",IF(B617="","DATA_PC vazia",IF(NOT(ISNUMBER(B617)),"DATA_PC invalida",IF(OR(C617="",C617="Fora dos ciclos"),"CICLO_PC nao identificado",IF(OR(D617="",D617=0),"VALOR_PC vazio ou zero",IF(AND(G617&lt;&gt;"Sim",G617&lt;&gt;"Nao",G617&lt;&gt;""),"PC_PAGO_A_CONTRATADA invalido",IF(AND(C617&lt;&gt;"C0",IFERROR(INDEX(parametros!$A$2:$A$6,MATCH(C617,parametros!$B$2:$B$6,0)),"")="Sim",IFERROR(INDEX(parametros!$H$2:$H$6,MATCH(C617,parametros!$B$2:$B$6,0)),"")=""),"INICIO_EFEITO ausente: PC "&amp;A617&amp;" - "&amp;C617,IF(L617="","EFEITO_PC nao calculado: PC "&amp;A617&amp;" - "&amp;C617,"OK")))))))))</f>
        <v/>
      </c>
      <c r="L617" s="92" t="str">
        <f>IF(AND(A617="",B617="",D617="",G617=""),"",IF(OR(B617="",NOT(ISNUMBER(B617)),C617="",C617="Fora dos ciclos"),"",IF(C617="C0","Nao",IF(IFERROR(INDEX(parametros!$A$2:$A$6,MATCH(C617,parametros!$B$2:$B$6,0)),"")&lt;&gt;"Sim","Nao",IF(IFERROR(INDEX(parametros!$H$2:$H$6,MATCH(C617,parametros!$B$2:$B$6,0)),"")="","",IF(B617&gt;=IFERROR(INDEX(parametros!$H$2:$H$6,MATCH(C617,parametros!$B$2:$B$6,0)),""),"Sim","Nao"))))))</f>
        <v/>
      </c>
      <c r="T617" s="156"/>
      <c r="U617" s="214" t="str">
        <f t="shared" si="51"/>
        <v/>
      </c>
      <c r="V617" s="212" t="s">
        <v>50</v>
      </c>
      <c r="W617" s="100" t="s">
        <v>168</v>
      </c>
      <c r="X617" s="100" t="s">
        <v>169</v>
      </c>
      <c r="Y617" s="101" t="s">
        <v>170</v>
      </c>
      <c r="Z617" s="101" t="s">
        <v>171</v>
      </c>
      <c r="AA617" s="101" t="s">
        <v>50</v>
      </c>
      <c r="AB617" s="101" t="s">
        <v>172</v>
      </c>
      <c r="AC617" s="102" t="s">
        <v>173</v>
      </c>
    </row>
    <row r="618" spans="1:29" ht="25.5" customHeight="1" x14ac:dyDescent="0.35">
      <c r="A618" s="392"/>
      <c r="B618" s="393"/>
      <c r="C618" s="99" t="str">
        <f>IF(B618="","",IF(NOT(ISNUMBER(B618)),"DATA_PC invalida",IF(NOT(ISNUMBER(parametros!$C$2)),"Fora dos ciclos",IF(OR(B618&lt;parametros!$C$2,(YEAR(B618)-YEAR(parametros!$C$2))*12+MONTH(B618)-MONTH(parametros!$C$2)&gt;59),"Fora dos ciclos","C"&amp;INT(((YEAR(B618)-YEAR(parametros!$C$2))*12+MONTH(B618)-MONTH(parametros!$C$2))/12)))))</f>
        <v/>
      </c>
      <c r="D618" s="394"/>
      <c r="E618" s="78" t="str">
        <f>IF(C618="","",IFERROR(VLOOKUP(C618,parametros!$A$11:$E$15,5,0),""))</f>
        <v/>
      </c>
      <c r="F618" s="79" t="str">
        <f t="shared" si="47"/>
        <v/>
      </c>
      <c r="G618" s="395"/>
      <c r="H618" s="91">
        <f t="shared" si="48"/>
        <v>0</v>
      </c>
      <c r="I618" s="91" t="str">
        <f t="shared" si="49"/>
        <v/>
      </c>
      <c r="J618" s="91" t="str">
        <f t="shared" si="50"/>
        <v/>
      </c>
      <c r="K618" s="92" t="str">
        <f>IF(AND(A618="",B618="",D618="",G618=""),"",IF(AND(A618&lt;&gt;"",COUNTIF($A$2:$A$5001,A618)&gt;1),"NUMERO_PC duplicado",IF(B618="","DATA_PC vazia",IF(NOT(ISNUMBER(B618)),"DATA_PC invalida",IF(OR(C618="",C618="Fora dos ciclos"),"CICLO_PC nao identificado",IF(OR(D618="",D618=0),"VALOR_PC vazio ou zero",IF(AND(G618&lt;&gt;"Sim",G618&lt;&gt;"Nao",G618&lt;&gt;""),"PC_PAGO_A_CONTRATADA invalido",IF(AND(C618&lt;&gt;"C0",IFERROR(INDEX(parametros!$A$2:$A$6,MATCH(C618,parametros!$B$2:$B$6,0)),"")="Sim",IFERROR(INDEX(parametros!$H$2:$H$6,MATCH(C618,parametros!$B$2:$B$6,0)),"")=""),"INICIO_EFEITO ausente: PC "&amp;A618&amp;" - "&amp;C618,IF(L618="","EFEITO_PC nao calculado: PC "&amp;A618&amp;" - "&amp;C618,"OK")))))))))</f>
        <v/>
      </c>
      <c r="L618" s="92" t="str">
        <f>IF(AND(A618="",B618="",D618="",G618=""),"",IF(OR(B618="",NOT(ISNUMBER(B618)),C618="",C618="Fora dos ciclos"),"",IF(C618="C0","Nao",IF(IFERROR(INDEX(parametros!$A$2:$A$6,MATCH(C618,parametros!$B$2:$B$6,0)),"")&lt;&gt;"Sim","Nao",IF(IFERROR(INDEX(parametros!$H$2:$H$6,MATCH(C618,parametros!$B$2:$B$6,0)),"")="","",IF(B618&gt;=IFERROR(INDEX(parametros!$H$2:$H$6,MATCH(C618,parametros!$B$2:$B$6,0)),""),"Sim","Nao"))))))</f>
        <v/>
      </c>
      <c r="T618" s="156"/>
      <c r="U618" s="214" t="str">
        <f t="shared" si="51"/>
        <v/>
      </c>
      <c r="V618" s="212" t="s">
        <v>50</v>
      </c>
      <c r="W618" s="100" t="s">
        <v>168</v>
      </c>
      <c r="X618" s="100" t="s">
        <v>169</v>
      </c>
      <c r="Y618" s="101" t="s">
        <v>170</v>
      </c>
      <c r="Z618" s="101" t="s">
        <v>171</v>
      </c>
      <c r="AA618" s="101" t="s">
        <v>50</v>
      </c>
      <c r="AB618" s="101" t="s">
        <v>172</v>
      </c>
      <c r="AC618" s="102" t="s">
        <v>173</v>
      </c>
    </row>
    <row r="619" spans="1:29" ht="25.5" customHeight="1" x14ac:dyDescent="0.35">
      <c r="A619" s="392"/>
      <c r="B619" s="393"/>
      <c r="C619" s="99" t="str">
        <f>IF(B619="","",IF(NOT(ISNUMBER(B619)),"DATA_PC invalida",IF(NOT(ISNUMBER(parametros!$C$2)),"Fora dos ciclos",IF(OR(B619&lt;parametros!$C$2,(YEAR(B619)-YEAR(parametros!$C$2))*12+MONTH(B619)-MONTH(parametros!$C$2)&gt;59),"Fora dos ciclos","C"&amp;INT(((YEAR(B619)-YEAR(parametros!$C$2))*12+MONTH(B619)-MONTH(parametros!$C$2))/12)))))</f>
        <v/>
      </c>
      <c r="D619" s="394"/>
      <c r="E619" s="78" t="str">
        <f>IF(C619="","",IFERROR(VLOOKUP(C619,parametros!$A$11:$E$15,5,0),""))</f>
        <v/>
      </c>
      <c r="F619" s="79" t="str">
        <f t="shared" si="47"/>
        <v/>
      </c>
      <c r="G619" s="395"/>
      <c r="H619" s="91">
        <f t="shared" si="48"/>
        <v>0</v>
      </c>
      <c r="I619" s="91" t="str">
        <f t="shared" si="49"/>
        <v/>
      </c>
      <c r="J619" s="91" t="str">
        <f t="shared" si="50"/>
        <v/>
      </c>
      <c r="K619" s="92" t="str">
        <f>IF(AND(A619="",B619="",D619="",G619=""),"",IF(AND(A619&lt;&gt;"",COUNTIF($A$2:$A$5001,A619)&gt;1),"NUMERO_PC duplicado",IF(B619="","DATA_PC vazia",IF(NOT(ISNUMBER(B619)),"DATA_PC invalida",IF(OR(C619="",C619="Fora dos ciclos"),"CICLO_PC nao identificado",IF(OR(D619="",D619=0),"VALOR_PC vazio ou zero",IF(AND(G619&lt;&gt;"Sim",G619&lt;&gt;"Nao",G619&lt;&gt;""),"PC_PAGO_A_CONTRATADA invalido",IF(AND(C619&lt;&gt;"C0",IFERROR(INDEX(parametros!$A$2:$A$6,MATCH(C619,parametros!$B$2:$B$6,0)),"")="Sim",IFERROR(INDEX(parametros!$H$2:$H$6,MATCH(C619,parametros!$B$2:$B$6,0)),"")=""),"INICIO_EFEITO ausente: PC "&amp;A619&amp;" - "&amp;C619,IF(L619="","EFEITO_PC nao calculado: PC "&amp;A619&amp;" - "&amp;C619,"OK")))))))))</f>
        <v/>
      </c>
      <c r="L619" s="92" t="str">
        <f>IF(AND(A619="",B619="",D619="",G619=""),"",IF(OR(B619="",NOT(ISNUMBER(B619)),C619="",C619="Fora dos ciclos"),"",IF(C619="C0","Nao",IF(IFERROR(INDEX(parametros!$A$2:$A$6,MATCH(C619,parametros!$B$2:$B$6,0)),"")&lt;&gt;"Sim","Nao",IF(IFERROR(INDEX(parametros!$H$2:$H$6,MATCH(C619,parametros!$B$2:$B$6,0)),"")="","",IF(B619&gt;=IFERROR(INDEX(parametros!$H$2:$H$6,MATCH(C619,parametros!$B$2:$B$6,0)),""),"Sim","Nao"))))))</f>
        <v/>
      </c>
      <c r="T619" s="156"/>
      <c r="U619" s="214" t="str">
        <f t="shared" si="51"/>
        <v/>
      </c>
      <c r="V619" s="212" t="s">
        <v>50</v>
      </c>
      <c r="W619" s="100" t="s">
        <v>168</v>
      </c>
      <c r="X619" s="100" t="s">
        <v>169</v>
      </c>
      <c r="Y619" s="101" t="s">
        <v>170</v>
      </c>
      <c r="Z619" s="101" t="s">
        <v>171</v>
      </c>
      <c r="AA619" s="101" t="s">
        <v>50</v>
      </c>
      <c r="AB619" s="101" t="s">
        <v>172</v>
      </c>
      <c r="AC619" s="102" t="s">
        <v>173</v>
      </c>
    </row>
    <row r="620" spans="1:29" ht="25.5" customHeight="1" x14ac:dyDescent="0.35">
      <c r="A620" s="392"/>
      <c r="B620" s="393"/>
      <c r="C620" s="99" t="str">
        <f>IF(B620="","",IF(NOT(ISNUMBER(B620)),"DATA_PC invalida",IF(NOT(ISNUMBER(parametros!$C$2)),"Fora dos ciclos",IF(OR(B620&lt;parametros!$C$2,(YEAR(B620)-YEAR(parametros!$C$2))*12+MONTH(B620)-MONTH(parametros!$C$2)&gt;59),"Fora dos ciclos","C"&amp;INT(((YEAR(B620)-YEAR(parametros!$C$2))*12+MONTH(B620)-MONTH(parametros!$C$2))/12)))))</f>
        <v/>
      </c>
      <c r="D620" s="394"/>
      <c r="E620" s="78" t="str">
        <f>IF(C620="","",IFERROR(VLOOKUP(C620,parametros!$A$11:$E$15,5,0),""))</f>
        <v/>
      </c>
      <c r="F620" s="79" t="str">
        <f t="shared" si="47"/>
        <v/>
      </c>
      <c r="G620" s="395"/>
      <c r="H620" s="91">
        <f t="shared" si="48"/>
        <v>0</v>
      </c>
      <c r="I620" s="91" t="str">
        <f t="shared" si="49"/>
        <v/>
      </c>
      <c r="J620" s="91" t="str">
        <f t="shared" si="50"/>
        <v/>
      </c>
      <c r="K620" s="92" t="str">
        <f>IF(AND(A620="",B620="",D620="",G620=""),"",IF(AND(A620&lt;&gt;"",COUNTIF($A$2:$A$5001,A620)&gt;1),"NUMERO_PC duplicado",IF(B620="","DATA_PC vazia",IF(NOT(ISNUMBER(B620)),"DATA_PC invalida",IF(OR(C620="",C620="Fora dos ciclos"),"CICLO_PC nao identificado",IF(OR(D620="",D620=0),"VALOR_PC vazio ou zero",IF(AND(G620&lt;&gt;"Sim",G620&lt;&gt;"Nao",G620&lt;&gt;""),"PC_PAGO_A_CONTRATADA invalido",IF(AND(C620&lt;&gt;"C0",IFERROR(INDEX(parametros!$A$2:$A$6,MATCH(C620,parametros!$B$2:$B$6,0)),"")="Sim",IFERROR(INDEX(parametros!$H$2:$H$6,MATCH(C620,parametros!$B$2:$B$6,0)),"")=""),"INICIO_EFEITO ausente: PC "&amp;A620&amp;" - "&amp;C620,IF(L620="","EFEITO_PC nao calculado: PC "&amp;A620&amp;" - "&amp;C620,"OK")))))))))</f>
        <v/>
      </c>
      <c r="L620" s="92" t="str">
        <f>IF(AND(A620="",B620="",D620="",G620=""),"",IF(OR(B620="",NOT(ISNUMBER(B620)),C620="",C620="Fora dos ciclos"),"",IF(C620="C0","Nao",IF(IFERROR(INDEX(parametros!$A$2:$A$6,MATCH(C620,parametros!$B$2:$B$6,0)),"")&lt;&gt;"Sim","Nao",IF(IFERROR(INDEX(parametros!$H$2:$H$6,MATCH(C620,parametros!$B$2:$B$6,0)),"")="","",IF(B620&gt;=IFERROR(INDEX(parametros!$H$2:$H$6,MATCH(C620,parametros!$B$2:$B$6,0)),""),"Sim","Nao"))))))</f>
        <v/>
      </c>
      <c r="T620" s="156"/>
      <c r="U620" s="214" t="str">
        <f t="shared" si="51"/>
        <v/>
      </c>
      <c r="V620" s="212" t="s">
        <v>50</v>
      </c>
      <c r="W620" s="100" t="s">
        <v>168</v>
      </c>
      <c r="X620" s="100" t="s">
        <v>169</v>
      </c>
      <c r="Y620" s="101" t="s">
        <v>170</v>
      </c>
      <c r="Z620" s="101" t="s">
        <v>171</v>
      </c>
      <c r="AA620" s="101" t="s">
        <v>50</v>
      </c>
      <c r="AB620" s="101" t="s">
        <v>172</v>
      </c>
      <c r="AC620" s="102" t="s">
        <v>173</v>
      </c>
    </row>
    <row r="621" spans="1:29" ht="25.5" customHeight="1" x14ac:dyDescent="0.35">
      <c r="A621" s="392"/>
      <c r="B621" s="393"/>
      <c r="C621" s="99" t="str">
        <f>IF(B621="","",IF(NOT(ISNUMBER(B621)),"DATA_PC invalida",IF(NOT(ISNUMBER(parametros!$C$2)),"Fora dos ciclos",IF(OR(B621&lt;parametros!$C$2,(YEAR(B621)-YEAR(parametros!$C$2))*12+MONTH(B621)-MONTH(parametros!$C$2)&gt;59),"Fora dos ciclos","C"&amp;INT(((YEAR(B621)-YEAR(parametros!$C$2))*12+MONTH(B621)-MONTH(parametros!$C$2))/12)))))</f>
        <v/>
      </c>
      <c r="D621" s="394"/>
      <c r="E621" s="78" t="str">
        <f>IF(C621="","",IFERROR(VLOOKUP(C621,parametros!$A$11:$E$15,5,0),""))</f>
        <v/>
      </c>
      <c r="F621" s="79" t="str">
        <f t="shared" si="47"/>
        <v/>
      </c>
      <c r="G621" s="395"/>
      <c r="H621" s="91">
        <f t="shared" si="48"/>
        <v>0</v>
      </c>
      <c r="I621" s="91" t="str">
        <f t="shared" si="49"/>
        <v/>
      </c>
      <c r="J621" s="91" t="str">
        <f t="shared" si="50"/>
        <v/>
      </c>
      <c r="K621" s="92" t="str">
        <f>IF(AND(A621="",B621="",D621="",G621=""),"",IF(AND(A621&lt;&gt;"",COUNTIF($A$2:$A$5001,A621)&gt;1),"NUMERO_PC duplicado",IF(B621="","DATA_PC vazia",IF(NOT(ISNUMBER(B621)),"DATA_PC invalida",IF(OR(C621="",C621="Fora dos ciclos"),"CICLO_PC nao identificado",IF(OR(D621="",D621=0),"VALOR_PC vazio ou zero",IF(AND(G621&lt;&gt;"Sim",G621&lt;&gt;"Nao",G621&lt;&gt;""),"PC_PAGO_A_CONTRATADA invalido",IF(AND(C621&lt;&gt;"C0",IFERROR(INDEX(parametros!$A$2:$A$6,MATCH(C621,parametros!$B$2:$B$6,0)),"")="Sim",IFERROR(INDEX(parametros!$H$2:$H$6,MATCH(C621,parametros!$B$2:$B$6,0)),"")=""),"INICIO_EFEITO ausente: PC "&amp;A621&amp;" - "&amp;C621,IF(L621="","EFEITO_PC nao calculado: PC "&amp;A621&amp;" - "&amp;C621,"OK")))))))))</f>
        <v/>
      </c>
      <c r="L621" s="92" t="str">
        <f>IF(AND(A621="",B621="",D621="",G621=""),"",IF(OR(B621="",NOT(ISNUMBER(B621)),C621="",C621="Fora dos ciclos"),"",IF(C621="C0","Nao",IF(IFERROR(INDEX(parametros!$A$2:$A$6,MATCH(C621,parametros!$B$2:$B$6,0)),"")&lt;&gt;"Sim","Nao",IF(IFERROR(INDEX(parametros!$H$2:$H$6,MATCH(C621,parametros!$B$2:$B$6,0)),"")="","",IF(B621&gt;=IFERROR(INDEX(parametros!$H$2:$H$6,MATCH(C621,parametros!$B$2:$B$6,0)),""),"Sim","Nao"))))))</f>
        <v/>
      </c>
      <c r="T621" s="156"/>
      <c r="U621" s="214" t="str">
        <f t="shared" si="51"/>
        <v/>
      </c>
      <c r="V621" s="212" t="s">
        <v>50</v>
      </c>
      <c r="W621" s="100" t="s">
        <v>168</v>
      </c>
      <c r="X621" s="100" t="s">
        <v>169</v>
      </c>
      <c r="Y621" s="101" t="s">
        <v>170</v>
      </c>
      <c r="Z621" s="101" t="s">
        <v>171</v>
      </c>
      <c r="AA621" s="101" t="s">
        <v>50</v>
      </c>
      <c r="AB621" s="101" t="s">
        <v>172</v>
      </c>
      <c r="AC621" s="102" t="s">
        <v>173</v>
      </c>
    </row>
    <row r="622" spans="1:29" ht="25.5" customHeight="1" x14ac:dyDescent="0.35">
      <c r="A622" s="392"/>
      <c r="B622" s="393"/>
      <c r="C622" s="99" t="str">
        <f>IF(B622="","",IF(NOT(ISNUMBER(B622)),"DATA_PC invalida",IF(NOT(ISNUMBER(parametros!$C$2)),"Fora dos ciclos",IF(OR(B622&lt;parametros!$C$2,(YEAR(B622)-YEAR(parametros!$C$2))*12+MONTH(B622)-MONTH(parametros!$C$2)&gt;59),"Fora dos ciclos","C"&amp;INT(((YEAR(B622)-YEAR(parametros!$C$2))*12+MONTH(B622)-MONTH(parametros!$C$2))/12)))))</f>
        <v/>
      </c>
      <c r="D622" s="394"/>
      <c r="E622" s="78" t="str">
        <f>IF(C622="","",IFERROR(VLOOKUP(C622,parametros!$A$11:$E$15,5,0),""))</f>
        <v/>
      </c>
      <c r="F622" s="79" t="str">
        <f t="shared" si="47"/>
        <v/>
      </c>
      <c r="G622" s="395"/>
      <c r="H622" s="91">
        <f t="shared" si="48"/>
        <v>0</v>
      </c>
      <c r="I622" s="91" t="str">
        <f t="shared" si="49"/>
        <v/>
      </c>
      <c r="J622" s="91" t="str">
        <f t="shared" si="50"/>
        <v/>
      </c>
      <c r="K622" s="92" t="str">
        <f>IF(AND(A622="",B622="",D622="",G622=""),"",IF(AND(A622&lt;&gt;"",COUNTIF($A$2:$A$5001,A622)&gt;1),"NUMERO_PC duplicado",IF(B622="","DATA_PC vazia",IF(NOT(ISNUMBER(B622)),"DATA_PC invalida",IF(OR(C622="",C622="Fora dos ciclos"),"CICLO_PC nao identificado",IF(OR(D622="",D622=0),"VALOR_PC vazio ou zero",IF(AND(G622&lt;&gt;"Sim",G622&lt;&gt;"Nao",G622&lt;&gt;""),"PC_PAGO_A_CONTRATADA invalido",IF(AND(C622&lt;&gt;"C0",IFERROR(INDEX(parametros!$A$2:$A$6,MATCH(C622,parametros!$B$2:$B$6,0)),"")="Sim",IFERROR(INDEX(parametros!$H$2:$H$6,MATCH(C622,parametros!$B$2:$B$6,0)),"")=""),"INICIO_EFEITO ausente: PC "&amp;A622&amp;" - "&amp;C622,IF(L622="","EFEITO_PC nao calculado: PC "&amp;A622&amp;" - "&amp;C622,"OK")))))))))</f>
        <v/>
      </c>
      <c r="L622" s="92" t="str">
        <f>IF(AND(A622="",B622="",D622="",G622=""),"",IF(OR(B622="",NOT(ISNUMBER(B622)),C622="",C622="Fora dos ciclos"),"",IF(C622="C0","Nao",IF(IFERROR(INDEX(parametros!$A$2:$A$6,MATCH(C622,parametros!$B$2:$B$6,0)),"")&lt;&gt;"Sim","Nao",IF(IFERROR(INDEX(parametros!$H$2:$H$6,MATCH(C622,parametros!$B$2:$B$6,0)),"")="","",IF(B622&gt;=IFERROR(INDEX(parametros!$H$2:$H$6,MATCH(C622,parametros!$B$2:$B$6,0)),""),"Sim","Nao"))))))</f>
        <v/>
      </c>
      <c r="T622" s="156"/>
      <c r="U622" s="214" t="str">
        <f t="shared" si="51"/>
        <v/>
      </c>
      <c r="V622" s="212" t="s">
        <v>50</v>
      </c>
      <c r="W622" s="100" t="s">
        <v>168</v>
      </c>
      <c r="X622" s="100" t="s">
        <v>169</v>
      </c>
      <c r="Y622" s="101" t="s">
        <v>170</v>
      </c>
      <c r="Z622" s="101" t="s">
        <v>171</v>
      </c>
      <c r="AA622" s="101" t="s">
        <v>50</v>
      </c>
      <c r="AB622" s="101" t="s">
        <v>172</v>
      </c>
      <c r="AC622" s="102" t="s">
        <v>173</v>
      </c>
    </row>
    <row r="623" spans="1:29" ht="25.5" customHeight="1" x14ac:dyDescent="0.35">
      <c r="A623" s="392"/>
      <c r="B623" s="393"/>
      <c r="C623" s="99" t="str">
        <f>IF(B623="","",IF(NOT(ISNUMBER(B623)),"DATA_PC invalida",IF(NOT(ISNUMBER(parametros!$C$2)),"Fora dos ciclos",IF(OR(B623&lt;parametros!$C$2,(YEAR(B623)-YEAR(parametros!$C$2))*12+MONTH(B623)-MONTH(parametros!$C$2)&gt;59),"Fora dos ciclos","C"&amp;INT(((YEAR(B623)-YEAR(parametros!$C$2))*12+MONTH(B623)-MONTH(parametros!$C$2))/12)))))</f>
        <v/>
      </c>
      <c r="D623" s="394"/>
      <c r="E623" s="78" t="str">
        <f>IF(C623="","",IFERROR(VLOOKUP(C623,parametros!$A$11:$E$15,5,0),""))</f>
        <v/>
      </c>
      <c r="F623" s="79" t="str">
        <f t="shared" si="47"/>
        <v/>
      </c>
      <c r="G623" s="395"/>
      <c r="H623" s="91">
        <f t="shared" si="48"/>
        <v>0</v>
      </c>
      <c r="I623" s="91" t="str">
        <f t="shared" si="49"/>
        <v/>
      </c>
      <c r="J623" s="91" t="str">
        <f t="shared" si="50"/>
        <v/>
      </c>
      <c r="K623" s="92" t="str">
        <f>IF(AND(A623="",B623="",D623="",G623=""),"",IF(AND(A623&lt;&gt;"",COUNTIF($A$2:$A$5001,A623)&gt;1),"NUMERO_PC duplicado",IF(B623="","DATA_PC vazia",IF(NOT(ISNUMBER(B623)),"DATA_PC invalida",IF(OR(C623="",C623="Fora dos ciclos"),"CICLO_PC nao identificado",IF(OR(D623="",D623=0),"VALOR_PC vazio ou zero",IF(AND(G623&lt;&gt;"Sim",G623&lt;&gt;"Nao",G623&lt;&gt;""),"PC_PAGO_A_CONTRATADA invalido",IF(AND(C623&lt;&gt;"C0",IFERROR(INDEX(parametros!$A$2:$A$6,MATCH(C623,parametros!$B$2:$B$6,0)),"")="Sim",IFERROR(INDEX(parametros!$H$2:$H$6,MATCH(C623,parametros!$B$2:$B$6,0)),"")=""),"INICIO_EFEITO ausente: PC "&amp;A623&amp;" - "&amp;C623,IF(L623="","EFEITO_PC nao calculado: PC "&amp;A623&amp;" - "&amp;C623,"OK")))))))))</f>
        <v/>
      </c>
      <c r="L623" s="92" t="str">
        <f>IF(AND(A623="",B623="",D623="",G623=""),"",IF(OR(B623="",NOT(ISNUMBER(B623)),C623="",C623="Fora dos ciclos"),"",IF(C623="C0","Nao",IF(IFERROR(INDEX(parametros!$A$2:$A$6,MATCH(C623,parametros!$B$2:$B$6,0)),"")&lt;&gt;"Sim","Nao",IF(IFERROR(INDEX(parametros!$H$2:$H$6,MATCH(C623,parametros!$B$2:$B$6,0)),"")="","",IF(B623&gt;=IFERROR(INDEX(parametros!$H$2:$H$6,MATCH(C623,parametros!$B$2:$B$6,0)),""),"Sim","Nao"))))))</f>
        <v/>
      </c>
      <c r="T623" s="156"/>
      <c r="U623" s="214" t="str">
        <f t="shared" si="51"/>
        <v/>
      </c>
      <c r="V623" s="212" t="s">
        <v>50</v>
      </c>
      <c r="W623" s="100" t="s">
        <v>168</v>
      </c>
      <c r="X623" s="100" t="s">
        <v>169</v>
      </c>
      <c r="Y623" s="101" t="s">
        <v>170</v>
      </c>
      <c r="Z623" s="101" t="s">
        <v>171</v>
      </c>
      <c r="AA623" s="101" t="s">
        <v>50</v>
      </c>
      <c r="AB623" s="101" t="s">
        <v>172</v>
      </c>
      <c r="AC623" s="102" t="s">
        <v>173</v>
      </c>
    </row>
    <row r="624" spans="1:29" ht="25.5" customHeight="1" x14ac:dyDescent="0.35">
      <c r="A624" s="392"/>
      <c r="B624" s="393"/>
      <c r="C624" s="99" t="str">
        <f>IF(B624="","",IF(NOT(ISNUMBER(B624)),"DATA_PC invalida",IF(NOT(ISNUMBER(parametros!$C$2)),"Fora dos ciclos",IF(OR(B624&lt;parametros!$C$2,(YEAR(B624)-YEAR(parametros!$C$2))*12+MONTH(B624)-MONTH(parametros!$C$2)&gt;59),"Fora dos ciclos","C"&amp;INT(((YEAR(B624)-YEAR(parametros!$C$2))*12+MONTH(B624)-MONTH(parametros!$C$2))/12)))))</f>
        <v/>
      </c>
      <c r="D624" s="394"/>
      <c r="E624" s="78" t="str">
        <f>IF(C624="","",IFERROR(VLOOKUP(C624,parametros!$A$11:$E$15,5,0),""))</f>
        <v/>
      </c>
      <c r="F624" s="79" t="str">
        <f t="shared" si="47"/>
        <v/>
      </c>
      <c r="G624" s="395"/>
      <c r="H624" s="91">
        <f t="shared" si="48"/>
        <v>0</v>
      </c>
      <c r="I624" s="91" t="str">
        <f t="shared" si="49"/>
        <v/>
      </c>
      <c r="J624" s="91" t="str">
        <f t="shared" si="50"/>
        <v/>
      </c>
      <c r="K624" s="92" t="str">
        <f>IF(AND(A624="",B624="",D624="",G624=""),"",IF(AND(A624&lt;&gt;"",COUNTIF($A$2:$A$5001,A624)&gt;1),"NUMERO_PC duplicado",IF(B624="","DATA_PC vazia",IF(NOT(ISNUMBER(B624)),"DATA_PC invalida",IF(OR(C624="",C624="Fora dos ciclos"),"CICLO_PC nao identificado",IF(OR(D624="",D624=0),"VALOR_PC vazio ou zero",IF(AND(G624&lt;&gt;"Sim",G624&lt;&gt;"Nao",G624&lt;&gt;""),"PC_PAGO_A_CONTRATADA invalido",IF(AND(C624&lt;&gt;"C0",IFERROR(INDEX(parametros!$A$2:$A$6,MATCH(C624,parametros!$B$2:$B$6,0)),"")="Sim",IFERROR(INDEX(parametros!$H$2:$H$6,MATCH(C624,parametros!$B$2:$B$6,0)),"")=""),"INICIO_EFEITO ausente: PC "&amp;A624&amp;" - "&amp;C624,IF(L624="","EFEITO_PC nao calculado: PC "&amp;A624&amp;" - "&amp;C624,"OK")))))))))</f>
        <v/>
      </c>
      <c r="L624" s="92" t="str">
        <f>IF(AND(A624="",B624="",D624="",G624=""),"",IF(OR(B624="",NOT(ISNUMBER(B624)),C624="",C624="Fora dos ciclos"),"",IF(C624="C0","Nao",IF(IFERROR(INDEX(parametros!$A$2:$A$6,MATCH(C624,parametros!$B$2:$B$6,0)),"")&lt;&gt;"Sim","Nao",IF(IFERROR(INDEX(parametros!$H$2:$H$6,MATCH(C624,parametros!$B$2:$B$6,0)),"")="","",IF(B624&gt;=IFERROR(INDEX(parametros!$H$2:$H$6,MATCH(C624,parametros!$B$2:$B$6,0)),""),"Sim","Nao"))))))</f>
        <v/>
      </c>
      <c r="T624" s="156"/>
      <c r="U624" s="214" t="str">
        <f t="shared" si="51"/>
        <v/>
      </c>
      <c r="V624" s="212" t="s">
        <v>50</v>
      </c>
      <c r="W624" s="100" t="s">
        <v>168</v>
      </c>
      <c r="X624" s="100" t="s">
        <v>169</v>
      </c>
      <c r="Y624" s="101" t="s">
        <v>170</v>
      </c>
      <c r="Z624" s="101" t="s">
        <v>171</v>
      </c>
      <c r="AA624" s="101" t="s">
        <v>50</v>
      </c>
      <c r="AB624" s="101" t="s">
        <v>172</v>
      </c>
      <c r="AC624" s="102" t="s">
        <v>173</v>
      </c>
    </row>
    <row r="625" spans="1:29" ht="25.5" customHeight="1" x14ac:dyDescent="0.35">
      <c r="A625" s="392"/>
      <c r="B625" s="393"/>
      <c r="C625" s="99" t="str">
        <f>IF(B625="","",IF(NOT(ISNUMBER(B625)),"DATA_PC invalida",IF(NOT(ISNUMBER(parametros!$C$2)),"Fora dos ciclos",IF(OR(B625&lt;parametros!$C$2,(YEAR(B625)-YEAR(parametros!$C$2))*12+MONTH(B625)-MONTH(parametros!$C$2)&gt;59),"Fora dos ciclos","C"&amp;INT(((YEAR(B625)-YEAR(parametros!$C$2))*12+MONTH(B625)-MONTH(parametros!$C$2))/12)))))</f>
        <v/>
      </c>
      <c r="D625" s="394"/>
      <c r="E625" s="78" t="str">
        <f>IF(C625="","",IFERROR(VLOOKUP(C625,parametros!$A$11:$E$15,5,0),""))</f>
        <v/>
      </c>
      <c r="F625" s="79" t="str">
        <f t="shared" si="47"/>
        <v/>
      </c>
      <c r="G625" s="395"/>
      <c r="H625" s="91">
        <f t="shared" si="48"/>
        <v>0</v>
      </c>
      <c r="I625" s="91" t="str">
        <f t="shared" si="49"/>
        <v/>
      </c>
      <c r="J625" s="91" t="str">
        <f t="shared" si="50"/>
        <v/>
      </c>
      <c r="K625" s="92" t="str">
        <f>IF(AND(A625="",B625="",D625="",G625=""),"",IF(AND(A625&lt;&gt;"",COUNTIF($A$2:$A$5001,A625)&gt;1),"NUMERO_PC duplicado",IF(B625="","DATA_PC vazia",IF(NOT(ISNUMBER(B625)),"DATA_PC invalida",IF(OR(C625="",C625="Fora dos ciclos"),"CICLO_PC nao identificado",IF(OR(D625="",D625=0),"VALOR_PC vazio ou zero",IF(AND(G625&lt;&gt;"Sim",G625&lt;&gt;"Nao",G625&lt;&gt;""),"PC_PAGO_A_CONTRATADA invalido",IF(AND(C625&lt;&gt;"C0",IFERROR(INDEX(parametros!$A$2:$A$6,MATCH(C625,parametros!$B$2:$B$6,0)),"")="Sim",IFERROR(INDEX(parametros!$H$2:$H$6,MATCH(C625,parametros!$B$2:$B$6,0)),"")=""),"INICIO_EFEITO ausente: PC "&amp;A625&amp;" - "&amp;C625,IF(L625="","EFEITO_PC nao calculado: PC "&amp;A625&amp;" - "&amp;C625,"OK")))))))))</f>
        <v/>
      </c>
      <c r="L625" s="92" t="str">
        <f>IF(AND(A625="",B625="",D625="",G625=""),"",IF(OR(B625="",NOT(ISNUMBER(B625)),C625="",C625="Fora dos ciclos"),"",IF(C625="C0","Nao",IF(IFERROR(INDEX(parametros!$A$2:$A$6,MATCH(C625,parametros!$B$2:$B$6,0)),"")&lt;&gt;"Sim","Nao",IF(IFERROR(INDEX(parametros!$H$2:$H$6,MATCH(C625,parametros!$B$2:$B$6,0)),"")="","",IF(B625&gt;=IFERROR(INDEX(parametros!$H$2:$H$6,MATCH(C625,parametros!$B$2:$B$6,0)),""),"Sim","Nao"))))))</f>
        <v/>
      </c>
      <c r="T625" s="156"/>
      <c r="U625" s="214" t="str">
        <f t="shared" si="51"/>
        <v/>
      </c>
      <c r="V625" s="212" t="s">
        <v>50</v>
      </c>
      <c r="W625" s="100" t="s">
        <v>168</v>
      </c>
      <c r="X625" s="100" t="s">
        <v>169</v>
      </c>
      <c r="Y625" s="101" t="s">
        <v>170</v>
      </c>
      <c r="Z625" s="101" t="s">
        <v>171</v>
      </c>
      <c r="AA625" s="101" t="s">
        <v>50</v>
      </c>
      <c r="AB625" s="101" t="s">
        <v>172</v>
      </c>
      <c r="AC625" s="102" t="s">
        <v>173</v>
      </c>
    </row>
    <row r="626" spans="1:29" ht="25.5" customHeight="1" x14ac:dyDescent="0.35">
      <c r="A626" s="392"/>
      <c r="B626" s="393"/>
      <c r="C626" s="99" t="str">
        <f>IF(B626="","",IF(NOT(ISNUMBER(B626)),"DATA_PC invalida",IF(NOT(ISNUMBER(parametros!$C$2)),"Fora dos ciclos",IF(OR(B626&lt;parametros!$C$2,(YEAR(B626)-YEAR(parametros!$C$2))*12+MONTH(B626)-MONTH(parametros!$C$2)&gt;59),"Fora dos ciclos","C"&amp;INT(((YEAR(B626)-YEAR(parametros!$C$2))*12+MONTH(B626)-MONTH(parametros!$C$2))/12)))))</f>
        <v/>
      </c>
      <c r="D626" s="394"/>
      <c r="E626" s="78" t="str">
        <f>IF(C626="","",IFERROR(VLOOKUP(C626,parametros!$A$11:$E$15,5,0),""))</f>
        <v/>
      </c>
      <c r="F626" s="79" t="str">
        <f t="shared" si="47"/>
        <v/>
      </c>
      <c r="G626" s="395"/>
      <c r="H626" s="91">
        <f t="shared" si="48"/>
        <v>0</v>
      </c>
      <c r="I626" s="91" t="str">
        <f t="shared" si="49"/>
        <v/>
      </c>
      <c r="J626" s="91" t="str">
        <f t="shared" si="50"/>
        <v/>
      </c>
      <c r="K626" s="92" t="str">
        <f>IF(AND(A626="",B626="",D626="",G626=""),"",IF(AND(A626&lt;&gt;"",COUNTIF($A$2:$A$5001,A626)&gt;1),"NUMERO_PC duplicado",IF(B626="","DATA_PC vazia",IF(NOT(ISNUMBER(B626)),"DATA_PC invalida",IF(OR(C626="",C626="Fora dos ciclos"),"CICLO_PC nao identificado",IF(OR(D626="",D626=0),"VALOR_PC vazio ou zero",IF(AND(G626&lt;&gt;"Sim",G626&lt;&gt;"Nao",G626&lt;&gt;""),"PC_PAGO_A_CONTRATADA invalido",IF(AND(C626&lt;&gt;"C0",IFERROR(INDEX(parametros!$A$2:$A$6,MATCH(C626,parametros!$B$2:$B$6,0)),"")="Sim",IFERROR(INDEX(parametros!$H$2:$H$6,MATCH(C626,parametros!$B$2:$B$6,0)),"")=""),"INICIO_EFEITO ausente: PC "&amp;A626&amp;" - "&amp;C626,IF(L626="","EFEITO_PC nao calculado: PC "&amp;A626&amp;" - "&amp;C626,"OK")))))))))</f>
        <v/>
      </c>
      <c r="L626" s="92" t="str">
        <f>IF(AND(A626="",B626="",D626="",G626=""),"",IF(OR(B626="",NOT(ISNUMBER(B626)),C626="",C626="Fora dos ciclos"),"",IF(C626="C0","Nao",IF(IFERROR(INDEX(parametros!$A$2:$A$6,MATCH(C626,parametros!$B$2:$B$6,0)),"")&lt;&gt;"Sim","Nao",IF(IFERROR(INDEX(parametros!$H$2:$H$6,MATCH(C626,parametros!$B$2:$B$6,0)),"")="","",IF(B626&gt;=IFERROR(INDEX(parametros!$H$2:$H$6,MATCH(C626,parametros!$B$2:$B$6,0)),""),"Sim","Nao"))))))</f>
        <v/>
      </c>
      <c r="T626" s="156"/>
      <c r="U626" s="214" t="str">
        <f t="shared" si="51"/>
        <v/>
      </c>
      <c r="V626" s="212" t="s">
        <v>50</v>
      </c>
      <c r="W626" s="100" t="s">
        <v>168</v>
      </c>
      <c r="X626" s="100" t="s">
        <v>169</v>
      </c>
      <c r="Y626" s="101" t="s">
        <v>170</v>
      </c>
      <c r="Z626" s="101" t="s">
        <v>171</v>
      </c>
      <c r="AA626" s="101" t="s">
        <v>50</v>
      </c>
      <c r="AB626" s="101" t="s">
        <v>172</v>
      </c>
      <c r="AC626" s="102" t="s">
        <v>173</v>
      </c>
    </row>
    <row r="627" spans="1:29" ht="25.5" customHeight="1" x14ac:dyDescent="0.35">
      <c r="A627" s="392"/>
      <c r="B627" s="393"/>
      <c r="C627" s="99" t="str">
        <f>IF(B627="","",IF(NOT(ISNUMBER(B627)),"DATA_PC invalida",IF(NOT(ISNUMBER(parametros!$C$2)),"Fora dos ciclos",IF(OR(B627&lt;parametros!$C$2,(YEAR(B627)-YEAR(parametros!$C$2))*12+MONTH(B627)-MONTH(parametros!$C$2)&gt;59),"Fora dos ciclos","C"&amp;INT(((YEAR(B627)-YEAR(parametros!$C$2))*12+MONTH(B627)-MONTH(parametros!$C$2))/12)))))</f>
        <v/>
      </c>
      <c r="D627" s="394"/>
      <c r="E627" s="78" t="str">
        <f>IF(C627="","",IFERROR(VLOOKUP(C627,parametros!$A$11:$E$15,5,0),""))</f>
        <v/>
      </c>
      <c r="F627" s="79" t="str">
        <f t="shared" si="47"/>
        <v/>
      </c>
      <c r="G627" s="395"/>
      <c r="H627" s="91">
        <f t="shared" si="48"/>
        <v>0</v>
      </c>
      <c r="I627" s="91" t="str">
        <f t="shared" si="49"/>
        <v/>
      </c>
      <c r="J627" s="91" t="str">
        <f t="shared" si="50"/>
        <v/>
      </c>
      <c r="K627" s="92" t="str">
        <f>IF(AND(A627="",B627="",D627="",G627=""),"",IF(AND(A627&lt;&gt;"",COUNTIF($A$2:$A$5001,A627)&gt;1),"NUMERO_PC duplicado",IF(B627="","DATA_PC vazia",IF(NOT(ISNUMBER(B627)),"DATA_PC invalida",IF(OR(C627="",C627="Fora dos ciclos"),"CICLO_PC nao identificado",IF(OR(D627="",D627=0),"VALOR_PC vazio ou zero",IF(AND(G627&lt;&gt;"Sim",G627&lt;&gt;"Nao",G627&lt;&gt;""),"PC_PAGO_A_CONTRATADA invalido",IF(AND(C627&lt;&gt;"C0",IFERROR(INDEX(parametros!$A$2:$A$6,MATCH(C627,parametros!$B$2:$B$6,0)),"")="Sim",IFERROR(INDEX(parametros!$H$2:$H$6,MATCH(C627,parametros!$B$2:$B$6,0)),"")=""),"INICIO_EFEITO ausente: PC "&amp;A627&amp;" - "&amp;C627,IF(L627="","EFEITO_PC nao calculado: PC "&amp;A627&amp;" - "&amp;C627,"OK")))))))))</f>
        <v/>
      </c>
      <c r="L627" s="92" t="str">
        <f>IF(AND(A627="",B627="",D627="",G627=""),"",IF(OR(B627="",NOT(ISNUMBER(B627)),C627="",C627="Fora dos ciclos"),"",IF(C627="C0","Nao",IF(IFERROR(INDEX(parametros!$A$2:$A$6,MATCH(C627,parametros!$B$2:$B$6,0)),"")&lt;&gt;"Sim","Nao",IF(IFERROR(INDEX(parametros!$H$2:$H$6,MATCH(C627,parametros!$B$2:$B$6,0)),"")="","",IF(B627&gt;=IFERROR(INDEX(parametros!$H$2:$H$6,MATCH(C627,parametros!$B$2:$B$6,0)),""),"Sim","Nao"))))))</f>
        <v/>
      </c>
      <c r="T627" s="156"/>
      <c r="U627" s="214" t="str">
        <f t="shared" si="51"/>
        <v/>
      </c>
      <c r="V627" s="212" t="s">
        <v>50</v>
      </c>
      <c r="W627" s="100" t="s">
        <v>168</v>
      </c>
      <c r="X627" s="100" t="s">
        <v>169</v>
      </c>
      <c r="Y627" s="101" t="s">
        <v>170</v>
      </c>
      <c r="Z627" s="101" t="s">
        <v>171</v>
      </c>
      <c r="AA627" s="101" t="s">
        <v>50</v>
      </c>
      <c r="AB627" s="101" t="s">
        <v>172</v>
      </c>
      <c r="AC627" s="102" t="s">
        <v>173</v>
      </c>
    </row>
    <row r="628" spans="1:29" ht="25.5" customHeight="1" x14ac:dyDescent="0.35">
      <c r="A628" s="392"/>
      <c r="B628" s="393"/>
      <c r="C628" s="99" t="str">
        <f>IF(B628="","",IF(NOT(ISNUMBER(B628)),"DATA_PC invalida",IF(NOT(ISNUMBER(parametros!$C$2)),"Fora dos ciclos",IF(OR(B628&lt;parametros!$C$2,(YEAR(B628)-YEAR(parametros!$C$2))*12+MONTH(B628)-MONTH(parametros!$C$2)&gt;59),"Fora dos ciclos","C"&amp;INT(((YEAR(B628)-YEAR(parametros!$C$2))*12+MONTH(B628)-MONTH(parametros!$C$2))/12)))))</f>
        <v/>
      </c>
      <c r="D628" s="394"/>
      <c r="E628" s="78" t="str">
        <f>IF(C628="","",IFERROR(VLOOKUP(C628,parametros!$A$11:$E$15,5,0),""))</f>
        <v/>
      </c>
      <c r="F628" s="79" t="str">
        <f t="shared" si="47"/>
        <v/>
      </c>
      <c r="G628" s="395"/>
      <c r="H628" s="91">
        <f t="shared" si="48"/>
        <v>0</v>
      </c>
      <c r="I628" s="91" t="str">
        <f t="shared" si="49"/>
        <v/>
      </c>
      <c r="J628" s="91" t="str">
        <f t="shared" si="50"/>
        <v/>
      </c>
      <c r="K628" s="92" t="str">
        <f>IF(AND(A628="",B628="",D628="",G628=""),"",IF(AND(A628&lt;&gt;"",COUNTIF($A$2:$A$5001,A628)&gt;1),"NUMERO_PC duplicado",IF(B628="","DATA_PC vazia",IF(NOT(ISNUMBER(B628)),"DATA_PC invalida",IF(OR(C628="",C628="Fora dos ciclos"),"CICLO_PC nao identificado",IF(OR(D628="",D628=0),"VALOR_PC vazio ou zero",IF(AND(G628&lt;&gt;"Sim",G628&lt;&gt;"Nao",G628&lt;&gt;""),"PC_PAGO_A_CONTRATADA invalido",IF(AND(C628&lt;&gt;"C0",IFERROR(INDEX(parametros!$A$2:$A$6,MATCH(C628,parametros!$B$2:$B$6,0)),"")="Sim",IFERROR(INDEX(parametros!$H$2:$H$6,MATCH(C628,parametros!$B$2:$B$6,0)),"")=""),"INICIO_EFEITO ausente: PC "&amp;A628&amp;" - "&amp;C628,IF(L628="","EFEITO_PC nao calculado: PC "&amp;A628&amp;" - "&amp;C628,"OK")))))))))</f>
        <v/>
      </c>
      <c r="L628" s="92" t="str">
        <f>IF(AND(A628="",B628="",D628="",G628=""),"",IF(OR(B628="",NOT(ISNUMBER(B628)),C628="",C628="Fora dos ciclos"),"",IF(C628="C0","Nao",IF(IFERROR(INDEX(parametros!$A$2:$A$6,MATCH(C628,parametros!$B$2:$B$6,0)),"")&lt;&gt;"Sim","Nao",IF(IFERROR(INDEX(parametros!$H$2:$H$6,MATCH(C628,parametros!$B$2:$B$6,0)),"")="","",IF(B628&gt;=IFERROR(INDEX(parametros!$H$2:$H$6,MATCH(C628,parametros!$B$2:$B$6,0)),""),"Sim","Nao"))))))</f>
        <v/>
      </c>
      <c r="T628" s="156"/>
      <c r="U628" s="214" t="str">
        <f t="shared" si="51"/>
        <v/>
      </c>
      <c r="V628" s="212" t="s">
        <v>50</v>
      </c>
      <c r="W628" s="100" t="s">
        <v>168</v>
      </c>
      <c r="X628" s="100" t="s">
        <v>169</v>
      </c>
      <c r="Y628" s="101" t="s">
        <v>170</v>
      </c>
      <c r="Z628" s="101" t="s">
        <v>171</v>
      </c>
      <c r="AA628" s="101" t="s">
        <v>50</v>
      </c>
      <c r="AB628" s="101" t="s">
        <v>172</v>
      </c>
      <c r="AC628" s="102" t="s">
        <v>173</v>
      </c>
    </row>
    <row r="629" spans="1:29" ht="25.5" customHeight="1" x14ac:dyDescent="0.35">
      <c r="A629" s="392"/>
      <c r="B629" s="393"/>
      <c r="C629" s="99" t="str">
        <f>IF(B629="","",IF(NOT(ISNUMBER(B629)),"DATA_PC invalida",IF(NOT(ISNUMBER(parametros!$C$2)),"Fora dos ciclos",IF(OR(B629&lt;parametros!$C$2,(YEAR(B629)-YEAR(parametros!$C$2))*12+MONTH(B629)-MONTH(parametros!$C$2)&gt;59),"Fora dos ciclos","C"&amp;INT(((YEAR(B629)-YEAR(parametros!$C$2))*12+MONTH(B629)-MONTH(parametros!$C$2))/12)))))</f>
        <v/>
      </c>
      <c r="D629" s="394"/>
      <c r="E629" s="78" t="str">
        <f>IF(C629="","",IFERROR(VLOOKUP(C629,parametros!$A$11:$E$15,5,0),""))</f>
        <v/>
      </c>
      <c r="F629" s="79" t="str">
        <f t="shared" si="47"/>
        <v/>
      </c>
      <c r="G629" s="395"/>
      <c r="H629" s="91">
        <f t="shared" si="48"/>
        <v>0</v>
      </c>
      <c r="I629" s="91" t="str">
        <f t="shared" si="49"/>
        <v/>
      </c>
      <c r="J629" s="91" t="str">
        <f t="shared" si="50"/>
        <v/>
      </c>
      <c r="K629" s="92" t="str">
        <f>IF(AND(A629="",B629="",D629="",G629=""),"",IF(AND(A629&lt;&gt;"",COUNTIF($A$2:$A$5001,A629)&gt;1),"NUMERO_PC duplicado",IF(B629="","DATA_PC vazia",IF(NOT(ISNUMBER(B629)),"DATA_PC invalida",IF(OR(C629="",C629="Fora dos ciclos"),"CICLO_PC nao identificado",IF(OR(D629="",D629=0),"VALOR_PC vazio ou zero",IF(AND(G629&lt;&gt;"Sim",G629&lt;&gt;"Nao",G629&lt;&gt;""),"PC_PAGO_A_CONTRATADA invalido",IF(AND(C629&lt;&gt;"C0",IFERROR(INDEX(parametros!$A$2:$A$6,MATCH(C629,parametros!$B$2:$B$6,0)),"")="Sim",IFERROR(INDEX(parametros!$H$2:$H$6,MATCH(C629,parametros!$B$2:$B$6,0)),"")=""),"INICIO_EFEITO ausente: PC "&amp;A629&amp;" - "&amp;C629,IF(L629="","EFEITO_PC nao calculado: PC "&amp;A629&amp;" - "&amp;C629,"OK")))))))))</f>
        <v/>
      </c>
      <c r="L629" s="92" t="str">
        <f>IF(AND(A629="",B629="",D629="",G629=""),"",IF(OR(B629="",NOT(ISNUMBER(B629)),C629="",C629="Fora dos ciclos"),"",IF(C629="C0","Nao",IF(IFERROR(INDEX(parametros!$A$2:$A$6,MATCH(C629,parametros!$B$2:$B$6,0)),"")&lt;&gt;"Sim","Nao",IF(IFERROR(INDEX(parametros!$H$2:$H$6,MATCH(C629,parametros!$B$2:$B$6,0)),"")="","",IF(B629&gt;=IFERROR(INDEX(parametros!$H$2:$H$6,MATCH(C629,parametros!$B$2:$B$6,0)),""),"Sim","Nao"))))))</f>
        <v/>
      </c>
      <c r="T629" s="156"/>
      <c r="U629" s="214" t="str">
        <f t="shared" si="51"/>
        <v/>
      </c>
      <c r="V629" s="212" t="s">
        <v>50</v>
      </c>
      <c r="W629" s="100" t="s">
        <v>168</v>
      </c>
      <c r="X629" s="100" t="s">
        <v>169</v>
      </c>
      <c r="Y629" s="101" t="s">
        <v>170</v>
      </c>
      <c r="Z629" s="101" t="s">
        <v>171</v>
      </c>
      <c r="AA629" s="101" t="s">
        <v>50</v>
      </c>
      <c r="AB629" s="101" t="s">
        <v>172</v>
      </c>
      <c r="AC629" s="102" t="s">
        <v>173</v>
      </c>
    </row>
    <row r="630" spans="1:29" ht="25.5" customHeight="1" x14ac:dyDescent="0.35">
      <c r="A630" s="392"/>
      <c r="B630" s="393"/>
      <c r="C630" s="99" t="str">
        <f>IF(B630="","",IF(NOT(ISNUMBER(B630)),"DATA_PC invalida",IF(NOT(ISNUMBER(parametros!$C$2)),"Fora dos ciclos",IF(OR(B630&lt;parametros!$C$2,(YEAR(B630)-YEAR(parametros!$C$2))*12+MONTH(B630)-MONTH(parametros!$C$2)&gt;59),"Fora dos ciclos","C"&amp;INT(((YEAR(B630)-YEAR(parametros!$C$2))*12+MONTH(B630)-MONTH(parametros!$C$2))/12)))))</f>
        <v/>
      </c>
      <c r="D630" s="394"/>
      <c r="E630" s="78" t="str">
        <f>IF(C630="","",IFERROR(VLOOKUP(C630,parametros!$A$11:$E$15,5,0),""))</f>
        <v/>
      </c>
      <c r="F630" s="79" t="str">
        <f t="shared" si="47"/>
        <v/>
      </c>
      <c r="G630" s="395"/>
      <c r="H630" s="91">
        <f t="shared" si="48"/>
        <v>0</v>
      </c>
      <c r="I630" s="91" t="str">
        <f t="shared" si="49"/>
        <v/>
      </c>
      <c r="J630" s="91" t="str">
        <f t="shared" si="50"/>
        <v/>
      </c>
      <c r="K630" s="92" t="str">
        <f>IF(AND(A630="",B630="",D630="",G630=""),"",IF(AND(A630&lt;&gt;"",COUNTIF($A$2:$A$5001,A630)&gt;1),"NUMERO_PC duplicado",IF(B630="","DATA_PC vazia",IF(NOT(ISNUMBER(B630)),"DATA_PC invalida",IF(OR(C630="",C630="Fora dos ciclos"),"CICLO_PC nao identificado",IF(OR(D630="",D630=0),"VALOR_PC vazio ou zero",IF(AND(G630&lt;&gt;"Sim",G630&lt;&gt;"Nao",G630&lt;&gt;""),"PC_PAGO_A_CONTRATADA invalido",IF(AND(C630&lt;&gt;"C0",IFERROR(INDEX(parametros!$A$2:$A$6,MATCH(C630,parametros!$B$2:$B$6,0)),"")="Sim",IFERROR(INDEX(parametros!$H$2:$H$6,MATCH(C630,parametros!$B$2:$B$6,0)),"")=""),"INICIO_EFEITO ausente: PC "&amp;A630&amp;" - "&amp;C630,IF(L630="","EFEITO_PC nao calculado: PC "&amp;A630&amp;" - "&amp;C630,"OK")))))))))</f>
        <v/>
      </c>
      <c r="L630" s="92" t="str">
        <f>IF(AND(A630="",B630="",D630="",G630=""),"",IF(OR(B630="",NOT(ISNUMBER(B630)),C630="",C630="Fora dos ciclos"),"",IF(C630="C0","Nao",IF(IFERROR(INDEX(parametros!$A$2:$A$6,MATCH(C630,parametros!$B$2:$B$6,0)),"")&lt;&gt;"Sim","Nao",IF(IFERROR(INDEX(parametros!$H$2:$H$6,MATCH(C630,parametros!$B$2:$B$6,0)),"")="","",IF(B630&gt;=IFERROR(INDEX(parametros!$H$2:$H$6,MATCH(C630,parametros!$B$2:$B$6,0)),""),"Sim","Nao"))))))</f>
        <v/>
      </c>
      <c r="T630" s="156"/>
      <c r="U630" s="214" t="str">
        <f t="shared" si="51"/>
        <v/>
      </c>
      <c r="V630" s="212" t="s">
        <v>50</v>
      </c>
      <c r="W630" s="100" t="s">
        <v>168</v>
      </c>
      <c r="X630" s="100" t="s">
        <v>169</v>
      </c>
      <c r="Y630" s="101" t="s">
        <v>170</v>
      </c>
      <c r="Z630" s="101" t="s">
        <v>171</v>
      </c>
      <c r="AA630" s="101" t="s">
        <v>50</v>
      </c>
      <c r="AB630" s="101" t="s">
        <v>172</v>
      </c>
      <c r="AC630" s="102" t="s">
        <v>173</v>
      </c>
    </row>
    <row r="631" spans="1:29" ht="25.5" customHeight="1" x14ac:dyDescent="0.35">
      <c r="A631" s="392"/>
      <c r="B631" s="393"/>
      <c r="C631" s="99" t="str">
        <f>IF(B631="","",IF(NOT(ISNUMBER(B631)),"DATA_PC invalida",IF(NOT(ISNUMBER(parametros!$C$2)),"Fora dos ciclos",IF(OR(B631&lt;parametros!$C$2,(YEAR(B631)-YEAR(parametros!$C$2))*12+MONTH(B631)-MONTH(parametros!$C$2)&gt;59),"Fora dos ciclos","C"&amp;INT(((YEAR(B631)-YEAR(parametros!$C$2))*12+MONTH(B631)-MONTH(parametros!$C$2))/12)))))</f>
        <v/>
      </c>
      <c r="D631" s="394"/>
      <c r="E631" s="78" t="str">
        <f>IF(C631="","",IFERROR(VLOOKUP(C631,parametros!$A$11:$E$15,5,0),""))</f>
        <v/>
      </c>
      <c r="F631" s="79" t="str">
        <f t="shared" si="47"/>
        <v/>
      </c>
      <c r="G631" s="395"/>
      <c r="H631" s="91">
        <f t="shared" si="48"/>
        <v>0</v>
      </c>
      <c r="I631" s="91" t="str">
        <f t="shared" si="49"/>
        <v/>
      </c>
      <c r="J631" s="91" t="str">
        <f t="shared" si="50"/>
        <v/>
      </c>
      <c r="K631" s="92" t="str">
        <f>IF(AND(A631="",B631="",D631="",G631=""),"",IF(AND(A631&lt;&gt;"",COUNTIF($A$2:$A$5001,A631)&gt;1),"NUMERO_PC duplicado",IF(B631="","DATA_PC vazia",IF(NOT(ISNUMBER(B631)),"DATA_PC invalida",IF(OR(C631="",C631="Fora dos ciclos"),"CICLO_PC nao identificado",IF(OR(D631="",D631=0),"VALOR_PC vazio ou zero",IF(AND(G631&lt;&gt;"Sim",G631&lt;&gt;"Nao",G631&lt;&gt;""),"PC_PAGO_A_CONTRATADA invalido",IF(AND(C631&lt;&gt;"C0",IFERROR(INDEX(parametros!$A$2:$A$6,MATCH(C631,parametros!$B$2:$B$6,0)),"")="Sim",IFERROR(INDEX(parametros!$H$2:$H$6,MATCH(C631,parametros!$B$2:$B$6,0)),"")=""),"INICIO_EFEITO ausente: PC "&amp;A631&amp;" - "&amp;C631,IF(L631="","EFEITO_PC nao calculado: PC "&amp;A631&amp;" - "&amp;C631,"OK")))))))))</f>
        <v/>
      </c>
      <c r="L631" s="92" t="str">
        <f>IF(AND(A631="",B631="",D631="",G631=""),"",IF(OR(B631="",NOT(ISNUMBER(B631)),C631="",C631="Fora dos ciclos"),"",IF(C631="C0","Nao",IF(IFERROR(INDEX(parametros!$A$2:$A$6,MATCH(C631,parametros!$B$2:$B$6,0)),"")&lt;&gt;"Sim","Nao",IF(IFERROR(INDEX(parametros!$H$2:$H$6,MATCH(C631,parametros!$B$2:$B$6,0)),"")="","",IF(B631&gt;=IFERROR(INDEX(parametros!$H$2:$H$6,MATCH(C631,parametros!$B$2:$B$6,0)),""),"Sim","Nao"))))))</f>
        <v/>
      </c>
      <c r="T631" s="156"/>
      <c r="U631" s="214" t="str">
        <f t="shared" si="51"/>
        <v/>
      </c>
      <c r="V631" s="212" t="s">
        <v>50</v>
      </c>
      <c r="W631" s="100" t="s">
        <v>168</v>
      </c>
      <c r="X631" s="100" t="s">
        <v>169</v>
      </c>
      <c r="Y631" s="101" t="s">
        <v>170</v>
      </c>
      <c r="Z631" s="101" t="s">
        <v>171</v>
      </c>
      <c r="AA631" s="101" t="s">
        <v>50</v>
      </c>
      <c r="AB631" s="101" t="s">
        <v>172</v>
      </c>
      <c r="AC631" s="102" t="s">
        <v>173</v>
      </c>
    </row>
    <row r="632" spans="1:29" ht="25.5" customHeight="1" x14ac:dyDescent="0.35">
      <c r="A632" s="392"/>
      <c r="B632" s="393"/>
      <c r="C632" s="99" t="str">
        <f>IF(B632="","",IF(NOT(ISNUMBER(B632)),"DATA_PC invalida",IF(NOT(ISNUMBER(parametros!$C$2)),"Fora dos ciclos",IF(OR(B632&lt;parametros!$C$2,(YEAR(B632)-YEAR(parametros!$C$2))*12+MONTH(B632)-MONTH(parametros!$C$2)&gt;59),"Fora dos ciclos","C"&amp;INT(((YEAR(B632)-YEAR(parametros!$C$2))*12+MONTH(B632)-MONTH(parametros!$C$2))/12)))))</f>
        <v/>
      </c>
      <c r="D632" s="394"/>
      <c r="E632" s="78" t="str">
        <f>IF(C632="","",IFERROR(VLOOKUP(C632,parametros!$A$11:$E$15,5,0),""))</f>
        <v/>
      </c>
      <c r="F632" s="79" t="str">
        <f t="shared" si="47"/>
        <v/>
      </c>
      <c r="G632" s="395"/>
      <c r="H632" s="91">
        <f t="shared" si="48"/>
        <v>0</v>
      </c>
      <c r="I632" s="91" t="str">
        <f t="shared" si="49"/>
        <v/>
      </c>
      <c r="J632" s="91" t="str">
        <f t="shared" si="50"/>
        <v/>
      </c>
      <c r="K632" s="92" t="str">
        <f>IF(AND(A632="",B632="",D632="",G632=""),"",IF(AND(A632&lt;&gt;"",COUNTIF($A$2:$A$5001,A632)&gt;1),"NUMERO_PC duplicado",IF(B632="","DATA_PC vazia",IF(NOT(ISNUMBER(B632)),"DATA_PC invalida",IF(OR(C632="",C632="Fora dos ciclos"),"CICLO_PC nao identificado",IF(OR(D632="",D632=0),"VALOR_PC vazio ou zero",IF(AND(G632&lt;&gt;"Sim",G632&lt;&gt;"Nao",G632&lt;&gt;""),"PC_PAGO_A_CONTRATADA invalido",IF(AND(C632&lt;&gt;"C0",IFERROR(INDEX(parametros!$A$2:$A$6,MATCH(C632,parametros!$B$2:$B$6,0)),"")="Sim",IFERROR(INDEX(parametros!$H$2:$H$6,MATCH(C632,parametros!$B$2:$B$6,0)),"")=""),"INICIO_EFEITO ausente: PC "&amp;A632&amp;" - "&amp;C632,IF(L632="","EFEITO_PC nao calculado: PC "&amp;A632&amp;" - "&amp;C632,"OK")))))))))</f>
        <v/>
      </c>
      <c r="L632" s="92" t="str">
        <f>IF(AND(A632="",B632="",D632="",G632=""),"",IF(OR(B632="",NOT(ISNUMBER(B632)),C632="",C632="Fora dos ciclos"),"",IF(C632="C0","Nao",IF(IFERROR(INDEX(parametros!$A$2:$A$6,MATCH(C632,parametros!$B$2:$B$6,0)),"")&lt;&gt;"Sim","Nao",IF(IFERROR(INDEX(parametros!$H$2:$H$6,MATCH(C632,parametros!$B$2:$B$6,0)),"")="","",IF(B632&gt;=IFERROR(INDEX(parametros!$H$2:$H$6,MATCH(C632,parametros!$B$2:$B$6,0)),""),"Sim","Nao"))))))</f>
        <v/>
      </c>
      <c r="T632" s="156"/>
      <c r="U632" s="214" t="str">
        <f t="shared" si="51"/>
        <v/>
      </c>
      <c r="V632" s="212" t="s">
        <v>50</v>
      </c>
      <c r="W632" s="100" t="s">
        <v>168</v>
      </c>
      <c r="X632" s="100" t="s">
        <v>169</v>
      </c>
      <c r="Y632" s="101" t="s">
        <v>170</v>
      </c>
      <c r="Z632" s="101" t="s">
        <v>171</v>
      </c>
      <c r="AA632" s="101" t="s">
        <v>50</v>
      </c>
      <c r="AB632" s="101" t="s">
        <v>172</v>
      </c>
      <c r="AC632" s="102" t="s">
        <v>173</v>
      </c>
    </row>
    <row r="633" spans="1:29" ht="25.5" customHeight="1" x14ac:dyDescent="0.35">
      <c r="A633" s="392"/>
      <c r="B633" s="393"/>
      <c r="C633" s="99" t="str">
        <f>IF(B633="","",IF(NOT(ISNUMBER(B633)),"DATA_PC invalida",IF(NOT(ISNUMBER(parametros!$C$2)),"Fora dos ciclos",IF(OR(B633&lt;parametros!$C$2,(YEAR(B633)-YEAR(parametros!$C$2))*12+MONTH(B633)-MONTH(parametros!$C$2)&gt;59),"Fora dos ciclos","C"&amp;INT(((YEAR(B633)-YEAR(parametros!$C$2))*12+MONTH(B633)-MONTH(parametros!$C$2))/12)))))</f>
        <v/>
      </c>
      <c r="D633" s="394"/>
      <c r="E633" s="78" t="str">
        <f>IF(C633="","",IFERROR(VLOOKUP(C633,parametros!$A$11:$E$15,5,0),""))</f>
        <v/>
      </c>
      <c r="F633" s="79" t="str">
        <f t="shared" si="47"/>
        <v/>
      </c>
      <c r="G633" s="395"/>
      <c r="H633" s="91">
        <f t="shared" si="48"/>
        <v>0</v>
      </c>
      <c r="I633" s="91" t="str">
        <f t="shared" si="49"/>
        <v/>
      </c>
      <c r="J633" s="91" t="str">
        <f t="shared" si="50"/>
        <v/>
      </c>
      <c r="K633" s="92" t="str">
        <f>IF(AND(A633="",B633="",D633="",G633=""),"",IF(AND(A633&lt;&gt;"",COUNTIF($A$2:$A$5001,A633)&gt;1),"NUMERO_PC duplicado",IF(B633="","DATA_PC vazia",IF(NOT(ISNUMBER(B633)),"DATA_PC invalida",IF(OR(C633="",C633="Fora dos ciclos"),"CICLO_PC nao identificado",IF(OR(D633="",D633=0),"VALOR_PC vazio ou zero",IF(AND(G633&lt;&gt;"Sim",G633&lt;&gt;"Nao",G633&lt;&gt;""),"PC_PAGO_A_CONTRATADA invalido",IF(AND(C633&lt;&gt;"C0",IFERROR(INDEX(parametros!$A$2:$A$6,MATCH(C633,parametros!$B$2:$B$6,0)),"")="Sim",IFERROR(INDEX(parametros!$H$2:$H$6,MATCH(C633,parametros!$B$2:$B$6,0)),"")=""),"INICIO_EFEITO ausente: PC "&amp;A633&amp;" - "&amp;C633,IF(L633="","EFEITO_PC nao calculado: PC "&amp;A633&amp;" - "&amp;C633,"OK")))))))))</f>
        <v/>
      </c>
      <c r="L633" s="92" t="str">
        <f>IF(AND(A633="",B633="",D633="",G633=""),"",IF(OR(B633="",NOT(ISNUMBER(B633)),C633="",C633="Fora dos ciclos"),"",IF(C633="C0","Nao",IF(IFERROR(INDEX(parametros!$A$2:$A$6,MATCH(C633,parametros!$B$2:$B$6,0)),"")&lt;&gt;"Sim","Nao",IF(IFERROR(INDEX(parametros!$H$2:$H$6,MATCH(C633,parametros!$B$2:$B$6,0)),"")="","",IF(B633&gt;=IFERROR(INDEX(parametros!$H$2:$H$6,MATCH(C633,parametros!$B$2:$B$6,0)),""),"Sim","Nao"))))))</f>
        <v/>
      </c>
      <c r="T633" s="156"/>
      <c r="U633" s="214" t="str">
        <f t="shared" si="51"/>
        <v/>
      </c>
      <c r="V633" s="212" t="s">
        <v>50</v>
      </c>
      <c r="W633" s="100" t="s">
        <v>168</v>
      </c>
      <c r="X633" s="100" t="s">
        <v>169</v>
      </c>
      <c r="Y633" s="101" t="s">
        <v>170</v>
      </c>
      <c r="Z633" s="101" t="s">
        <v>171</v>
      </c>
      <c r="AA633" s="101" t="s">
        <v>50</v>
      </c>
      <c r="AB633" s="101" t="s">
        <v>172</v>
      </c>
      <c r="AC633" s="102" t="s">
        <v>173</v>
      </c>
    </row>
    <row r="634" spans="1:29" ht="25.5" customHeight="1" x14ac:dyDescent="0.35">
      <c r="A634" s="392"/>
      <c r="B634" s="393"/>
      <c r="C634" s="99" t="str">
        <f>IF(B634="","",IF(NOT(ISNUMBER(B634)),"DATA_PC invalida",IF(NOT(ISNUMBER(parametros!$C$2)),"Fora dos ciclos",IF(OR(B634&lt;parametros!$C$2,(YEAR(B634)-YEAR(parametros!$C$2))*12+MONTH(B634)-MONTH(parametros!$C$2)&gt;59),"Fora dos ciclos","C"&amp;INT(((YEAR(B634)-YEAR(parametros!$C$2))*12+MONTH(B634)-MONTH(parametros!$C$2))/12)))))</f>
        <v/>
      </c>
      <c r="D634" s="394"/>
      <c r="E634" s="78" t="str">
        <f>IF(C634="","",IFERROR(VLOOKUP(C634,parametros!$A$11:$E$15,5,0),""))</f>
        <v/>
      </c>
      <c r="F634" s="79" t="str">
        <f t="shared" si="47"/>
        <v/>
      </c>
      <c r="G634" s="395"/>
      <c r="H634" s="91">
        <f t="shared" si="48"/>
        <v>0</v>
      </c>
      <c r="I634" s="91" t="str">
        <f t="shared" si="49"/>
        <v/>
      </c>
      <c r="J634" s="91" t="str">
        <f t="shared" si="50"/>
        <v/>
      </c>
      <c r="K634" s="92" t="str">
        <f>IF(AND(A634="",B634="",D634="",G634=""),"",IF(AND(A634&lt;&gt;"",COUNTIF($A$2:$A$5001,A634)&gt;1),"NUMERO_PC duplicado",IF(B634="","DATA_PC vazia",IF(NOT(ISNUMBER(B634)),"DATA_PC invalida",IF(OR(C634="",C634="Fora dos ciclos"),"CICLO_PC nao identificado",IF(OR(D634="",D634=0),"VALOR_PC vazio ou zero",IF(AND(G634&lt;&gt;"Sim",G634&lt;&gt;"Nao",G634&lt;&gt;""),"PC_PAGO_A_CONTRATADA invalido",IF(AND(C634&lt;&gt;"C0",IFERROR(INDEX(parametros!$A$2:$A$6,MATCH(C634,parametros!$B$2:$B$6,0)),"")="Sim",IFERROR(INDEX(parametros!$H$2:$H$6,MATCH(C634,parametros!$B$2:$B$6,0)),"")=""),"INICIO_EFEITO ausente: PC "&amp;A634&amp;" - "&amp;C634,IF(L634="","EFEITO_PC nao calculado: PC "&amp;A634&amp;" - "&amp;C634,"OK")))))))))</f>
        <v/>
      </c>
      <c r="L634" s="92" t="str">
        <f>IF(AND(A634="",B634="",D634="",G634=""),"",IF(OR(B634="",NOT(ISNUMBER(B634)),C634="",C634="Fora dos ciclos"),"",IF(C634="C0","Nao",IF(IFERROR(INDEX(parametros!$A$2:$A$6,MATCH(C634,parametros!$B$2:$B$6,0)),"")&lt;&gt;"Sim","Nao",IF(IFERROR(INDEX(parametros!$H$2:$H$6,MATCH(C634,parametros!$B$2:$B$6,0)),"")="","",IF(B634&gt;=IFERROR(INDEX(parametros!$H$2:$H$6,MATCH(C634,parametros!$B$2:$B$6,0)),""),"Sim","Nao"))))))</f>
        <v/>
      </c>
      <c r="T634" s="156"/>
      <c r="U634" s="214" t="str">
        <f t="shared" si="51"/>
        <v/>
      </c>
      <c r="V634" s="212" t="s">
        <v>50</v>
      </c>
      <c r="W634" s="100" t="s">
        <v>168</v>
      </c>
      <c r="X634" s="100" t="s">
        <v>169</v>
      </c>
      <c r="Y634" s="101" t="s">
        <v>170</v>
      </c>
      <c r="Z634" s="101" t="s">
        <v>171</v>
      </c>
      <c r="AA634" s="101" t="s">
        <v>50</v>
      </c>
      <c r="AB634" s="101" t="s">
        <v>172</v>
      </c>
      <c r="AC634" s="102" t="s">
        <v>173</v>
      </c>
    </row>
    <row r="635" spans="1:29" ht="25.5" customHeight="1" x14ac:dyDescent="0.35">
      <c r="A635" s="392"/>
      <c r="B635" s="393"/>
      <c r="C635" s="99" t="str">
        <f>IF(B635="","",IF(NOT(ISNUMBER(B635)),"DATA_PC invalida",IF(NOT(ISNUMBER(parametros!$C$2)),"Fora dos ciclos",IF(OR(B635&lt;parametros!$C$2,(YEAR(B635)-YEAR(parametros!$C$2))*12+MONTH(B635)-MONTH(parametros!$C$2)&gt;59),"Fora dos ciclos","C"&amp;INT(((YEAR(B635)-YEAR(parametros!$C$2))*12+MONTH(B635)-MONTH(parametros!$C$2))/12)))))</f>
        <v/>
      </c>
      <c r="D635" s="394"/>
      <c r="E635" s="78" t="str">
        <f>IF(C635="","",IFERROR(VLOOKUP(C635,parametros!$A$11:$E$15,5,0),""))</f>
        <v/>
      </c>
      <c r="F635" s="79" t="str">
        <f t="shared" si="47"/>
        <v/>
      </c>
      <c r="G635" s="395"/>
      <c r="H635" s="91">
        <f t="shared" si="48"/>
        <v>0</v>
      </c>
      <c r="I635" s="91" t="str">
        <f t="shared" si="49"/>
        <v/>
      </c>
      <c r="J635" s="91" t="str">
        <f t="shared" si="50"/>
        <v/>
      </c>
      <c r="K635" s="92" t="str">
        <f>IF(AND(A635="",B635="",D635="",G635=""),"",IF(AND(A635&lt;&gt;"",COUNTIF($A$2:$A$5001,A635)&gt;1),"NUMERO_PC duplicado",IF(B635="","DATA_PC vazia",IF(NOT(ISNUMBER(B635)),"DATA_PC invalida",IF(OR(C635="",C635="Fora dos ciclos"),"CICLO_PC nao identificado",IF(OR(D635="",D635=0),"VALOR_PC vazio ou zero",IF(AND(G635&lt;&gt;"Sim",G635&lt;&gt;"Nao",G635&lt;&gt;""),"PC_PAGO_A_CONTRATADA invalido",IF(AND(C635&lt;&gt;"C0",IFERROR(INDEX(parametros!$A$2:$A$6,MATCH(C635,parametros!$B$2:$B$6,0)),"")="Sim",IFERROR(INDEX(parametros!$H$2:$H$6,MATCH(C635,parametros!$B$2:$B$6,0)),"")=""),"INICIO_EFEITO ausente: PC "&amp;A635&amp;" - "&amp;C635,IF(L635="","EFEITO_PC nao calculado: PC "&amp;A635&amp;" - "&amp;C635,"OK")))))))))</f>
        <v/>
      </c>
      <c r="L635" s="92" t="str">
        <f>IF(AND(A635="",B635="",D635="",G635=""),"",IF(OR(B635="",NOT(ISNUMBER(B635)),C635="",C635="Fora dos ciclos"),"",IF(C635="C0","Nao",IF(IFERROR(INDEX(parametros!$A$2:$A$6,MATCH(C635,parametros!$B$2:$B$6,0)),"")&lt;&gt;"Sim","Nao",IF(IFERROR(INDEX(parametros!$H$2:$H$6,MATCH(C635,parametros!$B$2:$B$6,0)),"")="","",IF(B635&gt;=IFERROR(INDEX(parametros!$H$2:$H$6,MATCH(C635,parametros!$B$2:$B$6,0)),""),"Sim","Nao"))))))</f>
        <v/>
      </c>
      <c r="T635" s="156"/>
      <c r="U635" s="214" t="str">
        <f t="shared" si="51"/>
        <v/>
      </c>
      <c r="V635" s="212" t="s">
        <v>50</v>
      </c>
      <c r="W635" s="100" t="s">
        <v>168</v>
      </c>
      <c r="X635" s="100" t="s">
        <v>169</v>
      </c>
      <c r="Y635" s="101" t="s">
        <v>170</v>
      </c>
      <c r="Z635" s="101" t="s">
        <v>171</v>
      </c>
      <c r="AA635" s="101" t="s">
        <v>50</v>
      </c>
      <c r="AB635" s="101" t="s">
        <v>172</v>
      </c>
      <c r="AC635" s="102" t="s">
        <v>173</v>
      </c>
    </row>
    <row r="636" spans="1:29" ht="25.5" customHeight="1" x14ac:dyDescent="0.35">
      <c r="A636" s="392"/>
      <c r="B636" s="393"/>
      <c r="C636" s="99" t="str">
        <f>IF(B636="","",IF(NOT(ISNUMBER(B636)),"DATA_PC invalida",IF(NOT(ISNUMBER(parametros!$C$2)),"Fora dos ciclos",IF(OR(B636&lt;parametros!$C$2,(YEAR(B636)-YEAR(parametros!$C$2))*12+MONTH(B636)-MONTH(parametros!$C$2)&gt;59),"Fora dos ciclos","C"&amp;INT(((YEAR(B636)-YEAR(parametros!$C$2))*12+MONTH(B636)-MONTH(parametros!$C$2))/12)))))</f>
        <v/>
      </c>
      <c r="D636" s="394"/>
      <c r="E636" s="78" t="str">
        <f>IF(C636="","",IFERROR(VLOOKUP(C636,parametros!$A$11:$E$15,5,0),""))</f>
        <v/>
      </c>
      <c r="F636" s="79" t="str">
        <f t="shared" si="47"/>
        <v/>
      </c>
      <c r="G636" s="395"/>
      <c r="H636" s="91">
        <f t="shared" si="48"/>
        <v>0</v>
      </c>
      <c r="I636" s="91" t="str">
        <f t="shared" si="49"/>
        <v/>
      </c>
      <c r="J636" s="91" t="str">
        <f t="shared" si="50"/>
        <v/>
      </c>
      <c r="K636" s="92" t="str">
        <f>IF(AND(A636="",B636="",D636="",G636=""),"",IF(AND(A636&lt;&gt;"",COUNTIF($A$2:$A$5001,A636)&gt;1),"NUMERO_PC duplicado",IF(B636="","DATA_PC vazia",IF(NOT(ISNUMBER(B636)),"DATA_PC invalida",IF(OR(C636="",C636="Fora dos ciclos"),"CICLO_PC nao identificado",IF(OR(D636="",D636=0),"VALOR_PC vazio ou zero",IF(AND(G636&lt;&gt;"Sim",G636&lt;&gt;"Nao",G636&lt;&gt;""),"PC_PAGO_A_CONTRATADA invalido",IF(AND(C636&lt;&gt;"C0",IFERROR(INDEX(parametros!$A$2:$A$6,MATCH(C636,parametros!$B$2:$B$6,0)),"")="Sim",IFERROR(INDEX(parametros!$H$2:$H$6,MATCH(C636,parametros!$B$2:$B$6,0)),"")=""),"INICIO_EFEITO ausente: PC "&amp;A636&amp;" - "&amp;C636,IF(L636="","EFEITO_PC nao calculado: PC "&amp;A636&amp;" - "&amp;C636,"OK")))))))))</f>
        <v/>
      </c>
      <c r="L636" s="92" t="str">
        <f>IF(AND(A636="",B636="",D636="",G636=""),"",IF(OR(B636="",NOT(ISNUMBER(B636)),C636="",C636="Fora dos ciclos"),"",IF(C636="C0","Nao",IF(IFERROR(INDEX(parametros!$A$2:$A$6,MATCH(C636,parametros!$B$2:$B$6,0)),"")&lt;&gt;"Sim","Nao",IF(IFERROR(INDEX(parametros!$H$2:$H$6,MATCH(C636,parametros!$B$2:$B$6,0)),"")="","",IF(B636&gt;=IFERROR(INDEX(parametros!$H$2:$H$6,MATCH(C636,parametros!$B$2:$B$6,0)),""),"Sim","Nao"))))))</f>
        <v/>
      </c>
      <c r="T636" s="156"/>
      <c r="U636" s="214" t="str">
        <f t="shared" si="51"/>
        <v/>
      </c>
      <c r="V636" s="212" t="s">
        <v>50</v>
      </c>
      <c r="W636" s="100" t="s">
        <v>168</v>
      </c>
      <c r="X636" s="100" t="s">
        <v>169</v>
      </c>
      <c r="Y636" s="101" t="s">
        <v>170</v>
      </c>
      <c r="Z636" s="101" t="s">
        <v>171</v>
      </c>
      <c r="AA636" s="101" t="s">
        <v>50</v>
      </c>
      <c r="AB636" s="101" t="s">
        <v>172</v>
      </c>
      <c r="AC636" s="102" t="s">
        <v>173</v>
      </c>
    </row>
    <row r="637" spans="1:29" ht="25.5" customHeight="1" x14ac:dyDescent="0.35">
      <c r="A637" s="392"/>
      <c r="B637" s="393"/>
      <c r="C637" s="99" t="str">
        <f>IF(B637="","",IF(NOT(ISNUMBER(B637)),"DATA_PC invalida",IF(NOT(ISNUMBER(parametros!$C$2)),"Fora dos ciclos",IF(OR(B637&lt;parametros!$C$2,(YEAR(B637)-YEAR(parametros!$C$2))*12+MONTH(B637)-MONTH(parametros!$C$2)&gt;59),"Fora dos ciclos","C"&amp;INT(((YEAR(B637)-YEAR(parametros!$C$2))*12+MONTH(B637)-MONTH(parametros!$C$2))/12)))))</f>
        <v/>
      </c>
      <c r="D637" s="394"/>
      <c r="E637" s="78" t="str">
        <f>IF(C637="","",IFERROR(VLOOKUP(C637,parametros!$A$11:$E$15,5,0),""))</f>
        <v/>
      </c>
      <c r="F637" s="79" t="str">
        <f t="shared" si="47"/>
        <v/>
      </c>
      <c r="G637" s="395"/>
      <c r="H637" s="91">
        <f t="shared" si="48"/>
        <v>0</v>
      </c>
      <c r="I637" s="91" t="str">
        <f t="shared" si="49"/>
        <v/>
      </c>
      <c r="J637" s="91" t="str">
        <f t="shared" si="50"/>
        <v/>
      </c>
      <c r="K637" s="92" t="str">
        <f>IF(AND(A637="",B637="",D637="",G637=""),"",IF(AND(A637&lt;&gt;"",COUNTIF($A$2:$A$5001,A637)&gt;1),"NUMERO_PC duplicado",IF(B637="","DATA_PC vazia",IF(NOT(ISNUMBER(B637)),"DATA_PC invalida",IF(OR(C637="",C637="Fora dos ciclos"),"CICLO_PC nao identificado",IF(OR(D637="",D637=0),"VALOR_PC vazio ou zero",IF(AND(G637&lt;&gt;"Sim",G637&lt;&gt;"Nao",G637&lt;&gt;""),"PC_PAGO_A_CONTRATADA invalido",IF(AND(C637&lt;&gt;"C0",IFERROR(INDEX(parametros!$A$2:$A$6,MATCH(C637,parametros!$B$2:$B$6,0)),"")="Sim",IFERROR(INDEX(parametros!$H$2:$H$6,MATCH(C637,parametros!$B$2:$B$6,0)),"")=""),"INICIO_EFEITO ausente: PC "&amp;A637&amp;" - "&amp;C637,IF(L637="","EFEITO_PC nao calculado: PC "&amp;A637&amp;" - "&amp;C637,"OK")))))))))</f>
        <v/>
      </c>
      <c r="L637" s="92" t="str">
        <f>IF(AND(A637="",B637="",D637="",G637=""),"",IF(OR(B637="",NOT(ISNUMBER(B637)),C637="",C637="Fora dos ciclos"),"",IF(C637="C0","Nao",IF(IFERROR(INDEX(parametros!$A$2:$A$6,MATCH(C637,parametros!$B$2:$B$6,0)),"")&lt;&gt;"Sim","Nao",IF(IFERROR(INDEX(parametros!$H$2:$H$6,MATCH(C637,parametros!$B$2:$B$6,0)),"")="","",IF(B637&gt;=IFERROR(INDEX(parametros!$H$2:$H$6,MATCH(C637,parametros!$B$2:$B$6,0)),""),"Sim","Nao"))))))</f>
        <v/>
      </c>
      <c r="T637" s="156"/>
      <c r="U637" s="214" t="str">
        <f t="shared" si="51"/>
        <v/>
      </c>
      <c r="V637" s="212" t="s">
        <v>50</v>
      </c>
      <c r="W637" s="100" t="s">
        <v>168</v>
      </c>
      <c r="X637" s="100" t="s">
        <v>169</v>
      </c>
      <c r="Y637" s="101" t="s">
        <v>170</v>
      </c>
      <c r="Z637" s="101" t="s">
        <v>171</v>
      </c>
      <c r="AA637" s="101" t="s">
        <v>50</v>
      </c>
      <c r="AB637" s="101" t="s">
        <v>172</v>
      </c>
      <c r="AC637" s="102" t="s">
        <v>173</v>
      </c>
    </row>
    <row r="638" spans="1:29" ht="25.5" customHeight="1" x14ac:dyDescent="0.35">
      <c r="A638" s="392"/>
      <c r="B638" s="393"/>
      <c r="C638" s="99" t="str">
        <f>IF(B638="","",IF(NOT(ISNUMBER(B638)),"DATA_PC invalida",IF(NOT(ISNUMBER(parametros!$C$2)),"Fora dos ciclos",IF(OR(B638&lt;parametros!$C$2,(YEAR(B638)-YEAR(parametros!$C$2))*12+MONTH(B638)-MONTH(parametros!$C$2)&gt;59),"Fora dos ciclos","C"&amp;INT(((YEAR(B638)-YEAR(parametros!$C$2))*12+MONTH(B638)-MONTH(parametros!$C$2))/12)))))</f>
        <v/>
      </c>
      <c r="D638" s="394"/>
      <c r="E638" s="78" t="str">
        <f>IF(C638="","",IFERROR(VLOOKUP(C638,parametros!$A$11:$E$15,5,0),""))</f>
        <v/>
      </c>
      <c r="F638" s="79" t="str">
        <f t="shared" si="47"/>
        <v/>
      </c>
      <c r="G638" s="395"/>
      <c r="H638" s="91">
        <f t="shared" si="48"/>
        <v>0</v>
      </c>
      <c r="I638" s="91" t="str">
        <f t="shared" si="49"/>
        <v/>
      </c>
      <c r="J638" s="91" t="str">
        <f t="shared" si="50"/>
        <v/>
      </c>
      <c r="K638" s="92" t="str">
        <f>IF(AND(A638="",B638="",D638="",G638=""),"",IF(AND(A638&lt;&gt;"",COUNTIF($A$2:$A$5001,A638)&gt;1),"NUMERO_PC duplicado",IF(B638="","DATA_PC vazia",IF(NOT(ISNUMBER(B638)),"DATA_PC invalida",IF(OR(C638="",C638="Fora dos ciclos"),"CICLO_PC nao identificado",IF(OR(D638="",D638=0),"VALOR_PC vazio ou zero",IF(AND(G638&lt;&gt;"Sim",G638&lt;&gt;"Nao",G638&lt;&gt;""),"PC_PAGO_A_CONTRATADA invalido",IF(AND(C638&lt;&gt;"C0",IFERROR(INDEX(parametros!$A$2:$A$6,MATCH(C638,parametros!$B$2:$B$6,0)),"")="Sim",IFERROR(INDEX(parametros!$H$2:$H$6,MATCH(C638,parametros!$B$2:$B$6,0)),"")=""),"INICIO_EFEITO ausente: PC "&amp;A638&amp;" - "&amp;C638,IF(L638="","EFEITO_PC nao calculado: PC "&amp;A638&amp;" - "&amp;C638,"OK")))))))))</f>
        <v/>
      </c>
      <c r="L638" s="92" t="str">
        <f>IF(AND(A638="",B638="",D638="",G638=""),"",IF(OR(B638="",NOT(ISNUMBER(B638)),C638="",C638="Fora dos ciclos"),"",IF(C638="C0","Nao",IF(IFERROR(INDEX(parametros!$A$2:$A$6,MATCH(C638,parametros!$B$2:$B$6,0)),"")&lt;&gt;"Sim","Nao",IF(IFERROR(INDEX(parametros!$H$2:$H$6,MATCH(C638,parametros!$B$2:$B$6,0)),"")="","",IF(B638&gt;=IFERROR(INDEX(parametros!$H$2:$H$6,MATCH(C638,parametros!$B$2:$B$6,0)),""),"Sim","Nao"))))))</f>
        <v/>
      </c>
      <c r="T638" s="156"/>
      <c r="U638" s="214" t="str">
        <f t="shared" si="51"/>
        <v/>
      </c>
      <c r="V638" s="212" t="s">
        <v>50</v>
      </c>
      <c r="W638" s="100" t="s">
        <v>168</v>
      </c>
      <c r="X638" s="100" t="s">
        <v>169</v>
      </c>
      <c r="Y638" s="101" t="s">
        <v>170</v>
      </c>
      <c r="Z638" s="101" t="s">
        <v>171</v>
      </c>
      <c r="AA638" s="101" t="s">
        <v>50</v>
      </c>
      <c r="AB638" s="101" t="s">
        <v>172</v>
      </c>
      <c r="AC638" s="102" t="s">
        <v>173</v>
      </c>
    </row>
    <row r="639" spans="1:29" ht="25.5" customHeight="1" x14ac:dyDescent="0.35">
      <c r="A639" s="392"/>
      <c r="B639" s="393"/>
      <c r="C639" s="99" t="str">
        <f>IF(B639="","",IF(NOT(ISNUMBER(B639)),"DATA_PC invalida",IF(NOT(ISNUMBER(parametros!$C$2)),"Fora dos ciclos",IF(OR(B639&lt;parametros!$C$2,(YEAR(B639)-YEAR(parametros!$C$2))*12+MONTH(B639)-MONTH(parametros!$C$2)&gt;59),"Fora dos ciclos","C"&amp;INT(((YEAR(B639)-YEAR(parametros!$C$2))*12+MONTH(B639)-MONTH(parametros!$C$2))/12)))))</f>
        <v/>
      </c>
      <c r="D639" s="394"/>
      <c r="E639" s="78" t="str">
        <f>IF(C639="","",IFERROR(VLOOKUP(C639,parametros!$A$11:$E$15,5,0),""))</f>
        <v/>
      </c>
      <c r="F639" s="79" t="str">
        <f t="shared" si="47"/>
        <v/>
      </c>
      <c r="G639" s="395"/>
      <c r="H639" s="91">
        <f t="shared" si="48"/>
        <v>0</v>
      </c>
      <c r="I639" s="91" t="str">
        <f t="shared" si="49"/>
        <v/>
      </c>
      <c r="J639" s="91" t="str">
        <f t="shared" si="50"/>
        <v/>
      </c>
      <c r="K639" s="92" t="str">
        <f>IF(AND(A639="",B639="",D639="",G639=""),"",IF(AND(A639&lt;&gt;"",COUNTIF($A$2:$A$5001,A639)&gt;1),"NUMERO_PC duplicado",IF(B639="","DATA_PC vazia",IF(NOT(ISNUMBER(B639)),"DATA_PC invalida",IF(OR(C639="",C639="Fora dos ciclos"),"CICLO_PC nao identificado",IF(OR(D639="",D639=0),"VALOR_PC vazio ou zero",IF(AND(G639&lt;&gt;"Sim",G639&lt;&gt;"Nao",G639&lt;&gt;""),"PC_PAGO_A_CONTRATADA invalido",IF(AND(C639&lt;&gt;"C0",IFERROR(INDEX(parametros!$A$2:$A$6,MATCH(C639,parametros!$B$2:$B$6,0)),"")="Sim",IFERROR(INDEX(parametros!$H$2:$H$6,MATCH(C639,parametros!$B$2:$B$6,0)),"")=""),"INICIO_EFEITO ausente: PC "&amp;A639&amp;" - "&amp;C639,IF(L639="","EFEITO_PC nao calculado: PC "&amp;A639&amp;" - "&amp;C639,"OK")))))))))</f>
        <v/>
      </c>
      <c r="L639" s="92" t="str">
        <f>IF(AND(A639="",B639="",D639="",G639=""),"",IF(OR(B639="",NOT(ISNUMBER(B639)),C639="",C639="Fora dos ciclos"),"",IF(C639="C0","Nao",IF(IFERROR(INDEX(parametros!$A$2:$A$6,MATCH(C639,parametros!$B$2:$B$6,0)),"")&lt;&gt;"Sim","Nao",IF(IFERROR(INDEX(parametros!$H$2:$H$6,MATCH(C639,parametros!$B$2:$B$6,0)),"")="","",IF(B639&gt;=IFERROR(INDEX(parametros!$H$2:$H$6,MATCH(C639,parametros!$B$2:$B$6,0)),""),"Sim","Nao"))))))</f>
        <v/>
      </c>
      <c r="T639" s="156"/>
      <c r="U639" s="214" t="str">
        <f t="shared" si="51"/>
        <v/>
      </c>
      <c r="V639" s="212" t="s">
        <v>50</v>
      </c>
      <c r="W639" s="100" t="s">
        <v>168</v>
      </c>
      <c r="X639" s="100" t="s">
        <v>169</v>
      </c>
      <c r="Y639" s="101" t="s">
        <v>170</v>
      </c>
      <c r="Z639" s="101" t="s">
        <v>171</v>
      </c>
      <c r="AA639" s="101" t="s">
        <v>50</v>
      </c>
      <c r="AB639" s="101" t="s">
        <v>172</v>
      </c>
      <c r="AC639" s="102" t="s">
        <v>173</v>
      </c>
    </row>
    <row r="640" spans="1:29" ht="25.5" customHeight="1" x14ac:dyDescent="0.35">
      <c r="A640" s="392"/>
      <c r="B640" s="393"/>
      <c r="C640" s="99" t="str">
        <f>IF(B640="","",IF(NOT(ISNUMBER(B640)),"DATA_PC invalida",IF(NOT(ISNUMBER(parametros!$C$2)),"Fora dos ciclos",IF(OR(B640&lt;parametros!$C$2,(YEAR(B640)-YEAR(parametros!$C$2))*12+MONTH(B640)-MONTH(parametros!$C$2)&gt;59),"Fora dos ciclos","C"&amp;INT(((YEAR(B640)-YEAR(parametros!$C$2))*12+MONTH(B640)-MONTH(parametros!$C$2))/12)))))</f>
        <v/>
      </c>
      <c r="D640" s="394"/>
      <c r="E640" s="78" t="str">
        <f>IF(C640="","",IFERROR(VLOOKUP(C640,parametros!$A$11:$E$15,5,0),""))</f>
        <v/>
      </c>
      <c r="F640" s="79" t="str">
        <f t="shared" si="47"/>
        <v/>
      </c>
      <c r="G640" s="395"/>
      <c r="H640" s="91">
        <f t="shared" si="48"/>
        <v>0</v>
      </c>
      <c r="I640" s="91" t="str">
        <f t="shared" si="49"/>
        <v/>
      </c>
      <c r="J640" s="91" t="str">
        <f t="shared" si="50"/>
        <v/>
      </c>
      <c r="K640" s="92" t="str">
        <f>IF(AND(A640="",B640="",D640="",G640=""),"",IF(AND(A640&lt;&gt;"",COUNTIF($A$2:$A$5001,A640)&gt;1),"NUMERO_PC duplicado",IF(B640="","DATA_PC vazia",IF(NOT(ISNUMBER(B640)),"DATA_PC invalida",IF(OR(C640="",C640="Fora dos ciclos"),"CICLO_PC nao identificado",IF(OR(D640="",D640=0),"VALOR_PC vazio ou zero",IF(AND(G640&lt;&gt;"Sim",G640&lt;&gt;"Nao",G640&lt;&gt;""),"PC_PAGO_A_CONTRATADA invalido",IF(AND(C640&lt;&gt;"C0",IFERROR(INDEX(parametros!$A$2:$A$6,MATCH(C640,parametros!$B$2:$B$6,0)),"")="Sim",IFERROR(INDEX(parametros!$H$2:$H$6,MATCH(C640,parametros!$B$2:$B$6,0)),"")=""),"INICIO_EFEITO ausente: PC "&amp;A640&amp;" - "&amp;C640,IF(L640="","EFEITO_PC nao calculado: PC "&amp;A640&amp;" - "&amp;C640,"OK")))))))))</f>
        <v/>
      </c>
      <c r="L640" s="92" t="str">
        <f>IF(AND(A640="",B640="",D640="",G640=""),"",IF(OR(B640="",NOT(ISNUMBER(B640)),C640="",C640="Fora dos ciclos"),"",IF(C640="C0","Nao",IF(IFERROR(INDEX(parametros!$A$2:$A$6,MATCH(C640,parametros!$B$2:$B$6,0)),"")&lt;&gt;"Sim","Nao",IF(IFERROR(INDEX(parametros!$H$2:$H$6,MATCH(C640,parametros!$B$2:$B$6,0)),"")="","",IF(B640&gt;=IFERROR(INDEX(parametros!$H$2:$H$6,MATCH(C640,parametros!$B$2:$B$6,0)),""),"Sim","Nao"))))))</f>
        <v/>
      </c>
      <c r="T640" s="156"/>
      <c r="U640" s="214" t="str">
        <f t="shared" si="51"/>
        <v/>
      </c>
      <c r="V640" s="212" t="s">
        <v>50</v>
      </c>
      <c r="W640" s="100" t="s">
        <v>168</v>
      </c>
      <c r="X640" s="100" t="s">
        <v>169</v>
      </c>
      <c r="Y640" s="101" t="s">
        <v>170</v>
      </c>
      <c r="Z640" s="101" t="s">
        <v>171</v>
      </c>
      <c r="AA640" s="101" t="s">
        <v>50</v>
      </c>
      <c r="AB640" s="101" t="s">
        <v>172</v>
      </c>
      <c r="AC640" s="102" t="s">
        <v>173</v>
      </c>
    </row>
    <row r="641" spans="1:29" ht="25.5" customHeight="1" x14ac:dyDescent="0.35">
      <c r="A641" s="392"/>
      <c r="B641" s="393"/>
      <c r="C641" s="99" t="str">
        <f>IF(B641="","",IF(NOT(ISNUMBER(B641)),"DATA_PC invalida",IF(NOT(ISNUMBER(parametros!$C$2)),"Fora dos ciclos",IF(OR(B641&lt;parametros!$C$2,(YEAR(B641)-YEAR(parametros!$C$2))*12+MONTH(B641)-MONTH(parametros!$C$2)&gt;59),"Fora dos ciclos","C"&amp;INT(((YEAR(B641)-YEAR(parametros!$C$2))*12+MONTH(B641)-MONTH(parametros!$C$2))/12)))))</f>
        <v/>
      </c>
      <c r="D641" s="394"/>
      <c r="E641" s="78" t="str">
        <f>IF(C641="","",IFERROR(VLOOKUP(C641,parametros!$A$11:$E$15,5,0),""))</f>
        <v/>
      </c>
      <c r="F641" s="79" t="str">
        <f t="shared" si="47"/>
        <v/>
      </c>
      <c r="G641" s="395"/>
      <c r="H641" s="91">
        <f t="shared" si="48"/>
        <v>0</v>
      </c>
      <c r="I641" s="91" t="str">
        <f t="shared" si="49"/>
        <v/>
      </c>
      <c r="J641" s="91" t="str">
        <f t="shared" si="50"/>
        <v/>
      </c>
      <c r="K641" s="92" t="str">
        <f>IF(AND(A641="",B641="",D641="",G641=""),"",IF(AND(A641&lt;&gt;"",COUNTIF($A$2:$A$5001,A641)&gt;1),"NUMERO_PC duplicado",IF(B641="","DATA_PC vazia",IF(NOT(ISNUMBER(B641)),"DATA_PC invalida",IF(OR(C641="",C641="Fora dos ciclos"),"CICLO_PC nao identificado",IF(OR(D641="",D641=0),"VALOR_PC vazio ou zero",IF(AND(G641&lt;&gt;"Sim",G641&lt;&gt;"Nao",G641&lt;&gt;""),"PC_PAGO_A_CONTRATADA invalido",IF(AND(C641&lt;&gt;"C0",IFERROR(INDEX(parametros!$A$2:$A$6,MATCH(C641,parametros!$B$2:$B$6,0)),"")="Sim",IFERROR(INDEX(parametros!$H$2:$H$6,MATCH(C641,parametros!$B$2:$B$6,0)),"")=""),"INICIO_EFEITO ausente: PC "&amp;A641&amp;" - "&amp;C641,IF(L641="","EFEITO_PC nao calculado: PC "&amp;A641&amp;" - "&amp;C641,"OK")))))))))</f>
        <v/>
      </c>
      <c r="L641" s="92" t="str">
        <f>IF(AND(A641="",B641="",D641="",G641=""),"",IF(OR(B641="",NOT(ISNUMBER(B641)),C641="",C641="Fora dos ciclos"),"",IF(C641="C0","Nao",IF(IFERROR(INDEX(parametros!$A$2:$A$6,MATCH(C641,parametros!$B$2:$B$6,0)),"")&lt;&gt;"Sim","Nao",IF(IFERROR(INDEX(parametros!$H$2:$H$6,MATCH(C641,parametros!$B$2:$B$6,0)),"")="","",IF(B641&gt;=IFERROR(INDEX(parametros!$H$2:$H$6,MATCH(C641,parametros!$B$2:$B$6,0)),""),"Sim","Nao"))))))</f>
        <v/>
      </c>
      <c r="T641" s="156"/>
      <c r="U641" s="214" t="str">
        <f t="shared" si="51"/>
        <v/>
      </c>
      <c r="V641" s="212" t="s">
        <v>50</v>
      </c>
      <c r="W641" s="100" t="s">
        <v>168</v>
      </c>
      <c r="X641" s="100" t="s">
        <v>169</v>
      </c>
      <c r="Y641" s="101" t="s">
        <v>170</v>
      </c>
      <c r="Z641" s="101" t="s">
        <v>171</v>
      </c>
      <c r="AA641" s="101" t="s">
        <v>50</v>
      </c>
      <c r="AB641" s="101" t="s">
        <v>172</v>
      </c>
      <c r="AC641" s="102" t="s">
        <v>173</v>
      </c>
    </row>
    <row r="642" spans="1:29" ht="25.5" customHeight="1" x14ac:dyDescent="0.35">
      <c r="A642" s="392"/>
      <c r="B642" s="393"/>
      <c r="C642" s="99" t="str">
        <f>IF(B642="","",IF(NOT(ISNUMBER(B642)),"DATA_PC invalida",IF(NOT(ISNUMBER(parametros!$C$2)),"Fora dos ciclos",IF(OR(B642&lt;parametros!$C$2,(YEAR(B642)-YEAR(parametros!$C$2))*12+MONTH(B642)-MONTH(parametros!$C$2)&gt;59),"Fora dos ciclos","C"&amp;INT(((YEAR(B642)-YEAR(parametros!$C$2))*12+MONTH(B642)-MONTH(parametros!$C$2))/12)))))</f>
        <v/>
      </c>
      <c r="D642" s="394"/>
      <c r="E642" s="78" t="str">
        <f>IF(C642="","",IFERROR(VLOOKUP(C642,parametros!$A$11:$E$15,5,0),""))</f>
        <v/>
      </c>
      <c r="F642" s="79" t="str">
        <f t="shared" ref="F642:F705" si="52">IF(OR(D642="",E642=""),"",ROUND(D642*E642,2))</f>
        <v/>
      </c>
      <c r="G642" s="395"/>
      <c r="H642" s="91">
        <f t="shared" ref="H642:H705" si="53">IF(G642="Sim",IF(OR(F642="",D642="",L642=""),"",IF(L642="Sim",ROUND(F642-D642,2),0)),0)</f>
        <v>0</v>
      </c>
      <c r="I642" s="91" t="str">
        <f t="shared" ref="I642:I705" si="54">IF(G642="Sim",0,IF(OR(F642="",L642=""),"",F642))</f>
        <v/>
      </c>
      <c r="J642" s="91" t="str">
        <f t="shared" ref="J642:J705" si="55">IF(G642="Sim",0,IF(OR(F642="",D642="",L642=""),"",IF(L642="Sim",ROUND(F642-D642,2),0)))</f>
        <v/>
      </c>
      <c r="K642" s="92" t="str">
        <f>IF(AND(A642="",B642="",D642="",G642=""),"",IF(AND(A642&lt;&gt;"",COUNTIF($A$2:$A$5001,A642)&gt;1),"NUMERO_PC duplicado",IF(B642="","DATA_PC vazia",IF(NOT(ISNUMBER(B642)),"DATA_PC invalida",IF(OR(C642="",C642="Fora dos ciclos"),"CICLO_PC nao identificado",IF(OR(D642="",D642=0),"VALOR_PC vazio ou zero",IF(AND(G642&lt;&gt;"Sim",G642&lt;&gt;"Nao",G642&lt;&gt;""),"PC_PAGO_A_CONTRATADA invalido",IF(AND(C642&lt;&gt;"C0",IFERROR(INDEX(parametros!$A$2:$A$6,MATCH(C642,parametros!$B$2:$B$6,0)),"")="Sim",IFERROR(INDEX(parametros!$H$2:$H$6,MATCH(C642,parametros!$B$2:$B$6,0)),"")=""),"INICIO_EFEITO ausente: PC "&amp;A642&amp;" - "&amp;C642,IF(L642="","EFEITO_PC nao calculado: PC "&amp;A642&amp;" - "&amp;C642,"OK")))))))))</f>
        <v/>
      </c>
      <c r="L642" s="92" t="str">
        <f>IF(AND(A642="",B642="",D642="",G642=""),"",IF(OR(B642="",NOT(ISNUMBER(B642)),C642="",C642="Fora dos ciclos"),"",IF(C642="C0","Nao",IF(IFERROR(INDEX(parametros!$A$2:$A$6,MATCH(C642,parametros!$B$2:$B$6,0)),"")&lt;&gt;"Sim","Nao",IF(IFERROR(INDEX(parametros!$H$2:$H$6,MATCH(C642,parametros!$B$2:$B$6,0)),"")="","",IF(B642&gt;=IFERROR(INDEX(parametros!$H$2:$H$6,MATCH(C642,parametros!$B$2:$B$6,0)),""),"Sim","Nao"))))))</f>
        <v/>
      </c>
      <c r="T642" s="156"/>
      <c r="U642" s="214" t="str">
        <f t="shared" ref="U642:U705" si="56">IF(OR($D642="",$H642=""),"",ROUND($D642+$H642,2))</f>
        <v/>
      </c>
      <c r="V642" s="212" t="s">
        <v>50</v>
      </c>
      <c r="W642" s="100" t="s">
        <v>168</v>
      </c>
      <c r="X642" s="100" t="s">
        <v>169</v>
      </c>
      <c r="Y642" s="101" t="s">
        <v>170</v>
      </c>
      <c r="Z642" s="101" t="s">
        <v>171</v>
      </c>
      <c r="AA642" s="101" t="s">
        <v>50</v>
      </c>
      <c r="AB642" s="101" t="s">
        <v>172</v>
      </c>
      <c r="AC642" s="102" t="s">
        <v>173</v>
      </c>
    </row>
    <row r="643" spans="1:29" ht="25.5" customHeight="1" x14ac:dyDescent="0.35">
      <c r="A643" s="392"/>
      <c r="B643" s="393"/>
      <c r="C643" s="99" t="str">
        <f>IF(B643="","",IF(NOT(ISNUMBER(B643)),"DATA_PC invalida",IF(NOT(ISNUMBER(parametros!$C$2)),"Fora dos ciclos",IF(OR(B643&lt;parametros!$C$2,(YEAR(B643)-YEAR(parametros!$C$2))*12+MONTH(B643)-MONTH(parametros!$C$2)&gt;59),"Fora dos ciclos","C"&amp;INT(((YEAR(B643)-YEAR(parametros!$C$2))*12+MONTH(B643)-MONTH(parametros!$C$2))/12)))))</f>
        <v/>
      </c>
      <c r="D643" s="394"/>
      <c r="E643" s="78" t="str">
        <f>IF(C643="","",IFERROR(VLOOKUP(C643,parametros!$A$11:$E$15,5,0),""))</f>
        <v/>
      </c>
      <c r="F643" s="79" t="str">
        <f t="shared" si="52"/>
        <v/>
      </c>
      <c r="G643" s="395"/>
      <c r="H643" s="91">
        <f t="shared" si="53"/>
        <v>0</v>
      </c>
      <c r="I643" s="91" t="str">
        <f t="shared" si="54"/>
        <v/>
      </c>
      <c r="J643" s="91" t="str">
        <f t="shared" si="55"/>
        <v/>
      </c>
      <c r="K643" s="92" t="str">
        <f>IF(AND(A643="",B643="",D643="",G643=""),"",IF(AND(A643&lt;&gt;"",COUNTIF($A$2:$A$5001,A643)&gt;1),"NUMERO_PC duplicado",IF(B643="","DATA_PC vazia",IF(NOT(ISNUMBER(B643)),"DATA_PC invalida",IF(OR(C643="",C643="Fora dos ciclos"),"CICLO_PC nao identificado",IF(OR(D643="",D643=0),"VALOR_PC vazio ou zero",IF(AND(G643&lt;&gt;"Sim",G643&lt;&gt;"Nao",G643&lt;&gt;""),"PC_PAGO_A_CONTRATADA invalido",IF(AND(C643&lt;&gt;"C0",IFERROR(INDEX(parametros!$A$2:$A$6,MATCH(C643,parametros!$B$2:$B$6,0)),"")="Sim",IFERROR(INDEX(parametros!$H$2:$H$6,MATCH(C643,parametros!$B$2:$B$6,0)),"")=""),"INICIO_EFEITO ausente: PC "&amp;A643&amp;" - "&amp;C643,IF(L643="","EFEITO_PC nao calculado: PC "&amp;A643&amp;" - "&amp;C643,"OK")))))))))</f>
        <v/>
      </c>
      <c r="L643" s="92" t="str">
        <f>IF(AND(A643="",B643="",D643="",G643=""),"",IF(OR(B643="",NOT(ISNUMBER(B643)),C643="",C643="Fora dos ciclos"),"",IF(C643="C0","Nao",IF(IFERROR(INDEX(parametros!$A$2:$A$6,MATCH(C643,parametros!$B$2:$B$6,0)),"")&lt;&gt;"Sim","Nao",IF(IFERROR(INDEX(parametros!$H$2:$H$6,MATCH(C643,parametros!$B$2:$B$6,0)),"")="","",IF(B643&gt;=IFERROR(INDEX(parametros!$H$2:$H$6,MATCH(C643,parametros!$B$2:$B$6,0)),""),"Sim","Nao"))))))</f>
        <v/>
      </c>
      <c r="T643" s="156"/>
      <c r="U643" s="214" t="str">
        <f t="shared" si="56"/>
        <v/>
      </c>
      <c r="V643" s="212" t="s">
        <v>50</v>
      </c>
      <c r="W643" s="100" t="s">
        <v>168</v>
      </c>
      <c r="X643" s="100" t="s">
        <v>169</v>
      </c>
      <c r="Y643" s="101" t="s">
        <v>170</v>
      </c>
      <c r="Z643" s="101" t="s">
        <v>171</v>
      </c>
      <c r="AA643" s="101" t="s">
        <v>50</v>
      </c>
      <c r="AB643" s="101" t="s">
        <v>172</v>
      </c>
      <c r="AC643" s="102" t="s">
        <v>173</v>
      </c>
    </row>
    <row r="644" spans="1:29" ht="25.5" customHeight="1" x14ac:dyDescent="0.35">
      <c r="A644" s="392"/>
      <c r="B644" s="393"/>
      <c r="C644" s="99" t="str">
        <f>IF(B644="","",IF(NOT(ISNUMBER(B644)),"DATA_PC invalida",IF(NOT(ISNUMBER(parametros!$C$2)),"Fora dos ciclos",IF(OR(B644&lt;parametros!$C$2,(YEAR(B644)-YEAR(parametros!$C$2))*12+MONTH(B644)-MONTH(parametros!$C$2)&gt;59),"Fora dos ciclos","C"&amp;INT(((YEAR(B644)-YEAR(parametros!$C$2))*12+MONTH(B644)-MONTH(parametros!$C$2))/12)))))</f>
        <v/>
      </c>
      <c r="D644" s="394"/>
      <c r="E644" s="78" t="str">
        <f>IF(C644="","",IFERROR(VLOOKUP(C644,parametros!$A$11:$E$15,5,0),""))</f>
        <v/>
      </c>
      <c r="F644" s="79" t="str">
        <f t="shared" si="52"/>
        <v/>
      </c>
      <c r="G644" s="395"/>
      <c r="H644" s="91">
        <f t="shared" si="53"/>
        <v>0</v>
      </c>
      <c r="I644" s="91" t="str">
        <f t="shared" si="54"/>
        <v/>
      </c>
      <c r="J644" s="91" t="str">
        <f t="shared" si="55"/>
        <v/>
      </c>
      <c r="K644" s="92" t="str">
        <f>IF(AND(A644="",B644="",D644="",G644=""),"",IF(AND(A644&lt;&gt;"",COUNTIF($A$2:$A$5001,A644)&gt;1),"NUMERO_PC duplicado",IF(B644="","DATA_PC vazia",IF(NOT(ISNUMBER(B644)),"DATA_PC invalida",IF(OR(C644="",C644="Fora dos ciclos"),"CICLO_PC nao identificado",IF(OR(D644="",D644=0),"VALOR_PC vazio ou zero",IF(AND(G644&lt;&gt;"Sim",G644&lt;&gt;"Nao",G644&lt;&gt;""),"PC_PAGO_A_CONTRATADA invalido",IF(AND(C644&lt;&gt;"C0",IFERROR(INDEX(parametros!$A$2:$A$6,MATCH(C644,parametros!$B$2:$B$6,0)),"")="Sim",IFERROR(INDEX(parametros!$H$2:$H$6,MATCH(C644,parametros!$B$2:$B$6,0)),"")=""),"INICIO_EFEITO ausente: PC "&amp;A644&amp;" - "&amp;C644,IF(L644="","EFEITO_PC nao calculado: PC "&amp;A644&amp;" - "&amp;C644,"OK")))))))))</f>
        <v/>
      </c>
      <c r="L644" s="92" t="str">
        <f>IF(AND(A644="",B644="",D644="",G644=""),"",IF(OR(B644="",NOT(ISNUMBER(B644)),C644="",C644="Fora dos ciclos"),"",IF(C644="C0","Nao",IF(IFERROR(INDEX(parametros!$A$2:$A$6,MATCH(C644,parametros!$B$2:$B$6,0)),"")&lt;&gt;"Sim","Nao",IF(IFERROR(INDEX(parametros!$H$2:$H$6,MATCH(C644,parametros!$B$2:$B$6,0)),"")="","",IF(B644&gt;=IFERROR(INDEX(parametros!$H$2:$H$6,MATCH(C644,parametros!$B$2:$B$6,0)),""),"Sim","Nao"))))))</f>
        <v/>
      </c>
      <c r="T644" s="156"/>
      <c r="U644" s="214" t="str">
        <f t="shared" si="56"/>
        <v/>
      </c>
      <c r="V644" s="212" t="s">
        <v>50</v>
      </c>
      <c r="W644" s="100" t="s">
        <v>168</v>
      </c>
      <c r="X644" s="100" t="s">
        <v>169</v>
      </c>
      <c r="Y644" s="101" t="s">
        <v>170</v>
      </c>
      <c r="Z644" s="101" t="s">
        <v>171</v>
      </c>
      <c r="AA644" s="101" t="s">
        <v>50</v>
      </c>
      <c r="AB644" s="101" t="s">
        <v>172</v>
      </c>
      <c r="AC644" s="102" t="s">
        <v>173</v>
      </c>
    </row>
    <row r="645" spans="1:29" ht="25.5" customHeight="1" x14ac:dyDescent="0.35">
      <c r="A645" s="392"/>
      <c r="B645" s="393"/>
      <c r="C645" s="99" t="str">
        <f>IF(B645="","",IF(NOT(ISNUMBER(B645)),"DATA_PC invalida",IF(NOT(ISNUMBER(parametros!$C$2)),"Fora dos ciclos",IF(OR(B645&lt;parametros!$C$2,(YEAR(B645)-YEAR(parametros!$C$2))*12+MONTH(B645)-MONTH(parametros!$C$2)&gt;59),"Fora dos ciclos","C"&amp;INT(((YEAR(B645)-YEAR(parametros!$C$2))*12+MONTH(B645)-MONTH(parametros!$C$2))/12)))))</f>
        <v/>
      </c>
      <c r="D645" s="394"/>
      <c r="E645" s="78" t="str">
        <f>IF(C645="","",IFERROR(VLOOKUP(C645,parametros!$A$11:$E$15,5,0),""))</f>
        <v/>
      </c>
      <c r="F645" s="79" t="str">
        <f t="shared" si="52"/>
        <v/>
      </c>
      <c r="G645" s="395"/>
      <c r="H645" s="91">
        <f t="shared" si="53"/>
        <v>0</v>
      </c>
      <c r="I645" s="91" t="str">
        <f t="shared" si="54"/>
        <v/>
      </c>
      <c r="J645" s="91" t="str">
        <f t="shared" si="55"/>
        <v/>
      </c>
      <c r="K645" s="92" t="str">
        <f>IF(AND(A645="",B645="",D645="",G645=""),"",IF(AND(A645&lt;&gt;"",COUNTIF($A$2:$A$5001,A645)&gt;1),"NUMERO_PC duplicado",IF(B645="","DATA_PC vazia",IF(NOT(ISNUMBER(B645)),"DATA_PC invalida",IF(OR(C645="",C645="Fora dos ciclos"),"CICLO_PC nao identificado",IF(OR(D645="",D645=0),"VALOR_PC vazio ou zero",IF(AND(G645&lt;&gt;"Sim",G645&lt;&gt;"Nao",G645&lt;&gt;""),"PC_PAGO_A_CONTRATADA invalido",IF(AND(C645&lt;&gt;"C0",IFERROR(INDEX(parametros!$A$2:$A$6,MATCH(C645,parametros!$B$2:$B$6,0)),"")="Sim",IFERROR(INDEX(parametros!$H$2:$H$6,MATCH(C645,parametros!$B$2:$B$6,0)),"")=""),"INICIO_EFEITO ausente: PC "&amp;A645&amp;" - "&amp;C645,IF(L645="","EFEITO_PC nao calculado: PC "&amp;A645&amp;" - "&amp;C645,"OK")))))))))</f>
        <v/>
      </c>
      <c r="L645" s="92" t="str">
        <f>IF(AND(A645="",B645="",D645="",G645=""),"",IF(OR(B645="",NOT(ISNUMBER(B645)),C645="",C645="Fora dos ciclos"),"",IF(C645="C0","Nao",IF(IFERROR(INDEX(parametros!$A$2:$A$6,MATCH(C645,parametros!$B$2:$B$6,0)),"")&lt;&gt;"Sim","Nao",IF(IFERROR(INDEX(parametros!$H$2:$H$6,MATCH(C645,parametros!$B$2:$B$6,0)),"")="","",IF(B645&gt;=IFERROR(INDEX(parametros!$H$2:$H$6,MATCH(C645,parametros!$B$2:$B$6,0)),""),"Sim","Nao"))))))</f>
        <v/>
      </c>
      <c r="T645" s="156"/>
      <c r="U645" s="214" t="str">
        <f t="shared" si="56"/>
        <v/>
      </c>
      <c r="V645" s="212" t="s">
        <v>50</v>
      </c>
      <c r="W645" s="100" t="s">
        <v>168</v>
      </c>
      <c r="X645" s="100" t="s">
        <v>169</v>
      </c>
      <c r="Y645" s="101" t="s">
        <v>170</v>
      </c>
      <c r="Z645" s="101" t="s">
        <v>171</v>
      </c>
      <c r="AA645" s="101" t="s">
        <v>50</v>
      </c>
      <c r="AB645" s="101" t="s">
        <v>172</v>
      </c>
      <c r="AC645" s="102" t="s">
        <v>173</v>
      </c>
    </row>
    <row r="646" spans="1:29" ht="25.5" customHeight="1" x14ac:dyDescent="0.35">
      <c r="A646" s="392"/>
      <c r="B646" s="393"/>
      <c r="C646" s="99" t="str">
        <f>IF(B646="","",IF(NOT(ISNUMBER(B646)),"DATA_PC invalida",IF(NOT(ISNUMBER(parametros!$C$2)),"Fora dos ciclos",IF(OR(B646&lt;parametros!$C$2,(YEAR(B646)-YEAR(parametros!$C$2))*12+MONTH(B646)-MONTH(parametros!$C$2)&gt;59),"Fora dos ciclos","C"&amp;INT(((YEAR(B646)-YEAR(parametros!$C$2))*12+MONTH(B646)-MONTH(parametros!$C$2))/12)))))</f>
        <v/>
      </c>
      <c r="D646" s="394"/>
      <c r="E646" s="78" t="str">
        <f>IF(C646="","",IFERROR(VLOOKUP(C646,parametros!$A$11:$E$15,5,0),""))</f>
        <v/>
      </c>
      <c r="F646" s="79" t="str">
        <f t="shared" si="52"/>
        <v/>
      </c>
      <c r="G646" s="395"/>
      <c r="H646" s="91">
        <f t="shared" si="53"/>
        <v>0</v>
      </c>
      <c r="I646" s="91" t="str">
        <f t="shared" si="54"/>
        <v/>
      </c>
      <c r="J646" s="91" t="str">
        <f t="shared" si="55"/>
        <v/>
      </c>
      <c r="K646" s="92" t="str">
        <f>IF(AND(A646="",B646="",D646="",G646=""),"",IF(AND(A646&lt;&gt;"",COUNTIF($A$2:$A$5001,A646)&gt;1),"NUMERO_PC duplicado",IF(B646="","DATA_PC vazia",IF(NOT(ISNUMBER(B646)),"DATA_PC invalida",IF(OR(C646="",C646="Fora dos ciclos"),"CICLO_PC nao identificado",IF(OR(D646="",D646=0),"VALOR_PC vazio ou zero",IF(AND(G646&lt;&gt;"Sim",G646&lt;&gt;"Nao",G646&lt;&gt;""),"PC_PAGO_A_CONTRATADA invalido",IF(AND(C646&lt;&gt;"C0",IFERROR(INDEX(parametros!$A$2:$A$6,MATCH(C646,parametros!$B$2:$B$6,0)),"")="Sim",IFERROR(INDEX(parametros!$H$2:$H$6,MATCH(C646,parametros!$B$2:$B$6,0)),"")=""),"INICIO_EFEITO ausente: PC "&amp;A646&amp;" - "&amp;C646,IF(L646="","EFEITO_PC nao calculado: PC "&amp;A646&amp;" - "&amp;C646,"OK")))))))))</f>
        <v/>
      </c>
      <c r="L646" s="92" t="str">
        <f>IF(AND(A646="",B646="",D646="",G646=""),"",IF(OR(B646="",NOT(ISNUMBER(B646)),C646="",C646="Fora dos ciclos"),"",IF(C646="C0","Nao",IF(IFERROR(INDEX(parametros!$A$2:$A$6,MATCH(C646,parametros!$B$2:$B$6,0)),"")&lt;&gt;"Sim","Nao",IF(IFERROR(INDEX(parametros!$H$2:$H$6,MATCH(C646,parametros!$B$2:$B$6,0)),"")="","",IF(B646&gt;=IFERROR(INDEX(parametros!$H$2:$H$6,MATCH(C646,parametros!$B$2:$B$6,0)),""),"Sim","Nao"))))))</f>
        <v/>
      </c>
      <c r="T646" s="156"/>
      <c r="U646" s="214" t="str">
        <f t="shared" si="56"/>
        <v/>
      </c>
      <c r="V646" s="212" t="s">
        <v>50</v>
      </c>
      <c r="W646" s="100" t="s">
        <v>168</v>
      </c>
      <c r="X646" s="100" t="s">
        <v>169</v>
      </c>
      <c r="Y646" s="101" t="s">
        <v>170</v>
      </c>
      <c r="Z646" s="101" t="s">
        <v>171</v>
      </c>
      <c r="AA646" s="101" t="s">
        <v>50</v>
      </c>
      <c r="AB646" s="101" t="s">
        <v>172</v>
      </c>
      <c r="AC646" s="102" t="s">
        <v>173</v>
      </c>
    </row>
    <row r="647" spans="1:29" ht="25.5" customHeight="1" x14ac:dyDescent="0.35">
      <c r="A647" s="392"/>
      <c r="B647" s="393"/>
      <c r="C647" s="99" t="str">
        <f>IF(B647="","",IF(NOT(ISNUMBER(B647)),"DATA_PC invalida",IF(NOT(ISNUMBER(parametros!$C$2)),"Fora dos ciclos",IF(OR(B647&lt;parametros!$C$2,(YEAR(B647)-YEAR(parametros!$C$2))*12+MONTH(B647)-MONTH(parametros!$C$2)&gt;59),"Fora dos ciclos","C"&amp;INT(((YEAR(B647)-YEAR(parametros!$C$2))*12+MONTH(B647)-MONTH(parametros!$C$2))/12)))))</f>
        <v/>
      </c>
      <c r="D647" s="394"/>
      <c r="E647" s="78" t="str">
        <f>IF(C647="","",IFERROR(VLOOKUP(C647,parametros!$A$11:$E$15,5,0),""))</f>
        <v/>
      </c>
      <c r="F647" s="79" t="str">
        <f t="shared" si="52"/>
        <v/>
      </c>
      <c r="G647" s="395"/>
      <c r="H647" s="91">
        <f t="shared" si="53"/>
        <v>0</v>
      </c>
      <c r="I647" s="91" t="str">
        <f t="shared" si="54"/>
        <v/>
      </c>
      <c r="J647" s="91" t="str">
        <f t="shared" si="55"/>
        <v/>
      </c>
      <c r="K647" s="92" t="str">
        <f>IF(AND(A647="",B647="",D647="",G647=""),"",IF(AND(A647&lt;&gt;"",COUNTIF($A$2:$A$5001,A647)&gt;1),"NUMERO_PC duplicado",IF(B647="","DATA_PC vazia",IF(NOT(ISNUMBER(B647)),"DATA_PC invalida",IF(OR(C647="",C647="Fora dos ciclos"),"CICLO_PC nao identificado",IF(OR(D647="",D647=0),"VALOR_PC vazio ou zero",IF(AND(G647&lt;&gt;"Sim",G647&lt;&gt;"Nao",G647&lt;&gt;""),"PC_PAGO_A_CONTRATADA invalido",IF(AND(C647&lt;&gt;"C0",IFERROR(INDEX(parametros!$A$2:$A$6,MATCH(C647,parametros!$B$2:$B$6,0)),"")="Sim",IFERROR(INDEX(parametros!$H$2:$H$6,MATCH(C647,parametros!$B$2:$B$6,0)),"")=""),"INICIO_EFEITO ausente: PC "&amp;A647&amp;" - "&amp;C647,IF(L647="","EFEITO_PC nao calculado: PC "&amp;A647&amp;" - "&amp;C647,"OK")))))))))</f>
        <v/>
      </c>
      <c r="L647" s="92" t="str">
        <f>IF(AND(A647="",B647="",D647="",G647=""),"",IF(OR(B647="",NOT(ISNUMBER(B647)),C647="",C647="Fora dos ciclos"),"",IF(C647="C0","Nao",IF(IFERROR(INDEX(parametros!$A$2:$A$6,MATCH(C647,parametros!$B$2:$B$6,0)),"")&lt;&gt;"Sim","Nao",IF(IFERROR(INDEX(parametros!$H$2:$H$6,MATCH(C647,parametros!$B$2:$B$6,0)),"")="","",IF(B647&gt;=IFERROR(INDEX(parametros!$H$2:$H$6,MATCH(C647,parametros!$B$2:$B$6,0)),""),"Sim","Nao"))))))</f>
        <v/>
      </c>
      <c r="T647" s="156"/>
      <c r="U647" s="214" t="str">
        <f t="shared" si="56"/>
        <v/>
      </c>
      <c r="V647" s="212" t="s">
        <v>50</v>
      </c>
      <c r="W647" s="100" t="s">
        <v>168</v>
      </c>
      <c r="X647" s="100" t="s">
        <v>169</v>
      </c>
      <c r="Y647" s="101" t="s">
        <v>170</v>
      </c>
      <c r="Z647" s="101" t="s">
        <v>171</v>
      </c>
      <c r="AA647" s="101" t="s">
        <v>50</v>
      </c>
      <c r="AB647" s="101" t="s">
        <v>172</v>
      </c>
      <c r="AC647" s="102" t="s">
        <v>173</v>
      </c>
    </row>
    <row r="648" spans="1:29" ht="25.5" customHeight="1" x14ac:dyDescent="0.35">
      <c r="A648" s="392"/>
      <c r="B648" s="393"/>
      <c r="C648" s="99" t="str">
        <f>IF(B648="","",IF(NOT(ISNUMBER(B648)),"DATA_PC invalida",IF(NOT(ISNUMBER(parametros!$C$2)),"Fora dos ciclos",IF(OR(B648&lt;parametros!$C$2,(YEAR(B648)-YEAR(parametros!$C$2))*12+MONTH(B648)-MONTH(parametros!$C$2)&gt;59),"Fora dos ciclos","C"&amp;INT(((YEAR(B648)-YEAR(parametros!$C$2))*12+MONTH(B648)-MONTH(parametros!$C$2))/12)))))</f>
        <v/>
      </c>
      <c r="D648" s="394"/>
      <c r="E648" s="78" t="str">
        <f>IF(C648="","",IFERROR(VLOOKUP(C648,parametros!$A$11:$E$15,5,0),""))</f>
        <v/>
      </c>
      <c r="F648" s="79" t="str">
        <f t="shared" si="52"/>
        <v/>
      </c>
      <c r="G648" s="395"/>
      <c r="H648" s="91">
        <f t="shared" si="53"/>
        <v>0</v>
      </c>
      <c r="I648" s="91" t="str">
        <f t="shared" si="54"/>
        <v/>
      </c>
      <c r="J648" s="91" t="str">
        <f t="shared" si="55"/>
        <v/>
      </c>
      <c r="K648" s="92" t="str">
        <f>IF(AND(A648="",B648="",D648="",G648=""),"",IF(AND(A648&lt;&gt;"",COUNTIF($A$2:$A$5001,A648)&gt;1),"NUMERO_PC duplicado",IF(B648="","DATA_PC vazia",IF(NOT(ISNUMBER(B648)),"DATA_PC invalida",IF(OR(C648="",C648="Fora dos ciclos"),"CICLO_PC nao identificado",IF(OR(D648="",D648=0),"VALOR_PC vazio ou zero",IF(AND(G648&lt;&gt;"Sim",G648&lt;&gt;"Nao",G648&lt;&gt;""),"PC_PAGO_A_CONTRATADA invalido",IF(AND(C648&lt;&gt;"C0",IFERROR(INDEX(parametros!$A$2:$A$6,MATCH(C648,parametros!$B$2:$B$6,0)),"")="Sim",IFERROR(INDEX(parametros!$H$2:$H$6,MATCH(C648,parametros!$B$2:$B$6,0)),"")=""),"INICIO_EFEITO ausente: PC "&amp;A648&amp;" - "&amp;C648,IF(L648="","EFEITO_PC nao calculado: PC "&amp;A648&amp;" - "&amp;C648,"OK")))))))))</f>
        <v/>
      </c>
      <c r="L648" s="92" t="str">
        <f>IF(AND(A648="",B648="",D648="",G648=""),"",IF(OR(B648="",NOT(ISNUMBER(B648)),C648="",C648="Fora dos ciclos"),"",IF(C648="C0","Nao",IF(IFERROR(INDEX(parametros!$A$2:$A$6,MATCH(C648,parametros!$B$2:$B$6,0)),"")&lt;&gt;"Sim","Nao",IF(IFERROR(INDEX(parametros!$H$2:$H$6,MATCH(C648,parametros!$B$2:$B$6,0)),"")="","",IF(B648&gt;=IFERROR(INDEX(parametros!$H$2:$H$6,MATCH(C648,parametros!$B$2:$B$6,0)),""),"Sim","Nao"))))))</f>
        <v/>
      </c>
      <c r="T648" s="156"/>
      <c r="U648" s="214" t="str">
        <f t="shared" si="56"/>
        <v/>
      </c>
      <c r="V648" s="212" t="s">
        <v>50</v>
      </c>
      <c r="W648" s="100" t="s">
        <v>168</v>
      </c>
      <c r="X648" s="100" t="s">
        <v>169</v>
      </c>
      <c r="Y648" s="101" t="s">
        <v>170</v>
      </c>
      <c r="Z648" s="101" t="s">
        <v>171</v>
      </c>
      <c r="AA648" s="101" t="s">
        <v>50</v>
      </c>
      <c r="AB648" s="101" t="s">
        <v>172</v>
      </c>
      <c r="AC648" s="102" t="s">
        <v>173</v>
      </c>
    </row>
    <row r="649" spans="1:29" ht="25.5" customHeight="1" x14ac:dyDescent="0.35">
      <c r="A649" s="392"/>
      <c r="B649" s="393"/>
      <c r="C649" s="99" t="str">
        <f>IF(B649="","",IF(NOT(ISNUMBER(B649)),"DATA_PC invalida",IF(NOT(ISNUMBER(parametros!$C$2)),"Fora dos ciclos",IF(OR(B649&lt;parametros!$C$2,(YEAR(B649)-YEAR(parametros!$C$2))*12+MONTH(B649)-MONTH(parametros!$C$2)&gt;59),"Fora dos ciclos","C"&amp;INT(((YEAR(B649)-YEAR(parametros!$C$2))*12+MONTH(B649)-MONTH(parametros!$C$2))/12)))))</f>
        <v/>
      </c>
      <c r="D649" s="394"/>
      <c r="E649" s="78" t="str">
        <f>IF(C649="","",IFERROR(VLOOKUP(C649,parametros!$A$11:$E$15,5,0),""))</f>
        <v/>
      </c>
      <c r="F649" s="79" t="str">
        <f t="shared" si="52"/>
        <v/>
      </c>
      <c r="G649" s="395"/>
      <c r="H649" s="91">
        <f t="shared" si="53"/>
        <v>0</v>
      </c>
      <c r="I649" s="91" t="str">
        <f t="shared" si="54"/>
        <v/>
      </c>
      <c r="J649" s="91" t="str">
        <f t="shared" si="55"/>
        <v/>
      </c>
      <c r="K649" s="92" t="str">
        <f>IF(AND(A649="",B649="",D649="",G649=""),"",IF(AND(A649&lt;&gt;"",COUNTIF($A$2:$A$5001,A649)&gt;1),"NUMERO_PC duplicado",IF(B649="","DATA_PC vazia",IF(NOT(ISNUMBER(B649)),"DATA_PC invalida",IF(OR(C649="",C649="Fora dos ciclos"),"CICLO_PC nao identificado",IF(OR(D649="",D649=0),"VALOR_PC vazio ou zero",IF(AND(G649&lt;&gt;"Sim",G649&lt;&gt;"Nao",G649&lt;&gt;""),"PC_PAGO_A_CONTRATADA invalido",IF(AND(C649&lt;&gt;"C0",IFERROR(INDEX(parametros!$A$2:$A$6,MATCH(C649,parametros!$B$2:$B$6,0)),"")="Sim",IFERROR(INDEX(parametros!$H$2:$H$6,MATCH(C649,parametros!$B$2:$B$6,0)),"")=""),"INICIO_EFEITO ausente: PC "&amp;A649&amp;" - "&amp;C649,IF(L649="","EFEITO_PC nao calculado: PC "&amp;A649&amp;" - "&amp;C649,"OK")))))))))</f>
        <v/>
      </c>
      <c r="L649" s="92" t="str">
        <f>IF(AND(A649="",B649="",D649="",G649=""),"",IF(OR(B649="",NOT(ISNUMBER(B649)),C649="",C649="Fora dos ciclos"),"",IF(C649="C0","Nao",IF(IFERROR(INDEX(parametros!$A$2:$A$6,MATCH(C649,parametros!$B$2:$B$6,0)),"")&lt;&gt;"Sim","Nao",IF(IFERROR(INDEX(parametros!$H$2:$H$6,MATCH(C649,parametros!$B$2:$B$6,0)),"")="","",IF(B649&gt;=IFERROR(INDEX(parametros!$H$2:$H$6,MATCH(C649,parametros!$B$2:$B$6,0)),""),"Sim","Nao"))))))</f>
        <v/>
      </c>
      <c r="T649" s="156"/>
      <c r="U649" s="214" t="str">
        <f t="shared" si="56"/>
        <v/>
      </c>
      <c r="V649" s="212" t="s">
        <v>50</v>
      </c>
      <c r="W649" s="100" t="s">
        <v>168</v>
      </c>
      <c r="X649" s="100" t="s">
        <v>169</v>
      </c>
      <c r="Y649" s="101" t="s">
        <v>170</v>
      </c>
      <c r="Z649" s="101" t="s">
        <v>171</v>
      </c>
      <c r="AA649" s="101" t="s">
        <v>50</v>
      </c>
      <c r="AB649" s="101" t="s">
        <v>172</v>
      </c>
      <c r="AC649" s="102" t="s">
        <v>173</v>
      </c>
    </row>
    <row r="650" spans="1:29" ht="25.5" customHeight="1" x14ac:dyDescent="0.35">
      <c r="A650" s="392"/>
      <c r="B650" s="393"/>
      <c r="C650" s="99" t="str">
        <f>IF(B650="","",IF(NOT(ISNUMBER(B650)),"DATA_PC invalida",IF(NOT(ISNUMBER(parametros!$C$2)),"Fora dos ciclos",IF(OR(B650&lt;parametros!$C$2,(YEAR(B650)-YEAR(parametros!$C$2))*12+MONTH(B650)-MONTH(parametros!$C$2)&gt;59),"Fora dos ciclos","C"&amp;INT(((YEAR(B650)-YEAR(parametros!$C$2))*12+MONTH(B650)-MONTH(parametros!$C$2))/12)))))</f>
        <v/>
      </c>
      <c r="D650" s="394"/>
      <c r="E650" s="78" t="str">
        <f>IF(C650="","",IFERROR(VLOOKUP(C650,parametros!$A$11:$E$15,5,0),""))</f>
        <v/>
      </c>
      <c r="F650" s="79" t="str">
        <f t="shared" si="52"/>
        <v/>
      </c>
      <c r="G650" s="395"/>
      <c r="H650" s="91">
        <f t="shared" si="53"/>
        <v>0</v>
      </c>
      <c r="I650" s="91" t="str">
        <f t="shared" si="54"/>
        <v/>
      </c>
      <c r="J650" s="91" t="str">
        <f t="shared" si="55"/>
        <v/>
      </c>
      <c r="K650" s="92" t="str">
        <f>IF(AND(A650="",B650="",D650="",G650=""),"",IF(AND(A650&lt;&gt;"",COUNTIF($A$2:$A$5001,A650)&gt;1),"NUMERO_PC duplicado",IF(B650="","DATA_PC vazia",IF(NOT(ISNUMBER(B650)),"DATA_PC invalida",IF(OR(C650="",C650="Fora dos ciclos"),"CICLO_PC nao identificado",IF(OR(D650="",D650=0),"VALOR_PC vazio ou zero",IF(AND(G650&lt;&gt;"Sim",G650&lt;&gt;"Nao",G650&lt;&gt;""),"PC_PAGO_A_CONTRATADA invalido",IF(AND(C650&lt;&gt;"C0",IFERROR(INDEX(parametros!$A$2:$A$6,MATCH(C650,parametros!$B$2:$B$6,0)),"")="Sim",IFERROR(INDEX(parametros!$H$2:$H$6,MATCH(C650,parametros!$B$2:$B$6,0)),"")=""),"INICIO_EFEITO ausente: PC "&amp;A650&amp;" - "&amp;C650,IF(L650="","EFEITO_PC nao calculado: PC "&amp;A650&amp;" - "&amp;C650,"OK")))))))))</f>
        <v/>
      </c>
      <c r="L650" s="92" t="str">
        <f>IF(AND(A650="",B650="",D650="",G650=""),"",IF(OR(B650="",NOT(ISNUMBER(B650)),C650="",C650="Fora dos ciclos"),"",IF(C650="C0","Nao",IF(IFERROR(INDEX(parametros!$A$2:$A$6,MATCH(C650,parametros!$B$2:$B$6,0)),"")&lt;&gt;"Sim","Nao",IF(IFERROR(INDEX(parametros!$H$2:$H$6,MATCH(C650,parametros!$B$2:$B$6,0)),"")="","",IF(B650&gt;=IFERROR(INDEX(parametros!$H$2:$H$6,MATCH(C650,parametros!$B$2:$B$6,0)),""),"Sim","Nao"))))))</f>
        <v/>
      </c>
      <c r="T650" s="156"/>
      <c r="U650" s="214" t="str">
        <f t="shared" si="56"/>
        <v/>
      </c>
      <c r="V650" s="212" t="s">
        <v>50</v>
      </c>
      <c r="W650" s="100" t="s">
        <v>168</v>
      </c>
      <c r="X650" s="100" t="s">
        <v>169</v>
      </c>
      <c r="Y650" s="101" t="s">
        <v>170</v>
      </c>
      <c r="Z650" s="101" t="s">
        <v>171</v>
      </c>
      <c r="AA650" s="101" t="s">
        <v>50</v>
      </c>
      <c r="AB650" s="101" t="s">
        <v>172</v>
      </c>
      <c r="AC650" s="102" t="s">
        <v>173</v>
      </c>
    </row>
    <row r="651" spans="1:29" ht="25.5" customHeight="1" x14ac:dyDescent="0.35">
      <c r="A651" s="392"/>
      <c r="B651" s="393"/>
      <c r="C651" s="99" t="str">
        <f>IF(B651="","",IF(NOT(ISNUMBER(B651)),"DATA_PC invalida",IF(NOT(ISNUMBER(parametros!$C$2)),"Fora dos ciclos",IF(OR(B651&lt;parametros!$C$2,(YEAR(B651)-YEAR(parametros!$C$2))*12+MONTH(B651)-MONTH(parametros!$C$2)&gt;59),"Fora dos ciclos","C"&amp;INT(((YEAR(B651)-YEAR(parametros!$C$2))*12+MONTH(B651)-MONTH(parametros!$C$2))/12)))))</f>
        <v/>
      </c>
      <c r="D651" s="394"/>
      <c r="E651" s="78" t="str">
        <f>IF(C651="","",IFERROR(VLOOKUP(C651,parametros!$A$11:$E$15,5,0),""))</f>
        <v/>
      </c>
      <c r="F651" s="79" t="str">
        <f t="shared" si="52"/>
        <v/>
      </c>
      <c r="G651" s="395"/>
      <c r="H651" s="91">
        <f t="shared" si="53"/>
        <v>0</v>
      </c>
      <c r="I651" s="91" t="str">
        <f t="shared" si="54"/>
        <v/>
      </c>
      <c r="J651" s="91" t="str">
        <f t="shared" si="55"/>
        <v/>
      </c>
      <c r="K651" s="92" t="str">
        <f>IF(AND(A651="",B651="",D651="",G651=""),"",IF(AND(A651&lt;&gt;"",COUNTIF($A$2:$A$5001,A651)&gt;1),"NUMERO_PC duplicado",IF(B651="","DATA_PC vazia",IF(NOT(ISNUMBER(B651)),"DATA_PC invalida",IF(OR(C651="",C651="Fora dos ciclos"),"CICLO_PC nao identificado",IF(OR(D651="",D651=0),"VALOR_PC vazio ou zero",IF(AND(G651&lt;&gt;"Sim",G651&lt;&gt;"Nao",G651&lt;&gt;""),"PC_PAGO_A_CONTRATADA invalido",IF(AND(C651&lt;&gt;"C0",IFERROR(INDEX(parametros!$A$2:$A$6,MATCH(C651,parametros!$B$2:$B$6,0)),"")="Sim",IFERROR(INDEX(parametros!$H$2:$H$6,MATCH(C651,parametros!$B$2:$B$6,0)),"")=""),"INICIO_EFEITO ausente: PC "&amp;A651&amp;" - "&amp;C651,IF(L651="","EFEITO_PC nao calculado: PC "&amp;A651&amp;" - "&amp;C651,"OK")))))))))</f>
        <v/>
      </c>
      <c r="L651" s="92" t="str">
        <f>IF(AND(A651="",B651="",D651="",G651=""),"",IF(OR(B651="",NOT(ISNUMBER(B651)),C651="",C651="Fora dos ciclos"),"",IF(C651="C0","Nao",IF(IFERROR(INDEX(parametros!$A$2:$A$6,MATCH(C651,parametros!$B$2:$B$6,0)),"")&lt;&gt;"Sim","Nao",IF(IFERROR(INDEX(parametros!$H$2:$H$6,MATCH(C651,parametros!$B$2:$B$6,0)),"")="","",IF(B651&gt;=IFERROR(INDEX(parametros!$H$2:$H$6,MATCH(C651,parametros!$B$2:$B$6,0)),""),"Sim","Nao"))))))</f>
        <v/>
      </c>
      <c r="T651" s="156"/>
      <c r="U651" s="214" t="str">
        <f t="shared" si="56"/>
        <v/>
      </c>
      <c r="V651" s="212" t="s">
        <v>50</v>
      </c>
      <c r="W651" s="100" t="s">
        <v>168</v>
      </c>
      <c r="X651" s="100" t="s">
        <v>169</v>
      </c>
      <c r="Y651" s="101" t="s">
        <v>170</v>
      </c>
      <c r="Z651" s="101" t="s">
        <v>171</v>
      </c>
      <c r="AA651" s="101" t="s">
        <v>50</v>
      </c>
      <c r="AB651" s="101" t="s">
        <v>172</v>
      </c>
      <c r="AC651" s="102" t="s">
        <v>173</v>
      </c>
    </row>
    <row r="652" spans="1:29" ht="25.5" customHeight="1" x14ac:dyDescent="0.35">
      <c r="A652" s="392"/>
      <c r="B652" s="393"/>
      <c r="C652" s="99" t="str">
        <f>IF(B652="","",IF(NOT(ISNUMBER(B652)),"DATA_PC invalida",IF(NOT(ISNUMBER(parametros!$C$2)),"Fora dos ciclos",IF(OR(B652&lt;parametros!$C$2,(YEAR(B652)-YEAR(parametros!$C$2))*12+MONTH(B652)-MONTH(parametros!$C$2)&gt;59),"Fora dos ciclos","C"&amp;INT(((YEAR(B652)-YEAR(parametros!$C$2))*12+MONTH(B652)-MONTH(parametros!$C$2))/12)))))</f>
        <v/>
      </c>
      <c r="D652" s="394"/>
      <c r="E652" s="78" t="str">
        <f>IF(C652="","",IFERROR(VLOOKUP(C652,parametros!$A$11:$E$15,5,0),""))</f>
        <v/>
      </c>
      <c r="F652" s="79" t="str">
        <f t="shared" si="52"/>
        <v/>
      </c>
      <c r="G652" s="395"/>
      <c r="H652" s="91">
        <f t="shared" si="53"/>
        <v>0</v>
      </c>
      <c r="I652" s="91" t="str">
        <f t="shared" si="54"/>
        <v/>
      </c>
      <c r="J652" s="91" t="str">
        <f t="shared" si="55"/>
        <v/>
      </c>
      <c r="K652" s="92" t="str">
        <f>IF(AND(A652="",B652="",D652="",G652=""),"",IF(AND(A652&lt;&gt;"",COUNTIF($A$2:$A$5001,A652)&gt;1),"NUMERO_PC duplicado",IF(B652="","DATA_PC vazia",IF(NOT(ISNUMBER(B652)),"DATA_PC invalida",IF(OR(C652="",C652="Fora dos ciclos"),"CICLO_PC nao identificado",IF(OR(D652="",D652=0),"VALOR_PC vazio ou zero",IF(AND(G652&lt;&gt;"Sim",G652&lt;&gt;"Nao",G652&lt;&gt;""),"PC_PAGO_A_CONTRATADA invalido",IF(AND(C652&lt;&gt;"C0",IFERROR(INDEX(parametros!$A$2:$A$6,MATCH(C652,parametros!$B$2:$B$6,0)),"")="Sim",IFERROR(INDEX(parametros!$H$2:$H$6,MATCH(C652,parametros!$B$2:$B$6,0)),"")=""),"INICIO_EFEITO ausente: PC "&amp;A652&amp;" - "&amp;C652,IF(L652="","EFEITO_PC nao calculado: PC "&amp;A652&amp;" - "&amp;C652,"OK")))))))))</f>
        <v/>
      </c>
      <c r="L652" s="92" t="str">
        <f>IF(AND(A652="",B652="",D652="",G652=""),"",IF(OR(B652="",NOT(ISNUMBER(B652)),C652="",C652="Fora dos ciclos"),"",IF(C652="C0","Nao",IF(IFERROR(INDEX(parametros!$A$2:$A$6,MATCH(C652,parametros!$B$2:$B$6,0)),"")&lt;&gt;"Sim","Nao",IF(IFERROR(INDEX(parametros!$H$2:$H$6,MATCH(C652,parametros!$B$2:$B$6,0)),"")="","",IF(B652&gt;=IFERROR(INDEX(parametros!$H$2:$H$6,MATCH(C652,parametros!$B$2:$B$6,0)),""),"Sim","Nao"))))))</f>
        <v/>
      </c>
      <c r="T652" s="156"/>
      <c r="U652" s="214" t="str">
        <f t="shared" si="56"/>
        <v/>
      </c>
      <c r="V652" s="212" t="s">
        <v>50</v>
      </c>
      <c r="W652" s="100" t="s">
        <v>168</v>
      </c>
      <c r="X652" s="100" t="s">
        <v>169</v>
      </c>
      <c r="Y652" s="101" t="s">
        <v>170</v>
      </c>
      <c r="Z652" s="101" t="s">
        <v>171</v>
      </c>
      <c r="AA652" s="101" t="s">
        <v>50</v>
      </c>
      <c r="AB652" s="101" t="s">
        <v>172</v>
      </c>
      <c r="AC652" s="102" t="s">
        <v>173</v>
      </c>
    </row>
    <row r="653" spans="1:29" ht="25.5" customHeight="1" x14ac:dyDescent="0.35">
      <c r="A653" s="392"/>
      <c r="B653" s="393"/>
      <c r="C653" s="99" t="str">
        <f>IF(B653="","",IF(NOT(ISNUMBER(B653)),"DATA_PC invalida",IF(NOT(ISNUMBER(parametros!$C$2)),"Fora dos ciclos",IF(OR(B653&lt;parametros!$C$2,(YEAR(B653)-YEAR(parametros!$C$2))*12+MONTH(B653)-MONTH(parametros!$C$2)&gt;59),"Fora dos ciclos","C"&amp;INT(((YEAR(B653)-YEAR(parametros!$C$2))*12+MONTH(B653)-MONTH(parametros!$C$2))/12)))))</f>
        <v/>
      </c>
      <c r="D653" s="394"/>
      <c r="E653" s="78" t="str">
        <f>IF(C653="","",IFERROR(VLOOKUP(C653,parametros!$A$11:$E$15,5,0),""))</f>
        <v/>
      </c>
      <c r="F653" s="79" t="str">
        <f t="shared" si="52"/>
        <v/>
      </c>
      <c r="G653" s="395"/>
      <c r="H653" s="91">
        <f t="shared" si="53"/>
        <v>0</v>
      </c>
      <c r="I653" s="91" t="str">
        <f t="shared" si="54"/>
        <v/>
      </c>
      <c r="J653" s="91" t="str">
        <f t="shared" si="55"/>
        <v/>
      </c>
      <c r="K653" s="92" t="str">
        <f>IF(AND(A653="",B653="",D653="",G653=""),"",IF(AND(A653&lt;&gt;"",COUNTIF($A$2:$A$5001,A653)&gt;1),"NUMERO_PC duplicado",IF(B653="","DATA_PC vazia",IF(NOT(ISNUMBER(B653)),"DATA_PC invalida",IF(OR(C653="",C653="Fora dos ciclos"),"CICLO_PC nao identificado",IF(OR(D653="",D653=0),"VALOR_PC vazio ou zero",IF(AND(G653&lt;&gt;"Sim",G653&lt;&gt;"Nao",G653&lt;&gt;""),"PC_PAGO_A_CONTRATADA invalido",IF(AND(C653&lt;&gt;"C0",IFERROR(INDEX(parametros!$A$2:$A$6,MATCH(C653,parametros!$B$2:$B$6,0)),"")="Sim",IFERROR(INDEX(parametros!$H$2:$H$6,MATCH(C653,parametros!$B$2:$B$6,0)),"")=""),"INICIO_EFEITO ausente: PC "&amp;A653&amp;" - "&amp;C653,IF(L653="","EFEITO_PC nao calculado: PC "&amp;A653&amp;" - "&amp;C653,"OK")))))))))</f>
        <v/>
      </c>
      <c r="L653" s="92" t="str">
        <f>IF(AND(A653="",B653="",D653="",G653=""),"",IF(OR(B653="",NOT(ISNUMBER(B653)),C653="",C653="Fora dos ciclos"),"",IF(C653="C0","Nao",IF(IFERROR(INDEX(parametros!$A$2:$A$6,MATCH(C653,parametros!$B$2:$B$6,0)),"")&lt;&gt;"Sim","Nao",IF(IFERROR(INDEX(parametros!$H$2:$H$6,MATCH(C653,parametros!$B$2:$B$6,0)),"")="","",IF(B653&gt;=IFERROR(INDEX(parametros!$H$2:$H$6,MATCH(C653,parametros!$B$2:$B$6,0)),""),"Sim","Nao"))))))</f>
        <v/>
      </c>
      <c r="T653" s="156"/>
      <c r="U653" s="214" t="str">
        <f t="shared" si="56"/>
        <v/>
      </c>
      <c r="V653" s="212" t="s">
        <v>50</v>
      </c>
      <c r="W653" s="100" t="s">
        <v>168</v>
      </c>
      <c r="X653" s="100" t="s">
        <v>169</v>
      </c>
      <c r="Y653" s="101" t="s">
        <v>170</v>
      </c>
      <c r="Z653" s="101" t="s">
        <v>171</v>
      </c>
      <c r="AA653" s="101" t="s">
        <v>50</v>
      </c>
      <c r="AB653" s="101" t="s">
        <v>172</v>
      </c>
      <c r="AC653" s="102" t="s">
        <v>173</v>
      </c>
    </row>
    <row r="654" spans="1:29" ht="25.5" customHeight="1" x14ac:dyDescent="0.35">
      <c r="A654" s="392"/>
      <c r="B654" s="393"/>
      <c r="C654" s="99" t="str">
        <f>IF(B654="","",IF(NOT(ISNUMBER(B654)),"DATA_PC invalida",IF(NOT(ISNUMBER(parametros!$C$2)),"Fora dos ciclos",IF(OR(B654&lt;parametros!$C$2,(YEAR(B654)-YEAR(parametros!$C$2))*12+MONTH(B654)-MONTH(parametros!$C$2)&gt;59),"Fora dos ciclos","C"&amp;INT(((YEAR(B654)-YEAR(parametros!$C$2))*12+MONTH(B654)-MONTH(parametros!$C$2))/12)))))</f>
        <v/>
      </c>
      <c r="D654" s="394"/>
      <c r="E654" s="78" t="str">
        <f>IF(C654="","",IFERROR(VLOOKUP(C654,parametros!$A$11:$E$15,5,0),""))</f>
        <v/>
      </c>
      <c r="F654" s="79" t="str">
        <f t="shared" si="52"/>
        <v/>
      </c>
      <c r="G654" s="395"/>
      <c r="H654" s="91">
        <f t="shared" si="53"/>
        <v>0</v>
      </c>
      <c r="I654" s="91" t="str">
        <f t="shared" si="54"/>
        <v/>
      </c>
      <c r="J654" s="91" t="str">
        <f t="shared" si="55"/>
        <v/>
      </c>
      <c r="K654" s="92" t="str">
        <f>IF(AND(A654="",B654="",D654="",G654=""),"",IF(AND(A654&lt;&gt;"",COUNTIF($A$2:$A$5001,A654)&gt;1),"NUMERO_PC duplicado",IF(B654="","DATA_PC vazia",IF(NOT(ISNUMBER(B654)),"DATA_PC invalida",IF(OR(C654="",C654="Fora dos ciclos"),"CICLO_PC nao identificado",IF(OR(D654="",D654=0),"VALOR_PC vazio ou zero",IF(AND(G654&lt;&gt;"Sim",G654&lt;&gt;"Nao",G654&lt;&gt;""),"PC_PAGO_A_CONTRATADA invalido",IF(AND(C654&lt;&gt;"C0",IFERROR(INDEX(parametros!$A$2:$A$6,MATCH(C654,parametros!$B$2:$B$6,0)),"")="Sim",IFERROR(INDEX(parametros!$H$2:$H$6,MATCH(C654,parametros!$B$2:$B$6,0)),"")=""),"INICIO_EFEITO ausente: PC "&amp;A654&amp;" - "&amp;C654,IF(L654="","EFEITO_PC nao calculado: PC "&amp;A654&amp;" - "&amp;C654,"OK")))))))))</f>
        <v/>
      </c>
      <c r="L654" s="92" t="str">
        <f>IF(AND(A654="",B654="",D654="",G654=""),"",IF(OR(B654="",NOT(ISNUMBER(B654)),C654="",C654="Fora dos ciclos"),"",IF(C654="C0","Nao",IF(IFERROR(INDEX(parametros!$A$2:$A$6,MATCH(C654,parametros!$B$2:$B$6,0)),"")&lt;&gt;"Sim","Nao",IF(IFERROR(INDEX(parametros!$H$2:$H$6,MATCH(C654,parametros!$B$2:$B$6,0)),"")="","",IF(B654&gt;=IFERROR(INDEX(parametros!$H$2:$H$6,MATCH(C654,parametros!$B$2:$B$6,0)),""),"Sim","Nao"))))))</f>
        <v/>
      </c>
      <c r="T654" s="156"/>
      <c r="U654" s="214" t="str">
        <f t="shared" si="56"/>
        <v/>
      </c>
      <c r="V654" s="212" t="s">
        <v>50</v>
      </c>
      <c r="W654" s="100" t="s">
        <v>168</v>
      </c>
      <c r="X654" s="100" t="s">
        <v>169</v>
      </c>
      <c r="Y654" s="101" t="s">
        <v>170</v>
      </c>
      <c r="Z654" s="101" t="s">
        <v>171</v>
      </c>
      <c r="AA654" s="101" t="s">
        <v>50</v>
      </c>
      <c r="AB654" s="101" t="s">
        <v>172</v>
      </c>
      <c r="AC654" s="102" t="s">
        <v>173</v>
      </c>
    </row>
    <row r="655" spans="1:29" ht="25.5" customHeight="1" x14ac:dyDescent="0.35">
      <c r="A655" s="392"/>
      <c r="B655" s="393"/>
      <c r="C655" s="99" t="str">
        <f>IF(B655="","",IF(NOT(ISNUMBER(B655)),"DATA_PC invalida",IF(NOT(ISNUMBER(parametros!$C$2)),"Fora dos ciclos",IF(OR(B655&lt;parametros!$C$2,(YEAR(B655)-YEAR(parametros!$C$2))*12+MONTH(B655)-MONTH(parametros!$C$2)&gt;59),"Fora dos ciclos","C"&amp;INT(((YEAR(B655)-YEAR(parametros!$C$2))*12+MONTH(B655)-MONTH(parametros!$C$2))/12)))))</f>
        <v/>
      </c>
      <c r="D655" s="394"/>
      <c r="E655" s="78" t="str">
        <f>IF(C655="","",IFERROR(VLOOKUP(C655,parametros!$A$11:$E$15,5,0),""))</f>
        <v/>
      </c>
      <c r="F655" s="79" t="str">
        <f t="shared" si="52"/>
        <v/>
      </c>
      <c r="G655" s="395"/>
      <c r="H655" s="91">
        <f t="shared" si="53"/>
        <v>0</v>
      </c>
      <c r="I655" s="91" t="str">
        <f t="shared" si="54"/>
        <v/>
      </c>
      <c r="J655" s="91" t="str">
        <f t="shared" si="55"/>
        <v/>
      </c>
      <c r="K655" s="92" t="str">
        <f>IF(AND(A655="",B655="",D655="",G655=""),"",IF(AND(A655&lt;&gt;"",COUNTIF($A$2:$A$5001,A655)&gt;1),"NUMERO_PC duplicado",IF(B655="","DATA_PC vazia",IF(NOT(ISNUMBER(B655)),"DATA_PC invalida",IF(OR(C655="",C655="Fora dos ciclos"),"CICLO_PC nao identificado",IF(OR(D655="",D655=0),"VALOR_PC vazio ou zero",IF(AND(G655&lt;&gt;"Sim",G655&lt;&gt;"Nao",G655&lt;&gt;""),"PC_PAGO_A_CONTRATADA invalido",IF(AND(C655&lt;&gt;"C0",IFERROR(INDEX(parametros!$A$2:$A$6,MATCH(C655,parametros!$B$2:$B$6,0)),"")="Sim",IFERROR(INDEX(parametros!$H$2:$H$6,MATCH(C655,parametros!$B$2:$B$6,0)),"")=""),"INICIO_EFEITO ausente: PC "&amp;A655&amp;" - "&amp;C655,IF(L655="","EFEITO_PC nao calculado: PC "&amp;A655&amp;" - "&amp;C655,"OK")))))))))</f>
        <v/>
      </c>
      <c r="L655" s="92" t="str">
        <f>IF(AND(A655="",B655="",D655="",G655=""),"",IF(OR(B655="",NOT(ISNUMBER(B655)),C655="",C655="Fora dos ciclos"),"",IF(C655="C0","Nao",IF(IFERROR(INDEX(parametros!$A$2:$A$6,MATCH(C655,parametros!$B$2:$B$6,0)),"")&lt;&gt;"Sim","Nao",IF(IFERROR(INDEX(parametros!$H$2:$H$6,MATCH(C655,parametros!$B$2:$B$6,0)),"")="","",IF(B655&gt;=IFERROR(INDEX(parametros!$H$2:$H$6,MATCH(C655,parametros!$B$2:$B$6,0)),""),"Sim","Nao"))))))</f>
        <v/>
      </c>
      <c r="T655" s="156"/>
      <c r="U655" s="214" t="str">
        <f t="shared" si="56"/>
        <v/>
      </c>
      <c r="V655" s="212" t="s">
        <v>50</v>
      </c>
      <c r="W655" s="100" t="s">
        <v>168</v>
      </c>
      <c r="X655" s="100" t="s">
        <v>169</v>
      </c>
      <c r="Y655" s="101" t="s">
        <v>170</v>
      </c>
      <c r="Z655" s="101" t="s">
        <v>171</v>
      </c>
      <c r="AA655" s="101" t="s">
        <v>50</v>
      </c>
      <c r="AB655" s="101" t="s">
        <v>172</v>
      </c>
      <c r="AC655" s="102" t="s">
        <v>173</v>
      </c>
    </row>
    <row r="656" spans="1:29" ht="25.5" customHeight="1" x14ac:dyDescent="0.35">
      <c r="A656" s="392"/>
      <c r="B656" s="393"/>
      <c r="C656" s="99" t="str">
        <f>IF(B656="","",IF(NOT(ISNUMBER(B656)),"DATA_PC invalida",IF(NOT(ISNUMBER(parametros!$C$2)),"Fora dos ciclos",IF(OR(B656&lt;parametros!$C$2,(YEAR(B656)-YEAR(parametros!$C$2))*12+MONTH(B656)-MONTH(parametros!$C$2)&gt;59),"Fora dos ciclos","C"&amp;INT(((YEAR(B656)-YEAR(parametros!$C$2))*12+MONTH(B656)-MONTH(parametros!$C$2))/12)))))</f>
        <v/>
      </c>
      <c r="D656" s="394"/>
      <c r="E656" s="78" t="str">
        <f>IF(C656="","",IFERROR(VLOOKUP(C656,parametros!$A$11:$E$15,5,0),""))</f>
        <v/>
      </c>
      <c r="F656" s="79" t="str">
        <f t="shared" si="52"/>
        <v/>
      </c>
      <c r="G656" s="395"/>
      <c r="H656" s="91">
        <f t="shared" si="53"/>
        <v>0</v>
      </c>
      <c r="I656" s="91" t="str">
        <f t="shared" si="54"/>
        <v/>
      </c>
      <c r="J656" s="91" t="str">
        <f t="shared" si="55"/>
        <v/>
      </c>
      <c r="K656" s="92" t="str">
        <f>IF(AND(A656="",B656="",D656="",G656=""),"",IF(AND(A656&lt;&gt;"",COUNTIF($A$2:$A$5001,A656)&gt;1),"NUMERO_PC duplicado",IF(B656="","DATA_PC vazia",IF(NOT(ISNUMBER(B656)),"DATA_PC invalida",IF(OR(C656="",C656="Fora dos ciclos"),"CICLO_PC nao identificado",IF(OR(D656="",D656=0),"VALOR_PC vazio ou zero",IF(AND(G656&lt;&gt;"Sim",G656&lt;&gt;"Nao",G656&lt;&gt;""),"PC_PAGO_A_CONTRATADA invalido",IF(AND(C656&lt;&gt;"C0",IFERROR(INDEX(parametros!$A$2:$A$6,MATCH(C656,parametros!$B$2:$B$6,0)),"")="Sim",IFERROR(INDEX(parametros!$H$2:$H$6,MATCH(C656,parametros!$B$2:$B$6,0)),"")=""),"INICIO_EFEITO ausente: PC "&amp;A656&amp;" - "&amp;C656,IF(L656="","EFEITO_PC nao calculado: PC "&amp;A656&amp;" - "&amp;C656,"OK")))))))))</f>
        <v/>
      </c>
      <c r="L656" s="92" t="str">
        <f>IF(AND(A656="",B656="",D656="",G656=""),"",IF(OR(B656="",NOT(ISNUMBER(B656)),C656="",C656="Fora dos ciclos"),"",IF(C656="C0","Nao",IF(IFERROR(INDEX(parametros!$A$2:$A$6,MATCH(C656,parametros!$B$2:$B$6,0)),"")&lt;&gt;"Sim","Nao",IF(IFERROR(INDEX(parametros!$H$2:$H$6,MATCH(C656,parametros!$B$2:$B$6,0)),"")="","",IF(B656&gt;=IFERROR(INDEX(parametros!$H$2:$H$6,MATCH(C656,parametros!$B$2:$B$6,0)),""),"Sim","Nao"))))))</f>
        <v/>
      </c>
      <c r="T656" s="156"/>
      <c r="U656" s="214" t="str">
        <f t="shared" si="56"/>
        <v/>
      </c>
      <c r="V656" s="212" t="s">
        <v>50</v>
      </c>
      <c r="W656" s="100" t="s">
        <v>168</v>
      </c>
      <c r="X656" s="100" t="s">
        <v>169</v>
      </c>
      <c r="Y656" s="101" t="s">
        <v>170</v>
      </c>
      <c r="Z656" s="101" t="s">
        <v>171</v>
      </c>
      <c r="AA656" s="101" t="s">
        <v>50</v>
      </c>
      <c r="AB656" s="101" t="s">
        <v>172</v>
      </c>
      <c r="AC656" s="102" t="s">
        <v>173</v>
      </c>
    </row>
    <row r="657" spans="1:29" ht="25.5" customHeight="1" x14ac:dyDescent="0.35">
      <c r="A657" s="392"/>
      <c r="B657" s="393"/>
      <c r="C657" s="99" t="str">
        <f>IF(B657="","",IF(NOT(ISNUMBER(B657)),"DATA_PC invalida",IF(NOT(ISNUMBER(parametros!$C$2)),"Fora dos ciclos",IF(OR(B657&lt;parametros!$C$2,(YEAR(B657)-YEAR(parametros!$C$2))*12+MONTH(B657)-MONTH(parametros!$C$2)&gt;59),"Fora dos ciclos","C"&amp;INT(((YEAR(B657)-YEAR(parametros!$C$2))*12+MONTH(B657)-MONTH(parametros!$C$2))/12)))))</f>
        <v/>
      </c>
      <c r="D657" s="394"/>
      <c r="E657" s="78" t="str">
        <f>IF(C657="","",IFERROR(VLOOKUP(C657,parametros!$A$11:$E$15,5,0),""))</f>
        <v/>
      </c>
      <c r="F657" s="79" t="str">
        <f t="shared" si="52"/>
        <v/>
      </c>
      <c r="G657" s="395"/>
      <c r="H657" s="91">
        <f t="shared" si="53"/>
        <v>0</v>
      </c>
      <c r="I657" s="91" t="str">
        <f t="shared" si="54"/>
        <v/>
      </c>
      <c r="J657" s="91" t="str">
        <f t="shared" si="55"/>
        <v/>
      </c>
      <c r="K657" s="92" t="str">
        <f>IF(AND(A657="",B657="",D657="",G657=""),"",IF(AND(A657&lt;&gt;"",COUNTIF($A$2:$A$5001,A657)&gt;1),"NUMERO_PC duplicado",IF(B657="","DATA_PC vazia",IF(NOT(ISNUMBER(B657)),"DATA_PC invalida",IF(OR(C657="",C657="Fora dos ciclos"),"CICLO_PC nao identificado",IF(OR(D657="",D657=0),"VALOR_PC vazio ou zero",IF(AND(G657&lt;&gt;"Sim",G657&lt;&gt;"Nao",G657&lt;&gt;""),"PC_PAGO_A_CONTRATADA invalido",IF(AND(C657&lt;&gt;"C0",IFERROR(INDEX(parametros!$A$2:$A$6,MATCH(C657,parametros!$B$2:$B$6,0)),"")="Sim",IFERROR(INDEX(parametros!$H$2:$H$6,MATCH(C657,parametros!$B$2:$B$6,0)),"")=""),"INICIO_EFEITO ausente: PC "&amp;A657&amp;" - "&amp;C657,IF(L657="","EFEITO_PC nao calculado: PC "&amp;A657&amp;" - "&amp;C657,"OK")))))))))</f>
        <v/>
      </c>
      <c r="L657" s="92" t="str">
        <f>IF(AND(A657="",B657="",D657="",G657=""),"",IF(OR(B657="",NOT(ISNUMBER(B657)),C657="",C657="Fora dos ciclos"),"",IF(C657="C0","Nao",IF(IFERROR(INDEX(parametros!$A$2:$A$6,MATCH(C657,parametros!$B$2:$B$6,0)),"")&lt;&gt;"Sim","Nao",IF(IFERROR(INDEX(parametros!$H$2:$H$6,MATCH(C657,parametros!$B$2:$B$6,0)),"")="","",IF(B657&gt;=IFERROR(INDEX(parametros!$H$2:$H$6,MATCH(C657,parametros!$B$2:$B$6,0)),""),"Sim","Nao"))))))</f>
        <v/>
      </c>
      <c r="T657" s="156"/>
      <c r="U657" s="214" t="str">
        <f t="shared" si="56"/>
        <v/>
      </c>
      <c r="V657" s="212" t="s">
        <v>50</v>
      </c>
      <c r="W657" s="100" t="s">
        <v>168</v>
      </c>
      <c r="X657" s="100" t="s">
        <v>169</v>
      </c>
      <c r="Y657" s="101" t="s">
        <v>170</v>
      </c>
      <c r="Z657" s="101" t="s">
        <v>171</v>
      </c>
      <c r="AA657" s="101" t="s">
        <v>50</v>
      </c>
      <c r="AB657" s="101" t="s">
        <v>172</v>
      </c>
      <c r="AC657" s="102" t="s">
        <v>173</v>
      </c>
    </row>
    <row r="658" spans="1:29" ht="25.5" customHeight="1" x14ac:dyDescent="0.35">
      <c r="A658" s="392"/>
      <c r="B658" s="393"/>
      <c r="C658" s="99" t="str">
        <f>IF(B658="","",IF(NOT(ISNUMBER(B658)),"DATA_PC invalida",IF(NOT(ISNUMBER(parametros!$C$2)),"Fora dos ciclos",IF(OR(B658&lt;parametros!$C$2,(YEAR(B658)-YEAR(parametros!$C$2))*12+MONTH(B658)-MONTH(parametros!$C$2)&gt;59),"Fora dos ciclos","C"&amp;INT(((YEAR(B658)-YEAR(parametros!$C$2))*12+MONTH(B658)-MONTH(parametros!$C$2))/12)))))</f>
        <v/>
      </c>
      <c r="D658" s="394"/>
      <c r="E658" s="78" t="str">
        <f>IF(C658="","",IFERROR(VLOOKUP(C658,parametros!$A$11:$E$15,5,0),""))</f>
        <v/>
      </c>
      <c r="F658" s="79" t="str">
        <f t="shared" si="52"/>
        <v/>
      </c>
      <c r="G658" s="395"/>
      <c r="H658" s="91">
        <f t="shared" si="53"/>
        <v>0</v>
      </c>
      <c r="I658" s="91" t="str">
        <f t="shared" si="54"/>
        <v/>
      </c>
      <c r="J658" s="91" t="str">
        <f t="shared" si="55"/>
        <v/>
      </c>
      <c r="K658" s="92" t="str">
        <f>IF(AND(A658="",B658="",D658="",G658=""),"",IF(AND(A658&lt;&gt;"",COUNTIF($A$2:$A$5001,A658)&gt;1),"NUMERO_PC duplicado",IF(B658="","DATA_PC vazia",IF(NOT(ISNUMBER(B658)),"DATA_PC invalida",IF(OR(C658="",C658="Fora dos ciclos"),"CICLO_PC nao identificado",IF(OR(D658="",D658=0),"VALOR_PC vazio ou zero",IF(AND(G658&lt;&gt;"Sim",G658&lt;&gt;"Nao",G658&lt;&gt;""),"PC_PAGO_A_CONTRATADA invalido",IF(AND(C658&lt;&gt;"C0",IFERROR(INDEX(parametros!$A$2:$A$6,MATCH(C658,parametros!$B$2:$B$6,0)),"")="Sim",IFERROR(INDEX(parametros!$H$2:$H$6,MATCH(C658,parametros!$B$2:$B$6,0)),"")=""),"INICIO_EFEITO ausente: PC "&amp;A658&amp;" - "&amp;C658,IF(L658="","EFEITO_PC nao calculado: PC "&amp;A658&amp;" - "&amp;C658,"OK")))))))))</f>
        <v/>
      </c>
      <c r="L658" s="92" t="str">
        <f>IF(AND(A658="",B658="",D658="",G658=""),"",IF(OR(B658="",NOT(ISNUMBER(B658)),C658="",C658="Fora dos ciclos"),"",IF(C658="C0","Nao",IF(IFERROR(INDEX(parametros!$A$2:$A$6,MATCH(C658,parametros!$B$2:$B$6,0)),"")&lt;&gt;"Sim","Nao",IF(IFERROR(INDEX(parametros!$H$2:$H$6,MATCH(C658,parametros!$B$2:$B$6,0)),"")="","",IF(B658&gt;=IFERROR(INDEX(parametros!$H$2:$H$6,MATCH(C658,parametros!$B$2:$B$6,0)),""),"Sim","Nao"))))))</f>
        <v/>
      </c>
      <c r="T658" s="156"/>
      <c r="U658" s="214" t="str">
        <f t="shared" si="56"/>
        <v/>
      </c>
      <c r="V658" s="212" t="s">
        <v>50</v>
      </c>
      <c r="W658" s="100" t="s">
        <v>168</v>
      </c>
      <c r="X658" s="100" t="s">
        <v>169</v>
      </c>
      <c r="Y658" s="101" t="s">
        <v>170</v>
      </c>
      <c r="Z658" s="101" t="s">
        <v>171</v>
      </c>
      <c r="AA658" s="101" t="s">
        <v>50</v>
      </c>
      <c r="AB658" s="101" t="s">
        <v>172</v>
      </c>
      <c r="AC658" s="102" t="s">
        <v>173</v>
      </c>
    </row>
    <row r="659" spans="1:29" ht="25.5" customHeight="1" x14ac:dyDescent="0.35">
      <c r="A659" s="392"/>
      <c r="B659" s="393"/>
      <c r="C659" s="99" t="str">
        <f>IF(B659="","",IF(NOT(ISNUMBER(B659)),"DATA_PC invalida",IF(NOT(ISNUMBER(parametros!$C$2)),"Fora dos ciclos",IF(OR(B659&lt;parametros!$C$2,(YEAR(B659)-YEAR(parametros!$C$2))*12+MONTH(B659)-MONTH(parametros!$C$2)&gt;59),"Fora dos ciclos","C"&amp;INT(((YEAR(B659)-YEAR(parametros!$C$2))*12+MONTH(B659)-MONTH(parametros!$C$2))/12)))))</f>
        <v/>
      </c>
      <c r="D659" s="394"/>
      <c r="E659" s="78" t="str">
        <f>IF(C659="","",IFERROR(VLOOKUP(C659,parametros!$A$11:$E$15,5,0),""))</f>
        <v/>
      </c>
      <c r="F659" s="79" t="str">
        <f t="shared" si="52"/>
        <v/>
      </c>
      <c r="G659" s="395"/>
      <c r="H659" s="91">
        <f t="shared" si="53"/>
        <v>0</v>
      </c>
      <c r="I659" s="91" t="str">
        <f t="shared" si="54"/>
        <v/>
      </c>
      <c r="J659" s="91" t="str">
        <f t="shared" si="55"/>
        <v/>
      </c>
      <c r="K659" s="92" t="str">
        <f>IF(AND(A659="",B659="",D659="",G659=""),"",IF(AND(A659&lt;&gt;"",COUNTIF($A$2:$A$5001,A659)&gt;1),"NUMERO_PC duplicado",IF(B659="","DATA_PC vazia",IF(NOT(ISNUMBER(B659)),"DATA_PC invalida",IF(OR(C659="",C659="Fora dos ciclos"),"CICLO_PC nao identificado",IF(OR(D659="",D659=0),"VALOR_PC vazio ou zero",IF(AND(G659&lt;&gt;"Sim",G659&lt;&gt;"Nao",G659&lt;&gt;""),"PC_PAGO_A_CONTRATADA invalido",IF(AND(C659&lt;&gt;"C0",IFERROR(INDEX(parametros!$A$2:$A$6,MATCH(C659,parametros!$B$2:$B$6,0)),"")="Sim",IFERROR(INDEX(parametros!$H$2:$H$6,MATCH(C659,parametros!$B$2:$B$6,0)),"")=""),"INICIO_EFEITO ausente: PC "&amp;A659&amp;" - "&amp;C659,IF(L659="","EFEITO_PC nao calculado: PC "&amp;A659&amp;" - "&amp;C659,"OK")))))))))</f>
        <v/>
      </c>
      <c r="L659" s="92" t="str">
        <f>IF(AND(A659="",B659="",D659="",G659=""),"",IF(OR(B659="",NOT(ISNUMBER(B659)),C659="",C659="Fora dos ciclos"),"",IF(C659="C0","Nao",IF(IFERROR(INDEX(parametros!$A$2:$A$6,MATCH(C659,parametros!$B$2:$B$6,0)),"")&lt;&gt;"Sim","Nao",IF(IFERROR(INDEX(parametros!$H$2:$H$6,MATCH(C659,parametros!$B$2:$B$6,0)),"")="","",IF(B659&gt;=IFERROR(INDEX(parametros!$H$2:$H$6,MATCH(C659,parametros!$B$2:$B$6,0)),""),"Sim","Nao"))))))</f>
        <v/>
      </c>
      <c r="T659" s="156"/>
      <c r="U659" s="214" t="str">
        <f t="shared" si="56"/>
        <v/>
      </c>
      <c r="V659" s="212" t="s">
        <v>50</v>
      </c>
      <c r="W659" s="100" t="s">
        <v>168</v>
      </c>
      <c r="X659" s="100" t="s">
        <v>169</v>
      </c>
      <c r="Y659" s="101" t="s">
        <v>170</v>
      </c>
      <c r="Z659" s="101" t="s">
        <v>171</v>
      </c>
      <c r="AA659" s="101" t="s">
        <v>50</v>
      </c>
      <c r="AB659" s="101" t="s">
        <v>172</v>
      </c>
      <c r="AC659" s="102" t="s">
        <v>173</v>
      </c>
    </row>
    <row r="660" spans="1:29" ht="25.5" customHeight="1" x14ac:dyDescent="0.35">
      <c r="A660" s="392"/>
      <c r="B660" s="393"/>
      <c r="C660" s="99" t="str">
        <f>IF(B660="","",IF(NOT(ISNUMBER(B660)),"DATA_PC invalida",IF(NOT(ISNUMBER(parametros!$C$2)),"Fora dos ciclos",IF(OR(B660&lt;parametros!$C$2,(YEAR(B660)-YEAR(parametros!$C$2))*12+MONTH(B660)-MONTH(parametros!$C$2)&gt;59),"Fora dos ciclos","C"&amp;INT(((YEAR(B660)-YEAR(parametros!$C$2))*12+MONTH(B660)-MONTH(parametros!$C$2))/12)))))</f>
        <v/>
      </c>
      <c r="D660" s="394"/>
      <c r="E660" s="78" t="str">
        <f>IF(C660="","",IFERROR(VLOOKUP(C660,parametros!$A$11:$E$15,5,0),""))</f>
        <v/>
      </c>
      <c r="F660" s="79" t="str">
        <f t="shared" si="52"/>
        <v/>
      </c>
      <c r="G660" s="395"/>
      <c r="H660" s="91">
        <f t="shared" si="53"/>
        <v>0</v>
      </c>
      <c r="I660" s="91" t="str">
        <f t="shared" si="54"/>
        <v/>
      </c>
      <c r="J660" s="91" t="str">
        <f t="shared" si="55"/>
        <v/>
      </c>
      <c r="K660" s="92" t="str">
        <f>IF(AND(A660="",B660="",D660="",G660=""),"",IF(AND(A660&lt;&gt;"",COUNTIF($A$2:$A$5001,A660)&gt;1),"NUMERO_PC duplicado",IF(B660="","DATA_PC vazia",IF(NOT(ISNUMBER(B660)),"DATA_PC invalida",IF(OR(C660="",C660="Fora dos ciclos"),"CICLO_PC nao identificado",IF(OR(D660="",D660=0),"VALOR_PC vazio ou zero",IF(AND(G660&lt;&gt;"Sim",G660&lt;&gt;"Nao",G660&lt;&gt;""),"PC_PAGO_A_CONTRATADA invalido",IF(AND(C660&lt;&gt;"C0",IFERROR(INDEX(parametros!$A$2:$A$6,MATCH(C660,parametros!$B$2:$B$6,0)),"")="Sim",IFERROR(INDEX(parametros!$H$2:$H$6,MATCH(C660,parametros!$B$2:$B$6,0)),"")=""),"INICIO_EFEITO ausente: PC "&amp;A660&amp;" - "&amp;C660,IF(L660="","EFEITO_PC nao calculado: PC "&amp;A660&amp;" - "&amp;C660,"OK")))))))))</f>
        <v/>
      </c>
      <c r="L660" s="92" t="str">
        <f>IF(AND(A660="",B660="",D660="",G660=""),"",IF(OR(B660="",NOT(ISNUMBER(B660)),C660="",C660="Fora dos ciclos"),"",IF(C660="C0","Nao",IF(IFERROR(INDEX(parametros!$A$2:$A$6,MATCH(C660,parametros!$B$2:$B$6,0)),"")&lt;&gt;"Sim","Nao",IF(IFERROR(INDEX(parametros!$H$2:$H$6,MATCH(C660,parametros!$B$2:$B$6,0)),"")="","",IF(B660&gt;=IFERROR(INDEX(parametros!$H$2:$H$6,MATCH(C660,parametros!$B$2:$B$6,0)),""),"Sim","Nao"))))))</f>
        <v/>
      </c>
      <c r="T660" s="156"/>
      <c r="U660" s="214" t="str">
        <f t="shared" si="56"/>
        <v/>
      </c>
      <c r="V660" s="212" t="s">
        <v>50</v>
      </c>
      <c r="W660" s="100" t="s">
        <v>168</v>
      </c>
      <c r="X660" s="100" t="s">
        <v>169</v>
      </c>
      <c r="Y660" s="101" t="s">
        <v>170</v>
      </c>
      <c r="Z660" s="101" t="s">
        <v>171</v>
      </c>
      <c r="AA660" s="101" t="s">
        <v>50</v>
      </c>
      <c r="AB660" s="101" t="s">
        <v>172</v>
      </c>
      <c r="AC660" s="102" t="s">
        <v>173</v>
      </c>
    </row>
    <row r="661" spans="1:29" ht="25.5" customHeight="1" x14ac:dyDescent="0.35">
      <c r="A661" s="392"/>
      <c r="B661" s="393"/>
      <c r="C661" s="99" t="str">
        <f>IF(B661="","",IF(NOT(ISNUMBER(B661)),"DATA_PC invalida",IF(NOT(ISNUMBER(parametros!$C$2)),"Fora dos ciclos",IF(OR(B661&lt;parametros!$C$2,(YEAR(B661)-YEAR(parametros!$C$2))*12+MONTH(B661)-MONTH(parametros!$C$2)&gt;59),"Fora dos ciclos","C"&amp;INT(((YEAR(B661)-YEAR(parametros!$C$2))*12+MONTH(B661)-MONTH(parametros!$C$2))/12)))))</f>
        <v/>
      </c>
      <c r="D661" s="394"/>
      <c r="E661" s="78" t="str">
        <f>IF(C661="","",IFERROR(VLOOKUP(C661,parametros!$A$11:$E$15,5,0),""))</f>
        <v/>
      </c>
      <c r="F661" s="79" t="str">
        <f t="shared" si="52"/>
        <v/>
      </c>
      <c r="G661" s="395"/>
      <c r="H661" s="91">
        <f t="shared" si="53"/>
        <v>0</v>
      </c>
      <c r="I661" s="91" t="str">
        <f t="shared" si="54"/>
        <v/>
      </c>
      <c r="J661" s="91" t="str">
        <f t="shared" si="55"/>
        <v/>
      </c>
      <c r="K661" s="92" t="str">
        <f>IF(AND(A661="",B661="",D661="",G661=""),"",IF(AND(A661&lt;&gt;"",COUNTIF($A$2:$A$5001,A661)&gt;1),"NUMERO_PC duplicado",IF(B661="","DATA_PC vazia",IF(NOT(ISNUMBER(B661)),"DATA_PC invalida",IF(OR(C661="",C661="Fora dos ciclos"),"CICLO_PC nao identificado",IF(OR(D661="",D661=0),"VALOR_PC vazio ou zero",IF(AND(G661&lt;&gt;"Sim",G661&lt;&gt;"Nao",G661&lt;&gt;""),"PC_PAGO_A_CONTRATADA invalido",IF(AND(C661&lt;&gt;"C0",IFERROR(INDEX(parametros!$A$2:$A$6,MATCH(C661,parametros!$B$2:$B$6,0)),"")="Sim",IFERROR(INDEX(parametros!$H$2:$H$6,MATCH(C661,parametros!$B$2:$B$6,0)),"")=""),"INICIO_EFEITO ausente: PC "&amp;A661&amp;" - "&amp;C661,IF(L661="","EFEITO_PC nao calculado: PC "&amp;A661&amp;" - "&amp;C661,"OK")))))))))</f>
        <v/>
      </c>
      <c r="L661" s="92" t="str">
        <f>IF(AND(A661="",B661="",D661="",G661=""),"",IF(OR(B661="",NOT(ISNUMBER(B661)),C661="",C661="Fora dos ciclos"),"",IF(C661="C0","Nao",IF(IFERROR(INDEX(parametros!$A$2:$A$6,MATCH(C661,parametros!$B$2:$B$6,0)),"")&lt;&gt;"Sim","Nao",IF(IFERROR(INDEX(parametros!$H$2:$H$6,MATCH(C661,parametros!$B$2:$B$6,0)),"")="","",IF(B661&gt;=IFERROR(INDEX(parametros!$H$2:$H$6,MATCH(C661,parametros!$B$2:$B$6,0)),""),"Sim","Nao"))))))</f>
        <v/>
      </c>
      <c r="T661" s="156"/>
      <c r="U661" s="214" t="str">
        <f t="shared" si="56"/>
        <v/>
      </c>
      <c r="V661" s="212" t="s">
        <v>50</v>
      </c>
      <c r="W661" s="100" t="s">
        <v>168</v>
      </c>
      <c r="X661" s="100" t="s">
        <v>169</v>
      </c>
      <c r="Y661" s="101" t="s">
        <v>170</v>
      </c>
      <c r="Z661" s="101" t="s">
        <v>171</v>
      </c>
      <c r="AA661" s="101" t="s">
        <v>50</v>
      </c>
      <c r="AB661" s="101" t="s">
        <v>172</v>
      </c>
      <c r="AC661" s="102" t="s">
        <v>173</v>
      </c>
    </row>
    <row r="662" spans="1:29" ht="25.5" customHeight="1" x14ac:dyDescent="0.35">
      <c r="A662" s="392"/>
      <c r="B662" s="393"/>
      <c r="C662" s="99" t="str">
        <f>IF(B662="","",IF(NOT(ISNUMBER(B662)),"DATA_PC invalida",IF(NOT(ISNUMBER(parametros!$C$2)),"Fora dos ciclos",IF(OR(B662&lt;parametros!$C$2,(YEAR(B662)-YEAR(parametros!$C$2))*12+MONTH(B662)-MONTH(parametros!$C$2)&gt;59),"Fora dos ciclos","C"&amp;INT(((YEAR(B662)-YEAR(parametros!$C$2))*12+MONTH(B662)-MONTH(parametros!$C$2))/12)))))</f>
        <v/>
      </c>
      <c r="D662" s="394"/>
      <c r="E662" s="78" t="str">
        <f>IF(C662="","",IFERROR(VLOOKUP(C662,parametros!$A$11:$E$15,5,0),""))</f>
        <v/>
      </c>
      <c r="F662" s="79" t="str">
        <f t="shared" si="52"/>
        <v/>
      </c>
      <c r="G662" s="395"/>
      <c r="H662" s="91">
        <f t="shared" si="53"/>
        <v>0</v>
      </c>
      <c r="I662" s="91" t="str">
        <f t="shared" si="54"/>
        <v/>
      </c>
      <c r="J662" s="91" t="str">
        <f t="shared" si="55"/>
        <v/>
      </c>
      <c r="K662" s="92" t="str">
        <f>IF(AND(A662="",B662="",D662="",G662=""),"",IF(AND(A662&lt;&gt;"",COUNTIF($A$2:$A$5001,A662)&gt;1),"NUMERO_PC duplicado",IF(B662="","DATA_PC vazia",IF(NOT(ISNUMBER(B662)),"DATA_PC invalida",IF(OR(C662="",C662="Fora dos ciclos"),"CICLO_PC nao identificado",IF(OR(D662="",D662=0),"VALOR_PC vazio ou zero",IF(AND(G662&lt;&gt;"Sim",G662&lt;&gt;"Nao",G662&lt;&gt;""),"PC_PAGO_A_CONTRATADA invalido",IF(AND(C662&lt;&gt;"C0",IFERROR(INDEX(parametros!$A$2:$A$6,MATCH(C662,parametros!$B$2:$B$6,0)),"")="Sim",IFERROR(INDEX(parametros!$H$2:$H$6,MATCH(C662,parametros!$B$2:$B$6,0)),"")=""),"INICIO_EFEITO ausente: PC "&amp;A662&amp;" - "&amp;C662,IF(L662="","EFEITO_PC nao calculado: PC "&amp;A662&amp;" - "&amp;C662,"OK")))))))))</f>
        <v/>
      </c>
      <c r="L662" s="92" t="str">
        <f>IF(AND(A662="",B662="",D662="",G662=""),"",IF(OR(B662="",NOT(ISNUMBER(B662)),C662="",C662="Fora dos ciclos"),"",IF(C662="C0","Nao",IF(IFERROR(INDEX(parametros!$A$2:$A$6,MATCH(C662,parametros!$B$2:$B$6,0)),"")&lt;&gt;"Sim","Nao",IF(IFERROR(INDEX(parametros!$H$2:$H$6,MATCH(C662,parametros!$B$2:$B$6,0)),"")="","",IF(B662&gt;=IFERROR(INDEX(parametros!$H$2:$H$6,MATCH(C662,parametros!$B$2:$B$6,0)),""),"Sim","Nao"))))))</f>
        <v/>
      </c>
      <c r="T662" s="156"/>
      <c r="U662" s="214" t="str">
        <f t="shared" si="56"/>
        <v/>
      </c>
      <c r="V662" s="212" t="s">
        <v>50</v>
      </c>
      <c r="W662" s="100" t="s">
        <v>168</v>
      </c>
      <c r="X662" s="100" t="s">
        <v>169</v>
      </c>
      <c r="Y662" s="101" t="s">
        <v>170</v>
      </c>
      <c r="Z662" s="101" t="s">
        <v>171</v>
      </c>
      <c r="AA662" s="101" t="s">
        <v>50</v>
      </c>
      <c r="AB662" s="101" t="s">
        <v>172</v>
      </c>
      <c r="AC662" s="102" t="s">
        <v>173</v>
      </c>
    </row>
    <row r="663" spans="1:29" ht="25.5" customHeight="1" x14ac:dyDescent="0.35">
      <c r="A663" s="392"/>
      <c r="B663" s="393"/>
      <c r="C663" s="99" t="str">
        <f>IF(B663="","",IF(NOT(ISNUMBER(B663)),"DATA_PC invalida",IF(NOT(ISNUMBER(parametros!$C$2)),"Fora dos ciclos",IF(OR(B663&lt;parametros!$C$2,(YEAR(B663)-YEAR(parametros!$C$2))*12+MONTH(B663)-MONTH(parametros!$C$2)&gt;59),"Fora dos ciclos","C"&amp;INT(((YEAR(B663)-YEAR(parametros!$C$2))*12+MONTH(B663)-MONTH(parametros!$C$2))/12)))))</f>
        <v/>
      </c>
      <c r="D663" s="394"/>
      <c r="E663" s="78" t="str">
        <f>IF(C663="","",IFERROR(VLOOKUP(C663,parametros!$A$11:$E$15,5,0),""))</f>
        <v/>
      </c>
      <c r="F663" s="79" t="str">
        <f t="shared" si="52"/>
        <v/>
      </c>
      <c r="G663" s="395"/>
      <c r="H663" s="91">
        <f t="shared" si="53"/>
        <v>0</v>
      </c>
      <c r="I663" s="91" t="str">
        <f t="shared" si="54"/>
        <v/>
      </c>
      <c r="J663" s="91" t="str">
        <f t="shared" si="55"/>
        <v/>
      </c>
      <c r="K663" s="92" t="str">
        <f>IF(AND(A663="",B663="",D663="",G663=""),"",IF(AND(A663&lt;&gt;"",COUNTIF($A$2:$A$5001,A663)&gt;1),"NUMERO_PC duplicado",IF(B663="","DATA_PC vazia",IF(NOT(ISNUMBER(B663)),"DATA_PC invalida",IF(OR(C663="",C663="Fora dos ciclos"),"CICLO_PC nao identificado",IF(OR(D663="",D663=0),"VALOR_PC vazio ou zero",IF(AND(G663&lt;&gt;"Sim",G663&lt;&gt;"Nao",G663&lt;&gt;""),"PC_PAGO_A_CONTRATADA invalido",IF(AND(C663&lt;&gt;"C0",IFERROR(INDEX(parametros!$A$2:$A$6,MATCH(C663,parametros!$B$2:$B$6,0)),"")="Sim",IFERROR(INDEX(parametros!$H$2:$H$6,MATCH(C663,parametros!$B$2:$B$6,0)),"")=""),"INICIO_EFEITO ausente: PC "&amp;A663&amp;" - "&amp;C663,IF(L663="","EFEITO_PC nao calculado: PC "&amp;A663&amp;" - "&amp;C663,"OK")))))))))</f>
        <v/>
      </c>
      <c r="L663" s="92" t="str">
        <f>IF(AND(A663="",B663="",D663="",G663=""),"",IF(OR(B663="",NOT(ISNUMBER(B663)),C663="",C663="Fora dos ciclos"),"",IF(C663="C0","Nao",IF(IFERROR(INDEX(parametros!$A$2:$A$6,MATCH(C663,parametros!$B$2:$B$6,0)),"")&lt;&gt;"Sim","Nao",IF(IFERROR(INDEX(parametros!$H$2:$H$6,MATCH(C663,parametros!$B$2:$B$6,0)),"")="","",IF(B663&gt;=IFERROR(INDEX(parametros!$H$2:$H$6,MATCH(C663,parametros!$B$2:$B$6,0)),""),"Sim","Nao"))))))</f>
        <v/>
      </c>
      <c r="T663" s="156"/>
      <c r="U663" s="214" t="str">
        <f t="shared" si="56"/>
        <v/>
      </c>
      <c r="V663" s="212" t="s">
        <v>50</v>
      </c>
      <c r="W663" s="100" t="s">
        <v>168</v>
      </c>
      <c r="X663" s="100" t="s">
        <v>169</v>
      </c>
      <c r="Y663" s="101" t="s">
        <v>170</v>
      </c>
      <c r="Z663" s="101" t="s">
        <v>171</v>
      </c>
      <c r="AA663" s="101" t="s">
        <v>50</v>
      </c>
      <c r="AB663" s="101" t="s">
        <v>172</v>
      </c>
      <c r="AC663" s="102" t="s">
        <v>173</v>
      </c>
    </row>
    <row r="664" spans="1:29" ht="25.5" customHeight="1" x14ac:dyDescent="0.35">
      <c r="A664" s="392"/>
      <c r="B664" s="393"/>
      <c r="C664" s="99" t="str">
        <f>IF(B664="","",IF(NOT(ISNUMBER(B664)),"DATA_PC invalida",IF(NOT(ISNUMBER(parametros!$C$2)),"Fora dos ciclos",IF(OR(B664&lt;parametros!$C$2,(YEAR(B664)-YEAR(parametros!$C$2))*12+MONTH(B664)-MONTH(parametros!$C$2)&gt;59),"Fora dos ciclos","C"&amp;INT(((YEAR(B664)-YEAR(parametros!$C$2))*12+MONTH(B664)-MONTH(parametros!$C$2))/12)))))</f>
        <v/>
      </c>
      <c r="D664" s="394"/>
      <c r="E664" s="78" t="str">
        <f>IF(C664="","",IFERROR(VLOOKUP(C664,parametros!$A$11:$E$15,5,0),""))</f>
        <v/>
      </c>
      <c r="F664" s="79" t="str">
        <f t="shared" si="52"/>
        <v/>
      </c>
      <c r="G664" s="395"/>
      <c r="H664" s="91">
        <f t="shared" si="53"/>
        <v>0</v>
      </c>
      <c r="I664" s="91" t="str">
        <f t="shared" si="54"/>
        <v/>
      </c>
      <c r="J664" s="91" t="str">
        <f t="shared" si="55"/>
        <v/>
      </c>
      <c r="K664" s="92" t="str">
        <f>IF(AND(A664="",B664="",D664="",G664=""),"",IF(AND(A664&lt;&gt;"",COUNTIF($A$2:$A$5001,A664)&gt;1),"NUMERO_PC duplicado",IF(B664="","DATA_PC vazia",IF(NOT(ISNUMBER(B664)),"DATA_PC invalida",IF(OR(C664="",C664="Fora dos ciclos"),"CICLO_PC nao identificado",IF(OR(D664="",D664=0),"VALOR_PC vazio ou zero",IF(AND(G664&lt;&gt;"Sim",G664&lt;&gt;"Nao",G664&lt;&gt;""),"PC_PAGO_A_CONTRATADA invalido",IF(AND(C664&lt;&gt;"C0",IFERROR(INDEX(parametros!$A$2:$A$6,MATCH(C664,parametros!$B$2:$B$6,0)),"")="Sim",IFERROR(INDEX(parametros!$H$2:$H$6,MATCH(C664,parametros!$B$2:$B$6,0)),"")=""),"INICIO_EFEITO ausente: PC "&amp;A664&amp;" - "&amp;C664,IF(L664="","EFEITO_PC nao calculado: PC "&amp;A664&amp;" - "&amp;C664,"OK")))))))))</f>
        <v/>
      </c>
      <c r="L664" s="92" t="str">
        <f>IF(AND(A664="",B664="",D664="",G664=""),"",IF(OR(B664="",NOT(ISNUMBER(B664)),C664="",C664="Fora dos ciclos"),"",IF(C664="C0","Nao",IF(IFERROR(INDEX(parametros!$A$2:$A$6,MATCH(C664,parametros!$B$2:$B$6,0)),"")&lt;&gt;"Sim","Nao",IF(IFERROR(INDEX(parametros!$H$2:$H$6,MATCH(C664,parametros!$B$2:$B$6,0)),"")="","",IF(B664&gt;=IFERROR(INDEX(parametros!$H$2:$H$6,MATCH(C664,parametros!$B$2:$B$6,0)),""),"Sim","Nao"))))))</f>
        <v/>
      </c>
      <c r="T664" s="156"/>
      <c r="U664" s="214" t="str">
        <f t="shared" si="56"/>
        <v/>
      </c>
      <c r="V664" s="212" t="s">
        <v>50</v>
      </c>
      <c r="W664" s="100" t="s">
        <v>168</v>
      </c>
      <c r="X664" s="100" t="s">
        <v>169</v>
      </c>
      <c r="Y664" s="101" t="s">
        <v>170</v>
      </c>
      <c r="Z664" s="101" t="s">
        <v>171</v>
      </c>
      <c r="AA664" s="101" t="s">
        <v>50</v>
      </c>
      <c r="AB664" s="101" t="s">
        <v>172</v>
      </c>
      <c r="AC664" s="102" t="s">
        <v>173</v>
      </c>
    </row>
    <row r="665" spans="1:29" ht="25.5" customHeight="1" x14ac:dyDescent="0.35">
      <c r="A665" s="392"/>
      <c r="B665" s="393"/>
      <c r="C665" s="99" t="str">
        <f>IF(B665="","",IF(NOT(ISNUMBER(B665)),"DATA_PC invalida",IF(NOT(ISNUMBER(parametros!$C$2)),"Fora dos ciclos",IF(OR(B665&lt;parametros!$C$2,(YEAR(B665)-YEAR(parametros!$C$2))*12+MONTH(B665)-MONTH(parametros!$C$2)&gt;59),"Fora dos ciclos","C"&amp;INT(((YEAR(B665)-YEAR(parametros!$C$2))*12+MONTH(B665)-MONTH(parametros!$C$2))/12)))))</f>
        <v/>
      </c>
      <c r="D665" s="394"/>
      <c r="E665" s="78" t="str">
        <f>IF(C665="","",IFERROR(VLOOKUP(C665,parametros!$A$11:$E$15,5,0),""))</f>
        <v/>
      </c>
      <c r="F665" s="79" t="str">
        <f t="shared" si="52"/>
        <v/>
      </c>
      <c r="G665" s="395"/>
      <c r="H665" s="91">
        <f t="shared" si="53"/>
        <v>0</v>
      </c>
      <c r="I665" s="91" t="str">
        <f t="shared" si="54"/>
        <v/>
      </c>
      <c r="J665" s="91" t="str">
        <f t="shared" si="55"/>
        <v/>
      </c>
      <c r="K665" s="92" t="str">
        <f>IF(AND(A665="",B665="",D665="",G665=""),"",IF(AND(A665&lt;&gt;"",COUNTIF($A$2:$A$5001,A665)&gt;1),"NUMERO_PC duplicado",IF(B665="","DATA_PC vazia",IF(NOT(ISNUMBER(B665)),"DATA_PC invalida",IF(OR(C665="",C665="Fora dos ciclos"),"CICLO_PC nao identificado",IF(OR(D665="",D665=0),"VALOR_PC vazio ou zero",IF(AND(G665&lt;&gt;"Sim",G665&lt;&gt;"Nao",G665&lt;&gt;""),"PC_PAGO_A_CONTRATADA invalido",IF(AND(C665&lt;&gt;"C0",IFERROR(INDEX(parametros!$A$2:$A$6,MATCH(C665,parametros!$B$2:$B$6,0)),"")="Sim",IFERROR(INDEX(parametros!$H$2:$H$6,MATCH(C665,parametros!$B$2:$B$6,0)),"")=""),"INICIO_EFEITO ausente: PC "&amp;A665&amp;" - "&amp;C665,IF(L665="","EFEITO_PC nao calculado: PC "&amp;A665&amp;" - "&amp;C665,"OK")))))))))</f>
        <v/>
      </c>
      <c r="L665" s="92" t="str">
        <f>IF(AND(A665="",B665="",D665="",G665=""),"",IF(OR(B665="",NOT(ISNUMBER(B665)),C665="",C665="Fora dos ciclos"),"",IF(C665="C0","Nao",IF(IFERROR(INDEX(parametros!$A$2:$A$6,MATCH(C665,parametros!$B$2:$B$6,0)),"")&lt;&gt;"Sim","Nao",IF(IFERROR(INDEX(parametros!$H$2:$H$6,MATCH(C665,parametros!$B$2:$B$6,0)),"")="","",IF(B665&gt;=IFERROR(INDEX(parametros!$H$2:$H$6,MATCH(C665,parametros!$B$2:$B$6,0)),""),"Sim","Nao"))))))</f>
        <v/>
      </c>
      <c r="T665" s="156"/>
      <c r="U665" s="214" t="str">
        <f t="shared" si="56"/>
        <v/>
      </c>
      <c r="V665" s="212" t="s">
        <v>50</v>
      </c>
      <c r="W665" s="100" t="s">
        <v>168</v>
      </c>
      <c r="X665" s="100" t="s">
        <v>169</v>
      </c>
      <c r="Y665" s="101" t="s">
        <v>170</v>
      </c>
      <c r="Z665" s="101" t="s">
        <v>171</v>
      </c>
      <c r="AA665" s="101" t="s">
        <v>50</v>
      </c>
      <c r="AB665" s="101" t="s">
        <v>172</v>
      </c>
      <c r="AC665" s="102" t="s">
        <v>173</v>
      </c>
    </row>
    <row r="666" spans="1:29" ht="25.5" customHeight="1" x14ac:dyDescent="0.35">
      <c r="A666" s="392"/>
      <c r="B666" s="393"/>
      <c r="C666" s="99" t="str">
        <f>IF(B666="","",IF(NOT(ISNUMBER(B666)),"DATA_PC invalida",IF(NOT(ISNUMBER(parametros!$C$2)),"Fora dos ciclos",IF(OR(B666&lt;parametros!$C$2,(YEAR(B666)-YEAR(parametros!$C$2))*12+MONTH(B666)-MONTH(parametros!$C$2)&gt;59),"Fora dos ciclos","C"&amp;INT(((YEAR(B666)-YEAR(parametros!$C$2))*12+MONTH(B666)-MONTH(parametros!$C$2))/12)))))</f>
        <v/>
      </c>
      <c r="D666" s="394"/>
      <c r="E666" s="78" t="str">
        <f>IF(C666="","",IFERROR(VLOOKUP(C666,parametros!$A$11:$E$15,5,0),""))</f>
        <v/>
      </c>
      <c r="F666" s="79" t="str">
        <f t="shared" si="52"/>
        <v/>
      </c>
      <c r="G666" s="395"/>
      <c r="H666" s="91">
        <f t="shared" si="53"/>
        <v>0</v>
      </c>
      <c r="I666" s="91" t="str">
        <f t="shared" si="54"/>
        <v/>
      </c>
      <c r="J666" s="91" t="str">
        <f t="shared" si="55"/>
        <v/>
      </c>
      <c r="K666" s="92" t="str">
        <f>IF(AND(A666="",B666="",D666="",G666=""),"",IF(AND(A666&lt;&gt;"",COUNTIF($A$2:$A$5001,A666)&gt;1),"NUMERO_PC duplicado",IF(B666="","DATA_PC vazia",IF(NOT(ISNUMBER(B666)),"DATA_PC invalida",IF(OR(C666="",C666="Fora dos ciclos"),"CICLO_PC nao identificado",IF(OR(D666="",D666=0),"VALOR_PC vazio ou zero",IF(AND(G666&lt;&gt;"Sim",G666&lt;&gt;"Nao",G666&lt;&gt;""),"PC_PAGO_A_CONTRATADA invalido",IF(AND(C666&lt;&gt;"C0",IFERROR(INDEX(parametros!$A$2:$A$6,MATCH(C666,parametros!$B$2:$B$6,0)),"")="Sim",IFERROR(INDEX(parametros!$H$2:$H$6,MATCH(C666,parametros!$B$2:$B$6,0)),"")=""),"INICIO_EFEITO ausente: PC "&amp;A666&amp;" - "&amp;C666,IF(L666="","EFEITO_PC nao calculado: PC "&amp;A666&amp;" - "&amp;C666,"OK")))))))))</f>
        <v/>
      </c>
      <c r="L666" s="92" t="str">
        <f>IF(AND(A666="",B666="",D666="",G666=""),"",IF(OR(B666="",NOT(ISNUMBER(B666)),C666="",C666="Fora dos ciclos"),"",IF(C666="C0","Nao",IF(IFERROR(INDEX(parametros!$A$2:$A$6,MATCH(C666,parametros!$B$2:$B$6,0)),"")&lt;&gt;"Sim","Nao",IF(IFERROR(INDEX(parametros!$H$2:$H$6,MATCH(C666,parametros!$B$2:$B$6,0)),"")="","",IF(B666&gt;=IFERROR(INDEX(parametros!$H$2:$H$6,MATCH(C666,parametros!$B$2:$B$6,0)),""),"Sim","Nao"))))))</f>
        <v/>
      </c>
      <c r="T666" s="156"/>
      <c r="U666" s="214" t="str">
        <f t="shared" si="56"/>
        <v/>
      </c>
      <c r="V666" s="212" t="s">
        <v>50</v>
      </c>
      <c r="W666" s="100" t="s">
        <v>168</v>
      </c>
      <c r="X666" s="100" t="s">
        <v>169</v>
      </c>
      <c r="Y666" s="101" t="s">
        <v>170</v>
      </c>
      <c r="Z666" s="101" t="s">
        <v>171</v>
      </c>
      <c r="AA666" s="101" t="s">
        <v>50</v>
      </c>
      <c r="AB666" s="101" t="s">
        <v>172</v>
      </c>
      <c r="AC666" s="102" t="s">
        <v>173</v>
      </c>
    </row>
    <row r="667" spans="1:29" ht="25.5" customHeight="1" x14ac:dyDescent="0.35">
      <c r="A667" s="392"/>
      <c r="B667" s="393"/>
      <c r="C667" s="99" t="str">
        <f>IF(B667="","",IF(NOT(ISNUMBER(B667)),"DATA_PC invalida",IF(NOT(ISNUMBER(parametros!$C$2)),"Fora dos ciclos",IF(OR(B667&lt;parametros!$C$2,(YEAR(B667)-YEAR(parametros!$C$2))*12+MONTH(B667)-MONTH(parametros!$C$2)&gt;59),"Fora dos ciclos","C"&amp;INT(((YEAR(B667)-YEAR(parametros!$C$2))*12+MONTH(B667)-MONTH(parametros!$C$2))/12)))))</f>
        <v/>
      </c>
      <c r="D667" s="394"/>
      <c r="E667" s="78" t="str">
        <f>IF(C667="","",IFERROR(VLOOKUP(C667,parametros!$A$11:$E$15,5,0),""))</f>
        <v/>
      </c>
      <c r="F667" s="79" t="str">
        <f t="shared" si="52"/>
        <v/>
      </c>
      <c r="G667" s="395"/>
      <c r="H667" s="91">
        <f t="shared" si="53"/>
        <v>0</v>
      </c>
      <c r="I667" s="91" t="str">
        <f t="shared" si="54"/>
        <v/>
      </c>
      <c r="J667" s="91" t="str">
        <f t="shared" si="55"/>
        <v/>
      </c>
      <c r="K667" s="92" t="str">
        <f>IF(AND(A667="",B667="",D667="",G667=""),"",IF(AND(A667&lt;&gt;"",COUNTIF($A$2:$A$5001,A667)&gt;1),"NUMERO_PC duplicado",IF(B667="","DATA_PC vazia",IF(NOT(ISNUMBER(B667)),"DATA_PC invalida",IF(OR(C667="",C667="Fora dos ciclos"),"CICLO_PC nao identificado",IF(OR(D667="",D667=0),"VALOR_PC vazio ou zero",IF(AND(G667&lt;&gt;"Sim",G667&lt;&gt;"Nao",G667&lt;&gt;""),"PC_PAGO_A_CONTRATADA invalido",IF(AND(C667&lt;&gt;"C0",IFERROR(INDEX(parametros!$A$2:$A$6,MATCH(C667,parametros!$B$2:$B$6,0)),"")="Sim",IFERROR(INDEX(parametros!$H$2:$H$6,MATCH(C667,parametros!$B$2:$B$6,0)),"")=""),"INICIO_EFEITO ausente: PC "&amp;A667&amp;" - "&amp;C667,IF(L667="","EFEITO_PC nao calculado: PC "&amp;A667&amp;" - "&amp;C667,"OK")))))))))</f>
        <v/>
      </c>
      <c r="L667" s="92" t="str">
        <f>IF(AND(A667="",B667="",D667="",G667=""),"",IF(OR(B667="",NOT(ISNUMBER(B667)),C667="",C667="Fora dos ciclos"),"",IF(C667="C0","Nao",IF(IFERROR(INDEX(parametros!$A$2:$A$6,MATCH(C667,parametros!$B$2:$B$6,0)),"")&lt;&gt;"Sim","Nao",IF(IFERROR(INDEX(parametros!$H$2:$H$6,MATCH(C667,parametros!$B$2:$B$6,0)),"")="","",IF(B667&gt;=IFERROR(INDEX(parametros!$H$2:$H$6,MATCH(C667,parametros!$B$2:$B$6,0)),""),"Sim","Nao"))))))</f>
        <v/>
      </c>
      <c r="T667" s="156"/>
      <c r="U667" s="214" t="str">
        <f t="shared" si="56"/>
        <v/>
      </c>
      <c r="V667" s="212" t="s">
        <v>50</v>
      </c>
      <c r="W667" s="100" t="s">
        <v>168</v>
      </c>
      <c r="X667" s="100" t="s">
        <v>169</v>
      </c>
      <c r="Y667" s="101" t="s">
        <v>170</v>
      </c>
      <c r="Z667" s="101" t="s">
        <v>171</v>
      </c>
      <c r="AA667" s="101" t="s">
        <v>50</v>
      </c>
      <c r="AB667" s="101" t="s">
        <v>172</v>
      </c>
      <c r="AC667" s="102" t="s">
        <v>173</v>
      </c>
    </row>
    <row r="668" spans="1:29" ht="25.5" customHeight="1" x14ac:dyDescent="0.35">
      <c r="A668" s="392"/>
      <c r="B668" s="393"/>
      <c r="C668" s="99" t="str">
        <f>IF(B668="","",IF(NOT(ISNUMBER(B668)),"DATA_PC invalida",IF(NOT(ISNUMBER(parametros!$C$2)),"Fora dos ciclos",IF(OR(B668&lt;parametros!$C$2,(YEAR(B668)-YEAR(parametros!$C$2))*12+MONTH(B668)-MONTH(parametros!$C$2)&gt;59),"Fora dos ciclos","C"&amp;INT(((YEAR(B668)-YEAR(parametros!$C$2))*12+MONTH(B668)-MONTH(parametros!$C$2))/12)))))</f>
        <v/>
      </c>
      <c r="D668" s="394"/>
      <c r="E668" s="78" t="str">
        <f>IF(C668="","",IFERROR(VLOOKUP(C668,parametros!$A$11:$E$15,5,0),""))</f>
        <v/>
      </c>
      <c r="F668" s="79" t="str">
        <f t="shared" si="52"/>
        <v/>
      </c>
      <c r="G668" s="395"/>
      <c r="H668" s="91">
        <f t="shared" si="53"/>
        <v>0</v>
      </c>
      <c r="I668" s="91" t="str">
        <f t="shared" si="54"/>
        <v/>
      </c>
      <c r="J668" s="91" t="str">
        <f t="shared" si="55"/>
        <v/>
      </c>
      <c r="K668" s="92" t="str">
        <f>IF(AND(A668="",B668="",D668="",G668=""),"",IF(AND(A668&lt;&gt;"",COUNTIF($A$2:$A$5001,A668)&gt;1),"NUMERO_PC duplicado",IF(B668="","DATA_PC vazia",IF(NOT(ISNUMBER(B668)),"DATA_PC invalida",IF(OR(C668="",C668="Fora dos ciclos"),"CICLO_PC nao identificado",IF(OR(D668="",D668=0),"VALOR_PC vazio ou zero",IF(AND(G668&lt;&gt;"Sim",G668&lt;&gt;"Nao",G668&lt;&gt;""),"PC_PAGO_A_CONTRATADA invalido",IF(AND(C668&lt;&gt;"C0",IFERROR(INDEX(parametros!$A$2:$A$6,MATCH(C668,parametros!$B$2:$B$6,0)),"")="Sim",IFERROR(INDEX(parametros!$H$2:$H$6,MATCH(C668,parametros!$B$2:$B$6,0)),"")=""),"INICIO_EFEITO ausente: PC "&amp;A668&amp;" - "&amp;C668,IF(L668="","EFEITO_PC nao calculado: PC "&amp;A668&amp;" - "&amp;C668,"OK")))))))))</f>
        <v/>
      </c>
      <c r="L668" s="92" t="str">
        <f>IF(AND(A668="",B668="",D668="",G668=""),"",IF(OR(B668="",NOT(ISNUMBER(B668)),C668="",C668="Fora dos ciclos"),"",IF(C668="C0","Nao",IF(IFERROR(INDEX(parametros!$A$2:$A$6,MATCH(C668,parametros!$B$2:$B$6,0)),"")&lt;&gt;"Sim","Nao",IF(IFERROR(INDEX(parametros!$H$2:$H$6,MATCH(C668,parametros!$B$2:$B$6,0)),"")="","",IF(B668&gt;=IFERROR(INDEX(parametros!$H$2:$H$6,MATCH(C668,parametros!$B$2:$B$6,0)),""),"Sim","Nao"))))))</f>
        <v/>
      </c>
      <c r="T668" s="156"/>
      <c r="U668" s="214" t="str">
        <f t="shared" si="56"/>
        <v/>
      </c>
      <c r="V668" s="212" t="s">
        <v>50</v>
      </c>
      <c r="W668" s="100" t="s">
        <v>168</v>
      </c>
      <c r="X668" s="100" t="s">
        <v>169</v>
      </c>
      <c r="Y668" s="101" t="s">
        <v>170</v>
      </c>
      <c r="Z668" s="101" t="s">
        <v>171</v>
      </c>
      <c r="AA668" s="101" t="s">
        <v>50</v>
      </c>
      <c r="AB668" s="101" t="s">
        <v>172</v>
      </c>
      <c r="AC668" s="102" t="s">
        <v>173</v>
      </c>
    </row>
    <row r="669" spans="1:29" ht="25.5" customHeight="1" x14ac:dyDescent="0.35">
      <c r="A669" s="392"/>
      <c r="B669" s="393"/>
      <c r="C669" s="99" t="str">
        <f>IF(B669="","",IF(NOT(ISNUMBER(B669)),"DATA_PC invalida",IF(NOT(ISNUMBER(parametros!$C$2)),"Fora dos ciclos",IF(OR(B669&lt;parametros!$C$2,(YEAR(B669)-YEAR(parametros!$C$2))*12+MONTH(B669)-MONTH(parametros!$C$2)&gt;59),"Fora dos ciclos","C"&amp;INT(((YEAR(B669)-YEAR(parametros!$C$2))*12+MONTH(B669)-MONTH(parametros!$C$2))/12)))))</f>
        <v/>
      </c>
      <c r="D669" s="394"/>
      <c r="E669" s="78" t="str">
        <f>IF(C669="","",IFERROR(VLOOKUP(C669,parametros!$A$11:$E$15,5,0),""))</f>
        <v/>
      </c>
      <c r="F669" s="79" t="str">
        <f t="shared" si="52"/>
        <v/>
      </c>
      <c r="G669" s="395"/>
      <c r="H669" s="91">
        <f t="shared" si="53"/>
        <v>0</v>
      </c>
      <c r="I669" s="91" t="str">
        <f t="shared" si="54"/>
        <v/>
      </c>
      <c r="J669" s="91" t="str">
        <f t="shared" si="55"/>
        <v/>
      </c>
      <c r="K669" s="92" t="str">
        <f>IF(AND(A669="",B669="",D669="",G669=""),"",IF(AND(A669&lt;&gt;"",COUNTIF($A$2:$A$5001,A669)&gt;1),"NUMERO_PC duplicado",IF(B669="","DATA_PC vazia",IF(NOT(ISNUMBER(B669)),"DATA_PC invalida",IF(OR(C669="",C669="Fora dos ciclos"),"CICLO_PC nao identificado",IF(OR(D669="",D669=0),"VALOR_PC vazio ou zero",IF(AND(G669&lt;&gt;"Sim",G669&lt;&gt;"Nao",G669&lt;&gt;""),"PC_PAGO_A_CONTRATADA invalido",IF(AND(C669&lt;&gt;"C0",IFERROR(INDEX(parametros!$A$2:$A$6,MATCH(C669,parametros!$B$2:$B$6,0)),"")="Sim",IFERROR(INDEX(parametros!$H$2:$H$6,MATCH(C669,parametros!$B$2:$B$6,0)),"")=""),"INICIO_EFEITO ausente: PC "&amp;A669&amp;" - "&amp;C669,IF(L669="","EFEITO_PC nao calculado: PC "&amp;A669&amp;" - "&amp;C669,"OK")))))))))</f>
        <v/>
      </c>
      <c r="L669" s="92" t="str">
        <f>IF(AND(A669="",B669="",D669="",G669=""),"",IF(OR(B669="",NOT(ISNUMBER(B669)),C669="",C669="Fora dos ciclos"),"",IF(C669="C0","Nao",IF(IFERROR(INDEX(parametros!$A$2:$A$6,MATCH(C669,parametros!$B$2:$B$6,0)),"")&lt;&gt;"Sim","Nao",IF(IFERROR(INDEX(parametros!$H$2:$H$6,MATCH(C669,parametros!$B$2:$B$6,0)),"")="","",IF(B669&gt;=IFERROR(INDEX(parametros!$H$2:$H$6,MATCH(C669,parametros!$B$2:$B$6,0)),""),"Sim","Nao"))))))</f>
        <v/>
      </c>
      <c r="T669" s="156"/>
      <c r="U669" s="214" t="str">
        <f t="shared" si="56"/>
        <v/>
      </c>
      <c r="V669" s="212" t="s">
        <v>50</v>
      </c>
      <c r="W669" s="100" t="s">
        <v>168</v>
      </c>
      <c r="X669" s="100" t="s">
        <v>169</v>
      </c>
      <c r="Y669" s="101" t="s">
        <v>170</v>
      </c>
      <c r="Z669" s="101" t="s">
        <v>171</v>
      </c>
      <c r="AA669" s="101" t="s">
        <v>50</v>
      </c>
      <c r="AB669" s="101" t="s">
        <v>172</v>
      </c>
      <c r="AC669" s="102" t="s">
        <v>173</v>
      </c>
    </row>
    <row r="670" spans="1:29" ht="25.5" customHeight="1" x14ac:dyDescent="0.35">
      <c r="A670" s="392"/>
      <c r="B670" s="393"/>
      <c r="C670" s="99" t="str">
        <f>IF(B670="","",IF(NOT(ISNUMBER(B670)),"DATA_PC invalida",IF(NOT(ISNUMBER(parametros!$C$2)),"Fora dos ciclos",IF(OR(B670&lt;parametros!$C$2,(YEAR(B670)-YEAR(parametros!$C$2))*12+MONTH(B670)-MONTH(parametros!$C$2)&gt;59),"Fora dos ciclos","C"&amp;INT(((YEAR(B670)-YEAR(parametros!$C$2))*12+MONTH(B670)-MONTH(parametros!$C$2))/12)))))</f>
        <v/>
      </c>
      <c r="D670" s="394"/>
      <c r="E670" s="78" t="str">
        <f>IF(C670="","",IFERROR(VLOOKUP(C670,parametros!$A$11:$E$15,5,0),""))</f>
        <v/>
      </c>
      <c r="F670" s="79" t="str">
        <f t="shared" si="52"/>
        <v/>
      </c>
      <c r="G670" s="395"/>
      <c r="H670" s="91">
        <f t="shared" si="53"/>
        <v>0</v>
      </c>
      <c r="I670" s="91" t="str">
        <f t="shared" si="54"/>
        <v/>
      </c>
      <c r="J670" s="91" t="str">
        <f t="shared" si="55"/>
        <v/>
      </c>
      <c r="K670" s="92" t="str">
        <f>IF(AND(A670="",B670="",D670="",G670=""),"",IF(AND(A670&lt;&gt;"",COUNTIF($A$2:$A$5001,A670)&gt;1),"NUMERO_PC duplicado",IF(B670="","DATA_PC vazia",IF(NOT(ISNUMBER(B670)),"DATA_PC invalida",IF(OR(C670="",C670="Fora dos ciclos"),"CICLO_PC nao identificado",IF(OR(D670="",D670=0),"VALOR_PC vazio ou zero",IF(AND(G670&lt;&gt;"Sim",G670&lt;&gt;"Nao",G670&lt;&gt;""),"PC_PAGO_A_CONTRATADA invalido",IF(AND(C670&lt;&gt;"C0",IFERROR(INDEX(parametros!$A$2:$A$6,MATCH(C670,parametros!$B$2:$B$6,0)),"")="Sim",IFERROR(INDEX(parametros!$H$2:$H$6,MATCH(C670,parametros!$B$2:$B$6,0)),"")=""),"INICIO_EFEITO ausente: PC "&amp;A670&amp;" - "&amp;C670,IF(L670="","EFEITO_PC nao calculado: PC "&amp;A670&amp;" - "&amp;C670,"OK")))))))))</f>
        <v/>
      </c>
      <c r="L670" s="92" t="str">
        <f>IF(AND(A670="",B670="",D670="",G670=""),"",IF(OR(B670="",NOT(ISNUMBER(B670)),C670="",C670="Fora dos ciclos"),"",IF(C670="C0","Nao",IF(IFERROR(INDEX(parametros!$A$2:$A$6,MATCH(C670,parametros!$B$2:$B$6,0)),"")&lt;&gt;"Sim","Nao",IF(IFERROR(INDEX(parametros!$H$2:$H$6,MATCH(C670,parametros!$B$2:$B$6,0)),"")="","",IF(B670&gt;=IFERROR(INDEX(parametros!$H$2:$H$6,MATCH(C670,parametros!$B$2:$B$6,0)),""),"Sim","Nao"))))))</f>
        <v/>
      </c>
      <c r="T670" s="156"/>
      <c r="U670" s="214" t="str">
        <f t="shared" si="56"/>
        <v/>
      </c>
      <c r="V670" s="212" t="s">
        <v>50</v>
      </c>
      <c r="W670" s="100" t="s">
        <v>168</v>
      </c>
      <c r="X670" s="100" t="s">
        <v>169</v>
      </c>
      <c r="Y670" s="101" t="s">
        <v>170</v>
      </c>
      <c r="Z670" s="101" t="s">
        <v>171</v>
      </c>
      <c r="AA670" s="101" t="s">
        <v>50</v>
      </c>
      <c r="AB670" s="101" t="s">
        <v>172</v>
      </c>
      <c r="AC670" s="102" t="s">
        <v>173</v>
      </c>
    </row>
    <row r="671" spans="1:29" ht="25.5" customHeight="1" x14ac:dyDescent="0.35">
      <c r="A671" s="392"/>
      <c r="B671" s="393"/>
      <c r="C671" s="99" t="str">
        <f>IF(B671="","",IF(NOT(ISNUMBER(B671)),"DATA_PC invalida",IF(NOT(ISNUMBER(parametros!$C$2)),"Fora dos ciclos",IF(OR(B671&lt;parametros!$C$2,(YEAR(B671)-YEAR(parametros!$C$2))*12+MONTH(B671)-MONTH(parametros!$C$2)&gt;59),"Fora dos ciclos","C"&amp;INT(((YEAR(B671)-YEAR(parametros!$C$2))*12+MONTH(B671)-MONTH(parametros!$C$2))/12)))))</f>
        <v/>
      </c>
      <c r="D671" s="394"/>
      <c r="E671" s="78" t="str">
        <f>IF(C671="","",IFERROR(VLOOKUP(C671,parametros!$A$11:$E$15,5,0),""))</f>
        <v/>
      </c>
      <c r="F671" s="79" t="str">
        <f t="shared" si="52"/>
        <v/>
      </c>
      <c r="G671" s="395"/>
      <c r="H671" s="91">
        <f t="shared" si="53"/>
        <v>0</v>
      </c>
      <c r="I671" s="91" t="str">
        <f t="shared" si="54"/>
        <v/>
      </c>
      <c r="J671" s="91" t="str">
        <f t="shared" si="55"/>
        <v/>
      </c>
      <c r="K671" s="92" t="str">
        <f>IF(AND(A671="",B671="",D671="",G671=""),"",IF(AND(A671&lt;&gt;"",COUNTIF($A$2:$A$5001,A671)&gt;1),"NUMERO_PC duplicado",IF(B671="","DATA_PC vazia",IF(NOT(ISNUMBER(B671)),"DATA_PC invalida",IF(OR(C671="",C671="Fora dos ciclos"),"CICLO_PC nao identificado",IF(OR(D671="",D671=0),"VALOR_PC vazio ou zero",IF(AND(G671&lt;&gt;"Sim",G671&lt;&gt;"Nao",G671&lt;&gt;""),"PC_PAGO_A_CONTRATADA invalido",IF(AND(C671&lt;&gt;"C0",IFERROR(INDEX(parametros!$A$2:$A$6,MATCH(C671,parametros!$B$2:$B$6,0)),"")="Sim",IFERROR(INDEX(parametros!$H$2:$H$6,MATCH(C671,parametros!$B$2:$B$6,0)),"")=""),"INICIO_EFEITO ausente: PC "&amp;A671&amp;" - "&amp;C671,IF(L671="","EFEITO_PC nao calculado: PC "&amp;A671&amp;" - "&amp;C671,"OK")))))))))</f>
        <v/>
      </c>
      <c r="L671" s="92" t="str">
        <f>IF(AND(A671="",B671="",D671="",G671=""),"",IF(OR(B671="",NOT(ISNUMBER(B671)),C671="",C671="Fora dos ciclos"),"",IF(C671="C0","Nao",IF(IFERROR(INDEX(parametros!$A$2:$A$6,MATCH(C671,parametros!$B$2:$B$6,0)),"")&lt;&gt;"Sim","Nao",IF(IFERROR(INDEX(parametros!$H$2:$H$6,MATCH(C671,parametros!$B$2:$B$6,0)),"")="","",IF(B671&gt;=IFERROR(INDEX(parametros!$H$2:$H$6,MATCH(C671,parametros!$B$2:$B$6,0)),""),"Sim","Nao"))))))</f>
        <v/>
      </c>
      <c r="T671" s="156"/>
      <c r="U671" s="214" t="str">
        <f t="shared" si="56"/>
        <v/>
      </c>
      <c r="V671" s="212" t="s">
        <v>50</v>
      </c>
      <c r="W671" s="100" t="s">
        <v>168</v>
      </c>
      <c r="X671" s="100" t="s">
        <v>169</v>
      </c>
      <c r="Y671" s="101" t="s">
        <v>170</v>
      </c>
      <c r="Z671" s="101" t="s">
        <v>171</v>
      </c>
      <c r="AA671" s="101" t="s">
        <v>50</v>
      </c>
      <c r="AB671" s="101" t="s">
        <v>172</v>
      </c>
      <c r="AC671" s="102" t="s">
        <v>173</v>
      </c>
    </row>
    <row r="672" spans="1:29" ht="25.5" customHeight="1" x14ac:dyDescent="0.35">
      <c r="A672" s="392"/>
      <c r="B672" s="393"/>
      <c r="C672" s="99" t="str">
        <f>IF(B672="","",IF(NOT(ISNUMBER(B672)),"DATA_PC invalida",IF(NOT(ISNUMBER(parametros!$C$2)),"Fora dos ciclos",IF(OR(B672&lt;parametros!$C$2,(YEAR(B672)-YEAR(parametros!$C$2))*12+MONTH(B672)-MONTH(parametros!$C$2)&gt;59),"Fora dos ciclos","C"&amp;INT(((YEAR(B672)-YEAR(parametros!$C$2))*12+MONTH(B672)-MONTH(parametros!$C$2))/12)))))</f>
        <v/>
      </c>
      <c r="D672" s="394"/>
      <c r="E672" s="78" t="str">
        <f>IF(C672="","",IFERROR(VLOOKUP(C672,parametros!$A$11:$E$15,5,0),""))</f>
        <v/>
      </c>
      <c r="F672" s="79" t="str">
        <f t="shared" si="52"/>
        <v/>
      </c>
      <c r="G672" s="395"/>
      <c r="H672" s="91">
        <f t="shared" si="53"/>
        <v>0</v>
      </c>
      <c r="I672" s="91" t="str">
        <f t="shared" si="54"/>
        <v/>
      </c>
      <c r="J672" s="91" t="str">
        <f t="shared" si="55"/>
        <v/>
      </c>
      <c r="K672" s="92" t="str">
        <f>IF(AND(A672="",B672="",D672="",G672=""),"",IF(AND(A672&lt;&gt;"",COUNTIF($A$2:$A$5001,A672)&gt;1),"NUMERO_PC duplicado",IF(B672="","DATA_PC vazia",IF(NOT(ISNUMBER(B672)),"DATA_PC invalida",IF(OR(C672="",C672="Fora dos ciclos"),"CICLO_PC nao identificado",IF(OR(D672="",D672=0),"VALOR_PC vazio ou zero",IF(AND(G672&lt;&gt;"Sim",G672&lt;&gt;"Nao",G672&lt;&gt;""),"PC_PAGO_A_CONTRATADA invalido",IF(AND(C672&lt;&gt;"C0",IFERROR(INDEX(parametros!$A$2:$A$6,MATCH(C672,parametros!$B$2:$B$6,0)),"")="Sim",IFERROR(INDEX(parametros!$H$2:$H$6,MATCH(C672,parametros!$B$2:$B$6,0)),"")=""),"INICIO_EFEITO ausente: PC "&amp;A672&amp;" - "&amp;C672,IF(L672="","EFEITO_PC nao calculado: PC "&amp;A672&amp;" - "&amp;C672,"OK")))))))))</f>
        <v/>
      </c>
      <c r="L672" s="92" t="str">
        <f>IF(AND(A672="",B672="",D672="",G672=""),"",IF(OR(B672="",NOT(ISNUMBER(B672)),C672="",C672="Fora dos ciclos"),"",IF(C672="C0","Nao",IF(IFERROR(INDEX(parametros!$A$2:$A$6,MATCH(C672,parametros!$B$2:$B$6,0)),"")&lt;&gt;"Sim","Nao",IF(IFERROR(INDEX(parametros!$H$2:$H$6,MATCH(C672,parametros!$B$2:$B$6,0)),"")="","",IF(B672&gt;=IFERROR(INDEX(parametros!$H$2:$H$6,MATCH(C672,parametros!$B$2:$B$6,0)),""),"Sim","Nao"))))))</f>
        <v/>
      </c>
      <c r="T672" s="156"/>
      <c r="U672" s="214" t="str">
        <f t="shared" si="56"/>
        <v/>
      </c>
      <c r="V672" s="212" t="s">
        <v>50</v>
      </c>
      <c r="W672" s="100" t="s">
        <v>168</v>
      </c>
      <c r="X672" s="100" t="s">
        <v>169</v>
      </c>
      <c r="Y672" s="101" t="s">
        <v>170</v>
      </c>
      <c r="Z672" s="101" t="s">
        <v>171</v>
      </c>
      <c r="AA672" s="101" t="s">
        <v>50</v>
      </c>
      <c r="AB672" s="101" t="s">
        <v>172</v>
      </c>
      <c r="AC672" s="102" t="s">
        <v>173</v>
      </c>
    </row>
    <row r="673" spans="1:29" ht="25.5" customHeight="1" x14ac:dyDescent="0.35">
      <c r="A673" s="392"/>
      <c r="B673" s="393"/>
      <c r="C673" s="99" t="str">
        <f>IF(B673="","",IF(NOT(ISNUMBER(B673)),"DATA_PC invalida",IF(NOT(ISNUMBER(parametros!$C$2)),"Fora dos ciclos",IF(OR(B673&lt;parametros!$C$2,(YEAR(B673)-YEAR(parametros!$C$2))*12+MONTH(B673)-MONTH(parametros!$C$2)&gt;59),"Fora dos ciclos","C"&amp;INT(((YEAR(B673)-YEAR(parametros!$C$2))*12+MONTH(B673)-MONTH(parametros!$C$2))/12)))))</f>
        <v/>
      </c>
      <c r="D673" s="394"/>
      <c r="E673" s="78" t="str">
        <f>IF(C673="","",IFERROR(VLOOKUP(C673,parametros!$A$11:$E$15,5,0),""))</f>
        <v/>
      </c>
      <c r="F673" s="79" t="str">
        <f t="shared" si="52"/>
        <v/>
      </c>
      <c r="G673" s="395"/>
      <c r="H673" s="91">
        <f t="shared" si="53"/>
        <v>0</v>
      </c>
      <c r="I673" s="91" t="str">
        <f t="shared" si="54"/>
        <v/>
      </c>
      <c r="J673" s="91" t="str">
        <f t="shared" si="55"/>
        <v/>
      </c>
      <c r="K673" s="92" t="str">
        <f>IF(AND(A673="",B673="",D673="",G673=""),"",IF(AND(A673&lt;&gt;"",COUNTIF($A$2:$A$5001,A673)&gt;1),"NUMERO_PC duplicado",IF(B673="","DATA_PC vazia",IF(NOT(ISNUMBER(B673)),"DATA_PC invalida",IF(OR(C673="",C673="Fora dos ciclos"),"CICLO_PC nao identificado",IF(OR(D673="",D673=0),"VALOR_PC vazio ou zero",IF(AND(G673&lt;&gt;"Sim",G673&lt;&gt;"Nao",G673&lt;&gt;""),"PC_PAGO_A_CONTRATADA invalido",IF(AND(C673&lt;&gt;"C0",IFERROR(INDEX(parametros!$A$2:$A$6,MATCH(C673,parametros!$B$2:$B$6,0)),"")="Sim",IFERROR(INDEX(parametros!$H$2:$H$6,MATCH(C673,parametros!$B$2:$B$6,0)),"")=""),"INICIO_EFEITO ausente: PC "&amp;A673&amp;" - "&amp;C673,IF(L673="","EFEITO_PC nao calculado: PC "&amp;A673&amp;" - "&amp;C673,"OK")))))))))</f>
        <v/>
      </c>
      <c r="L673" s="92" t="str">
        <f>IF(AND(A673="",B673="",D673="",G673=""),"",IF(OR(B673="",NOT(ISNUMBER(B673)),C673="",C673="Fora dos ciclos"),"",IF(C673="C0","Nao",IF(IFERROR(INDEX(parametros!$A$2:$A$6,MATCH(C673,parametros!$B$2:$B$6,0)),"")&lt;&gt;"Sim","Nao",IF(IFERROR(INDEX(parametros!$H$2:$H$6,MATCH(C673,parametros!$B$2:$B$6,0)),"")="","",IF(B673&gt;=IFERROR(INDEX(parametros!$H$2:$H$6,MATCH(C673,parametros!$B$2:$B$6,0)),""),"Sim","Nao"))))))</f>
        <v/>
      </c>
      <c r="T673" s="156"/>
      <c r="U673" s="214" t="str">
        <f t="shared" si="56"/>
        <v/>
      </c>
      <c r="V673" s="212" t="s">
        <v>50</v>
      </c>
      <c r="W673" s="100" t="s">
        <v>168</v>
      </c>
      <c r="X673" s="100" t="s">
        <v>169</v>
      </c>
      <c r="Y673" s="101" t="s">
        <v>170</v>
      </c>
      <c r="Z673" s="101" t="s">
        <v>171</v>
      </c>
      <c r="AA673" s="101" t="s">
        <v>50</v>
      </c>
      <c r="AB673" s="101" t="s">
        <v>172</v>
      </c>
      <c r="AC673" s="102" t="s">
        <v>173</v>
      </c>
    </row>
    <row r="674" spans="1:29" ht="25.5" customHeight="1" x14ac:dyDescent="0.35">
      <c r="A674" s="392"/>
      <c r="B674" s="393"/>
      <c r="C674" s="99" t="str">
        <f>IF(B674="","",IF(NOT(ISNUMBER(B674)),"DATA_PC invalida",IF(NOT(ISNUMBER(parametros!$C$2)),"Fora dos ciclos",IF(OR(B674&lt;parametros!$C$2,(YEAR(B674)-YEAR(parametros!$C$2))*12+MONTH(B674)-MONTH(parametros!$C$2)&gt;59),"Fora dos ciclos","C"&amp;INT(((YEAR(B674)-YEAR(parametros!$C$2))*12+MONTH(B674)-MONTH(parametros!$C$2))/12)))))</f>
        <v/>
      </c>
      <c r="D674" s="394"/>
      <c r="E674" s="78" t="str">
        <f>IF(C674="","",IFERROR(VLOOKUP(C674,parametros!$A$11:$E$15,5,0),""))</f>
        <v/>
      </c>
      <c r="F674" s="79" t="str">
        <f t="shared" si="52"/>
        <v/>
      </c>
      <c r="G674" s="395"/>
      <c r="H674" s="91">
        <f t="shared" si="53"/>
        <v>0</v>
      </c>
      <c r="I674" s="91" t="str">
        <f t="shared" si="54"/>
        <v/>
      </c>
      <c r="J674" s="91" t="str">
        <f t="shared" si="55"/>
        <v/>
      </c>
      <c r="K674" s="92" t="str">
        <f>IF(AND(A674="",B674="",D674="",G674=""),"",IF(AND(A674&lt;&gt;"",COUNTIF($A$2:$A$5001,A674)&gt;1),"NUMERO_PC duplicado",IF(B674="","DATA_PC vazia",IF(NOT(ISNUMBER(B674)),"DATA_PC invalida",IF(OR(C674="",C674="Fora dos ciclos"),"CICLO_PC nao identificado",IF(OR(D674="",D674=0),"VALOR_PC vazio ou zero",IF(AND(G674&lt;&gt;"Sim",G674&lt;&gt;"Nao",G674&lt;&gt;""),"PC_PAGO_A_CONTRATADA invalido",IF(AND(C674&lt;&gt;"C0",IFERROR(INDEX(parametros!$A$2:$A$6,MATCH(C674,parametros!$B$2:$B$6,0)),"")="Sim",IFERROR(INDEX(parametros!$H$2:$H$6,MATCH(C674,parametros!$B$2:$B$6,0)),"")=""),"INICIO_EFEITO ausente: PC "&amp;A674&amp;" - "&amp;C674,IF(L674="","EFEITO_PC nao calculado: PC "&amp;A674&amp;" - "&amp;C674,"OK")))))))))</f>
        <v/>
      </c>
      <c r="L674" s="92" t="str">
        <f>IF(AND(A674="",B674="",D674="",G674=""),"",IF(OR(B674="",NOT(ISNUMBER(B674)),C674="",C674="Fora dos ciclos"),"",IF(C674="C0","Nao",IF(IFERROR(INDEX(parametros!$A$2:$A$6,MATCH(C674,parametros!$B$2:$B$6,0)),"")&lt;&gt;"Sim","Nao",IF(IFERROR(INDEX(parametros!$H$2:$H$6,MATCH(C674,parametros!$B$2:$B$6,0)),"")="","",IF(B674&gt;=IFERROR(INDEX(parametros!$H$2:$H$6,MATCH(C674,parametros!$B$2:$B$6,0)),""),"Sim","Nao"))))))</f>
        <v/>
      </c>
      <c r="T674" s="156"/>
      <c r="U674" s="214" t="str">
        <f t="shared" si="56"/>
        <v/>
      </c>
      <c r="V674" s="212" t="s">
        <v>50</v>
      </c>
      <c r="W674" s="100" t="s">
        <v>168</v>
      </c>
      <c r="X674" s="100" t="s">
        <v>169</v>
      </c>
      <c r="Y674" s="101" t="s">
        <v>170</v>
      </c>
      <c r="Z674" s="101" t="s">
        <v>171</v>
      </c>
      <c r="AA674" s="101" t="s">
        <v>50</v>
      </c>
      <c r="AB674" s="101" t="s">
        <v>172</v>
      </c>
      <c r="AC674" s="102" t="s">
        <v>173</v>
      </c>
    </row>
    <row r="675" spans="1:29" ht="25.5" customHeight="1" x14ac:dyDescent="0.35">
      <c r="A675" s="392"/>
      <c r="B675" s="393"/>
      <c r="C675" s="99" t="str">
        <f>IF(B675="","",IF(NOT(ISNUMBER(B675)),"DATA_PC invalida",IF(NOT(ISNUMBER(parametros!$C$2)),"Fora dos ciclos",IF(OR(B675&lt;parametros!$C$2,(YEAR(B675)-YEAR(parametros!$C$2))*12+MONTH(B675)-MONTH(parametros!$C$2)&gt;59),"Fora dos ciclos","C"&amp;INT(((YEAR(B675)-YEAR(parametros!$C$2))*12+MONTH(B675)-MONTH(parametros!$C$2))/12)))))</f>
        <v/>
      </c>
      <c r="D675" s="394"/>
      <c r="E675" s="78" t="str">
        <f>IF(C675="","",IFERROR(VLOOKUP(C675,parametros!$A$11:$E$15,5,0),""))</f>
        <v/>
      </c>
      <c r="F675" s="79" t="str">
        <f t="shared" si="52"/>
        <v/>
      </c>
      <c r="G675" s="395"/>
      <c r="H675" s="91">
        <f t="shared" si="53"/>
        <v>0</v>
      </c>
      <c r="I675" s="91" t="str">
        <f t="shared" si="54"/>
        <v/>
      </c>
      <c r="J675" s="91" t="str">
        <f t="shared" si="55"/>
        <v/>
      </c>
      <c r="K675" s="92" t="str">
        <f>IF(AND(A675="",B675="",D675="",G675=""),"",IF(AND(A675&lt;&gt;"",COUNTIF($A$2:$A$5001,A675)&gt;1),"NUMERO_PC duplicado",IF(B675="","DATA_PC vazia",IF(NOT(ISNUMBER(B675)),"DATA_PC invalida",IF(OR(C675="",C675="Fora dos ciclos"),"CICLO_PC nao identificado",IF(OR(D675="",D675=0),"VALOR_PC vazio ou zero",IF(AND(G675&lt;&gt;"Sim",G675&lt;&gt;"Nao",G675&lt;&gt;""),"PC_PAGO_A_CONTRATADA invalido",IF(AND(C675&lt;&gt;"C0",IFERROR(INDEX(parametros!$A$2:$A$6,MATCH(C675,parametros!$B$2:$B$6,0)),"")="Sim",IFERROR(INDEX(parametros!$H$2:$H$6,MATCH(C675,parametros!$B$2:$B$6,0)),"")=""),"INICIO_EFEITO ausente: PC "&amp;A675&amp;" - "&amp;C675,IF(L675="","EFEITO_PC nao calculado: PC "&amp;A675&amp;" - "&amp;C675,"OK")))))))))</f>
        <v/>
      </c>
      <c r="L675" s="92" t="str">
        <f>IF(AND(A675="",B675="",D675="",G675=""),"",IF(OR(B675="",NOT(ISNUMBER(B675)),C675="",C675="Fora dos ciclos"),"",IF(C675="C0","Nao",IF(IFERROR(INDEX(parametros!$A$2:$A$6,MATCH(C675,parametros!$B$2:$B$6,0)),"")&lt;&gt;"Sim","Nao",IF(IFERROR(INDEX(parametros!$H$2:$H$6,MATCH(C675,parametros!$B$2:$B$6,0)),"")="","",IF(B675&gt;=IFERROR(INDEX(parametros!$H$2:$H$6,MATCH(C675,parametros!$B$2:$B$6,0)),""),"Sim","Nao"))))))</f>
        <v/>
      </c>
      <c r="T675" s="156"/>
      <c r="U675" s="214" t="str">
        <f t="shared" si="56"/>
        <v/>
      </c>
      <c r="V675" s="212" t="s">
        <v>50</v>
      </c>
      <c r="W675" s="100" t="s">
        <v>168</v>
      </c>
      <c r="X675" s="100" t="s">
        <v>169</v>
      </c>
      <c r="Y675" s="101" t="s">
        <v>170</v>
      </c>
      <c r="Z675" s="101" t="s">
        <v>171</v>
      </c>
      <c r="AA675" s="101" t="s">
        <v>50</v>
      </c>
      <c r="AB675" s="101" t="s">
        <v>172</v>
      </c>
      <c r="AC675" s="102" t="s">
        <v>173</v>
      </c>
    </row>
    <row r="676" spans="1:29" ht="25.5" customHeight="1" x14ac:dyDescent="0.35">
      <c r="A676" s="392"/>
      <c r="B676" s="393"/>
      <c r="C676" s="99" t="str">
        <f>IF(B676="","",IF(NOT(ISNUMBER(B676)),"DATA_PC invalida",IF(NOT(ISNUMBER(parametros!$C$2)),"Fora dos ciclos",IF(OR(B676&lt;parametros!$C$2,(YEAR(B676)-YEAR(parametros!$C$2))*12+MONTH(B676)-MONTH(parametros!$C$2)&gt;59),"Fora dos ciclos","C"&amp;INT(((YEAR(B676)-YEAR(parametros!$C$2))*12+MONTH(B676)-MONTH(parametros!$C$2))/12)))))</f>
        <v/>
      </c>
      <c r="D676" s="394"/>
      <c r="E676" s="78" t="str">
        <f>IF(C676="","",IFERROR(VLOOKUP(C676,parametros!$A$11:$E$15,5,0),""))</f>
        <v/>
      </c>
      <c r="F676" s="79" t="str">
        <f t="shared" si="52"/>
        <v/>
      </c>
      <c r="G676" s="395"/>
      <c r="H676" s="91">
        <f t="shared" si="53"/>
        <v>0</v>
      </c>
      <c r="I676" s="91" t="str">
        <f t="shared" si="54"/>
        <v/>
      </c>
      <c r="J676" s="91" t="str">
        <f t="shared" si="55"/>
        <v/>
      </c>
      <c r="K676" s="92" t="str">
        <f>IF(AND(A676="",B676="",D676="",G676=""),"",IF(AND(A676&lt;&gt;"",COUNTIF($A$2:$A$5001,A676)&gt;1),"NUMERO_PC duplicado",IF(B676="","DATA_PC vazia",IF(NOT(ISNUMBER(B676)),"DATA_PC invalida",IF(OR(C676="",C676="Fora dos ciclos"),"CICLO_PC nao identificado",IF(OR(D676="",D676=0),"VALOR_PC vazio ou zero",IF(AND(G676&lt;&gt;"Sim",G676&lt;&gt;"Nao",G676&lt;&gt;""),"PC_PAGO_A_CONTRATADA invalido",IF(AND(C676&lt;&gt;"C0",IFERROR(INDEX(parametros!$A$2:$A$6,MATCH(C676,parametros!$B$2:$B$6,0)),"")="Sim",IFERROR(INDEX(parametros!$H$2:$H$6,MATCH(C676,parametros!$B$2:$B$6,0)),"")=""),"INICIO_EFEITO ausente: PC "&amp;A676&amp;" - "&amp;C676,IF(L676="","EFEITO_PC nao calculado: PC "&amp;A676&amp;" - "&amp;C676,"OK")))))))))</f>
        <v/>
      </c>
      <c r="L676" s="92" t="str">
        <f>IF(AND(A676="",B676="",D676="",G676=""),"",IF(OR(B676="",NOT(ISNUMBER(B676)),C676="",C676="Fora dos ciclos"),"",IF(C676="C0","Nao",IF(IFERROR(INDEX(parametros!$A$2:$A$6,MATCH(C676,parametros!$B$2:$B$6,0)),"")&lt;&gt;"Sim","Nao",IF(IFERROR(INDEX(parametros!$H$2:$H$6,MATCH(C676,parametros!$B$2:$B$6,0)),"")="","",IF(B676&gt;=IFERROR(INDEX(parametros!$H$2:$H$6,MATCH(C676,parametros!$B$2:$B$6,0)),""),"Sim","Nao"))))))</f>
        <v/>
      </c>
      <c r="T676" s="156"/>
      <c r="U676" s="214" t="str">
        <f t="shared" si="56"/>
        <v/>
      </c>
      <c r="V676" s="212" t="s">
        <v>50</v>
      </c>
      <c r="W676" s="100" t="s">
        <v>168</v>
      </c>
      <c r="X676" s="100" t="s">
        <v>169</v>
      </c>
      <c r="Y676" s="101" t="s">
        <v>170</v>
      </c>
      <c r="Z676" s="101" t="s">
        <v>171</v>
      </c>
      <c r="AA676" s="101" t="s">
        <v>50</v>
      </c>
      <c r="AB676" s="101" t="s">
        <v>172</v>
      </c>
      <c r="AC676" s="102" t="s">
        <v>173</v>
      </c>
    </row>
    <row r="677" spans="1:29" ht="25.5" customHeight="1" x14ac:dyDescent="0.35">
      <c r="A677" s="392"/>
      <c r="B677" s="393"/>
      <c r="C677" s="99" t="str">
        <f>IF(B677="","",IF(NOT(ISNUMBER(B677)),"DATA_PC invalida",IF(NOT(ISNUMBER(parametros!$C$2)),"Fora dos ciclos",IF(OR(B677&lt;parametros!$C$2,(YEAR(B677)-YEAR(parametros!$C$2))*12+MONTH(B677)-MONTH(parametros!$C$2)&gt;59),"Fora dos ciclos","C"&amp;INT(((YEAR(B677)-YEAR(parametros!$C$2))*12+MONTH(B677)-MONTH(parametros!$C$2))/12)))))</f>
        <v/>
      </c>
      <c r="D677" s="394"/>
      <c r="E677" s="78" t="str">
        <f>IF(C677="","",IFERROR(VLOOKUP(C677,parametros!$A$11:$E$15,5,0),""))</f>
        <v/>
      </c>
      <c r="F677" s="79" t="str">
        <f t="shared" si="52"/>
        <v/>
      </c>
      <c r="G677" s="395"/>
      <c r="H677" s="91">
        <f t="shared" si="53"/>
        <v>0</v>
      </c>
      <c r="I677" s="91" t="str">
        <f t="shared" si="54"/>
        <v/>
      </c>
      <c r="J677" s="91" t="str">
        <f t="shared" si="55"/>
        <v/>
      </c>
      <c r="K677" s="92" t="str">
        <f>IF(AND(A677="",B677="",D677="",G677=""),"",IF(AND(A677&lt;&gt;"",COUNTIF($A$2:$A$5001,A677)&gt;1),"NUMERO_PC duplicado",IF(B677="","DATA_PC vazia",IF(NOT(ISNUMBER(B677)),"DATA_PC invalida",IF(OR(C677="",C677="Fora dos ciclos"),"CICLO_PC nao identificado",IF(OR(D677="",D677=0),"VALOR_PC vazio ou zero",IF(AND(G677&lt;&gt;"Sim",G677&lt;&gt;"Nao",G677&lt;&gt;""),"PC_PAGO_A_CONTRATADA invalido",IF(AND(C677&lt;&gt;"C0",IFERROR(INDEX(parametros!$A$2:$A$6,MATCH(C677,parametros!$B$2:$B$6,0)),"")="Sim",IFERROR(INDEX(parametros!$H$2:$H$6,MATCH(C677,parametros!$B$2:$B$6,0)),"")=""),"INICIO_EFEITO ausente: PC "&amp;A677&amp;" - "&amp;C677,IF(L677="","EFEITO_PC nao calculado: PC "&amp;A677&amp;" - "&amp;C677,"OK")))))))))</f>
        <v/>
      </c>
      <c r="L677" s="92" t="str">
        <f>IF(AND(A677="",B677="",D677="",G677=""),"",IF(OR(B677="",NOT(ISNUMBER(B677)),C677="",C677="Fora dos ciclos"),"",IF(C677="C0","Nao",IF(IFERROR(INDEX(parametros!$A$2:$A$6,MATCH(C677,parametros!$B$2:$B$6,0)),"")&lt;&gt;"Sim","Nao",IF(IFERROR(INDEX(parametros!$H$2:$H$6,MATCH(C677,parametros!$B$2:$B$6,0)),"")="","",IF(B677&gt;=IFERROR(INDEX(parametros!$H$2:$H$6,MATCH(C677,parametros!$B$2:$B$6,0)),""),"Sim","Nao"))))))</f>
        <v/>
      </c>
      <c r="T677" s="156"/>
      <c r="U677" s="214" t="str">
        <f t="shared" si="56"/>
        <v/>
      </c>
      <c r="V677" s="212" t="s">
        <v>50</v>
      </c>
      <c r="W677" s="100" t="s">
        <v>168</v>
      </c>
      <c r="X677" s="100" t="s">
        <v>169</v>
      </c>
      <c r="Y677" s="101" t="s">
        <v>170</v>
      </c>
      <c r="Z677" s="101" t="s">
        <v>171</v>
      </c>
      <c r="AA677" s="101" t="s">
        <v>50</v>
      </c>
      <c r="AB677" s="101" t="s">
        <v>172</v>
      </c>
      <c r="AC677" s="102" t="s">
        <v>173</v>
      </c>
    </row>
    <row r="678" spans="1:29" ht="25.5" customHeight="1" x14ac:dyDescent="0.35">
      <c r="A678" s="392"/>
      <c r="B678" s="393"/>
      <c r="C678" s="99" t="str">
        <f>IF(B678="","",IF(NOT(ISNUMBER(B678)),"DATA_PC invalida",IF(NOT(ISNUMBER(parametros!$C$2)),"Fora dos ciclos",IF(OR(B678&lt;parametros!$C$2,(YEAR(B678)-YEAR(parametros!$C$2))*12+MONTH(B678)-MONTH(parametros!$C$2)&gt;59),"Fora dos ciclos","C"&amp;INT(((YEAR(B678)-YEAR(parametros!$C$2))*12+MONTH(B678)-MONTH(parametros!$C$2))/12)))))</f>
        <v/>
      </c>
      <c r="D678" s="394"/>
      <c r="E678" s="78" t="str">
        <f>IF(C678="","",IFERROR(VLOOKUP(C678,parametros!$A$11:$E$15,5,0),""))</f>
        <v/>
      </c>
      <c r="F678" s="79" t="str">
        <f t="shared" si="52"/>
        <v/>
      </c>
      <c r="G678" s="395"/>
      <c r="H678" s="91">
        <f t="shared" si="53"/>
        <v>0</v>
      </c>
      <c r="I678" s="91" t="str">
        <f t="shared" si="54"/>
        <v/>
      </c>
      <c r="J678" s="91" t="str">
        <f t="shared" si="55"/>
        <v/>
      </c>
      <c r="K678" s="92" t="str">
        <f>IF(AND(A678="",B678="",D678="",G678=""),"",IF(AND(A678&lt;&gt;"",COUNTIF($A$2:$A$5001,A678)&gt;1),"NUMERO_PC duplicado",IF(B678="","DATA_PC vazia",IF(NOT(ISNUMBER(B678)),"DATA_PC invalida",IF(OR(C678="",C678="Fora dos ciclos"),"CICLO_PC nao identificado",IF(OR(D678="",D678=0),"VALOR_PC vazio ou zero",IF(AND(G678&lt;&gt;"Sim",G678&lt;&gt;"Nao",G678&lt;&gt;""),"PC_PAGO_A_CONTRATADA invalido",IF(AND(C678&lt;&gt;"C0",IFERROR(INDEX(parametros!$A$2:$A$6,MATCH(C678,parametros!$B$2:$B$6,0)),"")="Sim",IFERROR(INDEX(parametros!$H$2:$H$6,MATCH(C678,parametros!$B$2:$B$6,0)),"")=""),"INICIO_EFEITO ausente: PC "&amp;A678&amp;" - "&amp;C678,IF(L678="","EFEITO_PC nao calculado: PC "&amp;A678&amp;" - "&amp;C678,"OK")))))))))</f>
        <v/>
      </c>
      <c r="L678" s="92" t="str">
        <f>IF(AND(A678="",B678="",D678="",G678=""),"",IF(OR(B678="",NOT(ISNUMBER(B678)),C678="",C678="Fora dos ciclos"),"",IF(C678="C0","Nao",IF(IFERROR(INDEX(parametros!$A$2:$A$6,MATCH(C678,parametros!$B$2:$B$6,0)),"")&lt;&gt;"Sim","Nao",IF(IFERROR(INDEX(parametros!$H$2:$H$6,MATCH(C678,parametros!$B$2:$B$6,0)),"")="","",IF(B678&gt;=IFERROR(INDEX(parametros!$H$2:$H$6,MATCH(C678,parametros!$B$2:$B$6,0)),""),"Sim","Nao"))))))</f>
        <v/>
      </c>
      <c r="T678" s="156"/>
      <c r="U678" s="214" t="str">
        <f t="shared" si="56"/>
        <v/>
      </c>
      <c r="V678" s="212" t="s">
        <v>50</v>
      </c>
      <c r="W678" s="100" t="s">
        <v>168</v>
      </c>
      <c r="X678" s="100" t="s">
        <v>169</v>
      </c>
      <c r="Y678" s="101" t="s">
        <v>170</v>
      </c>
      <c r="Z678" s="101" t="s">
        <v>171</v>
      </c>
      <c r="AA678" s="101" t="s">
        <v>50</v>
      </c>
      <c r="AB678" s="101" t="s">
        <v>172</v>
      </c>
      <c r="AC678" s="102" t="s">
        <v>173</v>
      </c>
    </row>
    <row r="679" spans="1:29" ht="25.5" customHeight="1" x14ac:dyDescent="0.35">
      <c r="A679" s="392"/>
      <c r="B679" s="393"/>
      <c r="C679" s="99" t="str">
        <f>IF(B679="","",IF(NOT(ISNUMBER(B679)),"DATA_PC invalida",IF(NOT(ISNUMBER(parametros!$C$2)),"Fora dos ciclos",IF(OR(B679&lt;parametros!$C$2,(YEAR(B679)-YEAR(parametros!$C$2))*12+MONTH(B679)-MONTH(parametros!$C$2)&gt;59),"Fora dos ciclos","C"&amp;INT(((YEAR(B679)-YEAR(parametros!$C$2))*12+MONTH(B679)-MONTH(parametros!$C$2))/12)))))</f>
        <v/>
      </c>
      <c r="D679" s="394"/>
      <c r="E679" s="78" t="str">
        <f>IF(C679="","",IFERROR(VLOOKUP(C679,parametros!$A$11:$E$15,5,0),""))</f>
        <v/>
      </c>
      <c r="F679" s="79" t="str">
        <f t="shared" si="52"/>
        <v/>
      </c>
      <c r="G679" s="395"/>
      <c r="H679" s="91">
        <f t="shared" si="53"/>
        <v>0</v>
      </c>
      <c r="I679" s="91" t="str">
        <f t="shared" si="54"/>
        <v/>
      </c>
      <c r="J679" s="91" t="str">
        <f t="shared" si="55"/>
        <v/>
      </c>
      <c r="K679" s="92" t="str">
        <f>IF(AND(A679="",B679="",D679="",G679=""),"",IF(AND(A679&lt;&gt;"",COUNTIF($A$2:$A$5001,A679)&gt;1),"NUMERO_PC duplicado",IF(B679="","DATA_PC vazia",IF(NOT(ISNUMBER(B679)),"DATA_PC invalida",IF(OR(C679="",C679="Fora dos ciclos"),"CICLO_PC nao identificado",IF(OR(D679="",D679=0),"VALOR_PC vazio ou zero",IF(AND(G679&lt;&gt;"Sim",G679&lt;&gt;"Nao",G679&lt;&gt;""),"PC_PAGO_A_CONTRATADA invalido",IF(AND(C679&lt;&gt;"C0",IFERROR(INDEX(parametros!$A$2:$A$6,MATCH(C679,parametros!$B$2:$B$6,0)),"")="Sim",IFERROR(INDEX(parametros!$H$2:$H$6,MATCH(C679,parametros!$B$2:$B$6,0)),"")=""),"INICIO_EFEITO ausente: PC "&amp;A679&amp;" - "&amp;C679,IF(L679="","EFEITO_PC nao calculado: PC "&amp;A679&amp;" - "&amp;C679,"OK")))))))))</f>
        <v/>
      </c>
      <c r="L679" s="92" t="str">
        <f>IF(AND(A679="",B679="",D679="",G679=""),"",IF(OR(B679="",NOT(ISNUMBER(B679)),C679="",C679="Fora dos ciclos"),"",IF(C679="C0","Nao",IF(IFERROR(INDEX(parametros!$A$2:$A$6,MATCH(C679,parametros!$B$2:$B$6,0)),"")&lt;&gt;"Sim","Nao",IF(IFERROR(INDEX(parametros!$H$2:$H$6,MATCH(C679,parametros!$B$2:$B$6,0)),"")="","",IF(B679&gt;=IFERROR(INDEX(parametros!$H$2:$H$6,MATCH(C679,parametros!$B$2:$B$6,0)),""),"Sim","Nao"))))))</f>
        <v/>
      </c>
      <c r="T679" s="156"/>
      <c r="U679" s="214" t="str">
        <f t="shared" si="56"/>
        <v/>
      </c>
      <c r="V679" s="212" t="s">
        <v>50</v>
      </c>
      <c r="W679" s="100" t="s">
        <v>168</v>
      </c>
      <c r="X679" s="100" t="s">
        <v>169</v>
      </c>
      <c r="Y679" s="101" t="s">
        <v>170</v>
      </c>
      <c r="Z679" s="101" t="s">
        <v>171</v>
      </c>
      <c r="AA679" s="101" t="s">
        <v>50</v>
      </c>
      <c r="AB679" s="101" t="s">
        <v>172</v>
      </c>
      <c r="AC679" s="102" t="s">
        <v>173</v>
      </c>
    </row>
    <row r="680" spans="1:29" ht="25.5" customHeight="1" x14ac:dyDescent="0.35">
      <c r="A680" s="392"/>
      <c r="B680" s="393"/>
      <c r="C680" s="99" t="str">
        <f>IF(B680="","",IF(NOT(ISNUMBER(B680)),"DATA_PC invalida",IF(NOT(ISNUMBER(parametros!$C$2)),"Fora dos ciclos",IF(OR(B680&lt;parametros!$C$2,(YEAR(B680)-YEAR(parametros!$C$2))*12+MONTH(B680)-MONTH(parametros!$C$2)&gt;59),"Fora dos ciclos","C"&amp;INT(((YEAR(B680)-YEAR(parametros!$C$2))*12+MONTH(B680)-MONTH(parametros!$C$2))/12)))))</f>
        <v/>
      </c>
      <c r="D680" s="394"/>
      <c r="E680" s="78" t="str">
        <f>IF(C680="","",IFERROR(VLOOKUP(C680,parametros!$A$11:$E$15,5,0),""))</f>
        <v/>
      </c>
      <c r="F680" s="79" t="str">
        <f t="shared" si="52"/>
        <v/>
      </c>
      <c r="G680" s="395"/>
      <c r="H680" s="91">
        <f t="shared" si="53"/>
        <v>0</v>
      </c>
      <c r="I680" s="91" t="str">
        <f t="shared" si="54"/>
        <v/>
      </c>
      <c r="J680" s="91" t="str">
        <f t="shared" si="55"/>
        <v/>
      </c>
      <c r="K680" s="92" t="str">
        <f>IF(AND(A680="",B680="",D680="",G680=""),"",IF(AND(A680&lt;&gt;"",COUNTIF($A$2:$A$5001,A680)&gt;1),"NUMERO_PC duplicado",IF(B680="","DATA_PC vazia",IF(NOT(ISNUMBER(B680)),"DATA_PC invalida",IF(OR(C680="",C680="Fora dos ciclos"),"CICLO_PC nao identificado",IF(OR(D680="",D680=0),"VALOR_PC vazio ou zero",IF(AND(G680&lt;&gt;"Sim",G680&lt;&gt;"Nao",G680&lt;&gt;""),"PC_PAGO_A_CONTRATADA invalido",IF(AND(C680&lt;&gt;"C0",IFERROR(INDEX(parametros!$A$2:$A$6,MATCH(C680,parametros!$B$2:$B$6,0)),"")="Sim",IFERROR(INDEX(parametros!$H$2:$H$6,MATCH(C680,parametros!$B$2:$B$6,0)),"")=""),"INICIO_EFEITO ausente: PC "&amp;A680&amp;" - "&amp;C680,IF(L680="","EFEITO_PC nao calculado: PC "&amp;A680&amp;" - "&amp;C680,"OK")))))))))</f>
        <v/>
      </c>
      <c r="L680" s="92" t="str">
        <f>IF(AND(A680="",B680="",D680="",G680=""),"",IF(OR(B680="",NOT(ISNUMBER(B680)),C680="",C680="Fora dos ciclos"),"",IF(C680="C0","Nao",IF(IFERROR(INDEX(parametros!$A$2:$A$6,MATCH(C680,parametros!$B$2:$B$6,0)),"")&lt;&gt;"Sim","Nao",IF(IFERROR(INDEX(parametros!$H$2:$H$6,MATCH(C680,parametros!$B$2:$B$6,0)),"")="","",IF(B680&gt;=IFERROR(INDEX(parametros!$H$2:$H$6,MATCH(C680,parametros!$B$2:$B$6,0)),""),"Sim","Nao"))))))</f>
        <v/>
      </c>
      <c r="T680" s="156"/>
      <c r="U680" s="214" t="str">
        <f t="shared" si="56"/>
        <v/>
      </c>
      <c r="V680" s="212" t="s">
        <v>50</v>
      </c>
      <c r="W680" s="100" t="s">
        <v>168</v>
      </c>
      <c r="X680" s="100" t="s">
        <v>169</v>
      </c>
      <c r="Y680" s="101" t="s">
        <v>170</v>
      </c>
      <c r="Z680" s="101" t="s">
        <v>171</v>
      </c>
      <c r="AA680" s="101" t="s">
        <v>50</v>
      </c>
      <c r="AB680" s="101" t="s">
        <v>172</v>
      </c>
      <c r="AC680" s="102" t="s">
        <v>173</v>
      </c>
    </row>
    <row r="681" spans="1:29" ht="25.5" customHeight="1" x14ac:dyDescent="0.35">
      <c r="A681" s="392"/>
      <c r="B681" s="393"/>
      <c r="C681" s="99" t="str">
        <f>IF(B681="","",IF(NOT(ISNUMBER(B681)),"DATA_PC invalida",IF(NOT(ISNUMBER(parametros!$C$2)),"Fora dos ciclos",IF(OR(B681&lt;parametros!$C$2,(YEAR(B681)-YEAR(parametros!$C$2))*12+MONTH(B681)-MONTH(parametros!$C$2)&gt;59),"Fora dos ciclos","C"&amp;INT(((YEAR(B681)-YEAR(parametros!$C$2))*12+MONTH(B681)-MONTH(parametros!$C$2))/12)))))</f>
        <v/>
      </c>
      <c r="D681" s="394"/>
      <c r="E681" s="78" t="str">
        <f>IF(C681="","",IFERROR(VLOOKUP(C681,parametros!$A$11:$E$15,5,0),""))</f>
        <v/>
      </c>
      <c r="F681" s="79" t="str">
        <f t="shared" si="52"/>
        <v/>
      </c>
      <c r="G681" s="395"/>
      <c r="H681" s="91">
        <f t="shared" si="53"/>
        <v>0</v>
      </c>
      <c r="I681" s="91" t="str">
        <f t="shared" si="54"/>
        <v/>
      </c>
      <c r="J681" s="91" t="str">
        <f t="shared" si="55"/>
        <v/>
      </c>
      <c r="K681" s="92" t="str">
        <f>IF(AND(A681="",B681="",D681="",G681=""),"",IF(AND(A681&lt;&gt;"",COUNTIF($A$2:$A$5001,A681)&gt;1),"NUMERO_PC duplicado",IF(B681="","DATA_PC vazia",IF(NOT(ISNUMBER(B681)),"DATA_PC invalida",IF(OR(C681="",C681="Fora dos ciclos"),"CICLO_PC nao identificado",IF(OR(D681="",D681=0),"VALOR_PC vazio ou zero",IF(AND(G681&lt;&gt;"Sim",G681&lt;&gt;"Nao",G681&lt;&gt;""),"PC_PAGO_A_CONTRATADA invalido",IF(AND(C681&lt;&gt;"C0",IFERROR(INDEX(parametros!$A$2:$A$6,MATCH(C681,parametros!$B$2:$B$6,0)),"")="Sim",IFERROR(INDEX(parametros!$H$2:$H$6,MATCH(C681,parametros!$B$2:$B$6,0)),"")=""),"INICIO_EFEITO ausente: PC "&amp;A681&amp;" - "&amp;C681,IF(L681="","EFEITO_PC nao calculado: PC "&amp;A681&amp;" - "&amp;C681,"OK")))))))))</f>
        <v/>
      </c>
      <c r="L681" s="92" t="str">
        <f>IF(AND(A681="",B681="",D681="",G681=""),"",IF(OR(B681="",NOT(ISNUMBER(B681)),C681="",C681="Fora dos ciclos"),"",IF(C681="C0","Nao",IF(IFERROR(INDEX(parametros!$A$2:$A$6,MATCH(C681,parametros!$B$2:$B$6,0)),"")&lt;&gt;"Sim","Nao",IF(IFERROR(INDEX(parametros!$H$2:$H$6,MATCH(C681,parametros!$B$2:$B$6,0)),"")="","",IF(B681&gt;=IFERROR(INDEX(parametros!$H$2:$H$6,MATCH(C681,parametros!$B$2:$B$6,0)),""),"Sim","Nao"))))))</f>
        <v/>
      </c>
      <c r="T681" s="156"/>
      <c r="U681" s="214" t="str">
        <f t="shared" si="56"/>
        <v/>
      </c>
      <c r="V681" s="212" t="s">
        <v>50</v>
      </c>
      <c r="W681" s="100" t="s">
        <v>168</v>
      </c>
      <c r="X681" s="100" t="s">
        <v>169</v>
      </c>
      <c r="Y681" s="101" t="s">
        <v>170</v>
      </c>
      <c r="Z681" s="101" t="s">
        <v>171</v>
      </c>
      <c r="AA681" s="101" t="s">
        <v>50</v>
      </c>
      <c r="AB681" s="101" t="s">
        <v>172</v>
      </c>
      <c r="AC681" s="102" t="s">
        <v>173</v>
      </c>
    </row>
    <row r="682" spans="1:29" ht="25.5" customHeight="1" x14ac:dyDescent="0.35">
      <c r="A682" s="392"/>
      <c r="B682" s="393"/>
      <c r="C682" s="99" t="str">
        <f>IF(B682="","",IF(NOT(ISNUMBER(B682)),"DATA_PC invalida",IF(NOT(ISNUMBER(parametros!$C$2)),"Fora dos ciclos",IF(OR(B682&lt;parametros!$C$2,(YEAR(B682)-YEAR(parametros!$C$2))*12+MONTH(B682)-MONTH(parametros!$C$2)&gt;59),"Fora dos ciclos","C"&amp;INT(((YEAR(B682)-YEAR(parametros!$C$2))*12+MONTH(B682)-MONTH(parametros!$C$2))/12)))))</f>
        <v/>
      </c>
      <c r="D682" s="394"/>
      <c r="E682" s="78" t="str">
        <f>IF(C682="","",IFERROR(VLOOKUP(C682,parametros!$A$11:$E$15,5,0),""))</f>
        <v/>
      </c>
      <c r="F682" s="79" t="str">
        <f t="shared" si="52"/>
        <v/>
      </c>
      <c r="G682" s="395"/>
      <c r="H682" s="91">
        <f t="shared" si="53"/>
        <v>0</v>
      </c>
      <c r="I682" s="91" t="str">
        <f t="shared" si="54"/>
        <v/>
      </c>
      <c r="J682" s="91" t="str">
        <f t="shared" si="55"/>
        <v/>
      </c>
      <c r="K682" s="92" t="str">
        <f>IF(AND(A682="",B682="",D682="",G682=""),"",IF(AND(A682&lt;&gt;"",COUNTIF($A$2:$A$5001,A682)&gt;1),"NUMERO_PC duplicado",IF(B682="","DATA_PC vazia",IF(NOT(ISNUMBER(B682)),"DATA_PC invalida",IF(OR(C682="",C682="Fora dos ciclos"),"CICLO_PC nao identificado",IF(OR(D682="",D682=0),"VALOR_PC vazio ou zero",IF(AND(G682&lt;&gt;"Sim",G682&lt;&gt;"Nao",G682&lt;&gt;""),"PC_PAGO_A_CONTRATADA invalido",IF(AND(C682&lt;&gt;"C0",IFERROR(INDEX(parametros!$A$2:$A$6,MATCH(C682,parametros!$B$2:$B$6,0)),"")="Sim",IFERROR(INDEX(parametros!$H$2:$H$6,MATCH(C682,parametros!$B$2:$B$6,0)),"")=""),"INICIO_EFEITO ausente: PC "&amp;A682&amp;" - "&amp;C682,IF(L682="","EFEITO_PC nao calculado: PC "&amp;A682&amp;" - "&amp;C682,"OK")))))))))</f>
        <v/>
      </c>
      <c r="L682" s="92" t="str">
        <f>IF(AND(A682="",B682="",D682="",G682=""),"",IF(OR(B682="",NOT(ISNUMBER(B682)),C682="",C682="Fora dos ciclos"),"",IF(C682="C0","Nao",IF(IFERROR(INDEX(parametros!$A$2:$A$6,MATCH(C682,parametros!$B$2:$B$6,0)),"")&lt;&gt;"Sim","Nao",IF(IFERROR(INDEX(parametros!$H$2:$H$6,MATCH(C682,parametros!$B$2:$B$6,0)),"")="","",IF(B682&gt;=IFERROR(INDEX(parametros!$H$2:$H$6,MATCH(C682,parametros!$B$2:$B$6,0)),""),"Sim","Nao"))))))</f>
        <v/>
      </c>
      <c r="T682" s="156"/>
      <c r="U682" s="214" t="str">
        <f t="shared" si="56"/>
        <v/>
      </c>
      <c r="V682" s="212" t="s">
        <v>50</v>
      </c>
      <c r="W682" s="100" t="s">
        <v>168</v>
      </c>
      <c r="X682" s="100" t="s">
        <v>169</v>
      </c>
      <c r="Y682" s="101" t="s">
        <v>170</v>
      </c>
      <c r="Z682" s="101" t="s">
        <v>171</v>
      </c>
      <c r="AA682" s="101" t="s">
        <v>50</v>
      </c>
      <c r="AB682" s="101" t="s">
        <v>172</v>
      </c>
      <c r="AC682" s="102" t="s">
        <v>173</v>
      </c>
    </row>
    <row r="683" spans="1:29" ht="25.5" customHeight="1" x14ac:dyDescent="0.35">
      <c r="A683" s="392"/>
      <c r="B683" s="393"/>
      <c r="C683" s="99" t="str">
        <f>IF(B683="","",IF(NOT(ISNUMBER(B683)),"DATA_PC invalida",IF(NOT(ISNUMBER(parametros!$C$2)),"Fora dos ciclos",IF(OR(B683&lt;parametros!$C$2,(YEAR(B683)-YEAR(parametros!$C$2))*12+MONTH(B683)-MONTH(parametros!$C$2)&gt;59),"Fora dos ciclos","C"&amp;INT(((YEAR(B683)-YEAR(parametros!$C$2))*12+MONTH(B683)-MONTH(parametros!$C$2))/12)))))</f>
        <v/>
      </c>
      <c r="D683" s="394"/>
      <c r="E683" s="78" t="str">
        <f>IF(C683="","",IFERROR(VLOOKUP(C683,parametros!$A$11:$E$15,5,0),""))</f>
        <v/>
      </c>
      <c r="F683" s="79" t="str">
        <f t="shared" si="52"/>
        <v/>
      </c>
      <c r="G683" s="395"/>
      <c r="H683" s="91">
        <f t="shared" si="53"/>
        <v>0</v>
      </c>
      <c r="I683" s="91" t="str">
        <f t="shared" si="54"/>
        <v/>
      </c>
      <c r="J683" s="91" t="str">
        <f t="shared" si="55"/>
        <v/>
      </c>
      <c r="K683" s="92" t="str">
        <f>IF(AND(A683="",B683="",D683="",G683=""),"",IF(AND(A683&lt;&gt;"",COUNTIF($A$2:$A$5001,A683)&gt;1),"NUMERO_PC duplicado",IF(B683="","DATA_PC vazia",IF(NOT(ISNUMBER(B683)),"DATA_PC invalida",IF(OR(C683="",C683="Fora dos ciclos"),"CICLO_PC nao identificado",IF(OR(D683="",D683=0),"VALOR_PC vazio ou zero",IF(AND(G683&lt;&gt;"Sim",G683&lt;&gt;"Nao",G683&lt;&gt;""),"PC_PAGO_A_CONTRATADA invalido",IF(AND(C683&lt;&gt;"C0",IFERROR(INDEX(parametros!$A$2:$A$6,MATCH(C683,parametros!$B$2:$B$6,0)),"")="Sim",IFERROR(INDEX(parametros!$H$2:$H$6,MATCH(C683,parametros!$B$2:$B$6,0)),"")=""),"INICIO_EFEITO ausente: PC "&amp;A683&amp;" - "&amp;C683,IF(L683="","EFEITO_PC nao calculado: PC "&amp;A683&amp;" - "&amp;C683,"OK")))))))))</f>
        <v/>
      </c>
      <c r="L683" s="92" t="str">
        <f>IF(AND(A683="",B683="",D683="",G683=""),"",IF(OR(B683="",NOT(ISNUMBER(B683)),C683="",C683="Fora dos ciclos"),"",IF(C683="C0","Nao",IF(IFERROR(INDEX(parametros!$A$2:$A$6,MATCH(C683,parametros!$B$2:$B$6,0)),"")&lt;&gt;"Sim","Nao",IF(IFERROR(INDEX(parametros!$H$2:$H$6,MATCH(C683,parametros!$B$2:$B$6,0)),"")="","",IF(B683&gt;=IFERROR(INDEX(parametros!$H$2:$H$6,MATCH(C683,parametros!$B$2:$B$6,0)),""),"Sim","Nao"))))))</f>
        <v/>
      </c>
      <c r="T683" s="156"/>
      <c r="U683" s="214" t="str">
        <f t="shared" si="56"/>
        <v/>
      </c>
      <c r="V683" s="212" t="s">
        <v>50</v>
      </c>
      <c r="W683" s="100" t="s">
        <v>168</v>
      </c>
      <c r="X683" s="100" t="s">
        <v>169</v>
      </c>
      <c r="Y683" s="101" t="s">
        <v>170</v>
      </c>
      <c r="Z683" s="101" t="s">
        <v>171</v>
      </c>
      <c r="AA683" s="101" t="s">
        <v>50</v>
      </c>
      <c r="AB683" s="101" t="s">
        <v>172</v>
      </c>
      <c r="AC683" s="102" t="s">
        <v>173</v>
      </c>
    </row>
    <row r="684" spans="1:29" ht="25.5" customHeight="1" x14ac:dyDescent="0.35">
      <c r="A684" s="392"/>
      <c r="B684" s="393"/>
      <c r="C684" s="99" t="str">
        <f>IF(B684="","",IF(NOT(ISNUMBER(B684)),"DATA_PC invalida",IF(NOT(ISNUMBER(parametros!$C$2)),"Fora dos ciclos",IF(OR(B684&lt;parametros!$C$2,(YEAR(B684)-YEAR(parametros!$C$2))*12+MONTH(B684)-MONTH(parametros!$C$2)&gt;59),"Fora dos ciclos","C"&amp;INT(((YEAR(B684)-YEAR(parametros!$C$2))*12+MONTH(B684)-MONTH(parametros!$C$2))/12)))))</f>
        <v/>
      </c>
      <c r="D684" s="394"/>
      <c r="E684" s="78" t="str">
        <f>IF(C684="","",IFERROR(VLOOKUP(C684,parametros!$A$11:$E$15,5,0),""))</f>
        <v/>
      </c>
      <c r="F684" s="79" t="str">
        <f t="shared" si="52"/>
        <v/>
      </c>
      <c r="G684" s="395"/>
      <c r="H684" s="91">
        <f t="shared" si="53"/>
        <v>0</v>
      </c>
      <c r="I684" s="91" t="str">
        <f t="shared" si="54"/>
        <v/>
      </c>
      <c r="J684" s="91" t="str">
        <f t="shared" si="55"/>
        <v/>
      </c>
      <c r="K684" s="92" t="str">
        <f>IF(AND(A684="",B684="",D684="",G684=""),"",IF(AND(A684&lt;&gt;"",COUNTIF($A$2:$A$5001,A684)&gt;1),"NUMERO_PC duplicado",IF(B684="","DATA_PC vazia",IF(NOT(ISNUMBER(B684)),"DATA_PC invalida",IF(OR(C684="",C684="Fora dos ciclos"),"CICLO_PC nao identificado",IF(OR(D684="",D684=0),"VALOR_PC vazio ou zero",IF(AND(G684&lt;&gt;"Sim",G684&lt;&gt;"Nao",G684&lt;&gt;""),"PC_PAGO_A_CONTRATADA invalido",IF(AND(C684&lt;&gt;"C0",IFERROR(INDEX(parametros!$A$2:$A$6,MATCH(C684,parametros!$B$2:$B$6,0)),"")="Sim",IFERROR(INDEX(parametros!$H$2:$H$6,MATCH(C684,parametros!$B$2:$B$6,0)),"")=""),"INICIO_EFEITO ausente: PC "&amp;A684&amp;" - "&amp;C684,IF(L684="","EFEITO_PC nao calculado: PC "&amp;A684&amp;" - "&amp;C684,"OK")))))))))</f>
        <v/>
      </c>
      <c r="L684" s="92" t="str">
        <f>IF(AND(A684="",B684="",D684="",G684=""),"",IF(OR(B684="",NOT(ISNUMBER(B684)),C684="",C684="Fora dos ciclos"),"",IF(C684="C0","Nao",IF(IFERROR(INDEX(parametros!$A$2:$A$6,MATCH(C684,parametros!$B$2:$B$6,0)),"")&lt;&gt;"Sim","Nao",IF(IFERROR(INDEX(parametros!$H$2:$H$6,MATCH(C684,parametros!$B$2:$B$6,0)),"")="","",IF(B684&gt;=IFERROR(INDEX(parametros!$H$2:$H$6,MATCH(C684,parametros!$B$2:$B$6,0)),""),"Sim","Nao"))))))</f>
        <v/>
      </c>
      <c r="T684" s="156"/>
      <c r="U684" s="214" t="str">
        <f t="shared" si="56"/>
        <v/>
      </c>
      <c r="V684" s="212" t="s">
        <v>50</v>
      </c>
      <c r="W684" s="100" t="s">
        <v>168</v>
      </c>
      <c r="X684" s="100" t="s">
        <v>169</v>
      </c>
      <c r="Y684" s="101" t="s">
        <v>170</v>
      </c>
      <c r="Z684" s="101" t="s">
        <v>171</v>
      </c>
      <c r="AA684" s="101" t="s">
        <v>50</v>
      </c>
      <c r="AB684" s="101" t="s">
        <v>172</v>
      </c>
      <c r="AC684" s="102" t="s">
        <v>173</v>
      </c>
    </row>
    <row r="685" spans="1:29" ht="25.5" customHeight="1" x14ac:dyDescent="0.35">
      <c r="A685" s="392"/>
      <c r="B685" s="393"/>
      <c r="C685" s="99" t="str">
        <f>IF(B685="","",IF(NOT(ISNUMBER(B685)),"DATA_PC invalida",IF(NOT(ISNUMBER(parametros!$C$2)),"Fora dos ciclos",IF(OR(B685&lt;parametros!$C$2,(YEAR(B685)-YEAR(parametros!$C$2))*12+MONTH(B685)-MONTH(parametros!$C$2)&gt;59),"Fora dos ciclos","C"&amp;INT(((YEAR(B685)-YEAR(parametros!$C$2))*12+MONTH(B685)-MONTH(parametros!$C$2))/12)))))</f>
        <v/>
      </c>
      <c r="D685" s="394"/>
      <c r="E685" s="78" t="str">
        <f>IF(C685="","",IFERROR(VLOOKUP(C685,parametros!$A$11:$E$15,5,0),""))</f>
        <v/>
      </c>
      <c r="F685" s="79" t="str">
        <f t="shared" si="52"/>
        <v/>
      </c>
      <c r="G685" s="395"/>
      <c r="H685" s="91">
        <f t="shared" si="53"/>
        <v>0</v>
      </c>
      <c r="I685" s="91" t="str">
        <f t="shared" si="54"/>
        <v/>
      </c>
      <c r="J685" s="91" t="str">
        <f t="shared" si="55"/>
        <v/>
      </c>
      <c r="K685" s="92" t="str">
        <f>IF(AND(A685="",B685="",D685="",G685=""),"",IF(AND(A685&lt;&gt;"",COUNTIF($A$2:$A$5001,A685)&gt;1),"NUMERO_PC duplicado",IF(B685="","DATA_PC vazia",IF(NOT(ISNUMBER(B685)),"DATA_PC invalida",IF(OR(C685="",C685="Fora dos ciclos"),"CICLO_PC nao identificado",IF(OR(D685="",D685=0),"VALOR_PC vazio ou zero",IF(AND(G685&lt;&gt;"Sim",G685&lt;&gt;"Nao",G685&lt;&gt;""),"PC_PAGO_A_CONTRATADA invalido",IF(AND(C685&lt;&gt;"C0",IFERROR(INDEX(parametros!$A$2:$A$6,MATCH(C685,parametros!$B$2:$B$6,0)),"")="Sim",IFERROR(INDEX(parametros!$H$2:$H$6,MATCH(C685,parametros!$B$2:$B$6,0)),"")=""),"INICIO_EFEITO ausente: PC "&amp;A685&amp;" - "&amp;C685,IF(L685="","EFEITO_PC nao calculado: PC "&amp;A685&amp;" - "&amp;C685,"OK")))))))))</f>
        <v/>
      </c>
      <c r="L685" s="92" t="str">
        <f>IF(AND(A685="",B685="",D685="",G685=""),"",IF(OR(B685="",NOT(ISNUMBER(B685)),C685="",C685="Fora dos ciclos"),"",IF(C685="C0","Nao",IF(IFERROR(INDEX(parametros!$A$2:$A$6,MATCH(C685,parametros!$B$2:$B$6,0)),"")&lt;&gt;"Sim","Nao",IF(IFERROR(INDEX(parametros!$H$2:$H$6,MATCH(C685,parametros!$B$2:$B$6,0)),"")="","",IF(B685&gt;=IFERROR(INDEX(parametros!$H$2:$H$6,MATCH(C685,parametros!$B$2:$B$6,0)),""),"Sim","Nao"))))))</f>
        <v/>
      </c>
      <c r="T685" s="156"/>
      <c r="U685" s="214" t="str">
        <f t="shared" si="56"/>
        <v/>
      </c>
      <c r="V685" s="212" t="s">
        <v>50</v>
      </c>
      <c r="W685" s="100" t="s">
        <v>168</v>
      </c>
      <c r="X685" s="100" t="s">
        <v>169</v>
      </c>
      <c r="Y685" s="101" t="s">
        <v>170</v>
      </c>
      <c r="Z685" s="101" t="s">
        <v>171</v>
      </c>
      <c r="AA685" s="101" t="s">
        <v>50</v>
      </c>
      <c r="AB685" s="101" t="s">
        <v>172</v>
      </c>
      <c r="AC685" s="102" t="s">
        <v>173</v>
      </c>
    </row>
    <row r="686" spans="1:29" ht="25.5" customHeight="1" x14ac:dyDescent="0.35">
      <c r="A686" s="392"/>
      <c r="B686" s="393"/>
      <c r="C686" s="99" t="str">
        <f>IF(B686="","",IF(NOT(ISNUMBER(B686)),"DATA_PC invalida",IF(NOT(ISNUMBER(parametros!$C$2)),"Fora dos ciclos",IF(OR(B686&lt;parametros!$C$2,(YEAR(B686)-YEAR(parametros!$C$2))*12+MONTH(B686)-MONTH(parametros!$C$2)&gt;59),"Fora dos ciclos","C"&amp;INT(((YEAR(B686)-YEAR(parametros!$C$2))*12+MONTH(B686)-MONTH(parametros!$C$2))/12)))))</f>
        <v/>
      </c>
      <c r="D686" s="394"/>
      <c r="E686" s="78" t="str">
        <f>IF(C686="","",IFERROR(VLOOKUP(C686,parametros!$A$11:$E$15,5,0),""))</f>
        <v/>
      </c>
      <c r="F686" s="79" t="str">
        <f t="shared" si="52"/>
        <v/>
      </c>
      <c r="G686" s="395"/>
      <c r="H686" s="91">
        <f t="shared" si="53"/>
        <v>0</v>
      </c>
      <c r="I686" s="91" t="str">
        <f t="shared" si="54"/>
        <v/>
      </c>
      <c r="J686" s="91" t="str">
        <f t="shared" si="55"/>
        <v/>
      </c>
      <c r="K686" s="92" t="str">
        <f>IF(AND(A686="",B686="",D686="",G686=""),"",IF(AND(A686&lt;&gt;"",COUNTIF($A$2:$A$5001,A686)&gt;1),"NUMERO_PC duplicado",IF(B686="","DATA_PC vazia",IF(NOT(ISNUMBER(B686)),"DATA_PC invalida",IF(OR(C686="",C686="Fora dos ciclos"),"CICLO_PC nao identificado",IF(OR(D686="",D686=0),"VALOR_PC vazio ou zero",IF(AND(G686&lt;&gt;"Sim",G686&lt;&gt;"Nao",G686&lt;&gt;""),"PC_PAGO_A_CONTRATADA invalido",IF(AND(C686&lt;&gt;"C0",IFERROR(INDEX(parametros!$A$2:$A$6,MATCH(C686,parametros!$B$2:$B$6,0)),"")="Sim",IFERROR(INDEX(parametros!$H$2:$H$6,MATCH(C686,parametros!$B$2:$B$6,0)),"")=""),"INICIO_EFEITO ausente: PC "&amp;A686&amp;" - "&amp;C686,IF(L686="","EFEITO_PC nao calculado: PC "&amp;A686&amp;" - "&amp;C686,"OK")))))))))</f>
        <v/>
      </c>
      <c r="L686" s="92" t="str">
        <f>IF(AND(A686="",B686="",D686="",G686=""),"",IF(OR(B686="",NOT(ISNUMBER(B686)),C686="",C686="Fora dos ciclos"),"",IF(C686="C0","Nao",IF(IFERROR(INDEX(parametros!$A$2:$A$6,MATCH(C686,parametros!$B$2:$B$6,0)),"")&lt;&gt;"Sim","Nao",IF(IFERROR(INDEX(parametros!$H$2:$H$6,MATCH(C686,parametros!$B$2:$B$6,0)),"")="","",IF(B686&gt;=IFERROR(INDEX(parametros!$H$2:$H$6,MATCH(C686,parametros!$B$2:$B$6,0)),""),"Sim","Nao"))))))</f>
        <v/>
      </c>
      <c r="T686" s="156"/>
      <c r="U686" s="214" t="str">
        <f t="shared" si="56"/>
        <v/>
      </c>
      <c r="V686" s="212" t="s">
        <v>50</v>
      </c>
      <c r="W686" s="100" t="s">
        <v>168</v>
      </c>
      <c r="X686" s="100" t="s">
        <v>169</v>
      </c>
      <c r="Y686" s="101" t="s">
        <v>170</v>
      </c>
      <c r="Z686" s="101" t="s">
        <v>171</v>
      </c>
      <c r="AA686" s="101" t="s">
        <v>50</v>
      </c>
      <c r="AB686" s="101" t="s">
        <v>172</v>
      </c>
      <c r="AC686" s="102" t="s">
        <v>173</v>
      </c>
    </row>
    <row r="687" spans="1:29" ht="25.5" customHeight="1" x14ac:dyDescent="0.35">
      <c r="A687" s="392"/>
      <c r="B687" s="393"/>
      <c r="C687" s="99" t="str">
        <f>IF(B687="","",IF(NOT(ISNUMBER(B687)),"DATA_PC invalida",IF(NOT(ISNUMBER(parametros!$C$2)),"Fora dos ciclos",IF(OR(B687&lt;parametros!$C$2,(YEAR(B687)-YEAR(parametros!$C$2))*12+MONTH(B687)-MONTH(parametros!$C$2)&gt;59),"Fora dos ciclos","C"&amp;INT(((YEAR(B687)-YEAR(parametros!$C$2))*12+MONTH(B687)-MONTH(parametros!$C$2))/12)))))</f>
        <v/>
      </c>
      <c r="D687" s="394"/>
      <c r="E687" s="78" t="str">
        <f>IF(C687="","",IFERROR(VLOOKUP(C687,parametros!$A$11:$E$15,5,0),""))</f>
        <v/>
      </c>
      <c r="F687" s="79" t="str">
        <f t="shared" si="52"/>
        <v/>
      </c>
      <c r="G687" s="395"/>
      <c r="H687" s="91">
        <f t="shared" si="53"/>
        <v>0</v>
      </c>
      <c r="I687" s="91" t="str">
        <f t="shared" si="54"/>
        <v/>
      </c>
      <c r="J687" s="91" t="str">
        <f t="shared" si="55"/>
        <v/>
      </c>
      <c r="K687" s="92" t="str">
        <f>IF(AND(A687="",B687="",D687="",G687=""),"",IF(AND(A687&lt;&gt;"",COUNTIF($A$2:$A$5001,A687)&gt;1),"NUMERO_PC duplicado",IF(B687="","DATA_PC vazia",IF(NOT(ISNUMBER(B687)),"DATA_PC invalida",IF(OR(C687="",C687="Fora dos ciclos"),"CICLO_PC nao identificado",IF(OR(D687="",D687=0),"VALOR_PC vazio ou zero",IF(AND(G687&lt;&gt;"Sim",G687&lt;&gt;"Nao",G687&lt;&gt;""),"PC_PAGO_A_CONTRATADA invalido",IF(AND(C687&lt;&gt;"C0",IFERROR(INDEX(parametros!$A$2:$A$6,MATCH(C687,parametros!$B$2:$B$6,0)),"")="Sim",IFERROR(INDEX(parametros!$H$2:$H$6,MATCH(C687,parametros!$B$2:$B$6,0)),"")=""),"INICIO_EFEITO ausente: PC "&amp;A687&amp;" - "&amp;C687,IF(L687="","EFEITO_PC nao calculado: PC "&amp;A687&amp;" - "&amp;C687,"OK")))))))))</f>
        <v/>
      </c>
      <c r="L687" s="92" t="str">
        <f>IF(AND(A687="",B687="",D687="",G687=""),"",IF(OR(B687="",NOT(ISNUMBER(B687)),C687="",C687="Fora dos ciclos"),"",IF(C687="C0","Nao",IF(IFERROR(INDEX(parametros!$A$2:$A$6,MATCH(C687,parametros!$B$2:$B$6,0)),"")&lt;&gt;"Sim","Nao",IF(IFERROR(INDEX(parametros!$H$2:$H$6,MATCH(C687,parametros!$B$2:$B$6,0)),"")="","",IF(B687&gt;=IFERROR(INDEX(parametros!$H$2:$H$6,MATCH(C687,parametros!$B$2:$B$6,0)),""),"Sim","Nao"))))))</f>
        <v/>
      </c>
      <c r="T687" s="156"/>
      <c r="U687" s="214" t="str">
        <f t="shared" si="56"/>
        <v/>
      </c>
      <c r="V687" s="212" t="s">
        <v>50</v>
      </c>
      <c r="W687" s="100" t="s">
        <v>168</v>
      </c>
      <c r="X687" s="100" t="s">
        <v>169</v>
      </c>
      <c r="Y687" s="101" t="s">
        <v>170</v>
      </c>
      <c r="Z687" s="101" t="s">
        <v>171</v>
      </c>
      <c r="AA687" s="101" t="s">
        <v>50</v>
      </c>
      <c r="AB687" s="101" t="s">
        <v>172</v>
      </c>
      <c r="AC687" s="102" t="s">
        <v>173</v>
      </c>
    </row>
    <row r="688" spans="1:29" ht="25.5" customHeight="1" x14ac:dyDescent="0.35">
      <c r="A688" s="392"/>
      <c r="B688" s="393"/>
      <c r="C688" s="99" t="str">
        <f>IF(B688="","",IF(NOT(ISNUMBER(B688)),"DATA_PC invalida",IF(NOT(ISNUMBER(parametros!$C$2)),"Fora dos ciclos",IF(OR(B688&lt;parametros!$C$2,(YEAR(B688)-YEAR(parametros!$C$2))*12+MONTH(B688)-MONTH(parametros!$C$2)&gt;59),"Fora dos ciclos","C"&amp;INT(((YEAR(B688)-YEAR(parametros!$C$2))*12+MONTH(B688)-MONTH(parametros!$C$2))/12)))))</f>
        <v/>
      </c>
      <c r="D688" s="394"/>
      <c r="E688" s="78" t="str">
        <f>IF(C688="","",IFERROR(VLOOKUP(C688,parametros!$A$11:$E$15,5,0),""))</f>
        <v/>
      </c>
      <c r="F688" s="79" t="str">
        <f t="shared" si="52"/>
        <v/>
      </c>
      <c r="G688" s="395"/>
      <c r="H688" s="91">
        <f t="shared" si="53"/>
        <v>0</v>
      </c>
      <c r="I688" s="91" t="str">
        <f t="shared" si="54"/>
        <v/>
      </c>
      <c r="J688" s="91" t="str">
        <f t="shared" si="55"/>
        <v/>
      </c>
      <c r="K688" s="92" t="str">
        <f>IF(AND(A688="",B688="",D688="",G688=""),"",IF(AND(A688&lt;&gt;"",COUNTIF($A$2:$A$5001,A688)&gt;1),"NUMERO_PC duplicado",IF(B688="","DATA_PC vazia",IF(NOT(ISNUMBER(B688)),"DATA_PC invalida",IF(OR(C688="",C688="Fora dos ciclos"),"CICLO_PC nao identificado",IF(OR(D688="",D688=0),"VALOR_PC vazio ou zero",IF(AND(G688&lt;&gt;"Sim",G688&lt;&gt;"Nao",G688&lt;&gt;""),"PC_PAGO_A_CONTRATADA invalido",IF(AND(C688&lt;&gt;"C0",IFERROR(INDEX(parametros!$A$2:$A$6,MATCH(C688,parametros!$B$2:$B$6,0)),"")="Sim",IFERROR(INDEX(parametros!$H$2:$H$6,MATCH(C688,parametros!$B$2:$B$6,0)),"")=""),"INICIO_EFEITO ausente: PC "&amp;A688&amp;" - "&amp;C688,IF(L688="","EFEITO_PC nao calculado: PC "&amp;A688&amp;" - "&amp;C688,"OK")))))))))</f>
        <v/>
      </c>
      <c r="L688" s="92" t="str">
        <f>IF(AND(A688="",B688="",D688="",G688=""),"",IF(OR(B688="",NOT(ISNUMBER(B688)),C688="",C688="Fora dos ciclos"),"",IF(C688="C0","Nao",IF(IFERROR(INDEX(parametros!$A$2:$A$6,MATCH(C688,parametros!$B$2:$B$6,0)),"")&lt;&gt;"Sim","Nao",IF(IFERROR(INDEX(parametros!$H$2:$H$6,MATCH(C688,parametros!$B$2:$B$6,0)),"")="","",IF(B688&gt;=IFERROR(INDEX(parametros!$H$2:$H$6,MATCH(C688,parametros!$B$2:$B$6,0)),""),"Sim","Nao"))))))</f>
        <v/>
      </c>
      <c r="T688" s="156"/>
      <c r="U688" s="214" t="str">
        <f t="shared" si="56"/>
        <v/>
      </c>
      <c r="V688" s="212" t="s">
        <v>50</v>
      </c>
      <c r="W688" s="100" t="s">
        <v>168</v>
      </c>
      <c r="X688" s="100" t="s">
        <v>169</v>
      </c>
      <c r="Y688" s="101" t="s">
        <v>170</v>
      </c>
      <c r="Z688" s="101" t="s">
        <v>171</v>
      </c>
      <c r="AA688" s="101" t="s">
        <v>50</v>
      </c>
      <c r="AB688" s="101" t="s">
        <v>172</v>
      </c>
      <c r="AC688" s="102" t="s">
        <v>173</v>
      </c>
    </row>
    <row r="689" spans="1:29" ht="25.5" customHeight="1" x14ac:dyDescent="0.35">
      <c r="A689" s="392"/>
      <c r="B689" s="393"/>
      <c r="C689" s="99" t="str">
        <f>IF(B689="","",IF(NOT(ISNUMBER(B689)),"DATA_PC invalida",IF(NOT(ISNUMBER(parametros!$C$2)),"Fora dos ciclos",IF(OR(B689&lt;parametros!$C$2,(YEAR(B689)-YEAR(parametros!$C$2))*12+MONTH(B689)-MONTH(parametros!$C$2)&gt;59),"Fora dos ciclos","C"&amp;INT(((YEAR(B689)-YEAR(parametros!$C$2))*12+MONTH(B689)-MONTH(parametros!$C$2))/12)))))</f>
        <v/>
      </c>
      <c r="D689" s="394"/>
      <c r="E689" s="78" t="str">
        <f>IF(C689="","",IFERROR(VLOOKUP(C689,parametros!$A$11:$E$15,5,0),""))</f>
        <v/>
      </c>
      <c r="F689" s="79" t="str">
        <f t="shared" si="52"/>
        <v/>
      </c>
      <c r="G689" s="395"/>
      <c r="H689" s="91">
        <f t="shared" si="53"/>
        <v>0</v>
      </c>
      <c r="I689" s="91" t="str">
        <f t="shared" si="54"/>
        <v/>
      </c>
      <c r="J689" s="91" t="str">
        <f t="shared" si="55"/>
        <v/>
      </c>
      <c r="K689" s="92" t="str">
        <f>IF(AND(A689="",B689="",D689="",G689=""),"",IF(AND(A689&lt;&gt;"",COUNTIF($A$2:$A$5001,A689)&gt;1),"NUMERO_PC duplicado",IF(B689="","DATA_PC vazia",IF(NOT(ISNUMBER(B689)),"DATA_PC invalida",IF(OR(C689="",C689="Fora dos ciclos"),"CICLO_PC nao identificado",IF(OR(D689="",D689=0),"VALOR_PC vazio ou zero",IF(AND(G689&lt;&gt;"Sim",G689&lt;&gt;"Nao",G689&lt;&gt;""),"PC_PAGO_A_CONTRATADA invalido",IF(AND(C689&lt;&gt;"C0",IFERROR(INDEX(parametros!$A$2:$A$6,MATCH(C689,parametros!$B$2:$B$6,0)),"")="Sim",IFERROR(INDEX(parametros!$H$2:$H$6,MATCH(C689,parametros!$B$2:$B$6,0)),"")=""),"INICIO_EFEITO ausente: PC "&amp;A689&amp;" - "&amp;C689,IF(L689="","EFEITO_PC nao calculado: PC "&amp;A689&amp;" - "&amp;C689,"OK")))))))))</f>
        <v/>
      </c>
      <c r="L689" s="92" t="str">
        <f>IF(AND(A689="",B689="",D689="",G689=""),"",IF(OR(B689="",NOT(ISNUMBER(B689)),C689="",C689="Fora dos ciclos"),"",IF(C689="C0","Nao",IF(IFERROR(INDEX(parametros!$A$2:$A$6,MATCH(C689,parametros!$B$2:$B$6,0)),"")&lt;&gt;"Sim","Nao",IF(IFERROR(INDEX(parametros!$H$2:$H$6,MATCH(C689,parametros!$B$2:$B$6,0)),"")="","",IF(B689&gt;=IFERROR(INDEX(parametros!$H$2:$H$6,MATCH(C689,parametros!$B$2:$B$6,0)),""),"Sim","Nao"))))))</f>
        <v/>
      </c>
      <c r="T689" s="156"/>
      <c r="U689" s="214" t="str">
        <f t="shared" si="56"/>
        <v/>
      </c>
      <c r="V689" s="212" t="s">
        <v>50</v>
      </c>
      <c r="W689" s="100" t="s">
        <v>168</v>
      </c>
      <c r="X689" s="100" t="s">
        <v>169</v>
      </c>
      <c r="Y689" s="101" t="s">
        <v>170</v>
      </c>
      <c r="Z689" s="101" t="s">
        <v>171</v>
      </c>
      <c r="AA689" s="101" t="s">
        <v>50</v>
      </c>
      <c r="AB689" s="101" t="s">
        <v>172</v>
      </c>
      <c r="AC689" s="102" t="s">
        <v>173</v>
      </c>
    </row>
    <row r="690" spans="1:29" ht="25.5" customHeight="1" x14ac:dyDescent="0.35">
      <c r="A690" s="392"/>
      <c r="B690" s="393"/>
      <c r="C690" s="99" t="str">
        <f>IF(B690="","",IF(NOT(ISNUMBER(B690)),"DATA_PC invalida",IF(NOT(ISNUMBER(parametros!$C$2)),"Fora dos ciclos",IF(OR(B690&lt;parametros!$C$2,(YEAR(B690)-YEAR(parametros!$C$2))*12+MONTH(B690)-MONTH(parametros!$C$2)&gt;59),"Fora dos ciclos","C"&amp;INT(((YEAR(B690)-YEAR(parametros!$C$2))*12+MONTH(B690)-MONTH(parametros!$C$2))/12)))))</f>
        <v/>
      </c>
      <c r="D690" s="394"/>
      <c r="E690" s="78" t="str">
        <f>IF(C690="","",IFERROR(VLOOKUP(C690,parametros!$A$11:$E$15,5,0),""))</f>
        <v/>
      </c>
      <c r="F690" s="79" t="str">
        <f t="shared" si="52"/>
        <v/>
      </c>
      <c r="G690" s="395"/>
      <c r="H690" s="91">
        <f t="shared" si="53"/>
        <v>0</v>
      </c>
      <c r="I690" s="91" t="str">
        <f t="shared" si="54"/>
        <v/>
      </c>
      <c r="J690" s="91" t="str">
        <f t="shared" si="55"/>
        <v/>
      </c>
      <c r="K690" s="92" t="str">
        <f>IF(AND(A690="",B690="",D690="",G690=""),"",IF(AND(A690&lt;&gt;"",COUNTIF($A$2:$A$5001,A690)&gt;1),"NUMERO_PC duplicado",IF(B690="","DATA_PC vazia",IF(NOT(ISNUMBER(B690)),"DATA_PC invalida",IF(OR(C690="",C690="Fora dos ciclos"),"CICLO_PC nao identificado",IF(OR(D690="",D690=0),"VALOR_PC vazio ou zero",IF(AND(G690&lt;&gt;"Sim",G690&lt;&gt;"Nao",G690&lt;&gt;""),"PC_PAGO_A_CONTRATADA invalido",IF(AND(C690&lt;&gt;"C0",IFERROR(INDEX(parametros!$A$2:$A$6,MATCH(C690,parametros!$B$2:$B$6,0)),"")="Sim",IFERROR(INDEX(parametros!$H$2:$H$6,MATCH(C690,parametros!$B$2:$B$6,0)),"")=""),"INICIO_EFEITO ausente: PC "&amp;A690&amp;" - "&amp;C690,IF(L690="","EFEITO_PC nao calculado: PC "&amp;A690&amp;" - "&amp;C690,"OK")))))))))</f>
        <v/>
      </c>
      <c r="L690" s="92" t="str">
        <f>IF(AND(A690="",B690="",D690="",G690=""),"",IF(OR(B690="",NOT(ISNUMBER(B690)),C690="",C690="Fora dos ciclos"),"",IF(C690="C0","Nao",IF(IFERROR(INDEX(parametros!$A$2:$A$6,MATCH(C690,parametros!$B$2:$B$6,0)),"")&lt;&gt;"Sim","Nao",IF(IFERROR(INDEX(parametros!$H$2:$H$6,MATCH(C690,parametros!$B$2:$B$6,0)),"")="","",IF(B690&gt;=IFERROR(INDEX(parametros!$H$2:$H$6,MATCH(C690,parametros!$B$2:$B$6,0)),""),"Sim","Nao"))))))</f>
        <v/>
      </c>
      <c r="T690" s="156"/>
      <c r="U690" s="214" t="str">
        <f t="shared" si="56"/>
        <v/>
      </c>
      <c r="V690" s="212" t="s">
        <v>50</v>
      </c>
      <c r="W690" s="100" t="s">
        <v>168</v>
      </c>
      <c r="X690" s="100" t="s">
        <v>169</v>
      </c>
      <c r="Y690" s="101" t="s">
        <v>170</v>
      </c>
      <c r="Z690" s="101" t="s">
        <v>171</v>
      </c>
      <c r="AA690" s="101" t="s">
        <v>50</v>
      </c>
      <c r="AB690" s="101" t="s">
        <v>172</v>
      </c>
      <c r="AC690" s="102" t="s">
        <v>173</v>
      </c>
    </row>
    <row r="691" spans="1:29" ht="25.5" customHeight="1" x14ac:dyDescent="0.35">
      <c r="A691" s="392"/>
      <c r="B691" s="393"/>
      <c r="C691" s="99" t="str">
        <f>IF(B691="","",IF(NOT(ISNUMBER(B691)),"DATA_PC invalida",IF(NOT(ISNUMBER(parametros!$C$2)),"Fora dos ciclos",IF(OR(B691&lt;parametros!$C$2,(YEAR(B691)-YEAR(parametros!$C$2))*12+MONTH(B691)-MONTH(parametros!$C$2)&gt;59),"Fora dos ciclos","C"&amp;INT(((YEAR(B691)-YEAR(parametros!$C$2))*12+MONTH(B691)-MONTH(parametros!$C$2))/12)))))</f>
        <v/>
      </c>
      <c r="D691" s="394"/>
      <c r="E691" s="78" t="str">
        <f>IF(C691="","",IFERROR(VLOOKUP(C691,parametros!$A$11:$E$15,5,0),""))</f>
        <v/>
      </c>
      <c r="F691" s="79" t="str">
        <f t="shared" si="52"/>
        <v/>
      </c>
      <c r="G691" s="395"/>
      <c r="H691" s="91">
        <f t="shared" si="53"/>
        <v>0</v>
      </c>
      <c r="I691" s="91" t="str">
        <f t="shared" si="54"/>
        <v/>
      </c>
      <c r="J691" s="91" t="str">
        <f t="shared" si="55"/>
        <v/>
      </c>
      <c r="K691" s="92" t="str">
        <f>IF(AND(A691="",B691="",D691="",G691=""),"",IF(AND(A691&lt;&gt;"",COUNTIF($A$2:$A$5001,A691)&gt;1),"NUMERO_PC duplicado",IF(B691="","DATA_PC vazia",IF(NOT(ISNUMBER(B691)),"DATA_PC invalida",IF(OR(C691="",C691="Fora dos ciclos"),"CICLO_PC nao identificado",IF(OR(D691="",D691=0),"VALOR_PC vazio ou zero",IF(AND(G691&lt;&gt;"Sim",G691&lt;&gt;"Nao",G691&lt;&gt;""),"PC_PAGO_A_CONTRATADA invalido",IF(AND(C691&lt;&gt;"C0",IFERROR(INDEX(parametros!$A$2:$A$6,MATCH(C691,parametros!$B$2:$B$6,0)),"")="Sim",IFERROR(INDEX(parametros!$H$2:$H$6,MATCH(C691,parametros!$B$2:$B$6,0)),"")=""),"INICIO_EFEITO ausente: PC "&amp;A691&amp;" - "&amp;C691,IF(L691="","EFEITO_PC nao calculado: PC "&amp;A691&amp;" - "&amp;C691,"OK")))))))))</f>
        <v/>
      </c>
      <c r="L691" s="92" t="str">
        <f>IF(AND(A691="",B691="",D691="",G691=""),"",IF(OR(B691="",NOT(ISNUMBER(B691)),C691="",C691="Fora dos ciclos"),"",IF(C691="C0","Nao",IF(IFERROR(INDEX(parametros!$A$2:$A$6,MATCH(C691,parametros!$B$2:$B$6,0)),"")&lt;&gt;"Sim","Nao",IF(IFERROR(INDEX(parametros!$H$2:$H$6,MATCH(C691,parametros!$B$2:$B$6,0)),"")="","",IF(B691&gt;=IFERROR(INDEX(parametros!$H$2:$H$6,MATCH(C691,parametros!$B$2:$B$6,0)),""),"Sim","Nao"))))))</f>
        <v/>
      </c>
      <c r="T691" s="156"/>
      <c r="U691" s="214" t="str">
        <f t="shared" si="56"/>
        <v/>
      </c>
      <c r="V691" s="212" t="s">
        <v>50</v>
      </c>
      <c r="W691" s="100" t="s">
        <v>168</v>
      </c>
      <c r="X691" s="100" t="s">
        <v>169</v>
      </c>
      <c r="Y691" s="101" t="s">
        <v>170</v>
      </c>
      <c r="Z691" s="101" t="s">
        <v>171</v>
      </c>
      <c r="AA691" s="101" t="s">
        <v>50</v>
      </c>
      <c r="AB691" s="101" t="s">
        <v>172</v>
      </c>
      <c r="AC691" s="102" t="s">
        <v>173</v>
      </c>
    </row>
    <row r="692" spans="1:29" ht="25.5" customHeight="1" x14ac:dyDescent="0.35">
      <c r="A692" s="392"/>
      <c r="B692" s="393"/>
      <c r="C692" s="99" t="str">
        <f>IF(B692="","",IF(NOT(ISNUMBER(B692)),"DATA_PC invalida",IF(NOT(ISNUMBER(parametros!$C$2)),"Fora dos ciclos",IF(OR(B692&lt;parametros!$C$2,(YEAR(B692)-YEAR(parametros!$C$2))*12+MONTH(B692)-MONTH(parametros!$C$2)&gt;59),"Fora dos ciclos","C"&amp;INT(((YEAR(B692)-YEAR(parametros!$C$2))*12+MONTH(B692)-MONTH(parametros!$C$2))/12)))))</f>
        <v/>
      </c>
      <c r="D692" s="394"/>
      <c r="E692" s="78" t="str">
        <f>IF(C692="","",IFERROR(VLOOKUP(C692,parametros!$A$11:$E$15,5,0),""))</f>
        <v/>
      </c>
      <c r="F692" s="79" t="str">
        <f t="shared" si="52"/>
        <v/>
      </c>
      <c r="G692" s="395"/>
      <c r="H692" s="91">
        <f t="shared" si="53"/>
        <v>0</v>
      </c>
      <c r="I692" s="91" t="str">
        <f t="shared" si="54"/>
        <v/>
      </c>
      <c r="J692" s="91" t="str">
        <f t="shared" si="55"/>
        <v/>
      </c>
      <c r="K692" s="92" t="str">
        <f>IF(AND(A692="",B692="",D692="",G692=""),"",IF(AND(A692&lt;&gt;"",COUNTIF($A$2:$A$5001,A692)&gt;1),"NUMERO_PC duplicado",IF(B692="","DATA_PC vazia",IF(NOT(ISNUMBER(B692)),"DATA_PC invalida",IF(OR(C692="",C692="Fora dos ciclos"),"CICLO_PC nao identificado",IF(OR(D692="",D692=0),"VALOR_PC vazio ou zero",IF(AND(G692&lt;&gt;"Sim",G692&lt;&gt;"Nao",G692&lt;&gt;""),"PC_PAGO_A_CONTRATADA invalido",IF(AND(C692&lt;&gt;"C0",IFERROR(INDEX(parametros!$A$2:$A$6,MATCH(C692,parametros!$B$2:$B$6,0)),"")="Sim",IFERROR(INDEX(parametros!$H$2:$H$6,MATCH(C692,parametros!$B$2:$B$6,0)),"")=""),"INICIO_EFEITO ausente: PC "&amp;A692&amp;" - "&amp;C692,IF(L692="","EFEITO_PC nao calculado: PC "&amp;A692&amp;" - "&amp;C692,"OK")))))))))</f>
        <v/>
      </c>
      <c r="L692" s="92" t="str">
        <f>IF(AND(A692="",B692="",D692="",G692=""),"",IF(OR(B692="",NOT(ISNUMBER(B692)),C692="",C692="Fora dos ciclos"),"",IF(C692="C0","Nao",IF(IFERROR(INDEX(parametros!$A$2:$A$6,MATCH(C692,parametros!$B$2:$B$6,0)),"")&lt;&gt;"Sim","Nao",IF(IFERROR(INDEX(parametros!$H$2:$H$6,MATCH(C692,parametros!$B$2:$B$6,0)),"")="","",IF(B692&gt;=IFERROR(INDEX(parametros!$H$2:$H$6,MATCH(C692,parametros!$B$2:$B$6,0)),""),"Sim","Nao"))))))</f>
        <v/>
      </c>
      <c r="T692" s="156"/>
      <c r="U692" s="214" t="str">
        <f t="shared" si="56"/>
        <v/>
      </c>
      <c r="V692" s="212" t="s">
        <v>50</v>
      </c>
      <c r="W692" s="100" t="s">
        <v>168</v>
      </c>
      <c r="X692" s="100" t="s">
        <v>169</v>
      </c>
      <c r="Y692" s="101" t="s">
        <v>170</v>
      </c>
      <c r="Z692" s="101" t="s">
        <v>171</v>
      </c>
      <c r="AA692" s="101" t="s">
        <v>50</v>
      </c>
      <c r="AB692" s="101" t="s">
        <v>172</v>
      </c>
      <c r="AC692" s="102" t="s">
        <v>173</v>
      </c>
    </row>
    <row r="693" spans="1:29" ht="25.5" customHeight="1" x14ac:dyDescent="0.35">
      <c r="A693" s="392"/>
      <c r="B693" s="393"/>
      <c r="C693" s="99" t="str">
        <f>IF(B693="","",IF(NOT(ISNUMBER(B693)),"DATA_PC invalida",IF(NOT(ISNUMBER(parametros!$C$2)),"Fora dos ciclos",IF(OR(B693&lt;parametros!$C$2,(YEAR(B693)-YEAR(parametros!$C$2))*12+MONTH(B693)-MONTH(parametros!$C$2)&gt;59),"Fora dos ciclos","C"&amp;INT(((YEAR(B693)-YEAR(parametros!$C$2))*12+MONTH(B693)-MONTH(parametros!$C$2))/12)))))</f>
        <v/>
      </c>
      <c r="D693" s="394"/>
      <c r="E693" s="78" t="str">
        <f>IF(C693="","",IFERROR(VLOOKUP(C693,parametros!$A$11:$E$15,5,0),""))</f>
        <v/>
      </c>
      <c r="F693" s="79" t="str">
        <f t="shared" si="52"/>
        <v/>
      </c>
      <c r="G693" s="395"/>
      <c r="H693" s="91">
        <f t="shared" si="53"/>
        <v>0</v>
      </c>
      <c r="I693" s="91" t="str">
        <f t="shared" si="54"/>
        <v/>
      </c>
      <c r="J693" s="91" t="str">
        <f t="shared" si="55"/>
        <v/>
      </c>
      <c r="K693" s="92" t="str">
        <f>IF(AND(A693="",B693="",D693="",G693=""),"",IF(AND(A693&lt;&gt;"",COUNTIF($A$2:$A$5001,A693)&gt;1),"NUMERO_PC duplicado",IF(B693="","DATA_PC vazia",IF(NOT(ISNUMBER(B693)),"DATA_PC invalida",IF(OR(C693="",C693="Fora dos ciclos"),"CICLO_PC nao identificado",IF(OR(D693="",D693=0),"VALOR_PC vazio ou zero",IF(AND(G693&lt;&gt;"Sim",G693&lt;&gt;"Nao",G693&lt;&gt;""),"PC_PAGO_A_CONTRATADA invalido",IF(AND(C693&lt;&gt;"C0",IFERROR(INDEX(parametros!$A$2:$A$6,MATCH(C693,parametros!$B$2:$B$6,0)),"")="Sim",IFERROR(INDEX(parametros!$H$2:$H$6,MATCH(C693,parametros!$B$2:$B$6,0)),"")=""),"INICIO_EFEITO ausente: PC "&amp;A693&amp;" - "&amp;C693,IF(L693="","EFEITO_PC nao calculado: PC "&amp;A693&amp;" - "&amp;C693,"OK")))))))))</f>
        <v/>
      </c>
      <c r="L693" s="92" t="str">
        <f>IF(AND(A693="",B693="",D693="",G693=""),"",IF(OR(B693="",NOT(ISNUMBER(B693)),C693="",C693="Fora dos ciclos"),"",IF(C693="C0","Nao",IF(IFERROR(INDEX(parametros!$A$2:$A$6,MATCH(C693,parametros!$B$2:$B$6,0)),"")&lt;&gt;"Sim","Nao",IF(IFERROR(INDEX(parametros!$H$2:$H$6,MATCH(C693,parametros!$B$2:$B$6,0)),"")="","",IF(B693&gt;=IFERROR(INDEX(parametros!$H$2:$H$6,MATCH(C693,parametros!$B$2:$B$6,0)),""),"Sim","Nao"))))))</f>
        <v/>
      </c>
      <c r="T693" s="156"/>
      <c r="U693" s="214" t="str">
        <f t="shared" si="56"/>
        <v/>
      </c>
      <c r="V693" s="212" t="s">
        <v>50</v>
      </c>
      <c r="W693" s="100" t="s">
        <v>168</v>
      </c>
      <c r="X693" s="100" t="s">
        <v>169</v>
      </c>
      <c r="Y693" s="101" t="s">
        <v>170</v>
      </c>
      <c r="Z693" s="101" t="s">
        <v>171</v>
      </c>
      <c r="AA693" s="101" t="s">
        <v>50</v>
      </c>
      <c r="AB693" s="101" t="s">
        <v>172</v>
      </c>
      <c r="AC693" s="102" t="s">
        <v>173</v>
      </c>
    </row>
    <row r="694" spans="1:29" ht="25.5" customHeight="1" x14ac:dyDescent="0.35">
      <c r="A694" s="392"/>
      <c r="B694" s="393"/>
      <c r="C694" s="99" t="str">
        <f>IF(B694="","",IF(NOT(ISNUMBER(B694)),"DATA_PC invalida",IF(NOT(ISNUMBER(parametros!$C$2)),"Fora dos ciclos",IF(OR(B694&lt;parametros!$C$2,(YEAR(B694)-YEAR(parametros!$C$2))*12+MONTH(B694)-MONTH(parametros!$C$2)&gt;59),"Fora dos ciclos","C"&amp;INT(((YEAR(B694)-YEAR(parametros!$C$2))*12+MONTH(B694)-MONTH(parametros!$C$2))/12)))))</f>
        <v/>
      </c>
      <c r="D694" s="394"/>
      <c r="E694" s="78" t="str">
        <f>IF(C694="","",IFERROR(VLOOKUP(C694,parametros!$A$11:$E$15,5,0),""))</f>
        <v/>
      </c>
      <c r="F694" s="79" t="str">
        <f t="shared" si="52"/>
        <v/>
      </c>
      <c r="G694" s="395"/>
      <c r="H694" s="91">
        <f t="shared" si="53"/>
        <v>0</v>
      </c>
      <c r="I694" s="91" t="str">
        <f t="shared" si="54"/>
        <v/>
      </c>
      <c r="J694" s="91" t="str">
        <f t="shared" si="55"/>
        <v/>
      </c>
      <c r="K694" s="92" t="str">
        <f>IF(AND(A694="",B694="",D694="",G694=""),"",IF(AND(A694&lt;&gt;"",COUNTIF($A$2:$A$5001,A694)&gt;1),"NUMERO_PC duplicado",IF(B694="","DATA_PC vazia",IF(NOT(ISNUMBER(B694)),"DATA_PC invalida",IF(OR(C694="",C694="Fora dos ciclos"),"CICLO_PC nao identificado",IF(OR(D694="",D694=0),"VALOR_PC vazio ou zero",IF(AND(G694&lt;&gt;"Sim",G694&lt;&gt;"Nao",G694&lt;&gt;""),"PC_PAGO_A_CONTRATADA invalido",IF(AND(C694&lt;&gt;"C0",IFERROR(INDEX(parametros!$A$2:$A$6,MATCH(C694,parametros!$B$2:$B$6,0)),"")="Sim",IFERROR(INDEX(parametros!$H$2:$H$6,MATCH(C694,parametros!$B$2:$B$6,0)),"")=""),"INICIO_EFEITO ausente: PC "&amp;A694&amp;" - "&amp;C694,IF(L694="","EFEITO_PC nao calculado: PC "&amp;A694&amp;" - "&amp;C694,"OK")))))))))</f>
        <v/>
      </c>
      <c r="L694" s="92" t="str">
        <f>IF(AND(A694="",B694="",D694="",G694=""),"",IF(OR(B694="",NOT(ISNUMBER(B694)),C694="",C694="Fora dos ciclos"),"",IF(C694="C0","Nao",IF(IFERROR(INDEX(parametros!$A$2:$A$6,MATCH(C694,parametros!$B$2:$B$6,0)),"")&lt;&gt;"Sim","Nao",IF(IFERROR(INDEX(parametros!$H$2:$H$6,MATCH(C694,parametros!$B$2:$B$6,0)),"")="","",IF(B694&gt;=IFERROR(INDEX(parametros!$H$2:$H$6,MATCH(C694,parametros!$B$2:$B$6,0)),""),"Sim","Nao"))))))</f>
        <v/>
      </c>
      <c r="T694" s="156"/>
      <c r="U694" s="214" t="str">
        <f t="shared" si="56"/>
        <v/>
      </c>
      <c r="V694" s="212" t="s">
        <v>50</v>
      </c>
      <c r="W694" s="100" t="s">
        <v>168</v>
      </c>
      <c r="X694" s="100" t="s">
        <v>169</v>
      </c>
      <c r="Y694" s="101" t="s">
        <v>170</v>
      </c>
      <c r="Z694" s="101" t="s">
        <v>171</v>
      </c>
      <c r="AA694" s="101" t="s">
        <v>50</v>
      </c>
      <c r="AB694" s="101" t="s">
        <v>172</v>
      </c>
      <c r="AC694" s="102" t="s">
        <v>173</v>
      </c>
    </row>
    <row r="695" spans="1:29" ht="25.5" customHeight="1" x14ac:dyDescent="0.35">
      <c r="A695" s="392"/>
      <c r="B695" s="393"/>
      <c r="C695" s="99" t="str">
        <f>IF(B695="","",IF(NOT(ISNUMBER(B695)),"DATA_PC invalida",IF(NOT(ISNUMBER(parametros!$C$2)),"Fora dos ciclos",IF(OR(B695&lt;parametros!$C$2,(YEAR(B695)-YEAR(parametros!$C$2))*12+MONTH(B695)-MONTH(parametros!$C$2)&gt;59),"Fora dos ciclos","C"&amp;INT(((YEAR(B695)-YEAR(parametros!$C$2))*12+MONTH(B695)-MONTH(parametros!$C$2))/12)))))</f>
        <v/>
      </c>
      <c r="D695" s="394"/>
      <c r="E695" s="78" t="str">
        <f>IF(C695="","",IFERROR(VLOOKUP(C695,parametros!$A$11:$E$15,5,0),""))</f>
        <v/>
      </c>
      <c r="F695" s="79" t="str">
        <f t="shared" si="52"/>
        <v/>
      </c>
      <c r="G695" s="395"/>
      <c r="H695" s="91">
        <f t="shared" si="53"/>
        <v>0</v>
      </c>
      <c r="I695" s="91" t="str">
        <f t="shared" si="54"/>
        <v/>
      </c>
      <c r="J695" s="91" t="str">
        <f t="shared" si="55"/>
        <v/>
      </c>
      <c r="K695" s="92" t="str">
        <f>IF(AND(A695="",B695="",D695="",G695=""),"",IF(AND(A695&lt;&gt;"",COUNTIF($A$2:$A$5001,A695)&gt;1),"NUMERO_PC duplicado",IF(B695="","DATA_PC vazia",IF(NOT(ISNUMBER(B695)),"DATA_PC invalida",IF(OR(C695="",C695="Fora dos ciclos"),"CICLO_PC nao identificado",IF(OR(D695="",D695=0),"VALOR_PC vazio ou zero",IF(AND(G695&lt;&gt;"Sim",G695&lt;&gt;"Nao",G695&lt;&gt;""),"PC_PAGO_A_CONTRATADA invalido",IF(AND(C695&lt;&gt;"C0",IFERROR(INDEX(parametros!$A$2:$A$6,MATCH(C695,parametros!$B$2:$B$6,0)),"")="Sim",IFERROR(INDEX(parametros!$H$2:$H$6,MATCH(C695,parametros!$B$2:$B$6,0)),"")=""),"INICIO_EFEITO ausente: PC "&amp;A695&amp;" - "&amp;C695,IF(L695="","EFEITO_PC nao calculado: PC "&amp;A695&amp;" - "&amp;C695,"OK")))))))))</f>
        <v/>
      </c>
      <c r="L695" s="92" t="str">
        <f>IF(AND(A695="",B695="",D695="",G695=""),"",IF(OR(B695="",NOT(ISNUMBER(B695)),C695="",C695="Fora dos ciclos"),"",IF(C695="C0","Nao",IF(IFERROR(INDEX(parametros!$A$2:$A$6,MATCH(C695,parametros!$B$2:$B$6,0)),"")&lt;&gt;"Sim","Nao",IF(IFERROR(INDEX(parametros!$H$2:$H$6,MATCH(C695,parametros!$B$2:$B$6,0)),"")="","",IF(B695&gt;=IFERROR(INDEX(parametros!$H$2:$H$6,MATCH(C695,parametros!$B$2:$B$6,0)),""),"Sim","Nao"))))))</f>
        <v/>
      </c>
      <c r="T695" s="156"/>
      <c r="U695" s="214" t="str">
        <f t="shared" si="56"/>
        <v/>
      </c>
      <c r="V695" s="212" t="s">
        <v>50</v>
      </c>
      <c r="W695" s="100" t="s">
        <v>168</v>
      </c>
      <c r="X695" s="100" t="s">
        <v>169</v>
      </c>
      <c r="Y695" s="101" t="s">
        <v>170</v>
      </c>
      <c r="Z695" s="101" t="s">
        <v>171</v>
      </c>
      <c r="AA695" s="101" t="s">
        <v>50</v>
      </c>
      <c r="AB695" s="101" t="s">
        <v>172</v>
      </c>
      <c r="AC695" s="102" t="s">
        <v>173</v>
      </c>
    </row>
    <row r="696" spans="1:29" ht="25.5" customHeight="1" x14ac:dyDescent="0.35">
      <c r="A696" s="392"/>
      <c r="B696" s="393"/>
      <c r="C696" s="99" t="str">
        <f>IF(B696="","",IF(NOT(ISNUMBER(B696)),"DATA_PC invalida",IF(NOT(ISNUMBER(parametros!$C$2)),"Fora dos ciclos",IF(OR(B696&lt;parametros!$C$2,(YEAR(B696)-YEAR(parametros!$C$2))*12+MONTH(B696)-MONTH(parametros!$C$2)&gt;59),"Fora dos ciclos","C"&amp;INT(((YEAR(B696)-YEAR(parametros!$C$2))*12+MONTH(B696)-MONTH(parametros!$C$2))/12)))))</f>
        <v/>
      </c>
      <c r="D696" s="394"/>
      <c r="E696" s="78" t="str">
        <f>IF(C696="","",IFERROR(VLOOKUP(C696,parametros!$A$11:$E$15,5,0),""))</f>
        <v/>
      </c>
      <c r="F696" s="79" t="str">
        <f t="shared" si="52"/>
        <v/>
      </c>
      <c r="G696" s="395"/>
      <c r="H696" s="91">
        <f t="shared" si="53"/>
        <v>0</v>
      </c>
      <c r="I696" s="91" t="str">
        <f t="shared" si="54"/>
        <v/>
      </c>
      <c r="J696" s="91" t="str">
        <f t="shared" si="55"/>
        <v/>
      </c>
      <c r="K696" s="92" t="str">
        <f>IF(AND(A696="",B696="",D696="",G696=""),"",IF(AND(A696&lt;&gt;"",COUNTIF($A$2:$A$5001,A696)&gt;1),"NUMERO_PC duplicado",IF(B696="","DATA_PC vazia",IF(NOT(ISNUMBER(B696)),"DATA_PC invalida",IF(OR(C696="",C696="Fora dos ciclos"),"CICLO_PC nao identificado",IF(OR(D696="",D696=0),"VALOR_PC vazio ou zero",IF(AND(G696&lt;&gt;"Sim",G696&lt;&gt;"Nao",G696&lt;&gt;""),"PC_PAGO_A_CONTRATADA invalido",IF(AND(C696&lt;&gt;"C0",IFERROR(INDEX(parametros!$A$2:$A$6,MATCH(C696,parametros!$B$2:$B$6,0)),"")="Sim",IFERROR(INDEX(parametros!$H$2:$H$6,MATCH(C696,parametros!$B$2:$B$6,0)),"")=""),"INICIO_EFEITO ausente: PC "&amp;A696&amp;" - "&amp;C696,IF(L696="","EFEITO_PC nao calculado: PC "&amp;A696&amp;" - "&amp;C696,"OK")))))))))</f>
        <v/>
      </c>
      <c r="L696" s="92" t="str">
        <f>IF(AND(A696="",B696="",D696="",G696=""),"",IF(OR(B696="",NOT(ISNUMBER(B696)),C696="",C696="Fora dos ciclos"),"",IF(C696="C0","Nao",IF(IFERROR(INDEX(parametros!$A$2:$A$6,MATCH(C696,parametros!$B$2:$B$6,0)),"")&lt;&gt;"Sim","Nao",IF(IFERROR(INDEX(parametros!$H$2:$H$6,MATCH(C696,parametros!$B$2:$B$6,0)),"")="","",IF(B696&gt;=IFERROR(INDEX(parametros!$H$2:$H$6,MATCH(C696,parametros!$B$2:$B$6,0)),""),"Sim","Nao"))))))</f>
        <v/>
      </c>
      <c r="T696" s="156"/>
      <c r="U696" s="214" t="str">
        <f t="shared" si="56"/>
        <v/>
      </c>
      <c r="V696" s="212" t="s">
        <v>50</v>
      </c>
      <c r="W696" s="100" t="s">
        <v>168</v>
      </c>
      <c r="X696" s="100" t="s">
        <v>169</v>
      </c>
      <c r="Y696" s="101" t="s">
        <v>170</v>
      </c>
      <c r="Z696" s="101" t="s">
        <v>171</v>
      </c>
      <c r="AA696" s="101" t="s">
        <v>50</v>
      </c>
      <c r="AB696" s="101" t="s">
        <v>172</v>
      </c>
      <c r="AC696" s="102" t="s">
        <v>173</v>
      </c>
    </row>
    <row r="697" spans="1:29" ht="25.5" customHeight="1" x14ac:dyDescent="0.35">
      <c r="A697" s="392"/>
      <c r="B697" s="393"/>
      <c r="C697" s="99" t="str">
        <f>IF(B697="","",IF(NOT(ISNUMBER(B697)),"DATA_PC invalida",IF(NOT(ISNUMBER(parametros!$C$2)),"Fora dos ciclos",IF(OR(B697&lt;parametros!$C$2,(YEAR(B697)-YEAR(parametros!$C$2))*12+MONTH(B697)-MONTH(parametros!$C$2)&gt;59),"Fora dos ciclos","C"&amp;INT(((YEAR(B697)-YEAR(parametros!$C$2))*12+MONTH(B697)-MONTH(parametros!$C$2))/12)))))</f>
        <v/>
      </c>
      <c r="D697" s="394"/>
      <c r="E697" s="78" t="str">
        <f>IF(C697="","",IFERROR(VLOOKUP(C697,parametros!$A$11:$E$15,5,0),""))</f>
        <v/>
      </c>
      <c r="F697" s="79" t="str">
        <f t="shared" si="52"/>
        <v/>
      </c>
      <c r="G697" s="395"/>
      <c r="H697" s="91">
        <f t="shared" si="53"/>
        <v>0</v>
      </c>
      <c r="I697" s="91" t="str">
        <f t="shared" si="54"/>
        <v/>
      </c>
      <c r="J697" s="91" t="str">
        <f t="shared" si="55"/>
        <v/>
      </c>
      <c r="K697" s="92" t="str">
        <f>IF(AND(A697="",B697="",D697="",G697=""),"",IF(AND(A697&lt;&gt;"",COUNTIF($A$2:$A$5001,A697)&gt;1),"NUMERO_PC duplicado",IF(B697="","DATA_PC vazia",IF(NOT(ISNUMBER(B697)),"DATA_PC invalida",IF(OR(C697="",C697="Fora dos ciclos"),"CICLO_PC nao identificado",IF(OR(D697="",D697=0),"VALOR_PC vazio ou zero",IF(AND(G697&lt;&gt;"Sim",G697&lt;&gt;"Nao",G697&lt;&gt;""),"PC_PAGO_A_CONTRATADA invalido",IF(AND(C697&lt;&gt;"C0",IFERROR(INDEX(parametros!$A$2:$A$6,MATCH(C697,parametros!$B$2:$B$6,0)),"")="Sim",IFERROR(INDEX(parametros!$H$2:$H$6,MATCH(C697,parametros!$B$2:$B$6,0)),"")=""),"INICIO_EFEITO ausente: PC "&amp;A697&amp;" - "&amp;C697,IF(L697="","EFEITO_PC nao calculado: PC "&amp;A697&amp;" - "&amp;C697,"OK")))))))))</f>
        <v/>
      </c>
      <c r="L697" s="92" t="str">
        <f>IF(AND(A697="",B697="",D697="",G697=""),"",IF(OR(B697="",NOT(ISNUMBER(B697)),C697="",C697="Fora dos ciclos"),"",IF(C697="C0","Nao",IF(IFERROR(INDEX(parametros!$A$2:$A$6,MATCH(C697,parametros!$B$2:$B$6,0)),"")&lt;&gt;"Sim","Nao",IF(IFERROR(INDEX(parametros!$H$2:$H$6,MATCH(C697,parametros!$B$2:$B$6,0)),"")="","",IF(B697&gt;=IFERROR(INDEX(parametros!$H$2:$H$6,MATCH(C697,parametros!$B$2:$B$6,0)),""),"Sim","Nao"))))))</f>
        <v/>
      </c>
      <c r="T697" s="156"/>
      <c r="U697" s="214" t="str">
        <f t="shared" si="56"/>
        <v/>
      </c>
      <c r="V697" s="212" t="s">
        <v>50</v>
      </c>
      <c r="W697" s="100" t="s">
        <v>168</v>
      </c>
      <c r="X697" s="100" t="s">
        <v>169</v>
      </c>
      <c r="Y697" s="101" t="s">
        <v>170</v>
      </c>
      <c r="Z697" s="101" t="s">
        <v>171</v>
      </c>
      <c r="AA697" s="101" t="s">
        <v>50</v>
      </c>
      <c r="AB697" s="101" t="s">
        <v>172</v>
      </c>
      <c r="AC697" s="102" t="s">
        <v>173</v>
      </c>
    </row>
    <row r="698" spans="1:29" ht="25.5" customHeight="1" x14ac:dyDescent="0.35">
      <c r="A698" s="392"/>
      <c r="B698" s="393"/>
      <c r="C698" s="99" t="str">
        <f>IF(B698="","",IF(NOT(ISNUMBER(B698)),"DATA_PC invalida",IF(NOT(ISNUMBER(parametros!$C$2)),"Fora dos ciclos",IF(OR(B698&lt;parametros!$C$2,(YEAR(B698)-YEAR(parametros!$C$2))*12+MONTH(B698)-MONTH(parametros!$C$2)&gt;59),"Fora dos ciclos","C"&amp;INT(((YEAR(B698)-YEAR(parametros!$C$2))*12+MONTH(B698)-MONTH(parametros!$C$2))/12)))))</f>
        <v/>
      </c>
      <c r="D698" s="394"/>
      <c r="E698" s="78" t="str">
        <f>IF(C698="","",IFERROR(VLOOKUP(C698,parametros!$A$11:$E$15,5,0),""))</f>
        <v/>
      </c>
      <c r="F698" s="79" t="str">
        <f t="shared" si="52"/>
        <v/>
      </c>
      <c r="G698" s="395"/>
      <c r="H698" s="91">
        <f t="shared" si="53"/>
        <v>0</v>
      </c>
      <c r="I698" s="91" t="str">
        <f t="shared" si="54"/>
        <v/>
      </c>
      <c r="J698" s="91" t="str">
        <f t="shared" si="55"/>
        <v/>
      </c>
      <c r="K698" s="92" t="str">
        <f>IF(AND(A698="",B698="",D698="",G698=""),"",IF(AND(A698&lt;&gt;"",COUNTIF($A$2:$A$5001,A698)&gt;1),"NUMERO_PC duplicado",IF(B698="","DATA_PC vazia",IF(NOT(ISNUMBER(B698)),"DATA_PC invalida",IF(OR(C698="",C698="Fora dos ciclos"),"CICLO_PC nao identificado",IF(OR(D698="",D698=0),"VALOR_PC vazio ou zero",IF(AND(G698&lt;&gt;"Sim",G698&lt;&gt;"Nao",G698&lt;&gt;""),"PC_PAGO_A_CONTRATADA invalido",IF(AND(C698&lt;&gt;"C0",IFERROR(INDEX(parametros!$A$2:$A$6,MATCH(C698,parametros!$B$2:$B$6,0)),"")="Sim",IFERROR(INDEX(parametros!$H$2:$H$6,MATCH(C698,parametros!$B$2:$B$6,0)),"")=""),"INICIO_EFEITO ausente: PC "&amp;A698&amp;" - "&amp;C698,IF(L698="","EFEITO_PC nao calculado: PC "&amp;A698&amp;" - "&amp;C698,"OK")))))))))</f>
        <v/>
      </c>
      <c r="L698" s="92" t="str">
        <f>IF(AND(A698="",B698="",D698="",G698=""),"",IF(OR(B698="",NOT(ISNUMBER(B698)),C698="",C698="Fora dos ciclos"),"",IF(C698="C0","Nao",IF(IFERROR(INDEX(parametros!$A$2:$A$6,MATCH(C698,parametros!$B$2:$B$6,0)),"")&lt;&gt;"Sim","Nao",IF(IFERROR(INDEX(parametros!$H$2:$H$6,MATCH(C698,parametros!$B$2:$B$6,0)),"")="","",IF(B698&gt;=IFERROR(INDEX(parametros!$H$2:$H$6,MATCH(C698,parametros!$B$2:$B$6,0)),""),"Sim","Nao"))))))</f>
        <v/>
      </c>
      <c r="T698" s="156"/>
      <c r="U698" s="214" t="str">
        <f t="shared" si="56"/>
        <v/>
      </c>
      <c r="V698" s="212" t="s">
        <v>50</v>
      </c>
      <c r="W698" s="100" t="s">
        <v>168</v>
      </c>
      <c r="X698" s="100" t="s">
        <v>169</v>
      </c>
      <c r="Y698" s="101" t="s">
        <v>170</v>
      </c>
      <c r="Z698" s="101" t="s">
        <v>171</v>
      </c>
      <c r="AA698" s="101" t="s">
        <v>50</v>
      </c>
      <c r="AB698" s="101" t="s">
        <v>172</v>
      </c>
      <c r="AC698" s="102" t="s">
        <v>173</v>
      </c>
    </row>
    <row r="699" spans="1:29" ht="25.5" customHeight="1" x14ac:dyDescent="0.35">
      <c r="A699" s="392"/>
      <c r="B699" s="393"/>
      <c r="C699" s="99" t="str">
        <f>IF(B699="","",IF(NOT(ISNUMBER(B699)),"DATA_PC invalida",IF(NOT(ISNUMBER(parametros!$C$2)),"Fora dos ciclos",IF(OR(B699&lt;parametros!$C$2,(YEAR(B699)-YEAR(parametros!$C$2))*12+MONTH(B699)-MONTH(parametros!$C$2)&gt;59),"Fora dos ciclos","C"&amp;INT(((YEAR(B699)-YEAR(parametros!$C$2))*12+MONTH(B699)-MONTH(parametros!$C$2))/12)))))</f>
        <v/>
      </c>
      <c r="D699" s="394"/>
      <c r="E699" s="78" t="str">
        <f>IF(C699="","",IFERROR(VLOOKUP(C699,parametros!$A$11:$E$15,5,0),""))</f>
        <v/>
      </c>
      <c r="F699" s="79" t="str">
        <f t="shared" si="52"/>
        <v/>
      </c>
      <c r="G699" s="395"/>
      <c r="H699" s="91">
        <f t="shared" si="53"/>
        <v>0</v>
      </c>
      <c r="I699" s="91" t="str">
        <f t="shared" si="54"/>
        <v/>
      </c>
      <c r="J699" s="91" t="str">
        <f t="shared" si="55"/>
        <v/>
      </c>
      <c r="K699" s="92" t="str">
        <f>IF(AND(A699="",B699="",D699="",G699=""),"",IF(AND(A699&lt;&gt;"",COUNTIF($A$2:$A$5001,A699)&gt;1),"NUMERO_PC duplicado",IF(B699="","DATA_PC vazia",IF(NOT(ISNUMBER(B699)),"DATA_PC invalida",IF(OR(C699="",C699="Fora dos ciclos"),"CICLO_PC nao identificado",IF(OR(D699="",D699=0),"VALOR_PC vazio ou zero",IF(AND(G699&lt;&gt;"Sim",G699&lt;&gt;"Nao",G699&lt;&gt;""),"PC_PAGO_A_CONTRATADA invalido",IF(AND(C699&lt;&gt;"C0",IFERROR(INDEX(parametros!$A$2:$A$6,MATCH(C699,parametros!$B$2:$B$6,0)),"")="Sim",IFERROR(INDEX(parametros!$H$2:$H$6,MATCH(C699,parametros!$B$2:$B$6,0)),"")=""),"INICIO_EFEITO ausente: PC "&amp;A699&amp;" - "&amp;C699,IF(L699="","EFEITO_PC nao calculado: PC "&amp;A699&amp;" - "&amp;C699,"OK")))))))))</f>
        <v/>
      </c>
      <c r="L699" s="92" t="str">
        <f>IF(AND(A699="",B699="",D699="",G699=""),"",IF(OR(B699="",NOT(ISNUMBER(B699)),C699="",C699="Fora dos ciclos"),"",IF(C699="C0","Nao",IF(IFERROR(INDEX(parametros!$A$2:$A$6,MATCH(C699,parametros!$B$2:$B$6,0)),"")&lt;&gt;"Sim","Nao",IF(IFERROR(INDEX(parametros!$H$2:$H$6,MATCH(C699,parametros!$B$2:$B$6,0)),"")="","",IF(B699&gt;=IFERROR(INDEX(parametros!$H$2:$H$6,MATCH(C699,parametros!$B$2:$B$6,0)),""),"Sim","Nao"))))))</f>
        <v/>
      </c>
      <c r="T699" s="156"/>
      <c r="U699" s="214" t="str">
        <f t="shared" si="56"/>
        <v/>
      </c>
      <c r="V699" s="212" t="s">
        <v>50</v>
      </c>
      <c r="W699" s="100" t="s">
        <v>168</v>
      </c>
      <c r="X699" s="100" t="s">
        <v>169</v>
      </c>
      <c r="Y699" s="101" t="s">
        <v>170</v>
      </c>
      <c r="Z699" s="101" t="s">
        <v>171</v>
      </c>
      <c r="AA699" s="101" t="s">
        <v>50</v>
      </c>
      <c r="AB699" s="101" t="s">
        <v>172</v>
      </c>
      <c r="AC699" s="102" t="s">
        <v>173</v>
      </c>
    </row>
    <row r="700" spans="1:29" ht="25.5" customHeight="1" x14ac:dyDescent="0.35">
      <c r="A700" s="392"/>
      <c r="B700" s="393"/>
      <c r="C700" s="99" t="str">
        <f>IF(B700="","",IF(NOT(ISNUMBER(B700)),"DATA_PC invalida",IF(NOT(ISNUMBER(parametros!$C$2)),"Fora dos ciclos",IF(OR(B700&lt;parametros!$C$2,(YEAR(B700)-YEAR(parametros!$C$2))*12+MONTH(B700)-MONTH(parametros!$C$2)&gt;59),"Fora dos ciclos","C"&amp;INT(((YEAR(B700)-YEAR(parametros!$C$2))*12+MONTH(B700)-MONTH(parametros!$C$2))/12)))))</f>
        <v/>
      </c>
      <c r="D700" s="394"/>
      <c r="E700" s="78" t="str">
        <f>IF(C700="","",IFERROR(VLOOKUP(C700,parametros!$A$11:$E$15,5,0),""))</f>
        <v/>
      </c>
      <c r="F700" s="79" t="str">
        <f t="shared" si="52"/>
        <v/>
      </c>
      <c r="G700" s="395"/>
      <c r="H700" s="91">
        <f t="shared" si="53"/>
        <v>0</v>
      </c>
      <c r="I700" s="91" t="str">
        <f t="shared" si="54"/>
        <v/>
      </c>
      <c r="J700" s="91" t="str">
        <f t="shared" si="55"/>
        <v/>
      </c>
      <c r="K700" s="92" t="str">
        <f>IF(AND(A700="",B700="",D700="",G700=""),"",IF(AND(A700&lt;&gt;"",COUNTIF($A$2:$A$5001,A700)&gt;1),"NUMERO_PC duplicado",IF(B700="","DATA_PC vazia",IF(NOT(ISNUMBER(B700)),"DATA_PC invalida",IF(OR(C700="",C700="Fora dos ciclos"),"CICLO_PC nao identificado",IF(OR(D700="",D700=0),"VALOR_PC vazio ou zero",IF(AND(G700&lt;&gt;"Sim",G700&lt;&gt;"Nao",G700&lt;&gt;""),"PC_PAGO_A_CONTRATADA invalido",IF(AND(C700&lt;&gt;"C0",IFERROR(INDEX(parametros!$A$2:$A$6,MATCH(C700,parametros!$B$2:$B$6,0)),"")="Sim",IFERROR(INDEX(parametros!$H$2:$H$6,MATCH(C700,parametros!$B$2:$B$6,0)),"")=""),"INICIO_EFEITO ausente: PC "&amp;A700&amp;" - "&amp;C700,IF(L700="","EFEITO_PC nao calculado: PC "&amp;A700&amp;" - "&amp;C700,"OK")))))))))</f>
        <v/>
      </c>
      <c r="L700" s="92" t="str">
        <f>IF(AND(A700="",B700="",D700="",G700=""),"",IF(OR(B700="",NOT(ISNUMBER(B700)),C700="",C700="Fora dos ciclos"),"",IF(C700="C0","Nao",IF(IFERROR(INDEX(parametros!$A$2:$A$6,MATCH(C700,parametros!$B$2:$B$6,0)),"")&lt;&gt;"Sim","Nao",IF(IFERROR(INDEX(parametros!$H$2:$H$6,MATCH(C700,parametros!$B$2:$B$6,0)),"")="","",IF(B700&gt;=IFERROR(INDEX(parametros!$H$2:$H$6,MATCH(C700,parametros!$B$2:$B$6,0)),""),"Sim","Nao"))))))</f>
        <v/>
      </c>
      <c r="T700" s="156"/>
      <c r="U700" s="214" t="str">
        <f t="shared" si="56"/>
        <v/>
      </c>
      <c r="V700" s="212" t="s">
        <v>50</v>
      </c>
      <c r="W700" s="100" t="s">
        <v>168</v>
      </c>
      <c r="X700" s="100" t="s">
        <v>169</v>
      </c>
      <c r="Y700" s="101" t="s">
        <v>170</v>
      </c>
      <c r="Z700" s="101" t="s">
        <v>171</v>
      </c>
      <c r="AA700" s="101" t="s">
        <v>50</v>
      </c>
      <c r="AB700" s="101" t="s">
        <v>172</v>
      </c>
      <c r="AC700" s="102" t="s">
        <v>173</v>
      </c>
    </row>
    <row r="701" spans="1:29" ht="25.5" customHeight="1" x14ac:dyDescent="0.35">
      <c r="A701" s="392"/>
      <c r="B701" s="393"/>
      <c r="C701" s="99" t="str">
        <f>IF(B701="","",IF(NOT(ISNUMBER(B701)),"DATA_PC invalida",IF(NOT(ISNUMBER(parametros!$C$2)),"Fora dos ciclos",IF(OR(B701&lt;parametros!$C$2,(YEAR(B701)-YEAR(parametros!$C$2))*12+MONTH(B701)-MONTH(parametros!$C$2)&gt;59),"Fora dos ciclos","C"&amp;INT(((YEAR(B701)-YEAR(parametros!$C$2))*12+MONTH(B701)-MONTH(parametros!$C$2))/12)))))</f>
        <v/>
      </c>
      <c r="D701" s="394"/>
      <c r="E701" s="78" t="str">
        <f>IF(C701="","",IFERROR(VLOOKUP(C701,parametros!$A$11:$E$15,5,0),""))</f>
        <v/>
      </c>
      <c r="F701" s="79" t="str">
        <f t="shared" si="52"/>
        <v/>
      </c>
      <c r="G701" s="395"/>
      <c r="H701" s="91">
        <f t="shared" si="53"/>
        <v>0</v>
      </c>
      <c r="I701" s="91" t="str">
        <f t="shared" si="54"/>
        <v/>
      </c>
      <c r="J701" s="91" t="str">
        <f t="shared" si="55"/>
        <v/>
      </c>
      <c r="K701" s="92" t="str">
        <f>IF(AND(A701="",B701="",D701="",G701=""),"",IF(AND(A701&lt;&gt;"",COUNTIF($A$2:$A$5001,A701)&gt;1),"NUMERO_PC duplicado",IF(B701="","DATA_PC vazia",IF(NOT(ISNUMBER(B701)),"DATA_PC invalida",IF(OR(C701="",C701="Fora dos ciclos"),"CICLO_PC nao identificado",IF(OR(D701="",D701=0),"VALOR_PC vazio ou zero",IF(AND(G701&lt;&gt;"Sim",G701&lt;&gt;"Nao",G701&lt;&gt;""),"PC_PAGO_A_CONTRATADA invalido",IF(AND(C701&lt;&gt;"C0",IFERROR(INDEX(parametros!$A$2:$A$6,MATCH(C701,parametros!$B$2:$B$6,0)),"")="Sim",IFERROR(INDEX(parametros!$H$2:$H$6,MATCH(C701,parametros!$B$2:$B$6,0)),"")=""),"INICIO_EFEITO ausente: PC "&amp;A701&amp;" - "&amp;C701,IF(L701="","EFEITO_PC nao calculado: PC "&amp;A701&amp;" - "&amp;C701,"OK")))))))))</f>
        <v/>
      </c>
      <c r="L701" s="92" t="str">
        <f>IF(AND(A701="",B701="",D701="",G701=""),"",IF(OR(B701="",NOT(ISNUMBER(B701)),C701="",C701="Fora dos ciclos"),"",IF(C701="C0","Nao",IF(IFERROR(INDEX(parametros!$A$2:$A$6,MATCH(C701,parametros!$B$2:$B$6,0)),"")&lt;&gt;"Sim","Nao",IF(IFERROR(INDEX(parametros!$H$2:$H$6,MATCH(C701,parametros!$B$2:$B$6,0)),"")="","",IF(B701&gt;=IFERROR(INDEX(parametros!$H$2:$H$6,MATCH(C701,parametros!$B$2:$B$6,0)),""),"Sim","Nao"))))))</f>
        <v/>
      </c>
      <c r="T701" s="156"/>
      <c r="U701" s="214" t="str">
        <f t="shared" si="56"/>
        <v/>
      </c>
      <c r="V701" s="212" t="s">
        <v>50</v>
      </c>
      <c r="W701" s="100" t="s">
        <v>168</v>
      </c>
      <c r="X701" s="100" t="s">
        <v>169</v>
      </c>
      <c r="Y701" s="101" t="s">
        <v>170</v>
      </c>
      <c r="Z701" s="101" t="s">
        <v>171</v>
      </c>
      <c r="AA701" s="101" t="s">
        <v>50</v>
      </c>
      <c r="AB701" s="101" t="s">
        <v>172</v>
      </c>
      <c r="AC701" s="102" t="s">
        <v>173</v>
      </c>
    </row>
    <row r="702" spans="1:29" ht="25.5" customHeight="1" x14ac:dyDescent="0.35">
      <c r="A702" s="392"/>
      <c r="B702" s="393"/>
      <c r="C702" s="99" t="str">
        <f>IF(B702="","",IF(NOT(ISNUMBER(B702)),"DATA_PC invalida",IF(NOT(ISNUMBER(parametros!$C$2)),"Fora dos ciclos",IF(OR(B702&lt;parametros!$C$2,(YEAR(B702)-YEAR(parametros!$C$2))*12+MONTH(B702)-MONTH(parametros!$C$2)&gt;59),"Fora dos ciclos","C"&amp;INT(((YEAR(B702)-YEAR(parametros!$C$2))*12+MONTH(B702)-MONTH(parametros!$C$2))/12)))))</f>
        <v/>
      </c>
      <c r="D702" s="394"/>
      <c r="E702" s="78" t="str">
        <f>IF(C702="","",IFERROR(VLOOKUP(C702,parametros!$A$11:$E$15,5,0),""))</f>
        <v/>
      </c>
      <c r="F702" s="79" t="str">
        <f t="shared" si="52"/>
        <v/>
      </c>
      <c r="G702" s="395"/>
      <c r="H702" s="91">
        <f t="shared" si="53"/>
        <v>0</v>
      </c>
      <c r="I702" s="91" t="str">
        <f t="shared" si="54"/>
        <v/>
      </c>
      <c r="J702" s="91" t="str">
        <f t="shared" si="55"/>
        <v/>
      </c>
      <c r="K702" s="92" t="str">
        <f>IF(AND(A702="",B702="",D702="",G702=""),"",IF(AND(A702&lt;&gt;"",COUNTIF($A$2:$A$5001,A702)&gt;1),"NUMERO_PC duplicado",IF(B702="","DATA_PC vazia",IF(NOT(ISNUMBER(B702)),"DATA_PC invalida",IF(OR(C702="",C702="Fora dos ciclos"),"CICLO_PC nao identificado",IF(OR(D702="",D702=0),"VALOR_PC vazio ou zero",IF(AND(G702&lt;&gt;"Sim",G702&lt;&gt;"Nao",G702&lt;&gt;""),"PC_PAGO_A_CONTRATADA invalido",IF(AND(C702&lt;&gt;"C0",IFERROR(INDEX(parametros!$A$2:$A$6,MATCH(C702,parametros!$B$2:$B$6,0)),"")="Sim",IFERROR(INDEX(parametros!$H$2:$H$6,MATCH(C702,parametros!$B$2:$B$6,0)),"")=""),"INICIO_EFEITO ausente: PC "&amp;A702&amp;" - "&amp;C702,IF(L702="","EFEITO_PC nao calculado: PC "&amp;A702&amp;" - "&amp;C702,"OK")))))))))</f>
        <v/>
      </c>
      <c r="L702" s="92" t="str">
        <f>IF(AND(A702="",B702="",D702="",G702=""),"",IF(OR(B702="",NOT(ISNUMBER(B702)),C702="",C702="Fora dos ciclos"),"",IF(C702="C0","Nao",IF(IFERROR(INDEX(parametros!$A$2:$A$6,MATCH(C702,parametros!$B$2:$B$6,0)),"")&lt;&gt;"Sim","Nao",IF(IFERROR(INDEX(parametros!$H$2:$H$6,MATCH(C702,parametros!$B$2:$B$6,0)),"")="","",IF(B702&gt;=IFERROR(INDEX(parametros!$H$2:$H$6,MATCH(C702,parametros!$B$2:$B$6,0)),""),"Sim","Nao"))))))</f>
        <v/>
      </c>
      <c r="T702" s="156"/>
      <c r="U702" s="214" t="str">
        <f t="shared" si="56"/>
        <v/>
      </c>
      <c r="V702" s="212" t="s">
        <v>50</v>
      </c>
      <c r="W702" s="100" t="s">
        <v>168</v>
      </c>
      <c r="X702" s="100" t="s">
        <v>169</v>
      </c>
      <c r="Y702" s="101" t="s">
        <v>170</v>
      </c>
      <c r="Z702" s="101" t="s">
        <v>171</v>
      </c>
      <c r="AA702" s="101" t="s">
        <v>50</v>
      </c>
      <c r="AB702" s="101" t="s">
        <v>172</v>
      </c>
      <c r="AC702" s="102" t="s">
        <v>173</v>
      </c>
    </row>
    <row r="703" spans="1:29" ht="25.5" customHeight="1" x14ac:dyDescent="0.35">
      <c r="A703" s="392"/>
      <c r="B703" s="393"/>
      <c r="C703" s="99" t="str">
        <f>IF(B703="","",IF(NOT(ISNUMBER(B703)),"DATA_PC invalida",IF(NOT(ISNUMBER(parametros!$C$2)),"Fora dos ciclos",IF(OR(B703&lt;parametros!$C$2,(YEAR(B703)-YEAR(parametros!$C$2))*12+MONTH(B703)-MONTH(parametros!$C$2)&gt;59),"Fora dos ciclos","C"&amp;INT(((YEAR(B703)-YEAR(parametros!$C$2))*12+MONTH(B703)-MONTH(parametros!$C$2))/12)))))</f>
        <v/>
      </c>
      <c r="D703" s="394"/>
      <c r="E703" s="78" t="str">
        <f>IF(C703="","",IFERROR(VLOOKUP(C703,parametros!$A$11:$E$15,5,0),""))</f>
        <v/>
      </c>
      <c r="F703" s="79" t="str">
        <f t="shared" si="52"/>
        <v/>
      </c>
      <c r="G703" s="395"/>
      <c r="H703" s="91">
        <f t="shared" si="53"/>
        <v>0</v>
      </c>
      <c r="I703" s="91" t="str">
        <f t="shared" si="54"/>
        <v/>
      </c>
      <c r="J703" s="91" t="str">
        <f t="shared" si="55"/>
        <v/>
      </c>
      <c r="K703" s="92" t="str">
        <f>IF(AND(A703="",B703="",D703="",G703=""),"",IF(AND(A703&lt;&gt;"",COUNTIF($A$2:$A$5001,A703)&gt;1),"NUMERO_PC duplicado",IF(B703="","DATA_PC vazia",IF(NOT(ISNUMBER(B703)),"DATA_PC invalida",IF(OR(C703="",C703="Fora dos ciclos"),"CICLO_PC nao identificado",IF(OR(D703="",D703=0),"VALOR_PC vazio ou zero",IF(AND(G703&lt;&gt;"Sim",G703&lt;&gt;"Nao",G703&lt;&gt;""),"PC_PAGO_A_CONTRATADA invalido",IF(AND(C703&lt;&gt;"C0",IFERROR(INDEX(parametros!$A$2:$A$6,MATCH(C703,parametros!$B$2:$B$6,0)),"")="Sim",IFERROR(INDEX(parametros!$H$2:$H$6,MATCH(C703,parametros!$B$2:$B$6,0)),"")=""),"INICIO_EFEITO ausente: PC "&amp;A703&amp;" - "&amp;C703,IF(L703="","EFEITO_PC nao calculado: PC "&amp;A703&amp;" - "&amp;C703,"OK")))))))))</f>
        <v/>
      </c>
      <c r="L703" s="92" t="str">
        <f>IF(AND(A703="",B703="",D703="",G703=""),"",IF(OR(B703="",NOT(ISNUMBER(B703)),C703="",C703="Fora dos ciclos"),"",IF(C703="C0","Nao",IF(IFERROR(INDEX(parametros!$A$2:$A$6,MATCH(C703,parametros!$B$2:$B$6,0)),"")&lt;&gt;"Sim","Nao",IF(IFERROR(INDEX(parametros!$H$2:$H$6,MATCH(C703,parametros!$B$2:$B$6,0)),"")="","",IF(B703&gt;=IFERROR(INDEX(parametros!$H$2:$H$6,MATCH(C703,parametros!$B$2:$B$6,0)),""),"Sim","Nao"))))))</f>
        <v/>
      </c>
      <c r="T703" s="156"/>
      <c r="U703" s="214" t="str">
        <f t="shared" si="56"/>
        <v/>
      </c>
      <c r="V703" s="212" t="s">
        <v>50</v>
      </c>
      <c r="W703" s="100" t="s">
        <v>168</v>
      </c>
      <c r="X703" s="100" t="s">
        <v>169</v>
      </c>
      <c r="Y703" s="101" t="s">
        <v>170</v>
      </c>
      <c r="Z703" s="101" t="s">
        <v>171</v>
      </c>
      <c r="AA703" s="101" t="s">
        <v>50</v>
      </c>
      <c r="AB703" s="101" t="s">
        <v>172</v>
      </c>
      <c r="AC703" s="102" t="s">
        <v>173</v>
      </c>
    </row>
    <row r="704" spans="1:29" ht="25.5" customHeight="1" x14ac:dyDescent="0.35">
      <c r="A704" s="392"/>
      <c r="B704" s="393"/>
      <c r="C704" s="99" t="str">
        <f>IF(B704="","",IF(NOT(ISNUMBER(B704)),"DATA_PC invalida",IF(NOT(ISNUMBER(parametros!$C$2)),"Fora dos ciclos",IF(OR(B704&lt;parametros!$C$2,(YEAR(B704)-YEAR(parametros!$C$2))*12+MONTH(B704)-MONTH(parametros!$C$2)&gt;59),"Fora dos ciclos","C"&amp;INT(((YEAR(B704)-YEAR(parametros!$C$2))*12+MONTH(B704)-MONTH(parametros!$C$2))/12)))))</f>
        <v/>
      </c>
      <c r="D704" s="394"/>
      <c r="E704" s="78" t="str">
        <f>IF(C704="","",IFERROR(VLOOKUP(C704,parametros!$A$11:$E$15,5,0),""))</f>
        <v/>
      </c>
      <c r="F704" s="79" t="str">
        <f t="shared" si="52"/>
        <v/>
      </c>
      <c r="G704" s="395"/>
      <c r="H704" s="91">
        <f t="shared" si="53"/>
        <v>0</v>
      </c>
      <c r="I704" s="91" t="str">
        <f t="shared" si="54"/>
        <v/>
      </c>
      <c r="J704" s="91" t="str">
        <f t="shared" si="55"/>
        <v/>
      </c>
      <c r="K704" s="92" t="str">
        <f>IF(AND(A704="",B704="",D704="",G704=""),"",IF(AND(A704&lt;&gt;"",COUNTIF($A$2:$A$5001,A704)&gt;1),"NUMERO_PC duplicado",IF(B704="","DATA_PC vazia",IF(NOT(ISNUMBER(B704)),"DATA_PC invalida",IF(OR(C704="",C704="Fora dos ciclos"),"CICLO_PC nao identificado",IF(OR(D704="",D704=0),"VALOR_PC vazio ou zero",IF(AND(G704&lt;&gt;"Sim",G704&lt;&gt;"Nao",G704&lt;&gt;""),"PC_PAGO_A_CONTRATADA invalido",IF(AND(C704&lt;&gt;"C0",IFERROR(INDEX(parametros!$A$2:$A$6,MATCH(C704,parametros!$B$2:$B$6,0)),"")="Sim",IFERROR(INDEX(parametros!$H$2:$H$6,MATCH(C704,parametros!$B$2:$B$6,0)),"")=""),"INICIO_EFEITO ausente: PC "&amp;A704&amp;" - "&amp;C704,IF(L704="","EFEITO_PC nao calculado: PC "&amp;A704&amp;" - "&amp;C704,"OK")))))))))</f>
        <v/>
      </c>
      <c r="L704" s="92" t="str">
        <f>IF(AND(A704="",B704="",D704="",G704=""),"",IF(OR(B704="",NOT(ISNUMBER(B704)),C704="",C704="Fora dos ciclos"),"",IF(C704="C0","Nao",IF(IFERROR(INDEX(parametros!$A$2:$A$6,MATCH(C704,parametros!$B$2:$B$6,0)),"")&lt;&gt;"Sim","Nao",IF(IFERROR(INDEX(parametros!$H$2:$H$6,MATCH(C704,parametros!$B$2:$B$6,0)),"")="","",IF(B704&gt;=IFERROR(INDEX(parametros!$H$2:$H$6,MATCH(C704,parametros!$B$2:$B$6,0)),""),"Sim","Nao"))))))</f>
        <v/>
      </c>
      <c r="T704" s="156"/>
      <c r="U704" s="214" t="str">
        <f t="shared" si="56"/>
        <v/>
      </c>
      <c r="V704" s="212" t="s">
        <v>50</v>
      </c>
      <c r="W704" s="100" t="s">
        <v>168</v>
      </c>
      <c r="X704" s="100" t="s">
        <v>169</v>
      </c>
      <c r="Y704" s="101" t="s">
        <v>170</v>
      </c>
      <c r="Z704" s="101" t="s">
        <v>171</v>
      </c>
      <c r="AA704" s="101" t="s">
        <v>50</v>
      </c>
      <c r="AB704" s="101" t="s">
        <v>172</v>
      </c>
      <c r="AC704" s="102" t="s">
        <v>173</v>
      </c>
    </row>
    <row r="705" spans="1:29" ht="25.5" customHeight="1" x14ac:dyDescent="0.35">
      <c r="A705" s="392"/>
      <c r="B705" s="393"/>
      <c r="C705" s="99" t="str">
        <f>IF(B705="","",IF(NOT(ISNUMBER(B705)),"DATA_PC invalida",IF(NOT(ISNUMBER(parametros!$C$2)),"Fora dos ciclos",IF(OR(B705&lt;parametros!$C$2,(YEAR(B705)-YEAR(parametros!$C$2))*12+MONTH(B705)-MONTH(parametros!$C$2)&gt;59),"Fora dos ciclos","C"&amp;INT(((YEAR(B705)-YEAR(parametros!$C$2))*12+MONTH(B705)-MONTH(parametros!$C$2))/12)))))</f>
        <v/>
      </c>
      <c r="D705" s="394"/>
      <c r="E705" s="78" t="str">
        <f>IF(C705="","",IFERROR(VLOOKUP(C705,parametros!$A$11:$E$15,5,0),""))</f>
        <v/>
      </c>
      <c r="F705" s="79" t="str">
        <f t="shared" si="52"/>
        <v/>
      </c>
      <c r="G705" s="395"/>
      <c r="H705" s="91">
        <f t="shared" si="53"/>
        <v>0</v>
      </c>
      <c r="I705" s="91" t="str">
        <f t="shared" si="54"/>
        <v/>
      </c>
      <c r="J705" s="91" t="str">
        <f t="shared" si="55"/>
        <v/>
      </c>
      <c r="K705" s="92" t="str">
        <f>IF(AND(A705="",B705="",D705="",G705=""),"",IF(AND(A705&lt;&gt;"",COUNTIF($A$2:$A$5001,A705)&gt;1),"NUMERO_PC duplicado",IF(B705="","DATA_PC vazia",IF(NOT(ISNUMBER(B705)),"DATA_PC invalida",IF(OR(C705="",C705="Fora dos ciclos"),"CICLO_PC nao identificado",IF(OR(D705="",D705=0),"VALOR_PC vazio ou zero",IF(AND(G705&lt;&gt;"Sim",G705&lt;&gt;"Nao",G705&lt;&gt;""),"PC_PAGO_A_CONTRATADA invalido",IF(AND(C705&lt;&gt;"C0",IFERROR(INDEX(parametros!$A$2:$A$6,MATCH(C705,parametros!$B$2:$B$6,0)),"")="Sim",IFERROR(INDEX(parametros!$H$2:$H$6,MATCH(C705,parametros!$B$2:$B$6,0)),"")=""),"INICIO_EFEITO ausente: PC "&amp;A705&amp;" - "&amp;C705,IF(L705="","EFEITO_PC nao calculado: PC "&amp;A705&amp;" - "&amp;C705,"OK")))))))))</f>
        <v/>
      </c>
      <c r="L705" s="92" t="str">
        <f>IF(AND(A705="",B705="",D705="",G705=""),"",IF(OR(B705="",NOT(ISNUMBER(B705)),C705="",C705="Fora dos ciclos"),"",IF(C705="C0","Nao",IF(IFERROR(INDEX(parametros!$A$2:$A$6,MATCH(C705,parametros!$B$2:$B$6,0)),"")&lt;&gt;"Sim","Nao",IF(IFERROR(INDEX(parametros!$H$2:$H$6,MATCH(C705,parametros!$B$2:$B$6,0)),"")="","",IF(B705&gt;=IFERROR(INDEX(parametros!$H$2:$H$6,MATCH(C705,parametros!$B$2:$B$6,0)),""),"Sim","Nao"))))))</f>
        <v/>
      </c>
      <c r="T705" s="156"/>
      <c r="U705" s="214" t="str">
        <f t="shared" si="56"/>
        <v/>
      </c>
      <c r="V705" s="212" t="s">
        <v>50</v>
      </c>
      <c r="W705" s="100" t="s">
        <v>168</v>
      </c>
      <c r="X705" s="100" t="s">
        <v>169</v>
      </c>
      <c r="Y705" s="101" t="s">
        <v>170</v>
      </c>
      <c r="Z705" s="101" t="s">
        <v>171</v>
      </c>
      <c r="AA705" s="101" t="s">
        <v>50</v>
      </c>
      <c r="AB705" s="101" t="s">
        <v>172</v>
      </c>
      <c r="AC705" s="102" t="s">
        <v>173</v>
      </c>
    </row>
    <row r="706" spans="1:29" ht="25.5" customHeight="1" x14ac:dyDescent="0.35">
      <c r="A706" s="392"/>
      <c r="B706" s="393"/>
      <c r="C706" s="99" t="str">
        <f>IF(B706="","",IF(NOT(ISNUMBER(B706)),"DATA_PC invalida",IF(NOT(ISNUMBER(parametros!$C$2)),"Fora dos ciclos",IF(OR(B706&lt;parametros!$C$2,(YEAR(B706)-YEAR(parametros!$C$2))*12+MONTH(B706)-MONTH(parametros!$C$2)&gt;59),"Fora dos ciclos","C"&amp;INT(((YEAR(B706)-YEAR(parametros!$C$2))*12+MONTH(B706)-MONTH(parametros!$C$2))/12)))))</f>
        <v/>
      </c>
      <c r="D706" s="394"/>
      <c r="E706" s="78" t="str">
        <f>IF(C706="","",IFERROR(VLOOKUP(C706,parametros!$A$11:$E$15,5,0),""))</f>
        <v/>
      </c>
      <c r="F706" s="79" t="str">
        <f t="shared" ref="F706:F769" si="57">IF(OR(D706="",E706=""),"",ROUND(D706*E706,2))</f>
        <v/>
      </c>
      <c r="G706" s="395"/>
      <c r="H706" s="91">
        <f t="shared" ref="H706:H769" si="58">IF(G706="Sim",IF(OR(F706="",D706="",L706=""),"",IF(L706="Sim",ROUND(F706-D706,2),0)),0)</f>
        <v>0</v>
      </c>
      <c r="I706" s="91" t="str">
        <f t="shared" ref="I706:I769" si="59">IF(G706="Sim",0,IF(OR(F706="",L706=""),"",F706))</f>
        <v/>
      </c>
      <c r="J706" s="91" t="str">
        <f t="shared" ref="J706:J769" si="60">IF(G706="Sim",0,IF(OR(F706="",D706="",L706=""),"",IF(L706="Sim",ROUND(F706-D706,2),0)))</f>
        <v/>
      </c>
      <c r="K706" s="92" t="str">
        <f>IF(AND(A706="",B706="",D706="",G706=""),"",IF(AND(A706&lt;&gt;"",COUNTIF($A$2:$A$5001,A706)&gt;1),"NUMERO_PC duplicado",IF(B706="","DATA_PC vazia",IF(NOT(ISNUMBER(B706)),"DATA_PC invalida",IF(OR(C706="",C706="Fora dos ciclos"),"CICLO_PC nao identificado",IF(OR(D706="",D706=0),"VALOR_PC vazio ou zero",IF(AND(G706&lt;&gt;"Sim",G706&lt;&gt;"Nao",G706&lt;&gt;""),"PC_PAGO_A_CONTRATADA invalido",IF(AND(C706&lt;&gt;"C0",IFERROR(INDEX(parametros!$A$2:$A$6,MATCH(C706,parametros!$B$2:$B$6,0)),"")="Sim",IFERROR(INDEX(parametros!$H$2:$H$6,MATCH(C706,parametros!$B$2:$B$6,0)),"")=""),"INICIO_EFEITO ausente: PC "&amp;A706&amp;" - "&amp;C706,IF(L706="","EFEITO_PC nao calculado: PC "&amp;A706&amp;" - "&amp;C706,"OK")))))))))</f>
        <v/>
      </c>
      <c r="L706" s="92" t="str">
        <f>IF(AND(A706="",B706="",D706="",G706=""),"",IF(OR(B706="",NOT(ISNUMBER(B706)),C706="",C706="Fora dos ciclos"),"",IF(C706="C0","Nao",IF(IFERROR(INDEX(parametros!$A$2:$A$6,MATCH(C706,parametros!$B$2:$B$6,0)),"")&lt;&gt;"Sim","Nao",IF(IFERROR(INDEX(parametros!$H$2:$H$6,MATCH(C706,parametros!$B$2:$B$6,0)),"")="","",IF(B706&gt;=IFERROR(INDEX(parametros!$H$2:$H$6,MATCH(C706,parametros!$B$2:$B$6,0)),""),"Sim","Nao"))))))</f>
        <v/>
      </c>
      <c r="T706" s="156"/>
      <c r="U706" s="214" t="str">
        <f t="shared" ref="U706:U769" si="61">IF(OR($D706="",$H706=""),"",ROUND($D706+$H706,2))</f>
        <v/>
      </c>
      <c r="V706" s="212" t="s">
        <v>50</v>
      </c>
      <c r="W706" s="100" t="s">
        <v>168</v>
      </c>
      <c r="X706" s="100" t="s">
        <v>169</v>
      </c>
      <c r="Y706" s="101" t="s">
        <v>170</v>
      </c>
      <c r="Z706" s="101" t="s">
        <v>171</v>
      </c>
      <c r="AA706" s="101" t="s">
        <v>50</v>
      </c>
      <c r="AB706" s="101" t="s">
        <v>172</v>
      </c>
      <c r="AC706" s="102" t="s">
        <v>173</v>
      </c>
    </row>
    <row r="707" spans="1:29" ht="25.5" customHeight="1" x14ac:dyDescent="0.35">
      <c r="A707" s="392"/>
      <c r="B707" s="393"/>
      <c r="C707" s="99" t="str">
        <f>IF(B707="","",IF(NOT(ISNUMBER(B707)),"DATA_PC invalida",IF(NOT(ISNUMBER(parametros!$C$2)),"Fora dos ciclos",IF(OR(B707&lt;parametros!$C$2,(YEAR(B707)-YEAR(parametros!$C$2))*12+MONTH(B707)-MONTH(parametros!$C$2)&gt;59),"Fora dos ciclos","C"&amp;INT(((YEAR(B707)-YEAR(parametros!$C$2))*12+MONTH(B707)-MONTH(parametros!$C$2))/12)))))</f>
        <v/>
      </c>
      <c r="D707" s="394"/>
      <c r="E707" s="78" t="str">
        <f>IF(C707="","",IFERROR(VLOOKUP(C707,parametros!$A$11:$E$15,5,0),""))</f>
        <v/>
      </c>
      <c r="F707" s="79" t="str">
        <f t="shared" si="57"/>
        <v/>
      </c>
      <c r="G707" s="395"/>
      <c r="H707" s="91">
        <f t="shared" si="58"/>
        <v>0</v>
      </c>
      <c r="I707" s="91" t="str">
        <f t="shared" si="59"/>
        <v/>
      </c>
      <c r="J707" s="91" t="str">
        <f t="shared" si="60"/>
        <v/>
      </c>
      <c r="K707" s="92" t="str">
        <f>IF(AND(A707="",B707="",D707="",G707=""),"",IF(AND(A707&lt;&gt;"",COUNTIF($A$2:$A$5001,A707)&gt;1),"NUMERO_PC duplicado",IF(B707="","DATA_PC vazia",IF(NOT(ISNUMBER(B707)),"DATA_PC invalida",IF(OR(C707="",C707="Fora dos ciclos"),"CICLO_PC nao identificado",IF(OR(D707="",D707=0),"VALOR_PC vazio ou zero",IF(AND(G707&lt;&gt;"Sim",G707&lt;&gt;"Nao",G707&lt;&gt;""),"PC_PAGO_A_CONTRATADA invalido",IF(AND(C707&lt;&gt;"C0",IFERROR(INDEX(parametros!$A$2:$A$6,MATCH(C707,parametros!$B$2:$B$6,0)),"")="Sim",IFERROR(INDEX(parametros!$H$2:$H$6,MATCH(C707,parametros!$B$2:$B$6,0)),"")=""),"INICIO_EFEITO ausente: PC "&amp;A707&amp;" - "&amp;C707,IF(L707="","EFEITO_PC nao calculado: PC "&amp;A707&amp;" - "&amp;C707,"OK")))))))))</f>
        <v/>
      </c>
      <c r="L707" s="92" t="str">
        <f>IF(AND(A707="",B707="",D707="",G707=""),"",IF(OR(B707="",NOT(ISNUMBER(B707)),C707="",C707="Fora dos ciclos"),"",IF(C707="C0","Nao",IF(IFERROR(INDEX(parametros!$A$2:$A$6,MATCH(C707,parametros!$B$2:$B$6,0)),"")&lt;&gt;"Sim","Nao",IF(IFERROR(INDEX(parametros!$H$2:$H$6,MATCH(C707,parametros!$B$2:$B$6,0)),"")="","",IF(B707&gt;=IFERROR(INDEX(parametros!$H$2:$H$6,MATCH(C707,parametros!$B$2:$B$6,0)),""),"Sim","Nao"))))))</f>
        <v/>
      </c>
      <c r="T707" s="156"/>
      <c r="U707" s="214" t="str">
        <f t="shared" si="61"/>
        <v/>
      </c>
      <c r="V707" s="212" t="s">
        <v>50</v>
      </c>
      <c r="W707" s="100" t="s">
        <v>168</v>
      </c>
      <c r="X707" s="100" t="s">
        <v>169</v>
      </c>
      <c r="Y707" s="101" t="s">
        <v>170</v>
      </c>
      <c r="Z707" s="101" t="s">
        <v>171</v>
      </c>
      <c r="AA707" s="101" t="s">
        <v>50</v>
      </c>
      <c r="AB707" s="101" t="s">
        <v>172</v>
      </c>
      <c r="AC707" s="102" t="s">
        <v>173</v>
      </c>
    </row>
    <row r="708" spans="1:29" ht="25.5" customHeight="1" x14ac:dyDescent="0.35">
      <c r="A708" s="392"/>
      <c r="B708" s="393"/>
      <c r="C708" s="99" t="str">
        <f>IF(B708="","",IF(NOT(ISNUMBER(B708)),"DATA_PC invalida",IF(NOT(ISNUMBER(parametros!$C$2)),"Fora dos ciclos",IF(OR(B708&lt;parametros!$C$2,(YEAR(B708)-YEAR(parametros!$C$2))*12+MONTH(B708)-MONTH(parametros!$C$2)&gt;59),"Fora dos ciclos","C"&amp;INT(((YEAR(B708)-YEAR(parametros!$C$2))*12+MONTH(B708)-MONTH(parametros!$C$2))/12)))))</f>
        <v/>
      </c>
      <c r="D708" s="394"/>
      <c r="E708" s="78" t="str">
        <f>IF(C708="","",IFERROR(VLOOKUP(C708,parametros!$A$11:$E$15,5,0),""))</f>
        <v/>
      </c>
      <c r="F708" s="79" t="str">
        <f t="shared" si="57"/>
        <v/>
      </c>
      <c r="G708" s="395"/>
      <c r="H708" s="91">
        <f t="shared" si="58"/>
        <v>0</v>
      </c>
      <c r="I708" s="91" t="str">
        <f t="shared" si="59"/>
        <v/>
      </c>
      <c r="J708" s="91" t="str">
        <f t="shared" si="60"/>
        <v/>
      </c>
      <c r="K708" s="92" t="str">
        <f>IF(AND(A708="",B708="",D708="",G708=""),"",IF(AND(A708&lt;&gt;"",COUNTIF($A$2:$A$5001,A708)&gt;1),"NUMERO_PC duplicado",IF(B708="","DATA_PC vazia",IF(NOT(ISNUMBER(B708)),"DATA_PC invalida",IF(OR(C708="",C708="Fora dos ciclos"),"CICLO_PC nao identificado",IF(OR(D708="",D708=0),"VALOR_PC vazio ou zero",IF(AND(G708&lt;&gt;"Sim",G708&lt;&gt;"Nao",G708&lt;&gt;""),"PC_PAGO_A_CONTRATADA invalido",IF(AND(C708&lt;&gt;"C0",IFERROR(INDEX(parametros!$A$2:$A$6,MATCH(C708,parametros!$B$2:$B$6,0)),"")="Sim",IFERROR(INDEX(parametros!$H$2:$H$6,MATCH(C708,parametros!$B$2:$B$6,0)),"")=""),"INICIO_EFEITO ausente: PC "&amp;A708&amp;" - "&amp;C708,IF(L708="","EFEITO_PC nao calculado: PC "&amp;A708&amp;" - "&amp;C708,"OK")))))))))</f>
        <v/>
      </c>
      <c r="L708" s="92" t="str">
        <f>IF(AND(A708="",B708="",D708="",G708=""),"",IF(OR(B708="",NOT(ISNUMBER(B708)),C708="",C708="Fora dos ciclos"),"",IF(C708="C0","Nao",IF(IFERROR(INDEX(parametros!$A$2:$A$6,MATCH(C708,parametros!$B$2:$B$6,0)),"")&lt;&gt;"Sim","Nao",IF(IFERROR(INDEX(parametros!$H$2:$H$6,MATCH(C708,parametros!$B$2:$B$6,0)),"")="","",IF(B708&gt;=IFERROR(INDEX(parametros!$H$2:$H$6,MATCH(C708,parametros!$B$2:$B$6,0)),""),"Sim","Nao"))))))</f>
        <v/>
      </c>
      <c r="T708" s="156"/>
      <c r="U708" s="214" t="str">
        <f t="shared" si="61"/>
        <v/>
      </c>
      <c r="V708" s="212" t="s">
        <v>50</v>
      </c>
      <c r="W708" s="100" t="s">
        <v>168</v>
      </c>
      <c r="X708" s="100" t="s">
        <v>169</v>
      </c>
      <c r="Y708" s="101" t="s">
        <v>170</v>
      </c>
      <c r="Z708" s="101" t="s">
        <v>171</v>
      </c>
      <c r="AA708" s="101" t="s">
        <v>50</v>
      </c>
      <c r="AB708" s="101" t="s">
        <v>172</v>
      </c>
      <c r="AC708" s="102" t="s">
        <v>173</v>
      </c>
    </row>
    <row r="709" spans="1:29" ht="25.5" customHeight="1" x14ac:dyDescent="0.35">
      <c r="A709" s="392"/>
      <c r="B709" s="393"/>
      <c r="C709" s="99" t="str">
        <f>IF(B709="","",IF(NOT(ISNUMBER(B709)),"DATA_PC invalida",IF(NOT(ISNUMBER(parametros!$C$2)),"Fora dos ciclos",IF(OR(B709&lt;parametros!$C$2,(YEAR(B709)-YEAR(parametros!$C$2))*12+MONTH(B709)-MONTH(parametros!$C$2)&gt;59),"Fora dos ciclos","C"&amp;INT(((YEAR(B709)-YEAR(parametros!$C$2))*12+MONTH(B709)-MONTH(parametros!$C$2))/12)))))</f>
        <v/>
      </c>
      <c r="D709" s="394"/>
      <c r="E709" s="78" t="str">
        <f>IF(C709="","",IFERROR(VLOOKUP(C709,parametros!$A$11:$E$15,5,0),""))</f>
        <v/>
      </c>
      <c r="F709" s="79" t="str">
        <f t="shared" si="57"/>
        <v/>
      </c>
      <c r="G709" s="395"/>
      <c r="H709" s="91">
        <f t="shared" si="58"/>
        <v>0</v>
      </c>
      <c r="I709" s="91" t="str">
        <f t="shared" si="59"/>
        <v/>
      </c>
      <c r="J709" s="91" t="str">
        <f t="shared" si="60"/>
        <v/>
      </c>
      <c r="K709" s="92" t="str">
        <f>IF(AND(A709="",B709="",D709="",G709=""),"",IF(AND(A709&lt;&gt;"",COUNTIF($A$2:$A$5001,A709)&gt;1),"NUMERO_PC duplicado",IF(B709="","DATA_PC vazia",IF(NOT(ISNUMBER(B709)),"DATA_PC invalida",IF(OR(C709="",C709="Fora dos ciclos"),"CICLO_PC nao identificado",IF(OR(D709="",D709=0),"VALOR_PC vazio ou zero",IF(AND(G709&lt;&gt;"Sim",G709&lt;&gt;"Nao",G709&lt;&gt;""),"PC_PAGO_A_CONTRATADA invalido",IF(AND(C709&lt;&gt;"C0",IFERROR(INDEX(parametros!$A$2:$A$6,MATCH(C709,parametros!$B$2:$B$6,0)),"")="Sim",IFERROR(INDEX(parametros!$H$2:$H$6,MATCH(C709,parametros!$B$2:$B$6,0)),"")=""),"INICIO_EFEITO ausente: PC "&amp;A709&amp;" - "&amp;C709,IF(L709="","EFEITO_PC nao calculado: PC "&amp;A709&amp;" - "&amp;C709,"OK")))))))))</f>
        <v/>
      </c>
      <c r="L709" s="92" t="str">
        <f>IF(AND(A709="",B709="",D709="",G709=""),"",IF(OR(B709="",NOT(ISNUMBER(B709)),C709="",C709="Fora dos ciclos"),"",IF(C709="C0","Nao",IF(IFERROR(INDEX(parametros!$A$2:$A$6,MATCH(C709,parametros!$B$2:$B$6,0)),"")&lt;&gt;"Sim","Nao",IF(IFERROR(INDEX(parametros!$H$2:$H$6,MATCH(C709,parametros!$B$2:$B$6,0)),"")="","",IF(B709&gt;=IFERROR(INDEX(parametros!$H$2:$H$6,MATCH(C709,parametros!$B$2:$B$6,0)),""),"Sim","Nao"))))))</f>
        <v/>
      </c>
      <c r="T709" s="156"/>
      <c r="U709" s="214" t="str">
        <f t="shared" si="61"/>
        <v/>
      </c>
      <c r="V709" s="212" t="s">
        <v>50</v>
      </c>
      <c r="W709" s="100" t="s">
        <v>168</v>
      </c>
      <c r="X709" s="100" t="s">
        <v>169</v>
      </c>
      <c r="Y709" s="101" t="s">
        <v>170</v>
      </c>
      <c r="Z709" s="101" t="s">
        <v>171</v>
      </c>
      <c r="AA709" s="101" t="s">
        <v>50</v>
      </c>
      <c r="AB709" s="101" t="s">
        <v>172</v>
      </c>
      <c r="AC709" s="102" t="s">
        <v>173</v>
      </c>
    </row>
    <row r="710" spans="1:29" ht="25.5" customHeight="1" x14ac:dyDescent="0.35">
      <c r="A710" s="392"/>
      <c r="B710" s="393"/>
      <c r="C710" s="99" t="str">
        <f>IF(B710="","",IF(NOT(ISNUMBER(B710)),"DATA_PC invalida",IF(NOT(ISNUMBER(parametros!$C$2)),"Fora dos ciclos",IF(OR(B710&lt;parametros!$C$2,(YEAR(B710)-YEAR(parametros!$C$2))*12+MONTH(B710)-MONTH(parametros!$C$2)&gt;59),"Fora dos ciclos","C"&amp;INT(((YEAR(B710)-YEAR(parametros!$C$2))*12+MONTH(B710)-MONTH(parametros!$C$2))/12)))))</f>
        <v/>
      </c>
      <c r="D710" s="394"/>
      <c r="E710" s="78" t="str">
        <f>IF(C710="","",IFERROR(VLOOKUP(C710,parametros!$A$11:$E$15,5,0),""))</f>
        <v/>
      </c>
      <c r="F710" s="79" t="str">
        <f t="shared" si="57"/>
        <v/>
      </c>
      <c r="G710" s="395"/>
      <c r="H710" s="91">
        <f t="shared" si="58"/>
        <v>0</v>
      </c>
      <c r="I710" s="91" t="str">
        <f t="shared" si="59"/>
        <v/>
      </c>
      <c r="J710" s="91" t="str">
        <f t="shared" si="60"/>
        <v/>
      </c>
      <c r="K710" s="92" t="str">
        <f>IF(AND(A710="",B710="",D710="",G710=""),"",IF(AND(A710&lt;&gt;"",COUNTIF($A$2:$A$5001,A710)&gt;1),"NUMERO_PC duplicado",IF(B710="","DATA_PC vazia",IF(NOT(ISNUMBER(B710)),"DATA_PC invalida",IF(OR(C710="",C710="Fora dos ciclos"),"CICLO_PC nao identificado",IF(OR(D710="",D710=0),"VALOR_PC vazio ou zero",IF(AND(G710&lt;&gt;"Sim",G710&lt;&gt;"Nao",G710&lt;&gt;""),"PC_PAGO_A_CONTRATADA invalido",IF(AND(C710&lt;&gt;"C0",IFERROR(INDEX(parametros!$A$2:$A$6,MATCH(C710,parametros!$B$2:$B$6,0)),"")="Sim",IFERROR(INDEX(parametros!$H$2:$H$6,MATCH(C710,parametros!$B$2:$B$6,0)),"")=""),"INICIO_EFEITO ausente: PC "&amp;A710&amp;" - "&amp;C710,IF(L710="","EFEITO_PC nao calculado: PC "&amp;A710&amp;" - "&amp;C710,"OK")))))))))</f>
        <v/>
      </c>
      <c r="L710" s="92" t="str">
        <f>IF(AND(A710="",B710="",D710="",G710=""),"",IF(OR(B710="",NOT(ISNUMBER(B710)),C710="",C710="Fora dos ciclos"),"",IF(C710="C0","Nao",IF(IFERROR(INDEX(parametros!$A$2:$A$6,MATCH(C710,parametros!$B$2:$B$6,0)),"")&lt;&gt;"Sim","Nao",IF(IFERROR(INDEX(parametros!$H$2:$H$6,MATCH(C710,parametros!$B$2:$B$6,0)),"")="","",IF(B710&gt;=IFERROR(INDEX(parametros!$H$2:$H$6,MATCH(C710,parametros!$B$2:$B$6,0)),""),"Sim","Nao"))))))</f>
        <v/>
      </c>
      <c r="T710" s="156"/>
      <c r="U710" s="214" t="str">
        <f t="shared" si="61"/>
        <v/>
      </c>
      <c r="V710" s="212" t="s">
        <v>50</v>
      </c>
      <c r="W710" s="100" t="s">
        <v>168</v>
      </c>
      <c r="X710" s="100" t="s">
        <v>169</v>
      </c>
      <c r="Y710" s="101" t="s">
        <v>170</v>
      </c>
      <c r="Z710" s="101" t="s">
        <v>171</v>
      </c>
      <c r="AA710" s="101" t="s">
        <v>50</v>
      </c>
      <c r="AB710" s="101" t="s">
        <v>172</v>
      </c>
      <c r="AC710" s="102" t="s">
        <v>173</v>
      </c>
    </row>
    <row r="711" spans="1:29" ht="25.5" customHeight="1" x14ac:dyDescent="0.35">
      <c r="A711" s="392"/>
      <c r="B711" s="393"/>
      <c r="C711" s="99" t="str">
        <f>IF(B711="","",IF(NOT(ISNUMBER(B711)),"DATA_PC invalida",IF(NOT(ISNUMBER(parametros!$C$2)),"Fora dos ciclos",IF(OR(B711&lt;parametros!$C$2,(YEAR(B711)-YEAR(parametros!$C$2))*12+MONTH(B711)-MONTH(parametros!$C$2)&gt;59),"Fora dos ciclos","C"&amp;INT(((YEAR(B711)-YEAR(parametros!$C$2))*12+MONTH(B711)-MONTH(parametros!$C$2))/12)))))</f>
        <v/>
      </c>
      <c r="D711" s="394"/>
      <c r="E711" s="78" t="str">
        <f>IF(C711="","",IFERROR(VLOOKUP(C711,parametros!$A$11:$E$15,5,0),""))</f>
        <v/>
      </c>
      <c r="F711" s="79" t="str">
        <f t="shared" si="57"/>
        <v/>
      </c>
      <c r="G711" s="395"/>
      <c r="H711" s="91">
        <f t="shared" si="58"/>
        <v>0</v>
      </c>
      <c r="I711" s="91" t="str">
        <f t="shared" si="59"/>
        <v/>
      </c>
      <c r="J711" s="91" t="str">
        <f t="shared" si="60"/>
        <v/>
      </c>
      <c r="K711" s="92" t="str">
        <f>IF(AND(A711="",B711="",D711="",G711=""),"",IF(AND(A711&lt;&gt;"",COUNTIF($A$2:$A$5001,A711)&gt;1),"NUMERO_PC duplicado",IF(B711="","DATA_PC vazia",IF(NOT(ISNUMBER(B711)),"DATA_PC invalida",IF(OR(C711="",C711="Fora dos ciclos"),"CICLO_PC nao identificado",IF(OR(D711="",D711=0),"VALOR_PC vazio ou zero",IF(AND(G711&lt;&gt;"Sim",G711&lt;&gt;"Nao",G711&lt;&gt;""),"PC_PAGO_A_CONTRATADA invalido",IF(AND(C711&lt;&gt;"C0",IFERROR(INDEX(parametros!$A$2:$A$6,MATCH(C711,parametros!$B$2:$B$6,0)),"")="Sim",IFERROR(INDEX(parametros!$H$2:$H$6,MATCH(C711,parametros!$B$2:$B$6,0)),"")=""),"INICIO_EFEITO ausente: PC "&amp;A711&amp;" - "&amp;C711,IF(L711="","EFEITO_PC nao calculado: PC "&amp;A711&amp;" - "&amp;C711,"OK")))))))))</f>
        <v/>
      </c>
      <c r="L711" s="92" t="str">
        <f>IF(AND(A711="",B711="",D711="",G711=""),"",IF(OR(B711="",NOT(ISNUMBER(B711)),C711="",C711="Fora dos ciclos"),"",IF(C711="C0","Nao",IF(IFERROR(INDEX(parametros!$A$2:$A$6,MATCH(C711,parametros!$B$2:$B$6,0)),"")&lt;&gt;"Sim","Nao",IF(IFERROR(INDEX(parametros!$H$2:$H$6,MATCH(C711,parametros!$B$2:$B$6,0)),"")="","",IF(B711&gt;=IFERROR(INDEX(parametros!$H$2:$H$6,MATCH(C711,parametros!$B$2:$B$6,0)),""),"Sim","Nao"))))))</f>
        <v/>
      </c>
      <c r="T711" s="156"/>
      <c r="U711" s="214" t="str">
        <f t="shared" si="61"/>
        <v/>
      </c>
      <c r="V711" s="212" t="s">
        <v>50</v>
      </c>
      <c r="W711" s="100" t="s">
        <v>168</v>
      </c>
      <c r="X711" s="100" t="s">
        <v>169</v>
      </c>
      <c r="Y711" s="101" t="s">
        <v>170</v>
      </c>
      <c r="Z711" s="101" t="s">
        <v>171</v>
      </c>
      <c r="AA711" s="101" t="s">
        <v>50</v>
      </c>
      <c r="AB711" s="101" t="s">
        <v>172</v>
      </c>
      <c r="AC711" s="102" t="s">
        <v>173</v>
      </c>
    </row>
    <row r="712" spans="1:29" ht="25.5" customHeight="1" x14ac:dyDescent="0.35">
      <c r="A712" s="392"/>
      <c r="B712" s="393"/>
      <c r="C712" s="99" t="str">
        <f>IF(B712="","",IF(NOT(ISNUMBER(B712)),"DATA_PC invalida",IF(NOT(ISNUMBER(parametros!$C$2)),"Fora dos ciclos",IF(OR(B712&lt;parametros!$C$2,(YEAR(B712)-YEAR(parametros!$C$2))*12+MONTH(B712)-MONTH(parametros!$C$2)&gt;59),"Fora dos ciclos","C"&amp;INT(((YEAR(B712)-YEAR(parametros!$C$2))*12+MONTH(B712)-MONTH(parametros!$C$2))/12)))))</f>
        <v/>
      </c>
      <c r="D712" s="394"/>
      <c r="E712" s="78" t="str">
        <f>IF(C712="","",IFERROR(VLOOKUP(C712,parametros!$A$11:$E$15,5,0),""))</f>
        <v/>
      </c>
      <c r="F712" s="79" t="str">
        <f t="shared" si="57"/>
        <v/>
      </c>
      <c r="G712" s="395"/>
      <c r="H712" s="91">
        <f t="shared" si="58"/>
        <v>0</v>
      </c>
      <c r="I712" s="91" t="str">
        <f t="shared" si="59"/>
        <v/>
      </c>
      <c r="J712" s="91" t="str">
        <f t="shared" si="60"/>
        <v/>
      </c>
      <c r="K712" s="92" t="str">
        <f>IF(AND(A712="",B712="",D712="",G712=""),"",IF(AND(A712&lt;&gt;"",COUNTIF($A$2:$A$5001,A712)&gt;1),"NUMERO_PC duplicado",IF(B712="","DATA_PC vazia",IF(NOT(ISNUMBER(B712)),"DATA_PC invalida",IF(OR(C712="",C712="Fora dos ciclos"),"CICLO_PC nao identificado",IF(OR(D712="",D712=0),"VALOR_PC vazio ou zero",IF(AND(G712&lt;&gt;"Sim",G712&lt;&gt;"Nao",G712&lt;&gt;""),"PC_PAGO_A_CONTRATADA invalido",IF(AND(C712&lt;&gt;"C0",IFERROR(INDEX(parametros!$A$2:$A$6,MATCH(C712,parametros!$B$2:$B$6,0)),"")="Sim",IFERROR(INDEX(parametros!$H$2:$H$6,MATCH(C712,parametros!$B$2:$B$6,0)),"")=""),"INICIO_EFEITO ausente: PC "&amp;A712&amp;" - "&amp;C712,IF(L712="","EFEITO_PC nao calculado: PC "&amp;A712&amp;" - "&amp;C712,"OK")))))))))</f>
        <v/>
      </c>
      <c r="L712" s="92" t="str">
        <f>IF(AND(A712="",B712="",D712="",G712=""),"",IF(OR(B712="",NOT(ISNUMBER(B712)),C712="",C712="Fora dos ciclos"),"",IF(C712="C0","Nao",IF(IFERROR(INDEX(parametros!$A$2:$A$6,MATCH(C712,parametros!$B$2:$B$6,0)),"")&lt;&gt;"Sim","Nao",IF(IFERROR(INDEX(parametros!$H$2:$H$6,MATCH(C712,parametros!$B$2:$B$6,0)),"")="","",IF(B712&gt;=IFERROR(INDEX(parametros!$H$2:$H$6,MATCH(C712,parametros!$B$2:$B$6,0)),""),"Sim","Nao"))))))</f>
        <v/>
      </c>
      <c r="T712" s="156"/>
      <c r="U712" s="214" t="str">
        <f t="shared" si="61"/>
        <v/>
      </c>
      <c r="V712" s="212" t="s">
        <v>50</v>
      </c>
      <c r="W712" s="100" t="s">
        <v>168</v>
      </c>
      <c r="X712" s="100" t="s">
        <v>169</v>
      </c>
      <c r="Y712" s="101" t="s">
        <v>170</v>
      </c>
      <c r="Z712" s="101" t="s">
        <v>171</v>
      </c>
      <c r="AA712" s="101" t="s">
        <v>50</v>
      </c>
      <c r="AB712" s="101" t="s">
        <v>172</v>
      </c>
      <c r="AC712" s="102" t="s">
        <v>173</v>
      </c>
    </row>
    <row r="713" spans="1:29" ht="25.5" customHeight="1" x14ac:dyDescent="0.35">
      <c r="A713" s="392"/>
      <c r="B713" s="393"/>
      <c r="C713" s="99" t="str">
        <f>IF(B713="","",IF(NOT(ISNUMBER(B713)),"DATA_PC invalida",IF(NOT(ISNUMBER(parametros!$C$2)),"Fora dos ciclos",IF(OR(B713&lt;parametros!$C$2,(YEAR(B713)-YEAR(parametros!$C$2))*12+MONTH(B713)-MONTH(parametros!$C$2)&gt;59),"Fora dos ciclos","C"&amp;INT(((YEAR(B713)-YEAR(parametros!$C$2))*12+MONTH(B713)-MONTH(parametros!$C$2))/12)))))</f>
        <v/>
      </c>
      <c r="D713" s="394"/>
      <c r="E713" s="78" t="str">
        <f>IF(C713="","",IFERROR(VLOOKUP(C713,parametros!$A$11:$E$15,5,0),""))</f>
        <v/>
      </c>
      <c r="F713" s="79" t="str">
        <f t="shared" si="57"/>
        <v/>
      </c>
      <c r="G713" s="395"/>
      <c r="H713" s="91">
        <f t="shared" si="58"/>
        <v>0</v>
      </c>
      <c r="I713" s="91" t="str">
        <f t="shared" si="59"/>
        <v/>
      </c>
      <c r="J713" s="91" t="str">
        <f t="shared" si="60"/>
        <v/>
      </c>
      <c r="K713" s="92" t="str">
        <f>IF(AND(A713="",B713="",D713="",G713=""),"",IF(AND(A713&lt;&gt;"",COUNTIF($A$2:$A$5001,A713)&gt;1),"NUMERO_PC duplicado",IF(B713="","DATA_PC vazia",IF(NOT(ISNUMBER(B713)),"DATA_PC invalida",IF(OR(C713="",C713="Fora dos ciclos"),"CICLO_PC nao identificado",IF(OR(D713="",D713=0),"VALOR_PC vazio ou zero",IF(AND(G713&lt;&gt;"Sim",G713&lt;&gt;"Nao",G713&lt;&gt;""),"PC_PAGO_A_CONTRATADA invalido",IF(AND(C713&lt;&gt;"C0",IFERROR(INDEX(parametros!$A$2:$A$6,MATCH(C713,parametros!$B$2:$B$6,0)),"")="Sim",IFERROR(INDEX(parametros!$H$2:$H$6,MATCH(C713,parametros!$B$2:$B$6,0)),"")=""),"INICIO_EFEITO ausente: PC "&amp;A713&amp;" - "&amp;C713,IF(L713="","EFEITO_PC nao calculado: PC "&amp;A713&amp;" - "&amp;C713,"OK")))))))))</f>
        <v/>
      </c>
      <c r="L713" s="92" t="str">
        <f>IF(AND(A713="",B713="",D713="",G713=""),"",IF(OR(B713="",NOT(ISNUMBER(B713)),C713="",C713="Fora dos ciclos"),"",IF(C713="C0","Nao",IF(IFERROR(INDEX(parametros!$A$2:$A$6,MATCH(C713,parametros!$B$2:$B$6,0)),"")&lt;&gt;"Sim","Nao",IF(IFERROR(INDEX(parametros!$H$2:$H$6,MATCH(C713,parametros!$B$2:$B$6,0)),"")="","",IF(B713&gt;=IFERROR(INDEX(parametros!$H$2:$H$6,MATCH(C713,parametros!$B$2:$B$6,0)),""),"Sim","Nao"))))))</f>
        <v/>
      </c>
      <c r="T713" s="156"/>
      <c r="U713" s="214" t="str">
        <f t="shared" si="61"/>
        <v/>
      </c>
      <c r="V713" s="212" t="s">
        <v>50</v>
      </c>
      <c r="W713" s="100" t="s">
        <v>168</v>
      </c>
      <c r="X713" s="100" t="s">
        <v>169</v>
      </c>
      <c r="Y713" s="101" t="s">
        <v>170</v>
      </c>
      <c r="Z713" s="101" t="s">
        <v>171</v>
      </c>
      <c r="AA713" s="101" t="s">
        <v>50</v>
      </c>
      <c r="AB713" s="101" t="s">
        <v>172</v>
      </c>
      <c r="AC713" s="102" t="s">
        <v>173</v>
      </c>
    </row>
    <row r="714" spans="1:29" ht="25.5" customHeight="1" x14ac:dyDescent="0.35">
      <c r="A714" s="392"/>
      <c r="B714" s="393"/>
      <c r="C714" s="99" t="str">
        <f>IF(B714="","",IF(NOT(ISNUMBER(B714)),"DATA_PC invalida",IF(NOT(ISNUMBER(parametros!$C$2)),"Fora dos ciclos",IF(OR(B714&lt;parametros!$C$2,(YEAR(B714)-YEAR(parametros!$C$2))*12+MONTH(B714)-MONTH(parametros!$C$2)&gt;59),"Fora dos ciclos","C"&amp;INT(((YEAR(B714)-YEAR(parametros!$C$2))*12+MONTH(B714)-MONTH(parametros!$C$2))/12)))))</f>
        <v/>
      </c>
      <c r="D714" s="394"/>
      <c r="E714" s="78" t="str">
        <f>IF(C714="","",IFERROR(VLOOKUP(C714,parametros!$A$11:$E$15,5,0),""))</f>
        <v/>
      </c>
      <c r="F714" s="79" t="str">
        <f t="shared" si="57"/>
        <v/>
      </c>
      <c r="G714" s="395"/>
      <c r="H714" s="91">
        <f t="shared" si="58"/>
        <v>0</v>
      </c>
      <c r="I714" s="91" t="str">
        <f t="shared" si="59"/>
        <v/>
      </c>
      <c r="J714" s="91" t="str">
        <f t="shared" si="60"/>
        <v/>
      </c>
      <c r="K714" s="92" t="str">
        <f>IF(AND(A714="",B714="",D714="",G714=""),"",IF(AND(A714&lt;&gt;"",COUNTIF($A$2:$A$5001,A714)&gt;1),"NUMERO_PC duplicado",IF(B714="","DATA_PC vazia",IF(NOT(ISNUMBER(B714)),"DATA_PC invalida",IF(OR(C714="",C714="Fora dos ciclos"),"CICLO_PC nao identificado",IF(OR(D714="",D714=0),"VALOR_PC vazio ou zero",IF(AND(G714&lt;&gt;"Sim",G714&lt;&gt;"Nao",G714&lt;&gt;""),"PC_PAGO_A_CONTRATADA invalido",IF(AND(C714&lt;&gt;"C0",IFERROR(INDEX(parametros!$A$2:$A$6,MATCH(C714,parametros!$B$2:$B$6,0)),"")="Sim",IFERROR(INDEX(parametros!$H$2:$H$6,MATCH(C714,parametros!$B$2:$B$6,0)),"")=""),"INICIO_EFEITO ausente: PC "&amp;A714&amp;" - "&amp;C714,IF(L714="","EFEITO_PC nao calculado: PC "&amp;A714&amp;" - "&amp;C714,"OK")))))))))</f>
        <v/>
      </c>
      <c r="L714" s="92" t="str">
        <f>IF(AND(A714="",B714="",D714="",G714=""),"",IF(OR(B714="",NOT(ISNUMBER(B714)),C714="",C714="Fora dos ciclos"),"",IF(C714="C0","Nao",IF(IFERROR(INDEX(parametros!$A$2:$A$6,MATCH(C714,parametros!$B$2:$B$6,0)),"")&lt;&gt;"Sim","Nao",IF(IFERROR(INDEX(parametros!$H$2:$H$6,MATCH(C714,parametros!$B$2:$B$6,0)),"")="","",IF(B714&gt;=IFERROR(INDEX(parametros!$H$2:$H$6,MATCH(C714,parametros!$B$2:$B$6,0)),""),"Sim","Nao"))))))</f>
        <v/>
      </c>
      <c r="T714" s="156"/>
      <c r="U714" s="214" t="str">
        <f t="shared" si="61"/>
        <v/>
      </c>
      <c r="V714" s="212" t="s">
        <v>50</v>
      </c>
      <c r="W714" s="100" t="s">
        <v>168</v>
      </c>
      <c r="X714" s="100" t="s">
        <v>169</v>
      </c>
      <c r="Y714" s="101" t="s">
        <v>170</v>
      </c>
      <c r="Z714" s="101" t="s">
        <v>171</v>
      </c>
      <c r="AA714" s="101" t="s">
        <v>50</v>
      </c>
      <c r="AB714" s="101" t="s">
        <v>172</v>
      </c>
      <c r="AC714" s="102" t="s">
        <v>173</v>
      </c>
    </row>
    <row r="715" spans="1:29" ht="25.5" customHeight="1" x14ac:dyDescent="0.35">
      <c r="A715" s="392"/>
      <c r="B715" s="393"/>
      <c r="C715" s="99" t="str">
        <f>IF(B715="","",IF(NOT(ISNUMBER(B715)),"DATA_PC invalida",IF(NOT(ISNUMBER(parametros!$C$2)),"Fora dos ciclos",IF(OR(B715&lt;parametros!$C$2,(YEAR(B715)-YEAR(parametros!$C$2))*12+MONTH(B715)-MONTH(parametros!$C$2)&gt;59),"Fora dos ciclos","C"&amp;INT(((YEAR(B715)-YEAR(parametros!$C$2))*12+MONTH(B715)-MONTH(parametros!$C$2))/12)))))</f>
        <v/>
      </c>
      <c r="D715" s="394"/>
      <c r="E715" s="78" t="str">
        <f>IF(C715="","",IFERROR(VLOOKUP(C715,parametros!$A$11:$E$15,5,0),""))</f>
        <v/>
      </c>
      <c r="F715" s="79" t="str">
        <f t="shared" si="57"/>
        <v/>
      </c>
      <c r="G715" s="395"/>
      <c r="H715" s="91">
        <f t="shared" si="58"/>
        <v>0</v>
      </c>
      <c r="I715" s="91" t="str">
        <f t="shared" si="59"/>
        <v/>
      </c>
      <c r="J715" s="91" t="str">
        <f t="shared" si="60"/>
        <v/>
      </c>
      <c r="K715" s="92" t="str">
        <f>IF(AND(A715="",B715="",D715="",G715=""),"",IF(AND(A715&lt;&gt;"",COUNTIF($A$2:$A$5001,A715)&gt;1),"NUMERO_PC duplicado",IF(B715="","DATA_PC vazia",IF(NOT(ISNUMBER(B715)),"DATA_PC invalida",IF(OR(C715="",C715="Fora dos ciclos"),"CICLO_PC nao identificado",IF(OR(D715="",D715=0),"VALOR_PC vazio ou zero",IF(AND(G715&lt;&gt;"Sim",G715&lt;&gt;"Nao",G715&lt;&gt;""),"PC_PAGO_A_CONTRATADA invalido",IF(AND(C715&lt;&gt;"C0",IFERROR(INDEX(parametros!$A$2:$A$6,MATCH(C715,parametros!$B$2:$B$6,0)),"")="Sim",IFERROR(INDEX(parametros!$H$2:$H$6,MATCH(C715,parametros!$B$2:$B$6,0)),"")=""),"INICIO_EFEITO ausente: PC "&amp;A715&amp;" - "&amp;C715,IF(L715="","EFEITO_PC nao calculado: PC "&amp;A715&amp;" - "&amp;C715,"OK")))))))))</f>
        <v/>
      </c>
      <c r="L715" s="92" t="str">
        <f>IF(AND(A715="",B715="",D715="",G715=""),"",IF(OR(B715="",NOT(ISNUMBER(B715)),C715="",C715="Fora dos ciclos"),"",IF(C715="C0","Nao",IF(IFERROR(INDEX(parametros!$A$2:$A$6,MATCH(C715,parametros!$B$2:$B$6,0)),"")&lt;&gt;"Sim","Nao",IF(IFERROR(INDEX(parametros!$H$2:$H$6,MATCH(C715,parametros!$B$2:$B$6,0)),"")="","",IF(B715&gt;=IFERROR(INDEX(parametros!$H$2:$H$6,MATCH(C715,parametros!$B$2:$B$6,0)),""),"Sim","Nao"))))))</f>
        <v/>
      </c>
      <c r="T715" s="156"/>
      <c r="U715" s="214" t="str">
        <f t="shared" si="61"/>
        <v/>
      </c>
      <c r="V715" s="212" t="s">
        <v>50</v>
      </c>
      <c r="W715" s="100" t="s">
        <v>168</v>
      </c>
      <c r="X715" s="100" t="s">
        <v>169</v>
      </c>
      <c r="Y715" s="101" t="s">
        <v>170</v>
      </c>
      <c r="Z715" s="101" t="s">
        <v>171</v>
      </c>
      <c r="AA715" s="101" t="s">
        <v>50</v>
      </c>
      <c r="AB715" s="101" t="s">
        <v>172</v>
      </c>
      <c r="AC715" s="102" t="s">
        <v>173</v>
      </c>
    </row>
    <row r="716" spans="1:29" ht="25.5" customHeight="1" x14ac:dyDescent="0.35">
      <c r="A716" s="392"/>
      <c r="B716" s="393"/>
      <c r="C716" s="99" t="str">
        <f>IF(B716="","",IF(NOT(ISNUMBER(B716)),"DATA_PC invalida",IF(NOT(ISNUMBER(parametros!$C$2)),"Fora dos ciclos",IF(OR(B716&lt;parametros!$C$2,(YEAR(B716)-YEAR(parametros!$C$2))*12+MONTH(B716)-MONTH(parametros!$C$2)&gt;59),"Fora dos ciclos","C"&amp;INT(((YEAR(B716)-YEAR(parametros!$C$2))*12+MONTH(B716)-MONTH(parametros!$C$2))/12)))))</f>
        <v/>
      </c>
      <c r="D716" s="394"/>
      <c r="E716" s="78" t="str">
        <f>IF(C716="","",IFERROR(VLOOKUP(C716,parametros!$A$11:$E$15,5,0),""))</f>
        <v/>
      </c>
      <c r="F716" s="79" t="str">
        <f t="shared" si="57"/>
        <v/>
      </c>
      <c r="G716" s="395"/>
      <c r="H716" s="91">
        <f t="shared" si="58"/>
        <v>0</v>
      </c>
      <c r="I716" s="91" t="str">
        <f t="shared" si="59"/>
        <v/>
      </c>
      <c r="J716" s="91" t="str">
        <f t="shared" si="60"/>
        <v/>
      </c>
      <c r="K716" s="92" t="str">
        <f>IF(AND(A716="",B716="",D716="",G716=""),"",IF(AND(A716&lt;&gt;"",COUNTIF($A$2:$A$5001,A716)&gt;1),"NUMERO_PC duplicado",IF(B716="","DATA_PC vazia",IF(NOT(ISNUMBER(B716)),"DATA_PC invalida",IF(OR(C716="",C716="Fora dos ciclos"),"CICLO_PC nao identificado",IF(OR(D716="",D716=0),"VALOR_PC vazio ou zero",IF(AND(G716&lt;&gt;"Sim",G716&lt;&gt;"Nao",G716&lt;&gt;""),"PC_PAGO_A_CONTRATADA invalido",IF(AND(C716&lt;&gt;"C0",IFERROR(INDEX(parametros!$A$2:$A$6,MATCH(C716,parametros!$B$2:$B$6,0)),"")="Sim",IFERROR(INDEX(parametros!$H$2:$H$6,MATCH(C716,parametros!$B$2:$B$6,0)),"")=""),"INICIO_EFEITO ausente: PC "&amp;A716&amp;" - "&amp;C716,IF(L716="","EFEITO_PC nao calculado: PC "&amp;A716&amp;" - "&amp;C716,"OK")))))))))</f>
        <v/>
      </c>
      <c r="L716" s="92" t="str">
        <f>IF(AND(A716="",B716="",D716="",G716=""),"",IF(OR(B716="",NOT(ISNUMBER(B716)),C716="",C716="Fora dos ciclos"),"",IF(C716="C0","Nao",IF(IFERROR(INDEX(parametros!$A$2:$A$6,MATCH(C716,parametros!$B$2:$B$6,0)),"")&lt;&gt;"Sim","Nao",IF(IFERROR(INDEX(parametros!$H$2:$H$6,MATCH(C716,parametros!$B$2:$B$6,0)),"")="","",IF(B716&gt;=IFERROR(INDEX(parametros!$H$2:$H$6,MATCH(C716,parametros!$B$2:$B$6,0)),""),"Sim","Nao"))))))</f>
        <v/>
      </c>
      <c r="T716" s="156"/>
      <c r="U716" s="214" t="str">
        <f t="shared" si="61"/>
        <v/>
      </c>
      <c r="V716" s="212" t="s">
        <v>50</v>
      </c>
      <c r="W716" s="100" t="s">
        <v>168</v>
      </c>
      <c r="X716" s="100" t="s">
        <v>169</v>
      </c>
      <c r="Y716" s="101" t="s">
        <v>170</v>
      </c>
      <c r="Z716" s="101" t="s">
        <v>171</v>
      </c>
      <c r="AA716" s="101" t="s">
        <v>50</v>
      </c>
      <c r="AB716" s="101" t="s">
        <v>172</v>
      </c>
      <c r="AC716" s="102" t="s">
        <v>173</v>
      </c>
    </row>
    <row r="717" spans="1:29" ht="25.5" customHeight="1" x14ac:dyDescent="0.35">
      <c r="A717" s="392"/>
      <c r="B717" s="393"/>
      <c r="C717" s="99" t="str">
        <f>IF(B717="","",IF(NOT(ISNUMBER(B717)),"DATA_PC invalida",IF(NOT(ISNUMBER(parametros!$C$2)),"Fora dos ciclos",IF(OR(B717&lt;parametros!$C$2,(YEAR(B717)-YEAR(parametros!$C$2))*12+MONTH(B717)-MONTH(parametros!$C$2)&gt;59),"Fora dos ciclos","C"&amp;INT(((YEAR(B717)-YEAR(parametros!$C$2))*12+MONTH(B717)-MONTH(parametros!$C$2))/12)))))</f>
        <v/>
      </c>
      <c r="D717" s="394"/>
      <c r="E717" s="78" t="str">
        <f>IF(C717="","",IFERROR(VLOOKUP(C717,parametros!$A$11:$E$15,5,0),""))</f>
        <v/>
      </c>
      <c r="F717" s="79" t="str">
        <f t="shared" si="57"/>
        <v/>
      </c>
      <c r="G717" s="395"/>
      <c r="H717" s="91">
        <f t="shared" si="58"/>
        <v>0</v>
      </c>
      <c r="I717" s="91" t="str">
        <f t="shared" si="59"/>
        <v/>
      </c>
      <c r="J717" s="91" t="str">
        <f t="shared" si="60"/>
        <v/>
      </c>
      <c r="K717" s="92" t="str">
        <f>IF(AND(A717="",B717="",D717="",G717=""),"",IF(AND(A717&lt;&gt;"",COUNTIF($A$2:$A$5001,A717)&gt;1),"NUMERO_PC duplicado",IF(B717="","DATA_PC vazia",IF(NOT(ISNUMBER(B717)),"DATA_PC invalida",IF(OR(C717="",C717="Fora dos ciclos"),"CICLO_PC nao identificado",IF(OR(D717="",D717=0),"VALOR_PC vazio ou zero",IF(AND(G717&lt;&gt;"Sim",G717&lt;&gt;"Nao",G717&lt;&gt;""),"PC_PAGO_A_CONTRATADA invalido",IF(AND(C717&lt;&gt;"C0",IFERROR(INDEX(parametros!$A$2:$A$6,MATCH(C717,parametros!$B$2:$B$6,0)),"")="Sim",IFERROR(INDEX(parametros!$H$2:$H$6,MATCH(C717,parametros!$B$2:$B$6,0)),"")=""),"INICIO_EFEITO ausente: PC "&amp;A717&amp;" - "&amp;C717,IF(L717="","EFEITO_PC nao calculado: PC "&amp;A717&amp;" - "&amp;C717,"OK")))))))))</f>
        <v/>
      </c>
      <c r="L717" s="92" t="str">
        <f>IF(AND(A717="",B717="",D717="",G717=""),"",IF(OR(B717="",NOT(ISNUMBER(B717)),C717="",C717="Fora dos ciclos"),"",IF(C717="C0","Nao",IF(IFERROR(INDEX(parametros!$A$2:$A$6,MATCH(C717,parametros!$B$2:$B$6,0)),"")&lt;&gt;"Sim","Nao",IF(IFERROR(INDEX(parametros!$H$2:$H$6,MATCH(C717,parametros!$B$2:$B$6,0)),"")="","",IF(B717&gt;=IFERROR(INDEX(parametros!$H$2:$H$6,MATCH(C717,parametros!$B$2:$B$6,0)),""),"Sim","Nao"))))))</f>
        <v/>
      </c>
      <c r="T717" s="156"/>
      <c r="U717" s="214" t="str">
        <f t="shared" si="61"/>
        <v/>
      </c>
      <c r="V717" s="212" t="s">
        <v>50</v>
      </c>
      <c r="W717" s="100" t="s">
        <v>168</v>
      </c>
      <c r="X717" s="100" t="s">
        <v>169</v>
      </c>
      <c r="Y717" s="101" t="s">
        <v>170</v>
      </c>
      <c r="Z717" s="101" t="s">
        <v>171</v>
      </c>
      <c r="AA717" s="101" t="s">
        <v>50</v>
      </c>
      <c r="AB717" s="101" t="s">
        <v>172</v>
      </c>
      <c r="AC717" s="102" t="s">
        <v>173</v>
      </c>
    </row>
    <row r="718" spans="1:29" ht="25.5" customHeight="1" x14ac:dyDescent="0.35">
      <c r="A718" s="392"/>
      <c r="B718" s="393"/>
      <c r="C718" s="99" t="str">
        <f>IF(B718="","",IF(NOT(ISNUMBER(B718)),"DATA_PC invalida",IF(NOT(ISNUMBER(parametros!$C$2)),"Fora dos ciclos",IF(OR(B718&lt;parametros!$C$2,(YEAR(B718)-YEAR(parametros!$C$2))*12+MONTH(B718)-MONTH(parametros!$C$2)&gt;59),"Fora dos ciclos","C"&amp;INT(((YEAR(B718)-YEAR(parametros!$C$2))*12+MONTH(B718)-MONTH(parametros!$C$2))/12)))))</f>
        <v/>
      </c>
      <c r="D718" s="394"/>
      <c r="E718" s="78" t="str">
        <f>IF(C718="","",IFERROR(VLOOKUP(C718,parametros!$A$11:$E$15,5,0),""))</f>
        <v/>
      </c>
      <c r="F718" s="79" t="str">
        <f t="shared" si="57"/>
        <v/>
      </c>
      <c r="G718" s="395"/>
      <c r="H718" s="91">
        <f t="shared" si="58"/>
        <v>0</v>
      </c>
      <c r="I718" s="91" t="str">
        <f t="shared" si="59"/>
        <v/>
      </c>
      <c r="J718" s="91" t="str">
        <f t="shared" si="60"/>
        <v/>
      </c>
      <c r="K718" s="92" t="str">
        <f>IF(AND(A718="",B718="",D718="",G718=""),"",IF(AND(A718&lt;&gt;"",COUNTIF($A$2:$A$5001,A718)&gt;1),"NUMERO_PC duplicado",IF(B718="","DATA_PC vazia",IF(NOT(ISNUMBER(B718)),"DATA_PC invalida",IF(OR(C718="",C718="Fora dos ciclos"),"CICLO_PC nao identificado",IF(OR(D718="",D718=0),"VALOR_PC vazio ou zero",IF(AND(G718&lt;&gt;"Sim",G718&lt;&gt;"Nao",G718&lt;&gt;""),"PC_PAGO_A_CONTRATADA invalido",IF(AND(C718&lt;&gt;"C0",IFERROR(INDEX(parametros!$A$2:$A$6,MATCH(C718,parametros!$B$2:$B$6,0)),"")="Sim",IFERROR(INDEX(parametros!$H$2:$H$6,MATCH(C718,parametros!$B$2:$B$6,0)),"")=""),"INICIO_EFEITO ausente: PC "&amp;A718&amp;" - "&amp;C718,IF(L718="","EFEITO_PC nao calculado: PC "&amp;A718&amp;" - "&amp;C718,"OK")))))))))</f>
        <v/>
      </c>
      <c r="L718" s="92" t="str">
        <f>IF(AND(A718="",B718="",D718="",G718=""),"",IF(OR(B718="",NOT(ISNUMBER(B718)),C718="",C718="Fora dos ciclos"),"",IF(C718="C0","Nao",IF(IFERROR(INDEX(parametros!$A$2:$A$6,MATCH(C718,parametros!$B$2:$B$6,0)),"")&lt;&gt;"Sim","Nao",IF(IFERROR(INDEX(parametros!$H$2:$H$6,MATCH(C718,parametros!$B$2:$B$6,0)),"")="","",IF(B718&gt;=IFERROR(INDEX(parametros!$H$2:$H$6,MATCH(C718,parametros!$B$2:$B$6,0)),""),"Sim","Nao"))))))</f>
        <v/>
      </c>
      <c r="T718" s="156"/>
      <c r="U718" s="214" t="str">
        <f t="shared" si="61"/>
        <v/>
      </c>
      <c r="V718" s="212" t="s">
        <v>50</v>
      </c>
      <c r="W718" s="100" t="s">
        <v>168</v>
      </c>
      <c r="X718" s="100" t="s">
        <v>169</v>
      </c>
      <c r="Y718" s="101" t="s">
        <v>170</v>
      </c>
      <c r="Z718" s="101" t="s">
        <v>171</v>
      </c>
      <c r="AA718" s="101" t="s">
        <v>50</v>
      </c>
      <c r="AB718" s="101" t="s">
        <v>172</v>
      </c>
      <c r="AC718" s="102" t="s">
        <v>173</v>
      </c>
    </row>
    <row r="719" spans="1:29" ht="25.5" customHeight="1" x14ac:dyDescent="0.35">
      <c r="A719" s="392"/>
      <c r="B719" s="393"/>
      <c r="C719" s="99" t="str">
        <f>IF(B719="","",IF(NOT(ISNUMBER(B719)),"DATA_PC invalida",IF(NOT(ISNUMBER(parametros!$C$2)),"Fora dos ciclos",IF(OR(B719&lt;parametros!$C$2,(YEAR(B719)-YEAR(parametros!$C$2))*12+MONTH(B719)-MONTH(parametros!$C$2)&gt;59),"Fora dos ciclos","C"&amp;INT(((YEAR(B719)-YEAR(parametros!$C$2))*12+MONTH(B719)-MONTH(parametros!$C$2))/12)))))</f>
        <v/>
      </c>
      <c r="D719" s="394"/>
      <c r="E719" s="78" t="str">
        <f>IF(C719="","",IFERROR(VLOOKUP(C719,parametros!$A$11:$E$15,5,0),""))</f>
        <v/>
      </c>
      <c r="F719" s="79" t="str">
        <f t="shared" si="57"/>
        <v/>
      </c>
      <c r="G719" s="395"/>
      <c r="H719" s="91">
        <f t="shared" si="58"/>
        <v>0</v>
      </c>
      <c r="I719" s="91" t="str">
        <f t="shared" si="59"/>
        <v/>
      </c>
      <c r="J719" s="91" t="str">
        <f t="shared" si="60"/>
        <v/>
      </c>
      <c r="K719" s="92" t="str">
        <f>IF(AND(A719="",B719="",D719="",G719=""),"",IF(AND(A719&lt;&gt;"",COUNTIF($A$2:$A$5001,A719)&gt;1),"NUMERO_PC duplicado",IF(B719="","DATA_PC vazia",IF(NOT(ISNUMBER(B719)),"DATA_PC invalida",IF(OR(C719="",C719="Fora dos ciclos"),"CICLO_PC nao identificado",IF(OR(D719="",D719=0),"VALOR_PC vazio ou zero",IF(AND(G719&lt;&gt;"Sim",G719&lt;&gt;"Nao",G719&lt;&gt;""),"PC_PAGO_A_CONTRATADA invalido",IF(AND(C719&lt;&gt;"C0",IFERROR(INDEX(parametros!$A$2:$A$6,MATCH(C719,parametros!$B$2:$B$6,0)),"")="Sim",IFERROR(INDEX(parametros!$H$2:$H$6,MATCH(C719,parametros!$B$2:$B$6,0)),"")=""),"INICIO_EFEITO ausente: PC "&amp;A719&amp;" - "&amp;C719,IF(L719="","EFEITO_PC nao calculado: PC "&amp;A719&amp;" - "&amp;C719,"OK")))))))))</f>
        <v/>
      </c>
      <c r="L719" s="92" t="str">
        <f>IF(AND(A719="",B719="",D719="",G719=""),"",IF(OR(B719="",NOT(ISNUMBER(B719)),C719="",C719="Fora dos ciclos"),"",IF(C719="C0","Nao",IF(IFERROR(INDEX(parametros!$A$2:$A$6,MATCH(C719,parametros!$B$2:$B$6,0)),"")&lt;&gt;"Sim","Nao",IF(IFERROR(INDEX(parametros!$H$2:$H$6,MATCH(C719,parametros!$B$2:$B$6,0)),"")="","",IF(B719&gt;=IFERROR(INDEX(parametros!$H$2:$H$6,MATCH(C719,parametros!$B$2:$B$6,0)),""),"Sim","Nao"))))))</f>
        <v/>
      </c>
      <c r="T719" s="156"/>
      <c r="U719" s="214" t="str">
        <f t="shared" si="61"/>
        <v/>
      </c>
      <c r="V719" s="212" t="s">
        <v>50</v>
      </c>
      <c r="W719" s="100" t="s">
        <v>168</v>
      </c>
      <c r="X719" s="100" t="s">
        <v>169</v>
      </c>
      <c r="Y719" s="101" t="s">
        <v>170</v>
      </c>
      <c r="Z719" s="101" t="s">
        <v>171</v>
      </c>
      <c r="AA719" s="101" t="s">
        <v>50</v>
      </c>
      <c r="AB719" s="101" t="s">
        <v>172</v>
      </c>
      <c r="AC719" s="102" t="s">
        <v>173</v>
      </c>
    </row>
    <row r="720" spans="1:29" ht="25.5" customHeight="1" x14ac:dyDescent="0.35">
      <c r="A720" s="392"/>
      <c r="B720" s="393"/>
      <c r="C720" s="99" t="str">
        <f>IF(B720="","",IF(NOT(ISNUMBER(B720)),"DATA_PC invalida",IF(NOT(ISNUMBER(parametros!$C$2)),"Fora dos ciclos",IF(OR(B720&lt;parametros!$C$2,(YEAR(B720)-YEAR(parametros!$C$2))*12+MONTH(B720)-MONTH(parametros!$C$2)&gt;59),"Fora dos ciclos","C"&amp;INT(((YEAR(B720)-YEAR(parametros!$C$2))*12+MONTH(B720)-MONTH(parametros!$C$2))/12)))))</f>
        <v/>
      </c>
      <c r="D720" s="394"/>
      <c r="E720" s="78" t="str">
        <f>IF(C720="","",IFERROR(VLOOKUP(C720,parametros!$A$11:$E$15,5,0),""))</f>
        <v/>
      </c>
      <c r="F720" s="79" t="str">
        <f t="shared" si="57"/>
        <v/>
      </c>
      <c r="G720" s="395"/>
      <c r="H720" s="91">
        <f t="shared" si="58"/>
        <v>0</v>
      </c>
      <c r="I720" s="91" t="str">
        <f t="shared" si="59"/>
        <v/>
      </c>
      <c r="J720" s="91" t="str">
        <f t="shared" si="60"/>
        <v/>
      </c>
      <c r="K720" s="92" t="str">
        <f>IF(AND(A720="",B720="",D720="",G720=""),"",IF(AND(A720&lt;&gt;"",COUNTIF($A$2:$A$5001,A720)&gt;1),"NUMERO_PC duplicado",IF(B720="","DATA_PC vazia",IF(NOT(ISNUMBER(B720)),"DATA_PC invalida",IF(OR(C720="",C720="Fora dos ciclos"),"CICLO_PC nao identificado",IF(OR(D720="",D720=0),"VALOR_PC vazio ou zero",IF(AND(G720&lt;&gt;"Sim",G720&lt;&gt;"Nao",G720&lt;&gt;""),"PC_PAGO_A_CONTRATADA invalido",IF(AND(C720&lt;&gt;"C0",IFERROR(INDEX(parametros!$A$2:$A$6,MATCH(C720,parametros!$B$2:$B$6,0)),"")="Sim",IFERROR(INDEX(parametros!$H$2:$H$6,MATCH(C720,parametros!$B$2:$B$6,0)),"")=""),"INICIO_EFEITO ausente: PC "&amp;A720&amp;" - "&amp;C720,IF(L720="","EFEITO_PC nao calculado: PC "&amp;A720&amp;" - "&amp;C720,"OK")))))))))</f>
        <v/>
      </c>
      <c r="L720" s="92" t="str">
        <f>IF(AND(A720="",B720="",D720="",G720=""),"",IF(OR(B720="",NOT(ISNUMBER(B720)),C720="",C720="Fora dos ciclos"),"",IF(C720="C0","Nao",IF(IFERROR(INDEX(parametros!$A$2:$A$6,MATCH(C720,parametros!$B$2:$B$6,0)),"")&lt;&gt;"Sim","Nao",IF(IFERROR(INDEX(parametros!$H$2:$H$6,MATCH(C720,parametros!$B$2:$B$6,0)),"")="","",IF(B720&gt;=IFERROR(INDEX(parametros!$H$2:$H$6,MATCH(C720,parametros!$B$2:$B$6,0)),""),"Sim","Nao"))))))</f>
        <v/>
      </c>
      <c r="T720" s="156"/>
      <c r="U720" s="214" t="str">
        <f t="shared" si="61"/>
        <v/>
      </c>
      <c r="V720" s="212" t="s">
        <v>50</v>
      </c>
      <c r="W720" s="100" t="s">
        <v>168</v>
      </c>
      <c r="X720" s="100" t="s">
        <v>169</v>
      </c>
      <c r="Y720" s="101" t="s">
        <v>170</v>
      </c>
      <c r="Z720" s="101" t="s">
        <v>171</v>
      </c>
      <c r="AA720" s="101" t="s">
        <v>50</v>
      </c>
      <c r="AB720" s="101" t="s">
        <v>172</v>
      </c>
      <c r="AC720" s="102" t="s">
        <v>173</v>
      </c>
    </row>
    <row r="721" spans="1:29" ht="25.5" customHeight="1" x14ac:dyDescent="0.35">
      <c r="A721" s="392"/>
      <c r="B721" s="393"/>
      <c r="C721" s="99" t="str">
        <f>IF(B721="","",IF(NOT(ISNUMBER(B721)),"DATA_PC invalida",IF(NOT(ISNUMBER(parametros!$C$2)),"Fora dos ciclos",IF(OR(B721&lt;parametros!$C$2,(YEAR(B721)-YEAR(parametros!$C$2))*12+MONTH(B721)-MONTH(parametros!$C$2)&gt;59),"Fora dos ciclos","C"&amp;INT(((YEAR(B721)-YEAR(parametros!$C$2))*12+MONTH(B721)-MONTH(parametros!$C$2))/12)))))</f>
        <v/>
      </c>
      <c r="D721" s="394"/>
      <c r="E721" s="78" t="str">
        <f>IF(C721="","",IFERROR(VLOOKUP(C721,parametros!$A$11:$E$15,5,0),""))</f>
        <v/>
      </c>
      <c r="F721" s="79" t="str">
        <f t="shared" si="57"/>
        <v/>
      </c>
      <c r="G721" s="395"/>
      <c r="H721" s="91">
        <f t="shared" si="58"/>
        <v>0</v>
      </c>
      <c r="I721" s="91" t="str">
        <f t="shared" si="59"/>
        <v/>
      </c>
      <c r="J721" s="91" t="str">
        <f t="shared" si="60"/>
        <v/>
      </c>
      <c r="K721" s="92" t="str">
        <f>IF(AND(A721="",B721="",D721="",G721=""),"",IF(AND(A721&lt;&gt;"",COUNTIF($A$2:$A$5001,A721)&gt;1),"NUMERO_PC duplicado",IF(B721="","DATA_PC vazia",IF(NOT(ISNUMBER(B721)),"DATA_PC invalida",IF(OR(C721="",C721="Fora dos ciclos"),"CICLO_PC nao identificado",IF(OR(D721="",D721=0),"VALOR_PC vazio ou zero",IF(AND(G721&lt;&gt;"Sim",G721&lt;&gt;"Nao",G721&lt;&gt;""),"PC_PAGO_A_CONTRATADA invalido",IF(AND(C721&lt;&gt;"C0",IFERROR(INDEX(parametros!$A$2:$A$6,MATCH(C721,parametros!$B$2:$B$6,0)),"")="Sim",IFERROR(INDEX(parametros!$H$2:$H$6,MATCH(C721,parametros!$B$2:$B$6,0)),"")=""),"INICIO_EFEITO ausente: PC "&amp;A721&amp;" - "&amp;C721,IF(L721="","EFEITO_PC nao calculado: PC "&amp;A721&amp;" - "&amp;C721,"OK")))))))))</f>
        <v/>
      </c>
      <c r="L721" s="92" t="str">
        <f>IF(AND(A721="",B721="",D721="",G721=""),"",IF(OR(B721="",NOT(ISNUMBER(B721)),C721="",C721="Fora dos ciclos"),"",IF(C721="C0","Nao",IF(IFERROR(INDEX(parametros!$A$2:$A$6,MATCH(C721,parametros!$B$2:$B$6,0)),"")&lt;&gt;"Sim","Nao",IF(IFERROR(INDEX(parametros!$H$2:$H$6,MATCH(C721,parametros!$B$2:$B$6,0)),"")="","",IF(B721&gt;=IFERROR(INDEX(parametros!$H$2:$H$6,MATCH(C721,parametros!$B$2:$B$6,0)),""),"Sim","Nao"))))))</f>
        <v/>
      </c>
      <c r="T721" s="156"/>
      <c r="U721" s="214" t="str">
        <f t="shared" si="61"/>
        <v/>
      </c>
      <c r="V721" s="212" t="s">
        <v>50</v>
      </c>
      <c r="W721" s="100" t="s">
        <v>168</v>
      </c>
      <c r="X721" s="100" t="s">
        <v>169</v>
      </c>
      <c r="Y721" s="101" t="s">
        <v>170</v>
      </c>
      <c r="Z721" s="101" t="s">
        <v>171</v>
      </c>
      <c r="AA721" s="101" t="s">
        <v>50</v>
      </c>
      <c r="AB721" s="101" t="s">
        <v>172</v>
      </c>
      <c r="AC721" s="102" t="s">
        <v>173</v>
      </c>
    </row>
    <row r="722" spans="1:29" ht="25.5" customHeight="1" x14ac:dyDescent="0.35">
      <c r="A722" s="392"/>
      <c r="B722" s="393"/>
      <c r="C722" s="99" t="str">
        <f>IF(B722="","",IF(NOT(ISNUMBER(B722)),"DATA_PC invalida",IF(NOT(ISNUMBER(parametros!$C$2)),"Fora dos ciclos",IF(OR(B722&lt;parametros!$C$2,(YEAR(B722)-YEAR(parametros!$C$2))*12+MONTH(B722)-MONTH(parametros!$C$2)&gt;59),"Fora dos ciclos","C"&amp;INT(((YEAR(B722)-YEAR(parametros!$C$2))*12+MONTH(B722)-MONTH(parametros!$C$2))/12)))))</f>
        <v/>
      </c>
      <c r="D722" s="394"/>
      <c r="E722" s="78" t="str">
        <f>IF(C722="","",IFERROR(VLOOKUP(C722,parametros!$A$11:$E$15,5,0),""))</f>
        <v/>
      </c>
      <c r="F722" s="79" t="str">
        <f t="shared" si="57"/>
        <v/>
      </c>
      <c r="G722" s="395"/>
      <c r="H722" s="91">
        <f t="shared" si="58"/>
        <v>0</v>
      </c>
      <c r="I722" s="91" t="str">
        <f t="shared" si="59"/>
        <v/>
      </c>
      <c r="J722" s="91" t="str">
        <f t="shared" si="60"/>
        <v/>
      </c>
      <c r="K722" s="92" t="str">
        <f>IF(AND(A722="",B722="",D722="",G722=""),"",IF(AND(A722&lt;&gt;"",COUNTIF($A$2:$A$5001,A722)&gt;1),"NUMERO_PC duplicado",IF(B722="","DATA_PC vazia",IF(NOT(ISNUMBER(B722)),"DATA_PC invalida",IF(OR(C722="",C722="Fora dos ciclos"),"CICLO_PC nao identificado",IF(OR(D722="",D722=0),"VALOR_PC vazio ou zero",IF(AND(G722&lt;&gt;"Sim",G722&lt;&gt;"Nao",G722&lt;&gt;""),"PC_PAGO_A_CONTRATADA invalido",IF(AND(C722&lt;&gt;"C0",IFERROR(INDEX(parametros!$A$2:$A$6,MATCH(C722,parametros!$B$2:$B$6,0)),"")="Sim",IFERROR(INDEX(parametros!$H$2:$H$6,MATCH(C722,parametros!$B$2:$B$6,0)),"")=""),"INICIO_EFEITO ausente: PC "&amp;A722&amp;" - "&amp;C722,IF(L722="","EFEITO_PC nao calculado: PC "&amp;A722&amp;" - "&amp;C722,"OK")))))))))</f>
        <v/>
      </c>
      <c r="L722" s="92" t="str">
        <f>IF(AND(A722="",B722="",D722="",G722=""),"",IF(OR(B722="",NOT(ISNUMBER(B722)),C722="",C722="Fora dos ciclos"),"",IF(C722="C0","Nao",IF(IFERROR(INDEX(parametros!$A$2:$A$6,MATCH(C722,parametros!$B$2:$B$6,0)),"")&lt;&gt;"Sim","Nao",IF(IFERROR(INDEX(parametros!$H$2:$H$6,MATCH(C722,parametros!$B$2:$B$6,0)),"")="","",IF(B722&gt;=IFERROR(INDEX(parametros!$H$2:$H$6,MATCH(C722,parametros!$B$2:$B$6,0)),""),"Sim","Nao"))))))</f>
        <v/>
      </c>
      <c r="T722" s="156"/>
      <c r="U722" s="214" t="str">
        <f t="shared" si="61"/>
        <v/>
      </c>
      <c r="V722" s="212" t="s">
        <v>50</v>
      </c>
      <c r="W722" s="100" t="s">
        <v>168</v>
      </c>
      <c r="X722" s="100" t="s">
        <v>169</v>
      </c>
      <c r="Y722" s="101" t="s">
        <v>170</v>
      </c>
      <c r="Z722" s="101" t="s">
        <v>171</v>
      </c>
      <c r="AA722" s="101" t="s">
        <v>50</v>
      </c>
      <c r="AB722" s="101" t="s">
        <v>172</v>
      </c>
      <c r="AC722" s="102" t="s">
        <v>173</v>
      </c>
    </row>
    <row r="723" spans="1:29" ht="25.5" customHeight="1" x14ac:dyDescent="0.35">
      <c r="A723" s="392"/>
      <c r="B723" s="393"/>
      <c r="C723" s="99" t="str">
        <f>IF(B723="","",IF(NOT(ISNUMBER(B723)),"DATA_PC invalida",IF(NOT(ISNUMBER(parametros!$C$2)),"Fora dos ciclos",IF(OR(B723&lt;parametros!$C$2,(YEAR(B723)-YEAR(parametros!$C$2))*12+MONTH(B723)-MONTH(parametros!$C$2)&gt;59),"Fora dos ciclos","C"&amp;INT(((YEAR(B723)-YEAR(parametros!$C$2))*12+MONTH(B723)-MONTH(parametros!$C$2))/12)))))</f>
        <v/>
      </c>
      <c r="D723" s="394"/>
      <c r="E723" s="78" t="str">
        <f>IF(C723="","",IFERROR(VLOOKUP(C723,parametros!$A$11:$E$15,5,0),""))</f>
        <v/>
      </c>
      <c r="F723" s="79" t="str">
        <f t="shared" si="57"/>
        <v/>
      </c>
      <c r="G723" s="395"/>
      <c r="H723" s="91">
        <f t="shared" si="58"/>
        <v>0</v>
      </c>
      <c r="I723" s="91" t="str">
        <f t="shared" si="59"/>
        <v/>
      </c>
      <c r="J723" s="91" t="str">
        <f t="shared" si="60"/>
        <v/>
      </c>
      <c r="K723" s="92" t="str">
        <f>IF(AND(A723="",B723="",D723="",G723=""),"",IF(AND(A723&lt;&gt;"",COUNTIF($A$2:$A$5001,A723)&gt;1),"NUMERO_PC duplicado",IF(B723="","DATA_PC vazia",IF(NOT(ISNUMBER(B723)),"DATA_PC invalida",IF(OR(C723="",C723="Fora dos ciclos"),"CICLO_PC nao identificado",IF(OR(D723="",D723=0),"VALOR_PC vazio ou zero",IF(AND(G723&lt;&gt;"Sim",G723&lt;&gt;"Nao",G723&lt;&gt;""),"PC_PAGO_A_CONTRATADA invalido",IF(AND(C723&lt;&gt;"C0",IFERROR(INDEX(parametros!$A$2:$A$6,MATCH(C723,parametros!$B$2:$B$6,0)),"")="Sim",IFERROR(INDEX(parametros!$H$2:$H$6,MATCH(C723,parametros!$B$2:$B$6,0)),"")=""),"INICIO_EFEITO ausente: PC "&amp;A723&amp;" - "&amp;C723,IF(L723="","EFEITO_PC nao calculado: PC "&amp;A723&amp;" - "&amp;C723,"OK")))))))))</f>
        <v/>
      </c>
      <c r="L723" s="92" t="str">
        <f>IF(AND(A723="",B723="",D723="",G723=""),"",IF(OR(B723="",NOT(ISNUMBER(B723)),C723="",C723="Fora dos ciclos"),"",IF(C723="C0","Nao",IF(IFERROR(INDEX(parametros!$A$2:$A$6,MATCH(C723,parametros!$B$2:$B$6,0)),"")&lt;&gt;"Sim","Nao",IF(IFERROR(INDEX(parametros!$H$2:$H$6,MATCH(C723,parametros!$B$2:$B$6,0)),"")="","",IF(B723&gt;=IFERROR(INDEX(parametros!$H$2:$H$6,MATCH(C723,parametros!$B$2:$B$6,0)),""),"Sim","Nao"))))))</f>
        <v/>
      </c>
      <c r="T723" s="156"/>
      <c r="U723" s="214" t="str">
        <f t="shared" si="61"/>
        <v/>
      </c>
      <c r="V723" s="212" t="s">
        <v>50</v>
      </c>
      <c r="W723" s="100" t="s">
        <v>168</v>
      </c>
      <c r="X723" s="100" t="s">
        <v>169</v>
      </c>
      <c r="Y723" s="101" t="s">
        <v>170</v>
      </c>
      <c r="Z723" s="101" t="s">
        <v>171</v>
      </c>
      <c r="AA723" s="101" t="s">
        <v>50</v>
      </c>
      <c r="AB723" s="101" t="s">
        <v>172</v>
      </c>
      <c r="AC723" s="102" t="s">
        <v>173</v>
      </c>
    </row>
    <row r="724" spans="1:29" ht="25.5" customHeight="1" x14ac:dyDescent="0.35">
      <c r="A724" s="392"/>
      <c r="B724" s="393"/>
      <c r="C724" s="99" t="str">
        <f>IF(B724="","",IF(NOT(ISNUMBER(B724)),"DATA_PC invalida",IF(NOT(ISNUMBER(parametros!$C$2)),"Fora dos ciclos",IF(OR(B724&lt;parametros!$C$2,(YEAR(B724)-YEAR(parametros!$C$2))*12+MONTH(B724)-MONTH(parametros!$C$2)&gt;59),"Fora dos ciclos","C"&amp;INT(((YEAR(B724)-YEAR(parametros!$C$2))*12+MONTH(B724)-MONTH(parametros!$C$2))/12)))))</f>
        <v/>
      </c>
      <c r="D724" s="394"/>
      <c r="E724" s="78" t="str">
        <f>IF(C724="","",IFERROR(VLOOKUP(C724,parametros!$A$11:$E$15,5,0),""))</f>
        <v/>
      </c>
      <c r="F724" s="79" t="str">
        <f t="shared" si="57"/>
        <v/>
      </c>
      <c r="G724" s="395"/>
      <c r="H724" s="91">
        <f t="shared" si="58"/>
        <v>0</v>
      </c>
      <c r="I724" s="91" t="str">
        <f t="shared" si="59"/>
        <v/>
      </c>
      <c r="J724" s="91" t="str">
        <f t="shared" si="60"/>
        <v/>
      </c>
      <c r="K724" s="92" t="str">
        <f>IF(AND(A724="",B724="",D724="",G724=""),"",IF(AND(A724&lt;&gt;"",COUNTIF($A$2:$A$5001,A724)&gt;1),"NUMERO_PC duplicado",IF(B724="","DATA_PC vazia",IF(NOT(ISNUMBER(B724)),"DATA_PC invalida",IF(OR(C724="",C724="Fora dos ciclos"),"CICLO_PC nao identificado",IF(OR(D724="",D724=0),"VALOR_PC vazio ou zero",IF(AND(G724&lt;&gt;"Sim",G724&lt;&gt;"Nao",G724&lt;&gt;""),"PC_PAGO_A_CONTRATADA invalido",IF(AND(C724&lt;&gt;"C0",IFERROR(INDEX(parametros!$A$2:$A$6,MATCH(C724,parametros!$B$2:$B$6,0)),"")="Sim",IFERROR(INDEX(parametros!$H$2:$H$6,MATCH(C724,parametros!$B$2:$B$6,0)),"")=""),"INICIO_EFEITO ausente: PC "&amp;A724&amp;" - "&amp;C724,IF(L724="","EFEITO_PC nao calculado: PC "&amp;A724&amp;" - "&amp;C724,"OK")))))))))</f>
        <v/>
      </c>
      <c r="L724" s="92" t="str">
        <f>IF(AND(A724="",B724="",D724="",G724=""),"",IF(OR(B724="",NOT(ISNUMBER(B724)),C724="",C724="Fora dos ciclos"),"",IF(C724="C0","Nao",IF(IFERROR(INDEX(parametros!$A$2:$A$6,MATCH(C724,parametros!$B$2:$B$6,0)),"")&lt;&gt;"Sim","Nao",IF(IFERROR(INDEX(parametros!$H$2:$H$6,MATCH(C724,parametros!$B$2:$B$6,0)),"")="","",IF(B724&gt;=IFERROR(INDEX(parametros!$H$2:$H$6,MATCH(C724,parametros!$B$2:$B$6,0)),""),"Sim","Nao"))))))</f>
        <v/>
      </c>
      <c r="T724" s="156"/>
      <c r="U724" s="214" t="str">
        <f t="shared" si="61"/>
        <v/>
      </c>
      <c r="V724" s="212" t="s">
        <v>50</v>
      </c>
      <c r="W724" s="100" t="s">
        <v>168</v>
      </c>
      <c r="X724" s="100" t="s">
        <v>169</v>
      </c>
      <c r="Y724" s="101" t="s">
        <v>170</v>
      </c>
      <c r="Z724" s="101" t="s">
        <v>171</v>
      </c>
      <c r="AA724" s="101" t="s">
        <v>50</v>
      </c>
      <c r="AB724" s="101" t="s">
        <v>172</v>
      </c>
      <c r="AC724" s="102" t="s">
        <v>173</v>
      </c>
    </row>
    <row r="725" spans="1:29" ht="25.5" customHeight="1" x14ac:dyDescent="0.35">
      <c r="A725" s="392"/>
      <c r="B725" s="393"/>
      <c r="C725" s="99" t="str">
        <f>IF(B725="","",IF(NOT(ISNUMBER(B725)),"DATA_PC invalida",IF(NOT(ISNUMBER(parametros!$C$2)),"Fora dos ciclos",IF(OR(B725&lt;parametros!$C$2,(YEAR(B725)-YEAR(parametros!$C$2))*12+MONTH(B725)-MONTH(parametros!$C$2)&gt;59),"Fora dos ciclos","C"&amp;INT(((YEAR(B725)-YEAR(parametros!$C$2))*12+MONTH(B725)-MONTH(parametros!$C$2))/12)))))</f>
        <v/>
      </c>
      <c r="D725" s="394"/>
      <c r="E725" s="78" t="str">
        <f>IF(C725="","",IFERROR(VLOOKUP(C725,parametros!$A$11:$E$15,5,0),""))</f>
        <v/>
      </c>
      <c r="F725" s="79" t="str">
        <f t="shared" si="57"/>
        <v/>
      </c>
      <c r="G725" s="395"/>
      <c r="H725" s="91">
        <f t="shared" si="58"/>
        <v>0</v>
      </c>
      <c r="I725" s="91" t="str">
        <f t="shared" si="59"/>
        <v/>
      </c>
      <c r="J725" s="91" t="str">
        <f t="shared" si="60"/>
        <v/>
      </c>
      <c r="K725" s="92" t="str">
        <f>IF(AND(A725="",B725="",D725="",G725=""),"",IF(AND(A725&lt;&gt;"",COUNTIF($A$2:$A$5001,A725)&gt;1),"NUMERO_PC duplicado",IF(B725="","DATA_PC vazia",IF(NOT(ISNUMBER(B725)),"DATA_PC invalida",IF(OR(C725="",C725="Fora dos ciclos"),"CICLO_PC nao identificado",IF(OR(D725="",D725=0),"VALOR_PC vazio ou zero",IF(AND(G725&lt;&gt;"Sim",G725&lt;&gt;"Nao",G725&lt;&gt;""),"PC_PAGO_A_CONTRATADA invalido",IF(AND(C725&lt;&gt;"C0",IFERROR(INDEX(parametros!$A$2:$A$6,MATCH(C725,parametros!$B$2:$B$6,0)),"")="Sim",IFERROR(INDEX(parametros!$H$2:$H$6,MATCH(C725,parametros!$B$2:$B$6,0)),"")=""),"INICIO_EFEITO ausente: PC "&amp;A725&amp;" - "&amp;C725,IF(L725="","EFEITO_PC nao calculado: PC "&amp;A725&amp;" - "&amp;C725,"OK")))))))))</f>
        <v/>
      </c>
      <c r="L725" s="92" t="str">
        <f>IF(AND(A725="",B725="",D725="",G725=""),"",IF(OR(B725="",NOT(ISNUMBER(B725)),C725="",C725="Fora dos ciclos"),"",IF(C725="C0","Nao",IF(IFERROR(INDEX(parametros!$A$2:$A$6,MATCH(C725,parametros!$B$2:$B$6,0)),"")&lt;&gt;"Sim","Nao",IF(IFERROR(INDEX(parametros!$H$2:$H$6,MATCH(C725,parametros!$B$2:$B$6,0)),"")="","",IF(B725&gt;=IFERROR(INDEX(parametros!$H$2:$H$6,MATCH(C725,parametros!$B$2:$B$6,0)),""),"Sim","Nao"))))))</f>
        <v/>
      </c>
      <c r="T725" s="156"/>
      <c r="U725" s="214" t="str">
        <f t="shared" si="61"/>
        <v/>
      </c>
      <c r="V725" s="212" t="s">
        <v>50</v>
      </c>
      <c r="W725" s="100" t="s">
        <v>168</v>
      </c>
      <c r="X725" s="100" t="s">
        <v>169</v>
      </c>
      <c r="Y725" s="101" t="s">
        <v>170</v>
      </c>
      <c r="Z725" s="101" t="s">
        <v>171</v>
      </c>
      <c r="AA725" s="101" t="s">
        <v>50</v>
      </c>
      <c r="AB725" s="101" t="s">
        <v>172</v>
      </c>
      <c r="AC725" s="102" t="s">
        <v>173</v>
      </c>
    </row>
    <row r="726" spans="1:29" ht="25.5" customHeight="1" x14ac:dyDescent="0.35">
      <c r="A726" s="392"/>
      <c r="B726" s="393"/>
      <c r="C726" s="99" t="str">
        <f>IF(B726="","",IF(NOT(ISNUMBER(B726)),"DATA_PC invalida",IF(NOT(ISNUMBER(parametros!$C$2)),"Fora dos ciclos",IF(OR(B726&lt;parametros!$C$2,(YEAR(B726)-YEAR(parametros!$C$2))*12+MONTH(B726)-MONTH(parametros!$C$2)&gt;59),"Fora dos ciclos","C"&amp;INT(((YEAR(B726)-YEAR(parametros!$C$2))*12+MONTH(B726)-MONTH(parametros!$C$2))/12)))))</f>
        <v/>
      </c>
      <c r="D726" s="394"/>
      <c r="E726" s="78" t="str">
        <f>IF(C726="","",IFERROR(VLOOKUP(C726,parametros!$A$11:$E$15,5,0),""))</f>
        <v/>
      </c>
      <c r="F726" s="79" t="str">
        <f t="shared" si="57"/>
        <v/>
      </c>
      <c r="G726" s="395"/>
      <c r="H726" s="91">
        <f t="shared" si="58"/>
        <v>0</v>
      </c>
      <c r="I726" s="91" t="str">
        <f t="shared" si="59"/>
        <v/>
      </c>
      <c r="J726" s="91" t="str">
        <f t="shared" si="60"/>
        <v/>
      </c>
      <c r="K726" s="92" t="str">
        <f>IF(AND(A726="",B726="",D726="",G726=""),"",IF(AND(A726&lt;&gt;"",COUNTIF($A$2:$A$5001,A726)&gt;1),"NUMERO_PC duplicado",IF(B726="","DATA_PC vazia",IF(NOT(ISNUMBER(B726)),"DATA_PC invalida",IF(OR(C726="",C726="Fora dos ciclos"),"CICLO_PC nao identificado",IF(OR(D726="",D726=0),"VALOR_PC vazio ou zero",IF(AND(G726&lt;&gt;"Sim",G726&lt;&gt;"Nao",G726&lt;&gt;""),"PC_PAGO_A_CONTRATADA invalido",IF(AND(C726&lt;&gt;"C0",IFERROR(INDEX(parametros!$A$2:$A$6,MATCH(C726,parametros!$B$2:$B$6,0)),"")="Sim",IFERROR(INDEX(parametros!$H$2:$H$6,MATCH(C726,parametros!$B$2:$B$6,0)),"")=""),"INICIO_EFEITO ausente: PC "&amp;A726&amp;" - "&amp;C726,IF(L726="","EFEITO_PC nao calculado: PC "&amp;A726&amp;" - "&amp;C726,"OK")))))))))</f>
        <v/>
      </c>
      <c r="L726" s="92" t="str">
        <f>IF(AND(A726="",B726="",D726="",G726=""),"",IF(OR(B726="",NOT(ISNUMBER(B726)),C726="",C726="Fora dos ciclos"),"",IF(C726="C0","Nao",IF(IFERROR(INDEX(parametros!$A$2:$A$6,MATCH(C726,parametros!$B$2:$B$6,0)),"")&lt;&gt;"Sim","Nao",IF(IFERROR(INDEX(parametros!$H$2:$H$6,MATCH(C726,parametros!$B$2:$B$6,0)),"")="","",IF(B726&gt;=IFERROR(INDEX(parametros!$H$2:$H$6,MATCH(C726,parametros!$B$2:$B$6,0)),""),"Sim","Nao"))))))</f>
        <v/>
      </c>
      <c r="T726" s="156"/>
      <c r="U726" s="214" t="str">
        <f t="shared" si="61"/>
        <v/>
      </c>
      <c r="V726" s="212" t="s">
        <v>50</v>
      </c>
      <c r="W726" s="100" t="s">
        <v>168</v>
      </c>
      <c r="X726" s="100" t="s">
        <v>169</v>
      </c>
      <c r="Y726" s="101" t="s">
        <v>170</v>
      </c>
      <c r="Z726" s="101" t="s">
        <v>171</v>
      </c>
      <c r="AA726" s="101" t="s">
        <v>50</v>
      </c>
      <c r="AB726" s="101" t="s">
        <v>172</v>
      </c>
      <c r="AC726" s="102" t="s">
        <v>173</v>
      </c>
    </row>
    <row r="727" spans="1:29" ht="25.5" customHeight="1" x14ac:dyDescent="0.35">
      <c r="A727" s="392"/>
      <c r="B727" s="393"/>
      <c r="C727" s="99" t="str">
        <f>IF(B727="","",IF(NOT(ISNUMBER(B727)),"DATA_PC invalida",IF(NOT(ISNUMBER(parametros!$C$2)),"Fora dos ciclos",IF(OR(B727&lt;parametros!$C$2,(YEAR(B727)-YEAR(parametros!$C$2))*12+MONTH(B727)-MONTH(parametros!$C$2)&gt;59),"Fora dos ciclos","C"&amp;INT(((YEAR(B727)-YEAR(parametros!$C$2))*12+MONTH(B727)-MONTH(parametros!$C$2))/12)))))</f>
        <v/>
      </c>
      <c r="D727" s="394"/>
      <c r="E727" s="78" t="str">
        <f>IF(C727="","",IFERROR(VLOOKUP(C727,parametros!$A$11:$E$15,5,0),""))</f>
        <v/>
      </c>
      <c r="F727" s="79" t="str">
        <f t="shared" si="57"/>
        <v/>
      </c>
      <c r="G727" s="395"/>
      <c r="H727" s="91">
        <f t="shared" si="58"/>
        <v>0</v>
      </c>
      <c r="I727" s="91" t="str">
        <f t="shared" si="59"/>
        <v/>
      </c>
      <c r="J727" s="91" t="str">
        <f t="shared" si="60"/>
        <v/>
      </c>
      <c r="K727" s="92" t="str">
        <f>IF(AND(A727="",B727="",D727="",G727=""),"",IF(AND(A727&lt;&gt;"",COUNTIF($A$2:$A$5001,A727)&gt;1),"NUMERO_PC duplicado",IF(B727="","DATA_PC vazia",IF(NOT(ISNUMBER(B727)),"DATA_PC invalida",IF(OR(C727="",C727="Fora dos ciclos"),"CICLO_PC nao identificado",IF(OR(D727="",D727=0),"VALOR_PC vazio ou zero",IF(AND(G727&lt;&gt;"Sim",G727&lt;&gt;"Nao",G727&lt;&gt;""),"PC_PAGO_A_CONTRATADA invalido",IF(AND(C727&lt;&gt;"C0",IFERROR(INDEX(parametros!$A$2:$A$6,MATCH(C727,parametros!$B$2:$B$6,0)),"")="Sim",IFERROR(INDEX(parametros!$H$2:$H$6,MATCH(C727,parametros!$B$2:$B$6,0)),"")=""),"INICIO_EFEITO ausente: PC "&amp;A727&amp;" - "&amp;C727,IF(L727="","EFEITO_PC nao calculado: PC "&amp;A727&amp;" - "&amp;C727,"OK")))))))))</f>
        <v/>
      </c>
      <c r="L727" s="92" t="str">
        <f>IF(AND(A727="",B727="",D727="",G727=""),"",IF(OR(B727="",NOT(ISNUMBER(B727)),C727="",C727="Fora dos ciclos"),"",IF(C727="C0","Nao",IF(IFERROR(INDEX(parametros!$A$2:$A$6,MATCH(C727,parametros!$B$2:$B$6,0)),"")&lt;&gt;"Sim","Nao",IF(IFERROR(INDEX(parametros!$H$2:$H$6,MATCH(C727,parametros!$B$2:$B$6,0)),"")="","",IF(B727&gt;=IFERROR(INDEX(parametros!$H$2:$H$6,MATCH(C727,parametros!$B$2:$B$6,0)),""),"Sim","Nao"))))))</f>
        <v/>
      </c>
      <c r="T727" s="156"/>
      <c r="U727" s="214" t="str">
        <f t="shared" si="61"/>
        <v/>
      </c>
      <c r="V727" s="212" t="s">
        <v>50</v>
      </c>
      <c r="W727" s="100" t="s">
        <v>168</v>
      </c>
      <c r="X727" s="100" t="s">
        <v>169</v>
      </c>
      <c r="Y727" s="101" t="s">
        <v>170</v>
      </c>
      <c r="Z727" s="101" t="s">
        <v>171</v>
      </c>
      <c r="AA727" s="101" t="s">
        <v>50</v>
      </c>
      <c r="AB727" s="101" t="s">
        <v>172</v>
      </c>
      <c r="AC727" s="102" t="s">
        <v>173</v>
      </c>
    </row>
    <row r="728" spans="1:29" ht="25.5" customHeight="1" x14ac:dyDescent="0.35">
      <c r="A728" s="392"/>
      <c r="B728" s="393"/>
      <c r="C728" s="99" t="str">
        <f>IF(B728="","",IF(NOT(ISNUMBER(B728)),"DATA_PC invalida",IF(NOT(ISNUMBER(parametros!$C$2)),"Fora dos ciclos",IF(OR(B728&lt;parametros!$C$2,(YEAR(B728)-YEAR(parametros!$C$2))*12+MONTH(B728)-MONTH(parametros!$C$2)&gt;59),"Fora dos ciclos","C"&amp;INT(((YEAR(B728)-YEAR(parametros!$C$2))*12+MONTH(B728)-MONTH(parametros!$C$2))/12)))))</f>
        <v/>
      </c>
      <c r="D728" s="394"/>
      <c r="E728" s="78" t="str">
        <f>IF(C728="","",IFERROR(VLOOKUP(C728,parametros!$A$11:$E$15,5,0),""))</f>
        <v/>
      </c>
      <c r="F728" s="79" t="str">
        <f t="shared" si="57"/>
        <v/>
      </c>
      <c r="G728" s="395"/>
      <c r="H728" s="91">
        <f t="shared" si="58"/>
        <v>0</v>
      </c>
      <c r="I728" s="91" t="str">
        <f t="shared" si="59"/>
        <v/>
      </c>
      <c r="J728" s="91" t="str">
        <f t="shared" si="60"/>
        <v/>
      </c>
      <c r="K728" s="92" t="str">
        <f>IF(AND(A728="",B728="",D728="",G728=""),"",IF(AND(A728&lt;&gt;"",COUNTIF($A$2:$A$5001,A728)&gt;1),"NUMERO_PC duplicado",IF(B728="","DATA_PC vazia",IF(NOT(ISNUMBER(B728)),"DATA_PC invalida",IF(OR(C728="",C728="Fora dos ciclos"),"CICLO_PC nao identificado",IF(OR(D728="",D728=0),"VALOR_PC vazio ou zero",IF(AND(G728&lt;&gt;"Sim",G728&lt;&gt;"Nao",G728&lt;&gt;""),"PC_PAGO_A_CONTRATADA invalido",IF(AND(C728&lt;&gt;"C0",IFERROR(INDEX(parametros!$A$2:$A$6,MATCH(C728,parametros!$B$2:$B$6,0)),"")="Sim",IFERROR(INDEX(parametros!$H$2:$H$6,MATCH(C728,parametros!$B$2:$B$6,0)),"")=""),"INICIO_EFEITO ausente: PC "&amp;A728&amp;" - "&amp;C728,IF(L728="","EFEITO_PC nao calculado: PC "&amp;A728&amp;" - "&amp;C728,"OK")))))))))</f>
        <v/>
      </c>
      <c r="L728" s="92" t="str">
        <f>IF(AND(A728="",B728="",D728="",G728=""),"",IF(OR(B728="",NOT(ISNUMBER(B728)),C728="",C728="Fora dos ciclos"),"",IF(C728="C0","Nao",IF(IFERROR(INDEX(parametros!$A$2:$A$6,MATCH(C728,parametros!$B$2:$B$6,0)),"")&lt;&gt;"Sim","Nao",IF(IFERROR(INDEX(parametros!$H$2:$H$6,MATCH(C728,parametros!$B$2:$B$6,0)),"")="","",IF(B728&gt;=IFERROR(INDEX(parametros!$H$2:$H$6,MATCH(C728,parametros!$B$2:$B$6,0)),""),"Sim","Nao"))))))</f>
        <v/>
      </c>
      <c r="T728" s="156"/>
      <c r="U728" s="214" t="str">
        <f t="shared" si="61"/>
        <v/>
      </c>
      <c r="V728" s="212" t="s">
        <v>50</v>
      </c>
      <c r="W728" s="100" t="s">
        <v>168</v>
      </c>
      <c r="X728" s="100" t="s">
        <v>169</v>
      </c>
      <c r="Y728" s="101" t="s">
        <v>170</v>
      </c>
      <c r="Z728" s="101" t="s">
        <v>171</v>
      </c>
      <c r="AA728" s="101" t="s">
        <v>50</v>
      </c>
      <c r="AB728" s="101" t="s">
        <v>172</v>
      </c>
      <c r="AC728" s="102" t="s">
        <v>173</v>
      </c>
    </row>
    <row r="729" spans="1:29" ht="25.5" customHeight="1" x14ac:dyDescent="0.35">
      <c r="A729" s="392"/>
      <c r="B729" s="393"/>
      <c r="C729" s="99" t="str">
        <f>IF(B729="","",IF(NOT(ISNUMBER(B729)),"DATA_PC invalida",IF(NOT(ISNUMBER(parametros!$C$2)),"Fora dos ciclos",IF(OR(B729&lt;parametros!$C$2,(YEAR(B729)-YEAR(parametros!$C$2))*12+MONTH(B729)-MONTH(parametros!$C$2)&gt;59),"Fora dos ciclos","C"&amp;INT(((YEAR(B729)-YEAR(parametros!$C$2))*12+MONTH(B729)-MONTH(parametros!$C$2))/12)))))</f>
        <v/>
      </c>
      <c r="D729" s="394"/>
      <c r="E729" s="78" t="str">
        <f>IF(C729="","",IFERROR(VLOOKUP(C729,parametros!$A$11:$E$15,5,0),""))</f>
        <v/>
      </c>
      <c r="F729" s="79" t="str">
        <f t="shared" si="57"/>
        <v/>
      </c>
      <c r="G729" s="395"/>
      <c r="H729" s="91">
        <f t="shared" si="58"/>
        <v>0</v>
      </c>
      <c r="I729" s="91" t="str">
        <f t="shared" si="59"/>
        <v/>
      </c>
      <c r="J729" s="91" t="str">
        <f t="shared" si="60"/>
        <v/>
      </c>
      <c r="K729" s="92" t="str">
        <f>IF(AND(A729="",B729="",D729="",G729=""),"",IF(AND(A729&lt;&gt;"",COUNTIF($A$2:$A$5001,A729)&gt;1),"NUMERO_PC duplicado",IF(B729="","DATA_PC vazia",IF(NOT(ISNUMBER(B729)),"DATA_PC invalida",IF(OR(C729="",C729="Fora dos ciclos"),"CICLO_PC nao identificado",IF(OR(D729="",D729=0),"VALOR_PC vazio ou zero",IF(AND(G729&lt;&gt;"Sim",G729&lt;&gt;"Nao",G729&lt;&gt;""),"PC_PAGO_A_CONTRATADA invalido",IF(AND(C729&lt;&gt;"C0",IFERROR(INDEX(parametros!$A$2:$A$6,MATCH(C729,parametros!$B$2:$B$6,0)),"")="Sim",IFERROR(INDEX(parametros!$H$2:$H$6,MATCH(C729,parametros!$B$2:$B$6,0)),"")=""),"INICIO_EFEITO ausente: PC "&amp;A729&amp;" - "&amp;C729,IF(L729="","EFEITO_PC nao calculado: PC "&amp;A729&amp;" - "&amp;C729,"OK")))))))))</f>
        <v/>
      </c>
      <c r="L729" s="92" t="str">
        <f>IF(AND(A729="",B729="",D729="",G729=""),"",IF(OR(B729="",NOT(ISNUMBER(B729)),C729="",C729="Fora dos ciclos"),"",IF(C729="C0","Nao",IF(IFERROR(INDEX(parametros!$A$2:$A$6,MATCH(C729,parametros!$B$2:$B$6,0)),"")&lt;&gt;"Sim","Nao",IF(IFERROR(INDEX(parametros!$H$2:$H$6,MATCH(C729,parametros!$B$2:$B$6,0)),"")="","",IF(B729&gt;=IFERROR(INDEX(parametros!$H$2:$H$6,MATCH(C729,parametros!$B$2:$B$6,0)),""),"Sim","Nao"))))))</f>
        <v/>
      </c>
      <c r="T729" s="156"/>
      <c r="U729" s="214" t="str">
        <f t="shared" si="61"/>
        <v/>
      </c>
      <c r="V729" s="212" t="s">
        <v>50</v>
      </c>
      <c r="W729" s="100" t="s">
        <v>168</v>
      </c>
      <c r="X729" s="100" t="s">
        <v>169</v>
      </c>
      <c r="Y729" s="101" t="s">
        <v>170</v>
      </c>
      <c r="Z729" s="101" t="s">
        <v>171</v>
      </c>
      <c r="AA729" s="101" t="s">
        <v>50</v>
      </c>
      <c r="AB729" s="101" t="s">
        <v>172</v>
      </c>
      <c r="AC729" s="102" t="s">
        <v>173</v>
      </c>
    </row>
    <row r="730" spans="1:29" ht="25.5" customHeight="1" x14ac:dyDescent="0.35">
      <c r="A730" s="392"/>
      <c r="B730" s="393"/>
      <c r="C730" s="99" t="str">
        <f>IF(B730="","",IF(NOT(ISNUMBER(B730)),"DATA_PC invalida",IF(NOT(ISNUMBER(parametros!$C$2)),"Fora dos ciclos",IF(OR(B730&lt;parametros!$C$2,(YEAR(B730)-YEAR(parametros!$C$2))*12+MONTH(B730)-MONTH(parametros!$C$2)&gt;59),"Fora dos ciclos","C"&amp;INT(((YEAR(B730)-YEAR(parametros!$C$2))*12+MONTH(B730)-MONTH(parametros!$C$2))/12)))))</f>
        <v/>
      </c>
      <c r="D730" s="394"/>
      <c r="E730" s="78" t="str">
        <f>IF(C730="","",IFERROR(VLOOKUP(C730,parametros!$A$11:$E$15,5,0),""))</f>
        <v/>
      </c>
      <c r="F730" s="79" t="str">
        <f t="shared" si="57"/>
        <v/>
      </c>
      <c r="G730" s="395"/>
      <c r="H730" s="91">
        <f t="shared" si="58"/>
        <v>0</v>
      </c>
      <c r="I730" s="91" t="str">
        <f t="shared" si="59"/>
        <v/>
      </c>
      <c r="J730" s="91" t="str">
        <f t="shared" si="60"/>
        <v/>
      </c>
      <c r="K730" s="92" t="str">
        <f>IF(AND(A730="",B730="",D730="",G730=""),"",IF(AND(A730&lt;&gt;"",COUNTIF($A$2:$A$5001,A730)&gt;1),"NUMERO_PC duplicado",IF(B730="","DATA_PC vazia",IF(NOT(ISNUMBER(B730)),"DATA_PC invalida",IF(OR(C730="",C730="Fora dos ciclos"),"CICLO_PC nao identificado",IF(OR(D730="",D730=0),"VALOR_PC vazio ou zero",IF(AND(G730&lt;&gt;"Sim",G730&lt;&gt;"Nao",G730&lt;&gt;""),"PC_PAGO_A_CONTRATADA invalido",IF(AND(C730&lt;&gt;"C0",IFERROR(INDEX(parametros!$A$2:$A$6,MATCH(C730,parametros!$B$2:$B$6,0)),"")="Sim",IFERROR(INDEX(parametros!$H$2:$H$6,MATCH(C730,parametros!$B$2:$B$6,0)),"")=""),"INICIO_EFEITO ausente: PC "&amp;A730&amp;" - "&amp;C730,IF(L730="","EFEITO_PC nao calculado: PC "&amp;A730&amp;" - "&amp;C730,"OK")))))))))</f>
        <v/>
      </c>
      <c r="L730" s="92" t="str">
        <f>IF(AND(A730="",B730="",D730="",G730=""),"",IF(OR(B730="",NOT(ISNUMBER(B730)),C730="",C730="Fora dos ciclos"),"",IF(C730="C0","Nao",IF(IFERROR(INDEX(parametros!$A$2:$A$6,MATCH(C730,parametros!$B$2:$B$6,0)),"")&lt;&gt;"Sim","Nao",IF(IFERROR(INDEX(parametros!$H$2:$H$6,MATCH(C730,parametros!$B$2:$B$6,0)),"")="","",IF(B730&gt;=IFERROR(INDEX(parametros!$H$2:$H$6,MATCH(C730,parametros!$B$2:$B$6,0)),""),"Sim","Nao"))))))</f>
        <v/>
      </c>
      <c r="T730" s="156"/>
      <c r="U730" s="214" t="str">
        <f t="shared" si="61"/>
        <v/>
      </c>
      <c r="V730" s="212" t="s">
        <v>50</v>
      </c>
      <c r="W730" s="100" t="s">
        <v>168</v>
      </c>
      <c r="X730" s="100" t="s">
        <v>169</v>
      </c>
      <c r="Y730" s="101" t="s">
        <v>170</v>
      </c>
      <c r="Z730" s="101" t="s">
        <v>171</v>
      </c>
      <c r="AA730" s="101" t="s">
        <v>50</v>
      </c>
      <c r="AB730" s="101" t="s">
        <v>172</v>
      </c>
      <c r="AC730" s="102" t="s">
        <v>173</v>
      </c>
    </row>
    <row r="731" spans="1:29" ht="25.5" customHeight="1" x14ac:dyDescent="0.35">
      <c r="A731" s="392"/>
      <c r="B731" s="393"/>
      <c r="C731" s="99" t="str">
        <f>IF(B731="","",IF(NOT(ISNUMBER(B731)),"DATA_PC invalida",IF(NOT(ISNUMBER(parametros!$C$2)),"Fora dos ciclos",IF(OR(B731&lt;parametros!$C$2,(YEAR(B731)-YEAR(parametros!$C$2))*12+MONTH(B731)-MONTH(parametros!$C$2)&gt;59),"Fora dos ciclos","C"&amp;INT(((YEAR(B731)-YEAR(parametros!$C$2))*12+MONTH(B731)-MONTH(parametros!$C$2))/12)))))</f>
        <v/>
      </c>
      <c r="D731" s="394"/>
      <c r="E731" s="78" t="str">
        <f>IF(C731="","",IFERROR(VLOOKUP(C731,parametros!$A$11:$E$15,5,0),""))</f>
        <v/>
      </c>
      <c r="F731" s="79" t="str">
        <f t="shared" si="57"/>
        <v/>
      </c>
      <c r="G731" s="395"/>
      <c r="H731" s="91">
        <f t="shared" si="58"/>
        <v>0</v>
      </c>
      <c r="I731" s="91" t="str">
        <f t="shared" si="59"/>
        <v/>
      </c>
      <c r="J731" s="91" t="str">
        <f t="shared" si="60"/>
        <v/>
      </c>
      <c r="K731" s="92" t="str">
        <f>IF(AND(A731="",B731="",D731="",G731=""),"",IF(AND(A731&lt;&gt;"",COUNTIF($A$2:$A$5001,A731)&gt;1),"NUMERO_PC duplicado",IF(B731="","DATA_PC vazia",IF(NOT(ISNUMBER(B731)),"DATA_PC invalida",IF(OR(C731="",C731="Fora dos ciclos"),"CICLO_PC nao identificado",IF(OR(D731="",D731=0),"VALOR_PC vazio ou zero",IF(AND(G731&lt;&gt;"Sim",G731&lt;&gt;"Nao",G731&lt;&gt;""),"PC_PAGO_A_CONTRATADA invalido",IF(AND(C731&lt;&gt;"C0",IFERROR(INDEX(parametros!$A$2:$A$6,MATCH(C731,parametros!$B$2:$B$6,0)),"")="Sim",IFERROR(INDEX(parametros!$H$2:$H$6,MATCH(C731,parametros!$B$2:$B$6,0)),"")=""),"INICIO_EFEITO ausente: PC "&amp;A731&amp;" - "&amp;C731,IF(L731="","EFEITO_PC nao calculado: PC "&amp;A731&amp;" - "&amp;C731,"OK")))))))))</f>
        <v/>
      </c>
      <c r="L731" s="92" t="str">
        <f>IF(AND(A731="",B731="",D731="",G731=""),"",IF(OR(B731="",NOT(ISNUMBER(B731)),C731="",C731="Fora dos ciclos"),"",IF(C731="C0","Nao",IF(IFERROR(INDEX(parametros!$A$2:$A$6,MATCH(C731,parametros!$B$2:$B$6,0)),"")&lt;&gt;"Sim","Nao",IF(IFERROR(INDEX(parametros!$H$2:$H$6,MATCH(C731,parametros!$B$2:$B$6,0)),"")="","",IF(B731&gt;=IFERROR(INDEX(parametros!$H$2:$H$6,MATCH(C731,parametros!$B$2:$B$6,0)),""),"Sim","Nao"))))))</f>
        <v/>
      </c>
      <c r="T731" s="156"/>
      <c r="U731" s="214" t="str">
        <f t="shared" si="61"/>
        <v/>
      </c>
      <c r="V731" s="212" t="s">
        <v>50</v>
      </c>
      <c r="W731" s="100" t="s">
        <v>168</v>
      </c>
      <c r="X731" s="100" t="s">
        <v>169</v>
      </c>
      <c r="Y731" s="101" t="s">
        <v>170</v>
      </c>
      <c r="Z731" s="101" t="s">
        <v>171</v>
      </c>
      <c r="AA731" s="101" t="s">
        <v>50</v>
      </c>
      <c r="AB731" s="101" t="s">
        <v>172</v>
      </c>
      <c r="AC731" s="102" t="s">
        <v>173</v>
      </c>
    </row>
    <row r="732" spans="1:29" ht="25.5" customHeight="1" x14ac:dyDescent="0.35">
      <c r="A732" s="392"/>
      <c r="B732" s="393"/>
      <c r="C732" s="99" t="str">
        <f>IF(B732="","",IF(NOT(ISNUMBER(B732)),"DATA_PC invalida",IF(NOT(ISNUMBER(parametros!$C$2)),"Fora dos ciclos",IF(OR(B732&lt;parametros!$C$2,(YEAR(B732)-YEAR(parametros!$C$2))*12+MONTH(B732)-MONTH(parametros!$C$2)&gt;59),"Fora dos ciclos","C"&amp;INT(((YEAR(B732)-YEAR(parametros!$C$2))*12+MONTH(B732)-MONTH(parametros!$C$2))/12)))))</f>
        <v/>
      </c>
      <c r="D732" s="394"/>
      <c r="E732" s="78" t="str">
        <f>IF(C732="","",IFERROR(VLOOKUP(C732,parametros!$A$11:$E$15,5,0),""))</f>
        <v/>
      </c>
      <c r="F732" s="79" t="str">
        <f t="shared" si="57"/>
        <v/>
      </c>
      <c r="G732" s="395"/>
      <c r="H732" s="91">
        <f t="shared" si="58"/>
        <v>0</v>
      </c>
      <c r="I732" s="91" t="str">
        <f t="shared" si="59"/>
        <v/>
      </c>
      <c r="J732" s="91" t="str">
        <f t="shared" si="60"/>
        <v/>
      </c>
      <c r="K732" s="92" t="str">
        <f>IF(AND(A732="",B732="",D732="",G732=""),"",IF(AND(A732&lt;&gt;"",COUNTIF($A$2:$A$5001,A732)&gt;1),"NUMERO_PC duplicado",IF(B732="","DATA_PC vazia",IF(NOT(ISNUMBER(B732)),"DATA_PC invalida",IF(OR(C732="",C732="Fora dos ciclos"),"CICLO_PC nao identificado",IF(OR(D732="",D732=0),"VALOR_PC vazio ou zero",IF(AND(G732&lt;&gt;"Sim",G732&lt;&gt;"Nao",G732&lt;&gt;""),"PC_PAGO_A_CONTRATADA invalido",IF(AND(C732&lt;&gt;"C0",IFERROR(INDEX(parametros!$A$2:$A$6,MATCH(C732,parametros!$B$2:$B$6,0)),"")="Sim",IFERROR(INDEX(parametros!$H$2:$H$6,MATCH(C732,parametros!$B$2:$B$6,0)),"")=""),"INICIO_EFEITO ausente: PC "&amp;A732&amp;" - "&amp;C732,IF(L732="","EFEITO_PC nao calculado: PC "&amp;A732&amp;" - "&amp;C732,"OK")))))))))</f>
        <v/>
      </c>
      <c r="L732" s="92" t="str">
        <f>IF(AND(A732="",B732="",D732="",G732=""),"",IF(OR(B732="",NOT(ISNUMBER(B732)),C732="",C732="Fora dos ciclos"),"",IF(C732="C0","Nao",IF(IFERROR(INDEX(parametros!$A$2:$A$6,MATCH(C732,parametros!$B$2:$B$6,0)),"")&lt;&gt;"Sim","Nao",IF(IFERROR(INDEX(parametros!$H$2:$H$6,MATCH(C732,parametros!$B$2:$B$6,0)),"")="","",IF(B732&gt;=IFERROR(INDEX(parametros!$H$2:$H$6,MATCH(C732,parametros!$B$2:$B$6,0)),""),"Sim","Nao"))))))</f>
        <v/>
      </c>
      <c r="T732" s="156"/>
      <c r="U732" s="214" t="str">
        <f t="shared" si="61"/>
        <v/>
      </c>
      <c r="V732" s="212" t="s">
        <v>50</v>
      </c>
      <c r="W732" s="100" t="s">
        <v>168</v>
      </c>
      <c r="X732" s="100" t="s">
        <v>169</v>
      </c>
      <c r="Y732" s="101" t="s">
        <v>170</v>
      </c>
      <c r="Z732" s="101" t="s">
        <v>171</v>
      </c>
      <c r="AA732" s="101" t="s">
        <v>50</v>
      </c>
      <c r="AB732" s="101" t="s">
        <v>172</v>
      </c>
      <c r="AC732" s="102" t="s">
        <v>173</v>
      </c>
    </row>
    <row r="733" spans="1:29" ht="25.5" customHeight="1" x14ac:dyDescent="0.35">
      <c r="A733" s="392"/>
      <c r="B733" s="393"/>
      <c r="C733" s="99" t="str">
        <f>IF(B733="","",IF(NOT(ISNUMBER(B733)),"DATA_PC invalida",IF(NOT(ISNUMBER(parametros!$C$2)),"Fora dos ciclos",IF(OR(B733&lt;parametros!$C$2,(YEAR(B733)-YEAR(parametros!$C$2))*12+MONTH(B733)-MONTH(parametros!$C$2)&gt;59),"Fora dos ciclos","C"&amp;INT(((YEAR(B733)-YEAR(parametros!$C$2))*12+MONTH(B733)-MONTH(parametros!$C$2))/12)))))</f>
        <v/>
      </c>
      <c r="D733" s="394"/>
      <c r="E733" s="78" t="str">
        <f>IF(C733="","",IFERROR(VLOOKUP(C733,parametros!$A$11:$E$15,5,0),""))</f>
        <v/>
      </c>
      <c r="F733" s="79" t="str">
        <f t="shared" si="57"/>
        <v/>
      </c>
      <c r="G733" s="395"/>
      <c r="H733" s="91">
        <f t="shared" si="58"/>
        <v>0</v>
      </c>
      <c r="I733" s="91" t="str">
        <f t="shared" si="59"/>
        <v/>
      </c>
      <c r="J733" s="91" t="str">
        <f t="shared" si="60"/>
        <v/>
      </c>
      <c r="K733" s="92" t="str">
        <f>IF(AND(A733="",B733="",D733="",G733=""),"",IF(AND(A733&lt;&gt;"",COUNTIF($A$2:$A$5001,A733)&gt;1),"NUMERO_PC duplicado",IF(B733="","DATA_PC vazia",IF(NOT(ISNUMBER(B733)),"DATA_PC invalida",IF(OR(C733="",C733="Fora dos ciclos"),"CICLO_PC nao identificado",IF(OR(D733="",D733=0),"VALOR_PC vazio ou zero",IF(AND(G733&lt;&gt;"Sim",G733&lt;&gt;"Nao",G733&lt;&gt;""),"PC_PAGO_A_CONTRATADA invalido",IF(AND(C733&lt;&gt;"C0",IFERROR(INDEX(parametros!$A$2:$A$6,MATCH(C733,parametros!$B$2:$B$6,0)),"")="Sim",IFERROR(INDEX(parametros!$H$2:$H$6,MATCH(C733,parametros!$B$2:$B$6,0)),"")=""),"INICIO_EFEITO ausente: PC "&amp;A733&amp;" - "&amp;C733,IF(L733="","EFEITO_PC nao calculado: PC "&amp;A733&amp;" - "&amp;C733,"OK")))))))))</f>
        <v/>
      </c>
      <c r="L733" s="92" t="str">
        <f>IF(AND(A733="",B733="",D733="",G733=""),"",IF(OR(B733="",NOT(ISNUMBER(B733)),C733="",C733="Fora dos ciclos"),"",IF(C733="C0","Nao",IF(IFERROR(INDEX(parametros!$A$2:$A$6,MATCH(C733,parametros!$B$2:$B$6,0)),"")&lt;&gt;"Sim","Nao",IF(IFERROR(INDEX(parametros!$H$2:$H$6,MATCH(C733,parametros!$B$2:$B$6,0)),"")="","",IF(B733&gt;=IFERROR(INDEX(parametros!$H$2:$H$6,MATCH(C733,parametros!$B$2:$B$6,0)),""),"Sim","Nao"))))))</f>
        <v/>
      </c>
      <c r="T733" s="156"/>
      <c r="U733" s="214" t="str">
        <f t="shared" si="61"/>
        <v/>
      </c>
      <c r="V733" s="212" t="s">
        <v>50</v>
      </c>
      <c r="W733" s="100" t="s">
        <v>168</v>
      </c>
      <c r="X733" s="100" t="s">
        <v>169</v>
      </c>
      <c r="Y733" s="101" t="s">
        <v>170</v>
      </c>
      <c r="Z733" s="101" t="s">
        <v>171</v>
      </c>
      <c r="AA733" s="101" t="s">
        <v>50</v>
      </c>
      <c r="AB733" s="101" t="s">
        <v>172</v>
      </c>
      <c r="AC733" s="102" t="s">
        <v>173</v>
      </c>
    </row>
    <row r="734" spans="1:29" ht="25.5" customHeight="1" x14ac:dyDescent="0.35">
      <c r="A734" s="392"/>
      <c r="B734" s="393"/>
      <c r="C734" s="99" t="str">
        <f>IF(B734="","",IF(NOT(ISNUMBER(B734)),"DATA_PC invalida",IF(NOT(ISNUMBER(parametros!$C$2)),"Fora dos ciclos",IF(OR(B734&lt;parametros!$C$2,(YEAR(B734)-YEAR(parametros!$C$2))*12+MONTH(B734)-MONTH(parametros!$C$2)&gt;59),"Fora dos ciclos","C"&amp;INT(((YEAR(B734)-YEAR(parametros!$C$2))*12+MONTH(B734)-MONTH(parametros!$C$2))/12)))))</f>
        <v/>
      </c>
      <c r="D734" s="394"/>
      <c r="E734" s="78" t="str">
        <f>IF(C734="","",IFERROR(VLOOKUP(C734,parametros!$A$11:$E$15,5,0),""))</f>
        <v/>
      </c>
      <c r="F734" s="79" t="str">
        <f t="shared" si="57"/>
        <v/>
      </c>
      <c r="G734" s="395"/>
      <c r="H734" s="91">
        <f t="shared" si="58"/>
        <v>0</v>
      </c>
      <c r="I734" s="91" t="str">
        <f t="shared" si="59"/>
        <v/>
      </c>
      <c r="J734" s="91" t="str">
        <f t="shared" si="60"/>
        <v/>
      </c>
      <c r="K734" s="92" t="str">
        <f>IF(AND(A734="",B734="",D734="",G734=""),"",IF(AND(A734&lt;&gt;"",COUNTIF($A$2:$A$5001,A734)&gt;1),"NUMERO_PC duplicado",IF(B734="","DATA_PC vazia",IF(NOT(ISNUMBER(B734)),"DATA_PC invalida",IF(OR(C734="",C734="Fora dos ciclos"),"CICLO_PC nao identificado",IF(OR(D734="",D734=0),"VALOR_PC vazio ou zero",IF(AND(G734&lt;&gt;"Sim",G734&lt;&gt;"Nao",G734&lt;&gt;""),"PC_PAGO_A_CONTRATADA invalido",IF(AND(C734&lt;&gt;"C0",IFERROR(INDEX(parametros!$A$2:$A$6,MATCH(C734,parametros!$B$2:$B$6,0)),"")="Sim",IFERROR(INDEX(parametros!$H$2:$H$6,MATCH(C734,parametros!$B$2:$B$6,0)),"")=""),"INICIO_EFEITO ausente: PC "&amp;A734&amp;" - "&amp;C734,IF(L734="","EFEITO_PC nao calculado: PC "&amp;A734&amp;" - "&amp;C734,"OK")))))))))</f>
        <v/>
      </c>
      <c r="L734" s="92" t="str">
        <f>IF(AND(A734="",B734="",D734="",G734=""),"",IF(OR(B734="",NOT(ISNUMBER(B734)),C734="",C734="Fora dos ciclos"),"",IF(C734="C0","Nao",IF(IFERROR(INDEX(parametros!$A$2:$A$6,MATCH(C734,parametros!$B$2:$B$6,0)),"")&lt;&gt;"Sim","Nao",IF(IFERROR(INDEX(parametros!$H$2:$H$6,MATCH(C734,parametros!$B$2:$B$6,0)),"")="","",IF(B734&gt;=IFERROR(INDEX(parametros!$H$2:$H$6,MATCH(C734,parametros!$B$2:$B$6,0)),""),"Sim","Nao"))))))</f>
        <v/>
      </c>
      <c r="T734" s="156"/>
      <c r="U734" s="214" t="str">
        <f t="shared" si="61"/>
        <v/>
      </c>
      <c r="V734" s="212" t="s">
        <v>50</v>
      </c>
      <c r="W734" s="100" t="s">
        <v>168</v>
      </c>
      <c r="X734" s="100" t="s">
        <v>169</v>
      </c>
      <c r="Y734" s="101" t="s">
        <v>170</v>
      </c>
      <c r="Z734" s="101" t="s">
        <v>171</v>
      </c>
      <c r="AA734" s="101" t="s">
        <v>50</v>
      </c>
      <c r="AB734" s="101" t="s">
        <v>172</v>
      </c>
      <c r="AC734" s="102" t="s">
        <v>173</v>
      </c>
    </row>
    <row r="735" spans="1:29" ht="25.5" customHeight="1" x14ac:dyDescent="0.35">
      <c r="A735" s="392"/>
      <c r="B735" s="393"/>
      <c r="C735" s="99" t="str">
        <f>IF(B735="","",IF(NOT(ISNUMBER(B735)),"DATA_PC invalida",IF(NOT(ISNUMBER(parametros!$C$2)),"Fora dos ciclos",IF(OR(B735&lt;parametros!$C$2,(YEAR(B735)-YEAR(parametros!$C$2))*12+MONTH(B735)-MONTH(parametros!$C$2)&gt;59),"Fora dos ciclos","C"&amp;INT(((YEAR(B735)-YEAR(parametros!$C$2))*12+MONTH(B735)-MONTH(parametros!$C$2))/12)))))</f>
        <v/>
      </c>
      <c r="D735" s="394"/>
      <c r="E735" s="78" t="str">
        <f>IF(C735="","",IFERROR(VLOOKUP(C735,parametros!$A$11:$E$15,5,0),""))</f>
        <v/>
      </c>
      <c r="F735" s="79" t="str">
        <f t="shared" si="57"/>
        <v/>
      </c>
      <c r="G735" s="395"/>
      <c r="H735" s="91">
        <f t="shared" si="58"/>
        <v>0</v>
      </c>
      <c r="I735" s="91" t="str">
        <f t="shared" si="59"/>
        <v/>
      </c>
      <c r="J735" s="91" t="str">
        <f t="shared" si="60"/>
        <v/>
      </c>
      <c r="K735" s="92" t="str">
        <f>IF(AND(A735="",B735="",D735="",G735=""),"",IF(AND(A735&lt;&gt;"",COUNTIF($A$2:$A$5001,A735)&gt;1),"NUMERO_PC duplicado",IF(B735="","DATA_PC vazia",IF(NOT(ISNUMBER(B735)),"DATA_PC invalida",IF(OR(C735="",C735="Fora dos ciclos"),"CICLO_PC nao identificado",IF(OR(D735="",D735=0),"VALOR_PC vazio ou zero",IF(AND(G735&lt;&gt;"Sim",G735&lt;&gt;"Nao",G735&lt;&gt;""),"PC_PAGO_A_CONTRATADA invalido",IF(AND(C735&lt;&gt;"C0",IFERROR(INDEX(parametros!$A$2:$A$6,MATCH(C735,parametros!$B$2:$B$6,0)),"")="Sim",IFERROR(INDEX(parametros!$H$2:$H$6,MATCH(C735,parametros!$B$2:$B$6,0)),"")=""),"INICIO_EFEITO ausente: PC "&amp;A735&amp;" - "&amp;C735,IF(L735="","EFEITO_PC nao calculado: PC "&amp;A735&amp;" - "&amp;C735,"OK")))))))))</f>
        <v/>
      </c>
      <c r="L735" s="92" t="str">
        <f>IF(AND(A735="",B735="",D735="",G735=""),"",IF(OR(B735="",NOT(ISNUMBER(B735)),C735="",C735="Fora dos ciclos"),"",IF(C735="C0","Nao",IF(IFERROR(INDEX(parametros!$A$2:$A$6,MATCH(C735,parametros!$B$2:$B$6,0)),"")&lt;&gt;"Sim","Nao",IF(IFERROR(INDEX(parametros!$H$2:$H$6,MATCH(C735,parametros!$B$2:$B$6,0)),"")="","",IF(B735&gt;=IFERROR(INDEX(parametros!$H$2:$H$6,MATCH(C735,parametros!$B$2:$B$6,0)),""),"Sim","Nao"))))))</f>
        <v/>
      </c>
      <c r="T735" s="156"/>
      <c r="U735" s="214" t="str">
        <f t="shared" si="61"/>
        <v/>
      </c>
      <c r="V735" s="212" t="s">
        <v>50</v>
      </c>
      <c r="W735" s="100" t="s">
        <v>168</v>
      </c>
      <c r="X735" s="100" t="s">
        <v>169</v>
      </c>
      <c r="Y735" s="101" t="s">
        <v>170</v>
      </c>
      <c r="Z735" s="101" t="s">
        <v>171</v>
      </c>
      <c r="AA735" s="101" t="s">
        <v>50</v>
      </c>
      <c r="AB735" s="101" t="s">
        <v>172</v>
      </c>
      <c r="AC735" s="102" t="s">
        <v>173</v>
      </c>
    </row>
    <row r="736" spans="1:29" ht="25.5" customHeight="1" x14ac:dyDescent="0.35">
      <c r="A736" s="392"/>
      <c r="B736" s="393"/>
      <c r="C736" s="99" t="str">
        <f>IF(B736="","",IF(NOT(ISNUMBER(B736)),"DATA_PC invalida",IF(NOT(ISNUMBER(parametros!$C$2)),"Fora dos ciclos",IF(OR(B736&lt;parametros!$C$2,(YEAR(B736)-YEAR(parametros!$C$2))*12+MONTH(B736)-MONTH(parametros!$C$2)&gt;59),"Fora dos ciclos","C"&amp;INT(((YEAR(B736)-YEAR(parametros!$C$2))*12+MONTH(B736)-MONTH(parametros!$C$2))/12)))))</f>
        <v/>
      </c>
      <c r="D736" s="394"/>
      <c r="E736" s="78" t="str">
        <f>IF(C736="","",IFERROR(VLOOKUP(C736,parametros!$A$11:$E$15,5,0),""))</f>
        <v/>
      </c>
      <c r="F736" s="79" t="str">
        <f t="shared" si="57"/>
        <v/>
      </c>
      <c r="G736" s="395"/>
      <c r="H736" s="91">
        <f t="shared" si="58"/>
        <v>0</v>
      </c>
      <c r="I736" s="91" t="str">
        <f t="shared" si="59"/>
        <v/>
      </c>
      <c r="J736" s="91" t="str">
        <f t="shared" si="60"/>
        <v/>
      </c>
      <c r="K736" s="92" t="str">
        <f>IF(AND(A736="",B736="",D736="",G736=""),"",IF(AND(A736&lt;&gt;"",COUNTIF($A$2:$A$5001,A736)&gt;1),"NUMERO_PC duplicado",IF(B736="","DATA_PC vazia",IF(NOT(ISNUMBER(B736)),"DATA_PC invalida",IF(OR(C736="",C736="Fora dos ciclos"),"CICLO_PC nao identificado",IF(OR(D736="",D736=0),"VALOR_PC vazio ou zero",IF(AND(G736&lt;&gt;"Sim",G736&lt;&gt;"Nao",G736&lt;&gt;""),"PC_PAGO_A_CONTRATADA invalido",IF(AND(C736&lt;&gt;"C0",IFERROR(INDEX(parametros!$A$2:$A$6,MATCH(C736,parametros!$B$2:$B$6,0)),"")="Sim",IFERROR(INDEX(parametros!$H$2:$H$6,MATCH(C736,parametros!$B$2:$B$6,0)),"")=""),"INICIO_EFEITO ausente: PC "&amp;A736&amp;" - "&amp;C736,IF(L736="","EFEITO_PC nao calculado: PC "&amp;A736&amp;" - "&amp;C736,"OK")))))))))</f>
        <v/>
      </c>
      <c r="L736" s="92" t="str">
        <f>IF(AND(A736="",B736="",D736="",G736=""),"",IF(OR(B736="",NOT(ISNUMBER(B736)),C736="",C736="Fora dos ciclos"),"",IF(C736="C0","Nao",IF(IFERROR(INDEX(parametros!$A$2:$A$6,MATCH(C736,parametros!$B$2:$B$6,0)),"")&lt;&gt;"Sim","Nao",IF(IFERROR(INDEX(parametros!$H$2:$H$6,MATCH(C736,parametros!$B$2:$B$6,0)),"")="","",IF(B736&gt;=IFERROR(INDEX(parametros!$H$2:$H$6,MATCH(C736,parametros!$B$2:$B$6,0)),""),"Sim","Nao"))))))</f>
        <v/>
      </c>
      <c r="T736" s="156"/>
      <c r="U736" s="214" t="str">
        <f t="shared" si="61"/>
        <v/>
      </c>
      <c r="V736" s="212" t="s">
        <v>50</v>
      </c>
      <c r="W736" s="100" t="s">
        <v>168</v>
      </c>
      <c r="X736" s="100" t="s">
        <v>169</v>
      </c>
      <c r="Y736" s="101" t="s">
        <v>170</v>
      </c>
      <c r="Z736" s="101" t="s">
        <v>171</v>
      </c>
      <c r="AA736" s="101" t="s">
        <v>50</v>
      </c>
      <c r="AB736" s="101" t="s">
        <v>172</v>
      </c>
      <c r="AC736" s="102" t="s">
        <v>173</v>
      </c>
    </row>
    <row r="737" spans="1:29" ht="25.5" customHeight="1" x14ac:dyDescent="0.35">
      <c r="A737" s="392"/>
      <c r="B737" s="393"/>
      <c r="C737" s="99" t="str">
        <f>IF(B737="","",IF(NOT(ISNUMBER(B737)),"DATA_PC invalida",IF(NOT(ISNUMBER(parametros!$C$2)),"Fora dos ciclos",IF(OR(B737&lt;parametros!$C$2,(YEAR(B737)-YEAR(parametros!$C$2))*12+MONTH(B737)-MONTH(parametros!$C$2)&gt;59),"Fora dos ciclos","C"&amp;INT(((YEAR(B737)-YEAR(parametros!$C$2))*12+MONTH(B737)-MONTH(parametros!$C$2))/12)))))</f>
        <v/>
      </c>
      <c r="D737" s="394"/>
      <c r="E737" s="78" t="str">
        <f>IF(C737="","",IFERROR(VLOOKUP(C737,parametros!$A$11:$E$15,5,0),""))</f>
        <v/>
      </c>
      <c r="F737" s="79" t="str">
        <f t="shared" si="57"/>
        <v/>
      </c>
      <c r="G737" s="395"/>
      <c r="H737" s="91">
        <f t="shared" si="58"/>
        <v>0</v>
      </c>
      <c r="I737" s="91" t="str">
        <f t="shared" si="59"/>
        <v/>
      </c>
      <c r="J737" s="91" t="str">
        <f t="shared" si="60"/>
        <v/>
      </c>
      <c r="K737" s="92" t="str">
        <f>IF(AND(A737="",B737="",D737="",G737=""),"",IF(AND(A737&lt;&gt;"",COUNTIF($A$2:$A$5001,A737)&gt;1),"NUMERO_PC duplicado",IF(B737="","DATA_PC vazia",IF(NOT(ISNUMBER(B737)),"DATA_PC invalida",IF(OR(C737="",C737="Fora dos ciclos"),"CICLO_PC nao identificado",IF(OR(D737="",D737=0),"VALOR_PC vazio ou zero",IF(AND(G737&lt;&gt;"Sim",G737&lt;&gt;"Nao",G737&lt;&gt;""),"PC_PAGO_A_CONTRATADA invalido",IF(AND(C737&lt;&gt;"C0",IFERROR(INDEX(parametros!$A$2:$A$6,MATCH(C737,parametros!$B$2:$B$6,0)),"")="Sim",IFERROR(INDEX(parametros!$H$2:$H$6,MATCH(C737,parametros!$B$2:$B$6,0)),"")=""),"INICIO_EFEITO ausente: PC "&amp;A737&amp;" - "&amp;C737,IF(L737="","EFEITO_PC nao calculado: PC "&amp;A737&amp;" - "&amp;C737,"OK")))))))))</f>
        <v/>
      </c>
      <c r="L737" s="92" t="str">
        <f>IF(AND(A737="",B737="",D737="",G737=""),"",IF(OR(B737="",NOT(ISNUMBER(B737)),C737="",C737="Fora dos ciclos"),"",IF(C737="C0","Nao",IF(IFERROR(INDEX(parametros!$A$2:$A$6,MATCH(C737,parametros!$B$2:$B$6,0)),"")&lt;&gt;"Sim","Nao",IF(IFERROR(INDEX(parametros!$H$2:$H$6,MATCH(C737,parametros!$B$2:$B$6,0)),"")="","",IF(B737&gt;=IFERROR(INDEX(parametros!$H$2:$H$6,MATCH(C737,parametros!$B$2:$B$6,0)),""),"Sim","Nao"))))))</f>
        <v/>
      </c>
      <c r="T737" s="156"/>
      <c r="U737" s="214" t="str">
        <f t="shared" si="61"/>
        <v/>
      </c>
      <c r="V737" s="212" t="s">
        <v>50</v>
      </c>
      <c r="W737" s="100" t="s">
        <v>168</v>
      </c>
      <c r="X737" s="100" t="s">
        <v>169</v>
      </c>
      <c r="Y737" s="101" t="s">
        <v>170</v>
      </c>
      <c r="Z737" s="101" t="s">
        <v>171</v>
      </c>
      <c r="AA737" s="101" t="s">
        <v>50</v>
      </c>
      <c r="AB737" s="101" t="s">
        <v>172</v>
      </c>
      <c r="AC737" s="102" t="s">
        <v>173</v>
      </c>
    </row>
    <row r="738" spans="1:29" ht="25.5" customHeight="1" x14ac:dyDescent="0.35">
      <c r="A738" s="392"/>
      <c r="B738" s="393"/>
      <c r="C738" s="99" t="str">
        <f>IF(B738="","",IF(NOT(ISNUMBER(B738)),"DATA_PC invalida",IF(NOT(ISNUMBER(parametros!$C$2)),"Fora dos ciclos",IF(OR(B738&lt;parametros!$C$2,(YEAR(B738)-YEAR(parametros!$C$2))*12+MONTH(B738)-MONTH(parametros!$C$2)&gt;59),"Fora dos ciclos","C"&amp;INT(((YEAR(B738)-YEAR(parametros!$C$2))*12+MONTH(B738)-MONTH(parametros!$C$2))/12)))))</f>
        <v/>
      </c>
      <c r="D738" s="394"/>
      <c r="E738" s="78" t="str">
        <f>IF(C738="","",IFERROR(VLOOKUP(C738,parametros!$A$11:$E$15,5,0),""))</f>
        <v/>
      </c>
      <c r="F738" s="79" t="str">
        <f t="shared" si="57"/>
        <v/>
      </c>
      <c r="G738" s="395"/>
      <c r="H738" s="91">
        <f t="shared" si="58"/>
        <v>0</v>
      </c>
      <c r="I738" s="91" t="str">
        <f t="shared" si="59"/>
        <v/>
      </c>
      <c r="J738" s="91" t="str">
        <f t="shared" si="60"/>
        <v/>
      </c>
      <c r="K738" s="92" t="str">
        <f>IF(AND(A738="",B738="",D738="",G738=""),"",IF(AND(A738&lt;&gt;"",COUNTIF($A$2:$A$5001,A738)&gt;1),"NUMERO_PC duplicado",IF(B738="","DATA_PC vazia",IF(NOT(ISNUMBER(B738)),"DATA_PC invalida",IF(OR(C738="",C738="Fora dos ciclos"),"CICLO_PC nao identificado",IF(OR(D738="",D738=0),"VALOR_PC vazio ou zero",IF(AND(G738&lt;&gt;"Sim",G738&lt;&gt;"Nao",G738&lt;&gt;""),"PC_PAGO_A_CONTRATADA invalido",IF(AND(C738&lt;&gt;"C0",IFERROR(INDEX(parametros!$A$2:$A$6,MATCH(C738,parametros!$B$2:$B$6,0)),"")="Sim",IFERROR(INDEX(parametros!$H$2:$H$6,MATCH(C738,parametros!$B$2:$B$6,0)),"")=""),"INICIO_EFEITO ausente: PC "&amp;A738&amp;" - "&amp;C738,IF(L738="","EFEITO_PC nao calculado: PC "&amp;A738&amp;" - "&amp;C738,"OK")))))))))</f>
        <v/>
      </c>
      <c r="L738" s="92" t="str">
        <f>IF(AND(A738="",B738="",D738="",G738=""),"",IF(OR(B738="",NOT(ISNUMBER(B738)),C738="",C738="Fora dos ciclos"),"",IF(C738="C0","Nao",IF(IFERROR(INDEX(parametros!$A$2:$A$6,MATCH(C738,parametros!$B$2:$B$6,0)),"")&lt;&gt;"Sim","Nao",IF(IFERROR(INDEX(parametros!$H$2:$H$6,MATCH(C738,parametros!$B$2:$B$6,0)),"")="","",IF(B738&gt;=IFERROR(INDEX(parametros!$H$2:$H$6,MATCH(C738,parametros!$B$2:$B$6,0)),""),"Sim","Nao"))))))</f>
        <v/>
      </c>
      <c r="T738" s="156"/>
      <c r="U738" s="214" t="str">
        <f t="shared" si="61"/>
        <v/>
      </c>
      <c r="V738" s="212" t="s">
        <v>50</v>
      </c>
      <c r="W738" s="100" t="s">
        <v>168</v>
      </c>
      <c r="X738" s="100" t="s">
        <v>169</v>
      </c>
      <c r="Y738" s="101" t="s">
        <v>170</v>
      </c>
      <c r="Z738" s="101" t="s">
        <v>171</v>
      </c>
      <c r="AA738" s="101" t="s">
        <v>50</v>
      </c>
      <c r="AB738" s="101" t="s">
        <v>172</v>
      </c>
      <c r="AC738" s="102" t="s">
        <v>173</v>
      </c>
    </row>
    <row r="739" spans="1:29" ht="25.5" customHeight="1" x14ac:dyDescent="0.35">
      <c r="A739" s="392"/>
      <c r="B739" s="393"/>
      <c r="C739" s="99" t="str">
        <f>IF(B739="","",IF(NOT(ISNUMBER(B739)),"DATA_PC invalida",IF(NOT(ISNUMBER(parametros!$C$2)),"Fora dos ciclos",IF(OR(B739&lt;parametros!$C$2,(YEAR(B739)-YEAR(parametros!$C$2))*12+MONTH(B739)-MONTH(parametros!$C$2)&gt;59),"Fora dos ciclos","C"&amp;INT(((YEAR(B739)-YEAR(parametros!$C$2))*12+MONTH(B739)-MONTH(parametros!$C$2))/12)))))</f>
        <v/>
      </c>
      <c r="D739" s="394"/>
      <c r="E739" s="78" t="str">
        <f>IF(C739="","",IFERROR(VLOOKUP(C739,parametros!$A$11:$E$15,5,0),""))</f>
        <v/>
      </c>
      <c r="F739" s="79" t="str">
        <f t="shared" si="57"/>
        <v/>
      </c>
      <c r="G739" s="395"/>
      <c r="H739" s="91">
        <f t="shared" si="58"/>
        <v>0</v>
      </c>
      <c r="I739" s="91" t="str">
        <f t="shared" si="59"/>
        <v/>
      </c>
      <c r="J739" s="91" t="str">
        <f t="shared" si="60"/>
        <v/>
      </c>
      <c r="K739" s="92" t="str">
        <f>IF(AND(A739="",B739="",D739="",G739=""),"",IF(AND(A739&lt;&gt;"",COUNTIF($A$2:$A$5001,A739)&gt;1),"NUMERO_PC duplicado",IF(B739="","DATA_PC vazia",IF(NOT(ISNUMBER(B739)),"DATA_PC invalida",IF(OR(C739="",C739="Fora dos ciclos"),"CICLO_PC nao identificado",IF(OR(D739="",D739=0),"VALOR_PC vazio ou zero",IF(AND(G739&lt;&gt;"Sim",G739&lt;&gt;"Nao",G739&lt;&gt;""),"PC_PAGO_A_CONTRATADA invalido",IF(AND(C739&lt;&gt;"C0",IFERROR(INDEX(parametros!$A$2:$A$6,MATCH(C739,parametros!$B$2:$B$6,0)),"")="Sim",IFERROR(INDEX(parametros!$H$2:$H$6,MATCH(C739,parametros!$B$2:$B$6,0)),"")=""),"INICIO_EFEITO ausente: PC "&amp;A739&amp;" - "&amp;C739,IF(L739="","EFEITO_PC nao calculado: PC "&amp;A739&amp;" - "&amp;C739,"OK")))))))))</f>
        <v/>
      </c>
      <c r="L739" s="92" t="str">
        <f>IF(AND(A739="",B739="",D739="",G739=""),"",IF(OR(B739="",NOT(ISNUMBER(B739)),C739="",C739="Fora dos ciclos"),"",IF(C739="C0","Nao",IF(IFERROR(INDEX(parametros!$A$2:$A$6,MATCH(C739,parametros!$B$2:$B$6,0)),"")&lt;&gt;"Sim","Nao",IF(IFERROR(INDEX(parametros!$H$2:$H$6,MATCH(C739,parametros!$B$2:$B$6,0)),"")="","",IF(B739&gt;=IFERROR(INDEX(parametros!$H$2:$H$6,MATCH(C739,parametros!$B$2:$B$6,0)),""),"Sim","Nao"))))))</f>
        <v/>
      </c>
      <c r="T739" s="156"/>
      <c r="U739" s="214" t="str">
        <f t="shared" si="61"/>
        <v/>
      </c>
      <c r="V739" s="212" t="s">
        <v>50</v>
      </c>
      <c r="W739" s="100" t="s">
        <v>168</v>
      </c>
      <c r="X739" s="100" t="s">
        <v>169</v>
      </c>
      <c r="Y739" s="101" t="s">
        <v>170</v>
      </c>
      <c r="Z739" s="101" t="s">
        <v>171</v>
      </c>
      <c r="AA739" s="101" t="s">
        <v>50</v>
      </c>
      <c r="AB739" s="101" t="s">
        <v>172</v>
      </c>
      <c r="AC739" s="102" t="s">
        <v>173</v>
      </c>
    </row>
    <row r="740" spans="1:29" ht="25.5" customHeight="1" x14ac:dyDescent="0.35">
      <c r="A740" s="392"/>
      <c r="B740" s="393"/>
      <c r="C740" s="99" t="str">
        <f>IF(B740="","",IF(NOT(ISNUMBER(B740)),"DATA_PC invalida",IF(NOT(ISNUMBER(parametros!$C$2)),"Fora dos ciclos",IF(OR(B740&lt;parametros!$C$2,(YEAR(B740)-YEAR(parametros!$C$2))*12+MONTH(B740)-MONTH(parametros!$C$2)&gt;59),"Fora dos ciclos","C"&amp;INT(((YEAR(B740)-YEAR(parametros!$C$2))*12+MONTH(B740)-MONTH(parametros!$C$2))/12)))))</f>
        <v/>
      </c>
      <c r="D740" s="394"/>
      <c r="E740" s="78" t="str">
        <f>IF(C740="","",IFERROR(VLOOKUP(C740,parametros!$A$11:$E$15,5,0),""))</f>
        <v/>
      </c>
      <c r="F740" s="79" t="str">
        <f t="shared" si="57"/>
        <v/>
      </c>
      <c r="G740" s="395"/>
      <c r="H740" s="91">
        <f t="shared" si="58"/>
        <v>0</v>
      </c>
      <c r="I740" s="91" t="str">
        <f t="shared" si="59"/>
        <v/>
      </c>
      <c r="J740" s="91" t="str">
        <f t="shared" si="60"/>
        <v/>
      </c>
      <c r="K740" s="92" t="str">
        <f>IF(AND(A740="",B740="",D740="",G740=""),"",IF(AND(A740&lt;&gt;"",COUNTIF($A$2:$A$5001,A740)&gt;1),"NUMERO_PC duplicado",IF(B740="","DATA_PC vazia",IF(NOT(ISNUMBER(B740)),"DATA_PC invalida",IF(OR(C740="",C740="Fora dos ciclos"),"CICLO_PC nao identificado",IF(OR(D740="",D740=0),"VALOR_PC vazio ou zero",IF(AND(G740&lt;&gt;"Sim",G740&lt;&gt;"Nao",G740&lt;&gt;""),"PC_PAGO_A_CONTRATADA invalido",IF(AND(C740&lt;&gt;"C0",IFERROR(INDEX(parametros!$A$2:$A$6,MATCH(C740,parametros!$B$2:$B$6,0)),"")="Sim",IFERROR(INDEX(parametros!$H$2:$H$6,MATCH(C740,parametros!$B$2:$B$6,0)),"")=""),"INICIO_EFEITO ausente: PC "&amp;A740&amp;" - "&amp;C740,IF(L740="","EFEITO_PC nao calculado: PC "&amp;A740&amp;" - "&amp;C740,"OK")))))))))</f>
        <v/>
      </c>
      <c r="L740" s="92" t="str">
        <f>IF(AND(A740="",B740="",D740="",G740=""),"",IF(OR(B740="",NOT(ISNUMBER(B740)),C740="",C740="Fora dos ciclos"),"",IF(C740="C0","Nao",IF(IFERROR(INDEX(parametros!$A$2:$A$6,MATCH(C740,parametros!$B$2:$B$6,0)),"")&lt;&gt;"Sim","Nao",IF(IFERROR(INDEX(parametros!$H$2:$H$6,MATCH(C740,parametros!$B$2:$B$6,0)),"")="","",IF(B740&gt;=IFERROR(INDEX(parametros!$H$2:$H$6,MATCH(C740,parametros!$B$2:$B$6,0)),""),"Sim","Nao"))))))</f>
        <v/>
      </c>
      <c r="T740" s="156"/>
      <c r="U740" s="214" t="str">
        <f t="shared" si="61"/>
        <v/>
      </c>
      <c r="V740" s="212" t="s">
        <v>50</v>
      </c>
      <c r="W740" s="100" t="s">
        <v>168</v>
      </c>
      <c r="X740" s="100" t="s">
        <v>169</v>
      </c>
      <c r="Y740" s="101" t="s">
        <v>170</v>
      </c>
      <c r="Z740" s="101" t="s">
        <v>171</v>
      </c>
      <c r="AA740" s="101" t="s">
        <v>50</v>
      </c>
      <c r="AB740" s="101" t="s">
        <v>172</v>
      </c>
      <c r="AC740" s="102" t="s">
        <v>173</v>
      </c>
    </row>
    <row r="741" spans="1:29" ht="25.5" customHeight="1" x14ac:dyDescent="0.35">
      <c r="A741" s="392"/>
      <c r="B741" s="393"/>
      <c r="C741" s="99" t="str">
        <f>IF(B741="","",IF(NOT(ISNUMBER(B741)),"DATA_PC invalida",IF(NOT(ISNUMBER(parametros!$C$2)),"Fora dos ciclos",IF(OR(B741&lt;parametros!$C$2,(YEAR(B741)-YEAR(parametros!$C$2))*12+MONTH(B741)-MONTH(parametros!$C$2)&gt;59),"Fora dos ciclos","C"&amp;INT(((YEAR(B741)-YEAR(parametros!$C$2))*12+MONTH(B741)-MONTH(parametros!$C$2))/12)))))</f>
        <v/>
      </c>
      <c r="D741" s="394"/>
      <c r="E741" s="78" t="str">
        <f>IF(C741="","",IFERROR(VLOOKUP(C741,parametros!$A$11:$E$15,5,0),""))</f>
        <v/>
      </c>
      <c r="F741" s="79" t="str">
        <f t="shared" si="57"/>
        <v/>
      </c>
      <c r="G741" s="395"/>
      <c r="H741" s="91">
        <f t="shared" si="58"/>
        <v>0</v>
      </c>
      <c r="I741" s="91" t="str">
        <f t="shared" si="59"/>
        <v/>
      </c>
      <c r="J741" s="91" t="str">
        <f t="shared" si="60"/>
        <v/>
      </c>
      <c r="K741" s="92" t="str">
        <f>IF(AND(A741="",B741="",D741="",G741=""),"",IF(AND(A741&lt;&gt;"",COUNTIF($A$2:$A$5001,A741)&gt;1),"NUMERO_PC duplicado",IF(B741="","DATA_PC vazia",IF(NOT(ISNUMBER(B741)),"DATA_PC invalida",IF(OR(C741="",C741="Fora dos ciclos"),"CICLO_PC nao identificado",IF(OR(D741="",D741=0),"VALOR_PC vazio ou zero",IF(AND(G741&lt;&gt;"Sim",G741&lt;&gt;"Nao",G741&lt;&gt;""),"PC_PAGO_A_CONTRATADA invalido",IF(AND(C741&lt;&gt;"C0",IFERROR(INDEX(parametros!$A$2:$A$6,MATCH(C741,parametros!$B$2:$B$6,0)),"")="Sim",IFERROR(INDEX(parametros!$H$2:$H$6,MATCH(C741,parametros!$B$2:$B$6,0)),"")=""),"INICIO_EFEITO ausente: PC "&amp;A741&amp;" - "&amp;C741,IF(L741="","EFEITO_PC nao calculado: PC "&amp;A741&amp;" - "&amp;C741,"OK")))))))))</f>
        <v/>
      </c>
      <c r="L741" s="92" t="str">
        <f>IF(AND(A741="",B741="",D741="",G741=""),"",IF(OR(B741="",NOT(ISNUMBER(B741)),C741="",C741="Fora dos ciclos"),"",IF(C741="C0","Nao",IF(IFERROR(INDEX(parametros!$A$2:$A$6,MATCH(C741,parametros!$B$2:$B$6,0)),"")&lt;&gt;"Sim","Nao",IF(IFERROR(INDEX(parametros!$H$2:$H$6,MATCH(C741,parametros!$B$2:$B$6,0)),"")="","",IF(B741&gt;=IFERROR(INDEX(parametros!$H$2:$H$6,MATCH(C741,parametros!$B$2:$B$6,0)),""),"Sim","Nao"))))))</f>
        <v/>
      </c>
      <c r="T741" s="156"/>
      <c r="U741" s="214" t="str">
        <f t="shared" si="61"/>
        <v/>
      </c>
      <c r="V741" s="212" t="s">
        <v>50</v>
      </c>
      <c r="W741" s="100" t="s">
        <v>168</v>
      </c>
      <c r="X741" s="100" t="s">
        <v>169</v>
      </c>
      <c r="Y741" s="101" t="s">
        <v>170</v>
      </c>
      <c r="Z741" s="101" t="s">
        <v>171</v>
      </c>
      <c r="AA741" s="101" t="s">
        <v>50</v>
      </c>
      <c r="AB741" s="101" t="s">
        <v>172</v>
      </c>
      <c r="AC741" s="102" t="s">
        <v>173</v>
      </c>
    </row>
    <row r="742" spans="1:29" ht="25.5" customHeight="1" x14ac:dyDescent="0.35">
      <c r="A742" s="392"/>
      <c r="B742" s="393"/>
      <c r="C742" s="99" t="str">
        <f>IF(B742="","",IF(NOT(ISNUMBER(B742)),"DATA_PC invalida",IF(NOT(ISNUMBER(parametros!$C$2)),"Fora dos ciclos",IF(OR(B742&lt;parametros!$C$2,(YEAR(B742)-YEAR(parametros!$C$2))*12+MONTH(B742)-MONTH(parametros!$C$2)&gt;59),"Fora dos ciclos","C"&amp;INT(((YEAR(B742)-YEAR(parametros!$C$2))*12+MONTH(B742)-MONTH(parametros!$C$2))/12)))))</f>
        <v/>
      </c>
      <c r="D742" s="394"/>
      <c r="E742" s="78" t="str">
        <f>IF(C742="","",IFERROR(VLOOKUP(C742,parametros!$A$11:$E$15,5,0),""))</f>
        <v/>
      </c>
      <c r="F742" s="79" t="str">
        <f t="shared" si="57"/>
        <v/>
      </c>
      <c r="G742" s="395"/>
      <c r="H742" s="91">
        <f t="shared" si="58"/>
        <v>0</v>
      </c>
      <c r="I742" s="91" t="str">
        <f t="shared" si="59"/>
        <v/>
      </c>
      <c r="J742" s="91" t="str">
        <f t="shared" si="60"/>
        <v/>
      </c>
      <c r="K742" s="92" t="str">
        <f>IF(AND(A742="",B742="",D742="",G742=""),"",IF(AND(A742&lt;&gt;"",COUNTIF($A$2:$A$5001,A742)&gt;1),"NUMERO_PC duplicado",IF(B742="","DATA_PC vazia",IF(NOT(ISNUMBER(B742)),"DATA_PC invalida",IF(OR(C742="",C742="Fora dos ciclos"),"CICLO_PC nao identificado",IF(OR(D742="",D742=0),"VALOR_PC vazio ou zero",IF(AND(G742&lt;&gt;"Sim",G742&lt;&gt;"Nao",G742&lt;&gt;""),"PC_PAGO_A_CONTRATADA invalido",IF(AND(C742&lt;&gt;"C0",IFERROR(INDEX(parametros!$A$2:$A$6,MATCH(C742,parametros!$B$2:$B$6,0)),"")="Sim",IFERROR(INDEX(parametros!$H$2:$H$6,MATCH(C742,parametros!$B$2:$B$6,0)),"")=""),"INICIO_EFEITO ausente: PC "&amp;A742&amp;" - "&amp;C742,IF(L742="","EFEITO_PC nao calculado: PC "&amp;A742&amp;" - "&amp;C742,"OK")))))))))</f>
        <v/>
      </c>
      <c r="L742" s="92" t="str">
        <f>IF(AND(A742="",B742="",D742="",G742=""),"",IF(OR(B742="",NOT(ISNUMBER(B742)),C742="",C742="Fora dos ciclos"),"",IF(C742="C0","Nao",IF(IFERROR(INDEX(parametros!$A$2:$A$6,MATCH(C742,parametros!$B$2:$B$6,0)),"")&lt;&gt;"Sim","Nao",IF(IFERROR(INDEX(parametros!$H$2:$H$6,MATCH(C742,parametros!$B$2:$B$6,0)),"")="","",IF(B742&gt;=IFERROR(INDEX(parametros!$H$2:$H$6,MATCH(C742,parametros!$B$2:$B$6,0)),""),"Sim","Nao"))))))</f>
        <v/>
      </c>
      <c r="T742" s="156"/>
      <c r="U742" s="214" t="str">
        <f t="shared" si="61"/>
        <v/>
      </c>
      <c r="V742" s="212" t="s">
        <v>50</v>
      </c>
      <c r="W742" s="100" t="s">
        <v>168</v>
      </c>
      <c r="X742" s="100" t="s">
        <v>169</v>
      </c>
      <c r="Y742" s="101" t="s">
        <v>170</v>
      </c>
      <c r="Z742" s="101" t="s">
        <v>171</v>
      </c>
      <c r="AA742" s="101" t="s">
        <v>50</v>
      </c>
      <c r="AB742" s="101" t="s">
        <v>172</v>
      </c>
      <c r="AC742" s="102" t="s">
        <v>173</v>
      </c>
    </row>
    <row r="743" spans="1:29" ht="25.5" customHeight="1" x14ac:dyDescent="0.35">
      <c r="A743" s="392"/>
      <c r="B743" s="393"/>
      <c r="C743" s="99" t="str">
        <f>IF(B743="","",IF(NOT(ISNUMBER(B743)),"DATA_PC invalida",IF(NOT(ISNUMBER(parametros!$C$2)),"Fora dos ciclos",IF(OR(B743&lt;parametros!$C$2,(YEAR(B743)-YEAR(parametros!$C$2))*12+MONTH(B743)-MONTH(parametros!$C$2)&gt;59),"Fora dos ciclos","C"&amp;INT(((YEAR(B743)-YEAR(parametros!$C$2))*12+MONTH(B743)-MONTH(parametros!$C$2))/12)))))</f>
        <v/>
      </c>
      <c r="D743" s="394"/>
      <c r="E743" s="78" t="str">
        <f>IF(C743="","",IFERROR(VLOOKUP(C743,parametros!$A$11:$E$15,5,0),""))</f>
        <v/>
      </c>
      <c r="F743" s="79" t="str">
        <f t="shared" si="57"/>
        <v/>
      </c>
      <c r="G743" s="395"/>
      <c r="H743" s="91">
        <f t="shared" si="58"/>
        <v>0</v>
      </c>
      <c r="I743" s="91" t="str">
        <f t="shared" si="59"/>
        <v/>
      </c>
      <c r="J743" s="91" t="str">
        <f t="shared" si="60"/>
        <v/>
      </c>
      <c r="K743" s="92" t="str">
        <f>IF(AND(A743="",B743="",D743="",G743=""),"",IF(AND(A743&lt;&gt;"",COUNTIF($A$2:$A$5001,A743)&gt;1),"NUMERO_PC duplicado",IF(B743="","DATA_PC vazia",IF(NOT(ISNUMBER(B743)),"DATA_PC invalida",IF(OR(C743="",C743="Fora dos ciclos"),"CICLO_PC nao identificado",IF(OR(D743="",D743=0),"VALOR_PC vazio ou zero",IF(AND(G743&lt;&gt;"Sim",G743&lt;&gt;"Nao",G743&lt;&gt;""),"PC_PAGO_A_CONTRATADA invalido",IF(AND(C743&lt;&gt;"C0",IFERROR(INDEX(parametros!$A$2:$A$6,MATCH(C743,parametros!$B$2:$B$6,0)),"")="Sim",IFERROR(INDEX(parametros!$H$2:$H$6,MATCH(C743,parametros!$B$2:$B$6,0)),"")=""),"INICIO_EFEITO ausente: PC "&amp;A743&amp;" - "&amp;C743,IF(L743="","EFEITO_PC nao calculado: PC "&amp;A743&amp;" - "&amp;C743,"OK")))))))))</f>
        <v/>
      </c>
      <c r="L743" s="92" t="str">
        <f>IF(AND(A743="",B743="",D743="",G743=""),"",IF(OR(B743="",NOT(ISNUMBER(B743)),C743="",C743="Fora dos ciclos"),"",IF(C743="C0","Nao",IF(IFERROR(INDEX(parametros!$A$2:$A$6,MATCH(C743,parametros!$B$2:$B$6,0)),"")&lt;&gt;"Sim","Nao",IF(IFERROR(INDEX(parametros!$H$2:$H$6,MATCH(C743,parametros!$B$2:$B$6,0)),"")="","",IF(B743&gt;=IFERROR(INDEX(parametros!$H$2:$H$6,MATCH(C743,parametros!$B$2:$B$6,0)),""),"Sim","Nao"))))))</f>
        <v/>
      </c>
      <c r="T743" s="156"/>
      <c r="U743" s="214" t="str">
        <f t="shared" si="61"/>
        <v/>
      </c>
      <c r="V743" s="212" t="s">
        <v>50</v>
      </c>
      <c r="W743" s="100" t="s">
        <v>168</v>
      </c>
      <c r="X743" s="100" t="s">
        <v>169</v>
      </c>
      <c r="Y743" s="101" t="s">
        <v>170</v>
      </c>
      <c r="Z743" s="101" t="s">
        <v>171</v>
      </c>
      <c r="AA743" s="101" t="s">
        <v>50</v>
      </c>
      <c r="AB743" s="101" t="s">
        <v>172</v>
      </c>
      <c r="AC743" s="102" t="s">
        <v>173</v>
      </c>
    </row>
    <row r="744" spans="1:29" ht="25.5" customHeight="1" x14ac:dyDescent="0.35">
      <c r="A744" s="392"/>
      <c r="B744" s="393"/>
      <c r="C744" s="99" t="str">
        <f>IF(B744="","",IF(NOT(ISNUMBER(B744)),"DATA_PC invalida",IF(NOT(ISNUMBER(parametros!$C$2)),"Fora dos ciclos",IF(OR(B744&lt;parametros!$C$2,(YEAR(B744)-YEAR(parametros!$C$2))*12+MONTH(B744)-MONTH(parametros!$C$2)&gt;59),"Fora dos ciclos","C"&amp;INT(((YEAR(B744)-YEAR(parametros!$C$2))*12+MONTH(B744)-MONTH(parametros!$C$2))/12)))))</f>
        <v/>
      </c>
      <c r="D744" s="394"/>
      <c r="E744" s="78" t="str">
        <f>IF(C744="","",IFERROR(VLOOKUP(C744,parametros!$A$11:$E$15,5,0),""))</f>
        <v/>
      </c>
      <c r="F744" s="79" t="str">
        <f t="shared" si="57"/>
        <v/>
      </c>
      <c r="G744" s="395"/>
      <c r="H744" s="91">
        <f t="shared" si="58"/>
        <v>0</v>
      </c>
      <c r="I744" s="91" t="str">
        <f t="shared" si="59"/>
        <v/>
      </c>
      <c r="J744" s="91" t="str">
        <f t="shared" si="60"/>
        <v/>
      </c>
      <c r="K744" s="92" t="str">
        <f>IF(AND(A744="",B744="",D744="",G744=""),"",IF(AND(A744&lt;&gt;"",COUNTIF($A$2:$A$5001,A744)&gt;1),"NUMERO_PC duplicado",IF(B744="","DATA_PC vazia",IF(NOT(ISNUMBER(B744)),"DATA_PC invalida",IF(OR(C744="",C744="Fora dos ciclos"),"CICLO_PC nao identificado",IF(OR(D744="",D744=0),"VALOR_PC vazio ou zero",IF(AND(G744&lt;&gt;"Sim",G744&lt;&gt;"Nao",G744&lt;&gt;""),"PC_PAGO_A_CONTRATADA invalido",IF(AND(C744&lt;&gt;"C0",IFERROR(INDEX(parametros!$A$2:$A$6,MATCH(C744,parametros!$B$2:$B$6,0)),"")="Sim",IFERROR(INDEX(parametros!$H$2:$H$6,MATCH(C744,parametros!$B$2:$B$6,0)),"")=""),"INICIO_EFEITO ausente: PC "&amp;A744&amp;" - "&amp;C744,IF(L744="","EFEITO_PC nao calculado: PC "&amp;A744&amp;" - "&amp;C744,"OK")))))))))</f>
        <v/>
      </c>
      <c r="L744" s="92" t="str">
        <f>IF(AND(A744="",B744="",D744="",G744=""),"",IF(OR(B744="",NOT(ISNUMBER(B744)),C744="",C744="Fora dos ciclos"),"",IF(C744="C0","Nao",IF(IFERROR(INDEX(parametros!$A$2:$A$6,MATCH(C744,parametros!$B$2:$B$6,0)),"")&lt;&gt;"Sim","Nao",IF(IFERROR(INDEX(parametros!$H$2:$H$6,MATCH(C744,parametros!$B$2:$B$6,0)),"")="","",IF(B744&gt;=IFERROR(INDEX(parametros!$H$2:$H$6,MATCH(C744,parametros!$B$2:$B$6,0)),""),"Sim","Nao"))))))</f>
        <v/>
      </c>
      <c r="T744" s="156"/>
      <c r="U744" s="214" t="str">
        <f t="shared" si="61"/>
        <v/>
      </c>
      <c r="V744" s="212" t="s">
        <v>50</v>
      </c>
      <c r="W744" s="100" t="s">
        <v>168</v>
      </c>
      <c r="X744" s="100" t="s">
        <v>169</v>
      </c>
      <c r="Y744" s="101" t="s">
        <v>170</v>
      </c>
      <c r="Z744" s="101" t="s">
        <v>171</v>
      </c>
      <c r="AA744" s="101" t="s">
        <v>50</v>
      </c>
      <c r="AB744" s="101" t="s">
        <v>172</v>
      </c>
      <c r="AC744" s="102" t="s">
        <v>173</v>
      </c>
    </row>
    <row r="745" spans="1:29" ht="25.5" customHeight="1" x14ac:dyDescent="0.35">
      <c r="A745" s="392"/>
      <c r="B745" s="393"/>
      <c r="C745" s="99" t="str">
        <f>IF(B745="","",IF(NOT(ISNUMBER(B745)),"DATA_PC invalida",IF(NOT(ISNUMBER(parametros!$C$2)),"Fora dos ciclos",IF(OR(B745&lt;parametros!$C$2,(YEAR(B745)-YEAR(parametros!$C$2))*12+MONTH(B745)-MONTH(parametros!$C$2)&gt;59),"Fora dos ciclos","C"&amp;INT(((YEAR(B745)-YEAR(parametros!$C$2))*12+MONTH(B745)-MONTH(parametros!$C$2))/12)))))</f>
        <v/>
      </c>
      <c r="D745" s="394"/>
      <c r="E745" s="78" t="str">
        <f>IF(C745="","",IFERROR(VLOOKUP(C745,parametros!$A$11:$E$15,5,0),""))</f>
        <v/>
      </c>
      <c r="F745" s="79" t="str">
        <f t="shared" si="57"/>
        <v/>
      </c>
      <c r="G745" s="395"/>
      <c r="H745" s="91">
        <f t="shared" si="58"/>
        <v>0</v>
      </c>
      <c r="I745" s="91" t="str">
        <f t="shared" si="59"/>
        <v/>
      </c>
      <c r="J745" s="91" t="str">
        <f t="shared" si="60"/>
        <v/>
      </c>
      <c r="K745" s="92" t="str">
        <f>IF(AND(A745="",B745="",D745="",G745=""),"",IF(AND(A745&lt;&gt;"",COUNTIF($A$2:$A$5001,A745)&gt;1),"NUMERO_PC duplicado",IF(B745="","DATA_PC vazia",IF(NOT(ISNUMBER(B745)),"DATA_PC invalida",IF(OR(C745="",C745="Fora dos ciclos"),"CICLO_PC nao identificado",IF(OR(D745="",D745=0),"VALOR_PC vazio ou zero",IF(AND(G745&lt;&gt;"Sim",G745&lt;&gt;"Nao",G745&lt;&gt;""),"PC_PAGO_A_CONTRATADA invalido",IF(AND(C745&lt;&gt;"C0",IFERROR(INDEX(parametros!$A$2:$A$6,MATCH(C745,parametros!$B$2:$B$6,0)),"")="Sim",IFERROR(INDEX(parametros!$H$2:$H$6,MATCH(C745,parametros!$B$2:$B$6,0)),"")=""),"INICIO_EFEITO ausente: PC "&amp;A745&amp;" - "&amp;C745,IF(L745="","EFEITO_PC nao calculado: PC "&amp;A745&amp;" - "&amp;C745,"OK")))))))))</f>
        <v/>
      </c>
      <c r="L745" s="92" t="str">
        <f>IF(AND(A745="",B745="",D745="",G745=""),"",IF(OR(B745="",NOT(ISNUMBER(B745)),C745="",C745="Fora dos ciclos"),"",IF(C745="C0","Nao",IF(IFERROR(INDEX(parametros!$A$2:$A$6,MATCH(C745,parametros!$B$2:$B$6,0)),"")&lt;&gt;"Sim","Nao",IF(IFERROR(INDEX(parametros!$H$2:$H$6,MATCH(C745,parametros!$B$2:$B$6,0)),"")="","",IF(B745&gt;=IFERROR(INDEX(parametros!$H$2:$H$6,MATCH(C745,parametros!$B$2:$B$6,0)),""),"Sim","Nao"))))))</f>
        <v/>
      </c>
      <c r="T745" s="156"/>
      <c r="U745" s="214" t="str">
        <f t="shared" si="61"/>
        <v/>
      </c>
      <c r="V745" s="212" t="s">
        <v>50</v>
      </c>
      <c r="W745" s="100" t="s">
        <v>168</v>
      </c>
      <c r="X745" s="100" t="s">
        <v>169</v>
      </c>
      <c r="Y745" s="101" t="s">
        <v>170</v>
      </c>
      <c r="Z745" s="101" t="s">
        <v>171</v>
      </c>
      <c r="AA745" s="101" t="s">
        <v>50</v>
      </c>
      <c r="AB745" s="101" t="s">
        <v>172</v>
      </c>
      <c r="AC745" s="102" t="s">
        <v>173</v>
      </c>
    </row>
    <row r="746" spans="1:29" ht="25.5" customHeight="1" x14ac:dyDescent="0.35">
      <c r="A746" s="392"/>
      <c r="B746" s="393"/>
      <c r="C746" s="99" t="str">
        <f>IF(B746="","",IF(NOT(ISNUMBER(B746)),"DATA_PC invalida",IF(NOT(ISNUMBER(parametros!$C$2)),"Fora dos ciclos",IF(OR(B746&lt;parametros!$C$2,(YEAR(B746)-YEAR(parametros!$C$2))*12+MONTH(B746)-MONTH(parametros!$C$2)&gt;59),"Fora dos ciclos","C"&amp;INT(((YEAR(B746)-YEAR(parametros!$C$2))*12+MONTH(B746)-MONTH(parametros!$C$2))/12)))))</f>
        <v/>
      </c>
      <c r="D746" s="394"/>
      <c r="E746" s="78" t="str">
        <f>IF(C746="","",IFERROR(VLOOKUP(C746,parametros!$A$11:$E$15,5,0),""))</f>
        <v/>
      </c>
      <c r="F746" s="79" t="str">
        <f t="shared" si="57"/>
        <v/>
      </c>
      <c r="G746" s="395"/>
      <c r="H746" s="91">
        <f t="shared" si="58"/>
        <v>0</v>
      </c>
      <c r="I746" s="91" t="str">
        <f t="shared" si="59"/>
        <v/>
      </c>
      <c r="J746" s="91" t="str">
        <f t="shared" si="60"/>
        <v/>
      </c>
      <c r="K746" s="92" t="str">
        <f>IF(AND(A746="",B746="",D746="",G746=""),"",IF(AND(A746&lt;&gt;"",COUNTIF($A$2:$A$5001,A746)&gt;1),"NUMERO_PC duplicado",IF(B746="","DATA_PC vazia",IF(NOT(ISNUMBER(B746)),"DATA_PC invalida",IF(OR(C746="",C746="Fora dos ciclos"),"CICLO_PC nao identificado",IF(OR(D746="",D746=0),"VALOR_PC vazio ou zero",IF(AND(G746&lt;&gt;"Sim",G746&lt;&gt;"Nao",G746&lt;&gt;""),"PC_PAGO_A_CONTRATADA invalido",IF(AND(C746&lt;&gt;"C0",IFERROR(INDEX(parametros!$A$2:$A$6,MATCH(C746,parametros!$B$2:$B$6,0)),"")="Sim",IFERROR(INDEX(parametros!$H$2:$H$6,MATCH(C746,parametros!$B$2:$B$6,0)),"")=""),"INICIO_EFEITO ausente: PC "&amp;A746&amp;" - "&amp;C746,IF(L746="","EFEITO_PC nao calculado: PC "&amp;A746&amp;" - "&amp;C746,"OK")))))))))</f>
        <v/>
      </c>
      <c r="L746" s="92" t="str">
        <f>IF(AND(A746="",B746="",D746="",G746=""),"",IF(OR(B746="",NOT(ISNUMBER(B746)),C746="",C746="Fora dos ciclos"),"",IF(C746="C0","Nao",IF(IFERROR(INDEX(parametros!$A$2:$A$6,MATCH(C746,parametros!$B$2:$B$6,0)),"")&lt;&gt;"Sim","Nao",IF(IFERROR(INDEX(parametros!$H$2:$H$6,MATCH(C746,parametros!$B$2:$B$6,0)),"")="","",IF(B746&gt;=IFERROR(INDEX(parametros!$H$2:$H$6,MATCH(C746,parametros!$B$2:$B$6,0)),""),"Sim","Nao"))))))</f>
        <v/>
      </c>
      <c r="T746" s="156"/>
      <c r="U746" s="214" t="str">
        <f t="shared" si="61"/>
        <v/>
      </c>
      <c r="V746" s="212" t="s">
        <v>50</v>
      </c>
      <c r="W746" s="100" t="s">
        <v>168</v>
      </c>
      <c r="X746" s="100" t="s">
        <v>169</v>
      </c>
      <c r="Y746" s="101" t="s">
        <v>170</v>
      </c>
      <c r="Z746" s="101" t="s">
        <v>171</v>
      </c>
      <c r="AA746" s="101" t="s">
        <v>50</v>
      </c>
      <c r="AB746" s="101" t="s">
        <v>172</v>
      </c>
      <c r="AC746" s="102" t="s">
        <v>173</v>
      </c>
    </row>
    <row r="747" spans="1:29" ht="25.5" customHeight="1" x14ac:dyDescent="0.35">
      <c r="A747" s="392"/>
      <c r="B747" s="393"/>
      <c r="C747" s="99" t="str">
        <f>IF(B747="","",IF(NOT(ISNUMBER(B747)),"DATA_PC invalida",IF(NOT(ISNUMBER(parametros!$C$2)),"Fora dos ciclos",IF(OR(B747&lt;parametros!$C$2,(YEAR(B747)-YEAR(parametros!$C$2))*12+MONTH(B747)-MONTH(parametros!$C$2)&gt;59),"Fora dos ciclos","C"&amp;INT(((YEAR(B747)-YEAR(parametros!$C$2))*12+MONTH(B747)-MONTH(parametros!$C$2))/12)))))</f>
        <v/>
      </c>
      <c r="D747" s="394"/>
      <c r="E747" s="78" t="str">
        <f>IF(C747="","",IFERROR(VLOOKUP(C747,parametros!$A$11:$E$15,5,0),""))</f>
        <v/>
      </c>
      <c r="F747" s="79" t="str">
        <f t="shared" si="57"/>
        <v/>
      </c>
      <c r="G747" s="395"/>
      <c r="H747" s="91">
        <f t="shared" si="58"/>
        <v>0</v>
      </c>
      <c r="I747" s="91" t="str">
        <f t="shared" si="59"/>
        <v/>
      </c>
      <c r="J747" s="91" t="str">
        <f t="shared" si="60"/>
        <v/>
      </c>
      <c r="K747" s="92" t="str">
        <f>IF(AND(A747="",B747="",D747="",G747=""),"",IF(AND(A747&lt;&gt;"",COUNTIF($A$2:$A$5001,A747)&gt;1),"NUMERO_PC duplicado",IF(B747="","DATA_PC vazia",IF(NOT(ISNUMBER(B747)),"DATA_PC invalida",IF(OR(C747="",C747="Fora dos ciclos"),"CICLO_PC nao identificado",IF(OR(D747="",D747=0),"VALOR_PC vazio ou zero",IF(AND(G747&lt;&gt;"Sim",G747&lt;&gt;"Nao",G747&lt;&gt;""),"PC_PAGO_A_CONTRATADA invalido",IF(AND(C747&lt;&gt;"C0",IFERROR(INDEX(parametros!$A$2:$A$6,MATCH(C747,parametros!$B$2:$B$6,0)),"")="Sim",IFERROR(INDEX(parametros!$H$2:$H$6,MATCH(C747,parametros!$B$2:$B$6,0)),"")=""),"INICIO_EFEITO ausente: PC "&amp;A747&amp;" - "&amp;C747,IF(L747="","EFEITO_PC nao calculado: PC "&amp;A747&amp;" - "&amp;C747,"OK")))))))))</f>
        <v/>
      </c>
      <c r="L747" s="92" t="str">
        <f>IF(AND(A747="",B747="",D747="",G747=""),"",IF(OR(B747="",NOT(ISNUMBER(B747)),C747="",C747="Fora dos ciclos"),"",IF(C747="C0","Nao",IF(IFERROR(INDEX(parametros!$A$2:$A$6,MATCH(C747,parametros!$B$2:$B$6,0)),"")&lt;&gt;"Sim","Nao",IF(IFERROR(INDEX(parametros!$H$2:$H$6,MATCH(C747,parametros!$B$2:$B$6,0)),"")="","",IF(B747&gt;=IFERROR(INDEX(parametros!$H$2:$H$6,MATCH(C747,parametros!$B$2:$B$6,0)),""),"Sim","Nao"))))))</f>
        <v/>
      </c>
      <c r="T747" s="156"/>
      <c r="U747" s="214" t="str">
        <f t="shared" si="61"/>
        <v/>
      </c>
      <c r="V747" s="212" t="s">
        <v>50</v>
      </c>
      <c r="W747" s="100" t="s">
        <v>168</v>
      </c>
      <c r="X747" s="100" t="s">
        <v>169</v>
      </c>
      <c r="Y747" s="101" t="s">
        <v>170</v>
      </c>
      <c r="Z747" s="101" t="s">
        <v>171</v>
      </c>
      <c r="AA747" s="101" t="s">
        <v>50</v>
      </c>
      <c r="AB747" s="101" t="s">
        <v>172</v>
      </c>
      <c r="AC747" s="102" t="s">
        <v>173</v>
      </c>
    </row>
    <row r="748" spans="1:29" ht="25.5" customHeight="1" x14ac:dyDescent="0.35">
      <c r="A748" s="392"/>
      <c r="B748" s="393"/>
      <c r="C748" s="99" t="str">
        <f>IF(B748="","",IF(NOT(ISNUMBER(B748)),"DATA_PC invalida",IF(NOT(ISNUMBER(parametros!$C$2)),"Fora dos ciclos",IF(OR(B748&lt;parametros!$C$2,(YEAR(B748)-YEAR(parametros!$C$2))*12+MONTH(B748)-MONTH(parametros!$C$2)&gt;59),"Fora dos ciclos","C"&amp;INT(((YEAR(B748)-YEAR(parametros!$C$2))*12+MONTH(B748)-MONTH(parametros!$C$2))/12)))))</f>
        <v/>
      </c>
      <c r="D748" s="394"/>
      <c r="E748" s="78" t="str">
        <f>IF(C748="","",IFERROR(VLOOKUP(C748,parametros!$A$11:$E$15,5,0),""))</f>
        <v/>
      </c>
      <c r="F748" s="79" t="str">
        <f t="shared" si="57"/>
        <v/>
      </c>
      <c r="G748" s="395"/>
      <c r="H748" s="91">
        <f t="shared" si="58"/>
        <v>0</v>
      </c>
      <c r="I748" s="91" t="str">
        <f t="shared" si="59"/>
        <v/>
      </c>
      <c r="J748" s="91" t="str">
        <f t="shared" si="60"/>
        <v/>
      </c>
      <c r="K748" s="92" t="str">
        <f>IF(AND(A748="",B748="",D748="",G748=""),"",IF(AND(A748&lt;&gt;"",COUNTIF($A$2:$A$5001,A748)&gt;1),"NUMERO_PC duplicado",IF(B748="","DATA_PC vazia",IF(NOT(ISNUMBER(B748)),"DATA_PC invalida",IF(OR(C748="",C748="Fora dos ciclos"),"CICLO_PC nao identificado",IF(OR(D748="",D748=0),"VALOR_PC vazio ou zero",IF(AND(G748&lt;&gt;"Sim",G748&lt;&gt;"Nao",G748&lt;&gt;""),"PC_PAGO_A_CONTRATADA invalido",IF(AND(C748&lt;&gt;"C0",IFERROR(INDEX(parametros!$A$2:$A$6,MATCH(C748,parametros!$B$2:$B$6,0)),"")="Sim",IFERROR(INDEX(parametros!$H$2:$H$6,MATCH(C748,parametros!$B$2:$B$6,0)),"")=""),"INICIO_EFEITO ausente: PC "&amp;A748&amp;" - "&amp;C748,IF(L748="","EFEITO_PC nao calculado: PC "&amp;A748&amp;" - "&amp;C748,"OK")))))))))</f>
        <v/>
      </c>
      <c r="L748" s="92" t="str">
        <f>IF(AND(A748="",B748="",D748="",G748=""),"",IF(OR(B748="",NOT(ISNUMBER(B748)),C748="",C748="Fora dos ciclos"),"",IF(C748="C0","Nao",IF(IFERROR(INDEX(parametros!$A$2:$A$6,MATCH(C748,parametros!$B$2:$B$6,0)),"")&lt;&gt;"Sim","Nao",IF(IFERROR(INDEX(parametros!$H$2:$H$6,MATCH(C748,parametros!$B$2:$B$6,0)),"")="","",IF(B748&gt;=IFERROR(INDEX(parametros!$H$2:$H$6,MATCH(C748,parametros!$B$2:$B$6,0)),""),"Sim","Nao"))))))</f>
        <v/>
      </c>
      <c r="T748" s="156"/>
      <c r="U748" s="214" t="str">
        <f t="shared" si="61"/>
        <v/>
      </c>
      <c r="V748" s="212" t="s">
        <v>50</v>
      </c>
      <c r="W748" s="100" t="s">
        <v>168</v>
      </c>
      <c r="X748" s="100" t="s">
        <v>169</v>
      </c>
      <c r="Y748" s="101" t="s">
        <v>170</v>
      </c>
      <c r="Z748" s="101" t="s">
        <v>171</v>
      </c>
      <c r="AA748" s="101" t="s">
        <v>50</v>
      </c>
      <c r="AB748" s="101" t="s">
        <v>172</v>
      </c>
      <c r="AC748" s="102" t="s">
        <v>173</v>
      </c>
    </row>
    <row r="749" spans="1:29" ht="25.5" customHeight="1" x14ac:dyDescent="0.35">
      <c r="A749" s="392"/>
      <c r="B749" s="393"/>
      <c r="C749" s="99" t="str">
        <f>IF(B749="","",IF(NOT(ISNUMBER(B749)),"DATA_PC invalida",IF(NOT(ISNUMBER(parametros!$C$2)),"Fora dos ciclos",IF(OR(B749&lt;parametros!$C$2,(YEAR(B749)-YEAR(parametros!$C$2))*12+MONTH(B749)-MONTH(parametros!$C$2)&gt;59),"Fora dos ciclos","C"&amp;INT(((YEAR(B749)-YEAR(parametros!$C$2))*12+MONTH(B749)-MONTH(parametros!$C$2))/12)))))</f>
        <v/>
      </c>
      <c r="D749" s="394"/>
      <c r="E749" s="78" t="str">
        <f>IF(C749="","",IFERROR(VLOOKUP(C749,parametros!$A$11:$E$15,5,0),""))</f>
        <v/>
      </c>
      <c r="F749" s="79" t="str">
        <f t="shared" si="57"/>
        <v/>
      </c>
      <c r="G749" s="395"/>
      <c r="H749" s="91">
        <f t="shared" si="58"/>
        <v>0</v>
      </c>
      <c r="I749" s="91" t="str">
        <f t="shared" si="59"/>
        <v/>
      </c>
      <c r="J749" s="91" t="str">
        <f t="shared" si="60"/>
        <v/>
      </c>
      <c r="K749" s="92" t="str">
        <f>IF(AND(A749="",B749="",D749="",G749=""),"",IF(AND(A749&lt;&gt;"",COUNTIF($A$2:$A$5001,A749)&gt;1),"NUMERO_PC duplicado",IF(B749="","DATA_PC vazia",IF(NOT(ISNUMBER(B749)),"DATA_PC invalida",IF(OR(C749="",C749="Fora dos ciclos"),"CICLO_PC nao identificado",IF(OR(D749="",D749=0),"VALOR_PC vazio ou zero",IF(AND(G749&lt;&gt;"Sim",G749&lt;&gt;"Nao",G749&lt;&gt;""),"PC_PAGO_A_CONTRATADA invalido",IF(AND(C749&lt;&gt;"C0",IFERROR(INDEX(parametros!$A$2:$A$6,MATCH(C749,parametros!$B$2:$B$6,0)),"")="Sim",IFERROR(INDEX(parametros!$H$2:$H$6,MATCH(C749,parametros!$B$2:$B$6,0)),"")=""),"INICIO_EFEITO ausente: PC "&amp;A749&amp;" - "&amp;C749,IF(L749="","EFEITO_PC nao calculado: PC "&amp;A749&amp;" - "&amp;C749,"OK")))))))))</f>
        <v/>
      </c>
      <c r="L749" s="92" t="str">
        <f>IF(AND(A749="",B749="",D749="",G749=""),"",IF(OR(B749="",NOT(ISNUMBER(B749)),C749="",C749="Fora dos ciclos"),"",IF(C749="C0","Nao",IF(IFERROR(INDEX(parametros!$A$2:$A$6,MATCH(C749,parametros!$B$2:$B$6,0)),"")&lt;&gt;"Sim","Nao",IF(IFERROR(INDEX(parametros!$H$2:$H$6,MATCH(C749,parametros!$B$2:$B$6,0)),"")="","",IF(B749&gt;=IFERROR(INDEX(parametros!$H$2:$H$6,MATCH(C749,parametros!$B$2:$B$6,0)),""),"Sim","Nao"))))))</f>
        <v/>
      </c>
      <c r="T749" s="156"/>
      <c r="U749" s="214" t="str">
        <f t="shared" si="61"/>
        <v/>
      </c>
      <c r="V749" s="212" t="s">
        <v>50</v>
      </c>
      <c r="W749" s="100" t="s">
        <v>168</v>
      </c>
      <c r="X749" s="100" t="s">
        <v>169</v>
      </c>
      <c r="Y749" s="101" t="s">
        <v>170</v>
      </c>
      <c r="Z749" s="101" t="s">
        <v>171</v>
      </c>
      <c r="AA749" s="101" t="s">
        <v>50</v>
      </c>
      <c r="AB749" s="101" t="s">
        <v>172</v>
      </c>
      <c r="AC749" s="102" t="s">
        <v>173</v>
      </c>
    </row>
    <row r="750" spans="1:29" ht="25.5" customHeight="1" x14ac:dyDescent="0.35">
      <c r="A750" s="392"/>
      <c r="B750" s="393"/>
      <c r="C750" s="99" t="str">
        <f>IF(B750="","",IF(NOT(ISNUMBER(B750)),"DATA_PC invalida",IF(NOT(ISNUMBER(parametros!$C$2)),"Fora dos ciclos",IF(OR(B750&lt;parametros!$C$2,(YEAR(B750)-YEAR(parametros!$C$2))*12+MONTH(B750)-MONTH(parametros!$C$2)&gt;59),"Fora dos ciclos","C"&amp;INT(((YEAR(B750)-YEAR(parametros!$C$2))*12+MONTH(B750)-MONTH(parametros!$C$2))/12)))))</f>
        <v/>
      </c>
      <c r="D750" s="394"/>
      <c r="E750" s="78" t="str">
        <f>IF(C750="","",IFERROR(VLOOKUP(C750,parametros!$A$11:$E$15,5,0),""))</f>
        <v/>
      </c>
      <c r="F750" s="79" t="str">
        <f t="shared" si="57"/>
        <v/>
      </c>
      <c r="G750" s="395"/>
      <c r="H750" s="91">
        <f t="shared" si="58"/>
        <v>0</v>
      </c>
      <c r="I750" s="91" t="str">
        <f t="shared" si="59"/>
        <v/>
      </c>
      <c r="J750" s="91" t="str">
        <f t="shared" si="60"/>
        <v/>
      </c>
      <c r="K750" s="92" t="str">
        <f>IF(AND(A750="",B750="",D750="",G750=""),"",IF(AND(A750&lt;&gt;"",COUNTIF($A$2:$A$5001,A750)&gt;1),"NUMERO_PC duplicado",IF(B750="","DATA_PC vazia",IF(NOT(ISNUMBER(B750)),"DATA_PC invalida",IF(OR(C750="",C750="Fora dos ciclos"),"CICLO_PC nao identificado",IF(OR(D750="",D750=0),"VALOR_PC vazio ou zero",IF(AND(G750&lt;&gt;"Sim",G750&lt;&gt;"Nao",G750&lt;&gt;""),"PC_PAGO_A_CONTRATADA invalido",IF(AND(C750&lt;&gt;"C0",IFERROR(INDEX(parametros!$A$2:$A$6,MATCH(C750,parametros!$B$2:$B$6,0)),"")="Sim",IFERROR(INDEX(parametros!$H$2:$H$6,MATCH(C750,parametros!$B$2:$B$6,0)),"")=""),"INICIO_EFEITO ausente: PC "&amp;A750&amp;" - "&amp;C750,IF(L750="","EFEITO_PC nao calculado: PC "&amp;A750&amp;" - "&amp;C750,"OK")))))))))</f>
        <v/>
      </c>
      <c r="L750" s="92" t="str">
        <f>IF(AND(A750="",B750="",D750="",G750=""),"",IF(OR(B750="",NOT(ISNUMBER(B750)),C750="",C750="Fora dos ciclos"),"",IF(C750="C0","Nao",IF(IFERROR(INDEX(parametros!$A$2:$A$6,MATCH(C750,parametros!$B$2:$B$6,0)),"")&lt;&gt;"Sim","Nao",IF(IFERROR(INDEX(parametros!$H$2:$H$6,MATCH(C750,parametros!$B$2:$B$6,0)),"")="","",IF(B750&gt;=IFERROR(INDEX(parametros!$H$2:$H$6,MATCH(C750,parametros!$B$2:$B$6,0)),""),"Sim","Nao"))))))</f>
        <v/>
      </c>
      <c r="T750" s="156"/>
      <c r="U750" s="214" t="str">
        <f t="shared" si="61"/>
        <v/>
      </c>
      <c r="V750" s="212" t="s">
        <v>50</v>
      </c>
      <c r="W750" s="100" t="s">
        <v>168</v>
      </c>
      <c r="X750" s="100" t="s">
        <v>169</v>
      </c>
      <c r="Y750" s="101" t="s">
        <v>170</v>
      </c>
      <c r="Z750" s="101" t="s">
        <v>171</v>
      </c>
      <c r="AA750" s="101" t="s">
        <v>50</v>
      </c>
      <c r="AB750" s="101" t="s">
        <v>172</v>
      </c>
      <c r="AC750" s="102" t="s">
        <v>173</v>
      </c>
    </row>
    <row r="751" spans="1:29" ht="25.5" customHeight="1" x14ac:dyDescent="0.35">
      <c r="A751" s="392"/>
      <c r="B751" s="393"/>
      <c r="C751" s="99" t="str">
        <f>IF(B751="","",IF(NOT(ISNUMBER(B751)),"DATA_PC invalida",IF(NOT(ISNUMBER(parametros!$C$2)),"Fora dos ciclos",IF(OR(B751&lt;parametros!$C$2,(YEAR(B751)-YEAR(parametros!$C$2))*12+MONTH(B751)-MONTH(parametros!$C$2)&gt;59),"Fora dos ciclos","C"&amp;INT(((YEAR(B751)-YEAR(parametros!$C$2))*12+MONTH(B751)-MONTH(parametros!$C$2))/12)))))</f>
        <v/>
      </c>
      <c r="D751" s="394"/>
      <c r="E751" s="78" t="str">
        <f>IF(C751="","",IFERROR(VLOOKUP(C751,parametros!$A$11:$E$15,5,0),""))</f>
        <v/>
      </c>
      <c r="F751" s="79" t="str">
        <f t="shared" si="57"/>
        <v/>
      </c>
      <c r="G751" s="395"/>
      <c r="H751" s="91">
        <f t="shared" si="58"/>
        <v>0</v>
      </c>
      <c r="I751" s="91" t="str">
        <f t="shared" si="59"/>
        <v/>
      </c>
      <c r="J751" s="91" t="str">
        <f t="shared" si="60"/>
        <v/>
      </c>
      <c r="K751" s="92" t="str">
        <f>IF(AND(A751="",B751="",D751="",G751=""),"",IF(AND(A751&lt;&gt;"",COUNTIF($A$2:$A$5001,A751)&gt;1),"NUMERO_PC duplicado",IF(B751="","DATA_PC vazia",IF(NOT(ISNUMBER(B751)),"DATA_PC invalida",IF(OR(C751="",C751="Fora dos ciclos"),"CICLO_PC nao identificado",IF(OR(D751="",D751=0),"VALOR_PC vazio ou zero",IF(AND(G751&lt;&gt;"Sim",G751&lt;&gt;"Nao",G751&lt;&gt;""),"PC_PAGO_A_CONTRATADA invalido",IF(AND(C751&lt;&gt;"C0",IFERROR(INDEX(parametros!$A$2:$A$6,MATCH(C751,parametros!$B$2:$B$6,0)),"")="Sim",IFERROR(INDEX(parametros!$H$2:$H$6,MATCH(C751,parametros!$B$2:$B$6,0)),"")=""),"INICIO_EFEITO ausente: PC "&amp;A751&amp;" - "&amp;C751,IF(L751="","EFEITO_PC nao calculado: PC "&amp;A751&amp;" - "&amp;C751,"OK")))))))))</f>
        <v/>
      </c>
      <c r="L751" s="92" t="str">
        <f>IF(AND(A751="",B751="",D751="",G751=""),"",IF(OR(B751="",NOT(ISNUMBER(B751)),C751="",C751="Fora dos ciclos"),"",IF(C751="C0","Nao",IF(IFERROR(INDEX(parametros!$A$2:$A$6,MATCH(C751,parametros!$B$2:$B$6,0)),"")&lt;&gt;"Sim","Nao",IF(IFERROR(INDEX(parametros!$H$2:$H$6,MATCH(C751,parametros!$B$2:$B$6,0)),"")="","",IF(B751&gt;=IFERROR(INDEX(parametros!$H$2:$H$6,MATCH(C751,parametros!$B$2:$B$6,0)),""),"Sim","Nao"))))))</f>
        <v/>
      </c>
      <c r="T751" s="156"/>
      <c r="U751" s="214" t="str">
        <f t="shared" si="61"/>
        <v/>
      </c>
      <c r="V751" s="212" t="s">
        <v>50</v>
      </c>
      <c r="W751" s="100" t="s">
        <v>168</v>
      </c>
      <c r="X751" s="100" t="s">
        <v>169</v>
      </c>
      <c r="Y751" s="101" t="s">
        <v>170</v>
      </c>
      <c r="Z751" s="101" t="s">
        <v>171</v>
      </c>
      <c r="AA751" s="101" t="s">
        <v>50</v>
      </c>
      <c r="AB751" s="101" t="s">
        <v>172</v>
      </c>
      <c r="AC751" s="102" t="s">
        <v>173</v>
      </c>
    </row>
    <row r="752" spans="1:29" ht="25.5" customHeight="1" x14ac:dyDescent="0.35">
      <c r="A752" s="392"/>
      <c r="B752" s="393"/>
      <c r="C752" s="99" t="str">
        <f>IF(B752="","",IF(NOT(ISNUMBER(B752)),"DATA_PC invalida",IF(NOT(ISNUMBER(parametros!$C$2)),"Fora dos ciclos",IF(OR(B752&lt;parametros!$C$2,(YEAR(B752)-YEAR(parametros!$C$2))*12+MONTH(B752)-MONTH(parametros!$C$2)&gt;59),"Fora dos ciclos","C"&amp;INT(((YEAR(B752)-YEAR(parametros!$C$2))*12+MONTH(B752)-MONTH(parametros!$C$2))/12)))))</f>
        <v/>
      </c>
      <c r="D752" s="394"/>
      <c r="E752" s="78" t="str">
        <f>IF(C752="","",IFERROR(VLOOKUP(C752,parametros!$A$11:$E$15,5,0),""))</f>
        <v/>
      </c>
      <c r="F752" s="79" t="str">
        <f t="shared" si="57"/>
        <v/>
      </c>
      <c r="G752" s="395"/>
      <c r="H752" s="91">
        <f t="shared" si="58"/>
        <v>0</v>
      </c>
      <c r="I752" s="91" t="str">
        <f t="shared" si="59"/>
        <v/>
      </c>
      <c r="J752" s="91" t="str">
        <f t="shared" si="60"/>
        <v/>
      </c>
      <c r="K752" s="92" t="str">
        <f>IF(AND(A752="",B752="",D752="",G752=""),"",IF(AND(A752&lt;&gt;"",COUNTIF($A$2:$A$5001,A752)&gt;1),"NUMERO_PC duplicado",IF(B752="","DATA_PC vazia",IF(NOT(ISNUMBER(B752)),"DATA_PC invalida",IF(OR(C752="",C752="Fora dos ciclos"),"CICLO_PC nao identificado",IF(OR(D752="",D752=0),"VALOR_PC vazio ou zero",IF(AND(G752&lt;&gt;"Sim",G752&lt;&gt;"Nao",G752&lt;&gt;""),"PC_PAGO_A_CONTRATADA invalido",IF(AND(C752&lt;&gt;"C0",IFERROR(INDEX(parametros!$A$2:$A$6,MATCH(C752,parametros!$B$2:$B$6,0)),"")="Sim",IFERROR(INDEX(parametros!$H$2:$H$6,MATCH(C752,parametros!$B$2:$B$6,0)),"")=""),"INICIO_EFEITO ausente: PC "&amp;A752&amp;" - "&amp;C752,IF(L752="","EFEITO_PC nao calculado: PC "&amp;A752&amp;" - "&amp;C752,"OK")))))))))</f>
        <v/>
      </c>
      <c r="L752" s="92" t="str">
        <f>IF(AND(A752="",B752="",D752="",G752=""),"",IF(OR(B752="",NOT(ISNUMBER(B752)),C752="",C752="Fora dos ciclos"),"",IF(C752="C0","Nao",IF(IFERROR(INDEX(parametros!$A$2:$A$6,MATCH(C752,parametros!$B$2:$B$6,0)),"")&lt;&gt;"Sim","Nao",IF(IFERROR(INDEX(parametros!$H$2:$H$6,MATCH(C752,parametros!$B$2:$B$6,0)),"")="","",IF(B752&gt;=IFERROR(INDEX(parametros!$H$2:$H$6,MATCH(C752,parametros!$B$2:$B$6,0)),""),"Sim","Nao"))))))</f>
        <v/>
      </c>
      <c r="T752" s="156"/>
      <c r="U752" s="214" t="str">
        <f t="shared" si="61"/>
        <v/>
      </c>
      <c r="V752" s="212" t="s">
        <v>50</v>
      </c>
      <c r="W752" s="100" t="s">
        <v>168</v>
      </c>
      <c r="X752" s="100" t="s">
        <v>169</v>
      </c>
      <c r="Y752" s="101" t="s">
        <v>170</v>
      </c>
      <c r="Z752" s="101" t="s">
        <v>171</v>
      </c>
      <c r="AA752" s="101" t="s">
        <v>50</v>
      </c>
      <c r="AB752" s="101" t="s">
        <v>172</v>
      </c>
      <c r="AC752" s="102" t="s">
        <v>173</v>
      </c>
    </row>
    <row r="753" spans="1:29" ht="25.5" customHeight="1" x14ac:dyDescent="0.35">
      <c r="A753" s="392"/>
      <c r="B753" s="393"/>
      <c r="C753" s="99" t="str">
        <f>IF(B753="","",IF(NOT(ISNUMBER(B753)),"DATA_PC invalida",IF(NOT(ISNUMBER(parametros!$C$2)),"Fora dos ciclos",IF(OR(B753&lt;parametros!$C$2,(YEAR(B753)-YEAR(parametros!$C$2))*12+MONTH(B753)-MONTH(parametros!$C$2)&gt;59),"Fora dos ciclos","C"&amp;INT(((YEAR(B753)-YEAR(parametros!$C$2))*12+MONTH(B753)-MONTH(parametros!$C$2))/12)))))</f>
        <v/>
      </c>
      <c r="D753" s="394"/>
      <c r="E753" s="78" t="str">
        <f>IF(C753="","",IFERROR(VLOOKUP(C753,parametros!$A$11:$E$15,5,0),""))</f>
        <v/>
      </c>
      <c r="F753" s="79" t="str">
        <f t="shared" si="57"/>
        <v/>
      </c>
      <c r="G753" s="395"/>
      <c r="H753" s="91">
        <f t="shared" si="58"/>
        <v>0</v>
      </c>
      <c r="I753" s="91" t="str">
        <f t="shared" si="59"/>
        <v/>
      </c>
      <c r="J753" s="91" t="str">
        <f t="shared" si="60"/>
        <v/>
      </c>
      <c r="K753" s="92" t="str">
        <f>IF(AND(A753="",B753="",D753="",G753=""),"",IF(AND(A753&lt;&gt;"",COUNTIF($A$2:$A$5001,A753)&gt;1),"NUMERO_PC duplicado",IF(B753="","DATA_PC vazia",IF(NOT(ISNUMBER(B753)),"DATA_PC invalida",IF(OR(C753="",C753="Fora dos ciclos"),"CICLO_PC nao identificado",IF(OR(D753="",D753=0),"VALOR_PC vazio ou zero",IF(AND(G753&lt;&gt;"Sim",G753&lt;&gt;"Nao",G753&lt;&gt;""),"PC_PAGO_A_CONTRATADA invalido",IF(AND(C753&lt;&gt;"C0",IFERROR(INDEX(parametros!$A$2:$A$6,MATCH(C753,parametros!$B$2:$B$6,0)),"")="Sim",IFERROR(INDEX(parametros!$H$2:$H$6,MATCH(C753,parametros!$B$2:$B$6,0)),"")=""),"INICIO_EFEITO ausente: PC "&amp;A753&amp;" - "&amp;C753,IF(L753="","EFEITO_PC nao calculado: PC "&amp;A753&amp;" - "&amp;C753,"OK")))))))))</f>
        <v/>
      </c>
      <c r="L753" s="92" t="str">
        <f>IF(AND(A753="",B753="",D753="",G753=""),"",IF(OR(B753="",NOT(ISNUMBER(B753)),C753="",C753="Fora dos ciclos"),"",IF(C753="C0","Nao",IF(IFERROR(INDEX(parametros!$A$2:$A$6,MATCH(C753,parametros!$B$2:$B$6,0)),"")&lt;&gt;"Sim","Nao",IF(IFERROR(INDEX(parametros!$H$2:$H$6,MATCH(C753,parametros!$B$2:$B$6,0)),"")="","",IF(B753&gt;=IFERROR(INDEX(parametros!$H$2:$H$6,MATCH(C753,parametros!$B$2:$B$6,0)),""),"Sim","Nao"))))))</f>
        <v/>
      </c>
      <c r="T753" s="156"/>
      <c r="U753" s="214" t="str">
        <f t="shared" si="61"/>
        <v/>
      </c>
      <c r="V753" s="212" t="s">
        <v>50</v>
      </c>
      <c r="W753" s="100" t="s">
        <v>168</v>
      </c>
      <c r="X753" s="100" t="s">
        <v>169</v>
      </c>
      <c r="Y753" s="101" t="s">
        <v>170</v>
      </c>
      <c r="Z753" s="101" t="s">
        <v>171</v>
      </c>
      <c r="AA753" s="101" t="s">
        <v>50</v>
      </c>
      <c r="AB753" s="101" t="s">
        <v>172</v>
      </c>
      <c r="AC753" s="102" t="s">
        <v>173</v>
      </c>
    </row>
    <row r="754" spans="1:29" ht="25.5" customHeight="1" x14ac:dyDescent="0.35">
      <c r="A754" s="392"/>
      <c r="B754" s="393"/>
      <c r="C754" s="99" t="str">
        <f>IF(B754="","",IF(NOT(ISNUMBER(B754)),"DATA_PC invalida",IF(NOT(ISNUMBER(parametros!$C$2)),"Fora dos ciclos",IF(OR(B754&lt;parametros!$C$2,(YEAR(B754)-YEAR(parametros!$C$2))*12+MONTH(B754)-MONTH(parametros!$C$2)&gt;59),"Fora dos ciclos","C"&amp;INT(((YEAR(B754)-YEAR(parametros!$C$2))*12+MONTH(B754)-MONTH(parametros!$C$2))/12)))))</f>
        <v/>
      </c>
      <c r="D754" s="394"/>
      <c r="E754" s="78" t="str">
        <f>IF(C754="","",IFERROR(VLOOKUP(C754,parametros!$A$11:$E$15,5,0),""))</f>
        <v/>
      </c>
      <c r="F754" s="79" t="str">
        <f t="shared" si="57"/>
        <v/>
      </c>
      <c r="G754" s="395"/>
      <c r="H754" s="91">
        <f t="shared" si="58"/>
        <v>0</v>
      </c>
      <c r="I754" s="91" t="str">
        <f t="shared" si="59"/>
        <v/>
      </c>
      <c r="J754" s="91" t="str">
        <f t="shared" si="60"/>
        <v/>
      </c>
      <c r="K754" s="92" t="str">
        <f>IF(AND(A754="",B754="",D754="",G754=""),"",IF(AND(A754&lt;&gt;"",COUNTIF($A$2:$A$5001,A754)&gt;1),"NUMERO_PC duplicado",IF(B754="","DATA_PC vazia",IF(NOT(ISNUMBER(B754)),"DATA_PC invalida",IF(OR(C754="",C754="Fora dos ciclos"),"CICLO_PC nao identificado",IF(OR(D754="",D754=0),"VALOR_PC vazio ou zero",IF(AND(G754&lt;&gt;"Sim",G754&lt;&gt;"Nao",G754&lt;&gt;""),"PC_PAGO_A_CONTRATADA invalido",IF(AND(C754&lt;&gt;"C0",IFERROR(INDEX(parametros!$A$2:$A$6,MATCH(C754,parametros!$B$2:$B$6,0)),"")="Sim",IFERROR(INDEX(parametros!$H$2:$H$6,MATCH(C754,parametros!$B$2:$B$6,0)),"")=""),"INICIO_EFEITO ausente: PC "&amp;A754&amp;" - "&amp;C754,IF(L754="","EFEITO_PC nao calculado: PC "&amp;A754&amp;" - "&amp;C754,"OK")))))))))</f>
        <v/>
      </c>
      <c r="L754" s="92" t="str">
        <f>IF(AND(A754="",B754="",D754="",G754=""),"",IF(OR(B754="",NOT(ISNUMBER(B754)),C754="",C754="Fora dos ciclos"),"",IF(C754="C0","Nao",IF(IFERROR(INDEX(parametros!$A$2:$A$6,MATCH(C754,parametros!$B$2:$B$6,0)),"")&lt;&gt;"Sim","Nao",IF(IFERROR(INDEX(parametros!$H$2:$H$6,MATCH(C754,parametros!$B$2:$B$6,0)),"")="","",IF(B754&gt;=IFERROR(INDEX(parametros!$H$2:$H$6,MATCH(C754,parametros!$B$2:$B$6,0)),""),"Sim","Nao"))))))</f>
        <v/>
      </c>
      <c r="T754" s="156"/>
      <c r="U754" s="214" t="str">
        <f t="shared" si="61"/>
        <v/>
      </c>
      <c r="V754" s="212" t="s">
        <v>50</v>
      </c>
      <c r="W754" s="100" t="s">
        <v>168</v>
      </c>
      <c r="X754" s="100" t="s">
        <v>169</v>
      </c>
      <c r="Y754" s="101" t="s">
        <v>170</v>
      </c>
      <c r="Z754" s="101" t="s">
        <v>171</v>
      </c>
      <c r="AA754" s="101" t="s">
        <v>50</v>
      </c>
      <c r="AB754" s="101" t="s">
        <v>172</v>
      </c>
      <c r="AC754" s="102" t="s">
        <v>173</v>
      </c>
    </row>
    <row r="755" spans="1:29" ht="25.5" customHeight="1" x14ac:dyDescent="0.35">
      <c r="A755" s="392"/>
      <c r="B755" s="393"/>
      <c r="C755" s="99" t="str">
        <f>IF(B755="","",IF(NOT(ISNUMBER(B755)),"DATA_PC invalida",IF(NOT(ISNUMBER(parametros!$C$2)),"Fora dos ciclos",IF(OR(B755&lt;parametros!$C$2,(YEAR(B755)-YEAR(parametros!$C$2))*12+MONTH(B755)-MONTH(parametros!$C$2)&gt;59),"Fora dos ciclos","C"&amp;INT(((YEAR(B755)-YEAR(parametros!$C$2))*12+MONTH(B755)-MONTH(parametros!$C$2))/12)))))</f>
        <v/>
      </c>
      <c r="D755" s="394"/>
      <c r="E755" s="78" t="str">
        <f>IF(C755="","",IFERROR(VLOOKUP(C755,parametros!$A$11:$E$15,5,0),""))</f>
        <v/>
      </c>
      <c r="F755" s="79" t="str">
        <f t="shared" si="57"/>
        <v/>
      </c>
      <c r="G755" s="395"/>
      <c r="H755" s="91">
        <f t="shared" si="58"/>
        <v>0</v>
      </c>
      <c r="I755" s="91" t="str">
        <f t="shared" si="59"/>
        <v/>
      </c>
      <c r="J755" s="91" t="str">
        <f t="shared" si="60"/>
        <v/>
      </c>
      <c r="K755" s="92" t="str">
        <f>IF(AND(A755="",B755="",D755="",G755=""),"",IF(AND(A755&lt;&gt;"",COUNTIF($A$2:$A$5001,A755)&gt;1),"NUMERO_PC duplicado",IF(B755="","DATA_PC vazia",IF(NOT(ISNUMBER(B755)),"DATA_PC invalida",IF(OR(C755="",C755="Fora dos ciclos"),"CICLO_PC nao identificado",IF(OR(D755="",D755=0),"VALOR_PC vazio ou zero",IF(AND(G755&lt;&gt;"Sim",G755&lt;&gt;"Nao",G755&lt;&gt;""),"PC_PAGO_A_CONTRATADA invalido",IF(AND(C755&lt;&gt;"C0",IFERROR(INDEX(parametros!$A$2:$A$6,MATCH(C755,parametros!$B$2:$B$6,0)),"")="Sim",IFERROR(INDEX(parametros!$H$2:$H$6,MATCH(C755,parametros!$B$2:$B$6,0)),"")=""),"INICIO_EFEITO ausente: PC "&amp;A755&amp;" - "&amp;C755,IF(L755="","EFEITO_PC nao calculado: PC "&amp;A755&amp;" - "&amp;C755,"OK")))))))))</f>
        <v/>
      </c>
      <c r="L755" s="92" t="str">
        <f>IF(AND(A755="",B755="",D755="",G755=""),"",IF(OR(B755="",NOT(ISNUMBER(B755)),C755="",C755="Fora dos ciclos"),"",IF(C755="C0","Nao",IF(IFERROR(INDEX(parametros!$A$2:$A$6,MATCH(C755,parametros!$B$2:$B$6,0)),"")&lt;&gt;"Sim","Nao",IF(IFERROR(INDEX(parametros!$H$2:$H$6,MATCH(C755,parametros!$B$2:$B$6,0)),"")="","",IF(B755&gt;=IFERROR(INDEX(parametros!$H$2:$H$6,MATCH(C755,parametros!$B$2:$B$6,0)),""),"Sim","Nao"))))))</f>
        <v/>
      </c>
      <c r="T755" s="156"/>
      <c r="U755" s="214" t="str">
        <f t="shared" si="61"/>
        <v/>
      </c>
      <c r="V755" s="212" t="s">
        <v>50</v>
      </c>
      <c r="W755" s="100" t="s">
        <v>168</v>
      </c>
      <c r="X755" s="100" t="s">
        <v>169</v>
      </c>
      <c r="Y755" s="101" t="s">
        <v>170</v>
      </c>
      <c r="Z755" s="101" t="s">
        <v>171</v>
      </c>
      <c r="AA755" s="101" t="s">
        <v>50</v>
      </c>
      <c r="AB755" s="101" t="s">
        <v>172</v>
      </c>
      <c r="AC755" s="102" t="s">
        <v>173</v>
      </c>
    </row>
    <row r="756" spans="1:29" ht="25.5" customHeight="1" x14ac:dyDescent="0.35">
      <c r="A756" s="392"/>
      <c r="B756" s="393"/>
      <c r="C756" s="99" t="str">
        <f>IF(B756="","",IF(NOT(ISNUMBER(B756)),"DATA_PC invalida",IF(NOT(ISNUMBER(parametros!$C$2)),"Fora dos ciclos",IF(OR(B756&lt;parametros!$C$2,(YEAR(B756)-YEAR(parametros!$C$2))*12+MONTH(B756)-MONTH(parametros!$C$2)&gt;59),"Fora dos ciclos","C"&amp;INT(((YEAR(B756)-YEAR(parametros!$C$2))*12+MONTH(B756)-MONTH(parametros!$C$2))/12)))))</f>
        <v/>
      </c>
      <c r="D756" s="394"/>
      <c r="E756" s="78" t="str">
        <f>IF(C756="","",IFERROR(VLOOKUP(C756,parametros!$A$11:$E$15,5,0),""))</f>
        <v/>
      </c>
      <c r="F756" s="79" t="str">
        <f t="shared" si="57"/>
        <v/>
      </c>
      <c r="G756" s="395"/>
      <c r="H756" s="91">
        <f t="shared" si="58"/>
        <v>0</v>
      </c>
      <c r="I756" s="91" t="str">
        <f t="shared" si="59"/>
        <v/>
      </c>
      <c r="J756" s="91" t="str">
        <f t="shared" si="60"/>
        <v/>
      </c>
      <c r="K756" s="92" t="str">
        <f>IF(AND(A756="",B756="",D756="",G756=""),"",IF(AND(A756&lt;&gt;"",COUNTIF($A$2:$A$5001,A756)&gt;1),"NUMERO_PC duplicado",IF(B756="","DATA_PC vazia",IF(NOT(ISNUMBER(B756)),"DATA_PC invalida",IF(OR(C756="",C756="Fora dos ciclos"),"CICLO_PC nao identificado",IF(OR(D756="",D756=0),"VALOR_PC vazio ou zero",IF(AND(G756&lt;&gt;"Sim",G756&lt;&gt;"Nao",G756&lt;&gt;""),"PC_PAGO_A_CONTRATADA invalido",IF(AND(C756&lt;&gt;"C0",IFERROR(INDEX(parametros!$A$2:$A$6,MATCH(C756,parametros!$B$2:$B$6,0)),"")="Sim",IFERROR(INDEX(parametros!$H$2:$H$6,MATCH(C756,parametros!$B$2:$B$6,0)),"")=""),"INICIO_EFEITO ausente: PC "&amp;A756&amp;" - "&amp;C756,IF(L756="","EFEITO_PC nao calculado: PC "&amp;A756&amp;" - "&amp;C756,"OK")))))))))</f>
        <v/>
      </c>
      <c r="L756" s="92" t="str">
        <f>IF(AND(A756="",B756="",D756="",G756=""),"",IF(OR(B756="",NOT(ISNUMBER(B756)),C756="",C756="Fora dos ciclos"),"",IF(C756="C0","Nao",IF(IFERROR(INDEX(parametros!$A$2:$A$6,MATCH(C756,parametros!$B$2:$B$6,0)),"")&lt;&gt;"Sim","Nao",IF(IFERROR(INDEX(parametros!$H$2:$H$6,MATCH(C756,parametros!$B$2:$B$6,0)),"")="","",IF(B756&gt;=IFERROR(INDEX(parametros!$H$2:$H$6,MATCH(C756,parametros!$B$2:$B$6,0)),""),"Sim","Nao"))))))</f>
        <v/>
      </c>
      <c r="T756" s="156"/>
      <c r="U756" s="214" t="str">
        <f t="shared" si="61"/>
        <v/>
      </c>
      <c r="V756" s="212" t="s">
        <v>50</v>
      </c>
      <c r="W756" s="100" t="s">
        <v>168</v>
      </c>
      <c r="X756" s="100" t="s">
        <v>169</v>
      </c>
      <c r="Y756" s="101" t="s">
        <v>170</v>
      </c>
      <c r="Z756" s="101" t="s">
        <v>171</v>
      </c>
      <c r="AA756" s="101" t="s">
        <v>50</v>
      </c>
      <c r="AB756" s="101" t="s">
        <v>172</v>
      </c>
      <c r="AC756" s="102" t="s">
        <v>173</v>
      </c>
    </row>
    <row r="757" spans="1:29" ht="25.5" customHeight="1" x14ac:dyDescent="0.35">
      <c r="A757" s="392"/>
      <c r="B757" s="393"/>
      <c r="C757" s="99" t="str">
        <f>IF(B757="","",IF(NOT(ISNUMBER(B757)),"DATA_PC invalida",IF(NOT(ISNUMBER(parametros!$C$2)),"Fora dos ciclos",IF(OR(B757&lt;parametros!$C$2,(YEAR(B757)-YEAR(parametros!$C$2))*12+MONTH(B757)-MONTH(parametros!$C$2)&gt;59),"Fora dos ciclos","C"&amp;INT(((YEAR(B757)-YEAR(parametros!$C$2))*12+MONTH(B757)-MONTH(parametros!$C$2))/12)))))</f>
        <v/>
      </c>
      <c r="D757" s="394"/>
      <c r="E757" s="78" t="str">
        <f>IF(C757="","",IFERROR(VLOOKUP(C757,parametros!$A$11:$E$15,5,0),""))</f>
        <v/>
      </c>
      <c r="F757" s="79" t="str">
        <f t="shared" si="57"/>
        <v/>
      </c>
      <c r="G757" s="395"/>
      <c r="H757" s="91">
        <f t="shared" si="58"/>
        <v>0</v>
      </c>
      <c r="I757" s="91" t="str">
        <f t="shared" si="59"/>
        <v/>
      </c>
      <c r="J757" s="91" t="str">
        <f t="shared" si="60"/>
        <v/>
      </c>
      <c r="K757" s="92" t="str">
        <f>IF(AND(A757="",B757="",D757="",G757=""),"",IF(AND(A757&lt;&gt;"",COUNTIF($A$2:$A$5001,A757)&gt;1),"NUMERO_PC duplicado",IF(B757="","DATA_PC vazia",IF(NOT(ISNUMBER(B757)),"DATA_PC invalida",IF(OR(C757="",C757="Fora dos ciclos"),"CICLO_PC nao identificado",IF(OR(D757="",D757=0),"VALOR_PC vazio ou zero",IF(AND(G757&lt;&gt;"Sim",G757&lt;&gt;"Nao",G757&lt;&gt;""),"PC_PAGO_A_CONTRATADA invalido",IF(AND(C757&lt;&gt;"C0",IFERROR(INDEX(parametros!$A$2:$A$6,MATCH(C757,parametros!$B$2:$B$6,0)),"")="Sim",IFERROR(INDEX(parametros!$H$2:$H$6,MATCH(C757,parametros!$B$2:$B$6,0)),"")=""),"INICIO_EFEITO ausente: PC "&amp;A757&amp;" - "&amp;C757,IF(L757="","EFEITO_PC nao calculado: PC "&amp;A757&amp;" - "&amp;C757,"OK")))))))))</f>
        <v/>
      </c>
      <c r="L757" s="92" t="str">
        <f>IF(AND(A757="",B757="",D757="",G757=""),"",IF(OR(B757="",NOT(ISNUMBER(B757)),C757="",C757="Fora dos ciclos"),"",IF(C757="C0","Nao",IF(IFERROR(INDEX(parametros!$A$2:$A$6,MATCH(C757,parametros!$B$2:$B$6,0)),"")&lt;&gt;"Sim","Nao",IF(IFERROR(INDEX(parametros!$H$2:$H$6,MATCH(C757,parametros!$B$2:$B$6,0)),"")="","",IF(B757&gt;=IFERROR(INDEX(parametros!$H$2:$H$6,MATCH(C757,parametros!$B$2:$B$6,0)),""),"Sim","Nao"))))))</f>
        <v/>
      </c>
      <c r="T757" s="156"/>
      <c r="U757" s="214" t="str">
        <f t="shared" si="61"/>
        <v/>
      </c>
      <c r="V757" s="212" t="s">
        <v>50</v>
      </c>
      <c r="W757" s="100" t="s">
        <v>168</v>
      </c>
      <c r="X757" s="100" t="s">
        <v>169</v>
      </c>
      <c r="Y757" s="101" t="s">
        <v>170</v>
      </c>
      <c r="Z757" s="101" t="s">
        <v>171</v>
      </c>
      <c r="AA757" s="101" t="s">
        <v>50</v>
      </c>
      <c r="AB757" s="101" t="s">
        <v>172</v>
      </c>
      <c r="AC757" s="102" t="s">
        <v>173</v>
      </c>
    </row>
    <row r="758" spans="1:29" ht="25.5" customHeight="1" x14ac:dyDescent="0.35">
      <c r="A758" s="392"/>
      <c r="B758" s="393"/>
      <c r="C758" s="99" t="str">
        <f>IF(B758="","",IF(NOT(ISNUMBER(B758)),"DATA_PC invalida",IF(NOT(ISNUMBER(parametros!$C$2)),"Fora dos ciclos",IF(OR(B758&lt;parametros!$C$2,(YEAR(B758)-YEAR(parametros!$C$2))*12+MONTH(B758)-MONTH(parametros!$C$2)&gt;59),"Fora dos ciclos","C"&amp;INT(((YEAR(B758)-YEAR(parametros!$C$2))*12+MONTH(B758)-MONTH(parametros!$C$2))/12)))))</f>
        <v/>
      </c>
      <c r="D758" s="394"/>
      <c r="E758" s="78" t="str">
        <f>IF(C758="","",IFERROR(VLOOKUP(C758,parametros!$A$11:$E$15,5,0),""))</f>
        <v/>
      </c>
      <c r="F758" s="79" t="str">
        <f t="shared" si="57"/>
        <v/>
      </c>
      <c r="G758" s="395"/>
      <c r="H758" s="91">
        <f t="shared" si="58"/>
        <v>0</v>
      </c>
      <c r="I758" s="91" t="str">
        <f t="shared" si="59"/>
        <v/>
      </c>
      <c r="J758" s="91" t="str">
        <f t="shared" si="60"/>
        <v/>
      </c>
      <c r="K758" s="92" t="str">
        <f>IF(AND(A758="",B758="",D758="",G758=""),"",IF(AND(A758&lt;&gt;"",COUNTIF($A$2:$A$5001,A758)&gt;1),"NUMERO_PC duplicado",IF(B758="","DATA_PC vazia",IF(NOT(ISNUMBER(B758)),"DATA_PC invalida",IF(OR(C758="",C758="Fora dos ciclos"),"CICLO_PC nao identificado",IF(OR(D758="",D758=0),"VALOR_PC vazio ou zero",IF(AND(G758&lt;&gt;"Sim",G758&lt;&gt;"Nao",G758&lt;&gt;""),"PC_PAGO_A_CONTRATADA invalido",IF(AND(C758&lt;&gt;"C0",IFERROR(INDEX(parametros!$A$2:$A$6,MATCH(C758,parametros!$B$2:$B$6,0)),"")="Sim",IFERROR(INDEX(parametros!$H$2:$H$6,MATCH(C758,parametros!$B$2:$B$6,0)),"")=""),"INICIO_EFEITO ausente: PC "&amp;A758&amp;" - "&amp;C758,IF(L758="","EFEITO_PC nao calculado: PC "&amp;A758&amp;" - "&amp;C758,"OK")))))))))</f>
        <v/>
      </c>
      <c r="L758" s="92" t="str">
        <f>IF(AND(A758="",B758="",D758="",G758=""),"",IF(OR(B758="",NOT(ISNUMBER(B758)),C758="",C758="Fora dos ciclos"),"",IF(C758="C0","Nao",IF(IFERROR(INDEX(parametros!$A$2:$A$6,MATCH(C758,parametros!$B$2:$B$6,0)),"")&lt;&gt;"Sim","Nao",IF(IFERROR(INDEX(parametros!$H$2:$H$6,MATCH(C758,parametros!$B$2:$B$6,0)),"")="","",IF(B758&gt;=IFERROR(INDEX(parametros!$H$2:$H$6,MATCH(C758,parametros!$B$2:$B$6,0)),""),"Sim","Nao"))))))</f>
        <v/>
      </c>
      <c r="T758" s="156"/>
      <c r="U758" s="214" t="str">
        <f t="shared" si="61"/>
        <v/>
      </c>
      <c r="V758" s="212" t="s">
        <v>50</v>
      </c>
      <c r="W758" s="100" t="s">
        <v>168</v>
      </c>
      <c r="X758" s="100" t="s">
        <v>169</v>
      </c>
      <c r="Y758" s="101" t="s">
        <v>170</v>
      </c>
      <c r="Z758" s="101" t="s">
        <v>171</v>
      </c>
      <c r="AA758" s="101" t="s">
        <v>50</v>
      </c>
      <c r="AB758" s="101" t="s">
        <v>172</v>
      </c>
      <c r="AC758" s="102" t="s">
        <v>173</v>
      </c>
    </row>
    <row r="759" spans="1:29" ht="25.5" customHeight="1" x14ac:dyDescent="0.35">
      <c r="A759" s="392"/>
      <c r="B759" s="393"/>
      <c r="C759" s="99" t="str">
        <f>IF(B759="","",IF(NOT(ISNUMBER(B759)),"DATA_PC invalida",IF(NOT(ISNUMBER(parametros!$C$2)),"Fora dos ciclos",IF(OR(B759&lt;parametros!$C$2,(YEAR(B759)-YEAR(parametros!$C$2))*12+MONTH(B759)-MONTH(parametros!$C$2)&gt;59),"Fora dos ciclos","C"&amp;INT(((YEAR(B759)-YEAR(parametros!$C$2))*12+MONTH(B759)-MONTH(parametros!$C$2))/12)))))</f>
        <v/>
      </c>
      <c r="D759" s="394"/>
      <c r="E759" s="78" t="str">
        <f>IF(C759="","",IFERROR(VLOOKUP(C759,parametros!$A$11:$E$15,5,0),""))</f>
        <v/>
      </c>
      <c r="F759" s="79" t="str">
        <f t="shared" si="57"/>
        <v/>
      </c>
      <c r="G759" s="395"/>
      <c r="H759" s="91">
        <f t="shared" si="58"/>
        <v>0</v>
      </c>
      <c r="I759" s="91" t="str">
        <f t="shared" si="59"/>
        <v/>
      </c>
      <c r="J759" s="91" t="str">
        <f t="shared" si="60"/>
        <v/>
      </c>
      <c r="K759" s="92" t="str">
        <f>IF(AND(A759="",B759="",D759="",G759=""),"",IF(AND(A759&lt;&gt;"",COUNTIF($A$2:$A$5001,A759)&gt;1),"NUMERO_PC duplicado",IF(B759="","DATA_PC vazia",IF(NOT(ISNUMBER(B759)),"DATA_PC invalida",IF(OR(C759="",C759="Fora dos ciclos"),"CICLO_PC nao identificado",IF(OR(D759="",D759=0),"VALOR_PC vazio ou zero",IF(AND(G759&lt;&gt;"Sim",G759&lt;&gt;"Nao",G759&lt;&gt;""),"PC_PAGO_A_CONTRATADA invalido",IF(AND(C759&lt;&gt;"C0",IFERROR(INDEX(parametros!$A$2:$A$6,MATCH(C759,parametros!$B$2:$B$6,0)),"")="Sim",IFERROR(INDEX(parametros!$H$2:$H$6,MATCH(C759,parametros!$B$2:$B$6,0)),"")=""),"INICIO_EFEITO ausente: PC "&amp;A759&amp;" - "&amp;C759,IF(L759="","EFEITO_PC nao calculado: PC "&amp;A759&amp;" - "&amp;C759,"OK")))))))))</f>
        <v/>
      </c>
      <c r="L759" s="92" t="str">
        <f>IF(AND(A759="",B759="",D759="",G759=""),"",IF(OR(B759="",NOT(ISNUMBER(B759)),C759="",C759="Fora dos ciclos"),"",IF(C759="C0","Nao",IF(IFERROR(INDEX(parametros!$A$2:$A$6,MATCH(C759,parametros!$B$2:$B$6,0)),"")&lt;&gt;"Sim","Nao",IF(IFERROR(INDEX(parametros!$H$2:$H$6,MATCH(C759,parametros!$B$2:$B$6,0)),"")="","",IF(B759&gt;=IFERROR(INDEX(parametros!$H$2:$H$6,MATCH(C759,parametros!$B$2:$B$6,0)),""),"Sim","Nao"))))))</f>
        <v/>
      </c>
      <c r="T759" s="156"/>
      <c r="U759" s="214" t="str">
        <f t="shared" si="61"/>
        <v/>
      </c>
      <c r="V759" s="212" t="s">
        <v>50</v>
      </c>
      <c r="W759" s="100" t="s">
        <v>168</v>
      </c>
      <c r="X759" s="100" t="s">
        <v>169</v>
      </c>
      <c r="Y759" s="101" t="s">
        <v>170</v>
      </c>
      <c r="Z759" s="101" t="s">
        <v>171</v>
      </c>
      <c r="AA759" s="101" t="s">
        <v>50</v>
      </c>
      <c r="AB759" s="101" t="s">
        <v>172</v>
      </c>
      <c r="AC759" s="102" t="s">
        <v>173</v>
      </c>
    </row>
    <row r="760" spans="1:29" ht="25.5" customHeight="1" x14ac:dyDescent="0.35">
      <c r="A760" s="392"/>
      <c r="B760" s="393"/>
      <c r="C760" s="99" t="str">
        <f>IF(B760="","",IF(NOT(ISNUMBER(B760)),"DATA_PC invalida",IF(NOT(ISNUMBER(parametros!$C$2)),"Fora dos ciclos",IF(OR(B760&lt;parametros!$C$2,(YEAR(B760)-YEAR(parametros!$C$2))*12+MONTH(B760)-MONTH(parametros!$C$2)&gt;59),"Fora dos ciclos","C"&amp;INT(((YEAR(B760)-YEAR(parametros!$C$2))*12+MONTH(B760)-MONTH(parametros!$C$2))/12)))))</f>
        <v/>
      </c>
      <c r="D760" s="394"/>
      <c r="E760" s="78" t="str">
        <f>IF(C760="","",IFERROR(VLOOKUP(C760,parametros!$A$11:$E$15,5,0),""))</f>
        <v/>
      </c>
      <c r="F760" s="79" t="str">
        <f t="shared" si="57"/>
        <v/>
      </c>
      <c r="G760" s="395"/>
      <c r="H760" s="91">
        <f t="shared" si="58"/>
        <v>0</v>
      </c>
      <c r="I760" s="91" t="str">
        <f t="shared" si="59"/>
        <v/>
      </c>
      <c r="J760" s="91" t="str">
        <f t="shared" si="60"/>
        <v/>
      </c>
      <c r="K760" s="92" t="str">
        <f>IF(AND(A760="",B760="",D760="",G760=""),"",IF(AND(A760&lt;&gt;"",COUNTIF($A$2:$A$5001,A760)&gt;1),"NUMERO_PC duplicado",IF(B760="","DATA_PC vazia",IF(NOT(ISNUMBER(B760)),"DATA_PC invalida",IF(OR(C760="",C760="Fora dos ciclos"),"CICLO_PC nao identificado",IF(OR(D760="",D760=0),"VALOR_PC vazio ou zero",IF(AND(G760&lt;&gt;"Sim",G760&lt;&gt;"Nao",G760&lt;&gt;""),"PC_PAGO_A_CONTRATADA invalido",IF(AND(C760&lt;&gt;"C0",IFERROR(INDEX(parametros!$A$2:$A$6,MATCH(C760,parametros!$B$2:$B$6,0)),"")="Sim",IFERROR(INDEX(parametros!$H$2:$H$6,MATCH(C760,parametros!$B$2:$B$6,0)),"")=""),"INICIO_EFEITO ausente: PC "&amp;A760&amp;" - "&amp;C760,IF(L760="","EFEITO_PC nao calculado: PC "&amp;A760&amp;" - "&amp;C760,"OK")))))))))</f>
        <v/>
      </c>
      <c r="L760" s="92" t="str">
        <f>IF(AND(A760="",B760="",D760="",G760=""),"",IF(OR(B760="",NOT(ISNUMBER(B760)),C760="",C760="Fora dos ciclos"),"",IF(C760="C0","Nao",IF(IFERROR(INDEX(parametros!$A$2:$A$6,MATCH(C760,parametros!$B$2:$B$6,0)),"")&lt;&gt;"Sim","Nao",IF(IFERROR(INDEX(parametros!$H$2:$H$6,MATCH(C760,parametros!$B$2:$B$6,0)),"")="","",IF(B760&gt;=IFERROR(INDEX(parametros!$H$2:$H$6,MATCH(C760,parametros!$B$2:$B$6,0)),""),"Sim","Nao"))))))</f>
        <v/>
      </c>
      <c r="T760" s="156"/>
      <c r="U760" s="214" t="str">
        <f t="shared" si="61"/>
        <v/>
      </c>
      <c r="V760" s="212" t="s">
        <v>50</v>
      </c>
      <c r="W760" s="100" t="s">
        <v>168</v>
      </c>
      <c r="X760" s="100" t="s">
        <v>169</v>
      </c>
      <c r="Y760" s="101" t="s">
        <v>170</v>
      </c>
      <c r="Z760" s="101" t="s">
        <v>171</v>
      </c>
      <c r="AA760" s="101" t="s">
        <v>50</v>
      </c>
      <c r="AB760" s="101" t="s">
        <v>172</v>
      </c>
      <c r="AC760" s="102" t="s">
        <v>173</v>
      </c>
    </row>
    <row r="761" spans="1:29" ht="25.5" customHeight="1" x14ac:dyDescent="0.35">
      <c r="A761" s="392"/>
      <c r="B761" s="393"/>
      <c r="C761" s="99" t="str">
        <f>IF(B761="","",IF(NOT(ISNUMBER(B761)),"DATA_PC invalida",IF(NOT(ISNUMBER(parametros!$C$2)),"Fora dos ciclos",IF(OR(B761&lt;parametros!$C$2,(YEAR(B761)-YEAR(parametros!$C$2))*12+MONTH(B761)-MONTH(parametros!$C$2)&gt;59),"Fora dos ciclos","C"&amp;INT(((YEAR(B761)-YEAR(parametros!$C$2))*12+MONTH(B761)-MONTH(parametros!$C$2))/12)))))</f>
        <v/>
      </c>
      <c r="D761" s="394"/>
      <c r="E761" s="78" t="str">
        <f>IF(C761="","",IFERROR(VLOOKUP(C761,parametros!$A$11:$E$15,5,0),""))</f>
        <v/>
      </c>
      <c r="F761" s="79" t="str">
        <f t="shared" si="57"/>
        <v/>
      </c>
      <c r="G761" s="395"/>
      <c r="H761" s="91">
        <f t="shared" si="58"/>
        <v>0</v>
      </c>
      <c r="I761" s="91" t="str">
        <f t="shared" si="59"/>
        <v/>
      </c>
      <c r="J761" s="91" t="str">
        <f t="shared" si="60"/>
        <v/>
      </c>
      <c r="K761" s="92" t="str">
        <f>IF(AND(A761="",B761="",D761="",G761=""),"",IF(AND(A761&lt;&gt;"",COUNTIF($A$2:$A$5001,A761)&gt;1),"NUMERO_PC duplicado",IF(B761="","DATA_PC vazia",IF(NOT(ISNUMBER(B761)),"DATA_PC invalida",IF(OR(C761="",C761="Fora dos ciclos"),"CICLO_PC nao identificado",IF(OR(D761="",D761=0),"VALOR_PC vazio ou zero",IF(AND(G761&lt;&gt;"Sim",G761&lt;&gt;"Nao",G761&lt;&gt;""),"PC_PAGO_A_CONTRATADA invalido",IF(AND(C761&lt;&gt;"C0",IFERROR(INDEX(parametros!$A$2:$A$6,MATCH(C761,parametros!$B$2:$B$6,0)),"")="Sim",IFERROR(INDEX(parametros!$H$2:$H$6,MATCH(C761,parametros!$B$2:$B$6,0)),"")=""),"INICIO_EFEITO ausente: PC "&amp;A761&amp;" - "&amp;C761,IF(L761="","EFEITO_PC nao calculado: PC "&amp;A761&amp;" - "&amp;C761,"OK")))))))))</f>
        <v/>
      </c>
      <c r="L761" s="92" t="str">
        <f>IF(AND(A761="",B761="",D761="",G761=""),"",IF(OR(B761="",NOT(ISNUMBER(B761)),C761="",C761="Fora dos ciclos"),"",IF(C761="C0","Nao",IF(IFERROR(INDEX(parametros!$A$2:$A$6,MATCH(C761,parametros!$B$2:$B$6,0)),"")&lt;&gt;"Sim","Nao",IF(IFERROR(INDEX(parametros!$H$2:$H$6,MATCH(C761,parametros!$B$2:$B$6,0)),"")="","",IF(B761&gt;=IFERROR(INDEX(parametros!$H$2:$H$6,MATCH(C761,parametros!$B$2:$B$6,0)),""),"Sim","Nao"))))))</f>
        <v/>
      </c>
      <c r="T761" s="156"/>
      <c r="U761" s="214" t="str">
        <f t="shared" si="61"/>
        <v/>
      </c>
      <c r="V761" s="212" t="s">
        <v>50</v>
      </c>
      <c r="W761" s="100" t="s">
        <v>168</v>
      </c>
      <c r="X761" s="100" t="s">
        <v>169</v>
      </c>
      <c r="Y761" s="101" t="s">
        <v>170</v>
      </c>
      <c r="Z761" s="101" t="s">
        <v>171</v>
      </c>
      <c r="AA761" s="101" t="s">
        <v>50</v>
      </c>
      <c r="AB761" s="101" t="s">
        <v>172</v>
      </c>
      <c r="AC761" s="102" t="s">
        <v>173</v>
      </c>
    </row>
    <row r="762" spans="1:29" ht="25.5" customHeight="1" x14ac:dyDescent="0.35">
      <c r="A762" s="392"/>
      <c r="B762" s="393"/>
      <c r="C762" s="99" t="str">
        <f>IF(B762="","",IF(NOT(ISNUMBER(B762)),"DATA_PC invalida",IF(NOT(ISNUMBER(parametros!$C$2)),"Fora dos ciclos",IF(OR(B762&lt;parametros!$C$2,(YEAR(B762)-YEAR(parametros!$C$2))*12+MONTH(B762)-MONTH(parametros!$C$2)&gt;59),"Fora dos ciclos","C"&amp;INT(((YEAR(B762)-YEAR(parametros!$C$2))*12+MONTH(B762)-MONTH(parametros!$C$2))/12)))))</f>
        <v/>
      </c>
      <c r="D762" s="394"/>
      <c r="E762" s="78" t="str">
        <f>IF(C762="","",IFERROR(VLOOKUP(C762,parametros!$A$11:$E$15,5,0),""))</f>
        <v/>
      </c>
      <c r="F762" s="79" t="str">
        <f t="shared" si="57"/>
        <v/>
      </c>
      <c r="G762" s="395"/>
      <c r="H762" s="91">
        <f t="shared" si="58"/>
        <v>0</v>
      </c>
      <c r="I762" s="91" t="str">
        <f t="shared" si="59"/>
        <v/>
      </c>
      <c r="J762" s="91" t="str">
        <f t="shared" si="60"/>
        <v/>
      </c>
      <c r="K762" s="92" t="str">
        <f>IF(AND(A762="",B762="",D762="",G762=""),"",IF(AND(A762&lt;&gt;"",COUNTIF($A$2:$A$5001,A762)&gt;1),"NUMERO_PC duplicado",IF(B762="","DATA_PC vazia",IF(NOT(ISNUMBER(B762)),"DATA_PC invalida",IF(OR(C762="",C762="Fora dos ciclos"),"CICLO_PC nao identificado",IF(OR(D762="",D762=0),"VALOR_PC vazio ou zero",IF(AND(G762&lt;&gt;"Sim",G762&lt;&gt;"Nao",G762&lt;&gt;""),"PC_PAGO_A_CONTRATADA invalido",IF(AND(C762&lt;&gt;"C0",IFERROR(INDEX(parametros!$A$2:$A$6,MATCH(C762,parametros!$B$2:$B$6,0)),"")="Sim",IFERROR(INDEX(parametros!$H$2:$H$6,MATCH(C762,parametros!$B$2:$B$6,0)),"")=""),"INICIO_EFEITO ausente: PC "&amp;A762&amp;" - "&amp;C762,IF(L762="","EFEITO_PC nao calculado: PC "&amp;A762&amp;" - "&amp;C762,"OK")))))))))</f>
        <v/>
      </c>
      <c r="L762" s="92" t="str">
        <f>IF(AND(A762="",B762="",D762="",G762=""),"",IF(OR(B762="",NOT(ISNUMBER(B762)),C762="",C762="Fora dos ciclos"),"",IF(C762="C0","Nao",IF(IFERROR(INDEX(parametros!$A$2:$A$6,MATCH(C762,parametros!$B$2:$B$6,0)),"")&lt;&gt;"Sim","Nao",IF(IFERROR(INDEX(parametros!$H$2:$H$6,MATCH(C762,parametros!$B$2:$B$6,0)),"")="","",IF(B762&gt;=IFERROR(INDEX(parametros!$H$2:$H$6,MATCH(C762,parametros!$B$2:$B$6,0)),""),"Sim","Nao"))))))</f>
        <v/>
      </c>
      <c r="T762" s="156"/>
      <c r="U762" s="214" t="str">
        <f t="shared" si="61"/>
        <v/>
      </c>
      <c r="V762" s="212" t="s">
        <v>50</v>
      </c>
      <c r="W762" s="100" t="s">
        <v>168</v>
      </c>
      <c r="X762" s="100" t="s">
        <v>169</v>
      </c>
      <c r="Y762" s="101" t="s">
        <v>170</v>
      </c>
      <c r="Z762" s="101" t="s">
        <v>171</v>
      </c>
      <c r="AA762" s="101" t="s">
        <v>50</v>
      </c>
      <c r="AB762" s="101" t="s">
        <v>172</v>
      </c>
      <c r="AC762" s="102" t="s">
        <v>173</v>
      </c>
    </row>
    <row r="763" spans="1:29" ht="25.5" customHeight="1" x14ac:dyDescent="0.35">
      <c r="A763" s="392"/>
      <c r="B763" s="393"/>
      <c r="C763" s="99" t="str">
        <f>IF(B763="","",IF(NOT(ISNUMBER(B763)),"DATA_PC invalida",IF(NOT(ISNUMBER(parametros!$C$2)),"Fora dos ciclos",IF(OR(B763&lt;parametros!$C$2,(YEAR(B763)-YEAR(parametros!$C$2))*12+MONTH(B763)-MONTH(parametros!$C$2)&gt;59),"Fora dos ciclos","C"&amp;INT(((YEAR(B763)-YEAR(parametros!$C$2))*12+MONTH(B763)-MONTH(parametros!$C$2))/12)))))</f>
        <v/>
      </c>
      <c r="D763" s="394"/>
      <c r="E763" s="78" t="str">
        <f>IF(C763="","",IFERROR(VLOOKUP(C763,parametros!$A$11:$E$15,5,0),""))</f>
        <v/>
      </c>
      <c r="F763" s="79" t="str">
        <f t="shared" si="57"/>
        <v/>
      </c>
      <c r="G763" s="395"/>
      <c r="H763" s="91">
        <f t="shared" si="58"/>
        <v>0</v>
      </c>
      <c r="I763" s="91" t="str">
        <f t="shared" si="59"/>
        <v/>
      </c>
      <c r="J763" s="91" t="str">
        <f t="shared" si="60"/>
        <v/>
      </c>
      <c r="K763" s="92" t="str">
        <f>IF(AND(A763="",B763="",D763="",G763=""),"",IF(AND(A763&lt;&gt;"",COUNTIF($A$2:$A$5001,A763)&gt;1),"NUMERO_PC duplicado",IF(B763="","DATA_PC vazia",IF(NOT(ISNUMBER(B763)),"DATA_PC invalida",IF(OR(C763="",C763="Fora dos ciclos"),"CICLO_PC nao identificado",IF(OR(D763="",D763=0),"VALOR_PC vazio ou zero",IF(AND(G763&lt;&gt;"Sim",G763&lt;&gt;"Nao",G763&lt;&gt;""),"PC_PAGO_A_CONTRATADA invalido",IF(AND(C763&lt;&gt;"C0",IFERROR(INDEX(parametros!$A$2:$A$6,MATCH(C763,parametros!$B$2:$B$6,0)),"")="Sim",IFERROR(INDEX(parametros!$H$2:$H$6,MATCH(C763,parametros!$B$2:$B$6,0)),"")=""),"INICIO_EFEITO ausente: PC "&amp;A763&amp;" - "&amp;C763,IF(L763="","EFEITO_PC nao calculado: PC "&amp;A763&amp;" - "&amp;C763,"OK")))))))))</f>
        <v/>
      </c>
      <c r="L763" s="92" t="str">
        <f>IF(AND(A763="",B763="",D763="",G763=""),"",IF(OR(B763="",NOT(ISNUMBER(B763)),C763="",C763="Fora dos ciclos"),"",IF(C763="C0","Nao",IF(IFERROR(INDEX(parametros!$A$2:$A$6,MATCH(C763,parametros!$B$2:$B$6,0)),"")&lt;&gt;"Sim","Nao",IF(IFERROR(INDEX(parametros!$H$2:$H$6,MATCH(C763,parametros!$B$2:$B$6,0)),"")="","",IF(B763&gt;=IFERROR(INDEX(parametros!$H$2:$H$6,MATCH(C763,parametros!$B$2:$B$6,0)),""),"Sim","Nao"))))))</f>
        <v/>
      </c>
      <c r="T763" s="156"/>
      <c r="U763" s="214" t="str">
        <f t="shared" si="61"/>
        <v/>
      </c>
      <c r="V763" s="212" t="s">
        <v>50</v>
      </c>
      <c r="W763" s="100" t="s">
        <v>168</v>
      </c>
      <c r="X763" s="100" t="s">
        <v>169</v>
      </c>
      <c r="Y763" s="101" t="s">
        <v>170</v>
      </c>
      <c r="Z763" s="101" t="s">
        <v>171</v>
      </c>
      <c r="AA763" s="101" t="s">
        <v>50</v>
      </c>
      <c r="AB763" s="101" t="s">
        <v>172</v>
      </c>
      <c r="AC763" s="102" t="s">
        <v>173</v>
      </c>
    </row>
    <row r="764" spans="1:29" ht="25.5" customHeight="1" x14ac:dyDescent="0.35">
      <c r="A764" s="392"/>
      <c r="B764" s="393"/>
      <c r="C764" s="99" t="str">
        <f>IF(B764="","",IF(NOT(ISNUMBER(B764)),"DATA_PC invalida",IF(NOT(ISNUMBER(parametros!$C$2)),"Fora dos ciclos",IF(OR(B764&lt;parametros!$C$2,(YEAR(B764)-YEAR(parametros!$C$2))*12+MONTH(B764)-MONTH(parametros!$C$2)&gt;59),"Fora dos ciclos","C"&amp;INT(((YEAR(B764)-YEAR(parametros!$C$2))*12+MONTH(B764)-MONTH(parametros!$C$2))/12)))))</f>
        <v/>
      </c>
      <c r="D764" s="394"/>
      <c r="E764" s="78" t="str">
        <f>IF(C764="","",IFERROR(VLOOKUP(C764,parametros!$A$11:$E$15,5,0),""))</f>
        <v/>
      </c>
      <c r="F764" s="79" t="str">
        <f t="shared" si="57"/>
        <v/>
      </c>
      <c r="G764" s="395"/>
      <c r="H764" s="91">
        <f t="shared" si="58"/>
        <v>0</v>
      </c>
      <c r="I764" s="91" t="str">
        <f t="shared" si="59"/>
        <v/>
      </c>
      <c r="J764" s="91" t="str">
        <f t="shared" si="60"/>
        <v/>
      </c>
      <c r="K764" s="92" t="str">
        <f>IF(AND(A764="",B764="",D764="",G764=""),"",IF(AND(A764&lt;&gt;"",COUNTIF($A$2:$A$5001,A764)&gt;1),"NUMERO_PC duplicado",IF(B764="","DATA_PC vazia",IF(NOT(ISNUMBER(B764)),"DATA_PC invalida",IF(OR(C764="",C764="Fora dos ciclos"),"CICLO_PC nao identificado",IF(OR(D764="",D764=0),"VALOR_PC vazio ou zero",IF(AND(G764&lt;&gt;"Sim",G764&lt;&gt;"Nao",G764&lt;&gt;""),"PC_PAGO_A_CONTRATADA invalido",IF(AND(C764&lt;&gt;"C0",IFERROR(INDEX(parametros!$A$2:$A$6,MATCH(C764,parametros!$B$2:$B$6,0)),"")="Sim",IFERROR(INDEX(parametros!$H$2:$H$6,MATCH(C764,parametros!$B$2:$B$6,0)),"")=""),"INICIO_EFEITO ausente: PC "&amp;A764&amp;" - "&amp;C764,IF(L764="","EFEITO_PC nao calculado: PC "&amp;A764&amp;" - "&amp;C764,"OK")))))))))</f>
        <v/>
      </c>
      <c r="L764" s="92" t="str">
        <f>IF(AND(A764="",B764="",D764="",G764=""),"",IF(OR(B764="",NOT(ISNUMBER(B764)),C764="",C764="Fora dos ciclos"),"",IF(C764="C0","Nao",IF(IFERROR(INDEX(parametros!$A$2:$A$6,MATCH(C764,parametros!$B$2:$B$6,0)),"")&lt;&gt;"Sim","Nao",IF(IFERROR(INDEX(parametros!$H$2:$H$6,MATCH(C764,parametros!$B$2:$B$6,0)),"")="","",IF(B764&gt;=IFERROR(INDEX(parametros!$H$2:$H$6,MATCH(C764,parametros!$B$2:$B$6,0)),""),"Sim","Nao"))))))</f>
        <v/>
      </c>
      <c r="T764" s="156"/>
      <c r="U764" s="214" t="str">
        <f t="shared" si="61"/>
        <v/>
      </c>
      <c r="V764" s="212" t="s">
        <v>50</v>
      </c>
      <c r="W764" s="100" t="s">
        <v>168</v>
      </c>
      <c r="X764" s="100" t="s">
        <v>169</v>
      </c>
      <c r="Y764" s="101" t="s">
        <v>170</v>
      </c>
      <c r="Z764" s="101" t="s">
        <v>171</v>
      </c>
      <c r="AA764" s="101" t="s">
        <v>50</v>
      </c>
      <c r="AB764" s="101" t="s">
        <v>172</v>
      </c>
      <c r="AC764" s="102" t="s">
        <v>173</v>
      </c>
    </row>
    <row r="765" spans="1:29" ht="25.5" customHeight="1" x14ac:dyDescent="0.35">
      <c r="A765" s="392"/>
      <c r="B765" s="393"/>
      <c r="C765" s="99" t="str">
        <f>IF(B765="","",IF(NOT(ISNUMBER(B765)),"DATA_PC invalida",IF(NOT(ISNUMBER(parametros!$C$2)),"Fora dos ciclos",IF(OR(B765&lt;parametros!$C$2,(YEAR(B765)-YEAR(parametros!$C$2))*12+MONTH(B765)-MONTH(parametros!$C$2)&gt;59),"Fora dos ciclos","C"&amp;INT(((YEAR(B765)-YEAR(parametros!$C$2))*12+MONTH(B765)-MONTH(parametros!$C$2))/12)))))</f>
        <v/>
      </c>
      <c r="D765" s="394"/>
      <c r="E765" s="78" t="str">
        <f>IF(C765="","",IFERROR(VLOOKUP(C765,parametros!$A$11:$E$15,5,0),""))</f>
        <v/>
      </c>
      <c r="F765" s="79" t="str">
        <f t="shared" si="57"/>
        <v/>
      </c>
      <c r="G765" s="395"/>
      <c r="H765" s="91">
        <f t="shared" si="58"/>
        <v>0</v>
      </c>
      <c r="I765" s="91" t="str">
        <f t="shared" si="59"/>
        <v/>
      </c>
      <c r="J765" s="91" t="str">
        <f t="shared" si="60"/>
        <v/>
      </c>
      <c r="K765" s="92" t="str">
        <f>IF(AND(A765="",B765="",D765="",G765=""),"",IF(AND(A765&lt;&gt;"",COUNTIF($A$2:$A$5001,A765)&gt;1),"NUMERO_PC duplicado",IF(B765="","DATA_PC vazia",IF(NOT(ISNUMBER(B765)),"DATA_PC invalida",IF(OR(C765="",C765="Fora dos ciclos"),"CICLO_PC nao identificado",IF(OR(D765="",D765=0),"VALOR_PC vazio ou zero",IF(AND(G765&lt;&gt;"Sim",G765&lt;&gt;"Nao",G765&lt;&gt;""),"PC_PAGO_A_CONTRATADA invalido",IF(AND(C765&lt;&gt;"C0",IFERROR(INDEX(parametros!$A$2:$A$6,MATCH(C765,parametros!$B$2:$B$6,0)),"")="Sim",IFERROR(INDEX(parametros!$H$2:$H$6,MATCH(C765,parametros!$B$2:$B$6,0)),"")=""),"INICIO_EFEITO ausente: PC "&amp;A765&amp;" - "&amp;C765,IF(L765="","EFEITO_PC nao calculado: PC "&amp;A765&amp;" - "&amp;C765,"OK")))))))))</f>
        <v/>
      </c>
      <c r="L765" s="92" t="str">
        <f>IF(AND(A765="",B765="",D765="",G765=""),"",IF(OR(B765="",NOT(ISNUMBER(B765)),C765="",C765="Fora dos ciclos"),"",IF(C765="C0","Nao",IF(IFERROR(INDEX(parametros!$A$2:$A$6,MATCH(C765,parametros!$B$2:$B$6,0)),"")&lt;&gt;"Sim","Nao",IF(IFERROR(INDEX(parametros!$H$2:$H$6,MATCH(C765,parametros!$B$2:$B$6,0)),"")="","",IF(B765&gt;=IFERROR(INDEX(parametros!$H$2:$H$6,MATCH(C765,parametros!$B$2:$B$6,0)),""),"Sim","Nao"))))))</f>
        <v/>
      </c>
      <c r="T765" s="156"/>
      <c r="U765" s="214" t="str">
        <f t="shared" si="61"/>
        <v/>
      </c>
      <c r="V765" s="212" t="s">
        <v>50</v>
      </c>
      <c r="W765" s="100" t="s">
        <v>168</v>
      </c>
      <c r="X765" s="100" t="s">
        <v>169</v>
      </c>
      <c r="Y765" s="101" t="s">
        <v>170</v>
      </c>
      <c r="Z765" s="101" t="s">
        <v>171</v>
      </c>
      <c r="AA765" s="101" t="s">
        <v>50</v>
      </c>
      <c r="AB765" s="101" t="s">
        <v>172</v>
      </c>
      <c r="AC765" s="102" t="s">
        <v>173</v>
      </c>
    </row>
    <row r="766" spans="1:29" ht="25.5" customHeight="1" x14ac:dyDescent="0.35">
      <c r="A766" s="392"/>
      <c r="B766" s="393"/>
      <c r="C766" s="99" t="str">
        <f>IF(B766="","",IF(NOT(ISNUMBER(B766)),"DATA_PC invalida",IF(NOT(ISNUMBER(parametros!$C$2)),"Fora dos ciclos",IF(OR(B766&lt;parametros!$C$2,(YEAR(B766)-YEAR(parametros!$C$2))*12+MONTH(B766)-MONTH(parametros!$C$2)&gt;59),"Fora dos ciclos","C"&amp;INT(((YEAR(B766)-YEAR(parametros!$C$2))*12+MONTH(B766)-MONTH(parametros!$C$2))/12)))))</f>
        <v/>
      </c>
      <c r="D766" s="394"/>
      <c r="E766" s="78" t="str">
        <f>IF(C766="","",IFERROR(VLOOKUP(C766,parametros!$A$11:$E$15,5,0),""))</f>
        <v/>
      </c>
      <c r="F766" s="79" t="str">
        <f t="shared" si="57"/>
        <v/>
      </c>
      <c r="G766" s="395"/>
      <c r="H766" s="91">
        <f t="shared" si="58"/>
        <v>0</v>
      </c>
      <c r="I766" s="91" t="str">
        <f t="shared" si="59"/>
        <v/>
      </c>
      <c r="J766" s="91" t="str">
        <f t="shared" si="60"/>
        <v/>
      </c>
      <c r="K766" s="92" t="str">
        <f>IF(AND(A766="",B766="",D766="",G766=""),"",IF(AND(A766&lt;&gt;"",COUNTIF($A$2:$A$5001,A766)&gt;1),"NUMERO_PC duplicado",IF(B766="","DATA_PC vazia",IF(NOT(ISNUMBER(B766)),"DATA_PC invalida",IF(OR(C766="",C766="Fora dos ciclos"),"CICLO_PC nao identificado",IF(OR(D766="",D766=0),"VALOR_PC vazio ou zero",IF(AND(G766&lt;&gt;"Sim",G766&lt;&gt;"Nao",G766&lt;&gt;""),"PC_PAGO_A_CONTRATADA invalido",IF(AND(C766&lt;&gt;"C0",IFERROR(INDEX(parametros!$A$2:$A$6,MATCH(C766,parametros!$B$2:$B$6,0)),"")="Sim",IFERROR(INDEX(parametros!$H$2:$H$6,MATCH(C766,parametros!$B$2:$B$6,0)),"")=""),"INICIO_EFEITO ausente: PC "&amp;A766&amp;" - "&amp;C766,IF(L766="","EFEITO_PC nao calculado: PC "&amp;A766&amp;" - "&amp;C766,"OK")))))))))</f>
        <v/>
      </c>
      <c r="L766" s="92" t="str">
        <f>IF(AND(A766="",B766="",D766="",G766=""),"",IF(OR(B766="",NOT(ISNUMBER(B766)),C766="",C766="Fora dos ciclos"),"",IF(C766="C0","Nao",IF(IFERROR(INDEX(parametros!$A$2:$A$6,MATCH(C766,parametros!$B$2:$B$6,0)),"")&lt;&gt;"Sim","Nao",IF(IFERROR(INDEX(parametros!$H$2:$H$6,MATCH(C766,parametros!$B$2:$B$6,0)),"")="","",IF(B766&gt;=IFERROR(INDEX(parametros!$H$2:$H$6,MATCH(C766,parametros!$B$2:$B$6,0)),""),"Sim","Nao"))))))</f>
        <v/>
      </c>
      <c r="T766" s="156"/>
      <c r="U766" s="214" t="str">
        <f t="shared" si="61"/>
        <v/>
      </c>
      <c r="V766" s="212" t="s">
        <v>50</v>
      </c>
      <c r="W766" s="100" t="s">
        <v>168</v>
      </c>
      <c r="X766" s="100" t="s">
        <v>169</v>
      </c>
      <c r="Y766" s="101" t="s">
        <v>170</v>
      </c>
      <c r="Z766" s="101" t="s">
        <v>171</v>
      </c>
      <c r="AA766" s="101" t="s">
        <v>50</v>
      </c>
      <c r="AB766" s="101" t="s">
        <v>172</v>
      </c>
      <c r="AC766" s="102" t="s">
        <v>173</v>
      </c>
    </row>
    <row r="767" spans="1:29" ht="25.5" customHeight="1" x14ac:dyDescent="0.35">
      <c r="A767" s="392"/>
      <c r="B767" s="393"/>
      <c r="C767" s="99" t="str">
        <f>IF(B767="","",IF(NOT(ISNUMBER(B767)),"DATA_PC invalida",IF(NOT(ISNUMBER(parametros!$C$2)),"Fora dos ciclos",IF(OR(B767&lt;parametros!$C$2,(YEAR(B767)-YEAR(parametros!$C$2))*12+MONTH(B767)-MONTH(parametros!$C$2)&gt;59),"Fora dos ciclos","C"&amp;INT(((YEAR(B767)-YEAR(parametros!$C$2))*12+MONTH(B767)-MONTH(parametros!$C$2))/12)))))</f>
        <v/>
      </c>
      <c r="D767" s="394"/>
      <c r="E767" s="78" t="str">
        <f>IF(C767="","",IFERROR(VLOOKUP(C767,parametros!$A$11:$E$15,5,0),""))</f>
        <v/>
      </c>
      <c r="F767" s="79" t="str">
        <f t="shared" si="57"/>
        <v/>
      </c>
      <c r="G767" s="395"/>
      <c r="H767" s="91">
        <f t="shared" si="58"/>
        <v>0</v>
      </c>
      <c r="I767" s="91" t="str">
        <f t="shared" si="59"/>
        <v/>
      </c>
      <c r="J767" s="91" t="str">
        <f t="shared" si="60"/>
        <v/>
      </c>
      <c r="K767" s="92" t="str">
        <f>IF(AND(A767="",B767="",D767="",G767=""),"",IF(AND(A767&lt;&gt;"",COUNTIF($A$2:$A$5001,A767)&gt;1),"NUMERO_PC duplicado",IF(B767="","DATA_PC vazia",IF(NOT(ISNUMBER(B767)),"DATA_PC invalida",IF(OR(C767="",C767="Fora dos ciclos"),"CICLO_PC nao identificado",IF(OR(D767="",D767=0),"VALOR_PC vazio ou zero",IF(AND(G767&lt;&gt;"Sim",G767&lt;&gt;"Nao",G767&lt;&gt;""),"PC_PAGO_A_CONTRATADA invalido",IF(AND(C767&lt;&gt;"C0",IFERROR(INDEX(parametros!$A$2:$A$6,MATCH(C767,parametros!$B$2:$B$6,0)),"")="Sim",IFERROR(INDEX(parametros!$H$2:$H$6,MATCH(C767,parametros!$B$2:$B$6,0)),"")=""),"INICIO_EFEITO ausente: PC "&amp;A767&amp;" - "&amp;C767,IF(L767="","EFEITO_PC nao calculado: PC "&amp;A767&amp;" - "&amp;C767,"OK")))))))))</f>
        <v/>
      </c>
      <c r="L767" s="92" t="str">
        <f>IF(AND(A767="",B767="",D767="",G767=""),"",IF(OR(B767="",NOT(ISNUMBER(B767)),C767="",C767="Fora dos ciclos"),"",IF(C767="C0","Nao",IF(IFERROR(INDEX(parametros!$A$2:$A$6,MATCH(C767,parametros!$B$2:$B$6,0)),"")&lt;&gt;"Sim","Nao",IF(IFERROR(INDEX(parametros!$H$2:$H$6,MATCH(C767,parametros!$B$2:$B$6,0)),"")="","",IF(B767&gt;=IFERROR(INDEX(parametros!$H$2:$H$6,MATCH(C767,parametros!$B$2:$B$6,0)),""),"Sim","Nao"))))))</f>
        <v/>
      </c>
      <c r="T767" s="156"/>
      <c r="U767" s="214" t="str">
        <f t="shared" si="61"/>
        <v/>
      </c>
      <c r="V767" s="212" t="s">
        <v>50</v>
      </c>
      <c r="W767" s="100" t="s">
        <v>168</v>
      </c>
      <c r="X767" s="100" t="s">
        <v>169</v>
      </c>
      <c r="Y767" s="101" t="s">
        <v>170</v>
      </c>
      <c r="Z767" s="101" t="s">
        <v>171</v>
      </c>
      <c r="AA767" s="101" t="s">
        <v>50</v>
      </c>
      <c r="AB767" s="101" t="s">
        <v>172</v>
      </c>
      <c r="AC767" s="102" t="s">
        <v>173</v>
      </c>
    </row>
    <row r="768" spans="1:29" ht="25.5" customHeight="1" x14ac:dyDescent="0.35">
      <c r="A768" s="392"/>
      <c r="B768" s="393"/>
      <c r="C768" s="99" t="str">
        <f>IF(B768="","",IF(NOT(ISNUMBER(B768)),"DATA_PC invalida",IF(NOT(ISNUMBER(parametros!$C$2)),"Fora dos ciclos",IF(OR(B768&lt;parametros!$C$2,(YEAR(B768)-YEAR(parametros!$C$2))*12+MONTH(B768)-MONTH(parametros!$C$2)&gt;59),"Fora dos ciclos","C"&amp;INT(((YEAR(B768)-YEAR(parametros!$C$2))*12+MONTH(B768)-MONTH(parametros!$C$2))/12)))))</f>
        <v/>
      </c>
      <c r="D768" s="394"/>
      <c r="E768" s="78" t="str">
        <f>IF(C768="","",IFERROR(VLOOKUP(C768,parametros!$A$11:$E$15,5,0),""))</f>
        <v/>
      </c>
      <c r="F768" s="79" t="str">
        <f t="shared" si="57"/>
        <v/>
      </c>
      <c r="G768" s="395"/>
      <c r="H768" s="91">
        <f t="shared" si="58"/>
        <v>0</v>
      </c>
      <c r="I768" s="91" t="str">
        <f t="shared" si="59"/>
        <v/>
      </c>
      <c r="J768" s="91" t="str">
        <f t="shared" si="60"/>
        <v/>
      </c>
      <c r="K768" s="92" t="str">
        <f>IF(AND(A768="",B768="",D768="",G768=""),"",IF(AND(A768&lt;&gt;"",COUNTIF($A$2:$A$5001,A768)&gt;1),"NUMERO_PC duplicado",IF(B768="","DATA_PC vazia",IF(NOT(ISNUMBER(B768)),"DATA_PC invalida",IF(OR(C768="",C768="Fora dos ciclos"),"CICLO_PC nao identificado",IF(OR(D768="",D768=0),"VALOR_PC vazio ou zero",IF(AND(G768&lt;&gt;"Sim",G768&lt;&gt;"Nao",G768&lt;&gt;""),"PC_PAGO_A_CONTRATADA invalido",IF(AND(C768&lt;&gt;"C0",IFERROR(INDEX(parametros!$A$2:$A$6,MATCH(C768,parametros!$B$2:$B$6,0)),"")="Sim",IFERROR(INDEX(parametros!$H$2:$H$6,MATCH(C768,parametros!$B$2:$B$6,0)),"")=""),"INICIO_EFEITO ausente: PC "&amp;A768&amp;" - "&amp;C768,IF(L768="","EFEITO_PC nao calculado: PC "&amp;A768&amp;" - "&amp;C768,"OK")))))))))</f>
        <v/>
      </c>
      <c r="L768" s="92" t="str">
        <f>IF(AND(A768="",B768="",D768="",G768=""),"",IF(OR(B768="",NOT(ISNUMBER(B768)),C768="",C768="Fora dos ciclos"),"",IF(C768="C0","Nao",IF(IFERROR(INDEX(parametros!$A$2:$A$6,MATCH(C768,parametros!$B$2:$B$6,0)),"")&lt;&gt;"Sim","Nao",IF(IFERROR(INDEX(parametros!$H$2:$H$6,MATCH(C768,parametros!$B$2:$B$6,0)),"")="","",IF(B768&gt;=IFERROR(INDEX(parametros!$H$2:$H$6,MATCH(C768,parametros!$B$2:$B$6,0)),""),"Sim","Nao"))))))</f>
        <v/>
      </c>
      <c r="T768" s="156"/>
      <c r="U768" s="214" t="str">
        <f t="shared" si="61"/>
        <v/>
      </c>
      <c r="V768" s="212" t="s">
        <v>50</v>
      </c>
      <c r="W768" s="100" t="s">
        <v>168</v>
      </c>
      <c r="X768" s="100" t="s">
        <v>169</v>
      </c>
      <c r="Y768" s="101" t="s">
        <v>170</v>
      </c>
      <c r="Z768" s="101" t="s">
        <v>171</v>
      </c>
      <c r="AA768" s="101" t="s">
        <v>50</v>
      </c>
      <c r="AB768" s="101" t="s">
        <v>172</v>
      </c>
      <c r="AC768" s="102" t="s">
        <v>173</v>
      </c>
    </row>
    <row r="769" spans="1:29" ht="25.5" customHeight="1" x14ac:dyDescent="0.35">
      <c r="A769" s="392"/>
      <c r="B769" s="393"/>
      <c r="C769" s="99" t="str">
        <f>IF(B769="","",IF(NOT(ISNUMBER(B769)),"DATA_PC invalida",IF(NOT(ISNUMBER(parametros!$C$2)),"Fora dos ciclos",IF(OR(B769&lt;parametros!$C$2,(YEAR(B769)-YEAR(parametros!$C$2))*12+MONTH(B769)-MONTH(parametros!$C$2)&gt;59),"Fora dos ciclos","C"&amp;INT(((YEAR(B769)-YEAR(parametros!$C$2))*12+MONTH(B769)-MONTH(parametros!$C$2))/12)))))</f>
        <v/>
      </c>
      <c r="D769" s="394"/>
      <c r="E769" s="78" t="str">
        <f>IF(C769="","",IFERROR(VLOOKUP(C769,parametros!$A$11:$E$15,5,0),""))</f>
        <v/>
      </c>
      <c r="F769" s="79" t="str">
        <f t="shared" si="57"/>
        <v/>
      </c>
      <c r="G769" s="395"/>
      <c r="H769" s="91">
        <f t="shared" si="58"/>
        <v>0</v>
      </c>
      <c r="I769" s="91" t="str">
        <f t="shared" si="59"/>
        <v/>
      </c>
      <c r="J769" s="91" t="str">
        <f t="shared" si="60"/>
        <v/>
      </c>
      <c r="K769" s="92" t="str">
        <f>IF(AND(A769="",B769="",D769="",G769=""),"",IF(AND(A769&lt;&gt;"",COUNTIF($A$2:$A$5001,A769)&gt;1),"NUMERO_PC duplicado",IF(B769="","DATA_PC vazia",IF(NOT(ISNUMBER(B769)),"DATA_PC invalida",IF(OR(C769="",C769="Fora dos ciclos"),"CICLO_PC nao identificado",IF(OR(D769="",D769=0),"VALOR_PC vazio ou zero",IF(AND(G769&lt;&gt;"Sim",G769&lt;&gt;"Nao",G769&lt;&gt;""),"PC_PAGO_A_CONTRATADA invalido",IF(AND(C769&lt;&gt;"C0",IFERROR(INDEX(parametros!$A$2:$A$6,MATCH(C769,parametros!$B$2:$B$6,0)),"")="Sim",IFERROR(INDEX(parametros!$H$2:$H$6,MATCH(C769,parametros!$B$2:$B$6,0)),"")=""),"INICIO_EFEITO ausente: PC "&amp;A769&amp;" - "&amp;C769,IF(L769="","EFEITO_PC nao calculado: PC "&amp;A769&amp;" - "&amp;C769,"OK")))))))))</f>
        <v/>
      </c>
      <c r="L769" s="92" t="str">
        <f>IF(AND(A769="",B769="",D769="",G769=""),"",IF(OR(B769="",NOT(ISNUMBER(B769)),C769="",C769="Fora dos ciclos"),"",IF(C769="C0","Nao",IF(IFERROR(INDEX(parametros!$A$2:$A$6,MATCH(C769,parametros!$B$2:$B$6,0)),"")&lt;&gt;"Sim","Nao",IF(IFERROR(INDEX(parametros!$H$2:$H$6,MATCH(C769,parametros!$B$2:$B$6,0)),"")="","",IF(B769&gt;=IFERROR(INDEX(parametros!$H$2:$H$6,MATCH(C769,parametros!$B$2:$B$6,0)),""),"Sim","Nao"))))))</f>
        <v/>
      </c>
      <c r="T769" s="156"/>
      <c r="U769" s="214" t="str">
        <f t="shared" si="61"/>
        <v/>
      </c>
      <c r="V769" s="212" t="s">
        <v>50</v>
      </c>
      <c r="W769" s="100" t="s">
        <v>168</v>
      </c>
      <c r="X769" s="100" t="s">
        <v>169</v>
      </c>
      <c r="Y769" s="101" t="s">
        <v>170</v>
      </c>
      <c r="Z769" s="101" t="s">
        <v>171</v>
      </c>
      <c r="AA769" s="101" t="s">
        <v>50</v>
      </c>
      <c r="AB769" s="101" t="s">
        <v>172</v>
      </c>
      <c r="AC769" s="102" t="s">
        <v>173</v>
      </c>
    </row>
    <row r="770" spans="1:29" ht="25.5" customHeight="1" x14ac:dyDescent="0.35">
      <c r="A770" s="392"/>
      <c r="B770" s="393"/>
      <c r="C770" s="99" t="str">
        <f>IF(B770="","",IF(NOT(ISNUMBER(B770)),"DATA_PC invalida",IF(NOT(ISNUMBER(parametros!$C$2)),"Fora dos ciclos",IF(OR(B770&lt;parametros!$C$2,(YEAR(B770)-YEAR(parametros!$C$2))*12+MONTH(B770)-MONTH(parametros!$C$2)&gt;59),"Fora dos ciclos","C"&amp;INT(((YEAR(B770)-YEAR(parametros!$C$2))*12+MONTH(B770)-MONTH(parametros!$C$2))/12)))))</f>
        <v/>
      </c>
      <c r="D770" s="394"/>
      <c r="E770" s="78" t="str">
        <f>IF(C770="","",IFERROR(VLOOKUP(C770,parametros!$A$11:$E$15,5,0),""))</f>
        <v/>
      </c>
      <c r="F770" s="79" t="str">
        <f t="shared" ref="F770:F833" si="62">IF(OR(D770="",E770=""),"",ROUND(D770*E770,2))</f>
        <v/>
      </c>
      <c r="G770" s="395"/>
      <c r="H770" s="91">
        <f t="shared" ref="H770:H833" si="63">IF(G770="Sim",IF(OR(F770="",D770="",L770=""),"",IF(L770="Sim",ROUND(F770-D770,2),0)),0)</f>
        <v>0</v>
      </c>
      <c r="I770" s="91" t="str">
        <f t="shared" ref="I770:I833" si="64">IF(G770="Sim",0,IF(OR(F770="",L770=""),"",F770))</f>
        <v/>
      </c>
      <c r="J770" s="91" t="str">
        <f t="shared" ref="J770:J833" si="65">IF(G770="Sim",0,IF(OR(F770="",D770="",L770=""),"",IF(L770="Sim",ROUND(F770-D770,2),0)))</f>
        <v/>
      </c>
      <c r="K770" s="92" t="str">
        <f>IF(AND(A770="",B770="",D770="",G770=""),"",IF(AND(A770&lt;&gt;"",COUNTIF($A$2:$A$5001,A770)&gt;1),"NUMERO_PC duplicado",IF(B770="","DATA_PC vazia",IF(NOT(ISNUMBER(B770)),"DATA_PC invalida",IF(OR(C770="",C770="Fora dos ciclos"),"CICLO_PC nao identificado",IF(OR(D770="",D770=0),"VALOR_PC vazio ou zero",IF(AND(G770&lt;&gt;"Sim",G770&lt;&gt;"Nao",G770&lt;&gt;""),"PC_PAGO_A_CONTRATADA invalido",IF(AND(C770&lt;&gt;"C0",IFERROR(INDEX(parametros!$A$2:$A$6,MATCH(C770,parametros!$B$2:$B$6,0)),"")="Sim",IFERROR(INDEX(parametros!$H$2:$H$6,MATCH(C770,parametros!$B$2:$B$6,0)),"")=""),"INICIO_EFEITO ausente: PC "&amp;A770&amp;" - "&amp;C770,IF(L770="","EFEITO_PC nao calculado: PC "&amp;A770&amp;" - "&amp;C770,"OK")))))))))</f>
        <v/>
      </c>
      <c r="L770" s="92" t="str">
        <f>IF(AND(A770="",B770="",D770="",G770=""),"",IF(OR(B770="",NOT(ISNUMBER(B770)),C770="",C770="Fora dos ciclos"),"",IF(C770="C0","Nao",IF(IFERROR(INDEX(parametros!$A$2:$A$6,MATCH(C770,parametros!$B$2:$B$6,0)),"")&lt;&gt;"Sim","Nao",IF(IFERROR(INDEX(parametros!$H$2:$H$6,MATCH(C770,parametros!$B$2:$B$6,0)),"")="","",IF(B770&gt;=IFERROR(INDEX(parametros!$H$2:$H$6,MATCH(C770,parametros!$B$2:$B$6,0)),""),"Sim","Nao"))))))</f>
        <v/>
      </c>
      <c r="T770" s="156"/>
      <c r="U770" s="214" t="str">
        <f t="shared" ref="U770:U833" si="66">IF(OR($D770="",$H770=""),"",ROUND($D770+$H770,2))</f>
        <v/>
      </c>
      <c r="V770" s="212" t="s">
        <v>50</v>
      </c>
      <c r="W770" s="100" t="s">
        <v>168</v>
      </c>
      <c r="X770" s="100" t="s">
        <v>169</v>
      </c>
      <c r="Y770" s="101" t="s">
        <v>170</v>
      </c>
      <c r="Z770" s="101" t="s">
        <v>171</v>
      </c>
      <c r="AA770" s="101" t="s">
        <v>50</v>
      </c>
      <c r="AB770" s="101" t="s">
        <v>172</v>
      </c>
      <c r="AC770" s="102" t="s">
        <v>173</v>
      </c>
    </row>
    <row r="771" spans="1:29" ht="25.5" customHeight="1" x14ac:dyDescent="0.35">
      <c r="A771" s="392"/>
      <c r="B771" s="393"/>
      <c r="C771" s="99" t="str">
        <f>IF(B771="","",IF(NOT(ISNUMBER(B771)),"DATA_PC invalida",IF(NOT(ISNUMBER(parametros!$C$2)),"Fora dos ciclos",IF(OR(B771&lt;parametros!$C$2,(YEAR(B771)-YEAR(parametros!$C$2))*12+MONTH(B771)-MONTH(parametros!$C$2)&gt;59),"Fora dos ciclos","C"&amp;INT(((YEAR(B771)-YEAR(parametros!$C$2))*12+MONTH(B771)-MONTH(parametros!$C$2))/12)))))</f>
        <v/>
      </c>
      <c r="D771" s="394"/>
      <c r="E771" s="78" t="str">
        <f>IF(C771="","",IFERROR(VLOOKUP(C771,parametros!$A$11:$E$15,5,0),""))</f>
        <v/>
      </c>
      <c r="F771" s="79" t="str">
        <f t="shared" si="62"/>
        <v/>
      </c>
      <c r="G771" s="395"/>
      <c r="H771" s="91">
        <f t="shared" si="63"/>
        <v>0</v>
      </c>
      <c r="I771" s="91" t="str">
        <f t="shared" si="64"/>
        <v/>
      </c>
      <c r="J771" s="91" t="str">
        <f t="shared" si="65"/>
        <v/>
      </c>
      <c r="K771" s="92" t="str">
        <f>IF(AND(A771="",B771="",D771="",G771=""),"",IF(AND(A771&lt;&gt;"",COUNTIF($A$2:$A$5001,A771)&gt;1),"NUMERO_PC duplicado",IF(B771="","DATA_PC vazia",IF(NOT(ISNUMBER(B771)),"DATA_PC invalida",IF(OR(C771="",C771="Fora dos ciclos"),"CICLO_PC nao identificado",IF(OR(D771="",D771=0),"VALOR_PC vazio ou zero",IF(AND(G771&lt;&gt;"Sim",G771&lt;&gt;"Nao",G771&lt;&gt;""),"PC_PAGO_A_CONTRATADA invalido",IF(AND(C771&lt;&gt;"C0",IFERROR(INDEX(parametros!$A$2:$A$6,MATCH(C771,parametros!$B$2:$B$6,0)),"")="Sim",IFERROR(INDEX(parametros!$H$2:$H$6,MATCH(C771,parametros!$B$2:$B$6,0)),"")=""),"INICIO_EFEITO ausente: PC "&amp;A771&amp;" - "&amp;C771,IF(L771="","EFEITO_PC nao calculado: PC "&amp;A771&amp;" - "&amp;C771,"OK")))))))))</f>
        <v/>
      </c>
      <c r="L771" s="92" t="str">
        <f>IF(AND(A771="",B771="",D771="",G771=""),"",IF(OR(B771="",NOT(ISNUMBER(B771)),C771="",C771="Fora dos ciclos"),"",IF(C771="C0","Nao",IF(IFERROR(INDEX(parametros!$A$2:$A$6,MATCH(C771,parametros!$B$2:$B$6,0)),"")&lt;&gt;"Sim","Nao",IF(IFERROR(INDEX(parametros!$H$2:$H$6,MATCH(C771,parametros!$B$2:$B$6,0)),"")="","",IF(B771&gt;=IFERROR(INDEX(parametros!$H$2:$H$6,MATCH(C771,parametros!$B$2:$B$6,0)),""),"Sim","Nao"))))))</f>
        <v/>
      </c>
      <c r="T771" s="156"/>
      <c r="U771" s="214" t="str">
        <f t="shared" si="66"/>
        <v/>
      </c>
      <c r="V771" s="212" t="s">
        <v>50</v>
      </c>
      <c r="W771" s="100" t="s">
        <v>168</v>
      </c>
      <c r="X771" s="100" t="s">
        <v>169</v>
      </c>
      <c r="Y771" s="101" t="s">
        <v>170</v>
      </c>
      <c r="Z771" s="101" t="s">
        <v>171</v>
      </c>
      <c r="AA771" s="101" t="s">
        <v>50</v>
      </c>
      <c r="AB771" s="101" t="s">
        <v>172</v>
      </c>
      <c r="AC771" s="102" t="s">
        <v>173</v>
      </c>
    </row>
    <row r="772" spans="1:29" ht="25.5" customHeight="1" x14ac:dyDescent="0.35">
      <c r="A772" s="392"/>
      <c r="B772" s="393"/>
      <c r="C772" s="99" t="str">
        <f>IF(B772="","",IF(NOT(ISNUMBER(B772)),"DATA_PC invalida",IF(NOT(ISNUMBER(parametros!$C$2)),"Fora dos ciclos",IF(OR(B772&lt;parametros!$C$2,(YEAR(B772)-YEAR(parametros!$C$2))*12+MONTH(B772)-MONTH(parametros!$C$2)&gt;59),"Fora dos ciclos","C"&amp;INT(((YEAR(B772)-YEAR(parametros!$C$2))*12+MONTH(B772)-MONTH(parametros!$C$2))/12)))))</f>
        <v/>
      </c>
      <c r="D772" s="394"/>
      <c r="E772" s="78" t="str">
        <f>IF(C772="","",IFERROR(VLOOKUP(C772,parametros!$A$11:$E$15,5,0),""))</f>
        <v/>
      </c>
      <c r="F772" s="79" t="str">
        <f t="shared" si="62"/>
        <v/>
      </c>
      <c r="G772" s="395"/>
      <c r="H772" s="91">
        <f t="shared" si="63"/>
        <v>0</v>
      </c>
      <c r="I772" s="91" t="str">
        <f t="shared" si="64"/>
        <v/>
      </c>
      <c r="J772" s="91" t="str">
        <f t="shared" si="65"/>
        <v/>
      </c>
      <c r="K772" s="92" t="str">
        <f>IF(AND(A772="",B772="",D772="",G772=""),"",IF(AND(A772&lt;&gt;"",COUNTIF($A$2:$A$5001,A772)&gt;1),"NUMERO_PC duplicado",IF(B772="","DATA_PC vazia",IF(NOT(ISNUMBER(B772)),"DATA_PC invalida",IF(OR(C772="",C772="Fora dos ciclos"),"CICLO_PC nao identificado",IF(OR(D772="",D772=0),"VALOR_PC vazio ou zero",IF(AND(G772&lt;&gt;"Sim",G772&lt;&gt;"Nao",G772&lt;&gt;""),"PC_PAGO_A_CONTRATADA invalido",IF(AND(C772&lt;&gt;"C0",IFERROR(INDEX(parametros!$A$2:$A$6,MATCH(C772,parametros!$B$2:$B$6,0)),"")="Sim",IFERROR(INDEX(parametros!$H$2:$H$6,MATCH(C772,parametros!$B$2:$B$6,0)),"")=""),"INICIO_EFEITO ausente: PC "&amp;A772&amp;" - "&amp;C772,IF(L772="","EFEITO_PC nao calculado: PC "&amp;A772&amp;" - "&amp;C772,"OK")))))))))</f>
        <v/>
      </c>
      <c r="L772" s="92" t="str">
        <f>IF(AND(A772="",B772="",D772="",G772=""),"",IF(OR(B772="",NOT(ISNUMBER(B772)),C772="",C772="Fora dos ciclos"),"",IF(C772="C0","Nao",IF(IFERROR(INDEX(parametros!$A$2:$A$6,MATCH(C772,parametros!$B$2:$B$6,0)),"")&lt;&gt;"Sim","Nao",IF(IFERROR(INDEX(parametros!$H$2:$H$6,MATCH(C772,parametros!$B$2:$B$6,0)),"")="","",IF(B772&gt;=IFERROR(INDEX(parametros!$H$2:$H$6,MATCH(C772,parametros!$B$2:$B$6,0)),""),"Sim","Nao"))))))</f>
        <v/>
      </c>
      <c r="T772" s="156"/>
      <c r="U772" s="214" t="str">
        <f t="shared" si="66"/>
        <v/>
      </c>
      <c r="V772" s="212" t="s">
        <v>50</v>
      </c>
      <c r="W772" s="100" t="s">
        <v>168</v>
      </c>
      <c r="X772" s="100" t="s">
        <v>169</v>
      </c>
      <c r="Y772" s="101" t="s">
        <v>170</v>
      </c>
      <c r="Z772" s="101" t="s">
        <v>171</v>
      </c>
      <c r="AA772" s="101" t="s">
        <v>50</v>
      </c>
      <c r="AB772" s="101" t="s">
        <v>172</v>
      </c>
      <c r="AC772" s="102" t="s">
        <v>173</v>
      </c>
    </row>
    <row r="773" spans="1:29" ht="25.5" customHeight="1" x14ac:dyDescent="0.35">
      <c r="A773" s="392"/>
      <c r="B773" s="393"/>
      <c r="C773" s="99" t="str">
        <f>IF(B773="","",IF(NOT(ISNUMBER(B773)),"DATA_PC invalida",IF(NOT(ISNUMBER(parametros!$C$2)),"Fora dos ciclos",IF(OR(B773&lt;parametros!$C$2,(YEAR(B773)-YEAR(parametros!$C$2))*12+MONTH(B773)-MONTH(parametros!$C$2)&gt;59),"Fora dos ciclos","C"&amp;INT(((YEAR(B773)-YEAR(parametros!$C$2))*12+MONTH(B773)-MONTH(parametros!$C$2))/12)))))</f>
        <v/>
      </c>
      <c r="D773" s="394"/>
      <c r="E773" s="78" t="str">
        <f>IF(C773="","",IFERROR(VLOOKUP(C773,parametros!$A$11:$E$15,5,0),""))</f>
        <v/>
      </c>
      <c r="F773" s="79" t="str">
        <f t="shared" si="62"/>
        <v/>
      </c>
      <c r="G773" s="395"/>
      <c r="H773" s="91">
        <f t="shared" si="63"/>
        <v>0</v>
      </c>
      <c r="I773" s="91" t="str">
        <f t="shared" si="64"/>
        <v/>
      </c>
      <c r="J773" s="91" t="str">
        <f t="shared" si="65"/>
        <v/>
      </c>
      <c r="K773" s="92" t="str">
        <f>IF(AND(A773="",B773="",D773="",G773=""),"",IF(AND(A773&lt;&gt;"",COUNTIF($A$2:$A$5001,A773)&gt;1),"NUMERO_PC duplicado",IF(B773="","DATA_PC vazia",IF(NOT(ISNUMBER(B773)),"DATA_PC invalida",IF(OR(C773="",C773="Fora dos ciclos"),"CICLO_PC nao identificado",IF(OR(D773="",D773=0),"VALOR_PC vazio ou zero",IF(AND(G773&lt;&gt;"Sim",G773&lt;&gt;"Nao",G773&lt;&gt;""),"PC_PAGO_A_CONTRATADA invalido",IF(AND(C773&lt;&gt;"C0",IFERROR(INDEX(parametros!$A$2:$A$6,MATCH(C773,parametros!$B$2:$B$6,0)),"")="Sim",IFERROR(INDEX(parametros!$H$2:$H$6,MATCH(C773,parametros!$B$2:$B$6,0)),"")=""),"INICIO_EFEITO ausente: PC "&amp;A773&amp;" - "&amp;C773,IF(L773="","EFEITO_PC nao calculado: PC "&amp;A773&amp;" - "&amp;C773,"OK")))))))))</f>
        <v/>
      </c>
      <c r="L773" s="92" t="str">
        <f>IF(AND(A773="",B773="",D773="",G773=""),"",IF(OR(B773="",NOT(ISNUMBER(B773)),C773="",C773="Fora dos ciclos"),"",IF(C773="C0","Nao",IF(IFERROR(INDEX(parametros!$A$2:$A$6,MATCH(C773,parametros!$B$2:$B$6,0)),"")&lt;&gt;"Sim","Nao",IF(IFERROR(INDEX(parametros!$H$2:$H$6,MATCH(C773,parametros!$B$2:$B$6,0)),"")="","",IF(B773&gt;=IFERROR(INDEX(parametros!$H$2:$H$6,MATCH(C773,parametros!$B$2:$B$6,0)),""),"Sim","Nao"))))))</f>
        <v/>
      </c>
      <c r="T773" s="156"/>
      <c r="U773" s="214" t="str">
        <f t="shared" si="66"/>
        <v/>
      </c>
      <c r="V773" s="212" t="s">
        <v>50</v>
      </c>
      <c r="W773" s="100" t="s">
        <v>168</v>
      </c>
      <c r="X773" s="100" t="s">
        <v>169</v>
      </c>
      <c r="Y773" s="101" t="s">
        <v>170</v>
      </c>
      <c r="Z773" s="101" t="s">
        <v>171</v>
      </c>
      <c r="AA773" s="101" t="s">
        <v>50</v>
      </c>
      <c r="AB773" s="101" t="s">
        <v>172</v>
      </c>
      <c r="AC773" s="102" t="s">
        <v>173</v>
      </c>
    </row>
    <row r="774" spans="1:29" ht="25.5" customHeight="1" x14ac:dyDescent="0.35">
      <c r="A774" s="392"/>
      <c r="B774" s="393"/>
      <c r="C774" s="99" t="str">
        <f>IF(B774="","",IF(NOT(ISNUMBER(B774)),"DATA_PC invalida",IF(NOT(ISNUMBER(parametros!$C$2)),"Fora dos ciclos",IF(OR(B774&lt;parametros!$C$2,(YEAR(B774)-YEAR(parametros!$C$2))*12+MONTH(B774)-MONTH(parametros!$C$2)&gt;59),"Fora dos ciclos","C"&amp;INT(((YEAR(B774)-YEAR(parametros!$C$2))*12+MONTH(B774)-MONTH(parametros!$C$2))/12)))))</f>
        <v/>
      </c>
      <c r="D774" s="394"/>
      <c r="E774" s="78" t="str">
        <f>IF(C774="","",IFERROR(VLOOKUP(C774,parametros!$A$11:$E$15,5,0),""))</f>
        <v/>
      </c>
      <c r="F774" s="79" t="str">
        <f t="shared" si="62"/>
        <v/>
      </c>
      <c r="G774" s="395"/>
      <c r="H774" s="91">
        <f t="shared" si="63"/>
        <v>0</v>
      </c>
      <c r="I774" s="91" t="str">
        <f t="shared" si="64"/>
        <v/>
      </c>
      <c r="J774" s="91" t="str">
        <f t="shared" si="65"/>
        <v/>
      </c>
      <c r="K774" s="92" t="str">
        <f>IF(AND(A774="",B774="",D774="",G774=""),"",IF(AND(A774&lt;&gt;"",COUNTIF($A$2:$A$5001,A774)&gt;1),"NUMERO_PC duplicado",IF(B774="","DATA_PC vazia",IF(NOT(ISNUMBER(B774)),"DATA_PC invalida",IF(OR(C774="",C774="Fora dos ciclos"),"CICLO_PC nao identificado",IF(OR(D774="",D774=0),"VALOR_PC vazio ou zero",IF(AND(G774&lt;&gt;"Sim",G774&lt;&gt;"Nao",G774&lt;&gt;""),"PC_PAGO_A_CONTRATADA invalido",IF(AND(C774&lt;&gt;"C0",IFERROR(INDEX(parametros!$A$2:$A$6,MATCH(C774,parametros!$B$2:$B$6,0)),"")="Sim",IFERROR(INDEX(parametros!$H$2:$H$6,MATCH(C774,parametros!$B$2:$B$6,0)),"")=""),"INICIO_EFEITO ausente: PC "&amp;A774&amp;" - "&amp;C774,IF(L774="","EFEITO_PC nao calculado: PC "&amp;A774&amp;" - "&amp;C774,"OK")))))))))</f>
        <v/>
      </c>
      <c r="L774" s="92" t="str">
        <f>IF(AND(A774="",B774="",D774="",G774=""),"",IF(OR(B774="",NOT(ISNUMBER(B774)),C774="",C774="Fora dos ciclos"),"",IF(C774="C0","Nao",IF(IFERROR(INDEX(parametros!$A$2:$A$6,MATCH(C774,parametros!$B$2:$B$6,0)),"")&lt;&gt;"Sim","Nao",IF(IFERROR(INDEX(parametros!$H$2:$H$6,MATCH(C774,parametros!$B$2:$B$6,0)),"")="","",IF(B774&gt;=IFERROR(INDEX(parametros!$H$2:$H$6,MATCH(C774,parametros!$B$2:$B$6,0)),""),"Sim","Nao"))))))</f>
        <v/>
      </c>
      <c r="T774" s="156"/>
      <c r="U774" s="214" t="str">
        <f t="shared" si="66"/>
        <v/>
      </c>
      <c r="V774" s="212" t="s">
        <v>50</v>
      </c>
      <c r="W774" s="100" t="s">
        <v>168</v>
      </c>
      <c r="X774" s="100" t="s">
        <v>169</v>
      </c>
      <c r="Y774" s="101" t="s">
        <v>170</v>
      </c>
      <c r="Z774" s="101" t="s">
        <v>171</v>
      </c>
      <c r="AA774" s="101" t="s">
        <v>50</v>
      </c>
      <c r="AB774" s="101" t="s">
        <v>172</v>
      </c>
      <c r="AC774" s="102" t="s">
        <v>173</v>
      </c>
    </row>
    <row r="775" spans="1:29" ht="25.5" customHeight="1" x14ac:dyDescent="0.35">
      <c r="A775" s="392"/>
      <c r="B775" s="393"/>
      <c r="C775" s="99" t="str">
        <f>IF(B775="","",IF(NOT(ISNUMBER(B775)),"DATA_PC invalida",IF(NOT(ISNUMBER(parametros!$C$2)),"Fora dos ciclos",IF(OR(B775&lt;parametros!$C$2,(YEAR(B775)-YEAR(parametros!$C$2))*12+MONTH(B775)-MONTH(parametros!$C$2)&gt;59),"Fora dos ciclos","C"&amp;INT(((YEAR(B775)-YEAR(parametros!$C$2))*12+MONTH(B775)-MONTH(parametros!$C$2))/12)))))</f>
        <v/>
      </c>
      <c r="D775" s="394"/>
      <c r="E775" s="78" t="str">
        <f>IF(C775="","",IFERROR(VLOOKUP(C775,parametros!$A$11:$E$15,5,0),""))</f>
        <v/>
      </c>
      <c r="F775" s="79" t="str">
        <f t="shared" si="62"/>
        <v/>
      </c>
      <c r="G775" s="395"/>
      <c r="H775" s="91">
        <f t="shared" si="63"/>
        <v>0</v>
      </c>
      <c r="I775" s="91" t="str">
        <f t="shared" si="64"/>
        <v/>
      </c>
      <c r="J775" s="91" t="str">
        <f t="shared" si="65"/>
        <v/>
      </c>
      <c r="K775" s="92" t="str">
        <f>IF(AND(A775="",B775="",D775="",G775=""),"",IF(AND(A775&lt;&gt;"",COUNTIF($A$2:$A$5001,A775)&gt;1),"NUMERO_PC duplicado",IF(B775="","DATA_PC vazia",IF(NOT(ISNUMBER(B775)),"DATA_PC invalida",IF(OR(C775="",C775="Fora dos ciclos"),"CICLO_PC nao identificado",IF(OR(D775="",D775=0),"VALOR_PC vazio ou zero",IF(AND(G775&lt;&gt;"Sim",G775&lt;&gt;"Nao",G775&lt;&gt;""),"PC_PAGO_A_CONTRATADA invalido",IF(AND(C775&lt;&gt;"C0",IFERROR(INDEX(parametros!$A$2:$A$6,MATCH(C775,parametros!$B$2:$B$6,0)),"")="Sim",IFERROR(INDEX(parametros!$H$2:$H$6,MATCH(C775,parametros!$B$2:$B$6,0)),"")=""),"INICIO_EFEITO ausente: PC "&amp;A775&amp;" - "&amp;C775,IF(L775="","EFEITO_PC nao calculado: PC "&amp;A775&amp;" - "&amp;C775,"OK")))))))))</f>
        <v/>
      </c>
      <c r="L775" s="92" t="str">
        <f>IF(AND(A775="",B775="",D775="",G775=""),"",IF(OR(B775="",NOT(ISNUMBER(B775)),C775="",C775="Fora dos ciclos"),"",IF(C775="C0","Nao",IF(IFERROR(INDEX(parametros!$A$2:$A$6,MATCH(C775,parametros!$B$2:$B$6,0)),"")&lt;&gt;"Sim","Nao",IF(IFERROR(INDEX(parametros!$H$2:$H$6,MATCH(C775,parametros!$B$2:$B$6,0)),"")="","",IF(B775&gt;=IFERROR(INDEX(parametros!$H$2:$H$6,MATCH(C775,parametros!$B$2:$B$6,0)),""),"Sim","Nao"))))))</f>
        <v/>
      </c>
      <c r="T775" s="156"/>
      <c r="U775" s="214" t="str">
        <f t="shared" si="66"/>
        <v/>
      </c>
      <c r="V775" s="212" t="s">
        <v>50</v>
      </c>
      <c r="W775" s="100" t="s">
        <v>168</v>
      </c>
      <c r="X775" s="100" t="s">
        <v>169</v>
      </c>
      <c r="Y775" s="101" t="s">
        <v>170</v>
      </c>
      <c r="Z775" s="101" t="s">
        <v>171</v>
      </c>
      <c r="AA775" s="101" t="s">
        <v>50</v>
      </c>
      <c r="AB775" s="101" t="s">
        <v>172</v>
      </c>
      <c r="AC775" s="102" t="s">
        <v>173</v>
      </c>
    </row>
    <row r="776" spans="1:29" ht="25.5" customHeight="1" x14ac:dyDescent="0.35">
      <c r="A776" s="392"/>
      <c r="B776" s="393"/>
      <c r="C776" s="99" t="str">
        <f>IF(B776="","",IF(NOT(ISNUMBER(B776)),"DATA_PC invalida",IF(NOT(ISNUMBER(parametros!$C$2)),"Fora dos ciclos",IF(OR(B776&lt;parametros!$C$2,(YEAR(B776)-YEAR(parametros!$C$2))*12+MONTH(B776)-MONTH(parametros!$C$2)&gt;59),"Fora dos ciclos","C"&amp;INT(((YEAR(B776)-YEAR(parametros!$C$2))*12+MONTH(B776)-MONTH(parametros!$C$2))/12)))))</f>
        <v/>
      </c>
      <c r="D776" s="394"/>
      <c r="E776" s="78" t="str">
        <f>IF(C776="","",IFERROR(VLOOKUP(C776,parametros!$A$11:$E$15,5,0),""))</f>
        <v/>
      </c>
      <c r="F776" s="79" t="str">
        <f t="shared" si="62"/>
        <v/>
      </c>
      <c r="G776" s="395"/>
      <c r="H776" s="91">
        <f t="shared" si="63"/>
        <v>0</v>
      </c>
      <c r="I776" s="91" t="str">
        <f t="shared" si="64"/>
        <v/>
      </c>
      <c r="J776" s="91" t="str">
        <f t="shared" si="65"/>
        <v/>
      </c>
      <c r="K776" s="92" t="str">
        <f>IF(AND(A776="",B776="",D776="",G776=""),"",IF(AND(A776&lt;&gt;"",COUNTIF($A$2:$A$5001,A776)&gt;1),"NUMERO_PC duplicado",IF(B776="","DATA_PC vazia",IF(NOT(ISNUMBER(B776)),"DATA_PC invalida",IF(OR(C776="",C776="Fora dos ciclos"),"CICLO_PC nao identificado",IF(OR(D776="",D776=0),"VALOR_PC vazio ou zero",IF(AND(G776&lt;&gt;"Sim",G776&lt;&gt;"Nao",G776&lt;&gt;""),"PC_PAGO_A_CONTRATADA invalido",IF(AND(C776&lt;&gt;"C0",IFERROR(INDEX(parametros!$A$2:$A$6,MATCH(C776,parametros!$B$2:$B$6,0)),"")="Sim",IFERROR(INDEX(parametros!$H$2:$H$6,MATCH(C776,parametros!$B$2:$B$6,0)),"")=""),"INICIO_EFEITO ausente: PC "&amp;A776&amp;" - "&amp;C776,IF(L776="","EFEITO_PC nao calculado: PC "&amp;A776&amp;" - "&amp;C776,"OK")))))))))</f>
        <v/>
      </c>
      <c r="L776" s="92" t="str">
        <f>IF(AND(A776="",B776="",D776="",G776=""),"",IF(OR(B776="",NOT(ISNUMBER(B776)),C776="",C776="Fora dos ciclos"),"",IF(C776="C0","Nao",IF(IFERROR(INDEX(parametros!$A$2:$A$6,MATCH(C776,parametros!$B$2:$B$6,0)),"")&lt;&gt;"Sim","Nao",IF(IFERROR(INDEX(parametros!$H$2:$H$6,MATCH(C776,parametros!$B$2:$B$6,0)),"")="","",IF(B776&gt;=IFERROR(INDEX(parametros!$H$2:$H$6,MATCH(C776,parametros!$B$2:$B$6,0)),""),"Sim","Nao"))))))</f>
        <v/>
      </c>
      <c r="T776" s="156"/>
      <c r="U776" s="214" t="str">
        <f t="shared" si="66"/>
        <v/>
      </c>
      <c r="V776" s="212" t="s">
        <v>50</v>
      </c>
      <c r="W776" s="100" t="s">
        <v>168</v>
      </c>
      <c r="X776" s="100" t="s">
        <v>169</v>
      </c>
      <c r="Y776" s="101" t="s">
        <v>170</v>
      </c>
      <c r="Z776" s="101" t="s">
        <v>171</v>
      </c>
      <c r="AA776" s="101" t="s">
        <v>50</v>
      </c>
      <c r="AB776" s="101" t="s">
        <v>172</v>
      </c>
      <c r="AC776" s="102" t="s">
        <v>173</v>
      </c>
    </row>
    <row r="777" spans="1:29" ht="25.5" customHeight="1" x14ac:dyDescent="0.35">
      <c r="A777" s="392"/>
      <c r="B777" s="393"/>
      <c r="C777" s="99" t="str">
        <f>IF(B777="","",IF(NOT(ISNUMBER(B777)),"DATA_PC invalida",IF(NOT(ISNUMBER(parametros!$C$2)),"Fora dos ciclos",IF(OR(B777&lt;parametros!$C$2,(YEAR(B777)-YEAR(parametros!$C$2))*12+MONTH(B777)-MONTH(parametros!$C$2)&gt;59),"Fora dos ciclos","C"&amp;INT(((YEAR(B777)-YEAR(parametros!$C$2))*12+MONTH(B777)-MONTH(parametros!$C$2))/12)))))</f>
        <v/>
      </c>
      <c r="D777" s="394"/>
      <c r="E777" s="78" t="str">
        <f>IF(C777="","",IFERROR(VLOOKUP(C777,parametros!$A$11:$E$15,5,0),""))</f>
        <v/>
      </c>
      <c r="F777" s="79" t="str">
        <f t="shared" si="62"/>
        <v/>
      </c>
      <c r="G777" s="395"/>
      <c r="H777" s="91">
        <f t="shared" si="63"/>
        <v>0</v>
      </c>
      <c r="I777" s="91" t="str">
        <f t="shared" si="64"/>
        <v/>
      </c>
      <c r="J777" s="91" t="str">
        <f t="shared" si="65"/>
        <v/>
      </c>
      <c r="K777" s="92" t="str">
        <f>IF(AND(A777="",B777="",D777="",G777=""),"",IF(AND(A777&lt;&gt;"",COUNTIF($A$2:$A$5001,A777)&gt;1),"NUMERO_PC duplicado",IF(B777="","DATA_PC vazia",IF(NOT(ISNUMBER(B777)),"DATA_PC invalida",IF(OR(C777="",C777="Fora dos ciclos"),"CICLO_PC nao identificado",IF(OR(D777="",D777=0),"VALOR_PC vazio ou zero",IF(AND(G777&lt;&gt;"Sim",G777&lt;&gt;"Nao",G777&lt;&gt;""),"PC_PAGO_A_CONTRATADA invalido",IF(AND(C777&lt;&gt;"C0",IFERROR(INDEX(parametros!$A$2:$A$6,MATCH(C777,parametros!$B$2:$B$6,0)),"")="Sim",IFERROR(INDEX(parametros!$H$2:$H$6,MATCH(C777,parametros!$B$2:$B$6,0)),"")=""),"INICIO_EFEITO ausente: PC "&amp;A777&amp;" - "&amp;C777,IF(L777="","EFEITO_PC nao calculado: PC "&amp;A777&amp;" - "&amp;C777,"OK")))))))))</f>
        <v/>
      </c>
      <c r="L777" s="92" t="str">
        <f>IF(AND(A777="",B777="",D777="",G777=""),"",IF(OR(B777="",NOT(ISNUMBER(B777)),C777="",C777="Fora dos ciclos"),"",IF(C777="C0","Nao",IF(IFERROR(INDEX(parametros!$A$2:$A$6,MATCH(C777,parametros!$B$2:$B$6,0)),"")&lt;&gt;"Sim","Nao",IF(IFERROR(INDEX(parametros!$H$2:$H$6,MATCH(C777,parametros!$B$2:$B$6,0)),"")="","",IF(B777&gt;=IFERROR(INDEX(parametros!$H$2:$H$6,MATCH(C777,parametros!$B$2:$B$6,0)),""),"Sim","Nao"))))))</f>
        <v/>
      </c>
      <c r="T777" s="156"/>
      <c r="U777" s="214" t="str">
        <f t="shared" si="66"/>
        <v/>
      </c>
      <c r="V777" s="212" t="s">
        <v>50</v>
      </c>
      <c r="W777" s="100" t="s">
        <v>168</v>
      </c>
      <c r="X777" s="100" t="s">
        <v>169</v>
      </c>
      <c r="Y777" s="101" t="s">
        <v>170</v>
      </c>
      <c r="Z777" s="101" t="s">
        <v>171</v>
      </c>
      <c r="AA777" s="101" t="s">
        <v>50</v>
      </c>
      <c r="AB777" s="101" t="s">
        <v>172</v>
      </c>
      <c r="AC777" s="102" t="s">
        <v>173</v>
      </c>
    </row>
    <row r="778" spans="1:29" ht="25.5" customHeight="1" x14ac:dyDescent="0.35">
      <c r="A778" s="392"/>
      <c r="B778" s="393"/>
      <c r="C778" s="99" t="str">
        <f>IF(B778="","",IF(NOT(ISNUMBER(B778)),"DATA_PC invalida",IF(NOT(ISNUMBER(parametros!$C$2)),"Fora dos ciclos",IF(OR(B778&lt;parametros!$C$2,(YEAR(B778)-YEAR(parametros!$C$2))*12+MONTH(B778)-MONTH(parametros!$C$2)&gt;59),"Fora dos ciclos","C"&amp;INT(((YEAR(B778)-YEAR(parametros!$C$2))*12+MONTH(B778)-MONTH(parametros!$C$2))/12)))))</f>
        <v/>
      </c>
      <c r="D778" s="394"/>
      <c r="E778" s="78" t="str">
        <f>IF(C778="","",IFERROR(VLOOKUP(C778,parametros!$A$11:$E$15,5,0),""))</f>
        <v/>
      </c>
      <c r="F778" s="79" t="str">
        <f t="shared" si="62"/>
        <v/>
      </c>
      <c r="G778" s="395"/>
      <c r="H778" s="91">
        <f t="shared" si="63"/>
        <v>0</v>
      </c>
      <c r="I778" s="91" t="str">
        <f t="shared" si="64"/>
        <v/>
      </c>
      <c r="J778" s="91" t="str">
        <f t="shared" si="65"/>
        <v/>
      </c>
      <c r="K778" s="92" t="str">
        <f>IF(AND(A778="",B778="",D778="",G778=""),"",IF(AND(A778&lt;&gt;"",COUNTIF($A$2:$A$5001,A778)&gt;1),"NUMERO_PC duplicado",IF(B778="","DATA_PC vazia",IF(NOT(ISNUMBER(B778)),"DATA_PC invalida",IF(OR(C778="",C778="Fora dos ciclos"),"CICLO_PC nao identificado",IF(OR(D778="",D778=0),"VALOR_PC vazio ou zero",IF(AND(G778&lt;&gt;"Sim",G778&lt;&gt;"Nao",G778&lt;&gt;""),"PC_PAGO_A_CONTRATADA invalido",IF(AND(C778&lt;&gt;"C0",IFERROR(INDEX(parametros!$A$2:$A$6,MATCH(C778,parametros!$B$2:$B$6,0)),"")="Sim",IFERROR(INDEX(parametros!$H$2:$H$6,MATCH(C778,parametros!$B$2:$B$6,0)),"")=""),"INICIO_EFEITO ausente: PC "&amp;A778&amp;" - "&amp;C778,IF(L778="","EFEITO_PC nao calculado: PC "&amp;A778&amp;" - "&amp;C778,"OK")))))))))</f>
        <v/>
      </c>
      <c r="L778" s="92" t="str">
        <f>IF(AND(A778="",B778="",D778="",G778=""),"",IF(OR(B778="",NOT(ISNUMBER(B778)),C778="",C778="Fora dos ciclos"),"",IF(C778="C0","Nao",IF(IFERROR(INDEX(parametros!$A$2:$A$6,MATCH(C778,parametros!$B$2:$B$6,0)),"")&lt;&gt;"Sim","Nao",IF(IFERROR(INDEX(parametros!$H$2:$H$6,MATCH(C778,parametros!$B$2:$B$6,0)),"")="","",IF(B778&gt;=IFERROR(INDEX(parametros!$H$2:$H$6,MATCH(C778,parametros!$B$2:$B$6,0)),""),"Sim","Nao"))))))</f>
        <v/>
      </c>
      <c r="T778" s="156"/>
      <c r="U778" s="214" t="str">
        <f t="shared" si="66"/>
        <v/>
      </c>
      <c r="V778" s="212" t="s">
        <v>50</v>
      </c>
      <c r="W778" s="100" t="s">
        <v>168</v>
      </c>
      <c r="X778" s="100" t="s">
        <v>169</v>
      </c>
      <c r="Y778" s="101" t="s">
        <v>170</v>
      </c>
      <c r="Z778" s="101" t="s">
        <v>171</v>
      </c>
      <c r="AA778" s="101" t="s">
        <v>50</v>
      </c>
      <c r="AB778" s="101" t="s">
        <v>172</v>
      </c>
      <c r="AC778" s="102" t="s">
        <v>173</v>
      </c>
    </row>
    <row r="779" spans="1:29" ht="25.5" customHeight="1" x14ac:dyDescent="0.35">
      <c r="A779" s="392"/>
      <c r="B779" s="393"/>
      <c r="C779" s="99" t="str">
        <f>IF(B779="","",IF(NOT(ISNUMBER(B779)),"DATA_PC invalida",IF(NOT(ISNUMBER(parametros!$C$2)),"Fora dos ciclos",IF(OR(B779&lt;parametros!$C$2,(YEAR(B779)-YEAR(parametros!$C$2))*12+MONTH(B779)-MONTH(parametros!$C$2)&gt;59),"Fora dos ciclos","C"&amp;INT(((YEAR(B779)-YEAR(parametros!$C$2))*12+MONTH(B779)-MONTH(parametros!$C$2))/12)))))</f>
        <v/>
      </c>
      <c r="D779" s="394"/>
      <c r="E779" s="78" t="str">
        <f>IF(C779="","",IFERROR(VLOOKUP(C779,parametros!$A$11:$E$15,5,0),""))</f>
        <v/>
      </c>
      <c r="F779" s="79" t="str">
        <f t="shared" si="62"/>
        <v/>
      </c>
      <c r="G779" s="395"/>
      <c r="H779" s="91">
        <f t="shared" si="63"/>
        <v>0</v>
      </c>
      <c r="I779" s="91" t="str">
        <f t="shared" si="64"/>
        <v/>
      </c>
      <c r="J779" s="91" t="str">
        <f t="shared" si="65"/>
        <v/>
      </c>
      <c r="K779" s="92" t="str">
        <f>IF(AND(A779="",B779="",D779="",G779=""),"",IF(AND(A779&lt;&gt;"",COUNTIF($A$2:$A$5001,A779)&gt;1),"NUMERO_PC duplicado",IF(B779="","DATA_PC vazia",IF(NOT(ISNUMBER(B779)),"DATA_PC invalida",IF(OR(C779="",C779="Fora dos ciclos"),"CICLO_PC nao identificado",IF(OR(D779="",D779=0),"VALOR_PC vazio ou zero",IF(AND(G779&lt;&gt;"Sim",G779&lt;&gt;"Nao",G779&lt;&gt;""),"PC_PAGO_A_CONTRATADA invalido",IF(AND(C779&lt;&gt;"C0",IFERROR(INDEX(parametros!$A$2:$A$6,MATCH(C779,parametros!$B$2:$B$6,0)),"")="Sim",IFERROR(INDEX(parametros!$H$2:$H$6,MATCH(C779,parametros!$B$2:$B$6,0)),"")=""),"INICIO_EFEITO ausente: PC "&amp;A779&amp;" - "&amp;C779,IF(L779="","EFEITO_PC nao calculado: PC "&amp;A779&amp;" - "&amp;C779,"OK")))))))))</f>
        <v/>
      </c>
      <c r="L779" s="92" t="str">
        <f>IF(AND(A779="",B779="",D779="",G779=""),"",IF(OR(B779="",NOT(ISNUMBER(B779)),C779="",C779="Fora dos ciclos"),"",IF(C779="C0","Nao",IF(IFERROR(INDEX(parametros!$A$2:$A$6,MATCH(C779,parametros!$B$2:$B$6,0)),"")&lt;&gt;"Sim","Nao",IF(IFERROR(INDEX(parametros!$H$2:$H$6,MATCH(C779,parametros!$B$2:$B$6,0)),"")="","",IF(B779&gt;=IFERROR(INDEX(parametros!$H$2:$H$6,MATCH(C779,parametros!$B$2:$B$6,0)),""),"Sim","Nao"))))))</f>
        <v/>
      </c>
      <c r="T779" s="156"/>
      <c r="U779" s="214" t="str">
        <f t="shared" si="66"/>
        <v/>
      </c>
      <c r="V779" s="212" t="s">
        <v>50</v>
      </c>
      <c r="W779" s="100" t="s">
        <v>168</v>
      </c>
      <c r="X779" s="100" t="s">
        <v>169</v>
      </c>
      <c r="Y779" s="101" t="s">
        <v>170</v>
      </c>
      <c r="Z779" s="101" t="s">
        <v>171</v>
      </c>
      <c r="AA779" s="101" t="s">
        <v>50</v>
      </c>
      <c r="AB779" s="101" t="s">
        <v>172</v>
      </c>
      <c r="AC779" s="102" t="s">
        <v>173</v>
      </c>
    </row>
    <row r="780" spans="1:29" ht="25.5" customHeight="1" x14ac:dyDescent="0.35">
      <c r="A780" s="392"/>
      <c r="B780" s="393"/>
      <c r="C780" s="99" t="str">
        <f>IF(B780="","",IF(NOT(ISNUMBER(B780)),"DATA_PC invalida",IF(NOT(ISNUMBER(parametros!$C$2)),"Fora dos ciclos",IF(OR(B780&lt;parametros!$C$2,(YEAR(B780)-YEAR(parametros!$C$2))*12+MONTH(B780)-MONTH(parametros!$C$2)&gt;59),"Fora dos ciclos","C"&amp;INT(((YEAR(B780)-YEAR(parametros!$C$2))*12+MONTH(B780)-MONTH(parametros!$C$2))/12)))))</f>
        <v/>
      </c>
      <c r="D780" s="394"/>
      <c r="E780" s="78" t="str">
        <f>IF(C780="","",IFERROR(VLOOKUP(C780,parametros!$A$11:$E$15,5,0),""))</f>
        <v/>
      </c>
      <c r="F780" s="79" t="str">
        <f t="shared" si="62"/>
        <v/>
      </c>
      <c r="G780" s="395"/>
      <c r="H780" s="91">
        <f t="shared" si="63"/>
        <v>0</v>
      </c>
      <c r="I780" s="91" t="str">
        <f t="shared" si="64"/>
        <v/>
      </c>
      <c r="J780" s="91" t="str">
        <f t="shared" si="65"/>
        <v/>
      </c>
      <c r="K780" s="92" t="str">
        <f>IF(AND(A780="",B780="",D780="",G780=""),"",IF(AND(A780&lt;&gt;"",COUNTIF($A$2:$A$5001,A780)&gt;1),"NUMERO_PC duplicado",IF(B780="","DATA_PC vazia",IF(NOT(ISNUMBER(B780)),"DATA_PC invalida",IF(OR(C780="",C780="Fora dos ciclos"),"CICLO_PC nao identificado",IF(OR(D780="",D780=0),"VALOR_PC vazio ou zero",IF(AND(G780&lt;&gt;"Sim",G780&lt;&gt;"Nao",G780&lt;&gt;""),"PC_PAGO_A_CONTRATADA invalido",IF(AND(C780&lt;&gt;"C0",IFERROR(INDEX(parametros!$A$2:$A$6,MATCH(C780,parametros!$B$2:$B$6,0)),"")="Sim",IFERROR(INDEX(parametros!$H$2:$H$6,MATCH(C780,parametros!$B$2:$B$6,0)),"")=""),"INICIO_EFEITO ausente: PC "&amp;A780&amp;" - "&amp;C780,IF(L780="","EFEITO_PC nao calculado: PC "&amp;A780&amp;" - "&amp;C780,"OK")))))))))</f>
        <v/>
      </c>
      <c r="L780" s="92" t="str">
        <f>IF(AND(A780="",B780="",D780="",G780=""),"",IF(OR(B780="",NOT(ISNUMBER(B780)),C780="",C780="Fora dos ciclos"),"",IF(C780="C0","Nao",IF(IFERROR(INDEX(parametros!$A$2:$A$6,MATCH(C780,parametros!$B$2:$B$6,0)),"")&lt;&gt;"Sim","Nao",IF(IFERROR(INDEX(parametros!$H$2:$H$6,MATCH(C780,parametros!$B$2:$B$6,0)),"")="","",IF(B780&gt;=IFERROR(INDEX(parametros!$H$2:$H$6,MATCH(C780,parametros!$B$2:$B$6,0)),""),"Sim","Nao"))))))</f>
        <v/>
      </c>
      <c r="T780" s="156"/>
      <c r="U780" s="214" t="str">
        <f t="shared" si="66"/>
        <v/>
      </c>
      <c r="V780" s="212" t="s">
        <v>50</v>
      </c>
      <c r="W780" s="100" t="s">
        <v>168</v>
      </c>
      <c r="X780" s="100" t="s">
        <v>169</v>
      </c>
      <c r="Y780" s="101" t="s">
        <v>170</v>
      </c>
      <c r="Z780" s="101" t="s">
        <v>171</v>
      </c>
      <c r="AA780" s="101" t="s">
        <v>50</v>
      </c>
      <c r="AB780" s="101" t="s">
        <v>172</v>
      </c>
      <c r="AC780" s="102" t="s">
        <v>173</v>
      </c>
    </row>
    <row r="781" spans="1:29" ht="25.5" customHeight="1" x14ac:dyDescent="0.35">
      <c r="A781" s="392"/>
      <c r="B781" s="393"/>
      <c r="C781" s="99" t="str">
        <f>IF(B781="","",IF(NOT(ISNUMBER(B781)),"DATA_PC invalida",IF(NOT(ISNUMBER(parametros!$C$2)),"Fora dos ciclos",IF(OR(B781&lt;parametros!$C$2,(YEAR(B781)-YEAR(parametros!$C$2))*12+MONTH(B781)-MONTH(parametros!$C$2)&gt;59),"Fora dos ciclos","C"&amp;INT(((YEAR(B781)-YEAR(parametros!$C$2))*12+MONTH(B781)-MONTH(parametros!$C$2))/12)))))</f>
        <v/>
      </c>
      <c r="D781" s="394"/>
      <c r="E781" s="78" t="str">
        <f>IF(C781="","",IFERROR(VLOOKUP(C781,parametros!$A$11:$E$15,5,0),""))</f>
        <v/>
      </c>
      <c r="F781" s="79" t="str">
        <f t="shared" si="62"/>
        <v/>
      </c>
      <c r="G781" s="395"/>
      <c r="H781" s="91">
        <f t="shared" si="63"/>
        <v>0</v>
      </c>
      <c r="I781" s="91" t="str">
        <f t="shared" si="64"/>
        <v/>
      </c>
      <c r="J781" s="91" t="str">
        <f t="shared" si="65"/>
        <v/>
      </c>
      <c r="K781" s="92" t="str">
        <f>IF(AND(A781="",B781="",D781="",G781=""),"",IF(AND(A781&lt;&gt;"",COUNTIF($A$2:$A$5001,A781)&gt;1),"NUMERO_PC duplicado",IF(B781="","DATA_PC vazia",IF(NOT(ISNUMBER(B781)),"DATA_PC invalida",IF(OR(C781="",C781="Fora dos ciclos"),"CICLO_PC nao identificado",IF(OR(D781="",D781=0),"VALOR_PC vazio ou zero",IF(AND(G781&lt;&gt;"Sim",G781&lt;&gt;"Nao",G781&lt;&gt;""),"PC_PAGO_A_CONTRATADA invalido",IF(AND(C781&lt;&gt;"C0",IFERROR(INDEX(parametros!$A$2:$A$6,MATCH(C781,parametros!$B$2:$B$6,0)),"")="Sim",IFERROR(INDEX(parametros!$H$2:$H$6,MATCH(C781,parametros!$B$2:$B$6,0)),"")=""),"INICIO_EFEITO ausente: PC "&amp;A781&amp;" - "&amp;C781,IF(L781="","EFEITO_PC nao calculado: PC "&amp;A781&amp;" - "&amp;C781,"OK")))))))))</f>
        <v/>
      </c>
      <c r="L781" s="92" t="str">
        <f>IF(AND(A781="",B781="",D781="",G781=""),"",IF(OR(B781="",NOT(ISNUMBER(B781)),C781="",C781="Fora dos ciclos"),"",IF(C781="C0","Nao",IF(IFERROR(INDEX(parametros!$A$2:$A$6,MATCH(C781,parametros!$B$2:$B$6,0)),"")&lt;&gt;"Sim","Nao",IF(IFERROR(INDEX(parametros!$H$2:$H$6,MATCH(C781,parametros!$B$2:$B$6,0)),"")="","",IF(B781&gt;=IFERROR(INDEX(parametros!$H$2:$H$6,MATCH(C781,parametros!$B$2:$B$6,0)),""),"Sim","Nao"))))))</f>
        <v/>
      </c>
      <c r="T781" s="156"/>
      <c r="U781" s="214" t="str">
        <f t="shared" si="66"/>
        <v/>
      </c>
      <c r="V781" s="212" t="s">
        <v>50</v>
      </c>
      <c r="W781" s="100" t="s">
        <v>168</v>
      </c>
      <c r="X781" s="100" t="s">
        <v>169</v>
      </c>
      <c r="Y781" s="101" t="s">
        <v>170</v>
      </c>
      <c r="Z781" s="101" t="s">
        <v>171</v>
      </c>
      <c r="AA781" s="101" t="s">
        <v>50</v>
      </c>
      <c r="AB781" s="101" t="s">
        <v>172</v>
      </c>
      <c r="AC781" s="102" t="s">
        <v>173</v>
      </c>
    </row>
    <row r="782" spans="1:29" ht="25.5" customHeight="1" x14ac:dyDescent="0.35">
      <c r="A782" s="392"/>
      <c r="B782" s="393"/>
      <c r="C782" s="99" t="str">
        <f>IF(B782="","",IF(NOT(ISNUMBER(B782)),"DATA_PC invalida",IF(NOT(ISNUMBER(parametros!$C$2)),"Fora dos ciclos",IF(OR(B782&lt;parametros!$C$2,(YEAR(B782)-YEAR(parametros!$C$2))*12+MONTH(B782)-MONTH(parametros!$C$2)&gt;59),"Fora dos ciclos","C"&amp;INT(((YEAR(B782)-YEAR(parametros!$C$2))*12+MONTH(B782)-MONTH(parametros!$C$2))/12)))))</f>
        <v/>
      </c>
      <c r="D782" s="394"/>
      <c r="E782" s="78" t="str">
        <f>IF(C782="","",IFERROR(VLOOKUP(C782,parametros!$A$11:$E$15,5,0),""))</f>
        <v/>
      </c>
      <c r="F782" s="79" t="str">
        <f t="shared" si="62"/>
        <v/>
      </c>
      <c r="G782" s="395"/>
      <c r="H782" s="91">
        <f t="shared" si="63"/>
        <v>0</v>
      </c>
      <c r="I782" s="91" t="str">
        <f t="shared" si="64"/>
        <v/>
      </c>
      <c r="J782" s="91" t="str">
        <f t="shared" si="65"/>
        <v/>
      </c>
      <c r="K782" s="92" t="str">
        <f>IF(AND(A782="",B782="",D782="",G782=""),"",IF(AND(A782&lt;&gt;"",COUNTIF($A$2:$A$5001,A782)&gt;1),"NUMERO_PC duplicado",IF(B782="","DATA_PC vazia",IF(NOT(ISNUMBER(B782)),"DATA_PC invalida",IF(OR(C782="",C782="Fora dos ciclos"),"CICLO_PC nao identificado",IF(OR(D782="",D782=0),"VALOR_PC vazio ou zero",IF(AND(G782&lt;&gt;"Sim",G782&lt;&gt;"Nao",G782&lt;&gt;""),"PC_PAGO_A_CONTRATADA invalido",IF(AND(C782&lt;&gt;"C0",IFERROR(INDEX(parametros!$A$2:$A$6,MATCH(C782,parametros!$B$2:$B$6,0)),"")="Sim",IFERROR(INDEX(parametros!$H$2:$H$6,MATCH(C782,parametros!$B$2:$B$6,0)),"")=""),"INICIO_EFEITO ausente: PC "&amp;A782&amp;" - "&amp;C782,IF(L782="","EFEITO_PC nao calculado: PC "&amp;A782&amp;" - "&amp;C782,"OK")))))))))</f>
        <v/>
      </c>
      <c r="L782" s="92" t="str">
        <f>IF(AND(A782="",B782="",D782="",G782=""),"",IF(OR(B782="",NOT(ISNUMBER(B782)),C782="",C782="Fora dos ciclos"),"",IF(C782="C0","Nao",IF(IFERROR(INDEX(parametros!$A$2:$A$6,MATCH(C782,parametros!$B$2:$B$6,0)),"")&lt;&gt;"Sim","Nao",IF(IFERROR(INDEX(parametros!$H$2:$H$6,MATCH(C782,parametros!$B$2:$B$6,0)),"")="","",IF(B782&gt;=IFERROR(INDEX(parametros!$H$2:$H$6,MATCH(C782,parametros!$B$2:$B$6,0)),""),"Sim","Nao"))))))</f>
        <v/>
      </c>
      <c r="T782" s="156"/>
      <c r="U782" s="214" t="str">
        <f t="shared" si="66"/>
        <v/>
      </c>
      <c r="V782" s="212" t="s">
        <v>50</v>
      </c>
      <c r="W782" s="100" t="s">
        <v>168</v>
      </c>
      <c r="X782" s="100" t="s">
        <v>169</v>
      </c>
      <c r="Y782" s="101" t="s">
        <v>170</v>
      </c>
      <c r="Z782" s="101" t="s">
        <v>171</v>
      </c>
      <c r="AA782" s="101" t="s">
        <v>50</v>
      </c>
      <c r="AB782" s="101" t="s">
        <v>172</v>
      </c>
      <c r="AC782" s="102" t="s">
        <v>173</v>
      </c>
    </row>
    <row r="783" spans="1:29" ht="25.5" customHeight="1" x14ac:dyDescent="0.35">
      <c r="A783" s="392"/>
      <c r="B783" s="393"/>
      <c r="C783" s="99" t="str">
        <f>IF(B783="","",IF(NOT(ISNUMBER(B783)),"DATA_PC invalida",IF(NOT(ISNUMBER(parametros!$C$2)),"Fora dos ciclos",IF(OR(B783&lt;parametros!$C$2,(YEAR(B783)-YEAR(parametros!$C$2))*12+MONTH(B783)-MONTH(parametros!$C$2)&gt;59),"Fora dos ciclos","C"&amp;INT(((YEAR(B783)-YEAR(parametros!$C$2))*12+MONTH(B783)-MONTH(parametros!$C$2))/12)))))</f>
        <v/>
      </c>
      <c r="D783" s="394"/>
      <c r="E783" s="78" t="str">
        <f>IF(C783="","",IFERROR(VLOOKUP(C783,parametros!$A$11:$E$15,5,0),""))</f>
        <v/>
      </c>
      <c r="F783" s="79" t="str">
        <f t="shared" si="62"/>
        <v/>
      </c>
      <c r="G783" s="395"/>
      <c r="H783" s="91">
        <f t="shared" si="63"/>
        <v>0</v>
      </c>
      <c r="I783" s="91" t="str">
        <f t="shared" si="64"/>
        <v/>
      </c>
      <c r="J783" s="91" t="str">
        <f t="shared" si="65"/>
        <v/>
      </c>
      <c r="K783" s="92" t="str">
        <f>IF(AND(A783="",B783="",D783="",G783=""),"",IF(AND(A783&lt;&gt;"",COUNTIF($A$2:$A$5001,A783)&gt;1),"NUMERO_PC duplicado",IF(B783="","DATA_PC vazia",IF(NOT(ISNUMBER(B783)),"DATA_PC invalida",IF(OR(C783="",C783="Fora dos ciclos"),"CICLO_PC nao identificado",IF(OR(D783="",D783=0),"VALOR_PC vazio ou zero",IF(AND(G783&lt;&gt;"Sim",G783&lt;&gt;"Nao",G783&lt;&gt;""),"PC_PAGO_A_CONTRATADA invalido",IF(AND(C783&lt;&gt;"C0",IFERROR(INDEX(parametros!$A$2:$A$6,MATCH(C783,parametros!$B$2:$B$6,0)),"")="Sim",IFERROR(INDEX(parametros!$H$2:$H$6,MATCH(C783,parametros!$B$2:$B$6,0)),"")=""),"INICIO_EFEITO ausente: PC "&amp;A783&amp;" - "&amp;C783,IF(L783="","EFEITO_PC nao calculado: PC "&amp;A783&amp;" - "&amp;C783,"OK")))))))))</f>
        <v/>
      </c>
      <c r="L783" s="92" t="str">
        <f>IF(AND(A783="",B783="",D783="",G783=""),"",IF(OR(B783="",NOT(ISNUMBER(B783)),C783="",C783="Fora dos ciclos"),"",IF(C783="C0","Nao",IF(IFERROR(INDEX(parametros!$A$2:$A$6,MATCH(C783,parametros!$B$2:$B$6,0)),"")&lt;&gt;"Sim","Nao",IF(IFERROR(INDEX(parametros!$H$2:$H$6,MATCH(C783,parametros!$B$2:$B$6,0)),"")="","",IF(B783&gt;=IFERROR(INDEX(parametros!$H$2:$H$6,MATCH(C783,parametros!$B$2:$B$6,0)),""),"Sim","Nao"))))))</f>
        <v/>
      </c>
      <c r="T783" s="156"/>
      <c r="U783" s="214" t="str">
        <f t="shared" si="66"/>
        <v/>
      </c>
      <c r="V783" s="212" t="s">
        <v>50</v>
      </c>
      <c r="W783" s="100" t="s">
        <v>168</v>
      </c>
      <c r="X783" s="100" t="s">
        <v>169</v>
      </c>
      <c r="Y783" s="101" t="s">
        <v>170</v>
      </c>
      <c r="Z783" s="101" t="s">
        <v>171</v>
      </c>
      <c r="AA783" s="101" t="s">
        <v>50</v>
      </c>
      <c r="AB783" s="101" t="s">
        <v>172</v>
      </c>
      <c r="AC783" s="102" t="s">
        <v>173</v>
      </c>
    </row>
    <row r="784" spans="1:29" ht="25.5" customHeight="1" x14ac:dyDescent="0.35">
      <c r="A784" s="392"/>
      <c r="B784" s="393"/>
      <c r="C784" s="99" t="str">
        <f>IF(B784="","",IF(NOT(ISNUMBER(B784)),"DATA_PC invalida",IF(NOT(ISNUMBER(parametros!$C$2)),"Fora dos ciclos",IF(OR(B784&lt;parametros!$C$2,(YEAR(B784)-YEAR(parametros!$C$2))*12+MONTH(B784)-MONTH(parametros!$C$2)&gt;59),"Fora dos ciclos","C"&amp;INT(((YEAR(B784)-YEAR(parametros!$C$2))*12+MONTH(B784)-MONTH(parametros!$C$2))/12)))))</f>
        <v/>
      </c>
      <c r="D784" s="394"/>
      <c r="E784" s="78" t="str">
        <f>IF(C784="","",IFERROR(VLOOKUP(C784,parametros!$A$11:$E$15,5,0),""))</f>
        <v/>
      </c>
      <c r="F784" s="79" t="str">
        <f t="shared" si="62"/>
        <v/>
      </c>
      <c r="G784" s="395"/>
      <c r="H784" s="91">
        <f t="shared" si="63"/>
        <v>0</v>
      </c>
      <c r="I784" s="91" t="str">
        <f t="shared" si="64"/>
        <v/>
      </c>
      <c r="J784" s="91" t="str">
        <f t="shared" si="65"/>
        <v/>
      </c>
      <c r="K784" s="92" t="str">
        <f>IF(AND(A784="",B784="",D784="",G784=""),"",IF(AND(A784&lt;&gt;"",COUNTIF($A$2:$A$5001,A784)&gt;1),"NUMERO_PC duplicado",IF(B784="","DATA_PC vazia",IF(NOT(ISNUMBER(B784)),"DATA_PC invalida",IF(OR(C784="",C784="Fora dos ciclos"),"CICLO_PC nao identificado",IF(OR(D784="",D784=0),"VALOR_PC vazio ou zero",IF(AND(G784&lt;&gt;"Sim",G784&lt;&gt;"Nao",G784&lt;&gt;""),"PC_PAGO_A_CONTRATADA invalido",IF(AND(C784&lt;&gt;"C0",IFERROR(INDEX(parametros!$A$2:$A$6,MATCH(C784,parametros!$B$2:$B$6,0)),"")="Sim",IFERROR(INDEX(parametros!$H$2:$H$6,MATCH(C784,parametros!$B$2:$B$6,0)),"")=""),"INICIO_EFEITO ausente: PC "&amp;A784&amp;" - "&amp;C784,IF(L784="","EFEITO_PC nao calculado: PC "&amp;A784&amp;" - "&amp;C784,"OK")))))))))</f>
        <v/>
      </c>
      <c r="L784" s="92" t="str">
        <f>IF(AND(A784="",B784="",D784="",G784=""),"",IF(OR(B784="",NOT(ISNUMBER(B784)),C784="",C784="Fora dos ciclos"),"",IF(C784="C0","Nao",IF(IFERROR(INDEX(parametros!$A$2:$A$6,MATCH(C784,parametros!$B$2:$B$6,0)),"")&lt;&gt;"Sim","Nao",IF(IFERROR(INDEX(parametros!$H$2:$H$6,MATCH(C784,parametros!$B$2:$B$6,0)),"")="","",IF(B784&gt;=IFERROR(INDEX(parametros!$H$2:$H$6,MATCH(C784,parametros!$B$2:$B$6,0)),""),"Sim","Nao"))))))</f>
        <v/>
      </c>
      <c r="T784" s="156"/>
      <c r="U784" s="214" t="str">
        <f t="shared" si="66"/>
        <v/>
      </c>
      <c r="V784" s="212" t="s">
        <v>50</v>
      </c>
      <c r="W784" s="100" t="s">
        <v>168</v>
      </c>
      <c r="X784" s="100" t="s">
        <v>169</v>
      </c>
      <c r="Y784" s="101" t="s">
        <v>170</v>
      </c>
      <c r="Z784" s="101" t="s">
        <v>171</v>
      </c>
      <c r="AA784" s="101" t="s">
        <v>50</v>
      </c>
      <c r="AB784" s="101" t="s">
        <v>172</v>
      </c>
      <c r="AC784" s="102" t="s">
        <v>173</v>
      </c>
    </row>
    <row r="785" spans="1:29" ht="25.5" customHeight="1" x14ac:dyDescent="0.35">
      <c r="A785" s="392"/>
      <c r="B785" s="393"/>
      <c r="C785" s="99" t="str">
        <f>IF(B785="","",IF(NOT(ISNUMBER(B785)),"DATA_PC invalida",IF(NOT(ISNUMBER(parametros!$C$2)),"Fora dos ciclos",IF(OR(B785&lt;parametros!$C$2,(YEAR(B785)-YEAR(parametros!$C$2))*12+MONTH(B785)-MONTH(parametros!$C$2)&gt;59),"Fora dos ciclos","C"&amp;INT(((YEAR(B785)-YEAR(parametros!$C$2))*12+MONTH(B785)-MONTH(parametros!$C$2))/12)))))</f>
        <v/>
      </c>
      <c r="D785" s="394"/>
      <c r="E785" s="78" t="str">
        <f>IF(C785="","",IFERROR(VLOOKUP(C785,parametros!$A$11:$E$15,5,0),""))</f>
        <v/>
      </c>
      <c r="F785" s="79" t="str">
        <f t="shared" si="62"/>
        <v/>
      </c>
      <c r="G785" s="395"/>
      <c r="H785" s="91">
        <f t="shared" si="63"/>
        <v>0</v>
      </c>
      <c r="I785" s="91" t="str">
        <f t="shared" si="64"/>
        <v/>
      </c>
      <c r="J785" s="91" t="str">
        <f t="shared" si="65"/>
        <v/>
      </c>
      <c r="K785" s="92" t="str">
        <f>IF(AND(A785="",B785="",D785="",G785=""),"",IF(AND(A785&lt;&gt;"",COUNTIF($A$2:$A$5001,A785)&gt;1),"NUMERO_PC duplicado",IF(B785="","DATA_PC vazia",IF(NOT(ISNUMBER(B785)),"DATA_PC invalida",IF(OR(C785="",C785="Fora dos ciclos"),"CICLO_PC nao identificado",IF(OR(D785="",D785=0),"VALOR_PC vazio ou zero",IF(AND(G785&lt;&gt;"Sim",G785&lt;&gt;"Nao",G785&lt;&gt;""),"PC_PAGO_A_CONTRATADA invalido",IF(AND(C785&lt;&gt;"C0",IFERROR(INDEX(parametros!$A$2:$A$6,MATCH(C785,parametros!$B$2:$B$6,0)),"")="Sim",IFERROR(INDEX(parametros!$H$2:$H$6,MATCH(C785,parametros!$B$2:$B$6,0)),"")=""),"INICIO_EFEITO ausente: PC "&amp;A785&amp;" - "&amp;C785,IF(L785="","EFEITO_PC nao calculado: PC "&amp;A785&amp;" - "&amp;C785,"OK")))))))))</f>
        <v/>
      </c>
      <c r="L785" s="92" t="str">
        <f>IF(AND(A785="",B785="",D785="",G785=""),"",IF(OR(B785="",NOT(ISNUMBER(B785)),C785="",C785="Fora dos ciclos"),"",IF(C785="C0","Nao",IF(IFERROR(INDEX(parametros!$A$2:$A$6,MATCH(C785,parametros!$B$2:$B$6,0)),"")&lt;&gt;"Sim","Nao",IF(IFERROR(INDEX(parametros!$H$2:$H$6,MATCH(C785,parametros!$B$2:$B$6,0)),"")="","",IF(B785&gt;=IFERROR(INDEX(parametros!$H$2:$H$6,MATCH(C785,parametros!$B$2:$B$6,0)),""),"Sim","Nao"))))))</f>
        <v/>
      </c>
      <c r="T785" s="156"/>
      <c r="U785" s="214" t="str">
        <f t="shared" si="66"/>
        <v/>
      </c>
      <c r="V785" s="212" t="s">
        <v>50</v>
      </c>
      <c r="W785" s="100" t="s">
        <v>168</v>
      </c>
      <c r="X785" s="100" t="s">
        <v>169</v>
      </c>
      <c r="Y785" s="101" t="s">
        <v>170</v>
      </c>
      <c r="Z785" s="101" t="s">
        <v>171</v>
      </c>
      <c r="AA785" s="101" t="s">
        <v>50</v>
      </c>
      <c r="AB785" s="101" t="s">
        <v>172</v>
      </c>
      <c r="AC785" s="102" t="s">
        <v>173</v>
      </c>
    </row>
    <row r="786" spans="1:29" ht="25.5" customHeight="1" x14ac:dyDescent="0.35">
      <c r="A786" s="392"/>
      <c r="B786" s="393"/>
      <c r="C786" s="99" t="str">
        <f>IF(B786="","",IF(NOT(ISNUMBER(B786)),"DATA_PC invalida",IF(NOT(ISNUMBER(parametros!$C$2)),"Fora dos ciclos",IF(OR(B786&lt;parametros!$C$2,(YEAR(B786)-YEAR(parametros!$C$2))*12+MONTH(B786)-MONTH(parametros!$C$2)&gt;59),"Fora dos ciclos","C"&amp;INT(((YEAR(B786)-YEAR(parametros!$C$2))*12+MONTH(B786)-MONTH(parametros!$C$2))/12)))))</f>
        <v/>
      </c>
      <c r="D786" s="394"/>
      <c r="E786" s="78" t="str">
        <f>IF(C786="","",IFERROR(VLOOKUP(C786,parametros!$A$11:$E$15,5,0),""))</f>
        <v/>
      </c>
      <c r="F786" s="79" t="str">
        <f t="shared" si="62"/>
        <v/>
      </c>
      <c r="G786" s="395"/>
      <c r="H786" s="91">
        <f t="shared" si="63"/>
        <v>0</v>
      </c>
      <c r="I786" s="91" t="str">
        <f t="shared" si="64"/>
        <v/>
      </c>
      <c r="J786" s="91" t="str">
        <f t="shared" si="65"/>
        <v/>
      </c>
      <c r="K786" s="92" t="str">
        <f>IF(AND(A786="",B786="",D786="",G786=""),"",IF(AND(A786&lt;&gt;"",COUNTIF($A$2:$A$5001,A786)&gt;1),"NUMERO_PC duplicado",IF(B786="","DATA_PC vazia",IF(NOT(ISNUMBER(B786)),"DATA_PC invalida",IF(OR(C786="",C786="Fora dos ciclos"),"CICLO_PC nao identificado",IF(OR(D786="",D786=0),"VALOR_PC vazio ou zero",IF(AND(G786&lt;&gt;"Sim",G786&lt;&gt;"Nao",G786&lt;&gt;""),"PC_PAGO_A_CONTRATADA invalido",IF(AND(C786&lt;&gt;"C0",IFERROR(INDEX(parametros!$A$2:$A$6,MATCH(C786,parametros!$B$2:$B$6,0)),"")="Sim",IFERROR(INDEX(parametros!$H$2:$H$6,MATCH(C786,parametros!$B$2:$B$6,0)),"")=""),"INICIO_EFEITO ausente: PC "&amp;A786&amp;" - "&amp;C786,IF(L786="","EFEITO_PC nao calculado: PC "&amp;A786&amp;" - "&amp;C786,"OK")))))))))</f>
        <v/>
      </c>
      <c r="L786" s="92" t="str">
        <f>IF(AND(A786="",B786="",D786="",G786=""),"",IF(OR(B786="",NOT(ISNUMBER(B786)),C786="",C786="Fora dos ciclos"),"",IF(C786="C0","Nao",IF(IFERROR(INDEX(parametros!$A$2:$A$6,MATCH(C786,parametros!$B$2:$B$6,0)),"")&lt;&gt;"Sim","Nao",IF(IFERROR(INDEX(parametros!$H$2:$H$6,MATCH(C786,parametros!$B$2:$B$6,0)),"")="","",IF(B786&gt;=IFERROR(INDEX(parametros!$H$2:$H$6,MATCH(C786,parametros!$B$2:$B$6,0)),""),"Sim","Nao"))))))</f>
        <v/>
      </c>
      <c r="T786" s="156"/>
      <c r="U786" s="214" t="str">
        <f t="shared" si="66"/>
        <v/>
      </c>
      <c r="V786" s="212" t="s">
        <v>50</v>
      </c>
      <c r="W786" s="100" t="s">
        <v>168</v>
      </c>
      <c r="X786" s="100" t="s">
        <v>169</v>
      </c>
      <c r="Y786" s="101" t="s">
        <v>170</v>
      </c>
      <c r="Z786" s="101" t="s">
        <v>171</v>
      </c>
      <c r="AA786" s="101" t="s">
        <v>50</v>
      </c>
      <c r="AB786" s="101" t="s">
        <v>172</v>
      </c>
      <c r="AC786" s="102" t="s">
        <v>173</v>
      </c>
    </row>
    <row r="787" spans="1:29" ht="25.5" customHeight="1" x14ac:dyDescent="0.35">
      <c r="A787" s="392"/>
      <c r="B787" s="393"/>
      <c r="C787" s="99" t="str">
        <f>IF(B787="","",IF(NOT(ISNUMBER(B787)),"DATA_PC invalida",IF(NOT(ISNUMBER(parametros!$C$2)),"Fora dos ciclos",IF(OR(B787&lt;parametros!$C$2,(YEAR(B787)-YEAR(parametros!$C$2))*12+MONTH(B787)-MONTH(parametros!$C$2)&gt;59),"Fora dos ciclos","C"&amp;INT(((YEAR(B787)-YEAR(parametros!$C$2))*12+MONTH(B787)-MONTH(parametros!$C$2))/12)))))</f>
        <v/>
      </c>
      <c r="D787" s="394"/>
      <c r="E787" s="78" t="str">
        <f>IF(C787="","",IFERROR(VLOOKUP(C787,parametros!$A$11:$E$15,5,0),""))</f>
        <v/>
      </c>
      <c r="F787" s="79" t="str">
        <f t="shared" si="62"/>
        <v/>
      </c>
      <c r="G787" s="395"/>
      <c r="H787" s="91">
        <f t="shared" si="63"/>
        <v>0</v>
      </c>
      <c r="I787" s="91" t="str">
        <f t="shared" si="64"/>
        <v/>
      </c>
      <c r="J787" s="91" t="str">
        <f t="shared" si="65"/>
        <v/>
      </c>
      <c r="K787" s="92" t="str">
        <f>IF(AND(A787="",B787="",D787="",G787=""),"",IF(AND(A787&lt;&gt;"",COUNTIF($A$2:$A$5001,A787)&gt;1),"NUMERO_PC duplicado",IF(B787="","DATA_PC vazia",IF(NOT(ISNUMBER(B787)),"DATA_PC invalida",IF(OR(C787="",C787="Fora dos ciclos"),"CICLO_PC nao identificado",IF(OR(D787="",D787=0),"VALOR_PC vazio ou zero",IF(AND(G787&lt;&gt;"Sim",G787&lt;&gt;"Nao",G787&lt;&gt;""),"PC_PAGO_A_CONTRATADA invalido",IF(AND(C787&lt;&gt;"C0",IFERROR(INDEX(parametros!$A$2:$A$6,MATCH(C787,parametros!$B$2:$B$6,0)),"")="Sim",IFERROR(INDEX(parametros!$H$2:$H$6,MATCH(C787,parametros!$B$2:$B$6,0)),"")=""),"INICIO_EFEITO ausente: PC "&amp;A787&amp;" - "&amp;C787,IF(L787="","EFEITO_PC nao calculado: PC "&amp;A787&amp;" - "&amp;C787,"OK")))))))))</f>
        <v/>
      </c>
      <c r="L787" s="92" t="str">
        <f>IF(AND(A787="",B787="",D787="",G787=""),"",IF(OR(B787="",NOT(ISNUMBER(B787)),C787="",C787="Fora dos ciclos"),"",IF(C787="C0","Nao",IF(IFERROR(INDEX(parametros!$A$2:$A$6,MATCH(C787,parametros!$B$2:$B$6,0)),"")&lt;&gt;"Sim","Nao",IF(IFERROR(INDEX(parametros!$H$2:$H$6,MATCH(C787,parametros!$B$2:$B$6,0)),"")="","",IF(B787&gt;=IFERROR(INDEX(parametros!$H$2:$H$6,MATCH(C787,parametros!$B$2:$B$6,0)),""),"Sim","Nao"))))))</f>
        <v/>
      </c>
      <c r="T787" s="156"/>
      <c r="U787" s="214" t="str">
        <f t="shared" si="66"/>
        <v/>
      </c>
      <c r="V787" s="212" t="s">
        <v>50</v>
      </c>
      <c r="W787" s="100" t="s">
        <v>168</v>
      </c>
      <c r="X787" s="100" t="s">
        <v>169</v>
      </c>
      <c r="Y787" s="101" t="s">
        <v>170</v>
      </c>
      <c r="Z787" s="101" t="s">
        <v>171</v>
      </c>
      <c r="AA787" s="101" t="s">
        <v>50</v>
      </c>
      <c r="AB787" s="101" t="s">
        <v>172</v>
      </c>
      <c r="AC787" s="102" t="s">
        <v>173</v>
      </c>
    </row>
    <row r="788" spans="1:29" ht="25.5" customHeight="1" x14ac:dyDescent="0.35">
      <c r="A788" s="392"/>
      <c r="B788" s="393"/>
      <c r="C788" s="99" t="str">
        <f>IF(B788="","",IF(NOT(ISNUMBER(B788)),"DATA_PC invalida",IF(NOT(ISNUMBER(parametros!$C$2)),"Fora dos ciclos",IF(OR(B788&lt;parametros!$C$2,(YEAR(B788)-YEAR(parametros!$C$2))*12+MONTH(B788)-MONTH(parametros!$C$2)&gt;59),"Fora dos ciclos","C"&amp;INT(((YEAR(B788)-YEAR(parametros!$C$2))*12+MONTH(B788)-MONTH(parametros!$C$2))/12)))))</f>
        <v/>
      </c>
      <c r="D788" s="394"/>
      <c r="E788" s="78" t="str">
        <f>IF(C788="","",IFERROR(VLOOKUP(C788,parametros!$A$11:$E$15,5,0),""))</f>
        <v/>
      </c>
      <c r="F788" s="79" t="str">
        <f t="shared" si="62"/>
        <v/>
      </c>
      <c r="G788" s="395"/>
      <c r="H788" s="91">
        <f t="shared" si="63"/>
        <v>0</v>
      </c>
      <c r="I788" s="91" t="str">
        <f t="shared" si="64"/>
        <v/>
      </c>
      <c r="J788" s="91" t="str">
        <f t="shared" si="65"/>
        <v/>
      </c>
      <c r="K788" s="92" t="str">
        <f>IF(AND(A788="",B788="",D788="",G788=""),"",IF(AND(A788&lt;&gt;"",COUNTIF($A$2:$A$5001,A788)&gt;1),"NUMERO_PC duplicado",IF(B788="","DATA_PC vazia",IF(NOT(ISNUMBER(B788)),"DATA_PC invalida",IF(OR(C788="",C788="Fora dos ciclos"),"CICLO_PC nao identificado",IF(OR(D788="",D788=0),"VALOR_PC vazio ou zero",IF(AND(G788&lt;&gt;"Sim",G788&lt;&gt;"Nao",G788&lt;&gt;""),"PC_PAGO_A_CONTRATADA invalido",IF(AND(C788&lt;&gt;"C0",IFERROR(INDEX(parametros!$A$2:$A$6,MATCH(C788,parametros!$B$2:$B$6,0)),"")="Sim",IFERROR(INDEX(parametros!$H$2:$H$6,MATCH(C788,parametros!$B$2:$B$6,0)),"")=""),"INICIO_EFEITO ausente: PC "&amp;A788&amp;" - "&amp;C788,IF(L788="","EFEITO_PC nao calculado: PC "&amp;A788&amp;" - "&amp;C788,"OK")))))))))</f>
        <v/>
      </c>
      <c r="L788" s="92" t="str">
        <f>IF(AND(A788="",B788="",D788="",G788=""),"",IF(OR(B788="",NOT(ISNUMBER(B788)),C788="",C788="Fora dos ciclos"),"",IF(C788="C0","Nao",IF(IFERROR(INDEX(parametros!$A$2:$A$6,MATCH(C788,parametros!$B$2:$B$6,0)),"")&lt;&gt;"Sim","Nao",IF(IFERROR(INDEX(parametros!$H$2:$H$6,MATCH(C788,parametros!$B$2:$B$6,0)),"")="","",IF(B788&gt;=IFERROR(INDEX(parametros!$H$2:$H$6,MATCH(C788,parametros!$B$2:$B$6,0)),""),"Sim","Nao"))))))</f>
        <v/>
      </c>
      <c r="T788" s="156"/>
      <c r="U788" s="214" t="str">
        <f t="shared" si="66"/>
        <v/>
      </c>
      <c r="V788" s="212" t="s">
        <v>50</v>
      </c>
      <c r="W788" s="100" t="s">
        <v>168</v>
      </c>
      <c r="X788" s="100" t="s">
        <v>169</v>
      </c>
      <c r="Y788" s="101" t="s">
        <v>170</v>
      </c>
      <c r="Z788" s="101" t="s">
        <v>171</v>
      </c>
      <c r="AA788" s="101" t="s">
        <v>50</v>
      </c>
      <c r="AB788" s="101" t="s">
        <v>172</v>
      </c>
      <c r="AC788" s="102" t="s">
        <v>173</v>
      </c>
    </row>
    <row r="789" spans="1:29" ht="25.5" customHeight="1" x14ac:dyDescent="0.35">
      <c r="A789" s="392"/>
      <c r="B789" s="393"/>
      <c r="C789" s="99" t="str">
        <f>IF(B789="","",IF(NOT(ISNUMBER(B789)),"DATA_PC invalida",IF(NOT(ISNUMBER(parametros!$C$2)),"Fora dos ciclos",IF(OR(B789&lt;parametros!$C$2,(YEAR(B789)-YEAR(parametros!$C$2))*12+MONTH(B789)-MONTH(parametros!$C$2)&gt;59),"Fora dos ciclos","C"&amp;INT(((YEAR(B789)-YEAR(parametros!$C$2))*12+MONTH(B789)-MONTH(parametros!$C$2))/12)))))</f>
        <v/>
      </c>
      <c r="D789" s="394"/>
      <c r="E789" s="78" t="str">
        <f>IF(C789="","",IFERROR(VLOOKUP(C789,parametros!$A$11:$E$15,5,0),""))</f>
        <v/>
      </c>
      <c r="F789" s="79" t="str">
        <f t="shared" si="62"/>
        <v/>
      </c>
      <c r="G789" s="395"/>
      <c r="H789" s="91">
        <f t="shared" si="63"/>
        <v>0</v>
      </c>
      <c r="I789" s="91" t="str">
        <f t="shared" si="64"/>
        <v/>
      </c>
      <c r="J789" s="91" t="str">
        <f t="shared" si="65"/>
        <v/>
      </c>
      <c r="K789" s="92" t="str">
        <f>IF(AND(A789="",B789="",D789="",G789=""),"",IF(AND(A789&lt;&gt;"",COUNTIF($A$2:$A$5001,A789)&gt;1),"NUMERO_PC duplicado",IF(B789="","DATA_PC vazia",IF(NOT(ISNUMBER(B789)),"DATA_PC invalida",IF(OR(C789="",C789="Fora dos ciclos"),"CICLO_PC nao identificado",IF(OR(D789="",D789=0),"VALOR_PC vazio ou zero",IF(AND(G789&lt;&gt;"Sim",G789&lt;&gt;"Nao",G789&lt;&gt;""),"PC_PAGO_A_CONTRATADA invalido",IF(AND(C789&lt;&gt;"C0",IFERROR(INDEX(parametros!$A$2:$A$6,MATCH(C789,parametros!$B$2:$B$6,0)),"")="Sim",IFERROR(INDEX(parametros!$H$2:$H$6,MATCH(C789,parametros!$B$2:$B$6,0)),"")=""),"INICIO_EFEITO ausente: PC "&amp;A789&amp;" - "&amp;C789,IF(L789="","EFEITO_PC nao calculado: PC "&amp;A789&amp;" - "&amp;C789,"OK")))))))))</f>
        <v/>
      </c>
      <c r="L789" s="92" t="str">
        <f>IF(AND(A789="",B789="",D789="",G789=""),"",IF(OR(B789="",NOT(ISNUMBER(B789)),C789="",C789="Fora dos ciclos"),"",IF(C789="C0","Nao",IF(IFERROR(INDEX(parametros!$A$2:$A$6,MATCH(C789,parametros!$B$2:$B$6,0)),"")&lt;&gt;"Sim","Nao",IF(IFERROR(INDEX(parametros!$H$2:$H$6,MATCH(C789,parametros!$B$2:$B$6,0)),"")="","",IF(B789&gt;=IFERROR(INDEX(parametros!$H$2:$H$6,MATCH(C789,parametros!$B$2:$B$6,0)),""),"Sim","Nao"))))))</f>
        <v/>
      </c>
      <c r="T789" s="156"/>
      <c r="U789" s="214" t="str">
        <f t="shared" si="66"/>
        <v/>
      </c>
      <c r="V789" s="212" t="s">
        <v>50</v>
      </c>
      <c r="W789" s="100" t="s">
        <v>168</v>
      </c>
      <c r="X789" s="100" t="s">
        <v>169</v>
      </c>
      <c r="Y789" s="101" t="s">
        <v>170</v>
      </c>
      <c r="Z789" s="101" t="s">
        <v>171</v>
      </c>
      <c r="AA789" s="101" t="s">
        <v>50</v>
      </c>
      <c r="AB789" s="101" t="s">
        <v>172</v>
      </c>
      <c r="AC789" s="102" t="s">
        <v>173</v>
      </c>
    </row>
    <row r="790" spans="1:29" ht="25.5" customHeight="1" x14ac:dyDescent="0.35">
      <c r="A790" s="392"/>
      <c r="B790" s="393"/>
      <c r="C790" s="99" t="str">
        <f>IF(B790="","",IF(NOT(ISNUMBER(B790)),"DATA_PC invalida",IF(NOT(ISNUMBER(parametros!$C$2)),"Fora dos ciclos",IF(OR(B790&lt;parametros!$C$2,(YEAR(B790)-YEAR(parametros!$C$2))*12+MONTH(B790)-MONTH(parametros!$C$2)&gt;59),"Fora dos ciclos","C"&amp;INT(((YEAR(B790)-YEAR(parametros!$C$2))*12+MONTH(B790)-MONTH(parametros!$C$2))/12)))))</f>
        <v/>
      </c>
      <c r="D790" s="394"/>
      <c r="E790" s="78" t="str">
        <f>IF(C790="","",IFERROR(VLOOKUP(C790,parametros!$A$11:$E$15,5,0),""))</f>
        <v/>
      </c>
      <c r="F790" s="79" t="str">
        <f t="shared" si="62"/>
        <v/>
      </c>
      <c r="G790" s="395"/>
      <c r="H790" s="91">
        <f t="shared" si="63"/>
        <v>0</v>
      </c>
      <c r="I790" s="91" t="str">
        <f t="shared" si="64"/>
        <v/>
      </c>
      <c r="J790" s="91" t="str">
        <f t="shared" si="65"/>
        <v/>
      </c>
      <c r="K790" s="92" t="str">
        <f>IF(AND(A790="",B790="",D790="",G790=""),"",IF(AND(A790&lt;&gt;"",COUNTIF($A$2:$A$5001,A790)&gt;1),"NUMERO_PC duplicado",IF(B790="","DATA_PC vazia",IF(NOT(ISNUMBER(B790)),"DATA_PC invalida",IF(OR(C790="",C790="Fora dos ciclos"),"CICLO_PC nao identificado",IF(OR(D790="",D790=0),"VALOR_PC vazio ou zero",IF(AND(G790&lt;&gt;"Sim",G790&lt;&gt;"Nao",G790&lt;&gt;""),"PC_PAGO_A_CONTRATADA invalido",IF(AND(C790&lt;&gt;"C0",IFERROR(INDEX(parametros!$A$2:$A$6,MATCH(C790,parametros!$B$2:$B$6,0)),"")="Sim",IFERROR(INDEX(parametros!$H$2:$H$6,MATCH(C790,parametros!$B$2:$B$6,0)),"")=""),"INICIO_EFEITO ausente: PC "&amp;A790&amp;" - "&amp;C790,IF(L790="","EFEITO_PC nao calculado: PC "&amp;A790&amp;" - "&amp;C790,"OK")))))))))</f>
        <v/>
      </c>
      <c r="L790" s="92" t="str">
        <f>IF(AND(A790="",B790="",D790="",G790=""),"",IF(OR(B790="",NOT(ISNUMBER(B790)),C790="",C790="Fora dos ciclos"),"",IF(C790="C0","Nao",IF(IFERROR(INDEX(parametros!$A$2:$A$6,MATCH(C790,parametros!$B$2:$B$6,0)),"")&lt;&gt;"Sim","Nao",IF(IFERROR(INDEX(parametros!$H$2:$H$6,MATCH(C790,parametros!$B$2:$B$6,0)),"")="","",IF(B790&gt;=IFERROR(INDEX(parametros!$H$2:$H$6,MATCH(C790,parametros!$B$2:$B$6,0)),""),"Sim","Nao"))))))</f>
        <v/>
      </c>
      <c r="T790" s="156"/>
      <c r="U790" s="214" t="str">
        <f t="shared" si="66"/>
        <v/>
      </c>
      <c r="V790" s="212" t="s">
        <v>50</v>
      </c>
      <c r="W790" s="100" t="s">
        <v>168</v>
      </c>
      <c r="X790" s="100" t="s">
        <v>169</v>
      </c>
      <c r="Y790" s="101" t="s">
        <v>170</v>
      </c>
      <c r="Z790" s="101" t="s">
        <v>171</v>
      </c>
      <c r="AA790" s="101" t="s">
        <v>50</v>
      </c>
      <c r="AB790" s="101" t="s">
        <v>172</v>
      </c>
      <c r="AC790" s="102" t="s">
        <v>173</v>
      </c>
    </row>
    <row r="791" spans="1:29" ht="25.5" customHeight="1" x14ac:dyDescent="0.35">
      <c r="A791" s="392"/>
      <c r="B791" s="393"/>
      <c r="C791" s="99" t="str">
        <f>IF(B791="","",IF(NOT(ISNUMBER(B791)),"DATA_PC invalida",IF(NOT(ISNUMBER(parametros!$C$2)),"Fora dos ciclos",IF(OR(B791&lt;parametros!$C$2,(YEAR(B791)-YEAR(parametros!$C$2))*12+MONTH(B791)-MONTH(parametros!$C$2)&gt;59),"Fora dos ciclos","C"&amp;INT(((YEAR(B791)-YEAR(parametros!$C$2))*12+MONTH(B791)-MONTH(parametros!$C$2))/12)))))</f>
        <v/>
      </c>
      <c r="D791" s="394"/>
      <c r="E791" s="78" t="str">
        <f>IF(C791="","",IFERROR(VLOOKUP(C791,parametros!$A$11:$E$15,5,0),""))</f>
        <v/>
      </c>
      <c r="F791" s="79" t="str">
        <f t="shared" si="62"/>
        <v/>
      </c>
      <c r="G791" s="395"/>
      <c r="H791" s="91">
        <f t="shared" si="63"/>
        <v>0</v>
      </c>
      <c r="I791" s="91" t="str">
        <f t="shared" si="64"/>
        <v/>
      </c>
      <c r="J791" s="91" t="str">
        <f t="shared" si="65"/>
        <v/>
      </c>
      <c r="K791" s="92" t="str">
        <f>IF(AND(A791="",B791="",D791="",G791=""),"",IF(AND(A791&lt;&gt;"",COUNTIF($A$2:$A$5001,A791)&gt;1),"NUMERO_PC duplicado",IF(B791="","DATA_PC vazia",IF(NOT(ISNUMBER(B791)),"DATA_PC invalida",IF(OR(C791="",C791="Fora dos ciclos"),"CICLO_PC nao identificado",IF(OR(D791="",D791=0),"VALOR_PC vazio ou zero",IF(AND(G791&lt;&gt;"Sim",G791&lt;&gt;"Nao",G791&lt;&gt;""),"PC_PAGO_A_CONTRATADA invalido",IF(AND(C791&lt;&gt;"C0",IFERROR(INDEX(parametros!$A$2:$A$6,MATCH(C791,parametros!$B$2:$B$6,0)),"")="Sim",IFERROR(INDEX(parametros!$H$2:$H$6,MATCH(C791,parametros!$B$2:$B$6,0)),"")=""),"INICIO_EFEITO ausente: PC "&amp;A791&amp;" - "&amp;C791,IF(L791="","EFEITO_PC nao calculado: PC "&amp;A791&amp;" - "&amp;C791,"OK")))))))))</f>
        <v/>
      </c>
      <c r="L791" s="92" t="str">
        <f>IF(AND(A791="",B791="",D791="",G791=""),"",IF(OR(B791="",NOT(ISNUMBER(B791)),C791="",C791="Fora dos ciclos"),"",IF(C791="C0","Nao",IF(IFERROR(INDEX(parametros!$A$2:$A$6,MATCH(C791,parametros!$B$2:$B$6,0)),"")&lt;&gt;"Sim","Nao",IF(IFERROR(INDEX(parametros!$H$2:$H$6,MATCH(C791,parametros!$B$2:$B$6,0)),"")="","",IF(B791&gt;=IFERROR(INDEX(parametros!$H$2:$H$6,MATCH(C791,parametros!$B$2:$B$6,0)),""),"Sim","Nao"))))))</f>
        <v/>
      </c>
      <c r="T791" s="156"/>
      <c r="U791" s="214" t="str">
        <f t="shared" si="66"/>
        <v/>
      </c>
      <c r="V791" s="212" t="s">
        <v>50</v>
      </c>
      <c r="W791" s="100" t="s">
        <v>168</v>
      </c>
      <c r="X791" s="100" t="s">
        <v>169</v>
      </c>
      <c r="Y791" s="101" t="s">
        <v>170</v>
      </c>
      <c r="Z791" s="101" t="s">
        <v>171</v>
      </c>
      <c r="AA791" s="101" t="s">
        <v>50</v>
      </c>
      <c r="AB791" s="101" t="s">
        <v>172</v>
      </c>
      <c r="AC791" s="102" t="s">
        <v>173</v>
      </c>
    </row>
    <row r="792" spans="1:29" ht="25.5" customHeight="1" x14ac:dyDescent="0.35">
      <c r="A792" s="392"/>
      <c r="B792" s="393"/>
      <c r="C792" s="99" t="str">
        <f>IF(B792="","",IF(NOT(ISNUMBER(B792)),"DATA_PC invalida",IF(NOT(ISNUMBER(parametros!$C$2)),"Fora dos ciclos",IF(OR(B792&lt;parametros!$C$2,(YEAR(B792)-YEAR(parametros!$C$2))*12+MONTH(B792)-MONTH(parametros!$C$2)&gt;59),"Fora dos ciclos","C"&amp;INT(((YEAR(B792)-YEAR(parametros!$C$2))*12+MONTH(B792)-MONTH(parametros!$C$2))/12)))))</f>
        <v/>
      </c>
      <c r="D792" s="394"/>
      <c r="E792" s="78" t="str">
        <f>IF(C792="","",IFERROR(VLOOKUP(C792,parametros!$A$11:$E$15,5,0),""))</f>
        <v/>
      </c>
      <c r="F792" s="79" t="str">
        <f t="shared" si="62"/>
        <v/>
      </c>
      <c r="G792" s="395"/>
      <c r="H792" s="91">
        <f t="shared" si="63"/>
        <v>0</v>
      </c>
      <c r="I792" s="91" t="str">
        <f t="shared" si="64"/>
        <v/>
      </c>
      <c r="J792" s="91" t="str">
        <f t="shared" si="65"/>
        <v/>
      </c>
      <c r="K792" s="92" t="str">
        <f>IF(AND(A792="",B792="",D792="",G792=""),"",IF(AND(A792&lt;&gt;"",COUNTIF($A$2:$A$5001,A792)&gt;1),"NUMERO_PC duplicado",IF(B792="","DATA_PC vazia",IF(NOT(ISNUMBER(B792)),"DATA_PC invalida",IF(OR(C792="",C792="Fora dos ciclos"),"CICLO_PC nao identificado",IF(OR(D792="",D792=0),"VALOR_PC vazio ou zero",IF(AND(G792&lt;&gt;"Sim",G792&lt;&gt;"Nao",G792&lt;&gt;""),"PC_PAGO_A_CONTRATADA invalido",IF(AND(C792&lt;&gt;"C0",IFERROR(INDEX(parametros!$A$2:$A$6,MATCH(C792,parametros!$B$2:$B$6,0)),"")="Sim",IFERROR(INDEX(parametros!$H$2:$H$6,MATCH(C792,parametros!$B$2:$B$6,0)),"")=""),"INICIO_EFEITO ausente: PC "&amp;A792&amp;" - "&amp;C792,IF(L792="","EFEITO_PC nao calculado: PC "&amp;A792&amp;" - "&amp;C792,"OK")))))))))</f>
        <v/>
      </c>
      <c r="L792" s="92" t="str">
        <f>IF(AND(A792="",B792="",D792="",G792=""),"",IF(OR(B792="",NOT(ISNUMBER(B792)),C792="",C792="Fora dos ciclos"),"",IF(C792="C0","Nao",IF(IFERROR(INDEX(parametros!$A$2:$A$6,MATCH(C792,parametros!$B$2:$B$6,0)),"")&lt;&gt;"Sim","Nao",IF(IFERROR(INDEX(parametros!$H$2:$H$6,MATCH(C792,parametros!$B$2:$B$6,0)),"")="","",IF(B792&gt;=IFERROR(INDEX(parametros!$H$2:$H$6,MATCH(C792,parametros!$B$2:$B$6,0)),""),"Sim","Nao"))))))</f>
        <v/>
      </c>
      <c r="T792" s="156"/>
      <c r="U792" s="214" t="str">
        <f t="shared" si="66"/>
        <v/>
      </c>
      <c r="V792" s="212" t="s">
        <v>50</v>
      </c>
      <c r="W792" s="100" t="s">
        <v>168</v>
      </c>
      <c r="X792" s="100" t="s">
        <v>169</v>
      </c>
      <c r="Y792" s="101" t="s">
        <v>170</v>
      </c>
      <c r="Z792" s="101" t="s">
        <v>171</v>
      </c>
      <c r="AA792" s="101" t="s">
        <v>50</v>
      </c>
      <c r="AB792" s="101" t="s">
        <v>172</v>
      </c>
      <c r="AC792" s="102" t="s">
        <v>173</v>
      </c>
    </row>
    <row r="793" spans="1:29" ht="25.5" customHeight="1" x14ac:dyDescent="0.35">
      <c r="A793" s="392"/>
      <c r="B793" s="393"/>
      <c r="C793" s="99" t="str">
        <f>IF(B793="","",IF(NOT(ISNUMBER(B793)),"DATA_PC invalida",IF(NOT(ISNUMBER(parametros!$C$2)),"Fora dos ciclos",IF(OR(B793&lt;parametros!$C$2,(YEAR(B793)-YEAR(parametros!$C$2))*12+MONTH(B793)-MONTH(parametros!$C$2)&gt;59),"Fora dos ciclos","C"&amp;INT(((YEAR(B793)-YEAR(parametros!$C$2))*12+MONTH(B793)-MONTH(parametros!$C$2))/12)))))</f>
        <v/>
      </c>
      <c r="D793" s="394"/>
      <c r="E793" s="78" t="str">
        <f>IF(C793="","",IFERROR(VLOOKUP(C793,parametros!$A$11:$E$15,5,0),""))</f>
        <v/>
      </c>
      <c r="F793" s="79" t="str">
        <f t="shared" si="62"/>
        <v/>
      </c>
      <c r="G793" s="395"/>
      <c r="H793" s="91">
        <f t="shared" si="63"/>
        <v>0</v>
      </c>
      <c r="I793" s="91" t="str">
        <f t="shared" si="64"/>
        <v/>
      </c>
      <c r="J793" s="91" t="str">
        <f t="shared" si="65"/>
        <v/>
      </c>
      <c r="K793" s="92" t="str">
        <f>IF(AND(A793="",B793="",D793="",G793=""),"",IF(AND(A793&lt;&gt;"",COUNTIF($A$2:$A$5001,A793)&gt;1),"NUMERO_PC duplicado",IF(B793="","DATA_PC vazia",IF(NOT(ISNUMBER(B793)),"DATA_PC invalida",IF(OR(C793="",C793="Fora dos ciclos"),"CICLO_PC nao identificado",IF(OR(D793="",D793=0),"VALOR_PC vazio ou zero",IF(AND(G793&lt;&gt;"Sim",G793&lt;&gt;"Nao",G793&lt;&gt;""),"PC_PAGO_A_CONTRATADA invalido",IF(AND(C793&lt;&gt;"C0",IFERROR(INDEX(parametros!$A$2:$A$6,MATCH(C793,parametros!$B$2:$B$6,0)),"")="Sim",IFERROR(INDEX(parametros!$H$2:$H$6,MATCH(C793,parametros!$B$2:$B$6,0)),"")=""),"INICIO_EFEITO ausente: PC "&amp;A793&amp;" - "&amp;C793,IF(L793="","EFEITO_PC nao calculado: PC "&amp;A793&amp;" - "&amp;C793,"OK")))))))))</f>
        <v/>
      </c>
      <c r="L793" s="92" t="str">
        <f>IF(AND(A793="",B793="",D793="",G793=""),"",IF(OR(B793="",NOT(ISNUMBER(B793)),C793="",C793="Fora dos ciclos"),"",IF(C793="C0","Nao",IF(IFERROR(INDEX(parametros!$A$2:$A$6,MATCH(C793,parametros!$B$2:$B$6,0)),"")&lt;&gt;"Sim","Nao",IF(IFERROR(INDEX(parametros!$H$2:$H$6,MATCH(C793,parametros!$B$2:$B$6,0)),"")="","",IF(B793&gt;=IFERROR(INDEX(parametros!$H$2:$H$6,MATCH(C793,parametros!$B$2:$B$6,0)),""),"Sim","Nao"))))))</f>
        <v/>
      </c>
      <c r="T793" s="156"/>
      <c r="U793" s="214" t="str">
        <f t="shared" si="66"/>
        <v/>
      </c>
      <c r="V793" s="212" t="s">
        <v>50</v>
      </c>
      <c r="W793" s="100" t="s">
        <v>168</v>
      </c>
      <c r="X793" s="100" t="s">
        <v>169</v>
      </c>
      <c r="Y793" s="101" t="s">
        <v>170</v>
      </c>
      <c r="Z793" s="101" t="s">
        <v>171</v>
      </c>
      <c r="AA793" s="101" t="s">
        <v>50</v>
      </c>
      <c r="AB793" s="101" t="s">
        <v>172</v>
      </c>
      <c r="AC793" s="102" t="s">
        <v>173</v>
      </c>
    </row>
    <row r="794" spans="1:29" ht="25.5" customHeight="1" x14ac:dyDescent="0.35">
      <c r="A794" s="392"/>
      <c r="B794" s="393"/>
      <c r="C794" s="99" t="str">
        <f>IF(B794="","",IF(NOT(ISNUMBER(B794)),"DATA_PC invalida",IF(NOT(ISNUMBER(parametros!$C$2)),"Fora dos ciclos",IF(OR(B794&lt;parametros!$C$2,(YEAR(B794)-YEAR(parametros!$C$2))*12+MONTH(B794)-MONTH(parametros!$C$2)&gt;59),"Fora dos ciclos","C"&amp;INT(((YEAR(B794)-YEAR(parametros!$C$2))*12+MONTH(B794)-MONTH(parametros!$C$2))/12)))))</f>
        <v/>
      </c>
      <c r="D794" s="394"/>
      <c r="E794" s="78" t="str">
        <f>IF(C794="","",IFERROR(VLOOKUP(C794,parametros!$A$11:$E$15,5,0),""))</f>
        <v/>
      </c>
      <c r="F794" s="79" t="str">
        <f t="shared" si="62"/>
        <v/>
      </c>
      <c r="G794" s="395"/>
      <c r="H794" s="91">
        <f t="shared" si="63"/>
        <v>0</v>
      </c>
      <c r="I794" s="91" t="str">
        <f t="shared" si="64"/>
        <v/>
      </c>
      <c r="J794" s="91" t="str">
        <f t="shared" si="65"/>
        <v/>
      </c>
      <c r="K794" s="92" t="str">
        <f>IF(AND(A794="",B794="",D794="",G794=""),"",IF(AND(A794&lt;&gt;"",COUNTIF($A$2:$A$5001,A794)&gt;1),"NUMERO_PC duplicado",IF(B794="","DATA_PC vazia",IF(NOT(ISNUMBER(B794)),"DATA_PC invalida",IF(OR(C794="",C794="Fora dos ciclos"),"CICLO_PC nao identificado",IF(OR(D794="",D794=0),"VALOR_PC vazio ou zero",IF(AND(G794&lt;&gt;"Sim",G794&lt;&gt;"Nao",G794&lt;&gt;""),"PC_PAGO_A_CONTRATADA invalido",IF(AND(C794&lt;&gt;"C0",IFERROR(INDEX(parametros!$A$2:$A$6,MATCH(C794,parametros!$B$2:$B$6,0)),"")="Sim",IFERROR(INDEX(parametros!$H$2:$H$6,MATCH(C794,parametros!$B$2:$B$6,0)),"")=""),"INICIO_EFEITO ausente: PC "&amp;A794&amp;" - "&amp;C794,IF(L794="","EFEITO_PC nao calculado: PC "&amp;A794&amp;" - "&amp;C794,"OK")))))))))</f>
        <v/>
      </c>
      <c r="L794" s="92" t="str">
        <f>IF(AND(A794="",B794="",D794="",G794=""),"",IF(OR(B794="",NOT(ISNUMBER(B794)),C794="",C794="Fora dos ciclos"),"",IF(C794="C0","Nao",IF(IFERROR(INDEX(parametros!$A$2:$A$6,MATCH(C794,parametros!$B$2:$B$6,0)),"")&lt;&gt;"Sim","Nao",IF(IFERROR(INDEX(parametros!$H$2:$H$6,MATCH(C794,parametros!$B$2:$B$6,0)),"")="","",IF(B794&gt;=IFERROR(INDEX(parametros!$H$2:$H$6,MATCH(C794,parametros!$B$2:$B$6,0)),""),"Sim","Nao"))))))</f>
        <v/>
      </c>
      <c r="T794" s="156"/>
      <c r="U794" s="214" t="str">
        <f t="shared" si="66"/>
        <v/>
      </c>
      <c r="V794" s="212" t="s">
        <v>50</v>
      </c>
      <c r="W794" s="100" t="s">
        <v>168</v>
      </c>
      <c r="X794" s="100" t="s">
        <v>169</v>
      </c>
      <c r="Y794" s="101" t="s">
        <v>170</v>
      </c>
      <c r="Z794" s="101" t="s">
        <v>171</v>
      </c>
      <c r="AA794" s="101" t="s">
        <v>50</v>
      </c>
      <c r="AB794" s="101" t="s">
        <v>172</v>
      </c>
      <c r="AC794" s="102" t="s">
        <v>173</v>
      </c>
    </row>
    <row r="795" spans="1:29" ht="25.5" customHeight="1" x14ac:dyDescent="0.35">
      <c r="A795" s="392"/>
      <c r="B795" s="393"/>
      <c r="C795" s="99" t="str">
        <f>IF(B795="","",IF(NOT(ISNUMBER(B795)),"DATA_PC invalida",IF(NOT(ISNUMBER(parametros!$C$2)),"Fora dos ciclos",IF(OR(B795&lt;parametros!$C$2,(YEAR(B795)-YEAR(parametros!$C$2))*12+MONTH(B795)-MONTH(parametros!$C$2)&gt;59),"Fora dos ciclos","C"&amp;INT(((YEAR(B795)-YEAR(parametros!$C$2))*12+MONTH(B795)-MONTH(parametros!$C$2))/12)))))</f>
        <v/>
      </c>
      <c r="D795" s="394"/>
      <c r="E795" s="78" t="str">
        <f>IF(C795="","",IFERROR(VLOOKUP(C795,parametros!$A$11:$E$15,5,0),""))</f>
        <v/>
      </c>
      <c r="F795" s="79" t="str">
        <f t="shared" si="62"/>
        <v/>
      </c>
      <c r="G795" s="395"/>
      <c r="H795" s="91">
        <f t="shared" si="63"/>
        <v>0</v>
      </c>
      <c r="I795" s="91" t="str">
        <f t="shared" si="64"/>
        <v/>
      </c>
      <c r="J795" s="91" t="str">
        <f t="shared" si="65"/>
        <v/>
      </c>
      <c r="K795" s="92" t="str">
        <f>IF(AND(A795="",B795="",D795="",G795=""),"",IF(AND(A795&lt;&gt;"",COUNTIF($A$2:$A$5001,A795)&gt;1),"NUMERO_PC duplicado",IF(B795="","DATA_PC vazia",IF(NOT(ISNUMBER(B795)),"DATA_PC invalida",IF(OR(C795="",C795="Fora dos ciclos"),"CICLO_PC nao identificado",IF(OR(D795="",D795=0),"VALOR_PC vazio ou zero",IF(AND(G795&lt;&gt;"Sim",G795&lt;&gt;"Nao",G795&lt;&gt;""),"PC_PAGO_A_CONTRATADA invalido",IF(AND(C795&lt;&gt;"C0",IFERROR(INDEX(parametros!$A$2:$A$6,MATCH(C795,parametros!$B$2:$B$6,0)),"")="Sim",IFERROR(INDEX(parametros!$H$2:$H$6,MATCH(C795,parametros!$B$2:$B$6,0)),"")=""),"INICIO_EFEITO ausente: PC "&amp;A795&amp;" - "&amp;C795,IF(L795="","EFEITO_PC nao calculado: PC "&amp;A795&amp;" - "&amp;C795,"OK")))))))))</f>
        <v/>
      </c>
      <c r="L795" s="92" t="str">
        <f>IF(AND(A795="",B795="",D795="",G795=""),"",IF(OR(B795="",NOT(ISNUMBER(B795)),C795="",C795="Fora dos ciclos"),"",IF(C795="C0","Nao",IF(IFERROR(INDEX(parametros!$A$2:$A$6,MATCH(C795,parametros!$B$2:$B$6,0)),"")&lt;&gt;"Sim","Nao",IF(IFERROR(INDEX(parametros!$H$2:$H$6,MATCH(C795,parametros!$B$2:$B$6,0)),"")="","",IF(B795&gt;=IFERROR(INDEX(parametros!$H$2:$H$6,MATCH(C795,parametros!$B$2:$B$6,0)),""),"Sim","Nao"))))))</f>
        <v/>
      </c>
      <c r="T795" s="156"/>
      <c r="U795" s="214" t="str">
        <f t="shared" si="66"/>
        <v/>
      </c>
      <c r="V795" s="212" t="s">
        <v>50</v>
      </c>
      <c r="W795" s="100" t="s">
        <v>168</v>
      </c>
      <c r="X795" s="100" t="s">
        <v>169</v>
      </c>
      <c r="Y795" s="101" t="s">
        <v>170</v>
      </c>
      <c r="Z795" s="101" t="s">
        <v>171</v>
      </c>
      <c r="AA795" s="101" t="s">
        <v>50</v>
      </c>
      <c r="AB795" s="101" t="s">
        <v>172</v>
      </c>
      <c r="AC795" s="102" t="s">
        <v>173</v>
      </c>
    </row>
    <row r="796" spans="1:29" ht="25.5" customHeight="1" x14ac:dyDescent="0.35">
      <c r="A796" s="392"/>
      <c r="B796" s="393"/>
      <c r="C796" s="99" t="str">
        <f>IF(B796="","",IF(NOT(ISNUMBER(B796)),"DATA_PC invalida",IF(NOT(ISNUMBER(parametros!$C$2)),"Fora dos ciclos",IF(OR(B796&lt;parametros!$C$2,(YEAR(B796)-YEAR(parametros!$C$2))*12+MONTH(B796)-MONTH(parametros!$C$2)&gt;59),"Fora dos ciclos","C"&amp;INT(((YEAR(B796)-YEAR(parametros!$C$2))*12+MONTH(B796)-MONTH(parametros!$C$2))/12)))))</f>
        <v/>
      </c>
      <c r="D796" s="394"/>
      <c r="E796" s="78" t="str">
        <f>IF(C796="","",IFERROR(VLOOKUP(C796,parametros!$A$11:$E$15,5,0),""))</f>
        <v/>
      </c>
      <c r="F796" s="79" t="str">
        <f t="shared" si="62"/>
        <v/>
      </c>
      <c r="G796" s="395"/>
      <c r="H796" s="91">
        <f t="shared" si="63"/>
        <v>0</v>
      </c>
      <c r="I796" s="91" t="str">
        <f t="shared" si="64"/>
        <v/>
      </c>
      <c r="J796" s="91" t="str">
        <f t="shared" si="65"/>
        <v/>
      </c>
      <c r="K796" s="92" t="str">
        <f>IF(AND(A796="",B796="",D796="",G796=""),"",IF(AND(A796&lt;&gt;"",COUNTIF($A$2:$A$5001,A796)&gt;1),"NUMERO_PC duplicado",IF(B796="","DATA_PC vazia",IF(NOT(ISNUMBER(B796)),"DATA_PC invalida",IF(OR(C796="",C796="Fora dos ciclos"),"CICLO_PC nao identificado",IF(OR(D796="",D796=0),"VALOR_PC vazio ou zero",IF(AND(G796&lt;&gt;"Sim",G796&lt;&gt;"Nao",G796&lt;&gt;""),"PC_PAGO_A_CONTRATADA invalido",IF(AND(C796&lt;&gt;"C0",IFERROR(INDEX(parametros!$A$2:$A$6,MATCH(C796,parametros!$B$2:$B$6,0)),"")="Sim",IFERROR(INDEX(parametros!$H$2:$H$6,MATCH(C796,parametros!$B$2:$B$6,0)),"")=""),"INICIO_EFEITO ausente: PC "&amp;A796&amp;" - "&amp;C796,IF(L796="","EFEITO_PC nao calculado: PC "&amp;A796&amp;" - "&amp;C796,"OK")))))))))</f>
        <v/>
      </c>
      <c r="L796" s="92" t="str">
        <f>IF(AND(A796="",B796="",D796="",G796=""),"",IF(OR(B796="",NOT(ISNUMBER(B796)),C796="",C796="Fora dos ciclos"),"",IF(C796="C0","Nao",IF(IFERROR(INDEX(parametros!$A$2:$A$6,MATCH(C796,parametros!$B$2:$B$6,0)),"")&lt;&gt;"Sim","Nao",IF(IFERROR(INDEX(parametros!$H$2:$H$6,MATCH(C796,parametros!$B$2:$B$6,0)),"")="","",IF(B796&gt;=IFERROR(INDEX(parametros!$H$2:$H$6,MATCH(C796,parametros!$B$2:$B$6,0)),""),"Sim","Nao"))))))</f>
        <v/>
      </c>
      <c r="T796" s="156"/>
      <c r="U796" s="214" t="str">
        <f t="shared" si="66"/>
        <v/>
      </c>
      <c r="V796" s="212" t="s">
        <v>50</v>
      </c>
      <c r="W796" s="100" t="s">
        <v>168</v>
      </c>
      <c r="X796" s="100" t="s">
        <v>169</v>
      </c>
      <c r="Y796" s="101" t="s">
        <v>170</v>
      </c>
      <c r="Z796" s="101" t="s">
        <v>171</v>
      </c>
      <c r="AA796" s="101" t="s">
        <v>50</v>
      </c>
      <c r="AB796" s="101" t="s">
        <v>172</v>
      </c>
      <c r="AC796" s="102" t="s">
        <v>173</v>
      </c>
    </row>
    <row r="797" spans="1:29" ht="25.5" customHeight="1" x14ac:dyDescent="0.35">
      <c r="A797" s="392"/>
      <c r="B797" s="393"/>
      <c r="C797" s="99" t="str">
        <f>IF(B797="","",IF(NOT(ISNUMBER(B797)),"DATA_PC invalida",IF(NOT(ISNUMBER(parametros!$C$2)),"Fora dos ciclos",IF(OR(B797&lt;parametros!$C$2,(YEAR(B797)-YEAR(parametros!$C$2))*12+MONTH(B797)-MONTH(parametros!$C$2)&gt;59),"Fora dos ciclos","C"&amp;INT(((YEAR(B797)-YEAR(parametros!$C$2))*12+MONTH(B797)-MONTH(parametros!$C$2))/12)))))</f>
        <v/>
      </c>
      <c r="D797" s="394"/>
      <c r="E797" s="78" t="str">
        <f>IF(C797="","",IFERROR(VLOOKUP(C797,parametros!$A$11:$E$15,5,0),""))</f>
        <v/>
      </c>
      <c r="F797" s="79" t="str">
        <f t="shared" si="62"/>
        <v/>
      </c>
      <c r="G797" s="395"/>
      <c r="H797" s="91">
        <f t="shared" si="63"/>
        <v>0</v>
      </c>
      <c r="I797" s="91" t="str">
        <f t="shared" si="64"/>
        <v/>
      </c>
      <c r="J797" s="91" t="str">
        <f t="shared" si="65"/>
        <v/>
      </c>
      <c r="K797" s="92" t="str">
        <f>IF(AND(A797="",B797="",D797="",G797=""),"",IF(AND(A797&lt;&gt;"",COUNTIF($A$2:$A$5001,A797)&gt;1),"NUMERO_PC duplicado",IF(B797="","DATA_PC vazia",IF(NOT(ISNUMBER(B797)),"DATA_PC invalida",IF(OR(C797="",C797="Fora dos ciclos"),"CICLO_PC nao identificado",IF(OR(D797="",D797=0),"VALOR_PC vazio ou zero",IF(AND(G797&lt;&gt;"Sim",G797&lt;&gt;"Nao",G797&lt;&gt;""),"PC_PAGO_A_CONTRATADA invalido",IF(AND(C797&lt;&gt;"C0",IFERROR(INDEX(parametros!$A$2:$A$6,MATCH(C797,parametros!$B$2:$B$6,0)),"")="Sim",IFERROR(INDEX(parametros!$H$2:$H$6,MATCH(C797,parametros!$B$2:$B$6,0)),"")=""),"INICIO_EFEITO ausente: PC "&amp;A797&amp;" - "&amp;C797,IF(L797="","EFEITO_PC nao calculado: PC "&amp;A797&amp;" - "&amp;C797,"OK")))))))))</f>
        <v/>
      </c>
      <c r="L797" s="92" t="str">
        <f>IF(AND(A797="",B797="",D797="",G797=""),"",IF(OR(B797="",NOT(ISNUMBER(B797)),C797="",C797="Fora dos ciclos"),"",IF(C797="C0","Nao",IF(IFERROR(INDEX(parametros!$A$2:$A$6,MATCH(C797,parametros!$B$2:$B$6,0)),"")&lt;&gt;"Sim","Nao",IF(IFERROR(INDEX(parametros!$H$2:$H$6,MATCH(C797,parametros!$B$2:$B$6,0)),"")="","",IF(B797&gt;=IFERROR(INDEX(parametros!$H$2:$H$6,MATCH(C797,parametros!$B$2:$B$6,0)),""),"Sim","Nao"))))))</f>
        <v/>
      </c>
      <c r="T797" s="156"/>
      <c r="U797" s="214" t="str">
        <f t="shared" si="66"/>
        <v/>
      </c>
      <c r="V797" s="212" t="s">
        <v>50</v>
      </c>
      <c r="W797" s="100" t="s">
        <v>168</v>
      </c>
      <c r="X797" s="100" t="s">
        <v>169</v>
      </c>
      <c r="Y797" s="101" t="s">
        <v>170</v>
      </c>
      <c r="Z797" s="101" t="s">
        <v>171</v>
      </c>
      <c r="AA797" s="101" t="s">
        <v>50</v>
      </c>
      <c r="AB797" s="101" t="s">
        <v>172</v>
      </c>
      <c r="AC797" s="102" t="s">
        <v>173</v>
      </c>
    </row>
    <row r="798" spans="1:29" ht="25.5" customHeight="1" x14ac:dyDescent="0.35">
      <c r="A798" s="392"/>
      <c r="B798" s="393"/>
      <c r="C798" s="99" t="str">
        <f>IF(B798="","",IF(NOT(ISNUMBER(B798)),"DATA_PC invalida",IF(NOT(ISNUMBER(parametros!$C$2)),"Fora dos ciclos",IF(OR(B798&lt;parametros!$C$2,(YEAR(B798)-YEAR(parametros!$C$2))*12+MONTH(B798)-MONTH(parametros!$C$2)&gt;59),"Fora dos ciclos","C"&amp;INT(((YEAR(B798)-YEAR(parametros!$C$2))*12+MONTH(B798)-MONTH(parametros!$C$2))/12)))))</f>
        <v/>
      </c>
      <c r="D798" s="394"/>
      <c r="E798" s="78" t="str">
        <f>IF(C798="","",IFERROR(VLOOKUP(C798,parametros!$A$11:$E$15,5,0),""))</f>
        <v/>
      </c>
      <c r="F798" s="79" t="str">
        <f t="shared" si="62"/>
        <v/>
      </c>
      <c r="G798" s="395"/>
      <c r="H798" s="91">
        <f t="shared" si="63"/>
        <v>0</v>
      </c>
      <c r="I798" s="91" t="str">
        <f t="shared" si="64"/>
        <v/>
      </c>
      <c r="J798" s="91" t="str">
        <f t="shared" si="65"/>
        <v/>
      </c>
      <c r="K798" s="92" t="str">
        <f>IF(AND(A798="",B798="",D798="",G798=""),"",IF(AND(A798&lt;&gt;"",COUNTIF($A$2:$A$5001,A798)&gt;1),"NUMERO_PC duplicado",IF(B798="","DATA_PC vazia",IF(NOT(ISNUMBER(B798)),"DATA_PC invalida",IF(OR(C798="",C798="Fora dos ciclos"),"CICLO_PC nao identificado",IF(OR(D798="",D798=0),"VALOR_PC vazio ou zero",IF(AND(G798&lt;&gt;"Sim",G798&lt;&gt;"Nao",G798&lt;&gt;""),"PC_PAGO_A_CONTRATADA invalido",IF(AND(C798&lt;&gt;"C0",IFERROR(INDEX(parametros!$A$2:$A$6,MATCH(C798,parametros!$B$2:$B$6,0)),"")="Sim",IFERROR(INDEX(parametros!$H$2:$H$6,MATCH(C798,parametros!$B$2:$B$6,0)),"")=""),"INICIO_EFEITO ausente: PC "&amp;A798&amp;" - "&amp;C798,IF(L798="","EFEITO_PC nao calculado: PC "&amp;A798&amp;" - "&amp;C798,"OK")))))))))</f>
        <v/>
      </c>
      <c r="L798" s="92" t="str">
        <f>IF(AND(A798="",B798="",D798="",G798=""),"",IF(OR(B798="",NOT(ISNUMBER(B798)),C798="",C798="Fora dos ciclos"),"",IF(C798="C0","Nao",IF(IFERROR(INDEX(parametros!$A$2:$A$6,MATCH(C798,parametros!$B$2:$B$6,0)),"")&lt;&gt;"Sim","Nao",IF(IFERROR(INDEX(parametros!$H$2:$H$6,MATCH(C798,parametros!$B$2:$B$6,0)),"")="","",IF(B798&gt;=IFERROR(INDEX(parametros!$H$2:$H$6,MATCH(C798,parametros!$B$2:$B$6,0)),""),"Sim","Nao"))))))</f>
        <v/>
      </c>
      <c r="T798" s="156"/>
      <c r="U798" s="214" t="str">
        <f t="shared" si="66"/>
        <v/>
      </c>
      <c r="V798" s="212" t="s">
        <v>50</v>
      </c>
      <c r="W798" s="100" t="s">
        <v>168</v>
      </c>
      <c r="X798" s="100" t="s">
        <v>169</v>
      </c>
      <c r="Y798" s="101" t="s">
        <v>170</v>
      </c>
      <c r="Z798" s="101" t="s">
        <v>171</v>
      </c>
      <c r="AA798" s="101" t="s">
        <v>50</v>
      </c>
      <c r="AB798" s="101" t="s">
        <v>172</v>
      </c>
      <c r="AC798" s="102" t="s">
        <v>173</v>
      </c>
    </row>
    <row r="799" spans="1:29" ht="25.5" customHeight="1" x14ac:dyDescent="0.35">
      <c r="A799" s="392"/>
      <c r="B799" s="393"/>
      <c r="C799" s="99" t="str">
        <f>IF(B799="","",IF(NOT(ISNUMBER(B799)),"DATA_PC invalida",IF(NOT(ISNUMBER(parametros!$C$2)),"Fora dos ciclos",IF(OR(B799&lt;parametros!$C$2,(YEAR(B799)-YEAR(parametros!$C$2))*12+MONTH(B799)-MONTH(parametros!$C$2)&gt;59),"Fora dos ciclos","C"&amp;INT(((YEAR(B799)-YEAR(parametros!$C$2))*12+MONTH(B799)-MONTH(parametros!$C$2))/12)))))</f>
        <v/>
      </c>
      <c r="D799" s="394"/>
      <c r="E799" s="78" t="str">
        <f>IF(C799="","",IFERROR(VLOOKUP(C799,parametros!$A$11:$E$15,5,0),""))</f>
        <v/>
      </c>
      <c r="F799" s="79" t="str">
        <f t="shared" si="62"/>
        <v/>
      </c>
      <c r="G799" s="395"/>
      <c r="H799" s="91">
        <f t="shared" si="63"/>
        <v>0</v>
      </c>
      <c r="I799" s="91" t="str">
        <f t="shared" si="64"/>
        <v/>
      </c>
      <c r="J799" s="91" t="str">
        <f t="shared" si="65"/>
        <v/>
      </c>
      <c r="K799" s="92" t="str">
        <f>IF(AND(A799="",B799="",D799="",G799=""),"",IF(AND(A799&lt;&gt;"",COUNTIF($A$2:$A$5001,A799)&gt;1),"NUMERO_PC duplicado",IF(B799="","DATA_PC vazia",IF(NOT(ISNUMBER(B799)),"DATA_PC invalida",IF(OR(C799="",C799="Fora dos ciclos"),"CICLO_PC nao identificado",IF(OR(D799="",D799=0),"VALOR_PC vazio ou zero",IF(AND(G799&lt;&gt;"Sim",G799&lt;&gt;"Nao",G799&lt;&gt;""),"PC_PAGO_A_CONTRATADA invalido",IF(AND(C799&lt;&gt;"C0",IFERROR(INDEX(parametros!$A$2:$A$6,MATCH(C799,parametros!$B$2:$B$6,0)),"")="Sim",IFERROR(INDEX(parametros!$H$2:$H$6,MATCH(C799,parametros!$B$2:$B$6,0)),"")=""),"INICIO_EFEITO ausente: PC "&amp;A799&amp;" - "&amp;C799,IF(L799="","EFEITO_PC nao calculado: PC "&amp;A799&amp;" - "&amp;C799,"OK")))))))))</f>
        <v/>
      </c>
      <c r="L799" s="92" t="str">
        <f>IF(AND(A799="",B799="",D799="",G799=""),"",IF(OR(B799="",NOT(ISNUMBER(B799)),C799="",C799="Fora dos ciclos"),"",IF(C799="C0","Nao",IF(IFERROR(INDEX(parametros!$A$2:$A$6,MATCH(C799,parametros!$B$2:$B$6,0)),"")&lt;&gt;"Sim","Nao",IF(IFERROR(INDEX(parametros!$H$2:$H$6,MATCH(C799,parametros!$B$2:$B$6,0)),"")="","",IF(B799&gt;=IFERROR(INDEX(parametros!$H$2:$H$6,MATCH(C799,parametros!$B$2:$B$6,0)),""),"Sim","Nao"))))))</f>
        <v/>
      </c>
      <c r="T799" s="156"/>
      <c r="U799" s="214" t="str">
        <f t="shared" si="66"/>
        <v/>
      </c>
      <c r="V799" s="212" t="s">
        <v>50</v>
      </c>
      <c r="W799" s="100" t="s">
        <v>168</v>
      </c>
      <c r="X799" s="100" t="s">
        <v>169</v>
      </c>
      <c r="Y799" s="101" t="s">
        <v>170</v>
      </c>
      <c r="Z799" s="101" t="s">
        <v>171</v>
      </c>
      <c r="AA799" s="101" t="s">
        <v>50</v>
      </c>
      <c r="AB799" s="101" t="s">
        <v>172</v>
      </c>
      <c r="AC799" s="102" t="s">
        <v>173</v>
      </c>
    </row>
    <row r="800" spans="1:29" ht="25.5" customHeight="1" x14ac:dyDescent="0.35">
      <c r="A800" s="392"/>
      <c r="B800" s="393"/>
      <c r="C800" s="99" t="str">
        <f>IF(B800="","",IF(NOT(ISNUMBER(B800)),"DATA_PC invalida",IF(NOT(ISNUMBER(parametros!$C$2)),"Fora dos ciclos",IF(OR(B800&lt;parametros!$C$2,(YEAR(B800)-YEAR(parametros!$C$2))*12+MONTH(B800)-MONTH(parametros!$C$2)&gt;59),"Fora dos ciclos","C"&amp;INT(((YEAR(B800)-YEAR(parametros!$C$2))*12+MONTH(B800)-MONTH(parametros!$C$2))/12)))))</f>
        <v/>
      </c>
      <c r="D800" s="394"/>
      <c r="E800" s="78" t="str">
        <f>IF(C800="","",IFERROR(VLOOKUP(C800,parametros!$A$11:$E$15,5,0),""))</f>
        <v/>
      </c>
      <c r="F800" s="79" t="str">
        <f t="shared" si="62"/>
        <v/>
      </c>
      <c r="G800" s="395"/>
      <c r="H800" s="91">
        <f t="shared" si="63"/>
        <v>0</v>
      </c>
      <c r="I800" s="91" t="str">
        <f t="shared" si="64"/>
        <v/>
      </c>
      <c r="J800" s="91" t="str">
        <f t="shared" si="65"/>
        <v/>
      </c>
      <c r="K800" s="92" t="str">
        <f>IF(AND(A800="",B800="",D800="",G800=""),"",IF(AND(A800&lt;&gt;"",COUNTIF($A$2:$A$5001,A800)&gt;1),"NUMERO_PC duplicado",IF(B800="","DATA_PC vazia",IF(NOT(ISNUMBER(B800)),"DATA_PC invalida",IF(OR(C800="",C800="Fora dos ciclos"),"CICLO_PC nao identificado",IF(OR(D800="",D800=0),"VALOR_PC vazio ou zero",IF(AND(G800&lt;&gt;"Sim",G800&lt;&gt;"Nao",G800&lt;&gt;""),"PC_PAGO_A_CONTRATADA invalido",IF(AND(C800&lt;&gt;"C0",IFERROR(INDEX(parametros!$A$2:$A$6,MATCH(C800,parametros!$B$2:$B$6,0)),"")="Sim",IFERROR(INDEX(parametros!$H$2:$H$6,MATCH(C800,parametros!$B$2:$B$6,0)),"")=""),"INICIO_EFEITO ausente: PC "&amp;A800&amp;" - "&amp;C800,IF(L800="","EFEITO_PC nao calculado: PC "&amp;A800&amp;" - "&amp;C800,"OK")))))))))</f>
        <v/>
      </c>
      <c r="L800" s="92" t="str">
        <f>IF(AND(A800="",B800="",D800="",G800=""),"",IF(OR(B800="",NOT(ISNUMBER(B800)),C800="",C800="Fora dos ciclos"),"",IF(C800="C0","Nao",IF(IFERROR(INDEX(parametros!$A$2:$A$6,MATCH(C800,parametros!$B$2:$B$6,0)),"")&lt;&gt;"Sim","Nao",IF(IFERROR(INDEX(parametros!$H$2:$H$6,MATCH(C800,parametros!$B$2:$B$6,0)),"")="","",IF(B800&gt;=IFERROR(INDEX(parametros!$H$2:$H$6,MATCH(C800,parametros!$B$2:$B$6,0)),""),"Sim","Nao"))))))</f>
        <v/>
      </c>
      <c r="T800" s="156"/>
      <c r="U800" s="214" t="str">
        <f t="shared" si="66"/>
        <v/>
      </c>
      <c r="V800" s="212" t="s">
        <v>50</v>
      </c>
      <c r="W800" s="100" t="s">
        <v>168</v>
      </c>
      <c r="X800" s="100" t="s">
        <v>169</v>
      </c>
      <c r="Y800" s="101" t="s">
        <v>170</v>
      </c>
      <c r="Z800" s="101" t="s">
        <v>171</v>
      </c>
      <c r="AA800" s="101" t="s">
        <v>50</v>
      </c>
      <c r="AB800" s="101" t="s">
        <v>172</v>
      </c>
      <c r="AC800" s="102" t="s">
        <v>173</v>
      </c>
    </row>
    <row r="801" spans="1:29" ht="25.5" customHeight="1" x14ac:dyDescent="0.35">
      <c r="A801" s="392"/>
      <c r="B801" s="393"/>
      <c r="C801" s="99" t="str">
        <f>IF(B801="","",IF(NOT(ISNUMBER(B801)),"DATA_PC invalida",IF(NOT(ISNUMBER(parametros!$C$2)),"Fora dos ciclos",IF(OR(B801&lt;parametros!$C$2,(YEAR(B801)-YEAR(parametros!$C$2))*12+MONTH(B801)-MONTH(parametros!$C$2)&gt;59),"Fora dos ciclos","C"&amp;INT(((YEAR(B801)-YEAR(parametros!$C$2))*12+MONTH(B801)-MONTH(parametros!$C$2))/12)))))</f>
        <v/>
      </c>
      <c r="D801" s="394"/>
      <c r="E801" s="78" t="str">
        <f>IF(C801="","",IFERROR(VLOOKUP(C801,parametros!$A$11:$E$15,5,0),""))</f>
        <v/>
      </c>
      <c r="F801" s="79" t="str">
        <f t="shared" si="62"/>
        <v/>
      </c>
      <c r="G801" s="395"/>
      <c r="H801" s="91">
        <f t="shared" si="63"/>
        <v>0</v>
      </c>
      <c r="I801" s="91" t="str">
        <f t="shared" si="64"/>
        <v/>
      </c>
      <c r="J801" s="91" t="str">
        <f t="shared" si="65"/>
        <v/>
      </c>
      <c r="K801" s="92" t="str">
        <f>IF(AND(A801="",B801="",D801="",G801=""),"",IF(AND(A801&lt;&gt;"",COUNTIF($A$2:$A$5001,A801)&gt;1),"NUMERO_PC duplicado",IF(B801="","DATA_PC vazia",IF(NOT(ISNUMBER(B801)),"DATA_PC invalida",IF(OR(C801="",C801="Fora dos ciclos"),"CICLO_PC nao identificado",IF(OR(D801="",D801=0),"VALOR_PC vazio ou zero",IF(AND(G801&lt;&gt;"Sim",G801&lt;&gt;"Nao",G801&lt;&gt;""),"PC_PAGO_A_CONTRATADA invalido",IF(AND(C801&lt;&gt;"C0",IFERROR(INDEX(parametros!$A$2:$A$6,MATCH(C801,parametros!$B$2:$B$6,0)),"")="Sim",IFERROR(INDEX(parametros!$H$2:$H$6,MATCH(C801,parametros!$B$2:$B$6,0)),"")=""),"INICIO_EFEITO ausente: PC "&amp;A801&amp;" - "&amp;C801,IF(L801="","EFEITO_PC nao calculado: PC "&amp;A801&amp;" - "&amp;C801,"OK")))))))))</f>
        <v/>
      </c>
      <c r="L801" s="92" t="str">
        <f>IF(AND(A801="",B801="",D801="",G801=""),"",IF(OR(B801="",NOT(ISNUMBER(B801)),C801="",C801="Fora dos ciclos"),"",IF(C801="C0","Nao",IF(IFERROR(INDEX(parametros!$A$2:$A$6,MATCH(C801,parametros!$B$2:$B$6,0)),"")&lt;&gt;"Sim","Nao",IF(IFERROR(INDEX(parametros!$H$2:$H$6,MATCH(C801,parametros!$B$2:$B$6,0)),"")="","",IF(B801&gt;=IFERROR(INDEX(parametros!$H$2:$H$6,MATCH(C801,parametros!$B$2:$B$6,0)),""),"Sim","Nao"))))))</f>
        <v/>
      </c>
      <c r="T801" s="156"/>
      <c r="U801" s="214" t="str">
        <f t="shared" si="66"/>
        <v/>
      </c>
      <c r="V801" s="212" t="s">
        <v>50</v>
      </c>
      <c r="W801" s="100" t="s">
        <v>168</v>
      </c>
      <c r="X801" s="100" t="s">
        <v>169</v>
      </c>
      <c r="Y801" s="101" t="s">
        <v>170</v>
      </c>
      <c r="Z801" s="101" t="s">
        <v>171</v>
      </c>
      <c r="AA801" s="101" t="s">
        <v>50</v>
      </c>
      <c r="AB801" s="101" t="s">
        <v>172</v>
      </c>
      <c r="AC801" s="102" t="s">
        <v>173</v>
      </c>
    </row>
    <row r="802" spans="1:29" ht="25.5" customHeight="1" x14ac:dyDescent="0.35">
      <c r="A802" s="392"/>
      <c r="B802" s="393"/>
      <c r="C802" s="99" t="str">
        <f>IF(B802="","",IF(NOT(ISNUMBER(B802)),"DATA_PC invalida",IF(NOT(ISNUMBER(parametros!$C$2)),"Fora dos ciclos",IF(OR(B802&lt;parametros!$C$2,(YEAR(B802)-YEAR(parametros!$C$2))*12+MONTH(B802)-MONTH(parametros!$C$2)&gt;59),"Fora dos ciclos","C"&amp;INT(((YEAR(B802)-YEAR(parametros!$C$2))*12+MONTH(B802)-MONTH(parametros!$C$2))/12)))))</f>
        <v/>
      </c>
      <c r="D802" s="394"/>
      <c r="E802" s="78" t="str">
        <f>IF(C802="","",IFERROR(VLOOKUP(C802,parametros!$A$11:$E$15,5,0),""))</f>
        <v/>
      </c>
      <c r="F802" s="79" t="str">
        <f t="shared" si="62"/>
        <v/>
      </c>
      <c r="G802" s="395"/>
      <c r="H802" s="91">
        <f t="shared" si="63"/>
        <v>0</v>
      </c>
      <c r="I802" s="91" t="str">
        <f t="shared" si="64"/>
        <v/>
      </c>
      <c r="J802" s="91" t="str">
        <f t="shared" si="65"/>
        <v/>
      </c>
      <c r="K802" s="92" t="str">
        <f>IF(AND(A802="",B802="",D802="",G802=""),"",IF(AND(A802&lt;&gt;"",COUNTIF($A$2:$A$5001,A802)&gt;1),"NUMERO_PC duplicado",IF(B802="","DATA_PC vazia",IF(NOT(ISNUMBER(B802)),"DATA_PC invalida",IF(OR(C802="",C802="Fora dos ciclos"),"CICLO_PC nao identificado",IF(OR(D802="",D802=0),"VALOR_PC vazio ou zero",IF(AND(G802&lt;&gt;"Sim",G802&lt;&gt;"Nao",G802&lt;&gt;""),"PC_PAGO_A_CONTRATADA invalido",IF(AND(C802&lt;&gt;"C0",IFERROR(INDEX(parametros!$A$2:$A$6,MATCH(C802,parametros!$B$2:$B$6,0)),"")="Sim",IFERROR(INDEX(parametros!$H$2:$H$6,MATCH(C802,parametros!$B$2:$B$6,0)),"")=""),"INICIO_EFEITO ausente: PC "&amp;A802&amp;" - "&amp;C802,IF(L802="","EFEITO_PC nao calculado: PC "&amp;A802&amp;" - "&amp;C802,"OK")))))))))</f>
        <v/>
      </c>
      <c r="L802" s="92" t="str">
        <f>IF(AND(A802="",B802="",D802="",G802=""),"",IF(OR(B802="",NOT(ISNUMBER(B802)),C802="",C802="Fora dos ciclos"),"",IF(C802="C0","Nao",IF(IFERROR(INDEX(parametros!$A$2:$A$6,MATCH(C802,parametros!$B$2:$B$6,0)),"")&lt;&gt;"Sim","Nao",IF(IFERROR(INDEX(parametros!$H$2:$H$6,MATCH(C802,parametros!$B$2:$B$6,0)),"")="","",IF(B802&gt;=IFERROR(INDEX(parametros!$H$2:$H$6,MATCH(C802,parametros!$B$2:$B$6,0)),""),"Sim","Nao"))))))</f>
        <v/>
      </c>
      <c r="T802" s="156"/>
      <c r="U802" s="214" t="str">
        <f t="shared" si="66"/>
        <v/>
      </c>
      <c r="V802" s="212" t="s">
        <v>50</v>
      </c>
      <c r="W802" s="100" t="s">
        <v>168</v>
      </c>
      <c r="X802" s="100" t="s">
        <v>169</v>
      </c>
      <c r="Y802" s="101" t="s">
        <v>170</v>
      </c>
      <c r="Z802" s="101" t="s">
        <v>171</v>
      </c>
      <c r="AA802" s="101" t="s">
        <v>50</v>
      </c>
      <c r="AB802" s="101" t="s">
        <v>172</v>
      </c>
      <c r="AC802" s="102" t="s">
        <v>173</v>
      </c>
    </row>
    <row r="803" spans="1:29" ht="25.5" customHeight="1" x14ac:dyDescent="0.35">
      <c r="A803" s="392"/>
      <c r="B803" s="393"/>
      <c r="C803" s="99" t="str">
        <f>IF(B803="","",IF(NOT(ISNUMBER(B803)),"DATA_PC invalida",IF(NOT(ISNUMBER(parametros!$C$2)),"Fora dos ciclos",IF(OR(B803&lt;parametros!$C$2,(YEAR(B803)-YEAR(parametros!$C$2))*12+MONTH(B803)-MONTH(parametros!$C$2)&gt;59),"Fora dos ciclos","C"&amp;INT(((YEAR(B803)-YEAR(parametros!$C$2))*12+MONTH(B803)-MONTH(parametros!$C$2))/12)))))</f>
        <v/>
      </c>
      <c r="D803" s="394"/>
      <c r="E803" s="78" t="str">
        <f>IF(C803="","",IFERROR(VLOOKUP(C803,parametros!$A$11:$E$15,5,0),""))</f>
        <v/>
      </c>
      <c r="F803" s="79" t="str">
        <f t="shared" si="62"/>
        <v/>
      </c>
      <c r="G803" s="395"/>
      <c r="H803" s="91">
        <f t="shared" si="63"/>
        <v>0</v>
      </c>
      <c r="I803" s="91" t="str">
        <f t="shared" si="64"/>
        <v/>
      </c>
      <c r="J803" s="91" t="str">
        <f t="shared" si="65"/>
        <v/>
      </c>
      <c r="K803" s="92" t="str">
        <f>IF(AND(A803="",B803="",D803="",G803=""),"",IF(AND(A803&lt;&gt;"",COUNTIF($A$2:$A$5001,A803)&gt;1),"NUMERO_PC duplicado",IF(B803="","DATA_PC vazia",IF(NOT(ISNUMBER(B803)),"DATA_PC invalida",IF(OR(C803="",C803="Fora dos ciclos"),"CICLO_PC nao identificado",IF(OR(D803="",D803=0),"VALOR_PC vazio ou zero",IF(AND(G803&lt;&gt;"Sim",G803&lt;&gt;"Nao",G803&lt;&gt;""),"PC_PAGO_A_CONTRATADA invalido",IF(AND(C803&lt;&gt;"C0",IFERROR(INDEX(parametros!$A$2:$A$6,MATCH(C803,parametros!$B$2:$B$6,0)),"")="Sim",IFERROR(INDEX(parametros!$H$2:$H$6,MATCH(C803,parametros!$B$2:$B$6,0)),"")=""),"INICIO_EFEITO ausente: PC "&amp;A803&amp;" - "&amp;C803,IF(L803="","EFEITO_PC nao calculado: PC "&amp;A803&amp;" - "&amp;C803,"OK")))))))))</f>
        <v/>
      </c>
      <c r="L803" s="92" t="str">
        <f>IF(AND(A803="",B803="",D803="",G803=""),"",IF(OR(B803="",NOT(ISNUMBER(B803)),C803="",C803="Fora dos ciclos"),"",IF(C803="C0","Nao",IF(IFERROR(INDEX(parametros!$A$2:$A$6,MATCH(C803,parametros!$B$2:$B$6,0)),"")&lt;&gt;"Sim","Nao",IF(IFERROR(INDEX(parametros!$H$2:$H$6,MATCH(C803,parametros!$B$2:$B$6,0)),"")="","",IF(B803&gt;=IFERROR(INDEX(parametros!$H$2:$H$6,MATCH(C803,parametros!$B$2:$B$6,0)),""),"Sim","Nao"))))))</f>
        <v/>
      </c>
      <c r="T803" s="156"/>
      <c r="U803" s="214" t="str">
        <f t="shared" si="66"/>
        <v/>
      </c>
      <c r="V803" s="212" t="s">
        <v>50</v>
      </c>
      <c r="W803" s="100" t="s">
        <v>168</v>
      </c>
      <c r="X803" s="100" t="s">
        <v>169</v>
      </c>
      <c r="Y803" s="101" t="s">
        <v>170</v>
      </c>
      <c r="Z803" s="101" t="s">
        <v>171</v>
      </c>
      <c r="AA803" s="101" t="s">
        <v>50</v>
      </c>
      <c r="AB803" s="101" t="s">
        <v>172</v>
      </c>
      <c r="AC803" s="102" t="s">
        <v>173</v>
      </c>
    </row>
    <row r="804" spans="1:29" ht="25.5" customHeight="1" x14ac:dyDescent="0.35">
      <c r="A804" s="392"/>
      <c r="B804" s="393"/>
      <c r="C804" s="99" t="str">
        <f>IF(B804="","",IF(NOT(ISNUMBER(B804)),"DATA_PC invalida",IF(NOT(ISNUMBER(parametros!$C$2)),"Fora dos ciclos",IF(OR(B804&lt;parametros!$C$2,(YEAR(B804)-YEAR(parametros!$C$2))*12+MONTH(B804)-MONTH(parametros!$C$2)&gt;59),"Fora dos ciclos","C"&amp;INT(((YEAR(B804)-YEAR(parametros!$C$2))*12+MONTH(B804)-MONTH(parametros!$C$2))/12)))))</f>
        <v/>
      </c>
      <c r="D804" s="394"/>
      <c r="E804" s="78" t="str">
        <f>IF(C804="","",IFERROR(VLOOKUP(C804,parametros!$A$11:$E$15,5,0),""))</f>
        <v/>
      </c>
      <c r="F804" s="79" t="str">
        <f t="shared" si="62"/>
        <v/>
      </c>
      <c r="G804" s="395"/>
      <c r="H804" s="91">
        <f t="shared" si="63"/>
        <v>0</v>
      </c>
      <c r="I804" s="91" t="str">
        <f t="shared" si="64"/>
        <v/>
      </c>
      <c r="J804" s="91" t="str">
        <f t="shared" si="65"/>
        <v/>
      </c>
      <c r="K804" s="92" t="str">
        <f>IF(AND(A804="",B804="",D804="",G804=""),"",IF(AND(A804&lt;&gt;"",COUNTIF($A$2:$A$5001,A804)&gt;1),"NUMERO_PC duplicado",IF(B804="","DATA_PC vazia",IF(NOT(ISNUMBER(B804)),"DATA_PC invalida",IF(OR(C804="",C804="Fora dos ciclos"),"CICLO_PC nao identificado",IF(OR(D804="",D804=0),"VALOR_PC vazio ou zero",IF(AND(G804&lt;&gt;"Sim",G804&lt;&gt;"Nao",G804&lt;&gt;""),"PC_PAGO_A_CONTRATADA invalido",IF(AND(C804&lt;&gt;"C0",IFERROR(INDEX(parametros!$A$2:$A$6,MATCH(C804,parametros!$B$2:$B$6,0)),"")="Sim",IFERROR(INDEX(parametros!$H$2:$H$6,MATCH(C804,parametros!$B$2:$B$6,0)),"")=""),"INICIO_EFEITO ausente: PC "&amp;A804&amp;" - "&amp;C804,IF(L804="","EFEITO_PC nao calculado: PC "&amp;A804&amp;" - "&amp;C804,"OK")))))))))</f>
        <v/>
      </c>
      <c r="L804" s="92" t="str">
        <f>IF(AND(A804="",B804="",D804="",G804=""),"",IF(OR(B804="",NOT(ISNUMBER(B804)),C804="",C804="Fora dos ciclos"),"",IF(C804="C0","Nao",IF(IFERROR(INDEX(parametros!$A$2:$A$6,MATCH(C804,parametros!$B$2:$B$6,0)),"")&lt;&gt;"Sim","Nao",IF(IFERROR(INDEX(parametros!$H$2:$H$6,MATCH(C804,parametros!$B$2:$B$6,0)),"")="","",IF(B804&gt;=IFERROR(INDEX(parametros!$H$2:$H$6,MATCH(C804,parametros!$B$2:$B$6,0)),""),"Sim","Nao"))))))</f>
        <v/>
      </c>
      <c r="T804" s="156"/>
      <c r="U804" s="214" t="str">
        <f t="shared" si="66"/>
        <v/>
      </c>
      <c r="V804" s="212" t="s">
        <v>50</v>
      </c>
      <c r="W804" s="100" t="s">
        <v>168</v>
      </c>
      <c r="X804" s="100" t="s">
        <v>169</v>
      </c>
      <c r="Y804" s="101" t="s">
        <v>170</v>
      </c>
      <c r="Z804" s="101" t="s">
        <v>171</v>
      </c>
      <c r="AA804" s="101" t="s">
        <v>50</v>
      </c>
      <c r="AB804" s="101" t="s">
        <v>172</v>
      </c>
      <c r="AC804" s="102" t="s">
        <v>173</v>
      </c>
    </row>
    <row r="805" spans="1:29" ht="25.5" customHeight="1" x14ac:dyDescent="0.35">
      <c r="A805" s="392"/>
      <c r="B805" s="393"/>
      <c r="C805" s="99" t="str">
        <f>IF(B805="","",IF(NOT(ISNUMBER(B805)),"DATA_PC invalida",IF(NOT(ISNUMBER(parametros!$C$2)),"Fora dos ciclos",IF(OR(B805&lt;parametros!$C$2,(YEAR(B805)-YEAR(parametros!$C$2))*12+MONTH(B805)-MONTH(parametros!$C$2)&gt;59),"Fora dos ciclos","C"&amp;INT(((YEAR(B805)-YEAR(parametros!$C$2))*12+MONTH(B805)-MONTH(parametros!$C$2))/12)))))</f>
        <v/>
      </c>
      <c r="D805" s="394"/>
      <c r="E805" s="78" t="str">
        <f>IF(C805="","",IFERROR(VLOOKUP(C805,parametros!$A$11:$E$15,5,0),""))</f>
        <v/>
      </c>
      <c r="F805" s="79" t="str">
        <f t="shared" si="62"/>
        <v/>
      </c>
      <c r="G805" s="395"/>
      <c r="H805" s="91">
        <f t="shared" si="63"/>
        <v>0</v>
      </c>
      <c r="I805" s="91" t="str">
        <f t="shared" si="64"/>
        <v/>
      </c>
      <c r="J805" s="91" t="str">
        <f t="shared" si="65"/>
        <v/>
      </c>
      <c r="K805" s="92" t="str">
        <f>IF(AND(A805="",B805="",D805="",G805=""),"",IF(AND(A805&lt;&gt;"",COUNTIF($A$2:$A$5001,A805)&gt;1),"NUMERO_PC duplicado",IF(B805="","DATA_PC vazia",IF(NOT(ISNUMBER(B805)),"DATA_PC invalida",IF(OR(C805="",C805="Fora dos ciclos"),"CICLO_PC nao identificado",IF(OR(D805="",D805=0),"VALOR_PC vazio ou zero",IF(AND(G805&lt;&gt;"Sim",G805&lt;&gt;"Nao",G805&lt;&gt;""),"PC_PAGO_A_CONTRATADA invalido",IF(AND(C805&lt;&gt;"C0",IFERROR(INDEX(parametros!$A$2:$A$6,MATCH(C805,parametros!$B$2:$B$6,0)),"")="Sim",IFERROR(INDEX(parametros!$H$2:$H$6,MATCH(C805,parametros!$B$2:$B$6,0)),"")=""),"INICIO_EFEITO ausente: PC "&amp;A805&amp;" - "&amp;C805,IF(L805="","EFEITO_PC nao calculado: PC "&amp;A805&amp;" - "&amp;C805,"OK")))))))))</f>
        <v/>
      </c>
      <c r="L805" s="92" t="str">
        <f>IF(AND(A805="",B805="",D805="",G805=""),"",IF(OR(B805="",NOT(ISNUMBER(B805)),C805="",C805="Fora dos ciclos"),"",IF(C805="C0","Nao",IF(IFERROR(INDEX(parametros!$A$2:$A$6,MATCH(C805,parametros!$B$2:$B$6,0)),"")&lt;&gt;"Sim","Nao",IF(IFERROR(INDEX(parametros!$H$2:$H$6,MATCH(C805,parametros!$B$2:$B$6,0)),"")="","",IF(B805&gt;=IFERROR(INDEX(parametros!$H$2:$H$6,MATCH(C805,parametros!$B$2:$B$6,0)),""),"Sim","Nao"))))))</f>
        <v/>
      </c>
      <c r="T805" s="156"/>
      <c r="U805" s="214" t="str">
        <f t="shared" si="66"/>
        <v/>
      </c>
      <c r="V805" s="212" t="s">
        <v>50</v>
      </c>
      <c r="W805" s="100" t="s">
        <v>168</v>
      </c>
      <c r="X805" s="100" t="s">
        <v>169</v>
      </c>
      <c r="Y805" s="101" t="s">
        <v>170</v>
      </c>
      <c r="Z805" s="101" t="s">
        <v>171</v>
      </c>
      <c r="AA805" s="101" t="s">
        <v>50</v>
      </c>
      <c r="AB805" s="101" t="s">
        <v>172</v>
      </c>
      <c r="AC805" s="102" t="s">
        <v>173</v>
      </c>
    </row>
    <row r="806" spans="1:29" ht="25.5" customHeight="1" x14ac:dyDescent="0.35">
      <c r="A806" s="392"/>
      <c r="B806" s="393"/>
      <c r="C806" s="99" t="str">
        <f>IF(B806="","",IF(NOT(ISNUMBER(B806)),"DATA_PC invalida",IF(NOT(ISNUMBER(parametros!$C$2)),"Fora dos ciclos",IF(OR(B806&lt;parametros!$C$2,(YEAR(B806)-YEAR(parametros!$C$2))*12+MONTH(B806)-MONTH(parametros!$C$2)&gt;59),"Fora dos ciclos","C"&amp;INT(((YEAR(B806)-YEAR(parametros!$C$2))*12+MONTH(B806)-MONTH(parametros!$C$2))/12)))))</f>
        <v/>
      </c>
      <c r="D806" s="394"/>
      <c r="E806" s="78" t="str">
        <f>IF(C806="","",IFERROR(VLOOKUP(C806,parametros!$A$11:$E$15,5,0),""))</f>
        <v/>
      </c>
      <c r="F806" s="79" t="str">
        <f t="shared" si="62"/>
        <v/>
      </c>
      <c r="G806" s="395"/>
      <c r="H806" s="91">
        <f t="shared" si="63"/>
        <v>0</v>
      </c>
      <c r="I806" s="91" t="str">
        <f t="shared" si="64"/>
        <v/>
      </c>
      <c r="J806" s="91" t="str">
        <f t="shared" si="65"/>
        <v/>
      </c>
      <c r="K806" s="92" t="str">
        <f>IF(AND(A806="",B806="",D806="",G806=""),"",IF(AND(A806&lt;&gt;"",COUNTIF($A$2:$A$5001,A806)&gt;1),"NUMERO_PC duplicado",IF(B806="","DATA_PC vazia",IF(NOT(ISNUMBER(B806)),"DATA_PC invalida",IF(OR(C806="",C806="Fora dos ciclos"),"CICLO_PC nao identificado",IF(OR(D806="",D806=0),"VALOR_PC vazio ou zero",IF(AND(G806&lt;&gt;"Sim",G806&lt;&gt;"Nao",G806&lt;&gt;""),"PC_PAGO_A_CONTRATADA invalido",IF(AND(C806&lt;&gt;"C0",IFERROR(INDEX(parametros!$A$2:$A$6,MATCH(C806,parametros!$B$2:$B$6,0)),"")="Sim",IFERROR(INDEX(parametros!$H$2:$H$6,MATCH(C806,parametros!$B$2:$B$6,0)),"")=""),"INICIO_EFEITO ausente: PC "&amp;A806&amp;" - "&amp;C806,IF(L806="","EFEITO_PC nao calculado: PC "&amp;A806&amp;" - "&amp;C806,"OK")))))))))</f>
        <v/>
      </c>
      <c r="L806" s="92" t="str">
        <f>IF(AND(A806="",B806="",D806="",G806=""),"",IF(OR(B806="",NOT(ISNUMBER(B806)),C806="",C806="Fora dos ciclos"),"",IF(C806="C0","Nao",IF(IFERROR(INDEX(parametros!$A$2:$A$6,MATCH(C806,parametros!$B$2:$B$6,0)),"")&lt;&gt;"Sim","Nao",IF(IFERROR(INDEX(parametros!$H$2:$H$6,MATCH(C806,parametros!$B$2:$B$6,0)),"")="","",IF(B806&gt;=IFERROR(INDEX(parametros!$H$2:$H$6,MATCH(C806,parametros!$B$2:$B$6,0)),""),"Sim","Nao"))))))</f>
        <v/>
      </c>
      <c r="T806" s="156"/>
      <c r="U806" s="214" t="str">
        <f t="shared" si="66"/>
        <v/>
      </c>
      <c r="V806" s="212" t="s">
        <v>50</v>
      </c>
      <c r="W806" s="100" t="s">
        <v>168</v>
      </c>
      <c r="X806" s="100" t="s">
        <v>169</v>
      </c>
      <c r="Y806" s="101" t="s">
        <v>170</v>
      </c>
      <c r="Z806" s="101" t="s">
        <v>171</v>
      </c>
      <c r="AA806" s="101" t="s">
        <v>50</v>
      </c>
      <c r="AB806" s="101" t="s">
        <v>172</v>
      </c>
      <c r="AC806" s="102" t="s">
        <v>173</v>
      </c>
    </row>
    <row r="807" spans="1:29" ht="25.5" customHeight="1" x14ac:dyDescent="0.35">
      <c r="A807" s="392"/>
      <c r="B807" s="393"/>
      <c r="C807" s="99" t="str">
        <f>IF(B807="","",IF(NOT(ISNUMBER(B807)),"DATA_PC invalida",IF(NOT(ISNUMBER(parametros!$C$2)),"Fora dos ciclos",IF(OR(B807&lt;parametros!$C$2,(YEAR(B807)-YEAR(parametros!$C$2))*12+MONTH(B807)-MONTH(parametros!$C$2)&gt;59),"Fora dos ciclos","C"&amp;INT(((YEAR(B807)-YEAR(parametros!$C$2))*12+MONTH(B807)-MONTH(parametros!$C$2))/12)))))</f>
        <v/>
      </c>
      <c r="D807" s="394"/>
      <c r="E807" s="78" t="str">
        <f>IF(C807="","",IFERROR(VLOOKUP(C807,parametros!$A$11:$E$15,5,0),""))</f>
        <v/>
      </c>
      <c r="F807" s="79" t="str">
        <f t="shared" si="62"/>
        <v/>
      </c>
      <c r="G807" s="395"/>
      <c r="H807" s="91">
        <f t="shared" si="63"/>
        <v>0</v>
      </c>
      <c r="I807" s="91" t="str">
        <f t="shared" si="64"/>
        <v/>
      </c>
      <c r="J807" s="91" t="str">
        <f t="shared" si="65"/>
        <v/>
      </c>
      <c r="K807" s="92" t="str">
        <f>IF(AND(A807="",B807="",D807="",G807=""),"",IF(AND(A807&lt;&gt;"",COUNTIF($A$2:$A$5001,A807)&gt;1),"NUMERO_PC duplicado",IF(B807="","DATA_PC vazia",IF(NOT(ISNUMBER(B807)),"DATA_PC invalida",IF(OR(C807="",C807="Fora dos ciclos"),"CICLO_PC nao identificado",IF(OR(D807="",D807=0),"VALOR_PC vazio ou zero",IF(AND(G807&lt;&gt;"Sim",G807&lt;&gt;"Nao",G807&lt;&gt;""),"PC_PAGO_A_CONTRATADA invalido",IF(AND(C807&lt;&gt;"C0",IFERROR(INDEX(parametros!$A$2:$A$6,MATCH(C807,parametros!$B$2:$B$6,0)),"")="Sim",IFERROR(INDEX(parametros!$H$2:$H$6,MATCH(C807,parametros!$B$2:$B$6,0)),"")=""),"INICIO_EFEITO ausente: PC "&amp;A807&amp;" - "&amp;C807,IF(L807="","EFEITO_PC nao calculado: PC "&amp;A807&amp;" - "&amp;C807,"OK")))))))))</f>
        <v/>
      </c>
      <c r="L807" s="92" t="str">
        <f>IF(AND(A807="",B807="",D807="",G807=""),"",IF(OR(B807="",NOT(ISNUMBER(B807)),C807="",C807="Fora dos ciclos"),"",IF(C807="C0","Nao",IF(IFERROR(INDEX(parametros!$A$2:$A$6,MATCH(C807,parametros!$B$2:$B$6,0)),"")&lt;&gt;"Sim","Nao",IF(IFERROR(INDEX(parametros!$H$2:$H$6,MATCH(C807,parametros!$B$2:$B$6,0)),"")="","",IF(B807&gt;=IFERROR(INDEX(parametros!$H$2:$H$6,MATCH(C807,parametros!$B$2:$B$6,0)),""),"Sim","Nao"))))))</f>
        <v/>
      </c>
      <c r="T807" s="156"/>
      <c r="U807" s="214" t="str">
        <f t="shared" si="66"/>
        <v/>
      </c>
      <c r="V807" s="212" t="s">
        <v>50</v>
      </c>
      <c r="W807" s="100" t="s">
        <v>168</v>
      </c>
      <c r="X807" s="100" t="s">
        <v>169</v>
      </c>
      <c r="Y807" s="101" t="s">
        <v>170</v>
      </c>
      <c r="Z807" s="101" t="s">
        <v>171</v>
      </c>
      <c r="AA807" s="101" t="s">
        <v>50</v>
      </c>
      <c r="AB807" s="101" t="s">
        <v>172</v>
      </c>
      <c r="AC807" s="102" t="s">
        <v>173</v>
      </c>
    </row>
    <row r="808" spans="1:29" ht="25.5" customHeight="1" x14ac:dyDescent="0.35">
      <c r="A808" s="392"/>
      <c r="B808" s="393"/>
      <c r="C808" s="99" t="str">
        <f>IF(B808="","",IF(NOT(ISNUMBER(B808)),"DATA_PC invalida",IF(NOT(ISNUMBER(parametros!$C$2)),"Fora dos ciclos",IF(OR(B808&lt;parametros!$C$2,(YEAR(B808)-YEAR(parametros!$C$2))*12+MONTH(B808)-MONTH(parametros!$C$2)&gt;59),"Fora dos ciclos","C"&amp;INT(((YEAR(B808)-YEAR(parametros!$C$2))*12+MONTH(B808)-MONTH(parametros!$C$2))/12)))))</f>
        <v/>
      </c>
      <c r="D808" s="394"/>
      <c r="E808" s="78" t="str">
        <f>IF(C808="","",IFERROR(VLOOKUP(C808,parametros!$A$11:$E$15,5,0),""))</f>
        <v/>
      </c>
      <c r="F808" s="79" t="str">
        <f t="shared" si="62"/>
        <v/>
      </c>
      <c r="G808" s="395"/>
      <c r="H808" s="91">
        <f t="shared" si="63"/>
        <v>0</v>
      </c>
      <c r="I808" s="91" t="str">
        <f t="shared" si="64"/>
        <v/>
      </c>
      <c r="J808" s="91" t="str">
        <f t="shared" si="65"/>
        <v/>
      </c>
      <c r="K808" s="92" t="str">
        <f>IF(AND(A808="",B808="",D808="",G808=""),"",IF(AND(A808&lt;&gt;"",COUNTIF($A$2:$A$5001,A808)&gt;1),"NUMERO_PC duplicado",IF(B808="","DATA_PC vazia",IF(NOT(ISNUMBER(B808)),"DATA_PC invalida",IF(OR(C808="",C808="Fora dos ciclos"),"CICLO_PC nao identificado",IF(OR(D808="",D808=0),"VALOR_PC vazio ou zero",IF(AND(G808&lt;&gt;"Sim",G808&lt;&gt;"Nao",G808&lt;&gt;""),"PC_PAGO_A_CONTRATADA invalido",IF(AND(C808&lt;&gt;"C0",IFERROR(INDEX(parametros!$A$2:$A$6,MATCH(C808,parametros!$B$2:$B$6,0)),"")="Sim",IFERROR(INDEX(parametros!$H$2:$H$6,MATCH(C808,parametros!$B$2:$B$6,0)),"")=""),"INICIO_EFEITO ausente: PC "&amp;A808&amp;" - "&amp;C808,IF(L808="","EFEITO_PC nao calculado: PC "&amp;A808&amp;" - "&amp;C808,"OK")))))))))</f>
        <v/>
      </c>
      <c r="L808" s="92" t="str">
        <f>IF(AND(A808="",B808="",D808="",G808=""),"",IF(OR(B808="",NOT(ISNUMBER(B808)),C808="",C808="Fora dos ciclos"),"",IF(C808="C0","Nao",IF(IFERROR(INDEX(parametros!$A$2:$A$6,MATCH(C808,parametros!$B$2:$B$6,0)),"")&lt;&gt;"Sim","Nao",IF(IFERROR(INDEX(parametros!$H$2:$H$6,MATCH(C808,parametros!$B$2:$B$6,0)),"")="","",IF(B808&gt;=IFERROR(INDEX(parametros!$H$2:$H$6,MATCH(C808,parametros!$B$2:$B$6,0)),""),"Sim","Nao"))))))</f>
        <v/>
      </c>
      <c r="T808" s="156"/>
      <c r="U808" s="214" t="str">
        <f t="shared" si="66"/>
        <v/>
      </c>
      <c r="V808" s="212" t="s">
        <v>50</v>
      </c>
      <c r="W808" s="100" t="s">
        <v>168</v>
      </c>
      <c r="X808" s="100" t="s">
        <v>169</v>
      </c>
      <c r="Y808" s="101" t="s">
        <v>170</v>
      </c>
      <c r="Z808" s="101" t="s">
        <v>171</v>
      </c>
      <c r="AA808" s="101" t="s">
        <v>50</v>
      </c>
      <c r="AB808" s="101" t="s">
        <v>172</v>
      </c>
      <c r="AC808" s="102" t="s">
        <v>173</v>
      </c>
    </row>
    <row r="809" spans="1:29" ht="25.5" customHeight="1" x14ac:dyDescent="0.35">
      <c r="A809" s="392"/>
      <c r="B809" s="393"/>
      <c r="C809" s="99" t="str">
        <f>IF(B809="","",IF(NOT(ISNUMBER(B809)),"DATA_PC invalida",IF(NOT(ISNUMBER(parametros!$C$2)),"Fora dos ciclos",IF(OR(B809&lt;parametros!$C$2,(YEAR(B809)-YEAR(parametros!$C$2))*12+MONTH(B809)-MONTH(parametros!$C$2)&gt;59),"Fora dos ciclos","C"&amp;INT(((YEAR(B809)-YEAR(parametros!$C$2))*12+MONTH(B809)-MONTH(parametros!$C$2))/12)))))</f>
        <v/>
      </c>
      <c r="D809" s="394"/>
      <c r="E809" s="78" t="str">
        <f>IF(C809="","",IFERROR(VLOOKUP(C809,parametros!$A$11:$E$15,5,0),""))</f>
        <v/>
      </c>
      <c r="F809" s="79" t="str">
        <f t="shared" si="62"/>
        <v/>
      </c>
      <c r="G809" s="395"/>
      <c r="H809" s="91">
        <f t="shared" si="63"/>
        <v>0</v>
      </c>
      <c r="I809" s="91" t="str">
        <f t="shared" si="64"/>
        <v/>
      </c>
      <c r="J809" s="91" t="str">
        <f t="shared" si="65"/>
        <v/>
      </c>
      <c r="K809" s="92" t="str">
        <f>IF(AND(A809="",B809="",D809="",G809=""),"",IF(AND(A809&lt;&gt;"",COUNTIF($A$2:$A$5001,A809)&gt;1),"NUMERO_PC duplicado",IF(B809="","DATA_PC vazia",IF(NOT(ISNUMBER(B809)),"DATA_PC invalida",IF(OR(C809="",C809="Fora dos ciclos"),"CICLO_PC nao identificado",IF(OR(D809="",D809=0),"VALOR_PC vazio ou zero",IF(AND(G809&lt;&gt;"Sim",G809&lt;&gt;"Nao",G809&lt;&gt;""),"PC_PAGO_A_CONTRATADA invalido",IF(AND(C809&lt;&gt;"C0",IFERROR(INDEX(parametros!$A$2:$A$6,MATCH(C809,parametros!$B$2:$B$6,0)),"")="Sim",IFERROR(INDEX(parametros!$H$2:$H$6,MATCH(C809,parametros!$B$2:$B$6,0)),"")=""),"INICIO_EFEITO ausente: PC "&amp;A809&amp;" - "&amp;C809,IF(L809="","EFEITO_PC nao calculado: PC "&amp;A809&amp;" - "&amp;C809,"OK")))))))))</f>
        <v/>
      </c>
      <c r="L809" s="92" t="str">
        <f>IF(AND(A809="",B809="",D809="",G809=""),"",IF(OR(B809="",NOT(ISNUMBER(B809)),C809="",C809="Fora dos ciclos"),"",IF(C809="C0","Nao",IF(IFERROR(INDEX(parametros!$A$2:$A$6,MATCH(C809,parametros!$B$2:$B$6,0)),"")&lt;&gt;"Sim","Nao",IF(IFERROR(INDEX(parametros!$H$2:$H$6,MATCH(C809,parametros!$B$2:$B$6,0)),"")="","",IF(B809&gt;=IFERROR(INDEX(parametros!$H$2:$H$6,MATCH(C809,parametros!$B$2:$B$6,0)),""),"Sim","Nao"))))))</f>
        <v/>
      </c>
      <c r="T809" s="156"/>
      <c r="U809" s="214" t="str">
        <f t="shared" si="66"/>
        <v/>
      </c>
      <c r="V809" s="212" t="s">
        <v>50</v>
      </c>
      <c r="W809" s="100" t="s">
        <v>168</v>
      </c>
      <c r="X809" s="100" t="s">
        <v>169</v>
      </c>
      <c r="Y809" s="101" t="s">
        <v>170</v>
      </c>
      <c r="Z809" s="101" t="s">
        <v>171</v>
      </c>
      <c r="AA809" s="101" t="s">
        <v>50</v>
      </c>
      <c r="AB809" s="101" t="s">
        <v>172</v>
      </c>
      <c r="AC809" s="102" t="s">
        <v>173</v>
      </c>
    </row>
    <row r="810" spans="1:29" ht="25.5" customHeight="1" x14ac:dyDescent="0.35">
      <c r="A810" s="392"/>
      <c r="B810" s="393"/>
      <c r="C810" s="99" t="str">
        <f>IF(B810="","",IF(NOT(ISNUMBER(B810)),"DATA_PC invalida",IF(NOT(ISNUMBER(parametros!$C$2)),"Fora dos ciclos",IF(OR(B810&lt;parametros!$C$2,(YEAR(B810)-YEAR(parametros!$C$2))*12+MONTH(B810)-MONTH(parametros!$C$2)&gt;59),"Fora dos ciclos","C"&amp;INT(((YEAR(B810)-YEAR(parametros!$C$2))*12+MONTH(B810)-MONTH(parametros!$C$2))/12)))))</f>
        <v/>
      </c>
      <c r="D810" s="394"/>
      <c r="E810" s="78" t="str">
        <f>IF(C810="","",IFERROR(VLOOKUP(C810,parametros!$A$11:$E$15,5,0),""))</f>
        <v/>
      </c>
      <c r="F810" s="79" t="str">
        <f t="shared" si="62"/>
        <v/>
      </c>
      <c r="G810" s="395"/>
      <c r="H810" s="91">
        <f t="shared" si="63"/>
        <v>0</v>
      </c>
      <c r="I810" s="91" t="str">
        <f t="shared" si="64"/>
        <v/>
      </c>
      <c r="J810" s="91" t="str">
        <f t="shared" si="65"/>
        <v/>
      </c>
      <c r="K810" s="92" t="str">
        <f>IF(AND(A810="",B810="",D810="",G810=""),"",IF(AND(A810&lt;&gt;"",COUNTIF($A$2:$A$5001,A810)&gt;1),"NUMERO_PC duplicado",IF(B810="","DATA_PC vazia",IF(NOT(ISNUMBER(B810)),"DATA_PC invalida",IF(OR(C810="",C810="Fora dos ciclos"),"CICLO_PC nao identificado",IF(OR(D810="",D810=0),"VALOR_PC vazio ou zero",IF(AND(G810&lt;&gt;"Sim",G810&lt;&gt;"Nao",G810&lt;&gt;""),"PC_PAGO_A_CONTRATADA invalido",IF(AND(C810&lt;&gt;"C0",IFERROR(INDEX(parametros!$A$2:$A$6,MATCH(C810,parametros!$B$2:$B$6,0)),"")="Sim",IFERROR(INDEX(parametros!$H$2:$H$6,MATCH(C810,parametros!$B$2:$B$6,0)),"")=""),"INICIO_EFEITO ausente: PC "&amp;A810&amp;" - "&amp;C810,IF(L810="","EFEITO_PC nao calculado: PC "&amp;A810&amp;" - "&amp;C810,"OK")))))))))</f>
        <v/>
      </c>
      <c r="L810" s="92" t="str">
        <f>IF(AND(A810="",B810="",D810="",G810=""),"",IF(OR(B810="",NOT(ISNUMBER(B810)),C810="",C810="Fora dos ciclos"),"",IF(C810="C0","Nao",IF(IFERROR(INDEX(parametros!$A$2:$A$6,MATCH(C810,parametros!$B$2:$B$6,0)),"")&lt;&gt;"Sim","Nao",IF(IFERROR(INDEX(parametros!$H$2:$H$6,MATCH(C810,parametros!$B$2:$B$6,0)),"")="","",IF(B810&gt;=IFERROR(INDEX(parametros!$H$2:$H$6,MATCH(C810,parametros!$B$2:$B$6,0)),""),"Sim","Nao"))))))</f>
        <v/>
      </c>
      <c r="T810" s="156"/>
      <c r="U810" s="214" t="str">
        <f t="shared" si="66"/>
        <v/>
      </c>
      <c r="V810" s="212" t="s">
        <v>50</v>
      </c>
      <c r="W810" s="100" t="s">
        <v>168</v>
      </c>
      <c r="X810" s="100" t="s">
        <v>169</v>
      </c>
      <c r="Y810" s="101" t="s">
        <v>170</v>
      </c>
      <c r="Z810" s="101" t="s">
        <v>171</v>
      </c>
      <c r="AA810" s="101" t="s">
        <v>50</v>
      </c>
      <c r="AB810" s="101" t="s">
        <v>172</v>
      </c>
      <c r="AC810" s="102" t="s">
        <v>173</v>
      </c>
    </row>
    <row r="811" spans="1:29" ht="25.5" customHeight="1" x14ac:dyDescent="0.35">
      <c r="A811" s="392"/>
      <c r="B811" s="393"/>
      <c r="C811" s="99" t="str">
        <f>IF(B811="","",IF(NOT(ISNUMBER(B811)),"DATA_PC invalida",IF(NOT(ISNUMBER(parametros!$C$2)),"Fora dos ciclos",IF(OR(B811&lt;parametros!$C$2,(YEAR(B811)-YEAR(parametros!$C$2))*12+MONTH(B811)-MONTH(parametros!$C$2)&gt;59),"Fora dos ciclos","C"&amp;INT(((YEAR(B811)-YEAR(parametros!$C$2))*12+MONTH(B811)-MONTH(parametros!$C$2))/12)))))</f>
        <v/>
      </c>
      <c r="D811" s="394"/>
      <c r="E811" s="78" t="str">
        <f>IF(C811="","",IFERROR(VLOOKUP(C811,parametros!$A$11:$E$15,5,0),""))</f>
        <v/>
      </c>
      <c r="F811" s="79" t="str">
        <f t="shared" si="62"/>
        <v/>
      </c>
      <c r="G811" s="395"/>
      <c r="H811" s="91">
        <f t="shared" si="63"/>
        <v>0</v>
      </c>
      <c r="I811" s="91" t="str">
        <f t="shared" si="64"/>
        <v/>
      </c>
      <c r="J811" s="91" t="str">
        <f t="shared" si="65"/>
        <v/>
      </c>
      <c r="K811" s="92" t="str">
        <f>IF(AND(A811="",B811="",D811="",G811=""),"",IF(AND(A811&lt;&gt;"",COUNTIF($A$2:$A$5001,A811)&gt;1),"NUMERO_PC duplicado",IF(B811="","DATA_PC vazia",IF(NOT(ISNUMBER(B811)),"DATA_PC invalida",IF(OR(C811="",C811="Fora dos ciclos"),"CICLO_PC nao identificado",IF(OR(D811="",D811=0),"VALOR_PC vazio ou zero",IF(AND(G811&lt;&gt;"Sim",G811&lt;&gt;"Nao",G811&lt;&gt;""),"PC_PAGO_A_CONTRATADA invalido",IF(AND(C811&lt;&gt;"C0",IFERROR(INDEX(parametros!$A$2:$A$6,MATCH(C811,parametros!$B$2:$B$6,0)),"")="Sim",IFERROR(INDEX(parametros!$H$2:$H$6,MATCH(C811,parametros!$B$2:$B$6,0)),"")=""),"INICIO_EFEITO ausente: PC "&amp;A811&amp;" - "&amp;C811,IF(L811="","EFEITO_PC nao calculado: PC "&amp;A811&amp;" - "&amp;C811,"OK")))))))))</f>
        <v/>
      </c>
      <c r="L811" s="92" t="str">
        <f>IF(AND(A811="",B811="",D811="",G811=""),"",IF(OR(B811="",NOT(ISNUMBER(B811)),C811="",C811="Fora dos ciclos"),"",IF(C811="C0","Nao",IF(IFERROR(INDEX(parametros!$A$2:$A$6,MATCH(C811,parametros!$B$2:$B$6,0)),"")&lt;&gt;"Sim","Nao",IF(IFERROR(INDEX(parametros!$H$2:$H$6,MATCH(C811,parametros!$B$2:$B$6,0)),"")="","",IF(B811&gt;=IFERROR(INDEX(parametros!$H$2:$H$6,MATCH(C811,parametros!$B$2:$B$6,0)),""),"Sim","Nao"))))))</f>
        <v/>
      </c>
      <c r="T811" s="156"/>
      <c r="U811" s="214" t="str">
        <f t="shared" si="66"/>
        <v/>
      </c>
      <c r="V811" s="212" t="s">
        <v>50</v>
      </c>
      <c r="W811" s="100" t="s">
        <v>168</v>
      </c>
      <c r="X811" s="100" t="s">
        <v>169</v>
      </c>
      <c r="Y811" s="101" t="s">
        <v>170</v>
      </c>
      <c r="Z811" s="101" t="s">
        <v>171</v>
      </c>
      <c r="AA811" s="101" t="s">
        <v>50</v>
      </c>
      <c r="AB811" s="101" t="s">
        <v>172</v>
      </c>
      <c r="AC811" s="102" t="s">
        <v>173</v>
      </c>
    </row>
    <row r="812" spans="1:29" ht="25.5" customHeight="1" x14ac:dyDescent="0.35">
      <c r="A812" s="392"/>
      <c r="B812" s="393"/>
      <c r="C812" s="99" t="str">
        <f>IF(B812="","",IF(NOT(ISNUMBER(B812)),"DATA_PC invalida",IF(NOT(ISNUMBER(parametros!$C$2)),"Fora dos ciclos",IF(OR(B812&lt;parametros!$C$2,(YEAR(B812)-YEAR(parametros!$C$2))*12+MONTH(B812)-MONTH(parametros!$C$2)&gt;59),"Fora dos ciclos","C"&amp;INT(((YEAR(B812)-YEAR(parametros!$C$2))*12+MONTH(B812)-MONTH(parametros!$C$2))/12)))))</f>
        <v/>
      </c>
      <c r="D812" s="394"/>
      <c r="E812" s="78" t="str">
        <f>IF(C812="","",IFERROR(VLOOKUP(C812,parametros!$A$11:$E$15,5,0),""))</f>
        <v/>
      </c>
      <c r="F812" s="79" t="str">
        <f t="shared" si="62"/>
        <v/>
      </c>
      <c r="G812" s="395"/>
      <c r="H812" s="91">
        <f t="shared" si="63"/>
        <v>0</v>
      </c>
      <c r="I812" s="91" t="str">
        <f t="shared" si="64"/>
        <v/>
      </c>
      <c r="J812" s="91" t="str">
        <f t="shared" si="65"/>
        <v/>
      </c>
      <c r="K812" s="92" t="str">
        <f>IF(AND(A812="",B812="",D812="",G812=""),"",IF(AND(A812&lt;&gt;"",COUNTIF($A$2:$A$5001,A812)&gt;1),"NUMERO_PC duplicado",IF(B812="","DATA_PC vazia",IF(NOT(ISNUMBER(B812)),"DATA_PC invalida",IF(OR(C812="",C812="Fora dos ciclos"),"CICLO_PC nao identificado",IF(OR(D812="",D812=0),"VALOR_PC vazio ou zero",IF(AND(G812&lt;&gt;"Sim",G812&lt;&gt;"Nao",G812&lt;&gt;""),"PC_PAGO_A_CONTRATADA invalido",IF(AND(C812&lt;&gt;"C0",IFERROR(INDEX(parametros!$A$2:$A$6,MATCH(C812,parametros!$B$2:$B$6,0)),"")="Sim",IFERROR(INDEX(parametros!$H$2:$H$6,MATCH(C812,parametros!$B$2:$B$6,0)),"")=""),"INICIO_EFEITO ausente: PC "&amp;A812&amp;" - "&amp;C812,IF(L812="","EFEITO_PC nao calculado: PC "&amp;A812&amp;" - "&amp;C812,"OK")))))))))</f>
        <v/>
      </c>
      <c r="L812" s="92" t="str">
        <f>IF(AND(A812="",B812="",D812="",G812=""),"",IF(OR(B812="",NOT(ISNUMBER(B812)),C812="",C812="Fora dos ciclos"),"",IF(C812="C0","Nao",IF(IFERROR(INDEX(parametros!$A$2:$A$6,MATCH(C812,parametros!$B$2:$B$6,0)),"")&lt;&gt;"Sim","Nao",IF(IFERROR(INDEX(parametros!$H$2:$H$6,MATCH(C812,parametros!$B$2:$B$6,0)),"")="","",IF(B812&gt;=IFERROR(INDEX(parametros!$H$2:$H$6,MATCH(C812,parametros!$B$2:$B$6,0)),""),"Sim","Nao"))))))</f>
        <v/>
      </c>
      <c r="T812" s="156"/>
      <c r="U812" s="214" t="str">
        <f t="shared" si="66"/>
        <v/>
      </c>
      <c r="V812" s="212" t="s">
        <v>50</v>
      </c>
      <c r="W812" s="100" t="s">
        <v>168</v>
      </c>
      <c r="X812" s="100" t="s">
        <v>169</v>
      </c>
      <c r="Y812" s="101" t="s">
        <v>170</v>
      </c>
      <c r="Z812" s="101" t="s">
        <v>171</v>
      </c>
      <c r="AA812" s="101" t="s">
        <v>50</v>
      </c>
      <c r="AB812" s="101" t="s">
        <v>172</v>
      </c>
      <c r="AC812" s="102" t="s">
        <v>173</v>
      </c>
    </row>
    <row r="813" spans="1:29" ht="25.5" customHeight="1" x14ac:dyDescent="0.35">
      <c r="A813" s="392"/>
      <c r="B813" s="393"/>
      <c r="C813" s="99" t="str">
        <f>IF(B813="","",IF(NOT(ISNUMBER(B813)),"DATA_PC invalida",IF(NOT(ISNUMBER(parametros!$C$2)),"Fora dos ciclos",IF(OR(B813&lt;parametros!$C$2,(YEAR(B813)-YEAR(parametros!$C$2))*12+MONTH(B813)-MONTH(parametros!$C$2)&gt;59),"Fora dos ciclos","C"&amp;INT(((YEAR(B813)-YEAR(parametros!$C$2))*12+MONTH(B813)-MONTH(parametros!$C$2))/12)))))</f>
        <v/>
      </c>
      <c r="D813" s="394"/>
      <c r="E813" s="78" t="str">
        <f>IF(C813="","",IFERROR(VLOOKUP(C813,parametros!$A$11:$E$15,5,0),""))</f>
        <v/>
      </c>
      <c r="F813" s="79" t="str">
        <f t="shared" si="62"/>
        <v/>
      </c>
      <c r="G813" s="395"/>
      <c r="H813" s="91">
        <f t="shared" si="63"/>
        <v>0</v>
      </c>
      <c r="I813" s="91" t="str">
        <f t="shared" si="64"/>
        <v/>
      </c>
      <c r="J813" s="91" t="str">
        <f t="shared" si="65"/>
        <v/>
      </c>
      <c r="K813" s="92" t="str">
        <f>IF(AND(A813="",B813="",D813="",G813=""),"",IF(AND(A813&lt;&gt;"",COUNTIF($A$2:$A$5001,A813)&gt;1),"NUMERO_PC duplicado",IF(B813="","DATA_PC vazia",IF(NOT(ISNUMBER(B813)),"DATA_PC invalida",IF(OR(C813="",C813="Fora dos ciclos"),"CICLO_PC nao identificado",IF(OR(D813="",D813=0),"VALOR_PC vazio ou zero",IF(AND(G813&lt;&gt;"Sim",G813&lt;&gt;"Nao",G813&lt;&gt;""),"PC_PAGO_A_CONTRATADA invalido",IF(AND(C813&lt;&gt;"C0",IFERROR(INDEX(parametros!$A$2:$A$6,MATCH(C813,parametros!$B$2:$B$6,0)),"")="Sim",IFERROR(INDEX(parametros!$H$2:$H$6,MATCH(C813,parametros!$B$2:$B$6,0)),"")=""),"INICIO_EFEITO ausente: PC "&amp;A813&amp;" - "&amp;C813,IF(L813="","EFEITO_PC nao calculado: PC "&amp;A813&amp;" - "&amp;C813,"OK")))))))))</f>
        <v/>
      </c>
      <c r="L813" s="92" t="str">
        <f>IF(AND(A813="",B813="",D813="",G813=""),"",IF(OR(B813="",NOT(ISNUMBER(B813)),C813="",C813="Fora dos ciclos"),"",IF(C813="C0","Nao",IF(IFERROR(INDEX(parametros!$A$2:$A$6,MATCH(C813,parametros!$B$2:$B$6,0)),"")&lt;&gt;"Sim","Nao",IF(IFERROR(INDEX(parametros!$H$2:$H$6,MATCH(C813,parametros!$B$2:$B$6,0)),"")="","",IF(B813&gt;=IFERROR(INDEX(parametros!$H$2:$H$6,MATCH(C813,parametros!$B$2:$B$6,0)),""),"Sim","Nao"))))))</f>
        <v/>
      </c>
      <c r="T813" s="156"/>
      <c r="U813" s="214" t="str">
        <f t="shared" si="66"/>
        <v/>
      </c>
      <c r="V813" s="212" t="s">
        <v>50</v>
      </c>
      <c r="W813" s="100" t="s">
        <v>168</v>
      </c>
      <c r="X813" s="100" t="s">
        <v>169</v>
      </c>
      <c r="Y813" s="101" t="s">
        <v>170</v>
      </c>
      <c r="Z813" s="101" t="s">
        <v>171</v>
      </c>
      <c r="AA813" s="101" t="s">
        <v>50</v>
      </c>
      <c r="AB813" s="101" t="s">
        <v>172</v>
      </c>
      <c r="AC813" s="102" t="s">
        <v>173</v>
      </c>
    </row>
    <row r="814" spans="1:29" ht="25.5" customHeight="1" x14ac:dyDescent="0.35">
      <c r="A814" s="392"/>
      <c r="B814" s="393"/>
      <c r="C814" s="99" t="str">
        <f>IF(B814="","",IF(NOT(ISNUMBER(B814)),"DATA_PC invalida",IF(NOT(ISNUMBER(parametros!$C$2)),"Fora dos ciclos",IF(OR(B814&lt;parametros!$C$2,(YEAR(B814)-YEAR(parametros!$C$2))*12+MONTH(B814)-MONTH(parametros!$C$2)&gt;59),"Fora dos ciclos","C"&amp;INT(((YEAR(B814)-YEAR(parametros!$C$2))*12+MONTH(B814)-MONTH(parametros!$C$2))/12)))))</f>
        <v/>
      </c>
      <c r="D814" s="394"/>
      <c r="E814" s="78" t="str">
        <f>IF(C814="","",IFERROR(VLOOKUP(C814,parametros!$A$11:$E$15,5,0),""))</f>
        <v/>
      </c>
      <c r="F814" s="79" t="str">
        <f t="shared" si="62"/>
        <v/>
      </c>
      <c r="G814" s="395"/>
      <c r="H814" s="91">
        <f t="shared" si="63"/>
        <v>0</v>
      </c>
      <c r="I814" s="91" t="str">
        <f t="shared" si="64"/>
        <v/>
      </c>
      <c r="J814" s="91" t="str">
        <f t="shared" si="65"/>
        <v/>
      </c>
      <c r="K814" s="92" t="str">
        <f>IF(AND(A814="",B814="",D814="",G814=""),"",IF(AND(A814&lt;&gt;"",COUNTIF($A$2:$A$5001,A814)&gt;1),"NUMERO_PC duplicado",IF(B814="","DATA_PC vazia",IF(NOT(ISNUMBER(B814)),"DATA_PC invalida",IF(OR(C814="",C814="Fora dos ciclos"),"CICLO_PC nao identificado",IF(OR(D814="",D814=0),"VALOR_PC vazio ou zero",IF(AND(G814&lt;&gt;"Sim",G814&lt;&gt;"Nao",G814&lt;&gt;""),"PC_PAGO_A_CONTRATADA invalido",IF(AND(C814&lt;&gt;"C0",IFERROR(INDEX(parametros!$A$2:$A$6,MATCH(C814,parametros!$B$2:$B$6,0)),"")="Sim",IFERROR(INDEX(parametros!$H$2:$H$6,MATCH(C814,parametros!$B$2:$B$6,0)),"")=""),"INICIO_EFEITO ausente: PC "&amp;A814&amp;" - "&amp;C814,IF(L814="","EFEITO_PC nao calculado: PC "&amp;A814&amp;" - "&amp;C814,"OK")))))))))</f>
        <v/>
      </c>
      <c r="L814" s="92" t="str">
        <f>IF(AND(A814="",B814="",D814="",G814=""),"",IF(OR(B814="",NOT(ISNUMBER(B814)),C814="",C814="Fora dos ciclos"),"",IF(C814="C0","Nao",IF(IFERROR(INDEX(parametros!$A$2:$A$6,MATCH(C814,parametros!$B$2:$B$6,0)),"")&lt;&gt;"Sim","Nao",IF(IFERROR(INDEX(parametros!$H$2:$H$6,MATCH(C814,parametros!$B$2:$B$6,0)),"")="","",IF(B814&gt;=IFERROR(INDEX(parametros!$H$2:$H$6,MATCH(C814,parametros!$B$2:$B$6,0)),""),"Sim","Nao"))))))</f>
        <v/>
      </c>
      <c r="T814" s="156"/>
      <c r="U814" s="214" t="str">
        <f t="shared" si="66"/>
        <v/>
      </c>
      <c r="V814" s="212" t="s">
        <v>50</v>
      </c>
      <c r="W814" s="100" t="s">
        <v>168</v>
      </c>
      <c r="X814" s="100" t="s">
        <v>169</v>
      </c>
      <c r="Y814" s="101" t="s">
        <v>170</v>
      </c>
      <c r="Z814" s="101" t="s">
        <v>171</v>
      </c>
      <c r="AA814" s="101" t="s">
        <v>50</v>
      </c>
      <c r="AB814" s="101" t="s">
        <v>172</v>
      </c>
      <c r="AC814" s="102" t="s">
        <v>173</v>
      </c>
    </row>
    <row r="815" spans="1:29" ht="25.5" customHeight="1" x14ac:dyDescent="0.35">
      <c r="A815" s="392"/>
      <c r="B815" s="393"/>
      <c r="C815" s="99" t="str">
        <f>IF(B815="","",IF(NOT(ISNUMBER(B815)),"DATA_PC invalida",IF(NOT(ISNUMBER(parametros!$C$2)),"Fora dos ciclos",IF(OR(B815&lt;parametros!$C$2,(YEAR(B815)-YEAR(parametros!$C$2))*12+MONTH(B815)-MONTH(parametros!$C$2)&gt;59),"Fora dos ciclos","C"&amp;INT(((YEAR(B815)-YEAR(parametros!$C$2))*12+MONTH(B815)-MONTH(parametros!$C$2))/12)))))</f>
        <v/>
      </c>
      <c r="D815" s="394"/>
      <c r="E815" s="78" t="str">
        <f>IF(C815="","",IFERROR(VLOOKUP(C815,parametros!$A$11:$E$15,5,0),""))</f>
        <v/>
      </c>
      <c r="F815" s="79" t="str">
        <f t="shared" si="62"/>
        <v/>
      </c>
      <c r="G815" s="395"/>
      <c r="H815" s="91">
        <f t="shared" si="63"/>
        <v>0</v>
      </c>
      <c r="I815" s="91" t="str">
        <f t="shared" si="64"/>
        <v/>
      </c>
      <c r="J815" s="91" t="str">
        <f t="shared" si="65"/>
        <v/>
      </c>
      <c r="K815" s="92" t="str">
        <f>IF(AND(A815="",B815="",D815="",G815=""),"",IF(AND(A815&lt;&gt;"",COUNTIF($A$2:$A$5001,A815)&gt;1),"NUMERO_PC duplicado",IF(B815="","DATA_PC vazia",IF(NOT(ISNUMBER(B815)),"DATA_PC invalida",IF(OR(C815="",C815="Fora dos ciclos"),"CICLO_PC nao identificado",IF(OR(D815="",D815=0),"VALOR_PC vazio ou zero",IF(AND(G815&lt;&gt;"Sim",G815&lt;&gt;"Nao",G815&lt;&gt;""),"PC_PAGO_A_CONTRATADA invalido",IF(AND(C815&lt;&gt;"C0",IFERROR(INDEX(parametros!$A$2:$A$6,MATCH(C815,parametros!$B$2:$B$6,0)),"")="Sim",IFERROR(INDEX(parametros!$H$2:$H$6,MATCH(C815,parametros!$B$2:$B$6,0)),"")=""),"INICIO_EFEITO ausente: PC "&amp;A815&amp;" - "&amp;C815,IF(L815="","EFEITO_PC nao calculado: PC "&amp;A815&amp;" - "&amp;C815,"OK")))))))))</f>
        <v/>
      </c>
      <c r="L815" s="92" t="str">
        <f>IF(AND(A815="",B815="",D815="",G815=""),"",IF(OR(B815="",NOT(ISNUMBER(B815)),C815="",C815="Fora dos ciclos"),"",IF(C815="C0","Nao",IF(IFERROR(INDEX(parametros!$A$2:$A$6,MATCH(C815,parametros!$B$2:$B$6,0)),"")&lt;&gt;"Sim","Nao",IF(IFERROR(INDEX(parametros!$H$2:$H$6,MATCH(C815,parametros!$B$2:$B$6,0)),"")="","",IF(B815&gt;=IFERROR(INDEX(parametros!$H$2:$H$6,MATCH(C815,parametros!$B$2:$B$6,0)),""),"Sim","Nao"))))))</f>
        <v/>
      </c>
      <c r="T815" s="156"/>
      <c r="U815" s="214" t="str">
        <f t="shared" si="66"/>
        <v/>
      </c>
      <c r="V815" s="212" t="s">
        <v>50</v>
      </c>
      <c r="W815" s="100" t="s">
        <v>168</v>
      </c>
      <c r="X815" s="100" t="s">
        <v>169</v>
      </c>
      <c r="Y815" s="101" t="s">
        <v>170</v>
      </c>
      <c r="Z815" s="101" t="s">
        <v>171</v>
      </c>
      <c r="AA815" s="101" t="s">
        <v>50</v>
      </c>
      <c r="AB815" s="101" t="s">
        <v>172</v>
      </c>
      <c r="AC815" s="102" t="s">
        <v>173</v>
      </c>
    </row>
    <row r="816" spans="1:29" ht="25.5" customHeight="1" x14ac:dyDescent="0.35">
      <c r="A816" s="392"/>
      <c r="B816" s="393"/>
      <c r="C816" s="99" t="str">
        <f>IF(B816="","",IF(NOT(ISNUMBER(B816)),"DATA_PC invalida",IF(NOT(ISNUMBER(parametros!$C$2)),"Fora dos ciclos",IF(OR(B816&lt;parametros!$C$2,(YEAR(B816)-YEAR(parametros!$C$2))*12+MONTH(B816)-MONTH(parametros!$C$2)&gt;59),"Fora dos ciclos","C"&amp;INT(((YEAR(B816)-YEAR(parametros!$C$2))*12+MONTH(B816)-MONTH(parametros!$C$2))/12)))))</f>
        <v/>
      </c>
      <c r="D816" s="394"/>
      <c r="E816" s="78" t="str">
        <f>IF(C816="","",IFERROR(VLOOKUP(C816,parametros!$A$11:$E$15,5,0),""))</f>
        <v/>
      </c>
      <c r="F816" s="79" t="str">
        <f t="shared" si="62"/>
        <v/>
      </c>
      <c r="G816" s="395"/>
      <c r="H816" s="91">
        <f t="shared" si="63"/>
        <v>0</v>
      </c>
      <c r="I816" s="91" t="str">
        <f t="shared" si="64"/>
        <v/>
      </c>
      <c r="J816" s="91" t="str">
        <f t="shared" si="65"/>
        <v/>
      </c>
      <c r="K816" s="92" t="str">
        <f>IF(AND(A816="",B816="",D816="",G816=""),"",IF(AND(A816&lt;&gt;"",COUNTIF($A$2:$A$5001,A816)&gt;1),"NUMERO_PC duplicado",IF(B816="","DATA_PC vazia",IF(NOT(ISNUMBER(B816)),"DATA_PC invalida",IF(OR(C816="",C816="Fora dos ciclos"),"CICLO_PC nao identificado",IF(OR(D816="",D816=0),"VALOR_PC vazio ou zero",IF(AND(G816&lt;&gt;"Sim",G816&lt;&gt;"Nao",G816&lt;&gt;""),"PC_PAGO_A_CONTRATADA invalido",IF(AND(C816&lt;&gt;"C0",IFERROR(INDEX(parametros!$A$2:$A$6,MATCH(C816,parametros!$B$2:$B$6,0)),"")="Sim",IFERROR(INDEX(parametros!$H$2:$H$6,MATCH(C816,parametros!$B$2:$B$6,0)),"")=""),"INICIO_EFEITO ausente: PC "&amp;A816&amp;" - "&amp;C816,IF(L816="","EFEITO_PC nao calculado: PC "&amp;A816&amp;" - "&amp;C816,"OK")))))))))</f>
        <v/>
      </c>
      <c r="L816" s="92" t="str">
        <f>IF(AND(A816="",B816="",D816="",G816=""),"",IF(OR(B816="",NOT(ISNUMBER(B816)),C816="",C816="Fora dos ciclos"),"",IF(C816="C0","Nao",IF(IFERROR(INDEX(parametros!$A$2:$A$6,MATCH(C816,parametros!$B$2:$B$6,0)),"")&lt;&gt;"Sim","Nao",IF(IFERROR(INDEX(parametros!$H$2:$H$6,MATCH(C816,parametros!$B$2:$B$6,0)),"")="","",IF(B816&gt;=IFERROR(INDEX(parametros!$H$2:$H$6,MATCH(C816,parametros!$B$2:$B$6,0)),""),"Sim","Nao"))))))</f>
        <v/>
      </c>
      <c r="T816" s="156"/>
      <c r="U816" s="214" t="str">
        <f t="shared" si="66"/>
        <v/>
      </c>
      <c r="V816" s="212" t="s">
        <v>50</v>
      </c>
      <c r="W816" s="100" t="s">
        <v>168</v>
      </c>
      <c r="X816" s="100" t="s">
        <v>169</v>
      </c>
      <c r="Y816" s="101" t="s">
        <v>170</v>
      </c>
      <c r="Z816" s="101" t="s">
        <v>171</v>
      </c>
      <c r="AA816" s="101" t="s">
        <v>50</v>
      </c>
      <c r="AB816" s="101" t="s">
        <v>172</v>
      </c>
      <c r="AC816" s="102" t="s">
        <v>173</v>
      </c>
    </row>
    <row r="817" spans="1:29" ht="25.5" customHeight="1" x14ac:dyDescent="0.35">
      <c r="A817" s="392"/>
      <c r="B817" s="393"/>
      <c r="C817" s="99" t="str">
        <f>IF(B817="","",IF(NOT(ISNUMBER(B817)),"DATA_PC invalida",IF(NOT(ISNUMBER(parametros!$C$2)),"Fora dos ciclos",IF(OR(B817&lt;parametros!$C$2,(YEAR(B817)-YEAR(parametros!$C$2))*12+MONTH(B817)-MONTH(parametros!$C$2)&gt;59),"Fora dos ciclos","C"&amp;INT(((YEAR(B817)-YEAR(parametros!$C$2))*12+MONTH(B817)-MONTH(parametros!$C$2))/12)))))</f>
        <v/>
      </c>
      <c r="D817" s="394"/>
      <c r="E817" s="78" t="str">
        <f>IF(C817="","",IFERROR(VLOOKUP(C817,parametros!$A$11:$E$15,5,0),""))</f>
        <v/>
      </c>
      <c r="F817" s="79" t="str">
        <f t="shared" si="62"/>
        <v/>
      </c>
      <c r="G817" s="395"/>
      <c r="H817" s="91">
        <f t="shared" si="63"/>
        <v>0</v>
      </c>
      <c r="I817" s="91" t="str">
        <f t="shared" si="64"/>
        <v/>
      </c>
      <c r="J817" s="91" t="str">
        <f t="shared" si="65"/>
        <v/>
      </c>
      <c r="K817" s="92" t="str">
        <f>IF(AND(A817="",B817="",D817="",G817=""),"",IF(AND(A817&lt;&gt;"",COUNTIF($A$2:$A$5001,A817)&gt;1),"NUMERO_PC duplicado",IF(B817="","DATA_PC vazia",IF(NOT(ISNUMBER(B817)),"DATA_PC invalida",IF(OR(C817="",C817="Fora dos ciclos"),"CICLO_PC nao identificado",IF(OR(D817="",D817=0),"VALOR_PC vazio ou zero",IF(AND(G817&lt;&gt;"Sim",G817&lt;&gt;"Nao",G817&lt;&gt;""),"PC_PAGO_A_CONTRATADA invalido",IF(AND(C817&lt;&gt;"C0",IFERROR(INDEX(parametros!$A$2:$A$6,MATCH(C817,parametros!$B$2:$B$6,0)),"")="Sim",IFERROR(INDEX(parametros!$H$2:$H$6,MATCH(C817,parametros!$B$2:$B$6,0)),"")=""),"INICIO_EFEITO ausente: PC "&amp;A817&amp;" - "&amp;C817,IF(L817="","EFEITO_PC nao calculado: PC "&amp;A817&amp;" - "&amp;C817,"OK")))))))))</f>
        <v/>
      </c>
      <c r="L817" s="92" t="str">
        <f>IF(AND(A817="",B817="",D817="",G817=""),"",IF(OR(B817="",NOT(ISNUMBER(B817)),C817="",C817="Fora dos ciclos"),"",IF(C817="C0","Nao",IF(IFERROR(INDEX(parametros!$A$2:$A$6,MATCH(C817,parametros!$B$2:$B$6,0)),"")&lt;&gt;"Sim","Nao",IF(IFERROR(INDEX(parametros!$H$2:$H$6,MATCH(C817,parametros!$B$2:$B$6,0)),"")="","",IF(B817&gt;=IFERROR(INDEX(parametros!$H$2:$H$6,MATCH(C817,parametros!$B$2:$B$6,0)),""),"Sim","Nao"))))))</f>
        <v/>
      </c>
      <c r="T817" s="156"/>
      <c r="U817" s="214" t="str">
        <f t="shared" si="66"/>
        <v/>
      </c>
      <c r="V817" s="212" t="s">
        <v>50</v>
      </c>
      <c r="W817" s="100" t="s">
        <v>168</v>
      </c>
      <c r="X817" s="100" t="s">
        <v>169</v>
      </c>
      <c r="Y817" s="101" t="s">
        <v>170</v>
      </c>
      <c r="Z817" s="101" t="s">
        <v>171</v>
      </c>
      <c r="AA817" s="101" t="s">
        <v>50</v>
      </c>
      <c r="AB817" s="101" t="s">
        <v>172</v>
      </c>
      <c r="AC817" s="102" t="s">
        <v>173</v>
      </c>
    </row>
    <row r="818" spans="1:29" ht="25.5" customHeight="1" x14ac:dyDescent="0.35">
      <c r="A818" s="392"/>
      <c r="B818" s="393"/>
      <c r="C818" s="99" t="str">
        <f>IF(B818="","",IF(NOT(ISNUMBER(B818)),"DATA_PC invalida",IF(NOT(ISNUMBER(parametros!$C$2)),"Fora dos ciclos",IF(OR(B818&lt;parametros!$C$2,(YEAR(B818)-YEAR(parametros!$C$2))*12+MONTH(B818)-MONTH(parametros!$C$2)&gt;59),"Fora dos ciclos","C"&amp;INT(((YEAR(B818)-YEAR(parametros!$C$2))*12+MONTH(B818)-MONTH(parametros!$C$2))/12)))))</f>
        <v/>
      </c>
      <c r="D818" s="394"/>
      <c r="E818" s="78" t="str">
        <f>IF(C818="","",IFERROR(VLOOKUP(C818,parametros!$A$11:$E$15,5,0),""))</f>
        <v/>
      </c>
      <c r="F818" s="79" t="str">
        <f t="shared" si="62"/>
        <v/>
      </c>
      <c r="G818" s="395"/>
      <c r="H818" s="91">
        <f t="shared" si="63"/>
        <v>0</v>
      </c>
      <c r="I818" s="91" t="str">
        <f t="shared" si="64"/>
        <v/>
      </c>
      <c r="J818" s="91" t="str">
        <f t="shared" si="65"/>
        <v/>
      </c>
      <c r="K818" s="92" t="str">
        <f>IF(AND(A818="",B818="",D818="",G818=""),"",IF(AND(A818&lt;&gt;"",COUNTIF($A$2:$A$5001,A818)&gt;1),"NUMERO_PC duplicado",IF(B818="","DATA_PC vazia",IF(NOT(ISNUMBER(B818)),"DATA_PC invalida",IF(OR(C818="",C818="Fora dos ciclos"),"CICLO_PC nao identificado",IF(OR(D818="",D818=0),"VALOR_PC vazio ou zero",IF(AND(G818&lt;&gt;"Sim",G818&lt;&gt;"Nao",G818&lt;&gt;""),"PC_PAGO_A_CONTRATADA invalido",IF(AND(C818&lt;&gt;"C0",IFERROR(INDEX(parametros!$A$2:$A$6,MATCH(C818,parametros!$B$2:$B$6,0)),"")="Sim",IFERROR(INDEX(parametros!$H$2:$H$6,MATCH(C818,parametros!$B$2:$B$6,0)),"")=""),"INICIO_EFEITO ausente: PC "&amp;A818&amp;" - "&amp;C818,IF(L818="","EFEITO_PC nao calculado: PC "&amp;A818&amp;" - "&amp;C818,"OK")))))))))</f>
        <v/>
      </c>
      <c r="L818" s="92" t="str">
        <f>IF(AND(A818="",B818="",D818="",G818=""),"",IF(OR(B818="",NOT(ISNUMBER(B818)),C818="",C818="Fora dos ciclos"),"",IF(C818="C0","Nao",IF(IFERROR(INDEX(parametros!$A$2:$A$6,MATCH(C818,parametros!$B$2:$B$6,0)),"")&lt;&gt;"Sim","Nao",IF(IFERROR(INDEX(parametros!$H$2:$H$6,MATCH(C818,parametros!$B$2:$B$6,0)),"")="","",IF(B818&gt;=IFERROR(INDEX(parametros!$H$2:$H$6,MATCH(C818,parametros!$B$2:$B$6,0)),""),"Sim","Nao"))))))</f>
        <v/>
      </c>
      <c r="T818" s="156"/>
      <c r="U818" s="214" t="str">
        <f t="shared" si="66"/>
        <v/>
      </c>
      <c r="V818" s="212" t="s">
        <v>50</v>
      </c>
      <c r="W818" s="100" t="s">
        <v>168</v>
      </c>
      <c r="X818" s="100" t="s">
        <v>169</v>
      </c>
      <c r="Y818" s="101" t="s">
        <v>170</v>
      </c>
      <c r="Z818" s="101" t="s">
        <v>171</v>
      </c>
      <c r="AA818" s="101" t="s">
        <v>50</v>
      </c>
      <c r="AB818" s="101" t="s">
        <v>172</v>
      </c>
      <c r="AC818" s="102" t="s">
        <v>173</v>
      </c>
    </row>
    <row r="819" spans="1:29" ht="25.5" customHeight="1" x14ac:dyDescent="0.35">
      <c r="A819" s="392"/>
      <c r="B819" s="393"/>
      <c r="C819" s="99" t="str">
        <f>IF(B819="","",IF(NOT(ISNUMBER(B819)),"DATA_PC invalida",IF(NOT(ISNUMBER(parametros!$C$2)),"Fora dos ciclos",IF(OR(B819&lt;parametros!$C$2,(YEAR(B819)-YEAR(parametros!$C$2))*12+MONTH(B819)-MONTH(parametros!$C$2)&gt;59),"Fora dos ciclos","C"&amp;INT(((YEAR(B819)-YEAR(parametros!$C$2))*12+MONTH(B819)-MONTH(parametros!$C$2))/12)))))</f>
        <v/>
      </c>
      <c r="D819" s="394"/>
      <c r="E819" s="78" t="str">
        <f>IF(C819="","",IFERROR(VLOOKUP(C819,parametros!$A$11:$E$15,5,0),""))</f>
        <v/>
      </c>
      <c r="F819" s="79" t="str">
        <f t="shared" si="62"/>
        <v/>
      </c>
      <c r="G819" s="395"/>
      <c r="H819" s="91">
        <f t="shared" si="63"/>
        <v>0</v>
      </c>
      <c r="I819" s="91" t="str">
        <f t="shared" si="64"/>
        <v/>
      </c>
      <c r="J819" s="91" t="str">
        <f t="shared" si="65"/>
        <v/>
      </c>
      <c r="K819" s="92" t="str">
        <f>IF(AND(A819="",B819="",D819="",G819=""),"",IF(AND(A819&lt;&gt;"",COUNTIF($A$2:$A$5001,A819)&gt;1),"NUMERO_PC duplicado",IF(B819="","DATA_PC vazia",IF(NOT(ISNUMBER(B819)),"DATA_PC invalida",IF(OR(C819="",C819="Fora dos ciclos"),"CICLO_PC nao identificado",IF(OR(D819="",D819=0),"VALOR_PC vazio ou zero",IF(AND(G819&lt;&gt;"Sim",G819&lt;&gt;"Nao",G819&lt;&gt;""),"PC_PAGO_A_CONTRATADA invalido",IF(AND(C819&lt;&gt;"C0",IFERROR(INDEX(parametros!$A$2:$A$6,MATCH(C819,parametros!$B$2:$B$6,0)),"")="Sim",IFERROR(INDEX(parametros!$H$2:$H$6,MATCH(C819,parametros!$B$2:$B$6,0)),"")=""),"INICIO_EFEITO ausente: PC "&amp;A819&amp;" - "&amp;C819,IF(L819="","EFEITO_PC nao calculado: PC "&amp;A819&amp;" - "&amp;C819,"OK")))))))))</f>
        <v/>
      </c>
      <c r="L819" s="92" t="str">
        <f>IF(AND(A819="",B819="",D819="",G819=""),"",IF(OR(B819="",NOT(ISNUMBER(B819)),C819="",C819="Fora dos ciclos"),"",IF(C819="C0","Nao",IF(IFERROR(INDEX(parametros!$A$2:$A$6,MATCH(C819,parametros!$B$2:$B$6,0)),"")&lt;&gt;"Sim","Nao",IF(IFERROR(INDEX(parametros!$H$2:$H$6,MATCH(C819,parametros!$B$2:$B$6,0)),"")="","",IF(B819&gt;=IFERROR(INDEX(parametros!$H$2:$H$6,MATCH(C819,parametros!$B$2:$B$6,0)),""),"Sim","Nao"))))))</f>
        <v/>
      </c>
      <c r="T819" s="156"/>
      <c r="U819" s="214" t="str">
        <f t="shared" si="66"/>
        <v/>
      </c>
      <c r="V819" s="212" t="s">
        <v>50</v>
      </c>
      <c r="W819" s="100" t="s">
        <v>168</v>
      </c>
      <c r="X819" s="100" t="s">
        <v>169</v>
      </c>
      <c r="Y819" s="101" t="s">
        <v>170</v>
      </c>
      <c r="Z819" s="101" t="s">
        <v>171</v>
      </c>
      <c r="AA819" s="101" t="s">
        <v>50</v>
      </c>
      <c r="AB819" s="101" t="s">
        <v>172</v>
      </c>
      <c r="AC819" s="102" t="s">
        <v>173</v>
      </c>
    </row>
    <row r="820" spans="1:29" ht="25.5" customHeight="1" x14ac:dyDescent="0.35">
      <c r="A820" s="392"/>
      <c r="B820" s="393"/>
      <c r="C820" s="99" t="str">
        <f>IF(B820="","",IF(NOT(ISNUMBER(B820)),"DATA_PC invalida",IF(NOT(ISNUMBER(parametros!$C$2)),"Fora dos ciclos",IF(OR(B820&lt;parametros!$C$2,(YEAR(B820)-YEAR(parametros!$C$2))*12+MONTH(B820)-MONTH(parametros!$C$2)&gt;59),"Fora dos ciclos","C"&amp;INT(((YEAR(B820)-YEAR(parametros!$C$2))*12+MONTH(B820)-MONTH(parametros!$C$2))/12)))))</f>
        <v/>
      </c>
      <c r="D820" s="394"/>
      <c r="E820" s="78" t="str">
        <f>IF(C820="","",IFERROR(VLOOKUP(C820,parametros!$A$11:$E$15,5,0),""))</f>
        <v/>
      </c>
      <c r="F820" s="79" t="str">
        <f t="shared" si="62"/>
        <v/>
      </c>
      <c r="G820" s="395"/>
      <c r="H820" s="91">
        <f t="shared" si="63"/>
        <v>0</v>
      </c>
      <c r="I820" s="91" t="str">
        <f t="shared" si="64"/>
        <v/>
      </c>
      <c r="J820" s="91" t="str">
        <f t="shared" si="65"/>
        <v/>
      </c>
      <c r="K820" s="92" t="str">
        <f>IF(AND(A820="",B820="",D820="",G820=""),"",IF(AND(A820&lt;&gt;"",COUNTIF($A$2:$A$5001,A820)&gt;1),"NUMERO_PC duplicado",IF(B820="","DATA_PC vazia",IF(NOT(ISNUMBER(B820)),"DATA_PC invalida",IF(OR(C820="",C820="Fora dos ciclos"),"CICLO_PC nao identificado",IF(OR(D820="",D820=0),"VALOR_PC vazio ou zero",IF(AND(G820&lt;&gt;"Sim",G820&lt;&gt;"Nao",G820&lt;&gt;""),"PC_PAGO_A_CONTRATADA invalido",IF(AND(C820&lt;&gt;"C0",IFERROR(INDEX(parametros!$A$2:$A$6,MATCH(C820,parametros!$B$2:$B$6,0)),"")="Sim",IFERROR(INDEX(parametros!$H$2:$H$6,MATCH(C820,parametros!$B$2:$B$6,0)),"")=""),"INICIO_EFEITO ausente: PC "&amp;A820&amp;" - "&amp;C820,IF(L820="","EFEITO_PC nao calculado: PC "&amp;A820&amp;" - "&amp;C820,"OK")))))))))</f>
        <v/>
      </c>
      <c r="L820" s="92" t="str">
        <f>IF(AND(A820="",B820="",D820="",G820=""),"",IF(OR(B820="",NOT(ISNUMBER(B820)),C820="",C820="Fora dos ciclos"),"",IF(C820="C0","Nao",IF(IFERROR(INDEX(parametros!$A$2:$A$6,MATCH(C820,parametros!$B$2:$B$6,0)),"")&lt;&gt;"Sim","Nao",IF(IFERROR(INDEX(parametros!$H$2:$H$6,MATCH(C820,parametros!$B$2:$B$6,0)),"")="","",IF(B820&gt;=IFERROR(INDEX(parametros!$H$2:$H$6,MATCH(C820,parametros!$B$2:$B$6,0)),""),"Sim","Nao"))))))</f>
        <v/>
      </c>
      <c r="T820" s="156"/>
      <c r="U820" s="214" t="str">
        <f t="shared" si="66"/>
        <v/>
      </c>
      <c r="V820" s="212" t="s">
        <v>50</v>
      </c>
      <c r="W820" s="100" t="s">
        <v>168</v>
      </c>
      <c r="X820" s="100" t="s">
        <v>169</v>
      </c>
      <c r="Y820" s="101" t="s">
        <v>170</v>
      </c>
      <c r="Z820" s="101" t="s">
        <v>171</v>
      </c>
      <c r="AA820" s="101" t="s">
        <v>50</v>
      </c>
      <c r="AB820" s="101" t="s">
        <v>172</v>
      </c>
      <c r="AC820" s="102" t="s">
        <v>173</v>
      </c>
    </row>
    <row r="821" spans="1:29" ht="25.5" customHeight="1" x14ac:dyDescent="0.35">
      <c r="A821" s="392"/>
      <c r="B821" s="393"/>
      <c r="C821" s="99" t="str">
        <f>IF(B821="","",IF(NOT(ISNUMBER(B821)),"DATA_PC invalida",IF(NOT(ISNUMBER(parametros!$C$2)),"Fora dos ciclos",IF(OR(B821&lt;parametros!$C$2,(YEAR(B821)-YEAR(parametros!$C$2))*12+MONTH(B821)-MONTH(parametros!$C$2)&gt;59),"Fora dos ciclos","C"&amp;INT(((YEAR(B821)-YEAR(parametros!$C$2))*12+MONTH(B821)-MONTH(parametros!$C$2))/12)))))</f>
        <v/>
      </c>
      <c r="D821" s="394"/>
      <c r="E821" s="78" t="str">
        <f>IF(C821="","",IFERROR(VLOOKUP(C821,parametros!$A$11:$E$15,5,0),""))</f>
        <v/>
      </c>
      <c r="F821" s="79" t="str">
        <f t="shared" si="62"/>
        <v/>
      </c>
      <c r="G821" s="395"/>
      <c r="H821" s="91">
        <f t="shared" si="63"/>
        <v>0</v>
      </c>
      <c r="I821" s="91" t="str">
        <f t="shared" si="64"/>
        <v/>
      </c>
      <c r="J821" s="91" t="str">
        <f t="shared" si="65"/>
        <v/>
      </c>
      <c r="K821" s="92" t="str">
        <f>IF(AND(A821="",B821="",D821="",G821=""),"",IF(AND(A821&lt;&gt;"",COUNTIF($A$2:$A$5001,A821)&gt;1),"NUMERO_PC duplicado",IF(B821="","DATA_PC vazia",IF(NOT(ISNUMBER(B821)),"DATA_PC invalida",IF(OR(C821="",C821="Fora dos ciclos"),"CICLO_PC nao identificado",IF(OR(D821="",D821=0),"VALOR_PC vazio ou zero",IF(AND(G821&lt;&gt;"Sim",G821&lt;&gt;"Nao",G821&lt;&gt;""),"PC_PAGO_A_CONTRATADA invalido",IF(AND(C821&lt;&gt;"C0",IFERROR(INDEX(parametros!$A$2:$A$6,MATCH(C821,parametros!$B$2:$B$6,0)),"")="Sim",IFERROR(INDEX(parametros!$H$2:$H$6,MATCH(C821,parametros!$B$2:$B$6,0)),"")=""),"INICIO_EFEITO ausente: PC "&amp;A821&amp;" - "&amp;C821,IF(L821="","EFEITO_PC nao calculado: PC "&amp;A821&amp;" - "&amp;C821,"OK")))))))))</f>
        <v/>
      </c>
      <c r="L821" s="92" t="str">
        <f>IF(AND(A821="",B821="",D821="",G821=""),"",IF(OR(B821="",NOT(ISNUMBER(B821)),C821="",C821="Fora dos ciclos"),"",IF(C821="C0","Nao",IF(IFERROR(INDEX(parametros!$A$2:$A$6,MATCH(C821,parametros!$B$2:$B$6,0)),"")&lt;&gt;"Sim","Nao",IF(IFERROR(INDEX(parametros!$H$2:$H$6,MATCH(C821,parametros!$B$2:$B$6,0)),"")="","",IF(B821&gt;=IFERROR(INDEX(parametros!$H$2:$H$6,MATCH(C821,parametros!$B$2:$B$6,0)),""),"Sim","Nao"))))))</f>
        <v/>
      </c>
      <c r="T821" s="156"/>
      <c r="U821" s="214" t="str">
        <f t="shared" si="66"/>
        <v/>
      </c>
      <c r="V821" s="212" t="s">
        <v>50</v>
      </c>
      <c r="W821" s="100" t="s">
        <v>168</v>
      </c>
      <c r="X821" s="100" t="s">
        <v>169</v>
      </c>
      <c r="Y821" s="101" t="s">
        <v>170</v>
      </c>
      <c r="Z821" s="101" t="s">
        <v>171</v>
      </c>
      <c r="AA821" s="101" t="s">
        <v>50</v>
      </c>
      <c r="AB821" s="101" t="s">
        <v>172</v>
      </c>
      <c r="AC821" s="102" t="s">
        <v>173</v>
      </c>
    </row>
    <row r="822" spans="1:29" ht="25.5" customHeight="1" x14ac:dyDescent="0.35">
      <c r="A822" s="392"/>
      <c r="B822" s="393"/>
      <c r="C822" s="99" t="str">
        <f>IF(B822="","",IF(NOT(ISNUMBER(B822)),"DATA_PC invalida",IF(NOT(ISNUMBER(parametros!$C$2)),"Fora dos ciclos",IF(OR(B822&lt;parametros!$C$2,(YEAR(B822)-YEAR(parametros!$C$2))*12+MONTH(B822)-MONTH(parametros!$C$2)&gt;59),"Fora dos ciclos","C"&amp;INT(((YEAR(B822)-YEAR(parametros!$C$2))*12+MONTH(B822)-MONTH(parametros!$C$2))/12)))))</f>
        <v/>
      </c>
      <c r="D822" s="394"/>
      <c r="E822" s="78" t="str">
        <f>IF(C822="","",IFERROR(VLOOKUP(C822,parametros!$A$11:$E$15,5,0),""))</f>
        <v/>
      </c>
      <c r="F822" s="79" t="str">
        <f t="shared" si="62"/>
        <v/>
      </c>
      <c r="G822" s="395"/>
      <c r="H822" s="91">
        <f t="shared" si="63"/>
        <v>0</v>
      </c>
      <c r="I822" s="91" t="str">
        <f t="shared" si="64"/>
        <v/>
      </c>
      <c r="J822" s="91" t="str">
        <f t="shared" si="65"/>
        <v/>
      </c>
      <c r="K822" s="92" t="str">
        <f>IF(AND(A822="",B822="",D822="",G822=""),"",IF(AND(A822&lt;&gt;"",COUNTIF($A$2:$A$5001,A822)&gt;1),"NUMERO_PC duplicado",IF(B822="","DATA_PC vazia",IF(NOT(ISNUMBER(B822)),"DATA_PC invalida",IF(OR(C822="",C822="Fora dos ciclos"),"CICLO_PC nao identificado",IF(OR(D822="",D822=0),"VALOR_PC vazio ou zero",IF(AND(G822&lt;&gt;"Sim",G822&lt;&gt;"Nao",G822&lt;&gt;""),"PC_PAGO_A_CONTRATADA invalido",IF(AND(C822&lt;&gt;"C0",IFERROR(INDEX(parametros!$A$2:$A$6,MATCH(C822,parametros!$B$2:$B$6,0)),"")="Sim",IFERROR(INDEX(parametros!$H$2:$H$6,MATCH(C822,parametros!$B$2:$B$6,0)),"")=""),"INICIO_EFEITO ausente: PC "&amp;A822&amp;" - "&amp;C822,IF(L822="","EFEITO_PC nao calculado: PC "&amp;A822&amp;" - "&amp;C822,"OK")))))))))</f>
        <v/>
      </c>
      <c r="L822" s="92" t="str">
        <f>IF(AND(A822="",B822="",D822="",G822=""),"",IF(OR(B822="",NOT(ISNUMBER(B822)),C822="",C822="Fora dos ciclos"),"",IF(C822="C0","Nao",IF(IFERROR(INDEX(parametros!$A$2:$A$6,MATCH(C822,parametros!$B$2:$B$6,0)),"")&lt;&gt;"Sim","Nao",IF(IFERROR(INDEX(parametros!$H$2:$H$6,MATCH(C822,parametros!$B$2:$B$6,0)),"")="","",IF(B822&gt;=IFERROR(INDEX(parametros!$H$2:$H$6,MATCH(C822,parametros!$B$2:$B$6,0)),""),"Sim","Nao"))))))</f>
        <v/>
      </c>
      <c r="T822" s="156"/>
      <c r="U822" s="214" t="str">
        <f t="shared" si="66"/>
        <v/>
      </c>
      <c r="V822" s="212" t="s">
        <v>50</v>
      </c>
      <c r="W822" s="100" t="s">
        <v>168</v>
      </c>
      <c r="X822" s="100" t="s">
        <v>169</v>
      </c>
      <c r="Y822" s="101" t="s">
        <v>170</v>
      </c>
      <c r="Z822" s="101" t="s">
        <v>171</v>
      </c>
      <c r="AA822" s="101" t="s">
        <v>50</v>
      </c>
      <c r="AB822" s="101" t="s">
        <v>172</v>
      </c>
      <c r="AC822" s="102" t="s">
        <v>173</v>
      </c>
    </row>
    <row r="823" spans="1:29" ht="25.5" customHeight="1" x14ac:dyDescent="0.35">
      <c r="A823" s="392"/>
      <c r="B823" s="393"/>
      <c r="C823" s="99" t="str">
        <f>IF(B823="","",IF(NOT(ISNUMBER(B823)),"DATA_PC invalida",IF(NOT(ISNUMBER(parametros!$C$2)),"Fora dos ciclos",IF(OR(B823&lt;parametros!$C$2,(YEAR(B823)-YEAR(parametros!$C$2))*12+MONTH(B823)-MONTH(parametros!$C$2)&gt;59),"Fora dos ciclos","C"&amp;INT(((YEAR(B823)-YEAR(parametros!$C$2))*12+MONTH(B823)-MONTH(parametros!$C$2))/12)))))</f>
        <v/>
      </c>
      <c r="D823" s="394"/>
      <c r="E823" s="78" t="str">
        <f>IF(C823="","",IFERROR(VLOOKUP(C823,parametros!$A$11:$E$15,5,0),""))</f>
        <v/>
      </c>
      <c r="F823" s="79" t="str">
        <f t="shared" si="62"/>
        <v/>
      </c>
      <c r="G823" s="395"/>
      <c r="H823" s="91">
        <f t="shared" si="63"/>
        <v>0</v>
      </c>
      <c r="I823" s="91" t="str">
        <f t="shared" si="64"/>
        <v/>
      </c>
      <c r="J823" s="91" t="str">
        <f t="shared" si="65"/>
        <v/>
      </c>
      <c r="K823" s="92" t="str">
        <f>IF(AND(A823="",B823="",D823="",G823=""),"",IF(AND(A823&lt;&gt;"",COUNTIF($A$2:$A$5001,A823)&gt;1),"NUMERO_PC duplicado",IF(B823="","DATA_PC vazia",IF(NOT(ISNUMBER(B823)),"DATA_PC invalida",IF(OR(C823="",C823="Fora dos ciclos"),"CICLO_PC nao identificado",IF(OR(D823="",D823=0),"VALOR_PC vazio ou zero",IF(AND(G823&lt;&gt;"Sim",G823&lt;&gt;"Nao",G823&lt;&gt;""),"PC_PAGO_A_CONTRATADA invalido",IF(AND(C823&lt;&gt;"C0",IFERROR(INDEX(parametros!$A$2:$A$6,MATCH(C823,parametros!$B$2:$B$6,0)),"")="Sim",IFERROR(INDEX(parametros!$H$2:$H$6,MATCH(C823,parametros!$B$2:$B$6,0)),"")=""),"INICIO_EFEITO ausente: PC "&amp;A823&amp;" - "&amp;C823,IF(L823="","EFEITO_PC nao calculado: PC "&amp;A823&amp;" - "&amp;C823,"OK")))))))))</f>
        <v/>
      </c>
      <c r="L823" s="92" t="str">
        <f>IF(AND(A823="",B823="",D823="",G823=""),"",IF(OR(B823="",NOT(ISNUMBER(B823)),C823="",C823="Fora dos ciclos"),"",IF(C823="C0","Nao",IF(IFERROR(INDEX(parametros!$A$2:$A$6,MATCH(C823,parametros!$B$2:$B$6,0)),"")&lt;&gt;"Sim","Nao",IF(IFERROR(INDEX(parametros!$H$2:$H$6,MATCH(C823,parametros!$B$2:$B$6,0)),"")="","",IF(B823&gt;=IFERROR(INDEX(parametros!$H$2:$H$6,MATCH(C823,parametros!$B$2:$B$6,0)),""),"Sim","Nao"))))))</f>
        <v/>
      </c>
      <c r="T823" s="156"/>
      <c r="U823" s="214" t="str">
        <f t="shared" si="66"/>
        <v/>
      </c>
      <c r="V823" s="212" t="s">
        <v>50</v>
      </c>
      <c r="W823" s="100" t="s">
        <v>168</v>
      </c>
      <c r="X823" s="100" t="s">
        <v>169</v>
      </c>
      <c r="Y823" s="101" t="s">
        <v>170</v>
      </c>
      <c r="Z823" s="101" t="s">
        <v>171</v>
      </c>
      <c r="AA823" s="101" t="s">
        <v>50</v>
      </c>
      <c r="AB823" s="101" t="s">
        <v>172</v>
      </c>
      <c r="AC823" s="102" t="s">
        <v>173</v>
      </c>
    </row>
    <row r="824" spans="1:29" ht="25.5" customHeight="1" x14ac:dyDescent="0.35">
      <c r="A824" s="392"/>
      <c r="B824" s="393"/>
      <c r="C824" s="99" t="str">
        <f>IF(B824="","",IF(NOT(ISNUMBER(B824)),"DATA_PC invalida",IF(NOT(ISNUMBER(parametros!$C$2)),"Fora dos ciclos",IF(OR(B824&lt;parametros!$C$2,(YEAR(B824)-YEAR(parametros!$C$2))*12+MONTH(B824)-MONTH(parametros!$C$2)&gt;59),"Fora dos ciclos","C"&amp;INT(((YEAR(B824)-YEAR(parametros!$C$2))*12+MONTH(B824)-MONTH(parametros!$C$2))/12)))))</f>
        <v/>
      </c>
      <c r="D824" s="394"/>
      <c r="E824" s="78" t="str">
        <f>IF(C824="","",IFERROR(VLOOKUP(C824,parametros!$A$11:$E$15,5,0),""))</f>
        <v/>
      </c>
      <c r="F824" s="79" t="str">
        <f t="shared" si="62"/>
        <v/>
      </c>
      <c r="G824" s="395"/>
      <c r="H824" s="91">
        <f t="shared" si="63"/>
        <v>0</v>
      </c>
      <c r="I824" s="91" t="str">
        <f t="shared" si="64"/>
        <v/>
      </c>
      <c r="J824" s="91" t="str">
        <f t="shared" si="65"/>
        <v/>
      </c>
      <c r="K824" s="92" t="str">
        <f>IF(AND(A824="",B824="",D824="",G824=""),"",IF(AND(A824&lt;&gt;"",COUNTIF($A$2:$A$5001,A824)&gt;1),"NUMERO_PC duplicado",IF(B824="","DATA_PC vazia",IF(NOT(ISNUMBER(B824)),"DATA_PC invalida",IF(OR(C824="",C824="Fora dos ciclos"),"CICLO_PC nao identificado",IF(OR(D824="",D824=0),"VALOR_PC vazio ou zero",IF(AND(G824&lt;&gt;"Sim",G824&lt;&gt;"Nao",G824&lt;&gt;""),"PC_PAGO_A_CONTRATADA invalido",IF(AND(C824&lt;&gt;"C0",IFERROR(INDEX(parametros!$A$2:$A$6,MATCH(C824,parametros!$B$2:$B$6,0)),"")="Sim",IFERROR(INDEX(parametros!$H$2:$H$6,MATCH(C824,parametros!$B$2:$B$6,0)),"")=""),"INICIO_EFEITO ausente: PC "&amp;A824&amp;" - "&amp;C824,IF(L824="","EFEITO_PC nao calculado: PC "&amp;A824&amp;" - "&amp;C824,"OK")))))))))</f>
        <v/>
      </c>
      <c r="L824" s="92" t="str">
        <f>IF(AND(A824="",B824="",D824="",G824=""),"",IF(OR(B824="",NOT(ISNUMBER(B824)),C824="",C824="Fora dos ciclos"),"",IF(C824="C0","Nao",IF(IFERROR(INDEX(parametros!$A$2:$A$6,MATCH(C824,parametros!$B$2:$B$6,0)),"")&lt;&gt;"Sim","Nao",IF(IFERROR(INDEX(parametros!$H$2:$H$6,MATCH(C824,parametros!$B$2:$B$6,0)),"")="","",IF(B824&gt;=IFERROR(INDEX(parametros!$H$2:$H$6,MATCH(C824,parametros!$B$2:$B$6,0)),""),"Sim","Nao"))))))</f>
        <v/>
      </c>
      <c r="T824" s="156"/>
      <c r="U824" s="214" t="str">
        <f t="shared" si="66"/>
        <v/>
      </c>
      <c r="V824" s="212" t="s">
        <v>50</v>
      </c>
      <c r="W824" s="100" t="s">
        <v>168</v>
      </c>
      <c r="X824" s="100" t="s">
        <v>169</v>
      </c>
      <c r="Y824" s="101" t="s">
        <v>170</v>
      </c>
      <c r="Z824" s="101" t="s">
        <v>171</v>
      </c>
      <c r="AA824" s="101" t="s">
        <v>50</v>
      </c>
      <c r="AB824" s="101" t="s">
        <v>172</v>
      </c>
      <c r="AC824" s="102" t="s">
        <v>173</v>
      </c>
    </row>
    <row r="825" spans="1:29" ht="25.5" customHeight="1" x14ac:dyDescent="0.35">
      <c r="A825" s="392"/>
      <c r="B825" s="393"/>
      <c r="C825" s="99" t="str">
        <f>IF(B825="","",IF(NOT(ISNUMBER(B825)),"DATA_PC invalida",IF(NOT(ISNUMBER(parametros!$C$2)),"Fora dos ciclos",IF(OR(B825&lt;parametros!$C$2,(YEAR(B825)-YEAR(parametros!$C$2))*12+MONTH(B825)-MONTH(parametros!$C$2)&gt;59),"Fora dos ciclos","C"&amp;INT(((YEAR(B825)-YEAR(parametros!$C$2))*12+MONTH(B825)-MONTH(parametros!$C$2))/12)))))</f>
        <v/>
      </c>
      <c r="D825" s="394"/>
      <c r="E825" s="78" t="str">
        <f>IF(C825="","",IFERROR(VLOOKUP(C825,parametros!$A$11:$E$15,5,0),""))</f>
        <v/>
      </c>
      <c r="F825" s="79" t="str">
        <f t="shared" si="62"/>
        <v/>
      </c>
      <c r="G825" s="395"/>
      <c r="H825" s="91">
        <f t="shared" si="63"/>
        <v>0</v>
      </c>
      <c r="I825" s="91" t="str">
        <f t="shared" si="64"/>
        <v/>
      </c>
      <c r="J825" s="91" t="str">
        <f t="shared" si="65"/>
        <v/>
      </c>
      <c r="K825" s="92" t="str">
        <f>IF(AND(A825="",B825="",D825="",G825=""),"",IF(AND(A825&lt;&gt;"",COUNTIF($A$2:$A$5001,A825)&gt;1),"NUMERO_PC duplicado",IF(B825="","DATA_PC vazia",IF(NOT(ISNUMBER(B825)),"DATA_PC invalida",IF(OR(C825="",C825="Fora dos ciclos"),"CICLO_PC nao identificado",IF(OR(D825="",D825=0),"VALOR_PC vazio ou zero",IF(AND(G825&lt;&gt;"Sim",G825&lt;&gt;"Nao",G825&lt;&gt;""),"PC_PAGO_A_CONTRATADA invalido",IF(AND(C825&lt;&gt;"C0",IFERROR(INDEX(parametros!$A$2:$A$6,MATCH(C825,parametros!$B$2:$B$6,0)),"")="Sim",IFERROR(INDEX(parametros!$H$2:$H$6,MATCH(C825,parametros!$B$2:$B$6,0)),"")=""),"INICIO_EFEITO ausente: PC "&amp;A825&amp;" - "&amp;C825,IF(L825="","EFEITO_PC nao calculado: PC "&amp;A825&amp;" - "&amp;C825,"OK")))))))))</f>
        <v/>
      </c>
      <c r="L825" s="92" t="str">
        <f>IF(AND(A825="",B825="",D825="",G825=""),"",IF(OR(B825="",NOT(ISNUMBER(B825)),C825="",C825="Fora dos ciclos"),"",IF(C825="C0","Nao",IF(IFERROR(INDEX(parametros!$A$2:$A$6,MATCH(C825,parametros!$B$2:$B$6,0)),"")&lt;&gt;"Sim","Nao",IF(IFERROR(INDEX(parametros!$H$2:$H$6,MATCH(C825,parametros!$B$2:$B$6,0)),"")="","",IF(B825&gt;=IFERROR(INDEX(parametros!$H$2:$H$6,MATCH(C825,parametros!$B$2:$B$6,0)),""),"Sim","Nao"))))))</f>
        <v/>
      </c>
      <c r="T825" s="156"/>
      <c r="U825" s="214" t="str">
        <f t="shared" si="66"/>
        <v/>
      </c>
      <c r="V825" s="212" t="s">
        <v>50</v>
      </c>
      <c r="W825" s="100" t="s">
        <v>168</v>
      </c>
      <c r="X825" s="100" t="s">
        <v>169</v>
      </c>
      <c r="Y825" s="101" t="s">
        <v>170</v>
      </c>
      <c r="Z825" s="101" t="s">
        <v>171</v>
      </c>
      <c r="AA825" s="101" t="s">
        <v>50</v>
      </c>
      <c r="AB825" s="101" t="s">
        <v>172</v>
      </c>
      <c r="AC825" s="102" t="s">
        <v>173</v>
      </c>
    </row>
    <row r="826" spans="1:29" ht="25.5" customHeight="1" x14ac:dyDescent="0.35">
      <c r="A826" s="392"/>
      <c r="B826" s="393"/>
      <c r="C826" s="99" t="str">
        <f>IF(B826="","",IF(NOT(ISNUMBER(B826)),"DATA_PC invalida",IF(NOT(ISNUMBER(parametros!$C$2)),"Fora dos ciclos",IF(OR(B826&lt;parametros!$C$2,(YEAR(B826)-YEAR(parametros!$C$2))*12+MONTH(B826)-MONTH(parametros!$C$2)&gt;59),"Fora dos ciclos","C"&amp;INT(((YEAR(B826)-YEAR(parametros!$C$2))*12+MONTH(B826)-MONTH(parametros!$C$2))/12)))))</f>
        <v/>
      </c>
      <c r="D826" s="394"/>
      <c r="E826" s="78" t="str">
        <f>IF(C826="","",IFERROR(VLOOKUP(C826,parametros!$A$11:$E$15,5,0),""))</f>
        <v/>
      </c>
      <c r="F826" s="79" t="str">
        <f t="shared" si="62"/>
        <v/>
      </c>
      <c r="G826" s="395"/>
      <c r="H826" s="91">
        <f t="shared" si="63"/>
        <v>0</v>
      </c>
      <c r="I826" s="91" t="str">
        <f t="shared" si="64"/>
        <v/>
      </c>
      <c r="J826" s="91" t="str">
        <f t="shared" si="65"/>
        <v/>
      </c>
      <c r="K826" s="92" t="str">
        <f>IF(AND(A826="",B826="",D826="",G826=""),"",IF(AND(A826&lt;&gt;"",COUNTIF($A$2:$A$5001,A826)&gt;1),"NUMERO_PC duplicado",IF(B826="","DATA_PC vazia",IF(NOT(ISNUMBER(B826)),"DATA_PC invalida",IF(OR(C826="",C826="Fora dos ciclos"),"CICLO_PC nao identificado",IF(OR(D826="",D826=0),"VALOR_PC vazio ou zero",IF(AND(G826&lt;&gt;"Sim",G826&lt;&gt;"Nao",G826&lt;&gt;""),"PC_PAGO_A_CONTRATADA invalido",IF(AND(C826&lt;&gt;"C0",IFERROR(INDEX(parametros!$A$2:$A$6,MATCH(C826,parametros!$B$2:$B$6,0)),"")="Sim",IFERROR(INDEX(parametros!$H$2:$H$6,MATCH(C826,parametros!$B$2:$B$6,0)),"")=""),"INICIO_EFEITO ausente: PC "&amp;A826&amp;" - "&amp;C826,IF(L826="","EFEITO_PC nao calculado: PC "&amp;A826&amp;" - "&amp;C826,"OK")))))))))</f>
        <v/>
      </c>
      <c r="L826" s="92" t="str">
        <f>IF(AND(A826="",B826="",D826="",G826=""),"",IF(OR(B826="",NOT(ISNUMBER(B826)),C826="",C826="Fora dos ciclos"),"",IF(C826="C0","Nao",IF(IFERROR(INDEX(parametros!$A$2:$A$6,MATCH(C826,parametros!$B$2:$B$6,0)),"")&lt;&gt;"Sim","Nao",IF(IFERROR(INDEX(parametros!$H$2:$H$6,MATCH(C826,parametros!$B$2:$B$6,0)),"")="","",IF(B826&gt;=IFERROR(INDEX(parametros!$H$2:$H$6,MATCH(C826,parametros!$B$2:$B$6,0)),""),"Sim","Nao"))))))</f>
        <v/>
      </c>
      <c r="T826" s="156"/>
      <c r="U826" s="214" t="str">
        <f t="shared" si="66"/>
        <v/>
      </c>
      <c r="V826" s="212" t="s">
        <v>50</v>
      </c>
      <c r="W826" s="100" t="s">
        <v>168</v>
      </c>
      <c r="X826" s="100" t="s">
        <v>169</v>
      </c>
      <c r="Y826" s="101" t="s">
        <v>170</v>
      </c>
      <c r="Z826" s="101" t="s">
        <v>171</v>
      </c>
      <c r="AA826" s="101" t="s">
        <v>50</v>
      </c>
      <c r="AB826" s="101" t="s">
        <v>172</v>
      </c>
      <c r="AC826" s="102" t="s">
        <v>173</v>
      </c>
    </row>
    <row r="827" spans="1:29" ht="25.5" customHeight="1" x14ac:dyDescent="0.35">
      <c r="A827" s="392"/>
      <c r="B827" s="393"/>
      <c r="C827" s="99" t="str">
        <f>IF(B827="","",IF(NOT(ISNUMBER(B827)),"DATA_PC invalida",IF(NOT(ISNUMBER(parametros!$C$2)),"Fora dos ciclos",IF(OR(B827&lt;parametros!$C$2,(YEAR(B827)-YEAR(parametros!$C$2))*12+MONTH(B827)-MONTH(parametros!$C$2)&gt;59),"Fora dos ciclos","C"&amp;INT(((YEAR(B827)-YEAR(parametros!$C$2))*12+MONTH(B827)-MONTH(parametros!$C$2))/12)))))</f>
        <v/>
      </c>
      <c r="D827" s="394"/>
      <c r="E827" s="78" t="str">
        <f>IF(C827="","",IFERROR(VLOOKUP(C827,parametros!$A$11:$E$15,5,0),""))</f>
        <v/>
      </c>
      <c r="F827" s="79" t="str">
        <f t="shared" si="62"/>
        <v/>
      </c>
      <c r="G827" s="395"/>
      <c r="H827" s="91">
        <f t="shared" si="63"/>
        <v>0</v>
      </c>
      <c r="I827" s="91" t="str">
        <f t="shared" si="64"/>
        <v/>
      </c>
      <c r="J827" s="91" t="str">
        <f t="shared" si="65"/>
        <v/>
      </c>
      <c r="K827" s="92" t="str">
        <f>IF(AND(A827="",B827="",D827="",G827=""),"",IF(AND(A827&lt;&gt;"",COUNTIF($A$2:$A$5001,A827)&gt;1),"NUMERO_PC duplicado",IF(B827="","DATA_PC vazia",IF(NOT(ISNUMBER(B827)),"DATA_PC invalida",IF(OR(C827="",C827="Fora dos ciclos"),"CICLO_PC nao identificado",IF(OR(D827="",D827=0),"VALOR_PC vazio ou zero",IF(AND(G827&lt;&gt;"Sim",G827&lt;&gt;"Nao",G827&lt;&gt;""),"PC_PAGO_A_CONTRATADA invalido",IF(AND(C827&lt;&gt;"C0",IFERROR(INDEX(parametros!$A$2:$A$6,MATCH(C827,parametros!$B$2:$B$6,0)),"")="Sim",IFERROR(INDEX(parametros!$H$2:$H$6,MATCH(C827,parametros!$B$2:$B$6,0)),"")=""),"INICIO_EFEITO ausente: PC "&amp;A827&amp;" - "&amp;C827,IF(L827="","EFEITO_PC nao calculado: PC "&amp;A827&amp;" - "&amp;C827,"OK")))))))))</f>
        <v/>
      </c>
      <c r="L827" s="92" t="str">
        <f>IF(AND(A827="",B827="",D827="",G827=""),"",IF(OR(B827="",NOT(ISNUMBER(B827)),C827="",C827="Fora dos ciclos"),"",IF(C827="C0","Nao",IF(IFERROR(INDEX(parametros!$A$2:$A$6,MATCH(C827,parametros!$B$2:$B$6,0)),"")&lt;&gt;"Sim","Nao",IF(IFERROR(INDEX(parametros!$H$2:$H$6,MATCH(C827,parametros!$B$2:$B$6,0)),"")="","",IF(B827&gt;=IFERROR(INDEX(parametros!$H$2:$H$6,MATCH(C827,parametros!$B$2:$B$6,0)),""),"Sim","Nao"))))))</f>
        <v/>
      </c>
      <c r="T827" s="156"/>
      <c r="U827" s="214" t="str">
        <f t="shared" si="66"/>
        <v/>
      </c>
      <c r="V827" s="212" t="s">
        <v>50</v>
      </c>
      <c r="W827" s="100" t="s">
        <v>168</v>
      </c>
      <c r="X827" s="100" t="s">
        <v>169</v>
      </c>
      <c r="Y827" s="101" t="s">
        <v>170</v>
      </c>
      <c r="Z827" s="101" t="s">
        <v>171</v>
      </c>
      <c r="AA827" s="101" t="s">
        <v>50</v>
      </c>
      <c r="AB827" s="101" t="s">
        <v>172</v>
      </c>
      <c r="AC827" s="102" t="s">
        <v>173</v>
      </c>
    </row>
    <row r="828" spans="1:29" ht="25.5" customHeight="1" x14ac:dyDescent="0.35">
      <c r="A828" s="392"/>
      <c r="B828" s="393"/>
      <c r="C828" s="99" t="str">
        <f>IF(B828="","",IF(NOT(ISNUMBER(B828)),"DATA_PC invalida",IF(NOT(ISNUMBER(parametros!$C$2)),"Fora dos ciclos",IF(OR(B828&lt;parametros!$C$2,(YEAR(B828)-YEAR(parametros!$C$2))*12+MONTH(B828)-MONTH(parametros!$C$2)&gt;59),"Fora dos ciclos","C"&amp;INT(((YEAR(B828)-YEAR(parametros!$C$2))*12+MONTH(B828)-MONTH(parametros!$C$2))/12)))))</f>
        <v/>
      </c>
      <c r="D828" s="394"/>
      <c r="E828" s="78" t="str">
        <f>IF(C828="","",IFERROR(VLOOKUP(C828,parametros!$A$11:$E$15,5,0),""))</f>
        <v/>
      </c>
      <c r="F828" s="79" t="str">
        <f t="shared" si="62"/>
        <v/>
      </c>
      <c r="G828" s="395"/>
      <c r="H828" s="91">
        <f t="shared" si="63"/>
        <v>0</v>
      </c>
      <c r="I828" s="91" t="str">
        <f t="shared" si="64"/>
        <v/>
      </c>
      <c r="J828" s="91" t="str">
        <f t="shared" si="65"/>
        <v/>
      </c>
      <c r="K828" s="92" t="str">
        <f>IF(AND(A828="",B828="",D828="",G828=""),"",IF(AND(A828&lt;&gt;"",COUNTIF($A$2:$A$5001,A828)&gt;1),"NUMERO_PC duplicado",IF(B828="","DATA_PC vazia",IF(NOT(ISNUMBER(B828)),"DATA_PC invalida",IF(OR(C828="",C828="Fora dos ciclos"),"CICLO_PC nao identificado",IF(OR(D828="",D828=0),"VALOR_PC vazio ou zero",IF(AND(G828&lt;&gt;"Sim",G828&lt;&gt;"Nao",G828&lt;&gt;""),"PC_PAGO_A_CONTRATADA invalido",IF(AND(C828&lt;&gt;"C0",IFERROR(INDEX(parametros!$A$2:$A$6,MATCH(C828,parametros!$B$2:$B$6,0)),"")="Sim",IFERROR(INDEX(parametros!$H$2:$H$6,MATCH(C828,parametros!$B$2:$B$6,0)),"")=""),"INICIO_EFEITO ausente: PC "&amp;A828&amp;" - "&amp;C828,IF(L828="","EFEITO_PC nao calculado: PC "&amp;A828&amp;" - "&amp;C828,"OK")))))))))</f>
        <v/>
      </c>
      <c r="L828" s="92" t="str">
        <f>IF(AND(A828="",B828="",D828="",G828=""),"",IF(OR(B828="",NOT(ISNUMBER(B828)),C828="",C828="Fora dos ciclos"),"",IF(C828="C0","Nao",IF(IFERROR(INDEX(parametros!$A$2:$A$6,MATCH(C828,parametros!$B$2:$B$6,0)),"")&lt;&gt;"Sim","Nao",IF(IFERROR(INDEX(parametros!$H$2:$H$6,MATCH(C828,parametros!$B$2:$B$6,0)),"")="","",IF(B828&gt;=IFERROR(INDEX(parametros!$H$2:$H$6,MATCH(C828,parametros!$B$2:$B$6,0)),""),"Sim","Nao"))))))</f>
        <v/>
      </c>
      <c r="T828" s="156"/>
      <c r="U828" s="214" t="str">
        <f t="shared" si="66"/>
        <v/>
      </c>
      <c r="V828" s="212" t="s">
        <v>50</v>
      </c>
      <c r="W828" s="100" t="s">
        <v>168</v>
      </c>
      <c r="X828" s="100" t="s">
        <v>169</v>
      </c>
      <c r="Y828" s="101" t="s">
        <v>170</v>
      </c>
      <c r="Z828" s="101" t="s">
        <v>171</v>
      </c>
      <c r="AA828" s="101" t="s">
        <v>50</v>
      </c>
      <c r="AB828" s="101" t="s">
        <v>172</v>
      </c>
      <c r="AC828" s="102" t="s">
        <v>173</v>
      </c>
    </row>
    <row r="829" spans="1:29" ht="25.5" customHeight="1" x14ac:dyDescent="0.35">
      <c r="A829" s="392"/>
      <c r="B829" s="393"/>
      <c r="C829" s="99" t="str">
        <f>IF(B829="","",IF(NOT(ISNUMBER(B829)),"DATA_PC invalida",IF(NOT(ISNUMBER(parametros!$C$2)),"Fora dos ciclos",IF(OR(B829&lt;parametros!$C$2,(YEAR(B829)-YEAR(parametros!$C$2))*12+MONTH(B829)-MONTH(parametros!$C$2)&gt;59),"Fora dos ciclos","C"&amp;INT(((YEAR(B829)-YEAR(parametros!$C$2))*12+MONTH(B829)-MONTH(parametros!$C$2))/12)))))</f>
        <v/>
      </c>
      <c r="D829" s="394"/>
      <c r="E829" s="78" t="str">
        <f>IF(C829="","",IFERROR(VLOOKUP(C829,parametros!$A$11:$E$15,5,0),""))</f>
        <v/>
      </c>
      <c r="F829" s="79" t="str">
        <f t="shared" si="62"/>
        <v/>
      </c>
      <c r="G829" s="395"/>
      <c r="H829" s="91">
        <f t="shared" si="63"/>
        <v>0</v>
      </c>
      <c r="I829" s="91" t="str">
        <f t="shared" si="64"/>
        <v/>
      </c>
      <c r="J829" s="91" t="str">
        <f t="shared" si="65"/>
        <v/>
      </c>
      <c r="K829" s="92" t="str">
        <f>IF(AND(A829="",B829="",D829="",G829=""),"",IF(AND(A829&lt;&gt;"",COUNTIF($A$2:$A$5001,A829)&gt;1),"NUMERO_PC duplicado",IF(B829="","DATA_PC vazia",IF(NOT(ISNUMBER(B829)),"DATA_PC invalida",IF(OR(C829="",C829="Fora dos ciclos"),"CICLO_PC nao identificado",IF(OR(D829="",D829=0),"VALOR_PC vazio ou zero",IF(AND(G829&lt;&gt;"Sim",G829&lt;&gt;"Nao",G829&lt;&gt;""),"PC_PAGO_A_CONTRATADA invalido",IF(AND(C829&lt;&gt;"C0",IFERROR(INDEX(parametros!$A$2:$A$6,MATCH(C829,parametros!$B$2:$B$6,0)),"")="Sim",IFERROR(INDEX(parametros!$H$2:$H$6,MATCH(C829,parametros!$B$2:$B$6,0)),"")=""),"INICIO_EFEITO ausente: PC "&amp;A829&amp;" - "&amp;C829,IF(L829="","EFEITO_PC nao calculado: PC "&amp;A829&amp;" - "&amp;C829,"OK")))))))))</f>
        <v/>
      </c>
      <c r="L829" s="92" t="str">
        <f>IF(AND(A829="",B829="",D829="",G829=""),"",IF(OR(B829="",NOT(ISNUMBER(B829)),C829="",C829="Fora dos ciclos"),"",IF(C829="C0","Nao",IF(IFERROR(INDEX(parametros!$A$2:$A$6,MATCH(C829,parametros!$B$2:$B$6,0)),"")&lt;&gt;"Sim","Nao",IF(IFERROR(INDEX(parametros!$H$2:$H$6,MATCH(C829,parametros!$B$2:$B$6,0)),"")="","",IF(B829&gt;=IFERROR(INDEX(parametros!$H$2:$H$6,MATCH(C829,parametros!$B$2:$B$6,0)),""),"Sim","Nao"))))))</f>
        <v/>
      </c>
      <c r="T829" s="156"/>
      <c r="U829" s="214" t="str">
        <f t="shared" si="66"/>
        <v/>
      </c>
      <c r="V829" s="212" t="s">
        <v>50</v>
      </c>
      <c r="W829" s="100" t="s">
        <v>168</v>
      </c>
      <c r="X829" s="100" t="s">
        <v>169</v>
      </c>
      <c r="Y829" s="101" t="s">
        <v>170</v>
      </c>
      <c r="Z829" s="101" t="s">
        <v>171</v>
      </c>
      <c r="AA829" s="101" t="s">
        <v>50</v>
      </c>
      <c r="AB829" s="101" t="s">
        <v>172</v>
      </c>
      <c r="AC829" s="102" t="s">
        <v>173</v>
      </c>
    </row>
    <row r="830" spans="1:29" ht="25.5" customHeight="1" x14ac:dyDescent="0.35">
      <c r="A830" s="392"/>
      <c r="B830" s="393"/>
      <c r="C830" s="99" t="str">
        <f>IF(B830="","",IF(NOT(ISNUMBER(B830)),"DATA_PC invalida",IF(NOT(ISNUMBER(parametros!$C$2)),"Fora dos ciclos",IF(OR(B830&lt;parametros!$C$2,(YEAR(B830)-YEAR(parametros!$C$2))*12+MONTH(B830)-MONTH(parametros!$C$2)&gt;59),"Fora dos ciclos","C"&amp;INT(((YEAR(B830)-YEAR(parametros!$C$2))*12+MONTH(B830)-MONTH(parametros!$C$2))/12)))))</f>
        <v/>
      </c>
      <c r="D830" s="394"/>
      <c r="E830" s="78" t="str">
        <f>IF(C830="","",IFERROR(VLOOKUP(C830,parametros!$A$11:$E$15,5,0),""))</f>
        <v/>
      </c>
      <c r="F830" s="79" t="str">
        <f t="shared" si="62"/>
        <v/>
      </c>
      <c r="G830" s="395"/>
      <c r="H830" s="91">
        <f t="shared" si="63"/>
        <v>0</v>
      </c>
      <c r="I830" s="91" t="str">
        <f t="shared" si="64"/>
        <v/>
      </c>
      <c r="J830" s="91" t="str">
        <f t="shared" si="65"/>
        <v/>
      </c>
      <c r="K830" s="92" t="str">
        <f>IF(AND(A830="",B830="",D830="",G830=""),"",IF(AND(A830&lt;&gt;"",COUNTIF($A$2:$A$5001,A830)&gt;1),"NUMERO_PC duplicado",IF(B830="","DATA_PC vazia",IF(NOT(ISNUMBER(B830)),"DATA_PC invalida",IF(OR(C830="",C830="Fora dos ciclos"),"CICLO_PC nao identificado",IF(OR(D830="",D830=0),"VALOR_PC vazio ou zero",IF(AND(G830&lt;&gt;"Sim",G830&lt;&gt;"Nao",G830&lt;&gt;""),"PC_PAGO_A_CONTRATADA invalido",IF(AND(C830&lt;&gt;"C0",IFERROR(INDEX(parametros!$A$2:$A$6,MATCH(C830,parametros!$B$2:$B$6,0)),"")="Sim",IFERROR(INDEX(parametros!$H$2:$H$6,MATCH(C830,parametros!$B$2:$B$6,0)),"")=""),"INICIO_EFEITO ausente: PC "&amp;A830&amp;" - "&amp;C830,IF(L830="","EFEITO_PC nao calculado: PC "&amp;A830&amp;" - "&amp;C830,"OK")))))))))</f>
        <v/>
      </c>
      <c r="L830" s="92" t="str">
        <f>IF(AND(A830="",B830="",D830="",G830=""),"",IF(OR(B830="",NOT(ISNUMBER(B830)),C830="",C830="Fora dos ciclos"),"",IF(C830="C0","Nao",IF(IFERROR(INDEX(parametros!$A$2:$A$6,MATCH(C830,parametros!$B$2:$B$6,0)),"")&lt;&gt;"Sim","Nao",IF(IFERROR(INDEX(parametros!$H$2:$H$6,MATCH(C830,parametros!$B$2:$B$6,0)),"")="","",IF(B830&gt;=IFERROR(INDEX(parametros!$H$2:$H$6,MATCH(C830,parametros!$B$2:$B$6,0)),""),"Sim","Nao"))))))</f>
        <v/>
      </c>
      <c r="T830" s="156"/>
      <c r="U830" s="214" t="str">
        <f t="shared" si="66"/>
        <v/>
      </c>
      <c r="V830" s="212" t="s">
        <v>50</v>
      </c>
      <c r="W830" s="100" t="s">
        <v>168</v>
      </c>
      <c r="X830" s="100" t="s">
        <v>169</v>
      </c>
      <c r="Y830" s="101" t="s">
        <v>170</v>
      </c>
      <c r="Z830" s="101" t="s">
        <v>171</v>
      </c>
      <c r="AA830" s="101" t="s">
        <v>50</v>
      </c>
      <c r="AB830" s="101" t="s">
        <v>172</v>
      </c>
      <c r="AC830" s="102" t="s">
        <v>173</v>
      </c>
    </row>
    <row r="831" spans="1:29" ht="25.5" customHeight="1" x14ac:dyDescent="0.35">
      <c r="A831" s="392"/>
      <c r="B831" s="393"/>
      <c r="C831" s="99" t="str">
        <f>IF(B831="","",IF(NOT(ISNUMBER(B831)),"DATA_PC invalida",IF(NOT(ISNUMBER(parametros!$C$2)),"Fora dos ciclos",IF(OR(B831&lt;parametros!$C$2,(YEAR(B831)-YEAR(parametros!$C$2))*12+MONTH(B831)-MONTH(parametros!$C$2)&gt;59),"Fora dos ciclos","C"&amp;INT(((YEAR(B831)-YEAR(parametros!$C$2))*12+MONTH(B831)-MONTH(parametros!$C$2))/12)))))</f>
        <v/>
      </c>
      <c r="D831" s="394"/>
      <c r="E831" s="78" t="str">
        <f>IF(C831="","",IFERROR(VLOOKUP(C831,parametros!$A$11:$E$15,5,0),""))</f>
        <v/>
      </c>
      <c r="F831" s="79" t="str">
        <f t="shared" si="62"/>
        <v/>
      </c>
      <c r="G831" s="395"/>
      <c r="H831" s="91">
        <f t="shared" si="63"/>
        <v>0</v>
      </c>
      <c r="I831" s="91" t="str">
        <f t="shared" si="64"/>
        <v/>
      </c>
      <c r="J831" s="91" t="str">
        <f t="shared" si="65"/>
        <v/>
      </c>
      <c r="K831" s="92" t="str">
        <f>IF(AND(A831="",B831="",D831="",G831=""),"",IF(AND(A831&lt;&gt;"",COUNTIF($A$2:$A$5001,A831)&gt;1),"NUMERO_PC duplicado",IF(B831="","DATA_PC vazia",IF(NOT(ISNUMBER(B831)),"DATA_PC invalida",IF(OR(C831="",C831="Fora dos ciclos"),"CICLO_PC nao identificado",IF(OR(D831="",D831=0),"VALOR_PC vazio ou zero",IF(AND(G831&lt;&gt;"Sim",G831&lt;&gt;"Nao",G831&lt;&gt;""),"PC_PAGO_A_CONTRATADA invalido",IF(AND(C831&lt;&gt;"C0",IFERROR(INDEX(parametros!$A$2:$A$6,MATCH(C831,parametros!$B$2:$B$6,0)),"")="Sim",IFERROR(INDEX(parametros!$H$2:$H$6,MATCH(C831,parametros!$B$2:$B$6,0)),"")=""),"INICIO_EFEITO ausente: PC "&amp;A831&amp;" - "&amp;C831,IF(L831="","EFEITO_PC nao calculado: PC "&amp;A831&amp;" - "&amp;C831,"OK")))))))))</f>
        <v/>
      </c>
      <c r="L831" s="92" t="str">
        <f>IF(AND(A831="",B831="",D831="",G831=""),"",IF(OR(B831="",NOT(ISNUMBER(B831)),C831="",C831="Fora dos ciclos"),"",IF(C831="C0","Nao",IF(IFERROR(INDEX(parametros!$A$2:$A$6,MATCH(C831,parametros!$B$2:$B$6,0)),"")&lt;&gt;"Sim","Nao",IF(IFERROR(INDEX(parametros!$H$2:$H$6,MATCH(C831,parametros!$B$2:$B$6,0)),"")="","",IF(B831&gt;=IFERROR(INDEX(parametros!$H$2:$H$6,MATCH(C831,parametros!$B$2:$B$6,0)),""),"Sim","Nao"))))))</f>
        <v/>
      </c>
      <c r="T831" s="156"/>
      <c r="U831" s="214" t="str">
        <f t="shared" si="66"/>
        <v/>
      </c>
      <c r="V831" s="212" t="s">
        <v>50</v>
      </c>
      <c r="W831" s="100" t="s">
        <v>168</v>
      </c>
      <c r="X831" s="100" t="s">
        <v>169</v>
      </c>
      <c r="Y831" s="101" t="s">
        <v>170</v>
      </c>
      <c r="Z831" s="101" t="s">
        <v>171</v>
      </c>
      <c r="AA831" s="101" t="s">
        <v>50</v>
      </c>
      <c r="AB831" s="101" t="s">
        <v>172</v>
      </c>
      <c r="AC831" s="102" t="s">
        <v>173</v>
      </c>
    </row>
    <row r="832" spans="1:29" ht="25.5" customHeight="1" x14ac:dyDescent="0.35">
      <c r="A832" s="392"/>
      <c r="B832" s="393"/>
      <c r="C832" s="99" t="str">
        <f>IF(B832="","",IF(NOT(ISNUMBER(B832)),"DATA_PC invalida",IF(NOT(ISNUMBER(parametros!$C$2)),"Fora dos ciclos",IF(OR(B832&lt;parametros!$C$2,(YEAR(B832)-YEAR(parametros!$C$2))*12+MONTH(B832)-MONTH(parametros!$C$2)&gt;59),"Fora dos ciclos","C"&amp;INT(((YEAR(B832)-YEAR(parametros!$C$2))*12+MONTH(B832)-MONTH(parametros!$C$2))/12)))))</f>
        <v/>
      </c>
      <c r="D832" s="394"/>
      <c r="E832" s="78" t="str">
        <f>IF(C832="","",IFERROR(VLOOKUP(C832,parametros!$A$11:$E$15,5,0),""))</f>
        <v/>
      </c>
      <c r="F832" s="79" t="str">
        <f t="shared" si="62"/>
        <v/>
      </c>
      <c r="G832" s="395"/>
      <c r="H832" s="91">
        <f t="shared" si="63"/>
        <v>0</v>
      </c>
      <c r="I832" s="91" t="str">
        <f t="shared" si="64"/>
        <v/>
      </c>
      <c r="J832" s="91" t="str">
        <f t="shared" si="65"/>
        <v/>
      </c>
      <c r="K832" s="92" t="str">
        <f>IF(AND(A832="",B832="",D832="",G832=""),"",IF(AND(A832&lt;&gt;"",COUNTIF($A$2:$A$5001,A832)&gt;1),"NUMERO_PC duplicado",IF(B832="","DATA_PC vazia",IF(NOT(ISNUMBER(B832)),"DATA_PC invalida",IF(OR(C832="",C832="Fora dos ciclos"),"CICLO_PC nao identificado",IF(OR(D832="",D832=0),"VALOR_PC vazio ou zero",IF(AND(G832&lt;&gt;"Sim",G832&lt;&gt;"Nao",G832&lt;&gt;""),"PC_PAGO_A_CONTRATADA invalido",IF(AND(C832&lt;&gt;"C0",IFERROR(INDEX(parametros!$A$2:$A$6,MATCH(C832,parametros!$B$2:$B$6,0)),"")="Sim",IFERROR(INDEX(parametros!$H$2:$H$6,MATCH(C832,parametros!$B$2:$B$6,0)),"")=""),"INICIO_EFEITO ausente: PC "&amp;A832&amp;" - "&amp;C832,IF(L832="","EFEITO_PC nao calculado: PC "&amp;A832&amp;" - "&amp;C832,"OK")))))))))</f>
        <v/>
      </c>
      <c r="L832" s="92" t="str">
        <f>IF(AND(A832="",B832="",D832="",G832=""),"",IF(OR(B832="",NOT(ISNUMBER(B832)),C832="",C832="Fora dos ciclos"),"",IF(C832="C0","Nao",IF(IFERROR(INDEX(parametros!$A$2:$A$6,MATCH(C832,parametros!$B$2:$B$6,0)),"")&lt;&gt;"Sim","Nao",IF(IFERROR(INDEX(parametros!$H$2:$H$6,MATCH(C832,parametros!$B$2:$B$6,0)),"")="","",IF(B832&gt;=IFERROR(INDEX(parametros!$H$2:$H$6,MATCH(C832,parametros!$B$2:$B$6,0)),""),"Sim","Nao"))))))</f>
        <v/>
      </c>
      <c r="T832" s="156"/>
      <c r="U832" s="214" t="str">
        <f t="shared" si="66"/>
        <v/>
      </c>
      <c r="V832" s="212" t="s">
        <v>50</v>
      </c>
      <c r="W832" s="100" t="s">
        <v>168</v>
      </c>
      <c r="X832" s="100" t="s">
        <v>169</v>
      </c>
      <c r="Y832" s="101" t="s">
        <v>170</v>
      </c>
      <c r="Z832" s="101" t="s">
        <v>171</v>
      </c>
      <c r="AA832" s="101" t="s">
        <v>50</v>
      </c>
      <c r="AB832" s="101" t="s">
        <v>172</v>
      </c>
      <c r="AC832" s="102" t="s">
        <v>173</v>
      </c>
    </row>
    <row r="833" spans="1:29" ht="25.5" customHeight="1" x14ac:dyDescent="0.35">
      <c r="A833" s="392"/>
      <c r="B833" s="393"/>
      <c r="C833" s="99" t="str">
        <f>IF(B833="","",IF(NOT(ISNUMBER(B833)),"DATA_PC invalida",IF(NOT(ISNUMBER(parametros!$C$2)),"Fora dos ciclos",IF(OR(B833&lt;parametros!$C$2,(YEAR(B833)-YEAR(parametros!$C$2))*12+MONTH(B833)-MONTH(parametros!$C$2)&gt;59),"Fora dos ciclos","C"&amp;INT(((YEAR(B833)-YEAR(parametros!$C$2))*12+MONTH(B833)-MONTH(parametros!$C$2))/12)))))</f>
        <v/>
      </c>
      <c r="D833" s="394"/>
      <c r="E833" s="78" t="str">
        <f>IF(C833="","",IFERROR(VLOOKUP(C833,parametros!$A$11:$E$15,5,0),""))</f>
        <v/>
      </c>
      <c r="F833" s="79" t="str">
        <f t="shared" si="62"/>
        <v/>
      </c>
      <c r="G833" s="395"/>
      <c r="H833" s="91">
        <f t="shared" si="63"/>
        <v>0</v>
      </c>
      <c r="I833" s="91" t="str">
        <f t="shared" si="64"/>
        <v/>
      </c>
      <c r="J833" s="91" t="str">
        <f t="shared" si="65"/>
        <v/>
      </c>
      <c r="K833" s="92" t="str">
        <f>IF(AND(A833="",B833="",D833="",G833=""),"",IF(AND(A833&lt;&gt;"",COUNTIF($A$2:$A$5001,A833)&gt;1),"NUMERO_PC duplicado",IF(B833="","DATA_PC vazia",IF(NOT(ISNUMBER(B833)),"DATA_PC invalida",IF(OR(C833="",C833="Fora dos ciclos"),"CICLO_PC nao identificado",IF(OR(D833="",D833=0),"VALOR_PC vazio ou zero",IF(AND(G833&lt;&gt;"Sim",G833&lt;&gt;"Nao",G833&lt;&gt;""),"PC_PAGO_A_CONTRATADA invalido",IF(AND(C833&lt;&gt;"C0",IFERROR(INDEX(parametros!$A$2:$A$6,MATCH(C833,parametros!$B$2:$B$6,0)),"")="Sim",IFERROR(INDEX(parametros!$H$2:$H$6,MATCH(C833,parametros!$B$2:$B$6,0)),"")=""),"INICIO_EFEITO ausente: PC "&amp;A833&amp;" - "&amp;C833,IF(L833="","EFEITO_PC nao calculado: PC "&amp;A833&amp;" - "&amp;C833,"OK")))))))))</f>
        <v/>
      </c>
      <c r="L833" s="92" t="str">
        <f>IF(AND(A833="",B833="",D833="",G833=""),"",IF(OR(B833="",NOT(ISNUMBER(B833)),C833="",C833="Fora dos ciclos"),"",IF(C833="C0","Nao",IF(IFERROR(INDEX(parametros!$A$2:$A$6,MATCH(C833,parametros!$B$2:$B$6,0)),"")&lt;&gt;"Sim","Nao",IF(IFERROR(INDEX(parametros!$H$2:$H$6,MATCH(C833,parametros!$B$2:$B$6,0)),"")="","",IF(B833&gt;=IFERROR(INDEX(parametros!$H$2:$H$6,MATCH(C833,parametros!$B$2:$B$6,0)),""),"Sim","Nao"))))))</f>
        <v/>
      </c>
      <c r="T833" s="156"/>
      <c r="U833" s="214" t="str">
        <f t="shared" si="66"/>
        <v/>
      </c>
      <c r="V833" s="212" t="s">
        <v>50</v>
      </c>
      <c r="W833" s="100" t="s">
        <v>168</v>
      </c>
      <c r="X833" s="100" t="s">
        <v>169</v>
      </c>
      <c r="Y833" s="101" t="s">
        <v>170</v>
      </c>
      <c r="Z833" s="101" t="s">
        <v>171</v>
      </c>
      <c r="AA833" s="101" t="s">
        <v>50</v>
      </c>
      <c r="AB833" s="101" t="s">
        <v>172</v>
      </c>
      <c r="AC833" s="102" t="s">
        <v>173</v>
      </c>
    </row>
    <row r="834" spans="1:29" ht="25.5" customHeight="1" x14ac:dyDescent="0.35">
      <c r="A834" s="392"/>
      <c r="B834" s="393"/>
      <c r="C834" s="99" t="str">
        <f>IF(B834="","",IF(NOT(ISNUMBER(B834)),"DATA_PC invalida",IF(NOT(ISNUMBER(parametros!$C$2)),"Fora dos ciclos",IF(OR(B834&lt;parametros!$C$2,(YEAR(B834)-YEAR(parametros!$C$2))*12+MONTH(B834)-MONTH(parametros!$C$2)&gt;59),"Fora dos ciclos","C"&amp;INT(((YEAR(B834)-YEAR(parametros!$C$2))*12+MONTH(B834)-MONTH(parametros!$C$2))/12)))))</f>
        <v/>
      </c>
      <c r="D834" s="394"/>
      <c r="E834" s="78" t="str">
        <f>IF(C834="","",IFERROR(VLOOKUP(C834,parametros!$A$11:$E$15,5,0),""))</f>
        <v/>
      </c>
      <c r="F834" s="79" t="str">
        <f t="shared" ref="F834:F897" si="67">IF(OR(D834="",E834=""),"",ROUND(D834*E834,2))</f>
        <v/>
      </c>
      <c r="G834" s="395"/>
      <c r="H834" s="91">
        <f t="shared" ref="H834:H897" si="68">IF(G834="Sim",IF(OR(F834="",D834="",L834=""),"",IF(L834="Sim",ROUND(F834-D834,2),0)),0)</f>
        <v>0</v>
      </c>
      <c r="I834" s="91" t="str">
        <f t="shared" ref="I834:I897" si="69">IF(G834="Sim",0,IF(OR(F834="",L834=""),"",F834))</f>
        <v/>
      </c>
      <c r="J834" s="91" t="str">
        <f t="shared" ref="J834:J897" si="70">IF(G834="Sim",0,IF(OR(F834="",D834="",L834=""),"",IF(L834="Sim",ROUND(F834-D834,2),0)))</f>
        <v/>
      </c>
      <c r="K834" s="92" t="str">
        <f>IF(AND(A834="",B834="",D834="",G834=""),"",IF(AND(A834&lt;&gt;"",COUNTIF($A$2:$A$5001,A834)&gt;1),"NUMERO_PC duplicado",IF(B834="","DATA_PC vazia",IF(NOT(ISNUMBER(B834)),"DATA_PC invalida",IF(OR(C834="",C834="Fora dos ciclos"),"CICLO_PC nao identificado",IF(OR(D834="",D834=0),"VALOR_PC vazio ou zero",IF(AND(G834&lt;&gt;"Sim",G834&lt;&gt;"Nao",G834&lt;&gt;""),"PC_PAGO_A_CONTRATADA invalido",IF(AND(C834&lt;&gt;"C0",IFERROR(INDEX(parametros!$A$2:$A$6,MATCH(C834,parametros!$B$2:$B$6,0)),"")="Sim",IFERROR(INDEX(parametros!$H$2:$H$6,MATCH(C834,parametros!$B$2:$B$6,0)),"")=""),"INICIO_EFEITO ausente: PC "&amp;A834&amp;" - "&amp;C834,IF(L834="","EFEITO_PC nao calculado: PC "&amp;A834&amp;" - "&amp;C834,"OK")))))))))</f>
        <v/>
      </c>
      <c r="L834" s="92" t="str">
        <f>IF(AND(A834="",B834="",D834="",G834=""),"",IF(OR(B834="",NOT(ISNUMBER(B834)),C834="",C834="Fora dos ciclos"),"",IF(C834="C0","Nao",IF(IFERROR(INDEX(parametros!$A$2:$A$6,MATCH(C834,parametros!$B$2:$B$6,0)),"")&lt;&gt;"Sim","Nao",IF(IFERROR(INDEX(parametros!$H$2:$H$6,MATCH(C834,parametros!$B$2:$B$6,0)),"")="","",IF(B834&gt;=IFERROR(INDEX(parametros!$H$2:$H$6,MATCH(C834,parametros!$B$2:$B$6,0)),""),"Sim","Nao"))))))</f>
        <v/>
      </c>
      <c r="T834" s="156"/>
      <c r="U834" s="214" t="str">
        <f t="shared" ref="U834:U897" si="71">IF(OR($D834="",$H834=""),"",ROUND($D834+$H834,2))</f>
        <v/>
      </c>
      <c r="V834" s="212" t="s">
        <v>50</v>
      </c>
      <c r="W834" s="100" t="s">
        <v>168</v>
      </c>
      <c r="X834" s="100" t="s">
        <v>169</v>
      </c>
      <c r="Y834" s="101" t="s">
        <v>170</v>
      </c>
      <c r="Z834" s="101" t="s">
        <v>171</v>
      </c>
      <c r="AA834" s="101" t="s">
        <v>50</v>
      </c>
      <c r="AB834" s="101" t="s">
        <v>172</v>
      </c>
      <c r="AC834" s="102" t="s">
        <v>173</v>
      </c>
    </row>
    <row r="835" spans="1:29" ht="25.5" customHeight="1" x14ac:dyDescent="0.35">
      <c r="A835" s="392"/>
      <c r="B835" s="393"/>
      <c r="C835" s="99" t="str">
        <f>IF(B835="","",IF(NOT(ISNUMBER(B835)),"DATA_PC invalida",IF(NOT(ISNUMBER(parametros!$C$2)),"Fora dos ciclos",IF(OR(B835&lt;parametros!$C$2,(YEAR(B835)-YEAR(parametros!$C$2))*12+MONTH(B835)-MONTH(parametros!$C$2)&gt;59),"Fora dos ciclos","C"&amp;INT(((YEAR(B835)-YEAR(parametros!$C$2))*12+MONTH(B835)-MONTH(parametros!$C$2))/12)))))</f>
        <v/>
      </c>
      <c r="D835" s="394"/>
      <c r="E835" s="78" t="str">
        <f>IF(C835="","",IFERROR(VLOOKUP(C835,parametros!$A$11:$E$15,5,0),""))</f>
        <v/>
      </c>
      <c r="F835" s="79" t="str">
        <f t="shared" si="67"/>
        <v/>
      </c>
      <c r="G835" s="395"/>
      <c r="H835" s="91">
        <f t="shared" si="68"/>
        <v>0</v>
      </c>
      <c r="I835" s="91" t="str">
        <f t="shared" si="69"/>
        <v/>
      </c>
      <c r="J835" s="91" t="str">
        <f t="shared" si="70"/>
        <v/>
      </c>
      <c r="K835" s="92" t="str">
        <f>IF(AND(A835="",B835="",D835="",G835=""),"",IF(AND(A835&lt;&gt;"",COUNTIF($A$2:$A$5001,A835)&gt;1),"NUMERO_PC duplicado",IF(B835="","DATA_PC vazia",IF(NOT(ISNUMBER(B835)),"DATA_PC invalida",IF(OR(C835="",C835="Fora dos ciclos"),"CICLO_PC nao identificado",IF(OR(D835="",D835=0),"VALOR_PC vazio ou zero",IF(AND(G835&lt;&gt;"Sim",G835&lt;&gt;"Nao",G835&lt;&gt;""),"PC_PAGO_A_CONTRATADA invalido",IF(AND(C835&lt;&gt;"C0",IFERROR(INDEX(parametros!$A$2:$A$6,MATCH(C835,parametros!$B$2:$B$6,0)),"")="Sim",IFERROR(INDEX(parametros!$H$2:$H$6,MATCH(C835,parametros!$B$2:$B$6,0)),"")=""),"INICIO_EFEITO ausente: PC "&amp;A835&amp;" - "&amp;C835,IF(L835="","EFEITO_PC nao calculado: PC "&amp;A835&amp;" - "&amp;C835,"OK")))))))))</f>
        <v/>
      </c>
      <c r="L835" s="92" t="str">
        <f>IF(AND(A835="",B835="",D835="",G835=""),"",IF(OR(B835="",NOT(ISNUMBER(B835)),C835="",C835="Fora dos ciclos"),"",IF(C835="C0","Nao",IF(IFERROR(INDEX(parametros!$A$2:$A$6,MATCH(C835,parametros!$B$2:$B$6,0)),"")&lt;&gt;"Sim","Nao",IF(IFERROR(INDEX(parametros!$H$2:$H$6,MATCH(C835,parametros!$B$2:$B$6,0)),"")="","",IF(B835&gt;=IFERROR(INDEX(parametros!$H$2:$H$6,MATCH(C835,parametros!$B$2:$B$6,0)),""),"Sim","Nao"))))))</f>
        <v/>
      </c>
      <c r="T835" s="156"/>
      <c r="U835" s="214" t="str">
        <f t="shared" si="71"/>
        <v/>
      </c>
      <c r="V835" s="212" t="s">
        <v>50</v>
      </c>
      <c r="W835" s="100" t="s">
        <v>168</v>
      </c>
      <c r="X835" s="100" t="s">
        <v>169</v>
      </c>
      <c r="Y835" s="101" t="s">
        <v>170</v>
      </c>
      <c r="Z835" s="101" t="s">
        <v>171</v>
      </c>
      <c r="AA835" s="101" t="s">
        <v>50</v>
      </c>
      <c r="AB835" s="101" t="s">
        <v>172</v>
      </c>
      <c r="AC835" s="102" t="s">
        <v>173</v>
      </c>
    </row>
    <row r="836" spans="1:29" ht="25.5" customHeight="1" x14ac:dyDescent="0.35">
      <c r="A836" s="392"/>
      <c r="B836" s="393"/>
      <c r="C836" s="99" t="str">
        <f>IF(B836="","",IF(NOT(ISNUMBER(B836)),"DATA_PC invalida",IF(NOT(ISNUMBER(parametros!$C$2)),"Fora dos ciclos",IF(OR(B836&lt;parametros!$C$2,(YEAR(B836)-YEAR(parametros!$C$2))*12+MONTH(B836)-MONTH(parametros!$C$2)&gt;59),"Fora dos ciclos","C"&amp;INT(((YEAR(B836)-YEAR(parametros!$C$2))*12+MONTH(B836)-MONTH(parametros!$C$2))/12)))))</f>
        <v/>
      </c>
      <c r="D836" s="394"/>
      <c r="E836" s="78" t="str">
        <f>IF(C836="","",IFERROR(VLOOKUP(C836,parametros!$A$11:$E$15,5,0),""))</f>
        <v/>
      </c>
      <c r="F836" s="79" t="str">
        <f t="shared" si="67"/>
        <v/>
      </c>
      <c r="G836" s="395"/>
      <c r="H836" s="91">
        <f t="shared" si="68"/>
        <v>0</v>
      </c>
      <c r="I836" s="91" t="str">
        <f t="shared" si="69"/>
        <v/>
      </c>
      <c r="J836" s="91" t="str">
        <f t="shared" si="70"/>
        <v/>
      </c>
      <c r="K836" s="92" t="str">
        <f>IF(AND(A836="",B836="",D836="",G836=""),"",IF(AND(A836&lt;&gt;"",COUNTIF($A$2:$A$5001,A836)&gt;1),"NUMERO_PC duplicado",IF(B836="","DATA_PC vazia",IF(NOT(ISNUMBER(B836)),"DATA_PC invalida",IF(OR(C836="",C836="Fora dos ciclos"),"CICLO_PC nao identificado",IF(OR(D836="",D836=0),"VALOR_PC vazio ou zero",IF(AND(G836&lt;&gt;"Sim",G836&lt;&gt;"Nao",G836&lt;&gt;""),"PC_PAGO_A_CONTRATADA invalido",IF(AND(C836&lt;&gt;"C0",IFERROR(INDEX(parametros!$A$2:$A$6,MATCH(C836,parametros!$B$2:$B$6,0)),"")="Sim",IFERROR(INDEX(parametros!$H$2:$H$6,MATCH(C836,parametros!$B$2:$B$6,0)),"")=""),"INICIO_EFEITO ausente: PC "&amp;A836&amp;" - "&amp;C836,IF(L836="","EFEITO_PC nao calculado: PC "&amp;A836&amp;" - "&amp;C836,"OK")))))))))</f>
        <v/>
      </c>
      <c r="L836" s="92" t="str">
        <f>IF(AND(A836="",B836="",D836="",G836=""),"",IF(OR(B836="",NOT(ISNUMBER(B836)),C836="",C836="Fora dos ciclos"),"",IF(C836="C0","Nao",IF(IFERROR(INDEX(parametros!$A$2:$A$6,MATCH(C836,parametros!$B$2:$B$6,0)),"")&lt;&gt;"Sim","Nao",IF(IFERROR(INDEX(parametros!$H$2:$H$6,MATCH(C836,parametros!$B$2:$B$6,0)),"")="","",IF(B836&gt;=IFERROR(INDEX(parametros!$H$2:$H$6,MATCH(C836,parametros!$B$2:$B$6,0)),""),"Sim","Nao"))))))</f>
        <v/>
      </c>
      <c r="T836" s="156"/>
      <c r="U836" s="214" t="str">
        <f t="shared" si="71"/>
        <v/>
      </c>
      <c r="V836" s="212" t="s">
        <v>50</v>
      </c>
      <c r="W836" s="100" t="s">
        <v>168</v>
      </c>
      <c r="X836" s="100" t="s">
        <v>169</v>
      </c>
      <c r="Y836" s="101" t="s">
        <v>170</v>
      </c>
      <c r="Z836" s="101" t="s">
        <v>171</v>
      </c>
      <c r="AA836" s="101" t="s">
        <v>50</v>
      </c>
      <c r="AB836" s="101" t="s">
        <v>172</v>
      </c>
      <c r="AC836" s="102" t="s">
        <v>173</v>
      </c>
    </row>
    <row r="837" spans="1:29" ht="25.5" customHeight="1" x14ac:dyDescent="0.35">
      <c r="A837" s="392"/>
      <c r="B837" s="393"/>
      <c r="C837" s="99" t="str">
        <f>IF(B837="","",IF(NOT(ISNUMBER(B837)),"DATA_PC invalida",IF(NOT(ISNUMBER(parametros!$C$2)),"Fora dos ciclos",IF(OR(B837&lt;parametros!$C$2,(YEAR(B837)-YEAR(parametros!$C$2))*12+MONTH(B837)-MONTH(parametros!$C$2)&gt;59),"Fora dos ciclos","C"&amp;INT(((YEAR(B837)-YEAR(parametros!$C$2))*12+MONTH(B837)-MONTH(parametros!$C$2))/12)))))</f>
        <v/>
      </c>
      <c r="D837" s="394"/>
      <c r="E837" s="78" t="str">
        <f>IF(C837="","",IFERROR(VLOOKUP(C837,parametros!$A$11:$E$15,5,0),""))</f>
        <v/>
      </c>
      <c r="F837" s="79" t="str">
        <f t="shared" si="67"/>
        <v/>
      </c>
      <c r="G837" s="395"/>
      <c r="H837" s="91">
        <f t="shared" si="68"/>
        <v>0</v>
      </c>
      <c r="I837" s="91" t="str">
        <f t="shared" si="69"/>
        <v/>
      </c>
      <c r="J837" s="91" t="str">
        <f t="shared" si="70"/>
        <v/>
      </c>
      <c r="K837" s="92" t="str">
        <f>IF(AND(A837="",B837="",D837="",G837=""),"",IF(AND(A837&lt;&gt;"",COUNTIF($A$2:$A$5001,A837)&gt;1),"NUMERO_PC duplicado",IF(B837="","DATA_PC vazia",IF(NOT(ISNUMBER(B837)),"DATA_PC invalida",IF(OR(C837="",C837="Fora dos ciclos"),"CICLO_PC nao identificado",IF(OR(D837="",D837=0),"VALOR_PC vazio ou zero",IF(AND(G837&lt;&gt;"Sim",G837&lt;&gt;"Nao",G837&lt;&gt;""),"PC_PAGO_A_CONTRATADA invalido",IF(AND(C837&lt;&gt;"C0",IFERROR(INDEX(parametros!$A$2:$A$6,MATCH(C837,parametros!$B$2:$B$6,0)),"")="Sim",IFERROR(INDEX(parametros!$H$2:$H$6,MATCH(C837,parametros!$B$2:$B$6,0)),"")=""),"INICIO_EFEITO ausente: PC "&amp;A837&amp;" - "&amp;C837,IF(L837="","EFEITO_PC nao calculado: PC "&amp;A837&amp;" - "&amp;C837,"OK")))))))))</f>
        <v/>
      </c>
      <c r="L837" s="92" t="str">
        <f>IF(AND(A837="",B837="",D837="",G837=""),"",IF(OR(B837="",NOT(ISNUMBER(B837)),C837="",C837="Fora dos ciclos"),"",IF(C837="C0","Nao",IF(IFERROR(INDEX(parametros!$A$2:$A$6,MATCH(C837,parametros!$B$2:$B$6,0)),"")&lt;&gt;"Sim","Nao",IF(IFERROR(INDEX(parametros!$H$2:$H$6,MATCH(C837,parametros!$B$2:$B$6,0)),"")="","",IF(B837&gt;=IFERROR(INDEX(parametros!$H$2:$H$6,MATCH(C837,parametros!$B$2:$B$6,0)),""),"Sim","Nao"))))))</f>
        <v/>
      </c>
      <c r="T837" s="156"/>
      <c r="U837" s="214" t="str">
        <f t="shared" si="71"/>
        <v/>
      </c>
      <c r="V837" s="212" t="s">
        <v>50</v>
      </c>
      <c r="W837" s="100" t="s">
        <v>168</v>
      </c>
      <c r="X837" s="100" t="s">
        <v>169</v>
      </c>
      <c r="Y837" s="101" t="s">
        <v>170</v>
      </c>
      <c r="Z837" s="101" t="s">
        <v>171</v>
      </c>
      <c r="AA837" s="101" t="s">
        <v>50</v>
      </c>
      <c r="AB837" s="101" t="s">
        <v>172</v>
      </c>
      <c r="AC837" s="102" t="s">
        <v>173</v>
      </c>
    </row>
    <row r="838" spans="1:29" ht="25.5" customHeight="1" x14ac:dyDescent="0.35">
      <c r="A838" s="392"/>
      <c r="B838" s="393"/>
      <c r="C838" s="99" t="str">
        <f>IF(B838="","",IF(NOT(ISNUMBER(B838)),"DATA_PC invalida",IF(NOT(ISNUMBER(parametros!$C$2)),"Fora dos ciclos",IF(OR(B838&lt;parametros!$C$2,(YEAR(B838)-YEAR(parametros!$C$2))*12+MONTH(B838)-MONTH(parametros!$C$2)&gt;59),"Fora dos ciclos","C"&amp;INT(((YEAR(B838)-YEAR(parametros!$C$2))*12+MONTH(B838)-MONTH(parametros!$C$2))/12)))))</f>
        <v/>
      </c>
      <c r="D838" s="394"/>
      <c r="E838" s="78" t="str">
        <f>IF(C838="","",IFERROR(VLOOKUP(C838,parametros!$A$11:$E$15,5,0),""))</f>
        <v/>
      </c>
      <c r="F838" s="79" t="str">
        <f t="shared" si="67"/>
        <v/>
      </c>
      <c r="G838" s="395"/>
      <c r="H838" s="91">
        <f t="shared" si="68"/>
        <v>0</v>
      </c>
      <c r="I838" s="91" t="str">
        <f t="shared" si="69"/>
        <v/>
      </c>
      <c r="J838" s="91" t="str">
        <f t="shared" si="70"/>
        <v/>
      </c>
      <c r="K838" s="92" t="str">
        <f>IF(AND(A838="",B838="",D838="",G838=""),"",IF(AND(A838&lt;&gt;"",COUNTIF($A$2:$A$5001,A838)&gt;1),"NUMERO_PC duplicado",IF(B838="","DATA_PC vazia",IF(NOT(ISNUMBER(B838)),"DATA_PC invalida",IF(OR(C838="",C838="Fora dos ciclos"),"CICLO_PC nao identificado",IF(OR(D838="",D838=0),"VALOR_PC vazio ou zero",IF(AND(G838&lt;&gt;"Sim",G838&lt;&gt;"Nao",G838&lt;&gt;""),"PC_PAGO_A_CONTRATADA invalido",IF(AND(C838&lt;&gt;"C0",IFERROR(INDEX(parametros!$A$2:$A$6,MATCH(C838,parametros!$B$2:$B$6,0)),"")="Sim",IFERROR(INDEX(parametros!$H$2:$H$6,MATCH(C838,parametros!$B$2:$B$6,0)),"")=""),"INICIO_EFEITO ausente: PC "&amp;A838&amp;" - "&amp;C838,IF(L838="","EFEITO_PC nao calculado: PC "&amp;A838&amp;" - "&amp;C838,"OK")))))))))</f>
        <v/>
      </c>
      <c r="L838" s="92" t="str">
        <f>IF(AND(A838="",B838="",D838="",G838=""),"",IF(OR(B838="",NOT(ISNUMBER(B838)),C838="",C838="Fora dos ciclos"),"",IF(C838="C0","Nao",IF(IFERROR(INDEX(parametros!$A$2:$A$6,MATCH(C838,parametros!$B$2:$B$6,0)),"")&lt;&gt;"Sim","Nao",IF(IFERROR(INDEX(parametros!$H$2:$H$6,MATCH(C838,parametros!$B$2:$B$6,0)),"")="","",IF(B838&gt;=IFERROR(INDEX(parametros!$H$2:$H$6,MATCH(C838,parametros!$B$2:$B$6,0)),""),"Sim","Nao"))))))</f>
        <v/>
      </c>
      <c r="T838" s="156"/>
      <c r="U838" s="214" t="str">
        <f t="shared" si="71"/>
        <v/>
      </c>
      <c r="V838" s="212" t="s">
        <v>50</v>
      </c>
      <c r="W838" s="100" t="s">
        <v>168</v>
      </c>
      <c r="X838" s="100" t="s">
        <v>169</v>
      </c>
      <c r="Y838" s="101" t="s">
        <v>170</v>
      </c>
      <c r="Z838" s="101" t="s">
        <v>171</v>
      </c>
      <c r="AA838" s="101" t="s">
        <v>50</v>
      </c>
      <c r="AB838" s="101" t="s">
        <v>172</v>
      </c>
      <c r="AC838" s="102" t="s">
        <v>173</v>
      </c>
    </row>
    <row r="839" spans="1:29" ht="25.5" customHeight="1" x14ac:dyDescent="0.35">
      <c r="A839" s="392"/>
      <c r="B839" s="393"/>
      <c r="C839" s="99" t="str">
        <f>IF(B839="","",IF(NOT(ISNUMBER(B839)),"DATA_PC invalida",IF(NOT(ISNUMBER(parametros!$C$2)),"Fora dos ciclos",IF(OR(B839&lt;parametros!$C$2,(YEAR(B839)-YEAR(parametros!$C$2))*12+MONTH(B839)-MONTH(parametros!$C$2)&gt;59),"Fora dos ciclos","C"&amp;INT(((YEAR(B839)-YEAR(parametros!$C$2))*12+MONTH(B839)-MONTH(parametros!$C$2))/12)))))</f>
        <v/>
      </c>
      <c r="D839" s="394"/>
      <c r="E839" s="78" t="str">
        <f>IF(C839="","",IFERROR(VLOOKUP(C839,parametros!$A$11:$E$15,5,0),""))</f>
        <v/>
      </c>
      <c r="F839" s="79" t="str">
        <f t="shared" si="67"/>
        <v/>
      </c>
      <c r="G839" s="395"/>
      <c r="H839" s="91">
        <f t="shared" si="68"/>
        <v>0</v>
      </c>
      <c r="I839" s="91" t="str">
        <f t="shared" si="69"/>
        <v/>
      </c>
      <c r="J839" s="91" t="str">
        <f t="shared" si="70"/>
        <v/>
      </c>
      <c r="K839" s="92" t="str">
        <f>IF(AND(A839="",B839="",D839="",G839=""),"",IF(AND(A839&lt;&gt;"",COUNTIF($A$2:$A$5001,A839)&gt;1),"NUMERO_PC duplicado",IF(B839="","DATA_PC vazia",IF(NOT(ISNUMBER(B839)),"DATA_PC invalida",IF(OR(C839="",C839="Fora dos ciclos"),"CICLO_PC nao identificado",IF(OR(D839="",D839=0),"VALOR_PC vazio ou zero",IF(AND(G839&lt;&gt;"Sim",G839&lt;&gt;"Nao",G839&lt;&gt;""),"PC_PAGO_A_CONTRATADA invalido",IF(AND(C839&lt;&gt;"C0",IFERROR(INDEX(parametros!$A$2:$A$6,MATCH(C839,parametros!$B$2:$B$6,0)),"")="Sim",IFERROR(INDEX(parametros!$H$2:$H$6,MATCH(C839,parametros!$B$2:$B$6,0)),"")=""),"INICIO_EFEITO ausente: PC "&amp;A839&amp;" - "&amp;C839,IF(L839="","EFEITO_PC nao calculado: PC "&amp;A839&amp;" - "&amp;C839,"OK")))))))))</f>
        <v/>
      </c>
      <c r="L839" s="92" t="str">
        <f>IF(AND(A839="",B839="",D839="",G839=""),"",IF(OR(B839="",NOT(ISNUMBER(B839)),C839="",C839="Fora dos ciclos"),"",IF(C839="C0","Nao",IF(IFERROR(INDEX(parametros!$A$2:$A$6,MATCH(C839,parametros!$B$2:$B$6,0)),"")&lt;&gt;"Sim","Nao",IF(IFERROR(INDEX(parametros!$H$2:$H$6,MATCH(C839,parametros!$B$2:$B$6,0)),"")="","",IF(B839&gt;=IFERROR(INDEX(parametros!$H$2:$H$6,MATCH(C839,parametros!$B$2:$B$6,0)),""),"Sim","Nao"))))))</f>
        <v/>
      </c>
      <c r="T839" s="156"/>
      <c r="U839" s="214" t="str">
        <f t="shared" si="71"/>
        <v/>
      </c>
      <c r="V839" s="212" t="s">
        <v>50</v>
      </c>
      <c r="W839" s="100" t="s">
        <v>168</v>
      </c>
      <c r="X839" s="100" t="s">
        <v>169</v>
      </c>
      <c r="Y839" s="101" t="s">
        <v>170</v>
      </c>
      <c r="Z839" s="101" t="s">
        <v>171</v>
      </c>
      <c r="AA839" s="101" t="s">
        <v>50</v>
      </c>
      <c r="AB839" s="101" t="s">
        <v>172</v>
      </c>
      <c r="AC839" s="102" t="s">
        <v>173</v>
      </c>
    </row>
    <row r="840" spans="1:29" ht="25.5" customHeight="1" x14ac:dyDescent="0.35">
      <c r="A840" s="392"/>
      <c r="B840" s="393"/>
      <c r="C840" s="99" t="str">
        <f>IF(B840="","",IF(NOT(ISNUMBER(B840)),"DATA_PC invalida",IF(NOT(ISNUMBER(parametros!$C$2)),"Fora dos ciclos",IF(OR(B840&lt;parametros!$C$2,(YEAR(B840)-YEAR(parametros!$C$2))*12+MONTH(B840)-MONTH(parametros!$C$2)&gt;59),"Fora dos ciclos","C"&amp;INT(((YEAR(B840)-YEAR(parametros!$C$2))*12+MONTH(B840)-MONTH(parametros!$C$2))/12)))))</f>
        <v/>
      </c>
      <c r="D840" s="394"/>
      <c r="E840" s="78" t="str">
        <f>IF(C840="","",IFERROR(VLOOKUP(C840,parametros!$A$11:$E$15,5,0),""))</f>
        <v/>
      </c>
      <c r="F840" s="79" t="str">
        <f t="shared" si="67"/>
        <v/>
      </c>
      <c r="G840" s="395"/>
      <c r="H840" s="91">
        <f t="shared" si="68"/>
        <v>0</v>
      </c>
      <c r="I840" s="91" t="str">
        <f t="shared" si="69"/>
        <v/>
      </c>
      <c r="J840" s="91" t="str">
        <f t="shared" si="70"/>
        <v/>
      </c>
      <c r="K840" s="92" t="str">
        <f>IF(AND(A840="",B840="",D840="",G840=""),"",IF(AND(A840&lt;&gt;"",COUNTIF($A$2:$A$5001,A840)&gt;1),"NUMERO_PC duplicado",IF(B840="","DATA_PC vazia",IF(NOT(ISNUMBER(B840)),"DATA_PC invalida",IF(OR(C840="",C840="Fora dos ciclos"),"CICLO_PC nao identificado",IF(OR(D840="",D840=0),"VALOR_PC vazio ou zero",IF(AND(G840&lt;&gt;"Sim",G840&lt;&gt;"Nao",G840&lt;&gt;""),"PC_PAGO_A_CONTRATADA invalido",IF(AND(C840&lt;&gt;"C0",IFERROR(INDEX(parametros!$A$2:$A$6,MATCH(C840,parametros!$B$2:$B$6,0)),"")="Sim",IFERROR(INDEX(parametros!$H$2:$H$6,MATCH(C840,parametros!$B$2:$B$6,0)),"")=""),"INICIO_EFEITO ausente: PC "&amp;A840&amp;" - "&amp;C840,IF(L840="","EFEITO_PC nao calculado: PC "&amp;A840&amp;" - "&amp;C840,"OK")))))))))</f>
        <v/>
      </c>
      <c r="L840" s="92" t="str">
        <f>IF(AND(A840="",B840="",D840="",G840=""),"",IF(OR(B840="",NOT(ISNUMBER(B840)),C840="",C840="Fora dos ciclos"),"",IF(C840="C0","Nao",IF(IFERROR(INDEX(parametros!$A$2:$A$6,MATCH(C840,parametros!$B$2:$B$6,0)),"")&lt;&gt;"Sim","Nao",IF(IFERROR(INDEX(parametros!$H$2:$H$6,MATCH(C840,parametros!$B$2:$B$6,0)),"")="","",IF(B840&gt;=IFERROR(INDEX(parametros!$H$2:$H$6,MATCH(C840,parametros!$B$2:$B$6,0)),""),"Sim","Nao"))))))</f>
        <v/>
      </c>
      <c r="T840" s="156"/>
      <c r="U840" s="214" t="str">
        <f t="shared" si="71"/>
        <v/>
      </c>
      <c r="V840" s="212" t="s">
        <v>50</v>
      </c>
      <c r="W840" s="100" t="s">
        <v>168</v>
      </c>
      <c r="X840" s="100" t="s">
        <v>169</v>
      </c>
      <c r="Y840" s="101" t="s">
        <v>170</v>
      </c>
      <c r="Z840" s="101" t="s">
        <v>171</v>
      </c>
      <c r="AA840" s="101" t="s">
        <v>50</v>
      </c>
      <c r="AB840" s="101" t="s">
        <v>172</v>
      </c>
      <c r="AC840" s="102" t="s">
        <v>173</v>
      </c>
    </row>
    <row r="841" spans="1:29" ht="25.5" customHeight="1" x14ac:dyDescent="0.35">
      <c r="A841" s="392"/>
      <c r="B841" s="393"/>
      <c r="C841" s="99" t="str">
        <f>IF(B841="","",IF(NOT(ISNUMBER(B841)),"DATA_PC invalida",IF(NOT(ISNUMBER(parametros!$C$2)),"Fora dos ciclos",IF(OR(B841&lt;parametros!$C$2,(YEAR(B841)-YEAR(parametros!$C$2))*12+MONTH(B841)-MONTH(parametros!$C$2)&gt;59),"Fora dos ciclos","C"&amp;INT(((YEAR(B841)-YEAR(parametros!$C$2))*12+MONTH(B841)-MONTH(parametros!$C$2))/12)))))</f>
        <v/>
      </c>
      <c r="D841" s="394"/>
      <c r="E841" s="78" t="str">
        <f>IF(C841="","",IFERROR(VLOOKUP(C841,parametros!$A$11:$E$15,5,0),""))</f>
        <v/>
      </c>
      <c r="F841" s="79" t="str">
        <f t="shared" si="67"/>
        <v/>
      </c>
      <c r="G841" s="395"/>
      <c r="H841" s="91">
        <f t="shared" si="68"/>
        <v>0</v>
      </c>
      <c r="I841" s="91" t="str">
        <f t="shared" si="69"/>
        <v/>
      </c>
      <c r="J841" s="91" t="str">
        <f t="shared" si="70"/>
        <v/>
      </c>
      <c r="K841" s="92" t="str">
        <f>IF(AND(A841="",B841="",D841="",G841=""),"",IF(AND(A841&lt;&gt;"",COUNTIF($A$2:$A$5001,A841)&gt;1),"NUMERO_PC duplicado",IF(B841="","DATA_PC vazia",IF(NOT(ISNUMBER(B841)),"DATA_PC invalida",IF(OR(C841="",C841="Fora dos ciclos"),"CICLO_PC nao identificado",IF(OR(D841="",D841=0),"VALOR_PC vazio ou zero",IF(AND(G841&lt;&gt;"Sim",G841&lt;&gt;"Nao",G841&lt;&gt;""),"PC_PAGO_A_CONTRATADA invalido",IF(AND(C841&lt;&gt;"C0",IFERROR(INDEX(parametros!$A$2:$A$6,MATCH(C841,parametros!$B$2:$B$6,0)),"")="Sim",IFERROR(INDEX(parametros!$H$2:$H$6,MATCH(C841,parametros!$B$2:$B$6,0)),"")=""),"INICIO_EFEITO ausente: PC "&amp;A841&amp;" - "&amp;C841,IF(L841="","EFEITO_PC nao calculado: PC "&amp;A841&amp;" - "&amp;C841,"OK")))))))))</f>
        <v/>
      </c>
      <c r="L841" s="92" t="str">
        <f>IF(AND(A841="",B841="",D841="",G841=""),"",IF(OR(B841="",NOT(ISNUMBER(B841)),C841="",C841="Fora dos ciclos"),"",IF(C841="C0","Nao",IF(IFERROR(INDEX(parametros!$A$2:$A$6,MATCH(C841,parametros!$B$2:$B$6,0)),"")&lt;&gt;"Sim","Nao",IF(IFERROR(INDEX(parametros!$H$2:$H$6,MATCH(C841,parametros!$B$2:$B$6,0)),"")="","",IF(B841&gt;=IFERROR(INDEX(parametros!$H$2:$H$6,MATCH(C841,parametros!$B$2:$B$6,0)),""),"Sim","Nao"))))))</f>
        <v/>
      </c>
      <c r="T841" s="156"/>
      <c r="U841" s="214" t="str">
        <f t="shared" si="71"/>
        <v/>
      </c>
      <c r="V841" s="212" t="s">
        <v>50</v>
      </c>
      <c r="W841" s="100" t="s">
        <v>168</v>
      </c>
      <c r="X841" s="100" t="s">
        <v>169</v>
      </c>
      <c r="Y841" s="101" t="s">
        <v>170</v>
      </c>
      <c r="Z841" s="101" t="s">
        <v>171</v>
      </c>
      <c r="AA841" s="101" t="s">
        <v>50</v>
      </c>
      <c r="AB841" s="101" t="s">
        <v>172</v>
      </c>
      <c r="AC841" s="102" t="s">
        <v>173</v>
      </c>
    </row>
    <row r="842" spans="1:29" ht="25.5" customHeight="1" x14ac:dyDescent="0.35">
      <c r="A842" s="392"/>
      <c r="B842" s="393"/>
      <c r="C842" s="99" t="str">
        <f>IF(B842="","",IF(NOT(ISNUMBER(B842)),"DATA_PC invalida",IF(NOT(ISNUMBER(parametros!$C$2)),"Fora dos ciclos",IF(OR(B842&lt;parametros!$C$2,(YEAR(B842)-YEAR(parametros!$C$2))*12+MONTH(B842)-MONTH(parametros!$C$2)&gt;59),"Fora dos ciclos","C"&amp;INT(((YEAR(B842)-YEAR(parametros!$C$2))*12+MONTH(B842)-MONTH(parametros!$C$2))/12)))))</f>
        <v/>
      </c>
      <c r="D842" s="394"/>
      <c r="E842" s="78" t="str">
        <f>IF(C842="","",IFERROR(VLOOKUP(C842,parametros!$A$11:$E$15,5,0),""))</f>
        <v/>
      </c>
      <c r="F842" s="79" t="str">
        <f t="shared" si="67"/>
        <v/>
      </c>
      <c r="G842" s="395"/>
      <c r="H842" s="91">
        <f t="shared" si="68"/>
        <v>0</v>
      </c>
      <c r="I842" s="91" t="str">
        <f t="shared" si="69"/>
        <v/>
      </c>
      <c r="J842" s="91" t="str">
        <f t="shared" si="70"/>
        <v/>
      </c>
      <c r="K842" s="92" t="str">
        <f>IF(AND(A842="",B842="",D842="",G842=""),"",IF(AND(A842&lt;&gt;"",COUNTIF($A$2:$A$5001,A842)&gt;1),"NUMERO_PC duplicado",IF(B842="","DATA_PC vazia",IF(NOT(ISNUMBER(B842)),"DATA_PC invalida",IF(OR(C842="",C842="Fora dos ciclos"),"CICLO_PC nao identificado",IF(OR(D842="",D842=0),"VALOR_PC vazio ou zero",IF(AND(G842&lt;&gt;"Sim",G842&lt;&gt;"Nao",G842&lt;&gt;""),"PC_PAGO_A_CONTRATADA invalido",IF(AND(C842&lt;&gt;"C0",IFERROR(INDEX(parametros!$A$2:$A$6,MATCH(C842,parametros!$B$2:$B$6,0)),"")="Sim",IFERROR(INDEX(parametros!$H$2:$H$6,MATCH(C842,parametros!$B$2:$B$6,0)),"")=""),"INICIO_EFEITO ausente: PC "&amp;A842&amp;" - "&amp;C842,IF(L842="","EFEITO_PC nao calculado: PC "&amp;A842&amp;" - "&amp;C842,"OK")))))))))</f>
        <v/>
      </c>
      <c r="L842" s="92" t="str">
        <f>IF(AND(A842="",B842="",D842="",G842=""),"",IF(OR(B842="",NOT(ISNUMBER(B842)),C842="",C842="Fora dos ciclos"),"",IF(C842="C0","Nao",IF(IFERROR(INDEX(parametros!$A$2:$A$6,MATCH(C842,parametros!$B$2:$B$6,0)),"")&lt;&gt;"Sim","Nao",IF(IFERROR(INDEX(parametros!$H$2:$H$6,MATCH(C842,parametros!$B$2:$B$6,0)),"")="","",IF(B842&gt;=IFERROR(INDEX(parametros!$H$2:$H$6,MATCH(C842,parametros!$B$2:$B$6,0)),""),"Sim","Nao"))))))</f>
        <v/>
      </c>
      <c r="T842" s="156"/>
      <c r="U842" s="214" t="str">
        <f t="shared" si="71"/>
        <v/>
      </c>
      <c r="V842" s="212" t="s">
        <v>50</v>
      </c>
      <c r="W842" s="100" t="s">
        <v>168</v>
      </c>
      <c r="X842" s="100" t="s">
        <v>169</v>
      </c>
      <c r="Y842" s="101" t="s">
        <v>170</v>
      </c>
      <c r="Z842" s="101" t="s">
        <v>171</v>
      </c>
      <c r="AA842" s="101" t="s">
        <v>50</v>
      </c>
      <c r="AB842" s="101" t="s">
        <v>172</v>
      </c>
      <c r="AC842" s="102" t="s">
        <v>173</v>
      </c>
    </row>
    <row r="843" spans="1:29" ht="25.5" customHeight="1" x14ac:dyDescent="0.35">
      <c r="A843" s="392"/>
      <c r="B843" s="393"/>
      <c r="C843" s="99" t="str">
        <f>IF(B843="","",IF(NOT(ISNUMBER(B843)),"DATA_PC invalida",IF(NOT(ISNUMBER(parametros!$C$2)),"Fora dos ciclos",IF(OR(B843&lt;parametros!$C$2,(YEAR(B843)-YEAR(parametros!$C$2))*12+MONTH(B843)-MONTH(parametros!$C$2)&gt;59),"Fora dos ciclos","C"&amp;INT(((YEAR(B843)-YEAR(parametros!$C$2))*12+MONTH(B843)-MONTH(parametros!$C$2))/12)))))</f>
        <v/>
      </c>
      <c r="D843" s="394"/>
      <c r="E843" s="78" t="str">
        <f>IF(C843="","",IFERROR(VLOOKUP(C843,parametros!$A$11:$E$15,5,0),""))</f>
        <v/>
      </c>
      <c r="F843" s="79" t="str">
        <f t="shared" si="67"/>
        <v/>
      </c>
      <c r="G843" s="395"/>
      <c r="H843" s="91">
        <f t="shared" si="68"/>
        <v>0</v>
      </c>
      <c r="I843" s="91" t="str">
        <f t="shared" si="69"/>
        <v/>
      </c>
      <c r="J843" s="91" t="str">
        <f t="shared" si="70"/>
        <v/>
      </c>
      <c r="K843" s="92" t="str">
        <f>IF(AND(A843="",B843="",D843="",G843=""),"",IF(AND(A843&lt;&gt;"",COUNTIF($A$2:$A$5001,A843)&gt;1),"NUMERO_PC duplicado",IF(B843="","DATA_PC vazia",IF(NOT(ISNUMBER(B843)),"DATA_PC invalida",IF(OR(C843="",C843="Fora dos ciclos"),"CICLO_PC nao identificado",IF(OR(D843="",D843=0),"VALOR_PC vazio ou zero",IF(AND(G843&lt;&gt;"Sim",G843&lt;&gt;"Nao",G843&lt;&gt;""),"PC_PAGO_A_CONTRATADA invalido",IF(AND(C843&lt;&gt;"C0",IFERROR(INDEX(parametros!$A$2:$A$6,MATCH(C843,parametros!$B$2:$B$6,0)),"")="Sim",IFERROR(INDEX(parametros!$H$2:$H$6,MATCH(C843,parametros!$B$2:$B$6,0)),"")=""),"INICIO_EFEITO ausente: PC "&amp;A843&amp;" - "&amp;C843,IF(L843="","EFEITO_PC nao calculado: PC "&amp;A843&amp;" - "&amp;C843,"OK")))))))))</f>
        <v/>
      </c>
      <c r="L843" s="92" t="str">
        <f>IF(AND(A843="",B843="",D843="",G843=""),"",IF(OR(B843="",NOT(ISNUMBER(B843)),C843="",C843="Fora dos ciclos"),"",IF(C843="C0","Nao",IF(IFERROR(INDEX(parametros!$A$2:$A$6,MATCH(C843,parametros!$B$2:$B$6,0)),"")&lt;&gt;"Sim","Nao",IF(IFERROR(INDEX(parametros!$H$2:$H$6,MATCH(C843,parametros!$B$2:$B$6,0)),"")="","",IF(B843&gt;=IFERROR(INDEX(parametros!$H$2:$H$6,MATCH(C843,parametros!$B$2:$B$6,0)),""),"Sim","Nao"))))))</f>
        <v/>
      </c>
      <c r="T843" s="156"/>
      <c r="U843" s="214" t="str">
        <f t="shared" si="71"/>
        <v/>
      </c>
      <c r="V843" s="212" t="s">
        <v>50</v>
      </c>
      <c r="W843" s="100" t="s">
        <v>168</v>
      </c>
      <c r="X843" s="100" t="s">
        <v>169</v>
      </c>
      <c r="Y843" s="101" t="s">
        <v>170</v>
      </c>
      <c r="Z843" s="101" t="s">
        <v>171</v>
      </c>
      <c r="AA843" s="101" t="s">
        <v>50</v>
      </c>
      <c r="AB843" s="101" t="s">
        <v>172</v>
      </c>
      <c r="AC843" s="102" t="s">
        <v>173</v>
      </c>
    </row>
    <row r="844" spans="1:29" ht="25.5" customHeight="1" x14ac:dyDescent="0.35">
      <c r="A844" s="392"/>
      <c r="B844" s="393"/>
      <c r="C844" s="99" t="str">
        <f>IF(B844="","",IF(NOT(ISNUMBER(B844)),"DATA_PC invalida",IF(NOT(ISNUMBER(parametros!$C$2)),"Fora dos ciclos",IF(OR(B844&lt;parametros!$C$2,(YEAR(B844)-YEAR(parametros!$C$2))*12+MONTH(B844)-MONTH(parametros!$C$2)&gt;59),"Fora dos ciclos","C"&amp;INT(((YEAR(B844)-YEAR(parametros!$C$2))*12+MONTH(B844)-MONTH(parametros!$C$2))/12)))))</f>
        <v/>
      </c>
      <c r="D844" s="394"/>
      <c r="E844" s="78" t="str">
        <f>IF(C844="","",IFERROR(VLOOKUP(C844,parametros!$A$11:$E$15,5,0),""))</f>
        <v/>
      </c>
      <c r="F844" s="79" t="str">
        <f t="shared" si="67"/>
        <v/>
      </c>
      <c r="G844" s="395"/>
      <c r="H844" s="91">
        <f t="shared" si="68"/>
        <v>0</v>
      </c>
      <c r="I844" s="91" t="str">
        <f t="shared" si="69"/>
        <v/>
      </c>
      <c r="J844" s="91" t="str">
        <f t="shared" si="70"/>
        <v/>
      </c>
      <c r="K844" s="92" t="str">
        <f>IF(AND(A844="",B844="",D844="",G844=""),"",IF(AND(A844&lt;&gt;"",COUNTIF($A$2:$A$5001,A844)&gt;1),"NUMERO_PC duplicado",IF(B844="","DATA_PC vazia",IF(NOT(ISNUMBER(B844)),"DATA_PC invalida",IF(OR(C844="",C844="Fora dos ciclos"),"CICLO_PC nao identificado",IF(OR(D844="",D844=0),"VALOR_PC vazio ou zero",IF(AND(G844&lt;&gt;"Sim",G844&lt;&gt;"Nao",G844&lt;&gt;""),"PC_PAGO_A_CONTRATADA invalido",IF(AND(C844&lt;&gt;"C0",IFERROR(INDEX(parametros!$A$2:$A$6,MATCH(C844,parametros!$B$2:$B$6,0)),"")="Sim",IFERROR(INDEX(parametros!$H$2:$H$6,MATCH(C844,parametros!$B$2:$B$6,0)),"")=""),"INICIO_EFEITO ausente: PC "&amp;A844&amp;" - "&amp;C844,IF(L844="","EFEITO_PC nao calculado: PC "&amp;A844&amp;" - "&amp;C844,"OK")))))))))</f>
        <v/>
      </c>
      <c r="L844" s="92" t="str">
        <f>IF(AND(A844="",B844="",D844="",G844=""),"",IF(OR(B844="",NOT(ISNUMBER(B844)),C844="",C844="Fora dos ciclos"),"",IF(C844="C0","Nao",IF(IFERROR(INDEX(parametros!$A$2:$A$6,MATCH(C844,parametros!$B$2:$B$6,0)),"")&lt;&gt;"Sim","Nao",IF(IFERROR(INDEX(parametros!$H$2:$H$6,MATCH(C844,parametros!$B$2:$B$6,0)),"")="","",IF(B844&gt;=IFERROR(INDEX(parametros!$H$2:$H$6,MATCH(C844,parametros!$B$2:$B$6,0)),""),"Sim","Nao"))))))</f>
        <v/>
      </c>
      <c r="T844" s="156"/>
      <c r="U844" s="214" t="str">
        <f t="shared" si="71"/>
        <v/>
      </c>
      <c r="V844" s="212" t="s">
        <v>50</v>
      </c>
      <c r="W844" s="100" t="s">
        <v>168</v>
      </c>
      <c r="X844" s="100" t="s">
        <v>169</v>
      </c>
      <c r="Y844" s="101" t="s">
        <v>170</v>
      </c>
      <c r="Z844" s="101" t="s">
        <v>171</v>
      </c>
      <c r="AA844" s="101" t="s">
        <v>50</v>
      </c>
      <c r="AB844" s="101" t="s">
        <v>172</v>
      </c>
      <c r="AC844" s="102" t="s">
        <v>173</v>
      </c>
    </row>
    <row r="845" spans="1:29" ht="25.5" customHeight="1" x14ac:dyDescent="0.35">
      <c r="A845" s="392"/>
      <c r="B845" s="393"/>
      <c r="C845" s="99" t="str">
        <f>IF(B845="","",IF(NOT(ISNUMBER(B845)),"DATA_PC invalida",IF(NOT(ISNUMBER(parametros!$C$2)),"Fora dos ciclos",IF(OR(B845&lt;parametros!$C$2,(YEAR(B845)-YEAR(parametros!$C$2))*12+MONTH(B845)-MONTH(parametros!$C$2)&gt;59),"Fora dos ciclos","C"&amp;INT(((YEAR(B845)-YEAR(parametros!$C$2))*12+MONTH(B845)-MONTH(parametros!$C$2))/12)))))</f>
        <v/>
      </c>
      <c r="D845" s="394"/>
      <c r="E845" s="78" t="str">
        <f>IF(C845="","",IFERROR(VLOOKUP(C845,parametros!$A$11:$E$15,5,0),""))</f>
        <v/>
      </c>
      <c r="F845" s="79" t="str">
        <f t="shared" si="67"/>
        <v/>
      </c>
      <c r="G845" s="395"/>
      <c r="H845" s="91">
        <f t="shared" si="68"/>
        <v>0</v>
      </c>
      <c r="I845" s="91" t="str">
        <f t="shared" si="69"/>
        <v/>
      </c>
      <c r="J845" s="91" t="str">
        <f t="shared" si="70"/>
        <v/>
      </c>
      <c r="K845" s="92" t="str">
        <f>IF(AND(A845="",B845="",D845="",G845=""),"",IF(AND(A845&lt;&gt;"",COUNTIF($A$2:$A$5001,A845)&gt;1),"NUMERO_PC duplicado",IF(B845="","DATA_PC vazia",IF(NOT(ISNUMBER(B845)),"DATA_PC invalida",IF(OR(C845="",C845="Fora dos ciclos"),"CICLO_PC nao identificado",IF(OR(D845="",D845=0),"VALOR_PC vazio ou zero",IF(AND(G845&lt;&gt;"Sim",G845&lt;&gt;"Nao",G845&lt;&gt;""),"PC_PAGO_A_CONTRATADA invalido",IF(AND(C845&lt;&gt;"C0",IFERROR(INDEX(parametros!$A$2:$A$6,MATCH(C845,parametros!$B$2:$B$6,0)),"")="Sim",IFERROR(INDEX(parametros!$H$2:$H$6,MATCH(C845,parametros!$B$2:$B$6,0)),"")=""),"INICIO_EFEITO ausente: PC "&amp;A845&amp;" - "&amp;C845,IF(L845="","EFEITO_PC nao calculado: PC "&amp;A845&amp;" - "&amp;C845,"OK")))))))))</f>
        <v/>
      </c>
      <c r="L845" s="92" t="str">
        <f>IF(AND(A845="",B845="",D845="",G845=""),"",IF(OR(B845="",NOT(ISNUMBER(B845)),C845="",C845="Fora dos ciclos"),"",IF(C845="C0","Nao",IF(IFERROR(INDEX(parametros!$A$2:$A$6,MATCH(C845,parametros!$B$2:$B$6,0)),"")&lt;&gt;"Sim","Nao",IF(IFERROR(INDEX(parametros!$H$2:$H$6,MATCH(C845,parametros!$B$2:$B$6,0)),"")="","",IF(B845&gt;=IFERROR(INDEX(parametros!$H$2:$H$6,MATCH(C845,parametros!$B$2:$B$6,0)),""),"Sim","Nao"))))))</f>
        <v/>
      </c>
      <c r="T845" s="156"/>
      <c r="U845" s="214" t="str">
        <f t="shared" si="71"/>
        <v/>
      </c>
      <c r="V845" s="212" t="s">
        <v>50</v>
      </c>
      <c r="W845" s="100" t="s">
        <v>168</v>
      </c>
      <c r="X845" s="100" t="s">
        <v>169</v>
      </c>
      <c r="Y845" s="101" t="s">
        <v>170</v>
      </c>
      <c r="Z845" s="101" t="s">
        <v>171</v>
      </c>
      <c r="AA845" s="101" t="s">
        <v>50</v>
      </c>
      <c r="AB845" s="101" t="s">
        <v>172</v>
      </c>
      <c r="AC845" s="102" t="s">
        <v>173</v>
      </c>
    </row>
    <row r="846" spans="1:29" ht="25.5" customHeight="1" x14ac:dyDescent="0.35">
      <c r="A846" s="392"/>
      <c r="B846" s="393"/>
      <c r="C846" s="99" t="str">
        <f>IF(B846="","",IF(NOT(ISNUMBER(B846)),"DATA_PC invalida",IF(NOT(ISNUMBER(parametros!$C$2)),"Fora dos ciclos",IF(OR(B846&lt;parametros!$C$2,(YEAR(B846)-YEAR(parametros!$C$2))*12+MONTH(B846)-MONTH(parametros!$C$2)&gt;59),"Fora dos ciclos","C"&amp;INT(((YEAR(B846)-YEAR(parametros!$C$2))*12+MONTH(B846)-MONTH(parametros!$C$2))/12)))))</f>
        <v/>
      </c>
      <c r="D846" s="394"/>
      <c r="E846" s="78" t="str">
        <f>IF(C846="","",IFERROR(VLOOKUP(C846,parametros!$A$11:$E$15,5,0),""))</f>
        <v/>
      </c>
      <c r="F846" s="79" t="str">
        <f t="shared" si="67"/>
        <v/>
      </c>
      <c r="G846" s="395"/>
      <c r="H846" s="91">
        <f t="shared" si="68"/>
        <v>0</v>
      </c>
      <c r="I846" s="91" t="str">
        <f t="shared" si="69"/>
        <v/>
      </c>
      <c r="J846" s="91" t="str">
        <f t="shared" si="70"/>
        <v/>
      </c>
      <c r="K846" s="92" t="str">
        <f>IF(AND(A846="",B846="",D846="",G846=""),"",IF(AND(A846&lt;&gt;"",COUNTIF($A$2:$A$5001,A846)&gt;1),"NUMERO_PC duplicado",IF(B846="","DATA_PC vazia",IF(NOT(ISNUMBER(B846)),"DATA_PC invalida",IF(OR(C846="",C846="Fora dos ciclos"),"CICLO_PC nao identificado",IF(OR(D846="",D846=0),"VALOR_PC vazio ou zero",IF(AND(G846&lt;&gt;"Sim",G846&lt;&gt;"Nao",G846&lt;&gt;""),"PC_PAGO_A_CONTRATADA invalido",IF(AND(C846&lt;&gt;"C0",IFERROR(INDEX(parametros!$A$2:$A$6,MATCH(C846,parametros!$B$2:$B$6,0)),"")="Sim",IFERROR(INDEX(parametros!$H$2:$H$6,MATCH(C846,parametros!$B$2:$B$6,0)),"")=""),"INICIO_EFEITO ausente: PC "&amp;A846&amp;" - "&amp;C846,IF(L846="","EFEITO_PC nao calculado: PC "&amp;A846&amp;" - "&amp;C846,"OK")))))))))</f>
        <v/>
      </c>
      <c r="L846" s="92" t="str">
        <f>IF(AND(A846="",B846="",D846="",G846=""),"",IF(OR(B846="",NOT(ISNUMBER(B846)),C846="",C846="Fora dos ciclos"),"",IF(C846="C0","Nao",IF(IFERROR(INDEX(parametros!$A$2:$A$6,MATCH(C846,parametros!$B$2:$B$6,0)),"")&lt;&gt;"Sim","Nao",IF(IFERROR(INDEX(parametros!$H$2:$H$6,MATCH(C846,parametros!$B$2:$B$6,0)),"")="","",IF(B846&gt;=IFERROR(INDEX(parametros!$H$2:$H$6,MATCH(C846,parametros!$B$2:$B$6,0)),""),"Sim","Nao"))))))</f>
        <v/>
      </c>
      <c r="T846" s="156"/>
      <c r="U846" s="214" t="str">
        <f t="shared" si="71"/>
        <v/>
      </c>
      <c r="V846" s="212" t="s">
        <v>50</v>
      </c>
      <c r="W846" s="100" t="s">
        <v>168</v>
      </c>
      <c r="X846" s="100" t="s">
        <v>169</v>
      </c>
      <c r="Y846" s="101" t="s">
        <v>170</v>
      </c>
      <c r="Z846" s="101" t="s">
        <v>171</v>
      </c>
      <c r="AA846" s="101" t="s">
        <v>50</v>
      </c>
      <c r="AB846" s="101" t="s">
        <v>172</v>
      </c>
      <c r="AC846" s="102" t="s">
        <v>173</v>
      </c>
    </row>
    <row r="847" spans="1:29" ht="25.5" customHeight="1" x14ac:dyDescent="0.35">
      <c r="A847" s="392"/>
      <c r="B847" s="393"/>
      <c r="C847" s="99" t="str">
        <f>IF(B847="","",IF(NOT(ISNUMBER(B847)),"DATA_PC invalida",IF(NOT(ISNUMBER(parametros!$C$2)),"Fora dos ciclos",IF(OR(B847&lt;parametros!$C$2,(YEAR(B847)-YEAR(parametros!$C$2))*12+MONTH(B847)-MONTH(parametros!$C$2)&gt;59),"Fora dos ciclos","C"&amp;INT(((YEAR(B847)-YEAR(parametros!$C$2))*12+MONTH(B847)-MONTH(parametros!$C$2))/12)))))</f>
        <v/>
      </c>
      <c r="D847" s="394"/>
      <c r="E847" s="78" t="str">
        <f>IF(C847="","",IFERROR(VLOOKUP(C847,parametros!$A$11:$E$15,5,0),""))</f>
        <v/>
      </c>
      <c r="F847" s="79" t="str">
        <f t="shared" si="67"/>
        <v/>
      </c>
      <c r="G847" s="395"/>
      <c r="H847" s="91">
        <f t="shared" si="68"/>
        <v>0</v>
      </c>
      <c r="I847" s="91" t="str">
        <f t="shared" si="69"/>
        <v/>
      </c>
      <c r="J847" s="91" t="str">
        <f t="shared" si="70"/>
        <v/>
      </c>
      <c r="K847" s="92" t="str">
        <f>IF(AND(A847="",B847="",D847="",G847=""),"",IF(AND(A847&lt;&gt;"",COUNTIF($A$2:$A$5001,A847)&gt;1),"NUMERO_PC duplicado",IF(B847="","DATA_PC vazia",IF(NOT(ISNUMBER(B847)),"DATA_PC invalida",IF(OR(C847="",C847="Fora dos ciclos"),"CICLO_PC nao identificado",IF(OR(D847="",D847=0),"VALOR_PC vazio ou zero",IF(AND(G847&lt;&gt;"Sim",G847&lt;&gt;"Nao",G847&lt;&gt;""),"PC_PAGO_A_CONTRATADA invalido",IF(AND(C847&lt;&gt;"C0",IFERROR(INDEX(parametros!$A$2:$A$6,MATCH(C847,parametros!$B$2:$B$6,0)),"")="Sim",IFERROR(INDEX(parametros!$H$2:$H$6,MATCH(C847,parametros!$B$2:$B$6,0)),"")=""),"INICIO_EFEITO ausente: PC "&amp;A847&amp;" - "&amp;C847,IF(L847="","EFEITO_PC nao calculado: PC "&amp;A847&amp;" - "&amp;C847,"OK")))))))))</f>
        <v/>
      </c>
      <c r="L847" s="92" t="str">
        <f>IF(AND(A847="",B847="",D847="",G847=""),"",IF(OR(B847="",NOT(ISNUMBER(B847)),C847="",C847="Fora dos ciclos"),"",IF(C847="C0","Nao",IF(IFERROR(INDEX(parametros!$A$2:$A$6,MATCH(C847,parametros!$B$2:$B$6,0)),"")&lt;&gt;"Sim","Nao",IF(IFERROR(INDEX(parametros!$H$2:$H$6,MATCH(C847,parametros!$B$2:$B$6,0)),"")="","",IF(B847&gt;=IFERROR(INDEX(parametros!$H$2:$H$6,MATCH(C847,parametros!$B$2:$B$6,0)),""),"Sim","Nao"))))))</f>
        <v/>
      </c>
      <c r="T847" s="156"/>
      <c r="U847" s="214" t="str">
        <f t="shared" si="71"/>
        <v/>
      </c>
      <c r="V847" s="212" t="s">
        <v>50</v>
      </c>
      <c r="W847" s="100" t="s">
        <v>168</v>
      </c>
      <c r="X847" s="100" t="s">
        <v>169</v>
      </c>
      <c r="Y847" s="101" t="s">
        <v>170</v>
      </c>
      <c r="Z847" s="101" t="s">
        <v>171</v>
      </c>
      <c r="AA847" s="101" t="s">
        <v>50</v>
      </c>
      <c r="AB847" s="101" t="s">
        <v>172</v>
      </c>
      <c r="AC847" s="102" t="s">
        <v>173</v>
      </c>
    </row>
    <row r="848" spans="1:29" ht="25.5" customHeight="1" x14ac:dyDescent="0.35">
      <c r="A848" s="392"/>
      <c r="B848" s="393"/>
      <c r="C848" s="99" t="str">
        <f>IF(B848="","",IF(NOT(ISNUMBER(B848)),"DATA_PC invalida",IF(NOT(ISNUMBER(parametros!$C$2)),"Fora dos ciclos",IF(OR(B848&lt;parametros!$C$2,(YEAR(B848)-YEAR(parametros!$C$2))*12+MONTH(B848)-MONTH(parametros!$C$2)&gt;59),"Fora dos ciclos","C"&amp;INT(((YEAR(B848)-YEAR(parametros!$C$2))*12+MONTH(B848)-MONTH(parametros!$C$2))/12)))))</f>
        <v/>
      </c>
      <c r="D848" s="394"/>
      <c r="E848" s="78" t="str">
        <f>IF(C848="","",IFERROR(VLOOKUP(C848,parametros!$A$11:$E$15,5,0),""))</f>
        <v/>
      </c>
      <c r="F848" s="79" t="str">
        <f t="shared" si="67"/>
        <v/>
      </c>
      <c r="G848" s="395"/>
      <c r="H848" s="91">
        <f t="shared" si="68"/>
        <v>0</v>
      </c>
      <c r="I848" s="91" t="str">
        <f t="shared" si="69"/>
        <v/>
      </c>
      <c r="J848" s="91" t="str">
        <f t="shared" si="70"/>
        <v/>
      </c>
      <c r="K848" s="92" t="str">
        <f>IF(AND(A848="",B848="",D848="",G848=""),"",IF(AND(A848&lt;&gt;"",COUNTIF($A$2:$A$5001,A848)&gt;1),"NUMERO_PC duplicado",IF(B848="","DATA_PC vazia",IF(NOT(ISNUMBER(B848)),"DATA_PC invalida",IF(OR(C848="",C848="Fora dos ciclos"),"CICLO_PC nao identificado",IF(OR(D848="",D848=0),"VALOR_PC vazio ou zero",IF(AND(G848&lt;&gt;"Sim",G848&lt;&gt;"Nao",G848&lt;&gt;""),"PC_PAGO_A_CONTRATADA invalido",IF(AND(C848&lt;&gt;"C0",IFERROR(INDEX(parametros!$A$2:$A$6,MATCH(C848,parametros!$B$2:$B$6,0)),"")="Sim",IFERROR(INDEX(parametros!$H$2:$H$6,MATCH(C848,parametros!$B$2:$B$6,0)),"")=""),"INICIO_EFEITO ausente: PC "&amp;A848&amp;" - "&amp;C848,IF(L848="","EFEITO_PC nao calculado: PC "&amp;A848&amp;" - "&amp;C848,"OK")))))))))</f>
        <v/>
      </c>
      <c r="L848" s="92" t="str">
        <f>IF(AND(A848="",B848="",D848="",G848=""),"",IF(OR(B848="",NOT(ISNUMBER(B848)),C848="",C848="Fora dos ciclos"),"",IF(C848="C0","Nao",IF(IFERROR(INDEX(parametros!$A$2:$A$6,MATCH(C848,parametros!$B$2:$B$6,0)),"")&lt;&gt;"Sim","Nao",IF(IFERROR(INDEX(parametros!$H$2:$H$6,MATCH(C848,parametros!$B$2:$B$6,0)),"")="","",IF(B848&gt;=IFERROR(INDEX(parametros!$H$2:$H$6,MATCH(C848,parametros!$B$2:$B$6,0)),""),"Sim","Nao"))))))</f>
        <v/>
      </c>
      <c r="T848" s="156"/>
      <c r="U848" s="214" t="str">
        <f t="shared" si="71"/>
        <v/>
      </c>
      <c r="V848" s="212" t="s">
        <v>50</v>
      </c>
      <c r="W848" s="100" t="s">
        <v>168</v>
      </c>
      <c r="X848" s="100" t="s">
        <v>169</v>
      </c>
      <c r="Y848" s="101" t="s">
        <v>170</v>
      </c>
      <c r="Z848" s="101" t="s">
        <v>171</v>
      </c>
      <c r="AA848" s="101" t="s">
        <v>50</v>
      </c>
      <c r="AB848" s="101" t="s">
        <v>172</v>
      </c>
      <c r="AC848" s="102" t="s">
        <v>173</v>
      </c>
    </row>
    <row r="849" spans="1:29" ht="25.5" customHeight="1" x14ac:dyDescent="0.35">
      <c r="A849" s="392"/>
      <c r="B849" s="393"/>
      <c r="C849" s="99" t="str">
        <f>IF(B849="","",IF(NOT(ISNUMBER(B849)),"DATA_PC invalida",IF(NOT(ISNUMBER(parametros!$C$2)),"Fora dos ciclos",IF(OR(B849&lt;parametros!$C$2,(YEAR(B849)-YEAR(parametros!$C$2))*12+MONTH(B849)-MONTH(parametros!$C$2)&gt;59),"Fora dos ciclos","C"&amp;INT(((YEAR(B849)-YEAR(parametros!$C$2))*12+MONTH(B849)-MONTH(parametros!$C$2))/12)))))</f>
        <v/>
      </c>
      <c r="D849" s="394"/>
      <c r="E849" s="78" t="str">
        <f>IF(C849="","",IFERROR(VLOOKUP(C849,parametros!$A$11:$E$15,5,0),""))</f>
        <v/>
      </c>
      <c r="F849" s="79" t="str">
        <f t="shared" si="67"/>
        <v/>
      </c>
      <c r="G849" s="395"/>
      <c r="H849" s="91">
        <f t="shared" si="68"/>
        <v>0</v>
      </c>
      <c r="I849" s="91" t="str">
        <f t="shared" si="69"/>
        <v/>
      </c>
      <c r="J849" s="91" t="str">
        <f t="shared" si="70"/>
        <v/>
      </c>
      <c r="K849" s="92" t="str">
        <f>IF(AND(A849="",B849="",D849="",G849=""),"",IF(AND(A849&lt;&gt;"",COUNTIF($A$2:$A$5001,A849)&gt;1),"NUMERO_PC duplicado",IF(B849="","DATA_PC vazia",IF(NOT(ISNUMBER(B849)),"DATA_PC invalida",IF(OR(C849="",C849="Fora dos ciclos"),"CICLO_PC nao identificado",IF(OR(D849="",D849=0),"VALOR_PC vazio ou zero",IF(AND(G849&lt;&gt;"Sim",G849&lt;&gt;"Nao",G849&lt;&gt;""),"PC_PAGO_A_CONTRATADA invalido",IF(AND(C849&lt;&gt;"C0",IFERROR(INDEX(parametros!$A$2:$A$6,MATCH(C849,parametros!$B$2:$B$6,0)),"")="Sim",IFERROR(INDEX(parametros!$H$2:$H$6,MATCH(C849,parametros!$B$2:$B$6,0)),"")=""),"INICIO_EFEITO ausente: PC "&amp;A849&amp;" - "&amp;C849,IF(L849="","EFEITO_PC nao calculado: PC "&amp;A849&amp;" - "&amp;C849,"OK")))))))))</f>
        <v/>
      </c>
      <c r="L849" s="92" t="str">
        <f>IF(AND(A849="",B849="",D849="",G849=""),"",IF(OR(B849="",NOT(ISNUMBER(B849)),C849="",C849="Fora dos ciclos"),"",IF(C849="C0","Nao",IF(IFERROR(INDEX(parametros!$A$2:$A$6,MATCH(C849,parametros!$B$2:$B$6,0)),"")&lt;&gt;"Sim","Nao",IF(IFERROR(INDEX(parametros!$H$2:$H$6,MATCH(C849,parametros!$B$2:$B$6,0)),"")="","",IF(B849&gt;=IFERROR(INDEX(parametros!$H$2:$H$6,MATCH(C849,parametros!$B$2:$B$6,0)),""),"Sim","Nao"))))))</f>
        <v/>
      </c>
      <c r="T849" s="156"/>
      <c r="U849" s="214" t="str">
        <f t="shared" si="71"/>
        <v/>
      </c>
      <c r="V849" s="212" t="s">
        <v>50</v>
      </c>
      <c r="W849" s="100" t="s">
        <v>168</v>
      </c>
      <c r="X849" s="100" t="s">
        <v>169</v>
      </c>
      <c r="Y849" s="101" t="s">
        <v>170</v>
      </c>
      <c r="Z849" s="101" t="s">
        <v>171</v>
      </c>
      <c r="AA849" s="101" t="s">
        <v>50</v>
      </c>
      <c r="AB849" s="101" t="s">
        <v>172</v>
      </c>
      <c r="AC849" s="102" t="s">
        <v>173</v>
      </c>
    </row>
    <row r="850" spans="1:29" ht="25.5" customHeight="1" x14ac:dyDescent="0.35">
      <c r="A850" s="392"/>
      <c r="B850" s="393"/>
      <c r="C850" s="99" t="str">
        <f>IF(B850="","",IF(NOT(ISNUMBER(B850)),"DATA_PC invalida",IF(NOT(ISNUMBER(parametros!$C$2)),"Fora dos ciclos",IF(OR(B850&lt;parametros!$C$2,(YEAR(B850)-YEAR(parametros!$C$2))*12+MONTH(B850)-MONTH(parametros!$C$2)&gt;59),"Fora dos ciclos","C"&amp;INT(((YEAR(B850)-YEAR(parametros!$C$2))*12+MONTH(B850)-MONTH(parametros!$C$2))/12)))))</f>
        <v/>
      </c>
      <c r="D850" s="394"/>
      <c r="E850" s="78" t="str">
        <f>IF(C850="","",IFERROR(VLOOKUP(C850,parametros!$A$11:$E$15,5,0),""))</f>
        <v/>
      </c>
      <c r="F850" s="79" t="str">
        <f t="shared" si="67"/>
        <v/>
      </c>
      <c r="G850" s="395"/>
      <c r="H850" s="91">
        <f t="shared" si="68"/>
        <v>0</v>
      </c>
      <c r="I850" s="91" t="str">
        <f t="shared" si="69"/>
        <v/>
      </c>
      <c r="J850" s="91" t="str">
        <f t="shared" si="70"/>
        <v/>
      </c>
      <c r="K850" s="92" t="str">
        <f>IF(AND(A850="",B850="",D850="",G850=""),"",IF(AND(A850&lt;&gt;"",COUNTIF($A$2:$A$5001,A850)&gt;1),"NUMERO_PC duplicado",IF(B850="","DATA_PC vazia",IF(NOT(ISNUMBER(B850)),"DATA_PC invalida",IF(OR(C850="",C850="Fora dos ciclos"),"CICLO_PC nao identificado",IF(OR(D850="",D850=0),"VALOR_PC vazio ou zero",IF(AND(G850&lt;&gt;"Sim",G850&lt;&gt;"Nao",G850&lt;&gt;""),"PC_PAGO_A_CONTRATADA invalido",IF(AND(C850&lt;&gt;"C0",IFERROR(INDEX(parametros!$A$2:$A$6,MATCH(C850,parametros!$B$2:$B$6,0)),"")="Sim",IFERROR(INDEX(parametros!$H$2:$H$6,MATCH(C850,parametros!$B$2:$B$6,0)),"")=""),"INICIO_EFEITO ausente: PC "&amp;A850&amp;" - "&amp;C850,IF(L850="","EFEITO_PC nao calculado: PC "&amp;A850&amp;" - "&amp;C850,"OK")))))))))</f>
        <v/>
      </c>
      <c r="L850" s="92" t="str">
        <f>IF(AND(A850="",B850="",D850="",G850=""),"",IF(OR(B850="",NOT(ISNUMBER(B850)),C850="",C850="Fora dos ciclos"),"",IF(C850="C0","Nao",IF(IFERROR(INDEX(parametros!$A$2:$A$6,MATCH(C850,parametros!$B$2:$B$6,0)),"")&lt;&gt;"Sim","Nao",IF(IFERROR(INDEX(parametros!$H$2:$H$6,MATCH(C850,parametros!$B$2:$B$6,0)),"")="","",IF(B850&gt;=IFERROR(INDEX(parametros!$H$2:$H$6,MATCH(C850,parametros!$B$2:$B$6,0)),""),"Sim","Nao"))))))</f>
        <v/>
      </c>
      <c r="T850" s="156"/>
      <c r="U850" s="214" t="str">
        <f t="shared" si="71"/>
        <v/>
      </c>
      <c r="V850" s="212" t="s">
        <v>50</v>
      </c>
      <c r="W850" s="100" t="s">
        <v>168</v>
      </c>
      <c r="X850" s="100" t="s">
        <v>169</v>
      </c>
      <c r="Y850" s="101" t="s">
        <v>170</v>
      </c>
      <c r="Z850" s="101" t="s">
        <v>171</v>
      </c>
      <c r="AA850" s="101" t="s">
        <v>50</v>
      </c>
      <c r="AB850" s="101" t="s">
        <v>172</v>
      </c>
      <c r="AC850" s="102" t="s">
        <v>173</v>
      </c>
    </row>
    <row r="851" spans="1:29" ht="25.5" customHeight="1" x14ac:dyDescent="0.35">
      <c r="A851" s="392"/>
      <c r="B851" s="393"/>
      <c r="C851" s="99" t="str">
        <f>IF(B851="","",IF(NOT(ISNUMBER(B851)),"DATA_PC invalida",IF(NOT(ISNUMBER(parametros!$C$2)),"Fora dos ciclos",IF(OR(B851&lt;parametros!$C$2,(YEAR(B851)-YEAR(parametros!$C$2))*12+MONTH(B851)-MONTH(parametros!$C$2)&gt;59),"Fora dos ciclos","C"&amp;INT(((YEAR(B851)-YEAR(parametros!$C$2))*12+MONTH(B851)-MONTH(parametros!$C$2))/12)))))</f>
        <v/>
      </c>
      <c r="D851" s="394"/>
      <c r="E851" s="78" t="str">
        <f>IF(C851="","",IFERROR(VLOOKUP(C851,parametros!$A$11:$E$15,5,0),""))</f>
        <v/>
      </c>
      <c r="F851" s="79" t="str">
        <f t="shared" si="67"/>
        <v/>
      </c>
      <c r="G851" s="395"/>
      <c r="H851" s="91">
        <f t="shared" si="68"/>
        <v>0</v>
      </c>
      <c r="I851" s="91" t="str">
        <f t="shared" si="69"/>
        <v/>
      </c>
      <c r="J851" s="91" t="str">
        <f t="shared" si="70"/>
        <v/>
      </c>
      <c r="K851" s="92" t="str">
        <f>IF(AND(A851="",B851="",D851="",G851=""),"",IF(AND(A851&lt;&gt;"",COUNTIF($A$2:$A$5001,A851)&gt;1),"NUMERO_PC duplicado",IF(B851="","DATA_PC vazia",IF(NOT(ISNUMBER(B851)),"DATA_PC invalida",IF(OR(C851="",C851="Fora dos ciclos"),"CICLO_PC nao identificado",IF(OR(D851="",D851=0),"VALOR_PC vazio ou zero",IF(AND(G851&lt;&gt;"Sim",G851&lt;&gt;"Nao",G851&lt;&gt;""),"PC_PAGO_A_CONTRATADA invalido",IF(AND(C851&lt;&gt;"C0",IFERROR(INDEX(parametros!$A$2:$A$6,MATCH(C851,parametros!$B$2:$B$6,0)),"")="Sim",IFERROR(INDEX(parametros!$H$2:$H$6,MATCH(C851,parametros!$B$2:$B$6,0)),"")=""),"INICIO_EFEITO ausente: PC "&amp;A851&amp;" - "&amp;C851,IF(L851="","EFEITO_PC nao calculado: PC "&amp;A851&amp;" - "&amp;C851,"OK")))))))))</f>
        <v/>
      </c>
      <c r="L851" s="92" t="str">
        <f>IF(AND(A851="",B851="",D851="",G851=""),"",IF(OR(B851="",NOT(ISNUMBER(B851)),C851="",C851="Fora dos ciclos"),"",IF(C851="C0","Nao",IF(IFERROR(INDEX(parametros!$A$2:$A$6,MATCH(C851,parametros!$B$2:$B$6,0)),"")&lt;&gt;"Sim","Nao",IF(IFERROR(INDEX(parametros!$H$2:$H$6,MATCH(C851,parametros!$B$2:$B$6,0)),"")="","",IF(B851&gt;=IFERROR(INDEX(parametros!$H$2:$H$6,MATCH(C851,parametros!$B$2:$B$6,0)),""),"Sim","Nao"))))))</f>
        <v/>
      </c>
      <c r="T851" s="156"/>
      <c r="U851" s="214" t="str">
        <f t="shared" si="71"/>
        <v/>
      </c>
      <c r="V851" s="212" t="s">
        <v>50</v>
      </c>
      <c r="W851" s="100" t="s">
        <v>168</v>
      </c>
      <c r="X851" s="100" t="s">
        <v>169</v>
      </c>
      <c r="Y851" s="101" t="s">
        <v>170</v>
      </c>
      <c r="Z851" s="101" t="s">
        <v>171</v>
      </c>
      <c r="AA851" s="101" t="s">
        <v>50</v>
      </c>
      <c r="AB851" s="101" t="s">
        <v>172</v>
      </c>
      <c r="AC851" s="102" t="s">
        <v>173</v>
      </c>
    </row>
    <row r="852" spans="1:29" ht="25.5" customHeight="1" x14ac:dyDescent="0.35">
      <c r="A852" s="392"/>
      <c r="B852" s="393"/>
      <c r="C852" s="99" t="str">
        <f>IF(B852="","",IF(NOT(ISNUMBER(B852)),"DATA_PC invalida",IF(NOT(ISNUMBER(parametros!$C$2)),"Fora dos ciclos",IF(OR(B852&lt;parametros!$C$2,(YEAR(B852)-YEAR(parametros!$C$2))*12+MONTH(B852)-MONTH(parametros!$C$2)&gt;59),"Fora dos ciclos","C"&amp;INT(((YEAR(B852)-YEAR(parametros!$C$2))*12+MONTH(B852)-MONTH(parametros!$C$2))/12)))))</f>
        <v/>
      </c>
      <c r="D852" s="394"/>
      <c r="E852" s="78" t="str">
        <f>IF(C852="","",IFERROR(VLOOKUP(C852,parametros!$A$11:$E$15,5,0),""))</f>
        <v/>
      </c>
      <c r="F852" s="79" t="str">
        <f t="shared" si="67"/>
        <v/>
      </c>
      <c r="G852" s="395"/>
      <c r="H852" s="91">
        <f t="shared" si="68"/>
        <v>0</v>
      </c>
      <c r="I852" s="91" t="str">
        <f t="shared" si="69"/>
        <v/>
      </c>
      <c r="J852" s="91" t="str">
        <f t="shared" si="70"/>
        <v/>
      </c>
      <c r="K852" s="92" t="str">
        <f>IF(AND(A852="",B852="",D852="",G852=""),"",IF(AND(A852&lt;&gt;"",COUNTIF($A$2:$A$5001,A852)&gt;1),"NUMERO_PC duplicado",IF(B852="","DATA_PC vazia",IF(NOT(ISNUMBER(B852)),"DATA_PC invalida",IF(OR(C852="",C852="Fora dos ciclos"),"CICLO_PC nao identificado",IF(OR(D852="",D852=0),"VALOR_PC vazio ou zero",IF(AND(G852&lt;&gt;"Sim",G852&lt;&gt;"Nao",G852&lt;&gt;""),"PC_PAGO_A_CONTRATADA invalido",IF(AND(C852&lt;&gt;"C0",IFERROR(INDEX(parametros!$A$2:$A$6,MATCH(C852,parametros!$B$2:$B$6,0)),"")="Sim",IFERROR(INDEX(parametros!$H$2:$H$6,MATCH(C852,parametros!$B$2:$B$6,0)),"")=""),"INICIO_EFEITO ausente: PC "&amp;A852&amp;" - "&amp;C852,IF(L852="","EFEITO_PC nao calculado: PC "&amp;A852&amp;" - "&amp;C852,"OK")))))))))</f>
        <v/>
      </c>
      <c r="L852" s="92" t="str">
        <f>IF(AND(A852="",B852="",D852="",G852=""),"",IF(OR(B852="",NOT(ISNUMBER(B852)),C852="",C852="Fora dos ciclos"),"",IF(C852="C0","Nao",IF(IFERROR(INDEX(parametros!$A$2:$A$6,MATCH(C852,parametros!$B$2:$B$6,0)),"")&lt;&gt;"Sim","Nao",IF(IFERROR(INDEX(parametros!$H$2:$H$6,MATCH(C852,parametros!$B$2:$B$6,0)),"")="","",IF(B852&gt;=IFERROR(INDEX(parametros!$H$2:$H$6,MATCH(C852,parametros!$B$2:$B$6,0)),""),"Sim","Nao"))))))</f>
        <v/>
      </c>
      <c r="T852" s="156"/>
      <c r="U852" s="214" t="str">
        <f t="shared" si="71"/>
        <v/>
      </c>
      <c r="V852" s="212" t="s">
        <v>50</v>
      </c>
      <c r="W852" s="100" t="s">
        <v>168</v>
      </c>
      <c r="X852" s="100" t="s">
        <v>169</v>
      </c>
      <c r="Y852" s="101" t="s">
        <v>170</v>
      </c>
      <c r="Z852" s="101" t="s">
        <v>171</v>
      </c>
      <c r="AA852" s="101" t="s">
        <v>50</v>
      </c>
      <c r="AB852" s="101" t="s">
        <v>172</v>
      </c>
      <c r="AC852" s="102" t="s">
        <v>173</v>
      </c>
    </row>
    <row r="853" spans="1:29" ht="25.5" customHeight="1" x14ac:dyDescent="0.35">
      <c r="A853" s="392"/>
      <c r="B853" s="393"/>
      <c r="C853" s="99" t="str">
        <f>IF(B853="","",IF(NOT(ISNUMBER(B853)),"DATA_PC invalida",IF(NOT(ISNUMBER(parametros!$C$2)),"Fora dos ciclos",IF(OR(B853&lt;parametros!$C$2,(YEAR(B853)-YEAR(parametros!$C$2))*12+MONTH(B853)-MONTH(parametros!$C$2)&gt;59),"Fora dos ciclos","C"&amp;INT(((YEAR(B853)-YEAR(parametros!$C$2))*12+MONTH(B853)-MONTH(parametros!$C$2))/12)))))</f>
        <v/>
      </c>
      <c r="D853" s="394"/>
      <c r="E853" s="78" t="str">
        <f>IF(C853="","",IFERROR(VLOOKUP(C853,parametros!$A$11:$E$15,5,0),""))</f>
        <v/>
      </c>
      <c r="F853" s="79" t="str">
        <f t="shared" si="67"/>
        <v/>
      </c>
      <c r="G853" s="395"/>
      <c r="H853" s="91">
        <f t="shared" si="68"/>
        <v>0</v>
      </c>
      <c r="I853" s="91" t="str">
        <f t="shared" si="69"/>
        <v/>
      </c>
      <c r="J853" s="91" t="str">
        <f t="shared" si="70"/>
        <v/>
      </c>
      <c r="K853" s="92" t="str">
        <f>IF(AND(A853="",B853="",D853="",G853=""),"",IF(AND(A853&lt;&gt;"",COUNTIF($A$2:$A$5001,A853)&gt;1),"NUMERO_PC duplicado",IF(B853="","DATA_PC vazia",IF(NOT(ISNUMBER(B853)),"DATA_PC invalida",IF(OR(C853="",C853="Fora dos ciclos"),"CICLO_PC nao identificado",IF(OR(D853="",D853=0),"VALOR_PC vazio ou zero",IF(AND(G853&lt;&gt;"Sim",G853&lt;&gt;"Nao",G853&lt;&gt;""),"PC_PAGO_A_CONTRATADA invalido",IF(AND(C853&lt;&gt;"C0",IFERROR(INDEX(parametros!$A$2:$A$6,MATCH(C853,parametros!$B$2:$B$6,0)),"")="Sim",IFERROR(INDEX(parametros!$H$2:$H$6,MATCH(C853,parametros!$B$2:$B$6,0)),"")=""),"INICIO_EFEITO ausente: PC "&amp;A853&amp;" - "&amp;C853,IF(L853="","EFEITO_PC nao calculado: PC "&amp;A853&amp;" - "&amp;C853,"OK")))))))))</f>
        <v/>
      </c>
      <c r="L853" s="92" t="str">
        <f>IF(AND(A853="",B853="",D853="",G853=""),"",IF(OR(B853="",NOT(ISNUMBER(B853)),C853="",C853="Fora dos ciclos"),"",IF(C853="C0","Nao",IF(IFERROR(INDEX(parametros!$A$2:$A$6,MATCH(C853,parametros!$B$2:$B$6,0)),"")&lt;&gt;"Sim","Nao",IF(IFERROR(INDEX(parametros!$H$2:$H$6,MATCH(C853,parametros!$B$2:$B$6,0)),"")="","",IF(B853&gt;=IFERROR(INDEX(parametros!$H$2:$H$6,MATCH(C853,parametros!$B$2:$B$6,0)),""),"Sim","Nao"))))))</f>
        <v/>
      </c>
      <c r="T853" s="156"/>
      <c r="U853" s="214" t="str">
        <f t="shared" si="71"/>
        <v/>
      </c>
      <c r="V853" s="212" t="s">
        <v>50</v>
      </c>
      <c r="W853" s="100" t="s">
        <v>168</v>
      </c>
      <c r="X853" s="100" t="s">
        <v>169</v>
      </c>
      <c r="Y853" s="101" t="s">
        <v>170</v>
      </c>
      <c r="Z853" s="101" t="s">
        <v>171</v>
      </c>
      <c r="AA853" s="101" t="s">
        <v>50</v>
      </c>
      <c r="AB853" s="101" t="s">
        <v>172</v>
      </c>
      <c r="AC853" s="102" t="s">
        <v>173</v>
      </c>
    </row>
    <row r="854" spans="1:29" ht="25.5" customHeight="1" x14ac:dyDescent="0.35">
      <c r="A854" s="392"/>
      <c r="B854" s="393"/>
      <c r="C854" s="99" t="str">
        <f>IF(B854="","",IF(NOT(ISNUMBER(B854)),"DATA_PC invalida",IF(NOT(ISNUMBER(parametros!$C$2)),"Fora dos ciclos",IF(OR(B854&lt;parametros!$C$2,(YEAR(B854)-YEAR(parametros!$C$2))*12+MONTH(B854)-MONTH(parametros!$C$2)&gt;59),"Fora dos ciclos","C"&amp;INT(((YEAR(B854)-YEAR(parametros!$C$2))*12+MONTH(B854)-MONTH(parametros!$C$2))/12)))))</f>
        <v/>
      </c>
      <c r="D854" s="394"/>
      <c r="E854" s="78" t="str">
        <f>IF(C854="","",IFERROR(VLOOKUP(C854,parametros!$A$11:$E$15,5,0),""))</f>
        <v/>
      </c>
      <c r="F854" s="79" t="str">
        <f t="shared" si="67"/>
        <v/>
      </c>
      <c r="G854" s="395"/>
      <c r="H854" s="91">
        <f t="shared" si="68"/>
        <v>0</v>
      </c>
      <c r="I854" s="91" t="str">
        <f t="shared" si="69"/>
        <v/>
      </c>
      <c r="J854" s="91" t="str">
        <f t="shared" si="70"/>
        <v/>
      </c>
      <c r="K854" s="92" t="str">
        <f>IF(AND(A854="",B854="",D854="",G854=""),"",IF(AND(A854&lt;&gt;"",COUNTIF($A$2:$A$5001,A854)&gt;1),"NUMERO_PC duplicado",IF(B854="","DATA_PC vazia",IF(NOT(ISNUMBER(B854)),"DATA_PC invalida",IF(OR(C854="",C854="Fora dos ciclos"),"CICLO_PC nao identificado",IF(OR(D854="",D854=0),"VALOR_PC vazio ou zero",IF(AND(G854&lt;&gt;"Sim",G854&lt;&gt;"Nao",G854&lt;&gt;""),"PC_PAGO_A_CONTRATADA invalido",IF(AND(C854&lt;&gt;"C0",IFERROR(INDEX(parametros!$A$2:$A$6,MATCH(C854,parametros!$B$2:$B$6,0)),"")="Sim",IFERROR(INDEX(parametros!$H$2:$H$6,MATCH(C854,parametros!$B$2:$B$6,0)),"")=""),"INICIO_EFEITO ausente: PC "&amp;A854&amp;" - "&amp;C854,IF(L854="","EFEITO_PC nao calculado: PC "&amp;A854&amp;" - "&amp;C854,"OK")))))))))</f>
        <v/>
      </c>
      <c r="L854" s="92" t="str">
        <f>IF(AND(A854="",B854="",D854="",G854=""),"",IF(OR(B854="",NOT(ISNUMBER(B854)),C854="",C854="Fora dos ciclos"),"",IF(C854="C0","Nao",IF(IFERROR(INDEX(parametros!$A$2:$A$6,MATCH(C854,parametros!$B$2:$B$6,0)),"")&lt;&gt;"Sim","Nao",IF(IFERROR(INDEX(parametros!$H$2:$H$6,MATCH(C854,parametros!$B$2:$B$6,0)),"")="","",IF(B854&gt;=IFERROR(INDEX(parametros!$H$2:$H$6,MATCH(C854,parametros!$B$2:$B$6,0)),""),"Sim","Nao"))))))</f>
        <v/>
      </c>
      <c r="T854" s="156"/>
      <c r="U854" s="214" t="str">
        <f t="shared" si="71"/>
        <v/>
      </c>
      <c r="V854" s="212" t="s">
        <v>50</v>
      </c>
      <c r="W854" s="100" t="s">
        <v>168</v>
      </c>
      <c r="X854" s="100" t="s">
        <v>169</v>
      </c>
      <c r="Y854" s="101" t="s">
        <v>170</v>
      </c>
      <c r="Z854" s="101" t="s">
        <v>171</v>
      </c>
      <c r="AA854" s="101" t="s">
        <v>50</v>
      </c>
      <c r="AB854" s="101" t="s">
        <v>172</v>
      </c>
      <c r="AC854" s="102" t="s">
        <v>173</v>
      </c>
    </row>
    <row r="855" spans="1:29" ht="25.5" customHeight="1" x14ac:dyDescent="0.35">
      <c r="A855" s="392"/>
      <c r="B855" s="393"/>
      <c r="C855" s="99" t="str">
        <f>IF(B855="","",IF(NOT(ISNUMBER(B855)),"DATA_PC invalida",IF(NOT(ISNUMBER(parametros!$C$2)),"Fora dos ciclos",IF(OR(B855&lt;parametros!$C$2,(YEAR(B855)-YEAR(parametros!$C$2))*12+MONTH(B855)-MONTH(parametros!$C$2)&gt;59),"Fora dos ciclos","C"&amp;INT(((YEAR(B855)-YEAR(parametros!$C$2))*12+MONTH(B855)-MONTH(parametros!$C$2))/12)))))</f>
        <v/>
      </c>
      <c r="D855" s="394"/>
      <c r="E855" s="78" t="str">
        <f>IF(C855="","",IFERROR(VLOOKUP(C855,parametros!$A$11:$E$15,5,0),""))</f>
        <v/>
      </c>
      <c r="F855" s="79" t="str">
        <f t="shared" si="67"/>
        <v/>
      </c>
      <c r="G855" s="395"/>
      <c r="H855" s="91">
        <f t="shared" si="68"/>
        <v>0</v>
      </c>
      <c r="I855" s="91" t="str">
        <f t="shared" si="69"/>
        <v/>
      </c>
      <c r="J855" s="91" t="str">
        <f t="shared" si="70"/>
        <v/>
      </c>
      <c r="K855" s="92" t="str">
        <f>IF(AND(A855="",B855="",D855="",G855=""),"",IF(AND(A855&lt;&gt;"",COUNTIF($A$2:$A$5001,A855)&gt;1),"NUMERO_PC duplicado",IF(B855="","DATA_PC vazia",IF(NOT(ISNUMBER(B855)),"DATA_PC invalida",IF(OR(C855="",C855="Fora dos ciclos"),"CICLO_PC nao identificado",IF(OR(D855="",D855=0),"VALOR_PC vazio ou zero",IF(AND(G855&lt;&gt;"Sim",G855&lt;&gt;"Nao",G855&lt;&gt;""),"PC_PAGO_A_CONTRATADA invalido",IF(AND(C855&lt;&gt;"C0",IFERROR(INDEX(parametros!$A$2:$A$6,MATCH(C855,parametros!$B$2:$B$6,0)),"")="Sim",IFERROR(INDEX(parametros!$H$2:$H$6,MATCH(C855,parametros!$B$2:$B$6,0)),"")=""),"INICIO_EFEITO ausente: PC "&amp;A855&amp;" - "&amp;C855,IF(L855="","EFEITO_PC nao calculado: PC "&amp;A855&amp;" - "&amp;C855,"OK")))))))))</f>
        <v/>
      </c>
      <c r="L855" s="92" t="str">
        <f>IF(AND(A855="",B855="",D855="",G855=""),"",IF(OR(B855="",NOT(ISNUMBER(B855)),C855="",C855="Fora dos ciclos"),"",IF(C855="C0","Nao",IF(IFERROR(INDEX(parametros!$A$2:$A$6,MATCH(C855,parametros!$B$2:$B$6,0)),"")&lt;&gt;"Sim","Nao",IF(IFERROR(INDEX(parametros!$H$2:$H$6,MATCH(C855,parametros!$B$2:$B$6,0)),"")="","",IF(B855&gt;=IFERROR(INDEX(parametros!$H$2:$H$6,MATCH(C855,parametros!$B$2:$B$6,0)),""),"Sim","Nao"))))))</f>
        <v/>
      </c>
      <c r="T855" s="156"/>
      <c r="U855" s="214" t="str">
        <f t="shared" si="71"/>
        <v/>
      </c>
      <c r="V855" s="212" t="s">
        <v>50</v>
      </c>
      <c r="W855" s="100" t="s">
        <v>168</v>
      </c>
      <c r="X855" s="100" t="s">
        <v>169</v>
      </c>
      <c r="Y855" s="101" t="s">
        <v>170</v>
      </c>
      <c r="Z855" s="101" t="s">
        <v>171</v>
      </c>
      <c r="AA855" s="101" t="s">
        <v>50</v>
      </c>
      <c r="AB855" s="101" t="s">
        <v>172</v>
      </c>
      <c r="AC855" s="102" t="s">
        <v>173</v>
      </c>
    </row>
    <row r="856" spans="1:29" ht="25.5" customHeight="1" x14ac:dyDescent="0.35">
      <c r="A856" s="392"/>
      <c r="B856" s="393"/>
      <c r="C856" s="99" t="str">
        <f>IF(B856="","",IF(NOT(ISNUMBER(B856)),"DATA_PC invalida",IF(NOT(ISNUMBER(parametros!$C$2)),"Fora dos ciclos",IF(OR(B856&lt;parametros!$C$2,(YEAR(B856)-YEAR(parametros!$C$2))*12+MONTH(B856)-MONTH(parametros!$C$2)&gt;59),"Fora dos ciclos","C"&amp;INT(((YEAR(B856)-YEAR(parametros!$C$2))*12+MONTH(B856)-MONTH(parametros!$C$2))/12)))))</f>
        <v/>
      </c>
      <c r="D856" s="394"/>
      <c r="E856" s="78" t="str">
        <f>IF(C856="","",IFERROR(VLOOKUP(C856,parametros!$A$11:$E$15,5,0),""))</f>
        <v/>
      </c>
      <c r="F856" s="79" t="str">
        <f t="shared" si="67"/>
        <v/>
      </c>
      <c r="G856" s="395"/>
      <c r="H856" s="91">
        <f t="shared" si="68"/>
        <v>0</v>
      </c>
      <c r="I856" s="91" t="str">
        <f t="shared" si="69"/>
        <v/>
      </c>
      <c r="J856" s="91" t="str">
        <f t="shared" si="70"/>
        <v/>
      </c>
      <c r="K856" s="92" t="str">
        <f>IF(AND(A856="",B856="",D856="",G856=""),"",IF(AND(A856&lt;&gt;"",COUNTIF($A$2:$A$5001,A856)&gt;1),"NUMERO_PC duplicado",IF(B856="","DATA_PC vazia",IF(NOT(ISNUMBER(B856)),"DATA_PC invalida",IF(OR(C856="",C856="Fora dos ciclos"),"CICLO_PC nao identificado",IF(OR(D856="",D856=0),"VALOR_PC vazio ou zero",IF(AND(G856&lt;&gt;"Sim",G856&lt;&gt;"Nao",G856&lt;&gt;""),"PC_PAGO_A_CONTRATADA invalido",IF(AND(C856&lt;&gt;"C0",IFERROR(INDEX(parametros!$A$2:$A$6,MATCH(C856,parametros!$B$2:$B$6,0)),"")="Sim",IFERROR(INDEX(parametros!$H$2:$H$6,MATCH(C856,parametros!$B$2:$B$6,0)),"")=""),"INICIO_EFEITO ausente: PC "&amp;A856&amp;" - "&amp;C856,IF(L856="","EFEITO_PC nao calculado: PC "&amp;A856&amp;" - "&amp;C856,"OK")))))))))</f>
        <v/>
      </c>
      <c r="L856" s="92" t="str">
        <f>IF(AND(A856="",B856="",D856="",G856=""),"",IF(OR(B856="",NOT(ISNUMBER(B856)),C856="",C856="Fora dos ciclos"),"",IF(C856="C0","Nao",IF(IFERROR(INDEX(parametros!$A$2:$A$6,MATCH(C856,parametros!$B$2:$B$6,0)),"")&lt;&gt;"Sim","Nao",IF(IFERROR(INDEX(parametros!$H$2:$H$6,MATCH(C856,parametros!$B$2:$B$6,0)),"")="","",IF(B856&gt;=IFERROR(INDEX(parametros!$H$2:$H$6,MATCH(C856,parametros!$B$2:$B$6,0)),""),"Sim","Nao"))))))</f>
        <v/>
      </c>
      <c r="T856" s="156"/>
      <c r="U856" s="214" t="str">
        <f t="shared" si="71"/>
        <v/>
      </c>
      <c r="V856" s="212" t="s">
        <v>50</v>
      </c>
      <c r="W856" s="100" t="s">
        <v>168</v>
      </c>
      <c r="X856" s="100" t="s">
        <v>169</v>
      </c>
      <c r="Y856" s="101" t="s">
        <v>170</v>
      </c>
      <c r="Z856" s="101" t="s">
        <v>171</v>
      </c>
      <c r="AA856" s="101" t="s">
        <v>50</v>
      </c>
      <c r="AB856" s="101" t="s">
        <v>172</v>
      </c>
      <c r="AC856" s="102" t="s">
        <v>173</v>
      </c>
    </row>
    <row r="857" spans="1:29" ht="25.5" customHeight="1" x14ac:dyDescent="0.35">
      <c r="A857" s="392"/>
      <c r="B857" s="393"/>
      <c r="C857" s="99" t="str">
        <f>IF(B857="","",IF(NOT(ISNUMBER(B857)),"DATA_PC invalida",IF(NOT(ISNUMBER(parametros!$C$2)),"Fora dos ciclos",IF(OR(B857&lt;parametros!$C$2,(YEAR(B857)-YEAR(parametros!$C$2))*12+MONTH(B857)-MONTH(parametros!$C$2)&gt;59),"Fora dos ciclos","C"&amp;INT(((YEAR(B857)-YEAR(parametros!$C$2))*12+MONTH(B857)-MONTH(parametros!$C$2))/12)))))</f>
        <v/>
      </c>
      <c r="D857" s="394"/>
      <c r="E857" s="78" t="str">
        <f>IF(C857="","",IFERROR(VLOOKUP(C857,parametros!$A$11:$E$15,5,0),""))</f>
        <v/>
      </c>
      <c r="F857" s="79" t="str">
        <f t="shared" si="67"/>
        <v/>
      </c>
      <c r="G857" s="395"/>
      <c r="H857" s="91">
        <f t="shared" si="68"/>
        <v>0</v>
      </c>
      <c r="I857" s="91" t="str">
        <f t="shared" si="69"/>
        <v/>
      </c>
      <c r="J857" s="91" t="str">
        <f t="shared" si="70"/>
        <v/>
      </c>
      <c r="K857" s="92" t="str">
        <f>IF(AND(A857="",B857="",D857="",G857=""),"",IF(AND(A857&lt;&gt;"",COUNTIF($A$2:$A$5001,A857)&gt;1),"NUMERO_PC duplicado",IF(B857="","DATA_PC vazia",IF(NOT(ISNUMBER(B857)),"DATA_PC invalida",IF(OR(C857="",C857="Fora dos ciclos"),"CICLO_PC nao identificado",IF(OR(D857="",D857=0),"VALOR_PC vazio ou zero",IF(AND(G857&lt;&gt;"Sim",G857&lt;&gt;"Nao",G857&lt;&gt;""),"PC_PAGO_A_CONTRATADA invalido",IF(AND(C857&lt;&gt;"C0",IFERROR(INDEX(parametros!$A$2:$A$6,MATCH(C857,parametros!$B$2:$B$6,0)),"")="Sim",IFERROR(INDEX(parametros!$H$2:$H$6,MATCH(C857,parametros!$B$2:$B$6,0)),"")=""),"INICIO_EFEITO ausente: PC "&amp;A857&amp;" - "&amp;C857,IF(L857="","EFEITO_PC nao calculado: PC "&amp;A857&amp;" - "&amp;C857,"OK")))))))))</f>
        <v/>
      </c>
      <c r="L857" s="92" t="str">
        <f>IF(AND(A857="",B857="",D857="",G857=""),"",IF(OR(B857="",NOT(ISNUMBER(B857)),C857="",C857="Fora dos ciclos"),"",IF(C857="C0","Nao",IF(IFERROR(INDEX(parametros!$A$2:$A$6,MATCH(C857,parametros!$B$2:$B$6,0)),"")&lt;&gt;"Sim","Nao",IF(IFERROR(INDEX(parametros!$H$2:$H$6,MATCH(C857,parametros!$B$2:$B$6,0)),"")="","",IF(B857&gt;=IFERROR(INDEX(parametros!$H$2:$H$6,MATCH(C857,parametros!$B$2:$B$6,0)),""),"Sim","Nao"))))))</f>
        <v/>
      </c>
      <c r="T857" s="156"/>
      <c r="U857" s="214" t="str">
        <f t="shared" si="71"/>
        <v/>
      </c>
      <c r="V857" s="212" t="s">
        <v>50</v>
      </c>
      <c r="W857" s="100" t="s">
        <v>168</v>
      </c>
      <c r="X857" s="100" t="s">
        <v>169</v>
      </c>
      <c r="Y857" s="101" t="s">
        <v>170</v>
      </c>
      <c r="Z857" s="101" t="s">
        <v>171</v>
      </c>
      <c r="AA857" s="101" t="s">
        <v>50</v>
      </c>
      <c r="AB857" s="101" t="s">
        <v>172</v>
      </c>
      <c r="AC857" s="102" t="s">
        <v>173</v>
      </c>
    </row>
    <row r="858" spans="1:29" ht="25.5" customHeight="1" x14ac:dyDescent="0.35">
      <c r="A858" s="392"/>
      <c r="B858" s="393"/>
      <c r="C858" s="99" t="str">
        <f>IF(B858="","",IF(NOT(ISNUMBER(B858)),"DATA_PC invalida",IF(NOT(ISNUMBER(parametros!$C$2)),"Fora dos ciclos",IF(OR(B858&lt;parametros!$C$2,(YEAR(B858)-YEAR(parametros!$C$2))*12+MONTH(B858)-MONTH(parametros!$C$2)&gt;59),"Fora dos ciclos","C"&amp;INT(((YEAR(B858)-YEAR(parametros!$C$2))*12+MONTH(B858)-MONTH(parametros!$C$2))/12)))))</f>
        <v/>
      </c>
      <c r="D858" s="394"/>
      <c r="E858" s="78" t="str">
        <f>IF(C858="","",IFERROR(VLOOKUP(C858,parametros!$A$11:$E$15,5,0),""))</f>
        <v/>
      </c>
      <c r="F858" s="79" t="str">
        <f t="shared" si="67"/>
        <v/>
      </c>
      <c r="G858" s="395"/>
      <c r="H858" s="91">
        <f t="shared" si="68"/>
        <v>0</v>
      </c>
      <c r="I858" s="91" t="str">
        <f t="shared" si="69"/>
        <v/>
      </c>
      <c r="J858" s="91" t="str">
        <f t="shared" si="70"/>
        <v/>
      </c>
      <c r="K858" s="92" t="str">
        <f>IF(AND(A858="",B858="",D858="",G858=""),"",IF(AND(A858&lt;&gt;"",COUNTIF($A$2:$A$5001,A858)&gt;1),"NUMERO_PC duplicado",IF(B858="","DATA_PC vazia",IF(NOT(ISNUMBER(B858)),"DATA_PC invalida",IF(OR(C858="",C858="Fora dos ciclos"),"CICLO_PC nao identificado",IF(OR(D858="",D858=0),"VALOR_PC vazio ou zero",IF(AND(G858&lt;&gt;"Sim",G858&lt;&gt;"Nao",G858&lt;&gt;""),"PC_PAGO_A_CONTRATADA invalido",IF(AND(C858&lt;&gt;"C0",IFERROR(INDEX(parametros!$A$2:$A$6,MATCH(C858,parametros!$B$2:$B$6,0)),"")="Sim",IFERROR(INDEX(parametros!$H$2:$H$6,MATCH(C858,parametros!$B$2:$B$6,0)),"")=""),"INICIO_EFEITO ausente: PC "&amp;A858&amp;" - "&amp;C858,IF(L858="","EFEITO_PC nao calculado: PC "&amp;A858&amp;" - "&amp;C858,"OK")))))))))</f>
        <v/>
      </c>
      <c r="L858" s="92" t="str">
        <f>IF(AND(A858="",B858="",D858="",G858=""),"",IF(OR(B858="",NOT(ISNUMBER(B858)),C858="",C858="Fora dos ciclos"),"",IF(C858="C0","Nao",IF(IFERROR(INDEX(parametros!$A$2:$A$6,MATCH(C858,parametros!$B$2:$B$6,0)),"")&lt;&gt;"Sim","Nao",IF(IFERROR(INDEX(parametros!$H$2:$H$6,MATCH(C858,parametros!$B$2:$B$6,0)),"")="","",IF(B858&gt;=IFERROR(INDEX(parametros!$H$2:$H$6,MATCH(C858,parametros!$B$2:$B$6,0)),""),"Sim","Nao"))))))</f>
        <v/>
      </c>
      <c r="T858" s="156"/>
      <c r="U858" s="214" t="str">
        <f t="shared" si="71"/>
        <v/>
      </c>
      <c r="V858" s="212" t="s">
        <v>50</v>
      </c>
      <c r="W858" s="100" t="s">
        <v>168</v>
      </c>
      <c r="X858" s="100" t="s">
        <v>169</v>
      </c>
      <c r="Y858" s="101" t="s">
        <v>170</v>
      </c>
      <c r="Z858" s="101" t="s">
        <v>171</v>
      </c>
      <c r="AA858" s="101" t="s">
        <v>50</v>
      </c>
      <c r="AB858" s="101" t="s">
        <v>172</v>
      </c>
      <c r="AC858" s="102" t="s">
        <v>173</v>
      </c>
    </row>
    <row r="859" spans="1:29" ht="25.5" customHeight="1" x14ac:dyDescent="0.35">
      <c r="A859" s="392"/>
      <c r="B859" s="393"/>
      <c r="C859" s="99" t="str">
        <f>IF(B859="","",IF(NOT(ISNUMBER(B859)),"DATA_PC invalida",IF(NOT(ISNUMBER(parametros!$C$2)),"Fora dos ciclos",IF(OR(B859&lt;parametros!$C$2,(YEAR(B859)-YEAR(parametros!$C$2))*12+MONTH(B859)-MONTH(parametros!$C$2)&gt;59),"Fora dos ciclos","C"&amp;INT(((YEAR(B859)-YEAR(parametros!$C$2))*12+MONTH(B859)-MONTH(parametros!$C$2))/12)))))</f>
        <v/>
      </c>
      <c r="D859" s="394"/>
      <c r="E859" s="78" t="str">
        <f>IF(C859="","",IFERROR(VLOOKUP(C859,parametros!$A$11:$E$15,5,0),""))</f>
        <v/>
      </c>
      <c r="F859" s="79" t="str">
        <f t="shared" si="67"/>
        <v/>
      </c>
      <c r="G859" s="395"/>
      <c r="H859" s="91">
        <f t="shared" si="68"/>
        <v>0</v>
      </c>
      <c r="I859" s="91" t="str">
        <f t="shared" si="69"/>
        <v/>
      </c>
      <c r="J859" s="91" t="str">
        <f t="shared" si="70"/>
        <v/>
      </c>
      <c r="K859" s="92" t="str">
        <f>IF(AND(A859="",B859="",D859="",G859=""),"",IF(AND(A859&lt;&gt;"",COUNTIF($A$2:$A$5001,A859)&gt;1),"NUMERO_PC duplicado",IF(B859="","DATA_PC vazia",IF(NOT(ISNUMBER(B859)),"DATA_PC invalida",IF(OR(C859="",C859="Fora dos ciclos"),"CICLO_PC nao identificado",IF(OR(D859="",D859=0),"VALOR_PC vazio ou zero",IF(AND(G859&lt;&gt;"Sim",G859&lt;&gt;"Nao",G859&lt;&gt;""),"PC_PAGO_A_CONTRATADA invalido",IF(AND(C859&lt;&gt;"C0",IFERROR(INDEX(parametros!$A$2:$A$6,MATCH(C859,parametros!$B$2:$B$6,0)),"")="Sim",IFERROR(INDEX(parametros!$H$2:$H$6,MATCH(C859,parametros!$B$2:$B$6,0)),"")=""),"INICIO_EFEITO ausente: PC "&amp;A859&amp;" - "&amp;C859,IF(L859="","EFEITO_PC nao calculado: PC "&amp;A859&amp;" - "&amp;C859,"OK")))))))))</f>
        <v/>
      </c>
      <c r="L859" s="92" t="str">
        <f>IF(AND(A859="",B859="",D859="",G859=""),"",IF(OR(B859="",NOT(ISNUMBER(B859)),C859="",C859="Fora dos ciclos"),"",IF(C859="C0","Nao",IF(IFERROR(INDEX(parametros!$A$2:$A$6,MATCH(C859,parametros!$B$2:$B$6,0)),"")&lt;&gt;"Sim","Nao",IF(IFERROR(INDEX(parametros!$H$2:$H$6,MATCH(C859,parametros!$B$2:$B$6,0)),"")="","",IF(B859&gt;=IFERROR(INDEX(parametros!$H$2:$H$6,MATCH(C859,parametros!$B$2:$B$6,0)),""),"Sim","Nao"))))))</f>
        <v/>
      </c>
      <c r="T859" s="156"/>
      <c r="U859" s="214" t="str">
        <f t="shared" si="71"/>
        <v/>
      </c>
      <c r="V859" s="212" t="s">
        <v>50</v>
      </c>
      <c r="W859" s="100" t="s">
        <v>168</v>
      </c>
      <c r="X859" s="100" t="s">
        <v>169</v>
      </c>
      <c r="Y859" s="101" t="s">
        <v>170</v>
      </c>
      <c r="Z859" s="101" t="s">
        <v>171</v>
      </c>
      <c r="AA859" s="101" t="s">
        <v>50</v>
      </c>
      <c r="AB859" s="101" t="s">
        <v>172</v>
      </c>
      <c r="AC859" s="102" t="s">
        <v>173</v>
      </c>
    </row>
    <row r="860" spans="1:29" ht="25.5" customHeight="1" x14ac:dyDescent="0.35">
      <c r="A860" s="392"/>
      <c r="B860" s="393"/>
      <c r="C860" s="99" t="str">
        <f>IF(B860="","",IF(NOT(ISNUMBER(B860)),"DATA_PC invalida",IF(NOT(ISNUMBER(parametros!$C$2)),"Fora dos ciclos",IF(OR(B860&lt;parametros!$C$2,(YEAR(B860)-YEAR(parametros!$C$2))*12+MONTH(B860)-MONTH(parametros!$C$2)&gt;59),"Fora dos ciclos","C"&amp;INT(((YEAR(B860)-YEAR(parametros!$C$2))*12+MONTH(B860)-MONTH(parametros!$C$2))/12)))))</f>
        <v/>
      </c>
      <c r="D860" s="394"/>
      <c r="E860" s="78" t="str">
        <f>IF(C860="","",IFERROR(VLOOKUP(C860,parametros!$A$11:$E$15,5,0),""))</f>
        <v/>
      </c>
      <c r="F860" s="79" t="str">
        <f t="shared" si="67"/>
        <v/>
      </c>
      <c r="G860" s="395"/>
      <c r="H860" s="91">
        <f t="shared" si="68"/>
        <v>0</v>
      </c>
      <c r="I860" s="91" t="str">
        <f t="shared" si="69"/>
        <v/>
      </c>
      <c r="J860" s="91" t="str">
        <f t="shared" si="70"/>
        <v/>
      </c>
      <c r="K860" s="92" t="str">
        <f>IF(AND(A860="",B860="",D860="",G860=""),"",IF(AND(A860&lt;&gt;"",COUNTIF($A$2:$A$5001,A860)&gt;1),"NUMERO_PC duplicado",IF(B860="","DATA_PC vazia",IF(NOT(ISNUMBER(B860)),"DATA_PC invalida",IF(OR(C860="",C860="Fora dos ciclos"),"CICLO_PC nao identificado",IF(OR(D860="",D860=0),"VALOR_PC vazio ou zero",IF(AND(G860&lt;&gt;"Sim",G860&lt;&gt;"Nao",G860&lt;&gt;""),"PC_PAGO_A_CONTRATADA invalido",IF(AND(C860&lt;&gt;"C0",IFERROR(INDEX(parametros!$A$2:$A$6,MATCH(C860,parametros!$B$2:$B$6,0)),"")="Sim",IFERROR(INDEX(parametros!$H$2:$H$6,MATCH(C860,parametros!$B$2:$B$6,0)),"")=""),"INICIO_EFEITO ausente: PC "&amp;A860&amp;" - "&amp;C860,IF(L860="","EFEITO_PC nao calculado: PC "&amp;A860&amp;" - "&amp;C860,"OK")))))))))</f>
        <v/>
      </c>
      <c r="L860" s="92" t="str">
        <f>IF(AND(A860="",B860="",D860="",G860=""),"",IF(OR(B860="",NOT(ISNUMBER(B860)),C860="",C860="Fora dos ciclos"),"",IF(C860="C0","Nao",IF(IFERROR(INDEX(parametros!$A$2:$A$6,MATCH(C860,parametros!$B$2:$B$6,0)),"")&lt;&gt;"Sim","Nao",IF(IFERROR(INDEX(parametros!$H$2:$H$6,MATCH(C860,parametros!$B$2:$B$6,0)),"")="","",IF(B860&gt;=IFERROR(INDEX(parametros!$H$2:$H$6,MATCH(C860,parametros!$B$2:$B$6,0)),""),"Sim","Nao"))))))</f>
        <v/>
      </c>
      <c r="T860" s="156"/>
      <c r="U860" s="214" t="str">
        <f t="shared" si="71"/>
        <v/>
      </c>
      <c r="V860" s="212" t="s">
        <v>50</v>
      </c>
      <c r="W860" s="100" t="s">
        <v>168</v>
      </c>
      <c r="X860" s="100" t="s">
        <v>169</v>
      </c>
      <c r="Y860" s="101" t="s">
        <v>170</v>
      </c>
      <c r="Z860" s="101" t="s">
        <v>171</v>
      </c>
      <c r="AA860" s="101" t="s">
        <v>50</v>
      </c>
      <c r="AB860" s="101" t="s">
        <v>172</v>
      </c>
      <c r="AC860" s="102" t="s">
        <v>173</v>
      </c>
    </row>
    <row r="861" spans="1:29" ht="25.5" customHeight="1" x14ac:dyDescent="0.35">
      <c r="A861" s="392"/>
      <c r="B861" s="393"/>
      <c r="C861" s="99" t="str">
        <f>IF(B861="","",IF(NOT(ISNUMBER(B861)),"DATA_PC invalida",IF(NOT(ISNUMBER(parametros!$C$2)),"Fora dos ciclos",IF(OR(B861&lt;parametros!$C$2,(YEAR(B861)-YEAR(parametros!$C$2))*12+MONTH(B861)-MONTH(parametros!$C$2)&gt;59),"Fora dos ciclos","C"&amp;INT(((YEAR(B861)-YEAR(parametros!$C$2))*12+MONTH(B861)-MONTH(parametros!$C$2))/12)))))</f>
        <v/>
      </c>
      <c r="D861" s="394"/>
      <c r="E861" s="78" t="str">
        <f>IF(C861="","",IFERROR(VLOOKUP(C861,parametros!$A$11:$E$15,5,0),""))</f>
        <v/>
      </c>
      <c r="F861" s="79" t="str">
        <f t="shared" si="67"/>
        <v/>
      </c>
      <c r="G861" s="395"/>
      <c r="H861" s="91">
        <f t="shared" si="68"/>
        <v>0</v>
      </c>
      <c r="I861" s="91" t="str">
        <f t="shared" si="69"/>
        <v/>
      </c>
      <c r="J861" s="91" t="str">
        <f t="shared" si="70"/>
        <v/>
      </c>
      <c r="K861" s="92" t="str">
        <f>IF(AND(A861="",B861="",D861="",G861=""),"",IF(AND(A861&lt;&gt;"",COUNTIF($A$2:$A$5001,A861)&gt;1),"NUMERO_PC duplicado",IF(B861="","DATA_PC vazia",IF(NOT(ISNUMBER(B861)),"DATA_PC invalida",IF(OR(C861="",C861="Fora dos ciclos"),"CICLO_PC nao identificado",IF(OR(D861="",D861=0),"VALOR_PC vazio ou zero",IF(AND(G861&lt;&gt;"Sim",G861&lt;&gt;"Nao",G861&lt;&gt;""),"PC_PAGO_A_CONTRATADA invalido",IF(AND(C861&lt;&gt;"C0",IFERROR(INDEX(parametros!$A$2:$A$6,MATCH(C861,parametros!$B$2:$B$6,0)),"")="Sim",IFERROR(INDEX(parametros!$H$2:$H$6,MATCH(C861,parametros!$B$2:$B$6,0)),"")=""),"INICIO_EFEITO ausente: PC "&amp;A861&amp;" - "&amp;C861,IF(L861="","EFEITO_PC nao calculado: PC "&amp;A861&amp;" - "&amp;C861,"OK")))))))))</f>
        <v/>
      </c>
      <c r="L861" s="92" t="str">
        <f>IF(AND(A861="",B861="",D861="",G861=""),"",IF(OR(B861="",NOT(ISNUMBER(B861)),C861="",C861="Fora dos ciclos"),"",IF(C861="C0","Nao",IF(IFERROR(INDEX(parametros!$A$2:$A$6,MATCH(C861,parametros!$B$2:$B$6,0)),"")&lt;&gt;"Sim","Nao",IF(IFERROR(INDEX(parametros!$H$2:$H$6,MATCH(C861,parametros!$B$2:$B$6,0)),"")="","",IF(B861&gt;=IFERROR(INDEX(parametros!$H$2:$H$6,MATCH(C861,parametros!$B$2:$B$6,0)),""),"Sim","Nao"))))))</f>
        <v/>
      </c>
      <c r="T861" s="156"/>
      <c r="U861" s="214" t="str">
        <f t="shared" si="71"/>
        <v/>
      </c>
      <c r="V861" s="212" t="s">
        <v>50</v>
      </c>
      <c r="W861" s="100" t="s">
        <v>168</v>
      </c>
      <c r="X861" s="100" t="s">
        <v>169</v>
      </c>
      <c r="Y861" s="101" t="s">
        <v>170</v>
      </c>
      <c r="Z861" s="101" t="s">
        <v>171</v>
      </c>
      <c r="AA861" s="101" t="s">
        <v>50</v>
      </c>
      <c r="AB861" s="101" t="s">
        <v>172</v>
      </c>
      <c r="AC861" s="102" t="s">
        <v>173</v>
      </c>
    </row>
    <row r="862" spans="1:29" ht="25.5" customHeight="1" x14ac:dyDescent="0.35">
      <c r="A862" s="392"/>
      <c r="B862" s="393"/>
      <c r="C862" s="99" t="str">
        <f>IF(B862="","",IF(NOT(ISNUMBER(B862)),"DATA_PC invalida",IF(NOT(ISNUMBER(parametros!$C$2)),"Fora dos ciclos",IF(OR(B862&lt;parametros!$C$2,(YEAR(B862)-YEAR(parametros!$C$2))*12+MONTH(B862)-MONTH(parametros!$C$2)&gt;59),"Fora dos ciclos","C"&amp;INT(((YEAR(B862)-YEAR(parametros!$C$2))*12+MONTH(B862)-MONTH(parametros!$C$2))/12)))))</f>
        <v/>
      </c>
      <c r="D862" s="394"/>
      <c r="E862" s="78" t="str">
        <f>IF(C862="","",IFERROR(VLOOKUP(C862,parametros!$A$11:$E$15,5,0),""))</f>
        <v/>
      </c>
      <c r="F862" s="79" t="str">
        <f t="shared" si="67"/>
        <v/>
      </c>
      <c r="G862" s="395"/>
      <c r="H862" s="91">
        <f t="shared" si="68"/>
        <v>0</v>
      </c>
      <c r="I862" s="91" t="str">
        <f t="shared" si="69"/>
        <v/>
      </c>
      <c r="J862" s="91" t="str">
        <f t="shared" si="70"/>
        <v/>
      </c>
      <c r="K862" s="92" t="str">
        <f>IF(AND(A862="",B862="",D862="",G862=""),"",IF(AND(A862&lt;&gt;"",COUNTIF($A$2:$A$5001,A862)&gt;1),"NUMERO_PC duplicado",IF(B862="","DATA_PC vazia",IF(NOT(ISNUMBER(B862)),"DATA_PC invalida",IF(OR(C862="",C862="Fora dos ciclos"),"CICLO_PC nao identificado",IF(OR(D862="",D862=0),"VALOR_PC vazio ou zero",IF(AND(G862&lt;&gt;"Sim",G862&lt;&gt;"Nao",G862&lt;&gt;""),"PC_PAGO_A_CONTRATADA invalido",IF(AND(C862&lt;&gt;"C0",IFERROR(INDEX(parametros!$A$2:$A$6,MATCH(C862,parametros!$B$2:$B$6,0)),"")="Sim",IFERROR(INDEX(parametros!$H$2:$H$6,MATCH(C862,parametros!$B$2:$B$6,0)),"")=""),"INICIO_EFEITO ausente: PC "&amp;A862&amp;" - "&amp;C862,IF(L862="","EFEITO_PC nao calculado: PC "&amp;A862&amp;" - "&amp;C862,"OK")))))))))</f>
        <v/>
      </c>
      <c r="L862" s="92" t="str">
        <f>IF(AND(A862="",B862="",D862="",G862=""),"",IF(OR(B862="",NOT(ISNUMBER(B862)),C862="",C862="Fora dos ciclos"),"",IF(C862="C0","Nao",IF(IFERROR(INDEX(parametros!$A$2:$A$6,MATCH(C862,parametros!$B$2:$B$6,0)),"")&lt;&gt;"Sim","Nao",IF(IFERROR(INDEX(parametros!$H$2:$H$6,MATCH(C862,parametros!$B$2:$B$6,0)),"")="","",IF(B862&gt;=IFERROR(INDEX(parametros!$H$2:$H$6,MATCH(C862,parametros!$B$2:$B$6,0)),""),"Sim","Nao"))))))</f>
        <v/>
      </c>
      <c r="T862" s="156"/>
      <c r="U862" s="214" t="str">
        <f t="shared" si="71"/>
        <v/>
      </c>
      <c r="V862" s="212" t="s">
        <v>50</v>
      </c>
      <c r="W862" s="100" t="s">
        <v>168</v>
      </c>
      <c r="X862" s="100" t="s">
        <v>169</v>
      </c>
      <c r="Y862" s="101" t="s">
        <v>170</v>
      </c>
      <c r="Z862" s="101" t="s">
        <v>171</v>
      </c>
      <c r="AA862" s="101" t="s">
        <v>50</v>
      </c>
      <c r="AB862" s="101" t="s">
        <v>172</v>
      </c>
      <c r="AC862" s="102" t="s">
        <v>173</v>
      </c>
    </row>
    <row r="863" spans="1:29" ht="25.5" customHeight="1" x14ac:dyDescent="0.35">
      <c r="A863" s="392"/>
      <c r="B863" s="393"/>
      <c r="C863" s="99" t="str">
        <f>IF(B863="","",IF(NOT(ISNUMBER(B863)),"DATA_PC invalida",IF(NOT(ISNUMBER(parametros!$C$2)),"Fora dos ciclos",IF(OR(B863&lt;parametros!$C$2,(YEAR(B863)-YEAR(parametros!$C$2))*12+MONTH(B863)-MONTH(parametros!$C$2)&gt;59),"Fora dos ciclos","C"&amp;INT(((YEAR(B863)-YEAR(parametros!$C$2))*12+MONTH(B863)-MONTH(parametros!$C$2))/12)))))</f>
        <v/>
      </c>
      <c r="D863" s="394"/>
      <c r="E863" s="78" t="str">
        <f>IF(C863="","",IFERROR(VLOOKUP(C863,parametros!$A$11:$E$15,5,0),""))</f>
        <v/>
      </c>
      <c r="F863" s="79" t="str">
        <f t="shared" si="67"/>
        <v/>
      </c>
      <c r="G863" s="395"/>
      <c r="H863" s="91">
        <f t="shared" si="68"/>
        <v>0</v>
      </c>
      <c r="I863" s="91" t="str">
        <f t="shared" si="69"/>
        <v/>
      </c>
      <c r="J863" s="91" t="str">
        <f t="shared" si="70"/>
        <v/>
      </c>
      <c r="K863" s="92" t="str">
        <f>IF(AND(A863="",B863="",D863="",G863=""),"",IF(AND(A863&lt;&gt;"",COUNTIF($A$2:$A$5001,A863)&gt;1),"NUMERO_PC duplicado",IF(B863="","DATA_PC vazia",IF(NOT(ISNUMBER(B863)),"DATA_PC invalida",IF(OR(C863="",C863="Fora dos ciclos"),"CICLO_PC nao identificado",IF(OR(D863="",D863=0),"VALOR_PC vazio ou zero",IF(AND(G863&lt;&gt;"Sim",G863&lt;&gt;"Nao",G863&lt;&gt;""),"PC_PAGO_A_CONTRATADA invalido",IF(AND(C863&lt;&gt;"C0",IFERROR(INDEX(parametros!$A$2:$A$6,MATCH(C863,parametros!$B$2:$B$6,0)),"")="Sim",IFERROR(INDEX(parametros!$H$2:$H$6,MATCH(C863,parametros!$B$2:$B$6,0)),"")=""),"INICIO_EFEITO ausente: PC "&amp;A863&amp;" - "&amp;C863,IF(L863="","EFEITO_PC nao calculado: PC "&amp;A863&amp;" - "&amp;C863,"OK")))))))))</f>
        <v/>
      </c>
      <c r="L863" s="92" t="str">
        <f>IF(AND(A863="",B863="",D863="",G863=""),"",IF(OR(B863="",NOT(ISNUMBER(B863)),C863="",C863="Fora dos ciclos"),"",IF(C863="C0","Nao",IF(IFERROR(INDEX(parametros!$A$2:$A$6,MATCH(C863,parametros!$B$2:$B$6,0)),"")&lt;&gt;"Sim","Nao",IF(IFERROR(INDEX(parametros!$H$2:$H$6,MATCH(C863,parametros!$B$2:$B$6,0)),"")="","",IF(B863&gt;=IFERROR(INDEX(parametros!$H$2:$H$6,MATCH(C863,parametros!$B$2:$B$6,0)),""),"Sim","Nao"))))))</f>
        <v/>
      </c>
      <c r="T863" s="156"/>
      <c r="U863" s="214" t="str">
        <f t="shared" si="71"/>
        <v/>
      </c>
      <c r="V863" s="212" t="s">
        <v>50</v>
      </c>
      <c r="W863" s="100" t="s">
        <v>168</v>
      </c>
      <c r="X863" s="100" t="s">
        <v>169</v>
      </c>
      <c r="Y863" s="101" t="s">
        <v>170</v>
      </c>
      <c r="Z863" s="101" t="s">
        <v>171</v>
      </c>
      <c r="AA863" s="101" t="s">
        <v>50</v>
      </c>
      <c r="AB863" s="101" t="s">
        <v>172</v>
      </c>
      <c r="AC863" s="102" t="s">
        <v>173</v>
      </c>
    </row>
    <row r="864" spans="1:29" ht="25.5" customHeight="1" x14ac:dyDescent="0.35">
      <c r="A864" s="392"/>
      <c r="B864" s="393"/>
      <c r="C864" s="99" t="str">
        <f>IF(B864="","",IF(NOT(ISNUMBER(B864)),"DATA_PC invalida",IF(NOT(ISNUMBER(parametros!$C$2)),"Fora dos ciclos",IF(OR(B864&lt;parametros!$C$2,(YEAR(B864)-YEAR(parametros!$C$2))*12+MONTH(B864)-MONTH(parametros!$C$2)&gt;59),"Fora dos ciclos","C"&amp;INT(((YEAR(B864)-YEAR(parametros!$C$2))*12+MONTH(B864)-MONTH(parametros!$C$2))/12)))))</f>
        <v/>
      </c>
      <c r="D864" s="394"/>
      <c r="E864" s="78" t="str">
        <f>IF(C864="","",IFERROR(VLOOKUP(C864,parametros!$A$11:$E$15,5,0),""))</f>
        <v/>
      </c>
      <c r="F864" s="79" t="str">
        <f t="shared" si="67"/>
        <v/>
      </c>
      <c r="G864" s="395"/>
      <c r="H864" s="91">
        <f t="shared" si="68"/>
        <v>0</v>
      </c>
      <c r="I864" s="91" t="str">
        <f t="shared" si="69"/>
        <v/>
      </c>
      <c r="J864" s="91" t="str">
        <f t="shared" si="70"/>
        <v/>
      </c>
      <c r="K864" s="92" t="str">
        <f>IF(AND(A864="",B864="",D864="",G864=""),"",IF(AND(A864&lt;&gt;"",COUNTIF($A$2:$A$5001,A864)&gt;1),"NUMERO_PC duplicado",IF(B864="","DATA_PC vazia",IF(NOT(ISNUMBER(B864)),"DATA_PC invalida",IF(OR(C864="",C864="Fora dos ciclos"),"CICLO_PC nao identificado",IF(OR(D864="",D864=0),"VALOR_PC vazio ou zero",IF(AND(G864&lt;&gt;"Sim",G864&lt;&gt;"Nao",G864&lt;&gt;""),"PC_PAGO_A_CONTRATADA invalido",IF(AND(C864&lt;&gt;"C0",IFERROR(INDEX(parametros!$A$2:$A$6,MATCH(C864,parametros!$B$2:$B$6,0)),"")="Sim",IFERROR(INDEX(parametros!$H$2:$H$6,MATCH(C864,parametros!$B$2:$B$6,0)),"")=""),"INICIO_EFEITO ausente: PC "&amp;A864&amp;" - "&amp;C864,IF(L864="","EFEITO_PC nao calculado: PC "&amp;A864&amp;" - "&amp;C864,"OK")))))))))</f>
        <v/>
      </c>
      <c r="L864" s="92" t="str">
        <f>IF(AND(A864="",B864="",D864="",G864=""),"",IF(OR(B864="",NOT(ISNUMBER(B864)),C864="",C864="Fora dos ciclos"),"",IF(C864="C0","Nao",IF(IFERROR(INDEX(parametros!$A$2:$A$6,MATCH(C864,parametros!$B$2:$B$6,0)),"")&lt;&gt;"Sim","Nao",IF(IFERROR(INDEX(parametros!$H$2:$H$6,MATCH(C864,parametros!$B$2:$B$6,0)),"")="","",IF(B864&gt;=IFERROR(INDEX(parametros!$H$2:$H$6,MATCH(C864,parametros!$B$2:$B$6,0)),""),"Sim","Nao"))))))</f>
        <v/>
      </c>
      <c r="T864" s="156"/>
      <c r="U864" s="214" t="str">
        <f t="shared" si="71"/>
        <v/>
      </c>
      <c r="V864" s="212" t="s">
        <v>50</v>
      </c>
      <c r="W864" s="100" t="s">
        <v>168</v>
      </c>
      <c r="X864" s="100" t="s">
        <v>169</v>
      </c>
      <c r="Y864" s="101" t="s">
        <v>170</v>
      </c>
      <c r="Z864" s="101" t="s">
        <v>171</v>
      </c>
      <c r="AA864" s="101" t="s">
        <v>50</v>
      </c>
      <c r="AB864" s="101" t="s">
        <v>172</v>
      </c>
      <c r="AC864" s="102" t="s">
        <v>173</v>
      </c>
    </row>
    <row r="865" spans="1:29" ht="25.5" customHeight="1" x14ac:dyDescent="0.35">
      <c r="A865" s="392"/>
      <c r="B865" s="393"/>
      <c r="C865" s="99" t="str">
        <f>IF(B865="","",IF(NOT(ISNUMBER(B865)),"DATA_PC invalida",IF(NOT(ISNUMBER(parametros!$C$2)),"Fora dos ciclos",IF(OR(B865&lt;parametros!$C$2,(YEAR(B865)-YEAR(parametros!$C$2))*12+MONTH(B865)-MONTH(parametros!$C$2)&gt;59),"Fora dos ciclos","C"&amp;INT(((YEAR(B865)-YEAR(parametros!$C$2))*12+MONTH(B865)-MONTH(parametros!$C$2))/12)))))</f>
        <v/>
      </c>
      <c r="D865" s="394"/>
      <c r="E865" s="78" t="str">
        <f>IF(C865="","",IFERROR(VLOOKUP(C865,parametros!$A$11:$E$15,5,0),""))</f>
        <v/>
      </c>
      <c r="F865" s="79" t="str">
        <f t="shared" si="67"/>
        <v/>
      </c>
      <c r="G865" s="395"/>
      <c r="H865" s="91">
        <f t="shared" si="68"/>
        <v>0</v>
      </c>
      <c r="I865" s="91" t="str">
        <f t="shared" si="69"/>
        <v/>
      </c>
      <c r="J865" s="91" t="str">
        <f t="shared" si="70"/>
        <v/>
      </c>
      <c r="K865" s="92" t="str">
        <f>IF(AND(A865="",B865="",D865="",G865=""),"",IF(AND(A865&lt;&gt;"",COUNTIF($A$2:$A$5001,A865)&gt;1),"NUMERO_PC duplicado",IF(B865="","DATA_PC vazia",IF(NOT(ISNUMBER(B865)),"DATA_PC invalida",IF(OR(C865="",C865="Fora dos ciclos"),"CICLO_PC nao identificado",IF(OR(D865="",D865=0),"VALOR_PC vazio ou zero",IF(AND(G865&lt;&gt;"Sim",G865&lt;&gt;"Nao",G865&lt;&gt;""),"PC_PAGO_A_CONTRATADA invalido",IF(AND(C865&lt;&gt;"C0",IFERROR(INDEX(parametros!$A$2:$A$6,MATCH(C865,parametros!$B$2:$B$6,0)),"")="Sim",IFERROR(INDEX(parametros!$H$2:$H$6,MATCH(C865,parametros!$B$2:$B$6,0)),"")=""),"INICIO_EFEITO ausente: PC "&amp;A865&amp;" - "&amp;C865,IF(L865="","EFEITO_PC nao calculado: PC "&amp;A865&amp;" - "&amp;C865,"OK")))))))))</f>
        <v/>
      </c>
      <c r="L865" s="92" t="str">
        <f>IF(AND(A865="",B865="",D865="",G865=""),"",IF(OR(B865="",NOT(ISNUMBER(B865)),C865="",C865="Fora dos ciclos"),"",IF(C865="C0","Nao",IF(IFERROR(INDEX(parametros!$A$2:$A$6,MATCH(C865,parametros!$B$2:$B$6,0)),"")&lt;&gt;"Sim","Nao",IF(IFERROR(INDEX(parametros!$H$2:$H$6,MATCH(C865,parametros!$B$2:$B$6,0)),"")="","",IF(B865&gt;=IFERROR(INDEX(parametros!$H$2:$H$6,MATCH(C865,parametros!$B$2:$B$6,0)),""),"Sim","Nao"))))))</f>
        <v/>
      </c>
      <c r="T865" s="156"/>
      <c r="U865" s="214" t="str">
        <f t="shared" si="71"/>
        <v/>
      </c>
      <c r="V865" s="212" t="s">
        <v>50</v>
      </c>
      <c r="W865" s="100" t="s">
        <v>168</v>
      </c>
      <c r="X865" s="100" t="s">
        <v>169</v>
      </c>
      <c r="Y865" s="101" t="s">
        <v>170</v>
      </c>
      <c r="Z865" s="101" t="s">
        <v>171</v>
      </c>
      <c r="AA865" s="101" t="s">
        <v>50</v>
      </c>
      <c r="AB865" s="101" t="s">
        <v>172</v>
      </c>
      <c r="AC865" s="102" t="s">
        <v>173</v>
      </c>
    </row>
    <row r="866" spans="1:29" ht="25.5" customHeight="1" x14ac:dyDescent="0.35">
      <c r="A866" s="392"/>
      <c r="B866" s="393"/>
      <c r="C866" s="99" t="str">
        <f>IF(B866="","",IF(NOT(ISNUMBER(B866)),"DATA_PC invalida",IF(NOT(ISNUMBER(parametros!$C$2)),"Fora dos ciclos",IF(OR(B866&lt;parametros!$C$2,(YEAR(B866)-YEAR(parametros!$C$2))*12+MONTH(B866)-MONTH(parametros!$C$2)&gt;59),"Fora dos ciclos","C"&amp;INT(((YEAR(B866)-YEAR(parametros!$C$2))*12+MONTH(B866)-MONTH(parametros!$C$2))/12)))))</f>
        <v/>
      </c>
      <c r="D866" s="394"/>
      <c r="E866" s="78" t="str">
        <f>IF(C866="","",IFERROR(VLOOKUP(C866,parametros!$A$11:$E$15,5,0),""))</f>
        <v/>
      </c>
      <c r="F866" s="79" t="str">
        <f t="shared" si="67"/>
        <v/>
      </c>
      <c r="G866" s="395"/>
      <c r="H866" s="91">
        <f t="shared" si="68"/>
        <v>0</v>
      </c>
      <c r="I866" s="91" t="str">
        <f t="shared" si="69"/>
        <v/>
      </c>
      <c r="J866" s="91" t="str">
        <f t="shared" si="70"/>
        <v/>
      </c>
      <c r="K866" s="92" t="str">
        <f>IF(AND(A866="",B866="",D866="",G866=""),"",IF(AND(A866&lt;&gt;"",COUNTIF($A$2:$A$5001,A866)&gt;1),"NUMERO_PC duplicado",IF(B866="","DATA_PC vazia",IF(NOT(ISNUMBER(B866)),"DATA_PC invalida",IF(OR(C866="",C866="Fora dos ciclos"),"CICLO_PC nao identificado",IF(OR(D866="",D866=0),"VALOR_PC vazio ou zero",IF(AND(G866&lt;&gt;"Sim",G866&lt;&gt;"Nao",G866&lt;&gt;""),"PC_PAGO_A_CONTRATADA invalido",IF(AND(C866&lt;&gt;"C0",IFERROR(INDEX(parametros!$A$2:$A$6,MATCH(C866,parametros!$B$2:$B$6,0)),"")="Sim",IFERROR(INDEX(parametros!$H$2:$H$6,MATCH(C866,parametros!$B$2:$B$6,0)),"")=""),"INICIO_EFEITO ausente: PC "&amp;A866&amp;" - "&amp;C866,IF(L866="","EFEITO_PC nao calculado: PC "&amp;A866&amp;" - "&amp;C866,"OK")))))))))</f>
        <v/>
      </c>
      <c r="L866" s="92" t="str">
        <f>IF(AND(A866="",B866="",D866="",G866=""),"",IF(OR(B866="",NOT(ISNUMBER(B866)),C866="",C866="Fora dos ciclos"),"",IF(C866="C0","Nao",IF(IFERROR(INDEX(parametros!$A$2:$A$6,MATCH(C866,parametros!$B$2:$B$6,0)),"")&lt;&gt;"Sim","Nao",IF(IFERROR(INDEX(parametros!$H$2:$H$6,MATCH(C866,parametros!$B$2:$B$6,0)),"")="","",IF(B866&gt;=IFERROR(INDEX(parametros!$H$2:$H$6,MATCH(C866,parametros!$B$2:$B$6,0)),""),"Sim","Nao"))))))</f>
        <v/>
      </c>
      <c r="T866" s="156"/>
      <c r="U866" s="214" t="str">
        <f t="shared" si="71"/>
        <v/>
      </c>
      <c r="V866" s="212" t="s">
        <v>50</v>
      </c>
      <c r="W866" s="100" t="s">
        <v>168</v>
      </c>
      <c r="X866" s="100" t="s">
        <v>169</v>
      </c>
      <c r="Y866" s="101" t="s">
        <v>170</v>
      </c>
      <c r="Z866" s="101" t="s">
        <v>171</v>
      </c>
      <c r="AA866" s="101" t="s">
        <v>50</v>
      </c>
      <c r="AB866" s="101" t="s">
        <v>172</v>
      </c>
      <c r="AC866" s="102" t="s">
        <v>173</v>
      </c>
    </row>
    <row r="867" spans="1:29" ht="25.5" customHeight="1" x14ac:dyDescent="0.35">
      <c r="A867" s="392"/>
      <c r="B867" s="393"/>
      <c r="C867" s="99" t="str">
        <f>IF(B867="","",IF(NOT(ISNUMBER(B867)),"DATA_PC invalida",IF(NOT(ISNUMBER(parametros!$C$2)),"Fora dos ciclos",IF(OR(B867&lt;parametros!$C$2,(YEAR(B867)-YEAR(parametros!$C$2))*12+MONTH(B867)-MONTH(parametros!$C$2)&gt;59),"Fora dos ciclos","C"&amp;INT(((YEAR(B867)-YEAR(parametros!$C$2))*12+MONTH(B867)-MONTH(parametros!$C$2))/12)))))</f>
        <v/>
      </c>
      <c r="D867" s="394"/>
      <c r="E867" s="78" t="str">
        <f>IF(C867="","",IFERROR(VLOOKUP(C867,parametros!$A$11:$E$15,5,0),""))</f>
        <v/>
      </c>
      <c r="F867" s="79" t="str">
        <f t="shared" si="67"/>
        <v/>
      </c>
      <c r="G867" s="395"/>
      <c r="H867" s="91">
        <f t="shared" si="68"/>
        <v>0</v>
      </c>
      <c r="I867" s="91" t="str">
        <f t="shared" si="69"/>
        <v/>
      </c>
      <c r="J867" s="91" t="str">
        <f t="shared" si="70"/>
        <v/>
      </c>
      <c r="K867" s="92" t="str">
        <f>IF(AND(A867="",B867="",D867="",G867=""),"",IF(AND(A867&lt;&gt;"",COUNTIF($A$2:$A$5001,A867)&gt;1),"NUMERO_PC duplicado",IF(B867="","DATA_PC vazia",IF(NOT(ISNUMBER(B867)),"DATA_PC invalida",IF(OR(C867="",C867="Fora dos ciclos"),"CICLO_PC nao identificado",IF(OR(D867="",D867=0),"VALOR_PC vazio ou zero",IF(AND(G867&lt;&gt;"Sim",G867&lt;&gt;"Nao",G867&lt;&gt;""),"PC_PAGO_A_CONTRATADA invalido",IF(AND(C867&lt;&gt;"C0",IFERROR(INDEX(parametros!$A$2:$A$6,MATCH(C867,parametros!$B$2:$B$6,0)),"")="Sim",IFERROR(INDEX(parametros!$H$2:$H$6,MATCH(C867,parametros!$B$2:$B$6,0)),"")=""),"INICIO_EFEITO ausente: PC "&amp;A867&amp;" - "&amp;C867,IF(L867="","EFEITO_PC nao calculado: PC "&amp;A867&amp;" - "&amp;C867,"OK")))))))))</f>
        <v/>
      </c>
      <c r="L867" s="92" t="str">
        <f>IF(AND(A867="",B867="",D867="",G867=""),"",IF(OR(B867="",NOT(ISNUMBER(B867)),C867="",C867="Fora dos ciclos"),"",IF(C867="C0","Nao",IF(IFERROR(INDEX(parametros!$A$2:$A$6,MATCH(C867,parametros!$B$2:$B$6,0)),"")&lt;&gt;"Sim","Nao",IF(IFERROR(INDEX(parametros!$H$2:$H$6,MATCH(C867,parametros!$B$2:$B$6,0)),"")="","",IF(B867&gt;=IFERROR(INDEX(parametros!$H$2:$H$6,MATCH(C867,parametros!$B$2:$B$6,0)),""),"Sim","Nao"))))))</f>
        <v/>
      </c>
      <c r="T867" s="156"/>
      <c r="U867" s="214" t="str">
        <f t="shared" si="71"/>
        <v/>
      </c>
      <c r="V867" s="212" t="s">
        <v>50</v>
      </c>
      <c r="W867" s="100" t="s">
        <v>168</v>
      </c>
      <c r="X867" s="100" t="s">
        <v>169</v>
      </c>
      <c r="Y867" s="101" t="s">
        <v>170</v>
      </c>
      <c r="Z867" s="101" t="s">
        <v>171</v>
      </c>
      <c r="AA867" s="101" t="s">
        <v>50</v>
      </c>
      <c r="AB867" s="101" t="s">
        <v>172</v>
      </c>
      <c r="AC867" s="102" t="s">
        <v>173</v>
      </c>
    </row>
    <row r="868" spans="1:29" ht="25.5" customHeight="1" x14ac:dyDescent="0.35">
      <c r="A868" s="392"/>
      <c r="B868" s="393"/>
      <c r="C868" s="99" t="str">
        <f>IF(B868="","",IF(NOT(ISNUMBER(B868)),"DATA_PC invalida",IF(NOT(ISNUMBER(parametros!$C$2)),"Fora dos ciclos",IF(OR(B868&lt;parametros!$C$2,(YEAR(B868)-YEAR(parametros!$C$2))*12+MONTH(B868)-MONTH(parametros!$C$2)&gt;59),"Fora dos ciclos","C"&amp;INT(((YEAR(B868)-YEAR(parametros!$C$2))*12+MONTH(B868)-MONTH(parametros!$C$2))/12)))))</f>
        <v/>
      </c>
      <c r="D868" s="394"/>
      <c r="E868" s="78" t="str">
        <f>IF(C868="","",IFERROR(VLOOKUP(C868,parametros!$A$11:$E$15,5,0),""))</f>
        <v/>
      </c>
      <c r="F868" s="79" t="str">
        <f t="shared" si="67"/>
        <v/>
      </c>
      <c r="G868" s="395"/>
      <c r="H868" s="91">
        <f t="shared" si="68"/>
        <v>0</v>
      </c>
      <c r="I868" s="91" t="str">
        <f t="shared" si="69"/>
        <v/>
      </c>
      <c r="J868" s="91" t="str">
        <f t="shared" si="70"/>
        <v/>
      </c>
      <c r="K868" s="92" t="str">
        <f>IF(AND(A868="",B868="",D868="",G868=""),"",IF(AND(A868&lt;&gt;"",COUNTIF($A$2:$A$5001,A868)&gt;1),"NUMERO_PC duplicado",IF(B868="","DATA_PC vazia",IF(NOT(ISNUMBER(B868)),"DATA_PC invalida",IF(OR(C868="",C868="Fora dos ciclos"),"CICLO_PC nao identificado",IF(OR(D868="",D868=0),"VALOR_PC vazio ou zero",IF(AND(G868&lt;&gt;"Sim",G868&lt;&gt;"Nao",G868&lt;&gt;""),"PC_PAGO_A_CONTRATADA invalido",IF(AND(C868&lt;&gt;"C0",IFERROR(INDEX(parametros!$A$2:$A$6,MATCH(C868,parametros!$B$2:$B$6,0)),"")="Sim",IFERROR(INDEX(parametros!$H$2:$H$6,MATCH(C868,parametros!$B$2:$B$6,0)),"")=""),"INICIO_EFEITO ausente: PC "&amp;A868&amp;" - "&amp;C868,IF(L868="","EFEITO_PC nao calculado: PC "&amp;A868&amp;" - "&amp;C868,"OK")))))))))</f>
        <v/>
      </c>
      <c r="L868" s="92" t="str">
        <f>IF(AND(A868="",B868="",D868="",G868=""),"",IF(OR(B868="",NOT(ISNUMBER(B868)),C868="",C868="Fora dos ciclos"),"",IF(C868="C0","Nao",IF(IFERROR(INDEX(parametros!$A$2:$A$6,MATCH(C868,parametros!$B$2:$B$6,0)),"")&lt;&gt;"Sim","Nao",IF(IFERROR(INDEX(parametros!$H$2:$H$6,MATCH(C868,parametros!$B$2:$B$6,0)),"")="","",IF(B868&gt;=IFERROR(INDEX(parametros!$H$2:$H$6,MATCH(C868,parametros!$B$2:$B$6,0)),""),"Sim","Nao"))))))</f>
        <v/>
      </c>
      <c r="T868" s="156"/>
      <c r="U868" s="214" t="str">
        <f t="shared" si="71"/>
        <v/>
      </c>
      <c r="V868" s="212" t="s">
        <v>50</v>
      </c>
      <c r="W868" s="100" t="s">
        <v>168</v>
      </c>
      <c r="X868" s="100" t="s">
        <v>169</v>
      </c>
      <c r="Y868" s="101" t="s">
        <v>170</v>
      </c>
      <c r="Z868" s="101" t="s">
        <v>171</v>
      </c>
      <c r="AA868" s="101" t="s">
        <v>50</v>
      </c>
      <c r="AB868" s="101" t="s">
        <v>172</v>
      </c>
      <c r="AC868" s="102" t="s">
        <v>173</v>
      </c>
    </row>
    <row r="869" spans="1:29" ht="25.5" customHeight="1" x14ac:dyDescent="0.35">
      <c r="A869" s="392"/>
      <c r="B869" s="393"/>
      <c r="C869" s="99" t="str">
        <f>IF(B869="","",IF(NOT(ISNUMBER(B869)),"DATA_PC invalida",IF(NOT(ISNUMBER(parametros!$C$2)),"Fora dos ciclos",IF(OR(B869&lt;parametros!$C$2,(YEAR(B869)-YEAR(parametros!$C$2))*12+MONTH(B869)-MONTH(parametros!$C$2)&gt;59),"Fora dos ciclos","C"&amp;INT(((YEAR(B869)-YEAR(parametros!$C$2))*12+MONTH(B869)-MONTH(parametros!$C$2))/12)))))</f>
        <v/>
      </c>
      <c r="D869" s="394"/>
      <c r="E869" s="78" t="str">
        <f>IF(C869="","",IFERROR(VLOOKUP(C869,parametros!$A$11:$E$15,5,0),""))</f>
        <v/>
      </c>
      <c r="F869" s="79" t="str">
        <f t="shared" si="67"/>
        <v/>
      </c>
      <c r="G869" s="395"/>
      <c r="H869" s="91">
        <f t="shared" si="68"/>
        <v>0</v>
      </c>
      <c r="I869" s="91" t="str">
        <f t="shared" si="69"/>
        <v/>
      </c>
      <c r="J869" s="91" t="str">
        <f t="shared" si="70"/>
        <v/>
      </c>
      <c r="K869" s="92" t="str">
        <f>IF(AND(A869="",B869="",D869="",G869=""),"",IF(AND(A869&lt;&gt;"",COUNTIF($A$2:$A$5001,A869)&gt;1),"NUMERO_PC duplicado",IF(B869="","DATA_PC vazia",IF(NOT(ISNUMBER(B869)),"DATA_PC invalida",IF(OR(C869="",C869="Fora dos ciclos"),"CICLO_PC nao identificado",IF(OR(D869="",D869=0),"VALOR_PC vazio ou zero",IF(AND(G869&lt;&gt;"Sim",G869&lt;&gt;"Nao",G869&lt;&gt;""),"PC_PAGO_A_CONTRATADA invalido",IF(AND(C869&lt;&gt;"C0",IFERROR(INDEX(parametros!$A$2:$A$6,MATCH(C869,parametros!$B$2:$B$6,0)),"")="Sim",IFERROR(INDEX(parametros!$H$2:$H$6,MATCH(C869,parametros!$B$2:$B$6,0)),"")=""),"INICIO_EFEITO ausente: PC "&amp;A869&amp;" - "&amp;C869,IF(L869="","EFEITO_PC nao calculado: PC "&amp;A869&amp;" - "&amp;C869,"OK")))))))))</f>
        <v/>
      </c>
      <c r="L869" s="92" t="str">
        <f>IF(AND(A869="",B869="",D869="",G869=""),"",IF(OR(B869="",NOT(ISNUMBER(B869)),C869="",C869="Fora dos ciclos"),"",IF(C869="C0","Nao",IF(IFERROR(INDEX(parametros!$A$2:$A$6,MATCH(C869,parametros!$B$2:$B$6,0)),"")&lt;&gt;"Sim","Nao",IF(IFERROR(INDEX(parametros!$H$2:$H$6,MATCH(C869,parametros!$B$2:$B$6,0)),"")="","",IF(B869&gt;=IFERROR(INDEX(parametros!$H$2:$H$6,MATCH(C869,parametros!$B$2:$B$6,0)),""),"Sim","Nao"))))))</f>
        <v/>
      </c>
      <c r="T869" s="156"/>
      <c r="U869" s="214" t="str">
        <f t="shared" si="71"/>
        <v/>
      </c>
      <c r="V869" s="212" t="s">
        <v>50</v>
      </c>
      <c r="W869" s="100" t="s">
        <v>168</v>
      </c>
      <c r="X869" s="100" t="s">
        <v>169</v>
      </c>
      <c r="Y869" s="101" t="s">
        <v>170</v>
      </c>
      <c r="Z869" s="101" t="s">
        <v>171</v>
      </c>
      <c r="AA869" s="101" t="s">
        <v>50</v>
      </c>
      <c r="AB869" s="101" t="s">
        <v>172</v>
      </c>
      <c r="AC869" s="102" t="s">
        <v>173</v>
      </c>
    </row>
    <row r="870" spans="1:29" ht="25.5" customHeight="1" x14ac:dyDescent="0.35">
      <c r="A870" s="392"/>
      <c r="B870" s="393"/>
      <c r="C870" s="99" t="str">
        <f>IF(B870="","",IF(NOT(ISNUMBER(B870)),"DATA_PC invalida",IF(NOT(ISNUMBER(parametros!$C$2)),"Fora dos ciclos",IF(OR(B870&lt;parametros!$C$2,(YEAR(B870)-YEAR(parametros!$C$2))*12+MONTH(B870)-MONTH(parametros!$C$2)&gt;59),"Fora dos ciclos","C"&amp;INT(((YEAR(B870)-YEAR(parametros!$C$2))*12+MONTH(B870)-MONTH(parametros!$C$2))/12)))))</f>
        <v/>
      </c>
      <c r="D870" s="394"/>
      <c r="E870" s="78" t="str">
        <f>IF(C870="","",IFERROR(VLOOKUP(C870,parametros!$A$11:$E$15,5,0),""))</f>
        <v/>
      </c>
      <c r="F870" s="79" t="str">
        <f t="shared" si="67"/>
        <v/>
      </c>
      <c r="G870" s="395"/>
      <c r="H870" s="91">
        <f t="shared" si="68"/>
        <v>0</v>
      </c>
      <c r="I870" s="91" t="str">
        <f t="shared" si="69"/>
        <v/>
      </c>
      <c r="J870" s="91" t="str">
        <f t="shared" si="70"/>
        <v/>
      </c>
      <c r="K870" s="92" t="str">
        <f>IF(AND(A870="",B870="",D870="",G870=""),"",IF(AND(A870&lt;&gt;"",COUNTIF($A$2:$A$5001,A870)&gt;1),"NUMERO_PC duplicado",IF(B870="","DATA_PC vazia",IF(NOT(ISNUMBER(B870)),"DATA_PC invalida",IF(OR(C870="",C870="Fora dos ciclos"),"CICLO_PC nao identificado",IF(OR(D870="",D870=0),"VALOR_PC vazio ou zero",IF(AND(G870&lt;&gt;"Sim",G870&lt;&gt;"Nao",G870&lt;&gt;""),"PC_PAGO_A_CONTRATADA invalido",IF(AND(C870&lt;&gt;"C0",IFERROR(INDEX(parametros!$A$2:$A$6,MATCH(C870,parametros!$B$2:$B$6,0)),"")="Sim",IFERROR(INDEX(parametros!$H$2:$H$6,MATCH(C870,parametros!$B$2:$B$6,0)),"")=""),"INICIO_EFEITO ausente: PC "&amp;A870&amp;" - "&amp;C870,IF(L870="","EFEITO_PC nao calculado: PC "&amp;A870&amp;" - "&amp;C870,"OK")))))))))</f>
        <v/>
      </c>
      <c r="L870" s="92" t="str">
        <f>IF(AND(A870="",B870="",D870="",G870=""),"",IF(OR(B870="",NOT(ISNUMBER(B870)),C870="",C870="Fora dos ciclos"),"",IF(C870="C0","Nao",IF(IFERROR(INDEX(parametros!$A$2:$A$6,MATCH(C870,parametros!$B$2:$B$6,0)),"")&lt;&gt;"Sim","Nao",IF(IFERROR(INDEX(parametros!$H$2:$H$6,MATCH(C870,parametros!$B$2:$B$6,0)),"")="","",IF(B870&gt;=IFERROR(INDEX(parametros!$H$2:$H$6,MATCH(C870,parametros!$B$2:$B$6,0)),""),"Sim","Nao"))))))</f>
        <v/>
      </c>
      <c r="T870" s="156"/>
      <c r="U870" s="214" t="str">
        <f t="shared" si="71"/>
        <v/>
      </c>
      <c r="V870" s="212" t="s">
        <v>50</v>
      </c>
      <c r="W870" s="100" t="s">
        <v>168</v>
      </c>
      <c r="X870" s="100" t="s">
        <v>169</v>
      </c>
      <c r="Y870" s="101" t="s">
        <v>170</v>
      </c>
      <c r="Z870" s="101" t="s">
        <v>171</v>
      </c>
      <c r="AA870" s="101" t="s">
        <v>50</v>
      </c>
      <c r="AB870" s="101" t="s">
        <v>172</v>
      </c>
      <c r="AC870" s="102" t="s">
        <v>173</v>
      </c>
    </row>
    <row r="871" spans="1:29" ht="25.5" customHeight="1" x14ac:dyDescent="0.35">
      <c r="A871" s="392"/>
      <c r="B871" s="393"/>
      <c r="C871" s="99" t="str">
        <f>IF(B871="","",IF(NOT(ISNUMBER(B871)),"DATA_PC invalida",IF(NOT(ISNUMBER(parametros!$C$2)),"Fora dos ciclos",IF(OR(B871&lt;parametros!$C$2,(YEAR(B871)-YEAR(parametros!$C$2))*12+MONTH(B871)-MONTH(parametros!$C$2)&gt;59),"Fora dos ciclos","C"&amp;INT(((YEAR(B871)-YEAR(parametros!$C$2))*12+MONTH(B871)-MONTH(parametros!$C$2))/12)))))</f>
        <v/>
      </c>
      <c r="D871" s="394"/>
      <c r="E871" s="78" t="str">
        <f>IF(C871="","",IFERROR(VLOOKUP(C871,parametros!$A$11:$E$15,5,0),""))</f>
        <v/>
      </c>
      <c r="F871" s="79" t="str">
        <f t="shared" si="67"/>
        <v/>
      </c>
      <c r="G871" s="395"/>
      <c r="H871" s="91">
        <f t="shared" si="68"/>
        <v>0</v>
      </c>
      <c r="I871" s="91" t="str">
        <f t="shared" si="69"/>
        <v/>
      </c>
      <c r="J871" s="91" t="str">
        <f t="shared" si="70"/>
        <v/>
      </c>
      <c r="K871" s="92" t="str">
        <f>IF(AND(A871="",B871="",D871="",G871=""),"",IF(AND(A871&lt;&gt;"",COUNTIF($A$2:$A$5001,A871)&gt;1),"NUMERO_PC duplicado",IF(B871="","DATA_PC vazia",IF(NOT(ISNUMBER(B871)),"DATA_PC invalida",IF(OR(C871="",C871="Fora dos ciclos"),"CICLO_PC nao identificado",IF(OR(D871="",D871=0),"VALOR_PC vazio ou zero",IF(AND(G871&lt;&gt;"Sim",G871&lt;&gt;"Nao",G871&lt;&gt;""),"PC_PAGO_A_CONTRATADA invalido",IF(AND(C871&lt;&gt;"C0",IFERROR(INDEX(parametros!$A$2:$A$6,MATCH(C871,parametros!$B$2:$B$6,0)),"")="Sim",IFERROR(INDEX(parametros!$H$2:$H$6,MATCH(C871,parametros!$B$2:$B$6,0)),"")=""),"INICIO_EFEITO ausente: PC "&amp;A871&amp;" - "&amp;C871,IF(L871="","EFEITO_PC nao calculado: PC "&amp;A871&amp;" - "&amp;C871,"OK")))))))))</f>
        <v/>
      </c>
      <c r="L871" s="92" t="str">
        <f>IF(AND(A871="",B871="",D871="",G871=""),"",IF(OR(B871="",NOT(ISNUMBER(B871)),C871="",C871="Fora dos ciclos"),"",IF(C871="C0","Nao",IF(IFERROR(INDEX(parametros!$A$2:$A$6,MATCH(C871,parametros!$B$2:$B$6,0)),"")&lt;&gt;"Sim","Nao",IF(IFERROR(INDEX(parametros!$H$2:$H$6,MATCH(C871,parametros!$B$2:$B$6,0)),"")="","",IF(B871&gt;=IFERROR(INDEX(parametros!$H$2:$H$6,MATCH(C871,parametros!$B$2:$B$6,0)),""),"Sim","Nao"))))))</f>
        <v/>
      </c>
      <c r="T871" s="156"/>
      <c r="U871" s="214" t="str">
        <f t="shared" si="71"/>
        <v/>
      </c>
      <c r="V871" s="212" t="s">
        <v>50</v>
      </c>
      <c r="W871" s="100" t="s">
        <v>168</v>
      </c>
      <c r="X871" s="100" t="s">
        <v>169</v>
      </c>
      <c r="Y871" s="101" t="s">
        <v>170</v>
      </c>
      <c r="Z871" s="101" t="s">
        <v>171</v>
      </c>
      <c r="AA871" s="101" t="s">
        <v>50</v>
      </c>
      <c r="AB871" s="101" t="s">
        <v>172</v>
      </c>
      <c r="AC871" s="102" t="s">
        <v>173</v>
      </c>
    </row>
    <row r="872" spans="1:29" ht="25.5" customHeight="1" x14ac:dyDescent="0.35">
      <c r="A872" s="392"/>
      <c r="B872" s="393"/>
      <c r="C872" s="99" t="str">
        <f>IF(B872="","",IF(NOT(ISNUMBER(B872)),"DATA_PC invalida",IF(NOT(ISNUMBER(parametros!$C$2)),"Fora dos ciclos",IF(OR(B872&lt;parametros!$C$2,(YEAR(B872)-YEAR(parametros!$C$2))*12+MONTH(B872)-MONTH(parametros!$C$2)&gt;59),"Fora dos ciclos","C"&amp;INT(((YEAR(B872)-YEAR(parametros!$C$2))*12+MONTH(B872)-MONTH(parametros!$C$2))/12)))))</f>
        <v/>
      </c>
      <c r="D872" s="394"/>
      <c r="E872" s="78" t="str">
        <f>IF(C872="","",IFERROR(VLOOKUP(C872,parametros!$A$11:$E$15,5,0),""))</f>
        <v/>
      </c>
      <c r="F872" s="79" t="str">
        <f t="shared" si="67"/>
        <v/>
      </c>
      <c r="G872" s="395"/>
      <c r="H872" s="91">
        <f t="shared" si="68"/>
        <v>0</v>
      </c>
      <c r="I872" s="91" t="str">
        <f t="shared" si="69"/>
        <v/>
      </c>
      <c r="J872" s="91" t="str">
        <f t="shared" si="70"/>
        <v/>
      </c>
      <c r="K872" s="92" t="str">
        <f>IF(AND(A872="",B872="",D872="",G872=""),"",IF(AND(A872&lt;&gt;"",COUNTIF($A$2:$A$5001,A872)&gt;1),"NUMERO_PC duplicado",IF(B872="","DATA_PC vazia",IF(NOT(ISNUMBER(B872)),"DATA_PC invalida",IF(OR(C872="",C872="Fora dos ciclos"),"CICLO_PC nao identificado",IF(OR(D872="",D872=0),"VALOR_PC vazio ou zero",IF(AND(G872&lt;&gt;"Sim",G872&lt;&gt;"Nao",G872&lt;&gt;""),"PC_PAGO_A_CONTRATADA invalido",IF(AND(C872&lt;&gt;"C0",IFERROR(INDEX(parametros!$A$2:$A$6,MATCH(C872,parametros!$B$2:$B$6,0)),"")="Sim",IFERROR(INDEX(parametros!$H$2:$H$6,MATCH(C872,parametros!$B$2:$B$6,0)),"")=""),"INICIO_EFEITO ausente: PC "&amp;A872&amp;" - "&amp;C872,IF(L872="","EFEITO_PC nao calculado: PC "&amp;A872&amp;" - "&amp;C872,"OK")))))))))</f>
        <v/>
      </c>
      <c r="L872" s="92" t="str">
        <f>IF(AND(A872="",B872="",D872="",G872=""),"",IF(OR(B872="",NOT(ISNUMBER(B872)),C872="",C872="Fora dos ciclos"),"",IF(C872="C0","Nao",IF(IFERROR(INDEX(parametros!$A$2:$A$6,MATCH(C872,parametros!$B$2:$B$6,0)),"")&lt;&gt;"Sim","Nao",IF(IFERROR(INDEX(parametros!$H$2:$H$6,MATCH(C872,parametros!$B$2:$B$6,0)),"")="","",IF(B872&gt;=IFERROR(INDEX(parametros!$H$2:$H$6,MATCH(C872,parametros!$B$2:$B$6,0)),""),"Sim","Nao"))))))</f>
        <v/>
      </c>
      <c r="T872" s="156"/>
      <c r="U872" s="214" t="str">
        <f t="shared" si="71"/>
        <v/>
      </c>
      <c r="V872" s="212" t="s">
        <v>50</v>
      </c>
      <c r="W872" s="100" t="s">
        <v>168</v>
      </c>
      <c r="X872" s="100" t="s">
        <v>169</v>
      </c>
      <c r="Y872" s="101" t="s">
        <v>170</v>
      </c>
      <c r="Z872" s="101" t="s">
        <v>171</v>
      </c>
      <c r="AA872" s="101" t="s">
        <v>50</v>
      </c>
      <c r="AB872" s="101" t="s">
        <v>172</v>
      </c>
      <c r="AC872" s="102" t="s">
        <v>173</v>
      </c>
    </row>
    <row r="873" spans="1:29" ht="25.5" customHeight="1" x14ac:dyDescent="0.35">
      <c r="A873" s="392"/>
      <c r="B873" s="393"/>
      <c r="C873" s="99" t="str">
        <f>IF(B873="","",IF(NOT(ISNUMBER(B873)),"DATA_PC invalida",IF(NOT(ISNUMBER(parametros!$C$2)),"Fora dos ciclos",IF(OR(B873&lt;parametros!$C$2,(YEAR(B873)-YEAR(parametros!$C$2))*12+MONTH(B873)-MONTH(parametros!$C$2)&gt;59),"Fora dos ciclos","C"&amp;INT(((YEAR(B873)-YEAR(parametros!$C$2))*12+MONTH(B873)-MONTH(parametros!$C$2))/12)))))</f>
        <v/>
      </c>
      <c r="D873" s="394"/>
      <c r="E873" s="78" t="str">
        <f>IF(C873="","",IFERROR(VLOOKUP(C873,parametros!$A$11:$E$15,5,0),""))</f>
        <v/>
      </c>
      <c r="F873" s="79" t="str">
        <f t="shared" si="67"/>
        <v/>
      </c>
      <c r="G873" s="395"/>
      <c r="H873" s="91">
        <f t="shared" si="68"/>
        <v>0</v>
      </c>
      <c r="I873" s="91" t="str">
        <f t="shared" si="69"/>
        <v/>
      </c>
      <c r="J873" s="91" t="str">
        <f t="shared" si="70"/>
        <v/>
      </c>
      <c r="K873" s="92" t="str">
        <f>IF(AND(A873="",B873="",D873="",G873=""),"",IF(AND(A873&lt;&gt;"",COUNTIF($A$2:$A$5001,A873)&gt;1),"NUMERO_PC duplicado",IF(B873="","DATA_PC vazia",IF(NOT(ISNUMBER(B873)),"DATA_PC invalida",IF(OR(C873="",C873="Fora dos ciclos"),"CICLO_PC nao identificado",IF(OR(D873="",D873=0),"VALOR_PC vazio ou zero",IF(AND(G873&lt;&gt;"Sim",G873&lt;&gt;"Nao",G873&lt;&gt;""),"PC_PAGO_A_CONTRATADA invalido",IF(AND(C873&lt;&gt;"C0",IFERROR(INDEX(parametros!$A$2:$A$6,MATCH(C873,parametros!$B$2:$B$6,0)),"")="Sim",IFERROR(INDEX(parametros!$H$2:$H$6,MATCH(C873,parametros!$B$2:$B$6,0)),"")=""),"INICIO_EFEITO ausente: PC "&amp;A873&amp;" - "&amp;C873,IF(L873="","EFEITO_PC nao calculado: PC "&amp;A873&amp;" - "&amp;C873,"OK")))))))))</f>
        <v/>
      </c>
      <c r="L873" s="92" t="str">
        <f>IF(AND(A873="",B873="",D873="",G873=""),"",IF(OR(B873="",NOT(ISNUMBER(B873)),C873="",C873="Fora dos ciclos"),"",IF(C873="C0","Nao",IF(IFERROR(INDEX(parametros!$A$2:$A$6,MATCH(C873,parametros!$B$2:$B$6,0)),"")&lt;&gt;"Sim","Nao",IF(IFERROR(INDEX(parametros!$H$2:$H$6,MATCH(C873,parametros!$B$2:$B$6,0)),"")="","",IF(B873&gt;=IFERROR(INDEX(parametros!$H$2:$H$6,MATCH(C873,parametros!$B$2:$B$6,0)),""),"Sim","Nao"))))))</f>
        <v/>
      </c>
      <c r="T873" s="156"/>
      <c r="U873" s="214" t="str">
        <f t="shared" si="71"/>
        <v/>
      </c>
      <c r="V873" s="212" t="s">
        <v>50</v>
      </c>
      <c r="W873" s="100" t="s">
        <v>168</v>
      </c>
      <c r="X873" s="100" t="s">
        <v>169</v>
      </c>
      <c r="Y873" s="101" t="s">
        <v>170</v>
      </c>
      <c r="Z873" s="101" t="s">
        <v>171</v>
      </c>
      <c r="AA873" s="101" t="s">
        <v>50</v>
      </c>
      <c r="AB873" s="101" t="s">
        <v>172</v>
      </c>
      <c r="AC873" s="102" t="s">
        <v>173</v>
      </c>
    </row>
    <row r="874" spans="1:29" ht="25.5" customHeight="1" x14ac:dyDescent="0.35">
      <c r="A874" s="392"/>
      <c r="B874" s="393"/>
      <c r="C874" s="99" t="str">
        <f>IF(B874="","",IF(NOT(ISNUMBER(B874)),"DATA_PC invalida",IF(NOT(ISNUMBER(parametros!$C$2)),"Fora dos ciclos",IF(OR(B874&lt;parametros!$C$2,(YEAR(B874)-YEAR(parametros!$C$2))*12+MONTH(B874)-MONTH(parametros!$C$2)&gt;59),"Fora dos ciclos","C"&amp;INT(((YEAR(B874)-YEAR(parametros!$C$2))*12+MONTH(B874)-MONTH(parametros!$C$2))/12)))))</f>
        <v/>
      </c>
      <c r="D874" s="394"/>
      <c r="E874" s="78" t="str">
        <f>IF(C874="","",IFERROR(VLOOKUP(C874,parametros!$A$11:$E$15,5,0),""))</f>
        <v/>
      </c>
      <c r="F874" s="79" t="str">
        <f t="shared" si="67"/>
        <v/>
      </c>
      <c r="G874" s="395"/>
      <c r="H874" s="91">
        <f t="shared" si="68"/>
        <v>0</v>
      </c>
      <c r="I874" s="91" t="str">
        <f t="shared" si="69"/>
        <v/>
      </c>
      <c r="J874" s="91" t="str">
        <f t="shared" si="70"/>
        <v/>
      </c>
      <c r="K874" s="92" t="str">
        <f>IF(AND(A874="",B874="",D874="",G874=""),"",IF(AND(A874&lt;&gt;"",COUNTIF($A$2:$A$5001,A874)&gt;1),"NUMERO_PC duplicado",IF(B874="","DATA_PC vazia",IF(NOT(ISNUMBER(B874)),"DATA_PC invalida",IF(OR(C874="",C874="Fora dos ciclos"),"CICLO_PC nao identificado",IF(OR(D874="",D874=0),"VALOR_PC vazio ou zero",IF(AND(G874&lt;&gt;"Sim",G874&lt;&gt;"Nao",G874&lt;&gt;""),"PC_PAGO_A_CONTRATADA invalido",IF(AND(C874&lt;&gt;"C0",IFERROR(INDEX(parametros!$A$2:$A$6,MATCH(C874,parametros!$B$2:$B$6,0)),"")="Sim",IFERROR(INDEX(parametros!$H$2:$H$6,MATCH(C874,parametros!$B$2:$B$6,0)),"")=""),"INICIO_EFEITO ausente: PC "&amp;A874&amp;" - "&amp;C874,IF(L874="","EFEITO_PC nao calculado: PC "&amp;A874&amp;" - "&amp;C874,"OK")))))))))</f>
        <v/>
      </c>
      <c r="L874" s="92" t="str">
        <f>IF(AND(A874="",B874="",D874="",G874=""),"",IF(OR(B874="",NOT(ISNUMBER(B874)),C874="",C874="Fora dos ciclos"),"",IF(C874="C0","Nao",IF(IFERROR(INDEX(parametros!$A$2:$A$6,MATCH(C874,parametros!$B$2:$B$6,0)),"")&lt;&gt;"Sim","Nao",IF(IFERROR(INDEX(parametros!$H$2:$H$6,MATCH(C874,parametros!$B$2:$B$6,0)),"")="","",IF(B874&gt;=IFERROR(INDEX(parametros!$H$2:$H$6,MATCH(C874,parametros!$B$2:$B$6,0)),""),"Sim","Nao"))))))</f>
        <v/>
      </c>
      <c r="T874" s="156"/>
      <c r="U874" s="214" t="str">
        <f t="shared" si="71"/>
        <v/>
      </c>
      <c r="V874" s="212" t="s">
        <v>50</v>
      </c>
      <c r="W874" s="100" t="s">
        <v>168</v>
      </c>
      <c r="X874" s="100" t="s">
        <v>169</v>
      </c>
      <c r="Y874" s="101" t="s">
        <v>170</v>
      </c>
      <c r="Z874" s="101" t="s">
        <v>171</v>
      </c>
      <c r="AA874" s="101" t="s">
        <v>50</v>
      </c>
      <c r="AB874" s="101" t="s">
        <v>172</v>
      </c>
      <c r="AC874" s="102" t="s">
        <v>173</v>
      </c>
    </row>
    <row r="875" spans="1:29" ht="25.5" customHeight="1" x14ac:dyDescent="0.35">
      <c r="A875" s="392"/>
      <c r="B875" s="393"/>
      <c r="C875" s="99" t="str">
        <f>IF(B875="","",IF(NOT(ISNUMBER(B875)),"DATA_PC invalida",IF(NOT(ISNUMBER(parametros!$C$2)),"Fora dos ciclos",IF(OR(B875&lt;parametros!$C$2,(YEAR(B875)-YEAR(parametros!$C$2))*12+MONTH(B875)-MONTH(parametros!$C$2)&gt;59),"Fora dos ciclos","C"&amp;INT(((YEAR(B875)-YEAR(parametros!$C$2))*12+MONTH(B875)-MONTH(parametros!$C$2))/12)))))</f>
        <v/>
      </c>
      <c r="D875" s="394"/>
      <c r="E875" s="78" t="str">
        <f>IF(C875="","",IFERROR(VLOOKUP(C875,parametros!$A$11:$E$15,5,0),""))</f>
        <v/>
      </c>
      <c r="F875" s="79" t="str">
        <f t="shared" si="67"/>
        <v/>
      </c>
      <c r="G875" s="395"/>
      <c r="H875" s="91">
        <f t="shared" si="68"/>
        <v>0</v>
      </c>
      <c r="I875" s="91" t="str">
        <f t="shared" si="69"/>
        <v/>
      </c>
      <c r="J875" s="91" t="str">
        <f t="shared" si="70"/>
        <v/>
      </c>
      <c r="K875" s="92" t="str">
        <f>IF(AND(A875="",B875="",D875="",G875=""),"",IF(AND(A875&lt;&gt;"",COUNTIF($A$2:$A$5001,A875)&gt;1),"NUMERO_PC duplicado",IF(B875="","DATA_PC vazia",IF(NOT(ISNUMBER(B875)),"DATA_PC invalida",IF(OR(C875="",C875="Fora dos ciclos"),"CICLO_PC nao identificado",IF(OR(D875="",D875=0),"VALOR_PC vazio ou zero",IF(AND(G875&lt;&gt;"Sim",G875&lt;&gt;"Nao",G875&lt;&gt;""),"PC_PAGO_A_CONTRATADA invalido",IF(AND(C875&lt;&gt;"C0",IFERROR(INDEX(parametros!$A$2:$A$6,MATCH(C875,parametros!$B$2:$B$6,0)),"")="Sim",IFERROR(INDEX(parametros!$H$2:$H$6,MATCH(C875,parametros!$B$2:$B$6,0)),"")=""),"INICIO_EFEITO ausente: PC "&amp;A875&amp;" - "&amp;C875,IF(L875="","EFEITO_PC nao calculado: PC "&amp;A875&amp;" - "&amp;C875,"OK")))))))))</f>
        <v/>
      </c>
      <c r="L875" s="92" t="str">
        <f>IF(AND(A875="",B875="",D875="",G875=""),"",IF(OR(B875="",NOT(ISNUMBER(B875)),C875="",C875="Fora dos ciclos"),"",IF(C875="C0","Nao",IF(IFERROR(INDEX(parametros!$A$2:$A$6,MATCH(C875,parametros!$B$2:$B$6,0)),"")&lt;&gt;"Sim","Nao",IF(IFERROR(INDEX(parametros!$H$2:$H$6,MATCH(C875,parametros!$B$2:$B$6,0)),"")="","",IF(B875&gt;=IFERROR(INDEX(parametros!$H$2:$H$6,MATCH(C875,parametros!$B$2:$B$6,0)),""),"Sim","Nao"))))))</f>
        <v/>
      </c>
      <c r="T875" s="156"/>
      <c r="U875" s="214" t="str">
        <f t="shared" si="71"/>
        <v/>
      </c>
      <c r="V875" s="212" t="s">
        <v>50</v>
      </c>
      <c r="W875" s="100" t="s">
        <v>168</v>
      </c>
      <c r="X875" s="100" t="s">
        <v>169</v>
      </c>
      <c r="Y875" s="101" t="s">
        <v>170</v>
      </c>
      <c r="Z875" s="101" t="s">
        <v>171</v>
      </c>
      <c r="AA875" s="101" t="s">
        <v>50</v>
      </c>
      <c r="AB875" s="101" t="s">
        <v>172</v>
      </c>
      <c r="AC875" s="102" t="s">
        <v>173</v>
      </c>
    </row>
    <row r="876" spans="1:29" ht="25.5" customHeight="1" x14ac:dyDescent="0.35">
      <c r="A876" s="392"/>
      <c r="B876" s="393"/>
      <c r="C876" s="99" t="str">
        <f>IF(B876="","",IF(NOT(ISNUMBER(B876)),"DATA_PC invalida",IF(NOT(ISNUMBER(parametros!$C$2)),"Fora dos ciclos",IF(OR(B876&lt;parametros!$C$2,(YEAR(B876)-YEAR(parametros!$C$2))*12+MONTH(B876)-MONTH(parametros!$C$2)&gt;59),"Fora dos ciclos","C"&amp;INT(((YEAR(B876)-YEAR(parametros!$C$2))*12+MONTH(B876)-MONTH(parametros!$C$2))/12)))))</f>
        <v/>
      </c>
      <c r="D876" s="394"/>
      <c r="E876" s="78" t="str">
        <f>IF(C876="","",IFERROR(VLOOKUP(C876,parametros!$A$11:$E$15,5,0),""))</f>
        <v/>
      </c>
      <c r="F876" s="79" t="str">
        <f t="shared" si="67"/>
        <v/>
      </c>
      <c r="G876" s="395"/>
      <c r="H876" s="91">
        <f t="shared" si="68"/>
        <v>0</v>
      </c>
      <c r="I876" s="91" t="str">
        <f t="shared" si="69"/>
        <v/>
      </c>
      <c r="J876" s="91" t="str">
        <f t="shared" si="70"/>
        <v/>
      </c>
      <c r="K876" s="92" t="str">
        <f>IF(AND(A876="",B876="",D876="",G876=""),"",IF(AND(A876&lt;&gt;"",COUNTIF($A$2:$A$5001,A876)&gt;1),"NUMERO_PC duplicado",IF(B876="","DATA_PC vazia",IF(NOT(ISNUMBER(B876)),"DATA_PC invalida",IF(OR(C876="",C876="Fora dos ciclos"),"CICLO_PC nao identificado",IF(OR(D876="",D876=0),"VALOR_PC vazio ou zero",IF(AND(G876&lt;&gt;"Sim",G876&lt;&gt;"Nao",G876&lt;&gt;""),"PC_PAGO_A_CONTRATADA invalido",IF(AND(C876&lt;&gt;"C0",IFERROR(INDEX(parametros!$A$2:$A$6,MATCH(C876,parametros!$B$2:$B$6,0)),"")="Sim",IFERROR(INDEX(parametros!$H$2:$H$6,MATCH(C876,parametros!$B$2:$B$6,0)),"")=""),"INICIO_EFEITO ausente: PC "&amp;A876&amp;" - "&amp;C876,IF(L876="","EFEITO_PC nao calculado: PC "&amp;A876&amp;" - "&amp;C876,"OK")))))))))</f>
        <v/>
      </c>
      <c r="L876" s="92" t="str">
        <f>IF(AND(A876="",B876="",D876="",G876=""),"",IF(OR(B876="",NOT(ISNUMBER(B876)),C876="",C876="Fora dos ciclos"),"",IF(C876="C0","Nao",IF(IFERROR(INDEX(parametros!$A$2:$A$6,MATCH(C876,parametros!$B$2:$B$6,0)),"")&lt;&gt;"Sim","Nao",IF(IFERROR(INDEX(parametros!$H$2:$H$6,MATCH(C876,parametros!$B$2:$B$6,0)),"")="","",IF(B876&gt;=IFERROR(INDEX(parametros!$H$2:$H$6,MATCH(C876,parametros!$B$2:$B$6,0)),""),"Sim","Nao"))))))</f>
        <v/>
      </c>
      <c r="T876" s="156"/>
      <c r="U876" s="214" t="str">
        <f t="shared" si="71"/>
        <v/>
      </c>
      <c r="V876" s="212" t="s">
        <v>50</v>
      </c>
      <c r="W876" s="100" t="s">
        <v>168</v>
      </c>
      <c r="X876" s="100" t="s">
        <v>169</v>
      </c>
      <c r="Y876" s="101" t="s">
        <v>170</v>
      </c>
      <c r="Z876" s="101" t="s">
        <v>171</v>
      </c>
      <c r="AA876" s="101" t="s">
        <v>50</v>
      </c>
      <c r="AB876" s="101" t="s">
        <v>172</v>
      </c>
      <c r="AC876" s="102" t="s">
        <v>173</v>
      </c>
    </row>
    <row r="877" spans="1:29" ht="25.5" customHeight="1" x14ac:dyDescent="0.35">
      <c r="A877" s="392"/>
      <c r="B877" s="393"/>
      <c r="C877" s="99" t="str">
        <f>IF(B877="","",IF(NOT(ISNUMBER(B877)),"DATA_PC invalida",IF(NOT(ISNUMBER(parametros!$C$2)),"Fora dos ciclos",IF(OR(B877&lt;parametros!$C$2,(YEAR(B877)-YEAR(parametros!$C$2))*12+MONTH(B877)-MONTH(parametros!$C$2)&gt;59),"Fora dos ciclos","C"&amp;INT(((YEAR(B877)-YEAR(parametros!$C$2))*12+MONTH(B877)-MONTH(parametros!$C$2))/12)))))</f>
        <v/>
      </c>
      <c r="D877" s="394"/>
      <c r="E877" s="78" t="str">
        <f>IF(C877="","",IFERROR(VLOOKUP(C877,parametros!$A$11:$E$15,5,0),""))</f>
        <v/>
      </c>
      <c r="F877" s="79" t="str">
        <f t="shared" si="67"/>
        <v/>
      </c>
      <c r="G877" s="395"/>
      <c r="H877" s="91">
        <f t="shared" si="68"/>
        <v>0</v>
      </c>
      <c r="I877" s="91" t="str">
        <f t="shared" si="69"/>
        <v/>
      </c>
      <c r="J877" s="91" t="str">
        <f t="shared" si="70"/>
        <v/>
      </c>
      <c r="K877" s="92" t="str">
        <f>IF(AND(A877="",B877="",D877="",G877=""),"",IF(AND(A877&lt;&gt;"",COUNTIF($A$2:$A$5001,A877)&gt;1),"NUMERO_PC duplicado",IF(B877="","DATA_PC vazia",IF(NOT(ISNUMBER(B877)),"DATA_PC invalida",IF(OR(C877="",C877="Fora dos ciclos"),"CICLO_PC nao identificado",IF(OR(D877="",D877=0),"VALOR_PC vazio ou zero",IF(AND(G877&lt;&gt;"Sim",G877&lt;&gt;"Nao",G877&lt;&gt;""),"PC_PAGO_A_CONTRATADA invalido",IF(AND(C877&lt;&gt;"C0",IFERROR(INDEX(parametros!$A$2:$A$6,MATCH(C877,parametros!$B$2:$B$6,0)),"")="Sim",IFERROR(INDEX(parametros!$H$2:$H$6,MATCH(C877,parametros!$B$2:$B$6,0)),"")=""),"INICIO_EFEITO ausente: PC "&amp;A877&amp;" - "&amp;C877,IF(L877="","EFEITO_PC nao calculado: PC "&amp;A877&amp;" - "&amp;C877,"OK")))))))))</f>
        <v/>
      </c>
      <c r="L877" s="92" t="str">
        <f>IF(AND(A877="",B877="",D877="",G877=""),"",IF(OR(B877="",NOT(ISNUMBER(B877)),C877="",C877="Fora dos ciclos"),"",IF(C877="C0","Nao",IF(IFERROR(INDEX(parametros!$A$2:$A$6,MATCH(C877,parametros!$B$2:$B$6,0)),"")&lt;&gt;"Sim","Nao",IF(IFERROR(INDEX(parametros!$H$2:$H$6,MATCH(C877,parametros!$B$2:$B$6,0)),"")="","",IF(B877&gt;=IFERROR(INDEX(parametros!$H$2:$H$6,MATCH(C877,parametros!$B$2:$B$6,0)),""),"Sim","Nao"))))))</f>
        <v/>
      </c>
      <c r="T877" s="156"/>
      <c r="U877" s="214" t="str">
        <f t="shared" si="71"/>
        <v/>
      </c>
      <c r="V877" s="212" t="s">
        <v>50</v>
      </c>
      <c r="W877" s="100" t="s">
        <v>168</v>
      </c>
      <c r="X877" s="100" t="s">
        <v>169</v>
      </c>
      <c r="Y877" s="101" t="s">
        <v>170</v>
      </c>
      <c r="Z877" s="101" t="s">
        <v>171</v>
      </c>
      <c r="AA877" s="101" t="s">
        <v>50</v>
      </c>
      <c r="AB877" s="101" t="s">
        <v>172</v>
      </c>
      <c r="AC877" s="102" t="s">
        <v>173</v>
      </c>
    </row>
    <row r="878" spans="1:29" ht="25.5" customHeight="1" x14ac:dyDescent="0.35">
      <c r="A878" s="392"/>
      <c r="B878" s="393"/>
      <c r="C878" s="99" t="str">
        <f>IF(B878="","",IF(NOT(ISNUMBER(B878)),"DATA_PC invalida",IF(NOT(ISNUMBER(parametros!$C$2)),"Fora dos ciclos",IF(OR(B878&lt;parametros!$C$2,(YEAR(B878)-YEAR(parametros!$C$2))*12+MONTH(B878)-MONTH(parametros!$C$2)&gt;59),"Fora dos ciclos","C"&amp;INT(((YEAR(B878)-YEAR(parametros!$C$2))*12+MONTH(B878)-MONTH(parametros!$C$2))/12)))))</f>
        <v/>
      </c>
      <c r="D878" s="394"/>
      <c r="E878" s="78" t="str">
        <f>IF(C878="","",IFERROR(VLOOKUP(C878,parametros!$A$11:$E$15,5,0),""))</f>
        <v/>
      </c>
      <c r="F878" s="79" t="str">
        <f t="shared" si="67"/>
        <v/>
      </c>
      <c r="G878" s="395"/>
      <c r="H878" s="91">
        <f t="shared" si="68"/>
        <v>0</v>
      </c>
      <c r="I878" s="91" t="str">
        <f t="shared" si="69"/>
        <v/>
      </c>
      <c r="J878" s="91" t="str">
        <f t="shared" si="70"/>
        <v/>
      </c>
      <c r="K878" s="92" t="str">
        <f>IF(AND(A878="",B878="",D878="",G878=""),"",IF(AND(A878&lt;&gt;"",COUNTIF($A$2:$A$5001,A878)&gt;1),"NUMERO_PC duplicado",IF(B878="","DATA_PC vazia",IF(NOT(ISNUMBER(B878)),"DATA_PC invalida",IF(OR(C878="",C878="Fora dos ciclos"),"CICLO_PC nao identificado",IF(OR(D878="",D878=0),"VALOR_PC vazio ou zero",IF(AND(G878&lt;&gt;"Sim",G878&lt;&gt;"Nao",G878&lt;&gt;""),"PC_PAGO_A_CONTRATADA invalido",IF(AND(C878&lt;&gt;"C0",IFERROR(INDEX(parametros!$A$2:$A$6,MATCH(C878,parametros!$B$2:$B$6,0)),"")="Sim",IFERROR(INDEX(parametros!$H$2:$H$6,MATCH(C878,parametros!$B$2:$B$6,0)),"")=""),"INICIO_EFEITO ausente: PC "&amp;A878&amp;" - "&amp;C878,IF(L878="","EFEITO_PC nao calculado: PC "&amp;A878&amp;" - "&amp;C878,"OK")))))))))</f>
        <v/>
      </c>
      <c r="L878" s="92" t="str">
        <f>IF(AND(A878="",B878="",D878="",G878=""),"",IF(OR(B878="",NOT(ISNUMBER(B878)),C878="",C878="Fora dos ciclos"),"",IF(C878="C0","Nao",IF(IFERROR(INDEX(parametros!$A$2:$A$6,MATCH(C878,parametros!$B$2:$B$6,0)),"")&lt;&gt;"Sim","Nao",IF(IFERROR(INDEX(parametros!$H$2:$H$6,MATCH(C878,parametros!$B$2:$B$6,0)),"")="","",IF(B878&gt;=IFERROR(INDEX(parametros!$H$2:$H$6,MATCH(C878,parametros!$B$2:$B$6,0)),""),"Sim","Nao"))))))</f>
        <v/>
      </c>
      <c r="T878" s="156"/>
      <c r="U878" s="214" t="str">
        <f t="shared" si="71"/>
        <v/>
      </c>
      <c r="V878" s="212" t="s">
        <v>50</v>
      </c>
      <c r="W878" s="100" t="s">
        <v>168</v>
      </c>
      <c r="X878" s="100" t="s">
        <v>169</v>
      </c>
      <c r="Y878" s="101" t="s">
        <v>170</v>
      </c>
      <c r="Z878" s="101" t="s">
        <v>171</v>
      </c>
      <c r="AA878" s="101" t="s">
        <v>50</v>
      </c>
      <c r="AB878" s="101" t="s">
        <v>172</v>
      </c>
      <c r="AC878" s="102" t="s">
        <v>173</v>
      </c>
    </row>
    <row r="879" spans="1:29" ht="25.5" customHeight="1" x14ac:dyDescent="0.35">
      <c r="A879" s="392"/>
      <c r="B879" s="393"/>
      <c r="C879" s="99" t="str">
        <f>IF(B879="","",IF(NOT(ISNUMBER(B879)),"DATA_PC invalida",IF(NOT(ISNUMBER(parametros!$C$2)),"Fora dos ciclos",IF(OR(B879&lt;parametros!$C$2,(YEAR(B879)-YEAR(parametros!$C$2))*12+MONTH(B879)-MONTH(parametros!$C$2)&gt;59),"Fora dos ciclos","C"&amp;INT(((YEAR(B879)-YEAR(parametros!$C$2))*12+MONTH(B879)-MONTH(parametros!$C$2))/12)))))</f>
        <v/>
      </c>
      <c r="D879" s="394"/>
      <c r="E879" s="78" t="str">
        <f>IF(C879="","",IFERROR(VLOOKUP(C879,parametros!$A$11:$E$15,5,0),""))</f>
        <v/>
      </c>
      <c r="F879" s="79" t="str">
        <f t="shared" si="67"/>
        <v/>
      </c>
      <c r="G879" s="395"/>
      <c r="H879" s="91">
        <f t="shared" si="68"/>
        <v>0</v>
      </c>
      <c r="I879" s="91" t="str">
        <f t="shared" si="69"/>
        <v/>
      </c>
      <c r="J879" s="91" t="str">
        <f t="shared" si="70"/>
        <v/>
      </c>
      <c r="K879" s="92" t="str">
        <f>IF(AND(A879="",B879="",D879="",G879=""),"",IF(AND(A879&lt;&gt;"",COUNTIF($A$2:$A$5001,A879)&gt;1),"NUMERO_PC duplicado",IF(B879="","DATA_PC vazia",IF(NOT(ISNUMBER(B879)),"DATA_PC invalida",IF(OR(C879="",C879="Fora dos ciclos"),"CICLO_PC nao identificado",IF(OR(D879="",D879=0),"VALOR_PC vazio ou zero",IF(AND(G879&lt;&gt;"Sim",G879&lt;&gt;"Nao",G879&lt;&gt;""),"PC_PAGO_A_CONTRATADA invalido",IF(AND(C879&lt;&gt;"C0",IFERROR(INDEX(parametros!$A$2:$A$6,MATCH(C879,parametros!$B$2:$B$6,0)),"")="Sim",IFERROR(INDEX(parametros!$H$2:$H$6,MATCH(C879,parametros!$B$2:$B$6,0)),"")=""),"INICIO_EFEITO ausente: PC "&amp;A879&amp;" - "&amp;C879,IF(L879="","EFEITO_PC nao calculado: PC "&amp;A879&amp;" - "&amp;C879,"OK")))))))))</f>
        <v/>
      </c>
      <c r="L879" s="92" t="str">
        <f>IF(AND(A879="",B879="",D879="",G879=""),"",IF(OR(B879="",NOT(ISNUMBER(B879)),C879="",C879="Fora dos ciclos"),"",IF(C879="C0","Nao",IF(IFERROR(INDEX(parametros!$A$2:$A$6,MATCH(C879,parametros!$B$2:$B$6,0)),"")&lt;&gt;"Sim","Nao",IF(IFERROR(INDEX(parametros!$H$2:$H$6,MATCH(C879,parametros!$B$2:$B$6,0)),"")="","",IF(B879&gt;=IFERROR(INDEX(parametros!$H$2:$H$6,MATCH(C879,parametros!$B$2:$B$6,0)),""),"Sim","Nao"))))))</f>
        <v/>
      </c>
      <c r="T879" s="156"/>
      <c r="U879" s="214" t="str">
        <f t="shared" si="71"/>
        <v/>
      </c>
      <c r="V879" s="212" t="s">
        <v>50</v>
      </c>
      <c r="W879" s="100" t="s">
        <v>168</v>
      </c>
      <c r="X879" s="100" t="s">
        <v>169</v>
      </c>
      <c r="Y879" s="101" t="s">
        <v>170</v>
      </c>
      <c r="Z879" s="101" t="s">
        <v>171</v>
      </c>
      <c r="AA879" s="101" t="s">
        <v>50</v>
      </c>
      <c r="AB879" s="101" t="s">
        <v>172</v>
      </c>
      <c r="AC879" s="102" t="s">
        <v>173</v>
      </c>
    </row>
    <row r="880" spans="1:29" ht="25.5" customHeight="1" x14ac:dyDescent="0.35">
      <c r="A880" s="392"/>
      <c r="B880" s="393"/>
      <c r="C880" s="99" t="str">
        <f>IF(B880="","",IF(NOT(ISNUMBER(B880)),"DATA_PC invalida",IF(NOT(ISNUMBER(parametros!$C$2)),"Fora dos ciclos",IF(OR(B880&lt;parametros!$C$2,(YEAR(B880)-YEAR(parametros!$C$2))*12+MONTH(B880)-MONTH(parametros!$C$2)&gt;59),"Fora dos ciclos","C"&amp;INT(((YEAR(B880)-YEAR(parametros!$C$2))*12+MONTH(B880)-MONTH(parametros!$C$2))/12)))))</f>
        <v/>
      </c>
      <c r="D880" s="394"/>
      <c r="E880" s="78" t="str">
        <f>IF(C880="","",IFERROR(VLOOKUP(C880,parametros!$A$11:$E$15,5,0),""))</f>
        <v/>
      </c>
      <c r="F880" s="79" t="str">
        <f t="shared" si="67"/>
        <v/>
      </c>
      <c r="G880" s="395"/>
      <c r="H880" s="91">
        <f t="shared" si="68"/>
        <v>0</v>
      </c>
      <c r="I880" s="91" t="str">
        <f t="shared" si="69"/>
        <v/>
      </c>
      <c r="J880" s="91" t="str">
        <f t="shared" si="70"/>
        <v/>
      </c>
      <c r="K880" s="92" t="str">
        <f>IF(AND(A880="",B880="",D880="",G880=""),"",IF(AND(A880&lt;&gt;"",COUNTIF($A$2:$A$5001,A880)&gt;1),"NUMERO_PC duplicado",IF(B880="","DATA_PC vazia",IF(NOT(ISNUMBER(B880)),"DATA_PC invalida",IF(OR(C880="",C880="Fora dos ciclos"),"CICLO_PC nao identificado",IF(OR(D880="",D880=0),"VALOR_PC vazio ou zero",IF(AND(G880&lt;&gt;"Sim",G880&lt;&gt;"Nao",G880&lt;&gt;""),"PC_PAGO_A_CONTRATADA invalido",IF(AND(C880&lt;&gt;"C0",IFERROR(INDEX(parametros!$A$2:$A$6,MATCH(C880,parametros!$B$2:$B$6,0)),"")="Sim",IFERROR(INDEX(parametros!$H$2:$H$6,MATCH(C880,parametros!$B$2:$B$6,0)),"")=""),"INICIO_EFEITO ausente: PC "&amp;A880&amp;" - "&amp;C880,IF(L880="","EFEITO_PC nao calculado: PC "&amp;A880&amp;" - "&amp;C880,"OK")))))))))</f>
        <v/>
      </c>
      <c r="L880" s="92" t="str">
        <f>IF(AND(A880="",B880="",D880="",G880=""),"",IF(OR(B880="",NOT(ISNUMBER(B880)),C880="",C880="Fora dos ciclos"),"",IF(C880="C0","Nao",IF(IFERROR(INDEX(parametros!$A$2:$A$6,MATCH(C880,parametros!$B$2:$B$6,0)),"")&lt;&gt;"Sim","Nao",IF(IFERROR(INDEX(parametros!$H$2:$H$6,MATCH(C880,parametros!$B$2:$B$6,0)),"")="","",IF(B880&gt;=IFERROR(INDEX(parametros!$H$2:$H$6,MATCH(C880,parametros!$B$2:$B$6,0)),""),"Sim","Nao"))))))</f>
        <v/>
      </c>
      <c r="T880" s="156"/>
      <c r="U880" s="214" t="str">
        <f t="shared" si="71"/>
        <v/>
      </c>
      <c r="V880" s="212" t="s">
        <v>50</v>
      </c>
      <c r="W880" s="100" t="s">
        <v>168</v>
      </c>
      <c r="X880" s="100" t="s">
        <v>169</v>
      </c>
      <c r="Y880" s="101" t="s">
        <v>170</v>
      </c>
      <c r="Z880" s="101" t="s">
        <v>171</v>
      </c>
      <c r="AA880" s="101" t="s">
        <v>50</v>
      </c>
      <c r="AB880" s="101" t="s">
        <v>172</v>
      </c>
      <c r="AC880" s="102" t="s">
        <v>173</v>
      </c>
    </row>
    <row r="881" spans="1:29" ht="25.5" customHeight="1" x14ac:dyDescent="0.35">
      <c r="A881" s="392"/>
      <c r="B881" s="393"/>
      <c r="C881" s="99" t="str">
        <f>IF(B881="","",IF(NOT(ISNUMBER(B881)),"DATA_PC invalida",IF(NOT(ISNUMBER(parametros!$C$2)),"Fora dos ciclos",IF(OR(B881&lt;parametros!$C$2,(YEAR(B881)-YEAR(parametros!$C$2))*12+MONTH(B881)-MONTH(parametros!$C$2)&gt;59),"Fora dos ciclos","C"&amp;INT(((YEAR(B881)-YEAR(parametros!$C$2))*12+MONTH(B881)-MONTH(parametros!$C$2))/12)))))</f>
        <v/>
      </c>
      <c r="D881" s="394"/>
      <c r="E881" s="78" t="str">
        <f>IF(C881="","",IFERROR(VLOOKUP(C881,parametros!$A$11:$E$15,5,0),""))</f>
        <v/>
      </c>
      <c r="F881" s="79" t="str">
        <f t="shared" si="67"/>
        <v/>
      </c>
      <c r="G881" s="395"/>
      <c r="H881" s="91">
        <f t="shared" si="68"/>
        <v>0</v>
      </c>
      <c r="I881" s="91" t="str">
        <f t="shared" si="69"/>
        <v/>
      </c>
      <c r="J881" s="91" t="str">
        <f t="shared" si="70"/>
        <v/>
      </c>
      <c r="K881" s="92" t="str">
        <f>IF(AND(A881="",B881="",D881="",G881=""),"",IF(AND(A881&lt;&gt;"",COUNTIF($A$2:$A$5001,A881)&gt;1),"NUMERO_PC duplicado",IF(B881="","DATA_PC vazia",IF(NOT(ISNUMBER(B881)),"DATA_PC invalida",IF(OR(C881="",C881="Fora dos ciclos"),"CICLO_PC nao identificado",IF(OR(D881="",D881=0),"VALOR_PC vazio ou zero",IF(AND(G881&lt;&gt;"Sim",G881&lt;&gt;"Nao",G881&lt;&gt;""),"PC_PAGO_A_CONTRATADA invalido",IF(AND(C881&lt;&gt;"C0",IFERROR(INDEX(parametros!$A$2:$A$6,MATCH(C881,parametros!$B$2:$B$6,0)),"")="Sim",IFERROR(INDEX(parametros!$H$2:$H$6,MATCH(C881,parametros!$B$2:$B$6,0)),"")=""),"INICIO_EFEITO ausente: PC "&amp;A881&amp;" - "&amp;C881,IF(L881="","EFEITO_PC nao calculado: PC "&amp;A881&amp;" - "&amp;C881,"OK")))))))))</f>
        <v/>
      </c>
      <c r="L881" s="92" t="str">
        <f>IF(AND(A881="",B881="",D881="",G881=""),"",IF(OR(B881="",NOT(ISNUMBER(B881)),C881="",C881="Fora dos ciclos"),"",IF(C881="C0","Nao",IF(IFERROR(INDEX(parametros!$A$2:$A$6,MATCH(C881,parametros!$B$2:$B$6,0)),"")&lt;&gt;"Sim","Nao",IF(IFERROR(INDEX(parametros!$H$2:$H$6,MATCH(C881,parametros!$B$2:$B$6,0)),"")="","",IF(B881&gt;=IFERROR(INDEX(parametros!$H$2:$H$6,MATCH(C881,parametros!$B$2:$B$6,0)),""),"Sim","Nao"))))))</f>
        <v/>
      </c>
      <c r="T881" s="156"/>
      <c r="U881" s="214" t="str">
        <f t="shared" si="71"/>
        <v/>
      </c>
      <c r="V881" s="212" t="s">
        <v>50</v>
      </c>
      <c r="W881" s="100" t="s">
        <v>168</v>
      </c>
      <c r="X881" s="100" t="s">
        <v>169</v>
      </c>
      <c r="Y881" s="101" t="s">
        <v>170</v>
      </c>
      <c r="Z881" s="101" t="s">
        <v>171</v>
      </c>
      <c r="AA881" s="101" t="s">
        <v>50</v>
      </c>
      <c r="AB881" s="101" t="s">
        <v>172</v>
      </c>
      <c r="AC881" s="102" t="s">
        <v>173</v>
      </c>
    </row>
    <row r="882" spans="1:29" ht="25.5" customHeight="1" x14ac:dyDescent="0.35">
      <c r="A882" s="392"/>
      <c r="B882" s="393"/>
      <c r="C882" s="99" t="str">
        <f>IF(B882="","",IF(NOT(ISNUMBER(B882)),"DATA_PC invalida",IF(NOT(ISNUMBER(parametros!$C$2)),"Fora dos ciclos",IF(OR(B882&lt;parametros!$C$2,(YEAR(B882)-YEAR(parametros!$C$2))*12+MONTH(B882)-MONTH(parametros!$C$2)&gt;59),"Fora dos ciclos","C"&amp;INT(((YEAR(B882)-YEAR(parametros!$C$2))*12+MONTH(B882)-MONTH(parametros!$C$2))/12)))))</f>
        <v/>
      </c>
      <c r="D882" s="394"/>
      <c r="E882" s="78" t="str">
        <f>IF(C882="","",IFERROR(VLOOKUP(C882,parametros!$A$11:$E$15,5,0),""))</f>
        <v/>
      </c>
      <c r="F882" s="79" t="str">
        <f t="shared" si="67"/>
        <v/>
      </c>
      <c r="G882" s="395"/>
      <c r="H882" s="91">
        <f t="shared" si="68"/>
        <v>0</v>
      </c>
      <c r="I882" s="91" t="str">
        <f t="shared" si="69"/>
        <v/>
      </c>
      <c r="J882" s="91" t="str">
        <f t="shared" si="70"/>
        <v/>
      </c>
      <c r="K882" s="92" t="str">
        <f>IF(AND(A882="",B882="",D882="",G882=""),"",IF(AND(A882&lt;&gt;"",COUNTIF($A$2:$A$5001,A882)&gt;1),"NUMERO_PC duplicado",IF(B882="","DATA_PC vazia",IF(NOT(ISNUMBER(B882)),"DATA_PC invalida",IF(OR(C882="",C882="Fora dos ciclos"),"CICLO_PC nao identificado",IF(OR(D882="",D882=0),"VALOR_PC vazio ou zero",IF(AND(G882&lt;&gt;"Sim",G882&lt;&gt;"Nao",G882&lt;&gt;""),"PC_PAGO_A_CONTRATADA invalido",IF(AND(C882&lt;&gt;"C0",IFERROR(INDEX(parametros!$A$2:$A$6,MATCH(C882,parametros!$B$2:$B$6,0)),"")="Sim",IFERROR(INDEX(parametros!$H$2:$H$6,MATCH(C882,parametros!$B$2:$B$6,0)),"")=""),"INICIO_EFEITO ausente: PC "&amp;A882&amp;" - "&amp;C882,IF(L882="","EFEITO_PC nao calculado: PC "&amp;A882&amp;" - "&amp;C882,"OK")))))))))</f>
        <v/>
      </c>
      <c r="L882" s="92" t="str">
        <f>IF(AND(A882="",B882="",D882="",G882=""),"",IF(OR(B882="",NOT(ISNUMBER(B882)),C882="",C882="Fora dos ciclos"),"",IF(C882="C0","Nao",IF(IFERROR(INDEX(parametros!$A$2:$A$6,MATCH(C882,parametros!$B$2:$B$6,0)),"")&lt;&gt;"Sim","Nao",IF(IFERROR(INDEX(parametros!$H$2:$H$6,MATCH(C882,parametros!$B$2:$B$6,0)),"")="","",IF(B882&gt;=IFERROR(INDEX(parametros!$H$2:$H$6,MATCH(C882,parametros!$B$2:$B$6,0)),""),"Sim","Nao"))))))</f>
        <v/>
      </c>
      <c r="T882" s="156"/>
      <c r="U882" s="214" t="str">
        <f t="shared" si="71"/>
        <v/>
      </c>
      <c r="V882" s="212" t="s">
        <v>50</v>
      </c>
      <c r="W882" s="100" t="s">
        <v>168</v>
      </c>
      <c r="X882" s="100" t="s">
        <v>169</v>
      </c>
      <c r="Y882" s="101" t="s">
        <v>170</v>
      </c>
      <c r="Z882" s="101" t="s">
        <v>171</v>
      </c>
      <c r="AA882" s="101" t="s">
        <v>50</v>
      </c>
      <c r="AB882" s="101" t="s">
        <v>172</v>
      </c>
      <c r="AC882" s="102" t="s">
        <v>173</v>
      </c>
    </row>
    <row r="883" spans="1:29" ht="25.5" customHeight="1" x14ac:dyDescent="0.35">
      <c r="A883" s="392"/>
      <c r="B883" s="393"/>
      <c r="C883" s="99" t="str">
        <f>IF(B883="","",IF(NOT(ISNUMBER(B883)),"DATA_PC invalida",IF(NOT(ISNUMBER(parametros!$C$2)),"Fora dos ciclos",IF(OR(B883&lt;parametros!$C$2,(YEAR(B883)-YEAR(parametros!$C$2))*12+MONTH(B883)-MONTH(parametros!$C$2)&gt;59),"Fora dos ciclos","C"&amp;INT(((YEAR(B883)-YEAR(parametros!$C$2))*12+MONTH(B883)-MONTH(parametros!$C$2))/12)))))</f>
        <v/>
      </c>
      <c r="D883" s="394"/>
      <c r="E883" s="78" t="str">
        <f>IF(C883="","",IFERROR(VLOOKUP(C883,parametros!$A$11:$E$15,5,0),""))</f>
        <v/>
      </c>
      <c r="F883" s="79" t="str">
        <f t="shared" si="67"/>
        <v/>
      </c>
      <c r="G883" s="395"/>
      <c r="H883" s="91">
        <f t="shared" si="68"/>
        <v>0</v>
      </c>
      <c r="I883" s="91" t="str">
        <f t="shared" si="69"/>
        <v/>
      </c>
      <c r="J883" s="91" t="str">
        <f t="shared" si="70"/>
        <v/>
      </c>
      <c r="K883" s="92" t="str">
        <f>IF(AND(A883="",B883="",D883="",G883=""),"",IF(AND(A883&lt;&gt;"",COUNTIF($A$2:$A$5001,A883)&gt;1),"NUMERO_PC duplicado",IF(B883="","DATA_PC vazia",IF(NOT(ISNUMBER(B883)),"DATA_PC invalida",IF(OR(C883="",C883="Fora dos ciclos"),"CICLO_PC nao identificado",IF(OR(D883="",D883=0),"VALOR_PC vazio ou zero",IF(AND(G883&lt;&gt;"Sim",G883&lt;&gt;"Nao",G883&lt;&gt;""),"PC_PAGO_A_CONTRATADA invalido",IF(AND(C883&lt;&gt;"C0",IFERROR(INDEX(parametros!$A$2:$A$6,MATCH(C883,parametros!$B$2:$B$6,0)),"")="Sim",IFERROR(INDEX(parametros!$H$2:$H$6,MATCH(C883,parametros!$B$2:$B$6,0)),"")=""),"INICIO_EFEITO ausente: PC "&amp;A883&amp;" - "&amp;C883,IF(L883="","EFEITO_PC nao calculado: PC "&amp;A883&amp;" - "&amp;C883,"OK")))))))))</f>
        <v/>
      </c>
      <c r="L883" s="92" t="str">
        <f>IF(AND(A883="",B883="",D883="",G883=""),"",IF(OR(B883="",NOT(ISNUMBER(B883)),C883="",C883="Fora dos ciclos"),"",IF(C883="C0","Nao",IF(IFERROR(INDEX(parametros!$A$2:$A$6,MATCH(C883,parametros!$B$2:$B$6,0)),"")&lt;&gt;"Sim","Nao",IF(IFERROR(INDEX(parametros!$H$2:$H$6,MATCH(C883,parametros!$B$2:$B$6,0)),"")="","",IF(B883&gt;=IFERROR(INDEX(parametros!$H$2:$H$6,MATCH(C883,parametros!$B$2:$B$6,0)),""),"Sim","Nao"))))))</f>
        <v/>
      </c>
      <c r="T883" s="156"/>
      <c r="U883" s="214" t="str">
        <f t="shared" si="71"/>
        <v/>
      </c>
      <c r="V883" s="212" t="s">
        <v>50</v>
      </c>
      <c r="W883" s="100" t="s">
        <v>168</v>
      </c>
      <c r="X883" s="100" t="s">
        <v>169</v>
      </c>
      <c r="Y883" s="101" t="s">
        <v>170</v>
      </c>
      <c r="Z883" s="101" t="s">
        <v>171</v>
      </c>
      <c r="AA883" s="101" t="s">
        <v>50</v>
      </c>
      <c r="AB883" s="101" t="s">
        <v>172</v>
      </c>
      <c r="AC883" s="102" t="s">
        <v>173</v>
      </c>
    </row>
    <row r="884" spans="1:29" ht="25.5" customHeight="1" x14ac:dyDescent="0.35">
      <c r="A884" s="392"/>
      <c r="B884" s="393"/>
      <c r="C884" s="99" t="str">
        <f>IF(B884="","",IF(NOT(ISNUMBER(B884)),"DATA_PC invalida",IF(NOT(ISNUMBER(parametros!$C$2)),"Fora dos ciclos",IF(OR(B884&lt;parametros!$C$2,(YEAR(B884)-YEAR(parametros!$C$2))*12+MONTH(B884)-MONTH(parametros!$C$2)&gt;59),"Fora dos ciclos","C"&amp;INT(((YEAR(B884)-YEAR(parametros!$C$2))*12+MONTH(B884)-MONTH(parametros!$C$2))/12)))))</f>
        <v/>
      </c>
      <c r="D884" s="394"/>
      <c r="E884" s="78" t="str">
        <f>IF(C884="","",IFERROR(VLOOKUP(C884,parametros!$A$11:$E$15,5,0),""))</f>
        <v/>
      </c>
      <c r="F884" s="79" t="str">
        <f t="shared" si="67"/>
        <v/>
      </c>
      <c r="G884" s="395"/>
      <c r="H884" s="91">
        <f t="shared" si="68"/>
        <v>0</v>
      </c>
      <c r="I884" s="91" t="str">
        <f t="shared" si="69"/>
        <v/>
      </c>
      <c r="J884" s="91" t="str">
        <f t="shared" si="70"/>
        <v/>
      </c>
      <c r="K884" s="92" t="str">
        <f>IF(AND(A884="",B884="",D884="",G884=""),"",IF(AND(A884&lt;&gt;"",COUNTIF($A$2:$A$5001,A884)&gt;1),"NUMERO_PC duplicado",IF(B884="","DATA_PC vazia",IF(NOT(ISNUMBER(B884)),"DATA_PC invalida",IF(OR(C884="",C884="Fora dos ciclos"),"CICLO_PC nao identificado",IF(OR(D884="",D884=0),"VALOR_PC vazio ou zero",IF(AND(G884&lt;&gt;"Sim",G884&lt;&gt;"Nao",G884&lt;&gt;""),"PC_PAGO_A_CONTRATADA invalido",IF(AND(C884&lt;&gt;"C0",IFERROR(INDEX(parametros!$A$2:$A$6,MATCH(C884,parametros!$B$2:$B$6,0)),"")="Sim",IFERROR(INDEX(parametros!$H$2:$H$6,MATCH(C884,parametros!$B$2:$B$6,0)),"")=""),"INICIO_EFEITO ausente: PC "&amp;A884&amp;" - "&amp;C884,IF(L884="","EFEITO_PC nao calculado: PC "&amp;A884&amp;" - "&amp;C884,"OK")))))))))</f>
        <v/>
      </c>
      <c r="L884" s="92" t="str">
        <f>IF(AND(A884="",B884="",D884="",G884=""),"",IF(OR(B884="",NOT(ISNUMBER(B884)),C884="",C884="Fora dos ciclos"),"",IF(C884="C0","Nao",IF(IFERROR(INDEX(parametros!$A$2:$A$6,MATCH(C884,parametros!$B$2:$B$6,0)),"")&lt;&gt;"Sim","Nao",IF(IFERROR(INDEX(parametros!$H$2:$H$6,MATCH(C884,parametros!$B$2:$B$6,0)),"")="","",IF(B884&gt;=IFERROR(INDEX(parametros!$H$2:$H$6,MATCH(C884,parametros!$B$2:$B$6,0)),""),"Sim","Nao"))))))</f>
        <v/>
      </c>
      <c r="T884" s="156"/>
      <c r="U884" s="214" t="str">
        <f t="shared" si="71"/>
        <v/>
      </c>
      <c r="V884" s="212" t="s">
        <v>50</v>
      </c>
      <c r="W884" s="100" t="s">
        <v>168</v>
      </c>
      <c r="X884" s="100" t="s">
        <v>169</v>
      </c>
      <c r="Y884" s="101" t="s">
        <v>170</v>
      </c>
      <c r="Z884" s="101" t="s">
        <v>171</v>
      </c>
      <c r="AA884" s="101" t="s">
        <v>50</v>
      </c>
      <c r="AB884" s="101" t="s">
        <v>172</v>
      </c>
      <c r="AC884" s="102" t="s">
        <v>173</v>
      </c>
    </row>
    <row r="885" spans="1:29" ht="25.5" customHeight="1" x14ac:dyDescent="0.35">
      <c r="A885" s="392"/>
      <c r="B885" s="393"/>
      <c r="C885" s="99" t="str">
        <f>IF(B885="","",IF(NOT(ISNUMBER(B885)),"DATA_PC invalida",IF(NOT(ISNUMBER(parametros!$C$2)),"Fora dos ciclos",IF(OR(B885&lt;parametros!$C$2,(YEAR(B885)-YEAR(parametros!$C$2))*12+MONTH(B885)-MONTH(parametros!$C$2)&gt;59),"Fora dos ciclos","C"&amp;INT(((YEAR(B885)-YEAR(parametros!$C$2))*12+MONTH(B885)-MONTH(parametros!$C$2))/12)))))</f>
        <v/>
      </c>
      <c r="D885" s="394"/>
      <c r="E885" s="78" t="str">
        <f>IF(C885="","",IFERROR(VLOOKUP(C885,parametros!$A$11:$E$15,5,0),""))</f>
        <v/>
      </c>
      <c r="F885" s="79" t="str">
        <f t="shared" si="67"/>
        <v/>
      </c>
      <c r="G885" s="395"/>
      <c r="H885" s="91">
        <f t="shared" si="68"/>
        <v>0</v>
      </c>
      <c r="I885" s="91" t="str">
        <f t="shared" si="69"/>
        <v/>
      </c>
      <c r="J885" s="91" t="str">
        <f t="shared" si="70"/>
        <v/>
      </c>
      <c r="K885" s="92" t="str">
        <f>IF(AND(A885="",B885="",D885="",G885=""),"",IF(AND(A885&lt;&gt;"",COUNTIF($A$2:$A$5001,A885)&gt;1),"NUMERO_PC duplicado",IF(B885="","DATA_PC vazia",IF(NOT(ISNUMBER(B885)),"DATA_PC invalida",IF(OR(C885="",C885="Fora dos ciclos"),"CICLO_PC nao identificado",IF(OR(D885="",D885=0),"VALOR_PC vazio ou zero",IF(AND(G885&lt;&gt;"Sim",G885&lt;&gt;"Nao",G885&lt;&gt;""),"PC_PAGO_A_CONTRATADA invalido",IF(AND(C885&lt;&gt;"C0",IFERROR(INDEX(parametros!$A$2:$A$6,MATCH(C885,parametros!$B$2:$B$6,0)),"")="Sim",IFERROR(INDEX(parametros!$H$2:$H$6,MATCH(C885,parametros!$B$2:$B$6,0)),"")=""),"INICIO_EFEITO ausente: PC "&amp;A885&amp;" - "&amp;C885,IF(L885="","EFEITO_PC nao calculado: PC "&amp;A885&amp;" - "&amp;C885,"OK")))))))))</f>
        <v/>
      </c>
      <c r="L885" s="92" t="str">
        <f>IF(AND(A885="",B885="",D885="",G885=""),"",IF(OR(B885="",NOT(ISNUMBER(B885)),C885="",C885="Fora dos ciclos"),"",IF(C885="C0","Nao",IF(IFERROR(INDEX(parametros!$A$2:$A$6,MATCH(C885,parametros!$B$2:$B$6,0)),"")&lt;&gt;"Sim","Nao",IF(IFERROR(INDEX(parametros!$H$2:$H$6,MATCH(C885,parametros!$B$2:$B$6,0)),"")="","",IF(B885&gt;=IFERROR(INDEX(parametros!$H$2:$H$6,MATCH(C885,parametros!$B$2:$B$6,0)),""),"Sim","Nao"))))))</f>
        <v/>
      </c>
      <c r="T885" s="156"/>
      <c r="U885" s="214" t="str">
        <f t="shared" si="71"/>
        <v/>
      </c>
      <c r="V885" s="212" t="s">
        <v>50</v>
      </c>
      <c r="W885" s="100" t="s">
        <v>168</v>
      </c>
      <c r="X885" s="100" t="s">
        <v>169</v>
      </c>
      <c r="Y885" s="101" t="s">
        <v>170</v>
      </c>
      <c r="Z885" s="101" t="s">
        <v>171</v>
      </c>
      <c r="AA885" s="101" t="s">
        <v>50</v>
      </c>
      <c r="AB885" s="101" t="s">
        <v>172</v>
      </c>
      <c r="AC885" s="102" t="s">
        <v>173</v>
      </c>
    </row>
    <row r="886" spans="1:29" ht="25.5" customHeight="1" x14ac:dyDescent="0.35">
      <c r="A886" s="392"/>
      <c r="B886" s="393"/>
      <c r="C886" s="99" t="str">
        <f>IF(B886="","",IF(NOT(ISNUMBER(B886)),"DATA_PC invalida",IF(NOT(ISNUMBER(parametros!$C$2)),"Fora dos ciclos",IF(OR(B886&lt;parametros!$C$2,(YEAR(B886)-YEAR(parametros!$C$2))*12+MONTH(B886)-MONTH(parametros!$C$2)&gt;59),"Fora dos ciclos","C"&amp;INT(((YEAR(B886)-YEAR(parametros!$C$2))*12+MONTH(B886)-MONTH(parametros!$C$2))/12)))))</f>
        <v/>
      </c>
      <c r="D886" s="394"/>
      <c r="E886" s="78" t="str">
        <f>IF(C886="","",IFERROR(VLOOKUP(C886,parametros!$A$11:$E$15,5,0),""))</f>
        <v/>
      </c>
      <c r="F886" s="79" t="str">
        <f t="shared" si="67"/>
        <v/>
      </c>
      <c r="G886" s="395"/>
      <c r="H886" s="91">
        <f t="shared" si="68"/>
        <v>0</v>
      </c>
      <c r="I886" s="91" t="str">
        <f t="shared" si="69"/>
        <v/>
      </c>
      <c r="J886" s="91" t="str">
        <f t="shared" si="70"/>
        <v/>
      </c>
      <c r="K886" s="92" t="str">
        <f>IF(AND(A886="",B886="",D886="",G886=""),"",IF(AND(A886&lt;&gt;"",COUNTIF($A$2:$A$5001,A886)&gt;1),"NUMERO_PC duplicado",IF(B886="","DATA_PC vazia",IF(NOT(ISNUMBER(B886)),"DATA_PC invalida",IF(OR(C886="",C886="Fora dos ciclos"),"CICLO_PC nao identificado",IF(OR(D886="",D886=0),"VALOR_PC vazio ou zero",IF(AND(G886&lt;&gt;"Sim",G886&lt;&gt;"Nao",G886&lt;&gt;""),"PC_PAGO_A_CONTRATADA invalido",IF(AND(C886&lt;&gt;"C0",IFERROR(INDEX(parametros!$A$2:$A$6,MATCH(C886,parametros!$B$2:$B$6,0)),"")="Sim",IFERROR(INDEX(parametros!$H$2:$H$6,MATCH(C886,parametros!$B$2:$B$6,0)),"")=""),"INICIO_EFEITO ausente: PC "&amp;A886&amp;" - "&amp;C886,IF(L886="","EFEITO_PC nao calculado: PC "&amp;A886&amp;" - "&amp;C886,"OK")))))))))</f>
        <v/>
      </c>
      <c r="L886" s="92" t="str">
        <f>IF(AND(A886="",B886="",D886="",G886=""),"",IF(OR(B886="",NOT(ISNUMBER(B886)),C886="",C886="Fora dos ciclos"),"",IF(C886="C0","Nao",IF(IFERROR(INDEX(parametros!$A$2:$A$6,MATCH(C886,parametros!$B$2:$B$6,0)),"")&lt;&gt;"Sim","Nao",IF(IFERROR(INDEX(parametros!$H$2:$H$6,MATCH(C886,parametros!$B$2:$B$6,0)),"")="","",IF(B886&gt;=IFERROR(INDEX(parametros!$H$2:$H$6,MATCH(C886,parametros!$B$2:$B$6,0)),""),"Sim","Nao"))))))</f>
        <v/>
      </c>
      <c r="T886" s="156"/>
      <c r="U886" s="214" t="str">
        <f t="shared" si="71"/>
        <v/>
      </c>
      <c r="V886" s="212" t="s">
        <v>50</v>
      </c>
      <c r="W886" s="100" t="s">
        <v>168</v>
      </c>
      <c r="X886" s="100" t="s">
        <v>169</v>
      </c>
      <c r="Y886" s="101" t="s">
        <v>170</v>
      </c>
      <c r="Z886" s="101" t="s">
        <v>171</v>
      </c>
      <c r="AA886" s="101" t="s">
        <v>50</v>
      </c>
      <c r="AB886" s="101" t="s">
        <v>172</v>
      </c>
      <c r="AC886" s="102" t="s">
        <v>173</v>
      </c>
    </row>
    <row r="887" spans="1:29" ht="25.5" customHeight="1" x14ac:dyDescent="0.35">
      <c r="A887" s="392"/>
      <c r="B887" s="393"/>
      <c r="C887" s="99" t="str">
        <f>IF(B887="","",IF(NOT(ISNUMBER(B887)),"DATA_PC invalida",IF(NOT(ISNUMBER(parametros!$C$2)),"Fora dos ciclos",IF(OR(B887&lt;parametros!$C$2,(YEAR(B887)-YEAR(parametros!$C$2))*12+MONTH(B887)-MONTH(parametros!$C$2)&gt;59),"Fora dos ciclos","C"&amp;INT(((YEAR(B887)-YEAR(parametros!$C$2))*12+MONTH(B887)-MONTH(parametros!$C$2))/12)))))</f>
        <v/>
      </c>
      <c r="D887" s="394"/>
      <c r="E887" s="78" t="str">
        <f>IF(C887="","",IFERROR(VLOOKUP(C887,parametros!$A$11:$E$15,5,0),""))</f>
        <v/>
      </c>
      <c r="F887" s="79" t="str">
        <f t="shared" si="67"/>
        <v/>
      </c>
      <c r="G887" s="395"/>
      <c r="H887" s="91">
        <f t="shared" si="68"/>
        <v>0</v>
      </c>
      <c r="I887" s="91" t="str">
        <f t="shared" si="69"/>
        <v/>
      </c>
      <c r="J887" s="91" t="str">
        <f t="shared" si="70"/>
        <v/>
      </c>
      <c r="K887" s="92" t="str">
        <f>IF(AND(A887="",B887="",D887="",G887=""),"",IF(AND(A887&lt;&gt;"",COUNTIF($A$2:$A$5001,A887)&gt;1),"NUMERO_PC duplicado",IF(B887="","DATA_PC vazia",IF(NOT(ISNUMBER(B887)),"DATA_PC invalida",IF(OR(C887="",C887="Fora dos ciclos"),"CICLO_PC nao identificado",IF(OR(D887="",D887=0),"VALOR_PC vazio ou zero",IF(AND(G887&lt;&gt;"Sim",G887&lt;&gt;"Nao",G887&lt;&gt;""),"PC_PAGO_A_CONTRATADA invalido",IF(AND(C887&lt;&gt;"C0",IFERROR(INDEX(parametros!$A$2:$A$6,MATCH(C887,parametros!$B$2:$B$6,0)),"")="Sim",IFERROR(INDEX(parametros!$H$2:$H$6,MATCH(C887,parametros!$B$2:$B$6,0)),"")=""),"INICIO_EFEITO ausente: PC "&amp;A887&amp;" - "&amp;C887,IF(L887="","EFEITO_PC nao calculado: PC "&amp;A887&amp;" - "&amp;C887,"OK")))))))))</f>
        <v/>
      </c>
      <c r="L887" s="92" t="str">
        <f>IF(AND(A887="",B887="",D887="",G887=""),"",IF(OR(B887="",NOT(ISNUMBER(B887)),C887="",C887="Fora dos ciclos"),"",IF(C887="C0","Nao",IF(IFERROR(INDEX(parametros!$A$2:$A$6,MATCH(C887,parametros!$B$2:$B$6,0)),"")&lt;&gt;"Sim","Nao",IF(IFERROR(INDEX(parametros!$H$2:$H$6,MATCH(C887,parametros!$B$2:$B$6,0)),"")="","",IF(B887&gt;=IFERROR(INDEX(parametros!$H$2:$H$6,MATCH(C887,parametros!$B$2:$B$6,0)),""),"Sim","Nao"))))))</f>
        <v/>
      </c>
      <c r="T887" s="156"/>
      <c r="U887" s="214" t="str">
        <f t="shared" si="71"/>
        <v/>
      </c>
      <c r="V887" s="212" t="s">
        <v>50</v>
      </c>
      <c r="W887" s="100" t="s">
        <v>168</v>
      </c>
      <c r="X887" s="100" t="s">
        <v>169</v>
      </c>
      <c r="Y887" s="101" t="s">
        <v>170</v>
      </c>
      <c r="Z887" s="101" t="s">
        <v>171</v>
      </c>
      <c r="AA887" s="101" t="s">
        <v>50</v>
      </c>
      <c r="AB887" s="101" t="s">
        <v>172</v>
      </c>
      <c r="AC887" s="102" t="s">
        <v>173</v>
      </c>
    </row>
    <row r="888" spans="1:29" ht="25.5" customHeight="1" x14ac:dyDescent="0.35">
      <c r="A888" s="392"/>
      <c r="B888" s="393"/>
      <c r="C888" s="99" t="str">
        <f>IF(B888="","",IF(NOT(ISNUMBER(B888)),"DATA_PC invalida",IF(NOT(ISNUMBER(parametros!$C$2)),"Fora dos ciclos",IF(OR(B888&lt;parametros!$C$2,(YEAR(B888)-YEAR(parametros!$C$2))*12+MONTH(B888)-MONTH(parametros!$C$2)&gt;59),"Fora dos ciclos","C"&amp;INT(((YEAR(B888)-YEAR(parametros!$C$2))*12+MONTH(B888)-MONTH(parametros!$C$2))/12)))))</f>
        <v/>
      </c>
      <c r="D888" s="394"/>
      <c r="E888" s="78" t="str">
        <f>IF(C888="","",IFERROR(VLOOKUP(C888,parametros!$A$11:$E$15,5,0),""))</f>
        <v/>
      </c>
      <c r="F888" s="79" t="str">
        <f t="shared" si="67"/>
        <v/>
      </c>
      <c r="G888" s="395"/>
      <c r="H888" s="91">
        <f t="shared" si="68"/>
        <v>0</v>
      </c>
      <c r="I888" s="91" t="str">
        <f t="shared" si="69"/>
        <v/>
      </c>
      <c r="J888" s="91" t="str">
        <f t="shared" si="70"/>
        <v/>
      </c>
      <c r="K888" s="92" t="str">
        <f>IF(AND(A888="",B888="",D888="",G888=""),"",IF(AND(A888&lt;&gt;"",COUNTIF($A$2:$A$5001,A888)&gt;1),"NUMERO_PC duplicado",IF(B888="","DATA_PC vazia",IF(NOT(ISNUMBER(B888)),"DATA_PC invalida",IF(OR(C888="",C888="Fora dos ciclos"),"CICLO_PC nao identificado",IF(OR(D888="",D888=0),"VALOR_PC vazio ou zero",IF(AND(G888&lt;&gt;"Sim",G888&lt;&gt;"Nao",G888&lt;&gt;""),"PC_PAGO_A_CONTRATADA invalido",IF(AND(C888&lt;&gt;"C0",IFERROR(INDEX(parametros!$A$2:$A$6,MATCH(C888,parametros!$B$2:$B$6,0)),"")="Sim",IFERROR(INDEX(parametros!$H$2:$H$6,MATCH(C888,parametros!$B$2:$B$6,0)),"")=""),"INICIO_EFEITO ausente: PC "&amp;A888&amp;" - "&amp;C888,IF(L888="","EFEITO_PC nao calculado: PC "&amp;A888&amp;" - "&amp;C888,"OK")))))))))</f>
        <v/>
      </c>
      <c r="L888" s="92" t="str">
        <f>IF(AND(A888="",B888="",D888="",G888=""),"",IF(OR(B888="",NOT(ISNUMBER(B888)),C888="",C888="Fora dos ciclos"),"",IF(C888="C0","Nao",IF(IFERROR(INDEX(parametros!$A$2:$A$6,MATCH(C888,parametros!$B$2:$B$6,0)),"")&lt;&gt;"Sim","Nao",IF(IFERROR(INDEX(parametros!$H$2:$H$6,MATCH(C888,parametros!$B$2:$B$6,0)),"")="","",IF(B888&gt;=IFERROR(INDEX(parametros!$H$2:$H$6,MATCH(C888,parametros!$B$2:$B$6,0)),""),"Sim","Nao"))))))</f>
        <v/>
      </c>
      <c r="T888" s="156"/>
      <c r="U888" s="214" t="str">
        <f t="shared" si="71"/>
        <v/>
      </c>
      <c r="V888" s="212" t="s">
        <v>50</v>
      </c>
      <c r="W888" s="100" t="s">
        <v>168</v>
      </c>
      <c r="X888" s="100" t="s">
        <v>169</v>
      </c>
      <c r="Y888" s="101" t="s">
        <v>170</v>
      </c>
      <c r="Z888" s="101" t="s">
        <v>171</v>
      </c>
      <c r="AA888" s="101" t="s">
        <v>50</v>
      </c>
      <c r="AB888" s="101" t="s">
        <v>172</v>
      </c>
      <c r="AC888" s="102" t="s">
        <v>173</v>
      </c>
    </row>
    <row r="889" spans="1:29" ht="25.5" customHeight="1" x14ac:dyDescent="0.35">
      <c r="A889" s="392"/>
      <c r="B889" s="393"/>
      <c r="C889" s="99" t="str">
        <f>IF(B889="","",IF(NOT(ISNUMBER(B889)),"DATA_PC invalida",IF(NOT(ISNUMBER(parametros!$C$2)),"Fora dos ciclos",IF(OR(B889&lt;parametros!$C$2,(YEAR(B889)-YEAR(parametros!$C$2))*12+MONTH(B889)-MONTH(parametros!$C$2)&gt;59),"Fora dos ciclos","C"&amp;INT(((YEAR(B889)-YEAR(parametros!$C$2))*12+MONTH(B889)-MONTH(parametros!$C$2))/12)))))</f>
        <v/>
      </c>
      <c r="D889" s="394"/>
      <c r="E889" s="78" t="str">
        <f>IF(C889="","",IFERROR(VLOOKUP(C889,parametros!$A$11:$E$15,5,0),""))</f>
        <v/>
      </c>
      <c r="F889" s="79" t="str">
        <f t="shared" si="67"/>
        <v/>
      </c>
      <c r="G889" s="395"/>
      <c r="H889" s="91">
        <f t="shared" si="68"/>
        <v>0</v>
      </c>
      <c r="I889" s="91" t="str">
        <f t="shared" si="69"/>
        <v/>
      </c>
      <c r="J889" s="91" t="str">
        <f t="shared" si="70"/>
        <v/>
      </c>
      <c r="K889" s="92" t="str">
        <f>IF(AND(A889="",B889="",D889="",G889=""),"",IF(AND(A889&lt;&gt;"",COUNTIF($A$2:$A$5001,A889)&gt;1),"NUMERO_PC duplicado",IF(B889="","DATA_PC vazia",IF(NOT(ISNUMBER(B889)),"DATA_PC invalida",IF(OR(C889="",C889="Fora dos ciclos"),"CICLO_PC nao identificado",IF(OR(D889="",D889=0),"VALOR_PC vazio ou zero",IF(AND(G889&lt;&gt;"Sim",G889&lt;&gt;"Nao",G889&lt;&gt;""),"PC_PAGO_A_CONTRATADA invalido",IF(AND(C889&lt;&gt;"C0",IFERROR(INDEX(parametros!$A$2:$A$6,MATCH(C889,parametros!$B$2:$B$6,0)),"")="Sim",IFERROR(INDEX(parametros!$H$2:$H$6,MATCH(C889,parametros!$B$2:$B$6,0)),"")=""),"INICIO_EFEITO ausente: PC "&amp;A889&amp;" - "&amp;C889,IF(L889="","EFEITO_PC nao calculado: PC "&amp;A889&amp;" - "&amp;C889,"OK")))))))))</f>
        <v/>
      </c>
      <c r="L889" s="92" t="str">
        <f>IF(AND(A889="",B889="",D889="",G889=""),"",IF(OR(B889="",NOT(ISNUMBER(B889)),C889="",C889="Fora dos ciclos"),"",IF(C889="C0","Nao",IF(IFERROR(INDEX(parametros!$A$2:$A$6,MATCH(C889,parametros!$B$2:$B$6,0)),"")&lt;&gt;"Sim","Nao",IF(IFERROR(INDEX(parametros!$H$2:$H$6,MATCH(C889,parametros!$B$2:$B$6,0)),"")="","",IF(B889&gt;=IFERROR(INDEX(parametros!$H$2:$H$6,MATCH(C889,parametros!$B$2:$B$6,0)),""),"Sim","Nao"))))))</f>
        <v/>
      </c>
      <c r="T889" s="156"/>
      <c r="U889" s="214" t="str">
        <f t="shared" si="71"/>
        <v/>
      </c>
      <c r="V889" s="212" t="s">
        <v>50</v>
      </c>
      <c r="W889" s="100" t="s">
        <v>168</v>
      </c>
      <c r="X889" s="100" t="s">
        <v>169</v>
      </c>
      <c r="Y889" s="101" t="s">
        <v>170</v>
      </c>
      <c r="Z889" s="101" t="s">
        <v>171</v>
      </c>
      <c r="AA889" s="101" t="s">
        <v>50</v>
      </c>
      <c r="AB889" s="101" t="s">
        <v>172</v>
      </c>
      <c r="AC889" s="102" t="s">
        <v>173</v>
      </c>
    </row>
    <row r="890" spans="1:29" ht="25.5" customHeight="1" x14ac:dyDescent="0.35">
      <c r="A890" s="392"/>
      <c r="B890" s="393"/>
      <c r="C890" s="99" t="str">
        <f>IF(B890="","",IF(NOT(ISNUMBER(B890)),"DATA_PC invalida",IF(NOT(ISNUMBER(parametros!$C$2)),"Fora dos ciclos",IF(OR(B890&lt;parametros!$C$2,(YEAR(B890)-YEAR(parametros!$C$2))*12+MONTH(B890)-MONTH(parametros!$C$2)&gt;59),"Fora dos ciclos","C"&amp;INT(((YEAR(B890)-YEAR(parametros!$C$2))*12+MONTH(B890)-MONTH(parametros!$C$2))/12)))))</f>
        <v/>
      </c>
      <c r="D890" s="394"/>
      <c r="E890" s="78" t="str">
        <f>IF(C890="","",IFERROR(VLOOKUP(C890,parametros!$A$11:$E$15,5,0),""))</f>
        <v/>
      </c>
      <c r="F890" s="79" t="str">
        <f t="shared" si="67"/>
        <v/>
      </c>
      <c r="G890" s="395"/>
      <c r="H890" s="91">
        <f t="shared" si="68"/>
        <v>0</v>
      </c>
      <c r="I890" s="91" t="str">
        <f t="shared" si="69"/>
        <v/>
      </c>
      <c r="J890" s="91" t="str">
        <f t="shared" si="70"/>
        <v/>
      </c>
      <c r="K890" s="92" t="str">
        <f>IF(AND(A890="",B890="",D890="",G890=""),"",IF(AND(A890&lt;&gt;"",COUNTIF($A$2:$A$5001,A890)&gt;1),"NUMERO_PC duplicado",IF(B890="","DATA_PC vazia",IF(NOT(ISNUMBER(B890)),"DATA_PC invalida",IF(OR(C890="",C890="Fora dos ciclos"),"CICLO_PC nao identificado",IF(OR(D890="",D890=0),"VALOR_PC vazio ou zero",IF(AND(G890&lt;&gt;"Sim",G890&lt;&gt;"Nao",G890&lt;&gt;""),"PC_PAGO_A_CONTRATADA invalido",IF(AND(C890&lt;&gt;"C0",IFERROR(INDEX(parametros!$A$2:$A$6,MATCH(C890,parametros!$B$2:$B$6,0)),"")="Sim",IFERROR(INDEX(parametros!$H$2:$H$6,MATCH(C890,parametros!$B$2:$B$6,0)),"")=""),"INICIO_EFEITO ausente: PC "&amp;A890&amp;" - "&amp;C890,IF(L890="","EFEITO_PC nao calculado: PC "&amp;A890&amp;" - "&amp;C890,"OK")))))))))</f>
        <v/>
      </c>
      <c r="L890" s="92" t="str">
        <f>IF(AND(A890="",B890="",D890="",G890=""),"",IF(OR(B890="",NOT(ISNUMBER(B890)),C890="",C890="Fora dos ciclos"),"",IF(C890="C0","Nao",IF(IFERROR(INDEX(parametros!$A$2:$A$6,MATCH(C890,parametros!$B$2:$B$6,0)),"")&lt;&gt;"Sim","Nao",IF(IFERROR(INDEX(parametros!$H$2:$H$6,MATCH(C890,parametros!$B$2:$B$6,0)),"")="","",IF(B890&gt;=IFERROR(INDEX(parametros!$H$2:$H$6,MATCH(C890,parametros!$B$2:$B$6,0)),""),"Sim","Nao"))))))</f>
        <v/>
      </c>
      <c r="T890" s="156"/>
      <c r="U890" s="214" t="str">
        <f t="shared" si="71"/>
        <v/>
      </c>
      <c r="V890" s="212" t="s">
        <v>50</v>
      </c>
      <c r="W890" s="100" t="s">
        <v>168</v>
      </c>
      <c r="X890" s="100" t="s">
        <v>169</v>
      </c>
      <c r="Y890" s="101" t="s">
        <v>170</v>
      </c>
      <c r="Z890" s="101" t="s">
        <v>171</v>
      </c>
      <c r="AA890" s="101" t="s">
        <v>50</v>
      </c>
      <c r="AB890" s="101" t="s">
        <v>172</v>
      </c>
      <c r="AC890" s="102" t="s">
        <v>173</v>
      </c>
    </row>
    <row r="891" spans="1:29" ht="25.5" customHeight="1" x14ac:dyDescent="0.35">
      <c r="A891" s="392"/>
      <c r="B891" s="393"/>
      <c r="C891" s="99" t="str">
        <f>IF(B891="","",IF(NOT(ISNUMBER(B891)),"DATA_PC invalida",IF(NOT(ISNUMBER(parametros!$C$2)),"Fora dos ciclos",IF(OR(B891&lt;parametros!$C$2,(YEAR(B891)-YEAR(parametros!$C$2))*12+MONTH(B891)-MONTH(parametros!$C$2)&gt;59),"Fora dos ciclos","C"&amp;INT(((YEAR(B891)-YEAR(parametros!$C$2))*12+MONTH(B891)-MONTH(parametros!$C$2))/12)))))</f>
        <v/>
      </c>
      <c r="D891" s="394"/>
      <c r="E891" s="78" t="str">
        <f>IF(C891="","",IFERROR(VLOOKUP(C891,parametros!$A$11:$E$15,5,0),""))</f>
        <v/>
      </c>
      <c r="F891" s="79" t="str">
        <f t="shared" si="67"/>
        <v/>
      </c>
      <c r="G891" s="395"/>
      <c r="H891" s="91">
        <f t="shared" si="68"/>
        <v>0</v>
      </c>
      <c r="I891" s="91" t="str">
        <f t="shared" si="69"/>
        <v/>
      </c>
      <c r="J891" s="91" t="str">
        <f t="shared" si="70"/>
        <v/>
      </c>
      <c r="K891" s="92" t="str">
        <f>IF(AND(A891="",B891="",D891="",G891=""),"",IF(AND(A891&lt;&gt;"",COUNTIF($A$2:$A$5001,A891)&gt;1),"NUMERO_PC duplicado",IF(B891="","DATA_PC vazia",IF(NOT(ISNUMBER(B891)),"DATA_PC invalida",IF(OR(C891="",C891="Fora dos ciclos"),"CICLO_PC nao identificado",IF(OR(D891="",D891=0),"VALOR_PC vazio ou zero",IF(AND(G891&lt;&gt;"Sim",G891&lt;&gt;"Nao",G891&lt;&gt;""),"PC_PAGO_A_CONTRATADA invalido",IF(AND(C891&lt;&gt;"C0",IFERROR(INDEX(parametros!$A$2:$A$6,MATCH(C891,parametros!$B$2:$B$6,0)),"")="Sim",IFERROR(INDEX(parametros!$H$2:$H$6,MATCH(C891,parametros!$B$2:$B$6,0)),"")=""),"INICIO_EFEITO ausente: PC "&amp;A891&amp;" - "&amp;C891,IF(L891="","EFEITO_PC nao calculado: PC "&amp;A891&amp;" - "&amp;C891,"OK")))))))))</f>
        <v/>
      </c>
      <c r="L891" s="92" t="str">
        <f>IF(AND(A891="",B891="",D891="",G891=""),"",IF(OR(B891="",NOT(ISNUMBER(B891)),C891="",C891="Fora dos ciclos"),"",IF(C891="C0","Nao",IF(IFERROR(INDEX(parametros!$A$2:$A$6,MATCH(C891,parametros!$B$2:$B$6,0)),"")&lt;&gt;"Sim","Nao",IF(IFERROR(INDEX(parametros!$H$2:$H$6,MATCH(C891,parametros!$B$2:$B$6,0)),"")="","",IF(B891&gt;=IFERROR(INDEX(parametros!$H$2:$H$6,MATCH(C891,parametros!$B$2:$B$6,0)),""),"Sim","Nao"))))))</f>
        <v/>
      </c>
      <c r="T891" s="156"/>
      <c r="U891" s="214" t="str">
        <f t="shared" si="71"/>
        <v/>
      </c>
      <c r="V891" s="212" t="s">
        <v>50</v>
      </c>
      <c r="W891" s="100" t="s">
        <v>168</v>
      </c>
      <c r="X891" s="100" t="s">
        <v>169</v>
      </c>
      <c r="Y891" s="101" t="s">
        <v>170</v>
      </c>
      <c r="Z891" s="101" t="s">
        <v>171</v>
      </c>
      <c r="AA891" s="101" t="s">
        <v>50</v>
      </c>
      <c r="AB891" s="101" t="s">
        <v>172</v>
      </c>
      <c r="AC891" s="102" t="s">
        <v>173</v>
      </c>
    </row>
    <row r="892" spans="1:29" ht="25.5" customHeight="1" x14ac:dyDescent="0.35">
      <c r="A892" s="392"/>
      <c r="B892" s="393"/>
      <c r="C892" s="99" t="str">
        <f>IF(B892="","",IF(NOT(ISNUMBER(B892)),"DATA_PC invalida",IF(NOT(ISNUMBER(parametros!$C$2)),"Fora dos ciclos",IF(OR(B892&lt;parametros!$C$2,(YEAR(B892)-YEAR(parametros!$C$2))*12+MONTH(B892)-MONTH(parametros!$C$2)&gt;59),"Fora dos ciclos","C"&amp;INT(((YEAR(B892)-YEAR(parametros!$C$2))*12+MONTH(B892)-MONTH(parametros!$C$2))/12)))))</f>
        <v/>
      </c>
      <c r="D892" s="394"/>
      <c r="E892" s="78" t="str">
        <f>IF(C892="","",IFERROR(VLOOKUP(C892,parametros!$A$11:$E$15,5,0),""))</f>
        <v/>
      </c>
      <c r="F892" s="79" t="str">
        <f t="shared" si="67"/>
        <v/>
      </c>
      <c r="G892" s="395"/>
      <c r="H892" s="91">
        <f t="shared" si="68"/>
        <v>0</v>
      </c>
      <c r="I892" s="91" t="str">
        <f t="shared" si="69"/>
        <v/>
      </c>
      <c r="J892" s="91" t="str">
        <f t="shared" si="70"/>
        <v/>
      </c>
      <c r="K892" s="92" t="str">
        <f>IF(AND(A892="",B892="",D892="",G892=""),"",IF(AND(A892&lt;&gt;"",COUNTIF($A$2:$A$5001,A892)&gt;1),"NUMERO_PC duplicado",IF(B892="","DATA_PC vazia",IF(NOT(ISNUMBER(B892)),"DATA_PC invalida",IF(OR(C892="",C892="Fora dos ciclos"),"CICLO_PC nao identificado",IF(OR(D892="",D892=0),"VALOR_PC vazio ou zero",IF(AND(G892&lt;&gt;"Sim",G892&lt;&gt;"Nao",G892&lt;&gt;""),"PC_PAGO_A_CONTRATADA invalido",IF(AND(C892&lt;&gt;"C0",IFERROR(INDEX(parametros!$A$2:$A$6,MATCH(C892,parametros!$B$2:$B$6,0)),"")="Sim",IFERROR(INDEX(parametros!$H$2:$H$6,MATCH(C892,parametros!$B$2:$B$6,0)),"")=""),"INICIO_EFEITO ausente: PC "&amp;A892&amp;" - "&amp;C892,IF(L892="","EFEITO_PC nao calculado: PC "&amp;A892&amp;" - "&amp;C892,"OK")))))))))</f>
        <v/>
      </c>
      <c r="L892" s="92" t="str">
        <f>IF(AND(A892="",B892="",D892="",G892=""),"",IF(OR(B892="",NOT(ISNUMBER(B892)),C892="",C892="Fora dos ciclos"),"",IF(C892="C0","Nao",IF(IFERROR(INDEX(parametros!$A$2:$A$6,MATCH(C892,parametros!$B$2:$B$6,0)),"")&lt;&gt;"Sim","Nao",IF(IFERROR(INDEX(parametros!$H$2:$H$6,MATCH(C892,parametros!$B$2:$B$6,0)),"")="","",IF(B892&gt;=IFERROR(INDEX(parametros!$H$2:$H$6,MATCH(C892,parametros!$B$2:$B$6,0)),""),"Sim","Nao"))))))</f>
        <v/>
      </c>
      <c r="T892" s="156"/>
      <c r="U892" s="214" t="str">
        <f t="shared" si="71"/>
        <v/>
      </c>
      <c r="V892" s="212" t="s">
        <v>50</v>
      </c>
      <c r="W892" s="100" t="s">
        <v>168</v>
      </c>
      <c r="X892" s="100" t="s">
        <v>169</v>
      </c>
      <c r="Y892" s="101" t="s">
        <v>170</v>
      </c>
      <c r="Z892" s="101" t="s">
        <v>171</v>
      </c>
      <c r="AA892" s="101" t="s">
        <v>50</v>
      </c>
      <c r="AB892" s="101" t="s">
        <v>172</v>
      </c>
      <c r="AC892" s="102" t="s">
        <v>173</v>
      </c>
    </row>
    <row r="893" spans="1:29" ht="25.5" customHeight="1" x14ac:dyDescent="0.35">
      <c r="A893" s="392"/>
      <c r="B893" s="393"/>
      <c r="C893" s="99" t="str">
        <f>IF(B893="","",IF(NOT(ISNUMBER(B893)),"DATA_PC invalida",IF(NOT(ISNUMBER(parametros!$C$2)),"Fora dos ciclos",IF(OR(B893&lt;parametros!$C$2,(YEAR(B893)-YEAR(parametros!$C$2))*12+MONTH(B893)-MONTH(parametros!$C$2)&gt;59),"Fora dos ciclos","C"&amp;INT(((YEAR(B893)-YEAR(parametros!$C$2))*12+MONTH(B893)-MONTH(parametros!$C$2))/12)))))</f>
        <v/>
      </c>
      <c r="D893" s="394"/>
      <c r="E893" s="78" t="str">
        <f>IF(C893="","",IFERROR(VLOOKUP(C893,parametros!$A$11:$E$15,5,0),""))</f>
        <v/>
      </c>
      <c r="F893" s="79" t="str">
        <f t="shared" si="67"/>
        <v/>
      </c>
      <c r="G893" s="395"/>
      <c r="H893" s="91">
        <f t="shared" si="68"/>
        <v>0</v>
      </c>
      <c r="I893" s="91" t="str">
        <f t="shared" si="69"/>
        <v/>
      </c>
      <c r="J893" s="91" t="str">
        <f t="shared" si="70"/>
        <v/>
      </c>
      <c r="K893" s="92" t="str">
        <f>IF(AND(A893="",B893="",D893="",G893=""),"",IF(AND(A893&lt;&gt;"",COUNTIF($A$2:$A$5001,A893)&gt;1),"NUMERO_PC duplicado",IF(B893="","DATA_PC vazia",IF(NOT(ISNUMBER(B893)),"DATA_PC invalida",IF(OR(C893="",C893="Fora dos ciclos"),"CICLO_PC nao identificado",IF(OR(D893="",D893=0),"VALOR_PC vazio ou zero",IF(AND(G893&lt;&gt;"Sim",G893&lt;&gt;"Nao",G893&lt;&gt;""),"PC_PAGO_A_CONTRATADA invalido",IF(AND(C893&lt;&gt;"C0",IFERROR(INDEX(parametros!$A$2:$A$6,MATCH(C893,parametros!$B$2:$B$6,0)),"")="Sim",IFERROR(INDEX(parametros!$H$2:$H$6,MATCH(C893,parametros!$B$2:$B$6,0)),"")=""),"INICIO_EFEITO ausente: PC "&amp;A893&amp;" - "&amp;C893,IF(L893="","EFEITO_PC nao calculado: PC "&amp;A893&amp;" - "&amp;C893,"OK")))))))))</f>
        <v/>
      </c>
      <c r="L893" s="92" t="str">
        <f>IF(AND(A893="",B893="",D893="",G893=""),"",IF(OR(B893="",NOT(ISNUMBER(B893)),C893="",C893="Fora dos ciclos"),"",IF(C893="C0","Nao",IF(IFERROR(INDEX(parametros!$A$2:$A$6,MATCH(C893,parametros!$B$2:$B$6,0)),"")&lt;&gt;"Sim","Nao",IF(IFERROR(INDEX(parametros!$H$2:$H$6,MATCH(C893,parametros!$B$2:$B$6,0)),"")="","",IF(B893&gt;=IFERROR(INDEX(parametros!$H$2:$H$6,MATCH(C893,parametros!$B$2:$B$6,0)),""),"Sim","Nao"))))))</f>
        <v/>
      </c>
      <c r="T893" s="156"/>
      <c r="U893" s="214" t="str">
        <f t="shared" si="71"/>
        <v/>
      </c>
      <c r="V893" s="212" t="s">
        <v>50</v>
      </c>
      <c r="W893" s="100" t="s">
        <v>168</v>
      </c>
      <c r="X893" s="100" t="s">
        <v>169</v>
      </c>
      <c r="Y893" s="101" t="s">
        <v>170</v>
      </c>
      <c r="Z893" s="101" t="s">
        <v>171</v>
      </c>
      <c r="AA893" s="101" t="s">
        <v>50</v>
      </c>
      <c r="AB893" s="101" t="s">
        <v>172</v>
      </c>
      <c r="AC893" s="102" t="s">
        <v>173</v>
      </c>
    </row>
    <row r="894" spans="1:29" ht="25.5" customHeight="1" x14ac:dyDescent="0.35">
      <c r="A894" s="392"/>
      <c r="B894" s="393"/>
      <c r="C894" s="99" t="str">
        <f>IF(B894="","",IF(NOT(ISNUMBER(B894)),"DATA_PC invalida",IF(NOT(ISNUMBER(parametros!$C$2)),"Fora dos ciclos",IF(OR(B894&lt;parametros!$C$2,(YEAR(B894)-YEAR(parametros!$C$2))*12+MONTH(B894)-MONTH(parametros!$C$2)&gt;59),"Fora dos ciclos","C"&amp;INT(((YEAR(B894)-YEAR(parametros!$C$2))*12+MONTH(B894)-MONTH(parametros!$C$2))/12)))))</f>
        <v/>
      </c>
      <c r="D894" s="394"/>
      <c r="E894" s="78" t="str">
        <f>IF(C894="","",IFERROR(VLOOKUP(C894,parametros!$A$11:$E$15,5,0),""))</f>
        <v/>
      </c>
      <c r="F894" s="79" t="str">
        <f t="shared" si="67"/>
        <v/>
      </c>
      <c r="G894" s="395"/>
      <c r="H894" s="91">
        <f t="shared" si="68"/>
        <v>0</v>
      </c>
      <c r="I894" s="91" t="str">
        <f t="shared" si="69"/>
        <v/>
      </c>
      <c r="J894" s="91" t="str">
        <f t="shared" si="70"/>
        <v/>
      </c>
      <c r="K894" s="92" t="str">
        <f>IF(AND(A894="",B894="",D894="",G894=""),"",IF(AND(A894&lt;&gt;"",COUNTIF($A$2:$A$5001,A894)&gt;1),"NUMERO_PC duplicado",IF(B894="","DATA_PC vazia",IF(NOT(ISNUMBER(B894)),"DATA_PC invalida",IF(OR(C894="",C894="Fora dos ciclos"),"CICLO_PC nao identificado",IF(OR(D894="",D894=0),"VALOR_PC vazio ou zero",IF(AND(G894&lt;&gt;"Sim",G894&lt;&gt;"Nao",G894&lt;&gt;""),"PC_PAGO_A_CONTRATADA invalido",IF(AND(C894&lt;&gt;"C0",IFERROR(INDEX(parametros!$A$2:$A$6,MATCH(C894,parametros!$B$2:$B$6,0)),"")="Sim",IFERROR(INDEX(parametros!$H$2:$H$6,MATCH(C894,parametros!$B$2:$B$6,0)),"")=""),"INICIO_EFEITO ausente: PC "&amp;A894&amp;" - "&amp;C894,IF(L894="","EFEITO_PC nao calculado: PC "&amp;A894&amp;" - "&amp;C894,"OK")))))))))</f>
        <v/>
      </c>
      <c r="L894" s="92" t="str">
        <f>IF(AND(A894="",B894="",D894="",G894=""),"",IF(OR(B894="",NOT(ISNUMBER(B894)),C894="",C894="Fora dos ciclos"),"",IF(C894="C0","Nao",IF(IFERROR(INDEX(parametros!$A$2:$A$6,MATCH(C894,parametros!$B$2:$B$6,0)),"")&lt;&gt;"Sim","Nao",IF(IFERROR(INDEX(parametros!$H$2:$H$6,MATCH(C894,parametros!$B$2:$B$6,0)),"")="","",IF(B894&gt;=IFERROR(INDEX(parametros!$H$2:$H$6,MATCH(C894,parametros!$B$2:$B$6,0)),""),"Sim","Nao"))))))</f>
        <v/>
      </c>
      <c r="T894" s="156"/>
      <c r="U894" s="214" t="str">
        <f t="shared" si="71"/>
        <v/>
      </c>
      <c r="V894" s="212" t="s">
        <v>50</v>
      </c>
      <c r="W894" s="100" t="s">
        <v>168</v>
      </c>
      <c r="X894" s="100" t="s">
        <v>169</v>
      </c>
      <c r="Y894" s="101" t="s">
        <v>170</v>
      </c>
      <c r="Z894" s="101" t="s">
        <v>171</v>
      </c>
      <c r="AA894" s="101" t="s">
        <v>50</v>
      </c>
      <c r="AB894" s="101" t="s">
        <v>172</v>
      </c>
      <c r="AC894" s="102" t="s">
        <v>173</v>
      </c>
    </row>
    <row r="895" spans="1:29" ht="25.5" customHeight="1" x14ac:dyDescent="0.35">
      <c r="A895" s="392"/>
      <c r="B895" s="393"/>
      <c r="C895" s="99" t="str">
        <f>IF(B895="","",IF(NOT(ISNUMBER(B895)),"DATA_PC invalida",IF(NOT(ISNUMBER(parametros!$C$2)),"Fora dos ciclos",IF(OR(B895&lt;parametros!$C$2,(YEAR(B895)-YEAR(parametros!$C$2))*12+MONTH(B895)-MONTH(parametros!$C$2)&gt;59),"Fora dos ciclos","C"&amp;INT(((YEAR(B895)-YEAR(parametros!$C$2))*12+MONTH(B895)-MONTH(parametros!$C$2))/12)))))</f>
        <v/>
      </c>
      <c r="D895" s="394"/>
      <c r="E895" s="78" t="str">
        <f>IF(C895="","",IFERROR(VLOOKUP(C895,parametros!$A$11:$E$15,5,0),""))</f>
        <v/>
      </c>
      <c r="F895" s="79" t="str">
        <f t="shared" si="67"/>
        <v/>
      </c>
      <c r="G895" s="395"/>
      <c r="H895" s="91">
        <f t="shared" si="68"/>
        <v>0</v>
      </c>
      <c r="I895" s="91" t="str">
        <f t="shared" si="69"/>
        <v/>
      </c>
      <c r="J895" s="91" t="str">
        <f t="shared" si="70"/>
        <v/>
      </c>
      <c r="K895" s="92" t="str">
        <f>IF(AND(A895="",B895="",D895="",G895=""),"",IF(AND(A895&lt;&gt;"",COUNTIF($A$2:$A$5001,A895)&gt;1),"NUMERO_PC duplicado",IF(B895="","DATA_PC vazia",IF(NOT(ISNUMBER(B895)),"DATA_PC invalida",IF(OR(C895="",C895="Fora dos ciclos"),"CICLO_PC nao identificado",IF(OR(D895="",D895=0),"VALOR_PC vazio ou zero",IF(AND(G895&lt;&gt;"Sim",G895&lt;&gt;"Nao",G895&lt;&gt;""),"PC_PAGO_A_CONTRATADA invalido",IF(AND(C895&lt;&gt;"C0",IFERROR(INDEX(parametros!$A$2:$A$6,MATCH(C895,parametros!$B$2:$B$6,0)),"")="Sim",IFERROR(INDEX(parametros!$H$2:$H$6,MATCH(C895,parametros!$B$2:$B$6,0)),"")=""),"INICIO_EFEITO ausente: PC "&amp;A895&amp;" - "&amp;C895,IF(L895="","EFEITO_PC nao calculado: PC "&amp;A895&amp;" - "&amp;C895,"OK")))))))))</f>
        <v/>
      </c>
      <c r="L895" s="92" t="str">
        <f>IF(AND(A895="",B895="",D895="",G895=""),"",IF(OR(B895="",NOT(ISNUMBER(B895)),C895="",C895="Fora dos ciclos"),"",IF(C895="C0","Nao",IF(IFERROR(INDEX(parametros!$A$2:$A$6,MATCH(C895,parametros!$B$2:$B$6,0)),"")&lt;&gt;"Sim","Nao",IF(IFERROR(INDEX(parametros!$H$2:$H$6,MATCH(C895,parametros!$B$2:$B$6,0)),"")="","",IF(B895&gt;=IFERROR(INDEX(parametros!$H$2:$H$6,MATCH(C895,parametros!$B$2:$B$6,0)),""),"Sim","Nao"))))))</f>
        <v/>
      </c>
      <c r="T895" s="156"/>
      <c r="U895" s="214" t="str">
        <f t="shared" si="71"/>
        <v/>
      </c>
      <c r="V895" s="212" t="s">
        <v>50</v>
      </c>
      <c r="W895" s="100" t="s">
        <v>168</v>
      </c>
      <c r="X895" s="100" t="s">
        <v>169</v>
      </c>
      <c r="Y895" s="101" t="s">
        <v>170</v>
      </c>
      <c r="Z895" s="101" t="s">
        <v>171</v>
      </c>
      <c r="AA895" s="101" t="s">
        <v>50</v>
      </c>
      <c r="AB895" s="101" t="s">
        <v>172</v>
      </c>
      <c r="AC895" s="102" t="s">
        <v>173</v>
      </c>
    </row>
    <row r="896" spans="1:29" ht="25.5" customHeight="1" x14ac:dyDescent="0.35">
      <c r="A896" s="392"/>
      <c r="B896" s="393"/>
      <c r="C896" s="99" t="str">
        <f>IF(B896="","",IF(NOT(ISNUMBER(B896)),"DATA_PC invalida",IF(NOT(ISNUMBER(parametros!$C$2)),"Fora dos ciclos",IF(OR(B896&lt;parametros!$C$2,(YEAR(B896)-YEAR(parametros!$C$2))*12+MONTH(B896)-MONTH(parametros!$C$2)&gt;59),"Fora dos ciclos","C"&amp;INT(((YEAR(B896)-YEAR(parametros!$C$2))*12+MONTH(B896)-MONTH(parametros!$C$2))/12)))))</f>
        <v/>
      </c>
      <c r="D896" s="394"/>
      <c r="E896" s="78" t="str">
        <f>IF(C896="","",IFERROR(VLOOKUP(C896,parametros!$A$11:$E$15,5,0),""))</f>
        <v/>
      </c>
      <c r="F896" s="79" t="str">
        <f t="shared" si="67"/>
        <v/>
      </c>
      <c r="G896" s="395"/>
      <c r="H896" s="91">
        <f t="shared" si="68"/>
        <v>0</v>
      </c>
      <c r="I896" s="91" t="str">
        <f t="shared" si="69"/>
        <v/>
      </c>
      <c r="J896" s="91" t="str">
        <f t="shared" si="70"/>
        <v/>
      </c>
      <c r="K896" s="92" t="str">
        <f>IF(AND(A896="",B896="",D896="",G896=""),"",IF(AND(A896&lt;&gt;"",COUNTIF($A$2:$A$5001,A896)&gt;1),"NUMERO_PC duplicado",IF(B896="","DATA_PC vazia",IF(NOT(ISNUMBER(B896)),"DATA_PC invalida",IF(OR(C896="",C896="Fora dos ciclos"),"CICLO_PC nao identificado",IF(OR(D896="",D896=0),"VALOR_PC vazio ou zero",IF(AND(G896&lt;&gt;"Sim",G896&lt;&gt;"Nao",G896&lt;&gt;""),"PC_PAGO_A_CONTRATADA invalido",IF(AND(C896&lt;&gt;"C0",IFERROR(INDEX(parametros!$A$2:$A$6,MATCH(C896,parametros!$B$2:$B$6,0)),"")="Sim",IFERROR(INDEX(parametros!$H$2:$H$6,MATCH(C896,parametros!$B$2:$B$6,0)),"")=""),"INICIO_EFEITO ausente: PC "&amp;A896&amp;" - "&amp;C896,IF(L896="","EFEITO_PC nao calculado: PC "&amp;A896&amp;" - "&amp;C896,"OK")))))))))</f>
        <v/>
      </c>
      <c r="L896" s="92" t="str">
        <f>IF(AND(A896="",B896="",D896="",G896=""),"",IF(OR(B896="",NOT(ISNUMBER(B896)),C896="",C896="Fora dos ciclos"),"",IF(C896="C0","Nao",IF(IFERROR(INDEX(parametros!$A$2:$A$6,MATCH(C896,parametros!$B$2:$B$6,0)),"")&lt;&gt;"Sim","Nao",IF(IFERROR(INDEX(parametros!$H$2:$H$6,MATCH(C896,parametros!$B$2:$B$6,0)),"")="","",IF(B896&gt;=IFERROR(INDEX(parametros!$H$2:$H$6,MATCH(C896,parametros!$B$2:$B$6,0)),""),"Sim","Nao"))))))</f>
        <v/>
      </c>
      <c r="T896" s="156"/>
      <c r="U896" s="214" t="str">
        <f t="shared" si="71"/>
        <v/>
      </c>
      <c r="V896" s="212" t="s">
        <v>50</v>
      </c>
      <c r="W896" s="100" t="s">
        <v>168</v>
      </c>
      <c r="X896" s="100" t="s">
        <v>169</v>
      </c>
      <c r="Y896" s="101" t="s">
        <v>170</v>
      </c>
      <c r="Z896" s="101" t="s">
        <v>171</v>
      </c>
      <c r="AA896" s="101" t="s">
        <v>50</v>
      </c>
      <c r="AB896" s="101" t="s">
        <v>172</v>
      </c>
      <c r="AC896" s="102" t="s">
        <v>173</v>
      </c>
    </row>
    <row r="897" spans="1:29" ht="25.5" customHeight="1" x14ac:dyDescent="0.35">
      <c r="A897" s="392"/>
      <c r="B897" s="393"/>
      <c r="C897" s="99" t="str">
        <f>IF(B897="","",IF(NOT(ISNUMBER(B897)),"DATA_PC invalida",IF(NOT(ISNUMBER(parametros!$C$2)),"Fora dos ciclos",IF(OR(B897&lt;parametros!$C$2,(YEAR(B897)-YEAR(parametros!$C$2))*12+MONTH(B897)-MONTH(parametros!$C$2)&gt;59),"Fora dos ciclos","C"&amp;INT(((YEAR(B897)-YEAR(parametros!$C$2))*12+MONTH(B897)-MONTH(parametros!$C$2))/12)))))</f>
        <v/>
      </c>
      <c r="D897" s="394"/>
      <c r="E897" s="78" t="str">
        <f>IF(C897="","",IFERROR(VLOOKUP(C897,parametros!$A$11:$E$15,5,0),""))</f>
        <v/>
      </c>
      <c r="F897" s="79" t="str">
        <f t="shared" si="67"/>
        <v/>
      </c>
      <c r="G897" s="395"/>
      <c r="H897" s="91">
        <f t="shared" si="68"/>
        <v>0</v>
      </c>
      <c r="I897" s="91" t="str">
        <f t="shared" si="69"/>
        <v/>
      </c>
      <c r="J897" s="91" t="str">
        <f t="shared" si="70"/>
        <v/>
      </c>
      <c r="K897" s="92" t="str">
        <f>IF(AND(A897="",B897="",D897="",G897=""),"",IF(AND(A897&lt;&gt;"",COUNTIF($A$2:$A$5001,A897)&gt;1),"NUMERO_PC duplicado",IF(B897="","DATA_PC vazia",IF(NOT(ISNUMBER(B897)),"DATA_PC invalida",IF(OR(C897="",C897="Fora dos ciclos"),"CICLO_PC nao identificado",IF(OR(D897="",D897=0),"VALOR_PC vazio ou zero",IF(AND(G897&lt;&gt;"Sim",G897&lt;&gt;"Nao",G897&lt;&gt;""),"PC_PAGO_A_CONTRATADA invalido",IF(AND(C897&lt;&gt;"C0",IFERROR(INDEX(parametros!$A$2:$A$6,MATCH(C897,parametros!$B$2:$B$6,0)),"")="Sim",IFERROR(INDEX(parametros!$H$2:$H$6,MATCH(C897,parametros!$B$2:$B$6,0)),"")=""),"INICIO_EFEITO ausente: PC "&amp;A897&amp;" - "&amp;C897,IF(L897="","EFEITO_PC nao calculado: PC "&amp;A897&amp;" - "&amp;C897,"OK")))))))))</f>
        <v/>
      </c>
      <c r="L897" s="92" t="str">
        <f>IF(AND(A897="",B897="",D897="",G897=""),"",IF(OR(B897="",NOT(ISNUMBER(B897)),C897="",C897="Fora dos ciclos"),"",IF(C897="C0","Nao",IF(IFERROR(INDEX(parametros!$A$2:$A$6,MATCH(C897,parametros!$B$2:$B$6,0)),"")&lt;&gt;"Sim","Nao",IF(IFERROR(INDEX(parametros!$H$2:$H$6,MATCH(C897,parametros!$B$2:$B$6,0)),"")="","",IF(B897&gt;=IFERROR(INDEX(parametros!$H$2:$H$6,MATCH(C897,parametros!$B$2:$B$6,0)),""),"Sim","Nao"))))))</f>
        <v/>
      </c>
      <c r="T897" s="156"/>
      <c r="U897" s="214" t="str">
        <f t="shared" si="71"/>
        <v/>
      </c>
      <c r="V897" s="212" t="s">
        <v>50</v>
      </c>
      <c r="W897" s="100" t="s">
        <v>168</v>
      </c>
      <c r="X897" s="100" t="s">
        <v>169</v>
      </c>
      <c r="Y897" s="101" t="s">
        <v>170</v>
      </c>
      <c r="Z897" s="101" t="s">
        <v>171</v>
      </c>
      <c r="AA897" s="101" t="s">
        <v>50</v>
      </c>
      <c r="AB897" s="101" t="s">
        <v>172</v>
      </c>
      <c r="AC897" s="102" t="s">
        <v>173</v>
      </c>
    </row>
    <row r="898" spans="1:29" ht="25.5" customHeight="1" x14ac:dyDescent="0.35">
      <c r="A898" s="392"/>
      <c r="B898" s="393"/>
      <c r="C898" s="99" t="str">
        <f>IF(B898="","",IF(NOT(ISNUMBER(B898)),"DATA_PC invalida",IF(NOT(ISNUMBER(parametros!$C$2)),"Fora dos ciclos",IF(OR(B898&lt;parametros!$C$2,(YEAR(B898)-YEAR(parametros!$C$2))*12+MONTH(B898)-MONTH(parametros!$C$2)&gt;59),"Fora dos ciclos","C"&amp;INT(((YEAR(B898)-YEAR(parametros!$C$2))*12+MONTH(B898)-MONTH(parametros!$C$2))/12)))))</f>
        <v/>
      </c>
      <c r="D898" s="394"/>
      <c r="E898" s="78" t="str">
        <f>IF(C898="","",IFERROR(VLOOKUP(C898,parametros!$A$11:$E$15,5,0),""))</f>
        <v/>
      </c>
      <c r="F898" s="79" t="str">
        <f t="shared" ref="F898:F961" si="72">IF(OR(D898="",E898=""),"",ROUND(D898*E898,2))</f>
        <v/>
      </c>
      <c r="G898" s="395"/>
      <c r="H898" s="91">
        <f t="shared" ref="H898:H961" si="73">IF(G898="Sim",IF(OR(F898="",D898="",L898=""),"",IF(L898="Sim",ROUND(F898-D898,2),0)),0)</f>
        <v>0</v>
      </c>
      <c r="I898" s="91" t="str">
        <f t="shared" ref="I898:I961" si="74">IF(G898="Sim",0,IF(OR(F898="",L898=""),"",F898))</f>
        <v/>
      </c>
      <c r="J898" s="91" t="str">
        <f t="shared" ref="J898:J961" si="75">IF(G898="Sim",0,IF(OR(F898="",D898="",L898=""),"",IF(L898="Sim",ROUND(F898-D898,2),0)))</f>
        <v/>
      </c>
      <c r="K898" s="92" t="str">
        <f>IF(AND(A898="",B898="",D898="",G898=""),"",IF(AND(A898&lt;&gt;"",COUNTIF($A$2:$A$5001,A898)&gt;1),"NUMERO_PC duplicado",IF(B898="","DATA_PC vazia",IF(NOT(ISNUMBER(B898)),"DATA_PC invalida",IF(OR(C898="",C898="Fora dos ciclos"),"CICLO_PC nao identificado",IF(OR(D898="",D898=0),"VALOR_PC vazio ou zero",IF(AND(G898&lt;&gt;"Sim",G898&lt;&gt;"Nao",G898&lt;&gt;""),"PC_PAGO_A_CONTRATADA invalido",IF(AND(C898&lt;&gt;"C0",IFERROR(INDEX(parametros!$A$2:$A$6,MATCH(C898,parametros!$B$2:$B$6,0)),"")="Sim",IFERROR(INDEX(parametros!$H$2:$H$6,MATCH(C898,parametros!$B$2:$B$6,0)),"")=""),"INICIO_EFEITO ausente: PC "&amp;A898&amp;" - "&amp;C898,IF(L898="","EFEITO_PC nao calculado: PC "&amp;A898&amp;" - "&amp;C898,"OK")))))))))</f>
        <v/>
      </c>
      <c r="L898" s="92" t="str">
        <f>IF(AND(A898="",B898="",D898="",G898=""),"",IF(OR(B898="",NOT(ISNUMBER(B898)),C898="",C898="Fora dos ciclos"),"",IF(C898="C0","Nao",IF(IFERROR(INDEX(parametros!$A$2:$A$6,MATCH(C898,parametros!$B$2:$B$6,0)),"")&lt;&gt;"Sim","Nao",IF(IFERROR(INDEX(parametros!$H$2:$H$6,MATCH(C898,parametros!$B$2:$B$6,0)),"")="","",IF(B898&gt;=IFERROR(INDEX(parametros!$H$2:$H$6,MATCH(C898,parametros!$B$2:$B$6,0)),""),"Sim","Nao"))))))</f>
        <v/>
      </c>
      <c r="T898" s="156"/>
      <c r="U898" s="214" t="str">
        <f t="shared" ref="U898:U961" si="76">IF(OR($D898="",$H898=""),"",ROUND($D898+$H898,2))</f>
        <v/>
      </c>
      <c r="V898" s="212" t="s">
        <v>50</v>
      </c>
      <c r="W898" s="100" t="s">
        <v>168</v>
      </c>
      <c r="X898" s="100" t="s">
        <v>169</v>
      </c>
      <c r="Y898" s="101" t="s">
        <v>170</v>
      </c>
      <c r="Z898" s="101" t="s">
        <v>171</v>
      </c>
      <c r="AA898" s="101" t="s">
        <v>50</v>
      </c>
      <c r="AB898" s="101" t="s">
        <v>172</v>
      </c>
      <c r="AC898" s="102" t="s">
        <v>173</v>
      </c>
    </row>
    <row r="899" spans="1:29" ht="25.5" customHeight="1" x14ac:dyDescent="0.35">
      <c r="A899" s="392"/>
      <c r="B899" s="393"/>
      <c r="C899" s="99" t="str">
        <f>IF(B899="","",IF(NOT(ISNUMBER(B899)),"DATA_PC invalida",IF(NOT(ISNUMBER(parametros!$C$2)),"Fora dos ciclos",IF(OR(B899&lt;parametros!$C$2,(YEAR(B899)-YEAR(parametros!$C$2))*12+MONTH(B899)-MONTH(parametros!$C$2)&gt;59),"Fora dos ciclos","C"&amp;INT(((YEAR(B899)-YEAR(parametros!$C$2))*12+MONTH(B899)-MONTH(parametros!$C$2))/12)))))</f>
        <v/>
      </c>
      <c r="D899" s="394"/>
      <c r="E899" s="78" t="str">
        <f>IF(C899="","",IFERROR(VLOOKUP(C899,parametros!$A$11:$E$15,5,0),""))</f>
        <v/>
      </c>
      <c r="F899" s="79" t="str">
        <f t="shared" si="72"/>
        <v/>
      </c>
      <c r="G899" s="395"/>
      <c r="H899" s="91">
        <f t="shared" si="73"/>
        <v>0</v>
      </c>
      <c r="I899" s="91" t="str">
        <f t="shared" si="74"/>
        <v/>
      </c>
      <c r="J899" s="91" t="str">
        <f t="shared" si="75"/>
        <v/>
      </c>
      <c r="K899" s="92" t="str">
        <f>IF(AND(A899="",B899="",D899="",G899=""),"",IF(AND(A899&lt;&gt;"",COUNTIF($A$2:$A$5001,A899)&gt;1),"NUMERO_PC duplicado",IF(B899="","DATA_PC vazia",IF(NOT(ISNUMBER(B899)),"DATA_PC invalida",IF(OR(C899="",C899="Fora dos ciclos"),"CICLO_PC nao identificado",IF(OR(D899="",D899=0),"VALOR_PC vazio ou zero",IF(AND(G899&lt;&gt;"Sim",G899&lt;&gt;"Nao",G899&lt;&gt;""),"PC_PAGO_A_CONTRATADA invalido",IF(AND(C899&lt;&gt;"C0",IFERROR(INDEX(parametros!$A$2:$A$6,MATCH(C899,parametros!$B$2:$B$6,0)),"")="Sim",IFERROR(INDEX(parametros!$H$2:$H$6,MATCH(C899,parametros!$B$2:$B$6,0)),"")=""),"INICIO_EFEITO ausente: PC "&amp;A899&amp;" - "&amp;C899,IF(L899="","EFEITO_PC nao calculado: PC "&amp;A899&amp;" - "&amp;C899,"OK")))))))))</f>
        <v/>
      </c>
      <c r="L899" s="92" t="str">
        <f>IF(AND(A899="",B899="",D899="",G899=""),"",IF(OR(B899="",NOT(ISNUMBER(B899)),C899="",C899="Fora dos ciclos"),"",IF(C899="C0","Nao",IF(IFERROR(INDEX(parametros!$A$2:$A$6,MATCH(C899,parametros!$B$2:$B$6,0)),"")&lt;&gt;"Sim","Nao",IF(IFERROR(INDEX(parametros!$H$2:$H$6,MATCH(C899,parametros!$B$2:$B$6,0)),"")="","",IF(B899&gt;=IFERROR(INDEX(parametros!$H$2:$H$6,MATCH(C899,parametros!$B$2:$B$6,0)),""),"Sim","Nao"))))))</f>
        <v/>
      </c>
      <c r="T899" s="156"/>
      <c r="U899" s="214" t="str">
        <f t="shared" si="76"/>
        <v/>
      </c>
      <c r="V899" s="212" t="s">
        <v>50</v>
      </c>
      <c r="W899" s="100" t="s">
        <v>168</v>
      </c>
      <c r="X899" s="100" t="s">
        <v>169</v>
      </c>
      <c r="Y899" s="101" t="s">
        <v>170</v>
      </c>
      <c r="Z899" s="101" t="s">
        <v>171</v>
      </c>
      <c r="AA899" s="101" t="s">
        <v>50</v>
      </c>
      <c r="AB899" s="101" t="s">
        <v>172</v>
      </c>
      <c r="AC899" s="102" t="s">
        <v>173</v>
      </c>
    </row>
    <row r="900" spans="1:29" ht="25.5" customHeight="1" x14ac:dyDescent="0.35">
      <c r="A900" s="392"/>
      <c r="B900" s="393"/>
      <c r="C900" s="99" t="str">
        <f>IF(B900="","",IF(NOT(ISNUMBER(B900)),"DATA_PC invalida",IF(NOT(ISNUMBER(parametros!$C$2)),"Fora dos ciclos",IF(OR(B900&lt;parametros!$C$2,(YEAR(B900)-YEAR(parametros!$C$2))*12+MONTH(B900)-MONTH(parametros!$C$2)&gt;59),"Fora dos ciclos","C"&amp;INT(((YEAR(B900)-YEAR(parametros!$C$2))*12+MONTH(B900)-MONTH(parametros!$C$2))/12)))))</f>
        <v/>
      </c>
      <c r="D900" s="394"/>
      <c r="E900" s="78" t="str">
        <f>IF(C900="","",IFERROR(VLOOKUP(C900,parametros!$A$11:$E$15,5,0),""))</f>
        <v/>
      </c>
      <c r="F900" s="79" t="str">
        <f t="shared" si="72"/>
        <v/>
      </c>
      <c r="G900" s="395"/>
      <c r="H900" s="91">
        <f t="shared" si="73"/>
        <v>0</v>
      </c>
      <c r="I900" s="91" t="str">
        <f t="shared" si="74"/>
        <v/>
      </c>
      <c r="J900" s="91" t="str">
        <f t="shared" si="75"/>
        <v/>
      </c>
      <c r="K900" s="92" t="str">
        <f>IF(AND(A900="",B900="",D900="",G900=""),"",IF(AND(A900&lt;&gt;"",COUNTIF($A$2:$A$5001,A900)&gt;1),"NUMERO_PC duplicado",IF(B900="","DATA_PC vazia",IF(NOT(ISNUMBER(B900)),"DATA_PC invalida",IF(OR(C900="",C900="Fora dos ciclos"),"CICLO_PC nao identificado",IF(OR(D900="",D900=0),"VALOR_PC vazio ou zero",IF(AND(G900&lt;&gt;"Sim",G900&lt;&gt;"Nao",G900&lt;&gt;""),"PC_PAGO_A_CONTRATADA invalido",IF(AND(C900&lt;&gt;"C0",IFERROR(INDEX(parametros!$A$2:$A$6,MATCH(C900,parametros!$B$2:$B$6,0)),"")="Sim",IFERROR(INDEX(parametros!$H$2:$H$6,MATCH(C900,parametros!$B$2:$B$6,0)),"")=""),"INICIO_EFEITO ausente: PC "&amp;A900&amp;" - "&amp;C900,IF(L900="","EFEITO_PC nao calculado: PC "&amp;A900&amp;" - "&amp;C900,"OK")))))))))</f>
        <v/>
      </c>
      <c r="L900" s="92" t="str">
        <f>IF(AND(A900="",B900="",D900="",G900=""),"",IF(OR(B900="",NOT(ISNUMBER(B900)),C900="",C900="Fora dos ciclos"),"",IF(C900="C0","Nao",IF(IFERROR(INDEX(parametros!$A$2:$A$6,MATCH(C900,parametros!$B$2:$B$6,0)),"")&lt;&gt;"Sim","Nao",IF(IFERROR(INDEX(parametros!$H$2:$H$6,MATCH(C900,parametros!$B$2:$B$6,0)),"")="","",IF(B900&gt;=IFERROR(INDEX(parametros!$H$2:$H$6,MATCH(C900,parametros!$B$2:$B$6,0)),""),"Sim","Nao"))))))</f>
        <v/>
      </c>
      <c r="T900" s="156"/>
      <c r="U900" s="214" t="str">
        <f t="shared" si="76"/>
        <v/>
      </c>
      <c r="V900" s="212" t="s">
        <v>50</v>
      </c>
      <c r="W900" s="100" t="s">
        <v>168</v>
      </c>
      <c r="X900" s="100" t="s">
        <v>169</v>
      </c>
      <c r="Y900" s="101" t="s">
        <v>170</v>
      </c>
      <c r="Z900" s="101" t="s">
        <v>171</v>
      </c>
      <c r="AA900" s="101" t="s">
        <v>50</v>
      </c>
      <c r="AB900" s="101" t="s">
        <v>172</v>
      </c>
      <c r="AC900" s="102" t="s">
        <v>173</v>
      </c>
    </row>
    <row r="901" spans="1:29" ht="25.5" customHeight="1" x14ac:dyDescent="0.35">
      <c r="A901" s="392"/>
      <c r="B901" s="393"/>
      <c r="C901" s="99" t="str">
        <f>IF(B901="","",IF(NOT(ISNUMBER(B901)),"DATA_PC invalida",IF(NOT(ISNUMBER(parametros!$C$2)),"Fora dos ciclos",IF(OR(B901&lt;parametros!$C$2,(YEAR(B901)-YEAR(parametros!$C$2))*12+MONTH(B901)-MONTH(parametros!$C$2)&gt;59),"Fora dos ciclos","C"&amp;INT(((YEAR(B901)-YEAR(parametros!$C$2))*12+MONTH(B901)-MONTH(parametros!$C$2))/12)))))</f>
        <v/>
      </c>
      <c r="D901" s="394"/>
      <c r="E901" s="78" t="str">
        <f>IF(C901="","",IFERROR(VLOOKUP(C901,parametros!$A$11:$E$15,5,0),""))</f>
        <v/>
      </c>
      <c r="F901" s="79" t="str">
        <f t="shared" si="72"/>
        <v/>
      </c>
      <c r="G901" s="395"/>
      <c r="H901" s="91">
        <f t="shared" si="73"/>
        <v>0</v>
      </c>
      <c r="I901" s="91" t="str">
        <f t="shared" si="74"/>
        <v/>
      </c>
      <c r="J901" s="91" t="str">
        <f t="shared" si="75"/>
        <v/>
      </c>
      <c r="K901" s="92" t="str">
        <f>IF(AND(A901="",B901="",D901="",G901=""),"",IF(AND(A901&lt;&gt;"",COUNTIF($A$2:$A$5001,A901)&gt;1),"NUMERO_PC duplicado",IF(B901="","DATA_PC vazia",IF(NOT(ISNUMBER(B901)),"DATA_PC invalida",IF(OR(C901="",C901="Fora dos ciclos"),"CICLO_PC nao identificado",IF(OR(D901="",D901=0),"VALOR_PC vazio ou zero",IF(AND(G901&lt;&gt;"Sim",G901&lt;&gt;"Nao",G901&lt;&gt;""),"PC_PAGO_A_CONTRATADA invalido",IF(AND(C901&lt;&gt;"C0",IFERROR(INDEX(parametros!$A$2:$A$6,MATCH(C901,parametros!$B$2:$B$6,0)),"")="Sim",IFERROR(INDEX(parametros!$H$2:$H$6,MATCH(C901,parametros!$B$2:$B$6,0)),"")=""),"INICIO_EFEITO ausente: PC "&amp;A901&amp;" - "&amp;C901,IF(L901="","EFEITO_PC nao calculado: PC "&amp;A901&amp;" - "&amp;C901,"OK")))))))))</f>
        <v/>
      </c>
      <c r="L901" s="92" t="str">
        <f>IF(AND(A901="",B901="",D901="",G901=""),"",IF(OR(B901="",NOT(ISNUMBER(B901)),C901="",C901="Fora dos ciclos"),"",IF(C901="C0","Nao",IF(IFERROR(INDEX(parametros!$A$2:$A$6,MATCH(C901,parametros!$B$2:$B$6,0)),"")&lt;&gt;"Sim","Nao",IF(IFERROR(INDEX(parametros!$H$2:$H$6,MATCH(C901,parametros!$B$2:$B$6,0)),"")="","",IF(B901&gt;=IFERROR(INDEX(parametros!$H$2:$H$6,MATCH(C901,parametros!$B$2:$B$6,0)),""),"Sim","Nao"))))))</f>
        <v/>
      </c>
      <c r="T901" s="156"/>
      <c r="U901" s="214" t="str">
        <f t="shared" si="76"/>
        <v/>
      </c>
      <c r="V901" s="212" t="s">
        <v>50</v>
      </c>
      <c r="W901" s="100" t="s">
        <v>168</v>
      </c>
      <c r="X901" s="100" t="s">
        <v>169</v>
      </c>
      <c r="Y901" s="101" t="s">
        <v>170</v>
      </c>
      <c r="Z901" s="101" t="s">
        <v>171</v>
      </c>
      <c r="AA901" s="101" t="s">
        <v>50</v>
      </c>
      <c r="AB901" s="101" t="s">
        <v>172</v>
      </c>
      <c r="AC901" s="102" t="s">
        <v>173</v>
      </c>
    </row>
    <row r="902" spans="1:29" ht="25.5" customHeight="1" x14ac:dyDescent="0.35">
      <c r="A902" s="392"/>
      <c r="B902" s="393"/>
      <c r="C902" s="99" t="str">
        <f>IF(B902="","",IF(NOT(ISNUMBER(B902)),"DATA_PC invalida",IF(NOT(ISNUMBER(parametros!$C$2)),"Fora dos ciclos",IF(OR(B902&lt;parametros!$C$2,(YEAR(B902)-YEAR(parametros!$C$2))*12+MONTH(B902)-MONTH(parametros!$C$2)&gt;59),"Fora dos ciclos","C"&amp;INT(((YEAR(B902)-YEAR(parametros!$C$2))*12+MONTH(B902)-MONTH(parametros!$C$2))/12)))))</f>
        <v/>
      </c>
      <c r="D902" s="394"/>
      <c r="E902" s="78" t="str">
        <f>IF(C902="","",IFERROR(VLOOKUP(C902,parametros!$A$11:$E$15,5,0),""))</f>
        <v/>
      </c>
      <c r="F902" s="79" t="str">
        <f t="shared" si="72"/>
        <v/>
      </c>
      <c r="G902" s="395"/>
      <c r="H902" s="91">
        <f t="shared" si="73"/>
        <v>0</v>
      </c>
      <c r="I902" s="91" t="str">
        <f t="shared" si="74"/>
        <v/>
      </c>
      <c r="J902" s="91" t="str">
        <f t="shared" si="75"/>
        <v/>
      </c>
      <c r="K902" s="92" t="str">
        <f>IF(AND(A902="",B902="",D902="",G902=""),"",IF(AND(A902&lt;&gt;"",COUNTIF($A$2:$A$5001,A902)&gt;1),"NUMERO_PC duplicado",IF(B902="","DATA_PC vazia",IF(NOT(ISNUMBER(B902)),"DATA_PC invalida",IF(OR(C902="",C902="Fora dos ciclos"),"CICLO_PC nao identificado",IF(OR(D902="",D902=0),"VALOR_PC vazio ou zero",IF(AND(G902&lt;&gt;"Sim",G902&lt;&gt;"Nao",G902&lt;&gt;""),"PC_PAGO_A_CONTRATADA invalido",IF(AND(C902&lt;&gt;"C0",IFERROR(INDEX(parametros!$A$2:$A$6,MATCH(C902,parametros!$B$2:$B$6,0)),"")="Sim",IFERROR(INDEX(parametros!$H$2:$H$6,MATCH(C902,parametros!$B$2:$B$6,0)),"")=""),"INICIO_EFEITO ausente: PC "&amp;A902&amp;" - "&amp;C902,IF(L902="","EFEITO_PC nao calculado: PC "&amp;A902&amp;" - "&amp;C902,"OK")))))))))</f>
        <v/>
      </c>
      <c r="L902" s="92" t="str">
        <f>IF(AND(A902="",B902="",D902="",G902=""),"",IF(OR(B902="",NOT(ISNUMBER(B902)),C902="",C902="Fora dos ciclos"),"",IF(C902="C0","Nao",IF(IFERROR(INDEX(parametros!$A$2:$A$6,MATCH(C902,parametros!$B$2:$B$6,0)),"")&lt;&gt;"Sim","Nao",IF(IFERROR(INDEX(parametros!$H$2:$H$6,MATCH(C902,parametros!$B$2:$B$6,0)),"")="","",IF(B902&gt;=IFERROR(INDEX(parametros!$H$2:$H$6,MATCH(C902,parametros!$B$2:$B$6,0)),""),"Sim","Nao"))))))</f>
        <v/>
      </c>
      <c r="T902" s="156"/>
      <c r="U902" s="214" t="str">
        <f t="shared" si="76"/>
        <v/>
      </c>
      <c r="V902" s="212" t="s">
        <v>50</v>
      </c>
      <c r="W902" s="100" t="s">
        <v>168</v>
      </c>
      <c r="X902" s="100" t="s">
        <v>169</v>
      </c>
      <c r="Y902" s="101" t="s">
        <v>170</v>
      </c>
      <c r="Z902" s="101" t="s">
        <v>171</v>
      </c>
      <c r="AA902" s="101" t="s">
        <v>50</v>
      </c>
      <c r="AB902" s="101" t="s">
        <v>172</v>
      </c>
      <c r="AC902" s="102" t="s">
        <v>173</v>
      </c>
    </row>
    <row r="903" spans="1:29" ht="25.5" customHeight="1" x14ac:dyDescent="0.35">
      <c r="A903" s="392"/>
      <c r="B903" s="393"/>
      <c r="C903" s="99" t="str">
        <f>IF(B903="","",IF(NOT(ISNUMBER(B903)),"DATA_PC invalida",IF(NOT(ISNUMBER(parametros!$C$2)),"Fora dos ciclos",IF(OR(B903&lt;parametros!$C$2,(YEAR(B903)-YEAR(parametros!$C$2))*12+MONTH(B903)-MONTH(parametros!$C$2)&gt;59),"Fora dos ciclos","C"&amp;INT(((YEAR(B903)-YEAR(parametros!$C$2))*12+MONTH(B903)-MONTH(parametros!$C$2))/12)))))</f>
        <v/>
      </c>
      <c r="D903" s="394"/>
      <c r="E903" s="78" t="str">
        <f>IF(C903="","",IFERROR(VLOOKUP(C903,parametros!$A$11:$E$15,5,0),""))</f>
        <v/>
      </c>
      <c r="F903" s="79" t="str">
        <f t="shared" si="72"/>
        <v/>
      </c>
      <c r="G903" s="395"/>
      <c r="H903" s="91">
        <f t="shared" si="73"/>
        <v>0</v>
      </c>
      <c r="I903" s="91" t="str">
        <f t="shared" si="74"/>
        <v/>
      </c>
      <c r="J903" s="91" t="str">
        <f t="shared" si="75"/>
        <v/>
      </c>
      <c r="K903" s="92" t="str">
        <f>IF(AND(A903="",B903="",D903="",G903=""),"",IF(AND(A903&lt;&gt;"",COUNTIF($A$2:$A$5001,A903)&gt;1),"NUMERO_PC duplicado",IF(B903="","DATA_PC vazia",IF(NOT(ISNUMBER(B903)),"DATA_PC invalida",IF(OR(C903="",C903="Fora dos ciclos"),"CICLO_PC nao identificado",IF(OR(D903="",D903=0),"VALOR_PC vazio ou zero",IF(AND(G903&lt;&gt;"Sim",G903&lt;&gt;"Nao",G903&lt;&gt;""),"PC_PAGO_A_CONTRATADA invalido",IF(AND(C903&lt;&gt;"C0",IFERROR(INDEX(parametros!$A$2:$A$6,MATCH(C903,parametros!$B$2:$B$6,0)),"")="Sim",IFERROR(INDEX(parametros!$H$2:$H$6,MATCH(C903,parametros!$B$2:$B$6,0)),"")=""),"INICIO_EFEITO ausente: PC "&amp;A903&amp;" - "&amp;C903,IF(L903="","EFEITO_PC nao calculado: PC "&amp;A903&amp;" - "&amp;C903,"OK")))))))))</f>
        <v/>
      </c>
      <c r="L903" s="92" t="str">
        <f>IF(AND(A903="",B903="",D903="",G903=""),"",IF(OR(B903="",NOT(ISNUMBER(B903)),C903="",C903="Fora dos ciclos"),"",IF(C903="C0","Nao",IF(IFERROR(INDEX(parametros!$A$2:$A$6,MATCH(C903,parametros!$B$2:$B$6,0)),"")&lt;&gt;"Sim","Nao",IF(IFERROR(INDEX(parametros!$H$2:$H$6,MATCH(C903,parametros!$B$2:$B$6,0)),"")="","",IF(B903&gt;=IFERROR(INDEX(parametros!$H$2:$H$6,MATCH(C903,parametros!$B$2:$B$6,0)),""),"Sim","Nao"))))))</f>
        <v/>
      </c>
      <c r="T903" s="156"/>
      <c r="U903" s="214" t="str">
        <f t="shared" si="76"/>
        <v/>
      </c>
      <c r="V903" s="212" t="s">
        <v>50</v>
      </c>
      <c r="W903" s="100" t="s">
        <v>168</v>
      </c>
      <c r="X903" s="100" t="s">
        <v>169</v>
      </c>
      <c r="Y903" s="101" t="s">
        <v>170</v>
      </c>
      <c r="Z903" s="101" t="s">
        <v>171</v>
      </c>
      <c r="AA903" s="101" t="s">
        <v>50</v>
      </c>
      <c r="AB903" s="101" t="s">
        <v>172</v>
      </c>
      <c r="AC903" s="102" t="s">
        <v>173</v>
      </c>
    </row>
    <row r="904" spans="1:29" ht="25.5" customHeight="1" x14ac:dyDescent="0.35">
      <c r="A904" s="392"/>
      <c r="B904" s="393"/>
      <c r="C904" s="99" t="str">
        <f>IF(B904="","",IF(NOT(ISNUMBER(B904)),"DATA_PC invalida",IF(NOT(ISNUMBER(parametros!$C$2)),"Fora dos ciclos",IF(OR(B904&lt;parametros!$C$2,(YEAR(B904)-YEAR(parametros!$C$2))*12+MONTH(B904)-MONTH(parametros!$C$2)&gt;59),"Fora dos ciclos","C"&amp;INT(((YEAR(B904)-YEAR(parametros!$C$2))*12+MONTH(B904)-MONTH(parametros!$C$2))/12)))))</f>
        <v/>
      </c>
      <c r="D904" s="394"/>
      <c r="E904" s="78" t="str">
        <f>IF(C904="","",IFERROR(VLOOKUP(C904,parametros!$A$11:$E$15,5,0),""))</f>
        <v/>
      </c>
      <c r="F904" s="79" t="str">
        <f t="shared" si="72"/>
        <v/>
      </c>
      <c r="G904" s="395"/>
      <c r="H904" s="91">
        <f t="shared" si="73"/>
        <v>0</v>
      </c>
      <c r="I904" s="91" t="str">
        <f t="shared" si="74"/>
        <v/>
      </c>
      <c r="J904" s="91" t="str">
        <f t="shared" si="75"/>
        <v/>
      </c>
      <c r="K904" s="92" t="str">
        <f>IF(AND(A904="",B904="",D904="",G904=""),"",IF(AND(A904&lt;&gt;"",COUNTIF($A$2:$A$5001,A904)&gt;1),"NUMERO_PC duplicado",IF(B904="","DATA_PC vazia",IF(NOT(ISNUMBER(B904)),"DATA_PC invalida",IF(OR(C904="",C904="Fora dos ciclos"),"CICLO_PC nao identificado",IF(OR(D904="",D904=0),"VALOR_PC vazio ou zero",IF(AND(G904&lt;&gt;"Sim",G904&lt;&gt;"Nao",G904&lt;&gt;""),"PC_PAGO_A_CONTRATADA invalido",IF(AND(C904&lt;&gt;"C0",IFERROR(INDEX(parametros!$A$2:$A$6,MATCH(C904,parametros!$B$2:$B$6,0)),"")="Sim",IFERROR(INDEX(parametros!$H$2:$H$6,MATCH(C904,parametros!$B$2:$B$6,0)),"")=""),"INICIO_EFEITO ausente: PC "&amp;A904&amp;" - "&amp;C904,IF(L904="","EFEITO_PC nao calculado: PC "&amp;A904&amp;" - "&amp;C904,"OK")))))))))</f>
        <v/>
      </c>
      <c r="L904" s="92" t="str">
        <f>IF(AND(A904="",B904="",D904="",G904=""),"",IF(OR(B904="",NOT(ISNUMBER(B904)),C904="",C904="Fora dos ciclos"),"",IF(C904="C0","Nao",IF(IFERROR(INDEX(parametros!$A$2:$A$6,MATCH(C904,parametros!$B$2:$B$6,0)),"")&lt;&gt;"Sim","Nao",IF(IFERROR(INDEX(parametros!$H$2:$H$6,MATCH(C904,parametros!$B$2:$B$6,0)),"")="","",IF(B904&gt;=IFERROR(INDEX(parametros!$H$2:$H$6,MATCH(C904,parametros!$B$2:$B$6,0)),""),"Sim","Nao"))))))</f>
        <v/>
      </c>
      <c r="T904" s="156"/>
      <c r="U904" s="214" t="str">
        <f t="shared" si="76"/>
        <v/>
      </c>
      <c r="V904" s="212" t="s">
        <v>50</v>
      </c>
      <c r="W904" s="100" t="s">
        <v>168</v>
      </c>
      <c r="X904" s="100" t="s">
        <v>169</v>
      </c>
      <c r="Y904" s="101" t="s">
        <v>170</v>
      </c>
      <c r="Z904" s="101" t="s">
        <v>171</v>
      </c>
      <c r="AA904" s="101" t="s">
        <v>50</v>
      </c>
      <c r="AB904" s="101" t="s">
        <v>172</v>
      </c>
      <c r="AC904" s="102" t="s">
        <v>173</v>
      </c>
    </row>
    <row r="905" spans="1:29" ht="25.5" customHeight="1" x14ac:dyDescent="0.35">
      <c r="A905" s="392"/>
      <c r="B905" s="393"/>
      <c r="C905" s="99" t="str">
        <f>IF(B905="","",IF(NOT(ISNUMBER(B905)),"DATA_PC invalida",IF(NOT(ISNUMBER(parametros!$C$2)),"Fora dos ciclos",IF(OR(B905&lt;parametros!$C$2,(YEAR(B905)-YEAR(parametros!$C$2))*12+MONTH(B905)-MONTH(parametros!$C$2)&gt;59),"Fora dos ciclos","C"&amp;INT(((YEAR(B905)-YEAR(parametros!$C$2))*12+MONTH(B905)-MONTH(parametros!$C$2))/12)))))</f>
        <v/>
      </c>
      <c r="D905" s="394"/>
      <c r="E905" s="78" t="str">
        <f>IF(C905="","",IFERROR(VLOOKUP(C905,parametros!$A$11:$E$15,5,0),""))</f>
        <v/>
      </c>
      <c r="F905" s="79" t="str">
        <f t="shared" si="72"/>
        <v/>
      </c>
      <c r="G905" s="395"/>
      <c r="H905" s="91">
        <f t="shared" si="73"/>
        <v>0</v>
      </c>
      <c r="I905" s="91" t="str">
        <f t="shared" si="74"/>
        <v/>
      </c>
      <c r="J905" s="91" t="str">
        <f t="shared" si="75"/>
        <v/>
      </c>
      <c r="K905" s="92" t="str">
        <f>IF(AND(A905="",B905="",D905="",G905=""),"",IF(AND(A905&lt;&gt;"",COUNTIF($A$2:$A$5001,A905)&gt;1),"NUMERO_PC duplicado",IF(B905="","DATA_PC vazia",IF(NOT(ISNUMBER(B905)),"DATA_PC invalida",IF(OR(C905="",C905="Fora dos ciclos"),"CICLO_PC nao identificado",IF(OR(D905="",D905=0),"VALOR_PC vazio ou zero",IF(AND(G905&lt;&gt;"Sim",G905&lt;&gt;"Nao",G905&lt;&gt;""),"PC_PAGO_A_CONTRATADA invalido",IF(AND(C905&lt;&gt;"C0",IFERROR(INDEX(parametros!$A$2:$A$6,MATCH(C905,parametros!$B$2:$B$6,0)),"")="Sim",IFERROR(INDEX(parametros!$H$2:$H$6,MATCH(C905,parametros!$B$2:$B$6,0)),"")=""),"INICIO_EFEITO ausente: PC "&amp;A905&amp;" - "&amp;C905,IF(L905="","EFEITO_PC nao calculado: PC "&amp;A905&amp;" - "&amp;C905,"OK")))))))))</f>
        <v/>
      </c>
      <c r="L905" s="92" t="str">
        <f>IF(AND(A905="",B905="",D905="",G905=""),"",IF(OR(B905="",NOT(ISNUMBER(B905)),C905="",C905="Fora dos ciclos"),"",IF(C905="C0","Nao",IF(IFERROR(INDEX(parametros!$A$2:$A$6,MATCH(C905,parametros!$B$2:$B$6,0)),"")&lt;&gt;"Sim","Nao",IF(IFERROR(INDEX(parametros!$H$2:$H$6,MATCH(C905,parametros!$B$2:$B$6,0)),"")="","",IF(B905&gt;=IFERROR(INDEX(parametros!$H$2:$H$6,MATCH(C905,parametros!$B$2:$B$6,0)),""),"Sim","Nao"))))))</f>
        <v/>
      </c>
      <c r="T905" s="156"/>
      <c r="U905" s="214" t="str">
        <f t="shared" si="76"/>
        <v/>
      </c>
      <c r="V905" s="212" t="s">
        <v>50</v>
      </c>
      <c r="W905" s="100" t="s">
        <v>168</v>
      </c>
      <c r="X905" s="100" t="s">
        <v>169</v>
      </c>
      <c r="Y905" s="101" t="s">
        <v>170</v>
      </c>
      <c r="Z905" s="101" t="s">
        <v>171</v>
      </c>
      <c r="AA905" s="101" t="s">
        <v>50</v>
      </c>
      <c r="AB905" s="101" t="s">
        <v>172</v>
      </c>
      <c r="AC905" s="102" t="s">
        <v>173</v>
      </c>
    </row>
    <row r="906" spans="1:29" ht="25.5" customHeight="1" x14ac:dyDescent="0.35">
      <c r="A906" s="392"/>
      <c r="B906" s="393"/>
      <c r="C906" s="99" t="str">
        <f>IF(B906="","",IF(NOT(ISNUMBER(B906)),"DATA_PC invalida",IF(NOT(ISNUMBER(parametros!$C$2)),"Fora dos ciclos",IF(OR(B906&lt;parametros!$C$2,(YEAR(B906)-YEAR(parametros!$C$2))*12+MONTH(B906)-MONTH(parametros!$C$2)&gt;59),"Fora dos ciclos","C"&amp;INT(((YEAR(B906)-YEAR(parametros!$C$2))*12+MONTH(B906)-MONTH(parametros!$C$2))/12)))))</f>
        <v/>
      </c>
      <c r="D906" s="394"/>
      <c r="E906" s="78" t="str">
        <f>IF(C906="","",IFERROR(VLOOKUP(C906,parametros!$A$11:$E$15,5,0),""))</f>
        <v/>
      </c>
      <c r="F906" s="79" t="str">
        <f t="shared" si="72"/>
        <v/>
      </c>
      <c r="G906" s="395"/>
      <c r="H906" s="91">
        <f t="shared" si="73"/>
        <v>0</v>
      </c>
      <c r="I906" s="91" t="str">
        <f t="shared" si="74"/>
        <v/>
      </c>
      <c r="J906" s="91" t="str">
        <f t="shared" si="75"/>
        <v/>
      </c>
      <c r="K906" s="92" t="str">
        <f>IF(AND(A906="",B906="",D906="",G906=""),"",IF(AND(A906&lt;&gt;"",COUNTIF($A$2:$A$5001,A906)&gt;1),"NUMERO_PC duplicado",IF(B906="","DATA_PC vazia",IF(NOT(ISNUMBER(B906)),"DATA_PC invalida",IF(OR(C906="",C906="Fora dos ciclos"),"CICLO_PC nao identificado",IF(OR(D906="",D906=0),"VALOR_PC vazio ou zero",IF(AND(G906&lt;&gt;"Sim",G906&lt;&gt;"Nao",G906&lt;&gt;""),"PC_PAGO_A_CONTRATADA invalido",IF(AND(C906&lt;&gt;"C0",IFERROR(INDEX(parametros!$A$2:$A$6,MATCH(C906,parametros!$B$2:$B$6,0)),"")="Sim",IFERROR(INDEX(parametros!$H$2:$H$6,MATCH(C906,parametros!$B$2:$B$6,0)),"")=""),"INICIO_EFEITO ausente: PC "&amp;A906&amp;" - "&amp;C906,IF(L906="","EFEITO_PC nao calculado: PC "&amp;A906&amp;" - "&amp;C906,"OK")))))))))</f>
        <v/>
      </c>
      <c r="L906" s="92" t="str">
        <f>IF(AND(A906="",B906="",D906="",G906=""),"",IF(OR(B906="",NOT(ISNUMBER(B906)),C906="",C906="Fora dos ciclos"),"",IF(C906="C0","Nao",IF(IFERROR(INDEX(parametros!$A$2:$A$6,MATCH(C906,parametros!$B$2:$B$6,0)),"")&lt;&gt;"Sim","Nao",IF(IFERROR(INDEX(parametros!$H$2:$H$6,MATCH(C906,parametros!$B$2:$B$6,0)),"")="","",IF(B906&gt;=IFERROR(INDEX(parametros!$H$2:$H$6,MATCH(C906,parametros!$B$2:$B$6,0)),""),"Sim","Nao"))))))</f>
        <v/>
      </c>
      <c r="T906" s="156"/>
      <c r="U906" s="214" t="str">
        <f t="shared" si="76"/>
        <v/>
      </c>
      <c r="V906" s="212" t="s">
        <v>50</v>
      </c>
      <c r="W906" s="100" t="s">
        <v>168</v>
      </c>
      <c r="X906" s="100" t="s">
        <v>169</v>
      </c>
      <c r="Y906" s="101" t="s">
        <v>170</v>
      </c>
      <c r="Z906" s="101" t="s">
        <v>171</v>
      </c>
      <c r="AA906" s="101" t="s">
        <v>50</v>
      </c>
      <c r="AB906" s="101" t="s">
        <v>172</v>
      </c>
      <c r="AC906" s="102" t="s">
        <v>173</v>
      </c>
    </row>
    <row r="907" spans="1:29" ht="25.5" customHeight="1" x14ac:dyDescent="0.35">
      <c r="A907" s="392"/>
      <c r="B907" s="393"/>
      <c r="C907" s="99" t="str">
        <f>IF(B907="","",IF(NOT(ISNUMBER(B907)),"DATA_PC invalida",IF(NOT(ISNUMBER(parametros!$C$2)),"Fora dos ciclos",IF(OR(B907&lt;parametros!$C$2,(YEAR(B907)-YEAR(parametros!$C$2))*12+MONTH(B907)-MONTH(parametros!$C$2)&gt;59),"Fora dos ciclos","C"&amp;INT(((YEAR(B907)-YEAR(parametros!$C$2))*12+MONTH(B907)-MONTH(parametros!$C$2))/12)))))</f>
        <v/>
      </c>
      <c r="D907" s="394"/>
      <c r="E907" s="78" t="str">
        <f>IF(C907="","",IFERROR(VLOOKUP(C907,parametros!$A$11:$E$15,5,0),""))</f>
        <v/>
      </c>
      <c r="F907" s="79" t="str">
        <f t="shared" si="72"/>
        <v/>
      </c>
      <c r="G907" s="395"/>
      <c r="H907" s="91">
        <f t="shared" si="73"/>
        <v>0</v>
      </c>
      <c r="I907" s="91" t="str">
        <f t="shared" si="74"/>
        <v/>
      </c>
      <c r="J907" s="91" t="str">
        <f t="shared" si="75"/>
        <v/>
      </c>
      <c r="K907" s="92" t="str">
        <f>IF(AND(A907="",B907="",D907="",G907=""),"",IF(AND(A907&lt;&gt;"",COUNTIF($A$2:$A$5001,A907)&gt;1),"NUMERO_PC duplicado",IF(B907="","DATA_PC vazia",IF(NOT(ISNUMBER(B907)),"DATA_PC invalida",IF(OR(C907="",C907="Fora dos ciclos"),"CICLO_PC nao identificado",IF(OR(D907="",D907=0),"VALOR_PC vazio ou zero",IF(AND(G907&lt;&gt;"Sim",G907&lt;&gt;"Nao",G907&lt;&gt;""),"PC_PAGO_A_CONTRATADA invalido",IF(AND(C907&lt;&gt;"C0",IFERROR(INDEX(parametros!$A$2:$A$6,MATCH(C907,parametros!$B$2:$B$6,0)),"")="Sim",IFERROR(INDEX(parametros!$H$2:$H$6,MATCH(C907,parametros!$B$2:$B$6,0)),"")=""),"INICIO_EFEITO ausente: PC "&amp;A907&amp;" - "&amp;C907,IF(L907="","EFEITO_PC nao calculado: PC "&amp;A907&amp;" - "&amp;C907,"OK")))))))))</f>
        <v/>
      </c>
      <c r="L907" s="92" t="str">
        <f>IF(AND(A907="",B907="",D907="",G907=""),"",IF(OR(B907="",NOT(ISNUMBER(B907)),C907="",C907="Fora dos ciclos"),"",IF(C907="C0","Nao",IF(IFERROR(INDEX(parametros!$A$2:$A$6,MATCH(C907,parametros!$B$2:$B$6,0)),"")&lt;&gt;"Sim","Nao",IF(IFERROR(INDEX(parametros!$H$2:$H$6,MATCH(C907,parametros!$B$2:$B$6,0)),"")="","",IF(B907&gt;=IFERROR(INDEX(parametros!$H$2:$H$6,MATCH(C907,parametros!$B$2:$B$6,0)),""),"Sim","Nao"))))))</f>
        <v/>
      </c>
      <c r="T907" s="156"/>
      <c r="U907" s="214" t="str">
        <f t="shared" si="76"/>
        <v/>
      </c>
      <c r="V907" s="212" t="s">
        <v>50</v>
      </c>
      <c r="W907" s="100" t="s">
        <v>168</v>
      </c>
      <c r="X907" s="100" t="s">
        <v>169</v>
      </c>
      <c r="Y907" s="101" t="s">
        <v>170</v>
      </c>
      <c r="Z907" s="101" t="s">
        <v>171</v>
      </c>
      <c r="AA907" s="101" t="s">
        <v>50</v>
      </c>
      <c r="AB907" s="101" t="s">
        <v>172</v>
      </c>
      <c r="AC907" s="102" t="s">
        <v>173</v>
      </c>
    </row>
    <row r="908" spans="1:29" ht="25.5" customHeight="1" x14ac:dyDescent="0.35">
      <c r="A908" s="392"/>
      <c r="B908" s="393"/>
      <c r="C908" s="99" t="str">
        <f>IF(B908="","",IF(NOT(ISNUMBER(B908)),"DATA_PC invalida",IF(NOT(ISNUMBER(parametros!$C$2)),"Fora dos ciclos",IF(OR(B908&lt;parametros!$C$2,(YEAR(B908)-YEAR(parametros!$C$2))*12+MONTH(B908)-MONTH(parametros!$C$2)&gt;59),"Fora dos ciclos","C"&amp;INT(((YEAR(B908)-YEAR(parametros!$C$2))*12+MONTH(B908)-MONTH(parametros!$C$2))/12)))))</f>
        <v/>
      </c>
      <c r="D908" s="394"/>
      <c r="E908" s="78" t="str">
        <f>IF(C908="","",IFERROR(VLOOKUP(C908,parametros!$A$11:$E$15,5,0),""))</f>
        <v/>
      </c>
      <c r="F908" s="79" t="str">
        <f t="shared" si="72"/>
        <v/>
      </c>
      <c r="G908" s="395"/>
      <c r="H908" s="91">
        <f t="shared" si="73"/>
        <v>0</v>
      </c>
      <c r="I908" s="91" t="str">
        <f t="shared" si="74"/>
        <v/>
      </c>
      <c r="J908" s="91" t="str">
        <f t="shared" si="75"/>
        <v/>
      </c>
      <c r="K908" s="92" t="str">
        <f>IF(AND(A908="",B908="",D908="",G908=""),"",IF(AND(A908&lt;&gt;"",COUNTIF($A$2:$A$5001,A908)&gt;1),"NUMERO_PC duplicado",IF(B908="","DATA_PC vazia",IF(NOT(ISNUMBER(B908)),"DATA_PC invalida",IF(OR(C908="",C908="Fora dos ciclos"),"CICLO_PC nao identificado",IF(OR(D908="",D908=0),"VALOR_PC vazio ou zero",IF(AND(G908&lt;&gt;"Sim",G908&lt;&gt;"Nao",G908&lt;&gt;""),"PC_PAGO_A_CONTRATADA invalido",IF(AND(C908&lt;&gt;"C0",IFERROR(INDEX(parametros!$A$2:$A$6,MATCH(C908,parametros!$B$2:$B$6,0)),"")="Sim",IFERROR(INDEX(parametros!$H$2:$H$6,MATCH(C908,parametros!$B$2:$B$6,0)),"")=""),"INICIO_EFEITO ausente: PC "&amp;A908&amp;" - "&amp;C908,IF(L908="","EFEITO_PC nao calculado: PC "&amp;A908&amp;" - "&amp;C908,"OK")))))))))</f>
        <v/>
      </c>
      <c r="L908" s="92" t="str">
        <f>IF(AND(A908="",B908="",D908="",G908=""),"",IF(OR(B908="",NOT(ISNUMBER(B908)),C908="",C908="Fora dos ciclos"),"",IF(C908="C0","Nao",IF(IFERROR(INDEX(parametros!$A$2:$A$6,MATCH(C908,parametros!$B$2:$B$6,0)),"")&lt;&gt;"Sim","Nao",IF(IFERROR(INDEX(parametros!$H$2:$H$6,MATCH(C908,parametros!$B$2:$B$6,0)),"")="","",IF(B908&gt;=IFERROR(INDEX(parametros!$H$2:$H$6,MATCH(C908,parametros!$B$2:$B$6,0)),""),"Sim","Nao"))))))</f>
        <v/>
      </c>
      <c r="T908" s="156"/>
      <c r="U908" s="214" t="str">
        <f t="shared" si="76"/>
        <v/>
      </c>
      <c r="V908" s="212" t="s">
        <v>50</v>
      </c>
      <c r="W908" s="100" t="s">
        <v>168</v>
      </c>
      <c r="X908" s="100" t="s">
        <v>169</v>
      </c>
      <c r="Y908" s="101" t="s">
        <v>170</v>
      </c>
      <c r="Z908" s="101" t="s">
        <v>171</v>
      </c>
      <c r="AA908" s="101" t="s">
        <v>50</v>
      </c>
      <c r="AB908" s="101" t="s">
        <v>172</v>
      </c>
      <c r="AC908" s="102" t="s">
        <v>173</v>
      </c>
    </row>
    <row r="909" spans="1:29" ht="25.5" customHeight="1" x14ac:dyDescent="0.35">
      <c r="A909" s="392"/>
      <c r="B909" s="393"/>
      <c r="C909" s="99" t="str">
        <f>IF(B909="","",IF(NOT(ISNUMBER(B909)),"DATA_PC invalida",IF(NOT(ISNUMBER(parametros!$C$2)),"Fora dos ciclos",IF(OR(B909&lt;parametros!$C$2,(YEAR(B909)-YEAR(parametros!$C$2))*12+MONTH(B909)-MONTH(parametros!$C$2)&gt;59),"Fora dos ciclos","C"&amp;INT(((YEAR(B909)-YEAR(parametros!$C$2))*12+MONTH(B909)-MONTH(parametros!$C$2))/12)))))</f>
        <v/>
      </c>
      <c r="D909" s="394"/>
      <c r="E909" s="78" t="str">
        <f>IF(C909="","",IFERROR(VLOOKUP(C909,parametros!$A$11:$E$15,5,0),""))</f>
        <v/>
      </c>
      <c r="F909" s="79" t="str">
        <f t="shared" si="72"/>
        <v/>
      </c>
      <c r="G909" s="395"/>
      <c r="H909" s="91">
        <f t="shared" si="73"/>
        <v>0</v>
      </c>
      <c r="I909" s="91" t="str">
        <f t="shared" si="74"/>
        <v/>
      </c>
      <c r="J909" s="91" t="str">
        <f t="shared" si="75"/>
        <v/>
      </c>
      <c r="K909" s="92" t="str">
        <f>IF(AND(A909="",B909="",D909="",G909=""),"",IF(AND(A909&lt;&gt;"",COUNTIF($A$2:$A$5001,A909)&gt;1),"NUMERO_PC duplicado",IF(B909="","DATA_PC vazia",IF(NOT(ISNUMBER(B909)),"DATA_PC invalida",IF(OR(C909="",C909="Fora dos ciclos"),"CICLO_PC nao identificado",IF(OR(D909="",D909=0),"VALOR_PC vazio ou zero",IF(AND(G909&lt;&gt;"Sim",G909&lt;&gt;"Nao",G909&lt;&gt;""),"PC_PAGO_A_CONTRATADA invalido",IF(AND(C909&lt;&gt;"C0",IFERROR(INDEX(parametros!$A$2:$A$6,MATCH(C909,parametros!$B$2:$B$6,0)),"")="Sim",IFERROR(INDEX(parametros!$H$2:$H$6,MATCH(C909,parametros!$B$2:$B$6,0)),"")=""),"INICIO_EFEITO ausente: PC "&amp;A909&amp;" - "&amp;C909,IF(L909="","EFEITO_PC nao calculado: PC "&amp;A909&amp;" - "&amp;C909,"OK")))))))))</f>
        <v/>
      </c>
      <c r="L909" s="92" t="str">
        <f>IF(AND(A909="",B909="",D909="",G909=""),"",IF(OR(B909="",NOT(ISNUMBER(B909)),C909="",C909="Fora dos ciclos"),"",IF(C909="C0","Nao",IF(IFERROR(INDEX(parametros!$A$2:$A$6,MATCH(C909,parametros!$B$2:$B$6,0)),"")&lt;&gt;"Sim","Nao",IF(IFERROR(INDEX(parametros!$H$2:$H$6,MATCH(C909,parametros!$B$2:$B$6,0)),"")="","",IF(B909&gt;=IFERROR(INDEX(parametros!$H$2:$H$6,MATCH(C909,parametros!$B$2:$B$6,0)),""),"Sim","Nao"))))))</f>
        <v/>
      </c>
      <c r="T909" s="156"/>
      <c r="U909" s="214" t="str">
        <f t="shared" si="76"/>
        <v/>
      </c>
      <c r="V909" s="212" t="s">
        <v>50</v>
      </c>
      <c r="W909" s="100" t="s">
        <v>168</v>
      </c>
      <c r="X909" s="100" t="s">
        <v>169</v>
      </c>
      <c r="Y909" s="101" t="s">
        <v>170</v>
      </c>
      <c r="Z909" s="101" t="s">
        <v>171</v>
      </c>
      <c r="AA909" s="101" t="s">
        <v>50</v>
      </c>
      <c r="AB909" s="101" t="s">
        <v>172</v>
      </c>
      <c r="AC909" s="102" t="s">
        <v>173</v>
      </c>
    </row>
    <row r="910" spans="1:29" ht="25.5" customHeight="1" x14ac:dyDescent="0.35">
      <c r="A910" s="392"/>
      <c r="B910" s="393"/>
      <c r="C910" s="99" t="str">
        <f>IF(B910="","",IF(NOT(ISNUMBER(B910)),"DATA_PC invalida",IF(NOT(ISNUMBER(parametros!$C$2)),"Fora dos ciclos",IF(OR(B910&lt;parametros!$C$2,(YEAR(B910)-YEAR(parametros!$C$2))*12+MONTH(B910)-MONTH(parametros!$C$2)&gt;59),"Fora dos ciclos","C"&amp;INT(((YEAR(B910)-YEAR(parametros!$C$2))*12+MONTH(B910)-MONTH(parametros!$C$2))/12)))))</f>
        <v/>
      </c>
      <c r="D910" s="394"/>
      <c r="E910" s="78" t="str">
        <f>IF(C910="","",IFERROR(VLOOKUP(C910,parametros!$A$11:$E$15,5,0),""))</f>
        <v/>
      </c>
      <c r="F910" s="79" t="str">
        <f t="shared" si="72"/>
        <v/>
      </c>
      <c r="G910" s="395"/>
      <c r="H910" s="91">
        <f t="shared" si="73"/>
        <v>0</v>
      </c>
      <c r="I910" s="91" t="str">
        <f t="shared" si="74"/>
        <v/>
      </c>
      <c r="J910" s="91" t="str">
        <f t="shared" si="75"/>
        <v/>
      </c>
      <c r="K910" s="92" t="str">
        <f>IF(AND(A910="",B910="",D910="",G910=""),"",IF(AND(A910&lt;&gt;"",COUNTIF($A$2:$A$5001,A910)&gt;1),"NUMERO_PC duplicado",IF(B910="","DATA_PC vazia",IF(NOT(ISNUMBER(B910)),"DATA_PC invalida",IF(OR(C910="",C910="Fora dos ciclos"),"CICLO_PC nao identificado",IF(OR(D910="",D910=0),"VALOR_PC vazio ou zero",IF(AND(G910&lt;&gt;"Sim",G910&lt;&gt;"Nao",G910&lt;&gt;""),"PC_PAGO_A_CONTRATADA invalido",IF(AND(C910&lt;&gt;"C0",IFERROR(INDEX(parametros!$A$2:$A$6,MATCH(C910,parametros!$B$2:$B$6,0)),"")="Sim",IFERROR(INDEX(parametros!$H$2:$H$6,MATCH(C910,parametros!$B$2:$B$6,0)),"")=""),"INICIO_EFEITO ausente: PC "&amp;A910&amp;" - "&amp;C910,IF(L910="","EFEITO_PC nao calculado: PC "&amp;A910&amp;" - "&amp;C910,"OK")))))))))</f>
        <v/>
      </c>
      <c r="L910" s="92" t="str">
        <f>IF(AND(A910="",B910="",D910="",G910=""),"",IF(OR(B910="",NOT(ISNUMBER(B910)),C910="",C910="Fora dos ciclos"),"",IF(C910="C0","Nao",IF(IFERROR(INDEX(parametros!$A$2:$A$6,MATCH(C910,parametros!$B$2:$B$6,0)),"")&lt;&gt;"Sim","Nao",IF(IFERROR(INDEX(parametros!$H$2:$H$6,MATCH(C910,parametros!$B$2:$B$6,0)),"")="","",IF(B910&gt;=IFERROR(INDEX(parametros!$H$2:$H$6,MATCH(C910,parametros!$B$2:$B$6,0)),""),"Sim","Nao"))))))</f>
        <v/>
      </c>
      <c r="T910" s="156"/>
      <c r="U910" s="214" t="str">
        <f t="shared" si="76"/>
        <v/>
      </c>
      <c r="V910" s="212" t="s">
        <v>50</v>
      </c>
      <c r="W910" s="100" t="s">
        <v>168</v>
      </c>
      <c r="X910" s="100" t="s">
        <v>169</v>
      </c>
      <c r="Y910" s="101" t="s">
        <v>170</v>
      </c>
      <c r="Z910" s="101" t="s">
        <v>171</v>
      </c>
      <c r="AA910" s="101" t="s">
        <v>50</v>
      </c>
      <c r="AB910" s="101" t="s">
        <v>172</v>
      </c>
      <c r="AC910" s="102" t="s">
        <v>173</v>
      </c>
    </row>
    <row r="911" spans="1:29" ht="25.5" customHeight="1" x14ac:dyDescent="0.35">
      <c r="A911" s="392"/>
      <c r="B911" s="393"/>
      <c r="C911" s="99" t="str">
        <f>IF(B911="","",IF(NOT(ISNUMBER(B911)),"DATA_PC invalida",IF(NOT(ISNUMBER(parametros!$C$2)),"Fora dos ciclos",IF(OR(B911&lt;parametros!$C$2,(YEAR(B911)-YEAR(parametros!$C$2))*12+MONTH(B911)-MONTH(parametros!$C$2)&gt;59),"Fora dos ciclos","C"&amp;INT(((YEAR(B911)-YEAR(parametros!$C$2))*12+MONTH(B911)-MONTH(parametros!$C$2))/12)))))</f>
        <v/>
      </c>
      <c r="D911" s="394"/>
      <c r="E911" s="78" t="str">
        <f>IF(C911="","",IFERROR(VLOOKUP(C911,parametros!$A$11:$E$15,5,0),""))</f>
        <v/>
      </c>
      <c r="F911" s="79" t="str">
        <f t="shared" si="72"/>
        <v/>
      </c>
      <c r="G911" s="395"/>
      <c r="H911" s="91">
        <f t="shared" si="73"/>
        <v>0</v>
      </c>
      <c r="I911" s="91" t="str">
        <f t="shared" si="74"/>
        <v/>
      </c>
      <c r="J911" s="91" t="str">
        <f t="shared" si="75"/>
        <v/>
      </c>
      <c r="K911" s="92" t="str">
        <f>IF(AND(A911="",B911="",D911="",G911=""),"",IF(AND(A911&lt;&gt;"",COUNTIF($A$2:$A$5001,A911)&gt;1),"NUMERO_PC duplicado",IF(B911="","DATA_PC vazia",IF(NOT(ISNUMBER(B911)),"DATA_PC invalida",IF(OR(C911="",C911="Fora dos ciclos"),"CICLO_PC nao identificado",IF(OR(D911="",D911=0),"VALOR_PC vazio ou zero",IF(AND(G911&lt;&gt;"Sim",G911&lt;&gt;"Nao",G911&lt;&gt;""),"PC_PAGO_A_CONTRATADA invalido",IF(AND(C911&lt;&gt;"C0",IFERROR(INDEX(parametros!$A$2:$A$6,MATCH(C911,parametros!$B$2:$B$6,0)),"")="Sim",IFERROR(INDEX(parametros!$H$2:$H$6,MATCH(C911,parametros!$B$2:$B$6,0)),"")=""),"INICIO_EFEITO ausente: PC "&amp;A911&amp;" - "&amp;C911,IF(L911="","EFEITO_PC nao calculado: PC "&amp;A911&amp;" - "&amp;C911,"OK")))))))))</f>
        <v/>
      </c>
      <c r="L911" s="92" t="str">
        <f>IF(AND(A911="",B911="",D911="",G911=""),"",IF(OR(B911="",NOT(ISNUMBER(B911)),C911="",C911="Fora dos ciclos"),"",IF(C911="C0","Nao",IF(IFERROR(INDEX(parametros!$A$2:$A$6,MATCH(C911,parametros!$B$2:$B$6,0)),"")&lt;&gt;"Sim","Nao",IF(IFERROR(INDEX(parametros!$H$2:$H$6,MATCH(C911,parametros!$B$2:$B$6,0)),"")="","",IF(B911&gt;=IFERROR(INDEX(parametros!$H$2:$H$6,MATCH(C911,parametros!$B$2:$B$6,0)),""),"Sim","Nao"))))))</f>
        <v/>
      </c>
      <c r="T911" s="156"/>
      <c r="U911" s="214" t="str">
        <f t="shared" si="76"/>
        <v/>
      </c>
      <c r="V911" s="212" t="s">
        <v>50</v>
      </c>
      <c r="W911" s="100" t="s">
        <v>168</v>
      </c>
      <c r="X911" s="100" t="s">
        <v>169</v>
      </c>
      <c r="Y911" s="101" t="s">
        <v>170</v>
      </c>
      <c r="Z911" s="101" t="s">
        <v>171</v>
      </c>
      <c r="AA911" s="101" t="s">
        <v>50</v>
      </c>
      <c r="AB911" s="101" t="s">
        <v>172</v>
      </c>
      <c r="AC911" s="102" t="s">
        <v>173</v>
      </c>
    </row>
    <row r="912" spans="1:29" ht="25.5" customHeight="1" x14ac:dyDescent="0.35">
      <c r="A912" s="392"/>
      <c r="B912" s="393"/>
      <c r="C912" s="99" t="str">
        <f>IF(B912="","",IF(NOT(ISNUMBER(B912)),"DATA_PC invalida",IF(NOT(ISNUMBER(parametros!$C$2)),"Fora dos ciclos",IF(OR(B912&lt;parametros!$C$2,(YEAR(B912)-YEAR(parametros!$C$2))*12+MONTH(B912)-MONTH(parametros!$C$2)&gt;59),"Fora dos ciclos","C"&amp;INT(((YEAR(B912)-YEAR(parametros!$C$2))*12+MONTH(B912)-MONTH(parametros!$C$2))/12)))))</f>
        <v/>
      </c>
      <c r="D912" s="394"/>
      <c r="E912" s="78" t="str">
        <f>IF(C912="","",IFERROR(VLOOKUP(C912,parametros!$A$11:$E$15,5,0),""))</f>
        <v/>
      </c>
      <c r="F912" s="79" t="str">
        <f t="shared" si="72"/>
        <v/>
      </c>
      <c r="G912" s="395"/>
      <c r="H912" s="91">
        <f t="shared" si="73"/>
        <v>0</v>
      </c>
      <c r="I912" s="91" t="str">
        <f t="shared" si="74"/>
        <v/>
      </c>
      <c r="J912" s="91" t="str">
        <f t="shared" si="75"/>
        <v/>
      </c>
      <c r="K912" s="92" t="str">
        <f>IF(AND(A912="",B912="",D912="",G912=""),"",IF(AND(A912&lt;&gt;"",COUNTIF($A$2:$A$5001,A912)&gt;1),"NUMERO_PC duplicado",IF(B912="","DATA_PC vazia",IF(NOT(ISNUMBER(B912)),"DATA_PC invalida",IF(OR(C912="",C912="Fora dos ciclos"),"CICLO_PC nao identificado",IF(OR(D912="",D912=0),"VALOR_PC vazio ou zero",IF(AND(G912&lt;&gt;"Sim",G912&lt;&gt;"Nao",G912&lt;&gt;""),"PC_PAGO_A_CONTRATADA invalido",IF(AND(C912&lt;&gt;"C0",IFERROR(INDEX(parametros!$A$2:$A$6,MATCH(C912,parametros!$B$2:$B$6,0)),"")="Sim",IFERROR(INDEX(parametros!$H$2:$H$6,MATCH(C912,parametros!$B$2:$B$6,0)),"")=""),"INICIO_EFEITO ausente: PC "&amp;A912&amp;" - "&amp;C912,IF(L912="","EFEITO_PC nao calculado: PC "&amp;A912&amp;" - "&amp;C912,"OK")))))))))</f>
        <v/>
      </c>
      <c r="L912" s="92" t="str">
        <f>IF(AND(A912="",B912="",D912="",G912=""),"",IF(OR(B912="",NOT(ISNUMBER(B912)),C912="",C912="Fora dos ciclos"),"",IF(C912="C0","Nao",IF(IFERROR(INDEX(parametros!$A$2:$A$6,MATCH(C912,parametros!$B$2:$B$6,0)),"")&lt;&gt;"Sim","Nao",IF(IFERROR(INDEX(parametros!$H$2:$H$6,MATCH(C912,parametros!$B$2:$B$6,0)),"")="","",IF(B912&gt;=IFERROR(INDEX(parametros!$H$2:$H$6,MATCH(C912,parametros!$B$2:$B$6,0)),""),"Sim","Nao"))))))</f>
        <v/>
      </c>
      <c r="T912" s="156"/>
      <c r="U912" s="214" t="str">
        <f t="shared" si="76"/>
        <v/>
      </c>
      <c r="V912" s="212" t="s">
        <v>50</v>
      </c>
      <c r="W912" s="100" t="s">
        <v>168</v>
      </c>
      <c r="X912" s="100" t="s">
        <v>169</v>
      </c>
      <c r="Y912" s="101" t="s">
        <v>170</v>
      </c>
      <c r="Z912" s="101" t="s">
        <v>171</v>
      </c>
      <c r="AA912" s="101" t="s">
        <v>50</v>
      </c>
      <c r="AB912" s="101" t="s">
        <v>172</v>
      </c>
      <c r="AC912" s="102" t="s">
        <v>173</v>
      </c>
    </row>
    <row r="913" spans="1:29" ht="25.5" customHeight="1" x14ac:dyDescent="0.35">
      <c r="A913" s="392"/>
      <c r="B913" s="393"/>
      <c r="C913" s="99" t="str">
        <f>IF(B913="","",IF(NOT(ISNUMBER(B913)),"DATA_PC invalida",IF(NOT(ISNUMBER(parametros!$C$2)),"Fora dos ciclos",IF(OR(B913&lt;parametros!$C$2,(YEAR(B913)-YEAR(parametros!$C$2))*12+MONTH(B913)-MONTH(parametros!$C$2)&gt;59),"Fora dos ciclos","C"&amp;INT(((YEAR(B913)-YEAR(parametros!$C$2))*12+MONTH(B913)-MONTH(parametros!$C$2))/12)))))</f>
        <v/>
      </c>
      <c r="D913" s="394"/>
      <c r="E913" s="78" t="str">
        <f>IF(C913="","",IFERROR(VLOOKUP(C913,parametros!$A$11:$E$15,5,0),""))</f>
        <v/>
      </c>
      <c r="F913" s="79" t="str">
        <f t="shared" si="72"/>
        <v/>
      </c>
      <c r="G913" s="395"/>
      <c r="H913" s="91">
        <f t="shared" si="73"/>
        <v>0</v>
      </c>
      <c r="I913" s="91" t="str">
        <f t="shared" si="74"/>
        <v/>
      </c>
      <c r="J913" s="91" t="str">
        <f t="shared" si="75"/>
        <v/>
      </c>
      <c r="K913" s="92" t="str">
        <f>IF(AND(A913="",B913="",D913="",G913=""),"",IF(AND(A913&lt;&gt;"",COUNTIF($A$2:$A$5001,A913)&gt;1),"NUMERO_PC duplicado",IF(B913="","DATA_PC vazia",IF(NOT(ISNUMBER(B913)),"DATA_PC invalida",IF(OR(C913="",C913="Fora dos ciclos"),"CICLO_PC nao identificado",IF(OR(D913="",D913=0),"VALOR_PC vazio ou zero",IF(AND(G913&lt;&gt;"Sim",G913&lt;&gt;"Nao",G913&lt;&gt;""),"PC_PAGO_A_CONTRATADA invalido",IF(AND(C913&lt;&gt;"C0",IFERROR(INDEX(parametros!$A$2:$A$6,MATCH(C913,parametros!$B$2:$B$6,0)),"")="Sim",IFERROR(INDEX(parametros!$H$2:$H$6,MATCH(C913,parametros!$B$2:$B$6,0)),"")=""),"INICIO_EFEITO ausente: PC "&amp;A913&amp;" - "&amp;C913,IF(L913="","EFEITO_PC nao calculado: PC "&amp;A913&amp;" - "&amp;C913,"OK")))))))))</f>
        <v/>
      </c>
      <c r="L913" s="92" t="str">
        <f>IF(AND(A913="",B913="",D913="",G913=""),"",IF(OR(B913="",NOT(ISNUMBER(B913)),C913="",C913="Fora dos ciclos"),"",IF(C913="C0","Nao",IF(IFERROR(INDEX(parametros!$A$2:$A$6,MATCH(C913,parametros!$B$2:$B$6,0)),"")&lt;&gt;"Sim","Nao",IF(IFERROR(INDEX(parametros!$H$2:$H$6,MATCH(C913,parametros!$B$2:$B$6,0)),"")="","",IF(B913&gt;=IFERROR(INDEX(parametros!$H$2:$H$6,MATCH(C913,parametros!$B$2:$B$6,0)),""),"Sim","Nao"))))))</f>
        <v/>
      </c>
      <c r="T913" s="156"/>
      <c r="U913" s="214" t="str">
        <f t="shared" si="76"/>
        <v/>
      </c>
      <c r="V913" s="212" t="s">
        <v>50</v>
      </c>
      <c r="W913" s="100" t="s">
        <v>168</v>
      </c>
      <c r="X913" s="100" t="s">
        <v>169</v>
      </c>
      <c r="Y913" s="101" t="s">
        <v>170</v>
      </c>
      <c r="Z913" s="101" t="s">
        <v>171</v>
      </c>
      <c r="AA913" s="101" t="s">
        <v>50</v>
      </c>
      <c r="AB913" s="101" t="s">
        <v>172</v>
      </c>
      <c r="AC913" s="102" t="s">
        <v>173</v>
      </c>
    </row>
    <row r="914" spans="1:29" ht="25.5" customHeight="1" x14ac:dyDescent="0.35">
      <c r="A914" s="392"/>
      <c r="B914" s="393"/>
      <c r="C914" s="99" t="str">
        <f>IF(B914="","",IF(NOT(ISNUMBER(B914)),"DATA_PC invalida",IF(NOT(ISNUMBER(parametros!$C$2)),"Fora dos ciclos",IF(OR(B914&lt;parametros!$C$2,(YEAR(B914)-YEAR(parametros!$C$2))*12+MONTH(B914)-MONTH(parametros!$C$2)&gt;59),"Fora dos ciclos","C"&amp;INT(((YEAR(B914)-YEAR(parametros!$C$2))*12+MONTH(B914)-MONTH(parametros!$C$2))/12)))))</f>
        <v/>
      </c>
      <c r="D914" s="394"/>
      <c r="E914" s="78" t="str">
        <f>IF(C914="","",IFERROR(VLOOKUP(C914,parametros!$A$11:$E$15,5,0),""))</f>
        <v/>
      </c>
      <c r="F914" s="79" t="str">
        <f t="shared" si="72"/>
        <v/>
      </c>
      <c r="G914" s="395"/>
      <c r="H914" s="91">
        <f t="shared" si="73"/>
        <v>0</v>
      </c>
      <c r="I914" s="91" t="str">
        <f t="shared" si="74"/>
        <v/>
      </c>
      <c r="J914" s="91" t="str">
        <f t="shared" si="75"/>
        <v/>
      </c>
      <c r="K914" s="92" t="str">
        <f>IF(AND(A914="",B914="",D914="",G914=""),"",IF(AND(A914&lt;&gt;"",COUNTIF($A$2:$A$5001,A914)&gt;1),"NUMERO_PC duplicado",IF(B914="","DATA_PC vazia",IF(NOT(ISNUMBER(B914)),"DATA_PC invalida",IF(OR(C914="",C914="Fora dos ciclos"),"CICLO_PC nao identificado",IF(OR(D914="",D914=0),"VALOR_PC vazio ou zero",IF(AND(G914&lt;&gt;"Sim",G914&lt;&gt;"Nao",G914&lt;&gt;""),"PC_PAGO_A_CONTRATADA invalido",IF(AND(C914&lt;&gt;"C0",IFERROR(INDEX(parametros!$A$2:$A$6,MATCH(C914,parametros!$B$2:$B$6,0)),"")="Sim",IFERROR(INDEX(parametros!$H$2:$H$6,MATCH(C914,parametros!$B$2:$B$6,0)),"")=""),"INICIO_EFEITO ausente: PC "&amp;A914&amp;" - "&amp;C914,IF(L914="","EFEITO_PC nao calculado: PC "&amp;A914&amp;" - "&amp;C914,"OK")))))))))</f>
        <v/>
      </c>
      <c r="L914" s="92" t="str">
        <f>IF(AND(A914="",B914="",D914="",G914=""),"",IF(OR(B914="",NOT(ISNUMBER(B914)),C914="",C914="Fora dos ciclos"),"",IF(C914="C0","Nao",IF(IFERROR(INDEX(parametros!$A$2:$A$6,MATCH(C914,parametros!$B$2:$B$6,0)),"")&lt;&gt;"Sim","Nao",IF(IFERROR(INDEX(parametros!$H$2:$H$6,MATCH(C914,parametros!$B$2:$B$6,0)),"")="","",IF(B914&gt;=IFERROR(INDEX(parametros!$H$2:$H$6,MATCH(C914,parametros!$B$2:$B$6,0)),""),"Sim","Nao"))))))</f>
        <v/>
      </c>
      <c r="T914" s="156"/>
      <c r="U914" s="214" t="str">
        <f t="shared" si="76"/>
        <v/>
      </c>
      <c r="V914" s="212" t="s">
        <v>50</v>
      </c>
      <c r="W914" s="100" t="s">
        <v>168</v>
      </c>
      <c r="X914" s="100" t="s">
        <v>169</v>
      </c>
      <c r="Y914" s="101" t="s">
        <v>170</v>
      </c>
      <c r="Z914" s="101" t="s">
        <v>171</v>
      </c>
      <c r="AA914" s="101" t="s">
        <v>50</v>
      </c>
      <c r="AB914" s="101" t="s">
        <v>172</v>
      </c>
      <c r="AC914" s="102" t="s">
        <v>173</v>
      </c>
    </row>
    <row r="915" spans="1:29" ht="25.5" customHeight="1" x14ac:dyDescent="0.35">
      <c r="A915" s="392"/>
      <c r="B915" s="393"/>
      <c r="C915" s="99" t="str">
        <f>IF(B915="","",IF(NOT(ISNUMBER(B915)),"DATA_PC invalida",IF(NOT(ISNUMBER(parametros!$C$2)),"Fora dos ciclos",IF(OR(B915&lt;parametros!$C$2,(YEAR(B915)-YEAR(parametros!$C$2))*12+MONTH(B915)-MONTH(parametros!$C$2)&gt;59),"Fora dos ciclos","C"&amp;INT(((YEAR(B915)-YEAR(parametros!$C$2))*12+MONTH(B915)-MONTH(parametros!$C$2))/12)))))</f>
        <v/>
      </c>
      <c r="D915" s="394"/>
      <c r="E915" s="78" t="str">
        <f>IF(C915="","",IFERROR(VLOOKUP(C915,parametros!$A$11:$E$15,5,0),""))</f>
        <v/>
      </c>
      <c r="F915" s="79" t="str">
        <f t="shared" si="72"/>
        <v/>
      </c>
      <c r="G915" s="395"/>
      <c r="H915" s="91">
        <f t="shared" si="73"/>
        <v>0</v>
      </c>
      <c r="I915" s="91" t="str">
        <f t="shared" si="74"/>
        <v/>
      </c>
      <c r="J915" s="91" t="str">
        <f t="shared" si="75"/>
        <v/>
      </c>
      <c r="K915" s="92" t="str">
        <f>IF(AND(A915="",B915="",D915="",G915=""),"",IF(AND(A915&lt;&gt;"",COUNTIF($A$2:$A$5001,A915)&gt;1),"NUMERO_PC duplicado",IF(B915="","DATA_PC vazia",IF(NOT(ISNUMBER(B915)),"DATA_PC invalida",IF(OR(C915="",C915="Fora dos ciclos"),"CICLO_PC nao identificado",IF(OR(D915="",D915=0),"VALOR_PC vazio ou zero",IF(AND(G915&lt;&gt;"Sim",G915&lt;&gt;"Nao",G915&lt;&gt;""),"PC_PAGO_A_CONTRATADA invalido",IF(AND(C915&lt;&gt;"C0",IFERROR(INDEX(parametros!$A$2:$A$6,MATCH(C915,parametros!$B$2:$B$6,0)),"")="Sim",IFERROR(INDEX(parametros!$H$2:$H$6,MATCH(C915,parametros!$B$2:$B$6,0)),"")=""),"INICIO_EFEITO ausente: PC "&amp;A915&amp;" - "&amp;C915,IF(L915="","EFEITO_PC nao calculado: PC "&amp;A915&amp;" - "&amp;C915,"OK")))))))))</f>
        <v/>
      </c>
      <c r="L915" s="92" t="str">
        <f>IF(AND(A915="",B915="",D915="",G915=""),"",IF(OR(B915="",NOT(ISNUMBER(B915)),C915="",C915="Fora dos ciclos"),"",IF(C915="C0","Nao",IF(IFERROR(INDEX(parametros!$A$2:$A$6,MATCH(C915,parametros!$B$2:$B$6,0)),"")&lt;&gt;"Sim","Nao",IF(IFERROR(INDEX(parametros!$H$2:$H$6,MATCH(C915,parametros!$B$2:$B$6,0)),"")="","",IF(B915&gt;=IFERROR(INDEX(parametros!$H$2:$H$6,MATCH(C915,parametros!$B$2:$B$6,0)),""),"Sim","Nao"))))))</f>
        <v/>
      </c>
      <c r="T915" s="156"/>
      <c r="U915" s="214" t="str">
        <f t="shared" si="76"/>
        <v/>
      </c>
      <c r="V915" s="212" t="s">
        <v>50</v>
      </c>
      <c r="W915" s="100" t="s">
        <v>168</v>
      </c>
      <c r="X915" s="100" t="s">
        <v>169</v>
      </c>
      <c r="Y915" s="101" t="s">
        <v>170</v>
      </c>
      <c r="Z915" s="101" t="s">
        <v>171</v>
      </c>
      <c r="AA915" s="101" t="s">
        <v>50</v>
      </c>
      <c r="AB915" s="101" t="s">
        <v>172</v>
      </c>
      <c r="AC915" s="102" t="s">
        <v>173</v>
      </c>
    </row>
    <row r="916" spans="1:29" ht="25.5" customHeight="1" x14ac:dyDescent="0.35">
      <c r="A916" s="392"/>
      <c r="B916" s="393"/>
      <c r="C916" s="99" t="str">
        <f>IF(B916="","",IF(NOT(ISNUMBER(B916)),"DATA_PC invalida",IF(NOT(ISNUMBER(parametros!$C$2)),"Fora dos ciclos",IF(OR(B916&lt;parametros!$C$2,(YEAR(B916)-YEAR(parametros!$C$2))*12+MONTH(B916)-MONTH(parametros!$C$2)&gt;59),"Fora dos ciclos","C"&amp;INT(((YEAR(B916)-YEAR(parametros!$C$2))*12+MONTH(B916)-MONTH(parametros!$C$2))/12)))))</f>
        <v/>
      </c>
      <c r="D916" s="394"/>
      <c r="E916" s="78" t="str">
        <f>IF(C916="","",IFERROR(VLOOKUP(C916,parametros!$A$11:$E$15,5,0),""))</f>
        <v/>
      </c>
      <c r="F916" s="79" t="str">
        <f t="shared" si="72"/>
        <v/>
      </c>
      <c r="G916" s="395"/>
      <c r="H916" s="91">
        <f t="shared" si="73"/>
        <v>0</v>
      </c>
      <c r="I916" s="91" t="str">
        <f t="shared" si="74"/>
        <v/>
      </c>
      <c r="J916" s="91" t="str">
        <f t="shared" si="75"/>
        <v/>
      </c>
      <c r="K916" s="92" t="str">
        <f>IF(AND(A916="",B916="",D916="",G916=""),"",IF(AND(A916&lt;&gt;"",COUNTIF($A$2:$A$5001,A916)&gt;1),"NUMERO_PC duplicado",IF(B916="","DATA_PC vazia",IF(NOT(ISNUMBER(B916)),"DATA_PC invalida",IF(OR(C916="",C916="Fora dos ciclos"),"CICLO_PC nao identificado",IF(OR(D916="",D916=0),"VALOR_PC vazio ou zero",IF(AND(G916&lt;&gt;"Sim",G916&lt;&gt;"Nao",G916&lt;&gt;""),"PC_PAGO_A_CONTRATADA invalido",IF(AND(C916&lt;&gt;"C0",IFERROR(INDEX(parametros!$A$2:$A$6,MATCH(C916,parametros!$B$2:$B$6,0)),"")="Sim",IFERROR(INDEX(parametros!$H$2:$H$6,MATCH(C916,parametros!$B$2:$B$6,0)),"")=""),"INICIO_EFEITO ausente: PC "&amp;A916&amp;" - "&amp;C916,IF(L916="","EFEITO_PC nao calculado: PC "&amp;A916&amp;" - "&amp;C916,"OK")))))))))</f>
        <v/>
      </c>
      <c r="L916" s="92" t="str">
        <f>IF(AND(A916="",B916="",D916="",G916=""),"",IF(OR(B916="",NOT(ISNUMBER(B916)),C916="",C916="Fora dos ciclos"),"",IF(C916="C0","Nao",IF(IFERROR(INDEX(parametros!$A$2:$A$6,MATCH(C916,parametros!$B$2:$B$6,0)),"")&lt;&gt;"Sim","Nao",IF(IFERROR(INDEX(parametros!$H$2:$H$6,MATCH(C916,parametros!$B$2:$B$6,0)),"")="","",IF(B916&gt;=IFERROR(INDEX(parametros!$H$2:$H$6,MATCH(C916,parametros!$B$2:$B$6,0)),""),"Sim","Nao"))))))</f>
        <v/>
      </c>
      <c r="T916" s="156"/>
      <c r="U916" s="214" t="str">
        <f t="shared" si="76"/>
        <v/>
      </c>
      <c r="V916" s="212" t="s">
        <v>50</v>
      </c>
      <c r="W916" s="100" t="s">
        <v>168</v>
      </c>
      <c r="X916" s="100" t="s">
        <v>169</v>
      </c>
      <c r="Y916" s="101" t="s">
        <v>170</v>
      </c>
      <c r="Z916" s="101" t="s">
        <v>171</v>
      </c>
      <c r="AA916" s="101" t="s">
        <v>50</v>
      </c>
      <c r="AB916" s="101" t="s">
        <v>172</v>
      </c>
      <c r="AC916" s="102" t="s">
        <v>173</v>
      </c>
    </row>
    <row r="917" spans="1:29" ht="25.5" customHeight="1" x14ac:dyDescent="0.35">
      <c r="A917" s="392"/>
      <c r="B917" s="393"/>
      <c r="C917" s="99" t="str">
        <f>IF(B917="","",IF(NOT(ISNUMBER(B917)),"DATA_PC invalida",IF(NOT(ISNUMBER(parametros!$C$2)),"Fora dos ciclos",IF(OR(B917&lt;parametros!$C$2,(YEAR(B917)-YEAR(parametros!$C$2))*12+MONTH(B917)-MONTH(parametros!$C$2)&gt;59),"Fora dos ciclos","C"&amp;INT(((YEAR(B917)-YEAR(parametros!$C$2))*12+MONTH(B917)-MONTH(parametros!$C$2))/12)))))</f>
        <v/>
      </c>
      <c r="D917" s="394"/>
      <c r="E917" s="78" t="str">
        <f>IF(C917="","",IFERROR(VLOOKUP(C917,parametros!$A$11:$E$15,5,0),""))</f>
        <v/>
      </c>
      <c r="F917" s="79" t="str">
        <f t="shared" si="72"/>
        <v/>
      </c>
      <c r="G917" s="395"/>
      <c r="H917" s="91">
        <f t="shared" si="73"/>
        <v>0</v>
      </c>
      <c r="I917" s="91" t="str">
        <f t="shared" si="74"/>
        <v/>
      </c>
      <c r="J917" s="91" t="str">
        <f t="shared" si="75"/>
        <v/>
      </c>
      <c r="K917" s="92" t="str">
        <f>IF(AND(A917="",B917="",D917="",G917=""),"",IF(AND(A917&lt;&gt;"",COUNTIF($A$2:$A$5001,A917)&gt;1),"NUMERO_PC duplicado",IF(B917="","DATA_PC vazia",IF(NOT(ISNUMBER(B917)),"DATA_PC invalida",IF(OR(C917="",C917="Fora dos ciclos"),"CICLO_PC nao identificado",IF(OR(D917="",D917=0),"VALOR_PC vazio ou zero",IF(AND(G917&lt;&gt;"Sim",G917&lt;&gt;"Nao",G917&lt;&gt;""),"PC_PAGO_A_CONTRATADA invalido",IF(AND(C917&lt;&gt;"C0",IFERROR(INDEX(parametros!$A$2:$A$6,MATCH(C917,parametros!$B$2:$B$6,0)),"")="Sim",IFERROR(INDEX(parametros!$H$2:$H$6,MATCH(C917,parametros!$B$2:$B$6,0)),"")=""),"INICIO_EFEITO ausente: PC "&amp;A917&amp;" - "&amp;C917,IF(L917="","EFEITO_PC nao calculado: PC "&amp;A917&amp;" - "&amp;C917,"OK")))))))))</f>
        <v/>
      </c>
      <c r="L917" s="92" t="str">
        <f>IF(AND(A917="",B917="",D917="",G917=""),"",IF(OR(B917="",NOT(ISNUMBER(B917)),C917="",C917="Fora dos ciclos"),"",IF(C917="C0","Nao",IF(IFERROR(INDEX(parametros!$A$2:$A$6,MATCH(C917,parametros!$B$2:$B$6,0)),"")&lt;&gt;"Sim","Nao",IF(IFERROR(INDEX(parametros!$H$2:$H$6,MATCH(C917,parametros!$B$2:$B$6,0)),"")="","",IF(B917&gt;=IFERROR(INDEX(parametros!$H$2:$H$6,MATCH(C917,parametros!$B$2:$B$6,0)),""),"Sim","Nao"))))))</f>
        <v/>
      </c>
      <c r="T917" s="156"/>
      <c r="U917" s="214" t="str">
        <f t="shared" si="76"/>
        <v/>
      </c>
      <c r="V917" s="212" t="s">
        <v>50</v>
      </c>
      <c r="W917" s="100" t="s">
        <v>168</v>
      </c>
      <c r="X917" s="100" t="s">
        <v>169</v>
      </c>
      <c r="Y917" s="101" t="s">
        <v>170</v>
      </c>
      <c r="Z917" s="101" t="s">
        <v>171</v>
      </c>
      <c r="AA917" s="101" t="s">
        <v>50</v>
      </c>
      <c r="AB917" s="101" t="s">
        <v>172</v>
      </c>
      <c r="AC917" s="102" t="s">
        <v>173</v>
      </c>
    </row>
    <row r="918" spans="1:29" ht="25.5" customHeight="1" x14ac:dyDescent="0.35">
      <c r="A918" s="392"/>
      <c r="B918" s="393"/>
      <c r="C918" s="99" t="str">
        <f>IF(B918="","",IF(NOT(ISNUMBER(B918)),"DATA_PC invalida",IF(NOT(ISNUMBER(parametros!$C$2)),"Fora dos ciclos",IF(OR(B918&lt;parametros!$C$2,(YEAR(B918)-YEAR(parametros!$C$2))*12+MONTH(B918)-MONTH(parametros!$C$2)&gt;59),"Fora dos ciclos","C"&amp;INT(((YEAR(B918)-YEAR(parametros!$C$2))*12+MONTH(B918)-MONTH(parametros!$C$2))/12)))))</f>
        <v/>
      </c>
      <c r="D918" s="394"/>
      <c r="E918" s="78" t="str">
        <f>IF(C918="","",IFERROR(VLOOKUP(C918,parametros!$A$11:$E$15,5,0),""))</f>
        <v/>
      </c>
      <c r="F918" s="79" t="str">
        <f t="shared" si="72"/>
        <v/>
      </c>
      <c r="G918" s="395"/>
      <c r="H918" s="91">
        <f t="shared" si="73"/>
        <v>0</v>
      </c>
      <c r="I918" s="91" t="str">
        <f t="shared" si="74"/>
        <v/>
      </c>
      <c r="J918" s="91" t="str">
        <f t="shared" si="75"/>
        <v/>
      </c>
      <c r="K918" s="92" t="str">
        <f>IF(AND(A918="",B918="",D918="",G918=""),"",IF(AND(A918&lt;&gt;"",COUNTIF($A$2:$A$5001,A918)&gt;1),"NUMERO_PC duplicado",IF(B918="","DATA_PC vazia",IF(NOT(ISNUMBER(B918)),"DATA_PC invalida",IF(OR(C918="",C918="Fora dos ciclos"),"CICLO_PC nao identificado",IF(OR(D918="",D918=0),"VALOR_PC vazio ou zero",IF(AND(G918&lt;&gt;"Sim",G918&lt;&gt;"Nao",G918&lt;&gt;""),"PC_PAGO_A_CONTRATADA invalido",IF(AND(C918&lt;&gt;"C0",IFERROR(INDEX(parametros!$A$2:$A$6,MATCH(C918,parametros!$B$2:$B$6,0)),"")="Sim",IFERROR(INDEX(parametros!$H$2:$H$6,MATCH(C918,parametros!$B$2:$B$6,0)),"")=""),"INICIO_EFEITO ausente: PC "&amp;A918&amp;" - "&amp;C918,IF(L918="","EFEITO_PC nao calculado: PC "&amp;A918&amp;" - "&amp;C918,"OK")))))))))</f>
        <v/>
      </c>
      <c r="L918" s="92" t="str">
        <f>IF(AND(A918="",B918="",D918="",G918=""),"",IF(OR(B918="",NOT(ISNUMBER(B918)),C918="",C918="Fora dos ciclos"),"",IF(C918="C0","Nao",IF(IFERROR(INDEX(parametros!$A$2:$A$6,MATCH(C918,parametros!$B$2:$B$6,0)),"")&lt;&gt;"Sim","Nao",IF(IFERROR(INDEX(parametros!$H$2:$H$6,MATCH(C918,parametros!$B$2:$B$6,0)),"")="","",IF(B918&gt;=IFERROR(INDEX(parametros!$H$2:$H$6,MATCH(C918,parametros!$B$2:$B$6,0)),""),"Sim","Nao"))))))</f>
        <v/>
      </c>
      <c r="T918" s="156"/>
      <c r="U918" s="214" t="str">
        <f t="shared" si="76"/>
        <v/>
      </c>
      <c r="V918" s="212" t="s">
        <v>50</v>
      </c>
      <c r="W918" s="100" t="s">
        <v>168</v>
      </c>
      <c r="X918" s="100" t="s">
        <v>169</v>
      </c>
      <c r="Y918" s="101" t="s">
        <v>170</v>
      </c>
      <c r="Z918" s="101" t="s">
        <v>171</v>
      </c>
      <c r="AA918" s="101" t="s">
        <v>50</v>
      </c>
      <c r="AB918" s="101" t="s">
        <v>172</v>
      </c>
      <c r="AC918" s="102" t="s">
        <v>173</v>
      </c>
    </row>
    <row r="919" spans="1:29" ht="25.5" customHeight="1" x14ac:dyDescent="0.35">
      <c r="A919" s="392"/>
      <c r="B919" s="393"/>
      <c r="C919" s="99" t="str">
        <f>IF(B919="","",IF(NOT(ISNUMBER(B919)),"DATA_PC invalida",IF(NOT(ISNUMBER(parametros!$C$2)),"Fora dos ciclos",IF(OR(B919&lt;parametros!$C$2,(YEAR(B919)-YEAR(parametros!$C$2))*12+MONTH(B919)-MONTH(parametros!$C$2)&gt;59),"Fora dos ciclos","C"&amp;INT(((YEAR(B919)-YEAR(parametros!$C$2))*12+MONTH(B919)-MONTH(parametros!$C$2))/12)))))</f>
        <v/>
      </c>
      <c r="D919" s="394"/>
      <c r="E919" s="78" t="str">
        <f>IF(C919="","",IFERROR(VLOOKUP(C919,parametros!$A$11:$E$15,5,0),""))</f>
        <v/>
      </c>
      <c r="F919" s="79" t="str">
        <f t="shared" si="72"/>
        <v/>
      </c>
      <c r="G919" s="395"/>
      <c r="H919" s="91">
        <f t="shared" si="73"/>
        <v>0</v>
      </c>
      <c r="I919" s="91" t="str">
        <f t="shared" si="74"/>
        <v/>
      </c>
      <c r="J919" s="91" t="str">
        <f t="shared" si="75"/>
        <v/>
      </c>
      <c r="K919" s="92" t="str">
        <f>IF(AND(A919="",B919="",D919="",G919=""),"",IF(AND(A919&lt;&gt;"",COUNTIF($A$2:$A$5001,A919)&gt;1),"NUMERO_PC duplicado",IF(B919="","DATA_PC vazia",IF(NOT(ISNUMBER(B919)),"DATA_PC invalida",IF(OR(C919="",C919="Fora dos ciclos"),"CICLO_PC nao identificado",IF(OR(D919="",D919=0),"VALOR_PC vazio ou zero",IF(AND(G919&lt;&gt;"Sim",G919&lt;&gt;"Nao",G919&lt;&gt;""),"PC_PAGO_A_CONTRATADA invalido",IF(AND(C919&lt;&gt;"C0",IFERROR(INDEX(parametros!$A$2:$A$6,MATCH(C919,parametros!$B$2:$B$6,0)),"")="Sim",IFERROR(INDEX(parametros!$H$2:$H$6,MATCH(C919,parametros!$B$2:$B$6,0)),"")=""),"INICIO_EFEITO ausente: PC "&amp;A919&amp;" - "&amp;C919,IF(L919="","EFEITO_PC nao calculado: PC "&amp;A919&amp;" - "&amp;C919,"OK")))))))))</f>
        <v/>
      </c>
      <c r="L919" s="92" t="str">
        <f>IF(AND(A919="",B919="",D919="",G919=""),"",IF(OR(B919="",NOT(ISNUMBER(B919)),C919="",C919="Fora dos ciclos"),"",IF(C919="C0","Nao",IF(IFERROR(INDEX(parametros!$A$2:$A$6,MATCH(C919,parametros!$B$2:$B$6,0)),"")&lt;&gt;"Sim","Nao",IF(IFERROR(INDEX(parametros!$H$2:$H$6,MATCH(C919,parametros!$B$2:$B$6,0)),"")="","",IF(B919&gt;=IFERROR(INDEX(parametros!$H$2:$H$6,MATCH(C919,parametros!$B$2:$B$6,0)),""),"Sim","Nao"))))))</f>
        <v/>
      </c>
      <c r="T919" s="156"/>
      <c r="U919" s="214" t="str">
        <f t="shared" si="76"/>
        <v/>
      </c>
      <c r="V919" s="212" t="s">
        <v>50</v>
      </c>
      <c r="W919" s="100" t="s">
        <v>168</v>
      </c>
      <c r="X919" s="100" t="s">
        <v>169</v>
      </c>
      <c r="Y919" s="101" t="s">
        <v>170</v>
      </c>
      <c r="Z919" s="101" t="s">
        <v>171</v>
      </c>
      <c r="AA919" s="101" t="s">
        <v>50</v>
      </c>
      <c r="AB919" s="101" t="s">
        <v>172</v>
      </c>
      <c r="AC919" s="102" t="s">
        <v>173</v>
      </c>
    </row>
    <row r="920" spans="1:29" ht="25.5" customHeight="1" x14ac:dyDescent="0.35">
      <c r="A920" s="392"/>
      <c r="B920" s="393"/>
      <c r="C920" s="99" t="str">
        <f>IF(B920="","",IF(NOT(ISNUMBER(B920)),"DATA_PC invalida",IF(NOT(ISNUMBER(parametros!$C$2)),"Fora dos ciclos",IF(OR(B920&lt;parametros!$C$2,(YEAR(B920)-YEAR(parametros!$C$2))*12+MONTH(B920)-MONTH(parametros!$C$2)&gt;59),"Fora dos ciclos","C"&amp;INT(((YEAR(B920)-YEAR(parametros!$C$2))*12+MONTH(B920)-MONTH(parametros!$C$2))/12)))))</f>
        <v/>
      </c>
      <c r="D920" s="394"/>
      <c r="E920" s="78" t="str">
        <f>IF(C920="","",IFERROR(VLOOKUP(C920,parametros!$A$11:$E$15,5,0),""))</f>
        <v/>
      </c>
      <c r="F920" s="79" t="str">
        <f t="shared" si="72"/>
        <v/>
      </c>
      <c r="G920" s="395"/>
      <c r="H920" s="91">
        <f t="shared" si="73"/>
        <v>0</v>
      </c>
      <c r="I920" s="91" t="str">
        <f t="shared" si="74"/>
        <v/>
      </c>
      <c r="J920" s="91" t="str">
        <f t="shared" si="75"/>
        <v/>
      </c>
      <c r="K920" s="92" t="str">
        <f>IF(AND(A920="",B920="",D920="",G920=""),"",IF(AND(A920&lt;&gt;"",COUNTIF($A$2:$A$5001,A920)&gt;1),"NUMERO_PC duplicado",IF(B920="","DATA_PC vazia",IF(NOT(ISNUMBER(B920)),"DATA_PC invalida",IF(OR(C920="",C920="Fora dos ciclos"),"CICLO_PC nao identificado",IF(OR(D920="",D920=0),"VALOR_PC vazio ou zero",IF(AND(G920&lt;&gt;"Sim",G920&lt;&gt;"Nao",G920&lt;&gt;""),"PC_PAGO_A_CONTRATADA invalido",IF(AND(C920&lt;&gt;"C0",IFERROR(INDEX(parametros!$A$2:$A$6,MATCH(C920,parametros!$B$2:$B$6,0)),"")="Sim",IFERROR(INDEX(parametros!$H$2:$H$6,MATCH(C920,parametros!$B$2:$B$6,0)),"")=""),"INICIO_EFEITO ausente: PC "&amp;A920&amp;" - "&amp;C920,IF(L920="","EFEITO_PC nao calculado: PC "&amp;A920&amp;" - "&amp;C920,"OK")))))))))</f>
        <v/>
      </c>
      <c r="L920" s="92" t="str">
        <f>IF(AND(A920="",B920="",D920="",G920=""),"",IF(OR(B920="",NOT(ISNUMBER(B920)),C920="",C920="Fora dos ciclos"),"",IF(C920="C0","Nao",IF(IFERROR(INDEX(parametros!$A$2:$A$6,MATCH(C920,parametros!$B$2:$B$6,0)),"")&lt;&gt;"Sim","Nao",IF(IFERROR(INDEX(parametros!$H$2:$H$6,MATCH(C920,parametros!$B$2:$B$6,0)),"")="","",IF(B920&gt;=IFERROR(INDEX(parametros!$H$2:$H$6,MATCH(C920,parametros!$B$2:$B$6,0)),""),"Sim","Nao"))))))</f>
        <v/>
      </c>
      <c r="T920" s="156"/>
      <c r="U920" s="214" t="str">
        <f t="shared" si="76"/>
        <v/>
      </c>
      <c r="V920" s="212" t="s">
        <v>50</v>
      </c>
      <c r="W920" s="100" t="s">
        <v>168</v>
      </c>
      <c r="X920" s="100" t="s">
        <v>169</v>
      </c>
      <c r="Y920" s="101" t="s">
        <v>170</v>
      </c>
      <c r="Z920" s="101" t="s">
        <v>171</v>
      </c>
      <c r="AA920" s="101" t="s">
        <v>50</v>
      </c>
      <c r="AB920" s="101" t="s">
        <v>172</v>
      </c>
      <c r="AC920" s="102" t="s">
        <v>173</v>
      </c>
    </row>
    <row r="921" spans="1:29" ht="25.5" customHeight="1" x14ac:dyDescent="0.35">
      <c r="A921" s="392"/>
      <c r="B921" s="393"/>
      <c r="C921" s="99" t="str">
        <f>IF(B921="","",IF(NOT(ISNUMBER(B921)),"DATA_PC invalida",IF(NOT(ISNUMBER(parametros!$C$2)),"Fora dos ciclos",IF(OR(B921&lt;parametros!$C$2,(YEAR(B921)-YEAR(parametros!$C$2))*12+MONTH(B921)-MONTH(parametros!$C$2)&gt;59),"Fora dos ciclos","C"&amp;INT(((YEAR(B921)-YEAR(parametros!$C$2))*12+MONTH(B921)-MONTH(parametros!$C$2))/12)))))</f>
        <v/>
      </c>
      <c r="D921" s="394"/>
      <c r="E921" s="78" t="str">
        <f>IF(C921="","",IFERROR(VLOOKUP(C921,parametros!$A$11:$E$15,5,0),""))</f>
        <v/>
      </c>
      <c r="F921" s="79" t="str">
        <f t="shared" si="72"/>
        <v/>
      </c>
      <c r="G921" s="395"/>
      <c r="H921" s="91">
        <f t="shared" si="73"/>
        <v>0</v>
      </c>
      <c r="I921" s="91" t="str">
        <f t="shared" si="74"/>
        <v/>
      </c>
      <c r="J921" s="91" t="str">
        <f t="shared" si="75"/>
        <v/>
      </c>
      <c r="K921" s="92" t="str">
        <f>IF(AND(A921="",B921="",D921="",G921=""),"",IF(AND(A921&lt;&gt;"",COUNTIF($A$2:$A$5001,A921)&gt;1),"NUMERO_PC duplicado",IF(B921="","DATA_PC vazia",IF(NOT(ISNUMBER(B921)),"DATA_PC invalida",IF(OR(C921="",C921="Fora dos ciclos"),"CICLO_PC nao identificado",IF(OR(D921="",D921=0),"VALOR_PC vazio ou zero",IF(AND(G921&lt;&gt;"Sim",G921&lt;&gt;"Nao",G921&lt;&gt;""),"PC_PAGO_A_CONTRATADA invalido",IF(AND(C921&lt;&gt;"C0",IFERROR(INDEX(parametros!$A$2:$A$6,MATCH(C921,parametros!$B$2:$B$6,0)),"")="Sim",IFERROR(INDEX(parametros!$H$2:$H$6,MATCH(C921,parametros!$B$2:$B$6,0)),"")=""),"INICIO_EFEITO ausente: PC "&amp;A921&amp;" - "&amp;C921,IF(L921="","EFEITO_PC nao calculado: PC "&amp;A921&amp;" - "&amp;C921,"OK")))))))))</f>
        <v/>
      </c>
      <c r="L921" s="92" t="str">
        <f>IF(AND(A921="",B921="",D921="",G921=""),"",IF(OR(B921="",NOT(ISNUMBER(B921)),C921="",C921="Fora dos ciclos"),"",IF(C921="C0","Nao",IF(IFERROR(INDEX(parametros!$A$2:$A$6,MATCH(C921,parametros!$B$2:$B$6,0)),"")&lt;&gt;"Sim","Nao",IF(IFERROR(INDEX(parametros!$H$2:$H$6,MATCH(C921,parametros!$B$2:$B$6,0)),"")="","",IF(B921&gt;=IFERROR(INDEX(parametros!$H$2:$H$6,MATCH(C921,parametros!$B$2:$B$6,0)),""),"Sim","Nao"))))))</f>
        <v/>
      </c>
      <c r="T921" s="156"/>
      <c r="U921" s="214" t="str">
        <f t="shared" si="76"/>
        <v/>
      </c>
      <c r="V921" s="212" t="s">
        <v>50</v>
      </c>
      <c r="W921" s="100" t="s">
        <v>168</v>
      </c>
      <c r="X921" s="100" t="s">
        <v>169</v>
      </c>
      <c r="Y921" s="101" t="s">
        <v>170</v>
      </c>
      <c r="Z921" s="101" t="s">
        <v>171</v>
      </c>
      <c r="AA921" s="101" t="s">
        <v>50</v>
      </c>
      <c r="AB921" s="101" t="s">
        <v>172</v>
      </c>
      <c r="AC921" s="102" t="s">
        <v>173</v>
      </c>
    </row>
    <row r="922" spans="1:29" ht="25.5" customHeight="1" x14ac:dyDescent="0.35">
      <c r="A922" s="392"/>
      <c r="B922" s="393"/>
      <c r="C922" s="99" t="str">
        <f>IF(B922="","",IF(NOT(ISNUMBER(B922)),"DATA_PC invalida",IF(NOT(ISNUMBER(parametros!$C$2)),"Fora dos ciclos",IF(OR(B922&lt;parametros!$C$2,(YEAR(B922)-YEAR(parametros!$C$2))*12+MONTH(B922)-MONTH(parametros!$C$2)&gt;59),"Fora dos ciclos","C"&amp;INT(((YEAR(B922)-YEAR(parametros!$C$2))*12+MONTH(B922)-MONTH(parametros!$C$2))/12)))))</f>
        <v/>
      </c>
      <c r="D922" s="394"/>
      <c r="E922" s="78" t="str">
        <f>IF(C922="","",IFERROR(VLOOKUP(C922,parametros!$A$11:$E$15,5,0),""))</f>
        <v/>
      </c>
      <c r="F922" s="79" t="str">
        <f t="shared" si="72"/>
        <v/>
      </c>
      <c r="G922" s="395"/>
      <c r="H922" s="91">
        <f t="shared" si="73"/>
        <v>0</v>
      </c>
      <c r="I922" s="91" t="str">
        <f t="shared" si="74"/>
        <v/>
      </c>
      <c r="J922" s="91" t="str">
        <f t="shared" si="75"/>
        <v/>
      </c>
      <c r="K922" s="92" t="str">
        <f>IF(AND(A922="",B922="",D922="",G922=""),"",IF(AND(A922&lt;&gt;"",COUNTIF($A$2:$A$5001,A922)&gt;1),"NUMERO_PC duplicado",IF(B922="","DATA_PC vazia",IF(NOT(ISNUMBER(B922)),"DATA_PC invalida",IF(OR(C922="",C922="Fora dos ciclos"),"CICLO_PC nao identificado",IF(OR(D922="",D922=0),"VALOR_PC vazio ou zero",IF(AND(G922&lt;&gt;"Sim",G922&lt;&gt;"Nao",G922&lt;&gt;""),"PC_PAGO_A_CONTRATADA invalido",IF(AND(C922&lt;&gt;"C0",IFERROR(INDEX(parametros!$A$2:$A$6,MATCH(C922,parametros!$B$2:$B$6,0)),"")="Sim",IFERROR(INDEX(parametros!$H$2:$H$6,MATCH(C922,parametros!$B$2:$B$6,0)),"")=""),"INICIO_EFEITO ausente: PC "&amp;A922&amp;" - "&amp;C922,IF(L922="","EFEITO_PC nao calculado: PC "&amp;A922&amp;" - "&amp;C922,"OK")))))))))</f>
        <v/>
      </c>
      <c r="L922" s="92" t="str">
        <f>IF(AND(A922="",B922="",D922="",G922=""),"",IF(OR(B922="",NOT(ISNUMBER(B922)),C922="",C922="Fora dos ciclos"),"",IF(C922="C0","Nao",IF(IFERROR(INDEX(parametros!$A$2:$A$6,MATCH(C922,parametros!$B$2:$B$6,0)),"")&lt;&gt;"Sim","Nao",IF(IFERROR(INDEX(parametros!$H$2:$H$6,MATCH(C922,parametros!$B$2:$B$6,0)),"")="","",IF(B922&gt;=IFERROR(INDEX(parametros!$H$2:$H$6,MATCH(C922,parametros!$B$2:$B$6,0)),""),"Sim","Nao"))))))</f>
        <v/>
      </c>
      <c r="T922" s="156"/>
      <c r="U922" s="214" t="str">
        <f t="shared" si="76"/>
        <v/>
      </c>
      <c r="V922" s="212" t="s">
        <v>50</v>
      </c>
      <c r="W922" s="100" t="s">
        <v>168</v>
      </c>
      <c r="X922" s="100" t="s">
        <v>169</v>
      </c>
      <c r="Y922" s="101" t="s">
        <v>170</v>
      </c>
      <c r="Z922" s="101" t="s">
        <v>171</v>
      </c>
      <c r="AA922" s="101" t="s">
        <v>50</v>
      </c>
      <c r="AB922" s="101" t="s">
        <v>172</v>
      </c>
      <c r="AC922" s="102" t="s">
        <v>173</v>
      </c>
    </row>
    <row r="923" spans="1:29" ht="25.5" customHeight="1" x14ac:dyDescent="0.35">
      <c r="A923" s="392"/>
      <c r="B923" s="393"/>
      <c r="C923" s="99" t="str">
        <f>IF(B923="","",IF(NOT(ISNUMBER(B923)),"DATA_PC invalida",IF(NOT(ISNUMBER(parametros!$C$2)),"Fora dos ciclos",IF(OR(B923&lt;parametros!$C$2,(YEAR(B923)-YEAR(parametros!$C$2))*12+MONTH(B923)-MONTH(parametros!$C$2)&gt;59),"Fora dos ciclos","C"&amp;INT(((YEAR(B923)-YEAR(parametros!$C$2))*12+MONTH(B923)-MONTH(parametros!$C$2))/12)))))</f>
        <v/>
      </c>
      <c r="D923" s="394"/>
      <c r="E923" s="78" t="str">
        <f>IF(C923="","",IFERROR(VLOOKUP(C923,parametros!$A$11:$E$15,5,0),""))</f>
        <v/>
      </c>
      <c r="F923" s="79" t="str">
        <f t="shared" si="72"/>
        <v/>
      </c>
      <c r="G923" s="395"/>
      <c r="H923" s="91">
        <f t="shared" si="73"/>
        <v>0</v>
      </c>
      <c r="I923" s="91" t="str">
        <f t="shared" si="74"/>
        <v/>
      </c>
      <c r="J923" s="91" t="str">
        <f t="shared" si="75"/>
        <v/>
      </c>
      <c r="K923" s="92" t="str">
        <f>IF(AND(A923="",B923="",D923="",G923=""),"",IF(AND(A923&lt;&gt;"",COUNTIF($A$2:$A$5001,A923)&gt;1),"NUMERO_PC duplicado",IF(B923="","DATA_PC vazia",IF(NOT(ISNUMBER(B923)),"DATA_PC invalida",IF(OR(C923="",C923="Fora dos ciclos"),"CICLO_PC nao identificado",IF(OR(D923="",D923=0),"VALOR_PC vazio ou zero",IF(AND(G923&lt;&gt;"Sim",G923&lt;&gt;"Nao",G923&lt;&gt;""),"PC_PAGO_A_CONTRATADA invalido",IF(AND(C923&lt;&gt;"C0",IFERROR(INDEX(parametros!$A$2:$A$6,MATCH(C923,parametros!$B$2:$B$6,0)),"")="Sim",IFERROR(INDEX(parametros!$H$2:$H$6,MATCH(C923,parametros!$B$2:$B$6,0)),"")=""),"INICIO_EFEITO ausente: PC "&amp;A923&amp;" - "&amp;C923,IF(L923="","EFEITO_PC nao calculado: PC "&amp;A923&amp;" - "&amp;C923,"OK")))))))))</f>
        <v/>
      </c>
      <c r="L923" s="92" t="str">
        <f>IF(AND(A923="",B923="",D923="",G923=""),"",IF(OR(B923="",NOT(ISNUMBER(B923)),C923="",C923="Fora dos ciclos"),"",IF(C923="C0","Nao",IF(IFERROR(INDEX(parametros!$A$2:$A$6,MATCH(C923,parametros!$B$2:$B$6,0)),"")&lt;&gt;"Sim","Nao",IF(IFERROR(INDEX(parametros!$H$2:$H$6,MATCH(C923,parametros!$B$2:$B$6,0)),"")="","",IF(B923&gt;=IFERROR(INDEX(parametros!$H$2:$H$6,MATCH(C923,parametros!$B$2:$B$6,0)),""),"Sim","Nao"))))))</f>
        <v/>
      </c>
      <c r="T923" s="156"/>
      <c r="U923" s="214" t="str">
        <f t="shared" si="76"/>
        <v/>
      </c>
      <c r="V923" s="212" t="s">
        <v>50</v>
      </c>
      <c r="W923" s="100" t="s">
        <v>168</v>
      </c>
      <c r="X923" s="100" t="s">
        <v>169</v>
      </c>
      <c r="Y923" s="101" t="s">
        <v>170</v>
      </c>
      <c r="Z923" s="101" t="s">
        <v>171</v>
      </c>
      <c r="AA923" s="101" t="s">
        <v>50</v>
      </c>
      <c r="AB923" s="101" t="s">
        <v>172</v>
      </c>
      <c r="AC923" s="102" t="s">
        <v>173</v>
      </c>
    </row>
    <row r="924" spans="1:29" ht="25.5" customHeight="1" x14ac:dyDescent="0.35">
      <c r="A924" s="392"/>
      <c r="B924" s="393"/>
      <c r="C924" s="99" t="str">
        <f>IF(B924="","",IF(NOT(ISNUMBER(B924)),"DATA_PC invalida",IF(NOT(ISNUMBER(parametros!$C$2)),"Fora dos ciclos",IF(OR(B924&lt;parametros!$C$2,(YEAR(B924)-YEAR(parametros!$C$2))*12+MONTH(B924)-MONTH(parametros!$C$2)&gt;59),"Fora dos ciclos","C"&amp;INT(((YEAR(B924)-YEAR(parametros!$C$2))*12+MONTH(B924)-MONTH(parametros!$C$2))/12)))))</f>
        <v/>
      </c>
      <c r="D924" s="394"/>
      <c r="E924" s="78" t="str">
        <f>IF(C924="","",IFERROR(VLOOKUP(C924,parametros!$A$11:$E$15,5,0),""))</f>
        <v/>
      </c>
      <c r="F924" s="79" t="str">
        <f t="shared" si="72"/>
        <v/>
      </c>
      <c r="G924" s="395"/>
      <c r="H924" s="91">
        <f t="shared" si="73"/>
        <v>0</v>
      </c>
      <c r="I924" s="91" t="str">
        <f t="shared" si="74"/>
        <v/>
      </c>
      <c r="J924" s="91" t="str">
        <f t="shared" si="75"/>
        <v/>
      </c>
      <c r="K924" s="92" t="str">
        <f>IF(AND(A924="",B924="",D924="",G924=""),"",IF(AND(A924&lt;&gt;"",COUNTIF($A$2:$A$5001,A924)&gt;1),"NUMERO_PC duplicado",IF(B924="","DATA_PC vazia",IF(NOT(ISNUMBER(B924)),"DATA_PC invalida",IF(OR(C924="",C924="Fora dos ciclos"),"CICLO_PC nao identificado",IF(OR(D924="",D924=0),"VALOR_PC vazio ou zero",IF(AND(G924&lt;&gt;"Sim",G924&lt;&gt;"Nao",G924&lt;&gt;""),"PC_PAGO_A_CONTRATADA invalido",IF(AND(C924&lt;&gt;"C0",IFERROR(INDEX(parametros!$A$2:$A$6,MATCH(C924,parametros!$B$2:$B$6,0)),"")="Sim",IFERROR(INDEX(parametros!$H$2:$H$6,MATCH(C924,parametros!$B$2:$B$6,0)),"")=""),"INICIO_EFEITO ausente: PC "&amp;A924&amp;" - "&amp;C924,IF(L924="","EFEITO_PC nao calculado: PC "&amp;A924&amp;" - "&amp;C924,"OK")))))))))</f>
        <v/>
      </c>
      <c r="L924" s="92" t="str">
        <f>IF(AND(A924="",B924="",D924="",G924=""),"",IF(OR(B924="",NOT(ISNUMBER(B924)),C924="",C924="Fora dos ciclos"),"",IF(C924="C0","Nao",IF(IFERROR(INDEX(parametros!$A$2:$A$6,MATCH(C924,parametros!$B$2:$B$6,0)),"")&lt;&gt;"Sim","Nao",IF(IFERROR(INDEX(parametros!$H$2:$H$6,MATCH(C924,parametros!$B$2:$B$6,0)),"")="","",IF(B924&gt;=IFERROR(INDEX(parametros!$H$2:$H$6,MATCH(C924,parametros!$B$2:$B$6,0)),""),"Sim","Nao"))))))</f>
        <v/>
      </c>
      <c r="T924" s="156"/>
      <c r="U924" s="214" t="str">
        <f t="shared" si="76"/>
        <v/>
      </c>
      <c r="V924" s="212" t="s">
        <v>50</v>
      </c>
      <c r="W924" s="100" t="s">
        <v>168</v>
      </c>
      <c r="X924" s="100" t="s">
        <v>169</v>
      </c>
      <c r="Y924" s="101" t="s">
        <v>170</v>
      </c>
      <c r="Z924" s="101" t="s">
        <v>171</v>
      </c>
      <c r="AA924" s="101" t="s">
        <v>50</v>
      </c>
      <c r="AB924" s="101" t="s">
        <v>172</v>
      </c>
      <c r="AC924" s="102" t="s">
        <v>173</v>
      </c>
    </row>
    <row r="925" spans="1:29" ht="25.5" customHeight="1" x14ac:dyDescent="0.35">
      <c r="A925" s="392"/>
      <c r="B925" s="393"/>
      <c r="C925" s="99" t="str">
        <f>IF(B925="","",IF(NOT(ISNUMBER(B925)),"DATA_PC invalida",IF(NOT(ISNUMBER(parametros!$C$2)),"Fora dos ciclos",IF(OR(B925&lt;parametros!$C$2,(YEAR(B925)-YEAR(parametros!$C$2))*12+MONTH(B925)-MONTH(parametros!$C$2)&gt;59),"Fora dos ciclos","C"&amp;INT(((YEAR(B925)-YEAR(parametros!$C$2))*12+MONTH(B925)-MONTH(parametros!$C$2))/12)))))</f>
        <v/>
      </c>
      <c r="D925" s="394"/>
      <c r="E925" s="78" t="str">
        <f>IF(C925="","",IFERROR(VLOOKUP(C925,parametros!$A$11:$E$15,5,0),""))</f>
        <v/>
      </c>
      <c r="F925" s="79" t="str">
        <f t="shared" si="72"/>
        <v/>
      </c>
      <c r="G925" s="395"/>
      <c r="H925" s="91">
        <f t="shared" si="73"/>
        <v>0</v>
      </c>
      <c r="I925" s="91" t="str">
        <f t="shared" si="74"/>
        <v/>
      </c>
      <c r="J925" s="91" t="str">
        <f t="shared" si="75"/>
        <v/>
      </c>
      <c r="K925" s="92" t="str">
        <f>IF(AND(A925="",B925="",D925="",G925=""),"",IF(AND(A925&lt;&gt;"",COUNTIF($A$2:$A$5001,A925)&gt;1),"NUMERO_PC duplicado",IF(B925="","DATA_PC vazia",IF(NOT(ISNUMBER(B925)),"DATA_PC invalida",IF(OR(C925="",C925="Fora dos ciclos"),"CICLO_PC nao identificado",IF(OR(D925="",D925=0),"VALOR_PC vazio ou zero",IF(AND(G925&lt;&gt;"Sim",G925&lt;&gt;"Nao",G925&lt;&gt;""),"PC_PAGO_A_CONTRATADA invalido",IF(AND(C925&lt;&gt;"C0",IFERROR(INDEX(parametros!$A$2:$A$6,MATCH(C925,parametros!$B$2:$B$6,0)),"")="Sim",IFERROR(INDEX(parametros!$H$2:$H$6,MATCH(C925,parametros!$B$2:$B$6,0)),"")=""),"INICIO_EFEITO ausente: PC "&amp;A925&amp;" - "&amp;C925,IF(L925="","EFEITO_PC nao calculado: PC "&amp;A925&amp;" - "&amp;C925,"OK")))))))))</f>
        <v/>
      </c>
      <c r="L925" s="92" t="str">
        <f>IF(AND(A925="",B925="",D925="",G925=""),"",IF(OR(B925="",NOT(ISNUMBER(B925)),C925="",C925="Fora dos ciclos"),"",IF(C925="C0","Nao",IF(IFERROR(INDEX(parametros!$A$2:$A$6,MATCH(C925,parametros!$B$2:$B$6,0)),"")&lt;&gt;"Sim","Nao",IF(IFERROR(INDEX(parametros!$H$2:$H$6,MATCH(C925,parametros!$B$2:$B$6,0)),"")="","",IF(B925&gt;=IFERROR(INDEX(parametros!$H$2:$H$6,MATCH(C925,parametros!$B$2:$B$6,0)),""),"Sim","Nao"))))))</f>
        <v/>
      </c>
      <c r="T925" s="156"/>
      <c r="U925" s="214" t="str">
        <f t="shared" si="76"/>
        <v/>
      </c>
      <c r="V925" s="212" t="s">
        <v>50</v>
      </c>
      <c r="W925" s="100" t="s">
        <v>168</v>
      </c>
      <c r="X925" s="100" t="s">
        <v>169</v>
      </c>
      <c r="Y925" s="101" t="s">
        <v>170</v>
      </c>
      <c r="Z925" s="101" t="s">
        <v>171</v>
      </c>
      <c r="AA925" s="101" t="s">
        <v>50</v>
      </c>
      <c r="AB925" s="101" t="s">
        <v>172</v>
      </c>
      <c r="AC925" s="102" t="s">
        <v>173</v>
      </c>
    </row>
    <row r="926" spans="1:29" ht="25.5" customHeight="1" x14ac:dyDescent="0.35">
      <c r="A926" s="392"/>
      <c r="B926" s="393"/>
      <c r="C926" s="99" t="str">
        <f>IF(B926="","",IF(NOT(ISNUMBER(B926)),"DATA_PC invalida",IF(NOT(ISNUMBER(parametros!$C$2)),"Fora dos ciclos",IF(OR(B926&lt;parametros!$C$2,(YEAR(B926)-YEAR(parametros!$C$2))*12+MONTH(B926)-MONTH(parametros!$C$2)&gt;59),"Fora dos ciclos","C"&amp;INT(((YEAR(B926)-YEAR(parametros!$C$2))*12+MONTH(B926)-MONTH(parametros!$C$2))/12)))))</f>
        <v/>
      </c>
      <c r="D926" s="394"/>
      <c r="E926" s="78" t="str">
        <f>IF(C926="","",IFERROR(VLOOKUP(C926,parametros!$A$11:$E$15,5,0),""))</f>
        <v/>
      </c>
      <c r="F926" s="79" t="str">
        <f t="shared" si="72"/>
        <v/>
      </c>
      <c r="G926" s="395"/>
      <c r="H926" s="91">
        <f t="shared" si="73"/>
        <v>0</v>
      </c>
      <c r="I926" s="91" t="str">
        <f t="shared" si="74"/>
        <v/>
      </c>
      <c r="J926" s="91" t="str">
        <f t="shared" si="75"/>
        <v/>
      </c>
      <c r="K926" s="92" t="str">
        <f>IF(AND(A926="",B926="",D926="",G926=""),"",IF(AND(A926&lt;&gt;"",COUNTIF($A$2:$A$5001,A926)&gt;1),"NUMERO_PC duplicado",IF(B926="","DATA_PC vazia",IF(NOT(ISNUMBER(B926)),"DATA_PC invalida",IF(OR(C926="",C926="Fora dos ciclos"),"CICLO_PC nao identificado",IF(OR(D926="",D926=0),"VALOR_PC vazio ou zero",IF(AND(G926&lt;&gt;"Sim",G926&lt;&gt;"Nao",G926&lt;&gt;""),"PC_PAGO_A_CONTRATADA invalido",IF(AND(C926&lt;&gt;"C0",IFERROR(INDEX(parametros!$A$2:$A$6,MATCH(C926,parametros!$B$2:$B$6,0)),"")="Sim",IFERROR(INDEX(parametros!$H$2:$H$6,MATCH(C926,parametros!$B$2:$B$6,0)),"")=""),"INICIO_EFEITO ausente: PC "&amp;A926&amp;" - "&amp;C926,IF(L926="","EFEITO_PC nao calculado: PC "&amp;A926&amp;" - "&amp;C926,"OK")))))))))</f>
        <v/>
      </c>
      <c r="L926" s="92" t="str">
        <f>IF(AND(A926="",B926="",D926="",G926=""),"",IF(OR(B926="",NOT(ISNUMBER(B926)),C926="",C926="Fora dos ciclos"),"",IF(C926="C0","Nao",IF(IFERROR(INDEX(parametros!$A$2:$A$6,MATCH(C926,parametros!$B$2:$B$6,0)),"")&lt;&gt;"Sim","Nao",IF(IFERROR(INDEX(parametros!$H$2:$H$6,MATCH(C926,parametros!$B$2:$B$6,0)),"")="","",IF(B926&gt;=IFERROR(INDEX(parametros!$H$2:$H$6,MATCH(C926,parametros!$B$2:$B$6,0)),""),"Sim","Nao"))))))</f>
        <v/>
      </c>
      <c r="T926" s="156"/>
      <c r="U926" s="214" t="str">
        <f t="shared" si="76"/>
        <v/>
      </c>
      <c r="V926" s="212" t="s">
        <v>50</v>
      </c>
      <c r="W926" s="100" t="s">
        <v>168</v>
      </c>
      <c r="X926" s="100" t="s">
        <v>169</v>
      </c>
      <c r="Y926" s="101" t="s">
        <v>170</v>
      </c>
      <c r="Z926" s="101" t="s">
        <v>171</v>
      </c>
      <c r="AA926" s="101" t="s">
        <v>50</v>
      </c>
      <c r="AB926" s="101" t="s">
        <v>172</v>
      </c>
      <c r="AC926" s="102" t="s">
        <v>173</v>
      </c>
    </row>
    <row r="927" spans="1:29" ht="25.5" customHeight="1" x14ac:dyDescent="0.35">
      <c r="A927" s="392"/>
      <c r="B927" s="393"/>
      <c r="C927" s="99" t="str">
        <f>IF(B927="","",IF(NOT(ISNUMBER(B927)),"DATA_PC invalida",IF(NOT(ISNUMBER(parametros!$C$2)),"Fora dos ciclos",IF(OR(B927&lt;parametros!$C$2,(YEAR(B927)-YEAR(parametros!$C$2))*12+MONTH(B927)-MONTH(parametros!$C$2)&gt;59),"Fora dos ciclos","C"&amp;INT(((YEAR(B927)-YEAR(parametros!$C$2))*12+MONTH(B927)-MONTH(parametros!$C$2))/12)))))</f>
        <v/>
      </c>
      <c r="D927" s="394"/>
      <c r="E927" s="78" t="str">
        <f>IF(C927="","",IFERROR(VLOOKUP(C927,parametros!$A$11:$E$15,5,0),""))</f>
        <v/>
      </c>
      <c r="F927" s="79" t="str">
        <f t="shared" si="72"/>
        <v/>
      </c>
      <c r="G927" s="395"/>
      <c r="H927" s="91">
        <f t="shared" si="73"/>
        <v>0</v>
      </c>
      <c r="I927" s="91" t="str">
        <f t="shared" si="74"/>
        <v/>
      </c>
      <c r="J927" s="91" t="str">
        <f t="shared" si="75"/>
        <v/>
      </c>
      <c r="K927" s="92" t="str">
        <f>IF(AND(A927="",B927="",D927="",G927=""),"",IF(AND(A927&lt;&gt;"",COUNTIF($A$2:$A$5001,A927)&gt;1),"NUMERO_PC duplicado",IF(B927="","DATA_PC vazia",IF(NOT(ISNUMBER(B927)),"DATA_PC invalida",IF(OR(C927="",C927="Fora dos ciclos"),"CICLO_PC nao identificado",IF(OR(D927="",D927=0),"VALOR_PC vazio ou zero",IF(AND(G927&lt;&gt;"Sim",G927&lt;&gt;"Nao",G927&lt;&gt;""),"PC_PAGO_A_CONTRATADA invalido",IF(AND(C927&lt;&gt;"C0",IFERROR(INDEX(parametros!$A$2:$A$6,MATCH(C927,parametros!$B$2:$B$6,0)),"")="Sim",IFERROR(INDEX(parametros!$H$2:$H$6,MATCH(C927,parametros!$B$2:$B$6,0)),"")=""),"INICIO_EFEITO ausente: PC "&amp;A927&amp;" - "&amp;C927,IF(L927="","EFEITO_PC nao calculado: PC "&amp;A927&amp;" - "&amp;C927,"OK")))))))))</f>
        <v/>
      </c>
      <c r="L927" s="92" t="str">
        <f>IF(AND(A927="",B927="",D927="",G927=""),"",IF(OR(B927="",NOT(ISNUMBER(B927)),C927="",C927="Fora dos ciclos"),"",IF(C927="C0","Nao",IF(IFERROR(INDEX(parametros!$A$2:$A$6,MATCH(C927,parametros!$B$2:$B$6,0)),"")&lt;&gt;"Sim","Nao",IF(IFERROR(INDEX(parametros!$H$2:$H$6,MATCH(C927,parametros!$B$2:$B$6,0)),"")="","",IF(B927&gt;=IFERROR(INDEX(parametros!$H$2:$H$6,MATCH(C927,parametros!$B$2:$B$6,0)),""),"Sim","Nao"))))))</f>
        <v/>
      </c>
      <c r="T927" s="156"/>
      <c r="U927" s="214" t="str">
        <f t="shared" si="76"/>
        <v/>
      </c>
      <c r="V927" s="212" t="s">
        <v>50</v>
      </c>
      <c r="W927" s="100" t="s">
        <v>168</v>
      </c>
      <c r="X927" s="100" t="s">
        <v>169</v>
      </c>
      <c r="Y927" s="101" t="s">
        <v>170</v>
      </c>
      <c r="Z927" s="101" t="s">
        <v>171</v>
      </c>
      <c r="AA927" s="101" t="s">
        <v>50</v>
      </c>
      <c r="AB927" s="101" t="s">
        <v>172</v>
      </c>
      <c r="AC927" s="102" t="s">
        <v>173</v>
      </c>
    </row>
    <row r="928" spans="1:29" ht="25.5" customHeight="1" x14ac:dyDescent="0.35">
      <c r="A928" s="392"/>
      <c r="B928" s="393"/>
      <c r="C928" s="99" t="str">
        <f>IF(B928="","",IF(NOT(ISNUMBER(B928)),"DATA_PC invalida",IF(NOT(ISNUMBER(parametros!$C$2)),"Fora dos ciclos",IF(OR(B928&lt;parametros!$C$2,(YEAR(B928)-YEAR(parametros!$C$2))*12+MONTH(B928)-MONTH(parametros!$C$2)&gt;59),"Fora dos ciclos","C"&amp;INT(((YEAR(B928)-YEAR(parametros!$C$2))*12+MONTH(B928)-MONTH(parametros!$C$2))/12)))))</f>
        <v/>
      </c>
      <c r="D928" s="394"/>
      <c r="E928" s="78" t="str">
        <f>IF(C928="","",IFERROR(VLOOKUP(C928,parametros!$A$11:$E$15,5,0),""))</f>
        <v/>
      </c>
      <c r="F928" s="79" t="str">
        <f t="shared" si="72"/>
        <v/>
      </c>
      <c r="G928" s="395"/>
      <c r="H928" s="91">
        <f t="shared" si="73"/>
        <v>0</v>
      </c>
      <c r="I928" s="91" t="str">
        <f t="shared" si="74"/>
        <v/>
      </c>
      <c r="J928" s="91" t="str">
        <f t="shared" si="75"/>
        <v/>
      </c>
      <c r="K928" s="92" t="str">
        <f>IF(AND(A928="",B928="",D928="",G928=""),"",IF(AND(A928&lt;&gt;"",COUNTIF($A$2:$A$5001,A928)&gt;1),"NUMERO_PC duplicado",IF(B928="","DATA_PC vazia",IF(NOT(ISNUMBER(B928)),"DATA_PC invalida",IF(OR(C928="",C928="Fora dos ciclos"),"CICLO_PC nao identificado",IF(OR(D928="",D928=0),"VALOR_PC vazio ou zero",IF(AND(G928&lt;&gt;"Sim",G928&lt;&gt;"Nao",G928&lt;&gt;""),"PC_PAGO_A_CONTRATADA invalido",IF(AND(C928&lt;&gt;"C0",IFERROR(INDEX(parametros!$A$2:$A$6,MATCH(C928,parametros!$B$2:$B$6,0)),"")="Sim",IFERROR(INDEX(parametros!$H$2:$H$6,MATCH(C928,parametros!$B$2:$B$6,0)),"")=""),"INICIO_EFEITO ausente: PC "&amp;A928&amp;" - "&amp;C928,IF(L928="","EFEITO_PC nao calculado: PC "&amp;A928&amp;" - "&amp;C928,"OK")))))))))</f>
        <v/>
      </c>
      <c r="L928" s="92" t="str">
        <f>IF(AND(A928="",B928="",D928="",G928=""),"",IF(OR(B928="",NOT(ISNUMBER(B928)),C928="",C928="Fora dos ciclos"),"",IF(C928="C0","Nao",IF(IFERROR(INDEX(parametros!$A$2:$A$6,MATCH(C928,parametros!$B$2:$B$6,0)),"")&lt;&gt;"Sim","Nao",IF(IFERROR(INDEX(parametros!$H$2:$H$6,MATCH(C928,parametros!$B$2:$B$6,0)),"")="","",IF(B928&gt;=IFERROR(INDEX(parametros!$H$2:$H$6,MATCH(C928,parametros!$B$2:$B$6,0)),""),"Sim","Nao"))))))</f>
        <v/>
      </c>
      <c r="T928" s="156"/>
      <c r="U928" s="214" t="str">
        <f t="shared" si="76"/>
        <v/>
      </c>
      <c r="V928" s="212" t="s">
        <v>50</v>
      </c>
      <c r="W928" s="100" t="s">
        <v>168</v>
      </c>
      <c r="X928" s="100" t="s">
        <v>169</v>
      </c>
      <c r="Y928" s="101" t="s">
        <v>170</v>
      </c>
      <c r="Z928" s="101" t="s">
        <v>171</v>
      </c>
      <c r="AA928" s="101" t="s">
        <v>50</v>
      </c>
      <c r="AB928" s="101" t="s">
        <v>172</v>
      </c>
      <c r="AC928" s="102" t="s">
        <v>173</v>
      </c>
    </row>
    <row r="929" spans="1:29" ht="25.5" customHeight="1" x14ac:dyDescent="0.35">
      <c r="A929" s="392"/>
      <c r="B929" s="393"/>
      <c r="C929" s="99" t="str">
        <f>IF(B929="","",IF(NOT(ISNUMBER(B929)),"DATA_PC invalida",IF(NOT(ISNUMBER(parametros!$C$2)),"Fora dos ciclos",IF(OR(B929&lt;parametros!$C$2,(YEAR(B929)-YEAR(parametros!$C$2))*12+MONTH(B929)-MONTH(parametros!$C$2)&gt;59),"Fora dos ciclos","C"&amp;INT(((YEAR(B929)-YEAR(parametros!$C$2))*12+MONTH(B929)-MONTH(parametros!$C$2))/12)))))</f>
        <v/>
      </c>
      <c r="D929" s="394"/>
      <c r="E929" s="78" t="str">
        <f>IF(C929="","",IFERROR(VLOOKUP(C929,parametros!$A$11:$E$15,5,0),""))</f>
        <v/>
      </c>
      <c r="F929" s="79" t="str">
        <f t="shared" si="72"/>
        <v/>
      </c>
      <c r="G929" s="395"/>
      <c r="H929" s="91">
        <f t="shared" si="73"/>
        <v>0</v>
      </c>
      <c r="I929" s="91" t="str">
        <f t="shared" si="74"/>
        <v/>
      </c>
      <c r="J929" s="91" t="str">
        <f t="shared" si="75"/>
        <v/>
      </c>
      <c r="K929" s="92" t="str">
        <f>IF(AND(A929="",B929="",D929="",G929=""),"",IF(AND(A929&lt;&gt;"",COUNTIF($A$2:$A$5001,A929)&gt;1),"NUMERO_PC duplicado",IF(B929="","DATA_PC vazia",IF(NOT(ISNUMBER(B929)),"DATA_PC invalida",IF(OR(C929="",C929="Fora dos ciclos"),"CICLO_PC nao identificado",IF(OR(D929="",D929=0),"VALOR_PC vazio ou zero",IF(AND(G929&lt;&gt;"Sim",G929&lt;&gt;"Nao",G929&lt;&gt;""),"PC_PAGO_A_CONTRATADA invalido",IF(AND(C929&lt;&gt;"C0",IFERROR(INDEX(parametros!$A$2:$A$6,MATCH(C929,parametros!$B$2:$B$6,0)),"")="Sim",IFERROR(INDEX(parametros!$H$2:$H$6,MATCH(C929,parametros!$B$2:$B$6,0)),"")=""),"INICIO_EFEITO ausente: PC "&amp;A929&amp;" - "&amp;C929,IF(L929="","EFEITO_PC nao calculado: PC "&amp;A929&amp;" - "&amp;C929,"OK")))))))))</f>
        <v/>
      </c>
      <c r="L929" s="92" t="str">
        <f>IF(AND(A929="",B929="",D929="",G929=""),"",IF(OR(B929="",NOT(ISNUMBER(B929)),C929="",C929="Fora dos ciclos"),"",IF(C929="C0","Nao",IF(IFERROR(INDEX(parametros!$A$2:$A$6,MATCH(C929,parametros!$B$2:$B$6,0)),"")&lt;&gt;"Sim","Nao",IF(IFERROR(INDEX(parametros!$H$2:$H$6,MATCH(C929,parametros!$B$2:$B$6,0)),"")="","",IF(B929&gt;=IFERROR(INDEX(parametros!$H$2:$H$6,MATCH(C929,parametros!$B$2:$B$6,0)),""),"Sim","Nao"))))))</f>
        <v/>
      </c>
      <c r="T929" s="156"/>
      <c r="U929" s="214" t="str">
        <f t="shared" si="76"/>
        <v/>
      </c>
      <c r="V929" s="212" t="s">
        <v>50</v>
      </c>
      <c r="W929" s="100" t="s">
        <v>168</v>
      </c>
      <c r="X929" s="100" t="s">
        <v>169</v>
      </c>
      <c r="Y929" s="101" t="s">
        <v>170</v>
      </c>
      <c r="Z929" s="101" t="s">
        <v>171</v>
      </c>
      <c r="AA929" s="101" t="s">
        <v>50</v>
      </c>
      <c r="AB929" s="101" t="s">
        <v>172</v>
      </c>
      <c r="AC929" s="102" t="s">
        <v>173</v>
      </c>
    </row>
    <row r="930" spans="1:29" ht="25.5" customHeight="1" x14ac:dyDescent="0.35">
      <c r="A930" s="392"/>
      <c r="B930" s="393"/>
      <c r="C930" s="99" t="str">
        <f>IF(B930="","",IF(NOT(ISNUMBER(B930)),"DATA_PC invalida",IF(NOT(ISNUMBER(parametros!$C$2)),"Fora dos ciclos",IF(OR(B930&lt;parametros!$C$2,(YEAR(B930)-YEAR(parametros!$C$2))*12+MONTH(B930)-MONTH(parametros!$C$2)&gt;59),"Fora dos ciclos","C"&amp;INT(((YEAR(B930)-YEAR(parametros!$C$2))*12+MONTH(B930)-MONTH(parametros!$C$2))/12)))))</f>
        <v/>
      </c>
      <c r="D930" s="394"/>
      <c r="E930" s="78" t="str">
        <f>IF(C930="","",IFERROR(VLOOKUP(C930,parametros!$A$11:$E$15,5,0),""))</f>
        <v/>
      </c>
      <c r="F930" s="79" t="str">
        <f t="shared" si="72"/>
        <v/>
      </c>
      <c r="G930" s="395"/>
      <c r="H930" s="91">
        <f t="shared" si="73"/>
        <v>0</v>
      </c>
      <c r="I930" s="91" t="str">
        <f t="shared" si="74"/>
        <v/>
      </c>
      <c r="J930" s="91" t="str">
        <f t="shared" si="75"/>
        <v/>
      </c>
      <c r="K930" s="92" t="str">
        <f>IF(AND(A930="",B930="",D930="",G930=""),"",IF(AND(A930&lt;&gt;"",COUNTIF($A$2:$A$5001,A930)&gt;1),"NUMERO_PC duplicado",IF(B930="","DATA_PC vazia",IF(NOT(ISNUMBER(B930)),"DATA_PC invalida",IF(OR(C930="",C930="Fora dos ciclos"),"CICLO_PC nao identificado",IF(OR(D930="",D930=0),"VALOR_PC vazio ou zero",IF(AND(G930&lt;&gt;"Sim",G930&lt;&gt;"Nao",G930&lt;&gt;""),"PC_PAGO_A_CONTRATADA invalido",IF(AND(C930&lt;&gt;"C0",IFERROR(INDEX(parametros!$A$2:$A$6,MATCH(C930,parametros!$B$2:$B$6,0)),"")="Sim",IFERROR(INDEX(parametros!$H$2:$H$6,MATCH(C930,parametros!$B$2:$B$6,0)),"")=""),"INICIO_EFEITO ausente: PC "&amp;A930&amp;" - "&amp;C930,IF(L930="","EFEITO_PC nao calculado: PC "&amp;A930&amp;" - "&amp;C930,"OK")))))))))</f>
        <v/>
      </c>
      <c r="L930" s="92" t="str">
        <f>IF(AND(A930="",B930="",D930="",G930=""),"",IF(OR(B930="",NOT(ISNUMBER(B930)),C930="",C930="Fora dos ciclos"),"",IF(C930="C0","Nao",IF(IFERROR(INDEX(parametros!$A$2:$A$6,MATCH(C930,parametros!$B$2:$B$6,0)),"")&lt;&gt;"Sim","Nao",IF(IFERROR(INDEX(parametros!$H$2:$H$6,MATCH(C930,parametros!$B$2:$B$6,0)),"")="","",IF(B930&gt;=IFERROR(INDEX(parametros!$H$2:$H$6,MATCH(C930,parametros!$B$2:$B$6,0)),""),"Sim","Nao"))))))</f>
        <v/>
      </c>
      <c r="T930" s="156"/>
      <c r="U930" s="214" t="str">
        <f t="shared" si="76"/>
        <v/>
      </c>
      <c r="V930" s="212" t="s">
        <v>50</v>
      </c>
      <c r="W930" s="100" t="s">
        <v>168</v>
      </c>
      <c r="X930" s="100" t="s">
        <v>169</v>
      </c>
      <c r="Y930" s="101" t="s">
        <v>170</v>
      </c>
      <c r="Z930" s="101" t="s">
        <v>171</v>
      </c>
      <c r="AA930" s="101" t="s">
        <v>50</v>
      </c>
      <c r="AB930" s="101" t="s">
        <v>172</v>
      </c>
      <c r="AC930" s="102" t="s">
        <v>173</v>
      </c>
    </row>
    <row r="931" spans="1:29" ht="25.5" customHeight="1" x14ac:dyDescent="0.35">
      <c r="A931" s="392"/>
      <c r="B931" s="393"/>
      <c r="C931" s="99" t="str">
        <f>IF(B931="","",IF(NOT(ISNUMBER(B931)),"DATA_PC invalida",IF(NOT(ISNUMBER(parametros!$C$2)),"Fora dos ciclos",IF(OR(B931&lt;parametros!$C$2,(YEAR(B931)-YEAR(parametros!$C$2))*12+MONTH(B931)-MONTH(parametros!$C$2)&gt;59),"Fora dos ciclos","C"&amp;INT(((YEAR(B931)-YEAR(parametros!$C$2))*12+MONTH(B931)-MONTH(parametros!$C$2))/12)))))</f>
        <v/>
      </c>
      <c r="D931" s="394"/>
      <c r="E931" s="78" t="str">
        <f>IF(C931="","",IFERROR(VLOOKUP(C931,parametros!$A$11:$E$15,5,0),""))</f>
        <v/>
      </c>
      <c r="F931" s="79" t="str">
        <f t="shared" si="72"/>
        <v/>
      </c>
      <c r="G931" s="395"/>
      <c r="H931" s="91">
        <f t="shared" si="73"/>
        <v>0</v>
      </c>
      <c r="I931" s="91" t="str">
        <f t="shared" si="74"/>
        <v/>
      </c>
      <c r="J931" s="91" t="str">
        <f t="shared" si="75"/>
        <v/>
      </c>
      <c r="K931" s="92" t="str">
        <f>IF(AND(A931="",B931="",D931="",G931=""),"",IF(AND(A931&lt;&gt;"",COUNTIF($A$2:$A$5001,A931)&gt;1),"NUMERO_PC duplicado",IF(B931="","DATA_PC vazia",IF(NOT(ISNUMBER(B931)),"DATA_PC invalida",IF(OR(C931="",C931="Fora dos ciclos"),"CICLO_PC nao identificado",IF(OR(D931="",D931=0),"VALOR_PC vazio ou zero",IF(AND(G931&lt;&gt;"Sim",G931&lt;&gt;"Nao",G931&lt;&gt;""),"PC_PAGO_A_CONTRATADA invalido",IF(AND(C931&lt;&gt;"C0",IFERROR(INDEX(parametros!$A$2:$A$6,MATCH(C931,parametros!$B$2:$B$6,0)),"")="Sim",IFERROR(INDEX(parametros!$H$2:$H$6,MATCH(C931,parametros!$B$2:$B$6,0)),"")=""),"INICIO_EFEITO ausente: PC "&amp;A931&amp;" - "&amp;C931,IF(L931="","EFEITO_PC nao calculado: PC "&amp;A931&amp;" - "&amp;C931,"OK")))))))))</f>
        <v/>
      </c>
      <c r="L931" s="92" t="str">
        <f>IF(AND(A931="",B931="",D931="",G931=""),"",IF(OR(B931="",NOT(ISNUMBER(B931)),C931="",C931="Fora dos ciclos"),"",IF(C931="C0","Nao",IF(IFERROR(INDEX(parametros!$A$2:$A$6,MATCH(C931,parametros!$B$2:$B$6,0)),"")&lt;&gt;"Sim","Nao",IF(IFERROR(INDEX(parametros!$H$2:$H$6,MATCH(C931,parametros!$B$2:$B$6,0)),"")="","",IF(B931&gt;=IFERROR(INDEX(parametros!$H$2:$H$6,MATCH(C931,parametros!$B$2:$B$6,0)),""),"Sim","Nao"))))))</f>
        <v/>
      </c>
      <c r="T931" s="156"/>
      <c r="U931" s="214" t="str">
        <f t="shared" si="76"/>
        <v/>
      </c>
      <c r="V931" s="212" t="s">
        <v>50</v>
      </c>
      <c r="W931" s="100" t="s">
        <v>168</v>
      </c>
      <c r="X931" s="100" t="s">
        <v>169</v>
      </c>
      <c r="Y931" s="101" t="s">
        <v>170</v>
      </c>
      <c r="Z931" s="101" t="s">
        <v>171</v>
      </c>
      <c r="AA931" s="101" t="s">
        <v>50</v>
      </c>
      <c r="AB931" s="101" t="s">
        <v>172</v>
      </c>
      <c r="AC931" s="102" t="s">
        <v>173</v>
      </c>
    </row>
    <row r="932" spans="1:29" ht="25.5" customHeight="1" x14ac:dyDescent="0.35">
      <c r="A932" s="392"/>
      <c r="B932" s="393"/>
      <c r="C932" s="99" t="str">
        <f>IF(B932="","",IF(NOT(ISNUMBER(B932)),"DATA_PC invalida",IF(NOT(ISNUMBER(parametros!$C$2)),"Fora dos ciclos",IF(OR(B932&lt;parametros!$C$2,(YEAR(B932)-YEAR(parametros!$C$2))*12+MONTH(B932)-MONTH(parametros!$C$2)&gt;59),"Fora dos ciclos","C"&amp;INT(((YEAR(B932)-YEAR(parametros!$C$2))*12+MONTH(B932)-MONTH(parametros!$C$2))/12)))))</f>
        <v/>
      </c>
      <c r="D932" s="394"/>
      <c r="E932" s="78" t="str">
        <f>IF(C932="","",IFERROR(VLOOKUP(C932,parametros!$A$11:$E$15,5,0),""))</f>
        <v/>
      </c>
      <c r="F932" s="79" t="str">
        <f t="shared" si="72"/>
        <v/>
      </c>
      <c r="G932" s="395"/>
      <c r="H932" s="91">
        <f t="shared" si="73"/>
        <v>0</v>
      </c>
      <c r="I932" s="91" t="str">
        <f t="shared" si="74"/>
        <v/>
      </c>
      <c r="J932" s="91" t="str">
        <f t="shared" si="75"/>
        <v/>
      </c>
      <c r="K932" s="92" t="str">
        <f>IF(AND(A932="",B932="",D932="",G932=""),"",IF(AND(A932&lt;&gt;"",COUNTIF($A$2:$A$5001,A932)&gt;1),"NUMERO_PC duplicado",IF(B932="","DATA_PC vazia",IF(NOT(ISNUMBER(B932)),"DATA_PC invalida",IF(OR(C932="",C932="Fora dos ciclos"),"CICLO_PC nao identificado",IF(OR(D932="",D932=0),"VALOR_PC vazio ou zero",IF(AND(G932&lt;&gt;"Sim",G932&lt;&gt;"Nao",G932&lt;&gt;""),"PC_PAGO_A_CONTRATADA invalido",IF(AND(C932&lt;&gt;"C0",IFERROR(INDEX(parametros!$A$2:$A$6,MATCH(C932,parametros!$B$2:$B$6,0)),"")="Sim",IFERROR(INDEX(parametros!$H$2:$H$6,MATCH(C932,parametros!$B$2:$B$6,0)),"")=""),"INICIO_EFEITO ausente: PC "&amp;A932&amp;" - "&amp;C932,IF(L932="","EFEITO_PC nao calculado: PC "&amp;A932&amp;" - "&amp;C932,"OK")))))))))</f>
        <v/>
      </c>
      <c r="L932" s="92" t="str">
        <f>IF(AND(A932="",B932="",D932="",G932=""),"",IF(OR(B932="",NOT(ISNUMBER(B932)),C932="",C932="Fora dos ciclos"),"",IF(C932="C0","Nao",IF(IFERROR(INDEX(parametros!$A$2:$A$6,MATCH(C932,parametros!$B$2:$B$6,0)),"")&lt;&gt;"Sim","Nao",IF(IFERROR(INDEX(parametros!$H$2:$H$6,MATCH(C932,parametros!$B$2:$B$6,0)),"")="","",IF(B932&gt;=IFERROR(INDEX(parametros!$H$2:$H$6,MATCH(C932,parametros!$B$2:$B$6,0)),""),"Sim","Nao"))))))</f>
        <v/>
      </c>
      <c r="T932" s="156"/>
      <c r="U932" s="214" t="str">
        <f t="shared" si="76"/>
        <v/>
      </c>
      <c r="V932" s="212" t="s">
        <v>50</v>
      </c>
      <c r="W932" s="100" t="s">
        <v>168</v>
      </c>
      <c r="X932" s="100" t="s">
        <v>169</v>
      </c>
      <c r="Y932" s="101" t="s">
        <v>170</v>
      </c>
      <c r="Z932" s="101" t="s">
        <v>171</v>
      </c>
      <c r="AA932" s="101" t="s">
        <v>50</v>
      </c>
      <c r="AB932" s="101" t="s">
        <v>172</v>
      </c>
      <c r="AC932" s="102" t="s">
        <v>173</v>
      </c>
    </row>
    <row r="933" spans="1:29" ht="25.5" customHeight="1" x14ac:dyDescent="0.35">
      <c r="A933" s="392"/>
      <c r="B933" s="393"/>
      <c r="C933" s="99" t="str">
        <f>IF(B933="","",IF(NOT(ISNUMBER(B933)),"DATA_PC invalida",IF(NOT(ISNUMBER(parametros!$C$2)),"Fora dos ciclos",IF(OR(B933&lt;parametros!$C$2,(YEAR(B933)-YEAR(parametros!$C$2))*12+MONTH(B933)-MONTH(parametros!$C$2)&gt;59),"Fora dos ciclos","C"&amp;INT(((YEAR(B933)-YEAR(parametros!$C$2))*12+MONTH(B933)-MONTH(parametros!$C$2))/12)))))</f>
        <v/>
      </c>
      <c r="D933" s="394"/>
      <c r="E933" s="78" t="str">
        <f>IF(C933="","",IFERROR(VLOOKUP(C933,parametros!$A$11:$E$15,5,0),""))</f>
        <v/>
      </c>
      <c r="F933" s="79" t="str">
        <f t="shared" si="72"/>
        <v/>
      </c>
      <c r="G933" s="395"/>
      <c r="H933" s="91">
        <f t="shared" si="73"/>
        <v>0</v>
      </c>
      <c r="I933" s="91" t="str">
        <f t="shared" si="74"/>
        <v/>
      </c>
      <c r="J933" s="91" t="str">
        <f t="shared" si="75"/>
        <v/>
      </c>
      <c r="K933" s="92" t="str">
        <f>IF(AND(A933="",B933="",D933="",G933=""),"",IF(AND(A933&lt;&gt;"",COUNTIF($A$2:$A$5001,A933)&gt;1),"NUMERO_PC duplicado",IF(B933="","DATA_PC vazia",IF(NOT(ISNUMBER(B933)),"DATA_PC invalida",IF(OR(C933="",C933="Fora dos ciclos"),"CICLO_PC nao identificado",IF(OR(D933="",D933=0),"VALOR_PC vazio ou zero",IF(AND(G933&lt;&gt;"Sim",G933&lt;&gt;"Nao",G933&lt;&gt;""),"PC_PAGO_A_CONTRATADA invalido",IF(AND(C933&lt;&gt;"C0",IFERROR(INDEX(parametros!$A$2:$A$6,MATCH(C933,parametros!$B$2:$B$6,0)),"")="Sim",IFERROR(INDEX(parametros!$H$2:$H$6,MATCH(C933,parametros!$B$2:$B$6,0)),"")=""),"INICIO_EFEITO ausente: PC "&amp;A933&amp;" - "&amp;C933,IF(L933="","EFEITO_PC nao calculado: PC "&amp;A933&amp;" - "&amp;C933,"OK")))))))))</f>
        <v/>
      </c>
      <c r="L933" s="92" t="str">
        <f>IF(AND(A933="",B933="",D933="",G933=""),"",IF(OR(B933="",NOT(ISNUMBER(B933)),C933="",C933="Fora dos ciclos"),"",IF(C933="C0","Nao",IF(IFERROR(INDEX(parametros!$A$2:$A$6,MATCH(C933,parametros!$B$2:$B$6,0)),"")&lt;&gt;"Sim","Nao",IF(IFERROR(INDEX(parametros!$H$2:$H$6,MATCH(C933,parametros!$B$2:$B$6,0)),"")="","",IF(B933&gt;=IFERROR(INDEX(parametros!$H$2:$H$6,MATCH(C933,parametros!$B$2:$B$6,0)),""),"Sim","Nao"))))))</f>
        <v/>
      </c>
      <c r="T933" s="156"/>
      <c r="U933" s="214" t="str">
        <f t="shared" si="76"/>
        <v/>
      </c>
      <c r="V933" s="212" t="s">
        <v>50</v>
      </c>
      <c r="W933" s="100" t="s">
        <v>168</v>
      </c>
      <c r="X933" s="100" t="s">
        <v>169</v>
      </c>
      <c r="Y933" s="101" t="s">
        <v>170</v>
      </c>
      <c r="Z933" s="101" t="s">
        <v>171</v>
      </c>
      <c r="AA933" s="101" t="s">
        <v>50</v>
      </c>
      <c r="AB933" s="101" t="s">
        <v>172</v>
      </c>
      <c r="AC933" s="102" t="s">
        <v>173</v>
      </c>
    </row>
    <row r="934" spans="1:29" ht="25.5" customHeight="1" x14ac:dyDescent="0.35">
      <c r="A934" s="392"/>
      <c r="B934" s="393"/>
      <c r="C934" s="99" t="str">
        <f>IF(B934="","",IF(NOT(ISNUMBER(B934)),"DATA_PC invalida",IF(NOT(ISNUMBER(parametros!$C$2)),"Fora dos ciclos",IF(OR(B934&lt;parametros!$C$2,(YEAR(B934)-YEAR(parametros!$C$2))*12+MONTH(B934)-MONTH(parametros!$C$2)&gt;59),"Fora dos ciclos","C"&amp;INT(((YEAR(B934)-YEAR(parametros!$C$2))*12+MONTH(B934)-MONTH(parametros!$C$2))/12)))))</f>
        <v/>
      </c>
      <c r="D934" s="394"/>
      <c r="E934" s="78" t="str">
        <f>IF(C934="","",IFERROR(VLOOKUP(C934,parametros!$A$11:$E$15,5,0),""))</f>
        <v/>
      </c>
      <c r="F934" s="79" t="str">
        <f t="shared" si="72"/>
        <v/>
      </c>
      <c r="G934" s="395"/>
      <c r="H934" s="91">
        <f t="shared" si="73"/>
        <v>0</v>
      </c>
      <c r="I934" s="91" t="str">
        <f t="shared" si="74"/>
        <v/>
      </c>
      <c r="J934" s="91" t="str">
        <f t="shared" si="75"/>
        <v/>
      </c>
      <c r="K934" s="92" t="str">
        <f>IF(AND(A934="",B934="",D934="",G934=""),"",IF(AND(A934&lt;&gt;"",COUNTIF($A$2:$A$5001,A934)&gt;1),"NUMERO_PC duplicado",IF(B934="","DATA_PC vazia",IF(NOT(ISNUMBER(B934)),"DATA_PC invalida",IF(OR(C934="",C934="Fora dos ciclos"),"CICLO_PC nao identificado",IF(OR(D934="",D934=0),"VALOR_PC vazio ou zero",IF(AND(G934&lt;&gt;"Sim",G934&lt;&gt;"Nao",G934&lt;&gt;""),"PC_PAGO_A_CONTRATADA invalido",IF(AND(C934&lt;&gt;"C0",IFERROR(INDEX(parametros!$A$2:$A$6,MATCH(C934,parametros!$B$2:$B$6,0)),"")="Sim",IFERROR(INDEX(parametros!$H$2:$H$6,MATCH(C934,parametros!$B$2:$B$6,0)),"")=""),"INICIO_EFEITO ausente: PC "&amp;A934&amp;" - "&amp;C934,IF(L934="","EFEITO_PC nao calculado: PC "&amp;A934&amp;" - "&amp;C934,"OK")))))))))</f>
        <v/>
      </c>
      <c r="L934" s="92" t="str">
        <f>IF(AND(A934="",B934="",D934="",G934=""),"",IF(OR(B934="",NOT(ISNUMBER(B934)),C934="",C934="Fora dos ciclos"),"",IF(C934="C0","Nao",IF(IFERROR(INDEX(parametros!$A$2:$A$6,MATCH(C934,parametros!$B$2:$B$6,0)),"")&lt;&gt;"Sim","Nao",IF(IFERROR(INDEX(parametros!$H$2:$H$6,MATCH(C934,parametros!$B$2:$B$6,0)),"")="","",IF(B934&gt;=IFERROR(INDEX(parametros!$H$2:$H$6,MATCH(C934,parametros!$B$2:$B$6,0)),""),"Sim","Nao"))))))</f>
        <v/>
      </c>
      <c r="T934" s="156"/>
      <c r="U934" s="214" t="str">
        <f t="shared" si="76"/>
        <v/>
      </c>
      <c r="V934" s="212" t="s">
        <v>50</v>
      </c>
      <c r="W934" s="100" t="s">
        <v>168</v>
      </c>
      <c r="X934" s="100" t="s">
        <v>169</v>
      </c>
      <c r="Y934" s="101" t="s">
        <v>170</v>
      </c>
      <c r="Z934" s="101" t="s">
        <v>171</v>
      </c>
      <c r="AA934" s="101" t="s">
        <v>50</v>
      </c>
      <c r="AB934" s="101" t="s">
        <v>172</v>
      </c>
      <c r="AC934" s="102" t="s">
        <v>173</v>
      </c>
    </row>
    <row r="935" spans="1:29" ht="25.5" customHeight="1" x14ac:dyDescent="0.35">
      <c r="A935" s="392"/>
      <c r="B935" s="393"/>
      <c r="C935" s="99" t="str">
        <f>IF(B935="","",IF(NOT(ISNUMBER(B935)),"DATA_PC invalida",IF(NOT(ISNUMBER(parametros!$C$2)),"Fora dos ciclos",IF(OR(B935&lt;parametros!$C$2,(YEAR(B935)-YEAR(parametros!$C$2))*12+MONTH(B935)-MONTH(parametros!$C$2)&gt;59),"Fora dos ciclos","C"&amp;INT(((YEAR(B935)-YEAR(parametros!$C$2))*12+MONTH(B935)-MONTH(parametros!$C$2))/12)))))</f>
        <v/>
      </c>
      <c r="D935" s="394"/>
      <c r="E935" s="78" t="str">
        <f>IF(C935="","",IFERROR(VLOOKUP(C935,parametros!$A$11:$E$15,5,0),""))</f>
        <v/>
      </c>
      <c r="F935" s="79" t="str">
        <f t="shared" si="72"/>
        <v/>
      </c>
      <c r="G935" s="395"/>
      <c r="H935" s="91">
        <f t="shared" si="73"/>
        <v>0</v>
      </c>
      <c r="I935" s="91" t="str">
        <f t="shared" si="74"/>
        <v/>
      </c>
      <c r="J935" s="91" t="str">
        <f t="shared" si="75"/>
        <v/>
      </c>
      <c r="K935" s="92" t="str">
        <f>IF(AND(A935="",B935="",D935="",G935=""),"",IF(AND(A935&lt;&gt;"",COUNTIF($A$2:$A$5001,A935)&gt;1),"NUMERO_PC duplicado",IF(B935="","DATA_PC vazia",IF(NOT(ISNUMBER(B935)),"DATA_PC invalida",IF(OR(C935="",C935="Fora dos ciclos"),"CICLO_PC nao identificado",IF(OR(D935="",D935=0),"VALOR_PC vazio ou zero",IF(AND(G935&lt;&gt;"Sim",G935&lt;&gt;"Nao",G935&lt;&gt;""),"PC_PAGO_A_CONTRATADA invalido",IF(AND(C935&lt;&gt;"C0",IFERROR(INDEX(parametros!$A$2:$A$6,MATCH(C935,parametros!$B$2:$B$6,0)),"")="Sim",IFERROR(INDEX(parametros!$H$2:$H$6,MATCH(C935,parametros!$B$2:$B$6,0)),"")=""),"INICIO_EFEITO ausente: PC "&amp;A935&amp;" - "&amp;C935,IF(L935="","EFEITO_PC nao calculado: PC "&amp;A935&amp;" - "&amp;C935,"OK")))))))))</f>
        <v/>
      </c>
      <c r="L935" s="92" t="str">
        <f>IF(AND(A935="",B935="",D935="",G935=""),"",IF(OR(B935="",NOT(ISNUMBER(B935)),C935="",C935="Fora dos ciclos"),"",IF(C935="C0","Nao",IF(IFERROR(INDEX(parametros!$A$2:$A$6,MATCH(C935,parametros!$B$2:$B$6,0)),"")&lt;&gt;"Sim","Nao",IF(IFERROR(INDEX(parametros!$H$2:$H$6,MATCH(C935,parametros!$B$2:$B$6,0)),"")="","",IF(B935&gt;=IFERROR(INDEX(parametros!$H$2:$H$6,MATCH(C935,parametros!$B$2:$B$6,0)),""),"Sim","Nao"))))))</f>
        <v/>
      </c>
      <c r="T935" s="156"/>
      <c r="U935" s="214" t="str">
        <f t="shared" si="76"/>
        <v/>
      </c>
      <c r="V935" s="212" t="s">
        <v>50</v>
      </c>
      <c r="W935" s="100" t="s">
        <v>168</v>
      </c>
      <c r="X935" s="100" t="s">
        <v>169</v>
      </c>
      <c r="Y935" s="101" t="s">
        <v>170</v>
      </c>
      <c r="Z935" s="101" t="s">
        <v>171</v>
      </c>
      <c r="AA935" s="101" t="s">
        <v>50</v>
      </c>
      <c r="AB935" s="101" t="s">
        <v>172</v>
      </c>
      <c r="AC935" s="102" t="s">
        <v>173</v>
      </c>
    </row>
    <row r="936" spans="1:29" ht="25.5" customHeight="1" x14ac:dyDescent="0.35">
      <c r="A936" s="392"/>
      <c r="B936" s="393"/>
      <c r="C936" s="99" t="str">
        <f>IF(B936="","",IF(NOT(ISNUMBER(B936)),"DATA_PC invalida",IF(NOT(ISNUMBER(parametros!$C$2)),"Fora dos ciclos",IF(OR(B936&lt;parametros!$C$2,(YEAR(B936)-YEAR(parametros!$C$2))*12+MONTH(B936)-MONTH(parametros!$C$2)&gt;59),"Fora dos ciclos","C"&amp;INT(((YEAR(B936)-YEAR(parametros!$C$2))*12+MONTH(B936)-MONTH(parametros!$C$2))/12)))))</f>
        <v/>
      </c>
      <c r="D936" s="394"/>
      <c r="E936" s="78" t="str">
        <f>IF(C936="","",IFERROR(VLOOKUP(C936,parametros!$A$11:$E$15,5,0),""))</f>
        <v/>
      </c>
      <c r="F936" s="79" t="str">
        <f t="shared" si="72"/>
        <v/>
      </c>
      <c r="G936" s="395"/>
      <c r="H936" s="91">
        <f t="shared" si="73"/>
        <v>0</v>
      </c>
      <c r="I936" s="91" t="str">
        <f t="shared" si="74"/>
        <v/>
      </c>
      <c r="J936" s="91" t="str">
        <f t="shared" si="75"/>
        <v/>
      </c>
      <c r="K936" s="92" t="str">
        <f>IF(AND(A936="",B936="",D936="",G936=""),"",IF(AND(A936&lt;&gt;"",COUNTIF($A$2:$A$5001,A936)&gt;1),"NUMERO_PC duplicado",IF(B936="","DATA_PC vazia",IF(NOT(ISNUMBER(B936)),"DATA_PC invalida",IF(OR(C936="",C936="Fora dos ciclos"),"CICLO_PC nao identificado",IF(OR(D936="",D936=0),"VALOR_PC vazio ou zero",IF(AND(G936&lt;&gt;"Sim",G936&lt;&gt;"Nao",G936&lt;&gt;""),"PC_PAGO_A_CONTRATADA invalido",IF(AND(C936&lt;&gt;"C0",IFERROR(INDEX(parametros!$A$2:$A$6,MATCH(C936,parametros!$B$2:$B$6,0)),"")="Sim",IFERROR(INDEX(parametros!$H$2:$H$6,MATCH(C936,parametros!$B$2:$B$6,0)),"")=""),"INICIO_EFEITO ausente: PC "&amp;A936&amp;" - "&amp;C936,IF(L936="","EFEITO_PC nao calculado: PC "&amp;A936&amp;" - "&amp;C936,"OK")))))))))</f>
        <v/>
      </c>
      <c r="L936" s="92" t="str">
        <f>IF(AND(A936="",B936="",D936="",G936=""),"",IF(OR(B936="",NOT(ISNUMBER(B936)),C936="",C936="Fora dos ciclos"),"",IF(C936="C0","Nao",IF(IFERROR(INDEX(parametros!$A$2:$A$6,MATCH(C936,parametros!$B$2:$B$6,0)),"")&lt;&gt;"Sim","Nao",IF(IFERROR(INDEX(parametros!$H$2:$H$6,MATCH(C936,parametros!$B$2:$B$6,0)),"")="","",IF(B936&gt;=IFERROR(INDEX(parametros!$H$2:$H$6,MATCH(C936,parametros!$B$2:$B$6,0)),""),"Sim","Nao"))))))</f>
        <v/>
      </c>
      <c r="T936" s="156"/>
      <c r="U936" s="214" t="str">
        <f t="shared" si="76"/>
        <v/>
      </c>
      <c r="V936" s="212" t="s">
        <v>50</v>
      </c>
      <c r="W936" s="100" t="s">
        <v>168</v>
      </c>
      <c r="X936" s="100" t="s">
        <v>169</v>
      </c>
      <c r="Y936" s="101" t="s">
        <v>170</v>
      </c>
      <c r="Z936" s="101" t="s">
        <v>171</v>
      </c>
      <c r="AA936" s="101" t="s">
        <v>50</v>
      </c>
      <c r="AB936" s="101" t="s">
        <v>172</v>
      </c>
      <c r="AC936" s="102" t="s">
        <v>173</v>
      </c>
    </row>
    <row r="937" spans="1:29" ht="25.5" customHeight="1" x14ac:dyDescent="0.35">
      <c r="A937" s="392"/>
      <c r="B937" s="393"/>
      <c r="C937" s="99" t="str">
        <f>IF(B937="","",IF(NOT(ISNUMBER(B937)),"DATA_PC invalida",IF(NOT(ISNUMBER(parametros!$C$2)),"Fora dos ciclos",IF(OR(B937&lt;parametros!$C$2,(YEAR(B937)-YEAR(parametros!$C$2))*12+MONTH(B937)-MONTH(parametros!$C$2)&gt;59),"Fora dos ciclos","C"&amp;INT(((YEAR(B937)-YEAR(parametros!$C$2))*12+MONTH(B937)-MONTH(parametros!$C$2))/12)))))</f>
        <v/>
      </c>
      <c r="D937" s="394"/>
      <c r="E937" s="78" t="str">
        <f>IF(C937="","",IFERROR(VLOOKUP(C937,parametros!$A$11:$E$15,5,0),""))</f>
        <v/>
      </c>
      <c r="F937" s="79" t="str">
        <f t="shared" si="72"/>
        <v/>
      </c>
      <c r="G937" s="395"/>
      <c r="H937" s="91">
        <f t="shared" si="73"/>
        <v>0</v>
      </c>
      <c r="I937" s="91" t="str">
        <f t="shared" si="74"/>
        <v/>
      </c>
      <c r="J937" s="91" t="str">
        <f t="shared" si="75"/>
        <v/>
      </c>
      <c r="K937" s="92" t="str">
        <f>IF(AND(A937="",B937="",D937="",G937=""),"",IF(AND(A937&lt;&gt;"",COUNTIF($A$2:$A$5001,A937)&gt;1),"NUMERO_PC duplicado",IF(B937="","DATA_PC vazia",IF(NOT(ISNUMBER(B937)),"DATA_PC invalida",IF(OR(C937="",C937="Fora dos ciclos"),"CICLO_PC nao identificado",IF(OR(D937="",D937=0),"VALOR_PC vazio ou zero",IF(AND(G937&lt;&gt;"Sim",G937&lt;&gt;"Nao",G937&lt;&gt;""),"PC_PAGO_A_CONTRATADA invalido",IF(AND(C937&lt;&gt;"C0",IFERROR(INDEX(parametros!$A$2:$A$6,MATCH(C937,parametros!$B$2:$B$6,0)),"")="Sim",IFERROR(INDEX(parametros!$H$2:$H$6,MATCH(C937,parametros!$B$2:$B$6,0)),"")=""),"INICIO_EFEITO ausente: PC "&amp;A937&amp;" - "&amp;C937,IF(L937="","EFEITO_PC nao calculado: PC "&amp;A937&amp;" - "&amp;C937,"OK")))))))))</f>
        <v/>
      </c>
      <c r="L937" s="92" t="str">
        <f>IF(AND(A937="",B937="",D937="",G937=""),"",IF(OR(B937="",NOT(ISNUMBER(B937)),C937="",C937="Fora dos ciclos"),"",IF(C937="C0","Nao",IF(IFERROR(INDEX(parametros!$A$2:$A$6,MATCH(C937,parametros!$B$2:$B$6,0)),"")&lt;&gt;"Sim","Nao",IF(IFERROR(INDEX(parametros!$H$2:$H$6,MATCH(C937,parametros!$B$2:$B$6,0)),"")="","",IF(B937&gt;=IFERROR(INDEX(parametros!$H$2:$H$6,MATCH(C937,parametros!$B$2:$B$6,0)),""),"Sim","Nao"))))))</f>
        <v/>
      </c>
      <c r="T937" s="156"/>
      <c r="U937" s="214" t="str">
        <f t="shared" si="76"/>
        <v/>
      </c>
      <c r="V937" s="212" t="s">
        <v>50</v>
      </c>
      <c r="W937" s="100" t="s">
        <v>168</v>
      </c>
      <c r="X937" s="100" t="s">
        <v>169</v>
      </c>
      <c r="Y937" s="101" t="s">
        <v>170</v>
      </c>
      <c r="Z937" s="101" t="s">
        <v>171</v>
      </c>
      <c r="AA937" s="101" t="s">
        <v>50</v>
      </c>
      <c r="AB937" s="101" t="s">
        <v>172</v>
      </c>
      <c r="AC937" s="102" t="s">
        <v>173</v>
      </c>
    </row>
    <row r="938" spans="1:29" ht="25.5" customHeight="1" x14ac:dyDescent="0.35">
      <c r="A938" s="392"/>
      <c r="B938" s="393"/>
      <c r="C938" s="99" t="str">
        <f>IF(B938="","",IF(NOT(ISNUMBER(B938)),"DATA_PC invalida",IF(NOT(ISNUMBER(parametros!$C$2)),"Fora dos ciclos",IF(OR(B938&lt;parametros!$C$2,(YEAR(B938)-YEAR(parametros!$C$2))*12+MONTH(B938)-MONTH(parametros!$C$2)&gt;59),"Fora dos ciclos","C"&amp;INT(((YEAR(B938)-YEAR(parametros!$C$2))*12+MONTH(B938)-MONTH(parametros!$C$2))/12)))))</f>
        <v/>
      </c>
      <c r="D938" s="394"/>
      <c r="E938" s="78" t="str">
        <f>IF(C938="","",IFERROR(VLOOKUP(C938,parametros!$A$11:$E$15,5,0),""))</f>
        <v/>
      </c>
      <c r="F938" s="79" t="str">
        <f t="shared" si="72"/>
        <v/>
      </c>
      <c r="G938" s="395"/>
      <c r="H938" s="91">
        <f t="shared" si="73"/>
        <v>0</v>
      </c>
      <c r="I938" s="91" t="str">
        <f t="shared" si="74"/>
        <v/>
      </c>
      <c r="J938" s="91" t="str">
        <f t="shared" si="75"/>
        <v/>
      </c>
      <c r="K938" s="92" t="str">
        <f>IF(AND(A938="",B938="",D938="",G938=""),"",IF(AND(A938&lt;&gt;"",COUNTIF($A$2:$A$5001,A938)&gt;1),"NUMERO_PC duplicado",IF(B938="","DATA_PC vazia",IF(NOT(ISNUMBER(B938)),"DATA_PC invalida",IF(OR(C938="",C938="Fora dos ciclos"),"CICLO_PC nao identificado",IF(OR(D938="",D938=0),"VALOR_PC vazio ou zero",IF(AND(G938&lt;&gt;"Sim",G938&lt;&gt;"Nao",G938&lt;&gt;""),"PC_PAGO_A_CONTRATADA invalido",IF(AND(C938&lt;&gt;"C0",IFERROR(INDEX(parametros!$A$2:$A$6,MATCH(C938,parametros!$B$2:$B$6,0)),"")="Sim",IFERROR(INDEX(parametros!$H$2:$H$6,MATCH(C938,parametros!$B$2:$B$6,0)),"")=""),"INICIO_EFEITO ausente: PC "&amp;A938&amp;" - "&amp;C938,IF(L938="","EFEITO_PC nao calculado: PC "&amp;A938&amp;" - "&amp;C938,"OK")))))))))</f>
        <v/>
      </c>
      <c r="L938" s="92" t="str">
        <f>IF(AND(A938="",B938="",D938="",G938=""),"",IF(OR(B938="",NOT(ISNUMBER(B938)),C938="",C938="Fora dos ciclos"),"",IF(C938="C0","Nao",IF(IFERROR(INDEX(parametros!$A$2:$A$6,MATCH(C938,parametros!$B$2:$B$6,0)),"")&lt;&gt;"Sim","Nao",IF(IFERROR(INDEX(parametros!$H$2:$H$6,MATCH(C938,parametros!$B$2:$B$6,0)),"")="","",IF(B938&gt;=IFERROR(INDEX(parametros!$H$2:$H$6,MATCH(C938,parametros!$B$2:$B$6,0)),""),"Sim","Nao"))))))</f>
        <v/>
      </c>
      <c r="T938" s="156"/>
      <c r="U938" s="214" t="str">
        <f t="shared" si="76"/>
        <v/>
      </c>
      <c r="V938" s="212" t="s">
        <v>50</v>
      </c>
      <c r="W938" s="100" t="s">
        <v>168</v>
      </c>
      <c r="X938" s="100" t="s">
        <v>169</v>
      </c>
      <c r="Y938" s="101" t="s">
        <v>170</v>
      </c>
      <c r="Z938" s="101" t="s">
        <v>171</v>
      </c>
      <c r="AA938" s="101" t="s">
        <v>50</v>
      </c>
      <c r="AB938" s="101" t="s">
        <v>172</v>
      </c>
      <c r="AC938" s="102" t="s">
        <v>173</v>
      </c>
    </row>
    <row r="939" spans="1:29" ht="25.5" customHeight="1" x14ac:dyDescent="0.35">
      <c r="A939" s="392"/>
      <c r="B939" s="393"/>
      <c r="C939" s="99" t="str">
        <f>IF(B939="","",IF(NOT(ISNUMBER(B939)),"DATA_PC invalida",IF(NOT(ISNUMBER(parametros!$C$2)),"Fora dos ciclos",IF(OR(B939&lt;parametros!$C$2,(YEAR(B939)-YEAR(parametros!$C$2))*12+MONTH(B939)-MONTH(parametros!$C$2)&gt;59),"Fora dos ciclos","C"&amp;INT(((YEAR(B939)-YEAR(parametros!$C$2))*12+MONTH(B939)-MONTH(parametros!$C$2))/12)))))</f>
        <v/>
      </c>
      <c r="D939" s="394"/>
      <c r="E939" s="78" t="str">
        <f>IF(C939="","",IFERROR(VLOOKUP(C939,parametros!$A$11:$E$15,5,0),""))</f>
        <v/>
      </c>
      <c r="F939" s="79" t="str">
        <f t="shared" si="72"/>
        <v/>
      </c>
      <c r="G939" s="395"/>
      <c r="H939" s="91">
        <f t="shared" si="73"/>
        <v>0</v>
      </c>
      <c r="I939" s="91" t="str">
        <f t="shared" si="74"/>
        <v/>
      </c>
      <c r="J939" s="91" t="str">
        <f t="shared" si="75"/>
        <v/>
      </c>
      <c r="K939" s="92" t="str">
        <f>IF(AND(A939="",B939="",D939="",G939=""),"",IF(AND(A939&lt;&gt;"",COUNTIF($A$2:$A$5001,A939)&gt;1),"NUMERO_PC duplicado",IF(B939="","DATA_PC vazia",IF(NOT(ISNUMBER(B939)),"DATA_PC invalida",IF(OR(C939="",C939="Fora dos ciclos"),"CICLO_PC nao identificado",IF(OR(D939="",D939=0),"VALOR_PC vazio ou zero",IF(AND(G939&lt;&gt;"Sim",G939&lt;&gt;"Nao",G939&lt;&gt;""),"PC_PAGO_A_CONTRATADA invalido",IF(AND(C939&lt;&gt;"C0",IFERROR(INDEX(parametros!$A$2:$A$6,MATCH(C939,parametros!$B$2:$B$6,0)),"")="Sim",IFERROR(INDEX(parametros!$H$2:$H$6,MATCH(C939,parametros!$B$2:$B$6,0)),"")=""),"INICIO_EFEITO ausente: PC "&amp;A939&amp;" - "&amp;C939,IF(L939="","EFEITO_PC nao calculado: PC "&amp;A939&amp;" - "&amp;C939,"OK")))))))))</f>
        <v/>
      </c>
      <c r="L939" s="92" t="str">
        <f>IF(AND(A939="",B939="",D939="",G939=""),"",IF(OR(B939="",NOT(ISNUMBER(B939)),C939="",C939="Fora dos ciclos"),"",IF(C939="C0","Nao",IF(IFERROR(INDEX(parametros!$A$2:$A$6,MATCH(C939,parametros!$B$2:$B$6,0)),"")&lt;&gt;"Sim","Nao",IF(IFERROR(INDEX(parametros!$H$2:$H$6,MATCH(C939,parametros!$B$2:$B$6,0)),"")="","",IF(B939&gt;=IFERROR(INDEX(parametros!$H$2:$H$6,MATCH(C939,parametros!$B$2:$B$6,0)),""),"Sim","Nao"))))))</f>
        <v/>
      </c>
      <c r="T939" s="156"/>
      <c r="U939" s="214" t="str">
        <f t="shared" si="76"/>
        <v/>
      </c>
      <c r="V939" s="212" t="s">
        <v>50</v>
      </c>
      <c r="W939" s="100" t="s">
        <v>168</v>
      </c>
      <c r="X939" s="100" t="s">
        <v>169</v>
      </c>
      <c r="Y939" s="101" t="s">
        <v>170</v>
      </c>
      <c r="Z939" s="101" t="s">
        <v>171</v>
      </c>
      <c r="AA939" s="101" t="s">
        <v>50</v>
      </c>
      <c r="AB939" s="101" t="s">
        <v>172</v>
      </c>
      <c r="AC939" s="102" t="s">
        <v>173</v>
      </c>
    </row>
    <row r="940" spans="1:29" ht="25.5" customHeight="1" x14ac:dyDescent="0.35">
      <c r="A940" s="392"/>
      <c r="B940" s="393"/>
      <c r="C940" s="99" t="str">
        <f>IF(B940="","",IF(NOT(ISNUMBER(B940)),"DATA_PC invalida",IF(NOT(ISNUMBER(parametros!$C$2)),"Fora dos ciclos",IF(OR(B940&lt;parametros!$C$2,(YEAR(B940)-YEAR(parametros!$C$2))*12+MONTH(B940)-MONTH(parametros!$C$2)&gt;59),"Fora dos ciclos","C"&amp;INT(((YEAR(B940)-YEAR(parametros!$C$2))*12+MONTH(B940)-MONTH(parametros!$C$2))/12)))))</f>
        <v/>
      </c>
      <c r="D940" s="394"/>
      <c r="E940" s="78" t="str">
        <f>IF(C940="","",IFERROR(VLOOKUP(C940,parametros!$A$11:$E$15,5,0),""))</f>
        <v/>
      </c>
      <c r="F940" s="79" t="str">
        <f t="shared" si="72"/>
        <v/>
      </c>
      <c r="G940" s="395"/>
      <c r="H940" s="91">
        <f t="shared" si="73"/>
        <v>0</v>
      </c>
      <c r="I940" s="91" t="str">
        <f t="shared" si="74"/>
        <v/>
      </c>
      <c r="J940" s="91" t="str">
        <f t="shared" si="75"/>
        <v/>
      </c>
      <c r="K940" s="92" t="str">
        <f>IF(AND(A940="",B940="",D940="",G940=""),"",IF(AND(A940&lt;&gt;"",COUNTIF($A$2:$A$5001,A940)&gt;1),"NUMERO_PC duplicado",IF(B940="","DATA_PC vazia",IF(NOT(ISNUMBER(B940)),"DATA_PC invalida",IF(OR(C940="",C940="Fora dos ciclos"),"CICLO_PC nao identificado",IF(OR(D940="",D940=0),"VALOR_PC vazio ou zero",IF(AND(G940&lt;&gt;"Sim",G940&lt;&gt;"Nao",G940&lt;&gt;""),"PC_PAGO_A_CONTRATADA invalido",IF(AND(C940&lt;&gt;"C0",IFERROR(INDEX(parametros!$A$2:$A$6,MATCH(C940,parametros!$B$2:$B$6,0)),"")="Sim",IFERROR(INDEX(parametros!$H$2:$H$6,MATCH(C940,parametros!$B$2:$B$6,0)),"")=""),"INICIO_EFEITO ausente: PC "&amp;A940&amp;" - "&amp;C940,IF(L940="","EFEITO_PC nao calculado: PC "&amp;A940&amp;" - "&amp;C940,"OK")))))))))</f>
        <v/>
      </c>
      <c r="L940" s="92" t="str">
        <f>IF(AND(A940="",B940="",D940="",G940=""),"",IF(OR(B940="",NOT(ISNUMBER(B940)),C940="",C940="Fora dos ciclos"),"",IF(C940="C0","Nao",IF(IFERROR(INDEX(parametros!$A$2:$A$6,MATCH(C940,parametros!$B$2:$B$6,0)),"")&lt;&gt;"Sim","Nao",IF(IFERROR(INDEX(parametros!$H$2:$H$6,MATCH(C940,parametros!$B$2:$B$6,0)),"")="","",IF(B940&gt;=IFERROR(INDEX(parametros!$H$2:$H$6,MATCH(C940,parametros!$B$2:$B$6,0)),""),"Sim","Nao"))))))</f>
        <v/>
      </c>
      <c r="T940" s="156"/>
      <c r="U940" s="214" t="str">
        <f t="shared" si="76"/>
        <v/>
      </c>
      <c r="V940" s="212" t="s">
        <v>50</v>
      </c>
      <c r="W940" s="100" t="s">
        <v>168</v>
      </c>
      <c r="X940" s="100" t="s">
        <v>169</v>
      </c>
      <c r="Y940" s="101" t="s">
        <v>170</v>
      </c>
      <c r="Z940" s="101" t="s">
        <v>171</v>
      </c>
      <c r="AA940" s="101" t="s">
        <v>50</v>
      </c>
      <c r="AB940" s="101" t="s">
        <v>172</v>
      </c>
      <c r="AC940" s="102" t="s">
        <v>173</v>
      </c>
    </row>
    <row r="941" spans="1:29" ht="25.5" customHeight="1" x14ac:dyDescent="0.35">
      <c r="A941" s="392"/>
      <c r="B941" s="393"/>
      <c r="C941" s="99" t="str">
        <f>IF(B941="","",IF(NOT(ISNUMBER(B941)),"DATA_PC invalida",IF(NOT(ISNUMBER(parametros!$C$2)),"Fora dos ciclos",IF(OR(B941&lt;parametros!$C$2,(YEAR(B941)-YEAR(parametros!$C$2))*12+MONTH(B941)-MONTH(parametros!$C$2)&gt;59),"Fora dos ciclos","C"&amp;INT(((YEAR(B941)-YEAR(parametros!$C$2))*12+MONTH(B941)-MONTH(parametros!$C$2))/12)))))</f>
        <v/>
      </c>
      <c r="D941" s="394"/>
      <c r="E941" s="78" t="str">
        <f>IF(C941="","",IFERROR(VLOOKUP(C941,parametros!$A$11:$E$15,5,0),""))</f>
        <v/>
      </c>
      <c r="F941" s="79" t="str">
        <f t="shared" si="72"/>
        <v/>
      </c>
      <c r="G941" s="395"/>
      <c r="H941" s="91">
        <f t="shared" si="73"/>
        <v>0</v>
      </c>
      <c r="I941" s="91" t="str">
        <f t="shared" si="74"/>
        <v/>
      </c>
      <c r="J941" s="91" t="str">
        <f t="shared" si="75"/>
        <v/>
      </c>
      <c r="K941" s="92" t="str">
        <f>IF(AND(A941="",B941="",D941="",G941=""),"",IF(AND(A941&lt;&gt;"",COUNTIF($A$2:$A$5001,A941)&gt;1),"NUMERO_PC duplicado",IF(B941="","DATA_PC vazia",IF(NOT(ISNUMBER(B941)),"DATA_PC invalida",IF(OR(C941="",C941="Fora dos ciclos"),"CICLO_PC nao identificado",IF(OR(D941="",D941=0),"VALOR_PC vazio ou zero",IF(AND(G941&lt;&gt;"Sim",G941&lt;&gt;"Nao",G941&lt;&gt;""),"PC_PAGO_A_CONTRATADA invalido",IF(AND(C941&lt;&gt;"C0",IFERROR(INDEX(parametros!$A$2:$A$6,MATCH(C941,parametros!$B$2:$B$6,0)),"")="Sim",IFERROR(INDEX(parametros!$H$2:$H$6,MATCH(C941,parametros!$B$2:$B$6,0)),"")=""),"INICIO_EFEITO ausente: PC "&amp;A941&amp;" - "&amp;C941,IF(L941="","EFEITO_PC nao calculado: PC "&amp;A941&amp;" - "&amp;C941,"OK")))))))))</f>
        <v/>
      </c>
      <c r="L941" s="92" t="str">
        <f>IF(AND(A941="",B941="",D941="",G941=""),"",IF(OR(B941="",NOT(ISNUMBER(B941)),C941="",C941="Fora dos ciclos"),"",IF(C941="C0","Nao",IF(IFERROR(INDEX(parametros!$A$2:$A$6,MATCH(C941,parametros!$B$2:$B$6,0)),"")&lt;&gt;"Sim","Nao",IF(IFERROR(INDEX(parametros!$H$2:$H$6,MATCH(C941,parametros!$B$2:$B$6,0)),"")="","",IF(B941&gt;=IFERROR(INDEX(parametros!$H$2:$H$6,MATCH(C941,parametros!$B$2:$B$6,0)),""),"Sim","Nao"))))))</f>
        <v/>
      </c>
      <c r="T941" s="156"/>
      <c r="U941" s="214" t="str">
        <f t="shared" si="76"/>
        <v/>
      </c>
      <c r="V941" s="212" t="s">
        <v>50</v>
      </c>
      <c r="W941" s="100" t="s">
        <v>168</v>
      </c>
      <c r="X941" s="100" t="s">
        <v>169</v>
      </c>
      <c r="Y941" s="101" t="s">
        <v>170</v>
      </c>
      <c r="Z941" s="101" t="s">
        <v>171</v>
      </c>
      <c r="AA941" s="101" t="s">
        <v>50</v>
      </c>
      <c r="AB941" s="101" t="s">
        <v>172</v>
      </c>
      <c r="AC941" s="102" t="s">
        <v>173</v>
      </c>
    </row>
    <row r="942" spans="1:29" ht="25.5" customHeight="1" x14ac:dyDescent="0.35">
      <c r="A942" s="392"/>
      <c r="B942" s="393"/>
      <c r="C942" s="99" t="str">
        <f>IF(B942="","",IF(NOT(ISNUMBER(B942)),"DATA_PC invalida",IF(NOT(ISNUMBER(parametros!$C$2)),"Fora dos ciclos",IF(OR(B942&lt;parametros!$C$2,(YEAR(B942)-YEAR(parametros!$C$2))*12+MONTH(B942)-MONTH(parametros!$C$2)&gt;59),"Fora dos ciclos","C"&amp;INT(((YEAR(B942)-YEAR(parametros!$C$2))*12+MONTH(B942)-MONTH(parametros!$C$2))/12)))))</f>
        <v/>
      </c>
      <c r="D942" s="394"/>
      <c r="E942" s="78" t="str">
        <f>IF(C942="","",IFERROR(VLOOKUP(C942,parametros!$A$11:$E$15,5,0),""))</f>
        <v/>
      </c>
      <c r="F942" s="79" t="str">
        <f t="shared" si="72"/>
        <v/>
      </c>
      <c r="G942" s="395"/>
      <c r="H942" s="91">
        <f t="shared" si="73"/>
        <v>0</v>
      </c>
      <c r="I942" s="91" t="str">
        <f t="shared" si="74"/>
        <v/>
      </c>
      <c r="J942" s="91" t="str">
        <f t="shared" si="75"/>
        <v/>
      </c>
      <c r="K942" s="92" t="str">
        <f>IF(AND(A942="",B942="",D942="",G942=""),"",IF(AND(A942&lt;&gt;"",COUNTIF($A$2:$A$5001,A942)&gt;1),"NUMERO_PC duplicado",IF(B942="","DATA_PC vazia",IF(NOT(ISNUMBER(B942)),"DATA_PC invalida",IF(OR(C942="",C942="Fora dos ciclos"),"CICLO_PC nao identificado",IF(OR(D942="",D942=0),"VALOR_PC vazio ou zero",IF(AND(G942&lt;&gt;"Sim",G942&lt;&gt;"Nao",G942&lt;&gt;""),"PC_PAGO_A_CONTRATADA invalido",IF(AND(C942&lt;&gt;"C0",IFERROR(INDEX(parametros!$A$2:$A$6,MATCH(C942,parametros!$B$2:$B$6,0)),"")="Sim",IFERROR(INDEX(parametros!$H$2:$H$6,MATCH(C942,parametros!$B$2:$B$6,0)),"")=""),"INICIO_EFEITO ausente: PC "&amp;A942&amp;" - "&amp;C942,IF(L942="","EFEITO_PC nao calculado: PC "&amp;A942&amp;" - "&amp;C942,"OK")))))))))</f>
        <v/>
      </c>
      <c r="L942" s="92" t="str">
        <f>IF(AND(A942="",B942="",D942="",G942=""),"",IF(OR(B942="",NOT(ISNUMBER(B942)),C942="",C942="Fora dos ciclos"),"",IF(C942="C0","Nao",IF(IFERROR(INDEX(parametros!$A$2:$A$6,MATCH(C942,parametros!$B$2:$B$6,0)),"")&lt;&gt;"Sim","Nao",IF(IFERROR(INDEX(parametros!$H$2:$H$6,MATCH(C942,parametros!$B$2:$B$6,0)),"")="","",IF(B942&gt;=IFERROR(INDEX(parametros!$H$2:$H$6,MATCH(C942,parametros!$B$2:$B$6,0)),""),"Sim","Nao"))))))</f>
        <v/>
      </c>
      <c r="T942" s="156"/>
      <c r="U942" s="214" t="str">
        <f t="shared" si="76"/>
        <v/>
      </c>
      <c r="V942" s="212" t="s">
        <v>50</v>
      </c>
      <c r="W942" s="100" t="s">
        <v>168</v>
      </c>
      <c r="X942" s="100" t="s">
        <v>169</v>
      </c>
      <c r="Y942" s="101" t="s">
        <v>170</v>
      </c>
      <c r="Z942" s="101" t="s">
        <v>171</v>
      </c>
      <c r="AA942" s="101" t="s">
        <v>50</v>
      </c>
      <c r="AB942" s="101" t="s">
        <v>172</v>
      </c>
      <c r="AC942" s="102" t="s">
        <v>173</v>
      </c>
    </row>
    <row r="943" spans="1:29" ht="25.5" customHeight="1" x14ac:dyDescent="0.35">
      <c r="A943" s="392"/>
      <c r="B943" s="393"/>
      <c r="C943" s="99" t="str">
        <f>IF(B943="","",IF(NOT(ISNUMBER(B943)),"DATA_PC invalida",IF(NOT(ISNUMBER(parametros!$C$2)),"Fora dos ciclos",IF(OR(B943&lt;parametros!$C$2,(YEAR(B943)-YEAR(parametros!$C$2))*12+MONTH(B943)-MONTH(parametros!$C$2)&gt;59),"Fora dos ciclos","C"&amp;INT(((YEAR(B943)-YEAR(parametros!$C$2))*12+MONTH(B943)-MONTH(parametros!$C$2))/12)))))</f>
        <v/>
      </c>
      <c r="D943" s="394"/>
      <c r="E943" s="78" t="str">
        <f>IF(C943="","",IFERROR(VLOOKUP(C943,parametros!$A$11:$E$15,5,0),""))</f>
        <v/>
      </c>
      <c r="F943" s="79" t="str">
        <f t="shared" si="72"/>
        <v/>
      </c>
      <c r="G943" s="395"/>
      <c r="H943" s="91">
        <f t="shared" si="73"/>
        <v>0</v>
      </c>
      <c r="I943" s="91" t="str">
        <f t="shared" si="74"/>
        <v/>
      </c>
      <c r="J943" s="91" t="str">
        <f t="shared" si="75"/>
        <v/>
      </c>
      <c r="K943" s="92" t="str">
        <f>IF(AND(A943="",B943="",D943="",G943=""),"",IF(AND(A943&lt;&gt;"",COUNTIF($A$2:$A$5001,A943)&gt;1),"NUMERO_PC duplicado",IF(B943="","DATA_PC vazia",IF(NOT(ISNUMBER(B943)),"DATA_PC invalida",IF(OR(C943="",C943="Fora dos ciclos"),"CICLO_PC nao identificado",IF(OR(D943="",D943=0),"VALOR_PC vazio ou zero",IF(AND(G943&lt;&gt;"Sim",G943&lt;&gt;"Nao",G943&lt;&gt;""),"PC_PAGO_A_CONTRATADA invalido",IF(AND(C943&lt;&gt;"C0",IFERROR(INDEX(parametros!$A$2:$A$6,MATCH(C943,parametros!$B$2:$B$6,0)),"")="Sim",IFERROR(INDEX(parametros!$H$2:$H$6,MATCH(C943,parametros!$B$2:$B$6,0)),"")=""),"INICIO_EFEITO ausente: PC "&amp;A943&amp;" - "&amp;C943,IF(L943="","EFEITO_PC nao calculado: PC "&amp;A943&amp;" - "&amp;C943,"OK")))))))))</f>
        <v/>
      </c>
      <c r="L943" s="92" t="str">
        <f>IF(AND(A943="",B943="",D943="",G943=""),"",IF(OR(B943="",NOT(ISNUMBER(B943)),C943="",C943="Fora dos ciclos"),"",IF(C943="C0","Nao",IF(IFERROR(INDEX(parametros!$A$2:$A$6,MATCH(C943,parametros!$B$2:$B$6,0)),"")&lt;&gt;"Sim","Nao",IF(IFERROR(INDEX(parametros!$H$2:$H$6,MATCH(C943,parametros!$B$2:$B$6,0)),"")="","",IF(B943&gt;=IFERROR(INDEX(parametros!$H$2:$H$6,MATCH(C943,parametros!$B$2:$B$6,0)),""),"Sim","Nao"))))))</f>
        <v/>
      </c>
      <c r="T943" s="156"/>
      <c r="U943" s="214" t="str">
        <f t="shared" si="76"/>
        <v/>
      </c>
      <c r="V943" s="212" t="s">
        <v>50</v>
      </c>
      <c r="W943" s="100" t="s">
        <v>168</v>
      </c>
      <c r="X943" s="100" t="s">
        <v>169</v>
      </c>
      <c r="Y943" s="101" t="s">
        <v>170</v>
      </c>
      <c r="Z943" s="101" t="s">
        <v>171</v>
      </c>
      <c r="AA943" s="101" t="s">
        <v>50</v>
      </c>
      <c r="AB943" s="101" t="s">
        <v>172</v>
      </c>
      <c r="AC943" s="102" t="s">
        <v>173</v>
      </c>
    </row>
    <row r="944" spans="1:29" ht="25.5" customHeight="1" x14ac:dyDescent="0.35">
      <c r="A944" s="392"/>
      <c r="B944" s="393"/>
      <c r="C944" s="99" t="str">
        <f>IF(B944="","",IF(NOT(ISNUMBER(B944)),"DATA_PC invalida",IF(NOT(ISNUMBER(parametros!$C$2)),"Fora dos ciclos",IF(OR(B944&lt;parametros!$C$2,(YEAR(B944)-YEAR(parametros!$C$2))*12+MONTH(B944)-MONTH(parametros!$C$2)&gt;59),"Fora dos ciclos","C"&amp;INT(((YEAR(B944)-YEAR(parametros!$C$2))*12+MONTH(B944)-MONTH(parametros!$C$2))/12)))))</f>
        <v/>
      </c>
      <c r="D944" s="394"/>
      <c r="E944" s="78" t="str">
        <f>IF(C944="","",IFERROR(VLOOKUP(C944,parametros!$A$11:$E$15,5,0),""))</f>
        <v/>
      </c>
      <c r="F944" s="79" t="str">
        <f t="shared" si="72"/>
        <v/>
      </c>
      <c r="G944" s="395"/>
      <c r="H944" s="91">
        <f t="shared" si="73"/>
        <v>0</v>
      </c>
      <c r="I944" s="91" t="str">
        <f t="shared" si="74"/>
        <v/>
      </c>
      <c r="J944" s="91" t="str">
        <f t="shared" si="75"/>
        <v/>
      </c>
      <c r="K944" s="92" t="str">
        <f>IF(AND(A944="",B944="",D944="",G944=""),"",IF(AND(A944&lt;&gt;"",COUNTIF($A$2:$A$5001,A944)&gt;1),"NUMERO_PC duplicado",IF(B944="","DATA_PC vazia",IF(NOT(ISNUMBER(B944)),"DATA_PC invalida",IF(OR(C944="",C944="Fora dos ciclos"),"CICLO_PC nao identificado",IF(OR(D944="",D944=0),"VALOR_PC vazio ou zero",IF(AND(G944&lt;&gt;"Sim",G944&lt;&gt;"Nao",G944&lt;&gt;""),"PC_PAGO_A_CONTRATADA invalido",IF(AND(C944&lt;&gt;"C0",IFERROR(INDEX(parametros!$A$2:$A$6,MATCH(C944,parametros!$B$2:$B$6,0)),"")="Sim",IFERROR(INDEX(parametros!$H$2:$H$6,MATCH(C944,parametros!$B$2:$B$6,0)),"")=""),"INICIO_EFEITO ausente: PC "&amp;A944&amp;" - "&amp;C944,IF(L944="","EFEITO_PC nao calculado: PC "&amp;A944&amp;" - "&amp;C944,"OK")))))))))</f>
        <v/>
      </c>
      <c r="L944" s="92" t="str">
        <f>IF(AND(A944="",B944="",D944="",G944=""),"",IF(OR(B944="",NOT(ISNUMBER(B944)),C944="",C944="Fora dos ciclos"),"",IF(C944="C0","Nao",IF(IFERROR(INDEX(parametros!$A$2:$A$6,MATCH(C944,parametros!$B$2:$B$6,0)),"")&lt;&gt;"Sim","Nao",IF(IFERROR(INDEX(parametros!$H$2:$H$6,MATCH(C944,parametros!$B$2:$B$6,0)),"")="","",IF(B944&gt;=IFERROR(INDEX(parametros!$H$2:$H$6,MATCH(C944,parametros!$B$2:$B$6,0)),""),"Sim","Nao"))))))</f>
        <v/>
      </c>
      <c r="T944" s="156"/>
      <c r="U944" s="214" t="str">
        <f t="shared" si="76"/>
        <v/>
      </c>
      <c r="V944" s="212" t="s">
        <v>50</v>
      </c>
      <c r="W944" s="100" t="s">
        <v>168</v>
      </c>
      <c r="X944" s="100" t="s">
        <v>169</v>
      </c>
      <c r="Y944" s="101" t="s">
        <v>170</v>
      </c>
      <c r="Z944" s="101" t="s">
        <v>171</v>
      </c>
      <c r="AA944" s="101" t="s">
        <v>50</v>
      </c>
      <c r="AB944" s="101" t="s">
        <v>172</v>
      </c>
      <c r="AC944" s="102" t="s">
        <v>173</v>
      </c>
    </row>
    <row r="945" spans="1:29" ht="25.5" customHeight="1" x14ac:dyDescent="0.35">
      <c r="A945" s="392"/>
      <c r="B945" s="393"/>
      <c r="C945" s="99" t="str">
        <f>IF(B945="","",IF(NOT(ISNUMBER(B945)),"DATA_PC invalida",IF(NOT(ISNUMBER(parametros!$C$2)),"Fora dos ciclos",IF(OR(B945&lt;parametros!$C$2,(YEAR(B945)-YEAR(parametros!$C$2))*12+MONTH(B945)-MONTH(parametros!$C$2)&gt;59),"Fora dos ciclos","C"&amp;INT(((YEAR(B945)-YEAR(parametros!$C$2))*12+MONTH(B945)-MONTH(parametros!$C$2))/12)))))</f>
        <v/>
      </c>
      <c r="D945" s="394"/>
      <c r="E945" s="78" t="str">
        <f>IF(C945="","",IFERROR(VLOOKUP(C945,parametros!$A$11:$E$15,5,0),""))</f>
        <v/>
      </c>
      <c r="F945" s="79" t="str">
        <f t="shared" si="72"/>
        <v/>
      </c>
      <c r="G945" s="395"/>
      <c r="H945" s="91">
        <f t="shared" si="73"/>
        <v>0</v>
      </c>
      <c r="I945" s="91" t="str">
        <f t="shared" si="74"/>
        <v/>
      </c>
      <c r="J945" s="91" t="str">
        <f t="shared" si="75"/>
        <v/>
      </c>
      <c r="K945" s="92" t="str">
        <f>IF(AND(A945="",B945="",D945="",G945=""),"",IF(AND(A945&lt;&gt;"",COUNTIF($A$2:$A$5001,A945)&gt;1),"NUMERO_PC duplicado",IF(B945="","DATA_PC vazia",IF(NOT(ISNUMBER(B945)),"DATA_PC invalida",IF(OR(C945="",C945="Fora dos ciclos"),"CICLO_PC nao identificado",IF(OR(D945="",D945=0),"VALOR_PC vazio ou zero",IF(AND(G945&lt;&gt;"Sim",G945&lt;&gt;"Nao",G945&lt;&gt;""),"PC_PAGO_A_CONTRATADA invalido",IF(AND(C945&lt;&gt;"C0",IFERROR(INDEX(parametros!$A$2:$A$6,MATCH(C945,parametros!$B$2:$B$6,0)),"")="Sim",IFERROR(INDEX(parametros!$H$2:$H$6,MATCH(C945,parametros!$B$2:$B$6,0)),"")=""),"INICIO_EFEITO ausente: PC "&amp;A945&amp;" - "&amp;C945,IF(L945="","EFEITO_PC nao calculado: PC "&amp;A945&amp;" - "&amp;C945,"OK")))))))))</f>
        <v/>
      </c>
      <c r="L945" s="92" t="str">
        <f>IF(AND(A945="",B945="",D945="",G945=""),"",IF(OR(B945="",NOT(ISNUMBER(B945)),C945="",C945="Fora dos ciclos"),"",IF(C945="C0","Nao",IF(IFERROR(INDEX(parametros!$A$2:$A$6,MATCH(C945,parametros!$B$2:$B$6,0)),"")&lt;&gt;"Sim","Nao",IF(IFERROR(INDEX(parametros!$H$2:$H$6,MATCH(C945,parametros!$B$2:$B$6,0)),"")="","",IF(B945&gt;=IFERROR(INDEX(parametros!$H$2:$H$6,MATCH(C945,parametros!$B$2:$B$6,0)),""),"Sim","Nao"))))))</f>
        <v/>
      </c>
      <c r="T945" s="156"/>
      <c r="U945" s="214" t="str">
        <f t="shared" si="76"/>
        <v/>
      </c>
      <c r="V945" s="212" t="s">
        <v>50</v>
      </c>
      <c r="W945" s="100" t="s">
        <v>168</v>
      </c>
      <c r="X945" s="100" t="s">
        <v>169</v>
      </c>
      <c r="Y945" s="101" t="s">
        <v>170</v>
      </c>
      <c r="Z945" s="101" t="s">
        <v>171</v>
      </c>
      <c r="AA945" s="101" t="s">
        <v>50</v>
      </c>
      <c r="AB945" s="101" t="s">
        <v>172</v>
      </c>
      <c r="AC945" s="102" t="s">
        <v>173</v>
      </c>
    </row>
    <row r="946" spans="1:29" ht="25.5" customHeight="1" x14ac:dyDescent="0.35">
      <c r="A946" s="392"/>
      <c r="B946" s="393"/>
      <c r="C946" s="99" t="str">
        <f>IF(B946="","",IF(NOT(ISNUMBER(B946)),"DATA_PC invalida",IF(NOT(ISNUMBER(parametros!$C$2)),"Fora dos ciclos",IF(OR(B946&lt;parametros!$C$2,(YEAR(B946)-YEAR(parametros!$C$2))*12+MONTH(B946)-MONTH(parametros!$C$2)&gt;59),"Fora dos ciclos","C"&amp;INT(((YEAR(B946)-YEAR(parametros!$C$2))*12+MONTH(B946)-MONTH(parametros!$C$2))/12)))))</f>
        <v/>
      </c>
      <c r="D946" s="394"/>
      <c r="E946" s="78" t="str">
        <f>IF(C946="","",IFERROR(VLOOKUP(C946,parametros!$A$11:$E$15,5,0),""))</f>
        <v/>
      </c>
      <c r="F946" s="79" t="str">
        <f t="shared" si="72"/>
        <v/>
      </c>
      <c r="G946" s="395"/>
      <c r="H946" s="91">
        <f t="shared" si="73"/>
        <v>0</v>
      </c>
      <c r="I946" s="91" t="str">
        <f t="shared" si="74"/>
        <v/>
      </c>
      <c r="J946" s="91" t="str">
        <f t="shared" si="75"/>
        <v/>
      </c>
      <c r="K946" s="92" t="str">
        <f>IF(AND(A946="",B946="",D946="",G946=""),"",IF(AND(A946&lt;&gt;"",COUNTIF($A$2:$A$5001,A946)&gt;1),"NUMERO_PC duplicado",IF(B946="","DATA_PC vazia",IF(NOT(ISNUMBER(B946)),"DATA_PC invalida",IF(OR(C946="",C946="Fora dos ciclos"),"CICLO_PC nao identificado",IF(OR(D946="",D946=0),"VALOR_PC vazio ou zero",IF(AND(G946&lt;&gt;"Sim",G946&lt;&gt;"Nao",G946&lt;&gt;""),"PC_PAGO_A_CONTRATADA invalido",IF(AND(C946&lt;&gt;"C0",IFERROR(INDEX(parametros!$A$2:$A$6,MATCH(C946,parametros!$B$2:$B$6,0)),"")="Sim",IFERROR(INDEX(parametros!$H$2:$H$6,MATCH(C946,parametros!$B$2:$B$6,0)),"")=""),"INICIO_EFEITO ausente: PC "&amp;A946&amp;" - "&amp;C946,IF(L946="","EFEITO_PC nao calculado: PC "&amp;A946&amp;" - "&amp;C946,"OK")))))))))</f>
        <v/>
      </c>
      <c r="L946" s="92" t="str">
        <f>IF(AND(A946="",B946="",D946="",G946=""),"",IF(OR(B946="",NOT(ISNUMBER(B946)),C946="",C946="Fora dos ciclos"),"",IF(C946="C0","Nao",IF(IFERROR(INDEX(parametros!$A$2:$A$6,MATCH(C946,parametros!$B$2:$B$6,0)),"")&lt;&gt;"Sim","Nao",IF(IFERROR(INDEX(parametros!$H$2:$H$6,MATCH(C946,parametros!$B$2:$B$6,0)),"")="","",IF(B946&gt;=IFERROR(INDEX(parametros!$H$2:$H$6,MATCH(C946,parametros!$B$2:$B$6,0)),""),"Sim","Nao"))))))</f>
        <v/>
      </c>
      <c r="T946" s="156"/>
      <c r="U946" s="214" t="str">
        <f t="shared" si="76"/>
        <v/>
      </c>
      <c r="V946" s="212" t="s">
        <v>50</v>
      </c>
      <c r="W946" s="100" t="s">
        <v>168</v>
      </c>
      <c r="X946" s="100" t="s">
        <v>169</v>
      </c>
      <c r="Y946" s="101" t="s">
        <v>170</v>
      </c>
      <c r="Z946" s="101" t="s">
        <v>171</v>
      </c>
      <c r="AA946" s="101" t="s">
        <v>50</v>
      </c>
      <c r="AB946" s="101" t="s">
        <v>172</v>
      </c>
      <c r="AC946" s="102" t="s">
        <v>173</v>
      </c>
    </row>
    <row r="947" spans="1:29" ht="25.5" customHeight="1" x14ac:dyDescent="0.35">
      <c r="A947" s="392"/>
      <c r="B947" s="393"/>
      <c r="C947" s="99" t="str">
        <f>IF(B947="","",IF(NOT(ISNUMBER(B947)),"DATA_PC invalida",IF(NOT(ISNUMBER(parametros!$C$2)),"Fora dos ciclos",IF(OR(B947&lt;parametros!$C$2,(YEAR(B947)-YEAR(parametros!$C$2))*12+MONTH(B947)-MONTH(parametros!$C$2)&gt;59),"Fora dos ciclos","C"&amp;INT(((YEAR(B947)-YEAR(parametros!$C$2))*12+MONTH(B947)-MONTH(parametros!$C$2))/12)))))</f>
        <v/>
      </c>
      <c r="D947" s="394"/>
      <c r="E947" s="78" t="str">
        <f>IF(C947="","",IFERROR(VLOOKUP(C947,parametros!$A$11:$E$15,5,0),""))</f>
        <v/>
      </c>
      <c r="F947" s="79" t="str">
        <f t="shared" si="72"/>
        <v/>
      </c>
      <c r="G947" s="395"/>
      <c r="H947" s="91">
        <f t="shared" si="73"/>
        <v>0</v>
      </c>
      <c r="I947" s="91" t="str">
        <f t="shared" si="74"/>
        <v/>
      </c>
      <c r="J947" s="91" t="str">
        <f t="shared" si="75"/>
        <v/>
      </c>
      <c r="K947" s="92" t="str">
        <f>IF(AND(A947="",B947="",D947="",G947=""),"",IF(AND(A947&lt;&gt;"",COUNTIF($A$2:$A$5001,A947)&gt;1),"NUMERO_PC duplicado",IF(B947="","DATA_PC vazia",IF(NOT(ISNUMBER(B947)),"DATA_PC invalida",IF(OR(C947="",C947="Fora dos ciclos"),"CICLO_PC nao identificado",IF(OR(D947="",D947=0),"VALOR_PC vazio ou zero",IF(AND(G947&lt;&gt;"Sim",G947&lt;&gt;"Nao",G947&lt;&gt;""),"PC_PAGO_A_CONTRATADA invalido",IF(AND(C947&lt;&gt;"C0",IFERROR(INDEX(parametros!$A$2:$A$6,MATCH(C947,parametros!$B$2:$B$6,0)),"")="Sim",IFERROR(INDEX(parametros!$H$2:$H$6,MATCH(C947,parametros!$B$2:$B$6,0)),"")=""),"INICIO_EFEITO ausente: PC "&amp;A947&amp;" - "&amp;C947,IF(L947="","EFEITO_PC nao calculado: PC "&amp;A947&amp;" - "&amp;C947,"OK")))))))))</f>
        <v/>
      </c>
      <c r="L947" s="92" t="str">
        <f>IF(AND(A947="",B947="",D947="",G947=""),"",IF(OR(B947="",NOT(ISNUMBER(B947)),C947="",C947="Fora dos ciclos"),"",IF(C947="C0","Nao",IF(IFERROR(INDEX(parametros!$A$2:$A$6,MATCH(C947,parametros!$B$2:$B$6,0)),"")&lt;&gt;"Sim","Nao",IF(IFERROR(INDEX(parametros!$H$2:$H$6,MATCH(C947,parametros!$B$2:$B$6,0)),"")="","",IF(B947&gt;=IFERROR(INDEX(parametros!$H$2:$H$6,MATCH(C947,parametros!$B$2:$B$6,0)),""),"Sim","Nao"))))))</f>
        <v/>
      </c>
      <c r="T947" s="156"/>
      <c r="U947" s="214" t="str">
        <f t="shared" si="76"/>
        <v/>
      </c>
      <c r="V947" s="212" t="s">
        <v>50</v>
      </c>
      <c r="W947" s="100" t="s">
        <v>168</v>
      </c>
      <c r="X947" s="100" t="s">
        <v>169</v>
      </c>
      <c r="Y947" s="101" t="s">
        <v>170</v>
      </c>
      <c r="Z947" s="101" t="s">
        <v>171</v>
      </c>
      <c r="AA947" s="101" t="s">
        <v>50</v>
      </c>
      <c r="AB947" s="101" t="s">
        <v>172</v>
      </c>
      <c r="AC947" s="102" t="s">
        <v>173</v>
      </c>
    </row>
    <row r="948" spans="1:29" ht="25.5" customHeight="1" x14ac:dyDescent="0.35">
      <c r="A948" s="392"/>
      <c r="B948" s="393"/>
      <c r="C948" s="99" t="str">
        <f>IF(B948="","",IF(NOT(ISNUMBER(B948)),"DATA_PC invalida",IF(NOT(ISNUMBER(parametros!$C$2)),"Fora dos ciclos",IF(OR(B948&lt;parametros!$C$2,(YEAR(B948)-YEAR(parametros!$C$2))*12+MONTH(B948)-MONTH(parametros!$C$2)&gt;59),"Fora dos ciclos","C"&amp;INT(((YEAR(B948)-YEAR(parametros!$C$2))*12+MONTH(B948)-MONTH(parametros!$C$2))/12)))))</f>
        <v/>
      </c>
      <c r="D948" s="394"/>
      <c r="E948" s="78" t="str">
        <f>IF(C948="","",IFERROR(VLOOKUP(C948,parametros!$A$11:$E$15,5,0),""))</f>
        <v/>
      </c>
      <c r="F948" s="79" t="str">
        <f t="shared" si="72"/>
        <v/>
      </c>
      <c r="G948" s="395"/>
      <c r="H948" s="91">
        <f t="shared" si="73"/>
        <v>0</v>
      </c>
      <c r="I948" s="91" t="str">
        <f t="shared" si="74"/>
        <v/>
      </c>
      <c r="J948" s="91" t="str">
        <f t="shared" si="75"/>
        <v/>
      </c>
      <c r="K948" s="92" t="str">
        <f>IF(AND(A948="",B948="",D948="",G948=""),"",IF(AND(A948&lt;&gt;"",COUNTIF($A$2:$A$5001,A948)&gt;1),"NUMERO_PC duplicado",IF(B948="","DATA_PC vazia",IF(NOT(ISNUMBER(B948)),"DATA_PC invalida",IF(OR(C948="",C948="Fora dos ciclos"),"CICLO_PC nao identificado",IF(OR(D948="",D948=0),"VALOR_PC vazio ou zero",IF(AND(G948&lt;&gt;"Sim",G948&lt;&gt;"Nao",G948&lt;&gt;""),"PC_PAGO_A_CONTRATADA invalido",IF(AND(C948&lt;&gt;"C0",IFERROR(INDEX(parametros!$A$2:$A$6,MATCH(C948,parametros!$B$2:$B$6,0)),"")="Sim",IFERROR(INDEX(parametros!$H$2:$H$6,MATCH(C948,parametros!$B$2:$B$6,0)),"")=""),"INICIO_EFEITO ausente: PC "&amp;A948&amp;" - "&amp;C948,IF(L948="","EFEITO_PC nao calculado: PC "&amp;A948&amp;" - "&amp;C948,"OK")))))))))</f>
        <v/>
      </c>
      <c r="L948" s="92" t="str">
        <f>IF(AND(A948="",B948="",D948="",G948=""),"",IF(OR(B948="",NOT(ISNUMBER(B948)),C948="",C948="Fora dos ciclos"),"",IF(C948="C0","Nao",IF(IFERROR(INDEX(parametros!$A$2:$A$6,MATCH(C948,parametros!$B$2:$B$6,0)),"")&lt;&gt;"Sim","Nao",IF(IFERROR(INDEX(parametros!$H$2:$H$6,MATCH(C948,parametros!$B$2:$B$6,0)),"")="","",IF(B948&gt;=IFERROR(INDEX(parametros!$H$2:$H$6,MATCH(C948,parametros!$B$2:$B$6,0)),""),"Sim","Nao"))))))</f>
        <v/>
      </c>
      <c r="T948" s="156"/>
      <c r="U948" s="214" t="str">
        <f t="shared" si="76"/>
        <v/>
      </c>
      <c r="V948" s="212" t="s">
        <v>50</v>
      </c>
      <c r="W948" s="100" t="s">
        <v>168</v>
      </c>
      <c r="X948" s="100" t="s">
        <v>169</v>
      </c>
      <c r="Y948" s="101" t="s">
        <v>170</v>
      </c>
      <c r="Z948" s="101" t="s">
        <v>171</v>
      </c>
      <c r="AA948" s="101" t="s">
        <v>50</v>
      </c>
      <c r="AB948" s="101" t="s">
        <v>172</v>
      </c>
      <c r="AC948" s="102" t="s">
        <v>173</v>
      </c>
    </row>
    <row r="949" spans="1:29" ht="25.5" customHeight="1" x14ac:dyDescent="0.35">
      <c r="A949" s="392"/>
      <c r="B949" s="393"/>
      <c r="C949" s="99" t="str">
        <f>IF(B949="","",IF(NOT(ISNUMBER(B949)),"DATA_PC invalida",IF(NOT(ISNUMBER(parametros!$C$2)),"Fora dos ciclos",IF(OR(B949&lt;parametros!$C$2,(YEAR(B949)-YEAR(parametros!$C$2))*12+MONTH(B949)-MONTH(parametros!$C$2)&gt;59),"Fora dos ciclos","C"&amp;INT(((YEAR(B949)-YEAR(parametros!$C$2))*12+MONTH(B949)-MONTH(parametros!$C$2))/12)))))</f>
        <v/>
      </c>
      <c r="D949" s="394"/>
      <c r="E949" s="78" t="str">
        <f>IF(C949="","",IFERROR(VLOOKUP(C949,parametros!$A$11:$E$15,5,0),""))</f>
        <v/>
      </c>
      <c r="F949" s="79" t="str">
        <f t="shared" si="72"/>
        <v/>
      </c>
      <c r="G949" s="395"/>
      <c r="H949" s="91">
        <f t="shared" si="73"/>
        <v>0</v>
      </c>
      <c r="I949" s="91" t="str">
        <f t="shared" si="74"/>
        <v/>
      </c>
      <c r="J949" s="91" t="str">
        <f t="shared" si="75"/>
        <v/>
      </c>
      <c r="K949" s="92" t="str">
        <f>IF(AND(A949="",B949="",D949="",G949=""),"",IF(AND(A949&lt;&gt;"",COUNTIF($A$2:$A$5001,A949)&gt;1),"NUMERO_PC duplicado",IF(B949="","DATA_PC vazia",IF(NOT(ISNUMBER(B949)),"DATA_PC invalida",IF(OR(C949="",C949="Fora dos ciclos"),"CICLO_PC nao identificado",IF(OR(D949="",D949=0),"VALOR_PC vazio ou zero",IF(AND(G949&lt;&gt;"Sim",G949&lt;&gt;"Nao",G949&lt;&gt;""),"PC_PAGO_A_CONTRATADA invalido",IF(AND(C949&lt;&gt;"C0",IFERROR(INDEX(parametros!$A$2:$A$6,MATCH(C949,parametros!$B$2:$B$6,0)),"")="Sim",IFERROR(INDEX(parametros!$H$2:$H$6,MATCH(C949,parametros!$B$2:$B$6,0)),"")=""),"INICIO_EFEITO ausente: PC "&amp;A949&amp;" - "&amp;C949,IF(L949="","EFEITO_PC nao calculado: PC "&amp;A949&amp;" - "&amp;C949,"OK")))))))))</f>
        <v/>
      </c>
      <c r="L949" s="92" t="str">
        <f>IF(AND(A949="",B949="",D949="",G949=""),"",IF(OR(B949="",NOT(ISNUMBER(B949)),C949="",C949="Fora dos ciclos"),"",IF(C949="C0","Nao",IF(IFERROR(INDEX(parametros!$A$2:$A$6,MATCH(C949,parametros!$B$2:$B$6,0)),"")&lt;&gt;"Sim","Nao",IF(IFERROR(INDEX(parametros!$H$2:$H$6,MATCH(C949,parametros!$B$2:$B$6,0)),"")="","",IF(B949&gt;=IFERROR(INDEX(parametros!$H$2:$H$6,MATCH(C949,parametros!$B$2:$B$6,0)),""),"Sim","Nao"))))))</f>
        <v/>
      </c>
      <c r="T949" s="156"/>
      <c r="U949" s="214" t="str">
        <f t="shared" si="76"/>
        <v/>
      </c>
      <c r="V949" s="212" t="s">
        <v>50</v>
      </c>
      <c r="W949" s="100" t="s">
        <v>168</v>
      </c>
      <c r="X949" s="100" t="s">
        <v>169</v>
      </c>
      <c r="Y949" s="101" t="s">
        <v>170</v>
      </c>
      <c r="Z949" s="101" t="s">
        <v>171</v>
      </c>
      <c r="AA949" s="101" t="s">
        <v>50</v>
      </c>
      <c r="AB949" s="101" t="s">
        <v>172</v>
      </c>
      <c r="AC949" s="102" t="s">
        <v>173</v>
      </c>
    </row>
    <row r="950" spans="1:29" ht="25.5" customHeight="1" x14ac:dyDescent="0.35">
      <c r="A950" s="392"/>
      <c r="B950" s="393"/>
      <c r="C950" s="99" t="str">
        <f>IF(B950="","",IF(NOT(ISNUMBER(B950)),"DATA_PC invalida",IF(NOT(ISNUMBER(parametros!$C$2)),"Fora dos ciclos",IF(OR(B950&lt;parametros!$C$2,(YEAR(B950)-YEAR(parametros!$C$2))*12+MONTH(B950)-MONTH(parametros!$C$2)&gt;59),"Fora dos ciclos","C"&amp;INT(((YEAR(B950)-YEAR(parametros!$C$2))*12+MONTH(B950)-MONTH(parametros!$C$2))/12)))))</f>
        <v/>
      </c>
      <c r="D950" s="394"/>
      <c r="E950" s="78" t="str">
        <f>IF(C950="","",IFERROR(VLOOKUP(C950,parametros!$A$11:$E$15,5,0),""))</f>
        <v/>
      </c>
      <c r="F950" s="79" t="str">
        <f t="shared" si="72"/>
        <v/>
      </c>
      <c r="G950" s="395"/>
      <c r="H950" s="91">
        <f t="shared" si="73"/>
        <v>0</v>
      </c>
      <c r="I950" s="91" t="str">
        <f t="shared" si="74"/>
        <v/>
      </c>
      <c r="J950" s="91" t="str">
        <f t="shared" si="75"/>
        <v/>
      </c>
      <c r="K950" s="92" t="str">
        <f>IF(AND(A950="",B950="",D950="",G950=""),"",IF(AND(A950&lt;&gt;"",COUNTIF($A$2:$A$5001,A950)&gt;1),"NUMERO_PC duplicado",IF(B950="","DATA_PC vazia",IF(NOT(ISNUMBER(B950)),"DATA_PC invalida",IF(OR(C950="",C950="Fora dos ciclos"),"CICLO_PC nao identificado",IF(OR(D950="",D950=0),"VALOR_PC vazio ou zero",IF(AND(G950&lt;&gt;"Sim",G950&lt;&gt;"Nao",G950&lt;&gt;""),"PC_PAGO_A_CONTRATADA invalido",IF(AND(C950&lt;&gt;"C0",IFERROR(INDEX(parametros!$A$2:$A$6,MATCH(C950,parametros!$B$2:$B$6,0)),"")="Sim",IFERROR(INDEX(parametros!$H$2:$H$6,MATCH(C950,parametros!$B$2:$B$6,0)),"")=""),"INICIO_EFEITO ausente: PC "&amp;A950&amp;" - "&amp;C950,IF(L950="","EFEITO_PC nao calculado: PC "&amp;A950&amp;" - "&amp;C950,"OK")))))))))</f>
        <v/>
      </c>
      <c r="L950" s="92" t="str">
        <f>IF(AND(A950="",B950="",D950="",G950=""),"",IF(OR(B950="",NOT(ISNUMBER(B950)),C950="",C950="Fora dos ciclos"),"",IF(C950="C0","Nao",IF(IFERROR(INDEX(parametros!$A$2:$A$6,MATCH(C950,parametros!$B$2:$B$6,0)),"")&lt;&gt;"Sim","Nao",IF(IFERROR(INDEX(parametros!$H$2:$H$6,MATCH(C950,parametros!$B$2:$B$6,0)),"")="","",IF(B950&gt;=IFERROR(INDEX(parametros!$H$2:$H$6,MATCH(C950,parametros!$B$2:$B$6,0)),""),"Sim","Nao"))))))</f>
        <v/>
      </c>
      <c r="T950" s="156"/>
      <c r="U950" s="214" t="str">
        <f t="shared" si="76"/>
        <v/>
      </c>
      <c r="V950" s="212" t="s">
        <v>50</v>
      </c>
      <c r="W950" s="100" t="s">
        <v>168</v>
      </c>
      <c r="X950" s="100" t="s">
        <v>169</v>
      </c>
      <c r="Y950" s="101" t="s">
        <v>170</v>
      </c>
      <c r="Z950" s="101" t="s">
        <v>171</v>
      </c>
      <c r="AA950" s="101" t="s">
        <v>50</v>
      </c>
      <c r="AB950" s="101" t="s">
        <v>172</v>
      </c>
      <c r="AC950" s="102" t="s">
        <v>173</v>
      </c>
    </row>
    <row r="951" spans="1:29" ht="25.5" customHeight="1" x14ac:dyDescent="0.35">
      <c r="A951" s="392"/>
      <c r="B951" s="393"/>
      <c r="C951" s="99" t="str">
        <f>IF(B951="","",IF(NOT(ISNUMBER(B951)),"DATA_PC invalida",IF(NOT(ISNUMBER(parametros!$C$2)),"Fora dos ciclos",IF(OR(B951&lt;parametros!$C$2,(YEAR(B951)-YEAR(parametros!$C$2))*12+MONTH(B951)-MONTH(parametros!$C$2)&gt;59),"Fora dos ciclos","C"&amp;INT(((YEAR(B951)-YEAR(parametros!$C$2))*12+MONTH(B951)-MONTH(parametros!$C$2))/12)))))</f>
        <v/>
      </c>
      <c r="D951" s="394"/>
      <c r="E951" s="78" t="str">
        <f>IF(C951="","",IFERROR(VLOOKUP(C951,parametros!$A$11:$E$15,5,0),""))</f>
        <v/>
      </c>
      <c r="F951" s="79" t="str">
        <f t="shared" si="72"/>
        <v/>
      </c>
      <c r="G951" s="395"/>
      <c r="H951" s="91">
        <f t="shared" si="73"/>
        <v>0</v>
      </c>
      <c r="I951" s="91" t="str">
        <f t="shared" si="74"/>
        <v/>
      </c>
      <c r="J951" s="91" t="str">
        <f t="shared" si="75"/>
        <v/>
      </c>
      <c r="K951" s="92" t="str">
        <f>IF(AND(A951="",B951="",D951="",G951=""),"",IF(AND(A951&lt;&gt;"",COUNTIF($A$2:$A$5001,A951)&gt;1),"NUMERO_PC duplicado",IF(B951="","DATA_PC vazia",IF(NOT(ISNUMBER(B951)),"DATA_PC invalida",IF(OR(C951="",C951="Fora dos ciclos"),"CICLO_PC nao identificado",IF(OR(D951="",D951=0),"VALOR_PC vazio ou zero",IF(AND(G951&lt;&gt;"Sim",G951&lt;&gt;"Nao",G951&lt;&gt;""),"PC_PAGO_A_CONTRATADA invalido",IF(AND(C951&lt;&gt;"C0",IFERROR(INDEX(parametros!$A$2:$A$6,MATCH(C951,parametros!$B$2:$B$6,0)),"")="Sim",IFERROR(INDEX(parametros!$H$2:$H$6,MATCH(C951,parametros!$B$2:$B$6,0)),"")=""),"INICIO_EFEITO ausente: PC "&amp;A951&amp;" - "&amp;C951,IF(L951="","EFEITO_PC nao calculado: PC "&amp;A951&amp;" - "&amp;C951,"OK")))))))))</f>
        <v/>
      </c>
      <c r="L951" s="92" t="str">
        <f>IF(AND(A951="",B951="",D951="",G951=""),"",IF(OR(B951="",NOT(ISNUMBER(B951)),C951="",C951="Fora dos ciclos"),"",IF(C951="C0","Nao",IF(IFERROR(INDEX(parametros!$A$2:$A$6,MATCH(C951,parametros!$B$2:$B$6,0)),"")&lt;&gt;"Sim","Nao",IF(IFERROR(INDEX(parametros!$H$2:$H$6,MATCH(C951,parametros!$B$2:$B$6,0)),"")="","",IF(B951&gt;=IFERROR(INDEX(parametros!$H$2:$H$6,MATCH(C951,parametros!$B$2:$B$6,0)),""),"Sim","Nao"))))))</f>
        <v/>
      </c>
      <c r="T951" s="156"/>
      <c r="U951" s="214" t="str">
        <f t="shared" si="76"/>
        <v/>
      </c>
      <c r="V951" s="212" t="s">
        <v>50</v>
      </c>
      <c r="W951" s="100" t="s">
        <v>168</v>
      </c>
      <c r="X951" s="100" t="s">
        <v>169</v>
      </c>
      <c r="Y951" s="101" t="s">
        <v>170</v>
      </c>
      <c r="Z951" s="101" t="s">
        <v>171</v>
      </c>
      <c r="AA951" s="101" t="s">
        <v>50</v>
      </c>
      <c r="AB951" s="101" t="s">
        <v>172</v>
      </c>
      <c r="AC951" s="102" t="s">
        <v>173</v>
      </c>
    </row>
    <row r="952" spans="1:29" ht="25.5" customHeight="1" x14ac:dyDescent="0.35">
      <c r="A952" s="392"/>
      <c r="B952" s="393"/>
      <c r="C952" s="99" t="str">
        <f>IF(B952="","",IF(NOT(ISNUMBER(B952)),"DATA_PC invalida",IF(NOT(ISNUMBER(parametros!$C$2)),"Fora dos ciclos",IF(OR(B952&lt;parametros!$C$2,(YEAR(B952)-YEAR(parametros!$C$2))*12+MONTH(B952)-MONTH(parametros!$C$2)&gt;59),"Fora dos ciclos","C"&amp;INT(((YEAR(B952)-YEAR(parametros!$C$2))*12+MONTH(B952)-MONTH(parametros!$C$2))/12)))))</f>
        <v/>
      </c>
      <c r="D952" s="394"/>
      <c r="E952" s="78" t="str">
        <f>IF(C952="","",IFERROR(VLOOKUP(C952,parametros!$A$11:$E$15,5,0),""))</f>
        <v/>
      </c>
      <c r="F952" s="79" t="str">
        <f t="shared" si="72"/>
        <v/>
      </c>
      <c r="G952" s="395"/>
      <c r="H952" s="91">
        <f t="shared" si="73"/>
        <v>0</v>
      </c>
      <c r="I952" s="91" t="str">
        <f t="shared" si="74"/>
        <v/>
      </c>
      <c r="J952" s="91" t="str">
        <f t="shared" si="75"/>
        <v/>
      </c>
      <c r="K952" s="92" t="str">
        <f>IF(AND(A952="",B952="",D952="",G952=""),"",IF(AND(A952&lt;&gt;"",COUNTIF($A$2:$A$5001,A952)&gt;1),"NUMERO_PC duplicado",IF(B952="","DATA_PC vazia",IF(NOT(ISNUMBER(B952)),"DATA_PC invalida",IF(OR(C952="",C952="Fora dos ciclos"),"CICLO_PC nao identificado",IF(OR(D952="",D952=0),"VALOR_PC vazio ou zero",IF(AND(G952&lt;&gt;"Sim",G952&lt;&gt;"Nao",G952&lt;&gt;""),"PC_PAGO_A_CONTRATADA invalido",IF(AND(C952&lt;&gt;"C0",IFERROR(INDEX(parametros!$A$2:$A$6,MATCH(C952,parametros!$B$2:$B$6,0)),"")="Sim",IFERROR(INDEX(parametros!$H$2:$H$6,MATCH(C952,parametros!$B$2:$B$6,0)),"")=""),"INICIO_EFEITO ausente: PC "&amp;A952&amp;" - "&amp;C952,IF(L952="","EFEITO_PC nao calculado: PC "&amp;A952&amp;" - "&amp;C952,"OK")))))))))</f>
        <v/>
      </c>
      <c r="L952" s="92" t="str">
        <f>IF(AND(A952="",B952="",D952="",G952=""),"",IF(OR(B952="",NOT(ISNUMBER(B952)),C952="",C952="Fora dos ciclos"),"",IF(C952="C0","Nao",IF(IFERROR(INDEX(parametros!$A$2:$A$6,MATCH(C952,parametros!$B$2:$B$6,0)),"")&lt;&gt;"Sim","Nao",IF(IFERROR(INDEX(parametros!$H$2:$H$6,MATCH(C952,parametros!$B$2:$B$6,0)),"")="","",IF(B952&gt;=IFERROR(INDEX(parametros!$H$2:$H$6,MATCH(C952,parametros!$B$2:$B$6,0)),""),"Sim","Nao"))))))</f>
        <v/>
      </c>
      <c r="T952" s="156"/>
      <c r="U952" s="214" t="str">
        <f t="shared" si="76"/>
        <v/>
      </c>
      <c r="V952" s="212" t="s">
        <v>50</v>
      </c>
      <c r="W952" s="100" t="s">
        <v>168</v>
      </c>
      <c r="X952" s="100" t="s">
        <v>169</v>
      </c>
      <c r="Y952" s="101" t="s">
        <v>170</v>
      </c>
      <c r="Z952" s="101" t="s">
        <v>171</v>
      </c>
      <c r="AA952" s="101" t="s">
        <v>50</v>
      </c>
      <c r="AB952" s="101" t="s">
        <v>172</v>
      </c>
      <c r="AC952" s="102" t="s">
        <v>173</v>
      </c>
    </row>
    <row r="953" spans="1:29" ht="25.5" customHeight="1" x14ac:dyDescent="0.35">
      <c r="A953" s="392"/>
      <c r="B953" s="393"/>
      <c r="C953" s="99" t="str">
        <f>IF(B953="","",IF(NOT(ISNUMBER(B953)),"DATA_PC invalida",IF(NOT(ISNUMBER(parametros!$C$2)),"Fora dos ciclos",IF(OR(B953&lt;parametros!$C$2,(YEAR(B953)-YEAR(parametros!$C$2))*12+MONTH(B953)-MONTH(parametros!$C$2)&gt;59),"Fora dos ciclos","C"&amp;INT(((YEAR(B953)-YEAR(parametros!$C$2))*12+MONTH(B953)-MONTH(parametros!$C$2))/12)))))</f>
        <v/>
      </c>
      <c r="D953" s="394"/>
      <c r="E953" s="78" t="str">
        <f>IF(C953="","",IFERROR(VLOOKUP(C953,parametros!$A$11:$E$15,5,0),""))</f>
        <v/>
      </c>
      <c r="F953" s="79" t="str">
        <f t="shared" si="72"/>
        <v/>
      </c>
      <c r="G953" s="395"/>
      <c r="H953" s="91">
        <f t="shared" si="73"/>
        <v>0</v>
      </c>
      <c r="I953" s="91" t="str">
        <f t="shared" si="74"/>
        <v/>
      </c>
      <c r="J953" s="91" t="str">
        <f t="shared" si="75"/>
        <v/>
      </c>
      <c r="K953" s="92" t="str">
        <f>IF(AND(A953="",B953="",D953="",G953=""),"",IF(AND(A953&lt;&gt;"",COUNTIF($A$2:$A$5001,A953)&gt;1),"NUMERO_PC duplicado",IF(B953="","DATA_PC vazia",IF(NOT(ISNUMBER(B953)),"DATA_PC invalida",IF(OR(C953="",C953="Fora dos ciclos"),"CICLO_PC nao identificado",IF(OR(D953="",D953=0),"VALOR_PC vazio ou zero",IF(AND(G953&lt;&gt;"Sim",G953&lt;&gt;"Nao",G953&lt;&gt;""),"PC_PAGO_A_CONTRATADA invalido",IF(AND(C953&lt;&gt;"C0",IFERROR(INDEX(parametros!$A$2:$A$6,MATCH(C953,parametros!$B$2:$B$6,0)),"")="Sim",IFERROR(INDEX(parametros!$H$2:$H$6,MATCH(C953,parametros!$B$2:$B$6,0)),"")=""),"INICIO_EFEITO ausente: PC "&amp;A953&amp;" - "&amp;C953,IF(L953="","EFEITO_PC nao calculado: PC "&amp;A953&amp;" - "&amp;C953,"OK")))))))))</f>
        <v/>
      </c>
      <c r="L953" s="92" t="str">
        <f>IF(AND(A953="",B953="",D953="",G953=""),"",IF(OR(B953="",NOT(ISNUMBER(B953)),C953="",C953="Fora dos ciclos"),"",IF(C953="C0","Nao",IF(IFERROR(INDEX(parametros!$A$2:$A$6,MATCH(C953,parametros!$B$2:$B$6,0)),"")&lt;&gt;"Sim","Nao",IF(IFERROR(INDEX(parametros!$H$2:$H$6,MATCH(C953,parametros!$B$2:$B$6,0)),"")="","",IF(B953&gt;=IFERROR(INDEX(parametros!$H$2:$H$6,MATCH(C953,parametros!$B$2:$B$6,0)),""),"Sim","Nao"))))))</f>
        <v/>
      </c>
      <c r="T953" s="156"/>
      <c r="U953" s="214" t="str">
        <f t="shared" si="76"/>
        <v/>
      </c>
      <c r="V953" s="212" t="s">
        <v>50</v>
      </c>
      <c r="W953" s="100" t="s">
        <v>168</v>
      </c>
      <c r="X953" s="100" t="s">
        <v>169</v>
      </c>
      <c r="Y953" s="101" t="s">
        <v>170</v>
      </c>
      <c r="Z953" s="101" t="s">
        <v>171</v>
      </c>
      <c r="AA953" s="101" t="s">
        <v>50</v>
      </c>
      <c r="AB953" s="101" t="s">
        <v>172</v>
      </c>
      <c r="AC953" s="102" t="s">
        <v>173</v>
      </c>
    </row>
    <row r="954" spans="1:29" ht="25.5" customHeight="1" x14ac:dyDescent="0.35">
      <c r="A954" s="392"/>
      <c r="B954" s="393"/>
      <c r="C954" s="99" t="str">
        <f>IF(B954="","",IF(NOT(ISNUMBER(B954)),"DATA_PC invalida",IF(NOT(ISNUMBER(parametros!$C$2)),"Fora dos ciclos",IF(OR(B954&lt;parametros!$C$2,(YEAR(B954)-YEAR(parametros!$C$2))*12+MONTH(B954)-MONTH(parametros!$C$2)&gt;59),"Fora dos ciclos","C"&amp;INT(((YEAR(B954)-YEAR(parametros!$C$2))*12+MONTH(B954)-MONTH(parametros!$C$2))/12)))))</f>
        <v/>
      </c>
      <c r="D954" s="394"/>
      <c r="E954" s="78" t="str">
        <f>IF(C954="","",IFERROR(VLOOKUP(C954,parametros!$A$11:$E$15,5,0),""))</f>
        <v/>
      </c>
      <c r="F954" s="79" t="str">
        <f t="shared" si="72"/>
        <v/>
      </c>
      <c r="G954" s="395"/>
      <c r="H954" s="91">
        <f t="shared" si="73"/>
        <v>0</v>
      </c>
      <c r="I954" s="91" t="str">
        <f t="shared" si="74"/>
        <v/>
      </c>
      <c r="J954" s="91" t="str">
        <f t="shared" si="75"/>
        <v/>
      </c>
      <c r="K954" s="92" t="str">
        <f>IF(AND(A954="",B954="",D954="",G954=""),"",IF(AND(A954&lt;&gt;"",COUNTIF($A$2:$A$5001,A954)&gt;1),"NUMERO_PC duplicado",IF(B954="","DATA_PC vazia",IF(NOT(ISNUMBER(B954)),"DATA_PC invalida",IF(OR(C954="",C954="Fora dos ciclos"),"CICLO_PC nao identificado",IF(OR(D954="",D954=0),"VALOR_PC vazio ou zero",IF(AND(G954&lt;&gt;"Sim",G954&lt;&gt;"Nao",G954&lt;&gt;""),"PC_PAGO_A_CONTRATADA invalido",IF(AND(C954&lt;&gt;"C0",IFERROR(INDEX(parametros!$A$2:$A$6,MATCH(C954,parametros!$B$2:$B$6,0)),"")="Sim",IFERROR(INDEX(parametros!$H$2:$H$6,MATCH(C954,parametros!$B$2:$B$6,0)),"")=""),"INICIO_EFEITO ausente: PC "&amp;A954&amp;" - "&amp;C954,IF(L954="","EFEITO_PC nao calculado: PC "&amp;A954&amp;" - "&amp;C954,"OK")))))))))</f>
        <v/>
      </c>
      <c r="L954" s="92" t="str">
        <f>IF(AND(A954="",B954="",D954="",G954=""),"",IF(OR(B954="",NOT(ISNUMBER(B954)),C954="",C954="Fora dos ciclos"),"",IF(C954="C0","Nao",IF(IFERROR(INDEX(parametros!$A$2:$A$6,MATCH(C954,parametros!$B$2:$B$6,0)),"")&lt;&gt;"Sim","Nao",IF(IFERROR(INDEX(parametros!$H$2:$H$6,MATCH(C954,parametros!$B$2:$B$6,0)),"")="","",IF(B954&gt;=IFERROR(INDEX(parametros!$H$2:$H$6,MATCH(C954,parametros!$B$2:$B$6,0)),""),"Sim","Nao"))))))</f>
        <v/>
      </c>
      <c r="T954" s="156"/>
      <c r="U954" s="214" t="str">
        <f t="shared" si="76"/>
        <v/>
      </c>
      <c r="V954" s="212" t="s">
        <v>50</v>
      </c>
      <c r="W954" s="100" t="s">
        <v>168</v>
      </c>
      <c r="X954" s="100" t="s">
        <v>169</v>
      </c>
      <c r="Y954" s="101" t="s">
        <v>170</v>
      </c>
      <c r="Z954" s="101" t="s">
        <v>171</v>
      </c>
      <c r="AA954" s="101" t="s">
        <v>50</v>
      </c>
      <c r="AB954" s="101" t="s">
        <v>172</v>
      </c>
      <c r="AC954" s="102" t="s">
        <v>173</v>
      </c>
    </row>
    <row r="955" spans="1:29" ht="25.5" customHeight="1" x14ac:dyDescent="0.35">
      <c r="A955" s="392"/>
      <c r="B955" s="393"/>
      <c r="C955" s="99" t="str">
        <f>IF(B955="","",IF(NOT(ISNUMBER(B955)),"DATA_PC invalida",IF(NOT(ISNUMBER(parametros!$C$2)),"Fora dos ciclos",IF(OR(B955&lt;parametros!$C$2,(YEAR(B955)-YEAR(parametros!$C$2))*12+MONTH(B955)-MONTH(parametros!$C$2)&gt;59),"Fora dos ciclos","C"&amp;INT(((YEAR(B955)-YEAR(parametros!$C$2))*12+MONTH(B955)-MONTH(parametros!$C$2))/12)))))</f>
        <v/>
      </c>
      <c r="D955" s="394"/>
      <c r="E955" s="78" t="str">
        <f>IF(C955="","",IFERROR(VLOOKUP(C955,parametros!$A$11:$E$15,5,0),""))</f>
        <v/>
      </c>
      <c r="F955" s="79" t="str">
        <f t="shared" si="72"/>
        <v/>
      </c>
      <c r="G955" s="395"/>
      <c r="H955" s="91">
        <f t="shared" si="73"/>
        <v>0</v>
      </c>
      <c r="I955" s="91" t="str">
        <f t="shared" si="74"/>
        <v/>
      </c>
      <c r="J955" s="91" t="str">
        <f t="shared" si="75"/>
        <v/>
      </c>
      <c r="K955" s="92" t="str">
        <f>IF(AND(A955="",B955="",D955="",G955=""),"",IF(AND(A955&lt;&gt;"",COUNTIF($A$2:$A$5001,A955)&gt;1),"NUMERO_PC duplicado",IF(B955="","DATA_PC vazia",IF(NOT(ISNUMBER(B955)),"DATA_PC invalida",IF(OR(C955="",C955="Fora dos ciclos"),"CICLO_PC nao identificado",IF(OR(D955="",D955=0),"VALOR_PC vazio ou zero",IF(AND(G955&lt;&gt;"Sim",G955&lt;&gt;"Nao",G955&lt;&gt;""),"PC_PAGO_A_CONTRATADA invalido",IF(AND(C955&lt;&gt;"C0",IFERROR(INDEX(parametros!$A$2:$A$6,MATCH(C955,parametros!$B$2:$B$6,0)),"")="Sim",IFERROR(INDEX(parametros!$H$2:$H$6,MATCH(C955,parametros!$B$2:$B$6,0)),"")=""),"INICIO_EFEITO ausente: PC "&amp;A955&amp;" - "&amp;C955,IF(L955="","EFEITO_PC nao calculado: PC "&amp;A955&amp;" - "&amp;C955,"OK")))))))))</f>
        <v/>
      </c>
      <c r="L955" s="92" t="str">
        <f>IF(AND(A955="",B955="",D955="",G955=""),"",IF(OR(B955="",NOT(ISNUMBER(B955)),C955="",C955="Fora dos ciclos"),"",IF(C955="C0","Nao",IF(IFERROR(INDEX(parametros!$A$2:$A$6,MATCH(C955,parametros!$B$2:$B$6,0)),"")&lt;&gt;"Sim","Nao",IF(IFERROR(INDEX(parametros!$H$2:$H$6,MATCH(C955,parametros!$B$2:$B$6,0)),"")="","",IF(B955&gt;=IFERROR(INDEX(parametros!$H$2:$H$6,MATCH(C955,parametros!$B$2:$B$6,0)),""),"Sim","Nao"))))))</f>
        <v/>
      </c>
      <c r="T955" s="156"/>
      <c r="U955" s="214" t="str">
        <f t="shared" si="76"/>
        <v/>
      </c>
      <c r="V955" s="212" t="s">
        <v>50</v>
      </c>
      <c r="W955" s="100" t="s">
        <v>168</v>
      </c>
      <c r="X955" s="100" t="s">
        <v>169</v>
      </c>
      <c r="Y955" s="101" t="s">
        <v>170</v>
      </c>
      <c r="Z955" s="101" t="s">
        <v>171</v>
      </c>
      <c r="AA955" s="101" t="s">
        <v>50</v>
      </c>
      <c r="AB955" s="101" t="s">
        <v>172</v>
      </c>
      <c r="AC955" s="102" t="s">
        <v>173</v>
      </c>
    </row>
    <row r="956" spans="1:29" ht="25.5" customHeight="1" x14ac:dyDescent="0.35">
      <c r="A956" s="392"/>
      <c r="B956" s="393"/>
      <c r="C956" s="99" t="str">
        <f>IF(B956="","",IF(NOT(ISNUMBER(B956)),"DATA_PC invalida",IF(NOT(ISNUMBER(parametros!$C$2)),"Fora dos ciclos",IF(OR(B956&lt;parametros!$C$2,(YEAR(B956)-YEAR(parametros!$C$2))*12+MONTH(B956)-MONTH(parametros!$C$2)&gt;59),"Fora dos ciclos","C"&amp;INT(((YEAR(B956)-YEAR(parametros!$C$2))*12+MONTH(B956)-MONTH(parametros!$C$2))/12)))))</f>
        <v/>
      </c>
      <c r="D956" s="394"/>
      <c r="E956" s="78" t="str">
        <f>IF(C956="","",IFERROR(VLOOKUP(C956,parametros!$A$11:$E$15,5,0),""))</f>
        <v/>
      </c>
      <c r="F956" s="79" t="str">
        <f t="shared" si="72"/>
        <v/>
      </c>
      <c r="G956" s="395"/>
      <c r="H956" s="91">
        <f t="shared" si="73"/>
        <v>0</v>
      </c>
      <c r="I956" s="91" t="str">
        <f t="shared" si="74"/>
        <v/>
      </c>
      <c r="J956" s="91" t="str">
        <f t="shared" si="75"/>
        <v/>
      </c>
      <c r="K956" s="92" t="str">
        <f>IF(AND(A956="",B956="",D956="",G956=""),"",IF(AND(A956&lt;&gt;"",COUNTIF($A$2:$A$5001,A956)&gt;1),"NUMERO_PC duplicado",IF(B956="","DATA_PC vazia",IF(NOT(ISNUMBER(B956)),"DATA_PC invalida",IF(OR(C956="",C956="Fora dos ciclos"),"CICLO_PC nao identificado",IF(OR(D956="",D956=0),"VALOR_PC vazio ou zero",IF(AND(G956&lt;&gt;"Sim",G956&lt;&gt;"Nao",G956&lt;&gt;""),"PC_PAGO_A_CONTRATADA invalido",IF(AND(C956&lt;&gt;"C0",IFERROR(INDEX(parametros!$A$2:$A$6,MATCH(C956,parametros!$B$2:$B$6,0)),"")="Sim",IFERROR(INDEX(parametros!$H$2:$H$6,MATCH(C956,parametros!$B$2:$B$6,0)),"")=""),"INICIO_EFEITO ausente: PC "&amp;A956&amp;" - "&amp;C956,IF(L956="","EFEITO_PC nao calculado: PC "&amp;A956&amp;" - "&amp;C956,"OK")))))))))</f>
        <v/>
      </c>
      <c r="L956" s="92" t="str">
        <f>IF(AND(A956="",B956="",D956="",G956=""),"",IF(OR(B956="",NOT(ISNUMBER(B956)),C956="",C956="Fora dos ciclos"),"",IF(C956="C0","Nao",IF(IFERROR(INDEX(parametros!$A$2:$A$6,MATCH(C956,parametros!$B$2:$B$6,0)),"")&lt;&gt;"Sim","Nao",IF(IFERROR(INDEX(parametros!$H$2:$H$6,MATCH(C956,parametros!$B$2:$B$6,0)),"")="","",IF(B956&gt;=IFERROR(INDEX(parametros!$H$2:$H$6,MATCH(C956,parametros!$B$2:$B$6,0)),""),"Sim","Nao"))))))</f>
        <v/>
      </c>
      <c r="T956" s="156"/>
      <c r="U956" s="214" t="str">
        <f t="shared" si="76"/>
        <v/>
      </c>
      <c r="V956" s="212" t="s">
        <v>50</v>
      </c>
      <c r="W956" s="100" t="s">
        <v>168</v>
      </c>
      <c r="X956" s="100" t="s">
        <v>169</v>
      </c>
      <c r="Y956" s="101" t="s">
        <v>170</v>
      </c>
      <c r="Z956" s="101" t="s">
        <v>171</v>
      </c>
      <c r="AA956" s="101" t="s">
        <v>50</v>
      </c>
      <c r="AB956" s="101" t="s">
        <v>172</v>
      </c>
      <c r="AC956" s="102" t="s">
        <v>173</v>
      </c>
    </row>
    <row r="957" spans="1:29" ht="25.5" customHeight="1" x14ac:dyDescent="0.35">
      <c r="A957" s="392"/>
      <c r="B957" s="393"/>
      <c r="C957" s="99" t="str">
        <f>IF(B957="","",IF(NOT(ISNUMBER(B957)),"DATA_PC invalida",IF(NOT(ISNUMBER(parametros!$C$2)),"Fora dos ciclos",IF(OR(B957&lt;parametros!$C$2,(YEAR(B957)-YEAR(parametros!$C$2))*12+MONTH(B957)-MONTH(parametros!$C$2)&gt;59),"Fora dos ciclos","C"&amp;INT(((YEAR(B957)-YEAR(parametros!$C$2))*12+MONTH(B957)-MONTH(parametros!$C$2))/12)))))</f>
        <v/>
      </c>
      <c r="D957" s="394"/>
      <c r="E957" s="78" t="str">
        <f>IF(C957="","",IFERROR(VLOOKUP(C957,parametros!$A$11:$E$15,5,0),""))</f>
        <v/>
      </c>
      <c r="F957" s="79" t="str">
        <f t="shared" si="72"/>
        <v/>
      </c>
      <c r="G957" s="395"/>
      <c r="H957" s="91">
        <f t="shared" si="73"/>
        <v>0</v>
      </c>
      <c r="I957" s="91" t="str">
        <f t="shared" si="74"/>
        <v/>
      </c>
      <c r="J957" s="91" t="str">
        <f t="shared" si="75"/>
        <v/>
      </c>
      <c r="K957" s="92" t="str">
        <f>IF(AND(A957="",B957="",D957="",G957=""),"",IF(AND(A957&lt;&gt;"",COUNTIF($A$2:$A$5001,A957)&gt;1),"NUMERO_PC duplicado",IF(B957="","DATA_PC vazia",IF(NOT(ISNUMBER(B957)),"DATA_PC invalida",IF(OR(C957="",C957="Fora dos ciclos"),"CICLO_PC nao identificado",IF(OR(D957="",D957=0),"VALOR_PC vazio ou zero",IF(AND(G957&lt;&gt;"Sim",G957&lt;&gt;"Nao",G957&lt;&gt;""),"PC_PAGO_A_CONTRATADA invalido",IF(AND(C957&lt;&gt;"C0",IFERROR(INDEX(parametros!$A$2:$A$6,MATCH(C957,parametros!$B$2:$B$6,0)),"")="Sim",IFERROR(INDEX(parametros!$H$2:$H$6,MATCH(C957,parametros!$B$2:$B$6,0)),"")=""),"INICIO_EFEITO ausente: PC "&amp;A957&amp;" - "&amp;C957,IF(L957="","EFEITO_PC nao calculado: PC "&amp;A957&amp;" - "&amp;C957,"OK")))))))))</f>
        <v/>
      </c>
      <c r="L957" s="92" t="str">
        <f>IF(AND(A957="",B957="",D957="",G957=""),"",IF(OR(B957="",NOT(ISNUMBER(B957)),C957="",C957="Fora dos ciclos"),"",IF(C957="C0","Nao",IF(IFERROR(INDEX(parametros!$A$2:$A$6,MATCH(C957,parametros!$B$2:$B$6,0)),"")&lt;&gt;"Sim","Nao",IF(IFERROR(INDEX(parametros!$H$2:$H$6,MATCH(C957,parametros!$B$2:$B$6,0)),"")="","",IF(B957&gt;=IFERROR(INDEX(parametros!$H$2:$H$6,MATCH(C957,parametros!$B$2:$B$6,0)),""),"Sim","Nao"))))))</f>
        <v/>
      </c>
      <c r="T957" s="156"/>
      <c r="U957" s="214" t="str">
        <f t="shared" si="76"/>
        <v/>
      </c>
      <c r="V957" s="212" t="s">
        <v>50</v>
      </c>
      <c r="W957" s="100" t="s">
        <v>168</v>
      </c>
      <c r="X957" s="100" t="s">
        <v>169</v>
      </c>
      <c r="Y957" s="101" t="s">
        <v>170</v>
      </c>
      <c r="Z957" s="101" t="s">
        <v>171</v>
      </c>
      <c r="AA957" s="101" t="s">
        <v>50</v>
      </c>
      <c r="AB957" s="101" t="s">
        <v>172</v>
      </c>
      <c r="AC957" s="102" t="s">
        <v>173</v>
      </c>
    </row>
    <row r="958" spans="1:29" ht="25.5" customHeight="1" x14ac:dyDescent="0.35">
      <c r="A958" s="392"/>
      <c r="B958" s="393"/>
      <c r="C958" s="99" t="str">
        <f>IF(B958="","",IF(NOT(ISNUMBER(B958)),"DATA_PC invalida",IF(NOT(ISNUMBER(parametros!$C$2)),"Fora dos ciclos",IF(OR(B958&lt;parametros!$C$2,(YEAR(B958)-YEAR(parametros!$C$2))*12+MONTH(B958)-MONTH(parametros!$C$2)&gt;59),"Fora dos ciclos","C"&amp;INT(((YEAR(B958)-YEAR(parametros!$C$2))*12+MONTH(B958)-MONTH(parametros!$C$2))/12)))))</f>
        <v/>
      </c>
      <c r="D958" s="394"/>
      <c r="E958" s="78" t="str">
        <f>IF(C958="","",IFERROR(VLOOKUP(C958,parametros!$A$11:$E$15,5,0),""))</f>
        <v/>
      </c>
      <c r="F958" s="79" t="str">
        <f t="shared" si="72"/>
        <v/>
      </c>
      <c r="G958" s="395"/>
      <c r="H958" s="91">
        <f t="shared" si="73"/>
        <v>0</v>
      </c>
      <c r="I958" s="91" t="str">
        <f t="shared" si="74"/>
        <v/>
      </c>
      <c r="J958" s="91" t="str">
        <f t="shared" si="75"/>
        <v/>
      </c>
      <c r="K958" s="92" t="str">
        <f>IF(AND(A958="",B958="",D958="",G958=""),"",IF(AND(A958&lt;&gt;"",COUNTIF($A$2:$A$5001,A958)&gt;1),"NUMERO_PC duplicado",IF(B958="","DATA_PC vazia",IF(NOT(ISNUMBER(B958)),"DATA_PC invalida",IF(OR(C958="",C958="Fora dos ciclos"),"CICLO_PC nao identificado",IF(OR(D958="",D958=0),"VALOR_PC vazio ou zero",IF(AND(G958&lt;&gt;"Sim",G958&lt;&gt;"Nao",G958&lt;&gt;""),"PC_PAGO_A_CONTRATADA invalido",IF(AND(C958&lt;&gt;"C0",IFERROR(INDEX(parametros!$A$2:$A$6,MATCH(C958,parametros!$B$2:$B$6,0)),"")="Sim",IFERROR(INDEX(parametros!$H$2:$H$6,MATCH(C958,parametros!$B$2:$B$6,0)),"")=""),"INICIO_EFEITO ausente: PC "&amp;A958&amp;" - "&amp;C958,IF(L958="","EFEITO_PC nao calculado: PC "&amp;A958&amp;" - "&amp;C958,"OK")))))))))</f>
        <v/>
      </c>
      <c r="L958" s="92" t="str">
        <f>IF(AND(A958="",B958="",D958="",G958=""),"",IF(OR(B958="",NOT(ISNUMBER(B958)),C958="",C958="Fora dos ciclos"),"",IF(C958="C0","Nao",IF(IFERROR(INDEX(parametros!$A$2:$A$6,MATCH(C958,parametros!$B$2:$B$6,0)),"")&lt;&gt;"Sim","Nao",IF(IFERROR(INDEX(parametros!$H$2:$H$6,MATCH(C958,parametros!$B$2:$B$6,0)),"")="","",IF(B958&gt;=IFERROR(INDEX(parametros!$H$2:$H$6,MATCH(C958,parametros!$B$2:$B$6,0)),""),"Sim","Nao"))))))</f>
        <v/>
      </c>
      <c r="T958" s="156"/>
      <c r="U958" s="214" t="str">
        <f t="shared" si="76"/>
        <v/>
      </c>
      <c r="V958" s="212" t="s">
        <v>50</v>
      </c>
      <c r="W958" s="100" t="s">
        <v>168</v>
      </c>
      <c r="X958" s="100" t="s">
        <v>169</v>
      </c>
      <c r="Y958" s="101" t="s">
        <v>170</v>
      </c>
      <c r="Z958" s="101" t="s">
        <v>171</v>
      </c>
      <c r="AA958" s="101" t="s">
        <v>50</v>
      </c>
      <c r="AB958" s="101" t="s">
        <v>172</v>
      </c>
      <c r="AC958" s="102" t="s">
        <v>173</v>
      </c>
    </row>
    <row r="959" spans="1:29" ht="25.5" customHeight="1" x14ac:dyDescent="0.35">
      <c r="A959" s="392"/>
      <c r="B959" s="393"/>
      <c r="C959" s="99" t="str">
        <f>IF(B959="","",IF(NOT(ISNUMBER(B959)),"DATA_PC invalida",IF(NOT(ISNUMBER(parametros!$C$2)),"Fora dos ciclos",IF(OR(B959&lt;parametros!$C$2,(YEAR(B959)-YEAR(parametros!$C$2))*12+MONTH(B959)-MONTH(parametros!$C$2)&gt;59),"Fora dos ciclos","C"&amp;INT(((YEAR(B959)-YEAR(parametros!$C$2))*12+MONTH(B959)-MONTH(parametros!$C$2))/12)))))</f>
        <v/>
      </c>
      <c r="D959" s="394"/>
      <c r="E959" s="78" t="str">
        <f>IF(C959="","",IFERROR(VLOOKUP(C959,parametros!$A$11:$E$15,5,0),""))</f>
        <v/>
      </c>
      <c r="F959" s="79" t="str">
        <f t="shared" si="72"/>
        <v/>
      </c>
      <c r="G959" s="395"/>
      <c r="H959" s="91">
        <f t="shared" si="73"/>
        <v>0</v>
      </c>
      <c r="I959" s="91" t="str">
        <f t="shared" si="74"/>
        <v/>
      </c>
      <c r="J959" s="91" t="str">
        <f t="shared" si="75"/>
        <v/>
      </c>
      <c r="K959" s="92" t="str">
        <f>IF(AND(A959="",B959="",D959="",G959=""),"",IF(AND(A959&lt;&gt;"",COUNTIF($A$2:$A$5001,A959)&gt;1),"NUMERO_PC duplicado",IF(B959="","DATA_PC vazia",IF(NOT(ISNUMBER(B959)),"DATA_PC invalida",IF(OR(C959="",C959="Fora dos ciclos"),"CICLO_PC nao identificado",IF(OR(D959="",D959=0),"VALOR_PC vazio ou zero",IF(AND(G959&lt;&gt;"Sim",G959&lt;&gt;"Nao",G959&lt;&gt;""),"PC_PAGO_A_CONTRATADA invalido",IF(AND(C959&lt;&gt;"C0",IFERROR(INDEX(parametros!$A$2:$A$6,MATCH(C959,parametros!$B$2:$B$6,0)),"")="Sim",IFERROR(INDEX(parametros!$H$2:$H$6,MATCH(C959,parametros!$B$2:$B$6,0)),"")=""),"INICIO_EFEITO ausente: PC "&amp;A959&amp;" - "&amp;C959,IF(L959="","EFEITO_PC nao calculado: PC "&amp;A959&amp;" - "&amp;C959,"OK")))))))))</f>
        <v/>
      </c>
      <c r="L959" s="92" t="str">
        <f>IF(AND(A959="",B959="",D959="",G959=""),"",IF(OR(B959="",NOT(ISNUMBER(B959)),C959="",C959="Fora dos ciclos"),"",IF(C959="C0","Nao",IF(IFERROR(INDEX(parametros!$A$2:$A$6,MATCH(C959,parametros!$B$2:$B$6,0)),"")&lt;&gt;"Sim","Nao",IF(IFERROR(INDEX(parametros!$H$2:$H$6,MATCH(C959,parametros!$B$2:$B$6,0)),"")="","",IF(B959&gt;=IFERROR(INDEX(parametros!$H$2:$H$6,MATCH(C959,parametros!$B$2:$B$6,0)),""),"Sim","Nao"))))))</f>
        <v/>
      </c>
      <c r="T959" s="156"/>
      <c r="U959" s="214" t="str">
        <f t="shared" si="76"/>
        <v/>
      </c>
      <c r="V959" s="212" t="s">
        <v>50</v>
      </c>
      <c r="W959" s="100" t="s">
        <v>168</v>
      </c>
      <c r="X959" s="100" t="s">
        <v>169</v>
      </c>
      <c r="Y959" s="101" t="s">
        <v>170</v>
      </c>
      <c r="Z959" s="101" t="s">
        <v>171</v>
      </c>
      <c r="AA959" s="101" t="s">
        <v>50</v>
      </c>
      <c r="AB959" s="101" t="s">
        <v>172</v>
      </c>
      <c r="AC959" s="102" t="s">
        <v>173</v>
      </c>
    </row>
    <row r="960" spans="1:29" ht="25.5" customHeight="1" x14ac:dyDescent="0.35">
      <c r="A960" s="392"/>
      <c r="B960" s="393"/>
      <c r="C960" s="99" t="str">
        <f>IF(B960="","",IF(NOT(ISNUMBER(B960)),"DATA_PC invalida",IF(NOT(ISNUMBER(parametros!$C$2)),"Fora dos ciclos",IF(OR(B960&lt;parametros!$C$2,(YEAR(B960)-YEAR(parametros!$C$2))*12+MONTH(B960)-MONTH(parametros!$C$2)&gt;59),"Fora dos ciclos","C"&amp;INT(((YEAR(B960)-YEAR(parametros!$C$2))*12+MONTH(B960)-MONTH(parametros!$C$2))/12)))))</f>
        <v/>
      </c>
      <c r="D960" s="394"/>
      <c r="E960" s="78" t="str">
        <f>IF(C960="","",IFERROR(VLOOKUP(C960,parametros!$A$11:$E$15,5,0),""))</f>
        <v/>
      </c>
      <c r="F960" s="79" t="str">
        <f t="shared" si="72"/>
        <v/>
      </c>
      <c r="G960" s="395"/>
      <c r="H960" s="91">
        <f t="shared" si="73"/>
        <v>0</v>
      </c>
      <c r="I960" s="91" t="str">
        <f t="shared" si="74"/>
        <v/>
      </c>
      <c r="J960" s="91" t="str">
        <f t="shared" si="75"/>
        <v/>
      </c>
      <c r="K960" s="92" t="str">
        <f>IF(AND(A960="",B960="",D960="",G960=""),"",IF(AND(A960&lt;&gt;"",COUNTIF($A$2:$A$5001,A960)&gt;1),"NUMERO_PC duplicado",IF(B960="","DATA_PC vazia",IF(NOT(ISNUMBER(B960)),"DATA_PC invalida",IF(OR(C960="",C960="Fora dos ciclos"),"CICLO_PC nao identificado",IF(OR(D960="",D960=0),"VALOR_PC vazio ou zero",IF(AND(G960&lt;&gt;"Sim",G960&lt;&gt;"Nao",G960&lt;&gt;""),"PC_PAGO_A_CONTRATADA invalido",IF(AND(C960&lt;&gt;"C0",IFERROR(INDEX(parametros!$A$2:$A$6,MATCH(C960,parametros!$B$2:$B$6,0)),"")="Sim",IFERROR(INDEX(parametros!$H$2:$H$6,MATCH(C960,parametros!$B$2:$B$6,0)),"")=""),"INICIO_EFEITO ausente: PC "&amp;A960&amp;" - "&amp;C960,IF(L960="","EFEITO_PC nao calculado: PC "&amp;A960&amp;" - "&amp;C960,"OK")))))))))</f>
        <v/>
      </c>
      <c r="L960" s="92" t="str">
        <f>IF(AND(A960="",B960="",D960="",G960=""),"",IF(OR(B960="",NOT(ISNUMBER(B960)),C960="",C960="Fora dos ciclos"),"",IF(C960="C0","Nao",IF(IFERROR(INDEX(parametros!$A$2:$A$6,MATCH(C960,parametros!$B$2:$B$6,0)),"")&lt;&gt;"Sim","Nao",IF(IFERROR(INDEX(parametros!$H$2:$H$6,MATCH(C960,parametros!$B$2:$B$6,0)),"")="","",IF(B960&gt;=IFERROR(INDEX(parametros!$H$2:$H$6,MATCH(C960,parametros!$B$2:$B$6,0)),""),"Sim","Nao"))))))</f>
        <v/>
      </c>
      <c r="T960" s="156"/>
      <c r="U960" s="214" t="str">
        <f t="shared" si="76"/>
        <v/>
      </c>
      <c r="V960" s="212" t="s">
        <v>50</v>
      </c>
      <c r="W960" s="100" t="s">
        <v>168</v>
      </c>
      <c r="X960" s="100" t="s">
        <v>169</v>
      </c>
      <c r="Y960" s="101" t="s">
        <v>170</v>
      </c>
      <c r="Z960" s="101" t="s">
        <v>171</v>
      </c>
      <c r="AA960" s="101" t="s">
        <v>50</v>
      </c>
      <c r="AB960" s="101" t="s">
        <v>172</v>
      </c>
      <c r="AC960" s="102" t="s">
        <v>173</v>
      </c>
    </row>
    <row r="961" spans="1:29" ht="25.5" customHeight="1" x14ac:dyDescent="0.35">
      <c r="A961" s="392"/>
      <c r="B961" s="393"/>
      <c r="C961" s="99" t="str">
        <f>IF(B961="","",IF(NOT(ISNUMBER(B961)),"DATA_PC invalida",IF(NOT(ISNUMBER(parametros!$C$2)),"Fora dos ciclos",IF(OR(B961&lt;parametros!$C$2,(YEAR(B961)-YEAR(parametros!$C$2))*12+MONTH(B961)-MONTH(parametros!$C$2)&gt;59),"Fora dos ciclos","C"&amp;INT(((YEAR(B961)-YEAR(parametros!$C$2))*12+MONTH(B961)-MONTH(parametros!$C$2))/12)))))</f>
        <v/>
      </c>
      <c r="D961" s="394"/>
      <c r="E961" s="78" t="str">
        <f>IF(C961="","",IFERROR(VLOOKUP(C961,parametros!$A$11:$E$15,5,0),""))</f>
        <v/>
      </c>
      <c r="F961" s="79" t="str">
        <f t="shared" si="72"/>
        <v/>
      </c>
      <c r="G961" s="395"/>
      <c r="H961" s="91">
        <f t="shared" si="73"/>
        <v>0</v>
      </c>
      <c r="I961" s="91" t="str">
        <f t="shared" si="74"/>
        <v/>
      </c>
      <c r="J961" s="91" t="str">
        <f t="shared" si="75"/>
        <v/>
      </c>
      <c r="K961" s="92" t="str">
        <f>IF(AND(A961="",B961="",D961="",G961=""),"",IF(AND(A961&lt;&gt;"",COUNTIF($A$2:$A$5001,A961)&gt;1),"NUMERO_PC duplicado",IF(B961="","DATA_PC vazia",IF(NOT(ISNUMBER(B961)),"DATA_PC invalida",IF(OR(C961="",C961="Fora dos ciclos"),"CICLO_PC nao identificado",IF(OR(D961="",D961=0),"VALOR_PC vazio ou zero",IF(AND(G961&lt;&gt;"Sim",G961&lt;&gt;"Nao",G961&lt;&gt;""),"PC_PAGO_A_CONTRATADA invalido",IF(AND(C961&lt;&gt;"C0",IFERROR(INDEX(parametros!$A$2:$A$6,MATCH(C961,parametros!$B$2:$B$6,0)),"")="Sim",IFERROR(INDEX(parametros!$H$2:$H$6,MATCH(C961,parametros!$B$2:$B$6,0)),"")=""),"INICIO_EFEITO ausente: PC "&amp;A961&amp;" - "&amp;C961,IF(L961="","EFEITO_PC nao calculado: PC "&amp;A961&amp;" - "&amp;C961,"OK")))))))))</f>
        <v/>
      </c>
      <c r="L961" s="92" t="str">
        <f>IF(AND(A961="",B961="",D961="",G961=""),"",IF(OR(B961="",NOT(ISNUMBER(B961)),C961="",C961="Fora dos ciclos"),"",IF(C961="C0","Nao",IF(IFERROR(INDEX(parametros!$A$2:$A$6,MATCH(C961,parametros!$B$2:$B$6,0)),"")&lt;&gt;"Sim","Nao",IF(IFERROR(INDEX(parametros!$H$2:$H$6,MATCH(C961,parametros!$B$2:$B$6,0)),"")="","",IF(B961&gt;=IFERROR(INDEX(parametros!$H$2:$H$6,MATCH(C961,parametros!$B$2:$B$6,0)),""),"Sim","Nao"))))))</f>
        <v/>
      </c>
      <c r="T961" s="156"/>
      <c r="U961" s="214" t="str">
        <f t="shared" si="76"/>
        <v/>
      </c>
      <c r="V961" s="212" t="s">
        <v>50</v>
      </c>
      <c r="W961" s="100" t="s">
        <v>168</v>
      </c>
      <c r="X961" s="100" t="s">
        <v>169</v>
      </c>
      <c r="Y961" s="101" t="s">
        <v>170</v>
      </c>
      <c r="Z961" s="101" t="s">
        <v>171</v>
      </c>
      <c r="AA961" s="101" t="s">
        <v>50</v>
      </c>
      <c r="AB961" s="101" t="s">
        <v>172</v>
      </c>
      <c r="AC961" s="102" t="s">
        <v>173</v>
      </c>
    </row>
    <row r="962" spans="1:29" ht="25.5" customHeight="1" x14ac:dyDescent="0.35">
      <c r="A962" s="392"/>
      <c r="B962" s="393"/>
      <c r="C962" s="99" t="str">
        <f>IF(B962="","",IF(NOT(ISNUMBER(B962)),"DATA_PC invalida",IF(NOT(ISNUMBER(parametros!$C$2)),"Fora dos ciclos",IF(OR(B962&lt;parametros!$C$2,(YEAR(B962)-YEAR(parametros!$C$2))*12+MONTH(B962)-MONTH(parametros!$C$2)&gt;59),"Fora dos ciclos","C"&amp;INT(((YEAR(B962)-YEAR(parametros!$C$2))*12+MONTH(B962)-MONTH(parametros!$C$2))/12)))))</f>
        <v/>
      </c>
      <c r="D962" s="394"/>
      <c r="E962" s="78" t="str">
        <f>IF(C962="","",IFERROR(VLOOKUP(C962,parametros!$A$11:$E$15,5,0),""))</f>
        <v/>
      </c>
      <c r="F962" s="79" t="str">
        <f t="shared" ref="F962:F1025" si="77">IF(OR(D962="",E962=""),"",ROUND(D962*E962,2))</f>
        <v/>
      </c>
      <c r="G962" s="395"/>
      <c r="H962" s="91">
        <f t="shared" ref="H962:H1025" si="78">IF(G962="Sim",IF(OR(F962="",D962="",L962=""),"",IF(L962="Sim",ROUND(F962-D962,2),0)),0)</f>
        <v>0</v>
      </c>
      <c r="I962" s="91" t="str">
        <f t="shared" ref="I962:I1025" si="79">IF(G962="Sim",0,IF(OR(F962="",L962=""),"",F962))</f>
        <v/>
      </c>
      <c r="J962" s="91" t="str">
        <f t="shared" ref="J962:J1025" si="80">IF(G962="Sim",0,IF(OR(F962="",D962="",L962=""),"",IF(L962="Sim",ROUND(F962-D962,2),0)))</f>
        <v/>
      </c>
      <c r="K962" s="92" t="str">
        <f>IF(AND(A962="",B962="",D962="",G962=""),"",IF(AND(A962&lt;&gt;"",COUNTIF($A$2:$A$5001,A962)&gt;1),"NUMERO_PC duplicado",IF(B962="","DATA_PC vazia",IF(NOT(ISNUMBER(B962)),"DATA_PC invalida",IF(OR(C962="",C962="Fora dos ciclos"),"CICLO_PC nao identificado",IF(OR(D962="",D962=0),"VALOR_PC vazio ou zero",IF(AND(G962&lt;&gt;"Sim",G962&lt;&gt;"Nao",G962&lt;&gt;""),"PC_PAGO_A_CONTRATADA invalido",IF(AND(C962&lt;&gt;"C0",IFERROR(INDEX(parametros!$A$2:$A$6,MATCH(C962,parametros!$B$2:$B$6,0)),"")="Sim",IFERROR(INDEX(parametros!$H$2:$H$6,MATCH(C962,parametros!$B$2:$B$6,0)),"")=""),"INICIO_EFEITO ausente: PC "&amp;A962&amp;" - "&amp;C962,IF(L962="","EFEITO_PC nao calculado: PC "&amp;A962&amp;" - "&amp;C962,"OK")))))))))</f>
        <v/>
      </c>
      <c r="L962" s="92" t="str">
        <f>IF(AND(A962="",B962="",D962="",G962=""),"",IF(OR(B962="",NOT(ISNUMBER(B962)),C962="",C962="Fora dos ciclos"),"",IF(C962="C0","Nao",IF(IFERROR(INDEX(parametros!$A$2:$A$6,MATCH(C962,parametros!$B$2:$B$6,0)),"")&lt;&gt;"Sim","Nao",IF(IFERROR(INDEX(parametros!$H$2:$H$6,MATCH(C962,parametros!$B$2:$B$6,0)),"")="","",IF(B962&gt;=IFERROR(INDEX(parametros!$H$2:$H$6,MATCH(C962,parametros!$B$2:$B$6,0)),""),"Sim","Nao"))))))</f>
        <v/>
      </c>
      <c r="T962" s="156"/>
      <c r="U962" s="214" t="str">
        <f t="shared" ref="U962:U1025" si="81">IF(OR($D962="",$H962=""),"",ROUND($D962+$H962,2))</f>
        <v/>
      </c>
      <c r="V962" s="212" t="s">
        <v>50</v>
      </c>
      <c r="W962" s="100" t="s">
        <v>168</v>
      </c>
      <c r="X962" s="100" t="s">
        <v>169</v>
      </c>
      <c r="Y962" s="101" t="s">
        <v>170</v>
      </c>
      <c r="Z962" s="101" t="s">
        <v>171</v>
      </c>
      <c r="AA962" s="101" t="s">
        <v>50</v>
      </c>
      <c r="AB962" s="101" t="s">
        <v>172</v>
      </c>
      <c r="AC962" s="102" t="s">
        <v>173</v>
      </c>
    </row>
    <row r="963" spans="1:29" ht="25.5" customHeight="1" x14ac:dyDescent="0.35">
      <c r="A963" s="392"/>
      <c r="B963" s="393"/>
      <c r="C963" s="99" t="str">
        <f>IF(B963="","",IF(NOT(ISNUMBER(B963)),"DATA_PC invalida",IF(NOT(ISNUMBER(parametros!$C$2)),"Fora dos ciclos",IF(OR(B963&lt;parametros!$C$2,(YEAR(B963)-YEAR(parametros!$C$2))*12+MONTH(B963)-MONTH(parametros!$C$2)&gt;59),"Fora dos ciclos","C"&amp;INT(((YEAR(B963)-YEAR(parametros!$C$2))*12+MONTH(B963)-MONTH(parametros!$C$2))/12)))))</f>
        <v/>
      </c>
      <c r="D963" s="394"/>
      <c r="E963" s="78" t="str">
        <f>IF(C963="","",IFERROR(VLOOKUP(C963,parametros!$A$11:$E$15,5,0),""))</f>
        <v/>
      </c>
      <c r="F963" s="79" t="str">
        <f t="shared" si="77"/>
        <v/>
      </c>
      <c r="G963" s="395"/>
      <c r="H963" s="91">
        <f t="shared" si="78"/>
        <v>0</v>
      </c>
      <c r="I963" s="91" t="str">
        <f t="shared" si="79"/>
        <v/>
      </c>
      <c r="J963" s="91" t="str">
        <f t="shared" si="80"/>
        <v/>
      </c>
      <c r="K963" s="92" t="str">
        <f>IF(AND(A963="",B963="",D963="",G963=""),"",IF(AND(A963&lt;&gt;"",COUNTIF($A$2:$A$5001,A963)&gt;1),"NUMERO_PC duplicado",IF(B963="","DATA_PC vazia",IF(NOT(ISNUMBER(B963)),"DATA_PC invalida",IF(OR(C963="",C963="Fora dos ciclos"),"CICLO_PC nao identificado",IF(OR(D963="",D963=0),"VALOR_PC vazio ou zero",IF(AND(G963&lt;&gt;"Sim",G963&lt;&gt;"Nao",G963&lt;&gt;""),"PC_PAGO_A_CONTRATADA invalido",IF(AND(C963&lt;&gt;"C0",IFERROR(INDEX(parametros!$A$2:$A$6,MATCH(C963,parametros!$B$2:$B$6,0)),"")="Sim",IFERROR(INDEX(parametros!$H$2:$H$6,MATCH(C963,parametros!$B$2:$B$6,0)),"")=""),"INICIO_EFEITO ausente: PC "&amp;A963&amp;" - "&amp;C963,IF(L963="","EFEITO_PC nao calculado: PC "&amp;A963&amp;" - "&amp;C963,"OK")))))))))</f>
        <v/>
      </c>
      <c r="L963" s="92" t="str">
        <f>IF(AND(A963="",B963="",D963="",G963=""),"",IF(OR(B963="",NOT(ISNUMBER(B963)),C963="",C963="Fora dos ciclos"),"",IF(C963="C0","Nao",IF(IFERROR(INDEX(parametros!$A$2:$A$6,MATCH(C963,parametros!$B$2:$B$6,0)),"")&lt;&gt;"Sim","Nao",IF(IFERROR(INDEX(parametros!$H$2:$H$6,MATCH(C963,parametros!$B$2:$B$6,0)),"")="","",IF(B963&gt;=IFERROR(INDEX(parametros!$H$2:$H$6,MATCH(C963,parametros!$B$2:$B$6,0)),""),"Sim","Nao"))))))</f>
        <v/>
      </c>
      <c r="T963" s="156"/>
      <c r="U963" s="214" t="str">
        <f t="shared" si="81"/>
        <v/>
      </c>
      <c r="V963" s="212" t="s">
        <v>50</v>
      </c>
      <c r="W963" s="100" t="s">
        <v>168</v>
      </c>
      <c r="X963" s="100" t="s">
        <v>169</v>
      </c>
      <c r="Y963" s="101" t="s">
        <v>170</v>
      </c>
      <c r="Z963" s="101" t="s">
        <v>171</v>
      </c>
      <c r="AA963" s="101" t="s">
        <v>50</v>
      </c>
      <c r="AB963" s="101" t="s">
        <v>172</v>
      </c>
      <c r="AC963" s="102" t="s">
        <v>173</v>
      </c>
    </row>
    <row r="964" spans="1:29" ht="25.5" customHeight="1" x14ac:dyDescent="0.35">
      <c r="A964" s="392"/>
      <c r="B964" s="393"/>
      <c r="C964" s="99" t="str">
        <f>IF(B964="","",IF(NOT(ISNUMBER(B964)),"DATA_PC invalida",IF(NOT(ISNUMBER(parametros!$C$2)),"Fora dos ciclos",IF(OR(B964&lt;parametros!$C$2,(YEAR(B964)-YEAR(parametros!$C$2))*12+MONTH(B964)-MONTH(parametros!$C$2)&gt;59),"Fora dos ciclos","C"&amp;INT(((YEAR(B964)-YEAR(parametros!$C$2))*12+MONTH(B964)-MONTH(parametros!$C$2))/12)))))</f>
        <v/>
      </c>
      <c r="D964" s="394"/>
      <c r="E964" s="78" t="str">
        <f>IF(C964="","",IFERROR(VLOOKUP(C964,parametros!$A$11:$E$15,5,0),""))</f>
        <v/>
      </c>
      <c r="F964" s="79" t="str">
        <f t="shared" si="77"/>
        <v/>
      </c>
      <c r="G964" s="395"/>
      <c r="H964" s="91">
        <f t="shared" si="78"/>
        <v>0</v>
      </c>
      <c r="I964" s="91" t="str">
        <f t="shared" si="79"/>
        <v/>
      </c>
      <c r="J964" s="91" t="str">
        <f t="shared" si="80"/>
        <v/>
      </c>
      <c r="K964" s="92" t="str">
        <f>IF(AND(A964="",B964="",D964="",G964=""),"",IF(AND(A964&lt;&gt;"",COUNTIF($A$2:$A$5001,A964)&gt;1),"NUMERO_PC duplicado",IF(B964="","DATA_PC vazia",IF(NOT(ISNUMBER(B964)),"DATA_PC invalida",IF(OR(C964="",C964="Fora dos ciclos"),"CICLO_PC nao identificado",IF(OR(D964="",D964=0),"VALOR_PC vazio ou zero",IF(AND(G964&lt;&gt;"Sim",G964&lt;&gt;"Nao",G964&lt;&gt;""),"PC_PAGO_A_CONTRATADA invalido",IF(AND(C964&lt;&gt;"C0",IFERROR(INDEX(parametros!$A$2:$A$6,MATCH(C964,parametros!$B$2:$B$6,0)),"")="Sim",IFERROR(INDEX(parametros!$H$2:$H$6,MATCH(C964,parametros!$B$2:$B$6,0)),"")=""),"INICIO_EFEITO ausente: PC "&amp;A964&amp;" - "&amp;C964,IF(L964="","EFEITO_PC nao calculado: PC "&amp;A964&amp;" - "&amp;C964,"OK")))))))))</f>
        <v/>
      </c>
      <c r="L964" s="92" t="str">
        <f>IF(AND(A964="",B964="",D964="",G964=""),"",IF(OR(B964="",NOT(ISNUMBER(B964)),C964="",C964="Fora dos ciclos"),"",IF(C964="C0","Nao",IF(IFERROR(INDEX(parametros!$A$2:$A$6,MATCH(C964,parametros!$B$2:$B$6,0)),"")&lt;&gt;"Sim","Nao",IF(IFERROR(INDEX(parametros!$H$2:$H$6,MATCH(C964,parametros!$B$2:$B$6,0)),"")="","",IF(B964&gt;=IFERROR(INDEX(parametros!$H$2:$H$6,MATCH(C964,parametros!$B$2:$B$6,0)),""),"Sim","Nao"))))))</f>
        <v/>
      </c>
      <c r="T964" s="156"/>
      <c r="U964" s="214" t="str">
        <f t="shared" si="81"/>
        <v/>
      </c>
      <c r="V964" s="212" t="s">
        <v>50</v>
      </c>
      <c r="W964" s="100" t="s">
        <v>168</v>
      </c>
      <c r="X964" s="100" t="s">
        <v>169</v>
      </c>
      <c r="Y964" s="101" t="s">
        <v>170</v>
      </c>
      <c r="Z964" s="101" t="s">
        <v>171</v>
      </c>
      <c r="AA964" s="101" t="s">
        <v>50</v>
      </c>
      <c r="AB964" s="101" t="s">
        <v>172</v>
      </c>
      <c r="AC964" s="102" t="s">
        <v>173</v>
      </c>
    </row>
    <row r="965" spans="1:29" ht="25.5" customHeight="1" x14ac:dyDescent="0.35">
      <c r="A965" s="392"/>
      <c r="B965" s="393"/>
      <c r="C965" s="99" t="str">
        <f>IF(B965="","",IF(NOT(ISNUMBER(B965)),"DATA_PC invalida",IF(NOT(ISNUMBER(parametros!$C$2)),"Fora dos ciclos",IF(OR(B965&lt;parametros!$C$2,(YEAR(B965)-YEAR(parametros!$C$2))*12+MONTH(B965)-MONTH(parametros!$C$2)&gt;59),"Fora dos ciclos","C"&amp;INT(((YEAR(B965)-YEAR(parametros!$C$2))*12+MONTH(B965)-MONTH(parametros!$C$2))/12)))))</f>
        <v/>
      </c>
      <c r="D965" s="394"/>
      <c r="E965" s="78" t="str">
        <f>IF(C965="","",IFERROR(VLOOKUP(C965,parametros!$A$11:$E$15,5,0),""))</f>
        <v/>
      </c>
      <c r="F965" s="79" t="str">
        <f t="shared" si="77"/>
        <v/>
      </c>
      <c r="G965" s="395"/>
      <c r="H965" s="91">
        <f t="shared" si="78"/>
        <v>0</v>
      </c>
      <c r="I965" s="91" t="str">
        <f t="shared" si="79"/>
        <v/>
      </c>
      <c r="J965" s="91" t="str">
        <f t="shared" si="80"/>
        <v/>
      </c>
      <c r="K965" s="92" t="str">
        <f>IF(AND(A965="",B965="",D965="",G965=""),"",IF(AND(A965&lt;&gt;"",COUNTIF($A$2:$A$5001,A965)&gt;1),"NUMERO_PC duplicado",IF(B965="","DATA_PC vazia",IF(NOT(ISNUMBER(B965)),"DATA_PC invalida",IF(OR(C965="",C965="Fora dos ciclos"),"CICLO_PC nao identificado",IF(OR(D965="",D965=0),"VALOR_PC vazio ou zero",IF(AND(G965&lt;&gt;"Sim",G965&lt;&gt;"Nao",G965&lt;&gt;""),"PC_PAGO_A_CONTRATADA invalido",IF(AND(C965&lt;&gt;"C0",IFERROR(INDEX(parametros!$A$2:$A$6,MATCH(C965,parametros!$B$2:$B$6,0)),"")="Sim",IFERROR(INDEX(parametros!$H$2:$H$6,MATCH(C965,parametros!$B$2:$B$6,0)),"")=""),"INICIO_EFEITO ausente: PC "&amp;A965&amp;" - "&amp;C965,IF(L965="","EFEITO_PC nao calculado: PC "&amp;A965&amp;" - "&amp;C965,"OK")))))))))</f>
        <v/>
      </c>
      <c r="L965" s="92" t="str">
        <f>IF(AND(A965="",B965="",D965="",G965=""),"",IF(OR(B965="",NOT(ISNUMBER(B965)),C965="",C965="Fora dos ciclos"),"",IF(C965="C0","Nao",IF(IFERROR(INDEX(parametros!$A$2:$A$6,MATCH(C965,parametros!$B$2:$B$6,0)),"")&lt;&gt;"Sim","Nao",IF(IFERROR(INDEX(parametros!$H$2:$H$6,MATCH(C965,parametros!$B$2:$B$6,0)),"")="","",IF(B965&gt;=IFERROR(INDEX(parametros!$H$2:$H$6,MATCH(C965,parametros!$B$2:$B$6,0)),""),"Sim","Nao"))))))</f>
        <v/>
      </c>
      <c r="T965" s="156"/>
      <c r="U965" s="214" t="str">
        <f t="shared" si="81"/>
        <v/>
      </c>
      <c r="V965" s="212" t="s">
        <v>50</v>
      </c>
      <c r="W965" s="100" t="s">
        <v>168</v>
      </c>
      <c r="X965" s="100" t="s">
        <v>169</v>
      </c>
      <c r="Y965" s="101" t="s">
        <v>170</v>
      </c>
      <c r="Z965" s="101" t="s">
        <v>171</v>
      </c>
      <c r="AA965" s="101" t="s">
        <v>50</v>
      </c>
      <c r="AB965" s="101" t="s">
        <v>172</v>
      </c>
      <c r="AC965" s="102" t="s">
        <v>173</v>
      </c>
    </row>
    <row r="966" spans="1:29" ht="25.5" customHeight="1" x14ac:dyDescent="0.35">
      <c r="A966" s="392"/>
      <c r="B966" s="393"/>
      <c r="C966" s="99" t="str">
        <f>IF(B966="","",IF(NOT(ISNUMBER(B966)),"DATA_PC invalida",IF(NOT(ISNUMBER(parametros!$C$2)),"Fora dos ciclos",IF(OR(B966&lt;parametros!$C$2,(YEAR(B966)-YEAR(parametros!$C$2))*12+MONTH(B966)-MONTH(parametros!$C$2)&gt;59),"Fora dos ciclos","C"&amp;INT(((YEAR(B966)-YEAR(parametros!$C$2))*12+MONTH(B966)-MONTH(parametros!$C$2))/12)))))</f>
        <v/>
      </c>
      <c r="D966" s="394"/>
      <c r="E966" s="78" t="str">
        <f>IF(C966="","",IFERROR(VLOOKUP(C966,parametros!$A$11:$E$15,5,0),""))</f>
        <v/>
      </c>
      <c r="F966" s="79" t="str">
        <f t="shared" si="77"/>
        <v/>
      </c>
      <c r="G966" s="395"/>
      <c r="H966" s="91">
        <f t="shared" si="78"/>
        <v>0</v>
      </c>
      <c r="I966" s="91" t="str">
        <f t="shared" si="79"/>
        <v/>
      </c>
      <c r="J966" s="91" t="str">
        <f t="shared" si="80"/>
        <v/>
      </c>
      <c r="K966" s="92" t="str">
        <f>IF(AND(A966="",B966="",D966="",G966=""),"",IF(AND(A966&lt;&gt;"",COUNTIF($A$2:$A$5001,A966)&gt;1),"NUMERO_PC duplicado",IF(B966="","DATA_PC vazia",IF(NOT(ISNUMBER(B966)),"DATA_PC invalida",IF(OR(C966="",C966="Fora dos ciclos"),"CICLO_PC nao identificado",IF(OR(D966="",D966=0),"VALOR_PC vazio ou zero",IF(AND(G966&lt;&gt;"Sim",G966&lt;&gt;"Nao",G966&lt;&gt;""),"PC_PAGO_A_CONTRATADA invalido",IF(AND(C966&lt;&gt;"C0",IFERROR(INDEX(parametros!$A$2:$A$6,MATCH(C966,parametros!$B$2:$B$6,0)),"")="Sim",IFERROR(INDEX(parametros!$H$2:$H$6,MATCH(C966,parametros!$B$2:$B$6,0)),"")=""),"INICIO_EFEITO ausente: PC "&amp;A966&amp;" - "&amp;C966,IF(L966="","EFEITO_PC nao calculado: PC "&amp;A966&amp;" - "&amp;C966,"OK")))))))))</f>
        <v/>
      </c>
      <c r="L966" s="92" t="str">
        <f>IF(AND(A966="",B966="",D966="",G966=""),"",IF(OR(B966="",NOT(ISNUMBER(B966)),C966="",C966="Fora dos ciclos"),"",IF(C966="C0","Nao",IF(IFERROR(INDEX(parametros!$A$2:$A$6,MATCH(C966,parametros!$B$2:$B$6,0)),"")&lt;&gt;"Sim","Nao",IF(IFERROR(INDEX(parametros!$H$2:$H$6,MATCH(C966,parametros!$B$2:$B$6,0)),"")="","",IF(B966&gt;=IFERROR(INDEX(parametros!$H$2:$H$6,MATCH(C966,parametros!$B$2:$B$6,0)),""),"Sim","Nao"))))))</f>
        <v/>
      </c>
      <c r="T966" s="156"/>
      <c r="U966" s="214" t="str">
        <f t="shared" si="81"/>
        <v/>
      </c>
      <c r="V966" s="212" t="s">
        <v>50</v>
      </c>
      <c r="W966" s="100" t="s">
        <v>168</v>
      </c>
      <c r="X966" s="100" t="s">
        <v>169</v>
      </c>
      <c r="Y966" s="101" t="s">
        <v>170</v>
      </c>
      <c r="Z966" s="101" t="s">
        <v>171</v>
      </c>
      <c r="AA966" s="101" t="s">
        <v>50</v>
      </c>
      <c r="AB966" s="101" t="s">
        <v>172</v>
      </c>
      <c r="AC966" s="102" t="s">
        <v>173</v>
      </c>
    </row>
    <row r="967" spans="1:29" ht="25.5" customHeight="1" x14ac:dyDescent="0.35">
      <c r="A967" s="392"/>
      <c r="B967" s="393"/>
      <c r="C967" s="99" t="str">
        <f>IF(B967="","",IF(NOT(ISNUMBER(B967)),"DATA_PC invalida",IF(NOT(ISNUMBER(parametros!$C$2)),"Fora dos ciclos",IF(OR(B967&lt;parametros!$C$2,(YEAR(B967)-YEAR(parametros!$C$2))*12+MONTH(B967)-MONTH(parametros!$C$2)&gt;59),"Fora dos ciclos","C"&amp;INT(((YEAR(B967)-YEAR(parametros!$C$2))*12+MONTH(B967)-MONTH(parametros!$C$2))/12)))))</f>
        <v/>
      </c>
      <c r="D967" s="394"/>
      <c r="E967" s="78" t="str">
        <f>IF(C967="","",IFERROR(VLOOKUP(C967,parametros!$A$11:$E$15,5,0),""))</f>
        <v/>
      </c>
      <c r="F967" s="79" t="str">
        <f t="shared" si="77"/>
        <v/>
      </c>
      <c r="G967" s="395"/>
      <c r="H967" s="91">
        <f t="shared" si="78"/>
        <v>0</v>
      </c>
      <c r="I967" s="91" t="str">
        <f t="shared" si="79"/>
        <v/>
      </c>
      <c r="J967" s="91" t="str">
        <f t="shared" si="80"/>
        <v/>
      </c>
      <c r="K967" s="92" t="str">
        <f>IF(AND(A967="",B967="",D967="",G967=""),"",IF(AND(A967&lt;&gt;"",COUNTIF($A$2:$A$5001,A967)&gt;1),"NUMERO_PC duplicado",IF(B967="","DATA_PC vazia",IF(NOT(ISNUMBER(B967)),"DATA_PC invalida",IF(OR(C967="",C967="Fora dos ciclos"),"CICLO_PC nao identificado",IF(OR(D967="",D967=0),"VALOR_PC vazio ou zero",IF(AND(G967&lt;&gt;"Sim",G967&lt;&gt;"Nao",G967&lt;&gt;""),"PC_PAGO_A_CONTRATADA invalido",IF(AND(C967&lt;&gt;"C0",IFERROR(INDEX(parametros!$A$2:$A$6,MATCH(C967,parametros!$B$2:$B$6,0)),"")="Sim",IFERROR(INDEX(parametros!$H$2:$H$6,MATCH(C967,parametros!$B$2:$B$6,0)),"")=""),"INICIO_EFEITO ausente: PC "&amp;A967&amp;" - "&amp;C967,IF(L967="","EFEITO_PC nao calculado: PC "&amp;A967&amp;" - "&amp;C967,"OK")))))))))</f>
        <v/>
      </c>
      <c r="L967" s="92" t="str">
        <f>IF(AND(A967="",B967="",D967="",G967=""),"",IF(OR(B967="",NOT(ISNUMBER(B967)),C967="",C967="Fora dos ciclos"),"",IF(C967="C0","Nao",IF(IFERROR(INDEX(parametros!$A$2:$A$6,MATCH(C967,parametros!$B$2:$B$6,0)),"")&lt;&gt;"Sim","Nao",IF(IFERROR(INDEX(parametros!$H$2:$H$6,MATCH(C967,parametros!$B$2:$B$6,0)),"")="","",IF(B967&gt;=IFERROR(INDEX(parametros!$H$2:$H$6,MATCH(C967,parametros!$B$2:$B$6,0)),""),"Sim","Nao"))))))</f>
        <v/>
      </c>
      <c r="T967" s="156"/>
      <c r="U967" s="214" t="str">
        <f t="shared" si="81"/>
        <v/>
      </c>
      <c r="V967" s="212" t="s">
        <v>50</v>
      </c>
      <c r="W967" s="100" t="s">
        <v>168</v>
      </c>
      <c r="X967" s="100" t="s">
        <v>169</v>
      </c>
      <c r="Y967" s="101" t="s">
        <v>170</v>
      </c>
      <c r="Z967" s="101" t="s">
        <v>171</v>
      </c>
      <c r="AA967" s="101" t="s">
        <v>50</v>
      </c>
      <c r="AB967" s="101" t="s">
        <v>172</v>
      </c>
      <c r="AC967" s="102" t="s">
        <v>173</v>
      </c>
    </row>
    <row r="968" spans="1:29" ht="25.5" customHeight="1" x14ac:dyDescent="0.35">
      <c r="A968" s="392"/>
      <c r="B968" s="393"/>
      <c r="C968" s="99" t="str">
        <f>IF(B968="","",IF(NOT(ISNUMBER(B968)),"DATA_PC invalida",IF(NOT(ISNUMBER(parametros!$C$2)),"Fora dos ciclos",IF(OR(B968&lt;parametros!$C$2,(YEAR(B968)-YEAR(parametros!$C$2))*12+MONTH(B968)-MONTH(parametros!$C$2)&gt;59),"Fora dos ciclos","C"&amp;INT(((YEAR(B968)-YEAR(parametros!$C$2))*12+MONTH(B968)-MONTH(parametros!$C$2))/12)))))</f>
        <v/>
      </c>
      <c r="D968" s="394"/>
      <c r="E968" s="78" t="str">
        <f>IF(C968="","",IFERROR(VLOOKUP(C968,parametros!$A$11:$E$15,5,0),""))</f>
        <v/>
      </c>
      <c r="F968" s="79" t="str">
        <f t="shared" si="77"/>
        <v/>
      </c>
      <c r="G968" s="395"/>
      <c r="H968" s="91">
        <f t="shared" si="78"/>
        <v>0</v>
      </c>
      <c r="I968" s="91" t="str">
        <f t="shared" si="79"/>
        <v/>
      </c>
      <c r="J968" s="91" t="str">
        <f t="shared" si="80"/>
        <v/>
      </c>
      <c r="K968" s="92" t="str">
        <f>IF(AND(A968="",B968="",D968="",G968=""),"",IF(AND(A968&lt;&gt;"",COUNTIF($A$2:$A$5001,A968)&gt;1),"NUMERO_PC duplicado",IF(B968="","DATA_PC vazia",IF(NOT(ISNUMBER(B968)),"DATA_PC invalida",IF(OR(C968="",C968="Fora dos ciclos"),"CICLO_PC nao identificado",IF(OR(D968="",D968=0),"VALOR_PC vazio ou zero",IF(AND(G968&lt;&gt;"Sim",G968&lt;&gt;"Nao",G968&lt;&gt;""),"PC_PAGO_A_CONTRATADA invalido",IF(AND(C968&lt;&gt;"C0",IFERROR(INDEX(parametros!$A$2:$A$6,MATCH(C968,parametros!$B$2:$B$6,0)),"")="Sim",IFERROR(INDEX(parametros!$H$2:$H$6,MATCH(C968,parametros!$B$2:$B$6,0)),"")=""),"INICIO_EFEITO ausente: PC "&amp;A968&amp;" - "&amp;C968,IF(L968="","EFEITO_PC nao calculado: PC "&amp;A968&amp;" - "&amp;C968,"OK")))))))))</f>
        <v/>
      </c>
      <c r="L968" s="92" t="str">
        <f>IF(AND(A968="",B968="",D968="",G968=""),"",IF(OR(B968="",NOT(ISNUMBER(B968)),C968="",C968="Fora dos ciclos"),"",IF(C968="C0","Nao",IF(IFERROR(INDEX(parametros!$A$2:$A$6,MATCH(C968,parametros!$B$2:$B$6,0)),"")&lt;&gt;"Sim","Nao",IF(IFERROR(INDEX(parametros!$H$2:$H$6,MATCH(C968,parametros!$B$2:$B$6,0)),"")="","",IF(B968&gt;=IFERROR(INDEX(parametros!$H$2:$H$6,MATCH(C968,parametros!$B$2:$B$6,0)),""),"Sim","Nao"))))))</f>
        <v/>
      </c>
      <c r="T968" s="156"/>
      <c r="U968" s="214" t="str">
        <f t="shared" si="81"/>
        <v/>
      </c>
      <c r="V968" s="212" t="s">
        <v>50</v>
      </c>
      <c r="W968" s="100" t="s">
        <v>168</v>
      </c>
      <c r="X968" s="100" t="s">
        <v>169</v>
      </c>
      <c r="Y968" s="101" t="s">
        <v>170</v>
      </c>
      <c r="Z968" s="101" t="s">
        <v>171</v>
      </c>
      <c r="AA968" s="101" t="s">
        <v>50</v>
      </c>
      <c r="AB968" s="101" t="s">
        <v>172</v>
      </c>
      <c r="AC968" s="102" t="s">
        <v>173</v>
      </c>
    </row>
    <row r="969" spans="1:29" ht="25.5" customHeight="1" x14ac:dyDescent="0.35">
      <c r="A969" s="392"/>
      <c r="B969" s="393"/>
      <c r="C969" s="99" t="str">
        <f>IF(B969="","",IF(NOT(ISNUMBER(B969)),"DATA_PC invalida",IF(NOT(ISNUMBER(parametros!$C$2)),"Fora dos ciclos",IF(OR(B969&lt;parametros!$C$2,(YEAR(B969)-YEAR(parametros!$C$2))*12+MONTH(B969)-MONTH(parametros!$C$2)&gt;59),"Fora dos ciclos","C"&amp;INT(((YEAR(B969)-YEAR(parametros!$C$2))*12+MONTH(B969)-MONTH(parametros!$C$2))/12)))))</f>
        <v/>
      </c>
      <c r="D969" s="394"/>
      <c r="E969" s="78" t="str">
        <f>IF(C969="","",IFERROR(VLOOKUP(C969,parametros!$A$11:$E$15,5,0),""))</f>
        <v/>
      </c>
      <c r="F969" s="79" t="str">
        <f t="shared" si="77"/>
        <v/>
      </c>
      <c r="G969" s="395"/>
      <c r="H969" s="91">
        <f t="shared" si="78"/>
        <v>0</v>
      </c>
      <c r="I969" s="91" t="str">
        <f t="shared" si="79"/>
        <v/>
      </c>
      <c r="J969" s="91" t="str">
        <f t="shared" si="80"/>
        <v/>
      </c>
      <c r="K969" s="92" t="str">
        <f>IF(AND(A969="",B969="",D969="",G969=""),"",IF(AND(A969&lt;&gt;"",COUNTIF($A$2:$A$5001,A969)&gt;1),"NUMERO_PC duplicado",IF(B969="","DATA_PC vazia",IF(NOT(ISNUMBER(B969)),"DATA_PC invalida",IF(OR(C969="",C969="Fora dos ciclos"),"CICLO_PC nao identificado",IF(OR(D969="",D969=0),"VALOR_PC vazio ou zero",IF(AND(G969&lt;&gt;"Sim",G969&lt;&gt;"Nao",G969&lt;&gt;""),"PC_PAGO_A_CONTRATADA invalido",IF(AND(C969&lt;&gt;"C0",IFERROR(INDEX(parametros!$A$2:$A$6,MATCH(C969,parametros!$B$2:$B$6,0)),"")="Sim",IFERROR(INDEX(parametros!$H$2:$H$6,MATCH(C969,parametros!$B$2:$B$6,0)),"")=""),"INICIO_EFEITO ausente: PC "&amp;A969&amp;" - "&amp;C969,IF(L969="","EFEITO_PC nao calculado: PC "&amp;A969&amp;" - "&amp;C969,"OK")))))))))</f>
        <v/>
      </c>
      <c r="L969" s="92" t="str">
        <f>IF(AND(A969="",B969="",D969="",G969=""),"",IF(OR(B969="",NOT(ISNUMBER(B969)),C969="",C969="Fora dos ciclos"),"",IF(C969="C0","Nao",IF(IFERROR(INDEX(parametros!$A$2:$A$6,MATCH(C969,parametros!$B$2:$B$6,0)),"")&lt;&gt;"Sim","Nao",IF(IFERROR(INDEX(parametros!$H$2:$H$6,MATCH(C969,parametros!$B$2:$B$6,0)),"")="","",IF(B969&gt;=IFERROR(INDEX(parametros!$H$2:$H$6,MATCH(C969,parametros!$B$2:$B$6,0)),""),"Sim","Nao"))))))</f>
        <v/>
      </c>
      <c r="T969" s="156"/>
      <c r="U969" s="214" t="str">
        <f t="shared" si="81"/>
        <v/>
      </c>
      <c r="V969" s="212" t="s">
        <v>50</v>
      </c>
      <c r="W969" s="100" t="s">
        <v>168</v>
      </c>
      <c r="X969" s="100" t="s">
        <v>169</v>
      </c>
      <c r="Y969" s="101" t="s">
        <v>170</v>
      </c>
      <c r="Z969" s="101" t="s">
        <v>171</v>
      </c>
      <c r="AA969" s="101" t="s">
        <v>50</v>
      </c>
      <c r="AB969" s="101" t="s">
        <v>172</v>
      </c>
      <c r="AC969" s="102" t="s">
        <v>173</v>
      </c>
    </row>
    <row r="970" spans="1:29" ht="25.5" customHeight="1" x14ac:dyDescent="0.35">
      <c r="A970" s="392"/>
      <c r="B970" s="393"/>
      <c r="C970" s="99" t="str">
        <f>IF(B970="","",IF(NOT(ISNUMBER(B970)),"DATA_PC invalida",IF(NOT(ISNUMBER(parametros!$C$2)),"Fora dos ciclos",IF(OR(B970&lt;parametros!$C$2,(YEAR(B970)-YEAR(parametros!$C$2))*12+MONTH(B970)-MONTH(parametros!$C$2)&gt;59),"Fora dos ciclos","C"&amp;INT(((YEAR(B970)-YEAR(parametros!$C$2))*12+MONTH(B970)-MONTH(parametros!$C$2))/12)))))</f>
        <v/>
      </c>
      <c r="D970" s="394"/>
      <c r="E970" s="78" t="str">
        <f>IF(C970="","",IFERROR(VLOOKUP(C970,parametros!$A$11:$E$15,5,0),""))</f>
        <v/>
      </c>
      <c r="F970" s="79" t="str">
        <f t="shared" si="77"/>
        <v/>
      </c>
      <c r="G970" s="395"/>
      <c r="H970" s="91">
        <f t="shared" si="78"/>
        <v>0</v>
      </c>
      <c r="I970" s="91" t="str">
        <f t="shared" si="79"/>
        <v/>
      </c>
      <c r="J970" s="91" t="str">
        <f t="shared" si="80"/>
        <v/>
      </c>
      <c r="K970" s="92" t="str">
        <f>IF(AND(A970="",B970="",D970="",G970=""),"",IF(AND(A970&lt;&gt;"",COUNTIF($A$2:$A$5001,A970)&gt;1),"NUMERO_PC duplicado",IF(B970="","DATA_PC vazia",IF(NOT(ISNUMBER(B970)),"DATA_PC invalida",IF(OR(C970="",C970="Fora dos ciclos"),"CICLO_PC nao identificado",IF(OR(D970="",D970=0),"VALOR_PC vazio ou zero",IF(AND(G970&lt;&gt;"Sim",G970&lt;&gt;"Nao",G970&lt;&gt;""),"PC_PAGO_A_CONTRATADA invalido",IF(AND(C970&lt;&gt;"C0",IFERROR(INDEX(parametros!$A$2:$A$6,MATCH(C970,parametros!$B$2:$B$6,0)),"")="Sim",IFERROR(INDEX(parametros!$H$2:$H$6,MATCH(C970,parametros!$B$2:$B$6,0)),"")=""),"INICIO_EFEITO ausente: PC "&amp;A970&amp;" - "&amp;C970,IF(L970="","EFEITO_PC nao calculado: PC "&amp;A970&amp;" - "&amp;C970,"OK")))))))))</f>
        <v/>
      </c>
      <c r="L970" s="92" t="str">
        <f>IF(AND(A970="",B970="",D970="",G970=""),"",IF(OR(B970="",NOT(ISNUMBER(B970)),C970="",C970="Fora dos ciclos"),"",IF(C970="C0","Nao",IF(IFERROR(INDEX(parametros!$A$2:$A$6,MATCH(C970,parametros!$B$2:$B$6,0)),"")&lt;&gt;"Sim","Nao",IF(IFERROR(INDEX(parametros!$H$2:$H$6,MATCH(C970,parametros!$B$2:$B$6,0)),"")="","",IF(B970&gt;=IFERROR(INDEX(parametros!$H$2:$H$6,MATCH(C970,parametros!$B$2:$B$6,0)),""),"Sim","Nao"))))))</f>
        <v/>
      </c>
      <c r="T970" s="156"/>
      <c r="U970" s="214" t="str">
        <f t="shared" si="81"/>
        <v/>
      </c>
      <c r="V970" s="212" t="s">
        <v>50</v>
      </c>
      <c r="W970" s="100" t="s">
        <v>168</v>
      </c>
      <c r="X970" s="100" t="s">
        <v>169</v>
      </c>
      <c r="Y970" s="101" t="s">
        <v>170</v>
      </c>
      <c r="Z970" s="101" t="s">
        <v>171</v>
      </c>
      <c r="AA970" s="101" t="s">
        <v>50</v>
      </c>
      <c r="AB970" s="101" t="s">
        <v>172</v>
      </c>
      <c r="AC970" s="102" t="s">
        <v>173</v>
      </c>
    </row>
    <row r="971" spans="1:29" ht="25.5" customHeight="1" x14ac:dyDescent="0.35">
      <c r="A971" s="392"/>
      <c r="B971" s="393"/>
      <c r="C971" s="99" t="str">
        <f>IF(B971="","",IF(NOT(ISNUMBER(B971)),"DATA_PC invalida",IF(NOT(ISNUMBER(parametros!$C$2)),"Fora dos ciclos",IF(OR(B971&lt;parametros!$C$2,(YEAR(B971)-YEAR(parametros!$C$2))*12+MONTH(B971)-MONTH(parametros!$C$2)&gt;59),"Fora dos ciclos","C"&amp;INT(((YEAR(B971)-YEAR(parametros!$C$2))*12+MONTH(B971)-MONTH(parametros!$C$2))/12)))))</f>
        <v/>
      </c>
      <c r="D971" s="394"/>
      <c r="E971" s="78" t="str">
        <f>IF(C971="","",IFERROR(VLOOKUP(C971,parametros!$A$11:$E$15,5,0),""))</f>
        <v/>
      </c>
      <c r="F971" s="79" t="str">
        <f t="shared" si="77"/>
        <v/>
      </c>
      <c r="G971" s="395"/>
      <c r="H971" s="91">
        <f t="shared" si="78"/>
        <v>0</v>
      </c>
      <c r="I971" s="91" t="str">
        <f t="shared" si="79"/>
        <v/>
      </c>
      <c r="J971" s="91" t="str">
        <f t="shared" si="80"/>
        <v/>
      </c>
      <c r="K971" s="92" t="str">
        <f>IF(AND(A971="",B971="",D971="",G971=""),"",IF(AND(A971&lt;&gt;"",COUNTIF($A$2:$A$5001,A971)&gt;1),"NUMERO_PC duplicado",IF(B971="","DATA_PC vazia",IF(NOT(ISNUMBER(B971)),"DATA_PC invalida",IF(OR(C971="",C971="Fora dos ciclos"),"CICLO_PC nao identificado",IF(OR(D971="",D971=0),"VALOR_PC vazio ou zero",IF(AND(G971&lt;&gt;"Sim",G971&lt;&gt;"Nao",G971&lt;&gt;""),"PC_PAGO_A_CONTRATADA invalido",IF(AND(C971&lt;&gt;"C0",IFERROR(INDEX(parametros!$A$2:$A$6,MATCH(C971,parametros!$B$2:$B$6,0)),"")="Sim",IFERROR(INDEX(parametros!$H$2:$H$6,MATCH(C971,parametros!$B$2:$B$6,0)),"")=""),"INICIO_EFEITO ausente: PC "&amp;A971&amp;" - "&amp;C971,IF(L971="","EFEITO_PC nao calculado: PC "&amp;A971&amp;" - "&amp;C971,"OK")))))))))</f>
        <v/>
      </c>
      <c r="L971" s="92" t="str">
        <f>IF(AND(A971="",B971="",D971="",G971=""),"",IF(OR(B971="",NOT(ISNUMBER(B971)),C971="",C971="Fora dos ciclos"),"",IF(C971="C0","Nao",IF(IFERROR(INDEX(parametros!$A$2:$A$6,MATCH(C971,parametros!$B$2:$B$6,0)),"")&lt;&gt;"Sim","Nao",IF(IFERROR(INDEX(parametros!$H$2:$H$6,MATCH(C971,parametros!$B$2:$B$6,0)),"")="","",IF(B971&gt;=IFERROR(INDEX(parametros!$H$2:$H$6,MATCH(C971,parametros!$B$2:$B$6,0)),""),"Sim","Nao"))))))</f>
        <v/>
      </c>
      <c r="T971" s="156"/>
      <c r="U971" s="214" t="str">
        <f t="shared" si="81"/>
        <v/>
      </c>
      <c r="V971" s="212" t="s">
        <v>50</v>
      </c>
      <c r="W971" s="100" t="s">
        <v>168</v>
      </c>
      <c r="X971" s="100" t="s">
        <v>169</v>
      </c>
      <c r="Y971" s="101" t="s">
        <v>170</v>
      </c>
      <c r="Z971" s="101" t="s">
        <v>171</v>
      </c>
      <c r="AA971" s="101" t="s">
        <v>50</v>
      </c>
      <c r="AB971" s="101" t="s">
        <v>172</v>
      </c>
      <c r="AC971" s="102" t="s">
        <v>173</v>
      </c>
    </row>
    <row r="972" spans="1:29" ht="25.5" customHeight="1" x14ac:dyDescent="0.35">
      <c r="A972" s="392"/>
      <c r="B972" s="393"/>
      <c r="C972" s="99" t="str">
        <f>IF(B972="","",IF(NOT(ISNUMBER(B972)),"DATA_PC invalida",IF(NOT(ISNUMBER(parametros!$C$2)),"Fora dos ciclos",IF(OR(B972&lt;parametros!$C$2,(YEAR(B972)-YEAR(parametros!$C$2))*12+MONTH(B972)-MONTH(parametros!$C$2)&gt;59),"Fora dos ciclos","C"&amp;INT(((YEAR(B972)-YEAR(parametros!$C$2))*12+MONTH(B972)-MONTH(parametros!$C$2))/12)))))</f>
        <v/>
      </c>
      <c r="D972" s="394"/>
      <c r="E972" s="78" t="str">
        <f>IF(C972="","",IFERROR(VLOOKUP(C972,parametros!$A$11:$E$15,5,0),""))</f>
        <v/>
      </c>
      <c r="F972" s="79" t="str">
        <f t="shared" si="77"/>
        <v/>
      </c>
      <c r="G972" s="395"/>
      <c r="H972" s="91">
        <f t="shared" si="78"/>
        <v>0</v>
      </c>
      <c r="I972" s="91" t="str">
        <f t="shared" si="79"/>
        <v/>
      </c>
      <c r="J972" s="91" t="str">
        <f t="shared" si="80"/>
        <v/>
      </c>
      <c r="K972" s="92" t="str">
        <f>IF(AND(A972="",B972="",D972="",G972=""),"",IF(AND(A972&lt;&gt;"",COUNTIF($A$2:$A$5001,A972)&gt;1),"NUMERO_PC duplicado",IF(B972="","DATA_PC vazia",IF(NOT(ISNUMBER(B972)),"DATA_PC invalida",IF(OR(C972="",C972="Fora dos ciclos"),"CICLO_PC nao identificado",IF(OR(D972="",D972=0),"VALOR_PC vazio ou zero",IF(AND(G972&lt;&gt;"Sim",G972&lt;&gt;"Nao",G972&lt;&gt;""),"PC_PAGO_A_CONTRATADA invalido",IF(AND(C972&lt;&gt;"C0",IFERROR(INDEX(parametros!$A$2:$A$6,MATCH(C972,parametros!$B$2:$B$6,0)),"")="Sim",IFERROR(INDEX(parametros!$H$2:$H$6,MATCH(C972,parametros!$B$2:$B$6,0)),"")=""),"INICIO_EFEITO ausente: PC "&amp;A972&amp;" - "&amp;C972,IF(L972="","EFEITO_PC nao calculado: PC "&amp;A972&amp;" - "&amp;C972,"OK")))))))))</f>
        <v/>
      </c>
      <c r="L972" s="92" t="str">
        <f>IF(AND(A972="",B972="",D972="",G972=""),"",IF(OR(B972="",NOT(ISNUMBER(B972)),C972="",C972="Fora dos ciclos"),"",IF(C972="C0","Nao",IF(IFERROR(INDEX(parametros!$A$2:$A$6,MATCH(C972,parametros!$B$2:$B$6,0)),"")&lt;&gt;"Sim","Nao",IF(IFERROR(INDEX(parametros!$H$2:$H$6,MATCH(C972,parametros!$B$2:$B$6,0)),"")="","",IF(B972&gt;=IFERROR(INDEX(parametros!$H$2:$H$6,MATCH(C972,parametros!$B$2:$B$6,0)),""),"Sim","Nao"))))))</f>
        <v/>
      </c>
      <c r="T972" s="156"/>
      <c r="U972" s="214" t="str">
        <f t="shared" si="81"/>
        <v/>
      </c>
      <c r="V972" s="212" t="s">
        <v>50</v>
      </c>
      <c r="W972" s="100" t="s">
        <v>168</v>
      </c>
      <c r="X972" s="100" t="s">
        <v>169</v>
      </c>
      <c r="Y972" s="101" t="s">
        <v>170</v>
      </c>
      <c r="Z972" s="101" t="s">
        <v>171</v>
      </c>
      <c r="AA972" s="101" t="s">
        <v>50</v>
      </c>
      <c r="AB972" s="101" t="s">
        <v>172</v>
      </c>
      <c r="AC972" s="102" t="s">
        <v>173</v>
      </c>
    </row>
    <row r="973" spans="1:29" ht="25.5" customHeight="1" x14ac:dyDescent="0.35">
      <c r="A973" s="392"/>
      <c r="B973" s="393"/>
      <c r="C973" s="99" t="str">
        <f>IF(B973="","",IF(NOT(ISNUMBER(B973)),"DATA_PC invalida",IF(NOT(ISNUMBER(parametros!$C$2)),"Fora dos ciclos",IF(OR(B973&lt;parametros!$C$2,(YEAR(B973)-YEAR(parametros!$C$2))*12+MONTH(B973)-MONTH(parametros!$C$2)&gt;59),"Fora dos ciclos","C"&amp;INT(((YEAR(B973)-YEAR(parametros!$C$2))*12+MONTH(B973)-MONTH(parametros!$C$2))/12)))))</f>
        <v/>
      </c>
      <c r="D973" s="394"/>
      <c r="E973" s="78" t="str">
        <f>IF(C973="","",IFERROR(VLOOKUP(C973,parametros!$A$11:$E$15,5,0),""))</f>
        <v/>
      </c>
      <c r="F973" s="79" t="str">
        <f t="shared" si="77"/>
        <v/>
      </c>
      <c r="G973" s="395"/>
      <c r="H973" s="91">
        <f t="shared" si="78"/>
        <v>0</v>
      </c>
      <c r="I973" s="91" t="str">
        <f t="shared" si="79"/>
        <v/>
      </c>
      <c r="J973" s="91" t="str">
        <f t="shared" si="80"/>
        <v/>
      </c>
      <c r="K973" s="92" t="str">
        <f>IF(AND(A973="",B973="",D973="",G973=""),"",IF(AND(A973&lt;&gt;"",COUNTIF($A$2:$A$5001,A973)&gt;1),"NUMERO_PC duplicado",IF(B973="","DATA_PC vazia",IF(NOT(ISNUMBER(B973)),"DATA_PC invalida",IF(OR(C973="",C973="Fora dos ciclos"),"CICLO_PC nao identificado",IF(OR(D973="",D973=0),"VALOR_PC vazio ou zero",IF(AND(G973&lt;&gt;"Sim",G973&lt;&gt;"Nao",G973&lt;&gt;""),"PC_PAGO_A_CONTRATADA invalido",IF(AND(C973&lt;&gt;"C0",IFERROR(INDEX(parametros!$A$2:$A$6,MATCH(C973,parametros!$B$2:$B$6,0)),"")="Sim",IFERROR(INDEX(parametros!$H$2:$H$6,MATCH(C973,parametros!$B$2:$B$6,0)),"")=""),"INICIO_EFEITO ausente: PC "&amp;A973&amp;" - "&amp;C973,IF(L973="","EFEITO_PC nao calculado: PC "&amp;A973&amp;" - "&amp;C973,"OK")))))))))</f>
        <v/>
      </c>
      <c r="L973" s="92" t="str">
        <f>IF(AND(A973="",B973="",D973="",G973=""),"",IF(OR(B973="",NOT(ISNUMBER(B973)),C973="",C973="Fora dos ciclos"),"",IF(C973="C0","Nao",IF(IFERROR(INDEX(parametros!$A$2:$A$6,MATCH(C973,parametros!$B$2:$B$6,0)),"")&lt;&gt;"Sim","Nao",IF(IFERROR(INDEX(parametros!$H$2:$H$6,MATCH(C973,parametros!$B$2:$B$6,0)),"")="","",IF(B973&gt;=IFERROR(INDEX(parametros!$H$2:$H$6,MATCH(C973,parametros!$B$2:$B$6,0)),""),"Sim","Nao"))))))</f>
        <v/>
      </c>
      <c r="T973" s="156"/>
      <c r="U973" s="214" t="str">
        <f t="shared" si="81"/>
        <v/>
      </c>
      <c r="V973" s="212" t="s">
        <v>50</v>
      </c>
      <c r="W973" s="100" t="s">
        <v>168</v>
      </c>
      <c r="X973" s="100" t="s">
        <v>169</v>
      </c>
      <c r="Y973" s="101" t="s">
        <v>170</v>
      </c>
      <c r="Z973" s="101" t="s">
        <v>171</v>
      </c>
      <c r="AA973" s="101" t="s">
        <v>50</v>
      </c>
      <c r="AB973" s="101" t="s">
        <v>172</v>
      </c>
      <c r="AC973" s="102" t="s">
        <v>173</v>
      </c>
    </row>
    <row r="974" spans="1:29" ht="25.5" customHeight="1" x14ac:dyDescent="0.35">
      <c r="A974" s="392"/>
      <c r="B974" s="393"/>
      <c r="C974" s="99" t="str">
        <f>IF(B974="","",IF(NOT(ISNUMBER(B974)),"DATA_PC invalida",IF(NOT(ISNUMBER(parametros!$C$2)),"Fora dos ciclos",IF(OR(B974&lt;parametros!$C$2,(YEAR(B974)-YEAR(parametros!$C$2))*12+MONTH(B974)-MONTH(parametros!$C$2)&gt;59),"Fora dos ciclos","C"&amp;INT(((YEAR(B974)-YEAR(parametros!$C$2))*12+MONTH(B974)-MONTH(parametros!$C$2))/12)))))</f>
        <v/>
      </c>
      <c r="D974" s="394"/>
      <c r="E974" s="78" t="str">
        <f>IF(C974="","",IFERROR(VLOOKUP(C974,parametros!$A$11:$E$15,5,0),""))</f>
        <v/>
      </c>
      <c r="F974" s="79" t="str">
        <f t="shared" si="77"/>
        <v/>
      </c>
      <c r="G974" s="395"/>
      <c r="H974" s="91">
        <f t="shared" si="78"/>
        <v>0</v>
      </c>
      <c r="I974" s="91" t="str">
        <f t="shared" si="79"/>
        <v/>
      </c>
      <c r="J974" s="91" t="str">
        <f t="shared" si="80"/>
        <v/>
      </c>
      <c r="K974" s="92" t="str">
        <f>IF(AND(A974="",B974="",D974="",G974=""),"",IF(AND(A974&lt;&gt;"",COUNTIF($A$2:$A$5001,A974)&gt;1),"NUMERO_PC duplicado",IF(B974="","DATA_PC vazia",IF(NOT(ISNUMBER(B974)),"DATA_PC invalida",IF(OR(C974="",C974="Fora dos ciclos"),"CICLO_PC nao identificado",IF(OR(D974="",D974=0),"VALOR_PC vazio ou zero",IF(AND(G974&lt;&gt;"Sim",G974&lt;&gt;"Nao",G974&lt;&gt;""),"PC_PAGO_A_CONTRATADA invalido",IF(AND(C974&lt;&gt;"C0",IFERROR(INDEX(parametros!$A$2:$A$6,MATCH(C974,parametros!$B$2:$B$6,0)),"")="Sim",IFERROR(INDEX(parametros!$H$2:$H$6,MATCH(C974,parametros!$B$2:$B$6,0)),"")=""),"INICIO_EFEITO ausente: PC "&amp;A974&amp;" - "&amp;C974,IF(L974="","EFEITO_PC nao calculado: PC "&amp;A974&amp;" - "&amp;C974,"OK")))))))))</f>
        <v/>
      </c>
      <c r="L974" s="92" t="str">
        <f>IF(AND(A974="",B974="",D974="",G974=""),"",IF(OR(B974="",NOT(ISNUMBER(B974)),C974="",C974="Fora dos ciclos"),"",IF(C974="C0","Nao",IF(IFERROR(INDEX(parametros!$A$2:$A$6,MATCH(C974,parametros!$B$2:$B$6,0)),"")&lt;&gt;"Sim","Nao",IF(IFERROR(INDEX(parametros!$H$2:$H$6,MATCH(C974,parametros!$B$2:$B$6,0)),"")="","",IF(B974&gt;=IFERROR(INDEX(parametros!$H$2:$H$6,MATCH(C974,parametros!$B$2:$B$6,0)),""),"Sim","Nao"))))))</f>
        <v/>
      </c>
      <c r="T974" s="156"/>
      <c r="U974" s="214" t="str">
        <f t="shared" si="81"/>
        <v/>
      </c>
      <c r="V974" s="212" t="s">
        <v>50</v>
      </c>
      <c r="W974" s="100" t="s">
        <v>168</v>
      </c>
      <c r="X974" s="100" t="s">
        <v>169</v>
      </c>
      <c r="Y974" s="101" t="s">
        <v>170</v>
      </c>
      <c r="Z974" s="101" t="s">
        <v>171</v>
      </c>
      <c r="AA974" s="101" t="s">
        <v>50</v>
      </c>
      <c r="AB974" s="101" t="s">
        <v>172</v>
      </c>
      <c r="AC974" s="102" t="s">
        <v>173</v>
      </c>
    </row>
    <row r="975" spans="1:29" ht="25.5" customHeight="1" x14ac:dyDescent="0.35">
      <c r="A975" s="392"/>
      <c r="B975" s="393"/>
      <c r="C975" s="99" t="str">
        <f>IF(B975="","",IF(NOT(ISNUMBER(B975)),"DATA_PC invalida",IF(NOT(ISNUMBER(parametros!$C$2)),"Fora dos ciclos",IF(OR(B975&lt;parametros!$C$2,(YEAR(B975)-YEAR(parametros!$C$2))*12+MONTH(B975)-MONTH(parametros!$C$2)&gt;59),"Fora dos ciclos","C"&amp;INT(((YEAR(B975)-YEAR(parametros!$C$2))*12+MONTH(B975)-MONTH(parametros!$C$2))/12)))))</f>
        <v/>
      </c>
      <c r="D975" s="394"/>
      <c r="E975" s="78" t="str">
        <f>IF(C975="","",IFERROR(VLOOKUP(C975,parametros!$A$11:$E$15,5,0),""))</f>
        <v/>
      </c>
      <c r="F975" s="79" t="str">
        <f t="shared" si="77"/>
        <v/>
      </c>
      <c r="G975" s="395"/>
      <c r="H975" s="91">
        <f t="shared" si="78"/>
        <v>0</v>
      </c>
      <c r="I975" s="91" t="str">
        <f t="shared" si="79"/>
        <v/>
      </c>
      <c r="J975" s="91" t="str">
        <f t="shared" si="80"/>
        <v/>
      </c>
      <c r="K975" s="92" t="str">
        <f>IF(AND(A975="",B975="",D975="",G975=""),"",IF(AND(A975&lt;&gt;"",COUNTIF($A$2:$A$5001,A975)&gt;1),"NUMERO_PC duplicado",IF(B975="","DATA_PC vazia",IF(NOT(ISNUMBER(B975)),"DATA_PC invalida",IF(OR(C975="",C975="Fora dos ciclos"),"CICLO_PC nao identificado",IF(OR(D975="",D975=0),"VALOR_PC vazio ou zero",IF(AND(G975&lt;&gt;"Sim",G975&lt;&gt;"Nao",G975&lt;&gt;""),"PC_PAGO_A_CONTRATADA invalido",IF(AND(C975&lt;&gt;"C0",IFERROR(INDEX(parametros!$A$2:$A$6,MATCH(C975,parametros!$B$2:$B$6,0)),"")="Sim",IFERROR(INDEX(parametros!$H$2:$H$6,MATCH(C975,parametros!$B$2:$B$6,0)),"")=""),"INICIO_EFEITO ausente: PC "&amp;A975&amp;" - "&amp;C975,IF(L975="","EFEITO_PC nao calculado: PC "&amp;A975&amp;" - "&amp;C975,"OK")))))))))</f>
        <v/>
      </c>
      <c r="L975" s="92" t="str">
        <f>IF(AND(A975="",B975="",D975="",G975=""),"",IF(OR(B975="",NOT(ISNUMBER(B975)),C975="",C975="Fora dos ciclos"),"",IF(C975="C0","Nao",IF(IFERROR(INDEX(parametros!$A$2:$A$6,MATCH(C975,parametros!$B$2:$B$6,0)),"")&lt;&gt;"Sim","Nao",IF(IFERROR(INDEX(parametros!$H$2:$H$6,MATCH(C975,parametros!$B$2:$B$6,0)),"")="","",IF(B975&gt;=IFERROR(INDEX(parametros!$H$2:$H$6,MATCH(C975,parametros!$B$2:$B$6,0)),""),"Sim","Nao"))))))</f>
        <v/>
      </c>
      <c r="T975" s="156"/>
      <c r="U975" s="214" t="str">
        <f t="shared" si="81"/>
        <v/>
      </c>
      <c r="V975" s="212" t="s">
        <v>50</v>
      </c>
      <c r="W975" s="100" t="s">
        <v>168</v>
      </c>
      <c r="X975" s="100" t="s">
        <v>169</v>
      </c>
      <c r="Y975" s="101" t="s">
        <v>170</v>
      </c>
      <c r="Z975" s="101" t="s">
        <v>171</v>
      </c>
      <c r="AA975" s="101" t="s">
        <v>50</v>
      </c>
      <c r="AB975" s="101" t="s">
        <v>172</v>
      </c>
      <c r="AC975" s="102" t="s">
        <v>173</v>
      </c>
    </row>
    <row r="976" spans="1:29" ht="25.5" customHeight="1" x14ac:dyDescent="0.35">
      <c r="A976" s="392"/>
      <c r="B976" s="393"/>
      <c r="C976" s="99" t="str">
        <f>IF(B976="","",IF(NOT(ISNUMBER(B976)),"DATA_PC invalida",IF(NOT(ISNUMBER(parametros!$C$2)),"Fora dos ciclos",IF(OR(B976&lt;parametros!$C$2,(YEAR(B976)-YEAR(parametros!$C$2))*12+MONTH(B976)-MONTH(parametros!$C$2)&gt;59),"Fora dos ciclos","C"&amp;INT(((YEAR(B976)-YEAR(parametros!$C$2))*12+MONTH(B976)-MONTH(parametros!$C$2))/12)))))</f>
        <v/>
      </c>
      <c r="D976" s="394"/>
      <c r="E976" s="78" t="str">
        <f>IF(C976="","",IFERROR(VLOOKUP(C976,parametros!$A$11:$E$15,5,0),""))</f>
        <v/>
      </c>
      <c r="F976" s="79" t="str">
        <f t="shared" si="77"/>
        <v/>
      </c>
      <c r="G976" s="395"/>
      <c r="H976" s="91">
        <f t="shared" si="78"/>
        <v>0</v>
      </c>
      <c r="I976" s="91" t="str">
        <f t="shared" si="79"/>
        <v/>
      </c>
      <c r="J976" s="91" t="str">
        <f t="shared" si="80"/>
        <v/>
      </c>
      <c r="K976" s="92" t="str">
        <f>IF(AND(A976="",B976="",D976="",G976=""),"",IF(AND(A976&lt;&gt;"",COUNTIF($A$2:$A$5001,A976)&gt;1),"NUMERO_PC duplicado",IF(B976="","DATA_PC vazia",IF(NOT(ISNUMBER(B976)),"DATA_PC invalida",IF(OR(C976="",C976="Fora dos ciclos"),"CICLO_PC nao identificado",IF(OR(D976="",D976=0),"VALOR_PC vazio ou zero",IF(AND(G976&lt;&gt;"Sim",G976&lt;&gt;"Nao",G976&lt;&gt;""),"PC_PAGO_A_CONTRATADA invalido",IF(AND(C976&lt;&gt;"C0",IFERROR(INDEX(parametros!$A$2:$A$6,MATCH(C976,parametros!$B$2:$B$6,0)),"")="Sim",IFERROR(INDEX(parametros!$H$2:$H$6,MATCH(C976,parametros!$B$2:$B$6,0)),"")=""),"INICIO_EFEITO ausente: PC "&amp;A976&amp;" - "&amp;C976,IF(L976="","EFEITO_PC nao calculado: PC "&amp;A976&amp;" - "&amp;C976,"OK")))))))))</f>
        <v/>
      </c>
      <c r="L976" s="92" t="str">
        <f>IF(AND(A976="",B976="",D976="",G976=""),"",IF(OR(B976="",NOT(ISNUMBER(B976)),C976="",C976="Fora dos ciclos"),"",IF(C976="C0","Nao",IF(IFERROR(INDEX(parametros!$A$2:$A$6,MATCH(C976,parametros!$B$2:$B$6,0)),"")&lt;&gt;"Sim","Nao",IF(IFERROR(INDEX(parametros!$H$2:$H$6,MATCH(C976,parametros!$B$2:$B$6,0)),"")="","",IF(B976&gt;=IFERROR(INDEX(parametros!$H$2:$H$6,MATCH(C976,parametros!$B$2:$B$6,0)),""),"Sim","Nao"))))))</f>
        <v/>
      </c>
      <c r="T976" s="156"/>
      <c r="U976" s="214" t="str">
        <f t="shared" si="81"/>
        <v/>
      </c>
      <c r="V976" s="212" t="s">
        <v>50</v>
      </c>
      <c r="W976" s="100" t="s">
        <v>168</v>
      </c>
      <c r="X976" s="100" t="s">
        <v>169</v>
      </c>
      <c r="Y976" s="101" t="s">
        <v>170</v>
      </c>
      <c r="Z976" s="101" t="s">
        <v>171</v>
      </c>
      <c r="AA976" s="101" t="s">
        <v>50</v>
      </c>
      <c r="AB976" s="101" t="s">
        <v>172</v>
      </c>
      <c r="AC976" s="102" t="s">
        <v>173</v>
      </c>
    </row>
    <row r="977" spans="1:29" ht="25.5" customHeight="1" x14ac:dyDescent="0.35">
      <c r="A977" s="392"/>
      <c r="B977" s="393"/>
      <c r="C977" s="99" t="str">
        <f>IF(B977="","",IF(NOT(ISNUMBER(B977)),"DATA_PC invalida",IF(NOT(ISNUMBER(parametros!$C$2)),"Fora dos ciclos",IF(OR(B977&lt;parametros!$C$2,(YEAR(B977)-YEAR(parametros!$C$2))*12+MONTH(B977)-MONTH(parametros!$C$2)&gt;59),"Fora dos ciclos","C"&amp;INT(((YEAR(B977)-YEAR(parametros!$C$2))*12+MONTH(B977)-MONTH(parametros!$C$2))/12)))))</f>
        <v/>
      </c>
      <c r="D977" s="394"/>
      <c r="E977" s="78" t="str">
        <f>IF(C977="","",IFERROR(VLOOKUP(C977,parametros!$A$11:$E$15,5,0),""))</f>
        <v/>
      </c>
      <c r="F977" s="79" t="str">
        <f t="shared" si="77"/>
        <v/>
      </c>
      <c r="G977" s="395"/>
      <c r="H977" s="91">
        <f t="shared" si="78"/>
        <v>0</v>
      </c>
      <c r="I977" s="91" t="str">
        <f t="shared" si="79"/>
        <v/>
      </c>
      <c r="J977" s="91" t="str">
        <f t="shared" si="80"/>
        <v/>
      </c>
      <c r="K977" s="92" t="str">
        <f>IF(AND(A977="",B977="",D977="",G977=""),"",IF(AND(A977&lt;&gt;"",COUNTIF($A$2:$A$5001,A977)&gt;1),"NUMERO_PC duplicado",IF(B977="","DATA_PC vazia",IF(NOT(ISNUMBER(B977)),"DATA_PC invalida",IF(OR(C977="",C977="Fora dos ciclos"),"CICLO_PC nao identificado",IF(OR(D977="",D977=0),"VALOR_PC vazio ou zero",IF(AND(G977&lt;&gt;"Sim",G977&lt;&gt;"Nao",G977&lt;&gt;""),"PC_PAGO_A_CONTRATADA invalido",IF(AND(C977&lt;&gt;"C0",IFERROR(INDEX(parametros!$A$2:$A$6,MATCH(C977,parametros!$B$2:$B$6,0)),"")="Sim",IFERROR(INDEX(parametros!$H$2:$H$6,MATCH(C977,parametros!$B$2:$B$6,0)),"")=""),"INICIO_EFEITO ausente: PC "&amp;A977&amp;" - "&amp;C977,IF(L977="","EFEITO_PC nao calculado: PC "&amp;A977&amp;" - "&amp;C977,"OK")))))))))</f>
        <v/>
      </c>
      <c r="L977" s="92" t="str">
        <f>IF(AND(A977="",B977="",D977="",G977=""),"",IF(OR(B977="",NOT(ISNUMBER(B977)),C977="",C977="Fora dos ciclos"),"",IF(C977="C0","Nao",IF(IFERROR(INDEX(parametros!$A$2:$A$6,MATCH(C977,parametros!$B$2:$B$6,0)),"")&lt;&gt;"Sim","Nao",IF(IFERROR(INDEX(parametros!$H$2:$H$6,MATCH(C977,parametros!$B$2:$B$6,0)),"")="","",IF(B977&gt;=IFERROR(INDEX(parametros!$H$2:$H$6,MATCH(C977,parametros!$B$2:$B$6,0)),""),"Sim","Nao"))))))</f>
        <v/>
      </c>
      <c r="T977" s="156"/>
      <c r="U977" s="214" t="str">
        <f t="shared" si="81"/>
        <v/>
      </c>
      <c r="V977" s="212" t="s">
        <v>50</v>
      </c>
      <c r="W977" s="100" t="s">
        <v>168</v>
      </c>
      <c r="X977" s="100" t="s">
        <v>169</v>
      </c>
      <c r="Y977" s="101" t="s">
        <v>170</v>
      </c>
      <c r="Z977" s="101" t="s">
        <v>171</v>
      </c>
      <c r="AA977" s="101" t="s">
        <v>50</v>
      </c>
      <c r="AB977" s="101" t="s">
        <v>172</v>
      </c>
      <c r="AC977" s="102" t="s">
        <v>173</v>
      </c>
    </row>
    <row r="978" spans="1:29" ht="25.5" customHeight="1" x14ac:dyDescent="0.35">
      <c r="A978" s="392"/>
      <c r="B978" s="393"/>
      <c r="C978" s="99" t="str">
        <f>IF(B978="","",IF(NOT(ISNUMBER(B978)),"DATA_PC invalida",IF(NOT(ISNUMBER(parametros!$C$2)),"Fora dos ciclos",IF(OR(B978&lt;parametros!$C$2,(YEAR(B978)-YEAR(parametros!$C$2))*12+MONTH(B978)-MONTH(parametros!$C$2)&gt;59),"Fora dos ciclos","C"&amp;INT(((YEAR(B978)-YEAR(parametros!$C$2))*12+MONTH(B978)-MONTH(parametros!$C$2))/12)))))</f>
        <v/>
      </c>
      <c r="D978" s="394"/>
      <c r="E978" s="78" t="str">
        <f>IF(C978="","",IFERROR(VLOOKUP(C978,parametros!$A$11:$E$15,5,0),""))</f>
        <v/>
      </c>
      <c r="F978" s="79" t="str">
        <f t="shared" si="77"/>
        <v/>
      </c>
      <c r="G978" s="395"/>
      <c r="H978" s="91">
        <f t="shared" si="78"/>
        <v>0</v>
      </c>
      <c r="I978" s="91" t="str">
        <f t="shared" si="79"/>
        <v/>
      </c>
      <c r="J978" s="91" t="str">
        <f t="shared" si="80"/>
        <v/>
      </c>
      <c r="K978" s="92" t="str">
        <f>IF(AND(A978="",B978="",D978="",G978=""),"",IF(AND(A978&lt;&gt;"",COUNTIF($A$2:$A$5001,A978)&gt;1),"NUMERO_PC duplicado",IF(B978="","DATA_PC vazia",IF(NOT(ISNUMBER(B978)),"DATA_PC invalida",IF(OR(C978="",C978="Fora dos ciclos"),"CICLO_PC nao identificado",IF(OR(D978="",D978=0),"VALOR_PC vazio ou zero",IF(AND(G978&lt;&gt;"Sim",G978&lt;&gt;"Nao",G978&lt;&gt;""),"PC_PAGO_A_CONTRATADA invalido",IF(AND(C978&lt;&gt;"C0",IFERROR(INDEX(parametros!$A$2:$A$6,MATCH(C978,parametros!$B$2:$B$6,0)),"")="Sim",IFERROR(INDEX(parametros!$H$2:$H$6,MATCH(C978,parametros!$B$2:$B$6,0)),"")=""),"INICIO_EFEITO ausente: PC "&amp;A978&amp;" - "&amp;C978,IF(L978="","EFEITO_PC nao calculado: PC "&amp;A978&amp;" - "&amp;C978,"OK")))))))))</f>
        <v/>
      </c>
      <c r="L978" s="92" t="str">
        <f>IF(AND(A978="",B978="",D978="",G978=""),"",IF(OR(B978="",NOT(ISNUMBER(B978)),C978="",C978="Fora dos ciclos"),"",IF(C978="C0","Nao",IF(IFERROR(INDEX(parametros!$A$2:$A$6,MATCH(C978,parametros!$B$2:$B$6,0)),"")&lt;&gt;"Sim","Nao",IF(IFERROR(INDEX(parametros!$H$2:$H$6,MATCH(C978,parametros!$B$2:$B$6,0)),"")="","",IF(B978&gt;=IFERROR(INDEX(parametros!$H$2:$H$6,MATCH(C978,parametros!$B$2:$B$6,0)),""),"Sim","Nao"))))))</f>
        <v/>
      </c>
      <c r="T978" s="156"/>
      <c r="U978" s="214" t="str">
        <f t="shared" si="81"/>
        <v/>
      </c>
      <c r="V978" s="212" t="s">
        <v>50</v>
      </c>
      <c r="W978" s="100" t="s">
        <v>168</v>
      </c>
      <c r="X978" s="100" t="s">
        <v>169</v>
      </c>
      <c r="Y978" s="101" t="s">
        <v>170</v>
      </c>
      <c r="Z978" s="101" t="s">
        <v>171</v>
      </c>
      <c r="AA978" s="101" t="s">
        <v>50</v>
      </c>
      <c r="AB978" s="101" t="s">
        <v>172</v>
      </c>
      <c r="AC978" s="102" t="s">
        <v>173</v>
      </c>
    </row>
    <row r="979" spans="1:29" ht="25.5" customHeight="1" x14ac:dyDescent="0.35">
      <c r="A979" s="392"/>
      <c r="B979" s="393"/>
      <c r="C979" s="99" t="str">
        <f>IF(B979="","",IF(NOT(ISNUMBER(B979)),"DATA_PC invalida",IF(NOT(ISNUMBER(parametros!$C$2)),"Fora dos ciclos",IF(OR(B979&lt;parametros!$C$2,(YEAR(B979)-YEAR(parametros!$C$2))*12+MONTH(B979)-MONTH(parametros!$C$2)&gt;59),"Fora dos ciclos","C"&amp;INT(((YEAR(B979)-YEAR(parametros!$C$2))*12+MONTH(B979)-MONTH(parametros!$C$2))/12)))))</f>
        <v/>
      </c>
      <c r="D979" s="394"/>
      <c r="E979" s="78" t="str">
        <f>IF(C979="","",IFERROR(VLOOKUP(C979,parametros!$A$11:$E$15,5,0),""))</f>
        <v/>
      </c>
      <c r="F979" s="79" t="str">
        <f t="shared" si="77"/>
        <v/>
      </c>
      <c r="G979" s="395"/>
      <c r="H979" s="91">
        <f t="shared" si="78"/>
        <v>0</v>
      </c>
      <c r="I979" s="91" t="str">
        <f t="shared" si="79"/>
        <v/>
      </c>
      <c r="J979" s="91" t="str">
        <f t="shared" si="80"/>
        <v/>
      </c>
      <c r="K979" s="92" t="str">
        <f>IF(AND(A979="",B979="",D979="",G979=""),"",IF(AND(A979&lt;&gt;"",COUNTIF($A$2:$A$5001,A979)&gt;1),"NUMERO_PC duplicado",IF(B979="","DATA_PC vazia",IF(NOT(ISNUMBER(B979)),"DATA_PC invalida",IF(OR(C979="",C979="Fora dos ciclos"),"CICLO_PC nao identificado",IF(OR(D979="",D979=0),"VALOR_PC vazio ou zero",IF(AND(G979&lt;&gt;"Sim",G979&lt;&gt;"Nao",G979&lt;&gt;""),"PC_PAGO_A_CONTRATADA invalido",IF(AND(C979&lt;&gt;"C0",IFERROR(INDEX(parametros!$A$2:$A$6,MATCH(C979,parametros!$B$2:$B$6,0)),"")="Sim",IFERROR(INDEX(parametros!$H$2:$H$6,MATCH(C979,parametros!$B$2:$B$6,0)),"")=""),"INICIO_EFEITO ausente: PC "&amp;A979&amp;" - "&amp;C979,IF(L979="","EFEITO_PC nao calculado: PC "&amp;A979&amp;" - "&amp;C979,"OK")))))))))</f>
        <v/>
      </c>
      <c r="L979" s="92" t="str">
        <f>IF(AND(A979="",B979="",D979="",G979=""),"",IF(OR(B979="",NOT(ISNUMBER(B979)),C979="",C979="Fora dos ciclos"),"",IF(C979="C0","Nao",IF(IFERROR(INDEX(parametros!$A$2:$A$6,MATCH(C979,parametros!$B$2:$B$6,0)),"")&lt;&gt;"Sim","Nao",IF(IFERROR(INDEX(parametros!$H$2:$H$6,MATCH(C979,parametros!$B$2:$B$6,0)),"")="","",IF(B979&gt;=IFERROR(INDEX(parametros!$H$2:$H$6,MATCH(C979,parametros!$B$2:$B$6,0)),""),"Sim","Nao"))))))</f>
        <v/>
      </c>
      <c r="T979" s="156"/>
      <c r="U979" s="214" t="str">
        <f t="shared" si="81"/>
        <v/>
      </c>
      <c r="V979" s="212" t="s">
        <v>50</v>
      </c>
      <c r="W979" s="100" t="s">
        <v>168</v>
      </c>
      <c r="X979" s="100" t="s">
        <v>169</v>
      </c>
      <c r="Y979" s="101" t="s">
        <v>170</v>
      </c>
      <c r="Z979" s="101" t="s">
        <v>171</v>
      </c>
      <c r="AA979" s="101" t="s">
        <v>50</v>
      </c>
      <c r="AB979" s="101" t="s">
        <v>172</v>
      </c>
      <c r="AC979" s="102" t="s">
        <v>173</v>
      </c>
    </row>
    <row r="980" spans="1:29" ht="25.5" customHeight="1" x14ac:dyDescent="0.35">
      <c r="A980" s="392"/>
      <c r="B980" s="393"/>
      <c r="C980" s="99" t="str">
        <f>IF(B980="","",IF(NOT(ISNUMBER(B980)),"DATA_PC invalida",IF(NOT(ISNUMBER(parametros!$C$2)),"Fora dos ciclos",IF(OR(B980&lt;parametros!$C$2,(YEAR(B980)-YEAR(parametros!$C$2))*12+MONTH(B980)-MONTH(parametros!$C$2)&gt;59),"Fora dos ciclos","C"&amp;INT(((YEAR(B980)-YEAR(parametros!$C$2))*12+MONTH(B980)-MONTH(parametros!$C$2))/12)))))</f>
        <v/>
      </c>
      <c r="D980" s="394"/>
      <c r="E980" s="78" t="str">
        <f>IF(C980="","",IFERROR(VLOOKUP(C980,parametros!$A$11:$E$15,5,0),""))</f>
        <v/>
      </c>
      <c r="F980" s="79" t="str">
        <f t="shared" si="77"/>
        <v/>
      </c>
      <c r="G980" s="395"/>
      <c r="H980" s="91">
        <f t="shared" si="78"/>
        <v>0</v>
      </c>
      <c r="I980" s="91" t="str">
        <f t="shared" si="79"/>
        <v/>
      </c>
      <c r="J980" s="91" t="str">
        <f t="shared" si="80"/>
        <v/>
      </c>
      <c r="K980" s="92" t="str">
        <f>IF(AND(A980="",B980="",D980="",G980=""),"",IF(AND(A980&lt;&gt;"",COUNTIF($A$2:$A$5001,A980)&gt;1),"NUMERO_PC duplicado",IF(B980="","DATA_PC vazia",IF(NOT(ISNUMBER(B980)),"DATA_PC invalida",IF(OR(C980="",C980="Fora dos ciclos"),"CICLO_PC nao identificado",IF(OR(D980="",D980=0),"VALOR_PC vazio ou zero",IF(AND(G980&lt;&gt;"Sim",G980&lt;&gt;"Nao",G980&lt;&gt;""),"PC_PAGO_A_CONTRATADA invalido",IF(AND(C980&lt;&gt;"C0",IFERROR(INDEX(parametros!$A$2:$A$6,MATCH(C980,parametros!$B$2:$B$6,0)),"")="Sim",IFERROR(INDEX(parametros!$H$2:$H$6,MATCH(C980,parametros!$B$2:$B$6,0)),"")=""),"INICIO_EFEITO ausente: PC "&amp;A980&amp;" - "&amp;C980,IF(L980="","EFEITO_PC nao calculado: PC "&amp;A980&amp;" - "&amp;C980,"OK")))))))))</f>
        <v/>
      </c>
      <c r="L980" s="92" t="str">
        <f>IF(AND(A980="",B980="",D980="",G980=""),"",IF(OR(B980="",NOT(ISNUMBER(B980)),C980="",C980="Fora dos ciclos"),"",IF(C980="C0","Nao",IF(IFERROR(INDEX(parametros!$A$2:$A$6,MATCH(C980,parametros!$B$2:$B$6,0)),"")&lt;&gt;"Sim","Nao",IF(IFERROR(INDEX(parametros!$H$2:$H$6,MATCH(C980,parametros!$B$2:$B$6,0)),"")="","",IF(B980&gt;=IFERROR(INDEX(parametros!$H$2:$H$6,MATCH(C980,parametros!$B$2:$B$6,0)),""),"Sim","Nao"))))))</f>
        <v/>
      </c>
      <c r="T980" s="156"/>
      <c r="U980" s="214" t="str">
        <f t="shared" si="81"/>
        <v/>
      </c>
      <c r="V980" s="212" t="s">
        <v>50</v>
      </c>
      <c r="W980" s="100" t="s">
        <v>168</v>
      </c>
      <c r="X980" s="100" t="s">
        <v>169</v>
      </c>
      <c r="Y980" s="101" t="s">
        <v>170</v>
      </c>
      <c r="Z980" s="101" t="s">
        <v>171</v>
      </c>
      <c r="AA980" s="101" t="s">
        <v>50</v>
      </c>
      <c r="AB980" s="101" t="s">
        <v>172</v>
      </c>
      <c r="AC980" s="102" t="s">
        <v>173</v>
      </c>
    </row>
    <row r="981" spans="1:29" ht="25.5" customHeight="1" x14ac:dyDescent="0.35">
      <c r="A981" s="392"/>
      <c r="B981" s="393"/>
      <c r="C981" s="99" t="str">
        <f>IF(B981="","",IF(NOT(ISNUMBER(B981)),"DATA_PC invalida",IF(NOT(ISNUMBER(parametros!$C$2)),"Fora dos ciclos",IF(OR(B981&lt;parametros!$C$2,(YEAR(B981)-YEAR(parametros!$C$2))*12+MONTH(B981)-MONTH(parametros!$C$2)&gt;59),"Fora dos ciclos","C"&amp;INT(((YEAR(B981)-YEAR(parametros!$C$2))*12+MONTH(B981)-MONTH(parametros!$C$2))/12)))))</f>
        <v/>
      </c>
      <c r="D981" s="394"/>
      <c r="E981" s="78" t="str">
        <f>IF(C981="","",IFERROR(VLOOKUP(C981,parametros!$A$11:$E$15,5,0),""))</f>
        <v/>
      </c>
      <c r="F981" s="79" t="str">
        <f t="shared" si="77"/>
        <v/>
      </c>
      <c r="G981" s="395"/>
      <c r="H981" s="91">
        <f t="shared" si="78"/>
        <v>0</v>
      </c>
      <c r="I981" s="91" t="str">
        <f t="shared" si="79"/>
        <v/>
      </c>
      <c r="J981" s="91" t="str">
        <f t="shared" si="80"/>
        <v/>
      </c>
      <c r="K981" s="92" t="str">
        <f>IF(AND(A981="",B981="",D981="",G981=""),"",IF(AND(A981&lt;&gt;"",COUNTIF($A$2:$A$5001,A981)&gt;1),"NUMERO_PC duplicado",IF(B981="","DATA_PC vazia",IF(NOT(ISNUMBER(B981)),"DATA_PC invalida",IF(OR(C981="",C981="Fora dos ciclos"),"CICLO_PC nao identificado",IF(OR(D981="",D981=0),"VALOR_PC vazio ou zero",IF(AND(G981&lt;&gt;"Sim",G981&lt;&gt;"Nao",G981&lt;&gt;""),"PC_PAGO_A_CONTRATADA invalido",IF(AND(C981&lt;&gt;"C0",IFERROR(INDEX(parametros!$A$2:$A$6,MATCH(C981,parametros!$B$2:$B$6,0)),"")="Sim",IFERROR(INDEX(parametros!$H$2:$H$6,MATCH(C981,parametros!$B$2:$B$6,0)),"")=""),"INICIO_EFEITO ausente: PC "&amp;A981&amp;" - "&amp;C981,IF(L981="","EFEITO_PC nao calculado: PC "&amp;A981&amp;" - "&amp;C981,"OK")))))))))</f>
        <v/>
      </c>
      <c r="L981" s="92" t="str">
        <f>IF(AND(A981="",B981="",D981="",G981=""),"",IF(OR(B981="",NOT(ISNUMBER(B981)),C981="",C981="Fora dos ciclos"),"",IF(C981="C0","Nao",IF(IFERROR(INDEX(parametros!$A$2:$A$6,MATCH(C981,parametros!$B$2:$B$6,0)),"")&lt;&gt;"Sim","Nao",IF(IFERROR(INDEX(parametros!$H$2:$H$6,MATCH(C981,parametros!$B$2:$B$6,0)),"")="","",IF(B981&gt;=IFERROR(INDEX(parametros!$H$2:$H$6,MATCH(C981,parametros!$B$2:$B$6,0)),""),"Sim","Nao"))))))</f>
        <v/>
      </c>
      <c r="T981" s="156"/>
      <c r="U981" s="214" t="str">
        <f t="shared" si="81"/>
        <v/>
      </c>
      <c r="V981" s="212" t="s">
        <v>50</v>
      </c>
      <c r="W981" s="100" t="s">
        <v>168</v>
      </c>
      <c r="X981" s="100" t="s">
        <v>169</v>
      </c>
      <c r="Y981" s="101" t="s">
        <v>170</v>
      </c>
      <c r="Z981" s="101" t="s">
        <v>171</v>
      </c>
      <c r="AA981" s="101" t="s">
        <v>50</v>
      </c>
      <c r="AB981" s="101" t="s">
        <v>172</v>
      </c>
      <c r="AC981" s="102" t="s">
        <v>173</v>
      </c>
    </row>
    <row r="982" spans="1:29" ht="25.5" customHeight="1" x14ac:dyDescent="0.35">
      <c r="A982" s="392"/>
      <c r="B982" s="393"/>
      <c r="C982" s="99" t="str">
        <f>IF(B982="","",IF(NOT(ISNUMBER(B982)),"DATA_PC invalida",IF(NOT(ISNUMBER(parametros!$C$2)),"Fora dos ciclos",IF(OR(B982&lt;parametros!$C$2,(YEAR(B982)-YEAR(parametros!$C$2))*12+MONTH(B982)-MONTH(parametros!$C$2)&gt;59),"Fora dos ciclos","C"&amp;INT(((YEAR(B982)-YEAR(parametros!$C$2))*12+MONTH(B982)-MONTH(parametros!$C$2))/12)))))</f>
        <v/>
      </c>
      <c r="D982" s="394"/>
      <c r="E982" s="78" t="str">
        <f>IF(C982="","",IFERROR(VLOOKUP(C982,parametros!$A$11:$E$15,5,0),""))</f>
        <v/>
      </c>
      <c r="F982" s="79" t="str">
        <f t="shared" si="77"/>
        <v/>
      </c>
      <c r="G982" s="395"/>
      <c r="H982" s="91">
        <f t="shared" si="78"/>
        <v>0</v>
      </c>
      <c r="I982" s="91" t="str">
        <f t="shared" si="79"/>
        <v/>
      </c>
      <c r="J982" s="91" t="str">
        <f t="shared" si="80"/>
        <v/>
      </c>
      <c r="K982" s="92" t="str">
        <f>IF(AND(A982="",B982="",D982="",G982=""),"",IF(AND(A982&lt;&gt;"",COUNTIF($A$2:$A$5001,A982)&gt;1),"NUMERO_PC duplicado",IF(B982="","DATA_PC vazia",IF(NOT(ISNUMBER(B982)),"DATA_PC invalida",IF(OR(C982="",C982="Fora dos ciclos"),"CICLO_PC nao identificado",IF(OR(D982="",D982=0),"VALOR_PC vazio ou zero",IF(AND(G982&lt;&gt;"Sim",G982&lt;&gt;"Nao",G982&lt;&gt;""),"PC_PAGO_A_CONTRATADA invalido",IF(AND(C982&lt;&gt;"C0",IFERROR(INDEX(parametros!$A$2:$A$6,MATCH(C982,parametros!$B$2:$B$6,0)),"")="Sim",IFERROR(INDEX(parametros!$H$2:$H$6,MATCH(C982,parametros!$B$2:$B$6,0)),"")=""),"INICIO_EFEITO ausente: PC "&amp;A982&amp;" - "&amp;C982,IF(L982="","EFEITO_PC nao calculado: PC "&amp;A982&amp;" - "&amp;C982,"OK")))))))))</f>
        <v/>
      </c>
      <c r="L982" s="92" t="str">
        <f>IF(AND(A982="",B982="",D982="",G982=""),"",IF(OR(B982="",NOT(ISNUMBER(B982)),C982="",C982="Fora dos ciclos"),"",IF(C982="C0","Nao",IF(IFERROR(INDEX(parametros!$A$2:$A$6,MATCH(C982,parametros!$B$2:$B$6,0)),"")&lt;&gt;"Sim","Nao",IF(IFERROR(INDEX(parametros!$H$2:$H$6,MATCH(C982,parametros!$B$2:$B$6,0)),"")="","",IF(B982&gt;=IFERROR(INDEX(parametros!$H$2:$H$6,MATCH(C982,parametros!$B$2:$B$6,0)),""),"Sim","Nao"))))))</f>
        <v/>
      </c>
      <c r="T982" s="156"/>
      <c r="U982" s="214" t="str">
        <f t="shared" si="81"/>
        <v/>
      </c>
      <c r="V982" s="212" t="s">
        <v>50</v>
      </c>
      <c r="W982" s="100" t="s">
        <v>168</v>
      </c>
      <c r="X982" s="100" t="s">
        <v>169</v>
      </c>
      <c r="Y982" s="101" t="s">
        <v>170</v>
      </c>
      <c r="Z982" s="101" t="s">
        <v>171</v>
      </c>
      <c r="AA982" s="101" t="s">
        <v>50</v>
      </c>
      <c r="AB982" s="101" t="s">
        <v>172</v>
      </c>
      <c r="AC982" s="102" t="s">
        <v>173</v>
      </c>
    </row>
    <row r="983" spans="1:29" ht="25.5" customHeight="1" x14ac:dyDescent="0.35">
      <c r="A983" s="392"/>
      <c r="B983" s="393"/>
      <c r="C983" s="99" t="str">
        <f>IF(B983="","",IF(NOT(ISNUMBER(B983)),"DATA_PC invalida",IF(NOT(ISNUMBER(parametros!$C$2)),"Fora dos ciclos",IF(OR(B983&lt;parametros!$C$2,(YEAR(B983)-YEAR(parametros!$C$2))*12+MONTH(B983)-MONTH(parametros!$C$2)&gt;59),"Fora dos ciclos","C"&amp;INT(((YEAR(B983)-YEAR(parametros!$C$2))*12+MONTH(B983)-MONTH(parametros!$C$2))/12)))))</f>
        <v/>
      </c>
      <c r="D983" s="394"/>
      <c r="E983" s="78" t="str">
        <f>IF(C983="","",IFERROR(VLOOKUP(C983,parametros!$A$11:$E$15,5,0),""))</f>
        <v/>
      </c>
      <c r="F983" s="79" t="str">
        <f t="shared" si="77"/>
        <v/>
      </c>
      <c r="G983" s="395"/>
      <c r="H983" s="91">
        <f t="shared" si="78"/>
        <v>0</v>
      </c>
      <c r="I983" s="91" t="str">
        <f t="shared" si="79"/>
        <v/>
      </c>
      <c r="J983" s="91" t="str">
        <f t="shared" si="80"/>
        <v/>
      </c>
      <c r="K983" s="92" t="str">
        <f>IF(AND(A983="",B983="",D983="",G983=""),"",IF(AND(A983&lt;&gt;"",COUNTIF($A$2:$A$5001,A983)&gt;1),"NUMERO_PC duplicado",IF(B983="","DATA_PC vazia",IF(NOT(ISNUMBER(B983)),"DATA_PC invalida",IF(OR(C983="",C983="Fora dos ciclos"),"CICLO_PC nao identificado",IF(OR(D983="",D983=0),"VALOR_PC vazio ou zero",IF(AND(G983&lt;&gt;"Sim",G983&lt;&gt;"Nao",G983&lt;&gt;""),"PC_PAGO_A_CONTRATADA invalido",IF(AND(C983&lt;&gt;"C0",IFERROR(INDEX(parametros!$A$2:$A$6,MATCH(C983,parametros!$B$2:$B$6,0)),"")="Sim",IFERROR(INDEX(parametros!$H$2:$H$6,MATCH(C983,parametros!$B$2:$B$6,0)),"")=""),"INICIO_EFEITO ausente: PC "&amp;A983&amp;" - "&amp;C983,IF(L983="","EFEITO_PC nao calculado: PC "&amp;A983&amp;" - "&amp;C983,"OK")))))))))</f>
        <v/>
      </c>
      <c r="L983" s="92" t="str">
        <f>IF(AND(A983="",B983="",D983="",G983=""),"",IF(OR(B983="",NOT(ISNUMBER(B983)),C983="",C983="Fora dos ciclos"),"",IF(C983="C0","Nao",IF(IFERROR(INDEX(parametros!$A$2:$A$6,MATCH(C983,parametros!$B$2:$B$6,0)),"")&lt;&gt;"Sim","Nao",IF(IFERROR(INDEX(parametros!$H$2:$H$6,MATCH(C983,parametros!$B$2:$B$6,0)),"")="","",IF(B983&gt;=IFERROR(INDEX(parametros!$H$2:$H$6,MATCH(C983,parametros!$B$2:$B$6,0)),""),"Sim","Nao"))))))</f>
        <v/>
      </c>
      <c r="T983" s="156"/>
      <c r="U983" s="214" t="str">
        <f t="shared" si="81"/>
        <v/>
      </c>
      <c r="V983" s="212" t="s">
        <v>50</v>
      </c>
      <c r="W983" s="100" t="s">
        <v>168</v>
      </c>
      <c r="X983" s="100" t="s">
        <v>169</v>
      </c>
      <c r="Y983" s="101" t="s">
        <v>170</v>
      </c>
      <c r="Z983" s="101" t="s">
        <v>171</v>
      </c>
      <c r="AA983" s="101" t="s">
        <v>50</v>
      </c>
      <c r="AB983" s="101" t="s">
        <v>172</v>
      </c>
      <c r="AC983" s="102" t="s">
        <v>173</v>
      </c>
    </row>
    <row r="984" spans="1:29" ht="25.5" customHeight="1" x14ac:dyDescent="0.35">
      <c r="A984" s="392"/>
      <c r="B984" s="393"/>
      <c r="C984" s="99" t="str">
        <f>IF(B984="","",IF(NOT(ISNUMBER(B984)),"DATA_PC invalida",IF(NOT(ISNUMBER(parametros!$C$2)),"Fora dos ciclos",IF(OR(B984&lt;parametros!$C$2,(YEAR(B984)-YEAR(parametros!$C$2))*12+MONTH(B984)-MONTH(parametros!$C$2)&gt;59),"Fora dos ciclos","C"&amp;INT(((YEAR(B984)-YEAR(parametros!$C$2))*12+MONTH(B984)-MONTH(parametros!$C$2))/12)))))</f>
        <v/>
      </c>
      <c r="D984" s="394"/>
      <c r="E984" s="78" t="str">
        <f>IF(C984="","",IFERROR(VLOOKUP(C984,parametros!$A$11:$E$15,5,0),""))</f>
        <v/>
      </c>
      <c r="F984" s="79" t="str">
        <f t="shared" si="77"/>
        <v/>
      </c>
      <c r="G984" s="395"/>
      <c r="H984" s="91">
        <f t="shared" si="78"/>
        <v>0</v>
      </c>
      <c r="I984" s="91" t="str">
        <f t="shared" si="79"/>
        <v/>
      </c>
      <c r="J984" s="91" t="str">
        <f t="shared" si="80"/>
        <v/>
      </c>
      <c r="K984" s="92" t="str">
        <f>IF(AND(A984="",B984="",D984="",G984=""),"",IF(AND(A984&lt;&gt;"",COUNTIF($A$2:$A$5001,A984)&gt;1),"NUMERO_PC duplicado",IF(B984="","DATA_PC vazia",IF(NOT(ISNUMBER(B984)),"DATA_PC invalida",IF(OR(C984="",C984="Fora dos ciclos"),"CICLO_PC nao identificado",IF(OR(D984="",D984=0),"VALOR_PC vazio ou zero",IF(AND(G984&lt;&gt;"Sim",G984&lt;&gt;"Nao",G984&lt;&gt;""),"PC_PAGO_A_CONTRATADA invalido",IF(AND(C984&lt;&gt;"C0",IFERROR(INDEX(parametros!$A$2:$A$6,MATCH(C984,parametros!$B$2:$B$6,0)),"")="Sim",IFERROR(INDEX(parametros!$H$2:$H$6,MATCH(C984,parametros!$B$2:$B$6,0)),"")=""),"INICIO_EFEITO ausente: PC "&amp;A984&amp;" - "&amp;C984,IF(L984="","EFEITO_PC nao calculado: PC "&amp;A984&amp;" - "&amp;C984,"OK")))))))))</f>
        <v/>
      </c>
      <c r="L984" s="92" t="str">
        <f>IF(AND(A984="",B984="",D984="",G984=""),"",IF(OR(B984="",NOT(ISNUMBER(B984)),C984="",C984="Fora dos ciclos"),"",IF(C984="C0","Nao",IF(IFERROR(INDEX(parametros!$A$2:$A$6,MATCH(C984,parametros!$B$2:$B$6,0)),"")&lt;&gt;"Sim","Nao",IF(IFERROR(INDEX(parametros!$H$2:$H$6,MATCH(C984,parametros!$B$2:$B$6,0)),"")="","",IF(B984&gt;=IFERROR(INDEX(parametros!$H$2:$H$6,MATCH(C984,parametros!$B$2:$B$6,0)),""),"Sim","Nao"))))))</f>
        <v/>
      </c>
      <c r="T984" s="156"/>
      <c r="U984" s="214" t="str">
        <f t="shared" si="81"/>
        <v/>
      </c>
      <c r="V984" s="212" t="s">
        <v>50</v>
      </c>
      <c r="W984" s="100" t="s">
        <v>168</v>
      </c>
      <c r="X984" s="100" t="s">
        <v>169</v>
      </c>
      <c r="Y984" s="101" t="s">
        <v>170</v>
      </c>
      <c r="Z984" s="101" t="s">
        <v>171</v>
      </c>
      <c r="AA984" s="101" t="s">
        <v>50</v>
      </c>
      <c r="AB984" s="101" t="s">
        <v>172</v>
      </c>
      <c r="AC984" s="102" t="s">
        <v>173</v>
      </c>
    </row>
    <row r="985" spans="1:29" ht="25.5" customHeight="1" x14ac:dyDescent="0.35">
      <c r="A985" s="392"/>
      <c r="B985" s="393"/>
      <c r="C985" s="99" t="str">
        <f>IF(B985="","",IF(NOT(ISNUMBER(B985)),"DATA_PC invalida",IF(NOT(ISNUMBER(parametros!$C$2)),"Fora dos ciclos",IF(OR(B985&lt;parametros!$C$2,(YEAR(B985)-YEAR(parametros!$C$2))*12+MONTH(B985)-MONTH(parametros!$C$2)&gt;59),"Fora dos ciclos","C"&amp;INT(((YEAR(B985)-YEAR(parametros!$C$2))*12+MONTH(B985)-MONTH(parametros!$C$2))/12)))))</f>
        <v/>
      </c>
      <c r="D985" s="394"/>
      <c r="E985" s="78" t="str">
        <f>IF(C985="","",IFERROR(VLOOKUP(C985,parametros!$A$11:$E$15,5,0),""))</f>
        <v/>
      </c>
      <c r="F985" s="79" t="str">
        <f t="shared" si="77"/>
        <v/>
      </c>
      <c r="G985" s="395"/>
      <c r="H985" s="91">
        <f t="shared" si="78"/>
        <v>0</v>
      </c>
      <c r="I985" s="91" t="str">
        <f t="shared" si="79"/>
        <v/>
      </c>
      <c r="J985" s="91" t="str">
        <f t="shared" si="80"/>
        <v/>
      </c>
      <c r="K985" s="92" t="str">
        <f>IF(AND(A985="",B985="",D985="",G985=""),"",IF(AND(A985&lt;&gt;"",COUNTIF($A$2:$A$5001,A985)&gt;1),"NUMERO_PC duplicado",IF(B985="","DATA_PC vazia",IF(NOT(ISNUMBER(B985)),"DATA_PC invalida",IF(OR(C985="",C985="Fora dos ciclos"),"CICLO_PC nao identificado",IF(OR(D985="",D985=0),"VALOR_PC vazio ou zero",IF(AND(G985&lt;&gt;"Sim",G985&lt;&gt;"Nao",G985&lt;&gt;""),"PC_PAGO_A_CONTRATADA invalido",IF(AND(C985&lt;&gt;"C0",IFERROR(INDEX(parametros!$A$2:$A$6,MATCH(C985,parametros!$B$2:$B$6,0)),"")="Sim",IFERROR(INDEX(parametros!$H$2:$H$6,MATCH(C985,parametros!$B$2:$B$6,0)),"")=""),"INICIO_EFEITO ausente: PC "&amp;A985&amp;" - "&amp;C985,IF(L985="","EFEITO_PC nao calculado: PC "&amp;A985&amp;" - "&amp;C985,"OK")))))))))</f>
        <v/>
      </c>
      <c r="L985" s="92" t="str">
        <f>IF(AND(A985="",B985="",D985="",G985=""),"",IF(OR(B985="",NOT(ISNUMBER(B985)),C985="",C985="Fora dos ciclos"),"",IF(C985="C0","Nao",IF(IFERROR(INDEX(parametros!$A$2:$A$6,MATCH(C985,parametros!$B$2:$B$6,0)),"")&lt;&gt;"Sim","Nao",IF(IFERROR(INDEX(parametros!$H$2:$H$6,MATCH(C985,parametros!$B$2:$B$6,0)),"")="","",IF(B985&gt;=IFERROR(INDEX(parametros!$H$2:$H$6,MATCH(C985,parametros!$B$2:$B$6,0)),""),"Sim","Nao"))))))</f>
        <v/>
      </c>
      <c r="T985" s="156"/>
      <c r="U985" s="214" t="str">
        <f t="shared" si="81"/>
        <v/>
      </c>
      <c r="V985" s="212" t="s">
        <v>50</v>
      </c>
      <c r="W985" s="100" t="s">
        <v>168</v>
      </c>
      <c r="X985" s="100" t="s">
        <v>169</v>
      </c>
      <c r="Y985" s="101" t="s">
        <v>170</v>
      </c>
      <c r="Z985" s="101" t="s">
        <v>171</v>
      </c>
      <c r="AA985" s="101" t="s">
        <v>50</v>
      </c>
      <c r="AB985" s="101" t="s">
        <v>172</v>
      </c>
      <c r="AC985" s="102" t="s">
        <v>173</v>
      </c>
    </row>
    <row r="986" spans="1:29" ht="25.5" customHeight="1" x14ac:dyDescent="0.35">
      <c r="A986" s="392"/>
      <c r="B986" s="393"/>
      <c r="C986" s="99" t="str">
        <f>IF(B986="","",IF(NOT(ISNUMBER(B986)),"DATA_PC invalida",IF(NOT(ISNUMBER(parametros!$C$2)),"Fora dos ciclos",IF(OR(B986&lt;parametros!$C$2,(YEAR(B986)-YEAR(parametros!$C$2))*12+MONTH(B986)-MONTH(parametros!$C$2)&gt;59),"Fora dos ciclos","C"&amp;INT(((YEAR(B986)-YEAR(parametros!$C$2))*12+MONTH(B986)-MONTH(parametros!$C$2))/12)))))</f>
        <v/>
      </c>
      <c r="D986" s="394"/>
      <c r="E986" s="78" t="str">
        <f>IF(C986="","",IFERROR(VLOOKUP(C986,parametros!$A$11:$E$15,5,0),""))</f>
        <v/>
      </c>
      <c r="F986" s="79" t="str">
        <f t="shared" si="77"/>
        <v/>
      </c>
      <c r="G986" s="395"/>
      <c r="H986" s="91">
        <f t="shared" si="78"/>
        <v>0</v>
      </c>
      <c r="I986" s="91" t="str">
        <f t="shared" si="79"/>
        <v/>
      </c>
      <c r="J986" s="91" t="str">
        <f t="shared" si="80"/>
        <v/>
      </c>
      <c r="K986" s="92" t="str">
        <f>IF(AND(A986="",B986="",D986="",G986=""),"",IF(AND(A986&lt;&gt;"",COUNTIF($A$2:$A$5001,A986)&gt;1),"NUMERO_PC duplicado",IF(B986="","DATA_PC vazia",IF(NOT(ISNUMBER(B986)),"DATA_PC invalida",IF(OR(C986="",C986="Fora dos ciclos"),"CICLO_PC nao identificado",IF(OR(D986="",D986=0),"VALOR_PC vazio ou zero",IF(AND(G986&lt;&gt;"Sim",G986&lt;&gt;"Nao",G986&lt;&gt;""),"PC_PAGO_A_CONTRATADA invalido",IF(AND(C986&lt;&gt;"C0",IFERROR(INDEX(parametros!$A$2:$A$6,MATCH(C986,parametros!$B$2:$B$6,0)),"")="Sim",IFERROR(INDEX(parametros!$H$2:$H$6,MATCH(C986,parametros!$B$2:$B$6,0)),"")=""),"INICIO_EFEITO ausente: PC "&amp;A986&amp;" - "&amp;C986,IF(L986="","EFEITO_PC nao calculado: PC "&amp;A986&amp;" - "&amp;C986,"OK")))))))))</f>
        <v/>
      </c>
      <c r="L986" s="92" t="str">
        <f>IF(AND(A986="",B986="",D986="",G986=""),"",IF(OR(B986="",NOT(ISNUMBER(B986)),C986="",C986="Fora dos ciclos"),"",IF(C986="C0","Nao",IF(IFERROR(INDEX(parametros!$A$2:$A$6,MATCH(C986,parametros!$B$2:$B$6,0)),"")&lt;&gt;"Sim","Nao",IF(IFERROR(INDEX(parametros!$H$2:$H$6,MATCH(C986,parametros!$B$2:$B$6,0)),"")="","",IF(B986&gt;=IFERROR(INDEX(parametros!$H$2:$H$6,MATCH(C986,parametros!$B$2:$B$6,0)),""),"Sim","Nao"))))))</f>
        <v/>
      </c>
      <c r="T986" s="156"/>
      <c r="U986" s="214" t="str">
        <f t="shared" si="81"/>
        <v/>
      </c>
      <c r="V986" s="212" t="s">
        <v>50</v>
      </c>
      <c r="W986" s="100" t="s">
        <v>168</v>
      </c>
      <c r="X986" s="100" t="s">
        <v>169</v>
      </c>
      <c r="Y986" s="101" t="s">
        <v>170</v>
      </c>
      <c r="Z986" s="101" t="s">
        <v>171</v>
      </c>
      <c r="AA986" s="101" t="s">
        <v>50</v>
      </c>
      <c r="AB986" s="101" t="s">
        <v>172</v>
      </c>
      <c r="AC986" s="102" t="s">
        <v>173</v>
      </c>
    </row>
    <row r="987" spans="1:29" ht="25.5" customHeight="1" x14ac:dyDescent="0.35">
      <c r="A987" s="392"/>
      <c r="B987" s="393"/>
      <c r="C987" s="99" t="str">
        <f>IF(B987="","",IF(NOT(ISNUMBER(B987)),"DATA_PC invalida",IF(NOT(ISNUMBER(parametros!$C$2)),"Fora dos ciclos",IF(OR(B987&lt;parametros!$C$2,(YEAR(B987)-YEAR(parametros!$C$2))*12+MONTH(B987)-MONTH(parametros!$C$2)&gt;59),"Fora dos ciclos","C"&amp;INT(((YEAR(B987)-YEAR(parametros!$C$2))*12+MONTH(B987)-MONTH(parametros!$C$2))/12)))))</f>
        <v/>
      </c>
      <c r="D987" s="394"/>
      <c r="E987" s="78" t="str">
        <f>IF(C987="","",IFERROR(VLOOKUP(C987,parametros!$A$11:$E$15,5,0),""))</f>
        <v/>
      </c>
      <c r="F987" s="79" t="str">
        <f t="shared" si="77"/>
        <v/>
      </c>
      <c r="G987" s="395"/>
      <c r="H987" s="91">
        <f t="shared" si="78"/>
        <v>0</v>
      </c>
      <c r="I987" s="91" t="str">
        <f t="shared" si="79"/>
        <v/>
      </c>
      <c r="J987" s="91" t="str">
        <f t="shared" si="80"/>
        <v/>
      </c>
      <c r="K987" s="92" t="str">
        <f>IF(AND(A987="",B987="",D987="",G987=""),"",IF(AND(A987&lt;&gt;"",COUNTIF($A$2:$A$5001,A987)&gt;1),"NUMERO_PC duplicado",IF(B987="","DATA_PC vazia",IF(NOT(ISNUMBER(B987)),"DATA_PC invalida",IF(OR(C987="",C987="Fora dos ciclos"),"CICLO_PC nao identificado",IF(OR(D987="",D987=0),"VALOR_PC vazio ou zero",IF(AND(G987&lt;&gt;"Sim",G987&lt;&gt;"Nao",G987&lt;&gt;""),"PC_PAGO_A_CONTRATADA invalido",IF(AND(C987&lt;&gt;"C0",IFERROR(INDEX(parametros!$A$2:$A$6,MATCH(C987,parametros!$B$2:$B$6,0)),"")="Sim",IFERROR(INDEX(parametros!$H$2:$H$6,MATCH(C987,parametros!$B$2:$B$6,0)),"")=""),"INICIO_EFEITO ausente: PC "&amp;A987&amp;" - "&amp;C987,IF(L987="","EFEITO_PC nao calculado: PC "&amp;A987&amp;" - "&amp;C987,"OK")))))))))</f>
        <v/>
      </c>
      <c r="L987" s="92" t="str">
        <f>IF(AND(A987="",B987="",D987="",G987=""),"",IF(OR(B987="",NOT(ISNUMBER(B987)),C987="",C987="Fora dos ciclos"),"",IF(C987="C0","Nao",IF(IFERROR(INDEX(parametros!$A$2:$A$6,MATCH(C987,parametros!$B$2:$B$6,0)),"")&lt;&gt;"Sim","Nao",IF(IFERROR(INDEX(parametros!$H$2:$H$6,MATCH(C987,parametros!$B$2:$B$6,0)),"")="","",IF(B987&gt;=IFERROR(INDEX(parametros!$H$2:$H$6,MATCH(C987,parametros!$B$2:$B$6,0)),""),"Sim","Nao"))))))</f>
        <v/>
      </c>
      <c r="T987" s="156"/>
      <c r="U987" s="214" t="str">
        <f t="shared" si="81"/>
        <v/>
      </c>
      <c r="V987" s="212" t="s">
        <v>50</v>
      </c>
      <c r="W987" s="100" t="s">
        <v>168</v>
      </c>
      <c r="X987" s="100" t="s">
        <v>169</v>
      </c>
      <c r="Y987" s="101" t="s">
        <v>170</v>
      </c>
      <c r="Z987" s="101" t="s">
        <v>171</v>
      </c>
      <c r="AA987" s="101" t="s">
        <v>50</v>
      </c>
      <c r="AB987" s="101" t="s">
        <v>172</v>
      </c>
      <c r="AC987" s="102" t="s">
        <v>173</v>
      </c>
    </row>
    <row r="988" spans="1:29" ht="25.5" customHeight="1" x14ac:dyDescent="0.35">
      <c r="A988" s="392"/>
      <c r="B988" s="393"/>
      <c r="C988" s="99" t="str">
        <f>IF(B988="","",IF(NOT(ISNUMBER(B988)),"DATA_PC invalida",IF(NOT(ISNUMBER(parametros!$C$2)),"Fora dos ciclos",IF(OR(B988&lt;parametros!$C$2,(YEAR(B988)-YEAR(parametros!$C$2))*12+MONTH(B988)-MONTH(parametros!$C$2)&gt;59),"Fora dos ciclos","C"&amp;INT(((YEAR(B988)-YEAR(parametros!$C$2))*12+MONTH(B988)-MONTH(parametros!$C$2))/12)))))</f>
        <v/>
      </c>
      <c r="D988" s="394"/>
      <c r="E988" s="78" t="str">
        <f>IF(C988="","",IFERROR(VLOOKUP(C988,parametros!$A$11:$E$15,5,0),""))</f>
        <v/>
      </c>
      <c r="F988" s="79" t="str">
        <f t="shared" si="77"/>
        <v/>
      </c>
      <c r="G988" s="395"/>
      <c r="H988" s="91">
        <f t="shared" si="78"/>
        <v>0</v>
      </c>
      <c r="I988" s="91" t="str">
        <f t="shared" si="79"/>
        <v/>
      </c>
      <c r="J988" s="91" t="str">
        <f t="shared" si="80"/>
        <v/>
      </c>
      <c r="K988" s="92" t="str">
        <f>IF(AND(A988="",B988="",D988="",G988=""),"",IF(AND(A988&lt;&gt;"",COUNTIF($A$2:$A$5001,A988)&gt;1),"NUMERO_PC duplicado",IF(B988="","DATA_PC vazia",IF(NOT(ISNUMBER(B988)),"DATA_PC invalida",IF(OR(C988="",C988="Fora dos ciclos"),"CICLO_PC nao identificado",IF(OR(D988="",D988=0),"VALOR_PC vazio ou zero",IF(AND(G988&lt;&gt;"Sim",G988&lt;&gt;"Nao",G988&lt;&gt;""),"PC_PAGO_A_CONTRATADA invalido",IF(AND(C988&lt;&gt;"C0",IFERROR(INDEX(parametros!$A$2:$A$6,MATCH(C988,parametros!$B$2:$B$6,0)),"")="Sim",IFERROR(INDEX(parametros!$H$2:$H$6,MATCH(C988,parametros!$B$2:$B$6,0)),"")=""),"INICIO_EFEITO ausente: PC "&amp;A988&amp;" - "&amp;C988,IF(L988="","EFEITO_PC nao calculado: PC "&amp;A988&amp;" - "&amp;C988,"OK")))))))))</f>
        <v/>
      </c>
      <c r="L988" s="92" t="str">
        <f>IF(AND(A988="",B988="",D988="",G988=""),"",IF(OR(B988="",NOT(ISNUMBER(B988)),C988="",C988="Fora dos ciclos"),"",IF(C988="C0","Nao",IF(IFERROR(INDEX(parametros!$A$2:$A$6,MATCH(C988,parametros!$B$2:$B$6,0)),"")&lt;&gt;"Sim","Nao",IF(IFERROR(INDEX(parametros!$H$2:$H$6,MATCH(C988,parametros!$B$2:$B$6,0)),"")="","",IF(B988&gt;=IFERROR(INDEX(parametros!$H$2:$H$6,MATCH(C988,parametros!$B$2:$B$6,0)),""),"Sim","Nao"))))))</f>
        <v/>
      </c>
      <c r="T988" s="156"/>
      <c r="U988" s="214" t="str">
        <f t="shared" si="81"/>
        <v/>
      </c>
      <c r="V988" s="212" t="s">
        <v>50</v>
      </c>
      <c r="W988" s="100" t="s">
        <v>168</v>
      </c>
      <c r="X988" s="100" t="s">
        <v>169</v>
      </c>
      <c r="Y988" s="101" t="s">
        <v>170</v>
      </c>
      <c r="Z988" s="101" t="s">
        <v>171</v>
      </c>
      <c r="AA988" s="101" t="s">
        <v>50</v>
      </c>
      <c r="AB988" s="101" t="s">
        <v>172</v>
      </c>
      <c r="AC988" s="102" t="s">
        <v>173</v>
      </c>
    </row>
    <row r="989" spans="1:29" ht="25.5" customHeight="1" x14ac:dyDescent="0.35">
      <c r="A989" s="392"/>
      <c r="B989" s="393"/>
      <c r="C989" s="99" t="str">
        <f>IF(B989="","",IF(NOT(ISNUMBER(B989)),"DATA_PC invalida",IF(NOT(ISNUMBER(parametros!$C$2)),"Fora dos ciclos",IF(OR(B989&lt;parametros!$C$2,(YEAR(B989)-YEAR(parametros!$C$2))*12+MONTH(B989)-MONTH(parametros!$C$2)&gt;59),"Fora dos ciclos","C"&amp;INT(((YEAR(B989)-YEAR(parametros!$C$2))*12+MONTH(B989)-MONTH(parametros!$C$2))/12)))))</f>
        <v/>
      </c>
      <c r="D989" s="394"/>
      <c r="E989" s="78" t="str">
        <f>IF(C989="","",IFERROR(VLOOKUP(C989,parametros!$A$11:$E$15,5,0),""))</f>
        <v/>
      </c>
      <c r="F989" s="79" t="str">
        <f t="shared" si="77"/>
        <v/>
      </c>
      <c r="G989" s="395"/>
      <c r="H989" s="91">
        <f t="shared" si="78"/>
        <v>0</v>
      </c>
      <c r="I989" s="91" t="str">
        <f t="shared" si="79"/>
        <v/>
      </c>
      <c r="J989" s="91" t="str">
        <f t="shared" si="80"/>
        <v/>
      </c>
      <c r="K989" s="92" t="str">
        <f>IF(AND(A989="",B989="",D989="",G989=""),"",IF(AND(A989&lt;&gt;"",COUNTIF($A$2:$A$5001,A989)&gt;1),"NUMERO_PC duplicado",IF(B989="","DATA_PC vazia",IF(NOT(ISNUMBER(B989)),"DATA_PC invalida",IF(OR(C989="",C989="Fora dos ciclos"),"CICLO_PC nao identificado",IF(OR(D989="",D989=0),"VALOR_PC vazio ou zero",IF(AND(G989&lt;&gt;"Sim",G989&lt;&gt;"Nao",G989&lt;&gt;""),"PC_PAGO_A_CONTRATADA invalido",IF(AND(C989&lt;&gt;"C0",IFERROR(INDEX(parametros!$A$2:$A$6,MATCH(C989,parametros!$B$2:$B$6,0)),"")="Sim",IFERROR(INDEX(parametros!$H$2:$H$6,MATCH(C989,parametros!$B$2:$B$6,0)),"")=""),"INICIO_EFEITO ausente: PC "&amp;A989&amp;" - "&amp;C989,IF(L989="","EFEITO_PC nao calculado: PC "&amp;A989&amp;" - "&amp;C989,"OK")))))))))</f>
        <v/>
      </c>
      <c r="L989" s="92" t="str">
        <f>IF(AND(A989="",B989="",D989="",G989=""),"",IF(OR(B989="",NOT(ISNUMBER(B989)),C989="",C989="Fora dos ciclos"),"",IF(C989="C0","Nao",IF(IFERROR(INDEX(parametros!$A$2:$A$6,MATCH(C989,parametros!$B$2:$B$6,0)),"")&lt;&gt;"Sim","Nao",IF(IFERROR(INDEX(parametros!$H$2:$H$6,MATCH(C989,parametros!$B$2:$B$6,0)),"")="","",IF(B989&gt;=IFERROR(INDEX(parametros!$H$2:$H$6,MATCH(C989,parametros!$B$2:$B$6,0)),""),"Sim","Nao"))))))</f>
        <v/>
      </c>
      <c r="T989" s="156"/>
      <c r="U989" s="214" t="str">
        <f t="shared" si="81"/>
        <v/>
      </c>
      <c r="V989" s="212" t="s">
        <v>50</v>
      </c>
      <c r="W989" s="100" t="s">
        <v>168</v>
      </c>
      <c r="X989" s="100" t="s">
        <v>169</v>
      </c>
      <c r="Y989" s="101" t="s">
        <v>170</v>
      </c>
      <c r="Z989" s="101" t="s">
        <v>171</v>
      </c>
      <c r="AA989" s="101" t="s">
        <v>50</v>
      </c>
      <c r="AB989" s="101" t="s">
        <v>172</v>
      </c>
      <c r="AC989" s="102" t="s">
        <v>173</v>
      </c>
    </row>
    <row r="990" spans="1:29" ht="25.5" customHeight="1" x14ac:dyDescent="0.35">
      <c r="A990" s="392"/>
      <c r="B990" s="393"/>
      <c r="C990" s="99" t="str">
        <f>IF(B990="","",IF(NOT(ISNUMBER(B990)),"DATA_PC invalida",IF(NOT(ISNUMBER(parametros!$C$2)),"Fora dos ciclos",IF(OR(B990&lt;parametros!$C$2,(YEAR(B990)-YEAR(parametros!$C$2))*12+MONTH(B990)-MONTH(parametros!$C$2)&gt;59),"Fora dos ciclos","C"&amp;INT(((YEAR(B990)-YEAR(parametros!$C$2))*12+MONTH(B990)-MONTH(parametros!$C$2))/12)))))</f>
        <v/>
      </c>
      <c r="D990" s="394"/>
      <c r="E990" s="78" t="str">
        <f>IF(C990="","",IFERROR(VLOOKUP(C990,parametros!$A$11:$E$15,5,0),""))</f>
        <v/>
      </c>
      <c r="F990" s="79" t="str">
        <f t="shared" si="77"/>
        <v/>
      </c>
      <c r="G990" s="395"/>
      <c r="H990" s="91">
        <f t="shared" si="78"/>
        <v>0</v>
      </c>
      <c r="I990" s="91" t="str">
        <f t="shared" si="79"/>
        <v/>
      </c>
      <c r="J990" s="91" t="str">
        <f t="shared" si="80"/>
        <v/>
      </c>
      <c r="K990" s="92" t="str">
        <f>IF(AND(A990="",B990="",D990="",G990=""),"",IF(AND(A990&lt;&gt;"",COUNTIF($A$2:$A$5001,A990)&gt;1),"NUMERO_PC duplicado",IF(B990="","DATA_PC vazia",IF(NOT(ISNUMBER(B990)),"DATA_PC invalida",IF(OR(C990="",C990="Fora dos ciclos"),"CICLO_PC nao identificado",IF(OR(D990="",D990=0),"VALOR_PC vazio ou zero",IF(AND(G990&lt;&gt;"Sim",G990&lt;&gt;"Nao",G990&lt;&gt;""),"PC_PAGO_A_CONTRATADA invalido",IF(AND(C990&lt;&gt;"C0",IFERROR(INDEX(parametros!$A$2:$A$6,MATCH(C990,parametros!$B$2:$B$6,0)),"")="Sim",IFERROR(INDEX(parametros!$H$2:$H$6,MATCH(C990,parametros!$B$2:$B$6,0)),"")=""),"INICIO_EFEITO ausente: PC "&amp;A990&amp;" - "&amp;C990,IF(L990="","EFEITO_PC nao calculado: PC "&amp;A990&amp;" - "&amp;C990,"OK")))))))))</f>
        <v/>
      </c>
      <c r="L990" s="92" t="str">
        <f>IF(AND(A990="",B990="",D990="",G990=""),"",IF(OR(B990="",NOT(ISNUMBER(B990)),C990="",C990="Fora dos ciclos"),"",IF(C990="C0","Nao",IF(IFERROR(INDEX(parametros!$A$2:$A$6,MATCH(C990,parametros!$B$2:$B$6,0)),"")&lt;&gt;"Sim","Nao",IF(IFERROR(INDEX(parametros!$H$2:$H$6,MATCH(C990,parametros!$B$2:$B$6,0)),"")="","",IF(B990&gt;=IFERROR(INDEX(parametros!$H$2:$H$6,MATCH(C990,parametros!$B$2:$B$6,0)),""),"Sim","Nao"))))))</f>
        <v/>
      </c>
      <c r="T990" s="156"/>
      <c r="U990" s="214" t="str">
        <f t="shared" si="81"/>
        <v/>
      </c>
      <c r="V990" s="212" t="s">
        <v>50</v>
      </c>
      <c r="W990" s="100" t="s">
        <v>168</v>
      </c>
      <c r="X990" s="100" t="s">
        <v>169</v>
      </c>
      <c r="Y990" s="101" t="s">
        <v>170</v>
      </c>
      <c r="Z990" s="101" t="s">
        <v>171</v>
      </c>
      <c r="AA990" s="101" t="s">
        <v>50</v>
      </c>
      <c r="AB990" s="101" t="s">
        <v>172</v>
      </c>
      <c r="AC990" s="102" t="s">
        <v>173</v>
      </c>
    </row>
    <row r="991" spans="1:29" ht="25.5" customHeight="1" x14ac:dyDescent="0.35">
      <c r="A991" s="392"/>
      <c r="B991" s="393"/>
      <c r="C991" s="99" t="str">
        <f>IF(B991="","",IF(NOT(ISNUMBER(B991)),"DATA_PC invalida",IF(NOT(ISNUMBER(parametros!$C$2)),"Fora dos ciclos",IF(OR(B991&lt;parametros!$C$2,(YEAR(B991)-YEAR(parametros!$C$2))*12+MONTH(B991)-MONTH(parametros!$C$2)&gt;59),"Fora dos ciclos","C"&amp;INT(((YEAR(B991)-YEAR(parametros!$C$2))*12+MONTH(B991)-MONTH(parametros!$C$2))/12)))))</f>
        <v/>
      </c>
      <c r="D991" s="394"/>
      <c r="E991" s="78" t="str">
        <f>IF(C991="","",IFERROR(VLOOKUP(C991,parametros!$A$11:$E$15,5,0),""))</f>
        <v/>
      </c>
      <c r="F991" s="79" t="str">
        <f t="shared" si="77"/>
        <v/>
      </c>
      <c r="G991" s="395"/>
      <c r="H991" s="91">
        <f t="shared" si="78"/>
        <v>0</v>
      </c>
      <c r="I991" s="91" t="str">
        <f t="shared" si="79"/>
        <v/>
      </c>
      <c r="J991" s="91" t="str">
        <f t="shared" si="80"/>
        <v/>
      </c>
      <c r="K991" s="92" t="str">
        <f>IF(AND(A991="",B991="",D991="",G991=""),"",IF(AND(A991&lt;&gt;"",COUNTIF($A$2:$A$5001,A991)&gt;1),"NUMERO_PC duplicado",IF(B991="","DATA_PC vazia",IF(NOT(ISNUMBER(B991)),"DATA_PC invalida",IF(OR(C991="",C991="Fora dos ciclos"),"CICLO_PC nao identificado",IF(OR(D991="",D991=0),"VALOR_PC vazio ou zero",IF(AND(G991&lt;&gt;"Sim",G991&lt;&gt;"Nao",G991&lt;&gt;""),"PC_PAGO_A_CONTRATADA invalido",IF(AND(C991&lt;&gt;"C0",IFERROR(INDEX(parametros!$A$2:$A$6,MATCH(C991,parametros!$B$2:$B$6,0)),"")="Sim",IFERROR(INDEX(parametros!$H$2:$H$6,MATCH(C991,parametros!$B$2:$B$6,0)),"")=""),"INICIO_EFEITO ausente: PC "&amp;A991&amp;" - "&amp;C991,IF(L991="","EFEITO_PC nao calculado: PC "&amp;A991&amp;" - "&amp;C991,"OK")))))))))</f>
        <v/>
      </c>
      <c r="L991" s="92" t="str">
        <f>IF(AND(A991="",B991="",D991="",G991=""),"",IF(OR(B991="",NOT(ISNUMBER(B991)),C991="",C991="Fora dos ciclos"),"",IF(C991="C0","Nao",IF(IFERROR(INDEX(parametros!$A$2:$A$6,MATCH(C991,parametros!$B$2:$B$6,0)),"")&lt;&gt;"Sim","Nao",IF(IFERROR(INDEX(parametros!$H$2:$H$6,MATCH(C991,parametros!$B$2:$B$6,0)),"")="","",IF(B991&gt;=IFERROR(INDEX(parametros!$H$2:$H$6,MATCH(C991,parametros!$B$2:$B$6,0)),""),"Sim","Nao"))))))</f>
        <v/>
      </c>
      <c r="T991" s="156"/>
      <c r="U991" s="214" t="str">
        <f t="shared" si="81"/>
        <v/>
      </c>
      <c r="V991" s="212" t="s">
        <v>50</v>
      </c>
      <c r="W991" s="100" t="s">
        <v>168</v>
      </c>
      <c r="X991" s="100" t="s">
        <v>169</v>
      </c>
      <c r="Y991" s="101" t="s">
        <v>170</v>
      </c>
      <c r="Z991" s="101" t="s">
        <v>171</v>
      </c>
      <c r="AA991" s="101" t="s">
        <v>50</v>
      </c>
      <c r="AB991" s="101" t="s">
        <v>172</v>
      </c>
      <c r="AC991" s="102" t="s">
        <v>173</v>
      </c>
    </row>
    <row r="992" spans="1:29" ht="25.5" customHeight="1" x14ac:dyDescent="0.35">
      <c r="A992" s="392"/>
      <c r="B992" s="393"/>
      <c r="C992" s="99" t="str">
        <f>IF(B992="","",IF(NOT(ISNUMBER(B992)),"DATA_PC invalida",IF(NOT(ISNUMBER(parametros!$C$2)),"Fora dos ciclos",IF(OR(B992&lt;parametros!$C$2,(YEAR(B992)-YEAR(parametros!$C$2))*12+MONTH(B992)-MONTH(parametros!$C$2)&gt;59),"Fora dos ciclos","C"&amp;INT(((YEAR(B992)-YEAR(parametros!$C$2))*12+MONTH(B992)-MONTH(parametros!$C$2))/12)))))</f>
        <v/>
      </c>
      <c r="D992" s="394"/>
      <c r="E992" s="78" t="str">
        <f>IF(C992="","",IFERROR(VLOOKUP(C992,parametros!$A$11:$E$15,5,0),""))</f>
        <v/>
      </c>
      <c r="F992" s="79" t="str">
        <f t="shared" si="77"/>
        <v/>
      </c>
      <c r="G992" s="395"/>
      <c r="H992" s="91">
        <f t="shared" si="78"/>
        <v>0</v>
      </c>
      <c r="I992" s="91" t="str">
        <f t="shared" si="79"/>
        <v/>
      </c>
      <c r="J992" s="91" t="str">
        <f t="shared" si="80"/>
        <v/>
      </c>
      <c r="K992" s="92" t="str">
        <f>IF(AND(A992="",B992="",D992="",G992=""),"",IF(AND(A992&lt;&gt;"",COUNTIF($A$2:$A$5001,A992)&gt;1),"NUMERO_PC duplicado",IF(B992="","DATA_PC vazia",IF(NOT(ISNUMBER(B992)),"DATA_PC invalida",IF(OR(C992="",C992="Fora dos ciclos"),"CICLO_PC nao identificado",IF(OR(D992="",D992=0),"VALOR_PC vazio ou zero",IF(AND(G992&lt;&gt;"Sim",G992&lt;&gt;"Nao",G992&lt;&gt;""),"PC_PAGO_A_CONTRATADA invalido",IF(AND(C992&lt;&gt;"C0",IFERROR(INDEX(parametros!$A$2:$A$6,MATCH(C992,parametros!$B$2:$B$6,0)),"")="Sim",IFERROR(INDEX(parametros!$H$2:$H$6,MATCH(C992,parametros!$B$2:$B$6,0)),"")=""),"INICIO_EFEITO ausente: PC "&amp;A992&amp;" - "&amp;C992,IF(L992="","EFEITO_PC nao calculado: PC "&amp;A992&amp;" - "&amp;C992,"OK")))))))))</f>
        <v/>
      </c>
      <c r="L992" s="92" t="str">
        <f>IF(AND(A992="",B992="",D992="",G992=""),"",IF(OR(B992="",NOT(ISNUMBER(B992)),C992="",C992="Fora dos ciclos"),"",IF(C992="C0","Nao",IF(IFERROR(INDEX(parametros!$A$2:$A$6,MATCH(C992,parametros!$B$2:$B$6,0)),"")&lt;&gt;"Sim","Nao",IF(IFERROR(INDEX(parametros!$H$2:$H$6,MATCH(C992,parametros!$B$2:$B$6,0)),"")="","",IF(B992&gt;=IFERROR(INDEX(parametros!$H$2:$H$6,MATCH(C992,parametros!$B$2:$B$6,0)),""),"Sim","Nao"))))))</f>
        <v/>
      </c>
      <c r="T992" s="156"/>
      <c r="U992" s="214" t="str">
        <f t="shared" si="81"/>
        <v/>
      </c>
      <c r="V992" s="212" t="s">
        <v>50</v>
      </c>
      <c r="W992" s="100" t="s">
        <v>168</v>
      </c>
      <c r="X992" s="100" t="s">
        <v>169</v>
      </c>
      <c r="Y992" s="101" t="s">
        <v>170</v>
      </c>
      <c r="Z992" s="101" t="s">
        <v>171</v>
      </c>
      <c r="AA992" s="101" t="s">
        <v>50</v>
      </c>
      <c r="AB992" s="101" t="s">
        <v>172</v>
      </c>
      <c r="AC992" s="102" t="s">
        <v>173</v>
      </c>
    </row>
    <row r="993" spans="1:29" ht="25.5" customHeight="1" x14ac:dyDescent="0.35">
      <c r="A993" s="392"/>
      <c r="B993" s="393"/>
      <c r="C993" s="99" t="str">
        <f>IF(B993="","",IF(NOT(ISNUMBER(B993)),"DATA_PC invalida",IF(NOT(ISNUMBER(parametros!$C$2)),"Fora dos ciclos",IF(OR(B993&lt;parametros!$C$2,(YEAR(B993)-YEAR(parametros!$C$2))*12+MONTH(B993)-MONTH(parametros!$C$2)&gt;59),"Fora dos ciclos","C"&amp;INT(((YEAR(B993)-YEAR(parametros!$C$2))*12+MONTH(B993)-MONTH(parametros!$C$2))/12)))))</f>
        <v/>
      </c>
      <c r="D993" s="394"/>
      <c r="E993" s="78" t="str">
        <f>IF(C993="","",IFERROR(VLOOKUP(C993,parametros!$A$11:$E$15,5,0),""))</f>
        <v/>
      </c>
      <c r="F993" s="79" t="str">
        <f t="shared" si="77"/>
        <v/>
      </c>
      <c r="G993" s="395"/>
      <c r="H993" s="91">
        <f t="shared" si="78"/>
        <v>0</v>
      </c>
      <c r="I993" s="91" t="str">
        <f t="shared" si="79"/>
        <v/>
      </c>
      <c r="J993" s="91" t="str">
        <f t="shared" si="80"/>
        <v/>
      </c>
      <c r="K993" s="92" t="str">
        <f>IF(AND(A993="",B993="",D993="",G993=""),"",IF(AND(A993&lt;&gt;"",COUNTIF($A$2:$A$5001,A993)&gt;1),"NUMERO_PC duplicado",IF(B993="","DATA_PC vazia",IF(NOT(ISNUMBER(B993)),"DATA_PC invalida",IF(OR(C993="",C993="Fora dos ciclos"),"CICLO_PC nao identificado",IF(OR(D993="",D993=0),"VALOR_PC vazio ou zero",IF(AND(G993&lt;&gt;"Sim",G993&lt;&gt;"Nao",G993&lt;&gt;""),"PC_PAGO_A_CONTRATADA invalido",IF(AND(C993&lt;&gt;"C0",IFERROR(INDEX(parametros!$A$2:$A$6,MATCH(C993,parametros!$B$2:$B$6,0)),"")="Sim",IFERROR(INDEX(parametros!$H$2:$H$6,MATCH(C993,parametros!$B$2:$B$6,0)),"")=""),"INICIO_EFEITO ausente: PC "&amp;A993&amp;" - "&amp;C993,IF(L993="","EFEITO_PC nao calculado: PC "&amp;A993&amp;" - "&amp;C993,"OK")))))))))</f>
        <v/>
      </c>
      <c r="L993" s="92" t="str">
        <f>IF(AND(A993="",B993="",D993="",G993=""),"",IF(OR(B993="",NOT(ISNUMBER(B993)),C993="",C993="Fora dos ciclos"),"",IF(C993="C0","Nao",IF(IFERROR(INDEX(parametros!$A$2:$A$6,MATCH(C993,parametros!$B$2:$B$6,0)),"")&lt;&gt;"Sim","Nao",IF(IFERROR(INDEX(parametros!$H$2:$H$6,MATCH(C993,parametros!$B$2:$B$6,0)),"")="","",IF(B993&gt;=IFERROR(INDEX(parametros!$H$2:$H$6,MATCH(C993,parametros!$B$2:$B$6,0)),""),"Sim","Nao"))))))</f>
        <v/>
      </c>
      <c r="T993" s="156"/>
      <c r="U993" s="214" t="str">
        <f t="shared" si="81"/>
        <v/>
      </c>
      <c r="V993" s="212" t="s">
        <v>50</v>
      </c>
      <c r="W993" s="100" t="s">
        <v>168</v>
      </c>
      <c r="X993" s="100" t="s">
        <v>169</v>
      </c>
      <c r="Y993" s="101" t="s">
        <v>170</v>
      </c>
      <c r="Z993" s="101" t="s">
        <v>171</v>
      </c>
      <c r="AA993" s="101" t="s">
        <v>50</v>
      </c>
      <c r="AB993" s="101" t="s">
        <v>172</v>
      </c>
      <c r="AC993" s="102" t="s">
        <v>173</v>
      </c>
    </row>
    <row r="994" spans="1:29" ht="25.5" customHeight="1" x14ac:dyDescent="0.35">
      <c r="A994" s="392"/>
      <c r="B994" s="393"/>
      <c r="C994" s="99" t="str">
        <f>IF(B994="","",IF(NOT(ISNUMBER(B994)),"DATA_PC invalida",IF(NOT(ISNUMBER(parametros!$C$2)),"Fora dos ciclos",IF(OR(B994&lt;parametros!$C$2,(YEAR(B994)-YEAR(parametros!$C$2))*12+MONTH(B994)-MONTH(parametros!$C$2)&gt;59),"Fora dos ciclos","C"&amp;INT(((YEAR(B994)-YEAR(parametros!$C$2))*12+MONTH(B994)-MONTH(parametros!$C$2))/12)))))</f>
        <v/>
      </c>
      <c r="D994" s="394"/>
      <c r="E994" s="78" t="str">
        <f>IF(C994="","",IFERROR(VLOOKUP(C994,parametros!$A$11:$E$15,5,0),""))</f>
        <v/>
      </c>
      <c r="F994" s="79" t="str">
        <f t="shared" si="77"/>
        <v/>
      </c>
      <c r="G994" s="395"/>
      <c r="H994" s="91">
        <f t="shared" si="78"/>
        <v>0</v>
      </c>
      <c r="I994" s="91" t="str">
        <f t="shared" si="79"/>
        <v/>
      </c>
      <c r="J994" s="91" t="str">
        <f t="shared" si="80"/>
        <v/>
      </c>
      <c r="K994" s="92" t="str">
        <f>IF(AND(A994="",B994="",D994="",G994=""),"",IF(AND(A994&lt;&gt;"",COUNTIF($A$2:$A$5001,A994)&gt;1),"NUMERO_PC duplicado",IF(B994="","DATA_PC vazia",IF(NOT(ISNUMBER(B994)),"DATA_PC invalida",IF(OR(C994="",C994="Fora dos ciclos"),"CICLO_PC nao identificado",IF(OR(D994="",D994=0),"VALOR_PC vazio ou zero",IF(AND(G994&lt;&gt;"Sim",G994&lt;&gt;"Nao",G994&lt;&gt;""),"PC_PAGO_A_CONTRATADA invalido",IF(AND(C994&lt;&gt;"C0",IFERROR(INDEX(parametros!$A$2:$A$6,MATCH(C994,parametros!$B$2:$B$6,0)),"")="Sim",IFERROR(INDEX(parametros!$H$2:$H$6,MATCH(C994,parametros!$B$2:$B$6,0)),"")=""),"INICIO_EFEITO ausente: PC "&amp;A994&amp;" - "&amp;C994,IF(L994="","EFEITO_PC nao calculado: PC "&amp;A994&amp;" - "&amp;C994,"OK")))))))))</f>
        <v/>
      </c>
      <c r="L994" s="92" t="str">
        <f>IF(AND(A994="",B994="",D994="",G994=""),"",IF(OR(B994="",NOT(ISNUMBER(B994)),C994="",C994="Fora dos ciclos"),"",IF(C994="C0","Nao",IF(IFERROR(INDEX(parametros!$A$2:$A$6,MATCH(C994,parametros!$B$2:$B$6,0)),"")&lt;&gt;"Sim","Nao",IF(IFERROR(INDEX(parametros!$H$2:$H$6,MATCH(C994,parametros!$B$2:$B$6,0)),"")="","",IF(B994&gt;=IFERROR(INDEX(parametros!$H$2:$H$6,MATCH(C994,parametros!$B$2:$B$6,0)),""),"Sim","Nao"))))))</f>
        <v/>
      </c>
      <c r="T994" s="156"/>
      <c r="U994" s="214" t="str">
        <f t="shared" si="81"/>
        <v/>
      </c>
      <c r="V994" s="212" t="s">
        <v>50</v>
      </c>
      <c r="W994" s="100" t="s">
        <v>168</v>
      </c>
      <c r="X994" s="100" t="s">
        <v>169</v>
      </c>
      <c r="Y994" s="101" t="s">
        <v>170</v>
      </c>
      <c r="Z994" s="101" t="s">
        <v>171</v>
      </c>
      <c r="AA994" s="101" t="s">
        <v>50</v>
      </c>
      <c r="AB994" s="101" t="s">
        <v>172</v>
      </c>
      <c r="AC994" s="102" t="s">
        <v>173</v>
      </c>
    </row>
    <row r="995" spans="1:29" ht="25.5" customHeight="1" x14ac:dyDescent="0.35">
      <c r="A995" s="392"/>
      <c r="B995" s="393"/>
      <c r="C995" s="99" t="str">
        <f>IF(B995="","",IF(NOT(ISNUMBER(B995)),"DATA_PC invalida",IF(NOT(ISNUMBER(parametros!$C$2)),"Fora dos ciclos",IF(OR(B995&lt;parametros!$C$2,(YEAR(B995)-YEAR(parametros!$C$2))*12+MONTH(B995)-MONTH(parametros!$C$2)&gt;59),"Fora dos ciclos","C"&amp;INT(((YEAR(B995)-YEAR(parametros!$C$2))*12+MONTH(B995)-MONTH(parametros!$C$2))/12)))))</f>
        <v/>
      </c>
      <c r="D995" s="394"/>
      <c r="E995" s="78" t="str">
        <f>IF(C995="","",IFERROR(VLOOKUP(C995,parametros!$A$11:$E$15,5,0),""))</f>
        <v/>
      </c>
      <c r="F995" s="79" t="str">
        <f t="shared" si="77"/>
        <v/>
      </c>
      <c r="G995" s="395"/>
      <c r="H995" s="91">
        <f t="shared" si="78"/>
        <v>0</v>
      </c>
      <c r="I995" s="91" t="str">
        <f t="shared" si="79"/>
        <v/>
      </c>
      <c r="J995" s="91" t="str">
        <f t="shared" si="80"/>
        <v/>
      </c>
      <c r="K995" s="92" t="str">
        <f>IF(AND(A995="",B995="",D995="",G995=""),"",IF(AND(A995&lt;&gt;"",COUNTIF($A$2:$A$5001,A995)&gt;1),"NUMERO_PC duplicado",IF(B995="","DATA_PC vazia",IF(NOT(ISNUMBER(B995)),"DATA_PC invalida",IF(OR(C995="",C995="Fora dos ciclos"),"CICLO_PC nao identificado",IF(OR(D995="",D995=0),"VALOR_PC vazio ou zero",IF(AND(G995&lt;&gt;"Sim",G995&lt;&gt;"Nao",G995&lt;&gt;""),"PC_PAGO_A_CONTRATADA invalido",IF(AND(C995&lt;&gt;"C0",IFERROR(INDEX(parametros!$A$2:$A$6,MATCH(C995,parametros!$B$2:$B$6,0)),"")="Sim",IFERROR(INDEX(parametros!$H$2:$H$6,MATCH(C995,parametros!$B$2:$B$6,0)),"")=""),"INICIO_EFEITO ausente: PC "&amp;A995&amp;" - "&amp;C995,IF(L995="","EFEITO_PC nao calculado: PC "&amp;A995&amp;" - "&amp;C995,"OK")))))))))</f>
        <v/>
      </c>
      <c r="L995" s="92" t="str">
        <f>IF(AND(A995="",B995="",D995="",G995=""),"",IF(OR(B995="",NOT(ISNUMBER(B995)),C995="",C995="Fora dos ciclos"),"",IF(C995="C0","Nao",IF(IFERROR(INDEX(parametros!$A$2:$A$6,MATCH(C995,parametros!$B$2:$B$6,0)),"")&lt;&gt;"Sim","Nao",IF(IFERROR(INDEX(parametros!$H$2:$H$6,MATCH(C995,parametros!$B$2:$B$6,0)),"")="","",IF(B995&gt;=IFERROR(INDEX(parametros!$H$2:$H$6,MATCH(C995,parametros!$B$2:$B$6,0)),""),"Sim","Nao"))))))</f>
        <v/>
      </c>
      <c r="T995" s="156"/>
      <c r="U995" s="214" t="str">
        <f t="shared" si="81"/>
        <v/>
      </c>
      <c r="V995" s="212" t="s">
        <v>50</v>
      </c>
      <c r="W995" s="100" t="s">
        <v>168</v>
      </c>
      <c r="X995" s="100" t="s">
        <v>169</v>
      </c>
      <c r="Y995" s="101" t="s">
        <v>170</v>
      </c>
      <c r="Z995" s="101" t="s">
        <v>171</v>
      </c>
      <c r="AA995" s="101" t="s">
        <v>50</v>
      </c>
      <c r="AB995" s="101" t="s">
        <v>172</v>
      </c>
      <c r="AC995" s="102" t="s">
        <v>173</v>
      </c>
    </row>
    <row r="996" spans="1:29" ht="25.5" customHeight="1" x14ac:dyDescent="0.35">
      <c r="A996" s="392"/>
      <c r="B996" s="393"/>
      <c r="C996" s="99" t="str">
        <f>IF(B996="","",IF(NOT(ISNUMBER(B996)),"DATA_PC invalida",IF(NOT(ISNUMBER(parametros!$C$2)),"Fora dos ciclos",IF(OR(B996&lt;parametros!$C$2,(YEAR(B996)-YEAR(parametros!$C$2))*12+MONTH(B996)-MONTH(parametros!$C$2)&gt;59),"Fora dos ciclos","C"&amp;INT(((YEAR(B996)-YEAR(parametros!$C$2))*12+MONTH(B996)-MONTH(parametros!$C$2))/12)))))</f>
        <v/>
      </c>
      <c r="D996" s="394"/>
      <c r="E996" s="78" t="str">
        <f>IF(C996="","",IFERROR(VLOOKUP(C996,parametros!$A$11:$E$15,5,0),""))</f>
        <v/>
      </c>
      <c r="F996" s="79" t="str">
        <f t="shared" si="77"/>
        <v/>
      </c>
      <c r="G996" s="395"/>
      <c r="H996" s="91">
        <f t="shared" si="78"/>
        <v>0</v>
      </c>
      <c r="I996" s="91" t="str">
        <f t="shared" si="79"/>
        <v/>
      </c>
      <c r="J996" s="91" t="str">
        <f t="shared" si="80"/>
        <v/>
      </c>
      <c r="K996" s="92" t="str">
        <f>IF(AND(A996="",B996="",D996="",G996=""),"",IF(AND(A996&lt;&gt;"",COUNTIF($A$2:$A$5001,A996)&gt;1),"NUMERO_PC duplicado",IF(B996="","DATA_PC vazia",IF(NOT(ISNUMBER(B996)),"DATA_PC invalida",IF(OR(C996="",C996="Fora dos ciclos"),"CICLO_PC nao identificado",IF(OR(D996="",D996=0),"VALOR_PC vazio ou zero",IF(AND(G996&lt;&gt;"Sim",G996&lt;&gt;"Nao",G996&lt;&gt;""),"PC_PAGO_A_CONTRATADA invalido",IF(AND(C996&lt;&gt;"C0",IFERROR(INDEX(parametros!$A$2:$A$6,MATCH(C996,parametros!$B$2:$B$6,0)),"")="Sim",IFERROR(INDEX(parametros!$H$2:$H$6,MATCH(C996,parametros!$B$2:$B$6,0)),"")=""),"INICIO_EFEITO ausente: PC "&amp;A996&amp;" - "&amp;C996,IF(L996="","EFEITO_PC nao calculado: PC "&amp;A996&amp;" - "&amp;C996,"OK")))))))))</f>
        <v/>
      </c>
      <c r="L996" s="92" t="str">
        <f>IF(AND(A996="",B996="",D996="",G996=""),"",IF(OR(B996="",NOT(ISNUMBER(B996)),C996="",C996="Fora dos ciclos"),"",IF(C996="C0","Nao",IF(IFERROR(INDEX(parametros!$A$2:$A$6,MATCH(C996,parametros!$B$2:$B$6,0)),"")&lt;&gt;"Sim","Nao",IF(IFERROR(INDEX(parametros!$H$2:$H$6,MATCH(C996,parametros!$B$2:$B$6,0)),"")="","",IF(B996&gt;=IFERROR(INDEX(parametros!$H$2:$H$6,MATCH(C996,parametros!$B$2:$B$6,0)),""),"Sim","Nao"))))))</f>
        <v/>
      </c>
      <c r="T996" s="156"/>
      <c r="U996" s="214" t="str">
        <f t="shared" si="81"/>
        <v/>
      </c>
      <c r="V996" s="212" t="s">
        <v>50</v>
      </c>
      <c r="W996" s="100" t="s">
        <v>168</v>
      </c>
      <c r="X996" s="100" t="s">
        <v>169</v>
      </c>
      <c r="Y996" s="101" t="s">
        <v>170</v>
      </c>
      <c r="Z996" s="101" t="s">
        <v>171</v>
      </c>
      <c r="AA996" s="101" t="s">
        <v>50</v>
      </c>
      <c r="AB996" s="101" t="s">
        <v>172</v>
      </c>
      <c r="AC996" s="102" t="s">
        <v>173</v>
      </c>
    </row>
    <row r="997" spans="1:29" ht="25.5" customHeight="1" x14ac:dyDescent="0.35">
      <c r="A997" s="392"/>
      <c r="B997" s="393"/>
      <c r="C997" s="99" t="str">
        <f>IF(B997="","",IF(NOT(ISNUMBER(B997)),"DATA_PC invalida",IF(NOT(ISNUMBER(parametros!$C$2)),"Fora dos ciclos",IF(OR(B997&lt;parametros!$C$2,(YEAR(B997)-YEAR(parametros!$C$2))*12+MONTH(B997)-MONTH(parametros!$C$2)&gt;59),"Fora dos ciclos","C"&amp;INT(((YEAR(B997)-YEAR(parametros!$C$2))*12+MONTH(B997)-MONTH(parametros!$C$2))/12)))))</f>
        <v/>
      </c>
      <c r="D997" s="394"/>
      <c r="E997" s="78" t="str">
        <f>IF(C997="","",IFERROR(VLOOKUP(C997,parametros!$A$11:$E$15,5,0),""))</f>
        <v/>
      </c>
      <c r="F997" s="79" t="str">
        <f t="shared" si="77"/>
        <v/>
      </c>
      <c r="G997" s="395"/>
      <c r="H997" s="91">
        <f t="shared" si="78"/>
        <v>0</v>
      </c>
      <c r="I997" s="91" t="str">
        <f t="shared" si="79"/>
        <v/>
      </c>
      <c r="J997" s="91" t="str">
        <f t="shared" si="80"/>
        <v/>
      </c>
      <c r="K997" s="92" t="str">
        <f>IF(AND(A997="",B997="",D997="",G997=""),"",IF(AND(A997&lt;&gt;"",COUNTIF($A$2:$A$5001,A997)&gt;1),"NUMERO_PC duplicado",IF(B997="","DATA_PC vazia",IF(NOT(ISNUMBER(B997)),"DATA_PC invalida",IF(OR(C997="",C997="Fora dos ciclos"),"CICLO_PC nao identificado",IF(OR(D997="",D997=0),"VALOR_PC vazio ou zero",IF(AND(G997&lt;&gt;"Sim",G997&lt;&gt;"Nao",G997&lt;&gt;""),"PC_PAGO_A_CONTRATADA invalido",IF(AND(C997&lt;&gt;"C0",IFERROR(INDEX(parametros!$A$2:$A$6,MATCH(C997,parametros!$B$2:$B$6,0)),"")="Sim",IFERROR(INDEX(parametros!$H$2:$H$6,MATCH(C997,parametros!$B$2:$B$6,0)),"")=""),"INICIO_EFEITO ausente: PC "&amp;A997&amp;" - "&amp;C997,IF(L997="","EFEITO_PC nao calculado: PC "&amp;A997&amp;" - "&amp;C997,"OK")))))))))</f>
        <v/>
      </c>
      <c r="L997" s="92" t="str">
        <f>IF(AND(A997="",B997="",D997="",G997=""),"",IF(OR(B997="",NOT(ISNUMBER(B997)),C997="",C997="Fora dos ciclos"),"",IF(C997="C0","Nao",IF(IFERROR(INDEX(parametros!$A$2:$A$6,MATCH(C997,parametros!$B$2:$B$6,0)),"")&lt;&gt;"Sim","Nao",IF(IFERROR(INDEX(parametros!$H$2:$H$6,MATCH(C997,parametros!$B$2:$B$6,0)),"")="","",IF(B997&gt;=IFERROR(INDEX(parametros!$H$2:$H$6,MATCH(C997,parametros!$B$2:$B$6,0)),""),"Sim","Nao"))))))</f>
        <v/>
      </c>
      <c r="T997" s="156"/>
      <c r="U997" s="214" t="str">
        <f t="shared" si="81"/>
        <v/>
      </c>
      <c r="V997" s="212" t="s">
        <v>50</v>
      </c>
      <c r="W997" s="100" t="s">
        <v>168</v>
      </c>
      <c r="X997" s="100" t="s">
        <v>169</v>
      </c>
      <c r="Y997" s="101" t="s">
        <v>170</v>
      </c>
      <c r="Z997" s="101" t="s">
        <v>171</v>
      </c>
      <c r="AA997" s="101" t="s">
        <v>50</v>
      </c>
      <c r="AB997" s="101" t="s">
        <v>172</v>
      </c>
      <c r="AC997" s="102" t="s">
        <v>173</v>
      </c>
    </row>
    <row r="998" spans="1:29" ht="25.5" customHeight="1" x14ac:dyDescent="0.35">
      <c r="A998" s="392"/>
      <c r="B998" s="393"/>
      <c r="C998" s="99" t="str">
        <f>IF(B998="","",IF(NOT(ISNUMBER(B998)),"DATA_PC invalida",IF(NOT(ISNUMBER(parametros!$C$2)),"Fora dos ciclos",IF(OR(B998&lt;parametros!$C$2,(YEAR(B998)-YEAR(parametros!$C$2))*12+MONTH(B998)-MONTH(parametros!$C$2)&gt;59),"Fora dos ciclos","C"&amp;INT(((YEAR(B998)-YEAR(parametros!$C$2))*12+MONTH(B998)-MONTH(parametros!$C$2))/12)))))</f>
        <v/>
      </c>
      <c r="D998" s="394"/>
      <c r="E998" s="78" t="str">
        <f>IF(C998="","",IFERROR(VLOOKUP(C998,parametros!$A$11:$E$15,5,0),""))</f>
        <v/>
      </c>
      <c r="F998" s="79" t="str">
        <f t="shared" si="77"/>
        <v/>
      </c>
      <c r="G998" s="395"/>
      <c r="H998" s="91">
        <f t="shared" si="78"/>
        <v>0</v>
      </c>
      <c r="I998" s="91" t="str">
        <f t="shared" si="79"/>
        <v/>
      </c>
      <c r="J998" s="91" t="str">
        <f t="shared" si="80"/>
        <v/>
      </c>
      <c r="K998" s="92" t="str">
        <f>IF(AND(A998="",B998="",D998="",G998=""),"",IF(AND(A998&lt;&gt;"",COUNTIF($A$2:$A$5001,A998)&gt;1),"NUMERO_PC duplicado",IF(B998="","DATA_PC vazia",IF(NOT(ISNUMBER(B998)),"DATA_PC invalida",IF(OR(C998="",C998="Fora dos ciclos"),"CICLO_PC nao identificado",IF(OR(D998="",D998=0),"VALOR_PC vazio ou zero",IF(AND(G998&lt;&gt;"Sim",G998&lt;&gt;"Nao",G998&lt;&gt;""),"PC_PAGO_A_CONTRATADA invalido",IF(AND(C998&lt;&gt;"C0",IFERROR(INDEX(parametros!$A$2:$A$6,MATCH(C998,parametros!$B$2:$B$6,0)),"")="Sim",IFERROR(INDEX(parametros!$H$2:$H$6,MATCH(C998,parametros!$B$2:$B$6,0)),"")=""),"INICIO_EFEITO ausente: PC "&amp;A998&amp;" - "&amp;C998,IF(L998="","EFEITO_PC nao calculado: PC "&amp;A998&amp;" - "&amp;C998,"OK")))))))))</f>
        <v/>
      </c>
      <c r="L998" s="92" t="str">
        <f>IF(AND(A998="",B998="",D998="",G998=""),"",IF(OR(B998="",NOT(ISNUMBER(B998)),C998="",C998="Fora dos ciclos"),"",IF(C998="C0","Nao",IF(IFERROR(INDEX(parametros!$A$2:$A$6,MATCH(C998,parametros!$B$2:$B$6,0)),"")&lt;&gt;"Sim","Nao",IF(IFERROR(INDEX(parametros!$H$2:$H$6,MATCH(C998,parametros!$B$2:$B$6,0)),"")="","",IF(B998&gt;=IFERROR(INDEX(parametros!$H$2:$H$6,MATCH(C998,parametros!$B$2:$B$6,0)),""),"Sim","Nao"))))))</f>
        <v/>
      </c>
      <c r="T998" s="156"/>
      <c r="U998" s="214" t="str">
        <f t="shared" si="81"/>
        <v/>
      </c>
      <c r="V998" s="212" t="s">
        <v>50</v>
      </c>
      <c r="W998" s="100" t="s">
        <v>168</v>
      </c>
      <c r="X998" s="100" t="s">
        <v>169</v>
      </c>
      <c r="Y998" s="101" t="s">
        <v>170</v>
      </c>
      <c r="Z998" s="101" t="s">
        <v>171</v>
      </c>
      <c r="AA998" s="101" t="s">
        <v>50</v>
      </c>
      <c r="AB998" s="101" t="s">
        <v>172</v>
      </c>
      <c r="AC998" s="102" t="s">
        <v>173</v>
      </c>
    </row>
    <row r="999" spans="1:29" ht="25.5" customHeight="1" x14ac:dyDescent="0.35">
      <c r="A999" s="392"/>
      <c r="B999" s="393"/>
      <c r="C999" s="99" t="str">
        <f>IF(B999="","",IF(NOT(ISNUMBER(B999)),"DATA_PC invalida",IF(NOT(ISNUMBER(parametros!$C$2)),"Fora dos ciclos",IF(OR(B999&lt;parametros!$C$2,(YEAR(B999)-YEAR(parametros!$C$2))*12+MONTH(B999)-MONTH(parametros!$C$2)&gt;59),"Fora dos ciclos","C"&amp;INT(((YEAR(B999)-YEAR(parametros!$C$2))*12+MONTH(B999)-MONTH(parametros!$C$2))/12)))))</f>
        <v/>
      </c>
      <c r="D999" s="394"/>
      <c r="E999" s="78" t="str">
        <f>IF(C999="","",IFERROR(VLOOKUP(C999,parametros!$A$11:$E$15,5,0),""))</f>
        <v/>
      </c>
      <c r="F999" s="79" t="str">
        <f t="shared" si="77"/>
        <v/>
      </c>
      <c r="G999" s="395"/>
      <c r="H999" s="91">
        <f t="shared" si="78"/>
        <v>0</v>
      </c>
      <c r="I999" s="91" t="str">
        <f t="shared" si="79"/>
        <v/>
      </c>
      <c r="J999" s="91" t="str">
        <f t="shared" si="80"/>
        <v/>
      </c>
      <c r="K999" s="92" t="str">
        <f>IF(AND(A999="",B999="",D999="",G999=""),"",IF(AND(A999&lt;&gt;"",COUNTIF($A$2:$A$5001,A999)&gt;1),"NUMERO_PC duplicado",IF(B999="","DATA_PC vazia",IF(NOT(ISNUMBER(B999)),"DATA_PC invalida",IF(OR(C999="",C999="Fora dos ciclos"),"CICLO_PC nao identificado",IF(OR(D999="",D999=0),"VALOR_PC vazio ou zero",IF(AND(G999&lt;&gt;"Sim",G999&lt;&gt;"Nao",G999&lt;&gt;""),"PC_PAGO_A_CONTRATADA invalido",IF(AND(C999&lt;&gt;"C0",IFERROR(INDEX(parametros!$A$2:$A$6,MATCH(C999,parametros!$B$2:$B$6,0)),"")="Sim",IFERROR(INDEX(parametros!$H$2:$H$6,MATCH(C999,parametros!$B$2:$B$6,0)),"")=""),"INICIO_EFEITO ausente: PC "&amp;A999&amp;" - "&amp;C999,IF(L999="","EFEITO_PC nao calculado: PC "&amp;A999&amp;" - "&amp;C999,"OK")))))))))</f>
        <v/>
      </c>
      <c r="L999" s="92" t="str">
        <f>IF(AND(A999="",B999="",D999="",G999=""),"",IF(OR(B999="",NOT(ISNUMBER(B999)),C999="",C999="Fora dos ciclos"),"",IF(C999="C0","Nao",IF(IFERROR(INDEX(parametros!$A$2:$A$6,MATCH(C999,parametros!$B$2:$B$6,0)),"")&lt;&gt;"Sim","Nao",IF(IFERROR(INDEX(parametros!$H$2:$H$6,MATCH(C999,parametros!$B$2:$B$6,0)),"")="","",IF(B999&gt;=IFERROR(INDEX(parametros!$H$2:$H$6,MATCH(C999,parametros!$B$2:$B$6,0)),""),"Sim","Nao"))))))</f>
        <v/>
      </c>
      <c r="T999" s="156"/>
      <c r="U999" s="214" t="str">
        <f t="shared" si="81"/>
        <v/>
      </c>
      <c r="V999" s="212" t="s">
        <v>50</v>
      </c>
      <c r="W999" s="100" t="s">
        <v>168</v>
      </c>
      <c r="X999" s="100" t="s">
        <v>169</v>
      </c>
      <c r="Y999" s="101" t="s">
        <v>170</v>
      </c>
      <c r="Z999" s="101" t="s">
        <v>171</v>
      </c>
      <c r="AA999" s="101" t="s">
        <v>50</v>
      </c>
      <c r="AB999" s="101" t="s">
        <v>172</v>
      </c>
      <c r="AC999" s="102" t="s">
        <v>173</v>
      </c>
    </row>
    <row r="1000" spans="1:29" ht="25.5" customHeight="1" x14ac:dyDescent="0.35">
      <c r="A1000" s="392"/>
      <c r="B1000" s="393"/>
      <c r="C1000" s="99" t="str">
        <f>IF(B1000="","",IF(NOT(ISNUMBER(B1000)),"DATA_PC invalida",IF(NOT(ISNUMBER(parametros!$C$2)),"Fora dos ciclos",IF(OR(B1000&lt;parametros!$C$2,(YEAR(B1000)-YEAR(parametros!$C$2))*12+MONTH(B1000)-MONTH(parametros!$C$2)&gt;59),"Fora dos ciclos","C"&amp;INT(((YEAR(B1000)-YEAR(parametros!$C$2))*12+MONTH(B1000)-MONTH(parametros!$C$2))/12)))))</f>
        <v/>
      </c>
      <c r="D1000" s="394"/>
      <c r="E1000" s="78" t="str">
        <f>IF(C1000="","",IFERROR(VLOOKUP(C1000,parametros!$A$11:$E$15,5,0),""))</f>
        <v/>
      </c>
      <c r="F1000" s="79" t="str">
        <f t="shared" si="77"/>
        <v/>
      </c>
      <c r="G1000" s="395"/>
      <c r="H1000" s="91">
        <f t="shared" si="78"/>
        <v>0</v>
      </c>
      <c r="I1000" s="91" t="str">
        <f t="shared" si="79"/>
        <v/>
      </c>
      <c r="J1000" s="91" t="str">
        <f t="shared" si="80"/>
        <v/>
      </c>
      <c r="K1000" s="92" t="str">
        <f>IF(AND(A1000="",B1000="",D1000="",G1000=""),"",IF(AND(A1000&lt;&gt;"",COUNTIF($A$2:$A$5001,A1000)&gt;1),"NUMERO_PC duplicado",IF(B1000="","DATA_PC vazia",IF(NOT(ISNUMBER(B1000)),"DATA_PC invalida",IF(OR(C1000="",C1000="Fora dos ciclos"),"CICLO_PC nao identificado",IF(OR(D1000="",D1000=0),"VALOR_PC vazio ou zero",IF(AND(G1000&lt;&gt;"Sim",G1000&lt;&gt;"Nao",G1000&lt;&gt;""),"PC_PAGO_A_CONTRATADA invalido",IF(AND(C1000&lt;&gt;"C0",IFERROR(INDEX(parametros!$A$2:$A$6,MATCH(C1000,parametros!$B$2:$B$6,0)),"")="Sim",IFERROR(INDEX(parametros!$H$2:$H$6,MATCH(C1000,parametros!$B$2:$B$6,0)),"")=""),"INICIO_EFEITO ausente: PC "&amp;A1000&amp;" - "&amp;C1000,IF(L1000="","EFEITO_PC nao calculado: PC "&amp;A1000&amp;" - "&amp;C1000,"OK")))))))))</f>
        <v/>
      </c>
      <c r="L1000" s="92" t="str">
        <f>IF(AND(A1000="",B1000="",D1000="",G1000=""),"",IF(OR(B1000="",NOT(ISNUMBER(B1000)),C1000="",C1000="Fora dos ciclos"),"",IF(C1000="C0","Nao",IF(IFERROR(INDEX(parametros!$A$2:$A$6,MATCH(C1000,parametros!$B$2:$B$6,0)),"")&lt;&gt;"Sim","Nao",IF(IFERROR(INDEX(parametros!$H$2:$H$6,MATCH(C1000,parametros!$B$2:$B$6,0)),"")="","",IF(B1000&gt;=IFERROR(INDEX(parametros!$H$2:$H$6,MATCH(C1000,parametros!$B$2:$B$6,0)),""),"Sim","Nao"))))))</f>
        <v/>
      </c>
      <c r="T1000" s="156"/>
      <c r="U1000" s="214" t="str">
        <f t="shared" si="81"/>
        <v/>
      </c>
      <c r="V1000" s="212" t="s">
        <v>50</v>
      </c>
      <c r="W1000" s="100" t="s">
        <v>168</v>
      </c>
      <c r="X1000" s="100" t="s">
        <v>169</v>
      </c>
      <c r="Y1000" s="101" t="s">
        <v>170</v>
      </c>
      <c r="Z1000" s="101" t="s">
        <v>171</v>
      </c>
      <c r="AA1000" s="101" t="s">
        <v>50</v>
      </c>
      <c r="AB1000" s="101" t="s">
        <v>172</v>
      </c>
      <c r="AC1000" s="102" t="s">
        <v>173</v>
      </c>
    </row>
    <row r="1001" spans="1:29" ht="25.5" customHeight="1" x14ac:dyDescent="0.35">
      <c r="A1001" s="392"/>
      <c r="B1001" s="393"/>
      <c r="C1001" s="99" t="str">
        <f>IF(B1001="","",IF(NOT(ISNUMBER(B1001)),"DATA_PC invalida",IF(NOT(ISNUMBER(parametros!$C$2)),"Fora dos ciclos",IF(OR(B1001&lt;parametros!$C$2,(YEAR(B1001)-YEAR(parametros!$C$2))*12+MONTH(B1001)-MONTH(parametros!$C$2)&gt;59),"Fora dos ciclos","C"&amp;INT(((YEAR(B1001)-YEAR(parametros!$C$2))*12+MONTH(B1001)-MONTH(parametros!$C$2))/12)))))</f>
        <v/>
      </c>
      <c r="D1001" s="394"/>
      <c r="E1001" s="78" t="str">
        <f>IF(C1001="","",IFERROR(VLOOKUP(C1001,parametros!$A$11:$E$15,5,0),""))</f>
        <v/>
      </c>
      <c r="F1001" s="79" t="str">
        <f t="shared" si="77"/>
        <v/>
      </c>
      <c r="G1001" s="395"/>
      <c r="H1001" s="91">
        <f t="shared" si="78"/>
        <v>0</v>
      </c>
      <c r="I1001" s="91" t="str">
        <f t="shared" si="79"/>
        <v/>
      </c>
      <c r="J1001" s="91" t="str">
        <f t="shared" si="80"/>
        <v/>
      </c>
      <c r="K1001" s="92" t="str">
        <f>IF(AND(A1001="",B1001="",D1001="",G1001=""),"",IF(AND(A1001&lt;&gt;"",COUNTIF($A$2:$A$5001,A1001)&gt;1),"NUMERO_PC duplicado",IF(B1001="","DATA_PC vazia",IF(NOT(ISNUMBER(B1001)),"DATA_PC invalida",IF(OR(C1001="",C1001="Fora dos ciclos"),"CICLO_PC nao identificado",IF(OR(D1001="",D1001=0),"VALOR_PC vazio ou zero",IF(AND(G1001&lt;&gt;"Sim",G1001&lt;&gt;"Nao",G1001&lt;&gt;""),"PC_PAGO_A_CONTRATADA invalido",IF(AND(C1001&lt;&gt;"C0",IFERROR(INDEX(parametros!$A$2:$A$6,MATCH(C1001,parametros!$B$2:$B$6,0)),"")="Sim",IFERROR(INDEX(parametros!$H$2:$H$6,MATCH(C1001,parametros!$B$2:$B$6,0)),"")=""),"INICIO_EFEITO ausente: PC "&amp;A1001&amp;" - "&amp;C1001,IF(L1001="","EFEITO_PC nao calculado: PC "&amp;A1001&amp;" - "&amp;C1001,"OK")))))))))</f>
        <v/>
      </c>
      <c r="L1001" s="92" t="str">
        <f>IF(AND(A1001="",B1001="",D1001="",G1001=""),"",IF(OR(B1001="",NOT(ISNUMBER(B1001)),C1001="",C1001="Fora dos ciclos"),"",IF(C1001="C0","Nao",IF(IFERROR(INDEX(parametros!$A$2:$A$6,MATCH(C1001,parametros!$B$2:$B$6,0)),"")&lt;&gt;"Sim","Nao",IF(IFERROR(INDEX(parametros!$H$2:$H$6,MATCH(C1001,parametros!$B$2:$B$6,0)),"")="","",IF(B1001&gt;=IFERROR(INDEX(parametros!$H$2:$H$6,MATCH(C1001,parametros!$B$2:$B$6,0)),""),"Sim","Nao"))))))</f>
        <v/>
      </c>
      <c r="T1001" s="156"/>
      <c r="U1001" s="214" t="str">
        <f t="shared" si="81"/>
        <v/>
      </c>
      <c r="V1001" s="212" t="s">
        <v>50</v>
      </c>
      <c r="W1001" s="100" t="s">
        <v>168</v>
      </c>
      <c r="X1001" s="100" t="s">
        <v>169</v>
      </c>
      <c r="Y1001" s="101" t="s">
        <v>170</v>
      </c>
      <c r="Z1001" s="101" t="s">
        <v>171</v>
      </c>
      <c r="AA1001" s="101" t="s">
        <v>50</v>
      </c>
      <c r="AB1001" s="101" t="s">
        <v>172</v>
      </c>
      <c r="AC1001" s="102" t="s">
        <v>173</v>
      </c>
    </row>
    <row r="1002" spans="1:29" ht="25.5" customHeight="1" x14ac:dyDescent="0.35">
      <c r="A1002" s="392"/>
      <c r="B1002" s="393"/>
      <c r="C1002" s="99" t="str">
        <f>IF(B1002="","",IF(NOT(ISNUMBER(B1002)),"DATA_PC invalida",IF(NOT(ISNUMBER(parametros!$C$2)),"Fora dos ciclos",IF(OR(B1002&lt;parametros!$C$2,(YEAR(B1002)-YEAR(parametros!$C$2))*12+MONTH(B1002)-MONTH(parametros!$C$2)&gt;59),"Fora dos ciclos","C"&amp;INT(((YEAR(B1002)-YEAR(parametros!$C$2))*12+MONTH(B1002)-MONTH(parametros!$C$2))/12)))))</f>
        <v/>
      </c>
      <c r="D1002" s="394"/>
      <c r="E1002" s="78" t="str">
        <f>IF(C1002="","",IFERROR(VLOOKUP(C1002,parametros!$A$11:$E$15,5,0),""))</f>
        <v/>
      </c>
      <c r="F1002" s="79" t="str">
        <f t="shared" si="77"/>
        <v/>
      </c>
      <c r="G1002" s="395"/>
      <c r="H1002" s="91">
        <f t="shared" si="78"/>
        <v>0</v>
      </c>
      <c r="I1002" s="91" t="str">
        <f t="shared" si="79"/>
        <v/>
      </c>
      <c r="J1002" s="91" t="str">
        <f t="shared" si="80"/>
        <v/>
      </c>
      <c r="K1002" s="92" t="str">
        <f>IF(AND(A1002="",B1002="",D1002="",G1002=""),"",IF(AND(A1002&lt;&gt;"",COUNTIF($A$2:$A$5001,A1002)&gt;1),"NUMERO_PC duplicado",IF(B1002="","DATA_PC vazia",IF(NOT(ISNUMBER(B1002)),"DATA_PC invalida",IF(OR(C1002="",C1002="Fora dos ciclos"),"CICLO_PC nao identificado",IF(OR(D1002="",D1002=0),"VALOR_PC vazio ou zero",IF(AND(G1002&lt;&gt;"Sim",G1002&lt;&gt;"Nao",G1002&lt;&gt;""),"PC_PAGO_A_CONTRATADA invalido",IF(AND(C1002&lt;&gt;"C0",IFERROR(INDEX(parametros!$A$2:$A$6,MATCH(C1002,parametros!$B$2:$B$6,0)),"")="Sim",IFERROR(INDEX(parametros!$H$2:$H$6,MATCH(C1002,parametros!$B$2:$B$6,0)),"")=""),"INICIO_EFEITO ausente: PC "&amp;A1002&amp;" - "&amp;C1002,IF(L1002="","EFEITO_PC nao calculado: PC "&amp;A1002&amp;" - "&amp;C1002,"OK")))))))))</f>
        <v/>
      </c>
      <c r="L1002" s="92" t="str">
        <f>IF(AND(A1002="",B1002="",D1002="",G1002=""),"",IF(OR(B1002="",NOT(ISNUMBER(B1002)),C1002="",C1002="Fora dos ciclos"),"",IF(C1002="C0","Nao",IF(IFERROR(INDEX(parametros!$A$2:$A$6,MATCH(C1002,parametros!$B$2:$B$6,0)),"")&lt;&gt;"Sim","Nao",IF(IFERROR(INDEX(parametros!$H$2:$H$6,MATCH(C1002,parametros!$B$2:$B$6,0)),"")="","",IF(B1002&gt;=IFERROR(INDEX(parametros!$H$2:$H$6,MATCH(C1002,parametros!$B$2:$B$6,0)),""),"Sim","Nao"))))))</f>
        <v/>
      </c>
      <c r="T1002" s="156"/>
      <c r="U1002" s="214" t="str">
        <f t="shared" si="81"/>
        <v/>
      </c>
      <c r="V1002" s="212" t="s">
        <v>50</v>
      </c>
      <c r="W1002" s="100" t="s">
        <v>168</v>
      </c>
      <c r="X1002" s="100" t="s">
        <v>169</v>
      </c>
      <c r="Y1002" s="101" t="s">
        <v>170</v>
      </c>
      <c r="Z1002" s="101" t="s">
        <v>171</v>
      </c>
      <c r="AA1002" s="101" t="s">
        <v>50</v>
      </c>
      <c r="AB1002" s="101" t="s">
        <v>172</v>
      </c>
      <c r="AC1002" s="102" t="s">
        <v>173</v>
      </c>
    </row>
    <row r="1003" spans="1:29" ht="25.5" customHeight="1" x14ac:dyDescent="0.35">
      <c r="A1003" s="392"/>
      <c r="B1003" s="393"/>
      <c r="C1003" s="99" t="str">
        <f>IF(B1003="","",IF(NOT(ISNUMBER(B1003)),"DATA_PC invalida",IF(NOT(ISNUMBER(parametros!$C$2)),"Fora dos ciclos",IF(OR(B1003&lt;parametros!$C$2,(YEAR(B1003)-YEAR(parametros!$C$2))*12+MONTH(B1003)-MONTH(parametros!$C$2)&gt;59),"Fora dos ciclos","C"&amp;INT(((YEAR(B1003)-YEAR(parametros!$C$2))*12+MONTH(B1003)-MONTH(parametros!$C$2))/12)))))</f>
        <v/>
      </c>
      <c r="D1003" s="394"/>
      <c r="E1003" s="78" t="str">
        <f>IF(C1003="","",IFERROR(VLOOKUP(C1003,parametros!$A$11:$E$15,5,0),""))</f>
        <v/>
      </c>
      <c r="F1003" s="79" t="str">
        <f t="shared" si="77"/>
        <v/>
      </c>
      <c r="G1003" s="395"/>
      <c r="H1003" s="91">
        <f t="shared" si="78"/>
        <v>0</v>
      </c>
      <c r="I1003" s="91" t="str">
        <f t="shared" si="79"/>
        <v/>
      </c>
      <c r="J1003" s="91" t="str">
        <f t="shared" si="80"/>
        <v/>
      </c>
      <c r="K1003" s="92" t="str">
        <f>IF(AND(A1003="",B1003="",D1003="",G1003=""),"",IF(AND(A1003&lt;&gt;"",COUNTIF($A$2:$A$5001,A1003)&gt;1),"NUMERO_PC duplicado",IF(B1003="","DATA_PC vazia",IF(NOT(ISNUMBER(B1003)),"DATA_PC invalida",IF(OR(C1003="",C1003="Fora dos ciclos"),"CICLO_PC nao identificado",IF(OR(D1003="",D1003=0),"VALOR_PC vazio ou zero",IF(AND(G1003&lt;&gt;"Sim",G1003&lt;&gt;"Nao",G1003&lt;&gt;""),"PC_PAGO_A_CONTRATADA invalido",IF(AND(C1003&lt;&gt;"C0",IFERROR(INDEX(parametros!$A$2:$A$6,MATCH(C1003,parametros!$B$2:$B$6,0)),"")="Sim",IFERROR(INDEX(parametros!$H$2:$H$6,MATCH(C1003,parametros!$B$2:$B$6,0)),"")=""),"INICIO_EFEITO ausente: PC "&amp;A1003&amp;" - "&amp;C1003,IF(L1003="","EFEITO_PC nao calculado: PC "&amp;A1003&amp;" - "&amp;C1003,"OK")))))))))</f>
        <v/>
      </c>
      <c r="L1003" s="92" t="str">
        <f>IF(AND(A1003="",B1003="",D1003="",G1003=""),"",IF(OR(B1003="",NOT(ISNUMBER(B1003)),C1003="",C1003="Fora dos ciclos"),"",IF(C1003="C0","Nao",IF(IFERROR(INDEX(parametros!$A$2:$A$6,MATCH(C1003,parametros!$B$2:$B$6,0)),"")&lt;&gt;"Sim","Nao",IF(IFERROR(INDEX(parametros!$H$2:$H$6,MATCH(C1003,parametros!$B$2:$B$6,0)),"")="","",IF(B1003&gt;=IFERROR(INDEX(parametros!$H$2:$H$6,MATCH(C1003,parametros!$B$2:$B$6,0)),""),"Sim","Nao"))))))</f>
        <v/>
      </c>
      <c r="T1003" s="156"/>
      <c r="U1003" s="214" t="str">
        <f t="shared" si="81"/>
        <v/>
      </c>
      <c r="V1003" s="212" t="s">
        <v>50</v>
      </c>
      <c r="W1003" s="100" t="s">
        <v>168</v>
      </c>
      <c r="X1003" s="100" t="s">
        <v>169</v>
      </c>
      <c r="Y1003" s="101" t="s">
        <v>170</v>
      </c>
      <c r="Z1003" s="101" t="s">
        <v>171</v>
      </c>
      <c r="AA1003" s="101" t="s">
        <v>50</v>
      </c>
      <c r="AB1003" s="101" t="s">
        <v>172</v>
      </c>
      <c r="AC1003" s="102" t="s">
        <v>173</v>
      </c>
    </row>
    <row r="1004" spans="1:29" ht="25.5" customHeight="1" x14ac:dyDescent="0.35">
      <c r="A1004" s="392"/>
      <c r="B1004" s="393"/>
      <c r="C1004" s="99" t="str">
        <f>IF(B1004="","",IF(NOT(ISNUMBER(B1004)),"DATA_PC invalida",IF(NOT(ISNUMBER(parametros!$C$2)),"Fora dos ciclos",IF(OR(B1004&lt;parametros!$C$2,(YEAR(B1004)-YEAR(parametros!$C$2))*12+MONTH(B1004)-MONTH(parametros!$C$2)&gt;59),"Fora dos ciclos","C"&amp;INT(((YEAR(B1004)-YEAR(parametros!$C$2))*12+MONTH(B1004)-MONTH(parametros!$C$2))/12)))))</f>
        <v/>
      </c>
      <c r="D1004" s="394"/>
      <c r="E1004" s="78" t="str">
        <f>IF(C1004="","",IFERROR(VLOOKUP(C1004,parametros!$A$11:$E$15,5,0),""))</f>
        <v/>
      </c>
      <c r="F1004" s="79" t="str">
        <f t="shared" si="77"/>
        <v/>
      </c>
      <c r="G1004" s="395"/>
      <c r="H1004" s="91">
        <f t="shared" si="78"/>
        <v>0</v>
      </c>
      <c r="I1004" s="91" t="str">
        <f t="shared" si="79"/>
        <v/>
      </c>
      <c r="J1004" s="91" t="str">
        <f t="shared" si="80"/>
        <v/>
      </c>
      <c r="K1004" s="92" t="str">
        <f>IF(AND(A1004="",B1004="",D1004="",G1004=""),"",IF(AND(A1004&lt;&gt;"",COUNTIF($A$2:$A$5001,A1004)&gt;1),"NUMERO_PC duplicado",IF(B1004="","DATA_PC vazia",IF(NOT(ISNUMBER(B1004)),"DATA_PC invalida",IF(OR(C1004="",C1004="Fora dos ciclos"),"CICLO_PC nao identificado",IF(OR(D1004="",D1004=0),"VALOR_PC vazio ou zero",IF(AND(G1004&lt;&gt;"Sim",G1004&lt;&gt;"Nao",G1004&lt;&gt;""),"PC_PAGO_A_CONTRATADA invalido",IF(AND(C1004&lt;&gt;"C0",IFERROR(INDEX(parametros!$A$2:$A$6,MATCH(C1004,parametros!$B$2:$B$6,0)),"")="Sim",IFERROR(INDEX(parametros!$H$2:$H$6,MATCH(C1004,parametros!$B$2:$B$6,0)),"")=""),"INICIO_EFEITO ausente: PC "&amp;A1004&amp;" - "&amp;C1004,IF(L1004="","EFEITO_PC nao calculado: PC "&amp;A1004&amp;" - "&amp;C1004,"OK")))))))))</f>
        <v/>
      </c>
      <c r="L1004" s="92" t="str">
        <f>IF(AND(A1004="",B1004="",D1004="",G1004=""),"",IF(OR(B1004="",NOT(ISNUMBER(B1004)),C1004="",C1004="Fora dos ciclos"),"",IF(C1004="C0","Nao",IF(IFERROR(INDEX(parametros!$A$2:$A$6,MATCH(C1004,parametros!$B$2:$B$6,0)),"")&lt;&gt;"Sim","Nao",IF(IFERROR(INDEX(parametros!$H$2:$H$6,MATCH(C1004,parametros!$B$2:$B$6,0)),"")="","",IF(B1004&gt;=IFERROR(INDEX(parametros!$H$2:$H$6,MATCH(C1004,parametros!$B$2:$B$6,0)),""),"Sim","Nao"))))))</f>
        <v/>
      </c>
      <c r="T1004" s="156"/>
      <c r="U1004" s="214" t="str">
        <f t="shared" si="81"/>
        <v/>
      </c>
      <c r="V1004" s="212" t="s">
        <v>50</v>
      </c>
      <c r="W1004" s="100" t="s">
        <v>168</v>
      </c>
      <c r="X1004" s="100" t="s">
        <v>169</v>
      </c>
      <c r="Y1004" s="101" t="s">
        <v>170</v>
      </c>
      <c r="Z1004" s="101" t="s">
        <v>171</v>
      </c>
      <c r="AA1004" s="101" t="s">
        <v>50</v>
      </c>
      <c r="AB1004" s="101" t="s">
        <v>172</v>
      </c>
      <c r="AC1004" s="102" t="s">
        <v>173</v>
      </c>
    </row>
    <row r="1005" spans="1:29" ht="25.5" customHeight="1" x14ac:dyDescent="0.35">
      <c r="A1005" s="392"/>
      <c r="B1005" s="393"/>
      <c r="C1005" s="99" t="str">
        <f>IF(B1005="","",IF(NOT(ISNUMBER(B1005)),"DATA_PC invalida",IF(NOT(ISNUMBER(parametros!$C$2)),"Fora dos ciclos",IF(OR(B1005&lt;parametros!$C$2,(YEAR(B1005)-YEAR(parametros!$C$2))*12+MONTH(B1005)-MONTH(parametros!$C$2)&gt;59),"Fora dos ciclos","C"&amp;INT(((YEAR(B1005)-YEAR(parametros!$C$2))*12+MONTH(B1005)-MONTH(parametros!$C$2))/12)))))</f>
        <v/>
      </c>
      <c r="D1005" s="394"/>
      <c r="E1005" s="78" t="str">
        <f>IF(C1005="","",IFERROR(VLOOKUP(C1005,parametros!$A$11:$E$15,5,0),""))</f>
        <v/>
      </c>
      <c r="F1005" s="79" t="str">
        <f t="shared" si="77"/>
        <v/>
      </c>
      <c r="G1005" s="395"/>
      <c r="H1005" s="91">
        <f t="shared" si="78"/>
        <v>0</v>
      </c>
      <c r="I1005" s="91" t="str">
        <f t="shared" si="79"/>
        <v/>
      </c>
      <c r="J1005" s="91" t="str">
        <f t="shared" si="80"/>
        <v/>
      </c>
      <c r="K1005" s="92" t="str">
        <f>IF(AND(A1005="",B1005="",D1005="",G1005=""),"",IF(AND(A1005&lt;&gt;"",COUNTIF($A$2:$A$5001,A1005)&gt;1),"NUMERO_PC duplicado",IF(B1005="","DATA_PC vazia",IF(NOT(ISNUMBER(B1005)),"DATA_PC invalida",IF(OR(C1005="",C1005="Fora dos ciclos"),"CICLO_PC nao identificado",IF(OR(D1005="",D1005=0),"VALOR_PC vazio ou zero",IF(AND(G1005&lt;&gt;"Sim",G1005&lt;&gt;"Nao",G1005&lt;&gt;""),"PC_PAGO_A_CONTRATADA invalido",IF(AND(C1005&lt;&gt;"C0",IFERROR(INDEX(parametros!$A$2:$A$6,MATCH(C1005,parametros!$B$2:$B$6,0)),"")="Sim",IFERROR(INDEX(parametros!$H$2:$H$6,MATCH(C1005,parametros!$B$2:$B$6,0)),"")=""),"INICIO_EFEITO ausente: PC "&amp;A1005&amp;" - "&amp;C1005,IF(L1005="","EFEITO_PC nao calculado: PC "&amp;A1005&amp;" - "&amp;C1005,"OK")))))))))</f>
        <v/>
      </c>
      <c r="L1005" s="92" t="str">
        <f>IF(AND(A1005="",B1005="",D1005="",G1005=""),"",IF(OR(B1005="",NOT(ISNUMBER(B1005)),C1005="",C1005="Fora dos ciclos"),"",IF(C1005="C0","Nao",IF(IFERROR(INDEX(parametros!$A$2:$A$6,MATCH(C1005,parametros!$B$2:$B$6,0)),"")&lt;&gt;"Sim","Nao",IF(IFERROR(INDEX(parametros!$H$2:$H$6,MATCH(C1005,parametros!$B$2:$B$6,0)),"")="","",IF(B1005&gt;=IFERROR(INDEX(parametros!$H$2:$H$6,MATCH(C1005,parametros!$B$2:$B$6,0)),""),"Sim","Nao"))))))</f>
        <v/>
      </c>
      <c r="T1005" s="156"/>
      <c r="U1005" s="214" t="str">
        <f t="shared" si="81"/>
        <v/>
      </c>
      <c r="V1005" s="212" t="s">
        <v>50</v>
      </c>
      <c r="W1005" s="100" t="s">
        <v>168</v>
      </c>
      <c r="X1005" s="100" t="s">
        <v>169</v>
      </c>
      <c r="Y1005" s="101" t="s">
        <v>170</v>
      </c>
      <c r="Z1005" s="101" t="s">
        <v>171</v>
      </c>
      <c r="AA1005" s="101" t="s">
        <v>50</v>
      </c>
      <c r="AB1005" s="101" t="s">
        <v>172</v>
      </c>
      <c r="AC1005" s="102" t="s">
        <v>173</v>
      </c>
    </row>
    <row r="1006" spans="1:29" ht="25.5" customHeight="1" x14ac:dyDescent="0.35">
      <c r="A1006" s="392"/>
      <c r="B1006" s="393"/>
      <c r="C1006" s="99" t="str">
        <f>IF(B1006="","",IF(NOT(ISNUMBER(B1006)),"DATA_PC invalida",IF(NOT(ISNUMBER(parametros!$C$2)),"Fora dos ciclos",IF(OR(B1006&lt;parametros!$C$2,(YEAR(B1006)-YEAR(parametros!$C$2))*12+MONTH(B1006)-MONTH(parametros!$C$2)&gt;59),"Fora dos ciclos","C"&amp;INT(((YEAR(B1006)-YEAR(parametros!$C$2))*12+MONTH(B1006)-MONTH(parametros!$C$2))/12)))))</f>
        <v/>
      </c>
      <c r="D1006" s="394"/>
      <c r="E1006" s="78" t="str">
        <f>IF(C1006="","",IFERROR(VLOOKUP(C1006,parametros!$A$11:$E$15,5,0),""))</f>
        <v/>
      </c>
      <c r="F1006" s="79" t="str">
        <f t="shared" si="77"/>
        <v/>
      </c>
      <c r="G1006" s="395"/>
      <c r="H1006" s="91">
        <f t="shared" si="78"/>
        <v>0</v>
      </c>
      <c r="I1006" s="91" t="str">
        <f t="shared" si="79"/>
        <v/>
      </c>
      <c r="J1006" s="91" t="str">
        <f t="shared" si="80"/>
        <v/>
      </c>
      <c r="K1006" s="92" t="str">
        <f>IF(AND(A1006="",B1006="",D1006="",G1006=""),"",IF(AND(A1006&lt;&gt;"",COUNTIF($A$2:$A$5001,A1006)&gt;1),"NUMERO_PC duplicado",IF(B1006="","DATA_PC vazia",IF(NOT(ISNUMBER(B1006)),"DATA_PC invalida",IF(OR(C1006="",C1006="Fora dos ciclos"),"CICLO_PC nao identificado",IF(OR(D1006="",D1006=0),"VALOR_PC vazio ou zero",IF(AND(G1006&lt;&gt;"Sim",G1006&lt;&gt;"Nao",G1006&lt;&gt;""),"PC_PAGO_A_CONTRATADA invalido",IF(AND(C1006&lt;&gt;"C0",IFERROR(INDEX(parametros!$A$2:$A$6,MATCH(C1006,parametros!$B$2:$B$6,0)),"")="Sim",IFERROR(INDEX(parametros!$H$2:$H$6,MATCH(C1006,parametros!$B$2:$B$6,0)),"")=""),"INICIO_EFEITO ausente: PC "&amp;A1006&amp;" - "&amp;C1006,IF(L1006="","EFEITO_PC nao calculado: PC "&amp;A1006&amp;" - "&amp;C1006,"OK")))))))))</f>
        <v/>
      </c>
      <c r="L1006" s="92" t="str">
        <f>IF(AND(A1006="",B1006="",D1006="",G1006=""),"",IF(OR(B1006="",NOT(ISNUMBER(B1006)),C1006="",C1006="Fora dos ciclos"),"",IF(C1006="C0","Nao",IF(IFERROR(INDEX(parametros!$A$2:$A$6,MATCH(C1006,parametros!$B$2:$B$6,0)),"")&lt;&gt;"Sim","Nao",IF(IFERROR(INDEX(parametros!$H$2:$H$6,MATCH(C1006,parametros!$B$2:$B$6,0)),"")="","",IF(B1006&gt;=IFERROR(INDEX(parametros!$H$2:$H$6,MATCH(C1006,parametros!$B$2:$B$6,0)),""),"Sim","Nao"))))))</f>
        <v/>
      </c>
      <c r="T1006" s="156"/>
      <c r="U1006" s="214" t="str">
        <f t="shared" si="81"/>
        <v/>
      </c>
      <c r="V1006" s="212" t="s">
        <v>50</v>
      </c>
      <c r="W1006" s="100" t="s">
        <v>168</v>
      </c>
      <c r="X1006" s="100" t="s">
        <v>169</v>
      </c>
      <c r="Y1006" s="101" t="s">
        <v>170</v>
      </c>
      <c r="Z1006" s="101" t="s">
        <v>171</v>
      </c>
      <c r="AA1006" s="101" t="s">
        <v>50</v>
      </c>
      <c r="AB1006" s="101" t="s">
        <v>172</v>
      </c>
      <c r="AC1006" s="102" t="s">
        <v>173</v>
      </c>
    </row>
    <row r="1007" spans="1:29" ht="25.5" customHeight="1" x14ac:dyDescent="0.35">
      <c r="A1007" s="392"/>
      <c r="B1007" s="393"/>
      <c r="C1007" s="99" t="str">
        <f>IF(B1007="","",IF(NOT(ISNUMBER(B1007)),"DATA_PC invalida",IF(NOT(ISNUMBER(parametros!$C$2)),"Fora dos ciclos",IF(OR(B1007&lt;parametros!$C$2,(YEAR(B1007)-YEAR(parametros!$C$2))*12+MONTH(B1007)-MONTH(parametros!$C$2)&gt;59),"Fora dos ciclos","C"&amp;INT(((YEAR(B1007)-YEAR(parametros!$C$2))*12+MONTH(B1007)-MONTH(parametros!$C$2))/12)))))</f>
        <v/>
      </c>
      <c r="D1007" s="394"/>
      <c r="E1007" s="78" t="str">
        <f>IF(C1007="","",IFERROR(VLOOKUP(C1007,parametros!$A$11:$E$15,5,0),""))</f>
        <v/>
      </c>
      <c r="F1007" s="79" t="str">
        <f t="shared" si="77"/>
        <v/>
      </c>
      <c r="G1007" s="395"/>
      <c r="H1007" s="91">
        <f t="shared" si="78"/>
        <v>0</v>
      </c>
      <c r="I1007" s="91" t="str">
        <f t="shared" si="79"/>
        <v/>
      </c>
      <c r="J1007" s="91" t="str">
        <f t="shared" si="80"/>
        <v/>
      </c>
      <c r="K1007" s="92" t="str">
        <f>IF(AND(A1007="",B1007="",D1007="",G1007=""),"",IF(AND(A1007&lt;&gt;"",COUNTIF($A$2:$A$5001,A1007)&gt;1),"NUMERO_PC duplicado",IF(B1007="","DATA_PC vazia",IF(NOT(ISNUMBER(B1007)),"DATA_PC invalida",IF(OR(C1007="",C1007="Fora dos ciclos"),"CICLO_PC nao identificado",IF(OR(D1007="",D1007=0),"VALOR_PC vazio ou zero",IF(AND(G1007&lt;&gt;"Sim",G1007&lt;&gt;"Nao",G1007&lt;&gt;""),"PC_PAGO_A_CONTRATADA invalido",IF(AND(C1007&lt;&gt;"C0",IFERROR(INDEX(parametros!$A$2:$A$6,MATCH(C1007,parametros!$B$2:$B$6,0)),"")="Sim",IFERROR(INDEX(parametros!$H$2:$H$6,MATCH(C1007,parametros!$B$2:$B$6,0)),"")=""),"INICIO_EFEITO ausente: PC "&amp;A1007&amp;" - "&amp;C1007,IF(L1007="","EFEITO_PC nao calculado: PC "&amp;A1007&amp;" - "&amp;C1007,"OK")))))))))</f>
        <v/>
      </c>
      <c r="L1007" s="92" t="str">
        <f>IF(AND(A1007="",B1007="",D1007="",G1007=""),"",IF(OR(B1007="",NOT(ISNUMBER(B1007)),C1007="",C1007="Fora dos ciclos"),"",IF(C1007="C0","Nao",IF(IFERROR(INDEX(parametros!$A$2:$A$6,MATCH(C1007,parametros!$B$2:$B$6,0)),"")&lt;&gt;"Sim","Nao",IF(IFERROR(INDEX(parametros!$H$2:$H$6,MATCH(C1007,parametros!$B$2:$B$6,0)),"")="","",IF(B1007&gt;=IFERROR(INDEX(parametros!$H$2:$H$6,MATCH(C1007,parametros!$B$2:$B$6,0)),""),"Sim","Nao"))))))</f>
        <v/>
      </c>
      <c r="T1007" s="156"/>
      <c r="U1007" s="214" t="str">
        <f t="shared" si="81"/>
        <v/>
      </c>
      <c r="V1007" s="212" t="s">
        <v>50</v>
      </c>
      <c r="W1007" s="100" t="s">
        <v>168</v>
      </c>
      <c r="X1007" s="100" t="s">
        <v>169</v>
      </c>
      <c r="Y1007" s="101" t="s">
        <v>170</v>
      </c>
      <c r="Z1007" s="101" t="s">
        <v>171</v>
      </c>
      <c r="AA1007" s="101" t="s">
        <v>50</v>
      </c>
      <c r="AB1007" s="101" t="s">
        <v>172</v>
      </c>
      <c r="AC1007" s="102" t="s">
        <v>173</v>
      </c>
    </row>
    <row r="1008" spans="1:29" ht="25.5" customHeight="1" x14ac:dyDescent="0.35">
      <c r="A1008" s="392"/>
      <c r="B1008" s="393"/>
      <c r="C1008" s="99" t="str">
        <f>IF(B1008="","",IF(NOT(ISNUMBER(B1008)),"DATA_PC invalida",IF(NOT(ISNUMBER(parametros!$C$2)),"Fora dos ciclos",IF(OR(B1008&lt;parametros!$C$2,(YEAR(B1008)-YEAR(parametros!$C$2))*12+MONTH(B1008)-MONTH(parametros!$C$2)&gt;59),"Fora dos ciclos","C"&amp;INT(((YEAR(B1008)-YEAR(parametros!$C$2))*12+MONTH(B1008)-MONTH(parametros!$C$2))/12)))))</f>
        <v/>
      </c>
      <c r="D1008" s="394"/>
      <c r="E1008" s="78" t="str">
        <f>IF(C1008="","",IFERROR(VLOOKUP(C1008,parametros!$A$11:$E$15,5,0),""))</f>
        <v/>
      </c>
      <c r="F1008" s="79" t="str">
        <f t="shared" si="77"/>
        <v/>
      </c>
      <c r="G1008" s="395"/>
      <c r="H1008" s="91">
        <f t="shared" si="78"/>
        <v>0</v>
      </c>
      <c r="I1008" s="91" t="str">
        <f t="shared" si="79"/>
        <v/>
      </c>
      <c r="J1008" s="91" t="str">
        <f t="shared" si="80"/>
        <v/>
      </c>
      <c r="K1008" s="92" t="str">
        <f>IF(AND(A1008="",B1008="",D1008="",G1008=""),"",IF(AND(A1008&lt;&gt;"",COUNTIF($A$2:$A$5001,A1008)&gt;1),"NUMERO_PC duplicado",IF(B1008="","DATA_PC vazia",IF(NOT(ISNUMBER(B1008)),"DATA_PC invalida",IF(OR(C1008="",C1008="Fora dos ciclos"),"CICLO_PC nao identificado",IF(OR(D1008="",D1008=0),"VALOR_PC vazio ou zero",IF(AND(G1008&lt;&gt;"Sim",G1008&lt;&gt;"Nao",G1008&lt;&gt;""),"PC_PAGO_A_CONTRATADA invalido",IF(AND(C1008&lt;&gt;"C0",IFERROR(INDEX(parametros!$A$2:$A$6,MATCH(C1008,parametros!$B$2:$B$6,0)),"")="Sim",IFERROR(INDEX(parametros!$H$2:$H$6,MATCH(C1008,parametros!$B$2:$B$6,0)),"")=""),"INICIO_EFEITO ausente: PC "&amp;A1008&amp;" - "&amp;C1008,IF(L1008="","EFEITO_PC nao calculado: PC "&amp;A1008&amp;" - "&amp;C1008,"OK")))))))))</f>
        <v/>
      </c>
      <c r="L1008" s="92" t="str">
        <f>IF(AND(A1008="",B1008="",D1008="",G1008=""),"",IF(OR(B1008="",NOT(ISNUMBER(B1008)),C1008="",C1008="Fora dos ciclos"),"",IF(C1008="C0","Nao",IF(IFERROR(INDEX(parametros!$A$2:$A$6,MATCH(C1008,parametros!$B$2:$B$6,0)),"")&lt;&gt;"Sim","Nao",IF(IFERROR(INDEX(parametros!$H$2:$H$6,MATCH(C1008,parametros!$B$2:$B$6,0)),"")="","",IF(B1008&gt;=IFERROR(INDEX(parametros!$H$2:$H$6,MATCH(C1008,parametros!$B$2:$B$6,0)),""),"Sim","Nao"))))))</f>
        <v/>
      </c>
      <c r="T1008" s="156"/>
      <c r="U1008" s="214" t="str">
        <f t="shared" si="81"/>
        <v/>
      </c>
      <c r="V1008" s="212" t="s">
        <v>50</v>
      </c>
      <c r="W1008" s="100" t="s">
        <v>168</v>
      </c>
      <c r="X1008" s="100" t="s">
        <v>169</v>
      </c>
      <c r="Y1008" s="101" t="s">
        <v>170</v>
      </c>
      <c r="Z1008" s="101" t="s">
        <v>171</v>
      </c>
      <c r="AA1008" s="101" t="s">
        <v>50</v>
      </c>
      <c r="AB1008" s="101" t="s">
        <v>172</v>
      </c>
      <c r="AC1008" s="102" t="s">
        <v>173</v>
      </c>
    </row>
    <row r="1009" spans="1:29" ht="25.5" customHeight="1" x14ac:dyDescent="0.35">
      <c r="A1009" s="392"/>
      <c r="B1009" s="393"/>
      <c r="C1009" s="99" t="str">
        <f>IF(B1009="","",IF(NOT(ISNUMBER(B1009)),"DATA_PC invalida",IF(NOT(ISNUMBER(parametros!$C$2)),"Fora dos ciclos",IF(OR(B1009&lt;parametros!$C$2,(YEAR(B1009)-YEAR(parametros!$C$2))*12+MONTH(B1009)-MONTH(parametros!$C$2)&gt;59),"Fora dos ciclos","C"&amp;INT(((YEAR(B1009)-YEAR(parametros!$C$2))*12+MONTH(B1009)-MONTH(parametros!$C$2))/12)))))</f>
        <v/>
      </c>
      <c r="D1009" s="394"/>
      <c r="E1009" s="78" t="str">
        <f>IF(C1009="","",IFERROR(VLOOKUP(C1009,parametros!$A$11:$E$15,5,0),""))</f>
        <v/>
      </c>
      <c r="F1009" s="79" t="str">
        <f t="shared" si="77"/>
        <v/>
      </c>
      <c r="G1009" s="395"/>
      <c r="H1009" s="91">
        <f t="shared" si="78"/>
        <v>0</v>
      </c>
      <c r="I1009" s="91" t="str">
        <f t="shared" si="79"/>
        <v/>
      </c>
      <c r="J1009" s="91" t="str">
        <f t="shared" si="80"/>
        <v/>
      </c>
      <c r="K1009" s="92" t="str">
        <f>IF(AND(A1009="",B1009="",D1009="",G1009=""),"",IF(AND(A1009&lt;&gt;"",COUNTIF($A$2:$A$5001,A1009)&gt;1),"NUMERO_PC duplicado",IF(B1009="","DATA_PC vazia",IF(NOT(ISNUMBER(B1009)),"DATA_PC invalida",IF(OR(C1009="",C1009="Fora dos ciclos"),"CICLO_PC nao identificado",IF(OR(D1009="",D1009=0),"VALOR_PC vazio ou zero",IF(AND(G1009&lt;&gt;"Sim",G1009&lt;&gt;"Nao",G1009&lt;&gt;""),"PC_PAGO_A_CONTRATADA invalido",IF(AND(C1009&lt;&gt;"C0",IFERROR(INDEX(parametros!$A$2:$A$6,MATCH(C1009,parametros!$B$2:$B$6,0)),"")="Sim",IFERROR(INDEX(parametros!$H$2:$H$6,MATCH(C1009,parametros!$B$2:$B$6,0)),"")=""),"INICIO_EFEITO ausente: PC "&amp;A1009&amp;" - "&amp;C1009,IF(L1009="","EFEITO_PC nao calculado: PC "&amp;A1009&amp;" - "&amp;C1009,"OK")))))))))</f>
        <v/>
      </c>
      <c r="L1009" s="92" t="str">
        <f>IF(AND(A1009="",B1009="",D1009="",G1009=""),"",IF(OR(B1009="",NOT(ISNUMBER(B1009)),C1009="",C1009="Fora dos ciclos"),"",IF(C1009="C0","Nao",IF(IFERROR(INDEX(parametros!$A$2:$A$6,MATCH(C1009,parametros!$B$2:$B$6,0)),"")&lt;&gt;"Sim","Nao",IF(IFERROR(INDEX(parametros!$H$2:$H$6,MATCH(C1009,parametros!$B$2:$B$6,0)),"")="","",IF(B1009&gt;=IFERROR(INDEX(parametros!$H$2:$H$6,MATCH(C1009,parametros!$B$2:$B$6,0)),""),"Sim","Nao"))))))</f>
        <v/>
      </c>
      <c r="T1009" s="156"/>
      <c r="U1009" s="214" t="str">
        <f t="shared" si="81"/>
        <v/>
      </c>
      <c r="V1009" s="212" t="s">
        <v>50</v>
      </c>
      <c r="W1009" s="100" t="s">
        <v>168</v>
      </c>
      <c r="X1009" s="100" t="s">
        <v>169</v>
      </c>
      <c r="Y1009" s="101" t="s">
        <v>170</v>
      </c>
      <c r="Z1009" s="101" t="s">
        <v>171</v>
      </c>
      <c r="AA1009" s="101" t="s">
        <v>50</v>
      </c>
      <c r="AB1009" s="101" t="s">
        <v>172</v>
      </c>
      <c r="AC1009" s="102" t="s">
        <v>173</v>
      </c>
    </row>
    <row r="1010" spans="1:29" ht="25.5" customHeight="1" x14ac:dyDescent="0.35">
      <c r="A1010" s="392"/>
      <c r="B1010" s="393"/>
      <c r="C1010" s="99" t="str">
        <f>IF(B1010="","",IF(NOT(ISNUMBER(B1010)),"DATA_PC invalida",IF(NOT(ISNUMBER(parametros!$C$2)),"Fora dos ciclos",IF(OR(B1010&lt;parametros!$C$2,(YEAR(B1010)-YEAR(parametros!$C$2))*12+MONTH(B1010)-MONTH(parametros!$C$2)&gt;59),"Fora dos ciclos","C"&amp;INT(((YEAR(B1010)-YEAR(parametros!$C$2))*12+MONTH(B1010)-MONTH(parametros!$C$2))/12)))))</f>
        <v/>
      </c>
      <c r="D1010" s="394"/>
      <c r="E1010" s="78" t="str">
        <f>IF(C1010="","",IFERROR(VLOOKUP(C1010,parametros!$A$11:$E$15,5,0),""))</f>
        <v/>
      </c>
      <c r="F1010" s="79" t="str">
        <f t="shared" si="77"/>
        <v/>
      </c>
      <c r="G1010" s="395"/>
      <c r="H1010" s="91">
        <f t="shared" si="78"/>
        <v>0</v>
      </c>
      <c r="I1010" s="91" t="str">
        <f t="shared" si="79"/>
        <v/>
      </c>
      <c r="J1010" s="91" t="str">
        <f t="shared" si="80"/>
        <v/>
      </c>
      <c r="K1010" s="92" t="str">
        <f>IF(AND(A1010="",B1010="",D1010="",G1010=""),"",IF(AND(A1010&lt;&gt;"",COUNTIF($A$2:$A$5001,A1010)&gt;1),"NUMERO_PC duplicado",IF(B1010="","DATA_PC vazia",IF(NOT(ISNUMBER(B1010)),"DATA_PC invalida",IF(OR(C1010="",C1010="Fora dos ciclos"),"CICLO_PC nao identificado",IF(OR(D1010="",D1010=0),"VALOR_PC vazio ou zero",IF(AND(G1010&lt;&gt;"Sim",G1010&lt;&gt;"Nao",G1010&lt;&gt;""),"PC_PAGO_A_CONTRATADA invalido",IF(AND(C1010&lt;&gt;"C0",IFERROR(INDEX(parametros!$A$2:$A$6,MATCH(C1010,parametros!$B$2:$B$6,0)),"")="Sim",IFERROR(INDEX(parametros!$H$2:$H$6,MATCH(C1010,parametros!$B$2:$B$6,0)),"")=""),"INICIO_EFEITO ausente: PC "&amp;A1010&amp;" - "&amp;C1010,IF(L1010="","EFEITO_PC nao calculado: PC "&amp;A1010&amp;" - "&amp;C1010,"OK")))))))))</f>
        <v/>
      </c>
      <c r="L1010" s="92" t="str">
        <f>IF(AND(A1010="",B1010="",D1010="",G1010=""),"",IF(OR(B1010="",NOT(ISNUMBER(B1010)),C1010="",C1010="Fora dos ciclos"),"",IF(C1010="C0","Nao",IF(IFERROR(INDEX(parametros!$A$2:$A$6,MATCH(C1010,parametros!$B$2:$B$6,0)),"")&lt;&gt;"Sim","Nao",IF(IFERROR(INDEX(parametros!$H$2:$H$6,MATCH(C1010,parametros!$B$2:$B$6,0)),"")="","",IF(B1010&gt;=IFERROR(INDEX(parametros!$H$2:$H$6,MATCH(C1010,parametros!$B$2:$B$6,0)),""),"Sim","Nao"))))))</f>
        <v/>
      </c>
      <c r="T1010" s="156"/>
      <c r="U1010" s="214" t="str">
        <f t="shared" si="81"/>
        <v/>
      </c>
      <c r="V1010" s="212" t="s">
        <v>50</v>
      </c>
      <c r="W1010" s="100" t="s">
        <v>168</v>
      </c>
      <c r="X1010" s="100" t="s">
        <v>169</v>
      </c>
      <c r="Y1010" s="101" t="s">
        <v>170</v>
      </c>
      <c r="Z1010" s="101" t="s">
        <v>171</v>
      </c>
      <c r="AA1010" s="101" t="s">
        <v>50</v>
      </c>
      <c r="AB1010" s="101" t="s">
        <v>172</v>
      </c>
      <c r="AC1010" s="102" t="s">
        <v>173</v>
      </c>
    </row>
    <row r="1011" spans="1:29" ht="25.5" customHeight="1" x14ac:dyDescent="0.35">
      <c r="A1011" s="392"/>
      <c r="B1011" s="393"/>
      <c r="C1011" s="99" t="str">
        <f>IF(B1011="","",IF(NOT(ISNUMBER(B1011)),"DATA_PC invalida",IF(NOT(ISNUMBER(parametros!$C$2)),"Fora dos ciclos",IF(OR(B1011&lt;parametros!$C$2,(YEAR(B1011)-YEAR(parametros!$C$2))*12+MONTH(B1011)-MONTH(parametros!$C$2)&gt;59),"Fora dos ciclos","C"&amp;INT(((YEAR(B1011)-YEAR(parametros!$C$2))*12+MONTH(B1011)-MONTH(parametros!$C$2))/12)))))</f>
        <v/>
      </c>
      <c r="D1011" s="394"/>
      <c r="E1011" s="78" t="str">
        <f>IF(C1011="","",IFERROR(VLOOKUP(C1011,parametros!$A$11:$E$15,5,0),""))</f>
        <v/>
      </c>
      <c r="F1011" s="79" t="str">
        <f t="shared" si="77"/>
        <v/>
      </c>
      <c r="G1011" s="395"/>
      <c r="H1011" s="91">
        <f t="shared" si="78"/>
        <v>0</v>
      </c>
      <c r="I1011" s="91" t="str">
        <f t="shared" si="79"/>
        <v/>
      </c>
      <c r="J1011" s="91" t="str">
        <f t="shared" si="80"/>
        <v/>
      </c>
      <c r="K1011" s="92" t="str">
        <f>IF(AND(A1011="",B1011="",D1011="",G1011=""),"",IF(AND(A1011&lt;&gt;"",COUNTIF($A$2:$A$5001,A1011)&gt;1),"NUMERO_PC duplicado",IF(B1011="","DATA_PC vazia",IF(NOT(ISNUMBER(B1011)),"DATA_PC invalida",IF(OR(C1011="",C1011="Fora dos ciclos"),"CICLO_PC nao identificado",IF(OR(D1011="",D1011=0),"VALOR_PC vazio ou zero",IF(AND(G1011&lt;&gt;"Sim",G1011&lt;&gt;"Nao",G1011&lt;&gt;""),"PC_PAGO_A_CONTRATADA invalido",IF(AND(C1011&lt;&gt;"C0",IFERROR(INDEX(parametros!$A$2:$A$6,MATCH(C1011,parametros!$B$2:$B$6,0)),"")="Sim",IFERROR(INDEX(parametros!$H$2:$H$6,MATCH(C1011,parametros!$B$2:$B$6,0)),"")=""),"INICIO_EFEITO ausente: PC "&amp;A1011&amp;" - "&amp;C1011,IF(L1011="","EFEITO_PC nao calculado: PC "&amp;A1011&amp;" - "&amp;C1011,"OK")))))))))</f>
        <v/>
      </c>
      <c r="L1011" s="92" t="str">
        <f>IF(AND(A1011="",B1011="",D1011="",G1011=""),"",IF(OR(B1011="",NOT(ISNUMBER(B1011)),C1011="",C1011="Fora dos ciclos"),"",IF(C1011="C0","Nao",IF(IFERROR(INDEX(parametros!$A$2:$A$6,MATCH(C1011,parametros!$B$2:$B$6,0)),"")&lt;&gt;"Sim","Nao",IF(IFERROR(INDEX(parametros!$H$2:$H$6,MATCH(C1011,parametros!$B$2:$B$6,0)),"")="","",IF(B1011&gt;=IFERROR(INDEX(parametros!$H$2:$H$6,MATCH(C1011,parametros!$B$2:$B$6,0)),""),"Sim","Nao"))))))</f>
        <v/>
      </c>
      <c r="T1011" s="156"/>
      <c r="U1011" s="214" t="str">
        <f t="shared" si="81"/>
        <v/>
      </c>
      <c r="V1011" s="212" t="s">
        <v>50</v>
      </c>
      <c r="W1011" s="100" t="s">
        <v>168</v>
      </c>
      <c r="X1011" s="100" t="s">
        <v>169</v>
      </c>
      <c r="Y1011" s="101" t="s">
        <v>170</v>
      </c>
      <c r="Z1011" s="101" t="s">
        <v>171</v>
      </c>
      <c r="AA1011" s="101" t="s">
        <v>50</v>
      </c>
      <c r="AB1011" s="101" t="s">
        <v>172</v>
      </c>
      <c r="AC1011" s="102" t="s">
        <v>173</v>
      </c>
    </row>
    <row r="1012" spans="1:29" ht="25.5" customHeight="1" x14ac:dyDescent="0.35">
      <c r="A1012" s="392"/>
      <c r="B1012" s="393"/>
      <c r="C1012" s="99" t="str">
        <f>IF(B1012="","",IF(NOT(ISNUMBER(B1012)),"DATA_PC invalida",IF(NOT(ISNUMBER(parametros!$C$2)),"Fora dos ciclos",IF(OR(B1012&lt;parametros!$C$2,(YEAR(B1012)-YEAR(parametros!$C$2))*12+MONTH(B1012)-MONTH(parametros!$C$2)&gt;59),"Fora dos ciclos","C"&amp;INT(((YEAR(B1012)-YEAR(parametros!$C$2))*12+MONTH(B1012)-MONTH(parametros!$C$2))/12)))))</f>
        <v/>
      </c>
      <c r="D1012" s="394"/>
      <c r="E1012" s="78" t="str">
        <f>IF(C1012="","",IFERROR(VLOOKUP(C1012,parametros!$A$11:$E$15,5,0),""))</f>
        <v/>
      </c>
      <c r="F1012" s="79" t="str">
        <f t="shared" si="77"/>
        <v/>
      </c>
      <c r="G1012" s="395"/>
      <c r="H1012" s="91">
        <f t="shared" si="78"/>
        <v>0</v>
      </c>
      <c r="I1012" s="91" t="str">
        <f t="shared" si="79"/>
        <v/>
      </c>
      <c r="J1012" s="91" t="str">
        <f t="shared" si="80"/>
        <v/>
      </c>
      <c r="K1012" s="92" t="str">
        <f>IF(AND(A1012="",B1012="",D1012="",G1012=""),"",IF(AND(A1012&lt;&gt;"",COUNTIF($A$2:$A$5001,A1012)&gt;1),"NUMERO_PC duplicado",IF(B1012="","DATA_PC vazia",IF(NOT(ISNUMBER(B1012)),"DATA_PC invalida",IF(OR(C1012="",C1012="Fora dos ciclos"),"CICLO_PC nao identificado",IF(OR(D1012="",D1012=0),"VALOR_PC vazio ou zero",IF(AND(G1012&lt;&gt;"Sim",G1012&lt;&gt;"Nao",G1012&lt;&gt;""),"PC_PAGO_A_CONTRATADA invalido",IF(AND(C1012&lt;&gt;"C0",IFERROR(INDEX(parametros!$A$2:$A$6,MATCH(C1012,parametros!$B$2:$B$6,0)),"")="Sim",IFERROR(INDEX(parametros!$H$2:$H$6,MATCH(C1012,parametros!$B$2:$B$6,0)),"")=""),"INICIO_EFEITO ausente: PC "&amp;A1012&amp;" - "&amp;C1012,IF(L1012="","EFEITO_PC nao calculado: PC "&amp;A1012&amp;" - "&amp;C1012,"OK")))))))))</f>
        <v/>
      </c>
      <c r="L1012" s="92" t="str">
        <f>IF(AND(A1012="",B1012="",D1012="",G1012=""),"",IF(OR(B1012="",NOT(ISNUMBER(B1012)),C1012="",C1012="Fora dos ciclos"),"",IF(C1012="C0","Nao",IF(IFERROR(INDEX(parametros!$A$2:$A$6,MATCH(C1012,parametros!$B$2:$B$6,0)),"")&lt;&gt;"Sim","Nao",IF(IFERROR(INDEX(parametros!$H$2:$H$6,MATCH(C1012,parametros!$B$2:$B$6,0)),"")="","",IF(B1012&gt;=IFERROR(INDEX(parametros!$H$2:$H$6,MATCH(C1012,parametros!$B$2:$B$6,0)),""),"Sim","Nao"))))))</f>
        <v/>
      </c>
      <c r="T1012" s="156"/>
      <c r="U1012" s="214" t="str">
        <f t="shared" si="81"/>
        <v/>
      </c>
      <c r="V1012" s="212" t="s">
        <v>50</v>
      </c>
      <c r="W1012" s="100" t="s">
        <v>168</v>
      </c>
      <c r="X1012" s="100" t="s">
        <v>169</v>
      </c>
      <c r="Y1012" s="101" t="s">
        <v>170</v>
      </c>
      <c r="Z1012" s="101" t="s">
        <v>171</v>
      </c>
      <c r="AA1012" s="101" t="s">
        <v>50</v>
      </c>
      <c r="AB1012" s="101" t="s">
        <v>172</v>
      </c>
      <c r="AC1012" s="102" t="s">
        <v>173</v>
      </c>
    </row>
    <row r="1013" spans="1:29" ht="25.5" customHeight="1" x14ac:dyDescent="0.35">
      <c r="A1013" s="392"/>
      <c r="B1013" s="393"/>
      <c r="C1013" s="99" t="str">
        <f>IF(B1013="","",IF(NOT(ISNUMBER(B1013)),"DATA_PC invalida",IF(NOT(ISNUMBER(parametros!$C$2)),"Fora dos ciclos",IF(OR(B1013&lt;parametros!$C$2,(YEAR(B1013)-YEAR(parametros!$C$2))*12+MONTH(B1013)-MONTH(parametros!$C$2)&gt;59),"Fora dos ciclos","C"&amp;INT(((YEAR(B1013)-YEAR(parametros!$C$2))*12+MONTH(B1013)-MONTH(parametros!$C$2))/12)))))</f>
        <v/>
      </c>
      <c r="D1013" s="394"/>
      <c r="E1013" s="78" t="str">
        <f>IF(C1013="","",IFERROR(VLOOKUP(C1013,parametros!$A$11:$E$15,5,0),""))</f>
        <v/>
      </c>
      <c r="F1013" s="79" t="str">
        <f t="shared" si="77"/>
        <v/>
      </c>
      <c r="G1013" s="395"/>
      <c r="H1013" s="91">
        <f t="shared" si="78"/>
        <v>0</v>
      </c>
      <c r="I1013" s="91" t="str">
        <f t="shared" si="79"/>
        <v/>
      </c>
      <c r="J1013" s="91" t="str">
        <f t="shared" si="80"/>
        <v/>
      </c>
      <c r="K1013" s="92" t="str">
        <f>IF(AND(A1013="",B1013="",D1013="",G1013=""),"",IF(AND(A1013&lt;&gt;"",COUNTIF($A$2:$A$5001,A1013)&gt;1),"NUMERO_PC duplicado",IF(B1013="","DATA_PC vazia",IF(NOT(ISNUMBER(B1013)),"DATA_PC invalida",IF(OR(C1013="",C1013="Fora dos ciclos"),"CICLO_PC nao identificado",IF(OR(D1013="",D1013=0),"VALOR_PC vazio ou zero",IF(AND(G1013&lt;&gt;"Sim",G1013&lt;&gt;"Nao",G1013&lt;&gt;""),"PC_PAGO_A_CONTRATADA invalido",IF(AND(C1013&lt;&gt;"C0",IFERROR(INDEX(parametros!$A$2:$A$6,MATCH(C1013,parametros!$B$2:$B$6,0)),"")="Sim",IFERROR(INDEX(parametros!$H$2:$H$6,MATCH(C1013,parametros!$B$2:$B$6,0)),"")=""),"INICIO_EFEITO ausente: PC "&amp;A1013&amp;" - "&amp;C1013,IF(L1013="","EFEITO_PC nao calculado: PC "&amp;A1013&amp;" - "&amp;C1013,"OK")))))))))</f>
        <v/>
      </c>
      <c r="L1013" s="92" t="str">
        <f>IF(AND(A1013="",B1013="",D1013="",G1013=""),"",IF(OR(B1013="",NOT(ISNUMBER(B1013)),C1013="",C1013="Fora dos ciclos"),"",IF(C1013="C0","Nao",IF(IFERROR(INDEX(parametros!$A$2:$A$6,MATCH(C1013,parametros!$B$2:$B$6,0)),"")&lt;&gt;"Sim","Nao",IF(IFERROR(INDEX(parametros!$H$2:$H$6,MATCH(C1013,parametros!$B$2:$B$6,0)),"")="","",IF(B1013&gt;=IFERROR(INDEX(parametros!$H$2:$H$6,MATCH(C1013,parametros!$B$2:$B$6,0)),""),"Sim","Nao"))))))</f>
        <v/>
      </c>
      <c r="T1013" s="156"/>
      <c r="U1013" s="214" t="str">
        <f t="shared" si="81"/>
        <v/>
      </c>
      <c r="V1013" s="212" t="s">
        <v>50</v>
      </c>
      <c r="W1013" s="100" t="s">
        <v>168</v>
      </c>
      <c r="X1013" s="100" t="s">
        <v>169</v>
      </c>
      <c r="Y1013" s="101" t="s">
        <v>170</v>
      </c>
      <c r="Z1013" s="101" t="s">
        <v>171</v>
      </c>
      <c r="AA1013" s="101" t="s">
        <v>50</v>
      </c>
      <c r="AB1013" s="101" t="s">
        <v>172</v>
      </c>
      <c r="AC1013" s="102" t="s">
        <v>173</v>
      </c>
    </row>
    <row r="1014" spans="1:29" ht="25.5" customHeight="1" x14ac:dyDescent="0.35">
      <c r="A1014" s="392"/>
      <c r="B1014" s="393"/>
      <c r="C1014" s="99" t="str">
        <f>IF(B1014="","",IF(NOT(ISNUMBER(B1014)),"DATA_PC invalida",IF(NOT(ISNUMBER(parametros!$C$2)),"Fora dos ciclos",IF(OR(B1014&lt;parametros!$C$2,(YEAR(B1014)-YEAR(parametros!$C$2))*12+MONTH(B1014)-MONTH(parametros!$C$2)&gt;59),"Fora dos ciclos","C"&amp;INT(((YEAR(B1014)-YEAR(parametros!$C$2))*12+MONTH(B1014)-MONTH(parametros!$C$2))/12)))))</f>
        <v/>
      </c>
      <c r="D1014" s="394"/>
      <c r="E1014" s="78" t="str">
        <f>IF(C1014="","",IFERROR(VLOOKUP(C1014,parametros!$A$11:$E$15,5,0),""))</f>
        <v/>
      </c>
      <c r="F1014" s="79" t="str">
        <f t="shared" si="77"/>
        <v/>
      </c>
      <c r="G1014" s="395"/>
      <c r="H1014" s="91">
        <f t="shared" si="78"/>
        <v>0</v>
      </c>
      <c r="I1014" s="91" t="str">
        <f t="shared" si="79"/>
        <v/>
      </c>
      <c r="J1014" s="91" t="str">
        <f t="shared" si="80"/>
        <v/>
      </c>
      <c r="K1014" s="92" t="str">
        <f>IF(AND(A1014="",B1014="",D1014="",G1014=""),"",IF(AND(A1014&lt;&gt;"",COUNTIF($A$2:$A$5001,A1014)&gt;1),"NUMERO_PC duplicado",IF(B1014="","DATA_PC vazia",IF(NOT(ISNUMBER(B1014)),"DATA_PC invalida",IF(OR(C1014="",C1014="Fora dos ciclos"),"CICLO_PC nao identificado",IF(OR(D1014="",D1014=0),"VALOR_PC vazio ou zero",IF(AND(G1014&lt;&gt;"Sim",G1014&lt;&gt;"Nao",G1014&lt;&gt;""),"PC_PAGO_A_CONTRATADA invalido",IF(AND(C1014&lt;&gt;"C0",IFERROR(INDEX(parametros!$A$2:$A$6,MATCH(C1014,parametros!$B$2:$B$6,0)),"")="Sim",IFERROR(INDEX(parametros!$H$2:$H$6,MATCH(C1014,parametros!$B$2:$B$6,0)),"")=""),"INICIO_EFEITO ausente: PC "&amp;A1014&amp;" - "&amp;C1014,IF(L1014="","EFEITO_PC nao calculado: PC "&amp;A1014&amp;" - "&amp;C1014,"OK")))))))))</f>
        <v/>
      </c>
      <c r="L1014" s="92" t="str">
        <f>IF(AND(A1014="",B1014="",D1014="",G1014=""),"",IF(OR(B1014="",NOT(ISNUMBER(B1014)),C1014="",C1014="Fora dos ciclos"),"",IF(C1014="C0","Nao",IF(IFERROR(INDEX(parametros!$A$2:$A$6,MATCH(C1014,parametros!$B$2:$B$6,0)),"")&lt;&gt;"Sim","Nao",IF(IFERROR(INDEX(parametros!$H$2:$H$6,MATCH(C1014,parametros!$B$2:$B$6,0)),"")="","",IF(B1014&gt;=IFERROR(INDEX(parametros!$H$2:$H$6,MATCH(C1014,parametros!$B$2:$B$6,0)),""),"Sim","Nao"))))))</f>
        <v/>
      </c>
      <c r="T1014" s="156"/>
      <c r="U1014" s="214" t="str">
        <f t="shared" si="81"/>
        <v/>
      </c>
      <c r="V1014" s="212" t="s">
        <v>50</v>
      </c>
      <c r="W1014" s="100" t="s">
        <v>168</v>
      </c>
      <c r="X1014" s="100" t="s">
        <v>169</v>
      </c>
      <c r="Y1014" s="101" t="s">
        <v>170</v>
      </c>
      <c r="Z1014" s="101" t="s">
        <v>171</v>
      </c>
      <c r="AA1014" s="101" t="s">
        <v>50</v>
      </c>
      <c r="AB1014" s="101" t="s">
        <v>172</v>
      </c>
      <c r="AC1014" s="102" t="s">
        <v>173</v>
      </c>
    </row>
    <row r="1015" spans="1:29" ht="25.5" customHeight="1" x14ac:dyDescent="0.35">
      <c r="A1015" s="392"/>
      <c r="B1015" s="393"/>
      <c r="C1015" s="99" t="str">
        <f>IF(B1015="","",IF(NOT(ISNUMBER(B1015)),"DATA_PC invalida",IF(NOT(ISNUMBER(parametros!$C$2)),"Fora dos ciclos",IF(OR(B1015&lt;parametros!$C$2,(YEAR(B1015)-YEAR(parametros!$C$2))*12+MONTH(B1015)-MONTH(parametros!$C$2)&gt;59),"Fora dos ciclos","C"&amp;INT(((YEAR(B1015)-YEAR(parametros!$C$2))*12+MONTH(B1015)-MONTH(parametros!$C$2))/12)))))</f>
        <v/>
      </c>
      <c r="D1015" s="394"/>
      <c r="E1015" s="78" t="str">
        <f>IF(C1015="","",IFERROR(VLOOKUP(C1015,parametros!$A$11:$E$15,5,0),""))</f>
        <v/>
      </c>
      <c r="F1015" s="79" t="str">
        <f t="shared" si="77"/>
        <v/>
      </c>
      <c r="G1015" s="395"/>
      <c r="H1015" s="91">
        <f t="shared" si="78"/>
        <v>0</v>
      </c>
      <c r="I1015" s="91" t="str">
        <f t="shared" si="79"/>
        <v/>
      </c>
      <c r="J1015" s="91" t="str">
        <f t="shared" si="80"/>
        <v/>
      </c>
      <c r="K1015" s="92" t="str">
        <f>IF(AND(A1015="",B1015="",D1015="",G1015=""),"",IF(AND(A1015&lt;&gt;"",COUNTIF($A$2:$A$5001,A1015)&gt;1),"NUMERO_PC duplicado",IF(B1015="","DATA_PC vazia",IF(NOT(ISNUMBER(B1015)),"DATA_PC invalida",IF(OR(C1015="",C1015="Fora dos ciclos"),"CICLO_PC nao identificado",IF(OR(D1015="",D1015=0),"VALOR_PC vazio ou zero",IF(AND(G1015&lt;&gt;"Sim",G1015&lt;&gt;"Nao",G1015&lt;&gt;""),"PC_PAGO_A_CONTRATADA invalido",IF(AND(C1015&lt;&gt;"C0",IFERROR(INDEX(parametros!$A$2:$A$6,MATCH(C1015,parametros!$B$2:$B$6,0)),"")="Sim",IFERROR(INDEX(parametros!$H$2:$H$6,MATCH(C1015,parametros!$B$2:$B$6,0)),"")=""),"INICIO_EFEITO ausente: PC "&amp;A1015&amp;" - "&amp;C1015,IF(L1015="","EFEITO_PC nao calculado: PC "&amp;A1015&amp;" - "&amp;C1015,"OK")))))))))</f>
        <v/>
      </c>
      <c r="L1015" s="92" t="str">
        <f>IF(AND(A1015="",B1015="",D1015="",G1015=""),"",IF(OR(B1015="",NOT(ISNUMBER(B1015)),C1015="",C1015="Fora dos ciclos"),"",IF(C1015="C0","Nao",IF(IFERROR(INDEX(parametros!$A$2:$A$6,MATCH(C1015,parametros!$B$2:$B$6,0)),"")&lt;&gt;"Sim","Nao",IF(IFERROR(INDEX(parametros!$H$2:$H$6,MATCH(C1015,parametros!$B$2:$B$6,0)),"")="","",IF(B1015&gt;=IFERROR(INDEX(parametros!$H$2:$H$6,MATCH(C1015,parametros!$B$2:$B$6,0)),""),"Sim","Nao"))))))</f>
        <v/>
      </c>
      <c r="T1015" s="156"/>
      <c r="U1015" s="214" t="str">
        <f t="shared" si="81"/>
        <v/>
      </c>
      <c r="V1015" s="212" t="s">
        <v>50</v>
      </c>
      <c r="W1015" s="100" t="s">
        <v>168</v>
      </c>
      <c r="X1015" s="100" t="s">
        <v>169</v>
      </c>
      <c r="Y1015" s="101" t="s">
        <v>170</v>
      </c>
      <c r="Z1015" s="101" t="s">
        <v>171</v>
      </c>
      <c r="AA1015" s="101" t="s">
        <v>50</v>
      </c>
      <c r="AB1015" s="101" t="s">
        <v>172</v>
      </c>
      <c r="AC1015" s="102" t="s">
        <v>173</v>
      </c>
    </row>
    <row r="1016" spans="1:29" ht="25.5" customHeight="1" x14ac:dyDescent="0.35">
      <c r="A1016" s="392"/>
      <c r="B1016" s="393"/>
      <c r="C1016" s="99" t="str">
        <f>IF(B1016="","",IF(NOT(ISNUMBER(B1016)),"DATA_PC invalida",IF(NOT(ISNUMBER(parametros!$C$2)),"Fora dos ciclos",IF(OR(B1016&lt;parametros!$C$2,(YEAR(B1016)-YEAR(parametros!$C$2))*12+MONTH(B1016)-MONTH(parametros!$C$2)&gt;59),"Fora dos ciclos","C"&amp;INT(((YEAR(B1016)-YEAR(parametros!$C$2))*12+MONTH(B1016)-MONTH(parametros!$C$2))/12)))))</f>
        <v/>
      </c>
      <c r="D1016" s="394"/>
      <c r="E1016" s="78" t="str">
        <f>IF(C1016="","",IFERROR(VLOOKUP(C1016,parametros!$A$11:$E$15,5,0),""))</f>
        <v/>
      </c>
      <c r="F1016" s="79" t="str">
        <f t="shared" si="77"/>
        <v/>
      </c>
      <c r="G1016" s="395"/>
      <c r="H1016" s="91">
        <f t="shared" si="78"/>
        <v>0</v>
      </c>
      <c r="I1016" s="91" t="str">
        <f t="shared" si="79"/>
        <v/>
      </c>
      <c r="J1016" s="91" t="str">
        <f t="shared" si="80"/>
        <v/>
      </c>
      <c r="K1016" s="92" t="str">
        <f>IF(AND(A1016="",B1016="",D1016="",G1016=""),"",IF(AND(A1016&lt;&gt;"",COUNTIF($A$2:$A$5001,A1016)&gt;1),"NUMERO_PC duplicado",IF(B1016="","DATA_PC vazia",IF(NOT(ISNUMBER(B1016)),"DATA_PC invalida",IF(OR(C1016="",C1016="Fora dos ciclos"),"CICLO_PC nao identificado",IF(OR(D1016="",D1016=0),"VALOR_PC vazio ou zero",IF(AND(G1016&lt;&gt;"Sim",G1016&lt;&gt;"Nao",G1016&lt;&gt;""),"PC_PAGO_A_CONTRATADA invalido",IF(AND(C1016&lt;&gt;"C0",IFERROR(INDEX(parametros!$A$2:$A$6,MATCH(C1016,parametros!$B$2:$B$6,0)),"")="Sim",IFERROR(INDEX(parametros!$H$2:$H$6,MATCH(C1016,parametros!$B$2:$B$6,0)),"")=""),"INICIO_EFEITO ausente: PC "&amp;A1016&amp;" - "&amp;C1016,IF(L1016="","EFEITO_PC nao calculado: PC "&amp;A1016&amp;" - "&amp;C1016,"OK")))))))))</f>
        <v/>
      </c>
      <c r="L1016" s="92" t="str">
        <f>IF(AND(A1016="",B1016="",D1016="",G1016=""),"",IF(OR(B1016="",NOT(ISNUMBER(B1016)),C1016="",C1016="Fora dos ciclos"),"",IF(C1016="C0","Nao",IF(IFERROR(INDEX(parametros!$A$2:$A$6,MATCH(C1016,parametros!$B$2:$B$6,0)),"")&lt;&gt;"Sim","Nao",IF(IFERROR(INDEX(parametros!$H$2:$H$6,MATCH(C1016,parametros!$B$2:$B$6,0)),"")="","",IF(B1016&gt;=IFERROR(INDEX(parametros!$H$2:$H$6,MATCH(C1016,parametros!$B$2:$B$6,0)),""),"Sim","Nao"))))))</f>
        <v/>
      </c>
      <c r="T1016" s="156"/>
      <c r="U1016" s="214" t="str">
        <f t="shared" si="81"/>
        <v/>
      </c>
      <c r="V1016" s="212" t="s">
        <v>50</v>
      </c>
      <c r="W1016" s="100" t="s">
        <v>168</v>
      </c>
      <c r="X1016" s="100" t="s">
        <v>169</v>
      </c>
      <c r="Y1016" s="101" t="s">
        <v>170</v>
      </c>
      <c r="Z1016" s="101" t="s">
        <v>171</v>
      </c>
      <c r="AA1016" s="101" t="s">
        <v>50</v>
      </c>
      <c r="AB1016" s="101" t="s">
        <v>172</v>
      </c>
      <c r="AC1016" s="102" t="s">
        <v>173</v>
      </c>
    </row>
    <row r="1017" spans="1:29" ht="25.5" customHeight="1" x14ac:dyDescent="0.35">
      <c r="A1017" s="392"/>
      <c r="B1017" s="393"/>
      <c r="C1017" s="99" t="str">
        <f>IF(B1017="","",IF(NOT(ISNUMBER(B1017)),"DATA_PC invalida",IF(NOT(ISNUMBER(parametros!$C$2)),"Fora dos ciclos",IF(OR(B1017&lt;parametros!$C$2,(YEAR(B1017)-YEAR(parametros!$C$2))*12+MONTH(B1017)-MONTH(parametros!$C$2)&gt;59),"Fora dos ciclos","C"&amp;INT(((YEAR(B1017)-YEAR(parametros!$C$2))*12+MONTH(B1017)-MONTH(parametros!$C$2))/12)))))</f>
        <v/>
      </c>
      <c r="D1017" s="394"/>
      <c r="E1017" s="78" t="str">
        <f>IF(C1017="","",IFERROR(VLOOKUP(C1017,parametros!$A$11:$E$15,5,0),""))</f>
        <v/>
      </c>
      <c r="F1017" s="79" t="str">
        <f t="shared" si="77"/>
        <v/>
      </c>
      <c r="G1017" s="395"/>
      <c r="H1017" s="91">
        <f t="shared" si="78"/>
        <v>0</v>
      </c>
      <c r="I1017" s="91" t="str">
        <f t="shared" si="79"/>
        <v/>
      </c>
      <c r="J1017" s="91" t="str">
        <f t="shared" si="80"/>
        <v/>
      </c>
      <c r="K1017" s="92" t="str">
        <f>IF(AND(A1017="",B1017="",D1017="",G1017=""),"",IF(AND(A1017&lt;&gt;"",COUNTIF($A$2:$A$5001,A1017)&gt;1),"NUMERO_PC duplicado",IF(B1017="","DATA_PC vazia",IF(NOT(ISNUMBER(B1017)),"DATA_PC invalida",IF(OR(C1017="",C1017="Fora dos ciclos"),"CICLO_PC nao identificado",IF(OR(D1017="",D1017=0),"VALOR_PC vazio ou zero",IF(AND(G1017&lt;&gt;"Sim",G1017&lt;&gt;"Nao",G1017&lt;&gt;""),"PC_PAGO_A_CONTRATADA invalido",IF(AND(C1017&lt;&gt;"C0",IFERROR(INDEX(parametros!$A$2:$A$6,MATCH(C1017,parametros!$B$2:$B$6,0)),"")="Sim",IFERROR(INDEX(parametros!$H$2:$H$6,MATCH(C1017,parametros!$B$2:$B$6,0)),"")=""),"INICIO_EFEITO ausente: PC "&amp;A1017&amp;" - "&amp;C1017,IF(L1017="","EFEITO_PC nao calculado: PC "&amp;A1017&amp;" - "&amp;C1017,"OK")))))))))</f>
        <v/>
      </c>
      <c r="L1017" s="92" t="str">
        <f>IF(AND(A1017="",B1017="",D1017="",G1017=""),"",IF(OR(B1017="",NOT(ISNUMBER(B1017)),C1017="",C1017="Fora dos ciclos"),"",IF(C1017="C0","Nao",IF(IFERROR(INDEX(parametros!$A$2:$A$6,MATCH(C1017,parametros!$B$2:$B$6,0)),"")&lt;&gt;"Sim","Nao",IF(IFERROR(INDEX(parametros!$H$2:$H$6,MATCH(C1017,parametros!$B$2:$B$6,0)),"")="","",IF(B1017&gt;=IFERROR(INDEX(parametros!$H$2:$H$6,MATCH(C1017,parametros!$B$2:$B$6,0)),""),"Sim","Nao"))))))</f>
        <v/>
      </c>
      <c r="T1017" s="156"/>
      <c r="U1017" s="214" t="str">
        <f t="shared" si="81"/>
        <v/>
      </c>
      <c r="V1017" s="212" t="s">
        <v>50</v>
      </c>
      <c r="W1017" s="100" t="s">
        <v>168</v>
      </c>
      <c r="X1017" s="100" t="s">
        <v>169</v>
      </c>
      <c r="Y1017" s="101" t="s">
        <v>170</v>
      </c>
      <c r="Z1017" s="101" t="s">
        <v>171</v>
      </c>
      <c r="AA1017" s="101" t="s">
        <v>50</v>
      </c>
      <c r="AB1017" s="101" t="s">
        <v>172</v>
      </c>
      <c r="AC1017" s="102" t="s">
        <v>173</v>
      </c>
    </row>
    <row r="1018" spans="1:29" ht="25.5" customHeight="1" x14ac:dyDescent="0.35">
      <c r="A1018" s="392"/>
      <c r="B1018" s="393"/>
      <c r="C1018" s="99" t="str">
        <f>IF(B1018="","",IF(NOT(ISNUMBER(B1018)),"DATA_PC invalida",IF(NOT(ISNUMBER(parametros!$C$2)),"Fora dos ciclos",IF(OR(B1018&lt;parametros!$C$2,(YEAR(B1018)-YEAR(parametros!$C$2))*12+MONTH(B1018)-MONTH(parametros!$C$2)&gt;59),"Fora dos ciclos","C"&amp;INT(((YEAR(B1018)-YEAR(parametros!$C$2))*12+MONTH(B1018)-MONTH(parametros!$C$2))/12)))))</f>
        <v/>
      </c>
      <c r="D1018" s="394"/>
      <c r="E1018" s="78" t="str">
        <f>IF(C1018="","",IFERROR(VLOOKUP(C1018,parametros!$A$11:$E$15,5,0),""))</f>
        <v/>
      </c>
      <c r="F1018" s="79" t="str">
        <f t="shared" si="77"/>
        <v/>
      </c>
      <c r="G1018" s="395"/>
      <c r="H1018" s="91">
        <f t="shared" si="78"/>
        <v>0</v>
      </c>
      <c r="I1018" s="91" t="str">
        <f t="shared" si="79"/>
        <v/>
      </c>
      <c r="J1018" s="91" t="str">
        <f t="shared" si="80"/>
        <v/>
      </c>
      <c r="K1018" s="92" t="str">
        <f>IF(AND(A1018="",B1018="",D1018="",G1018=""),"",IF(AND(A1018&lt;&gt;"",COUNTIF($A$2:$A$5001,A1018)&gt;1),"NUMERO_PC duplicado",IF(B1018="","DATA_PC vazia",IF(NOT(ISNUMBER(B1018)),"DATA_PC invalida",IF(OR(C1018="",C1018="Fora dos ciclos"),"CICLO_PC nao identificado",IF(OR(D1018="",D1018=0),"VALOR_PC vazio ou zero",IF(AND(G1018&lt;&gt;"Sim",G1018&lt;&gt;"Nao",G1018&lt;&gt;""),"PC_PAGO_A_CONTRATADA invalido",IF(AND(C1018&lt;&gt;"C0",IFERROR(INDEX(parametros!$A$2:$A$6,MATCH(C1018,parametros!$B$2:$B$6,0)),"")="Sim",IFERROR(INDEX(parametros!$H$2:$H$6,MATCH(C1018,parametros!$B$2:$B$6,0)),"")=""),"INICIO_EFEITO ausente: PC "&amp;A1018&amp;" - "&amp;C1018,IF(L1018="","EFEITO_PC nao calculado: PC "&amp;A1018&amp;" - "&amp;C1018,"OK")))))))))</f>
        <v/>
      </c>
      <c r="L1018" s="92" t="str">
        <f>IF(AND(A1018="",B1018="",D1018="",G1018=""),"",IF(OR(B1018="",NOT(ISNUMBER(B1018)),C1018="",C1018="Fora dos ciclos"),"",IF(C1018="C0","Nao",IF(IFERROR(INDEX(parametros!$A$2:$A$6,MATCH(C1018,parametros!$B$2:$B$6,0)),"")&lt;&gt;"Sim","Nao",IF(IFERROR(INDEX(parametros!$H$2:$H$6,MATCH(C1018,parametros!$B$2:$B$6,0)),"")="","",IF(B1018&gt;=IFERROR(INDEX(parametros!$H$2:$H$6,MATCH(C1018,parametros!$B$2:$B$6,0)),""),"Sim","Nao"))))))</f>
        <v/>
      </c>
      <c r="T1018" s="156"/>
      <c r="U1018" s="214" t="str">
        <f t="shared" si="81"/>
        <v/>
      </c>
      <c r="V1018" s="212" t="s">
        <v>50</v>
      </c>
      <c r="W1018" s="100" t="s">
        <v>168</v>
      </c>
      <c r="X1018" s="100" t="s">
        <v>169</v>
      </c>
      <c r="Y1018" s="101" t="s">
        <v>170</v>
      </c>
      <c r="Z1018" s="101" t="s">
        <v>171</v>
      </c>
      <c r="AA1018" s="101" t="s">
        <v>50</v>
      </c>
      <c r="AB1018" s="101" t="s">
        <v>172</v>
      </c>
      <c r="AC1018" s="102" t="s">
        <v>173</v>
      </c>
    </row>
    <row r="1019" spans="1:29" ht="25.5" customHeight="1" x14ac:dyDescent="0.35">
      <c r="A1019" s="392"/>
      <c r="B1019" s="393"/>
      <c r="C1019" s="99" t="str">
        <f>IF(B1019="","",IF(NOT(ISNUMBER(B1019)),"DATA_PC invalida",IF(NOT(ISNUMBER(parametros!$C$2)),"Fora dos ciclos",IF(OR(B1019&lt;parametros!$C$2,(YEAR(B1019)-YEAR(parametros!$C$2))*12+MONTH(B1019)-MONTH(parametros!$C$2)&gt;59),"Fora dos ciclos","C"&amp;INT(((YEAR(B1019)-YEAR(parametros!$C$2))*12+MONTH(B1019)-MONTH(parametros!$C$2))/12)))))</f>
        <v/>
      </c>
      <c r="D1019" s="394"/>
      <c r="E1019" s="78" t="str">
        <f>IF(C1019="","",IFERROR(VLOOKUP(C1019,parametros!$A$11:$E$15,5,0),""))</f>
        <v/>
      </c>
      <c r="F1019" s="79" t="str">
        <f t="shared" si="77"/>
        <v/>
      </c>
      <c r="G1019" s="395"/>
      <c r="H1019" s="91">
        <f t="shared" si="78"/>
        <v>0</v>
      </c>
      <c r="I1019" s="91" t="str">
        <f t="shared" si="79"/>
        <v/>
      </c>
      <c r="J1019" s="91" t="str">
        <f t="shared" si="80"/>
        <v/>
      </c>
      <c r="K1019" s="92" t="str">
        <f>IF(AND(A1019="",B1019="",D1019="",G1019=""),"",IF(AND(A1019&lt;&gt;"",COUNTIF($A$2:$A$5001,A1019)&gt;1),"NUMERO_PC duplicado",IF(B1019="","DATA_PC vazia",IF(NOT(ISNUMBER(B1019)),"DATA_PC invalida",IF(OR(C1019="",C1019="Fora dos ciclos"),"CICLO_PC nao identificado",IF(OR(D1019="",D1019=0),"VALOR_PC vazio ou zero",IF(AND(G1019&lt;&gt;"Sim",G1019&lt;&gt;"Nao",G1019&lt;&gt;""),"PC_PAGO_A_CONTRATADA invalido",IF(AND(C1019&lt;&gt;"C0",IFERROR(INDEX(parametros!$A$2:$A$6,MATCH(C1019,parametros!$B$2:$B$6,0)),"")="Sim",IFERROR(INDEX(parametros!$H$2:$H$6,MATCH(C1019,parametros!$B$2:$B$6,0)),"")=""),"INICIO_EFEITO ausente: PC "&amp;A1019&amp;" - "&amp;C1019,IF(L1019="","EFEITO_PC nao calculado: PC "&amp;A1019&amp;" - "&amp;C1019,"OK")))))))))</f>
        <v/>
      </c>
      <c r="L1019" s="92" t="str">
        <f>IF(AND(A1019="",B1019="",D1019="",G1019=""),"",IF(OR(B1019="",NOT(ISNUMBER(B1019)),C1019="",C1019="Fora dos ciclos"),"",IF(C1019="C0","Nao",IF(IFERROR(INDEX(parametros!$A$2:$A$6,MATCH(C1019,parametros!$B$2:$B$6,0)),"")&lt;&gt;"Sim","Nao",IF(IFERROR(INDEX(parametros!$H$2:$H$6,MATCH(C1019,parametros!$B$2:$B$6,0)),"")="","",IF(B1019&gt;=IFERROR(INDEX(parametros!$H$2:$H$6,MATCH(C1019,parametros!$B$2:$B$6,0)),""),"Sim","Nao"))))))</f>
        <v/>
      </c>
      <c r="T1019" s="156"/>
      <c r="U1019" s="214" t="str">
        <f t="shared" si="81"/>
        <v/>
      </c>
      <c r="V1019" s="212" t="s">
        <v>50</v>
      </c>
      <c r="W1019" s="100" t="s">
        <v>168</v>
      </c>
      <c r="X1019" s="100" t="s">
        <v>169</v>
      </c>
      <c r="Y1019" s="101" t="s">
        <v>170</v>
      </c>
      <c r="Z1019" s="101" t="s">
        <v>171</v>
      </c>
      <c r="AA1019" s="101" t="s">
        <v>50</v>
      </c>
      <c r="AB1019" s="101" t="s">
        <v>172</v>
      </c>
      <c r="AC1019" s="102" t="s">
        <v>173</v>
      </c>
    </row>
    <row r="1020" spans="1:29" ht="25.5" customHeight="1" x14ac:dyDescent="0.35">
      <c r="A1020" s="392"/>
      <c r="B1020" s="393"/>
      <c r="C1020" s="99" t="str">
        <f>IF(B1020="","",IF(NOT(ISNUMBER(B1020)),"DATA_PC invalida",IF(NOT(ISNUMBER(parametros!$C$2)),"Fora dos ciclos",IF(OR(B1020&lt;parametros!$C$2,(YEAR(B1020)-YEAR(parametros!$C$2))*12+MONTH(B1020)-MONTH(parametros!$C$2)&gt;59),"Fora dos ciclos","C"&amp;INT(((YEAR(B1020)-YEAR(parametros!$C$2))*12+MONTH(B1020)-MONTH(parametros!$C$2))/12)))))</f>
        <v/>
      </c>
      <c r="D1020" s="394"/>
      <c r="E1020" s="78" t="str">
        <f>IF(C1020="","",IFERROR(VLOOKUP(C1020,parametros!$A$11:$E$15,5,0),""))</f>
        <v/>
      </c>
      <c r="F1020" s="79" t="str">
        <f t="shared" si="77"/>
        <v/>
      </c>
      <c r="G1020" s="395"/>
      <c r="H1020" s="91">
        <f t="shared" si="78"/>
        <v>0</v>
      </c>
      <c r="I1020" s="91" t="str">
        <f t="shared" si="79"/>
        <v/>
      </c>
      <c r="J1020" s="91" t="str">
        <f t="shared" si="80"/>
        <v/>
      </c>
      <c r="K1020" s="92" t="str">
        <f>IF(AND(A1020="",B1020="",D1020="",G1020=""),"",IF(AND(A1020&lt;&gt;"",COUNTIF($A$2:$A$5001,A1020)&gt;1),"NUMERO_PC duplicado",IF(B1020="","DATA_PC vazia",IF(NOT(ISNUMBER(B1020)),"DATA_PC invalida",IF(OR(C1020="",C1020="Fora dos ciclos"),"CICLO_PC nao identificado",IF(OR(D1020="",D1020=0),"VALOR_PC vazio ou zero",IF(AND(G1020&lt;&gt;"Sim",G1020&lt;&gt;"Nao",G1020&lt;&gt;""),"PC_PAGO_A_CONTRATADA invalido",IF(AND(C1020&lt;&gt;"C0",IFERROR(INDEX(parametros!$A$2:$A$6,MATCH(C1020,parametros!$B$2:$B$6,0)),"")="Sim",IFERROR(INDEX(parametros!$H$2:$H$6,MATCH(C1020,parametros!$B$2:$B$6,0)),"")=""),"INICIO_EFEITO ausente: PC "&amp;A1020&amp;" - "&amp;C1020,IF(L1020="","EFEITO_PC nao calculado: PC "&amp;A1020&amp;" - "&amp;C1020,"OK")))))))))</f>
        <v/>
      </c>
      <c r="L1020" s="92" t="str">
        <f>IF(AND(A1020="",B1020="",D1020="",G1020=""),"",IF(OR(B1020="",NOT(ISNUMBER(B1020)),C1020="",C1020="Fora dos ciclos"),"",IF(C1020="C0","Nao",IF(IFERROR(INDEX(parametros!$A$2:$A$6,MATCH(C1020,parametros!$B$2:$B$6,0)),"")&lt;&gt;"Sim","Nao",IF(IFERROR(INDEX(parametros!$H$2:$H$6,MATCH(C1020,parametros!$B$2:$B$6,0)),"")="","",IF(B1020&gt;=IFERROR(INDEX(parametros!$H$2:$H$6,MATCH(C1020,parametros!$B$2:$B$6,0)),""),"Sim","Nao"))))))</f>
        <v/>
      </c>
      <c r="T1020" s="156"/>
      <c r="U1020" s="214" t="str">
        <f t="shared" si="81"/>
        <v/>
      </c>
      <c r="V1020" s="212" t="s">
        <v>50</v>
      </c>
      <c r="W1020" s="100" t="s">
        <v>168</v>
      </c>
      <c r="X1020" s="100" t="s">
        <v>169</v>
      </c>
      <c r="Y1020" s="101" t="s">
        <v>170</v>
      </c>
      <c r="Z1020" s="101" t="s">
        <v>171</v>
      </c>
      <c r="AA1020" s="101" t="s">
        <v>50</v>
      </c>
      <c r="AB1020" s="101" t="s">
        <v>172</v>
      </c>
      <c r="AC1020" s="102" t="s">
        <v>173</v>
      </c>
    </row>
    <row r="1021" spans="1:29" ht="25.5" customHeight="1" x14ac:dyDescent="0.35">
      <c r="A1021" s="392"/>
      <c r="B1021" s="393"/>
      <c r="C1021" s="99" t="str">
        <f>IF(B1021="","",IF(NOT(ISNUMBER(B1021)),"DATA_PC invalida",IF(NOT(ISNUMBER(parametros!$C$2)),"Fora dos ciclos",IF(OR(B1021&lt;parametros!$C$2,(YEAR(B1021)-YEAR(parametros!$C$2))*12+MONTH(B1021)-MONTH(parametros!$C$2)&gt;59),"Fora dos ciclos","C"&amp;INT(((YEAR(B1021)-YEAR(parametros!$C$2))*12+MONTH(B1021)-MONTH(parametros!$C$2))/12)))))</f>
        <v/>
      </c>
      <c r="D1021" s="394"/>
      <c r="E1021" s="78" t="str">
        <f>IF(C1021="","",IFERROR(VLOOKUP(C1021,parametros!$A$11:$E$15,5,0),""))</f>
        <v/>
      </c>
      <c r="F1021" s="79" t="str">
        <f t="shared" si="77"/>
        <v/>
      </c>
      <c r="G1021" s="395"/>
      <c r="H1021" s="91">
        <f t="shared" si="78"/>
        <v>0</v>
      </c>
      <c r="I1021" s="91" t="str">
        <f t="shared" si="79"/>
        <v/>
      </c>
      <c r="J1021" s="91" t="str">
        <f t="shared" si="80"/>
        <v/>
      </c>
      <c r="K1021" s="92" t="str">
        <f>IF(AND(A1021="",B1021="",D1021="",G1021=""),"",IF(AND(A1021&lt;&gt;"",COUNTIF($A$2:$A$5001,A1021)&gt;1),"NUMERO_PC duplicado",IF(B1021="","DATA_PC vazia",IF(NOT(ISNUMBER(B1021)),"DATA_PC invalida",IF(OR(C1021="",C1021="Fora dos ciclos"),"CICLO_PC nao identificado",IF(OR(D1021="",D1021=0),"VALOR_PC vazio ou zero",IF(AND(G1021&lt;&gt;"Sim",G1021&lt;&gt;"Nao",G1021&lt;&gt;""),"PC_PAGO_A_CONTRATADA invalido",IF(AND(C1021&lt;&gt;"C0",IFERROR(INDEX(parametros!$A$2:$A$6,MATCH(C1021,parametros!$B$2:$B$6,0)),"")="Sim",IFERROR(INDEX(parametros!$H$2:$H$6,MATCH(C1021,parametros!$B$2:$B$6,0)),"")=""),"INICIO_EFEITO ausente: PC "&amp;A1021&amp;" - "&amp;C1021,IF(L1021="","EFEITO_PC nao calculado: PC "&amp;A1021&amp;" - "&amp;C1021,"OK")))))))))</f>
        <v/>
      </c>
      <c r="L1021" s="92" t="str">
        <f>IF(AND(A1021="",B1021="",D1021="",G1021=""),"",IF(OR(B1021="",NOT(ISNUMBER(B1021)),C1021="",C1021="Fora dos ciclos"),"",IF(C1021="C0","Nao",IF(IFERROR(INDEX(parametros!$A$2:$A$6,MATCH(C1021,parametros!$B$2:$B$6,0)),"")&lt;&gt;"Sim","Nao",IF(IFERROR(INDEX(parametros!$H$2:$H$6,MATCH(C1021,parametros!$B$2:$B$6,0)),"")="","",IF(B1021&gt;=IFERROR(INDEX(parametros!$H$2:$H$6,MATCH(C1021,parametros!$B$2:$B$6,0)),""),"Sim","Nao"))))))</f>
        <v/>
      </c>
      <c r="T1021" s="156"/>
      <c r="U1021" s="214" t="str">
        <f t="shared" si="81"/>
        <v/>
      </c>
      <c r="V1021" s="212" t="s">
        <v>50</v>
      </c>
      <c r="W1021" s="100" t="s">
        <v>168</v>
      </c>
      <c r="X1021" s="100" t="s">
        <v>169</v>
      </c>
      <c r="Y1021" s="101" t="s">
        <v>170</v>
      </c>
      <c r="Z1021" s="101" t="s">
        <v>171</v>
      </c>
      <c r="AA1021" s="101" t="s">
        <v>50</v>
      </c>
      <c r="AB1021" s="101" t="s">
        <v>172</v>
      </c>
      <c r="AC1021" s="102" t="s">
        <v>173</v>
      </c>
    </row>
    <row r="1022" spans="1:29" ht="25.5" customHeight="1" x14ac:dyDescent="0.35">
      <c r="A1022" s="392"/>
      <c r="B1022" s="393"/>
      <c r="C1022" s="99" t="str">
        <f>IF(B1022="","",IF(NOT(ISNUMBER(B1022)),"DATA_PC invalida",IF(NOT(ISNUMBER(parametros!$C$2)),"Fora dos ciclos",IF(OR(B1022&lt;parametros!$C$2,(YEAR(B1022)-YEAR(parametros!$C$2))*12+MONTH(B1022)-MONTH(parametros!$C$2)&gt;59),"Fora dos ciclos","C"&amp;INT(((YEAR(B1022)-YEAR(parametros!$C$2))*12+MONTH(B1022)-MONTH(parametros!$C$2))/12)))))</f>
        <v/>
      </c>
      <c r="D1022" s="394"/>
      <c r="E1022" s="78" t="str">
        <f>IF(C1022="","",IFERROR(VLOOKUP(C1022,parametros!$A$11:$E$15,5,0),""))</f>
        <v/>
      </c>
      <c r="F1022" s="79" t="str">
        <f t="shared" si="77"/>
        <v/>
      </c>
      <c r="G1022" s="395"/>
      <c r="H1022" s="91">
        <f t="shared" si="78"/>
        <v>0</v>
      </c>
      <c r="I1022" s="91" t="str">
        <f t="shared" si="79"/>
        <v/>
      </c>
      <c r="J1022" s="91" t="str">
        <f t="shared" si="80"/>
        <v/>
      </c>
      <c r="K1022" s="92" t="str">
        <f>IF(AND(A1022="",B1022="",D1022="",G1022=""),"",IF(AND(A1022&lt;&gt;"",COUNTIF($A$2:$A$5001,A1022)&gt;1),"NUMERO_PC duplicado",IF(B1022="","DATA_PC vazia",IF(NOT(ISNUMBER(B1022)),"DATA_PC invalida",IF(OR(C1022="",C1022="Fora dos ciclos"),"CICLO_PC nao identificado",IF(OR(D1022="",D1022=0),"VALOR_PC vazio ou zero",IF(AND(G1022&lt;&gt;"Sim",G1022&lt;&gt;"Nao",G1022&lt;&gt;""),"PC_PAGO_A_CONTRATADA invalido",IF(AND(C1022&lt;&gt;"C0",IFERROR(INDEX(parametros!$A$2:$A$6,MATCH(C1022,parametros!$B$2:$B$6,0)),"")="Sim",IFERROR(INDEX(parametros!$H$2:$H$6,MATCH(C1022,parametros!$B$2:$B$6,0)),"")=""),"INICIO_EFEITO ausente: PC "&amp;A1022&amp;" - "&amp;C1022,IF(L1022="","EFEITO_PC nao calculado: PC "&amp;A1022&amp;" - "&amp;C1022,"OK")))))))))</f>
        <v/>
      </c>
      <c r="L1022" s="92" t="str">
        <f>IF(AND(A1022="",B1022="",D1022="",G1022=""),"",IF(OR(B1022="",NOT(ISNUMBER(B1022)),C1022="",C1022="Fora dos ciclos"),"",IF(C1022="C0","Nao",IF(IFERROR(INDEX(parametros!$A$2:$A$6,MATCH(C1022,parametros!$B$2:$B$6,0)),"")&lt;&gt;"Sim","Nao",IF(IFERROR(INDEX(parametros!$H$2:$H$6,MATCH(C1022,parametros!$B$2:$B$6,0)),"")="","",IF(B1022&gt;=IFERROR(INDEX(parametros!$H$2:$H$6,MATCH(C1022,parametros!$B$2:$B$6,0)),""),"Sim","Nao"))))))</f>
        <v/>
      </c>
      <c r="T1022" s="156"/>
      <c r="U1022" s="214" t="str">
        <f t="shared" si="81"/>
        <v/>
      </c>
      <c r="V1022" s="212" t="s">
        <v>50</v>
      </c>
      <c r="W1022" s="100" t="s">
        <v>168</v>
      </c>
      <c r="X1022" s="100" t="s">
        <v>169</v>
      </c>
      <c r="Y1022" s="101" t="s">
        <v>170</v>
      </c>
      <c r="Z1022" s="101" t="s">
        <v>171</v>
      </c>
      <c r="AA1022" s="101" t="s">
        <v>50</v>
      </c>
      <c r="AB1022" s="101" t="s">
        <v>172</v>
      </c>
      <c r="AC1022" s="102" t="s">
        <v>173</v>
      </c>
    </row>
    <row r="1023" spans="1:29" ht="25.5" customHeight="1" x14ac:dyDescent="0.35">
      <c r="A1023" s="392"/>
      <c r="B1023" s="393"/>
      <c r="C1023" s="99" t="str">
        <f>IF(B1023="","",IF(NOT(ISNUMBER(B1023)),"DATA_PC invalida",IF(NOT(ISNUMBER(parametros!$C$2)),"Fora dos ciclos",IF(OR(B1023&lt;parametros!$C$2,(YEAR(B1023)-YEAR(parametros!$C$2))*12+MONTH(B1023)-MONTH(parametros!$C$2)&gt;59),"Fora dos ciclos","C"&amp;INT(((YEAR(B1023)-YEAR(parametros!$C$2))*12+MONTH(B1023)-MONTH(parametros!$C$2))/12)))))</f>
        <v/>
      </c>
      <c r="D1023" s="394"/>
      <c r="E1023" s="78" t="str">
        <f>IF(C1023="","",IFERROR(VLOOKUP(C1023,parametros!$A$11:$E$15,5,0),""))</f>
        <v/>
      </c>
      <c r="F1023" s="79" t="str">
        <f t="shared" si="77"/>
        <v/>
      </c>
      <c r="G1023" s="395"/>
      <c r="H1023" s="91">
        <f t="shared" si="78"/>
        <v>0</v>
      </c>
      <c r="I1023" s="91" t="str">
        <f t="shared" si="79"/>
        <v/>
      </c>
      <c r="J1023" s="91" t="str">
        <f t="shared" si="80"/>
        <v/>
      </c>
      <c r="K1023" s="92" t="str">
        <f>IF(AND(A1023="",B1023="",D1023="",G1023=""),"",IF(AND(A1023&lt;&gt;"",COUNTIF($A$2:$A$5001,A1023)&gt;1),"NUMERO_PC duplicado",IF(B1023="","DATA_PC vazia",IF(NOT(ISNUMBER(B1023)),"DATA_PC invalida",IF(OR(C1023="",C1023="Fora dos ciclos"),"CICLO_PC nao identificado",IF(OR(D1023="",D1023=0),"VALOR_PC vazio ou zero",IF(AND(G1023&lt;&gt;"Sim",G1023&lt;&gt;"Nao",G1023&lt;&gt;""),"PC_PAGO_A_CONTRATADA invalido",IF(AND(C1023&lt;&gt;"C0",IFERROR(INDEX(parametros!$A$2:$A$6,MATCH(C1023,parametros!$B$2:$B$6,0)),"")="Sim",IFERROR(INDEX(parametros!$H$2:$H$6,MATCH(C1023,parametros!$B$2:$B$6,0)),"")=""),"INICIO_EFEITO ausente: PC "&amp;A1023&amp;" - "&amp;C1023,IF(L1023="","EFEITO_PC nao calculado: PC "&amp;A1023&amp;" - "&amp;C1023,"OK")))))))))</f>
        <v/>
      </c>
      <c r="L1023" s="92" t="str">
        <f>IF(AND(A1023="",B1023="",D1023="",G1023=""),"",IF(OR(B1023="",NOT(ISNUMBER(B1023)),C1023="",C1023="Fora dos ciclos"),"",IF(C1023="C0","Nao",IF(IFERROR(INDEX(parametros!$A$2:$A$6,MATCH(C1023,parametros!$B$2:$B$6,0)),"")&lt;&gt;"Sim","Nao",IF(IFERROR(INDEX(parametros!$H$2:$H$6,MATCH(C1023,parametros!$B$2:$B$6,0)),"")="","",IF(B1023&gt;=IFERROR(INDEX(parametros!$H$2:$H$6,MATCH(C1023,parametros!$B$2:$B$6,0)),""),"Sim","Nao"))))))</f>
        <v/>
      </c>
      <c r="T1023" s="156"/>
      <c r="U1023" s="214" t="str">
        <f t="shared" si="81"/>
        <v/>
      </c>
      <c r="V1023" s="212" t="s">
        <v>50</v>
      </c>
      <c r="W1023" s="100" t="s">
        <v>168</v>
      </c>
      <c r="X1023" s="100" t="s">
        <v>169</v>
      </c>
      <c r="Y1023" s="101" t="s">
        <v>170</v>
      </c>
      <c r="Z1023" s="101" t="s">
        <v>171</v>
      </c>
      <c r="AA1023" s="101" t="s">
        <v>50</v>
      </c>
      <c r="AB1023" s="101" t="s">
        <v>172</v>
      </c>
      <c r="AC1023" s="102" t="s">
        <v>173</v>
      </c>
    </row>
    <row r="1024" spans="1:29" ht="25.5" customHeight="1" x14ac:dyDescent="0.35">
      <c r="A1024" s="392"/>
      <c r="B1024" s="393"/>
      <c r="C1024" s="99" t="str">
        <f>IF(B1024="","",IF(NOT(ISNUMBER(B1024)),"DATA_PC invalida",IF(NOT(ISNUMBER(parametros!$C$2)),"Fora dos ciclos",IF(OR(B1024&lt;parametros!$C$2,(YEAR(B1024)-YEAR(parametros!$C$2))*12+MONTH(B1024)-MONTH(parametros!$C$2)&gt;59),"Fora dos ciclos","C"&amp;INT(((YEAR(B1024)-YEAR(parametros!$C$2))*12+MONTH(B1024)-MONTH(parametros!$C$2))/12)))))</f>
        <v/>
      </c>
      <c r="D1024" s="394"/>
      <c r="E1024" s="78" t="str">
        <f>IF(C1024="","",IFERROR(VLOOKUP(C1024,parametros!$A$11:$E$15,5,0),""))</f>
        <v/>
      </c>
      <c r="F1024" s="79" t="str">
        <f t="shared" si="77"/>
        <v/>
      </c>
      <c r="G1024" s="395"/>
      <c r="H1024" s="91">
        <f t="shared" si="78"/>
        <v>0</v>
      </c>
      <c r="I1024" s="91" t="str">
        <f t="shared" si="79"/>
        <v/>
      </c>
      <c r="J1024" s="91" t="str">
        <f t="shared" si="80"/>
        <v/>
      </c>
      <c r="K1024" s="92" t="str">
        <f>IF(AND(A1024="",B1024="",D1024="",G1024=""),"",IF(AND(A1024&lt;&gt;"",COUNTIF($A$2:$A$5001,A1024)&gt;1),"NUMERO_PC duplicado",IF(B1024="","DATA_PC vazia",IF(NOT(ISNUMBER(B1024)),"DATA_PC invalida",IF(OR(C1024="",C1024="Fora dos ciclos"),"CICLO_PC nao identificado",IF(OR(D1024="",D1024=0),"VALOR_PC vazio ou zero",IF(AND(G1024&lt;&gt;"Sim",G1024&lt;&gt;"Nao",G1024&lt;&gt;""),"PC_PAGO_A_CONTRATADA invalido",IF(AND(C1024&lt;&gt;"C0",IFERROR(INDEX(parametros!$A$2:$A$6,MATCH(C1024,parametros!$B$2:$B$6,0)),"")="Sim",IFERROR(INDEX(parametros!$H$2:$H$6,MATCH(C1024,parametros!$B$2:$B$6,0)),"")=""),"INICIO_EFEITO ausente: PC "&amp;A1024&amp;" - "&amp;C1024,IF(L1024="","EFEITO_PC nao calculado: PC "&amp;A1024&amp;" - "&amp;C1024,"OK")))))))))</f>
        <v/>
      </c>
      <c r="L1024" s="92" t="str">
        <f>IF(AND(A1024="",B1024="",D1024="",G1024=""),"",IF(OR(B1024="",NOT(ISNUMBER(B1024)),C1024="",C1024="Fora dos ciclos"),"",IF(C1024="C0","Nao",IF(IFERROR(INDEX(parametros!$A$2:$A$6,MATCH(C1024,parametros!$B$2:$B$6,0)),"")&lt;&gt;"Sim","Nao",IF(IFERROR(INDEX(parametros!$H$2:$H$6,MATCH(C1024,parametros!$B$2:$B$6,0)),"")="","",IF(B1024&gt;=IFERROR(INDEX(parametros!$H$2:$H$6,MATCH(C1024,parametros!$B$2:$B$6,0)),""),"Sim","Nao"))))))</f>
        <v/>
      </c>
      <c r="T1024" s="156"/>
      <c r="U1024" s="214" t="str">
        <f t="shared" si="81"/>
        <v/>
      </c>
      <c r="V1024" s="212" t="s">
        <v>50</v>
      </c>
      <c r="W1024" s="100" t="s">
        <v>168</v>
      </c>
      <c r="X1024" s="100" t="s">
        <v>169</v>
      </c>
      <c r="Y1024" s="101" t="s">
        <v>170</v>
      </c>
      <c r="Z1024" s="101" t="s">
        <v>171</v>
      </c>
      <c r="AA1024" s="101" t="s">
        <v>50</v>
      </c>
      <c r="AB1024" s="101" t="s">
        <v>172</v>
      </c>
      <c r="AC1024" s="102" t="s">
        <v>173</v>
      </c>
    </row>
    <row r="1025" spans="1:29" ht="25.5" customHeight="1" x14ac:dyDescent="0.35">
      <c r="A1025" s="392"/>
      <c r="B1025" s="393"/>
      <c r="C1025" s="99" t="str">
        <f>IF(B1025="","",IF(NOT(ISNUMBER(B1025)),"DATA_PC invalida",IF(NOT(ISNUMBER(parametros!$C$2)),"Fora dos ciclos",IF(OR(B1025&lt;parametros!$C$2,(YEAR(B1025)-YEAR(parametros!$C$2))*12+MONTH(B1025)-MONTH(parametros!$C$2)&gt;59),"Fora dos ciclos","C"&amp;INT(((YEAR(B1025)-YEAR(parametros!$C$2))*12+MONTH(B1025)-MONTH(parametros!$C$2))/12)))))</f>
        <v/>
      </c>
      <c r="D1025" s="394"/>
      <c r="E1025" s="78" t="str">
        <f>IF(C1025="","",IFERROR(VLOOKUP(C1025,parametros!$A$11:$E$15,5,0),""))</f>
        <v/>
      </c>
      <c r="F1025" s="79" t="str">
        <f t="shared" si="77"/>
        <v/>
      </c>
      <c r="G1025" s="395"/>
      <c r="H1025" s="91">
        <f t="shared" si="78"/>
        <v>0</v>
      </c>
      <c r="I1025" s="91" t="str">
        <f t="shared" si="79"/>
        <v/>
      </c>
      <c r="J1025" s="91" t="str">
        <f t="shared" si="80"/>
        <v/>
      </c>
      <c r="K1025" s="92" t="str">
        <f>IF(AND(A1025="",B1025="",D1025="",G1025=""),"",IF(AND(A1025&lt;&gt;"",COUNTIF($A$2:$A$5001,A1025)&gt;1),"NUMERO_PC duplicado",IF(B1025="","DATA_PC vazia",IF(NOT(ISNUMBER(B1025)),"DATA_PC invalida",IF(OR(C1025="",C1025="Fora dos ciclos"),"CICLO_PC nao identificado",IF(OR(D1025="",D1025=0),"VALOR_PC vazio ou zero",IF(AND(G1025&lt;&gt;"Sim",G1025&lt;&gt;"Nao",G1025&lt;&gt;""),"PC_PAGO_A_CONTRATADA invalido",IF(AND(C1025&lt;&gt;"C0",IFERROR(INDEX(parametros!$A$2:$A$6,MATCH(C1025,parametros!$B$2:$B$6,0)),"")="Sim",IFERROR(INDEX(parametros!$H$2:$H$6,MATCH(C1025,parametros!$B$2:$B$6,0)),"")=""),"INICIO_EFEITO ausente: PC "&amp;A1025&amp;" - "&amp;C1025,IF(L1025="","EFEITO_PC nao calculado: PC "&amp;A1025&amp;" - "&amp;C1025,"OK")))))))))</f>
        <v/>
      </c>
      <c r="L1025" s="92" t="str">
        <f>IF(AND(A1025="",B1025="",D1025="",G1025=""),"",IF(OR(B1025="",NOT(ISNUMBER(B1025)),C1025="",C1025="Fora dos ciclos"),"",IF(C1025="C0","Nao",IF(IFERROR(INDEX(parametros!$A$2:$A$6,MATCH(C1025,parametros!$B$2:$B$6,0)),"")&lt;&gt;"Sim","Nao",IF(IFERROR(INDEX(parametros!$H$2:$H$6,MATCH(C1025,parametros!$B$2:$B$6,0)),"")="","",IF(B1025&gt;=IFERROR(INDEX(parametros!$H$2:$H$6,MATCH(C1025,parametros!$B$2:$B$6,0)),""),"Sim","Nao"))))))</f>
        <v/>
      </c>
      <c r="T1025" s="156"/>
      <c r="U1025" s="214" t="str">
        <f t="shared" si="81"/>
        <v/>
      </c>
      <c r="V1025" s="212" t="s">
        <v>50</v>
      </c>
      <c r="W1025" s="100" t="s">
        <v>168</v>
      </c>
      <c r="X1025" s="100" t="s">
        <v>169</v>
      </c>
      <c r="Y1025" s="101" t="s">
        <v>170</v>
      </c>
      <c r="Z1025" s="101" t="s">
        <v>171</v>
      </c>
      <c r="AA1025" s="101" t="s">
        <v>50</v>
      </c>
      <c r="AB1025" s="101" t="s">
        <v>172</v>
      </c>
      <c r="AC1025" s="102" t="s">
        <v>173</v>
      </c>
    </row>
    <row r="1026" spans="1:29" ht="25.5" customHeight="1" x14ac:dyDescent="0.35">
      <c r="A1026" s="392"/>
      <c r="B1026" s="393"/>
      <c r="C1026" s="99" t="str">
        <f>IF(B1026="","",IF(NOT(ISNUMBER(B1026)),"DATA_PC invalida",IF(NOT(ISNUMBER(parametros!$C$2)),"Fora dos ciclos",IF(OR(B1026&lt;parametros!$C$2,(YEAR(B1026)-YEAR(parametros!$C$2))*12+MONTH(B1026)-MONTH(parametros!$C$2)&gt;59),"Fora dos ciclos","C"&amp;INT(((YEAR(B1026)-YEAR(parametros!$C$2))*12+MONTH(B1026)-MONTH(parametros!$C$2))/12)))))</f>
        <v/>
      </c>
      <c r="D1026" s="394"/>
      <c r="E1026" s="78" t="str">
        <f>IF(C1026="","",IFERROR(VLOOKUP(C1026,parametros!$A$11:$E$15,5,0),""))</f>
        <v/>
      </c>
      <c r="F1026" s="79" t="str">
        <f t="shared" ref="F1026:F1089" si="82">IF(OR(D1026="",E1026=""),"",ROUND(D1026*E1026,2))</f>
        <v/>
      </c>
      <c r="G1026" s="395"/>
      <c r="H1026" s="91">
        <f t="shared" ref="H1026:H1089" si="83">IF(G1026="Sim",IF(OR(F1026="",D1026="",L1026=""),"",IF(L1026="Sim",ROUND(F1026-D1026,2),0)),0)</f>
        <v>0</v>
      </c>
      <c r="I1026" s="91" t="str">
        <f t="shared" ref="I1026:I1089" si="84">IF(G1026="Sim",0,IF(OR(F1026="",L1026=""),"",F1026))</f>
        <v/>
      </c>
      <c r="J1026" s="91" t="str">
        <f t="shared" ref="J1026:J1089" si="85">IF(G1026="Sim",0,IF(OR(F1026="",D1026="",L1026=""),"",IF(L1026="Sim",ROUND(F1026-D1026,2),0)))</f>
        <v/>
      </c>
      <c r="K1026" s="92" t="str">
        <f>IF(AND(A1026="",B1026="",D1026="",G1026=""),"",IF(AND(A1026&lt;&gt;"",COUNTIF($A$2:$A$5001,A1026)&gt;1),"NUMERO_PC duplicado",IF(B1026="","DATA_PC vazia",IF(NOT(ISNUMBER(B1026)),"DATA_PC invalida",IF(OR(C1026="",C1026="Fora dos ciclos"),"CICLO_PC nao identificado",IF(OR(D1026="",D1026=0),"VALOR_PC vazio ou zero",IF(AND(G1026&lt;&gt;"Sim",G1026&lt;&gt;"Nao",G1026&lt;&gt;""),"PC_PAGO_A_CONTRATADA invalido",IF(AND(C1026&lt;&gt;"C0",IFERROR(INDEX(parametros!$A$2:$A$6,MATCH(C1026,parametros!$B$2:$B$6,0)),"")="Sim",IFERROR(INDEX(parametros!$H$2:$H$6,MATCH(C1026,parametros!$B$2:$B$6,0)),"")=""),"INICIO_EFEITO ausente: PC "&amp;A1026&amp;" - "&amp;C1026,IF(L1026="","EFEITO_PC nao calculado: PC "&amp;A1026&amp;" - "&amp;C1026,"OK")))))))))</f>
        <v/>
      </c>
      <c r="L1026" s="92" t="str">
        <f>IF(AND(A1026="",B1026="",D1026="",G1026=""),"",IF(OR(B1026="",NOT(ISNUMBER(B1026)),C1026="",C1026="Fora dos ciclos"),"",IF(C1026="C0","Nao",IF(IFERROR(INDEX(parametros!$A$2:$A$6,MATCH(C1026,parametros!$B$2:$B$6,0)),"")&lt;&gt;"Sim","Nao",IF(IFERROR(INDEX(parametros!$H$2:$H$6,MATCH(C1026,parametros!$B$2:$B$6,0)),"")="","",IF(B1026&gt;=IFERROR(INDEX(parametros!$H$2:$H$6,MATCH(C1026,parametros!$B$2:$B$6,0)),""),"Sim","Nao"))))))</f>
        <v/>
      </c>
      <c r="T1026" s="156"/>
      <c r="U1026" s="214" t="str">
        <f t="shared" ref="U1026:U1089" si="86">IF(OR($D1026="",$H1026=""),"",ROUND($D1026+$H1026,2))</f>
        <v/>
      </c>
      <c r="V1026" s="212" t="s">
        <v>50</v>
      </c>
      <c r="W1026" s="100" t="s">
        <v>168</v>
      </c>
      <c r="X1026" s="100" t="s">
        <v>169</v>
      </c>
      <c r="Y1026" s="101" t="s">
        <v>170</v>
      </c>
      <c r="Z1026" s="101" t="s">
        <v>171</v>
      </c>
      <c r="AA1026" s="101" t="s">
        <v>50</v>
      </c>
      <c r="AB1026" s="101" t="s">
        <v>172</v>
      </c>
      <c r="AC1026" s="102" t="s">
        <v>173</v>
      </c>
    </row>
    <row r="1027" spans="1:29" ht="25.5" customHeight="1" x14ac:dyDescent="0.35">
      <c r="A1027" s="392"/>
      <c r="B1027" s="393"/>
      <c r="C1027" s="99" t="str">
        <f>IF(B1027="","",IF(NOT(ISNUMBER(B1027)),"DATA_PC invalida",IF(NOT(ISNUMBER(parametros!$C$2)),"Fora dos ciclos",IF(OR(B1027&lt;parametros!$C$2,(YEAR(B1027)-YEAR(parametros!$C$2))*12+MONTH(B1027)-MONTH(parametros!$C$2)&gt;59),"Fora dos ciclos","C"&amp;INT(((YEAR(B1027)-YEAR(parametros!$C$2))*12+MONTH(B1027)-MONTH(parametros!$C$2))/12)))))</f>
        <v/>
      </c>
      <c r="D1027" s="394"/>
      <c r="E1027" s="78" t="str">
        <f>IF(C1027="","",IFERROR(VLOOKUP(C1027,parametros!$A$11:$E$15,5,0),""))</f>
        <v/>
      </c>
      <c r="F1027" s="79" t="str">
        <f t="shared" si="82"/>
        <v/>
      </c>
      <c r="G1027" s="395"/>
      <c r="H1027" s="91">
        <f t="shared" si="83"/>
        <v>0</v>
      </c>
      <c r="I1027" s="91" t="str">
        <f t="shared" si="84"/>
        <v/>
      </c>
      <c r="J1027" s="91" t="str">
        <f t="shared" si="85"/>
        <v/>
      </c>
      <c r="K1027" s="92" t="str">
        <f>IF(AND(A1027="",B1027="",D1027="",G1027=""),"",IF(AND(A1027&lt;&gt;"",COUNTIF($A$2:$A$5001,A1027)&gt;1),"NUMERO_PC duplicado",IF(B1027="","DATA_PC vazia",IF(NOT(ISNUMBER(B1027)),"DATA_PC invalida",IF(OR(C1027="",C1027="Fora dos ciclos"),"CICLO_PC nao identificado",IF(OR(D1027="",D1027=0),"VALOR_PC vazio ou zero",IF(AND(G1027&lt;&gt;"Sim",G1027&lt;&gt;"Nao",G1027&lt;&gt;""),"PC_PAGO_A_CONTRATADA invalido",IF(AND(C1027&lt;&gt;"C0",IFERROR(INDEX(parametros!$A$2:$A$6,MATCH(C1027,parametros!$B$2:$B$6,0)),"")="Sim",IFERROR(INDEX(parametros!$H$2:$H$6,MATCH(C1027,parametros!$B$2:$B$6,0)),"")=""),"INICIO_EFEITO ausente: PC "&amp;A1027&amp;" - "&amp;C1027,IF(L1027="","EFEITO_PC nao calculado: PC "&amp;A1027&amp;" - "&amp;C1027,"OK")))))))))</f>
        <v/>
      </c>
      <c r="L1027" s="92" t="str">
        <f>IF(AND(A1027="",B1027="",D1027="",G1027=""),"",IF(OR(B1027="",NOT(ISNUMBER(B1027)),C1027="",C1027="Fora dos ciclos"),"",IF(C1027="C0","Nao",IF(IFERROR(INDEX(parametros!$A$2:$A$6,MATCH(C1027,parametros!$B$2:$B$6,0)),"")&lt;&gt;"Sim","Nao",IF(IFERROR(INDEX(parametros!$H$2:$H$6,MATCH(C1027,parametros!$B$2:$B$6,0)),"")="","",IF(B1027&gt;=IFERROR(INDEX(parametros!$H$2:$H$6,MATCH(C1027,parametros!$B$2:$B$6,0)),""),"Sim","Nao"))))))</f>
        <v/>
      </c>
      <c r="T1027" s="156"/>
      <c r="U1027" s="214" t="str">
        <f t="shared" si="86"/>
        <v/>
      </c>
      <c r="V1027" s="212" t="s">
        <v>50</v>
      </c>
      <c r="W1027" s="100" t="s">
        <v>168</v>
      </c>
      <c r="X1027" s="100" t="s">
        <v>169</v>
      </c>
      <c r="Y1027" s="101" t="s">
        <v>170</v>
      </c>
      <c r="Z1027" s="101" t="s">
        <v>171</v>
      </c>
      <c r="AA1027" s="101" t="s">
        <v>50</v>
      </c>
      <c r="AB1027" s="101" t="s">
        <v>172</v>
      </c>
      <c r="AC1027" s="102" t="s">
        <v>173</v>
      </c>
    </row>
    <row r="1028" spans="1:29" ht="25.5" customHeight="1" x14ac:dyDescent="0.35">
      <c r="A1028" s="392"/>
      <c r="B1028" s="393"/>
      <c r="C1028" s="99" t="str">
        <f>IF(B1028="","",IF(NOT(ISNUMBER(B1028)),"DATA_PC invalida",IF(NOT(ISNUMBER(parametros!$C$2)),"Fora dos ciclos",IF(OR(B1028&lt;parametros!$C$2,(YEAR(B1028)-YEAR(parametros!$C$2))*12+MONTH(B1028)-MONTH(parametros!$C$2)&gt;59),"Fora dos ciclos","C"&amp;INT(((YEAR(B1028)-YEAR(parametros!$C$2))*12+MONTH(B1028)-MONTH(parametros!$C$2))/12)))))</f>
        <v/>
      </c>
      <c r="D1028" s="394"/>
      <c r="E1028" s="78" t="str">
        <f>IF(C1028="","",IFERROR(VLOOKUP(C1028,parametros!$A$11:$E$15,5,0),""))</f>
        <v/>
      </c>
      <c r="F1028" s="79" t="str">
        <f t="shared" si="82"/>
        <v/>
      </c>
      <c r="G1028" s="395"/>
      <c r="H1028" s="91">
        <f t="shared" si="83"/>
        <v>0</v>
      </c>
      <c r="I1028" s="91" t="str">
        <f t="shared" si="84"/>
        <v/>
      </c>
      <c r="J1028" s="91" t="str">
        <f t="shared" si="85"/>
        <v/>
      </c>
      <c r="K1028" s="92" t="str">
        <f>IF(AND(A1028="",B1028="",D1028="",G1028=""),"",IF(AND(A1028&lt;&gt;"",COUNTIF($A$2:$A$5001,A1028)&gt;1),"NUMERO_PC duplicado",IF(B1028="","DATA_PC vazia",IF(NOT(ISNUMBER(B1028)),"DATA_PC invalida",IF(OR(C1028="",C1028="Fora dos ciclos"),"CICLO_PC nao identificado",IF(OR(D1028="",D1028=0),"VALOR_PC vazio ou zero",IF(AND(G1028&lt;&gt;"Sim",G1028&lt;&gt;"Nao",G1028&lt;&gt;""),"PC_PAGO_A_CONTRATADA invalido",IF(AND(C1028&lt;&gt;"C0",IFERROR(INDEX(parametros!$A$2:$A$6,MATCH(C1028,parametros!$B$2:$B$6,0)),"")="Sim",IFERROR(INDEX(parametros!$H$2:$H$6,MATCH(C1028,parametros!$B$2:$B$6,0)),"")=""),"INICIO_EFEITO ausente: PC "&amp;A1028&amp;" - "&amp;C1028,IF(L1028="","EFEITO_PC nao calculado: PC "&amp;A1028&amp;" - "&amp;C1028,"OK")))))))))</f>
        <v/>
      </c>
      <c r="L1028" s="92" t="str">
        <f>IF(AND(A1028="",B1028="",D1028="",G1028=""),"",IF(OR(B1028="",NOT(ISNUMBER(B1028)),C1028="",C1028="Fora dos ciclos"),"",IF(C1028="C0","Nao",IF(IFERROR(INDEX(parametros!$A$2:$A$6,MATCH(C1028,parametros!$B$2:$B$6,0)),"")&lt;&gt;"Sim","Nao",IF(IFERROR(INDEX(parametros!$H$2:$H$6,MATCH(C1028,parametros!$B$2:$B$6,0)),"")="","",IF(B1028&gt;=IFERROR(INDEX(parametros!$H$2:$H$6,MATCH(C1028,parametros!$B$2:$B$6,0)),""),"Sim","Nao"))))))</f>
        <v/>
      </c>
      <c r="T1028" s="156"/>
      <c r="U1028" s="214" t="str">
        <f t="shared" si="86"/>
        <v/>
      </c>
      <c r="V1028" s="212" t="s">
        <v>50</v>
      </c>
      <c r="W1028" s="100" t="s">
        <v>168</v>
      </c>
      <c r="X1028" s="100" t="s">
        <v>169</v>
      </c>
      <c r="Y1028" s="101" t="s">
        <v>170</v>
      </c>
      <c r="Z1028" s="101" t="s">
        <v>171</v>
      </c>
      <c r="AA1028" s="101" t="s">
        <v>50</v>
      </c>
      <c r="AB1028" s="101" t="s">
        <v>172</v>
      </c>
      <c r="AC1028" s="102" t="s">
        <v>173</v>
      </c>
    </row>
    <row r="1029" spans="1:29" ht="25.5" customHeight="1" x14ac:dyDescent="0.35">
      <c r="A1029" s="392"/>
      <c r="B1029" s="393"/>
      <c r="C1029" s="99" t="str">
        <f>IF(B1029="","",IF(NOT(ISNUMBER(B1029)),"DATA_PC invalida",IF(NOT(ISNUMBER(parametros!$C$2)),"Fora dos ciclos",IF(OR(B1029&lt;parametros!$C$2,(YEAR(B1029)-YEAR(parametros!$C$2))*12+MONTH(B1029)-MONTH(parametros!$C$2)&gt;59),"Fora dos ciclos","C"&amp;INT(((YEAR(B1029)-YEAR(parametros!$C$2))*12+MONTH(B1029)-MONTH(parametros!$C$2))/12)))))</f>
        <v/>
      </c>
      <c r="D1029" s="394"/>
      <c r="E1029" s="78" t="str">
        <f>IF(C1029="","",IFERROR(VLOOKUP(C1029,parametros!$A$11:$E$15,5,0),""))</f>
        <v/>
      </c>
      <c r="F1029" s="79" t="str">
        <f t="shared" si="82"/>
        <v/>
      </c>
      <c r="G1029" s="395"/>
      <c r="H1029" s="91">
        <f t="shared" si="83"/>
        <v>0</v>
      </c>
      <c r="I1029" s="91" t="str">
        <f t="shared" si="84"/>
        <v/>
      </c>
      <c r="J1029" s="91" t="str">
        <f t="shared" si="85"/>
        <v/>
      </c>
      <c r="K1029" s="92" t="str">
        <f>IF(AND(A1029="",B1029="",D1029="",G1029=""),"",IF(AND(A1029&lt;&gt;"",COUNTIF($A$2:$A$5001,A1029)&gt;1),"NUMERO_PC duplicado",IF(B1029="","DATA_PC vazia",IF(NOT(ISNUMBER(B1029)),"DATA_PC invalida",IF(OR(C1029="",C1029="Fora dos ciclos"),"CICLO_PC nao identificado",IF(OR(D1029="",D1029=0),"VALOR_PC vazio ou zero",IF(AND(G1029&lt;&gt;"Sim",G1029&lt;&gt;"Nao",G1029&lt;&gt;""),"PC_PAGO_A_CONTRATADA invalido",IF(AND(C1029&lt;&gt;"C0",IFERROR(INDEX(parametros!$A$2:$A$6,MATCH(C1029,parametros!$B$2:$B$6,0)),"")="Sim",IFERROR(INDEX(parametros!$H$2:$H$6,MATCH(C1029,parametros!$B$2:$B$6,0)),"")=""),"INICIO_EFEITO ausente: PC "&amp;A1029&amp;" - "&amp;C1029,IF(L1029="","EFEITO_PC nao calculado: PC "&amp;A1029&amp;" - "&amp;C1029,"OK")))))))))</f>
        <v/>
      </c>
      <c r="L1029" s="92" t="str">
        <f>IF(AND(A1029="",B1029="",D1029="",G1029=""),"",IF(OR(B1029="",NOT(ISNUMBER(B1029)),C1029="",C1029="Fora dos ciclos"),"",IF(C1029="C0","Nao",IF(IFERROR(INDEX(parametros!$A$2:$A$6,MATCH(C1029,parametros!$B$2:$B$6,0)),"")&lt;&gt;"Sim","Nao",IF(IFERROR(INDEX(parametros!$H$2:$H$6,MATCH(C1029,parametros!$B$2:$B$6,0)),"")="","",IF(B1029&gt;=IFERROR(INDEX(parametros!$H$2:$H$6,MATCH(C1029,parametros!$B$2:$B$6,0)),""),"Sim","Nao"))))))</f>
        <v/>
      </c>
      <c r="T1029" s="156"/>
      <c r="U1029" s="214" t="str">
        <f t="shared" si="86"/>
        <v/>
      </c>
      <c r="V1029" s="212" t="s">
        <v>50</v>
      </c>
      <c r="W1029" s="100" t="s">
        <v>168</v>
      </c>
      <c r="X1029" s="100" t="s">
        <v>169</v>
      </c>
      <c r="Y1029" s="101" t="s">
        <v>170</v>
      </c>
      <c r="Z1029" s="101" t="s">
        <v>171</v>
      </c>
      <c r="AA1029" s="101" t="s">
        <v>50</v>
      </c>
      <c r="AB1029" s="101" t="s">
        <v>172</v>
      </c>
      <c r="AC1029" s="102" t="s">
        <v>173</v>
      </c>
    </row>
    <row r="1030" spans="1:29" ht="25.5" customHeight="1" x14ac:dyDescent="0.35">
      <c r="A1030" s="392"/>
      <c r="B1030" s="393"/>
      <c r="C1030" s="99" t="str">
        <f>IF(B1030="","",IF(NOT(ISNUMBER(B1030)),"DATA_PC invalida",IF(NOT(ISNUMBER(parametros!$C$2)),"Fora dos ciclos",IF(OR(B1030&lt;parametros!$C$2,(YEAR(B1030)-YEAR(parametros!$C$2))*12+MONTH(B1030)-MONTH(parametros!$C$2)&gt;59),"Fora dos ciclos","C"&amp;INT(((YEAR(B1030)-YEAR(parametros!$C$2))*12+MONTH(B1030)-MONTH(parametros!$C$2))/12)))))</f>
        <v/>
      </c>
      <c r="D1030" s="394"/>
      <c r="E1030" s="78" t="str">
        <f>IF(C1030="","",IFERROR(VLOOKUP(C1030,parametros!$A$11:$E$15,5,0),""))</f>
        <v/>
      </c>
      <c r="F1030" s="79" t="str">
        <f t="shared" si="82"/>
        <v/>
      </c>
      <c r="G1030" s="395"/>
      <c r="H1030" s="91">
        <f t="shared" si="83"/>
        <v>0</v>
      </c>
      <c r="I1030" s="91" t="str">
        <f t="shared" si="84"/>
        <v/>
      </c>
      <c r="J1030" s="91" t="str">
        <f t="shared" si="85"/>
        <v/>
      </c>
      <c r="K1030" s="92" t="str">
        <f>IF(AND(A1030="",B1030="",D1030="",G1030=""),"",IF(AND(A1030&lt;&gt;"",COUNTIF($A$2:$A$5001,A1030)&gt;1),"NUMERO_PC duplicado",IF(B1030="","DATA_PC vazia",IF(NOT(ISNUMBER(B1030)),"DATA_PC invalida",IF(OR(C1030="",C1030="Fora dos ciclos"),"CICLO_PC nao identificado",IF(OR(D1030="",D1030=0),"VALOR_PC vazio ou zero",IF(AND(G1030&lt;&gt;"Sim",G1030&lt;&gt;"Nao",G1030&lt;&gt;""),"PC_PAGO_A_CONTRATADA invalido",IF(AND(C1030&lt;&gt;"C0",IFERROR(INDEX(parametros!$A$2:$A$6,MATCH(C1030,parametros!$B$2:$B$6,0)),"")="Sim",IFERROR(INDEX(parametros!$H$2:$H$6,MATCH(C1030,parametros!$B$2:$B$6,0)),"")=""),"INICIO_EFEITO ausente: PC "&amp;A1030&amp;" - "&amp;C1030,IF(L1030="","EFEITO_PC nao calculado: PC "&amp;A1030&amp;" - "&amp;C1030,"OK")))))))))</f>
        <v/>
      </c>
      <c r="L1030" s="92" t="str">
        <f>IF(AND(A1030="",B1030="",D1030="",G1030=""),"",IF(OR(B1030="",NOT(ISNUMBER(B1030)),C1030="",C1030="Fora dos ciclos"),"",IF(C1030="C0","Nao",IF(IFERROR(INDEX(parametros!$A$2:$A$6,MATCH(C1030,parametros!$B$2:$B$6,0)),"")&lt;&gt;"Sim","Nao",IF(IFERROR(INDEX(parametros!$H$2:$H$6,MATCH(C1030,parametros!$B$2:$B$6,0)),"")="","",IF(B1030&gt;=IFERROR(INDEX(parametros!$H$2:$H$6,MATCH(C1030,parametros!$B$2:$B$6,0)),""),"Sim","Nao"))))))</f>
        <v/>
      </c>
      <c r="T1030" s="156"/>
      <c r="U1030" s="214" t="str">
        <f t="shared" si="86"/>
        <v/>
      </c>
      <c r="V1030" s="212" t="s">
        <v>50</v>
      </c>
      <c r="W1030" s="100" t="s">
        <v>168</v>
      </c>
      <c r="X1030" s="100" t="s">
        <v>169</v>
      </c>
      <c r="Y1030" s="101" t="s">
        <v>170</v>
      </c>
      <c r="Z1030" s="101" t="s">
        <v>171</v>
      </c>
      <c r="AA1030" s="101" t="s">
        <v>50</v>
      </c>
      <c r="AB1030" s="101" t="s">
        <v>172</v>
      </c>
      <c r="AC1030" s="102" t="s">
        <v>173</v>
      </c>
    </row>
    <row r="1031" spans="1:29" ht="25.5" customHeight="1" x14ac:dyDescent="0.35">
      <c r="A1031" s="392"/>
      <c r="B1031" s="393"/>
      <c r="C1031" s="99" t="str">
        <f>IF(B1031="","",IF(NOT(ISNUMBER(B1031)),"DATA_PC invalida",IF(NOT(ISNUMBER(parametros!$C$2)),"Fora dos ciclos",IF(OR(B1031&lt;parametros!$C$2,(YEAR(B1031)-YEAR(parametros!$C$2))*12+MONTH(B1031)-MONTH(parametros!$C$2)&gt;59),"Fora dos ciclos","C"&amp;INT(((YEAR(B1031)-YEAR(parametros!$C$2))*12+MONTH(B1031)-MONTH(parametros!$C$2))/12)))))</f>
        <v/>
      </c>
      <c r="D1031" s="394"/>
      <c r="E1031" s="78" t="str">
        <f>IF(C1031="","",IFERROR(VLOOKUP(C1031,parametros!$A$11:$E$15,5,0),""))</f>
        <v/>
      </c>
      <c r="F1031" s="79" t="str">
        <f t="shared" si="82"/>
        <v/>
      </c>
      <c r="G1031" s="395"/>
      <c r="H1031" s="91">
        <f t="shared" si="83"/>
        <v>0</v>
      </c>
      <c r="I1031" s="91" t="str">
        <f t="shared" si="84"/>
        <v/>
      </c>
      <c r="J1031" s="91" t="str">
        <f t="shared" si="85"/>
        <v/>
      </c>
      <c r="K1031" s="92" t="str">
        <f>IF(AND(A1031="",B1031="",D1031="",G1031=""),"",IF(AND(A1031&lt;&gt;"",COUNTIF($A$2:$A$5001,A1031)&gt;1),"NUMERO_PC duplicado",IF(B1031="","DATA_PC vazia",IF(NOT(ISNUMBER(B1031)),"DATA_PC invalida",IF(OR(C1031="",C1031="Fora dos ciclos"),"CICLO_PC nao identificado",IF(OR(D1031="",D1031=0),"VALOR_PC vazio ou zero",IF(AND(G1031&lt;&gt;"Sim",G1031&lt;&gt;"Nao",G1031&lt;&gt;""),"PC_PAGO_A_CONTRATADA invalido",IF(AND(C1031&lt;&gt;"C0",IFERROR(INDEX(parametros!$A$2:$A$6,MATCH(C1031,parametros!$B$2:$B$6,0)),"")="Sim",IFERROR(INDEX(parametros!$H$2:$H$6,MATCH(C1031,parametros!$B$2:$B$6,0)),"")=""),"INICIO_EFEITO ausente: PC "&amp;A1031&amp;" - "&amp;C1031,IF(L1031="","EFEITO_PC nao calculado: PC "&amp;A1031&amp;" - "&amp;C1031,"OK")))))))))</f>
        <v/>
      </c>
      <c r="L1031" s="92" t="str">
        <f>IF(AND(A1031="",B1031="",D1031="",G1031=""),"",IF(OR(B1031="",NOT(ISNUMBER(B1031)),C1031="",C1031="Fora dos ciclos"),"",IF(C1031="C0","Nao",IF(IFERROR(INDEX(parametros!$A$2:$A$6,MATCH(C1031,parametros!$B$2:$B$6,0)),"")&lt;&gt;"Sim","Nao",IF(IFERROR(INDEX(parametros!$H$2:$H$6,MATCH(C1031,parametros!$B$2:$B$6,0)),"")="","",IF(B1031&gt;=IFERROR(INDEX(parametros!$H$2:$H$6,MATCH(C1031,parametros!$B$2:$B$6,0)),""),"Sim","Nao"))))))</f>
        <v/>
      </c>
      <c r="T1031" s="156"/>
      <c r="U1031" s="214" t="str">
        <f t="shared" si="86"/>
        <v/>
      </c>
      <c r="V1031" s="212" t="s">
        <v>50</v>
      </c>
      <c r="W1031" s="100" t="s">
        <v>168</v>
      </c>
      <c r="X1031" s="100" t="s">
        <v>169</v>
      </c>
      <c r="Y1031" s="101" t="s">
        <v>170</v>
      </c>
      <c r="Z1031" s="101" t="s">
        <v>171</v>
      </c>
      <c r="AA1031" s="101" t="s">
        <v>50</v>
      </c>
      <c r="AB1031" s="101" t="s">
        <v>172</v>
      </c>
      <c r="AC1031" s="102" t="s">
        <v>173</v>
      </c>
    </row>
    <row r="1032" spans="1:29" ht="25.5" customHeight="1" x14ac:dyDescent="0.35">
      <c r="A1032" s="392"/>
      <c r="B1032" s="393"/>
      <c r="C1032" s="99" t="str">
        <f>IF(B1032="","",IF(NOT(ISNUMBER(B1032)),"DATA_PC invalida",IF(NOT(ISNUMBER(parametros!$C$2)),"Fora dos ciclos",IF(OR(B1032&lt;parametros!$C$2,(YEAR(B1032)-YEAR(parametros!$C$2))*12+MONTH(B1032)-MONTH(parametros!$C$2)&gt;59),"Fora dos ciclos","C"&amp;INT(((YEAR(B1032)-YEAR(parametros!$C$2))*12+MONTH(B1032)-MONTH(parametros!$C$2))/12)))))</f>
        <v/>
      </c>
      <c r="D1032" s="394"/>
      <c r="E1032" s="78" t="str">
        <f>IF(C1032="","",IFERROR(VLOOKUP(C1032,parametros!$A$11:$E$15,5,0),""))</f>
        <v/>
      </c>
      <c r="F1032" s="79" t="str">
        <f t="shared" si="82"/>
        <v/>
      </c>
      <c r="G1032" s="395"/>
      <c r="H1032" s="91">
        <f t="shared" si="83"/>
        <v>0</v>
      </c>
      <c r="I1032" s="91" t="str">
        <f t="shared" si="84"/>
        <v/>
      </c>
      <c r="J1032" s="91" t="str">
        <f t="shared" si="85"/>
        <v/>
      </c>
      <c r="K1032" s="92" t="str">
        <f>IF(AND(A1032="",B1032="",D1032="",G1032=""),"",IF(AND(A1032&lt;&gt;"",COUNTIF($A$2:$A$5001,A1032)&gt;1),"NUMERO_PC duplicado",IF(B1032="","DATA_PC vazia",IF(NOT(ISNUMBER(B1032)),"DATA_PC invalida",IF(OR(C1032="",C1032="Fora dos ciclos"),"CICLO_PC nao identificado",IF(OR(D1032="",D1032=0),"VALOR_PC vazio ou zero",IF(AND(G1032&lt;&gt;"Sim",G1032&lt;&gt;"Nao",G1032&lt;&gt;""),"PC_PAGO_A_CONTRATADA invalido",IF(AND(C1032&lt;&gt;"C0",IFERROR(INDEX(parametros!$A$2:$A$6,MATCH(C1032,parametros!$B$2:$B$6,0)),"")="Sim",IFERROR(INDEX(parametros!$H$2:$H$6,MATCH(C1032,parametros!$B$2:$B$6,0)),"")=""),"INICIO_EFEITO ausente: PC "&amp;A1032&amp;" - "&amp;C1032,IF(L1032="","EFEITO_PC nao calculado: PC "&amp;A1032&amp;" - "&amp;C1032,"OK")))))))))</f>
        <v/>
      </c>
      <c r="L1032" s="92" t="str">
        <f>IF(AND(A1032="",B1032="",D1032="",G1032=""),"",IF(OR(B1032="",NOT(ISNUMBER(B1032)),C1032="",C1032="Fora dos ciclos"),"",IF(C1032="C0","Nao",IF(IFERROR(INDEX(parametros!$A$2:$A$6,MATCH(C1032,parametros!$B$2:$B$6,0)),"")&lt;&gt;"Sim","Nao",IF(IFERROR(INDEX(parametros!$H$2:$H$6,MATCH(C1032,parametros!$B$2:$B$6,0)),"")="","",IF(B1032&gt;=IFERROR(INDEX(parametros!$H$2:$H$6,MATCH(C1032,parametros!$B$2:$B$6,0)),""),"Sim","Nao"))))))</f>
        <v/>
      </c>
      <c r="T1032" s="156"/>
      <c r="U1032" s="214" t="str">
        <f t="shared" si="86"/>
        <v/>
      </c>
      <c r="V1032" s="212" t="s">
        <v>50</v>
      </c>
      <c r="W1032" s="100" t="s">
        <v>168</v>
      </c>
      <c r="X1032" s="100" t="s">
        <v>169</v>
      </c>
      <c r="Y1032" s="101" t="s">
        <v>170</v>
      </c>
      <c r="Z1032" s="101" t="s">
        <v>171</v>
      </c>
      <c r="AA1032" s="101" t="s">
        <v>50</v>
      </c>
      <c r="AB1032" s="101" t="s">
        <v>172</v>
      </c>
      <c r="AC1032" s="102" t="s">
        <v>173</v>
      </c>
    </row>
    <row r="1033" spans="1:29" ht="25.5" customHeight="1" x14ac:dyDescent="0.35">
      <c r="A1033" s="392"/>
      <c r="B1033" s="393"/>
      <c r="C1033" s="99" t="str">
        <f>IF(B1033="","",IF(NOT(ISNUMBER(B1033)),"DATA_PC invalida",IF(NOT(ISNUMBER(parametros!$C$2)),"Fora dos ciclos",IF(OR(B1033&lt;parametros!$C$2,(YEAR(B1033)-YEAR(parametros!$C$2))*12+MONTH(B1033)-MONTH(parametros!$C$2)&gt;59),"Fora dos ciclos","C"&amp;INT(((YEAR(B1033)-YEAR(parametros!$C$2))*12+MONTH(B1033)-MONTH(parametros!$C$2))/12)))))</f>
        <v/>
      </c>
      <c r="D1033" s="394"/>
      <c r="E1033" s="78" t="str">
        <f>IF(C1033="","",IFERROR(VLOOKUP(C1033,parametros!$A$11:$E$15,5,0),""))</f>
        <v/>
      </c>
      <c r="F1033" s="79" t="str">
        <f t="shared" si="82"/>
        <v/>
      </c>
      <c r="G1033" s="395"/>
      <c r="H1033" s="91">
        <f t="shared" si="83"/>
        <v>0</v>
      </c>
      <c r="I1033" s="91" t="str">
        <f t="shared" si="84"/>
        <v/>
      </c>
      <c r="J1033" s="91" t="str">
        <f t="shared" si="85"/>
        <v/>
      </c>
      <c r="K1033" s="92" t="str">
        <f>IF(AND(A1033="",B1033="",D1033="",G1033=""),"",IF(AND(A1033&lt;&gt;"",COUNTIF($A$2:$A$5001,A1033)&gt;1),"NUMERO_PC duplicado",IF(B1033="","DATA_PC vazia",IF(NOT(ISNUMBER(B1033)),"DATA_PC invalida",IF(OR(C1033="",C1033="Fora dos ciclos"),"CICLO_PC nao identificado",IF(OR(D1033="",D1033=0),"VALOR_PC vazio ou zero",IF(AND(G1033&lt;&gt;"Sim",G1033&lt;&gt;"Nao",G1033&lt;&gt;""),"PC_PAGO_A_CONTRATADA invalido",IF(AND(C1033&lt;&gt;"C0",IFERROR(INDEX(parametros!$A$2:$A$6,MATCH(C1033,parametros!$B$2:$B$6,0)),"")="Sim",IFERROR(INDEX(parametros!$H$2:$H$6,MATCH(C1033,parametros!$B$2:$B$6,0)),"")=""),"INICIO_EFEITO ausente: PC "&amp;A1033&amp;" - "&amp;C1033,IF(L1033="","EFEITO_PC nao calculado: PC "&amp;A1033&amp;" - "&amp;C1033,"OK")))))))))</f>
        <v/>
      </c>
      <c r="L1033" s="92" t="str">
        <f>IF(AND(A1033="",B1033="",D1033="",G1033=""),"",IF(OR(B1033="",NOT(ISNUMBER(B1033)),C1033="",C1033="Fora dos ciclos"),"",IF(C1033="C0","Nao",IF(IFERROR(INDEX(parametros!$A$2:$A$6,MATCH(C1033,parametros!$B$2:$B$6,0)),"")&lt;&gt;"Sim","Nao",IF(IFERROR(INDEX(parametros!$H$2:$H$6,MATCH(C1033,parametros!$B$2:$B$6,0)),"")="","",IF(B1033&gt;=IFERROR(INDEX(parametros!$H$2:$H$6,MATCH(C1033,parametros!$B$2:$B$6,0)),""),"Sim","Nao"))))))</f>
        <v/>
      </c>
      <c r="T1033" s="156"/>
      <c r="U1033" s="214" t="str">
        <f t="shared" si="86"/>
        <v/>
      </c>
      <c r="V1033" s="212" t="s">
        <v>50</v>
      </c>
      <c r="W1033" s="100" t="s">
        <v>168</v>
      </c>
      <c r="X1033" s="100" t="s">
        <v>169</v>
      </c>
      <c r="Y1033" s="101" t="s">
        <v>170</v>
      </c>
      <c r="Z1033" s="101" t="s">
        <v>171</v>
      </c>
      <c r="AA1033" s="101" t="s">
        <v>50</v>
      </c>
      <c r="AB1033" s="101" t="s">
        <v>172</v>
      </c>
      <c r="AC1033" s="102" t="s">
        <v>173</v>
      </c>
    </row>
    <row r="1034" spans="1:29" ht="25.5" customHeight="1" x14ac:dyDescent="0.35">
      <c r="A1034" s="392"/>
      <c r="B1034" s="393"/>
      <c r="C1034" s="99" t="str">
        <f>IF(B1034="","",IF(NOT(ISNUMBER(B1034)),"DATA_PC invalida",IF(NOT(ISNUMBER(parametros!$C$2)),"Fora dos ciclos",IF(OR(B1034&lt;parametros!$C$2,(YEAR(B1034)-YEAR(parametros!$C$2))*12+MONTH(B1034)-MONTH(parametros!$C$2)&gt;59),"Fora dos ciclos","C"&amp;INT(((YEAR(B1034)-YEAR(parametros!$C$2))*12+MONTH(B1034)-MONTH(parametros!$C$2))/12)))))</f>
        <v/>
      </c>
      <c r="D1034" s="394"/>
      <c r="E1034" s="78" t="str">
        <f>IF(C1034="","",IFERROR(VLOOKUP(C1034,parametros!$A$11:$E$15,5,0),""))</f>
        <v/>
      </c>
      <c r="F1034" s="79" t="str">
        <f t="shared" si="82"/>
        <v/>
      </c>
      <c r="G1034" s="395"/>
      <c r="H1034" s="91">
        <f t="shared" si="83"/>
        <v>0</v>
      </c>
      <c r="I1034" s="91" t="str">
        <f t="shared" si="84"/>
        <v/>
      </c>
      <c r="J1034" s="91" t="str">
        <f t="shared" si="85"/>
        <v/>
      </c>
      <c r="K1034" s="92" t="str">
        <f>IF(AND(A1034="",B1034="",D1034="",G1034=""),"",IF(AND(A1034&lt;&gt;"",COUNTIF($A$2:$A$5001,A1034)&gt;1),"NUMERO_PC duplicado",IF(B1034="","DATA_PC vazia",IF(NOT(ISNUMBER(B1034)),"DATA_PC invalida",IF(OR(C1034="",C1034="Fora dos ciclos"),"CICLO_PC nao identificado",IF(OR(D1034="",D1034=0),"VALOR_PC vazio ou zero",IF(AND(G1034&lt;&gt;"Sim",G1034&lt;&gt;"Nao",G1034&lt;&gt;""),"PC_PAGO_A_CONTRATADA invalido",IF(AND(C1034&lt;&gt;"C0",IFERROR(INDEX(parametros!$A$2:$A$6,MATCH(C1034,parametros!$B$2:$B$6,0)),"")="Sim",IFERROR(INDEX(parametros!$H$2:$H$6,MATCH(C1034,parametros!$B$2:$B$6,0)),"")=""),"INICIO_EFEITO ausente: PC "&amp;A1034&amp;" - "&amp;C1034,IF(L1034="","EFEITO_PC nao calculado: PC "&amp;A1034&amp;" - "&amp;C1034,"OK")))))))))</f>
        <v/>
      </c>
      <c r="L1034" s="92" t="str">
        <f>IF(AND(A1034="",B1034="",D1034="",G1034=""),"",IF(OR(B1034="",NOT(ISNUMBER(B1034)),C1034="",C1034="Fora dos ciclos"),"",IF(C1034="C0","Nao",IF(IFERROR(INDEX(parametros!$A$2:$A$6,MATCH(C1034,parametros!$B$2:$B$6,0)),"")&lt;&gt;"Sim","Nao",IF(IFERROR(INDEX(parametros!$H$2:$H$6,MATCH(C1034,parametros!$B$2:$B$6,0)),"")="","",IF(B1034&gt;=IFERROR(INDEX(parametros!$H$2:$H$6,MATCH(C1034,parametros!$B$2:$B$6,0)),""),"Sim","Nao"))))))</f>
        <v/>
      </c>
      <c r="T1034" s="156"/>
      <c r="U1034" s="214" t="str">
        <f t="shared" si="86"/>
        <v/>
      </c>
      <c r="V1034" s="212" t="s">
        <v>50</v>
      </c>
      <c r="W1034" s="100" t="s">
        <v>168</v>
      </c>
      <c r="X1034" s="100" t="s">
        <v>169</v>
      </c>
      <c r="Y1034" s="101" t="s">
        <v>170</v>
      </c>
      <c r="Z1034" s="101" t="s">
        <v>171</v>
      </c>
      <c r="AA1034" s="101" t="s">
        <v>50</v>
      </c>
      <c r="AB1034" s="101" t="s">
        <v>172</v>
      </c>
      <c r="AC1034" s="102" t="s">
        <v>173</v>
      </c>
    </row>
    <row r="1035" spans="1:29" ht="25.5" customHeight="1" x14ac:dyDescent="0.35">
      <c r="A1035" s="392"/>
      <c r="B1035" s="393"/>
      <c r="C1035" s="99" t="str">
        <f>IF(B1035="","",IF(NOT(ISNUMBER(B1035)),"DATA_PC invalida",IF(NOT(ISNUMBER(parametros!$C$2)),"Fora dos ciclos",IF(OR(B1035&lt;parametros!$C$2,(YEAR(B1035)-YEAR(parametros!$C$2))*12+MONTH(B1035)-MONTH(parametros!$C$2)&gt;59),"Fora dos ciclos","C"&amp;INT(((YEAR(B1035)-YEAR(parametros!$C$2))*12+MONTH(B1035)-MONTH(parametros!$C$2))/12)))))</f>
        <v/>
      </c>
      <c r="D1035" s="394"/>
      <c r="E1035" s="78" t="str">
        <f>IF(C1035="","",IFERROR(VLOOKUP(C1035,parametros!$A$11:$E$15,5,0),""))</f>
        <v/>
      </c>
      <c r="F1035" s="79" t="str">
        <f t="shared" si="82"/>
        <v/>
      </c>
      <c r="G1035" s="395"/>
      <c r="H1035" s="91">
        <f t="shared" si="83"/>
        <v>0</v>
      </c>
      <c r="I1035" s="91" t="str">
        <f t="shared" si="84"/>
        <v/>
      </c>
      <c r="J1035" s="91" t="str">
        <f t="shared" si="85"/>
        <v/>
      </c>
      <c r="K1035" s="92" t="str">
        <f>IF(AND(A1035="",B1035="",D1035="",G1035=""),"",IF(AND(A1035&lt;&gt;"",COUNTIF($A$2:$A$5001,A1035)&gt;1),"NUMERO_PC duplicado",IF(B1035="","DATA_PC vazia",IF(NOT(ISNUMBER(B1035)),"DATA_PC invalida",IF(OR(C1035="",C1035="Fora dos ciclos"),"CICLO_PC nao identificado",IF(OR(D1035="",D1035=0),"VALOR_PC vazio ou zero",IF(AND(G1035&lt;&gt;"Sim",G1035&lt;&gt;"Nao",G1035&lt;&gt;""),"PC_PAGO_A_CONTRATADA invalido",IF(AND(C1035&lt;&gt;"C0",IFERROR(INDEX(parametros!$A$2:$A$6,MATCH(C1035,parametros!$B$2:$B$6,0)),"")="Sim",IFERROR(INDEX(parametros!$H$2:$H$6,MATCH(C1035,parametros!$B$2:$B$6,0)),"")=""),"INICIO_EFEITO ausente: PC "&amp;A1035&amp;" - "&amp;C1035,IF(L1035="","EFEITO_PC nao calculado: PC "&amp;A1035&amp;" - "&amp;C1035,"OK")))))))))</f>
        <v/>
      </c>
      <c r="L1035" s="92" t="str">
        <f>IF(AND(A1035="",B1035="",D1035="",G1035=""),"",IF(OR(B1035="",NOT(ISNUMBER(B1035)),C1035="",C1035="Fora dos ciclos"),"",IF(C1035="C0","Nao",IF(IFERROR(INDEX(parametros!$A$2:$A$6,MATCH(C1035,parametros!$B$2:$B$6,0)),"")&lt;&gt;"Sim","Nao",IF(IFERROR(INDEX(parametros!$H$2:$H$6,MATCH(C1035,parametros!$B$2:$B$6,0)),"")="","",IF(B1035&gt;=IFERROR(INDEX(parametros!$H$2:$H$6,MATCH(C1035,parametros!$B$2:$B$6,0)),""),"Sim","Nao"))))))</f>
        <v/>
      </c>
      <c r="T1035" s="156"/>
      <c r="U1035" s="214" t="str">
        <f t="shared" si="86"/>
        <v/>
      </c>
      <c r="V1035" s="212" t="s">
        <v>50</v>
      </c>
      <c r="W1035" s="100" t="s">
        <v>168</v>
      </c>
      <c r="X1035" s="100" t="s">
        <v>169</v>
      </c>
      <c r="Y1035" s="101" t="s">
        <v>170</v>
      </c>
      <c r="Z1035" s="101" t="s">
        <v>171</v>
      </c>
      <c r="AA1035" s="101" t="s">
        <v>50</v>
      </c>
      <c r="AB1035" s="101" t="s">
        <v>172</v>
      </c>
      <c r="AC1035" s="102" t="s">
        <v>173</v>
      </c>
    </row>
    <row r="1036" spans="1:29" ht="25.5" customHeight="1" x14ac:dyDescent="0.35">
      <c r="A1036" s="392"/>
      <c r="B1036" s="393"/>
      <c r="C1036" s="99" t="str">
        <f>IF(B1036="","",IF(NOT(ISNUMBER(B1036)),"DATA_PC invalida",IF(NOT(ISNUMBER(parametros!$C$2)),"Fora dos ciclos",IF(OR(B1036&lt;parametros!$C$2,(YEAR(B1036)-YEAR(parametros!$C$2))*12+MONTH(B1036)-MONTH(parametros!$C$2)&gt;59),"Fora dos ciclos","C"&amp;INT(((YEAR(B1036)-YEAR(parametros!$C$2))*12+MONTH(B1036)-MONTH(parametros!$C$2))/12)))))</f>
        <v/>
      </c>
      <c r="D1036" s="394"/>
      <c r="E1036" s="78" t="str">
        <f>IF(C1036="","",IFERROR(VLOOKUP(C1036,parametros!$A$11:$E$15,5,0),""))</f>
        <v/>
      </c>
      <c r="F1036" s="79" t="str">
        <f t="shared" si="82"/>
        <v/>
      </c>
      <c r="G1036" s="395"/>
      <c r="H1036" s="91">
        <f t="shared" si="83"/>
        <v>0</v>
      </c>
      <c r="I1036" s="91" t="str">
        <f t="shared" si="84"/>
        <v/>
      </c>
      <c r="J1036" s="91" t="str">
        <f t="shared" si="85"/>
        <v/>
      </c>
      <c r="K1036" s="92" t="str">
        <f>IF(AND(A1036="",B1036="",D1036="",G1036=""),"",IF(AND(A1036&lt;&gt;"",COUNTIF($A$2:$A$5001,A1036)&gt;1),"NUMERO_PC duplicado",IF(B1036="","DATA_PC vazia",IF(NOT(ISNUMBER(B1036)),"DATA_PC invalida",IF(OR(C1036="",C1036="Fora dos ciclos"),"CICLO_PC nao identificado",IF(OR(D1036="",D1036=0),"VALOR_PC vazio ou zero",IF(AND(G1036&lt;&gt;"Sim",G1036&lt;&gt;"Nao",G1036&lt;&gt;""),"PC_PAGO_A_CONTRATADA invalido",IF(AND(C1036&lt;&gt;"C0",IFERROR(INDEX(parametros!$A$2:$A$6,MATCH(C1036,parametros!$B$2:$B$6,0)),"")="Sim",IFERROR(INDEX(parametros!$H$2:$H$6,MATCH(C1036,parametros!$B$2:$B$6,0)),"")=""),"INICIO_EFEITO ausente: PC "&amp;A1036&amp;" - "&amp;C1036,IF(L1036="","EFEITO_PC nao calculado: PC "&amp;A1036&amp;" - "&amp;C1036,"OK")))))))))</f>
        <v/>
      </c>
      <c r="L1036" s="92" t="str">
        <f>IF(AND(A1036="",B1036="",D1036="",G1036=""),"",IF(OR(B1036="",NOT(ISNUMBER(B1036)),C1036="",C1036="Fora dos ciclos"),"",IF(C1036="C0","Nao",IF(IFERROR(INDEX(parametros!$A$2:$A$6,MATCH(C1036,parametros!$B$2:$B$6,0)),"")&lt;&gt;"Sim","Nao",IF(IFERROR(INDEX(parametros!$H$2:$H$6,MATCH(C1036,parametros!$B$2:$B$6,0)),"")="","",IF(B1036&gt;=IFERROR(INDEX(parametros!$H$2:$H$6,MATCH(C1036,parametros!$B$2:$B$6,0)),""),"Sim","Nao"))))))</f>
        <v/>
      </c>
      <c r="T1036" s="156"/>
      <c r="U1036" s="214" t="str">
        <f t="shared" si="86"/>
        <v/>
      </c>
      <c r="V1036" s="212" t="s">
        <v>50</v>
      </c>
      <c r="W1036" s="100" t="s">
        <v>168</v>
      </c>
      <c r="X1036" s="100" t="s">
        <v>169</v>
      </c>
      <c r="Y1036" s="101" t="s">
        <v>170</v>
      </c>
      <c r="Z1036" s="101" t="s">
        <v>171</v>
      </c>
      <c r="AA1036" s="101" t="s">
        <v>50</v>
      </c>
      <c r="AB1036" s="101" t="s">
        <v>172</v>
      </c>
      <c r="AC1036" s="102" t="s">
        <v>173</v>
      </c>
    </row>
    <row r="1037" spans="1:29" ht="25.5" customHeight="1" x14ac:dyDescent="0.35">
      <c r="A1037" s="392"/>
      <c r="B1037" s="393"/>
      <c r="C1037" s="99" t="str">
        <f>IF(B1037="","",IF(NOT(ISNUMBER(B1037)),"DATA_PC invalida",IF(NOT(ISNUMBER(parametros!$C$2)),"Fora dos ciclos",IF(OR(B1037&lt;parametros!$C$2,(YEAR(B1037)-YEAR(parametros!$C$2))*12+MONTH(B1037)-MONTH(parametros!$C$2)&gt;59),"Fora dos ciclos","C"&amp;INT(((YEAR(B1037)-YEAR(parametros!$C$2))*12+MONTH(B1037)-MONTH(parametros!$C$2))/12)))))</f>
        <v/>
      </c>
      <c r="D1037" s="394"/>
      <c r="E1037" s="78" t="str">
        <f>IF(C1037="","",IFERROR(VLOOKUP(C1037,parametros!$A$11:$E$15,5,0),""))</f>
        <v/>
      </c>
      <c r="F1037" s="79" t="str">
        <f t="shared" si="82"/>
        <v/>
      </c>
      <c r="G1037" s="395"/>
      <c r="H1037" s="91">
        <f t="shared" si="83"/>
        <v>0</v>
      </c>
      <c r="I1037" s="91" t="str">
        <f t="shared" si="84"/>
        <v/>
      </c>
      <c r="J1037" s="91" t="str">
        <f t="shared" si="85"/>
        <v/>
      </c>
      <c r="K1037" s="92" t="str">
        <f>IF(AND(A1037="",B1037="",D1037="",G1037=""),"",IF(AND(A1037&lt;&gt;"",COUNTIF($A$2:$A$5001,A1037)&gt;1),"NUMERO_PC duplicado",IF(B1037="","DATA_PC vazia",IF(NOT(ISNUMBER(B1037)),"DATA_PC invalida",IF(OR(C1037="",C1037="Fora dos ciclos"),"CICLO_PC nao identificado",IF(OR(D1037="",D1037=0),"VALOR_PC vazio ou zero",IF(AND(G1037&lt;&gt;"Sim",G1037&lt;&gt;"Nao",G1037&lt;&gt;""),"PC_PAGO_A_CONTRATADA invalido",IF(AND(C1037&lt;&gt;"C0",IFERROR(INDEX(parametros!$A$2:$A$6,MATCH(C1037,parametros!$B$2:$B$6,0)),"")="Sim",IFERROR(INDEX(parametros!$H$2:$H$6,MATCH(C1037,parametros!$B$2:$B$6,0)),"")=""),"INICIO_EFEITO ausente: PC "&amp;A1037&amp;" - "&amp;C1037,IF(L1037="","EFEITO_PC nao calculado: PC "&amp;A1037&amp;" - "&amp;C1037,"OK")))))))))</f>
        <v/>
      </c>
      <c r="L1037" s="92" t="str">
        <f>IF(AND(A1037="",B1037="",D1037="",G1037=""),"",IF(OR(B1037="",NOT(ISNUMBER(B1037)),C1037="",C1037="Fora dos ciclos"),"",IF(C1037="C0","Nao",IF(IFERROR(INDEX(parametros!$A$2:$A$6,MATCH(C1037,parametros!$B$2:$B$6,0)),"")&lt;&gt;"Sim","Nao",IF(IFERROR(INDEX(parametros!$H$2:$H$6,MATCH(C1037,parametros!$B$2:$B$6,0)),"")="","",IF(B1037&gt;=IFERROR(INDEX(parametros!$H$2:$H$6,MATCH(C1037,parametros!$B$2:$B$6,0)),""),"Sim","Nao"))))))</f>
        <v/>
      </c>
      <c r="T1037" s="156"/>
      <c r="U1037" s="214" t="str">
        <f t="shared" si="86"/>
        <v/>
      </c>
      <c r="V1037" s="212" t="s">
        <v>50</v>
      </c>
      <c r="W1037" s="100" t="s">
        <v>168</v>
      </c>
      <c r="X1037" s="100" t="s">
        <v>169</v>
      </c>
      <c r="Y1037" s="101" t="s">
        <v>170</v>
      </c>
      <c r="Z1037" s="101" t="s">
        <v>171</v>
      </c>
      <c r="AA1037" s="101" t="s">
        <v>50</v>
      </c>
      <c r="AB1037" s="101" t="s">
        <v>172</v>
      </c>
      <c r="AC1037" s="102" t="s">
        <v>173</v>
      </c>
    </row>
    <row r="1038" spans="1:29" ht="25.5" customHeight="1" x14ac:dyDescent="0.35">
      <c r="A1038" s="392"/>
      <c r="B1038" s="393"/>
      <c r="C1038" s="99" t="str">
        <f>IF(B1038="","",IF(NOT(ISNUMBER(B1038)),"DATA_PC invalida",IF(NOT(ISNUMBER(parametros!$C$2)),"Fora dos ciclos",IF(OR(B1038&lt;parametros!$C$2,(YEAR(B1038)-YEAR(parametros!$C$2))*12+MONTH(B1038)-MONTH(parametros!$C$2)&gt;59),"Fora dos ciclos","C"&amp;INT(((YEAR(B1038)-YEAR(parametros!$C$2))*12+MONTH(B1038)-MONTH(parametros!$C$2))/12)))))</f>
        <v/>
      </c>
      <c r="D1038" s="394"/>
      <c r="E1038" s="78" t="str">
        <f>IF(C1038="","",IFERROR(VLOOKUP(C1038,parametros!$A$11:$E$15,5,0),""))</f>
        <v/>
      </c>
      <c r="F1038" s="79" t="str">
        <f t="shared" si="82"/>
        <v/>
      </c>
      <c r="G1038" s="395"/>
      <c r="H1038" s="91">
        <f t="shared" si="83"/>
        <v>0</v>
      </c>
      <c r="I1038" s="91" t="str">
        <f t="shared" si="84"/>
        <v/>
      </c>
      <c r="J1038" s="91" t="str">
        <f t="shared" si="85"/>
        <v/>
      </c>
      <c r="K1038" s="92" t="str">
        <f>IF(AND(A1038="",B1038="",D1038="",G1038=""),"",IF(AND(A1038&lt;&gt;"",COUNTIF($A$2:$A$5001,A1038)&gt;1),"NUMERO_PC duplicado",IF(B1038="","DATA_PC vazia",IF(NOT(ISNUMBER(B1038)),"DATA_PC invalida",IF(OR(C1038="",C1038="Fora dos ciclos"),"CICLO_PC nao identificado",IF(OR(D1038="",D1038=0),"VALOR_PC vazio ou zero",IF(AND(G1038&lt;&gt;"Sim",G1038&lt;&gt;"Nao",G1038&lt;&gt;""),"PC_PAGO_A_CONTRATADA invalido",IF(AND(C1038&lt;&gt;"C0",IFERROR(INDEX(parametros!$A$2:$A$6,MATCH(C1038,parametros!$B$2:$B$6,0)),"")="Sim",IFERROR(INDEX(parametros!$H$2:$H$6,MATCH(C1038,parametros!$B$2:$B$6,0)),"")=""),"INICIO_EFEITO ausente: PC "&amp;A1038&amp;" - "&amp;C1038,IF(L1038="","EFEITO_PC nao calculado: PC "&amp;A1038&amp;" - "&amp;C1038,"OK")))))))))</f>
        <v/>
      </c>
      <c r="L1038" s="92" t="str">
        <f>IF(AND(A1038="",B1038="",D1038="",G1038=""),"",IF(OR(B1038="",NOT(ISNUMBER(B1038)),C1038="",C1038="Fora dos ciclos"),"",IF(C1038="C0","Nao",IF(IFERROR(INDEX(parametros!$A$2:$A$6,MATCH(C1038,parametros!$B$2:$B$6,0)),"")&lt;&gt;"Sim","Nao",IF(IFERROR(INDEX(parametros!$H$2:$H$6,MATCH(C1038,parametros!$B$2:$B$6,0)),"")="","",IF(B1038&gt;=IFERROR(INDEX(parametros!$H$2:$H$6,MATCH(C1038,parametros!$B$2:$B$6,0)),""),"Sim","Nao"))))))</f>
        <v/>
      </c>
      <c r="T1038" s="156"/>
      <c r="U1038" s="214" t="str">
        <f t="shared" si="86"/>
        <v/>
      </c>
      <c r="V1038" s="212" t="s">
        <v>50</v>
      </c>
      <c r="W1038" s="100" t="s">
        <v>168</v>
      </c>
      <c r="X1038" s="100" t="s">
        <v>169</v>
      </c>
      <c r="Y1038" s="101" t="s">
        <v>170</v>
      </c>
      <c r="Z1038" s="101" t="s">
        <v>171</v>
      </c>
      <c r="AA1038" s="101" t="s">
        <v>50</v>
      </c>
      <c r="AB1038" s="101" t="s">
        <v>172</v>
      </c>
      <c r="AC1038" s="102" t="s">
        <v>173</v>
      </c>
    </row>
    <row r="1039" spans="1:29" ht="25.5" customHeight="1" x14ac:dyDescent="0.35">
      <c r="A1039" s="392"/>
      <c r="B1039" s="393"/>
      <c r="C1039" s="99" t="str">
        <f>IF(B1039="","",IF(NOT(ISNUMBER(B1039)),"DATA_PC invalida",IF(NOT(ISNUMBER(parametros!$C$2)),"Fora dos ciclos",IF(OR(B1039&lt;parametros!$C$2,(YEAR(B1039)-YEAR(parametros!$C$2))*12+MONTH(B1039)-MONTH(parametros!$C$2)&gt;59),"Fora dos ciclos","C"&amp;INT(((YEAR(B1039)-YEAR(parametros!$C$2))*12+MONTH(B1039)-MONTH(parametros!$C$2))/12)))))</f>
        <v/>
      </c>
      <c r="D1039" s="394"/>
      <c r="E1039" s="78" t="str">
        <f>IF(C1039="","",IFERROR(VLOOKUP(C1039,parametros!$A$11:$E$15,5,0),""))</f>
        <v/>
      </c>
      <c r="F1039" s="79" t="str">
        <f t="shared" si="82"/>
        <v/>
      </c>
      <c r="G1039" s="395"/>
      <c r="H1039" s="91">
        <f t="shared" si="83"/>
        <v>0</v>
      </c>
      <c r="I1039" s="91" t="str">
        <f t="shared" si="84"/>
        <v/>
      </c>
      <c r="J1039" s="91" t="str">
        <f t="shared" si="85"/>
        <v/>
      </c>
      <c r="K1039" s="92" t="str">
        <f>IF(AND(A1039="",B1039="",D1039="",G1039=""),"",IF(AND(A1039&lt;&gt;"",COUNTIF($A$2:$A$5001,A1039)&gt;1),"NUMERO_PC duplicado",IF(B1039="","DATA_PC vazia",IF(NOT(ISNUMBER(B1039)),"DATA_PC invalida",IF(OR(C1039="",C1039="Fora dos ciclos"),"CICLO_PC nao identificado",IF(OR(D1039="",D1039=0),"VALOR_PC vazio ou zero",IF(AND(G1039&lt;&gt;"Sim",G1039&lt;&gt;"Nao",G1039&lt;&gt;""),"PC_PAGO_A_CONTRATADA invalido",IF(AND(C1039&lt;&gt;"C0",IFERROR(INDEX(parametros!$A$2:$A$6,MATCH(C1039,parametros!$B$2:$B$6,0)),"")="Sim",IFERROR(INDEX(parametros!$H$2:$H$6,MATCH(C1039,parametros!$B$2:$B$6,0)),"")=""),"INICIO_EFEITO ausente: PC "&amp;A1039&amp;" - "&amp;C1039,IF(L1039="","EFEITO_PC nao calculado: PC "&amp;A1039&amp;" - "&amp;C1039,"OK")))))))))</f>
        <v/>
      </c>
      <c r="L1039" s="92" t="str">
        <f>IF(AND(A1039="",B1039="",D1039="",G1039=""),"",IF(OR(B1039="",NOT(ISNUMBER(B1039)),C1039="",C1039="Fora dos ciclos"),"",IF(C1039="C0","Nao",IF(IFERROR(INDEX(parametros!$A$2:$A$6,MATCH(C1039,parametros!$B$2:$B$6,0)),"")&lt;&gt;"Sim","Nao",IF(IFERROR(INDEX(parametros!$H$2:$H$6,MATCH(C1039,parametros!$B$2:$B$6,0)),"")="","",IF(B1039&gt;=IFERROR(INDEX(parametros!$H$2:$H$6,MATCH(C1039,parametros!$B$2:$B$6,0)),""),"Sim","Nao"))))))</f>
        <v/>
      </c>
      <c r="T1039" s="156"/>
      <c r="U1039" s="214" t="str">
        <f t="shared" si="86"/>
        <v/>
      </c>
      <c r="V1039" s="212" t="s">
        <v>50</v>
      </c>
      <c r="W1039" s="100" t="s">
        <v>168</v>
      </c>
      <c r="X1039" s="100" t="s">
        <v>169</v>
      </c>
      <c r="Y1039" s="101" t="s">
        <v>170</v>
      </c>
      <c r="Z1039" s="101" t="s">
        <v>171</v>
      </c>
      <c r="AA1039" s="101" t="s">
        <v>50</v>
      </c>
      <c r="AB1039" s="101" t="s">
        <v>172</v>
      </c>
      <c r="AC1039" s="102" t="s">
        <v>173</v>
      </c>
    </row>
    <row r="1040" spans="1:29" ht="25.5" customHeight="1" x14ac:dyDescent="0.35">
      <c r="A1040" s="392"/>
      <c r="B1040" s="393"/>
      <c r="C1040" s="99" t="str">
        <f>IF(B1040="","",IF(NOT(ISNUMBER(B1040)),"DATA_PC invalida",IF(NOT(ISNUMBER(parametros!$C$2)),"Fora dos ciclos",IF(OR(B1040&lt;parametros!$C$2,(YEAR(B1040)-YEAR(parametros!$C$2))*12+MONTH(B1040)-MONTH(parametros!$C$2)&gt;59),"Fora dos ciclos","C"&amp;INT(((YEAR(B1040)-YEAR(parametros!$C$2))*12+MONTH(B1040)-MONTH(parametros!$C$2))/12)))))</f>
        <v/>
      </c>
      <c r="D1040" s="394"/>
      <c r="E1040" s="78" t="str">
        <f>IF(C1040="","",IFERROR(VLOOKUP(C1040,parametros!$A$11:$E$15,5,0),""))</f>
        <v/>
      </c>
      <c r="F1040" s="79" t="str">
        <f t="shared" si="82"/>
        <v/>
      </c>
      <c r="G1040" s="395"/>
      <c r="H1040" s="91">
        <f t="shared" si="83"/>
        <v>0</v>
      </c>
      <c r="I1040" s="91" t="str">
        <f t="shared" si="84"/>
        <v/>
      </c>
      <c r="J1040" s="91" t="str">
        <f t="shared" si="85"/>
        <v/>
      </c>
      <c r="K1040" s="92" t="str">
        <f>IF(AND(A1040="",B1040="",D1040="",G1040=""),"",IF(AND(A1040&lt;&gt;"",COUNTIF($A$2:$A$5001,A1040)&gt;1),"NUMERO_PC duplicado",IF(B1040="","DATA_PC vazia",IF(NOT(ISNUMBER(B1040)),"DATA_PC invalida",IF(OR(C1040="",C1040="Fora dos ciclos"),"CICLO_PC nao identificado",IF(OR(D1040="",D1040=0),"VALOR_PC vazio ou zero",IF(AND(G1040&lt;&gt;"Sim",G1040&lt;&gt;"Nao",G1040&lt;&gt;""),"PC_PAGO_A_CONTRATADA invalido",IF(AND(C1040&lt;&gt;"C0",IFERROR(INDEX(parametros!$A$2:$A$6,MATCH(C1040,parametros!$B$2:$B$6,0)),"")="Sim",IFERROR(INDEX(parametros!$H$2:$H$6,MATCH(C1040,parametros!$B$2:$B$6,0)),"")=""),"INICIO_EFEITO ausente: PC "&amp;A1040&amp;" - "&amp;C1040,IF(L1040="","EFEITO_PC nao calculado: PC "&amp;A1040&amp;" - "&amp;C1040,"OK")))))))))</f>
        <v/>
      </c>
      <c r="L1040" s="92" t="str">
        <f>IF(AND(A1040="",B1040="",D1040="",G1040=""),"",IF(OR(B1040="",NOT(ISNUMBER(B1040)),C1040="",C1040="Fora dos ciclos"),"",IF(C1040="C0","Nao",IF(IFERROR(INDEX(parametros!$A$2:$A$6,MATCH(C1040,parametros!$B$2:$B$6,0)),"")&lt;&gt;"Sim","Nao",IF(IFERROR(INDEX(parametros!$H$2:$H$6,MATCH(C1040,parametros!$B$2:$B$6,0)),"")="","",IF(B1040&gt;=IFERROR(INDEX(parametros!$H$2:$H$6,MATCH(C1040,parametros!$B$2:$B$6,0)),""),"Sim","Nao"))))))</f>
        <v/>
      </c>
      <c r="T1040" s="156"/>
      <c r="U1040" s="214" t="str">
        <f t="shared" si="86"/>
        <v/>
      </c>
      <c r="V1040" s="212" t="s">
        <v>50</v>
      </c>
      <c r="W1040" s="100" t="s">
        <v>168</v>
      </c>
      <c r="X1040" s="100" t="s">
        <v>169</v>
      </c>
      <c r="Y1040" s="101" t="s">
        <v>170</v>
      </c>
      <c r="Z1040" s="101" t="s">
        <v>171</v>
      </c>
      <c r="AA1040" s="101" t="s">
        <v>50</v>
      </c>
      <c r="AB1040" s="101" t="s">
        <v>172</v>
      </c>
      <c r="AC1040" s="102" t="s">
        <v>173</v>
      </c>
    </row>
    <row r="1041" spans="1:29" ht="25.5" customHeight="1" x14ac:dyDescent="0.35">
      <c r="A1041" s="392"/>
      <c r="B1041" s="393"/>
      <c r="C1041" s="99" t="str">
        <f>IF(B1041="","",IF(NOT(ISNUMBER(B1041)),"DATA_PC invalida",IF(NOT(ISNUMBER(parametros!$C$2)),"Fora dos ciclos",IF(OR(B1041&lt;parametros!$C$2,(YEAR(B1041)-YEAR(parametros!$C$2))*12+MONTH(B1041)-MONTH(parametros!$C$2)&gt;59),"Fora dos ciclos","C"&amp;INT(((YEAR(B1041)-YEAR(parametros!$C$2))*12+MONTH(B1041)-MONTH(parametros!$C$2))/12)))))</f>
        <v/>
      </c>
      <c r="D1041" s="394"/>
      <c r="E1041" s="78" t="str">
        <f>IF(C1041="","",IFERROR(VLOOKUP(C1041,parametros!$A$11:$E$15,5,0),""))</f>
        <v/>
      </c>
      <c r="F1041" s="79" t="str">
        <f t="shared" si="82"/>
        <v/>
      </c>
      <c r="G1041" s="395"/>
      <c r="H1041" s="91">
        <f t="shared" si="83"/>
        <v>0</v>
      </c>
      <c r="I1041" s="91" t="str">
        <f t="shared" si="84"/>
        <v/>
      </c>
      <c r="J1041" s="91" t="str">
        <f t="shared" si="85"/>
        <v/>
      </c>
      <c r="K1041" s="92" t="str">
        <f>IF(AND(A1041="",B1041="",D1041="",G1041=""),"",IF(AND(A1041&lt;&gt;"",COUNTIF($A$2:$A$5001,A1041)&gt;1),"NUMERO_PC duplicado",IF(B1041="","DATA_PC vazia",IF(NOT(ISNUMBER(B1041)),"DATA_PC invalida",IF(OR(C1041="",C1041="Fora dos ciclos"),"CICLO_PC nao identificado",IF(OR(D1041="",D1041=0),"VALOR_PC vazio ou zero",IF(AND(G1041&lt;&gt;"Sim",G1041&lt;&gt;"Nao",G1041&lt;&gt;""),"PC_PAGO_A_CONTRATADA invalido",IF(AND(C1041&lt;&gt;"C0",IFERROR(INDEX(parametros!$A$2:$A$6,MATCH(C1041,parametros!$B$2:$B$6,0)),"")="Sim",IFERROR(INDEX(parametros!$H$2:$H$6,MATCH(C1041,parametros!$B$2:$B$6,0)),"")=""),"INICIO_EFEITO ausente: PC "&amp;A1041&amp;" - "&amp;C1041,IF(L1041="","EFEITO_PC nao calculado: PC "&amp;A1041&amp;" - "&amp;C1041,"OK")))))))))</f>
        <v/>
      </c>
      <c r="L1041" s="92" t="str">
        <f>IF(AND(A1041="",B1041="",D1041="",G1041=""),"",IF(OR(B1041="",NOT(ISNUMBER(B1041)),C1041="",C1041="Fora dos ciclos"),"",IF(C1041="C0","Nao",IF(IFERROR(INDEX(parametros!$A$2:$A$6,MATCH(C1041,parametros!$B$2:$B$6,0)),"")&lt;&gt;"Sim","Nao",IF(IFERROR(INDEX(parametros!$H$2:$H$6,MATCH(C1041,parametros!$B$2:$B$6,0)),"")="","",IF(B1041&gt;=IFERROR(INDEX(parametros!$H$2:$H$6,MATCH(C1041,parametros!$B$2:$B$6,0)),""),"Sim","Nao"))))))</f>
        <v/>
      </c>
      <c r="T1041" s="156"/>
      <c r="U1041" s="214" t="str">
        <f t="shared" si="86"/>
        <v/>
      </c>
      <c r="V1041" s="212" t="s">
        <v>50</v>
      </c>
      <c r="W1041" s="100" t="s">
        <v>168</v>
      </c>
      <c r="X1041" s="100" t="s">
        <v>169</v>
      </c>
      <c r="Y1041" s="101" t="s">
        <v>170</v>
      </c>
      <c r="Z1041" s="101" t="s">
        <v>171</v>
      </c>
      <c r="AA1041" s="101" t="s">
        <v>50</v>
      </c>
      <c r="AB1041" s="101" t="s">
        <v>172</v>
      </c>
      <c r="AC1041" s="102" t="s">
        <v>173</v>
      </c>
    </row>
    <row r="1042" spans="1:29" ht="25.5" customHeight="1" x14ac:dyDescent="0.35">
      <c r="A1042" s="392"/>
      <c r="B1042" s="393"/>
      <c r="C1042" s="99" t="str">
        <f>IF(B1042="","",IF(NOT(ISNUMBER(B1042)),"DATA_PC invalida",IF(NOT(ISNUMBER(parametros!$C$2)),"Fora dos ciclos",IF(OR(B1042&lt;parametros!$C$2,(YEAR(B1042)-YEAR(parametros!$C$2))*12+MONTH(B1042)-MONTH(parametros!$C$2)&gt;59),"Fora dos ciclos","C"&amp;INT(((YEAR(B1042)-YEAR(parametros!$C$2))*12+MONTH(B1042)-MONTH(parametros!$C$2))/12)))))</f>
        <v/>
      </c>
      <c r="D1042" s="394"/>
      <c r="E1042" s="78" t="str">
        <f>IF(C1042="","",IFERROR(VLOOKUP(C1042,parametros!$A$11:$E$15,5,0),""))</f>
        <v/>
      </c>
      <c r="F1042" s="79" t="str">
        <f t="shared" si="82"/>
        <v/>
      </c>
      <c r="G1042" s="395"/>
      <c r="H1042" s="91">
        <f t="shared" si="83"/>
        <v>0</v>
      </c>
      <c r="I1042" s="91" t="str">
        <f t="shared" si="84"/>
        <v/>
      </c>
      <c r="J1042" s="91" t="str">
        <f t="shared" si="85"/>
        <v/>
      </c>
      <c r="K1042" s="92" t="str">
        <f>IF(AND(A1042="",B1042="",D1042="",G1042=""),"",IF(AND(A1042&lt;&gt;"",COUNTIF($A$2:$A$5001,A1042)&gt;1),"NUMERO_PC duplicado",IF(B1042="","DATA_PC vazia",IF(NOT(ISNUMBER(B1042)),"DATA_PC invalida",IF(OR(C1042="",C1042="Fora dos ciclos"),"CICLO_PC nao identificado",IF(OR(D1042="",D1042=0),"VALOR_PC vazio ou zero",IF(AND(G1042&lt;&gt;"Sim",G1042&lt;&gt;"Nao",G1042&lt;&gt;""),"PC_PAGO_A_CONTRATADA invalido",IF(AND(C1042&lt;&gt;"C0",IFERROR(INDEX(parametros!$A$2:$A$6,MATCH(C1042,parametros!$B$2:$B$6,0)),"")="Sim",IFERROR(INDEX(parametros!$H$2:$H$6,MATCH(C1042,parametros!$B$2:$B$6,0)),"")=""),"INICIO_EFEITO ausente: PC "&amp;A1042&amp;" - "&amp;C1042,IF(L1042="","EFEITO_PC nao calculado: PC "&amp;A1042&amp;" - "&amp;C1042,"OK")))))))))</f>
        <v/>
      </c>
      <c r="L1042" s="92" t="str">
        <f>IF(AND(A1042="",B1042="",D1042="",G1042=""),"",IF(OR(B1042="",NOT(ISNUMBER(B1042)),C1042="",C1042="Fora dos ciclos"),"",IF(C1042="C0","Nao",IF(IFERROR(INDEX(parametros!$A$2:$A$6,MATCH(C1042,parametros!$B$2:$B$6,0)),"")&lt;&gt;"Sim","Nao",IF(IFERROR(INDEX(parametros!$H$2:$H$6,MATCH(C1042,parametros!$B$2:$B$6,0)),"")="","",IF(B1042&gt;=IFERROR(INDEX(parametros!$H$2:$H$6,MATCH(C1042,parametros!$B$2:$B$6,0)),""),"Sim","Nao"))))))</f>
        <v/>
      </c>
      <c r="T1042" s="156"/>
      <c r="U1042" s="214" t="str">
        <f t="shared" si="86"/>
        <v/>
      </c>
      <c r="V1042" s="212" t="s">
        <v>50</v>
      </c>
      <c r="W1042" s="100" t="s">
        <v>168</v>
      </c>
      <c r="X1042" s="100" t="s">
        <v>169</v>
      </c>
      <c r="Y1042" s="101" t="s">
        <v>170</v>
      </c>
      <c r="Z1042" s="101" t="s">
        <v>171</v>
      </c>
      <c r="AA1042" s="101" t="s">
        <v>50</v>
      </c>
      <c r="AB1042" s="101" t="s">
        <v>172</v>
      </c>
      <c r="AC1042" s="102" t="s">
        <v>173</v>
      </c>
    </row>
    <row r="1043" spans="1:29" ht="25.5" customHeight="1" x14ac:dyDescent="0.35">
      <c r="A1043" s="392"/>
      <c r="B1043" s="393"/>
      <c r="C1043" s="99" t="str">
        <f>IF(B1043="","",IF(NOT(ISNUMBER(B1043)),"DATA_PC invalida",IF(NOT(ISNUMBER(parametros!$C$2)),"Fora dos ciclos",IF(OR(B1043&lt;parametros!$C$2,(YEAR(B1043)-YEAR(parametros!$C$2))*12+MONTH(B1043)-MONTH(parametros!$C$2)&gt;59),"Fora dos ciclos","C"&amp;INT(((YEAR(B1043)-YEAR(parametros!$C$2))*12+MONTH(B1043)-MONTH(parametros!$C$2))/12)))))</f>
        <v/>
      </c>
      <c r="D1043" s="394"/>
      <c r="E1043" s="78" t="str">
        <f>IF(C1043="","",IFERROR(VLOOKUP(C1043,parametros!$A$11:$E$15,5,0),""))</f>
        <v/>
      </c>
      <c r="F1043" s="79" t="str">
        <f t="shared" si="82"/>
        <v/>
      </c>
      <c r="G1043" s="395"/>
      <c r="H1043" s="91">
        <f t="shared" si="83"/>
        <v>0</v>
      </c>
      <c r="I1043" s="91" t="str">
        <f t="shared" si="84"/>
        <v/>
      </c>
      <c r="J1043" s="91" t="str">
        <f t="shared" si="85"/>
        <v/>
      </c>
      <c r="K1043" s="92" t="str">
        <f>IF(AND(A1043="",B1043="",D1043="",G1043=""),"",IF(AND(A1043&lt;&gt;"",COUNTIF($A$2:$A$5001,A1043)&gt;1),"NUMERO_PC duplicado",IF(B1043="","DATA_PC vazia",IF(NOT(ISNUMBER(B1043)),"DATA_PC invalida",IF(OR(C1043="",C1043="Fora dos ciclos"),"CICLO_PC nao identificado",IF(OR(D1043="",D1043=0),"VALOR_PC vazio ou zero",IF(AND(G1043&lt;&gt;"Sim",G1043&lt;&gt;"Nao",G1043&lt;&gt;""),"PC_PAGO_A_CONTRATADA invalido",IF(AND(C1043&lt;&gt;"C0",IFERROR(INDEX(parametros!$A$2:$A$6,MATCH(C1043,parametros!$B$2:$B$6,0)),"")="Sim",IFERROR(INDEX(parametros!$H$2:$H$6,MATCH(C1043,parametros!$B$2:$B$6,0)),"")=""),"INICIO_EFEITO ausente: PC "&amp;A1043&amp;" - "&amp;C1043,IF(L1043="","EFEITO_PC nao calculado: PC "&amp;A1043&amp;" - "&amp;C1043,"OK")))))))))</f>
        <v/>
      </c>
      <c r="L1043" s="92" t="str">
        <f>IF(AND(A1043="",B1043="",D1043="",G1043=""),"",IF(OR(B1043="",NOT(ISNUMBER(B1043)),C1043="",C1043="Fora dos ciclos"),"",IF(C1043="C0","Nao",IF(IFERROR(INDEX(parametros!$A$2:$A$6,MATCH(C1043,parametros!$B$2:$B$6,0)),"")&lt;&gt;"Sim","Nao",IF(IFERROR(INDEX(parametros!$H$2:$H$6,MATCH(C1043,parametros!$B$2:$B$6,0)),"")="","",IF(B1043&gt;=IFERROR(INDEX(parametros!$H$2:$H$6,MATCH(C1043,parametros!$B$2:$B$6,0)),""),"Sim","Nao"))))))</f>
        <v/>
      </c>
      <c r="T1043" s="156"/>
      <c r="U1043" s="214" t="str">
        <f t="shared" si="86"/>
        <v/>
      </c>
      <c r="V1043" s="212" t="s">
        <v>50</v>
      </c>
      <c r="W1043" s="100" t="s">
        <v>168</v>
      </c>
      <c r="X1043" s="100" t="s">
        <v>169</v>
      </c>
      <c r="Y1043" s="101" t="s">
        <v>170</v>
      </c>
      <c r="Z1043" s="101" t="s">
        <v>171</v>
      </c>
      <c r="AA1043" s="101" t="s">
        <v>50</v>
      </c>
      <c r="AB1043" s="101" t="s">
        <v>172</v>
      </c>
      <c r="AC1043" s="102" t="s">
        <v>173</v>
      </c>
    </row>
    <row r="1044" spans="1:29" ht="25.5" customHeight="1" x14ac:dyDescent="0.35">
      <c r="A1044" s="392"/>
      <c r="B1044" s="393"/>
      <c r="C1044" s="99" t="str">
        <f>IF(B1044="","",IF(NOT(ISNUMBER(B1044)),"DATA_PC invalida",IF(NOT(ISNUMBER(parametros!$C$2)),"Fora dos ciclos",IF(OR(B1044&lt;parametros!$C$2,(YEAR(B1044)-YEAR(parametros!$C$2))*12+MONTH(B1044)-MONTH(parametros!$C$2)&gt;59),"Fora dos ciclos","C"&amp;INT(((YEAR(B1044)-YEAR(parametros!$C$2))*12+MONTH(B1044)-MONTH(parametros!$C$2))/12)))))</f>
        <v/>
      </c>
      <c r="D1044" s="394"/>
      <c r="E1044" s="78" t="str">
        <f>IF(C1044="","",IFERROR(VLOOKUP(C1044,parametros!$A$11:$E$15,5,0),""))</f>
        <v/>
      </c>
      <c r="F1044" s="79" t="str">
        <f t="shared" si="82"/>
        <v/>
      </c>
      <c r="G1044" s="395"/>
      <c r="H1044" s="91">
        <f t="shared" si="83"/>
        <v>0</v>
      </c>
      <c r="I1044" s="91" t="str">
        <f t="shared" si="84"/>
        <v/>
      </c>
      <c r="J1044" s="91" t="str">
        <f t="shared" si="85"/>
        <v/>
      </c>
      <c r="K1044" s="92" t="str">
        <f>IF(AND(A1044="",B1044="",D1044="",G1044=""),"",IF(AND(A1044&lt;&gt;"",COUNTIF($A$2:$A$5001,A1044)&gt;1),"NUMERO_PC duplicado",IF(B1044="","DATA_PC vazia",IF(NOT(ISNUMBER(B1044)),"DATA_PC invalida",IF(OR(C1044="",C1044="Fora dos ciclos"),"CICLO_PC nao identificado",IF(OR(D1044="",D1044=0),"VALOR_PC vazio ou zero",IF(AND(G1044&lt;&gt;"Sim",G1044&lt;&gt;"Nao",G1044&lt;&gt;""),"PC_PAGO_A_CONTRATADA invalido",IF(AND(C1044&lt;&gt;"C0",IFERROR(INDEX(parametros!$A$2:$A$6,MATCH(C1044,parametros!$B$2:$B$6,0)),"")="Sim",IFERROR(INDEX(parametros!$H$2:$H$6,MATCH(C1044,parametros!$B$2:$B$6,0)),"")=""),"INICIO_EFEITO ausente: PC "&amp;A1044&amp;" - "&amp;C1044,IF(L1044="","EFEITO_PC nao calculado: PC "&amp;A1044&amp;" - "&amp;C1044,"OK")))))))))</f>
        <v/>
      </c>
      <c r="L1044" s="92" t="str">
        <f>IF(AND(A1044="",B1044="",D1044="",G1044=""),"",IF(OR(B1044="",NOT(ISNUMBER(B1044)),C1044="",C1044="Fora dos ciclos"),"",IF(C1044="C0","Nao",IF(IFERROR(INDEX(parametros!$A$2:$A$6,MATCH(C1044,parametros!$B$2:$B$6,0)),"")&lt;&gt;"Sim","Nao",IF(IFERROR(INDEX(parametros!$H$2:$H$6,MATCH(C1044,parametros!$B$2:$B$6,0)),"")="","",IF(B1044&gt;=IFERROR(INDEX(parametros!$H$2:$H$6,MATCH(C1044,parametros!$B$2:$B$6,0)),""),"Sim","Nao"))))))</f>
        <v/>
      </c>
      <c r="T1044" s="156"/>
      <c r="U1044" s="214" t="str">
        <f t="shared" si="86"/>
        <v/>
      </c>
      <c r="V1044" s="212" t="s">
        <v>50</v>
      </c>
      <c r="W1044" s="100" t="s">
        <v>168</v>
      </c>
      <c r="X1044" s="100" t="s">
        <v>169</v>
      </c>
      <c r="Y1044" s="101" t="s">
        <v>170</v>
      </c>
      <c r="Z1044" s="101" t="s">
        <v>171</v>
      </c>
      <c r="AA1044" s="101" t="s">
        <v>50</v>
      </c>
      <c r="AB1044" s="101" t="s">
        <v>172</v>
      </c>
      <c r="AC1044" s="102" t="s">
        <v>173</v>
      </c>
    </row>
    <row r="1045" spans="1:29" ht="25.5" customHeight="1" x14ac:dyDescent="0.35">
      <c r="A1045" s="392"/>
      <c r="B1045" s="393"/>
      <c r="C1045" s="99" t="str">
        <f>IF(B1045="","",IF(NOT(ISNUMBER(B1045)),"DATA_PC invalida",IF(NOT(ISNUMBER(parametros!$C$2)),"Fora dos ciclos",IF(OR(B1045&lt;parametros!$C$2,(YEAR(B1045)-YEAR(parametros!$C$2))*12+MONTH(B1045)-MONTH(parametros!$C$2)&gt;59),"Fora dos ciclos","C"&amp;INT(((YEAR(B1045)-YEAR(parametros!$C$2))*12+MONTH(B1045)-MONTH(parametros!$C$2))/12)))))</f>
        <v/>
      </c>
      <c r="D1045" s="394"/>
      <c r="E1045" s="78" t="str">
        <f>IF(C1045="","",IFERROR(VLOOKUP(C1045,parametros!$A$11:$E$15,5,0),""))</f>
        <v/>
      </c>
      <c r="F1045" s="79" t="str">
        <f t="shared" si="82"/>
        <v/>
      </c>
      <c r="G1045" s="395"/>
      <c r="H1045" s="91">
        <f t="shared" si="83"/>
        <v>0</v>
      </c>
      <c r="I1045" s="91" t="str">
        <f t="shared" si="84"/>
        <v/>
      </c>
      <c r="J1045" s="91" t="str">
        <f t="shared" si="85"/>
        <v/>
      </c>
      <c r="K1045" s="92" t="str">
        <f>IF(AND(A1045="",B1045="",D1045="",G1045=""),"",IF(AND(A1045&lt;&gt;"",COUNTIF($A$2:$A$5001,A1045)&gt;1),"NUMERO_PC duplicado",IF(B1045="","DATA_PC vazia",IF(NOT(ISNUMBER(B1045)),"DATA_PC invalida",IF(OR(C1045="",C1045="Fora dos ciclos"),"CICLO_PC nao identificado",IF(OR(D1045="",D1045=0),"VALOR_PC vazio ou zero",IF(AND(G1045&lt;&gt;"Sim",G1045&lt;&gt;"Nao",G1045&lt;&gt;""),"PC_PAGO_A_CONTRATADA invalido",IF(AND(C1045&lt;&gt;"C0",IFERROR(INDEX(parametros!$A$2:$A$6,MATCH(C1045,parametros!$B$2:$B$6,0)),"")="Sim",IFERROR(INDEX(parametros!$H$2:$H$6,MATCH(C1045,parametros!$B$2:$B$6,0)),"")=""),"INICIO_EFEITO ausente: PC "&amp;A1045&amp;" - "&amp;C1045,IF(L1045="","EFEITO_PC nao calculado: PC "&amp;A1045&amp;" - "&amp;C1045,"OK")))))))))</f>
        <v/>
      </c>
      <c r="L1045" s="92" t="str">
        <f>IF(AND(A1045="",B1045="",D1045="",G1045=""),"",IF(OR(B1045="",NOT(ISNUMBER(B1045)),C1045="",C1045="Fora dos ciclos"),"",IF(C1045="C0","Nao",IF(IFERROR(INDEX(parametros!$A$2:$A$6,MATCH(C1045,parametros!$B$2:$B$6,0)),"")&lt;&gt;"Sim","Nao",IF(IFERROR(INDEX(parametros!$H$2:$H$6,MATCH(C1045,parametros!$B$2:$B$6,0)),"")="","",IF(B1045&gt;=IFERROR(INDEX(parametros!$H$2:$H$6,MATCH(C1045,parametros!$B$2:$B$6,0)),""),"Sim","Nao"))))))</f>
        <v/>
      </c>
      <c r="T1045" s="156"/>
      <c r="U1045" s="214" t="str">
        <f t="shared" si="86"/>
        <v/>
      </c>
      <c r="V1045" s="212" t="s">
        <v>50</v>
      </c>
      <c r="W1045" s="100" t="s">
        <v>168</v>
      </c>
      <c r="X1045" s="100" t="s">
        <v>169</v>
      </c>
      <c r="Y1045" s="101" t="s">
        <v>170</v>
      </c>
      <c r="Z1045" s="101" t="s">
        <v>171</v>
      </c>
      <c r="AA1045" s="101" t="s">
        <v>50</v>
      </c>
      <c r="AB1045" s="101" t="s">
        <v>172</v>
      </c>
      <c r="AC1045" s="102" t="s">
        <v>173</v>
      </c>
    </row>
    <row r="1046" spans="1:29" ht="25.5" customHeight="1" x14ac:dyDescent="0.35">
      <c r="A1046" s="392"/>
      <c r="B1046" s="393"/>
      <c r="C1046" s="99" t="str">
        <f>IF(B1046="","",IF(NOT(ISNUMBER(B1046)),"DATA_PC invalida",IF(NOT(ISNUMBER(parametros!$C$2)),"Fora dos ciclos",IF(OR(B1046&lt;parametros!$C$2,(YEAR(B1046)-YEAR(parametros!$C$2))*12+MONTH(B1046)-MONTH(parametros!$C$2)&gt;59),"Fora dos ciclos","C"&amp;INT(((YEAR(B1046)-YEAR(parametros!$C$2))*12+MONTH(B1046)-MONTH(parametros!$C$2))/12)))))</f>
        <v/>
      </c>
      <c r="D1046" s="394"/>
      <c r="E1046" s="78" t="str">
        <f>IF(C1046="","",IFERROR(VLOOKUP(C1046,parametros!$A$11:$E$15,5,0),""))</f>
        <v/>
      </c>
      <c r="F1046" s="79" t="str">
        <f t="shared" si="82"/>
        <v/>
      </c>
      <c r="G1046" s="395"/>
      <c r="H1046" s="91">
        <f t="shared" si="83"/>
        <v>0</v>
      </c>
      <c r="I1046" s="91" t="str">
        <f t="shared" si="84"/>
        <v/>
      </c>
      <c r="J1046" s="91" t="str">
        <f t="shared" si="85"/>
        <v/>
      </c>
      <c r="K1046" s="92" t="str">
        <f>IF(AND(A1046="",B1046="",D1046="",G1046=""),"",IF(AND(A1046&lt;&gt;"",COUNTIF($A$2:$A$5001,A1046)&gt;1),"NUMERO_PC duplicado",IF(B1046="","DATA_PC vazia",IF(NOT(ISNUMBER(B1046)),"DATA_PC invalida",IF(OR(C1046="",C1046="Fora dos ciclos"),"CICLO_PC nao identificado",IF(OR(D1046="",D1046=0),"VALOR_PC vazio ou zero",IF(AND(G1046&lt;&gt;"Sim",G1046&lt;&gt;"Nao",G1046&lt;&gt;""),"PC_PAGO_A_CONTRATADA invalido",IF(AND(C1046&lt;&gt;"C0",IFERROR(INDEX(parametros!$A$2:$A$6,MATCH(C1046,parametros!$B$2:$B$6,0)),"")="Sim",IFERROR(INDEX(parametros!$H$2:$H$6,MATCH(C1046,parametros!$B$2:$B$6,0)),"")=""),"INICIO_EFEITO ausente: PC "&amp;A1046&amp;" - "&amp;C1046,IF(L1046="","EFEITO_PC nao calculado: PC "&amp;A1046&amp;" - "&amp;C1046,"OK")))))))))</f>
        <v/>
      </c>
      <c r="L1046" s="92" t="str">
        <f>IF(AND(A1046="",B1046="",D1046="",G1046=""),"",IF(OR(B1046="",NOT(ISNUMBER(B1046)),C1046="",C1046="Fora dos ciclos"),"",IF(C1046="C0","Nao",IF(IFERROR(INDEX(parametros!$A$2:$A$6,MATCH(C1046,parametros!$B$2:$B$6,0)),"")&lt;&gt;"Sim","Nao",IF(IFERROR(INDEX(parametros!$H$2:$H$6,MATCH(C1046,parametros!$B$2:$B$6,0)),"")="","",IF(B1046&gt;=IFERROR(INDEX(parametros!$H$2:$H$6,MATCH(C1046,parametros!$B$2:$B$6,0)),""),"Sim","Nao"))))))</f>
        <v/>
      </c>
      <c r="T1046" s="156"/>
      <c r="U1046" s="214" t="str">
        <f t="shared" si="86"/>
        <v/>
      </c>
      <c r="V1046" s="212" t="s">
        <v>50</v>
      </c>
      <c r="W1046" s="100" t="s">
        <v>168</v>
      </c>
      <c r="X1046" s="100" t="s">
        <v>169</v>
      </c>
      <c r="Y1046" s="101" t="s">
        <v>170</v>
      </c>
      <c r="Z1046" s="101" t="s">
        <v>171</v>
      </c>
      <c r="AA1046" s="101" t="s">
        <v>50</v>
      </c>
      <c r="AB1046" s="101" t="s">
        <v>172</v>
      </c>
      <c r="AC1046" s="102" t="s">
        <v>173</v>
      </c>
    </row>
    <row r="1047" spans="1:29" ht="25.5" customHeight="1" x14ac:dyDescent="0.35">
      <c r="A1047" s="392"/>
      <c r="B1047" s="393"/>
      <c r="C1047" s="99" t="str">
        <f>IF(B1047="","",IF(NOT(ISNUMBER(B1047)),"DATA_PC invalida",IF(NOT(ISNUMBER(parametros!$C$2)),"Fora dos ciclos",IF(OR(B1047&lt;parametros!$C$2,(YEAR(B1047)-YEAR(parametros!$C$2))*12+MONTH(B1047)-MONTH(parametros!$C$2)&gt;59),"Fora dos ciclos","C"&amp;INT(((YEAR(B1047)-YEAR(parametros!$C$2))*12+MONTH(B1047)-MONTH(parametros!$C$2))/12)))))</f>
        <v/>
      </c>
      <c r="D1047" s="394"/>
      <c r="E1047" s="78" t="str">
        <f>IF(C1047="","",IFERROR(VLOOKUP(C1047,parametros!$A$11:$E$15,5,0),""))</f>
        <v/>
      </c>
      <c r="F1047" s="79" t="str">
        <f t="shared" si="82"/>
        <v/>
      </c>
      <c r="G1047" s="395"/>
      <c r="H1047" s="91">
        <f t="shared" si="83"/>
        <v>0</v>
      </c>
      <c r="I1047" s="91" t="str">
        <f t="shared" si="84"/>
        <v/>
      </c>
      <c r="J1047" s="91" t="str">
        <f t="shared" si="85"/>
        <v/>
      </c>
      <c r="K1047" s="92" t="str">
        <f>IF(AND(A1047="",B1047="",D1047="",G1047=""),"",IF(AND(A1047&lt;&gt;"",COUNTIF($A$2:$A$5001,A1047)&gt;1),"NUMERO_PC duplicado",IF(B1047="","DATA_PC vazia",IF(NOT(ISNUMBER(B1047)),"DATA_PC invalida",IF(OR(C1047="",C1047="Fora dos ciclos"),"CICLO_PC nao identificado",IF(OR(D1047="",D1047=0),"VALOR_PC vazio ou zero",IF(AND(G1047&lt;&gt;"Sim",G1047&lt;&gt;"Nao",G1047&lt;&gt;""),"PC_PAGO_A_CONTRATADA invalido",IF(AND(C1047&lt;&gt;"C0",IFERROR(INDEX(parametros!$A$2:$A$6,MATCH(C1047,parametros!$B$2:$B$6,0)),"")="Sim",IFERROR(INDEX(parametros!$H$2:$H$6,MATCH(C1047,parametros!$B$2:$B$6,0)),"")=""),"INICIO_EFEITO ausente: PC "&amp;A1047&amp;" - "&amp;C1047,IF(L1047="","EFEITO_PC nao calculado: PC "&amp;A1047&amp;" - "&amp;C1047,"OK")))))))))</f>
        <v/>
      </c>
      <c r="L1047" s="92" t="str">
        <f>IF(AND(A1047="",B1047="",D1047="",G1047=""),"",IF(OR(B1047="",NOT(ISNUMBER(B1047)),C1047="",C1047="Fora dos ciclos"),"",IF(C1047="C0","Nao",IF(IFERROR(INDEX(parametros!$A$2:$A$6,MATCH(C1047,parametros!$B$2:$B$6,0)),"")&lt;&gt;"Sim","Nao",IF(IFERROR(INDEX(parametros!$H$2:$H$6,MATCH(C1047,parametros!$B$2:$B$6,0)),"")="","",IF(B1047&gt;=IFERROR(INDEX(parametros!$H$2:$H$6,MATCH(C1047,parametros!$B$2:$B$6,0)),""),"Sim","Nao"))))))</f>
        <v/>
      </c>
      <c r="T1047" s="156"/>
      <c r="U1047" s="214" t="str">
        <f t="shared" si="86"/>
        <v/>
      </c>
      <c r="V1047" s="212" t="s">
        <v>50</v>
      </c>
      <c r="W1047" s="100" t="s">
        <v>168</v>
      </c>
      <c r="X1047" s="100" t="s">
        <v>169</v>
      </c>
      <c r="Y1047" s="101" t="s">
        <v>170</v>
      </c>
      <c r="Z1047" s="101" t="s">
        <v>171</v>
      </c>
      <c r="AA1047" s="101" t="s">
        <v>50</v>
      </c>
      <c r="AB1047" s="101" t="s">
        <v>172</v>
      </c>
      <c r="AC1047" s="102" t="s">
        <v>173</v>
      </c>
    </row>
    <row r="1048" spans="1:29" ht="25.5" customHeight="1" x14ac:dyDescent="0.35">
      <c r="A1048" s="392"/>
      <c r="B1048" s="393"/>
      <c r="C1048" s="99" t="str">
        <f>IF(B1048="","",IF(NOT(ISNUMBER(B1048)),"DATA_PC invalida",IF(NOT(ISNUMBER(parametros!$C$2)),"Fora dos ciclos",IF(OR(B1048&lt;parametros!$C$2,(YEAR(B1048)-YEAR(parametros!$C$2))*12+MONTH(B1048)-MONTH(parametros!$C$2)&gt;59),"Fora dos ciclos","C"&amp;INT(((YEAR(B1048)-YEAR(parametros!$C$2))*12+MONTH(B1048)-MONTH(parametros!$C$2))/12)))))</f>
        <v/>
      </c>
      <c r="D1048" s="394"/>
      <c r="E1048" s="78" t="str">
        <f>IF(C1048="","",IFERROR(VLOOKUP(C1048,parametros!$A$11:$E$15,5,0),""))</f>
        <v/>
      </c>
      <c r="F1048" s="79" t="str">
        <f t="shared" si="82"/>
        <v/>
      </c>
      <c r="G1048" s="395"/>
      <c r="H1048" s="91">
        <f t="shared" si="83"/>
        <v>0</v>
      </c>
      <c r="I1048" s="91" t="str">
        <f t="shared" si="84"/>
        <v/>
      </c>
      <c r="J1048" s="91" t="str">
        <f t="shared" si="85"/>
        <v/>
      </c>
      <c r="K1048" s="92" t="str">
        <f>IF(AND(A1048="",B1048="",D1048="",G1048=""),"",IF(AND(A1048&lt;&gt;"",COUNTIF($A$2:$A$5001,A1048)&gt;1),"NUMERO_PC duplicado",IF(B1048="","DATA_PC vazia",IF(NOT(ISNUMBER(B1048)),"DATA_PC invalida",IF(OR(C1048="",C1048="Fora dos ciclos"),"CICLO_PC nao identificado",IF(OR(D1048="",D1048=0),"VALOR_PC vazio ou zero",IF(AND(G1048&lt;&gt;"Sim",G1048&lt;&gt;"Nao",G1048&lt;&gt;""),"PC_PAGO_A_CONTRATADA invalido",IF(AND(C1048&lt;&gt;"C0",IFERROR(INDEX(parametros!$A$2:$A$6,MATCH(C1048,parametros!$B$2:$B$6,0)),"")="Sim",IFERROR(INDEX(parametros!$H$2:$H$6,MATCH(C1048,parametros!$B$2:$B$6,0)),"")=""),"INICIO_EFEITO ausente: PC "&amp;A1048&amp;" - "&amp;C1048,IF(L1048="","EFEITO_PC nao calculado: PC "&amp;A1048&amp;" - "&amp;C1048,"OK")))))))))</f>
        <v/>
      </c>
      <c r="L1048" s="92" t="str">
        <f>IF(AND(A1048="",B1048="",D1048="",G1048=""),"",IF(OR(B1048="",NOT(ISNUMBER(B1048)),C1048="",C1048="Fora dos ciclos"),"",IF(C1048="C0","Nao",IF(IFERROR(INDEX(parametros!$A$2:$A$6,MATCH(C1048,parametros!$B$2:$B$6,0)),"")&lt;&gt;"Sim","Nao",IF(IFERROR(INDEX(parametros!$H$2:$H$6,MATCH(C1048,parametros!$B$2:$B$6,0)),"")="","",IF(B1048&gt;=IFERROR(INDEX(parametros!$H$2:$H$6,MATCH(C1048,parametros!$B$2:$B$6,0)),""),"Sim","Nao"))))))</f>
        <v/>
      </c>
      <c r="T1048" s="156"/>
      <c r="U1048" s="214" t="str">
        <f t="shared" si="86"/>
        <v/>
      </c>
      <c r="V1048" s="212" t="s">
        <v>50</v>
      </c>
      <c r="W1048" s="100" t="s">
        <v>168</v>
      </c>
      <c r="X1048" s="100" t="s">
        <v>169</v>
      </c>
      <c r="Y1048" s="101" t="s">
        <v>170</v>
      </c>
      <c r="Z1048" s="101" t="s">
        <v>171</v>
      </c>
      <c r="AA1048" s="101" t="s">
        <v>50</v>
      </c>
      <c r="AB1048" s="101" t="s">
        <v>172</v>
      </c>
      <c r="AC1048" s="102" t="s">
        <v>173</v>
      </c>
    </row>
    <row r="1049" spans="1:29" ht="25.5" customHeight="1" x14ac:dyDescent="0.35">
      <c r="A1049" s="392"/>
      <c r="B1049" s="393"/>
      <c r="C1049" s="99" t="str">
        <f>IF(B1049="","",IF(NOT(ISNUMBER(B1049)),"DATA_PC invalida",IF(NOT(ISNUMBER(parametros!$C$2)),"Fora dos ciclos",IF(OR(B1049&lt;parametros!$C$2,(YEAR(B1049)-YEAR(parametros!$C$2))*12+MONTH(B1049)-MONTH(parametros!$C$2)&gt;59),"Fora dos ciclos","C"&amp;INT(((YEAR(B1049)-YEAR(parametros!$C$2))*12+MONTH(B1049)-MONTH(parametros!$C$2))/12)))))</f>
        <v/>
      </c>
      <c r="D1049" s="394"/>
      <c r="E1049" s="78" t="str">
        <f>IF(C1049="","",IFERROR(VLOOKUP(C1049,parametros!$A$11:$E$15,5,0),""))</f>
        <v/>
      </c>
      <c r="F1049" s="79" t="str">
        <f t="shared" si="82"/>
        <v/>
      </c>
      <c r="G1049" s="395"/>
      <c r="H1049" s="91">
        <f t="shared" si="83"/>
        <v>0</v>
      </c>
      <c r="I1049" s="91" t="str">
        <f t="shared" si="84"/>
        <v/>
      </c>
      <c r="J1049" s="91" t="str">
        <f t="shared" si="85"/>
        <v/>
      </c>
      <c r="K1049" s="92" t="str">
        <f>IF(AND(A1049="",B1049="",D1049="",G1049=""),"",IF(AND(A1049&lt;&gt;"",COUNTIF($A$2:$A$5001,A1049)&gt;1),"NUMERO_PC duplicado",IF(B1049="","DATA_PC vazia",IF(NOT(ISNUMBER(B1049)),"DATA_PC invalida",IF(OR(C1049="",C1049="Fora dos ciclos"),"CICLO_PC nao identificado",IF(OR(D1049="",D1049=0),"VALOR_PC vazio ou zero",IF(AND(G1049&lt;&gt;"Sim",G1049&lt;&gt;"Nao",G1049&lt;&gt;""),"PC_PAGO_A_CONTRATADA invalido",IF(AND(C1049&lt;&gt;"C0",IFERROR(INDEX(parametros!$A$2:$A$6,MATCH(C1049,parametros!$B$2:$B$6,0)),"")="Sim",IFERROR(INDEX(parametros!$H$2:$H$6,MATCH(C1049,parametros!$B$2:$B$6,0)),"")=""),"INICIO_EFEITO ausente: PC "&amp;A1049&amp;" - "&amp;C1049,IF(L1049="","EFEITO_PC nao calculado: PC "&amp;A1049&amp;" - "&amp;C1049,"OK")))))))))</f>
        <v/>
      </c>
      <c r="L1049" s="92" t="str">
        <f>IF(AND(A1049="",B1049="",D1049="",G1049=""),"",IF(OR(B1049="",NOT(ISNUMBER(B1049)),C1049="",C1049="Fora dos ciclos"),"",IF(C1049="C0","Nao",IF(IFERROR(INDEX(parametros!$A$2:$A$6,MATCH(C1049,parametros!$B$2:$B$6,0)),"")&lt;&gt;"Sim","Nao",IF(IFERROR(INDEX(parametros!$H$2:$H$6,MATCH(C1049,parametros!$B$2:$B$6,0)),"")="","",IF(B1049&gt;=IFERROR(INDEX(parametros!$H$2:$H$6,MATCH(C1049,parametros!$B$2:$B$6,0)),""),"Sim","Nao"))))))</f>
        <v/>
      </c>
      <c r="T1049" s="156"/>
      <c r="U1049" s="214" t="str">
        <f t="shared" si="86"/>
        <v/>
      </c>
      <c r="V1049" s="212" t="s">
        <v>50</v>
      </c>
      <c r="W1049" s="100" t="s">
        <v>168</v>
      </c>
      <c r="X1049" s="100" t="s">
        <v>169</v>
      </c>
      <c r="Y1049" s="101" t="s">
        <v>170</v>
      </c>
      <c r="Z1049" s="101" t="s">
        <v>171</v>
      </c>
      <c r="AA1049" s="101" t="s">
        <v>50</v>
      </c>
      <c r="AB1049" s="101" t="s">
        <v>172</v>
      </c>
      <c r="AC1049" s="102" t="s">
        <v>173</v>
      </c>
    </row>
    <row r="1050" spans="1:29" ht="25.5" customHeight="1" x14ac:dyDescent="0.35">
      <c r="A1050" s="392"/>
      <c r="B1050" s="393"/>
      <c r="C1050" s="99" t="str">
        <f>IF(B1050="","",IF(NOT(ISNUMBER(B1050)),"DATA_PC invalida",IF(NOT(ISNUMBER(parametros!$C$2)),"Fora dos ciclos",IF(OR(B1050&lt;parametros!$C$2,(YEAR(B1050)-YEAR(parametros!$C$2))*12+MONTH(B1050)-MONTH(parametros!$C$2)&gt;59),"Fora dos ciclos","C"&amp;INT(((YEAR(B1050)-YEAR(parametros!$C$2))*12+MONTH(B1050)-MONTH(parametros!$C$2))/12)))))</f>
        <v/>
      </c>
      <c r="D1050" s="394"/>
      <c r="E1050" s="78" t="str">
        <f>IF(C1050="","",IFERROR(VLOOKUP(C1050,parametros!$A$11:$E$15,5,0),""))</f>
        <v/>
      </c>
      <c r="F1050" s="79" t="str">
        <f t="shared" si="82"/>
        <v/>
      </c>
      <c r="G1050" s="395"/>
      <c r="H1050" s="91">
        <f t="shared" si="83"/>
        <v>0</v>
      </c>
      <c r="I1050" s="91" t="str">
        <f t="shared" si="84"/>
        <v/>
      </c>
      <c r="J1050" s="91" t="str">
        <f t="shared" si="85"/>
        <v/>
      </c>
      <c r="K1050" s="92" t="str">
        <f>IF(AND(A1050="",B1050="",D1050="",G1050=""),"",IF(AND(A1050&lt;&gt;"",COUNTIF($A$2:$A$5001,A1050)&gt;1),"NUMERO_PC duplicado",IF(B1050="","DATA_PC vazia",IF(NOT(ISNUMBER(B1050)),"DATA_PC invalida",IF(OR(C1050="",C1050="Fora dos ciclos"),"CICLO_PC nao identificado",IF(OR(D1050="",D1050=0),"VALOR_PC vazio ou zero",IF(AND(G1050&lt;&gt;"Sim",G1050&lt;&gt;"Nao",G1050&lt;&gt;""),"PC_PAGO_A_CONTRATADA invalido",IF(AND(C1050&lt;&gt;"C0",IFERROR(INDEX(parametros!$A$2:$A$6,MATCH(C1050,parametros!$B$2:$B$6,0)),"")="Sim",IFERROR(INDEX(parametros!$H$2:$H$6,MATCH(C1050,parametros!$B$2:$B$6,0)),"")=""),"INICIO_EFEITO ausente: PC "&amp;A1050&amp;" - "&amp;C1050,IF(L1050="","EFEITO_PC nao calculado: PC "&amp;A1050&amp;" - "&amp;C1050,"OK")))))))))</f>
        <v/>
      </c>
      <c r="L1050" s="92" t="str">
        <f>IF(AND(A1050="",B1050="",D1050="",G1050=""),"",IF(OR(B1050="",NOT(ISNUMBER(B1050)),C1050="",C1050="Fora dos ciclos"),"",IF(C1050="C0","Nao",IF(IFERROR(INDEX(parametros!$A$2:$A$6,MATCH(C1050,parametros!$B$2:$B$6,0)),"")&lt;&gt;"Sim","Nao",IF(IFERROR(INDEX(parametros!$H$2:$H$6,MATCH(C1050,parametros!$B$2:$B$6,0)),"")="","",IF(B1050&gt;=IFERROR(INDEX(parametros!$H$2:$H$6,MATCH(C1050,parametros!$B$2:$B$6,0)),""),"Sim","Nao"))))))</f>
        <v/>
      </c>
      <c r="T1050" s="156"/>
      <c r="U1050" s="214" t="str">
        <f t="shared" si="86"/>
        <v/>
      </c>
      <c r="V1050" s="212" t="s">
        <v>50</v>
      </c>
      <c r="W1050" s="100" t="s">
        <v>168</v>
      </c>
      <c r="X1050" s="100" t="s">
        <v>169</v>
      </c>
      <c r="Y1050" s="101" t="s">
        <v>170</v>
      </c>
      <c r="Z1050" s="101" t="s">
        <v>171</v>
      </c>
      <c r="AA1050" s="101" t="s">
        <v>50</v>
      </c>
      <c r="AB1050" s="101" t="s">
        <v>172</v>
      </c>
      <c r="AC1050" s="102" t="s">
        <v>173</v>
      </c>
    </row>
    <row r="1051" spans="1:29" ht="25.5" customHeight="1" x14ac:dyDescent="0.35">
      <c r="A1051" s="392"/>
      <c r="B1051" s="393"/>
      <c r="C1051" s="99" t="str">
        <f>IF(B1051="","",IF(NOT(ISNUMBER(B1051)),"DATA_PC invalida",IF(NOT(ISNUMBER(parametros!$C$2)),"Fora dos ciclos",IF(OR(B1051&lt;parametros!$C$2,(YEAR(B1051)-YEAR(parametros!$C$2))*12+MONTH(B1051)-MONTH(parametros!$C$2)&gt;59),"Fora dos ciclos","C"&amp;INT(((YEAR(B1051)-YEAR(parametros!$C$2))*12+MONTH(B1051)-MONTH(parametros!$C$2))/12)))))</f>
        <v/>
      </c>
      <c r="D1051" s="394"/>
      <c r="E1051" s="78" t="str">
        <f>IF(C1051="","",IFERROR(VLOOKUP(C1051,parametros!$A$11:$E$15,5,0),""))</f>
        <v/>
      </c>
      <c r="F1051" s="79" t="str">
        <f t="shared" si="82"/>
        <v/>
      </c>
      <c r="G1051" s="395"/>
      <c r="H1051" s="91">
        <f t="shared" si="83"/>
        <v>0</v>
      </c>
      <c r="I1051" s="91" t="str">
        <f t="shared" si="84"/>
        <v/>
      </c>
      <c r="J1051" s="91" t="str">
        <f t="shared" si="85"/>
        <v/>
      </c>
      <c r="K1051" s="92" t="str">
        <f>IF(AND(A1051="",B1051="",D1051="",G1051=""),"",IF(AND(A1051&lt;&gt;"",COUNTIF($A$2:$A$5001,A1051)&gt;1),"NUMERO_PC duplicado",IF(B1051="","DATA_PC vazia",IF(NOT(ISNUMBER(B1051)),"DATA_PC invalida",IF(OR(C1051="",C1051="Fora dos ciclos"),"CICLO_PC nao identificado",IF(OR(D1051="",D1051=0),"VALOR_PC vazio ou zero",IF(AND(G1051&lt;&gt;"Sim",G1051&lt;&gt;"Nao",G1051&lt;&gt;""),"PC_PAGO_A_CONTRATADA invalido",IF(AND(C1051&lt;&gt;"C0",IFERROR(INDEX(parametros!$A$2:$A$6,MATCH(C1051,parametros!$B$2:$B$6,0)),"")="Sim",IFERROR(INDEX(parametros!$H$2:$H$6,MATCH(C1051,parametros!$B$2:$B$6,0)),"")=""),"INICIO_EFEITO ausente: PC "&amp;A1051&amp;" - "&amp;C1051,IF(L1051="","EFEITO_PC nao calculado: PC "&amp;A1051&amp;" - "&amp;C1051,"OK")))))))))</f>
        <v/>
      </c>
      <c r="L1051" s="92" t="str">
        <f>IF(AND(A1051="",B1051="",D1051="",G1051=""),"",IF(OR(B1051="",NOT(ISNUMBER(B1051)),C1051="",C1051="Fora dos ciclos"),"",IF(C1051="C0","Nao",IF(IFERROR(INDEX(parametros!$A$2:$A$6,MATCH(C1051,parametros!$B$2:$B$6,0)),"")&lt;&gt;"Sim","Nao",IF(IFERROR(INDEX(parametros!$H$2:$H$6,MATCH(C1051,parametros!$B$2:$B$6,0)),"")="","",IF(B1051&gt;=IFERROR(INDEX(parametros!$H$2:$H$6,MATCH(C1051,parametros!$B$2:$B$6,0)),""),"Sim","Nao"))))))</f>
        <v/>
      </c>
      <c r="T1051" s="156"/>
      <c r="U1051" s="214" t="str">
        <f t="shared" si="86"/>
        <v/>
      </c>
      <c r="V1051" s="212" t="s">
        <v>50</v>
      </c>
      <c r="W1051" s="100" t="s">
        <v>168</v>
      </c>
      <c r="X1051" s="100" t="s">
        <v>169</v>
      </c>
      <c r="Y1051" s="101" t="s">
        <v>170</v>
      </c>
      <c r="Z1051" s="101" t="s">
        <v>171</v>
      </c>
      <c r="AA1051" s="101" t="s">
        <v>50</v>
      </c>
      <c r="AB1051" s="101" t="s">
        <v>172</v>
      </c>
      <c r="AC1051" s="102" t="s">
        <v>173</v>
      </c>
    </row>
    <row r="1052" spans="1:29" ht="25.5" customHeight="1" x14ac:dyDescent="0.35">
      <c r="A1052" s="392"/>
      <c r="B1052" s="393"/>
      <c r="C1052" s="99" t="str">
        <f>IF(B1052="","",IF(NOT(ISNUMBER(B1052)),"DATA_PC invalida",IF(NOT(ISNUMBER(parametros!$C$2)),"Fora dos ciclos",IF(OR(B1052&lt;parametros!$C$2,(YEAR(B1052)-YEAR(parametros!$C$2))*12+MONTH(B1052)-MONTH(parametros!$C$2)&gt;59),"Fora dos ciclos","C"&amp;INT(((YEAR(B1052)-YEAR(parametros!$C$2))*12+MONTH(B1052)-MONTH(parametros!$C$2))/12)))))</f>
        <v/>
      </c>
      <c r="D1052" s="394"/>
      <c r="E1052" s="78" t="str">
        <f>IF(C1052="","",IFERROR(VLOOKUP(C1052,parametros!$A$11:$E$15,5,0),""))</f>
        <v/>
      </c>
      <c r="F1052" s="79" t="str">
        <f t="shared" si="82"/>
        <v/>
      </c>
      <c r="G1052" s="395"/>
      <c r="H1052" s="91">
        <f t="shared" si="83"/>
        <v>0</v>
      </c>
      <c r="I1052" s="91" t="str">
        <f t="shared" si="84"/>
        <v/>
      </c>
      <c r="J1052" s="91" t="str">
        <f t="shared" si="85"/>
        <v/>
      </c>
      <c r="K1052" s="92" t="str">
        <f>IF(AND(A1052="",B1052="",D1052="",G1052=""),"",IF(AND(A1052&lt;&gt;"",COUNTIF($A$2:$A$5001,A1052)&gt;1),"NUMERO_PC duplicado",IF(B1052="","DATA_PC vazia",IF(NOT(ISNUMBER(B1052)),"DATA_PC invalida",IF(OR(C1052="",C1052="Fora dos ciclos"),"CICLO_PC nao identificado",IF(OR(D1052="",D1052=0),"VALOR_PC vazio ou zero",IF(AND(G1052&lt;&gt;"Sim",G1052&lt;&gt;"Nao",G1052&lt;&gt;""),"PC_PAGO_A_CONTRATADA invalido",IF(AND(C1052&lt;&gt;"C0",IFERROR(INDEX(parametros!$A$2:$A$6,MATCH(C1052,parametros!$B$2:$B$6,0)),"")="Sim",IFERROR(INDEX(parametros!$H$2:$H$6,MATCH(C1052,parametros!$B$2:$B$6,0)),"")=""),"INICIO_EFEITO ausente: PC "&amp;A1052&amp;" - "&amp;C1052,IF(L1052="","EFEITO_PC nao calculado: PC "&amp;A1052&amp;" - "&amp;C1052,"OK")))))))))</f>
        <v/>
      </c>
      <c r="L1052" s="92" t="str">
        <f>IF(AND(A1052="",B1052="",D1052="",G1052=""),"",IF(OR(B1052="",NOT(ISNUMBER(B1052)),C1052="",C1052="Fora dos ciclos"),"",IF(C1052="C0","Nao",IF(IFERROR(INDEX(parametros!$A$2:$A$6,MATCH(C1052,parametros!$B$2:$B$6,0)),"")&lt;&gt;"Sim","Nao",IF(IFERROR(INDEX(parametros!$H$2:$H$6,MATCH(C1052,parametros!$B$2:$B$6,0)),"")="","",IF(B1052&gt;=IFERROR(INDEX(parametros!$H$2:$H$6,MATCH(C1052,parametros!$B$2:$B$6,0)),""),"Sim","Nao"))))))</f>
        <v/>
      </c>
      <c r="T1052" s="156"/>
      <c r="U1052" s="214" t="str">
        <f t="shared" si="86"/>
        <v/>
      </c>
      <c r="V1052" s="212" t="s">
        <v>50</v>
      </c>
      <c r="W1052" s="100" t="s">
        <v>168</v>
      </c>
      <c r="X1052" s="100" t="s">
        <v>169</v>
      </c>
      <c r="Y1052" s="101" t="s">
        <v>170</v>
      </c>
      <c r="Z1052" s="101" t="s">
        <v>171</v>
      </c>
      <c r="AA1052" s="101" t="s">
        <v>50</v>
      </c>
      <c r="AB1052" s="101" t="s">
        <v>172</v>
      </c>
      <c r="AC1052" s="102" t="s">
        <v>173</v>
      </c>
    </row>
    <row r="1053" spans="1:29" ht="25.5" customHeight="1" x14ac:dyDescent="0.35">
      <c r="A1053" s="392"/>
      <c r="B1053" s="393"/>
      <c r="C1053" s="99" t="str">
        <f>IF(B1053="","",IF(NOT(ISNUMBER(B1053)),"DATA_PC invalida",IF(NOT(ISNUMBER(parametros!$C$2)),"Fora dos ciclos",IF(OR(B1053&lt;parametros!$C$2,(YEAR(B1053)-YEAR(parametros!$C$2))*12+MONTH(B1053)-MONTH(parametros!$C$2)&gt;59),"Fora dos ciclos","C"&amp;INT(((YEAR(B1053)-YEAR(parametros!$C$2))*12+MONTH(B1053)-MONTH(parametros!$C$2))/12)))))</f>
        <v/>
      </c>
      <c r="D1053" s="394"/>
      <c r="E1053" s="78" t="str">
        <f>IF(C1053="","",IFERROR(VLOOKUP(C1053,parametros!$A$11:$E$15,5,0),""))</f>
        <v/>
      </c>
      <c r="F1053" s="79" t="str">
        <f t="shared" si="82"/>
        <v/>
      </c>
      <c r="G1053" s="395"/>
      <c r="H1053" s="91">
        <f t="shared" si="83"/>
        <v>0</v>
      </c>
      <c r="I1053" s="91" t="str">
        <f t="shared" si="84"/>
        <v/>
      </c>
      <c r="J1053" s="91" t="str">
        <f t="shared" si="85"/>
        <v/>
      </c>
      <c r="K1053" s="92" t="str">
        <f>IF(AND(A1053="",B1053="",D1053="",G1053=""),"",IF(AND(A1053&lt;&gt;"",COUNTIF($A$2:$A$5001,A1053)&gt;1),"NUMERO_PC duplicado",IF(B1053="","DATA_PC vazia",IF(NOT(ISNUMBER(B1053)),"DATA_PC invalida",IF(OR(C1053="",C1053="Fora dos ciclos"),"CICLO_PC nao identificado",IF(OR(D1053="",D1053=0),"VALOR_PC vazio ou zero",IF(AND(G1053&lt;&gt;"Sim",G1053&lt;&gt;"Nao",G1053&lt;&gt;""),"PC_PAGO_A_CONTRATADA invalido",IF(AND(C1053&lt;&gt;"C0",IFERROR(INDEX(parametros!$A$2:$A$6,MATCH(C1053,parametros!$B$2:$B$6,0)),"")="Sim",IFERROR(INDEX(parametros!$H$2:$H$6,MATCH(C1053,parametros!$B$2:$B$6,0)),"")=""),"INICIO_EFEITO ausente: PC "&amp;A1053&amp;" - "&amp;C1053,IF(L1053="","EFEITO_PC nao calculado: PC "&amp;A1053&amp;" - "&amp;C1053,"OK")))))))))</f>
        <v/>
      </c>
      <c r="L1053" s="92" t="str">
        <f>IF(AND(A1053="",B1053="",D1053="",G1053=""),"",IF(OR(B1053="",NOT(ISNUMBER(B1053)),C1053="",C1053="Fora dos ciclos"),"",IF(C1053="C0","Nao",IF(IFERROR(INDEX(parametros!$A$2:$A$6,MATCH(C1053,parametros!$B$2:$B$6,0)),"")&lt;&gt;"Sim","Nao",IF(IFERROR(INDEX(parametros!$H$2:$H$6,MATCH(C1053,parametros!$B$2:$B$6,0)),"")="","",IF(B1053&gt;=IFERROR(INDEX(parametros!$H$2:$H$6,MATCH(C1053,parametros!$B$2:$B$6,0)),""),"Sim","Nao"))))))</f>
        <v/>
      </c>
      <c r="T1053" s="156"/>
      <c r="U1053" s="214" t="str">
        <f t="shared" si="86"/>
        <v/>
      </c>
      <c r="V1053" s="212" t="s">
        <v>50</v>
      </c>
      <c r="W1053" s="100" t="s">
        <v>168</v>
      </c>
      <c r="X1053" s="100" t="s">
        <v>169</v>
      </c>
      <c r="Y1053" s="101" t="s">
        <v>170</v>
      </c>
      <c r="Z1053" s="101" t="s">
        <v>171</v>
      </c>
      <c r="AA1053" s="101" t="s">
        <v>50</v>
      </c>
      <c r="AB1053" s="101" t="s">
        <v>172</v>
      </c>
      <c r="AC1053" s="102" t="s">
        <v>173</v>
      </c>
    </row>
    <row r="1054" spans="1:29" ht="25.5" customHeight="1" x14ac:dyDescent="0.35">
      <c r="A1054" s="392"/>
      <c r="B1054" s="393"/>
      <c r="C1054" s="99" t="str">
        <f>IF(B1054="","",IF(NOT(ISNUMBER(B1054)),"DATA_PC invalida",IF(NOT(ISNUMBER(parametros!$C$2)),"Fora dos ciclos",IF(OR(B1054&lt;parametros!$C$2,(YEAR(B1054)-YEAR(parametros!$C$2))*12+MONTH(B1054)-MONTH(parametros!$C$2)&gt;59),"Fora dos ciclos","C"&amp;INT(((YEAR(B1054)-YEAR(parametros!$C$2))*12+MONTH(B1054)-MONTH(parametros!$C$2))/12)))))</f>
        <v/>
      </c>
      <c r="D1054" s="394"/>
      <c r="E1054" s="78" t="str">
        <f>IF(C1054="","",IFERROR(VLOOKUP(C1054,parametros!$A$11:$E$15,5,0),""))</f>
        <v/>
      </c>
      <c r="F1054" s="79" t="str">
        <f t="shared" si="82"/>
        <v/>
      </c>
      <c r="G1054" s="395"/>
      <c r="H1054" s="91">
        <f t="shared" si="83"/>
        <v>0</v>
      </c>
      <c r="I1054" s="91" t="str">
        <f t="shared" si="84"/>
        <v/>
      </c>
      <c r="J1054" s="91" t="str">
        <f t="shared" si="85"/>
        <v/>
      </c>
      <c r="K1054" s="92" t="str">
        <f>IF(AND(A1054="",B1054="",D1054="",G1054=""),"",IF(AND(A1054&lt;&gt;"",COUNTIF($A$2:$A$5001,A1054)&gt;1),"NUMERO_PC duplicado",IF(B1054="","DATA_PC vazia",IF(NOT(ISNUMBER(B1054)),"DATA_PC invalida",IF(OR(C1054="",C1054="Fora dos ciclos"),"CICLO_PC nao identificado",IF(OR(D1054="",D1054=0),"VALOR_PC vazio ou zero",IF(AND(G1054&lt;&gt;"Sim",G1054&lt;&gt;"Nao",G1054&lt;&gt;""),"PC_PAGO_A_CONTRATADA invalido",IF(AND(C1054&lt;&gt;"C0",IFERROR(INDEX(parametros!$A$2:$A$6,MATCH(C1054,parametros!$B$2:$B$6,0)),"")="Sim",IFERROR(INDEX(parametros!$H$2:$H$6,MATCH(C1054,parametros!$B$2:$B$6,0)),"")=""),"INICIO_EFEITO ausente: PC "&amp;A1054&amp;" - "&amp;C1054,IF(L1054="","EFEITO_PC nao calculado: PC "&amp;A1054&amp;" - "&amp;C1054,"OK")))))))))</f>
        <v/>
      </c>
      <c r="L1054" s="92" t="str">
        <f>IF(AND(A1054="",B1054="",D1054="",G1054=""),"",IF(OR(B1054="",NOT(ISNUMBER(B1054)),C1054="",C1054="Fora dos ciclos"),"",IF(C1054="C0","Nao",IF(IFERROR(INDEX(parametros!$A$2:$A$6,MATCH(C1054,parametros!$B$2:$B$6,0)),"")&lt;&gt;"Sim","Nao",IF(IFERROR(INDEX(parametros!$H$2:$H$6,MATCH(C1054,parametros!$B$2:$B$6,0)),"")="","",IF(B1054&gt;=IFERROR(INDEX(parametros!$H$2:$H$6,MATCH(C1054,parametros!$B$2:$B$6,0)),""),"Sim","Nao"))))))</f>
        <v/>
      </c>
      <c r="T1054" s="156"/>
      <c r="U1054" s="214" t="str">
        <f t="shared" si="86"/>
        <v/>
      </c>
      <c r="V1054" s="212" t="s">
        <v>50</v>
      </c>
      <c r="W1054" s="100" t="s">
        <v>168</v>
      </c>
      <c r="X1054" s="100" t="s">
        <v>169</v>
      </c>
      <c r="Y1054" s="101" t="s">
        <v>170</v>
      </c>
      <c r="Z1054" s="101" t="s">
        <v>171</v>
      </c>
      <c r="AA1054" s="101" t="s">
        <v>50</v>
      </c>
      <c r="AB1054" s="101" t="s">
        <v>172</v>
      </c>
      <c r="AC1054" s="102" t="s">
        <v>173</v>
      </c>
    </row>
    <row r="1055" spans="1:29" ht="25.5" customHeight="1" x14ac:dyDescent="0.35">
      <c r="A1055" s="392"/>
      <c r="B1055" s="393"/>
      <c r="C1055" s="99" t="str">
        <f>IF(B1055="","",IF(NOT(ISNUMBER(B1055)),"DATA_PC invalida",IF(NOT(ISNUMBER(parametros!$C$2)),"Fora dos ciclos",IF(OR(B1055&lt;parametros!$C$2,(YEAR(B1055)-YEAR(parametros!$C$2))*12+MONTH(B1055)-MONTH(parametros!$C$2)&gt;59),"Fora dos ciclos","C"&amp;INT(((YEAR(B1055)-YEAR(parametros!$C$2))*12+MONTH(B1055)-MONTH(parametros!$C$2))/12)))))</f>
        <v/>
      </c>
      <c r="D1055" s="394"/>
      <c r="E1055" s="78" t="str">
        <f>IF(C1055="","",IFERROR(VLOOKUP(C1055,parametros!$A$11:$E$15,5,0),""))</f>
        <v/>
      </c>
      <c r="F1055" s="79" t="str">
        <f t="shared" si="82"/>
        <v/>
      </c>
      <c r="G1055" s="395"/>
      <c r="H1055" s="91">
        <f t="shared" si="83"/>
        <v>0</v>
      </c>
      <c r="I1055" s="91" t="str">
        <f t="shared" si="84"/>
        <v/>
      </c>
      <c r="J1055" s="91" t="str">
        <f t="shared" si="85"/>
        <v/>
      </c>
      <c r="K1055" s="92" t="str">
        <f>IF(AND(A1055="",B1055="",D1055="",G1055=""),"",IF(AND(A1055&lt;&gt;"",COUNTIF($A$2:$A$5001,A1055)&gt;1),"NUMERO_PC duplicado",IF(B1055="","DATA_PC vazia",IF(NOT(ISNUMBER(B1055)),"DATA_PC invalida",IF(OR(C1055="",C1055="Fora dos ciclos"),"CICLO_PC nao identificado",IF(OR(D1055="",D1055=0),"VALOR_PC vazio ou zero",IF(AND(G1055&lt;&gt;"Sim",G1055&lt;&gt;"Nao",G1055&lt;&gt;""),"PC_PAGO_A_CONTRATADA invalido",IF(AND(C1055&lt;&gt;"C0",IFERROR(INDEX(parametros!$A$2:$A$6,MATCH(C1055,parametros!$B$2:$B$6,0)),"")="Sim",IFERROR(INDEX(parametros!$H$2:$H$6,MATCH(C1055,parametros!$B$2:$B$6,0)),"")=""),"INICIO_EFEITO ausente: PC "&amp;A1055&amp;" - "&amp;C1055,IF(L1055="","EFEITO_PC nao calculado: PC "&amp;A1055&amp;" - "&amp;C1055,"OK")))))))))</f>
        <v/>
      </c>
      <c r="L1055" s="92" t="str">
        <f>IF(AND(A1055="",B1055="",D1055="",G1055=""),"",IF(OR(B1055="",NOT(ISNUMBER(B1055)),C1055="",C1055="Fora dos ciclos"),"",IF(C1055="C0","Nao",IF(IFERROR(INDEX(parametros!$A$2:$A$6,MATCH(C1055,parametros!$B$2:$B$6,0)),"")&lt;&gt;"Sim","Nao",IF(IFERROR(INDEX(parametros!$H$2:$H$6,MATCH(C1055,parametros!$B$2:$B$6,0)),"")="","",IF(B1055&gt;=IFERROR(INDEX(parametros!$H$2:$H$6,MATCH(C1055,parametros!$B$2:$B$6,0)),""),"Sim","Nao"))))))</f>
        <v/>
      </c>
      <c r="T1055" s="156"/>
      <c r="U1055" s="214" t="str">
        <f t="shared" si="86"/>
        <v/>
      </c>
      <c r="V1055" s="212" t="s">
        <v>50</v>
      </c>
      <c r="W1055" s="100" t="s">
        <v>168</v>
      </c>
      <c r="X1055" s="100" t="s">
        <v>169</v>
      </c>
      <c r="Y1055" s="101" t="s">
        <v>170</v>
      </c>
      <c r="Z1055" s="101" t="s">
        <v>171</v>
      </c>
      <c r="AA1055" s="101" t="s">
        <v>50</v>
      </c>
      <c r="AB1055" s="101" t="s">
        <v>172</v>
      </c>
      <c r="AC1055" s="102" t="s">
        <v>173</v>
      </c>
    </row>
    <row r="1056" spans="1:29" ht="25.5" customHeight="1" x14ac:dyDescent="0.35">
      <c r="A1056" s="392"/>
      <c r="B1056" s="393"/>
      <c r="C1056" s="99" t="str">
        <f>IF(B1056="","",IF(NOT(ISNUMBER(B1056)),"DATA_PC invalida",IF(NOT(ISNUMBER(parametros!$C$2)),"Fora dos ciclos",IF(OR(B1056&lt;parametros!$C$2,(YEAR(B1056)-YEAR(parametros!$C$2))*12+MONTH(B1056)-MONTH(parametros!$C$2)&gt;59),"Fora dos ciclos","C"&amp;INT(((YEAR(B1056)-YEAR(parametros!$C$2))*12+MONTH(B1056)-MONTH(parametros!$C$2))/12)))))</f>
        <v/>
      </c>
      <c r="D1056" s="394"/>
      <c r="E1056" s="78" t="str">
        <f>IF(C1056="","",IFERROR(VLOOKUP(C1056,parametros!$A$11:$E$15,5,0),""))</f>
        <v/>
      </c>
      <c r="F1056" s="79" t="str">
        <f t="shared" si="82"/>
        <v/>
      </c>
      <c r="G1056" s="395"/>
      <c r="H1056" s="91">
        <f t="shared" si="83"/>
        <v>0</v>
      </c>
      <c r="I1056" s="91" t="str">
        <f t="shared" si="84"/>
        <v/>
      </c>
      <c r="J1056" s="91" t="str">
        <f t="shared" si="85"/>
        <v/>
      </c>
      <c r="K1056" s="92" t="str">
        <f>IF(AND(A1056="",B1056="",D1056="",G1056=""),"",IF(AND(A1056&lt;&gt;"",COUNTIF($A$2:$A$5001,A1056)&gt;1),"NUMERO_PC duplicado",IF(B1056="","DATA_PC vazia",IF(NOT(ISNUMBER(B1056)),"DATA_PC invalida",IF(OR(C1056="",C1056="Fora dos ciclos"),"CICLO_PC nao identificado",IF(OR(D1056="",D1056=0),"VALOR_PC vazio ou zero",IF(AND(G1056&lt;&gt;"Sim",G1056&lt;&gt;"Nao",G1056&lt;&gt;""),"PC_PAGO_A_CONTRATADA invalido",IF(AND(C1056&lt;&gt;"C0",IFERROR(INDEX(parametros!$A$2:$A$6,MATCH(C1056,parametros!$B$2:$B$6,0)),"")="Sim",IFERROR(INDEX(parametros!$H$2:$H$6,MATCH(C1056,parametros!$B$2:$B$6,0)),"")=""),"INICIO_EFEITO ausente: PC "&amp;A1056&amp;" - "&amp;C1056,IF(L1056="","EFEITO_PC nao calculado: PC "&amp;A1056&amp;" - "&amp;C1056,"OK")))))))))</f>
        <v/>
      </c>
      <c r="L1056" s="92" t="str">
        <f>IF(AND(A1056="",B1056="",D1056="",G1056=""),"",IF(OR(B1056="",NOT(ISNUMBER(B1056)),C1056="",C1056="Fora dos ciclos"),"",IF(C1056="C0","Nao",IF(IFERROR(INDEX(parametros!$A$2:$A$6,MATCH(C1056,parametros!$B$2:$B$6,0)),"")&lt;&gt;"Sim","Nao",IF(IFERROR(INDEX(parametros!$H$2:$H$6,MATCH(C1056,parametros!$B$2:$B$6,0)),"")="","",IF(B1056&gt;=IFERROR(INDEX(parametros!$H$2:$H$6,MATCH(C1056,parametros!$B$2:$B$6,0)),""),"Sim","Nao"))))))</f>
        <v/>
      </c>
      <c r="T1056" s="156"/>
      <c r="U1056" s="214" t="str">
        <f t="shared" si="86"/>
        <v/>
      </c>
      <c r="V1056" s="212" t="s">
        <v>50</v>
      </c>
      <c r="W1056" s="100" t="s">
        <v>168</v>
      </c>
      <c r="X1056" s="100" t="s">
        <v>169</v>
      </c>
      <c r="Y1056" s="101" t="s">
        <v>170</v>
      </c>
      <c r="Z1056" s="101" t="s">
        <v>171</v>
      </c>
      <c r="AA1056" s="101" t="s">
        <v>50</v>
      </c>
      <c r="AB1056" s="101" t="s">
        <v>172</v>
      </c>
      <c r="AC1056" s="102" t="s">
        <v>173</v>
      </c>
    </row>
    <row r="1057" spans="1:29" ht="25.5" customHeight="1" x14ac:dyDescent="0.35">
      <c r="A1057" s="392"/>
      <c r="B1057" s="393"/>
      <c r="C1057" s="99" t="str">
        <f>IF(B1057="","",IF(NOT(ISNUMBER(B1057)),"DATA_PC invalida",IF(NOT(ISNUMBER(parametros!$C$2)),"Fora dos ciclos",IF(OR(B1057&lt;parametros!$C$2,(YEAR(B1057)-YEAR(parametros!$C$2))*12+MONTH(B1057)-MONTH(parametros!$C$2)&gt;59),"Fora dos ciclos","C"&amp;INT(((YEAR(B1057)-YEAR(parametros!$C$2))*12+MONTH(B1057)-MONTH(parametros!$C$2))/12)))))</f>
        <v/>
      </c>
      <c r="D1057" s="394"/>
      <c r="E1057" s="78" t="str">
        <f>IF(C1057="","",IFERROR(VLOOKUP(C1057,parametros!$A$11:$E$15,5,0),""))</f>
        <v/>
      </c>
      <c r="F1057" s="79" t="str">
        <f t="shared" si="82"/>
        <v/>
      </c>
      <c r="G1057" s="395"/>
      <c r="H1057" s="91">
        <f t="shared" si="83"/>
        <v>0</v>
      </c>
      <c r="I1057" s="91" t="str">
        <f t="shared" si="84"/>
        <v/>
      </c>
      <c r="J1057" s="91" t="str">
        <f t="shared" si="85"/>
        <v/>
      </c>
      <c r="K1057" s="92" t="str">
        <f>IF(AND(A1057="",B1057="",D1057="",G1057=""),"",IF(AND(A1057&lt;&gt;"",COUNTIF($A$2:$A$5001,A1057)&gt;1),"NUMERO_PC duplicado",IF(B1057="","DATA_PC vazia",IF(NOT(ISNUMBER(B1057)),"DATA_PC invalida",IF(OR(C1057="",C1057="Fora dos ciclos"),"CICLO_PC nao identificado",IF(OR(D1057="",D1057=0),"VALOR_PC vazio ou zero",IF(AND(G1057&lt;&gt;"Sim",G1057&lt;&gt;"Nao",G1057&lt;&gt;""),"PC_PAGO_A_CONTRATADA invalido",IF(AND(C1057&lt;&gt;"C0",IFERROR(INDEX(parametros!$A$2:$A$6,MATCH(C1057,parametros!$B$2:$B$6,0)),"")="Sim",IFERROR(INDEX(parametros!$H$2:$H$6,MATCH(C1057,parametros!$B$2:$B$6,0)),"")=""),"INICIO_EFEITO ausente: PC "&amp;A1057&amp;" - "&amp;C1057,IF(L1057="","EFEITO_PC nao calculado: PC "&amp;A1057&amp;" - "&amp;C1057,"OK")))))))))</f>
        <v/>
      </c>
      <c r="L1057" s="92" t="str">
        <f>IF(AND(A1057="",B1057="",D1057="",G1057=""),"",IF(OR(B1057="",NOT(ISNUMBER(B1057)),C1057="",C1057="Fora dos ciclos"),"",IF(C1057="C0","Nao",IF(IFERROR(INDEX(parametros!$A$2:$A$6,MATCH(C1057,parametros!$B$2:$B$6,0)),"")&lt;&gt;"Sim","Nao",IF(IFERROR(INDEX(parametros!$H$2:$H$6,MATCH(C1057,parametros!$B$2:$B$6,0)),"")="","",IF(B1057&gt;=IFERROR(INDEX(parametros!$H$2:$H$6,MATCH(C1057,parametros!$B$2:$B$6,0)),""),"Sim","Nao"))))))</f>
        <v/>
      </c>
      <c r="T1057" s="156"/>
      <c r="U1057" s="214" t="str">
        <f t="shared" si="86"/>
        <v/>
      </c>
      <c r="V1057" s="212" t="s">
        <v>50</v>
      </c>
      <c r="W1057" s="100" t="s">
        <v>168</v>
      </c>
      <c r="X1057" s="100" t="s">
        <v>169</v>
      </c>
      <c r="Y1057" s="101" t="s">
        <v>170</v>
      </c>
      <c r="Z1057" s="101" t="s">
        <v>171</v>
      </c>
      <c r="AA1057" s="101" t="s">
        <v>50</v>
      </c>
      <c r="AB1057" s="101" t="s">
        <v>172</v>
      </c>
      <c r="AC1057" s="102" t="s">
        <v>173</v>
      </c>
    </row>
    <row r="1058" spans="1:29" ht="25.5" customHeight="1" x14ac:dyDescent="0.35">
      <c r="A1058" s="392"/>
      <c r="B1058" s="393"/>
      <c r="C1058" s="99" t="str">
        <f>IF(B1058="","",IF(NOT(ISNUMBER(B1058)),"DATA_PC invalida",IF(NOT(ISNUMBER(parametros!$C$2)),"Fora dos ciclos",IF(OR(B1058&lt;parametros!$C$2,(YEAR(B1058)-YEAR(parametros!$C$2))*12+MONTH(B1058)-MONTH(parametros!$C$2)&gt;59),"Fora dos ciclos","C"&amp;INT(((YEAR(B1058)-YEAR(parametros!$C$2))*12+MONTH(B1058)-MONTH(parametros!$C$2))/12)))))</f>
        <v/>
      </c>
      <c r="D1058" s="394"/>
      <c r="E1058" s="78" t="str">
        <f>IF(C1058="","",IFERROR(VLOOKUP(C1058,parametros!$A$11:$E$15,5,0),""))</f>
        <v/>
      </c>
      <c r="F1058" s="79" t="str">
        <f t="shared" si="82"/>
        <v/>
      </c>
      <c r="G1058" s="395"/>
      <c r="H1058" s="91">
        <f t="shared" si="83"/>
        <v>0</v>
      </c>
      <c r="I1058" s="91" t="str">
        <f t="shared" si="84"/>
        <v/>
      </c>
      <c r="J1058" s="91" t="str">
        <f t="shared" si="85"/>
        <v/>
      </c>
      <c r="K1058" s="92" t="str">
        <f>IF(AND(A1058="",B1058="",D1058="",G1058=""),"",IF(AND(A1058&lt;&gt;"",COUNTIF($A$2:$A$5001,A1058)&gt;1),"NUMERO_PC duplicado",IF(B1058="","DATA_PC vazia",IF(NOT(ISNUMBER(B1058)),"DATA_PC invalida",IF(OR(C1058="",C1058="Fora dos ciclos"),"CICLO_PC nao identificado",IF(OR(D1058="",D1058=0),"VALOR_PC vazio ou zero",IF(AND(G1058&lt;&gt;"Sim",G1058&lt;&gt;"Nao",G1058&lt;&gt;""),"PC_PAGO_A_CONTRATADA invalido",IF(AND(C1058&lt;&gt;"C0",IFERROR(INDEX(parametros!$A$2:$A$6,MATCH(C1058,parametros!$B$2:$B$6,0)),"")="Sim",IFERROR(INDEX(parametros!$H$2:$H$6,MATCH(C1058,parametros!$B$2:$B$6,0)),"")=""),"INICIO_EFEITO ausente: PC "&amp;A1058&amp;" - "&amp;C1058,IF(L1058="","EFEITO_PC nao calculado: PC "&amp;A1058&amp;" - "&amp;C1058,"OK")))))))))</f>
        <v/>
      </c>
      <c r="L1058" s="92" t="str">
        <f>IF(AND(A1058="",B1058="",D1058="",G1058=""),"",IF(OR(B1058="",NOT(ISNUMBER(B1058)),C1058="",C1058="Fora dos ciclos"),"",IF(C1058="C0","Nao",IF(IFERROR(INDEX(parametros!$A$2:$A$6,MATCH(C1058,parametros!$B$2:$B$6,0)),"")&lt;&gt;"Sim","Nao",IF(IFERROR(INDEX(parametros!$H$2:$H$6,MATCH(C1058,parametros!$B$2:$B$6,0)),"")="","",IF(B1058&gt;=IFERROR(INDEX(parametros!$H$2:$H$6,MATCH(C1058,parametros!$B$2:$B$6,0)),""),"Sim","Nao"))))))</f>
        <v/>
      </c>
      <c r="T1058" s="156"/>
      <c r="U1058" s="214" t="str">
        <f t="shared" si="86"/>
        <v/>
      </c>
      <c r="V1058" s="212" t="s">
        <v>50</v>
      </c>
      <c r="W1058" s="100" t="s">
        <v>168</v>
      </c>
      <c r="X1058" s="100" t="s">
        <v>169</v>
      </c>
      <c r="Y1058" s="101" t="s">
        <v>170</v>
      </c>
      <c r="Z1058" s="101" t="s">
        <v>171</v>
      </c>
      <c r="AA1058" s="101" t="s">
        <v>50</v>
      </c>
      <c r="AB1058" s="101" t="s">
        <v>172</v>
      </c>
      <c r="AC1058" s="102" t="s">
        <v>173</v>
      </c>
    </row>
    <row r="1059" spans="1:29" ht="25.5" customHeight="1" x14ac:dyDescent="0.35">
      <c r="A1059" s="392"/>
      <c r="B1059" s="393"/>
      <c r="C1059" s="99" t="str">
        <f>IF(B1059="","",IF(NOT(ISNUMBER(B1059)),"DATA_PC invalida",IF(NOT(ISNUMBER(parametros!$C$2)),"Fora dos ciclos",IF(OR(B1059&lt;parametros!$C$2,(YEAR(B1059)-YEAR(parametros!$C$2))*12+MONTH(B1059)-MONTH(parametros!$C$2)&gt;59),"Fora dos ciclos","C"&amp;INT(((YEAR(B1059)-YEAR(parametros!$C$2))*12+MONTH(B1059)-MONTH(parametros!$C$2))/12)))))</f>
        <v/>
      </c>
      <c r="D1059" s="394"/>
      <c r="E1059" s="78" t="str">
        <f>IF(C1059="","",IFERROR(VLOOKUP(C1059,parametros!$A$11:$E$15,5,0),""))</f>
        <v/>
      </c>
      <c r="F1059" s="79" t="str">
        <f t="shared" si="82"/>
        <v/>
      </c>
      <c r="G1059" s="395"/>
      <c r="H1059" s="91">
        <f t="shared" si="83"/>
        <v>0</v>
      </c>
      <c r="I1059" s="91" t="str">
        <f t="shared" si="84"/>
        <v/>
      </c>
      <c r="J1059" s="91" t="str">
        <f t="shared" si="85"/>
        <v/>
      </c>
      <c r="K1059" s="92" t="str">
        <f>IF(AND(A1059="",B1059="",D1059="",G1059=""),"",IF(AND(A1059&lt;&gt;"",COUNTIF($A$2:$A$5001,A1059)&gt;1),"NUMERO_PC duplicado",IF(B1059="","DATA_PC vazia",IF(NOT(ISNUMBER(B1059)),"DATA_PC invalida",IF(OR(C1059="",C1059="Fora dos ciclos"),"CICLO_PC nao identificado",IF(OR(D1059="",D1059=0),"VALOR_PC vazio ou zero",IF(AND(G1059&lt;&gt;"Sim",G1059&lt;&gt;"Nao",G1059&lt;&gt;""),"PC_PAGO_A_CONTRATADA invalido",IF(AND(C1059&lt;&gt;"C0",IFERROR(INDEX(parametros!$A$2:$A$6,MATCH(C1059,parametros!$B$2:$B$6,0)),"")="Sim",IFERROR(INDEX(parametros!$H$2:$H$6,MATCH(C1059,parametros!$B$2:$B$6,0)),"")=""),"INICIO_EFEITO ausente: PC "&amp;A1059&amp;" - "&amp;C1059,IF(L1059="","EFEITO_PC nao calculado: PC "&amp;A1059&amp;" - "&amp;C1059,"OK")))))))))</f>
        <v/>
      </c>
      <c r="L1059" s="92" t="str">
        <f>IF(AND(A1059="",B1059="",D1059="",G1059=""),"",IF(OR(B1059="",NOT(ISNUMBER(B1059)),C1059="",C1059="Fora dos ciclos"),"",IF(C1059="C0","Nao",IF(IFERROR(INDEX(parametros!$A$2:$A$6,MATCH(C1059,parametros!$B$2:$B$6,0)),"")&lt;&gt;"Sim","Nao",IF(IFERROR(INDEX(parametros!$H$2:$H$6,MATCH(C1059,parametros!$B$2:$B$6,0)),"")="","",IF(B1059&gt;=IFERROR(INDEX(parametros!$H$2:$H$6,MATCH(C1059,parametros!$B$2:$B$6,0)),""),"Sim","Nao"))))))</f>
        <v/>
      </c>
      <c r="T1059" s="156"/>
      <c r="U1059" s="214" t="str">
        <f t="shared" si="86"/>
        <v/>
      </c>
      <c r="V1059" s="212" t="s">
        <v>50</v>
      </c>
      <c r="W1059" s="100" t="s">
        <v>168</v>
      </c>
      <c r="X1059" s="100" t="s">
        <v>169</v>
      </c>
      <c r="Y1059" s="101" t="s">
        <v>170</v>
      </c>
      <c r="Z1059" s="101" t="s">
        <v>171</v>
      </c>
      <c r="AA1059" s="101" t="s">
        <v>50</v>
      </c>
      <c r="AB1059" s="101" t="s">
        <v>172</v>
      </c>
      <c r="AC1059" s="102" t="s">
        <v>173</v>
      </c>
    </row>
    <row r="1060" spans="1:29" ht="25.5" customHeight="1" x14ac:dyDescent="0.35">
      <c r="A1060" s="392"/>
      <c r="B1060" s="393"/>
      <c r="C1060" s="99" t="str">
        <f>IF(B1060="","",IF(NOT(ISNUMBER(B1060)),"DATA_PC invalida",IF(NOT(ISNUMBER(parametros!$C$2)),"Fora dos ciclos",IF(OR(B1060&lt;parametros!$C$2,(YEAR(B1060)-YEAR(parametros!$C$2))*12+MONTH(B1060)-MONTH(parametros!$C$2)&gt;59),"Fora dos ciclos","C"&amp;INT(((YEAR(B1060)-YEAR(parametros!$C$2))*12+MONTH(B1060)-MONTH(parametros!$C$2))/12)))))</f>
        <v/>
      </c>
      <c r="D1060" s="394"/>
      <c r="E1060" s="78" t="str">
        <f>IF(C1060="","",IFERROR(VLOOKUP(C1060,parametros!$A$11:$E$15,5,0),""))</f>
        <v/>
      </c>
      <c r="F1060" s="79" t="str">
        <f t="shared" si="82"/>
        <v/>
      </c>
      <c r="G1060" s="395"/>
      <c r="H1060" s="91">
        <f t="shared" si="83"/>
        <v>0</v>
      </c>
      <c r="I1060" s="91" t="str">
        <f t="shared" si="84"/>
        <v/>
      </c>
      <c r="J1060" s="91" t="str">
        <f t="shared" si="85"/>
        <v/>
      </c>
      <c r="K1060" s="92" t="str">
        <f>IF(AND(A1060="",B1060="",D1060="",G1060=""),"",IF(AND(A1060&lt;&gt;"",COUNTIF($A$2:$A$5001,A1060)&gt;1),"NUMERO_PC duplicado",IF(B1060="","DATA_PC vazia",IF(NOT(ISNUMBER(B1060)),"DATA_PC invalida",IF(OR(C1060="",C1060="Fora dos ciclos"),"CICLO_PC nao identificado",IF(OR(D1060="",D1060=0),"VALOR_PC vazio ou zero",IF(AND(G1060&lt;&gt;"Sim",G1060&lt;&gt;"Nao",G1060&lt;&gt;""),"PC_PAGO_A_CONTRATADA invalido",IF(AND(C1060&lt;&gt;"C0",IFERROR(INDEX(parametros!$A$2:$A$6,MATCH(C1060,parametros!$B$2:$B$6,0)),"")="Sim",IFERROR(INDEX(parametros!$H$2:$H$6,MATCH(C1060,parametros!$B$2:$B$6,0)),"")=""),"INICIO_EFEITO ausente: PC "&amp;A1060&amp;" - "&amp;C1060,IF(L1060="","EFEITO_PC nao calculado: PC "&amp;A1060&amp;" - "&amp;C1060,"OK")))))))))</f>
        <v/>
      </c>
      <c r="L1060" s="92" t="str">
        <f>IF(AND(A1060="",B1060="",D1060="",G1060=""),"",IF(OR(B1060="",NOT(ISNUMBER(B1060)),C1060="",C1060="Fora dos ciclos"),"",IF(C1060="C0","Nao",IF(IFERROR(INDEX(parametros!$A$2:$A$6,MATCH(C1060,parametros!$B$2:$B$6,0)),"")&lt;&gt;"Sim","Nao",IF(IFERROR(INDEX(parametros!$H$2:$H$6,MATCH(C1060,parametros!$B$2:$B$6,0)),"")="","",IF(B1060&gt;=IFERROR(INDEX(parametros!$H$2:$H$6,MATCH(C1060,parametros!$B$2:$B$6,0)),""),"Sim","Nao"))))))</f>
        <v/>
      </c>
      <c r="T1060" s="156"/>
      <c r="U1060" s="214" t="str">
        <f t="shared" si="86"/>
        <v/>
      </c>
      <c r="V1060" s="212" t="s">
        <v>50</v>
      </c>
      <c r="W1060" s="100" t="s">
        <v>168</v>
      </c>
      <c r="X1060" s="100" t="s">
        <v>169</v>
      </c>
      <c r="Y1060" s="101" t="s">
        <v>170</v>
      </c>
      <c r="Z1060" s="101" t="s">
        <v>171</v>
      </c>
      <c r="AA1060" s="101" t="s">
        <v>50</v>
      </c>
      <c r="AB1060" s="101" t="s">
        <v>172</v>
      </c>
      <c r="AC1060" s="102" t="s">
        <v>173</v>
      </c>
    </row>
    <row r="1061" spans="1:29" ht="25.5" customHeight="1" x14ac:dyDescent="0.35">
      <c r="A1061" s="392"/>
      <c r="B1061" s="393"/>
      <c r="C1061" s="99" t="str">
        <f>IF(B1061="","",IF(NOT(ISNUMBER(B1061)),"DATA_PC invalida",IF(NOT(ISNUMBER(parametros!$C$2)),"Fora dos ciclos",IF(OR(B1061&lt;parametros!$C$2,(YEAR(B1061)-YEAR(parametros!$C$2))*12+MONTH(B1061)-MONTH(parametros!$C$2)&gt;59),"Fora dos ciclos","C"&amp;INT(((YEAR(B1061)-YEAR(parametros!$C$2))*12+MONTH(B1061)-MONTH(parametros!$C$2))/12)))))</f>
        <v/>
      </c>
      <c r="D1061" s="394"/>
      <c r="E1061" s="78" t="str">
        <f>IF(C1061="","",IFERROR(VLOOKUP(C1061,parametros!$A$11:$E$15,5,0),""))</f>
        <v/>
      </c>
      <c r="F1061" s="79" t="str">
        <f t="shared" si="82"/>
        <v/>
      </c>
      <c r="G1061" s="395"/>
      <c r="H1061" s="91">
        <f t="shared" si="83"/>
        <v>0</v>
      </c>
      <c r="I1061" s="91" t="str">
        <f t="shared" si="84"/>
        <v/>
      </c>
      <c r="J1061" s="91" t="str">
        <f t="shared" si="85"/>
        <v/>
      </c>
      <c r="K1061" s="92" t="str">
        <f>IF(AND(A1061="",B1061="",D1061="",G1061=""),"",IF(AND(A1061&lt;&gt;"",COUNTIF($A$2:$A$5001,A1061)&gt;1),"NUMERO_PC duplicado",IF(B1061="","DATA_PC vazia",IF(NOT(ISNUMBER(B1061)),"DATA_PC invalida",IF(OR(C1061="",C1061="Fora dos ciclos"),"CICLO_PC nao identificado",IF(OR(D1061="",D1061=0),"VALOR_PC vazio ou zero",IF(AND(G1061&lt;&gt;"Sim",G1061&lt;&gt;"Nao",G1061&lt;&gt;""),"PC_PAGO_A_CONTRATADA invalido",IF(AND(C1061&lt;&gt;"C0",IFERROR(INDEX(parametros!$A$2:$A$6,MATCH(C1061,parametros!$B$2:$B$6,0)),"")="Sim",IFERROR(INDEX(parametros!$H$2:$H$6,MATCH(C1061,parametros!$B$2:$B$6,0)),"")=""),"INICIO_EFEITO ausente: PC "&amp;A1061&amp;" - "&amp;C1061,IF(L1061="","EFEITO_PC nao calculado: PC "&amp;A1061&amp;" - "&amp;C1061,"OK")))))))))</f>
        <v/>
      </c>
      <c r="L1061" s="92" t="str">
        <f>IF(AND(A1061="",B1061="",D1061="",G1061=""),"",IF(OR(B1061="",NOT(ISNUMBER(B1061)),C1061="",C1061="Fora dos ciclos"),"",IF(C1061="C0","Nao",IF(IFERROR(INDEX(parametros!$A$2:$A$6,MATCH(C1061,parametros!$B$2:$B$6,0)),"")&lt;&gt;"Sim","Nao",IF(IFERROR(INDEX(parametros!$H$2:$H$6,MATCH(C1061,parametros!$B$2:$B$6,0)),"")="","",IF(B1061&gt;=IFERROR(INDEX(parametros!$H$2:$H$6,MATCH(C1061,parametros!$B$2:$B$6,0)),""),"Sim","Nao"))))))</f>
        <v/>
      </c>
      <c r="T1061" s="156"/>
      <c r="U1061" s="214" t="str">
        <f t="shared" si="86"/>
        <v/>
      </c>
      <c r="V1061" s="212" t="s">
        <v>50</v>
      </c>
      <c r="W1061" s="100" t="s">
        <v>168</v>
      </c>
      <c r="X1061" s="100" t="s">
        <v>169</v>
      </c>
      <c r="Y1061" s="101" t="s">
        <v>170</v>
      </c>
      <c r="Z1061" s="101" t="s">
        <v>171</v>
      </c>
      <c r="AA1061" s="101" t="s">
        <v>50</v>
      </c>
      <c r="AB1061" s="101" t="s">
        <v>172</v>
      </c>
      <c r="AC1061" s="102" t="s">
        <v>173</v>
      </c>
    </row>
    <row r="1062" spans="1:29" ht="25.5" customHeight="1" x14ac:dyDescent="0.35">
      <c r="A1062" s="392"/>
      <c r="B1062" s="393"/>
      <c r="C1062" s="99" t="str">
        <f>IF(B1062="","",IF(NOT(ISNUMBER(B1062)),"DATA_PC invalida",IF(NOT(ISNUMBER(parametros!$C$2)),"Fora dos ciclos",IF(OR(B1062&lt;parametros!$C$2,(YEAR(B1062)-YEAR(parametros!$C$2))*12+MONTH(B1062)-MONTH(parametros!$C$2)&gt;59),"Fora dos ciclos","C"&amp;INT(((YEAR(B1062)-YEAR(parametros!$C$2))*12+MONTH(B1062)-MONTH(parametros!$C$2))/12)))))</f>
        <v/>
      </c>
      <c r="D1062" s="394"/>
      <c r="E1062" s="78" t="str">
        <f>IF(C1062="","",IFERROR(VLOOKUP(C1062,parametros!$A$11:$E$15,5,0),""))</f>
        <v/>
      </c>
      <c r="F1062" s="79" t="str">
        <f t="shared" si="82"/>
        <v/>
      </c>
      <c r="G1062" s="395"/>
      <c r="H1062" s="91">
        <f t="shared" si="83"/>
        <v>0</v>
      </c>
      <c r="I1062" s="91" t="str">
        <f t="shared" si="84"/>
        <v/>
      </c>
      <c r="J1062" s="91" t="str">
        <f t="shared" si="85"/>
        <v/>
      </c>
      <c r="K1062" s="92" t="str">
        <f>IF(AND(A1062="",B1062="",D1062="",G1062=""),"",IF(AND(A1062&lt;&gt;"",COUNTIF($A$2:$A$5001,A1062)&gt;1),"NUMERO_PC duplicado",IF(B1062="","DATA_PC vazia",IF(NOT(ISNUMBER(B1062)),"DATA_PC invalida",IF(OR(C1062="",C1062="Fora dos ciclos"),"CICLO_PC nao identificado",IF(OR(D1062="",D1062=0),"VALOR_PC vazio ou zero",IF(AND(G1062&lt;&gt;"Sim",G1062&lt;&gt;"Nao",G1062&lt;&gt;""),"PC_PAGO_A_CONTRATADA invalido",IF(AND(C1062&lt;&gt;"C0",IFERROR(INDEX(parametros!$A$2:$A$6,MATCH(C1062,parametros!$B$2:$B$6,0)),"")="Sim",IFERROR(INDEX(parametros!$H$2:$H$6,MATCH(C1062,parametros!$B$2:$B$6,0)),"")=""),"INICIO_EFEITO ausente: PC "&amp;A1062&amp;" - "&amp;C1062,IF(L1062="","EFEITO_PC nao calculado: PC "&amp;A1062&amp;" - "&amp;C1062,"OK")))))))))</f>
        <v/>
      </c>
      <c r="L1062" s="92" t="str">
        <f>IF(AND(A1062="",B1062="",D1062="",G1062=""),"",IF(OR(B1062="",NOT(ISNUMBER(B1062)),C1062="",C1062="Fora dos ciclos"),"",IF(C1062="C0","Nao",IF(IFERROR(INDEX(parametros!$A$2:$A$6,MATCH(C1062,parametros!$B$2:$B$6,0)),"")&lt;&gt;"Sim","Nao",IF(IFERROR(INDEX(parametros!$H$2:$H$6,MATCH(C1062,parametros!$B$2:$B$6,0)),"")="","",IF(B1062&gt;=IFERROR(INDEX(parametros!$H$2:$H$6,MATCH(C1062,parametros!$B$2:$B$6,0)),""),"Sim","Nao"))))))</f>
        <v/>
      </c>
      <c r="T1062" s="156"/>
      <c r="U1062" s="214" t="str">
        <f t="shared" si="86"/>
        <v/>
      </c>
      <c r="V1062" s="212" t="s">
        <v>50</v>
      </c>
      <c r="W1062" s="100" t="s">
        <v>168</v>
      </c>
      <c r="X1062" s="100" t="s">
        <v>169</v>
      </c>
      <c r="Y1062" s="101" t="s">
        <v>170</v>
      </c>
      <c r="Z1062" s="101" t="s">
        <v>171</v>
      </c>
      <c r="AA1062" s="101" t="s">
        <v>50</v>
      </c>
      <c r="AB1062" s="101" t="s">
        <v>172</v>
      </c>
      <c r="AC1062" s="102" t="s">
        <v>173</v>
      </c>
    </row>
    <row r="1063" spans="1:29" ht="25.5" customHeight="1" x14ac:dyDescent="0.35">
      <c r="A1063" s="392"/>
      <c r="B1063" s="393"/>
      <c r="C1063" s="99" t="str">
        <f>IF(B1063="","",IF(NOT(ISNUMBER(B1063)),"DATA_PC invalida",IF(NOT(ISNUMBER(parametros!$C$2)),"Fora dos ciclos",IF(OR(B1063&lt;parametros!$C$2,(YEAR(B1063)-YEAR(parametros!$C$2))*12+MONTH(B1063)-MONTH(parametros!$C$2)&gt;59),"Fora dos ciclos","C"&amp;INT(((YEAR(B1063)-YEAR(parametros!$C$2))*12+MONTH(B1063)-MONTH(parametros!$C$2))/12)))))</f>
        <v/>
      </c>
      <c r="D1063" s="394"/>
      <c r="E1063" s="78" t="str">
        <f>IF(C1063="","",IFERROR(VLOOKUP(C1063,parametros!$A$11:$E$15,5,0),""))</f>
        <v/>
      </c>
      <c r="F1063" s="79" t="str">
        <f t="shared" si="82"/>
        <v/>
      </c>
      <c r="G1063" s="395"/>
      <c r="H1063" s="91">
        <f t="shared" si="83"/>
        <v>0</v>
      </c>
      <c r="I1063" s="91" t="str">
        <f t="shared" si="84"/>
        <v/>
      </c>
      <c r="J1063" s="91" t="str">
        <f t="shared" si="85"/>
        <v/>
      </c>
      <c r="K1063" s="92" t="str">
        <f>IF(AND(A1063="",B1063="",D1063="",G1063=""),"",IF(AND(A1063&lt;&gt;"",COUNTIF($A$2:$A$5001,A1063)&gt;1),"NUMERO_PC duplicado",IF(B1063="","DATA_PC vazia",IF(NOT(ISNUMBER(B1063)),"DATA_PC invalida",IF(OR(C1063="",C1063="Fora dos ciclos"),"CICLO_PC nao identificado",IF(OR(D1063="",D1063=0),"VALOR_PC vazio ou zero",IF(AND(G1063&lt;&gt;"Sim",G1063&lt;&gt;"Nao",G1063&lt;&gt;""),"PC_PAGO_A_CONTRATADA invalido",IF(AND(C1063&lt;&gt;"C0",IFERROR(INDEX(parametros!$A$2:$A$6,MATCH(C1063,parametros!$B$2:$B$6,0)),"")="Sim",IFERROR(INDEX(parametros!$H$2:$H$6,MATCH(C1063,parametros!$B$2:$B$6,0)),"")=""),"INICIO_EFEITO ausente: PC "&amp;A1063&amp;" - "&amp;C1063,IF(L1063="","EFEITO_PC nao calculado: PC "&amp;A1063&amp;" - "&amp;C1063,"OK")))))))))</f>
        <v/>
      </c>
      <c r="L1063" s="92" t="str">
        <f>IF(AND(A1063="",B1063="",D1063="",G1063=""),"",IF(OR(B1063="",NOT(ISNUMBER(B1063)),C1063="",C1063="Fora dos ciclos"),"",IF(C1063="C0","Nao",IF(IFERROR(INDEX(parametros!$A$2:$A$6,MATCH(C1063,parametros!$B$2:$B$6,0)),"")&lt;&gt;"Sim","Nao",IF(IFERROR(INDEX(parametros!$H$2:$H$6,MATCH(C1063,parametros!$B$2:$B$6,0)),"")="","",IF(B1063&gt;=IFERROR(INDEX(parametros!$H$2:$H$6,MATCH(C1063,parametros!$B$2:$B$6,0)),""),"Sim","Nao"))))))</f>
        <v/>
      </c>
      <c r="T1063" s="156"/>
      <c r="U1063" s="214" t="str">
        <f t="shared" si="86"/>
        <v/>
      </c>
      <c r="V1063" s="212" t="s">
        <v>50</v>
      </c>
      <c r="W1063" s="100" t="s">
        <v>168</v>
      </c>
      <c r="X1063" s="100" t="s">
        <v>169</v>
      </c>
      <c r="Y1063" s="101" t="s">
        <v>170</v>
      </c>
      <c r="Z1063" s="101" t="s">
        <v>171</v>
      </c>
      <c r="AA1063" s="101" t="s">
        <v>50</v>
      </c>
      <c r="AB1063" s="101" t="s">
        <v>172</v>
      </c>
      <c r="AC1063" s="102" t="s">
        <v>173</v>
      </c>
    </row>
    <row r="1064" spans="1:29" ht="25.5" customHeight="1" x14ac:dyDescent="0.35">
      <c r="A1064" s="392"/>
      <c r="B1064" s="393"/>
      <c r="C1064" s="99" t="str">
        <f>IF(B1064="","",IF(NOT(ISNUMBER(B1064)),"DATA_PC invalida",IF(NOT(ISNUMBER(parametros!$C$2)),"Fora dos ciclos",IF(OR(B1064&lt;parametros!$C$2,(YEAR(B1064)-YEAR(parametros!$C$2))*12+MONTH(B1064)-MONTH(parametros!$C$2)&gt;59),"Fora dos ciclos","C"&amp;INT(((YEAR(B1064)-YEAR(parametros!$C$2))*12+MONTH(B1064)-MONTH(parametros!$C$2))/12)))))</f>
        <v/>
      </c>
      <c r="D1064" s="394"/>
      <c r="E1064" s="78" t="str">
        <f>IF(C1064="","",IFERROR(VLOOKUP(C1064,parametros!$A$11:$E$15,5,0),""))</f>
        <v/>
      </c>
      <c r="F1064" s="79" t="str">
        <f t="shared" si="82"/>
        <v/>
      </c>
      <c r="G1064" s="395"/>
      <c r="H1064" s="91">
        <f t="shared" si="83"/>
        <v>0</v>
      </c>
      <c r="I1064" s="91" t="str">
        <f t="shared" si="84"/>
        <v/>
      </c>
      <c r="J1064" s="91" t="str">
        <f t="shared" si="85"/>
        <v/>
      </c>
      <c r="K1064" s="92" t="str">
        <f>IF(AND(A1064="",B1064="",D1064="",G1064=""),"",IF(AND(A1064&lt;&gt;"",COUNTIF($A$2:$A$5001,A1064)&gt;1),"NUMERO_PC duplicado",IF(B1064="","DATA_PC vazia",IF(NOT(ISNUMBER(B1064)),"DATA_PC invalida",IF(OR(C1064="",C1064="Fora dos ciclos"),"CICLO_PC nao identificado",IF(OR(D1064="",D1064=0),"VALOR_PC vazio ou zero",IF(AND(G1064&lt;&gt;"Sim",G1064&lt;&gt;"Nao",G1064&lt;&gt;""),"PC_PAGO_A_CONTRATADA invalido",IF(AND(C1064&lt;&gt;"C0",IFERROR(INDEX(parametros!$A$2:$A$6,MATCH(C1064,parametros!$B$2:$B$6,0)),"")="Sim",IFERROR(INDEX(parametros!$H$2:$H$6,MATCH(C1064,parametros!$B$2:$B$6,0)),"")=""),"INICIO_EFEITO ausente: PC "&amp;A1064&amp;" - "&amp;C1064,IF(L1064="","EFEITO_PC nao calculado: PC "&amp;A1064&amp;" - "&amp;C1064,"OK")))))))))</f>
        <v/>
      </c>
      <c r="L1064" s="92" t="str">
        <f>IF(AND(A1064="",B1064="",D1064="",G1064=""),"",IF(OR(B1064="",NOT(ISNUMBER(B1064)),C1064="",C1064="Fora dos ciclos"),"",IF(C1064="C0","Nao",IF(IFERROR(INDEX(parametros!$A$2:$A$6,MATCH(C1064,parametros!$B$2:$B$6,0)),"")&lt;&gt;"Sim","Nao",IF(IFERROR(INDEX(parametros!$H$2:$H$6,MATCH(C1064,parametros!$B$2:$B$6,0)),"")="","",IF(B1064&gt;=IFERROR(INDEX(parametros!$H$2:$H$6,MATCH(C1064,parametros!$B$2:$B$6,0)),""),"Sim","Nao"))))))</f>
        <v/>
      </c>
      <c r="T1064" s="156"/>
      <c r="U1064" s="214" t="str">
        <f t="shared" si="86"/>
        <v/>
      </c>
      <c r="V1064" s="212" t="s">
        <v>50</v>
      </c>
      <c r="W1064" s="100" t="s">
        <v>168</v>
      </c>
      <c r="X1064" s="100" t="s">
        <v>169</v>
      </c>
      <c r="Y1064" s="101" t="s">
        <v>170</v>
      </c>
      <c r="Z1064" s="101" t="s">
        <v>171</v>
      </c>
      <c r="AA1064" s="101" t="s">
        <v>50</v>
      </c>
      <c r="AB1064" s="101" t="s">
        <v>172</v>
      </c>
      <c r="AC1064" s="102" t="s">
        <v>173</v>
      </c>
    </row>
    <row r="1065" spans="1:29" ht="25.5" customHeight="1" x14ac:dyDescent="0.35">
      <c r="A1065" s="392"/>
      <c r="B1065" s="393"/>
      <c r="C1065" s="99" t="str">
        <f>IF(B1065="","",IF(NOT(ISNUMBER(B1065)),"DATA_PC invalida",IF(NOT(ISNUMBER(parametros!$C$2)),"Fora dos ciclos",IF(OR(B1065&lt;parametros!$C$2,(YEAR(B1065)-YEAR(parametros!$C$2))*12+MONTH(B1065)-MONTH(parametros!$C$2)&gt;59),"Fora dos ciclos","C"&amp;INT(((YEAR(B1065)-YEAR(parametros!$C$2))*12+MONTH(B1065)-MONTH(parametros!$C$2))/12)))))</f>
        <v/>
      </c>
      <c r="D1065" s="394"/>
      <c r="E1065" s="78" t="str">
        <f>IF(C1065="","",IFERROR(VLOOKUP(C1065,parametros!$A$11:$E$15,5,0),""))</f>
        <v/>
      </c>
      <c r="F1065" s="79" t="str">
        <f t="shared" si="82"/>
        <v/>
      </c>
      <c r="G1065" s="395"/>
      <c r="H1065" s="91">
        <f t="shared" si="83"/>
        <v>0</v>
      </c>
      <c r="I1065" s="91" t="str">
        <f t="shared" si="84"/>
        <v/>
      </c>
      <c r="J1065" s="91" t="str">
        <f t="shared" si="85"/>
        <v/>
      </c>
      <c r="K1065" s="92" t="str">
        <f>IF(AND(A1065="",B1065="",D1065="",G1065=""),"",IF(AND(A1065&lt;&gt;"",COUNTIF($A$2:$A$5001,A1065)&gt;1),"NUMERO_PC duplicado",IF(B1065="","DATA_PC vazia",IF(NOT(ISNUMBER(B1065)),"DATA_PC invalida",IF(OR(C1065="",C1065="Fora dos ciclos"),"CICLO_PC nao identificado",IF(OR(D1065="",D1065=0),"VALOR_PC vazio ou zero",IF(AND(G1065&lt;&gt;"Sim",G1065&lt;&gt;"Nao",G1065&lt;&gt;""),"PC_PAGO_A_CONTRATADA invalido",IF(AND(C1065&lt;&gt;"C0",IFERROR(INDEX(parametros!$A$2:$A$6,MATCH(C1065,parametros!$B$2:$B$6,0)),"")="Sim",IFERROR(INDEX(parametros!$H$2:$H$6,MATCH(C1065,parametros!$B$2:$B$6,0)),"")=""),"INICIO_EFEITO ausente: PC "&amp;A1065&amp;" - "&amp;C1065,IF(L1065="","EFEITO_PC nao calculado: PC "&amp;A1065&amp;" - "&amp;C1065,"OK")))))))))</f>
        <v/>
      </c>
      <c r="L1065" s="92" t="str">
        <f>IF(AND(A1065="",B1065="",D1065="",G1065=""),"",IF(OR(B1065="",NOT(ISNUMBER(B1065)),C1065="",C1065="Fora dos ciclos"),"",IF(C1065="C0","Nao",IF(IFERROR(INDEX(parametros!$A$2:$A$6,MATCH(C1065,parametros!$B$2:$B$6,0)),"")&lt;&gt;"Sim","Nao",IF(IFERROR(INDEX(parametros!$H$2:$H$6,MATCH(C1065,parametros!$B$2:$B$6,0)),"")="","",IF(B1065&gt;=IFERROR(INDEX(parametros!$H$2:$H$6,MATCH(C1065,parametros!$B$2:$B$6,0)),""),"Sim","Nao"))))))</f>
        <v/>
      </c>
      <c r="T1065" s="156"/>
      <c r="U1065" s="214" t="str">
        <f t="shared" si="86"/>
        <v/>
      </c>
      <c r="V1065" s="212" t="s">
        <v>50</v>
      </c>
      <c r="W1065" s="100" t="s">
        <v>168</v>
      </c>
      <c r="X1065" s="100" t="s">
        <v>169</v>
      </c>
      <c r="Y1065" s="101" t="s">
        <v>170</v>
      </c>
      <c r="Z1065" s="101" t="s">
        <v>171</v>
      </c>
      <c r="AA1065" s="101" t="s">
        <v>50</v>
      </c>
      <c r="AB1065" s="101" t="s">
        <v>172</v>
      </c>
      <c r="AC1065" s="102" t="s">
        <v>173</v>
      </c>
    </row>
    <row r="1066" spans="1:29" ht="25.5" customHeight="1" x14ac:dyDescent="0.35">
      <c r="A1066" s="392"/>
      <c r="B1066" s="393"/>
      <c r="C1066" s="99" t="str">
        <f>IF(B1066="","",IF(NOT(ISNUMBER(B1066)),"DATA_PC invalida",IF(NOT(ISNUMBER(parametros!$C$2)),"Fora dos ciclos",IF(OR(B1066&lt;parametros!$C$2,(YEAR(B1066)-YEAR(parametros!$C$2))*12+MONTH(B1066)-MONTH(parametros!$C$2)&gt;59),"Fora dos ciclos","C"&amp;INT(((YEAR(B1066)-YEAR(parametros!$C$2))*12+MONTH(B1066)-MONTH(parametros!$C$2))/12)))))</f>
        <v/>
      </c>
      <c r="D1066" s="394"/>
      <c r="E1066" s="78" t="str">
        <f>IF(C1066="","",IFERROR(VLOOKUP(C1066,parametros!$A$11:$E$15,5,0),""))</f>
        <v/>
      </c>
      <c r="F1066" s="79" t="str">
        <f t="shared" si="82"/>
        <v/>
      </c>
      <c r="G1066" s="395"/>
      <c r="H1066" s="91">
        <f t="shared" si="83"/>
        <v>0</v>
      </c>
      <c r="I1066" s="91" t="str">
        <f t="shared" si="84"/>
        <v/>
      </c>
      <c r="J1066" s="91" t="str">
        <f t="shared" si="85"/>
        <v/>
      </c>
      <c r="K1066" s="92" t="str">
        <f>IF(AND(A1066="",B1066="",D1066="",G1066=""),"",IF(AND(A1066&lt;&gt;"",COUNTIF($A$2:$A$5001,A1066)&gt;1),"NUMERO_PC duplicado",IF(B1066="","DATA_PC vazia",IF(NOT(ISNUMBER(B1066)),"DATA_PC invalida",IF(OR(C1066="",C1066="Fora dos ciclos"),"CICLO_PC nao identificado",IF(OR(D1066="",D1066=0),"VALOR_PC vazio ou zero",IF(AND(G1066&lt;&gt;"Sim",G1066&lt;&gt;"Nao",G1066&lt;&gt;""),"PC_PAGO_A_CONTRATADA invalido",IF(AND(C1066&lt;&gt;"C0",IFERROR(INDEX(parametros!$A$2:$A$6,MATCH(C1066,parametros!$B$2:$B$6,0)),"")="Sim",IFERROR(INDEX(parametros!$H$2:$H$6,MATCH(C1066,parametros!$B$2:$B$6,0)),"")=""),"INICIO_EFEITO ausente: PC "&amp;A1066&amp;" - "&amp;C1066,IF(L1066="","EFEITO_PC nao calculado: PC "&amp;A1066&amp;" - "&amp;C1066,"OK")))))))))</f>
        <v/>
      </c>
      <c r="L1066" s="92" t="str">
        <f>IF(AND(A1066="",B1066="",D1066="",G1066=""),"",IF(OR(B1066="",NOT(ISNUMBER(B1066)),C1066="",C1066="Fora dos ciclos"),"",IF(C1066="C0","Nao",IF(IFERROR(INDEX(parametros!$A$2:$A$6,MATCH(C1066,parametros!$B$2:$B$6,0)),"")&lt;&gt;"Sim","Nao",IF(IFERROR(INDEX(parametros!$H$2:$H$6,MATCH(C1066,parametros!$B$2:$B$6,0)),"")="","",IF(B1066&gt;=IFERROR(INDEX(parametros!$H$2:$H$6,MATCH(C1066,parametros!$B$2:$B$6,0)),""),"Sim","Nao"))))))</f>
        <v/>
      </c>
      <c r="T1066" s="156"/>
      <c r="U1066" s="214" t="str">
        <f t="shared" si="86"/>
        <v/>
      </c>
      <c r="V1066" s="212" t="s">
        <v>50</v>
      </c>
      <c r="W1066" s="100" t="s">
        <v>168</v>
      </c>
      <c r="X1066" s="100" t="s">
        <v>169</v>
      </c>
      <c r="Y1066" s="101" t="s">
        <v>170</v>
      </c>
      <c r="Z1066" s="101" t="s">
        <v>171</v>
      </c>
      <c r="AA1066" s="101" t="s">
        <v>50</v>
      </c>
      <c r="AB1066" s="101" t="s">
        <v>172</v>
      </c>
      <c r="AC1066" s="102" t="s">
        <v>173</v>
      </c>
    </row>
    <row r="1067" spans="1:29" ht="25.5" customHeight="1" x14ac:dyDescent="0.35">
      <c r="A1067" s="392"/>
      <c r="B1067" s="393"/>
      <c r="C1067" s="99" t="str">
        <f>IF(B1067="","",IF(NOT(ISNUMBER(B1067)),"DATA_PC invalida",IF(NOT(ISNUMBER(parametros!$C$2)),"Fora dos ciclos",IF(OR(B1067&lt;parametros!$C$2,(YEAR(B1067)-YEAR(parametros!$C$2))*12+MONTH(B1067)-MONTH(parametros!$C$2)&gt;59),"Fora dos ciclos","C"&amp;INT(((YEAR(B1067)-YEAR(parametros!$C$2))*12+MONTH(B1067)-MONTH(parametros!$C$2))/12)))))</f>
        <v/>
      </c>
      <c r="D1067" s="394"/>
      <c r="E1067" s="78" t="str">
        <f>IF(C1067="","",IFERROR(VLOOKUP(C1067,parametros!$A$11:$E$15,5,0),""))</f>
        <v/>
      </c>
      <c r="F1067" s="79" t="str">
        <f t="shared" si="82"/>
        <v/>
      </c>
      <c r="G1067" s="395"/>
      <c r="H1067" s="91">
        <f t="shared" si="83"/>
        <v>0</v>
      </c>
      <c r="I1067" s="91" t="str">
        <f t="shared" si="84"/>
        <v/>
      </c>
      <c r="J1067" s="91" t="str">
        <f t="shared" si="85"/>
        <v/>
      </c>
      <c r="K1067" s="92" t="str">
        <f>IF(AND(A1067="",B1067="",D1067="",G1067=""),"",IF(AND(A1067&lt;&gt;"",COUNTIF($A$2:$A$5001,A1067)&gt;1),"NUMERO_PC duplicado",IF(B1067="","DATA_PC vazia",IF(NOT(ISNUMBER(B1067)),"DATA_PC invalida",IF(OR(C1067="",C1067="Fora dos ciclos"),"CICLO_PC nao identificado",IF(OR(D1067="",D1067=0),"VALOR_PC vazio ou zero",IF(AND(G1067&lt;&gt;"Sim",G1067&lt;&gt;"Nao",G1067&lt;&gt;""),"PC_PAGO_A_CONTRATADA invalido",IF(AND(C1067&lt;&gt;"C0",IFERROR(INDEX(parametros!$A$2:$A$6,MATCH(C1067,parametros!$B$2:$B$6,0)),"")="Sim",IFERROR(INDEX(parametros!$H$2:$H$6,MATCH(C1067,parametros!$B$2:$B$6,0)),"")=""),"INICIO_EFEITO ausente: PC "&amp;A1067&amp;" - "&amp;C1067,IF(L1067="","EFEITO_PC nao calculado: PC "&amp;A1067&amp;" - "&amp;C1067,"OK")))))))))</f>
        <v/>
      </c>
      <c r="L1067" s="92" t="str">
        <f>IF(AND(A1067="",B1067="",D1067="",G1067=""),"",IF(OR(B1067="",NOT(ISNUMBER(B1067)),C1067="",C1067="Fora dos ciclos"),"",IF(C1067="C0","Nao",IF(IFERROR(INDEX(parametros!$A$2:$A$6,MATCH(C1067,parametros!$B$2:$B$6,0)),"")&lt;&gt;"Sim","Nao",IF(IFERROR(INDEX(parametros!$H$2:$H$6,MATCH(C1067,parametros!$B$2:$B$6,0)),"")="","",IF(B1067&gt;=IFERROR(INDEX(parametros!$H$2:$H$6,MATCH(C1067,parametros!$B$2:$B$6,0)),""),"Sim","Nao"))))))</f>
        <v/>
      </c>
      <c r="T1067" s="156"/>
      <c r="U1067" s="214" t="str">
        <f t="shared" si="86"/>
        <v/>
      </c>
      <c r="V1067" s="212" t="s">
        <v>50</v>
      </c>
      <c r="W1067" s="100" t="s">
        <v>168</v>
      </c>
      <c r="X1067" s="100" t="s">
        <v>169</v>
      </c>
      <c r="Y1067" s="101" t="s">
        <v>170</v>
      </c>
      <c r="Z1067" s="101" t="s">
        <v>171</v>
      </c>
      <c r="AA1067" s="101" t="s">
        <v>50</v>
      </c>
      <c r="AB1067" s="101" t="s">
        <v>172</v>
      </c>
      <c r="AC1067" s="102" t="s">
        <v>173</v>
      </c>
    </row>
    <row r="1068" spans="1:29" ht="25.5" customHeight="1" x14ac:dyDescent="0.35">
      <c r="A1068" s="392"/>
      <c r="B1068" s="393"/>
      <c r="C1068" s="99" t="str">
        <f>IF(B1068="","",IF(NOT(ISNUMBER(B1068)),"DATA_PC invalida",IF(NOT(ISNUMBER(parametros!$C$2)),"Fora dos ciclos",IF(OR(B1068&lt;parametros!$C$2,(YEAR(B1068)-YEAR(parametros!$C$2))*12+MONTH(B1068)-MONTH(parametros!$C$2)&gt;59),"Fora dos ciclos","C"&amp;INT(((YEAR(B1068)-YEAR(parametros!$C$2))*12+MONTH(B1068)-MONTH(parametros!$C$2))/12)))))</f>
        <v/>
      </c>
      <c r="D1068" s="394"/>
      <c r="E1068" s="78" t="str">
        <f>IF(C1068="","",IFERROR(VLOOKUP(C1068,parametros!$A$11:$E$15,5,0),""))</f>
        <v/>
      </c>
      <c r="F1068" s="79" t="str">
        <f t="shared" si="82"/>
        <v/>
      </c>
      <c r="G1068" s="395"/>
      <c r="H1068" s="91">
        <f t="shared" si="83"/>
        <v>0</v>
      </c>
      <c r="I1068" s="91" t="str">
        <f t="shared" si="84"/>
        <v/>
      </c>
      <c r="J1068" s="91" t="str">
        <f t="shared" si="85"/>
        <v/>
      </c>
      <c r="K1068" s="92" t="str">
        <f>IF(AND(A1068="",B1068="",D1068="",G1068=""),"",IF(AND(A1068&lt;&gt;"",COUNTIF($A$2:$A$5001,A1068)&gt;1),"NUMERO_PC duplicado",IF(B1068="","DATA_PC vazia",IF(NOT(ISNUMBER(B1068)),"DATA_PC invalida",IF(OR(C1068="",C1068="Fora dos ciclos"),"CICLO_PC nao identificado",IF(OR(D1068="",D1068=0),"VALOR_PC vazio ou zero",IF(AND(G1068&lt;&gt;"Sim",G1068&lt;&gt;"Nao",G1068&lt;&gt;""),"PC_PAGO_A_CONTRATADA invalido",IF(AND(C1068&lt;&gt;"C0",IFERROR(INDEX(parametros!$A$2:$A$6,MATCH(C1068,parametros!$B$2:$B$6,0)),"")="Sim",IFERROR(INDEX(parametros!$H$2:$H$6,MATCH(C1068,parametros!$B$2:$B$6,0)),"")=""),"INICIO_EFEITO ausente: PC "&amp;A1068&amp;" - "&amp;C1068,IF(L1068="","EFEITO_PC nao calculado: PC "&amp;A1068&amp;" - "&amp;C1068,"OK")))))))))</f>
        <v/>
      </c>
      <c r="L1068" s="92" t="str">
        <f>IF(AND(A1068="",B1068="",D1068="",G1068=""),"",IF(OR(B1068="",NOT(ISNUMBER(B1068)),C1068="",C1068="Fora dos ciclos"),"",IF(C1068="C0","Nao",IF(IFERROR(INDEX(parametros!$A$2:$A$6,MATCH(C1068,parametros!$B$2:$B$6,0)),"")&lt;&gt;"Sim","Nao",IF(IFERROR(INDEX(parametros!$H$2:$H$6,MATCH(C1068,parametros!$B$2:$B$6,0)),"")="","",IF(B1068&gt;=IFERROR(INDEX(parametros!$H$2:$H$6,MATCH(C1068,parametros!$B$2:$B$6,0)),""),"Sim","Nao"))))))</f>
        <v/>
      </c>
      <c r="T1068" s="156"/>
      <c r="U1068" s="214" t="str">
        <f t="shared" si="86"/>
        <v/>
      </c>
      <c r="V1068" s="212" t="s">
        <v>50</v>
      </c>
      <c r="W1068" s="100" t="s">
        <v>168</v>
      </c>
      <c r="X1068" s="100" t="s">
        <v>169</v>
      </c>
      <c r="Y1068" s="101" t="s">
        <v>170</v>
      </c>
      <c r="Z1068" s="101" t="s">
        <v>171</v>
      </c>
      <c r="AA1068" s="101" t="s">
        <v>50</v>
      </c>
      <c r="AB1068" s="101" t="s">
        <v>172</v>
      </c>
      <c r="AC1068" s="102" t="s">
        <v>173</v>
      </c>
    </row>
    <row r="1069" spans="1:29" ht="25.5" customHeight="1" x14ac:dyDescent="0.35">
      <c r="A1069" s="392"/>
      <c r="B1069" s="393"/>
      <c r="C1069" s="99" t="str">
        <f>IF(B1069="","",IF(NOT(ISNUMBER(B1069)),"DATA_PC invalida",IF(NOT(ISNUMBER(parametros!$C$2)),"Fora dos ciclos",IF(OR(B1069&lt;parametros!$C$2,(YEAR(B1069)-YEAR(parametros!$C$2))*12+MONTH(B1069)-MONTH(parametros!$C$2)&gt;59),"Fora dos ciclos","C"&amp;INT(((YEAR(B1069)-YEAR(parametros!$C$2))*12+MONTH(B1069)-MONTH(parametros!$C$2))/12)))))</f>
        <v/>
      </c>
      <c r="D1069" s="394"/>
      <c r="E1069" s="78" t="str">
        <f>IF(C1069="","",IFERROR(VLOOKUP(C1069,parametros!$A$11:$E$15,5,0),""))</f>
        <v/>
      </c>
      <c r="F1069" s="79" t="str">
        <f t="shared" si="82"/>
        <v/>
      </c>
      <c r="G1069" s="395"/>
      <c r="H1069" s="91">
        <f t="shared" si="83"/>
        <v>0</v>
      </c>
      <c r="I1069" s="91" t="str">
        <f t="shared" si="84"/>
        <v/>
      </c>
      <c r="J1069" s="91" t="str">
        <f t="shared" si="85"/>
        <v/>
      </c>
      <c r="K1069" s="92" t="str">
        <f>IF(AND(A1069="",B1069="",D1069="",G1069=""),"",IF(AND(A1069&lt;&gt;"",COUNTIF($A$2:$A$5001,A1069)&gt;1),"NUMERO_PC duplicado",IF(B1069="","DATA_PC vazia",IF(NOT(ISNUMBER(B1069)),"DATA_PC invalida",IF(OR(C1069="",C1069="Fora dos ciclos"),"CICLO_PC nao identificado",IF(OR(D1069="",D1069=0),"VALOR_PC vazio ou zero",IF(AND(G1069&lt;&gt;"Sim",G1069&lt;&gt;"Nao",G1069&lt;&gt;""),"PC_PAGO_A_CONTRATADA invalido",IF(AND(C1069&lt;&gt;"C0",IFERROR(INDEX(parametros!$A$2:$A$6,MATCH(C1069,parametros!$B$2:$B$6,0)),"")="Sim",IFERROR(INDEX(parametros!$H$2:$H$6,MATCH(C1069,parametros!$B$2:$B$6,0)),"")=""),"INICIO_EFEITO ausente: PC "&amp;A1069&amp;" - "&amp;C1069,IF(L1069="","EFEITO_PC nao calculado: PC "&amp;A1069&amp;" - "&amp;C1069,"OK")))))))))</f>
        <v/>
      </c>
      <c r="L1069" s="92" t="str">
        <f>IF(AND(A1069="",B1069="",D1069="",G1069=""),"",IF(OR(B1069="",NOT(ISNUMBER(B1069)),C1069="",C1069="Fora dos ciclos"),"",IF(C1069="C0","Nao",IF(IFERROR(INDEX(parametros!$A$2:$A$6,MATCH(C1069,parametros!$B$2:$B$6,0)),"")&lt;&gt;"Sim","Nao",IF(IFERROR(INDEX(parametros!$H$2:$H$6,MATCH(C1069,parametros!$B$2:$B$6,0)),"")="","",IF(B1069&gt;=IFERROR(INDEX(parametros!$H$2:$H$6,MATCH(C1069,parametros!$B$2:$B$6,0)),""),"Sim","Nao"))))))</f>
        <v/>
      </c>
      <c r="T1069" s="156"/>
      <c r="U1069" s="214" t="str">
        <f t="shared" si="86"/>
        <v/>
      </c>
      <c r="V1069" s="212" t="s">
        <v>50</v>
      </c>
      <c r="W1069" s="100" t="s">
        <v>168</v>
      </c>
      <c r="X1069" s="100" t="s">
        <v>169</v>
      </c>
      <c r="Y1069" s="101" t="s">
        <v>170</v>
      </c>
      <c r="Z1069" s="101" t="s">
        <v>171</v>
      </c>
      <c r="AA1069" s="101" t="s">
        <v>50</v>
      </c>
      <c r="AB1069" s="101" t="s">
        <v>172</v>
      </c>
      <c r="AC1069" s="102" t="s">
        <v>173</v>
      </c>
    </row>
    <row r="1070" spans="1:29" ht="25.5" customHeight="1" x14ac:dyDescent="0.35">
      <c r="A1070" s="392"/>
      <c r="B1070" s="393"/>
      <c r="C1070" s="99" t="str">
        <f>IF(B1070="","",IF(NOT(ISNUMBER(B1070)),"DATA_PC invalida",IF(NOT(ISNUMBER(parametros!$C$2)),"Fora dos ciclos",IF(OR(B1070&lt;parametros!$C$2,(YEAR(B1070)-YEAR(parametros!$C$2))*12+MONTH(B1070)-MONTH(parametros!$C$2)&gt;59),"Fora dos ciclos","C"&amp;INT(((YEAR(B1070)-YEAR(parametros!$C$2))*12+MONTH(B1070)-MONTH(parametros!$C$2))/12)))))</f>
        <v/>
      </c>
      <c r="D1070" s="394"/>
      <c r="E1070" s="78" t="str">
        <f>IF(C1070="","",IFERROR(VLOOKUP(C1070,parametros!$A$11:$E$15,5,0),""))</f>
        <v/>
      </c>
      <c r="F1070" s="79" t="str">
        <f t="shared" si="82"/>
        <v/>
      </c>
      <c r="G1070" s="395"/>
      <c r="H1070" s="91">
        <f t="shared" si="83"/>
        <v>0</v>
      </c>
      <c r="I1070" s="91" t="str">
        <f t="shared" si="84"/>
        <v/>
      </c>
      <c r="J1070" s="91" t="str">
        <f t="shared" si="85"/>
        <v/>
      </c>
      <c r="K1070" s="92" t="str">
        <f>IF(AND(A1070="",B1070="",D1070="",G1070=""),"",IF(AND(A1070&lt;&gt;"",COUNTIF($A$2:$A$5001,A1070)&gt;1),"NUMERO_PC duplicado",IF(B1070="","DATA_PC vazia",IF(NOT(ISNUMBER(B1070)),"DATA_PC invalida",IF(OR(C1070="",C1070="Fora dos ciclos"),"CICLO_PC nao identificado",IF(OR(D1070="",D1070=0),"VALOR_PC vazio ou zero",IF(AND(G1070&lt;&gt;"Sim",G1070&lt;&gt;"Nao",G1070&lt;&gt;""),"PC_PAGO_A_CONTRATADA invalido",IF(AND(C1070&lt;&gt;"C0",IFERROR(INDEX(parametros!$A$2:$A$6,MATCH(C1070,parametros!$B$2:$B$6,0)),"")="Sim",IFERROR(INDEX(parametros!$H$2:$H$6,MATCH(C1070,parametros!$B$2:$B$6,0)),"")=""),"INICIO_EFEITO ausente: PC "&amp;A1070&amp;" - "&amp;C1070,IF(L1070="","EFEITO_PC nao calculado: PC "&amp;A1070&amp;" - "&amp;C1070,"OK")))))))))</f>
        <v/>
      </c>
      <c r="L1070" s="92" t="str">
        <f>IF(AND(A1070="",B1070="",D1070="",G1070=""),"",IF(OR(B1070="",NOT(ISNUMBER(B1070)),C1070="",C1070="Fora dos ciclos"),"",IF(C1070="C0","Nao",IF(IFERROR(INDEX(parametros!$A$2:$A$6,MATCH(C1070,parametros!$B$2:$B$6,0)),"")&lt;&gt;"Sim","Nao",IF(IFERROR(INDEX(parametros!$H$2:$H$6,MATCH(C1070,parametros!$B$2:$B$6,0)),"")="","",IF(B1070&gt;=IFERROR(INDEX(parametros!$H$2:$H$6,MATCH(C1070,parametros!$B$2:$B$6,0)),""),"Sim","Nao"))))))</f>
        <v/>
      </c>
      <c r="T1070" s="156"/>
      <c r="U1070" s="214" t="str">
        <f t="shared" si="86"/>
        <v/>
      </c>
      <c r="V1070" s="212" t="s">
        <v>50</v>
      </c>
      <c r="W1070" s="100" t="s">
        <v>168</v>
      </c>
      <c r="X1070" s="100" t="s">
        <v>169</v>
      </c>
      <c r="Y1070" s="101" t="s">
        <v>170</v>
      </c>
      <c r="Z1070" s="101" t="s">
        <v>171</v>
      </c>
      <c r="AA1070" s="101" t="s">
        <v>50</v>
      </c>
      <c r="AB1070" s="101" t="s">
        <v>172</v>
      </c>
      <c r="AC1070" s="102" t="s">
        <v>173</v>
      </c>
    </row>
    <row r="1071" spans="1:29" ht="25.5" customHeight="1" x14ac:dyDescent="0.35">
      <c r="A1071" s="392"/>
      <c r="B1071" s="393"/>
      <c r="C1071" s="99" t="str">
        <f>IF(B1071="","",IF(NOT(ISNUMBER(B1071)),"DATA_PC invalida",IF(NOT(ISNUMBER(parametros!$C$2)),"Fora dos ciclos",IF(OR(B1071&lt;parametros!$C$2,(YEAR(B1071)-YEAR(parametros!$C$2))*12+MONTH(B1071)-MONTH(parametros!$C$2)&gt;59),"Fora dos ciclos","C"&amp;INT(((YEAR(B1071)-YEAR(parametros!$C$2))*12+MONTH(B1071)-MONTH(parametros!$C$2))/12)))))</f>
        <v/>
      </c>
      <c r="D1071" s="394"/>
      <c r="E1071" s="78" t="str">
        <f>IF(C1071="","",IFERROR(VLOOKUP(C1071,parametros!$A$11:$E$15,5,0),""))</f>
        <v/>
      </c>
      <c r="F1071" s="79" t="str">
        <f t="shared" si="82"/>
        <v/>
      </c>
      <c r="G1071" s="395"/>
      <c r="H1071" s="91">
        <f t="shared" si="83"/>
        <v>0</v>
      </c>
      <c r="I1071" s="91" t="str">
        <f t="shared" si="84"/>
        <v/>
      </c>
      <c r="J1071" s="91" t="str">
        <f t="shared" si="85"/>
        <v/>
      </c>
      <c r="K1071" s="92" t="str">
        <f>IF(AND(A1071="",B1071="",D1071="",G1071=""),"",IF(AND(A1071&lt;&gt;"",COUNTIF($A$2:$A$5001,A1071)&gt;1),"NUMERO_PC duplicado",IF(B1071="","DATA_PC vazia",IF(NOT(ISNUMBER(B1071)),"DATA_PC invalida",IF(OR(C1071="",C1071="Fora dos ciclos"),"CICLO_PC nao identificado",IF(OR(D1071="",D1071=0),"VALOR_PC vazio ou zero",IF(AND(G1071&lt;&gt;"Sim",G1071&lt;&gt;"Nao",G1071&lt;&gt;""),"PC_PAGO_A_CONTRATADA invalido",IF(AND(C1071&lt;&gt;"C0",IFERROR(INDEX(parametros!$A$2:$A$6,MATCH(C1071,parametros!$B$2:$B$6,0)),"")="Sim",IFERROR(INDEX(parametros!$H$2:$H$6,MATCH(C1071,parametros!$B$2:$B$6,0)),"")=""),"INICIO_EFEITO ausente: PC "&amp;A1071&amp;" - "&amp;C1071,IF(L1071="","EFEITO_PC nao calculado: PC "&amp;A1071&amp;" - "&amp;C1071,"OK")))))))))</f>
        <v/>
      </c>
      <c r="L1071" s="92" t="str">
        <f>IF(AND(A1071="",B1071="",D1071="",G1071=""),"",IF(OR(B1071="",NOT(ISNUMBER(B1071)),C1071="",C1071="Fora dos ciclos"),"",IF(C1071="C0","Nao",IF(IFERROR(INDEX(parametros!$A$2:$A$6,MATCH(C1071,parametros!$B$2:$B$6,0)),"")&lt;&gt;"Sim","Nao",IF(IFERROR(INDEX(parametros!$H$2:$H$6,MATCH(C1071,parametros!$B$2:$B$6,0)),"")="","",IF(B1071&gt;=IFERROR(INDEX(parametros!$H$2:$H$6,MATCH(C1071,parametros!$B$2:$B$6,0)),""),"Sim","Nao"))))))</f>
        <v/>
      </c>
      <c r="T1071" s="156"/>
      <c r="U1071" s="214" t="str">
        <f t="shared" si="86"/>
        <v/>
      </c>
      <c r="V1071" s="212" t="s">
        <v>50</v>
      </c>
      <c r="W1071" s="100" t="s">
        <v>168</v>
      </c>
      <c r="X1071" s="100" t="s">
        <v>169</v>
      </c>
      <c r="Y1071" s="101" t="s">
        <v>170</v>
      </c>
      <c r="Z1071" s="101" t="s">
        <v>171</v>
      </c>
      <c r="AA1071" s="101" t="s">
        <v>50</v>
      </c>
      <c r="AB1071" s="101" t="s">
        <v>172</v>
      </c>
      <c r="AC1071" s="102" t="s">
        <v>173</v>
      </c>
    </row>
    <row r="1072" spans="1:29" ht="25.5" customHeight="1" x14ac:dyDescent="0.35">
      <c r="A1072" s="392"/>
      <c r="B1072" s="393"/>
      <c r="C1072" s="99" t="str">
        <f>IF(B1072="","",IF(NOT(ISNUMBER(B1072)),"DATA_PC invalida",IF(NOT(ISNUMBER(parametros!$C$2)),"Fora dos ciclos",IF(OR(B1072&lt;parametros!$C$2,(YEAR(B1072)-YEAR(parametros!$C$2))*12+MONTH(B1072)-MONTH(parametros!$C$2)&gt;59),"Fora dos ciclos","C"&amp;INT(((YEAR(B1072)-YEAR(parametros!$C$2))*12+MONTH(B1072)-MONTH(parametros!$C$2))/12)))))</f>
        <v/>
      </c>
      <c r="D1072" s="394"/>
      <c r="E1072" s="78" t="str">
        <f>IF(C1072="","",IFERROR(VLOOKUP(C1072,parametros!$A$11:$E$15,5,0),""))</f>
        <v/>
      </c>
      <c r="F1072" s="79" t="str">
        <f t="shared" si="82"/>
        <v/>
      </c>
      <c r="G1072" s="395"/>
      <c r="H1072" s="91">
        <f t="shared" si="83"/>
        <v>0</v>
      </c>
      <c r="I1072" s="91" t="str">
        <f t="shared" si="84"/>
        <v/>
      </c>
      <c r="J1072" s="91" t="str">
        <f t="shared" si="85"/>
        <v/>
      </c>
      <c r="K1072" s="92" t="str">
        <f>IF(AND(A1072="",B1072="",D1072="",G1072=""),"",IF(AND(A1072&lt;&gt;"",COUNTIF($A$2:$A$5001,A1072)&gt;1),"NUMERO_PC duplicado",IF(B1072="","DATA_PC vazia",IF(NOT(ISNUMBER(B1072)),"DATA_PC invalida",IF(OR(C1072="",C1072="Fora dos ciclos"),"CICLO_PC nao identificado",IF(OR(D1072="",D1072=0),"VALOR_PC vazio ou zero",IF(AND(G1072&lt;&gt;"Sim",G1072&lt;&gt;"Nao",G1072&lt;&gt;""),"PC_PAGO_A_CONTRATADA invalido",IF(AND(C1072&lt;&gt;"C0",IFERROR(INDEX(parametros!$A$2:$A$6,MATCH(C1072,parametros!$B$2:$B$6,0)),"")="Sim",IFERROR(INDEX(parametros!$H$2:$H$6,MATCH(C1072,parametros!$B$2:$B$6,0)),"")=""),"INICIO_EFEITO ausente: PC "&amp;A1072&amp;" - "&amp;C1072,IF(L1072="","EFEITO_PC nao calculado: PC "&amp;A1072&amp;" - "&amp;C1072,"OK")))))))))</f>
        <v/>
      </c>
      <c r="L1072" s="92" t="str">
        <f>IF(AND(A1072="",B1072="",D1072="",G1072=""),"",IF(OR(B1072="",NOT(ISNUMBER(B1072)),C1072="",C1072="Fora dos ciclos"),"",IF(C1072="C0","Nao",IF(IFERROR(INDEX(parametros!$A$2:$A$6,MATCH(C1072,parametros!$B$2:$B$6,0)),"")&lt;&gt;"Sim","Nao",IF(IFERROR(INDEX(parametros!$H$2:$H$6,MATCH(C1072,parametros!$B$2:$B$6,0)),"")="","",IF(B1072&gt;=IFERROR(INDEX(parametros!$H$2:$H$6,MATCH(C1072,parametros!$B$2:$B$6,0)),""),"Sim","Nao"))))))</f>
        <v/>
      </c>
      <c r="T1072" s="156"/>
      <c r="U1072" s="214" t="str">
        <f t="shared" si="86"/>
        <v/>
      </c>
      <c r="V1072" s="212" t="s">
        <v>50</v>
      </c>
      <c r="W1072" s="100" t="s">
        <v>168</v>
      </c>
      <c r="X1072" s="100" t="s">
        <v>169</v>
      </c>
      <c r="Y1072" s="101" t="s">
        <v>170</v>
      </c>
      <c r="Z1072" s="101" t="s">
        <v>171</v>
      </c>
      <c r="AA1072" s="101" t="s">
        <v>50</v>
      </c>
      <c r="AB1072" s="101" t="s">
        <v>172</v>
      </c>
      <c r="AC1072" s="102" t="s">
        <v>173</v>
      </c>
    </row>
    <row r="1073" spans="1:29" ht="25.5" customHeight="1" x14ac:dyDescent="0.35">
      <c r="A1073" s="392"/>
      <c r="B1073" s="393"/>
      <c r="C1073" s="99" t="str">
        <f>IF(B1073="","",IF(NOT(ISNUMBER(B1073)),"DATA_PC invalida",IF(NOT(ISNUMBER(parametros!$C$2)),"Fora dos ciclos",IF(OR(B1073&lt;parametros!$C$2,(YEAR(B1073)-YEAR(parametros!$C$2))*12+MONTH(B1073)-MONTH(parametros!$C$2)&gt;59),"Fora dos ciclos","C"&amp;INT(((YEAR(B1073)-YEAR(parametros!$C$2))*12+MONTH(B1073)-MONTH(parametros!$C$2))/12)))))</f>
        <v/>
      </c>
      <c r="D1073" s="394"/>
      <c r="E1073" s="78" t="str">
        <f>IF(C1073="","",IFERROR(VLOOKUP(C1073,parametros!$A$11:$E$15,5,0),""))</f>
        <v/>
      </c>
      <c r="F1073" s="79" t="str">
        <f t="shared" si="82"/>
        <v/>
      </c>
      <c r="G1073" s="395"/>
      <c r="H1073" s="91">
        <f t="shared" si="83"/>
        <v>0</v>
      </c>
      <c r="I1073" s="91" t="str">
        <f t="shared" si="84"/>
        <v/>
      </c>
      <c r="J1073" s="91" t="str">
        <f t="shared" si="85"/>
        <v/>
      </c>
      <c r="K1073" s="92" t="str">
        <f>IF(AND(A1073="",B1073="",D1073="",G1073=""),"",IF(AND(A1073&lt;&gt;"",COUNTIF($A$2:$A$5001,A1073)&gt;1),"NUMERO_PC duplicado",IF(B1073="","DATA_PC vazia",IF(NOT(ISNUMBER(B1073)),"DATA_PC invalida",IF(OR(C1073="",C1073="Fora dos ciclos"),"CICLO_PC nao identificado",IF(OR(D1073="",D1073=0),"VALOR_PC vazio ou zero",IF(AND(G1073&lt;&gt;"Sim",G1073&lt;&gt;"Nao",G1073&lt;&gt;""),"PC_PAGO_A_CONTRATADA invalido",IF(AND(C1073&lt;&gt;"C0",IFERROR(INDEX(parametros!$A$2:$A$6,MATCH(C1073,parametros!$B$2:$B$6,0)),"")="Sim",IFERROR(INDEX(parametros!$H$2:$H$6,MATCH(C1073,parametros!$B$2:$B$6,0)),"")=""),"INICIO_EFEITO ausente: PC "&amp;A1073&amp;" - "&amp;C1073,IF(L1073="","EFEITO_PC nao calculado: PC "&amp;A1073&amp;" - "&amp;C1073,"OK")))))))))</f>
        <v/>
      </c>
      <c r="L1073" s="92" t="str">
        <f>IF(AND(A1073="",B1073="",D1073="",G1073=""),"",IF(OR(B1073="",NOT(ISNUMBER(B1073)),C1073="",C1073="Fora dos ciclos"),"",IF(C1073="C0","Nao",IF(IFERROR(INDEX(parametros!$A$2:$A$6,MATCH(C1073,parametros!$B$2:$B$6,0)),"")&lt;&gt;"Sim","Nao",IF(IFERROR(INDEX(parametros!$H$2:$H$6,MATCH(C1073,parametros!$B$2:$B$6,0)),"")="","",IF(B1073&gt;=IFERROR(INDEX(parametros!$H$2:$H$6,MATCH(C1073,parametros!$B$2:$B$6,0)),""),"Sim","Nao"))))))</f>
        <v/>
      </c>
      <c r="T1073" s="156"/>
      <c r="U1073" s="214" t="str">
        <f t="shared" si="86"/>
        <v/>
      </c>
      <c r="V1073" s="212" t="s">
        <v>50</v>
      </c>
      <c r="W1073" s="100" t="s">
        <v>168</v>
      </c>
      <c r="X1073" s="100" t="s">
        <v>169</v>
      </c>
      <c r="Y1073" s="101" t="s">
        <v>170</v>
      </c>
      <c r="Z1073" s="101" t="s">
        <v>171</v>
      </c>
      <c r="AA1073" s="101" t="s">
        <v>50</v>
      </c>
      <c r="AB1073" s="101" t="s">
        <v>172</v>
      </c>
      <c r="AC1073" s="102" t="s">
        <v>173</v>
      </c>
    </row>
    <row r="1074" spans="1:29" ht="25.5" customHeight="1" x14ac:dyDescent="0.35">
      <c r="A1074" s="392"/>
      <c r="B1074" s="393"/>
      <c r="C1074" s="99" t="str">
        <f>IF(B1074="","",IF(NOT(ISNUMBER(B1074)),"DATA_PC invalida",IF(NOT(ISNUMBER(parametros!$C$2)),"Fora dos ciclos",IF(OR(B1074&lt;parametros!$C$2,(YEAR(B1074)-YEAR(parametros!$C$2))*12+MONTH(B1074)-MONTH(parametros!$C$2)&gt;59),"Fora dos ciclos","C"&amp;INT(((YEAR(B1074)-YEAR(parametros!$C$2))*12+MONTH(B1074)-MONTH(parametros!$C$2))/12)))))</f>
        <v/>
      </c>
      <c r="D1074" s="394"/>
      <c r="E1074" s="78" t="str">
        <f>IF(C1074="","",IFERROR(VLOOKUP(C1074,parametros!$A$11:$E$15,5,0),""))</f>
        <v/>
      </c>
      <c r="F1074" s="79" t="str">
        <f t="shared" si="82"/>
        <v/>
      </c>
      <c r="G1074" s="395"/>
      <c r="H1074" s="91">
        <f t="shared" si="83"/>
        <v>0</v>
      </c>
      <c r="I1074" s="91" t="str">
        <f t="shared" si="84"/>
        <v/>
      </c>
      <c r="J1074" s="91" t="str">
        <f t="shared" si="85"/>
        <v/>
      </c>
      <c r="K1074" s="92" t="str">
        <f>IF(AND(A1074="",B1074="",D1074="",G1074=""),"",IF(AND(A1074&lt;&gt;"",COUNTIF($A$2:$A$5001,A1074)&gt;1),"NUMERO_PC duplicado",IF(B1074="","DATA_PC vazia",IF(NOT(ISNUMBER(B1074)),"DATA_PC invalida",IF(OR(C1074="",C1074="Fora dos ciclos"),"CICLO_PC nao identificado",IF(OR(D1074="",D1074=0),"VALOR_PC vazio ou zero",IF(AND(G1074&lt;&gt;"Sim",G1074&lt;&gt;"Nao",G1074&lt;&gt;""),"PC_PAGO_A_CONTRATADA invalido",IF(AND(C1074&lt;&gt;"C0",IFERROR(INDEX(parametros!$A$2:$A$6,MATCH(C1074,parametros!$B$2:$B$6,0)),"")="Sim",IFERROR(INDEX(parametros!$H$2:$H$6,MATCH(C1074,parametros!$B$2:$B$6,0)),"")=""),"INICIO_EFEITO ausente: PC "&amp;A1074&amp;" - "&amp;C1074,IF(L1074="","EFEITO_PC nao calculado: PC "&amp;A1074&amp;" - "&amp;C1074,"OK")))))))))</f>
        <v/>
      </c>
      <c r="L1074" s="92" t="str">
        <f>IF(AND(A1074="",B1074="",D1074="",G1074=""),"",IF(OR(B1074="",NOT(ISNUMBER(B1074)),C1074="",C1074="Fora dos ciclos"),"",IF(C1074="C0","Nao",IF(IFERROR(INDEX(parametros!$A$2:$A$6,MATCH(C1074,parametros!$B$2:$B$6,0)),"")&lt;&gt;"Sim","Nao",IF(IFERROR(INDEX(parametros!$H$2:$H$6,MATCH(C1074,parametros!$B$2:$B$6,0)),"")="","",IF(B1074&gt;=IFERROR(INDEX(parametros!$H$2:$H$6,MATCH(C1074,parametros!$B$2:$B$6,0)),""),"Sim","Nao"))))))</f>
        <v/>
      </c>
      <c r="T1074" s="156"/>
      <c r="U1074" s="214" t="str">
        <f t="shared" si="86"/>
        <v/>
      </c>
      <c r="V1074" s="212" t="s">
        <v>50</v>
      </c>
      <c r="W1074" s="100" t="s">
        <v>168</v>
      </c>
      <c r="X1074" s="100" t="s">
        <v>169</v>
      </c>
      <c r="Y1074" s="101" t="s">
        <v>170</v>
      </c>
      <c r="Z1074" s="101" t="s">
        <v>171</v>
      </c>
      <c r="AA1074" s="101" t="s">
        <v>50</v>
      </c>
      <c r="AB1074" s="101" t="s">
        <v>172</v>
      </c>
      <c r="AC1074" s="102" t="s">
        <v>173</v>
      </c>
    </row>
    <row r="1075" spans="1:29" ht="25.5" customHeight="1" x14ac:dyDescent="0.35">
      <c r="A1075" s="392"/>
      <c r="B1075" s="393"/>
      <c r="C1075" s="99" t="str">
        <f>IF(B1075="","",IF(NOT(ISNUMBER(B1075)),"DATA_PC invalida",IF(NOT(ISNUMBER(parametros!$C$2)),"Fora dos ciclos",IF(OR(B1075&lt;parametros!$C$2,(YEAR(B1075)-YEAR(parametros!$C$2))*12+MONTH(B1075)-MONTH(parametros!$C$2)&gt;59),"Fora dos ciclos","C"&amp;INT(((YEAR(B1075)-YEAR(parametros!$C$2))*12+MONTH(B1075)-MONTH(parametros!$C$2))/12)))))</f>
        <v/>
      </c>
      <c r="D1075" s="394"/>
      <c r="E1075" s="78" t="str">
        <f>IF(C1075="","",IFERROR(VLOOKUP(C1075,parametros!$A$11:$E$15,5,0),""))</f>
        <v/>
      </c>
      <c r="F1075" s="79" t="str">
        <f t="shared" si="82"/>
        <v/>
      </c>
      <c r="G1075" s="395"/>
      <c r="H1075" s="91">
        <f t="shared" si="83"/>
        <v>0</v>
      </c>
      <c r="I1075" s="91" t="str">
        <f t="shared" si="84"/>
        <v/>
      </c>
      <c r="J1075" s="91" t="str">
        <f t="shared" si="85"/>
        <v/>
      </c>
      <c r="K1075" s="92" t="str">
        <f>IF(AND(A1075="",B1075="",D1075="",G1075=""),"",IF(AND(A1075&lt;&gt;"",COUNTIF($A$2:$A$5001,A1075)&gt;1),"NUMERO_PC duplicado",IF(B1075="","DATA_PC vazia",IF(NOT(ISNUMBER(B1075)),"DATA_PC invalida",IF(OR(C1075="",C1075="Fora dos ciclos"),"CICLO_PC nao identificado",IF(OR(D1075="",D1075=0),"VALOR_PC vazio ou zero",IF(AND(G1075&lt;&gt;"Sim",G1075&lt;&gt;"Nao",G1075&lt;&gt;""),"PC_PAGO_A_CONTRATADA invalido",IF(AND(C1075&lt;&gt;"C0",IFERROR(INDEX(parametros!$A$2:$A$6,MATCH(C1075,parametros!$B$2:$B$6,0)),"")="Sim",IFERROR(INDEX(parametros!$H$2:$H$6,MATCH(C1075,parametros!$B$2:$B$6,0)),"")=""),"INICIO_EFEITO ausente: PC "&amp;A1075&amp;" - "&amp;C1075,IF(L1075="","EFEITO_PC nao calculado: PC "&amp;A1075&amp;" - "&amp;C1075,"OK")))))))))</f>
        <v/>
      </c>
      <c r="L1075" s="92" t="str">
        <f>IF(AND(A1075="",B1075="",D1075="",G1075=""),"",IF(OR(B1075="",NOT(ISNUMBER(B1075)),C1075="",C1075="Fora dos ciclos"),"",IF(C1075="C0","Nao",IF(IFERROR(INDEX(parametros!$A$2:$A$6,MATCH(C1075,parametros!$B$2:$B$6,0)),"")&lt;&gt;"Sim","Nao",IF(IFERROR(INDEX(parametros!$H$2:$H$6,MATCH(C1075,parametros!$B$2:$B$6,0)),"")="","",IF(B1075&gt;=IFERROR(INDEX(parametros!$H$2:$H$6,MATCH(C1075,parametros!$B$2:$B$6,0)),""),"Sim","Nao"))))))</f>
        <v/>
      </c>
      <c r="T1075" s="156"/>
      <c r="U1075" s="214" t="str">
        <f t="shared" si="86"/>
        <v/>
      </c>
      <c r="V1075" s="212" t="s">
        <v>50</v>
      </c>
      <c r="W1075" s="100" t="s">
        <v>168</v>
      </c>
      <c r="X1075" s="100" t="s">
        <v>169</v>
      </c>
      <c r="Y1075" s="101" t="s">
        <v>170</v>
      </c>
      <c r="Z1075" s="101" t="s">
        <v>171</v>
      </c>
      <c r="AA1075" s="101" t="s">
        <v>50</v>
      </c>
      <c r="AB1075" s="101" t="s">
        <v>172</v>
      </c>
      <c r="AC1075" s="102" t="s">
        <v>173</v>
      </c>
    </row>
    <row r="1076" spans="1:29" ht="25.5" customHeight="1" x14ac:dyDescent="0.35">
      <c r="A1076" s="392"/>
      <c r="B1076" s="393"/>
      <c r="C1076" s="99" t="str">
        <f>IF(B1076="","",IF(NOT(ISNUMBER(B1076)),"DATA_PC invalida",IF(NOT(ISNUMBER(parametros!$C$2)),"Fora dos ciclos",IF(OR(B1076&lt;parametros!$C$2,(YEAR(B1076)-YEAR(parametros!$C$2))*12+MONTH(B1076)-MONTH(parametros!$C$2)&gt;59),"Fora dos ciclos","C"&amp;INT(((YEAR(B1076)-YEAR(parametros!$C$2))*12+MONTH(B1076)-MONTH(parametros!$C$2))/12)))))</f>
        <v/>
      </c>
      <c r="D1076" s="394"/>
      <c r="E1076" s="78" t="str">
        <f>IF(C1076="","",IFERROR(VLOOKUP(C1076,parametros!$A$11:$E$15,5,0),""))</f>
        <v/>
      </c>
      <c r="F1076" s="79" t="str">
        <f t="shared" si="82"/>
        <v/>
      </c>
      <c r="G1076" s="395"/>
      <c r="H1076" s="91">
        <f t="shared" si="83"/>
        <v>0</v>
      </c>
      <c r="I1076" s="91" t="str">
        <f t="shared" si="84"/>
        <v/>
      </c>
      <c r="J1076" s="91" t="str">
        <f t="shared" si="85"/>
        <v/>
      </c>
      <c r="K1076" s="92" t="str">
        <f>IF(AND(A1076="",B1076="",D1076="",G1076=""),"",IF(AND(A1076&lt;&gt;"",COUNTIF($A$2:$A$5001,A1076)&gt;1),"NUMERO_PC duplicado",IF(B1076="","DATA_PC vazia",IF(NOT(ISNUMBER(B1076)),"DATA_PC invalida",IF(OR(C1076="",C1076="Fora dos ciclos"),"CICLO_PC nao identificado",IF(OR(D1076="",D1076=0),"VALOR_PC vazio ou zero",IF(AND(G1076&lt;&gt;"Sim",G1076&lt;&gt;"Nao",G1076&lt;&gt;""),"PC_PAGO_A_CONTRATADA invalido",IF(AND(C1076&lt;&gt;"C0",IFERROR(INDEX(parametros!$A$2:$A$6,MATCH(C1076,parametros!$B$2:$B$6,0)),"")="Sim",IFERROR(INDEX(parametros!$H$2:$H$6,MATCH(C1076,parametros!$B$2:$B$6,0)),"")=""),"INICIO_EFEITO ausente: PC "&amp;A1076&amp;" - "&amp;C1076,IF(L1076="","EFEITO_PC nao calculado: PC "&amp;A1076&amp;" - "&amp;C1076,"OK")))))))))</f>
        <v/>
      </c>
      <c r="L1076" s="92" t="str">
        <f>IF(AND(A1076="",B1076="",D1076="",G1076=""),"",IF(OR(B1076="",NOT(ISNUMBER(B1076)),C1076="",C1076="Fora dos ciclos"),"",IF(C1076="C0","Nao",IF(IFERROR(INDEX(parametros!$A$2:$A$6,MATCH(C1076,parametros!$B$2:$B$6,0)),"")&lt;&gt;"Sim","Nao",IF(IFERROR(INDEX(parametros!$H$2:$H$6,MATCH(C1076,parametros!$B$2:$B$6,0)),"")="","",IF(B1076&gt;=IFERROR(INDEX(parametros!$H$2:$H$6,MATCH(C1076,parametros!$B$2:$B$6,0)),""),"Sim","Nao"))))))</f>
        <v/>
      </c>
      <c r="T1076" s="156"/>
      <c r="U1076" s="214" t="str">
        <f t="shared" si="86"/>
        <v/>
      </c>
      <c r="V1076" s="212" t="s">
        <v>50</v>
      </c>
      <c r="W1076" s="100" t="s">
        <v>168</v>
      </c>
      <c r="X1076" s="100" t="s">
        <v>169</v>
      </c>
      <c r="Y1076" s="101" t="s">
        <v>170</v>
      </c>
      <c r="Z1076" s="101" t="s">
        <v>171</v>
      </c>
      <c r="AA1076" s="101" t="s">
        <v>50</v>
      </c>
      <c r="AB1076" s="101" t="s">
        <v>172</v>
      </c>
      <c r="AC1076" s="102" t="s">
        <v>173</v>
      </c>
    </row>
    <row r="1077" spans="1:29" ht="25.5" customHeight="1" x14ac:dyDescent="0.35">
      <c r="A1077" s="392"/>
      <c r="B1077" s="393"/>
      <c r="C1077" s="99" t="str">
        <f>IF(B1077="","",IF(NOT(ISNUMBER(B1077)),"DATA_PC invalida",IF(NOT(ISNUMBER(parametros!$C$2)),"Fora dos ciclos",IF(OR(B1077&lt;parametros!$C$2,(YEAR(B1077)-YEAR(parametros!$C$2))*12+MONTH(B1077)-MONTH(parametros!$C$2)&gt;59),"Fora dos ciclos","C"&amp;INT(((YEAR(B1077)-YEAR(parametros!$C$2))*12+MONTH(B1077)-MONTH(parametros!$C$2))/12)))))</f>
        <v/>
      </c>
      <c r="D1077" s="394"/>
      <c r="E1077" s="78" t="str">
        <f>IF(C1077="","",IFERROR(VLOOKUP(C1077,parametros!$A$11:$E$15,5,0),""))</f>
        <v/>
      </c>
      <c r="F1077" s="79" t="str">
        <f t="shared" si="82"/>
        <v/>
      </c>
      <c r="G1077" s="395"/>
      <c r="H1077" s="91">
        <f t="shared" si="83"/>
        <v>0</v>
      </c>
      <c r="I1077" s="91" t="str">
        <f t="shared" si="84"/>
        <v/>
      </c>
      <c r="J1077" s="91" t="str">
        <f t="shared" si="85"/>
        <v/>
      </c>
      <c r="K1077" s="92" t="str">
        <f>IF(AND(A1077="",B1077="",D1077="",G1077=""),"",IF(AND(A1077&lt;&gt;"",COUNTIF($A$2:$A$5001,A1077)&gt;1),"NUMERO_PC duplicado",IF(B1077="","DATA_PC vazia",IF(NOT(ISNUMBER(B1077)),"DATA_PC invalida",IF(OR(C1077="",C1077="Fora dos ciclos"),"CICLO_PC nao identificado",IF(OR(D1077="",D1077=0),"VALOR_PC vazio ou zero",IF(AND(G1077&lt;&gt;"Sim",G1077&lt;&gt;"Nao",G1077&lt;&gt;""),"PC_PAGO_A_CONTRATADA invalido",IF(AND(C1077&lt;&gt;"C0",IFERROR(INDEX(parametros!$A$2:$A$6,MATCH(C1077,parametros!$B$2:$B$6,0)),"")="Sim",IFERROR(INDEX(parametros!$H$2:$H$6,MATCH(C1077,parametros!$B$2:$B$6,0)),"")=""),"INICIO_EFEITO ausente: PC "&amp;A1077&amp;" - "&amp;C1077,IF(L1077="","EFEITO_PC nao calculado: PC "&amp;A1077&amp;" - "&amp;C1077,"OK")))))))))</f>
        <v/>
      </c>
      <c r="L1077" s="92" t="str">
        <f>IF(AND(A1077="",B1077="",D1077="",G1077=""),"",IF(OR(B1077="",NOT(ISNUMBER(B1077)),C1077="",C1077="Fora dos ciclos"),"",IF(C1077="C0","Nao",IF(IFERROR(INDEX(parametros!$A$2:$A$6,MATCH(C1077,parametros!$B$2:$B$6,0)),"")&lt;&gt;"Sim","Nao",IF(IFERROR(INDEX(parametros!$H$2:$H$6,MATCH(C1077,parametros!$B$2:$B$6,0)),"")="","",IF(B1077&gt;=IFERROR(INDEX(parametros!$H$2:$H$6,MATCH(C1077,parametros!$B$2:$B$6,0)),""),"Sim","Nao"))))))</f>
        <v/>
      </c>
      <c r="T1077" s="156"/>
      <c r="U1077" s="214" t="str">
        <f t="shared" si="86"/>
        <v/>
      </c>
      <c r="V1077" s="212" t="s">
        <v>50</v>
      </c>
      <c r="W1077" s="100" t="s">
        <v>168</v>
      </c>
      <c r="X1077" s="100" t="s">
        <v>169</v>
      </c>
      <c r="Y1077" s="101" t="s">
        <v>170</v>
      </c>
      <c r="Z1077" s="101" t="s">
        <v>171</v>
      </c>
      <c r="AA1077" s="101" t="s">
        <v>50</v>
      </c>
      <c r="AB1077" s="101" t="s">
        <v>172</v>
      </c>
      <c r="AC1077" s="102" t="s">
        <v>173</v>
      </c>
    </row>
    <row r="1078" spans="1:29" ht="25.5" customHeight="1" x14ac:dyDescent="0.35">
      <c r="A1078" s="392"/>
      <c r="B1078" s="393"/>
      <c r="C1078" s="99" t="str">
        <f>IF(B1078="","",IF(NOT(ISNUMBER(B1078)),"DATA_PC invalida",IF(NOT(ISNUMBER(parametros!$C$2)),"Fora dos ciclos",IF(OR(B1078&lt;parametros!$C$2,(YEAR(B1078)-YEAR(parametros!$C$2))*12+MONTH(B1078)-MONTH(parametros!$C$2)&gt;59),"Fora dos ciclos","C"&amp;INT(((YEAR(B1078)-YEAR(parametros!$C$2))*12+MONTH(B1078)-MONTH(parametros!$C$2))/12)))))</f>
        <v/>
      </c>
      <c r="D1078" s="394"/>
      <c r="E1078" s="78" t="str">
        <f>IF(C1078="","",IFERROR(VLOOKUP(C1078,parametros!$A$11:$E$15,5,0),""))</f>
        <v/>
      </c>
      <c r="F1078" s="79" t="str">
        <f t="shared" si="82"/>
        <v/>
      </c>
      <c r="G1078" s="395"/>
      <c r="H1078" s="91">
        <f t="shared" si="83"/>
        <v>0</v>
      </c>
      <c r="I1078" s="91" t="str">
        <f t="shared" si="84"/>
        <v/>
      </c>
      <c r="J1078" s="91" t="str">
        <f t="shared" si="85"/>
        <v/>
      </c>
      <c r="K1078" s="92" t="str">
        <f>IF(AND(A1078="",B1078="",D1078="",G1078=""),"",IF(AND(A1078&lt;&gt;"",COUNTIF($A$2:$A$5001,A1078)&gt;1),"NUMERO_PC duplicado",IF(B1078="","DATA_PC vazia",IF(NOT(ISNUMBER(B1078)),"DATA_PC invalida",IF(OR(C1078="",C1078="Fora dos ciclos"),"CICLO_PC nao identificado",IF(OR(D1078="",D1078=0),"VALOR_PC vazio ou zero",IF(AND(G1078&lt;&gt;"Sim",G1078&lt;&gt;"Nao",G1078&lt;&gt;""),"PC_PAGO_A_CONTRATADA invalido",IF(AND(C1078&lt;&gt;"C0",IFERROR(INDEX(parametros!$A$2:$A$6,MATCH(C1078,parametros!$B$2:$B$6,0)),"")="Sim",IFERROR(INDEX(parametros!$H$2:$H$6,MATCH(C1078,parametros!$B$2:$B$6,0)),"")=""),"INICIO_EFEITO ausente: PC "&amp;A1078&amp;" - "&amp;C1078,IF(L1078="","EFEITO_PC nao calculado: PC "&amp;A1078&amp;" - "&amp;C1078,"OK")))))))))</f>
        <v/>
      </c>
      <c r="L1078" s="92" t="str">
        <f>IF(AND(A1078="",B1078="",D1078="",G1078=""),"",IF(OR(B1078="",NOT(ISNUMBER(B1078)),C1078="",C1078="Fora dos ciclos"),"",IF(C1078="C0","Nao",IF(IFERROR(INDEX(parametros!$A$2:$A$6,MATCH(C1078,parametros!$B$2:$B$6,0)),"")&lt;&gt;"Sim","Nao",IF(IFERROR(INDEX(parametros!$H$2:$H$6,MATCH(C1078,parametros!$B$2:$B$6,0)),"")="","",IF(B1078&gt;=IFERROR(INDEX(parametros!$H$2:$H$6,MATCH(C1078,parametros!$B$2:$B$6,0)),""),"Sim","Nao"))))))</f>
        <v/>
      </c>
      <c r="T1078" s="156"/>
      <c r="U1078" s="214" t="str">
        <f t="shared" si="86"/>
        <v/>
      </c>
      <c r="V1078" s="212" t="s">
        <v>50</v>
      </c>
      <c r="W1078" s="100" t="s">
        <v>168</v>
      </c>
      <c r="X1078" s="100" t="s">
        <v>169</v>
      </c>
      <c r="Y1078" s="101" t="s">
        <v>170</v>
      </c>
      <c r="Z1078" s="101" t="s">
        <v>171</v>
      </c>
      <c r="AA1078" s="101" t="s">
        <v>50</v>
      </c>
      <c r="AB1078" s="101" t="s">
        <v>172</v>
      </c>
      <c r="AC1078" s="102" t="s">
        <v>173</v>
      </c>
    </row>
    <row r="1079" spans="1:29" ht="25.5" customHeight="1" x14ac:dyDescent="0.35">
      <c r="A1079" s="392"/>
      <c r="B1079" s="393"/>
      <c r="C1079" s="99" t="str">
        <f>IF(B1079="","",IF(NOT(ISNUMBER(B1079)),"DATA_PC invalida",IF(NOT(ISNUMBER(parametros!$C$2)),"Fora dos ciclos",IF(OR(B1079&lt;parametros!$C$2,(YEAR(B1079)-YEAR(parametros!$C$2))*12+MONTH(B1079)-MONTH(parametros!$C$2)&gt;59),"Fora dos ciclos","C"&amp;INT(((YEAR(B1079)-YEAR(parametros!$C$2))*12+MONTH(B1079)-MONTH(parametros!$C$2))/12)))))</f>
        <v/>
      </c>
      <c r="D1079" s="394"/>
      <c r="E1079" s="78" t="str">
        <f>IF(C1079="","",IFERROR(VLOOKUP(C1079,parametros!$A$11:$E$15,5,0),""))</f>
        <v/>
      </c>
      <c r="F1079" s="79" t="str">
        <f t="shared" si="82"/>
        <v/>
      </c>
      <c r="G1079" s="395"/>
      <c r="H1079" s="91">
        <f t="shared" si="83"/>
        <v>0</v>
      </c>
      <c r="I1079" s="91" t="str">
        <f t="shared" si="84"/>
        <v/>
      </c>
      <c r="J1079" s="91" t="str">
        <f t="shared" si="85"/>
        <v/>
      </c>
      <c r="K1079" s="92" t="str">
        <f>IF(AND(A1079="",B1079="",D1079="",G1079=""),"",IF(AND(A1079&lt;&gt;"",COUNTIF($A$2:$A$5001,A1079)&gt;1),"NUMERO_PC duplicado",IF(B1079="","DATA_PC vazia",IF(NOT(ISNUMBER(B1079)),"DATA_PC invalida",IF(OR(C1079="",C1079="Fora dos ciclos"),"CICLO_PC nao identificado",IF(OR(D1079="",D1079=0),"VALOR_PC vazio ou zero",IF(AND(G1079&lt;&gt;"Sim",G1079&lt;&gt;"Nao",G1079&lt;&gt;""),"PC_PAGO_A_CONTRATADA invalido",IF(AND(C1079&lt;&gt;"C0",IFERROR(INDEX(parametros!$A$2:$A$6,MATCH(C1079,parametros!$B$2:$B$6,0)),"")="Sim",IFERROR(INDEX(parametros!$H$2:$H$6,MATCH(C1079,parametros!$B$2:$B$6,0)),"")=""),"INICIO_EFEITO ausente: PC "&amp;A1079&amp;" - "&amp;C1079,IF(L1079="","EFEITO_PC nao calculado: PC "&amp;A1079&amp;" - "&amp;C1079,"OK")))))))))</f>
        <v/>
      </c>
      <c r="L1079" s="92" t="str">
        <f>IF(AND(A1079="",B1079="",D1079="",G1079=""),"",IF(OR(B1079="",NOT(ISNUMBER(B1079)),C1079="",C1079="Fora dos ciclos"),"",IF(C1079="C0","Nao",IF(IFERROR(INDEX(parametros!$A$2:$A$6,MATCH(C1079,parametros!$B$2:$B$6,0)),"")&lt;&gt;"Sim","Nao",IF(IFERROR(INDEX(parametros!$H$2:$H$6,MATCH(C1079,parametros!$B$2:$B$6,0)),"")="","",IF(B1079&gt;=IFERROR(INDEX(parametros!$H$2:$H$6,MATCH(C1079,parametros!$B$2:$B$6,0)),""),"Sim","Nao"))))))</f>
        <v/>
      </c>
      <c r="T1079" s="156"/>
      <c r="U1079" s="214" t="str">
        <f t="shared" si="86"/>
        <v/>
      </c>
      <c r="V1079" s="212" t="s">
        <v>50</v>
      </c>
      <c r="W1079" s="100" t="s">
        <v>168</v>
      </c>
      <c r="X1079" s="100" t="s">
        <v>169</v>
      </c>
      <c r="Y1079" s="101" t="s">
        <v>170</v>
      </c>
      <c r="Z1079" s="101" t="s">
        <v>171</v>
      </c>
      <c r="AA1079" s="101" t="s">
        <v>50</v>
      </c>
      <c r="AB1079" s="101" t="s">
        <v>172</v>
      </c>
      <c r="AC1079" s="102" t="s">
        <v>173</v>
      </c>
    </row>
    <row r="1080" spans="1:29" ht="25.5" customHeight="1" x14ac:dyDescent="0.35">
      <c r="A1080" s="392"/>
      <c r="B1080" s="393"/>
      <c r="C1080" s="99" t="str">
        <f>IF(B1080="","",IF(NOT(ISNUMBER(B1080)),"DATA_PC invalida",IF(NOT(ISNUMBER(parametros!$C$2)),"Fora dos ciclos",IF(OR(B1080&lt;parametros!$C$2,(YEAR(B1080)-YEAR(parametros!$C$2))*12+MONTH(B1080)-MONTH(parametros!$C$2)&gt;59),"Fora dos ciclos","C"&amp;INT(((YEAR(B1080)-YEAR(parametros!$C$2))*12+MONTH(B1080)-MONTH(parametros!$C$2))/12)))))</f>
        <v/>
      </c>
      <c r="D1080" s="394"/>
      <c r="E1080" s="78" t="str">
        <f>IF(C1080="","",IFERROR(VLOOKUP(C1080,parametros!$A$11:$E$15,5,0),""))</f>
        <v/>
      </c>
      <c r="F1080" s="79" t="str">
        <f t="shared" si="82"/>
        <v/>
      </c>
      <c r="G1080" s="395"/>
      <c r="H1080" s="91">
        <f t="shared" si="83"/>
        <v>0</v>
      </c>
      <c r="I1080" s="91" t="str">
        <f t="shared" si="84"/>
        <v/>
      </c>
      <c r="J1080" s="91" t="str">
        <f t="shared" si="85"/>
        <v/>
      </c>
      <c r="K1080" s="92" t="str">
        <f>IF(AND(A1080="",B1080="",D1080="",G1080=""),"",IF(AND(A1080&lt;&gt;"",COUNTIF($A$2:$A$5001,A1080)&gt;1),"NUMERO_PC duplicado",IF(B1080="","DATA_PC vazia",IF(NOT(ISNUMBER(B1080)),"DATA_PC invalida",IF(OR(C1080="",C1080="Fora dos ciclos"),"CICLO_PC nao identificado",IF(OR(D1080="",D1080=0),"VALOR_PC vazio ou zero",IF(AND(G1080&lt;&gt;"Sim",G1080&lt;&gt;"Nao",G1080&lt;&gt;""),"PC_PAGO_A_CONTRATADA invalido",IF(AND(C1080&lt;&gt;"C0",IFERROR(INDEX(parametros!$A$2:$A$6,MATCH(C1080,parametros!$B$2:$B$6,0)),"")="Sim",IFERROR(INDEX(parametros!$H$2:$H$6,MATCH(C1080,parametros!$B$2:$B$6,0)),"")=""),"INICIO_EFEITO ausente: PC "&amp;A1080&amp;" - "&amp;C1080,IF(L1080="","EFEITO_PC nao calculado: PC "&amp;A1080&amp;" - "&amp;C1080,"OK")))))))))</f>
        <v/>
      </c>
      <c r="L1080" s="92" t="str">
        <f>IF(AND(A1080="",B1080="",D1080="",G1080=""),"",IF(OR(B1080="",NOT(ISNUMBER(B1080)),C1080="",C1080="Fora dos ciclos"),"",IF(C1080="C0","Nao",IF(IFERROR(INDEX(parametros!$A$2:$A$6,MATCH(C1080,parametros!$B$2:$B$6,0)),"")&lt;&gt;"Sim","Nao",IF(IFERROR(INDEX(parametros!$H$2:$H$6,MATCH(C1080,parametros!$B$2:$B$6,0)),"")="","",IF(B1080&gt;=IFERROR(INDEX(parametros!$H$2:$H$6,MATCH(C1080,parametros!$B$2:$B$6,0)),""),"Sim","Nao"))))))</f>
        <v/>
      </c>
      <c r="T1080" s="156"/>
      <c r="U1080" s="214" t="str">
        <f t="shared" si="86"/>
        <v/>
      </c>
      <c r="V1080" s="212" t="s">
        <v>50</v>
      </c>
      <c r="W1080" s="100" t="s">
        <v>168</v>
      </c>
      <c r="X1080" s="100" t="s">
        <v>169</v>
      </c>
      <c r="Y1080" s="101" t="s">
        <v>170</v>
      </c>
      <c r="Z1080" s="101" t="s">
        <v>171</v>
      </c>
      <c r="AA1080" s="101" t="s">
        <v>50</v>
      </c>
      <c r="AB1080" s="101" t="s">
        <v>172</v>
      </c>
      <c r="AC1080" s="102" t="s">
        <v>173</v>
      </c>
    </row>
    <row r="1081" spans="1:29" ht="25.5" customHeight="1" x14ac:dyDescent="0.35">
      <c r="A1081" s="392"/>
      <c r="B1081" s="393"/>
      <c r="C1081" s="99" t="str">
        <f>IF(B1081="","",IF(NOT(ISNUMBER(B1081)),"DATA_PC invalida",IF(NOT(ISNUMBER(parametros!$C$2)),"Fora dos ciclos",IF(OR(B1081&lt;parametros!$C$2,(YEAR(B1081)-YEAR(parametros!$C$2))*12+MONTH(B1081)-MONTH(parametros!$C$2)&gt;59),"Fora dos ciclos","C"&amp;INT(((YEAR(B1081)-YEAR(parametros!$C$2))*12+MONTH(B1081)-MONTH(parametros!$C$2))/12)))))</f>
        <v/>
      </c>
      <c r="D1081" s="394"/>
      <c r="E1081" s="78" t="str">
        <f>IF(C1081="","",IFERROR(VLOOKUP(C1081,parametros!$A$11:$E$15,5,0),""))</f>
        <v/>
      </c>
      <c r="F1081" s="79" t="str">
        <f t="shared" si="82"/>
        <v/>
      </c>
      <c r="G1081" s="395"/>
      <c r="H1081" s="91">
        <f t="shared" si="83"/>
        <v>0</v>
      </c>
      <c r="I1081" s="91" t="str">
        <f t="shared" si="84"/>
        <v/>
      </c>
      <c r="J1081" s="91" t="str">
        <f t="shared" si="85"/>
        <v/>
      </c>
      <c r="K1081" s="92" t="str">
        <f>IF(AND(A1081="",B1081="",D1081="",G1081=""),"",IF(AND(A1081&lt;&gt;"",COUNTIF($A$2:$A$5001,A1081)&gt;1),"NUMERO_PC duplicado",IF(B1081="","DATA_PC vazia",IF(NOT(ISNUMBER(B1081)),"DATA_PC invalida",IF(OR(C1081="",C1081="Fora dos ciclos"),"CICLO_PC nao identificado",IF(OR(D1081="",D1081=0),"VALOR_PC vazio ou zero",IF(AND(G1081&lt;&gt;"Sim",G1081&lt;&gt;"Nao",G1081&lt;&gt;""),"PC_PAGO_A_CONTRATADA invalido",IF(AND(C1081&lt;&gt;"C0",IFERROR(INDEX(parametros!$A$2:$A$6,MATCH(C1081,parametros!$B$2:$B$6,0)),"")="Sim",IFERROR(INDEX(parametros!$H$2:$H$6,MATCH(C1081,parametros!$B$2:$B$6,0)),"")=""),"INICIO_EFEITO ausente: PC "&amp;A1081&amp;" - "&amp;C1081,IF(L1081="","EFEITO_PC nao calculado: PC "&amp;A1081&amp;" - "&amp;C1081,"OK")))))))))</f>
        <v/>
      </c>
      <c r="L1081" s="92" t="str">
        <f>IF(AND(A1081="",B1081="",D1081="",G1081=""),"",IF(OR(B1081="",NOT(ISNUMBER(B1081)),C1081="",C1081="Fora dos ciclos"),"",IF(C1081="C0","Nao",IF(IFERROR(INDEX(parametros!$A$2:$A$6,MATCH(C1081,parametros!$B$2:$B$6,0)),"")&lt;&gt;"Sim","Nao",IF(IFERROR(INDEX(parametros!$H$2:$H$6,MATCH(C1081,parametros!$B$2:$B$6,0)),"")="","",IF(B1081&gt;=IFERROR(INDEX(parametros!$H$2:$H$6,MATCH(C1081,parametros!$B$2:$B$6,0)),""),"Sim","Nao"))))))</f>
        <v/>
      </c>
      <c r="T1081" s="156"/>
      <c r="U1081" s="214" t="str">
        <f t="shared" si="86"/>
        <v/>
      </c>
      <c r="V1081" s="212" t="s">
        <v>50</v>
      </c>
      <c r="W1081" s="100" t="s">
        <v>168</v>
      </c>
      <c r="X1081" s="100" t="s">
        <v>169</v>
      </c>
      <c r="Y1081" s="101" t="s">
        <v>170</v>
      </c>
      <c r="Z1081" s="101" t="s">
        <v>171</v>
      </c>
      <c r="AA1081" s="101" t="s">
        <v>50</v>
      </c>
      <c r="AB1081" s="101" t="s">
        <v>172</v>
      </c>
      <c r="AC1081" s="102" t="s">
        <v>173</v>
      </c>
    </row>
    <row r="1082" spans="1:29" ht="25.5" customHeight="1" x14ac:dyDescent="0.35">
      <c r="A1082" s="392"/>
      <c r="B1082" s="393"/>
      <c r="C1082" s="99" t="str">
        <f>IF(B1082="","",IF(NOT(ISNUMBER(B1082)),"DATA_PC invalida",IF(NOT(ISNUMBER(parametros!$C$2)),"Fora dos ciclos",IF(OR(B1082&lt;parametros!$C$2,(YEAR(B1082)-YEAR(parametros!$C$2))*12+MONTH(B1082)-MONTH(parametros!$C$2)&gt;59),"Fora dos ciclos","C"&amp;INT(((YEAR(B1082)-YEAR(parametros!$C$2))*12+MONTH(B1082)-MONTH(parametros!$C$2))/12)))))</f>
        <v/>
      </c>
      <c r="D1082" s="394"/>
      <c r="E1082" s="78" t="str">
        <f>IF(C1082="","",IFERROR(VLOOKUP(C1082,parametros!$A$11:$E$15,5,0),""))</f>
        <v/>
      </c>
      <c r="F1082" s="79" t="str">
        <f t="shared" si="82"/>
        <v/>
      </c>
      <c r="G1082" s="395"/>
      <c r="H1082" s="91">
        <f t="shared" si="83"/>
        <v>0</v>
      </c>
      <c r="I1082" s="91" t="str">
        <f t="shared" si="84"/>
        <v/>
      </c>
      <c r="J1082" s="91" t="str">
        <f t="shared" si="85"/>
        <v/>
      </c>
      <c r="K1082" s="92" t="str">
        <f>IF(AND(A1082="",B1082="",D1082="",G1082=""),"",IF(AND(A1082&lt;&gt;"",COUNTIF($A$2:$A$5001,A1082)&gt;1),"NUMERO_PC duplicado",IF(B1082="","DATA_PC vazia",IF(NOT(ISNUMBER(B1082)),"DATA_PC invalida",IF(OR(C1082="",C1082="Fora dos ciclos"),"CICLO_PC nao identificado",IF(OR(D1082="",D1082=0),"VALOR_PC vazio ou zero",IF(AND(G1082&lt;&gt;"Sim",G1082&lt;&gt;"Nao",G1082&lt;&gt;""),"PC_PAGO_A_CONTRATADA invalido",IF(AND(C1082&lt;&gt;"C0",IFERROR(INDEX(parametros!$A$2:$A$6,MATCH(C1082,parametros!$B$2:$B$6,0)),"")="Sim",IFERROR(INDEX(parametros!$H$2:$H$6,MATCH(C1082,parametros!$B$2:$B$6,0)),"")=""),"INICIO_EFEITO ausente: PC "&amp;A1082&amp;" - "&amp;C1082,IF(L1082="","EFEITO_PC nao calculado: PC "&amp;A1082&amp;" - "&amp;C1082,"OK")))))))))</f>
        <v/>
      </c>
      <c r="L1082" s="92" t="str">
        <f>IF(AND(A1082="",B1082="",D1082="",G1082=""),"",IF(OR(B1082="",NOT(ISNUMBER(B1082)),C1082="",C1082="Fora dos ciclos"),"",IF(C1082="C0","Nao",IF(IFERROR(INDEX(parametros!$A$2:$A$6,MATCH(C1082,parametros!$B$2:$B$6,0)),"")&lt;&gt;"Sim","Nao",IF(IFERROR(INDEX(parametros!$H$2:$H$6,MATCH(C1082,parametros!$B$2:$B$6,0)),"")="","",IF(B1082&gt;=IFERROR(INDEX(parametros!$H$2:$H$6,MATCH(C1082,parametros!$B$2:$B$6,0)),""),"Sim","Nao"))))))</f>
        <v/>
      </c>
      <c r="T1082" s="156"/>
      <c r="U1082" s="214" t="str">
        <f t="shared" si="86"/>
        <v/>
      </c>
      <c r="V1082" s="212" t="s">
        <v>50</v>
      </c>
      <c r="W1082" s="100" t="s">
        <v>168</v>
      </c>
      <c r="X1082" s="100" t="s">
        <v>169</v>
      </c>
      <c r="Y1082" s="101" t="s">
        <v>170</v>
      </c>
      <c r="Z1082" s="101" t="s">
        <v>171</v>
      </c>
      <c r="AA1082" s="101" t="s">
        <v>50</v>
      </c>
      <c r="AB1082" s="101" t="s">
        <v>172</v>
      </c>
      <c r="AC1082" s="102" t="s">
        <v>173</v>
      </c>
    </row>
    <row r="1083" spans="1:29" ht="25.5" customHeight="1" x14ac:dyDescent="0.35">
      <c r="A1083" s="392"/>
      <c r="B1083" s="393"/>
      <c r="C1083" s="99" t="str">
        <f>IF(B1083="","",IF(NOT(ISNUMBER(B1083)),"DATA_PC invalida",IF(NOT(ISNUMBER(parametros!$C$2)),"Fora dos ciclos",IF(OR(B1083&lt;parametros!$C$2,(YEAR(B1083)-YEAR(parametros!$C$2))*12+MONTH(B1083)-MONTH(parametros!$C$2)&gt;59),"Fora dos ciclos","C"&amp;INT(((YEAR(B1083)-YEAR(parametros!$C$2))*12+MONTH(B1083)-MONTH(parametros!$C$2))/12)))))</f>
        <v/>
      </c>
      <c r="D1083" s="394"/>
      <c r="E1083" s="78" t="str">
        <f>IF(C1083="","",IFERROR(VLOOKUP(C1083,parametros!$A$11:$E$15,5,0),""))</f>
        <v/>
      </c>
      <c r="F1083" s="79" t="str">
        <f t="shared" si="82"/>
        <v/>
      </c>
      <c r="G1083" s="395"/>
      <c r="H1083" s="91">
        <f t="shared" si="83"/>
        <v>0</v>
      </c>
      <c r="I1083" s="91" t="str">
        <f t="shared" si="84"/>
        <v/>
      </c>
      <c r="J1083" s="91" t="str">
        <f t="shared" si="85"/>
        <v/>
      </c>
      <c r="K1083" s="92" t="str">
        <f>IF(AND(A1083="",B1083="",D1083="",G1083=""),"",IF(AND(A1083&lt;&gt;"",COUNTIF($A$2:$A$5001,A1083)&gt;1),"NUMERO_PC duplicado",IF(B1083="","DATA_PC vazia",IF(NOT(ISNUMBER(B1083)),"DATA_PC invalida",IF(OR(C1083="",C1083="Fora dos ciclos"),"CICLO_PC nao identificado",IF(OR(D1083="",D1083=0),"VALOR_PC vazio ou zero",IF(AND(G1083&lt;&gt;"Sim",G1083&lt;&gt;"Nao",G1083&lt;&gt;""),"PC_PAGO_A_CONTRATADA invalido",IF(AND(C1083&lt;&gt;"C0",IFERROR(INDEX(parametros!$A$2:$A$6,MATCH(C1083,parametros!$B$2:$B$6,0)),"")="Sim",IFERROR(INDEX(parametros!$H$2:$H$6,MATCH(C1083,parametros!$B$2:$B$6,0)),"")=""),"INICIO_EFEITO ausente: PC "&amp;A1083&amp;" - "&amp;C1083,IF(L1083="","EFEITO_PC nao calculado: PC "&amp;A1083&amp;" - "&amp;C1083,"OK")))))))))</f>
        <v/>
      </c>
      <c r="L1083" s="92" t="str">
        <f>IF(AND(A1083="",B1083="",D1083="",G1083=""),"",IF(OR(B1083="",NOT(ISNUMBER(B1083)),C1083="",C1083="Fora dos ciclos"),"",IF(C1083="C0","Nao",IF(IFERROR(INDEX(parametros!$A$2:$A$6,MATCH(C1083,parametros!$B$2:$B$6,0)),"")&lt;&gt;"Sim","Nao",IF(IFERROR(INDEX(parametros!$H$2:$H$6,MATCH(C1083,parametros!$B$2:$B$6,0)),"")="","",IF(B1083&gt;=IFERROR(INDEX(parametros!$H$2:$H$6,MATCH(C1083,parametros!$B$2:$B$6,0)),""),"Sim","Nao"))))))</f>
        <v/>
      </c>
      <c r="T1083" s="156"/>
      <c r="U1083" s="214" t="str">
        <f t="shared" si="86"/>
        <v/>
      </c>
      <c r="V1083" s="212" t="s">
        <v>50</v>
      </c>
      <c r="W1083" s="100" t="s">
        <v>168</v>
      </c>
      <c r="X1083" s="100" t="s">
        <v>169</v>
      </c>
      <c r="Y1083" s="101" t="s">
        <v>170</v>
      </c>
      <c r="Z1083" s="101" t="s">
        <v>171</v>
      </c>
      <c r="AA1083" s="101" t="s">
        <v>50</v>
      </c>
      <c r="AB1083" s="101" t="s">
        <v>172</v>
      </c>
      <c r="AC1083" s="102" t="s">
        <v>173</v>
      </c>
    </row>
    <row r="1084" spans="1:29" ht="25.5" customHeight="1" x14ac:dyDescent="0.35">
      <c r="A1084" s="392"/>
      <c r="B1084" s="393"/>
      <c r="C1084" s="99" t="str">
        <f>IF(B1084="","",IF(NOT(ISNUMBER(B1084)),"DATA_PC invalida",IF(NOT(ISNUMBER(parametros!$C$2)),"Fora dos ciclos",IF(OR(B1084&lt;parametros!$C$2,(YEAR(B1084)-YEAR(parametros!$C$2))*12+MONTH(B1084)-MONTH(parametros!$C$2)&gt;59),"Fora dos ciclos","C"&amp;INT(((YEAR(B1084)-YEAR(parametros!$C$2))*12+MONTH(B1084)-MONTH(parametros!$C$2))/12)))))</f>
        <v/>
      </c>
      <c r="D1084" s="394"/>
      <c r="E1084" s="78" t="str">
        <f>IF(C1084="","",IFERROR(VLOOKUP(C1084,parametros!$A$11:$E$15,5,0),""))</f>
        <v/>
      </c>
      <c r="F1084" s="79" t="str">
        <f t="shared" si="82"/>
        <v/>
      </c>
      <c r="G1084" s="395"/>
      <c r="H1084" s="91">
        <f t="shared" si="83"/>
        <v>0</v>
      </c>
      <c r="I1084" s="91" t="str">
        <f t="shared" si="84"/>
        <v/>
      </c>
      <c r="J1084" s="91" t="str">
        <f t="shared" si="85"/>
        <v/>
      </c>
      <c r="K1084" s="92" t="str">
        <f>IF(AND(A1084="",B1084="",D1084="",G1084=""),"",IF(AND(A1084&lt;&gt;"",COUNTIF($A$2:$A$5001,A1084)&gt;1),"NUMERO_PC duplicado",IF(B1084="","DATA_PC vazia",IF(NOT(ISNUMBER(B1084)),"DATA_PC invalida",IF(OR(C1084="",C1084="Fora dos ciclos"),"CICLO_PC nao identificado",IF(OR(D1084="",D1084=0),"VALOR_PC vazio ou zero",IF(AND(G1084&lt;&gt;"Sim",G1084&lt;&gt;"Nao",G1084&lt;&gt;""),"PC_PAGO_A_CONTRATADA invalido",IF(AND(C1084&lt;&gt;"C0",IFERROR(INDEX(parametros!$A$2:$A$6,MATCH(C1084,parametros!$B$2:$B$6,0)),"")="Sim",IFERROR(INDEX(parametros!$H$2:$H$6,MATCH(C1084,parametros!$B$2:$B$6,0)),"")=""),"INICIO_EFEITO ausente: PC "&amp;A1084&amp;" - "&amp;C1084,IF(L1084="","EFEITO_PC nao calculado: PC "&amp;A1084&amp;" - "&amp;C1084,"OK")))))))))</f>
        <v/>
      </c>
      <c r="L1084" s="92" t="str">
        <f>IF(AND(A1084="",B1084="",D1084="",G1084=""),"",IF(OR(B1084="",NOT(ISNUMBER(B1084)),C1084="",C1084="Fora dos ciclos"),"",IF(C1084="C0","Nao",IF(IFERROR(INDEX(parametros!$A$2:$A$6,MATCH(C1084,parametros!$B$2:$B$6,0)),"")&lt;&gt;"Sim","Nao",IF(IFERROR(INDEX(parametros!$H$2:$H$6,MATCH(C1084,parametros!$B$2:$B$6,0)),"")="","",IF(B1084&gt;=IFERROR(INDEX(parametros!$H$2:$H$6,MATCH(C1084,parametros!$B$2:$B$6,0)),""),"Sim","Nao"))))))</f>
        <v/>
      </c>
      <c r="T1084" s="156"/>
      <c r="U1084" s="214" t="str">
        <f t="shared" si="86"/>
        <v/>
      </c>
      <c r="V1084" s="212" t="s">
        <v>50</v>
      </c>
      <c r="W1084" s="100" t="s">
        <v>168</v>
      </c>
      <c r="X1084" s="100" t="s">
        <v>169</v>
      </c>
      <c r="Y1084" s="101" t="s">
        <v>170</v>
      </c>
      <c r="Z1084" s="101" t="s">
        <v>171</v>
      </c>
      <c r="AA1084" s="101" t="s">
        <v>50</v>
      </c>
      <c r="AB1084" s="101" t="s">
        <v>172</v>
      </c>
      <c r="AC1084" s="102" t="s">
        <v>173</v>
      </c>
    </row>
    <row r="1085" spans="1:29" ht="25.5" customHeight="1" x14ac:dyDescent="0.35">
      <c r="A1085" s="392"/>
      <c r="B1085" s="393"/>
      <c r="C1085" s="99" t="str">
        <f>IF(B1085="","",IF(NOT(ISNUMBER(B1085)),"DATA_PC invalida",IF(NOT(ISNUMBER(parametros!$C$2)),"Fora dos ciclos",IF(OR(B1085&lt;parametros!$C$2,(YEAR(B1085)-YEAR(parametros!$C$2))*12+MONTH(B1085)-MONTH(parametros!$C$2)&gt;59),"Fora dos ciclos","C"&amp;INT(((YEAR(B1085)-YEAR(parametros!$C$2))*12+MONTH(B1085)-MONTH(parametros!$C$2))/12)))))</f>
        <v/>
      </c>
      <c r="D1085" s="394"/>
      <c r="E1085" s="78" t="str">
        <f>IF(C1085="","",IFERROR(VLOOKUP(C1085,parametros!$A$11:$E$15,5,0),""))</f>
        <v/>
      </c>
      <c r="F1085" s="79" t="str">
        <f t="shared" si="82"/>
        <v/>
      </c>
      <c r="G1085" s="395"/>
      <c r="H1085" s="91">
        <f t="shared" si="83"/>
        <v>0</v>
      </c>
      <c r="I1085" s="91" t="str">
        <f t="shared" si="84"/>
        <v/>
      </c>
      <c r="J1085" s="91" t="str">
        <f t="shared" si="85"/>
        <v/>
      </c>
      <c r="K1085" s="92" t="str">
        <f>IF(AND(A1085="",B1085="",D1085="",G1085=""),"",IF(AND(A1085&lt;&gt;"",COUNTIF($A$2:$A$5001,A1085)&gt;1),"NUMERO_PC duplicado",IF(B1085="","DATA_PC vazia",IF(NOT(ISNUMBER(B1085)),"DATA_PC invalida",IF(OR(C1085="",C1085="Fora dos ciclos"),"CICLO_PC nao identificado",IF(OR(D1085="",D1085=0),"VALOR_PC vazio ou zero",IF(AND(G1085&lt;&gt;"Sim",G1085&lt;&gt;"Nao",G1085&lt;&gt;""),"PC_PAGO_A_CONTRATADA invalido",IF(AND(C1085&lt;&gt;"C0",IFERROR(INDEX(parametros!$A$2:$A$6,MATCH(C1085,parametros!$B$2:$B$6,0)),"")="Sim",IFERROR(INDEX(parametros!$H$2:$H$6,MATCH(C1085,parametros!$B$2:$B$6,0)),"")=""),"INICIO_EFEITO ausente: PC "&amp;A1085&amp;" - "&amp;C1085,IF(L1085="","EFEITO_PC nao calculado: PC "&amp;A1085&amp;" - "&amp;C1085,"OK")))))))))</f>
        <v/>
      </c>
      <c r="L1085" s="92" t="str">
        <f>IF(AND(A1085="",B1085="",D1085="",G1085=""),"",IF(OR(B1085="",NOT(ISNUMBER(B1085)),C1085="",C1085="Fora dos ciclos"),"",IF(C1085="C0","Nao",IF(IFERROR(INDEX(parametros!$A$2:$A$6,MATCH(C1085,parametros!$B$2:$B$6,0)),"")&lt;&gt;"Sim","Nao",IF(IFERROR(INDEX(parametros!$H$2:$H$6,MATCH(C1085,parametros!$B$2:$B$6,0)),"")="","",IF(B1085&gt;=IFERROR(INDEX(parametros!$H$2:$H$6,MATCH(C1085,parametros!$B$2:$B$6,0)),""),"Sim","Nao"))))))</f>
        <v/>
      </c>
      <c r="T1085" s="156"/>
      <c r="U1085" s="214" t="str">
        <f t="shared" si="86"/>
        <v/>
      </c>
      <c r="V1085" s="212" t="s">
        <v>50</v>
      </c>
      <c r="W1085" s="100" t="s">
        <v>168</v>
      </c>
      <c r="X1085" s="100" t="s">
        <v>169</v>
      </c>
      <c r="Y1085" s="101" t="s">
        <v>170</v>
      </c>
      <c r="Z1085" s="101" t="s">
        <v>171</v>
      </c>
      <c r="AA1085" s="101" t="s">
        <v>50</v>
      </c>
      <c r="AB1085" s="101" t="s">
        <v>172</v>
      </c>
      <c r="AC1085" s="102" t="s">
        <v>173</v>
      </c>
    </row>
    <row r="1086" spans="1:29" ht="25.5" customHeight="1" x14ac:dyDescent="0.35">
      <c r="A1086" s="392"/>
      <c r="B1086" s="393"/>
      <c r="C1086" s="99" t="str">
        <f>IF(B1086="","",IF(NOT(ISNUMBER(B1086)),"DATA_PC invalida",IF(NOT(ISNUMBER(parametros!$C$2)),"Fora dos ciclos",IF(OR(B1086&lt;parametros!$C$2,(YEAR(B1086)-YEAR(parametros!$C$2))*12+MONTH(B1086)-MONTH(parametros!$C$2)&gt;59),"Fora dos ciclos","C"&amp;INT(((YEAR(B1086)-YEAR(parametros!$C$2))*12+MONTH(B1086)-MONTH(parametros!$C$2))/12)))))</f>
        <v/>
      </c>
      <c r="D1086" s="394"/>
      <c r="E1086" s="78" t="str">
        <f>IF(C1086="","",IFERROR(VLOOKUP(C1086,parametros!$A$11:$E$15,5,0),""))</f>
        <v/>
      </c>
      <c r="F1086" s="79" t="str">
        <f t="shared" si="82"/>
        <v/>
      </c>
      <c r="G1086" s="395"/>
      <c r="H1086" s="91">
        <f t="shared" si="83"/>
        <v>0</v>
      </c>
      <c r="I1086" s="91" t="str">
        <f t="shared" si="84"/>
        <v/>
      </c>
      <c r="J1086" s="91" t="str">
        <f t="shared" si="85"/>
        <v/>
      </c>
      <c r="K1086" s="92" t="str">
        <f>IF(AND(A1086="",B1086="",D1086="",G1086=""),"",IF(AND(A1086&lt;&gt;"",COUNTIF($A$2:$A$5001,A1086)&gt;1),"NUMERO_PC duplicado",IF(B1086="","DATA_PC vazia",IF(NOT(ISNUMBER(B1086)),"DATA_PC invalida",IF(OR(C1086="",C1086="Fora dos ciclos"),"CICLO_PC nao identificado",IF(OR(D1086="",D1086=0),"VALOR_PC vazio ou zero",IF(AND(G1086&lt;&gt;"Sim",G1086&lt;&gt;"Nao",G1086&lt;&gt;""),"PC_PAGO_A_CONTRATADA invalido",IF(AND(C1086&lt;&gt;"C0",IFERROR(INDEX(parametros!$A$2:$A$6,MATCH(C1086,parametros!$B$2:$B$6,0)),"")="Sim",IFERROR(INDEX(parametros!$H$2:$H$6,MATCH(C1086,parametros!$B$2:$B$6,0)),"")=""),"INICIO_EFEITO ausente: PC "&amp;A1086&amp;" - "&amp;C1086,IF(L1086="","EFEITO_PC nao calculado: PC "&amp;A1086&amp;" - "&amp;C1086,"OK")))))))))</f>
        <v/>
      </c>
      <c r="L1086" s="92" t="str">
        <f>IF(AND(A1086="",B1086="",D1086="",G1086=""),"",IF(OR(B1086="",NOT(ISNUMBER(B1086)),C1086="",C1086="Fora dos ciclos"),"",IF(C1086="C0","Nao",IF(IFERROR(INDEX(parametros!$A$2:$A$6,MATCH(C1086,parametros!$B$2:$B$6,0)),"")&lt;&gt;"Sim","Nao",IF(IFERROR(INDEX(parametros!$H$2:$H$6,MATCH(C1086,parametros!$B$2:$B$6,0)),"")="","",IF(B1086&gt;=IFERROR(INDEX(parametros!$H$2:$H$6,MATCH(C1086,parametros!$B$2:$B$6,0)),""),"Sim","Nao"))))))</f>
        <v/>
      </c>
      <c r="T1086" s="156"/>
      <c r="U1086" s="214" t="str">
        <f t="shared" si="86"/>
        <v/>
      </c>
      <c r="V1086" s="212" t="s">
        <v>50</v>
      </c>
      <c r="W1086" s="100" t="s">
        <v>168</v>
      </c>
      <c r="X1086" s="100" t="s">
        <v>169</v>
      </c>
      <c r="Y1086" s="101" t="s">
        <v>170</v>
      </c>
      <c r="Z1086" s="101" t="s">
        <v>171</v>
      </c>
      <c r="AA1086" s="101" t="s">
        <v>50</v>
      </c>
      <c r="AB1086" s="101" t="s">
        <v>172</v>
      </c>
      <c r="AC1086" s="102" t="s">
        <v>173</v>
      </c>
    </row>
    <row r="1087" spans="1:29" ht="25.5" customHeight="1" x14ac:dyDescent="0.35">
      <c r="A1087" s="392"/>
      <c r="B1087" s="393"/>
      <c r="C1087" s="99" t="str">
        <f>IF(B1087="","",IF(NOT(ISNUMBER(B1087)),"DATA_PC invalida",IF(NOT(ISNUMBER(parametros!$C$2)),"Fora dos ciclos",IF(OR(B1087&lt;parametros!$C$2,(YEAR(B1087)-YEAR(parametros!$C$2))*12+MONTH(B1087)-MONTH(parametros!$C$2)&gt;59),"Fora dos ciclos","C"&amp;INT(((YEAR(B1087)-YEAR(parametros!$C$2))*12+MONTH(B1087)-MONTH(parametros!$C$2))/12)))))</f>
        <v/>
      </c>
      <c r="D1087" s="394"/>
      <c r="E1087" s="78" t="str">
        <f>IF(C1087="","",IFERROR(VLOOKUP(C1087,parametros!$A$11:$E$15,5,0),""))</f>
        <v/>
      </c>
      <c r="F1087" s="79" t="str">
        <f t="shared" si="82"/>
        <v/>
      </c>
      <c r="G1087" s="395"/>
      <c r="H1087" s="91">
        <f t="shared" si="83"/>
        <v>0</v>
      </c>
      <c r="I1087" s="91" t="str">
        <f t="shared" si="84"/>
        <v/>
      </c>
      <c r="J1087" s="91" t="str">
        <f t="shared" si="85"/>
        <v/>
      </c>
      <c r="K1087" s="92" t="str">
        <f>IF(AND(A1087="",B1087="",D1087="",G1087=""),"",IF(AND(A1087&lt;&gt;"",COUNTIF($A$2:$A$5001,A1087)&gt;1),"NUMERO_PC duplicado",IF(B1087="","DATA_PC vazia",IF(NOT(ISNUMBER(B1087)),"DATA_PC invalida",IF(OR(C1087="",C1087="Fora dos ciclos"),"CICLO_PC nao identificado",IF(OR(D1087="",D1087=0),"VALOR_PC vazio ou zero",IF(AND(G1087&lt;&gt;"Sim",G1087&lt;&gt;"Nao",G1087&lt;&gt;""),"PC_PAGO_A_CONTRATADA invalido",IF(AND(C1087&lt;&gt;"C0",IFERROR(INDEX(parametros!$A$2:$A$6,MATCH(C1087,parametros!$B$2:$B$6,0)),"")="Sim",IFERROR(INDEX(parametros!$H$2:$H$6,MATCH(C1087,parametros!$B$2:$B$6,0)),"")=""),"INICIO_EFEITO ausente: PC "&amp;A1087&amp;" - "&amp;C1087,IF(L1087="","EFEITO_PC nao calculado: PC "&amp;A1087&amp;" - "&amp;C1087,"OK")))))))))</f>
        <v/>
      </c>
      <c r="L1087" s="92" t="str">
        <f>IF(AND(A1087="",B1087="",D1087="",G1087=""),"",IF(OR(B1087="",NOT(ISNUMBER(B1087)),C1087="",C1087="Fora dos ciclos"),"",IF(C1087="C0","Nao",IF(IFERROR(INDEX(parametros!$A$2:$A$6,MATCH(C1087,parametros!$B$2:$B$6,0)),"")&lt;&gt;"Sim","Nao",IF(IFERROR(INDEX(parametros!$H$2:$H$6,MATCH(C1087,parametros!$B$2:$B$6,0)),"")="","",IF(B1087&gt;=IFERROR(INDEX(parametros!$H$2:$H$6,MATCH(C1087,parametros!$B$2:$B$6,0)),""),"Sim","Nao"))))))</f>
        <v/>
      </c>
      <c r="T1087" s="156"/>
      <c r="U1087" s="214" t="str">
        <f t="shared" si="86"/>
        <v/>
      </c>
      <c r="V1087" s="212" t="s">
        <v>50</v>
      </c>
      <c r="W1087" s="100" t="s">
        <v>168</v>
      </c>
      <c r="X1087" s="100" t="s">
        <v>169</v>
      </c>
      <c r="Y1087" s="101" t="s">
        <v>170</v>
      </c>
      <c r="Z1087" s="101" t="s">
        <v>171</v>
      </c>
      <c r="AA1087" s="101" t="s">
        <v>50</v>
      </c>
      <c r="AB1087" s="101" t="s">
        <v>172</v>
      </c>
      <c r="AC1087" s="102" t="s">
        <v>173</v>
      </c>
    </row>
    <row r="1088" spans="1:29" ht="25.5" customHeight="1" x14ac:dyDescent="0.35">
      <c r="A1088" s="392"/>
      <c r="B1088" s="393"/>
      <c r="C1088" s="99" t="str">
        <f>IF(B1088="","",IF(NOT(ISNUMBER(B1088)),"DATA_PC invalida",IF(NOT(ISNUMBER(parametros!$C$2)),"Fora dos ciclos",IF(OR(B1088&lt;parametros!$C$2,(YEAR(B1088)-YEAR(parametros!$C$2))*12+MONTH(B1088)-MONTH(parametros!$C$2)&gt;59),"Fora dos ciclos","C"&amp;INT(((YEAR(B1088)-YEAR(parametros!$C$2))*12+MONTH(B1088)-MONTH(parametros!$C$2))/12)))))</f>
        <v/>
      </c>
      <c r="D1088" s="394"/>
      <c r="E1088" s="78" t="str">
        <f>IF(C1088="","",IFERROR(VLOOKUP(C1088,parametros!$A$11:$E$15,5,0),""))</f>
        <v/>
      </c>
      <c r="F1088" s="79" t="str">
        <f t="shared" si="82"/>
        <v/>
      </c>
      <c r="G1088" s="395"/>
      <c r="H1088" s="91">
        <f t="shared" si="83"/>
        <v>0</v>
      </c>
      <c r="I1088" s="91" t="str">
        <f t="shared" si="84"/>
        <v/>
      </c>
      <c r="J1088" s="91" t="str">
        <f t="shared" si="85"/>
        <v/>
      </c>
      <c r="K1088" s="92" t="str">
        <f>IF(AND(A1088="",B1088="",D1088="",G1088=""),"",IF(AND(A1088&lt;&gt;"",COUNTIF($A$2:$A$5001,A1088)&gt;1),"NUMERO_PC duplicado",IF(B1088="","DATA_PC vazia",IF(NOT(ISNUMBER(B1088)),"DATA_PC invalida",IF(OR(C1088="",C1088="Fora dos ciclos"),"CICLO_PC nao identificado",IF(OR(D1088="",D1088=0),"VALOR_PC vazio ou zero",IF(AND(G1088&lt;&gt;"Sim",G1088&lt;&gt;"Nao",G1088&lt;&gt;""),"PC_PAGO_A_CONTRATADA invalido",IF(AND(C1088&lt;&gt;"C0",IFERROR(INDEX(parametros!$A$2:$A$6,MATCH(C1088,parametros!$B$2:$B$6,0)),"")="Sim",IFERROR(INDEX(parametros!$H$2:$H$6,MATCH(C1088,parametros!$B$2:$B$6,0)),"")=""),"INICIO_EFEITO ausente: PC "&amp;A1088&amp;" - "&amp;C1088,IF(L1088="","EFEITO_PC nao calculado: PC "&amp;A1088&amp;" - "&amp;C1088,"OK")))))))))</f>
        <v/>
      </c>
      <c r="L1088" s="92" t="str">
        <f>IF(AND(A1088="",B1088="",D1088="",G1088=""),"",IF(OR(B1088="",NOT(ISNUMBER(B1088)),C1088="",C1088="Fora dos ciclos"),"",IF(C1088="C0","Nao",IF(IFERROR(INDEX(parametros!$A$2:$A$6,MATCH(C1088,parametros!$B$2:$B$6,0)),"")&lt;&gt;"Sim","Nao",IF(IFERROR(INDEX(parametros!$H$2:$H$6,MATCH(C1088,parametros!$B$2:$B$6,0)),"")="","",IF(B1088&gt;=IFERROR(INDEX(parametros!$H$2:$H$6,MATCH(C1088,parametros!$B$2:$B$6,0)),""),"Sim","Nao"))))))</f>
        <v/>
      </c>
      <c r="T1088" s="156"/>
      <c r="U1088" s="214" t="str">
        <f t="shared" si="86"/>
        <v/>
      </c>
      <c r="V1088" s="212" t="s">
        <v>50</v>
      </c>
      <c r="W1088" s="100" t="s">
        <v>168</v>
      </c>
      <c r="X1088" s="100" t="s">
        <v>169</v>
      </c>
      <c r="Y1088" s="101" t="s">
        <v>170</v>
      </c>
      <c r="Z1088" s="101" t="s">
        <v>171</v>
      </c>
      <c r="AA1088" s="101" t="s">
        <v>50</v>
      </c>
      <c r="AB1088" s="101" t="s">
        <v>172</v>
      </c>
      <c r="AC1088" s="102" t="s">
        <v>173</v>
      </c>
    </row>
    <row r="1089" spans="1:29" ht="25.5" customHeight="1" x14ac:dyDescent="0.35">
      <c r="A1089" s="392"/>
      <c r="B1089" s="393"/>
      <c r="C1089" s="99" t="str">
        <f>IF(B1089="","",IF(NOT(ISNUMBER(B1089)),"DATA_PC invalida",IF(NOT(ISNUMBER(parametros!$C$2)),"Fora dos ciclos",IF(OR(B1089&lt;parametros!$C$2,(YEAR(B1089)-YEAR(parametros!$C$2))*12+MONTH(B1089)-MONTH(parametros!$C$2)&gt;59),"Fora dos ciclos","C"&amp;INT(((YEAR(B1089)-YEAR(parametros!$C$2))*12+MONTH(B1089)-MONTH(parametros!$C$2))/12)))))</f>
        <v/>
      </c>
      <c r="D1089" s="394"/>
      <c r="E1089" s="78" t="str">
        <f>IF(C1089="","",IFERROR(VLOOKUP(C1089,parametros!$A$11:$E$15,5,0),""))</f>
        <v/>
      </c>
      <c r="F1089" s="79" t="str">
        <f t="shared" si="82"/>
        <v/>
      </c>
      <c r="G1089" s="395"/>
      <c r="H1089" s="91">
        <f t="shared" si="83"/>
        <v>0</v>
      </c>
      <c r="I1089" s="91" t="str">
        <f t="shared" si="84"/>
        <v/>
      </c>
      <c r="J1089" s="91" t="str">
        <f t="shared" si="85"/>
        <v/>
      </c>
      <c r="K1089" s="92" t="str">
        <f>IF(AND(A1089="",B1089="",D1089="",G1089=""),"",IF(AND(A1089&lt;&gt;"",COUNTIF($A$2:$A$5001,A1089)&gt;1),"NUMERO_PC duplicado",IF(B1089="","DATA_PC vazia",IF(NOT(ISNUMBER(B1089)),"DATA_PC invalida",IF(OR(C1089="",C1089="Fora dos ciclos"),"CICLO_PC nao identificado",IF(OR(D1089="",D1089=0),"VALOR_PC vazio ou zero",IF(AND(G1089&lt;&gt;"Sim",G1089&lt;&gt;"Nao",G1089&lt;&gt;""),"PC_PAGO_A_CONTRATADA invalido",IF(AND(C1089&lt;&gt;"C0",IFERROR(INDEX(parametros!$A$2:$A$6,MATCH(C1089,parametros!$B$2:$B$6,0)),"")="Sim",IFERROR(INDEX(parametros!$H$2:$H$6,MATCH(C1089,parametros!$B$2:$B$6,0)),"")=""),"INICIO_EFEITO ausente: PC "&amp;A1089&amp;" - "&amp;C1089,IF(L1089="","EFEITO_PC nao calculado: PC "&amp;A1089&amp;" - "&amp;C1089,"OK")))))))))</f>
        <v/>
      </c>
      <c r="L1089" s="92" t="str">
        <f>IF(AND(A1089="",B1089="",D1089="",G1089=""),"",IF(OR(B1089="",NOT(ISNUMBER(B1089)),C1089="",C1089="Fora dos ciclos"),"",IF(C1089="C0","Nao",IF(IFERROR(INDEX(parametros!$A$2:$A$6,MATCH(C1089,parametros!$B$2:$B$6,0)),"")&lt;&gt;"Sim","Nao",IF(IFERROR(INDEX(parametros!$H$2:$H$6,MATCH(C1089,parametros!$B$2:$B$6,0)),"")="","",IF(B1089&gt;=IFERROR(INDEX(parametros!$H$2:$H$6,MATCH(C1089,parametros!$B$2:$B$6,0)),""),"Sim","Nao"))))))</f>
        <v/>
      </c>
      <c r="T1089" s="156"/>
      <c r="U1089" s="214" t="str">
        <f t="shared" si="86"/>
        <v/>
      </c>
      <c r="V1089" s="212" t="s">
        <v>50</v>
      </c>
      <c r="W1089" s="100" t="s">
        <v>168</v>
      </c>
      <c r="X1089" s="100" t="s">
        <v>169</v>
      </c>
      <c r="Y1089" s="101" t="s">
        <v>170</v>
      </c>
      <c r="Z1089" s="101" t="s">
        <v>171</v>
      </c>
      <c r="AA1089" s="101" t="s">
        <v>50</v>
      </c>
      <c r="AB1089" s="101" t="s">
        <v>172</v>
      </c>
      <c r="AC1089" s="102" t="s">
        <v>173</v>
      </c>
    </row>
    <row r="1090" spans="1:29" ht="25.5" customHeight="1" x14ac:dyDescent="0.35">
      <c r="A1090" s="392"/>
      <c r="B1090" s="393"/>
      <c r="C1090" s="99" t="str">
        <f>IF(B1090="","",IF(NOT(ISNUMBER(B1090)),"DATA_PC invalida",IF(NOT(ISNUMBER(parametros!$C$2)),"Fora dos ciclos",IF(OR(B1090&lt;parametros!$C$2,(YEAR(B1090)-YEAR(parametros!$C$2))*12+MONTH(B1090)-MONTH(parametros!$C$2)&gt;59),"Fora dos ciclos","C"&amp;INT(((YEAR(B1090)-YEAR(parametros!$C$2))*12+MONTH(B1090)-MONTH(parametros!$C$2))/12)))))</f>
        <v/>
      </c>
      <c r="D1090" s="394"/>
      <c r="E1090" s="78" t="str">
        <f>IF(C1090="","",IFERROR(VLOOKUP(C1090,parametros!$A$11:$E$15,5,0),""))</f>
        <v/>
      </c>
      <c r="F1090" s="79" t="str">
        <f t="shared" ref="F1090:F1153" si="87">IF(OR(D1090="",E1090=""),"",ROUND(D1090*E1090,2))</f>
        <v/>
      </c>
      <c r="G1090" s="395"/>
      <c r="H1090" s="91">
        <f t="shared" ref="H1090:H1153" si="88">IF(G1090="Sim",IF(OR(F1090="",D1090="",L1090=""),"",IF(L1090="Sim",ROUND(F1090-D1090,2),0)),0)</f>
        <v>0</v>
      </c>
      <c r="I1090" s="91" t="str">
        <f t="shared" ref="I1090:I1153" si="89">IF(G1090="Sim",0,IF(OR(F1090="",L1090=""),"",F1090))</f>
        <v/>
      </c>
      <c r="J1090" s="91" t="str">
        <f t="shared" ref="J1090:J1153" si="90">IF(G1090="Sim",0,IF(OR(F1090="",D1090="",L1090=""),"",IF(L1090="Sim",ROUND(F1090-D1090,2),0)))</f>
        <v/>
      </c>
      <c r="K1090" s="92" t="str">
        <f>IF(AND(A1090="",B1090="",D1090="",G1090=""),"",IF(AND(A1090&lt;&gt;"",COUNTIF($A$2:$A$5001,A1090)&gt;1),"NUMERO_PC duplicado",IF(B1090="","DATA_PC vazia",IF(NOT(ISNUMBER(B1090)),"DATA_PC invalida",IF(OR(C1090="",C1090="Fora dos ciclos"),"CICLO_PC nao identificado",IF(OR(D1090="",D1090=0),"VALOR_PC vazio ou zero",IF(AND(G1090&lt;&gt;"Sim",G1090&lt;&gt;"Nao",G1090&lt;&gt;""),"PC_PAGO_A_CONTRATADA invalido",IF(AND(C1090&lt;&gt;"C0",IFERROR(INDEX(parametros!$A$2:$A$6,MATCH(C1090,parametros!$B$2:$B$6,0)),"")="Sim",IFERROR(INDEX(parametros!$H$2:$H$6,MATCH(C1090,parametros!$B$2:$B$6,0)),"")=""),"INICIO_EFEITO ausente: PC "&amp;A1090&amp;" - "&amp;C1090,IF(L1090="","EFEITO_PC nao calculado: PC "&amp;A1090&amp;" - "&amp;C1090,"OK")))))))))</f>
        <v/>
      </c>
      <c r="L1090" s="92" t="str">
        <f>IF(AND(A1090="",B1090="",D1090="",G1090=""),"",IF(OR(B1090="",NOT(ISNUMBER(B1090)),C1090="",C1090="Fora dos ciclos"),"",IF(C1090="C0","Nao",IF(IFERROR(INDEX(parametros!$A$2:$A$6,MATCH(C1090,parametros!$B$2:$B$6,0)),"")&lt;&gt;"Sim","Nao",IF(IFERROR(INDEX(parametros!$H$2:$H$6,MATCH(C1090,parametros!$B$2:$B$6,0)),"")="","",IF(B1090&gt;=IFERROR(INDEX(parametros!$H$2:$H$6,MATCH(C1090,parametros!$B$2:$B$6,0)),""),"Sim","Nao"))))))</f>
        <v/>
      </c>
      <c r="T1090" s="156"/>
      <c r="U1090" s="214" t="str">
        <f t="shared" ref="U1090:U1153" si="91">IF(OR($D1090="",$H1090=""),"",ROUND($D1090+$H1090,2))</f>
        <v/>
      </c>
      <c r="V1090" s="212" t="s">
        <v>50</v>
      </c>
      <c r="W1090" s="100" t="s">
        <v>168</v>
      </c>
      <c r="X1090" s="100" t="s">
        <v>169</v>
      </c>
      <c r="Y1090" s="101" t="s">
        <v>170</v>
      </c>
      <c r="Z1090" s="101" t="s">
        <v>171</v>
      </c>
      <c r="AA1090" s="101" t="s">
        <v>50</v>
      </c>
      <c r="AB1090" s="101" t="s">
        <v>172</v>
      </c>
      <c r="AC1090" s="102" t="s">
        <v>173</v>
      </c>
    </row>
    <row r="1091" spans="1:29" ht="25.5" customHeight="1" x14ac:dyDescent="0.35">
      <c r="A1091" s="392"/>
      <c r="B1091" s="393"/>
      <c r="C1091" s="99" t="str">
        <f>IF(B1091="","",IF(NOT(ISNUMBER(B1091)),"DATA_PC invalida",IF(NOT(ISNUMBER(parametros!$C$2)),"Fora dos ciclos",IF(OR(B1091&lt;parametros!$C$2,(YEAR(B1091)-YEAR(parametros!$C$2))*12+MONTH(B1091)-MONTH(parametros!$C$2)&gt;59),"Fora dos ciclos","C"&amp;INT(((YEAR(B1091)-YEAR(parametros!$C$2))*12+MONTH(B1091)-MONTH(parametros!$C$2))/12)))))</f>
        <v/>
      </c>
      <c r="D1091" s="394"/>
      <c r="E1091" s="78" t="str">
        <f>IF(C1091="","",IFERROR(VLOOKUP(C1091,parametros!$A$11:$E$15,5,0),""))</f>
        <v/>
      </c>
      <c r="F1091" s="79" t="str">
        <f t="shared" si="87"/>
        <v/>
      </c>
      <c r="G1091" s="395"/>
      <c r="H1091" s="91">
        <f t="shared" si="88"/>
        <v>0</v>
      </c>
      <c r="I1091" s="91" t="str">
        <f t="shared" si="89"/>
        <v/>
      </c>
      <c r="J1091" s="91" t="str">
        <f t="shared" si="90"/>
        <v/>
      </c>
      <c r="K1091" s="92" t="str">
        <f>IF(AND(A1091="",B1091="",D1091="",G1091=""),"",IF(AND(A1091&lt;&gt;"",COUNTIF($A$2:$A$5001,A1091)&gt;1),"NUMERO_PC duplicado",IF(B1091="","DATA_PC vazia",IF(NOT(ISNUMBER(B1091)),"DATA_PC invalida",IF(OR(C1091="",C1091="Fora dos ciclos"),"CICLO_PC nao identificado",IF(OR(D1091="",D1091=0),"VALOR_PC vazio ou zero",IF(AND(G1091&lt;&gt;"Sim",G1091&lt;&gt;"Nao",G1091&lt;&gt;""),"PC_PAGO_A_CONTRATADA invalido",IF(AND(C1091&lt;&gt;"C0",IFERROR(INDEX(parametros!$A$2:$A$6,MATCH(C1091,parametros!$B$2:$B$6,0)),"")="Sim",IFERROR(INDEX(parametros!$H$2:$H$6,MATCH(C1091,parametros!$B$2:$B$6,0)),"")=""),"INICIO_EFEITO ausente: PC "&amp;A1091&amp;" - "&amp;C1091,IF(L1091="","EFEITO_PC nao calculado: PC "&amp;A1091&amp;" - "&amp;C1091,"OK")))))))))</f>
        <v/>
      </c>
      <c r="L1091" s="92" t="str">
        <f>IF(AND(A1091="",B1091="",D1091="",G1091=""),"",IF(OR(B1091="",NOT(ISNUMBER(B1091)),C1091="",C1091="Fora dos ciclos"),"",IF(C1091="C0","Nao",IF(IFERROR(INDEX(parametros!$A$2:$A$6,MATCH(C1091,parametros!$B$2:$B$6,0)),"")&lt;&gt;"Sim","Nao",IF(IFERROR(INDEX(parametros!$H$2:$H$6,MATCH(C1091,parametros!$B$2:$B$6,0)),"")="","",IF(B1091&gt;=IFERROR(INDEX(parametros!$H$2:$H$6,MATCH(C1091,parametros!$B$2:$B$6,0)),""),"Sim","Nao"))))))</f>
        <v/>
      </c>
      <c r="T1091" s="156"/>
      <c r="U1091" s="214" t="str">
        <f t="shared" si="91"/>
        <v/>
      </c>
      <c r="V1091" s="212" t="s">
        <v>50</v>
      </c>
      <c r="W1091" s="100" t="s">
        <v>168</v>
      </c>
      <c r="X1091" s="100" t="s">
        <v>169</v>
      </c>
      <c r="Y1091" s="101" t="s">
        <v>170</v>
      </c>
      <c r="Z1091" s="101" t="s">
        <v>171</v>
      </c>
      <c r="AA1091" s="101" t="s">
        <v>50</v>
      </c>
      <c r="AB1091" s="101" t="s">
        <v>172</v>
      </c>
      <c r="AC1091" s="102" t="s">
        <v>173</v>
      </c>
    </row>
    <row r="1092" spans="1:29" ht="25.5" customHeight="1" x14ac:dyDescent="0.35">
      <c r="A1092" s="392"/>
      <c r="B1092" s="393"/>
      <c r="C1092" s="99" t="str">
        <f>IF(B1092="","",IF(NOT(ISNUMBER(B1092)),"DATA_PC invalida",IF(NOT(ISNUMBER(parametros!$C$2)),"Fora dos ciclos",IF(OR(B1092&lt;parametros!$C$2,(YEAR(B1092)-YEAR(parametros!$C$2))*12+MONTH(B1092)-MONTH(parametros!$C$2)&gt;59),"Fora dos ciclos","C"&amp;INT(((YEAR(B1092)-YEAR(parametros!$C$2))*12+MONTH(B1092)-MONTH(parametros!$C$2))/12)))))</f>
        <v/>
      </c>
      <c r="D1092" s="394"/>
      <c r="E1092" s="78" t="str">
        <f>IF(C1092="","",IFERROR(VLOOKUP(C1092,parametros!$A$11:$E$15,5,0),""))</f>
        <v/>
      </c>
      <c r="F1092" s="79" t="str">
        <f t="shared" si="87"/>
        <v/>
      </c>
      <c r="G1092" s="395"/>
      <c r="H1092" s="91">
        <f t="shared" si="88"/>
        <v>0</v>
      </c>
      <c r="I1092" s="91" t="str">
        <f t="shared" si="89"/>
        <v/>
      </c>
      <c r="J1092" s="91" t="str">
        <f t="shared" si="90"/>
        <v/>
      </c>
      <c r="K1092" s="92" t="str">
        <f>IF(AND(A1092="",B1092="",D1092="",G1092=""),"",IF(AND(A1092&lt;&gt;"",COUNTIF($A$2:$A$5001,A1092)&gt;1),"NUMERO_PC duplicado",IF(B1092="","DATA_PC vazia",IF(NOT(ISNUMBER(B1092)),"DATA_PC invalida",IF(OR(C1092="",C1092="Fora dos ciclos"),"CICLO_PC nao identificado",IF(OR(D1092="",D1092=0),"VALOR_PC vazio ou zero",IF(AND(G1092&lt;&gt;"Sim",G1092&lt;&gt;"Nao",G1092&lt;&gt;""),"PC_PAGO_A_CONTRATADA invalido",IF(AND(C1092&lt;&gt;"C0",IFERROR(INDEX(parametros!$A$2:$A$6,MATCH(C1092,parametros!$B$2:$B$6,0)),"")="Sim",IFERROR(INDEX(parametros!$H$2:$H$6,MATCH(C1092,parametros!$B$2:$B$6,0)),"")=""),"INICIO_EFEITO ausente: PC "&amp;A1092&amp;" - "&amp;C1092,IF(L1092="","EFEITO_PC nao calculado: PC "&amp;A1092&amp;" - "&amp;C1092,"OK")))))))))</f>
        <v/>
      </c>
      <c r="L1092" s="92" t="str">
        <f>IF(AND(A1092="",B1092="",D1092="",G1092=""),"",IF(OR(B1092="",NOT(ISNUMBER(B1092)),C1092="",C1092="Fora dos ciclos"),"",IF(C1092="C0","Nao",IF(IFERROR(INDEX(parametros!$A$2:$A$6,MATCH(C1092,parametros!$B$2:$B$6,0)),"")&lt;&gt;"Sim","Nao",IF(IFERROR(INDEX(parametros!$H$2:$H$6,MATCH(C1092,parametros!$B$2:$B$6,0)),"")="","",IF(B1092&gt;=IFERROR(INDEX(parametros!$H$2:$H$6,MATCH(C1092,parametros!$B$2:$B$6,0)),""),"Sim","Nao"))))))</f>
        <v/>
      </c>
      <c r="T1092" s="156"/>
      <c r="U1092" s="214" t="str">
        <f t="shared" si="91"/>
        <v/>
      </c>
      <c r="V1092" s="212" t="s">
        <v>50</v>
      </c>
      <c r="W1092" s="100" t="s">
        <v>168</v>
      </c>
      <c r="X1092" s="100" t="s">
        <v>169</v>
      </c>
      <c r="Y1092" s="101" t="s">
        <v>170</v>
      </c>
      <c r="Z1092" s="101" t="s">
        <v>171</v>
      </c>
      <c r="AA1092" s="101" t="s">
        <v>50</v>
      </c>
      <c r="AB1092" s="101" t="s">
        <v>172</v>
      </c>
      <c r="AC1092" s="102" t="s">
        <v>173</v>
      </c>
    </row>
    <row r="1093" spans="1:29" ht="25.5" customHeight="1" x14ac:dyDescent="0.35">
      <c r="A1093" s="392"/>
      <c r="B1093" s="393"/>
      <c r="C1093" s="99" t="str">
        <f>IF(B1093="","",IF(NOT(ISNUMBER(B1093)),"DATA_PC invalida",IF(NOT(ISNUMBER(parametros!$C$2)),"Fora dos ciclos",IF(OR(B1093&lt;parametros!$C$2,(YEAR(B1093)-YEAR(parametros!$C$2))*12+MONTH(B1093)-MONTH(parametros!$C$2)&gt;59),"Fora dos ciclos","C"&amp;INT(((YEAR(B1093)-YEAR(parametros!$C$2))*12+MONTH(B1093)-MONTH(parametros!$C$2))/12)))))</f>
        <v/>
      </c>
      <c r="D1093" s="394"/>
      <c r="E1093" s="78" t="str">
        <f>IF(C1093="","",IFERROR(VLOOKUP(C1093,parametros!$A$11:$E$15,5,0),""))</f>
        <v/>
      </c>
      <c r="F1093" s="79" t="str">
        <f t="shared" si="87"/>
        <v/>
      </c>
      <c r="G1093" s="395"/>
      <c r="H1093" s="91">
        <f t="shared" si="88"/>
        <v>0</v>
      </c>
      <c r="I1093" s="91" t="str">
        <f t="shared" si="89"/>
        <v/>
      </c>
      <c r="J1093" s="91" t="str">
        <f t="shared" si="90"/>
        <v/>
      </c>
      <c r="K1093" s="92" t="str">
        <f>IF(AND(A1093="",B1093="",D1093="",G1093=""),"",IF(AND(A1093&lt;&gt;"",COUNTIF($A$2:$A$5001,A1093)&gt;1),"NUMERO_PC duplicado",IF(B1093="","DATA_PC vazia",IF(NOT(ISNUMBER(B1093)),"DATA_PC invalida",IF(OR(C1093="",C1093="Fora dos ciclos"),"CICLO_PC nao identificado",IF(OR(D1093="",D1093=0),"VALOR_PC vazio ou zero",IF(AND(G1093&lt;&gt;"Sim",G1093&lt;&gt;"Nao",G1093&lt;&gt;""),"PC_PAGO_A_CONTRATADA invalido",IF(AND(C1093&lt;&gt;"C0",IFERROR(INDEX(parametros!$A$2:$A$6,MATCH(C1093,parametros!$B$2:$B$6,0)),"")="Sim",IFERROR(INDEX(parametros!$H$2:$H$6,MATCH(C1093,parametros!$B$2:$B$6,0)),"")=""),"INICIO_EFEITO ausente: PC "&amp;A1093&amp;" - "&amp;C1093,IF(L1093="","EFEITO_PC nao calculado: PC "&amp;A1093&amp;" - "&amp;C1093,"OK")))))))))</f>
        <v/>
      </c>
      <c r="L1093" s="92" t="str">
        <f>IF(AND(A1093="",B1093="",D1093="",G1093=""),"",IF(OR(B1093="",NOT(ISNUMBER(B1093)),C1093="",C1093="Fora dos ciclos"),"",IF(C1093="C0","Nao",IF(IFERROR(INDEX(parametros!$A$2:$A$6,MATCH(C1093,parametros!$B$2:$B$6,0)),"")&lt;&gt;"Sim","Nao",IF(IFERROR(INDEX(parametros!$H$2:$H$6,MATCH(C1093,parametros!$B$2:$B$6,0)),"")="","",IF(B1093&gt;=IFERROR(INDEX(parametros!$H$2:$H$6,MATCH(C1093,parametros!$B$2:$B$6,0)),""),"Sim","Nao"))))))</f>
        <v/>
      </c>
      <c r="T1093" s="156"/>
      <c r="U1093" s="214" t="str">
        <f t="shared" si="91"/>
        <v/>
      </c>
      <c r="V1093" s="212" t="s">
        <v>50</v>
      </c>
      <c r="W1093" s="100" t="s">
        <v>168</v>
      </c>
      <c r="X1093" s="100" t="s">
        <v>169</v>
      </c>
      <c r="Y1093" s="101" t="s">
        <v>170</v>
      </c>
      <c r="Z1093" s="101" t="s">
        <v>171</v>
      </c>
      <c r="AA1093" s="101" t="s">
        <v>50</v>
      </c>
      <c r="AB1093" s="101" t="s">
        <v>172</v>
      </c>
      <c r="AC1093" s="102" t="s">
        <v>173</v>
      </c>
    </row>
    <row r="1094" spans="1:29" ht="25.5" customHeight="1" x14ac:dyDescent="0.35">
      <c r="A1094" s="392"/>
      <c r="B1094" s="393"/>
      <c r="C1094" s="99" t="str">
        <f>IF(B1094="","",IF(NOT(ISNUMBER(B1094)),"DATA_PC invalida",IF(NOT(ISNUMBER(parametros!$C$2)),"Fora dos ciclos",IF(OR(B1094&lt;parametros!$C$2,(YEAR(B1094)-YEAR(parametros!$C$2))*12+MONTH(B1094)-MONTH(parametros!$C$2)&gt;59),"Fora dos ciclos","C"&amp;INT(((YEAR(B1094)-YEAR(parametros!$C$2))*12+MONTH(B1094)-MONTH(parametros!$C$2))/12)))))</f>
        <v/>
      </c>
      <c r="D1094" s="394"/>
      <c r="E1094" s="78" t="str">
        <f>IF(C1094="","",IFERROR(VLOOKUP(C1094,parametros!$A$11:$E$15,5,0),""))</f>
        <v/>
      </c>
      <c r="F1094" s="79" t="str">
        <f t="shared" si="87"/>
        <v/>
      </c>
      <c r="G1094" s="395"/>
      <c r="H1094" s="91">
        <f t="shared" si="88"/>
        <v>0</v>
      </c>
      <c r="I1094" s="91" t="str">
        <f t="shared" si="89"/>
        <v/>
      </c>
      <c r="J1094" s="91" t="str">
        <f t="shared" si="90"/>
        <v/>
      </c>
      <c r="K1094" s="92" t="str">
        <f>IF(AND(A1094="",B1094="",D1094="",G1094=""),"",IF(AND(A1094&lt;&gt;"",COUNTIF($A$2:$A$5001,A1094)&gt;1),"NUMERO_PC duplicado",IF(B1094="","DATA_PC vazia",IF(NOT(ISNUMBER(B1094)),"DATA_PC invalida",IF(OR(C1094="",C1094="Fora dos ciclos"),"CICLO_PC nao identificado",IF(OR(D1094="",D1094=0),"VALOR_PC vazio ou zero",IF(AND(G1094&lt;&gt;"Sim",G1094&lt;&gt;"Nao",G1094&lt;&gt;""),"PC_PAGO_A_CONTRATADA invalido",IF(AND(C1094&lt;&gt;"C0",IFERROR(INDEX(parametros!$A$2:$A$6,MATCH(C1094,parametros!$B$2:$B$6,0)),"")="Sim",IFERROR(INDEX(parametros!$H$2:$H$6,MATCH(C1094,parametros!$B$2:$B$6,0)),"")=""),"INICIO_EFEITO ausente: PC "&amp;A1094&amp;" - "&amp;C1094,IF(L1094="","EFEITO_PC nao calculado: PC "&amp;A1094&amp;" - "&amp;C1094,"OK")))))))))</f>
        <v/>
      </c>
      <c r="L1094" s="92" t="str">
        <f>IF(AND(A1094="",B1094="",D1094="",G1094=""),"",IF(OR(B1094="",NOT(ISNUMBER(B1094)),C1094="",C1094="Fora dos ciclos"),"",IF(C1094="C0","Nao",IF(IFERROR(INDEX(parametros!$A$2:$A$6,MATCH(C1094,parametros!$B$2:$B$6,0)),"")&lt;&gt;"Sim","Nao",IF(IFERROR(INDEX(parametros!$H$2:$H$6,MATCH(C1094,parametros!$B$2:$B$6,0)),"")="","",IF(B1094&gt;=IFERROR(INDEX(parametros!$H$2:$H$6,MATCH(C1094,parametros!$B$2:$B$6,0)),""),"Sim","Nao"))))))</f>
        <v/>
      </c>
      <c r="T1094" s="156"/>
      <c r="U1094" s="214" t="str">
        <f t="shared" si="91"/>
        <v/>
      </c>
      <c r="V1094" s="212" t="s">
        <v>50</v>
      </c>
      <c r="W1094" s="100" t="s">
        <v>168</v>
      </c>
      <c r="X1094" s="100" t="s">
        <v>169</v>
      </c>
      <c r="Y1094" s="101" t="s">
        <v>170</v>
      </c>
      <c r="Z1094" s="101" t="s">
        <v>171</v>
      </c>
      <c r="AA1094" s="101" t="s">
        <v>50</v>
      </c>
      <c r="AB1094" s="101" t="s">
        <v>172</v>
      </c>
      <c r="AC1094" s="102" t="s">
        <v>173</v>
      </c>
    </row>
    <row r="1095" spans="1:29" ht="25.5" customHeight="1" x14ac:dyDescent="0.35">
      <c r="A1095" s="392"/>
      <c r="B1095" s="393"/>
      <c r="C1095" s="99" t="str">
        <f>IF(B1095="","",IF(NOT(ISNUMBER(B1095)),"DATA_PC invalida",IF(NOT(ISNUMBER(parametros!$C$2)),"Fora dos ciclos",IF(OR(B1095&lt;parametros!$C$2,(YEAR(B1095)-YEAR(parametros!$C$2))*12+MONTH(B1095)-MONTH(parametros!$C$2)&gt;59),"Fora dos ciclos","C"&amp;INT(((YEAR(B1095)-YEAR(parametros!$C$2))*12+MONTH(B1095)-MONTH(parametros!$C$2))/12)))))</f>
        <v/>
      </c>
      <c r="D1095" s="394"/>
      <c r="E1095" s="78" t="str">
        <f>IF(C1095="","",IFERROR(VLOOKUP(C1095,parametros!$A$11:$E$15,5,0),""))</f>
        <v/>
      </c>
      <c r="F1095" s="79" t="str">
        <f t="shared" si="87"/>
        <v/>
      </c>
      <c r="G1095" s="395"/>
      <c r="H1095" s="91">
        <f t="shared" si="88"/>
        <v>0</v>
      </c>
      <c r="I1095" s="91" t="str">
        <f t="shared" si="89"/>
        <v/>
      </c>
      <c r="J1095" s="91" t="str">
        <f t="shared" si="90"/>
        <v/>
      </c>
      <c r="K1095" s="92" t="str">
        <f>IF(AND(A1095="",B1095="",D1095="",G1095=""),"",IF(AND(A1095&lt;&gt;"",COUNTIF($A$2:$A$5001,A1095)&gt;1),"NUMERO_PC duplicado",IF(B1095="","DATA_PC vazia",IF(NOT(ISNUMBER(B1095)),"DATA_PC invalida",IF(OR(C1095="",C1095="Fora dos ciclos"),"CICLO_PC nao identificado",IF(OR(D1095="",D1095=0),"VALOR_PC vazio ou zero",IF(AND(G1095&lt;&gt;"Sim",G1095&lt;&gt;"Nao",G1095&lt;&gt;""),"PC_PAGO_A_CONTRATADA invalido",IF(AND(C1095&lt;&gt;"C0",IFERROR(INDEX(parametros!$A$2:$A$6,MATCH(C1095,parametros!$B$2:$B$6,0)),"")="Sim",IFERROR(INDEX(parametros!$H$2:$H$6,MATCH(C1095,parametros!$B$2:$B$6,0)),"")=""),"INICIO_EFEITO ausente: PC "&amp;A1095&amp;" - "&amp;C1095,IF(L1095="","EFEITO_PC nao calculado: PC "&amp;A1095&amp;" - "&amp;C1095,"OK")))))))))</f>
        <v/>
      </c>
      <c r="L1095" s="92" t="str">
        <f>IF(AND(A1095="",B1095="",D1095="",G1095=""),"",IF(OR(B1095="",NOT(ISNUMBER(B1095)),C1095="",C1095="Fora dos ciclos"),"",IF(C1095="C0","Nao",IF(IFERROR(INDEX(parametros!$A$2:$A$6,MATCH(C1095,parametros!$B$2:$B$6,0)),"")&lt;&gt;"Sim","Nao",IF(IFERROR(INDEX(parametros!$H$2:$H$6,MATCH(C1095,parametros!$B$2:$B$6,0)),"")="","",IF(B1095&gt;=IFERROR(INDEX(parametros!$H$2:$H$6,MATCH(C1095,parametros!$B$2:$B$6,0)),""),"Sim","Nao"))))))</f>
        <v/>
      </c>
      <c r="T1095" s="156"/>
      <c r="U1095" s="214" t="str">
        <f t="shared" si="91"/>
        <v/>
      </c>
      <c r="V1095" s="212" t="s">
        <v>50</v>
      </c>
      <c r="W1095" s="100" t="s">
        <v>168</v>
      </c>
      <c r="X1095" s="100" t="s">
        <v>169</v>
      </c>
      <c r="Y1095" s="101" t="s">
        <v>170</v>
      </c>
      <c r="Z1095" s="101" t="s">
        <v>171</v>
      </c>
      <c r="AA1095" s="101" t="s">
        <v>50</v>
      </c>
      <c r="AB1095" s="101" t="s">
        <v>172</v>
      </c>
      <c r="AC1095" s="102" t="s">
        <v>173</v>
      </c>
    </row>
    <row r="1096" spans="1:29" ht="25.5" customHeight="1" x14ac:dyDescent="0.35">
      <c r="A1096" s="392"/>
      <c r="B1096" s="393"/>
      <c r="C1096" s="99" t="str">
        <f>IF(B1096="","",IF(NOT(ISNUMBER(B1096)),"DATA_PC invalida",IF(NOT(ISNUMBER(parametros!$C$2)),"Fora dos ciclos",IF(OR(B1096&lt;parametros!$C$2,(YEAR(B1096)-YEAR(parametros!$C$2))*12+MONTH(B1096)-MONTH(parametros!$C$2)&gt;59),"Fora dos ciclos","C"&amp;INT(((YEAR(B1096)-YEAR(parametros!$C$2))*12+MONTH(B1096)-MONTH(parametros!$C$2))/12)))))</f>
        <v/>
      </c>
      <c r="D1096" s="394"/>
      <c r="E1096" s="78" t="str">
        <f>IF(C1096="","",IFERROR(VLOOKUP(C1096,parametros!$A$11:$E$15,5,0),""))</f>
        <v/>
      </c>
      <c r="F1096" s="79" t="str">
        <f t="shared" si="87"/>
        <v/>
      </c>
      <c r="G1096" s="395"/>
      <c r="H1096" s="91">
        <f t="shared" si="88"/>
        <v>0</v>
      </c>
      <c r="I1096" s="91" t="str">
        <f t="shared" si="89"/>
        <v/>
      </c>
      <c r="J1096" s="91" t="str">
        <f t="shared" si="90"/>
        <v/>
      </c>
      <c r="K1096" s="92" t="str">
        <f>IF(AND(A1096="",B1096="",D1096="",G1096=""),"",IF(AND(A1096&lt;&gt;"",COUNTIF($A$2:$A$5001,A1096)&gt;1),"NUMERO_PC duplicado",IF(B1096="","DATA_PC vazia",IF(NOT(ISNUMBER(B1096)),"DATA_PC invalida",IF(OR(C1096="",C1096="Fora dos ciclos"),"CICLO_PC nao identificado",IF(OR(D1096="",D1096=0),"VALOR_PC vazio ou zero",IF(AND(G1096&lt;&gt;"Sim",G1096&lt;&gt;"Nao",G1096&lt;&gt;""),"PC_PAGO_A_CONTRATADA invalido",IF(AND(C1096&lt;&gt;"C0",IFERROR(INDEX(parametros!$A$2:$A$6,MATCH(C1096,parametros!$B$2:$B$6,0)),"")="Sim",IFERROR(INDEX(parametros!$H$2:$H$6,MATCH(C1096,parametros!$B$2:$B$6,0)),"")=""),"INICIO_EFEITO ausente: PC "&amp;A1096&amp;" - "&amp;C1096,IF(L1096="","EFEITO_PC nao calculado: PC "&amp;A1096&amp;" - "&amp;C1096,"OK")))))))))</f>
        <v/>
      </c>
      <c r="L1096" s="92" t="str">
        <f>IF(AND(A1096="",B1096="",D1096="",G1096=""),"",IF(OR(B1096="",NOT(ISNUMBER(B1096)),C1096="",C1096="Fora dos ciclos"),"",IF(C1096="C0","Nao",IF(IFERROR(INDEX(parametros!$A$2:$A$6,MATCH(C1096,parametros!$B$2:$B$6,0)),"")&lt;&gt;"Sim","Nao",IF(IFERROR(INDEX(parametros!$H$2:$H$6,MATCH(C1096,parametros!$B$2:$B$6,0)),"")="","",IF(B1096&gt;=IFERROR(INDEX(parametros!$H$2:$H$6,MATCH(C1096,parametros!$B$2:$B$6,0)),""),"Sim","Nao"))))))</f>
        <v/>
      </c>
      <c r="T1096" s="156"/>
      <c r="U1096" s="214" t="str">
        <f t="shared" si="91"/>
        <v/>
      </c>
      <c r="V1096" s="212" t="s">
        <v>50</v>
      </c>
      <c r="W1096" s="100" t="s">
        <v>168</v>
      </c>
      <c r="X1096" s="100" t="s">
        <v>169</v>
      </c>
      <c r="Y1096" s="101" t="s">
        <v>170</v>
      </c>
      <c r="Z1096" s="101" t="s">
        <v>171</v>
      </c>
      <c r="AA1096" s="101" t="s">
        <v>50</v>
      </c>
      <c r="AB1096" s="101" t="s">
        <v>172</v>
      </c>
      <c r="AC1096" s="102" t="s">
        <v>173</v>
      </c>
    </row>
    <row r="1097" spans="1:29" ht="25.5" customHeight="1" x14ac:dyDescent="0.35">
      <c r="A1097" s="392"/>
      <c r="B1097" s="393"/>
      <c r="C1097" s="99" t="str">
        <f>IF(B1097="","",IF(NOT(ISNUMBER(B1097)),"DATA_PC invalida",IF(NOT(ISNUMBER(parametros!$C$2)),"Fora dos ciclos",IF(OR(B1097&lt;parametros!$C$2,(YEAR(B1097)-YEAR(parametros!$C$2))*12+MONTH(B1097)-MONTH(parametros!$C$2)&gt;59),"Fora dos ciclos","C"&amp;INT(((YEAR(B1097)-YEAR(parametros!$C$2))*12+MONTH(B1097)-MONTH(parametros!$C$2))/12)))))</f>
        <v/>
      </c>
      <c r="D1097" s="394"/>
      <c r="E1097" s="78" t="str">
        <f>IF(C1097="","",IFERROR(VLOOKUP(C1097,parametros!$A$11:$E$15,5,0),""))</f>
        <v/>
      </c>
      <c r="F1097" s="79" t="str">
        <f t="shared" si="87"/>
        <v/>
      </c>
      <c r="G1097" s="395"/>
      <c r="H1097" s="91">
        <f t="shared" si="88"/>
        <v>0</v>
      </c>
      <c r="I1097" s="91" t="str">
        <f t="shared" si="89"/>
        <v/>
      </c>
      <c r="J1097" s="91" t="str">
        <f t="shared" si="90"/>
        <v/>
      </c>
      <c r="K1097" s="92" t="str">
        <f>IF(AND(A1097="",B1097="",D1097="",G1097=""),"",IF(AND(A1097&lt;&gt;"",COUNTIF($A$2:$A$5001,A1097)&gt;1),"NUMERO_PC duplicado",IF(B1097="","DATA_PC vazia",IF(NOT(ISNUMBER(B1097)),"DATA_PC invalida",IF(OR(C1097="",C1097="Fora dos ciclos"),"CICLO_PC nao identificado",IF(OR(D1097="",D1097=0),"VALOR_PC vazio ou zero",IF(AND(G1097&lt;&gt;"Sim",G1097&lt;&gt;"Nao",G1097&lt;&gt;""),"PC_PAGO_A_CONTRATADA invalido",IF(AND(C1097&lt;&gt;"C0",IFERROR(INDEX(parametros!$A$2:$A$6,MATCH(C1097,parametros!$B$2:$B$6,0)),"")="Sim",IFERROR(INDEX(parametros!$H$2:$H$6,MATCH(C1097,parametros!$B$2:$B$6,0)),"")=""),"INICIO_EFEITO ausente: PC "&amp;A1097&amp;" - "&amp;C1097,IF(L1097="","EFEITO_PC nao calculado: PC "&amp;A1097&amp;" - "&amp;C1097,"OK")))))))))</f>
        <v/>
      </c>
      <c r="L1097" s="92" t="str">
        <f>IF(AND(A1097="",B1097="",D1097="",G1097=""),"",IF(OR(B1097="",NOT(ISNUMBER(B1097)),C1097="",C1097="Fora dos ciclos"),"",IF(C1097="C0","Nao",IF(IFERROR(INDEX(parametros!$A$2:$A$6,MATCH(C1097,parametros!$B$2:$B$6,0)),"")&lt;&gt;"Sim","Nao",IF(IFERROR(INDEX(parametros!$H$2:$H$6,MATCH(C1097,parametros!$B$2:$B$6,0)),"")="","",IF(B1097&gt;=IFERROR(INDEX(parametros!$H$2:$H$6,MATCH(C1097,parametros!$B$2:$B$6,0)),""),"Sim","Nao"))))))</f>
        <v/>
      </c>
      <c r="T1097" s="156"/>
      <c r="U1097" s="214" t="str">
        <f t="shared" si="91"/>
        <v/>
      </c>
      <c r="V1097" s="212" t="s">
        <v>50</v>
      </c>
      <c r="W1097" s="100" t="s">
        <v>168</v>
      </c>
      <c r="X1097" s="100" t="s">
        <v>169</v>
      </c>
      <c r="Y1097" s="101" t="s">
        <v>170</v>
      </c>
      <c r="Z1097" s="101" t="s">
        <v>171</v>
      </c>
      <c r="AA1097" s="101" t="s">
        <v>50</v>
      </c>
      <c r="AB1097" s="101" t="s">
        <v>172</v>
      </c>
      <c r="AC1097" s="102" t="s">
        <v>173</v>
      </c>
    </row>
    <row r="1098" spans="1:29" ht="25.5" customHeight="1" x14ac:dyDescent="0.35">
      <c r="A1098" s="392"/>
      <c r="B1098" s="393"/>
      <c r="C1098" s="99" t="str">
        <f>IF(B1098="","",IF(NOT(ISNUMBER(B1098)),"DATA_PC invalida",IF(NOT(ISNUMBER(parametros!$C$2)),"Fora dos ciclos",IF(OR(B1098&lt;parametros!$C$2,(YEAR(B1098)-YEAR(parametros!$C$2))*12+MONTH(B1098)-MONTH(parametros!$C$2)&gt;59),"Fora dos ciclos","C"&amp;INT(((YEAR(B1098)-YEAR(parametros!$C$2))*12+MONTH(B1098)-MONTH(parametros!$C$2))/12)))))</f>
        <v/>
      </c>
      <c r="D1098" s="394"/>
      <c r="E1098" s="78" t="str">
        <f>IF(C1098="","",IFERROR(VLOOKUP(C1098,parametros!$A$11:$E$15,5,0),""))</f>
        <v/>
      </c>
      <c r="F1098" s="79" t="str">
        <f t="shared" si="87"/>
        <v/>
      </c>
      <c r="G1098" s="395"/>
      <c r="H1098" s="91">
        <f t="shared" si="88"/>
        <v>0</v>
      </c>
      <c r="I1098" s="91" t="str">
        <f t="shared" si="89"/>
        <v/>
      </c>
      <c r="J1098" s="91" t="str">
        <f t="shared" si="90"/>
        <v/>
      </c>
      <c r="K1098" s="92" t="str">
        <f>IF(AND(A1098="",B1098="",D1098="",G1098=""),"",IF(AND(A1098&lt;&gt;"",COUNTIF($A$2:$A$5001,A1098)&gt;1),"NUMERO_PC duplicado",IF(B1098="","DATA_PC vazia",IF(NOT(ISNUMBER(B1098)),"DATA_PC invalida",IF(OR(C1098="",C1098="Fora dos ciclos"),"CICLO_PC nao identificado",IF(OR(D1098="",D1098=0),"VALOR_PC vazio ou zero",IF(AND(G1098&lt;&gt;"Sim",G1098&lt;&gt;"Nao",G1098&lt;&gt;""),"PC_PAGO_A_CONTRATADA invalido",IF(AND(C1098&lt;&gt;"C0",IFERROR(INDEX(parametros!$A$2:$A$6,MATCH(C1098,parametros!$B$2:$B$6,0)),"")="Sim",IFERROR(INDEX(parametros!$H$2:$H$6,MATCH(C1098,parametros!$B$2:$B$6,0)),"")=""),"INICIO_EFEITO ausente: PC "&amp;A1098&amp;" - "&amp;C1098,IF(L1098="","EFEITO_PC nao calculado: PC "&amp;A1098&amp;" - "&amp;C1098,"OK")))))))))</f>
        <v/>
      </c>
      <c r="L1098" s="92" t="str">
        <f>IF(AND(A1098="",B1098="",D1098="",G1098=""),"",IF(OR(B1098="",NOT(ISNUMBER(B1098)),C1098="",C1098="Fora dos ciclos"),"",IF(C1098="C0","Nao",IF(IFERROR(INDEX(parametros!$A$2:$A$6,MATCH(C1098,parametros!$B$2:$B$6,0)),"")&lt;&gt;"Sim","Nao",IF(IFERROR(INDEX(parametros!$H$2:$H$6,MATCH(C1098,parametros!$B$2:$B$6,0)),"")="","",IF(B1098&gt;=IFERROR(INDEX(parametros!$H$2:$H$6,MATCH(C1098,parametros!$B$2:$B$6,0)),""),"Sim","Nao"))))))</f>
        <v/>
      </c>
      <c r="T1098" s="156"/>
      <c r="U1098" s="214" t="str">
        <f t="shared" si="91"/>
        <v/>
      </c>
      <c r="V1098" s="212" t="s">
        <v>50</v>
      </c>
      <c r="W1098" s="100" t="s">
        <v>168</v>
      </c>
      <c r="X1098" s="100" t="s">
        <v>169</v>
      </c>
      <c r="Y1098" s="101" t="s">
        <v>170</v>
      </c>
      <c r="Z1098" s="101" t="s">
        <v>171</v>
      </c>
      <c r="AA1098" s="101" t="s">
        <v>50</v>
      </c>
      <c r="AB1098" s="101" t="s">
        <v>172</v>
      </c>
      <c r="AC1098" s="102" t="s">
        <v>173</v>
      </c>
    </row>
    <row r="1099" spans="1:29" ht="25.5" customHeight="1" x14ac:dyDescent="0.35">
      <c r="A1099" s="392"/>
      <c r="B1099" s="393"/>
      <c r="C1099" s="99" t="str">
        <f>IF(B1099="","",IF(NOT(ISNUMBER(B1099)),"DATA_PC invalida",IF(NOT(ISNUMBER(parametros!$C$2)),"Fora dos ciclos",IF(OR(B1099&lt;parametros!$C$2,(YEAR(B1099)-YEAR(parametros!$C$2))*12+MONTH(B1099)-MONTH(parametros!$C$2)&gt;59),"Fora dos ciclos","C"&amp;INT(((YEAR(B1099)-YEAR(parametros!$C$2))*12+MONTH(B1099)-MONTH(parametros!$C$2))/12)))))</f>
        <v/>
      </c>
      <c r="D1099" s="394"/>
      <c r="E1099" s="78" t="str">
        <f>IF(C1099="","",IFERROR(VLOOKUP(C1099,parametros!$A$11:$E$15,5,0),""))</f>
        <v/>
      </c>
      <c r="F1099" s="79" t="str">
        <f t="shared" si="87"/>
        <v/>
      </c>
      <c r="G1099" s="395"/>
      <c r="H1099" s="91">
        <f t="shared" si="88"/>
        <v>0</v>
      </c>
      <c r="I1099" s="91" t="str">
        <f t="shared" si="89"/>
        <v/>
      </c>
      <c r="J1099" s="91" t="str">
        <f t="shared" si="90"/>
        <v/>
      </c>
      <c r="K1099" s="92" t="str">
        <f>IF(AND(A1099="",B1099="",D1099="",G1099=""),"",IF(AND(A1099&lt;&gt;"",COUNTIF($A$2:$A$5001,A1099)&gt;1),"NUMERO_PC duplicado",IF(B1099="","DATA_PC vazia",IF(NOT(ISNUMBER(B1099)),"DATA_PC invalida",IF(OR(C1099="",C1099="Fora dos ciclos"),"CICLO_PC nao identificado",IF(OR(D1099="",D1099=0),"VALOR_PC vazio ou zero",IF(AND(G1099&lt;&gt;"Sim",G1099&lt;&gt;"Nao",G1099&lt;&gt;""),"PC_PAGO_A_CONTRATADA invalido",IF(AND(C1099&lt;&gt;"C0",IFERROR(INDEX(parametros!$A$2:$A$6,MATCH(C1099,parametros!$B$2:$B$6,0)),"")="Sim",IFERROR(INDEX(parametros!$H$2:$H$6,MATCH(C1099,parametros!$B$2:$B$6,0)),"")=""),"INICIO_EFEITO ausente: PC "&amp;A1099&amp;" - "&amp;C1099,IF(L1099="","EFEITO_PC nao calculado: PC "&amp;A1099&amp;" - "&amp;C1099,"OK")))))))))</f>
        <v/>
      </c>
      <c r="L1099" s="92" t="str">
        <f>IF(AND(A1099="",B1099="",D1099="",G1099=""),"",IF(OR(B1099="",NOT(ISNUMBER(B1099)),C1099="",C1099="Fora dos ciclos"),"",IF(C1099="C0","Nao",IF(IFERROR(INDEX(parametros!$A$2:$A$6,MATCH(C1099,parametros!$B$2:$B$6,0)),"")&lt;&gt;"Sim","Nao",IF(IFERROR(INDEX(parametros!$H$2:$H$6,MATCH(C1099,parametros!$B$2:$B$6,0)),"")="","",IF(B1099&gt;=IFERROR(INDEX(parametros!$H$2:$H$6,MATCH(C1099,parametros!$B$2:$B$6,0)),""),"Sim","Nao"))))))</f>
        <v/>
      </c>
      <c r="T1099" s="156"/>
      <c r="U1099" s="214" t="str">
        <f t="shared" si="91"/>
        <v/>
      </c>
      <c r="V1099" s="212" t="s">
        <v>50</v>
      </c>
      <c r="W1099" s="100" t="s">
        <v>168</v>
      </c>
      <c r="X1099" s="100" t="s">
        <v>169</v>
      </c>
      <c r="Y1099" s="101" t="s">
        <v>170</v>
      </c>
      <c r="Z1099" s="101" t="s">
        <v>171</v>
      </c>
      <c r="AA1099" s="101" t="s">
        <v>50</v>
      </c>
      <c r="AB1099" s="101" t="s">
        <v>172</v>
      </c>
      <c r="AC1099" s="102" t="s">
        <v>173</v>
      </c>
    </row>
    <row r="1100" spans="1:29" ht="25.5" customHeight="1" x14ac:dyDescent="0.35">
      <c r="A1100" s="392"/>
      <c r="B1100" s="393"/>
      <c r="C1100" s="99" t="str">
        <f>IF(B1100="","",IF(NOT(ISNUMBER(B1100)),"DATA_PC invalida",IF(NOT(ISNUMBER(parametros!$C$2)),"Fora dos ciclos",IF(OR(B1100&lt;parametros!$C$2,(YEAR(B1100)-YEAR(parametros!$C$2))*12+MONTH(B1100)-MONTH(parametros!$C$2)&gt;59),"Fora dos ciclos","C"&amp;INT(((YEAR(B1100)-YEAR(parametros!$C$2))*12+MONTH(B1100)-MONTH(parametros!$C$2))/12)))))</f>
        <v/>
      </c>
      <c r="D1100" s="394"/>
      <c r="E1100" s="78" t="str">
        <f>IF(C1100="","",IFERROR(VLOOKUP(C1100,parametros!$A$11:$E$15,5,0),""))</f>
        <v/>
      </c>
      <c r="F1100" s="79" t="str">
        <f t="shared" si="87"/>
        <v/>
      </c>
      <c r="G1100" s="395"/>
      <c r="H1100" s="91">
        <f t="shared" si="88"/>
        <v>0</v>
      </c>
      <c r="I1100" s="91" t="str">
        <f t="shared" si="89"/>
        <v/>
      </c>
      <c r="J1100" s="91" t="str">
        <f t="shared" si="90"/>
        <v/>
      </c>
      <c r="K1100" s="92" t="str">
        <f>IF(AND(A1100="",B1100="",D1100="",G1100=""),"",IF(AND(A1100&lt;&gt;"",COUNTIF($A$2:$A$5001,A1100)&gt;1),"NUMERO_PC duplicado",IF(B1100="","DATA_PC vazia",IF(NOT(ISNUMBER(B1100)),"DATA_PC invalida",IF(OR(C1100="",C1100="Fora dos ciclos"),"CICLO_PC nao identificado",IF(OR(D1100="",D1100=0),"VALOR_PC vazio ou zero",IF(AND(G1100&lt;&gt;"Sim",G1100&lt;&gt;"Nao",G1100&lt;&gt;""),"PC_PAGO_A_CONTRATADA invalido",IF(AND(C1100&lt;&gt;"C0",IFERROR(INDEX(parametros!$A$2:$A$6,MATCH(C1100,parametros!$B$2:$B$6,0)),"")="Sim",IFERROR(INDEX(parametros!$H$2:$H$6,MATCH(C1100,parametros!$B$2:$B$6,0)),"")=""),"INICIO_EFEITO ausente: PC "&amp;A1100&amp;" - "&amp;C1100,IF(L1100="","EFEITO_PC nao calculado: PC "&amp;A1100&amp;" - "&amp;C1100,"OK")))))))))</f>
        <v/>
      </c>
      <c r="L1100" s="92" t="str">
        <f>IF(AND(A1100="",B1100="",D1100="",G1100=""),"",IF(OR(B1100="",NOT(ISNUMBER(B1100)),C1100="",C1100="Fora dos ciclos"),"",IF(C1100="C0","Nao",IF(IFERROR(INDEX(parametros!$A$2:$A$6,MATCH(C1100,parametros!$B$2:$B$6,0)),"")&lt;&gt;"Sim","Nao",IF(IFERROR(INDEX(parametros!$H$2:$H$6,MATCH(C1100,parametros!$B$2:$B$6,0)),"")="","",IF(B1100&gt;=IFERROR(INDEX(parametros!$H$2:$H$6,MATCH(C1100,parametros!$B$2:$B$6,0)),""),"Sim","Nao"))))))</f>
        <v/>
      </c>
      <c r="T1100" s="156"/>
      <c r="U1100" s="214" t="str">
        <f t="shared" si="91"/>
        <v/>
      </c>
      <c r="V1100" s="212" t="s">
        <v>50</v>
      </c>
      <c r="W1100" s="100" t="s">
        <v>168</v>
      </c>
      <c r="X1100" s="100" t="s">
        <v>169</v>
      </c>
      <c r="Y1100" s="101" t="s">
        <v>170</v>
      </c>
      <c r="Z1100" s="101" t="s">
        <v>171</v>
      </c>
      <c r="AA1100" s="101" t="s">
        <v>50</v>
      </c>
      <c r="AB1100" s="101" t="s">
        <v>172</v>
      </c>
      <c r="AC1100" s="102" t="s">
        <v>173</v>
      </c>
    </row>
    <row r="1101" spans="1:29" ht="25.5" customHeight="1" x14ac:dyDescent="0.35">
      <c r="A1101" s="392"/>
      <c r="B1101" s="393"/>
      <c r="C1101" s="99" t="str">
        <f>IF(B1101="","",IF(NOT(ISNUMBER(B1101)),"DATA_PC invalida",IF(NOT(ISNUMBER(parametros!$C$2)),"Fora dos ciclos",IF(OR(B1101&lt;parametros!$C$2,(YEAR(B1101)-YEAR(parametros!$C$2))*12+MONTH(B1101)-MONTH(parametros!$C$2)&gt;59),"Fora dos ciclos","C"&amp;INT(((YEAR(B1101)-YEAR(parametros!$C$2))*12+MONTH(B1101)-MONTH(parametros!$C$2))/12)))))</f>
        <v/>
      </c>
      <c r="D1101" s="394"/>
      <c r="E1101" s="78" t="str">
        <f>IF(C1101="","",IFERROR(VLOOKUP(C1101,parametros!$A$11:$E$15,5,0),""))</f>
        <v/>
      </c>
      <c r="F1101" s="79" t="str">
        <f t="shared" si="87"/>
        <v/>
      </c>
      <c r="G1101" s="395"/>
      <c r="H1101" s="91">
        <f t="shared" si="88"/>
        <v>0</v>
      </c>
      <c r="I1101" s="91" t="str">
        <f t="shared" si="89"/>
        <v/>
      </c>
      <c r="J1101" s="91" t="str">
        <f t="shared" si="90"/>
        <v/>
      </c>
      <c r="K1101" s="92" t="str">
        <f>IF(AND(A1101="",B1101="",D1101="",G1101=""),"",IF(AND(A1101&lt;&gt;"",COUNTIF($A$2:$A$5001,A1101)&gt;1),"NUMERO_PC duplicado",IF(B1101="","DATA_PC vazia",IF(NOT(ISNUMBER(B1101)),"DATA_PC invalida",IF(OR(C1101="",C1101="Fora dos ciclos"),"CICLO_PC nao identificado",IF(OR(D1101="",D1101=0),"VALOR_PC vazio ou zero",IF(AND(G1101&lt;&gt;"Sim",G1101&lt;&gt;"Nao",G1101&lt;&gt;""),"PC_PAGO_A_CONTRATADA invalido",IF(AND(C1101&lt;&gt;"C0",IFERROR(INDEX(parametros!$A$2:$A$6,MATCH(C1101,parametros!$B$2:$B$6,0)),"")="Sim",IFERROR(INDEX(parametros!$H$2:$H$6,MATCH(C1101,parametros!$B$2:$B$6,0)),"")=""),"INICIO_EFEITO ausente: PC "&amp;A1101&amp;" - "&amp;C1101,IF(L1101="","EFEITO_PC nao calculado: PC "&amp;A1101&amp;" - "&amp;C1101,"OK")))))))))</f>
        <v/>
      </c>
      <c r="L1101" s="92" t="str">
        <f>IF(AND(A1101="",B1101="",D1101="",G1101=""),"",IF(OR(B1101="",NOT(ISNUMBER(B1101)),C1101="",C1101="Fora dos ciclos"),"",IF(C1101="C0","Nao",IF(IFERROR(INDEX(parametros!$A$2:$A$6,MATCH(C1101,parametros!$B$2:$B$6,0)),"")&lt;&gt;"Sim","Nao",IF(IFERROR(INDEX(parametros!$H$2:$H$6,MATCH(C1101,parametros!$B$2:$B$6,0)),"")="","",IF(B1101&gt;=IFERROR(INDEX(parametros!$H$2:$H$6,MATCH(C1101,parametros!$B$2:$B$6,0)),""),"Sim","Nao"))))))</f>
        <v/>
      </c>
      <c r="T1101" s="156"/>
      <c r="U1101" s="214" t="str">
        <f t="shared" si="91"/>
        <v/>
      </c>
      <c r="V1101" s="212" t="s">
        <v>50</v>
      </c>
      <c r="W1101" s="100" t="s">
        <v>168</v>
      </c>
      <c r="X1101" s="100" t="s">
        <v>169</v>
      </c>
      <c r="Y1101" s="101" t="s">
        <v>170</v>
      </c>
      <c r="Z1101" s="101" t="s">
        <v>171</v>
      </c>
      <c r="AA1101" s="101" t="s">
        <v>50</v>
      </c>
      <c r="AB1101" s="101" t="s">
        <v>172</v>
      </c>
      <c r="AC1101" s="102" t="s">
        <v>173</v>
      </c>
    </row>
    <row r="1102" spans="1:29" ht="25.5" customHeight="1" x14ac:dyDescent="0.35">
      <c r="A1102" s="392"/>
      <c r="B1102" s="393"/>
      <c r="C1102" s="99" t="str">
        <f>IF(B1102="","",IF(NOT(ISNUMBER(B1102)),"DATA_PC invalida",IF(NOT(ISNUMBER(parametros!$C$2)),"Fora dos ciclos",IF(OR(B1102&lt;parametros!$C$2,(YEAR(B1102)-YEAR(parametros!$C$2))*12+MONTH(B1102)-MONTH(parametros!$C$2)&gt;59),"Fora dos ciclos","C"&amp;INT(((YEAR(B1102)-YEAR(parametros!$C$2))*12+MONTH(B1102)-MONTH(parametros!$C$2))/12)))))</f>
        <v/>
      </c>
      <c r="D1102" s="394"/>
      <c r="E1102" s="78" t="str">
        <f>IF(C1102="","",IFERROR(VLOOKUP(C1102,parametros!$A$11:$E$15,5,0),""))</f>
        <v/>
      </c>
      <c r="F1102" s="79" t="str">
        <f t="shared" si="87"/>
        <v/>
      </c>
      <c r="G1102" s="395"/>
      <c r="H1102" s="91">
        <f t="shared" si="88"/>
        <v>0</v>
      </c>
      <c r="I1102" s="91" t="str">
        <f t="shared" si="89"/>
        <v/>
      </c>
      <c r="J1102" s="91" t="str">
        <f t="shared" si="90"/>
        <v/>
      </c>
      <c r="K1102" s="92" t="str">
        <f>IF(AND(A1102="",B1102="",D1102="",G1102=""),"",IF(AND(A1102&lt;&gt;"",COUNTIF($A$2:$A$5001,A1102)&gt;1),"NUMERO_PC duplicado",IF(B1102="","DATA_PC vazia",IF(NOT(ISNUMBER(B1102)),"DATA_PC invalida",IF(OR(C1102="",C1102="Fora dos ciclos"),"CICLO_PC nao identificado",IF(OR(D1102="",D1102=0),"VALOR_PC vazio ou zero",IF(AND(G1102&lt;&gt;"Sim",G1102&lt;&gt;"Nao",G1102&lt;&gt;""),"PC_PAGO_A_CONTRATADA invalido",IF(AND(C1102&lt;&gt;"C0",IFERROR(INDEX(parametros!$A$2:$A$6,MATCH(C1102,parametros!$B$2:$B$6,0)),"")="Sim",IFERROR(INDEX(parametros!$H$2:$H$6,MATCH(C1102,parametros!$B$2:$B$6,0)),"")=""),"INICIO_EFEITO ausente: PC "&amp;A1102&amp;" - "&amp;C1102,IF(L1102="","EFEITO_PC nao calculado: PC "&amp;A1102&amp;" - "&amp;C1102,"OK")))))))))</f>
        <v/>
      </c>
      <c r="L1102" s="92" t="str">
        <f>IF(AND(A1102="",B1102="",D1102="",G1102=""),"",IF(OR(B1102="",NOT(ISNUMBER(B1102)),C1102="",C1102="Fora dos ciclos"),"",IF(C1102="C0","Nao",IF(IFERROR(INDEX(parametros!$A$2:$A$6,MATCH(C1102,parametros!$B$2:$B$6,0)),"")&lt;&gt;"Sim","Nao",IF(IFERROR(INDEX(parametros!$H$2:$H$6,MATCH(C1102,parametros!$B$2:$B$6,0)),"")="","",IF(B1102&gt;=IFERROR(INDEX(parametros!$H$2:$H$6,MATCH(C1102,parametros!$B$2:$B$6,0)),""),"Sim","Nao"))))))</f>
        <v/>
      </c>
      <c r="T1102" s="156"/>
      <c r="U1102" s="214" t="str">
        <f t="shared" si="91"/>
        <v/>
      </c>
      <c r="V1102" s="212" t="s">
        <v>50</v>
      </c>
      <c r="W1102" s="100" t="s">
        <v>168</v>
      </c>
      <c r="X1102" s="100" t="s">
        <v>169</v>
      </c>
      <c r="Y1102" s="101" t="s">
        <v>170</v>
      </c>
      <c r="Z1102" s="101" t="s">
        <v>171</v>
      </c>
      <c r="AA1102" s="101" t="s">
        <v>50</v>
      </c>
      <c r="AB1102" s="101" t="s">
        <v>172</v>
      </c>
      <c r="AC1102" s="102" t="s">
        <v>173</v>
      </c>
    </row>
    <row r="1103" spans="1:29" ht="25.5" customHeight="1" x14ac:dyDescent="0.35">
      <c r="A1103" s="392"/>
      <c r="B1103" s="393"/>
      <c r="C1103" s="99" t="str">
        <f>IF(B1103="","",IF(NOT(ISNUMBER(B1103)),"DATA_PC invalida",IF(NOT(ISNUMBER(parametros!$C$2)),"Fora dos ciclos",IF(OR(B1103&lt;parametros!$C$2,(YEAR(B1103)-YEAR(parametros!$C$2))*12+MONTH(B1103)-MONTH(parametros!$C$2)&gt;59),"Fora dos ciclos","C"&amp;INT(((YEAR(B1103)-YEAR(parametros!$C$2))*12+MONTH(B1103)-MONTH(parametros!$C$2))/12)))))</f>
        <v/>
      </c>
      <c r="D1103" s="394"/>
      <c r="E1103" s="78" t="str">
        <f>IF(C1103="","",IFERROR(VLOOKUP(C1103,parametros!$A$11:$E$15,5,0),""))</f>
        <v/>
      </c>
      <c r="F1103" s="79" t="str">
        <f t="shared" si="87"/>
        <v/>
      </c>
      <c r="G1103" s="395"/>
      <c r="H1103" s="91">
        <f t="shared" si="88"/>
        <v>0</v>
      </c>
      <c r="I1103" s="91" t="str">
        <f t="shared" si="89"/>
        <v/>
      </c>
      <c r="J1103" s="91" t="str">
        <f t="shared" si="90"/>
        <v/>
      </c>
      <c r="K1103" s="92" t="str">
        <f>IF(AND(A1103="",B1103="",D1103="",G1103=""),"",IF(AND(A1103&lt;&gt;"",COUNTIF($A$2:$A$5001,A1103)&gt;1),"NUMERO_PC duplicado",IF(B1103="","DATA_PC vazia",IF(NOT(ISNUMBER(B1103)),"DATA_PC invalida",IF(OR(C1103="",C1103="Fora dos ciclos"),"CICLO_PC nao identificado",IF(OR(D1103="",D1103=0),"VALOR_PC vazio ou zero",IF(AND(G1103&lt;&gt;"Sim",G1103&lt;&gt;"Nao",G1103&lt;&gt;""),"PC_PAGO_A_CONTRATADA invalido",IF(AND(C1103&lt;&gt;"C0",IFERROR(INDEX(parametros!$A$2:$A$6,MATCH(C1103,parametros!$B$2:$B$6,0)),"")="Sim",IFERROR(INDEX(parametros!$H$2:$H$6,MATCH(C1103,parametros!$B$2:$B$6,0)),"")=""),"INICIO_EFEITO ausente: PC "&amp;A1103&amp;" - "&amp;C1103,IF(L1103="","EFEITO_PC nao calculado: PC "&amp;A1103&amp;" - "&amp;C1103,"OK")))))))))</f>
        <v/>
      </c>
      <c r="L1103" s="92" t="str">
        <f>IF(AND(A1103="",B1103="",D1103="",G1103=""),"",IF(OR(B1103="",NOT(ISNUMBER(B1103)),C1103="",C1103="Fora dos ciclos"),"",IF(C1103="C0","Nao",IF(IFERROR(INDEX(parametros!$A$2:$A$6,MATCH(C1103,parametros!$B$2:$B$6,0)),"")&lt;&gt;"Sim","Nao",IF(IFERROR(INDEX(parametros!$H$2:$H$6,MATCH(C1103,parametros!$B$2:$B$6,0)),"")="","",IF(B1103&gt;=IFERROR(INDEX(parametros!$H$2:$H$6,MATCH(C1103,parametros!$B$2:$B$6,0)),""),"Sim","Nao"))))))</f>
        <v/>
      </c>
      <c r="T1103" s="156"/>
      <c r="U1103" s="214" t="str">
        <f t="shared" si="91"/>
        <v/>
      </c>
      <c r="V1103" s="212" t="s">
        <v>50</v>
      </c>
      <c r="W1103" s="100" t="s">
        <v>168</v>
      </c>
      <c r="X1103" s="100" t="s">
        <v>169</v>
      </c>
      <c r="Y1103" s="101" t="s">
        <v>170</v>
      </c>
      <c r="Z1103" s="101" t="s">
        <v>171</v>
      </c>
      <c r="AA1103" s="101" t="s">
        <v>50</v>
      </c>
      <c r="AB1103" s="101" t="s">
        <v>172</v>
      </c>
      <c r="AC1103" s="102" t="s">
        <v>173</v>
      </c>
    </row>
    <row r="1104" spans="1:29" ht="25.5" customHeight="1" x14ac:dyDescent="0.35">
      <c r="A1104" s="392"/>
      <c r="B1104" s="393"/>
      <c r="C1104" s="99" t="str">
        <f>IF(B1104="","",IF(NOT(ISNUMBER(B1104)),"DATA_PC invalida",IF(NOT(ISNUMBER(parametros!$C$2)),"Fora dos ciclos",IF(OR(B1104&lt;parametros!$C$2,(YEAR(B1104)-YEAR(parametros!$C$2))*12+MONTH(B1104)-MONTH(parametros!$C$2)&gt;59),"Fora dos ciclos","C"&amp;INT(((YEAR(B1104)-YEAR(parametros!$C$2))*12+MONTH(B1104)-MONTH(parametros!$C$2))/12)))))</f>
        <v/>
      </c>
      <c r="D1104" s="394"/>
      <c r="E1104" s="78" t="str">
        <f>IF(C1104="","",IFERROR(VLOOKUP(C1104,parametros!$A$11:$E$15,5,0),""))</f>
        <v/>
      </c>
      <c r="F1104" s="79" t="str">
        <f t="shared" si="87"/>
        <v/>
      </c>
      <c r="G1104" s="395"/>
      <c r="H1104" s="91">
        <f t="shared" si="88"/>
        <v>0</v>
      </c>
      <c r="I1104" s="91" t="str">
        <f t="shared" si="89"/>
        <v/>
      </c>
      <c r="J1104" s="91" t="str">
        <f t="shared" si="90"/>
        <v/>
      </c>
      <c r="K1104" s="92" t="str">
        <f>IF(AND(A1104="",B1104="",D1104="",G1104=""),"",IF(AND(A1104&lt;&gt;"",COUNTIF($A$2:$A$5001,A1104)&gt;1),"NUMERO_PC duplicado",IF(B1104="","DATA_PC vazia",IF(NOT(ISNUMBER(B1104)),"DATA_PC invalida",IF(OR(C1104="",C1104="Fora dos ciclos"),"CICLO_PC nao identificado",IF(OR(D1104="",D1104=0),"VALOR_PC vazio ou zero",IF(AND(G1104&lt;&gt;"Sim",G1104&lt;&gt;"Nao",G1104&lt;&gt;""),"PC_PAGO_A_CONTRATADA invalido",IF(AND(C1104&lt;&gt;"C0",IFERROR(INDEX(parametros!$A$2:$A$6,MATCH(C1104,parametros!$B$2:$B$6,0)),"")="Sim",IFERROR(INDEX(parametros!$H$2:$H$6,MATCH(C1104,parametros!$B$2:$B$6,0)),"")=""),"INICIO_EFEITO ausente: PC "&amp;A1104&amp;" - "&amp;C1104,IF(L1104="","EFEITO_PC nao calculado: PC "&amp;A1104&amp;" - "&amp;C1104,"OK")))))))))</f>
        <v/>
      </c>
      <c r="L1104" s="92" t="str">
        <f>IF(AND(A1104="",B1104="",D1104="",G1104=""),"",IF(OR(B1104="",NOT(ISNUMBER(B1104)),C1104="",C1104="Fora dos ciclos"),"",IF(C1104="C0","Nao",IF(IFERROR(INDEX(parametros!$A$2:$A$6,MATCH(C1104,parametros!$B$2:$B$6,0)),"")&lt;&gt;"Sim","Nao",IF(IFERROR(INDEX(parametros!$H$2:$H$6,MATCH(C1104,parametros!$B$2:$B$6,0)),"")="","",IF(B1104&gt;=IFERROR(INDEX(parametros!$H$2:$H$6,MATCH(C1104,parametros!$B$2:$B$6,0)),""),"Sim","Nao"))))))</f>
        <v/>
      </c>
      <c r="T1104" s="156"/>
      <c r="U1104" s="214" t="str">
        <f t="shared" si="91"/>
        <v/>
      </c>
      <c r="V1104" s="212" t="s">
        <v>50</v>
      </c>
      <c r="W1104" s="100" t="s">
        <v>168</v>
      </c>
      <c r="X1104" s="100" t="s">
        <v>169</v>
      </c>
      <c r="Y1104" s="101" t="s">
        <v>170</v>
      </c>
      <c r="Z1104" s="101" t="s">
        <v>171</v>
      </c>
      <c r="AA1104" s="101" t="s">
        <v>50</v>
      </c>
      <c r="AB1104" s="101" t="s">
        <v>172</v>
      </c>
      <c r="AC1104" s="102" t="s">
        <v>173</v>
      </c>
    </row>
    <row r="1105" spans="1:29" ht="25.5" customHeight="1" x14ac:dyDescent="0.35">
      <c r="A1105" s="392"/>
      <c r="B1105" s="393"/>
      <c r="C1105" s="99" t="str">
        <f>IF(B1105="","",IF(NOT(ISNUMBER(B1105)),"DATA_PC invalida",IF(NOT(ISNUMBER(parametros!$C$2)),"Fora dos ciclos",IF(OR(B1105&lt;parametros!$C$2,(YEAR(B1105)-YEAR(parametros!$C$2))*12+MONTH(B1105)-MONTH(parametros!$C$2)&gt;59),"Fora dos ciclos","C"&amp;INT(((YEAR(B1105)-YEAR(parametros!$C$2))*12+MONTH(B1105)-MONTH(parametros!$C$2))/12)))))</f>
        <v/>
      </c>
      <c r="D1105" s="394"/>
      <c r="E1105" s="78" t="str">
        <f>IF(C1105="","",IFERROR(VLOOKUP(C1105,parametros!$A$11:$E$15,5,0),""))</f>
        <v/>
      </c>
      <c r="F1105" s="79" t="str">
        <f t="shared" si="87"/>
        <v/>
      </c>
      <c r="G1105" s="395"/>
      <c r="H1105" s="91">
        <f t="shared" si="88"/>
        <v>0</v>
      </c>
      <c r="I1105" s="91" t="str">
        <f t="shared" si="89"/>
        <v/>
      </c>
      <c r="J1105" s="91" t="str">
        <f t="shared" si="90"/>
        <v/>
      </c>
      <c r="K1105" s="92" t="str">
        <f>IF(AND(A1105="",B1105="",D1105="",G1105=""),"",IF(AND(A1105&lt;&gt;"",COUNTIF($A$2:$A$5001,A1105)&gt;1),"NUMERO_PC duplicado",IF(B1105="","DATA_PC vazia",IF(NOT(ISNUMBER(B1105)),"DATA_PC invalida",IF(OR(C1105="",C1105="Fora dos ciclos"),"CICLO_PC nao identificado",IF(OR(D1105="",D1105=0),"VALOR_PC vazio ou zero",IF(AND(G1105&lt;&gt;"Sim",G1105&lt;&gt;"Nao",G1105&lt;&gt;""),"PC_PAGO_A_CONTRATADA invalido",IF(AND(C1105&lt;&gt;"C0",IFERROR(INDEX(parametros!$A$2:$A$6,MATCH(C1105,parametros!$B$2:$B$6,0)),"")="Sim",IFERROR(INDEX(parametros!$H$2:$H$6,MATCH(C1105,parametros!$B$2:$B$6,0)),"")=""),"INICIO_EFEITO ausente: PC "&amp;A1105&amp;" - "&amp;C1105,IF(L1105="","EFEITO_PC nao calculado: PC "&amp;A1105&amp;" - "&amp;C1105,"OK")))))))))</f>
        <v/>
      </c>
      <c r="L1105" s="92" t="str">
        <f>IF(AND(A1105="",B1105="",D1105="",G1105=""),"",IF(OR(B1105="",NOT(ISNUMBER(B1105)),C1105="",C1105="Fora dos ciclos"),"",IF(C1105="C0","Nao",IF(IFERROR(INDEX(parametros!$A$2:$A$6,MATCH(C1105,parametros!$B$2:$B$6,0)),"")&lt;&gt;"Sim","Nao",IF(IFERROR(INDEX(parametros!$H$2:$H$6,MATCH(C1105,parametros!$B$2:$B$6,0)),"")="","",IF(B1105&gt;=IFERROR(INDEX(parametros!$H$2:$H$6,MATCH(C1105,parametros!$B$2:$B$6,0)),""),"Sim","Nao"))))))</f>
        <v/>
      </c>
      <c r="T1105" s="156"/>
      <c r="U1105" s="214" t="str">
        <f t="shared" si="91"/>
        <v/>
      </c>
      <c r="V1105" s="212" t="s">
        <v>50</v>
      </c>
      <c r="W1105" s="100" t="s">
        <v>168</v>
      </c>
      <c r="X1105" s="100" t="s">
        <v>169</v>
      </c>
      <c r="Y1105" s="101" t="s">
        <v>170</v>
      </c>
      <c r="Z1105" s="101" t="s">
        <v>171</v>
      </c>
      <c r="AA1105" s="101" t="s">
        <v>50</v>
      </c>
      <c r="AB1105" s="101" t="s">
        <v>172</v>
      </c>
      <c r="AC1105" s="102" t="s">
        <v>173</v>
      </c>
    </row>
    <row r="1106" spans="1:29" ht="25.5" customHeight="1" x14ac:dyDescent="0.35">
      <c r="A1106" s="392"/>
      <c r="B1106" s="393"/>
      <c r="C1106" s="99" t="str">
        <f>IF(B1106="","",IF(NOT(ISNUMBER(B1106)),"DATA_PC invalida",IF(NOT(ISNUMBER(parametros!$C$2)),"Fora dos ciclos",IF(OR(B1106&lt;parametros!$C$2,(YEAR(B1106)-YEAR(parametros!$C$2))*12+MONTH(B1106)-MONTH(parametros!$C$2)&gt;59),"Fora dos ciclos","C"&amp;INT(((YEAR(B1106)-YEAR(parametros!$C$2))*12+MONTH(B1106)-MONTH(parametros!$C$2))/12)))))</f>
        <v/>
      </c>
      <c r="D1106" s="394"/>
      <c r="E1106" s="78" t="str">
        <f>IF(C1106="","",IFERROR(VLOOKUP(C1106,parametros!$A$11:$E$15,5,0),""))</f>
        <v/>
      </c>
      <c r="F1106" s="79" t="str">
        <f t="shared" si="87"/>
        <v/>
      </c>
      <c r="G1106" s="395"/>
      <c r="H1106" s="91">
        <f t="shared" si="88"/>
        <v>0</v>
      </c>
      <c r="I1106" s="91" t="str">
        <f t="shared" si="89"/>
        <v/>
      </c>
      <c r="J1106" s="91" t="str">
        <f t="shared" si="90"/>
        <v/>
      </c>
      <c r="K1106" s="92" t="str">
        <f>IF(AND(A1106="",B1106="",D1106="",G1106=""),"",IF(AND(A1106&lt;&gt;"",COUNTIF($A$2:$A$5001,A1106)&gt;1),"NUMERO_PC duplicado",IF(B1106="","DATA_PC vazia",IF(NOT(ISNUMBER(B1106)),"DATA_PC invalida",IF(OR(C1106="",C1106="Fora dos ciclos"),"CICLO_PC nao identificado",IF(OR(D1106="",D1106=0),"VALOR_PC vazio ou zero",IF(AND(G1106&lt;&gt;"Sim",G1106&lt;&gt;"Nao",G1106&lt;&gt;""),"PC_PAGO_A_CONTRATADA invalido",IF(AND(C1106&lt;&gt;"C0",IFERROR(INDEX(parametros!$A$2:$A$6,MATCH(C1106,parametros!$B$2:$B$6,0)),"")="Sim",IFERROR(INDEX(parametros!$H$2:$H$6,MATCH(C1106,parametros!$B$2:$B$6,0)),"")=""),"INICIO_EFEITO ausente: PC "&amp;A1106&amp;" - "&amp;C1106,IF(L1106="","EFEITO_PC nao calculado: PC "&amp;A1106&amp;" - "&amp;C1106,"OK")))))))))</f>
        <v/>
      </c>
      <c r="L1106" s="92" t="str">
        <f>IF(AND(A1106="",B1106="",D1106="",G1106=""),"",IF(OR(B1106="",NOT(ISNUMBER(B1106)),C1106="",C1106="Fora dos ciclos"),"",IF(C1106="C0","Nao",IF(IFERROR(INDEX(parametros!$A$2:$A$6,MATCH(C1106,parametros!$B$2:$B$6,0)),"")&lt;&gt;"Sim","Nao",IF(IFERROR(INDEX(parametros!$H$2:$H$6,MATCH(C1106,parametros!$B$2:$B$6,0)),"")="","",IF(B1106&gt;=IFERROR(INDEX(parametros!$H$2:$H$6,MATCH(C1106,parametros!$B$2:$B$6,0)),""),"Sim","Nao"))))))</f>
        <v/>
      </c>
      <c r="T1106" s="156"/>
      <c r="U1106" s="214" t="str">
        <f t="shared" si="91"/>
        <v/>
      </c>
      <c r="V1106" s="212" t="s">
        <v>50</v>
      </c>
      <c r="W1106" s="100" t="s">
        <v>168</v>
      </c>
      <c r="X1106" s="100" t="s">
        <v>169</v>
      </c>
      <c r="Y1106" s="101" t="s">
        <v>170</v>
      </c>
      <c r="Z1106" s="101" t="s">
        <v>171</v>
      </c>
      <c r="AA1106" s="101" t="s">
        <v>50</v>
      </c>
      <c r="AB1106" s="101" t="s">
        <v>172</v>
      </c>
      <c r="AC1106" s="102" t="s">
        <v>173</v>
      </c>
    </row>
    <row r="1107" spans="1:29" ht="25.5" customHeight="1" x14ac:dyDescent="0.35">
      <c r="A1107" s="392"/>
      <c r="B1107" s="393"/>
      <c r="C1107" s="99" t="str">
        <f>IF(B1107="","",IF(NOT(ISNUMBER(B1107)),"DATA_PC invalida",IF(NOT(ISNUMBER(parametros!$C$2)),"Fora dos ciclos",IF(OR(B1107&lt;parametros!$C$2,(YEAR(B1107)-YEAR(parametros!$C$2))*12+MONTH(B1107)-MONTH(parametros!$C$2)&gt;59),"Fora dos ciclos","C"&amp;INT(((YEAR(B1107)-YEAR(parametros!$C$2))*12+MONTH(B1107)-MONTH(parametros!$C$2))/12)))))</f>
        <v/>
      </c>
      <c r="D1107" s="394"/>
      <c r="E1107" s="78" t="str">
        <f>IF(C1107="","",IFERROR(VLOOKUP(C1107,parametros!$A$11:$E$15,5,0),""))</f>
        <v/>
      </c>
      <c r="F1107" s="79" t="str">
        <f t="shared" si="87"/>
        <v/>
      </c>
      <c r="G1107" s="395"/>
      <c r="H1107" s="91">
        <f t="shared" si="88"/>
        <v>0</v>
      </c>
      <c r="I1107" s="91" t="str">
        <f t="shared" si="89"/>
        <v/>
      </c>
      <c r="J1107" s="91" t="str">
        <f t="shared" si="90"/>
        <v/>
      </c>
      <c r="K1107" s="92" t="str">
        <f>IF(AND(A1107="",B1107="",D1107="",G1107=""),"",IF(AND(A1107&lt;&gt;"",COUNTIF($A$2:$A$5001,A1107)&gt;1),"NUMERO_PC duplicado",IF(B1107="","DATA_PC vazia",IF(NOT(ISNUMBER(B1107)),"DATA_PC invalida",IF(OR(C1107="",C1107="Fora dos ciclos"),"CICLO_PC nao identificado",IF(OR(D1107="",D1107=0),"VALOR_PC vazio ou zero",IF(AND(G1107&lt;&gt;"Sim",G1107&lt;&gt;"Nao",G1107&lt;&gt;""),"PC_PAGO_A_CONTRATADA invalido",IF(AND(C1107&lt;&gt;"C0",IFERROR(INDEX(parametros!$A$2:$A$6,MATCH(C1107,parametros!$B$2:$B$6,0)),"")="Sim",IFERROR(INDEX(parametros!$H$2:$H$6,MATCH(C1107,parametros!$B$2:$B$6,0)),"")=""),"INICIO_EFEITO ausente: PC "&amp;A1107&amp;" - "&amp;C1107,IF(L1107="","EFEITO_PC nao calculado: PC "&amp;A1107&amp;" - "&amp;C1107,"OK")))))))))</f>
        <v/>
      </c>
      <c r="L1107" s="92" t="str">
        <f>IF(AND(A1107="",B1107="",D1107="",G1107=""),"",IF(OR(B1107="",NOT(ISNUMBER(B1107)),C1107="",C1107="Fora dos ciclos"),"",IF(C1107="C0","Nao",IF(IFERROR(INDEX(parametros!$A$2:$A$6,MATCH(C1107,parametros!$B$2:$B$6,0)),"")&lt;&gt;"Sim","Nao",IF(IFERROR(INDEX(parametros!$H$2:$H$6,MATCH(C1107,parametros!$B$2:$B$6,0)),"")="","",IF(B1107&gt;=IFERROR(INDEX(parametros!$H$2:$H$6,MATCH(C1107,parametros!$B$2:$B$6,0)),""),"Sim","Nao"))))))</f>
        <v/>
      </c>
      <c r="T1107" s="156"/>
      <c r="U1107" s="214" t="str">
        <f t="shared" si="91"/>
        <v/>
      </c>
      <c r="V1107" s="212" t="s">
        <v>50</v>
      </c>
      <c r="W1107" s="100" t="s">
        <v>168</v>
      </c>
      <c r="X1107" s="100" t="s">
        <v>169</v>
      </c>
      <c r="Y1107" s="101" t="s">
        <v>170</v>
      </c>
      <c r="Z1107" s="101" t="s">
        <v>171</v>
      </c>
      <c r="AA1107" s="101" t="s">
        <v>50</v>
      </c>
      <c r="AB1107" s="101" t="s">
        <v>172</v>
      </c>
      <c r="AC1107" s="102" t="s">
        <v>173</v>
      </c>
    </row>
    <row r="1108" spans="1:29" ht="25.5" customHeight="1" x14ac:dyDescent="0.35">
      <c r="A1108" s="392"/>
      <c r="B1108" s="393"/>
      <c r="C1108" s="99" t="str">
        <f>IF(B1108="","",IF(NOT(ISNUMBER(B1108)),"DATA_PC invalida",IF(NOT(ISNUMBER(parametros!$C$2)),"Fora dos ciclos",IF(OR(B1108&lt;parametros!$C$2,(YEAR(B1108)-YEAR(parametros!$C$2))*12+MONTH(B1108)-MONTH(parametros!$C$2)&gt;59),"Fora dos ciclos","C"&amp;INT(((YEAR(B1108)-YEAR(parametros!$C$2))*12+MONTH(B1108)-MONTH(parametros!$C$2))/12)))))</f>
        <v/>
      </c>
      <c r="D1108" s="394"/>
      <c r="E1108" s="78" t="str">
        <f>IF(C1108="","",IFERROR(VLOOKUP(C1108,parametros!$A$11:$E$15,5,0),""))</f>
        <v/>
      </c>
      <c r="F1108" s="79" t="str">
        <f t="shared" si="87"/>
        <v/>
      </c>
      <c r="G1108" s="395"/>
      <c r="H1108" s="91">
        <f t="shared" si="88"/>
        <v>0</v>
      </c>
      <c r="I1108" s="91" t="str">
        <f t="shared" si="89"/>
        <v/>
      </c>
      <c r="J1108" s="91" t="str">
        <f t="shared" si="90"/>
        <v/>
      </c>
      <c r="K1108" s="92" t="str">
        <f>IF(AND(A1108="",B1108="",D1108="",G1108=""),"",IF(AND(A1108&lt;&gt;"",COUNTIF($A$2:$A$5001,A1108)&gt;1),"NUMERO_PC duplicado",IF(B1108="","DATA_PC vazia",IF(NOT(ISNUMBER(B1108)),"DATA_PC invalida",IF(OR(C1108="",C1108="Fora dos ciclos"),"CICLO_PC nao identificado",IF(OR(D1108="",D1108=0),"VALOR_PC vazio ou zero",IF(AND(G1108&lt;&gt;"Sim",G1108&lt;&gt;"Nao",G1108&lt;&gt;""),"PC_PAGO_A_CONTRATADA invalido",IF(AND(C1108&lt;&gt;"C0",IFERROR(INDEX(parametros!$A$2:$A$6,MATCH(C1108,parametros!$B$2:$B$6,0)),"")="Sim",IFERROR(INDEX(parametros!$H$2:$H$6,MATCH(C1108,parametros!$B$2:$B$6,0)),"")=""),"INICIO_EFEITO ausente: PC "&amp;A1108&amp;" - "&amp;C1108,IF(L1108="","EFEITO_PC nao calculado: PC "&amp;A1108&amp;" - "&amp;C1108,"OK")))))))))</f>
        <v/>
      </c>
      <c r="L1108" s="92" t="str">
        <f>IF(AND(A1108="",B1108="",D1108="",G1108=""),"",IF(OR(B1108="",NOT(ISNUMBER(B1108)),C1108="",C1108="Fora dos ciclos"),"",IF(C1108="C0","Nao",IF(IFERROR(INDEX(parametros!$A$2:$A$6,MATCH(C1108,parametros!$B$2:$B$6,0)),"")&lt;&gt;"Sim","Nao",IF(IFERROR(INDEX(parametros!$H$2:$H$6,MATCH(C1108,parametros!$B$2:$B$6,0)),"")="","",IF(B1108&gt;=IFERROR(INDEX(parametros!$H$2:$H$6,MATCH(C1108,parametros!$B$2:$B$6,0)),""),"Sim","Nao"))))))</f>
        <v/>
      </c>
      <c r="T1108" s="156"/>
      <c r="U1108" s="214" t="str">
        <f t="shared" si="91"/>
        <v/>
      </c>
      <c r="V1108" s="212" t="s">
        <v>50</v>
      </c>
      <c r="W1108" s="100" t="s">
        <v>168</v>
      </c>
      <c r="X1108" s="100" t="s">
        <v>169</v>
      </c>
      <c r="Y1108" s="101" t="s">
        <v>170</v>
      </c>
      <c r="Z1108" s="101" t="s">
        <v>171</v>
      </c>
      <c r="AA1108" s="101" t="s">
        <v>50</v>
      </c>
      <c r="AB1108" s="101" t="s">
        <v>172</v>
      </c>
      <c r="AC1108" s="102" t="s">
        <v>173</v>
      </c>
    </row>
    <row r="1109" spans="1:29" ht="25.5" customHeight="1" x14ac:dyDescent="0.35">
      <c r="A1109" s="392"/>
      <c r="B1109" s="393"/>
      <c r="C1109" s="99" t="str">
        <f>IF(B1109="","",IF(NOT(ISNUMBER(B1109)),"DATA_PC invalida",IF(NOT(ISNUMBER(parametros!$C$2)),"Fora dos ciclos",IF(OR(B1109&lt;parametros!$C$2,(YEAR(B1109)-YEAR(parametros!$C$2))*12+MONTH(B1109)-MONTH(parametros!$C$2)&gt;59),"Fora dos ciclos","C"&amp;INT(((YEAR(B1109)-YEAR(parametros!$C$2))*12+MONTH(B1109)-MONTH(parametros!$C$2))/12)))))</f>
        <v/>
      </c>
      <c r="D1109" s="394"/>
      <c r="E1109" s="78" t="str">
        <f>IF(C1109="","",IFERROR(VLOOKUP(C1109,parametros!$A$11:$E$15,5,0),""))</f>
        <v/>
      </c>
      <c r="F1109" s="79" t="str">
        <f t="shared" si="87"/>
        <v/>
      </c>
      <c r="G1109" s="395"/>
      <c r="H1109" s="91">
        <f t="shared" si="88"/>
        <v>0</v>
      </c>
      <c r="I1109" s="91" t="str">
        <f t="shared" si="89"/>
        <v/>
      </c>
      <c r="J1109" s="91" t="str">
        <f t="shared" si="90"/>
        <v/>
      </c>
      <c r="K1109" s="92" t="str">
        <f>IF(AND(A1109="",B1109="",D1109="",G1109=""),"",IF(AND(A1109&lt;&gt;"",COUNTIF($A$2:$A$5001,A1109)&gt;1),"NUMERO_PC duplicado",IF(B1109="","DATA_PC vazia",IF(NOT(ISNUMBER(B1109)),"DATA_PC invalida",IF(OR(C1109="",C1109="Fora dos ciclos"),"CICLO_PC nao identificado",IF(OR(D1109="",D1109=0),"VALOR_PC vazio ou zero",IF(AND(G1109&lt;&gt;"Sim",G1109&lt;&gt;"Nao",G1109&lt;&gt;""),"PC_PAGO_A_CONTRATADA invalido",IF(AND(C1109&lt;&gt;"C0",IFERROR(INDEX(parametros!$A$2:$A$6,MATCH(C1109,parametros!$B$2:$B$6,0)),"")="Sim",IFERROR(INDEX(parametros!$H$2:$H$6,MATCH(C1109,parametros!$B$2:$B$6,0)),"")=""),"INICIO_EFEITO ausente: PC "&amp;A1109&amp;" - "&amp;C1109,IF(L1109="","EFEITO_PC nao calculado: PC "&amp;A1109&amp;" - "&amp;C1109,"OK")))))))))</f>
        <v/>
      </c>
      <c r="L1109" s="92" t="str">
        <f>IF(AND(A1109="",B1109="",D1109="",G1109=""),"",IF(OR(B1109="",NOT(ISNUMBER(B1109)),C1109="",C1109="Fora dos ciclos"),"",IF(C1109="C0","Nao",IF(IFERROR(INDEX(parametros!$A$2:$A$6,MATCH(C1109,parametros!$B$2:$B$6,0)),"")&lt;&gt;"Sim","Nao",IF(IFERROR(INDEX(parametros!$H$2:$H$6,MATCH(C1109,parametros!$B$2:$B$6,0)),"")="","",IF(B1109&gt;=IFERROR(INDEX(parametros!$H$2:$H$6,MATCH(C1109,parametros!$B$2:$B$6,0)),""),"Sim","Nao"))))))</f>
        <v/>
      </c>
      <c r="T1109" s="156"/>
      <c r="U1109" s="214" t="str">
        <f t="shared" si="91"/>
        <v/>
      </c>
      <c r="V1109" s="212" t="s">
        <v>50</v>
      </c>
      <c r="W1109" s="100" t="s">
        <v>168</v>
      </c>
      <c r="X1109" s="100" t="s">
        <v>169</v>
      </c>
      <c r="Y1109" s="101" t="s">
        <v>170</v>
      </c>
      <c r="Z1109" s="101" t="s">
        <v>171</v>
      </c>
      <c r="AA1109" s="101" t="s">
        <v>50</v>
      </c>
      <c r="AB1109" s="101" t="s">
        <v>172</v>
      </c>
      <c r="AC1109" s="102" t="s">
        <v>173</v>
      </c>
    </row>
    <row r="1110" spans="1:29" ht="25.5" customHeight="1" x14ac:dyDescent="0.35">
      <c r="A1110" s="392"/>
      <c r="B1110" s="393"/>
      <c r="C1110" s="99" t="str">
        <f>IF(B1110="","",IF(NOT(ISNUMBER(B1110)),"DATA_PC invalida",IF(NOT(ISNUMBER(parametros!$C$2)),"Fora dos ciclos",IF(OR(B1110&lt;parametros!$C$2,(YEAR(B1110)-YEAR(parametros!$C$2))*12+MONTH(B1110)-MONTH(parametros!$C$2)&gt;59),"Fora dos ciclos","C"&amp;INT(((YEAR(B1110)-YEAR(parametros!$C$2))*12+MONTH(B1110)-MONTH(parametros!$C$2))/12)))))</f>
        <v/>
      </c>
      <c r="D1110" s="394"/>
      <c r="E1110" s="78" t="str">
        <f>IF(C1110="","",IFERROR(VLOOKUP(C1110,parametros!$A$11:$E$15,5,0),""))</f>
        <v/>
      </c>
      <c r="F1110" s="79" t="str">
        <f t="shared" si="87"/>
        <v/>
      </c>
      <c r="G1110" s="395"/>
      <c r="H1110" s="91">
        <f t="shared" si="88"/>
        <v>0</v>
      </c>
      <c r="I1110" s="91" t="str">
        <f t="shared" si="89"/>
        <v/>
      </c>
      <c r="J1110" s="91" t="str">
        <f t="shared" si="90"/>
        <v/>
      </c>
      <c r="K1110" s="92" t="str">
        <f>IF(AND(A1110="",B1110="",D1110="",G1110=""),"",IF(AND(A1110&lt;&gt;"",COUNTIF($A$2:$A$5001,A1110)&gt;1),"NUMERO_PC duplicado",IF(B1110="","DATA_PC vazia",IF(NOT(ISNUMBER(B1110)),"DATA_PC invalida",IF(OR(C1110="",C1110="Fora dos ciclos"),"CICLO_PC nao identificado",IF(OR(D1110="",D1110=0),"VALOR_PC vazio ou zero",IF(AND(G1110&lt;&gt;"Sim",G1110&lt;&gt;"Nao",G1110&lt;&gt;""),"PC_PAGO_A_CONTRATADA invalido",IF(AND(C1110&lt;&gt;"C0",IFERROR(INDEX(parametros!$A$2:$A$6,MATCH(C1110,parametros!$B$2:$B$6,0)),"")="Sim",IFERROR(INDEX(parametros!$H$2:$H$6,MATCH(C1110,parametros!$B$2:$B$6,0)),"")=""),"INICIO_EFEITO ausente: PC "&amp;A1110&amp;" - "&amp;C1110,IF(L1110="","EFEITO_PC nao calculado: PC "&amp;A1110&amp;" - "&amp;C1110,"OK")))))))))</f>
        <v/>
      </c>
      <c r="L1110" s="92" t="str">
        <f>IF(AND(A1110="",B1110="",D1110="",G1110=""),"",IF(OR(B1110="",NOT(ISNUMBER(B1110)),C1110="",C1110="Fora dos ciclos"),"",IF(C1110="C0","Nao",IF(IFERROR(INDEX(parametros!$A$2:$A$6,MATCH(C1110,parametros!$B$2:$B$6,0)),"")&lt;&gt;"Sim","Nao",IF(IFERROR(INDEX(parametros!$H$2:$H$6,MATCH(C1110,parametros!$B$2:$B$6,0)),"")="","",IF(B1110&gt;=IFERROR(INDEX(parametros!$H$2:$H$6,MATCH(C1110,parametros!$B$2:$B$6,0)),""),"Sim","Nao"))))))</f>
        <v/>
      </c>
      <c r="T1110" s="156"/>
      <c r="U1110" s="214" t="str">
        <f t="shared" si="91"/>
        <v/>
      </c>
      <c r="V1110" s="212" t="s">
        <v>50</v>
      </c>
      <c r="W1110" s="100" t="s">
        <v>168</v>
      </c>
      <c r="X1110" s="100" t="s">
        <v>169</v>
      </c>
      <c r="Y1110" s="101" t="s">
        <v>170</v>
      </c>
      <c r="Z1110" s="101" t="s">
        <v>171</v>
      </c>
      <c r="AA1110" s="101" t="s">
        <v>50</v>
      </c>
      <c r="AB1110" s="101" t="s">
        <v>172</v>
      </c>
      <c r="AC1110" s="102" t="s">
        <v>173</v>
      </c>
    </row>
    <row r="1111" spans="1:29" ht="25.5" customHeight="1" x14ac:dyDescent="0.35">
      <c r="A1111" s="392"/>
      <c r="B1111" s="393"/>
      <c r="C1111" s="99" t="str">
        <f>IF(B1111="","",IF(NOT(ISNUMBER(B1111)),"DATA_PC invalida",IF(NOT(ISNUMBER(parametros!$C$2)),"Fora dos ciclos",IF(OR(B1111&lt;parametros!$C$2,(YEAR(B1111)-YEAR(parametros!$C$2))*12+MONTH(B1111)-MONTH(parametros!$C$2)&gt;59),"Fora dos ciclos","C"&amp;INT(((YEAR(B1111)-YEAR(parametros!$C$2))*12+MONTH(B1111)-MONTH(parametros!$C$2))/12)))))</f>
        <v/>
      </c>
      <c r="D1111" s="394"/>
      <c r="E1111" s="78" t="str">
        <f>IF(C1111="","",IFERROR(VLOOKUP(C1111,parametros!$A$11:$E$15,5,0),""))</f>
        <v/>
      </c>
      <c r="F1111" s="79" t="str">
        <f t="shared" si="87"/>
        <v/>
      </c>
      <c r="G1111" s="395"/>
      <c r="H1111" s="91">
        <f t="shared" si="88"/>
        <v>0</v>
      </c>
      <c r="I1111" s="91" t="str">
        <f t="shared" si="89"/>
        <v/>
      </c>
      <c r="J1111" s="91" t="str">
        <f t="shared" si="90"/>
        <v/>
      </c>
      <c r="K1111" s="92" t="str">
        <f>IF(AND(A1111="",B1111="",D1111="",G1111=""),"",IF(AND(A1111&lt;&gt;"",COUNTIF($A$2:$A$5001,A1111)&gt;1),"NUMERO_PC duplicado",IF(B1111="","DATA_PC vazia",IF(NOT(ISNUMBER(B1111)),"DATA_PC invalida",IF(OR(C1111="",C1111="Fora dos ciclos"),"CICLO_PC nao identificado",IF(OR(D1111="",D1111=0),"VALOR_PC vazio ou zero",IF(AND(G1111&lt;&gt;"Sim",G1111&lt;&gt;"Nao",G1111&lt;&gt;""),"PC_PAGO_A_CONTRATADA invalido",IF(AND(C1111&lt;&gt;"C0",IFERROR(INDEX(parametros!$A$2:$A$6,MATCH(C1111,parametros!$B$2:$B$6,0)),"")="Sim",IFERROR(INDEX(parametros!$H$2:$H$6,MATCH(C1111,parametros!$B$2:$B$6,0)),"")=""),"INICIO_EFEITO ausente: PC "&amp;A1111&amp;" - "&amp;C1111,IF(L1111="","EFEITO_PC nao calculado: PC "&amp;A1111&amp;" - "&amp;C1111,"OK")))))))))</f>
        <v/>
      </c>
      <c r="L1111" s="92" t="str">
        <f>IF(AND(A1111="",B1111="",D1111="",G1111=""),"",IF(OR(B1111="",NOT(ISNUMBER(B1111)),C1111="",C1111="Fora dos ciclos"),"",IF(C1111="C0","Nao",IF(IFERROR(INDEX(parametros!$A$2:$A$6,MATCH(C1111,parametros!$B$2:$B$6,0)),"")&lt;&gt;"Sim","Nao",IF(IFERROR(INDEX(parametros!$H$2:$H$6,MATCH(C1111,parametros!$B$2:$B$6,0)),"")="","",IF(B1111&gt;=IFERROR(INDEX(parametros!$H$2:$H$6,MATCH(C1111,parametros!$B$2:$B$6,0)),""),"Sim","Nao"))))))</f>
        <v/>
      </c>
      <c r="T1111" s="156"/>
      <c r="U1111" s="214" t="str">
        <f t="shared" si="91"/>
        <v/>
      </c>
      <c r="V1111" s="212" t="s">
        <v>50</v>
      </c>
      <c r="W1111" s="100" t="s">
        <v>168</v>
      </c>
      <c r="X1111" s="100" t="s">
        <v>169</v>
      </c>
      <c r="Y1111" s="101" t="s">
        <v>170</v>
      </c>
      <c r="Z1111" s="101" t="s">
        <v>171</v>
      </c>
      <c r="AA1111" s="101" t="s">
        <v>50</v>
      </c>
      <c r="AB1111" s="101" t="s">
        <v>172</v>
      </c>
      <c r="AC1111" s="102" t="s">
        <v>173</v>
      </c>
    </row>
    <row r="1112" spans="1:29" ht="25.5" customHeight="1" x14ac:dyDescent="0.35">
      <c r="A1112" s="392"/>
      <c r="B1112" s="393"/>
      <c r="C1112" s="99" t="str">
        <f>IF(B1112="","",IF(NOT(ISNUMBER(B1112)),"DATA_PC invalida",IF(NOT(ISNUMBER(parametros!$C$2)),"Fora dos ciclos",IF(OR(B1112&lt;parametros!$C$2,(YEAR(B1112)-YEAR(parametros!$C$2))*12+MONTH(B1112)-MONTH(parametros!$C$2)&gt;59),"Fora dos ciclos","C"&amp;INT(((YEAR(B1112)-YEAR(parametros!$C$2))*12+MONTH(B1112)-MONTH(parametros!$C$2))/12)))))</f>
        <v/>
      </c>
      <c r="D1112" s="394"/>
      <c r="E1112" s="78" t="str">
        <f>IF(C1112="","",IFERROR(VLOOKUP(C1112,parametros!$A$11:$E$15,5,0),""))</f>
        <v/>
      </c>
      <c r="F1112" s="79" t="str">
        <f t="shared" si="87"/>
        <v/>
      </c>
      <c r="G1112" s="395"/>
      <c r="H1112" s="91">
        <f t="shared" si="88"/>
        <v>0</v>
      </c>
      <c r="I1112" s="91" t="str">
        <f t="shared" si="89"/>
        <v/>
      </c>
      <c r="J1112" s="91" t="str">
        <f t="shared" si="90"/>
        <v/>
      </c>
      <c r="K1112" s="92" t="str">
        <f>IF(AND(A1112="",B1112="",D1112="",G1112=""),"",IF(AND(A1112&lt;&gt;"",COUNTIF($A$2:$A$5001,A1112)&gt;1),"NUMERO_PC duplicado",IF(B1112="","DATA_PC vazia",IF(NOT(ISNUMBER(B1112)),"DATA_PC invalida",IF(OR(C1112="",C1112="Fora dos ciclos"),"CICLO_PC nao identificado",IF(OR(D1112="",D1112=0),"VALOR_PC vazio ou zero",IF(AND(G1112&lt;&gt;"Sim",G1112&lt;&gt;"Nao",G1112&lt;&gt;""),"PC_PAGO_A_CONTRATADA invalido",IF(AND(C1112&lt;&gt;"C0",IFERROR(INDEX(parametros!$A$2:$A$6,MATCH(C1112,parametros!$B$2:$B$6,0)),"")="Sim",IFERROR(INDEX(parametros!$H$2:$H$6,MATCH(C1112,parametros!$B$2:$B$6,0)),"")=""),"INICIO_EFEITO ausente: PC "&amp;A1112&amp;" - "&amp;C1112,IF(L1112="","EFEITO_PC nao calculado: PC "&amp;A1112&amp;" - "&amp;C1112,"OK")))))))))</f>
        <v/>
      </c>
      <c r="L1112" s="92" t="str">
        <f>IF(AND(A1112="",B1112="",D1112="",G1112=""),"",IF(OR(B1112="",NOT(ISNUMBER(B1112)),C1112="",C1112="Fora dos ciclos"),"",IF(C1112="C0","Nao",IF(IFERROR(INDEX(parametros!$A$2:$A$6,MATCH(C1112,parametros!$B$2:$B$6,0)),"")&lt;&gt;"Sim","Nao",IF(IFERROR(INDEX(parametros!$H$2:$H$6,MATCH(C1112,parametros!$B$2:$B$6,0)),"")="","",IF(B1112&gt;=IFERROR(INDEX(parametros!$H$2:$H$6,MATCH(C1112,parametros!$B$2:$B$6,0)),""),"Sim","Nao"))))))</f>
        <v/>
      </c>
      <c r="T1112" s="156"/>
      <c r="U1112" s="214" t="str">
        <f t="shared" si="91"/>
        <v/>
      </c>
      <c r="V1112" s="212" t="s">
        <v>50</v>
      </c>
      <c r="W1112" s="100" t="s">
        <v>168</v>
      </c>
      <c r="X1112" s="100" t="s">
        <v>169</v>
      </c>
      <c r="Y1112" s="101" t="s">
        <v>170</v>
      </c>
      <c r="Z1112" s="101" t="s">
        <v>171</v>
      </c>
      <c r="AA1112" s="101" t="s">
        <v>50</v>
      </c>
      <c r="AB1112" s="101" t="s">
        <v>172</v>
      </c>
      <c r="AC1112" s="102" t="s">
        <v>173</v>
      </c>
    </row>
    <row r="1113" spans="1:29" ht="25.5" customHeight="1" x14ac:dyDescent="0.35">
      <c r="A1113" s="392"/>
      <c r="B1113" s="393"/>
      <c r="C1113" s="99" t="str">
        <f>IF(B1113="","",IF(NOT(ISNUMBER(B1113)),"DATA_PC invalida",IF(NOT(ISNUMBER(parametros!$C$2)),"Fora dos ciclos",IF(OR(B1113&lt;parametros!$C$2,(YEAR(B1113)-YEAR(parametros!$C$2))*12+MONTH(B1113)-MONTH(parametros!$C$2)&gt;59),"Fora dos ciclos","C"&amp;INT(((YEAR(B1113)-YEAR(parametros!$C$2))*12+MONTH(B1113)-MONTH(parametros!$C$2))/12)))))</f>
        <v/>
      </c>
      <c r="D1113" s="394"/>
      <c r="E1113" s="78" t="str">
        <f>IF(C1113="","",IFERROR(VLOOKUP(C1113,parametros!$A$11:$E$15,5,0),""))</f>
        <v/>
      </c>
      <c r="F1113" s="79" t="str">
        <f t="shared" si="87"/>
        <v/>
      </c>
      <c r="G1113" s="395"/>
      <c r="H1113" s="91">
        <f t="shared" si="88"/>
        <v>0</v>
      </c>
      <c r="I1113" s="91" t="str">
        <f t="shared" si="89"/>
        <v/>
      </c>
      <c r="J1113" s="91" t="str">
        <f t="shared" si="90"/>
        <v/>
      </c>
      <c r="K1113" s="92" t="str">
        <f>IF(AND(A1113="",B1113="",D1113="",G1113=""),"",IF(AND(A1113&lt;&gt;"",COUNTIF($A$2:$A$5001,A1113)&gt;1),"NUMERO_PC duplicado",IF(B1113="","DATA_PC vazia",IF(NOT(ISNUMBER(B1113)),"DATA_PC invalida",IF(OR(C1113="",C1113="Fora dos ciclos"),"CICLO_PC nao identificado",IF(OR(D1113="",D1113=0),"VALOR_PC vazio ou zero",IF(AND(G1113&lt;&gt;"Sim",G1113&lt;&gt;"Nao",G1113&lt;&gt;""),"PC_PAGO_A_CONTRATADA invalido",IF(AND(C1113&lt;&gt;"C0",IFERROR(INDEX(parametros!$A$2:$A$6,MATCH(C1113,parametros!$B$2:$B$6,0)),"")="Sim",IFERROR(INDEX(parametros!$H$2:$H$6,MATCH(C1113,parametros!$B$2:$B$6,0)),"")=""),"INICIO_EFEITO ausente: PC "&amp;A1113&amp;" - "&amp;C1113,IF(L1113="","EFEITO_PC nao calculado: PC "&amp;A1113&amp;" - "&amp;C1113,"OK")))))))))</f>
        <v/>
      </c>
      <c r="L1113" s="92" t="str">
        <f>IF(AND(A1113="",B1113="",D1113="",G1113=""),"",IF(OR(B1113="",NOT(ISNUMBER(B1113)),C1113="",C1113="Fora dos ciclos"),"",IF(C1113="C0","Nao",IF(IFERROR(INDEX(parametros!$A$2:$A$6,MATCH(C1113,parametros!$B$2:$B$6,0)),"")&lt;&gt;"Sim","Nao",IF(IFERROR(INDEX(parametros!$H$2:$H$6,MATCH(C1113,parametros!$B$2:$B$6,0)),"")="","",IF(B1113&gt;=IFERROR(INDEX(parametros!$H$2:$H$6,MATCH(C1113,parametros!$B$2:$B$6,0)),""),"Sim","Nao"))))))</f>
        <v/>
      </c>
      <c r="T1113" s="156"/>
      <c r="U1113" s="214" t="str">
        <f t="shared" si="91"/>
        <v/>
      </c>
      <c r="V1113" s="212" t="s">
        <v>50</v>
      </c>
      <c r="W1113" s="100" t="s">
        <v>168</v>
      </c>
      <c r="X1113" s="100" t="s">
        <v>169</v>
      </c>
      <c r="Y1113" s="101" t="s">
        <v>170</v>
      </c>
      <c r="Z1113" s="101" t="s">
        <v>171</v>
      </c>
      <c r="AA1113" s="101" t="s">
        <v>50</v>
      </c>
      <c r="AB1113" s="101" t="s">
        <v>172</v>
      </c>
      <c r="AC1113" s="102" t="s">
        <v>173</v>
      </c>
    </row>
    <row r="1114" spans="1:29" ht="25.5" customHeight="1" x14ac:dyDescent="0.35">
      <c r="A1114" s="392"/>
      <c r="B1114" s="393"/>
      <c r="C1114" s="99" t="str">
        <f>IF(B1114="","",IF(NOT(ISNUMBER(B1114)),"DATA_PC invalida",IF(NOT(ISNUMBER(parametros!$C$2)),"Fora dos ciclos",IF(OR(B1114&lt;parametros!$C$2,(YEAR(B1114)-YEAR(parametros!$C$2))*12+MONTH(B1114)-MONTH(parametros!$C$2)&gt;59),"Fora dos ciclos","C"&amp;INT(((YEAR(B1114)-YEAR(parametros!$C$2))*12+MONTH(B1114)-MONTH(parametros!$C$2))/12)))))</f>
        <v/>
      </c>
      <c r="D1114" s="394"/>
      <c r="E1114" s="78" t="str">
        <f>IF(C1114="","",IFERROR(VLOOKUP(C1114,parametros!$A$11:$E$15,5,0),""))</f>
        <v/>
      </c>
      <c r="F1114" s="79" t="str">
        <f t="shared" si="87"/>
        <v/>
      </c>
      <c r="G1114" s="395"/>
      <c r="H1114" s="91">
        <f t="shared" si="88"/>
        <v>0</v>
      </c>
      <c r="I1114" s="91" t="str">
        <f t="shared" si="89"/>
        <v/>
      </c>
      <c r="J1114" s="91" t="str">
        <f t="shared" si="90"/>
        <v/>
      </c>
      <c r="K1114" s="92" t="str">
        <f>IF(AND(A1114="",B1114="",D1114="",G1114=""),"",IF(AND(A1114&lt;&gt;"",COUNTIF($A$2:$A$5001,A1114)&gt;1),"NUMERO_PC duplicado",IF(B1114="","DATA_PC vazia",IF(NOT(ISNUMBER(B1114)),"DATA_PC invalida",IF(OR(C1114="",C1114="Fora dos ciclos"),"CICLO_PC nao identificado",IF(OR(D1114="",D1114=0),"VALOR_PC vazio ou zero",IF(AND(G1114&lt;&gt;"Sim",G1114&lt;&gt;"Nao",G1114&lt;&gt;""),"PC_PAGO_A_CONTRATADA invalido",IF(AND(C1114&lt;&gt;"C0",IFERROR(INDEX(parametros!$A$2:$A$6,MATCH(C1114,parametros!$B$2:$B$6,0)),"")="Sim",IFERROR(INDEX(parametros!$H$2:$H$6,MATCH(C1114,parametros!$B$2:$B$6,0)),"")=""),"INICIO_EFEITO ausente: PC "&amp;A1114&amp;" - "&amp;C1114,IF(L1114="","EFEITO_PC nao calculado: PC "&amp;A1114&amp;" - "&amp;C1114,"OK")))))))))</f>
        <v/>
      </c>
      <c r="L1114" s="92" t="str">
        <f>IF(AND(A1114="",B1114="",D1114="",G1114=""),"",IF(OR(B1114="",NOT(ISNUMBER(B1114)),C1114="",C1114="Fora dos ciclos"),"",IF(C1114="C0","Nao",IF(IFERROR(INDEX(parametros!$A$2:$A$6,MATCH(C1114,parametros!$B$2:$B$6,0)),"")&lt;&gt;"Sim","Nao",IF(IFERROR(INDEX(parametros!$H$2:$H$6,MATCH(C1114,parametros!$B$2:$B$6,0)),"")="","",IF(B1114&gt;=IFERROR(INDEX(parametros!$H$2:$H$6,MATCH(C1114,parametros!$B$2:$B$6,0)),""),"Sim","Nao"))))))</f>
        <v/>
      </c>
      <c r="T1114" s="156"/>
      <c r="U1114" s="214" t="str">
        <f t="shared" si="91"/>
        <v/>
      </c>
      <c r="V1114" s="212" t="s">
        <v>50</v>
      </c>
      <c r="W1114" s="100" t="s">
        <v>168</v>
      </c>
      <c r="X1114" s="100" t="s">
        <v>169</v>
      </c>
      <c r="Y1114" s="101" t="s">
        <v>170</v>
      </c>
      <c r="Z1114" s="101" t="s">
        <v>171</v>
      </c>
      <c r="AA1114" s="101" t="s">
        <v>50</v>
      </c>
      <c r="AB1114" s="101" t="s">
        <v>172</v>
      </c>
      <c r="AC1114" s="102" t="s">
        <v>173</v>
      </c>
    </row>
    <row r="1115" spans="1:29" ht="25.5" customHeight="1" x14ac:dyDescent="0.35">
      <c r="A1115" s="392"/>
      <c r="B1115" s="393"/>
      <c r="C1115" s="99" t="str">
        <f>IF(B1115="","",IF(NOT(ISNUMBER(B1115)),"DATA_PC invalida",IF(NOT(ISNUMBER(parametros!$C$2)),"Fora dos ciclos",IF(OR(B1115&lt;parametros!$C$2,(YEAR(B1115)-YEAR(parametros!$C$2))*12+MONTH(B1115)-MONTH(parametros!$C$2)&gt;59),"Fora dos ciclos","C"&amp;INT(((YEAR(B1115)-YEAR(parametros!$C$2))*12+MONTH(B1115)-MONTH(parametros!$C$2))/12)))))</f>
        <v/>
      </c>
      <c r="D1115" s="394"/>
      <c r="E1115" s="78" t="str">
        <f>IF(C1115="","",IFERROR(VLOOKUP(C1115,parametros!$A$11:$E$15,5,0),""))</f>
        <v/>
      </c>
      <c r="F1115" s="79" t="str">
        <f t="shared" si="87"/>
        <v/>
      </c>
      <c r="G1115" s="395"/>
      <c r="H1115" s="91">
        <f t="shared" si="88"/>
        <v>0</v>
      </c>
      <c r="I1115" s="91" t="str">
        <f t="shared" si="89"/>
        <v/>
      </c>
      <c r="J1115" s="91" t="str">
        <f t="shared" si="90"/>
        <v/>
      </c>
      <c r="K1115" s="92" t="str">
        <f>IF(AND(A1115="",B1115="",D1115="",G1115=""),"",IF(AND(A1115&lt;&gt;"",COUNTIF($A$2:$A$5001,A1115)&gt;1),"NUMERO_PC duplicado",IF(B1115="","DATA_PC vazia",IF(NOT(ISNUMBER(B1115)),"DATA_PC invalida",IF(OR(C1115="",C1115="Fora dos ciclos"),"CICLO_PC nao identificado",IF(OR(D1115="",D1115=0),"VALOR_PC vazio ou zero",IF(AND(G1115&lt;&gt;"Sim",G1115&lt;&gt;"Nao",G1115&lt;&gt;""),"PC_PAGO_A_CONTRATADA invalido",IF(AND(C1115&lt;&gt;"C0",IFERROR(INDEX(parametros!$A$2:$A$6,MATCH(C1115,parametros!$B$2:$B$6,0)),"")="Sim",IFERROR(INDEX(parametros!$H$2:$H$6,MATCH(C1115,parametros!$B$2:$B$6,0)),"")=""),"INICIO_EFEITO ausente: PC "&amp;A1115&amp;" - "&amp;C1115,IF(L1115="","EFEITO_PC nao calculado: PC "&amp;A1115&amp;" - "&amp;C1115,"OK")))))))))</f>
        <v/>
      </c>
      <c r="L1115" s="92" t="str">
        <f>IF(AND(A1115="",B1115="",D1115="",G1115=""),"",IF(OR(B1115="",NOT(ISNUMBER(B1115)),C1115="",C1115="Fora dos ciclos"),"",IF(C1115="C0","Nao",IF(IFERROR(INDEX(parametros!$A$2:$A$6,MATCH(C1115,parametros!$B$2:$B$6,0)),"")&lt;&gt;"Sim","Nao",IF(IFERROR(INDEX(parametros!$H$2:$H$6,MATCH(C1115,parametros!$B$2:$B$6,0)),"")="","",IF(B1115&gt;=IFERROR(INDEX(parametros!$H$2:$H$6,MATCH(C1115,parametros!$B$2:$B$6,0)),""),"Sim","Nao"))))))</f>
        <v/>
      </c>
      <c r="T1115" s="156"/>
      <c r="U1115" s="214" t="str">
        <f t="shared" si="91"/>
        <v/>
      </c>
      <c r="V1115" s="212" t="s">
        <v>50</v>
      </c>
      <c r="W1115" s="100" t="s">
        <v>168</v>
      </c>
      <c r="X1115" s="100" t="s">
        <v>169</v>
      </c>
      <c r="Y1115" s="101" t="s">
        <v>170</v>
      </c>
      <c r="Z1115" s="101" t="s">
        <v>171</v>
      </c>
      <c r="AA1115" s="101" t="s">
        <v>50</v>
      </c>
      <c r="AB1115" s="101" t="s">
        <v>172</v>
      </c>
      <c r="AC1115" s="102" t="s">
        <v>173</v>
      </c>
    </row>
    <row r="1116" spans="1:29" ht="25.5" customHeight="1" x14ac:dyDescent="0.35">
      <c r="A1116" s="392"/>
      <c r="B1116" s="393"/>
      <c r="C1116" s="99" t="str">
        <f>IF(B1116="","",IF(NOT(ISNUMBER(B1116)),"DATA_PC invalida",IF(NOT(ISNUMBER(parametros!$C$2)),"Fora dos ciclos",IF(OR(B1116&lt;parametros!$C$2,(YEAR(B1116)-YEAR(parametros!$C$2))*12+MONTH(B1116)-MONTH(parametros!$C$2)&gt;59),"Fora dos ciclos","C"&amp;INT(((YEAR(B1116)-YEAR(parametros!$C$2))*12+MONTH(B1116)-MONTH(parametros!$C$2))/12)))))</f>
        <v/>
      </c>
      <c r="D1116" s="394"/>
      <c r="E1116" s="78" t="str">
        <f>IF(C1116="","",IFERROR(VLOOKUP(C1116,parametros!$A$11:$E$15,5,0),""))</f>
        <v/>
      </c>
      <c r="F1116" s="79" t="str">
        <f t="shared" si="87"/>
        <v/>
      </c>
      <c r="G1116" s="395"/>
      <c r="H1116" s="91">
        <f t="shared" si="88"/>
        <v>0</v>
      </c>
      <c r="I1116" s="91" t="str">
        <f t="shared" si="89"/>
        <v/>
      </c>
      <c r="J1116" s="91" t="str">
        <f t="shared" si="90"/>
        <v/>
      </c>
      <c r="K1116" s="92" t="str">
        <f>IF(AND(A1116="",B1116="",D1116="",G1116=""),"",IF(AND(A1116&lt;&gt;"",COUNTIF($A$2:$A$5001,A1116)&gt;1),"NUMERO_PC duplicado",IF(B1116="","DATA_PC vazia",IF(NOT(ISNUMBER(B1116)),"DATA_PC invalida",IF(OR(C1116="",C1116="Fora dos ciclos"),"CICLO_PC nao identificado",IF(OR(D1116="",D1116=0),"VALOR_PC vazio ou zero",IF(AND(G1116&lt;&gt;"Sim",G1116&lt;&gt;"Nao",G1116&lt;&gt;""),"PC_PAGO_A_CONTRATADA invalido",IF(AND(C1116&lt;&gt;"C0",IFERROR(INDEX(parametros!$A$2:$A$6,MATCH(C1116,parametros!$B$2:$B$6,0)),"")="Sim",IFERROR(INDEX(parametros!$H$2:$H$6,MATCH(C1116,parametros!$B$2:$B$6,0)),"")=""),"INICIO_EFEITO ausente: PC "&amp;A1116&amp;" - "&amp;C1116,IF(L1116="","EFEITO_PC nao calculado: PC "&amp;A1116&amp;" - "&amp;C1116,"OK")))))))))</f>
        <v/>
      </c>
      <c r="L1116" s="92" t="str">
        <f>IF(AND(A1116="",B1116="",D1116="",G1116=""),"",IF(OR(B1116="",NOT(ISNUMBER(B1116)),C1116="",C1116="Fora dos ciclos"),"",IF(C1116="C0","Nao",IF(IFERROR(INDEX(parametros!$A$2:$A$6,MATCH(C1116,parametros!$B$2:$B$6,0)),"")&lt;&gt;"Sim","Nao",IF(IFERROR(INDEX(parametros!$H$2:$H$6,MATCH(C1116,parametros!$B$2:$B$6,0)),"")="","",IF(B1116&gt;=IFERROR(INDEX(parametros!$H$2:$H$6,MATCH(C1116,parametros!$B$2:$B$6,0)),""),"Sim","Nao"))))))</f>
        <v/>
      </c>
      <c r="T1116" s="156"/>
      <c r="U1116" s="214" t="str">
        <f t="shared" si="91"/>
        <v/>
      </c>
      <c r="V1116" s="212" t="s">
        <v>50</v>
      </c>
      <c r="W1116" s="100" t="s">
        <v>168</v>
      </c>
      <c r="X1116" s="100" t="s">
        <v>169</v>
      </c>
      <c r="Y1116" s="101" t="s">
        <v>170</v>
      </c>
      <c r="Z1116" s="101" t="s">
        <v>171</v>
      </c>
      <c r="AA1116" s="101" t="s">
        <v>50</v>
      </c>
      <c r="AB1116" s="101" t="s">
        <v>172</v>
      </c>
      <c r="AC1116" s="102" t="s">
        <v>173</v>
      </c>
    </row>
    <row r="1117" spans="1:29" ht="25.5" customHeight="1" x14ac:dyDescent="0.35">
      <c r="A1117" s="392"/>
      <c r="B1117" s="393"/>
      <c r="C1117" s="99" t="str">
        <f>IF(B1117="","",IF(NOT(ISNUMBER(B1117)),"DATA_PC invalida",IF(NOT(ISNUMBER(parametros!$C$2)),"Fora dos ciclos",IF(OR(B1117&lt;parametros!$C$2,(YEAR(B1117)-YEAR(parametros!$C$2))*12+MONTH(B1117)-MONTH(parametros!$C$2)&gt;59),"Fora dos ciclos","C"&amp;INT(((YEAR(B1117)-YEAR(parametros!$C$2))*12+MONTH(B1117)-MONTH(parametros!$C$2))/12)))))</f>
        <v/>
      </c>
      <c r="D1117" s="394"/>
      <c r="E1117" s="78" t="str">
        <f>IF(C1117="","",IFERROR(VLOOKUP(C1117,parametros!$A$11:$E$15,5,0),""))</f>
        <v/>
      </c>
      <c r="F1117" s="79" t="str">
        <f t="shared" si="87"/>
        <v/>
      </c>
      <c r="G1117" s="395"/>
      <c r="H1117" s="91">
        <f t="shared" si="88"/>
        <v>0</v>
      </c>
      <c r="I1117" s="91" t="str">
        <f t="shared" si="89"/>
        <v/>
      </c>
      <c r="J1117" s="91" t="str">
        <f t="shared" si="90"/>
        <v/>
      </c>
      <c r="K1117" s="92" t="str">
        <f>IF(AND(A1117="",B1117="",D1117="",G1117=""),"",IF(AND(A1117&lt;&gt;"",COUNTIF($A$2:$A$5001,A1117)&gt;1),"NUMERO_PC duplicado",IF(B1117="","DATA_PC vazia",IF(NOT(ISNUMBER(B1117)),"DATA_PC invalida",IF(OR(C1117="",C1117="Fora dos ciclos"),"CICLO_PC nao identificado",IF(OR(D1117="",D1117=0),"VALOR_PC vazio ou zero",IF(AND(G1117&lt;&gt;"Sim",G1117&lt;&gt;"Nao",G1117&lt;&gt;""),"PC_PAGO_A_CONTRATADA invalido",IF(AND(C1117&lt;&gt;"C0",IFERROR(INDEX(parametros!$A$2:$A$6,MATCH(C1117,parametros!$B$2:$B$6,0)),"")="Sim",IFERROR(INDEX(parametros!$H$2:$H$6,MATCH(C1117,parametros!$B$2:$B$6,0)),"")=""),"INICIO_EFEITO ausente: PC "&amp;A1117&amp;" - "&amp;C1117,IF(L1117="","EFEITO_PC nao calculado: PC "&amp;A1117&amp;" - "&amp;C1117,"OK")))))))))</f>
        <v/>
      </c>
      <c r="L1117" s="92" t="str">
        <f>IF(AND(A1117="",B1117="",D1117="",G1117=""),"",IF(OR(B1117="",NOT(ISNUMBER(B1117)),C1117="",C1117="Fora dos ciclos"),"",IF(C1117="C0","Nao",IF(IFERROR(INDEX(parametros!$A$2:$A$6,MATCH(C1117,parametros!$B$2:$B$6,0)),"")&lt;&gt;"Sim","Nao",IF(IFERROR(INDEX(parametros!$H$2:$H$6,MATCH(C1117,parametros!$B$2:$B$6,0)),"")="","",IF(B1117&gt;=IFERROR(INDEX(parametros!$H$2:$H$6,MATCH(C1117,parametros!$B$2:$B$6,0)),""),"Sim","Nao"))))))</f>
        <v/>
      </c>
      <c r="T1117" s="156"/>
      <c r="U1117" s="214" t="str">
        <f t="shared" si="91"/>
        <v/>
      </c>
      <c r="V1117" s="212" t="s">
        <v>50</v>
      </c>
      <c r="W1117" s="100" t="s">
        <v>168</v>
      </c>
      <c r="X1117" s="100" t="s">
        <v>169</v>
      </c>
      <c r="Y1117" s="101" t="s">
        <v>170</v>
      </c>
      <c r="Z1117" s="101" t="s">
        <v>171</v>
      </c>
      <c r="AA1117" s="101" t="s">
        <v>50</v>
      </c>
      <c r="AB1117" s="101" t="s">
        <v>172</v>
      </c>
      <c r="AC1117" s="102" t="s">
        <v>173</v>
      </c>
    </row>
    <row r="1118" spans="1:29" ht="25.5" customHeight="1" x14ac:dyDescent="0.35">
      <c r="A1118" s="392"/>
      <c r="B1118" s="393"/>
      <c r="C1118" s="99" t="str">
        <f>IF(B1118="","",IF(NOT(ISNUMBER(B1118)),"DATA_PC invalida",IF(NOT(ISNUMBER(parametros!$C$2)),"Fora dos ciclos",IF(OR(B1118&lt;parametros!$C$2,(YEAR(B1118)-YEAR(parametros!$C$2))*12+MONTH(B1118)-MONTH(parametros!$C$2)&gt;59),"Fora dos ciclos","C"&amp;INT(((YEAR(B1118)-YEAR(parametros!$C$2))*12+MONTH(B1118)-MONTH(parametros!$C$2))/12)))))</f>
        <v/>
      </c>
      <c r="D1118" s="394"/>
      <c r="E1118" s="78" t="str">
        <f>IF(C1118="","",IFERROR(VLOOKUP(C1118,parametros!$A$11:$E$15,5,0),""))</f>
        <v/>
      </c>
      <c r="F1118" s="79" t="str">
        <f t="shared" si="87"/>
        <v/>
      </c>
      <c r="G1118" s="395"/>
      <c r="H1118" s="91">
        <f t="shared" si="88"/>
        <v>0</v>
      </c>
      <c r="I1118" s="91" t="str">
        <f t="shared" si="89"/>
        <v/>
      </c>
      <c r="J1118" s="91" t="str">
        <f t="shared" si="90"/>
        <v/>
      </c>
      <c r="K1118" s="92" t="str">
        <f>IF(AND(A1118="",B1118="",D1118="",G1118=""),"",IF(AND(A1118&lt;&gt;"",COUNTIF($A$2:$A$5001,A1118)&gt;1),"NUMERO_PC duplicado",IF(B1118="","DATA_PC vazia",IF(NOT(ISNUMBER(B1118)),"DATA_PC invalida",IF(OR(C1118="",C1118="Fora dos ciclos"),"CICLO_PC nao identificado",IF(OR(D1118="",D1118=0),"VALOR_PC vazio ou zero",IF(AND(G1118&lt;&gt;"Sim",G1118&lt;&gt;"Nao",G1118&lt;&gt;""),"PC_PAGO_A_CONTRATADA invalido",IF(AND(C1118&lt;&gt;"C0",IFERROR(INDEX(parametros!$A$2:$A$6,MATCH(C1118,parametros!$B$2:$B$6,0)),"")="Sim",IFERROR(INDEX(parametros!$H$2:$H$6,MATCH(C1118,parametros!$B$2:$B$6,0)),"")=""),"INICIO_EFEITO ausente: PC "&amp;A1118&amp;" - "&amp;C1118,IF(L1118="","EFEITO_PC nao calculado: PC "&amp;A1118&amp;" - "&amp;C1118,"OK")))))))))</f>
        <v/>
      </c>
      <c r="L1118" s="92" t="str">
        <f>IF(AND(A1118="",B1118="",D1118="",G1118=""),"",IF(OR(B1118="",NOT(ISNUMBER(B1118)),C1118="",C1118="Fora dos ciclos"),"",IF(C1118="C0","Nao",IF(IFERROR(INDEX(parametros!$A$2:$A$6,MATCH(C1118,parametros!$B$2:$B$6,0)),"")&lt;&gt;"Sim","Nao",IF(IFERROR(INDEX(parametros!$H$2:$H$6,MATCH(C1118,parametros!$B$2:$B$6,0)),"")="","",IF(B1118&gt;=IFERROR(INDEX(parametros!$H$2:$H$6,MATCH(C1118,parametros!$B$2:$B$6,0)),""),"Sim","Nao"))))))</f>
        <v/>
      </c>
      <c r="T1118" s="156"/>
      <c r="U1118" s="214" t="str">
        <f t="shared" si="91"/>
        <v/>
      </c>
      <c r="V1118" s="212" t="s">
        <v>50</v>
      </c>
      <c r="W1118" s="100" t="s">
        <v>168</v>
      </c>
      <c r="X1118" s="100" t="s">
        <v>169</v>
      </c>
      <c r="Y1118" s="101" t="s">
        <v>170</v>
      </c>
      <c r="Z1118" s="101" t="s">
        <v>171</v>
      </c>
      <c r="AA1118" s="101" t="s">
        <v>50</v>
      </c>
      <c r="AB1118" s="101" t="s">
        <v>172</v>
      </c>
      <c r="AC1118" s="102" t="s">
        <v>173</v>
      </c>
    </row>
    <row r="1119" spans="1:29" ht="25.5" customHeight="1" x14ac:dyDescent="0.35">
      <c r="A1119" s="392"/>
      <c r="B1119" s="393"/>
      <c r="C1119" s="99" t="str">
        <f>IF(B1119="","",IF(NOT(ISNUMBER(B1119)),"DATA_PC invalida",IF(NOT(ISNUMBER(parametros!$C$2)),"Fora dos ciclos",IF(OR(B1119&lt;parametros!$C$2,(YEAR(B1119)-YEAR(parametros!$C$2))*12+MONTH(B1119)-MONTH(parametros!$C$2)&gt;59),"Fora dos ciclos","C"&amp;INT(((YEAR(B1119)-YEAR(parametros!$C$2))*12+MONTH(B1119)-MONTH(parametros!$C$2))/12)))))</f>
        <v/>
      </c>
      <c r="D1119" s="394"/>
      <c r="E1119" s="78" t="str">
        <f>IF(C1119="","",IFERROR(VLOOKUP(C1119,parametros!$A$11:$E$15,5,0),""))</f>
        <v/>
      </c>
      <c r="F1119" s="79" t="str">
        <f t="shared" si="87"/>
        <v/>
      </c>
      <c r="G1119" s="395"/>
      <c r="H1119" s="91">
        <f t="shared" si="88"/>
        <v>0</v>
      </c>
      <c r="I1119" s="91" t="str">
        <f t="shared" si="89"/>
        <v/>
      </c>
      <c r="J1119" s="91" t="str">
        <f t="shared" si="90"/>
        <v/>
      </c>
      <c r="K1119" s="92" t="str">
        <f>IF(AND(A1119="",B1119="",D1119="",G1119=""),"",IF(AND(A1119&lt;&gt;"",COUNTIF($A$2:$A$5001,A1119)&gt;1),"NUMERO_PC duplicado",IF(B1119="","DATA_PC vazia",IF(NOT(ISNUMBER(B1119)),"DATA_PC invalida",IF(OR(C1119="",C1119="Fora dos ciclos"),"CICLO_PC nao identificado",IF(OR(D1119="",D1119=0),"VALOR_PC vazio ou zero",IF(AND(G1119&lt;&gt;"Sim",G1119&lt;&gt;"Nao",G1119&lt;&gt;""),"PC_PAGO_A_CONTRATADA invalido",IF(AND(C1119&lt;&gt;"C0",IFERROR(INDEX(parametros!$A$2:$A$6,MATCH(C1119,parametros!$B$2:$B$6,0)),"")="Sim",IFERROR(INDEX(parametros!$H$2:$H$6,MATCH(C1119,parametros!$B$2:$B$6,0)),"")=""),"INICIO_EFEITO ausente: PC "&amp;A1119&amp;" - "&amp;C1119,IF(L1119="","EFEITO_PC nao calculado: PC "&amp;A1119&amp;" - "&amp;C1119,"OK")))))))))</f>
        <v/>
      </c>
      <c r="L1119" s="92" t="str">
        <f>IF(AND(A1119="",B1119="",D1119="",G1119=""),"",IF(OR(B1119="",NOT(ISNUMBER(B1119)),C1119="",C1119="Fora dos ciclos"),"",IF(C1119="C0","Nao",IF(IFERROR(INDEX(parametros!$A$2:$A$6,MATCH(C1119,parametros!$B$2:$B$6,0)),"")&lt;&gt;"Sim","Nao",IF(IFERROR(INDEX(parametros!$H$2:$H$6,MATCH(C1119,parametros!$B$2:$B$6,0)),"")="","",IF(B1119&gt;=IFERROR(INDEX(parametros!$H$2:$H$6,MATCH(C1119,parametros!$B$2:$B$6,0)),""),"Sim","Nao"))))))</f>
        <v/>
      </c>
      <c r="T1119" s="156"/>
      <c r="U1119" s="214" t="str">
        <f t="shared" si="91"/>
        <v/>
      </c>
      <c r="V1119" s="212" t="s">
        <v>50</v>
      </c>
      <c r="W1119" s="100" t="s">
        <v>168</v>
      </c>
      <c r="X1119" s="100" t="s">
        <v>169</v>
      </c>
      <c r="Y1119" s="101" t="s">
        <v>170</v>
      </c>
      <c r="Z1119" s="101" t="s">
        <v>171</v>
      </c>
      <c r="AA1119" s="101" t="s">
        <v>50</v>
      </c>
      <c r="AB1119" s="101" t="s">
        <v>172</v>
      </c>
      <c r="AC1119" s="102" t="s">
        <v>173</v>
      </c>
    </row>
    <row r="1120" spans="1:29" ht="25.5" customHeight="1" x14ac:dyDescent="0.35">
      <c r="A1120" s="392"/>
      <c r="B1120" s="393"/>
      <c r="C1120" s="99" t="str">
        <f>IF(B1120="","",IF(NOT(ISNUMBER(B1120)),"DATA_PC invalida",IF(NOT(ISNUMBER(parametros!$C$2)),"Fora dos ciclos",IF(OR(B1120&lt;parametros!$C$2,(YEAR(B1120)-YEAR(parametros!$C$2))*12+MONTH(B1120)-MONTH(parametros!$C$2)&gt;59),"Fora dos ciclos","C"&amp;INT(((YEAR(B1120)-YEAR(parametros!$C$2))*12+MONTH(B1120)-MONTH(parametros!$C$2))/12)))))</f>
        <v/>
      </c>
      <c r="D1120" s="394"/>
      <c r="E1120" s="78" t="str">
        <f>IF(C1120="","",IFERROR(VLOOKUP(C1120,parametros!$A$11:$E$15,5,0),""))</f>
        <v/>
      </c>
      <c r="F1120" s="79" t="str">
        <f t="shared" si="87"/>
        <v/>
      </c>
      <c r="G1120" s="395"/>
      <c r="H1120" s="91">
        <f t="shared" si="88"/>
        <v>0</v>
      </c>
      <c r="I1120" s="91" t="str">
        <f t="shared" si="89"/>
        <v/>
      </c>
      <c r="J1120" s="91" t="str">
        <f t="shared" si="90"/>
        <v/>
      </c>
      <c r="K1120" s="92" t="str">
        <f>IF(AND(A1120="",B1120="",D1120="",G1120=""),"",IF(AND(A1120&lt;&gt;"",COUNTIF($A$2:$A$5001,A1120)&gt;1),"NUMERO_PC duplicado",IF(B1120="","DATA_PC vazia",IF(NOT(ISNUMBER(B1120)),"DATA_PC invalida",IF(OR(C1120="",C1120="Fora dos ciclos"),"CICLO_PC nao identificado",IF(OR(D1120="",D1120=0),"VALOR_PC vazio ou zero",IF(AND(G1120&lt;&gt;"Sim",G1120&lt;&gt;"Nao",G1120&lt;&gt;""),"PC_PAGO_A_CONTRATADA invalido",IF(AND(C1120&lt;&gt;"C0",IFERROR(INDEX(parametros!$A$2:$A$6,MATCH(C1120,parametros!$B$2:$B$6,0)),"")="Sim",IFERROR(INDEX(parametros!$H$2:$H$6,MATCH(C1120,parametros!$B$2:$B$6,0)),"")=""),"INICIO_EFEITO ausente: PC "&amp;A1120&amp;" - "&amp;C1120,IF(L1120="","EFEITO_PC nao calculado: PC "&amp;A1120&amp;" - "&amp;C1120,"OK")))))))))</f>
        <v/>
      </c>
      <c r="L1120" s="92" t="str">
        <f>IF(AND(A1120="",B1120="",D1120="",G1120=""),"",IF(OR(B1120="",NOT(ISNUMBER(B1120)),C1120="",C1120="Fora dos ciclos"),"",IF(C1120="C0","Nao",IF(IFERROR(INDEX(parametros!$A$2:$A$6,MATCH(C1120,parametros!$B$2:$B$6,0)),"")&lt;&gt;"Sim","Nao",IF(IFERROR(INDEX(parametros!$H$2:$H$6,MATCH(C1120,parametros!$B$2:$B$6,0)),"")="","",IF(B1120&gt;=IFERROR(INDEX(parametros!$H$2:$H$6,MATCH(C1120,parametros!$B$2:$B$6,0)),""),"Sim","Nao"))))))</f>
        <v/>
      </c>
      <c r="T1120" s="156"/>
      <c r="U1120" s="214" t="str">
        <f t="shared" si="91"/>
        <v/>
      </c>
      <c r="V1120" s="212" t="s">
        <v>50</v>
      </c>
      <c r="W1120" s="100" t="s">
        <v>168</v>
      </c>
      <c r="X1120" s="100" t="s">
        <v>169</v>
      </c>
      <c r="Y1120" s="101" t="s">
        <v>170</v>
      </c>
      <c r="Z1120" s="101" t="s">
        <v>171</v>
      </c>
      <c r="AA1120" s="101" t="s">
        <v>50</v>
      </c>
      <c r="AB1120" s="101" t="s">
        <v>172</v>
      </c>
      <c r="AC1120" s="102" t="s">
        <v>173</v>
      </c>
    </row>
    <row r="1121" spans="1:29" ht="25.5" customHeight="1" x14ac:dyDescent="0.35">
      <c r="A1121" s="392"/>
      <c r="B1121" s="393"/>
      <c r="C1121" s="99" t="str">
        <f>IF(B1121="","",IF(NOT(ISNUMBER(B1121)),"DATA_PC invalida",IF(NOT(ISNUMBER(parametros!$C$2)),"Fora dos ciclos",IF(OR(B1121&lt;parametros!$C$2,(YEAR(B1121)-YEAR(parametros!$C$2))*12+MONTH(B1121)-MONTH(parametros!$C$2)&gt;59),"Fora dos ciclos","C"&amp;INT(((YEAR(B1121)-YEAR(parametros!$C$2))*12+MONTH(B1121)-MONTH(parametros!$C$2))/12)))))</f>
        <v/>
      </c>
      <c r="D1121" s="394"/>
      <c r="E1121" s="78" t="str">
        <f>IF(C1121="","",IFERROR(VLOOKUP(C1121,parametros!$A$11:$E$15,5,0),""))</f>
        <v/>
      </c>
      <c r="F1121" s="79" t="str">
        <f t="shared" si="87"/>
        <v/>
      </c>
      <c r="G1121" s="395"/>
      <c r="H1121" s="91">
        <f t="shared" si="88"/>
        <v>0</v>
      </c>
      <c r="I1121" s="91" t="str">
        <f t="shared" si="89"/>
        <v/>
      </c>
      <c r="J1121" s="91" t="str">
        <f t="shared" si="90"/>
        <v/>
      </c>
      <c r="K1121" s="92" t="str">
        <f>IF(AND(A1121="",B1121="",D1121="",G1121=""),"",IF(AND(A1121&lt;&gt;"",COUNTIF($A$2:$A$5001,A1121)&gt;1),"NUMERO_PC duplicado",IF(B1121="","DATA_PC vazia",IF(NOT(ISNUMBER(B1121)),"DATA_PC invalida",IF(OR(C1121="",C1121="Fora dos ciclos"),"CICLO_PC nao identificado",IF(OR(D1121="",D1121=0),"VALOR_PC vazio ou zero",IF(AND(G1121&lt;&gt;"Sim",G1121&lt;&gt;"Nao",G1121&lt;&gt;""),"PC_PAGO_A_CONTRATADA invalido",IF(AND(C1121&lt;&gt;"C0",IFERROR(INDEX(parametros!$A$2:$A$6,MATCH(C1121,parametros!$B$2:$B$6,0)),"")="Sim",IFERROR(INDEX(parametros!$H$2:$H$6,MATCH(C1121,parametros!$B$2:$B$6,0)),"")=""),"INICIO_EFEITO ausente: PC "&amp;A1121&amp;" - "&amp;C1121,IF(L1121="","EFEITO_PC nao calculado: PC "&amp;A1121&amp;" - "&amp;C1121,"OK")))))))))</f>
        <v/>
      </c>
      <c r="L1121" s="92" t="str">
        <f>IF(AND(A1121="",B1121="",D1121="",G1121=""),"",IF(OR(B1121="",NOT(ISNUMBER(B1121)),C1121="",C1121="Fora dos ciclos"),"",IF(C1121="C0","Nao",IF(IFERROR(INDEX(parametros!$A$2:$A$6,MATCH(C1121,parametros!$B$2:$B$6,0)),"")&lt;&gt;"Sim","Nao",IF(IFERROR(INDEX(parametros!$H$2:$H$6,MATCH(C1121,parametros!$B$2:$B$6,0)),"")="","",IF(B1121&gt;=IFERROR(INDEX(parametros!$H$2:$H$6,MATCH(C1121,parametros!$B$2:$B$6,0)),""),"Sim","Nao"))))))</f>
        <v/>
      </c>
      <c r="T1121" s="156"/>
      <c r="U1121" s="214" t="str">
        <f t="shared" si="91"/>
        <v/>
      </c>
      <c r="V1121" s="212" t="s">
        <v>50</v>
      </c>
      <c r="W1121" s="100" t="s">
        <v>168</v>
      </c>
      <c r="X1121" s="100" t="s">
        <v>169</v>
      </c>
      <c r="Y1121" s="101" t="s">
        <v>170</v>
      </c>
      <c r="Z1121" s="101" t="s">
        <v>171</v>
      </c>
      <c r="AA1121" s="101" t="s">
        <v>50</v>
      </c>
      <c r="AB1121" s="101" t="s">
        <v>172</v>
      </c>
      <c r="AC1121" s="102" t="s">
        <v>173</v>
      </c>
    </row>
    <row r="1122" spans="1:29" ht="25.5" customHeight="1" x14ac:dyDescent="0.35">
      <c r="A1122" s="392"/>
      <c r="B1122" s="393"/>
      <c r="C1122" s="99" t="str">
        <f>IF(B1122="","",IF(NOT(ISNUMBER(B1122)),"DATA_PC invalida",IF(NOT(ISNUMBER(parametros!$C$2)),"Fora dos ciclos",IF(OR(B1122&lt;parametros!$C$2,(YEAR(B1122)-YEAR(parametros!$C$2))*12+MONTH(B1122)-MONTH(parametros!$C$2)&gt;59),"Fora dos ciclos","C"&amp;INT(((YEAR(B1122)-YEAR(parametros!$C$2))*12+MONTH(B1122)-MONTH(parametros!$C$2))/12)))))</f>
        <v/>
      </c>
      <c r="D1122" s="394"/>
      <c r="E1122" s="78" t="str">
        <f>IF(C1122="","",IFERROR(VLOOKUP(C1122,parametros!$A$11:$E$15,5,0),""))</f>
        <v/>
      </c>
      <c r="F1122" s="79" t="str">
        <f t="shared" si="87"/>
        <v/>
      </c>
      <c r="G1122" s="395"/>
      <c r="H1122" s="91">
        <f t="shared" si="88"/>
        <v>0</v>
      </c>
      <c r="I1122" s="91" t="str">
        <f t="shared" si="89"/>
        <v/>
      </c>
      <c r="J1122" s="91" t="str">
        <f t="shared" si="90"/>
        <v/>
      </c>
      <c r="K1122" s="92" t="str">
        <f>IF(AND(A1122="",B1122="",D1122="",G1122=""),"",IF(AND(A1122&lt;&gt;"",COUNTIF($A$2:$A$5001,A1122)&gt;1),"NUMERO_PC duplicado",IF(B1122="","DATA_PC vazia",IF(NOT(ISNUMBER(B1122)),"DATA_PC invalida",IF(OR(C1122="",C1122="Fora dos ciclos"),"CICLO_PC nao identificado",IF(OR(D1122="",D1122=0),"VALOR_PC vazio ou zero",IF(AND(G1122&lt;&gt;"Sim",G1122&lt;&gt;"Nao",G1122&lt;&gt;""),"PC_PAGO_A_CONTRATADA invalido",IF(AND(C1122&lt;&gt;"C0",IFERROR(INDEX(parametros!$A$2:$A$6,MATCH(C1122,parametros!$B$2:$B$6,0)),"")="Sim",IFERROR(INDEX(parametros!$H$2:$H$6,MATCH(C1122,parametros!$B$2:$B$6,0)),"")=""),"INICIO_EFEITO ausente: PC "&amp;A1122&amp;" - "&amp;C1122,IF(L1122="","EFEITO_PC nao calculado: PC "&amp;A1122&amp;" - "&amp;C1122,"OK")))))))))</f>
        <v/>
      </c>
      <c r="L1122" s="92" t="str">
        <f>IF(AND(A1122="",B1122="",D1122="",G1122=""),"",IF(OR(B1122="",NOT(ISNUMBER(B1122)),C1122="",C1122="Fora dos ciclos"),"",IF(C1122="C0","Nao",IF(IFERROR(INDEX(parametros!$A$2:$A$6,MATCH(C1122,parametros!$B$2:$B$6,0)),"")&lt;&gt;"Sim","Nao",IF(IFERROR(INDEX(parametros!$H$2:$H$6,MATCH(C1122,parametros!$B$2:$B$6,0)),"")="","",IF(B1122&gt;=IFERROR(INDEX(parametros!$H$2:$H$6,MATCH(C1122,parametros!$B$2:$B$6,0)),""),"Sim","Nao"))))))</f>
        <v/>
      </c>
      <c r="T1122" s="156"/>
      <c r="U1122" s="214" t="str">
        <f t="shared" si="91"/>
        <v/>
      </c>
      <c r="V1122" s="212" t="s">
        <v>50</v>
      </c>
      <c r="W1122" s="100" t="s">
        <v>168</v>
      </c>
      <c r="X1122" s="100" t="s">
        <v>169</v>
      </c>
      <c r="Y1122" s="101" t="s">
        <v>170</v>
      </c>
      <c r="Z1122" s="101" t="s">
        <v>171</v>
      </c>
      <c r="AA1122" s="101" t="s">
        <v>50</v>
      </c>
      <c r="AB1122" s="101" t="s">
        <v>172</v>
      </c>
      <c r="AC1122" s="102" t="s">
        <v>173</v>
      </c>
    </row>
    <row r="1123" spans="1:29" ht="25.5" customHeight="1" x14ac:dyDescent="0.35">
      <c r="A1123" s="392"/>
      <c r="B1123" s="393"/>
      <c r="C1123" s="99" t="str">
        <f>IF(B1123="","",IF(NOT(ISNUMBER(B1123)),"DATA_PC invalida",IF(NOT(ISNUMBER(parametros!$C$2)),"Fora dos ciclos",IF(OR(B1123&lt;parametros!$C$2,(YEAR(B1123)-YEAR(parametros!$C$2))*12+MONTH(B1123)-MONTH(parametros!$C$2)&gt;59),"Fora dos ciclos","C"&amp;INT(((YEAR(B1123)-YEAR(parametros!$C$2))*12+MONTH(B1123)-MONTH(parametros!$C$2))/12)))))</f>
        <v/>
      </c>
      <c r="D1123" s="394"/>
      <c r="E1123" s="78" t="str">
        <f>IF(C1123="","",IFERROR(VLOOKUP(C1123,parametros!$A$11:$E$15,5,0),""))</f>
        <v/>
      </c>
      <c r="F1123" s="79" t="str">
        <f t="shared" si="87"/>
        <v/>
      </c>
      <c r="G1123" s="395"/>
      <c r="H1123" s="91">
        <f t="shared" si="88"/>
        <v>0</v>
      </c>
      <c r="I1123" s="91" t="str">
        <f t="shared" si="89"/>
        <v/>
      </c>
      <c r="J1123" s="91" t="str">
        <f t="shared" si="90"/>
        <v/>
      </c>
      <c r="K1123" s="92" t="str">
        <f>IF(AND(A1123="",B1123="",D1123="",G1123=""),"",IF(AND(A1123&lt;&gt;"",COUNTIF($A$2:$A$5001,A1123)&gt;1),"NUMERO_PC duplicado",IF(B1123="","DATA_PC vazia",IF(NOT(ISNUMBER(B1123)),"DATA_PC invalida",IF(OR(C1123="",C1123="Fora dos ciclos"),"CICLO_PC nao identificado",IF(OR(D1123="",D1123=0),"VALOR_PC vazio ou zero",IF(AND(G1123&lt;&gt;"Sim",G1123&lt;&gt;"Nao",G1123&lt;&gt;""),"PC_PAGO_A_CONTRATADA invalido",IF(AND(C1123&lt;&gt;"C0",IFERROR(INDEX(parametros!$A$2:$A$6,MATCH(C1123,parametros!$B$2:$B$6,0)),"")="Sim",IFERROR(INDEX(parametros!$H$2:$H$6,MATCH(C1123,parametros!$B$2:$B$6,0)),"")=""),"INICIO_EFEITO ausente: PC "&amp;A1123&amp;" - "&amp;C1123,IF(L1123="","EFEITO_PC nao calculado: PC "&amp;A1123&amp;" - "&amp;C1123,"OK")))))))))</f>
        <v/>
      </c>
      <c r="L1123" s="92" t="str">
        <f>IF(AND(A1123="",B1123="",D1123="",G1123=""),"",IF(OR(B1123="",NOT(ISNUMBER(B1123)),C1123="",C1123="Fora dos ciclos"),"",IF(C1123="C0","Nao",IF(IFERROR(INDEX(parametros!$A$2:$A$6,MATCH(C1123,parametros!$B$2:$B$6,0)),"")&lt;&gt;"Sim","Nao",IF(IFERROR(INDEX(parametros!$H$2:$H$6,MATCH(C1123,parametros!$B$2:$B$6,0)),"")="","",IF(B1123&gt;=IFERROR(INDEX(parametros!$H$2:$H$6,MATCH(C1123,parametros!$B$2:$B$6,0)),""),"Sim","Nao"))))))</f>
        <v/>
      </c>
      <c r="T1123" s="156"/>
      <c r="U1123" s="214" t="str">
        <f t="shared" si="91"/>
        <v/>
      </c>
      <c r="V1123" s="212" t="s">
        <v>50</v>
      </c>
      <c r="W1123" s="100" t="s">
        <v>168</v>
      </c>
      <c r="X1123" s="100" t="s">
        <v>169</v>
      </c>
      <c r="Y1123" s="101" t="s">
        <v>170</v>
      </c>
      <c r="Z1123" s="101" t="s">
        <v>171</v>
      </c>
      <c r="AA1123" s="101" t="s">
        <v>50</v>
      </c>
      <c r="AB1123" s="101" t="s">
        <v>172</v>
      </c>
      <c r="AC1123" s="102" t="s">
        <v>173</v>
      </c>
    </row>
    <row r="1124" spans="1:29" ht="25.5" customHeight="1" x14ac:dyDescent="0.35">
      <c r="A1124" s="392"/>
      <c r="B1124" s="393"/>
      <c r="C1124" s="99" t="str">
        <f>IF(B1124="","",IF(NOT(ISNUMBER(B1124)),"DATA_PC invalida",IF(NOT(ISNUMBER(parametros!$C$2)),"Fora dos ciclos",IF(OR(B1124&lt;parametros!$C$2,(YEAR(B1124)-YEAR(parametros!$C$2))*12+MONTH(B1124)-MONTH(parametros!$C$2)&gt;59),"Fora dos ciclos","C"&amp;INT(((YEAR(B1124)-YEAR(parametros!$C$2))*12+MONTH(B1124)-MONTH(parametros!$C$2))/12)))))</f>
        <v/>
      </c>
      <c r="D1124" s="394"/>
      <c r="E1124" s="78" t="str">
        <f>IF(C1124="","",IFERROR(VLOOKUP(C1124,parametros!$A$11:$E$15,5,0),""))</f>
        <v/>
      </c>
      <c r="F1124" s="79" t="str">
        <f t="shared" si="87"/>
        <v/>
      </c>
      <c r="G1124" s="395"/>
      <c r="H1124" s="91">
        <f t="shared" si="88"/>
        <v>0</v>
      </c>
      <c r="I1124" s="91" t="str">
        <f t="shared" si="89"/>
        <v/>
      </c>
      <c r="J1124" s="91" t="str">
        <f t="shared" si="90"/>
        <v/>
      </c>
      <c r="K1124" s="92" t="str">
        <f>IF(AND(A1124="",B1124="",D1124="",G1124=""),"",IF(AND(A1124&lt;&gt;"",COUNTIF($A$2:$A$5001,A1124)&gt;1),"NUMERO_PC duplicado",IF(B1124="","DATA_PC vazia",IF(NOT(ISNUMBER(B1124)),"DATA_PC invalida",IF(OR(C1124="",C1124="Fora dos ciclos"),"CICLO_PC nao identificado",IF(OR(D1124="",D1124=0),"VALOR_PC vazio ou zero",IF(AND(G1124&lt;&gt;"Sim",G1124&lt;&gt;"Nao",G1124&lt;&gt;""),"PC_PAGO_A_CONTRATADA invalido",IF(AND(C1124&lt;&gt;"C0",IFERROR(INDEX(parametros!$A$2:$A$6,MATCH(C1124,parametros!$B$2:$B$6,0)),"")="Sim",IFERROR(INDEX(parametros!$H$2:$H$6,MATCH(C1124,parametros!$B$2:$B$6,0)),"")=""),"INICIO_EFEITO ausente: PC "&amp;A1124&amp;" - "&amp;C1124,IF(L1124="","EFEITO_PC nao calculado: PC "&amp;A1124&amp;" - "&amp;C1124,"OK")))))))))</f>
        <v/>
      </c>
      <c r="L1124" s="92" t="str">
        <f>IF(AND(A1124="",B1124="",D1124="",G1124=""),"",IF(OR(B1124="",NOT(ISNUMBER(B1124)),C1124="",C1124="Fora dos ciclos"),"",IF(C1124="C0","Nao",IF(IFERROR(INDEX(parametros!$A$2:$A$6,MATCH(C1124,parametros!$B$2:$B$6,0)),"")&lt;&gt;"Sim","Nao",IF(IFERROR(INDEX(parametros!$H$2:$H$6,MATCH(C1124,parametros!$B$2:$B$6,0)),"")="","",IF(B1124&gt;=IFERROR(INDEX(parametros!$H$2:$H$6,MATCH(C1124,parametros!$B$2:$B$6,0)),""),"Sim","Nao"))))))</f>
        <v/>
      </c>
      <c r="T1124" s="156"/>
      <c r="U1124" s="214" t="str">
        <f t="shared" si="91"/>
        <v/>
      </c>
      <c r="V1124" s="212" t="s">
        <v>50</v>
      </c>
      <c r="W1124" s="100" t="s">
        <v>168</v>
      </c>
      <c r="X1124" s="100" t="s">
        <v>169</v>
      </c>
      <c r="Y1124" s="101" t="s">
        <v>170</v>
      </c>
      <c r="Z1124" s="101" t="s">
        <v>171</v>
      </c>
      <c r="AA1124" s="101" t="s">
        <v>50</v>
      </c>
      <c r="AB1124" s="101" t="s">
        <v>172</v>
      </c>
      <c r="AC1124" s="102" t="s">
        <v>173</v>
      </c>
    </row>
    <row r="1125" spans="1:29" ht="25.5" customHeight="1" x14ac:dyDescent="0.35">
      <c r="A1125" s="392"/>
      <c r="B1125" s="393"/>
      <c r="C1125" s="99" t="str">
        <f>IF(B1125="","",IF(NOT(ISNUMBER(B1125)),"DATA_PC invalida",IF(NOT(ISNUMBER(parametros!$C$2)),"Fora dos ciclos",IF(OR(B1125&lt;parametros!$C$2,(YEAR(B1125)-YEAR(parametros!$C$2))*12+MONTH(B1125)-MONTH(parametros!$C$2)&gt;59),"Fora dos ciclos","C"&amp;INT(((YEAR(B1125)-YEAR(parametros!$C$2))*12+MONTH(B1125)-MONTH(parametros!$C$2))/12)))))</f>
        <v/>
      </c>
      <c r="D1125" s="394"/>
      <c r="E1125" s="78" t="str">
        <f>IF(C1125="","",IFERROR(VLOOKUP(C1125,parametros!$A$11:$E$15,5,0),""))</f>
        <v/>
      </c>
      <c r="F1125" s="79" t="str">
        <f t="shared" si="87"/>
        <v/>
      </c>
      <c r="G1125" s="395"/>
      <c r="H1125" s="91">
        <f t="shared" si="88"/>
        <v>0</v>
      </c>
      <c r="I1125" s="91" t="str">
        <f t="shared" si="89"/>
        <v/>
      </c>
      <c r="J1125" s="91" t="str">
        <f t="shared" si="90"/>
        <v/>
      </c>
      <c r="K1125" s="92" t="str">
        <f>IF(AND(A1125="",B1125="",D1125="",G1125=""),"",IF(AND(A1125&lt;&gt;"",COUNTIF($A$2:$A$5001,A1125)&gt;1),"NUMERO_PC duplicado",IF(B1125="","DATA_PC vazia",IF(NOT(ISNUMBER(B1125)),"DATA_PC invalida",IF(OR(C1125="",C1125="Fora dos ciclos"),"CICLO_PC nao identificado",IF(OR(D1125="",D1125=0),"VALOR_PC vazio ou zero",IF(AND(G1125&lt;&gt;"Sim",G1125&lt;&gt;"Nao",G1125&lt;&gt;""),"PC_PAGO_A_CONTRATADA invalido",IF(AND(C1125&lt;&gt;"C0",IFERROR(INDEX(parametros!$A$2:$A$6,MATCH(C1125,parametros!$B$2:$B$6,0)),"")="Sim",IFERROR(INDEX(parametros!$H$2:$H$6,MATCH(C1125,parametros!$B$2:$B$6,0)),"")=""),"INICIO_EFEITO ausente: PC "&amp;A1125&amp;" - "&amp;C1125,IF(L1125="","EFEITO_PC nao calculado: PC "&amp;A1125&amp;" - "&amp;C1125,"OK")))))))))</f>
        <v/>
      </c>
      <c r="L1125" s="92" t="str">
        <f>IF(AND(A1125="",B1125="",D1125="",G1125=""),"",IF(OR(B1125="",NOT(ISNUMBER(B1125)),C1125="",C1125="Fora dos ciclos"),"",IF(C1125="C0","Nao",IF(IFERROR(INDEX(parametros!$A$2:$A$6,MATCH(C1125,parametros!$B$2:$B$6,0)),"")&lt;&gt;"Sim","Nao",IF(IFERROR(INDEX(parametros!$H$2:$H$6,MATCH(C1125,parametros!$B$2:$B$6,0)),"")="","",IF(B1125&gt;=IFERROR(INDEX(parametros!$H$2:$H$6,MATCH(C1125,parametros!$B$2:$B$6,0)),""),"Sim","Nao"))))))</f>
        <v/>
      </c>
      <c r="T1125" s="156"/>
      <c r="U1125" s="214" t="str">
        <f t="shared" si="91"/>
        <v/>
      </c>
      <c r="V1125" s="212" t="s">
        <v>50</v>
      </c>
      <c r="W1125" s="100" t="s">
        <v>168</v>
      </c>
      <c r="X1125" s="100" t="s">
        <v>169</v>
      </c>
      <c r="Y1125" s="101" t="s">
        <v>170</v>
      </c>
      <c r="Z1125" s="101" t="s">
        <v>171</v>
      </c>
      <c r="AA1125" s="101" t="s">
        <v>50</v>
      </c>
      <c r="AB1125" s="101" t="s">
        <v>172</v>
      </c>
      <c r="AC1125" s="102" t="s">
        <v>173</v>
      </c>
    </row>
    <row r="1126" spans="1:29" ht="25.5" customHeight="1" x14ac:dyDescent="0.35">
      <c r="A1126" s="392"/>
      <c r="B1126" s="393"/>
      <c r="C1126" s="99" t="str">
        <f>IF(B1126="","",IF(NOT(ISNUMBER(B1126)),"DATA_PC invalida",IF(NOT(ISNUMBER(parametros!$C$2)),"Fora dos ciclos",IF(OR(B1126&lt;parametros!$C$2,(YEAR(B1126)-YEAR(parametros!$C$2))*12+MONTH(B1126)-MONTH(parametros!$C$2)&gt;59),"Fora dos ciclos","C"&amp;INT(((YEAR(B1126)-YEAR(parametros!$C$2))*12+MONTH(B1126)-MONTH(parametros!$C$2))/12)))))</f>
        <v/>
      </c>
      <c r="D1126" s="394"/>
      <c r="E1126" s="78" t="str">
        <f>IF(C1126="","",IFERROR(VLOOKUP(C1126,parametros!$A$11:$E$15,5,0),""))</f>
        <v/>
      </c>
      <c r="F1126" s="79" t="str">
        <f t="shared" si="87"/>
        <v/>
      </c>
      <c r="G1126" s="395"/>
      <c r="H1126" s="91">
        <f t="shared" si="88"/>
        <v>0</v>
      </c>
      <c r="I1126" s="91" t="str">
        <f t="shared" si="89"/>
        <v/>
      </c>
      <c r="J1126" s="91" t="str">
        <f t="shared" si="90"/>
        <v/>
      </c>
      <c r="K1126" s="92" t="str">
        <f>IF(AND(A1126="",B1126="",D1126="",G1126=""),"",IF(AND(A1126&lt;&gt;"",COUNTIF($A$2:$A$5001,A1126)&gt;1),"NUMERO_PC duplicado",IF(B1126="","DATA_PC vazia",IF(NOT(ISNUMBER(B1126)),"DATA_PC invalida",IF(OR(C1126="",C1126="Fora dos ciclos"),"CICLO_PC nao identificado",IF(OR(D1126="",D1126=0),"VALOR_PC vazio ou zero",IF(AND(G1126&lt;&gt;"Sim",G1126&lt;&gt;"Nao",G1126&lt;&gt;""),"PC_PAGO_A_CONTRATADA invalido",IF(AND(C1126&lt;&gt;"C0",IFERROR(INDEX(parametros!$A$2:$A$6,MATCH(C1126,parametros!$B$2:$B$6,0)),"")="Sim",IFERROR(INDEX(parametros!$H$2:$H$6,MATCH(C1126,parametros!$B$2:$B$6,0)),"")=""),"INICIO_EFEITO ausente: PC "&amp;A1126&amp;" - "&amp;C1126,IF(L1126="","EFEITO_PC nao calculado: PC "&amp;A1126&amp;" - "&amp;C1126,"OK")))))))))</f>
        <v/>
      </c>
      <c r="L1126" s="92" t="str">
        <f>IF(AND(A1126="",B1126="",D1126="",G1126=""),"",IF(OR(B1126="",NOT(ISNUMBER(B1126)),C1126="",C1126="Fora dos ciclos"),"",IF(C1126="C0","Nao",IF(IFERROR(INDEX(parametros!$A$2:$A$6,MATCH(C1126,parametros!$B$2:$B$6,0)),"")&lt;&gt;"Sim","Nao",IF(IFERROR(INDEX(parametros!$H$2:$H$6,MATCH(C1126,parametros!$B$2:$B$6,0)),"")="","",IF(B1126&gt;=IFERROR(INDEX(parametros!$H$2:$H$6,MATCH(C1126,parametros!$B$2:$B$6,0)),""),"Sim","Nao"))))))</f>
        <v/>
      </c>
      <c r="T1126" s="156"/>
      <c r="U1126" s="214" t="str">
        <f t="shared" si="91"/>
        <v/>
      </c>
      <c r="V1126" s="212" t="s">
        <v>50</v>
      </c>
      <c r="W1126" s="100" t="s">
        <v>168</v>
      </c>
      <c r="X1126" s="100" t="s">
        <v>169</v>
      </c>
      <c r="Y1126" s="101" t="s">
        <v>170</v>
      </c>
      <c r="Z1126" s="101" t="s">
        <v>171</v>
      </c>
      <c r="AA1126" s="101" t="s">
        <v>50</v>
      </c>
      <c r="AB1126" s="101" t="s">
        <v>172</v>
      </c>
      <c r="AC1126" s="102" t="s">
        <v>173</v>
      </c>
    </row>
    <row r="1127" spans="1:29" ht="25.5" customHeight="1" x14ac:dyDescent="0.35">
      <c r="A1127" s="392"/>
      <c r="B1127" s="393"/>
      <c r="C1127" s="99" t="str">
        <f>IF(B1127="","",IF(NOT(ISNUMBER(B1127)),"DATA_PC invalida",IF(NOT(ISNUMBER(parametros!$C$2)),"Fora dos ciclos",IF(OR(B1127&lt;parametros!$C$2,(YEAR(B1127)-YEAR(parametros!$C$2))*12+MONTH(B1127)-MONTH(parametros!$C$2)&gt;59),"Fora dos ciclos","C"&amp;INT(((YEAR(B1127)-YEAR(parametros!$C$2))*12+MONTH(B1127)-MONTH(parametros!$C$2))/12)))))</f>
        <v/>
      </c>
      <c r="D1127" s="394"/>
      <c r="E1127" s="78" t="str">
        <f>IF(C1127="","",IFERROR(VLOOKUP(C1127,parametros!$A$11:$E$15,5,0),""))</f>
        <v/>
      </c>
      <c r="F1127" s="79" t="str">
        <f t="shared" si="87"/>
        <v/>
      </c>
      <c r="G1127" s="395"/>
      <c r="H1127" s="91">
        <f t="shared" si="88"/>
        <v>0</v>
      </c>
      <c r="I1127" s="91" t="str">
        <f t="shared" si="89"/>
        <v/>
      </c>
      <c r="J1127" s="91" t="str">
        <f t="shared" si="90"/>
        <v/>
      </c>
      <c r="K1127" s="92" t="str">
        <f>IF(AND(A1127="",B1127="",D1127="",G1127=""),"",IF(AND(A1127&lt;&gt;"",COUNTIF($A$2:$A$5001,A1127)&gt;1),"NUMERO_PC duplicado",IF(B1127="","DATA_PC vazia",IF(NOT(ISNUMBER(B1127)),"DATA_PC invalida",IF(OR(C1127="",C1127="Fora dos ciclos"),"CICLO_PC nao identificado",IF(OR(D1127="",D1127=0),"VALOR_PC vazio ou zero",IF(AND(G1127&lt;&gt;"Sim",G1127&lt;&gt;"Nao",G1127&lt;&gt;""),"PC_PAGO_A_CONTRATADA invalido",IF(AND(C1127&lt;&gt;"C0",IFERROR(INDEX(parametros!$A$2:$A$6,MATCH(C1127,parametros!$B$2:$B$6,0)),"")="Sim",IFERROR(INDEX(parametros!$H$2:$H$6,MATCH(C1127,parametros!$B$2:$B$6,0)),"")=""),"INICIO_EFEITO ausente: PC "&amp;A1127&amp;" - "&amp;C1127,IF(L1127="","EFEITO_PC nao calculado: PC "&amp;A1127&amp;" - "&amp;C1127,"OK")))))))))</f>
        <v/>
      </c>
      <c r="L1127" s="92" t="str">
        <f>IF(AND(A1127="",B1127="",D1127="",G1127=""),"",IF(OR(B1127="",NOT(ISNUMBER(B1127)),C1127="",C1127="Fora dos ciclos"),"",IF(C1127="C0","Nao",IF(IFERROR(INDEX(parametros!$A$2:$A$6,MATCH(C1127,parametros!$B$2:$B$6,0)),"")&lt;&gt;"Sim","Nao",IF(IFERROR(INDEX(parametros!$H$2:$H$6,MATCH(C1127,parametros!$B$2:$B$6,0)),"")="","",IF(B1127&gt;=IFERROR(INDEX(parametros!$H$2:$H$6,MATCH(C1127,parametros!$B$2:$B$6,0)),""),"Sim","Nao"))))))</f>
        <v/>
      </c>
      <c r="T1127" s="156"/>
      <c r="U1127" s="214" t="str">
        <f t="shared" si="91"/>
        <v/>
      </c>
      <c r="V1127" s="212" t="s">
        <v>50</v>
      </c>
      <c r="W1127" s="100" t="s">
        <v>168</v>
      </c>
      <c r="X1127" s="100" t="s">
        <v>169</v>
      </c>
      <c r="Y1127" s="101" t="s">
        <v>170</v>
      </c>
      <c r="Z1127" s="101" t="s">
        <v>171</v>
      </c>
      <c r="AA1127" s="101" t="s">
        <v>50</v>
      </c>
      <c r="AB1127" s="101" t="s">
        <v>172</v>
      </c>
      <c r="AC1127" s="102" t="s">
        <v>173</v>
      </c>
    </row>
    <row r="1128" spans="1:29" ht="25.5" customHeight="1" x14ac:dyDescent="0.35">
      <c r="A1128" s="392"/>
      <c r="B1128" s="393"/>
      <c r="C1128" s="99" t="str">
        <f>IF(B1128="","",IF(NOT(ISNUMBER(B1128)),"DATA_PC invalida",IF(NOT(ISNUMBER(parametros!$C$2)),"Fora dos ciclos",IF(OR(B1128&lt;parametros!$C$2,(YEAR(B1128)-YEAR(parametros!$C$2))*12+MONTH(B1128)-MONTH(parametros!$C$2)&gt;59),"Fora dos ciclos","C"&amp;INT(((YEAR(B1128)-YEAR(parametros!$C$2))*12+MONTH(B1128)-MONTH(parametros!$C$2))/12)))))</f>
        <v/>
      </c>
      <c r="D1128" s="394"/>
      <c r="E1128" s="78" t="str">
        <f>IF(C1128="","",IFERROR(VLOOKUP(C1128,parametros!$A$11:$E$15,5,0),""))</f>
        <v/>
      </c>
      <c r="F1128" s="79" t="str">
        <f t="shared" si="87"/>
        <v/>
      </c>
      <c r="G1128" s="395"/>
      <c r="H1128" s="91">
        <f t="shared" si="88"/>
        <v>0</v>
      </c>
      <c r="I1128" s="91" t="str">
        <f t="shared" si="89"/>
        <v/>
      </c>
      <c r="J1128" s="91" t="str">
        <f t="shared" si="90"/>
        <v/>
      </c>
      <c r="K1128" s="92" t="str">
        <f>IF(AND(A1128="",B1128="",D1128="",G1128=""),"",IF(AND(A1128&lt;&gt;"",COUNTIF($A$2:$A$5001,A1128)&gt;1),"NUMERO_PC duplicado",IF(B1128="","DATA_PC vazia",IF(NOT(ISNUMBER(B1128)),"DATA_PC invalida",IF(OR(C1128="",C1128="Fora dos ciclos"),"CICLO_PC nao identificado",IF(OR(D1128="",D1128=0),"VALOR_PC vazio ou zero",IF(AND(G1128&lt;&gt;"Sim",G1128&lt;&gt;"Nao",G1128&lt;&gt;""),"PC_PAGO_A_CONTRATADA invalido",IF(AND(C1128&lt;&gt;"C0",IFERROR(INDEX(parametros!$A$2:$A$6,MATCH(C1128,parametros!$B$2:$B$6,0)),"")="Sim",IFERROR(INDEX(parametros!$H$2:$H$6,MATCH(C1128,parametros!$B$2:$B$6,0)),"")=""),"INICIO_EFEITO ausente: PC "&amp;A1128&amp;" - "&amp;C1128,IF(L1128="","EFEITO_PC nao calculado: PC "&amp;A1128&amp;" - "&amp;C1128,"OK")))))))))</f>
        <v/>
      </c>
      <c r="L1128" s="92" t="str">
        <f>IF(AND(A1128="",B1128="",D1128="",G1128=""),"",IF(OR(B1128="",NOT(ISNUMBER(B1128)),C1128="",C1128="Fora dos ciclos"),"",IF(C1128="C0","Nao",IF(IFERROR(INDEX(parametros!$A$2:$A$6,MATCH(C1128,parametros!$B$2:$B$6,0)),"")&lt;&gt;"Sim","Nao",IF(IFERROR(INDEX(parametros!$H$2:$H$6,MATCH(C1128,parametros!$B$2:$B$6,0)),"")="","",IF(B1128&gt;=IFERROR(INDEX(parametros!$H$2:$H$6,MATCH(C1128,parametros!$B$2:$B$6,0)),""),"Sim","Nao"))))))</f>
        <v/>
      </c>
      <c r="T1128" s="156"/>
      <c r="U1128" s="214" t="str">
        <f t="shared" si="91"/>
        <v/>
      </c>
      <c r="V1128" s="212" t="s">
        <v>50</v>
      </c>
      <c r="W1128" s="100" t="s">
        <v>168</v>
      </c>
      <c r="X1128" s="100" t="s">
        <v>169</v>
      </c>
      <c r="Y1128" s="101" t="s">
        <v>170</v>
      </c>
      <c r="Z1128" s="101" t="s">
        <v>171</v>
      </c>
      <c r="AA1128" s="101" t="s">
        <v>50</v>
      </c>
      <c r="AB1128" s="101" t="s">
        <v>172</v>
      </c>
      <c r="AC1128" s="102" t="s">
        <v>173</v>
      </c>
    </row>
    <row r="1129" spans="1:29" ht="25.5" customHeight="1" x14ac:dyDescent="0.35">
      <c r="A1129" s="392"/>
      <c r="B1129" s="393"/>
      <c r="C1129" s="99" t="str">
        <f>IF(B1129="","",IF(NOT(ISNUMBER(B1129)),"DATA_PC invalida",IF(NOT(ISNUMBER(parametros!$C$2)),"Fora dos ciclos",IF(OR(B1129&lt;parametros!$C$2,(YEAR(B1129)-YEAR(parametros!$C$2))*12+MONTH(B1129)-MONTH(parametros!$C$2)&gt;59),"Fora dos ciclos","C"&amp;INT(((YEAR(B1129)-YEAR(parametros!$C$2))*12+MONTH(B1129)-MONTH(parametros!$C$2))/12)))))</f>
        <v/>
      </c>
      <c r="D1129" s="394"/>
      <c r="E1129" s="78" t="str">
        <f>IF(C1129="","",IFERROR(VLOOKUP(C1129,parametros!$A$11:$E$15,5,0),""))</f>
        <v/>
      </c>
      <c r="F1129" s="79" t="str">
        <f t="shared" si="87"/>
        <v/>
      </c>
      <c r="G1129" s="395"/>
      <c r="H1129" s="91">
        <f t="shared" si="88"/>
        <v>0</v>
      </c>
      <c r="I1129" s="91" t="str">
        <f t="shared" si="89"/>
        <v/>
      </c>
      <c r="J1129" s="91" t="str">
        <f t="shared" si="90"/>
        <v/>
      </c>
      <c r="K1129" s="92" t="str">
        <f>IF(AND(A1129="",B1129="",D1129="",G1129=""),"",IF(AND(A1129&lt;&gt;"",COUNTIF($A$2:$A$5001,A1129)&gt;1),"NUMERO_PC duplicado",IF(B1129="","DATA_PC vazia",IF(NOT(ISNUMBER(B1129)),"DATA_PC invalida",IF(OR(C1129="",C1129="Fora dos ciclos"),"CICLO_PC nao identificado",IF(OR(D1129="",D1129=0),"VALOR_PC vazio ou zero",IF(AND(G1129&lt;&gt;"Sim",G1129&lt;&gt;"Nao",G1129&lt;&gt;""),"PC_PAGO_A_CONTRATADA invalido",IF(AND(C1129&lt;&gt;"C0",IFERROR(INDEX(parametros!$A$2:$A$6,MATCH(C1129,parametros!$B$2:$B$6,0)),"")="Sim",IFERROR(INDEX(parametros!$H$2:$H$6,MATCH(C1129,parametros!$B$2:$B$6,0)),"")=""),"INICIO_EFEITO ausente: PC "&amp;A1129&amp;" - "&amp;C1129,IF(L1129="","EFEITO_PC nao calculado: PC "&amp;A1129&amp;" - "&amp;C1129,"OK")))))))))</f>
        <v/>
      </c>
      <c r="L1129" s="92" t="str">
        <f>IF(AND(A1129="",B1129="",D1129="",G1129=""),"",IF(OR(B1129="",NOT(ISNUMBER(B1129)),C1129="",C1129="Fora dos ciclos"),"",IF(C1129="C0","Nao",IF(IFERROR(INDEX(parametros!$A$2:$A$6,MATCH(C1129,parametros!$B$2:$B$6,0)),"")&lt;&gt;"Sim","Nao",IF(IFERROR(INDEX(parametros!$H$2:$H$6,MATCH(C1129,parametros!$B$2:$B$6,0)),"")="","",IF(B1129&gt;=IFERROR(INDEX(parametros!$H$2:$H$6,MATCH(C1129,parametros!$B$2:$B$6,0)),""),"Sim","Nao"))))))</f>
        <v/>
      </c>
      <c r="T1129" s="156"/>
      <c r="U1129" s="214" t="str">
        <f t="shared" si="91"/>
        <v/>
      </c>
      <c r="V1129" s="212" t="s">
        <v>50</v>
      </c>
      <c r="W1129" s="100" t="s">
        <v>168</v>
      </c>
      <c r="X1129" s="100" t="s">
        <v>169</v>
      </c>
      <c r="Y1129" s="101" t="s">
        <v>170</v>
      </c>
      <c r="Z1129" s="101" t="s">
        <v>171</v>
      </c>
      <c r="AA1129" s="101" t="s">
        <v>50</v>
      </c>
      <c r="AB1129" s="101" t="s">
        <v>172</v>
      </c>
      <c r="AC1129" s="102" t="s">
        <v>173</v>
      </c>
    </row>
    <row r="1130" spans="1:29" ht="25.5" customHeight="1" x14ac:dyDescent="0.35">
      <c r="A1130" s="392"/>
      <c r="B1130" s="393"/>
      <c r="C1130" s="99" t="str">
        <f>IF(B1130="","",IF(NOT(ISNUMBER(B1130)),"DATA_PC invalida",IF(NOT(ISNUMBER(parametros!$C$2)),"Fora dos ciclos",IF(OR(B1130&lt;parametros!$C$2,(YEAR(B1130)-YEAR(parametros!$C$2))*12+MONTH(B1130)-MONTH(parametros!$C$2)&gt;59),"Fora dos ciclos","C"&amp;INT(((YEAR(B1130)-YEAR(parametros!$C$2))*12+MONTH(B1130)-MONTH(parametros!$C$2))/12)))))</f>
        <v/>
      </c>
      <c r="D1130" s="394"/>
      <c r="E1130" s="78" t="str">
        <f>IF(C1130="","",IFERROR(VLOOKUP(C1130,parametros!$A$11:$E$15,5,0),""))</f>
        <v/>
      </c>
      <c r="F1130" s="79" t="str">
        <f t="shared" si="87"/>
        <v/>
      </c>
      <c r="G1130" s="395"/>
      <c r="H1130" s="91">
        <f t="shared" si="88"/>
        <v>0</v>
      </c>
      <c r="I1130" s="91" t="str">
        <f t="shared" si="89"/>
        <v/>
      </c>
      <c r="J1130" s="91" t="str">
        <f t="shared" si="90"/>
        <v/>
      </c>
      <c r="K1130" s="92" t="str">
        <f>IF(AND(A1130="",B1130="",D1130="",G1130=""),"",IF(AND(A1130&lt;&gt;"",COUNTIF($A$2:$A$5001,A1130)&gt;1),"NUMERO_PC duplicado",IF(B1130="","DATA_PC vazia",IF(NOT(ISNUMBER(B1130)),"DATA_PC invalida",IF(OR(C1130="",C1130="Fora dos ciclos"),"CICLO_PC nao identificado",IF(OR(D1130="",D1130=0),"VALOR_PC vazio ou zero",IF(AND(G1130&lt;&gt;"Sim",G1130&lt;&gt;"Nao",G1130&lt;&gt;""),"PC_PAGO_A_CONTRATADA invalido",IF(AND(C1130&lt;&gt;"C0",IFERROR(INDEX(parametros!$A$2:$A$6,MATCH(C1130,parametros!$B$2:$B$6,0)),"")="Sim",IFERROR(INDEX(parametros!$H$2:$H$6,MATCH(C1130,parametros!$B$2:$B$6,0)),"")=""),"INICIO_EFEITO ausente: PC "&amp;A1130&amp;" - "&amp;C1130,IF(L1130="","EFEITO_PC nao calculado: PC "&amp;A1130&amp;" - "&amp;C1130,"OK")))))))))</f>
        <v/>
      </c>
      <c r="L1130" s="92" t="str">
        <f>IF(AND(A1130="",B1130="",D1130="",G1130=""),"",IF(OR(B1130="",NOT(ISNUMBER(B1130)),C1130="",C1130="Fora dos ciclos"),"",IF(C1130="C0","Nao",IF(IFERROR(INDEX(parametros!$A$2:$A$6,MATCH(C1130,parametros!$B$2:$B$6,0)),"")&lt;&gt;"Sim","Nao",IF(IFERROR(INDEX(parametros!$H$2:$H$6,MATCH(C1130,parametros!$B$2:$B$6,0)),"")="","",IF(B1130&gt;=IFERROR(INDEX(parametros!$H$2:$H$6,MATCH(C1130,parametros!$B$2:$B$6,0)),""),"Sim","Nao"))))))</f>
        <v/>
      </c>
      <c r="T1130" s="156"/>
      <c r="U1130" s="214" t="str">
        <f t="shared" si="91"/>
        <v/>
      </c>
      <c r="V1130" s="212" t="s">
        <v>50</v>
      </c>
      <c r="W1130" s="100" t="s">
        <v>168</v>
      </c>
      <c r="X1130" s="100" t="s">
        <v>169</v>
      </c>
      <c r="Y1130" s="101" t="s">
        <v>170</v>
      </c>
      <c r="Z1130" s="101" t="s">
        <v>171</v>
      </c>
      <c r="AA1130" s="101" t="s">
        <v>50</v>
      </c>
      <c r="AB1130" s="101" t="s">
        <v>172</v>
      </c>
      <c r="AC1130" s="102" t="s">
        <v>173</v>
      </c>
    </row>
    <row r="1131" spans="1:29" ht="25.5" customHeight="1" x14ac:dyDescent="0.35">
      <c r="A1131" s="392"/>
      <c r="B1131" s="393"/>
      <c r="C1131" s="99" t="str">
        <f>IF(B1131="","",IF(NOT(ISNUMBER(B1131)),"DATA_PC invalida",IF(NOT(ISNUMBER(parametros!$C$2)),"Fora dos ciclos",IF(OR(B1131&lt;parametros!$C$2,(YEAR(B1131)-YEAR(parametros!$C$2))*12+MONTH(B1131)-MONTH(parametros!$C$2)&gt;59),"Fora dos ciclos","C"&amp;INT(((YEAR(B1131)-YEAR(parametros!$C$2))*12+MONTH(B1131)-MONTH(parametros!$C$2))/12)))))</f>
        <v/>
      </c>
      <c r="D1131" s="394"/>
      <c r="E1131" s="78" t="str">
        <f>IF(C1131="","",IFERROR(VLOOKUP(C1131,parametros!$A$11:$E$15,5,0),""))</f>
        <v/>
      </c>
      <c r="F1131" s="79" t="str">
        <f t="shared" si="87"/>
        <v/>
      </c>
      <c r="G1131" s="395"/>
      <c r="H1131" s="91">
        <f t="shared" si="88"/>
        <v>0</v>
      </c>
      <c r="I1131" s="91" t="str">
        <f t="shared" si="89"/>
        <v/>
      </c>
      <c r="J1131" s="91" t="str">
        <f t="shared" si="90"/>
        <v/>
      </c>
      <c r="K1131" s="92" t="str">
        <f>IF(AND(A1131="",B1131="",D1131="",G1131=""),"",IF(AND(A1131&lt;&gt;"",COUNTIF($A$2:$A$5001,A1131)&gt;1),"NUMERO_PC duplicado",IF(B1131="","DATA_PC vazia",IF(NOT(ISNUMBER(B1131)),"DATA_PC invalida",IF(OR(C1131="",C1131="Fora dos ciclos"),"CICLO_PC nao identificado",IF(OR(D1131="",D1131=0),"VALOR_PC vazio ou zero",IF(AND(G1131&lt;&gt;"Sim",G1131&lt;&gt;"Nao",G1131&lt;&gt;""),"PC_PAGO_A_CONTRATADA invalido",IF(AND(C1131&lt;&gt;"C0",IFERROR(INDEX(parametros!$A$2:$A$6,MATCH(C1131,parametros!$B$2:$B$6,0)),"")="Sim",IFERROR(INDEX(parametros!$H$2:$H$6,MATCH(C1131,parametros!$B$2:$B$6,0)),"")=""),"INICIO_EFEITO ausente: PC "&amp;A1131&amp;" - "&amp;C1131,IF(L1131="","EFEITO_PC nao calculado: PC "&amp;A1131&amp;" - "&amp;C1131,"OK")))))))))</f>
        <v/>
      </c>
      <c r="L1131" s="92" t="str">
        <f>IF(AND(A1131="",B1131="",D1131="",G1131=""),"",IF(OR(B1131="",NOT(ISNUMBER(B1131)),C1131="",C1131="Fora dos ciclos"),"",IF(C1131="C0","Nao",IF(IFERROR(INDEX(parametros!$A$2:$A$6,MATCH(C1131,parametros!$B$2:$B$6,0)),"")&lt;&gt;"Sim","Nao",IF(IFERROR(INDEX(parametros!$H$2:$H$6,MATCH(C1131,parametros!$B$2:$B$6,0)),"")="","",IF(B1131&gt;=IFERROR(INDEX(parametros!$H$2:$H$6,MATCH(C1131,parametros!$B$2:$B$6,0)),""),"Sim","Nao"))))))</f>
        <v/>
      </c>
      <c r="T1131" s="156"/>
      <c r="U1131" s="214" t="str">
        <f t="shared" si="91"/>
        <v/>
      </c>
      <c r="V1131" s="212" t="s">
        <v>50</v>
      </c>
      <c r="W1131" s="100" t="s">
        <v>168</v>
      </c>
      <c r="X1131" s="100" t="s">
        <v>169</v>
      </c>
      <c r="Y1131" s="101" t="s">
        <v>170</v>
      </c>
      <c r="Z1131" s="101" t="s">
        <v>171</v>
      </c>
      <c r="AA1131" s="101" t="s">
        <v>50</v>
      </c>
      <c r="AB1131" s="101" t="s">
        <v>172</v>
      </c>
      <c r="AC1131" s="102" t="s">
        <v>173</v>
      </c>
    </row>
    <row r="1132" spans="1:29" ht="25.5" customHeight="1" x14ac:dyDescent="0.35">
      <c r="A1132" s="392"/>
      <c r="B1132" s="393"/>
      <c r="C1132" s="99" t="str">
        <f>IF(B1132="","",IF(NOT(ISNUMBER(B1132)),"DATA_PC invalida",IF(NOT(ISNUMBER(parametros!$C$2)),"Fora dos ciclos",IF(OR(B1132&lt;parametros!$C$2,(YEAR(B1132)-YEAR(parametros!$C$2))*12+MONTH(B1132)-MONTH(parametros!$C$2)&gt;59),"Fora dos ciclos","C"&amp;INT(((YEAR(B1132)-YEAR(parametros!$C$2))*12+MONTH(B1132)-MONTH(parametros!$C$2))/12)))))</f>
        <v/>
      </c>
      <c r="D1132" s="394"/>
      <c r="E1132" s="78" t="str">
        <f>IF(C1132="","",IFERROR(VLOOKUP(C1132,parametros!$A$11:$E$15,5,0),""))</f>
        <v/>
      </c>
      <c r="F1132" s="79" t="str">
        <f t="shared" si="87"/>
        <v/>
      </c>
      <c r="G1132" s="395"/>
      <c r="H1132" s="91">
        <f t="shared" si="88"/>
        <v>0</v>
      </c>
      <c r="I1132" s="91" t="str">
        <f t="shared" si="89"/>
        <v/>
      </c>
      <c r="J1132" s="91" t="str">
        <f t="shared" si="90"/>
        <v/>
      </c>
      <c r="K1132" s="92" t="str">
        <f>IF(AND(A1132="",B1132="",D1132="",G1132=""),"",IF(AND(A1132&lt;&gt;"",COUNTIF($A$2:$A$5001,A1132)&gt;1),"NUMERO_PC duplicado",IF(B1132="","DATA_PC vazia",IF(NOT(ISNUMBER(B1132)),"DATA_PC invalida",IF(OR(C1132="",C1132="Fora dos ciclos"),"CICLO_PC nao identificado",IF(OR(D1132="",D1132=0),"VALOR_PC vazio ou zero",IF(AND(G1132&lt;&gt;"Sim",G1132&lt;&gt;"Nao",G1132&lt;&gt;""),"PC_PAGO_A_CONTRATADA invalido",IF(AND(C1132&lt;&gt;"C0",IFERROR(INDEX(parametros!$A$2:$A$6,MATCH(C1132,parametros!$B$2:$B$6,0)),"")="Sim",IFERROR(INDEX(parametros!$H$2:$H$6,MATCH(C1132,parametros!$B$2:$B$6,0)),"")=""),"INICIO_EFEITO ausente: PC "&amp;A1132&amp;" - "&amp;C1132,IF(L1132="","EFEITO_PC nao calculado: PC "&amp;A1132&amp;" - "&amp;C1132,"OK")))))))))</f>
        <v/>
      </c>
      <c r="L1132" s="92" t="str">
        <f>IF(AND(A1132="",B1132="",D1132="",G1132=""),"",IF(OR(B1132="",NOT(ISNUMBER(B1132)),C1132="",C1132="Fora dos ciclos"),"",IF(C1132="C0","Nao",IF(IFERROR(INDEX(parametros!$A$2:$A$6,MATCH(C1132,parametros!$B$2:$B$6,0)),"")&lt;&gt;"Sim","Nao",IF(IFERROR(INDEX(parametros!$H$2:$H$6,MATCH(C1132,parametros!$B$2:$B$6,0)),"")="","",IF(B1132&gt;=IFERROR(INDEX(parametros!$H$2:$H$6,MATCH(C1132,parametros!$B$2:$B$6,0)),""),"Sim","Nao"))))))</f>
        <v/>
      </c>
      <c r="T1132" s="156"/>
      <c r="U1132" s="214" t="str">
        <f t="shared" si="91"/>
        <v/>
      </c>
      <c r="V1132" s="212" t="s">
        <v>50</v>
      </c>
      <c r="W1132" s="100" t="s">
        <v>168</v>
      </c>
      <c r="X1132" s="100" t="s">
        <v>169</v>
      </c>
      <c r="Y1132" s="101" t="s">
        <v>170</v>
      </c>
      <c r="Z1132" s="101" t="s">
        <v>171</v>
      </c>
      <c r="AA1132" s="101" t="s">
        <v>50</v>
      </c>
      <c r="AB1132" s="101" t="s">
        <v>172</v>
      </c>
      <c r="AC1132" s="102" t="s">
        <v>173</v>
      </c>
    </row>
    <row r="1133" spans="1:29" ht="25.5" customHeight="1" x14ac:dyDescent="0.35">
      <c r="A1133" s="392"/>
      <c r="B1133" s="393"/>
      <c r="C1133" s="99" t="str">
        <f>IF(B1133="","",IF(NOT(ISNUMBER(B1133)),"DATA_PC invalida",IF(NOT(ISNUMBER(parametros!$C$2)),"Fora dos ciclos",IF(OR(B1133&lt;parametros!$C$2,(YEAR(B1133)-YEAR(parametros!$C$2))*12+MONTH(B1133)-MONTH(parametros!$C$2)&gt;59),"Fora dos ciclos","C"&amp;INT(((YEAR(B1133)-YEAR(parametros!$C$2))*12+MONTH(B1133)-MONTH(parametros!$C$2))/12)))))</f>
        <v/>
      </c>
      <c r="D1133" s="394"/>
      <c r="E1133" s="78" t="str">
        <f>IF(C1133="","",IFERROR(VLOOKUP(C1133,parametros!$A$11:$E$15,5,0),""))</f>
        <v/>
      </c>
      <c r="F1133" s="79" t="str">
        <f t="shared" si="87"/>
        <v/>
      </c>
      <c r="G1133" s="395"/>
      <c r="H1133" s="91">
        <f t="shared" si="88"/>
        <v>0</v>
      </c>
      <c r="I1133" s="91" t="str">
        <f t="shared" si="89"/>
        <v/>
      </c>
      <c r="J1133" s="91" t="str">
        <f t="shared" si="90"/>
        <v/>
      </c>
      <c r="K1133" s="92" t="str">
        <f>IF(AND(A1133="",B1133="",D1133="",G1133=""),"",IF(AND(A1133&lt;&gt;"",COUNTIF($A$2:$A$5001,A1133)&gt;1),"NUMERO_PC duplicado",IF(B1133="","DATA_PC vazia",IF(NOT(ISNUMBER(B1133)),"DATA_PC invalida",IF(OR(C1133="",C1133="Fora dos ciclos"),"CICLO_PC nao identificado",IF(OR(D1133="",D1133=0),"VALOR_PC vazio ou zero",IF(AND(G1133&lt;&gt;"Sim",G1133&lt;&gt;"Nao",G1133&lt;&gt;""),"PC_PAGO_A_CONTRATADA invalido",IF(AND(C1133&lt;&gt;"C0",IFERROR(INDEX(parametros!$A$2:$A$6,MATCH(C1133,parametros!$B$2:$B$6,0)),"")="Sim",IFERROR(INDEX(parametros!$H$2:$H$6,MATCH(C1133,parametros!$B$2:$B$6,0)),"")=""),"INICIO_EFEITO ausente: PC "&amp;A1133&amp;" - "&amp;C1133,IF(L1133="","EFEITO_PC nao calculado: PC "&amp;A1133&amp;" - "&amp;C1133,"OK")))))))))</f>
        <v/>
      </c>
      <c r="L1133" s="92" t="str">
        <f>IF(AND(A1133="",B1133="",D1133="",G1133=""),"",IF(OR(B1133="",NOT(ISNUMBER(B1133)),C1133="",C1133="Fora dos ciclos"),"",IF(C1133="C0","Nao",IF(IFERROR(INDEX(parametros!$A$2:$A$6,MATCH(C1133,parametros!$B$2:$B$6,0)),"")&lt;&gt;"Sim","Nao",IF(IFERROR(INDEX(parametros!$H$2:$H$6,MATCH(C1133,parametros!$B$2:$B$6,0)),"")="","",IF(B1133&gt;=IFERROR(INDEX(parametros!$H$2:$H$6,MATCH(C1133,parametros!$B$2:$B$6,0)),""),"Sim","Nao"))))))</f>
        <v/>
      </c>
      <c r="T1133" s="156"/>
      <c r="U1133" s="214" t="str">
        <f t="shared" si="91"/>
        <v/>
      </c>
      <c r="V1133" s="212" t="s">
        <v>50</v>
      </c>
      <c r="W1133" s="100" t="s">
        <v>168</v>
      </c>
      <c r="X1133" s="100" t="s">
        <v>169</v>
      </c>
      <c r="Y1133" s="101" t="s">
        <v>170</v>
      </c>
      <c r="Z1133" s="101" t="s">
        <v>171</v>
      </c>
      <c r="AA1133" s="101" t="s">
        <v>50</v>
      </c>
      <c r="AB1133" s="101" t="s">
        <v>172</v>
      </c>
      <c r="AC1133" s="102" t="s">
        <v>173</v>
      </c>
    </row>
    <row r="1134" spans="1:29" ht="25.5" customHeight="1" x14ac:dyDescent="0.35">
      <c r="A1134" s="392"/>
      <c r="B1134" s="393"/>
      <c r="C1134" s="99" t="str">
        <f>IF(B1134="","",IF(NOT(ISNUMBER(B1134)),"DATA_PC invalida",IF(NOT(ISNUMBER(parametros!$C$2)),"Fora dos ciclos",IF(OR(B1134&lt;parametros!$C$2,(YEAR(B1134)-YEAR(parametros!$C$2))*12+MONTH(B1134)-MONTH(parametros!$C$2)&gt;59),"Fora dos ciclos","C"&amp;INT(((YEAR(B1134)-YEAR(parametros!$C$2))*12+MONTH(B1134)-MONTH(parametros!$C$2))/12)))))</f>
        <v/>
      </c>
      <c r="D1134" s="394"/>
      <c r="E1134" s="78" t="str">
        <f>IF(C1134="","",IFERROR(VLOOKUP(C1134,parametros!$A$11:$E$15,5,0),""))</f>
        <v/>
      </c>
      <c r="F1134" s="79" t="str">
        <f t="shared" si="87"/>
        <v/>
      </c>
      <c r="G1134" s="395"/>
      <c r="H1134" s="91">
        <f t="shared" si="88"/>
        <v>0</v>
      </c>
      <c r="I1134" s="91" t="str">
        <f t="shared" si="89"/>
        <v/>
      </c>
      <c r="J1134" s="91" t="str">
        <f t="shared" si="90"/>
        <v/>
      </c>
      <c r="K1134" s="92" t="str">
        <f>IF(AND(A1134="",B1134="",D1134="",G1134=""),"",IF(AND(A1134&lt;&gt;"",COUNTIF($A$2:$A$5001,A1134)&gt;1),"NUMERO_PC duplicado",IF(B1134="","DATA_PC vazia",IF(NOT(ISNUMBER(B1134)),"DATA_PC invalida",IF(OR(C1134="",C1134="Fora dos ciclos"),"CICLO_PC nao identificado",IF(OR(D1134="",D1134=0),"VALOR_PC vazio ou zero",IF(AND(G1134&lt;&gt;"Sim",G1134&lt;&gt;"Nao",G1134&lt;&gt;""),"PC_PAGO_A_CONTRATADA invalido",IF(AND(C1134&lt;&gt;"C0",IFERROR(INDEX(parametros!$A$2:$A$6,MATCH(C1134,parametros!$B$2:$B$6,0)),"")="Sim",IFERROR(INDEX(parametros!$H$2:$H$6,MATCH(C1134,parametros!$B$2:$B$6,0)),"")=""),"INICIO_EFEITO ausente: PC "&amp;A1134&amp;" - "&amp;C1134,IF(L1134="","EFEITO_PC nao calculado: PC "&amp;A1134&amp;" - "&amp;C1134,"OK")))))))))</f>
        <v/>
      </c>
      <c r="L1134" s="92" t="str">
        <f>IF(AND(A1134="",B1134="",D1134="",G1134=""),"",IF(OR(B1134="",NOT(ISNUMBER(B1134)),C1134="",C1134="Fora dos ciclos"),"",IF(C1134="C0","Nao",IF(IFERROR(INDEX(parametros!$A$2:$A$6,MATCH(C1134,parametros!$B$2:$B$6,0)),"")&lt;&gt;"Sim","Nao",IF(IFERROR(INDEX(parametros!$H$2:$H$6,MATCH(C1134,parametros!$B$2:$B$6,0)),"")="","",IF(B1134&gt;=IFERROR(INDEX(parametros!$H$2:$H$6,MATCH(C1134,parametros!$B$2:$B$6,0)),""),"Sim","Nao"))))))</f>
        <v/>
      </c>
      <c r="T1134" s="156"/>
      <c r="U1134" s="214" t="str">
        <f t="shared" si="91"/>
        <v/>
      </c>
      <c r="V1134" s="212" t="s">
        <v>50</v>
      </c>
      <c r="W1134" s="100" t="s">
        <v>168</v>
      </c>
      <c r="X1134" s="100" t="s">
        <v>169</v>
      </c>
      <c r="Y1134" s="101" t="s">
        <v>170</v>
      </c>
      <c r="Z1134" s="101" t="s">
        <v>171</v>
      </c>
      <c r="AA1134" s="101" t="s">
        <v>50</v>
      </c>
      <c r="AB1134" s="101" t="s">
        <v>172</v>
      </c>
      <c r="AC1134" s="102" t="s">
        <v>173</v>
      </c>
    </row>
    <row r="1135" spans="1:29" ht="25.5" customHeight="1" x14ac:dyDescent="0.35">
      <c r="A1135" s="392"/>
      <c r="B1135" s="393"/>
      <c r="C1135" s="99" t="str">
        <f>IF(B1135="","",IF(NOT(ISNUMBER(B1135)),"DATA_PC invalida",IF(NOT(ISNUMBER(parametros!$C$2)),"Fora dos ciclos",IF(OR(B1135&lt;parametros!$C$2,(YEAR(B1135)-YEAR(parametros!$C$2))*12+MONTH(B1135)-MONTH(parametros!$C$2)&gt;59),"Fora dos ciclos","C"&amp;INT(((YEAR(B1135)-YEAR(parametros!$C$2))*12+MONTH(B1135)-MONTH(parametros!$C$2))/12)))))</f>
        <v/>
      </c>
      <c r="D1135" s="394"/>
      <c r="E1135" s="78" t="str">
        <f>IF(C1135="","",IFERROR(VLOOKUP(C1135,parametros!$A$11:$E$15,5,0),""))</f>
        <v/>
      </c>
      <c r="F1135" s="79" t="str">
        <f t="shared" si="87"/>
        <v/>
      </c>
      <c r="G1135" s="395"/>
      <c r="H1135" s="91">
        <f t="shared" si="88"/>
        <v>0</v>
      </c>
      <c r="I1135" s="91" t="str">
        <f t="shared" si="89"/>
        <v/>
      </c>
      <c r="J1135" s="91" t="str">
        <f t="shared" si="90"/>
        <v/>
      </c>
      <c r="K1135" s="92" t="str">
        <f>IF(AND(A1135="",B1135="",D1135="",G1135=""),"",IF(AND(A1135&lt;&gt;"",COUNTIF($A$2:$A$5001,A1135)&gt;1),"NUMERO_PC duplicado",IF(B1135="","DATA_PC vazia",IF(NOT(ISNUMBER(B1135)),"DATA_PC invalida",IF(OR(C1135="",C1135="Fora dos ciclos"),"CICLO_PC nao identificado",IF(OR(D1135="",D1135=0),"VALOR_PC vazio ou zero",IF(AND(G1135&lt;&gt;"Sim",G1135&lt;&gt;"Nao",G1135&lt;&gt;""),"PC_PAGO_A_CONTRATADA invalido",IF(AND(C1135&lt;&gt;"C0",IFERROR(INDEX(parametros!$A$2:$A$6,MATCH(C1135,parametros!$B$2:$B$6,0)),"")="Sim",IFERROR(INDEX(parametros!$H$2:$H$6,MATCH(C1135,parametros!$B$2:$B$6,0)),"")=""),"INICIO_EFEITO ausente: PC "&amp;A1135&amp;" - "&amp;C1135,IF(L1135="","EFEITO_PC nao calculado: PC "&amp;A1135&amp;" - "&amp;C1135,"OK")))))))))</f>
        <v/>
      </c>
      <c r="L1135" s="92" t="str">
        <f>IF(AND(A1135="",B1135="",D1135="",G1135=""),"",IF(OR(B1135="",NOT(ISNUMBER(B1135)),C1135="",C1135="Fora dos ciclos"),"",IF(C1135="C0","Nao",IF(IFERROR(INDEX(parametros!$A$2:$A$6,MATCH(C1135,parametros!$B$2:$B$6,0)),"")&lt;&gt;"Sim","Nao",IF(IFERROR(INDEX(parametros!$H$2:$H$6,MATCH(C1135,parametros!$B$2:$B$6,0)),"")="","",IF(B1135&gt;=IFERROR(INDEX(parametros!$H$2:$H$6,MATCH(C1135,parametros!$B$2:$B$6,0)),""),"Sim","Nao"))))))</f>
        <v/>
      </c>
      <c r="T1135" s="156"/>
      <c r="U1135" s="214" t="str">
        <f t="shared" si="91"/>
        <v/>
      </c>
      <c r="V1135" s="212" t="s">
        <v>50</v>
      </c>
      <c r="W1135" s="100" t="s">
        <v>168</v>
      </c>
      <c r="X1135" s="100" t="s">
        <v>169</v>
      </c>
      <c r="Y1135" s="101" t="s">
        <v>170</v>
      </c>
      <c r="Z1135" s="101" t="s">
        <v>171</v>
      </c>
      <c r="AA1135" s="101" t="s">
        <v>50</v>
      </c>
      <c r="AB1135" s="101" t="s">
        <v>172</v>
      </c>
      <c r="AC1135" s="102" t="s">
        <v>173</v>
      </c>
    </row>
    <row r="1136" spans="1:29" ht="25.5" customHeight="1" x14ac:dyDescent="0.35">
      <c r="A1136" s="392"/>
      <c r="B1136" s="393"/>
      <c r="C1136" s="99" t="str">
        <f>IF(B1136="","",IF(NOT(ISNUMBER(B1136)),"DATA_PC invalida",IF(NOT(ISNUMBER(parametros!$C$2)),"Fora dos ciclos",IF(OR(B1136&lt;parametros!$C$2,(YEAR(B1136)-YEAR(parametros!$C$2))*12+MONTH(B1136)-MONTH(parametros!$C$2)&gt;59),"Fora dos ciclos","C"&amp;INT(((YEAR(B1136)-YEAR(parametros!$C$2))*12+MONTH(B1136)-MONTH(parametros!$C$2))/12)))))</f>
        <v/>
      </c>
      <c r="D1136" s="394"/>
      <c r="E1136" s="78" t="str">
        <f>IF(C1136="","",IFERROR(VLOOKUP(C1136,parametros!$A$11:$E$15,5,0),""))</f>
        <v/>
      </c>
      <c r="F1136" s="79" t="str">
        <f t="shared" si="87"/>
        <v/>
      </c>
      <c r="G1136" s="395"/>
      <c r="H1136" s="91">
        <f t="shared" si="88"/>
        <v>0</v>
      </c>
      <c r="I1136" s="91" t="str">
        <f t="shared" si="89"/>
        <v/>
      </c>
      <c r="J1136" s="91" t="str">
        <f t="shared" si="90"/>
        <v/>
      </c>
      <c r="K1136" s="92" t="str">
        <f>IF(AND(A1136="",B1136="",D1136="",G1136=""),"",IF(AND(A1136&lt;&gt;"",COUNTIF($A$2:$A$5001,A1136)&gt;1),"NUMERO_PC duplicado",IF(B1136="","DATA_PC vazia",IF(NOT(ISNUMBER(B1136)),"DATA_PC invalida",IF(OR(C1136="",C1136="Fora dos ciclos"),"CICLO_PC nao identificado",IF(OR(D1136="",D1136=0),"VALOR_PC vazio ou zero",IF(AND(G1136&lt;&gt;"Sim",G1136&lt;&gt;"Nao",G1136&lt;&gt;""),"PC_PAGO_A_CONTRATADA invalido",IF(AND(C1136&lt;&gt;"C0",IFERROR(INDEX(parametros!$A$2:$A$6,MATCH(C1136,parametros!$B$2:$B$6,0)),"")="Sim",IFERROR(INDEX(parametros!$H$2:$H$6,MATCH(C1136,parametros!$B$2:$B$6,0)),"")=""),"INICIO_EFEITO ausente: PC "&amp;A1136&amp;" - "&amp;C1136,IF(L1136="","EFEITO_PC nao calculado: PC "&amp;A1136&amp;" - "&amp;C1136,"OK")))))))))</f>
        <v/>
      </c>
      <c r="L1136" s="92" t="str">
        <f>IF(AND(A1136="",B1136="",D1136="",G1136=""),"",IF(OR(B1136="",NOT(ISNUMBER(B1136)),C1136="",C1136="Fora dos ciclos"),"",IF(C1136="C0","Nao",IF(IFERROR(INDEX(parametros!$A$2:$A$6,MATCH(C1136,parametros!$B$2:$B$6,0)),"")&lt;&gt;"Sim","Nao",IF(IFERROR(INDEX(parametros!$H$2:$H$6,MATCH(C1136,parametros!$B$2:$B$6,0)),"")="","",IF(B1136&gt;=IFERROR(INDEX(parametros!$H$2:$H$6,MATCH(C1136,parametros!$B$2:$B$6,0)),""),"Sim","Nao"))))))</f>
        <v/>
      </c>
      <c r="T1136" s="156"/>
      <c r="U1136" s="214" t="str">
        <f t="shared" si="91"/>
        <v/>
      </c>
      <c r="V1136" s="212" t="s">
        <v>50</v>
      </c>
      <c r="W1136" s="100" t="s">
        <v>168</v>
      </c>
      <c r="X1136" s="100" t="s">
        <v>169</v>
      </c>
      <c r="Y1136" s="101" t="s">
        <v>170</v>
      </c>
      <c r="Z1136" s="101" t="s">
        <v>171</v>
      </c>
      <c r="AA1136" s="101" t="s">
        <v>50</v>
      </c>
      <c r="AB1136" s="101" t="s">
        <v>172</v>
      </c>
      <c r="AC1136" s="102" t="s">
        <v>173</v>
      </c>
    </row>
    <row r="1137" spans="1:29" ht="25.5" customHeight="1" x14ac:dyDescent="0.35">
      <c r="A1137" s="392"/>
      <c r="B1137" s="393"/>
      <c r="C1137" s="99" t="str">
        <f>IF(B1137="","",IF(NOT(ISNUMBER(B1137)),"DATA_PC invalida",IF(NOT(ISNUMBER(parametros!$C$2)),"Fora dos ciclos",IF(OR(B1137&lt;parametros!$C$2,(YEAR(B1137)-YEAR(parametros!$C$2))*12+MONTH(B1137)-MONTH(parametros!$C$2)&gt;59),"Fora dos ciclos","C"&amp;INT(((YEAR(B1137)-YEAR(parametros!$C$2))*12+MONTH(B1137)-MONTH(parametros!$C$2))/12)))))</f>
        <v/>
      </c>
      <c r="D1137" s="394"/>
      <c r="E1137" s="78" t="str">
        <f>IF(C1137="","",IFERROR(VLOOKUP(C1137,parametros!$A$11:$E$15,5,0),""))</f>
        <v/>
      </c>
      <c r="F1137" s="79" t="str">
        <f t="shared" si="87"/>
        <v/>
      </c>
      <c r="G1137" s="395"/>
      <c r="H1137" s="91">
        <f t="shared" si="88"/>
        <v>0</v>
      </c>
      <c r="I1137" s="91" t="str">
        <f t="shared" si="89"/>
        <v/>
      </c>
      <c r="J1137" s="91" t="str">
        <f t="shared" si="90"/>
        <v/>
      </c>
      <c r="K1137" s="92" t="str">
        <f>IF(AND(A1137="",B1137="",D1137="",G1137=""),"",IF(AND(A1137&lt;&gt;"",COUNTIF($A$2:$A$5001,A1137)&gt;1),"NUMERO_PC duplicado",IF(B1137="","DATA_PC vazia",IF(NOT(ISNUMBER(B1137)),"DATA_PC invalida",IF(OR(C1137="",C1137="Fora dos ciclos"),"CICLO_PC nao identificado",IF(OR(D1137="",D1137=0),"VALOR_PC vazio ou zero",IF(AND(G1137&lt;&gt;"Sim",G1137&lt;&gt;"Nao",G1137&lt;&gt;""),"PC_PAGO_A_CONTRATADA invalido",IF(AND(C1137&lt;&gt;"C0",IFERROR(INDEX(parametros!$A$2:$A$6,MATCH(C1137,parametros!$B$2:$B$6,0)),"")="Sim",IFERROR(INDEX(parametros!$H$2:$H$6,MATCH(C1137,parametros!$B$2:$B$6,0)),"")=""),"INICIO_EFEITO ausente: PC "&amp;A1137&amp;" - "&amp;C1137,IF(L1137="","EFEITO_PC nao calculado: PC "&amp;A1137&amp;" - "&amp;C1137,"OK")))))))))</f>
        <v/>
      </c>
      <c r="L1137" s="92" t="str">
        <f>IF(AND(A1137="",B1137="",D1137="",G1137=""),"",IF(OR(B1137="",NOT(ISNUMBER(B1137)),C1137="",C1137="Fora dos ciclos"),"",IF(C1137="C0","Nao",IF(IFERROR(INDEX(parametros!$A$2:$A$6,MATCH(C1137,parametros!$B$2:$B$6,0)),"")&lt;&gt;"Sim","Nao",IF(IFERROR(INDEX(parametros!$H$2:$H$6,MATCH(C1137,parametros!$B$2:$B$6,0)),"")="","",IF(B1137&gt;=IFERROR(INDEX(parametros!$H$2:$H$6,MATCH(C1137,parametros!$B$2:$B$6,0)),""),"Sim","Nao"))))))</f>
        <v/>
      </c>
      <c r="T1137" s="156"/>
      <c r="U1137" s="214" t="str">
        <f t="shared" si="91"/>
        <v/>
      </c>
      <c r="V1137" s="212" t="s">
        <v>50</v>
      </c>
      <c r="W1137" s="100" t="s">
        <v>168</v>
      </c>
      <c r="X1137" s="100" t="s">
        <v>169</v>
      </c>
      <c r="Y1137" s="101" t="s">
        <v>170</v>
      </c>
      <c r="Z1137" s="101" t="s">
        <v>171</v>
      </c>
      <c r="AA1137" s="101" t="s">
        <v>50</v>
      </c>
      <c r="AB1137" s="101" t="s">
        <v>172</v>
      </c>
      <c r="AC1137" s="102" t="s">
        <v>173</v>
      </c>
    </row>
    <row r="1138" spans="1:29" ht="25.5" customHeight="1" x14ac:dyDescent="0.35">
      <c r="A1138" s="392"/>
      <c r="B1138" s="393"/>
      <c r="C1138" s="99" t="str">
        <f>IF(B1138="","",IF(NOT(ISNUMBER(B1138)),"DATA_PC invalida",IF(NOT(ISNUMBER(parametros!$C$2)),"Fora dos ciclos",IF(OR(B1138&lt;parametros!$C$2,(YEAR(B1138)-YEAR(parametros!$C$2))*12+MONTH(B1138)-MONTH(parametros!$C$2)&gt;59),"Fora dos ciclos","C"&amp;INT(((YEAR(B1138)-YEAR(parametros!$C$2))*12+MONTH(B1138)-MONTH(parametros!$C$2))/12)))))</f>
        <v/>
      </c>
      <c r="D1138" s="394"/>
      <c r="E1138" s="78" t="str">
        <f>IF(C1138="","",IFERROR(VLOOKUP(C1138,parametros!$A$11:$E$15,5,0),""))</f>
        <v/>
      </c>
      <c r="F1138" s="79" t="str">
        <f t="shared" si="87"/>
        <v/>
      </c>
      <c r="G1138" s="395"/>
      <c r="H1138" s="91">
        <f t="shared" si="88"/>
        <v>0</v>
      </c>
      <c r="I1138" s="91" t="str">
        <f t="shared" si="89"/>
        <v/>
      </c>
      <c r="J1138" s="91" t="str">
        <f t="shared" si="90"/>
        <v/>
      </c>
      <c r="K1138" s="92" t="str">
        <f>IF(AND(A1138="",B1138="",D1138="",G1138=""),"",IF(AND(A1138&lt;&gt;"",COUNTIF($A$2:$A$5001,A1138)&gt;1),"NUMERO_PC duplicado",IF(B1138="","DATA_PC vazia",IF(NOT(ISNUMBER(B1138)),"DATA_PC invalida",IF(OR(C1138="",C1138="Fora dos ciclos"),"CICLO_PC nao identificado",IF(OR(D1138="",D1138=0),"VALOR_PC vazio ou zero",IF(AND(G1138&lt;&gt;"Sim",G1138&lt;&gt;"Nao",G1138&lt;&gt;""),"PC_PAGO_A_CONTRATADA invalido",IF(AND(C1138&lt;&gt;"C0",IFERROR(INDEX(parametros!$A$2:$A$6,MATCH(C1138,parametros!$B$2:$B$6,0)),"")="Sim",IFERROR(INDEX(parametros!$H$2:$H$6,MATCH(C1138,parametros!$B$2:$B$6,0)),"")=""),"INICIO_EFEITO ausente: PC "&amp;A1138&amp;" - "&amp;C1138,IF(L1138="","EFEITO_PC nao calculado: PC "&amp;A1138&amp;" - "&amp;C1138,"OK")))))))))</f>
        <v/>
      </c>
      <c r="L1138" s="92" t="str">
        <f>IF(AND(A1138="",B1138="",D1138="",G1138=""),"",IF(OR(B1138="",NOT(ISNUMBER(B1138)),C1138="",C1138="Fora dos ciclos"),"",IF(C1138="C0","Nao",IF(IFERROR(INDEX(parametros!$A$2:$A$6,MATCH(C1138,parametros!$B$2:$B$6,0)),"")&lt;&gt;"Sim","Nao",IF(IFERROR(INDEX(parametros!$H$2:$H$6,MATCH(C1138,parametros!$B$2:$B$6,0)),"")="","",IF(B1138&gt;=IFERROR(INDEX(parametros!$H$2:$H$6,MATCH(C1138,parametros!$B$2:$B$6,0)),""),"Sim","Nao"))))))</f>
        <v/>
      </c>
      <c r="T1138" s="156"/>
      <c r="U1138" s="214" t="str">
        <f t="shared" si="91"/>
        <v/>
      </c>
      <c r="V1138" s="212" t="s">
        <v>50</v>
      </c>
      <c r="W1138" s="100" t="s">
        <v>168</v>
      </c>
      <c r="X1138" s="100" t="s">
        <v>169</v>
      </c>
      <c r="Y1138" s="101" t="s">
        <v>170</v>
      </c>
      <c r="Z1138" s="101" t="s">
        <v>171</v>
      </c>
      <c r="AA1138" s="101" t="s">
        <v>50</v>
      </c>
      <c r="AB1138" s="101" t="s">
        <v>172</v>
      </c>
      <c r="AC1138" s="102" t="s">
        <v>173</v>
      </c>
    </row>
    <row r="1139" spans="1:29" ht="25.5" customHeight="1" x14ac:dyDescent="0.35">
      <c r="A1139" s="392"/>
      <c r="B1139" s="393"/>
      <c r="C1139" s="99" t="str">
        <f>IF(B1139="","",IF(NOT(ISNUMBER(B1139)),"DATA_PC invalida",IF(NOT(ISNUMBER(parametros!$C$2)),"Fora dos ciclos",IF(OR(B1139&lt;parametros!$C$2,(YEAR(B1139)-YEAR(parametros!$C$2))*12+MONTH(B1139)-MONTH(parametros!$C$2)&gt;59),"Fora dos ciclos","C"&amp;INT(((YEAR(B1139)-YEAR(parametros!$C$2))*12+MONTH(B1139)-MONTH(parametros!$C$2))/12)))))</f>
        <v/>
      </c>
      <c r="D1139" s="394"/>
      <c r="E1139" s="78" t="str">
        <f>IF(C1139="","",IFERROR(VLOOKUP(C1139,parametros!$A$11:$E$15,5,0),""))</f>
        <v/>
      </c>
      <c r="F1139" s="79" t="str">
        <f t="shared" si="87"/>
        <v/>
      </c>
      <c r="G1139" s="395"/>
      <c r="H1139" s="91">
        <f t="shared" si="88"/>
        <v>0</v>
      </c>
      <c r="I1139" s="91" t="str">
        <f t="shared" si="89"/>
        <v/>
      </c>
      <c r="J1139" s="91" t="str">
        <f t="shared" si="90"/>
        <v/>
      </c>
      <c r="K1139" s="92" t="str">
        <f>IF(AND(A1139="",B1139="",D1139="",G1139=""),"",IF(AND(A1139&lt;&gt;"",COUNTIF($A$2:$A$5001,A1139)&gt;1),"NUMERO_PC duplicado",IF(B1139="","DATA_PC vazia",IF(NOT(ISNUMBER(B1139)),"DATA_PC invalida",IF(OR(C1139="",C1139="Fora dos ciclos"),"CICLO_PC nao identificado",IF(OR(D1139="",D1139=0),"VALOR_PC vazio ou zero",IF(AND(G1139&lt;&gt;"Sim",G1139&lt;&gt;"Nao",G1139&lt;&gt;""),"PC_PAGO_A_CONTRATADA invalido",IF(AND(C1139&lt;&gt;"C0",IFERROR(INDEX(parametros!$A$2:$A$6,MATCH(C1139,parametros!$B$2:$B$6,0)),"")="Sim",IFERROR(INDEX(parametros!$H$2:$H$6,MATCH(C1139,parametros!$B$2:$B$6,0)),"")=""),"INICIO_EFEITO ausente: PC "&amp;A1139&amp;" - "&amp;C1139,IF(L1139="","EFEITO_PC nao calculado: PC "&amp;A1139&amp;" - "&amp;C1139,"OK")))))))))</f>
        <v/>
      </c>
      <c r="L1139" s="92" t="str">
        <f>IF(AND(A1139="",B1139="",D1139="",G1139=""),"",IF(OR(B1139="",NOT(ISNUMBER(B1139)),C1139="",C1139="Fora dos ciclos"),"",IF(C1139="C0","Nao",IF(IFERROR(INDEX(parametros!$A$2:$A$6,MATCH(C1139,parametros!$B$2:$B$6,0)),"")&lt;&gt;"Sim","Nao",IF(IFERROR(INDEX(parametros!$H$2:$H$6,MATCH(C1139,parametros!$B$2:$B$6,0)),"")="","",IF(B1139&gt;=IFERROR(INDEX(parametros!$H$2:$H$6,MATCH(C1139,parametros!$B$2:$B$6,0)),""),"Sim","Nao"))))))</f>
        <v/>
      </c>
      <c r="T1139" s="156"/>
      <c r="U1139" s="214" t="str">
        <f t="shared" si="91"/>
        <v/>
      </c>
      <c r="V1139" s="212" t="s">
        <v>50</v>
      </c>
      <c r="W1139" s="100" t="s">
        <v>168</v>
      </c>
      <c r="X1139" s="100" t="s">
        <v>169</v>
      </c>
      <c r="Y1139" s="101" t="s">
        <v>170</v>
      </c>
      <c r="Z1139" s="101" t="s">
        <v>171</v>
      </c>
      <c r="AA1139" s="101" t="s">
        <v>50</v>
      </c>
      <c r="AB1139" s="101" t="s">
        <v>172</v>
      </c>
      <c r="AC1139" s="102" t="s">
        <v>173</v>
      </c>
    </row>
    <row r="1140" spans="1:29" ht="25.5" customHeight="1" x14ac:dyDescent="0.35">
      <c r="A1140" s="392"/>
      <c r="B1140" s="393"/>
      <c r="C1140" s="99" t="str">
        <f>IF(B1140="","",IF(NOT(ISNUMBER(B1140)),"DATA_PC invalida",IF(NOT(ISNUMBER(parametros!$C$2)),"Fora dos ciclos",IF(OR(B1140&lt;parametros!$C$2,(YEAR(B1140)-YEAR(parametros!$C$2))*12+MONTH(B1140)-MONTH(parametros!$C$2)&gt;59),"Fora dos ciclos","C"&amp;INT(((YEAR(B1140)-YEAR(parametros!$C$2))*12+MONTH(B1140)-MONTH(parametros!$C$2))/12)))))</f>
        <v/>
      </c>
      <c r="D1140" s="394"/>
      <c r="E1140" s="78" t="str">
        <f>IF(C1140="","",IFERROR(VLOOKUP(C1140,parametros!$A$11:$E$15,5,0),""))</f>
        <v/>
      </c>
      <c r="F1140" s="79" t="str">
        <f t="shared" si="87"/>
        <v/>
      </c>
      <c r="G1140" s="395"/>
      <c r="H1140" s="91">
        <f t="shared" si="88"/>
        <v>0</v>
      </c>
      <c r="I1140" s="91" t="str">
        <f t="shared" si="89"/>
        <v/>
      </c>
      <c r="J1140" s="91" t="str">
        <f t="shared" si="90"/>
        <v/>
      </c>
      <c r="K1140" s="92" t="str">
        <f>IF(AND(A1140="",B1140="",D1140="",G1140=""),"",IF(AND(A1140&lt;&gt;"",COUNTIF($A$2:$A$5001,A1140)&gt;1),"NUMERO_PC duplicado",IF(B1140="","DATA_PC vazia",IF(NOT(ISNUMBER(B1140)),"DATA_PC invalida",IF(OR(C1140="",C1140="Fora dos ciclos"),"CICLO_PC nao identificado",IF(OR(D1140="",D1140=0),"VALOR_PC vazio ou zero",IF(AND(G1140&lt;&gt;"Sim",G1140&lt;&gt;"Nao",G1140&lt;&gt;""),"PC_PAGO_A_CONTRATADA invalido",IF(AND(C1140&lt;&gt;"C0",IFERROR(INDEX(parametros!$A$2:$A$6,MATCH(C1140,parametros!$B$2:$B$6,0)),"")="Sim",IFERROR(INDEX(parametros!$H$2:$H$6,MATCH(C1140,parametros!$B$2:$B$6,0)),"")=""),"INICIO_EFEITO ausente: PC "&amp;A1140&amp;" - "&amp;C1140,IF(L1140="","EFEITO_PC nao calculado: PC "&amp;A1140&amp;" - "&amp;C1140,"OK")))))))))</f>
        <v/>
      </c>
      <c r="L1140" s="92" t="str">
        <f>IF(AND(A1140="",B1140="",D1140="",G1140=""),"",IF(OR(B1140="",NOT(ISNUMBER(B1140)),C1140="",C1140="Fora dos ciclos"),"",IF(C1140="C0","Nao",IF(IFERROR(INDEX(parametros!$A$2:$A$6,MATCH(C1140,parametros!$B$2:$B$6,0)),"")&lt;&gt;"Sim","Nao",IF(IFERROR(INDEX(parametros!$H$2:$H$6,MATCH(C1140,parametros!$B$2:$B$6,0)),"")="","",IF(B1140&gt;=IFERROR(INDEX(parametros!$H$2:$H$6,MATCH(C1140,parametros!$B$2:$B$6,0)),""),"Sim","Nao"))))))</f>
        <v/>
      </c>
      <c r="T1140" s="156"/>
      <c r="U1140" s="214" t="str">
        <f t="shared" si="91"/>
        <v/>
      </c>
      <c r="V1140" s="212" t="s">
        <v>50</v>
      </c>
      <c r="W1140" s="100" t="s">
        <v>168</v>
      </c>
      <c r="X1140" s="100" t="s">
        <v>169</v>
      </c>
      <c r="Y1140" s="101" t="s">
        <v>170</v>
      </c>
      <c r="Z1140" s="101" t="s">
        <v>171</v>
      </c>
      <c r="AA1140" s="101" t="s">
        <v>50</v>
      </c>
      <c r="AB1140" s="101" t="s">
        <v>172</v>
      </c>
      <c r="AC1140" s="102" t="s">
        <v>173</v>
      </c>
    </row>
    <row r="1141" spans="1:29" ht="25.5" customHeight="1" x14ac:dyDescent="0.35">
      <c r="A1141" s="392"/>
      <c r="B1141" s="393"/>
      <c r="C1141" s="99" t="str">
        <f>IF(B1141="","",IF(NOT(ISNUMBER(B1141)),"DATA_PC invalida",IF(NOT(ISNUMBER(parametros!$C$2)),"Fora dos ciclos",IF(OR(B1141&lt;parametros!$C$2,(YEAR(B1141)-YEAR(parametros!$C$2))*12+MONTH(B1141)-MONTH(parametros!$C$2)&gt;59),"Fora dos ciclos","C"&amp;INT(((YEAR(B1141)-YEAR(parametros!$C$2))*12+MONTH(B1141)-MONTH(parametros!$C$2))/12)))))</f>
        <v/>
      </c>
      <c r="D1141" s="394"/>
      <c r="E1141" s="78" t="str">
        <f>IF(C1141="","",IFERROR(VLOOKUP(C1141,parametros!$A$11:$E$15,5,0),""))</f>
        <v/>
      </c>
      <c r="F1141" s="79" t="str">
        <f t="shared" si="87"/>
        <v/>
      </c>
      <c r="G1141" s="395"/>
      <c r="H1141" s="91">
        <f t="shared" si="88"/>
        <v>0</v>
      </c>
      <c r="I1141" s="91" t="str">
        <f t="shared" si="89"/>
        <v/>
      </c>
      <c r="J1141" s="91" t="str">
        <f t="shared" si="90"/>
        <v/>
      </c>
      <c r="K1141" s="92" t="str">
        <f>IF(AND(A1141="",B1141="",D1141="",G1141=""),"",IF(AND(A1141&lt;&gt;"",COUNTIF($A$2:$A$5001,A1141)&gt;1),"NUMERO_PC duplicado",IF(B1141="","DATA_PC vazia",IF(NOT(ISNUMBER(B1141)),"DATA_PC invalida",IF(OR(C1141="",C1141="Fora dos ciclos"),"CICLO_PC nao identificado",IF(OR(D1141="",D1141=0),"VALOR_PC vazio ou zero",IF(AND(G1141&lt;&gt;"Sim",G1141&lt;&gt;"Nao",G1141&lt;&gt;""),"PC_PAGO_A_CONTRATADA invalido",IF(AND(C1141&lt;&gt;"C0",IFERROR(INDEX(parametros!$A$2:$A$6,MATCH(C1141,parametros!$B$2:$B$6,0)),"")="Sim",IFERROR(INDEX(parametros!$H$2:$H$6,MATCH(C1141,parametros!$B$2:$B$6,0)),"")=""),"INICIO_EFEITO ausente: PC "&amp;A1141&amp;" - "&amp;C1141,IF(L1141="","EFEITO_PC nao calculado: PC "&amp;A1141&amp;" - "&amp;C1141,"OK")))))))))</f>
        <v/>
      </c>
      <c r="L1141" s="92" t="str">
        <f>IF(AND(A1141="",B1141="",D1141="",G1141=""),"",IF(OR(B1141="",NOT(ISNUMBER(B1141)),C1141="",C1141="Fora dos ciclos"),"",IF(C1141="C0","Nao",IF(IFERROR(INDEX(parametros!$A$2:$A$6,MATCH(C1141,parametros!$B$2:$B$6,0)),"")&lt;&gt;"Sim","Nao",IF(IFERROR(INDEX(parametros!$H$2:$H$6,MATCH(C1141,parametros!$B$2:$B$6,0)),"")="","",IF(B1141&gt;=IFERROR(INDEX(parametros!$H$2:$H$6,MATCH(C1141,parametros!$B$2:$B$6,0)),""),"Sim","Nao"))))))</f>
        <v/>
      </c>
      <c r="T1141" s="156"/>
      <c r="U1141" s="214" t="str">
        <f t="shared" si="91"/>
        <v/>
      </c>
      <c r="V1141" s="212" t="s">
        <v>50</v>
      </c>
      <c r="W1141" s="100" t="s">
        <v>168</v>
      </c>
      <c r="X1141" s="100" t="s">
        <v>169</v>
      </c>
      <c r="Y1141" s="101" t="s">
        <v>170</v>
      </c>
      <c r="Z1141" s="101" t="s">
        <v>171</v>
      </c>
      <c r="AA1141" s="101" t="s">
        <v>50</v>
      </c>
      <c r="AB1141" s="101" t="s">
        <v>172</v>
      </c>
      <c r="AC1141" s="102" t="s">
        <v>173</v>
      </c>
    </row>
    <row r="1142" spans="1:29" ht="25.5" customHeight="1" x14ac:dyDescent="0.35">
      <c r="A1142" s="392"/>
      <c r="B1142" s="393"/>
      <c r="C1142" s="99" t="str">
        <f>IF(B1142="","",IF(NOT(ISNUMBER(B1142)),"DATA_PC invalida",IF(NOT(ISNUMBER(parametros!$C$2)),"Fora dos ciclos",IF(OR(B1142&lt;parametros!$C$2,(YEAR(B1142)-YEAR(parametros!$C$2))*12+MONTH(B1142)-MONTH(parametros!$C$2)&gt;59),"Fora dos ciclos","C"&amp;INT(((YEAR(B1142)-YEAR(parametros!$C$2))*12+MONTH(B1142)-MONTH(parametros!$C$2))/12)))))</f>
        <v/>
      </c>
      <c r="D1142" s="394"/>
      <c r="E1142" s="78" t="str">
        <f>IF(C1142="","",IFERROR(VLOOKUP(C1142,parametros!$A$11:$E$15,5,0),""))</f>
        <v/>
      </c>
      <c r="F1142" s="79" t="str">
        <f t="shared" si="87"/>
        <v/>
      </c>
      <c r="G1142" s="395"/>
      <c r="H1142" s="91">
        <f t="shared" si="88"/>
        <v>0</v>
      </c>
      <c r="I1142" s="91" t="str">
        <f t="shared" si="89"/>
        <v/>
      </c>
      <c r="J1142" s="91" t="str">
        <f t="shared" si="90"/>
        <v/>
      </c>
      <c r="K1142" s="92" t="str">
        <f>IF(AND(A1142="",B1142="",D1142="",G1142=""),"",IF(AND(A1142&lt;&gt;"",COUNTIF($A$2:$A$5001,A1142)&gt;1),"NUMERO_PC duplicado",IF(B1142="","DATA_PC vazia",IF(NOT(ISNUMBER(B1142)),"DATA_PC invalida",IF(OR(C1142="",C1142="Fora dos ciclos"),"CICLO_PC nao identificado",IF(OR(D1142="",D1142=0),"VALOR_PC vazio ou zero",IF(AND(G1142&lt;&gt;"Sim",G1142&lt;&gt;"Nao",G1142&lt;&gt;""),"PC_PAGO_A_CONTRATADA invalido",IF(AND(C1142&lt;&gt;"C0",IFERROR(INDEX(parametros!$A$2:$A$6,MATCH(C1142,parametros!$B$2:$B$6,0)),"")="Sim",IFERROR(INDEX(parametros!$H$2:$H$6,MATCH(C1142,parametros!$B$2:$B$6,0)),"")=""),"INICIO_EFEITO ausente: PC "&amp;A1142&amp;" - "&amp;C1142,IF(L1142="","EFEITO_PC nao calculado: PC "&amp;A1142&amp;" - "&amp;C1142,"OK")))))))))</f>
        <v/>
      </c>
      <c r="L1142" s="92" t="str">
        <f>IF(AND(A1142="",B1142="",D1142="",G1142=""),"",IF(OR(B1142="",NOT(ISNUMBER(B1142)),C1142="",C1142="Fora dos ciclos"),"",IF(C1142="C0","Nao",IF(IFERROR(INDEX(parametros!$A$2:$A$6,MATCH(C1142,parametros!$B$2:$B$6,0)),"")&lt;&gt;"Sim","Nao",IF(IFERROR(INDEX(parametros!$H$2:$H$6,MATCH(C1142,parametros!$B$2:$B$6,0)),"")="","",IF(B1142&gt;=IFERROR(INDEX(parametros!$H$2:$H$6,MATCH(C1142,parametros!$B$2:$B$6,0)),""),"Sim","Nao"))))))</f>
        <v/>
      </c>
      <c r="T1142" s="156"/>
      <c r="U1142" s="214" t="str">
        <f t="shared" si="91"/>
        <v/>
      </c>
      <c r="V1142" s="212" t="s">
        <v>50</v>
      </c>
      <c r="W1142" s="100" t="s">
        <v>168</v>
      </c>
      <c r="X1142" s="100" t="s">
        <v>169</v>
      </c>
      <c r="Y1142" s="101" t="s">
        <v>170</v>
      </c>
      <c r="Z1142" s="101" t="s">
        <v>171</v>
      </c>
      <c r="AA1142" s="101" t="s">
        <v>50</v>
      </c>
      <c r="AB1142" s="101" t="s">
        <v>172</v>
      </c>
      <c r="AC1142" s="102" t="s">
        <v>173</v>
      </c>
    </row>
    <row r="1143" spans="1:29" ht="25.5" customHeight="1" x14ac:dyDescent="0.35">
      <c r="A1143" s="392"/>
      <c r="B1143" s="393"/>
      <c r="C1143" s="99" t="str">
        <f>IF(B1143="","",IF(NOT(ISNUMBER(B1143)),"DATA_PC invalida",IF(NOT(ISNUMBER(parametros!$C$2)),"Fora dos ciclos",IF(OR(B1143&lt;parametros!$C$2,(YEAR(B1143)-YEAR(parametros!$C$2))*12+MONTH(B1143)-MONTH(parametros!$C$2)&gt;59),"Fora dos ciclos","C"&amp;INT(((YEAR(B1143)-YEAR(parametros!$C$2))*12+MONTH(B1143)-MONTH(parametros!$C$2))/12)))))</f>
        <v/>
      </c>
      <c r="D1143" s="394"/>
      <c r="E1143" s="78" t="str">
        <f>IF(C1143="","",IFERROR(VLOOKUP(C1143,parametros!$A$11:$E$15,5,0),""))</f>
        <v/>
      </c>
      <c r="F1143" s="79" t="str">
        <f t="shared" si="87"/>
        <v/>
      </c>
      <c r="G1143" s="395"/>
      <c r="H1143" s="91">
        <f t="shared" si="88"/>
        <v>0</v>
      </c>
      <c r="I1143" s="91" t="str">
        <f t="shared" si="89"/>
        <v/>
      </c>
      <c r="J1143" s="91" t="str">
        <f t="shared" si="90"/>
        <v/>
      </c>
      <c r="K1143" s="92" t="str">
        <f>IF(AND(A1143="",B1143="",D1143="",G1143=""),"",IF(AND(A1143&lt;&gt;"",COUNTIF($A$2:$A$5001,A1143)&gt;1),"NUMERO_PC duplicado",IF(B1143="","DATA_PC vazia",IF(NOT(ISNUMBER(B1143)),"DATA_PC invalida",IF(OR(C1143="",C1143="Fora dos ciclos"),"CICLO_PC nao identificado",IF(OR(D1143="",D1143=0),"VALOR_PC vazio ou zero",IF(AND(G1143&lt;&gt;"Sim",G1143&lt;&gt;"Nao",G1143&lt;&gt;""),"PC_PAGO_A_CONTRATADA invalido",IF(AND(C1143&lt;&gt;"C0",IFERROR(INDEX(parametros!$A$2:$A$6,MATCH(C1143,parametros!$B$2:$B$6,0)),"")="Sim",IFERROR(INDEX(parametros!$H$2:$H$6,MATCH(C1143,parametros!$B$2:$B$6,0)),"")=""),"INICIO_EFEITO ausente: PC "&amp;A1143&amp;" - "&amp;C1143,IF(L1143="","EFEITO_PC nao calculado: PC "&amp;A1143&amp;" - "&amp;C1143,"OK")))))))))</f>
        <v/>
      </c>
      <c r="L1143" s="92" t="str">
        <f>IF(AND(A1143="",B1143="",D1143="",G1143=""),"",IF(OR(B1143="",NOT(ISNUMBER(B1143)),C1143="",C1143="Fora dos ciclos"),"",IF(C1143="C0","Nao",IF(IFERROR(INDEX(parametros!$A$2:$A$6,MATCH(C1143,parametros!$B$2:$B$6,0)),"")&lt;&gt;"Sim","Nao",IF(IFERROR(INDEX(parametros!$H$2:$H$6,MATCH(C1143,parametros!$B$2:$B$6,0)),"")="","",IF(B1143&gt;=IFERROR(INDEX(parametros!$H$2:$H$6,MATCH(C1143,parametros!$B$2:$B$6,0)),""),"Sim","Nao"))))))</f>
        <v/>
      </c>
      <c r="T1143" s="156"/>
      <c r="U1143" s="214" t="str">
        <f t="shared" si="91"/>
        <v/>
      </c>
      <c r="V1143" s="212" t="s">
        <v>50</v>
      </c>
      <c r="W1143" s="100" t="s">
        <v>168</v>
      </c>
      <c r="X1143" s="100" t="s">
        <v>169</v>
      </c>
      <c r="Y1143" s="101" t="s">
        <v>170</v>
      </c>
      <c r="Z1143" s="101" t="s">
        <v>171</v>
      </c>
      <c r="AA1143" s="101" t="s">
        <v>50</v>
      </c>
      <c r="AB1143" s="101" t="s">
        <v>172</v>
      </c>
      <c r="AC1143" s="102" t="s">
        <v>173</v>
      </c>
    </row>
    <row r="1144" spans="1:29" ht="25.5" customHeight="1" x14ac:dyDescent="0.35">
      <c r="A1144" s="392"/>
      <c r="B1144" s="393"/>
      <c r="C1144" s="99" t="str">
        <f>IF(B1144="","",IF(NOT(ISNUMBER(B1144)),"DATA_PC invalida",IF(NOT(ISNUMBER(parametros!$C$2)),"Fora dos ciclos",IF(OR(B1144&lt;parametros!$C$2,(YEAR(B1144)-YEAR(parametros!$C$2))*12+MONTH(B1144)-MONTH(parametros!$C$2)&gt;59),"Fora dos ciclos","C"&amp;INT(((YEAR(B1144)-YEAR(parametros!$C$2))*12+MONTH(B1144)-MONTH(parametros!$C$2))/12)))))</f>
        <v/>
      </c>
      <c r="D1144" s="394"/>
      <c r="E1144" s="78" t="str">
        <f>IF(C1144="","",IFERROR(VLOOKUP(C1144,parametros!$A$11:$E$15,5,0),""))</f>
        <v/>
      </c>
      <c r="F1144" s="79" t="str">
        <f t="shared" si="87"/>
        <v/>
      </c>
      <c r="G1144" s="395"/>
      <c r="H1144" s="91">
        <f t="shared" si="88"/>
        <v>0</v>
      </c>
      <c r="I1144" s="91" t="str">
        <f t="shared" si="89"/>
        <v/>
      </c>
      <c r="J1144" s="91" t="str">
        <f t="shared" si="90"/>
        <v/>
      </c>
      <c r="K1144" s="92" t="str">
        <f>IF(AND(A1144="",B1144="",D1144="",G1144=""),"",IF(AND(A1144&lt;&gt;"",COUNTIF($A$2:$A$5001,A1144)&gt;1),"NUMERO_PC duplicado",IF(B1144="","DATA_PC vazia",IF(NOT(ISNUMBER(B1144)),"DATA_PC invalida",IF(OR(C1144="",C1144="Fora dos ciclos"),"CICLO_PC nao identificado",IF(OR(D1144="",D1144=0),"VALOR_PC vazio ou zero",IF(AND(G1144&lt;&gt;"Sim",G1144&lt;&gt;"Nao",G1144&lt;&gt;""),"PC_PAGO_A_CONTRATADA invalido",IF(AND(C1144&lt;&gt;"C0",IFERROR(INDEX(parametros!$A$2:$A$6,MATCH(C1144,parametros!$B$2:$B$6,0)),"")="Sim",IFERROR(INDEX(parametros!$H$2:$H$6,MATCH(C1144,parametros!$B$2:$B$6,0)),"")=""),"INICIO_EFEITO ausente: PC "&amp;A1144&amp;" - "&amp;C1144,IF(L1144="","EFEITO_PC nao calculado: PC "&amp;A1144&amp;" - "&amp;C1144,"OK")))))))))</f>
        <v/>
      </c>
      <c r="L1144" s="92" t="str">
        <f>IF(AND(A1144="",B1144="",D1144="",G1144=""),"",IF(OR(B1144="",NOT(ISNUMBER(B1144)),C1144="",C1144="Fora dos ciclos"),"",IF(C1144="C0","Nao",IF(IFERROR(INDEX(parametros!$A$2:$A$6,MATCH(C1144,parametros!$B$2:$B$6,0)),"")&lt;&gt;"Sim","Nao",IF(IFERROR(INDEX(parametros!$H$2:$H$6,MATCH(C1144,parametros!$B$2:$B$6,0)),"")="","",IF(B1144&gt;=IFERROR(INDEX(parametros!$H$2:$H$6,MATCH(C1144,parametros!$B$2:$B$6,0)),""),"Sim","Nao"))))))</f>
        <v/>
      </c>
      <c r="T1144" s="156"/>
      <c r="U1144" s="214" t="str">
        <f t="shared" si="91"/>
        <v/>
      </c>
      <c r="V1144" s="212" t="s">
        <v>50</v>
      </c>
      <c r="W1144" s="100" t="s">
        <v>168</v>
      </c>
      <c r="X1144" s="100" t="s">
        <v>169</v>
      </c>
      <c r="Y1144" s="101" t="s">
        <v>170</v>
      </c>
      <c r="Z1144" s="101" t="s">
        <v>171</v>
      </c>
      <c r="AA1144" s="101" t="s">
        <v>50</v>
      </c>
      <c r="AB1144" s="101" t="s">
        <v>172</v>
      </c>
      <c r="AC1144" s="102" t="s">
        <v>173</v>
      </c>
    </row>
    <row r="1145" spans="1:29" ht="25.5" customHeight="1" x14ac:dyDescent="0.35">
      <c r="A1145" s="392"/>
      <c r="B1145" s="393"/>
      <c r="C1145" s="99" t="str">
        <f>IF(B1145="","",IF(NOT(ISNUMBER(B1145)),"DATA_PC invalida",IF(NOT(ISNUMBER(parametros!$C$2)),"Fora dos ciclos",IF(OR(B1145&lt;parametros!$C$2,(YEAR(B1145)-YEAR(parametros!$C$2))*12+MONTH(B1145)-MONTH(parametros!$C$2)&gt;59),"Fora dos ciclos","C"&amp;INT(((YEAR(B1145)-YEAR(parametros!$C$2))*12+MONTH(B1145)-MONTH(parametros!$C$2))/12)))))</f>
        <v/>
      </c>
      <c r="D1145" s="394"/>
      <c r="E1145" s="78" t="str">
        <f>IF(C1145="","",IFERROR(VLOOKUP(C1145,parametros!$A$11:$E$15,5,0),""))</f>
        <v/>
      </c>
      <c r="F1145" s="79" t="str">
        <f t="shared" si="87"/>
        <v/>
      </c>
      <c r="G1145" s="395"/>
      <c r="H1145" s="91">
        <f t="shared" si="88"/>
        <v>0</v>
      </c>
      <c r="I1145" s="91" t="str">
        <f t="shared" si="89"/>
        <v/>
      </c>
      <c r="J1145" s="91" t="str">
        <f t="shared" si="90"/>
        <v/>
      </c>
      <c r="K1145" s="92" t="str">
        <f>IF(AND(A1145="",B1145="",D1145="",G1145=""),"",IF(AND(A1145&lt;&gt;"",COUNTIF($A$2:$A$5001,A1145)&gt;1),"NUMERO_PC duplicado",IF(B1145="","DATA_PC vazia",IF(NOT(ISNUMBER(B1145)),"DATA_PC invalida",IF(OR(C1145="",C1145="Fora dos ciclos"),"CICLO_PC nao identificado",IF(OR(D1145="",D1145=0),"VALOR_PC vazio ou zero",IF(AND(G1145&lt;&gt;"Sim",G1145&lt;&gt;"Nao",G1145&lt;&gt;""),"PC_PAGO_A_CONTRATADA invalido",IF(AND(C1145&lt;&gt;"C0",IFERROR(INDEX(parametros!$A$2:$A$6,MATCH(C1145,parametros!$B$2:$B$6,0)),"")="Sim",IFERROR(INDEX(parametros!$H$2:$H$6,MATCH(C1145,parametros!$B$2:$B$6,0)),"")=""),"INICIO_EFEITO ausente: PC "&amp;A1145&amp;" - "&amp;C1145,IF(L1145="","EFEITO_PC nao calculado: PC "&amp;A1145&amp;" - "&amp;C1145,"OK")))))))))</f>
        <v/>
      </c>
      <c r="L1145" s="92" t="str">
        <f>IF(AND(A1145="",B1145="",D1145="",G1145=""),"",IF(OR(B1145="",NOT(ISNUMBER(B1145)),C1145="",C1145="Fora dos ciclos"),"",IF(C1145="C0","Nao",IF(IFERROR(INDEX(parametros!$A$2:$A$6,MATCH(C1145,parametros!$B$2:$B$6,0)),"")&lt;&gt;"Sim","Nao",IF(IFERROR(INDEX(parametros!$H$2:$H$6,MATCH(C1145,parametros!$B$2:$B$6,0)),"")="","",IF(B1145&gt;=IFERROR(INDEX(parametros!$H$2:$H$6,MATCH(C1145,parametros!$B$2:$B$6,0)),""),"Sim","Nao"))))))</f>
        <v/>
      </c>
      <c r="T1145" s="156"/>
      <c r="U1145" s="214" t="str">
        <f t="shared" si="91"/>
        <v/>
      </c>
      <c r="V1145" s="212" t="s">
        <v>50</v>
      </c>
      <c r="W1145" s="100" t="s">
        <v>168</v>
      </c>
      <c r="X1145" s="100" t="s">
        <v>169</v>
      </c>
      <c r="Y1145" s="101" t="s">
        <v>170</v>
      </c>
      <c r="Z1145" s="101" t="s">
        <v>171</v>
      </c>
      <c r="AA1145" s="101" t="s">
        <v>50</v>
      </c>
      <c r="AB1145" s="101" t="s">
        <v>172</v>
      </c>
      <c r="AC1145" s="102" t="s">
        <v>173</v>
      </c>
    </row>
    <row r="1146" spans="1:29" ht="25.5" customHeight="1" x14ac:dyDescent="0.35">
      <c r="A1146" s="392"/>
      <c r="B1146" s="393"/>
      <c r="C1146" s="99" t="str">
        <f>IF(B1146="","",IF(NOT(ISNUMBER(B1146)),"DATA_PC invalida",IF(NOT(ISNUMBER(parametros!$C$2)),"Fora dos ciclos",IF(OR(B1146&lt;parametros!$C$2,(YEAR(B1146)-YEAR(parametros!$C$2))*12+MONTH(B1146)-MONTH(parametros!$C$2)&gt;59),"Fora dos ciclos","C"&amp;INT(((YEAR(B1146)-YEAR(parametros!$C$2))*12+MONTH(B1146)-MONTH(parametros!$C$2))/12)))))</f>
        <v/>
      </c>
      <c r="D1146" s="394"/>
      <c r="E1146" s="78" t="str">
        <f>IF(C1146="","",IFERROR(VLOOKUP(C1146,parametros!$A$11:$E$15,5,0),""))</f>
        <v/>
      </c>
      <c r="F1146" s="79" t="str">
        <f t="shared" si="87"/>
        <v/>
      </c>
      <c r="G1146" s="395"/>
      <c r="H1146" s="91">
        <f t="shared" si="88"/>
        <v>0</v>
      </c>
      <c r="I1146" s="91" t="str">
        <f t="shared" si="89"/>
        <v/>
      </c>
      <c r="J1146" s="91" t="str">
        <f t="shared" si="90"/>
        <v/>
      </c>
      <c r="K1146" s="92" t="str">
        <f>IF(AND(A1146="",B1146="",D1146="",G1146=""),"",IF(AND(A1146&lt;&gt;"",COUNTIF($A$2:$A$5001,A1146)&gt;1),"NUMERO_PC duplicado",IF(B1146="","DATA_PC vazia",IF(NOT(ISNUMBER(B1146)),"DATA_PC invalida",IF(OR(C1146="",C1146="Fora dos ciclos"),"CICLO_PC nao identificado",IF(OR(D1146="",D1146=0),"VALOR_PC vazio ou zero",IF(AND(G1146&lt;&gt;"Sim",G1146&lt;&gt;"Nao",G1146&lt;&gt;""),"PC_PAGO_A_CONTRATADA invalido",IF(AND(C1146&lt;&gt;"C0",IFERROR(INDEX(parametros!$A$2:$A$6,MATCH(C1146,parametros!$B$2:$B$6,0)),"")="Sim",IFERROR(INDEX(parametros!$H$2:$H$6,MATCH(C1146,parametros!$B$2:$B$6,0)),"")=""),"INICIO_EFEITO ausente: PC "&amp;A1146&amp;" - "&amp;C1146,IF(L1146="","EFEITO_PC nao calculado: PC "&amp;A1146&amp;" - "&amp;C1146,"OK")))))))))</f>
        <v/>
      </c>
      <c r="L1146" s="92" t="str">
        <f>IF(AND(A1146="",B1146="",D1146="",G1146=""),"",IF(OR(B1146="",NOT(ISNUMBER(B1146)),C1146="",C1146="Fora dos ciclos"),"",IF(C1146="C0","Nao",IF(IFERROR(INDEX(parametros!$A$2:$A$6,MATCH(C1146,parametros!$B$2:$B$6,0)),"")&lt;&gt;"Sim","Nao",IF(IFERROR(INDEX(parametros!$H$2:$H$6,MATCH(C1146,parametros!$B$2:$B$6,0)),"")="","",IF(B1146&gt;=IFERROR(INDEX(parametros!$H$2:$H$6,MATCH(C1146,parametros!$B$2:$B$6,0)),""),"Sim","Nao"))))))</f>
        <v/>
      </c>
      <c r="T1146" s="156"/>
      <c r="U1146" s="214" t="str">
        <f t="shared" si="91"/>
        <v/>
      </c>
      <c r="V1146" s="212" t="s">
        <v>50</v>
      </c>
      <c r="W1146" s="100" t="s">
        <v>168</v>
      </c>
      <c r="X1146" s="100" t="s">
        <v>169</v>
      </c>
      <c r="Y1146" s="101" t="s">
        <v>170</v>
      </c>
      <c r="Z1146" s="101" t="s">
        <v>171</v>
      </c>
      <c r="AA1146" s="101" t="s">
        <v>50</v>
      </c>
      <c r="AB1146" s="101" t="s">
        <v>172</v>
      </c>
      <c r="AC1146" s="102" t="s">
        <v>173</v>
      </c>
    </row>
    <row r="1147" spans="1:29" ht="25.5" customHeight="1" x14ac:dyDescent="0.35">
      <c r="A1147" s="392"/>
      <c r="B1147" s="393"/>
      <c r="C1147" s="99" t="str">
        <f>IF(B1147="","",IF(NOT(ISNUMBER(B1147)),"DATA_PC invalida",IF(NOT(ISNUMBER(parametros!$C$2)),"Fora dos ciclos",IF(OR(B1147&lt;parametros!$C$2,(YEAR(B1147)-YEAR(parametros!$C$2))*12+MONTH(B1147)-MONTH(parametros!$C$2)&gt;59),"Fora dos ciclos","C"&amp;INT(((YEAR(B1147)-YEAR(parametros!$C$2))*12+MONTH(B1147)-MONTH(parametros!$C$2))/12)))))</f>
        <v/>
      </c>
      <c r="D1147" s="394"/>
      <c r="E1147" s="78" t="str">
        <f>IF(C1147="","",IFERROR(VLOOKUP(C1147,parametros!$A$11:$E$15,5,0),""))</f>
        <v/>
      </c>
      <c r="F1147" s="79" t="str">
        <f t="shared" si="87"/>
        <v/>
      </c>
      <c r="G1147" s="395"/>
      <c r="H1147" s="91">
        <f t="shared" si="88"/>
        <v>0</v>
      </c>
      <c r="I1147" s="91" t="str">
        <f t="shared" si="89"/>
        <v/>
      </c>
      <c r="J1147" s="91" t="str">
        <f t="shared" si="90"/>
        <v/>
      </c>
      <c r="K1147" s="92" t="str">
        <f>IF(AND(A1147="",B1147="",D1147="",G1147=""),"",IF(AND(A1147&lt;&gt;"",COUNTIF($A$2:$A$5001,A1147)&gt;1),"NUMERO_PC duplicado",IF(B1147="","DATA_PC vazia",IF(NOT(ISNUMBER(B1147)),"DATA_PC invalida",IF(OR(C1147="",C1147="Fora dos ciclos"),"CICLO_PC nao identificado",IF(OR(D1147="",D1147=0),"VALOR_PC vazio ou zero",IF(AND(G1147&lt;&gt;"Sim",G1147&lt;&gt;"Nao",G1147&lt;&gt;""),"PC_PAGO_A_CONTRATADA invalido",IF(AND(C1147&lt;&gt;"C0",IFERROR(INDEX(parametros!$A$2:$A$6,MATCH(C1147,parametros!$B$2:$B$6,0)),"")="Sim",IFERROR(INDEX(parametros!$H$2:$H$6,MATCH(C1147,parametros!$B$2:$B$6,0)),"")=""),"INICIO_EFEITO ausente: PC "&amp;A1147&amp;" - "&amp;C1147,IF(L1147="","EFEITO_PC nao calculado: PC "&amp;A1147&amp;" - "&amp;C1147,"OK")))))))))</f>
        <v/>
      </c>
      <c r="L1147" s="92" t="str">
        <f>IF(AND(A1147="",B1147="",D1147="",G1147=""),"",IF(OR(B1147="",NOT(ISNUMBER(B1147)),C1147="",C1147="Fora dos ciclos"),"",IF(C1147="C0","Nao",IF(IFERROR(INDEX(parametros!$A$2:$A$6,MATCH(C1147,parametros!$B$2:$B$6,0)),"")&lt;&gt;"Sim","Nao",IF(IFERROR(INDEX(parametros!$H$2:$H$6,MATCH(C1147,parametros!$B$2:$B$6,0)),"")="","",IF(B1147&gt;=IFERROR(INDEX(parametros!$H$2:$H$6,MATCH(C1147,parametros!$B$2:$B$6,0)),""),"Sim","Nao"))))))</f>
        <v/>
      </c>
      <c r="T1147" s="156"/>
      <c r="U1147" s="214" t="str">
        <f t="shared" si="91"/>
        <v/>
      </c>
      <c r="V1147" s="212" t="s">
        <v>50</v>
      </c>
      <c r="W1147" s="100" t="s">
        <v>168</v>
      </c>
      <c r="X1147" s="100" t="s">
        <v>169</v>
      </c>
      <c r="Y1147" s="101" t="s">
        <v>170</v>
      </c>
      <c r="Z1147" s="101" t="s">
        <v>171</v>
      </c>
      <c r="AA1147" s="101" t="s">
        <v>50</v>
      </c>
      <c r="AB1147" s="101" t="s">
        <v>172</v>
      </c>
      <c r="AC1147" s="102" t="s">
        <v>173</v>
      </c>
    </row>
    <row r="1148" spans="1:29" ht="25.5" customHeight="1" x14ac:dyDescent="0.35">
      <c r="A1148" s="392"/>
      <c r="B1148" s="393"/>
      <c r="C1148" s="99" t="str">
        <f>IF(B1148="","",IF(NOT(ISNUMBER(B1148)),"DATA_PC invalida",IF(NOT(ISNUMBER(parametros!$C$2)),"Fora dos ciclos",IF(OR(B1148&lt;parametros!$C$2,(YEAR(B1148)-YEAR(parametros!$C$2))*12+MONTH(B1148)-MONTH(parametros!$C$2)&gt;59),"Fora dos ciclos","C"&amp;INT(((YEAR(B1148)-YEAR(parametros!$C$2))*12+MONTH(B1148)-MONTH(parametros!$C$2))/12)))))</f>
        <v/>
      </c>
      <c r="D1148" s="394"/>
      <c r="E1148" s="78" t="str">
        <f>IF(C1148="","",IFERROR(VLOOKUP(C1148,parametros!$A$11:$E$15,5,0),""))</f>
        <v/>
      </c>
      <c r="F1148" s="79" t="str">
        <f t="shared" si="87"/>
        <v/>
      </c>
      <c r="G1148" s="395"/>
      <c r="H1148" s="91">
        <f t="shared" si="88"/>
        <v>0</v>
      </c>
      <c r="I1148" s="91" t="str">
        <f t="shared" si="89"/>
        <v/>
      </c>
      <c r="J1148" s="91" t="str">
        <f t="shared" si="90"/>
        <v/>
      </c>
      <c r="K1148" s="92" t="str">
        <f>IF(AND(A1148="",B1148="",D1148="",G1148=""),"",IF(AND(A1148&lt;&gt;"",COUNTIF($A$2:$A$5001,A1148)&gt;1),"NUMERO_PC duplicado",IF(B1148="","DATA_PC vazia",IF(NOT(ISNUMBER(B1148)),"DATA_PC invalida",IF(OR(C1148="",C1148="Fora dos ciclos"),"CICLO_PC nao identificado",IF(OR(D1148="",D1148=0),"VALOR_PC vazio ou zero",IF(AND(G1148&lt;&gt;"Sim",G1148&lt;&gt;"Nao",G1148&lt;&gt;""),"PC_PAGO_A_CONTRATADA invalido",IF(AND(C1148&lt;&gt;"C0",IFERROR(INDEX(parametros!$A$2:$A$6,MATCH(C1148,parametros!$B$2:$B$6,0)),"")="Sim",IFERROR(INDEX(parametros!$H$2:$H$6,MATCH(C1148,parametros!$B$2:$B$6,0)),"")=""),"INICIO_EFEITO ausente: PC "&amp;A1148&amp;" - "&amp;C1148,IF(L1148="","EFEITO_PC nao calculado: PC "&amp;A1148&amp;" - "&amp;C1148,"OK")))))))))</f>
        <v/>
      </c>
      <c r="L1148" s="92" t="str">
        <f>IF(AND(A1148="",B1148="",D1148="",G1148=""),"",IF(OR(B1148="",NOT(ISNUMBER(B1148)),C1148="",C1148="Fora dos ciclos"),"",IF(C1148="C0","Nao",IF(IFERROR(INDEX(parametros!$A$2:$A$6,MATCH(C1148,parametros!$B$2:$B$6,0)),"")&lt;&gt;"Sim","Nao",IF(IFERROR(INDEX(parametros!$H$2:$H$6,MATCH(C1148,parametros!$B$2:$B$6,0)),"")="","",IF(B1148&gt;=IFERROR(INDEX(parametros!$H$2:$H$6,MATCH(C1148,parametros!$B$2:$B$6,0)),""),"Sim","Nao"))))))</f>
        <v/>
      </c>
      <c r="T1148" s="156"/>
      <c r="U1148" s="214" t="str">
        <f t="shared" si="91"/>
        <v/>
      </c>
      <c r="V1148" s="212" t="s">
        <v>50</v>
      </c>
      <c r="W1148" s="100" t="s">
        <v>168</v>
      </c>
      <c r="X1148" s="100" t="s">
        <v>169</v>
      </c>
      <c r="Y1148" s="101" t="s">
        <v>170</v>
      </c>
      <c r="Z1148" s="101" t="s">
        <v>171</v>
      </c>
      <c r="AA1148" s="101" t="s">
        <v>50</v>
      </c>
      <c r="AB1148" s="101" t="s">
        <v>172</v>
      </c>
      <c r="AC1148" s="102" t="s">
        <v>173</v>
      </c>
    </row>
    <row r="1149" spans="1:29" ht="25.5" customHeight="1" x14ac:dyDescent="0.35">
      <c r="A1149" s="392"/>
      <c r="B1149" s="393"/>
      <c r="C1149" s="99" t="str">
        <f>IF(B1149="","",IF(NOT(ISNUMBER(B1149)),"DATA_PC invalida",IF(NOT(ISNUMBER(parametros!$C$2)),"Fora dos ciclos",IF(OR(B1149&lt;parametros!$C$2,(YEAR(B1149)-YEAR(parametros!$C$2))*12+MONTH(B1149)-MONTH(parametros!$C$2)&gt;59),"Fora dos ciclos","C"&amp;INT(((YEAR(B1149)-YEAR(parametros!$C$2))*12+MONTH(B1149)-MONTH(parametros!$C$2))/12)))))</f>
        <v/>
      </c>
      <c r="D1149" s="394"/>
      <c r="E1149" s="78" t="str">
        <f>IF(C1149="","",IFERROR(VLOOKUP(C1149,parametros!$A$11:$E$15,5,0),""))</f>
        <v/>
      </c>
      <c r="F1149" s="79" t="str">
        <f t="shared" si="87"/>
        <v/>
      </c>
      <c r="G1149" s="395"/>
      <c r="H1149" s="91">
        <f t="shared" si="88"/>
        <v>0</v>
      </c>
      <c r="I1149" s="91" t="str">
        <f t="shared" si="89"/>
        <v/>
      </c>
      <c r="J1149" s="91" t="str">
        <f t="shared" si="90"/>
        <v/>
      </c>
      <c r="K1149" s="92" t="str">
        <f>IF(AND(A1149="",B1149="",D1149="",G1149=""),"",IF(AND(A1149&lt;&gt;"",COUNTIF($A$2:$A$5001,A1149)&gt;1),"NUMERO_PC duplicado",IF(B1149="","DATA_PC vazia",IF(NOT(ISNUMBER(B1149)),"DATA_PC invalida",IF(OR(C1149="",C1149="Fora dos ciclos"),"CICLO_PC nao identificado",IF(OR(D1149="",D1149=0),"VALOR_PC vazio ou zero",IF(AND(G1149&lt;&gt;"Sim",G1149&lt;&gt;"Nao",G1149&lt;&gt;""),"PC_PAGO_A_CONTRATADA invalido",IF(AND(C1149&lt;&gt;"C0",IFERROR(INDEX(parametros!$A$2:$A$6,MATCH(C1149,parametros!$B$2:$B$6,0)),"")="Sim",IFERROR(INDEX(parametros!$H$2:$H$6,MATCH(C1149,parametros!$B$2:$B$6,0)),"")=""),"INICIO_EFEITO ausente: PC "&amp;A1149&amp;" - "&amp;C1149,IF(L1149="","EFEITO_PC nao calculado: PC "&amp;A1149&amp;" - "&amp;C1149,"OK")))))))))</f>
        <v/>
      </c>
      <c r="L1149" s="92" t="str">
        <f>IF(AND(A1149="",B1149="",D1149="",G1149=""),"",IF(OR(B1149="",NOT(ISNUMBER(B1149)),C1149="",C1149="Fora dos ciclos"),"",IF(C1149="C0","Nao",IF(IFERROR(INDEX(parametros!$A$2:$A$6,MATCH(C1149,parametros!$B$2:$B$6,0)),"")&lt;&gt;"Sim","Nao",IF(IFERROR(INDEX(parametros!$H$2:$H$6,MATCH(C1149,parametros!$B$2:$B$6,0)),"")="","",IF(B1149&gt;=IFERROR(INDEX(parametros!$H$2:$H$6,MATCH(C1149,parametros!$B$2:$B$6,0)),""),"Sim","Nao"))))))</f>
        <v/>
      </c>
      <c r="T1149" s="156"/>
      <c r="U1149" s="214" t="str">
        <f t="shared" si="91"/>
        <v/>
      </c>
      <c r="V1149" s="212" t="s">
        <v>50</v>
      </c>
      <c r="W1149" s="100" t="s">
        <v>168</v>
      </c>
      <c r="X1149" s="100" t="s">
        <v>169</v>
      </c>
      <c r="Y1149" s="101" t="s">
        <v>170</v>
      </c>
      <c r="Z1149" s="101" t="s">
        <v>171</v>
      </c>
      <c r="AA1149" s="101" t="s">
        <v>50</v>
      </c>
      <c r="AB1149" s="101" t="s">
        <v>172</v>
      </c>
      <c r="AC1149" s="102" t="s">
        <v>173</v>
      </c>
    </row>
    <row r="1150" spans="1:29" ht="25.5" customHeight="1" x14ac:dyDescent="0.35">
      <c r="A1150" s="392"/>
      <c r="B1150" s="393"/>
      <c r="C1150" s="99" t="str">
        <f>IF(B1150="","",IF(NOT(ISNUMBER(B1150)),"DATA_PC invalida",IF(NOT(ISNUMBER(parametros!$C$2)),"Fora dos ciclos",IF(OR(B1150&lt;parametros!$C$2,(YEAR(B1150)-YEAR(parametros!$C$2))*12+MONTH(B1150)-MONTH(parametros!$C$2)&gt;59),"Fora dos ciclos","C"&amp;INT(((YEAR(B1150)-YEAR(parametros!$C$2))*12+MONTH(B1150)-MONTH(parametros!$C$2))/12)))))</f>
        <v/>
      </c>
      <c r="D1150" s="394"/>
      <c r="E1150" s="78" t="str">
        <f>IF(C1150="","",IFERROR(VLOOKUP(C1150,parametros!$A$11:$E$15,5,0),""))</f>
        <v/>
      </c>
      <c r="F1150" s="79" t="str">
        <f t="shared" si="87"/>
        <v/>
      </c>
      <c r="G1150" s="395"/>
      <c r="H1150" s="91">
        <f t="shared" si="88"/>
        <v>0</v>
      </c>
      <c r="I1150" s="91" t="str">
        <f t="shared" si="89"/>
        <v/>
      </c>
      <c r="J1150" s="91" t="str">
        <f t="shared" si="90"/>
        <v/>
      </c>
      <c r="K1150" s="92" t="str">
        <f>IF(AND(A1150="",B1150="",D1150="",G1150=""),"",IF(AND(A1150&lt;&gt;"",COUNTIF($A$2:$A$5001,A1150)&gt;1),"NUMERO_PC duplicado",IF(B1150="","DATA_PC vazia",IF(NOT(ISNUMBER(B1150)),"DATA_PC invalida",IF(OR(C1150="",C1150="Fora dos ciclos"),"CICLO_PC nao identificado",IF(OR(D1150="",D1150=0),"VALOR_PC vazio ou zero",IF(AND(G1150&lt;&gt;"Sim",G1150&lt;&gt;"Nao",G1150&lt;&gt;""),"PC_PAGO_A_CONTRATADA invalido",IF(AND(C1150&lt;&gt;"C0",IFERROR(INDEX(parametros!$A$2:$A$6,MATCH(C1150,parametros!$B$2:$B$6,0)),"")="Sim",IFERROR(INDEX(parametros!$H$2:$H$6,MATCH(C1150,parametros!$B$2:$B$6,0)),"")=""),"INICIO_EFEITO ausente: PC "&amp;A1150&amp;" - "&amp;C1150,IF(L1150="","EFEITO_PC nao calculado: PC "&amp;A1150&amp;" - "&amp;C1150,"OK")))))))))</f>
        <v/>
      </c>
      <c r="L1150" s="92" t="str">
        <f>IF(AND(A1150="",B1150="",D1150="",G1150=""),"",IF(OR(B1150="",NOT(ISNUMBER(B1150)),C1150="",C1150="Fora dos ciclos"),"",IF(C1150="C0","Nao",IF(IFERROR(INDEX(parametros!$A$2:$A$6,MATCH(C1150,parametros!$B$2:$B$6,0)),"")&lt;&gt;"Sim","Nao",IF(IFERROR(INDEX(parametros!$H$2:$H$6,MATCH(C1150,parametros!$B$2:$B$6,0)),"")="","",IF(B1150&gt;=IFERROR(INDEX(parametros!$H$2:$H$6,MATCH(C1150,parametros!$B$2:$B$6,0)),""),"Sim","Nao"))))))</f>
        <v/>
      </c>
      <c r="T1150" s="156"/>
      <c r="U1150" s="214" t="str">
        <f t="shared" si="91"/>
        <v/>
      </c>
      <c r="V1150" s="212" t="s">
        <v>50</v>
      </c>
      <c r="W1150" s="100" t="s">
        <v>168</v>
      </c>
      <c r="X1150" s="100" t="s">
        <v>169</v>
      </c>
      <c r="Y1150" s="101" t="s">
        <v>170</v>
      </c>
      <c r="Z1150" s="101" t="s">
        <v>171</v>
      </c>
      <c r="AA1150" s="101" t="s">
        <v>50</v>
      </c>
      <c r="AB1150" s="101" t="s">
        <v>172</v>
      </c>
      <c r="AC1150" s="102" t="s">
        <v>173</v>
      </c>
    </row>
    <row r="1151" spans="1:29" ht="25.5" customHeight="1" x14ac:dyDescent="0.35">
      <c r="A1151" s="392"/>
      <c r="B1151" s="393"/>
      <c r="C1151" s="99" t="str">
        <f>IF(B1151="","",IF(NOT(ISNUMBER(B1151)),"DATA_PC invalida",IF(NOT(ISNUMBER(parametros!$C$2)),"Fora dos ciclos",IF(OR(B1151&lt;parametros!$C$2,(YEAR(B1151)-YEAR(parametros!$C$2))*12+MONTH(B1151)-MONTH(parametros!$C$2)&gt;59),"Fora dos ciclos","C"&amp;INT(((YEAR(B1151)-YEAR(parametros!$C$2))*12+MONTH(B1151)-MONTH(parametros!$C$2))/12)))))</f>
        <v/>
      </c>
      <c r="D1151" s="394"/>
      <c r="E1151" s="78" t="str">
        <f>IF(C1151="","",IFERROR(VLOOKUP(C1151,parametros!$A$11:$E$15,5,0),""))</f>
        <v/>
      </c>
      <c r="F1151" s="79" t="str">
        <f t="shared" si="87"/>
        <v/>
      </c>
      <c r="G1151" s="395"/>
      <c r="H1151" s="91">
        <f t="shared" si="88"/>
        <v>0</v>
      </c>
      <c r="I1151" s="91" t="str">
        <f t="shared" si="89"/>
        <v/>
      </c>
      <c r="J1151" s="91" t="str">
        <f t="shared" si="90"/>
        <v/>
      </c>
      <c r="K1151" s="92" t="str">
        <f>IF(AND(A1151="",B1151="",D1151="",G1151=""),"",IF(AND(A1151&lt;&gt;"",COUNTIF($A$2:$A$5001,A1151)&gt;1),"NUMERO_PC duplicado",IF(B1151="","DATA_PC vazia",IF(NOT(ISNUMBER(B1151)),"DATA_PC invalida",IF(OR(C1151="",C1151="Fora dos ciclos"),"CICLO_PC nao identificado",IF(OR(D1151="",D1151=0),"VALOR_PC vazio ou zero",IF(AND(G1151&lt;&gt;"Sim",G1151&lt;&gt;"Nao",G1151&lt;&gt;""),"PC_PAGO_A_CONTRATADA invalido",IF(AND(C1151&lt;&gt;"C0",IFERROR(INDEX(parametros!$A$2:$A$6,MATCH(C1151,parametros!$B$2:$B$6,0)),"")="Sim",IFERROR(INDEX(parametros!$H$2:$H$6,MATCH(C1151,parametros!$B$2:$B$6,0)),"")=""),"INICIO_EFEITO ausente: PC "&amp;A1151&amp;" - "&amp;C1151,IF(L1151="","EFEITO_PC nao calculado: PC "&amp;A1151&amp;" - "&amp;C1151,"OK")))))))))</f>
        <v/>
      </c>
      <c r="L1151" s="92" t="str">
        <f>IF(AND(A1151="",B1151="",D1151="",G1151=""),"",IF(OR(B1151="",NOT(ISNUMBER(B1151)),C1151="",C1151="Fora dos ciclos"),"",IF(C1151="C0","Nao",IF(IFERROR(INDEX(parametros!$A$2:$A$6,MATCH(C1151,parametros!$B$2:$B$6,0)),"")&lt;&gt;"Sim","Nao",IF(IFERROR(INDEX(parametros!$H$2:$H$6,MATCH(C1151,parametros!$B$2:$B$6,0)),"")="","",IF(B1151&gt;=IFERROR(INDEX(parametros!$H$2:$H$6,MATCH(C1151,parametros!$B$2:$B$6,0)),""),"Sim","Nao"))))))</f>
        <v/>
      </c>
      <c r="T1151" s="156"/>
      <c r="U1151" s="214" t="str">
        <f t="shared" si="91"/>
        <v/>
      </c>
      <c r="V1151" s="212" t="s">
        <v>50</v>
      </c>
      <c r="W1151" s="100" t="s">
        <v>168</v>
      </c>
      <c r="X1151" s="100" t="s">
        <v>169</v>
      </c>
      <c r="Y1151" s="101" t="s">
        <v>170</v>
      </c>
      <c r="Z1151" s="101" t="s">
        <v>171</v>
      </c>
      <c r="AA1151" s="101" t="s">
        <v>50</v>
      </c>
      <c r="AB1151" s="101" t="s">
        <v>172</v>
      </c>
      <c r="AC1151" s="102" t="s">
        <v>173</v>
      </c>
    </row>
    <row r="1152" spans="1:29" ht="25.5" customHeight="1" x14ac:dyDescent="0.35">
      <c r="A1152" s="392"/>
      <c r="B1152" s="393"/>
      <c r="C1152" s="99" t="str">
        <f>IF(B1152="","",IF(NOT(ISNUMBER(B1152)),"DATA_PC invalida",IF(NOT(ISNUMBER(parametros!$C$2)),"Fora dos ciclos",IF(OR(B1152&lt;parametros!$C$2,(YEAR(B1152)-YEAR(parametros!$C$2))*12+MONTH(B1152)-MONTH(parametros!$C$2)&gt;59),"Fora dos ciclos","C"&amp;INT(((YEAR(B1152)-YEAR(parametros!$C$2))*12+MONTH(B1152)-MONTH(parametros!$C$2))/12)))))</f>
        <v/>
      </c>
      <c r="D1152" s="394"/>
      <c r="E1152" s="78" t="str">
        <f>IF(C1152="","",IFERROR(VLOOKUP(C1152,parametros!$A$11:$E$15,5,0),""))</f>
        <v/>
      </c>
      <c r="F1152" s="79" t="str">
        <f t="shared" si="87"/>
        <v/>
      </c>
      <c r="G1152" s="395"/>
      <c r="H1152" s="91">
        <f t="shared" si="88"/>
        <v>0</v>
      </c>
      <c r="I1152" s="91" t="str">
        <f t="shared" si="89"/>
        <v/>
      </c>
      <c r="J1152" s="91" t="str">
        <f t="shared" si="90"/>
        <v/>
      </c>
      <c r="K1152" s="92" t="str">
        <f>IF(AND(A1152="",B1152="",D1152="",G1152=""),"",IF(AND(A1152&lt;&gt;"",COUNTIF($A$2:$A$5001,A1152)&gt;1),"NUMERO_PC duplicado",IF(B1152="","DATA_PC vazia",IF(NOT(ISNUMBER(B1152)),"DATA_PC invalida",IF(OR(C1152="",C1152="Fora dos ciclos"),"CICLO_PC nao identificado",IF(OR(D1152="",D1152=0),"VALOR_PC vazio ou zero",IF(AND(G1152&lt;&gt;"Sim",G1152&lt;&gt;"Nao",G1152&lt;&gt;""),"PC_PAGO_A_CONTRATADA invalido",IF(AND(C1152&lt;&gt;"C0",IFERROR(INDEX(parametros!$A$2:$A$6,MATCH(C1152,parametros!$B$2:$B$6,0)),"")="Sim",IFERROR(INDEX(parametros!$H$2:$H$6,MATCH(C1152,parametros!$B$2:$B$6,0)),"")=""),"INICIO_EFEITO ausente: PC "&amp;A1152&amp;" - "&amp;C1152,IF(L1152="","EFEITO_PC nao calculado: PC "&amp;A1152&amp;" - "&amp;C1152,"OK")))))))))</f>
        <v/>
      </c>
      <c r="L1152" s="92" t="str">
        <f>IF(AND(A1152="",B1152="",D1152="",G1152=""),"",IF(OR(B1152="",NOT(ISNUMBER(B1152)),C1152="",C1152="Fora dos ciclos"),"",IF(C1152="C0","Nao",IF(IFERROR(INDEX(parametros!$A$2:$A$6,MATCH(C1152,parametros!$B$2:$B$6,0)),"")&lt;&gt;"Sim","Nao",IF(IFERROR(INDEX(parametros!$H$2:$H$6,MATCH(C1152,parametros!$B$2:$B$6,0)),"")="","",IF(B1152&gt;=IFERROR(INDEX(parametros!$H$2:$H$6,MATCH(C1152,parametros!$B$2:$B$6,0)),""),"Sim","Nao"))))))</f>
        <v/>
      </c>
      <c r="T1152" s="156"/>
      <c r="U1152" s="214" t="str">
        <f t="shared" si="91"/>
        <v/>
      </c>
      <c r="V1152" s="212" t="s">
        <v>50</v>
      </c>
      <c r="W1152" s="100" t="s">
        <v>168</v>
      </c>
      <c r="X1152" s="100" t="s">
        <v>169</v>
      </c>
      <c r="Y1152" s="101" t="s">
        <v>170</v>
      </c>
      <c r="Z1152" s="101" t="s">
        <v>171</v>
      </c>
      <c r="AA1152" s="101" t="s">
        <v>50</v>
      </c>
      <c r="AB1152" s="101" t="s">
        <v>172</v>
      </c>
      <c r="AC1152" s="102" t="s">
        <v>173</v>
      </c>
    </row>
    <row r="1153" spans="1:29" ht="25.5" customHeight="1" x14ac:dyDescent="0.35">
      <c r="A1153" s="392"/>
      <c r="B1153" s="393"/>
      <c r="C1153" s="99" t="str">
        <f>IF(B1153="","",IF(NOT(ISNUMBER(B1153)),"DATA_PC invalida",IF(NOT(ISNUMBER(parametros!$C$2)),"Fora dos ciclos",IF(OR(B1153&lt;parametros!$C$2,(YEAR(B1153)-YEAR(parametros!$C$2))*12+MONTH(B1153)-MONTH(parametros!$C$2)&gt;59),"Fora dos ciclos","C"&amp;INT(((YEAR(B1153)-YEAR(parametros!$C$2))*12+MONTH(B1153)-MONTH(parametros!$C$2))/12)))))</f>
        <v/>
      </c>
      <c r="D1153" s="394"/>
      <c r="E1153" s="78" t="str">
        <f>IF(C1153="","",IFERROR(VLOOKUP(C1153,parametros!$A$11:$E$15,5,0),""))</f>
        <v/>
      </c>
      <c r="F1153" s="79" t="str">
        <f t="shared" si="87"/>
        <v/>
      </c>
      <c r="G1153" s="395"/>
      <c r="H1153" s="91">
        <f t="shared" si="88"/>
        <v>0</v>
      </c>
      <c r="I1153" s="91" t="str">
        <f t="shared" si="89"/>
        <v/>
      </c>
      <c r="J1153" s="91" t="str">
        <f t="shared" si="90"/>
        <v/>
      </c>
      <c r="K1153" s="92" t="str">
        <f>IF(AND(A1153="",B1153="",D1153="",G1153=""),"",IF(AND(A1153&lt;&gt;"",COUNTIF($A$2:$A$5001,A1153)&gt;1),"NUMERO_PC duplicado",IF(B1153="","DATA_PC vazia",IF(NOT(ISNUMBER(B1153)),"DATA_PC invalida",IF(OR(C1153="",C1153="Fora dos ciclos"),"CICLO_PC nao identificado",IF(OR(D1153="",D1153=0),"VALOR_PC vazio ou zero",IF(AND(G1153&lt;&gt;"Sim",G1153&lt;&gt;"Nao",G1153&lt;&gt;""),"PC_PAGO_A_CONTRATADA invalido",IF(AND(C1153&lt;&gt;"C0",IFERROR(INDEX(parametros!$A$2:$A$6,MATCH(C1153,parametros!$B$2:$B$6,0)),"")="Sim",IFERROR(INDEX(parametros!$H$2:$H$6,MATCH(C1153,parametros!$B$2:$B$6,0)),"")=""),"INICIO_EFEITO ausente: PC "&amp;A1153&amp;" - "&amp;C1153,IF(L1153="","EFEITO_PC nao calculado: PC "&amp;A1153&amp;" - "&amp;C1153,"OK")))))))))</f>
        <v/>
      </c>
      <c r="L1153" s="92" t="str">
        <f>IF(AND(A1153="",B1153="",D1153="",G1153=""),"",IF(OR(B1153="",NOT(ISNUMBER(B1153)),C1153="",C1153="Fora dos ciclos"),"",IF(C1153="C0","Nao",IF(IFERROR(INDEX(parametros!$A$2:$A$6,MATCH(C1153,parametros!$B$2:$B$6,0)),"")&lt;&gt;"Sim","Nao",IF(IFERROR(INDEX(parametros!$H$2:$H$6,MATCH(C1153,parametros!$B$2:$B$6,0)),"")="","",IF(B1153&gt;=IFERROR(INDEX(parametros!$H$2:$H$6,MATCH(C1153,parametros!$B$2:$B$6,0)),""),"Sim","Nao"))))))</f>
        <v/>
      </c>
      <c r="T1153" s="156"/>
      <c r="U1153" s="214" t="str">
        <f t="shared" si="91"/>
        <v/>
      </c>
      <c r="V1153" s="212" t="s">
        <v>50</v>
      </c>
      <c r="W1153" s="100" t="s">
        <v>168</v>
      </c>
      <c r="X1153" s="100" t="s">
        <v>169</v>
      </c>
      <c r="Y1153" s="101" t="s">
        <v>170</v>
      </c>
      <c r="Z1153" s="101" t="s">
        <v>171</v>
      </c>
      <c r="AA1153" s="101" t="s">
        <v>50</v>
      </c>
      <c r="AB1153" s="101" t="s">
        <v>172</v>
      </c>
      <c r="AC1153" s="102" t="s">
        <v>173</v>
      </c>
    </row>
    <row r="1154" spans="1:29" ht="25.5" customHeight="1" x14ac:dyDescent="0.35">
      <c r="A1154" s="392"/>
      <c r="B1154" s="393"/>
      <c r="C1154" s="99" t="str">
        <f>IF(B1154="","",IF(NOT(ISNUMBER(B1154)),"DATA_PC invalida",IF(NOT(ISNUMBER(parametros!$C$2)),"Fora dos ciclos",IF(OR(B1154&lt;parametros!$C$2,(YEAR(B1154)-YEAR(parametros!$C$2))*12+MONTH(B1154)-MONTH(parametros!$C$2)&gt;59),"Fora dos ciclos","C"&amp;INT(((YEAR(B1154)-YEAR(parametros!$C$2))*12+MONTH(B1154)-MONTH(parametros!$C$2))/12)))))</f>
        <v/>
      </c>
      <c r="D1154" s="394"/>
      <c r="E1154" s="78" t="str">
        <f>IF(C1154="","",IFERROR(VLOOKUP(C1154,parametros!$A$11:$E$15,5,0),""))</f>
        <v/>
      </c>
      <c r="F1154" s="79" t="str">
        <f t="shared" ref="F1154:F1217" si="92">IF(OR(D1154="",E1154=""),"",ROUND(D1154*E1154,2))</f>
        <v/>
      </c>
      <c r="G1154" s="395"/>
      <c r="H1154" s="91">
        <f t="shared" ref="H1154:H1217" si="93">IF(G1154="Sim",IF(OR(F1154="",D1154="",L1154=""),"",IF(L1154="Sim",ROUND(F1154-D1154,2),0)),0)</f>
        <v>0</v>
      </c>
      <c r="I1154" s="91" t="str">
        <f t="shared" ref="I1154:I1217" si="94">IF(G1154="Sim",0,IF(OR(F1154="",L1154=""),"",F1154))</f>
        <v/>
      </c>
      <c r="J1154" s="91" t="str">
        <f t="shared" ref="J1154:J1217" si="95">IF(G1154="Sim",0,IF(OR(F1154="",D1154="",L1154=""),"",IF(L1154="Sim",ROUND(F1154-D1154,2),0)))</f>
        <v/>
      </c>
      <c r="K1154" s="92" t="str">
        <f>IF(AND(A1154="",B1154="",D1154="",G1154=""),"",IF(AND(A1154&lt;&gt;"",COUNTIF($A$2:$A$5001,A1154)&gt;1),"NUMERO_PC duplicado",IF(B1154="","DATA_PC vazia",IF(NOT(ISNUMBER(B1154)),"DATA_PC invalida",IF(OR(C1154="",C1154="Fora dos ciclos"),"CICLO_PC nao identificado",IF(OR(D1154="",D1154=0),"VALOR_PC vazio ou zero",IF(AND(G1154&lt;&gt;"Sim",G1154&lt;&gt;"Nao",G1154&lt;&gt;""),"PC_PAGO_A_CONTRATADA invalido",IF(AND(C1154&lt;&gt;"C0",IFERROR(INDEX(parametros!$A$2:$A$6,MATCH(C1154,parametros!$B$2:$B$6,0)),"")="Sim",IFERROR(INDEX(parametros!$H$2:$H$6,MATCH(C1154,parametros!$B$2:$B$6,0)),"")=""),"INICIO_EFEITO ausente: PC "&amp;A1154&amp;" - "&amp;C1154,IF(L1154="","EFEITO_PC nao calculado: PC "&amp;A1154&amp;" - "&amp;C1154,"OK")))))))))</f>
        <v/>
      </c>
      <c r="L1154" s="92" t="str">
        <f>IF(AND(A1154="",B1154="",D1154="",G1154=""),"",IF(OR(B1154="",NOT(ISNUMBER(B1154)),C1154="",C1154="Fora dos ciclos"),"",IF(C1154="C0","Nao",IF(IFERROR(INDEX(parametros!$A$2:$A$6,MATCH(C1154,parametros!$B$2:$B$6,0)),"")&lt;&gt;"Sim","Nao",IF(IFERROR(INDEX(parametros!$H$2:$H$6,MATCH(C1154,parametros!$B$2:$B$6,0)),"")="","",IF(B1154&gt;=IFERROR(INDEX(parametros!$H$2:$H$6,MATCH(C1154,parametros!$B$2:$B$6,0)),""),"Sim","Nao"))))))</f>
        <v/>
      </c>
      <c r="T1154" s="156"/>
      <c r="U1154" s="214" t="str">
        <f t="shared" ref="U1154:U1217" si="96">IF(OR($D1154="",$H1154=""),"",ROUND($D1154+$H1154,2))</f>
        <v/>
      </c>
      <c r="V1154" s="212" t="s">
        <v>50</v>
      </c>
      <c r="W1154" s="100" t="s">
        <v>168</v>
      </c>
      <c r="X1154" s="100" t="s">
        <v>169</v>
      </c>
      <c r="Y1154" s="101" t="s">
        <v>170</v>
      </c>
      <c r="Z1154" s="101" t="s">
        <v>171</v>
      </c>
      <c r="AA1154" s="101" t="s">
        <v>50</v>
      </c>
      <c r="AB1154" s="101" t="s">
        <v>172</v>
      </c>
      <c r="AC1154" s="102" t="s">
        <v>173</v>
      </c>
    </row>
    <row r="1155" spans="1:29" ht="25.5" customHeight="1" x14ac:dyDescent="0.35">
      <c r="A1155" s="392"/>
      <c r="B1155" s="393"/>
      <c r="C1155" s="99" t="str">
        <f>IF(B1155="","",IF(NOT(ISNUMBER(B1155)),"DATA_PC invalida",IF(NOT(ISNUMBER(parametros!$C$2)),"Fora dos ciclos",IF(OR(B1155&lt;parametros!$C$2,(YEAR(B1155)-YEAR(parametros!$C$2))*12+MONTH(B1155)-MONTH(parametros!$C$2)&gt;59),"Fora dos ciclos","C"&amp;INT(((YEAR(B1155)-YEAR(parametros!$C$2))*12+MONTH(B1155)-MONTH(parametros!$C$2))/12)))))</f>
        <v/>
      </c>
      <c r="D1155" s="394"/>
      <c r="E1155" s="78" t="str">
        <f>IF(C1155="","",IFERROR(VLOOKUP(C1155,parametros!$A$11:$E$15,5,0),""))</f>
        <v/>
      </c>
      <c r="F1155" s="79" t="str">
        <f t="shared" si="92"/>
        <v/>
      </c>
      <c r="G1155" s="395"/>
      <c r="H1155" s="91">
        <f t="shared" si="93"/>
        <v>0</v>
      </c>
      <c r="I1155" s="91" t="str">
        <f t="shared" si="94"/>
        <v/>
      </c>
      <c r="J1155" s="91" t="str">
        <f t="shared" si="95"/>
        <v/>
      </c>
      <c r="K1155" s="92" t="str">
        <f>IF(AND(A1155="",B1155="",D1155="",G1155=""),"",IF(AND(A1155&lt;&gt;"",COUNTIF($A$2:$A$5001,A1155)&gt;1),"NUMERO_PC duplicado",IF(B1155="","DATA_PC vazia",IF(NOT(ISNUMBER(B1155)),"DATA_PC invalida",IF(OR(C1155="",C1155="Fora dos ciclos"),"CICLO_PC nao identificado",IF(OR(D1155="",D1155=0),"VALOR_PC vazio ou zero",IF(AND(G1155&lt;&gt;"Sim",G1155&lt;&gt;"Nao",G1155&lt;&gt;""),"PC_PAGO_A_CONTRATADA invalido",IF(AND(C1155&lt;&gt;"C0",IFERROR(INDEX(parametros!$A$2:$A$6,MATCH(C1155,parametros!$B$2:$B$6,0)),"")="Sim",IFERROR(INDEX(parametros!$H$2:$H$6,MATCH(C1155,parametros!$B$2:$B$6,0)),"")=""),"INICIO_EFEITO ausente: PC "&amp;A1155&amp;" - "&amp;C1155,IF(L1155="","EFEITO_PC nao calculado: PC "&amp;A1155&amp;" - "&amp;C1155,"OK")))))))))</f>
        <v/>
      </c>
      <c r="L1155" s="92" t="str">
        <f>IF(AND(A1155="",B1155="",D1155="",G1155=""),"",IF(OR(B1155="",NOT(ISNUMBER(B1155)),C1155="",C1155="Fora dos ciclos"),"",IF(C1155="C0","Nao",IF(IFERROR(INDEX(parametros!$A$2:$A$6,MATCH(C1155,parametros!$B$2:$B$6,0)),"")&lt;&gt;"Sim","Nao",IF(IFERROR(INDEX(parametros!$H$2:$H$6,MATCH(C1155,parametros!$B$2:$B$6,0)),"")="","",IF(B1155&gt;=IFERROR(INDEX(parametros!$H$2:$H$6,MATCH(C1155,parametros!$B$2:$B$6,0)),""),"Sim","Nao"))))))</f>
        <v/>
      </c>
      <c r="T1155" s="156"/>
      <c r="U1155" s="214" t="str">
        <f t="shared" si="96"/>
        <v/>
      </c>
      <c r="V1155" s="212" t="s">
        <v>50</v>
      </c>
      <c r="W1155" s="100" t="s">
        <v>168</v>
      </c>
      <c r="X1155" s="100" t="s">
        <v>169</v>
      </c>
      <c r="Y1155" s="101" t="s">
        <v>170</v>
      </c>
      <c r="Z1155" s="101" t="s">
        <v>171</v>
      </c>
      <c r="AA1155" s="101" t="s">
        <v>50</v>
      </c>
      <c r="AB1155" s="101" t="s">
        <v>172</v>
      </c>
      <c r="AC1155" s="102" t="s">
        <v>173</v>
      </c>
    </row>
    <row r="1156" spans="1:29" ht="25.5" customHeight="1" x14ac:dyDescent="0.35">
      <c r="A1156" s="392"/>
      <c r="B1156" s="393"/>
      <c r="C1156" s="99" t="str">
        <f>IF(B1156="","",IF(NOT(ISNUMBER(B1156)),"DATA_PC invalida",IF(NOT(ISNUMBER(parametros!$C$2)),"Fora dos ciclos",IF(OR(B1156&lt;parametros!$C$2,(YEAR(B1156)-YEAR(parametros!$C$2))*12+MONTH(B1156)-MONTH(parametros!$C$2)&gt;59),"Fora dos ciclos","C"&amp;INT(((YEAR(B1156)-YEAR(parametros!$C$2))*12+MONTH(B1156)-MONTH(parametros!$C$2))/12)))))</f>
        <v/>
      </c>
      <c r="D1156" s="394"/>
      <c r="E1156" s="78" t="str">
        <f>IF(C1156="","",IFERROR(VLOOKUP(C1156,parametros!$A$11:$E$15,5,0),""))</f>
        <v/>
      </c>
      <c r="F1156" s="79" t="str">
        <f t="shared" si="92"/>
        <v/>
      </c>
      <c r="G1156" s="395"/>
      <c r="H1156" s="91">
        <f t="shared" si="93"/>
        <v>0</v>
      </c>
      <c r="I1156" s="91" t="str">
        <f t="shared" si="94"/>
        <v/>
      </c>
      <c r="J1156" s="91" t="str">
        <f t="shared" si="95"/>
        <v/>
      </c>
      <c r="K1156" s="92" t="str">
        <f>IF(AND(A1156="",B1156="",D1156="",G1156=""),"",IF(AND(A1156&lt;&gt;"",COUNTIF($A$2:$A$5001,A1156)&gt;1),"NUMERO_PC duplicado",IF(B1156="","DATA_PC vazia",IF(NOT(ISNUMBER(B1156)),"DATA_PC invalida",IF(OR(C1156="",C1156="Fora dos ciclos"),"CICLO_PC nao identificado",IF(OR(D1156="",D1156=0),"VALOR_PC vazio ou zero",IF(AND(G1156&lt;&gt;"Sim",G1156&lt;&gt;"Nao",G1156&lt;&gt;""),"PC_PAGO_A_CONTRATADA invalido",IF(AND(C1156&lt;&gt;"C0",IFERROR(INDEX(parametros!$A$2:$A$6,MATCH(C1156,parametros!$B$2:$B$6,0)),"")="Sim",IFERROR(INDEX(parametros!$H$2:$H$6,MATCH(C1156,parametros!$B$2:$B$6,0)),"")=""),"INICIO_EFEITO ausente: PC "&amp;A1156&amp;" - "&amp;C1156,IF(L1156="","EFEITO_PC nao calculado: PC "&amp;A1156&amp;" - "&amp;C1156,"OK")))))))))</f>
        <v/>
      </c>
      <c r="L1156" s="92" t="str">
        <f>IF(AND(A1156="",B1156="",D1156="",G1156=""),"",IF(OR(B1156="",NOT(ISNUMBER(B1156)),C1156="",C1156="Fora dos ciclos"),"",IF(C1156="C0","Nao",IF(IFERROR(INDEX(parametros!$A$2:$A$6,MATCH(C1156,parametros!$B$2:$B$6,0)),"")&lt;&gt;"Sim","Nao",IF(IFERROR(INDEX(parametros!$H$2:$H$6,MATCH(C1156,parametros!$B$2:$B$6,0)),"")="","",IF(B1156&gt;=IFERROR(INDEX(parametros!$H$2:$H$6,MATCH(C1156,parametros!$B$2:$B$6,0)),""),"Sim","Nao"))))))</f>
        <v/>
      </c>
      <c r="T1156" s="156"/>
      <c r="U1156" s="214" t="str">
        <f t="shared" si="96"/>
        <v/>
      </c>
      <c r="V1156" s="212" t="s">
        <v>50</v>
      </c>
      <c r="W1156" s="100" t="s">
        <v>168</v>
      </c>
      <c r="X1156" s="100" t="s">
        <v>169</v>
      </c>
      <c r="Y1156" s="101" t="s">
        <v>170</v>
      </c>
      <c r="Z1156" s="101" t="s">
        <v>171</v>
      </c>
      <c r="AA1156" s="101" t="s">
        <v>50</v>
      </c>
      <c r="AB1156" s="101" t="s">
        <v>172</v>
      </c>
      <c r="AC1156" s="102" t="s">
        <v>173</v>
      </c>
    </row>
    <row r="1157" spans="1:29" ht="25.5" customHeight="1" x14ac:dyDescent="0.35">
      <c r="A1157" s="392"/>
      <c r="B1157" s="393"/>
      <c r="C1157" s="99" t="str">
        <f>IF(B1157="","",IF(NOT(ISNUMBER(B1157)),"DATA_PC invalida",IF(NOT(ISNUMBER(parametros!$C$2)),"Fora dos ciclos",IF(OR(B1157&lt;parametros!$C$2,(YEAR(B1157)-YEAR(parametros!$C$2))*12+MONTH(B1157)-MONTH(parametros!$C$2)&gt;59),"Fora dos ciclos","C"&amp;INT(((YEAR(B1157)-YEAR(parametros!$C$2))*12+MONTH(B1157)-MONTH(parametros!$C$2))/12)))))</f>
        <v/>
      </c>
      <c r="D1157" s="394"/>
      <c r="E1157" s="78" t="str">
        <f>IF(C1157="","",IFERROR(VLOOKUP(C1157,parametros!$A$11:$E$15,5,0),""))</f>
        <v/>
      </c>
      <c r="F1157" s="79" t="str">
        <f t="shared" si="92"/>
        <v/>
      </c>
      <c r="G1157" s="395"/>
      <c r="H1157" s="91">
        <f t="shared" si="93"/>
        <v>0</v>
      </c>
      <c r="I1157" s="91" t="str">
        <f t="shared" si="94"/>
        <v/>
      </c>
      <c r="J1157" s="91" t="str">
        <f t="shared" si="95"/>
        <v/>
      </c>
      <c r="K1157" s="92" t="str">
        <f>IF(AND(A1157="",B1157="",D1157="",G1157=""),"",IF(AND(A1157&lt;&gt;"",COUNTIF($A$2:$A$5001,A1157)&gt;1),"NUMERO_PC duplicado",IF(B1157="","DATA_PC vazia",IF(NOT(ISNUMBER(B1157)),"DATA_PC invalida",IF(OR(C1157="",C1157="Fora dos ciclos"),"CICLO_PC nao identificado",IF(OR(D1157="",D1157=0),"VALOR_PC vazio ou zero",IF(AND(G1157&lt;&gt;"Sim",G1157&lt;&gt;"Nao",G1157&lt;&gt;""),"PC_PAGO_A_CONTRATADA invalido",IF(AND(C1157&lt;&gt;"C0",IFERROR(INDEX(parametros!$A$2:$A$6,MATCH(C1157,parametros!$B$2:$B$6,0)),"")="Sim",IFERROR(INDEX(parametros!$H$2:$H$6,MATCH(C1157,parametros!$B$2:$B$6,0)),"")=""),"INICIO_EFEITO ausente: PC "&amp;A1157&amp;" - "&amp;C1157,IF(L1157="","EFEITO_PC nao calculado: PC "&amp;A1157&amp;" - "&amp;C1157,"OK")))))))))</f>
        <v/>
      </c>
      <c r="L1157" s="92" t="str">
        <f>IF(AND(A1157="",B1157="",D1157="",G1157=""),"",IF(OR(B1157="",NOT(ISNUMBER(B1157)),C1157="",C1157="Fora dos ciclos"),"",IF(C1157="C0","Nao",IF(IFERROR(INDEX(parametros!$A$2:$A$6,MATCH(C1157,parametros!$B$2:$B$6,0)),"")&lt;&gt;"Sim","Nao",IF(IFERROR(INDEX(parametros!$H$2:$H$6,MATCH(C1157,parametros!$B$2:$B$6,0)),"")="","",IF(B1157&gt;=IFERROR(INDEX(parametros!$H$2:$H$6,MATCH(C1157,parametros!$B$2:$B$6,0)),""),"Sim","Nao"))))))</f>
        <v/>
      </c>
      <c r="T1157" s="156"/>
      <c r="U1157" s="214" t="str">
        <f t="shared" si="96"/>
        <v/>
      </c>
      <c r="V1157" s="212" t="s">
        <v>50</v>
      </c>
      <c r="W1157" s="100" t="s">
        <v>168</v>
      </c>
      <c r="X1157" s="100" t="s">
        <v>169</v>
      </c>
      <c r="Y1157" s="101" t="s">
        <v>170</v>
      </c>
      <c r="Z1157" s="101" t="s">
        <v>171</v>
      </c>
      <c r="AA1157" s="101" t="s">
        <v>50</v>
      </c>
      <c r="AB1157" s="101" t="s">
        <v>172</v>
      </c>
      <c r="AC1157" s="102" t="s">
        <v>173</v>
      </c>
    </row>
    <row r="1158" spans="1:29" ht="25.5" customHeight="1" x14ac:dyDescent="0.35">
      <c r="A1158" s="392"/>
      <c r="B1158" s="393"/>
      <c r="C1158" s="99" t="str">
        <f>IF(B1158="","",IF(NOT(ISNUMBER(B1158)),"DATA_PC invalida",IF(NOT(ISNUMBER(parametros!$C$2)),"Fora dos ciclos",IF(OR(B1158&lt;parametros!$C$2,(YEAR(B1158)-YEAR(parametros!$C$2))*12+MONTH(B1158)-MONTH(parametros!$C$2)&gt;59),"Fora dos ciclos","C"&amp;INT(((YEAR(B1158)-YEAR(parametros!$C$2))*12+MONTH(B1158)-MONTH(parametros!$C$2))/12)))))</f>
        <v/>
      </c>
      <c r="D1158" s="394"/>
      <c r="E1158" s="78" t="str">
        <f>IF(C1158="","",IFERROR(VLOOKUP(C1158,parametros!$A$11:$E$15,5,0),""))</f>
        <v/>
      </c>
      <c r="F1158" s="79" t="str">
        <f t="shared" si="92"/>
        <v/>
      </c>
      <c r="G1158" s="395"/>
      <c r="H1158" s="91">
        <f t="shared" si="93"/>
        <v>0</v>
      </c>
      <c r="I1158" s="91" t="str">
        <f t="shared" si="94"/>
        <v/>
      </c>
      <c r="J1158" s="91" t="str">
        <f t="shared" si="95"/>
        <v/>
      </c>
      <c r="K1158" s="92" t="str">
        <f>IF(AND(A1158="",B1158="",D1158="",G1158=""),"",IF(AND(A1158&lt;&gt;"",COUNTIF($A$2:$A$5001,A1158)&gt;1),"NUMERO_PC duplicado",IF(B1158="","DATA_PC vazia",IF(NOT(ISNUMBER(B1158)),"DATA_PC invalida",IF(OR(C1158="",C1158="Fora dos ciclos"),"CICLO_PC nao identificado",IF(OR(D1158="",D1158=0),"VALOR_PC vazio ou zero",IF(AND(G1158&lt;&gt;"Sim",G1158&lt;&gt;"Nao",G1158&lt;&gt;""),"PC_PAGO_A_CONTRATADA invalido",IF(AND(C1158&lt;&gt;"C0",IFERROR(INDEX(parametros!$A$2:$A$6,MATCH(C1158,parametros!$B$2:$B$6,0)),"")="Sim",IFERROR(INDEX(parametros!$H$2:$H$6,MATCH(C1158,parametros!$B$2:$B$6,0)),"")=""),"INICIO_EFEITO ausente: PC "&amp;A1158&amp;" - "&amp;C1158,IF(L1158="","EFEITO_PC nao calculado: PC "&amp;A1158&amp;" - "&amp;C1158,"OK")))))))))</f>
        <v/>
      </c>
      <c r="L1158" s="92" t="str">
        <f>IF(AND(A1158="",B1158="",D1158="",G1158=""),"",IF(OR(B1158="",NOT(ISNUMBER(B1158)),C1158="",C1158="Fora dos ciclos"),"",IF(C1158="C0","Nao",IF(IFERROR(INDEX(parametros!$A$2:$A$6,MATCH(C1158,parametros!$B$2:$B$6,0)),"")&lt;&gt;"Sim","Nao",IF(IFERROR(INDEX(parametros!$H$2:$H$6,MATCH(C1158,parametros!$B$2:$B$6,0)),"")="","",IF(B1158&gt;=IFERROR(INDEX(parametros!$H$2:$H$6,MATCH(C1158,parametros!$B$2:$B$6,0)),""),"Sim","Nao"))))))</f>
        <v/>
      </c>
      <c r="T1158" s="156"/>
      <c r="U1158" s="214" t="str">
        <f t="shared" si="96"/>
        <v/>
      </c>
      <c r="V1158" s="212" t="s">
        <v>50</v>
      </c>
      <c r="W1158" s="100" t="s">
        <v>168</v>
      </c>
      <c r="X1158" s="100" t="s">
        <v>169</v>
      </c>
      <c r="Y1158" s="101" t="s">
        <v>170</v>
      </c>
      <c r="Z1158" s="101" t="s">
        <v>171</v>
      </c>
      <c r="AA1158" s="101" t="s">
        <v>50</v>
      </c>
      <c r="AB1158" s="101" t="s">
        <v>172</v>
      </c>
      <c r="AC1158" s="102" t="s">
        <v>173</v>
      </c>
    </row>
    <row r="1159" spans="1:29" ht="25.5" customHeight="1" x14ac:dyDescent="0.35">
      <c r="A1159" s="392"/>
      <c r="B1159" s="393"/>
      <c r="C1159" s="99" t="str">
        <f>IF(B1159="","",IF(NOT(ISNUMBER(B1159)),"DATA_PC invalida",IF(NOT(ISNUMBER(parametros!$C$2)),"Fora dos ciclos",IF(OR(B1159&lt;parametros!$C$2,(YEAR(B1159)-YEAR(parametros!$C$2))*12+MONTH(B1159)-MONTH(parametros!$C$2)&gt;59),"Fora dos ciclos","C"&amp;INT(((YEAR(B1159)-YEAR(parametros!$C$2))*12+MONTH(B1159)-MONTH(parametros!$C$2))/12)))))</f>
        <v/>
      </c>
      <c r="D1159" s="394"/>
      <c r="E1159" s="78" t="str">
        <f>IF(C1159="","",IFERROR(VLOOKUP(C1159,parametros!$A$11:$E$15,5,0),""))</f>
        <v/>
      </c>
      <c r="F1159" s="79" t="str">
        <f t="shared" si="92"/>
        <v/>
      </c>
      <c r="G1159" s="395"/>
      <c r="H1159" s="91">
        <f t="shared" si="93"/>
        <v>0</v>
      </c>
      <c r="I1159" s="91" t="str">
        <f t="shared" si="94"/>
        <v/>
      </c>
      <c r="J1159" s="91" t="str">
        <f t="shared" si="95"/>
        <v/>
      </c>
      <c r="K1159" s="92" t="str">
        <f>IF(AND(A1159="",B1159="",D1159="",G1159=""),"",IF(AND(A1159&lt;&gt;"",COUNTIF($A$2:$A$5001,A1159)&gt;1),"NUMERO_PC duplicado",IF(B1159="","DATA_PC vazia",IF(NOT(ISNUMBER(B1159)),"DATA_PC invalida",IF(OR(C1159="",C1159="Fora dos ciclos"),"CICLO_PC nao identificado",IF(OR(D1159="",D1159=0),"VALOR_PC vazio ou zero",IF(AND(G1159&lt;&gt;"Sim",G1159&lt;&gt;"Nao",G1159&lt;&gt;""),"PC_PAGO_A_CONTRATADA invalido",IF(AND(C1159&lt;&gt;"C0",IFERROR(INDEX(parametros!$A$2:$A$6,MATCH(C1159,parametros!$B$2:$B$6,0)),"")="Sim",IFERROR(INDEX(parametros!$H$2:$H$6,MATCH(C1159,parametros!$B$2:$B$6,0)),"")=""),"INICIO_EFEITO ausente: PC "&amp;A1159&amp;" - "&amp;C1159,IF(L1159="","EFEITO_PC nao calculado: PC "&amp;A1159&amp;" - "&amp;C1159,"OK")))))))))</f>
        <v/>
      </c>
      <c r="L1159" s="92" t="str">
        <f>IF(AND(A1159="",B1159="",D1159="",G1159=""),"",IF(OR(B1159="",NOT(ISNUMBER(B1159)),C1159="",C1159="Fora dos ciclos"),"",IF(C1159="C0","Nao",IF(IFERROR(INDEX(parametros!$A$2:$A$6,MATCH(C1159,parametros!$B$2:$B$6,0)),"")&lt;&gt;"Sim","Nao",IF(IFERROR(INDEX(parametros!$H$2:$H$6,MATCH(C1159,parametros!$B$2:$B$6,0)),"")="","",IF(B1159&gt;=IFERROR(INDEX(parametros!$H$2:$H$6,MATCH(C1159,parametros!$B$2:$B$6,0)),""),"Sim","Nao"))))))</f>
        <v/>
      </c>
      <c r="T1159" s="156"/>
      <c r="U1159" s="214" t="str">
        <f t="shared" si="96"/>
        <v/>
      </c>
      <c r="V1159" s="212" t="s">
        <v>50</v>
      </c>
      <c r="W1159" s="100" t="s">
        <v>168</v>
      </c>
      <c r="X1159" s="100" t="s">
        <v>169</v>
      </c>
      <c r="Y1159" s="101" t="s">
        <v>170</v>
      </c>
      <c r="Z1159" s="101" t="s">
        <v>171</v>
      </c>
      <c r="AA1159" s="101" t="s">
        <v>50</v>
      </c>
      <c r="AB1159" s="101" t="s">
        <v>172</v>
      </c>
      <c r="AC1159" s="102" t="s">
        <v>173</v>
      </c>
    </row>
    <row r="1160" spans="1:29" ht="25.5" customHeight="1" x14ac:dyDescent="0.35">
      <c r="A1160" s="392"/>
      <c r="B1160" s="393"/>
      <c r="C1160" s="99" t="str">
        <f>IF(B1160="","",IF(NOT(ISNUMBER(B1160)),"DATA_PC invalida",IF(NOT(ISNUMBER(parametros!$C$2)),"Fora dos ciclos",IF(OR(B1160&lt;parametros!$C$2,(YEAR(B1160)-YEAR(parametros!$C$2))*12+MONTH(B1160)-MONTH(parametros!$C$2)&gt;59),"Fora dos ciclos","C"&amp;INT(((YEAR(B1160)-YEAR(parametros!$C$2))*12+MONTH(B1160)-MONTH(parametros!$C$2))/12)))))</f>
        <v/>
      </c>
      <c r="D1160" s="394"/>
      <c r="E1160" s="78" t="str">
        <f>IF(C1160="","",IFERROR(VLOOKUP(C1160,parametros!$A$11:$E$15,5,0),""))</f>
        <v/>
      </c>
      <c r="F1160" s="79" t="str">
        <f t="shared" si="92"/>
        <v/>
      </c>
      <c r="G1160" s="395"/>
      <c r="H1160" s="91">
        <f t="shared" si="93"/>
        <v>0</v>
      </c>
      <c r="I1160" s="91" t="str">
        <f t="shared" si="94"/>
        <v/>
      </c>
      <c r="J1160" s="91" t="str">
        <f t="shared" si="95"/>
        <v/>
      </c>
      <c r="K1160" s="92" t="str">
        <f>IF(AND(A1160="",B1160="",D1160="",G1160=""),"",IF(AND(A1160&lt;&gt;"",COUNTIF($A$2:$A$5001,A1160)&gt;1),"NUMERO_PC duplicado",IF(B1160="","DATA_PC vazia",IF(NOT(ISNUMBER(B1160)),"DATA_PC invalida",IF(OR(C1160="",C1160="Fora dos ciclos"),"CICLO_PC nao identificado",IF(OR(D1160="",D1160=0),"VALOR_PC vazio ou zero",IF(AND(G1160&lt;&gt;"Sim",G1160&lt;&gt;"Nao",G1160&lt;&gt;""),"PC_PAGO_A_CONTRATADA invalido",IF(AND(C1160&lt;&gt;"C0",IFERROR(INDEX(parametros!$A$2:$A$6,MATCH(C1160,parametros!$B$2:$B$6,0)),"")="Sim",IFERROR(INDEX(parametros!$H$2:$H$6,MATCH(C1160,parametros!$B$2:$B$6,0)),"")=""),"INICIO_EFEITO ausente: PC "&amp;A1160&amp;" - "&amp;C1160,IF(L1160="","EFEITO_PC nao calculado: PC "&amp;A1160&amp;" - "&amp;C1160,"OK")))))))))</f>
        <v/>
      </c>
      <c r="L1160" s="92" t="str">
        <f>IF(AND(A1160="",B1160="",D1160="",G1160=""),"",IF(OR(B1160="",NOT(ISNUMBER(B1160)),C1160="",C1160="Fora dos ciclos"),"",IF(C1160="C0","Nao",IF(IFERROR(INDEX(parametros!$A$2:$A$6,MATCH(C1160,parametros!$B$2:$B$6,0)),"")&lt;&gt;"Sim","Nao",IF(IFERROR(INDEX(parametros!$H$2:$H$6,MATCH(C1160,parametros!$B$2:$B$6,0)),"")="","",IF(B1160&gt;=IFERROR(INDEX(parametros!$H$2:$H$6,MATCH(C1160,parametros!$B$2:$B$6,0)),""),"Sim","Nao"))))))</f>
        <v/>
      </c>
      <c r="T1160" s="156"/>
      <c r="U1160" s="214" t="str">
        <f t="shared" si="96"/>
        <v/>
      </c>
      <c r="V1160" s="212" t="s">
        <v>50</v>
      </c>
      <c r="W1160" s="100" t="s">
        <v>168</v>
      </c>
      <c r="X1160" s="100" t="s">
        <v>169</v>
      </c>
      <c r="Y1160" s="101" t="s">
        <v>170</v>
      </c>
      <c r="Z1160" s="101" t="s">
        <v>171</v>
      </c>
      <c r="AA1160" s="101" t="s">
        <v>50</v>
      </c>
      <c r="AB1160" s="101" t="s">
        <v>172</v>
      </c>
      <c r="AC1160" s="102" t="s">
        <v>173</v>
      </c>
    </row>
    <row r="1161" spans="1:29" ht="25.5" customHeight="1" x14ac:dyDescent="0.35">
      <c r="A1161" s="392"/>
      <c r="B1161" s="393"/>
      <c r="C1161" s="99" t="str">
        <f>IF(B1161="","",IF(NOT(ISNUMBER(B1161)),"DATA_PC invalida",IF(NOT(ISNUMBER(parametros!$C$2)),"Fora dos ciclos",IF(OR(B1161&lt;parametros!$C$2,(YEAR(B1161)-YEAR(parametros!$C$2))*12+MONTH(B1161)-MONTH(parametros!$C$2)&gt;59),"Fora dos ciclos","C"&amp;INT(((YEAR(B1161)-YEAR(parametros!$C$2))*12+MONTH(B1161)-MONTH(parametros!$C$2))/12)))))</f>
        <v/>
      </c>
      <c r="D1161" s="394"/>
      <c r="E1161" s="78" t="str">
        <f>IF(C1161="","",IFERROR(VLOOKUP(C1161,parametros!$A$11:$E$15,5,0),""))</f>
        <v/>
      </c>
      <c r="F1161" s="79" t="str">
        <f t="shared" si="92"/>
        <v/>
      </c>
      <c r="G1161" s="395"/>
      <c r="H1161" s="91">
        <f t="shared" si="93"/>
        <v>0</v>
      </c>
      <c r="I1161" s="91" t="str">
        <f t="shared" si="94"/>
        <v/>
      </c>
      <c r="J1161" s="91" t="str">
        <f t="shared" si="95"/>
        <v/>
      </c>
      <c r="K1161" s="92" t="str">
        <f>IF(AND(A1161="",B1161="",D1161="",G1161=""),"",IF(AND(A1161&lt;&gt;"",COUNTIF($A$2:$A$5001,A1161)&gt;1),"NUMERO_PC duplicado",IF(B1161="","DATA_PC vazia",IF(NOT(ISNUMBER(B1161)),"DATA_PC invalida",IF(OR(C1161="",C1161="Fora dos ciclos"),"CICLO_PC nao identificado",IF(OR(D1161="",D1161=0),"VALOR_PC vazio ou zero",IF(AND(G1161&lt;&gt;"Sim",G1161&lt;&gt;"Nao",G1161&lt;&gt;""),"PC_PAGO_A_CONTRATADA invalido",IF(AND(C1161&lt;&gt;"C0",IFERROR(INDEX(parametros!$A$2:$A$6,MATCH(C1161,parametros!$B$2:$B$6,0)),"")="Sim",IFERROR(INDEX(parametros!$H$2:$H$6,MATCH(C1161,parametros!$B$2:$B$6,0)),"")=""),"INICIO_EFEITO ausente: PC "&amp;A1161&amp;" - "&amp;C1161,IF(L1161="","EFEITO_PC nao calculado: PC "&amp;A1161&amp;" - "&amp;C1161,"OK")))))))))</f>
        <v/>
      </c>
      <c r="L1161" s="92" t="str">
        <f>IF(AND(A1161="",B1161="",D1161="",G1161=""),"",IF(OR(B1161="",NOT(ISNUMBER(B1161)),C1161="",C1161="Fora dos ciclos"),"",IF(C1161="C0","Nao",IF(IFERROR(INDEX(parametros!$A$2:$A$6,MATCH(C1161,parametros!$B$2:$B$6,0)),"")&lt;&gt;"Sim","Nao",IF(IFERROR(INDEX(parametros!$H$2:$H$6,MATCH(C1161,parametros!$B$2:$B$6,0)),"")="","",IF(B1161&gt;=IFERROR(INDEX(parametros!$H$2:$H$6,MATCH(C1161,parametros!$B$2:$B$6,0)),""),"Sim","Nao"))))))</f>
        <v/>
      </c>
      <c r="T1161" s="156"/>
      <c r="U1161" s="214" t="str">
        <f t="shared" si="96"/>
        <v/>
      </c>
      <c r="V1161" s="212" t="s">
        <v>50</v>
      </c>
      <c r="W1161" s="100" t="s">
        <v>168</v>
      </c>
      <c r="X1161" s="100" t="s">
        <v>169</v>
      </c>
      <c r="Y1161" s="101" t="s">
        <v>170</v>
      </c>
      <c r="Z1161" s="101" t="s">
        <v>171</v>
      </c>
      <c r="AA1161" s="101" t="s">
        <v>50</v>
      </c>
      <c r="AB1161" s="101" t="s">
        <v>172</v>
      </c>
      <c r="AC1161" s="102" t="s">
        <v>173</v>
      </c>
    </row>
    <row r="1162" spans="1:29" ht="25.5" customHeight="1" x14ac:dyDescent="0.35">
      <c r="A1162" s="392"/>
      <c r="B1162" s="393"/>
      <c r="C1162" s="99" t="str">
        <f>IF(B1162="","",IF(NOT(ISNUMBER(B1162)),"DATA_PC invalida",IF(NOT(ISNUMBER(parametros!$C$2)),"Fora dos ciclos",IF(OR(B1162&lt;parametros!$C$2,(YEAR(B1162)-YEAR(parametros!$C$2))*12+MONTH(B1162)-MONTH(parametros!$C$2)&gt;59),"Fora dos ciclos","C"&amp;INT(((YEAR(B1162)-YEAR(parametros!$C$2))*12+MONTH(B1162)-MONTH(parametros!$C$2))/12)))))</f>
        <v/>
      </c>
      <c r="D1162" s="394"/>
      <c r="E1162" s="78" t="str">
        <f>IF(C1162="","",IFERROR(VLOOKUP(C1162,parametros!$A$11:$E$15,5,0),""))</f>
        <v/>
      </c>
      <c r="F1162" s="79" t="str">
        <f t="shared" si="92"/>
        <v/>
      </c>
      <c r="G1162" s="395"/>
      <c r="H1162" s="91">
        <f t="shared" si="93"/>
        <v>0</v>
      </c>
      <c r="I1162" s="91" t="str">
        <f t="shared" si="94"/>
        <v/>
      </c>
      <c r="J1162" s="91" t="str">
        <f t="shared" si="95"/>
        <v/>
      </c>
      <c r="K1162" s="92" t="str">
        <f>IF(AND(A1162="",B1162="",D1162="",G1162=""),"",IF(AND(A1162&lt;&gt;"",COUNTIF($A$2:$A$5001,A1162)&gt;1),"NUMERO_PC duplicado",IF(B1162="","DATA_PC vazia",IF(NOT(ISNUMBER(B1162)),"DATA_PC invalida",IF(OR(C1162="",C1162="Fora dos ciclos"),"CICLO_PC nao identificado",IF(OR(D1162="",D1162=0),"VALOR_PC vazio ou zero",IF(AND(G1162&lt;&gt;"Sim",G1162&lt;&gt;"Nao",G1162&lt;&gt;""),"PC_PAGO_A_CONTRATADA invalido",IF(AND(C1162&lt;&gt;"C0",IFERROR(INDEX(parametros!$A$2:$A$6,MATCH(C1162,parametros!$B$2:$B$6,0)),"")="Sim",IFERROR(INDEX(parametros!$H$2:$H$6,MATCH(C1162,parametros!$B$2:$B$6,0)),"")=""),"INICIO_EFEITO ausente: PC "&amp;A1162&amp;" - "&amp;C1162,IF(L1162="","EFEITO_PC nao calculado: PC "&amp;A1162&amp;" - "&amp;C1162,"OK")))))))))</f>
        <v/>
      </c>
      <c r="L1162" s="92" t="str">
        <f>IF(AND(A1162="",B1162="",D1162="",G1162=""),"",IF(OR(B1162="",NOT(ISNUMBER(B1162)),C1162="",C1162="Fora dos ciclos"),"",IF(C1162="C0","Nao",IF(IFERROR(INDEX(parametros!$A$2:$A$6,MATCH(C1162,parametros!$B$2:$B$6,0)),"")&lt;&gt;"Sim","Nao",IF(IFERROR(INDEX(parametros!$H$2:$H$6,MATCH(C1162,parametros!$B$2:$B$6,0)),"")="","",IF(B1162&gt;=IFERROR(INDEX(parametros!$H$2:$H$6,MATCH(C1162,parametros!$B$2:$B$6,0)),""),"Sim","Nao"))))))</f>
        <v/>
      </c>
      <c r="T1162" s="156"/>
      <c r="U1162" s="214" t="str">
        <f t="shared" si="96"/>
        <v/>
      </c>
      <c r="V1162" s="212" t="s">
        <v>50</v>
      </c>
      <c r="W1162" s="100" t="s">
        <v>168</v>
      </c>
      <c r="X1162" s="100" t="s">
        <v>169</v>
      </c>
      <c r="Y1162" s="101" t="s">
        <v>170</v>
      </c>
      <c r="Z1162" s="101" t="s">
        <v>171</v>
      </c>
      <c r="AA1162" s="101" t="s">
        <v>50</v>
      </c>
      <c r="AB1162" s="101" t="s">
        <v>172</v>
      </c>
      <c r="AC1162" s="102" t="s">
        <v>173</v>
      </c>
    </row>
    <row r="1163" spans="1:29" ht="25.5" customHeight="1" x14ac:dyDescent="0.35">
      <c r="A1163" s="392"/>
      <c r="B1163" s="393"/>
      <c r="C1163" s="99" t="str">
        <f>IF(B1163="","",IF(NOT(ISNUMBER(B1163)),"DATA_PC invalida",IF(NOT(ISNUMBER(parametros!$C$2)),"Fora dos ciclos",IF(OR(B1163&lt;parametros!$C$2,(YEAR(B1163)-YEAR(parametros!$C$2))*12+MONTH(B1163)-MONTH(parametros!$C$2)&gt;59),"Fora dos ciclos","C"&amp;INT(((YEAR(B1163)-YEAR(parametros!$C$2))*12+MONTH(B1163)-MONTH(parametros!$C$2))/12)))))</f>
        <v/>
      </c>
      <c r="D1163" s="394"/>
      <c r="E1163" s="78" t="str">
        <f>IF(C1163="","",IFERROR(VLOOKUP(C1163,parametros!$A$11:$E$15,5,0),""))</f>
        <v/>
      </c>
      <c r="F1163" s="79" t="str">
        <f t="shared" si="92"/>
        <v/>
      </c>
      <c r="G1163" s="395"/>
      <c r="H1163" s="91">
        <f t="shared" si="93"/>
        <v>0</v>
      </c>
      <c r="I1163" s="91" t="str">
        <f t="shared" si="94"/>
        <v/>
      </c>
      <c r="J1163" s="91" t="str">
        <f t="shared" si="95"/>
        <v/>
      </c>
      <c r="K1163" s="92" t="str">
        <f>IF(AND(A1163="",B1163="",D1163="",G1163=""),"",IF(AND(A1163&lt;&gt;"",COUNTIF($A$2:$A$5001,A1163)&gt;1),"NUMERO_PC duplicado",IF(B1163="","DATA_PC vazia",IF(NOT(ISNUMBER(B1163)),"DATA_PC invalida",IF(OR(C1163="",C1163="Fora dos ciclos"),"CICLO_PC nao identificado",IF(OR(D1163="",D1163=0),"VALOR_PC vazio ou zero",IF(AND(G1163&lt;&gt;"Sim",G1163&lt;&gt;"Nao",G1163&lt;&gt;""),"PC_PAGO_A_CONTRATADA invalido",IF(AND(C1163&lt;&gt;"C0",IFERROR(INDEX(parametros!$A$2:$A$6,MATCH(C1163,parametros!$B$2:$B$6,0)),"")="Sim",IFERROR(INDEX(parametros!$H$2:$H$6,MATCH(C1163,parametros!$B$2:$B$6,0)),"")=""),"INICIO_EFEITO ausente: PC "&amp;A1163&amp;" - "&amp;C1163,IF(L1163="","EFEITO_PC nao calculado: PC "&amp;A1163&amp;" - "&amp;C1163,"OK")))))))))</f>
        <v/>
      </c>
      <c r="L1163" s="92" t="str">
        <f>IF(AND(A1163="",B1163="",D1163="",G1163=""),"",IF(OR(B1163="",NOT(ISNUMBER(B1163)),C1163="",C1163="Fora dos ciclos"),"",IF(C1163="C0","Nao",IF(IFERROR(INDEX(parametros!$A$2:$A$6,MATCH(C1163,parametros!$B$2:$B$6,0)),"")&lt;&gt;"Sim","Nao",IF(IFERROR(INDEX(parametros!$H$2:$H$6,MATCH(C1163,parametros!$B$2:$B$6,0)),"")="","",IF(B1163&gt;=IFERROR(INDEX(parametros!$H$2:$H$6,MATCH(C1163,parametros!$B$2:$B$6,0)),""),"Sim","Nao"))))))</f>
        <v/>
      </c>
      <c r="T1163" s="156"/>
      <c r="U1163" s="214" t="str">
        <f t="shared" si="96"/>
        <v/>
      </c>
      <c r="V1163" s="212" t="s">
        <v>50</v>
      </c>
      <c r="W1163" s="100" t="s">
        <v>168</v>
      </c>
      <c r="X1163" s="100" t="s">
        <v>169</v>
      </c>
      <c r="Y1163" s="101" t="s">
        <v>170</v>
      </c>
      <c r="Z1163" s="101" t="s">
        <v>171</v>
      </c>
      <c r="AA1163" s="101" t="s">
        <v>50</v>
      </c>
      <c r="AB1163" s="101" t="s">
        <v>172</v>
      </c>
      <c r="AC1163" s="102" t="s">
        <v>173</v>
      </c>
    </row>
    <row r="1164" spans="1:29" ht="25.5" customHeight="1" x14ac:dyDescent="0.35">
      <c r="A1164" s="392"/>
      <c r="B1164" s="393"/>
      <c r="C1164" s="99" t="str">
        <f>IF(B1164="","",IF(NOT(ISNUMBER(B1164)),"DATA_PC invalida",IF(NOT(ISNUMBER(parametros!$C$2)),"Fora dos ciclos",IF(OR(B1164&lt;parametros!$C$2,(YEAR(B1164)-YEAR(parametros!$C$2))*12+MONTH(B1164)-MONTH(parametros!$C$2)&gt;59),"Fora dos ciclos","C"&amp;INT(((YEAR(B1164)-YEAR(parametros!$C$2))*12+MONTH(B1164)-MONTH(parametros!$C$2))/12)))))</f>
        <v/>
      </c>
      <c r="D1164" s="394"/>
      <c r="E1164" s="78" t="str">
        <f>IF(C1164="","",IFERROR(VLOOKUP(C1164,parametros!$A$11:$E$15,5,0),""))</f>
        <v/>
      </c>
      <c r="F1164" s="79" t="str">
        <f t="shared" si="92"/>
        <v/>
      </c>
      <c r="G1164" s="395"/>
      <c r="H1164" s="91">
        <f t="shared" si="93"/>
        <v>0</v>
      </c>
      <c r="I1164" s="91" t="str">
        <f t="shared" si="94"/>
        <v/>
      </c>
      <c r="J1164" s="91" t="str">
        <f t="shared" si="95"/>
        <v/>
      </c>
      <c r="K1164" s="92" t="str">
        <f>IF(AND(A1164="",B1164="",D1164="",G1164=""),"",IF(AND(A1164&lt;&gt;"",COUNTIF($A$2:$A$5001,A1164)&gt;1),"NUMERO_PC duplicado",IF(B1164="","DATA_PC vazia",IF(NOT(ISNUMBER(B1164)),"DATA_PC invalida",IF(OR(C1164="",C1164="Fora dos ciclos"),"CICLO_PC nao identificado",IF(OR(D1164="",D1164=0),"VALOR_PC vazio ou zero",IF(AND(G1164&lt;&gt;"Sim",G1164&lt;&gt;"Nao",G1164&lt;&gt;""),"PC_PAGO_A_CONTRATADA invalido",IF(AND(C1164&lt;&gt;"C0",IFERROR(INDEX(parametros!$A$2:$A$6,MATCH(C1164,parametros!$B$2:$B$6,0)),"")="Sim",IFERROR(INDEX(parametros!$H$2:$H$6,MATCH(C1164,parametros!$B$2:$B$6,0)),"")=""),"INICIO_EFEITO ausente: PC "&amp;A1164&amp;" - "&amp;C1164,IF(L1164="","EFEITO_PC nao calculado: PC "&amp;A1164&amp;" - "&amp;C1164,"OK")))))))))</f>
        <v/>
      </c>
      <c r="L1164" s="92" t="str">
        <f>IF(AND(A1164="",B1164="",D1164="",G1164=""),"",IF(OR(B1164="",NOT(ISNUMBER(B1164)),C1164="",C1164="Fora dos ciclos"),"",IF(C1164="C0","Nao",IF(IFERROR(INDEX(parametros!$A$2:$A$6,MATCH(C1164,parametros!$B$2:$B$6,0)),"")&lt;&gt;"Sim","Nao",IF(IFERROR(INDEX(parametros!$H$2:$H$6,MATCH(C1164,parametros!$B$2:$B$6,0)),"")="","",IF(B1164&gt;=IFERROR(INDEX(parametros!$H$2:$H$6,MATCH(C1164,parametros!$B$2:$B$6,0)),""),"Sim","Nao"))))))</f>
        <v/>
      </c>
      <c r="T1164" s="156"/>
      <c r="U1164" s="214" t="str">
        <f t="shared" si="96"/>
        <v/>
      </c>
      <c r="V1164" s="212" t="s">
        <v>50</v>
      </c>
      <c r="W1164" s="100" t="s">
        <v>168</v>
      </c>
      <c r="X1164" s="100" t="s">
        <v>169</v>
      </c>
      <c r="Y1164" s="101" t="s">
        <v>170</v>
      </c>
      <c r="Z1164" s="101" t="s">
        <v>171</v>
      </c>
      <c r="AA1164" s="101" t="s">
        <v>50</v>
      </c>
      <c r="AB1164" s="101" t="s">
        <v>172</v>
      </c>
      <c r="AC1164" s="102" t="s">
        <v>173</v>
      </c>
    </row>
    <row r="1165" spans="1:29" ht="25.5" customHeight="1" x14ac:dyDescent="0.35">
      <c r="A1165" s="392"/>
      <c r="B1165" s="393"/>
      <c r="C1165" s="99" t="str">
        <f>IF(B1165="","",IF(NOT(ISNUMBER(B1165)),"DATA_PC invalida",IF(NOT(ISNUMBER(parametros!$C$2)),"Fora dos ciclos",IF(OR(B1165&lt;parametros!$C$2,(YEAR(B1165)-YEAR(parametros!$C$2))*12+MONTH(B1165)-MONTH(parametros!$C$2)&gt;59),"Fora dos ciclos","C"&amp;INT(((YEAR(B1165)-YEAR(parametros!$C$2))*12+MONTH(B1165)-MONTH(parametros!$C$2))/12)))))</f>
        <v/>
      </c>
      <c r="D1165" s="394"/>
      <c r="E1165" s="78" t="str">
        <f>IF(C1165="","",IFERROR(VLOOKUP(C1165,parametros!$A$11:$E$15,5,0),""))</f>
        <v/>
      </c>
      <c r="F1165" s="79" t="str">
        <f t="shared" si="92"/>
        <v/>
      </c>
      <c r="G1165" s="395"/>
      <c r="H1165" s="91">
        <f t="shared" si="93"/>
        <v>0</v>
      </c>
      <c r="I1165" s="91" t="str">
        <f t="shared" si="94"/>
        <v/>
      </c>
      <c r="J1165" s="91" t="str">
        <f t="shared" si="95"/>
        <v/>
      </c>
      <c r="K1165" s="92" t="str">
        <f>IF(AND(A1165="",B1165="",D1165="",G1165=""),"",IF(AND(A1165&lt;&gt;"",COUNTIF($A$2:$A$5001,A1165)&gt;1),"NUMERO_PC duplicado",IF(B1165="","DATA_PC vazia",IF(NOT(ISNUMBER(B1165)),"DATA_PC invalida",IF(OR(C1165="",C1165="Fora dos ciclos"),"CICLO_PC nao identificado",IF(OR(D1165="",D1165=0),"VALOR_PC vazio ou zero",IF(AND(G1165&lt;&gt;"Sim",G1165&lt;&gt;"Nao",G1165&lt;&gt;""),"PC_PAGO_A_CONTRATADA invalido",IF(AND(C1165&lt;&gt;"C0",IFERROR(INDEX(parametros!$A$2:$A$6,MATCH(C1165,parametros!$B$2:$B$6,0)),"")="Sim",IFERROR(INDEX(parametros!$H$2:$H$6,MATCH(C1165,parametros!$B$2:$B$6,0)),"")=""),"INICIO_EFEITO ausente: PC "&amp;A1165&amp;" - "&amp;C1165,IF(L1165="","EFEITO_PC nao calculado: PC "&amp;A1165&amp;" - "&amp;C1165,"OK")))))))))</f>
        <v/>
      </c>
      <c r="L1165" s="92" t="str">
        <f>IF(AND(A1165="",B1165="",D1165="",G1165=""),"",IF(OR(B1165="",NOT(ISNUMBER(B1165)),C1165="",C1165="Fora dos ciclos"),"",IF(C1165="C0","Nao",IF(IFERROR(INDEX(parametros!$A$2:$A$6,MATCH(C1165,parametros!$B$2:$B$6,0)),"")&lt;&gt;"Sim","Nao",IF(IFERROR(INDEX(parametros!$H$2:$H$6,MATCH(C1165,parametros!$B$2:$B$6,0)),"")="","",IF(B1165&gt;=IFERROR(INDEX(parametros!$H$2:$H$6,MATCH(C1165,parametros!$B$2:$B$6,0)),""),"Sim","Nao"))))))</f>
        <v/>
      </c>
      <c r="T1165" s="156"/>
      <c r="U1165" s="214" t="str">
        <f t="shared" si="96"/>
        <v/>
      </c>
      <c r="V1165" s="212" t="s">
        <v>50</v>
      </c>
      <c r="W1165" s="100" t="s">
        <v>168</v>
      </c>
      <c r="X1165" s="100" t="s">
        <v>169</v>
      </c>
      <c r="Y1165" s="101" t="s">
        <v>170</v>
      </c>
      <c r="Z1165" s="101" t="s">
        <v>171</v>
      </c>
      <c r="AA1165" s="101" t="s">
        <v>50</v>
      </c>
      <c r="AB1165" s="101" t="s">
        <v>172</v>
      </c>
      <c r="AC1165" s="102" t="s">
        <v>173</v>
      </c>
    </row>
    <row r="1166" spans="1:29" ht="25.5" customHeight="1" x14ac:dyDescent="0.35">
      <c r="A1166" s="392"/>
      <c r="B1166" s="393"/>
      <c r="C1166" s="99" t="str">
        <f>IF(B1166="","",IF(NOT(ISNUMBER(B1166)),"DATA_PC invalida",IF(NOT(ISNUMBER(parametros!$C$2)),"Fora dos ciclos",IF(OR(B1166&lt;parametros!$C$2,(YEAR(B1166)-YEAR(parametros!$C$2))*12+MONTH(B1166)-MONTH(parametros!$C$2)&gt;59),"Fora dos ciclos","C"&amp;INT(((YEAR(B1166)-YEAR(parametros!$C$2))*12+MONTH(B1166)-MONTH(parametros!$C$2))/12)))))</f>
        <v/>
      </c>
      <c r="D1166" s="394"/>
      <c r="E1166" s="78" t="str">
        <f>IF(C1166="","",IFERROR(VLOOKUP(C1166,parametros!$A$11:$E$15,5,0),""))</f>
        <v/>
      </c>
      <c r="F1166" s="79" t="str">
        <f t="shared" si="92"/>
        <v/>
      </c>
      <c r="G1166" s="395"/>
      <c r="H1166" s="91">
        <f t="shared" si="93"/>
        <v>0</v>
      </c>
      <c r="I1166" s="91" t="str">
        <f t="shared" si="94"/>
        <v/>
      </c>
      <c r="J1166" s="91" t="str">
        <f t="shared" si="95"/>
        <v/>
      </c>
      <c r="K1166" s="92" t="str">
        <f>IF(AND(A1166="",B1166="",D1166="",G1166=""),"",IF(AND(A1166&lt;&gt;"",COUNTIF($A$2:$A$5001,A1166)&gt;1),"NUMERO_PC duplicado",IF(B1166="","DATA_PC vazia",IF(NOT(ISNUMBER(B1166)),"DATA_PC invalida",IF(OR(C1166="",C1166="Fora dos ciclos"),"CICLO_PC nao identificado",IF(OR(D1166="",D1166=0),"VALOR_PC vazio ou zero",IF(AND(G1166&lt;&gt;"Sim",G1166&lt;&gt;"Nao",G1166&lt;&gt;""),"PC_PAGO_A_CONTRATADA invalido",IF(AND(C1166&lt;&gt;"C0",IFERROR(INDEX(parametros!$A$2:$A$6,MATCH(C1166,parametros!$B$2:$B$6,0)),"")="Sim",IFERROR(INDEX(parametros!$H$2:$H$6,MATCH(C1166,parametros!$B$2:$B$6,0)),"")=""),"INICIO_EFEITO ausente: PC "&amp;A1166&amp;" - "&amp;C1166,IF(L1166="","EFEITO_PC nao calculado: PC "&amp;A1166&amp;" - "&amp;C1166,"OK")))))))))</f>
        <v/>
      </c>
      <c r="L1166" s="92" t="str">
        <f>IF(AND(A1166="",B1166="",D1166="",G1166=""),"",IF(OR(B1166="",NOT(ISNUMBER(B1166)),C1166="",C1166="Fora dos ciclos"),"",IF(C1166="C0","Nao",IF(IFERROR(INDEX(parametros!$A$2:$A$6,MATCH(C1166,parametros!$B$2:$B$6,0)),"")&lt;&gt;"Sim","Nao",IF(IFERROR(INDEX(parametros!$H$2:$H$6,MATCH(C1166,parametros!$B$2:$B$6,0)),"")="","",IF(B1166&gt;=IFERROR(INDEX(parametros!$H$2:$H$6,MATCH(C1166,parametros!$B$2:$B$6,0)),""),"Sim","Nao"))))))</f>
        <v/>
      </c>
      <c r="T1166" s="156"/>
      <c r="U1166" s="214" t="str">
        <f t="shared" si="96"/>
        <v/>
      </c>
      <c r="V1166" s="212" t="s">
        <v>50</v>
      </c>
      <c r="W1166" s="100" t="s">
        <v>168</v>
      </c>
      <c r="X1166" s="100" t="s">
        <v>169</v>
      </c>
      <c r="Y1166" s="101" t="s">
        <v>170</v>
      </c>
      <c r="Z1166" s="101" t="s">
        <v>171</v>
      </c>
      <c r="AA1166" s="101" t="s">
        <v>50</v>
      </c>
      <c r="AB1166" s="101" t="s">
        <v>172</v>
      </c>
      <c r="AC1166" s="102" t="s">
        <v>173</v>
      </c>
    </row>
    <row r="1167" spans="1:29" ht="25.5" customHeight="1" x14ac:dyDescent="0.35">
      <c r="A1167" s="392"/>
      <c r="B1167" s="393"/>
      <c r="C1167" s="99" t="str">
        <f>IF(B1167="","",IF(NOT(ISNUMBER(B1167)),"DATA_PC invalida",IF(NOT(ISNUMBER(parametros!$C$2)),"Fora dos ciclos",IF(OR(B1167&lt;parametros!$C$2,(YEAR(B1167)-YEAR(parametros!$C$2))*12+MONTH(B1167)-MONTH(parametros!$C$2)&gt;59),"Fora dos ciclos","C"&amp;INT(((YEAR(B1167)-YEAR(parametros!$C$2))*12+MONTH(B1167)-MONTH(parametros!$C$2))/12)))))</f>
        <v/>
      </c>
      <c r="D1167" s="394"/>
      <c r="E1167" s="78" t="str">
        <f>IF(C1167="","",IFERROR(VLOOKUP(C1167,parametros!$A$11:$E$15,5,0),""))</f>
        <v/>
      </c>
      <c r="F1167" s="79" t="str">
        <f t="shared" si="92"/>
        <v/>
      </c>
      <c r="G1167" s="395"/>
      <c r="H1167" s="91">
        <f t="shared" si="93"/>
        <v>0</v>
      </c>
      <c r="I1167" s="91" t="str">
        <f t="shared" si="94"/>
        <v/>
      </c>
      <c r="J1167" s="91" t="str">
        <f t="shared" si="95"/>
        <v/>
      </c>
      <c r="K1167" s="92" t="str">
        <f>IF(AND(A1167="",B1167="",D1167="",G1167=""),"",IF(AND(A1167&lt;&gt;"",COUNTIF($A$2:$A$5001,A1167)&gt;1),"NUMERO_PC duplicado",IF(B1167="","DATA_PC vazia",IF(NOT(ISNUMBER(B1167)),"DATA_PC invalida",IF(OR(C1167="",C1167="Fora dos ciclos"),"CICLO_PC nao identificado",IF(OR(D1167="",D1167=0),"VALOR_PC vazio ou zero",IF(AND(G1167&lt;&gt;"Sim",G1167&lt;&gt;"Nao",G1167&lt;&gt;""),"PC_PAGO_A_CONTRATADA invalido",IF(AND(C1167&lt;&gt;"C0",IFERROR(INDEX(parametros!$A$2:$A$6,MATCH(C1167,parametros!$B$2:$B$6,0)),"")="Sim",IFERROR(INDEX(parametros!$H$2:$H$6,MATCH(C1167,parametros!$B$2:$B$6,0)),"")=""),"INICIO_EFEITO ausente: PC "&amp;A1167&amp;" - "&amp;C1167,IF(L1167="","EFEITO_PC nao calculado: PC "&amp;A1167&amp;" - "&amp;C1167,"OK")))))))))</f>
        <v/>
      </c>
      <c r="L1167" s="92" t="str">
        <f>IF(AND(A1167="",B1167="",D1167="",G1167=""),"",IF(OR(B1167="",NOT(ISNUMBER(B1167)),C1167="",C1167="Fora dos ciclos"),"",IF(C1167="C0","Nao",IF(IFERROR(INDEX(parametros!$A$2:$A$6,MATCH(C1167,parametros!$B$2:$B$6,0)),"")&lt;&gt;"Sim","Nao",IF(IFERROR(INDEX(parametros!$H$2:$H$6,MATCH(C1167,parametros!$B$2:$B$6,0)),"")="","",IF(B1167&gt;=IFERROR(INDEX(parametros!$H$2:$H$6,MATCH(C1167,parametros!$B$2:$B$6,0)),""),"Sim","Nao"))))))</f>
        <v/>
      </c>
      <c r="T1167" s="156"/>
      <c r="U1167" s="214" t="str">
        <f t="shared" si="96"/>
        <v/>
      </c>
      <c r="V1167" s="212" t="s">
        <v>50</v>
      </c>
      <c r="W1167" s="100" t="s">
        <v>168</v>
      </c>
      <c r="X1167" s="100" t="s">
        <v>169</v>
      </c>
      <c r="Y1167" s="101" t="s">
        <v>170</v>
      </c>
      <c r="Z1167" s="101" t="s">
        <v>171</v>
      </c>
      <c r="AA1167" s="101" t="s">
        <v>50</v>
      </c>
      <c r="AB1167" s="101" t="s">
        <v>172</v>
      </c>
      <c r="AC1167" s="102" t="s">
        <v>173</v>
      </c>
    </row>
    <row r="1168" spans="1:29" ht="25.5" customHeight="1" x14ac:dyDescent="0.35">
      <c r="A1168" s="392"/>
      <c r="B1168" s="393"/>
      <c r="C1168" s="99" t="str">
        <f>IF(B1168="","",IF(NOT(ISNUMBER(B1168)),"DATA_PC invalida",IF(NOT(ISNUMBER(parametros!$C$2)),"Fora dos ciclos",IF(OR(B1168&lt;parametros!$C$2,(YEAR(B1168)-YEAR(parametros!$C$2))*12+MONTH(B1168)-MONTH(parametros!$C$2)&gt;59),"Fora dos ciclos","C"&amp;INT(((YEAR(B1168)-YEAR(parametros!$C$2))*12+MONTH(B1168)-MONTH(parametros!$C$2))/12)))))</f>
        <v/>
      </c>
      <c r="D1168" s="394"/>
      <c r="E1168" s="78" t="str">
        <f>IF(C1168="","",IFERROR(VLOOKUP(C1168,parametros!$A$11:$E$15,5,0),""))</f>
        <v/>
      </c>
      <c r="F1168" s="79" t="str">
        <f t="shared" si="92"/>
        <v/>
      </c>
      <c r="G1168" s="395"/>
      <c r="H1168" s="91">
        <f t="shared" si="93"/>
        <v>0</v>
      </c>
      <c r="I1168" s="91" t="str">
        <f t="shared" si="94"/>
        <v/>
      </c>
      <c r="J1168" s="91" t="str">
        <f t="shared" si="95"/>
        <v/>
      </c>
      <c r="K1168" s="92" t="str">
        <f>IF(AND(A1168="",B1168="",D1168="",G1168=""),"",IF(AND(A1168&lt;&gt;"",COUNTIF($A$2:$A$5001,A1168)&gt;1),"NUMERO_PC duplicado",IF(B1168="","DATA_PC vazia",IF(NOT(ISNUMBER(B1168)),"DATA_PC invalida",IF(OR(C1168="",C1168="Fora dos ciclos"),"CICLO_PC nao identificado",IF(OR(D1168="",D1168=0),"VALOR_PC vazio ou zero",IF(AND(G1168&lt;&gt;"Sim",G1168&lt;&gt;"Nao",G1168&lt;&gt;""),"PC_PAGO_A_CONTRATADA invalido",IF(AND(C1168&lt;&gt;"C0",IFERROR(INDEX(parametros!$A$2:$A$6,MATCH(C1168,parametros!$B$2:$B$6,0)),"")="Sim",IFERROR(INDEX(parametros!$H$2:$H$6,MATCH(C1168,parametros!$B$2:$B$6,0)),"")=""),"INICIO_EFEITO ausente: PC "&amp;A1168&amp;" - "&amp;C1168,IF(L1168="","EFEITO_PC nao calculado: PC "&amp;A1168&amp;" - "&amp;C1168,"OK")))))))))</f>
        <v/>
      </c>
      <c r="L1168" s="92" t="str">
        <f>IF(AND(A1168="",B1168="",D1168="",G1168=""),"",IF(OR(B1168="",NOT(ISNUMBER(B1168)),C1168="",C1168="Fora dos ciclos"),"",IF(C1168="C0","Nao",IF(IFERROR(INDEX(parametros!$A$2:$A$6,MATCH(C1168,parametros!$B$2:$B$6,0)),"")&lt;&gt;"Sim","Nao",IF(IFERROR(INDEX(parametros!$H$2:$H$6,MATCH(C1168,parametros!$B$2:$B$6,0)),"")="","",IF(B1168&gt;=IFERROR(INDEX(parametros!$H$2:$H$6,MATCH(C1168,parametros!$B$2:$B$6,0)),""),"Sim","Nao"))))))</f>
        <v/>
      </c>
      <c r="T1168" s="156"/>
      <c r="U1168" s="214" t="str">
        <f t="shared" si="96"/>
        <v/>
      </c>
      <c r="V1168" s="212" t="s">
        <v>50</v>
      </c>
      <c r="W1168" s="100" t="s">
        <v>168</v>
      </c>
      <c r="X1168" s="100" t="s">
        <v>169</v>
      </c>
      <c r="Y1168" s="101" t="s">
        <v>170</v>
      </c>
      <c r="Z1168" s="101" t="s">
        <v>171</v>
      </c>
      <c r="AA1168" s="101" t="s">
        <v>50</v>
      </c>
      <c r="AB1168" s="101" t="s">
        <v>172</v>
      </c>
      <c r="AC1168" s="102" t="s">
        <v>173</v>
      </c>
    </row>
    <row r="1169" spans="1:29" ht="25.5" customHeight="1" x14ac:dyDescent="0.35">
      <c r="A1169" s="392"/>
      <c r="B1169" s="393"/>
      <c r="C1169" s="99" t="str">
        <f>IF(B1169="","",IF(NOT(ISNUMBER(B1169)),"DATA_PC invalida",IF(NOT(ISNUMBER(parametros!$C$2)),"Fora dos ciclos",IF(OR(B1169&lt;parametros!$C$2,(YEAR(B1169)-YEAR(parametros!$C$2))*12+MONTH(B1169)-MONTH(parametros!$C$2)&gt;59),"Fora dos ciclos","C"&amp;INT(((YEAR(B1169)-YEAR(parametros!$C$2))*12+MONTH(B1169)-MONTH(parametros!$C$2))/12)))))</f>
        <v/>
      </c>
      <c r="D1169" s="394"/>
      <c r="E1169" s="78" t="str">
        <f>IF(C1169="","",IFERROR(VLOOKUP(C1169,parametros!$A$11:$E$15,5,0),""))</f>
        <v/>
      </c>
      <c r="F1169" s="79" t="str">
        <f t="shared" si="92"/>
        <v/>
      </c>
      <c r="G1169" s="395"/>
      <c r="H1169" s="91">
        <f t="shared" si="93"/>
        <v>0</v>
      </c>
      <c r="I1169" s="91" t="str">
        <f t="shared" si="94"/>
        <v/>
      </c>
      <c r="J1169" s="91" t="str">
        <f t="shared" si="95"/>
        <v/>
      </c>
      <c r="K1169" s="92" t="str">
        <f>IF(AND(A1169="",B1169="",D1169="",G1169=""),"",IF(AND(A1169&lt;&gt;"",COUNTIF($A$2:$A$5001,A1169)&gt;1),"NUMERO_PC duplicado",IF(B1169="","DATA_PC vazia",IF(NOT(ISNUMBER(B1169)),"DATA_PC invalida",IF(OR(C1169="",C1169="Fora dos ciclos"),"CICLO_PC nao identificado",IF(OR(D1169="",D1169=0),"VALOR_PC vazio ou zero",IF(AND(G1169&lt;&gt;"Sim",G1169&lt;&gt;"Nao",G1169&lt;&gt;""),"PC_PAGO_A_CONTRATADA invalido",IF(AND(C1169&lt;&gt;"C0",IFERROR(INDEX(parametros!$A$2:$A$6,MATCH(C1169,parametros!$B$2:$B$6,0)),"")="Sim",IFERROR(INDEX(parametros!$H$2:$H$6,MATCH(C1169,parametros!$B$2:$B$6,0)),"")=""),"INICIO_EFEITO ausente: PC "&amp;A1169&amp;" - "&amp;C1169,IF(L1169="","EFEITO_PC nao calculado: PC "&amp;A1169&amp;" - "&amp;C1169,"OK")))))))))</f>
        <v/>
      </c>
      <c r="L1169" s="92" t="str">
        <f>IF(AND(A1169="",B1169="",D1169="",G1169=""),"",IF(OR(B1169="",NOT(ISNUMBER(B1169)),C1169="",C1169="Fora dos ciclos"),"",IF(C1169="C0","Nao",IF(IFERROR(INDEX(parametros!$A$2:$A$6,MATCH(C1169,parametros!$B$2:$B$6,0)),"")&lt;&gt;"Sim","Nao",IF(IFERROR(INDEX(parametros!$H$2:$H$6,MATCH(C1169,parametros!$B$2:$B$6,0)),"")="","",IF(B1169&gt;=IFERROR(INDEX(parametros!$H$2:$H$6,MATCH(C1169,parametros!$B$2:$B$6,0)),""),"Sim","Nao"))))))</f>
        <v/>
      </c>
      <c r="T1169" s="156"/>
      <c r="U1169" s="214" t="str">
        <f t="shared" si="96"/>
        <v/>
      </c>
      <c r="V1169" s="212" t="s">
        <v>50</v>
      </c>
      <c r="W1169" s="100" t="s">
        <v>168</v>
      </c>
      <c r="X1169" s="100" t="s">
        <v>169</v>
      </c>
      <c r="Y1169" s="101" t="s">
        <v>170</v>
      </c>
      <c r="Z1169" s="101" t="s">
        <v>171</v>
      </c>
      <c r="AA1169" s="101" t="s">
        <v>50</v>
      </c>
      <c r="AB1169" s="101" t="s">
        <v>172</v>
      </c>
      <c r="AC1169" s="102" t="s">
        <v>173</v>
      </c>
    </row>
    <row r="1170" spans="1:29" ht="25.5" customHeight="1" x14ac:dyDescent="0.35">
      <c r="A1170" s="392"/>
      <c r="B1170" s="393"/>
      <c r="C1170" s="99" t="str">
        <f>IF(B1170="","",IF(NOT(ISNUMBER(B1170)),"DATA_PC invalida",IF(NOT(ISNUMBER(parametros!$C$2)),"Fora dos ciclos",IF(OR(B1170&lt;parametros!$C$2,(YEAR(B1170)-YEAR(parametros!$C$2))*12+MONTH(B1170)-MONTH(parametros!$C$2)&gt;59),"Fora dos ciclos","C"&amp;INT(((YEAR(B1170)-YEAR(parametros!$C$2))*12+MONTH(B1170)-MONTH(parametros!$C$2))/12)))))</f>
        <v/>
      </c>
      <c r="D1170" s="394"/>
      <c r="E1170" s="78" t="str">
        <f>IF(C1170="","",IFERROR(VLOOKUP(C1170,parametros!$A$11:$E$15,5,0),""))</f>
        <v/>
      </c>
      <c r="F1170" s="79" t="str">
        <f t="shared" si="92"/>
        <v/>
      </c>
      <c r="G1170" s="395"/>
      <c r="H1170" s="91">
        <f t="shared" si="93"/>
        <v>0</v>
      </c>
      <c r="I1170" s="91" t="str">
        <f t="shared" si="94"/>
        <v/>
      </c>
      <c r="J1170" s="91" t="str">
        <f t="shared" si="95"/>
        <v/>
      </c>
      <c r="K1170" s="92" t="str">
        <f>IF(AND(A1170="",B1170="",D1170="",G1170=""),"",IF(AND(A1170&lt;&gt;"",COUNTIF($A$2:$A$5001,A1170)&gt;1),"NUMERO_PC duplicado",IF(B1170="","DATA_PC vazia",IF(NOT(ISNUMBER(B1170)),"DATA_PC invalida",IF(OR(C1170="",C1170="Fora dos ciclos"),"CICLO_PC nao identificado",IF(OR(D1170="",D1170=0),"VALOR_PC vazio ou zero",IF(AND(G1170&lt;&gt;"Sim",G1170&lt;&gt;"Nao",G1170&lt;&gt;""),"PC_PAGO_A_CONTRATADA invalido",IF(AND(C1170&lt;&gt;"C0",IFERROR(INDEX(parametros!$A$2:$A$6,MATCH(C1170,parametros!$B$2:$B$6,0)),"")="Sim",IFERROR(INDEX(parametros!$H$2:$H$6,MATCH(C1170,parametros!$B$2:$B$6,0)),"")=""),"INICIO_EFEITO ausente: PC "&amp;A1170&amp;" - "&amp;C1170,IF(L1170="","EFEITO_PC nao calculado: PC "&amp;A1170&amp;" - "&amp;C1170,"OK")))))))))</f>
        <v/>
      </c>
      <c r="L1170" s="92" t="str">
        <f>IF(AND(A1170="",B1170="",D1170="",G1170=""),"",IF(OR(B1170="",NOT(ISNUMBER(B1170)),C1170="",C1170="Fora dos ciclos"),"",IF(C1170="C0","Nao",IF(IFERROR(INDEX(parametros!$A$2:$A$6,MATCH(C1170,parametros!$B$2:$B$6,0)),"")&lt;&gt;"Sim","Nao",IF(IFERROR(INDEX(parametros!$H$2:$H$6,MATCH(C1170,parametros!$B$2:$B$6,0)),"")="","",IF(B1170&gt;=IFERROR(INDEX(parametros!$H$2:$H$6,MATCH(C1170,parametros!$B$2:$B$6,0)),""),"Sim","Nao"))))))</f>
        <v/>
      </c>
      <c r="T1170" s="156"/>
      <c r="U1170" s="214" t="str">
        <f t="shared" si="96"/>
        <v/>
      </c>
      <c r="V1170" s="212" t="s">
        <v>50</v>
      </c>
      <c r="W1170" s="100" t="s">
        <v>168</v>
      </c>
      <c r="X1170" s="100" t="s">
        <v>169</v>
      </c>
      <c r="Y1170" s="101" t="s">
        <v>170</v>
      </c>
      <c r="Z1170" s="101" t="s">
        <v>171</v>
      </c>
      <c r="AA1170" s="101" t="s">
        <v>50</v>
      </c>
      <c r="AB1170" s="101" t="s">
        <v>172</v>
      </c>
      <c r="AC1170" s="102" t="s">
        <v>173</v>
      </c>
    </row>
    <row r="1171" spans="1:29" ht="25.5" customHeight="1" x14ac:dyDescent="0.35">
      <c r="A1171" s="392"/>
      <c r="B1171" s="393"/>
      <c r="C1171" s="99" t="str">
        <f>IF(B1171="","",IF(NOT(ISNUMBER(B1171)),"DATA_PC invalida",IF(NOT(ISNUMBER(parametros!$C$2)),"Fora dos ciclos",IF(OR(B1171&lt;parametros!$C$2,(YEAR(B1171)-YEAR(parametros!$C$2))*12+MONTH(B1171)-MONTH(parametros!$C$2)&gt;59),"Fora dos ciclos","C"&amp;INT(((YEAR(B1171)-YEAR(parametros!$C$2))*12+MONTH(B1171)-MONTH(parametros!$C$2))/12)))))</f>
        <v/>
      </c>
      <c r="D1171" s="394"/>
      <c r="E1171" s="78" t="str">
        <f>IF(C1171="","",IFERROR(VLOOKUP(C1171,parametros!$A$11:$E$15,5,0),""))</f>
        <v/>
      </c>
      <c r="F1171" s="79" t="str">
        <f t="shared" si="92"/>
        <v/>
      </c>
      <c r="G1171" s="395"/>
      <c r="H1171" s="91">
        <f t="shared" si="93"/>
        <v>0</v>
      </c>
      <c r="I1171" s="91" t="str">
        <f t="shared" si="94"/>
        <v/>
      </c>
      <c r="J1171" s="91" t="str">
        <f t="shared" si="95"/>
        <v/>
      </c>
      <c r="K1171" s="92" t="str">
        <f>IF(AND(A1171="",B1171="",D1171="",G1171=""),"",IF(AND(A1171&lt;&gt;"",COUNTIF($A$2:$A$5001,A1171)&gt;1),"NUMERO_PC duplicado",IF(B1171="","DATA_PC vazia",IF(NOT(ISNUMBER(B1171)),"DATA_PC invalida",IF(OR(C1171="",C1171="Fora dos ciclos"),"CICLO_PC nao identificado",IF(OR(D1171="",D1171=0),"VALOR_PC vazio ou zero",IF(AND(G1171&lt;&gt;"Sim",G1171&lt;&gt;"Nao",G1171&lt;&gt;""),"PC_PAGO_A_CONTRATADA invalido",IF(AND(C1171&lt;&gt;"C0",IFERROR(INDEX(parametros!$A$2:$A$6,MATCH(C1171,parametros!$B$2:$B$6,0)),"")="Sim",IFERROR(INDEX(parametros!$H$2:$H$6,MATCH(C1171,parametros!$B$2:$B$6,0)),"")=""),"INICIO_EFEITO ausente: PC "&amp;A1171&amp;" - "&amp;C1171,IF(L1171="","EFEITO_PC nao calculado: PC "&amp;A1171&amp;" - "&amp;C1171,"OK")))))))))</f>
        <v/>
      </c>
      <c r="L1171" s="92" t="str">
        <f>IF(AND(A1171="",B1171="",D1171="",G1171=""),"",IF(OR(B1171="",NOT(ISNUMBER(B1171)),C1171="",C1171="Fora dos ciclos"),"",IF(C1171="C0","Nao",IF(IFERROR(INDEX(parametros!$A$2:$A$6,MATCH(C1171,parametros!$B$2:$B$6,0)),"")&lt;&gt;"Sim","Nao",IF(IFERROR(INDEX(parametros!$H$2:$H$6,MATCH(C1171,parametros!$B$2:$B$6,0)),"")="","",IF(B1171&gt;=IFERROR(INDEX(parametros!$H$2:$H$6,MATCH(C1171,parametros!$B$2:$B$6,0)),""),"Sim","Nao"))))))</f>
        <v/>
      </c>
      <c r="T1171" s="156"/>
      <c r="U1171" s="214" t="str">
        <f t="shared" si="96"/>
        <v/>
      </c>
      <c r="V1171" s="212" t="s">
        <v>50</v>
      </c>
      <c r="W1171" s="100" t="s">
        <v>168</v>
      </c>
      <c r="X1171" s="100" t="s">
        <v>169</v>
      </c>
      <c r="Y1171" s="101" t="s">
        <v>170</v>
      </c>
      <c r="Z1171" s="101" t="s">
        <v>171</v>
      </c>
      <c r="AA1171" s="101" t="s">
        <v>50</v>
      </c>
      <c r="AB1171" s="101" t="s">
        <v>172</v>
      </c>
      <c r="AC1171" s="102" t="s">
        <v>173</v>
      </c>
    </row>
    <row r="1172" spans="1:29" ht="25.5" customHeight="1" x14ac:dyDescent="0.35">
      <c r="A1172" s="392"/>
      <c r="B1172" s="393"/>
      <c r="C1172" s="99" t="str">
        <f>IF(B1172="","",IF(NOT(ISNUMBER(B1172)),"DATA_PC invalida",IF(NOT(ISNUMBER(parametros!$C$2)),"Fora dos ciclos",IF(OR(B1172&lt;parametros!$C$2,(YEAR(B1172)-YEAR(parametros!$C$2))*12+MONTH(B1172)-MONTH(parametros!$C$2)&gt;59),"Fora dos ciclos","C"&amp;INT(((YEAR(B1172)-YEAR(parametros!$C$2))*12+MONTH(B1172)-MONTH(parametros!$C$2))/12)))))</f>
        <v/>
      </c>
      <c r="D1172" s="394"/>
      <c r="E1172" s="78" t="str">
        <f>IF(C1172="","",IFERROR(VLOOKUP(C1172,parametros!$A$11:$E$15,5,0),""))</f>
        <v/>
      </c>
      <c r="F1172" s="79" t="str">
        <f t="shared" si="92"/>
        <v/>
      </c>
      <c r="G1172" s="395"/>
      <c r="H1172" s="91">
        <f t="shared" si="93"/>
        <v>0</v>
      </c>
      <c r="I1172" s="91" t="str">
        <f t="shared" si="94"/>
        <v/>
      </c>
      <c r="J1172" s="91" t="str">
        <f t="shared" si="95"/>
        <v/>
      </c>
      <c r="K1172" s="92" t="str">
        <f>IF(AND(A1172="",B1172="",D1172="",G1172=""),"",IF(AND(A1172&lt;&gt;"",COUNTIF($A$2:$A$5001,A1172)&gt;1),"NUMERO_PC duplicado",IF(B1172="","DATA_PC vazia",IF(NOT(ISNUMBER(B1172)),"DATA_PC invalida",IF(OR(C1172="",C1172="Fora dos ciclos"),"CICLO_PC nao identificado",IF(OR(D1172="",D1172=0),"VALOR_PC vazio ou zero",IF(AND(G1172&lt;&gt;"Sim",G1172&lt;&gt;"Nao",G1172&lt;&gt;""),"PC_PAGO_A_CONTRATADA invalido",IF(AND(C1172&lt;&gt;"C0",IFERROR(INDEX(parametros!$A$2:$A$6,MATCH(C1172,parametros!$B$2:$B$6,0)),"")="Sim",IFERROR(INDEX(parametros!$H$2:$H$6,MATCH(C1172,parametros!$B$2:$B$6,0)),"")=""),"INICIO_EFEITO ausente: PC "&amp;A1172&amp;" - "&amp;C1172,IF(L1172="","EFEITO_PC nao calculado: PC "&amp;A1172&amp;" - "&amp;C1172,"OK")))))))))</f>
        <v/>
      </c>
      <c r="L1172" s="92" t="str">
        <f>IF(AND(A1172="",B1172="",D1172="",G1172=""),"",IF(OR(B1172="",NOT(ISNUMBER(B1172)),C1172="",C1172="Fora dos ciclos"),"",IF(C1172="C0","Nao",IF(IFERROR(INDEX(parametros!$A$2:$A$6,MATCH(C1172,parametros!$B$2:$B$6,0)),"")&lt;&gt;"Sim","Nao",IF(IFERROR(INDEX(parametros!$H$2:$H$6,MATCH(C1172,parametros!$B$2:$B$6,0)),"")="","",IF(B1172&gt;=IFERROR(INDEX(parametros!$H$2:$H$6,MATCH(C1172,parametros!$B$2:$B$6,0)),""),"Sim","Nao"))))))</f>
        <v/>
      </c>
      <c r="T1172" s="156"/>
      <c r="U1172" s="214" t="str">
        <f t="shared" si="96"/>
        <v/>
      </c>
      <c r="V1172" s="212" t="s">
        <v>50</v>
      </c>
      <c r="W1172" s="100" t="s">
        <v>168</v>
      </c>
      <c r="X1172" s="100" t="s">
        <v>169</v>
      </c>
      <c r="Y1172" s="101" t="s">
        <v>170</v>
      </c>
      <c r="Z1172" s="101" t="s">
        <v>171</v>
      </c>
      <c r="AA1172" s="101" t="s">
        <v>50</v>
      </c>
      <c r="AB1172" s="101" t="s">
        <v>172</v>
      </c>
      <c r="AC1172" s="102" t="s">
        <v>173</v>
      </c>
    </row>
    <row r="1173" spans="1:29" ht="25.5" customHeight="1" x14ac:dyDescent="0.35">
      <c r="A1173" s="392"/>
      <c r="B1173" s="393"/>
      <c r="C1173" s="99" t="str">
        <f>IF(B1173="","",IF(NOT(ISNUMBER(B1173)),"DATA_PC invalida",IF(NOT(ISNUMBER(parametros!$C$2)),"Fora dos ciclos",IF(OR(B1173&lt;parametros!$C$2,(YEAR(B1173)-YEAR(parametros!$C$2))*12+MONTH(B1173)-MONTH(parametros!$C$2)&gt;59),"Fora dos ciclos","C"&amp;INT(((YEAR(B1173)-YEAR(parametros!$C$2))*12+MONTH(B1173)-MONTH(parametros!$C$2))/12)))))</f>
        <v/>
      </c>
      <c r="D1173" s="394"/>
      <c r="E1173" s="78" t="str">
        <f>IF(C1173="","",IFERROR(VLOOKUP(C1173,parametros!$A$11:$E$15,5,0),""))</f>
        <v/>
      </c>
      <c r="F1173" s="79" t="str">
        <f t="shared" si="92"/>
        <v/>
      </c>
      <c r="G1173" s="395"/>
      <c r="H1173" s="91">
        <f t="shared" si="93"/>
        <v>0</v>
      </c>
      <c r="I1173" s="91" t="str">
        <f t="shared" si="94"/>
        <v/>
      </c>
      <c r="J1173" s="91" t="str">
        <f t="shared" si="95"/>
        <v/>
      </c>
      <c r="K1173" s="92" t="str">
        <f>IF(AND(A1173="",B1173="",D1173="",G1173=""),"",IF(AND(A1173&lt;&gt;"",COUNTIF($A$2:$A$5001,A1173)&gt;1),"NUMERO_PC duplicado",IF(B1173="","DATA_PC vazia",IF(NOT(ISNUMBER(B1173)),"DATA_PC invalida",IF(OR(C1173="",C1173="Fora dos ciclos"),"CICLO_PC nao identificado",IF(OR(D1173="",D1173=0),"VALOR_PC vazio ou zero",IF(AND(G1173&lt;&gt;"Sim",G1173&lt;&gt;"Nao",G1173&lt;&gt;""),"PC_PAGO_A_CONTRATADA invalido",IF(AND(C1173&lt;&gt;"C0",IFERROR(INDEX(parametros!$A$2:$A$6,MATCH(C1173,parametros!$B$2:$B$6,0)),"")="Sim",IFERROR(INDEX(parametros!$H$2:$H$6,MATCH(C1173,parametros!$B$2:$B$6,0)),"")=""),"INICIO_EFEITO ausente: PC "&amp;A1173&amp;" - "&amp;C1173,IF(L1173="","EFEITO_PC nao calculado: PC "&amp;A1173&amp;" - "&amp;C1173,"OK")))))))))</f>
        <v/>
      </c>
      <c r="L1173" s="92" t="str">
        <f>IF(AND(A1173="",B1173="",D1173="",G1173=""),"",IF(OR(B1173="",NOT(ISNUMBER(B1173)),C1173="",C1173="Fora dos ciclos"),"",IF(C1173="C0","Nao",IF(IFERROR(INDEX(parametros!$A$2:$A$6,MATCH(C1173,parametros!$B$2:$B$6,0)),"")&lt;&gt;"Sim","Nao",IF(IFERROR(INDEX(parametros!$H$2:$H$6,MATCH(C1173,parametros!$B$2:$B$6,0)),"")="","",IF(B1173&gt;=IFERROR(INDEX(parametros!$H$2:$H$6,MATCH(C1173,parametros!$B$2:$B$6,0)),""),"Sim","Nao"))))))</f>
        <v/>
      </c>
      <c r="T1173" s="156"/>
      <c r="U1173" s="214" t="str">
        <f t="shared" si="96"/>
        <v/>
      </c>
      <c r="V1173" s="212" t="s">
        <v>50</v>
      </c>
      <c r="W1173" s="100" t="s">
        <v>168</v>
      </c>
      <c r="X1173" s="100" t="s">
        <v>169</v>
      </c>
      <c r="Y1173" s="101" t="s">
        <v>170</v>
      </c>
      <c r="Z1173" s="101" t="s">
        <v>171</v>
      </c>
      <c r="AA1173" s="101" t="s">
        <v>50</v>
      </c>
      <c r="AB1173" s="101" t="s">
        <v>172</v>
      </c>
      <c r="AC1173" s="102" t="s">
        <v>173</v>
      </c>
    </row>
    <row r="1174" spans="1:29" ht="25.5" customHeight="1" x14ac:dyDescent="0.35">
      <c r="A1174" s="392"/>
      <c r="B1174" s="393"/>
      <c r="C1174" s="99" t="str">
        <f>IF(B1174="","",IF(NOT(ISNUMBER(B1174)),"DATA_PC invalida",IF(NOT(ISNUMBER(parametros!$C$2)),"Fora dos ciclos",IF(OR(B1174&lt;parametros!$C$2,(YEAR(B1174)-YEAR(parametros!$C$2))*12+MONTH(B1174)-MONTH(parametros!$C$2)&gt;59),"Fora dos ciclos","C"&amp;INT(((YEAR(B1174)-YEAR(parametros!$C$2))*12+MONTH(B1174)-MONTH(parametros!$C$2))/12)))))</f>
        <v/>
      </c>
      <c r="D1174" s="394"/>
      <c r="E1174" s="78" t="str">
        <f>IF(C1174="","",IFERROR(VLOOKUP(C1174,parametros!$A$11:$E$15,5,0),""))</f>
        <v/>
      </c>
      <c r="F1174" s="79" t="str">
        <f t="shared" si="92"/>
        <v/>
      </c>
      <c r="G1174" s="395"/>
      <c r="H1174" s="91">
        <f t="shared" si="93"/>
        <v>0</v>
      </c>
      <c r="I1174" s="91" t="str">
        <f t="shared" si="94"/>
        <v/>
      </c>
      <c r="J1174" s="91" t="str">
        <f t="shared" si="95"/>
        <v/>
      </c>
      <c r="K1174" s="92" t="str">
        <f>IF(AND(A1174="",B1174="",D1174="",G1174=""),"",IF(AND(A1174&lt;&gt;"",COUNTIF($A$2:$A$5001,A1174)&gt;1),"NUMERO_PC duplicado",IF(B1174="","DATA_PC vazia",IF(NOT(ISNUMBER(B1174)),"DATA_PC invalida",IF(OR(C1174="",C1174="Fora dos ciclos"),"CICLO_PC nao identificado",IF(OR(D1174="",D1174=0),"VALOR_PC vazio ou zero",IF(AND(G1174&lt;&gt;"Sim",G1174&lt;&gt;"Nao",G1174&lt;&gt;""),"PC_PAGO_A_CONTRATADA invalido",IF(AND(C1174&lt;&gt;"C0",IFERROR(INDEX(parametros!$A$2:$A$6,MATCH(C1174,parametros!$B$2:$B$6,0)),"")="Sim",IFERROR(INDEX(parametros!$H$2:$H$6,MATCH(C1174,parametros!$B$2:$B$6,0)),"")=""),"INICIO_EFEITO ausente: PC "&amp;A1174&amp;" - "&amp;C1174,IF(L1174="","EFEITO_PC nao calculado: PC "&amp;A1174&amp;" - "&amp;C1174,"OK")))))))))</f>
        <v/>
      </c>
      <c r="L1174" s="92" t="str">
        <f>IF(AND(A1174="",B1174="",D1174="",G1174=""),"",IF(OR(B1174="",NOT(ISNUMBER(B1174)),C1174="",C1174="Fora dos ciclos"),"",IF(C1174="C0","Nao",IF(IFERROR(INDEX(parametros!$A$2:$A$6,MATCH(C1174,parametros!$B$2:$B$6,0)),"")&lt;&gt;"Sim","Nao",IF(IFERROR(INDEX(parametros!$H$2:$H$6,MATCH(C1174,parametros!$B$2:$B$6,0)),"")="","",IF(B1174&gt;=IFERROR(INDEX(parametros!$H$2:$H$6,MATCH(C1174,parametros!$B$2:$B$6,0)),""),"Sim","Nao"))))))</f>
        <v/>
      </c>
      <c r="T1174" s="156"/>
      <c r="U1174" s="214" t="str">
        <f t="shared" si="96"/>
        <v/>
      </c>
      <c r="V1174" s="212" t="s">
        <v>50</v>
      </c>
      <c r="W1174" s="100" t="s">
        <v>168</v>
      </c>
      <c r="X1174" s="100" t="s">
        <v>169</v>
      </c>
      <c r="Y1174" s="101" t="s">
        <v>170</v>
      </c>
      <c r="Z1174" s="101" t="s">
        <v>171</v>
      </c>
      <c r="AA1174" s="101" t="s">
        <v>50</v>
      </c>
      <c r="AB1174" s="101" t="s">
        <v>172</v>
      </c>
      <c r="AC1174" s="102" t="s">
        <v>173</v>
      </c>
    </row>
    <row r="1175" spans="1:29" ht="25.5" customHeight="1" x14ac:dyDescent="0.35">
      <c r="A1175" s="392"/>
      <c r="B1175" s="393"/>
      <c r="C1175" s="99" t="str">
        <f>IF(B1175="","",IF(NOT(ISNUMBER(B1175)),"DATA_PC invalida",IF(NOT(ISNUMBER(parametros!$C$2)),"Fora dos ciclos",IF(OR(B1175&lt;parametros!$C$2,(YEAR(B1175)-YEAR(parametros!$C$2))*12+MONTH(B1175)-MONTH(parametros!$C$2)&gt;59),"Fora dos ciclos","C"&amp;INT(((YEAR(B1175)-YEAR(parametros!$C$2))*12+MONTH(B1175)-MONTH(parametros!$C$2))/12)))))</f>
        <v/>
      </c>
      <c r="D1175" s="394"/>
      <c r="E1175" s="78" t="str">
        <f>IF(C1175="","",IFERROR(VLOOKUP(C1175,parametros!$A$11:$E$15,5,0),""))</f>
        <v/>
      </c>
      <c r="F1175" s="79" t="str">
        <f t="shared" si="92"/>
        <v/>
      </c>
      <c r="G1175" s="395"/>
      <c r="H1175" s="91">
        <f t="shared" si="93"/>
        <v>0</v>
      </c>
      <c r="I1175" s="91" t="str">
        <f t="shared" si="94"/>
        <v/>
      </c>
      <c r="J1175" s="91" t="str">
        <f t="shared" si="95"/>
        <v/>
      </c>
      <c r="K1175" s="92" t="str">
        <f>IF(AND(A1175="",B1175="",D1175="",G1175=""),"",IF(AND(A1175&lt;&gt;"",COUNTIF($A$2:$A$5001,A1175)&gt;1),"NUMERO_PC duplicado",IF(B1175="","DATA_PC vazia",IF(NOT(ISNUMBER(B1175)),"DATA_PC invalida",IF(OR(C1175="",C1175="Fora dos ciclos"),"CICLO_PC nao identificado",IF(OR(D1175="",D1175=0),"VALOR_PC vazio ou zero",IF(AND(G1175&lt;&gt;"Sim",G1175&lt;&gt;"Nao",G1175&lt;&gt;""),"PC_PAGO_A_CONTRATADA invalido",IF(AND(C1175&lt;&gt;"C0",IFERROR(INDEX(parametros!$A$2:$A$6,MATCH(C1175,parametros!$B$2:$B$6,0)),"")="Sim",IFERROR(INDEX(parametros!$H$2:$H$6,MATCH(C1175,parametros!$B$2:$B$6,0)),"")=""),"INICIO_EFEITO ausente: PC "&amp;A1175&amp;" - "&amp;C1175,IF(L1175="","EFEITO_PC nao calculado: PC "&amp;A1175&amp;" - "&amp;C1175,"OK")))))))))</f>
        <v/>
      </c>
      <c r="L1175" s="92" t="str">
        <f>IF(AND(A1175="",B1175="",D1175="",G1175=""),"",IF(OR(B1175="",NOT(ISNUMBER(B1175)),C1175="",C1175="Fora dos ciclos"),"",IF(C1175="C0","Nao",IF(IFERROR(INDEX(parametros!$A$2:$A$6,MATCH(C1175,parametros!$B$2:$B$6,0)),"")&lt;&gt;"Sim","Nao",IF(IFERROR(INDEX(parametros!$H$2:$H$6,MATCH(C1175,parametros!$B$2:$B$6,0)),"")="","",IF(B1175&gt;=IFERROR(INDEX(parametros!$H$2:$H$6,MATCH(C1175,parametros!$B$2:$B$6,0)),""),"Sim","Nao"))))))</f>
        <v/>
      </c>
      <c r="T1175" s="156"/>
      <c r="U1175" s="214" t="str">
        <f t="shared" si="96"/>
        <v/>
      </c>
      <c r="V1175" s="212" t="s">
        <v>50</v>
      </c>
      <c r="W1175" s="100" t="s">
        <v>168</v>
      </c>
      <c r="X1175" s="100" t="s">
        <v>169</v>
      </c>
      <c r="Y1175" s="101" t="s">
        <v>170</v>
      </c>
      <c r="Z1175" s="101" t="s">
        <v>171</v>
      </c>
      <c r="AA1175" s="101" t="s">
        <v>50</v>
      </c>
      <c r="AB1175" s="101" t="s">
        <v>172</v>
      </c>
      <c r="AC1175" s="102" t="s">
        <v>173</v>
      </c>
    </row>
    <row r="1176" spans="1:29" ht="25.5" customHeight="1" x14ac:dyDescent="0.35">
      <c r="A1176" s="392"/>
      <c r="B1176" s="393"/>
      <c r="C1176" s="99" t="str">
        <f>IF(B1176="","",IF(NOT(ISNUMBER(B1176)),"DATA_PC invalida",IF(NOT(ISNUMBER(parametros!$C$2)),"Fora dos ciclos",IF(OR(B1176&lt;parametros!$C$2,(YEAR(B1176)-YEAR(parametros!$C$2))*12+MONTH(B1176)-MONTH(parametros!$C$2)&gt;59),"Fora dos ciclos","C"&amp;INT(((YEAR(B1176)-YEAR(parametros!$C$2))*12+MONTH(B1176)-MONTH(parametros!$C$2))/12)))))</f>
        <v/>
      </c>
      <c r="D1176" s="394"/>
      <c r="E1176" s="78" t="str">
        <f>IF(C1176="","",IFERROR(VLOOKUP(C1176,parametros!$A$11:$E$15,5,0),""))</f>
        <v/>
      </c>
      <c r="F1176" s="79" t="str">
        <f t="shared" si="92"/>
        <v/>
      </c>
      <c r="G1176" s="395"/>
      <c r="H1176" s="91">
        <f t="shared" si="93"/>
        <v>0</v>
      </c>
      <c r="I1176" s="91" t="str">
        <f t="shared" si="94"/>
        <v/>
      </c>
      <c r="J1176" s="91" t="str">
        <f t="shared" si="95"/>
        <v/>
      </c>
      <c r="K1176" s="92" t="str">
        <f>IF(AND(A1176="",B1176="",D1176="",G1176=""),"",IF(AND(A1176&lt;&gt;"",COUNTIF($A$2:$A$5001,A1176)&gt;1),"NUMERO_PC duplicado",IF(B1176="","DATA_PC vazia",IF(NOT(ISNUMBER(B1176)),"DATA_PC invalida",IF(OR(C1176="",C1176="Fora dos ciclos"),"CICLO_PC nao identificado",IF(OR(D1176="",D1176=0),"VALOR_PC vazio ou zero",IF(AND(G1176&lt;&gt;"Sim",G1176&lt;&gt;"Nao",G1176&lt;&gt;""),"PC_PAGO_A_CONTRATADA invalido",IF(AND(C1176&lt;&gt;"C0",IFERROR(INDEX(parametros!$A$2:$A$6,MATCH(C1176,parametros!$B$2:$B$6,0)),"")="Sim",IFERROR(INDEX(parametros!$H$2:$H$6,MATCH(C1176,parametros!$B$2:$B$6,0)),"")=""),"INICIO_EFEITO ausente: PC "&amp;A1176&amp;" - "&amp;C1176,IF(L1176="","EFEITO_PC nao calculado: PC "&amp;A1176&amp;" - "&amp;C1176,"OK")))))))))</f>
        <v/>
      </c>
      <c r="L1176" s="92" t="str">
        <f>IF(AND(A1176="",B1176="",D1176="",G1176=""),"",IF(OR(B1176="",NOT(ISNUMBER(B1176)),C1176="",C1176="Fora dos ciclos"),"",IF(C1176="C0","Nao",IF(IFERROR(INDEX(parametros!$A$2:$A$6,MATCH(C1176,parametros!$B$2:$B$6,0)),"")&lt;&gt;"Sim","Nao",IF(IFERROR(INDEX(parametros!$H$2:$H$6,MATCH(C1176,parametros!$B$2:$B$6,0)),"")="","",IF(B1176&gt;=IFERROR(INDEX(parametros!$H$2:$H$6,MATCH(C1176,parametros!$B$2:$B$6,0)),""),"Sim","Nao"))))))</f>
        <v/>
      </c>
      <c r="T1176" s="156"/>
      <c r="U1176" s="214" t="str">
        <f t="shared" si="96"/>
        <v/>
      </c>
      <c r="V1176" s="212" t="s">
        <v>50</v>
      </c>
      <c r="W1176" s="100" t="s">
        <v>168</v>
      </c>
      <c r="X1176" s="100" t="s">
        <v>169</v>
      </c>
      <c r="Y1176" s="101" t="s">
        <v>170</v>
      </c>
      <c r="Z1176" s="101" t="s">
        <v>171</v>
      </c>
      <c r="AA1176" s="101" t="s">
        <v>50</v>
      </c>
      <c r="AB1176" s="101" t="s">
        <v>172</v>
      </c>
      <c r="AC1176" s="102" t="s">
        <v>173</v>
      </c>
    </row>
    <row r="1177" spans="1:29" ht="25.5" customHeight="1" x14ac:dyDescent="0.35">
      <c r="A1177" s="392"/>
      <c r="B1177" s="393"/>
      <c r="C1177" s="99" t="str">
        <f>IF(B1177="","",IF(NOT(ISNUMBER(B1177)),"DATA_PC invalida",IF(NOT(ISNUMBER(parametros!$C$2)),"Fora dos ciclos",IF(OR(B1177&lt;parametros!$C$2,(YEAR(B1177)-YEAR(parametros!$C$2))*12+MONTH(B1177)-MONTH(parametros!$C$2)&gt;59),"Fora dos ciclos","C"&amp;INT(((YEAR(B1177)-YEAR(parametros!$C$2))*12+MONTH(B1177)-MONTH(parametros!$C$2))/12)))))</f>
        <v/>
      </c>
      <c r="D1177" s="394"/>
      <c r="E1177" s="78" t="str">
        <f>IF(C1177="","",IFERROR(VLOOKUP(C1177,parametros!$A$11:$E$15,5,0),""))</f>
        <v/>
      </c>
      <c r="F1177" s="79" t="str">
        <f t="shared" si="92"/>
        <v/>
      </c>
      <c r="G1177" s="395"/>
      <c r="H1177" s="91">
        <f t="shared" si="93"/>
        <v>0</v>
      </c>
      <c r="I1177" s="91" t="str">
        <f t="shared" si="94"/>
        <v/>
      </c>
      <c r="J1177" s="91" t="str">
        <f t="shared" si="95"/>
        <v/>
      </c>
      <c r="K1177" s="92" t="str">
        <f>IF(AND(A1177="",B1177="",D1177="",G1177=""),"",IF(AND(A1177&lt;&gt;"",COUNTIF($A$2:$A$5001,A1177)&gt;1),"NUMERO_PC duplicado",IF(B1177="","DATA_PC vazia",IF(NOT(ISNUMBER(B1177)),"DATA_PC invalida",IF(OR(C1177="",C1177="Fora dos ciclos"),"CICLO_PC nao identificado",IF(OR(D1177="",D1177=0),"VALOR_PC vazio ou zero",IF(AND(G1177&lt;&gt;"Sim",G1177&lt;&gt;"Nao",G1177&lt;&gt;""),"PC_PAGO_A_CONTRATADA invalido",IF(AND(C1177&lt;&gt;"C0",IFERROR(INDEX(parametros!$A$2:$A$6,MATCH(C1177,parametros!$B$2:$B$6,0)),"")="Sim",IFERROR(INDEX(parametros!$H$2:$H$6,MATCH(C1177,parametros!$B$2:$B$6,0)),"")=""),"INICIO_EFEITO ausente: PC "&amp;A1177&amp;" - "&amp;C1177,IF(L1177="","EFEITO_PC nao calculado: PC "&amp;A1177&amp;" - "&amp;C1177,"OK")))))))))</f>
        <v/>
      </c>
      <c r="L1177" s="92" t="str">
        <f>IF(AND(A1177="",B1177="",D1177="",G1177=""),"",IF(OR(B1177="",NOT(ISNUMBER(B1177)),C1177="",C1177="Fora dos ciclos"),"",IF(C1177="C0","Nao",IF(IFERROR(INDEX(parametros!$A$2:$A$6,MATCH(C1177,parametros!$B$2:$B$6,0)),"")&lt;&gt;"Sim","Nao",IF(IFERROR(INDEX(parametros!$H$2:$H$6,MATCH(C1177,parametros!$B$2:$B$6,0)),"")="","",IF(B1177&gt;=IFERROR(INDEX(parametros!$H$2:$H$6,MATCH(C1177,parametros!$B$2:$B$6,0)),""),"Sim","Nao"))))))</f>
        <v/>
      </c>
      <c r="T1177" s="156"/>
      <c r="U1177" s="214" t="str">
        <f t="shared" si="96"/>
        <v/>
      </c>
      <c r="V1177" s="212" t="s">
        <v>50</v>
      </c>
      <c r="W1177" s="100" t="s">
        <v>168</v>
      </c>
      <c r="X1177" s="100" t="s">
        <v>169</v>
      </c>
      <c r="Y1177" s="101" t="s">
        <v>170</v>
      </c>
      <c r="Z1177" s="101" t="s">
        <v>171</v>
      </c>
      <c r="AA1177" s="101" t="s">
        <v>50</v>
      </c>
      <c r="AB1177" s="101" t="s">
        <v>172</v>
      </c>
      <c r="AC1177" s="102" t="s">
        <v>173</v>
      </c>
    </row>
    <row r="1178" spans="1:29" ht="25.5" customHeight="1" x14ac:dyDescent="0.35">
      <c r="A1178" s="392"/>
      <c r="B1178" s="393"/>
      <c r="C1178" s="99" t="str">
        <f>IF(B1178="","",IF(NOT(ISNUMBER(B1178)),"DATA_PC invalida",IF(NOT(ISNUMBER(parametros!$C$2)),"Fora dos ciclos",IF(OR(B1178&lt;parametros!$C$2,(YEAR(B1178)-YEAR(parametros!$C$2))*12+MONTH(B1178)-MONTH(parametros!$C$2)&gt;59),"Fora dos ciclos","C"&amp;INT(((YEAR(B1178)-YEAR(parametros!$C$2))*12+MONTH(B1178)-MONTH(parametros!$C$2))/12)))))</f>
        <v/>
      </c>
      <c r="D1178" s="394"/>
      <c r="E1178" s="78" t="str">
        <f>IF(C1178="","",IFERROR(VLOOKUP(C1178,parametros!$A$11:$E$15,5,0),""))</f>
        <v/>
      </c>
      <c r="F1178" s="79" t="str">
        <f t="shared" si="92"/>
        <v/>
      </c>
      <c r="G1178" s="395"/>
      <c r="H1178" s="91">
        <f t="shared" si="93"/>
        <v>0</v>
      </c>
      <c r="I1178" s="91" t="str">
        <f t="shared" si="94"/>
        <v/>
      </c>
      <c r="J1178" s="91" t="str">
        <f t="shared" si="95"/>
        <v/>
      </c>
      <c r="K1178" s="92" t="str">
        <f>IF(AND(A1178="",B1178="",D1178="",G1178=""),"",IF(AND(A1178&lt;&gt;"",COUNTIF($A$2:$A$5001,A1178)&gt;1),"NUMERO_PC duplicado",IF(B1178="","DATA_PC vazia",IF(NOT(ISNUMBER(B1178)),"DATA_PC invalida",IF(OR(C1178="",C1178="Fora dos ciclos"),"CICLO_PC nao identificado",IF(OR(D1178="",D1178=0),"VALOR_PC vazio ou zero",IF(AND(G1178&lt;&gt;"Sim",G1178&lt;&gt;"Nao",G1178&lt;&gt;""),"PC_PAGO_A_CONTRATADA invalido",IF(AND(C1178&lt;&gt;"C0",IFERROR(INDEX(parametros!$A$2:$A$6,MATCH(C1178,parametros!$B$2:$B$6,0)),"")="Sim",IFERROR(INDEX(parametros!$H$2:$H$6,MATCH(C1178,parametros!$B$2:$B$6,0)),"")=""),"INICIO_EFEITO ausente: PC "&amp;A1178&amp;" - "&amp;C1178,IF(L1178="","EFEITO_PC nao calculado: PC "&amp;A1178&amp;" - "&amp;C1178,"OK")))))))))</f>
        <v/>
      </c>
      <c r="L1178" s="92" t="str">
        <f>IF(AND(A1178="",B1178="",D1178="",G1178=""),"",IF(OR(B1178="",NOT(ISNUMBER(B1178)),C1178="",C1178="Fora dos ciclos"),"",IF(C1178="C0","Nao",IF(IFERROR(INDEX(parametros!$A$2:$A$6,MATCH(C1178,parametros!$B$2:$B$6,0)),"")&lt;&gt;"Sim","Nao",IF(IFERROR(INDEX(parametros!$H$2:$H$6,MATCH(C1178,parametros!$B$2:$B$6,0)),"")="","",IF(B1178&gt;=IFERROR(INDEX(parametros!$H$2:$H$6,MATCH(C1178,parametros!$B$2:$B$6,0)),""),"Sim","Nao"))))))</f>
        <v/>
      </c>
      <c r="T1178" s="156"/>
      <c r="U1178" s="214" t="str">
        <f t="shared" si="96"/>
        <v/>
      </c>
      <c r="V1178" s="212" t="s">
        <v>50</v>
      </c>
      <c r="W1178" s="100" t="s">
        <v>168</v>
      </c>
      <c r="X1178" s="100" t="s">
        <v>169</v>
      </c>
      <c r="Y1178" s="101" t="s">
        <v>170</v>
      </c>
      <c r="Z1178" s="101" t="s">
        <v>171</v>
      </c>
      <c r="AA1178" s="101" t="s">
        <v>50</v>
      </c>
      <c r="AB1178" s="101" t="s">
        <v>172</v>
      </c>
      <c r="AC1178" s="102" t="s">
        <v>173</v>
      </c>
    </row>
    <row r="1179" spans="1:29" ht="25.5" customHeight="1" x14ac:dyDescent="0.35">
      <c r="A1179" s="392"/>
      <c r="B1179" s="393"/>
      <c r="C1179" s="99" t="str">
        <f>IF(B1179="","",IF(NOT(ISNUMBER(B1179)),"DATA_PC invalida",IF(NOT(ISNUMBER(parametros!$C$2)),"Fora dos ciclos",IF(OR(B1179&lt;parametros!$C$2,(YEAR(B1179)-YEAR(parametros!$C$2))*12+MONTH(B1179)-MONTH(parametros!$C$2)&gt;59),"Fora dos ciclos","C"&amp;INT(((YEAR(B1179)-YEAR(parametros!$C$2))*12+MONTH(B1179)-MONTH(parametros!$C$2))/12)))))</f>
        <v/>
      </c>
      <c r="D1179" s="394"/>
      <c r="E1179" s="78" t="str">
        <f>IF(C1179="","",IFERROR(VLOOKUP(C1179,parametros!$A$11:$E$15,5,0),""))</f>
        <v/>
      </c>
      <c r="F1179" s="79" t="str">
        <f t="shared" si="92"/>
        <v/>
      </c>
      <c r="G1179" s="395"/>
      <c r="H1179" s="91">
        <f t="shared" si="93"/>
        <v>0</v>
      </c>
      <c r="I1179" s="91" t="str">
        <f t="shared" si="94"/>
        <v/>
      </c>
      <c r="J1179" s="91" t="str">
        <f t="shared" si="95"/>
        <v/>
      </c>
      <c r="K1179" s="92" t="str">
        <f>IF(AND(A1179="",B1179="",D1179="",G1179=""),"",IF(AND(A1179&lt;&gt;"",COUNTIF($A$2:$A$5001,A1179)&gt;1),"NUMERO_PC duplicado",IF(B1179="","DATA_PC vazia",IF(NOT(ISNUMBER(B1179)),"DATA_PC invalida",IF(OR(C1179="",C1179="Fora dos ciclos"),"CICLO_PC nao identificado",IF(OR(D1179="",D1179=0),"VALOR_PC vazio ou zero",IF(AND(G1179&lt;&gt;"Sim",G1179&lt;&gt;"Nao",G1179&lt;&gt;""),"PC_PAGO_A_CONTRATADA invalido",IF(AND(C1179&lt;&gt;"C0",IFERROR(INDEX(parametros!$A$2:$A$6,MATCH(C1179,parametros!$B$2:$B$6,0)),"")="Sim",IFERROR(INDEX(parametros!$H$2:$H$6,MATCH(C1179,parametros!$B$2:$B$6,0)),"")=""),"INICIO_EFEITO ausente: PC "&amp;A1179&amp;" - "&amp;C1179,IF(L1179="","EFEITO_PC nao calculado: PC "&amp;A1179&amp;" - "&amp;C1179,"OK")))))))))</f>
        <v/>
      </c>
      <c r="L1179" s="92" t="str">
        <f>IF(AND(A1179="",B1179="",D1179="",G1179=""),"",IF(OR(B1179="",NOT(ISNUMBER(B1179)),C1179="",C1179="Fora dos ciclos"),"",IF(C1179="C0","Nao",IF(IFERROR(INDEX(parametros!$A$2:$A$6,MATCH(C1179,parametros!$B$2:$B$6,0)),"")&lt;&gt;"Sim","Nao",IF(IFERROR(INDEX(parametros!$H$2:$H$6,MATCH(C1179,parametros!$B$2:$B$6,0)),"")="","",IF(B1179&gt;=IFERROR(INDEX(parametros!$H$2:$H$6,MATCH(C1179,parametros!$B$2:$B$6,0)),""),"Sim","Nao"))))))</f>
        <v/>
      </c>
      <c r="T1179" s="156"/>
      <c r="U1179" s="214" t="str">
        <f t="shared" si="96"/>
        <v/>
      </c>
      <c r="V1179" s="212" t="s">
        <v>50</v>
      </c>
      <c r="W1179" s="100" t="s">
        <v>168</v>
      </c>
      <c r="X1179" s="100" t="s">
        <v>169</v>
      </c>
      <c r="Y1179" s="101" t="s">
        <v>170</v>
      </c>
      <c r="Z1179" s="101" t="s">
        <v>171</v>
      </c>
      <c r="AA1179" s="101" t="s">
        <v>50</v>
      </c>
      <c r="AB1179" s="101" t="s">
        <v>172</v>
      </c>
      <c r="AC1179" s="102" t="s">
        <v>173</v>
      </c>
    </row>
    <row r="1180" spans="1:29" ht="25.5" customHeight="1" x14ac:dyDescent="0.35">
      <c r="A1180" s="392"/>
      <c r="B1180" s="393"/>
      <c r="C1180" s="99" t="str">
        <f>IF(B1180="","",IF(NOT(ISNUMBER(B1180)),"DATA_PC invalida",IF(NOT(ISNUMBER(parametros!$C$2)),"Fora dos ciclos",IF(OR(B1180&lt;parametros!$C$2,(YEAR(B1180)-YEAR(parametros!$C$2))*12+MONTH(B1180)-MONTH(parametros!$C$2)&gt;59),"Fora dos ciclos","C"&amp;INT(((YEAR(B1180)-YEAR(parametros!$C$2))*12+MONTH(B1180)-MONTH(parametros!$C$2))/12)))))</f>
        <v/>
      </c>
      <c r="D1180" s="394"/>
      <c r="E1180" s="78" t="str">
        <f>IF(C1180="","",IFERROR(VLOOKUP(C1180,parametros!$A$11:$E$15,5,0),""))</f>
        <v/>
      </c>
      <c r="F1180" s="79" t="str">
        <f t="shared" si="92"/>
        <v/>
      </c>
      <c r="G1180" s="395"/>
      <c r="H1180" s="91">
        <f t="shared" si="93"/>
        <v>0</v>
      </c>
      <c r="I1180" s="91" t="str">
        <f t="shared" si="94"/>
        <v/>
      </c>
      <c r="J1180" s="91" t="str">
        <f t="shared" si="95"/>
        <v/>
      </c>
      <c r="K1180" s="92" t="str">
        <f>IF(AND(A1180="",B1180="",D1180="",G1180=""),"",IF(AND(A1180&lt;&gt;"",COUNTIF($A$2:$A$5001,A1180)&gt;1),"NUMERO_PC duplicado",IF(B1180="","DATA_PC vazia",IF(NOT(ISNUMBER(B1180)),"DATA_PC invalida",IF(OR(C1180="",C1180="Fora dos ciclos"),"CICLO_PC nao identificado",IF(OR(D1180="",D1180=0),"VALOR_PC vazio ou zero",IF(AND(G1180&lt;&gt;"Sim",G1180&lt;&gt;"Nao",G1180&lt;&gt;""),"PC_PAGO_A_CONTRATADA invalido",IF(AND(C1180&lt;&gt;"C0",IFERROR(INDEX(parametros!$A$2:$A$6,MATCH(C1180,parametros!$B$2:$B$6,0)),"")="Sim",IFERROR(INDEX(parametros!$H$2:$H$6,MATCH(C1180,parametros!$B$2:$B$6,0)),"")=""),"INICIO_EFEITO ausente: PC "&amp;A1180&amp;" - "&amp;C1180,IF(L1180="","EFEITO_PC nao calculado: PC "&amp;A1180&amp;" - "&amp;C1180,"OK")))))))))</f>
        <v/>
      </c>
      <c r="L1180" s="92" t="str">
        <f>IF(AND(A1180="",B1180="",D1180="",G1180=""),"",IF(OR(B1180="",NOT(ISNUMBER(B1180)),C1180="",C1180="Fora dos ciclos"),"",IF(C1180="C0","Nao",IF(IFERROR(INDEX(parametros!$A$2:$A$6,MATCH(C1180,parametros!$B$2:$B$6,0)),"")&lt;&gt;"Sim","Nao",IF(IFERROR(INDEX(parametros!$H$2:$H$6,MATCH(C1180,parametros!$B$2:$B$6,0)),"")="","",IF(B1180&gt;=IFERROR(INDEX(parametros!$H$2:$H$6,MATCH(C1180,parametros!$B$2:$B$6,0)),""),"Sim","Nao"))))))</f>
        <v/>
      </c>
      <c r="T1180" s="156"/>
      <c r="U1180" s="214" t="str">
        <f t="shared" si="96"/>
        <v/>
      </c>
      <c r="V1180" s="212" t="s">
        <v>50</v>
      </c>
      <c r="W1180" s="100" t="s">
        <v>168</v>
      </c>
      <c r="X1180" s="100" t="s">
        <v>169</v>
      </c>
      <c r="Y1180" s="101" t="s">
        <v>170</v>
      </c>
      <c r="Z1180" s="101" t="s">
        <v>171</v>
      </c>
      <c r="AA1180" s="101" t="s">
        <v>50</v>
      </c>
      <c r="AB1180" s="101" t="s">
        <v>172</v>
      </c>
      <c r="AC1180" s="102" t="s">
        <v>173</v>
      </c>
    </row>
    <row r="1181" spans="1:29" ht="25.5" customHeight="1" x14ac:dyDescent="0.35">
      <c r="A1181" s="392"/>
      <c r="B1181" s="393"/>
      <c r="C1181" s="99" t="str">
        <f>IF(B1181="","",IF(NOT(ISNUMBER(B1181)),"DATA_PC invalida",IF(NOT(ISNUMBER(parametros!$C$2)),"Fora dos ciclos",IF(OR(B1181&lt;parametros!$C$2,(YEAR(B1181)-YEAR(parametros!$C$2))*12+MONTH(B1181)-MONTH(parametros!$C$2)&gt;59),"Fora dos ciclos","C"&amp;INT(((YEAR(B1181)-YEAR(parametros!$C$2))*12+MONTH(B1181)-MONTH(parametros!$C$2))/12)))))</f>
        <v/>
      </c>
      <c r="D1181" s="394"/>
      <c r="E1181" s="78" t="str">
        <f>IF(C1181="","",IFERROR(VLOOKUP(C1181,parametros!$A$11:$E$15,5,0),""))</f>
        <v/>
      </c>
      <c r="F1181" s="79" t="str">
        <f t="shared" si="92"/>
        <v/>
      </c>
      <c r="G1181" s="395"/>
      <c r="H1181" s="91">
        <f t="shared" si="93"/>
        <v>0</v>
      </c>
      <c r="I1181" s="91" t="str">
        <f t="shared" si="94"/>
        <v/>
      </c>
      <c r="J1181" s="91" t="str">
        <f t="shared" si="95"/>
        <v/>
      </c>
      <c r="K1181" s="92" t="str">
        <f>IF(AND(A1181="",B1181="",D1181="",G1181=""),"",IF(AND(A1181&lt;&gt;"",COUNTIF($A$2:$A$5001,A1181)&gt;1),"NUMERO_PC duplicado",IF(B1181="","DATA_PC vazia",IF(NOT(ISNUMBER(B1181)),"DATA_PC invalida",IF(OR(C1181="",C1181="Fora dos ciclos"),"CICLO_PC nao identificado",IF(OR(D1181="",D1181=0),"VALOR_PC vazio ou zero",IF(AND(G1181&lt;&gt;"Sim",G1181&lt;&gt;"Nao",G1181&lt;&gt;""),"PC_PAGO_A_CONTRATADA invalido",IF(AND(C1181&lt;&gt;"C0",IFERROR(INDEX(parametros!$A$2:$A$6,MATCH(C1181,parametros!$B$2:$B$6,0)),"")="Sim",IFERROR(INDEX(parametros!$H$2:$H$6,MATCH(C1181,parametros!$B$2:$B$6,0)),"")=""),"INICIO_EFEITO ausente: PC "&amp;A1181&amp;" - "&amp;C1181,IF(L1181="","EFEITO_PC nao calculado: PC "&amp;A1181&amp;" - "&amp;C1181,"OK")))))))))</f>
        <v/>
      </c>
      <c r="L1181" s="92" t="str">
        <f>IF(AND(A1181="",B1181="",D1181="",G1181=""),"",IF(OR(B1181="",NOT(ISNUMBER(B1181)),C1181="",C1181="Fora dos ciclos"),"",IF(C1181="C0","Nao",IF(IFERROR(INDEX(parametros!$A$2:$A$6,MATCH(C1181,parametros!$B$2:$B$6,0)),"")&lt;&gt;"Sim","Nao",IF(IFERROR(INDEX(parametros!$H$2:$H$6,MATCH(C1181,parametros!$B$2:$B$6,0)),"")="","",IF(B1181&gt;=IFERROR(INDEX(parametros!$H$2:$H$6,MATCH(C1181,parametros!$B$2:$B$6,0)),""),"Sim","Nao"))))))</f>
        <v/>
      </c>
      <c r="T1181" s="156"/>
      <c r="U1181" s="214" t="str">
        <f t="shared" si="96"/>
        <v/>
      </c>
      <c r="V1181" s="212" t="s">
        <v>50</v>
      </c>
      <c r="W1181" s="100" t="s">
        <v>168</v>
      </c>
      <c r="X1181" s="100" t="s">
        <v>169</v>
      </c>
      <c r="Y1181" s="101" t="s">
        <v>170</v>
      </c>
      <c r="Z1181" s="101" t="s">
        <v>171</v>
      </c>
      <c r="AA1181" s="101" t="s">
        <v>50</v>
      </c>
      <c r="AB1181" s="101" t="s">
        <v>172</v>
      </c>
      <c r="AC1181" s="102" t="s">
        <v>173</v>
      </c>
    </row>
    <row r="1182" spans="1:29" ht="25.5" customHeight="1" x14ac:dyDescent="0.35">
      <c r="A1182" s="392"/>
      <c r="B1182" s="393"/>
      <c r="C1182" s="99" t="str">
        <f>IF(B1182="","",IF(NOT(ISNUMBER(B1182)),"DATA_PC invalida",IF(NOT(ISNUMBER(parametros!$C$2)),"Fora dos ciclos",IF(OR(B1182&lt;parametros!$C$2,(YEAR(B1182)-YEAR(parametros!$C$2))*12+MONTH(B1182)-MONTH(parametros!$C$2)&gt;59),"Fora dos ciclos","C"&amp;INT(((YEAR(B1182)-YEAR(parametros!$C$2))*12+MONTH(B1182)-MONTH(parametros!$C$2))/12)))))</f>
        <v/>
      </c>
      <c r="D1182" s="394"/>
      <c r="E1182" s="78" t="str">
        <f>IF(C1182="","",IFERROR(VLOOKUP(C1182,parametros!$A$11:$E$15,5,0),""))</f>
        <v/>
      </c>
      <c r="F1182" s="79" t="str">
        <f t="shared" si="92"/>
        <v/>
      </c>
      <c r="G1182" s="395"/>
      <c r="H1182" s="91">
        <f t="shared" si="93"/>
        <v>0</v>
      </c>
      <c r="I1182" s="91" t="str">
        <f t="shared" si="94"/>
        <v/>
      </c>
      <c r="J1182" s="91" t="str">
        <f t="shared" si="95"/>
        <v/>
      </c>
      <c r="K1182" s="92" t="str">
        <f>IF(AND(A1182="",B1182="",D1182="",G1182=""),"",IF(AND(A1182&lt;&gt;"",COUNTIF($A$2:$A$5001,A1182)&gt;1),"NUMERO_PC duplicado",IF(B1182="","DATA_PC vazia",IF(NOT(ISNUMBER(B1182)),"DATA_PC invalida",IF(OR(C1182="",C1182="Fora dos ciclos"),"CICLO_PC nao identificado",IF(OR(D1182="",D1182=0),"VALOR_PC vazio ou zero",IF(AND(G1182&lt;&gt;"Sim",G1182&lt;&gt;"Nao",G1182&lt;&gt;""),"PC_PAGO_A_CONTRATADA invalido",IF(AND(C1182&lt;&gt;"C0",IFERROR(INDEX(parametros!$A$2:$A$6,MATCH(C1182,parametros!$B$2:$B$6,0)),"")="Sim",IFERROR(INDEX(parametros!$H$2:$H$6,MATCH(C1182,parametros!$B$2:$B$6,0)),"")=""),"INICIO_EFEITO ausente: PC "&amp;A1182&amp;" - "&amp;C1182,IF(L1182="","EFEITO_PC nao calculado: PC "&amp;A1182&amp;" - "&amp;C1182,"OK")))))))))</f>
        <v/>
      </c>
      <c r="L1182" s="92" t="str">
        <f>IF(AND(A1182="",B1182="",D1182="",G1182=""),"",IF(OR(B1182="",NOT(ISNUMBER(B1182)),C1182="",C1182="Fora dos ciclos"),"",IF(C1182="C0","Nao",IF(IFERROR(INDEX(parametros!$A$2:$A$6,MATCH(C1182,parametros!$B$2:$B$6,0)),"")&lt;&gt;"Sim","Nao",IF(IFERROR(INDEX(parametros!$H$2:$H$6,MATCH(C1182,parametros!$B$2:$B$6,0)),"")="","",IF(B1182&gt;=IFERROR(INDEX(parametros!$H$2:$H$6,MATCH(C1182,parametros!$B$2:$B$6,0)),""),"Sim","Nao"))))))</f>
        <v/>
      </c>
      <c r="T1182" s="156"/>
      <c r="U1182" s="214" t="str">
        <f t="shared" si="96"/>
        <v/>
      </c>
      <c r="V1182" s="212" t="s">
        <v>50</v>
      </c>
      <c r="W1182" s="100" t="s">
        <v>168</v>
      </c>
      <c r="X1182" s="100" t="s">
        <v>169</v>
      </c>
      <c r="Y1182" s="101" t="s">
        <v>170</v>
      </c>
      <c r="Z1182" s="101" t="s">
        <v>171</v>
      </c>
      <c r="AA1182" s="101" t="s">
        <v>50</v>
      </c>
      <c r="AB1182" s="101" t="s">
        <v>172</v>
      </c>
      <c r="AC1182" s="102" t="s">
        <v>173</v>
      </c>
    </row>
    <row r="1183" spans="1:29" ht="25.5" customHeight="1" x14ac:dyDescent="0.35">
      <c r="A1183" s="392"/>
      <c r="B1183" s="393"/>
      <c r="C1183" s="99" t="str">
        <f>IF(B1183="","",IF(NOT(ISNUMBER(B1183)),"DATA_PC invalida",IF(NOT(ISNUMBER(parametros!$C$2)),"Fora dos ciclos",IF(OR(B1183&lt;parametros!$C$2,(YEAR(B1183)-YEAR(parametros!$C$2))*12+MONTH(B1183)-MONTH(parametros!$C$2)&gt;59),"Fora dos ciclos","C"&amp;INT(((YEAR(B1183)-YEAR(parametros!$C$2))*12+MONTH(B1183)-MONTH(parametros!$C$2))/12)))))</f>
        <v/>
      </c>
      <c r="D1183" s="394"/>
      <c r="E1183" s="78" t="str">
        <f>IF(C1183="","",IFERROR(VLOOKUP(C1183,parametros!$A$11:$E$15,5,0),""))</f>
        <v/>
      </c>
      <c r="F1183" s="79" t="str">
        <f t="shared" si="92"/>
        <v/>
      </c>
      <c r="G1183" s="395"/>
      <c r="H1183" s="91">
        <f t="shared" si="93"/>
        <v>0</v>
      </c>
      <c r="I1183" s="91" t="str">
        <f t="shared" si="94"/>
        <v/>
      </c>
      <c r="J1183" s="91" t="str">
        <f t="shared" si="95"/>
        <v/>
      </c>
      <c r="K1183" s="92" t="str">
        <f>IF(AND(A1183="",B1183="",D1183="",G1183=""),"",IF(AND(A1183&lt;&gt;"",COUNTIF($A$2:$A$5001,A1183)&gt;1),"NUMERO_PC duplicado",IF(B1183="","DATA_PC vazia",IF(NOT(ISNUMBER(B1183)),"DATA_PC invalida",IF(OR(C1183="",C1183="Fora dos ciclos"),"CICLO_PC nao identificado",IF(OR(D1183="",D1183=0),"VALOR_PC vazio ou zero",IF(AND(G1183&lt;&gt;"Sim",G1183&lt;&gt;"Nao",G1183&lt;&gt;""),"PC_PAGO_A_CONTRATADA invalido",IF(AND(C1183&lt;&gt;"C0",IFERROR(INDEX(parametros!$A$2:$A$6,MATCH(C1183,parametros!$B$2:$B$6,0)),"")="Sim",IFERROR(INDEX(parametros!$H$2:$H$6,MATCH(C1183,parametros!$B$2:$B$6,0)),"")=""),"INICIO_EFEITO ausente: PC "&amp;A1183&amp;" - "&amp;C1183,IF(L1183="","EFEITO_PC nao calculado: PC "&amp;A1183&amp;" - "&amp;C1183,"OK")))))))))</f>
        <v/>
      </c>
      <c r="L1183" s="92" t="str">
        <f>IF(AND(A1183="",B1183="",D1183="",G1183=""),"",IF(OR(B1183="",NOT(ISNUMBER(B1183)),C1183="",C1183="Fora dos ciclos"),"",IF(C1183="C0","Nao",IF(IFERROR(INDEX(parametros!$A$2:$A$6,MATCH(C1183,parametros!$B$2:$B$6,0)),"")&lt;&gt;"Sim","Nao",IF(IFERROR(INDEX(parametros!$H$2:$H$6,MATCH(C1183,parametros!$B$2:$B$6,0)),"")="","",IF(B1183&gt;=IFERROR(INDEX(parametros!$H$2:$H$6,MATCH(C1183,parametros!$B$2:$B$6,0)),""),"Sim","Nao"))))))</f>
        <v/>
      </c>
      <c r="T1183" s="156"/>
      <c r="U1183" s="214" t="str">
        <f t="shared" si="96"/>
        <v/>
      </c>
      <c r="V1183" s="212" t="s">
        <v>50</v>
      </c>
      <c r="W1183" s="100" t="s">
        <v>168</v>
      </c>
      <c r="X1183" s="100" t="s">
        <v>169</v>
      </c>
      <c r="Y1183" s="101" t="s">
        <v>170</v>
      </c>
      <c r="Z1183" s="101" t="s">
        <v>171</v>
      </c>
      <c r="AA1183" s="101" t="s">
        <v>50</v>
      </c>
      <c r="AB1183" s="101" t="s">
        <v>172</v>
      </c>
      <c r="AC1183" s="102" t="s">
        <v>173</v>
      </c>
    </row>
    <row r="1184" spans="1:29" ht="25.5" customHeight="1" x14ac:dyDescent="0.35">
      <c r="A1184" s="392"/>
      <c r="B1184" s="393"/>
      <c r="C1184" s="99" t="str">
        <f>IF(B1184="","",IF(NOT(ISNUMBER(B1184)),"DATA_PC invalida",IF(NOT(ISNUMBER(parametros!$C$2)),"Fora dos ciclos",IF(OR(B1184&lt;parametros!$C$2,(YEAR(B1184)-YEAR(parametros!$C$2))*12+MONTH(B1184)-MONTH(parametros!$C$2)&gt;59),"Fora dos ciclos","C"&amp;INT(((YEAR(B1184)-YEAR(parametros!$C$2))*12+MONTH(B1184)-MONTH(parametros!$C$2))/12)))))</f>
        <v/>
      </c>
      <c r="D1184" s="394"/>
      <c r="E1184" s="78" t="str">
        <f>IF(C1184="","",IFERROR(VLOOKUP(C1184,parametros!$A$11:$E$15,5,0),""))</f>
        <v/>
      </c>
      <c r="F1184" s="79" t="str">
        <f t="shared" si="92"/>
        <v/>
      </c>
      <c r="G1184" s="395"/>
      <c r="H1184" s="91">
        <f t="shared" si="93"/>
        <v>0</v>
      </c>
      <c r="I1184" s="91" t="str">
        <f t="shared" si="94"/>
        <v/>
      </c>
      <c r="J1184" s="91" t="str">
        <f t="shared" si="95"/>
        <v/>
      </c>
      <c r="K1184" s="92" t="str">
        <f>IF(AND(A1184="",B1184="",D1184="",G1184=""),"",IF(AND(A1184&lt;&gt;"",COUNTIF($A$2:$A$5001,A1184)&gt;1),"NUMERO_PC duplicado",IF(B1184="","DATA_PC vazia",IF(NOT(ISNUMBER(B1184)),"DATA_PC invalida",IF(OR(C1184="",C1184="Fora dos ciclos"),"CICLO_PC nao identificado",IF(OR(D1184="",D1184=0),"VALOR_PC vazio ou zero",IF(AND(G1184&lt;&gt;"Sim",G1184&lt;&gt;"Nao",G1184&lt;&gt;""),"PC_PAGO_A_CONTRATADA invalido",IF(AND(C1184&lt;&gt;"C0",IFERROR(INDEX(parametros!$A$2:$A$6,MATCH(C1184,parametros!$B$2:$B$6,0)),"")="Sim",IFERROR(INDEX(parametros!$H$2:$H$6,MATCH(C1184,parametros!$B$2:$B$6,0)),"")=""),"INICIO_EFEITO ausente: PC "&amp;A1184&amp;" - "&amp;C1184,IF(L1184="","EFEITO_PC nao calculado: PC "&amp;A1184&amp;" - "&amp;C1184,"OK")))))))))</f>
        <v/>
      </c>
      <c r="L1184" s="92" t="str">
        <f>IF(AND(A1184="",B1184="",D1184="",G1184=""),"",IF(OR(B1184="",NOT(ISNUMBER(B1184)),C1184="",C1184="Fora dos ciclos"),"",IF(C1184="C0","Nao",IF(IFERROR(INDEX(parametros!$A$2:$A$6,MATCH(C1184,parametros!$B$2:$B$6,0)),"")&lt;&gt;"Sim","Nao",IF(IFERROR(INDEX(parametros!$H$2:$H$6,MATCH(C1184,parametros!$B$2:$B$6,0)),"")="","",IF(B1184&gt;=IFERROR(INDEX(parametros!$H$2:$H$6,MATCH(C1184,parametros!$B$2:$B$6,0)),""),"Sim","Nao"))))))</f>
        <v/>
      </c>
      <c r="T1184" s="156"/>
      <c r="U1184" s="214" t="str">
        <f t="shared" si="96"/>
        <v/>
      </c>
      <c r="V1184" s="212" t="s">
        <v>50</v>
      </c>
      <c r="W1184" s="100" t="s">
        <v>168</v>
      </c>
      <c r="X1184" s="100" t="s">
        <v>169</v>
      </c>
      <c r="Y1184" s="101" t="s">
        <v>170</v>
      </c>
      <c r="Z1184" s="101" t="s">
        <v>171</v>
      </c>
      <c r="AA1184" s="101" t="s">
        <v>50</v>
      </c>
      <c r="AB1184" s="101" t="s">
        <v>172</v>
      </c>
      <c r="AC1184" s="102" t="s">
        <v>173</v>
      </c>
    </row>
    <row r="1185" spans="1:29" ht="25.5" customHeight="1" x14ac:dyDescent="0.35">
      <c r="A1185" s="392"/>
      <c r="B1185" s="393"/>
      <c r="C1185" s="99" t="str">
        <f>IF(B1185="","",IF(NOT(ISNUMBER(B1185)),"DATA_PC invalida",IF(NOT(ISNUMBER(parametros!$C$2)),"Fora dos ciclos",IF(OR(B1185&lt;parametros!$C$2,(YEAR(B1185)-YEAR(parametros!$C$2))*12+MONTH(B1185)-MONTH(parametros!$C$2)&gt;59),"Fora dos ciclos","C"&amp;INT(((YEAR(B1185)-YEAR(parametros!$C$2))*12+MONTH(B1185)-MONTH(parametros!$C$2))/12)))))</f>
        <v/>
      </c>
      <c r="D1185" s="394"/>
      <c r="E1185" s="78" t="str">
        <f>IF(C1185="","",IFERROR(VLOOKUP(C1185,parametros!$A$11:$E$15,5,0),""))</f>
        <v/>
      </c>
      <c r="F1185" s="79" t="str">
        <f t="shared" si="92"/>
        <v/>
      </c>
      <c r="G1185" s="395"/>
      <c r="H1185" s="91">
        <f t="shared" si="93"/>
        <v>0</v>
      </c>
      <c r="I1185" s="91" t="str">
        <f t="shared" si="94"/>
        <v/>
      </c>
      <c r="J1185" s="91" t="str">
        <f t="shared" si="95"/>
        <v/>
      </c>
      <c r="K1185" s="92" t="str">
        <f>IF(AND(A1185="",B1185="",D1185="",G1185=""),"",IF(AND(A1185&lt;&gt;"",COUNTIF($A$2:$A$5001,A1185)&gt;1),"NUMERO_PC duplicado",IF(B1185="","DATA_PC vazia",IF(NOT(ISNUMBER(B1185)),"DATA_PC invalida",IF(OR(C1185="",C1185="Fora dos ciclos"),"CICLO_PC nao identificado",IF(OR(D1185="",D1185=0),"VALOR_PC vazio ou zero",IF(AND(G1185&lt;&gt;"Sim",G1185&lt;&gt;"Nao",G1185&lt;&gt;""),"PC_PAGO_A_CONTRATADA invalido",IF(AND(C1185&lt;&gt;"C0",IFERROR(INDEX(parametros!$A$2:$A$6,MATCH(C1185,parametros!$B$2:$B$6,0)),"")="Sim",IFERROR(INDEX(parametros!$H$2:$H$6,MATCH(C1185,parametros!$B$2:$B$6,0)),"")=""),"INICIO_EFEITO ausente: PC "&amp;A1185&amp;" - "&amp;C1185,IF(L1185="","EFEITO_PC nao calculado: PC "&amp;A1185&amp;" - "&amp;C1185,"OK")))))))))</f>
        <v/>
      </c>
      <c r="L1185" s="92" t="str">
        <f>IF(AND(A1185="",B1185="",D1185="",G1185=""),"",IF(OR(B1185="",NOT(ISNUMBER(B1185)),C1185="",C1185="Fora dos ciclos"),"",IF(C1185="C0","Nao",IF(IFERROR(INDEX(parametros!$A$2:$A$6,MATCH(C1185,parametros!$B$2:$B$6,0)),"")&lt;&gt;"Sim","Nao",IF(IFERROR(INDEX(parametros!$H$2:$H$6,MATCH(C1185,parametros!$B$2:$B$6,0)),"")="","",IF(B1185&gt;=IFERROR(INDEX(parametros!$H$2:$H$6,MATCH(C1185,parametros!$B$2:$B$6,0)),""),"Sim","Nao"))))))</f>
        <v/>
      </c>
      <c r="T1185" s="156"/>
      <c r="U1185" s="214" t="str">
        <f t="shared" si="96"/>
        <v/>
      </c>
      <c r="V1185" s="212" t="s">
        <v>50</v>
      </c>
      <c r="W1185" s="100" t="s">
        <v>168</v>
      </c>
      <c r="X1185" s="100" t="s">
        <v>169</v>
      </c>
      <c r="Y1185" s="101" t="s">
        <v>170</v>
      </c>
      <c r="Z1185" s="101" t="s">
        <v>171</v>
      </c>
      <c r="AA1185" s="101" t="s">
        <v>50</v>
      </c>
      <c r="AB1185" s="101" t="s">
        <v>172</v>
      </c>
      <c r="AC1185" s="102" t="s">
        <v>173</v>
      </c>
    </row>
    <row r="1186" spans="1:29" ht="25.5" customHeight="1" x14ac:dyDescent="0.35">
      <c r="A1186" s="392"/>
      <c r="B1186" s="393"/>
      <c r="C1186" s="99" t="str">
        <f>IF(B1186="","",IF(NOT(ISNUMBER(B1186)),"DATA_PC invalida",IF(NOT(ISNUMBER(parametros!$C$2)),"Fora dos ciclos",IF(OR(B1186&lt;parametros!$C$2,(YEAR(B1186)-YEAR(parametros!$C$2))*12+MONTH(B1186)-MONTH(parametros!$C$2)&gt;59),"Fora dos ciclos","C"&amp;INT(((YEAR(B1186)-YEAR(parametros!$C$2))*12+MONTH(B1186)-MONTH(parametros!$C$2))/12)))))</f>
        <v/>
      </c>
      <c r="D1186" s="394"/>
      <c r="E1186" s="78" t="str">
        <f>IF(C1186="","",IFERROR(VLOOKUP(C1186,parametros!$A$11:$E$15,5,0),""))</f>
        <v/>
      </c>
      <c r="F1186" s="79" t="str">
        <f t="shared" si="92"/>
        <v/>
      </c>
      <c r="G1186" s="395"/>
      <c r="H1186" s="91">
        <f t="shared" si="93"/>
        <v>0</v>
      </c>
      <c r="I1186" s="91" t="str">
        <f t="shared" si="94"/>
        <v/>
      </c>
      <c r="J1186" s="91" t="str">
        <f t="shared" si="95"/>
        <v/>
      </c>
      <c r="K1186" s="92" t="str">
        <f>IF(AND(A1186="",B1186="",D1186="",G1186=""),"",IF(AND(A1186&lt;&gt;"",COUNTIF($A$2:$A$5001,A1186)&gt;1),"NUMERO_PC duplicado",IF(B1186="","DATA_PC vazia",IF(NOT(ISNUMBER(B1186)),"DATA_PC invalida",IF(OR(C1186="",C1186="Fora dos ciclos"),"CICLO_PC nao identificado",IF(OR(D1186="",D1186=0),"VALOR_PC vazio ou zero",IF(AND(G1186&lt;&gt;"Sim",G1186&lt;&gt;"Nao",G1186&lt;&gt;""),"PC_PAGO_A_CONTRATADA invalido",IF(AND(C1186&lt;&gt;"C0",IFERROR(INDEX(parametros!$A$2:$A$6,MATCH(C1186,parametros!$B$2:$B$6,0)),"")="Sim",IFERROR(INDEX(parametros!$H$2:$H$6,MATCH(C1186,parametros!$B$2:$B$6,0)),"")=""),"INICIO_EFEITO ausente: PC "&amp;A1186&amp;" - "&amp;C1186,IF(L1186="","EFEITO_PC nao calculado: PC "&amp;A1186&amp;" - "&amp;C1186,"OK")))))))))</f>
        <v/>
      </c>
      <c r="L1186" s="92" t="str">
        <f>IF(AND(A1186="",B1186="",D1186="",G1186=""),"",IF(OR(B1186="",NOT(ISNUMBER(B1186)),C1186="",C1186="Fora dos ciclos"),"",IF(C1186="C0","Nao",IF(IFERROR(INDEX(parametros!$A$2:$A$6,MATCH(C1186,parametros!$B$2:$B$6,0)),"")&lt;&gt;"Sim","Nao",IF(IFERROR(INDEX(parametros!$H$2:$H$6,MATCH(C1186,parametros!$B$2:$B$6,0)),"")="","",IF(B1186&gt;=IFERROR(INDEX(parametros!$H$2:$H$6,MATCH(C1186,parametros!$B$2:$B$6,0)),""),"Sim","Nao"))))))</f>
        <v/>
      </c>
      <c r="T1186" s="156"/>
      <c r="U1186" s="214" t="str">
        <f t="shared" si="96"/>
        <v/>
      </c>
      <c r="V1186" s="212" t="s">
        <v>50</v>
      </c>
      <c r="W1186" s="100" t="s">
        <v>168</v>
      </c>
      <c r="X1186" s="100" t="s">
        <v>169</v>
      </c>
      <c r="Y1186" s="101" t="s">
        <v>170</v>
      </c>
      <c r="Z1186" s="101" t="s">
        <v>171</v>
      </c>
      <c r="AA1186" s="101" t="s">
        <v>50</v>
      </c>
      <c r="AB1186" s="101" t="s">
        <v>172</v>
      </c>
      <c r="AC1186" s="102" t="s">
        <v>173</v>
      </c>
    </row>
    <row r="1187" spans="1:29" ht="25.5" customHeight="1" x14ac:dyDescent="0.35">
      <c r="A1187" s="392"/>
      <c r="B1187" s="393"/>
      <c r="C1187" s="99" t="str">
        <f>IF(B1187="","",IF(NOT(ISNUMBER(B1187)),"DATA_PC invalida",IF(NOT(ISNUMBER(parametros!$C$2)),"Fora dos ciclos",IF(OR(B1187&lt;parametros!$C$2,(YEAR(B1187)-YEAR(parametros!$C$2))*12+MONTH(B1187)-MONTH(parametros!$C$2)&gt;59),"Fora dos ciclos","C"&amp;INT(((YEAR(B1187)-YEAR(parametros!$C$2))*12+MONTH(B1187)-MONTH(parametros!$C$2))/12)))))</f>
        <v/>
      </c>
      <c r="D1187" s="394"/>
      <c r="E1187" s="78" t="str">
        <f>IF(C1187="","",IFERROR(VLOOKUP(C1187,parametros!$A$11:$E$15,5,0),""))</f>
        <v/>
      </c>
      <c r="F1187" s="79" t="str">
        <f t="shared" si="92"/>
        <v/>
      </c>
      <c r="G1187" s="395"/>
      <c r="H1187" s="91">
        <f t="shared" si="93"/>
        <v>0</v>
      </c>
      <c r="I1187" s="91" t="str">
        <f t="shared" si="94"/>
        <v/>
      </c>
      <c r="J1187" s="91" t="str">
        <f t="shared" si="95"/>
        <v/>
      </c>
      <c r="K1187" s="92" t="str">
        <f>IF(AND(A1187="",B1187="",D1187="",G1187=""),"",IF(AND(A1187&lt;&gt;"",COUNTIF($A$2:$A$5001,A1187)&gt;1),"NUMERO_PC duplicado",IF(B1187="","DATA_PC vazia",IF(NOT(ISNUMBER(B1187)),"DATA_PC invalida",IF(OR(C1187="",C1187="Fora dos ciclos"),"CICLO_PC nao identificado",IF(OR(D1187="",D1187=0),"VALOR_PC vazio ou zero",IF(AND(G1187&lt;&gt;"Sim",G1187&lt;&gt;"Nao",G1187&lt;&gt;""),"PC_PAGO_A_CONTRATADA invalido",IF(AND(C1187&lt;&gt;"C0",IFERROR(INDEX(parametros!$A$2:$A$6,MATCH(C1187,parametros!$B$2:$B$6,0)),"")="Sim",IFERROR(INDEX(parametros!$H$2:$H$6,MATCH(C1187,parametros!$B$2:$B$6,0)),"")=""),"INICIO_EFEITO ausente: PC "&amp;A1187&amp;" - "&amp;C1187,IF(L1187="","EFEITO_PC nao calculado: PC "&amp;A1187&amp;" - "&amp;C1187,"OK")))))))))</f>
        <v/>
      </c>
      <c r="L1187" s="92" t="str">
        <f>IF(AND(A1187="",B1187="",D1187="",G1187=""),"",IF(OR(B1187="",NOT(ISNUMBER(B1187)),C1187="",C1187="Fora dos ciclos"),"",IF(C1187="C0","Nao",IF(IFERROR(INDEX(parametros!$A$2:$A$6,MATCH(C1187,parametros!$B$2:$B$6,0)),"")&lt;&gt;"Sim","Nao",IF(IFERROR(INDEX(parametros!$H$2:$H$6,MATCH(C1187,parametros!$B$2:$B$6,0)),"")="","",IF(B1187&gt;=IFERROR(INDEX(parametros!$H$2:$H$6,MATCH(C1187,parametros!$B$2:$B$6,0)),""),"Sim","Nao"))))))</f>
        <v/>
      </c>
      <c r="T1187" s="156"/>
      <c r="U1187" s="214" t="str">
        <f t="shared" si="96"/>
        <v/>
      </c>
      <c r="V1187" s="212" t="s">
        <v>50</v>
      </c>
      <c r="W1187" s="100" t="s">
        <v>168</v>
      </c>
      <c r="X1187" s="100" t="s">
        <v>169</v>
      </c>
      <c r="Y1187" s="101" t="s">
        <v>170</v>
      </c>
      <c r="Z1187" s="101" t="s">
        <v>171</v>
      </c>
      <c r="AA1187" s="101" t="s">
        <v>50</v>
      </c>
      <c r="AB1187" s="101" t="s">
        <v>172</v>
      </c>
      <c r="AC1187" s="102" t="s">
        <v>173</v>
      </c>
    </row>
    <row r="1188" spans="1:29" ht="25.5" customHeight="1" x14ac:dyDescent="0.35">
      <c r="A1188" s="392"/>
      <c r="B1188" s="393"/>
      <c r="C1188" s="99" t="str">
        <f>IF(B1188="","",IF(NOT(ISNUMBER(B1188)),"DATA_PC invalida",IF(NOT(ISNUMBER(parametros!$C$2)),"Fora dos ciclos",IF(OR(B1188&lt;parametros!$C$2,(YEAR(B1188)-YEAR(parametros!$C$2))*12+MONTH(B1188)-MONTH(parametros!$C$2)&gt;59),"Fora dos ciclos","C"&amp;INT(((YEAR(B1188)-YEAR(parametros!$C$2))*12+MONTH(B1188)-MONTH(parametros!$C$2))/12)))))</f>
        <v/>
      </c>
      <c r="D1188" s="394"/>
      <c r="E1188" s="78" t="str">
        <f>IF(C1188="","",IFERROR(VLOOKUP(C1188,parametros!$A$11:$E$15,5,0),""))</f>
        <v/>
      </c>
      <c r="F1188" s="79" t="str">
        <f t="shared" si="92"/>
        <v/>
      </c>
      <c r="G1188" s="395"/>
      <c r="H1188" s="91">
        <f t="shared" si="93"/>
        <v>0</v>
      </c>
      <c r="I1188" s="91" t="str">
        <f t="shared" si="94"/>
        <v/>
      </c>
      <c r="J1188" s="91" t="str">
        <f t="shared" si="95"/>
        <v/>
      </c>
      <c r="K1188" s="92" t="str">
        <f>IF(AND(A1188="",B1188="",D1188="",G1188=""),"",IF(AND(A1188&lt;&gt;"",COUNTIF($A$2:$A$5001,A1188)&gt;1),"NUMERO_PC duplicado",IF(B1188="","DATA_PC vazia",IF(NOT(ISNUMBER(B1188)),"DATA_PC invalida",IF(OR(C1188="",C1188="Fora dos ciclos"),"CICLO_PC nao identificado",IF(OR(D1188="",D1188=0),"VALOR_PC vazio ou zero",IF(AND(G1188&lt;&gt;"Sim",G1188&lt;&gt;"Nao",G1188&lt;&gt;""),"PC_PAGO_A_CONTRATADA invalido",IF(AND(C1188&lt;&gt;"C0",IFERROR(INDEX(parametros!$A$2:$A$6,MATCH(C1188,parametros!$B$2:$B$6,0)),"")="Sim",IFERROR(INDEX(parametros!$H$2:$H$6,MATCH(C1188,parametros!$B$2:$B$6,0)),"")=""),"INICIO_EFEITO ausente: PC "&amp;A1188&amp;" - "&amp;C1188,IF(L1188="","EFEITO_PC nao calculado: PC "&amp;A1188&amp;" - "&amp;C1188,"OK")))))))))</f>
        <v/>
      </c>
      <c r="L1188" s="92" t="str">
        <f>IF(AND(A1188="",B1188="",D1188="",G1188=""),"",IF(OR(B1188="",NOT(ISNUMBER(B1188)),C1188="",C1188="Fora dos ciclos"),"",IF(C1188="C0","Nao",IF(IFERROR(INDEX(parametros!$A$2:$A$6,MATCH(C1188,parametros!$B$2:$B$6,0)),"")&lt;&gt;"Sim","Nao",IF(IFERROR(INDEX(parametros!$H$2:$H$6,MATCH(C1188,parametros!$B$2:$B$6,0)),"")="","",IF(B1188&gt;=IFERROR(INDEX(parametros!$H$2:$H$6,MATCH(C1188,parametros!$B$2:$B$6,0)),""),"Sim","Nao"))))))</f>
        <v/>
      </c>
      <c r="T1188" s="156"/>
      <c r="U1188" s="214" t="str">
        <f t="shared" si="96"/>
        <v/>
      </c>
      <c r="V1188" s="212" t="s">
        <v>50</v>
      </c>
      <c r="W1188" s="100" t="s">
        <v>168</v>
      </c>
      <c r="X1188" s="100" t="s">
        <v>169</v>
      </c>
      <c r="Y1188" s="101" t="s">
        <v>170</v>
      </c>
      <c r="Z1188" s="101" t="s">
        <v>171</v>
      </c>
      <c r="AA1188" s="101" t="s">
        <v>50</v>
      </c>
      <c r="AB1188" s="101" t="s">
        <v>172</v>
      </c>
      <c r="AC1188" s="102" t="s">
        <v>173</v>
      </c>
    </row>
    <row r="1189" spans="1:29" ht="25.5" customHeight="1" x14ac:dyDescent="0.35">
      <c r="A1189" s="392"/>
      <c r="B1189" s="393"/>
      <c r="C1189" s="99" t="str">
        <f>IF(B1189="","",IF(NOT(ISNUMBER(B1189)),"DATA_PC invalida",IF(NOT(ISNUMBER(parametros!$C$2)),"Fora dos ciclos",IF(OR(B1189&lt;parametros!$C$2,(YEAR(B1189)-YEAR(parametros!$C$2))*12+MONTH(B1189)-MONTH(parametros!$C$2)&gt;59),"Fora dos ciclos","C"&amp;INT(((YEAR(B1189)-YEAR(parametros!$C$2))*12+MONTH(B1189)-MONTH(parametros!$C$2))/12)))))</f>
        <v/>
      </c>
      <c r="D1189" s="394"/>
      <c r="E1189" s="78" t="str">
        <f>IF(C1189="","",IFERROR(VLOOKUP(C1189,parametros!$A$11:$E$15,5,0),""))</f>
        <v/>
      </c>
      <c r="F1189" s="79" t="str">
        <f t="shared" si="92"/>
        <v/>
      </c>
      <c r="G1189" s="395"/>
      <c r="H1189" s="91">
        <f t="shared" si="93"/>
        <v>0</v>
      </c>
      <c r="I1189" s="91" t="str">
        <f t="shared" si="94"/>
        <v/>
      </c>
      <c r="J1189" s="91" t="str">
        <f t="shared" si="95"/>
        <v/>
      </c>
      <c r="K1189" s="92" t="str">
        <f>IF(AND(A1189="",B1189="",D1189="",G1189=""),"",IF(AND(A1189&lt;&gt;"",COUNTIF($A$2:$A$5001,A1189)&gt;1),"NUMERO_PC duplicado",IF(B1189="","DATA_PC vazia",IF(NOT(ISNUMBER(B1189)),"DATA_PC invalida",IF(OR(C1189="",C1189="Fora dos ciclos"),"CICLO_PC nao identificado",IF(OR(D1189="",D1189=0),"VALOR_PC vazio ou zero",IF(AND(G1189&lt;&gt;"Sim",G1189&lt;&gt;"Nao",G1189&lt;&gt;""),"PC_PAGO_A_CONTRATADA invalido",IF(AND(C1189&lt;&gt;"C0",IFERROR(INDEX(parametros!$A$2:$A$6,MATCH(C1189,parametros!$B$2:$B$6,0)),"")="Sim",IFERROR(INDEX(parametros!$H$2:$H$6,MATCH(C1189,parametros!$B$2:$B$6,0)),"")=""),"INICIO_EFEITO ausente: PC "&amp;A1189&amp;" - "&amp;C1189,IF(L1189="","EFEITO_PC nao calculado: PC "&amp;A1189&amp;" - "&amp;C1189,"OK")))))))))</f>
        <v/>
      </c>
      <c r="L1189" s="92" t="str">
        <f>IF(AND(A1189="",B1189="",D1189="",G1189=""),"",IF(OR(B1189="",NOT(ISNUMBER(B1189)),C1189="",C1189="Fora dos ciclos"),"",IF(C1189="C0","Nao",IF(IFERROR(INDEX(parametros!$A$2:$A$6,MATCH(C1189,parametros!$B$2:$B$6,0)),"")&lt;&gt;"Sim","Nao",IF(IFERROR(INDEX(parametros!$H$2:$H$6,MATCH(C1189,parametros!$B$2:$B$6,0)),"")="","",IF(B1189&gt;=IFERROR(INDEX(parametros!$H$2:$H$6,MATCH(C1189,parametros!$B$2:$B$6,0)),""),"Sim","Nao"))))))</f>
        <v/>
      </c>
      <c r="T1189" s="156"/>
      <c r="U1189" s="214" t="str">
        <f t="shared" si="96"/>
        <v/>
      </c>
      <c r="V1189" s="212" t="s">
        <v>50</v>
      </c>
      <c r="W1189" s="100" t="s">
        <v>168</v>
      </c>
      <c r="X1189" s="100" t="s">
        <v>169</v>
      </c>
      <c r="Y1189" s="101" t="s">
        <v>170</v>
      </c>
      <c r="Z1189" s="101" t="s">
        <v>171</v>
      </c>
      <c r="AA1189" s="101" t="s">
        <v>50</v>
      </c>
      <c r="AB1189" s="101" t="s">
        <v>172</v>
      </c>
      <c r="AC1189" s="102" t="s">
        <v>173</v>
      </c>
    </row>
    <row r="1190" spans="1:29" ht="25.5" customHeight="1" x14ac:dyDescent="0.35">
      <c r="A1190" s="392"/>
      <c r="B1190" s="393"/>
      <c r="C1190" s="99" t="str">
        <f>IF(B1190="","",IF(NOT(ISNUMBER(B1190)),"DATA_PC invalida",IF(NOT(ISNUMBER(parametros!$C$2)),"Fora dos ciclos",IF(OR(B1190&lt;parametros!$C$2,(YEAR(B1190)-YEAR(parametros!$C$2))*12+MONTH(B1190)-MONTH(parametros!$C$2)&gt;59),"Fora dos ciclos","C"&amp;INT(((YEAR(B1190)-YEAR(parametros!$C$2))*12+MONTH(B1190)-MONTH(parametros!$C$2))/12)))))</f>
        <v/>
      </c>
      <c r="D1190" s="394"/>
      <c r="E1190" s="78" t="str">
        <f>IF(C1190="","",IFERROR(VLOOKUP(C1190,parametros!$A$11:$E$15,5,0),""))</f>
        <v/>
      </c>
      <c r="F1190" s="79" t="str">
        <f t="shared" si="92"/>
        <v/>
      </c>
      <c r="G1190" s="395"/>
      <c r="H1190" s="91">
        <f t="shared" si="93"/>
        <v>0</v>
      </c>
      <c r="I1190" s="91" t="str">
        <f t="shared" si="94"/>
        <v/>
      </c>
      <c r="J1190" s="91" t="str">
        <f t="shared" si="95"/>
        <v/>
      </c>
      <c r="K1190" s="92" t="str">
        <f>IF(AND(A1190="",B1190="",D1190="",G1190=""),"",IF(AND(A1190&lt;&gt;"",COUNTIF($A$2:$A$5001,A1190)&gt;1),"NUMERO_PC duplicado",IF(B1190="","DATA_PC vazia",IF(NOT(ISNUMBER(B1190)),"DATA_PC invalida",IF(OR(C1190="",C1190="Fora dos ciclos"),"CICLO_PC nao identificado",IF(OR(D1190="",D1190=0),"VALOR_PC vazio ou zero",IF(AND(G1190&lt;&gt;"Sim",G1190&lt;&gt;"Nao",G1190&lt;&gt;""),"PC_PAGO_A_CONTRATADA invalido",IF(AND(C1190&lt;&gt;"C0",IFERROR(INDEX(parametros!$A$2:$A$6,MATCH(C1190,parametros!$B$2:$B$6,0)),"")="Sim",IFERROR(INDEX(parametros!$H$2:$H$6,MATCH(C1190,parametros!$B$2:$B$6,0)),"")=""),"INICIO_EFEITO ausente: PC "&amp;A1190&amp;" - "&amp;C1190,IF(L1190="","EFEITO_PC nao calculado: PC "&amp;A1190&amp;" - "&amp;C1190,"OK")))))))))</f>
        <v/>
      </c>
      <c r="L1190" s="92" t="str">
        <f>IF(AND(A1190="",B1190="",D1190="",G1190=""),"",IF(OR(B1190="",NOT(ISNUMBER(B1190)),C1190="",C1190="Fora dos ciclos"),"",IF(C1190="C0","Nao",IF(IFERROR(INDEX(parametros!$A$2:$A$6,MATCH(C1190,parametros!$B$2:$B$6,0)),"")&lt;&gt;"Sim","Nao",IF(IFERROR(INDEX(parametros!$H$2:$H$6,MATCH(C1190,parametros!$B$2:$B$6,0)),"")="","",IF(B1190&gt;=IFERROR(INDEX(parametros!$H$2:$H$6,MATCH(C1190,parametros!$B$2:$B$6,0)),""),"Sim","Nao"))))))</f>
        <v/>
      </c>
      <c r="T1190" s="156"/>
      <c r="U1190" s="214" t="str">
        <f t="shared" si="96"/>
        <v/>
      </c>
      <c r="V1190" s="212" t="s">
        <v>50</v>
      </c>
      <c r="W1190" s="100" t="s">
        <v>168</v>
      </c>
      <c r="X1190" s="100" t="s">
        <v>169</v>
      </c>
      <c r="Y1190" s="101" t="s">
        <v>170</v>
      </c>
      <c r="Z1190" s="101" t="s">
        <v>171</v>
      </c>
      <c r="AA1190" s="101" t="s">
        <v>50</v>
      </c>
      <c r="AB1190" s="101" t="s">
        <v>172</v>
      </c>
      <c r="AC1190" s="102" t="s">
        <v>173</v>
      </c>
    </row>
    <row r="1191" spans="1:29" ht="25.5" customHeight="1" x14ac:dyDescent="0.35">
      <c r="A1191" s="392"/>
      <c r="B1191" s="393"/>
      <c r="C1191" s="99" t="str">
        <f>IF(B1191="","",IF(NOT(ISNUMBER(B1191)),"DATA_PC invalida",IF(NOT(ISNUMBER(parametros!$C$2)),"Fora dos ciclos",IF(OR(B1191&lt;parametros!$C$2,(YEAR(B1191)-YEAR(parametros!$C$2))*12+MONTH(B1191)-MONTH(parametros!$C$2)&gt;59),"Fora dos ciclos","C"&amp;INT(((YEAR(B1191)-YEAR(parametros!$C$2))*12+MONTH(B1191)-MONTH(parametros!$C$2))/12)))))</f>
        <v/>
      </c>
      <c r="D1191" s="394"/>
      <c r="E1191" s="78" t="str">
        <f>IF(C1191="","",IFERROR(VLOOKUP(C1191,parametros!$A$11:$E$15,5,0),""))</f>
        <v/>
      </c>
      <c r="F1191" s="79" t="str">
        <f t="shared" si="92"/>
        <v/>
      </c>
      <c r="G1191" s="395"/>
      <c r="H1191" s="91">
        <f t="shared" si="93"/>
        <v>0</v>
      </c>
      <c r="I1191" s="91" t="str">
        <f t="shared" si="94"/>
        <v/>
      </c>
      <c r="J1191" s="91" t="str">
        <f t="shared" si="95"/>
        <v/>
      </c>
      <c r="K1191" s="92" t="str">
        <f>IF(AND(A1191="",B1191="",D1191="",G1191=""),"",IF(AND(A1191&lt;&gt;"",COUNTIF($A$2:$A$5001,A1191)&gt;1),"NUMERO_PC duplicado",IF(B1191="","DATA_PC vazia",IF(NOT(ISNUMBER(B1191)),"DATA_PC invalida",IF(OR(C1191="",C1191="Fora dos ciclos"),"CICLO_PC nao identificado",IF(OR(D1191="",D1191=0),"VALOR_PC vazio ou zero",IF(AND(G1191&lt;&gt;"Sim",G1191&lt;&gt;"Nao",G1191&lt;&gt;""),"PC_PAGO_A_CONTRATADA invalido",IF(AND(C1191&lt;&gt;"C0",IFERROR(INDEX(parametros!$A$2:$A$6,MATCH(C1191,parametros!$B$2:$B$6,0)),"")="Sim",IFERROR(INDEX(parametros!$H$2:$H$6,MATCH(C1191,parametros!$B$2:$B$6,0)),"")=""),"INICIO_EFEITO ausente: PC "&amp;A1191&amp;" - "&amp;C1191,IF(L1191="","EFEITO_PC nao calculado: PC "&amp;A1191&amp;" - "&amp;C1191,"OK")))))))))</f>
        <v/>
      </c>
      <c r="L1191" s="92" t="str">
        <f>IF(AND(A1191="",B1191="",D1191="",G1191=""),"",IF(OR(B1191="",NOT(ISNUMBER(B1191)),C1191="",C1191="Fora dos ciclos"),"",IF(C1191="C0","Nao",IF(IFERROR(INDEX(parametros!$A$2:$A$6,MATCH(C1191,parametros!$B$2:$B$6,0)),"")&lt;&gt;"Sim","Nao",IF(IFERROR(INDEX(parametros!$H$2:$H$6,MATCH(C1191,parametros!$B$2:$B$6,0)),"")="","",IF(B1191&gt;=IFERROR(INDEX(parametros!$H$2:$H$6,MATCH(C1191,parametros!$B$2:$B$6,0)),""),"Sim","Nao"))))))</f>
        <v/>
      </c>
      <c r="T1191" s="156"/>
      <c r="U1191" s="214" t="str">
        <f t="shared" si="96"/>
        <v/>
      </c>
      <c r="V1191" s="212" t="s">
        <v>50</v>
      </c>
      <c r="W1191" s="100" t="s">
        <v>168</v>
      </c>
      <c r="X1191" s="100" t="s">
        <v>169</v>
      </c>
      <c r="Y1191" s="101" t="s">
        <v>170</v>
      </c>
      <c r="Z1191" s="101" t="s">
        <v>171</v>
      </c>
      <c r="AA1191" s="101" t="s">
        <v>50</v>
      </c>
      <c r="AB1191" s="101" t="s">
        <v>172</v>
      </c>
      <c r="AC1191" s="102" t="s">
        <v>173</v>
      </c>
    </row>
    <row r="1192" spans="1:29" ht="25.5" customHeight="1" x14ac:dyDescent="0.35">
      <c r="A1192" s="392"/>
      <c r="B1192" s="393"/>
      <c r="C1192" s="99" t="str">
        <f>IF(B1192="","",IF(NOT(ISNUMBER(B1192)),"DATA_PC invalida",IF(NOT(ISNUMBER(parametros!$C$2)),"Fora dos ciclos",IF(OR(B1192&lt;parametros!$C$2,(YEAR(B1192)-YEAR(parametros!$C$2))*12+MONTH(B1192)-MONTH(parametros!$C$2)&gt;59),"Fora dos ciclos","C"&amp;INT(((YEAR(B1192)-YEAR(parametros!$C$2))*12+MONTH(B1192)-MONTH(parametros!$C$2))/12)))))</f>
        <v/>
      </c>
      <c r="D1192" s="394"/>
      <c r="E1192" s="78" t="str">
        <f>IF(C1192="","",IFERROR(VLOOKUP(C1192,parametros!$A$11:$E$15,5,0),""))</f>
        <v/>
      </c>
      <c r="F1192" s="79" t="str">
        <f t="shared" si="92"/>
        <v/>
      </c>
      <c r="G1192" s="395"/>
      <c r="H1192" s="91">
        <f t="shared" si="93"/>
        <v>0</v>
      </c>
      <c r="I1192" s="91" t="str">
        <f t="shared" si="94"/>
        <v/>
      </c>
      <c r="J1192" s="91" t="str">
        <f t="shared" si="95"/>
        <v/>
      </c>
      <c r="K1192" s="92" t="str">
        <f>IF(AND(A1192="",B1192="",D1192="",G1192=""),"",IF(AND(A1192&lt;&gt;"",COUNTIF($A$2:$A$5001,A1192)&gt;1),"NUMERO_PC duplicado",IF(B1192="","DATA_PC vazia",IF(NOT(ISNUMBER(B1192)),"DATA_PC invalida",IF(OR(C1192="",C1192="Fora dos ciclos"),"CICLO_PC nao identificado",IF(OR(D1192="",D1192=0),"VALOR_PC vazio ou zero",IF(AND(G1192&lt;&gt;"Sim",G1192&lt;&gt;"Nao",G1192&lt;&gt;""),"PC_PAGO_A_CONTRATADA invalido",IF(AND(C1192&lt;&gt;"C0",IFERROR(INDEX(parametros!$A$2:$A$6,MATCH(C1192,parametros!$B$2:$B$6,0)),"")="Sim",IFERROR(INDEX(parametros!$H$2:$H$6,MATCH(C1192,parametros!$B$2:$B$6,0)),"")=""),"INICIO_EFEITO ausente: PC "&amp;A1192&amp;" - "&amp;C1192,IF(L1192="","EFEITO_PC nao calculado: PC "&amp;A1192&amp;" - "&amp;C1192,"OK")))))))))</f>
        <v/>
      </c>
      <c r="L1192" s="92" t="str">
        <f>IF(AND(A1192="",B1192="",D1192="",G1192=""),"",IF(OR(B1192="",NOT(ISNUMBER(B1192)),C1192="",C1192="Fora dos ciclos"),"",IF(C1192="C0","Nao",IF(IFERROR(INDEX(parametros!$A$2:$A$6,MATCH(C1192,parametros!$B$2:$B$6,0)),"")&lt;&gt;"Sim","Nao",IF(IFERROR(INDEX(parametros!$H$2:$H$6,MATCH(C1192,parametros!$B$2:$B$6,0)),"")="","",IF(B1192&gt;=IFERROR(INDEX(parametros!$H$2:$H$6,MATCH(C1192,parametros!$B$2:$B$6,0)),""),"Sim","Nao"))))))</f>
        <v/>
      </c>
      <c r="T1192" s="156"/>
      <c r="U1192" s="214" t="str">
        <f t="shared" si="96"/>
        <v/>
      </c>
      <c r="V1192" s="212" t="s">
        <v>50</v>
      </c>
      <c r="W1192" s="100" t="s">
        <v>168</v>
      </c>
      <c r="X1192" s="100" t="s">
        <v>169</v>
      </c>
      <c r="Y1192" s="101" t="s">
        <v>170</v>
      </c>
      <c r="Z1192" s="101" t="s">
        <v>171</v>
      </c>
      <c r="AA1192" s="101" t="s">
        <v>50</v>
      </c>
      <c r="AB1192" s="101" t="s">
        <v>172</v>
      </c>
      <c r="AC1192" s="102" t="s">
        <v>173</v>
      </c>
    </row>
    <row r="1193" spans="1:29" ht="25.5" customHeight="1" x14ac:dyDescent="0.35">
      <c r="A1193" s="392"/>
      <c r="B1193" s="393"/>
      <c r="C1193" s="99" t="str">
        <f>IF(B1193="","",IF(NOT(ISNUMBER(B1193)),"DATA_PC invalida",IF(NOT(ISNUMBER(parametros!$C$2)),"Fora dos ciclos",IF(OR(B1193&lt;parametros!$C$2,(YEAR(B1193)-YEAR(parametros!$C$2))*12+MONTH(B1193)-MONTH(parametros!$C$2)&gt;59),"Fora dos ciclos","C"&amp;INT(((YEAR(B1193)-YEAR(parametros!$C$2))*12+MONTH(B1193)-MONTH(parametros!$C$2))/12)))))</f>
        <v/>
      </c>
      <c r="D1193" s="394"/>
      <c r="E1193" s="78" t="str">
        <f>IF(C1193="","",IFERROR(VLOOKUP(C1193,parametros!$A$11:$E$15,5,0),""))</f>
        <v/>
      </c>
      <c r="F1193" s="79" t="str">
        <f t="shared" si="92"/>
        <v/>
      </c>
      <c r="G1193" s="395"/>
      <c r="H1193" s="91">
        <f t="shared" si="93"/>
        <v>0</v>
      </c>
      <c r="I1193" s="91" t="str">
        <f t="shared" si="94"/>
        <v/>
      </c>
      <c r="J1193" s="91" t="str">
        <f t="shared" si="95"/>
        <v/>
      </c>
      <c r="K1193" s="92" t="str">
        <f>IF(AND(A1193="",B1193="",D1193="",G1193=""),"",IF(AND(A1193&lt;&gt;"",COUNTIF($A$2:$A$5001,A1193)&gt;1),"NUMERO_PC duplicado",IF(B1193="","DATA_PC vazia",IF(NOT(ISNUMBER(B1193)),"DATA_PC invalida",IF(OR(C1193="",C1193="Fora dos ciclos"),"CICLO_PC nao identificado",IF(OR(D1193="",D1193=0),"VALOR_PC vazio ou zero",IF(AND(G1193&lt;&gt;"Sim",G1193&lt;&gt;"Nao",G1193&lt;&gt;""),"PC_PAGO_A_CONTRATADA invalido",IF(AND(C1193&lt;&gt;"C0",IFERROR(INDEX(parametros!$A$2:$A$6,MATCH(C1193,parametros!$B$2:$B$6,0)),"")="Sim",IFERROR(INDEX(parametros!$H$2:$H$6,MATCH(C1193,parametros!$B$2:$B$6,0)),"")=""),"INICIO_EFEITO ausente: PC "&amp;A1193&amp;" - "&amp;C1193,IF(L1193="","EFEITO_PC nao calculado: PC "&amp;A1193&amp;" - "&amp;C1193,"OK")))))))))</f>
        <v/>
      </c>
      <c r="L1193" s="92" t="str">
        <f>IF(AND(A1193="",B1193="",D1193="",G1193=""),"",IF(OR(B1193="",NOT(ISNUMBER(B1193)),C1193="",C1193="Fora dos ciclos"),"",IF(C1193="C0","Nao",IF(IFERROR(INDEX(parametros!$A$2:$A$6,MATCH(C1193,parametros!$B$2:$B$6,0)),"")&lt;&gt;"Sim","Nao",IF(IFERROR(INDEX(parametros!$H$2:$H$6,MATCH(C1193,parametros!$B$2:$B$6,0)),"")="","",IF(B1193&gt;=IFERROR(INDEX(parametros!$H$2:$H$6,MATCH(C1193,parametros!$B$2:$B$6,0)),""),"Sim","Nao"))))))</f>
        <v/>
      </c>
      <c r="T1193" s="156"/>
      <c r="U1193" s="214" t="str">
        <f t="shared" si="96"/>
        <v/>
      </c>
      <c r="V1193" s="212" t="s">
        <v>50</v>
      </c>
      <c r="W1193" s="100" t="s">
        <v>168</v>
      </c>
      <c r="X1193" s="100" t="s">
        <v>169</v>
      </c>
      <c r="Y1193" s="101" t="s">
        <v>170</v>
      </c>
      <c r="Z1193" s="101" t="s">
        <v>171</v>
      </c>
      <c r="AA1193" s="101" t="s">
        <v>50</v>
      </c>
      <c r="AB1193" s="101" t="s">
        <v>172</v>
      </c>
      <c r="AC1193" s="102" t="s">
        <v>173</v>
      </c>
    </row>
    <row r="1194" spans="1:29" ht="25.5" customHeight="1" x14ac:dyDescent="0.35">
      <c r="A1194" s="392"/>
      <c r="B1194" s="393"/>
      <c r="C1194" s="99" t="str">
        <f>IF(B1194="","",IF(NOT(ISNUMBER(B1194)),"DATA_PC invalida",IF(NOT(ISNUMBER(parametros!$C$2)),"Fora dos ciclos",IF(OR(B1194&lt;parametros!$C$2,(YEAR(B1194)-YEAR(parametros!$C$2))*12+MONTH(B1194)-MONTH(parametros!$C$2)&gt;59),"Fora dos ciclos","C"&amp;INT(((YEAR(B1194)-YEAR(parametros!$C$2))*12+MONTH(B1194)-MONTH(parametros!$C$2))/12)))))</f>
        <v/>
      </c>
      <c r="D1194" s="394"/>
      <c r="E1194" s="78" t="str">
        <f>IF(C1194="","",IFERROR(VLOOKUP(C1194,parametros!$A$11:$E$15,5,0),""))</f>
        <v/>
      </c>
      <c r="F1194" s="79" t="str">
        <f t="shared" si="92"/>
        <v/>
      </c>
      <c r="G1194" s="395"/>
      <c r="H1194" s="91">
        <f t="shared" si="93"/>
        <v>0</v>
      </c>
      <c r="I1194" s="91" t="str">
        <f t="shared" si="94"/>
        <v/>
      </c>
      <c r="J1194" s="91" t="str">
        <f t="shared" si="95"/>
        <v/>
      </c>
      <c r="K1194" s="92" t="str">
        <f>IF(AND(A1194="",B1194="",D1194="",G1194=""),"",IF(AND(A1194&lt;&gt;"",COUNTIF($A$2:$A$5001,A1194)&gt;1),"NUMERO_PC duplicado",IF(B1194="","DATA_PC vazia",IF(NOT(ISNUMBER(B1194)),"DATA_PC invalida",IF(OR(C1194="",C1194="Fora dos ciclos"),"CICLO_PC nao identificado",IF(OR(D1194="",D1194=0),"VALOR_PC vazio ou zero",IF(AND(G1194&lt;&gt;"Sim",G1194&lt;&gt;"Nao",G1194&lt;&gt;""),"PC_PAGO_A_CONTRATADA invalido",IF(AND(C1194&lt;&gt;"C0",IFERROR(INDEX(parametros!$A$2:$A$6,MATCH(C1194,parametros!$B$2:$B$6,0)),"")="Sim",IFERROR(INDEX(parametros!$H$2:$H$6,MATCH(C1194,parametros!$B$2:$B$6,0)),"")=""),"INICIO_EFEITO ausente: PC "&amp;A1194&amp;" - "&amp;C1194,IF(L1194="","EFEITO_PC nao calculado: PC "&amp;A1194&amp;" - "&amp;C1194,"OK")))))))))</f>
        <v/>
      </c>
      <c r="L1194" s="92" t="str">
        <f>IF(AND(A1194="",B1194="",D1194="",G1194=""),"",IF(OR(B1194="",NOT(ISNUMBER(B1194)),C1194="",C1194="Fora dos ciclos"),"",IF(C1194="C0","Nao",IF(IFERROR(INDEX(parametros!$A$2:$A$6,MATCH(C1194,parametros!$B$2:$B$6,0)),"")&lt;&gt;"Sim","Nao",IF(IFERROR(INDEX(parametros!$H$2:$H$6,MATCH(C1194,parametros!$B$2:$B$6,0)),"")="","",IF(B1194&gt;=IFERROR(INDEX(parametros!$H$2:$H$6,MATCH(C1194,parametros!$B$2:$B$6,0)),""),"Sim","Nao"))))))</f>
        <v/>
      </c>
      <c r="T1194" s="156"/>
      <c r="U1194" s="214" t="str">
        <f t="shared" si="96"/>
        <v/>
      </c>
      <c r="V1194" s="212" t="s">
        <v>50</v>
      </c>
      <c r="W1194" s="100" t="s">
        <v>168</v>
      </c>
      <c r="X1194" s="100" t="s">
        <v>169</v>
      </c>
      <c r="Y1194" s="101" t="s">
        <v>170</v>
      </c>
      <c r="Z1194" s="101" t="s">
        <v>171</v>
      </c>
      <c r="AA1194" s="101" t="s">
        <v>50</v>
      </c>
      <c r="AB1194" s="101" t="s">
        <v>172</v>
      </c>
      <c r="AC1194" s="102" t="s">
        <v>173</v>
      </c>
    </row>
    <row r="1195" spans="1:29" ht="25.5" customHeight="1" x14ac:dyDescent="0.35">
      <c r="A1195" s="392"/>
      <c r="B1195" s="393"/>
      <c r="C1195" s="99" t="str">
        <f>IF(B1195="","",IF(NOT(ISNUMBER(B1195)),"DATA_PC invalida",IF(NOT(ISNUMBER(parametros!$C$2)),"Fora dos ciclos",IF(OR(B1195&lt;parametros!$C$2,(YEAR(B1195)-YEAR(parametros!$C$2))*12+MONTH(B1195)-MONTH(parametros!$C$2)&gt;59),"Fora dos ciclos","C"&amp;INT(((YEAR(B1195)-YEAR(parametros!$C$2))*12+MONTH(B1195)-MONTH(parametros!$C$2))/12)))))</f>
        <v/>
      </c>
      <c r="D1195" s="394"/>
      <c r="E1195" s="78" t="str">
        <f>IF(C1195="","",IFERROR(VLOOKUP(C1195,parametros!$A$11:$E$15,5,0),""))</f>
        <v/>
      </c>
      <c r="F1195" s="79" t="str">
        <f t="shared" si="92"/>
        <v/>
      </c>
      <c r="G1195" s="395"/>
      <c r="H1195" s="91">
        <f t="shared" si="93"/>
        <v>0</v>
      </c>
      <c r="I1195" s="91" t="str">
        <f t="shared" si="94"/>
        <v/>
      </c>
      <c r="J1195" s="91" t="str">
        <f t="shared" si="95"/>
        <v/>
      </c>
      <c r="K1195" s="92" t="str">
        <f>IF(AND(A1195="",B1195="",D1195="",G1195=""),"",IF(AND(A1195&lt;&gt;"",COUNTIF($A$2:$A$5001,A1195)&gt;1),"NUMERO_PC duplicado",IF(B1195="","DATA_PC vazia",IF(NOT(ISNUMBER(B1195)),"DATA_PC invalida",IF(OR(C1195="",C1195="Fora dos ciclos"),"CICLO_PC nao identificado",IF(OR(D1195="",D1195=0),"VALOR_PC vazio ou zero",IF(AND(G1195&lt;&gt;"Sim",G1195&lt;&gt;"Nao",G1195&lt;&gt;""),"PC_PAGO_A_CONTRATADA invalido",IF(AND(C1195&lt;&gt;"C0",IFERROR(INDEX(parametros!$A$2:$A$6,MATCH(C1195,parametros!$B$2:$B$6,0)),"")="Sim",IFERROR(INDEX(parametros!$H$2:$H$6,MATCH(C1195,parametros!$B$2:$B$6,0)),"")=""),"INICIO_EFEITO ausente: PC "&amp;A1195&amp;" - "&amp;C1195,IF(L1195="","EFEITO_PC nao calculado: PC "&amp;A1195&amp;" - "&amp;C1195,"OK")))))))))</f>
        <v/>
      </c>
      <c r="L1195" s="92" t="str">
        <f>IF(AND(A1195="",B1195="",D1195="",G1195=""),"",IF(OR(B1195="",NOT(ISNUMBER(B1195)),C1195="",C1195="Fora dos ciclos"),"",IF(C1195="C0","Nao",IF(IFERROR(INDEX(parametros!$A$2:$A$6,MATCH(C1195,parametros!$B$2:$B$6,0)),"")&lt;&gt;"Sim","Nao",IF(IFERROR(INDEX(parametros!$H$2:$H$6,MATCH(C1195,parametros!$B$2:$B$6,0)),"")="","",IF(B1195&gt;=IFERROR(INDEX(parametros!$H$2:$H$6,MATCH(C1195,parametros!$B$2:$B$6,0)),""),"Sim","Nao"))))))</f>
        <v/>
      </c>
      <c r="T1195" s="156"/>
      <c r="U1195" s="214" t="str">
        <f t="shared" si="96"/>
        <v/>
      </c>
      <c r="V1195" s="212" t="s">
        <v>50</v>
      </c>
      <c r="W1195" s="100" t="s">
        <v>168</v>
      </c>
      <c r="X1195" s="100" t="s">
        <v>169</v>
      </c>
      <c r="Y1195" s="101" t="s">
        <v>170</v>
      </c>
      <c r="Z1195" s="101" t="s">
        <v>171</v>
      </c>
      <c r="AA1195" s="101" t="s">
        <v>50</v>
      </c>
      <c r="AB1195" s="101" t="s">
        <v>172</v>
      </c>
      <c r="AC1195" s="102" t="s">
        <v>173</v>
      </c>
    </row>
    <row r="1196" spans="1:29" ht="25.5" customHeight="1" x14ac:dyDescent="0.35">
      <c r="A1196" s="392"/>
      <c r="B1196" s="393"/>
      <c r="C1196" s="99" t="str">
        <f>IF(B1196="","",IF(NOT(ISNUMBER(B1196)),"DATA_PC invalida",IF(NOT(ISNUMBER(parametros!$C$2)),"Fora dos ciclos",IF(OR(B1196&lt;parametros!$C$2,(YEAR(B1196)-YEAR(parametros!$C$2))*12+MONTH(B1196)-MONTH(parametros!$C$2)&gt;59),"Fora dos ciclos","C"&amp;INT(((YEAR(B1196)-YEAR(parametros!$C$2))*12+MONTH(B1196)-MONTH(parametros!$C$2))/12)))))</f>
        <v/>
      </c>
      <c r="D1196" s="394"/>
      <c r="E1196" s="78" t="str">
        <f>IF(C1196="","",IFERROR(VLOOKUP(C1196,parametros!$A$11:$E$15,5,0),""))</f>
        <v/>
      </c>
      <c r="F1196" s="79" t="str">
        <f t="shared" si="92"/>
        <v/>
      </c>
      <c r="G1196" s="395"/>
      <c r="H1196" s="91">
        <f t="shared" si="93"/>
        <v>0</v>
      </c>
      <c r="I1196" s="91" t="str">
        <f t="shared" si="94"/>
        <v/>
      </c>
      <c r="J1196" s="91" t="str">
        <f t="shared" si="95"/>
        <v/>
      </c>
      <c r="K1196" s="92" t="str">
        <f>IF(AND(A1196="",B1196="",D1196="",G1196=""),"",IF(AND(A1196&lt;&gt;"",COUNTIF($A$2:$A$5001,A1196)&gt;1),"NUMERO_PC duplicado",IF(B1196="","DATA_PC vazia",IF(NOT(ISNUMBER(B1196)),"DATA_PC invalida",IF(OR(C1196="",C1196="Fora dos ciclos"),"CICLO_PC nao identificado",IF(OR(D1196="",D1196=0),"VALOR_PC vazio ou zero",IF(AND(G1196&lt;&gt;"Sim",G1196&lt;&gt;"Nao",G1196&lt;&gt;""),"PC_PAGO_A_CONTRATADA invalido",IF(AND(C1196&lt;&gt;"C0",IFERROR(INDEX(parametros!$A$2:$A$6,MATCH(C1196,parametros!$B$2:$B$6,0)),"")="Sim",IFERROR(INDEX(parametros!$H$2:$H$6,MATCH(C1196,parametros!$B$2:$B$6,0)),"")=""),"INICIO_EFEITO ausente: PC "&amp;A1196&amp;" - "&amp;C1196,IF(L1196="","EFEITO_PC nao calculado: PC "&amp;A1196&amp;" - "&amp;C1196,"OK")))))))))</f>
        <v/>
      </c>
      <c r="L1196" s="92" t="str">
        <f>IF(AND(A1196="",B1196="",D1196="",G1196=""),"",IF(OR(B1196="",NOT(ISNUMBER(B1196)),C1196="",C1196="Fora dos ciclos"),"",IF(C1196="C0","Nao",IF(IFERROR(INDEX(parametros!$A$2:$A$6,MATCH(C1196,parametros!$B$2:$B$6,0)),"")&lt;&gt;"Sim","Nao",IF(IFERROR(INDEX(parametros!$H$2:$H$6,MATCH(C1196,parametros!$B$2:$B$6,0)),"")="","",IF(B1196&gt;=IFERROR(INDEX(parametros!$H$2:$H$6,MATCH(C1196,parametros!$B$2:$B$6,0)),""),"Sim","Nao"))))))</f>
        <v/>
      </c>
      <c r="T1196" s="156"/>
      <c r="U1196" s="214" t="str">
        <f t="shared" si="96"/>
        <v/>
      </c>
      <c r="V1196" s="212" t="s">
        <v>50</v>
      </c>
      <c r="W1196" s="100" t="s">
        <v>168</v>
      </c>
      <c r="X1196" s="100" t="s">
        <v>169</v>
      </c>
      <c r="Y1196" s="101" t="s">
        <v>170</v>
      </c>
      <c r="Z1196" s="101" t="s">
        <v>171</v>
      </c>
      <c r="AA1196" s="101" t="s">
        <v>50</v>
      </c>
      <c r="AB1196" s="101" t="s">
        <v>172</v>
      </c>
      <c r="AC1196" s="102" t="s">
        <v>173</v>
      </c>
    </row>
    <row r="1197" spans="1:29" ht="25.5" customHeight="1" x14ac:dyDescent="0.35">
      <c r="A1197" s="392"/>
      <c r="B1197" s="393"/>
      <c r="C1197" s="99" t="str">
        <f>IF(B1197="","",IF(NOT(ISNUMBER(B1197)),"DATA_PC invalida",IF(NOT(ISNUMBER(parametros!$C$2)),"Fora dos ciclos",IF(OR(B1197&lt;parametros!$C$2,(YEAR(B1197)-YEAR(parametros!$C$2))*12+MONTH(B1197)-MONTH(parametros!$C$2)&gt;59),"Fora dos ciclos","C"&amp;INT(((YEAR(B1197)-YEAR(parametros!$C$2))*12+MONTH(B1197)-MONTH(parametros!$C$2))/12)))))</f>
        <v/>
      </c>
      <c r="D1197" s="394"/>
      <c r="E1197" s="78" t="str">
        <f>IF(C1197="","",IFERROR(VLOOKUP(C1197,parametros!$A$11:$E$15,5,0),""))</f>
        <v/>
      </c>
      <c r="F1197" s="79" t="str">
        <f t="shared" si="92"/>
        <v/>
      </c>
      <c r="G1197" s="395"/>
      <c r="H1197" s="91">
        <f t="shared" si="93"/>
        <v>0</v>
      </c>
      <c r="I1197" s="91" t="str">
        <f t="shared" si="94"/>
        <v/>
      </c>
      <c r="J1197" s="91" t="str">
        <f t="shared" si="95"/>
        <v/>
      </c>
      <c r="K1197" s="92" t="str">
        <f>IF(AND(A1197="",B1197="",D1197="",G1197=""),"",IF(AND(A1197&lt;&gt;"",COUNTIF($A$2:$A$5001,A1197)&gt;1),"NUMERO_PC duplicado",IF(B1197="","DATA_PC vazia",IF(NOT(ISNUMBER(B1197)),"DATA_PC invalida",IF(OR(C1197="",C1197="Fora dos ciclos"),"CICLO_PC nao identificado",IF(OR(D1197="",D1197=0),"VALOR_PC vazio ou zero",IF(AND(G1197&lt;&gt;"Sim",G1197&lt;&gt;"Nao",G1197&lt;&gt;""),"PC_PAGO_A_CONTRATADA invalido",IF(AND(C1197&lt;&gt;"C0",IFERROR(INDEX(parametros!$A$2:$A$6,MATCH(C1197,parametros!$B$2:$B$6,0)),"")="Sim",IFERROR(INDEX(parametros!$H$2:$H$6,MATCH(C1197,parametros!$B$2:$B$6,0)),"")=""),"INICIO_EFEITO ausente: PC "&amp;A1197&amp;" - "&amp;C1197,IF(L1197="","EFEITO_PC nao calculado: PC "&amp;A1197&amp;" - "&amp;C1197,"OK")))))))))</f>
        <v/>
      </c>
      <c r="L1197" s="92" t="str">
        <f>IF(AND(A1197="",B1197="",D1197="",G1197=""),"",IF(OR(B1197="",NOT(ISNUMBER(B1197)),C1197="",C1197="Fora dos ciclos"),"",IF(C1197="C0","Nao",IF(IFERROR(INDEX(parametros!$A$2:$A$6,MATCH(C1197,parametros!$B$2:$B$6,0)),"")&lt;&gt;"Sim","Nao",IF(IFERROR(INDEX(parametros!$H$2:$H$6,MATCH(C1197,parametros!$B$2:$B$6,0)),"")="","",IF(B1197&gt;=IFERROR(INDEX(parametros!$H$2:$H$6,MATCH(C1197,parametros!$B$2:$B$6,0)),""),"Sim","Nao"))))))</f>
        <v/>
      </c>
      <c r="T1197" s="156"/>
      <c r="U1197" s="214" t="str">
        <f t="shared" si="96"/>
        <v/>
      </c>
      <c r="V1197" s="212" t="s">
        <v>50</v>
      </c>
      <c r="W1197" s="100" t="s">
        <v>168</v>
      </c>
      <c r="X1197" s="100" t="s">
        <v>169</v>
      </c>
      <c r="Y1197" s="101" t="s">
        <v>170</v>
      </c>
      <c r="Z1197" s="101" t="s">
        <v>171</v>
      </c>
      <c r="AA1197" s="101" t="s">
        <v>50</v>
      </c>
      <c r="AB1197" s="101" t="s">
        <v>172</v>
      </c>
      <c r="AC1197" s="102" t="s">
        <v>173</v>
      </c>
    </row>
    <row r="1198" spans="1:29" ht="25.5" customHeight="1" x14ac:dyDescent="0.35">
      <c r="A1198" s="392"/>
      <c r="B1198" s="393"/>
      <c r="C1198" s="99" t="str">
        <f>IF(B1198="","",IF(NOT(ISNUMBER(B1198)),"DATA_PC invalida",IF(NOT(ISNUMBER(parametros!$C$2)),"Fora dos ciclos",IF(OR(B1198&lt;parametros!$C$2,(YEAR(B1198)-YEAR(parametros!$C$2))*12+MONTH(B1198)-MONTH(parametros!$C$2)&gt;59),"Fora dos ciclos","C"&amp;INT(((YEAR(B1198)-YEAR(parametros!$C$2))*12+MONTH(B1198)-MONTH(parametros!$C$2))/12)))))</f>
        <v/>
      </c>
      <c r="D1198" s="394"/>
      <c r="E1198" s="78" t="str">
        <f>IF(C1198="","",IFERROR(VLOOKUP(C1198,parametros!$A$11:$E$15,5,0),""))</f>
        <v/>
      </c>
      <c r="F1198" s="79" t="str">
        <f t="shared" si="92"/>
        <v/>
      </c>
      <c r="G1198" s="395"/>
      <c r="H1198" s="91">
        <f t="shared" si="93"/>
        <v>0</v>
      </c>
      <c r="I1198" s="91" t="str">
        <f t="shared" si="94"/>
        <v/>
      </c>
      <c r="J1198" s="91" t="str">
        <f t="shared" si="95"/>
        <v/>
      </c>
      <c r="K1198" s="92" t="str">
        <f>IF(AND(A1198="",B1198="",D1198="",G1198=""),"",IF(AND(A1198&lt;&gt;"",COUNTIF($A$2:$A$5001,A1198)&gt;1),"NUMERO_PC duplicado",IF(B1198="","DATA_PC vazia",IF(NOT(ISNUMBER(B1198)),"DATA_PC invalida",IF(OR(C1198="",C1198="Fora dos ciclos"),"CICLO_PC nao identificado",IF(OR(D1198="",D1198=0),"VALOR_PC vazio ou zero",IF(AND(G1198&lt;&gt;"Sim",G1198&lt;&gt;"Nao",G1198&lt;&gt;""),"PC_PAGO_A_CONTRATADA invalido",IF(AND(C1198&lt;&gt;"C0",IFERROR(INDEX(parametros!$A$2:$A$6,MATCH(C1198,parametros!$B$2:$B$6,0)),"")="Sim",IFERROR(INDEX(parametros!$H$2:$H$6,MATCH(C1198,parametros!$B$2:$B$6,0)),"")=""),"INICIO_EFEITO ausente: PC "&amp;A1198&amp;" - "&amp;C1198,IF(L1198="","EFEITO_PC nao calculado: PC "&amp;A1198&amp;" - "&amp;C1198,"OK")))))))))</f>
        <v/>
      </c>
      <c r="L1198" s="92" t="str">
        <f>IF(AND(A1198="",B1198="",D1198="",G1198=""),"",IF(OR(B1198="",NOT(ISNUMBER(B1198)),C1198="",C1198="Fora dos ciclos"),"",IF(C1198="C0","Nao",IF(IFERROR(INDEX(parametros!$A$2:$A$6,MATCH(C1198,parametros!$B$2:$B$6,0)),"")&lt;&gt;"Sim","Nao",IF(IFERROR(INDEX(parametros!$H$2:$H$6,MATCH(C1198,parametros!$B$2:$B$6,0)),"")="","",IF(B1198&gt;=IFERROR(INDEX(parametros!$H$2:$H$6,MATCH(C1198,parametros!$B$2:$B$6,0)),""),"Sim","Nao"))))))</f>
        <v/>
      </c>
      <c r="T1198" s="156"/>
      <c r="U1198" s="214" t="str">
        <f t="shared" si="96"/>
        <v/>
      </c>
      <c r="V1198" s="212" t="s">
        <v>50</v>
      </c>
      <c r="W1198" s="100" t="s">
        <v>168</v>
      </c>
      <c r="X1198" s="100" t="s">
        <v>169</v>
      </c>
      <c r="Y1198" s="101" t="s">
        <v>170</v>
      </c>
      <c r="Z1198" s="101" t="s">
        <v>171</v>
      </c>
      <c r="AA1198" s="101" t="s">
        <v>50</v>
      </c>
      <c r="AB1198" s="101" t="s">
        <v>172</v>
      </c>
      <c r="AC1198" s="102" t="s">
        <v>173</v>
      </c>
    </row>
    <row r="1199" spans="1:29" ht="25.5" customHeight="1" x14ac:dyDescent="0.35">
      <c r="A1199" s="392"/>
      <c r="B1199" s="393"/>
      <c r="C1199" s="99" t="str">
        <f>IF(B1199="","",IF(NOT(ISNUMBER(B1199)),"DATA_PC invalida",IF(NOT(ISNUMBER(parametros!$C$2)),"Fora dos ciclos",IF(OR(B1199&lt;parametros!$C$2,(YEAR(B1199)-YEAR(parametros!$C$2))*12+MONTH(B1199)-MONTH(parametros!$C$2)&gt;59),"Fora dos ciclos","C"&amp;INT(((YEAR(B1199)-YEAR(parametros!$C$2))*12+MONTH(B1199)-MONTH(parametros!$C$2))/12)))))</f>
        <v/>
      </c>
      <c r="D1199" s="394"/>
      <c r="E1199" s="78" t="str">
        <f>IF(C1199="","",IFERROR(VLOOKUP(C1199,parametros!$A$11:$E$15,5,0),""))</f>
        <v/>
      </c>
      <c r="F1199" s="79" t="str">
        <f t="shared" si="92"/>
        <v/>
      </c>
      <c r="G1199" s="395"/>
      <c r="H1199" s="91">
        <f t="shared" si="93"/>
        <v>0</v>
      </c>
      <c r="I1199" s="91" t="str">
        <f t="shared" si="94"/>
        <v/>
      </c>
      <c r="J1199" s="91" t="str">
        <f t="shared" si="95"/>
        <v/>
      </c>
      <c r="K1199" s="92" t="str">
        <f>IF(AND(A1199="",B1199="",D1199="",G1199=""),"",IF(AND(A1199&lt;&gt;"",COUNTIF($A$2:$A$5001,A1199)&gt;1),"NUMERO_PC duplicado",IF(B1199="","DATA_PC vazia",IF(NOT(ISNUMBER(B1199)),"DATA_PC invalida",IF(OR(C1199="",C1199="Fora dos ciclos"),"CICLO_PC nao identificado",IF(OR(D1199="",D1199=0),"VALOR_PC vazio ou zero",IF(AND(G1199&lt;&gt;"Sim",G1199&lt;&gt;"Nao",G1199&lt;&gt;""),"PC_PAGO_A_CONTRATADA invalido",IF(AND(C1199&lt;&gt;"C0",IFERROR(INDEX(parametros!$A$2:$A$6,MATCH(C1199,parametros!$B$2:$B$6,0)),"")="Sim",IFERROR(INDEX(parametros!$H$2:$H$6,MATCH(C1199,parametros!$B$2:$B$6,0)),"")=""),"INICIO_EFEITO ausente: PC "&amp;A1199&amp;" - "&amp;C1199,IF(L1199="","EFEITO_PC nao calculado: PC "&amp;A1199&amp;" - "&amp;C1199,"OK")))))))))</f>
        <v/>
      </c>
      <c r="L1199" s="92" t="str">
        <f>IF(AND(A1199="",B1199="",D1199="",G1199=""),"",IF(OR(B1199="",NOT(ISNUMBER(B1199)),C1199="",C1199="Fora dos ciclos"),"",IF(C1199="C0","Nao",IF(IFERROR(INDEX(parametros!$A$2:$A$6,MATCH(C1199,parametros!$B$2:$B$6,0)),"")&lt;&gt;"Sim","Nao",IF(IFERROR(INDEX(parametros!$H$2:$H$6,MATCH(C1199,parametros!$B$2:$B$6,0)),"")="","",IF(B1199&gt;=IFERROR(INDEX(parametros!$H$2:$H$6,MATCH(C1199,parametros!$B$2:$B$6,0)),""),"Sim","Nao"))))))</f>
        <v/>
      </c>
      <c r="T1199" s="156"/>
      <c r="U1199" s="214" t="str">
        <f t="shared" si="96"/>
        <v/>
      </c>
      <c r="V1199" s="212" t="s">
        <v>50</v>
      </c>
      <c r="W1199" s="100" t="s">
        <v>168</v>
      </c>
      <c r="X1199" s="100" t="s">
        <v>169</v>
      </c>
      <c r="Y1199" s="101" t="s">
        <v>170</v>
      </c>
      <c r="Z1199" s="101" t="s">
        <v>171</v>
      </c>
      <c r="AA1199" s="101" t="s">
        <v>50</v>
      </c>
      <c r="AB1199" s="101" t="s">
        <v>172</v>
      </c>
      <c r="AC1199" s="102" t="s">
        <v>173</v>
      </c>
    </row>
    <row r="1200" spans="1:29" ht="25.5" customHeight="1" x14ac:dyDescent="0.35">
      <c r="A1200" s="392"/>
      <c r="B1200" s="393"/>
      <c r="C1200" s="99" t="str">
        <f>IF(B1200="","",IF(NOT(ISNUMBER(B1200)),"DATA_PC invalida",IF(NOT(ISNUMBER(parametros!$C$2)),"Fora dos ciclos",IF(OR(B1200&lt;parametros!$C$2,(YEAR(B1200)-YEAR(parametros!$C$2))*12+MONTH(B1200)-MONTH(parametros!$C$2)&gt;59),"Fora dos ciclos","C"&amp;INT(((YEAR(B1200)-YEAR(parametros!$C$2))*12+MONTH(B1200)-MONTH(parametros!$C$2))/12)))))</f>
        <v/>
      </c>
      <c r="D1200" s="394"/>
      <c r="E1200" s="78" t="str">
        <f>IF(C1200="","",IFERROR(VLOOKUP(C1200,parametros!$A$11:$E$15,5,0),""))</f>
        <v/>
      </c>
      <c r="F1200" s="79" t="str">
        <f t="shared" si="92"/>
        <v/>
      </c>
      <c r="G1200" s="395"/>
      <c r="H1200" s="91">
        <f t="shared" si="93"/>
        <v>0</v>
      </c>
      <c r="I1200" s="91" t="str">
        <f t="shared" si="94"/>
        <v/>
      </c>
      <c r="J1200" s="91" t="str">
        <f t="shared" si="95"/>
        <v/>
      </c>
      <c r="K1200" s="92" t="str">
        <f>IF(AND(A1200="",B1200="",D1200="",G1200=""),"",IF(AND(A1200&lt;&gt;"",COUNTIF($A$2:$A$5001,A1200)&gt;1),"NUMERO_PC duplicado",IF(B1200="","DATA_PC vazia",IF(NOT(ISNUMBER(B1200)),"DATA_PC invalida",IF(OR(C1200="",C1200="Fora dos ciclos"),"CICLO_PC nao identificado",IF(OR(D1200="",D1200=0),"VALOR_PC vazio ou zero",IF(AND(G1200&lt;&gt;"Sim",G1200&lt;&gt;"Nao",G1200&lt;&gt;""),"PC_PAGO_A_CONTRATADA invalido",IF(AND(C1200&lt;&gt;"C0",IFERROR(INDEX(parametros!$A$2:$A$6,MATCH(C1200,parametros!$B$2:$B$6,0)),"")="Sim",IFERROR(INDEX(parametros!$H$2:$H$6,MATCH(C1200,parametros!$B$2:$B$6,0)),"")=""),"INICIO_EFEITO ausente: PC "&amp;A1200&amp;" - "&amp;C1200,IF(L1200="","EFEITO_PC nao calculado: PC "&amp;A1200&amp;" - "&amp;C1200,"OK")))))))))</f>
        <v/>
      </c>
      <c r="L1200" s="92" t="str">
        <f>IF(AND(A1200="",B1200="",D1200="",G1200=""),"",IF(OR(B1200="",NOT(ISNUMBER(B1200)),C1200="",C1200="Fora dos ciclos"),"",IF(C1200="C0","Nao",IF(IFERROR(INDEX(parametros!$A$2:$A$6,MATCH(C1200,parametros!$B$2:$B$6,0)),"")&lt;&gt;"Sim","Nao",IF(IFERROR(INDEX(parametros!$H$2:$H$6,MATCH(C1200,parametros!$B$2:$B$6,0)),"")="","",IF(B1200&gt;=IFERROR(INDEX(parametros!$H$2:$H$6,MATCH(C1200,parametros!$B$2:$B$6,0)),""),"Sim","Nao"))))))</f>
        <v/>
      </c>
      <c r="T1200" s="156"/>
      <c r="U1200" s="214" t="str">
        <f t="shared" si="96"/>
        <v/>
      </c>
      <c r="V1200" s="212" t="s">
        <v>50</v>
      </c>
      <c r="W1200" s="100" t="s">
        <v>168</v>
      </c>
      <c r="X1200" s="100" t="s">
        <v>169</v>
      </c>
      <c r="Y1200" s="101" t="s">
        <v>170</v>
      </c>
      <c r="Z1200" s="101" t="s">
        <v>171</v>
      </c>
      <c r="AA1200" s="101" t="s">
        <v>50</v>
      </c>
      <c r="AB1200" s="101" t="s">
        <v>172</v>
      </c>
      <c r="AC1200" s="102" t="s">
        <v>173</v>
      </c>
    </row>
    <row r="1201" spans="1:29" ht="25.5" customHeight="1" x14ac:dyDescent="0.35">
      <c r="A1201" s="392"/>
      <c r="B1201" s="393"/>
      <c r="C1201" s="99" t="str">
        <f>IF(B1201="","",IF(NOT(ISNUMBER(B1201)),"DATA_PC invalida",IF(NOT(ISNUMBER(parametros!$C$2)),"Fora dos ciclos",IF(OR(B1201&lt;parametros!$C$2,(YEAR(B1201)-YEAR(parametros!$C$2))*12+MONTH(B1201)-MONTH(parametros!$C$2)&gt;59),"Fora dos ciclos","C"&amp;INT(((YEAR(B1201)-YEAR(parametros!$C$2))*12+MONTH(B1201)-MONTH(parametros!$C$2))/12)))))</f>
        <v/>
      </c>
      <c r="D1201" s="394"/>
      <c r="E1201" s="78" t="str">
        <f>IF(C1201="","",IFERROR(VLOOKUP(C1201,parametros!$A$11:$E$15,5,0),""))</f>
        <v/>
      </c>
      <c r="F1201" s="79" t="str">
        <f t="shared" si="92"/>
        <v/>
      </c>
      <c r="G1201" s="395"/>
      <c r="H1201" s="91">
        <f t="shared" si="93"/>
        <v>0</v>
      </c>
      <c r="I1201" s="91" t="str">
        <f t="shared" si="94"/>
        <v/>
      </c>
      <c r="J1201" s="91" t="str">
        <f t="shared" si="95"/>
        <v/>
      </c>
      <c r="K1201" s="92" t="str">
        <f>IF(AND(A1201="",B1201="",D1201="",G1201=""),"",IF(AND(A1201&lt;&gt;"",COUNTIF($A$2:$A$5001,A1201)&gt;1),"NUMERO_PC duplicado",IF(B1201="","DATA_PC vazia",IF(NOT(ISNUMBER(B1201)),"DATA_PC invalida",IF(OR(C1201="",C1201="Fora dos ciclos"),"CICLO_PC nao identificado",IF(OR(D1201="",D1201=0),"VALOR_PC vazio ou zero",IF(AND(G1201&lt;&gt;"Sim",G1201&lt;&gt;"Nao",G1201&lt;&gt;""),"PC_PAGO_A_CONTRATADA invalido",IF(AND(C1201&lt;&gt;"C0",IFERROR(INDEX(parametros!$A$2:$A$6,MATCH(C1201,parametros!$B$2:$B$6,0)),"")="Sim",IFERROR(INDEX(parametros!$H$2:$H$6,MATCH(C1201,parametros!$B$2:$B$6,0)),"")=""),"INICIO_EFEITO ausente: PC "&amp;A1201&amp;" - "&amp;C1201,IF(L1201="","EFEITO_PC nao calculado: PC "&amp;A1201&amp;" - "&amp;C1201,"OK")))))))))</f>
        <v/>
      </c>
      <c r="L1201" s="92" t="str">
        <f>IF(AND(A1201="",B1201="",D1201="",G1201=""),"",IF(OR(B1201="",NOT(ISNUMBER(B1201)),C1201="",C1201="Fora dos ciclos"),"",IF(C1201="C0","Nao",IF(IFERROR(INDEX(parametros!$A$2:$A$6,MATCH(C1201,parametros!$B$2:$B$6,0)),"")&lt;&gt;"Sim","Nao",IF(IFERROR(INDEX(parametros!$H$2:$H$6,MATCH(C1201,parametros!$B$2:$B$6,0)),"")="","",IF(B1201&gt;=IFERROR(INDEX(parametros!$H$2:$H$6,MATCH(C1201,parametros!$B$2:$B$6,0)),""),"Sim","Nao"))))))</f>
        <v/>
      </c>
      <c r="T1201" s="156"/>
      <c r="U1201" s="214" t="str">
        <f t="shared" si="96"/>
        <v/>
      </c>
      <c r="V1201" s="212" t="s">
        <v>50</v>
      </c>
      <c r="W1201" s="100" t="s">
        <v>168</v>
      </c>
      <c r="X1201" s="100" t="s">
        <v>169</v>
      </c>
      <c r="Y1201" s="101" t="s">
        <v>170</v>
      </c>
      <c r="Z1201" s="101" t="s">
        <v>171</v>
      </c>
      <c r="AA1201" s="101" t="s">
        <v>50</v>
      </c>
      <c r="AB1201" s="101" t="s">
        <v>172</v>
      </c>
      <c r="AC1201" s="102" t="s">
        <v>173</v>
      </c>
    </row>
    <row r="1202" spans="1:29" ht="25.5" customHeight="1" x14ac:dyDescent="0.35">
      <c r="A1202" s="392"/>
      <c r="B1202" s="393"/>
      <c r="C1202" s="99" t="str">
        <f>IF(B1202="","",IF(NOT(ISNUMBER(B1202)),"DATA_PC invalida",IF(NOT(ISNUMBER(parametros!$C$2)),"Fora dos ciclos",IF(OR(B1202&lt;parametros!$C$2,(YEAR(B1202)-YEAR(parametros!$C$2))*12+MONTH(B1202)-MONTH(parametros!$C$2)&gt;59),"Fora dos ciclos","C"&amp;INT(((YEAR(B1202)-YEAR(parametros!$C$2))*12+MONTH(B1202)-MONTH(parametros!$C$2))/12)))))</f>
        <v/>
      </c>
      <c r="D1202" s="394"/>
      <c r="E1202" s="78" t="str">
        <f>IF(C1202="","",IFERROR(VLOOKUP(C1202,parametros!$A$11:$E$15,5,0),""))</f>
        <v/>
      </c>
      <c r="F1202" s="79" t="str">
        <f t="shared" si="92"/>
        <v/>
      </c>
      <c r="G1202" s="395"/>
      <c r="H1202" s="91">
        <f t="shared" si="93"/>
        <v>0</v>
      </c>
      <c r="I1202" s="91" t="str">
        <f t="shared" si="94"/>
        <v/>
      </c>
      <c r="J1202" s="91" t="str">
        <f t="shared" si="95"/>
        <v/>
      </c>
      <c r="K1202" s="92" t="str">
        <f>IF(AND(A1202="",B1202="",D1202="",G1202=""),"",IF(AND(A1202&lt;&gt;"",COUNTIF($A$2:$A$5001,A1202)&gt;1),"NUMERO_PC duplicado",IF(B1202="","DATA_PC vazia",IF(NOT(ISNUMBER(B1202)),"DATA_PC invalida",IF(OR(C1202="",C1202="Fora dos ciclos"),"CICLO_PC nao identificado",IF(OR(D1202="",D1202=0),"VALOR_PC vazio ou zero",IF(AND(G1202&lt;&gt;"Sim",G1202&lt;&gt;"Nao",G1202&lt;&gt;""),"PC_PAGO_A_CONTRATADA invalido",IF(AND(C1202&lt;&gt;"C0",IFERROR(INDEX(parametros!$A$2:$A$6,MATCH(C1202,parametros!$B$2:$B$6,0)),"")="Sim",IFERROR(INDEX(parametros!$H$2:$H$6,MATCH(C1202,parametros!$B$2:$B$6,0)),"")=""),"INICIO_EFEITO ausente: PC "&amp;A1202&amp;" - "&amp;C1202,IF(L1202="","EFEITO_PC nao calculado: PC "&amp;A1202&amp;" - "&amp;C1202,"OK")))))))))</f>
        <v/>
      </c>
      <c r="L1202" s="92" t="str">
        <f>IF(AND(A1202="",B1202="",D1202="",G1202=""),"",IF(OR(B1202="",NOT(ISNUMBER(B1202)),C1202="",C1202="Fora dos ciclos"),"",IF(C1202="C0","Nao",IF(IFERROR(INDEX(parametros!$A$2:$A$6,MATCH(C1202,parametros!$B$2:$B$6,0)),"")&lt;&gt;"Sim","Nao",IF(IFERROR(INDEX(parametros!$H$2:$H$6,MATCH(C1202,parametros!$B$2:$B$6,0)),"")="","",IF(B1202&gt;=IFERROR(INDEX(parametros!$H$2:$H$6,MATCH(C1202,parametros!$B$2:$B$6,0)),""),"Sim","Nao"))))))</f>
        <v/>
      </c>
      <c r="T1202" s="156"/>
      <c r="U1202" s="214" t="str">
        <f t="shared" si="96"/>
        <v/>
      </c>
      <c r="V1202" s="212" t="s">
        <v>50</v>
      </c>
      <c r="W1202" s="100" t="s">
        <v>168</v>
      </c>
      <c r="X1202" s="100" t="s">
        <v>169</v>
      </c>
      <c r="Y1202" s="101" t="s">
        <v>170</v>
      </c>
      <c r="Z1202" s="101" t="s">
        <v>171</v>
      </c>
      <c r="AA1202" s="101" t="s">
        <v>50</v>
      </c>
      <c r="AB1202" s="101" t="s">
        <v>172</v>
      </c>
      <c r="AC1202" s="102" t="s">
        <v>173</v>
      </c>
    </row>
    <row r="1203" spans="1:29" ht="25.5" customHeight="1" x14ac:dyDescent="0.35">
      <c r="A1203" s="392"/>
      <c r="B1203" s="393"/>
      <c r="C1203" s="99" t="str">
        <f>IF(B1203="","",IF(NOT(ISNUMBER(B1203)),"DATA_PC invalida",IF(NOT(ISNUMBER(parametros!$C$2)),"Fora dos ciclos",IF(OR(B1203&lt;parametros!$C$2,(YEAR(B1203)-YEAR(parametros!$C$2))*12+MONTH(B1203)-MONTH(parametros!$C$2)&gt;59),"Fora dos ciclos","C"&amp;INT(((YEAR(B1203)-YEAR(parametros!$C$2))*12+MONTH(B1203)-MONTH(parametros!$C$2))/12)))))</f>
        <v/>
      </c>
      <c r="D1203" s="394"/>
      <c r="E1203" s="78" t="str">
        <f>IF(C1203="","",IFERROR(VLOOKUP(C1203,parametros!$A$11:$E$15,5,0),""))</f>
        <v/>
      </c>
      <c r="F1203" s="79" t="str">
        <f t="shared" si="92"/>
        <v/>
      </c>
      <c r="G1203" s="395"/>
      <c r="H1203" s="91">
        <f t="shared" si="93"/>
        <v>0</v>
      </c>
      <c r="I1203" s="91" t="str">
        <f t="shared" si="94"/>
        <v/>
      </c>
      <c r="J1203" s="91" t="str">
        <f t="shared" si="95"/>
        <v/>
      </c>
      <c r="K1203" s="92" t="str">
        <f>IF(AND(A1203="",B1203="",D1203="",G1203=""),"",IF(AND(A1203&lt;&gt;"",COUNTIF($A$2:$A$5001,A1203)&gt;1),"NUMERO_PC duplicado",IF(B1203="","DATA_PC vazia",IF(NOT(ISNUMBER(B1203)),"DATA_PC invalida",IF(OR(C1203="",C1203="Fora dos ciclos"),"CICLO_PC nao identificado",IF(OR(D1203="",D1203=0),"VALOR_PC vazio ou zero",IF(AND(G1203&lt;&gt;"Sim",G1203&lt;&gt;"Nao",G1203&lt;&gt;""),"PC_PAGO_A_CONTRATADA invalido",IF(AND(C1203&lt;&gt;"C0",IFERROR(INDEX(parametros!$A$2:$A$6,MATCH(C1203,parametros!$B$2:$B$6,0)),"")="Sim",IFERROR(INDEX(parametros!$H$2:$H$6,MATCH(C1203,parametros!$B$2:$B$6,0)),"")=""),"INICIO_EFEITO ausente: PC "&amp;A1203&amp;" - "&amp;C1203,IF(L1203="","EFEITO_PC nao calculado: PC "&amp;A1203&amp;" - "&amp;C1203,"OK")))))))))</f>
        <v/>
      </c>
      <c r="L1203" s="92" t="str">
        <f>IF(AND(A1203="",B1203="",D1203="",G1203=""),"",IF(OR(B1203="",NOT(ISNUMBER(B1203)),C1203="",C1203="Fora dos ciclos"),"",IF(C1203="C0","Nao",IF(IFERROR(INDEX(parametros!$A$2:$A$6,MATCH(C1203,parametros!$B$2:$B$6,0)),"")&lt;&gt;"Sim","Nao",IF(IFERROR(INDEX(parametros!$H$2:$H$6,MATCH(C1203,parametros!$B$2:$B$6,0)),"")="","",IF(B1203&gt;=IFERROR(INDEX(parametros!$H$2:$H$6,MATCH(C1203,parametros!$B$2:$B$6,0)),""),"Sim","Nao"))))))</f>
        <v/>
      </c>
      <c r="T1203" s="156"/>
      <c r="U1203" s="214" t="str">
        <f t="shared" si="96"/>
        <v/>
      </c>
      <c r="V1203" s="212" t="s">
        <v>50</v>
      </c>
      <c r="W1203" s="100" t="s">
        <v>168</v>
      </c>
      <c r="X1203" s="100" t="s">
        <v>169</v>
      </c>
      <c r="Y1203" s="101" t="s">
        <v>170</v>
      </c>
      <c r="Z1203" s="101" t="s">
        <v>171</v>
      </c>
      <c r="AA1203" s="101" t="s">
        <v>50</v>
      </c>
      <c r="AB1203" s="101" t="s">
        <v>172</v>
      </c>
      <c r="AC1203" s="102" t="s">
        <v>173</v>
      </c>
    </row>
    <row r="1204" spans="1:29" ht="25.5" customHeight="1" x14ac:dyDescent="0.35">
      <c r="A1204" s="392"/>
      <c r="B1204" s="393"/>
      <c r="C1204" s="99" t="str">
        <f>IF(B1204="","",IF(NOT(ISNUMBER(B1204)),"DATA_PC invalida",IF(NOT(ISNUMBER(parametros!$C$2)),"Fora dos ciclos",IF(OR(B1204&lt;parametros!$C$2,(YEAR(B1204)-YEAR(parametros!$C$2))*12+MONTH(B1204)-MONTH(parametros!$C$2)&gt;59),"Fora dos ciclos","C"&amp;INT(((YEAR(B1204)-YEAR(parametros!$C$2))*12+MONTH(B1204)-MONTH(parametros!$C$2))/12)))))</f>
        <v/>
      </c>
      <c r="D1204" s="394"/>
      <c r="E1204" s="78" t="str">
        <f>IF(C1204="","",IFERROR(VLOOKUP(C1204,parametros!$A$11:$E$15,5,0),""))</f>
        <v/>
      </c>
      <c r="F1204" s="79" t="str">
        <f t="shared" si="92"/>
        <v/>
      </c>
      <c r="G1204" s="395"/>
      <c r="H1204" s="91">
        <f t="shared" si="93"/>
        <v>0</v>
      </c>
      <c r="I1204" s="91" t="str">
        <f t="shared" si="94"/>
        <v/>
      </c>
      <c r="J1204" s="91" t="str">
        <f t="shared" si="95"/>
        <v/>
      </c>
      <c r="K1204" s="92" t="str">
        <f>IF(AND(A1204="",B1204="",D1204="",G1204=""),"",IF(AND(A1204&lt;&gt;"",COUNTIF($A$2:$A$5001,A1204)&gt;1),"NUMERO_PC duplicado",IF(B1204="","DATA_PC vazia",IF(NOT(ISNUMBER(B1204)),"DATA_PC invalida",IF(OR(C1204="",C1204="Fora dos ciclos"),"CICLO_PC nao identificado",IF(OR(D1204="",D1204=0),"VALOR_PC vazio ou zero",IF(AND(G1204&lt;&gt;"Sim",G1204&lt;&gt;"Nao",G1204&lt;&gt;""),"PC_PAGO_A_CONTRATADA invalido",IF(AND(C1204&lt;&gt;"C0",IFERROR(INDEX(parametros!$A$2:$A$6,MATCH(C1204,parametros!$B$2:$B$6,0)),"")="Sim",IFERROR(INDEX(parametros!$H$2:$H$6,MATCH(C1204,parametros!$B$2:$B$6,0)),"")=""),"INICIO_EFEITO ausente: PC "&amp;A1204&amp;" - "&amp;C1204,IF(L1204="","EFEITO_PC nao calculado: PC "&amp;A1204&amp;" - "&amp;C1204,"OK")))))))))</f>
        <v/>
      </c>
      <c r="L1204" s="92" t="str">
        <f>IF(AND(A1204="",B1204="",D1204="",G1204=""),"",IF(OR(B1204="",NOT(ISNUMBER(B1204)),C1204="",C1204="Fora dos ciclos"),"",IF(C1204="C0","Nao",IF(IFERROR(INDEX(parametros!$A$2:$A$6,MATCH(C1204,parametros!$B$2:$B$6,0)),"")&lt;&gt;"Sim","Nao",IF(IFERROR(INDEX(parametros!$H$2:$H$6,MATCH(C1204,parametros!$B$2:$B$6,0)),"")="","",IF(B1204&gt;=IFERROR(INDEX(parametros!$H$2:$H$6,MATCH(C1204,parametros!$B$2:$B$6,0)),""),"Sim","Nao"))))))</f>
        <v/>
      </c>
      <c r="T1204" s="156"/>
      <c r="U1204" s="214" t="str">
        <f t="shared" si="96"/>
        <v/>
      </c>
      <c r="V1204" s="212" t="s">
        <v>50</v>
      </c>
      <c r="W1204" s="100" t="s">
        <v>168</v>
      </c>
      <c r="X1204" s="100" t="s">
        <v>169</v>
      </c>
      <c r="Y1204" s="101" t="s">
        <v>170</v>
      </c>
      <c r="Z1204" s="101" t="s">
        <v>171</v>
      </c>
      <c r="AA1204" s="101" t="s">
        <v>50</v>
      </c>
      <c r="AB1204" s="101" t="s">
        <v>172</v>
      </c>
      <c r="AC1204" s="102" t="s">
        <v>173</v>
      </c>
    </row>
    <row r="1205" spans="1:29" ht="25.5" customHeight="1" x14ac:dyDescent="0.35">
      <c r="A1205" s="392"/>
      <c r="B1205" s="393"/>
      <c r="C1205" s="99" t="str">
        <f>IF(B1205="","",IF(NOT(ISNUMBER(B1205)),"DATA_PC invalida",IF(NOT(ISNUMBER(parametros!$C$2)),"Fora dos ciclos",IF(OR(B1205&lt;parametros!$C$2,(YEAR(B1205)-YEAR(parametros!$C$2))*12+MONTH(B1205)-MONTH(parametros!$C$2)&gt;59),"Fora dos ciclos","C"&amp;INT(((YEAR(B1205)-YEAR(parametros!$C$2))*12+MONTH(B1205)-MONTH(parametros!$C$2))/12)))))</f>
        <v/>
      </c>
      <c r="D1205" s="394"/>
      <c r="E1205" s="78" t="str">
        <f>IF(C1205="","",IFERROR(VLOOKUP(C1205,parametros!$A$11:$E$15,5,0),""))</f>
        <v/>
      </c>
      <c r="F1205" s="79" t="str">
        <f t="shared" si="92"/>
        <v/>
      </c>
      <c r="G1205" s="395"/>
      <c r="H1205" s="91">
        <f t="shared" si="93"/>
        <v>0</v>
      </c>
      <c r="I1205" s="91" t="str">
        <f t="shared" si="94"/>
        <v/>
      </c>
      <c r="J1205" s="91" t="str">
        <f t="shared" si="95"/>
        <v/>
      </c>
      <c r="K1205" s="92" t="str">
        <f>IF(AND(A1205="",B1205="",D1205="",G1205=""),"",IF(AND(A1205&lt;&gt;"",COUNTIF($A$2:$A$5001,A1205)&gt;1),"NUMERO_PC duplicado",IF(B1205="","DATA_PC vazia",IF(NOT(ISNUMBER(B1205)),"DATA_PC invalida",IF(OR(C1205="",C1205="Fora dos ciclos"),"CICLO_PC nao identificado",IF(OR(D1205="",D1205=0),"VALOR_PC vazio ou zero",IF(AND(G1205&lt;&gt;"Sim",G1205&lt;&gt;"Nao",G1205&lt;&gt;""),"PC_PAGO_A_CONTRATADA invalido",IF(AND(C1205&lt;&gt;"C0",IFERROR(INDEX(parametros!$A$2:$A$6,MATCH(C1205,parametros!$B$2:$B$6,0)),"")="Sim",IFERROR(INDEX(parametros!$H$2:$H$6,MATCH(C1205,parametros!$B$2:$B$6,0)),"")=""),"INICIO_EFEITO ausente: PC "&amp;A1205&amp;" - "&amp;C1205,IF(L1205="","EFEITO_PC nao calculado: PC "&amp;A1205&amp;" - "&amp;C1205,"OK")))))))))</f>
        <v/>
      </c>
      <c r="L1205" s="92" t="str">
        <f>IF(AND(A1205="",B1205="",D1205="",G1205=""),"",IF(OR(B1205="",NOT(ISNUMBER(B1205)),C1205="",C1205="Fora dos ciclos"),"",IF(C1205="C0","Nao",IF(IFERROR(INDEX(parametros!$A$2:$A$6,MATCH(C1205,parametros!$B$2:$B$6,0)),"")&lt;&gt;"Sim","Nao",IF(IFERROR(INDEX(parametros!$H$2:$H$6,MATCH(C1205,parametros!$B$2:$B$6,0)),"")="","",IF(B1205&gt;=IFERROR(INDEX(parametros!$H$2:$H$6,MATCH(C1205,parametros!$B$2:$B$6,0)),""),"Sim","Nao"))))))</f>
        <v/>
      </c>
      <c r="T1205" s="156"/>
      <c r="U1205" s="214" t="str">
        <f t="shared" si="96"/>
        <v/>
      </c>
      <c r="V1205" s="212" t="s">
        <v>50</v>
      </c>
      <c r="W1205" s="100" t="s">
        <v>168</v>
      </c>
      <c r="X1205" s="100" t="s">
        <v>169</v>
      </c>
      <c r="Y1205" s="101" t="s">
        <v>170</v>
      </c>
      <c r="Z1205" s="101" t="s">
        <v>171</v>
      </c>
      <c r="AA1205" s="101" t="s">
        <v>50</v>
      </c>
      <c r="AB1205" s="101" t="s">
        <v>172</v>
      </c>
      <c r="AC1205" s="102" t="s">
        <v>173</v>
      </c>
    </row>
    <row r="1206" spans="1:29" ht="25.5" customHeight="1" x14ac:dyDescent="0.35">
      <c r="A1206" s="392"/>
      <c r="B1206" s="393"/>
      <c r="C1206" s="99" t="str">
        <f>IF(B1206="","",IF(NOT(ISNUMBER(B1206)),"DATA_PC invalida",IF(NOT(ISNUMBER(parametros!$C$2)),"Fora dos ciclos",IF(OR(B1206&lt;parametros!$C$2,(YEAR(B1206)-YEAR(parametros!$C$2))*12+MONTH(B1206)-MONTH(parametros!$C$2)&gt;59),"Fora dos ciclos","C"&amp;INT(((YEAR(B1206)-YEAR(parametros!$C$2))*12+MONTH(B1206)-MONTH(parametros!$C$2))/12)))))</f>
        <v/>
      </c>
      <c r="D1206" s="394"/>
      <c r="E1206" s="78" t="str">
        <f>IF(C1206="","",IFERROR(VLOOKUP(C1206,parametros!$A$11:$E$15,5,0),""))</f>
        <v/>
      </c>
      <c r="F1206" s="79" t="str">
        <f t="shared" si="92"/>
        <v/>
      </c>
      <c r="G1206" s="395"/>
      <c r="H1206" s="91">
        <f t="shared" si="93"/>
        <v>0</v>
      </c>
      <c r="I1206" s="91" t="str">
        <f t="shared" si="94"/>
        <v/>
      </c>
      <c r="J1206" s="91" t="str">
        <f t="shared" si="95"/>
        <v/>
      </c>
      <c r="K1206" s="92" t="str">
        <f>IF(AND(A1206="",B1206="",D1206="",G1206=""),"",IF(AND(A1206&lt;&gt;"",COUNTIF($A$2:$A$5001,A1206)&gt;1),"NUMERO_PC duplicado",IF(B1206="","DATA_PC vazia",IF(NOT(ISNUMBER(B1206)),"DATA_PC invalida",IF(OR(C1206="",C1206="Fora dos ciclos"),"CICLO_PC nao identificado",IF(OR(D1206="",D1206=0),"VALOR_PC vazio ou zero",IF(AND(G1206&lt;&gt;"Sim",G1206&lt;&gt;"Nao",G1206&lt;&gt;""),"PC_PAGO_A_CONTRATADA invalido",IF(AND(C1206&lt;&gt;"C0",IFERROR(INDEX(parametros!$A$2:$A$6,MATCH(C1206,parametros!$B$2:$B$6,0)),"")="Sim",IFERROR(INDEX(parametros!$H$2:$H$6,MATCH(C1206,parametros!$B$2:$B$6,0)),"")=""),"INICIO_EFEITO ausente: PC "&amp;A1206&amp;" - "&amp;C1206,IF(L1206="","EFEITO_PC nao calculado: PC "&amp;A1206&amp;" - "&amp;C1206,"OK")))))))))</f>
        <v/>
      </c>
      <c r="L1206" s="92" t="str">
        <f>IF(AND(A1206="",B1206="",D1206="",G1206=""),"",IF(OR(B1206="",NOT(ISNUMBER(B1206)),C1206="",C1206="Fora dos ciclos"),"",IF(C1206="C0","Nao",IF(IFERROR(INDEX(parametros!$A$2:$A$6,MATCH(C1206,parametros!$B$2:$B$6,0)),"")&lt;&gt;"Sim","Nao",IF(IFERROR(INDEX(parametros!$H$2:$H$6,MATCH(C1206,parametros!$B$2:$B$6,0)),"")="","",IF(B1206&gt;=IFERROR(INDEX(parametros!$H$2:$H$6,MATCH(C1206,parametros!$B$2:$B$6,0)),""),"Sim","Nao"))))))</f>
        <v/>
      </c>
      <c r="T1206" s="156"/>
      <c r="U1206" s="214" t="str">
        <f t="shared" si="96"/>
        <v/>
      </c>
      <c r="V1206" s="212" t="s">
        <v>50</v>
      </c>
      <c r="W1206" s="100" t="s">
        <v>168</v>
      </c>
      <c r="X1206" s="100" t="s">
        <v>169</v>
      </c>
      <c r="Y1206" s="101" t="s">
        <v>170</v>
      </c>
      <c r="Z1206" s="101" t="s">
        <v>171</v>
      </c>
      <c r="AA1206" s="101" t="s">
        <v>50</v>
      </c>
      <c r="AB1206" s="101" t="s">
        <v>172</v>
      </c>
      <c r="AC1206" s="102" t="s">
        <v>173</v>
      </c>
    </row>
    <row r="1207" spans="1:29" ht="25.5" customHeight="1" x14ac:dyDescent="0.35">
      <c r="A1207" s="392"/>
      <c r="B1207" s="393"/>
      <c r="C1207" s="99" t="str">
        <f>IF(B1207="","",IF(NOT(ISNUMBER(B1207)),"DATA_PC invalida",IF(NOT(ISNUMBER(parametros!$C$2)),"Fora dos ciclos",IF(OR(B1207&lt;parametros!$C$2,(YEAR(B1207)-YEAR(parametros!$C$2))*12+MONTH(B1207)-MONTH(parametros!$C$2)&gt;59),"Fora dos ciclos","C"&amp;INT(((YEAR(B1207)-YEAR(parametros!$C$2))*12+MONTH(B1207)-MONTH(parametros!$C$2))/12)))))</f>
        <v/>
      </c>
      <c r="D1207" s="394"/>
      <c r="E1207" s="78" t="str">
        <f>IF(C1207="","",IFERROR(VLOOKUP(C1207,parametros!$A$11:$E$15,5,0),""))</f>
        <v/>
      </c>
      <c r="F1207" s="79" t="str">
        <f t="shared" si="92"/>
        <v/>
      </c>
      <c r="G1207" s="395"/>
      <c r="H1207" s="91">
        <f t="shared" si="93"/>
        <v>0</v>
      </c>
      <c r="I1207" s="91" t="str">
        <f t="shared" si="94"/>
        <v/>
      </c>
      <c r="J1207" s="91" t="str">
        <f t="shared" si="95"/>
        <v/>
      </c>
      <c r="K1207" s="92" t="str">
        <f>IF(AND(A1207="",B1207="",D1207="",G1207=""),"",IF(AND(A1207&lt;&gt;"",COUNTIF($A$2:$A$5001,A1207)&gt;1),"NUMERO_PC duplicado",IF(B1207="","DATA_PC vazia",IF(NOT(ISNUMBER(B1207)),"DATA_PC invalida",IF(OR(C1207="",C1207="Fora dos ciclos"),"CICLO_PC nao identificado",IF(OR(D1207="",D1207=0),"VALOR_PC vazio ou zero",IF(AND(G1207&lt;&gt;"Sim",G1207&lt;&gt;"Nao",G1207&lt;&gt;""),"PC_PAGO_A_CONTRATADA invalido",IF(AND(C1207&lt;&gt;"C0",IFERROR(INDEX(parametros!$A$2:$A$6,MATCH(C1207,parametros!$B$2:$B$6,0)),"")="Sim",IFERROR(INDEX(parametros!$H$2:$H$6,MATCH(C1207,parametros!$B$2:$B$6,0)),"")=""),"INICIO_EFEITO ausente: PC "&amp;A1207&amp;" - "&amp;C1207,IF(L1207="","EFEITO_PC nao calculado: PC "&amp;A1207&amp;" - "&amp;C1207,"OK")))))))))</f>
        <v/>
      </c>
      <c r="L1207" s="92" t="str">
        <f>IF(AND(A1207="",B1207="",D1207="",G1207=""),"",IF(OR(B1207="",NOT(ISNUMBER(B1207)),C1207="",C1207="Fora dos ciclos"),"",IF(C1207="C0","Nao",IF(IFERROR(INDEX(parametros!$A$2:$A$6,MATCH(C1207,parametros!$B$2:$B$6,0)),"")&lt;&gt;"Sim","Nao",IF(IFERROR(INDEX(parametros!$H$2:$H$6,MATCH(C1207,parametros!$B$2:$B$6,0)),"")="","",IF(B1207&gt;=IFERROR(INDEX(parametros!$H$2:$H$6,MATCH(C1207,parametros!$B$2:$B$6,0)),""),"Sim","Nao"))))))</f>
        <v/>
      </c>
      <c r="T1207" s="156"/>
      <c r="U1207" s="214" t="str">
        <f t="shared" si="96"/>
        <v/>
      </c>
      <c r="V1207" s="212" t="s">
        <v>50</v>
      </c>
      <c r="W1207" s="100" t="s">
        <v>168</v>
      </c>
      <c r="X1207" s="100" t="s">
        <v>169</v>
      </c>
      <c r="Y1207" s="101" t="s">
        <v>170</v>
      </c>
      <c r="Z1207" s="101" t="s">
        <v>171</v>
      </c>
      <c r="AA1207" s="101" t="s">
        <v>50</v>
      </c>
      <c r="AB1207" s="101" t="s">
        <v>172</v>
      </c>
      <c r="AC1207" s="102" t="s">
        <v>173</v>
      </c>
    </row>
    <row r="1208" spans="1:29" ht="25.5" customHeight="1" x14ac:dyDescent="0.35">
      <c r="A1208" s="392"/>
      <c r="B1208" s="393"/>
      <c r="C1208" s="99" t="str">
        <f>IF(B1208="","",IF(NOT(ISNUMBER(B1208)),"DATA_PC invalida",IF(NOT(ISNUMBER(parametros!$C$2)),"Fora dos ciclos",IF(OR(B1208&lt;parametros!$C$2,(YEAR(B1208)-YEAR(parametros!$C$2))*12+MONTH(B1208)-MONTH(parametros!$C$2)&gt;59),"Fora dos ciclos","C"&amp;INT(((YEAR(B1208)-YEAR(parametros!$C$2))*12+MONTH(B1208)-MONTH(parametros!$C$2))/12)))))</f>
        <v/>
      </c>
      <c r="D1208" s="394"/>
      <c r="E1208" s="78" t="str">
        <f>IF(C1208="","",IFERROR(VLOOKUP(C1208,parametros!$A$11:$E$15,5,0),""))</f>
        <v/>
      </c>
      <c r="F1208" s="79" t="str">
        <f t="shared" si="92"/>
        <v/>
      </c>
      <c r="G1208" s="395"/>
      <c r="H1208" s="91">
        <f t="shared" si="93"/>
        <v>0</v>
      </c>
      <c r="I1208" s="91" t="str">
        <f t="shared" si="94"/>
        <v/>
      </c>
      <c r="J1208" s="91" t="str">
        <f t="shared" si="95"/>
        <v/>
      </c>
      <c r="K1208" s="92" t="str">
        <f>IF(AND(A1208="",B1208="",D1208="",G1208=""),"",IF(AND(A1208&lt;&gt;"",COUNTIF($A$2:$A$5001,A1208)&gt;1),"NUMERO_PC duplicado",IF(B1208="","DATA_PC vazia",IF(NOT(ISNUMBER(B1208)),"DATA_PC invalida",IF(OR(C1208="",C1208="Fora dos ciclos"),"CICLO_PC nao identificado",IF(OR(D1208="",D1208=0),"VALOR_PC vazio ou zero",IF(AND(G1208&lt;&gt;"Sim",G1208&lt;&gt;"Nao",G1208&lt;&gt;""),"PC_PAGO_A_CONTRATADA invalido",IF(AND(C1208&lt;&gt;"C0",IFERROR(INDEX(parametros!$A$2:$A$6,MATCH(C1208,parametros!$B$2:$B$6,0)),"")="Sim",IFERROR(INDEX(parametros!$H$2:$H$6,MATCH(C1208,parametros!$B$2:$B$6,0)),"")=""),"INICIO_EFEITO ausente: PC "&amp;A1208&amp;" - "&amp;C1208,IF(L1208="","EFEITO_PC nao calculado: PC "&amp;A1208&amp;" - "&amp;C1208,"OK")))))))))</f>
        <v/>
      </c>
      <c r="L1208" s="92" t="str">
        <f>IF(AND(A1208="",B1208="",D1208="",G1208=""),"",IF(OR(B1208="",NOT(ISNUMBER(B1208)),C1208="",C1208="Fora dos ciclos"),"",IF(C1208="C0","Nao",IF(IFERROR(INDEX(parametros!$A$2:$A$6,MATCH(C1208,parametros!$B$2:$B$6,0)),"")&lt;&gt;"Sim","Nao",IF(IFERROR(INDEX(parametros!$H$2:$H$6,MATCH(C1208,parametros!$B$2:$B$6,0)),"")="","",IF(B1208&gt;=IFERROR(INDEX(parametros!$H$2:$H$6,MATCH(C1208,parametros!$B$2:$B$6,0)),""),"Sim","Nao"))))))</f>
        <v/>
      </c>
      <c r="T1208" s="156"/>
      <c r="U1208" s="214" t="str">
        <f t="shared" si="96"/>
        <v/>
      </c>
      <c r="V1208" s="212" t="s">
        <v>50</v>
      </c>
      <c r="W1208" s="100" t="s">
        <v>168</v>
      </c>
      <c r="X1208" s="100" t="s">
        <v>169</v>
      </c>
      <c r="Y1208" s="101" t="s">
        <v>170</v>
      </c>
      <c r="Z1208" s="101" t="s">
        <v>171</v>
      </c>
      <c r="AA1208" s="101" t="s">
        <v>50</v>
      </c>
      <c r="AB1208" s="101" t="s">
        <v>172</v>
      </c>
      <c r="AC1208" s="102" t="s">
        <v>173</v>
      </c>
    </row>
    <row r="1209" spans="1:29" ht="25.5" customHeight="1" x14ac:dyDescent="0.35">
      <c r="A1209" s="392"/>
      <c r="B1209" s="393"/>
      <c r="C1209" s="99" t="str">
        <f>IF(B1209="","",IF(NOT(ISNUMBER(B1209)),"DATA_PC invalida",IF(NOT(ISNUMBER(parametros!$C$2)),"Fora dos ciclos",IF(OR(B1209&lt;parametros!$C$2,(YEAR(B1209)-YEAR(parametros!$C$2))*12+MONTH(B1209)-MONTH(parametros!$C$2)&gt;59),"Fora dos ciclos","C"&amp;INT(((YEAR(B1209)-YEAR(parametros!$C$2))*12+MONTH(B1209)-MONTH(parametros!$C$2))/12)))))</f>
        <v/>
      </c>
      <c r="D1209" s="394"/>
      <c r="E1209" s="78" t="str">
        <f>IF(C1209="","",IFERROR(VLOOKUP(C1209,parametros!$A$11:$E$15,5,0),""))</f>
        <v/>
      </c>
      <c r="F1209" s="79" t="str">
        <f t="shared" si="92"/>
        <v/>
      </c>
      <c r="G1209" s="395"/>
      <c r="H1209" s="91">
        <f t="shared" si="93"/>
        <v>0</v>
      </c>
      <c r="I1209" s="91" t="str">
        <f t="shared" si="94"/>
        <v/>
      </c>
      <c r="J1209" s="91" t="str">
        <f t="shared" si="95"/>
        <v/>
      </c>
      <c r="K1209" s="92" t="str">
        <f>IF(AND(A1209="",B1209="",D1209="",G1209=""),"",IF(AND(A1209&lt;&gt;"",COUNTIF($A$2:$A$5001,A1209)&gt;1),"NUMERO_PC duplicado",IF(B1209="","DATA_PC vazia",IF(NOT(ISNUMBER(B1209)),"DATA_PC invalida",IF(OR(C1209="",C1209="Fora dos ciclos"),"CICLO_PC nao identificado",IF(OR(D1209="",D1209=0),"VALOR_PC vazio ou zero",IF(AND(G1209&lt;&gt;"Sim",G1209&lt;&gt;"Nao",G1209&lt;&gt;""),"PC_PAGO_A_CONTRATADA invalido",IF(AND(C1209&lt;&gt;"C0",IFERROR(INDEX(parametros!$A$2:$A$6,MATCH(C1209,parametros!$B$2:$B$6,0)),"")="Sim",IFERROR(INDEX(parametros!$H$2:$H$6,MATCH(C1209,parametros!$B$2:$B$6,0)),"")=""),"INICIO_EFEITO ausente: PC "&amp;A1209&amp;" - "&amp;C1209,IF(L1209="","EFEITO_PC nao calculado: PC "&amp;A1209&amp;" - "&amp;C1209,"OK")))))))))</f>
        <v/>
      </c>
      <c r="L1209" s="92" t="str">
        <f>IF(AND(A1209="",B1209="",D1209="",G1209=""),"",IF(OR(B1209="",NOT(ISNUMBER(B1209)),C1209="",C1209="Fora dos ciclos"),"",IF(C1209="C0","Nao",IF(IFERROR(INDEX(parametros!$A$2:$A$6,MATCH(C1209,parametros!$B$2:$B$6,0)),"")&lt;&gt;"Sim","Nao",IF(IFERROR(INDEX(parametros!$H$2:$H$6,MATCH(C1209,parametros!$B$2:$B$6,0)),"")="","",IF(B1209&gt;=IFERROR(INDEX(parametros!$H$2:$H$6,MATCH(C1209,parametros!$B$2:$B$6,0)),""),"Sim","Nao"))))))</f>
        <v/>
      </c>
      <c r="T1209" s="156"/>
      <c r="U1209" s="214" t="str">
        <f t="shared" si="96"/>
        <v/>
      </c>
      <c r="V1209" s="212" t="s">
        <v>50</v>
      </c>
      <c r="W1209" s="100" t="s">
        <v>168</v>
      </c>
      <c r="X1209" s="100" t="s">
        <v>169</v>
      </c>
      <c r="Y1209" s="101" t="s">
        <v>170</v>
      </c>
      <c r="Z1209" s="101" t="s">
        <v>171</v>
      </c>
      <c r="AA1209" s="101" t="s">
        <v>50</v>
      </c>
      <c r="AB1209" s="101" t="s">
        <v>172</v>
      </c>
      <c r="AC1209" s="102" t="s">
        <v>173</v>
      </c>
    </row>
    <row r="1210" spans="1:29" ht="25.5" customHeight="1" x14ac:dyDescent="0.35">
      <c r="A1210" s="392"/>
      <c r="B1210" s="393"/>
      <c r="C1210" s="99" t="str">
        <f>IF(B1210="","",IF(NOT(ISNUMBER(B1210)),"DATA_PC invalida",IF(NOT(ISNUMBER(parametros!$C$2)),"Fora dos ciclos",IF(OR(B1210&lt;parametros!$C$2,(YEAR(B1210)-YEAR(parametros!$C$2))*12+MONTH(B1210)-MONTH(parametros!$C$2)&gt;59),"Fora dos ciclos","C"&amp;INT(((YEAR(B1210)-YEAR(parametros!$C$2))*12+MONTH(B1210)-MONTH(parametros!$C$2))/12)))))</f>
        <v/>
      </c>
      <c r="D1210" s="394"/>
      <c r="E1210" s="78" t="str">
        <f>IF(C1210="","",IFERROR(VLOOKUP(C1210,parametros!$A$11:$E$15,5,0),""))</f>
        <v/>
      </c>
      <c r="F1210" s="79" t="str">
        <f t="shared" si="92"/>
        <v/>
      </c>
      <c r="G1210" s="395"/>
      <c r="H1210" s="91">
        <f t="shared" si="93"/>
        <v>0</v>
      </c>
      <c r="I1210" s="91" t="str">
        <f t="shared" si="94"/>
        <v/>
      </c>
      <c r="J1210" s="91" t="str">
        <f t="shared" si="95"/>
        <v/>
      </c>
      <c r="K1210" s="92" t="str">
        <f>IF(AND(A1210="",B1210="",D1210="",G1210=""),"",IF(AND(A1210&lt;&gt;"",COUNTIF($A$2:$A$5001,A1210)&gt;1),"NUMERO_PC duplicado",IF(B1210="","DATA_PC vazia",IF(NOT(ISNUMBER(B1210)),"DATA_PC invalida",IF(OR(C1210="",C1210="Fora dos ciclos"),"CICLO_PC nao identificado",IF(OR(D1210="",D1210=0),"VALOR_PC vazio ou zero",IF(AND(G1210&lt;&gt;"Sim",G1210&lt;&gt;"Nao",G1210&lt;&gt;""),"PC_PAGO_A_CONTRATADA invalido",IF(AND(C1210&lt;&gt;"C0",IFERROR(INDEX(parametros!$A$2:$A$6,MATCH(C1210,parametros!$B$2:$B$6,0)),"")="Sim",IFERROR(INDEX(parametros!$H$2:$H$6,MATCH(C1210,parametros!$B$2:$B$6,0)),"")=""),"INICIO_EFEITO ausente: PC "&amp;A1210&amp;" - "&amp;C1210,IF(L1210="","EFEITO_PC nao calculado: PC "&amp;A1210&amp;" - "&amp;C1210,"OK")))))))))</f>
        <v/>
      </c>
      <c r="L1210" s="92" t="str">
        <f>IF(AND(A1210="",B1210="",D1210="",G1210=""),"",IF(OR(B1210="",NOT(ISNUMBER(B1210)),C1210="",C1210="Fora dos ciclos"),"",IF(C1210="C0","Nao",IF(IFERROR(INDEX(parametros!$A$2:$A$6,MATCH(C1210,parametros!$B$2:$B$6,0)),"")&lt;&gt;"Sim","Nao",IF(IFERROR(INDEX(parametros!$H$2:$H$6,MATCH(C1210,parametros!$B$2:$B$6,0)),"")="","",IF(B1210&gt;=IFERROR(INDEX(parametros!$H$2:$H$6,MATCH(C1210,parametros!$B$2:$B$6,0)),""),"Sim","Nao"))))))</f>
        <v/>
      </c>
      <c r="T1210" s="156"/>
      <c r="U1210" s="214" t="str">
        <f t="shared" si="96"/>
        <v/>
      </c>
      <c r="V1210" s="212" t="s">
        <v>50</v>
      </c>
      <c r="W1210" s="100" t="s">
        <v>168</v>
      </c>
      <c r="X1210" s="100" t="s">
        <v>169</v>
      </c>
      <c r="Y1210" s="101" t="s">
        <v>170</v>
      </c>
      <c r="Z1210" s="101" t="s">
        <v>171</v>
      </c>
      <c r="AA1210" s="101" t="s">
        <v>50</v>
      </c>
      <c r="AB1210" s="101" t="s">
        <v>172</v>
      </c>
      <c r="AC1210" s="102" t="s">
        <v>173</v>
      </c>
    </row>
    <row r="1211" spans="1:29" ht="25.5" customHeight="1" x14ac:dyDescent="0.35">
      <c r="A1211" s="392"/>
      <c r="B1211" s="393"/>
      <c r="C1211" s="99" t="str">
        <f>IF(B1211="","",IF(NOT(ISNUMBER(B1211)),"DATA_PC invalida",IF(NOT(ISNUMBER(parametros!$C$2)),"Fora dos ciclos",IF(OR(B1211&lt;parametros!$C$2,(YEAR(B1211)-YEAR(parametros!$C$2))*12+MONTH(B1211)-MONTH(parametros!$C$2)&gt;59),"Fora dos ciclos","C"&amp;INT(((YEAR(B1211)-YEAR(parametros!$C$2))*12+MONTH(B1211)-MONTH(parametros!$C$2))/12)))))</f>
        <v/>
      </c>
      <c r="D1211" s="394"/>
      <c r="E1211" s="78" t="str">
        <f>IF(C1211="","",IFERROR(VLOOKUP(C1211,parametros!$A$11:$E$15,5,0),""))</f>
        <v/>
      </c>
      <c r="F1211" s="79" t="str">
        <f t="shared" si="92"/>
        <v/>
      </c>
      <c r="G1211" s="395"/>
      <c r="H1211" s="91">
        <f t="shared" si="93"/>
        <v>0</v>
      </c>
      <c r="I1211" s="91" t="str">
        <f t="shared" si="94"/>
        <v/>
      </c>
      <c r="J1211" s="91" t="str">
        <f t="shared" si="95"/>
        <v/>
      </c>
      <c r="K1211" s="92" t="str">
        <f>IF(AND(A1211="",B1211="",D1211="",G1211=""),"",IF(AND(A1211&lt;&gt;"",COUNTIF($A$2:$A$5001,A1211)&gt;1),"NUMERO_PC duplicado",IF(B1211="","DATA_PC vazia",IF(NOT(ISNUMBER(B1211)),"DATA_PC invalida",IF(OR(C1211="",C1211="Fora dos ciclos"),"CICLO_PC nao identificado",IF(OR(D1211="",D1211=0),"VALOR_PC vazio ou zero",IF(AND(G1211&lt;&gt;"Sim",G1211&lt;&gt;"Nao",G1211&lt;&gt;""),"PC_PAGO_A_CONTRATADA invalido",IF(AND(C1211&lt;&gt;"C0",IFERROR(INDEX(parametros!$A$2:$A$6,MATCH(C1211,parametros!$B$2:$B$6,0)),"")="Sim",IFERROR(INDEX(parametros!$H$2:$H$6,MATCH(C1211,parametros!$B$2:$B$6,0)),"")=""),"INICIO_EFEITO ausente: PC "&amp;A1211&amp;" - "&amp;C1211,IF(L1211="","EFEITO_PC nao calculado: PC "&amp;A1211&amp;" - "&amp;C1211,"OK")))))))))</f>
        <v/>
      </c>
      <c r="L1211" s="92" t="str">
        <f>IF(AND(A1211="",B1211="",D1211="",G1211=""),"",IF(OR(B1211="",NOT(ISNUMBER(B1211)),C1211="",C1211="Fora dos ciclos"),"",IF(C1211="C0","Nao",IF(IFERROR(INDEX(parametros!$A$2:$A$6,MATCH(C1211,parametros!$B$2:$B$6,0)),"")&lt;&gt;"Sim","Nao",IF(IFERROR(INDEX(parametros!$H$2:$H$6,MATCH(C1211,parametros!$B$2:$B$6,0)),"")="","",IF(B1211&gt;=IFERROR(INDEX(parametros!$H$2:$H$6,MATCH(C1211,parametros!$B$2:$B$6,0)),""),"Sim","Nao"))))))</f>
        <v/>
      </c>
      <c r="T1211" s="156"/>
      <c r="U1211" s="214" t="str">
        <f t="shared" si="96"/>
        <v/>
      </c>
      <c r="V1211" s="212" t="s">
        <v>50</v>
      </c>
      <c r="W1211" s="100" t="s">
        <v>168</v>
      </c>
      <c r="X1211" s="100" t="s">
        <v>169</v>
      </c>
      <c r="Y1211" s="101" t="s">
        <v>170</v>
      </c>
      <c r="Z1211" s="101" t="s">
        <v>171</v>
      </c>
      <c r="AA1211" s="101" t="s">
        <v>50</v>
      </c>
      <c r="AB1211" s="101" t="s">
        <v>172</v>
      </c>
      <c r="AC1211" s="102" t="s">
        <v>173</v>
      </c>
    </row>
    <row r="1212" spans="1:29" ht="25.5" customHeight="1" x14ac:dyDescent="0.35">
      <c r="A1212" s="392"/>
      <c r="B1212" s="393"/>
      <c r="C1212" s="99" t="str">
        <f>IF(B1212="","",IF(NOT(ISNUMBER(B1212)),"DATA_PC invalida",IF(NOT(ISNUMBER(parametros!$C$2)),"Fora dos ciclos",IF(OR(B1212&lt;parametros!$C$2,(YEAR(B1212)-YEAR(parametros!$C$2))*12+MONTH(B1212)-MONTH(parametros!$C$2)&gt;59),"Fora dos ciclos","C"&amp;INT(((YEAR(B1212)-YEAR(parametros!$C$2))*12+MONTH(B1212)-MONTH(parametros!$C$2))/12)))))</f>
        <v/>
      </c>
      <c r="D1212" s="394"/>
      <c r="E1212" s="78" t="str">
        <f>IF(C1212="","",IFERROR(VLOOKUP(C1212,parametros!$A$11:$E$15,5,0),""))</f>
        <v/>
      </c>
      <c r="F1212" s="79" t="str">
        <f t="shared" si="92"/>
        <v/>
      </c>
      <c r="G1212" s="395"/>
      <c r="H1212" s="91">
        <f t="shared" si="93"/>
        <v>0</v>
      </c>
      <c r="I1212" s="91" t="str">
        <f t="shared" si="94"/>
        <v/>
      </c>
      <c r="J1212" s="91" t="str">
        <f t="shared" si="95"/>
        <v/>
      </c>
      <c r="K1212" s="92" t="str">
        <f>IF(AND(A1212="",B1212="",D1212="",G1212=""),"",IF(AND(A1212&lt;&gt;"",COUNTIF($A$2:$A$5001,A1212)&gt;1),"NUMERO_PC duplicado",IF(B1212="","DATA_PC vazia",IF(NOT(ISNUMBER(B1212)),"DATA_PC invalida",IF(OR(C1212="",C1212="Fora dos ciclos"),"CICLO_PC nao identificado",IF(OR(D1212="",D1212=0),"VALOR_PC vazio ou zero",IF(AND(G1212&lt;&gt;"Sim",G1212&lt;&gt;"Nao",G1212&lt;&gt;""),"PC_PAGO_A_CONTRATADA invalido",IF(AND(C1212&lt;&gt;"C0",IFERROR(INDEX(parametros!$A$2:$A$6,MATCH(C1212,parametros!$B$2:$B$6,0)),"")="Sim",IFERROR(INDEX(parametros!$H$2:$H$6,MATCH(C1212,parametros!$B$2:$B$6,0)),"")=""),"INICIO_EFEITO ausente: PC "&amp;A1212&amp;" - "&amp;C1212,IF(L1212="","EFEITO_PC nao calculado: PC "&amp;A1212&amp;" - "&amp;C1212,"OK")))))))))</f>
        <v/>
      </c>
      <c r="L1212" s="92" t="str">
        <f>IF(AND(A1212="",B1212="",D1212="",G1212=""),"",IF(OR(B1212="",NOT(ISNUMBER(B1212)),C1212="",C1212="Fora dos ciclos"),"",IF(C1212="C0","Nao",IF(IFERROR(INDEX(parametros!$A$2:$A$6,MATCH(C1212,parametros!$B$2:$B$6,0)),"")&lt;&gt;"Sim","Nao",IF(IFERROR(INDEX(parametros!$H$2:$H$6,MATCH(C1212,parametros!$B$2:$B$6,0)),"")="","",IF(B1212&gt;=IFERROR(INDEX(parametros!$H$2:$H$6,MATCH(C1212,parametros!$B$2:$B$6,0)),""),"Sim","Nao"))))))</f>
        <v/>
      </c>
      <c r="T1212" s="156"/>
      <c r="U1212" s="214" t="str">
        <f t="shared" si="96"/>
        <v/>
      </c>
      <c r="V1212" s="212" t="s">
        <v>50</v>
      </c>
      <c r="W1212" s="100" t="s">
        <v>168</v>
      </c>
      <c r="X1212" s="100" t="s">
        <v>169</v>
      </c>
      <c r="Y1212" s="101" t="s">
        <v>170</v>
      </c>
      <c r="Z1212" s="101" t="s">
        <v>171</v>
      </c>
      <c r="AA1212" s="101" t="s">
        <v>50</v>
      </c>
      <c r="AB1212" s="101" t="s">
        <v>172</v>
      </c>
      <c r="AC1212" s="102" t="s">
        <v>173</v>
      </c>
    </row>
    <row r="1213" spans="1:29" ht="25.5" customHeight="1" x14ac:dyDescent="0.35">
      <c r="A1213" s="392"/>
      <c r="B1213" s="393"/>
      <c r="C1213" s="99" t="str">
        <f>IF(B1213="","",IF(NOT(ISNUMBER(B1213)),"DATA_PC invalida",IF(NOT(ISNUMBER(parametros!$C$2)),"Fora dos ciclos",IF(OR(B1213&lt;parametros!$C$2,(YEAR(B1213)-YEAR(parametros!$C$2))*12+MONTH(B1213)-MONTH(parametros!$C$2)&gt;59),"Fora dos ciclos","C"&amp;INT(((YEAR(B1213)-YEAR(parametros!$C$2))*12+MONTH(B1213)-MONTH(parametros!$C$2))/12)))))</f>
        <v/>
      </c>
      <c r="D1213" s="394"/>
      <c r="E1213" s="78" t="str">
        <f>IF(C1213="","",IFERROR(VLOOKUP(C1213,parametros!$A$11:$E$15,5,0),""))</f>
        <v/>
      </c>
      <c r="F1213" s="79" t="str">
        <f t="shared" si="92"/>
        <v/>
      </c>
      <c r="G1213" s="395"/>
      <c r="H1213" s="91">
        <f t="shared" si="93"/>
        <v>0</v>
      </c>
      <c r="I1213" s="91" t="str">
        <f t="shared" si="94"/>
        <v/>
      </c>
      <c r="J1213" s="91" t="str">
        <f t="shared" si="95"/>
        <v/>
      </c>
      <c r="K1213" s="92" t="str">
        <f>IF(AND(A1213="",B1213="",D1213="",G1213=""),"",IF(AND(A1213&lt;&gt;"",COUNTIF($A$2:$A$5001,A1213)&gt;1),"NUMERO_PC duplicado",IF(B1213="","DATA_PC vazia",IF(NOT(ISNUMBER(B1213)),"DATA_PC invalida",IF(OR(C1213="",C1213="Fora dos ciclos"),"CICLO_PC nao identificado",IF(OR(D1213="",D1213=0),"VALOR_PC vazio ou zero",IF(AND(G1213&lt;&gt;"Sim",G1213&lt;&gt;"Nao",G1213&lt;&gt;""),"PC_PAGO_A_CONTRATADA invalido",IF(AND(C1213&lt;&gt;"C0",IFERROR(INDEX(parametros!$A$2:$A$6,MATCH(C1213,parametros!$B$2:$B$6,0)),"")="Sim",IFERROR(INDEX(parametros!$H$2:$H$6,MATCH(C1213,parametros!$B$2:$B$6,0)),"")=""),"INICIO_EFEITO ausente: PC "&amp;A1213&amp;" - "&amp;C1213,IF(L1213="","EFEITO_PC nao calculado: PC "&amp;A1213&amp;" - "&amp;C1213,"OK")))))))))</f>
        <v/>
      </c>
      <c r="L1213" s="92" t="str">
        <f>IF(AND(A1213="",B1213="",D1213="",G1213=""),"",IF(OR(B1213="",NOT(ISNUMBER(B1213)),C1213="",C1213="Fora dos ciclos"),"",IF(C1213="C0","Nao",IF(IFERROR(INDEX(parametros!$A$2:$A$6,MATCH(C1213,parametros!$B$2:$B$6,0)),"")&lt;&gt;"Sim","Nao",IF(IFERROR(INDEX(parametros!$H$2:$H$6,MATCH(C1213,parametros!$B$2:$B$6,0)),"")="","",IF(B1213&gt;=IFERROR(INDEX(parametros!$H$2:$H$6,MATCH(C1213,parametros!$B$2:$B$6,0)),""),"Sim","Nao"))))))</f>
        <v/>
      </c>
      <c r="T1213" s="156"/>
      <c r="U1213" s="214" t="str">
        <f t="shared" si="96"/>
        <v/>
      </c>
      <c r="V1213" s="212" t="s">
        <v>50</v>
      </c>
      <c r="W1213" s="100" t="s">
        <v>168</v>
      </c>
      <c r="X1213" s="100" t="s">
        <v>169</v>
      </c>
      <c r="Y1213" s="101" t="s">
        <v>170</v>
      </c>
      <c r="Z1213" s="101" t="s">
        <v>171</v>
      </c>
      <c r="AA1213" s="101" t="s">
        <v>50</v>
      </c>
      <c r="AB1213" s="101" t="s">
        <v>172</v>
      </c>
      <c r="AC1213" s="102" t="s">
        <v>173</v>
      </c>
    </row>
    <row r="1214" spans="1:29" ht="25.5" customHeight="1" x14ac:dyDescent="0.35">
      <c r="A1214" s="392"/>
      <c r="B1214" s="393"/>
      <c r="C1214" s="99" t="str">
        <f>IF(B1214="","",IF(NOT(ISNUMBER(B1214)),"DATA_PC invalida",IF(NOT(ISNUMBER(parametros!$C$2)),"Fora dos ciclos",IF(OR(B1214&lt;parametros!$C$2,(YEAR(B1214)-YEAR(parametros!$C$2))*12+MONTH(B1214)-MONTH(parametros!$C$2)&gt;59),"Fora dos ciclos","C"&amp;INT(((YEAR(B1214)-YEAR(parametros!$C$2))*12+MONTH(B1214)-MONTH(parametros!$C$2))/12)))))</f>
        <v/>
      </c>
      <c r="D1214" s="394"/>
      <c r="E1214" s="78" t="str">
        <f>IF(C1214="","",IFERROR(VLOOKUP(C1214,parametros!$A$11:$E$15,5,0),""))</f>
        <v/>
      </c>
      <c r="F1214" s="79" t="str">
        <f t="shared" si="92"/>
        <v/>
      </c>
      <c r="G1214" s="395"/>
      <c r="H1214" s="91">
        <f t="shared" si="93"/>
        <v>0</v>
      </c>
      <c r="I1214" s="91" t="str">
        <f t="shared" si="94"/>
        <v/>
      </c>
      <c r="J1214" s="91" t="str">
        <f t="shared" si="95"/>
        <v/>
      </c>
      <c r="K1214" s="92" t="str">
        <f>IF(AND(A1214="",B1214="",D1214="",G1214=""),"",IF(AND(A1214&lt;&gt;"",COUNTIF($A$2:$A$5001,A1214)&gt;1),"NUMERO_PC duplicado",IF(B1214="","DATA_PC vazia",IF(NOT(ISNUMBER(B1214)),"DATA_PC invalida",IF(OR(C1214="",C1214="Fora dos ciclos"),"CICLO_PC nao identificado",IF(OR(D1214="",D1214=0),"VALOR_PC vazio ou zero",IF(AND(G1214&lt;&gt;"Sim",G1214&lt;&gt;"Nao",G1214&lt;&gt;""),"PC_PAGO_A_CONTRATADA invalido",IF(AND(C1214&lt;&gt;"C0",IFERROR(INDEX(parametros!$A$2:$A$6,MATCH(C1214,parametros!$B$2:$B$6,0)),"")="Sim",IFERROR(INDEX(parametros!$H$2:$H$6,MATCH(C1214,parametros!$B$2:$B$6,0)),"")=""),"INICIO_EFEITO ausente: PC "&amp;A1214&amp;" - "&amp;C1214,IF(L1214="","EFEITO_PC nao calculado: PC "&amp;A1214&amp;" - "&amp;C1214,"OK")))))))))</f>
        <v/>
      </c>
      <c r="L1214" s="92" t="str">
        <f>IF(AND(A1214="",B1214="",D1214="",G1214=""),"",IF(OR(B1214="",NOT(ISNUMBER(B1214)),C1214="",C1214="Fora dos ciclos"),"",IF(C1214="C0","Nao",IF(IFERROR(INDEX(parametros!$A$2:$A$6,MATCH(C1214,parametros!$B$2:$B$6,0)),"")&lt;&gt;"Sim","Nao",IF(IFERROR(INDEX(parametros!$H$2:$H$6,MATCH(C1214,parametros!$B$2:$B$6,0)),"")="","",IF(B1214&gt;=IFERROR(INDEX(parametros!$H$2:$H$6,MATCH(C1214,parametros!$B$2:$B$6,0)),""),"Sim","Nao"))))))</f>
        <v/>
      </c>
      <c r="T1214" s="156"/>
      <c r="U1214" s="214" t="str">
        <f t="shared" si="96"/>
        <v/>
      </c>
      <c r="V1214" s="212" t="s">
        <v>50</v>
      </c>
      <c r="W1214" s="100" t="s">
        <v>168</v>
      </c>
      <c r="X1214" s="100" t="s">
        <v>169</v>
      </c>
      <c r="Y1214" s="101" t="s">
        <v>170</v>
      </c>
      <c r="Z1214" s="101" t="s">
        <v>171</v>
      </c>
      <c r="AA1214" s="101" t="s">
        <v>50</v>
      </c>
      <c r="AB1214" s="101" t="s">
        <v>172</v>
      </c>
      <c r="AC1214" s="102" t="s">
        <v>173</v>
      </c>
    </row>
    <row r="1215" spans="1:29" ht="25.5" customHeight="1" x14ac:dyDescent="0.35">
      <c r="A1215" s="392"/>
      <c r="B1215" s="393"/>
      <c r="C1215" s="99" t="str">
        <f>IF(B1215="","",IF(NOT(ISNUMBER(B1215)),"DATA_PC invalida",IF(NOT(ISNUMBER(parametros!$C$2)),"Fora dos ciclos",IF(OR(B1215&lt;parametros!$C$2,(YEAR(B1215)-YEAR(parametros!$C$2))*12+MONTH(B1215)-MONTH(parametros!$C$2)&gt;59),"Fora dos ciclos","C"&amp;INT(((YEAR(B1215)-YEAR(parametros!$C$2))*12+MONTH(B1215)-MONTH(parametros!$C$2))/12)))))</f>
        <v/>
      </c>
      <c r="D1215" s="394"/>
      <c r="E1215" s="78" t="str">
        <f>IF(C1215="","",IFERROR(VLOOKUP(C1215,parametros!$A$11:$E$15,5,0),""))</f>
        <v/>
      </c>
      <c r="F1215" s="79" t="str">
        <f t="shared" si="92"/>
        <v/>
      </c>
      <c r="G1215" s="395"/>
      <c r="H1215" s="91">
        <f t="shared" si="93"/>
        <v>0</v>
      </c>
      <c r="I1215" s="91" t="str">
        <f t="shared" si="94"/>
        <v/>
      </c>
      <c r="J1215" s="91" t="str">
        <f t="shared" si="95"/>
        <v/>
      </c>
      <c r="K1215" s="92" t="str">
        <f>IF(AND(A1215="",B1215="",D1215="",G1215=""),"",IF(AND(A1215&lt;&gt;"",COUNTIF($A$2:$A$5001,A1215)&gt;1),"NUMERO_PC duplicado",IF(B1215="","DATA_PC vazia",IF(NOT(ISNUMBER(B1215)),"DATA_PC invalida",IF(OR(C1215="",C1215="Fora dos ciclos"),"CICLO_PC nao identificado",IF(OR(D1215="",D1215=0),"VALOR_PC vazio ou zero",IF(AND(G1215&lt;&gt;"Sim",G1215&lt;&gt;"Nao",G1215&lt;&gt;""),"PC_PAGO_A_CONTRATADA invalido",IF(AND(C1215&lt;&gt;"C0",IFERROR(INDEX(parametros!$A$2:$A$6,MATCH(C1215,parametros!$B$2:$B$6,0)),"")="Sim",IFERROR(INDEX(parametros!$H$2:$H$6,MATCH(C1215,parametros!$B$2:$B$6,0)),"")=""),"INICIO_EFEITO ausente: PC "&amp;A1215&amp;" - "&amp;C1215,IF(L1215="","EFEITO_PC nao calculado: PC "&amp;A1215&amp;" - "&amp;C1215,"OK")))))))))</f>
        <v/>
      </c>
      <c r="L1215" s="92" t="str">
        <f>IF(AND(A1215="",B1215="",D1215="",G1215=""),"",IF(OR(B1215="",NOT(ISNUMBER(B1215)),C1215="",C1215="Fora dos ciclos"),"",IF(C1215="C0","Nao",IF(IFERROR(INDEX(parametros!$A$2:$A$6,MATCH(C1215,parametros!$B$2:$B$6,0)),"")&lt;&gt;"Sim","Nao",IF(IFERROR(INDEX(parametros!$H$2:$H$6,MATCH(C1215,parametros!$B$2:$B$6,0)),"")="","",IF(B1215&gt;=IFERROR(INDEX(parametros!$H$2:$H$6,MATCH(C1215,parametros!$B$2:$B$6,0)),""),"Sim","Nao"))))))</f>
        <v/>
      </c>
      <c r="T1215" s="156"/>
      <c r="U1215" s="214" t="str">
        <f t="shared" si="96"/>
        <v/>
      </c>
      <c r="V1215" s="212" t="s">
        <v>50</v>
      </c>
      <c r="W1215" s="100" t="s">
        <v>168</v>
      </c>
      <c r="X1215" s="100" t="s">
        <v>169</v>
      </c>
      <c r="Y1215" s="101" t="s">
        <v>170</v>
      </c>
      <c r="Z1215" s="101" t="s">
        <v>171</v>
      </c>
      <c r="AA1215" s="101" t="s">
        <v>50</v>
      </c>
      <c r="AB1215" s="101" t="s">
        <v>172</v>
      </c>
      <c r="AC1215" s="102" t="s">
        <v>173</v>
      </c>
    </row>
    <row r="1216" spans="1:29" ht="25.5" customHeight="1" x14ac:dyDescent="0.35">
      <c r="A1216" s="392"/>
      <c r="B1216" s="393"/>
      <c r="C1216" s="99" t="str">
        <f>IF(B1216="","",IF(NOT(ISNUMBER(B1216)),"DATA_PC invalida",IF(NOT(ISNUMBER(parametros!$C$2)),"Fora dos ciclos",IF(OR(B1216&lt;parametros!$C$2,(YEAR(B1216)-YEAR(parametros!$C$2))*12+MONTH(B1216)-MONTH(parametros!$C$2)&gt;59),"Fora dos ciclos","C"&amp;INT(((YEAR(B1216)-YEAR(parametros!$C$2))*12+MONTH(B1216)-MONTH(parametros!$C$2))/12)))))</f>
        <v/>
      </c>
      <c r="D1216" s="394"/>
      <c r="E1216" s="78" t="str">
        <f>IF(C1216="","",IFERROR(VLOOKUP(C1216,parametros!$A$11:$E$15,5,0),""))</f>
        <v/>
      </c>
      <c r="F1216" s="79" t="str">
        <f t="shared" si="92"/>
        <v/>
      </c>
      <c r="G1216" s="395"/>
      <c r="H1216" s="91">
        <f t="shared" si="93"/>
        <v>0</v>
      </c>
      <c r="I1216" s="91" t="str">
        <f t="shared" si="94"/>
        <v/>
      </c>
      <c r="J1216" s="91" t="str">
        <f t="shared" si="95"/>
        <v/>
      </c>
      <c r="K1216" s="92" t="str">
        <f>IF(AND(A1216="",B1216="",D1216="",G1216=""),"",IF(AND(A1216&lt;&gt;"",COUNTIF($A$2:$A$5001,A1216)&gt;1),"NUMERO_PC duplicado",IF(B1216="","DATA_PC vazia",IF(NOT(ISNUMBER(B1216)),"DATA_PC invalida",IF(OR(C1216="",C1216="Fora dos ciclos"),"CICLO_PC nao identificado",IF(OR(D1216="",D1216=0),"VALOR_PC vazio ou zero",IF(AND(G1216&lt;&gt;"Sim",G1216&lt;&gt;"Nao",G1216&lt;&gt;""),"PC_PAGO_A_CONTRATADA invalido",IF(AND(C1216&lt;&gt;"C0",IFERROR(INDEX(parametros!$A$2:$A$6,MATCH(C1216,parametros!$B$2:$B$6,0)),"")="Sim",IFERROR(INDEX(parametros!$H$2:$H$6,MATCH(C1216,parametros!$B$2:$B$6,0)),"")=""),"INICIO_EFEITO ausente: PC "&amp;A1216&amp;" - "&amp;C1216,IF(L1216="","EFEITO_PC nao calculado: PC "&amp;A1216&amp;" - "&amp;C1216,"OK")))))))))</f>
        <v/>
      </c>
      <c r="L1216" s="92" t="str">
        <f>IF(AND(A1216="",B1216="",D1216="",G1216=""),"",IF(OR(B1216="",NOT(ISNUMBER(B1216)),C1216="",C1216="Fora dos ciclos"),"",IF(C1216="C0","Nao",IF(IFERROR(INDEX(parametros!$A$2:$A$6,MATCH(C1216,parametros!$B$2:$B$6,0)),"")&lt;&gt;"Sim","Nao",IF(IFERROR(INDEX(parametros!$H$2:$H$6,MATCH(C1216,parametros!$B$2:$B$6,0)),"")="","",IF(B1216&gt;=IFERROR(INDEX(parametros!$H$2:$H$6,MATCH(C1216,parametros!$B$2:$B$6,0)),""),"Sim","Nao"))))))</f>
        <v/>
      </c>
      <c r="T1216" s="156"/>
      <c r="U1216" s="214" t="str">
        <f t="shared" si="96"/>
        <v/>
      </c>
      <c r="V1216" s="212" t="s">
        <v>50</v>
      </c>
      <c r="W1216" s="100" t="s">
        <v>168</v>
      </c>
      <c r="X1216" s="100" t="s">
        <v>169</v>
      </c>
      <c r="Y1216" s="101" t="s">
        <v>170</v>
      </c>
      <c r="Z1216" s="101" t="s">
        <v>171</v>
      </c>
      <c r="AA1216" s="101" t="s">
        <v>50</v>
      </c>
      <c r="AB1216" s="101" t="s">
        <v>172</v>
      </c>
      <c r="AC1216" s="102" t="s">
        <v>173</v>
      </c>
    </row>
    <row r="1217" spans="1:29" ht="25.5" customHeight="1" x14ac:dyDescent="0.35">
      <c r="A1217" s="392"/>
      <c r="B1217" s="393"/>
      <c r="C1217" s="99" t="str">
        <f>IF(B1217="","",IF(NOT(ISNUMBER(B1217)),"DATA_PC invalida",IF(NOT(ISNUMBER(parametros!$C$2)),"Fora dos ciclos",IF(OR(B1217&lt;parametros!$C$2,(YEAR(B1217)-YEAR(parametros!$C$2))*12+MONTH(B1217)-MONTH(parametros!$C$2)&gt;59),"Fora dos ciclos","C"&amp;INT(((YEAR(B1217)-YEAR(parametros!$C$2))*12+MONTH(B1217)-MONTH(parametros!$C$2))/12)))))</f>
        <v/>
      </c>
      <c r="D1217" s="394"/>
      <c r="E1217" s="78" t="str">
        <f>IF(C1217="","",IFERROR(VLOOKUP(C1217,parametros!$A$11:$E$15,5,0),""))</f>
        <v/>
      </c>
      <c r="F1217" s="79" t="str">
        <f t="shared" si="92"/>
        <v/>
      </c>
      <c r="G1217" s="395"/>
      <c r="H1217" s="91">
        <f t="shared" si="93"/>
        <v>0</v>
      </c>
      <c r="I1217" s="91" t="str">
        <f t="shared" si="94"/>
        <v/>
      </c>
      <c r="J1217" s="91" t="str">
        <f t="shared" si="95"/>
        <v/>
      </c>
      <c r="K1217" s="92" t="str">
        <f>IF(AND(A1217="",B1217="",D1217="",G1217=""),"",IF(AND(A1217&lt;&gt;"",COUNTIF($A$2:$A$5001,A1217)&gt;1),"NUMERO_PC duplicado",IF(B1217="","DATA_PC vazia",IF(NOT(ISNUMBER(B1217)),"DATA_PC invalida",IF(OR(C1217="",C1217="Fora dos ciclos"),"CICLO_PC nao identificado",IF(OR(D1217="",D1217=0),"VALOR_PC vazio ou zero",IF(AND(G1217&lt;&gt;"Sim",G1217&lt;&gt;"Nao",G1217&lt;&gt;""),"PC_PAGO_A_CONTRATADA invalido",IF(AND(C1217&lt;&gt;"C0",IFERROR(INDEX(parametros!$A$2:$A$6,MATCH(C1217,parametros!$B$2:$B$6,0)),"")="Sim",IFERROR(INDEX(parametros!$H$2:$H$6,MATCH(C1217,parametros!$B$2:$B$6,0)),"")=""),"INICIO_EFEITO ausente: PC "&amp;A1217&amp;" - "&amp;C1217,IF(L1217="","EFEITO_PC nao calculado: PC "&amp;A1217&amp;" - "&amp;C1217,"OK")))))))))</f>
        <v/>
      </c>
      <c r="L1217" s="92" t="str">
        <f>IF(AND(A1217="",B1217="",D1217="",G1217=""),"",IF(OR(B1217="",NOT(ISNUMBER(B1217)),C1217="",C1217="Fora dos ciclos"),"",IF(C1217="C0","Nao",IF(IFERROR(INDEX(parametros!$A$2:$A$6,MATCH(C1217,parametros!$B$2:$B$6,0)),"")&lt;&gt;"Sim","Nao",IF(IFERROR(INDEX(parametros!$H$2:$H$6,MATCH(C1217,parametros!$B$2:$B$6,0)),"")="","",IF(B1217&gt;=IFERROR(INDEX(parametros!$H$2:$H$6,MATCH(C1217,parametros!$B$2:$B$6,0)),""),"Sim","Nao"))))))</f>
        <v/>
      </c>
      <c r="T1217" s="156"/>
      <c r="U1217" s="214" t="str">
        <f t="shared" si="96"/>
        <v/>
      </c>
      <c r="V1217" s="212" t="s">
        <v>50</v>
      </c>
      <c r="W1217" s="100" t="s">
        <v>168</v>
      </c>
      <c r="X1217" s="100" t="s">
        <v>169</v>
      </c>
      <c r="Y1217" s="101" t="s">
        <v>170</v>
      </c>
      <c r="Z1217" s="101" t="s">
        <v>171</v>
      </c>
      <c r="AA1217" s="101" t="s">
        <v>50</v>
      </c>
      <c r="AB1217" s="101" t="s">
        <v>172</v>
      </c>
      <c r="AC1217" s="102" t="s">
        <v>173</v>
      </c>
    </row>
    <row r="1218" spans="1:29" ht="25.5" customHeight="1" x14ac:dyDescent="0.35">
      <c r="A1218" s="392"/>
      <c r="B1218" s="393"/>
      <c r="C1218" s="99" t="str">
        <f>IF(B1218="","",IF(NOT(ISNUMBER(B1218)),"DATA_PC invalida",IF(NOT(ISNUMBER(parametros!$C$2)),"Fora dos ciclos",IF(OR(B1218&lt;parametros!$C$2,(YEAR(B1218)-YEAR(parametros!$C$2))*12+MONTH(B1218)-MONTH(parametros!$C$2)&gt;59),"Fora dos ciclos","C"&amp;INT(((YEAR(B1218)-YEAR(parametros!$C$2))*12+MONTH(B1218)-MONTH(parametros!$C$2))/12)))))</f>
        <v/>
      </c>
      <c r="D1218" s="394"/>
      <c r="E1218" s="78" t="str">
        <f>IF(C1218="","",IFERROR(VLOOKUP(C1218,parametros!$A$11:$E$15,5,0),""))</f>
        <v/>
      </c>
      <c r="F1218" s="79" t="str">
        <f t="shared" ref="F1218:F1281" si="97">IF(OR(D1218="",E1218=""),"",ROUND(D1218*E1218,2))</f>
        <v/>
      </c>
      <c r="G1218" s="395"/>
      <c r="H1218" s="91">
        <f t="shared" ref="H1218:H1281" si="98">IF(G1218="Sim",IF(OR(F1218="",D1218="",L1218=""),"",IF(L1218="Sim",ROUND(F1218-D1218,2),0)),0)</f>
        <v>0</v>
      </c>
      <c r="I1218" s="91" t="str">
        <f t="shared" ref="I1218:I1281" si="99">IF(G1218="Sim",0,IF(OR(F1218="",L1218=""),"",F1218))</f>
        <v/>
      </c>
      <c r="J1218" s="91" t="str">
        <f t="shared" ref="J1218:J1281" si="100">IF(G1218="Sim",0,IF(OR(F1218="",D1218="",L1218=""),"",IF(L1218="Sim",ROUND(F1218-D1218,2),0)))</f>
        <v/>
      </c>
      <c r="K1218" s="92" t="str">
        <f>IF(AND(A1218="",B1218="",D1218="",G1218=""),"",IF(AND(A1218&lt;&gt;"",COUNTIF($A$2:$A$5001,A1218)&gt;1),"NUMERO_PC duplicado",IF(B1218="","DATA_PC vazia",IF(NOT(ISNUMBER(B1218)),"DATA_PC invalida",IF(OR(C1218="",C1218="Fora dos ciclos"),"CICLO_PC nao identificado",IF(OR(D1218="",D1218=0),"VALOR_PC vazio ou zero",IF(AND(G1218&lt;&gt;"Sim",G1218&lt;&gt;"Nao",G1218&lt;&gt;""),"PC_PAGO_A_CONTRATADA invalido",IF(AND(C1218&lt;&gt;"C0",IFERROR(INDEX(parametros!$A$2:$A$6,MATCH(C1218,parametros!$B$2:$B$6,0)),"")="Sim",IFERROR(INDEX(parametros!$H$2:$H$6,MATCH(C1218,parametros!$B$2:$B$6,0)),"")=""),"INICIO_EFEITO ausente: PC "&amp;A1218&amp;" - "&amp;C1218,IF(L1218="","EFEITO_PC nao calculado: PC "&amp;A1218&amp;" - "&amp;C1218,"OK")))))))))</f>
        <v/>
      </c>
      <c r="L1218" s="92" t="str">
        <f>IF(AND(A1218="",B1218="",D1218="",G1218=""),"",IF(OR(B1218="",NOT(ISNUMBER(B1218)),C1218="",C1218="Fora dos ciclos"),"",IF(C1218="C0","Nao",IF(IFERROR(INDEX(parametros!$A$2:$A$6,MATCH(C1218,parametros!$B$2:$B$6,0)),"")&lt;&gt;"Sim","Nao",IF(IFERROR(INDEX(parametros!$H$2:$H$6,MATCH(C1218,parametros!$B$2:$B$6,0)),"")="","",IF(B1218&gt;=IFERROR(INDEX(parametros!$H$2:$H$6,MATCH(C1218,parametros!$B$2:$B$6,0)),""),"Sim","Nao"))))))</f>
        <v/>
      </c>
      <c r="T1218" s="156"/>
      <c r="U1218" s="214" t="str">
        <f t="shared" ref="U1218:U1281" si="101">IF(OR($D1218="",$H1218=""),"",ROUND($D1218+$H1218,2))</f>
        <v/>
      </c>
      <c r="V1218" s="212" t="s">
        <v>50</v>
      </c>
      <c r="W1218" s="100" t="s">
        <v>168</v>
      </c>
      <c r="X1218" s="100" t="s">
        <v>169</v>
      </c>
      <c r="Y1218" s="101" t="s">
        <v>170</v>
      </c>
      <c r="Z1218" s="101" t="s">
        <v>171</v>
      </c>
      <c r="AA1218" s="101" t="s">
        <v>50</v>
      </c>
      <c r="AB1218" s="101" t="s">
        <v>172</v>
      </c>
      <c r="AC1218" s="102" t="s">
        <v>173</v>
      </c>
    </row>
    <row r="1219" spans="1:29" ht="25.5" customHeight="1" x14ac:dyDescent="0.35">
      <c r="A1219" s="392"/>
      <c r="B1219" s="393"/>
      <c r="C1219" s="99" t="str">
        <f>IF(B1219="","",IF(NOT(ISNUMBER(B1219)),"DATA_PC invalida",IF(NOT(ISNUMBER(parametros!$C$2)),"Fora dos ciclos",IF(OR(B1219&lt;parametros!$C$2,(YEAR(B1219)-YEAR(parametros!$C$2))*12+MONTH(B1219)-MONTH(parametros!$C$2)&gt;59),"Fora dos ciclos","C"&amp;INT(((YEAR(B1219)-YEAR(parametros!$C$2))*12+MONTH(B1219)-MONTH(parametros!$C$2))/12)))))</f>
        <v/>
      </c>
      <c r="D1219" s="394"/>
      <c r="E1219" s="78" t="str">
        <f>IF(C1219="","",IFERROR(VLOOKUP(C1219,parametros!$A$11:$E$15,5,0),""))</f>
        <v/>
      </c>
      <c r="F1219" s="79" t="str">
        <f t="shared" si="97"/>
        <v/>
      </c>
      <c r="G1219" s="395"/>
      <c r="H1219" s="91">
        <f t="shared" si="98"/>
        <v>0</v>
      </c>
      <c r="I1219" s="91" t="str">
        <f t="shared" si="99"/>
        <v/>
      </c>
      <c r="J1219" s="91" t="str">
        <f t="shared" si="100"/>
        <v/>
      </c>
      <c r="K1219" s="92" t="str">
        <f>IF(AND(A1219="",B1219="",D1219="",G1219=""),"",IF(AND(A1219&lt;&gt;"",COUNTIF($A$2:$A$5001,A1219)&gt;1),"NUMERO_PC duplicado",IF(B1219="","DATA_PC vazia",IF(NOT(ISNUMBER(B1219)),"DATA_PC invalida",IF(OR(C1219="",C1219="Fora dos ciclos"),"CICLO_PC nao identificado",IF(OR(D1219="",D1219=0),"VALOR_PC vazio ou zero",IF(AND(G1219&lt;&gt;"Sim",G1219&lt;&gt;"Nao",G1219&lt;&gt;""),"PC_PAGO_A_CONTRATADA invalido",IF(AND(C1219&lt;&gt;"C0",IFERROR(INDEX(parametros!$A$2:$A$6,MATCH(C1219,parametros!$B$2:$B$6,0)),"")="Sim",IFERROR(INDEX(parametros!$H$2:$H$6,MATCH(C1219,parametros!$B$2:$B$6,0)),"")=""),"INICIO_EFEITO ausente: PC "&amp;A1219&amp;" - "&amp;C1219,IF(L1219="","EFEITO_PC nao calculado: PC "&amp;A1219&amp;" - "&amp;C1219,"OK")))))))))</f>
        <v/>
      </c>
      <c r="L1219" s="92" t="str">
        <f>IF(AND(A1219="",B1219="",D1219="",G1219=""),"",IF(OR(B1219="",NOT(ISNUMBER(B1219)),C1219="",C1219="Fora dos ciclos"),"",IF(C1219="C0","Nao",IF(IFERROR(INDEX(parametros!$A$2:$A$6,MATCH(C1219,parametros!$B$2:$B$6,0)),"")&lt;&gt;"Sim","Nao",IF(IFERROR(INDEX(parametros!$H$2:$H$6,MATCH(C1219,parametros!$B$2:$B$6,0)),"")="","",IF(B1219&gt;=IFERROR(INDEX(parametros!$H$2:$H$6,MATCH(C1219,parametros!$B$2:$B$6,0)),""),"Sim","Nao"))))))</f>
        <v/>
      </c>
      <c r="T1219" s="156"/>
      <c r="U1219" s="214" t="str">
        <f t="shared" si="101"/>
        <v/>
      </c>
      <c r="V1219" s="212" t="s">
        <v>50</v>
      </c>
      <c r="W1219" s="100" t="s">
        <v>168</v>
      </c>
      <c r="X1219" s="100" t="s">
        <v>169</v>
      </c>
      <c r="Y1219" s="101" t="s">
        <v>170</v>
      </c>
      <c r="Z1219" s="101" t="s">
        <v>171</v>
      </c>
      <c r="AA1219" s="101" t="s">
        <v>50</v>
      </c>
      <c r="AB1219" s="101" t="s">
        <v>172</v>
      </c>
      <c r="AC1219" s="102" t="s">
        <v>173</v>
      </c>
    </row>
    <row r="1220" spans="1:29" ht="25.5" customHeight="1" x14ac:dyDescent="0.35">
      <c r="A1220" s="392"/>
      <c r="B1220" s="393"/>
      <c r="C1220" s="99" t="str">
        <f>IF(B1220="","",IF(NOT(ISNUMBER(B1220)),"DATA_PC invalida",IF(NOT(ISNUMBER(parametros!$C$2)),"Fora dos ciclos",IF(OR(B1220&lt;parametros!$C$2,(YEAR(B1220)-YEAR(parametros!$C$2))*12+MONTH(B1220)-MONTH(parametros!$C$2)&gt;59),"Fora dos ciclos","C"&amp;INT(((YEAR(B1220)-YEAR(parametros!$C$2))*12+MONTH(B1220)-MONTH(parametros!$C$2))/12)))))</f>
        <v/>
      </c>
      <c r="D1220" s="394"/>
      <c r="E1220" s="78" t="str">
        <f>IF(C1220="","",IFERROR(VLOOKUP(C1220,parametros!$A$11:$E$15,5,0),""))</f>
        <v/>
      </c>
      <c r="F1220" s="79" t="str">
        <f t="shared" si="97"/>
        <v/>
      </c>
      <c r="G1220" s="395"/>
      <c r="H1220" s="91">
        <f t="shared" si="98"/>
        <v>0</v>
      </c>
      <c r="I1220" s="91" t="str">
        <f t="shared" si="99"/>
        <v/>
      </c>
      <c r="J1220" s="91" t="str">
        <f t="shared" si="100"/>
        <v/>
      </c>
      <c r="K1220" s="92" t="str">
        <f>IF(AND(A1220="",B1220="",D1220="",G1220=""),"",IF(AND(A1220&lt;&gt;"",COUNTIF($A$2:$A$5001,A1220)&gt;1),"NUMERO_PC duplicado",IF(B1220="","DATA_PC vazia",IF(NOT(ISNUMBER(B1220)),"DATA_PC invalida",IF(OR(C1220="",C1220="Fora dos ciclos"),"CICLO_PC nao identificado",IF(OR(D1220="",D1220=0),"VALOR_PC vazio ou zero",IF(AND(G1220&lt;&gt;"Sim",G1220&lt;&gt;"Nao",G1220&lt;&gt;""),"PC_PAGO_A_CONTRATADA invalido",IF(AND(C1220&lt;&gt;"C0",IFERROR(INDEX(parametros!$A$2:$A$6,MATCH(C1220,parametros!$B$2:$B$6,0)),"")="Sim",IFERROR(INDEX(parametros!$H$2:$H$6,MATCH(C1220,parametros!$B$2:$B$6,0)),"")=""),"INICIO_EFEITO ausente: PC "&amp;A1220&amp;" - "&amp;C1220,IF(L1220="","EFEITO_PC nao calculado: PC "&amp;A1220&amp;" - "&amp;C1220,"OK")))))))))</f>
        <v/>
      </c>
      <c r="L1220" s="92" t="str">
        <f>IF(AND(A1220="",B1220="",D1220="",G1220=""),"",IF(OR(B1220="",NOT(ISNUMBER(B1220)),C1220="",C1220="Fora dos ciclos"),"",IF(C1220="C0","Nao",IF(IFERROR(INDEX(parametros!$A$2:$A$6,MATCH(C1220,parametros!$B$2:$B$6,0)),"")&lt;&gt;"Sim","Nao",IF(IFERROR(INDEX(parametros!$H$2:$H$6,MATCH(C1220,parametros!$B$2:$B$6,0)),"")="","",IF(B1220&gt;=IFERROR(INDEX(parametros!$H$2:$H$6,MATCH(C1220,parametros!$B$2:$B$6,0)),""),"Sim","Nao"))))))</f>
        <v/>
      </c>
      <c r="T1220" s="156"/>
      <c r="U1220" s="214" t="str">
        <f t="shared" si="101"/>
        <v/>
      </c>
      <c r="V1220" s="212" t="s">
        <v>50</v>
      </c>
      <c r="W1220" s="100" t="s">
        <v>168</v>
      </c>
      <c r="X1220" s="100" t="s">
        <v>169</v>
      </c>
      <c r="Y1220" s="101" t="s">
        <v>170</v>
      </c>
      <c r="Z1220" s="101" t="s">
        <v>171</v>
      </c>
      <c r="AA1220" s="101" t="s">
        <v>50</v>
      </c>
      <c r="AB1220" s="101" t="s">
        <v>172</v>
      </c>
      <c r="AC1220" s="102" t="s">
        <v>173</v>
      </c>
    </row>
    <row r="1221" spans="1:29" ht="25.5" customHeight="1" x14ac:dyDescent="0.35">
      <c r="A1221" s="392"/>
      <c r="B1221" s="393"/>
      <c r="C1221" s="99" t="str">
        <f>IF(B1221="","",IF(NOT(ISNUMBER(B1221)),"DATA_PC invalida",IF(NOT(ISNUMBER(parametros!$C$2)),"Fora dos ciclos",IF(OR(B1221&lt;parametros!$C$2,(YEAR(B1221)-YEAR(parametros!$C$2))*12+MONTH(B1221)-MONTH(parametros!$C$2)&gt;59),"Fora dos ciclos","C"&amp;INT(((YEAR(B1221)-YEAR(parametros!$C$2))*12+MONTH(B1221)-MONTH(parametros!$C$2))/12)))))</f>
        <v/>
      </c>
      <c r="D1221" s="394"/>
      <c r="E1221" s="78" t="str">
        <f>IF(C1221="","",IFERROR(VLOOKUP(C1221,parametros!$A$11:$E$15,5,0),""))</f>
        <v/>
      </c>
      <c r="F1221" s="79" t="str">
        <f t="shared" si="97"/>
        <v/>
      </c>
      <c r="G1221" s="395"/>
      <c r="H1221" s="91">
        <f t="shared" si="98"/>
        <v>0</v>
      </c>
      <c r="I1221" s="91" t="str">
        <f t="shared" si="99"/>
        <v/>
      </c>
      <c r="J1221" s="91" t="str">
        <f t="shared" si="100"/>
        <v/>
      </c>
      <c r="K1221" s="92" t="str">
        <f>IF(AND(A1221="",B1221="",D1221="",G1221=""),"",IF(AND(A1221&lt;&gt;"",COUNTIF($A$2:$A$5001,A1221)&gt;1),"NUMERO_PC duplicado",IF(B1221="","DATA_PC vazia",IF(NOT(ISNUMBER(B1221)),"DATA_PC invalida",IF(OR(C1221="",C1221="Fora dos ciclos"),"CICLO_PC nao identificado",IF(OR(D1221="",D1221=0),"VALOR_PC vazio ou zero",IF(AND(G1221&lt;&gt;"Sim",G1221&lt;&gt;"Nao",G1221&lt;&gt;""),"PC_PAGO_A_CONTRATADA invalido",IF(AND(C1221&lt;&gt;"C0",IFERROR(INDEX(parametros!$A$2:$A$6,MATCH(C1221,parametros!$B$2:$B$6,0)),"")="Sim",IFERROR(INDEX(parametros!$H$2:$H$6,MATCH(C1221,parametros!$B$2:$B$6,0)),"")=""),"INICIO_EFEITO ausente: PC "&amp;A1221&amp;" - "&amp;C1221,IF(L1221="","EFEITO_PC nao calculado: PC "&amp;A1221&amp;" - "&amp;C1221,"OK")))))))))</f>
        <v/>
      </c>
      <c r="L1221" s="92" t="str">
        <f>IF(AND(A1221="",B1221="",D1221="",G1221=""),"",IF(OR(B1221="",NOT(ISNUMBER(B1221)),C1221="",C1221="Fora dos ciclos"),"",IF(C1221="C0","Nao",IF(IFERROR(INDEX(parametros!$A$2:$A$6,MATCH(C1221,parametros!$B$2:$B$6,0)),"")&lt;&gt;"Sim","Nao",IF(IFERROR(INDEX(parametros!$H$2:$H$6,MATCH(C1221,parametros!$B$2:$B$6,0)),"")="","",IF(B1221&gt;=IFERROR(INDEX(parametros!$H$2:$H$6,MATCH(C1221,parametros!$B$2:$B$6,0)),""),"Sim","Nao"))))))</f>
        <v/>
      </c>
      <c r="T1221" s="156"/>
      <c r="U1221" s="214" t="str">
        <f t="shared" si="101"/>
        <v/>
      </c>
      <c r="V1221" s="212" t="s">
        <v>50</v>
      </c>
      <c r="W1221" s="100" t="s">
        <v>168</v>
      </c>
      <c r="X1221" s="100" t="s">
        <v>169</v>
      </c>
      <c r="Y1221" s="101" t="s">
        <v>170</v>
      </c>
      <c r="Z1221" s="101" t="s">
        <v>171</v>
      </c>
      <c r="AA1221" s="101" t="s">
        <v>50</v>
      </c>
      <c r="AB1221" s="101" t="s">
        <v>172</v>
      </c>
      <c r="AC1221" s="102" t="s">
        <v>173</v>
      </c>
    </row>
    <row r="1222" spans="1:29" ht="25.5" customHeight="1" x14ac:dyDescent="0.35">
      <c r="A1222" s="392"/>
      <c r="B1222" s="393"/>
      <c r="C1222" s="99" t="str">
        <f>IF(B1222="","",IF(NOT(ISNUMBER(B1222)),"DATA_PC invalida",IF(NOT(ISNUMBER(parametros!$C$2)),"Fora dos ciclos",IF(OR(B1222&lt;parametros!$C$2,(YEAR(B1222)-YEAR(parametros!$C$2))*12+MONTH(B1222)-MONTH(parametros!$C$2)&gt;59),"Fora dos ciclos","C"&amp;INT(((YEAR(B1222)-YEAR(parametros!$C$2))*12+MONTH(B1222)-MONTH(parametros!$C$2))/12)))))</f>
        <v/>
      </c>
      <c r="D1222" s="394"/>
      <c r="E1222" s="78" t="str">
        <f>IF(C1222="","",IFERROR(VLOOKUP(C1222,parametros!$A$11:$E$15,5,0),""))</f>
        <v/>
      </c>
      <c r="F1222" s="79" t="str">
        <f t="shared" si="97"/>
        <v/>
      </c>
      <c r="G1222" s="395"/>
      <c r="H1222" s="91">
        <f t="shared" si="98"/>
        <v>0</v>
      </c>
      <c r="I1222" s="91" t="str">
        <f t="shared" si="99"/>
        <v/>
      </c>
      <c r="J1222" s="91" t="str">
        <f t="shared" si="100"/>
        <v/>
      </c>
      <c r="K1222" s="92" t="str">
        <f>IF(AND(A1222="",B1222="",D1222="",G1222=""),"",IF(AND(A1222&lt;&gt;"",COUNTIF($A$2:$A$5001,A1222)&gt;1),"NUMERO_PC duplicado",IF(B1222="","DATA_PC vazia",IF(NOT(ISNUMBER(B1222)),"DATA_PC invalida",IF(OR(C1222="",C1222="Fora dos ciclos"),"CICLO_PC nao identificado",IF(OR(D1222="",D1222=0),"VALOR_PC vazio ou zero",IF(AND(G1222&lt;&gt;"Sim",G1222&lt;&gt;"Nao",G1222&lt;&gt;""),"PC_PAGO_A_CONTRATADA invalido",IF(AND(C1222&lt;&gt;"C0",IFERROR(INDEX(parametros!$A$2:$A$6,MATCH(C1222,parametros!$B$2:$B$6,0)),"")="Sim",IFERROR(INDEX(parametros!$H$2:$H$6,MATCH(C1222,parametros!$B$2:$B$6,0)),"")=""),"INICIO_EFEITO ausente: PC "&amp;A1222&amp;" - "&amp;C1222,IF(L1222="","EFEITO_PC nao calculado: PC "&amp;A1222&amp;" - "&amp;C1222,"OK")))))))))</f>
        <v/>
      </c>
      <c r="L1222" s="92" t="str">
        <f>IF(AND(A1222="",B1222="",D1222="",G1222=""),"",IF(OR(B1222="",NOT(ISNUMBER(B1222)),C1222="",C1222="Fora dos ciclos"),"",IF(C1222="C0","Nao",IF(IFERROR(INDEX(parametros!$A$2:$A$6,MATCH(C1222,parametros!$B$2:$B$6,0)),"")&lt;&gt;"Sim","Nao",IF(IFERROR(INDEX(parametros!$H$2:$H$6,MATCH(C1222,parametros!$B$2:$B$6,0)),"")="","",IF(B1222&gt;=IFERROR(INDEX(parametros!$H$2:$H$6,MATCH(C1222,parametros!$B$2:$B$6,0)),""),"Sim","Nao"))))))</f>
        <v/>
      </c>
      <c r="T1222" s="156"/>
      <c r="U1222" s="214" t="str">
        <f t="shared" si="101"/>
        <v/>
      </c>
      <c r="V1222" s="212" t="s">
        <v>50</v>
      </c>
      <c r="W1222" s="100" t="s">
        <v>168</v>
      </c>
      <c r="X1222" s="100" t="s">
        <v>169</v>
      </c>
      <c r="Y1222" s="101" t="s">
        <v>170</v>
      </c>
      <c r="Z1222" s="101" t="s">
        <v>171</v>
      </c>
      <c r="AA1222" s="101" t="s">
        <v>50</v>
      </c>
      <c r="AB1222" s="101" t="s">
        <v>172</v>
      </c>
      <c r="AC1222" s="102" t="s">
        <v>173</v>
      </c>
    </row>
    <row r="1223" spans="1:29" ht="25.5" customHeight="1" x14ac:dyDescent="0.35">
      <c r="A1223" s="392"/>
      <c r="B1223" s="393"/>
      <c r="C1223" s="99" t="str">
        <f>IF(B1223="","",IF(NOT(ISNUMBER(B1223)),"DATA_PC invalida",IF(NOT(ISNUMBER(parametros!$C$2)),"Fora dos ciclos",IF(OR(B1223&lt;parametros!$C$2,(YEAR(B1223)-YEAR(parametros!$C$2))*12+MONTH(B1223)-MONTH(parametros!$C$2)&gt;59),"Fora dos ciclos","C"&amp;INT(((YEAR(B1223)-YEAR(parametros!$C$2))*12+MONTH(B1223)-MONTH(parametros!$C$2))/12)))))</f>
        <v/>
      </c>
      <c r="D1223" s="394"/>
      <c r="E1223" s="78" t="str">
        <f>IF(C1223="","",IFERROR(VLOOKUP(C1223,parametros!$A$11:$E$15,5,0),""))</f>
        <v/>
      </c>
      <c r="F1223" s="79" t="str">
        <f t="shared" si="97"/>
        <v/>
      </c>
      <c r="G1223" s="395"/>
      <c r="H1223" s="91">
        <f t="shared" si="98"/>
        <v>0</v>
      </c>
      <c r="I1223" s="91" t="str">
        <f t="shared" si="99"/>
        <v/>
      </c>
      <c r="J1223" s="91" t="str">
        <f t="shared" si="100"/>
        <v/>
      </c>
      <c r="K1223" s="92" t="str">
        <f>IF(AND(A1223="",B1223="",D1223="",G1223=""),"",IF(AND(A1223&lt;&gt;"",COUNTIF($A$2:$A$5001,A1223)&gt;1),"NUMERO_PC duplicado",IF(B1223="","DATA_PC vazia",IF(NOT(ISNUMBER(B1223)),"DATA_PC invalida",IF(OR(C1223="",C1223="Fora dos ciclos"),"CICLO_PC nao identificado",IF(OR(D1223="",D1223=0),"VALOR_PC vazio ou zero",IF(AND(G1223&lt;&gt;"Sim",G1223&lt;&gt;"Nao",G1223&lt;&gt;""),"PC_PAGO_A_CONTRATADA invalido",IF(AND(C1223&lt;&gt;"C0",IFERROR(INDEX(parametros!$A$2:$A$6,MATCH(C1223,parametros!$B$2:$B$6,0)),"")="Sim",IFERROR(INDEX(parametros!$H$2:$H$6,MATCH(C1223,parametros!$B$2:$B$6,0)),"")=""),"INICIO_EFEITO ausente: PC "&amp;A1223&amp;" - "&amp;C1223,IF(L1223="","EFEITO_PC nao calculado: PC "&amp;A1223&amp;" - "&amp;C1223,"OK")))))))))</f>
        <v/>
      </c>
      <c r="L1223" s="92" t="str">
        <f>IF(AND(A1223="",B1223="",D1223="",G1223=""),"",IF(OR(B1223="",NOT(ISNUMBER(B1223)),C1223="",C1223="Fora dos ciclos"),"",IF(C1223="C0","Nao",IF(IFERROR(INDEX(parametros!$A$2:$A$6,MATCH(C1223,parametros!$B$2:$B$6,0)),"")&lt;&gt;"Sim","Nao",IF(IFERROR(INDEX(parametros!$H$2:$H$6,MATCH(C1223,parametros!$B$2:$B$6,0)),"")="","",IF(B1223&gt;=IFERROR(INDEX(parametros!$H$2:$H$6,MATCH(C1223,parametros!$B$2:$B$6,0)),""),"Sim","Nao"))))))</f>
        <v/>
      </c>
      <c r="T1223" s="156"/>
      <c r="U1223" s="214" t="str">
        <f t="shared" si="101"/>
        <v/>
      </c>
      <c r="V1223" s="212" t="s">
        <v>50</v>
      </c>
      <c r="W1223" s="100" t="s">
        <v>168</v>
      </c>
      <c r="X1223" s="100" t="s">
        <v>169</v>
      </c>
      <c r="Y1223" s="101" t="s">
        <v>170</v>
      </c>
      <c r="Z1223" s="101" t="s">
        <v>171</v>
      </c>
      <c r="AA1223" s="101" t="s">
        <v>50</v>
      </c>
      <c r="AB1223" s="101" t="s">
        <v>172</v>
      </c>
      <c r="AC1223" s="102" t="s">
        <v>173</v>
      </c>
    </row>
    <row r="1224" spans="1:29" ht="25.5" customHeight="1" x14ac:dyDescent="0.35">
      <c r="A1224" s="392"/>
      <c r="B1224" s="393"/>
      <c r="C1224" s="99" t="str">
        <f>IF(B1224="","",IF(NOT(ISNUMBER(B1224)),"DATA_PC invalida",IF(NOT(ISNUMBER(parametros!$C$2)),"Fora dos ciclos",IF(OR(B1224&lt;parametros!$C$2,(YEAR(B1224)-YEAR(parametros!$C$2))*12+MONTH(B1224)-MONTH(parametros!$C$2)&gt;59),"Fora dos ciclos","C"&amp;INT(((YEAR(B1224)-YEAR(parametros!$C$2))*12+MONTH(B1224)-MONTH(parametros!$C$2))/12)))))</f>
        <v/>
      </c>
      <c r="D1224" s="394"/>
      <c r="E1224" s="78" t="str">
        <f>IF(C1224="","",IFERROR(VLOOKUP(C1224,parametros!$A$11:$E$15,5,0),""))</f>
        <v/>
      </c>
      <c r="F1224" s="79" t="str">
        <f t="shared" si="97"/>
        <v/>
      </c>
      <c r="G1224" s="395"/>
      <c r="H1224" s="91">
        <f t="shared" si="98"/>
        <v>0</v>
      </c>
      <c r="I1224" s="91" t="str">
        <f t="shared" si="99"/>
        <v/>
      </c>
      <c r="J1224" s="91" t="str">
        <f t="shared" si="100"/>
        <v/>
      </c>
      <c r="K1224" s="92" t="str">
        <f>IF(AND(A1224="",B1224="",D1224="",G1224=""),"",IF(AND(A1224&lt;&gt;"",COUNTIF($A$2:$A$5001,A1224)&gt;1),"NUMERO_PC duplicado",IF(B1224="","DATA_PC vazia",IF(NOT(ISNUMBER(B1224)),"DATA_PC invalida",IF(OR(C1224="",C1224="Fora dos ciclos"),"CICLO_PC nao identificado",IF(OR(D1224="",D1224=0),"VALOR_PC vazio ou zero",IF(AND(G1224&lt;&gt;"Sim",G1224&lt;&gt;"Nao",G1224&lt;&gt;""),"PC_PAGO_A_CONTRATADA invalido",IF(AND(C1224&lt;&gt;"C0",IFERROR(INDEX(parametros!$A$2:$A$6,MATCH(C1224,parametros!$B$2:$B$6,0)),"")="Sim",IFERROR(INDEX(parametros!$H$2:$H$6,MATCH(C1224,parametros!$B$2:$B$6,0)),"")=""),"INICIO_EFEITO ausente: PC "&amp;A1224&amp;" - "&amp;C1224,IF(L1224="","EFEITO_PC nao calculado: PC "&amp;A1224&amp;" - "&amp;C1224,"OK")))))))))</f>
        <v/>
      </c>
      <c r="L1224" s="92" t="str">
        <f>IF(AND(A1224="",B1224="",D1224="",G1224=""),"",IF(OR(B1224="",NOT(ISNUMBER(B1224)),C1224="",C1224="Fora dos ciclos"),"",IF(C1224="C0","Nao",IF(IFERROR(INDEX(parametros!$A$2:$A$6,MATCH(C1224,parametros!$B$2:$B$6,0)),"")&lt;&gt;"Sim","Nao",IF(IFERROR(INDEX(parametros!$H$2:$H$6,MATCH(C1224,parametros!$B$2:$B$6,0)),"")="","",IF(B1224&gt;=IFERROR(INDEX(parametros!$H$2:$H$6,MATCH(C1224,parametros!$B$2:$B$6,0)),""),"Sim","Nao"))))))</f>
        <v/>
      </c>
      <c r="T1224" s="156"/>
      <c r="U1224" s="214" t="str">
        <f t="shared" si="101"/>
        <v/>
      </c>
      <c r="V1224" s="212" t="s">
        <v>50</v>
      </c>
      <c r="W1224" s="100" t="s">
        <v>168</v>
      </c>
      <c r="X1224" s="100" t="s">
        <v>169</v>
      </c>
      <c r="Y1224" s="101" t="s">
        <v>170</v>
      </c>
      <c r="Z1224" s="101" t="s">
        <v>171</v>
      </c>
      <c r="AA1224" s="101" t="s">
        <v>50</v>
      </c>
      <c r="AB1224" s="101" t="s">
        <v>172</v>
      </c>
      <c r="AC1224" s="102" t="s">
        <v>173</v>
      </c>
    </row>
    <row r="1225" spans="1:29" ht="25.5" customHeight="1" x14ac:dyDescent="0.35">
      <c r="A1225" s="392"/>
      <c r="B1225" s="393"/>
      <c r="C1225" s="99" t="str">
        <f>IF(B1225="","",IF(NOT(ISNUMBER(B1225)),"DATA_PC invalida",IF(NOT(ISNUMBER(parametros!$C$2)),"Fora dos ciclos",IF(OR(B1225&lt;parametros!$C$2,(YEAR(B1225)-YEAR(parametros!$C$2))*12+MONTH(B1225)-MONTH(parametros!$C$2)&gt;59),"Fora dos ciclos","C"&amp;INT(((YEAR(B1225)-YEAR(parametros!$C$2))*12+MONTH(B1225)-MONTH(parametros!$C$2))/12)))))</f>
        <v/>
      </c>
      <c r="D1225" s="394"/>
      <c r="E1225" s="78" t="str">
        <f>IF(C1225="","",IFERROR(VLOOKUP(C1225,parametros!$A$11:$E$15,5,0),""))</f>
        <v/>
      </c>
      <c r="F1225" s="79" t="str">
        <f t="shared" si="97"/>
        <v/>
      </c>
      <c r="G1225" s="395"/>
      <c r="H1225" s="91">
        <f t="shared" si="98"/>
        <v>0</v>
      </c>
      <c r="I1225" s="91" t="str">
        <f t="shared" si="99"/>
        <v/>
      </c>
      <c r="J1225" s="91" t="str">
        <f t="shared" si="100"/>
        <v/>
      </c>
      <c r="K1225" s="92" t="str">
        <f>IF(AND(A1225="",B1225="",D1225="",G1225=""),"",IF(AND(A1225&lt;&gt;"",COUNTIF($A$2:$A$5001,A1225)&gt;1),"NUMERO_PC duplicado",IF(B1225="","DATA_PC vazia",IF(NOT(ISNUMBER(B1225)),"DATA_PC invalida",IF(OR(C1225="",C1225="Fora dos ciclos"),"CICLO_PC nao identificado",IF(OR(D1225="",D1225=0),"VALOR_PC vazio ou zero",IF(AND(G1225&lt;&gt;"Sim",G1225&lt;&gt;"Nao",G1225&lt;&gt;""),"PC_PAGO_A_CONTRATADA invalido",IF(AND(C1225&lt;&gt;"C0",IFERROR(INDEX(parametros!$A$2:$A$6,MATCH(C1225,parametros!$B$2:$B$6,0)),"")="Sim",IFERROR(INDEX(parametros!$H$2:$H$6,MATCH(C1225,parametros!$B$2:$B$6,0)),"")=""),"INICIO_EFEITO ausente: PC "&amp;A1225&amp;" - "&amp;C1225,IF(L1225="","EFEITO_PC nao calculado: PC "&amp;A1225&amp;" - "&amp;C1225,"OK")))))))))</f>
        <v/>
      </c>
      <c r="L1225" s="92" t="str">
        <f>IF(AND(A1225="",B1225="",D1225="",G1225=""),"",IF(OR(B1225="",NOT(ISNUMBER(B1225)),C1225="",C1225="Fora dos ciclos"),"",IF(C1225="C0","Nao",IF(IFERROR(INDEX(parametros!$A$2:$A$6,MATCH(C1225,parametros!$B$2:$B$6,0)),"")&lt;&gt;"Sim","Nao",IF(IFERROR(INDEX(parametros!$H$2:$H$6,MATCH(C1225,parametros!$B$2:$B$6,0)),"")="","",IF(B1225&gt;=IFERROR(INDEX(parametros!$H$2:$H$6,MATCH(C1225,parametros!$B$2:$B$6,0)),""),"Sim","Nao"))))))</f>
        <v/>
      </c>
      <c r="T1225" s="156"/>
      <c r="U1225" s="214" t="str">
        <f t="shared" si="101"/>
        <v/>
      </c>
      <c r="V1225" s="212" t="s">
        <v>50</v>
      </c>
      <c r="W1225" s="100" t="s">
        <v>168</v>
      </c>
      <c r="X1225" s="100" t="s">
        <v>169</v>
      </c>
      <c r="Y1225" s="101" t="s">
        <v>170</v>
      </c>
      <c r="Z1225" s="101" t="s">
        <v>171</v>
      </c>
      <c r="AA1225" s="101" t="s">
        <v>50</v>
      </c>
      <c r="AB1225" s="101" t="s">
        <v>172</v>
      </c>
      <c r="AC1225" s="102" t="s">
        <v>173</v>
      </c>
    </row>
    <row r="1226" spans="1:29" ht="25.5" customHeight="1" x14ac:dyDescent="0.35">
      <c r="A1226" s="392"/>
      <c r="B1226" s="393"/>
      <c r="C1226" s="99" t="str">
        <f>IF(B1226="","",IF(NOT(ISNUMBER(B1226)),"DATA_PC invalida",IF(NOT(ISNUMBER(parametros!$C$2)),"Fora dos ciclos",IF(OR(B1226&lt;parametros!$C$2,(YEAR(B1226)-YEAR(parametros!$C$2))*12+MONTH(B1226)-MONTH(parametros!$C$2)&gt;59),"Fora dos ciclos","C"&amp;INT(((YEAR(B1226)-YEAR(parametros!$C$2))*12+MONTH(B1226)-MONTH(parametros!$C$2))/12)))))</f>
        <v/>
      </c>
      <c r="D1226" s="394"/>
      <c r="E1226" s="78" t="str">
        <f>IF(C1226="","",IFERROR(VLOOKUP(C1226,parametros!$A$11:$E$15,5,0),""))</f>
        <v/>
      </c>
      <c r="F1226" s="79" t="str">
        <f t="shared" si="97"/>
        <v/>
      </c>
      <c r="G1226" s="395"/>
      <c r="H1226" s="91">
        <f t="shared" si="98"/>
        <v>0</v>
      </c>
      <c r="I1226" s="91" t="str">
        <f t="shared" si="99"/>
        <v/>
      </c>
      <c r="J1226" s="91" t="str">
        <f t="shared" si="100"/>
        <v/>
      </c>
      <c r="K1226" s="92" t="str">
        <f>IF(AND(A1226="",B1226="",D1226="",G1226=""),"",IF(AND(A1226&lt;&gt;"",COUNTIF($A$2:$A$5001,A1226)&gt;1),"NUMERO_PC duplicado",IF(B1226="","DATA_PC vazia",IF(NOT(ISNUMBER(B1226)),"DATA_PC invalida",IF(OR(C1226="",C1226="Fora dos ciclos"),"CICLO_PC nao identificado",IF(OR(D1226="",D1226=0),"VALOR_PC vazio ou zero",IF(AND(G1226&lt;&gt;"Sim",G1226&lt;&gt;"Nao",G1226&lt;&gt;""),"PC_PAGO_A_CONTRATADA invalido",IF(AND(C1226&lt;&gt;"C0",IFERROR(INDEX(parametros!$A$2:$A$6,MATCH(C1226,parametros!$B$2:$B$6,0)),"")="Sim",IFERROR(INDEX(parametros!$H$2:$H$6,MATCH(C1226,parametros!$B$2:$B$6,0)),"")=""),"INICIO_EFEITO ausente: PC "&amp;A1226&amp;" - "&amp;C1226,IF(L1226="","EFEITO_PC nao calculado: PC "&amp;A1226&amp;" - "&amp;C1226,"OK")))))))))</f>
        <v/>
      </c>
      <c r="L1226" s="92" t="str">
        <f>IF(AND(A1226="",B1226="",D1226="",G1226=""),"",IF(OR(B1226="",NOT(ISNUMBER(B1226)),C1226="",C1226="Fora dos ciclos"),"",IF(C1226="C0","Nao",IF(IFERROR(INDEX(parametros!$A$2:$A$6,MATCH(C1226,parametros!$B$2:$B$6,0)),"")&lt;&gt;"Sim","Nao",IF(IFERROR(INDEX(parametros!$H$2:$H$6,MATCH(C1226,parametros!$B$2:$B$6,0)),"")="","",IF(B1226&gt;=IFERROR(INDEX(parametros!$H$2:$H$6,MATCH(C1226,parametros!$B$2:$B$6,0)),""),"Sim","Nao"))))))</f>
        <v/>
      </c>
      <c r="T1226" s="156"/>
      <c r="U1226" s="214" t="str">
        <f t="shared" si="101"/>
        <v/>
      </c>
      <c r="V1226" s="212" t="s">
        <v>50</v>
      </c>
      <c r="W1226" s="100" t="s">
        <v>168</v>
      </c>
      <c r="X1226" s="100" t="s">
        <v>169</v>
      </c>
      <c r="Y1226" s="101" t="s">
        <v>170</v>
      </c>
      <c r="Z1226" s="101" t="s">
        <v>171</v>
      </c>
      <c r="AA1226" s="101" t="s">
        <v>50</v>
      </c>
      <c r="AB1226" s="101" t="s">
        <v>172</v>
      </c>
      <c r="AC1226" s="102" t="s">
        <v>173</v>
      </c>
    </row>
    <row r="1227" spans="1:29" ht="25.5" customHeight="1" x14ac:dyDescent="0.35">
      <c r="A1227" s="392"/>
      <c r="B1227" s="393"/>
      <c r="C1227" s="99" t="str">
        <f>IF(B1227="","",IF(NOT(ISNUMBER(B1227)),"DATA_PC invalida",IF(NOT(ISNUMBER(parametros!$C$2)),"Fora dos ciclos",IF(OR(B1227&lt;parametros!$C$2,(YEAR(B1227)-YEAR(parametros!$C$2))*12+MONTH(B1227)-MONTH(parametros!$C$2)&gt;59),"Fora dos ciclos","C"&amp;INT(((YEAR(B1227)-YEAR(parametros!$C$2))*12+MONTH(B1227)-MONTH(parametros!$C$2))/12)))))</f>
        <v/>
      </c>
      <c r="D1227" s="394"/>
      <c r="E1227" s="78" t="str">
        <f>IF(C1227="","",IFERROR(VLOOKUP(C1227,parametros!$A$11:$E$15,5,0),""))</f>
        <v/>
      </c>
      <c r="F1227" s="79" t="str">
        <f t="shared" si="97"/>
        <v/>
      </c>
      <c r="G1227" s="395"/>
      <c r="H1227" s="91">
        <f t="shared" si="98"/>
        <v>0</v>
      </c>
      <c r="I1227" s="91" t="str">
        <f t="shared" si="99"/>
        <v/>
      </c>
      <c r="J1227" s="91" t="str">
        <f t="shared" si="100"/>
        <v/>
      </c>
      <c r="K1227" s="92" t="str">
        <f>IF(AND(A1227="",B1227="",D1227="",G1227=""),"",IF(AND(A1227&lt;&gt;"",COUNTIF($A$2:$A$5001,A1227)&gt;1),"NUMERO_PC duplicado",IF(B1227="","DATA_PC vazia",IF(NOT(ISNUMBER(B1227)),"DATA_PC invalida",IF(OR(C1227="",C1227="Fora dos ciclos"),"CICLO_PC nao identificado",IF(OR(D1227="",D1227=0),"VALOR_PC vazio ou zero",IF(AND(G1227&lt;&gt;"Sim",G1227&lt;&gt;"Nao",G1227&lt;&gt;""),"PC_PAGO_A_CONTRATADA invalido",IF(AND(C1227&lt;&gt;"C0",IFERROR(INDEX(parametros!$A$2:$A$6,MATCH(C1227,parametros!$B$2:$B$6,0)),"")="Sim",IFERROR(INDEX(parametros!$H$2:$H$6,MATCH(C1227,parametros!$B$2:$B$6,0)),"")=""),"INICIO_EFEITO ausente: PC "&amp;A1227&amp;" - "&amp;C1227,IF(L1227="","EFEITO_PC nao calculado: PC "&amp;A1227&amp;" - "&amp;C1227,"OK")))))))))</f>
        <v/>
      </c>
      <c r="L1227" s="92" t="str">
        <f>IF(AND(A1227="",B1227="",D1227="",G1227=""),"",IF(OR(B1227="",NOT(ISNUMBER(B1227)),C1227="",C1227="Fora dos ciclos"),"",IF(C1227="C0","Nao",IF(IFERROR(INDEX(parametros!$A$2:$A$6,MATCH(C1227,parametros!$B$2:$B$6,0)),"")&lt;&gt;"Sim","Nao",IF(IFERROR(INDEX(parametros!$H$2:$H$6,MATCH(C1227,parametros!$B$2:$B$6,0)),"")="","",IF(B1227&gt;=IFERROR(INDEX(parametros!$H$2:$H$6,MATCH(C1227,parametros!$B$2:$B$6,0)),""),"Sim","Nao"))))))</f>
        <v/>
      </c>
      <c r="T1227" s="156"/>
      <c r="U1227" s="214" t="str">
        <f t="shared" si="101"/>
        <v/>
      </c>
      <c r="V1227" s="212" t="s">
        <v>50</v>
      </c>
      <c r="W1227" s="100" t="s">
        <v>168</v>
      </c>
      <c r="X1227" s="100" t="s">
        <v>169</v>
      </c>
      <c r="Y1227" s="101" t="s">
        <v>170</v>
      </c>
      <c r="Z1227" s="101" t="s">
        <v>171</v>
      </c>
      <c r="AA1227" s="101" t="s">
        <v>50</v>
      </c>
      <c r="AB1227" s="101" t="s">
        <v>172</v>
      </c>
      <c r="AC1227" s="102" t="s">
        <v>173</v>
      </c>
    </row>
    <row r="1228" spans="1:29" ht="25.5" customHeight="1" x14ac:dyDescent="0.35">
      <c r="A1228" s="392"/>
      <c r="B1228" s="393"/>
      <c r="C1228" s="99" t="str">
        <f>IF(B1228="","",IF(NOT(ISNUMBER(B1228)),"DATA_PC invalida",IF(NOT(ISNUMBER(parametros!$C$2)),"Fora dos ciclos",IF(OR(B1228&lt;parametros!$C$2,(YEAR(B1228)-YEAR(parametros!$C$2))*12+MONTH(B1228)-MONTH(parametros!$C$2)&gt;59),"Fora dos ciclos","C"&amp;INT(((YEAR(B1228)-YEAR(parametros!$C$2))*12+MONTH(B1228)-MONTH(parametros!$C$2))/12)))))</f>
        <v/>
      </c>
      <c r="D1228" s="394"/>
      <c r="E1228" s="78" t="str">
        <f>IF(C1228="","",IFERROR(VLOOKUP(C1228,parametros!$A$11:$E$15,5,0),""))</f>
        <v/>
      </c>
      <c r="F1228" s="79" t="str">
        <f t="shared" si="97"/>
        <v/>
      </c>
      <c r="G1228" s="395"/>
      <c r="H1228" s="91">
        <f t="shared" si="98"/>
        <v>0</v>
      </c>
      <c r="I1228" s="91" t="str">
        <f t="shared" si="99"/>
        <v/>
      </c>
      <c r="J1228" s="91" t="str">
        <f t="shared" si="100"/>
        <v/>
      </c>
      <c r="K1228" s="92" t="str">
        <f>IF(AND(A1228="",B1228="",D1228="",G1228=""),"",IF(AND(A1228&lt;&gt;"",COUNTIF($A$2:$A$5001,A1228)&gt;1),"NUMERO_PC duplicado",IF(B1228="","DATA_PC vazia",IF(NOT(ISNUMBER(B1228)),"DATA_PC invalida",IF(OR(C1228="",C1228="Fora dos ciclos"),"CICLO_PC nao identificado",IF(OR(D1228="",D1228=0),"VALOR_PC vazio ou zero",IF(AND(G1228&lt;&gt;"Sim",G1228&lt;&gt;"Nao",G1228&lt;&gt;""),"PC_PAGO_A_CONTRATADA invalido",IF(AND(C1228&lt;&gt;"C0",IFERROR(INDEX(parametros!$A$2:$A$6,MATCH(C1228,parametros!$B$2:$B$6,0)),"")="Sim",IFERROR(INDEX(parametros!$H$2:$H$6,MATCH(C1228,parametros!$B$2:$B$6,0)),"")=""),"INICIO_EFEITO ausente: PC "&amp;A1228&amp;" - "&amp;C1228,IF(L1228="","EFEITO_PC nao calculado: PC "&amp;A1228&amp;" - "&amp;C1228,"OK")))))))))</f>
        <v/>
      </c>
      <c r="L1228" s="92" t="str">
        <f>IF(AND(A1228="",B1228="",D1228="",G1228=""),"",IF(OR(B1228="",NOT(ISNUMBER(B1228)),C1228="",C1228="Fora dos ciclos"),"",IF(C1228="C0","Nao",IF(IFERROR(INDEX(parametros!$A$2:$A$6,MATCH(C1228,parametros!$B$2:$B$6,0)),"")&lt;&gt;"Sim","Nao",IF(IFERROR(INDEX(parametros!$H$2:$H$6,MATCH(C1228,parametros!$B$2:$B$6,0)),"")="","",IF(B1228&gt;=IFERROR(INDEX(parametros!$H$2:$H$6,MATCH(C1228,parametros!$B$2:$B$6,0)),""),"Sim","Nao"))))))</f>
        <v/>
      </c>
      <c r="T1228" s="156"/>
      <c r="U1228" s="214" t="str">
        <f t="shared" si="101"/>
        <v/>
      </c>
      <c r="V1228" s="212" t="s">
        <v>50</v>
      </c>
      <c r="W1228" s="100" t="s">
        <v>168</v>
      </c>
      <c r="X1228" s="100" t="s">
        <v>169</v>
      </c>
      <c r="Y1228" s="101" t="s">
        <v>170</v>
      </c>
      <c r="Z1228" s="101" t="s">
        <v>171</v>
      </c>
      <c r="AA1228" s="101" t="s">
        <v>50</v>
      </c>
      <c r="AB1228" s="101" t="s">
        <v>172</v>
      </c>
      <c r="AC1228" s="102" t="s">
        <v>173</v>
      </c>
    </row>
    <row r="1229" spans="1:29" ht="25.5" customHeight="1" x14ac:dyDescent="0.35">
      <c r="A1229" s="392"/>
      <c r="B1229" s="393"/>
      <c r="C1229" s="99" t="str">
        <f>IF(B1229="","",IF(NOT(ISNUMBER(B1229)),"DATA_PC invalida",IF(NOT(ISNUMBER(parametros!$C$2)),"Fora dos ciclos",IF(OR(B1229&lt;parametros!$C$2,(YEAR(B1229)-YEAR(parametros!$C$2))*12+MONTH(B1229)-MONTH(parametros!$C$2)&gt;59),"Fora dos ciclos","C"&amp;INT(((YEAR(B1229)-YEAR(parametros!$C$2))*12+MONTH(B1229)-MONTH(parametros!$C$2))/12)))))</f>
        <v/>
      </c>
      <c r="D1229" s="394"/>
      <c r="E1229" s="78" t="str">
        <f>IF(C1229="","",IFERROR(VLOOKUP(C1229,parametros!$A$11:$E$15,5,0),""))</f>
        <v/>
      </c>
      <c r="F1229" s="79" t="str">
        <f t="shared" si="97"/>
        <v/>
      </c>
      <c r="G1229" s="395"/>
      <c r="H1229" s="91">
        <f t="shared" si="98"/>
        <v>0</v>
      </c>
      <c r="I1229" s="91" t="str">
        <f t="shared" si="99"/>
        <v/>
      </c>
      <c r="J1229" s="91" t="str">
        <f t="shared" si="100"/>
        <v/>
      </c>
      <c r="K1229" s="92" t="str">
        <f>IF(AND(A1229="",B1229="",D1229="",G1229=""),"",IF(AND(A1229&lt;&gt;"",COUNTIF($A$2:$A$5001,A1229)&gt;1),"NUMERO_PC duplicado",IF(B1229="","DATA_PC vazia",IF(NOT(ISNUMBER(B1229)),"DATA_PC invalida",IF(OR(C1229="",C1229="Fora dos ciclos"),"CICLO_PC nao identificado",IF(OR(D1229="",D1229=0),"VALOR_PC vazio ou zero",IF(AND(G1229&lt;&gt;"Sim",G1229&lt;&gt;"Nao",G1229&lt;&gt;""),"PC_PAGO_A_CONTRATADA invalido",IF(AND(C1229&lt;&gt;"C0",IFERROR(INDEX(parametros!$A$2:$A$6,MATCH(C1229,parametros!$B$2:$B$6,0)),"")="Sim",IFERROR(INDEX(parametros!$H$2:$H$6,MATCH(C1229,parametros!$B$2:$B$6,0)),"")=""),"INICIO_EFEITO ausente: PC "&amp;A1229&amp;" - "&amp;C1229,IF(L1229="","EFEITO_PC nao calculado: PC "&amp;A1229&amp;" - "&amp;C1229,"OK")))))))))</f>
        <v/>
      </c>
      <c r="L1229" s="92" t="str">
        <f>IF(AND(A1229="",B1229="",D1229="",G1229=""),"",IF(OR(B1229="",NOT(ISNUMBER(B1229)),C1229="",C1229="Fora dos ciclos"),"",IF(C1229="C0","Nao",IF(IFERROR(INDEX(parametros!$A$2:$A$6,MATCH(C1229,parametros!$B$2:$B$6,0)),"")&lt;&gt;"Sim","Nao",IF(IFERROR(INDEX(parametros!$H$2:$H$6,MATCH(C1229,parametros!$B$2:$B$6,0)),"")="","",IF(B1229&gt;=IFERROR(INDEX(parametros!$H$2:$H$6,MATCH(C1229,parametros!$B$2:$B$6,0)),""),"Sim","Nao"))))))</f>
        <v/>
      </c>
      <c r="T1229" s="156"/>
      <c r="U1229" s="214" t="str">
        <f t="shared" si="101"/>
        <v/>
      </c>
      <c r="V1229" s="212" t="s">
        <v>50</v>
      </c>
      <c r="W1229" s="100" t="s">
        <v>168</v>
      </c>
      <c r="X1229" s="100" t="s">
        <v>169</v>
      </c>
      <c r="Y1229" s="101" t="s">
        <v>170</v>
      </c>
      <c r="Z1229" s="101" t="s">
        <v>171</v>
      </c>
      <c r="AA1229" s="101" t="s">
        <v>50</v>
      </c>
      <c r="AB1229" s="101" t="s">
        <v>172</v>
      </c>
      <c r="AC1229" s="102" t="s">
        <v>173</v>
      </c>
    </row>
    <row r="1230" spans="1:29" ht="25.5" customHeight="1" x14ac:dyDescent="0.35">
      <c r="A1230" s="392"/>
      <c r="B1230" s="393"/>
      <c r="C1230" s="99" t="str">
        <f>IF(B1230="","",IF(NOT(ISNUMBER(B1230)),"DATA_PC invalida",IF(NOT(ISNUMBER(parametros!$C$2)),"Fora dos ciclos",IF(OR(B1230&lt;parametros!$C$2,(YEAR(B1230)-YEAR(parametros!$C$2))*12+MONTH(B1230)-MONTH(parametros!$C$2)&gt;59),"Fora dos ciclos","C"&amp;INT(((YEAR(B1230)-YEAR(parametros!$C$2))*12+MONTH(B1230)-MONTH(parametros!$C$2))/12)))))</f>
        <v/>
      </c>
      <c r="D1230" s="394"/>
      <c r="E1230" s="78" t="str">
        <f>IF(C1230="","",IFERROR(VLOOKUP(C1230,parametros!$A$11:$E$15,5,0),""))</f>
        <v/>
      </c>
      <c r="F1230" s="79" t="str">
        <f t="shared" si="97"/>
        <v/>
      </c>
      <c r="G1230" s="395"/>
      <c r="H1230" s="91">
        <f t="shared" si="98"/>
        <v>0</v>
      </c>
      <c r="I1230" s="91" t="str">
        <f t="shared" si="99"/>
        <v/>
      </c>
      <c r="J1230" s="91" t="str">
        <f t="shared" si="100"/>
        <v/>
      </c>
      <c r="K1230" s="92" t="str">
        <f>IF(AND(A1230="",B1230="",D1230="",G1230=""),"",IF(AND(A1230&lt;&gt;"",COUNTIF($A$2:$A$5001,A1230)&gt;1),"NUMERO_PC duplicado",IF(B1230="","DATA_PC vazia",IF(NOT(ISNUMBER(B1230)),"DATA_PC invalida",IF(OR(C1230="",C1230="Fora dos ciclos"),"CICLO_PC nao identificado",IF(OR(D1230="",D1230=0),"VALOR_PC vazio ou zero",IF(AND(G1230&lt;&gt;"Sim",G1230&lt;&gt;"Nao",G1230&lt;&gt;""),"PC_PAGO_A_CONTRATADA invalido",IF(AND(C1230&lt;&gt;"C0",IFERROR(INDEX(parametros!$A$2:$A$6,MATCH(C1230,parametros!$B$2:$B$6,0)),"")="Sim",IFERROR(INDEX(parametros!$H$2:$H$6,MATCH(C1230,parametros!$B$2:$B$6,0)),"")=""),"INICIO_EFEITO ausente: PC "&amp;A1230&amp;" - "&amp;C1230,IF(L1230="","EFEITO_PC nao calculado: PC "&amp;A1230&amp;" - "&amp;C1230,"OK")))))))))</f>
        <v/>
      </c>
      <c r="L1230" s="92" t="str">
        <f>IF(AND(A1230="",B1230="",D1230="",G1230=""),"",IF(OR(B1230="",NOT(ISNUMBER(B1230)),C1230="",C1230="Fora dos ciclos"),"",IF(C1230="C0","Nao",IF(IFERROR(INDEX(parametros!$A$2:$A$6,MATCH(C1230,parametros!$B$2:$B$6,0)),"")&lt;&gt;"Sim","Nao",IF(IFERROR(INDEX(parametros!$H$2:$H$6,MATCH(C1230,parametros!$B$2:$B$6,0)),"")="","",IF(B1230&gt;=IFERROR(INDEX(parametros!$H$2:$H$6,MATCH(C1230,parametros!$B$2:$B$6,0)),""),"Sim","Nao"))))))</f>
        <v/>
      </c>
      <c r="T1230" s="156"/>
      <c r="U1230" s="214" t="str">
        <f t="shared" si="101"/>
        <v/>
      </c>
      <c r="V1230" s="212" t="s">
        <v>50</v>
      </c>
      <c r="W1230" s="100" t="s">
        <v>168</v>
      </c>
      <c r="X1230" s="100" t="s">
        <v>169</v>
      </c>
      <c r="Y1230" s="101" t="s">
        <v>170</v>
      </c>
      <c r="Z1230" s="101" t="s">
        <v>171</v>
      </c>
      <c r="AA1230" s="101" t="s">
        <v>50</v>
      </c>
      <c r="AB1230" s="101" t="s">
        <v>172</v>
      </c>
      <c r="AC1230" s="102" t="s">
        <v>173</v>
      </c>
    </row>
    <row r="1231" spans="1:29" ht="25.5" customHeight="1" x14ac:dyDescent="0.35">
      <c r="A1231" s="392"/>
      <c r="B1231" s="393"/>
      <c r="C1231" s="99" t="str">
        <f>IF(B1231="","",IF(NOT(ISNUMBER(B1231)),"DATA_PC invalida",IF(NOT(ISNUMBER(parametros!$C$2)),"Fora dos ciclos",IF(OR(B1231&lt;parametros!$C$2,(YEAR(B1231)-YEAR(parametros!$C$2))*12+MONTH(B1231)-MONTH(parametros!$C$2)&gt;59),"Fora dos ciclos","C"&amp;INT(((YEAR(B1231)-YEAR(parametros!$C$2))*12+MONTH(B1231)-MONTH(parametros!$C$2))/12)))))</f>
        <v/>
      </c>
      <c r="D1231" s="394"/>
      <c r="E1231" s="78" t="str">
        <f>IF(C1231="","",IFERROR(VLOOKUP(C1231,parametros!$A$11:$E$15,5,0),""))</f>
        <v/>
      </c>
      <c r="F1231" s="79" t="str">
        <f t="shared" si="97"/>
        <v/>
      </c>
      <c r="G1231" s="395"/>
      <c r="H1231" s="91">
        <f t="shared" si="98"/>
        <v>0</v>
      </c>
      <c r="I1231" s="91" t="str">
        <f t="shared" si="99"/>
        <v/>
      </c>
      <c r="J1231" s="91" t="str">
        <f t="shared" si="100"/>
        <v/>
      </c>
      <c r="K1231" s="92" t="str">
        <f>IF(AND(A1231="",B1231="",D1231="",G1231=""),"",IF(AND(A1231&lt;&gt;"",COUNTIF($A$2:$A$5001,A1231)&gt;1),"NUMERO_PC duplicado",IF(B1231="","DATA_PC vazia",IF(NOT(ISNUMBER(B1231)),"DATA_PC invalida",IF(OR(C1231="",C1231="Fora dos ciclos"),"CICLO_PC nao identificado",IF(OR(D1231="",D1231=0),"VALOR_PC vazio ou zero",IF(AND(G1231&lt;&gt;"Sim",G1231&lt;&gt;"Nao",G1231&lt;&gt;""),"PC_PAGO_A_CONTRATADA invalido",IF(AND(C1231&lt;&gt;"C0",IFERROR(INDEX(parametros!$A$2:$A$6,MATCH(C1231,parametros!$B$2:$B$6,0)),"")="Sim",IFERROR(INDEX(parametros!$H$2:$H$6,MATCH(C1231,parametros!$B$2:$B$6,0)),"")=""),"INICIO_EFEITO ausente: PC "&amp;A1231&amp;" - "&amp;C1231,IF(L1231="","EFEITO_PC nao calculado: PC "&amp;A1231&amp;" - "&amp;C1231,"OK")))))))))</f>
        <v/>
      </c>
      <c r="L1231" s="92" t="str">
        <f>IF(AND(A1231="",B1231="",D1231="",G1231=""),"",IF(OR(B1231="",NOT(ISNUMBER(B1231)),C1231="",C1231="Fora dos ciclos"),"",IF(C1231="C0","Nao",IF(IFERROR(INDEX(parametros!$A$2:$A$6,MATCH(C1231,parametros!$B$2:$B$6,0)),"")&lt;&gt;"Sim","Nao",IF(IFERROR(INDEX(parametros!$H$2:$H$6,MATCH(C1231,parametros!$B$2:$B$6,0)),"")="","",IF(B1231&gt;=IFERROR(INDEX(parametros!$H$2:$H$6,MATCH(C1231,parametros!$B$2:$B$6,0)),""),"Sim","Nao"))))))</f>
        <v/>
      </c>
      <c r="T1231" s="156"/>
      <c r="U1231" s="214" t="str">
        <f t="shared" si="101"/>
        <v/>
      </c>
      <c r="V1231" s="212" t="s">
        <v>50</v>
      </c>
      <c r="W1231" s="100" t="s">
        <v>168</v>
      </c>
      <c r="X1231" s="100" t="s">
        <v>169</v>
      </c>
      <c r="Y1231" s="101" t="s">
        <v>170</v>
      </c>
      <c r="Z1231" s="101" t="s">
        <v>171</v>
      </c>
      <c r="AA1231" s="101" t="s">
        <v>50</v>
      </c>
      <c r="AB1231" s="101" t="s">
        <v>172</v>
      </c>
      <c r="AC1231" s="102" t="s">
        <v>173</v>
      </c>
    </row>
    <row r="1232" spans="1:29" ht="25.5" customHeight="1" x14ac:dyDescent="0.35">
      <c r="A1232" s="392"/>
      <c r="B1232" s="393"/>
      <c r="C1232" s="99" t="str">
        <f>IF(B1232="","",IF(NOT(ISNUMBER(B1232)),"DATA_PC invalida",IF(NOT(ISNUMBER(parametros!$C$2)),"Fora dos ciclos",IF(OR(B1232&lt;parametros!$C$2,(YEAR(B1232)-YEAR(parametros!$C$2))*12+MONTH(B1232)-MONTH(parametros!$C$2)&gt;59),"Fora dos ciclos","C"&amp;INT(((YEAR(B1232)-YEAR(parametros!$C$2))*12+MONTH(B1232)-MONTH(parametros!$C$2))/12)))))</f>
        <v/>
      </c>
      <c r="D1232" s="394"/>
      <c r="E1232" s="78" t="str">
        <f>IF(C1232="","",IFERROR(VLOOKUP(C1232,parametros!$A$11:$E$15,5,0),""))</f>
        <v/>
      </c>
      <c r="F1232" s="79" t="str">
        <f t="shared" si="97"/>
        <v/>
      </c>
      <c r="G1232" s="395"/>
      <c r="H1232" s="91">
        <f t="shared" si="98"/>
        <v>0</v>
      </c>
      <c r="I1232" s="91" t="str">
        <f t="shared" si="99"/>
        <v/>
      </c>
      <c r="J1232" s="91" t="str">
        <f t="shared" si="100"/>
        <v/>
      </c>
      <c r="K1232" s="92" t="str">
        <f>IF(AND(A1232="",B1232="",D1232="",G1232=""),"",IF(AND(A1232&lt;&gt;"",COUNTIF($A$2:$A$5001,A1232)&gt;1),"NUMERO_PC duplicado",IF(B1232="","DATA_PC vazia",IF(NOT(ISNUMBER(B1232)),"DATA_PC invalida",IF(OR(C1232="",C1232="Fora dos ciclos"),"CICLO_PC nao identificado",IF(OR(D1232="",D1232=0),"VALOR_PC vazio ou zero",IF(AND(G1232&lt;&gt;"Sim",G1232&lt;&gt;"Nao",G1232&lt;&gt;""),"PC_PAGO_A_CONTRATADA invalido",IF(AND(C1232&lt;&gt;"C0",IFERROR(INDEX(parametros!$A$2:$A$6,MATCH(C1232,parametros!$B$2:$B$6,0)),"")="Sim",IFERROR(INDEX(parametros!$H$2:$H$6,MATCH(C1232,parametros!$B$2:$B$6,0)),"")=""),"INICIO_EFEITO ausente: PC "&amp;A1232&amp;" - "&amp;C1232,IF(L1232="","EFEITO_PC nao calculado: PC "&amp;A1232&amp;" - "&amp;C1232,"OK")))))))))</f>
        <v/>
      </c>
      <c r="L1232" s="92" t="str">
        <f>IF(AND(A1232="",B1232="",D1232="",G1232=""),"",IF(OR(B1232="",NOT(ISNUMBER(B1232)),C1232="",C1232="Fora dos ciclos"),"",IF(C1232="C0","Nao",IF(IFERROR(INDEX(parametros!$A$2:$A$6,MATCH(C1232,parametros!$B$2:$B$6,0)),"")&lt;&gt;"Sim","Nao",IF(IFERROR(INDEX(parametros!$H$2:$H$6,MATCH(C1232,parametros!$B$2:$B$6,0)),"")="","",IF(B1232&gt;=IFERROR(INDEX(parametros!$H$2:$H$6,MATCH(C1232,parametros!$B$2:$B$6,0)),""),"Sim","Nao"))))))</f>
        <v/>
      </c>
      <c r="T1232" s="156"/>
      <c r="U1232" s="214" t="str">
        <f t="shared" si="101"/>
        <v/>
      </c>
      <c r="V1232" s="212" t="s">
        <v>50</v>
      </c>
      <c r="W1232" s="100" t="s">
        <v>168</v>
      </c>
      <c r="X1232" s="100" t="s">
        <v>169</v>
      </c>
      <c r="Y1232" s="101" t="s">
        <v>170</v>
      </c>
      <c r="Z1232" s="101" t="s">
        <v>171</v>
      </c>
      <c r="AA1232" s="101" t="s">
        <v>50</v>
      </c>
      <c r="AB1232" s="101" t="s">
        <v>172</v>
      </c>
      <c r="AC1232" s="102" t="s">
        <v>173</v>
      </c>
    </row>
    <row r="1233" spans="1:29" ht="25.5" customHeight="1" x14ac:dyDescent="0.35">
      <c r="A1233" s="392"/>
      <c r="B1233" s="393"/>
      <c r="C1233" s="99" t="str">
        <f>IF(B1233="","",IF(NOT(ISNUMBER(B1233)),"DATA_PC invalida",IF(NOT(ISNUMBER(parametros!$C$2)),"Fora dos ciclos",IF(OR(B1233&lt;parametros!$C$2,(YEAR(B1233)-YEAR(parametros!$C$2))*12+MONTH(B1233)-MONTH(parametros!$C$2)&gt;59),"Fora dos ciclos","C"&amp;INT(((YEAR(B1233)-YEAR(parametros!$C$2))*12+MONTH(B1233)-MONTH(parametros!$C$2))/12)))))</f>
        <v/>
      </c>
      <c r="D1233" s="394"/>
      <c r="E1233" s="78" t="str">
        <f>IF(C1233="","",IFERROR(VLOOKUP(C1233,parametros!$A$11:$E$15,5,0),""))</f>
        <v/>
      </c>
      <c r="F1233" s="79" t="str">
        <f t="shared" si="97"/>
        <v/>
      </c>
      <c r="G1233" s="395"/>
      <c r="H1233" s="91">
        <f t="shared" si="98"/>
        <v>0</v>
      </c>
      <c r="I1233" s="91" t="str">
        <f t="shared" si="99"/>
        <v/>
      </c>
      <c r="J1233" s="91" t="str">
        <f t="shared" si="100"/>
        <v/>
      </c>
      <c r="K1233" s="92" t="str">
        <f>IF(AND(A1233="",B1233="",D1233="",G1233=""),"",IF(AND(A1233&lt;&gt;"",COUNTIF($A$2:$A$5001,A1233)&gt;1),"NUMERO_PC duplicado",IF(B1233="","DATA_PC vazia",IF(NOT(ISNUMBER(B1233)),"DATA_PC invalida",IF(OR(C1233="",C1233="Fora dos ciclos"),"CICLO_PC nao identificado",IF(OR(D1233="",D1233=0),"VALOR_PC vazio ou zero",IF(AND(G1233&lt;&gt;"Sim",G1233&lt;&gt;"Nao",G1233&lt;&gt;""),"PC_PAGO_A_CONTRATADA invalido",IF(AND(C1233&lt;&gt;"C0",IFERROR(INDEX(parametros!$A$2:$A$6,MATCH(C1233,parametros!$B$2:$B$6,0)),"")="Sim",IFERROR(INDEX(parametros!$H$2:$H$6,MATCH(C1233,parametros!$B$2:$B$6,0)),"")=""),"INICIO_EFEITO ausente: PC "&amp;A1233&amp;" - "&amp;C1233,IF(L1233="","EFEITO_PC nao calculado: PC "&amp;A1233&amp;" - "&amp;C1233,"OK")))))))))</f>
        <v/>
      </c>
      <c r="L1233" s="92" t="str">
        <f>IF(AND(A1233="",B1233="",D1233="",G1233=""),"",IF(OR(B1233="",NOT(ISNUMBER(B1233)),C1233="",C1233="Fora dos ciclos"),"",IF(C1233="C0","Nao",IF(IFERROR(INDEX(parametros!$A$2:$A$6,MATCH(C1233,parametros!$B$2:$B$6,0)),"")&lt;&gt;"Sim","Nao",IF(IFERROR(INDEX(parametros!$H$2:$H$6,MATCH(C1233,parametros!$B$2:$B$6,0)),"")="","",IF(B1233&gt;=IFERROR(INDEX(parametros!$H$2:$H$6,MATCH(C1233,parametros!$B$2:$B$6,0)),""),"Sim","Nao"))))))</f>
        <v/>
      </c>
      <c r="T1233" s="156"/>
      <c r="U1233" s="214" t="str">
        <f t="shared" si="101"/>
        <v/>
      </c>
      <c r="V1233" s="212" t="s">
        <v>50</v>
      </c>
      <c r="W1233" s="100" t="s">
        <v>168</v>
      </c>
      <c r="X1233" s="100" t="s">
        <v>169</v>
      </c>
      <c r="Y1233" s="101" t="s">
        <v>170</v>
      </c>
      <c r="Z1233" s="101" t="s">
        <v>171</v>
      </c>
      <c r="AA1233" s="101" t="s">
        <v>50</v>
      </c>
      <c r="AB1233" s="101" t="s">
        <v>172</v>
      </c>
      <c r="AC1233" s="102" t="s">
        <v>173</v>
      </c>
    </row>
    <row r="1234" spans="1:29" ht="25.5" customHeight="1" x14ac:dyDescent="0.35">
      <c r="A1234" s="392"/>
      <c r="B1234" s="393"/>
      <c r="C1234" s="99" t="str">
        <f>IF(B1234="","",IF(NOT(ISNUMBER(B1234)),"DATA_PC invalida",IF(NOT(ISNUMBER(parametros!$C$2)),"Fora dos ciclos",IF(OR(B1234&lt;parametros!$C$2,(YEAR(B1234)-YEAR(parametros!$C$2))*12+MONTH(B1234)-MONTH(parametros!$C$2)&gt;59),"Fora dos ciclos","C"&amp;INT(((YEAR(B1234)-YEAR(parametros!$C$2))*12+MONTH(B1234)-MONTH(parametros!$C$2))/12)))))</f>
        <v/>
      </c>
      <c r="D1234" s="394"/>
      <c r="E1234" s="78" t="str">
        <f>IF(C1234="","",IFERROR(VLOOKUP(C1234,parametros!$A$11:$E$15,5,0),""))</f>
        <v/>
      </c>
      <c r="F1234" s="79" t="str">
        <f t="shared" si="97"/>
        <v/>
      </c>
      <c r="G1234" s="395"/>
      <c r="H1234" s="91">
        <f t="shared" si="98"/>
        <v>0</v>
      </c>
      <c r="I1234" s="91" t="str">
        <f t="shared" si="99"/>
        <v/>
      </c>
      <c r="J1234" s="91" t="str">
        <f t="shared" si="100"/>
        <v/>
      </c>
      <c r="K1234" s="92" t="str">
        <f>IF(AND(A1234="",B1234="",D1234="",G1234=""),"",IF(AND(A1234&lt;&gt;"",COUNTIF($A$2:$A$5001,A1234)&gt;1),"NUMERO_PC duplicado",IF(B1234="","DATA_PC vazia",IF(NOT(ISNUMBER(B1234)),"DATA_PC invalida",IF(OR(C1234="",C1234="Fora dos ciclos"),"CICLO_PC nao identificado",IF(OR(D1234="",D1234=0),"VALOR_PC vazio ou zero",IF(AND(G1234&lt;&gt;"Sim",G1234&lt;&gt;"Nao",G1234&lt;&gt;""),"PC_PAGO_A_CONTRATADA invalido",IF(AND(C1234&lt;&gt;"C0",IFERROR(INDEX(parametros!$A$2:$A$6,MATCH(C1234,parametros!$B$2:$B$6,0)),"")="Sim",IFERROR(INDEX(parametros!$H$2:$H$6,MATCH(C1234,parametros!$B$2:$B$6,0)),"")=""),"INICIO_EFEITO ausente: PC "&amp;A1234&amp;" - "&amp;C1234,IF(L1234="","EFEITO_PC nao calculado: PC "&amp;A1234&amp;" - "&amp;C1234,"OK")))))))))</f>
        <v/>
      </c>
      <c r="L1234" s="92" t="str">
        <f>IF(AND(A1234="",B1234="",D1234="",G1234=""),"",IF(OR(B1234="",NOT(ISNUMBER(B1234)),C1234="",C1234="Fora dos ciclos"),"",IF(C1234="C0","Nao",IF(IFERROR(INDEX(parametros!$A$2:$A$6,MATCH(C1234,parametros!$B$2:$B$6,0)),"")&lt;&gt;"Sim","Nao",IF(IFERROR(INDEX(parametros!$H$2:$H$6,MATCH(C1234,parametros!$B$2:$B$6,0)),"")="","",IF(B1234&gt;=IFERROR(INDEX(parametros!$H$2:$H$6,MATCH(C1234,parametros!$B$2:$B$6,0)),""),"Sim","Nao"))))))</f>
        <v/>
      </c>
      <c r="T1234" s="156"/>
      <c r="U1234" s="214" t="str">
        <f t="shared" si="101"/>
        <v/>
      </c>
      <c r="V1234" s="212" t="s">
        <v>50</v>
      </c>
      <c r="W1234" s="100" t="s">
        <v>168</v>
      </c>
      <c r="X1234" s="100" t="s">
        <v>169</v>
      </c>
      <c r="Y1234" s="101" t="s">
        <v>170</v>
      </c>
      <c r="Z1234" s="101" t="s">
        <v>171</v>
      </c>
      <c r="AA1234" s="101" t="s">
        <v>50</v>
      </c>
      <c r="AB1234" s="101" t="s">
        <v>172</v>
      </c>
      <c r="AC1234" s="102" t="s">
        <v>173</v>
      </c>
    </row>
    <row r="1235" spans="1:29" ht="25.5" customHeight="1" x14ac:dyDescent="0.35">
      <c r="A1235" s="392"/>
      <c r="B1235" s="393"/>
      <c r="C1235" s="99" t="str">
        <f>IF(B1235="","",IF(NOT(ISNUMBER(B1235)),"DATA_PC invalida",IF(NOT(ISNUMBER(parametros!$C$2)),"Fora dos ciclos",IF(OR(B1235&lt;parametros!$C$2,(YEAR(B1235)-YEAR(parametros!$C$2))*12+MONTH(B1235)-MONTH(parametros!$C$2)&gt;59),"Fora dos ciclos","C"&amp;INT(((YEAR(B1235)-YEAR(parametros!$C$2))*12+MONTH(B1235)-MONTH(parametros!$C$2))/12)))))</f>
        <v/>
      </c>
      <c r="D1235" s="394"/>
      <c r="E1235" s="78" t="str">
        <f>IF(C1235="","",IFERROR(VLOOKUP(C1235,parametros!$A$11:$E$15,5,0),""))</f>
        <v/>
      </c>
      <c r="F1235" s="79" t="str">
        <f t="shared" si="97"/>
        <v/>
      </c>
      <c r="G1235" s="395"/>
      <c r="H1235" s="91">
        <f t="shared" si="98"/>
        <v>0</v>
      </c>
      <c r="I1235" s="91" t="str">
        <f t="shared" si="99"/>
        <v/>
      </c>
      <c r="J1235" s="91" t="str">
        <f t="shared" si="100"/>
        <v/>
      </c>
      <c r="K1235" s="92" t="str">
        <f>IF(AND(A1235="",B1235="",D1235="",G1235=""),"",IF(AND(A1235&lt;&gt;"",COUNTIF($A$2:$A$5001,A1235)&gt;1),"NUMERO_PC duplicado",IF(B1235="","DATA_PC vazia",IF(NOT(ISNUMBER(B1235)),"DATA_PC invalida",IF(OR(C1235="",C1235="Fora dos ciclos"),"CICLO_PC nao identificado",IF(OR(D1235="",D1235=0),"VALOR_PC vazio ou zero",IF(AND(G1235&lt;&gt;"Sim",G1235&lt;&gt;"Nao",G1235&lt;&gt;""),"PC_PAGO_A_CONTRATADA invalido",IF(AND(C1235&lt;&gt;"C0",IFERROR(INDEX(parametros!$A$2:$A$6,MATCH(C1235,parametros!$B$2:$B$6,0)),"")="Sim",IFERROR(INDEX(parametros!$H$2:$H$6,MATCH(C1235,parametros!$B$2:$B$6,0)),"")=""),"INICIO_EFEITO ausente: PC "&amp;A1235&amp;" - "&amp;C1235,IF(L1235="","EFEITO_PC nao calculado: PC "&amp;A1235&amp;" - "&amp;C1235,"OK")))))))))</f>
        <v/>
      </c>
      <c r="L1235" s="92" t="str">
        <f>IF(AND(A1235="",B1235="",D1235="",G1235=""),"",IF(OR(B1235="",NOT(ISNUMBER(B1235)),C1235="",C1235="Fora dos ciclos"),"",IF(C1235="C0","Nao",IF(IFERROR(INDEX(parametros!$A$2:$A$6,MATCH(C1235,parametros!$B$2:$B$6,0)),"")&lt;&gt;"Sim","Nao",IF(IFERROR(INDEX(parametros!$H$2:$H$6,MATCH(C1235,parametros!$B$2:$B$6,0)),"")="","",IF(B1235&gt;=IFERROR(INDEX(parametros!$H$2:$H$6,MATCH(C1235,parametros!$B$2:$B$6,0)),""),"Sim","Nao"))))))</f>
        <v/>
      </c>
      <c r="T1235" s="156"/>
      <c r="U1235" s="214" t="str">
        <f t="shared" si="101"/>
        <v/>
      </c>
      <c r="V1235" s="212" t="s">
        <v>50</v>
      </c>
      <c r="W1235" s="100" t="s">
        <v>168</v>
      </c>
      <c r="X1235" s="100" t="s">
        <v>169</v>
      </c>
      <c r="Y1235" s="101" t="s">
        <v>170</v>
      </c>
      <c r="Z1235" s="101" t="s">
        <v>171</v>
      </c>
      <c r="AA1235" s="101" t="s">
        <v>50</v>
      </c>
      <c r="AB1235" s="101" t="s">
        <v>172</v>
      </c>
      <c r="AC1235" s="102" t="s">
        <v>173</v>
      </c>
    </row>
    <row r="1236" spans="1:29" ht="25.5" customHeight="1" x14ac:dyDescent="0.35">
      <c r="A1236" s="392"/>
      <c r="B1236" s="393"/>
      <c r="C1236" s="99" t="str">
        <f>IF(B1236="","",IF(NOT(ISNUMBER(B1236)),"DATA_PC invalida",IF(NOT(ISNUMBER(parametros!$C$2)),"Fora dos ciclos",IF(OR(B1236&lt;parametros!$C$2,(YEAR(B1236)-YEAR(parametros!$C$2))*12+MONTH(B1236)-MONTH(parametros!$C$2)&gt;59),"Fora dos ciclos","C"&amp;INT(((YEAR(B1236)-YEAR(parametros!$C$2))*12+MONTH(B1236)-MONTH(parametros!$C$2))/12)))))</f>
        <v/>
      </c>
      <c r="D1236" s="394"/>
      <c r="E1236" s="78" t="str">
        <f>IF(C1236="","",IFERROR(VLOOKUP(C1236,parametros!$A$11:$E$15,5,0),""))</f>
        <v/>
      </c>
      <c r="F1236" s="79" t="str">
        <f t="shared" si="97"/>
        <v/>
      </c>
      <c r="G1236" s="395"/>
      <c r="H1236" s="91">
        <f t="shared" si="98"/>
        <v>0</v>
      </c>
      <c r="I1236" s="91" t="str">
        <f t="shared" si="99"/>
        <v/>
      </c>
      <c r="J1236" s="91" t="str">
        <f t="shared" si="100"/>
        <v/>
      </c>
      <c r="K1236" s="92" t="str">
        <f>IF(AND(A1236="",B1236="",D1236="",G1236=""),"",IF(AND(A1236&lt;&gt;"",COUNTIF($A$2:$A$5001,A1236)&gt;1),"NUMERO_PC duplicado",IF(B1236="","DATA_PC vazia",IF(NOT(ISNUMBER(B1236)),"DATA_PC invalida",IF(OR(C1236="",C1236="Fora dos ciclos"),"CICLO_PC nao identificado",IF(OR(D1236="",D1236=0),"VALOR_PC vazio ou zero",IF(AND(G1236&lt;&gt;"Sim",G1236&lt;&gt;"Nao",G1236&lt;&gt;""),"PC_PAGO_A_CONTRATADA invalido",IF(AND(C1236&lt;&gt;"C0",IFERROR(INDEX(parametros!$A$2:$A$6,MATCH(C1236,parametros!$B$2:$B$6,0)),"")="Sim",IFERROR(INDEX(parametros!$H$2:$H$6,MATCH(C1236,parametros!$B$2:$B$6,0)),"")=""),"INICIO_EFEITO ausente: PC "&amp;A1236&amp;" - "&amp;C1236,IF(L1236="","EFEITO_PC nao calculado: PC "&amp;A1236&amp;" - "&amp;C1236,"OK")))))))))</f>
        <v/>
      </c>
      <c r="L1236" s="92" t="str">
        <f>IF(AND(A1236="",B1236="",D1236="",G1236=""),"",IF(OR(B1236="",NOT(ISNUMBER(B1236)),C1236="",C1236="Fora dos ciclos"),"",IF(C1236="C0","Nao",IF(IFERROR(INDEX(parametros!$A$2:$A$6,MATCH(C1236,parametros!$B$2:$B$6,0)),"")&lt;&gt;"Sim","Nao",IF(IFERROR(INDEX(parametros!$H$2:$H$6,MATCH(C1236,parametros!$B$2:$B$6,0)),"")="","",IF(B1236&gt;=IFERROR(INDEX(parametros!$H$2:$H$6,MATCH(C1236,parametros!$B$2:$B$6,0)),""),"Sim","Nao"))))))</f>
        <v/>
      </c>
      <c r="T1236" s="156"/>
      <c r="U1236" s="214" t="str">
        <f t="shared" si="101"/>
        <v/>
      </c>
      <c r="V1236" s="212" t="s">
        <v>50</v>
      </c>
      <c r="W1236" s="100" t="s">
        <v>168</v>
      </c>
      <c r="X1236" s="100" t="s">
        <v>169</v>
      </c>
      <c r="Y1236" s="101" t="s">
        <v>170</v>
      </c>
      <c r="Z1236" s="101" t="s">
        <v>171</v>
      </c>
      <c r="AA1236" s="101" t="s">
        <v>50</v>
      </c>
      <c r="AB1236" s="101" t="s">
        <v>172</v>
      </c>
      <c r="AC1236" s="102" t="s">
        <v>173</v>
      </c>
    </row>
    <row r="1237" spans="1:29" ht="25.5" customHeight="1" x14ac:dyDescent="0.35">
      <c r="A1237" s="392"/>
      <c r="B1237" s="393"/>
      <c r="C1237" s="99" t="str">
        <f>IF(B1237="","",IF(NOT(ISNUMBER(B1237)),"DATA_PC invalida",IF(NOT(ISNUMBER(parametros!$C$2)),"Fora dos ciclos",IF(OR(B1237&lt;parametros!$C$2,(YEAR(B1237)-YEAR(parametros!$C$2))*12+MONTH(B1237)-MONTH(parametros!$C$2)&gt;59),"Fora dos ciclos","C"&amp;INT(((YEAR(B1237)-YEAR(parametros!$C$2))*12+MONTH(B1237)-MONTH(parametros!$C$2))/12)))))</f>
        <v/>
      </c>
      <c r="D1237" s="394"/>
      <c r="E1237" s="78" t="str">
        <f>IF(C1237="","",IFERROR(VLOOKUP(C1237,parametros!$A$11:$E$15,5,0),""))</f>
        <v/>
      </c>
      <c r="F1237" s="79" t="str">
        <f t="shared" si="97"/>
        <v/>
      </c>
      <c r="G1237" s="395"/>
      <c r="H1237" s="91">
        <f t="shared" si="98"/>
        <v>0</v>
      </c>
      <c r="I1237" s="91" t="str">
        <f t="shared" si="99"/>
        <v/>
      </c>
      <c r="J1237" s="91" t="str">
        <f t="shared" si="100"/>
        <v/>
      </c>
      <c r="K1237" s="92" t="str">
        <f>IF(AND(A1237="",B1237="",D1237="",G1237=""),"",IF(AND(A1237&lt;&gt;"",COUNTIF($A$2:$A$5001,A1237)&gt;1),"NUMERO_PC duplicado",IF(B1237="","DATA_PC vazia",IF(NOT(ISNUMBER(B1237)),"DATA_PC invalida",IF(OR(C1237="",C1237="Fora dos ciclos"),"CICLO_PC nao identificado",IF(OR(D1237="",D1237=0),"VALOR_PC vazio ou zero",IF(AND(G1237&lt;&gt;"Sim",G1237&lt;&gt;"Nao",G1237&lt;&gt;""),"PC_PAGO_A_CONTRATADA invalido",IF(AND(C1237&lt;&gt;"C0",IFERROR(INDEX(parametros!$A$2:$A$6,MATCH(C1237,parametros!$B$2:$B$6,0)),"")="Sim",IFERROR(INDEX(parametros!$H$2:$H$6,MATCH(C1237,parametros!$B$2:$B$6,0)),"")=""),"INICIO_EFEITO ausente: PC "&amp;A1237&amp;" - "&amp;C1237,IF(L1237="","EFEITO_PC nao calculado: PC "&amp;A1237&amp;" - "&amp;C1237,"OK")))))))))</f>
        <v/>
      </c>
      <c r="L1237" s="92" t="str">
        <f>IF(AND(A1237="",B1237="",D1237="",G1237=""),"",IF(OR(B1237="",NOT(ISNUMBER(B1237)),C1237="",C1237="Fora dos ciclos"),"",IF(C1237="C0","Nao",IF(IFERROR(INDEX(parametros!$A$2:$A$6,MATCH(C1237,parametros!$B$2:$B$6,0)),"")&lt;&gt;"Sim","Nao",IF(IFERROR(INDEX(parametros!$H$2:$H$6,MATCH(C1237,parametros!$B$2:$B$6,0)),"")="","",IF(B1237&gt;=IFERROR(INDEX(parametros!$H$2:$H$6,MATCH(C1237,parametros!$B$2:$B$6,0)),""),"Sim","Nao"))))))</f>
        <v/>
      </c>
      <c r="T1237" s="156"/>
      <c r="U1237" s="214" t="str">
        <f t="shared" si="101"/>
        <v/>
      </c>
      <c r="V1237" s="212" t="s">
        <v>50</v>
      </c>
      <c r="W1237" s="100" t="s">
        <v>168</v>
      </c>
      <c r="X1237" s="100" t="s">
        <v>169</v>
      </c>
      <c r="Y1237" s="101" t="s">
        <v>170</v>
      </c>
      <c r="Z1237" s="101" t="s">
        <v>171</v>
      </c>
      <c r="AA1237" s="101" t="s">
        <v>50</v>
      </c>
      <c r="AB1237" s="101" t="s">
        <v>172</v>
      </c>
      <c r="AC1237" s="102" t="s">
        <v>173</v>
      </c>
    </row>
    <row r="1238" spans="1:29" ht="25.5" customHeight="1" x14ac:dyDescent="0.35">
      <c r="A1238" s="392"/>
      <c r="B1238" s="393"/>
      <c r="C1238" s="99" t="str">
        <f>IF(B1238="","",IF(NOT(ISNUMBER(B1238)),"DATA_PC invalida",IF(NOT(ISNUMBER(parametros!$C$2)),"Fora dos ciclos",IF(OR(B1238&lt;parametros!$C$2,(YEAR(B1238)-YEAR(parametros!$C$2))*12+MONTH(B1238)-MONTH(parametros!$C$2)&gt;59),"Fora dos ciclos","C"&amp;INT(((YEAR(B1238)-YEAR(parametros!$C$2))*12+MONTH(B1238)-MONTH(parametros!$C$2))/12)))))</f>
        <v/>
      </c>
      <c r="D1238" s="394"/>
      <c r="E1238" s="78" t="str">
        <f>IF(C1238="","",IFERROR(VLOOKUP(C1238,parametros!$A$11:$E$15,5,0),""))</f>
        <v/>
      </c>
      <c r="F1238" s="79" t="str">
        <f t="shared" si="97"/>
        <v/>
      </c>
      <c r="G1238" s="395"/>
      <c r="H1238" s="91">
        <f t="shared" si="98"/>
        <v>0</v>
      </c>
      <c r="I1238" s="91" t="str">
        <f t="shared" si="99"/>
        <v/>
      </c>
      <c r="J1238" s="91" t="str">
        <f t="shared" si="100"/>
        <v/>
      </c>
      <c r="K1238" s="92" t="str">
        <f>IF(AND(A1238="",B1238="",D1238="",G1238=""),"",IF(AND(A1238&lt;&gt;"",COUNTIF($A$2:$A$5001,A1238)&gt;1),"NUMERO_PC duplicado",IF(B1238="","DATA_PC vazia",IF(NOT(ISNUMBER(B1238)),"DATA_PC invalida",IF(OR(C1238="",C1238="Fora dos ciclos"),"CICLO_PC nao identificado",IF(OR(D1238="",D1238=0),"VALOR_PC vazio ou zero",IF(AND(G1238&lt;&gt;"Sim",G1238&lt;&gt;"Nao",G1238&lt;&gt;""),"PC_PAGO_A_CONTRATADA invalido",IF(AND(C1238&lt;&gt;"C0",IFERROR(INDEX(parametros!$A$2:$A$6,MATCH(C1238,parametros!$B$2:$B$6,0)),"")="Sim",IFERROR(INDEX(parametros!$H$2:$H$6,MATCH(C1238,parametros!$B$2:$B$6,0)),"")=""),"INICIO_EFEITO ausente: PC "&amp;A1238&amp;" - "&amp;C1238,IF(L1238="","EFEITO_PC nao calculado: PC "&amp;A1238&amp;" - "&amp;C1238,"OK")))))))))</f>
        <v/>
      </c>
      <c r="L1238" s="92" t="str">
        <f>IF(AND(A1238="",B1238="",D1238="",G1238=""),"",IF(OR(B1238="",NOT(ISNUMBER(B1238)),C1238="",C1238="Fora dos ciclos"),"",IF(C1238="C0","Nao",IF(IFERROR(INDEX(parametros!$A$2:$A$6,MATCH(C1238,parametros!$B$2:$B$6,0)),"")&lt;&gt;"Sim","Nao",IF(IFERROR(INDEX(parametros!$H$2:$H$6,MATCH(C1238,parametros!$B$2:$B$6,0)),"")="","",IF(B1238&gt;=IFERROR(INDEX(parametros!$H$2:$H$6,MATCH(C1238,parametros!$B$2:$B$6,0)),""),"Sim","Nao"))))))</f>
        <v/>
      </c>
      <c r="T1238" s="156"/>
      <c r="U1238" s="214" t="str">
        <f t="shared" si="101"/>
        <v/>
      </c>
      <c r="V1238" s="212" t="s">
        <v>50</v>
      </c>
      <c r="W1238" s="100" t="s">
        <v>168</v>
      </c>
      <c r="X1238" s="100" t="s">
        <v>169</v>
      </c>
      <c r="Y1238" s="101" t="s">
        <v>170</v>
      </c>
      <c r="Z1238" s="101" t="s">
        <v>171</v>
      </c>
      <c r="AA1238" s="101" t="s">
        <v>50</v>
      </c>
      <c r="AB1238" s="101" t="s">
        <v>172</v>
      </c>
      <c r="AC1238" s="102" t="s">
        <v>173</v>
      </c>
    </row>
    <row r="1239" spans="1:29" ht="25.5" customHeight="1" x14ac:dyDescent="0.35">
      <c r="A1239" s="392"/>
      <c r="B1239" s="393"/>
      <c r="C1239" s="99" t="str">
        <f>IF(B1239="","",IF(NOT(ISNUMBER(B1239)),"DATA_PC invalida",IF(NOT(ISNUMBER(parametros!$C$2)),"Fora dos ciclos",IF(OR(B1239&lt;parametros!$C$2,(YEAR(B1239)-YEAR(parametros!$C$2))*12+MONTH(B1239)-MONTH(parametros!$C$2)&gt;59),"Fora dos ciclos","C"&amp;INT(((YEAR(B1239)-YEAR(parametros!$C$2))*12+MONTH(B1239)-MONTH(parametros!$C$2))/12)))))</f>
        <v/>
      </c>
      <c r="D1239" s="394"/>
      <c r="E1239" s="78" t="str">
        <f>IF(C1239="","",IFERROR(VLOOKUP(C1239,parametros!$A$11:$E$15,5,0),""))</f>
        <v/>
      </c>
      <c r="F1239" s="79" t="str">
        <f t="shared" si="97"/>
        <v/>
      </c>
      <c r="G1239" s="395"/>
      <c r="H1239" s="91">
        <f t="shared" si="98"/>
        <v>0</v>
      </c>
      <c r="I1239" s="91" t="str">
        <f t="shared" si="99"/>
        <v/>
      </c>
      <c r="J1239" s="91" t="str">
        <f t="shared" si="100"/>
        <v/>
      </c>
      <c r="K1239" s="92" t="str">
        <f>IF(AND(A1239="",B1239="",D1239="",G1239=""),"",IF(AND(A1239&lt;&gt;"",COUNTIF($A$2:$A$5001,A1239)&gt;1),"NUMERO_PC duplicado",IF(B1239="","DATA_PC vazia",IF(NOT(ISNUMBER(B1239)),"DATA_PC invalida",IF(OR(C1239="",C1239="Fora dos ciclos"),"CICLO_PC nao identificado",IF(OR(D1239="",D1239=0),"VALOR_PC vazio ou zero",IF(AND(G1239&lt;&gt;"Sim",G1239&lt;&gt;"Nao",G1239&lt;&gt;""),"PC_PAGO_A_CONTRATADA invalido",IF(AND(C1239&lt;&gt;"C0",IFERROR(INDEX(parametros!$A$2:$A$6,MATCH(C1239,parametros!$B$2:$B$6,0)),"")="Sim",IFERROR(INDEX(parametros!$H$2:$H$6,MATCH(C1239,parametros!$B$2:$B$6,0)),"")=""),"INICIO_EFEITO ausente: PC "&amp;A1239&amp;" - "&amp;C1239,IF(L1239="","EFEITO_PC nao calculado: PC "&amp;A1239&amp;" - "&amp;C1239,"OK")))))))))</f>
        <v/>
      </c>
      <c r="L1239" s="92" t="str">
        <f>IF(AND(A1239="",B1239="",D1239="",G1239=""),"",IF(OR(B1239="",NOT(ISNUMBER(B1239)),C1239="",C1239="Fora dos ciclos"),"",IF(C1239="C0","Nao",IF(IFERROR(INDEX(parametros!$A$2:$A$6,MATCH(C1239,parametros!$B$2:$B$6,0)),"")&lt;&gt;"Sim","Nao",IF(IFERROR(INDEX(parametros!$H$2:$H$6,MATCH(C1239,parametros!$B$2:$B$6,0)),"")="","",IF(B1239&gt;=IFERROR(INDEX(parametros!$H$2:$H$6,MATCH(C1239,parametros!$B$2:$B$6,0)),""),"Sim","Nao"))))))</f>
        <v/>
      </c>
      <c r="T1239" s="156"/>
      <c r="U1239" s="214" t="str">
        <f t="shared" si="101"/>
        <v/>
      </c>
      <c r="V1239" s="212" t="s">
        <v>50</v>
      </c>
      <c r="W1239" s="100" t="s">
        <v>168</v>
      </c>
      <c r="X1239" s="100" t="s">
        <v>169</v>
      </c>
      <c r="Y1239" s="101" t="s">
        <v>170</v>
      </c>
      <c r="Z1239" s="101" t="s">
        <v>171</v>
      </c>
      <c r="AA1239" s="101" t="s">
        <v>50</v>
      </c>
      <c r="AB1239" s="101" t="s">
        <v>172</v>
      </c>
      <c r="AC1239" s="102" t="s">
        <v>173</v>
      </c>
    </row>
    <row r="1240" spans="1:29" ht="25.5" customHeight="1" x14ac:dyDescent="0.35">
      <c r="A1240" s="392"/>
      <c r="B1240" s="393"/>
      <c r="C1240" s="99" t="str">
        <f>IF(B1240="","",IF(NOT(ISNUMBER(B1240)),"DATA_PC invalida",IF(NOT(ISNUMBER(parametros!$C$2)),"Fora dos ciclos",IF(OR(B1240&lt;parametros!$C$2,(YEAR(B1240)-YEAR(parametros!$C$2))*12+MONTH(B1240)-MONTH(parametros!$C$2)&gt;59),"Fora dos ciclos","C"&amp;INT(((YEAR(B1240)-YEAR(parametros!$C$2))*12+MONTH(B1240)-MONTH(parametros!$C$2))/12)))))</f>
        <v/>
      </c>
      <c r="D1240" s="394"/>
      <c r="E1240" s="78" t="str">
        <f>IF(C1240="","",IFERROR(VLOOKUP(C1240,parametros!$A$11:$E$15,5,0),""))</f>
        <v/>
      </c>
      <c r="F1240" s="79" t="str">
        <f t="shared" si="97"/>
        <v/>
      </c>
      <c r="G1240" s="395"/>
      <c r="H1240" s="91">
        <f t="shared" si="98"/>
        <v>0</v>
      </c>
      <c r="I1240" s="91" t="str">
        <f t="shared" si="99"/>
        <v/>
      </c>
      <c r="J1240" s="91" t="str">
        <f t="shared" si="100"/>
        <v/>
      </c>
      <c r="K1240" s="92" t="str">
        <f>IF(AND(A1240="",B1240="",D1240="",G1240=""),"",IF(AND(A1240&lt;&gt;"",COUNTIF($A$2:$A$5001,A1240)&gt;1),"NUMERO_PC duplicado",IF(B1240="","DATA_PC vazia",IF(NOT(ISNUMBER(B1240)),"DATA_PC invalida",IF(OR(C1240="",C1240="Fora dos ciclos"),"CICLO_PC nao identificado",IF(OR(D1240="",D1240=0),"VALOR_PC vazio ou zero",IF(AND(G1240&lt;&gt;"Sim",G1240&lt;&gt;"Nao",G1240&lt;&gt;""),"PC_PAGO_A_CONTRATADA invalido",IF(AND(C1240&lt;&gt;"C0",IFERROR(INDEX(parametros!$A$2:$A$6,MATCH(C1240,parametros!$B$2:$B$6,0)),"")="Sim",IFERROR(INDEX(parametros!$H$2:$H$6,MATCH(C1240,parametros!$B$2:$B$6,0)),"")=""),"INICIO_EFEITO ausente: PC "&amp;A1240&amp;" - "&amp;C1240,IF(L1240="","EFEITO_PC nao calculado: PC "&amp;A1240&amp;" - "&amp;C1240,"OK")))))))))</f>
        <v/>
      </c>
      <c r="L1240" s="92" t="str">
        <f>IF(AND(A1240="",B1240="",D1240="",G1240=""),"",IF(OR(B1240="",NOT(ISNUMBER(B1240)),C1240="",C1240="Fora dos ciclos"),"",IF(C1240="C0","Nao",IF(IFERROR(INDEX(parametros!$A$2:$A$6,MATCH(C1240,parametros!$B$2:$B$6,0)),"")&lt;&gt;"Sim","Nao",IF(IFERROR(INDEX(parametros!$H$2:$H$6,MATCH(C1240,parametros!$B$2:$B$6,0)),"")="","",IF(B1240&gt;=IFERROR(INDEX(parametros!$H$2:$H$6,MATCH(C1240,parametros!$B$2:$B$6,0)),""),"Sim","Nao"))))))</f>
        <v/>
      </c>
      <c r="T1240" s="156"/>
      <c r="U1240" s="214" t="str">
        <f t="shared" si="101"/>
        <v/>
      </c>
      <c r="V1240" s="212" t="s">
        <v>50</v>
      </c>
      <c r="W1240" s="100" t="s">
        <v>168</v>
      </c>
      <c r="X1240" s="100" t="s">
        <v>169</v>
      </c>
      <c r="Y1240" s="101" t="s">
        <v>170</v>
      </c>
      <c r="Z1240" s="101" t="s">
        <v>171</v>
      </c>
      <c r="AA1240" s="101" t="s">
        <v>50</v>
      </c>
      <c r="AB1240" s="101" t="s">
        <v>172</v>
      </c>
      <c r="AC1240" s="102" t="s">
        <v>173</v>
      </c>
    </row>
    <row r="1241" spans="1:29" ht="25.5" customHeight="1" x14ac:dyDescent="0.35">
      <c r="A1241" s="392"/>
      <c r="B1241" s="393"/>
      <c r="C1241" s="99" t="str">
        <f>IF(B1241="","",IF(NOT(ISNUMBER(B1241)),"DATA_PC invalida",IF(NOT(ISNUMBER(parametros!$C$2)),"Fora dos ciclos",IF(OR(B1241&lt;parametros!$C$2,(YEAR(B1241)-YEAR(parametros!$C$2))*12+MONTH(B1241)-MONTH(parametros!$C$2)&gt;59),"Fora dos ciclos","C"&amp;INT(((YEAR(B1241)-YEAR(parametros!$C$2))*12+MONTH(B1241)-MONTH(parametros!$C$2))/12)))))</f>
        <v/>
      </c>
      <c r="D1241" s="394"/>
      <c r="E1241" s="78" t="str">
        <f>IF(C1241="","",IFERROR(VLOOKUP(C1241,parametros!$A$11:$E$15,5,0),""))</f>
        <v/>
      </c>
      <c r="F1241" s="79" t="str">
        <f t="shared" si="97"/>
        <v/>
      </c>
      <c r="G1241" s="395"/>
      <c r="H1241" s="91">
        <f t="shared" si="98"/>
        <v>0</v>
      </c>
      <c r="I1241" s="91" t="str">
        <f t="shared" si="99"/>
        <v/>
      </c>
      <c r="J1241" s="91" t="str">
        <f t="shared" si="100"/>
        <v/>
      </c>
      <c r="K1241" s="92" t="str">
        <f>IF(AND(A1241="",B1241="",D1241="",G1241=""),"",IF(AND(A1241&lt;&gt;"",COUNTIF($A$2:$A$5001,A1241)&gt;1),"NUMERO_PC duplicado",IF(B1241="","DATA_PC vazia",IF(NOT(ISNUMBER(B1241)),"DATA_PC invalida",IF(OR(C1241="",C1241="Fora dos ciclos"),"CICLO_PC nao identificado",IF(OR(D1241="",D1241=0),"VALOR_PC vazio ou zero",IF(AND(G1241&lt;&gt;"Sim",G1241&lt;&gt;"Nao",G1241&lt;&gt;""),"PC_PAGO_A_CONTRATADA invalido",IF(AND(C1241&lt;&gt;"C0",IFERROR(INDEX(parametros!$A$2:$A$6,MATCH(C1241,parametros!$B$2:$B$6,0)),"")="Sim",IFERROR(INDEX(parametros!$H$2:$H$6,MATCH(C1241,parametros!$B$2:$B$6,0)),"")=""),"INICIO_EFEITO ausente: PC "&amp;A1241&amp;" - "&amp;C1241,IF(L1241="","EFEITO_PC nao calculado: PC "&amp;A1241&amp;" - "&amp;C1241,"OK")))))))))</f>
        <v/>
      </c>
      <c r="L1241" s="92" t="str">
        <f>IF(AND(A1241="",B1241="",D1241="",G1241=""),"",IF(OR(B1241="",NOT(ISNUMBER(B1241)),C1241="",C1241="Fora dos ciclos"),"",IF(C1241="C0","Nao",IF(IFERROR(INDEX(parametros!$A$2:$A$6,MATCH(C1241,parametros!$B$2:$B$6,0)),"")&lt;&gt;"Sim","Nao",IF(IFERROR(INDEX(parametros!$H$2:$H$6,MATCH(C1241,parametros!$B$2:$B$6,0)),"")="","",IF(B1241&gt;=IFERROR(INDEX(parametros!$H$2:$H$6,MATCH(C1241,parametros!$B$2:$B$6,0)),""),"Sim","Nao"))))))</f>
        <v/>
      </c>
      <c r="T1241" s="156"/>
      <c r="U1241" s="214" t="str">
        <f t="shared" si="101"/>
        <v/>
      </c>
      <c r="V1241" s="212" t="s">
        <v>50</v>
      </c>
      <c r="W1241" s="100" t="s">
        <v>168</v>
      </c>
      <c r="X1241" s="100" t="s">
        <v>169</v>
      </c>
      <c r="Y1241" s="101" t="s">
        <v>170</v>
      </c>
      <c r="Z1241" s="101" t="s">
        <v>171</v>
      </c>
      <c r="AA1241" s="101" t="s">
        <v>50</v>
      </c>
      <c r="AB1241" s="101" t="s">
        <v>172</v>
      </c>
      <c r="AC1241" s="102" t="s">
        <v>173</v>
      </c>
    </row>
    <row r="1242" spans="1:29" ht="25.5" customHeight="1" x14ac:dyDescent="0.35">
      <c r="A1242" s="392"/>
      <c r="B1242" s="393"/>
      <c r="C1242" s="99" t="str">
        <f>IF(B1242="","",IF(NOT(ISNUMBER(B1242)),"DATA_PC invalida",IF(NOT(ISNUMBER(parametros!$C$2)),"Fora dos ciclos",IF(OR(B1242&lt;parametros!$C$2,(YEAR(B1242)-YEAR(parametros!$C$2))*12+MONTH(B1242)-MONTH(parametros!$C$2)&gt;59),"Fora dos ciclos","C"&amp;INT(((YEAR(B1242)-YEAR(parametros!$C$2))*12+MONTH(B1242)-MONTH(parametros!$C$2))/12)))))</f>
        <v/>
      </c>
      <c r="D1242" s="394"/>
      <c r="E1242" s="78" t="str">
        <f>IF(C1242="","",IFERROR(VLOOKUP(C1242,parametros!$A$11:$E$15,5,0),""))</f>
        <v/>
      </c>
      <c r="F1242" s="79" t="str">
        <f t="shared" si="97"/>
        <v/>
      </c>
      <c r="G1242" s="395"/>
      <c r="H1242" s="91">
        <f t="shared" si="98"/>
        <v>0</v>
      </c>
      <c r="I1242" s="91" t="str">
        <f t="shared" si="99"/>
        <v/>
      </c>
      <c r="J1242" s="91" t="str">
        <f t="shared" si="100"/>
        <v/>
      </c>
      <c r="K1242" s="92" t="str">
        <f>IF(AND(A1242="",B1242="",D1242="",G1242=""),"",IF(AND(A1242&lt;&gt;"",COUNTIF($A$2:$A$5001,A1242)&gt;1),"NUMERO_PC duplicado",IF(B1242="","DATA_PC vazia",IF(NOT(ISNUMBER(B1242)),"DATA_PC invalida",IF(OR(C1242="",C1242="Fora dos ciclos"),"CICLO_PC nao identificado",IF(OR(D1242="",D1242=0),"VALOR_PC vazio ou zero",IF(AND(G1242&lt;&gt;"Sim",G1242&lt;&gt;"Nao",G1242&lt;&gt;""),"PC_PAGO_A_CONTRATADA invalido",IF(AND(C1242&lt;&gt;"C0",IFERROR(INDEX(parametros!$A$2:$A$6,MATCH(C1242,parametros!$B$2:$B$6,0)),"")="Sim",IFERROR(INDEX(parametros!$H$2:$H$6,MATCH(C1242,parametros!$B$2:$B$6,0)),"")=""),"INICIO_EFEITO ausente: PC "&amp;A1242&amp;" - "&amp;C1242,IF(L1242="","EFEITO_PC nao calculado: PC "&amp;A1242&amp;" - "&amp;C1242,"OK")))))))))</f>
        <v/>
      </c>
      <c r="L1242" s="92" t="str">
        <f>IF(AND(A1242="",B1242="",D1242="",G1242=""),"",IF(OR(B1242="",NOT(ISNUMBER(B1242)),C1242="",C1242="Fora dos ciclos"),"",IF(C1242="C0","Nao",IF(IFERROR(INDEX(parametros!$A$2:$A$6,MATCH(C1242,parametros!$B$2:$B$6,0)),"")&lt;&gt;"Sim","Nao",IF(IFERROR(INDEX(parametros!$H$2:$H$6,MATCH(C1242,parametros!$B$2:$B$6,0)),"")="","",IF(B1242&gt;=IFERROR(INDEX(parametros!$H$2:$H$6,MATCH(C1242,parametros!$B$2:$B$6,0)),""),"Sim","Nao"))))))</f>
        <v/>
      </c>
      <c r="T1242" s="156"/>
      <c r="U1242" s="214" t="str">
        <f t="shared" si="101"/>
        <v/>
      </c>
      <c r="V1242" s="212" t="s">
        <v>50</v>
      </c>
      <c r="W1242" s="100" t="s">
        <v>168</v>
      </c>
      <c r="X1242" s="100" t="s">
        <v>169</v>
      </c>
      <c r="Y1242" s="101" t="s">
        <v>170</v>
      </c>
      <c r="Z1242" s="101" t="s">
        <v>171</v>
      </c>
      <c r="AA1242" s="101" t="s">
        <v>50</v>
      </c>
      <c r="AB1242" s="101" t="s">
        <v>172</v>
      </c>
      <c r="AC1242" s="102" t="s">
        <v>173</v>
      </c>
    </row>
    <row r="1243" spans="1:29" ht="25.5" customHeight="1" x14ac:dyDescent="0.35">
      <c r="A1243" s="392"/>
      <c r="B1243" s="393"/>
      <c r="C1243" s="99" t="str">
        <f>IF(B1243="","",IF(NOT(ISNUMBER(B1243)),"DATA_PC invalida",IF(NOT(ISNUMBER(parametros!$C$2)),"Fora dos ciclos",IF(OR(B1243&lt;parametros!$C$2,(YEAR(B1243)-YEAR(parametros!$C$2))*12+MONTH(B1243)-MONTH(parametros!$C$2)&gt;59),"Fora dos ciclos","C"&amp;INT(((YEAR(B1243)-YEAR(parametros!$C$2))*12+MONTH(B1243)-MONTH(parametros!$C$2))/12)))))</f>
        <v/>
      </c>
      <c r="D1243" s="394"/>
      <c r="E1243" s="78" t="str">
        <f>IF(C1243="","",IFERROR(VLOOKUP(C1243,parametros!$A$11:$E$15,5,0),""))</f>
        <v/>
      </c>
      <c r="F1243" s="79" t="str">
        <f t="shared" si="97"/>
        <v/>
      </c>
      <c r="G1243" s="395"/>
      <c r="H1243" s="91">
        <f t="shared" si="98"/>
        <v>0</v>
      </c>
      <c r="I1243" s="91" t="str">
        <f t="shared" si="99"/>
        <v/>
      </c>
      <c r="J1243" s="91" t="str">
        <f t="shared" si="100"/>
        <v/>
      </c>
      <c r="K1243" s="92" t="str">
        <f>IF(AND(A1243="",B1243="",D1243="",G1243=""),"",IF(AND(A1243&lt;&gt;"",COUNTIF($A$2:$A$5001,A1243)&gt;1),"NUMERO_PC duplicado",IF(B1243="","DATA_PC vazia",IF(NOT(ISNUMBER(B1243)),"DATA_PC invalida",IF(OR(C1243="",C1243="Fora dos ciclos"),"CICLO_PC nao identificado",IF(OR(D1243="",D1243=0),"VALOR_PC vazio ou zero",IF(AND(G1243&lt;&gt;"Sim",G1243&lt;&gt;"Nao",G1243&lt;&gt;""),"PC_PAGO_A_CONTRATADA invalido",IF(AND(C1243&lt;&gt;"C0",IFERROR(INDEX(parametros!$A$2:$A$6,MATCH(C1243,parametros!$B$2:$B$6,0)),"")="Sim",IFERROR(INDEX(parametros!$H$2:$H$6,MATCH(C1243,parametros!$B$2:$B$6,0)),"")=""),"INICIO_EFEITO ausente: PC "&amp;A1243&amp;" - "&amp;C1243,IF(L1243="","EFEITO_PC nao calculado: PC "&amp;A1243&amp;" - "&amp;C1243,"OK")))))))))</f>
        <v/>
      </c>
      <c r="L1243" s="92" t="str">
        <f>IF(AND(A1243="",B1243="",D1243="",G1243=""),"",IF(OR(B1243="",NOT(ISNUMBER(B1243)),C1243="",C1243="Fora dos ciclos"),"",IF(C1243="C0","Nao",IF(IFERROR(INDEX(parametros!$A$2:$A$6,MATCH(C1243,parametros!$B$2:$B$6,0)),"")&lt;&gt;"Sim","Nao",IF(IFERROR(INDEX(parametros!$H$2:$H$6,MATCH(C1243,parametros!$B$2:$B$6,0)),"")="","",IF(B1243&gt;=IFERROR(INDEX(parametros!$H$2:$H$6,MATCH(C1243,parametros!$B$2:$B$6,0)),""),"Sim","Nao"))))))</f>
        <v/>
      </c>
      <c r="T1243" s="156"/>
      <c r="U1243" s="214" t="str">
        <f t="shared" si="101"/>
        <v/>
      </c>
      <c r="V1243" s="212" t="s">
        <v>50</v>
      </c>
      <c r="W1243" s="100" t="s">
        <v>168</v>
      </c>
      <c r="X1243" s="100" t="s">
        <v>169</v>
      </c>
      <c r="Y1243" s="101" t="s">
        <v>170</v>
      </c>
      <c r="Z1243" s="101" t="s">
        <v>171</v>
      </c>
      <c r="AA1243" s="101" t="s">
        <v>50</v>
      </c>
      <c r="AB1243" s="101" t="s">
        <v>172</v>
      </c>
      <c r="AC1243" s="102" t="s">
        <v>173</v>
      </c>
    </row>
    <row r="1244" spans="1:29" ht="25.5" customHeight="1" x14ac:dyDescent="0.35">
      <c r="A1244" s="392"/>
      <c r="B1244" s="393"/>
      <c r="C1244" s="99" t="str">
        <f>IF(B1244="","",IF(NOT(ISNUMBER(B1244)),"DATA_PC invalida",IF(NOT(ISNUMBER(parametros!$C$2)),"Fora dos ciclos",IF(OR(B1244&lt;parametros!$C$2,(YEAR(B1244)-YEAR(parametros!$C$2))*12+MONTH(B1244)-MONTH(parametros!$C$2)&gt;59),"Fora dos ciclos","C"&amp;INT(((YEAR(B1244)-YEAR(parametros!$C$2))*12+MONTH(B1244)-MONTH(parametros!$C$2))/12)))))</f>
        <v/>
      </c>
      <c r="D1244" s="394"/>
      <c r="E1244" s="78" t="str">
        <f>IF(C1244="","",IFERROR(VLOOKUP(C1244,parametros!$A$11:$E$15,5,0),""))</f>
        <v/>
      </c>
      <c r="F1244" s="79" t="str">
        <f t="shared" si="97"/>
        <v/>
      </c>
      <c r="G1244" s="395"/>
      <c r="H1244" s="91">
        <f t="shared" si="98"/>
        <v>0</v>
      </c>
      <c r="I1244" s="91" t="str">
        <f t="shared" si="99"/>
        <v/>
      </c>
      <c r="J1244" s="91" t="str">
        <f t="shared" si="100"/>
        <v/>
      </c>
      <c r="K1244" s="92" t="str">
        <f>IF(AND(A1244="",B1244="",D1244="",G1244=""),"",IF(AND(A1244&lt;&gt;"",COUNTIF($A$2:$A$5001,A1244)&gt;1),"NUMERO_PC duplicado",IF(B1244="","DATA_PC vazia",IF(NOT(ISNUMBER(B1244)),"DATA_PC invalida",IF(OR(C1244="",C1244="Fora dos ciclos"),"CICLO_PC nao identificado",IF(OR(D1244="",D1244=0),"VALOR_PC vazio ou zero",IF(AND(G1244&lt;&gt;"Sim",G1244&lt;&gt;"Nao",G1244&lt;&gt;""),"PC_PAGO_A_CONTRATADA invalido",IF(AND(C1244&lt;&gt;"C0",IFERROR(INDEX(parametros!$A$2:$A$6,MATCH(C1244,parametros!$B$2:$B$6,0)),"")="Sim",IFERROR(INDEX(parametros!$H$2:$H$6,MATCH(C1244,parametros!$B$2:$B$6,0)),"")=""),"INICIO_EFEITO ausente: PC "&amp;A1244&amp;" - "&amp;C1244,IF(L1244="","EFEITO_PC nao calculado: PC "&amp;A1244&amp;" - "&amp;C1244,"OK")))))))))</f>
        <v/>
      </c>
      <c r="L1244" s="92" t="str">
        <f>IF(AND(A1244="",B1244="",D1244="",G1244=""),"",IF(OR(B1244="",NOT(ISNUMBER(B1244)),C1244="",C1244="Fora dos ciclos"),"",IF(C1244="C0","Nao",IF(IFERROR(INDEX(parametros!$A$2:$A$6,MATCH(C1244,parametros!$B$2:$B$6,0)),"")&lt;&gt;"Sim","Nao",IF(IFERROR(INDEX(parametros!$H$2:$H$6,MATCH(C1244,parametros!$B$2:$B$6,0)),"")="","",IF(B1244&gt;=IFERROR(INDEX(parametros!$H$2:$H$6,MATCH(C1244,parametros!$B$2:$B$6,0)),""),"Sim","Nao"))))))</f>
        <v/>
      </c>
      <c r="T1244" s="156"/>
      <c r="U1244" s="214" t="str">
        <f t="shared" si="101"/>
        <v/>
      </c>
      <c r="V1244" s="212" t="s">
        <v>50</v>
      </c>
      <c r="W1244" s="100" t="s">
        <v>168</v>
      </c>
      <c r="X1244" s="100" t="s">
        <v>169</v>
      </c>
      <c r="Y1244" s="101" t="s">
        <v>170</v>
      </c>
      <c r="Z1244" s="101" t="s">
        <v>171</v>
      </c>
      <c r="AA1244" s="101" t="s">
        <v>50</v>
      </c>
      <c r="AB1244" s="101" t="s">
        <v>172</v>
      </c>
      <c r="AC1244" s="102" t="s">
        <v>173</v>
      </c>
    </row>
    <row r="1245" spans="1:29" ht="25.5" customHeight="1" x14ac:dyDescent="0.35">
      <c r="A1245" s="392"/>
      <c r="B1245" s="393"/>
      <c r="C1245" s="99" t="str">
        <f>IF(B1245="","",IF(NOT(ISNUMBER(B1245)),"DATA_PC invalida",IF(NOT(ISNUMBER(parametros!$C$2)),"Fora dos ciclos",IF(OR(B1245&lt;parametros!$C$2,(YEAR(B1245)-YEAR(parametros!$C$2))*12+MONTH(B1245)-MONTH(parametros!$C$2)&gt;59),"Fora dos ciclos","C"&amp;INT(((YEAR(B1245)-YEAR(parametros!$C$2))*12+MONTH(B1245)-MONTH(parametros!$C$2))/12)))))</f>
        <v/>
      </c>
      <c r="D1245" s="394"/>
      <c r="E1245" s="78" t="str">
        <f>IF(C1245="","",IFERROR(VLOOKUP(C1245,parametros!$A$11:$E$15,5,0),""))</f>
        <v/>
      </c>
      <c r="F1245" s="79" t="str">
        <f t="shared" si="97"/>
        <v/>
      </c>
      <c r="G1245" s="395"/>
      <c r="H1245" s="91">
        <f t="shared" si="98"/>
        <v>0</v>
      </c>
      <c r="I1245" s="91" t="str">
        <f t="shared" si="99"/>
        <v/>
      </c>
      <c r="J1245" s="91" t="str">
        <f t="shared" si="100"/>
        <v/>
      </c>
      <c r="K1245" s="92" t="str">
        <f>IF(AND(A1245="",B1245="",D1245="",G1245=""),"",IF(AND(A1245&lt;&gt;"",COUNTIF($A$2:$A$5001,A1245)&gt;1),"NUMERO_PC duplicado",IF(B1245="","DATA_PC vazia",IF(NOT(ISNUMBER(B1245)),"DATA_PC invalida",IF(OR(C1245="",C1245="Fora dos ciclos"),"CICLO_PC nao identificado",IF(OR(D1245="",D1245=0),"VALOR_PC vazio ou zero",IF(AND(G1245&lt;&gt;"Sim",G1245&lt;&gt;"Nao",G1245&lt;&gt;""),"PC_PAGO_A_CONTRATADA invalido",IF(AND(C1245&lt;&gt;"C0",IFERROR(INDEX(parametros!$A$2:$A$6,MATCH(C1245,parametros!$B$2:$B$6,0)),"")="Sim",IFERROR(INDEX(parametros!$H$2:$H$6,MATCH(C1245,parametros!$B$2:$B$6,0)),"")=""),"INICIO_EFEITO ausente: PC "&amp;A1245&amp;" - "&amp;C1245,IF(L1245="","EFEITO_PC nao calculado: PC "&amp;A1245&amp;" - "&amp;C1245,"OK")))))))))</f>
        <v/>
      </c>
      <c r="L1245" s="92" t="str">
        <f>IF(AND(A1245="",B1245="",D1245="",G1245=""),"",IF(OR(B1245="",NOT(ISNUMBER(B1245)),C1245="",C1245="Fora dos ciclos"),"",IF(C1245="C0","Nao",IF(IFERROR(INDEX(parametros!$A$2:$A$6,MATCH(C1245,parametros!$B$2:$B$6,0)),"")&lt;&gt;"Sim","Nao",IF(IFERROR(INDEX(parametros!$H$2:$H$6,MATCH(C1245,parametros!$B$2:$B$6,0)),"")="","",IF(B1245&gt;=IFERROR(INDEX(parametros!$H$2:$H$6,MATCH(C1245,parametros!$B$2:$B$6,0)),""),"Sim","Nao"))))))</f>
        <v/>
      </c>
      <c r="T1245" s="156"/>
      <c r="U1245" s="214" t="str">
        <f t="shared" si="101"/>
        <v/>
      </c>
      <c r="V1245" s="212" t="s">
        <v>50</v>
      </c>
      <c r="W1245" s="100" t="s">
        <v>168</v>
      </c>
      <c r="X1245" s="100" t="s">
        <v>169</v>
      </c>
      <c r="Y1245" s="101" t="s">
        <v>170</v>
      </c>
      <c r="Z1245" s="101" t="s">
        <v>171</v>
      </c>
      <c r="AA1245" s="101" t="s">
        <v>50</v>
      </c>
      <c r="AB1245" s="101" t="s">
        <v>172</v>
      </c>
      <c r="AC1245" s="102" t="s">
        <v>173</v>
      </c>
    </row>
    <row r="1246" spans="1:29" ht="25.5" customHeight="1" x14ac:dyDescent="0.35">
      <c r="A1246" s="392"/>
      <c r="B1246" s="393"/>
      <c r="C1246" s="99" t="str">
        <f>IF(B1246="","",IF(NOT(ISNUMBER(B1246)),"DATA_PC invalida",IF(NOT(ISNUMBER(parametros!$C$2)),"Fora dos ciclos",IF(OR(B1246&lt;parametros!$C$2,(YEAR(B1246)-YEAR(parametros!$C$2))*12+MONTH(B1246)-MONTH(parametros!$C$2)&gt;59),"Fora dos ciclos","C"&amp;INT(((YEAR(B1246)-YEAR(parametros!$C$2))*12+MONTH(B1246)-MONTH(parametros!$C$2))/12)))))</f>
        <v/>
      </c>
      <c r="D1246" s="394"/>
      <c r="E1246" s="78" t="str">
        <f>IF(C1246="","",IFERROR(VLOOKUP(C1246,parametros!$A$11:$E$15,5,0),""))</f>
        <v/>
      </c>
      <c r="F1246" s="79" t="str">
        <f t="shared" si="97"/>
        <v/>
      </c>
      <c r="G1246" s="395"/>
      <c r="H1246" s="91">
        <f t="shared" si="98"/>
        <v>0</v>
      </c>
      <c r="I1246" s="91" t="str">
        <f t="shared" si="99"/>
        <v/>
      </c>
      <c r="J1246" s="91" t="str">
        <f t="shared" si="100"/>
        <v/>
      </c>
      <c r="K1246" s="92" t="str">
        <f>IF(AND(A1246="",B1246="",D1246="",G1246=""),"",IF(AND(A1246&lt;&gt;"",COUNTIF($A$2:$A$5001,A1246)&gt;1),"NUMERO_PC duplicado",IF(B1246="","DATA_PC vazia",IF(NOT(ISNUMBER(B1246)),"DATA_PC invalida",IF(OR(C1246="",C1246="Fora dos ciclos"),"CICLO_PC nao identificado",IF(OR(D1246="",D1246=0),"VALOR_PC vazio ou zero",IF(AND(G1246&lt;&gt;"Sim",G1246&lt;&gt;"Nao",G1246&lt;&gt;""),"PC_PAGO_A_CONTRATADA invalido",IF(AND(C1246&lt;&gt;"C0",IFERROR(INDEX(parametros!$A$2:$A$6,MATCH(C1246,parametros!$B$2:$B$6,0)),"")="Sim",IFERROR(INDEX(parametros!$H$2:$H$6,MATCH(C1246,parametros!$B$2:$B$6,0)),"")=""),"INICIO_EFEITO ausente: PC "&amp;A1246&amp;" - "&amp;C1246,IF(L1246="","EFEITO_PC nao calculado: PC "&amp;A1246&amp;" - "&amp;C1246,"OK")))))))))</f>
        <v/>
      </c>
      <c r="L1246" s="92" t="str">
        <f>IF(AND(A1246="",B1246="",D1246="",G1246=""),"",IF(OR(B1246="",NOT(ISNUMBER(B1246)),C1246="",C1246="Fora dos ciclos"),"",IF(C1246="C0","Nao",IF(IFERROR(INDEX(parametros!$A$2:$A$6,MATCH(C1246,parametros!$B$2:$B$6,0)),"")&lt;&gt;"Sim","Nao",IF(IFERROR(INDEX(parametros!$H$2:$H$6,MATCH(C1246,parametros!$B$2:$B$6,0)),"")="","",IF(B1246&gt;=IFERROR(INDEX(parametros!$H$2:$H$6,MATCH(C1246,parametros!$B$2:$B$6,0)),""),"Sim","Nao"))))))</f>
        <v/>
      </c>
      <c r="T1246" s="156"/>
      <c r="U1246" s="214" t="str">
        <f t="shared" si="101"/>
        <v/>
      </c>
      <c r="V1246" s="212" t="s">
        <v>50</v>
      </c>
      <c r="W1246" s="100" t="s">
        <v>168</v>
      </c>
      <c r="X1246" s="100" t="s">
        <v>169</v>
      </c>
      <c r="Y1246" s="101" t="s">
        <v>170</v>
      </c>
      <c r="Z1246" s="101" t="s">
        <v>171</v>
      </c>
      <c r="AA1246" s="101" t="s">
        <v>50</v>
      </c>
      <c r="AB1246" s="101" t="s">
        <v>172</v>
      </c>
      <c r="AC1246" s="102" t="s">
        <v>173</v>
      </c>
    </row>
    <row r="1247" spans="1:29" ht="25.5" customHeight="1" x14ac:dyDescent="0.35">
      <c r="A1247" s="392"/>
      <c r="B1247" s="393"/>
      <c r="C1247" s="99" t="str">
        <f>IF(B1247="","",IF(NOT(ISNUMBER(B1247)),"DATA_PC invalida",IF(NOT(ISNUMBER(parametros!$C$2)),"Fora dos ciclos",IF(OR(B1247&lt;parametros!$C$2,(YEAR(B1247)-YEAR(parametros!$C$2))*12+MONTH(B1247)-MONTH(parametros!$C$2)&gt;59),"Fora dos ciclos","C"&amp;INT(((YEAR(B1247)-YEAR(parametros!$C$2))*12+MONTH(B1247)-MONTH(parametros!$C$2))/12)))))</f>
        <v/>
      </c>
      <c r="D1247" s="394"/>
      <c r="E1247" s="78" t="str">
        <f>IF(C1247="","",IFERROR(VLOOKUP(C1247,parametros!$A$11:$E$15,5,0),""))</f>
        <v/>
      </c>
      <c r="F1247" s="79" t="str">
        <f t="shared" si="97"/>
        <v/>
      </c>
      <c r="G1247" s="395"/>
      <c r="H1247" s="91">
        <f t="shared" si="98"/>
        <v>0</v>
      </c>
      <c r="I1247" s="91" t="str">
        <f t="shared" si="99"/>
        <v/>
      </c>
      <c r="J1247" s="91" t="str">
        <f t="shared" si="100"/>
        <v/>
      </c>
      <c r="K1247" s="92" t="str">
        <f>IF(AND(A1247="",B1247="",D1247="",G1247=""),"",IF(AND(A1247&lt;&gt;"",COUNTIF($A$2:$A$5001,A1247)&gt;1),"NUMERO_PC duplicado",IF(B1247="","DATA_PC vazia",IF(NOT(ISNUMBER(B1247)),"DATA_PC invalida",IF(OR(C1247="",C1247="Fora dos ciclos"),"CICLO_PC nao identificado",IF(OR(D1247="",D1247=0),"VALOR_PC vazio ou zero",IF(AND(G1247&lt;&gt;"Sim",G1247&lt;&gt;"Nao",G1247&lt;&gt;""),"PC_PAGO_A_CONTRATADA invalido",IF(AND(C1247&lt;&gt;"C0",IFERROR(INDEX(parametros!$A$2:$A$6,MATCH(C1247,parametros!$B$2:$B$6,0)),"")="Sim",IFERROR(INDEX(parametros!$H$2:$H$6,MATCH(C1247,parametros!$B$2:$B$6,0)),"")=""),"INICIO_EFEITO ausente: PC "&amp;A1247&amp;" - "&amp;C1247,IF(L1247="","EFEITO_PC nao calculado: PC "&amp;A1247&amp;" - "&amp;C1247,"OK")))))))))</f>
        <v/>
      </c>
      <c r="L1247" s="92" t="str">
        <f>IF(AND(A1247="",B1247="",D1247="",G1247=""),"",IF(OR(B1247="",NOT(ISNUMBER(B1247)),C1247="",C1247="Fora dos ciclos"),"",IF(C1247="C0","Nao",IF(IFERROR(INDEX(parametros!$A$2:$A$6,MATCH(C1247,parametros!$B$2:$B$6,0)),"")&lt;&gt;"Sim","Nao",IF(IFERROR(INDEX(parametros!$H$2:$H$6,MATCH(C1247,parametros!$B$2:$B$6,0)),"")="","",IF(B1247&gt;=IFERROR(INDEX(parametros!$H$2:$H$6,MATCH(C1247,parametros!$B$2:$B$6,0)),""),"Sim","Nao"))))))</f>
        <v/>
      </c>
      <c r="T1247" s="156"/>
      <c r="U1247" s="214" t="str">
        <f t="shared" si="101"/>
        <v/>
      </c>
      <c r="V1247" s="212" t="s">
        <v>50</v>
      </c>
      <c r="W1247" s="100" t="s">
        <v>168</v>
      </c>
      <c r="X1247" s="100" t="s">
        <v>169</v>
      </c>
      <c r="Y1247" s="101" t="s">
        <v>170</v>
      </c>
      <c r="Z1247" s="101" t="s">
        <v>171</v>
      </c>
      <c r="AA1247" s="101" t="s">
        <v>50</v>
      </c>
      <c r="AB1247" s="101" t="s">
        <v>172</v>
      </c>
      <c r="AC1247" s="102" t="s">
        <v>173</v>
      </c>
    </row>
    <row r="1248" spans="1:29" ht="25.5" customHeight="1" x14ac:dyDescent="0.35">
      <c r="A1248" s="392"/>
      <c r="B1248" s="393"/>
      <c r="C1248" s="99" t="str">
        <f>IF(B1248="","",IF(NOT(ISNUMBER(B1248)),"DATA_PC invalida",IF(NOT(ISNUMBER(parametros!$C$2)),"Fora dos ciclos",IF(OR(B1248&lt;parametros!$C$2,(YEAR(B1248)-YEAR(parametros!$C$2))*12+MONTH(B1248)-MONTH(parametros!$C$2)&gt;59),"Fora dos ciclos","C"&amp;INT(((YEAR(B1248)-YEAR(parametros!$C$2))*12+MONTH(B1248)-MONTH(parametros!$C$2))/12)))))</f>
        <v/>
      </c>
      <c r="D1248" s="394"/>
      <c r="E1248" s="78" t="str">
        <f>IF(C1248="","",IFERROR(VLOOKUP(C1248,parametros!$A$11:$E$15,5,0),""))</f>
        <v/>
      </c>
      <c r="F1248" s="79" t="str">
        <f t="shared" si="97"/>
        <v/>
      </c>
      <c r="G1248" s="395"/>
      <c r="H1248" s="91">
        <f t="shared" si="98"/>
        <v>0</v>
      </c>
      <c r="I1248" s="91" t="str">
        <f t="shared" si="99"/>
        <v/>
      </c>
      <c r="J1248" s="91" t="str">
        <f t="shared" si="100"/>
        <v/>
      </c>
      <c r="K1248" s="92" t="str">
        <f>IF(AND(A1248="",B1248="",D1248="",G1248=""),"",IF(AND(A1248&lt;&gt;"",COUNTIF($A$2:$A$5001,A1248)&gt;1),"NUMERO_PC duplicado",IF(B1248="","DATA_PC vazia",IF(NOT(ISNUMBER(B1248)),"DATA_PC invalida",IF(OR(C1248="",C1248="Fora dos ciclos"),"CICLO_PC nao identificado",IF(OR(D1248="",D1248=0),"VALOR_PC vazio ou zero",IF(AND(G1248&lt;&gt;"Sim",G1248&lt;&gt;"Nao",G1248&lt;&gt;""),"PC_PAGO_A_CONTRATADA invalido",IF(AND(C1248&lt;&gt;"C0",IFERROR(INDEX(parametros!$A$2:$A$6,MATCH(C1248,parametros!$B$2:$B$6,0)),"")="Sim",IFERROR(INDEX(parametros!$H$2:$H$6,MATCH(C1248,parametros!$B$2:$B$6,0)),"")=""),"INICIO_EFEITO ausente: PC "&amp;A1248&amp;" - "&amp;C1248,IF(L1248="","EFEITO_PC nao calculado: PC "&amp;A1248&amp;" - "&amp;C1248,"OK")))))))))</f>
        <v/>
      </c>
      <c r="L1248" s="92" t="str">
        <f>IF(AND(A1248="",B1248="",D1248="",G1248=""),"",IF(OR(B1248="",NOT(ISNUMBER(B1248)),C1248="",C1248="Fora dos ciclos"),"",IF(C1248="C0","Nao",IF(IFERROR(INDEX(parametros!$A$2:$A$6,MATCH(C1248,parametros!$B$2:$B$6,0)),"")&lt;&gt;"Sim","Nao",IF(IFERROR(INDEX(parametros!$H$2:$H$6,MATCH(C1248,parametros!$B$2:$B$6,0)),"")="","",IF(B1248&gt;=IFERROR(INDEX(parametros!$H$2:$H$6,MATCH(C1248,parametros!$B$2:$B$6,0)),""),"Sim","Nao"))))))</f>
        <v/>
      </c>
      <c r="T1248" s="156"/>
      <c r="U1248" s="214" t="str">
        <f t="shared" si="101"/>
        <v/>
      </c>
      <c r="V1248" s="212" t="s">
        <v>50</v>
      </c>
      <c r="W1248" s="100" t="s">
        <v>168</v>
      </c>
      <c r="X1248" s="100" t="s">
        <v>169</v>
      </c>
      <c r="Y1248" s="101" t="s">
        <v>170</v>
      </c>
      <c r="Z1248" s="101" t="s">
        <v>171</v>
      </c>
      <c r="AA1248" s="101" t="s">
        <v>50</v>
      </c>
      <c r="AB1248" s="101" t="s">
        <v>172</v>
      </c>
      <c r="AC1248" s="102" t="s">
        <v>173</v>
      </c>
    </row>
    <row r="1249" spans="1:29" ht="25.5" customHeight="1" x14ac:dyDescent="0.35">
      <c r="A1249" s="392"/>
      <c r="B1249" s="393"/>
      <c r="C1249" s="99" t="str">
        <f>IF(B1249="","",IF(NOT(ISNUMBER(B1249)),"DATA_PC invalida",IF(NOT(ISNUMBER(parametros!$C$2)),"Fora dos ciclos",IF(OR(B1249&lt;parametros!$C$2,(YEAR(B1249)-YEAR(parametros!$C$2))*12+MONTH(B1249)-MONTH(parametros!$C$2)&gt;59),"Fora dos ciclos","C"&amp;INT(((YEAR(B1249)-YEAR(parametros!$C$2))*12+MONTH(B1249)-MONTH(parametros!$C$2))/12)))))</f>
        <v/>
      </c>
      <c r="D1249" s="394"/>
      <c r="E1249" s="78" t="str">
        <f>IF(C1249="","",IFERROR(VLOOKUP(C1249,parametros!$A$11:$E$15,5,0),""))</f>
        <v/>
      </c>
      <c r="F1249" s="79" t="str">
        <f t="shared" si="97"/>
        <v/>
      </c>
      <c r="G1249" s="395"/>
      <c r="H1249" s="91">
        <f t="shared" si="98"/>
        <v>0</v>
      </c>
      <c r="I1249" s="91" t="str">
        <f t="shared" si="99"/>
        <v/>
      </c>
      <c r="J1249" s="91" t="str">
        <f t="shared" si="100"/>
        <v/>
      </c>
      <c r="K1249" s="92" t="str">
        <f>IF(AND(A1249="",B1249="",D1249="",G1249=""),"",IF(AND(A1249&lt;&gt;"",COUNTIF($A$2:$A$5001,A1249)&gt;1),"NUMERO_PC duplicado",IF(B1249="","DATA_PC vazia",IF(NOT(ISNUMBER(B1249)),"DATA_PC invalida",IF(OR(C1249="",C1249="Fora dos ciclos"),"CICLO_PC nao identificado",IF(OR(D1249="",D1249=0),"VALOR_PC vazio ou zero",IF(AND(G1249&lt;&gt;"Sim",G1249&lt;&gt;"Nao",G1249&lt;&gt;""),"PC_PAGO_A_CONTRATADA invalido",IF(AND(C1249&lt;&gt;"C0",IFERROR(INDEX(parametros!$A$2:$A$6,MATCH(C1249,parametros!$B$2:$B$6,0)),"")="Sim",IFERROR(INDEX(parametros!$H$2:$H$6,MATCH(C1249,parametros!$B$2:$B$6,0)),"")=""),"INICIO_EFEITO ausente: PC "&amp;A1249&amp;" - "&amp;C1249,IF(L1249="","EFEITO_PC nao calculado: PC "&amp;A1249&amp;" - "&amp;C1249,"OK")))))))))</f>
        <v/>
      </c>
      <c r="L1249" s="92" t="str">
        <f>IF(AND(A1249="",B1249="",D1249="",G1249=""),"",IF(OR(B1249="",NOT(ISNUMBER(B1249)),C1249="",C1249="Fora dos ciclos"),"",IF(C1249="C0","Nao",IF(IFERROR(INDEX(parametros!$A$2:$A$6,MATCH(C1249,parametros!$B$2:$B$6,0)),"")&lt;&gt;"Sim","Nao",IF(IFERROR(INDEX(parametros!$H$2:$H$6,MATCH(C1249,parametros!$B$2:$B$6,0)),"")="","",IF(B1249&gt;=IFERROR(INDEX(parametros!$H$2:$H$6,MATCH(C1249,parametros!$B$2:$B$6,0)),""),"Sim","Nao"))))))</f>
        <v/>
      </c>
      <c r="T1249" s="156"/>
      <c r="U1249" s="214" t="str">
        <f t="shared" si="101"/>
        <v/>
      </c>
      <c r="V1249" s="212" t="s">
        <v>50</v>
      </c>
      <c r="W1249" s="100" t="s">
        <v>168</v>
      </c>
      <c r="X1249" s="100" t="s">
        <v>169</v>
      </c>
      <c r="Y1249" s="101" t="s">
        <v>170</v>
      </c>
      <c r="Z1249" s="101" t="s">
        <v>171</v>
      </c>
      <c r="AA1249" s="101" t="s">
        <v>50</v>
      </c>
      <c r="AB1249" s="101" t="s">
        <v>172</v>
      </c>
      <c r="AC1249" s="102" t="s">
        <v>173</v>
      </c>
    </row>
    <row r="1250" spans="1:29" ht="25.5" customHeight="1" x14ac:dyDescent="0.35">
      <c r="A1250" s="392"/>
      <c r="B1250" s="393"/>
      <c r="C1250" s="99" t="str">
        <f>IF(B1250="","",IF(NOT(ISNUMBER(B1250)),"DATA_PC invalida",IF(NOT(ISNUMBER(parametros!$C$2)),"Fora dos ciclos",IF(OR(B1250&lt;parametros!$C$2,(YEAR(B1250)-YEAR(parametros!$C$2))*12+MONTH(B1250)-MONTH(parametros!$C$2)&gt;59),"Fora dos ciclos","C"&amp;INT(((YEAR(B1250)-YEAR(parametros!$C$2))*12+MONTH(B1250)-MONTH(parametros!$C$2))/12)))))</f>
        <v/>
      </c>
      <c r="D1250" s="394"/>
      <c r="E1250" s="78" t="str">
        <f>IF(C1250="","",IFERROR(VLOOKUP(C1250,parametros!$A$11:$E$15,5,0),""))</f>
        <v/>
      </c>
      <c r="F1250" s="79" t="str">
        <f t="shared" si="97"/>
        <v/>
      </c>
      <c r="G1250" s="395"/>
      <c r="H1250" s="91">
        <f t="shared" si="98"/>
        <v>0</v>
      </c>
      <c r="I1250" s="91" t="str">
        <f t="shared" si="99"/>
        <v/>
      </c>
      <c r="J1250" s="91" t="str">
        <f t="shared" si="100"/>
        <v/>
      </c>
      <c r="K1250" s="92" t="str">
        <f>IF(AND(A1250="",B1250="",D1250="",G1250=""),"",IF(AND(A1250&lt;&gt;"",COUNTIF($A$2:$A$5001,A1250)&gt;1),"NUMERO_PC duplicado",IF(B1250="","DATA_PC vazia",IF(NOT(ISNUMBER(B1250)),"DATA_PC invalida",IF(OR(C1250="",C1250="Fora dos ciclos"),"CICLO_PC nao identificado",IF(OR(D1250="",D1250=0),"VALOR_PC vazio ou zero",IF(AND(G1250&lt;&gt;"Sim",G1250&lt;&gt;"Nao",G1250&lt;&gt;""),"PC_PAGO_A_CONTRATADA invalido",IF(AND(C1250&lt;&gt;"C0",IFERROR(INDEX(parametros!$A$2:$A$6,MATCH(C1250,parametros!$B$2:$B$6,0)),"")="Sim",IFERROR(INDEX(parametros!$H$2:$H$6,MATCH(C1250,parametros!$B$2:$B$6,0)),"")=""),"INICIO_EFEITO ausente: PC "&amp;A1250&amp;" - "&amp;C1250,IF(L1250="","EFEITO_PC nao calculado: PC "&amp;A1250&amp;" - "&amp;C1250,"OK")))))))))</f>
        <v/>
      </c>
      <c r="L1250" s="92" t="str">
        <f>IF(AND(A1250="",B1250="",D1250="",G1250=""),"",IF(OR(B1250="",NOT(ISNUMBER(B1250)),C1250="",C1250="Fora dos ciclos"),"",IF(C1250="C0","Nao",IF(IFERROR(INDEX(parametros!$A$2:$A$6,MATCH(C1250,parametros!$B$2:$B$6,0)),"")&lt;&gt;"Sim","Nao",IF(IFERROR(INDEX(parametros!$H$2:$H$6,MATCH(C1250,parametros!$B$2:$B$6,0)),"")="","",IF(B1250&gt;=IFERROR(INDEX(parametros!$H$2:$H$6,MATCH(C1250,parametros!$B$2:$B$6,0)),""),"Sim","Nao"))))))</f>
        <v/>
      </c>
      <c r="T1250" s="156"/>
      <c r="U1250" s="214" t="str">
        <f t="shared" si="101"/>
        <v/>
      </c>
      <c r="V1250" s="212" t="s">
        <v>50</v>
      </c>
      <c r="W1250" s="100" t="s">
        <v>168</v>
      </c>
      <c r="X1250" s="100" t="s">
        <v>169</v>
      </c>
      <c r="Y1250" s="101" t="s">
        <v>170</v>
      </c>
      <c r="Z1250" s="101" t="s">
        <v>171</v>
      </c>
      <c r="AA1250" s="101" t="s">
        <v>50</v>
      </c>
      <c r="AB1250" s="101" t="s">
        <v>172</v>
      </c>
      <c r="AC1250" s="102" t="s">
        <v>173</v>
      </c>
    </row>
    <row r="1251" spans="1:29" ht="25.5" customHeight="1" x14ac:dyDescent="0.35">
      <c r="A1251" s="392"/>
      <c r="B1251" s="393"/>
      <c r="C1251" s="99" t="str">
        <f>IF(B1251="","",IF(NOT(ISNUMBER(B1251)),"DATA_PC invalida",IF(NOT(ISNUMBER(parametros!$C$2)),"Fora dos ciclos",IF(OR(B1251&lt;parametros!$C$2,(YEAR(B1251)-YEAR(parametros!$C$2))*12+MONTH(B1251)-MONTH(parametros!$C$2)&gt;59),"Fora dos ciclos","C"&amp;INT(((YEAR(B1251)-YEAR(parametros!$C$2))*12+MONTH(B1251)-MONTH(parametros!$C$2))/12)))))</f>
        <v/>
      </c>
      <c r="D1251" s="394"/>
      <c r="E1251" s="78" t="str">
        <f>IF(C1251="","",IFERROR(VLOOKUP(C1251,parametros!$A$11:$E$15,5,0),""))</f>
        <v/>
      </c>
      <c r="F1251" s="79" t="str">
        <f t="shared" si="97"/>
        <v/>
      </c>
      <c r="G1251" s="395"/>
      <c r="H1251" s="91">
        <f t="shared" si="98"/>
        <v>0</v>
      </c>
      <c r="I1251" s="91" t="str">
        <f t="shared" si="99"/>
        <v/>
      </c>
      <c r="J1251" s="91" t="str">
        <f t="shared" si="100"/>
        <v/>
      </c>
      <c r="K1251" s="92" t="str">
        <f>IF(AND(A1251="",B1251="",D1251="",G1251=""),"",IF(AND(A1251&lt;&gt;"",COUNTIF($A$2:$A$5001,A1251)&gt;1),"NUMERO_PC duplicado",IF(B1251="","DATA_PC vazia",IF(NOT(ISNUMBER(B1251)),"DATA_PC invalida",IF(OR(C1251="",C1251="Fora dos ciclos"),"CICLO_PC nao identificado",IF(OR(D1251="",D1251=0),"VALOR_PC vazio ou zero",IF(AND(G1251&lt;&gt;"Sim",G1251&lt;&gt;"Nao",G1251&lt;&gt;""),"PC_PAGO_A_CONTRATADA invalido",IF(AND(C1251&lt;&gt;"C0",IFERROR(INDEX(parametros!$A$2:$A$6,MATCH(C1251,parametros!$B$2:$B$6,0)),"")="Sim",IFERROR(INDEX(parametros!$H$2:$H$6,MATCH(C1251,parametros!$B$2:$B$6,0)),"")=""),"INICIO_EFEITO ausente: PC "&amp;A1251&amp;" - "&amp;C1251,IF(L1251="","EFEITO_PC nao calculado: PC "&amp;A1251&amp;" - "&amp;C1251,"OK")))))))))</f>
        <v/>
      </c>
      <c r="L1251" s="92" t="str">
        <f>IF(AND(A1251="",B1251="",D1251="",G1251=""),"",IF(OR(B1251="",NOT(ISNUMBER(B1251)),C1251="",C1251="Fora dos ciclos"),"",IF(C1251="C0","Nao",IF(IFERROR(INDEX(parametros!$A$2:$A$6,MATCH(C1251,parametros!$B$2:$B$6,0)),"")&lt;&gt;"Sim","Nao",IF(IFERROR(INDEX(parametros!$H$2:$H$6,MATCH(C1251,parametros!$B$2:$B$6,0)),"")="","",IF(B1251&gt;=IFERROR(INDEX(parametros!$H$2:$H$6,MATCH(C1251,parametros!$B$2:$B$6,0)),""),"Sim","Nao"))))))</f>
        <v/>
      </c>
      <c r="T1251" s="156"/>
      <c r="U1251" s="214" t="str">
        <f t="shared" si="101"/>
        <v/>
      </c>
      <c r="V1251" s="212" t="s">
        <v>50</v>
      </c>
      <c r="W1251" s="100" t="s">
        <v>168</v>
      </c>
      <c r="X1251" s="100" t="s">
        <v>169</v>
      </c>
      <c r="Y1251" s="101" t="s">
        <v>170</v>
      </c>
      <c r="Z1251" s="101" t="s">
        <v>171</v>
      </c>
      <c r="AA1251" s="101" t="s">
        <v>50</v>
      </c>
      <c r="AB1251" s="101" t="s">
        <v>172</v>
      </c>
      <c r="AC1251" s="102" t="s">
        <v>173</v>
      </c>
    </row>
    <row r="1252" spans="1:29" ht="25.5" customHeight="1" x14ac:dyDescent="0.35">
      <c r="A1252" s="392"/>
      <c r="B1252" s="393"/>
      <c r="C1252" s="99" t="str">
        <f>IF(B1252="","",IF(NOT(ISNUMBER(B1252)),"DATA_PC invalida",IF(NOT(ISNUMBER(parametros!$C$2)),"Fora dos ciclos",IF(OR(B1252&lt;parametros!$C$2,(YEAR(B1252)-YEAR(parametros!$C$2))*12+MONTH(B1252)-MONTH(parametros!$C$2)&gt;59),"Fora dos ciclos","C"&amp;INT(((YEAR(B1252)-YEAR(parametros!$C$2))*12+MONTH(B1252)-MONTH(parametros!$C$2))/12)))))</f>
        <v/>
      </c>
      <c r="D1252" s="394"/>
      <c r="E1252" s="78" t="str">
        <f>IF(C1252="","",IFERROR(VLOOKUP(C1252,parametros!$A$11:$E$15,5,0),""))</f>
        <v/>
      </c>
      <c r="F1252" s="79" t="str">
        <f t="shared" si="97"/>
        <v/>
      </c>
      <c r="G1252" s="395"/>
      <c r="H1252" s="91">
        <f t="shared" si="98"/>
        <v>0</v>
      </c>
      <c r="I1252" s="91" t="str">
        <f t="shared" si="99"/>
        <v/>
      </c>
      <c r="J1252" s="91" t="str">
        <f t="shared" si="100"/>
        <v/>
      </c>
      <c r="K1252" s="92" t="str">
        <f>IF(AND(A1252="",B1252="",D1252="",G1252=""),"",IF(AND(A1252&lt;&gt;"",COUNTIF($A$2:$A$5001,A1252)&gt;1),"NUMERO_PC duplicado",IF(B1252="","DATA_PC vazia",IF(NOT(ISNUMBER(B1252)),"DATA_PC invalida",IF(OR(C1252="",C1252="Fora dos ciclos"),"CICLO_PC nao identificado",IF(OR(D1252="",D1252=0),"VALOR_PC vazio ou zero",IF(AND(G1252&lt;&gt;"Sim",G1252&lt;&gt;"Nao",G1252&lt;&gt;""),"PC_PAGO_A_CONTRATADA invalido",IF(AND(C1252&lt;&gt;"C0",IFERROR(INDEX(parametros!$A$2:$A$6,MATCH(C1252,parametros!$B$2:$B$6,0)),"")="Sim",IFERROR(INDEX(parametros!$H$2:$H$6,MATCH(C1252,parametros!$B$2:$B$6,0)),"")=""),"INICIO_EFEITO ausente: PC "&amp;A1252&amp;" - "&amp;C1252,IF(L1252="","EFEITO_PC nao calculado: PC "&amp;A1252&amp;" - "&amp;C1252,"OK")))))))))</f>
        <v/>
      </c>
      <c r="L1252" s="92" t="str">
        <f>IF(AND(A1252="",B1252="",D1252="",G1252=""),"",IF(OR(B1252="",NOT(ISNUMBER(B1252)),C1252="",C1252="Fora dos ciclos"),"",IF(C1252="C0","Nao",IF(IFERROR(INDEX(parametros!$A$2:$A$6,MATCH(C1252,parametros!$B$2:$B$6,0)),"")&lt;&gt;"Sim","Nao",IF(IFERROR(INDEX(parametros!$H$2:$H$6,MATCH(C1252,parametros!$B$2:$B$6,0)),"")="","",IF(B1252&gt;=IFERROR(INDEX(parametros!$H$2:$H$6,MATCH(C1252,parametros!$B$2:$B$6,0)),""),"Sim","Nao"))))))</f>
        <v/>
      </c>
      <c r="T1252" s="156"/>
      <c r="U1252" s="214" t="str">
        <f t="shared" si="101"/>
        <v/>
      </c>
      <c r="V1252" s="212" t="s">
        <v>50</v>
      </c>
      <c r="W1252" s="100" t="s">
        <v>168</v>
      </c>
      <c r="X1252" s="100" t="s">
        <v>169</v>
      </c>
      <c r="Y1252" s="101" t="s">
        <v>170</v>
      </c>
      <c r="Z1252" s="101" t="s">
        <v>171</v>
      </c>
      <c r="AA1252" s="101" t="s">
        <v>50</v>
      </c>
      <c r="AB1252" s="101" t="s">
        <v>172</v>
      </c>
      <c r="AC1252" s="102" t="s">
        <v>173</v>
      </c>
    </row>
    <row r="1253" spans="1:29" ht="25.5" customHeight="1" x14ac:dyDescent="0.35">
      <c r="A1253" s="392"/>
      <c r="B1253" s="393"/>
      <c r="C1253" s="99" t="str">
        <f>IF(B1253="","",IF(NOT(ISNUMBER(B1253)),"DATA_PC invalida",IF(NOT(ISNUMBER(parametros!$C$2)),"Fora dos ciclos",IF(OR(B1253&lt;parametros!$C$2,(YEAR(B1253)-YEAR(parametros!$C$2))*12+MONTH(B1253)-MONTH(parametros!$C$2)&gt;59),"Fora dos ciclos","C"&amp;INT(((YEAR(B1253)-YEAR(parametros!$C$2))*12+MONTH(B1253)-MONTH(parametros!$C$2))/12)))))</f>
        <v/>
      </c>
      <c r="D1253" s="394"/>
      <c r="E1253" s="78" t="str">
        <f>IF(C1253="","",IFERROR(VLOOKUP(C1253,parametros!$A$11:$E$15,5,0),""))</f>
        <v/>
      </c>
      <c r="F1253" s="79" t="str">
        <f t="shared" si="97"/>
        <v/>
      </c>
      <c r="G1253" s="395"/>
      <c r="H1253" s="91">
        <f t="shared" si="98"/>
        <v>0</v>
      </c>
      <c r="I1253" s="91" t="str">
        <f t="shared" si="99"/>
        <v/>
      </c>
      <c r="J1253" s="91" t="str">
        <f t="shared" si="100"/>
        <v/>
      </c>
      <c r="K1253" s="92" t="str">
        <f>IF(AND(A1253="",B1253="",D1253="",G1253=""),"",IF(AND(A1253&lt;&gt;"",COUNTIF($A$2:$A$5001,A1253)&gt;1),"NUMERO_PC duplicado",IF(B1253="","DATA_PC vazia",IF(NOT(ISNUMBER(B1253)),"DATA_PC invalida",IF(OR(C1253="",C1253="Fora dos ciclos"),"CICLO_PC nao identificado",IF(OR(D1253="",D1253=0),"VALOR_PC vazio ou zero",IF(AND(G1253&lt;&gt;"Sim",G1253&lt;&gt;"Nao",G1253&lt;&gt;""),"PC_PAGO_A_CONTRATADA invalido",IF(AND(C1253&lt;&gt;"C0",IFERROR(INDEX(parametros!$A$2:$A$6,MATCH(C1253,parametros!$B$2:$B$6,0)),"")="Sim",IFERROR(INDEX(parametros!$H$2:$H$6,MATCH(C1253,parametros!$B$2:$B$6,0)),"")=""),"INICIO_EFEITO ausente: PC "&amp;A1253&amp;" - "&amp;C1253,IF(L1253="","EFEITO_PC nao calculado: PC "&amp;A1253&amp;" - "&amp;C1253,"OK")))))))))</f>
        <v/>
      </c>
      <c r="L1253" s="92" t="str">
        <f>IF(AND(A1253="",B1253="",D1253="",G1253=""),"",IF(OR(B1253="",NOT(ISNUMBER(B1253)),C1253="",C1253="Fora dos ciclos"),"",IF(C1253="C0","Nao",IF(IFERROR(INDEX(parametros!$A$2:$A$6,MATCH(C1253,parametros!$B$2:$B$6,0)),"")&lt;&gt;"Sim","Nao",IF(IFERROR(INDEX(parametros!$H$2:$H$6,MATCH(C1253,parametros!$B$2:$B$6,0)),"")="","",IF(B1253&gt;=IFERROR(INDEX(parametros!$H$2:$H$6,MATCH(C1253,parametros!$B$2:$B$6,0)),""),"Sim","Nao"))))))</f>
        <v/>
      </c>
      <c r="T1253" s="156"/>
      <c r="U1253" s="214" t="str">
        <f t="shared" si="101"/>
        <v/>
      </c>
      <c r="V1253" s="212" t="s">
        <v>50</v>
      </c>
      <c r="W1253" s="100" t="s">
        <v>168</v>
      </c>
      <c r="X1253" s="100" t="s">
        <v>169</v>
      </c>
      <c r="Y1253" s="101" t="s">
        <v>170</v>
      </c>
      <c r="Z1253" s="101" t="s">
        <v>171</v>
      </c>
      <c r="AA1253" s="101" t="s">
        <v>50</v>
      </c>
      <c r="AB1253" s="101" t="s">
        <v>172</v>
      </c>
      <c r="AC1253" s="102" t="s">
        <v>173</v>
      </c>
    </row>
    <row r="1254" spans="1:29" ht="25.5" customHeight="1" x14ac:dyDescent="0.35">
      <c r="A1254" s="392"/>
      <c r="B1254" s="393"/>
      <c r="C1254" s="99" t="str">
        <f>IF(B1254="","",IF(NOT(ISNUMBER(B1254)),"DATA_PC invalida",IF(NOT(ISNUMBER(parametros!$C$2)),"Fora dos ciclos",IF(OR(B1254&lt;parametros!$C$2,(YEAR(B1254)-YEAR(parametros!$C$2))*12+MONTH(B1254)-MONTH(parametros!$C$2)&gt;59),"Fora dos ciclos","C"&amp;INT(((YEAR(B1254)-YEAR(parametros!$C$2))*12+MONTH(B1254)-MONTH(parametros!$C$2))/12)))))</f>
        <v/>
      </c>
      <c r="D1254" s="394"/>
      <c r="E1254" s="78" t="str">
        <f>IF(C1254="","",IFERROR(VLOOKUP(C1254,parametros!$A$11:$E$15,5,0),""))</f>
        <v/>
      </c>
      <c r="F1254" s="79" t="str">
        <f t="shared" si="97"/>
        <v/>
      </c>
      <c r="G1254" s="395"/>
      <c r="H1254" s="91">
        <f t="shared" si="98"/>
        <v>0</v>
      </c>
      <c r="I1254" s="91" t="str">
        <f t="shared" si="99"/>
        <v/>
      </c>
      <c r="J1254" s="91" t="str">
        <f t="shared" si="100"/>
        <v/>
      </c>
      <c r="K1254" s="92" t="str">
        <f>IF(AND(A1254="",B1254="",D1254="",G1254=""),"",IF(AND(A1254&lt;&gt;"",COUNTIF($A$2:$A$5001,A1254)&gt;1),"NUMERO_PC duplicado",IF(B1254="","DATA_PC vazia",IF(NOT(ISNUMBER(B1254)),"DATA_PC invalida",IF(OR(C1254="",C1254="Fora dos ciclos"),"CICLO_PC nao identificado",IF(OR(D1254="",D1254=0),"VALOR_PC vazio ou zero",IF(AND(G1254&lt;&gt;"Sim",G1254&lt;&gt;"Nao",G1254&lt;&gt;""),"PC_PAGO_A_CONTRATADA invalido",IF(AND(C1254&lt;&gt;"C0",IFERROR(INDEX(parametros!$A$2:$A$6,MATCH(C1254,parametros!$B$2:$B$6,0)),"")="Sim",IFERROR(INDEX(parametros!$H$2:$H$6,MATCH(C1254,parametros!$B$2:$B$6,0)),"")=""),"INICIO_EFEITO ausente: PC "&amp;A1254&amp;" - "&amp;C1254,IF(L1254="","EFEITO_PC nao calculado: PC "&amp;A1254&amp;" - "&amp;C1254,"OK")))))))))</f>
        <v/>
      </c>
      <c r="L1254" s="92" t="str">
        <f>IF(AND(A1254="",B1254="",D1254="",G1254=""),"",IF(OR(B1254="",NOT(ISNUMBER(B1254)),C1254="",C1254="Fora dos ciclos"),"",IF(C1254="C0","Nao",IF(IFERROR(INDEX(parametros!$A$2:$A$6,MATCH(C1254,parametros!$B$2:$B$6,0)),"")&lt;&gt;"Sim","Nao",IF(IFERROR(INDEX(parametros!$H$2:$H$6,MATCH(C1254,parametros!$B$2:$B$6,0)),"")="","",IF(B1254&gt;=IFERROR(INDEX(parametros!$H$2:$H$6,MATCH(C1254,parametros!$B$2:$B$6,0)),""),"Sim","Nao"))))))</f>
        <v/>
      </c>
      <c r="T1254" s="156"/>
      <c r="U1254" s="214" t="str">
        <f t="shared" si="101"/>
        <v/>
      </c>
      <c r="V1254" s="212" t="s">
        <v>50</v>
      </c>
      <c r="W1254" s="100" t="s">
        <v>168</v>
      </c>
      <c r="X1254" s="100" t="s">
        <v>169</v>
      </c>
      <c r="Y1254" s="101" t="s">
        <v>170</v>
      </c>
      <c r="Z1254" s="101" t="s">
        <v>171</v>
      </c>
      <c r="AA1254" s="101" t="s">
        <v>50</v>
      </c>
      <c r="AB1254" s="101" t="s">
        <v>172</v>
      </c>
      <c r="AC1254" s="102" t="s">
        <v>173</v>
      </c>
    </row>
    <row r="1255" spans="1:29" ht="25.5" customHeight="1" x14ac:dyDescent="0.35">
      <c r="A1255" s="392"/>
      <c r="B1255" s="393"/>
      <c r="C1255" s="99" t="str">
        <f>IF(B1255="","",IF(NOT(ISNUMBER(B1255)),"DATA_PC invalida",IF(NOT(ISNUMBER(parametros!$C$2)),"Fora dos ciclos",IF(OR(B1255&lt;parametros!$C$2,(YEAR(B1255)-YEAR(parametros!$C$2))*12+MONTH(B1255)-MONTH(parametros!$C$2)&gt;59),"Fora dos ciclos","C"&amp;INT(((YEAR(B1255)-YEAR(parametros!$C$2))*12+MONTH(B1255)-MONTH(parametros!$C$2))/12)))))</f>
        <v/>
      </c>
      <c r="D1255" s="394"/>
      <c r="E1255" s="78" t="str">
        <f>IF(C1255="","",IFERROR(VLOOKUP(C1255,parametros!$A$11:$E$15,5,0),""))</f>
        <v/>
      </c>
      <c r="F1255" s="79" t="str">
        <f t="shared" si="97"/>
        <v/>
      </c>
      <c r="G1255" s="395"/>
      <c r="H1255" s="91">
        <f t="shared" si="98"/>
        <v>0</v>
      </c>
      <c r="I1255" s="91" t="str">
        <f t="shared" si="99"/>
        <v/>
      </c>
      <c r="J1255" s="91" t="str">
        <f t="shared" si="100"/>
        <v/>
      </c>
      <c r="K1255" s="92" t="str">
        <f>IF(AND(A1255="",B1255="",D1255="",G1255=""),"",IF(AND(A1255&lt;&gt;"",COUNTIF($A$2:$A$5001,A1255)&gt;1),"NUMERO_PC duplicado",IF(B1255="","DATA_PC vazia",IF(NOT(ISNUMBER(B1255)),"DATA_PC invalida",IF(OR(C1255="",C1255="Fora dos ciclos"),"CICLO_PC nao identificado",IF(OR(D1255="",D1255=0),"VALOR_PC vazio ou zero",IF(AND(G1255&lt;&gt;"Sim",G1255&lt;&gt;"Nao",G1255&lt;&gt;""),"PC_PAGO_A_CONTRATADA invalido",IF(AND(C1255&lt;&gt;"C0",IFERROR(INDEX(parametros!$A$2:$A$6,MATCH(C1255,parametros!$B$2:$B$6,0)),"")="Sim",IFERROR(INDEX(parametros!$H$2:$H$6,MATCH(C1255,parametros!$B$2:$B$6,0)),"")=""),"INICIO_EFEITO ausente: PC "&amp;A1255&amp;" - "&amp;C1255,IF(L1255="","EFEITO_PC nao calculado: PC "&amp;A1255&amp;" - "&amp;C1255,"OK")))))))))</f>
        <v/>
      </c>
      <c r="L1255" s="92" t="str">
        <f>IF(AND(A1255="",B1255="",D1255="",G1255=""),"",IF(OR(B1255="",NOT(ISNUMBER(B1255)),C1255="",C1255="Fora dos ciclos"),"",IF(C1255="C0","Nao",IF(IFERROR(INDEX(parametros!$A$2:$A$6,MATCH(C1255,parametros!$B$2:$B$6,0)),"")&lt;&gt;"Sim","Nao",IF(IFERROR(INDEX(parametros!$H$2:$H$6,MATCH(C1255,parametros!$B$2:$B$6,0)),"")="","",IF(B1255&gt;=IFERROR(INDEX(parametros!$H$2:$H$6,MATCH(C1255,parametros!$B$2:$B$6,0)),""),"Sim","Nao"))))))</f>
        <v/>
      </c>
      <c r="T1255" s="156"/>
      <c r="U1255" s="214" t="str">
        <f t="shared" si="101"/>
        <v/>
      </c>
      <c r="V1255" s="212" t="s">
        <v>50</v>
      </c>
      <c r="W1255" s="100" t="s">
        <v>168</v>
      </c>
      <c r="X1255" s="100" t="s">
        <v>169</v>
      </c>
      <c r="Y1255" s="101" t="s">
        <v>170</v>
      </c>
      <c r="Z1255" s="101" t="s">
        <v>171</v>
      </c>
      <c r="AA1255" s="101" t="s">
        <v>50</v>
      </c>
      <c r="AB1255" s="101" t="s">
        <v>172</v>
      </c>
      <c r="AC1255" s="102" t="s">
        <v>173</v>
      </c>
    </row>
    <row r="1256" spans="1:29" ht="25.5" customHeight="1" x14ac:dyDescent="0.35">
      <c r="A1256" s="392"/>
      <c r="B1256" s="393"/>
      <c r="C1256" s="99" t="str">
        <f>IF(B1256="","",IF(NOT(ISNUMBER(B1256)),"DATA_PC invalida",IF(NOT(ISNUMBER(parametros!$C$2)),"Fora dos ciclos",IF(OR(B1256&lt;parametros!$C$2,(YEAR(B1256)-YEAR(parametros!$C$2))*12+MONTH(B1256)-MONTH(parametros!$C$2)&gt;59),"Fora dos ciclos","C"&amp;INT(((YEAR(B1256)-YEAR(parametros!$C$2))*12+MONTH(B1256)-MONTH(parametros!$C$2))/12)))))</f>
        <v/>
      </c>
      <c r="D1256" s="394"/>
      <c r="E1256" s="78" t="str">
        <f>IF(C1256="","",IFERROR(VLOOKUP(C1256,parametros!$A$11:$E$15,5,0),""))</f>
        <v/>
      </c>
      <c r="F1256" s="79" t="str">
        <f t="shared" si="97"/>
        <v/>
      </c>
      <c r="G1256" s="395"/>
      <c r="H1256" s="91">
        <f t="shared" si="98"/>
        <v>0</v>
      </c>
      <c r="I1256" s="91" t="str">
        <f t="shared" si="99"/>
        <v/>
      </c>
      <c r="J1256" s="91" t="str">
        <f t="shared" si="100"/>
        <v/>
      </c>
      <c r="K1256" s="92" t="str">
        <f>IF(AND(A1256="",B1256="",D1256="",G1256=""),"",IF(AND(A1256&lt;&gt;"",COUNTIF($A$2:$A$5001,A1256)&gt;1),"NUMERO_PC duplicado",IF(B1256="","DATA_PC vazia",IF(NOT(ISNUMBER(B1256)),"DATA_PC invalida",IF(OR(C1256="",C1256="Fora dos ciclos"),"CICLO_PC nao identificado",IF(OR(D1256="",D1256=0),"VALOR_PC vazio ou zero",IF(AND(G1256&lt;&gt;"Sim",G1256&lt;&gt;"Nao",G1256&lt;&gt;""),"PC_PAGO_A_CONTRATADA invalido",IF(AND(C1256&lt;&gt;"C0",IFERROR(INDEX(parametros!$A$2:$A$6,MATCH(C1256,parametros!$B$2:$B$6,0)),"")="Sim",IFERROR(INDEX(parametros!$H$2:$H$6,MATCH(C1256,parametros!$B$2:$B$6,0)),"")=""),"INICIO_EFEITO ausente: PC "&amp;A1256&amp;" - "&amp;C1256,IF(L1256="","EFEITO_PC nao calculado: PC "&amp;A1256&amp;" - "&amp;C1256,"OK")))))))))</f>
        <v/>
      </c>
      <c r="L1256" s="92" t="str">
        <f>IF(AND(A1256="",B1256="",D1256="",G1256=""),"",IF(OR(B1256="",NOT(ISNUMBER(B1256)),C1256="",C1256="Fora dos ciclos"),"",IF(C1256="C0","Nao",IF(IFERROR(INDEX(parametros!$A$2:$A$6,MATCH(C1256,parametros!$B$2:$B$6,0)),"")&lt;&gt;"Sim","Nao",IF(IFERROR(INDEX(parametros!$H$2:$H$6,MATCH(C1256,parametros!$B$2:$B$6,0)),"")="","",IF(B1256&gt;=IFERROR(INDEX(parametros!$H$2:$H$6,MATCH(C1256,parametros!$B$2:$B$6,0)),""),"Sim","Nao"))))))</f>
        <v/>
      </c>
      <c r="T1256" s="156"/>
      <c r="U1256" s="214" t="str">
        <f t="shared" si="101"/>
        <v/>
      </c>
      <c r="V1256" s="212" t="s">
        <v>50</v>
      </c>
      <c r="W1256" s="100" t="s">
        <v>168</v>
      </c>
      <c r="X1256" s="100" t="s">
        <v>169</v>
      </c>
      <c r="Y1256" s="101" t="s">
        <v>170</v>
      </c>
      <c r="Z1256" s="101" t="s">
        <v>171</v>
      </c>
      <c r="AA1256" s="101" t="s">
        <v>50</v>
      </c>
      <c r="AB1256" s="101" t="s">
        <v>172</v>
      </c>
      <c r="AC1256" s="102" t="s">
        <v>173</v>
      </c>
    </row>
    <row r="1257" spans="1:29" ht="25.5" customHeight="1" x14ac:dyDescent="0.35">
      <c r="A1257" s="392"/>
      <c r="B1257" s="393"/>
      <c r="C1257" s="99" t="str">
        <f>IF(B1257="","",IF(NOT(ISNUMBER(B1257)),"DATA_PC invalida",IF(NOT(ISNUMBER(parametros!$C$2)),"Fora dos ciclos",IF(OR(B1257&lt;parametros!$C$2,(YEAR(B1257)-YEAR(parametros!$C$2))*12+MONTH(B1257)-MONTH(parametros!$C$2)&gt;59),"Fora dos ciclos","C"&amp;INT(((YEAR(B1257)-YEAR(parametros!$C$2))*12+MONTH(B1257)-MONTH(parametros!$C$2))/12)))))</f>
        <v/>
      </c>
      <c r="D1257" s="394"/>
      <c r="E1257" s="78" t="str">
        <f>IF(C1257="","",IFERROR(VLOOKUP(C1257,parametros!$A$11:$E$15,5,0),""))</f>
        <v/>
      </c>
      <c r="F1257" s="79" t="str">
        <f t="shared" si="97"/>
        <v/>
      </c>
      <c r="G1257" s="395"/>
      <c r="H1257" s="91">
        <f t="shared" si="98"/>
        <v>0</v>
      </c>
      <c r="I1257" s="91" t="str">
        <f t="shared" si="99"/>
        <v/>
      </c>
      <c r="J1257" s="91" t="str">
        <f t="shared" si="100"/>
        <v/>
      </c>
      <c r="K1257" s="92" t="str">
        <f>IF(AND(A1257="",B1257="",D1257="",G1257=""),"",IF(AND(A1257&lt;&gt;"",COUNTIF($A$2:$A$5001,A1257)&gt;1),"NUMERO_PC duplicado",IF(B1257="","DATA_PC vazia",IF(NOT(ISNUMBER(B1257)),"DATA_PC invalida",IF(OR(C1257="",C1257="Fora dos ciclos"),"CICLO_PC nao identificado",IF(OR(D1257="",D1257=0),"VALOR_PC vazio ou zero",IF(AND(G1257&lt;&gt;"Sim",G1257&lt;&gt;"Nao",G1257&lt;&gt;""),"PC_PAGO_A_CONTRATADA invalido",IF(AND(C1257&lt;&gt;"C0",IFERROR(INDEX(parametros!$A$2:$A$6,MATCH(C1257,parametros!$B$2:$B$6,0)),"")="Sim",IFERROR(INDEX(parametros!$H$2:$H$6,MATCH(C1257,parametros!$B$2:$B$6,0)),"")=""),"INICIO_EFEITO ausente: PC "&amp;A1257&amp;" - "&amp;C1257,IF(L1257="","EFEITO_PC nao calculado: PC "&amp;A1257&amp;" - "&amp;C1257,"OK")))))))))</f>
        <v/>
      </c>
      <c r="L1257" s="92" t="str">
        <f>IF(AND(A1257="",B1257="",D1257="",G1257=""),"",IF(OR(B1257="",NOT(ISNUMBER(B1257)),C1257="",C1257="Fora dos ciclos"),"",IF(C1257="C0","Nao",IF(IFERROR(INDEX(parametros!$A$2:$A$6,MATCH(C1257,parametros!$B$2:$B$6,0)),"")&lt;&gt;"Sim","Nao",IF(IFERROR(INDEX(parametros!$H$2:$H$6,MATCH(C1257,parametros!$B$2:$B$6,0)),"")="","",IF(B1257&gt;=IFERROR(INDEX(parametros!$H$2:$H$6,MATCH(C1257,parametros!$B$2:$B$6,0)),""),"Sim","Nao"))))))</f>
        <v/>
      </c>
      <c r="T1257" s="156"/>
      <c r="U1257" s="214" t="str">
        <f t="shared" si="101"/>
        <v/>
      </c>
      <c r="V1257" s="212" t="s">
        <v>50</v>
      </c>
      <c r="W1257" s="100" t="s">
        <v>168</v>
      </c>
      <c r="X1257" s="100" t="s">
        <v>169</v>
      </c>
      <c r="Y1257" s="101" t="s">
        <v>170</v>
      </c>
      <c r="Z1257" s="101" t="s">
        <v>171</v>
      </c>
      <c r="AA1257" s="101" t="s">
        <v>50</v>
      </c>
      <c r="AB1257" s="101" t="s">
        <v>172</v>
      </c>
      <c r="AC1257" s="102" t="s">
        <v>173</v>
      </c>
    </row>
    <row r="1258" spans="1:29" ht="25.5" customHeight="1" x14ac:dyDescent="0.35">
      <c r="A1258" s="392"/>
      <c r="B1258" s="393"/>
      <c r="C1258" s="99" t="str">
        <f>IF(B1258="","",IF(NOT(ISNUMBER(B1258)),"DATA_PC invalida",IF(NOT(ISNUMBER(parametros!$C$2)),"Fora dos ciclos",IF(OR(B1258&lt;parametros!$C$2,(YEAR(B1258)-YEAR(parametros!$C$2))*12+MONTH(B1258)-MONTH(parametros!$C$2)&gt;59),"Fora dos ciclos","C"&amp;INT(((YEAR(B1258)-YEAR(parametros!$C$2))*12+MONTH(B1258)-MONTH(parametros!$C$2))/12)))))</f>
        <v/>
      </c>
      <c r="D1258" s="394"/>
      <c r="E1258" s="78" t="str">
        <f>IF(C1258="","",IFERROR(VLOOKUP(C1258,parametros!$A$11:$E$15,5,0),""))</f>
        <v/>
      </c>
      <c r="F1258" s="79" t="str">
        <f t="shared" si="97"/>
        <v/>
      </c>
      <c r="G1258" s="395"/>
      <c r="H1258" s="91">
        <f t="shared" si="98"/>
        <v>0</v>
      </c>
      <c r="I1258" s="91" t="str">
        <f t="shared" si="99"/>
        <v/>
      </c>
      <c r="J1258" s="91" t="str">
        <f t="shared" si="100"/>
        <v/>
      </c>
      <c r="K1258" s="92" t="str">
        <f>IF(AND(A1258="",B1258="",D1258="",G1258=""),"",IF(AND(A1258&lt;&gt;"",COUNTIF($A$2:$A$5001,A1258)&gt;1),"NUMERO_PC duplicado",IF(B1258="","DATA_PC vazia",IF(NOT(ISNUMBER(B1258)),"DATA_PC invalida",IF(OR(C1258="",C1258="Fora dos ciclos"),"CICLO_PC nao identificado",IF(OR(D1258="",D1258=0),"VALOR_PC vazio ou zero",IF(AND(G1258&lt;&gt;"Sim",G1258&lt;&gt;"Nao",G1258&lt;&gt;""),"PC_PAGO_A_CONTRATADA invalido",IF(AND(C1258&lt;&gt;"C0",IFERROR(INDEX(parametros!$A$2:$A$6,MATCH(C1258,parametros!$B$2:$B$6,0)),"")="Sim",IFERROR(INDEX(parametros!$H$2:$H$6,MATCH(C1258,parametros!$B$2:$B$6,0)),"")=""),"INICIO_EFEITO ausente: PC "&amp;A1258&amp;" - "&amp;C1258,IF(L1258="","EFEITO_PC nao calculado: PC "&amp;A1258&amp;" - "&amp;C1258,"OK")))))))))</f>
        <v/>
      </c>
      <c r="L1258" s="92" t="str">
        <f>IF(AND(A1258="",B1258="",D1258="",G1258=""),"",IF(OR(B1258="",NOT(ISNUMBER(B1258)),C1258="",C1258="Fora dos ciclos"),"",IF(C1258="C0","Nao",IF(IFERROR(INDEX(parametros!$A$2:$A$6,MATCH(C1258,parametros!$B$2:$B$6,0)),"")&lt;&gt;"Sim","Nao",IF(IFERROR(INDEX(parametros!$H$2:$H$6,MATCH(C1258,parametros!$B$2:$B$6,0)),"")="","",IF(B1258&gt;=IFERROR(INDEX(parametros!$H$2:$H$6,MATCH(C1258,parametros!$B$2:$B$6,0)),""),"Sim","Nao"))))))</f>
        <v/>
      </c>
      <c r="T1258" s="156"/>
      <c r="U1258" s="214" t="str">
        <f t="shared" si="101"/>
        <v/>
      </c>
      <c r="V1258" s="212" t="s">
        <v>50</v>
      </c>
      <c r="W1258" s="100" t="s">
        <v>168</v>
      </c>
      <c r="X1258" s="100" t="s">
        <v>169</v>
      </c>
      <c r="Y1258" s="101" t="s">
        <v>170</v>
      </c>
      <c r="Z1258" s="101" t="s">
        <v>171</v>
      </c>
      <c r="AA1258" s="101" t="s">
        <v>50</v>
      </c>
      <c r="AB1258" s="101" t="s">
        <v>172</v>
      </c>
      <c r="AC1258" s="102" t="s">
        <v>173</v>
      </c>
    </row>
    <row r="1259" spans="1:29" ht="25.5" customHeight="1" x14ac:dyDescent="0.35">
      <c r="A1259" s="392"/>
      <c r="B1259" s="393"/>
      <c r="C1259" s="99" t="str">
        <f>IF(B1259="","",IF(NOT(ISNUMBER(B1259)),"DATA_PC invalida",IF(NOT(ISNUMBER(parametros!$C$2)),"Fora dos ciclos",IF(OR(B1259&lt;parametros!$C$2,(YEAR(B1259)-YEAR(parametros!$C$2))*12+MONTH(B1259)-MONTH(parametros!$C$2)&gt;59),"Fora dos ciclos","C"&amp;INT(((YEAR(B1259)-YEAR(parametros!$C$2))*12+MONTH(B1259)-MONTH(parametros!$C$2))/12)))))</f>
        <v/>
      </c>
      <c r="D1259" s="394"/>
      <c r="E1259" s="78" t="str">
        <f>IF(C1259="","",IFERROR(VLOOKUP(C1259,parametros!$A$11:$E$15,5,0),""))</f>
        <v/>
      </c>
      <c r="F1259" s="79" t="str">
        <f t="shared" si="97"/>
        <v/>
      </c>
      <c r="G1259" s="395"/>
      <c r="H1259" s="91">
        <f t="shared" si="98"/>
        <v>0</v>
      </c>
      <c r="I1259" s="91" t="str">
        <f t="shared" si="99"/>
        <v/>
      </c>
      <c r="J1259" s="91" t="str">
        <f t="shared" si="100"/>
        <v/>
      </c>
      <c r="K1259" s="92" t="str">
        <f>IF(AND(A1259="",B1259="",D1259="",G1259=""),"",IF(AND(A1259&lt;&gt;"",COUNTIF($A$2:$A$5001,A1259)&gt;1),"NUMERO_PC duplicado",IF(B1259="","DATA_PC vazia",IF(NOT(ISNUMBER(B1259)),"DATA_PC invalida",IF(OR(C1259="",C1259="Fora dos ciclos"),"CICLO_PC nao identificado",IF(OR(D1259="",D1259=0),"VALOR_PC vazio ou zero",IF(AND(G1259&lt;&gt;"Sim",G1259&lt;&gt;"Nao",G1259&lt;&gt;""),"PC_PAGO_A_CONTRATADA invalido",IF(AND(C1259&lt;&gt;"C0",IFERROR(INDEX(parametros!$A$2:$A$6,MATCH(C1259,parametros!$B$2:$B$6,0)),"")="Sim",IFERROR(INDEX(parametros!$H$2:$H$6,MATCH(C1259,parametros!$B$2:$B$6,0)),"")=""),"INICIO_EFEITO ausente: PC "&amp;A1259&amp;" - "&amp;C1259,IF(L1259="","EFEITO_PC nao calculado: PC "&amp;A1259&amp;" - "&amp;C1259,"OK")))))))))</f>
        <v/>
      </c>
      <c r="L1259" s="92" t="str">
        <f>IF(AND(A1259="",B1259="",D1259="",G1259=""),"",IF(OR(B1259="",NOT(ISNUMBER(B1259)),C1259="",C1259="Fora dos ciclos"),"",IF(C1259="C0","Nao",IF(IFERROR(INDEX(parametros!$A$2:$A$6,MATCH(C1259,parametros!$B$2:$B$6,0)),"")&lt;&gt;"Sim","Nao",IF(IFERROR(INDEX(parametros!$H$2:$H$6,MATCH(C1259,parametros!$B$2:$B$6,0)),"")="","",IF(B1259&gt;=IFERROR(INDEX(parametros!$H$2:$H$6,MATCH(C1259,parametros!$B$2:$B$6,0)),""),"Sim","Nao"))))))</f>
        <v/>
      </c>
      <c r="T1259" s="156"/>
      <c r="U1259" s="214" t="str">
        <f t="shared" si="101"/>
        <v/>
      </c>
      <c r="V1259" s="212" t="s">
        <v>50</v>
      </c>
      <c r="W1259" s="100" t="s">
        <v>168</v>
      </c>
      <c r="X1259" s="100" t="s">
        <v>169</v>
      </c>
      <c r="Y1259" s="101" t="s">
        <v>170</v>
      </c>
      <c r="Z1259" s="101" t="s">
        <v>171</v>
      </c>
      <c r="AA1259" s="101" t="s">
        <v>50</v>
      </c>
      <c r="AB1259" s="101" t="s">
        <v>172</v>
      </c>
      <c r="AC1259" s="102" t="s">
        <v>173</v>
      </c>
    </row>
    <row r="1260" spans="1:29" ht="25.5" customHeight="1" x14ac:dyDescent="0.35">
      <c r="A1260" s="392"/>
      <c r="B1260" s="393"/>
      <c r="C1260" s="99" t="str">
        <f>IF(B1260="","",IF(NOT(ISNUMBER(B1260)),"DATA_PC invalida",IF(NOT(ISNUMBER(parametros!$C$2)),"Fora dos ciclos",IF(OR(B1260&lt;parametros!$C$2,(YEAR(B1260)-YEAR(parametros!$C$2))*12+MONTH(B1260)-MONTH(parametros!$C$2)&gt;59),"Fora dos ciclos","C"&amp;INT(((YEAR(B1260)-YEAR(parametros!$C$2))*12+MONTH(B1260)-MONTH(parametros!$C$2))/12)))))</f>
        <v/>
      </c>
      <c r="D1260" s="394"/>
      <c r="E1260" s="78" t="str">
        <f>IF(C1260="","",IFERROR(VLOOKUP(C1260,parametros!$A$11:$E$15,5,0),""))</f>
        <v/>
      </c>
      <c r="F1260" s="79" t="str">
        <f t="shared" si="97"/>
        <v/>
      </c>
      <c r="G1260" s="395"/>
      <c r="H1260" s="91">
        <f t="shared" si="98"/>
        <v>0</v>
      </c>
      <c r="I1260" s="91" t="str">
        <f t="shared" si="99"/>
        <v/>
      </c>
      <c r="J1260" s="91" t="str">
        <f t="shared" si="100"/>
        <v/>
      </c>
      <c r="K1260" s="92" t="str">
        <f>IF(AND(A1260="",B1260="",D1260="",G1260=""),"",IF(AND(A1260&lt;&gt;"",COUNTIF($A$2:$A$5001,A1260)&gt;1),"NUMERO_PC duplicado",IF(B1260="","DATA_PC vazia",IF(NOT(ISNUMBER(B1260)),"DATA_PC invalida",IF(OR(C1260="",C1260="Fora dos ciclos"),"CICLO_PC nao identificado",IF(OR(D1260="",D1260=0),"VALOR_PC vazio ou zero",IF(AND(G1260&lt;&gt;"Sim",G1260&lt;&gt;"Nao",G1260&lt;&gt;""),"PC_PAGO_A_CONTRATADA invalido",IF(AND(C1260&lt;&gt;"C0",IFERROR(INDEX(parametros!$A$2:$A$6,MATCH(C1260,parametros!$B$2:$B$6,0)),"")="Sim",IFERROR(INDEX(parametros!$H$2:$H$6,MATCH(C1260,parametros!$B$2:$B$6,0)),"")=""),"INICIO_EFEITO ausente: PC "&amp;A1260&amp;" - "&amp;C1260,IF(L1260="","EFEITO_PC nao calculado: PC "&amp;A1260&amp;" - "&amp;C1260,"OK")))))))))</f>
        <v/>
      </c>
      <c r="L1260" s="92" t="str">
        <f>IF(AND(A1260="",B1260="",D1260="",G1260=""),"",IF(OR(B1260="",NOT(ISNUMBER(B1260)),C1260="",C1260="Fora dos ciclos"),"",IF(C1260="C0","Nao",IF(IFERROR(INDEX(parametros!$A$2:$A$6,MATCH(C1260,parametros!$B$2:$B$6,0)),"")&lt;&gt;"Sim","Nao",IF(IFERROR(INDEX(parametros!$H$2:$H$6,MATCH(C1260,parametros!$B$2:$B$6,0)),"")="","",IF(B1260&gt;=IFERROR(INDEX(parametros!$H$2:$H$6,MATCH(C1260,parametros!$B$2:$B$6,0)),""),"Sim","Nao"))))))</f>
        <v/>
      </c>
      <c r="T1260" s="156"/>
      <c r="U1260" s="214" t="str">
        <f t="shared" si="101"/>
        <v/>
      </c>
      <c r="V1260" s="212" t="s">
        <v>50</v>
      </c>
      <c r="W1260" s="100" t="s">
        <v>168</v>
      </c>
      <c r="X1260" s="100" t="s">
        <v>169</v>
      </c>
      <c r="Y1260" s="101" t="s">
        <v>170</v>
      </c>
      <c r="Z1260" s="101" t="s">
        <v>171</v>
      </c>
      <c r="AA1260" s="101" t="s">
        <v>50</v>
      </c>
      <c r="AB1260" s="101" t="s">
        <v>172</v>
      </c>
      <c r="AC1260" s="102" t="s">
        <v>173</v>
      </c>
    </row>
    <row r="1261" spans="1:29" ht="25.5" customHeight="1" x14ac:dyDescent="0.35">
      <c r="A1261" s="392"/>
      <c r="B1261" s="393"/>
      <c r="C1261" s="99" t="str">
        <f>IF(B1261="","",IF(NOT(ISNUMBER(B1261)),"DATA_PC invalida",IF(NOT(ISNUMBER(parametros!$C$2)),"Fora dos ciclos",IF(OR(B1261&lt;parametros!$C$2,(YEAR(B1261)-YEAR(parametros!$C$2))*12+MONTH(B1261)-MONTH(parametros!$C$2)&gt;59),"Fora dos ciclos","C"&amp;INT(((YEAR(B1261)-YEAR(parametros!$C$2))*12+MONTH(B1261)-MONTH(parametros!$C$2))/12)))))</f>
        <v/>
      </c>
      <c r="D1261" s="394"/>
      <c r="E1261" s="78" t="str">
        <f>IF(C1261="","",IFERROR(VLOOKUP(C1261,parametros!$A$11:$E$15,5,0),""))</f>
        <v/>
      </c>
      <c r="F1261" s="79" t="str">
        <f t="shared" si="97"/>
        <v/>
      </c>
      <c r="G1261" s="395"/>
      <c r="H1261" s="91">
        <f t="shared" si="98"/>
        <v>0</v>
      </c>
      <c r="I1261" s="91" t="str">
        <f t="shared" si="99"/>
        <v/>
      </c>
      <c r="J1261" s="91" t="str">
        <f t="shared" si="100"/>
        <v/>
      </c>
      <c r="K1261" s="92" t="str">
        <f>IF(AND(A1261="",B1261="",D1261="",G1261=""),"",IF(AND(A1261&lt;&gt;"",COUNTIF($A$2:$A$5001,A1261)&gt;1),"NUMERO_PC duplicado",IF(B1261="","DATA_PC vazia",IF(NOT(ISNUMBER(B1261)),"DATA_PC invalida",IF(OR(C1261="",C1261="Fora dos ciclos"),"CICLO_PC nao identificado",IF(OR(D1261="",D1261=0),"VALOR_PC vazio ou zero",IF(AND(G1261&lt;&gt;"Sim",G1261&lt;&gt;"Nao",G1261&lt;&gt;""),"PC_PAGO_A_CONTRATADA invalido",IF(AND(C1261&lt;&gt;"C0",IFERROR(INDEX(parametros!$A$2:$A$6,MATCH(C1261,parametros!$B$2:$B$6,0)),"")="Sim",IFERROR(INDEX(parametros!$H$2:$H$6,MATCH(C1261,parametros!$B$2:$B$6,0)),"")=""),"INICIO_EFEITO ausente: PC "&amp;A1261&amp;" - "&amp;C1261,IF(L1261="","EFEITO_PC nao calculado: PC "&amp;A1261&amp;" - "&amp;C1261,"OK")))))))))</f>
        <v/>
      </c>
      <c r="L1261" s="92" t="str">
        <f>IF(AND(A1261="",B1261="",D1261="",G1261=""),"",IF(OR(B1261="",NOT(ISNUMBER(B1261)),C1261="",C1261="Fora dos ciclos"),"",IF(C1261="C0","Nao",IF(IFERROR(INDEX(parametros!$A$2:$A$6,MATCH(C1261,parametros!$B$2:$B$6,0)),"")&lt;&gt;"Sim","Nao",IF(IFERROR(INDEX(parametros!$H$2:$H$6,MATCH(C1261,parametros!$B$2:$B$6,0)),"")="","",IF(B1261&gt;=IFERROR(INDEX(parametros!$H$2:$H$6,MATCH(C1261,parametros!$B$2:$B$6,0)),""),"Sim","Nao"))))))</f>
        <v/>
      </c>
      <c r="T1261" s="156"/>
      <c r="U1261" s="214" t="str">
        <f t="shared" si="101"/>
        <v/>
      </c>
      <c r="V1261" s="212" t="s">
        <v>50</v>
      </c>
      <c r="W1261" s="100" t="s">
        <v>168</v>
      </c>
      <c r="X1261" s="100" t="s">
        <v>169</v>
      </c>
      <c r="Y1261" s="101" t="s">
        <v>170</v>
      </c>
      <c r="Z1261" s="101" t="s">
        <v>171</v>
      </c>
      <c r="AA1261" s="101" t="s">
        <v>50</v>
      </c>
      <c r="AB1261" s="101" t="s">
        <v>172</v>
      </c>
      <c r="AC1261" s="102" t="s">
        <v>173</v>
      </c>
    </row>
    <row r="1262" spans="1:29" ht="25.5" customHeight="1" x14ac:dyDescent="0.35">
      <c r="A1262" s="392"/>
      <c r="B1262" s="393"/>
      <c r="C1262" s="99" t="str">
        <f>IF(B1262="","",IF(NOT(ISNUMBER(B1262)),"DATA_PC invalida",IF(NOT(ISNUMBER(parametros!$C$2)),"Fora dos ciclos",IF(OR(B1262&lt;parametros!$C$2,(YEAR(B1262)-YEAR(parametros!$C$2))*12+MONTH(B1262)-MONTH(parametros!$C$2)&gt;59),"Fora dos ciclos","C"&amp;INT(((YEAR(B1262)-YEAR(parametros!$C$2))*12+MONTH(B1262)-MONTH(parametros!$C$2))/12)))))</f>
        <v/>
      </c>
      <c r="D1262" s="394"/>
      <c r="E1262" s="78" t="str">
        <f>IF(C1262="","",IFERROR(VLOOKUP(C1262,parametros!$A$11:$E$15,5,0),""))</f>
        <v/>
      </c>
      <c r="F1262" s="79" t="str">
        <f t="shared" si="97"/>
        <v/>
      </c>
      <c r="G1262" s="395"/>
      <c r="H1262" s="91">
        <f t="shared" si="98"/>
        <v>0</v>
      </c>
      <c r="I1262" s="91" t="str">
        <f t="shared" si="99"/>
        <v/>
      </c>
      <c r="J1262" s="91" t="str">
        <f t="shared" si="100"/>
        <v/>
      </c>
      <c r="K1262" s="92" t="str">
        <f>IF(AND(A1262="",B1262="",D1262="",G1262=""),"",IF(AND(A1262&lt;&gt;"",COUNTIF($A$2:$A$5001,A1262)&gt;1),"NUMERO_PC duplicado",IF(B1262="","DATA_PC vazia",IF(NOT(ISNUMBER(B1262)),"DATA_PC invalida",IF(OR(C1262="",C1262="Fora dos ciclos"),"CICLO_PC nao identificado",IF(OR(D1262="",D1262=0),"VALOR_PC vazio ou zero",IF(AND(G1262&lt;&gt;"Sim",G1262&lt;&gt;"Nao",G1262&lt;&gt;""),"PC_PAGO_A_CONTRATADA invalido",IF(AND(C1262&lt;&gt;"C0",IFERROR(INDEX(parametros!$A$2:$A$6,MATCH(C1262,parametros!$B$2:$B$6,0)),"")="Sim",IFERROR(INDEX(parametros!$H$2:$H$6,MATCH(C1262,parametros!$B$2:$B$6,0)),"")=""),"INICIO_EFEITO ausente: PC "&amp;A1262&amp;" - "&amp;C1262,IF(L1262="","EFEITO_PC nao calculado: PC "&amp;A1262&amp;" - "&amp;C1262,"OK")))))))))</f>
        <v/>
      </c>
      <c r="L1262" s="92" t="str">
        <f>IF(AND(A1262="",B1262="",D1262="",G1262=""),"",IF(OR(B1262="",NOT(ISNUMBER(B1262)),C1262="",C1262="Fora dos ciclos"),"",IF(C1262="C0","Nao",IF(IFERROR(INDEX(parametros!$A$2:$A$6,MATCH(C1262,parametros!$B$2:$B$6,0)),"")&lt;&gt;"Sim","Nao",IF(IFERROR(INDEX(parametros!$H$2:$H$6,MATCH(C1262,parametros!$B$2:$B$6,0)),"")="","",IF(B1262&gt;=IFERROR(INDEX(parametros!$H$2:$H$6,MATCH(C1262,parametros!$B$2:$B$6,0)),""),"Sim","Nao"))))))</f>
        <v/>
      </c>
      <c r="T1262" s="156"/>
      <c r="U1262" s="214" t="str">
        <f t="shared" si="101"/>
        <v/>
      </c>
      <c r="V1262" s="212" t="s">
        <v>50</v>
      </c>
      <c r="W1262" s="100" t="s">
        <v>168</v>
      </c>
      <c r="X1262" s="100" t="s">
        <v>169</v>
      </c>
      <c r="Y1262" s="101" t="s">
        <v>170</v>
      </c>
      <c r="Z1262" s="101" t="s">
        <v>171</v>
      </c>
      <c r="AA1262" s="101" t="s">
        <v>50</v>
      </c>
      <c r="AB1262" s="101" t="s">
        <v>172</v>
      </c>
      <c r="AC1262" s="102" t="s">
        <v>173</v>
      </c>
    </row>
    <row r="1263" spans="1:29" ht="25.5" customHeight="1" x14ac:dyDescent="0.35">
      <c r="A1263" s="392"/>
      <c r="B1263" s="393"/>
      <c r="C1263" s="99" t="str">
        <f>IF(B1263="","",IF(NOT(ISNUMBER(B1263)),"DATA_PC invalida",IF(NOT(ISNUMBER(parametros!$C$2)),"Fora dos ciclos",IF(OR(B1263&lt;parametros!$C$2,(YEAR(B1263)-YEAR(parametros!$C$2))*12+MONTH(B1263)-MONTH(parametros!$C$2)&gt;59),"Fora dos ciclos","C"&amp;INT(((YEAR(B1263)-YEAR(parametros!$C$2))*12+MONTH(B1263)-MONTH(parametros!$C$2))/12)))))</f>
        <v/>
      </c>
      <c r="D1263" s="394"/>
      <c r="E1263" s="78" t="str">
        <f>IF(C1263="","",IFERROR(VLOOKUP(C1263,parametros!$A$11:$E$15,5,0),""))</f>
        <v/>
      </c>
      <c r="F1263" s="79" t="str">
        <f t="shared" si="97"/>
        <v/>
      </c>
      <c r="G1263" s="395"/>
      <c r="H1263" s="91">
        <f t="shared" si="98"/>
        <v>0</v>
      </c>
      <c r="I1263" s="91" t="str">
        <f t="shared" si="99"/>
        <v/>
      </c>
      <c r="J1263" s="91" t="str">
        <f t="shared" si="100"/>
        <v/>
      </c>
      <c r="K1263" s="92" t="str">
        <f>IF(AND(A1263="",B1263="",D1263="",G1263=""),"",IF(AND(A1263&lt;&gt;"",COUNTIF($A$2:$A$5001,A1263)&gt;1),"NUMERO_PC duplicado",IF(B1263="","DATA_PC vazia",IF(NOT(ISNUMBER(B1263)),"DATA_PC invalida",IF(OR(C1263="",C1263="Fora dos ciclos"),"CICLO_PC nao identificado",IF(OR(D1263="",D1263=0),"VALOR_PC vazio ou zero",IF(AND(G1263&lt;&gt;"Sim",G1263&lt;&gt;"Nao",G1263&lt;&gt;""),"PC_PAGO_A_CONTRATADA invalido",IF(AND(C1263&lt;&gt;"C0",IFERROR(INDEX(parametros!$A$2:$A$6,MATCH(C1263,parametros!$B$2:$B$6,0)),"")="Sim",IFERROR(INDEX(parametros!$H$2:$H$6,MATCH(C1263,parametros!$B$2:$B$6,0)),"")=""),"INICIO_EFEITO ausente: PC "&amp;A1263&amp;" - "&amp;C1263,IF(L1263="","EFEITO_PC nao calculado: PC "&amp;A1263&amp;" - "&amp;C1263,"OK")))))))))</f>
        <v/>
      </c>
      <c r="L1263" s="92" t="str">
        <f>IF(AND(A1263="",B1263="",D1263="",G1263=""),"",IF(OR(B1263="",NOT(ISNUMBER(B1263)),C1263="",C1263="Fora dos ciclos"),"",IF(C1263="C0","Nao",IF(IFERROR(INDEX(parametros!$A$2:$A$6,MATCH(C1263,parametros!$B$2:$B$6,0)),"")&lt;&gt;"Sim","Nao",IF(IFERROR(INDEX(parametros!$H$2:$H$6,MATCH(C1263,parametros!$B$2:$B$6,0)),"")="","",IF(B1263&gt;=IFERROR(INDEX(parametros!$H$2:$H$6,MATCH(C1263,parametros!$B$2:$B$6,0)),""),"Sim","Nao"))))))</f>
        <v/>
      </c>
      <c r="T1263" s="156"/>
      <c r="U1263" s="214" t="str">
        <f t="shared" si="101"/>
        <v/>
      </c>
      <c r="V1263" s="212" t="s">
        <v>50</v>
      </c>
      <c r="W1263" s="100" t="s">
        <v>168</v>
      </c>
      <c r="X1263" s="100" t="s">
        <v>169</v>
      </c>
      <c r="Y1263" s="101" t="s">
        <v>170</v>
      </c>
      <c r="Z1263" s="101" t="s">
        <v>171</v>
      </c>
      <c r="AA1263" s="101" t="s">
        <v>50</v>
      </c>
      <c r="AB1263" s="101" t="s">
        <v>172</v>
      </c>
      <c r="AC1263" s="102" t="s">
        <v>173</v>
      </c>
    </row>
    <row r="1264" spans="1:29" ht="25.5" customHeight="1" x14ac:dyDescent="0.35">
      <c r="A1264" s="392"/>
      <c r="B1264" s="393"/>
      <c r="C1264" s="99" t="str">
        <f>IF(B1264="","",IF(NOT(ISNUMBER(B1264)),"DATA_PC invalida",IF(NOT(ISNUMBER(parametros!$C$2)),"Fora dos ciclos",IF(OR(B1264&lt;parametros!$C$2,(YEAR(B1264)-YEAR(parametros!$C$2))*12+MONTH(B1264)-MONTH(parametros!$C$2)&gt;59),"Fora dos ciclos","C"&amp;INT(((YEAR(B1264)-YEAR(parametros!$C$2))*12+MONTH(B1264)-MONTH(parametros!$C$2))/12)))))</f>
        <v/>
      </c>
      <c r="D1264" s="394"/>
      <c r="E1264" s="78" t="str">
        <f>IF(C1264="","",IFERROR(VLOOKUP(C1264,parametros!$A$11:$E$15,5,0),""))</f>
        <v/>
      </c>
      <c r="F1264" s="79" t="str">
        <f t="shared" si="97"/>
        <v/>
      </c>
      <c r="G1264" s="395"/>
      <c r="H1264" s="91">
        <f t="shared" si="98"/>
        <v>0</v>
      </c>
      <c r="I1264" s="91" t="str">
        <f t="shared" si="99"/>
        <v/>
      </c>
      <c r="J1264" s="91" t="str">
        <f t="shared" si="100"/>
        <v/>
      </c>
      <c r="K1264" s="92" t="str">
        <f>IF(AND(A1264="",B1264="",D1264="",G1264=""),"",IF(AND(A1264&lt;&gt;"",COUNTIF($A$2:$A$5001,A1264)&gt;1),"NUMERO_PC duplicado",IF(B1264="","DATA_PC vazia",IF(NOT(ISNUMBER(B1264)),"DATA_PC invalida",IF(OR(C1264="",C1264="Fora dos ciclos"),"CICLO_PC nao identificado",IF(OR(D1264="",D1264=0),"VALOR_PC vazio ou zero",IF(AND(G1264&lt;&gt;"Sim",G1264&lt;&gt;"Nao",G1264&lt;&gt;""),"PC_PAGO_A_CONTRATADA invalido",IF(AND(C1264&lt;&gt;"C0",IFERROR(INDEX(parametros!$A$2:$A$6,MATCH(C1264,parametros!$B$2:$B$6,0)),"")="Sim",IFERROR(INDEX(parametros!$H$2:$H$6,MATCH(C1264,parametros!$B$2:$B$6,0)),"")=""),"INICIO_EFEITO ausente: PC "&amp;A1264&amp;" - "&amp;C1264,IF(L1264="","EFEITO_PC nao calculado: PC "&amp;A1264&amp;" - "&amp;C1264,"OK")))))))))</f>
        <v/>
      </c>
      <c r="L1264" s="92" t="str">
        <f>IF(AND(A1264="",B1264="",D1264="",G1264=""),"",IF(OR(B1264="",NOT(ISNUMBER(B1264)),C1264="",C1264="Fora dos ciclos"),"",IF(C1264="C0","Nao",IF(IFERROR(INDEX(parametros!$A$2:$A$6,MATCH(C1264,parametros!$B$2:$B$6,0)),"")&lt;&gt;"Sim","Nao",IF(IFERROR(INDEX(parametros!$H$2:$H$6,MATCH(C1264,parametros!$B$2:$B$6,0)),"")="","",IF(B1264&gt;=IFERROR(INDEX(parametros!$H$2:$H$6,MATCH(C1264,parametros!$B$2:$B$6,0)),""),"Sim","Nao"))))))</f>
        <v/>
      </c>
      <c r="T1264" s="156"/>
      <c r="U1264" s="214" t="str">
        <f t="shared" si="101"/>
        <v/>
      </c>
      <c r="V1264" s="212" t="s">
        <v>50</v>
      </c>
      <c r="W1264" s="100" t="s">
        <v>168</v>
      </c>
      <c r="X1264" s="100" t="s">
        <v>169</v>
      </c>
      <c r="Y1264" s="101" t="s">
        <v>170</v>
      </c>
      <c r="Z1264" s="101" t="s">
        <v>171</v>
      </c>
      <c r="AA1264" s="101" t="s">
        <v>50</v>
      </c>
      <c r="AB1264" s="101" t="s">
        <v>172</v>
      </c>
      <c r="AC1264" s="102" t="s">
        <v>173</v>
      </c>
    </row>
    <row r="1265" spans="1:29" ht="25.5" customHeight="1" x14ac:dyDescent="0.35">
      <c r="A1265" s="392"/>
      <c r="B1265" s="393"/>
      <c r="C1265" s="99" t="str">
        <f>IF(B1265="","",IF(NOT(ISNUMBER(B1265)),"DATA_PC invalida",IF(NOT(ISNUMBER(parametros!$C$2)),"Fora dos ciclos",IF(OR(B1265&lt;parametros!$C$2,(YEAR(B1265)-YEAR(parametros!$C$2))*12+MONTH(B1265)-MONTH(parametros!$C$2)&gt;59),"Fora dos ciclos","C"&amp;INT(((YEAR(B1265)-YEAR(parametros!$C$2))*12+MONTH(B1265)-MONTH(parametros!$C$2))/12)))))</f>
        <v/>
      </c>
      <c r="D1265" s="394"/>
      <c r="E1265" s="78" t="str">
        <f>IF(C1265="","",IFERROR(VLOOKUP(C1265,parametros!$A$11:$E$15,5,0),""))</f>
        <v/>
      </c>
      <c r="F1265" s="79" t="str">
        <f t="shared" si="97"/>
        <v/>
      </c>
      <c r="G1265" s="395"/>
      <c r="H1265" s="91">
        <f t="shared" si="98"/>
        <v>0</v>
      </c>
      <c r="I1265" s="91" t="str">
        <f t="shared" si="99"/>
        <v/>
      </c>
      <c r="J1265" s="91" t="str">
        <f t="shared" si="100"/>
        <v/>
      </c>
      <c r="K1265" s="92" t="str">
        <f>IF(AND(A1265="",B1265="",D1265="",G1265=""),"",IF(AND(A1265&lt;&gt;"",COUNTIF($A$2:$A$5001,A1265)&gt;1),"NUMERO_PC duplicado",IF(B1265="","DATA_PC vazia",IF(NOT(ISNUMBER(B1265)),"DATA_PC invalida",IF(OR(C1265="",C1265="Fora dos ciclos"),"CICLO_PC nao identificado",IF(OR(D1265="",D1265=0),"VALOR_PC vazio ou zero",IF(AND(G1265&lt;&gt;"Sim",G1265&lt;&gt;"Nao",G1265&lt;&gt;""),"PC_PAGO_A_CONTRATADA invalido",IF(AND(C1265&lt;&gt;"C0",IFERROR(INDEX(parametros!$A$2:$A$6,MATCH(C1265,parametros!$B$2:$B$6,0)),"")="Sim",IFERROR(INDEX(parametros!$H$2:$H$6,MATCH(C1265,parametros!$B$2:$B$6,0)),"")=""),"INICIO_EFEITO ausente: PC "&amp;A1265&amp;" - "&amp;C1265,IF(L1265="","EFEITO_PC nao calculado: PC "&amp;A1265&amp;" - "&amp;C1265,"OK")))))))))</f>
        <v/>
      </c>
      <c r="L1265" s="92" t="str">
        <f>IF(AND(A1265="",B1265="",D1265="",G1265=""),"",IF(OR(B1265="",NOT(ISNUMBER(B1265)),C1265="",C1265="Fora dos ciclos"),"",IF(C1265="C0","Nao",IF(IFERROR(INDEX(parametros!$A$2:$A$6,MATCH(C1265,parametros!$B$2:$B$6,0)),"")&lt;&gt;"Sim","Nao",IF(IFERROR(INDEX(parametros!$H$2:$H$6,MATCH(C1265,parametros!$B$2:$B$6,0)),"")="","",IF(B1265&gt;=IFERROR(INDEX(parametros!$H$2:$H$6,MATCH(C1265,parametros!$B$2:$B$6,0)),""),"Sim","Nao"))))))</f>
        <v/>
      </c>
      <c r="T1265" s="156"/>
      <c r="U1265" s="214" t="str">
        <f t="shared" si="101"/>
        <v/>
      </c>
      <c r="V1265" s="212" t="s">
        <v>50</v>
      </c>
      <c r="W1265" s="100" t="s">
        <v>168</v>
      </c>
      <c r="X1265" s="100" t="s">
        <v>169</v>
      </c>
      <c r="Y1265" s="101" t="s">
        <v>170</v>
      </c>
      <c r="Z1265" s="101" t="s">
        <v>171</v>
      </c>
      <c r="AA1265" s="101" t="s">
        <v>50</v>
      </c>
      <c r="AB1265" s="101" t="s">
        <v>172</v>
      </c>
      <c r="AC1265" s="102" t="s">
        <v>173</v>
      </c>
    </row>
    <row r="1266" spans="1:29" ht="25.5" customHeight="1" x14ac:dyDescent="0.35">
      <c r="A1266" s="392"/>
      <c r="B1266" s="393"/>
      <c r="C1266" s="99" t="str">
        <f>IF(B1266="","",IF(NOT(ISNUMBER(B1266)),"DATA_PC invalida",IF(NOT(ISNUMBER(parametros!$C$2)),"Fora dos ciclos",IF(OR(B1266&lt;parametros!$C$2,(YEAR(B1266)-YEAR(parametros!$C$2))*12+MONTH(B1266)-MONTH(parametros!$C$2)&gt;59),"Fora dos ciclos","C"&amp;INT(((YEAR(B1266)-YEAR(parametros!$C$2))*12+MONTH(B1266)-MONTH(parametros!$C$2))/12)))))</f>
        <v/>
      </c>
      <c r="D1266" s="394"/>
      <c r="E1266" s="78" t="str">
        <f>IF(C1266="","",IFERROR(VLOOKUP(C1266,parametros!$A$11:$E$15,5,0),""))</f>
        <v/>
      </c>
      <c r="F1266" s="79" t="str">
        <f t="shared" si="97"/>
        <v/>
      </c>
      <c r="G1266" s="395"/>
      <c r="H1266" s="91">
        <f t="shared" si="98"/>
        <v>0</v>
      </c>
      <c r="I1266" s="91" t="str">
        <f t="shared" si="99"/>
        <v/>
      </c>
      <c r="J1266" s="91" t="str">
        <f t="shared" si="100"/>
        <v/>
      </c>
      <c r="K1266" s="92" t="str">
        <f>IF(AND(A1266="",B1266="",D1266="",G1266=""),"",IF(AND(A1266&lt;&gt;"",COUNTIF($A$2:$A$5001,A1266)&gt;1),"NUMERO_PC duplicado",IF(B1266="","DATA_PC vazia",IF(NOT(ISNUMBER(B1266)),"DATA_PC invalida",IF(OR(C1266="",C1266="Fora dos ciclos"),"CICLO_PC nao identificado",IF(OR(D1266="",D1266=0),"VALOR_PC vazio ou zero",IF(AND(G1266&lt;&gt;"Sim",G1266&lt;&gt;"Nao",G1266&lt;&gt;""),"PC_PAGO_A_CONTRATADA invalido",IF(AND(C1266&lt;&gt;"C0",IFERROR(INDEX(parametros!$A$2:$A$6,MATCH(C1266,parametros!$B$2:$B$6,0)),"")="Sim",IFERROR(INDEX(parametros!$H$2:$H$6,MATCH(C1266,parametros!$B$2:$B$6,0)),"")=""),"INICIO_EFEITO ausente: PC "&amp;A1266&amp;" - "&amp;C1266,IF(L1266="","EFEITO_PC nao calculado: PC "&amp;A1266&amp;" - "&amp;C1266,"OK")))))))))</f>
        <v/>
      </c>
      <c r="L1266" s="92" t="str">
        <f>IF(AND(A1266="",B1266="",D1266="",G1266=""),"",IF(OR(B1266="",NOT(ISNUMBER(B1266)),C1266="",C1266="Fora dos ciclos"),"",IF(C1266="C0","Nao",IF(IFERROR(INDEX(parametros!$A$2:$A$6,MATCH(C1266,parametros!$B$2:$B$6,0)),"")&lt;&gt;"Sim","Nao",IF(IFERROR(INDEX(parametros!$H$2:$H$6,MATCH(C1266,parametros!$B$2:$B$6,0)),"")="","",IF(B1266&gt;=IFERROR(INDEX(parametros!$H$2:$H$6,MATCH(C1266,parametros!$B$2:$B$6,0)),""),"Sim","Nao"))))))</f>
        <v/>
      </c>
      <c r="T1266" s="156"/>
      <c r="U1266" s="214" t="str">
        <f t="shared" si="101"/>
        <v/>
      </c>
      <c r="V1266" s="212" t="s">
        <v>50</v>
      </c>
      <c r="W1266" s="100" t="s">
        <v>168</v>
      </c>
      <c r="X1266" s="100" t="s">
        <v>169</v>
      </c>
      <c r="Y1266" s="101" t="s">
        <v>170</v>
      </c>
      <c r="Z1266" s="101" t="s">
        <v>171</v>
      </c>
      <c r="AA1266" s="101" t="s">
        <v>50</v>
      </c>
      <c r="AB1266" s="101" t="s">
        <v>172</v>
      </c>
      <c r="AC1266" s="102" t="s">
        <v>173</v>
      </c>
    </row>
    <row r="1267" spans="1:29" ht="25.5" customHeight="1" x14ac:dyDescent="0.35">
      <c r="A1267" s="392"/>
      <c r="B1267" s="393"/>
      <c r="C1267" s="99" t="str">
        <f>IF(B1267="","",IF(NOT(ISNUMBER(B1267)),"DATA_PC invalida",IF(NOT(ISNUMBER(parametros!$C$2)),"Fora dos ciclos",IF(OR(B1267&lt;parametros!$C$2,(YEAR(B1267)-YEAR(parametros!$C$2))*12+MONTH(B1267)-MONTH(parametros!$C$2)&gt;59),"Fora dos ciclos","C"&amp;INT(((YEAR(B1267)-YEAR(parametros!$C$2))*12+MONTH(B1267)-MONTH(parametros!$C$2))/12)))))</f>
        <v/>
      </c>
      <c r="D1267" s="394"/>
      <c r="E1267" s="78" t="str">
        <f>IF(C1267="","",IFERROR(VLOOKUP(C1267,parametros!$A$11:$E$15,5,0),""))</f>
        <v/>
      </c>
      <c r="F1267" s="79" t="str">
        <f t="shared" si="97"/>
        <v/>
      </c>
      <c r="G1267" s="395"/>
      <c r="H1267" s="91">
        <f t="shared" si="98"/>
        <v>0</v>
      </c>
      <c r="I1267" s="91" t="str">
        <f t="shared" si="99"/>
        <v/>
      </c>
      <c r="J1267" s="91" t="str">
        <f t="shared" si="100"/>
        <v/>
      </c>
      <c r="K1267" s="92" t="str">
        <f>IF(AND(A1267="",B1267="",D1267="",G1267=""),"",IF(AND(A1267&lt;&gt;"",COUNTIF($A$2:$A$5001,A1267)&gt;1),"NUMERO_PC duplicado",IF(B1267="","DATA_PC vazia",IF(NOT(ISNUMBER(B1267)),"DATA_PC invalida",IF(OR(C1267="",C1267="Fora dos ciclos"),"CICLO_PC nao identificado",IF(OR(D1267="",D1267=0),"VALOR_PC vazio ou zero",IF(AND(G1267&lt;&gt;"Sim",G1267&lt;&gt;"Nao",G1267&lt;&gt;""),"PC_PAGO_A_CONTRATADA invalido",IF(AND(C1267&lt;&gt;"C0",IFERROR(INDEX(parametros!$A$2:$A$6,MATCH(C1267,parametros!$B$2:$B$6,0)),"")="Sim",IFERROR(INDEX(parametros!$H$2:$H$6,MATCH(C1267,parametros!$B$2:$B$6,0)),"")=""),"INICIO_EFEITO ausente: PC "&amp;A1267&amp;" - "&amp;C1267,IF(L1267="","EFEITO_PC nao calculado: PC "&amp;A1267&amp;" - "&amp;C1267,"OK")))))))))</f>
        <v/>
      </c>
      <c r="L1267" s="92" t="str">
        <f>IF(AND(A1267="",B1267="",D1267="",G1267=""),"",IF(OR(B1267="",NOT(ISNUMBER(B1267)),C1267="",C1267="Fora dos ciclos"),"",IF(C1267="C0","Nao",IF(IFERROR(INDEX(parametros!$A$2:$A$6,MATCH(C1267,parametros!$B$2:$B$6,0)),"")&lt;&gt;"Sim","Nao",IF(IFERROR(INDEX(parametros!$H$2:$H$6,MATCH(C1267,parametros!$B$2:$B$6,0)),"")="","",IF(B1267&gt;=IFERROR(INDEX(parametros!$H$2:$H$6,MATCH(C1267,parametros!$B$2:$B$6,0)),""),"Sim","Nao"))))))</f>
        <v/>
      </c>
      <c r="T1267" s="156"/>
      <c r="U1267" s="214" t="str">
        <f t="shared" si="101"/>
        <v/>
      </c>
      <c r="V1267" s="212" t="s">
        <v>50</v>
      </c>
      <c r="W1267" s="100" t="s">
        <v>168</v>
      </c>
      <c r="X1267" s="100" t="s">
        <v>169</v>
      </c>
      <c r="Y1267" s="101" t="s">
        <v>170</v>
      </c>
      <c r="Z1267" s="101" t="s">
        <v>171</v>
      </c>
      <c r="AA1267" s="101" t="s">
        <v>50</v>
      </c>
      <c r="AB1267" s="101" t="s">
        <v>172</v>
      </c>
      <c r="AC1267" s="102" t="s">
        <v>173</v>
      </c>
    </row>
    <row r="1268" spans="1:29" ht="25.5" customHeight="1" x14ac:dyDescent="0.35">
      <c r="A1268" s="392"/>
      <c r="B1268" s="393"/>
      <c r="C1268" s="99" t="str">
        <f>IF(B1268="","",IF(NOT(ISNUMBER(B1268)),"DATA_PC invalida",IF(NOT(ISNUMBER(parametros!$C$2)),"Fora dos ciclos",IF(OR(B1268&lt;parametros!$C$2,(YEAR(B1268)-YEAR(parametros!$C$2))*12+MONTH(B1268)-MONTH(parametros!$C$2)&gt;59),"Fora dos ciclos","C"&amp;INT(((YEAR(B1268)-YEAR(parametros!$C$2))*12+MONTH(B1268)-MONTH(parametros!$C$2))/12)))))</f>
        <v/>
      </c>
      <c r="D1268" s="394"/>
      <c r="E1268" s="78" t="str">
        <f>IF(C1268="","",IFERROR(VLOOKUP(C1268,parametros!$A$11:$E$15,5,0),""))</f>
        <v/>
      </c>
      <c r="F1268" s="79" t="str">
        <f t="shared" si="97"/>
        <v/>
      </c>
      <c r="G1268" s="395"/>
      <c r="H1268" s="91">
        <f t="shared" si="98"/>
        <v>0</v>
      </c>
      <c r="I1268" s="91" t="str">
        <f t="shared" si="99"/>
        <v/>
      </c>
      <c r="J1268" s="91" t="str">
        <f t="shared" si="100"/>
        <v/>
      </c>
      <c r="K1268" s="92" t="str">
        <f>IF(AND(A1268="",B1268="",D1268="",G1268=""),"",IF(AND(A1268&lt;&gt;"",COUNTIF($A$2:$A$5001,A1268)&gt;1),"NUMERO_PC duplicado",IF(B1268="","DATA_PC vazia",IF(NOT(ISNUMBER(B1268)),"DATA_PC invalida",IF(OR(C1268="",C1268="Fora dos ciclos"),"CICLO_PC nao identificado",IF(OR(D1268="",D1268=0),"VALOR_PC vazio ou zero",IF(AND(G1268&lt;&gt;"Sim",G1268&lt;&gt;"Nao",G1268&lt;&gt;""),"PC_PAGO_A_CONTRATADA invalido",IF(AND(C1268&lt;&gt;"C0",IFERROR(INDEX(parametros!$A$2:$A$6,MATCH(C1268,parametros!$B$2:$B$6,0)),"")="Sim",IFERROR(INDEX(parametros!$H$2:$H$6,MATCH(C1268,parametros!$B$2:$B$6,0)),"")=""),"INICIO_EFEITO ausente: PC "&amp;A1268&amp;" - "&amp;C1268,IF(L1268="","EFEITO_PC nao calculado: PC "&amp;A1268&amp;" - "&amp;C1268,"OK")))))))))</f>
        <v/>
      </c>
      <c r="L1268" s="92" t="str">
        <f>IF(AND(A1268="",B1268="",D1268="",G1268=""),"",IF(OR(B1268="",NOT(ISNUMBER(B1268)),C1268="",C1268="Fora dos ciclos"),"",IF(C1268="C0","Nao",IF(IFERROR(INDEX(parametros!$A$2:$A$6,MATCH(C1268,parametros!$B$2:$B$6,0)),"")&lt;&gt;"Sim","Nao",IF(IFERROR(INDEX(parametros!$H$2:$H$6,MATCH(C1268,parametros!$B$2:$B$6,0)),"")="","",IF(B1268&gt;=IFERROR(INDEX(parametros!$H$2:$H$6,MATCH(C1268,parametros!$B$2:$B$6,0)),""),"Sim","Nao"))))))</f>
        <v/>
      </c>
      <c r="T1268" s="156"/>
      <c r="U1268" s="214" t="str">
        <f t="shared" si="101"/>
        <v/>
      </c>
      <c r="V1268" s="212" t="s">
        <v>50</v>
      </c>
      <c r="W1268" s="100" t="s">
        <v>168</v>
      </c>
      <c r="X1268" s="100" t="s">
        <v>169</v>
      </c>
      <c r="Y1268" s="101" t="s">
        <v>170</v>
      </c>
      <c r="Z1268" s="101" t="s">
        <v>171</v>
      </c>
      <c r="AA1268" s="101" t="s">
        <v>50</v>
      </c>
      <c r="AB1268" s="101" t="s">
        <v>172</v>
      </c>
      <c r="AC1268" s="102" t="s">
        <v>173</v>
      </c>
    </row>
    <row r="1269" spans="1:29" ht="25.5" customHeight="1" x14ac:dyDescent="0.35">
      <c r="A1269" s="392"/>
      <c r="B1269" s="393"/>
      <c r="C1269" s="99" t="str">
        <f>IF(B1269="","",IF(NOT(ISNUMBER(B1269)),"DATA_PC invalida",IF(NOT(ISNUMBER(parametros!$C$2)),"Fora dos ciclos",IF(OR(B1269&lt;parametros!$C$2,(YEAR(B1269)-YEAR(parametros!$C$2))*12+MONTH(B1269)-MONTH(parametros!$C$2)&gt;59),"Fora dos ciclos","C"&amp;INT(((YEAR(B1269)-YEAR(parametros!$C$2))*12+MONTH(B1269)-MONTH(parametros!$C$2))/12)))))</f>
        <v/>
      </c>
      <c r="D1269" s="394"/>
      <c r="E1269" s="78" t="str">
        <f>IF(C1269="","",IFERROR(VLOOKUP(C1269,parametros!$A$11:$E$15,5,0),""))</f>
        <v/>
      </c>
      <c r="F1269" s="79" t="str">
        <f t="shared" si="97"/>
        <v/>
      </c>
      <c r="G1269" s="395"/>
      <c r="H1269" s="91">
        <f t="shared" si="98"/>
        <v>0</v>
      </c>
      <c r="I1269" s="91" t="str">
        <f t="shared" si="99"/>
        <v/>
      </c>
      <c r="J1269" s="91" t="str">
        <f t="shared" si="100"/>
        <v/>
      </c>
      <c r="K1269" s="92" t="str">
        <f>IF(AND(A1269="",B1269="",D1269="",G1269=""),"",IF(AND(A1269&lt;&gt;"",COUNTIF($A$2:$A$5001,A1269)&gt;1),"NUMERO_PC duplicado",IF(B1269="","DATA_PC vazia",IF(NOT(ISNUMBER(B1269)),"DATA_PC invalida",IF(OR(C1269="",C1269="Fora dos ciclos"),"CICLO_PC nao identificado",IF(OR(D1269="",D1269=0),"VALOR_PC vazio ou zero",IF(AND(G1269&lt;&gt;"Sim",G1269&lt;&gt;"Nao",G1269&lt;&gt;""),"PC_PAGO_A_CONTRATADA invalido",IF(AND(C1269&lt;&gt;"C0",IFERROR(INDEX(parametros!$A$2:$A$6,MATCH(C1269,parametros!$B$2:$B$6,0)),"")="Sim",IFERROR(INDEX(parametros!$H$2:$H$6,MATCH(C1269,parametros!$B$2:$B$6,0)),"")=""),"INICIO_EFEITO ausente: PC "&amp;A1269&amp;" - "&amp;C1269,IF(L1269="","EFEITO_PC nao calculado: PC "&amp;A1269&amp;" - "&amp;C1269,"OK")))))))))</f>
        <v/>
      </c>
      <c r="L1269" s="92" t="str">
        <f>IF(AND(A1269="",B1269="",D1269="",G1269=""),"",IF(OR(B1269="",NOT(ISNUMBER(B1269)),C1269="",C1269="Fora dos ciclos"),"",IF(C1269="C0","Nao",IF(IFERROR(INDEX(parametros!$A$2:$A$6,MATCH(C1269,parametros!$B$2:$B$6,0)),"")&lt;&gt;"Sim","Nao",IF(IFERROR(INDEX(parametros!$H$2:$H$6,MATCH(C1269,parametros!$B$2:$B$6,0)),"")="","",IF(B1269&gt;=IFERROR(INDEX(parametros!$H$2:$H$6,MATCH(C1269,parametros!$B$2:$B$6,0)),""),"Sim","Nao"))))))</f>
        <v/>
      </c>
      <c r="T1269" s="156"/>
      <c r="U1269" s="214" t="str">
        <f t="shared" si="101"/>
        <v/>
      </c>
      <c r="V1269" s="212" t="s">
        <v>50</v>
      </c>
      <c r="W1269" s="100" t="s">
        <v>168</v>
      </c>
      <c r="X1269" s="100" t="s">
        <v>169</v>
      </c>
      <c r="Y1269" s="101" t="s">
        <v>170</v>
      </c>
      <c r="Z1269" s="101" t="s">
        <v>171</v>
      </c>
      <c r="AA1269" s="101" t="s">
        <v>50</v>
      </c>
      <c r="AB1269" s="101" t="s">
        <v>172</v>
      </c>
      <c r="AC1269" s="102" t="s">
        <v>173</v>
      </c>
    </row>
    <row r="1270" spans="1:29" ht="25.5" customHeight="1" x14ac:dyDescent="0.35">
      <c r="A1270" s="392"/>
      <c r="B1270" s="393"/>
      <c r="C1270" s="99" t="str">
        <f>IF(B1270="","",IF(NOT(ISNUMBER(B1270)),"DATA_PC invalida",IF(NOT(ISNUMBER(parametros!$C$2)),"Fora dos ciclos",IF(OR(B1270&lt;parametros!$C$2,(YEAR(B1270)-YEAR(parametros!$C$2))*12+MONTH(B1270)-MONTH(parametros!$C$2)&gt;59),"Fora dos ciclos","C"&amp;INT(((YEAR(B1270)-YEAR(parametros!$C$2))*12+MONTH(B1270)-MONTH(parametros!$C$2))/12)))))</f>
        <v/>
      </c>
      <c r="D1270" s="394"/>
      <c r="E1270" s="78" t="str">
        <f>IF(C1270="","",IFERROR(VLOOKUP(C1270,parametros!$A$11:$E$15,5,0),""))</f>
        <v/>
      </c>
      <c r="F1270" s="79" t="str">
        <f t="shared" si="97"/>
        <v/>
      </c>
      <c r="G1270" s="395"/>
      <c r="H1270" s="91">
        <f t="shared" si="98"/>
        <v>0</v>
      </c>
      <c r="I1270" s="91" t="str">
        <f t="shared" si="99"/>
        <v/>
      </c>
      <c r="J1270" s="91" t="str">
        <f t="shared" si="100"/>
        <v/>
      </c>
      <c r="K1270" s="92" t="str">
        <f>IF(AND(A1270="",B1270="",D1270="",G1270=""),"",IF(AND(A1270&lt;&gt;"",COUNTIF($A$2:$A$5001,A1270)&gt;1),"NUMERO_PC duplicado",IF(B1270="","DATA_PC vazia",IF(NOT(ISNUMBER(B1270)),"DATA_PC invalida",IF(OR(C1270="",C1270="Fora dos ciclos"),"CICLO_PC nao identificado",IF(OR(D1270="",D1270=0),"VALOR_PC vazio ou zero",IF(AND(G1270&lt;&gt;"Sim",G1270&lt;&gt;"Nao",G1270&lt;&gt;""),"PC_PAGO_A_CONTRATADA invalido",IF(AND(C1270&lt;&gt;"C0",IFERROR(INDEX(parametros!$A$2:$A$6,MATCH(C1270,parametros!$B$2:$B$6,0)),"")="Sim",IFERROR(INDEX(parametros!$H$2:$H$6,MATCH(C1270,parametros!$B$2:$B$6,0)),"")=""),"INICIO_EFEITO ausente: PC "&amp;A1270&amp;" - "&amp;C1270,IF(L1270="","EFEITO_PC nao calculado: PC "&amp;A1270&amp;" - "&amp;C1270,"OK")))))))))</f>
        <v/>
      </c>
      <c r="L1270" s="92" t="str">
        <f>IF(AND(A1270="",B1270="",D1270="",G1270=""),"",IF(OR(B1270="",NOT(ISNUMBER(B1270)),C1270="",C1270="Fora dos ciclos"),"",IF(C1270="C0","Nao",IF(IFERROR(INDEX(parametros!$A$2:$A$6,MATCH(C1270,parametros!$B$2:$B$6,0)),"")&lt;&gt;"Sim","Nao",IF(IFERROR(INDEX(parametros!$H$2:$H$6,MATCH(C1270,parametros!$B$2:$B$6,0)),"")="","",IF(B1270&gt;=IFERROR(INDEX(parametros!$H$2:$H$6,MATCH(C1270,parametros!$B$2:$B$6,0)),""),"Sim","Nao"))))))</f>
        <v/>
      </c>
      <c r="T1270" s="156"/>
      <c r="U1270" s="214" t="str">
        <f t="shared" si="101"/>
        <v/>
      </c>
      <c r="V1270" s="212" t="s">
        <v>50</v>
      </c>
      <c r="W1270" s="100" t="s">
        <v>168</v>
      </c>
      <c r="X1270" s="100" t="s">
        <v>169</v>
      </c>
      <c r="Y1270" s="101" t="s">
        <v>170</v>
      </c>
      <c r="Z1270" s="101" t="s">
        <v>171</v>
      </c>
      <c r="AA1270" s="101" t="s">
        <v>50</v>
      </c>
      <c r="AB1270" s="101" t="s">
        <v>172</v>
      </c>
      <c r="AC1270" s="102" t="s">
        <v>173</v>
      </c>
    </row>
    <row r="1271" spans="1:29" ht="25.5" customHeight="1" x14ac:dyDescent="0.35">
      <c r="A1271" s="392"/>
      <c r="B1271" s="393"/>
      <c r="C1271" s="99" t="str">
        <f>IF(B1271="","",IF(NOT(ISNUMBER(B1271)),"DATA_PC invalida",IF(NOT(ISNUMBER(parametros!$C$2)),"Fora dos ciclos",IF(OR(B1271&lt;parametros!$C$2,(YEAR(B1271)-YEAR(parametros!$C$2))*12+MONTH(B1271)-MONTH(parametros!$C$2)&gt;59),"Fora dos ciclos","C"&amp;INT(((YEAR(B1271)-YEAR(parametros!$C$2))*12+MONTH(B1271)-MONTH(parametros!$C$2))/12)))))</f>
        <v/>
      </c>
      <c r="D1271" s="394"/>
      <c r="E1271" s="78" t="str">
        <f>IF(C1271="","",IFERROR(VLOOKUP(C1271,parametros!$A$11:$E$15,5,0),""))</f>
        <v/>
      </c>
      <c r="F1271" s="79" t="str">
        <f t="shared" si="97"/>
        <v/>
      </c>
      <c r="G1271" s="395"/>
      <c r="H1271" s="91">
        <f t="shared" si="98"/>
        <v>0</v>
      </c>
      <c r="I1271" s="91" t="str">
        <f t="shared" si="99"/>
        <v/>
      </c>
      <c r="J1271" s="91" t="str">
        <f t="shared" si="100"/>
        <v/>
      </c>
      <c r="K1271" s="92" t="str">
        <f>IF(AND(A1271="",B1271="",D1271="",G1271=""),"",IF(AND(A1271&lt;&gt;"",COUNTIF($A$2:$A$5001,A1271)&gt;1),"NUMERO_PC duplicado",IF(B1271="","DATA_PC vazia",IF(NOT(ISNUMBER(B1271)),"DATA_PC invalida",IF(OR(C1271="",C1271="Fora dos ciclos"),"CICLO_PC nao identificado",IF(OR(D1271="",D1271=0),"VALOR_PC vazio ou zero",IF(AND(G1271&lt;&gt;"Sim",G1271&lt;&gt;"Nao",G1271&lt;&gt;""),"PC_PAGO_A_CONTRATADA invalido",IF(AND(C1271&lt;&gt;"C0",IFERROR(INDEX(parametros!$A$2:$A$6,MATCH(C1271,parametros!$B$2:$B$6,0)),"")="Sim",IFERROR(INDEX(parametros!$H$2:$H$6,MATCH(C1271,parametros!$B$2:$B$6,0)),"")=""),"INICIO_EFEITO ausente: PC "&amp;A1271&amp;" - "&amp;C1271,IF(L1271="","EFEITO_PC nao calculado: PC "&amp;A1271&amp;" - "&amp;C1271,"OK")))))))))</f>
        <v/>
      </c>
      <c r="L1271" s="92" t="str">
        <f>IF(AND(A1271="",B1271="",D1271="",G1271=""),"",IF(OR(B1271="",NOT(ISNUMBER(B1271)),C1271="",C1271="Fora dos ciclos"),"",IF(C1271="C0","Nao",IF(IFERROR(INDEX(parametros!$A$2:$A$6,MATCH(C1271,parametros!$B$2:$B$6,0)),"")&lt;&gt;"Sim","Nao",IF(IFERROR(INDEX(parametros!$H$2:$H$6,MATCH(C1271,parametros!$B$2:$B$6,0)),"")="","",IF(B1271&gt;=IFERROR(INDEX(parametros!$H$2:$H$6,MATCH(C1271,parametros!$B$2:$B$6,0)),""),"Sim","Nao"))))))</f>
        <v/>
      </c>
      <c r="T1271" s="156"/>
      <c r="U1271" s="214" t="str">
        <f t="shared" si="101"/>
        <v/>
      </c>
      <c r="V1271" s="212" t="s">
        <v>50</v>
      </c>
      <c r="W1271" s="100" t="s">
        <v>168</v>
      </c>
      <c r="X1271" s="100" t="s">
        <v>169</v>
      </c>
      <c r="Y1271" s="101" t="s">
        <v>170</v>
      </c>
      <c r="Z1271" s="101" t="s">
        <v>171</v>
      </c>
      <c r="AA1271" s="101" t="s">
        <v>50</v>
      </c>
      <c r="AB1271" s="101" t="s">
        <v>172</v>
      </c>
      <c r="AC1271" s="102" t="s">
        <v>173</v>
      </c>
    </row>
    <row r="1272" spans="1:29" ht="25.5" customHeight="1" x14ac:dyDescent="0.35">
      <c r="A1272" s="392"/>
      <c r="B1272" s="393"/>
      <c r="C1272" s="99" t="str">
        <f>IF(B1272="","",IF(NOT(ISNUMBER(B1272)),"DATA_PC invalida",IF(NOT(ISNUMBER(parametros!$C$2)),"Fora dos ciclos",IF(OR(B1272&lt;parametros!$C$2,(YEAR(B1272)-YEAR(parametros!$C$2))*12+MONTH(B1272)-MONTH(parametros!$C$2)&gt;59),"Fora dos ciclos","C"&amp;INT(((YEAR(B1272)-YEAR(parametros!$C$2))*12+MONTH(B1272)-MONTH(parametros!$C$2))/12)))))</f>
        <v/>
      </c>
      <c r="D1272" s="394"/>
      <c r="E1272" s="78" t="str">
        <f>IF(C1272="","",IFERROR(VLOOKUP(C1272,parametros!$A$11:$E$15,5,0),""))</f>
        <v/>
      </c>
      <c r="F1272" s="79" t="str">
        <f t="shared" si="97"/>
        <v/>
      </c>
      <c r="G1272" s="395"/>
      <c r="H1272" s="91">
        <f t="shared" si="98"/>
        <v>0</v>
      </c>
      <c r="I1272" s="91" t="str">
        <f t="shared" si="99"/>
        <v/>
      </c>
      <c r="J1272" s="91" t="str">
        <f t="shared" si="100"/>
        <v/>
      </c>
      <c r="K1272" s="92" t="str">
        <f>IF(AND(A1272="",B1272="",D1272="",G1272=""),"",IF(AND(A1272&lt;&gt;"",COUNTIF($A$2:$A$5001,A1272)&gt;1),"NUMERO_PC duplicado",IF(B1272="","DATA_PC vazia",IF(NOT(ISNUMBER(B1272)),"DATA_PC invalida",IF(OR(C1272="",C1272="Fora dos ciclos"),"CICLO_PC nao identificado",IF(OR(D1272="",D1272=0),"VALOR_PC vazio ou zero",IF(AND(G1272&lt;&gt;"Sim",G1272&lt;&gt;"Nao",G1272&lt;&gt;""),"PC_PAGO_A_CONTRATADA invalido",IF(AND(C1272&lt;&gt;"C0",IFERROR(INDEX(parametros!$A$2:$A$6,MATCH(C1272,parametros!$B$2:$B$6,0)),"")="Sim",IFERROR(INDEX(parametros!$H$2:$H$6,MATCH(C1272,parametros!$B$2:$B$6,0)),"")=""),"INICIO_EFEITO ausente: PC "&amp;A1272&amp;" - "&amp;C1272,IF(L1272="","EFEITO_PC nao calculado: PC "&amp;A1272&amp;" - "&amp;C1272,"OK")))))))))</f>
        <v/>
      </c>
      <c r="L1272" s="92" t="str">
        <f>IF(AND(A1272="",B1272="",D1272="",G1272=""),"",IF(OR(B1272="",NOT(ISNUMBER(B1272)),C1272="",C1272="Fora dos ciclos"),"",IF(C1272="C0","Nao",IF(IFERROR(INDEX(parametros!$A$2:$A$6,MATCH(C1272,parametros!$B$2:$B$6,0)),"")&lt;&gt;"Sim","Nao",IF(IFERROR(INDEX(parametros!$H$2:$H$6,MATCH(C1272,parametros!$B$2:$B$6,0)),"")="","",IF(B1272&gt;=IFERROR(INDEX(parametros!$H$2:$H$6,MATCH(C1272,parametros!$B$2:$B$6,0)),""),"Sim","Nao"))))))</f>
        <v/>
      </c>
      <c r="T1272" s="156"/>
      <c r="U1272" s="214" t="str">
        <f t="shared" si="101"/>
        <v/>
      </c>
      <c r="V1272" s="212" t="s">
        <v>50</v>
      </c>
      <c r="W1272" s="100" t="s">
        <v>168</v>
      </c>
      <c r="X1272" s="100" t="s">
        <v>169</v>
      </c>
      <c r="Y1272" s="101" t="s">
        <v>170</v>
      </c>
      <c r="Z1272" s="101" t="s">
        <v>171</v>
      </c>
      <c r="AA1272" s="101" t="s">
        <v>50</v>
      </c>
      <c r="AB1272" s="101" t="s">
        <v>172</v>
      </c>
      <c r="AC1272" s="102" t="s">
        <v>173</v>
      </c>
    </row>
    <row r="1273" spans="1:29" ht="25.5" customHeight="1" x14ac:dyDescent="0.35">
      <c r="A1273" s="392"/>
      <c r="B1273" s="393"/>
      <c r="C1273" s="99" t="str">
        <f>IF(B1273="","",IF(NOT(ISNUMBER(B1273)),"DATA_PC invalida",IF(NOT(ISNUMBER(parametros!$C$2)),"Fora dos ciclos",IF(OR(B1273&lt;parametros!$C$2,(YEAR(B1273)-YEAR(parametros!$C$2))*12+MONTH(B1273)-MONTH(parametros!$C$2)&gt;59),"Fora dos ciclos","C"&amp;INT(((YEAR(B1273)-YEAR(parametros!$C$2))*12+MONTH(B1273)-MONTH(parametros!$C$2))/12)))))</f>
        <v/>
      </c>
      <c r="D1273" s="394"/>
      <c r="E1273" s="78" t="str">
        <f>IF(C1273="","",IFERROR(VLOOKUP(C1273,parametros!$A$11:$E$15,5,0),""))</f>
        <v/>
      </c>
      <c r="F1273" s="79" t="str">
        <f t="shared" si="97"/>
        <v/>
      </c>
      <c r="G1273" s="395"/>
      <c r="H1273" s="91">
        <f t="shared" si="98"/>
        <v>0</v>
      </c>
      <c r="I1273" s="91" t="str">
        <f t="shared" si="99"/>
        <v/>
      </c>
      <c r="J1273" s="91" t="str">
        <f t="shared" si="100"/>
        <v/>
      </c>
      <c r="K1273" s="92" t="str">
        <f>IF(AND(A1273="",B1273="",D1273="",G1273=""),"",IF(AND(A1273&lt;&gt;"",COUNTIF($A$2:$A$5001,A1273)&gt;1),"NUMERO_PC duplicado",IF(B1273="","DATA_PC vazia",IF(NOT(ISNUMBER(B1273)),"DATA_PC invalida",IF(OR(C1273="",C1273="Fora dos ciclos"),"CICLO_PC nao identificado",IF(OR(D1273="",D1273=0),"VALOR_PC vazio ou zero",IF(AND(G1273&lt;&gt;"Sim",G1273&lt;&gt;"Nao",G1273&lt;&gt;""),"PC_PAGO_A_CONTRATADA invalido",IF(AND(C1273&lt;&gt;"C0",IFERROR(INDEX(parametros!$A$2:$A$6,MATCH(C1273,parametros!$B$2:$B$6,0)),"")="Sim",IFERROR(INDEX(parametros!$H$2:$H$6,MATCH(C1273,parametros!$B$2:$B$6,0)),"")=""),"INICIO_EFEITO ausente: PC "&amp;A1273&amp;" - "&amp;C1273,IF(L1273="","EFEITO_PC nao calculado: PC "&amp;A1273&amp;" - "&amp;C1273,"OK")))))))))</f>
        <v/>
      </c>
      <c r="L1273" s="92" t="str">
        <f>IF(AND(A1273="",B1273="",D1273="",G1273=""),"",IF(OR(B1273="",NOT(ISNUMBER(B1273)),C1273="",C1273="Fora dos ciclos"),"",IF(C1273="C0","Nao",IF(IFERROR(INDEX(parametros!$A$2:$A$6,MATCH(C1273,parametros!$B$2:$B$6,0)),"")&lt;&gt;"Sim","Nao",IF(IFERROR(INDEX(parametros!$H$2:$H$6,MATCH(C1273,parametros!$B$2:$B$6,0)),"")="","",IF(B1273&gt;=IFERROR(INDEX(parametros!$H$2:$H$6,MATCH(C1273,parametros!$B$2:$B$6,0)),""),"Sim","Nao"))))))</f>
        <v/>
      </c>
      <c r="T1273" s="156"/>
      <c r="U1273" s="214" t="str">
        <f t="shared" si="101"/>
        <v/>
      </c>
      <c r="V1273" s="212" t="s">
        <v>50</v>
      </c>
      <c r="W1273" s="100" t="s">
        <v>168</v>
      </c>
      <c r="X1273" s="100" t="s">
        <v>169</v>
      </c>
      <c r="Y1273" s="101" t="s">
        <v>170</v>
      </c>
      <c r="Z1273" s="101" t="s">
        <v>171</v>
      </c>
      <c r="AA1273" s="101" t="s">
        <v>50</v>
      </c>
      <c r="AB1273" s="101" t="s">
        <v>172</v>
      </c>
      <c r="AC1273" s="102" t="s">
        <v>173</v>
      </c>
    </row>
    <row r="1274" spans="1:29" ht="25.5" customHeight="1" x14ac:dyDescent="0.35">
      <c r="A1274" s="392"/>
      <c r="B1274" s="393"/>
      <c r="C1274" s="99" t="str">
        <f>IF(B1274="","",IF(NOT(ISNUMBER(B1274)),"DATA_PC invalida",IF(NOT(ISNUMBER(parametros!$C$2)),"Fora dos ciclos",IF(OR(B1274&lt;parametros!$C$2,(YEAR(B1274)-YEAR(parametros!$C$2))*12+MONTH(B1274)-MONTH(parametros!$C$2)&gt;59),"Fora dos ciclos","C"&amp;INT(((YEAR(B1274)-YEAR(parametros!$C$2))*12+MONTH(B1274)-MONTH(parametros!$C$2))/12)))))</f>
        <v/>
      </c>
      <c r="D1274" s="394"/>
      <c r="E1274" s="78" t="str">
        <f>IF(C1274="","",IFERROR(VLOOKUP(C1274,parametros!$A$11:$E$15,5,0),""))</f>
        <v/>
      </c>
      <c r="F1274" s="79" t="str">
        <f t="shared" si="97"/>
        <v/>
      </c>
      <c r="G1274" s="395"/>
      <c r="H1274" s="91">
        <f t="shared" si="98"/>
        <v>0</v>
      </c>
      <c r="I1274" s="91" t="str">
        <f t="shared" si="99"/>
        <v/>
      </c>
      <c r="J1274" s="91" t="str">
        <f t="shared" si="100"/>
        <v/>
      </c>
      <c r="K1274" s="92" t="str">
        <f>IF(AND(A1274="",B1274="",D1274="",G1274=""),"",IF(AND(A1274&lt;&gt;"",COUNTIF($A$2:$A$5001,A1274)&gt;1),"NUMERO_PC duplicado",IF(B1274="","DATA_PC vazia",IF(NOT(ISNUMBER(B1274)),"DATA_PC invalida",IF(OR(C1274="",C1274="Fora dos ciclos"),"CICLO_PC nao identificado",IF(OR(D1274="",D1274=0),"VALOR_PC vazio ou zero",IF(AND(G1274&lt;&gt;"Sim",G1274&lt;&gt;"Nao",G1274&lt;&gt;""),"PC_PAGO_A_CONTRATADA invalido",IF(AND(C1274&lt;&gt;"C0",IFERROR(INDEX(parametros!$A$2:$A$6,MATCH(C1274,parametros!$B$2:$B$6,0)),"")="Sim",IFERROR(INDEX(parametros!$H$2:$H$6,MATCH(C1274,parametros!$B$2:$B$6,0)),"")=""),"INICIO_EFEITO ausente: PC "&amp;A1274&amp;" - "&amp;C1274,IF(L1274="","EFEITO_PC nao calculado: PC "&amp;A1274&amp;" - "&amp;C1274,"OK")))))))))</f>
        <v/>
      </c>
      <c r="L1274" s="92" t="str">
        <f>IF(AND(A1274="",B1274="",D1274="",G1274=""),"",IF(OR(B1274="",NOT(ISNUMBER(B1274)),C1274="",C1274="Fora dos ciclos"),"",IF(C1274="C0","Nao",IF(IFERROR(INDEX(parametros!$A$2:$A$6,MATCH(C1274,parametros!$B$2:$B$6,0)),"")&lt;&gt;"Sim","Nao",IF(IFERROR(INDEX(parametros!$H$2:$H$6,MATCH(C1274,parametros!$B$2:$B$6,0)),"")="","",IF(B1274&gt;=IFERROR(INDEX(parametros!$H$2:$H$6,MATCH(C1274,parametros!$B$2:$B$6,0)),""),"Sim","Nao"))))))</f>
        <v/>
      </c>
      <c r="T1274" s="156"/>
      <c r="U1274" s="214" t="str">
        <f t="shared" si="101"/>
        <v/>
      </c>
      <c r="V1274" s="212" t="s">
        <v>50</v>
      </c>
      <c r="W1274" s="100" t="s">
        <v>168</v>
      </c>
      <c r="X1274" s="100" t="s">
        <v>169</v>
      </c>
      <c r="Y1274" s="101" t="s">
        <v>170</v>
      </c>
      <c r="Z1274" s="101" t="s">
        <v>171</v>
      </c>
      <c r="AA1274" s="101" t="s">
        <v>50</v>
      </c>
      <c r="AB1274" s="101" t="s">
        <v>172</v>
      </c>
      <c r="AC1274" s="102" t="s">
        <v>173</v>
      </c>
    </row>
    <row r="1275" spans="1:29" ht="25.5" customHeight="1" x14ac:dyDescent="0.35">
      <c r="A1275" s="392"/>
      <c r="B1275" s="393"/>
      <c r="C1275" s="99" t="str">
        <f>IF(B1275="","",IF(NOT(ISNUMBER(B1275)),"DATA_PC invalida",IF(NOT(ISNUMBER(parametros!$C$2)),"Fora dos ciclos",IF(OR(B1275&lt;parametros!$C$2,(YEAR(B1275)-YEAR(parametros!$C$2))*12+MONTH(B1275)-MONTH(parametros!$C$2)&gt;59),"Fora dos ciclos","C"&amp;INT(((YEAR(B1275)-YEAR(parametros!$C$2))*12+MONTH(B1275)-MONTH(parametros!$C$2))/12)))))</f>
        <v/>
      </c>
      <c r="D1275" s="394"/>
      <c r="E1275" s="78" t="str">
        <f>IF(C1275="","",IFERROR(VLOOKUP(C1275,parametros!$A$11:$E$15,5,0),""))</f>
        <v/>
      </c>
      <c r="F1275" s="79" t="str">
        <f t="shared" si="97"/>
        <v/>
      </c>
      <c r="G1275" s="395"/>
      <c r="H1275" s="91">
        <f t="shared" si="98"/>
        <v>0</v>
      </c>
      <c r="I1275" s="91" t="str">
        <f t="shared" si="99"/>
        <v/>
      </c>
      <c r="J1275" s="91" t="str">
        <f t="shared" si="100"/>
        <v/>
      </c>
      <c r="K1275" s="92" t="str">
        <f>IF(AND(A1275="",B1275="",D1275="",G1275=""),"",IF(AND(A1275&lt;&gt;"",COUNTIF($A$2:$A$5001,A1275)&gt;1),"NUMERO_PC duplicado",IF(B1275="","DATA_PC vazia",IF(NOT(ISNUMBER(B1275)),"DATA_PC invalida",IF(OR(C1275="",C1275="Fora dos ciclos"),"CICLO_PC nao identificado",IF(OR(D1275="",D1275=0),"VALOR_PC vazio ou zero",IF(AND(G1275&lt;&gt;"Sim",G1275&lt;&gt;"Nao",G1275&lt;&gt;""),"PC_PAGO_A_CONTRATADA invalido",IF(AND(C1275&lt;&gt;"C0",IFERROR(INDEX(parametros!$A$2:$A$6,MATCH(C1275,parametros!$B$2:$B$6,0)),"")="Sim",IFERROR(INDEX(parametros!$H$2:$H$6,MATCH(C1275,parametros!$B$2:$B$6,0)),"")=""),"INICIO_EFEITO ausente: PC "&amp;A1275&amp;" - "&amp;C1275,IF(L1275="","EFEITO_PC nao calculado: PC "&amp;A1275&amp;" - "&amp;C1275,"OK")))))))))</f>
        <v/>
      </c>
      <c r="L1275" s="92" t="str">
        <f>IF(AND(A1275="",B1275="",D1275="",G1275=""),"",IF(OR(B1275="",NOT(ISNUMBER(B1275)),C1275="",C1275="Fora dos ciclos"),"",IF(C1275="C0","Nao",IF(IFERROR(INDEX(parametros!$A$2:$A$6,MATCH(C1275,parametros!$B$2:$B$6,0)),"")&lt;&gt;"Sim","Nao",IF(IFERROR(INDEX(parametros!$H$2:$H$6,MATCH(C1275,parametros!$B$2:$B$6,0)),"")="","",IF(B1275&gt;=IFERROR(INDEX(parametros!$H$2:$H$6,MATCH(C1275,parametros!$B$2:$B$6,0)),""),"Sim","Nao"))))))</f>
        <v/>
      </c>
      <c r="T1275" s="156"/>
      <c r="U1275" s="214" t="str">
        <f t="shared" si="101"/>
        <v/>
      </c>
      <c r="V1275" s="212" t="s">
        <v>50</v>
      </c>
      <c r="W1275" s="100" t="s">
        <v>168</v>
      </c>
      <c r="X1275" s="100" t="s">
        <v>169</v>
      </c>
      <c r="Y1275" s="101" t="s">
        <v>170</v>
      </c>
      <c r="Z1275" s="101" t="s">
        <v>171</v>
      </c>
      <c r="AA1275" s="101" t="s">
        <v>50</v>
      </c>
      <c r="AB1275" s="101" t="s">
        <v>172</v>
      </c>
      <c r="AC1275" s="102" t="s">
        <v>173</v>
      </c>
    </row>
    <row r="1276" spans="1:29" ht="25.5" customHeight="1" x14ac:dyDescent="0.35">
      <c r="A1276" s="392"/>
      <c r="B1276" s="393"/>
      <c r="C1276" s="99" t="str">
        <f>IF(B1276="","",IF(NOT(ISNUMBER(B1276)),"DATA_PC invalida",IF(NOT(ISNUMBER(parametros!$C$2)),"Fora dos ciclos",IF(OR(B1276&lt;parametros!$C$2,(YEAR(B1276)-YEAR(parametros!$C$2))*12+MONTH(B1276)-MONTH(parametros!$C$2)&gt;59),"Fora dos ciclos","C"&amp;INT(((YEAR(B1276)-YEAR(parametros!$C$2))*12+MONTH(B1276)-MONTH(parametros!$C$2))/12)))))</f>
        <v/>
      </c>
      <c r="D1276" s="394"/>
      <c r="E1276" s="78" t="str">
        <f>IF(C1276="","",IFERROR(VLOOKUP(C1276,parametros!$A$11:$E$15,5,0),""))</f>
        <v/>
      </c>
      <c r="F1276" s="79" t="str">
        <f t="shared" si="97"/>
        <v/>
      </c>
      <c r="G1276" s="395"/>
      <c r="H1276" s="91">
        <f t="shared" si="98"/>
        <v>0</v>
      </c>
      <c r="I1276" s="91" t="str">
        <f t="shared" si="99"/>
        <v/>
      </c>
      <c r="J1276" s="91" t="str">
        <f t="shared" si="100"/>
        <v/>
      </c>
      <c r="K1276" s="92" t="str">
        <f>IF(AND(A1276="",B1276="",D1276="",G1276=""),"",IF(AND(A1276&lt;&gt;"",COUNTIF($A$2:$A$5001,A1276)&gt;1),"NUMERO_PC duplicado",IF(B1276="","DATA_PC vazia",IF(NOT(ISNUMBER(B1276)),"DATA_PC invalida",IF(OR(C1276="",C1276="Fora dos ciclos"),"CICLO_PC nao identificado",IF(OR(D1276="",D1276=0),"VALOR_PC vazio ou zero",IF(AND(G1276&lt;&gt;"Sim",G1276&lt;&gt;"Nao",G1276&lt;&gt;""),"PC_PAGO_A_CONTRATADA invalido",IF(AND(C1276&lt;&gt;"C0",IFERROR(INDEX(parametros!$A$2:$A$6,MATCH(C1276,parametros!$B$2:$B$6,0)),"")="Sim",IFERROR(INDEX(parametros!$H$2:$H$6,MATCH(C1276,parametros!$B$2:$B$6,0)),"")=""),"INICIO_EFEITO ausente: PC "&amp;A1276&amp;" - "&amp;C1276,IF(L1276="","EFEITO_PC nao calculado: PC "&amp;A1276&amp;" - "&amp;C1276,"OK")))))))))</f>
        <v/>
      </c>
      <c r="L1276" s="92" t="str">
        <f>IF(AND(A1276="",B1276="",D1276="",G1276=""),"",IF(OR(B1276="",NOT(ISNUMBER(B1276)),C1276="",C1276="Fora dos ciclos"),"",IF(C1276="C0","Nao",IF(IFERROR(INDEX(parametros!$A$2:$A$6,MATCH(C1276,parametros!$B$2:$B$6,0)),"")&lt;&gt;"Sim","Nao",IF(IFERROR(INDEX(parametros!$H$2:$H$6,MATCH(C1276,parametros!$B$2:$B$6,0)),"")="","",IF(B1276&gt;=IFERROR(INDEX(parametros!$H$2:$H$6,MATCH(C1276,parametros!$B$2:$B$6,0)),""),"Sim","Nao"))))))</f>
        <v/>
      </c>
      <c r="T1276" s="156"/>
      <c r="U1276" s="214" t="str">
        <f t="shared" si="101"/>
        <v/>
      </c>
      <c r="V1276" s="212" t="s">
        <v>50</v>
      </c>
      <c r="W1276" s="100" t="s">
        <v>168</v>
      </c>
      <c r="X1276" s="100" t="s">
        <v>169</v>
      </c>
      <c r="Y1276" s="101" t="s">
        <v>170</v>
      </c>
      <c r="Z1276" s="101" t="s">
        <v>171</v>
      </c>
      <c r="AA1276" s="101" t="s">
        <v>50</v>
      </c>
      <c r="AB1276" s="101" t="s">
        <v>172</v>
      </c>
      <c r="AC1276" s="102" t="s">
        <v>173</v>
      </c>
    </row>
    <row r="1277" spans="1:29" ht="25.5" customHeight="1" x14ac:dyDescent="0.35">
      <c r="A1277" s="392"/>
      <c r="B1277" s="393"/>
      <c r="C1277" s="99" t="str">
        <f>IF(B1277="","",IF(NOT(ISNUMBER(B1277)),"DATA_PC invalida",IF(NOT(ISNUMBER(parametros!$C$2)),"Fora dos ciclos",IF(OR(B1277&lt;parametros!$C$2,(YEAR(B1277)-YEAR(parametros!$C$2))*12+MONTH(B1277)-MONTH(parametros!$C$2)&gt;59),"Fora dos ciclos","C"&amp;INT(((YEAR(B1277)-YEAR(parametros!$C$2))*12+MONTH(B1277)-MONTH(parametros!$C$2))/12)))))</f>
        <v/>
      </c>
      <c r="D1277" s="394"/>
      <c r="E1277" s="78" t="str">
        <f>IF(C1277="","",IFERROR(VLOOKUP(C1277,parametros!$A$11:$E$15,5,0),""))</f>
        <v/>
      </c>
      <c r="F1277" s="79" t="str">
        <f t="shared" si="97"/>
        <v/>
      </c>
      <c r="G1277" s="395"/>
      <c r="H1277" s="91">
        <f t="shared" si="98"/>
        <v>0</v>
      </c>
      <c r="I1277" s="91" t="str">
        <f t="shared" si="99"/>
        <v/>
      </c>
      <c r="J1277" s="91" t="str">
        <f t="shared" si="100"/>
        <v/>
      </c>
      <c r="K1277" s="92" t="str">
        <f>IF(AND(A1277="",B1277="",D1277="",G1277=""),"",IF(AND(A1277&lt;&gt;"",COUNTIF($A$2:$A$5001,A1277)&gt;1),"NUMERO_PC duplicado",IF(B1277="","DATA_PC vazia",IF(NOT(ISNUMBER(B1277)),"DATA_PC invalida",IF(OR(C1277="",C1277="Fora dos ciclos"),"CICLO_PC nao identificado",IF(OR(D1277="",D1277=0),"VALOR_PC vazio ou zero",IF(AND(G1277&lt;&gt;"Sim",G1277&lt;&gt;"Nao",G1277&lt;&gt;""),"PC_PAGO_A_CONTRATADA invalido",IF(AND(C1277&lt;&gt;"C0",IFERROR(INDEX(parametros!$A$2:$A$6,MATCH(C1277,parametros!$B$2:$B$6,0)),"")="Sim",IFERROR(INDEX(parametros!$H$2:$H$6,MATCH(C1277,parametros!$B$2:$B$6,0)),"")=""),"INICIO_EFEITO ausente: PC "&amp;A1277&amp;" - "&amp;C1277,IF(L1277="","EFEITO_PC nao calculado: PC "&amp;A1277&amp;" - "&amp;C1277,"OK")))))))))</f>
        <v/>
      </c>
      <c r="L1277" s="92" t="str">
        <f>IF(AND(A1277="",B1277="",D1277="",G1277=""),"",IF(OR(B1277="",NOT(ISNUMBER(B1277)),C1277="",C1277="Fora dos ciclos"),"",IF(C1277="C0","Nao",IF(IFERROR(INDEX(parametros!$A$2:$A$6,MATCH(C1277,parametros!$B$2:$B$6,0)),"")&lt;&gt;"Sim","Nao",IF(IFERROR(INDEX(parametros!$H$2:$H$6,MATCH(C1277,parametros!$B$2:$B$6,0)),"")="","",IF(B1277&gt;=IFERROR(INDEX(parametros!$H$2:$H$6,MATCH(C1277,parametros!$B$2:$B$6,0)),""),"Sim","Nao"))))))</f>
        <v/>
      </c>
      <c r="T1277" s="156"/>
      <c r="U1277" s="214" t="str">
        <f t="shared" si="101"/>
        <v/>
      </c>
      <c r="V1277" s="212" t="s">
        <v>50</v>
      </c>
      <c r="W1277" s="100" t="s">
        <v>168</v>
      </c>
      <c r="X1277" s="100" t="s">
        <v>169</v>
      </c>
      <c r="Y1277" s="101" t="s">
        <v>170</v>
      </c>
      <c r="Z1277" s="101" t="s">
        <v>171</v>
      </c>
      <c r="AA1277" s="101" t="s">
        <v>50</v>
      </c>
      <c r="AB1277" s="101" t="s">
        <v>172</v>
      </c>
      <c r="AC1277" s="102" t="s">
        <v>173</v>
      </c>
    </row>
    <row r="1278" spans="1:29" ht="25.5" customHeight="1" x14ac:dyDescent="0.35">
      <c r="A1278" s="392"/>
      <c r="B1278" s="393"/>
      <c r="C1278" s="99" t="str">
        <f>IF(B1278="","",IF(NOT(ISNUMBER(B1278)),"DATA_PC invalida",IF(NOT(ISNUMBER(parametros!$C$2)),"Fora dos ciclos",IF(OR(B1278&lt;parametros!$C$2,(YEAR(B1278)-YEAR(parametros!$C$2))*12+MONTH(B1278)-MONTH(parametros!$C$2)&gt;59),"Fora dos ciclos","C"&amp;INT(((YEAR(B1278)-YEAR(parametros!$C$2))*12+MONTH(B1278)-MONTH(parametros!$C$2))/12)))))</f>
        <v/>
      </c>
      <c r="D1278" s="394"/>
      <c r="E1278" s="78" t="str">
        <f>IF(C1278="","",IFERROR(VLOOKUP(C1278,parametros!$A$11:$E$15,5,0),""))</f>
        <v/>
      </c>
      <c r="F1278" s="79" t="str">
        <f t="shared" si="97"/>
        <v/>
      </c>
      <c r="G1278" s="395"/>
      <c r="H1278" s="91">
        <f t="shared" si="98"/>
        <v>0</v>
      </c>
      <c r="I1278" s="91" t="str">
        <f t="shared" si="99"/>
        <v/>
      </c>
      <c r="J1278" s="91" t="str">
        <f t="shared" si="100"/>
        <v/>
      </c>
      <c r="K1278" s="92" t="str">
        <f>IF(AND(A1278="",B1278="",D1278="",G1278=""),"",IF(AND(A1278&lt;&gt;"",COUNTIF($A$2:$A$5001,A1278)&gt;1),"NUMERO_PC duplicado",IF(B1278="","DATA_PC vazia",IF(NOT(ISNUMBER(B1278)),"DATA_PC invalida",IF(OR(C1278="",C1278="Fora dos ciclos"),"CICLO_PC nao identificado",IF(OR(D1278="",D1278=0),"VALOR_PC vazio ou zero",IF(AND(G1278&lt;&gt;"Sim",G1278&lt;&gt;"Nao",G1278&lt;&gt;""),"PC_PAGO_A_CONTRATADA invalido",IF(AND(C1278&lt;&gt;"C0",IFERROR(INDEX(parametros!$A$2:$A$6,MATCH(C1278,parametros!$B$2:$B$6,0)),"")="Sim",IFERROR(INDEX(parametros!$H$2:$H$6,MATCH(C1278,parametros!$B$2:$B$6,0)),"")=""),"INICIO_EFEITO ausente: PC "&amp;A1278&amp;" - "&amp;C1278,IF(L1278="","EFEITO_PC nao calculado: PC "&amp;A1278&amp;" - "&amp;C1278,"OK")))))))))</f>
        <v/>
      </c>
      <c r="L1278" s="92" t="str">
        <f>IF(AND(A1278="",B1278="",D1278="",G1278=""),"",IF(OR(B1278="",NOT(ISNUMBER(B1278)),C1278="",C1278="Fora dos ciclos"),"",IF(C1278="C0","Nao",IF(IFERROR(INDEX(parametros!$A$2:$A$6,MATCH(C1278,parametros!$B$2:$B$6,0)),"")&lt;&gt;"Sim","Nao",IF(IFERROR(INDEX(parametros!$H$2:$H$6,MATCH(C1278,parametros!$B$2:$B$6,0)),"")="","",IF(B1278&gt;=IFERROR(INDEX(parametros!$H$2:$H$6,MATCH(C1278,parametros!$B$2:$B$6,0)),""),"Sim","Nao"))))))</f>
        <v/>
      </c>
      <c r="T1278" s="156"/>
      <c r="U1278" s="214" t="str">
        <f t="shared" si="101"/>
        <v/>
      </c>
      <c r="V1278" s="212" t="s">
        <v>50</v>
      </c>
      <c r="W1278" s="100" t="s">
        <v>168</v>
      </c>
      <c r="X1278" s="100" t="s">
        <v>169</v>
      </c>
      <c r="Y1278" s="101" t="s">
        <v>170</v>
      </c>
      <c r="Z1278" s="101" t="s">
        <v>171</v>
      </c>
      <c r="AA1278" s="101" t="s">
        <v>50</v>
      </c>
      <c r="AB1278" s="101" t="s">
        <v>172</v>
      </c>
      <c r="AC1278" s="102" t="s">
        <v>173</v>
      </c>
    </row>
    <row r="1279" spans="1:29" ht="25.5" customHeight="1" x14ac:dyDescent="0.35">
      <c r="A1279" s="392"/>
      <c r="B1279" s="393"/>
      <c r="C1279" s="99" t="str">
        <f>IF(B1279="","",IF(NOT(ISNUMBER(B1279)),"DATA_PC invalida",IF(NOT(ISNUMBER(parametros!$C$2)),"Fora dos ciclos",IF(OR(B1279&lt;parametros!$C$2,(YEAR(B1279)-YEAR(parametros!$C$2))*12+MONTH(B1279)-MONTH(parametros!$C$2)&gt;59),"Fora dos ciclos","C"&amp;INT(((YEAR(B1279)-YEAR(parametros!$C$2))*12+MONTH(B1279)-MONTH(parametros!$C$2))/12)))))</f>
        <v/>
      </c>
      <c r="D1279" s="394"/>
      <c r="E1279" s="78" t="str">
        <f>IF(C1279="","",IFERROR(VLOOKUP(C1279,parametros!$A$11:$E$15,5,0),""))</f>
        <v/>
      </c>
      <c r="F1279" s="79" t="str">
        <f t="shared" si="97"/>
        <v/>
      </c>
      <c r="G1279" s="395"/>
      <c r="H1279" s="91">
        <f t="shared" si="98"/>
        <v>0</v>
      </c>
      <c r="I1279" s="91" t="str">
        <f t="shared" si="99"/>
        <v/>
      </c>
      <c r="J1279" s="91" t="str">
        <f t="shared" si="100"/>
        <v/>
      </c>
      <c r="K1279" s="92" t="str">
        <f>IF(AND(A1279="",B1279="",D1279="",G1279=""),"",IF(AND(A1279&lt;&gt;"",COUNTIF($A$2:$A$5001,A1279)&gt;1),"NUMERO_PC duplicado",IF(B1279="","DATA_PC vazia",IF(NOT(ISNUMBER(B1279)),"DATA_PC invalida",IF(OR(C1279="",C1279="Fora dos ciclos"),"CICLO_PC nao identificado",IF(OR(D1279="",D1279=0),"VALOR_PC vazio ou zero",IF(AND(G1279&lt;&gt;"Sim",G1279&lt;&gt;"Nao",G1279&lt;&gt;""),"PC_PAGO_A_CONTRATADA invalido",IF(AND(C1279&lt;&gt;"C0",IFERROR(INDEX(parametros!$A$2:$A$6,MATCH(C1279,parametros!$B$2:$B$6,0)),"")="Sim",IFERROR(INDEX(parametros!$H$2:$H$6,MATCH(C1279,parametros!$B$2:$B$6,0)),"")=""),"INICIO_EFEITO ausente: PC "&amp;A1279&amp;" - "&amp;C1279,IF(L1279="","EFEITO_PC nao calculado: PC "&amp;A1279&amp;" - "&amp;C1279,"OK")))))))))</f>
        <v/>
      </c>
      <c r="L1279" s="92" t="str">
        <f>IF(AND(A1279="",B1279="",D1279="",G1279=""),"",IF(OR(B1279="",NOT(ISNUMBER(B1279)),C1279="",C1279="Fora dos ciclos"),"",IF(C1279="C0","Nao",IF(IFERROR(INDEX(parametros!$A$2:$A$6,MATCH(C1279,parametros!$B$2:$B$6,0)),"")&lt;&gt;"Sim","Nao",IF(IFERROR(INDEX(parametros!$H$2:$H$6,MATCH(C1279,parametros!$B$2:$B$6,0)),"")="","",IF(B1279&gt;=IFERROR(INDEX(parametros!$H$2:$H$6,MATCH(C1279,parametros!$B$2:$B$6,0)),""),"Sim","Nao"))))))</f>
        <v/>
      </c>
      <c r="T1279" s="156"/>
      <c r="U1279" s="214" t="str">
        <f t="shared" si="101"/>
        <v/>
      </c>
      <c r="V1279" s="212" t="s">
        <v>50</v>
      </c>
      <c r="W1279" s="100" t="s">
        <v>168</v>
      </c>
      <c r="X1279" s="100" t="s">
        <v>169</v>
      </c>
      <c r="Y1279" s="101" t="s">
        <v>170</v>
      </c>
      <c r="Z1279" s="101" t="s">
        <v>171</v>
      </c>
      <c r="AA1279" s="101" t="s">
        <v>50</v>
      </c>
      <c r="AB1279" s="101" t="s">
        <v>172</v>
      </c>
      <c r="AC1279" s="102" t="s">
        <v>173</v>
      </c>
    </row>
    <row r="1280" spans="1:29" ht="25.5" customHeight="1" x14ac:dyDescent="0.35">
      <c r="A1280" s="392"/>
      <c r="B1280" s="393"/>
      <c r="C1280" s="99" t="str">
        <f>IF(B1280="","",IF(NOT(ISNUMBER(B1280)),"DATA_PC invalida",IF(NOT(ISNUMBER(parametros!$C$2)),"Fora dos ciclos",IF(OR(B1280&lt;parametros!$C$2,(YEAR(B1280)-YEAR(parametros!$C$2))*12+MONTH(B1280)-MONTH(parametros!$C$2)&gt;59),"Fora dos ciclos","C"&amp;INT(((YEAR(B1280)-YEAR(parametros!$C$2))*12+MONTH(B1280)-MONTH(parametros!$C$2))/12)))))</f>
        <v/>
      </c>
      <c r="D1280" s="394"/>
      <c r="E1280" s="78" t="str">
        <f>IF(C1280="","",IFERROR(VLOOKUP(C1280,parametros!$A$11:$E$15,5,0),""))</f>
        <v/>
      </c>
      <c r="F1280" s="79" t="str">
        <f t="shared" si="97"/>
        <v/>
      </c>
      <c r="G1280" s="395"/>
      <c r="H1280" s="91">
        <f t="shared" si="98"/>
        <v>0</v>
      </c>
      <c r="I1280" s="91" t="str">
        <f t="shared" si="99"/>
        <v/>
      </c>
      <c r="J1280" s="91" t="str">
        <f t="shared" si="100"/>
        <v/>
      </c>
      <c r="K1280" s="92" t="str">
        <f>IF(AND(A1280="",B1280="",D1280="",G1280=""),"",IF(AND(A1280&lt;&gt;"",COUNTIF($A$2:$A$5001,A1280)&gt;1),"NUMERO_PC duplicado",IF(B1280="","DATA_PC vazia",IF(NOT(ISNUMBER(B1280)),"DATA_PC invalida",IF(OR(C1280="",C1280="Fora dos ciclos"),"CICLO_PC nao identificado",IF(OR(D1280="",D1280=0),"VALOR_PC vazio ou zero",IF(AND(G1280&lt;&gt;"Sim",G1280&lt;&gt;"Nao",G1280&lt;&gt;""),"PC_PAGO_A_CONTRATADA invalido",IF(AND(C1280&lt;&gt;"C0",IFERROR(INDEX(parametros!$A$2:$A$6,MATCH(C1280,parametros!$B$2:$B$6,0)),"")="Sim",IFERROR(INDEX(parametros!$H$2:$H$6,MATCH(C1280,parametros!$B$2:$B$6,0)),"")=""),"INICIO_EFEITO ausente: PC "&amp;A1280&amp;" - "&amp;C1280,IF(L1280="","EFEITO_PC nao calculado: PC "&amp;A1280&amp;" - "&amp;C1280,"OK")))))))))</f>
        <v/>
      </c>
      <c r="L1280" s="92" t="str">
        <f>IF(AND(A1280="",B1280="",D1280="",G1280=""),"",IF(OR(B1280="",NOT(ISNUMBER(B1280)),C1280="",C1280="Fora dos ciclos"),"",IF(C1280="C0","Nao",IF(IFERROR(INDEX(parametros!$A$2:$A$6,MATCH(C1280,parametros!$B$2:$B$6,0)),"")&lt;&gt;"Sim","Nao",IF(IFERROR(INDEX(parametros!$H$2:$H$6,MATCH(C1280,parametros!$B$2:$B$6,0)),"")="","",IF(B1280&gt;=IFERROR(INDEX(parametros!$H$2:$H$6,MATCH(C1280,parametros!$B$2:$B$6,0)),""),"Sim","Nao"))))))</f>
        <v/>
      </c>
      <c r="T1280" s="156"/>
      <c r="U1280" s="214" t="str">
        <f t="shared" si="101"/>
        <v/>
      </c>
      <c r="V1280" s="212" t="s">
        <v>50</v>
      </c>
      <c r="W1280" s="100" t="s">
        <v>168</v>
      </c>
      <c r="X1280" s="100" t="s">
        <v>169</v>
      </c>
      <c r="Y1280" s="101" t="s">
        <v>170</v>
      </c>
      <c r="Z1280" s="101" t="s">
        <v>171</v>
      </c>
      <c r="AA1280" s="101" t="s">
        <v>50</v>
      </c>
      <c r="AB1280" s="101" t="s">
        <v>172</v>
      </c>
      <c r="AC1280" s="102" t="s">
        <v>173</v>
      </c>
    </row>
    <row r="1281" spans="1:29" ht="25.5" customHeight="1" x14ac:dyDescent="0.35">
      <c r="A1281" s="392"/>
      <c r="B1281" s="393"/>
      <c r="C1281" s="99" t="str">
        <f>IF(B1281="","",IF(NOT(ISNUMBER(B1281)),"DATA_PC invalida",IF(NOT(ISNUMBER(parametros!$C$2)),"Fora dos ciclos",IF(OR(B1281&lt;parametros!$C$2,(YEAR(B1281)-YEAR(parametros!$C$2))*12+MONTH(B1281)-MONTH(parametros!$C$2)&gt;59),"Fora dos ciclos","C"&amp;INT(((YEAR(B1281)-YEAR(parametros!$C$2))*12+MONTH(B1281)-MONTH(parametros!$C$2))/12)))))</f>
        <v/>
      </c>
      <c r="D1281" s="394"/>
      <c r="E1281" s="78" t="str">
        <f>IF(C1281="","",IFERROR(VLOOKUP(C1281,parametros!$A$11:$E$15,5,0),""))</f>
        <v/>
      </c>
      <c r="F1281" s="79" t="str">
        <f t="shared" si="97"/>
        <v/>
      </c>
      <c r="G1281" s="395"/>
      <c r="H1281" s="91">
        <f t="shared" si="98"/>
        <v>0</v>
      </c>
      <c r="I1281" s="91" t="str">
        <f t="shared" si="99"/>
        <v/>
      </c>
      <c r="J1281" s="91" t="str">
        <f t="shared" si="100"/>
        <v/>
      </c>
      <c r="K1281" s="92" t="str">
        <f>IF(AND(A1281="",B1281="",D1281="",G1281=""),"",IF(AND(A1281&lt;&gt;"",COUNTIF($A$2:$A$5001,A1281)&gt;1),"NUMERO_PC duplicado",IF(B1281="","DATA_PC vazia",IF(NOT(ISNUMBER(B1281)),"DATA_PC invalida",IF(OR(C1281="",C1281="Fora dos ciclos"),"CICLO_PC nao identificado",IF(OR(D1281="",D1281=0),"VALOR_PC vazio ou zero",IF(AND(G1281&lt;&gt;"Sim",G1281&lt;&gt;"Nao",G1281&lt;&gt;""),"PC_PAGO_A_CONTRATADA invalido",IF(AND(C1281&lt;&gt;"C0",IFERROR(INDEX(parametros!$A$2:$A$6,MATCH(C1281,parametros!$B$2:$B$6,0)),"")="Sim",IFERROR(INDEX(parametros!$H$2:$H$6,MATCH(C1281,parametros!$B$2:$B$6,0)),"")=""),"INICIO_EFEITO ausente: PC "&amp;A1281&amp;" - "&amp;C1281,IF(L1281="","EFEITO_PC nao calculado: PC "&amp;A1281&amp;" - "&amp;C1281,"OK")))))))))</f>
        <v/>
      </c>
      <c r="L1281" s="92" t="str">
        <f>IF(AND(A1281="",B1281="",D1281="",G1281=""),"",IF(OR(B1281="",NOT(ISNUMBER(B1281)),C1281="",C1281="Fora dos ciclos"),"",IF(C1281="C0","Nao",IF(IFERROR(INDEX(parametros!$A$2:$A$6,MATCH(C1281,parametros!$B$2:$B$6,0)),"")&lt;&gt;"Sim","Nao",IF(IFERROR(INDEX(parametros!$H$2:$H$6,MATCH(C1281,parametros!$B$2:$B$6,0)),"")="","",IF(B1281&gt;=IFERROR(INDEX(parametros!$H$2:$H$6,MATCH(C1281,parametros!$B$2:$B$6,0)),""),"Sim","Nao"))))))</f>
        <v/>
      </c>
      <c r="T1281" s="156"/>
      <c r="U1281" s="214" t="str">
        <f t="shared" si="101"/>
        <v/>
      </c>
      <c r="V1281" s="212" t="s">
        <v>50</v>
      </c>
      <c r="W1281" s="100" t="s">
        <v>168</v>
      </c>
      <c r="X1281" s="100" t="s">
        <v>169</v>
      </c>
      <c r="Y1281" s="101" t="s">
        <v>170</v>
      </c>
      <c r="Z1281" s="101" t="s">
        <v>171</v>
      </c>
      <c r="AA1281" s="101" t="s">
        <v>50</v>
      </c>
      <c r="AB1281" s="101" t="s">
        <v>172</v>
      </c>
      <c r="AC1281" s="102" t="s">
        <v>173</v>
      </c>
    </row>
    <row r="1282" spans="1:29" ht="25.5" customHeight="1" x14ac:dyDescent="0.35">
      <c r="A1282" s="392"/>
      <c r="B1282" s="393"/>
      <c r="C1282" s="99" t="str">
        <f>IF(B1282="","",IF(NOT(ISNUMBER(B1282)),"DATA_PC invalida",IF(NOT(ISNUMBER(parametros!$C$2)),"Fora dos ciclos",IF(OR(B1282&lt;parametros!$C$2,(YEAR(B1282)-YEAR(parametros!$C$2))*12+MONTH(B1282)-MONTH(parametros!$C$2)&gt;59),"Fora dos ciclos","C"&amp;INT(((YEAR(B1282)-YEAR(parametros!$C$2))*12+MONTH(B1282)-MONTH(parametros!$C$2))/12)))))</f>
        <v/>
      </c>
      <c r="D1282" s="394"/>
      <c r="E1282" s="78" t="str">
        <f>IF(C1282="","",IFERROR(VLOOKUP(C1282,parametros!$A$11:$E$15,5,0),""))</f>
        <v/>
      </c>
      <c r="F1282" s="79" t="str">
        <f t="shared" ref="F1282:F1345" si="102">IF(OR(D1282="",E1282=""),"",ROUND(D1282*E1282,2))</f>
        <v/>
      </c>
      <c r="G1282" s="395"/>
      <c r="H1282" s="91">
        <f t="shared" ref="H1282:H1345" si="103">IF(G1282="Sim",IF(OR(F1282="",D1282="",L1282=""),"",IF(L1282="Sim",ROUND(F1282-D1282,2),0)),0)</f>
        <v>0</v>
      </c>
      <c r="I1282" s="91" t="str">
        <f t="shared" ref="I1282:I1345" si="104">IF(G1282="Sim",0,IF(OR(F1282="",L1282=""),"",F1282))</f>
        <v/>
      </c>
      <c r="J1282" s="91" t="str">
        <f t="shared" ref="J1282:J1345" si="105">IF(G1282="Sim",0,IF(OR(F1282="",D1282="",L1282=""),"",IF(L1282="Sim",ROUND(F1282-D1282,2),0)))</f>
        <v/>
      </c>
      <c r="K1282" s="92" t="str">
        <f>IF(AND(A1282="",B1282="",D1282="",G1282=""),"",IF(AND(A1282&lt;&gt;"",COUNTIF($A$2:$A$5001,A1282)&gt;1),"NUMERO_PC duplicado",IF(B1282="","DATA_PC vazia",IF(NOT(ISNUMBER(B1282)),"DATA_PC invalida",IF(OR(C1282="",C1282="Fora dos ciclos"),"CICLO_PC nao identificado",IF(OR(D1282="",D1282=0),"VALOR_PC vazio ou zero",IF(AND(G1282&lt;&gt;"Sim",G1282&lt;&gt;"Nao",G1282&lt;&gt;""),"PC_PAGO_A_CONTRATADA invalido",IF(AND(C1282&lt;&gt;"C0",IFERROR(INDEX(parametros!$A$2:$A$6,MATCH(C1282,parametros!$B$2:$B$6,0)),"")="Sim",IFERROR(INDEX(parametros!$H$2:$H$6,MATCH(C1282,parametros!$B$2:$B$6,0)),"")=""),"INICIO_EFEITO ausente: PC "&amp;A1282&amp;" - "&amp;C1282,IF(L1282="","EFEITO_PC nao calculado: PC "&amp;A1282&amp;" - "&amp;C1282,"OK")))))))))</f>
        <v/>
      </c>
      <c r="L1282" s="92" t="str">
        <f>IF(AND(A1282="",B1282="",D1282="",G1282=""),"",IF(OR(B1282="",NOT(ISNUMBER(B1282)),C1282="",C1282="Fora dos ciclos"),"",IF(C1282="C0","Nao",IF(IFERROR(INDEX(parametros!$A$2:$A$6,MATCH(C1282,parametros!$B$2:$B$6,0)),"")&lt;&gt;"Sim","Nao",IF(IFERROR(INDEX(parametros!$H$2:$H$6,MATCH(C1282,parametros!$B$2:$B$6,0)),"")="","",IF(B1282&gt;=IFERROR(INDEX(parametros!$H$2:$H$6,MATCH(C1282,parametros!$B$2:$B$6,0)),""),"Sim","Nao"))))))</f>
        <v/>
      </c>
      <c r="T1282" s="156"/>
      <c r="U1282" s="214" t="str">
        <f t="shared" ref="U1282:U1345" si="106">IF(OR($D1282="",$H1282=""),"",ROUND($D1282+$H1282,2))</f>
        <v/>
      </c>
      <c r="V1282" s="212" t="s">
        <v>50</v>
      </c>
      <c r="W1282" s="100" t="s">
        <v>168</v>
      </c>
      <c r="X1282" s="100" t="s">
        <v>169</v>
      </c>
      <c r="Y1282" s="101" t="s">
        <v>170</v>
      </c>
      <c r="Z1282" s="101" t="s">
        <v>171</v>
      </c>
      <c r="AA1282" s="101" t="s">
        <v>50</v>
      </c>
      <c r="AB1282" s="101" t="s">
        <v>172</v>
      </c>
      <c r="AC1282" s="102" t="s">
        <v>173</v>
      </c>
    </row>
    <row r="1283" spans="1:29" ht="25.5" customHeight="1" x14ac:dyDescent="0.35">
      <c r="A1283" s="392"/>
      <c r="B1283" s="393"/>
      <c r="C1283" s="99" t="str">
        <f>IF(B1283="","",IF(NOT(ISNUMBER(B1283)),"DATA_PC invalida",IF(NOT(ISNUMBER(parametros!$C$2)),"Fora dos ciclos",IF(OR(B1283&lt;parametros!$C$2,(YEAR(B1283)-YEAR(parametros!$C$2))*12+MONTH(B1283)-MONTH(parametros!$C$2)&gt;59),"Fora dos ciclos","C"&amp;INT(((YEAR(B1283)-YEAR(parametros!$C$2))*12+MONTH(B1283)-MONTH(parametros!$C$2))/12)))))</f>
        <v/>
      </c>
      <c r="D1283" s="394"/>
      <c r="E1283" s="78" t="str">
        <f>IF(C1283="","",IFERROR(VLOOKUP(C1283,parametros!$A$11:$E$15,5,0),""))</f>
        <v/>
      </c>
      <c r="F1283" s="79" t="str">
        <f t="shared" si="102"/>
        <v/>
      </c>
      <c r="G1283" s="395"/>
      <c r="H1283" s="91">
        <f t="shared" si="103"/>
        <v>0</v>
      </c>
      <c r="I1283" s="91" t="str">
        <f t="shared" si="104"/>
        <v/>
      </c>
      <c r="J1283" s="91" t="str">
        <f t="shared" si="105"/>
        <v/>
      </c>
      <c r="K1283" s="92" t="str">
        <f>IF(AND(A1283="",B1283="",D1283="",G1283=""),"",IF(AND(A1283&lt;&gt;"",COUNTIF($A$2:$A$5001,A1283)&gt;1),"NUMERO_PC duplicado",IF(B1283="","DATA_PC vazia",IF(NOT(ISNUMBER(B1283)),"DATA_PC invalida",IF(OR(C1283="",C1283="Fora dos ciclos"),"CICLO_PC nao identificado",IF(OR(D1283="",D1283=0),"VALOR_PC vazio ou zero",IF(AND(G1283&lt;&gt;"Sim",G1283&lt;&gt;"Nao",G1283&lt;&gt;""),"PC_PAGO_A_CONTRATADA invalido",IF(AND(C1283&lt;&gt;"C0",IFERROR(INDEX(parametros!$A$2:$A$6,MATCH(C1283,parametros!$B$2:$B$6,0)),"")="Sim",IFERROR(INDEX(parametros!$H$2:$H$6,MATCH(C1283,parametros!$B$2:$B$6,0)),"")=""),"INICIO_EFEITO ausente: PC "&amp;A1283&amp;" - "&amp;C1283,IF(L1283="","EFEITO_PC nao calculado: PC "&amp;A1283&amp;" - "&amp;C1283,"OK")))))))))</f>
        <v/>
      </c>
      <c r="L1283" s="92" t="str">
        <f>IF(AND(A1283="",B1283="",D1283="",G1283=""),"",IF(OR(B1283="",NOT(ISNUMBER(B1283)),C1283="",C1283="Fora dos ciclos"),"",IF(C1283="C0","Nao",IF(IFERROR(INDEX(parametros!$A$2:$A$6,MATCH(C1283,parametros!$B$2:$B$6,0)),"")&lt;&gt;"Sim","Nao",IF(IFERROR(INDEX(parametros!$H$2:$H$6,MATCH(C1283,parametros!$B$2:$B$6,0)),"")="","",IF(B1283&gt;=IFERROR(INDEX(parametros!$H$2:$H$6,MATCH(C1283,parametros!$B$2:$B$6,0)),""),"Sim","Nao"))))))</f>
        <v/>
      </c>
      <c r="T1283" s="156"/>
      <c r="U1283" s="214" t="str">
        <f t="shared" si="106"/>
        <v/>
      </c>
      <c r="V1283" s="212" t="s">
        <v>50</v>
      </c>
      <c r="W1283" s="100" t="s">
        <v>168</v>
      </c>
      <c r="X1283" s="100" t="s">
        <v>169</v>
      </c>
      <c r="Y1283" s="101" t="s">
        <v>170</v>
      </c>
      <c r="Z1283" s="101" t="s">
        <v>171</v>
      </c>
      <c r="AA1283" s="101" t="s">
        <v>50</v>
      </c>
      <c r="AB1283" s="101" t="s">
        <v>172</v>
      </c>
      <c r="AC1283" s="102" t="s">
        <v>173</v>
      </c>
    </row>
    <row r="1284" spans="1:29" ht="25.5" customHeight="1" x14ac:dyDescent="0.35">
      <c r="A1284" s="392"/>
      <c r="B1284" s="393"/>
      <c r="C1284" s="99" t="str">
        <f>IF(B1284="","",IF(NOT(ISNUMBER(B1284)),"DATA_PC invalida",IF(NOT(ISNUMBER(parametros!$C$2)),"Fora dos ciclos",IF(OR(B1284&lt;parametros!$C$2,(YEAR(B1284)-YEAR(parametros!$C$2))*12+MONTH(B1284)-MONTH(parametros!$C$2)&gt;59),"Fora dos ciclos","C"&amp;INT(((YEAR(B1284)-YEAR(parametros!$C$2))*12+MONTH(B1284)-MONTH(parametros!$C$2))/12)))))</f>
        <v/>
      </c>
      <c r="D1284" s="394"/>
      <c r="E1284" s="78" t="str">
        <f>IF(C1284="","",IFERROR(VLOOKUP(C1284,parametros!$A$11:$E$15,5,0),""))</f>
        <v/>
      </c>
      <c r="F1284" s="79" t="str">
        <f t="shared" si="102"/>
        <v/>
      </c>
      <c r="G1284" s="395"/>
      <c r="H1284" s="91">
        <f t="shared" si="103"/>
        <v>0</v>
      </c>
      <c r="I1284" s="91" t="str">
        <f t="shared" si="104"/>
        <v/>
      </c>
      <c r="J1284" s="91" t="str">
        <f t="shared" si="105"/>
        <v/>
      </c>
      <c r="K1284" s="92" t="str">
        <f>IF(AND(A1284="",B1284="",D1284="",G1284=""),"",IF(AND(A1284&lt;&gt;"",COUNTIF($A$2:$A$5001,A1284)&gt;1),"NUMERO_PC duplicado",IF(B1284="","DATA_PC vazia",IF(NOT(ISNUMBER(B1284)),"DATA_PC invalida",IF(OR(C1284="",C1284="Fora dos ciclos"),"CICLO_PC nao identificado",IF(OR(D1284="",D1284=0),"VALOR_PC vazio ou zero",IF(AND(G1284&lt;&gt;"Sim",G1284&lt;&gt;"Nao",G1284&lt;&gt;""),"PC_PAGO_A_CONTRATADA invalido",IF(AND(C1284&lt;&gt;"C0",IFERROR(INDEX(parametros!$A$2:$A$6,MATCH(C1284,parametros!$B$2:$B$6,0)),"")="Sim",IFERROR(INDEX(parametros!$H$2:$H$6,MATCH(C1284,parametros!$B$2:$B$6,0)),"")=""),"INICIO_EFEITO ausente: PC "&amp;A1284&amp;" - "&amp;C1284,IF(L1284="","EFEITO_PC nao calculado: PC "&amp;A1284&amp;" - "&amp;C1284,"OK")))))))))</f>
        <v/>
      </c>
      <c r="L1284" s="92" t="str">
        <f>IF(AND(A1284="",B1284="",D1284="",G1284=""),"",IF(OR(B1284="",NOT(ISNUMBER(B1284)),C1284="",C1284="Fora dos ciclos"),"",IF(C1284="C0","Nao",IF(IFERROR(INDEX(parametros!$A$2:$A$6,MATCH(C1284,parametros!$B$2:$B$6,0)),"")&lt;&gt;"Sim","Nao",IF(IFERROR(INDEX(parametros!$H$2:$H$6,MATCH(C1284,parametros!$B$2:$B$6,0)),"")="","",IF(B1284&gt;=IFERROR(INDEX(parametros!$H$2:$H$6,MATCH(C1284,parametros!$B$2:$B$6,0)),""),"Sim","Nao"))))))</f>
        <v/>
      </c>
      <c r="T1284" s="156"/>
      <c r="U1284" s="214" t="str">
        <f t="shared" si="106"/>
        <v/>
      </c>
      <c r="V1284" s="212" t="s">
        <v>50</v>
      </c>
      <c r="W1284" s="100" t="s">
        <v>168</v>
      </c>
      <c r="X1284" s="100" t="s">
        <v>169</v>
      </c>
      <c r="Y1284" s="101" t="s">
        <v>170</v>
      </c>
      <c r="Z1284" s="101" t="s">
        <v>171</v>
      </c>
      <c r="AA1284" s="101" t="s">
        <v>50</v>
      </c>
      <c r="AB1284" s="101" t="s">
        <v>172</v>
      </c>
      <c r="AC1284" s="102" t="s">
        <v>173</v>
      </c>
    </row>
    <row r="1285" spans="1:29" ht="25.5" customHeight="1" x14ac:dyDescent="0.35">
      <c r="A1285" s="392"/>
      <c r="B1285" s="393"/>
      <c r="C1285" s="99" t="str">
        <f>IF(B1285="","",IF(NOT(ISNUMBER(B1285)),"DATA_PC invalida",IF(NOT(ISNUMBER(parametros!$C$2)),"Fora dos ciclos",IF(OR(B1285&lt;parametros!$C$2,(YEAR(B1285)-YEAR(parametros!$C$2))*12+MONTH(B1285)-MONTH(parametros!$C$2)&gt;59),"Fora dos ciclos","C"&amp;INT(((YEAR(B1285)-YEAR(parametros!$C$2))*12+MONTH(B1285)-MONTH(parametros!$C$2))/12)))))</f>
        <v/>
      </c>
      <c r="D1285" s="394"/>
      <c r="E1285" s="78" t="str">
        <f>IF(C1285="","",IFERROR(VLOOKUP(C1285,parametros!$A$11:$E$15,5,0),""))</f>
        <v/>
      </c>
      <c r="F1285" s="79" t="str">
        <f t="shared" si="102"/>
        <v/>
      </c>
      <c r="G1285" s="395"/>
      <c r="H1285" s="91">
        <f t="shared" si="103"/>
        <v>0</v>
      </c>
      <c r="I1285" s="91" t="str">
        <f t="shared" si="104"/>
        <v/>
      </c>
      <c r="J1285" s="91" t="str">
        <f t="shared" si="105"/>
        <v/>
      </c>
      <c r="K1285" s="92" t="str">
        <f>IF(AND(A1285="",B1285="",D1285="",G1285=""),"",IF(AND(A1285&lt;&gt;"",COUNTIF($A$2:$A$5001,A1285)&gt;1),"NUMERO_PC duplicado",IF(B1285="","DATA_PC vazia",IF(NOT(ISNUMBER(B1285)),"DATA_PC invalida",IF(OR(C1285="",C1285="Fora dos ciclos"),"CICLO_PC nao identificado",IF(OR(D1285="",D1285=0),"VALOR_PC vazio ou zero",IF(AND(G1285&lt;&gt;"Sim",G1285&lt;&gt;"Nao",G1285&lt;&gt;""),"PC_PAGO_A_CONTRATADA invalido",IF(AND(C1285&lt;&gt;"C0",IFERROR(INDEX(parametros!$A$2:$A$6,MATCH(C1285,parametros!$B$2:$B$6,0)),"")="Sim",IFERROR(INDEX(parametros!$H$2:$H$6,MATCH(C1285,parametros!$B$2:$B$6,0)),"")=""),"INICIO_EFEITO ausente: PC "&amp;A1285&amp;" - "&amp;C1285,IF(L1285="","EFEITO_PC nao calculado: PC "&amp;A1285&amp;" - "&amp;C1285,"OK")))))))))</f>
        <v/>
      </c>
      <c r="L1285" s="92" t="str">
        <f>IF(AND(A1285="",B1285="",D1285="",G1285=""),"",IF(OR(B1285="",NOT(ISNUMBER(B1285)),C1285="",C1285="Fora dos ciclos"),"",IF(C1285="C0","Nao",IF(IFERROR(INDEX(parametros!$A$2:$A$6,MATCH(C1285,parametros!$B$2:$B$6,0)),"")&lt;&gt;"Sim","Nao",IF(IFERROR(INDEX(parametros!$H$2:$H$6,MATCH(C1285,parametros!$B$2:$B$6,0)),"")="","",IF(B1285&gt;=IFERROR(INDEX(parametros!$H$2:$H$6,MATCH(C1285,parametros!$B$2:$B$6,0)),""),"Sim","Nao"))))))</f>
        <v/>
      </c>
      <c r="T1285" s="156"/>
      <c r="U1285" s="214" t="str">
        <f t="shared" si="106"/>
        <v/>
      </c>
      <c r="V1285" s="212" t="s">
        <v>50</v>
      </c>
      <c r="W1285" s="100" t="s">
        <v>168</v>
      </c>
      <c r="X1285" s="100" t="s">
        <v>169</v>
      </c>
      <c r="Y1285" s="101" t="s">
        <v>170</v>
      </c>
      <c r="Z1285" s="101" t="s">
        <v>171</v>
      </c>
      <c r="AA1285" s="101" t="s">
        <v>50</v>
      </c>
      <c r="AB1285" s="101" t="s">
        <v>172</v>
      </c>
      <c r="AC1285" s="102" t="s">
        <v>173</v>
      </c>
    </row>
    <row r="1286" spans="1:29" ht="25.5" customHeight="1" x14ac:dyDescent="0.35">
      <c r="A1286" s="392"/>
      <c r="B1286" s="393"/>
      <c r="C1286" s="99" t="str">
        <f>IF(B1286="","",IF(NOT(ISNUMBER(B1286)),"DATA_PC invalida",IF(NOT(ISNUMBER(parametros!$C$2)),"Fora dos ciclos",IF(OR(B1286&lt;parametros!$C$2,(YEAR(B1286)-YEAR(parametros!$C$2))*12+MONTH(B1286)-MONTH(parametros!$C$2)&gt;59),"Fora dos ciclos","C"&amp;INT(((YEAR(B1286)-YEAR(parametros!$C$2))*12+MONTH(B1286)-MONTH(parametros!$C$2))/12)))))</f>
        <v/>
      </c>
      <c r="D1286" s="394"/>
      <c r="E1286" s="78" t="str">
        <f>IF(C1286="","",IFERROR(VLOOKUP(C1286,parametros!$A$11:$E$15,5,0),""))</f>
        <v/>
      </c>
      <c r="F1286" s="79" t="str">
        <f t="shared" si="102"/>
        <v/>
      </c>
      <c r="G1286" s="395"/>
      <c r="H1286" s="91">
        <f t="shared" si="103"/>
        <v>0</v>
      </c>
      <c r="I1286" s="91" t="str">
        <f t="shared" si="104"/>
        <v/>
      </c>
      <c r="J1286" s="91" t="str">
        <f t="shared" si="105"/>
        <v/>
      </c>
      <c r="K1286" s="92" t="str">
        <f>IF(AND(A1286="",B1286="",D1286="",G1286=""),"",IF(AND(A1286&lt;&gt;"",COUNTIF($A$2:$A$5001,A1286)&gt;1),"NUMERO_PC duplicado",IF(B1286="","DATA_PC vazia",IF(NOT(ISNUMBER(B1286)),"DATA_PC invalida",IF(OR(C1286="",C1286="Fora dos ciclos"),"CICLO_PC nao identificado",IF(OR(D1286="",D1286=0),"VALOR_PC vazio ou zero",IF(AND(G1286&lt;&gt;"Sim",G1286&lt;&gt;"Nao",G1286&lt;&gt;""),"PC_PAGO_A_CONTRATADA invalido",IF(AND(C1286&lt;&gt;"C0",IFERROR(INDEX(parametros!$A$2:$A$6,MATCH(C1286,parametros!$B$2:$B$6,0)),"")="Sim",IFERROR(INDEX(parametros!$H$2:$H$6,MATCH(C1286,parametros!$B$2:$B$6,0)),"")=""),"INICIO_EFEITO ausente: PC "&amp;A1286&amp;" - "&amp;C1286,IF(L1286="","EFEITO_PC nao calculado: PC "&amp;A1286&amp;" - "&amp;C1286,"OK")))))))))</f>
        <v/>
      </c>
      <c r="L1286" s="92" t="str">
        <f>IF(AND(A1286="",B1286="",D1286="",G1286=""),"",IF(OR(B1286="",NOT(ISNUMBER(B1286)),C1286="",C1286="Fora dos ciclos"),"",IF(C1286="C0","Nao",IF(IFERROR(INDEX(parametros!$A$2:$A$6,MATCH(C1286,parametros!$B$2:$B$6,0)),"")&lt;&gt;"Sim","Nao",IF(IFERROR(INDEX(parametros!$H$2:$H$6,MATCH(C1286,parametros!$B$2:$B$6,0)),"")="","",IF(B1286&gt;=IFERROR(INDEX(parametros!$H$2:$H$6,MATCH(C1286,parametros!$B$2:$B$6,0)),""),"Sim","Nao"))))))</f>
        <v/>
      </c>
      <c r="T1286" s="156"/>
      <c r="U1286" s="214" t="str">
        <f t="shared" si="106"/>
        <v/>
      </c>
      <c r="V1286" s="212" t="s">
        <v>50</v>
      </c>
      <c r="W1286" s="100" t="s">
        <v>168</v>
      </c>
      <c r="X1286" s="100" t="s">
        <v>169</v>
      </c>
      <c r="Y1286" s="101" t="s">
        <v>170</v>
      </c>
      <c r="Z1286" s="101" t="s">
        <v>171</v>
      </c>
      <c r="AA1286" s="101" t="s">
        <v>50</v>
      </c>
      <c r="AB1286" s="101" t="s">
        <v>172</v>
      </c>
      <c r="AC1286" s="102" t="s">
        <v>173</v>
      </c>
    </row>
    <row r="1287" spans="1:29" ht="25.5" customHeight="1" x14ac:dyDescent="0.35">
      <c r="A1287" s="392"/>
      <c r="B1287" s="393"/>
      <c r="C1287" s="99" t="str">
        <f>IF(B1287="","",IF(NOT(ISNUMBER(B1287)),"DATA_PC invalida",IF(NOT(ISNUMBER(parametros!$C$2)),"Fora dos ciclos",IF(OR(B1287&lt;parametros!$C$2,(YEAR(B1287)-YEAR(parametros!$C$2))*12+MONTH(B1287)-MONTH(parametros!$C$2)&gt;59),"Fora dos ciclos","C"&amp;INT(((YEAR(B1287)-YEAR(parametros!$C$2))*12+MONTH(B1287)-MONTH(parametros!$C$2))/12)))))</f>
        <v/>
      </c>
      <c r="D1287" s="394"/>
      <c r="E1287" s="78" t="str">
        <f>IF(C1287="","",IFERROR(VLOOKUP(C1287,parametros!$A$11:$E$15,5,0),""))</f>
        <v/>
      </c>
      <c r="F1287" s="79" t="str">
        <f t="shared" si="102"/>
        <v/>
      </c>
      <c r="G1287" s="395"/>
      <c r="H1287" s="91">
        <f t="shared" si="103"/>
        <v>0</v>
      </c>
      <c r="I1287" s="91" t="str">
        <f t="shared" si="104"/>
        <v/>
      </c>
      <c r="J1287" s="91" t="str">
        <f t="shared" si="105"/>
        <v/>
      </c>
      <c r="K1287" s="92" t="str">
        <f>IF(AND(A1287="",B1287="",D1287="",G1287=""),"",IF(AND(A1287&lt;&gt;"",COUNTIF($A$2:$A$5001,A1287)&gt;1),"NUMERO_PC duplicado",IF(B1287="","DATA_PC vazia",IF(NOT(ISNUMBER(B1287)),"DATA_PC invalida",IF(OR(C1287="",C1287="Fora dos ciclos"),"CICLO_PC nao identificado",IF(OR(D1287="",D1287=0),"VALOR_PC vazio ou zero",IF(AND(G1287&lt;&gt;"Sim",G1287&lt;&gt;"Nao",G1287&lt;&gt;""),"PC_PAGO_A_CONTRATADA invalido",IF(AND(C1287&lt;&gt;"C0",IFERROR(INDEX(parametros!$A$2:$A$6,MATCH(C1287,parametros!$B$2:$B$6,0)),"")="Sim",IFERROR(INDEX(parametros!$H$2:$H$6,MATCH(C1287,parametros!$B$2:$B$6,0)),"")=""),"INICIO_EFEITO ausente: PC "&amp;A1287&amp;" - "&amp;C1287,IF(L1287="","EFEITO_PC nao calculado: PC "&amp;A1287&amp;" - "&amp;C1287,"OK")))))))))</f>
        <v/>
      </c>
      <c r="L1287" s="92" t="str">
        <f>IF(AND(A1287="",B1287="",D1287="",G1287=""),"",IF(OR(B1287="",NOT(ISNUMBER(B1287)),C1287="",C1287="Fora dos ciclos"),"",IF(C1287="C0","Nao",IF(IFERROR(INDEX(parametros!$A$2:$A$6,MATCH(C1287,parametros!$B$2:$B$6,0)),"")&lt;&gt;"Sim","Nao",IF(IFERROR(INDEX(parametros!$H$2:$H$6,MATCH(C1287,parametros!$B$2:$B$6,0)),"")="","",IF(B1287&gt;=IFERROR(INDEX(parametros!$H$2:$H$6,MATCH(C1287,parametros!$B$2:$B$6,0)),""),"Sim","Nao"))))))</f>
        <v/>
      </c>
      <c r="T1287" s="156"/>
      <c r="U1287" s="214" t="str">
        <f t="shared" si="106"/>
        <v/>
      </c>
      <c r="V1287" s="212" t="s">
        <v>50</v>
      </c>
      <c r="W1287" s="100" t="s">
        <v>168</v>
      </c>
      <c r="X1287" s="100" t="s">
        <v>169</v>
      </c>
      <c r="Y1287" s="101" t="s">
        <v>170</v>
      </c>
      <c r="Z1287" s="101" t="s">
        <v>171</v>
      </c>
      <c r="AA1287" s="101" t="s">
        <v>50</v>
      </c>
      <c r="AB1287" s="101" t="s">
        <v>172</v>
      </c>
      <c r="AC1287" s="102" t="s">
        <v>173</v>
      </c>
    </row>
    <row r="1288" spans="1:29" ht="25.5" customHeight="1" x14ac:dyDescent="0.35">
      <c r="A1288" s="392"/>
      <c r="B1288" s="393"/>
      <c r="C1288" s="99" t="str">
        <f>IF(B1288="","",IF(NOT(ISNUMBER(B1288)),"DATA_PC invalida",IF(NOT(ISNUMBER(parametros!$C$2)),"Fora dos ciclos",IF(OR(B1288&lt;parametros!$C$2,(YEAR(B1288)-YEAR(parametros!$C$2))*12+MONTH(B1288)-MONTH(parametros!$C$2)&gt;59),"Fora dos ciclos","C"&amp;INT(((YEAR(B1288)-YEAR(parametros!$C$2))*12+MONTH(B1288)-MONTH(parametros!$C$2))/12)))))</f>
        <v/>
      </c>
      <c r="D1288" s="394"/>
      <c r="E1288" s="78" t="str">
        <f>IF(C1288="","",IFERROR(VLOOKUP(C1288,parametros!$A$11:$E$15,5,0),""))</f>
        <v/>
      </c>
      <c r="F1288" s="79" t="str">
        <f t="shared" si="102"/>
        <v/>
      </c>
      <c r="G1288" s="395"/>
      <c r="H1288" s="91">
        <f t="shared" si="103"/>
        <v>0</v>
      </c>
      <c r="I1288" s="91" t="str">
        <f t="shared" si="104"/>
        <v/>
      </c>
      <c r="J1288" s="91" t="str">
        <f t="shared" si="105"/>
        <v/>
      </c>
      <c r="K1288" s="92" t="str">
        <f>IF(AND(A1288="",B1288="",D1288="",G1288=""),"",IF(AND(A1288&lt;&gt;"",COUNTIF($A$2:$A$5001,A1288)&gt;1),"NUMERO_PC duplicado",IF(B1288="","DATA_PC vazia",IF(NOT(ISNUMBER(B1288)),"DATA_PC invalida",IF(OR(C1288="",C1288="Fora dos ciclos"),"CICLO_PC nao identificado",IF(OR(D1288="",D1288=0),"VALOR_PC vazio ou zero",IF(AND(G1288&lt;&gt;"Sim",G1288&lt;&gt;"Nao",G1288&lt;&gt;""),"PC_PAGO_A_CONTRATADA invalido",IF(AND(C1288&lt;&gt;"C0",IFERROR(INDEX(parametros!$A$2:$A$6,MATCH(C1288,parametros!$B$2:$B$6,0)),"")="Sim",IFERROR(INDEX(parametros!$H$2:$H$6,MATCH(C1288,parametros!$B$2:$B$6,0)),"")=""),"INICIO_EFEITO ausente: PC "&amp;A1288&amp;" - "&amp;C1288,IF(L1288="","EFEITO_PC nao calculado: PC "&amp;A1288&amp;" - "&amp;C1288,"OK")))))))))</f>
        <v/>
      </c>
      <c r="L1288" s="92" t="str">
        <f>IF(AND(A1288="",B1288="",D1288="",G1288=""),"",IF(OR(B1288="",NOT(ISNUMBER(B1288)),C1288="",C1288="Fora dos ciclos"),"",IF(C1288="C0","Nao",IF(IFERROR(INDEX(parametros!$A$2:$A$6,MATCH(C1288,parametros!$B$2:$B$6,0)),"")&lt;&gt;"Sim","Nao",IF(IFERROR(INDEX(parametros!$H$2:$H$6,MATCH(C1288,parametros!$B$2:$B$6,0)),"")="","",IF(B1288&gt;=IFERROR(INDEX(parametros!$H$2:$H$6,MATCH(C1288,parametros!$B$2:$B$6,0)),""),"Sim","Nao"))))))</f>
        <v/>
      </c>
      <c r="T1288" s="156"/>
      <c r="U1288" s="214" t="str">
        <f t="shared" si="106"/>
        <v/>
      </c>
      <c r="V1288" s="212" t="s">
        <v>50</v>
      </c>
      <c r="W1288" s="100" t="s">
        <v>168</v>
      </c>
      <c r="X1288" s="100" t="s">
        <v>169</v>
      </c>
      <c r="Y1288" s="101" t="s">
        <v>170</v>
      </c>
      <c r="Z1288" s="101" t="s">
        <v>171</v>
      </c>
      <c r="AA1288" s="101" t="s">
        <v>50</v>
      </c>
      <c r="AB1288" s="101" t="s">
        <v>172</v>
      </c>
      <c r="AC1288" s="102" t="s">
        <v>173</v>
      </c>
    </row>
    <row r="1289" spans="1:29" ht="25.5" customHeight="1" x14ac:dyDescent="0.35">
      <c r="A1289" s="392"/>
      <c r="B1289" s="393"/>
      <c r="C1289" s="99" t="str">
        <f>IF(B1289="","",IF(NOT(ISNUMBER(B1289)),"DATA_PC invalida",IF(NOT(ISNUMBER(parametros!$C$2)),"Fora dos ciclos",IF(OR(B1289&lt;parametros!$C$2,(YEAR(B1289)-YEAR(parametros!$C$2))*12+MONTH(B1289)-MONTH(parametros!$C$2)&gt;59),"Fora dos ciclos","C"&amp;INT(((YEAR(B1289)-YEAR(parametros!$C$2))*12+MONTH(B1289)-MONTH(parametros!$C$2))/12)))))</f>
        <v/>
      </c>
      <c r="D1289" s="394"/>
      <c r="E1289" s="78" t="str">
        <f>IF(C1289="","",IFERROR(VLOOKUP(C1289,parametros!$A$11:$E$15,5,0),""))</f>
        <v/>
      </c>
      <c r="F1289" s="79" t="str">
        <f t="shared" si="102"/>
        <v/>
      </c>
      <c r="G1289" s="395"/>
      <c r="H1289" s="91">
        <f t="shared" si="103"/>
        <v>0</v>
      </c>
      <c r="I1289" s="91" t="str">
        <f t="shared" si="104"/>
        <v/>
      </c>
      <c r="J1289" s="91" t="str">
        <f t="shared" si="105"/>
        <v/>
      </c>
      <c r="K1289" s="92" t="str">
        <f>IF(AND(A1289="",B1289="",D1289="",G1289=""),"",IF(AND(A1289&lt;&gt;"",COUNTIF($A$2:$A$5001,A1289)&gt;1),"NUMERO_PC duplicado",IF(B1289="","DATA_PC vazia",IF(NOT(ISNUMBER(B1289)),"DATA_PC invalida",IF(OR(C1289="",C1289="Fora dos ciclos"),"CICLO_PC nao identificado",IF(OR(D1289="",D1289=0),"VALOR_PC vazio ou zero",IF(AND(G1289&lt;&gt;"Sim",G1289&lt;&gt;"Nao",G1289&lt;&gt;""),"PC_PAGO_A_CONTRATADA invalido",IF(AND(C1289&lt;&gt;"C0",IFERROR(INDEX(parametros!$A$2:$A$6,MATCH(C1289,parametros!$B$2:$B$6,0)),"")="Sim",IFERROR(INDEX(parametros!$H$2:$H$6,MATCH(C1289,parametros!$B$2:$B$6,0)),"")=""),"INICIO_EFEITO ausente: PC "&amp;A1289&amp;" - "&amp;C1289,IF(L1289="","EFEITO_PC nao calculado: PC "&amp;A1289&amp;" - "&amp;C1289,"OK")))))))))</f>
        <v/>
      </c>
      <c r="L1289" s="92" t="str">
        <f>IF(AND(A1289="",B1289="",D1289="",G1289=""),"",IF(OR(B1289="",NOT(ISNUMBER(B1289)),C1289="",C1289="Fora dos ciclos"),"",IF(C1289="C0","Nao",IF(IFERROR(INDEX(parametros!$A$2:$A$6,MATCH(C1289,parametros!$B$2:$B$6,0)),"")&lt;&gt;"Sim","Nao",IF(IFERROR(INDEX(parametros!$H$2:$H$6,MATCH(C1289,parametros!$B$2:$B$6,0)),"")="","",IF(B1289&gt;=IFERROR(INDEX(parametros!$H$2:$H$6,MATCH(C1289,parametros!$B$2:$B$6,0)),""),"Sim","Nao"))))))</f>
        <v/>
      </c>
      <c r="T1289" s="156"/>
      <c r="U1289" s="214" t="str">
        <f t="shared" si="106"/>
        <v/>
      </c>
      <c r="V1289" s="212" t="s">
        <v>50</v>
      </c>
      <c r="W1289" s="100" t="s">
        <v>168</v>
      </c>
      <c r="X1289" s="100" t="s">
        <v>169</v>
      </c>
      <c r="Y1289" s="101" t="s">
        <v>170</v>
      </c>
      <c r="Z1289" s="101" t="s">
        <v>171</v>
      </c>
      <c r="AA1289" s="101" t="s">
        <v>50</v>
      </c>
      <c r="AB1289" s="101" t="s">
        <v>172</v>
      </c>
      <c r="AC1289" s="102" t="s">
        <v>173</v>
      </c>
    </row>
    <row r="1290" spans="1:29" ht="25.5" customHeight="1" x14ac:dyDescent="0.35">
      <c r="A1290" s="392"/>
      <c r="B1290" s="393"/>
      <c r="C1290" s="99" t="str">
        <f>IF(B1290="","",IF(NOT(ISNUMBER(B1290)),"DATA_PC invalida",IF(NOT(ISNUMBER(parametros!$C$2)),"Fora dos ciclos",IF(OR(B1290&lt;parametros!$C$2,(YEAR(B1290)-YEAR(parametros!$C$2))*12+MONTH(B1290)-MONTH(parametros!$C$2)&gt;59),"Fora dos ciclos","C"&amp;INT(((YEAR(B1290)-YEAR(parametros!$C$2))*12+MONTH(B1290)-MONTH(parametros!$C$2))/12)))))</f>
        <v/>
      </c>
      <c r="D1290" s="394"/>
      <c r="E1290" s="78" t="str">
        <f>IF(C1290="","",IFERROR(VLOOKUP(C1290,parametros!$A$11:$E$15,5,0),""))</f>
        <v/>
      </c>
      <c r="F1290" s="79" t="str">
        <f t="shared" si="102"/>
        <v/>
      </c>
      <c r="G1290" s="395"/>
      <c r="H1290" s="91">
        <f t="shared" si="103"/>
        <v>0</v>
      </c>
      <c r="I1290" s="91" t="str">
        <f t="shared" si="104"/>
        <v/>
      </c>
      <c r="J1290" s="91" t="str">
        <f t="shared" si="105"/>
        <v/>
      </c>
      <c r="K1290" s="92" t="str">
        <f>IF(AND(A1290="",B1290="",D1290="",G1290=""),"",IF(AND(A1290&lt;&gt;"",COUNTIF($A$2:$A$5001,A1290)&gt;1),"NUMERO_PC duplicado",IF(B1290="","DATA_PC vazia",IF(NOT(ISNUMBER(B1290)),"DATA_PC invalida",IF(OR(C1290="",C1290="Fora dos ciclos"),"CICLO_PC nao identificado",IF(OR(D1290="",D1290=0),"VALOR_PC vazio ou zero",IF(AND(G1290&lt;&gt;"Sim",G1290&lt;&gt;"Nao",G1290&lt;&gt;""),"PC_PAGO_A_CONTRATADA invalido",IF(AND(C1290&lt;&gt;"C0",IFERROR(INDEX(parametros!$A$2:$A$6,MATCH(C1290,parametros!$B$2:$B$6,0)),"")="Sim",IFERROR(INDEX(parametros!$H$2:$H$6,MATCH(C1290,parametros!$B$2:$B$6,0)),"")=""),"INICIO_EFEITO ausente: PC "&amp;A1290&amp;" - "&amp;C1290,IF(L1290="","EFEITO_PC nao calculado: PC "&amp;A1290&amp;" - "&amp;C1290,"OK")))))))))</f>
        <v/>
      </c>
      <c r="L1290" s="92" t="str">
        <f>IF(AND(A1290="",B1290="",D1290="",G1290=""),"",IF(OR(B1290="",NOT(ISNUMBER(B1290)),C1290="",C1290="Fora dos ciclos"),"",IF(C1290="C0","Nao",IF(IFERROR(INDEX(parametros!$A$2:$A$6,MATCH(C1290,parametros!$B$2:$B$6,0)),"")&lt;&gt;"Sim","Nao",IF(IFERROR(INDEX(parametros!$H$2:$H$6,MATCH(C1290,parametros!$B$2:$B$6,0)),"")="","",IF(B1290&gt;=IFERROR(INDEX(parametros!$H$2:$H$6,MATCH(C1290,parametros!$B$2:$B$6,0)),""),"Sim","Nao"))))))</f>
        <v/>
      </c>
      <c r="T1290" s="156"/>
      <c r="U1290" s="214" t="str">
        <f t="shared" si="106"/>
        <v/>
      </c>
      <c r="V1290" s="212" t="s">
        <v>50</v>
      </c>
      <c r="W1290" s="100" t="s">
        <v>168</v>
      </c>
      <c r="X1290" s="100" t="s">
        <v>169</v>
      </c>
      <c r="Y1290" s="101" t="s">
        <v>170</v>
      </c>
      <c r="Z1290" s="101" t="s">
        <v>171</v>
      </c>
      <c r="AA1290" s="101" t="s">
        <v>50</v>
      </c>
      <c r="AB1290" s="101" t="s">
        <v>172</v>
      </c>
      <c r="AC1290" s="102" t="s">
        <v>173</v>
      </c>
    </row>
    <row r="1291" spans="1:29" ht="25.5" customHeight="1" x14ac:dyDescent="0.35">
      <c r="A1291" s="392"/>
      <c r="B1291" s="393"/>
      <c r="C1291" s="99" t="str">
        <f>IF(B1291="","",IF(NOT(ISNUMBER(B1291)),"DATA_PC invalida",IF(NOT(ISNUMBER(parametros!$C$2)),"Fora dos ciclos",IF(OR(B1291&lt;parametros!$C$2,(YEAR(B1291)-YEAR(parametros!$C$2))*12+MONTH(B1291)-MONTH(parametros!$C$2)&gt;59),"Fora dos ciclos","C"&amp;INT(((YEAR(B1291)-YEAR(parametros!$C$2))*12+MONTH(B1291)-MONTH(parametros!$C$2))/12)))))</f>
        <v/>
      </c>
      <c r="D1291" s="394"/>
      <c r="E1291" s="78" t="str">
        <f>IF(C1291="","",IFERROR(VLOOKUP(C1291,parametros!$A$11:$E$15,5,0),""))</f>
        <v/>
      </c>
      <c r="F1291" s="79" t="str">
        <f t="shared" si="102"/>
        <v/>
      </c>
      <c r="G1291" s="395"/>
      <c r="H1291" s="91">
        <f t="shared" si="103"/>
        <v>0</v>
      </c>
      <c r="I1291" s="91" t="str">
        <f t="shared" si="104"/>
        <v/>
      </c>
      <c r="J1291" s="91" t="str">
        <f t="shared" si="105"/>
        <v/>
      </c>
      <c r="K1291" s="92" t="str">
        <f>IF(AND(A1291="",B1291="",D1291="",G1291=""),"",IF(AND(A1291&lt;&gt;"",COUNTIF($A$2:$A$5001,A1291)&gt;1),"NUMERO_PC duplicado",IF(B1291="","DATA_PC vazia",IF(NOT(ISNUMBER(B1291)),"DATA_PC invalida",IF(OR(C1291="",C1291="Fora dos ciclos"),"CICLO_PC nao identificado",IF(OR(D1291="",D1291=0),"VALOR_PC vazio ou zero",IF(AND(G1291&lt;&gt;"Sim",G1291&lt;&gt;"Nao",G1291&lt;&gt;""),"PC_PAGO_A_CONTRATADA invalido",IF(AND(C1291&lt;&gt;"C0",IFERROR(INDEX(parametros!$A$2:$A$6,MATCH(C1291,parametros!$B$2:$B$6,0)),"")="Sim",IFERROR(INDEX(parametros!$H$2:$H$6,MATCH(C1291,parametros!$B$2:$B$6,0)),"")=""),"INICIO_EFEITO ausente: PC "&amp;A1291&amp;" - "&amp;C1291,IF(L1291="","EFEITO_PC nao calculado: PC "&amp;A1291&amp;" - "&amp;C1291,"OK")))))))))</f>
        <v/>
      </c>
      <c r="L1291" s="92" t="str">
        <f>IF(AND(A1291="",B1291="",D1291="",G1291=""),"",IF(OR(B1291="",NOT(ISNUMBER(B1291)),C1291="",C1291="Fora dos ciclos"),"",IF(C1291="C0","Nao",IF(IFERROR(INDEX(parametros!$A$2:$A$6,MATCH(C1291,parametros!$B$2:$B$6,0)),"")&lt;&gt;"Sim","Nao",IF(IFERROR(INDEX(parametros!$H$2:$H$6,MATCH(C1291,parametros!$B$2:$B$6,0)),"")="","",IF(B1291&gt;=IFERROR(INDEX(parametros!$H$2:$H$6,MATCH(C1291,parametros!$B$2:$B$6,0)),""),"Sim","Nao"))))))</f>
        <v/>
      </c>
      <c r="T1291" s="156"/>
      <c r="U1291" s="214" t="str">
        <f t="shared" si="106"/>
        <v/>
      </c>
      <c r="V1291" s="212" t="s">
        <v>50</v>
      </c>
      <c r="W1291" s="100" t="s">
        <v>168</v>
      </c>
      <c r="X1291" s="100" t="s">
        <v>169</v>
      </c>
      <c r="Y1291" s="101" t="s">
        <v>170</v>
      </c>
      <c r="Z1291" s="101" t="s">
        <v>171</v>
      </c>
      <c r="AA1291" s="101" t="s">
        <v>50</v>
      </c>
      <c r="AB1291" s="101" t="s">
        <v>172</v>
      </c>
      <c r="AC1291" s="102" t="s">
        <v>173</v>
      </c>
    </row>
    <row r="1292" spans="1:29" ht="25.5" customHeight="1" x14ac:dyDescent="0.35">
      <c r="A1292" s="392"/>
      <c r="B1292" s="393"/>
      <c r="C1292" s="99" t="str">
        <f>IF(B1292="","",IF(NOT(ISNUMBER(B1292)),"DATA_PC invalida",IF(NOT(ISNUMBER(parametros!$C$2)),"Fora dos ciclos",IF(OR(B1292&lt;parametros!$C$2,(YEAR(B1292)-YEAR(parametros!$C$2))*12+MONTH(B1292)-MONTH(parametros!$C$2)&gt;59),"Fora dos ciclos","C"&amp;INT(((YEAR(B1292)-YEAR(parametros!$C$2))*12+MONTH(B1292)-MONTH(parametros!$C$2))/12)))))</f>
        <v/>
      </c>
      <c r="D1292" s="394"/>
      <c r="E1292" s="78" t="str">
        <f>IF(C1292="","",IFERROR(VLOOKUP(C1292,parametros!$A$11:$E$15,5,0),""))</f>
        <v/>
      </c>
      <c r="F1292" s="79" t="str">
        <f t="shared" si="102"/>
        <v/>
      </c>
      <c r="G1292" s="395"/>
      <c r="H1292" s="91">
        <f t="shared" si="103"/>
        <v>0</v>
      </c>
      <c r="I1292" s="91" t="str">
        <f t="shared" si="104"/>
        <v/>
      </c>
      <c r="J1292" s="91" t="str">
        <f t="shared" si="105"/>
        <v/>
      </c>
      <c r="K1292" s="92" t="str">
        <f>IF(AND(A1292="",B1292="",D1292="",G1292=""),"",IF(AND(A1292&lt;&gt;"",COUNTIF($A$2:$A$5001,A1292)&gt;1),"NUMERO_PC duplicado",IF(B1292="","DATA_PC vazia",IF(NOT(ISNUMBER(B1292)),"DATA_PC invalida",IF(OR(C1292="",C1292="Fora dos ciclos"),"CICLO_PC nao identificado",IF(OR(D1292="",D1292=0),"VALOR_PC vazio ou zero",IF(AND(G1292&lt;&gt;"Sim",G1292&lt;&gt;"Nao",G1292&lt;&gt;""),"PC_PAGO_A_CONTRATADA invalido",IF(AND(C1292&lt;&gt;"C0",IFERROR(INDEX(parametros!$A$2:$A$6,MATCH(C1292,parametros!$B$2:$B$6,0)),"")="Sim",IFERROR(INDEX(parametros!$H$2:$H$6,MATCH(C1292,parametros!$B$2:$B$6,0)),"")=""),"INICIO_EFEITO ausente: PC "&amp;A1292&amp;" - "&amp;C1292,IF(L1292="","EFEITO_PC nao calculado: PC "&amp;A1292&amp;" - "&amp;C1292,"OK")))))))))</f>
        <v/>
      </c>
      <c r="L1292" s="92" t="str">
        <f>IF(AND(A1292="",B1292="",D1292="",G1292=""),"",IF(OR(B1292="",NOT(ISNUMBER(B1292)),C1292="",C1292="Fora dos ciclos"),"",IF(C1292="C0","Nao",IF(IFERROR(INDEX(parametros!$A$2:$A$6,MATCH(C1292,parametros!$B$2:$B$6,0)),"")&lt;&gt;"Sim","Nao",IF(IFERROR(INDEX(parametros!$H$2:$H$6,MATCH(C1292,parametros!$B$2:$B$6,0)),"")="","",IF(B1292&gt;=IFERROR(INDEX(parametros!$H$2:$H$6,MATCH(C1292,parametros!$B$2:$B$6,0)),""),"Sim","Nao"))))))</f>
        <v/>
      </c>
      <c r="T1292" s="156"/>
      <c r="U1292" s="214" t="str">
        <f t="shared" si="106"/>
        <v/>
      </c>
      <c r="V1292" s="212" t="s">
        <v>50</v>
      </c>
      <c r="W1292" s="100" t="s">
        <v>168</v>
      </c>
      <c r="X1292" s="100" t="s">
        <v>169</v>
      </c>
      <c r="Y1292" s="101" t="s">
        <v>170</v>
      </c>
      <c r="Z1292" s="101" t="s">
        <v>171</v>
      </c>
      <c r="AA1292" s="101" t="s">
        <v>50</v>
      </c>
      <c r="AB1292" s="101" t="s">
        <v>172</v>
      </c>
      <c r="AC1292" s="102" t="s">
        <v>173</v>
      </c>
    </row>
    <row r="1293" spans="1:29" ht="25.5" customHeight="1" x14ac:dyDescent="0.35">
      <c r="A1293" s="392"/>
      <c r="B1293" s="393"/>
      <c r="C1293" s="99" t="str">
        <f>IF(B1293="","",IF(NOT(ISNUMBER(B1293)),"DATA_PC invalida",IF(NOT(ISNUMBER(parametros!$C$2)),"Fora dos ciclos",IF(OR(B1293&lt;parametros!$C$2,(YEAR(B1293)-YEAR(parametros!$C$2))*12+MONTH(B1293)-MONTH(parametros!$C$2)&gt;59),"Fora dos ciclos","C"&amp;INT(((YEAR(B1293)-YEAR(parametros!$C$2))*12+MONTH(B1293)-MONTH(parametros!$C$2))/12)))))</f>
        <v/>
      </c>
      <c r="D1293" s="394"/>
      <c r="E1293" s="78" t="str">
        <f>IF(C1293="","",IFERROR(VLOOKUP(C1293,parametros!$A$11:$E$15,5,0),""))</f>
        <v/>
      </c>
      <c r="F1293" s="79" t="str">
        <f t="shared" si="102"/>
        <v/>
      </c>
      <c r="G1293" s="395"/>
      <c r="H1293" s="91">
        <f t="shared" si="103"/>
        <v>0</v>
      </c>
      <c r="I1293" s="91" t="str">
        <f t="shared" si="104"/>
        <v/>
      </c>
      <c r="J1293" s="91" t="str">
        <f t="shared" si="105"/>
        <v/>
      </c>
      <c r="K1293" s="92" t="str">
        <f>IF(AND(A1293="",B1293="",D1293="",G1293=""),"",IF(AND(A1293&lt;&gt;"",COUNTIF($A$2:$A$5001,A1293)&gt;1),"NUMERO_PC duplicado",IF(B1293="","DATA_PC vazia",IF(NOT(ISNUMBER(B1293)),"DATA_PC invalida",IF(OR(C1293="",C1293="Fora dos ciclos"),"CICLO_PC nao identificado",IF(OR(D1293="",D1293=0),"VALOR_PC vazio ou zero",IF(AND(G1293&lt;&gt;"Sim",G1293&lt;&gt;"Nao",G1293&lt;&gt;""),"PC_PAGO_A_CONTRATADA invalido",IF(AND(C1293&lt;&gt;"C0",IFERROR(INDEX(parametros!$A$2:$A$6,MATCH(C1293,parametros!$B$2:$B$6,0)),"")="Sim",IFERROR(INDEX(parametros!$H$2:$H$6,MATCH(C1293,parametros!$B$2:$B$6,0)),"")=""),"INICIO_EFEITO ausente: PC "&amp;A1293&amp;" - "&amp;C1293,IF(L1293="","EFEITO_PC nao calculado: PC "&amp;A1293&amp;" - "&amp;C1293,"OK")))))))))</f>
        <v/>
      </c>
      <c r="L1293" s="92" t="str">
        <f>IF(AND(A1293="",B1293="",D1293="",G1293=""),"",IF(OR(B1293="",NOT(ISNUMBER(B1293)),C1293="",C1293="Fora dos ciclos"),"",IF(C1293="C0","Nao",IF(IFERROR(INDEX(parametros!$A$2:$A$6,MATCH(C1293,parametros!$B$2:$B$6,0)),"")&lt;&gt;"Sim","Nao",IF(IFERROR(INDEX(parametros!$H$2:$H$6,MATCH(C1293,parametros!$B$2:$B$6,0)),"")="","",IF(B1293&gt;=IFERROR(INDEX(parametros!$H$2:$H$6,MATCH(C1293,parametros!$B$2:$B$6,0)),""),"Sim","Nao"))))))</f>
        <v/>
      </c>
      <c r="T1293" s="156"/>
      <c r="U1293" s="214" t="str">
        <f t="shared" si="106"/>
        <v/>
      </c>
      <c r="V1293" s="212" t="s">
        <v>50</v>
      </c>
      <c r="W1293" s="100" t="s">
        <v>168</v>
      </c>
      <c r="X1293" s="100" t="s">
        <v>169</v>
      </c>
      <c r="Y1293" s="101" t="s">
        <v>170</v>
      </c>
      <c r="Z1293" s="101" t="s">
        <v>171</v>
      </c>
      <c r="AA1293" s="101" t="s">
        <v>50</v>
      </c>
      <c r="AB1293" s="101" t="s">
        <v>172</v>
      </c>
      <c r="AC1293" s="102" t="s">
        <v>173</v>
      </c>
    </row>
    <row r="1294" spans="1:29" ht="25.5" customHeight="1" x14ac:dyDescent="0.35">
      <c r="A1294" s="392"/>
      <c r="B1294" s="393"/>
      <c r="C1294" s="99" t="str">
        <f>IF(B1294="","",IF(NOT(ISNUMBER(B1294)),"DATA_PC invalida",IF(NOT(ISNUMBER(parametros!$C$2)),"Fora dos ciclos",IF(OR(B1294&lt;parametros!$C$2,(YEAR(B1294)-YEAR(parametros!$C$2))*12+MONTH(B1294)-MONTH(parametros!$C$2)&gt;59),"Fora dos ciclos","C"&amp;INT(((YEAR(B1294)-YEAR(parametros!$C$2))*12+MONTH(B1294)-MONTH(parametros!$C$2))/12)))))</f>
        <v/>
      </c>
      <c r="D1294" s="394"/>
      <c r="E1294" s="78" t="str">
        <f>IF(C1294="","",IFERROR(VLOOKUP(C1294,parametros!$A$11:$E$15,5,0),""))</f>
        <v/>
      </c>
      <c r="F1294" s="79" t="str">
        <f t="shared" si="102"/>
        <v/>
      </c>
      <c r="G1294" s="395"/>
      <c r="H1294" s="91">
        <f t="shared" si="103"/>
        <v>0</v>
      </c>
      <c r="I1294" s="91" t="str">
        <f t="shared" si="104"/>
        <v/>
      </c>
      <c r="J1294" s="91" t="str">
        <f t="shared" si="105"/>
        <v/>
      </c>
      <c r="K1294" s="92" t="str">
        <f>IF(AND(A1294="",B1294="",D1294="",G1294=""),"",IF(AND(A1294&lt;&gt;"",COUNTIF($A$2:$A$5001,A1294)&gt;1),"NUMERO_PC duplicado",IF(B1294="","DATA_PC vazia",IF(NOT(ISNUMBER(B1294)),"DATA_PC invalida",IF(OR(C1294="",C1294="Fora dos ciclos"),"CICLO_PC nao identificado",IF(OR(D1294="",D1294=0),"VALOR_PC vazio ou zero",IF(AND(G1294&lt;&gt;"Sim",G1294&lt;&gt;"Nao",G1294&lt;&gt;""),"PC_PAGO_A_CONTRATADA invalido",IF(AND(C1294&lt;&gt;"C0",IFERROR(INDEX(parametros!$A$2:$A$6,MATCH(C1294,parametros!$B$2:$B$6,0)),"")="Sim",IFERROR(INDEX(parametros!$H$2:$H$6,MATCH(C1294,parametros!$B$2:$B$6,0)),"")=""),"INICIO_EFEITO ausente: PC "&amp;A1294&amp;" - "&amp;C1294,IF(L1294="","EFEITO_PC nao calculado: PC "&amp;A1294&amp;" - "&amp;C1294,"OK")))))))))</f>
        <v/>
      </c>
      <c r="L1294" s="92" t="str">
        <f>IF(AND(A1294="",B1294="",D1294="",G1294=""),"",IF(OR(B1294="",NOT(ISNUMBER(B1294)),C1294="",C1294="Fora dos ciclos"),"",IF(C1294="C0","Nao",IF(IFERROR(INDEX(parametros!$A$2:$A$6,MATCH(C1294,parametros!$B$2:$B$6,0)),"")&lt;&gt;"Sim","Nao",IF(IFERROR(INDEX(parametros!$H$2:$H$6,MATCH(C1294,parametros!$B$2:$B$6,0)),"")="","",IF(B1294&gt;=IFERROR(INDEX(parametros!$H$2:$H$6,MATCH(C1294,parametros!$B$2:$B$6,0)),""),"Sim","Nao"))))))</f>
        <v/>
      </c>
      <c r="T1294" s="156"/>
      <c r="U1294" s="214" t="str">
        <f t="shared" si="106"/>
        <v/>
      </c>
      <c r="V1294" s="212" t="s">
        <v>50</v>
      </c>
      <c r="W1294" s="100" t="s">
        <v>168</v>
      </c>
      <c r="X1294" s="100" t="s">
        <v>169</v>
      </c>
      <c r="Y1294" s="101" t="s">
        <v>170</v>
      </c>
      <c r="Z1294" s="101" t="s">
        <v>171</v>
      </c>
      <c r="AA1294" s="101" t="s">
        <v>50</v>
      </c>
      <c r="AB1294" s="101" t="s">
        <v>172</v>
      </c>
      <c r="AC1294" s="102" t="s">
        <v>173</v>
      </c>
    </row>
    <row r="1295" spans="1:29" ht="25.5" customHeight="1" x14ac:dyDescent="0.35">
      <c r="A1295" s="392"/>
      <c r="B1295" s="393"/>
      <c r="C1295" s="99" t="str">
        <f>IF(B1295="","",IF(NOT(ISNUMBER(B1295)),"DATA_PC invalida",IF(NOT(ISNUMBER(parametros!$C$2)),"Fora dos ciclos",IF(OR(B1295&lt;parametros!$C$2,(YEAR(B1295)-YEAR(parametros!$C$2))*12+MONTH(B1295)-MONTH(parametros!$C$2)&gt;59),"Fora dos ciclos","C"&amp;INT(((YEAR(B1295)-YEAR(parametros!$C$2))*12+MONTH(B1295)-MONTH(parametros!$C$2))/12)))))</f>
        <v/>
      </c>
      <c r="D1295" s="394"/>
      <c r="E1295" s="78" t="str">
        <f>IF(C1295="","",IFERROR(VLOOKUP(C1295,parametros!$A$11:$E$15,5,0),""))</f>
        <v/>
      </c>
      <c r="F1295" s="79" t="str">
        <f t="shared" si="102"/>
        <v/>
      </c>
      <c r="G1295" s="395"/>
      <c r="H1295" s="91">
        <f t="shared" si="103"/>
        <v>0</v>
      </c>
      <c r="I1295" s="91" t="str">
        <f t="shared" si="104"/>
        <v/>
      </c>
      <c r="J1295" s="91" t="str">
        <f t="shared" si="105"/>
        <v/>
      </c>
      <c r="K1295" s="92" t="str">
        <f>IF(AND(A1295="",B1295="",D1295="",G1295=""),"",IF(AND(A1295&lt;&gt;"",COUNTIF($A$2:$A$5001,A1295)&gt;1),"NUMERO_PC duplicado",IF(B1295="","DATA_PC vazia",IF(NOT(ISNUMBER(B1295)),"DATA_PC invalida",IF(OR(C1295="",C1295="Fora dos ciclos"),"CICLO_PC nao identificado",IF(OR(D1295="",D1295=0),"VALOR_PC vazio ou zero",IF(AND(G1295&lt;&gt;"Sim",G1295&lt;&gt;"Nao",G1295&lt;&gt;""),"PC_PAGO_A_CONTRATADA invalido",IF(AND(C1295&lt;&gt;"C0",IFERROR(INDEX(parametros!$A$2:$A$6,MATCH(C1295,parametros!$B$2:$B$6,0)),"")="Sim",IFERROR(INDEX(parametros!$H$2:$H$6,MATCH(C1295,parametros!$B$2:$B$6,0)),"")=""),"INICIO_EFEITO ausente: PC "&amp;A1295&amp;" - "&amp;C1295,IF(L1295="","EFEITO_PC nao calculado: PC "&amp;A1295&amp;" - "&amp;C1295,"OK")))))))))</f>
        <v/>
      </c>
      <c r="L1295" s="92" t="str">
        <f>IF(AND(A1295="",B1295="",D1295="",G1295=""),"",IF(OR(B1295="",NOT(ISNUMBER(B1295)),C1295="",C1295="Fora dos ciclos"),"",IF(C1295="C0","Nao",IF(IFERROR(INDEX(parametros!$A$2:$A$6,MATCH(C1295,parametros!$B$2:$B$6,0)),"")&lt;&gt;"Sim","Nao",IF(IFERROR(INDEX(parametros!$H$2:$H$6,MATCH(C1295,parametros!$B$2:$B$6,0)),"")="","",IF(B1295&gt;=IFERROR(INDEX(parametros!$H$2:$H$6,MATCH(C1295,parametros!$B$2:$B$6,0)),""),"Sim","Nao"))))))</f>
        <v/>
      </c>
      <c r="T1295" s="156"/>
      <c r="U1295" s="214" t="str">
        <f t="shared" si="106"/>
        <v/>
      </c>
      <c r="V1295" s="212" t="s">
        <v>50</v>
      </c>
      <c r="W1295" s="100" t="s">
        <v>168</v>
      </c>
      <c r="X1295" s="100" t="s">
        <v>169</v>
      </c>
      <c r="Y1295" s="101" t="s">
        <v>170</v>
      </c>
      <c r="Z1295" s="101" t="s">
        <v>171</v>
      </c>
      <c r="AA1295" s="101" t="s">
        <v>50</v>
      </c>
      <c r="AB1295" s="101" t="s">
        <v>172</v>
      </c>
      <c r="AC1295" s="102" t="s">
        <v>173</v>
      </c>
    </row>
    <row r="1296" spans="1:29" ht="25.5" customHeight="1" x14ac:dyDescent="0.35">
      <c r="A1296" s="392"/>
      <c r="B1296" s="393"/>
      <c r="C1296" s="99" t="str">
        <f>IF(B1296="","",IF(NOT(ISNUMBER(B1296)),"DATA_PC invalida",IF(NOT(ISNUMBER(parametros!$C$2)),"Fora dos ciclos",IF(OR(B1296&lt;parametros!$C$2,(YEAR(B1296)-YEAR(parametros!$C$2))*12+MONTH(B1296)-MONTH(parametros!$C$2)&gt;59),"Fora dos ciclos","C"&amp;INT(((YEAR(B1296)-YEAR(parametros!$C$2))*12+MONTH(B1296)-MONTH(parametros!$C$2))/12)))))</f>
        <v/>
      </c>
      <c r="D1296" s="394"/>
      <c r="E1296" s="78" t="str">
        <f>IF(C1296="","",IFERROR(VLOOKUP(C1296,parametros!$A$11:$E$15,5,0),""))</f>
        <v/>
      </c>
      <c r="F1296" s="79" t="str">
        <f t="shared" si="102"/>
        <v/>
      </c>
      <c r="G1296" s="395"/>
      <c r="H1296" s="91">
        <f t="shared" si="103"/>
        <v>0</v>
      </c>
      <c r="I1296" s="91" t="str">
        <f t="shared" si="104"/>
        <v/>
      </c>
      <c r="J1296" s="91" t="str">
        <f t="shared" si="105"/>
        <v/>
      </c>
      <c r="K1296" s="92" t="str">
        <f>IF(AND(A1296="",B1296="",D1296="",G1296=""),"",IF(AND(A1296&lt;&gt;"",COUNTIF($A$2:$A$5001,A1296)&gt;1),"NUMERO_PC duplicado",IF(B1296="","DATA_PC vazia",IF(NOT(ISNUMBER(B1296)),"DATA_PC invalida",IF(OR(C1296="",C1296="Fora dos ciclos"),"CICLO_PC nao identificado",IF(OR(D1296="",D1296=0),"VALOR_PC vazio ou zero",IF(AND(G1296&lt;&gt;"Sim",G1296&lt;&gt;"Nao",G1296&lt;&gt;""),"PC_PAGO_A_CONTRATADA invalido",IF(AND(C1296&lt;&gt;"C0",IFERROR(INDEX(parametros!$A$2:$A$6,MATCH(C1296,parametros!$B$2:$B$6,0)),"")="Sim",IFERROR(INDEX(parametros!$H$2:$H$6,MATCH(C1296,parametros!$B$2:$B$6,0)),"")=""),"INICIO_EFEITO ausente: PC "&amp;A1296&amp;" - "&amp;C1296,IF(L1296="","EFEITO_PC nao calculado: PC "&amp;A1296&amp;" - "&amp;C1296,"OK")))))))))</f>
        <v/>
      </c>
      <c r="L1296" s="92" t="str">
        <f>IF(AND(A1296="",B1296="",D1296="",G1296=""),"",IF(OR(B1296="",NOT(ISNUMBER(B1296)),C1296="",C1296="Fora dos ciclos"),"",IF(C1296="C0","Nao",IF(IFERROR(INDEX(parametros!$A$2:$A$6,MATCH(C1296,parametros!$B$2:$B$6,0)),"")&lt;&gt;"Sim","Nao",IF(IFERROR(INDEX(parametros!$H$2:$H$6,MATCH(C1296,parametros!$B$2:$B$6,0)),"")="","",IF(B1296&gt;=IFERROR(INDEX(parametros!$H$2:$H$6,MATCH(C1296,parametros!$B$2:$B$6,0)),""),"Sim","Nao"))))))</f>
        <v/>
      </c>
      <c r="T1296" s="156"/>
      <c r="U1296" s="214" t="str">
        <f t="shared" si="106"/>
        <v/>
      </c>
      <c r="V1296" s="212" t="s">
        <v>50</v>
      </c>
      <c r="W1296" s="100" t="s">
        <v>168</v>
      </c>
      <c r="X1296" s="100" t="s">
        <v>169</v>
      </c>
      <c r="Y1296" s="101" t="s">
        <v>170</v>
      </c>
      <c r="Z1296" s="101" t="s">
        <v>171</v>
      </c>
      <c r="AA1296" s="101" t="s">
        <v>50</v>
      </c>
      <c r="AB1296" s="101" t="s">
        <v>172</v>
      </c>
      <c r="AC1296" s="102" t="s">
        <v>173</v>
      </c>
    </row>
    <row r="1297" spans="1:29" ht="25.5" customHeight="1" x14ac:dyDescent="0.35">
      <c r="A1297" s="392"/>
      <c r="B1297" s="393"/>
      <c r="C1297" s="99" t="str">
        <f>IF(B1297="","",IF(NOT(ISNUMBER(B1297)),"DATA_PC invalida",IF(NOT(ISNUMBER(parametros!$C$2)),"Fora dos ciclos",IF(OR(B1297&lt;parametros!$C$2,(YEAR(B1297)-YEAR(parametros!$C$2))*12+MONTH(B1297)-MONTH(parametros!$C$2)&gt;59),"Fora dos ciclos","C"&amp;INT(((YEAR(B1297)-YEAR(parametros!$C$2))*12+MONTH(B1297)-MONTH(parametros!$C$2))/12)))))</f>
        <v/>
      </c>
      <c r="D1297" s="394"/>
      <c r="E1297" s="78" t="str">
        <f>IF(C1297="","",IFERROR(VLOOKUP(C1297,parametros!$A$11:$E$15,5,0),""))</f>
        <v/>
      </c>
      <c r="F1297" s="79" t="str">
        <f t="shared" si="102"/>
        <v/>
      </c>
      <c r="G1297" s="395"/>
      <c r="H1297" s="91">
        <f t="shared" si="103"/>
        <v>0</v>
      </c>
      <c r="I1297" s="91" t="str">
        <f t="shared" si="104"/>
        <v/>
      </c>
      <c r="J1297" s="91" t="str">
        <f t="shared" si="105"/>
        <v/>
      </c>
      <c r="K1297" s="92" t="str">
        <f>IF(AND(A1297="",B1297="",D1297="",G1297=""),"",IF(AND(A1297&lt;&gt;"",COUNTIF($A$2:$A$5001,A1297)&gt;1),"NUMERO_PC duplicado",IF(B1297="","DATA_PC vazia",IF(NOT(ISNUMBER(B1297)),"DATA_PC invalida",IF(OR(C1297="",C1297="Fora dos ciclos"),"CICLO_PC nao identificado",IF(OR(D1297="",D1297=0),"VALOR_PC vazio ou zero",IF(AND(G1297&lt;&gt;"Sim",G1297&lt;&gt;"Nao",G1297&lt;&gt;""),"PC_PAGO_A_CONTRATADA invalido",IF(AND(C1297&lt;&gt;"C0",IFERROR(INDEX(parametros!$A$2:$A$6,MATCH(C1297,parametros!$B$2:$B$6,0)),"")="Sim",IFERROR(INDEX(parametros!$H$2:$H$6,MATCH(C1297,parametros!$B$2:$B$6,0)),"")=""),"INICIO_EFEITO ausente: PC "&amp;A1297&amp;" - "&amp;C1297,IF(L1297="","EFEITO_PC nao calculado: PC "&amp;A1297&amp;" - "&amp;C1297,"OK")))))))))</f>
        <v/>
      </c>
      <c r="L1297" s="92" t="str">
        <f>IF(AND(A1297="",B1297="",D1297="",G1297=""),"",IF(OR(B1297="",NOT(ISNUMBER(B1297)),C1297="",C1297="Fora dos ciclos"),"",IF(C1297="C0","Nao",IF(IFERROR(INDEX(parametros!$A$2:$A$6,MATCH(C1297,parametros!$B$2:$B$6,0)),"")&lt;&gt;"Sim","Nao",IF(IFERROR(INDEX(parametros!$H$2:$H$6,MATCH(C1297,parametros!$B$2:$B$6,0)),"")="","",IF(B1297&gt;=IFERROR(INDEX(parametros!$H$2:$H$6,MATCH(C1297,parametros!$B$2:$B$6,0)),""),"Sim","Nao"))))))</f>
        <v/>
      </c>
      <c r="T1297" s="156"/>
      <c r="U1297" s="214" t="str">
        <f t="shared" si="106"/>
        <v/>
      </c>
      <c r="V1297" s="212" t="s">
        <v>50</v>
      </c>
      <c r="W1297" s="100" t="s">
        <v>168</v>
      </c>
      <c r="X1297" s="100" t="s">
        <v>169</v>
      </c>
      <c r="Y1297" s="101" t="s">
        <v>170</v>
      </c>
      <c r="Z1297" s="101" t="s">
        <v>171</v>
      </c>
      <c r="AA1297" s="101" t="s">
        <v>50</v>
      </c>
      <c r="AB1297" s="101" t="s">
        <v>172</v>
      </c>
      <c r="AC1297" s="102" t="s">
        <v>173</v>
      </c>
    </row>
    <row r="1298" spans="1:29" ht="25.5" customHeight="1" x14ac:dyDescent="0.35">
      <c r="A1298" s="392"/>
      <c r="B1298" s="393"/>
      <c r="C1298" s="99" t="str">
        <f>IF(B1298="","",IF(NOT(ISNUMBER(B1298)),"DATA_PC invalida",IF(NOT(ISNUMBER(parametros!$C$2)),"Fora dos ciclos",IF(OR(B1298&lt;parametros!$C$2,(YEAR(B1298)-YEAR(parametros!$C$2))*12+MONTH(B1298)-MONTH(parametros!$C$2)&gt;59),"Fora dos ciclos","C"&amp;INT(((YEAR(B1298)-YEAR(parametros!$C$2))*12+MONTH(B1298)-MONTH(parametros!$C$2))/12)))))</f>
        <v/>
      </c>
      <c r="D1298" s="394"/>
      <c r="E1298" s="78" t="str">
        <f>IF(C1298="","",IFERROR(VLOOKUP(C1298,parametros!$A$11:$E$15,5,0),""))</f>
        <v/>
      </c>
      <c r="F1298" s="79" t="str">
        <f t="shared" si="102"/>
        <v/>
      </c>
      <c r="G1298" s="395"/>
      <c r="H1298" s="91">
        <f t="shared" si="103"/>
        <v>0</v>
      </c>
      <c r="I1298" s="91" t="str">
        <f t="shared" si="104"/>
        <v/>
      </c>
      <c r="J1298" s="91" t="str">
        <f t="shared" si="105"/>
        <v/>
      </c>
      <c r="K1298" s="92" t="str">
        <f>IF(AND(A1298="",B1298="",D1298="",G1298=""),"",IF(AND(A1298&lt;&gt;"",COUNTIF($A$2:$A$5001,A1298)&gt;1),"NUMERO_PC duplicado",IF(B1298="","DATA_PC vazia",IF(NOT(ISNUMBER(B1298)),"DATA_PC invalida",IF(OR(C1298="",C1298="Fora dos ciclos"),"CICLO_PC nao identificado",IF(OR(D1298="",D1298=0),"VALOR_PC vazio ou zero",IF(AND(G1298&lt;&gt;"Sim",G1298&lt;&gt;"Nao",G1298&lt;&gt;""),"PC_PAGO_A_CONTRATADA invalido",IF(AND(C1298&lt;&gt;"C0",IFERROR(INDEX(parametros!$A$2:$A$6,MATCH(C1298,parametros!$B$2:$B$6,0)),"")="Sim",IFERROR(INDEX(parametros!$H$2:$H$6,MATCH(C1298,parametros!$B$2:$B$6,0)),"")=""),"INICIO_EFEITO ausente: PC "&amp;A1298&amp;" - "&amp;C1298,IF(L1298="","EFEITO_PC nao calculado: PC "&amp;A1298&amp;" - "&amp;C1298,"OK")))))))))</f>
        <v/>
      </c>
      <c r="L1298" s="92" t="str">
        <f>IF(AND(A1298="",B1298="",D1298="",G1298=""),"",IF(OR(B1298="",NOT(ISNUMBER(B1298)),C1298="",C1298="Fora dos ciclos"),"",IF(C1298="C0","Nao",IF(IFERROR(INDEX(parametros!$A$2:$A$6,MATCH(C1298,parametros!$B$2:$B$6,0)),"")&lt;&gt;"Sim","Nao",IF(IFERROR(INDEX(parametros!$H$2:$H$6,MATCH(C1298,parametros!$B$2:$B$6,0)),"")="","",IF(B1298&gt;=IFERROR(INDEX(parametros!$H$2:$H$6,MATCH(C1298,parametros!$B$2:$B$6,0)),""),"Sim","Nao"))))))</f>
        <v/>
      </c>
      <c r="T1298" s="156"/>
      <c r="U1298" s="214" t="str">
        <f t="shared" si="106"/>
        <v/>
      </c>
      <c r="V1298" s="212" t="s">
        <v>50</v>
      </c>
      <c r="W1298" s="100" t="s">
        <v>168</v>
      </c>
      <c r="X1298" s="100" t="s">
        <v>169</v>
      </c>
      <c r="Y1298" s="101" t="s">
        <v>170</v>
      </c>
      <c r="Z1298" s="101" t="s">
        <v>171</v>
      </c>
      <c r="AA1298" s="101" t="s">
        <v>50</v>
      </c>
      <c r="AB1298" s="101" t="s">
        <v>172</v>
      </c>
      <c r="AC1298" s="102" t="s">
        <v>173</v>
      </c>
    </row>
    <row r="1299" spans="1:29" ht="25.5" customHeight="1" x14ac:dyDescent="0.35">
      <c r="A1299" s="392"/>
      <c r="B1299" s="393"/>
      <c r="C1299" s="99" t="str">
        <f>IF(B1299="","",IF(NOT(ISNUMBER(B1299)),"DATA_PC invalida",IF(NOT(ISNUMBER(parametros!$C$2)),"Fora dos ciclos",IF(OR(B1299&lt;parametros!$C$2,(YEAR(B1299)-YEAR(parametros!$C$2))*12+MONTH(B1299)-MONTH(parametros!$C$2)&gt;59),"Fora dos ciclos","C"&amp;INT(((YEAR(B1299)-YEAR(parametros!$C$2))*12+MONTH(B1299)-MONTH(parametros!$C$2))/12)))))</f>
        <v/>
      </c>
      <c r="D1299" s="394"/>
      <c r="E1299" s="78" t="str">
        <f>IF(C1299="","",IFERROR(VLOOKUP(C1299,parametros!$A$11:$E$15,5,0),""))</f>
        <v/>
      </c>
      <c r="F1299" s="79" t="str">
        <f t="shared" si="102"/>
        <v/>
      </c>
      <c r="G1299" s="395"/>
      <c r="H1299" s="91">
        <f t="shared" si="103"/>
        <v>0</v>
      </c>
      <c r="I1299" s="91" t="str">
        <f t="shared" si="104"/>
        <v/>
      </c>
      <c r="J1299" s="91" t="str">
        <f t="shared" si="105"/>
        <v/>
      </c>
      <c r="K1299" s="92" t="str">
        <f>IF(AND(A1299="",B1299="",D1299="",G1299=""),"",IF(AND(A1299&lt;&gt;"",COUNTIF($A$2:$A$5001,A1299)&gt;1),"NUMERO_PC duplicado",IF(B1299="","DATA_PC vazia",IF(NOT(ISNUMBER(B1299)),"DATA_PC invalida",IF(OR(C1299="",C1299="Fora dos ciclos"),"CICLO_PC nao identificado",IF(OR(D1299="",D1299=0),"VALOR_PC vazio ou zero",IF(AND(G1299&lt;&gt;"Sim",G1299&lt;&gt;"Nao",G1299&lt;&gt;""),"PC_PAGO_A_CONTRATADA invalido",IF(AND(C1299&lt;&gt;"C0",IFERROR(INDEX(parametros!$A$2:$A$6,MATCH(C1299,parametros!$B$2:$B$6,0)),"")="Sim",IFERROR(INDEX(parametros!$H$2:$H$6,MATCH(C1299,parametros!$B$2:$B$6,0)),"")=""),"INICIO_EFEITO ausente: PC "&amp;A1299&amp;" - "&amp;C1299,IF(L1299="","EFEITO_PC nao calculado: PC "&amp;A1299&amp;" - "&amp;C1299,"OK")))))))))</f>
        <v/>
      </c>
      <c r="L1299" s="92" t="str">
        <f>IF(AND(A1299="",B1299="",D1299="",G1299=""),"",IF(OR(B1299="",NOT(ISNUMBER(B1299)),C1299="",C1299="Fora dos ciclos"),"",IF(C1299="C0","Nao",IF(IFERROR(INDEX(parametros!$A$2:$A$6,MATCH(C1299,parametros!$B$2:$B$6,0)),"")&lt;&gt;"Sim","Nao",IF(IFERROR(INDEX(parametros!$H$2:$H$6,MATCH(C1299,parametros!$B$2:$B$6,0)),"")="","",IF(B1299&gt;=IFERROR(INDEX(parametros!$H$2:$H$6,MATCH(C1299,parametros!$B$2:$B$6,0)),""),"Sim","Nao"))))))</f>
        <v/>
      </c>
      <c r="T1299" s="156"/>
      <c r="U1299" s="214" t="str">
        <f t="shared" si="106"/>
        <v/>
      </c>
      <c r="V1299" s="212" t="s">
        <v>50</v>
      </c>
      <c r="W1299" s="100" t="s">
        <v>168</v>
      </c>
      <c r="X1299" s="100" t="s">
        <v>169</v>
      </c>
      <c r="Y1299" s="101" t="s">
        <v>170</v>
      </c>
      <c r="Z1299" s="101" t="s">
        <v>171</v>
      </c>
      <c r="AA1299" s="101" t="s">
        <v>50</v>
      </c>
      <c r="AB1299" s="101" t="s">
        <v>172</v>
      </c>
      <c r="AC1299" s="102" t="s">
        <v>173</v>
      </c>
    </row>
    <row r="1300" spans="1:29" ht="25.5" customHeight="1" x14ac:dyDescent="0.35">
      <c r="A1300" s="392"/>
      <c r="B1300" s="393"/>
      <c r="C1300" s="99" t="str">
        <f>IF(B1300="","",IF(NOT(ISNUMBER(B1300)),"DATA_PC invalida",IF(NOT(ISNUMBER(parametros!$C$2)),"Fora dos ciclos",IF(OR(B1300&lt;parametros!$C$2,(YEAR(B1300)-YEAR(parametros!$C$2))*12+MONTH(B1300)-MONTH(parametros!$C$2)&gt;59),"Fora dos ciclos","C"&amp;INT(((YEAR(B1300)-YEAR(parametros!$C$2))*12+MONTH(B1300)-MONTH(parametros!$C$2))/12)))))</f>
        <v/>
      </c>
      <c r="D1300" s="394"/>
      <c r="E1300" s="78" t="str">
        <f>IF(C1300="","",IFERROR(VLOOKUP(C1300,parametros!$A$11:$E$15,5,0),""))</f>
        <v/>
      </c>
      <c r="F1300" s="79" t="str">
        <f t="shared" si="102"/>
        <v/>
      </c>
      <c r="G1300" s="395"/>
      <c r="H1300" s="91">
        <f t="shared" si="103"/>
        <v>0</v>
      </c>
      <c r="I1300" s="91" t="str">
        <f t="shared" si="104"/>
        <v/>
      </c>
      <c r="J1300" s="91" t="str">
        <f t="shared" si="105"/>
        <v/>
      </c>
      <c r="K1300" s="92" t="str">
        <f>IF(AND(A1300="",B1300="",D1300="",G1300=""),"",IF(AND(A1300&lt;&gt;"",COUNTIF($A$2:$A$5001,A1300)&gt;1),"NUMERO_PC duplicado",IF(B1300="","DATA_PC vazia",IF(NOT(ISNUMBER(B1300)),"DATA_PC invalida",IF(OR(C1300="",C1300="Fora dos ciclos"),"CICLO_PC nao identificado",IF(OR(D1300="",D1300=0),"VALOR_PC vazio ou zero",IF(AND(G1300&lt;&gt;"Sim",G1300&lt;&gt;"Nao",G1300&lt;&gt;""),"PC_PAGO_A_CONTRATADA invalido",IF(AND(C1300&lt;&gt;"C0",IFERROR(INDEX(parametros!$A$2:$A$6,MATCH(C1300,parametros!$B$2:$B$6,0)),"")="Sim",IFERROR(INDEX(parametros!$H$2:$H$6,MATCH(C1300,parametros!$B$2:$B$6,0)),"")=""),"INICIO_EFEITO ausente: PC "&amp;A1300&amp;" - "&amp;C1300,IF(L1300="","EFEITO_PC nao calculado: PC "&amp;A1300&amp;" - "&amp;C1300,"OK")))))))))</f>
        <v/>
      </c>
      <c r="L1300" s="92" t="str">
        <f>IF(AND(A1300="",B1300="",D1300="",G1300=""),"",IF(OR(B1300="",NOT(ISNUMBER(B1300)),C1300="",C1300="Fora dos ciclos"),"",IF(C1300="C0","Nao",IF(IFERROR(INDEX(parametros!$A$2:$A$6,MATCH(C1300,parametros!$B$2:$B$6,0)),"")&lt;&gt;"Sim","Nao",IF(IFERROR(INDEX(parametros!$H$2:$H$6,MATCH(C1300,parametros!$B$2:$B$6,0)),"")="","",IF(B1300&gt;=IFERROR(INDEX(parametros!$H$2:$H$6,MATCH(C1300,parametros!$B$2:$B$6,0)),""),"Sim","Nao"))))))</f>
        <v/>
      </c>
      <c r="T1300" s="156"/>
      <c r="U1300" s="214" t="str">
        <f t="shared" si="106"/>
        <v/>
      </c>
      <c r="V1300" s="212" t="s">
        <v>50</v>
      </c>
      <c r="W1300" s="100" t="s">
        <v>168</v>
      </c>
      <c r="X1300" s="100" t="s">
        <v>169</v>
      </c>
      <c r="Y1300" s="101" t="s">
        <v>170</v>
      </c>
      <c r="Z1300" s="101" t="s">
        <v>171</v>
      </c>
      <c r="AA1300" s="101" t="s">
        <v>50</v>
      </c>
      <c r="AB1300" s="101" t="s">
        <v>172</v>
      </c>
      <c r="AC1300" s="102" t="s">
        <v>173</v>
      </c>
    </row>
    <row r="1301" spans="1:29" ht="25.5" customHeight="1" x14ac:dyDescent="0.35">
      <c r="A1301" s="392"/>
      <c r="B1301" s="393"/>
      <c r="C1301" s="99" t="str">
        <f>IF(B1301="","",IF(NOT(ISNUMBER(B1301)),"DATA_PC invalida",IF(NOT(ISNUMBER(parametros!$C$2)),"Fora dos ciclos",IF(OR(B1301&lt;parametros!$C$2,(YEAR(B1301)-YEAR(parametros!$C$2))*12+MONTH(B1301)-MONTH(parametros!$C$2)&gt;59),"Fora dos ciclos","C"&amp;INT(((YEAR(B1301)-YEAR(parametros!$C$2))*12+MONTH(B1301)-MONTH(parametros!$C$2))/12)))))</f>
        <v/>
      </c>
      <c r="D1301" s="394"/>
      <c r="E1301" s="78" t="str">
        <f>IF(C1301="","",IFERROR(VLOOKUP(C1301,parametros!$A$11:$E$15,5,0),""))</f>
        <v/>
      </c>
      <c r="F1301" s="79" t="str">
        <f t="shared" si="102"/>
        <v/>
      </c>
      <c r="G1301" s="395"/>
      <c r="H1301" s="91">
        <f t="shared" si="103"/>
        <v>0</v>
      </c>
      <c r="I1301" s="91" t="str">
        <f t="shared" si="104"/>
        <v/>
      </c>
      <c r="J1301" s="91" t="str">
        <f t="shared" si="105"/>
        <v/>
      </c>
      <c r="K1301" s="92" t="str">
        <f>IF(AND(A1301="",B1301="",D1301="",G1301=""),"",IF(AND(A1301&lt;&gt;"",COUNTIF($A$2:$A$5001,A1301)&gt;1),"NUMERO_PC duplicado",IF(B1301="","DATA_PC vazia",IF(NOT(ISNUMBER(B1301)),"DATA_PC invalida",IF(OR(C1301="",C1301="Fora dos ciclos"),"CICLO_PC nao identificado",IF(OR(D1301="",D1301=0),"VALOR_PC vazio ou zero",IF(AND(G1301&lt;&gt;"Sim",G1301&lt;&gt;"Nao",G1301&lt;&gt;""),"PC_PAGO_A_CONTRATADA invalido",IF(AND(C1301&lt;&gt;"C0",IFERROR(INDEX(parametros!$A$2:$A$6,MATCH(C1301,parametros!$B$2:$B$6,0)),"")="Sim",IFERROR(INDEX(parametros!$H$2:$H$6,MATCH(C1301,parametros!$B$2:$B$6,0)),"")=""),"INICIO_EFEITO ausente: PC "&amp;A1301&amp;" - "&amp;C1301,IF(L1301="","EFEITO_PC nao calculado: PC "&amp;A1301&amp;" - "&amp;C1301,"OK")))))))))</f>
        <v/>
      </c>
      <c r="L1301" s="92" t="str">
        <f>IF(AND(A1301="",B1301="",D1301="",G1301=""),"",IF(OR(B1301="",NOT(ISNUMBER(B1301)),C1301="",C1301="Fora dos ciclos"),"",IF(C1301="C0","Nao",IF(IFERROR(INDEX(parametros!$A$2:$A$6,MATCH(C1301,parametros!$B$2:$B$6,0)),"")&lt;&gt;"Sim","Nao",IF(IFERROR(INDEX(parametros!$H$2:$H$6,MATCH(C1301,parametros!$B$2:$B$6,0)),"")="","",IF(B1301&gt;=IFERROR(INDEX(parametros!$H$2:$H$6,MATCH(C1301,parametros!$B$2:$B$6,0)),""),"Sim","Nao"))))))</f>
        <v/>
      </c>
      <c r="T1301" s="156"/>
      <c r="U1301" s="214" t="str">
        <f t="shared" si="106"/>
        <v/>
      </c>
      <c r="V1301" s="212" t="s">
        <v>50</v>
      </c>
      <c r="W1301" s="100" t="s">
        <v>168</v>
      </c>
      <c r="X1301" s="100" t="s">
        <v>169</v>
      </c>
      <c r="Y1301" s="101" t="s">
        <v>170</v>
      </c>
      <c r="Z1301" s="101" t="s">
        <v>171</v>
      </c>
      <c r="AA1301" s="101" t="s">
        <v>50</v>
      </c>
      <c r="AB1301" s="101" t="s">
        <v>172</v>
      </c>
      <c r="AC1301" s="102" t="s">
        <v>173</v>
      </c>
    </row>
    <row r="1302" spans="1:29" ht="25.5" customHeight="1" x14ac:dyDescent="0.35">
      <c r="A1302" s="392"/>
      <c r="B1302" s="393"/>
      <c r="C1302" s="99" t="str">
        <f>IF(B1302="","",IF(NOT(ISNUMBER(B1302)),"DATA_PC invalida",IF(NOT(ISNUMBER(parametros!$C$2)),"Fora dos ciclos",IF(OR(B1302&lt;parametros!$C$2,(YEAR(B1302)-YEAR(parametros!$C$2))*12+MONTH(B1302)-MONTH(parametros!$C$2)&gt;59),"Fora dos ciclos","C"&amp;INT(((YEAR(B1302)-YEAR(parametros!$C$2))*12+MONTH(B1302)-MONTH(parametros!$C$2))/12)))))</f>
        <v/>
      </c>
      <c r="D1302" s="394"/>
      <c r="E1302" s="78" t="str">
        <f>IF(C1302="","",IFERROR(VLOOKUP(C1302,parametros!$A$11:$E$15,5,0),""))</f>
        <v/>
      </c>
      <c r="F1302" s="79" t="str">
        <f t="shared" si="102"/>
        <v/>
      </c>
      <c r="G1302" s="395"/>
      <c r="H1302" s="91">
        <f t="shared" si="103"/>
        <v>0</v>
      </c>
      <c r="I1302" s="91" t="str">
        <f t="shared" si="104"/>
        <v/>
      </c>
      <c r="J1302" s="91" t="str">
        <f t="shared" si="105"/>
        <v/>
      </c>
      <c r="K1302" s="92" t="str">
        <f>IF(AND(A1302="",B1302="",D1302="",G1302=""),"",IF(AND(A1302&lt;&gt;"",COUNTIF($A$2:$A$5001,A1302)&gt;1),"NUMERO_PC duplicado",IF(B1302="","DATA_PC vazia",IF(NOT(ISNUMBER(B1302)),"DATA_PC invalida",IF(OR(C1302="",C1302="Fora dos ciclos"),"CICLO_PC nao identificado",IF(OR(D1302="",D1302=0),"VALOR_PC vazio ou zero",IF(AND(G1302&lt;&gt;"Sim",G1302&lt;&gt;"Nao",G1302&lt;&gt;""),"PC_PAGO_A_CONTRATADA invalido",IF(AND(C1302&lt;&gt;"C0",IFERROR(INDEX(parametros!$A$2:$A$6,MATCH(C1302,parametros!$B$2:$B$6,0)),"")="Sim",IFERROR(INDEX(parametros!$H$2:$H$6,MATCH(C1302,parametros!$B$2:$B$6,0)),"")=""),"INICIO_EFEITO ausente: PC "&amp;A1302&amp;" - "&amp;C1302,IF(L1302="","EFEITO_PC nao calculado: PC "&amp;A1302&amp;" - "&amp;C1302,"OK")))))))))</f>
        <v/>
      </c>
      <c r="L1302" s="92" t="str">
        <f>IF(AND(A1302="",B1302="",D1302="",G1302=""),"",IF(OR(B1302="",NOT(ISNUMBER(B1302)),C1302="",C1302="Fora dos ciclos"),"",IF(C1302="C0","Nao",IF(IFERROR(INDEX(parametros!$A$2:$A$6,MATCH(C1302,parametros!$B$2:$B$6,0)),"")&lt;&gt;"Sim","Nao",IF(IFERROR(INDEX(parametros!$H$2:$H$6,MATCH(C1302,parametros!$B$2:$B$6,0)),"")="","",IF(B1302&gt;=IFERROR(INDEX(parametros!$H$2:$H$6,MATCH(C1302,parametros!$B$2:$B$6,0)),""),"Sim","Nao"))))))</f>
        <v/>
      </c>
      <c r="T1302" s="156"/>
      <c r="U1302" s="214" t="str">
        <f t="shared" si="106"/>
        <v/>
      </c>
      <c r="V1302" s="212" t="s">
        <v>50</v>
      </c>
      <c r="W1302" s="100" t="s">
        <v>168</v>
      </c>
      <c r="X1302" s="100" t="s">
        <v>169</v>
      </c>
      <c r="Y1302" s="101" t="s">
        <v>170</v>
      </c>
      <c r="Z1302" s="101" t="s">
        <v>171</v>
      </c>
      <c r="AA1302" s="101" t="s">
        <v>50</v>
      </c>
      <c r="AB1302" s="101" t="s">
        <v>172</v>
      </c>
      <c r="AC1302" s="102" t="s">
        <v>173</v>
      </c>
    </row>
    <row r="1303" spans="1:29" ht="25.5" customHeight="1" x14ac:dyDescent="0.35">
      <c r="A1303" s="392"/>
      <c r="B1303" s="393"/>
      <c r="C1303" s="99" t="str">
        <f>IF(B1303="","",IF(NOT(ISNUMBER(B1303)),"DATA_PC invalida",IF(NOT(ISNUMBER(parametros!$C$2)),"Fora dos ciclos",IF(OR(B1303&lt;parametros!$C$2,(YEAR(B1303)-YEAR(parametros!$C$2))*12+MONTH(B1303)-MONTH(parametros!$C$2)&gt;59),"Fora dos ciclos","C"&amp;INT(((YEAR(B1303)-YEAR(parametros!$C$2))*12+MONTH(B1303)-MONTH(parametros!$C$2))/12)))))</f>
        <v/>
      </c>
      <c r="D1303" s="394"/>
      <c r="E1303" s="78" t="str">
        <f>IF(C1303="","",IFERROR(VLOOKUP(C1303,parametros!$A$11:$E$15,5,0),""))</f>
        <v/>
      </c>
      <c r="F1303" s="79" t="str">
        <f t="shared" si="102"/>
        <v/>
      </c>
      <c r="G1303" s="395"/>
      <c r="H1303" s="91">
        <f t="shared" si="103"/>
        <v>0</v>
      </c>
      <c r="I1303" s="91" t="str">
        <f t="shared" si="104"/>
        <v/>
      </c>
      <c r="J1303" s="91" t="str">
        <f t="shared" si="105"/>
        <v/>
      </c>
      <c r="K1303" s="92" t="str">
        <f>IF(AND(A1303="",B1303="",D1303="",G1303=""),"",IF(AND(A1303&lt;&gt;"",COUNTIF($A$2:$A$5001,A1303)&gt;1),"NUMERO_PC duplicado",IF(B1303="","DATA_PC vazia",IF(NOT(ISNUMBER(B1303)),"DATA_PC invalida",IF(OR(C1303="",C1303="Fora dos ciclos"),"CICLO_PC nao identificado",IF(OR(D1303="",D1303=0),"VALOR_PC vazio ou zero",IF(AND(G1303&lt;&gt;"Sim",G1303&lt;&gt;"Nao",G1303&lt;&gt;""),"PC_PAGO_A_CONTRATADA invalido",IF(AND(C1303&lt;&gt;"C0",IFERROR(INDEX(parametros!$A$2:$A$6,MATCH(C1303,parametros!$B$2:$B$6,0)),"")="Sim",IFERROR(INDEX(parametros!$H$2:$H$6,MATCH(C1303,parametros!$B$2:$B$6,0)),"")=""),"INICIO_EFEITO ausente: PC "&amp;A1303&amp;" - "&amp;C1303,IF(L1303="","EFEITO_PC nao calculado: PC "&amp;A1303&amp;" - "&amp;C1303,"OK")))))))))</f>
        <v/>
      </c>
      <c r="L1303" s="92" t="str">
        <f>IF(AND(A1303="",B1303="",D1303="",G1303=""),"",IF(OR(B1303="",NOT(ISNUMBER(B1303)),C1303="",C1303="Fora dos ciclos"),"",IF(C1303="C0","Nao",IF(IFERROR(INDEX(parametros!$A$2:$A$6,MATCH(C1303,parametros!$B$2:$B$6,0)),"")&lt;&gt;"Sim","Nao",IF(IFERROR(INDEX(parametros!$H$2:$H$6,MATCH(C1303,parametros!$B$2:$B$6,0)),"")="","",IF(B1303&gt;=IFERROR(INDEX(parametros!$H$2:$H$6,MATCH(C1303,parametros!$B$2:$B$6,0)),""),"Sim","Nao"))))))</f>
        <v/>
      </c>
      <c r="T1303" s="156"/>
      <c r="U1303" s="214" t="str">
        <f t="shared" si="106"/>
        <v/>
      </c>
      <c r="V1303" s="212" t="s">
        <v>50</v>
      </c>
      <c r="W1303" s="100" t="s">
        <v>168</v>
      </c>
      <c r="X1303" s="100" t="s">
        <v>169</v>
      </c>
      <c r="Y1303" s="101" t="s">
        <v>170</v>
      </c>
      <c r="Z1303" s="101" t="s">
        <v>171</v>
      </c>
      <c r="AA1303" s="101" t="s">
        <v>50</v>
      </c>
      <c r="AB1303" s="101" t="s">
        <v>172</v>
      </c>
      <c r="AC1303" s="102" t="s">
        <v>173</v>
      </c>
    </row>
    <row r="1304" spans="1:29" ht="25.5" customHeight="1" x14ac:dyDescent="0.35">
      <c r="A1304" s="392"/>
      <c r="B1304" s="393"/>
      <c r="C1304" s="99" t="str">
        <f>IF(B1304="","",IF(NOT(ISNUMBER(B1304)),"DATA_PC invalida",IF(NOT(ISNUMBER(parametros!$C$2)),"Fora dos ciclos",IF(OR(B1304&lt;parametros!$C$2,(YEAR(B1304)-YEAR(parametros!$C$2))*12+MONTH(B1304)-MONTH(parametros!$C$2)&gt;59),"Fora dos ciclos","C"&amp;INT(((YEAR(B1304)-YEAR(parametros!$C$2))*12+MONTH(B1304)-MONTH(parametros!$C$2))/12)))))</f>
        <v/>
      </c>
      <c r="D1304" s="394"/>
      <c r="E1304" s="78" t="str">
        <f>IF(C1304="","",IFERROR(VLOOKUP(C1304,parametros!$A$11:$E$15,5,0),""))</f>
        <v/>
      </c>
      <c r="F1304" s="79" t="str">
        <f t="shared" si="102"/>
        <v/>
      </c>
      <c r="G1304" s="395"/>
      <c r="H1304" s="91">
        <f t="shared" si="103"/>
        <v>0</v>
      </c>
      <c r="I1304" s="91" t="str">
        <f t="shared" si="104"/>
        <v/>
      </c>
      <c r="J1304" s="91" t="str">
        <f t="shared" si="105"/>
        <v/>
      </c>
      <c r="K1304" s="92" t="str">
        <f>IF(AND(A1304="",B1304="",D1304="",G1304=""),"",IF(AND(A1304&lt;&gt;"",COUNTIF($A$2:$A$5001,A1304)&gt;1),"NUMERO_PC duplicado",IF(B1304="","DATA_PC vazia",IF(NOT(ISNUMBER(B1304)),"DATA_PC invalida",IF(OR(C1304="",C1304="Fora dos ciclos"),"CICLO_PC nao identificado",IF(OR(D1304="",D1304=0),"VALOR_PC vazio ou zero",IF(AND(G1304&lt;&gt;"Sim",G1304&lt;&gt;"Nao",G1304&lt;&gt;""),"PC_PAGO_A_CONTRATADA invalido",IF(AND(C1304&lt;&gt;"C0",IFERROR(INDEX(parametros!$A$2:$A$6,MATCH(C1304,parametros!$B$2:$B$6,0)),"")="Sim",IFERROR(INDEX(parametros!$H$2:$H$6,MATCH(C1304,parametros!$B$2:$B$6,0)),"")=""),"INICIO_EFEITO ausente: PC "&amp;A1304&amp;" - "&amp;C1304,IF(L1304="","EFEITO_PC nao calculado: PC "&amp;A1304&amp;" - "&amp;C1304,"OK")))))))))</f>
        <v/>
      </c>
      <c r="L1304" s="92" t="str">
        <f>IF(AND(A1304="",B1304="",D1304="",G1304=""),"",IF(OR(B1304="",NOT(ISNUMBER(B1304)),C1304="",C1304="Fora dos ciclos"),"",IF(C1304="C0","Nao",IF(IFERROR(INDEX(parametros!$A$2:$A$6,MATCH(C1304,parametros!$B$2:$B$6,0)),"")&lt;&gt;"Sim","Nao",IF(IFERROR(INDEX(parametros!$H$2:$H$6,MATCH(C1304,parametros!$B$2:$B$6,0)),"")="","",IF(B1304&gt;=IFERROR(INDEX(parametros!$H$2:$H$6,MATCH(C1304,parametros!$B$2:$B$6,0)),""),"Sim","Nao"))))))</f>
        <v/>
      </c>
      <c r="T1304" s="156"/>
      <c r="U1304" s="214" t="str">
        <f t="shared" si="106"/>
        <v/>
      </c>
      <c r="V1304" s="212" t="s">
        <v>50</v>
      </c>
      <c r="W1304" s="100" t="s">
        <v>168</v>
      </c>
      <c r="X1304" s="100" t="s">
        <v>169</v>
      </c>
      <c r="Y1304" s="101" t="s">
        <v>170</v>
      </c>
      <c r="Z1304" s="101" t="s">
        <v>171</v>
      </c>
      <c r="AA1304" s="101" t="s">
        <v>50</v>
      </c>
      <c r="AB1304" s="101" t="s">
        <v>172</v>
      </c>
      <c r="AC1304" s="102" t="s">
        <v>173</v>
      </c>
    </row>
    <row r="1305" spans="1:29" ht="25.5" customHeight="1" x14ac:dyDescent="0.35">
      <c r="A1305" s="392"/>
      <c r="B1305" s="393"/>
      <c r="C1305" s="99" t="str">
        <f>IF(B1305="","",IF(NOT(ISNUMBER(B1305)),"DATA_PC invalida",IF(NOT(ISNUMBER(parametros!$C$2)),"Fora dos ciclos",IF(OR(B1305&lt;parametros!$C$2,(YEAR(B1305)-YEAR(parametros!$C$2))*12+MONTH(B1305)-MONTH(parametros!$C$2)&gt;59),"Fora dos ciclos","C"&amp;INT(((YEAR(B1305)-YEAR(parametros!$C$2))*12+MONTH(B1305)-MONTH(parametros!$C$2))/12)))))</f>
        <v/>
      </c>
      <c r="D1305" s="394"/>
      <c r="E1305" s="78" t="str">
        <f>IF(C1305="","",IFERROR(VLOOKUP(C1305,parametros!$A$11:$E$15,5,0),""))</f>
        <v/>
      </c>
      <c r="F1305" s="79" t="str">
        <f t="shared" si="102"/>
        <v/>
      </c>
      <c r="G1305" s="395"/>
      <c r="H1305" s="91">
        <f t="shared" si="103"/>
        <v>0</v>
      </c>
      <c r="I1305" s="91" t="str">
        <f t="shared" si="104"/>
        <v/>
      </c>
      <c r="J1305" s="91" t="str">
        <f t="shared" si="105"/>
        <v/>
      </c>
      <c r="K1305" s="92" t="str">
        <f>IF(AND(A1305="",B1305="",D1305="",G1305=""),"",IF(AND(A1305&lt;&gt;"",COUNTIF($A$2:$A$5001,A1305)&gt;1),"NUMERO_PC duplicado",IF(B1305="","DATA_PC vazia",IF(NOT(ISNUMBER(B1305)),"DATA_PC invalida",IF(OR(C1305="",C1305="Fora dos ciclos"),"CICLO_PC nao identificado",IF(OR(D1305="",D1305=0),"VALOR_PC vazio ou zero",IF(AND(G1305&lt;&gt;"Sim",G1305&lt;&gt;"Nao",G1305&lt;&gt;""),"PC_PAGO_A_CONTRATADA invalido",IF(AND(C1305&lt;&gt;"C0",IFERROR(INDEX(parametros!$A$2:$A$6,MATCH(C1305,parametros!$B$2:$B$6,0)),"")="Sim",IFERROR(INDEX(parametros!$H$2:$H$6,MATCH(C1305,parametros!$B$2:$B$6,0)),"")=""),"INICIO_EFEITO ausente: PC "&amp;A1305&amp;" - "&amp;C1305,IF(L1305="","EFEITO_PC nao calculado: PC "&amp;A1305&amp;" - "&amp;C1305,"OK")))))))))</f>
        <v/>
      </c>
      <c r="L1305" s="92" t="str">
        <f>IF(AND(A1305="",B1305="",D1305="",G1305=""),"",IF(OR(B1305="",NOT(ISNUMBER(B1305)),C1305="",C1305="Fora dos ciclos"),"",IF(C1305="C0","Nao",IF(IFERROR(INDEX(parametros!$A$2:$A$6,MATCH(C1305,parametros!$B$2:$B$6,0)),"")&lt;&gt;"Sim","Nao",IF(IFERROR(INDEX(parametros!$H$2:$H$6,MATCH(C1305,parametros!$B$2:$B$6,0)),"")="","",IF(B1305&gt;=IFERROR(INDEX(parametros!$H$2:$H$6,MATCH(C1305,parametros!$B$2:$B$6,0)),""),"Sim","Nao"))))))</f>
        <v/>
      </c>
      <c r="T1305" s="156"/>
      <c r="U1305" s="214" t="str">
        <f t="shared" si="106"/>
        <v/>
      </c>
      <c r="V1305" s="212" t="s">
        <v>50</v>
      </c>
      <c r="W1305" s="100" t="s">
        <v>168</v>
      </c>
      <c r="X1305" s="100" t="s">
        <v>169</v>
      </c>
      <c r="Y1305" s="101" t="s">
        <v>170</v>
      </c>
      <c r="Z1305" s="101" t="s">
        <v>171</v>
      </c>
      <c r="AA1305" s="101" t="s">
        <v>50</v>
      </c>
      <c r="AB1305" s="101" t="s">
        <v>172</v>
      </c>
      <c r="AC1305" s="102" t="s">
        <v>173</v>
      </c>
    </row>
    <row r="1306" spans="1:29" ht="25.5" customHeight="1" x14ac:dyDescent="0.35">
      <c r="A1306" s="392"/>
      <c r="B1306" s="393"/>
      <c r="C1306" s="99" t="str">
        <f>IF(B1306="","",IF(NOT(ISNUMBER(B1306)),"DATA_PC invalida",IF(NOT(ISNUMBER(parametros!$C$2)),"Fora dos ciclos",IF(OR(B1306&lt;parametros!$C$2,(YEAR(B1306)-YEAR(parametros!$C$2))*12+MONTH(B1306)-MONTH(parametros!$C$2)&gt;59),"Fora dos ciclos","C"&amp;INT(((YEAR(B1306)-YEAR(parametros!$C$2))*12+MONTH(B1306)-MONTH(parametros!$C$2))/12)))))</f>
        <v/>
      </c>
      <c r="D1306" s="394"/>
      <c r="E1306" s="78" t="str">
        <f>IF(C1306="","",IFERROR(VLOOKUP(C1306,parametros!$A$11:$E$15,5,0),""))</f>
        <v/>
      </c>
      <c r="F1306" s="79" t="str">
        <f t="shared" si="102"/>
        <v/>
      </c>
      <c r="G1306" s="395"/>
      <c r="H1306" s="91">
        <f t="shared" si="103"/>
        <v>0</v>
      </c>
      <c r="I1306" s="91" t="str">
        <f t="shared" si="104"/>
        <v/>
      </c>
      <c r="J1306" s="91" t="str">
        <f t="shared" si="105"/>
        <v/>
      </c>
      <c r="K1306" s="92" t="str">
        <f>IF(AND(A1306="",B1306="",D1306="",G1306=""),"",IF(AND(A1306&lt;&gt;"",COUNTIF($A$2:$A$5001,A1306)&gt;1),"NUMERO_PC duplicado",IF(B1306="","DATA_PC vazia",IF(NOT(ISNUMBER(B1306)),"DATA_PC invalida",IF(OR(C1306="",C1306="Fora dos ciclos"),"CICLO_PC nao identificado",IF(OR(D1306="",D1306=0),"VALOR_PC vazio ou zero",IF(AND(G1306&lt;&gt;"Sim",G1306&lt;&gt;"Nao",G1306&lt;&gt;""),"PC_PAGO_A_CONTRATADA invalido",IF(AND(C1306&lt;&gt;"C0",IFERROR(INDEX(parametros!$A$2:$A$6,MATCH(C1306,parametros!$B$2:$B$6,0)),"")="Sim",IFERROR(INDEX(parametros!$H$2:$H$6,MATCH(C1306,parametros!$B$2:$B$6,0)),"")=""),"INICIO_EFEITO ausente: PC "&amp;A1306&amp;" - "&amp;C1306,IF(L1306="","EFEITO_PC nao calculado: PC "&amp;A1306&amp;" - "&amp;C1306,"OK")))))))))</f>
        <v/>
      </c>
      <c r="L1306" s="92" t="str">
        <f>IF(AND(A1306="",B1306="",D1306="",G1306=""),"",IF(OR(B1306="",NOT(ISNUMBER(B1306)),C1306="",C1306="Fora dos ciclos"),"",IF(C1306="C0","Nao",IF(IFERROR(INDEX(parametros!$A$2:$A$6,MATCH(C1306,parametros!$B$2:$B$6,0)),"")&lt;&gt;"Sim","Nao",IF(IFERROR(INDEX(parametros!$H$2:$H$6,MATCH(C1306,parametros!$B$2:$B$6,0)),"")="","",IF(B1306&gt;=IFERROR(INDEX(parametros!$H$2:$H$6,MATCH(C1306,parametros!$B$2:$B$6,0)),""),"Sim","Nao"))))))</f>
        <v/>
      </c>
      <c r="T1306" s="156"/>
      <c r="U1306" s="214" t="str">
        <f t="shared" si="106"/>
        <v/>
      </c>
      <c r="V1306" s="212" t="s">
        <v>50</v>
      </c>
      <c r="W1306" s="100" t="s">
        <v>168</v>
      </c>
      <c r="X1306" s="100" t="s">
        <v>169</v>
      </c>
      <c r="Y1306" s="101" t="s">
        <v>170</v>
      </c>
      <c r="Z1306" s="101" t="s">
        <v>171</v>
      </c>
      <c r="AA1306" s="101" t="s">
        <v>50</v>
      </c>
      <c r="AB1306" s="101" t="s">
        <v>172</v>
      </c>
      <c r="AC1306" s="102" t="s">
        <v>173</v>
      </c>
    </row>
    <row r="1307" spans="1:29" ht="25.5" customHeight="1" x14ac:dyDescent="0.35">
      <c r="A1307" s="392"/>
      <c r="B1307" s="393"/>
      <c r="C1307" s="99" t="str">
        <f>IF(B1307="","",IF(NOT(ISNUMBER(B1307)),"DATA_PC invalida",IF(NOT(ISNUMBER(parametros!$C$2)),"Fora dos ciclos",IF(OR(B1307&lt;parametros!$C$2,(YEAR(B1307)-YEAR(parametros!$C$2))*12+MONTH(B1307)-MONTH(parametros!$C$2)&gt;59),"Fora dos ciclos","C"&amp;INT(((YEAR(B1307)-YEAR(parametros!$C$2))*12+MONTH(B1307)-MONTH(parametros!$C$2))/12)))))</f>
        <v/>
      </c>
      <c r="D1307" s="394"/>
      <c r="E1307" s="78" t="str">
        <f>IF(C1307="","",IFERROR(VLOOKUP(C1307,parametros!$A$11:$E$15,5,0),""))</f>
        <v/>
      </c>
      <c r="F1307" s="79" t="str">
        <f t="shared" si="102"/>
        <v/>
      </c>
      <c r="G1307" s="395"/>
      <c r="H1307" s="91">
        <f t="shared" si="103"/>
        <v>0</v>
      </c>
      <c r="I1307" s="91" t="str">
        <f t="shared" si="104"/>
        <v/>
      </c>
      <c r="J1307" s="91" t="str">
        <f t="shared" si="105"/>
        <v/>
      </c>
      <c r="K1307" s="92" t="str">
        <f>IF(AND(A1307="",B1307="",D1307="",G1307=""),"",IF(AND(A1307&lt;&gt;"",COUNTIF($A$2:$A$5001,A1307)&gt;1),"NUMERO_PC duplicado",IF(B1307="","DATA_PC vazia",IF(NOT(ISNUMBER(B1307)),"DATA_PC invalida",IF(OR(C1307="",C1307="Fora dos ciclos"),"CICLO_PC nao identificado",IF(OR(D1307="",D1307=0),"VALOR_PC vazio ou zero",IF(AND(G1307&lt;&gt;"Sim",G1307&lt;&gt;"Nao",G1307&lt;&gt;""),"PC_PAGO_A_CONTRATADA invalido",IF(AND(C1307&lt;&gt;"C0",IFERROR(INDEX(parametros!$A$2:$A$6,MATCH(C1307,parametros!$B$2:$B$6,0)),"")="Sim",IFERROR(INDEX(parametros!$H$2:$H$6,MATCH(C1307,parametros!$B$2:$B$6,0)),"")=""),"INICIO_EFEITO ausente: PC "&amp;A1307&amp;" - "&amp;C1307,IF(L1307="","EFEITO_PC nao calculado: PC "&amp;A1307&amp;" - "&amp;C1307,"OK")))))))))</f>
        <v/>
      </c>
      <c r="L1307" s="92" t="str">
        <f>IF(AND(A1307="",B1307="",D1307="",G1307=""),"",IF(OR(B1307="",NOT(ISNUMBER(B1307)),C1307="",C1307="Fora dos ciclos"),"",IF(C1307="C0","Nao",IF(IFERROR(INDEX(parametros!$A$2:$A$6,MATCH(C1307,parametros!$B$2:$B$6,0)),"")&lt;&gt;"Sim","Nao",IF(IFERROR(INDEX(parametros!$H$2:$H$6,MATCH(C1307,parametros!$B$2:$B$6,0)),"")="","",IF(B1307&gt;=IFERROR(INDEX(parametros!$H$2:$H$6,MATCH(C1307,parametros!$B$2:$B$6,0)),""),"Sim","Nao"))))))</f>
        <v/>
      </c>
      <c r="T1307" s="156"/>
      <c r="U1307" s="214" t="str">
        <f t="shared" si="106"/>
        <v/>
      </c>
      <c r="V1307" s="212" t="s">
        <v>50</v>
      </c>
      <c r="W1307" s="100" t="s">
        <v>168</v>
      </c>
      <c r="X1307" s="100" t="s">
        <v>169</v>
      </c>
      <c r="Y1307" s="101" t="s">
        <v>170</v>
      </c>
      <c r="Z1307" s="101" t="s">
        <v>171</v>
      </c>
      <c r="AA1307" s="101" t="s">
        <v>50</v>
      </c>
      <c r="AB1307" s="101" t="s">
        <v>172</v>
      </c>
      <c r="AC1307" s="102" t="s">
        <v>173</v>
      </c>
    </row>
    <row r="1308" spans="1:29" ht="25.5" customHeight="1" x14ac:dyDescent="0.35">
      <c r="A1308" s="392"/>
      <c r="B1308" s="393"/>
      <c r="C1308" s="99" t="str">
        <f>IF(B1308="","",IF(NOT(ISNUMBER(B1308)),"DATA_PC invalida",IF(NOT(ISNUMBER(parametros!$C$2)),"Fora dos ciclos",IF(OR(B1308&lt;parametros!$C$2,(YEAR(B1308)-YEAR(parametros!$C$2))*12+MONTH(B1308)-MONTH(parametros!$C$2)&gt;59),"Fora dos ciclos","C"&amp;INT(((YEAR(B1308)-YEAR(parametros!$C$2))*12+MONTH(B1308)-MONTH(parametros!$C$2))/12)))))</f>
        <v/>
      </c>
      <c r="D1308" s="394"/>
      <c r="E1308" s="78" t="str">
        <f>IF(C1308="","",IFERROR(VLOOKUP(C1308,parametros!$A$11:$E$15,5,0),""))</f>
        <v/>
      </c>
      <c r="F1308" s="79" t="str">
        <f t="shared" si="102"/>
        <v/>
      </c>
      <c r="G1308" s="395"/>
      <c r="H1308" s="91">
        <f t="shared" si="103"/>
        <v>0</v>
      </c>
      <c r="I1308" s="91" t="str">
        <f t="shared" si="104"/>
        <v/>
      </c>
      <c r="J1308" s="91" t="str">
        <f t="shared" si="105"/>
        <v/>
      </c>
      <c r="K1308" s="92" t="str">
        <f>IF(AND(A1308="",B1308="",D1308="",G1308=""),"",IF(AND(A1308&lt;&gt;"",COUNTIF($A$2:$A$5001,A1308)&gt;1),"NUMERO_PC duplicado",IF(B1308="","DATA_PC vazia",IF(NOT(ISNUMBER(B1308)),"DATA_PC invalida",IF(OR(C1308="",C1308="Fora dos ciclos"),"CICLO_PC nao identificado",IF(OR(D1308="",D1308=0),"VALOR_PC vazio ou zero",IF(AND(G1308&lt;&gt;"Sim",G1308&lt;&gt;"Nao",G1308&lt;&gt;""),"PC_PAGO_A_CONTRATADA invalido",IF(AND(C1308&lt;&gt;"C0",IFERROR(INDEX(parametros!$A$2:$A$6,MATCH(C1308,parametros!$B$2:$B$6,0)),"")="Sim",IFERROR(INDEX(parametros!$H$2:$H$6,MATCH(C1308,parametros!$B$2:$B$6,0)),"")=""),"INICIO_EFEITO ausente: PC "&amp;A1308&amp;" - "&amp;C1308,IF(L1308="","EFEITO_PC nao calculado: PC "&amp;A1308&amp;" - "&amp;C1308,"OK")))))))))</f>
        <v/>
      </c>
      <c r="L1308" s="92" t="str">
        <f>IF(AND(A1308="",B1308="",D1308="",G1308=""),"",IF(OR(B1308="",NOT(ISNUMBER(B1308)),C1308="",C1308="Fora dos ciclos"),"",IF(C1308="C0","Nao",IF(IFERROR(INDEX(parametros!$A$2:$A$6,MATCH(C1308,parametros!$B$2:$B$6,0)),"")&lt;&gt;"Sim","Nao",IF(IFERROR(INDEX(parametros!$H$2:$H$6,MATCH(C1308,parametros!$B$2:$B$6,0)),"")="","",IF(B1308&gt;=IFERROR(INDEX(parametros!$H$2:$H$6,MATCH(C1308,parametros!$B$2:$B$6,0)),""),"Sim","Nao"))))))</f>
        <v/>
      </c>
      <c r="T1308" s="156"/>
      <c r="U1308" s="214" t="str">
        <f t="shared" si="106"/>
        <v/>
      </c>
      <c r="V1308" s="212" t="s">
        <v>50</v>
      </c>
      <c r="W1308" s="100" t="s">
        <v>168</v>
      </c>
      <c r="X1308" s="100" t="s">
        <v>169</v>
      </c>
      <c r="Y1308" s="101" t="s">
        <v>170</v>
      </c>
      <c r="Z1308" s="101" t="s">
        <v>171</v>
      </c>
      <c r="AA1308" s="101" t="s">
        <v>50</v>
      </c>
      <c r="AB1308" s="101" t="s">
        <v>172</v>
      </c>
      <c r="AC1308" s="102" t="s">
        <v>173</v>
      </c>
    </row>
    <row r="1309" spans="1:29" ht="25.5" customHeight="1" x14ac:dyDescent="0.35">
      <c r="A1309" s="392"/>
      <c r="B1309" s="393"/>
      <c r="C1309" s="99" t="str">
        <f>IF(B1309="","",IF(NOT(ISNUMBER(B1309)),"DATA_PC invalida",IF(NOT(ISNUMBER(parametros!$C$2)),"Fora dos ciclos",IF(OR(B1309&lt;parametros!$C$2,(YEAR(B1309)-YEAR(parametros!$C$2))*12+MONTH(B1309)-MONTH(parametros!$C$2)&gt;59),"Fora dos ciclos","C"&amp;INT(((YEAR(B1309)-YEAR(parametros!$C$2))*12+MONTH(B1309)-MONTH(parametros!$C$2))/12)))))</f>
        <v/>
      </c>
      <c r="D1309" s="394"/>
      <c r="E1309" s="78" t="str">
        <f>IF(C1309="","",IFERROR(VLOOKUP(C1309,parametros!$A$11:$E$15,5,0),""))</f>
        <v/>
      </c>
      <c r="F1309" s="79" t="str">
        <f t="shared" si="102"/>
        <v/>
      </c>
      <c r="G1309" s="395"/>
      <c r="H1309" s="91">
        <f t="shared" si="103"/>
        <v>0</v>
      </c>
      <c r="I1309" s="91" t="str">
        <f t="shared" si="104"/>
        <v/>
      </c>
      <c r="J1309" s="91" t="str">
        <f t="shared" si="105"/>
        <v/>
      </c>
      <c r="K1309" s="92" t="str">
        <f>IF(AND(A1309="",B1309="",D1309="",G1309=""),"",IF(AND(A1309&lt;&gt;"",COUNTIF($A$2:$A$5001,A1309)&gt;1),"NUMERO_PC duplicado",IF(B1309="","DATA_PC vazia",IF(NOT(ISNUMBER(B1309)),"DATA_PC invalida",IF(OR(C1309="",C1309="Fora dos ciclos"),"CICLO_PC nao identificado",IF(OR(D1309="",D1309=0),"VALOR_PC vazio ou zero",IF(AND(G1309&lt;&gt;"Sim",G1309&lt;&gt;"Nao",G1309&lt;&gt;""),"PC_PAGO_A_CONTRATADA invalido",IF(AND(C1309&lt;&gt;"C0",IFERROR(INDEX(parametros!$A$2:$A$6,MATCH(C1309,parametros!$B$2:$B$6,0)),"")="Sim",IFERROR(INDEX(parametros!$H$2:$H$6,MATCH(C1309,parametros!$B$2:$B$6,0)),"")=""),"INICIO_EFEITO ausente: PC "&amp;A1309&amp;" - "&amp;C1309,IF(L1309="","EFEITO_PC nao calculado: PC "&amp;A1309&amp;" - "&amp;C1309,"OK")))))))))</f>
        <v/>
      </c>
      <c r="L1309" s="92" t="str">
        <f>IF(AND(A1309="",B1309="",D1309="",G1309=""),"",IF(OR(B1309="",NOT(ISNUMBER(B1309)),C1309="",C1309="Fora dos ciclos"),"",IF(C1309="C0","Nao",IF(IFERROR(INDEX(parametros!$A$2:$A$6,MATCH(C1309,parametros!$B$2:$B$6,0)),"")&lt;&gt;"Sim","Nao",IF(IFERROR(INDEX(parametros!$H$2:$H$6,MATCH(C1309,parametros!$B$2:$B$6,0)),"")="","",IF(B1309&gt;=IFERROR(INDEX(parametros!$H$2:$H$6,MATCH(C1309,parametros!$B$2:$B$6,0)),""),"Sim","Nao"))))))</f>
        <v/>
      </c>
      <c r="T1309" s="156"/>
      <c r="U1309" s="214" t="str">
        <f t="shared" si="106"/>
        <v/>
      </c>
      <c r="V1309" s="212" t="s">
        <v>50</v>
      </c>
      <c r="W1309" s="100" t="s">
        <v>168</v>
      </c>
      <c r="X1309" s="100" t="s">
        <v>169</v>
      </c>
      <c r="Y1309" s="101" t="s">
        <v>170</v>
      </c>
      <c r="Z1309" s="101" t="s">
        <v>171</v>
      </c>
      <c r="AA1309" s="101" t="s">
        <v>50</v>
      </c>
      <c r="AB1309" s="101" t="s">
        <v>172</v>
      </c>
      <c r="AC1309" s="102" t="s">
        <v>173</v>
      </c>
    </row>
    <row r="1310" spans="1:29" ht="25.5" customHeight="1" x14ac:dyDescent="0.35">
      <c r="A1310" s="392"/>
      <c r="B1310" s="393"/>
      <c r="C1310" s="99" t="str">
        <f>IF(B1310="","",IF(NOT(ISNUMBER(B1310)),"DATA_PC invalida",IF(NOT(ISNUMBER(parametros!$C$2)),"Fora dos ciclos",IF(OR(B1310&lt;parametros!$C$2,(YEAR(B1310)-YEAR(parametros!$C$2))*12+MONTH(B1310)-MONTH(parametros!$C$2)&gt;59),"Fora dos ciclos","C"&amp;INT(((YEAR(B1310)-YEAR(parametros!$C$2))*12+MONTH(B1310)-MONTH(parametros!$C$2))/12)))))</f>
        <v/>
      </c>
      <c r="D1310" s="394"/>
      <c r="E1310" s="78" t="str">
        <f>IF(C1310="","",IFERROR(VLOOKUP(C1310,parametros!$A$11:$E$15,5,0),""))</f>
        <v/>
      </c>
      <c r="F1310" s="79" t="str">
        <f t="shared" si="102"/>
        <v/>
      </c>
      <c r="G1310" s="395"/>
      <c r="H1310" s="91">
        <f t="shared" si="103"/>
        <v>0</v>
      </c>
      <c r="I1310" s="91" t="str">
        <f t="shared" si="104"/>
        <v/>
      </c>
      <c r="J1310" s="91" t="str">
        <f t="shared" si="105"/>
        <v/>
      </c>
      <c r="K1310" s="92" t="str">
        <f>IF(AND(A1310="",B1310="",D1310="",G1310=""),"",IF(AND(A1310&lt;&gt;"",COUNTIF($A$2:$A$5001,A1310)&gt;1),"NUMERO_PC duplicado",IF(B1310="","DATA_PC vazia",IF(NOT(ISNUMBER(B1310)),"DATA_PC invalida",IF(OR(C1310="",C1310="Fora dos ciclos"),"CICLO_PC nao identificado",IF(OR(D1310="",D1310=0),"VALOR_PC vazio ou zero",IF(AND(G1310&lt;&gt;"Sim",G1310&lt;&gt;"Nao",G1310&lt;&gt;""),"PC_PAGO_A_CONTRATADA invalido",IF(AND(C1310&lt;&gt;"C0",IFERROR(INDEX(parametros!$A$2:$A$6,MATCH(C1310,parametros!$B$2:$B$6,0)),"")="Sim",IFERROR(INDEX(parametros!$H$2:$H$6,MATCH(C1310,parametros!$B$2:$B$6,0)),"")=""),"INICIO_EFEITO ausente: PC "&amp;A1310&amp;" - "&amp;C1310,IF(L1310="","EFEITO_PC nao calculado: PC "&amp;A1310&amp;" - "&amp;C1310,"OK")))))))))</f>
        <v/>
      </c>
      <c r="L1310" s="92" t="str">
        <f>IF(AND(A1310="",B1310="",D1310="",G1310=""),"",IF(OR(B1310="",NOT(ISNUMBER(B1310)),C1310="",C1310="Fora dos ciclos"),"",IF(C1310="C0","Nao",IF(IFERROR(INDEX(parametros!$A$2:$A$6,MATCH(C1310,parametros!$B$2:$B$6,0)),"")&lt;&gt;"Sim","Nao",IF(IFERROR(INDEX(parametros!$H$2:$H$6,MATCH(C1310,parametros!$B$2:$B$6,0)),"")="","",IF(B1310&gt;=IFERROR(INDEX(parametros!$H$2:$H$6,MATCH(C1310,parametros!$B$2:$B$6,0)),""),"Sim","Nao"))))))</f>
        <v/>
      </c>
      <c r="T1310" s="156"/>
      <c r="U1310" s="214" t="str">
        <f t="shared" si="106"/>
        <v/>
      </c>
      <c r="V1310" s="212" t="s">
        <v>50</v>
      </c>
      <c r="W1310" s="100" t="s">
        <v>168</v>
      </c>
      <c r="X1310" s="100" t="s">
        <v>169</v>
      </c>
      <c r="Y1310" s="101" t="s">
        <v>170</v>
      </c>
      <c r="Z1310" s="101" t="s">
        <v>171</v>
      </c>
      <c r="AA1310" s="101" t="s">
        <v>50</v>
      </c>
      <c r="AB1310" s="101" t="s">
        <v>172</v>
      </c>
      <c r="AC1310" s="102" t="s">
        <v>173</v>
      </c>
    </row>
    <row r="1311" spans="1:29" ht="25.5" customHeight="1" x14ac:dyDescent="0.35">
      <c r="A1311" s="392"/>
      <c r="B1311" s="393"/>
      <c r="C1311" s="99" t="str">
        <f>IF(B1311="","",IF(NOT(ISNUMBER(B1311)),"DATA_PC invalida",IF(NOT(ISNUMBER(parametros!$C$2)),"Fora dos ciclos",IF(OR(B1311&lt;parametros!$C$2,(YEAR(B1311)-YEAR(parametros!$C$2))*12+MONTH(B1311)-MONTH(parametros!$C$2)&gt;59),"Fora dos ciclos","C"&amp;INT(((YEAR(B1311)-YEAR(parametros!$C$2))*12+MONTH(B1311)-MONTH(parametros!$C$2))/12)))))</f>
        <v/>
      </c>
      <c r="D1311" s="394"/>
      <c r="E1311" s="78" t="str">
        <f>IF(C1311="","",IFERROR(VLOOKUP(C1311,parametros!$A$11:$E$15,5,0),""))</f>
        <v/>
      </c>
      <c r="F1311" s="79" t="str">
        <f t="shared" si="102"/>
        <v/>
      </c>
      <c r="G1311" s="395"/>
      <c r="H1311" s="91">
        <f t="shared" si="103"/>
        <v>0</v>
      </c>
      <c r="I1311" s="91" t="str">
        <f t="shared" si="104"/>
        <v/>
      </c>
      <c r="J1311" s="91" t="str">
        <f t="shared" si="105"/>
        <v/>
      </c>
      <c r="K1311" s="92" t="str">
        <f>IF(AND(A1311="",B1311="",D1311="",G1311=""),"",IF(AND(A1311&lt;&gt;"",COUNTIF($A$2:$A$5001,A1311)&gt;1),"NUMERO_PC duplicado",IF(B1311="","DATA_PC vazia",IF(NOT(ISNUMBER(B1311)),"DATA_PC invalida",IF(OR(C1311="",C1311="Fora dos ciclos"),"CICLO_PC nao identificado",IF(OR(D1311="",D1311=0),"VALOR_PC vazio ou zero",IF(AND(G1311&lt;&gt;"Sim",G1311&lt;&gt;"Nao",G1311&lt;&gt;""),"PC_PAGO_A_CONTRATADA invalido",IF(AND(C1311&lt;&gt;"C0",IFERROR(INDEX(parametros!$A$2:$A$6,MATCH(C1311,parametros!$B$2:$B$6,0)),"")="Sim",IFERROR(INDEX(parametros!$H$2:$H$6,MATCH(C1311,parametros!$B$2:$B$6,0)),"")=""),"INICIO_EFEITO ausente: PC "&amp;A1311&amp;" - "&amp;C1311,IF(L1311="","EFEITO_PC nao calculado: PC "&amp;A1311&amp;" - "&amp;C1311,"OK")))))))))</f>
        <v/>
      </c>
      <c r="L1311" s="92" t="str">
        <f>IF(AND(A1311="",B1311="",D1311="",G1311=""),"",IF(OR(B1311="",NOT(ISNUMBER(B1311)),C1311="",C1311="Fora dos ciclos"),"",IF(C1311="C0","Nao",IF(IFERROR(INDEX(parametros!$A$2:$A$6,MATCH(C1311,parametros!$B$2:$B$6,0)),"")&lt;&gt;"Sim","Nao",IF(IFERROR(INDEX(parametros!$H$2:$H$6,MATCH(C1311,parametros!$B$2:$B$6,0)),"")="","",IF(B1311&gt;=IFERROR(INDEX(parametros!$H$2:$H$6,MATCH(C1311,parametros!$B$2:$B$6,0)),""),"Sim","Nao"))))))</f>
        <v/>
      </c>
      <c r="T1311" s="156"/>
      <c r="U1311" s="214" t="str">
        <f t="shared" si="106"/>
        <v/>
      </c>
      <c r="V1311" s="212" t="s">
        <v>50</v>
      </c>
      <c r="W1311" s="100" t="s">
        <v>168</v>
      </c>
      <c r="X1311" s="100" t="s">
        <v>169</v>
      </c>
      <c r="Y1311" s="101" t="s">
        <v>170</v>
      </c>
      <c r="Z1311" s="101" t="s">
        <v>171</v>
      </c>
      <c r="AA1311" s="101" t="s">
        <v>50</v>
      </c>
      <c r="AB1311" s="101" t="s">
        <v>172</v>
      </c>
      <c r="AC1311" s="102" t="s">
        <v>173</v>
      </c>
    </row>
    <row r="1312" spans="1:29" ht="25.5" customHeight="1" x14ac:dyDescent="0.35">
      <c r="A1312" s="392"/>
      <c r="B1312" s="393"/>
      <c r="C1312" s="99" t="str">
        <f>IF(B1312="","",IF(NOT(ISNUMBER(B1312)),"DATA_PC invalida",IF(NOT(ISNUMBER(parametros!$C$2)),"Fora dos ciclos",IF(OR(B1312&lt;parametros!$C$2,(YEAR(B1312)-YEAR(parametros!$C$2))*12+MONTH(B1312)-MONTH(parametros!$C$2)&gt;59),"Fora dos ciclos","C"&amp;INT(((YEAR(B1312)-YEAR(parametros!$C$2))*12+MONTH(B1312)-MONTH(parametros!$C$2))/12)))))</f>
        <v/>
      </c>
      <c r="D1312" s="394"/>
      <c r="E1312" s="78" t="str">
        <f>IF(C1312="","",IFERROR(VLOOKUP(C1312,parametros!$A$11:$E$15,5,0),""))</f>
        <v/>
      </c>
      <c r="F1312" s="79" t="str">
        <f t="shared" si="102"/>
        <v/>
      </c>
      <c r="G1312" s="395"/>
      <c r="H1312" s="91">
        <f t="shared" si="103"/>
        <v>0</v>
      </c>
      <c r="I1312" s="91" t="str">
        <f t="shared" si="104"/>
        <v/>
      </c>
      <c r="J1312" s="91" t="str">
        <f t="shared" si="105"/>
        <v/>
      </c>
      <c r="K1312" s="92" t="str">
        <f>IF(AND(A1312="",B1312="",D1312="",G1312=""),"",IF(AND(A1312&lt;&gt;"",COUNTIF($A$2:$A$5001,A1312)&gt;1),"NUMERO_PC duplicado",IF(B1312="","DATA_PC vazia",IF(NOT(ISNUMBER(B1312)),"DATA_PC invalida",IF(OR(C1312="",C1312="Fora dos ciclos"),"CICLO_PC nao identificado",IF(OR(D1312="",D1312=0),"VALOR_PC vazio ou zero",IF(AND(G1312&lt;&gt;"Sim",G1312&lt;&gt;"Nao",G1312&lt;&gt;""),"PC_PAGO_A_CONTRATADA invalido",IF(AND(C1312&lt;&gt;"C0",IFERROR(INDEX(parametros!$A$2:$A$6,MATCH(C1312,parametros!$B$2:$B$6,0)),"")="Sim",IFERROR(INDEX(parametros!$H$2:$H$6,MATCH(C1312,parametros!$B$2:$B$6,0)),"")=""),"INICIO_EFEITO ausente: PC "&amp;A1312&amp;" - "&amp;C1312,IF(L1312="","EFEITO_PC nao calculado: PC "&amp;A1312&amp;" - "&amp;C1312,"OK")))))))))</f>
        <v/>
      </c>
      <c r="L1312" s="92" t="str">
        <f>IF(AND(A1312="",B1312="",D1312="",G1312=""),"",IF(OR(B1312="",NOT(ISNUMBER(B1312)),C1312="",C1312="Fora dos ciclos"),"",IF(C1312="C0","Nao",IF(IFERROR(INDEX(parametros!$A$2:$A$6,MATCH(C1312,parametros!$B$2:$B$6,0)),"")&lt;&gt;"Sim","Nao",IF(IFERROR(INDEX(parametros!$H$2:$H$6,MATCH(C1312,parametros!$B$2:$B$6,0)),"")="","",IF(B1312&gt;=IFERROR(INDEX(parametros!$H$2:$H$6,MATCH(C1312,parametros!$B$2:$B$6,0)),""),"Sim","Nao"))))))</f>
        <v/>
      </c>
      <c r="T1312" s="156"/>
      <c r="U1312" s="214" t="str">
        <f t="shared" si="106"/>
        <v/>
      </c>
      <c r="V1312" s="212" t="s">
        <v>50</v>
      </c>
      <c r="W1312" s="100" t="s">
        <v>168</v>
      </c>
      <c r="X1312" s="100" t="s">
        <v>169</v>
      </c>
      <c r="Y1312" s="101" t="s">
        <v>170</v>
      </c>
      <c r="Z1312" s="101" t="s">
        <v>171</v>
      </c>
      <c r="AA1312" s="101" t="s">
        <v>50</v>
      </c>
      <c r="AB1312" s="101" t="s">
        <v>172</v>
      </c>
      <c r="AC1312" s="102" t="s">
        <v>173</v>
      </c>
    </row>
    <row r="1313" spans="1:29" ht="25.5" customHeight="1" x14ac:dyDescent="0.35">
      <c r="A1313" s="392"/>
      <c r="B1313" s="393"/>
      <c r="C1313" s="99" t="str">
        <f>IF(B1313="","",IF(NOT(ISNUMBER(B1313)),"DATA_PC invalida",IF(NOT(ISNUMBER(parametros!$C$2)),"Fora dos ciclos",IF(OR(B1313&lt;parametros!$C$2,(YEAR(B1313)-YEAR(parametros!$C$2))*12+MONTH(B1313)-MONTH(parametros!$C$2)&gt;59),"Fora dos ciclos","C"&amp;INT(((YEAR(B1313)-YEAR(parametros!$C$2))*12+MONTH(B1313)-MONTH(parametros!$C$2))/12)))))</f>
        <v/>
      </c>
      <c r="D1313" s="394"/>
      <c r="E1313" s="78" t="str">
        <f>IF(C1313="","",IFERROR(VLOOKUP(C1313,parametros!$A$11:$E$15,5,0),""))</f>
        <v/>
      </c>
      <c r="F1313" s="79" t="str">
        <f t="shared" si="102"/>
        <v/>
      </c>
      <c r="G1313" s="395"/>
      <c r="H1313" s="91">
        <f t="shared" si="103"/>
        <v>0</v>
      </c>
      <c r="I1313" s="91" t="str">
        <f t="shared" si="104"/>
        <v/>
      </c>
      <c r="J1313" s="91" t="str">
        <f t="shared" si="105"/>
        <v/>
      </c>
      <c r="K1313" s="92" t="str">
        <f>IF(AND(A1313="",B1313="",D1313="",G1313=""),"",IF(AND(A1313&lt;&gt;"",COUNTIF($A$2:$A$5001,A1313)&gt;1),"NUMERO_PC duplicado",IF(B1313="","DATA_PC vazia",IF(NOT(ISNUMBER(B1313)),"DATA_PC invalida",IF(OR(C1313="",C1313="Fora dos ciclos"),"CICLO_PC nao identificado",IF(OR(D1313="",D1313=0),"VALOR_PC vazio ou zero",IF(AND(G1313&lt;&gt;"Sim",G1313&lt;&gt;"Nao",G1313&lt;&gt;""),"PC_PAGO_A_CONTRATADA invalido",IF(AND(C1313&lt;&gt;"C0",IFERROR(INDEX(parametros!$A$2:$A$6,MATCH(C1313,parametros!$B$2:$B$6,0)),"")="Sim",IFERROR(INDEX(parametros!$H$2:$H$6,MATCH(C1313,parametros!$B$2:$B$6,0)),"")=""),"INICIO_EFEITO ausente: PC "&amp;A1313&amp;" - "&amp;C1313,IF(L1313="","EFEITO_PC nao calculado: PC "&amp;A1313&amp;" - "&amp;C1313,"OK")))))))))</f>
        <v/>
      </c>
      <c r="L1313" s="92" t="str">
        <f>IF(AND(A1313="",B1313="",D1313="",G1313=""),"",IF(OR(B1313="",NOT(ISNUMBER(B1313)),C1313="",C1313="Fora dos ciclos"),"",IF(C1313="C0","Nao",IF(IFERROR(INDEX(parametros!$A$2:$A$6,MATCH(C1313,parametros!$B$2:$B$6,0)),"")&lt;&gt;"Sim","Nao",IF(IFERROR(INDEX(parametros!$H$2:$H$6,MATCH(C1313,parametros!$B$2:$B$6,0)),"")="","",IF(B1313&gt;=IFERROR(INDEX(parametros!$H$2:$H$6,MATCH(C1313,parametros!$B$2:$B$6,0)),""),"Sim","Nao"))))))</f>
        <v/>
      </c>
      <c r="T1313" s="156"/>
      <c r="U1313" s="214" t="str">
        <f t="shared" si="106"/>
        <v/>
      </c>
      <c r="V1313" s="212" t="s">
        <v>50</v>
      </c>
      <c r="W1313" s="100" t="s">
        <v>168</v>
      </c>
      <c r="X1313" s="100" t="s">
        <v>169</v>
      </c>
      <c r="Y1313" s="101" t="s">
        <v>170</v>
      </c>
      <c r="Z1313" s="101" t="s">
        <v>171</v>
      </c>
      <c r="AA1313" s="101" t="s">
        <v>50</v>
      </c>
      <c r="AB1313" s="101" t="s">
        <v>172</v>
      </c>
      <c r="AC1313" s="102" t="s">
        <v>173</v>
      </c>
    </row>
    <row r="1314" spans="1:29" ht="25.5" customHeight="1" x14ac:dyDescent="0.35">
      <c r="A1314" s="392"/>
      <c r="B1314" s="393"/>
      <c r="C1314" s="99" t="str">
        <f>IF(B1314="","",IF(NOT(ISNUMBER(B1314)),"DATA_PC invalida",IF(NOT(ISNUMBER(parametros!$C$2)),"Fora dos ciclos",IF(OR(B1314&lt;parametros!$C$2,(YEAR(B1314)-YEAR(parametros!$C$2))*12+MONTH(B1314)-MONTH(parametros!$C$2)&gt;59),"Fora dos ciclos","C"&amp;INT(((YEAR(B1314)-YEAR(parametros!$C$2))*12+MONTH(B1314)-MONTH(parametros!$C$2))/12)))))</f>
        <v/>
      </c>
      <c r="D1314" s="394"/>
      <c r="E1314" s="78" t="str">
        <f>IF(C1314="","",IFERROR(VLOOKUP(C1314,parametros!$A$11:$E$15,5,0),""))</f>
        <v/>
      </c>
      <c r="F1314" s="79" t="str">
        <f t="shared" si="102"/>
        <v/>
      </c>
      <c r="G1314" s="395"/>
      <c r="H1314" s="91">
        <f t="shared" si="103"/>
        <v>0</v>
      </c>
      <c r="I1314" s="91" t="str">
        <f t="shared" si="104"/>
        <v/>
      </c>
      <c r="J1314" s="91" t="str">
        <f t="shared" si="105"/>
        <v/>
      </c>
      <c r="K1314" s="92" t="str">
        <f>IF(AND(A1314="",B1314="",D1314="",G1314=""),"",IF(AND(A1314&lt;&gt;"",COUNTIF($A$2:$A$5001,A1314)&gt;1),"NUMERO_PC duplicado",IF(B1314="","DATA_PC vazia",IF(NOT(ISNUMBER(B1314)),"DATA_PC invalida",IF(OR(C1314="",C1314="Fora dos ciclos"),"CICLO_PC nao identificado",IF(OR(D1314="",D1314=0),"VALOR_PC vazio ou zero",IF(AND(G1314&lt;&gt;"Sim",G1314&lt;&gt;"Nao",G1314&lt;&gt;""),"PC_PAGO_A_CONTRATADA invalido",IF(AND(C1314&lt;&gt;"C0",IFERROR(INDEX(parametros!$A$2:$A$6,MATCH(C1314,parametros!$B$2:$B$6,0)),"")="Sim",IFERROR(INDEX(parametros!$H$2:$H$6,MATCH(C1314,parametros!$B$2:$B$6,0)),"")=""),"INICIO_EFEITO ausente: PC "&amp;A1314&amp;" - "&amp;C1314,IF(L1314="","EFEITO_PC nao calculado: PC "&amp;A1314&amp;" - "&amp;C1314,"OK")))))))))</f>
        <v/>
      </c>
      <c r="L1314" s="92" t="str">
        <f>IF(AND(A1314="",B1314="",D1314="",G1314=""),"",IF(OR(B1314="",NOT(ISNUMBER(B1314)),C1314="",C1314="Fora dos ciclos"),"",IF(C1314="C0","Nao",IF(IFERROR(INDEX(parametros!$A$2:$A$6,MATCH(C1314,parametros!$B$2:$B$6,0)),"")&lt;&gt;"Sim","Nao",IF(IFERROR(INDEX(parametros!$H$2:$H$6,MATCH(C1314,parametros!$B$2:$B$6,0)),"")="","",IF(B1314&gt;=IFERROR(INDEX(parametros!$H$2:$H$6,MATCH(C1314,parametros!$B$2:$B$6,0)),""),"Sim","Nao"))))))</f>
        <v/>
      </c>
      <c r="T1314" s="156"/>
      <c r="U1314" s="214" t="str">
        <f t="shared" si="106"/>
        <v/>
      </c>
      <c r="V1314" s="212" t="s">
        <v>50</v>
      </c>
      <c r="W1314" s="100" t="s">
        <v>168</v>
      </c>
      <c r="X1314" s="100" t="s">
        <v>169</v>
      </c>
      <c r="Y1314" s="101" t="s">
        <v>170</v>
      </c>
      <c r="Z1314" s="101" t="s">
        <v>171</v>
      </c>
      <c r="AA1314" s="101" t="s">
        <v>50</v>
      </c>
      <c r="AB1314" s="101" t="s">
        <v>172</v>
      </c>
      <c r="AC1314" s="102" t="s">
        <v>173</v>
      </c>
    </row>
    <row r="1315" spans="1:29" ht="25.5" customHeight="1" x14ac:dyDescent="0.35">
      <c r="A1315" s="392"/>
      <c r="B1315" s="393"/>
      <c r="C1315" s="99" t="str">
        <f>IF(B1315="","",IF(NOT(ISNUMBER(B1315)),"DATA_PC invalida",IF(NOT(ISNUMBER(parametros!$C$2)),"Fora dos ciclos",IF(OR(B1315&lt;parametros!$C$2,(YEAR(B1315)-YEAR(parametros!$C$2))*12+MONTH(B1315)-MONTH(parametros!$C$2)&gt;59),"Fora dos ciclos","C"&amp;INT(((YEAR(B1315)-YEAR(parametros!$C$2))*12+MONTH(B1315)-MONTH(parametros!$C$2))/12)))))</f>
        <v/>
      </c>
      <c r="D1315" s="394"/>
      <c r="E1315" s="78" t="str">
        <f>IF(C1315="","",IFERROR(VLOOKUP(C1315,parametros!$A$11:$E$15,5,0),""))</f>
        <v/>
      </c>
      <c r="F1315" s="79" t="str">
        <f t="shared" si="102"/>
        <v/>
      </c>
      <c r="G1315" s="395"/>
      <c r="H1315" s="91">
        <f t="shared" si="103"/>
        <v>0</v>
      </c>
      <c r="I1315" s="91" t="str">
        <f t="shared" si="104"/>
        <v/>
      </c>
      <c r="J1315" s="91" t="str">
        <f t="shared" si="105"/>
        <v/>
      </c>
      <c r="K1315" s="92" t="str">
        <f>IF(AND(A1315="",B1315="",D1315="",G1315=""),"",IF(AND(A1315&lt;&gt;"",COUNTIF($A$2:$A$5001,A1315)&gt;1),"NUMERO_PC duplicado",IF(B1315="","DATA_PC vazia",IF(NOT(ISNUMBER(B1315)),"DATA_PC invalida",IF(OR(C1315="",C1315="Fora dos ciclos"),"CICLO_PC nao identificado",IF(OR(D1315="",D1315=0),"VALOR_PC vazio ou zero",IF(AND(G1315&lt;&gt;"Sim",G1315&lt;&gt;"Nao",G1315&lt;&gt;""),"PC_PAGO_A_CONTRATADA invalido",IF(AND(C1315&lt;&gt;"C0",IFERROR(INDEX(parametros!$A$2:$A$6,MATCH(C1315,parametros!$B$2:$B$6,0)),"")="Sim",IFERROR(INDEX(parametros!$H$2:$H$6,MATCH(C1315,parametros!$B$2:$B$6,0)),"")=""),"INICIO_EFEITO ausente: PC "&amp;A1315&amp;" - "&amp;C1315,IF(L1315="","EFEITO_PC nao calculado: PC "&amp;A1315&amp;" - "&amp;C1315,"OK")))))))))</f>
        <v/>
      </c>
      <c r="L1315" s="92" t="str">
        <f>IF(AND(A1315="",B1315="",D1315="",G1315=""),"",IF(OR(B1315="",NOT(ISNUMBER(B1315)),C1315="",C1315="Fora dos ciclos"),"",IF(C1315="C0","Nao",IF(IFERROR(INDEX(parametros!$A$2:$A$6,MATCH(C1315,parametros!$B$2:$B$6,0)),"")&lt;&gt;"Sim","Nao",IF(IFERROR(INDEX(parametros!$H$2:$H$6,MATCH(C1315,parametros!$B$2:$B$6,0)),"")="","",IF(B1315&gt;=IFERROR(INDEX(parametros!$H$2:$H$6,MATCH(C1315,parametros!$B$2:$B$6,0)),""),"Sim","Nao"))))))</f>
        <v/>
      </c>
      <c r="T1315" s="156"/>
      <c r="U1315" s="214" t="str">
        <f t="shared" si="106"/>
        <v/>
      </c>
      <c r="V1315" s="212" t="s">
        <v>50</v>
      </c>
      <c r="W1315" s="100" t="s">
        <v>168</v>
      </c>
      <c r="X1315" s="100" t="s">
        <v>169</v>
      </c>
      <c r="Y1315" s="101" t="s">
        <v>170</v>
      </c>
      <c r="Z1315" s="101" t="s">
        <v>171</v>
      </c>
      <c r="AA1315" s="101" t="s">
        <v>50</v>
      </c>
      <c r="AB1315" s="101" t="s">
        <v>172</v>
      </c>
      <c r="AC1315" s="102" t="s">
        <v>173</v>
      </c>
    </row>
    <row r="1316" spans="1:29" ht="25.5" customHeight="1" x14ac:dyDescent="0.35">
      <c r="A1316" s="392"/>
      <c r="B1316" s="393"/>
      <c r="C1316" s="99" t="str">
        <f>IF(B1316="","",IF(NOT(ISNUMBER(B1316)),"DATA_PC invalida",IF(NOT(ISNUMBER(parametros!$C$2)),"Fora dos ciclos",IF(OR(B1316&lt;parametros!$C$2,(YEAR(B1316)-YEAR(parametros!$C$2))*12+MONTH(B1316)-MONTH(parametros!$C$2)&gt;59),"Fora dos ciclos","C"&amp;INT(((YEAR(B1316)-YEAR(parametros!$C$2))*12+MONTH(B1316)-MONTH(parametros!$C$2))/12)))))</f>
        <v/>
      </c>
      <c r="D1316" s="394"/>
      <c r="E1316" s="78" t="str">
        <f>IF(C1316="","",IFERROR(VLOOKUP(C1316,parametros!$A$11:$E$15,5,0),""))</f>
        <v/>
      </c>
      <c r="F1316" s="79" t="str">
        <f t="shared" si="102"/>
        <v/>
      </c>
      <c r="G1316" s="395"/>
      <c r="H1316" s="91">
        <f t="shared" si="103"/>
        <v>0</v>
      </c>
      <c r="I1316" s="91" t="str">
        <f t="shared" si="104"/>
        <v/>
      </c>
      <c r="J1316" s="91" t="str">
        <f t="shared" si="105"/>
        <v/>
      </c>
      <c r="K1316" s="92" t="str">
        <f>IF(AND(A1316="",B1316="",D1316="",G1316=""),"",IF(AND(A1316&lt;&gt;"",COUNTIF($A$2:$A$5001,A1316)&gt;1),"NUMERO_PC duplicado",IF(B1316="","DATA_PC vazia",IF(NOT(ISNUMBER(B1316)),"DATA_PC invalida",IF(OR(C1316="",C1316="Fora dos ciclos"),"CICLO_PC nao identificado",IF(OR(D1316="",D1316=0),"VALOR_PC vazio ou zero",IF(AND(G1316&lt;&gt;"Sim",G1316&lt;&gt;"Nao",G1316&lt;&gt;""),"PC_PAGO_A_CONTRATADA invalido",IF(AND(C1316&lt;&gt;"C0",IFERROR(INDEX(parametros!$A$2:$A$6,MATCH(C1316,parametros!$B$2:$B$6,0)),"")="Sim",IFERROR(INDEX(parametros!$H$2:$H$6,MATCH(C1316,parametros!$B$2:$B$6,0)),"")=""),"INICIO_EFEITO ausente: PC "&amp;A1316&amp;" - "&amp;C1316,IF(L1316="","EFEITO_PC nao calculado: PC "&amp;A1316&amp;" - "&amp;C1316,"OK")))))))))</f>
        <v/>
      </c>
      <c r="L1316" s="92" t="str">
        <f>IF(AND(A1316="",B1316="",D1316="",G1316=""),"",IF(OR(B1316="",NOT(ISNUMBER(B1316)),C1316="",C1316="Fora dos ciclos"),"",IF(C1316="C0","Nao",IF(IFERROR(INDEX(parametros!$A$2:$A$6,MATCH(C1316,parametros!$B$2:$B$6,0)),"")&lt;&gt;"Sim","Nao",IF(IFERROR(INDEX(parametros!$H$2:$H$6,MATCH(C1316,parametros!$B$2:$B$6,0)),"")="","",IF(B1316&gt;=IFERROR(INDEX(parametros!$H$2:$H$6,MATCH(C1316,parametros!$B$2:$B$6,0)),""),"Sim","Nao"))))))</f>
        <v/>
      </c>
      <c r="T1316" s="156"/>
      <c r="U1316" s="214" t="str">
        <f t="shared" si="106"/>
        <v/>
      </c>
      <c r="V1316" s="212" t="s">
        <v>50</v>
      </c>
      <c r="W1316" s="100" t="s">
        <v>168</v>
      </c>
      <c r="X1316" s="100" t="s">
        <v>169</v>
      </c>
      <c r="Y1316" s="101" t="s">
        <v>170</v>
      </c>
      <c r="Z1316" s="101" t="s">
        <v>171</v>
      </c>
      <c r="AA1316" s="101" t="s">
        <v>50</v>
      </c>
      <c r="AB1316" s="101" t="s">
        <v>172</v>
      </c>
      <c r="AC1316" s="102" t="s">
        <v>173</v>
      </c>
    </row>
    <row r="1317" spans="1:29" ht="25.5" customHeight="1" x14ac:dyDescent="0.35">
      <c r="A1317" s="392"/>
      <c r="B1317" s="393"/>
      <c r="C1317" s="99" t="str">
        <f>IF(B1317="","",IF(NOT(ISNUMBER(B1317)),"DATA_PC invalida",IF(NOT(ISNUMBER(parametros!$C$2)),"Fora dos ciclos",IF(OR(B1317&lt;parametros!$C$2,(YEAR(B1317)-YEAR(parametros!$C$2))*12+MONTH(B1317)-MONTH(parametros!$C$2)&gt;59),"Fora dos ciclos","C"&amp;INT(((YEAR(B1317)-YEAR(parametros!$C$2))*12+MONTH(B1317)-MONTH(parametros!$C$2))/12)))))</f>
        <v/>
      </c>
      <c r="D1317" s="394"/>
      <c r="E1317" s="78" t="str">
        <f>IF(C1317="","",IFERROR(VLOOKUP(C1317,parametros!$A$11:$E$15,5,0),""))</f>
        <v/>
      </c>
      <c r="F1317" s="79" t="str">
        <f t="shared" si="102"/>
        <v/>
      </c>
      <c r="G1317" s="395"/>
      <c r="H1317" s="91">
        <f t="shared" si="103"/>
        <v>0</v>
      </c>
      <c r="I1317" s="91" t="str">
        <f t="shared" si="104"/>
        <v/>
      </c>
      <c r="J1317" s="91" t="str">
        <f t="shared" si="105"/>
        <v/>
      </c>
      <c r="K1317" s="92" t="str">
        <f>IF(AND(A1317="",B1317="",D1317="",G1317=""),"",IF(AND(A1317&lt;&gt;"",COUNTIF($A$2:$A$5001,A1317)&gt;1),"NUMERO_PC duplicado",IF(B1317="","DATA_PC vazia",IF(NOT(ISNUMBER(B1317)),"DATA_PC invalida",IF(OR(C1317="",C1317="Fora dos ciclos"),"CICLO_PC nao identificado",IF(OR(D1317="",D1317=0),"VALOR_PC vazio ou zero",IF(AND(G1317&lt;&gt;"Sim",G1317&lt;&gt;"Nao",G1317&lt;&gt;""),"PC_PAGO_A_CONTRATADA invalido",IF(AND(C1317&lt;&gt;"C0",IFERROR(INDEX(parametros!$A$2:$A$6,MATCH(C1317,parametros!$B$2:$B$6,0)),"")="Sim",IFERROR(INDEX(parametros!$H$2:$H$6,MATCH(C1317,parametros!$B$2:$B$6,0)),"")=""),"INICIO_EFEITO ausente: PC "&amp;A1317&amp;" - "&amp;C1317,IF(L1317="","EFEITO_PC nao calculado: PC "&amp;A1317&amp;" - "&amp;C1317,"OK")))))))))</f>
        <v/>
      </c>
      <c r="L1317" s="92" t="str">
        <f>IF(AND(A1317="",B1317="",D1317="",G1317=""),"",IF(OR(B1317="",NOT(ISNUMBER(B1317)),C1317="",C1317="Fora dos ciclos"),"",IF(C1317="C0","Nao",IF(IFERROR(INDEX(parametros!$A$2:$A$6,MATCH(C1317,parametros!$B$2:$B$6,0)),"")&lt;&gt;"Sim","Nao",IF(IFERROR(INDEX(parametros!$H$2:$H$6,MATCH(C1317,parametros!$B$2:$B$6,0)),"")="","",IF(B1317&gt;=IFERROR(INDEX(parametros!$H$2:$H$6,MATCH(C1317,parametros!$B$2:$B$6,0)),""),"Sim","Nao"))))))</f>
        <v/>
      </c>
      <c r="T1317" s="156"/>
      <c r="U1317" s="214" t="str">
        <f t="shared" si="106"/>
        <v/>
      </c>
      <c r="V1317" s="212" t="s">
        <v>50</v>
      </c>
      <c r="W1317" s="100" t="s">
        <v>168</v>
      </c>
      <c r="X1317" s="100" t="s">
        <v>169</v>
      </c>
      <c r="Y1317" s="101" t="s">
        <v>170</v>
      </c>
      <c r="Z1317" s="101" t="s">
        <v>171</v>
      </c>
      <c r="AA1317" s="101" t="s">
        <v>50</v>
      </c>
      <c r="AB1317" s="101" t="s">
        <v>172</v>
      </c>
      <c r="AC1317" s="102" t="s">
        <v>173</v>
      </c>
    </row>
    <row r="1318" spans="1:29" ht="25.5" customHeight="1" x14ac:dyDescent="0.35">
      <c r="A1318" s="392"/>
      <c r="B1318" s="393"/>
      <c r="C1318" s="99" t="str">
        <f>IF(B1318="","",IF(NOT(ISNUMBER(B1318)),"DATA_PC invalida",IF(NOT(ISNUMBER(parametros!$C$2)),"Fora dos ciclos",IF(OR(B1318&lt;parametros!$C$2,(YEAR(B1318)-YEAR(parametros!$C$2))*12+MONTH(B1318)-MONTH(parametros!$C$2)&gt;59),"Fora dos ciclos","C"&amp;INT(((YEAR(B1318)-YEAR(parametros!$C$2))*12+MONTH(B1318)-MONTH(parametros!$C$2))/12)))))</f>
        <v/>
      </c>
      <c r="D1318" s="394"/>
      <c r="E1318" s="78" t="str">
        <f>IF(C1318="","",IFERROR(VLOOKUP(C1318,parametros!$A$11:$E$15,5,0),""))</f>
        <v/>
      </c>
      <c r="F1318" s="79" t="str">
        <f t="shared" si="102"/>
        <v/>
      </c>
      <c r="G1318" s="395"/>
      <c r="H1318" s="91">
        <f t="shared" si="103"/>
        <v>0</v>
      </c>
      <c r="I1318" s="91" t="str">
        <f t="shared" si="104"/>
        <v/>
      </c>
      <c r="J1318" s="91" t="str">
        <f t="shared" si="105"/>
        <v/>
      </c>
      <c r="K1318" s="92" t="str">
        <f>IF(AND(A1318="",B1318="",D1318="",G1318=""),"",IF(AND(A1318&lt;&gt;"",COUNTIF($A$2:$A$5001,A1318)&gt;1),"NUMERO_PC duplicado",IF(B1318="","DATA_PC vazia",IF(NOT(ISNUMBER(B1318)),"DATA_PC invalida",IF(OR(C1318="",C1318="Fora dos ciclos"),"CICLO_PC nao identificado",IF(OR(D1318="",D1318=0),"VALOR_PC vazio ou zero",IF(AND(G1318&lt;&gt;"Sim",G1318&lt;&gt;"Nao",G1318&lt;&gt;""),"PC_PAGO_A_CONTRATADA invalido",IF(AND(C1318&lt;&gt;"C0",IFERROR(INDEX(parametros!$A$2:$A$6,MATCH(C1318,parametros!$B$2:$B$6,0)),"")="Sim",IFERROR(INDEX(parametros!$H$2:$H$6,MATCH(C1318,parametros!$B$2:$B$6,0)),"")=""),"INICIO_EFEITO ausente: PC "&amp;A1318&amp;" - "&amp;C1318,IF(L1318="","EFEITO_PC nao calculado: PC "&amp;A1318&amp;" - "&amp;C1318,"OK")))))))))</f>
        <v/>
      </c>
      <c r="L1318" s="92" t="str">
        <f>IF(AND(A1318="",B1318="",D1318="",G1318=""),"",IF(OR(B1318="",NOT(ISNUMBER(B1318)),C1318="",C1318="Fora dos ciclos"),"",IF(C1318="C0","Nao",IF(IFERROR(INDEX(parametros!$A$2:$A$6,MATCH(C1318,parametros!$B$2:$B$6,0)),"")&lt;&gt;"Sim","Nao",IF(IFERROR(INDEX(parametros!$H$2:$H$6,MATCH(C1318,parametros!$B$2:$B$6,0)),"")="","",IF(B1318&gt;=IFERROR(INDEX(parametros!$H$2:$H$6,MATCH(C1318,parametros!$B$2:$B$6,0)),""),"Sim","Nao"))))))</f>
        <v/>
      </c>
      <c r="T1318" s="156"/>
      <c r="U1318" s="214" t="str">
        <f t="shared" si="106"/>
        <v/>
      </c>
      <c r="V1318" s="212" t="s">
        <v>50</v>
      </c>
      <c r="W1318" s="100" t="s">
        <v>168</v>
      </c>
      <c r="X1318" s="100" t="s">
        <v>169</v>
      </c>
      <c r="Y1318" s="101" t="s">
        <v>170</v>
      </c>
      <c r="Z1318" s="101" t="s">
        <v>171</v>
      </c>
      <c r="AA1318" s="101" t="s">
        <v>50</v>
      </c>
      <c r="AB1318" s="101" t="s">
        <v>172</v>
      </c>
      <c r="AC1318" s="102" t="s">
        <v>173</v>
      </c>
    </row>
    <row r="1319" spans="1:29" ht="25.5" customHeight="1" x14ac:dyDescent="0.35">
      <c r="A1319" s="392"/>
      <c r="B1319" s="393"/>
      <c r="C1319" s="99" t="str">
        <f>IF(B1319="","",IF(NOT(ISNUMBER(B1319)),"DATA_PC invalida",IF(NOT(ISNUMBER(parametros!$C$2)),"Fora dos ciclos",IF(OR(B1319&lt;parametros!$C$2,(YEAR(B1319)-YEAR(parametros!$C$2))*12+MONTH(B1319)-MONTH(parametros!$C$2)&gt;59),"Fora dos ciclos","C"&amp;INT(((YEAR(B1319)-YEAR(parametros!$C$2))*12+MONTH(B1319)-MONTH(parametros!$C$2))/12)))))</f>
        <v/>
      </c>
      <c r="D1319" s="394"/>
      <c r="E1319" s="78" t="str">
        <f>IF(C1319="","",IFERROR(VLOOKUP(C1319,parametros!$A$11:$E$15,5,0),""))</f>
        <v/>
      </c>
      <c r="F1319" s="79" t="str">
        <f t="shared" si="102"/>
        <v/>
      </c>
      <c r="G1319" s="395"/>
      <c r="H1319" s="91">
        <f t="shared" si="103"/>
        <v>0</v>
      </c>
      <c r="I1319" s="91" t="str">
        <f t="shared" si="104"/>
        <v/>
      </c>
      <c r="J1319" s="91" t="str">
        <f t="shared" si="105"/>
        <v/>
      </c>
      <c r="K1319" s="92" t="str">
        <f>IF(AND(A1319="",B1319="",D1319="",G1319=""),"",IF(AND(A1319&lt;&gt;"",COUNTIF($A$2:$A$5001,A1319)&gt;1),"NUMERO_PC duplicado",IF(B1319="","DATA_PC vazia",IF(NOT(ISNUMBER(B1319)),"DATA_PC invalida",IF(OR(C1319="",C1319="Fora dos ciclos"),"CICLO_PC nao identificado",IF(OR(D1319="",D1319=0),"VALOR_PC vazio ou zero",IF(AND(G1319&lt;&gt;"Sim",G1319&lt;&gt;"Nao",G1319&lt;&gt;""),"PC_PAGO_A_CONTRATADA invalido",IF(AND(C1319&lt;&gt;"C0",IFERROR(INDEX(parametros!$A$2:$A$6,MATCH(C1319,parametros!$B$2:$B$6,0)),"")="Sim",IFERROR(INDEX(parametros!$H$2:$H$6,MATCH(C1319,parametros!$B$2:$B$6,0)),"")=""),"INICIO_EFEITO ausente: PC "&amp;A1319&amp;" - "&amp;C1319,IF(L1319="","EFEITO_PC nao calculado: PC "&amp;A1319&amp;" - "&amp;C1319,"OK")))))))))</f>
        <v/>
      </c>
      <c r="L1319" s="92" t="str">
        <f>IF(AND(A1319="",B1319="",D1319="",G1319=""),"",IF(OR(B1319="",NOT(ISNUMBER(B1319)),C1319="",C1319="Fora dos ciclos"),"",IF(C1319="C0","Nao",IF(IFERROR(INDEX(parametros!$A$2:$A$6,MATCH(C1319,parametros!$B$2:$B$6,0)),"")&lt;&gt;"Sim","Nao",IF(IFERROR(INDEX(parametros!$H$2:$H$6,MATCH(C1319,parametros!$B$2:$B$6,0)),"")="","",IF(B1319&gt;=IFERROR(INDEX(parametros!$H$2:$H$6,MATCH(C1319,parametros!$B$2:$B$6,0)),""),"Sim","Nao"))))))</f>
        <v/>
      </c>
      <c r="T1319" s="156"/>
      <c r="U1319" s="214" t="str">
        <f t="shared" si="106"/>
        <v/>
      </c>
      <c r="V1319" s="212" t="s">
        <v>50</v>
      </c>
      <c r="W1319" s="100" t="s">
        <v>168</v>
      </c>
      <c r="X1319" s="100" t="s">
        <v>169</v>
      </c>
      <c r="Y1319" s="101" t="s">
        <v>170</v>
      </c>
      <c r="Z1319" s="101" t="s">
        <v>171</v>
      </c>
      <c r="AA1319" s="101" t="s">
        <v>50</v>
      </c>
      <c r="AB1319" s="101" t="s">
        <v>172</v>
      </c>
      <c r="AC1319" s="102" t="s">
        <v>173</v>
      </c>
    </row>
    <row r="1320" spans="1:29" ht="25.5" customHeight="1" x14ac:dyDescent="0.35">
      <c r="A1320" s="392"/>
      <c r="B1320" s="393"/>
      <c r="C1320" s="99" t="str">
        <f>IF(B1320="","",IF(NOT(ISNUMBER(B1320)),"DATA_PC invalida",IF(NOT(ISNUMBER(parametros!$C$2)),"Fora dos ciclos",IF(OR(B1320&lt;parametros!$C$2,(YEAR(B1320)-YEAR(parametros!$C$2))*12+MONTH(B1320)-MONTH(parametros!$C$2)&gt;59),"Fora dos ciclos","C"&amp;INT(((YEAR(B1320)-YEAR(parametros!$C$2))*12+MONTH(B1320)-MONTH(parametros!$C$2))/12)))))</f>
        <v/>
      </c>
      <c r="D1320" s="394"/>
      <c r="E1320" s="78" t="str">
        <f>IF(C1320="","",IFERROR(VLOOKUP(C1320,parametros!$A$11:$E$15,5,0),""))</f>
        <v/>
      </c>
      <c r="F1320" s="79" t="str">
        <f t="shared" si="102"/>
        <v/>
      </c>
      <c r="G1320" s="395"/>
      <c r="H1320" s="91">
        <f t="shared" si="103"/>
        <v>0</v>
      </c>
      <c r="I1320" s="91" t="str">
        <f t="shared" si="104"/>
        <v/>
      </c>
      <c r="J1320" s="91" t="str">
        <f t="shared" si="105"/>
        <v/>
      </c>
      <c r="K1320" s="92" t="str">
        <f>IF(AND(A1320="",B1320="",D1320="",G1320=""),"",IF(AND(A1320&lt;&gt;"",COUNTIF($A$2:$A$5001,A1320)&gt;1),"NUMERO_PC duplicado",IF(B1320="","DATA_PC vazia",IF(NOT(ISNUMBER(B1320)),"DATA_PC invalida",IF(OR(C1320="",C1320="Fora dos ciclos"),"CICLO_PC nao identificado",IF(OR(D1320="",D1320=0),"VALOR_PC vazio ou zero",IF(AND(G1320&lt;&gt;"Sim",G1320&lt;&gt;"Nao",G1320&lt;&gt;""),"PC_PAGO_A_CONTRATADA invalido",IF(AND(C1320&lt;&gt;"C0",IFERROR(INDEX(parametros!$A$2:$A$6,MATCH(C1320,parametros!$B$2:$B$6,0)),"")="Sim",IFERROR(INDEX(parametros!$H$2:$H$6,MATCH(C1320,parametros!$B$2:$B$6,0)),"")=""),"INICIO_EFEITO ausente: PC "&amp;A1320&amp;" - "&amp;C1320,IF(L1320="","EFEITO_PC nao calculado: PC "&amp;A1320&amp;" - "&amp;C1320,"OK")))))))))</f>
        <v/>
      </c>
      <c r="L1320" s="92" t="str">
        <f>IF(AND(A1320="",B1320="",D1320="",G1320=""),"",IF(OR(B1320="",NOT(ISNUMBER(B1320)),C1320="",C1320="Fora dos ciclos"),"",IF(C1320="C0","Nao",IF(IFERROR(INDEX(parametros!$A$2:$A$6,MATCH(C1320,parametros!$B$2:$B$6,0)),"")&lt;&gt;"Sim","Nao",IF(IFERROR(INDEX(parametros!$H$2:$H$6,MATCH(C1320,parametros!$B$2:$B$6,0)),"")="","",IF(B1320&gt;=IFERROR(INDEX(parametros!$H$2:$H$6,MATCH(C1320,parametros!$B$2:$B$6,0)),""),"Sim","Nao"))))))</f>
        <v/>
      </c>
      <c r="T1320" s="156"/>
      <c r="U1320" s="214" t="str">
        <f t="shared" si="106"/>
        <v/>
      </c>
      <c r="V1320" s="212" t="s">
        <v>50</v>
      </c>
      <c r="W1320" s="100" t="s">
        <v>168</v>
      </c>
      <c r="X1320" s="100" t="s">
        <v>169</v>
      </c>
      <c r="Y1320" s="101" t="s">
        <v>170</v>
      </c>
      <c r="Z1320" s="101" t="s">
        <v>171</v>
      </c>
      <c r="AA1320" s="101" t="s">
        <v>50</v>
      </c>
      <c r="AB1320" s="101" t="s">
        <v>172</v>
      </c>
      <c r="AC1320" s="102" t="s">
        <v>173</v>
      </c>
    </row>
    <row r="1321" spans="1:29" ht="25.5" customHeight="1" x14ac:dyDescent="0.35">
      <c r="A1321" s="392"/>
      <c r="B1321" s="393"/>
      <c r="C1321" s="99" t="str">
        <f>IF(B1321="","",IF(NOT(ISNUMBER(B1321)),"DATA_PC invalida",IF(NOT(ISNUMBER(parametros!$C$2)),"Fora dos ciclos",IF(OR(B1321&lt;parametros!$C$2,(YEAR(B1321)-YEAR(parametros!$C$2))*12+MONTH(B1321)-MONTH(parametros!$C$2)&gt;59),"Fora dos ciclos","C"&amp;INT(((YEAR(B1321)-YEAR(parametros!$C$2))*12+MONTH(B1321)-MONTH(parametros!$C$2))/12)))))</f>
        <v/>
      </c>
      <c r="D1321" s="394"/>
      <c r="E1321" s="78" t="str">
        <f>IF(C1321="","",IFERROR(VLOOKUP(C1321,parametros!$A$11:$E$15,5,0),""))</f>
        <v/>
      </c>
      <c r="F1321" s="79" t="str">
        <f t="shared" si="102"/>
        <v/>
      </c>
      <c r="G1321" s="395"/>
      <c r="H1321" s="91">
        <f t="shared" si="103"/>
        <v>0</v>
      </c>
      <c r="I1321" s="91" t="str">
        <f t="shared" si="104"/>
        <v/>
      </c>
      <c r="J1321" s="91" t="str">
        <f t="shared" si="105"/>
        <v/>
      </c>
      <c r="K1321" s="92" t="str">
        <f>IF(AND(A1321="",B1321="",D1321="",G1321=""),"",IF(AND(A1321&lt;&gt;"",COUNTIF($A$2:$A$5001,A1321)&gt;1),"NUMERO_PC duplicado",IF(B1321="","DATA_PC vazia",IF(NOT(ISNUMBER(B1321)),"DATA_PC invalida",IF(OR(C1321="",C1321="Fora dos ciclos"),"CICLO_PC nao identificado",IF(OR(D1321="",D1321=0),"VALOR_PC vazio ou zero",IF(AND(G1321&lt;&gt;"Sim",G1321&lt;&gt;"Nao",G1321&lt;&gt;""),"PC_PAGO_A_CONTRATADA invalido",IF(AND(C1321&lt;&gt;"C0",IFERROR(INDEX(parametros!$A$2:$A$6,MATCH(C1321,parametros!$B$2:$B$6,0)),"")="Sim",IFERROR(INDEX(parametros!$H$2:$H$6,MATCH(C1321,parametros!$B$2:$B$6,0)),"")=""),"INICIO_EFEITO ausente: PC "&amp;A1321&amp;" - "&amp;C1321,IF(L1321="","EFEITO_PC nao calculado: PC "&amp;A1321&amp;" - "&amp;C1321,"OK")))))))))</f>
        <v/>
      </c>
      <c r="L1321" s="92" t="str">
        <f>IF(AND(A1321="",B1321="",D1321="",G1321=""),"",IF(OR(B1321="",NOT(ISNUMBER(B1321)),C1321="",C1321="Fora dos ciclos"),"",IF(C1321="C0","Nao",IF(IFERROR(INDEX(parametros!$A$2:$A$6,MATCH(C1321,parametros!$B$2:$B$6,0)),"")&lt;&gt;"Sim","Nao",IF(IFERROR(INDEX(parametros!$H$2:$H$6,MATCH(C1321,parametros!$B$2:$B$6,0)),"")="","",IF(B1321&gt;=IFERROR(INDEX(parametros!$H$2:$H$6,MATCH(C1321,parametros!$B$2:$B$6,0)),""),"Sim","Nao"))))))</f>
        <v/>
      </c>
      <c r="T1321" s="156"/>
      <c r="U1321" s="214" t="str">
        <f t="shared" si="106"/>
        <v/>
      </c>
      <c r="V1321" s="212" t="s">
        <v>50</v>
      </c>
      <c r="W1321" s="100" t="s">
        <v>168</v>
      </c>
      <c r="X1321" s="100" t="s">
        <v>169</v>
      </c>
      <c r="Y1321" s="101" t="s">
        <v>170</v>
      </c>
      <c r="Z1321" s="101" t="s">
        <v>171</v>
      </c>
      <c r="AA1321" s="101" t="s">
        <v>50</v>
      </c>
      <c r="AB1321" s="101" t="s">
        <v>172</v>
      </c>
      <c r="AC1321" s="102" t="s">
        <v>173</v>
      </c>
    </row>
    <row r="1322" spans="1:29" ht="25.5" customHeight="1" x14ac:dyDescent="0.35">
      <c r="A1322" s="392"/>
      <c r="B1322" s="393"/>
      <c r="C1322" s="99" t="str">
        <f>IF(B1322="","",IF(NOT(ISNUMBER(B1322)),"DATA_PC invalida",IF(NOT(ISNUMBER(parametros!$C$2)),"Fora dos ciclos",IF(OR(B1322&lt;parametros!$C$2,(YEAR(B1322)-YEAR(parametros!$C$2))*12+MONTH(B1322)-MONTH(parametros!$C$2)&gt;59),"Fora dos ciclos","C"&amp;INT(((YEAR(B1322)-YEAR(parametros!$C$2))*12+MONTH(B1322)-MONTH(parametros!$C$2))/12)))))</f>
        <v/>
      </c>
      <c r="D1322" s="394"/>
      <c r="E1322" s="78" t="str">
        <f>IF(C1322="","",IFERROR(VLOOKUP(C1322,parametros!$A$11:$E$15,5,0),""))</f>
        <v/>
      </c>
      <c r="F1322" s="79" t="str">
        <f t="shared" si="102"/>
        <v/>
      </c>
      <c r="G1322" s="395"/>
      <c r="H1322" s="91">
        <f t="shared" si="103"/>
        <v>0</v>
      </c>
      <c r="I1322" s="91" t="str">
        <f t="shared" si="104"/>
        <v/>
      </c>
      <c r="J1322" s="91" t="str">
        <f t="shared" si="105"/>
        <v/>
      </c>
      <c r="K1322" s="92" t="str">
        <f>IF(AND(A1322="",B1322="",D1322="",G1322=""),"",IF(AND(A1322&lt;&gt;"",COUNTIF($A$2:$A$5001,A1322)&gt;1),"NUMERO_PC duplicado",IF(B1322="","DATA_PC vazia",IF(NOT(ISNUMBER(B1322)),"DATA_PC invalida",IF(OR(C1322="",C1322="Fora dos ciclos"),"CICLO_PC nao identificado",IF(OR(D1322="",D1322=0),"VALOR_PC vazio ou zero",IF(AND(G1322&lt;&gt;"Sim",G1322&lt;&gt;"Nao",G1322&lt;&gt;""),"PC_PAGO_A_CONTRATADA invalido",IF(AND(C1322&lt;&gt;"C0",IFERROR(INDEX(parametros!$A$2:$A$6,MATCH(C1322,parametros!$B$2:$B$6,0)),"")="Sim",IFERROR(INDEX(parametros!$H$2:$H$6,MATCH(C1322,parametros!$B$2:$B$6,0)),"")=""),"INICIO_EFEITO ausente: PC "&amp;A1322&amp;" - "&amp;C1322,IF(L1322="","EFEITO_PC nao calculado: PC "&amp;A1322&amp;" - "&amp;C1322,"OK")))))))))</f>
        <v/>
      </c>
      <c r="L1322" s="92" t="str">
        <f>IF(AND(A1322="",B1322="",D1322="",G1322=""),"",IF(OR(B1322="",NOT(ISNUMBER(B1322)),C1322="",C1322="Fora dos ciclos"),"",IF(C1322="C0","Nao",IF(IFERROR(INDEX(parametros!$A$2:$A$6,MATCH(C1322,parametros!$B$2:$B$6,0)),"")&lt;&gt;"Sim","Nao",IF(IFERROR(INDEX(parametros!$H$2:$H$6,MATCH(C1322,parametros!$B$2:$B$6,0)),"")="","",IF(B1322&gt;=IFERROR(INDEX(parametros!$H$2:$H$6,MATCH(C1322,parametros!$B$2:$B$6,0)),""),"Sim","Nao"))))))</f>
        <v/>
      </c>
      <c r="T1322" s="156"/>
      <c r="U1322" s="214" t="str">
        <f t="shared" si="106"/>
        <v/>
      </c>
      <c r="V1322" s="212" t="s">
        <v>50</v>
      </c>
      <c r="W1322" s="100" t="s">
        <v>168</v>
      </c>
      <c r="X1322" s="100" t="s">
        <v>169</v>
      </c>
      <c r="Y1322" s="101" t="s">
        <v>170</v>
      </c>
      <c r="Z1322" s="101" t="s">
        <v>171</v>
      </c>
      <c r="AA1322" s="101" t="s">
        <v>50</v>
      </c>
      <c r="AB1322" s="101" t="s">
        <v>172</v>
      </c>
      <c r="AC1322" s="102" t="s">
        <v>173</v>
      </c>
    </row>
    <row r="1323" spans="1:29" ht="25.5" customHeight="1" x14ac:dyDescent="0.35">
      <c r="A1323" s="392"/>
      <c r="B1323" s="393"/>
      <c r="C1323" s="99" t="str">
        <f>IF(B1323="","",IF(NOT(ISNUMBER(B1323)),"DATA_PC invalida",IF(NOT(ISNUMBER(parametros!$C$2)),"Fora dos ciclos",IF(OR(B1323&lt;parametros!$C$2,(YEAR(B1323)-YEAR(parametros!$C$2))*12+MONTH(B1323)-MONTH(parametros!$C$2)&gt;59),"Fora dos ciclos","C"&amp;INT(((YEAR(B1323)-YEAR(parametros!$C$2))*12+MONTH(B1323)-MONTH(parametros!$C$2))/12)))))</f>
        <v/>
      </c>
      <c r="D1323" s="394"/>
      <c r="E1323" s="78" t="str">
        <f>IF(C1323="","",IFERROR(VLOOKUP(C1323,parametros!$A$11:$E$15,5,0),""))</f>
        <v/>
      </c>
      <c r="F1323" s="79" t="str">
        <f t="shared" si="102"/>
        <v/>
      </c>
      <c r="G1323" s="395"/>
      <c r="H1323" s="91">
        <f t="shared" si="103"/>
        <v>0</v>
      </c>
      <c r="I1323" s="91" t="str">
        <f t="shared" si="104"/>
        <v/>
      </c>
      <c r="J1323" s="91" t="str">
        <f t="shared" si="105"/>
        <v/>
      </c>
      <c r="K1323" s="92" t="str">
        <f>IF(AND(A1323="",B1323="",D1323="",G1323=""),"",IF(AND(A1323&lt;&gt;"",COUNTIF($A$2:$A$5001,A1323)&gt;1),"NUMERO_PC duplicado",IF(B1323="","DATA_PC vazia",IF(NOT(ISNUMBER(B1323)),"DATA_PC invalida",IF(OR(C1323="",C1323="Fora dos ciclos"),"CICLO_PC nao identificado",IF(OR(D1323="",D1323=0),"VALOR_PC vazio ou zero",IF(AND(G1323&lt;&gt;"Sim",G1323&lt;&gt;"Nao",G1323&lt;&gt;""),"PC_PAGO_A_CONTRATADA invalido",IF(AND(C1323&lt;&gt;"C0",IFERROR(INDEX(parametros!$A$2:$A$6,MATCH(C1323,parametros!$B$2:$B$6,0)),"")="Sim",IFERROR(INDEX(parametros!$H$2:$H$6,MATCH(C1323,parametros!$B$2:$B$6,0)),"")=""),"INICIO_EFEITO ausente: PC "&amp;A1323&amp;" - "&amp;C1323,IF(L1323="","EFEITO_PC nao calculado: PC "&amp;A1323&amp;" - "&amp;C1323,"OK")))))))))</f>
        <v/>
      </c>
      <c r="L1323" s="92" t="str">
        <f>IF(AND(A1323="",B1323="",D1323="",G1323=""),"",IF(OR(B1323="",NOT(ISNUMBER(B1323)),C1323="",C1323="Fora dos ciclos"),"",IF(C1323="C0","Nao",IF(IFERROR(INDEX(parametros!$A$2:$A$6,MATCH(C1323,parametros!$B$2:$B$6,0)),"")&lt;&gt;"Sim","Nao",IF(IFERROR(INDEX(parametros!$H$2:$H$6,MATCH(C1323,parametros!$B$2:$B$6,0)),"")="","",IF(B1323&gt;=IFERROR(INDEX(parametros!$H$2:$H$6,MATCH(C1323,parametros!$B$2:$B$6,0)),""),"Sim","Nao"))))))</f>
        <v/>
      </c>
      <c r="T1323" s="156"/>
      <c r="U1323" s="214" t="str">
        <f t="shared" si="106"/>
        <v/>
      </c>
      <c r="V1323" s="212" t="s">
        <v>50</v>
      </c>
      <c r="W1323" s="100" t="s">
        <v>168</v>
      </c>
      <c r="X1323" s="100" t="s">
        <v>169</v>
      </c>
      <c r="Y1323" s="101" t="s">
        <v>170</v>
      </c>
      <c r="Z1323" s="101" t="s">
        <v>171</v>
      </c>
      <c r="AA1323" s="101" t="s">
        <v>50</v>
      </c>
      <c r="AB1323" s="101" t="s">
        <v>172</v>
      </c>
      <c r="AC1323" s="102" t="s">
        <v>173</v>
      </c>
    </row>
    <row r="1324" spans="1:29" ht="25.5" customHeight="1" x14ac:dyDescent="0.35">
      <c r="A1324" s="392"/>
      <c r="B1324" s="393"/>
      <c r="C1324" s="99" t="str">
        <f>IF(B1324="","",IF(NOT(ISNUMBER(B1324)),"DATA_PC invalida",IF(NOT(ISNUMBER(parametros!$C$2)),"Fora dos ciclos",IF(OR(B1324&lt;parametros!$C$2,(YEAR(B1324)-YEAR(parametros!$C$2))*12+MONTH(B1324)-MONTH(parametros!$C$2)&gt;59),"Fora dos ciclos","C"&amp;INT(((YEAR(B1324)-YEAR(parametros!$C$2))*12+MONTH(B1324)-MONTH(parametros!$C$2))/12)))))</f>
        <v/>
      </c>
      <c r="D1324" s="394"/>
      <c r="E1324" s="78" t="str">
        <f>IF(C1324="","",IFERROR(VLOOKUP(C1324,parametros!$A$11:$E$15,5,0),""))</f>
        <v/>
      </c>
      <c r="F1324" s="79" t="str">
        <f t="shared" si="102"/>
        <v/>
      </c>
      <c r="G1324" s="395"/>
      <c r="H1324" s="91">
        <f t="shared" si="103"/>
        <v>0</v>
      </c>
      <c r="I1324" s="91" t="str">
        <f t="shared" si="104"/>
        <v/>
      </c>
      <c r="J1324" s="91" t="str">
        <f t="shared" si="105"/>
        <v/>
      </c>
      <c r="K1324" s="92" t="str">
        <f>IF(AND(A1324="",B1324="",D1324="",G1324=""),"",IF(AND(A1324&lt;&gt;"",COUNTIF($A$2:$A$5001,A1324)&gt;1),"NUMERO_PC duplicado",IF(B1324="","DATA_PC vazia",IF(NOT(ISNUMBER(B1324)),"DATA_PC invalida",IF(OR(C1324="",C1324="Fora dos ciclos"),"CICLO_PC nao identificado",IF(OR(D1324="",D1324=0),"VALOR_PC vazio ou zero",IF(AND(G1324&lt;&gt;"Sim",G1324&lt;&gt;"Nao",G1324&lt;&gt;""),"PC_PAGO_A_CONTRATADA invalido",IF(AND(C1324&lt;&gt;"C0",IFERROR(INDEX(parametros!$A$2:$A$6,MATCH(C1324,parametros!$B$2:$B$6,0)),"")="Sim",IFERROR(INDEX(parametros!$H$2:$H$6,MATCH(C1324,parametros!$B$2:$B$6,0)),"")=""),"INICIO_EFEITO ausente: PC "&amp;A1324&amp;" - "&amp;C1324,IF(L1324="","EFEITO_PC nao calculado: PC "&amp;A1324&amp;" - "&amp;C1324,"OK")))))))))</f>
        <v/>
      </c>
      <c r="L1324" s="92" t="str">
        <f>IF(AND(A1324="",B1324="",D1324="",G1324=""),"",IF(OR(B1324="",NOT(ISNUMBER(B1324)),C1324="",C1324="Fora dos ciclos"),"",IF(C1324="C0","Nao",IF(IFERROR(INDEX(parametros!$A$2:$A$6,MATCH(C1324,parametros!$B$2:$B$6,0)),"")&lt;&gt;"Sim","Nao",IF(IFERROR(INDEX(parametros!$H$2:$H$6,MATCH(C1324,parametros!$B$2:$B$6,0)),"")="","",IF(B1324&gt;=IFERROR(INDEX(parametros!$H$2:$H$6,MATCH(C1324,parametros!$B$2:$B$6,0)),""),"Sim","Nao"))))))</f>
        <v/>
      </c>
      <c r="T1324" s="156"/>
      <c r="U1324" s="214" t="str">
        <f t="shared" si="106"/>
        <v/>
      </c>
      <c r="V1324" s="212" t="s">
        <v>50</v>
      </c>
      <c r="W1324" s="100" t="s">
        <v>168</v>
      </c>
      <c r="X1324" s="100" t="s">
        <v>169</v>
      </c>
      <c r="Y1324" s="101" t="s">
        <v>170</v>
      </c>
      <c r="Z1324" s="101" t="s">
        <v>171</v>
      </c>
      <c r="AA1324" s="101" t="s">
        <v>50</v>
      </c>
      <c r="AB1324" s="101" t="s">
        <v>172</v>
      </c>
      <c r="AC1324" s="102" t="s">
        <v>173</v>
      </c>
    </row>
    <row r="1325" spans="1:29" ht="25.5" customHeight="1" x14ac:dyDescent="0.35">
      <c r="A1325" s="392"/>
      <c r="B1325" s="393"/>
      <c r="C1325" s="99" t="str">
        <f>IF(B1325="","",IF(NOT(ISNUMBER(B1325)),"DATA_PC invalida",IF(NOT(ISNUMBER(parametros!$C$2)),"Fora dos ciclos",IF(OR(B1325&lt;parametros!$C$2,(YEAR(B1325)-YEAR(parametros!$C$2))*12+MONTH(B1325)-MONTH(parametros!$C$2)&gt;59),"Fora dos ciclos","C"&amp;INT(((YEAR(B1325)-YEAR(parametros!$C$2))*12+MONTH(B1325)-MONTH(parametros!$C$2))/12)))))</f>
        <v/>
      </c>
      <c r="D1325" s="394"/>
      <c r="E1325" s="78" t="str">
        <f>IF(C1325="","",IFERROR(VLOOKUP(C1325,parametros!$A$11:$E$15,5,0),""))</f>
        <v/>
      </c>
      <c r="F1325" s="79" t="str">
        <f t="shared" si="102"/>
        <v/>
      </c>
      <c r="G1325" s="395"/>
      <c r="H1325" s="91">
        <f t="shared" si="103"/>
        <v>0</v>
      </c>
      <c r="I1325" s="91" t="str">
        <f t="shared" si="104"/>
        <v/>
      </c>
      <c r="J1325" s="91" t="str">
        <f t="shared" si="105"/>
        <v/>
      </c>
      <c r="K1325" s="92" t="str">
        <f>IF(AND(A1325="",B1325="",D1325="",G1325=""),"",IF(AND(A1325&lt;&gt;"",COUNTIF($A$2:$A$5001,A1325)&gt;1),"NUMERO_PC duplicado",IF(B1325="","DATA_PC vazia",IF(NOT(ISNUMBER(B1325)),"DATA_PC invalida",IF(OR(C1325="",C1325="Fora dos ciclos"),"CICLO_PC nao identificado",IF(OR(D1325="",D1325=0),"VALOR_PC vazio ou zero",IF(AND(G1325&lt;&gt;"Sim",G1325&lt;&gt;"Nao",G1325&lt;&gt;""),"PC_PAGO_A_CONTRATADA invalido",IF(AND(C1325&lt;&gt;"C0",IFERROR(INDEX(parametros!$A$2:$A$6,MATCH(C1325,parametros!$B$2:$B$6,0)),"")="Sim",IFERROR(INDEX(parametros!$H$2:$H$6,MATCH(C1325,parametros!$B$2:$B$6,0)),"")=""),"INICIO_EFEITO ausente: PC "&amp;A1325&amp;" - "&amp;C1325,IF(L1325="","EFEITO_PC nao calculado: PC "&amp;A1325&amp;" - "&amp;C1325,"OK")))))))))</f>
        <v/>
      </c>
      <c r="L1325" s="92" t="str">
        <f>IF(AND(A1325="",B1325="",D1325="",G1325=""),"",IF(OR(B1325="",NOT(ISNUMBER(B1325)),C1325="",C1325="Fora dos ciclos"),"",IF(C1325="C0","Nao",IF(IFERROR(INDEX(parametros!$A$2:$A$6,MATCH(C1325,parametros!$B$2:$B$6,0)),"")&lt;&gt;"Sim","Nao",IF(IFERROR(INDEX(parametros!$H$2:$H$6,MATCH(C1325,parametros!$B$2:$B$6,0)),"")="","",IF(B1325&gt;=IFERROR(INDEX(parametros!$H$2:$H$6,MATCH(C1325,parametros!$B$2:$B$6,0)),""),"Sim","Nao"))))))</f>
        <v/>
      </c>
      <c r="T1325" s="156"/>
      <c r="U1325" s="214" t="str">
        <f t="shared" si="106"/>
        <v/>
      </c>
      <c r="V1325" s="212" t="s">
        <v>50</v>
      </c>
      <c r="W1325" s="100" t="s">
        <v>168</v>
      </c>
      <c r="X1325" s="100" t="s">
        <v>169</v>
      </c>
      <c r="Y1325" s="101" t="s">
        <v>170</v>
      </c>
      <c r="Z1325" s="101" t="s">
        <v>171</v>
      </c>
      <c r="AA1325" s="101" t="s">
        <v>50</v>
      </c>
      <c r="AB1325" s="101" t="s">
        <v>172</v>
      </c>
      <c r="AC1325" s="102" t="s">
        <v>173</v>
      </c>
    </row>
    <row r="1326" spans="1:29" ht="25.5" customHeight="1" x14ac:dyDescent="0.35">
      <c r="A1326" s="392"/>
      <c r="B1326" s="393"/>
      <c r="C1326" s="99" t="str">
        <f>IF(B1326="","",IF(NOT(ISNUMBER(B1326)),"DATA_PC invalida",IF(NOT(ISNUMBER(parametros!$C$2)),"Fora dos ciclos",IF(OR(B1326&lt;parametros!$C$2,(YEAR(B1326)-YEAR(parametros!$C$2))*12+MONTH(B1326)-MONTH(parametros!$C$2)&gt;59),"Fora dos ciclos","C"&amp;INT(((YEAR(B1326)-YEAR(parametros!$C$2))*12+MONTH(B1326)-MONTH(parametros!$C$2))/12)))))</f>
        <v/>
      </c>
      <c r="D1326" s="394"/>
      <c r="E1326" s="78" t="str">
        <f>IF(C1326="","",IFERROR(VLOOKUP(C1326,parametros!$A$11:$E$15,5,0),""))</f>
        <v/>
      </c>
      <c r="F1326" s="79" t="str">
        <f t="shared" si="102"/>
        <v/>
      </c>
      <c r="G1326" s="395"/>
      <c r="H1326" s="91">
        <f t="shared" si="103"/>
        <v>0</v>
      </c>
      <c r="I1326" s="91" t="str">
        <f t="shared" si="104"/>
        <v/>
      </c>
      <c r="J1326" s="91" t="str">
        <f t="shared" si="105"/>
        <v/>
      </c>
      <c r="K1326" s="92" t="str">
        <f>IF(AND(A1326="",B1326="",D1326="",G1326=""),"",IF(AND(A1326&lt;&gt;"",COUNTIF($A$2:$A$5001,A1326)&gt;1),"NUMERO_PC duplicado",IF(B1326="","DATA_PC vazia",IF(NOT(ISNUMBER(B1326)),"DATA_PC invalida",IF(OR(C1326="",C1326="Fora dos ciclos"),"CICLO_PC nao identificado",IF(OR(D1326="",D1326=0),"VALOR_PC vazio ou zero",IF(AND(G1326&lt;&gt;"Sim",G1326&lt;&gt;"Nao",G1326&lt;&gt;""),"PC_PAGO_A_CONTRATADA invalido",IF(AND(C1326&lt;&gt;"C0",IFERROR(INDEX(parametros!$A$2:$A$6,MATCH(C1326,parametros!$B$2:$B$6,0)),"")="Sim",IFERROR(INDEX(parametros!$H$2:$H$6,MATCH(C1326,parametros!$B$2:$B$6,0)),"")=""),"INICIO_EFEITO ausente: PC "&amp;A1326&amp;" - "&amp;C1326,IF(L1326="","EFEITO_PC nao calculado: PC "&amp;A1326&amp;" - "&amp;C1326,"OK")))))))))</f>
        <v/>
      </c>
      <c r="L1326" s="92" t="str">
        <f>IF(AND(A1326="",B1326="",D1326="",G1326=""),"",IF(OR(B1326="",NOT(ISNUMBER(B1326)),C1326="",C1326="Fora dos ciclos"),"",IF(C1326="C0","Nao",IF(IFERROR(INDEX(parametros!$A$2:$A$6,MATCH(C1326,parametros!$B$2:$B$6,0)),"")&lt;&gt;"Sim","Nao",IF(IFERROR(INDEX(parametros!$H$2:$H$6,MATCH(C1326,parametros!$B$2:$B$6,0)),"")="","",IF(B1326&gt;=IFERROR(INDEX(parametros!$H$2:$H$6,MATCH(C1326,parametros!$B$2:$B$6,0)),""),"Sim","Nao"))))))</f>
        <v/>
      </c>
      <c r="T1326" s="156"/>
      <c r="U1326" s="214" t="str">
        <f t="shared" si="106"/>
        <v/>
      </c>
      <c r="V1326" s="212" t="s">
        <v>50</v>
      </c>
      <c r="W1326" s="100" t="s">
        <v>168</v>
      </c>
      <c r="X1326" s="100" t="s">
        <v>169</v>
      </c>
      <c r="Y1326" s="101" t="s">
        <v>170</v>
      </c>
      <c r="Z1326" s="101" t="s">
        <v>171</v>
      </c>
      <c r="AA1326" s="101" t="s">
        <v>50</v>
      </c>
      <c r="AB1326" s="101" t="s">
        <v>172</v>
      </c>
      <c r="AC1326" s="102" t="s">
        <v>173</v>
      </c>
    </row>
    <row r="1327" spans="1:29" ht="25.5" customHeight="1" x14ac:dyDescent="0.35">
      <c r="A1327" s="392"/>
      <c r="B1327" s="393"/>
      <c r="C1327" s="99" t="str">
        <f>IF(B1327="","",IF(NOT(ISNUMBER(B1327)),"DATA_PC invalida",IF(NOT(ISNUMBER(parametros!$C$2)),"Fora dos ciclos",IF(OR(B1327&lt;parametros!$C$2,(YEAR(B1327)-YEAR(parametros!$C$2))*12+MONTH(B1327)-MONTH(parametros!$C$2)&gt;59),"Fora dos ciclos","C"&amp;INT(((YEAR(B1327)-YEAR(parametros!$C$2))*12+MONTH(B1327)-MONTH(parametros!$C$2))/12)))))</f>
        <v/>
      </c>
      <c r="D1327" s="394"/>
      <c r="E1327" s="78" t="str">
        <f>IF(C1327="","",IFERROR(VLOOKUP(C1327,parametros!$A$11:$E$15,5,0),""))</f>
        <v/>
      </c>
      <c r="F1327" s="79" t="str">
        <f t="shared" si="102"/>
        <v/>
      </c>
      <c r="G1327" s="395"/>
      <c r="H1327" s="91">
        <f t="shared" si="103"/>
        <v>0</v>
      </c>
      <c r="I1327" s="91" t="str">
        <f t="shared" si="104"/>
        <v/>
      </c>
      <c r="J1327" s="91" t="str">
        <f t="shared" si="105"/>
        <v/>
      </c>
      <c r="K1327" s="92" t="str">
        <f>IF(AND(A1327="",B1327="",D1327="",G1327=""),"",IF(AND(A1327&lt;&gt;"",COUNTIF($A$2:$A$5001,A1327)&gt;1),"NUMERO_PC duplicado",IF(B1327="","DATA_PC vazia",IF(NOT(ISNUMBER(B1327)),"DATA_PC invalida",IF(OR(C1327="",C1327="Fora dos ciclos"),"CICLO_PC nao identificado",IF(OR(D1327="",D1327=0),"VALOR_PC vazio ou zero",IF(AND(G1327&lt;&gt;"Sim",G1327&lt;&gt;"Nao",G1327&lt;&gt;""),"PC_PAGO_A_CONTRATADA invalido",IF(AND(C1327&lt;&gt;"C0",IFERROR(INDEX(parametros!$A$2:$A$6,MATCH(C1327,parametros!$B$2:$B$6,0)),"")="Sim",IFERROR(INDEX(parametros!$H$2:$H$6,MATCH(C1327,parametros!$B$2:$B$6,0)),"")=""),"INICIO_EFEITO ausente: PC "&amp;A1327&amp;" - "&amp;C1327,IF(L1327="","EFEITO_PC nao calculado: PC "&amp;A1327&amp;" - "&amp;C1327,"OK")))))))))</f>
        <v/>
      </c>
      <c r="L1327" s="92" t="str">
        <f>IF(AND(A1327="",B1327="",D1327="",G1327=""),"",IF(OR(B1327="",NOT(ISNUMBER(B1327)),C1327="",C1327="Fora dos ciclos"),"",IF(C1327="C0","Nao",IF(IFERROR(INDEX(parametros!$A$2:$A$6,MATCH(C1327,parametros!$B$2:$B$6,0)),"")&lt;&gt;"Sim","Nao",IF(IFERROR(INDEX(parametros!$H$2:$H$6,MATCH(C1327,parametros!$B$2:$B$6,0)),"")="","",IF(B1327&gt;=IFERROR(INDEX(parametros!$H$2:$H$6,MATCH(C1327,parametros!$B$2:$B$6,0)),""),"Sim","Nao"))))))</f>
        <v/>
      </c>
      <c r="T1327" s="156"/>
      <c r="U1327" s="214" t="str">
        <f t="shared" si="106"/>
        <v/>
      </c>
      <c r="V1327" s="212" t="s">
        <v>50</v>
      </c>
      <c r="W1327" s="100" t="s">
        <v>168</v>
      </c>
      <c r="X1327" s="100" t="s">
        <v>169</v>
      </c>
      <c r="Y1327" s="101" t="s">
        <v>170</v>
      </c>
      <c r="Z1327" s="101" t="s">
        <v>171</v>
      </c>
      <c r="AA1327" s="101" t="s">
        <v>50</v>
      </c>
      <c r="AB1327" s="101" t="s">
        <v>172</v>
      </c>
      <c r="AC1327" s="102" t="s">
        <v>173</v>
      </c>
    </row>
    <row r="1328" spans="1:29" ht="25.5" customHeight="1" x14ac:dyDescent="0.35">
      <c r="A1328" s="392"/>
      <c r="B1328" s="393"/>
      <c r="C1328" s="99" t="str">
        <f>IF(B1328="","",IF(NOT(ISNUMBER(B1328)),"DATA_PC invalida",IF(NOT(ISNUMBER(parametros!$C$2)),"Fora dos ciclos",IF(OR(B1328&lt;parametros!$C$2,(YEAR(B1328)-YEAR(parametros!$C$2))*12+MONTH(B1328)-MONTH(parametros!$C$2)&gt;59),"Fora dos ciclos","C"&amp;INT(((YEAR(B1328)-YEAR(parametros!$C$2))*12+MONTH(B1328)-MONTH(parametros!$C$2))/12)))))</f>
        <v/>
      </c>
      <c r="D1328" s="394"/>
      <c r="E1328" s="78" t="str">
        <f>IF(C1328="","",IFERROR(VLOOKUP(C1328,parametros!$A$11:$E$15,5,0),""))</f>
        <v/>
      </c>
      <c r="F1328" s="79" t="str">
        <f t="shared" si="102"/>
        <v/>
      </c>
      <c r="G1328" s="395"/>
      <c r="H1328" s="91">
        <f t="shared" si="103"/>
        <v>0</v>
      </c>
      <c r="I1328" s="91" t="str">
        <f t="shared" si="104"/>
        <v/>
      </c>
      <c r="J1328" s="91" t="str">
        <f t="shared" si="105"/>
        <v/>
      </c>
      <c r="K1328" s="92" t="str">
        <f>IF(AND(A1328="",B1328="",D1328="",G1328=""),"",IF(AND(A1328&lt;&gt;"",COUNTIF($A$2:$A$5001,A1328)&gt;1),"NUMERO_PC duplicado",IF(B1328="","DATA_PC vazia",IF(NOT(ISNUMBER(B1328)),"DATA_PC invalida",IF(OR(C1328="",C1328="Fora dos ciclos"),"CICLO_PC nao identificado",IF(OR(D1328="",D1328=0),"VALOR_PC vazio ou zero",IF(AND(G1328&lt;&gt;"Sim",G1328&lt;&gt;"Nao",G1328&lt;&gt;""),"PC_PAGO_A_CONTRATADA invalido",IF(AND(C1328&lt;&gt;"C0",IFERROR(INDEX(parametros!$A$2:$A$6,MATCH(C1328,parametros!$B$2:$B$6,0)),"")="Sim",IFERROR(INDEX(parametros!$H$2:$H$6,MATCH(C1328,parametros!$B$2:$B$6,0)),"")=""),"INICIO_EFEITO ausente: PC "&amp;A1328&amp;" - "&amp;C1328,IF(L1328="","EFEITO_PC nao calculado: PC "&amp;A1328&amp;" - "&amp;C1328,"OK")))))))))</f>
        <v/>
      </c>
      <c r="L1328" s="92" t="str">
        <f>IF(AND(A1328="",B1328="",D1328="",G1328=""),"",IF(OR(B1328="",NOT(ISNUMBER(B1328)),C1328="",C1328="Fora dos ciclos"),"",IF(C1328="C0","Nao",IF(IFERROR(INDEX(parametros!$A$2:$A$6,MATCH(C1328,parametros!$B$2:$B$6,0)),"")&lt;&gt;"Sim","Nao",IF(IFERROR(INDEX(parametros!$H$2:$H$6,MATCH(C1328,parametros!$B$2:$B$6,0)),"")="","",IF(B1328&gt;=IFERROR(INDEX(parametros!$H$2:$H$6,MATCH(C1328,parametros!$B$2:$B$6,0)),""),"Sim","Nao"))))))</f>
        <v/>
      </c>
      <c r="T1328" s="156"/>
      <c r="U1328" s="214" t="str">
        <f t="shared" si="106"/>
        <v/>
      </c>
      <c r="V1328" s="212" t="s">
        <v>50</v>
      </c>
      <c r="W1328" s="100" t="s">
        <v>168</v>
      </c>
      <c r="X1328" s="100" t="s">
        <v>169</v>
      </c>
      <c r="Y1328" s="101" t="s">
        <v>170</v>
      </c>
      <c r="Z1328" s="101" t="s">
        <v>171</v>
      </c>
      <c r="AA1328" s="101" t="s">
        <v>50</v>
      </c>
      <c r="AB1328" s="101" t="s">
        <v>172</v>
      </c>
      <c r="AC1328" s="102" t="s">
        <v>173</v>
      </c>
    </row>
    <row r="1329" spans="1:29" ht="25.5" customHeight="1" x14ac:dyDescent="0.35">
      <c r="A1329" s="392"/>
      <c r="B1329" s="393"/>
      <c r="C1329" s="99" t="str">
        <f>IF(B1329="","",IF(NOT(ISNUMBER(B1329)),"DATA_PC invalida",IF(NOT(ISNUMBER(parametros!$C$2)),"Fora dos ciclos",IF(OR(B1329&lt;parametros!$C$2,(YEAR(B1329)-YEAR(parametros!$C$2))*12+MONTH(B1329)-MONTH(parametros!$C$2)&gt;59),"Fora dos ciclos","C"&amp;INT(((YEAR(B1329)-YEAR(parametros!$C$2))*12+MONTH(B1329)-MONTH(parametros!$C$2))/12)))))</f>
        <v/>
      </c>
      <c r="D1329" s="394"/>
      <c r="E1329" s="78" t="str">
        <f>IF(C1329="","",IFERROR(VLOOKUP(C1329,parametros!$A$11:$E$15,5,0),""))</f>
        <v/>
      </c>
      <c r="F1329" s="79" t="str">
        <f t="shared" si="102"/>
        <v/>
      </c>
      <c r="G1329" s="395"/>
      <c r="H1329" s="91">
        <f t="shared" si="103"/>
        <v>0</v>
      </c>
      <c r="I1329" s="91" t="str">
        <f t="shared" si="104"/>
        <v/>
      </c>
      <c r="J1329" s="91" t="str">
        <f t="shared" si="105"/>
        <v/>
      </c>
      <c r="K1329" s="92" t="str">
        <f>IF(AND(A1329="",B1329="",D1329="",G1329=""),"",IF(AND(A1329&lt;&gt;"",COUNTIF($A$2:$A$5001,A1329)&gt;1),"NUMERO_PC duplicado",IF(B1329="","DATA_PC vazia",IF(NOT(ISNUMBER(B1329)),"DATA_PC invalida",IF(OR(C1329="",C1329="Fora dos ciclos"),"CICLO_PC nao identificado",IF(OR(D1329="",D1329=0),"VALOR_PC vazio ou zero",IF(AND(G1329&lt;&gt;"Sim",G1329&lt;&gt;"Nao",G1329&lt;&gt;""),"PC_PAGO_A_CONTRATADA invalido",IF(AND(C1329&lt;&gt;"C0",IFERROR(INDEX(parametros!$A$2:$A$6,MATCH(C1329,parametros!$B$2:$B$6,0)),"")="Sim",IFERROR(INDEX(parametros!$H$2:$H$6,MATCH(C1329,parametros!$B$2:$B$6,0)),"")=""),"INICIO_EFEITO ausente: PC "&amp;A1329&amp;" - "&amp;C1329,IF(L1329="","EFEITO_PC nao calculado: PC "&amp;A1329&amp;" - "&amp;C1329,"OK")))))))))</f>
        <v/>
      </c>
      <c r="L1329" s="92" t="str">
        <f>IF(AND(A1329="",B1329="",D1329="",G1329=""),"",IF(OR(B1329="",NOT(ISNUMBER(B1329)),C1329="",C1329="Fora dos ciclos"),"",IF(C1329="C0","Nao",IF(IFERROR(INDEX(parametros!$A$2:$A$6,MATCH(C1329,parametros!$B$2:$B$6,0)),"")&lt;&gt;"Sim","Nao",IF(IFERROR(INDEX(parametros!$H$2:$H$6,MATCH(C1329,parametros!$B$2:$B$6,0)),"")="","",IF(B1329&gt;=IFERROR(INDEX(parametros!$H$2:$H$6,MATCH(C1329,parametros!$B$2:$B$6,0)),""),"Sim","Nao"))))))</f>
        <v/>
      </c>
      <c r="T1329" s="156"/>
      <c r="U1329" s="214" t="str">
        <f t="shared" si="106"/>
        <v/>
      </c>
      <c r="V1329" s="212" t="s">
        <v>50</v>
      </c>
      <c r="W1329" s="100" t="s">
        <v>168</v>
      </c>
      <c r="X1329" s="100" t="s">
        <v>169</v>
      </c>
      <c r="Y1329" s="101" t="s">
        <v>170</v>
      </c>
      <c r="Z1329" s="101" t="s">
        <v>171</v>
      </c>
      <c r="AA1329" s="101" t="s">
        <v>50</v>
      </c>
      <c r="AB1329" s="101" t="s">
        <v>172</v>
      </c>
      <c r="AC1329" s="102" t="s">
        <v>173</v>
      </c>
    </row>
    <row r="1330" spans="1:29" ht="25.5" customHeight="1" x14ac:dyDescent="0.35">
      <c r="A1330" s="392"/>
      <c r="B1330" s="393"/>
      <c r="C1330" s="99" t="str">
        <f>IF(B1330="","",IF(NOT(ISNUMBER(B1330)),"DATA_PC invalida",IF(NOT(ISNUMBER(parametros!$C$2)),"Fora dos ciclos",IF(OR(B1330&lt;parametros!$C$2,(YEAR(B1330)-YEAR(parametros!$C$2))*12+MONTH(B1330)-MONTH(parametros!$C$2)&gt;59),"Fora dos ciclos","C"&amp;INT(((YEAR(B1330)-YEAR(parametros!$C$2))*12+MONTH(B1330)-MONTH(parametros!$C$2))/12)))))</f>
        <v/>
      </c>
      <c r="D1330" s="394"/>
      <c r="E1330" s="78" t="str">
        <f>IF(C1330="","",IFERROR(VLOOKUP(C1330,parametros!$A$11:$E$15,5,0),""))</f>
        <v/>
      </c>
      <c r="F1330" s="79" t="str">
        <f t="shared" si="102"/>
        <v/>
      </c>
      <c r="G1330" s="395"/>
      <c r="H1330" s="91">
        <f t="shared" si="103"/>
        <v>0</v>
      </c>
      <c r="I1330" s="91" t="str">
        <f t="shared" si="104"/>
        <v/>
      </c>
      <c r="J1330" s="91" t="str">
        <f t="shared" si="105"/>
        <v/>
      </c>
      <c r="K1330" s="92" t="str">
        <f>IF(AND(A1330="",B1330="",D1330="",G1330=""),"",IF(AND(A1330&lt;&gt;"",COUNTIF($A$2:$A$5001,A1330)&gt;1),"NUMERO_PC duplicado",IF(B1330="","DATA_PC vazia",IF(NOT(ISNUMBER(B1330)),"DATA_PC invalida",IF(OR(C1330="",C1330="Fora dos ciclos"),"CICLO_PC nao identificado",IF(OR(D1330="",D1330=0),"VALOR_PC vazio ou zero",IF(AND(G1330&lt;&gt;"Sim",G1330&lt;&gt;"Nao",G1330&lt;&gt;""),"PC_PAGO_A_CONTRATADA invalido",IF(AND(C1330&lt;&gt;"C0",IFERROR(INDEX(parametros!$A$2:$A$6,MATCH(C1330,parametros!$B$2:$B$6,0)),"")="Sim",IFERROR(INDEX(parametros!$H$2:$H$6,MATCH(C1330,parametros!$B$2:$B$6,0)),"")=""),"INICIO_EFEITO ausente: PC "&amp;A1330&amp;" - "&amp;C1330,IF(L1330="","EFEITO_PC nao calculado: PC "&amp;A1330&amp;" - "&amp;C1330,"OK")))))))))</f>
        <v/>
      </c>
      <c r="L1330" s="92" t="str">
        <f>IF(AND(A1330="",B1330="",D1330="",G1330=""),"",IF(OR(B1330="",NOT(ISNUMBER(B1330)),C1330="",C1330="Fora dos ciclos"),"",IF(C1330="C0","Nao",IF(IFERROR(INDEX(parametros!$A$2:$A$6,MATCH(C1330,parametros!$B$2:$B$6,0)),"")&lt;&gt;"Sim","Nao",IF(IFERROR(INDEX(parametros!$H$2:$H$6,MATCH(C1330,parametros!$B$2:$B$6,0)),"")="","",IF(B1330&gt;=IFERROR(INDEX(parametros!$H$2:$H$6,MATCH(C1330,parametros!$B$2:$B$6,0)),""),"Sim","Nao"))))))</f>
        <v/>
      </c>
      <c r="T1330" s="156"/>
      <c r="U1330" s="214" t="str">
        <f t="shared" si="106"/>
        <v/>
      </c>
      <c r="V1330" s="212" t="s">
        <v>50</v>
      </c>
      <c r="W1330" s="100" t="s">
        <v>168</v>
      </c>
      <c r="X1330" s="100" t="s">
        <v>169</v>
      </c>
      <c r="Y1330" s="101" t="s">
        <v>170</v>
      </c>
      <c r="Z1330" s="101" t="s">
        <v>171</v>
      </c>
      <c r="AA1330" s="101" t="s">
        <v>50</v>
      </c>
      <c r="AB1330" s="101" t="s">
        <v>172</v>
      </c>
      <c r="AC1330" s="102" t="s">
        <v>173</v>
      </c>
    </row>
    <row r="1331" spans="1:29" ht="25.5" customHeight="1" x14ac:dyDescent="0.35">
      <c r="A1331" s="392"/>
      <c r="B1331" s="393"/>
      <c r="C1331" s="99" t="str">
        <f>IF(B1331="","",IF(NOT(ISNUMBER(B1331)),"DATA_PC invalida",IF(NOT(ISNUMBER(parametros!$C$2)),"Fora dos ciclos",IF(OR(B1331&lt;parametros!$C$2,(YEAR(B1331)-YEAR(parametros!$C$2))*12+MONTH(B1331)-MONTH(parametros!$C$2)&gt;59),"Fora dos ciclos","C"&amp;INT(((YEAR(B1331)-YEAR(parametros!$C$2))*12+MONTH(B1331)-MONTH(parametros!$C$2))/12)))))</f>
        <v/>
      </c>
      <c r="D1331" s="394"/>
      <c r="E1331" s="78" t="str">
        <f>IF(C1331="","",IFERROR(VLOOKUP(C1331,parametros!$A$11:$E$15,5,0),""))</f>
        <v/>
      </c>
      <c r="F1331" s="79" t="str">
        <f t="shared" si="102"/>
        <v/>
      </c>
      <c r="G1331" s="395"/>
      <c r="H1331" s="91">
        <f t="shared" si="103"/>
        <v>0</v>
      </c>
      <c r="I1331" s="91" t="str">
        <f t="shared" si="104"/>
        <v/>
      </c>
      <c r="J1331" s="91" t="str">
        <f t="shared" si="105"/>
        <v/>
      </c>
      <c r="K1331" s="92" t="str">
        <f>IF(AND(A1331="",B1331="",D1331="",G1331=""),"",IF(AND(A1331&lt;&gt;"",COUNTIF($A$2:$A$5001,A1331)&gt;1),"NUMERO_PC duplicado",IF(B1331="","DATA_PC vazia",IF(NOT(ISNUMBER(B1331)),"DATA_PC invalida",IF(OR(C1331="",C1331="Fora dos ciclos"),"CICLO_PC nao identificado",IF(OR(D1331="",D1331=0),"VALOR_PC vazio ou zero",IF(AND(G1331&lt;&gt;"Sim",G1331&lt;&gt;"Nao",G1331&lt;&gt;""),"PC_PAGO_A_CONTRATADA invalido",IF(AND(C1331&lt;&gt;"C0",IFERROR(INDEX(parametros!$A$2:$A$6,MATCH(C1331,parametros!$B$2:$B$6,0)),"")="Sim",IFERROR(INDEX(parametros!$H$2:$H$6,MATCH(C1331,parametros!$B$2:$B$6,0)),"")=""),"INICIO_EFEITO ausente: PC "&amp;A1331&amp;" - "&amp;C1331,IF(L1331="","EFEITO_PC nao calculado: PC "&amp;A1331&amp;" - "&amp;C1331,"OK")))))))))</f>
        <v/>
      </c>
      <c r="L1331" s="92" t="str">
        <f>IF(AND(A1331="",B1331="",D1331="",G1331=""),"",IF(OR(B1331="",NOT(ISNUMBER(B1331)),C1331="",C1331="Fora dos ciclos"),"",IF(C1331="C0","Nao",IF(IFERROR(INDEX(parametros!$A$2:$A$6,MATCH(C1331,parametros!$B$2:$B$6,0)),"")&lt;&gt;"Sim","Nao",IF(IFERROR(INDEX(parametros!$H$2:$H$6,MATCH(C1331,parametros!$B$2:$B$6,0)),"")="","",IF(B1331&gt;=IFERROR(INDEX(parametros!$H$2:$H$6,MATCH(C1331,parametros!$B$2:$B$6,0)),""),"Sim","Nao"))))))</f>
        <v/>
      </c>
      <c r="T1331" s="156"/>
      <c r="U1331" s="214" t="str">
        <f t="shared" si="106"/>
        <v/>
      </c>
      <c r="V1331" s="212" t="s">
        <v>50</v>
      </c>
      <c r="W1331" s="100" t="s">
        <v>168</v>
      </c>
      <c r="X1331" s="100" t="s">
        <v>169</v>
      </c>
      <c r="Y1331" s="101" t="s">
        <v>170</v>
      </c>
      <c r="Z1331" s="101" t="s">
        <v>171</v>
      </c>
      <c r="AA1331" s="101" t="s">
        <v>50</v>
      </c>
      <c r="AB1331" s="101" t="s">
        <v>172</v>
      </c>
      <c r="AC1331" s="102" t="s">
        <v>173</v>
      </c>
    </row>
    <row r="1332" spans="1:29" ht="25.5" customHeight="1" x14ac:dyDescent="0.35">
      <c r="A1332" s="392"/>
      <c r="B1332" s="393"/>
      <c r="C1332" s="99" t="str">
        <f>IF(B1332="","",IF(NOT(ISNUMBER(B1332)),"DATA_PC invalida",IF(NOT(ISNUMBER(parametros!$C$2)),"Fora dos ciclos",IF(OR(B1332&lt;parametros!$C$2,(YEAR(B1332)-YEAR(parametros!$C$2))*12+MONTH(B1332)-MONTH(parametros!$C$2)&gt;59),"Fora dos ciclos","C"&amp;INT(((YEAR(B1332)-YEAR(parametros!$C$2))*12+MONTH(B1332)-MONTH(parametros!$C$2))/12)))))</f>
        <v/>
      </c>
      <c r="D1332" s="394"/>
      <c r="E1332" s="78" t="str">
        <f>IF(C1332="","",IFERROR(VLOOKUP(C1332,parametros!$A$11:$E$15,5,0),""))</f>
        <v/>
      </c>
      <c r="F1332" s="79" t="str">
        <f t="shared" si="102"/>
        <v/>
      </c>
      <c r="G1332" s="395"/>
      <c r="H1332" s="91">
        <f t="shared" si="103"/>
        <v>0</v>
      </c>
      <c r="I1332" s="91" t="str">
        <f t="shared" si="104"/>
        <v/>
      </c>
      <c r="J1332" s="91" t="str">
        <f t="shared" si="105"/>
        <v/>
      </c>
      <c r="K1332" s="92" t="str">
        <f>IF(AND(A1332="",B1332="",D1332="",G1332=""),"",IF(AND(A1332&lt;&gt;"",COUNTIF($A$2:$A$5001,A1332)&gt;1),"NUMERO_PC duplicado",IF(B1332="","DATA_PC vazia",IF(NOT(ISNUMBER(B1332)),"DATA_PC invalida",IF(OR(C1332="",C1332="Fora dos ciclos"),"CICLO_PC nao identificado",IF(OR(D1332="",D1332=0),"VALOR_PC vazio ou zero",IF(AND(G1332&lt;&gt;"Sim",G1332&lt;&gt;"Nao",G1332&lt;&gt;""),"PC_PAGO_A_CONTRATADA invalido",IF(AND(C1332&lt;&gt;"C0",IFERROR(INDEX(parametros!$A$2:$A$6,MATCH(C1332,parametros!$B$2:$B$6,0)),"")="Sim",IFERROR(INDEX(parametros!$H$2:$H$6,MATCH(C1332,parametros!$B$2:$B$6,0)),"")=""),"INICIO_EFEITO ausente: PC "&amp;A1332&amp;" - "&amp;C1332,IF(L1332="","EFEITO_PC nao calculado: PC "&amp;A1332&amp;" - "&amp;C1332,"OK")))))))))</f>
        <v/>
      </c>
      <c r="L1332" s="92" t="str">
        <f>IF(AND(A1332="",B1332="",D1332="",G1332=""),"",IF(OR(B1332="",NOT(ISNUMBER(B1332)),C1332="",C1332="Fora dos ciclos"),"",IF(C1332="C0","Nao",IF(IFERROR(INDEX(parametros!$A$2:$A$6,MATCH(C1332,parametros!$B$2:$B$6,0)),"")&lt;&gt;"Sim","Nao",IF(IFERROR(INDEX(parametros!$H$2:$H$6,MATCH(C1332,parametros!$B$2:$B$6,0)),"")="","",IF(B1332&gt;=IFERROR(INDEX(parametros!$H$2:$H$6,MATCH(C1332,parametros!$B$2:$B$6,0)),""),"Sim","Nao"))))))</f>
        <v/>
      </c>
      <c r="T1332" s="156"/>
      <c r="U1332" s="214" t="str">
        <f t="shared" si="106"/>
        <v/>
      </c>
      <c r="V1332" s="212" t="s">
        <v>50</v>
      </c>
      <c r="W1332" s="100" t="s">
        <v>168</v>
      </c>
      <c r="X1332" s="100" t="s">
        <v>169</v>
      </c>
      <c r="Y1332" s="101" t="s">
        <v>170</v>
      </c>
      <c r="Z1332" s="101" t="s">
        <v>171</v>
      </c>
      <c r="AA1332" s="101" t="s">
        <v>50</v>
      </c>
      <c r="AB1332" s="101" t="s">
        <v>172</v>
      </c>
      <c r="AC1332" s="102" t="s">
        <v>173</v>
      </c>
    </row>
    <row r="1333" spans="1:29" ht="25.5" customHeight="1" x14ac:dyDescent="0.35">
      <c r="A1333" s="392"/>
      <c r="B1333" s="393"/>
      <c r="C1333" s="99" t="str">
        <f>IF(B1333="","",IF(NOT(ISNUMBER(B1333)),"DATA_PC invalida",IF(NOT(ISNUMBER(parametros!$C$2)),"Fora dos ciclos",IF(OR(B1333&lt;parametros!$C$2,(YEAR(B1333)-YEAR(parametros!$C$2))*12+MONTH(B1333)-MONTH(parametros!$C$2)&gt;59),"Fora dos ciclos","C"&amp;INT(((YEAR(B1333)-YEAR(parametros!$C$2))*12+MONTH(B1333)-MONTH(parametros!$C$2))/12)))))</f>
        <v/>
      </c>
      <c r="D1333" s="394"/>
      <c r="E1333" s="78" t="str">
        <f>IF(C1333="","",IFERROR(VLOOKUP(C1333,parametros!$A$11:$E$15,5,0),""))</f>
        <v/>
      </c>
      <c r="F1333" s="79" t="str">
        <f t="shared" si="102"/>
        <v/>
      </c>
      <c r="G1333" s="395"/>
      <c r="H1333" s="91">
        <f t="shared" si="103"/>
        <v>0</v>
      </c>
      <c r="I1333" s="91" t="str">
        <f t="shared" si="104"/>
        <v/>
      </c>
      <c r="J1333" s="91" t="str">
        <f t="shared" si="105"/>
        <v/>
      </c>
      <c r="K1333" s="92" t="str">
        <f>IF(AND(A1333="",B1333="",D1333="",G1333=""),"",IF(AND(A1333&lt;&gt;"",COUNTIF($A$2:$A$5001,A1333)&gt;1),"NUMERO_PC duplicado",IF(B1333="","DATA_PC vazia",IF(NOT(ISNUMBER(B1333)),"DATA_PC invalida",IF(OR(C1333="",C1333="Fora dos ciclos"),"CICLO_PC nao identificado",IF(OR(D1333="",D1333=0),"VALOR_PC vazio ou zero",IF(AND(G1333&lt;&gt;"Sim",G1333&lt;&gt;"Nao",G1333&lt;&gt;""),"PC_PAGO_A_CONTRATADA invalido",IF(AND(C1333&lt;&gt;"C0",IFERROR(INDEX(parametros!$A$2:$A$6,MATCH(C1333,parametros!$B$2:$B$6,0)),"")="Sim",IFERROR(INDEX(parametros!$H$2:$H$6,MATCH(C1333,parametros!$B$2:$B$6,0)),"")=""),"INICIO_EFEITO ausente: PC "&amp;A1333&amp;" - "&amp;C1333,IF(L1333="","EFEITO_PC nao calculado: PC "&amp;A1333&amp;" - "&amp;C1333,"OK")))))))))</f>
        <v/>
      </c>
      <c r="L1333" s="92" t="str">
        <f>IF(AND(A1333="",B1333="",D1333="",G1333=""),"",IF(OR(B1333="",NOT(ISNUMBER(B1333)),C1333="",C1333="Fora dos ciclos"),"",IF(C1333="C0","Nao",IF(IFERROR(INDEX(parametros!$A$2:$A$6,MATCH(C1333,parametros!$B$2:$B$6,0)),"")&lt;&gt;"Sim","Nao",IF(IFERROR(INDEX(parametros!$H$2:$H$6,MATCH(C1333,parametros!$B$2:$B$6,0)),"")="","",IF(B1333&gt;=IFERROR(INDEX(parametros!$H$2:$H$6,MATCH(C1333,parametros!$B$2:$B$6,0)),""),"Sim","Nao"))))))</f>
        <v/>
      </c>
      <c r="T1333" s="156"/>
      <c r="U1333" s="214" t="str">
        <f t="shared" si="106"/>
        <v/>
      </c>
      <c r="V1333" s="212" t="s">
        <v>50</v>
      </c>
      <c r="W1333" s="100" t="s">
        <v>168</v>
      </c>
      <c r="X1333" s="100" t="s">
        <v>169</v>
      </c>
      <c r="Y1333" s="101" t="s">
        <v>170</v>
      </c>
      <c r="Z1333" s="101" t="s">
        <v>171</v>
      </c>
      <c r="AA1333" s="101" t="s">
        <v>50</v>
      </c>
      <c r="AB1333" s="101" t="s">
        <v>172</v>
      </c>
      <c r="AC1333" s="102" t="s">
        <v>173</v>
      </c>
    </row>
    <row r="1334" spans="1:29" ht="25.5" customHeight="1" x14ac:dyDescent="0.35">
      <c r="A1334" s="392"/>
      <c r="B1334" s="393"/>
      <c r="C1334" s="99" t="str">
        <f>IF(B1334="","",IF(NOT(ISNUMBER(B1334)),"DATA_PC invalida",IF(NOT(ISNUMBER(parametros!$C$2)),"Fora dos ciclos",IF(OR(B1334&lt;parametros!$C$2,(YEAR(B1334)-YEAR(parametros!$C$2))*12+MONTH(B1334)-MONTH(parametros!$C$2)&gt;59),"Fora dos ciclos","C"&amp;INT(((YEAR(B1334)-YEAR(parametros!$C$2))*12+MONTH(B1334)-MONTH(parametros!$C$2))/12)))))</f>
        <v/>
      </c>
      <c r="D1334" s="394"/>
      <c r="E1334" s="78" t="str">
        <f>IF(C1334="","",IFERROR(VLOOKUP(C1334,parametros!$A$11:$E$15,5,0),""))</f>
        <v/>
      </c>
      <c r="F1334" s="79" t="str">
        <f t="shared" si="102"/>
        <v/>
      </c>
      <c r="G1334" s="395"/>
      <c r="H1334" s="91">
        <f t="shared" si="103"/>
        <v>0</v>
      </c>
      <c r="I1334" s="91" t="str">
        <f t="shared" si="104"/>
        <v/>
      </c>
      <c r="J1334" s="91" t="str">
        <f t="shared" si="105"/>
        <v/>
      </c>
      <c r="K1334" s="92" t="str">
        <f>IF(AND(A1334="",B1334="",D1334="",G1334=""),"",IF(AND(A1334&lt;&gt;"",COUNTIF($A$2:$A$5001,A1334)&gt;1),"NUMERO_PC duplicado",IF(B1334="","DATA_PC vazia",IF(NOT(ISNUMBER(B1334)),"DATA_PC invalida",IF(OR(C1334="",C1334="Fora dos ciclos"),"CICLO_PC nao identificado",IF(OR(D1334="",D1334=0),"VALOR_PC vazio ou zero",IF(AND(G1334&lt;&gt;"Sim",G1334&lt;&gt;"Nao",G1334&lt;&gt;""),"PC_PAGO_A_CONTRATADA invalido",IF(AND(C1334&lt;&gt;"C0",IFERROR(INDEX(parametros!$A$2:$A$6,MATCH(C1334,parametros!$B$2:$B$6,0)),"")="Sim",IFERROR(INDEX(parametros!$H$2:$H$6,MATCH(C1334,parametros!$B$2:$B$6,0)),"")=""),"INICIO_EFEITO ausente: PC "&amp;A1334&amp;" - "&amp;C1334,IF(L1334="","EFEITO_PC nao calculado: PC "&amp;A1334&amp;" - "&amp;C1334,"OK")))))))))</f>
        <v/>
      </c>
      <c r="L1334" s="92" t="str">
        <f>IF(AND(A1334="",B1334="",D1334="",G1334=""),"",IF(OR(B1334="",NOT(ISNUMBER(B1334)),C1334="",C1334="Fora dos ciclos"),"",IF(C1334="C0","Nao",IF(IFERROR(INDEX(parametros!$A$2:$A$6,MATCH(C1334,parametros!$B$2:$B$6,0)),"")&lt;&gt;"Sim","Nao",IF(IFERROR(INDEX(parametros!$H$2:$H$6,MATCH(C1334,parametros!$B$2:$B$6,0)),"")="","",IF(B1334&gt;=IFERROR(INDEX(parametros!$H$2:$H$6,MATCH(C1334,parametros!$B$2:$B$6,0)),""),"Sim","Nao"))))))</f>
        <v/>
      </c>
      <c r="T1334" s="156"/>
      <c r="U1334" s="214" t="str">
        <f t="shared" si="106"/>
        <v/>
      </c>
      <c r="V1334" s="212" t="s">
        <v>50</v>
      </c>
      <c r="W1334" s="100" t="s">
        <v>168</v>
      </c>
      <c r="X1334" s="100" t="s">
        <v>169</v>
      </c>
      <c r="Y1334" s="101" t="s">
        <v>170</v>
      </c>
      <c r="Z1334" s="101" t="s">
        <v>171</v>
      </c>
      <c r="AA1334" s="101" t="s">
        <v>50</v>
      </c>
      <c r="AB1334" s="101" t="s">
        <v>172</v>
      </c>
      <c r="AC1334" s="102" t="s">
        <v>173</v>
      </c>
    </row>
    <row r="1335" spans="1:29" ht="25.5" customHeight="1" x14ac:dyDescent="0.35">
      <c r="A1335" s="392"/>
      <c r="B1335" s="393"/>
      <c r="C1335" s="99" t="str">
        <f>IF(B1335="","",IF(NOT(ISNUMBER(B1335)),"DATA_PC invalida",IF(NOT(ISNUMBER(parametros!$C$2)),"Fora dos ciclos",IF(OR(B1335&lt;parametros!$C$2,(YEAR(B1335)-YEAR(parametros!$C$2))*12+MONTH(B1335)-MONTH(parametros!$C$2)&gt;59),"Fora dos ciclos","C"&amp;INT(((YEAR(B1335)-YEAR(parametros!$C$2))*12+MONTH(B1335)-MONTH(parametros!$C$2))/12)))))</f>
        <v/>
      </c>
      <c r="D1335" s="394"/>
      <c r="E1335" s="78" t="str">
        <f>IF(C1335="","",IFERROR(VLOOKUP(C1335,parametros!$A$11:$E$15,5,0),""))</f>
        <v/>
      </c>
      <c r="F1335" s="79" t="str">
        <f t="shared" si="102"/>
        <v/>
      </c>
      <c r="G1335" s="395"/>
      <c r="H1335" s="91">
        <f t="shared" si="103"/>
        <v>0</v>
      </c>
      <c r="I1335" s="91" t="str">
        <f t="shared" si="104"/>
        <v/>
      </c>
      <c r="J1335" s="91" t="str">
        <f t="shared" si="105"/>
        <v/>
      </c>
      <c r="K1335" s="92" t="str">
        <f>IF(AND(A1335="",B1335="",D1335="",G1335=""),"",IF(AND(A1335&lt;&gt;"",COUNTIF($A$2:$A$5001,A1335)&gt;1),"NUMERO_PC duplicado",IF(B1335="","DATA_PC vazia",IF(NOT(ISNUMBER(B1335)),"DATA_PC invalida",IF(OR(C1335="",C1335="Fora dos ciclos"),"CICLO_PC nao identificado",IF(OR(D1335="",D1335=0),"VALOR_PC vazio ou zero",IF(AND(G1335&lt;&gt;"Sim",G1335&lt;&gt;"Nao",G1335&lt;&gt;""),"PC_PAGO_A_CONTRATADA invalido",IF(AND(C1335&lt;&gt;"C0",IFERROR(INDEX(parametros!$A$2:$A$6,MATCH(C1335,parametros!$B$2:$B$6,0)),"")="Sim",IFERROR(INDEX(parametros!$H$2:$H$6,MATCH(C1335,parametros!$B$2:$B$6,0)),"")=""),"INICIO_EFEITO ausente: PC "&amp;A1335&amp;" - "&amp;C1335,IF(L1335="","EFEITO_PC nao calculado: PC "&amp;A1335&amp;" - "&amp;C1335,"OK")))))))))</f>
        <v/>
      </c>
      <c r="L1335" s="92" t="str">
        <f>IF(AND(A1335="",B1335="",D1335="",G1335=""),"",IF(OR(B1335="",NOT(ISNUMBER(B1335)),C1335="",C1335="Fora dos ciclos"),"",IF(C1335="C0","Nao",IF(IFERROR(INDEX(parametros!$A$2:$A$6,MATCH(C1335,parametros!$B$2:$B$6,0)),"")&lt;&gt;"Sim","Nao",IF(IFERROR(INDEX(parametros!$H$2:$H$6,MATCH(C1335,parametros!$B$2:$B$6,0)),"")="","",IF(B1335&gt;=IFERROR(INDEX(parametros!$H$2:$H$6,MATCH(C1335,parametros!$B$2:$B$6,0)),""),"Sim","Nao"))))))</f>
        <v/>
      </c>
      <c r="T1335" s="156"/>
      <c r="U1335" s="214" t="str">
        <f t="shared" si="106"/>
        <v/>
      </c>
      <c r="V1335" s="212" t="s">
        <v>50</v>
      </c>
      <c r="W1335" s="100" t="s">
        <v>168</v>
      </c>
      <c r="X1335" s="100" t="s">
        <v>169</v>
      </c>
      <c r="Y1335" s="101" t="s">
        <v>170</v>
      </c>
      <c r="Z1335" s="101" t="s">
        <v>171</v>
      </c>
      <c r="AA1335" s="101" t="s">
        <v>50</v>
      </c>
      <c r="AB1335" s="101" t="s">
        <v>172</v>
      </c>
      <c r="AC1335" s="102" t="s">
        <v>173</v>
      </c>
    </row>
    <row r="1336" spans="1:29" ht="25.5" customHeight="1" x14ac:dyDescent="0.35">
      <c r="A1336" s="392"/>
      <c r="B1336" s="393"/>
      <c r="C1336" s="99" t="str">
        <f>IF(B1336="","",IF(NOT(ISNUMBER(B1336)),"DATA_PC invalida",IF(NOT(ISNUMBER(parametros!$C$2)),"Fora dos ciclos",IF(OR(B1336&lt;parametros!$C$2,(YEAR(B1336)-YEAR(parametros!$C$2))*12+MONTH(B1336)-MONTH(parametros!$C$2)&gt;59),"Fora dos ciclos","C"&amp;INT(((YEAR(B1336)-YEAR(parametros!$C$2))*12+MONTH(B1336)-MONTH(parametros!$C$2))/12)))))</f>
        <v/>
      </c>
      <c r="D1336" s="394"/>
      <c r="E1336" s="78" t="str">
        <f>IF(C1336="","",IFERROR(VLOOKUP(C1336,parametros!$A$11:$E$15,5,0),""))</f>
        <v/>
      </c>
      <c r="F1336" s="79" t="str">
        <f t="shared" si="102"/>
        <v/>
      </c>
      <c r="G1336" s="395"/>
      <c r="H1336" s="91">
        <f t="shared" si="103"/>
        <v>0</v>
      </c>
      <c r="I1336" s="91" t="str">
        <f t="shared" si="104"/>
        <v/>
      </c>
      <c r="J1336" s="91" t="str">
        <f t="shared" si="105"/>
        <v/>
      </c>
      <c r="K1336" s="92" t="str">
        <f>IF(AND(A1336="",B1336="",D1336="",G1336=""),"",IF(AND(A1336&lt;&gt;"",COUNTIF($A$2:$A$5001,A1336)&gt;1),"NUMERO_PC duplicado",IF(B1336="","DATA_PC vazia",IF(NOT(ISNUMBER(B1336)),"DATA_PC invalida",IF(OR(C1336="",C1336="Fora dos ciclos"),"CICLO_PC nao identificado",IF(OR(D1336="",D1336=0),"VALOR_PC vazio ou zero",IF(AND(G1336&lt;&gt;"Sim",G1336&lt;&gt;"Nao",G1336&lt;&gt;""),"PC_PAGO_A_CONTRATADA invalido",IF(AND(C1336&lt;&gt;"C0",IFERROR(INDEX(parametros!$A$2:$A$6,MATCH(C1336,parametros!$B$2:$B$6,0)),"")="Sim",IFERROR(INDEX(parametros!$H$2:$H$6,MATCH(C1336,parametros!$B$2:$B$6,0)),"")=""),"INICIO_EFEITO ausente: PC "&amp;A1336&amp;" - "&amp;C1336,IF(L1336="","EFEITO_PC nao calculado: PC "&amp;A1336&amp;" - "&amp;C1336,"OK")))))))))</f>
        <v/>
      </c>
      <c r="L1336" s="92" t="str">
        <f>IF(AND(A1336="",B1336="",D1336="",G1336=""),"",IF(OR(B1336="",NOT(ISNUMBER(B1336)),C1336="",C1336="Fora dos ciclos"),"",IF(C1336="C0","Nao",IF(IFERROR(INDEX(parametros!$A$2:$A$6,MATCH(C1336,parametros!$B$2:$B$6,0)),"")&lt;&gt;"Sim","Nao",IF(IFERROR(INDEX(parametros!$H$2:$H$6,MATCH(C1336,parametros!$B$2:$B$6,0)),"")="","",IF(B1336&gt;=IFERROR(INDEX(parametros!$H$2:$H$6,MATCH(C1336,parametros!$B$2:$B$6,0)),""),"Sim","Nao"))))))</f>
        <v/>
      </c>
      <c r="T1336" s="156"/>
      <c r="U1336" s="214" t="str">
        <f t="shared" si="106"/>
        <v/>
      </c>
      <c r="V1336" s="212" t="s">
        <v>50</v>
      </c>
      <c r="W1336" s="100" t="s">
        <v>168</v>
      </c>
      <c r="X1336" s="100" t="s">
        <v>169</v>
      </c>
      <c r="Y1336" s="101" t="s">
        <v>170</v>
      </c>
      <c r="Z1336" s="101" t="s">
        <v>171</v>
      </c>
      <c r="AA1336" s="101" t="s">
        <v>50</v>
      </c>
      <c r="AB1336" s="101" t="s">
        <v>172</v>
      </c>
      <c r="AC1336" s="102" t="s">
        <v>173</v>
      </c>
    </row>
    <row r="1337" spans="1:29" ht="25.5" customHeight="1" x14ac:dyDescent="0.35">
      <c r="A1337" s="392"/>
      <c r="B1337" s="393"/>
      <c r="C1337" s="99" t="str">
        <f>IF(B1337="","",IF(NOT(ISNUMBER(B1337)),"DATA_PC invalida",IF(NOT(ISNUMBER(parametros!$C$2)),"Fora dos ciclos",IF(OR(B1337&lt;parametros!$C$2,(YEAR(B1337)-YEAR(parametros!$C$2))*12+MONTH(B1337)-MONTH(parametros!$C$2)&gt;59),"Fora dos ciclos","C"&amp;INT(((YEAR(B1337)-YEAR(parametros!$C$2))*12+MONTH(B1337)-MONTH(parametros!$C$2))/12)))))</f>
        <v/>
      </c>
      <c r="D1337" s="394"/>
      <c r="E1337" s="78" t="str">
        <f>IF(C1337="","",IFERROR(VLOOKUP(C1337,parametros!$A$11:$E$15,5,0),""))</f>
        <v/>
      </c>
      <c r="F1337" s="79" t="str">
        <f t="shared" si="102"/>
        <v/>
      </c>
      <c r="G1337" s="395"/>
      <c r="H1337" s="91">
        <f t="shared" si="103"/>
        <v>0</v>
      </c>
      <c r="I1337" s="91" t="str">
        <f t="shared" si="104"/>
        <v/>
      </c>
      <c r="J1337" s="91" t="str">
        <f t="shared" si="105"/>
        <v/>
      </c>
      <c r="K1337" s="92" t="str">
        <f>IF(AND(A1337="",B1337="",D1337="",G1337=""),"",IF(AND(A1337&lt;&gt;"",COUNTIF($A$2:$A$5001,A1337)&gt;1),"NUMERO_PC duplicado",IF(B1337="","DATA_PC vazia",IF(NOT(ISNUMBER(B1337)),"DATA_PC invalida",IF(OR(C1337="",C1337="Fora dos ciclos"),"CICLO_PC nao identificado",IF(OR(D1337="",D1337=0),"VALOR_PC vazio ou zero",IF(AND(G1337&lt;&gt;"Sim",G1337&lt;&gt;"Nao",G1337&lt;&gt;""),"PC_PAGO_A_CONTRATADA invalido",IF(AND(C1337&lt;&gt;"C0",IFERROR(INDEX(parametros!$A$2:$A$6,MATCH(C1337,parametros!$B$2:$B$6,0)),"")="Sim",IFERROR(INDEX(parametros!$H$2:$H$6,MATCH(C1337,parametros!$B$2:$B$6,0)),"")=""),"INICIO_EFEITO ausente: PC "&amp;A1337&amp;" - "&amp;C1337,IF(L1337="","EFEITO_PC nao calculado: PC "&amp;A1337&amp;" - "&amp;C1337,"OK")))))))))</f>
        <v/>
      </c>
      <c r="L1337" s="92" t="str">
        <f>IF(AND(A1337="",B1337="",D1337="",G1337=""),"",IF(OR(B1337="",NOT(ISNUMBER(B1337)),C1337="",C1337="Fora dos ciclos"),"",IF(C1337="C0","Nao",IF(IFERROR(INDEX(parametros!$A$2:$A$6,MATCH(C1337,parametros!$B$2:$B$6,0)),"")&lt;&gt;"Sim","Nao",IF(IFERROR(INDEX(parametros!$H$2:$H$6,MATCH(C1337,parametros!$B$2:$B$6,0)),"")="","",IF(B1337&gt;=IFERROR(INDEX(parametros!$H$2:$H$6,MATCH(C1337,parametros!$B$2:$B$6,0)),""),"Sim","Nao"))))))</f>
        <v/>
      </c>
      <c r="T1337" s="156"/>
      <c r="U1337" s="214" t="str">
        <f t="shared" si="106"/>
        <v/>
      </c>
      <c r="V1337" s="212" t="s">
        <v>50</v>
      </c>
      <c r="W1337" s="100" t="s">
        <v>168</v>
      </c>
      <c r="X1337" s="100" t="s">
        <v>169</v>
      </c>
      <c r="Y1337" s="101" t="s">
        <v>170</v>
      </c>
      <c r="Z1337" s="101" t="s">
        <v>171</v>
      </c>
      <c r="AA1337" s="101" t="s">
        <v>50</v>
      </c>
      <c r="AB1337" s="101" t="s">
        <v>172</v>
      </c>
      <c r="AC1337" s="102" t="s">
        <v>173</v>
      </c>
    </row>
    <row r="1338" spans="1:29" ht="25.5" customHeight="1" x14ac:dyDescent="0.35">
      <c r="A1338" s="392"/>
      <c r="B1338" s="393"/>
      <c r="C1338" s="99" t="str">
        <f>IF(B1338="","",IF(NOT(ISNUMBER(B1338)),"DATA_PC invalida",IF(NOT(ISNUMBER(parametros!$C$2)),"Fora dos ciclos",IF(OR(B1338&lt;parametros!$C$2,(YEAR(B1338)-YEAR(parametros!$C$2))*12+MONTH(B1338)-MONTH(parametros!$C$2)&gt;59),"Fora dos ciclos","C"&amp;INT(((YEAR(B1338)-YEAR(parametros!$C$2))*12+MONTH(B1338)-MONTH(parametros!$C$2))/12)))))</f>
        <v/>
      </c>
      <c r="D1338" s="394"/>
      <c r="E1338" s="78" t="str">
        <f>IF(C1338="","",IFERROR(VLOOKUP(C1338,parametros!$A$11:$E$15,5,0),""))</f>
        <v/>
      </c>
      <c r="F1338" s="79" t="str">
        <f t="shared" si="102"/>
        <v/>
      </c>
      <c r="G1338" s="395"/>
      <c r="H1338" s="91">
        <f t="shared" si="103"/>
        <v>0</v>
      </c>
      <c r="I1338" s="91" t="str">
        <f t="shared" si="104"/>
        <v/>
      </c>
      <c r="J1338" s="91" t="str">
        <f t="shared" si="105"/>
        <v/>
      </c>
      <c r="K1338" s="92" t="str">
        <f>IF(AND(A1338="",B1338="",D1338="",G1338=""),"",IF(AND(A1338&lt;&gt;"",COUNTIF($A$2:$A$5001,A1338)&gt;1),"NUMERO_PC duplicado",IF(B1338="","DATA_PC vazia",IF(NOT(ISNUMBER(B1338)),"DATA_PC invalida",IF(OR(C1338="",C1338="Fora dos ciclos"),"CICLO_PC nao identificado",IF(OR(D1338="",D1338=0),"VALOR_PC vazio ou zero",IF(AND(G1338&lt;&gt;"Sim",G1338&lt;&gt;"Nao",G1338&lt;&gt;""),"PC_PAGO_A_CONTRATADA invalido",IF(AND(C1338&lt;&gt;"C0",IFERROR(INDEX(parametros!$A$2:$A$6,MATCH(C1338,parametros!$B$2:$B$6,0)),"")="Sim",IFERROR(INDEX(parametros!$H$2:$H$6,MATCH(C1338,parametros!$B$2:$B$6,0)),"")=""),"INICIO_EFEITO ausente: PC "&amp;A1338&amp;" - "&amp;C1338,IF(L1338="","EFEITO_PC nao calculado: PC "&amp;A1338&amp;" - "&amp;C1338,"OK")))))))))</f>
        <v/>
      </c>
      <c r="L1338" s="92" t="str">
        <f>IF(AND(A1338="",B1338="",D1338="",G1338=""),"",IF(OR(B1338="",NOT(ISNUMBER(B1338)),C1338="",C1338="Fora dos ciclos"),"",IF(C1338="C0","Nao",IF(IFERROR(INDEX(parametros!$A$2:$A$6,MATCH(C1338,parametros!$B$2:$B$6,0)),"")&lt;&gt;"Sim","Nao",IF(IFERROR(INDEX(parametros!$H$2:$H$6,MATCH(C1338,parametros!$B$2:$B$6,0)),"")="","",IF(B1338&gt;=IFERROR(INDEX(parametros!$H$2:$H$6,MATCH(C1338,parametros!$B$2:$B$6,0)),""),"Sim","Nao"))))))</f>
        <v/>
      </c>
      <c r="T1338" s="156"/>
      <c r="U1338" s="214" t="str">
        <f t="shared" si="106"/>
        <v/>
      </c>
      <c r="V1338" s="212" t="s">
        <v>50</v>
      </c>
      <c r="W1338" s="100" t="s">
        <v>168</v>
      </c>
      <c r="X1338" s="100" t="s">
        <v>169</v>
      </c>
      <c r="Y1338" s="101" t="s">
        <v>170</v>
      </c>
      <c r="Z1338" s="101" t="s">
        <v>171</v>
      </c>
      <c r="AA1338" s="101" t="s">
        <v>50</v>
      </c>
      <c r="AB1338" s="101" t="s">
        <v>172</v>
      </c>
      <c r="AC1338" s="102" t="s">
        <v>173</v>
      </c>
    </row>
    <row r="1339" spans="1:29" ht="25.5" customHeight="1" x14ac:dyDescent="0.35">
      <c r="A1339" s="392"/>
      <c r="B1339" s="393"/>
      <c r="C1339" s="99" t="str">
        <f>IF(B1339="","",IF(NOT(ISNUMBER(B1339)),"DATA_PC invalida",IF(NOT(ISNUMBER(parametros!$C$2)),"Fora dos ciclos",IF(OR(B1339&lt;parametros!$C$2,(YEAR(B1339)-YEAR(parametros!$C$2))*12+MONTH(B1339)-MONTH(parametros!$C$2)&gt;59),"Fora dos ciclos","C"&amp;INT(((YEAR(B1339)-YEAR(parametros!$C$2))*12+MONTH(B1339)-MONTH(parametros!$C$2))/12)))))</f>
        <v/>
      </c>
      <c r="D1339" s="394"/>
      <c r="E1339" s="78" t="str">
        <f>IF(C1339="","",IFERROR(VLOOKUP(C1339,parametros!$A$11:$E$15,5,0),""))</f>
        <v/>
      </c>
      <c r="F1339" s="79" t="str">
        <f t="shared" si="102"/>
        <v/>
      </c>
      <c r="G1339" s="395"/>
      <c r="H1339" s="91">
        <f t="shared" si="103"/>
        <v>0</v>
      </c>
      <c r="I1339" s="91" t="str">
        <f t="shared" si="104"/>
        <v/>
      </c>
      <c r="J1339" s="91" t="str">
        <f t="shared" si="105"/>
        <v/>
      </c>
      <c r="K1339" s="92" t="str">
        <f>IF(AND(A1339="",B1339="",D1339="",G1339=""),"",IF(AND(A1339&lt;&gt;"",COUNTIF($A$2:$A$5001,A1339)&gt;1),"NUMERO_PC duplicado",IF(B1339="","DATA_PC vazia",IF(NOT(ISNUMBER(B1339)),"DATA_PC invalida",IF(OR(C1339="",C1339="Fora dos ciclos"),"CICLO_PC nao identificado",IF(OR(D1339="",D1339=0),"VALOR_PC vazio ou zero",IF(AND(G1339&lt;&gt;"Sim",G1339&lt;&gt;"Nao",G1339&lt;&gt;""),"PC_PAGO_A_CONTRATADA invalido",IF(AND(C1339&lt;&gt;"C0",IFERROR(INDEX(parametros!$A$2:$A$6,MATCH(C1339,parametros!$B$2:$B$6,0)),"")="Sim",IFERROR(INDEX(parametros!$H$2:$H$6,MATCH(C1339,parametros!$B$2:$B$6,0)),"")=""),"INICIO_EFEITO ausente: PC "&amp;A1339&amp;" - "&amp;C1339,IF(L1339="","EFEITO_PC nao calculado: PC "&amp;A1339&amp;" - "&amp;C1339,"OK")))))))))</f>
        <v/>
      </c>
      <c r="L1339" s="92" t="str">
        <f>IF(AND(A1339="",B1339="",D1339="",G1339=""),"",IF(OR(B1339="",NOT(ISNUMBER(B1339)),C1339="",C1339="Fora dos ciclos"),"",IF(C1339="C0","Nao",IF(IFERROR(INDEX(parametros!$A$2:$A$6,MATCH(C1339,parametros!$B$2:$B$6,0)),"")&lt;&gt;"Sim","Nao",IF(IFERROR(INDEX(parametros!$H$2:$H$6,MATCH(C1339,parametros!$B$2:$B$6,0)),"")="","",IF(B1339&gt;=IFERROR(INDEX(parametros!$H$2:$H$6,MATCH(C1339,parametros!$B$2:$B$6,0)),""),"Sim","Nao"))))))</f>
        <v/>
      </c>
      <c r="T1339" s="156"/>
      <c r="U1339" s="214" t="str">
        <f t="shared" si="106"/>
        <v/>
      </c>
      <c r="V1339" s="212" t="s">
        <v>50</v>
      </c>
      <c r="W1339" s="100" t="s">
        <v>168</v>
      </c>
      <c r="X1339" s="100" t="s">
        <v>169</v>
      </c>
      <c r="Y1339" s="101" t="s">
        <v>170</v>
      </c>
      <c r="Z1339" s="101" t="s">
        <v>171</v>
      </c>
      <c r="AA1339" s="101" t="s">
        <v>50</v>
      </c>
      <c r="AB1339" s="101" t="s">
        <v>172</v>
      </c>
      <c r="AC1339" s="102" t="s">
        <v>173</v>
      </c>
    </row>
    <row r="1340" spans="1:29" ht="25.5" customHeight="1" x14ac:dyDescent="0.35">
      <c r="A1340" s="392"/>
      <c r="B1340" s="393"/>
      <c r="C1340" s="99" t="str">
        <f>IF(B1340="","",IF(NOT(ISNUMBER(B1340)),"DATA_PC invalida",IF(NOT(ISNUMBER(parametros!$C$2)),"Fora dos ciclos",IF(OR(B1340&lt;parametros!$C$2,(YEAR(B1340)-YEAR(parametros!$C$2))*12+MONTH(B1340)-MONTH(parametros!$C$2)&gt;59),"Fora dos ciclos","C"&amp;INT(((YEAR(B1340)-YEAR(parametros!$C$2))*12+MONTH(B1340)-MONTH(parametros!$C$2))/12)))))</f>
        <v/>
      </c>
      <c r="D1340" s="394"/>
      <c r="E1340" s="78" t="str">
        <f>IF(C1340="","",IFERROR(VLOOKUP(C1340,parametros!$A$11:$E$15,5,0),""))</f>
        <v/>
      </c>
      <c r="F1340" s="79" t="str">
        <f t="shared" si="102"/>
        <v/>
      </c>
      <c r="G1340" s="395"/>
      <c r="H1340" s="91">
        <f t="shared" si="103"/>
        <v>0</v>
      </c>
      <c r="I1340" s="91" t="str">
        <f t="shared" si="104"/>
        <v/>
      </c>
      <c r="J1340" s="91" t="str">
        <f t="shared" si="105"/>
        <v/>
      </c>
      <c r="K1340" s="92" t="str">
        <f>IF(AND(A1340="",B1340="",D1340="",G1340=""),"",IF(AND(A1340&lt;&gt;"",COUNTIF($A$2:$A$5001,A1340)&gt;1),"NUMERO_PC duplicado",IF(B1340="","DATA_PC vazia",IF(NOT(ISNUMBER(B1340)),"DATA_PC invalida",IF(OR(C1340="",C1340="Fora dos ciclos"),"CICLO_PC nao identificado",IF(OR(D1340="",D1340=0),"VALOR_PC vazio ou zero",IF(AND(G1340&lt;&gt;"Sim",G1340&lt;&gt;"Nao",G1340&lt;&gt;""),"PC_PAGO_A_CONTRATADA invalido",IF(AND(C1340&lt;&gt;"C0",IFERROR(INDEX(parametros!$A$2:$A$6,MATCH(C1340,parametros!$B$2:$B$6,0)),"")="Sim",IFERROR(INDEX(parametros!$H$2:$H$6,MATCH(C1340,parametros!$B$2:$B$6,0)),"")=""),"INICIO_EFEITO ausente: PC "&amp;A1340&amp;" - "&amp;C1340,IF(L1340="","EFEITO_PC nao calculado: PC "&amp;A1340&amp;" - "&amp;C1340,"OK")))))))))</f>
        <v/>
      </c>
      <c r="L1340" s="92" t="str">
        <f>IF(AND(A1340="",B1340="",D1340="",G1340=""),"",IF(OR(B1340="",NOT(ISNUMBER(B1340)),C1340="",C1340="Fora dos ciclos"),"",IF(C1340="C0","Nao",IF(IFERROR(INDEX(parametros!$A$2:$A$6,MATCH(C1340,parametros!$B$2:$B$6,0)),"")&lt;&gt;"Sim","Nao",IF(IFERROR(INDEX(parametros!$H$2:$H$6,MATCH(C1340,parametros!$B$2:$B$6,0)),"")="","",IF(B1340&gt;=IFERROR(INDEX(parametros!$H$2:$H$6,MATCH(C1340,parametros!$B$2:$B$6,0)),""),"Sim","Nao"))))))</f>
        <v/>
      </c>
      <c r="T1340" s="156"/>
      <c r="U1340" s="214" t="str">
        <f t="shared" si="106"/>
        <v/>
      </c>
      <c r="V1340" s="212" t="s">
        <v>50</v>
      </c>
      <c r="W1340" s="100" t="s">
        <v>168</v>
      </c>
      <c r="X1340" s="100" t="s">
        <v>169</v>
      </c>
      <c r="Y1340" s="101" t="s">
        <v>170</v>
      </c>
      <c r="Z1340" s="101" t="s">
        <v>171</v>
      </c>
      <c r="AA1340" s="101" t="s">
        <v>50</v>
      </c>
      <c r="AB1340" s="101" t="s">
        <v>172</v>
      </c>
      <c r="AC1340" s="102" t="s">
        <v>173</v>
      </c>
    </row>
    <row r="1341" spans="1:29" ht="25.5" customHeight="1" x14ac:dyDescent="0.35">
      <c r="A1341" s="392"/>
      <c r="B1341" s="393"/>
      <c r="C1341" s="99" t="str">
        <f>IF(B1341="","",IF(NOT(ISNUMBER(B1341)),"DATA_PC invalida",IF(NOT(ISNUMBER(parametros!$C$2)),"Fora dos ciclos",IF(OR(B1341&lt;parametros!$C$2,(YEAR(B1341)-YEAR(parametros!$C$2))*12+MONTH(B1341)-MONTH(parametros!$C$2)&gt;59),"Fora dos ciclos","C"&amp;INT(((YEAR(B1341)-YEAR(parametros!$C$2))*12+MONTH(B1341)-MONTH(parametros!$C$2))/12)))))</f>
        <v/>
      </c>
      <c r="D1341" s="394"/>
      <c r="E1341" s="78" t="str">
        <f>IF(C1341="","",IFERROR(VLOOKUP(C1341,parametros!$A$11:$E$15,5,0),""))</f>
        <v/>
      </c>
      <c r="F1341" s="79" t="str">
        <f t="shared" si="102"/>
        <v/>
      </c>
      <c r="G1341" s="395"/>
      <c r="H1341" s="91">
        <f t="shared" si="103"/>
        <v>0</v>
      </c>
      <c r="I1341" s="91" t="str">
        <f t="shared" si="104"/>
        <v/>
      </c>
      <c r="J1341" s="91" t="str">
        <f t="shared" si="105"/>
        <v/>
      </c>
      <c r="K1341" s="92" t="str">
        <f>IF(AND(A1341="",B1341="",D1341="",G1341=""),"",IF(AND(A1341&lt;&gt;"",COUNTIF($A$2:$A$5001,A1341)&gt;1),"NUMERO_PC duplicado",IF(B1341="","DATA_PC vazia",IF(NOT(ISNUMBER(B1341)),"DATA_PC invalida",IF(OR(C1341="",C1341="Fora dos ciclos"),"CICLO_PC nao identificado",IF(OR(D1341="",D1341=0),"VALOR_PC vazio ou zero",IF(AND(G1341&lt;&gt;"Sim",G1341&lt;&gt;"Nao",G1341&lt;&gt;""),"PC_PAGO_A_CONTRATADA invalido",IF(AND(C1341&lt;&gt;"C0",IFERROR(INDEX(parametros!$A$2:$A$6,MATCH(C1341,parametros!$B$2:$B$6,0)),"")="Sim",IFERROR(INDEX(parametros!$H$2:$H$6,MATCH(C1341,parametros!$B$2:$B$6,0)),"")=""),"INICIO_EFEITO ausente: PC "&amp;A1341&amp;" - "&amp;C1341,IF(L1341="","EFEITO_PC nao calculado: PC "&amp;A1341&amp;" - "&amp;C1341,"OK")))))))))</f>
        <v/>
      </c>
      <c r="L1341" s="92" t="str">
        <f>IF(AND(A1341="",B1341="",D1341="",G1341=""),"",IF(OR(B1341="",NOT(ISNUMBER(B1341)),C1341="",C1341="Fora dos ciclos"),"",IF(C1341="C0","Nao",IF(IFERROR(INDEX(parametros!$A$2:$A$6,MATCH(C1341,parametros!$B$2:$B$6,0)),"")&lt;&gt;"Sim","Nao",IF(IFERROR(INDEX(parametros!$H$2:$H$6,MATCH(C1341,parametros!$B$2:$B$6,0)),"")="","",IF(B1341&gt;=IFERROR(INDEX(parametros!$H$2:$H$6,MATCH(C1341,parametros!$B$2:$B$6,0)),""),"Sim","Nao"))))))</f>
        <v/>
      </c>
      <c r="T1341" s="156"/>
      <c r="U1341" s="214" t="str">
        <f t="shared" si="106"/>
        <v/>
      </c>
      <c r="V1341" s="212" t="s">
        <v>50</v>
      </c>
      <c r="W1341" s="100" t="s">
        <v>168</v>
      </c>
      <c r="X1341" s="100" t="s">
        <v>169</v>
      </c>
      <c r="Y1341" s="101" t="s">
        <v>170</v>
      </c>
      <c r="Z1341" s="101" t="s">
        <v>171</v>
      </c>
      <c r="AA1341" s="101" t="s">
        <v>50</v>
      </c>
      <c r="AB1341" s="101" t="s">
        <v>172</v>
      </c>
      <c r="AC1341" s="102" t="s">
        <v>173</v>
      </c>
    </row>
    <row r="1342" spans="1:29" ht="25.5" customHeight="1" x14ac:dyDescent="0.35">
      <c r="A1342" s="392"/>
      <c r="B1342" s="393"/>
      <c r="C1342" s="99" t="str">
        <f>IF(B1342="","",IF(NOT(ISNUMBER(B1342)),"DATA_PC invalida",IF(NOT(ISNUMBER(parametros!$C$2)),"Fora dos ciclos",IF(OR(B1342&lt;parametros!$C$2,(YEAR(B1342)-YEAR(parametros!$C$2))*12+MONTH(B1342)-MONTH(parametros!$C$2)&gt;59),"Fora dos ciclos","C"&amp;INT(((YEAR(B1342)-YEAR(parametros!$C$2))*12+MONTH(B1342)-MONTH(parametros!$C$2))/12)))))</f>
        <v/>
      </c>
      <c r="D1342" s="394"/>
      <c r="E1342" s="78" t="str">
        <f>IF(C1342="","",IFERROR(VLOOKUP(C1342,parametros!$A$11:$E$15,5,0),""))</f>
        <v/>
      </c>
      <c r="F1342" s="79" t="str">
        <f t="shared" si="102"/>
        <v/>
      </c>
      <c r="G1342" s="395"/>
      <c r="H1342" s="91">
        <f t="shared" si="103"/>
        <v>0</v>
      </c>
      <c r="I1342" s="91" t="str">
        <f t="shared" si="104"/>
        <v/>
      </c>
      <c r="J1342" s="91" t="str">
        <f t="shared" si="105"/>
        <v/>
      </c>
      <c r="K1342" s="92" t="str">
        <f>IF(AND(A1342="",B1342="",D1342="",G1342=""),"",IF(AND(A1342&lt;&gt;"",COUNTIF($A$2:$A$5001,A1342)&gt;1),"NUMERO_PC duplicado",IF(B1342="","DATA_PC vazia",IF(NOT(ISNUMBER(B1342)),"DATA_PC invalida",IF(OR(C1342="",C1342="Fora dos ciclos"),"CICLO_PC nao identificado",IF(OR(D1342="",D1342=0),"VALOR_PC vazio ou zero",IF(AND(G1342&lt;&gt;"Sim",G1342&lt;&gt;"Nao",G1342&lt;&gt;""),"PC_PAGO_A_CONTRATADA invalido",IF(AND(C1342&lt;&gt;"C0",IFERROR(INDEX(parametros!$A$2:$A$6,MATCH(C1342,parametros!$B$2:$B$6,0)),"")="Sim",IFERROR(INDEX(parametros!$H$2:$H$6,MATCH(C1342,parametros!$B$2:$B$6,0)),"")=""),"INICIO_EFEITO ausente: PC "&amp;A1342&amp;" - "&amp;C1342,IF(L1342="","EFEITO_PC nao calculado: PC "&amp;A1342&amp;" - "&amp;C1342,"OK")))))))))</f>
        <v/>
      </c>
      <c r="L1342" s="92" t="str">
        <f>IF(AND(A1342="",B1342="",D1342="",G1342=""),"",IF(OR(B1342="",NOT(ISNUMBER(B1342)),C1342="",C1342="Fora dos ciclos"),"",IF(C1342="C0","Nao",IF(IFERROR(INDEX(parametros!$A$2:$A$6,MATCH(C1342,parametros!$B$2:$B$6,0)),"")&lt;&gt;"Sim","Nao",IF(IFERROR(INDEX(parametros!$H$2:$H$6,MATCH(C1342,parametros!$B$2:$B$6,0)),"")="","",IF(B1342&gt;=IFERROR(INDEX(parametros!$H$2:$H$6,MATCH(C1342,parametros!$B$2:$B$6,0)),""),"Sim","Nao"))))))</f>
        <v/>
      </c>
      <c r="T1342" s="156"/>
      <c r="U1342" s="214" t="str">
        <f t="shared" si="106"/>
        <v/>
      </c>
      <c r="V1342" s="212" t="s">
        <v>50</v>
      </c>
      <c r="W1342" s="100" t="s">
        <v>168</v>
      </c>
      <c r="X1342" s="100" t="s">
        <v>169</v>
      </c>
      <c r="Y1342" s="101" t="s">
        <v>170</v>
      </c>
      <c r="Z1342" s="101" t="s">
        <v>171</v>
      </c>
      <c r="AA1342" s="101" t="s">
        <v>50</v>
      </c>
      <c r="AB1342" s="101" t="s">
        <v>172</v>
      </c>
      <c r="AC1342" s="102" t="s">
        <v>173</v>
      </c>
    </row>
    <row r="1343" spans="1:29" ht="25.5" customHeight="1" x14ac:dyDescent="0.35">
      <c r="A1343" s="392"/>
      <c r="B1343" s="393"/>
      <c r="C1343" s="99" t="str">
        <f>IF(B1343="","",IF(NOT(ISNUMBER(B1343)),"DATA_PC invalida",IF(NOT(ISNUMBER(parametros!$C$2)),"Fora dos ciclos",IF(OR(B1343&lt;parametros!$C$2,(YEAR(B1343)-YEAR(parametros!$C$2))*12+MONTH(B1343)-MONTH(parametros!$C$2)&gt;59),"Fora dos ciclos","C"&amp;INT(((YEAR(B1343)-YEAR(parametros!$C$2))*12+MONTH(B1343)-MONTH(parametros!$C$2))/12)))))</f>
        <v/>
      </c>
      <c r="D1343" s="394"/>
      <c r="E1343" s="78" t="str">
        <f>IF(C1343="","",IFERROR(VLOOKUP(C1343,parametros!$A$11:$E$15,5,0),""))</f>
        <v/>
      </c>
      <c r="F1343" s="79" t="str">
        <f t="shared" si="102"/>
        <v/>
      </c>
      <c r="G1343" s="395"/>
      <c r="H1343" s="91">
        <f t="shared" si="103"/>
        <v>0</v>
      </c>
      <c r="I1343" s="91" t="str">
        <f t="shared" si="104"/>
        <v/>
      </c>
      <c r="J1343" s="91" t="str">
        <f t="shared" si="105"/>
        <v/>
      </c>
      <c r="K1343" s="92" t="str">
        <f>IF(AND(A1343="",B1343="",D1343="",G1343=""),"",IF(AND(A1343&lt;&gt;"",COUNTIF($A$2:$A$5001,A1343)&gt;1),"NUMERO_PC duplicado",IF(B1343="","DATA_PC vazia",IF(NOT(ISNUMBER(B1343)),"DATA_PC invalida",IF(OR(C1343="",C1343="Fora dos ciclos"),"CICLO_PC nao identificado",IF(OR(D1343="",D1343=0),"VALOR_PC vazio ou zero",IF(AND(G1343&lt;&gt;"Sim",G1343&lt;&gt;"Nao",G1343&lt;&gt;""),"PC_PAGO_A_CONTRATADA invalido",IF(AND(C1343&lt;&gt;"C0",IFERROR(INDEX(parametros!$A$2:$A$6,MATCH(C1343,parametros!$B$2:$B$6,0)),"")="Sim",IFERROR(INDEX(parametros!$H$2:$H$6,MATCH(C1343,parametros!$B$2:$B$6,0)),"")=""),"INICIO_EFEITO ausente: PC "&amp;A1343&amp;" - "&amp;C1343,IF(L1343="","EFEITO_PC nao calculado: PC "&amp;A1343&amp;" - "&amp;C1343,"OK")))))))))</f>
        <v/>
      </c>
      <c r="L1343" s="92" t="str">
        <f>IF(AND(A1343="",B1343="",D1343="",G1343=""),"",IF(OR(B1343="",NOT(ISNUMBER(B1343)),C1343="",C1343="Fora dos ciclos"),"",IF(C1343="C0","Nao",IF(IFERROR(INDEX(parametros!$A$2:$A$6,MATCH(C1343,parametros!$B$2:$B$6,0)),"")&lt;&gt;"Sim","Nao",IF(IFERROR(INDEX(parametros!$H$2:$H$6,MATCH(C1343,parametros!$B$2:$B$6,0)),"")="","",IF(B1343&gt;=IFERROR(INDEX(parametros!$H$2:$H$6,MATCH(C1343,parametros!$B$2:$B$6,0)),""),"Sim","Nao"))))))</f>
        <v/>
      </c>
      <c r="T1343" s="156"/>
      <c r="U1343" s="214" t="str">
        <f t="shared" si="106"/>
        <v/>
      </c>
      <c r="V1343" s="212" t="s">
        <v>50</v>
      </c>
      <c r="W1343" s="100" t="s">
        <v>168</v>
      </c>
      <c r="X1343" s="100" t="s">
        <v>169</v>
      </c>
      <c r="Y1343" s="101" t="s">
        <v>170</v>
      </c>
      <c r="Z1343" s="101" t="s">
        <v>171</v>
      </c>
      <c r="AA1343" s="101" t="s">
        <v>50</v>
      </c>
      <c r="AB1343" s="101" t="s">
        <v>172</v>
      </c>
      <c r="AC1343" s="102" t="s">
        <v>173</v>
      </c>
    </row>
    <row r="1344" spans="1:29" ht="25.5" customHeight="1" x14ac:dyDescent="0.35">
      <c r="A1344" s="392"/>
      <c r="B1344" s="393"/>
      <c r="C1344" s="99" t="str">
        <f>IF(B1344="","",IF(NOT(ISNUMBER(B1344)),"DATA_PC invalida",IF(NOT(ISNUMBER(parametros!$C$2)),"Fora dos ciclos",IF(OR(B1344&lt;parametros!$C$2,(YEAR(B1344)-YEAR(parametros!$C$2))*12+MONTH(B1344)-MONTH(parametros!$C$2)&gt;59),"Fora dos ciclos","C"&amp;INT(((YEAR(B1344)-YEAR(parametros!$C$2))*12+MONTH(B1344)-MONTH(parametros!$C$2))/12)))))</f>
        <v/>
      </c>
      <c r="D1344" s="394"/>
      <c r="E1344" s="78" t="str">
        <f>IF(C1344="","",IFERROR(VLOOKUP(C1344,parametros!$A$11:$E$15,5,0),""))</f>
        <v/>
      </c>
      <c r="F1344" s="79" t="str">
        <f t="shared" si="102"/>
        <v/>
      </c>
      <c r="G1344" s="395"/>
      <c r="H1344" s="91">
        <f t="shared" si="103"/>
        <v>0</v>
      </c>
      <c r="I1344" s="91" t="str">
        <f t="shared" si="104"/>
        <v/>
      </c>
      <c r="J1344" s="91" t="str">
        <f t="shared" si="105"/>
        <v/>
      </c>
      <c r="K1344" s="92" t="str">
        <f>IF(AND(A1344="",B1344="",D1344="",G1344=""),"",IF(AND(A1344&lt;&gt;"",COUNTIF($A$2:$A$5001,A1344)&gt;1),"NUMERO_PC duplicado",IF(B1344="","DATA_PC vazia",IF(NOT(ISNUMBER(B1344)),"DATA_PC invalida",IF(OR(C1344="",C1344="Fora dos ciclos"),"CICLO_PC nao identificado",IF(OR(D1344="",D1344=0),"VALOR_PC vazio ou zero",IF(AND(G1344&lt;&gt;"Sim",G1344&lt;&gt;"Nao",G1344&lt;&gt;""),"PC_PAGO_A_CONTRATADA invalido",IF(AND(C1344&lt;&gt;"C0",IFERROR(INDEX(parametros!$A$2:$A$6,MATCH(C1344,parametros!$B$2:$B$6,0)),"")="Sim",IFERROR(INDEX(parametros!$H$2:$H$6,MATCH(C1344,parametros!$B$2:$B$6,0)),"")=""),"INICIO_EFEITO ausente: PC "&amp;A1344&amp;" - "&amp;C1344,IF(L1344="","EFEITO_PC nao calculado: PC "&amp;A1344&amp;" - "&amp;C1344,"OK")))))))))</f>
        <v/>
      </c>
      <c r="L1344" s="92" t="str">
        <f>IF(AND(A1344="",B1344="",D1344="",G1344=""),"",IF(OR(B1344="",NOT(ISNUMBER(B1344)),C1344="",C1344="Fora dos ciclos"),"",IF(C1344="C0","Nao",IF(IFERROR(INDEX(parametros!$A$2:$A$6,MATCH(C1344,parametros!$B$2:$B$6,0)),"")&lt;&gt;"Sim","Nao",IF(IFERROR(INDEX(parametros!$H$2:$H$6,MATCH(C1344,parametros!$B$2:$B$6,0)),"")="","",IF(B1344&gt;=IFERROR(INDEX(parametros!$H$2:$H$6,MATCH(C1344,parametros!$B$2:$B$6,0)),""),"Sim","Nao"))))))</f>
        <v/>
      </c>
      <c r="T1344" s="156"/>
      <c r="U1344" s="214" t="str">
        <f t="shared" si="106"/>
        <v/>
      </c>
      <c r="V1344" s="212" t="s">
        <v>50</v>
      </c>
      <c r="W1344" s="100" t="s">
        <v>168</v>
      </c>
      <c r="X1344" s="100" t="s">
        <v>169</v>
      </c>
      <c r="Y1344" s="101" t="s">
        <v>170</v>
      </c>
      <c r="Z1344" s="101" t="s">
        <v>171</v>
      </c>
      <c r="AA1344" s="101" t="s">
        <v>50</v>
      </c>
      <c r="AB1344" s="101" t="s">
        <v>172</v>
      </c>
      <c r="AC1344" s="102" t="s">
        <v>173</v>
      </c>
    </row>
    <row r="1345" spans="1:29" ht="25.5" customHeight="1" x14ac:dyDescent="0.35">
      <c r="A1345" s="392"/>
      <c r="B1345" s="393"/>
      <c r="C1345" s="99" t="str">
        <f>IF(B1345="","",IF(NOT(ISNUMBER(B1345)),"DATA_PC invalida",IF(NOT(ISNUMBER(parametros!$C$2)),"Fora dos ciclos",IF(OR(B1345&lt;parametros!$C$2,(YEAR(B1345)-YEAR(parametros!$C$2))*12+MONTH(B1345)-MONTH(parametros!$C$2)&gt;59),"Fora dos ciclos","C"&amp;INT(((YEAR(B1345)-YEAR(parametros!$C$2))*12+MONTH(B1345)-MONTH(parametros!$C$2))/12)))))</f>
        <v/>
      </c>
      <c r="D1345" s="394"/>
      <c r="E1345" s="78" t="str">
        <f>IF(C1345="","",IFERROR(VLOOKUP(C1345,parametros!$A$11:$E$15,5,0),""))</f>
        <v/>
      </c>
      <c r="F1345" s="79" t="str">
        <f t="shared" si="102"/>
        <v/>
      </c>
      <c r="G1345" s="395"/>
      <c r="H1345" s="91">
        <f t="shared" si="103"/>
        <v>0</v>
      </c>
      <c r="I1345" s="91" t="str">
        <f t="shared" si="104"/>
        <v/>
      </c>
      <c r="J1345" s="91" t="str">
        <f t="shared" si="105"/>
        <v/>
      </c>
      <c r="K1345" s="92" t="str">
        <f>IF(AND(A1345="",B1345="",D1345="",G1345=""),"",IF(AND(A1345&lt;&gt;"",COUNTIF($A$2:$A$5001,A1345)&gt;1),"NUMERO_PC duplicado",IF(B1345="","DATA_PC vazia",IF(NOT(ISNUMBER(B1345)),"DATA_PC invalida",IF(OR(C1345="",C1345="Fora dos ciclos"),"CICLO_PC nao identificado",IF(OR(D1345="",D1345=0),"VALOR_PC vazio ou zero",IF(AND(G1345&lt;&gt;"Sim",G1345&lt;&gt;"Nao",G1345&lt;&gt;""),"PC_PAGO_A_CONTRATADA invalido",IF(AND(C1345&lt;&gt;"C0",IFERROR(INDEX(parametros!$A$2:$A$6,MATCH(C1345,parametros!$B$2:$B$6,0)),"")="Sim",IFERROR(INDEX(parametros!$H$2:$H$6,MATCH(C1345,parametros!$B$2:$B$6,0)),"")=""),"INICIO_EFEITO ausente: PC "&amp;A1345&amp;" - "&amp;C1345,IF(L1345="","EFEITO_PC nao calculado: PC "&amp;A1345&amp;" - "&amp;C1345,"OK")))))))))</f>
        <v/>
      </c>
      <c r="L1345" s="92" t="str">
        <f>IF(AND(A1345="",B1345="",D1345="",G1345=""),"",IF(OR(B1345="",NOT(ISNUMBER(B1345)),C1345="",C1345="Fora dos ciclos"),"",IF(C1345="C0","Nao",IF(IFERROR(INDEX(parametros!$A$2:$A$6,MATCH(C1345,parametros!$B$2:$B$6,0)),"")&lt;&gt;"Sim","Nao",IF(IFERROR(INDEX(parametros!$H$2:$H$6,MATCH(C1345,parametros!$B$2:$B$6,0)),"")="","",IF(B1345&gt;=IFERROR(INDEX(parametros!$H$2:$H$6,MATCH(C1345,parametros!$B$2:$B$6,0)),""),"Sim","Nao"))))))</f>
        <v/>
      </c>
      <c r="T1345" s="156"/>
      <c r="U1345" s="214" t="str">
        <f t="shared" si="106"/>
        <v/>
      </c>
      <c r="V1345" s="212" t="s">
        <v>50</v>
      </c>
      <c r="W1345" s="100" t="s">
        <v>168</v>
      </c>
      <c r="X1345" s="100" t="s">
        <v>169</v>
      </c>
      <c r="Y1345" s="101" t="s">
        <v>170</v>
      </c>
      <c r="Z1345" s="101" t="s">
        <v>171</v>
      </c>
      <c r="AA1345" s="101" t="s">
        <v>50</v>
      </c>
      <c r="AB1345" s="101" t="s">
        <v>172</v>
      </c>
      <c r="AC1345" s="102" t="s">
        <v>173</v>
      </c>
    </row>
    <row r="1346" spans="1:29" ht="25.5" customHeight="1" x14ac:dyDescent="0.35">
      <c r="A1346" s="392"/>
      <c r="B1346" s="393"/>
      <c r="C1346" s="99" t="str">
        <f>IF(B1346="","",IF(NOT(ISNUMBER(B1346)),"DATA_PC invalida",IF(NOT(ISNUMBER(parametros!$C$2)),"Fora dos ciclos",IF(OR(B1346&lt;parametros!$C$2,(YEAR(B1346)-YEAR(parametros!$C$2))*12+MONTH(B1346)-MONTH(parametros!$C$2)&gt;59),"Fora dos ciclos","C"&amp;INT(((YEAR(B1346)-YEAR(parametros!$C$2))*12+MONTH(B1346)-MONTH(parametros!$C$2))/12)))))</f>
        <v/>
      </c>
      <c r="D1346" s="394"/>
      <c r="E1346" s="78" t="str">
        <f>IF(C1346="","",IFERROR(VLOOKUP(C1346,parametros!$A$11:$E$15,5,0),""))</f>
        <v/>
      </c>
      <c r="F1346" s="79" t="str">
        <f t="shared" ref="F1346:F1409" si="107">IF(OR(D1346="",E1346=""),"",ROUND(D1346*E1346,2))</f>
        <v/>
      </c>
      <c r="G1346" s="395"/>
      <c r="H1346" s="91">
        <f t="shared" ref="H1346:H1409" si="108">IF(G1346="Sim",IF(OR(F1346="",D1346="",L1346=""),"",IF(L1346="Sim",ROUND(F1346-D1346,2),0)),0)</f>
        <v>0</v>
      </c>
      <c r="I1346" s="91" t="str">
        <f t="shared" ref="I1346:I1409" si="109">IF(G1346="Sim",0,IF(OR(F1346="",L1346=""),"",F1346))</f>
        <v/>
      </c>
      <c r="J1346" s="91" t="str">
        <f t="shared" ref="J1346:J1409" si="110">IF(G1346="Sim",0,IF(OR(F1346="",D1346="",L1346=""),"",IF(L1346="Sim",ROUND(F1346-D1346,2),0)))</f>
        <v/>
      </c>
      <c r="K1346" s="92" t="str">
        <f>IF(AND(A1346="",B1346="",D1346="",G1346=""),"",IF(AND(A1346&lt;&gt;"",COUNTIF($A$2:$A$5001,A1346)&gt;1),"NUMERO_PC duplicado",IF(B1346="","DATA_PC vazia",IF(NOT(ISNUMBER(B1346)),"DATA_PC invalida",IF(OR(C1346="",C1346="Fora dos ciclos"),"CICLO_PC nao identificado",IF(OR(D1346="",D1346=0),"VALOR_PC vazio ou zero",IF(AND(G1346&lt;&gt;"Sim",G1346&lt;&gt;"Nao",G1346&lt;&gt;""),"PC_PAGO_A_CONTRATADA invalido",IF(AND(C1346&lt;&gt;"C0",IFERROR(INDEX(parametros!$A$2:$A$6,MATCH(C1346,parametros!$B$2:$B$6,0)),"")="Sim",IFERROR(INDEX(parametros!$H$2:$H$6,MATCH(C1346,parametros!$B$2:$B$6,0)),"")=""),"INICIO_EFEITO ausente: PC "&amp;A1346&amp;" - "&amp;C1346,IF(L1346="","EFEITO_PC nao calculado: PC "&amp;A1346&amp;" - "&amp;C1346,"OK")))))))))</f>
        <v/>
      </c>
      <c r="L1346" s="92" t="str">
        <f>IF(AND(A1346="",B1346="",D1346="",G1346=""),"",IF(OR(B1346="",NOT(ISNUMBER(B1346)),C1346="",C1346="Fora dos ciclos"),"",IF(C1346="C0","Nao",IF(IFERROR(INDEX(parametros!$A$2:$A$6,MATCH(C1346,parametros!$B$2:$B$6,0)),"")&lt;&gt;"Sim","Nao",IF(IFERROR(INDEX(parametros!$H$2:$H$6,MATCH(C1346,parametros!$B$2:$B$6,0)),"")="","",IF(B1346&gt;=IFERROR(INDEX(parametros!$H$2:$H$6,MATCH(C1346,parametros!$B$2:$B$6,0)),""),"Sim","Nao"))))))</f>
        <v/>
      </c>
      <c r="T1346" s="156"/>
      <c r="U1346" s="214" t="str">
        <f t="shared" ref="U1346:U1409" si="111">IF(OR($D1346="",$H1346=""),"",ROUND($D1346+$H1346,2))</f>
        <v/>
      </c>
      <c r="V1346" s="212" t="s">
        <v>50</v>
      </c>
      <c r="W1346" s="100" t="s">
        <v>168</v>
      </c>
      <c r="X1346" s="100" t="s">
        <v>169</v>
      </c>
      <c r="Y1346" s="101" t="s">
        <v>170</v>
      </c>
      <c r="Z1346" s="101" t="s">
        <v>171</v>
      </c>
      <c r="AA1346" s="101" t="s">
        <v>50</v>
      </c>
      <c r="AB1346" s="101" t="s">
        <v>172</v>
      </c>
      <c r="AC1346" s="102" t="s">
        <v>173</v>
      </c>
    </row>
    <row r="1347" spans="1:29" ht="25.5" customHeight="1" x14ac:dyDescent="0.35">
      <c r="A1347" s="392"/>
      <c r="B1347" s="393"/>
      <c r="C1347" s="99" t="str">
        <f>IF(B1347="","",IF(NOT(ISNUMBER(B1347)),"DATA_PC invalida",IF(NOT(ISNUMBER(parametros!$C$2)),"Fora dos ciclos",IF(OR(B1347&lt;parametros!$C$2,(YEAR(B1347)-YEAR(parametros!$C$2))*12+MONTH(B1347)-MONTH(parametros!$C$2)&gt;59),"Fora dos ciclos","C"&amp;INT(((YEAR(B1347)-YEAR(parametros!$C$2))*12+MONTH(B1347)-MONTH(parametros!$C$2))/12)))))</f>
        <v/>
      </c>
      <c r="D1347" s="394"/>
      <c r="E1347" s="78" t="str">
        <f>IF(C1347="","",IFERROR(VLOOKUP(C1347,parametros!$A$11:$E$15,5,0),""))</f>
        <v/>
      </c>
      <c r="F1347" s="79" t="str">
        <f t="shared" si="107"/>
        <v/>
      </c>
      <c r="G1347" s="395"/>
      <c r="H1347" s="91">
        <f t="shared" si="108"/>
        <v>0</v>
      </c>
      <c r="I1347" s="91" t="str">
        <f t="shared" si="109"/>
        <v/>
      </c>
      <c r="J1347" s="91" t="str">
        <f t="shared" si="110"/>
        <v/>
      </c>
      <c r="K1347" s="92" t="str">
        <f>IF(AND(A1347="",B1347="",D1347="",G1347=""),"",IF(AND(A1347&lt;&gt;"",COUNTIF($A$2:$A$5001,A1347)&gt;1),"NUMERO_PC duplicado",IF(B1347="","DATA_PC vazia",IF(NOT(ISNUMBER(B1347)),"DATA_PC invalida",IF(OR(C1347="",C1347="Fora dos ciclos"),"CICLO_PC nao identificado",IF(OR(D1347="",D1347=0),"VALOR_PC vazio ou zero",IF(AND(G1347&lt;&gt;"Sim",G1347&lt;&gt;"Nao",G1347&lt;&gt;""),"PC_PAGO_A_CONTRATADA invalido",IF(AND(C1347&lt;&gt;"C0",IFERROR(INDEX(parametros!$A$2:$A$6,MATCH(C1347,parametros!$B$2:$B$6,0)),"")="Sim",IFERROR(INDEX(parametros!$H$2:$H$6,MATCH(C1347,parametros!$B$2:$B$6,0)),"")=""),"INICIO_EFEITO ausente: PC "&amp;A1347&amp;" - "&amp;C1347,IF(L1347="","EFEITO_PC nao calculado: PC "&amp;A1347&amp;" - "&amp;C1347,"OK")))))))))</f>
        <v/>
      </c>
      <c r="L1347" s="92" t="str">
        <f>IF(AND(A1347="",B1347="",D1347="",G1347=""),"",IF(OR(B1347="",NOT(ISNUMBER(B1347)),C1347="",C1347="Fora dos ciclos"),"",IF(C1347="C0","Nao",IF(IFERROR(INDEX(parametros!$A$2:$A$6,MATCH(C1347,parametros!$B$2:$B$6,0)),"")&lt;&gt;"Sim","Nao",IF(IFERROR(INDEX(parametros!$H$2:$H$6,MATCH(C1347,parametros!$B$2:$B$6,0)),"")="","",IF(B1347&gt;=IFERROR(INDEX(parametros!$H$2:$H$6,MATCH(C1347,parametros!$B$2:$B$6,0)),""),"Sim","Nao"))))))</f>
        <v/>
      </c>
      <c r="T1347" s="156"/>
      <c r="U1347" s="214" t="str">
        <f t="shared" si="111"/>
        <v/>
      </c>
      <c r="V1347" s="212" t="s">
        <v>50</v>
      </c>
      <c r="W1347" s="100" t="s">
        <v>168</v>
      </c>
      <c r="X1347" s="100" t="s">
        <v>169</v>
      </c>
      <c r="Y1347" s="101" t="s">
        <v>170</v>
      </c>
      <c r="Z1347" s="101" t="s">
        <v>171</v>
      </c>
      <c r="AA1347" s="101" t="s">
        <v>50</v>
      </c>
      <c r="AB1347" s="101" t="s">
        <v>172</v>
      </c>
      <c r="AC1347" s="102" t="s">
        <v>173</v>
      </c>
    </row>
    <row r="1348" spans="1:29" ht="25.5" customHeight="1" x14ac:dyDescent="0.35">
      <c r="A1348" s="392"/>
      <c r="B1348" s="393"/>
      <c r="C1348" s="99" t="str">
        <f>IF(B1348="","",IF(NOT(ISNUMBER(B1348)),"DATA_PC invalida",IF(NOT(ISNUMBER(parametros!$C$2)),"Fora dos ciclos",IF(OR(B1348&lt;parametros!$C$2,(YEAR(B1348)-YEAR(parametros!$C$2))*12+MONTH(B1348)-MONTH(parametros!$C$2)&gt;59),"Fora dos ciclos","C"&amp;INT(((YEAR(B1348)-YEAR(parametros!$C$2))*12+MONTH(B1348)-MONTH(parametros!$C$2))/12)))))</f>
        <v/>
      </c>
      <c r="D1348" s="394"/>
      <c r="E1348" s="78" t="str">
        <f>IF(C1348="","",IFERROR(VLOOKUP(C1348,parametros!$A$11:$E$15,5,0),""))</f>
        <v/>
      </c>
      <c r="F1348" s="79" t="str">
        <f t="shared" si="107"/>
        <v/>
      </c>
      <c r="G1348" s="395"/>
      <c r="H1348" s="91">
        <f t="shared" si="108"/>
        <v>0</v>
      </c>
      <c r="I1348" s="91" t="str">
        <f t="shared" si="109"/>
        <v/>
      </c>
      <c r="J1348" s="91" t="str">
        <f t="shared" si="110"/>
        <v/>
      </c>
      <c r="K1348" s="92" t="str">
        <f>IF(AND(A1348="",B1348="",D1348="",G1348=""),"",IF(AND(A1348&lt;&gt;"",COUNTIF($A$2:$A$5001,A1348)&gt;1),"NUMERO_PC duplicado",IF(B1348="","DATA_PC vazia",IF(NOT(ISNUMBER(B1348)),"DATA_PC invalida",IF(OR(C1348="",C1348="Fora dos ciclos"),"CICLO_PC nao identificado",IF(OR(D1348="",D1348=0),"VALOR_PC vazio ou zero",IF(AND(G1348&lt;&gt;"Sim",G1348&lt;&gt;"Nao",G1348&lt;&gt;""),"PC_PAGO_A_CONTRATADA invalido",IF(AND(C1348&lt;&gt;"C0",IFERROR(INDEX(parametros!$A$2:$A$6,MATCH(C1348,parametros!$B$2:$B$6,0)),"")="Sim",IFERROR(INDEX(parametros!$H$2:$H$6,MATCH(C1348,parametros!$B$2:$B$6,0)),"")=""),"INICIO_EFEITO ausente: PC "&amp;A1348&amp;" - "&amp;C1348,IF(L1348="","EFEITO_PC nao calculado: PC "&amp;A1348&amp;" - "&amp;C1348,"OK")))))))))</f>
        <v/>
      </c>
      <c r="L1348" s="92" t="str">
        <f>IF(AND(A1348="",B1348="",D1348="",G1348=""),"",IF(OR(B1348="",NOT(ISNUMBER(B1348)),C1348="",C1348="Fora dos ciclos"),"",IF(C1348="C0","Nao",IF(IFERROR(INDEX(parametros!$A$2:$A$6,MATCH(C1348,parametros!$B$2:$B$6,0)),"")&lt;&gt;"Sim","Nao",IF(IFERROR(INDEX(parametros!$H$2:$H$6,MATCH(C1348,parametros!$B$2:$B$6,0)),"")="","",IF(B1348&gt;=IFERROR(INDEX(parametros!$H$2:$H$6,MATCH(C1348,parametros!$B$2:$B$6,0)),""),"Sim","Nao"))))))</f>
        <v/>
      </c>
      <c r="T1348" s="156"/>
      <c r="U1348" s="214" t="str">
        <f t="shared" si="111"/>
        <v/>
      </c>
      <c r="V1348" s="212" t="s">
        <v>50</v>
      </c>
      <c r="W1348" s="100" t="s">
        <v>168</v>
      </c>
      <c r="X1348" s="100" t="s">
        <v>169</v>
      </c>
      <c r="Y1348" s="101" t="s">
        <v>170</v>
      </c>
      <c r="Z1348" s="101" t="s">
        <v>171</v>
      </c>
      <c r="AA1348" s="101" t="s">
        <v>50</v>
      </c>
      <c r="AB1348" s="101" t="s">
        <v>172</v>
      </c>
      <c r="AC1348" s="102" t="s">
        <v>173</v>
      </c>
    </row>
    <row r="1349" spans="1:29" ht="25.5" customHeight="1" x14ac:dyDescent="0.35">
      <c r="A1349" s="392"/>
      <c r="B1349" s="393"/>
      <c r="C1349" s="99" t="str">
        <f>IF(B1349="","",IF(NOT(ISNUMBER(B1349)),"DATA_PC invalida",IF(NOT(ISNUMBER(parametros!$C$2)),"Fora dos ciclos",IF(OR(B1349&lt;parametros!$C$2,(YEAR(B1349)-YEAR(parametros!$C$2))*12+MONTH(B1349)-MONTH(parametros!$C$2)&gt;59),"Fora dos ciclos","C"&amp;INT(((YEAR(B1349)-YEAR(parametros!$C$2))*12+MONTH(B1349)-MONTH(parametros!$C$2))/12)))))</f>
        <v/>
      </c>
      <c r="D1349" s="394"/>
      <c r="E1349" s="78" t="str">
        <f>IF(C1349="","",IFERROR(VLOOKUP(C1349,parametros!$A$11:$E$15,5,0),""))</f>
        <v/>
      </c>
      <c r="F1349" s="79" t="str">
        <f t="shared" si="107"/>
        <v/>
      </c>
      <c r="G1349" s="395"/>
      <c r="H1349" s="91">
        <f t="shared" si="108"/>
        <v>0</v>
      </c>
      <c r="I1349" s="91" t="str">
        <f t="shared" si="109"/>
        <v/>
      </c>
      <c r="J1349" s="91" t="str">
        <f t="shared" si="110"/>
        <v/>
      </c>
      <c r="K1349" s="92" t="str">
        <f>IF(AND(A1349="",B1349="",D1349="",G1349=""),"",IF(AND(A1349&lt;&gt;"",COUNTIF($A$2:$A$5001,A1349)&gt;1),"NUMERO_PC duplicado",IF(B1349="","DATA_PC vazia",IF(NOT(ISNUMBER(B1349)),"DATA_PC invalida",IF(OR(C1349="",C1349="Fora dos ciclos"),"CICLO_PC nao identificado",IF(OR(D1349="",D1349=0),"VALOR_PC vazio ou zero",IF(AND(G1349&lt;&gt;"Sim",G1349&lt;&gt;"Nao",G1349&lt;&gt;""),"PC_PAGO_A_CONTRATADA invalido",IF(AND(C1349&lt;&gt;"C0",IFERROR(INDEX(parametros!$A$2:$A$6,MATCH(C1349,parametros!$B$2:$B$6,0)),"")="Sim",IFERROR(INDEX(parametros!$H$2:$H$6,MATCH(C1349,parametros!$B$2:$B$6,0)),"")=""),"INICIO_EFEITO ausente: PC "&amp;A1349&amp;" - "&amp;C1349,IF(L1349="","EFEITO_PC nao calculado: PC "&amp;A1349&amp;" - "&amp;C1349,"OK")))))))))</f>
        <v/>
      </c>
      <c r="L1349" s="92" t="str">
        <f>IF(AND(A1349="",B1349="",D1349="",G1349=""),"",IF(OR(B1349="",NOT(ISNUMBER(B1349)),C1349="",C1349="Fora dos ciclos"),"",IF(C1349="C0","Nao",IF(IFERROR(INDEX(parametros!$A$2:$A$6,MATCH(C1349,parametros!$B$2:$B$6,0)),"")&lt;&gt;"Sim","Nao",IF(IFERROR(INDEX(parametros!$H$2:$H$6,MATCH(C1349,parametros!$B$2:$B$6,0)),"")="","",IF(B1349&gt;=IFERROR(INDEX(parametros!$H$2:$H$6,MATCH(C1349,parametros!$B$2:$B$6,0)),""),"Sim","Nao"))))))</f>
        <v/>
      </c>
      <c r="T1349" s="156"/>
      <c r="U1349" s="214" t="str">
        <f t="shared" si="111"/>
        <v/>
      </c>
      <c r="V1349" s="212" t="s">
        <v>50</v>
      </c>
      <c r="W1349" s="100" t="s">
        <v>168</v>
      </c>
      <c r="X1349" s="100" t="s">
        <v>169</v>
      </c>
      <c r="Y1349" s="101" t="s">
        <v>170</v>
      </c>
      <c r="Z1349" s="101" t="s">
        <v>171</v>
      </c>
      <c r="AA1349" s="101" t="s">
        <v>50</v>
      </c>
      <c r="AB1349" s="101" t="s">
        <v>172</v>
      </c>
      <c r="AC1349" s="102" t="s">
        <v>173</v>
      </c>
    </row>
    <row r="1350" spans="1:29" ht="25.5" customHeight="1" x14ac:dyDescent="0.35">
      <c r="A1350" s="392"/>
      <c r="B1350" s="393"/>
      <c r="C1350" s="99" t="str">
        <f>IF(B1350="","",IF(NOT(ISNUMBER(B1350)),"DATA_PC invalida",IF(NOT(ISNUMBER(parametros!$C$2)),"Fora dos ciclos",IF(OR(B1350&lt;parametros!$C$2,(YEAR(B1350)-YEAR(parametros!$C$2))*12+MONTH(B1350)-MONTH(parametros!$C$2)&gt;59),"Fora dos ciclos","C"&amp;INT(((YEAR(B1350)-YEAR(parametros!$C$2))*12+MONTH(B1350)-MONTH(parametros!$C$2))/12)))))</f>
        <v/>
      </c>
      <c r="D1350" s="394"/>
      <c r="E1350" s="78" t="str">
        <f>IF(C1350="","",IFERROR(VLOOKUP(C1350,parametros!$A$11:$E$15,5,0),""))</f>
        <v/>
      </c>
      <c r="F1350" s="79" t="str">
        <f t="shared" si="107"/>
        <v/>
      </c>
      <c r="G1350" s="395"/>
      <c r="H1350" s="91">
        <f t="shared" si="108"/>
        <v>0</v>
      </c>
      <c r="I1350" s="91" t="str">
        <f t="shared" si="109"/>
        <v/>
      </c>
      <c r="J1350" s="91" t="str">
        <f t="shared" si="110"/>
        <v/>
      </c>
      <c r="K1350" s="92" t="str">
        <f>IF(AND(A1350="",B1350="",D1350="",G1350=""),"",IF(AND(A1350&lt;&gt;"",COUNTIF($A$2:$A$5001,A1350)&gt;1),"NUMERO_PC duplicado",IF(B1350="","DATA_PC vazia",IF(NOT(ISNUMBER(B1350)),"DATA_PC invalida",IF(OR(C1350="",C1350="Fora dos ciclos"),"CICLO_PC nao identificado",IF(OR(D1350="",D1350=0),"VALOR_PC vazio ou zero",IF(AND(G1350&lt;&gt;"Sim",G1350&lt;&gt;"Nao",G1350&lt;&gt;""),"PC_PAGO_A_CONTRATADA invalido",IF(AND(C1350&lt;&gt;"C0",IFERROR(INDEX(parametros!$A$2:$A$6,MATCH(C1350,parametros!$B$2:$B$6,0)),"")="Sim",IFERROR(INDEX(parametros!$H$2:$H$6,MATCH(C1350,parametros!$B$2:$B$6,0)),"")=""),"INICIO_EFEITO ausente: PC "&amp;A1350&amp;" - "&amp;C1350,IF(L1350="","EFEITO_PC nao calculado: PC "&amp;A1350&amp;" - "&amp;C1350,"OK")))))))))</f>
        <v/>
      </c>
      <c r="L1350" s="92" t="str">
        <f>IF(AND(A1350="",B1350="",D1350="",G1350=""),"",IF(OR(B1350="",NOT(ISNUMBER(B1350)),C1350="",C1350="Fora dos ciclos"),"",IF(C1350="C0","Nao",IF(IFERROR(INDEX(parametros!$A$2:$A$6,MATCH(C1350,parametros!$B$2:$B$6,0)),"")&lt;&gt;"Sim","Nao",IF(IFERROR(INDEX(parametros!$H$2:$H$6,MATCH(C1350,parametros!$B$2:$B$6,0)),"")="","",IF(B1350&gt;=IFERROR(INDEX(parametros!$H$2:$H$6,MATCH(C1350,parametros!$B$2:$B$6,0)),""),"Sim","Nao"))))))</f>
        <v/>
      </c>
      <c r="T1350" s="156"/>
      <c r="U1350" s="214" t="str">
        <f t="shared" si="111"/>
        <v/>
      </c>
      <c r="V1350" s="212" t="s">
        <v>50</v>
      </c>
      <c r="W1350" s="100" t="s">
        <v>168</v>
      </c>
      <c r="X1350" s="100" t="s">
        <v>169</v>
      </c>
      <c r="Y1350" s="101" t="s">
        <v>170</v>
      </c>
      <c r="Z1350" s="101" t="s">
        <v>171</v>
      </c>
      <c r="AA1350" s="101" t="s">
        <v>50</v>
      </c>
      <c r="AB1350" s="101" t="s">
        <v>172</v>
      </c>
      <c r="AC1350" s="102" t="s">
        <v>173</v>
      </c>
    </row>
    <row r="1351" spans="1:29" ht="25.5" customHeight="1" x14ac:dyDescent="0.35">
      <c r="A1351" s="392"/>
      <c r="B1351" s="393"/>
      <c r="C1351" s="99" t="str">
        <f>IF(B1351="","",IF(NOT(ISNUMBER(B1351)),"DATA_PC invalida",IF(NOT(ISNUMBER(parametros!$C$2)),"Fora dos ciclos",IF(OR(B1351&lt;parametros!$C$2,(YEAR(B1351)-YEAR(parametros!$C$2))*12+MONTH(B1351)-MONTH(parametros!$C$2)&gt;59),"Fora dos ciclos","C"&amp;INT(((YEAR(B1351)-YEAR(parametros!$C$2))*12+MONTH(B1351)-MONTH(parametros!$C$2))/12)))))</f>
        <v/>
      </c>
      <c r="D1351" s="394"/>
      <c r="E1351" s="78" t="str">
        <f>IF(C1351="","",IFERROR(VLOOKUP(C1351,parametros!$A$11:$E$15,5,0),""))</f>
        <v/>
      </c>
      <c r="F1351" s="79" t="str">
        <f t="shared" si="107"/>
        <v/>
      </c>
      <c r="G1351" s="395"/>
      <c r="H1351" s="91">
        <f t="shared" si="108"/>
        <v>0</v>
      </c>
      <c r="I1351" s="91" t="str">
        <f t="shared" si="109"/>
        <v/>
      </c>
      <c r="J1351" s="91" t="str">
        <f t="shared" si="110"/>
        <v/>
      </c>
      <c r="K1351" s="92" t="str">
        <f>IF(AND(A1351="",B1351="",D1351="",G1351=""),"",IF(AND(A1351&lt;&gt;"",COUNTIF($A$2:$A$5001,A1351)&gt;1),"NUMERO_PC duplicado",IF(B1351="","DATA_PC vazia",IF(NOT(ISNUMBER(B1351)),"DATA_PC invalida",IF(OR(C1351="",C1351="Fora dos ciclos"),"CICLO_PC nao identificado",IF(OR(D1351="",D1351=0),"VALOR_PC vazio ou zero",IF(AND(G1351&lt;&gt;"Sim",G1351&lt;&gt;"Nao",G1351&lt;&gt;""),"PC_PAGO_A_CONTRATADA invalido",IF(AND(C1351&lt;&gt;"C0",IFERROR(INDEX(parametros!$A$2:$A$6,MATCH(C1351,parametros!$B$2:$B$6,0)),"")="Sim",IFERROR(INDEX(parametros!$H$2:$H$6,MATCH(C1351,parametros!$B$2:$B$6,0)),"")=""),"INICIO_EFEITO ausente: PC "&amp;A1351&amp;" - "&amp;C1351,IF(L1351="","EFEITO_PC nao calculado: PC "&amp;A1351&amp;" - "&amp;C1351,"OK")))))))))</f>
        <v/>
      </c>
      <c r="L1351" s="92" t="str">
        <f>IF(AND(A1351="",B1351="",D1351="",G1351=""),"",IF(OR(B1351="",NOT(ISNUMBER(B1351)),C1351="",C1351="Fora dos ciclos"),"",IF(C1351="C0","Nao",IF(IFERROR(INDEX(parametros!$A$2:$A$6,MATCH(C1351,parametros!$B$2:$B$6,0)),"")&lt;&gt;"Sim","Nao",IF(IFERROR(INDEX(parametros!$H$2:$H$6,MATCH(C1351,parametros!$B$2:$B$6,0)),"")="","",IF(B1351&gt;=IFERROR(INDEX(parametros!$H$2:$H$6,MATCH(C1351,parametros!$B$2:$B$6,0)),""),"Sim","Nao"))))))</f>
        <v/>
      </c>
      <c r="T1351" s="156"/>
      <c r="U1351" s="214" t="str">
        <f t="shared" si="111"/>
        <v/>
      </c>
      <c r="V1351" s="212" t="s">
        <v>50</v>
      </c>
      <c r="W1351" s="100" t="s">
        <v>168</v>
      </c>
      <c r="X1351" s="100" t="s">
        <v>169</v>
      </c>
      <c r="Y1351" s="101" t="s">
        <v>170</v>
      </c>
      <c r="Z1351" s="101" t="s">
        <v>171</v>
      </c>
      <c r="AA1351" s="101" t="s">
        <v>50</v>
      </c>
      <c r="AB1351" s="101" t="s">
        <v>172</v>
      </c>
      <c r="AC1351" s="102" t="s">
        <v>173</v>
      </c>
    </row>
    <row r="1352" spans="1:29" ht="25.5" customHeight="1" x14ac:dyDescent="0.35">
      <c r="A1352" s="392"/>
      <c r="B1352" s="393"/>
      <c r="C1352" s="99" t="str">
        <f>IF(B1352="","",IF(NOT(ISNUMBER(B1352)),"DATA_PC invalida",IF(NOT(ISNUMBER(parametros!$C$2)),"Fora dos ciclos",IF(OR(B1352&lt;parametros!$C$2,(YEAR(B1352)-YEAR(parametros!$C$2))*12+MONTH(B1352)-MONTH(parametros!$C$2)&gt;59),"Fora dos ciclos","C"&amp;INT(((YEAR(B1352)-YEAR(parametros!$C$2))*12+MONTH(B1352)-MONTH(parametros!$C$2))/12)))))</f>
        <v/>
      </c>
      <c r="D1352" s="394"/>
      <c r="E1352" s="78" t="str">
        <f>IF(C1352="","",IFERROR(VLOOKUP(C1352,parametros!$A$11:$E$15,5,0),""))</f>
        <v/>
      </c>
      <c r="F1352" s="79" t="str">
        <f t="shared" si="107"/>
        <v/>
      </c>
      <c r="G1352" s="395"/>
      <c r="H1352" s="91">
        <f t="shared" si="108"/>
        <v>0</v>
      </c>
      <c r="I1352" s="91" t="str">
        <f t="shared" si="109"/>
        <v/>
      </c>
      <c r="J1352" s="91" t="str">
        <f t="shared" si="110"/>
        <v/>
      </c>
      <c r="K1352" s="92" t="str">
        <f>IF(AND(A1352="",B1352="",D1352="",G1352=""),"",IF(AND(A1352&lt;&gt;"",COUNTIF($A$2:$A$5001,A1352)&gt;1),"NUMERO_PC duplicado",IF(B1352="","DATA_PC vazia",IF(NOT(ISNUMBER(B1352)),"DATA_PC invalida",IF(OR(C1352="",C1352="Fora dos ciclos"),"CICLO_PC nao identificado",IF(OR(D1352="",D1352=0),"VALOR_PC vazio ou zero",IF(AND(G1352&lt;&gt;"Sim",G1352&lt;&gt;"Nao",G1352&lt;&gt;""),"PC_PAGO_A_CONTRATADA invalido",IF(AND(C1352&lt;&gt;"C0",IFERROR(INDEX(parametros!$A$2:$A$6,MATCH(C1352,parametros!$B$2:$B$6,0)),"")="Sim",IFERROR(INDEX(parametros!$H$2:$H$6,MATCH(C1352,parametros!$B$2:$B$6,0)),"")=""),"INICIO_EFEITO ausente: PC "&amp;A1352&amp;" - "&amp;C1352,IF(L1352="","EFEITO_PC nao calculado: PC "&amp;A1352&amp;" - "&amp;C1352,"OK")))))))))</f>
        <v/>
      </c>
      <c r="L1352" s="92" t="str">
        <f>IF(AND(A1352="",B1352="",D1352="",G1352=""),"",IF(OR(B1352="",NOT(ISNUMBER(B1352)),C1352="",C1352="Fora dos ciclos"),"",IF(C1352="C0","Nao",IF(IFERROR(INDEX(parametros!$A$2:$A$6,MATCH(C1352,parametros!$B$2:$B$6,0)),"")&lt;&gt;"Sim","Nao",IF(IFERROR(INDEX(parametros!$H$2:$H$6,MATCH(C1352,parametros!$B$2:$B$6,0)),"")="","",IF(B1352&gt;=IFERROR(INDEX(parametros!$H$2:$H$6,MATCH(C1352,parametros!$B$2:$B$6,0)),""),"Sim","Nao"))))))</f>
        <v/>
      </c>
      <c r="T1352" s="156"/>
      <c r="U1352" s="214" t="str">
        <f t="shared" si="111"/>
        <v/>
      </c>
      <c r="V1352" s="212" t="s">
        <v>50</v>
      </c>
      <c r="W1352" s="100" t="s">
        <v>168</v>
      </c>
      <c r="X1352" s="100" t="s">
        <v>169</v>
      </c>
      <c r="Y1352" s="101" t="s">
        <v>170</v>
      </c>
      <c r="Z1352" s="101" t="s">
        <v>171</v>
      </c>
      <c r="AA1352" s="101" t="s">
        <v>50</v>
      </c>
      <c r="AB1352" s="101" t="s">
        <v>172</v>
      </c>
      <c r="AC1352" s="102" t="s">
        <v>173</v>
      </c>
    </row>
    <row r="1353" spans="1:29" ht="25.5" customHeight="1" x14ac:dyDescent="0.35">
      <c r="A1353" s="392"/>
      <c r="B1353" s="393"/>
      <c r="C1353" s="99" t="str">
        <f>IF(B1353="","",IF(NOT(ISNUMBER(B1353)),"DATA_PC invalida",IF(NOT(ISNUMBER(parametros!$C$2)),"Fora dos ciclos",IF(OR(B1353&lt;parametros!$C$2,(YEAR(B1353)-YEAR(parametros!$C$2))*12+MONTH(B1353)-MONTH(parametros!$C$2)&gt;59),"Fora dos ciclos","C"&amp;INT(((YEAR(B1353)-YEAR(parametros!$C$2))*12+MONTH(B1353)-MONTH(parametros!$C$2))/12)))))</f>
        <v/>
      </c>
      <c r="D1353" s="394"/>
      <c r="E1353" s="78" t="str">
        <f>IF(C1353="","",IFERROR(VLOOKUP(C1353,parametros!$A$11:$E$15,5,0),""))</f>
        <v/>
      </c>
      <c r="F1353" s="79" t="str">
        <f t="shared" si="107"/>
        <v/>
      </c>
      <c r="G1353" s="395"/>
      <c r="H1353" s="91">
        <f t="shared" si="108"/>
        <v>0</v>
      </c>
      <c r="I1353" s="91" t="str">
        <f t="shared" si="109"/>
        <v/>
      </c>
      <c r="J1353" s="91" t="str">
        <f t="shared" si="110"/>
        <v/>
      </c>
      <c r="K1353" s="92" t="str">
        <f>IF(AND(A1353="",B1353="",D1353="",G1353=""),"",IF(AND(A1353&lt;&gt;"",COUNTIF($A$2:$A$5001,A1353)&gt;1),"NUMERO_PC duplicado",IF(B1353="","DATA_PC vazia",IF(NOT(ISNUMBER(B1353)),"DATA_PC invalida",IF(OR(C1353="",C1353="Fora dos ciclos"),"CICLO_PC nao identificado",IF(OR(D1353="",D1353=0),"VALOR_PC vazio ou zero",IF(AND(G1353&lt;&gt;"Sim",G1353&lt;&gt;"Nao",G1353&lt;&gt;""),"PC_PAGO_A_CONTRATADA invalido",IF(AND(C1353&lt;&gt;"C0",IFERROR(INDEX(parametros!$A$2:$A$6,MATCH(C1353,parametros!$B$2:$B$6,0)),"")="Sim",IFERROR(INDEX(parametros!$H$2:$H$6,MATCH(C1353,parametros!$B$2:$B$6,0)),"")=""),"INICIO_EFEITO ausente: PC "&amp;A1353&amp;" - "&amp;C1353,IF(L1353="","EFEITO_PC nao calculado: PC "&amp;A1353&amp;" - "&amp;C1353,"OK")))))))))</f>
        <v/>
      </c>
      <c r="L1353" s="92" t="str">
        <f>IF(AND(A1353="",B1353="",D1353="",G1353=""),"",IF(OR(B1353="",NOT(ISNUMBER(B1353)),C1353="",C1353="Fora dos ciclos"),"",IF(C1353="C0","Nao",IF(IFERROR(INDEX(parametros!$A$2:$A$6,MATCH(C1353,parametros!$B$2:$B$6,0)),"")&lt;&gt;"Sim","Nao",IF(IFERROR(INDEX(parametros!$H$2:$H$6,MATCH(C1353,parametros!$B$2:$B$6,0)),"")="","",IF(B1353&gt;=IFERROR(INDEX(parametros!$H$2:$H$6,MATCH(C1353,parametros!$B$2:$B$6,0)),""),"Sim","Nao"))))))</f>
        <v/>
      </c>
      <c r="T1353" s="156"/>
      <c r="U1353" s="214" t="str">
        <f t="shared" si="111"/>
        <v/>
      </c>
      <c r="V1353" s="212" t="s">
        <v>50</v>
      </c>
      <c r="W1353" s="100" t="s">
        <v>168</v>
      </c>
      <c r="X1353" s="100" t="s">
        <v>169</v>
      </c>
      <c r="Y1353" s="101" t="s">
        <v>170</v>
      </c>
      <c r="Z1353" s="101" t="s">
        <v>171</v>
      </c>
      <c r="AA1353" s="101" t="s">
        <v>50</v>
      </c>
      <c r="AB1353" s="101" t="s">
        <v>172</v>
      </c>
      <c r="AC1353" s="102" t="s">
        <v>173</v>
      </c>
    </row>
    <row r="1354" spans="1:29" ht="25.5" customHeight="1" x14ac:dyDescent="0.35">
      <c r="A1354" s="392"/>
      <c r="B1354" s="393"/>
      <c r="C1354" s="99" t="str">
        <f>IF(B1354="","",IF(NOT(ISNUMBER(B1354)),"DATA_PC invalida",IF(NOT(ISNUMBER(parametros!$C$2)),"Fora dos ciclos",IF(OR(B1354&lt;parametros!$C$2,(YEAR(B1354)-YEAR(parametros!$C$2))*12+MONTH(B1354)-MONTH(parametros!$C$2)&gt;59),"Fora dos ciclos","C"&amp;INT(((YEAR(B1354)-YEAR(parametros!$C$2))*12+MONTH(B1354)-MONTH(parametros!$C$2))/12)))))</f>
        <v/>
      </c>
      <c r="D1354" s="394"/>
      <c r="E1354" s="78" t="str">
        <f>IF(C1354="","",IFERROR(VLOOKUP(C1354,parametros!$A$11:$E$15,5,0),""))</f>
        <v/>
      </c>
      <c r="F1354" s="79" t="str">
        <f t="shared" si="107"/>
        <v/>
      </c>
      <c r="G1354" s="395"/>
      <c r="H1354" s="91">
        <f t="shared" si="108"/>
        <v>0</v>
      </c>
      <c r="I1354" s="91" t="str">
        <f t="shared" si="109"/>
        <v/>
      </c>
      <c r="J1354" s="91" t="str">
        <f t="shared" si="110"/>
        <v/>
      </c>
      <c r="K1354" s="92" t="str">
        <f>IF(AND(A1354="",B1354="",D1354="",G1354=""),"",IF(AND(A1354&lt;&gt;"",COUNTIF($A$2:$A$5001,A1354)&gt;1),"NUMERO_PC duplicado",IF(B1354="","DATA_PC vazia",IF(NOT(ISNUMBER(B1354)),"DATA_PC invalida",IF(OR(C1354="",C1354="Fora dos ciclos"),"CICLO_PC nao identificado",IF(OR(D1354="",D1354=0),"VALOR_PC vazio ou zero",IF(AND(G1354&lt;&gt;"Sim",G1354&lt;&gt;"Nao",G1354&lt;&gt;""),"PC_PAGO_A_CONTRATADA invalido",IF(AND(C1354&lt;&gt;"C0",IFERROR(INDEX(parametros!$A$2:$A$6,MATCH(C1354,parametros!$B$2:$B$6,0)),"")="Sim",IFERROR(INDEX(parametros!$H$2:$H$6,MATCH(C1354,parametros!$B$2:$B$6,0)),"")=""),"INICIO_EFEITO ausente: PC "&amp;A1354&amp;" - "&amp;C1354,IF(L1354="","EFEITO_PC nao calculado: PC "&amp;A1354&amp;" - "&amp;C1354,"OK")))))))))</f>
        <v/>
      </c>
      <c r="L1354" s="92" t="str">
        <f>IF(AND(A1354="",B1354="",D1354="",G1354=""),"",IF(OR(B1354="",NOT(ISNUMBER(B1354)),C1354="",C1354="Fora dos ciclos"),"",IF(C1354="C0","Nao",IF(IFERROR(INDEX(parametros!$A$2:$A$6,MATCH(C1354,parametros!$B$2:$B$6,0)),"")&lt;&gt;"Sim","Nao",IF(IFERROR(INDEX(parametros!$H$2:$H$6,MATCH(C1354,parametros!$B$2:$B$6,0)),"")="","",IF(B1354&gt;=IFERROR(INDEX(parametros!$H$2:$H$6,MATCH(C1354,parametros!$B$2:$B$6,0)),""),"Sim","Nao"))))))</f>
        <v/>
      </c>
      <c r="T1354" s="156"/>
      <c r="U1354" s="214" t="str">
        <f t="shared" si="111"/>
        <v/>
      </c>
      <c r="V1354" s="212" t="s">
        <v>50</v>
      </c>
      <c r="W1354" s="100" t="s">
        <v>168</v>
      </c>
      <c r="X1354" s="100" t="s">
        <v>169</v>
      </c>
      <c r="Y1354" s="101" t="s">
        <v>170</v>
      </c>
      <c r="Z1354" s="101" t="s">
        <v>171</v>
      </c>
      <c r="AA1354" s="101" t="s">
        <v>50</v>
      </c>
      <c r="AB1354" s="101" t="s">
        <v>172</v>
      </c>
      <c r="AC1354" s="102" t="s">
        <v>173</v>
      </c>
    </row>
    <row r="1355" spans="1:29" ht="25.5" customHeight="1" x14ac:dyDescent="0.35">
      <c r="A1355" s="392"/>
      <c r="B1355" s="393"/>
      <c r="C1355" s="99" t="str">
        <f>IF(B1355="","",IF(NOT(ISNUMBER(B1355)),"DATA_PC invalida",IF(NOT(ISNUMBER(parametros!$C$2)),"Fora dos ciclos",IF(OR(B1355&lt;parametros!$C$2,(YEAR(B1355)-YEAR(parametros!$C$2))*12+MONTH(B1355)-MONTH(parametros!$C$2)&gt;59),"Fora dos ciclos","C"&amp;INT(((YEAR(B1355)-YEAR(parametros!$C$2))*12+MONTH(B1355)-MONTH(parametros!$C$2))/12)))))</f>
        <v/>
      </c>
      <c r="D1355" s="394"/>
      <c r="E1355" s="78" t="str">
        <f>IF(C1355="","",IFERROR(VLOOKUP(C1355,parametros!$A$11:$E$15,5,0),""))</f>
        <v/>
      </c>
      <c r="F1355" s="79" t="str">
        <f t="shared" si="107"/>
        <v/>
      </c>
      <c r="G1355" s="395"/>
      <c r="H1355" s="91">
        <f t="shared" si="108"/>
        <v>0</v>
      </c>
      <c r="I1355" s="91" t="str">
        <f t="shared" si="109"/>
        <v/>
      </c>
      <c r="J1355" s="91" t="str">
        <f t="shared" si="110"/>
        <v/>
      </c>
      <c r="K1355" s="92" t="str">
        <f>IF(AND(A1355="",B1355="",D1355="",G1355=""),"",IF(AND(A1355&lt;&gt;"",COUNTIF($A$2:$A$5001,A1355)&gt;1),"NUMERO_PC duplicado",IF(B1355="","DATA_PC vazia",IF(NOT(ISNUMBER(B1355)),"DATA_PC invalida",IF(OR(C1355="",C1355="Fora dos ciclos"),"CICLO_PC nao identificado",IF(OR(D1355="",D1355=0),"VALOR_PC vazio ou zero",IF(AND(G1355&lt;&gt;"Sim",G1355&lt;&gt;"Nao",G1355&lt;&gt;""),"PC_PAGO_A_CONTRATADA invalido",IF(AND(C1355&lt;&gt;"C0",IFERROR(INDEX(parametros!$A$2:$A$6,MATCH(C1355,parametros!$B$2:$B$6,0)),"")="Sim",IFERROR(INDEX(parametros!$H$2:$H$6,MATCH(C1355,parametros!$B$2:$B$6,0)),"")=""),"INICIO_EFEITO ausente: PC "&amp;A1355&amp;" - "&amp;C1355,IF(L1355="","EFEITO_PC nao calculado: PC "&amp;A1355&amp;" - "&amp;C1355,"OK")))))))))</f>
        <v/>
      </c>
      <c r="L1355" s="92" t="str">
        <f>IF(AND(A1355="",B1355="",D1355="",G1355=""),"",IF(OR(B1355="",NOT(ISNUMBER(B1355)),C1355="",C1355="Fora dos ciclos"),"",IF(C1355="C0","Nao",IF(IFERROR(INDEX(parametros!$A$2:$A$6,MATCH(C1355,parametros!$B$2:$B$6,0)),"")&lt;&gt;"Sim","Nao",IF(IFERROR(INDEX(parametros!$H$2:$H$6,MATCH(C1355,parametros!$B$2:$B$6,0)),"")="","",IF(B1355&gt;=IFERROR(INDEX(parametros!$H$2:$H$6,MATCH(C1355,parametros!$B$2:$B$6,0)),""),"Sim","Nao"))))))</f>
        <v/>
      </c>
      <c r="T1355" s="156"/>
      <c r="U1355" s="214" t="str">
        <f t="shared" si="111"/>
        <v/>
      </c>
      <c r="V1355" s="212" t="s">
        <v>50</v>
      </c>
      <c r="W1355" s="100" t="s">
        <v>168</v>
      </c>
      <c r="X1355" s="100" t="s">
        <v>169</v>
      </c>
      <c r="Y1355" s="101" t="s">
        <v>170</v>
      </c>
      <c r="Z1355" s="101" t="s">
        <v>171</v>
      </c>
      <c r="AA1355" s="101" t="s">
        <v>50</v>
      </c>
      <c r="AB1355" s="101" t="s">
        <v>172</v>
      </c>
      <c r="AC1355" s="102" t="s">
        <v>173</v>
      </c>
    </row>
    <row r="1356" spans="1:29" ht="25.5" customHeight="1" x14ac:dyDescent="0.35">
      <c r="A1356" s="392"/>
      <c r="B1356" s="393"/>
      <c r="C1356" s="99" t="str">
        <f>IF(B1356="","",IF(NOT(ISNUMBER(B1356)),"DATA_PC invalida",IF(NOT(ISNUMBER(parametros!$C$2)),"Fora dos ciclos",IF(OR(B1356&lt;parametros!$C$2,(YEAR(B1356)-YEAR(parametros!$C$2))*12+MONTH(B1356)-MONTH(parametros!$C$2)&gt;59),"Fora dos ciclos","C"&amp;INT(((YEAR(B1356)-YEAR(parametros!$C$2))*12+MONTH(B1356)-MONTH(parametros!$C$2))/12)))))</f>
        <v/>
      </c>
      <c r="D1356" s="394"/>
      <c r="E1356" s="78" t="str">
        <f>IF(C1356="","",IFERROR(VLOOKUP(C1356,parametros!$A$11:$E$15,5,0),""))</f>
        <v/>
      </c>
      <c r="F1356" s="79" t="str">
        <f t="shared" si="107"/>
        <v/>
      </c>
      <c r="G1356" s="395"/>
      <c r="H1356" s="91">
        <f t="shared" si="108"/>
        <v>0</v>
      </c>
      <c r="I1356" s="91" t="str">
        <f t="shared" si="109"/>
        <v/>
      </c>
      <c r="J1356" s="91" t="str">
        <f t="shared" si="110"/>
        <v/>
      </c>
      <c r="K1356" s="92" t="str">
        <f>IF(AND(A1356="",B1356="",D1356="",G1356=""),"",IF(AND(A1356&lt;&gt;"",COUNTIF($A$2:$A$5001,A1356)&gt;1),"NUMERO_PC duplicado",IF(B1356="","DATA_PC vazia",IF(NOT(ISNUMBER(B1356)),"DATA_PC invalida",IF(OR(C1356="",C1356="Fora dos ciclos"),"CICLO_PC nao identificado",IF(OR(D1356="",D1356=0),"VALOR_PC vazio ou zero",IF(AND(G1356&lt;&gt;"Sim",G1356&lt;&gt;"Nao",G1356&lt;&gt;""),"PC_PAGO_A_CONTRATADA invalido",IF(AND(C1356&lt;&gt;"C0",IFERROR(INDEX(parametros!$A$2:$A$6,MATCH(C1356,parametros!$B$2:$B$6,0)),"")="Sim",IFERROR(INDEX(parametros!$H$2:$H$6,MATCH(C1356,parametros!$B$2:$B$6,0)),"")=""),"INICIO_EFEITO ausente: PC "&amp;A1356&amp;" - "&amp;C1356,IF(L1356="","EFEITO_PC nao calculado: PC "&amp;A1356&amp;" - "&amp;C1356,"OK")))))))))</f>
        <v/>
      </c>
      <c r="L1356" s="92" t="str">
        <f>IF(AND(A1356="",B1356="",D1356="",G1356=""),"",IF(OR(B1356="",NOT(ISNUMBER(B1356)),C1356="",C1356="Fora dos ciclos"),"",IF(C1356="C0","Nao",IF(IFERROR(INDEX(parametros!$A$2:$A$6,MATCH(C1356,parametros!$B$2:$B$6,0)),"")&lt;&gt;"Sim","Nao",IF(IFERROR(INDEX(parametros!$H$2:$H$6,MATCH(C1356,parametros!$B$2:$B$6,0)),"")="","",IF(B1356&gt;=IFERROR(INDEX(parametros!$H$2:$H$6,MATCH(C1356,parametros!$B$2:$B$6,0)),""),"Sim","Nao"))))))</f>
        <v/>
      </c>
      <c r="T1356" s="156"/>
      <c r="U1356" s="214" t="str">
        <f t="shared" si="111"/>
        <v/>
      </c>
      <c r="V1356" s="212" t="s">
        <v>50</v>
      </c>
      <c r="W1356" s="100" t="s">
        <v>168</v>
      </c>
      <c r="X1356" s="100" t="s">
        <v>169</v>
      </c>
      <c r="Y1356" s="101" t="s">
        <v>170</v>
      </c>
      <c r="Z1356" s="101" t="s">
        <v>171</v>
      </c>
      <c r="AA1356" s="101" t="s">
        <v>50</v>
      </c>
      <c r="AB1356" s="101" t="s">
        <v>172</v>
      </c>
      <c r="AC1356" s="102" t="s">
        <v>173</v>
      </c>
    </row>
    <row r="1357" spans="1:29" ht="25.5" customHeight="1" x14ac:dyDescent="0.35">
      <c r="A1357" s="392"/>
      <c r="B1357" s="393"/>
      <c r="C1357" s="99" t="str">
        <f>IF(B1357="","",IF(NOT(ISNUMBER(B1357)),"DATA_PC invalida",IF(NOT(ISNUMBER(parametros!$C$2)),"Fora dos ciclos",IF(OR(B1357&lt;parametros!$C$2,(YEAR(B1357)-YEAR(parametros!$C$2))*12+MONTH(B1357)-MONTH(parametros!$C$2)&gt;59),"Fora dos ciclos","C"&amp;INT(((YEAR(B1357)-YEAR(parametros!$C$2))*12+MONTH(B1357)-MONTH(parametros!$C$2))/12)))))</f>
        <v/>
      </c>
      <c r="D1357" s="394"/>
      <c r="E1357" s="78" t="str">
        <f>IF(C1357="","",IFERROR(VLOOKUP(C1357,parametros!$A$11:$E$15,5,0),""))</f>
        <v/>
      </c>
      <c r="F1357" s="79" t="str">
        <f t="shared" si="107"/>
        <v/>
      </c>
      <c r="G1357" s="395"/>
      <c r="H1357" s="91">
        <f t="shared" si="108"/>
        <v>0</v>
      </c>
      <c r="I1357" s="91" t="str">
        <f t="shared" si="109"/>
        <v/>
      </c>
      <c r="J1357" s="91" t="str">
        <f t="shared" si="110"/>
        <v/>
      </c>
      <c r="K1357" s="92" t="str">
        <f>IF(AND(A1357="",B1357="",D1357="",G1357=""),"",IF(AND(A1357&lt;&gt;"",COUNTIF($A$2:$A$5001,A1357)&gt;1),"NUMERO_PC duplicado",IF(B1357="","DATA_PC vazia",IF(NOT(ISNUMBER(B1357)),"DATA_PC invalida",IF(OR(C1357="",C1357="Fora dos ciclos"),"CICLO_PC nao identificado",IF(OR(D1357="",D1357=0),"VALOR_PC vazio ou zero",IF(AND(G1357&lt;&gt;"Sim",G1357&lt;&gt;"Nao",G1357&lt;&gt;""),"PC_PAGO_A_CONTRATADA invalido",IF(AND(C1357&lt;&gt;"C0",IFERROR(INDEX(parametros!$A$2:$A$6,MATCH(C1357,parametros!$B$2:$B$6,0)),"")="Sim",IFERROR(INDEX(parametros!$H$2:$H$6,MATCH(C1357,parametros!$B$2:$B$6,0)),"")=""),"INICIO_EFEITO ausente: PC "&amp;A1357&amp;" - "&amp;C1357,IF(L1357="","EFEITO_PC nao calculado: PC "&amp;A1357&amp;" - "&amp;C1357,"OK")))))))))</f>
        <v/>
      </c>
      <c r="L1357" s="92" t="str">
        <f>IF(AND(A1357="",B1357="",D1357="",G1357=""),"",IF(OR(B1357="",NOT(ISNUMBER(B1357)),C1357="",C1357="Fora dos ciclos"),"",IF(C1357="C0","Nao",IF(IFERROR(INDEX(parametros!$A$2:$A$6,MATCH(C1357,parametros!$B$2:$B$6,0)),"")&lt;&gt;"Sim","Nao",IF(IFERROR(INDEX(parametros!$H$2:$H$6,MATCH(C1357,parametros!$B$2:$B$6,0)),"")="","",IF(B1357&gt;=IFERROR(INDEX(parametros!$H$2:$H$6,MATCH(C1357,parametros!$B$2:$B$6,0)),""),"Sim","Nao"))))))</f>
        <v/>
      </c>
      <c r="T1357" s="156"/>
      <c r="U1357" s="214" t="str">
        <f t="shared" si="111"/>
        <v/>
      </c>
      <c r="V1357" s="212" t="s">
        <v>50</v>
      </c>
      <c r="W1357" s="100" t="s">
        <v>168</v>
      </c>
      <c r="X1357" s="100" t="s">
        <v>169</v>
      </c>
      <c r="Y1357" s="101" t="s">
        <v>170</v>
      </c>
      <c r="Z1357" s="101" t="s">
        <v>171</v>
      </c>
      <c r="AA1357" s="101" t="s">
        <v>50</v>
      </c>
      <c r="AB1357" s="101" t="s">
        <v>172</v>
      </c>
      <c r="AC1357" s="102" t="s">
        <v>173</v>
      </c>
    </row>
    <row r="1358" spans="1:29" ht="25.5" customHeight="1" x14ac:dyDescent="0.35">
      <c r="A1358" s="392"/>
      <c r="B1358" s="393"/>
      <c r="C1358" s="99" t="str">
        <f>IF(B1358="","",IF(NOT(ISNUMBER(B1358)),"DATA_PC invalida",IF(NOT(ISNUMBER(parametros!$C$2)),"Fora dos ciclos",IF(OR(B1358&lt;parametros!$C$2,(YEAR(B1358)-YEAR(parametros!$C$2))*12+MONTH(B1358)-MONTH(parametros!$C$2)&gt;59),"Fora dos ciclos","C"&amp;INT(((YEAR(B1358)-YEAR(parametros!$C$2))*12+MONTH(B1358)-MONTH(parametros!$C$2))/12)))))</f>
        <v/>
      </c>
      <c r="D1358" s="394"/>
      <c r="E1358" s="78" t="str">
        <f>IF(C1358="","",IFERROR(VLOOKUP(C1358,parametros!$A$11:$E$15,5,0),""))</f>
        <v/>
      </c>
      <c r="F1358" s="79" t="str">
        <f t="shared" si="107"/>
        <v/>
      </c>
      <c r="G1358" s="395"/>
      <c r="H1358" s="91">
        <f t="shared" si="108"/>
        <v>0</v>
      </c>
      <c r="I1358" s="91" t="str">
        <f t="shared" si="109"/>
        <v/>
      </c>
      <c r="J1358" s="91" t="str">
        <f t="shared" si="110"/>
        <v/>
      </c>
      <c r="K1358" s="92" t="str">
        <f>IF(AND(A1358="",B1358="",D1358="",G1358=""),"",IF(AND(A1358&lt;&gt;"",COUNTIF($A$2:$A$5001,A1358)&gt;1),"NUMERO_PC duplicado",IF(B1358="","DATA_PC vazia",IF(NOT(ISNUMBER(B1358)),"DATA_PC invalida",IF(OR(C1358="",C1358="Fora dos ciclos"),"CICLO_PC nao identificado",IF(OR(D1358="",D1358=0),"VALOR_PC vazio ou zero",IF(AND(G1358&lt;&gt;"Sim",G1358&lt;&gt;"Nao",G1358&lt;&gt;""),"PC_PAGO_A_CONTRATADA invalido",IF(AND(C1358&lt;&gt;"C0",IFERROR(INDEX(parametros!$A$2:$A$6,MATCH(C1358,parametros!$B$2:$B$6,0)),"")="Sim",IFERROR(INDEX(parametros!$H$2:$H$6,MATCH(C1358,parametros!$B$2:$B$6,0)),"")=""),"INICIO_EFEITO ausente: PC "&amp;A1358&amp;" - "&amp;C1358,IF(L1358="","EFEITO_PC nao calculado: PC "&amp;A1358&amp;" - "&amp;C1358,"OK")))))))))</f>
        <v/>
      </c>
      <c r="L1358" s="92" t="str">
        <f>IF(AND(A1358="",B1358="",D1358="",G1358=""),"",IF(OR(B1358="",NOT(ISNUMBER(B1358)),C1358="",C1358="Fora dos ciclos"),"",IF(C1358="C0","Nao",IF(IFERROR(INDEX(parametros!$A$2:$A$6,MATCH(C1358,parametros!$B$2:$B$6,0)),"")&lt;&gt;"Sim","Nao",IF(IFERROR(INDEX(parametros!$H$2:$H$6,MATCH(C1358,parametros!$B$2:$B$6,0)),"")="","",IF(B1358&gt;=IFERROR(INDEX(parametros!$H$2:$H$6,MATCH(C1358,parametros!$B$2:$B$6,0)),""),"Sim","Nao"))))))</f>
        <v/>
      </c>
      <c r="T1358" s="156"/>
      <c r="U1358" s="214" t="str">
        <f t="shared" si="111"/>
        <v/>
      </c>
      <c r="V1358" s="212" t="s">
        <v>50</v>
      </c>
      <c r="W1358" s="100" t="s">
        <v>168</v>
      </c>
      <c r="X1358" s="100" t="s">
        <v>169</v>
      </c>
      <c r="Y1358" s="101" t="s">
        <v>170</v>
      </c>
      <c r="Z1358" s="101" t="s">
        <v>171</v>
      </c>
      <c r="AA1358" s="101" t="s">
        <v>50</v>
      </c>
      <c r="AB1358" s="101" t="s">
        <v>172</v>
      </c>
      <c r="AC1358" s="102" t="s">
        <v>173</v>
      </c>
    </row>
    <row r="1359" spans="1:29" ht="25.5" customHeight="1" x14ac:dyDescent="0.35">
      <c r="A1359" s="392"/>
      <c r="B1359" s="393"/>
      <c r="C1359" s="99" t="str">
        <f>IF(B1359="","",IF(NOT(ISNUMBER(B1359)),"DATA_PC invalida",IF(NOT(ISNUMBER(parametros!$C$2)),"Fora dos ciclos",IF(OR(B1359&lt;parametros!$C$2,(YEAR(B1359)-YEAR(parametros!$C$2))*12+MONTH(B1359)-MONTH(parametros!$C$2)&gt;59),"Fora dos ciclos","C"&amp;INT(((YEAR(B1359)-YEAR(parametros!$C$2))*12+MONTH(B1359)-MONTH(parametros!$C$2))/12)))))</f>
        <v/>
      </c>
      <c r="D1359" s="394"/>
      <c r="E1359" s="78" t="str">
        <f>IF(C1359="","",IFERROR(VLOOKUP(C1359,parametros!$A$11:$E$15,5,0),""))</f>
        <v/>
      </c>
      <c r="F1359" s="79" t="str">
        <f t="shared" si="107"/>
        <v/>
      </c>
      <c r="G1359" s="395"/>
      <c r="H1359" s="91">
        <f t="shared" si="108"/>
        <v>0</v>
      </c>
      <c r="I1359" s="91" t="str">
        <f t="shared" si="109"/>
        <v/>
      </c>
      <c r="J1359" s="91" t="str">
        <f t="shared" si="110"/>
        <v/>
      </c>
      <c r="K1359" s="92" t="str">
        <f>IF(AND(A1359="",B1359="",D1359="",G1359=""),"",IF(AND(A1359&lt;&gt;"",COUNTIF($A$2:$A$5001,A1359)&gt;1),"NUMERO_PC duplicado",IF(B1359="","DATA_PC vazia",IF(NOT(ISNUMBER(B1359)),"DATA_PC invalida",IF(OR(C1359="",C1359="Fora dos ciclos"),"CICLO_PC nao identificado",IF(OR(D1359="",D1359=0),"VALOR_PC vazio ou zero",IF(AND(G1359&lt;&gt;"Sim",G1359&lt;&gt;"Nao",G1359&lt;&gt;""),"PC_PAGO_A_CONTRATADA invalido",IF(AND(C1359&lt;&gt;"C0",IFERROR(INDEX(parametros!$A$2:$A$6,MATCH(C1359,parametros!$B$2:$B$6,0)),"")="Sim",IFERROR(INDEX(parametros!$H$2:$H$6,MATCH(C1359,parametros!$B$2:$B$6,0)),"")=""),"INICIO_EFEITO ausente: PC "&amp;A1359&amp;" - "&amp;C1359,IF(L1359="","EFEITO_PC nao calculado: PC "&amp;A1359&amp;" - "&amp;C1359,"OK")))))))))</f>
        <v/>
      </c>
      <c r="L1359" s="92" t="str">
        <f>IF(AND(A1359="",B1359="",D1359="",G1359=""),"",IF(OR(B1359="",NOT(ISNUMBER(B1359)),C1359="",C1359="Fora dos ciclos"),"",IF(C1359="C0","Nao",IF(IFERROR(INDEX(parametros!$A$2:$A$6,MATCH(C1359,parametros!$B$2:$B$6,0)),"")&lt;&gt;"Sim","Nao",IF(IFERROR(INDEX(parametros!$H$2:$H$6,MATCH(C1359,parametros!$B$2:$B$6,0)),"")="","",IF(B1359&gt;=IFERROR(INDEX(parametros!$H$2:$H$6,MATCH(C1359,parametros!$B$2:$B$6,0)),""),"Sim","Nao"))))))</f>
        <v/>
      </c>
      <c r="T1359" s="156"/>
      <c r="U1359" s="214" t="str">
        <f t="shared" si="111"/>
        <v/>
      </c>
      <c r="V1359" s="212" t="s">
        <v>50</v>
      </c>
      <c r="W1359" s="100" t="s">
        <v>168</v>
      </c>
      <c r="X1359" s="100" t="s">
        <v>169</v>
      </c>
      <c r="Y1359" s="101" t="s">
        <v>170</v>
      </c>
      <c r="Z1359" s="101" t="s">
        <v>171</v>
      </c>
      <c r="AA1359" s="101" t="s">
        <v>50</v>
      </c>
      <c r="AB1359" s="101" t="s">
        <v>172</v>
      </c>
      <c r="AC1359" s="102" t="s">
        <v>173</v>
      </c>
    </row>
    <row r="1360" spans="1:29" ht="25.5" customHeight="1" x14ac:dyDescent="0.35">
      <c r="A1360" s="392"/>
      <c r="B1360" s="393"/>
      <c r="C1360" s="99" t="str">
        <f>IF(B1360="","",IF(NOT(ISNUMBER(B1360)),"DATA_PC invalida",IF(NOT(ISNUMBER(parametros!$C$2)),"Fora dos ciclos",IF(OR(B1360&lt;parametros!$C$2,(YEAR(B1360)-YEAR(parametros!$C$2))*12+MONTH(B1360)-MONTH(parametros!$C$2)&gt;59),"Fora dos ciclos","C"&amp;INT(((YEAR(B1360)-YEAR(parametros!$C$2))*12+MONTH(B1360)-MONTH(parametros!$C$2))/12)))))</f>
        <v/>
      </c>
      <c r="D1360" s="394"/>
      <c r="E1360" s="78" t="str">
        <f>IF(C1360="","",IFERROR(VLOOKUP(C1360,parametros!$A$11:$E$15,5,0),""))</f>
        <v/>
      </c>
      <c r="F1360" s="79" t="str">
        <f t="shared" si="107"/>
        <v/>
      </c>
      <c r="G1360" s="395"/>
      <c r="H1360" s="91">
        <f t="shared" si="108"/>
        <v>0</v>
      </c>
      <c r="I1360" s="91" t="str">
        <f t="shared" si="109"/>
        <v/>
      </c>
      <c r="J1360" s="91" t="str">
        <f t="shared" si="110"/>
        <v/>
      </c>
      <c r="K1360" s="92" t="str">
        <f>IF(AND(A1360="",B1360="",D1360="",G1360=""),"",IF(AND(A1360&lt;&gt;"",COUNTIF($A$2:$A$5001,A1360)&gt;1),"NUMERO_PC duplicado",IF(B1360="","DATA_PC vazia",IF(NOT(ISNUMBER(B1360)),"DATA_PC invalida",IF(OR(C1360="",C1360="Fora dos ciclos"),"CICLO_PC nao identificado",IF(OR(D1360="",D1360=0),"VALOR_PC vazio ou zero",IF(AND(G1360&lt;&gt;"Sim",G1360&lt;&gt;"Nao",G1360&lt;&gt;""),"PC_PAGO_A_CONTRATADA invalido",IF(AND(C1360&lt;&gt;"C0",IFERROR(INDEX(parametros!$A$2:$A$6,MATCH(C1360,parametros!$B$2:$B$6,0)),"")="Sim",IFERROR(INDEX(parametros!$H$2:$H$6,MATCH(C1360,parametros!$B$2:$B$6,0)),"")=""),"INICIO_EFEITO ausente: PC "&amp;A1360&amp;" - "&amp;C1360,IF(L1360="","EFEITO_PC nao calculado: PC "&amp;A1360&amp;" - "&amp;C1360,"OK")))))))))</f>
        <v/>
      </c>
      <c r="L1360" s="92" t="str">
        <f>IF(AND(A1360="",B1360="",D1360="",G1360=""),"",IF(OR(B1360="",NOT(ISNUMBER(B1360)),C1360="",C1360="Fora dos ciclos"),"",IF(C1360="C0","Nao",IF(IFERROR(INDEX(parametros!$A$2:$A$6,MATCH(C1360,parametros!$B$2:$B$6,0)),"")&lt;&gt;"Sim","Nao",IF(IFERROR(INDEX(parametros!$H$2:$H$6,MATCH(C1360,parametros!$B$2:$B$6,0)),"")="","",IF(B1360&gt;=IFERROR(INDEX(parametros!$H$2:$H$6,MATCH(C1360,parametros!$B$2:$B$6,0)),""),"Sim","Nao"))))))</f>
        <v/>
      </c>
      <c r="T1360" s="156"/>
      <c r="U1360" s="214" t="str">
        <f t="shared" si="111"/>
        <v/>
      </c>
      <c r="V1360" s="212" t="s">
        <v>50</v>
      </c>
      <c r="W1360" s="100" t="s">
        <v>168</v>
      </c>
      <c r="X1360" s="100" t="s">
        <v>169</v>
      </c>
      <c r="Y1360" s="101" t="s">
        <v>170</v>
      </c>
      <c r="Z1360" s="101" t="s">
        <v>171</v>
      </c>
      <c r="AA1360" s="101" t="s">
        <v>50</v>
      </c>
      <c r="AB1360" s="101" t="s">
        <v>172</v>
      </c>
      <c r="AC1360" s="102" t="s">
        <v>173</v>
      </c>
    </row>
    <row r="1361" spans="1:29" ht="25.5" customHeight="1" x14ac:dyDescent="0.35">
      <c r="A1361" s="392"/>
      <c r="B1361" s="393"/>
      <c r="C1361" s="99" t="str">
        <f>IF(B1361="","",IF(NOT(ISNUMBER(B1361)),"DATA_PC invalida",IF(NOT(ISNUMBER(parametros!$C$2)),"Fora dos ciclos",IF(OR(B1361&lt;parametros!$C$2,(YEAR(B1361)-YEAR(parametros!$C$2))*12+MONTH(B1361)-MONTH(parametros!$C$2)&gt;59),"Fora dos ciclos","C"&amp;INT(((YEAR(B1361)-YEAR(parametros!$C$2))*12+MONTH(B1361)-MONTH(parametros!$C$2))/12)))))</f>
        <v/>
      </c>
      <c r="D1361" s="394"/>
      <c r="E1361" s="78" t="str">
        <f>IF(C1361="","",IFERROR(VLOOKUP(C1361,parametros!$A$11:$E$15,5,0),""))</f>
        <v/>
      </c>
      <c r="F1361" s="79" t="str">
        <f t="shared" si="107"/>
        <v/>
      </c>
      <c r="G1361" s="395"/>
      <c r="H1361" s="91">
        <f t="shared" si="108"/>
        <v>0</v>
      </c>
      <c r="I1361" s="91" t="str">
        <f t="shared" si="109"/>
        <v/>
      </c>
      <c r="J1361" s="91" t="str">
        <f t="shared" si="110"/>
        <v/>
      </c>
      <c r="K1361" s="92" t="str">
        <f>IF(AND(A1361="",B1361="",D1361="",G1361=""),"",IF(AND(A1361&lt;&gt;"",COUNTIF($A$2:$A$5001,A1361)&gt;1),"NUMERO_PC duplicado",IF(B1361="","DATA_PC vazia",IF(NOT(ISNUMBER(B1361)),"DATA_PC invalida",IF(OR(C1361="",C1361="Fora dos ciclos"),"CICLO_PC nao identificado",IF(OR(D1361="",D1361=0),"VALOR_PC vazio ou zero",IF(AND(G1361&lt;&gt;"Sim",G1361&lt;&gt;"Nao",G1361&lt;&gt;""),"PC_PAGO_A_CONTRATADA invalido",IF(AND(C1361&lt;&gt;"C0",IFERROR(INDEX(parametros!$A$2:$A$6,MATCH(C1361,parametros!$B$2:$B$6,0)),"")="Sim",IFERROR(INDEX(parametros!$H$2:$H$6,MATCH(C1361,parametros!$B$2:$B$6,0)),"")=""),"INICIO_EFEITO ausente: PC "&amp;A1361&amp;" - "&amp;C1361,IF(L1361="","EFEITO_PC nao calculado: PC "&amp;A1361&amp;" - "&amp;C1361,"OK")))))))))</f>
        <v/>
      </c>
      <c r="L1361" s="92" t="str">
        <f>IF(AND(A1361="",B1361="",D1361="",G1361=""),"",IF(OR(B1361="",NOT(ISNUMBER(B1361)),C1361="",C1361="Fora dos ciclos"),"",IF(C1361="C0","Nao",IF(IFERROR(INDEX(parametros!$A$2:$A$6,MATCH(C1361,parametros!$B$2:$B$6,0)),"")&lt;&gt;"Sim","Nao",IF(IFERROR(INDEX(parametros!$H$2:$H$6,MATCH(C1361,parametros!$B$2:$B$6,0)),"")="","",IF(B1361&gt;=IFERROR(INDEX(parametros!$H$2:$H$6,MATCH(C1361,parametros!$B$2:$B$6,0)),""),"Sim","Nao"))))))</f>
        <v/>
      </c>
      <c r="T1361" s="156"/>
      <c r="U1361" s="214" t="str">
        <f t="shared" si="111"/>
        <v/>
      </c>
      <c r="V1361" s="212" t="s">
        <v>50</v>
      </c>
      <c r="W1361" s="100" t="s">
        <v>168</v>
      </c>
      <c r="X1361" s="100" t="s">
        <v>169</v>
      </c>
      <c r="Y1361" s="101" t="s">
        <v>170</v>
      </c>
      <c r="Z1361" s="101" t="s">
        <v>171</v>
      </c>
      <c r="AA1361" s="101" t="s">
        <v>50</v>
      </c>
      <c r="AB1361" s="101" t="s">
        <v>172</v>
      </c>
      <c r="AC1361" s="102" t="s">
        <v>173</v>
      </c>
    </row>
    <row r="1362" spans="1:29" ht="25.5" customHeight="1" x14ac:dyDescent="0.35">
      <c r="A1362" s="392"/>
      <c r="B1362" s="393"/>
      <c r="C1362" s="99" t="str">
        <f>IF(B1362="","",IF(NOT(ISNUMBER(B1362)),"DATA_PC invalida",IF(NOT(ISNUMBER(parametros!$C$2)),"Fora dos ciclos",IF(OR(B1362&lt;parametros!$C$2,(YEAR(B1362)-YEAR(parametros!$C$2))*12+MONTH(B1362)-MONTH(parametros!$C$2)&gt;59),"Fora dos ciclos","C"&amp;INT(((YEAR(B1362)-YEAR(parametros!$C$2))*12+MONTH(B1362)-MONTH(parametros!$C$2))/12)))))</f>
        <v/>
      </c>
      <c r="D1362" s="394"/>
      <c r="E1362" s="78" t="str">
        <f>IF(C1362="","",IFERROR(VLOOKUP(C1362,parametros!$A$11:$E$15,5,0),""))</f>
        <v/>
      </c>
      <c r="F1362" s="79" t="str">
        <f t="shared" si="107"/>
        <v/>
      </c>
      <c r="G1362" s="395"/>
      <c r="H1362" s="91">
        <f t="shared" si="108"/>
        <v>0</v>
      </c>
      <c r="I1362" s="91" t="str">
        <f t="shared" si="109"/>
        <v/>
      </c>
      <c r="J1362" s="91" t="str">
        <f t="shared" si="110"/>
        <v/>
      </c>
      <c r="K1362" s="92" t="str">
        <f>IF(AND(A1362="",B1362="",D1362="",G1362=""),"",IF(AND(A1362&lt;&gt;"",COUNTIF($A$2:$A$5001,A1362)&gt;1),"NUMERO_PC duplicado",IF(B1362="","DATA_PC vazia",IF(NOT(ISNUMBER(B1362)),"DATA_PC invalida",IF(OR(C1362="",C1362="Fora dos ciclos"),"CICLO_PC nao identificado",IF(OR(D1362="",D1362=0),"VALOR_PC vazio ou zero",IF(AND(G1362&lt;&gt;"Sim",G1362&lt;&gt;"Nao",G1362&lt;&gt;""),"PC_PAGO_A_CONTRATADA invalido",IF(AND(C1362&lt;&gt;"C0",IFERROR(INDEX(parametros!$A$2:$A$6,MATCH(C1362,parametros!$B$2:$B$6,0)),"")="Sim",IFERROR(INDEX(parametros!$H$2:$H$6,MATCH(C1362,parametros!$B$2:$B$6,0)),"")=""),"INICIO_EFEITO ausente: PC "&amp;A1362&amp;" - "&amp;C1362,IF(L1362="","EFEITO_PC nao calculado: PC "&amp;A1362&amp;" - "&amp;C1362,"OK")))))))))</f>
        <v/>
      </c>
      <c r="L1362" s="92" t="str">
        <f>IF(AND(A1362="",B1362="",D1362="",G1362=""),"",IF(OR(B1362="",NOT(ISNUMBER(B1362)),C1362="",C1362="Fora dos ciclos"),"",IF(C1362="C0","Nao",IF(IFERROR(INDEX(parametros!$A$2:$A$6,MATCH(C1362,parametros!$B$2:$B$6,0)),"")&lt;&gt;"Sim","Nao",IF(IFERROR(INDEX(parametros!$H$2:$H$6,MATCH(C1362,parametros!$B$2:$B$6,0)),"")="","",IF(B1362&gt;=IFERROR(INDEX(parametros!$H$2:$H$6,MATCH(C1362,parametros!$B$2:$B$6,0)),""),"Sim","Nao"))))))</f>
        <v/>
      </c>
      <c r="T1362" s="156"/>
      <c r="U1362" s="214" t="str">
        <f t="shared" si="111"/>
        <v/>
      </c>
      <c r="V1362" s="212" t="s">
        <v>50</v>
      </c>
      <c r="W1362" s="100" t="s">
        <v>168</v>
      </c>
      <c r="X1362" s="100" t="s">
        <v>169</v>
      </c>
      <c r="Y1362" s="101" t="s">
        <v>170</v>
      </c>
      <c r="Z1362" s="101" t="s">
        <v>171</v>
      </c>
      <c r="AA1362" s="101" t="s">
        <v>50</v>
      </c>
      <c r="AB1362" s="101" t="s">
        <v>172</v>
      </c>
      <c r="AC1362" s="102" t="s">
        <v>173</v>
      </c>
    </row>
    <row r="1363" spans="1:29" ht="25.5" customHeight="1" x14ac:dyDescent="0.35">
      <c r="A1363" s="392"/>
      <c r="B1363" s="393"/>
      <c r="C1363" s="99" t="str">
        <f>IF(B1363="","",IF(NOT(ISNUMBER(B1363)),"DATA_PC invalida",IF(NOT(ISNUMBER(parametros!$C$2)),"Fora dos ciclos",IF(OR(B1363&lt;parametros!$C$2,(YEAR(B1363)-YEAR(parametros!$C$2))*12+MONTH(B1363)-MONTH(parametros!$C$2)&gt;59),"Fora dos ciclos","C"&amp;INT(((YEAR(B1363)-YEAR(parametros!$C$2))*12+MONTH(B1363)-MONTH(parametros!$C$2))/12)))))</f>
        <v/>
      </c>
      <c r="D1363" s="394"/>
      <c r="E1363" s="78" t="str">
        <f>IF(C1363="","",IFERROR(VLOOKUP(C1363,parametros!$A$11:$E$15,5,0),""))</f>
        <v/>
      </c>
      <c r="F1363" s="79" t="str">
        <f t="shared" si="107"/>
        <v/>
      </c>
      <c r="G1363" s="395"/>
      <c r="H1363" s="91">
        <f t="shared" si="108"/>
        <v>0</v>
      </c>
      <c r="I1363" s="91" t="str">
        <f t="shared" si="109"/>
        <v/>
      </c>
      <c r="J1363" s="91" t="str">
        <f t="shared" si="110"/>
        <v/>
      </c>
      <c r="K1363" s="92" t="str">
        <f>IF(AND(A1363="",B1363="",D1363="",G1363=""),"",IF(AND(A1363&lt;&gt;"",COUNTIF($A$2:$A$5001,A1363)&gt;1),"NUMERO_PC duplicado",IF(B1363="","DATA_PC vazia",IF(NOT(ISNUMBER(B1363)),"DATA_PC invalida",IF(OR(C1363="",C1363="Fora dos ciclos"),"CICLO_PC nao identificado",IF(OR(D1363="",D1363=0),"VALOR_PC vazio ou zero",IF(AND(G1363&lt;&gt;"Sim",G1363&lt;&gt;"Nao",G1363&lt;&gt;""),"PC_PAGO_A_CONTRATADA invalido",IF(AND(C1363&lt;&gt;"C0",IFERROR(INDEX(parametros!$A$2:$A$6,MATCH(C1363,parametros!$B$2:$B$6,0)),"")="Sim",IFERROR(INDEX(parametros!$H$2:$H$6,MATCH(C1363,parametros!$B$2:$B$6,0)),"")=""),"INICIO_EFEITO ausente: PC "&amp;A1363&amp;" - "&amp;C1363,IF(L1363="","EFEITO_PC nao calculado: PC "&amp;A1363&amp;" - "&amp;C1363,"OK")))))))))</f>
        <v/>
      </c>
      <c r="L1363" s="92" t="str">
        <f>IF(AND(A1363="",B1363="",D1363="",G1363=""),"",IF(OR(B1363="",NOT(ISNUMBER(B1363)),C1363="",C1363="Fora dos ciclos"),"",IF(C1363="C0","Nao",IF(IFERROR(INDEX(parametros!$A$2:$A$6,MATCH(C1363,parametros!$B$2:$B$6,0)),"")&lt;&gt;"Sim","Nao",IF(IFERROR(INDEX(parametros!$H$2:$H$6,MATCH(C1363,parametros!$B$2:$B$6,0)),"")="","",IF(B1363&gt;=IFERROR(INDEX(parametros!$H$2:$H$6,MATCH(C1363,parametros!$B$2:$B$6,0)),""),"Sim","Nao"))))))</f>
        <v/>
      </c>
      <c r="T1363" s="156"/>
      <c r="U1363" s="214" t="str">
        <f t="shared" si="111"/>
        <v/>
      </c>
      <c r="V1363" s="212" t="s">
        <v>50</v>
      </c>
      <c r="W1363" s="100" t="s">
        <v>168</v>
      </c>
      <c r="X1363" s="100" t="s">
        <v>169</v>
      </c>
      <c r="Y1363" s="101" t="s">
        <v>170</v>
      </c>
      <c r="Z1363" s="101" t="s">
        <v>171</v>
      </c>
      <c r="AA1363" s="101" t="s">
        <v>50</v>
      </c>
      <c r="AB1363" s="101" t="s">
        <v>172</v>
      </c>
      <c r="AC1363" s="102" t="s">
        <v>173</v>
      </c>
    </row>
    <row r="1364" spans="1:29" ht="25.5" customHeight="1" x14ac:dyDescent="0.35">
      <c r="A1364" s="392"/>
      <c r="B1364" s="393"/>
      <c r="C1364" s="99" t="str">
        <f>IF(B1364="","",IF(NOT(ISNUMBER(B1364)),"DATA_PC invalida",IF(NOT(ISNUMBER(parametros!$C$2)),"Fora dos ciclos",IF(OR(B1364&lt;parametros!$C$2,(YEAR(B1364)-YEAR(parametros!$C$2))*12+MONTH(B1364)-MONTH(parametros!$C$2)&gt;59),"Fora dos ciclos","C"&amp;INT(((YEAR(B1364)-YEAR(parametros!$C$2))*12+MONTH(B1364)-MONTH(parametros!$C$2))/12)))))</f>
        <v/>
      </c>
      <c r="D1364" s="394"/>
      <c r="E1364" s="78" t="str">
        <f>IF(C1364="","",IFERROR(VLOOKUP(C1364,parametros!$A$11:$E$15,5,0),""))</f>
        <v/>
      </c>
      <c r="F1364" s="79" t="str">
        <f t="shared" si="107"/>
        <v/>
      </c>
      <c r="G1364" s="395"/>
      <c r="H1364" s="91">
        <f t="shared" si="108"/>
        <v>0</v>
      </c>
      <c r="I1364" s="91" t="str">
        <f t="shared" si="109"/>
        <v/>
      </c>
      <c r="J1364" s="91" t="str">
        <f t="shared" si="110"/>
        <v/>
      </c>
      <c r="K1364" s="92" t="str">
        <f>IF(AND(A1364="",B1364="",D1364="",G1364=""),"",IF(AND(A1364&lt;&gt;"",COUNTIF($A$2:$A$5001,A1364)&gt;1),"NUMERO_PC duplicado",IF(B1364="","DATA_PC vazia",IF(NOT(ISNUMBER(B1364)),"DATA_PC invalida",IF(OR(C1364="",C1364="Fora dos ciclos"),"CICLO_PC nao identificado",IF(OR(D1364="",D1364=0),"VALOR_PC vazio ou zero",IF(AND(G1364&lt;&gt;"Sim",G1364&lt;&gt;"Nao",G1364&lt;&gt;""),"PC_PAGO_A_CONTRATADA invalido",IF(AND(C1364&lt;&gt;"C0",IFERROR(INDEX(parametros!$A$2:$A$6,MATCH(C1364,parametros!$B$2:$B$6,0)),"")="Sim",IFERROR(INDEX(parametros!$H$2:$H$6,MATCH(C1364,parametros!$B$2:$B$6,0)),"")=""),"INICIO_EFEITO ausente: PC "&amp;A1364&amp;" - "&amp;C1364,IF(L1364="","EFEITO_PC nao calculado: PC "&amp;A1364&amp;" - "&amp;C1364,"OK")))))))))</f>
        <v/>
      </c>
      <c r="L1364" s="92" t="str">
        <f>IF(AND(A1364="",B1364="",D1364="",G1364=""),"",IF(OR(B1364="",NOT(ISNUMBER(B1364)),C1364="",C1364="Fora dos ciclos"),"",IF(C1364="C0","Nao",IF(IFERROR(INDEX(parametros!$A$2:$A$6,MATCH(C1364,parametros!$B$2:$B$6,0)),"")&lt;&gt;"Sim","Nao",IF(IFERROR(INDEX(parametros!$H$2:$H$6,MATCH(C1364,parametros!$B$2:$B$6,0)),"")="","",IF(B1364&gt;=IFERROR(INDEX(parametros!$H$2:$H$6,MATCH(C1364,parametros!$B$2:$B$6,0)),""),"Sim","Nao"))))))</f>
        <v/>
      </c>
      <c r="T1364" s="156"/>
      <c r="U1364" s="214" t="str">
        <f t="shared" si="111"/>
        <v/>
      </c>
      <c r="V1364" s="212" t="s">
        <v>50</v>
      </c>
      <c r="W1364" s="100" t="s">
        <v>168</v>
      </c>
      <c r="X1364" s="100" t="s">
        <v>169</v>
      </c>
      <c r="Y1364" s="101" t="s">
        <v>170</v>
      </c>
      <c r="Z1364" s="101" t="s">
        <v>171</v>
      </c>
      <c r="AA1364" s="101" t="s">
        <v>50</v>
      </c>
      <c r="AB1364" s="101" t="s">
        <v>172</v>
      </c>
      <c r="AC1364" s="102" t="s">
        <v>173</v>
      </c>
    </row>
    <row r="1365" spans="1:29" ht="25.5" customHeight="1" x14ac:dyDescent="0.35">
      <c r="A1365" s="392"/>
      <c r="B1365" s="393"/>
      <c r="C1365" s="99" t="str">
        <f>IF(B1365="","",IF(NOT(ISNUMBER(B1365)),"DATA_PC invalida",IF(NOT(ISNUMBER(parametros!$C$2)),"Fora dos ciclos",IF(OR(B1365&lt;parametros!$C$2,(YEAR(B1365)-YEAR(parametros!$C$2))*12+MONTH(B1365)-MONTH(parametros!$C$2)&gt;59),"Fora dos ciclos","C"&amp;INT(((YEAR(B1365)-YEAR(parametros!$C$2))*12+MONTH(B1365)-MONTH(parametros!$C$2))/12)))))</f>
        <v/>
      </c>
      <c r="D1365" s="394"/>
      <c r="E1365" s="78" t="str">
        <f>IF(C1365="","",IFERROR(VLOOKUP(C1365,parametros!$A$11:$E$15,5,0),""))</f>
        <v/>
      </c>
      <c r="F1365" s="79" t="str">
        <f t="shared" si="107"/>
        <v/>
      </c>
      <c r="G1365" s="395"/>
      <c r="H1365" s="91">
        <f t="shared" si="108"/>
        <v>0</v>
      </c>
      <c r="I1365" s="91" t="str">
        <f t="shared" si="109"/>
        <v/>
      </c>
      <c r="J1365" s="91" t="str">
        <f t="shared" si="110"/>
        <v/>
      </c>
      <c r="K1365" s="92" t="str">
        <f>IF(AND(A1365="",B1365="",D1365="",G1365=""),"",IF(AND(A1365&lt;&gt;"",COUNTIF($A$2:$A$5001,A1365)&gt;1),"NUMERO_PC duplicado",IF(B1365="","DATA_PC vazia",IF(NOT(ISNUMBER(B1365)),"DATA_PC invalida",IF(OR(C1365="",C1365="Fora dos ciclos"),"CICLO_PC nao identificado",IF(OR(D1365="",D1365=0),"VALOR_PC vazio ou zero",IF(AND(G1365&lt;&gt;"Sim",G1365&lt;&gt;"Nao",G1365&lt;&gt;""),"PC_PAGO_A_CONTRATADA invalido",IF(AND(C1365&lt;&gt;"C0",IFERROR(INDEX(parametros!$A$2:$A$6,MATCH(C1365,parametros!$B$2:$B$6,0)),"")="Sim",IFERROR(INDEX(parametros!$H$2:$H$6,MATCH(C1365,parametros!$B$2:$B$6,0)),"")=""),"INICIO_EFEITO ausente: PC "&amp;A1365&amp;" - "&amp;C1365,IF(L1365="","EFEITO_PC nao calculado: PC "&amp;A1365&amp;" - "&amp;C1365,"OK")))))))))</f>
        <v/>
      </c>
      <c r="L1365" s="92" t="str">
        <f>IF(AND(A1365="",B1365="",D1365="",G1365=""),"",IF(OR(B1365="",NOT(ISNUMBER(B1365)),C1365="",C1365="Fora dos ciclos"),"",IF(C1365="C0","Nao",IF(IFERROR(INDEX(parametros!$A$2:$A$6,MATCH(C1365,parametros!$B$2:$B$6,0)),"")&lt;&gt;"Sim","Nao",IF(IFERROR(INDEX(parametros!$H$2:$H$6,MATCH(C1365,parametros!$B$2:$B$6,0)),"")="","",IF(B1365&gt;=IFERROR(INDEX(parametros!$H$2:$H$6,MATCH(C1365,parametros!$B$2:$B$6,0)),""),"Sim","Nao"))))))</f>
        <v/>
      </c>
      <c r="T1365" s="156"/>
      <c r="U1365" s="214" t="str">
        <f t="shared" si="111"/>
        <v/>
      </c>
      <c r="V1365" s="212" t="s">
        <v>50</v>
      </c>
      <c r="W1365" s="100" t="s">
        <v>168</v>
      </c>
      <c r="X1365" s="100" t="s">
        <v>169</v>
      </c>
      <c r="Y1365" s="101" t="s">
        <v>170</v>
      </c>
      <c r="Z1365" s="101" t="s">
        <v>171</v>
      </c>
      <c r="AA1365" s="101" t="s">
        <v>50</v>
      </c>
      <c r="AB1365" s="101" t="s">
        <v>172</v>
      </c>
      <c r="AC1365" s="102" t="s">
        <v>173</v>
      </c>
    </row>
    <row r="1366" spans="1:29" ht="25.5" customHeight="1" x14ac:dyDescent="0.35">
      <c r="A1366" s="392"/>
      <c r="B1366" s="393"/>
      <c r="C1366" s="99" t="str">
        <f>IF(B1366="","",IF(NOT(ISNUMBER(B1366)),"DATA_PC invalida",IF(NOT(ISNUMBER(parametros!$C$2)),"Fora dos ciclos",IF(OR(B1366&lt;parametros!$C$2,(YEAR(B1366)-YEAR(parametros!$C$2))*12+MONTH(B1366)-MONTH(parametros!$C$2)&gt;59),"Fora dos ciclos","C"&amp;INT(((YEAR(B1366)-YEAR(parametros!$C$2))*12+MONTH(B1366)-MONTH(parametros!$C$2))/12)))))</f>
        <v/>
      </c>
      <c r="D1366" s="394"/>
      <c r="E1366" s="78" t="str">
        <f>IF(C1366="","",IFERROR(VLOOKUP(C1366,parametros!$A$11:$E$15,5,0),""))</f>
        <v/>
      </c>
      <c r="F1366" s="79" t="str">
        <f t="shared" si="107"/>
        <v/>
      </c>
      <c r="G1366" s="395"/>
      <c r="H1366" s="91">
        <f t="shared" si="108"/>
        <v>0</v>
      </c>
      <c r="I1366" s="91" t="str">
        <f t="shared" si="109"/>
        <v/>
      </c>
      <c r="J1366" s="91" t="str">
        <f t="shared" si="110"/>
        <v/>
      </c>
      <c r="K1366" s="92" t="str">
        <f>IF(AND(A1366="",B1366="",D1366="",G1366=""),"",IF(AND(A1366&lt;&gt;"",COUNTIF($A$2:$A$5001,A1366)&gt;1),"NUMERO_PC duplicado",IF(B1366="","DATA_PC vazia",IF(NOT(ISNUMBER(B1366)),"DATA_PC invalida",IF(OR(C1366="",C1366="Fora dos ciclos"),"CICLO_PC nao identificado",IF(OR(D1366="",D1366=0),"VALOR_PC vazio ou zero",IF(AND(G1366&lt;&gt;"Sim",G1366&lt;&gt;"Nao",G1366&lt;&gt;""),"PC_PAGO_A_CONTRATADA invalido",IF(AND(C1366&lt;&gt;"C0",IFERROR(INDEX(parametros!$A$2:$A$6,MATCH(C1366,parametros!$B$2:$B$6,0)),"")="Sim",IFERROR(INDEX(parametros!$H$2:$H$6,MATCH(C1366,parametros!$B$2:$B$6,0)),"")=""),"INICIO_EFEITO ausente: PC "&amp;A1366&amp;" - "&amp;C1366,IF(L1366="","EFEITO_PC nao calculado: PC "&amp;A1366&amp;" - "&amp;C1366,"OK")))))))))</f>
        <v/>
      </c>
      <c r="L1366" s="92" t="str">
        <f>IF(AND(A1366="",B1366="",D1366="",G1366=""),"",IF(OR(B1366="",NOT(ISNUMBER(B1366)),C1366="",C1366="Fora dos ciclos"),"",IF(C1366="C0","Nao",IF(IFERROR(INDEX(parametros!$A$2:$A$6,MATCH(C1366,parametros!$B$2:$B$6,0)),"")&lt;&gt;"Sim","Nao",IF(IFERROR(INDEX(parametros!$H$2:$H$6,MATCH(C1366,parametros!$B$2:$B$6,0)),"")="","",IF(B1366&gt;=IFERROR(INDEX(parametros!$H$2:$H$6,MATCH(C1366,parametros!$B$2:$B$6,0)),""),"Sim","Nao"))))))</f>
        <v/>
      </c>
      <c r="T1366" s="156"/>
      <c r="U1366" s="214" t="str">
        <f t="shared" si="111"/>
        <v/>
      </c>
      <c r="V1366" s="212" t="s">
        <v>50</v>
      </c>
      <c r="W1366" s="100" t="s">
        <v>168</v>
      </c>
      <c r="X1366" s="100" t="s">
        <v>169</v>
      </c>
      <c r="Y1366" s="101" t="s">
        <v>170</v>
      </c>
      <c r="Z1366" s="101" t="s">
        <v>171</v>
      </c>
      <c r="AA1366" s="101" t="s">
        <v>50</v>
      </c>
      <c r="AB1366" s="101" t="s">
        <v>172</v>
      </c>
      <c r="AC1366" s="102" t="s">
        <v>173</v>
      </c>
    </row>
    <row r="1367" spans="1:29" ht="25.5" customHeight="1" x14ac:dyDescent="0.35">
      <c r="A1367" s="392"/>
      <c r="B1367" s="393"/>
      <c r="C1367" s="99" t="str">
        <f>IF(B1367="","",IF(NOT(ISNUMBER(B1367)),"DATA_PC invalida",IF(NOT(ISNUMBER(parametros!$C$2)),"Fora dos ciclos",IF(OR(B1367&lt;parametros!$C$2,(YEAR(B1367)-YEAR(parametros!$C$2))*12+MONTH(B1367)-MONTH(parametros!$C$2)&gt;59),"Fora dos ciclos","C"&amp;INT(((YEAR(B1367)-YEAR(parametros!$C$2))*12+MONTH(B1367)-MONTH(parametros!$C$2))/12)))))</f>
        <v/>
      </c>
      <c r="D1367" s="394"/>
      <c r="E1367" s="78" t="str">
        <f>IF(C1367="","",IFERROR(VLOOKUP(C1367,parametros!$A$11:$E$15,5,0),""))</f>
        <v/>
      </c>
      <c r="F1367" s="79" t="str">
        <f t="shared" si="107"/>
        <v/>
      </c>
      <c r="G1367" s="395"/>
      <c r="H1367" s="91">
        <f t="shared" si="108"/>
        <v>0</v>
      </c>
      <c r="I1367" s="91" t="str">
        <f t="shared" si="109"/>
        <v/>
      </c>
      <c r="J1367" s="91" t="str">
        <f t="shared" si="110"/>
        <v/>
      </c>
      <c r="K1367" s="92" t="str">
        <f>IF(AND(A1367="",B1367="",D1367="",G1367=""),"",IF(AND(A1367&lt;&gt;"",COUNTIF($A$2:$A$5001,A1367)&gt;1),"NUMERO_PC duplicado",IF(B1367="","DATA_PC vazia",IF(NOT(ISNUMBER(B1367)),"DATA_PC invalida",IF(OR(C1367="",C1367="Fora dos ciclos"),"CICLO_PC nao identificado",IF(OR(D1367="",D1367=0),"VALOR_PC vazio ou zero",IF(AND(G1367&lt;&gt;"Sim",G1367&lt;&gt;"Nao",G1367&lt;&gt;""),"PC_PAGO_A_CONTRATADA invalido",IF(AND(C1367&lt;&gt;"C0",IFERROR(INDEX(parametros!$A$2:$A$6,MATCH(C1367,parametros!$B$2:$B$6,0)),"")="Sim",IFERROR(INDEX(parametros!$H$2:$H$6,MATCH(C1367,parametros!$B$2:$B$6,0)),"")=""),"INICIO_EFEITO ausente: PC "&amp;A1367&amp;" - "&amp;C1367,IF(L1367="","EFEITO_PC nao calculado: PC "&amp;A1367&amp;" - "&amp;C1367,"OK")))))))))</f>
        <v/>
      </c>
      <c r="L1367" s="92" t="str">
        <f>IF(AND(A1367="",B1367="",D1367="",G1367=""),"",IF(OR(B1367="",NOT(ISNUMBER(B1367)),C1367="",C1367="Fora dos ciclos"),"",IF(C1367="C0","Nao",IF(IFERROR(INDEX(parametros!$A$2:$A$6,MATCH(C1367,parametros!$B$2:$B$6,0)),"")&lt;&gt;"Sim","Nao",IF(IFERROR(INDEX(parametros!$H$2:$H$6,MATCH(C1367,parametros!$B$2:$B$6,0)),"")="","",IF(B1367&gt;=IFERROR(INDEX(parametros!$H$2:$H$6,MATCH(C1367,parametros!$B$2:$B$6,0)),""),"Sim","Nao"))))))</f>
        <v/>
      </c>
      <c r="T1367" s="156"/>
      <c r="U1367" s="214" t="str">
        <f t="shared" si="111"/>
        <v/>
      </c>
      <c r="V1367" s="212" t="s">
        <v>50</v>
      </c>
      <c r="W1367" s="100" t="s">
        <v>168</v>
      </c>
      <c r="X1367" s="100" t="s">
        <v>169</v>
      </c>
      <c r="Y1367" s="101" t="s">
        <v>170</v>
      </c>
      <c r="Z1367" s="101" t="s">
        <v>171</v>
      </c>
      <c r="AA1367" s="101" t="s">
        <v>50</v>
      </c>
      <c r="AB1367" s="101" t="s">
        <v>172</v>
      </c>
      <c r="AC1367" s="102" t="s">
        <v>173</v>
      </c>
    </row>
    <row r="1368" spans="1:29" ht="25.5" customHeight="1" x14ac:dyDescent="0.35">
      <c r="A1368" s="392"/>
      <c r="B1368" s="393"/>
      <c r="C1368" s="99" t="str">
        <f>IF(B1368="","",IF(NOT(ISNUMBER(B1368)),"DATA_PC invalida",IF(NOT(ISNUMBER(parametros!$C$2)),"Fora dos ciclos",IF(OR(B1368&lt;parametros!$C$2,(YEAR(B1368)-YEAR(parametros!$C$2))*12+MONTH(B1368)-MONTH(parametros!$C$2)&gt;59),"Fora dos ciclos","C"&amp;INT(((YEAR(B1368)-YEAR(parametros!$C$2))*12+MONTH(B1368)-MONTH(parametros!$C$2))/12)))))</f>
        <v/>
      </c>
      <c r="D1368" s="394"/>
      <c r="E1368" s="78" t="str">
        <f>IF(C1368="","",IFERROR(VLOOKUP(C1368,parametros!$A$11:$E$15,5,0),""))</f>
        <v/>
      </c>
      <c r="F1368" s="79" t="str">
        <f t="shared" si="107"/>
        <v/>
      </c>
      <c r="G1368" s="395"/>
      <c r="H1368" s="91">
        <f t="shared" si="108"/>
        <v>0</v>
      </c>
      <c r="I1368" s="91" t="str">
        <f t="shared" si="109"/>
        <v/>
      </c>
      <c r="J1368" s="91" t="str">
        <f t="shared" si="110"/>
        <v/>
      </c>
      <c r="K1368" s="92" t="str">
        <f>IF(AND(A1368="",B1368="",D1368="",G1368=""),"",IF(AND(A1368&lt;&gt;"",COUNTIF($A$2:$A$5001,A1368)&gt;1),"NUMERO_PC duplicado",IF(B1368="","DATA_PC vazia",IF(NOT(ISNUMBER(B1368)),"DATA_PC invalida",IF(OR(C1368="",C1368="Fora dos ciclos"),"CICLO_PC nao identificado",IF(OR(D1368="",D1368=0),"VALOR_PC vazio ou zero",IF(AND(G1368&lt;&gt;"Sim",G1368&lt;&gt;"Nao",G1368&lt;&gt;""),"PC_PAGO_A_CONTRATADA invalido",IF(AND(C1368&lt;&gt;"C0",IFERROR(INDEX(parametros!$A$2:$A$6,MATCH(C1368,parametros!$B$2:$B$6,0)),"")="Sim",IFERROR(INDEX(parametros!$H$2:$H$6,MATCH(C1368,parametros!$B$2:$B$6,0)),"")=""),"INICIO_EFEITO ausente: PC "&amp;A1368&amp;" - "&amp;C1368,IF(L1368="","EFEITO_PC nao calculado: PC "&amp;A1368&amp;" - "&amp;C1368,"OK")))))))))</f>
        <v/>
      </c>
      <c r="L1368" s="92" t="str">
        <f>IF(AND(A1368="",B1368="",D1368="",G1368=""),"",IF(OR(B1368="",NOT(ISNUMBER(B1368)),C1368="",C1368="Fora dos ciclos"),"",IF(C1368="C0","Nao",IF(IFERROR(INDEX(parametros!$A$2:$A$6,MATCH(C1368,parametros!$B$2:$B$6,0)),"")&lt;&gt;"Sim","Nao",IF(IFERROR(INDEX(parametros!$H$2:$H$6,MATCH(C1368,parametros!$B$2:$B$6,0)),"")="","",IF(B1368&gt;=IFERROR(INDEX(parametros!$H$2:$H$6,MATCH(C1368,parametros!$B$2:$B$6,0)),""),"Sim","Nao"))))))</f>
        <v/>
      </c>
      <c r="T1368" s="156"/>
      <c r="U1368" s="214" t="str">
        <f t="shared" si="111"/>
        <v/>
      </c>
      <c r="V1368" s="212" t="s">
        <v>50</v>
      </c>
      <c r="W1368" s="100" t="s">
        <v>168</v>
      </c>
      <c r="X1368" s="100" t="s">
        <v>169</v>
      </c>
      <c r="Y1368" s="101" t="s">
        <v>170</v>
      </c>
      <c r="Z1368" s="101" t="s">
        <v>171</v>
      </c>
      <c r="AA1368" s="101" t="s">
        <v>50</v>
      </c>
      <c r="AB1368" s="101" t="s">
        <v>172</v>
      </c>
      <c r="AC1368" s="102" t="s">
        <v>173</v>
      </c>
    </row>
    <row r="1369" spans="1:29" ht="25.5" customHeight="1" x14ac:dyDescent="0.35">
      <c r="A1369" s="392"/>
      <c r="B1369" s="393"/>
      <c r="C1369" s="99" t="str">
        <f>IF(B1369="","",IF(NOT(ISNUMBER(B1369)),"DATA_PC invalida",IF(NOT(ISNUMBER(parametros!$C$2)),"Fora dos ciclos",IF(OR(B1369&lt;parametros!$C$2,(YEAR(B1369)-YEAR(parametros!$C$2))*12+MONTH(B1369)-MONTH(parametros!$C$2)&gt;59),"Fora dos ciclos","C"&amp;INT(((YEAR(B1369)-YEAR(parametros!$C$2))*12+MONTH(B1369)-MONTH(parametros!$C$2))/12)))))</f>
        <v/>
      </c>
      <c r="D1369" s="394"/>
      <c r="E1369" s="78" t="str">
        <f>IF(C1369="","",IFERROR(VLOOKUP(C1369,parametros!$A$11:$E$15,5,0),""))</f>
        <v/>
      </c>
      <c r="F1369" s="79" t="str">
        <f t="shared" si="107"/>
        <v/>
      </c>
      <c r="G1369" s="395"/>
      <c r="H1369" s="91">
        <f t="shared" si="108"/>
        <v>0</v>
      </c>
      <c r="I1369" s="91" t="str">
        <f t="shared" si="109"/>
        <v/>
      </c>
      <c r="J1369" s="91" t="str">
        <f t="shared" si="110"/>
        <v/>
      </c>
      <c r="K1369" s="92" t="str">
        <f>IF(AND(A1369="",B1369="",D1369="",G1369=""),"",IF(AND(A1369&lt;&gt;"",COUNTIF($A$2:$A$5001,A1369)&gt;1),"NUMERO_PC duplicado",IF(B1369="","DATA_PC vazia",IF(NOT(ISNUMBER(B1369)),"DATA_PC invalida",IF(OR(C1369="",C1369="Fora dos ciclos"),"CICLO_PC nao identificado",IF(OR(D1369="",D1369=0),"VALOR_PC vazio ou zero",IF(AND(G1369&lt;&gt;"Sim",G1369&lt;&gt;"Nao",G1369&lt;&gt;""),"PC_PAGO_A_CONTRATADA invalido",IF(AND(C1369&lt;&gt;"C0",IFERROR(INDEX(parametros!$A$2:$A$6,MATCH(C1369,parametros!$B$2:$B$6,0)),"")="Sim",IFERROR(INDEX(parametros!$H$2:$H$6,MATCH(C1369,parametros!$B$2:$B$6,0)),"")=""),"INICIO_EFEITO ausente: PC "&amp;A1369&amp;" - "&amp;C1369,IF(L1369="","EFEITO_PC nao calculado: PC "&amp;A1369&amp;" - "&amp;C1369,"OK")))))))))</f>
        <v/>
      </c>
      <c r="L1369" s="92" t="str">
        <f>IF(AND(A1369="",B1369="",D1369="",G1369=""),"",IF(OR(B1369="",NOT(ISNUMBER(B1369)),C1369="",C1369="Fora dos ciclos"),"",IF(C1369="C0","Nao",IF(IFERROR(INDEX(parametros!$A$2:$A$6,MATCH(C1369,parametros!$B$2:$B$6,0)),"")&lt;&gt;"Sim","Nao",IF(IFERROR(INDEX(parametros!$H$2:$H$6,MATCH(C1369,parametros!$B$2:$B$6,0)),"")="","",IF(B1369&gt;=IFERROR(INDEX(parametros!$H$2:$H$6,MATCH(C1369,parametros!$B$2:$B$6,0)),""),"Sim","Nao"))))))</f>
        <v/>
      </c>
      <c r="T1369" s="156"/>
      <c r="U1369" s="214" t="str">
        <f t="shared" si="111"/>
        <v/>
      </c>
      <c r="V1369" s="212" t="s">
        <v>50</v>
      </c>
      <c r="W1369" s="100" t="s">
        <v>168</v>
      </c>
      <c r="X1369" s="100" t="s">
        <v>169</v>
      </c>
      <c r="Y1369" s="101" t="s">
        <v>170</v>
      </c>
      <c r="Z1369" s="101" t="s">
        <v>171</v>
      </c>
      <c r="AA1369" s="101" t="s">
        <v>50</v>
      </c>
      <c r="AB1369" s="101" t="s">
        <v>172</v>
      </c>
      <c r="AC1369" s="102" t="s">
        <v>173</v>
      </c>
    </row>
    <row r="1370" spans="1:29" ht="25.5" customHeight="1" x14ac:dyDescent="0.35">
      <c r="A1370" s="392"/>
      <c r="B1370" s="393"/>
      <c r="C1370" s="99" t="str">
        <f>IF(B1370="","",IF(NOT(ISNUMBER(B1370)),"DATA_PC invalida",IF(NOT(ISNUMBER(parametros!$C$2)),"Fora dos ciclos",IF(OR(B1370&lt;parametros!$C$2,(YEAR(B1370)-YEAR(parametros!$C$2))*12+MONTH(B1370)-MONTH(parametros!$C$2)&gt;59),"Fora dos ciclos","C"&amp;INT(((YEAR(B1370)-YEAR(parametros!$C$2))*12+MONTH(B1370)-MONTH(parametros!$C$2))/12)))))</f>
        <v/>
      </c>
      <c r="D1370" s="394"/>
      <c r="E1370" s="78" t="str">
        <f>IF(C1370="","",IFERROR(VLOOKUP(C1370,parametros!$A$11:$E$15,5,0),""))</f>
        <v/>
      </c>
      <c r="F1370" s="79" t="str">
        <f t="shared" si="107"/>
        <v/>
      </c>
      <c r="G1370" s="395"/>
      <c r="H1370" s="91">
        <f t="shared" si="108"/>
        <v>0</v>
      </c>
      <c r="I1370" s="91" t="str">
        <f t="shared" si="109"/>
        <v/>
      </c>
      <c r="J1370" s="91" t="str">
        <f t="shared" si="110"/>
        <v/>
      </c>
      <c r="K1370" s="92" t="str">
        <f>IF(AND(A1370="",B1370="",D1370="",G1370=""),"",IF(AND(A1370&lt;&gt;"",COUNTIF($A$2:$A$5001,A1370)&gt;1),"NUMERO_PC duplicado",IF(B1370="","DATA_PC vazia",IF(NOT(ISNUMBER(B1370)),"DATA_PC invalida",IF(OR(C1370="",C1370="Fora dos ciclos"),"CICLO_PC nao identificado",IF(OR(D1370="",D1370=0),"VALOR_PC vazio ou zero",IF(AND(G1370&lt;&gt;"Sim",G1370&lt;&gt;"Nao",G1370&lt;&gt;""),"PC_PAGO_A_CONTRATADA invalido",IF(AND(C1370&lt;&gt;"C0",IFERROR(INDEX(parametros!$A$2:$A$6,MATCH(C1370,parametros!$B$2:$B$6,0)),"")="Sim",IFERROR(INDEX(parametros!$H$2:$H$6,MATCH(C1370,parametros!$B$2:$B$6,0)),"")=""),"INICIO_EFEITO ausente: PC "&amp;A1370&amp;" - "&amp;C1370,IF(L1370="","EFEITO_PC nao calculado: PC "&amp;A1370&amp;" - "&amp;C1370,"OK")))))))))</f>
        <v/>
      </c>
      <c r="L1370" s="92" t="str">
        <f>IF(AND(A1370="",B1370="",D1370="",G1370=""),"",IF(OR(B1370="",NOT(ISNUMBER(B1370)),C1370="",C1370="Fora dos ciclos"),"",IF(C1370="C0","Nao",IF(IFERROR(INDEX(parametros!$A$2:$A$6,MATCH(C1370,parametros!$B$2:$B$6,0)),"")&lt;&gt;"Sim","Nao",IF(IFERROR(INDEX(parametros!$H$2:$H$6,MATCH(C1370,parametros!$B$2:$B$6,0)),"")="","",IF(B1370&gt;=IFERROR(INDEX(parametros!$H$2:$H$6,MATCH(C1370,parametros!$B$2:$B$6,0)),""),"Sim","Nao"))))))</f>
        <v/>
      </c>
      <c r="T1370" s="156"/>
      <c r="U1370" s="214" t="str">
        <f t="shared" si="111"/>
        <v/>
      </c>
      <c r="V1370" s="212" t="s">
        <v>50</v>
      </c>
      <c r="W1370" s="100" t="s">
        <v>168</v>
      </c>
      <c r="X1370" s="100" t="s">
        <v>169</v>
      </c>
      <c r="Y1370" s="101" t="s">
        <v>170</v>
      </c>
      <c r="Z1370" s="101" t="s">
        <v>171</v>
      </c>
      <c r="AA1370" s="101" t="s">
        <v>50</v>
      </c>
      <c r="AB1370" s="101" t="s">
        <v>172</v>
      </c>
      <c r="AC1370" s="102" t="s">
        <v>173</v>
      </c>
    </row>
    <row r="1371" spans="1:29" ht="25.5" customHeight="1" x14ac:dyDescent="0.35">
      <c r="A1371" s="392"/>
      <c r="B1371" s="393"/>
      <c r="C1371" s="99" t="str">
        <f>IF(B1371="","",IF(NOT(ISNUMBER(B1371)),"DATA_PC invalida",IF(NOT(ISNUMBER(parametros!$C$2)),"Fora dos ciclos",IF(OR(B1371&lt;parametros!$C$2,(YEAR(B1371)-YEAR(parametros!$C$2))*12+MONTH(B1371)-MONTH(parametros!$C$2)&gt;59),"Fora dos ciclos","C"&amp;INT(((YEAR(B1371)-YEAR(parametros!$C$2))*12+MONTH(B1371)-MONTH(parametros!$C$2))/12)))))</f>
        <v/>
      </c>
      <c r="D1371" s="394"/>
      <c r="E1371" s="78" t="str">
        <f>IF(C1371="","",IFERROR(VLOOKUP(C1371,parametros!$A$11:$E$15,5,0),""))</f>
        <v/>
      </c>
      <c r="F1371" s="79" t="str">
        <f t="shared" si="107"/>
        <v/>
      </c>
      <c r="G1371" s="395"/>
      <c r="H1371" s="91">
        <f t="shared" si="108"/>
        <v>0</v>
      </c>
      <c r="I1371" s="91" t="str">
        <f t="shared" si="109"/>
        <v/>
      </c>
      <c r="J1371" s="91" t="str">
        <f t="shared" si="110"/>
        <v/>
      </c>
      <c r="K1371" s="92" t="str">
        <f>IF(AND(A1371="",B1371="",D1371="",G1371=""),"",IF(AND(A1371&lt;&gt;"",COUNTIF($A$2:$A$5001,A1371)&gt;1),"NUMERO_PC duplicado",IF(B1371="","DATA_PC vazia",IF(NOT(ISNUMBER(B1371)),"DATA_PC invalida",IF(OR(C1371="",C1371="Fora dos ciclos"),"CICLO_PC nao identificado",IF(OR(D1371="",D1371=0),"VALOR_PC vazio ou zero",IF(AND(G1371&lt;&gt;"Sim",G1371&lt;&gt;"Nao",G1371&lt;&gt;""),"PC_PAGO_A_CONTRATADA invalido",IF(AND(C1371&lt;&gt;"C0",IFERROR(INDEX(parametros!$A$2:$A$6,MATCH(C1371,parametros!$B$2:$B$6,0)),"")="Sim",IFERROR(INDEX(parametros!$H$2:$H$6,MATCH(C1371,parametros!$B$2:$B$6,0)),"")=""),"INICIO_EFEITO ausente: PC "&amp;A1371&amp;" - "&amp;C1371,IF(L1371="","EFEITO_PC nao calculado: PC "&amp;A1371&amp;" - "&amp;C1371,"OK")))))))))</f>
        <v/>
      </c>
      <c r="L1371" s="92" t="str">
        <f>IF(AND(A1371="",B1371="",D1371="",G1371=""),"",IF(OR(B1371="",NOT(ISNUMBER(B1371)),C1371="",C1371="Fora dos ciclos"),"",IF(C1371="C0","Nao",IF(IFERROR(INDEX(parametros!$A$2:$A$6,MATCH(C1371,parametros!$B$2:$B$6,0)),"")&lt;&gt;"Sim","Nao",IF(IFERROR(INDEX(parametros!$H$2:$H$6,MATCH(C1371,parametros!$B$2:$B$6,0)),"")="","",IF(B1371&gt;=IFERROR(INDEX(parametros!$H$2:$H$6,MATCH(C1371,parametros!$B$2:$B$6,0)),""),"Sim","Nao"))))))</f>
        <v/>
      </c>
      <c r="T1371" s="156"/>
      <c r="U1371" s="214" t="str">
        <f t="shared" si="111"/>
        <v/>
      </c>
      <c r="V1371" s="212" t="s">
        <v>50</v>
      </c>
      <c r="W1371" s="100" t="s">
        <v>168</v>
      </c>
      <c r="X1371" s="100" t="s">
        <v>169</v>
      </c>
      <c r="Y1371" s="101" t="s">
        <v>170</v>
      </c>
      <c r="Z1371" s="101" t="s">
        <v>171</v>
      </c>
      <c r="AA1371" s="101" t="s">
        <v>50</v>
      </c>
      <c r="AB1371" s="101" t="s">
        <v>172</v>
      </c>
      <c r="AC1371" s="102" t="s">
        <v>173</v>
      </c>
    </row>
    <row r="1372" spans="1:29" ht="25.5" customHeight="1" x14ac:dyDescent="0.35">
      <c r="A1372" s="392"/>
      <c r="B1372" s="393"/>
      <c r="C1372" s="99" t="str">
        <f>IF(B1372="","",IF(NOT(ISNUMBER(B1372)),"DATA_PC invalida",IF(NOT(ISNUMBER(parametros!$C$2)),"Fora dos ciclos",IF(OR(B1372&lt;parametros!$C$2,(YEAR(B1372)-YEAR(parametros!$C$2))*12+MONTH(B1372)-MONTH(parametros!$C$2)&gt;59),"Fora dos ciclos","C"&amp;INT(((YEAR(B1372)-YEAR(parametros!$C$2))*12+MONTH(B1372)-MONTH(parametros!$C$2))/12)))))</f>
        <v/>
      </c>
      <c r="D1372" s="394"/>
      <c r="E1372" s="78" t="str">
        <f>IF(C1372="","",IFERROR(VLOOKUP(C1372,parametros!$A$11:$E$15,5,0),""))</f>
        <v/>
      </c>
      <c r="F1372" s="79" t="str">
        <f t="shared" si="107"/>
        <v/>
      </c>
      <c r="G1372" s="395"/>
      <c r="H1372" s="91">
        <f t="shared" si="108"/>
        <v>0</v>
      </c>
      <c r="I1372" s="91" t="str">
        <f t="shared" si="109"/>
        <v/>
      </c>
      <c r="J1372" s="91" t="str">
        <f t="shared" si="110"/>
        <v/>
      </c>
      <c r="K1372" s="92" t="str">
        <f>IF(AND(A1372="",B1372="",D1372="",G1372=""),"",IF(AND(A1372&lt;&gt;"",COUNTIF($A$2:$A$5001,A1372)&gt;1),"NUMERO_PC duplicado",IF(B1372="","DATA_PC vazia",IF(NOT(ISNUMBER(B1372)),"DATA_PC invalida",IF(OR(C1372="",C1372="Fora dos ciclos"),"CICLO_PC nao identificado",IF(OR(D1372="",D1372=0),"VALOR_PC vazio ou zero",IF(AND(G1372&lt;&gt;"Sim",G1372&lt;&gt;"Nao",G1372&lt;&gt;""),"PC_PAGO_A_CONTRATADA invalido",IF(AND(C1372&lt;&gt;"C0",IFERROR(INDEX(parametros!$A$2:$A$6,MATCH(C1372,parametros!$B$2:$B$6,0)),"")="Sim",IFERROR(INDEX(parametros!$H$2:$H$6,MATCH(C1372,parametros!$B$2:$B$6,0)),"")=""),"INICIO_EFEITO ausente: PC "&amp;A1372&amp;" - "&amp;C1372,IF(L1372="","EFEITO_PC nao calculado: PC "&amp;A1372&amp;" - "&amp;C1372,"OK")))))))))</f>
        <v/>
      </c>
      <c r="L1372" s="92" t="str">
        <f>IF(AND(A1372="",B1372="",D1372="",G1372=""),"",IF(OR(B1372="",NOT(ISNUMBER(B1372)),C1372="",C1372="Fora dos ciclos"),"",IF(C1372="C0","Nao",IF(IFERROR(INDEX(parametros!$A$2:$A$6,MATCH(C1372,parametros!$B$2:$B$6,0)),"")&lt;&gt;"Sim","Nao",IF(IFERROR(INDEX(parametros!$H$2:$H$6,MATCH(C1372,parametros!$B$2:$B$6,0)),"")="","",IF(B1372&gt;=IFERROR(INDEX(parametros!$H$2:$H$6,MATCH(C1372,parametros!$B$2:$B$6,0)),""),"Sim","Nao"))))))</f>
        <v/>
      </c>
      <c r="T1372" s="156"/>
      <c r="U1372" s="214" t="str">
        <f t="shared" si="111"/>
        <v/>
      </c>
      <c r="V1372" s="212" t="s">
        <v>50</v>
      </c>
      <c r="W1372" s="100" t="s">
        <v>168</v>
      </c>
      <c r="X1372" s="100" t="s">
        <v>169</v>
      </c>
      <c r="Y1372" s="101" t="s">
        <v>170</v>
      </c>
      <c r="Z1372" s="101" t="s">
        <v>171</v>
      </c>
      <c r="AA1372" s="101" t="s">
        <v>50</v>
      </c>
      <c r="AB1372" s="101" t="s">
        <v>172</v>
      </c>
      <c r="AC1372" s="102" t="s">
        <v>173</v>
      </c>
    </row>
    <row r="1373" spans="1:29" ht="25.5" customHeight="1" x14ac:dyDescent="0.35">
      <c r="A1373" s="392"/>
      <c r="B1373" s="393"/>
      <c r="C1373" s="99" t="str">
        <f>IF(B1373="","",IF(NOT(ISNUMBER(B1373)),"DATA_PC invalida",IF(NOT(ISNUMBER(parametros!$C$2)),"Fora dos ciclos",IF(OR(B1373&lt;parametros!$C$2,(YEAR(B1373)-YEAR(parametros!$C$2))*12+MONTH(B1373)-MONTH(parametros!$C$2)&gt;59),"Fora dos ciclos","C"&amp;INT(((YEAR(B1373)-YEAR(parametros!$C$2))*12+MONTH(B1373)-MONTH(parametros!$C$2))/12)))))</f>
        <v/>
      </c>
      <c r="D1373" s="394"/>
      <c r="E1373" s="78" t="str">
        <f>IF(C1373="","",IFERROR(VLOOKUP(C1373,parametros!$A$11:$E$15,5,0),""))</f>
        <v/>
      </c>
      <c r="F1373" s="79" t="str">
        <f t="shared" si="107"/>
        <v/>
      </c>
      <c r="G1373" s="395"/>
      <c r="H1373" s="91">
        <f t="shared" si="108"/>
        <v>0</v>
      </c>
      <c r="I1373" s="91" t="str">
        <f t="shared" si="109"/>
        <v/>
      </c>
      <c r="J1373" s="91" t="str">
        <f t="shared" si="110"/>
        <v/>
      </c>
      <c r="K1373" s="92" t="str">
        <f>IF(AND(A1373="",B1373="",D1373="",G1373=""),"",IF(AND(A1373&lt;&gt;"",COUNTIF($A$2:$A$5001,A1373)&gt;1),"NUMERO_PC duplicado",IF(B1373="","DATA_PC vazia",IF(NOT(ISNUMBER(B1373)),"DATA_PC invalida",IF(OR(C1373="",C1373="Fora dos ciclos"),"CICLO_PC nao identificado",IF(OR(D1373="",D1373=0),"VALOR_PC vazio ou zero",IF(AND(G1373&lt;&gt;"Sim",G1373&lt;&gt;"Nao",G1373&lt;&gt;""),"PC_PAGO_A_CONTRATADA invalido",IF(AND(C1373&lt;&gt;"C0",IFERROR(INDEX(parametros!$A$2:$A$6,MATCH(C1373,parametros!$B$2:$B$6,0)),"")="Sim",IFERROR(INDEX(parametros!$H$2:$H$6,MATCH(C1373,parametros!$B$2:$B$6,0)),"")=""),"INICIO_EFEITO ausente: PC "&amp;A1373&amp;" - "&amp;C1373,IF(L1373="","EFEITO_PC nao calculado: PC "&amp;A1373&amp;" - "&amp;C1373,"OK")))))))))</f>
        <v/>
      </c>
      <c r="L1373" s="92" t="str">
        <f>IF(AND(A1373="",B1373="",D1373="",G1373=""),"",IF(OR(B1373="",NOT(ISNUMBER(B1373)),C1373="",C1373="Fora dos ciclos"),"",IF(C1373="C0","Nao",IF(IFERROR(INDEX(parametros!$A$2:$A$6,MATCH(C1373,parametros!$B$2:$B$6,0)),"")&lt;&gt;"Sim","Nao",IF(IFERROR(INDEX(parametros!$H$2:$H$6,MATCH(C1373,parametros!$B$2:$B$6,0)),"")="","",IF(B1373&gt;=IFERROR(INDEX(parametros!$H$2:$H$6,MATCH(C1373,parametros!$B$2:$B$6,0)),""),"Sim","Nao"))))))</f>
        <v/>
      </c>
      <c r="T1373" s="156"/>
      <c r="U1373" s="214" t="str">
        <f t="shared" si="111"/>
        <v/>
      </c>
      <c r="V1373" s="212" t="s">
        <v>50</v>
      </c>
      <c r="W1373" s="100" t="s">
        <v>168</v>
      </c>
      <c r="X1373" s="100" t="s">
        <v>169</v>
      </c>
      <c r="Y1373" s="101" t="s">
        <v>170</v>
      </c>
      <c r="Z1373" s="101" t="s">
        <v>171</v>
      </c>
      <c r="AA1373" s="101" t="s">
        <v>50</v>
      </c>
      <c r="AB1373" s="101" t="s">
        <v>172</v>
      </c>
      <c r="AC1373" s="102" t="s">
        <v>173</v>
      </c>
    </row>
    <row r="1374" spans="1:29" ht="25.5" customHeight="1" x14ac:dyDescent="0.35">
      <c r="A1374" s="392"/>
      <c r="B1374" s="393"/>
      <c r="C1374" s="99" t="str">
        <f>IF(B1374="","",IF(NOT(ISNUMBER(B1374)),"DATA_PC invalida",IF(NOT(ISNUMBER(parametros!$C$2)),"Fora dos ciclos",IF(OR(B1374&lt;parametros!$C$2,(YEAR(B1374)-YEAR(parametros!$C$2))*12+MONTH(B1374)-MONTH(parametros!$C$2)&gt;59),"Fora dos ciclos","C"&amp;INT(((YEAR(B1374)-YEAR(parametros!$C$2))*12+MONTH(B1374)-MONTH(parametros!$C$2))/12)))))</f>
        <v/>
      </c>
      <c r="D1374" s="394"/>
      <c r="E1374" s="78" t="str">
        <f>IF(C1374="","",IFERROR(VLOOKUP(C1374,parametros!$A$11:$E$15,5,0),""))</f>
        <v/>
      </c>
      <c r="F1374" s="79" t="str">
        <f t="shared" si="107"/>
        <v/>
      </c>
      <c r="G1374" s="395"/>
      <c r="H1374" s="91">
        <f t="shared" si="108"/>
        <v>0</v>
      </c>
      <c r="I1374" s="91" t="str">
        <f t="shared" si="109"/>
        <v/>
      </c>
      <c r="J1374" s="91" t="str">
        <f t="shared" si="110"/>
        <v/>
      </c>
      <c r="K1374" s="92" t="str">
        <f>IF(AND(A1374="",B1374="",D1374="",G1374=""),"",IF(AND(A1374&lt;&gt;"",COUNTIF($A$2:$A$5001,A1374)&gt;1),"NUMERO_PC duplicado",IF(B1374="","DATA_PC vazia",IF(NOT(ISNUMBER(B1374)),"DATA_PC invalida",IF(OR(C1374="",C1374="Fora dos ciclos"),"CICLO_PC nao identificado",IF(OR(D1374="",D1374=0),"VALOR_PC vazio ou zero",IF(AND(G1374&lt;&gt;"Sim",G1374&lt;&gt;"Nao",G1374&lt;&gt;""),"PC_PAGO_A_CONTRATADA invalido",IF(AND(C1374&lt;&gt;"C0",IFERROR(INDEX(parametros!$A$2:$A$6,MATCH(C1374,parametros!$B$2:$B$6,0)),"")="Sim",IFERROR(INDEX(parametros!$H$2:$H$6,MATCH(C1374,parametros!$B$2:$B$6,0)),"")=""),"INICIO_EFEITO ausente: PC "&amp;A1374&amp;" - "&amp;C1374,IF(L1374="","EFEITO_PC nao calculado: PC "&amp;A1374&amp;" - "&amp;C1374,"OK")))))))))</f>
        <v/>
      </c>
      <c r="L1374" s="92" t="str">
        <f>IF(AND(A1374="",B1374="",D1374="",G1374=""),"",IF(OR(B1374="",NOT(ISNUMBER(B1374)),C1374="",C1374="Fora dos ciclos"),"",IF(C1374="C0","Nao",IF(IFERROR(INDEX(parametros!$A$2:$A$6,MATCH(C1374,parametros!$B$2:$B$6,0)),"")&lt;&gt;"Sim","Nao",IF(IFERROR(INDEX(parametros!$H$2:$H$6,MATCH(C1374,parametros!$B$2:$B$6,0)),"")="","",IF(B1374&gt;=IFERROR(INDEX(parametros!$H$2:$H$6,MATCH(C1374,parametros!$B$2:$B$6,0)),""),"Sim","Nao"))))))</f>
        <v/>
      </c>
      <c r="T1374" s="156"/>
      <c r="U1374" s="214" t="str">
        <f t="shared" si="111"/>
        <v/>
      </c>
      <c r="V1374" s="212" t="s">
        <v>50</v>
      </c>
      <c r="W1374" s="100" t="s">
        <v>168</v>
      </c>
      <c r="X1374" s="100" t="s">
        <v>169</v>
      </c>
      <c r="Y1374" s="101" t="s">
        <v>170</v>
      </c>
      <c r="Z1374" s="101" t="s">
        <v>171</v>
      </c>
      <c r="AA1374" s="101" t="s">
        <v>50</v>
      </c>
      <c r="AB1374" s="101" t="s">
        <v>172</v>
      </c>
      <c r="AC1374" s="102" t="s">
        <v>173</v>
      </c>
    </row>
    <row r="1375" spans="1:29" ht="25.5" customHeight="1" x14ac:dyDescent="0.35">
      <c r="A1375" s="392"/>
      <c r="B1375" s="393"/>
      <c r="C1375" s="99" t="str">
        <f>IF(B1375="","",IF(NOT(ISNUMBER(B1375)),"DATA_PC invalida",IF(NOT(ISNUMBER(parametros!$C$2)),"Fora dos ciclos",IF(OR(B1375&lt;parametros!$C$2,(YEAR(B1375)-YEAR(parametros!$C$2))*12+MONTH(B1375)-MONTH(parametros!$C$2)&gt;59),"Fora dos ciclos","C"&amp;INT(((YEAR(B1375)-YEAR(parametros!$C$2))*12+MONTH(B1375)-MONTH(parametros!$C$2))/12)))))</f>
        <v/>
      </c>
      <c r="D1375" s="394"/>
      <c r="E1375" s="78" t="str">
        <f>IF(C1375="","",IFERROR(VLOOKUP(C1375,parametros!$A$11:$E$15,5,0),""))</f>
        <v/>
      </c>
      <c r="F1375" s="79" t="str">
        <f t="shared" si="107"/>
        <v/>
      </c>
      <c r="G1375" s="395"/>
      <c r="H1375" s="91">
        <f t="shared" si="108"/>
        <v>0</v>
      </c>
      <c r="I1375" s="91" t="str">
        <f t="shared" si="109"/>
        <v/>
      </c>
      <c r="J1375" s="91" t="str">
        <f t="shared" si="110"/>
        <v/>
      </c>
      <c r="K1375" s="92" t="str">
        <f>IF(AND(A1375="",B1375="",D1375="",G1375=""),"",IF(AND(A1375&lt;&gt;"",COUNTIF($A$2:$A$5001,A1375)&gt;1),"NUMERO_PC duplicado",IF(B1375="","DATA_PC vazia",IF(NOT(ISNUMBER(B1375)),"DATA_PC invalida",IF(OR(C1375="",C1375="Fora dos ciclos"),"CICLO_PC nao identificado",IF(OR(D1375="",D1375=0),"VALOR_PC vazio ou zero",IF(AND(G1375&lt;&gt;"Sim",G1375&lt;&gt;"Nao",G1375&lt;&gt;""),"PC_PAGO_A_CONTRATADA invalido",IF(AND(C1375&lt;&gt;"C0",IFERROR(INDEX(parametros!$A$2:$A$6,MATCH(C1375,parametros!$B$2:$B$6,0)),"")="Sim",IFERROR(INDEX(parametros!$H$2:$H$6,MATCH(C1375,parametros!$B$2:$B$6,0)),"")=""),"INICIO_EFEITO ausente: PC "&amp;A1375&amp;" - "&amp;C1375,IF(L1375="","EFEITO_PC nao calculado: PC "&amp;A1375&amp;" - "&amp;C1375,"OK")))))))))</f>
        <v/>
      </c>
      <c r="L1375" s="92" t="str">
        <f>IF(AND(A1375="",B1375="",D1375="",G1375=""),"",IF(OR(B1375="",NOT(ISNUMBER(B1375)),C1375="",C1375="Fora dos ciclos"),"",IF(C1375="C0","Nao",IF(IFERROR(INDEX(parametros!$A$2:$A$6,MATCH(C1375,parametros!$B$2:$B$6,0)),"")&lt;&gt;"Sim","Nao",IF(IFERROR(INDEX(parametros!$H$2:$H$6,MATCH(C1375,parametros!$B$2:$B$6,0)),"")="","",IF(B1375&gt;=IFERROR(INDEX(parametros!$H$2:$H$6,MATCH(C1375,parametros!$B$2:$B$6,0)),""),"Sim","Nao"))))))</f>
        <v/>
      </c>
      <c r="T1375" s="156"/>
      <c r="U1375" s="214" t="str">
        <f t="shared" si="111"/>
        <v/>
      </c>
      <c r="V1375" s="212" t="s">
        <v>50</v>
      </c>
      <c r="W1375" s="100" t="s">
        <v>168</v>
      </c>
      <c r="X1375" s="100" t="s">
        <v>169</v>
      </c>
      <c r="Y1375" s="101" t="s">
        <v>170</v>
      </c>
      <c r="Z1375" s="101" t="s">
        <v>171</v>
      </c>
      <c r="AA1375" s="101" t="s">
        <v>50</v>
      </c>
      <c r="AB1375" s="101" t="s">
        <v>172</v>
      </c>
      <c r="AC1375" s="102" t="s">
        <v>173</v>
      </c>
    </row>
    <row r="1376" spans="1:29" ht="25.5" customHeight="1" x14ac:dyDescent="0.35">
      <c r="A1376" s="392"/>
      <c r="B1376" s="393"/>
      <c r="C1376" s="99" t="str">
        <f>IF(B1376="","",IF(NOT(ISNUMBER(B1376)),"DATA_PC invalida",IF(NOT(ISNUMBER(parametros!$C$2)),"Fora dos ciclos",IF(OR(B1376&lt;parametros!$C$2,(YEAR(B1376)-YEAR(parametros!$C$2))*12+MONTH(B1376)-MONTH(parametros!$C$2)&gt;59),"Fora dos ciclos","C"&amp;INT(((YEAR(B1376)-YEAR(parametros!$C$2))*12+MONTH(B1376)-MONTH(parametros!$C$2))/12)))))</f>
        <v/>
      </c>
      <c r="D1376" s="394"/>
      <c r="E1376" s="78" t="str">
        <f>IF(C1376="","",IFERROR(VLOOKUP(C1376,parametros!$A$11:$E$15,5,0),""))</f>
        <v/>
      </c>
      <c r="F1376" s="79" t="str">
        <f t="shared" si="107"/>
        <v/>
      </c>
      <c r="G1376" s="395"/>
      <c r="H1376" s="91">
        <f t="shared" si="108"/>
        <v>0</v>
      </c>
      <c r="I1376" s="91" t="str">
        <f t="shared" si="109"/>
        <v/>
      </c>
      <c r="J1376" s="91" t="str">
        <f t="shared" si="110"/>
        <v/>
      </c>
      <c r="K1376" s="92" t="str">
        <f>IF(AND(A1376="",B1376="",D1376="",G1376=""),"",IF(AND(A1376&lt;&gt;"",COUNTIF($A$2:$A$5001,A1376)&gt;1),"NUMERO_PC duplicado",IF(B1376="","DATA_PC vazia",IF(NOT(ISNUMBER(B1376)),"DATA_PC invalida",IF(OR(C1376="",C1376="Fora dos ciclos"),"CICLO_PC nao identificado",IF(OR(D1376="",D1376=0),"VALOR_PC vazio ou zero",IF(AND(G1376&lt;&gt;"Sim",G1376&lt;&gt;"Nao",G1376&lt;&gt;""),"PC_PAGO_A_CONTRATADA invalido",IF(AND(C1376&lt;&gt;"C0",IFERROR(INDEX(parametros!$A$2:$A$6,MATCH(C1376,parametros!$B$2:$B$6,0)),"")="Sim",IFERROR(INDEX(parametros!$H$2:$H$6,MATCH(C1376,parametros!$B$2:$B$6,0)),"")=""),"INICIO_EFEITO ausente: PC "&amp;A1376&amp;" - "&amp;C1376,IF(L1376="","EFEITO_PC nao calculado: PC "&amp;A1376&amp;" - "&amp;C1376,"OK")))))))))</f>
        <v/>
      </c>
      <c r="L1376" s="92" t="str">
        <f>IF(AND(A1376="",B1376="",D1376="",G1376=""),"",IF(OR(B1376="",NOT(ISNUMBER(B1376)),C1376="",C1376="Fora dos ciclos"),"",IF(C1376="C0","Nao",IF(IFERROR(INDEX(parametros!$A$2:$A$6,MATCH(C1376,parametros!$B$2:$B$6,0)),"")&lt;&gt;"Sim","Nao",IF(IFERROR(INDEX(parametros!$H$2:$H$6,MATCH(C1376,parametros!$B$2:$B$6,0)),"")="","",IF(B1376&gt;=IFERROR(INDEX(parametros!$H$2:$H$6,MATCH(C1376,parametros!$B$2:$B$6,0)),""),"Sim","Nao"))))))</f>
        <v/>
      </c>
      <c r="T1376" s="156"/>
      <c r="U1376" s="214" t="str">
        <f t="shared" si="111"/>
        <v/>
      </c>
      <c r="V1376" s="212" t="s">
        <v>50</v>
      </c>
      <c r="W1376" s="100" t="s">
        <v>168</v>
      </c>
      <c r="X1376" s="100" t="s">
        <v>169</v>
      </c>
      <c r="Y1376" s="101" t="s">
        <v>170</v>
      </c>
      <c r="Z1376" s="101" t="s">
        <v>171</v>
      </c>
      <c r="AA1376" s="101" t="s">
        <v>50</v>
      </c>
      <c r="AB1376" s="101" t="s">
        <v>172</v>
      </c>
      <c r="AC1376" s="102" t="s">
        <v>173</v>
      </c>
    </row>
    <row r="1377" spans="1:29" ht="25.5" customHeight="1" x14ac:dyDescent="0.35">
      <c r="A1377" s="392"/>
      <c r="B1377" s="393"/>
      <c r="C1377" s="99" t="str">
        <f>IF(B1377="","",IF(NOT(ISNUMBER(B1377)),"DATA_PC invalida",IF(NOT(ISNUMBER(parametros!$C$2)),"Fora dos ciclos",IF(OR(B1377&lt;parametros!$C$2,(YEAR(B1377)-YEAR(parametros!$C$2))*12+MONTH(B1377)-MONTH(parametros!$C$2)&gt;59),"Fora dos ciclos","C"&amp;INT(((YEAR(B1377)-YEAR(parametros!$C$2))*12+MONTH(B1377)-MONTH(parametros!$C$2))/12)))))</f>
        <v/>
      </c>
      <c r="D1377" s="394"/>
      <c r="E1377" s="78" t="str">
        <f>IF(C1377="","",IFERROR(VLOOKUP(C1377,parametros!$A$11:$E$15,5,0),""))</f>
        <v/>
      </c>
      <c r="F1377" s="79" t="str">
        <f t="shared" si="107"/>
        <v/>
      </c>
      <c r="G1377" s="395"/>
      <c r="H1377" s="91">
        <f t="shared" si="108"/>
        <v>0</v>
      </c>
      <c r="I1377" s="91" t="str">
        <f t="shared" si="109"/>
        <v/>
      </c>
      <c r="J1377" s="91" t="str">
        <f t="shared" si="110"/>
        <v/>
      </c>
      <c r="K1377" s="92" t="str">
        <f>IF(AND(A1377="",B1377="",D1377="",G1377=""),"",IF(AND(A1377&lt;&gt;"",COUNTIF($A$2:$A$5001,A1377)&gt;1),"NUMERO_PC duplicado",IF(B1377="","DATA_PC vazia",IF(NOT(ISNUMBER(B1377)),"DATA_PC invalida",IF(OR(C1377="",C1377="Fora dos ciclos"),"CICLO_PC nao identificado",IF(OR(D1377="",D1377=0),"VALOR_PC vazio ou zero",IF(AND(G1377&lt;&gt;"Sim",G1377&lt;&gt;"Nao",G1377&lt;&gt;""),"PC_PAGO_A_CONTRATADA invalido",IF(AND(C1377&lt;&gt;"C0",IFERROR(INDEX(parametros!$A$2:$A$6,MATCH(C1377,parametros!$B$2:$B$6,0)),"")="Sim",IFERROR(INDEX(parametros!$H$2:$H$6,MATCH(C1377,parametros!$B$2:$B$6,0)),"")=""),"INICIO_EFEITO ausente: PC "&amp;A1377&amp;" - "&amp;C1377,IF(L1377="","EFEITO_PC nao calculado: PC "&amp;A1377&amp;" - "&amp;C1377,"OK")))))))))</f>
        <v/>
      </c>
      <c r="L1377" s="92" t="str">
        <f>IF(AND(A1377="",B1377="",D1377="",G1377=""),"",IF(OR(B1377="",NOT(ISNUMBER(B1377)),C1377="",C1377="Fora dos ciclos"),"",IF(C1377="C0","Nao",IF(IFERROR(INDEX(parametros!$A$2:$A$6,MATCH(C1377,parametros!$B$2:$B$6,0)),"")&lt;&gt;"Sim","Nao",IF(IFERROR(INDEX(parametros!$H$2:$H$6,MATCH(C1377,parametros!$B$2:$B$6,0)),"")="","",IF(B1377&gt;=IFERROR(INDEX(parametros!$H$2:$H$6,MATCH(C1377,parametros!$B$2:$B$6,0)),""),"Sim","Nao"))))))</f>
        <v/>
      </c>
      <c r="T1377" s="156"/>
      <c r="U1377" s="214" t="str">
        <f t="shared" si="111"/>
        <v/>
      </c>
      <c r="V1377" s="212" t="s">
        <v>50</v>
      </c>
      <c r="W1377" s="100" t="s">
        <v>168</v>
      </c>
      <c r="X1377" s="100" t="s">
        <v>169</v>
      </c>
      <c r="Y1377" s="101" t="s">
        <v>170</v>
      </c>
      <c r="Z1377" s="101" t="s">
        <v>171</v>
      </c>
      <c r="AA1377" s="101" t="s">
        <v>50</v>
      </c>
      <c r="AB1377" s="101" t="s">
        <v>172</v>
      </c>
      <c r="AC1377" s="102" t="s">
        <v>173</v>
      </c>
    </row>
    <row r="1378" spans="1:29" ht="25.5" customHeight="1" x14ac:dyDescent="0.35">
      <c r="A1378" s="392"/>
      <c r="B1378" s="393"/>
      <c r="C1378" s="99" t="str">
        <f>IF(B1378="","",IF(NOT(ISNUMBER(B1378)),"DATA_PC invalida",IF(NOT(ISNUMBER(parametros!$C$2)),"Fora dos ciclos",IF(OR(B1378&lt;parametros!$C$2,(YEAR(B1378)-YEAR(parametros!$C$2))*12+MONTH(B1378)-MONTH(parametros!$C$2)&gt;59),"Fora dos ciclos","C"&amp;INT(((YEAR(B1378)-YEAR(parametros!$C$2))*12+MONTH(B1378)-MONTH(parametros!$C$2))/12)))))</f>
        <v/>
      </c>
      <c r="D1378" s="394"/>
      <c r="E1378" s="78" t="str">
        <f>IF(C1378="","",IFERROR(VLOOKUP(C1378,parametros!$A$11:$E$15,5,0),""))</f>
        <v/>
      </c>
      <c r="F1378" s="79" t="str">
        <f t="shared" si="107"/>
        <v/>
      </c>
      <c r="G1378" s="395"/>
      <c r="H1378" s="91">
        <f t="shared" si="108"/>
        <v>0</v>
      </c>
      <c r="I1378" s="91" t="str">
        <f t="shared" si="109"/>
        <v/>
      </c>
      <c r="J1378" s="91" t="str">
        <f t="shared" si="110"/>
        <v/>
      </c>
      <c r="K1378" s="92" t="str">
        <f>IF(AND(A1378="",B1378="",D1378="",G1378=""),"",IF(AND(A1378&lt;&gt;"",COUNTIF($A$2:$A$5001,A1378)&gt;1),"NUMERO_PC duplicado",IF(B1378="","DATA_PC vazia",IF(NOT(ISNUMBER(B1378)),"DATA_PC invalida",IF(OR(C1378="",C1378="Fora dos ciclos"),"CICLO_PC nao identificado",IF(OR(D1378="",D1378=0),"VALOR_PC vazio ou zero",IF(AND(G1378&lt;&gt;"Sim",G1378&lt;&gt;"Nao",G1378&lt;&gt;""),"PC_PAGO_A_CONTRATADA invalido",IF(AND(C1378&lt;&gt;"C0",IFERROR(INDEX(parametros!$A$2:$A$6,MATCH(C1378,parametros!$B$2:$B$6,0)),"")="Sim",IFERROR(INDEX(parametros!$H$2:$H$6,MATCH(C1378,parametros!$B$2:$B$6,0)),"")=""),"INICIO_EFEITO ausente: PC "&amp;A1378&amp;" - "&amp;C1378,IF(L1378="","EFEITO_PC nao calculado: PC "&amp;A1378&amp;" - "&amp;C1378,"OK")))))))))</f>
        <v/>
      </c>
      <c r="L1378" s="92" t="str">
        <f>IF(AND(A1378="",B1378="",D1378="",G1378=""),"",IF(OR(B1378="",NOT(ISNUMBER(B1378)),C1378="",C1378="Fora dos ciclos"),"",IF(C1378="C0","Nao",IF(IFERROR(INDEX(parametros!$A$2:$A$6,MATCH(C1378,parametros!$B$2:$B$6,0)),"")&lt;&gt;"Sim","Nao",IF(IFERROR(INDEX(parametros!$H$2:$H$6,MATCH(C1378,parametros!$B$2:$B$6,0)),"")="","",IF(B1378&gt;=IFERROR(INDEX(parametros!$H$2:$H$6,MATCH(C1378,parametros!$B$2:$B$6,0)),""),"Sim","Nao"))))))</f>
        <v/>
      </c>
      <c r="T1378" s="156"/>
      <c r="U1378" s="214" t="str">
        <f t="shared" si="111"/>
        <v/>
      </c>
      <c r="V1378" s="212" t="s">
        <v>50</v>
      </c>
      <c r="W1378" s="100" t="s">
        <v>168</v>
      </c>
      <c r="X1378" s="100" t="s">
        <v>169</v>
      </c>
      <c r="Y1378" s="101" t="s">
        <v>170</v>
      </c>
      <c r="Z1378" s="101" t="s">
        <v>171</v>
      </c>
      <c r="AA1378" s="101" t="s">
        <v>50</v>
      </c>
      <c r="AB1378" s="101" t="s">
        <v>172</v>
      </c>
      <c r="AC1378" s="102" t="s">
        <v>173</v>
      </c>
    </row>
    <row r="1379" spans="1:29" ht="25.5" customHeight="1" x14ac:dyDescent="0.35">
      <c r="A1379" s="392"/>
      <c r="B1379" s="393"/>
      <c r="C1379" s="99" t="str">
        <f>IF(B1379="","",IF(NOT(ISNUMBER(B1379)),"DATA_PC invalida",IF(NOT(ISNUMBER(parametros!$C$2)),"Fora dos ciclos",IF(OR(B1379&lt;parametros!$C$2,(YEAR(B1379)-YEAR(parametros!$C$2))*12+MONTH(B1379)-MONTH(parametros!$C$2)&gt;59),"Fora dos ciclos","C"&amp;INT(((YEAR(B1379)-YEAR(parametros!$C$2))*12+MONTH(B1379)-MONTH(parametros!$C$2))/12)))))</f>
        <v/>
      </c>
      <c r="D1379" s="394"/>
      <c r="E1379" s="78" t="str">
        <f>IF(C1379="","",IFERROR(VLOOKUP(C1379,parametros!$A$11:$E$15,5,0),""))</f>
        <v/>
      </c>
      <c r="F1379" s="79" t="str">
        <f t="shared" si="107"/>
        <v/>
      </c>
      <c r="G1379" s="395"/>
      <c r="H1379" s="91">
        <f t="shared" si="108"/>
        <v>0</v>
      </c>
      <c r="I1379" s="91" t="str">
        <f t="shared" si="109"/>
        <v/>
      </c>
      <c r="J1379" s="91" t="str">
        <f t="shared" si="110"/>
        <v/>
      </c>
      <c r="K1379" s="92" t="str">
        <f>IF(AND(A1379="",B1379="",D1379="",G1379=""),"",IF(AND(A1379&lt;&gt;"",COUNTIF($A$2:$A$5001,A1379)&gt;1),"NUMERO_PC duplicado",IF(B1379="","DATA_PC vazia",IF(NOT(ISNUMBER(B1379)),"DATA_PC invalida",IF(OR(C1379="",C1379="Fora dos ciclos"),"CICLO_PC nao identificado",IF(OR(D1379="",D1379=0),"VALOR_PC vazio ou zero",IF(AND(G1379&lt;&gt;"Sim",G1379&lt;&gt;"Nao",G1379&lt;&gt;""),"PC_PAGO_A_CONTRATADA invalido",IF(AND(C1379&lt;&gt;"C0",IFERROR(INDEX(parametros!$A$2:$A$6,MATCH(C1379,parametros!$B$2:$B$6,0)),"")="Sim",IFERROR(INDEX(parametros!$H$2:$H$6,MATCH(C1379,parametros!$B$2:$B$6,0)),"")=""),"INICIO_EFEITO ausente: PC "&amp;A1379&amp;" - "&amp;C1379,IF(L1379="","EFEITO_PC nao calculado: PC "&amp;A1379&amp;" - "&amp;C1379,"OK")))))))))</f>
        <v/>
      </c>
      <c r="L1379" s="92" t="str">
        <f>IF(AND(A1379="",B1379="",D1379="",G1379=""),"",IF(OR(B1379="",NOT(ISNUMBER(B1379)),C1379="",C1379="Fora dos ciclos"),"",IF(C1379="C0","Nao",IF(IFERROR(INDEX(parametros!$A$2:$A$6,MATCH(C1379,parametros!$B$2:$B$6,0)),"")&lt;&gt;"Sim","Nao",IF(IFERROR(INDEX(parametros!$H$2:$H$6,MATCH(C1379,parametros!$B$2:$B$6,0)),"")="","",IF(B1379&gt;=IFERROR(INDEX(parametros!$H$2:$H$6,MATCH(C1379,parametros!$B$2:$B$6,0)),""),"Sim","Nao"))))))</f>
        <v/>
      </c>
      <c r="T1379" s="156"/>
      <c r="U1379" s="214" t="str">
        <f t="shared" si="111"/>
        <v/>
      </c>
      <c r="V1379" s="212" t="s">
        <v>50</v>
      </c>
      <c r="W1379" s="100" t="s">
        <v>168</v>
      </c>
      <c r="X1379" s="100" t="s">
        <v>169</v>
      </c>
      <c r="Y1379" s="101" t="s">
        <v>170</v>
      </c>
      <c r="Z1379" s="101" t="s">
        <v>171</v>
      </c>
      <c r="AA1379" s="101" t="s">
        <v>50</v>
      </c>
      <c r="AB1379" s="101" t="s">
        <v>172</v>
      </c>
      <c r="AC1379" s="102" t="s">
        <v>173</v>
      </c>
    </row>
    <row r="1380" spans="1:29" ht="25.5" customHeight="1" x14ac:dyDescent="0.35">
      <c r="A1380" s="392"/>
      <c r="B1380" s="393"/>
      <c r="C1380" s="99" t="str">
        <f>IF(B1380="","",IF(NOT(ISNUMBER(B1380)),"DATA_PC invalida",IF(NOT(ISNUMBER(parametros!$C$2)),"Fora dos ciclos",IF(OR(B1380&lt;parametros!$C$2,(YEAR(B1380)-YEAR(parametros!$C$2))*12+MONTH(B1380)-MONTH(parametros!$C$2)&gt;59),"Fora dos ciclos","C"&amp;INT(((YEAR(B1380)-YEAR(parametros!$C$2))*12+MONTH(B1380)-MONTH(parametros!$C$2))/12)))))</f>
        <v/>
      </c>
      <c r="D1380" s="394"/>
      <c r="E1380" s="78" t="str">
        <f>IF(C1380="","",IFERROR(VLOOKUP(C1380,parametros!$A$11:$E$15,5,0),""))</f>
        <v/>
      </c>
      <c r="F1380" s="79" t="str">
        <f t="shared" si="107"/>
        <v/>
      </c>
      <c r="G1380" s="395"/>
      <c r="H1380" s="91">
        <f t="shared" si="108"/>
        <v>0</v>
      </c>
      <c r="I1380" s="91" t="str">
        <f t="shared" si="109"/>
        <v/>
      </c>
      <c r="J1380" s="91" t="str">
        <f t="shared" si="110"/>
        <v/>
      </c>
      <c r="K1380" s="92" t="str">
        <f>IF(AND(A1380="",B1380="",D1380="",G1380=""),"",IF(AND(A1380&lt;&gt;"",COUNTIF($A$2:$A$5001,A1380)&gt;1),"NUMERO_PC duplicado",IF(B1380="","DATA_PC vazia",IF(NOT(ISNUMBER(B1380)),"DATA_PC invalida",IF(OR(C1380="",C1380="Fora dos ciclos"),"CICLO_PC nao identificado",IF(OR(D1380="",D1380=0),"VALOR_PC vazio ou zero",IF(AND(G1380&lt;&gt;"Sim",G1380&lt;&gt;"Nao",G1380&lt;&gt;""),"PC_PAGO_A_CONTRATADA invalido",IF(AND(C1380&lt;&gt;"C0",IFERROR(INDEX(parametros!$A$2:$A$6,MATCH(C1380,parametros!$B$2:$B$6,0)),"")="Sim",IFERROR(INDEX(parametros!$H$2:$H$6,MATCH(C1380,parametros!$B$2:$B$6,0)),"")=""),"INICIO_EFEITO ausente: PC "&amp;A1380&amp;" - "&amp;C1380,IF(L1380="","EFEITO_PC nao calculado: PC "&amp;A1380&amp;" - "&amp;C1380,"OK")))))))))</f>
        <v/>
      </c>
      <c r="L1380" s="92" t="str">
        <f>IF(AND(A1380="",B1380="",D1380="",G1380=""),"",IF(OR(B1380="",NOT(ISNUMBER(B1380)),C1380="",C1380="Fora dos ciclos"),"",IF(C1380="C0","Nao",IF(IFERROR(INDEX(parametros!$A$2:$A$6,MATCH(C1380,parametros!$B$2:$B$6,0)),"")&lt;&gt;"Sim","Nao",IF(IFERROR(INDEX(parametros!$H$2:$H$6,MATCH(C1380,parametros!$B$2:$B$6,0)),"")="","",IF(B1380&gt;=IFERROR(INDEX(parametros!$H$2:$H$6,MATCH(C1380,parametros!$B$2:$B$6,0)),""),"Sim","Nao"))))))</f>
        <v/>
      </c>
      <c r="T1380" s="156"/>
      <c r="U1380" s="214" t="str">
        <f t="shared" si="111"/>
        <v/>
      </c>
      <c r="V1380" s="212" t="s">
        <v>50</v>
      </c>
      <c r="W1380" s="100" t="s">
        <v>168</v>
      </c>
      <c r="X1380" s="100" t="s">
        <v>169</v>
      </c>
      <c r="Y1380" s="101" t="s">
        <v>170</v>
      </c>
      <c r="Z1380" s="101" t="s">
        <v>171</v>
      </c>
      <c r="AA1380" s="101" t="s">
        <v>50</v>
      </c>
      <c r="AB1380" s="101" t="s">
        <v>172</v>
      </c>
      <c r="AC1380" s="102" t="s">
        <v>173</v>
      </c>
    </row>
    <row r="1381" spans="1:29" ht="25.5" customHeight="1" x14ac:dyDescent="0.35">
      <c r="A1381" s="392"/>
      <c r="B1381" s="393"/>
      <c r="C1381" s="99" t="str">
        <f>IF(B1381="","",IF(NOT(ISNUMBER(B1381)),"DATA_PC invalida",IF(NOT(ISNUMBER(parametros!$C$2)),"Fora dos ciclos",IF(OR(B1381&lt;parametros!$C$2,(YEAR(B1381)-YEAR(parametros!$C$2))*12+MONTH(B1381)-MONTH(parametros!$C$2)&gt;59),"Fora dos ciclos","C"&amp;INT(((YEAR(B1381)-YEAR(parametros!$C$2))*12+MONTH(B1381)-MONTH(parametros!$C$2))/12)))))</f>
        <v/>
      </c>
      <c r="D1381" s="394"/>
      <c r="E1381" s="78" t="str">
        <f>IF(C1381="","",IFERROR(VLOOKUP(C1381,parametros!$A$11:$E$15,5,0),""))</f>
        <v/>
      </c>
      <c r="F1381" s="79" t="str">
        <f t="shared" si="107"/>
        <v/>
      </c>
      <c r="G1381" s="395"/>
      <c r="H1381" s="91">
        <f t="shared" si="108"/>
        <v>0</v>
      </c>
      <c r="I1381" s="91" t="str">
        <f t="shared" si="109"/>
        <v/>
      </c>
      <c r="J1381" s="91" t="str">
        <f t="shared" si="110"/>
        <v/>
      </c>
      <c r="K1381" s="92" t="str">
        <f>IF(AND(A1381="",B1381="",D1381="",G1381=""),"",IF(AND(A1381&lt;&gt;"",COUNTIF($A$2:$A$5001,A1381)&gt;1),"NUMERO_PC duplicado",IF(B1381="","DATA_PC vazia",IF(NOT(ISNUMBER(B1381)),"DATA_PC invalida",IF(OR(C1381="",C1381="Fora dos ciclos"),"CICLO_PC nao identificado",IF(OR(D1381="",D1381=0),"VALOR_PC vazio ou zero",IF(AND(G1381&lt;&gt;"Sim",G1381&lt;&gt;"Nao",G1381&lt;&gt;""),"PC_PAGO_A_CONTRATADA invalido",IF(AND(C1381&lt;&gt;"C0",IFERROR(INDEX(parametros!$A$2:$A$6,MATCH(C1381,parametros!$B$2:$B$6,0)),"")="Sim",IFERROR(INDEX(parametros!$H$2:$H$6,MATCH(C1381,parametros!$B$2:$B$6,0)),"")=""),"INICIO_EFEITO ausente: PC "&amp;A1381&amp;" - "&amp;C1381,IF(L1381="","EFEITO_PC nao calculado: PC "&amp;A1381&amp;" - "&amp;C1381,"OK")))))))))</f>
        <v/>
      </c>
      <c r="L1381" s="92" t="str">
        <f>IF(AND(A1381="",B1381="",D1381="",G1381=""),"",IF(OR(B1381="",NOT(ISNUMBER(B1381)),C1381="",C1381="Fora dos ciclos"),"",IF(C1381="C0","Nao",IF(IFERROR(INDEX(parametros!$A$2:$A$6,MATCH(C1381,parametros!$B$2:$B$6,0)),"")&lt;&gt;"Sim","Nao",IF(IFERROR(INDEX(parametros!$H$2:$H$6,MATCH(C1381,parametros!$B$2:$B$6,0)),"")="","",IF(B1381&gt;=IFERROR(INDEX(parametros!$H$2:$H$6,MATCH(C1381,parametros!$B$2:$B$6,0)),""),"Sim","Nao"))))))</f>
        <v/>
      </c>
      <c r="T1381" s="156"/>
      <c r="U1381" s="214" t="str">
        <f t="shared" si="111"/>
        <v/>
      </c>
      <c r="V1381" s="212" t="s">
        <v>50</v>
      </c>
      <c r="W1381" s="100" t="s">
        <v>168</v>
      </c>
      <c r="X1381" s="100" t="s">
        <v>169</v>
      </c>
      <c r="Y1381" s="101" t="s">
        <v>170</v>
      </c>
      <c r="Z1381" s="101" t="s">
        <v>171</v>
      </c>
      <c r="AA1381" s="101" t="s">
        <v>50</v>
      </c>
      <c r="AB1381" s="101" t="s">
        <v>172</v>
      </c>
      <c r="AC1381" s="102" t="s">
        <v>173</v>
      </c>
    </row>
    <row r="1382" spans="1:29" ht="25.5" customHeight="1" x14ac:dyDescent="0.35">
      <c r="A1382" s="392"/>
      <c r="B1382" s="393"/>
      <c r="C1382" s="99" t="str">
        <f>IF(B1382="","",IF(NOT(ISNUMBER(B1382)),"DATA_PC invalida",IF(NOT(ISNUMBER(parametros!$C$2)),"Fora dos ciclos",IF(OR(B1382&lt;parametros!$C$2,(YEAR(B1382)-YEAR(parametros!$C$2))*12+MONTH(B1382)-MONTH(parametros!$C$2)&gt;59),"Fora dos ciclos","C"&amp;INT(((YEAR(B1382)-YEAR(parametros!$C$2))*12+MONTH(B1382)-MONTH(parametros!$C$2))/12)))))</f>
        <v/>
      </c>
      <c r="D1382" s="394"/>
      <c r="E1382" s="78" t="str">
        <f>IF(C1382="","",IFERROR(VLOOKUP(C1382,parametros!$A$11:$E$15,5,0),""))</f>
        <v/>
      </c>
      <c r="F1382" s="79" t="str">
        <f t="shared" si="107"/>
        <v/>
      </c>
      <c r="G1382" s="395"/>
      <c r="H1382" s="91">
        <f t="shared" si="108"/>
        <v>0</v>
      </c>
      <c r="I1382" s="91" t="str">
        <f t="shared" si="109"/>
        <v/>
      </c>
      <c r="J1382" s="91" t="str">
        <f t="shared" si="110"/>
        <v/>
      </c>
      <c r="K1382" s="92" t="str">
        <f>IF(AND(A1382="",B1382="",D1382="",G1382=""),"",IF(AND(A1382&lt;&gt;"",COUNTIF($A$2:$A$5001,A1382)&gt;1),"NUMERO_PC duplicado",IF(B1382="","DATA_PC vazia",IF(NOT(ISNUMBER(B1382)),"DATA_PC invalida",IF(OR(C1382="",C1382="Fora dos ciclos"),"CICLO_PC nao identificado",IF(OR(D1382="",D1382=0),"VALOR_PC vazio ou zero",IF(AND(G1382&lt;&gt;"Sim",G1382&lt;&gt;"Nao",G1382&lt;&gt;""),"PC_PAGO_A_CONTRATADA invalido",IF(AND(C1382&lt;&gt;"C0",IFERROR(INDEX(parametros!$A$2:$A$6,MATCH(C1382,parametros!$B$2:$B$6,0)),"")="Sim",IFERROR(INDEX(parametros!$H$2:$H$6,MATCH(C1382,parametros!$B$2:$B$6,0)),"")=""),"INICIO_EFEITO ausente: PC "&amp;A1382&amp;" - "&amp;C1382,IF(L1382="","EFEITO_PC nao calculado: PC "&amp;A1382&amp;" - "&amp;C1382,"OK")))))))))</f>
        <v/>
      </c>
      <c r="L1382" s="92" t="str">
        <f>IF(AND(A1382="",B1382="",D1382="",G1382=""),"",IF(OR(B1382="",NOT(ISNUMBER(B1382)),C1382="",C1382="Fora dos ciclos"),"",IF(C1382="C0","Nao",IF(IFERROR(INDEX(parametros!$A$2:$A$6,MATCH(C1382,parametros!$B$2:$B$6,0)),"")&lt;&gt;"Sim","Nao",IF(IFERROR(INDEX(parametros!$H$2:$H$6,MATCH(C1382,parametros!$B$2:$B$6,0)),"")="","",IF(B1382&gt;=IFERROR(INDEX(parametros!$H$2:$H$6,MATCH(C1382,parametros!$B$2:$B$6,0)),""),"Sim","Nao"))))))</f>
        <v/>
      </c>
      <c r="T1382" s="156"/>
      <c r="U1382" s="214" t="str">
        <f t="shared" si="111"/>
        <v/>
      </c>
      <c r="V1382" s="212" t="s">
        <v>50</v>
      </c>
      <c r="W1382" s="100" t="s">
        <v>168</v>
      </c>
      <c r="X1382" s="100" t="s">
        <v>169</v>
      </c>
      <c r="Y1382" s="101" t="s">
        <v>170</v>
      </c>
      <c r="Z1382" s="101" t="s">
        <v>171</v>
      </c>
      <c r="AA1382" s="101" t="s">
        <v>50</v>
      </c>
      <c r="AB1382" s="101" t="s">
        <v>172</v>
      </c>
      <c r="AC1382" s="102" t="s">
        <v>173</v>
      </c>
    </row>
    <row r="1383" spans="1:29" ht="25.5" customHeight="1" x14ac:dyDescent="0.35">
      <c r="A1383" s="392"/>
      <c r="B1383" s="393"/>
      <c r="C1383" s="99" t="str">
        <f>IF(B1383="","",IF(NOT(ISNUMBER(B1383)),"DATA_PC invalida",IF(NOT(ISNUMBER(parametros!$C$2)),"Fora dos ciclos",IF(OR(B1383&lt;parametros!$C$2,(YEAR(B1383)-YEAR(parametros!$C$2))*12+MONTH(B1383)-MONTH(parametros!$C$2)&gt;59),"Fora dos ciclos","C"&amp;INT(((YEAR(B1383)-YEAR(parametros!$C$2))*12+MONTH(B1383)-MONTH(parametros!$C$2))/12)))))</f>
        <v/>
      </c>
      <c r="D1383" s="394"/>
      <c r="E1383" s="78" t="str">
        <f>IF(C1383="","",IFERROR(VLOOKUP(C1383,parametros!$A$11:$E$15,5,0),""))</f>
        <v/>
      </c>
      <c r="F1383" s="79" t="str">
        <f t="shared" si="107"/>
        <v/>
      </c>
      <c r="G1383" s="395"/>
      <c r="H1383" s="91">
        <f t="shared" si="108"/>
        <v>0</v>
      </c>
      <c r="I1383" s="91" t="str">
        <f t="shared" si="109"/>
        <v/>
      </c>
      <c r="J1383" s="91" t="str">
        <f t="shared" si="110"/>
        <v/>
      </c>
      <c r="K1383" s="92" t="str">
        <f>IF(AND(A1383="",B1383="",D1383="",G1383=""),"",IF(AND(A1383&lt;&gt;"",COUNTIF($A$2:$A$5001,A1383)&gt;1),"NUMERO_PC duplicado",IF(B1383="","DATA_PC vazia",IF(NOT(ISNUMBER(B1383)),"DATA_PC invalida",IF(OR(C1383="",C1383="Fora dos ciclos"),"CICLO_PC nao identificado",IF(OR(D1383="",D1383=0),"VALOR_PC vazio ou zero",IF(AND(G1383&lt;&gt;"Sim",G1383&lt;&gt;"Nao",G1383&lt;&gt;""),"PC_PAGO_A_CONTRATADA invalido",IF(AND(C1383&lt;&gt;"C0",IFERROR(INDEX(parametros!$A$2:$A$6,MATCH(C1383,parametros!$B$2:$B$6,0)),"")="Sim",IFERROR(INDEX(parametros!$H$2:$H$6,MATCH(C1383,parametros!$B$2:$B$6,0)),"")=""),"INICIO_EFEITO ausente: PC "&amp;A1383&amp;" - "&amp;C1383,IF(L1383="","EFEITO_PC nao calculado: PC "&amp;A1383&amp;" - "&amp;C1383,"OK")))))))))</f>
        <v/>
      </c>
      <c r="L1383" s="92" t="str">
        <f>IF(AND(A1383="",B1383="",D1383="",G1383=""),"",IF(OR(B1383="",NOT(ISNUMBER(B1383)),C1383="",C1383="Fora dos ciclos"),"",IF(C1383="C0","Nao",IF(IFERROR(INDEX(parametros!$A$2:$A$6,MATCH(C1383,parametros!$B$2:$B$6,0)),"")&lt;&gt;"Sim","Nao",IF(IFERROR(INDEX(parametros!$H$2:$H$6,MATCH(C1383,parametros!$B$2:$B$6,0)),"")="","",IF(B1383&gt;=IFERROR(INDEX(parametros!$H$2:$H$6,MATCH(C1383,parametros!$B$2:$B$6,0)),""),"Sim","Nao"))))))</f>
        <v/>
      </c>
      <c r="T1383" s="156"/>
      <c r="U1383" s="214" t="str">
        <f t="shared" si="111"/>
        <v/>
      </c>
      <c r="V1383" s="212" t="s">
        <v>50</v>
      </c>
      <c r="W1383" s="100" t="s">
        <v>168</v>
      </c>
      <c r="X1383" s="100" t="s">
        <v>169</v>
      </c>
      <c r="Y1383" s="101" t="s">
        <v>170</v>
      </c>
      <c r="Z1383" s="101" t="s">
        <v>171</v>
      </c>
      <c r="AA1383" s="101" t="s">
        <v>50</v>
      </c>
      <c r="AB1383" s="101" t="s">
        <v>172</v>
      </c>
      <c r="AC1383" s="102" t="s">
        <v>173</v>
      </c>
    </row>
    <row r="1384" spans="1:29" ht="25.5" customHeight="1" x14ac:dyDescent="0.35">
      <c r="A1384" s="392"/>
      <c r="B1384" s="393"/>
      <c r="C1384" s="99" t="str">
        <f>IF(B1384="","",IF(NOT(ISNUMBER(B1384)),"DATA_PC invalida",IF(NOT(ISNUMBER(parametros!$C$2)),"Fora dos ciclos",IF(OR(B1384&lt;parametros!$C$2,(YEAR(B1384)-YEAR(parametros!$C$2))*12+MONTH(B1384)-MONTH(parametros!$C$2)&gt;59),"Fora dos ciclos","C"&amp;INT(((YEAR(B1384)-YEAR(parametros!$C$2))*12+MONTH(B1384)-MONTH(parametros!$C$2))/12)))))</f>
        <v/>
      </c>
      <c r="D1384" s="394"/>
      <c r="E1384" s="78" t="str">
        <f>IF(C1384="","",IFERROR(VLOOKUP(C1384,parametros!$A$11:$E$15,5,0),""))</f>
        <v/>
      </c>
      <c r="F1384" s="79" t="str">
        <f t="shared" si="107"/>
        <v/>
      </c>
      <c r="G1384" s="395"/>
      <c r="H1384" s="91">
        <f t="shared" si="108"/>
        <v>0</v>
      </c>
      <c r="I1384" s="91" t="str">
        <f t="shared" si="109"/>
        <v/>
      </c>
      <c r="J1384" s="91" t="str">
        <f t="shared" si="110"/>
        <v/>
      </c>
      <c r="K1384" s="92" t="str">
        <f>IF(AND(A1384="",B1384="",D1384="",G1384=""),"",IF(AND(A1384&lt;&gt;"",COUNTIF($A$2:$A$5001,A1384)&gt;1),"NUMERO_PC duplicado",IF(B1384="","DATA_PC vazia",IF(NOT(ISNUMBER(B1384)),"DATA_PC invalida",IF(OR(C1384="",C1384="Fora dos ciclos"),"CICLO_PC nao identificado",IF(OR(D1384="",D1384=0),"VALOR_PC vazio ou zero",IF(AND(G1384&lt;&gt;"Sim",G1384&lt;&gt;"Nao",G1384&lt;&gt;""),"PC_PAGO_A_CONTRATADA invalido",IF(AND(C1384&lt;&gt;"C0",IFERROR(INDEX(parametros!$A$2:$A$6,MATCH(C1384,parametros!$B$2:$B$6,0)),"")="Sim",IFERROR(INDEX(parametros!$H$2:$H$6,MATCH(C1384,parametros!$B$2:$B$6,0)),"")=""),"INICIO_EFEITO ausente: PC "&amp;A1384&amp;" - "&amp;C1384,IF(L1384="","EFEITO_PC nao calculado: PC "&amp;A1384&amp;" - "&amp;C1384,"OK")))))))))</f>
        <v/>
      </c>
      <c r="L1384" s="92" t="str">
        <f>IF(AND(A1384="",B1384="",D1384="",G1384=""),"",IF(OR(B1384="",NOT(ISNUMBER(B1384)),C1384="",C1384="Fora dos ciclos"),"",IF(C1384="C0","Nao",IF(IFERROR(INDEX(parametros!$A$2:$A$6,MATCH(C1384,parametros!$B$2:$B$6,0)),"")&lt;&gt;"Sim","Nao",IF(IFERROR(INDEX(parametros!$H$2:$H$6,MATCH(C1384,parametros!$B$2:$B$6,0)),"")="","",IF(B1384&gt;=IFERROR(INDEX(parametros!$H$2:$H$6,MATCH(C1384,parametros!$B$2:$B$6,0)),""),"Sim","Nao"))))))</f>
        <v/>
      </c>
      <c r="T1384" s="156"/>
      <c r="U1384" s="214" t="str">
        <f t="shared" si="111"/>
        <v/>
      </c>
      <c r="V1384" s="212" t="s">
        <v>50</v>
      </c>
      <c r="W1384" s="100" t="s">
        <v>168</v>
      </c>
      <c r="X1384" s="100" t="s">
        <v>169</v>
      </c>
      <c r="Y1384" s="101" t="s">
        <v>170</v>
      </c>
      <c r="Z1384" s="101" t="s">
        <v>171</v>
      </c>
      <c r="AA1384" s="101" t="s">
        <v>50</v>
      </c>
      <c r="AB1384" s="101" t="s">
        <v>172</v>
      </c>
      <c r="AC1384" s="102" t="s">
        <v>173</v>
      </c>
    </row>
    <row r="1385" spans="1:29" ht="25.5" customHeight="1" x14ac:dyDescent="0.35">
      <c r="A1385" s="392"/>
      <c r="B1385" s="393"/>
      <c r="C1385" s="99" t="str">
        <f>IF(B1385="","",IF(NOT(ISNUMBER(B1385)),"DATA_PC invalida",IF(NOT(ISNUMBER(parametros!$C$2)),"Fora dos ciclos",IF(OR(B1385&lt;parametros!$C$2,(YEAR(B1385)-YEAR(parametros!$C$2))*12+MONTH(B1385)-MONTH(parametros!$C$2)&gt;59),"Fora dos ciclos","C"&amp;INT(((YEAR(B1385)-YEAR(parametros!$C$2))*12+MONTH(B1385)-MONTH(parametros!$C$2))/12)))))</f>
        <v/>
      </c>
      <c r="D1385" s="394"/>
      <c r="E1385" s="78" t="str">
        <f>IF(C1385="","",IFERROR(VLOOKUP(C1385,parametros!$A$11:$E$15,5,0),""))</f>
        <v/>
      </c>
      <c r="F1385" s="79" t="str">
        <f t="shared" si="107"/>
        <v/>
      </c>
      <c r="G1385" s="395"/>
      <c r="H1385" s="91">
        <f t="shared" si="108"/>
        <v>0</v>
      </c>
      <c r="I1385" s="91" t="str">
        <f t="shared" si="109"/>
        <v/>
      </c>
      <c r="J1385" s="91" t="str">
        <f t="shared" si="110"/>
        <v/>
      </c>
      <c r="K1385" s="92" t="str">
        <f>IF(AND(A1385="",B1385="",D1385="",G1385=""),"",IF(AND(A1385&lt;&gt;"",COUNTIF($A$2:$A$5001,A1385)&gt;1),"NUMERO_PC duplicado",IF(B1385="","DATA_PC vazia",IF(NOT(ISNUMBER(B1385)),"DATA_PC invalida",IF(OR(C1385="",C1385="Fora dos ciclos"),"CICLO_PC nao identificado",IF(OR(D1385="",D1385=0),"VALOR_PC vazio ou zero",IF(AND(G1385&lt;&gt;"Sim",G1385&lt;&gt;"Nao",G1385&lt;&gt;""),"PC_PAGO_A_CONTRATADA invalido",IF(AND(C1385&lt;&gt;"C0",IFERROR(INDEX(parametros!$A$2:$A$6,MATCH(C1385,parametros!$B$2:$B$6,0)),"")="Sim",IFERROR(INDEX(parametros!$H$2:$H$6,MATCH(C1385,parametros!$B$2:$B$6,0)),"")=""),"INICIO_EFEITO ausente: PC "&amp;A1385&amp;" - "&amp;C1385,IF(L1385="","EFEITO_PC nao calculado: PC "&amp;A1385&amp;" - "&amp;C1385,"OK")))))))))</f>
        <v/>
      </c>
      <c r="L1385" s="92" t="str">
        <f>IF(AND(A1385="",B1385="",D1385="",G1385=""),"",IF(OR(B1385="",NOT(ISNUMBER(B1385)),C1385="",C1385="Fora dos ciclos"),"",IF(C1385="C0","Nao",IF(IFERROR(INDEX(parametros!$A$2:$A$6,MATCH(C1385,parametros!$B$2:$B$6,0)),"")&lt;&gt;"Sim","Nao",IF(IFERROR(INDEX(parametros!$H$2:$H$6,MATCH(C1385,parametros!$B$2:$B$6,0)),"")="","",IF(B1385&gt;=IFERROR(INDEX(parametros!$H$2:$H$6,MATCH(C1385,parametros!$B$2:$B$6,0)),""),"Sim","Nao"))))))</f>
        <v/>
      </c>
      <c r="T1385" s="156"/>
      <c r="U1385" s="214" t="str">
        <f t="shared" si="111"/>
        <v/>
      </c>
      <c r="V1385" s="212" t="s">
        <v>50</v>
      </c>
      <c r="W1385" s="100" t="s">
        <v>168</v>
      </c>
      <c r="X1385" s="100" t="s">
        <v>169</v>
      </c>
      <c r="Y1385" s="101" t="s">
        <v>170</v>
      </c>
      <c r="Z1385" s="101" t="s">
        <v>171</v>
      </c>
      <c r="AA1385" s="101" t="s">
        <v>50</v>
      </c>
      <c r="AB1385" s="101" t="s">
        <v>172</v>
      </c>
      <c r="AC1385" s="102" t="s">
        <v>173</v>
      </c>
    </row>
    <row r="1386" spans="1:29" ht="25.5" customHeight="1" x14ac:dyDescent="0.35">
      <c r="A1386" s="392"/>
      <c r="B1386" s="393"/>
      <c r="C1386" s="99" t="str">
        <f>IF(B1386="","",IF(NOT(ISNUMBER(B1386)),"DATA_PC invalida",IF(NOT(ISNUMBER(parametros!$C$2)),"Fora dos ciclos",IF(OR(B1386&lt;parametros!$C$2,(YEAR(B1386)-YEAR(parametros!$C$2))*12+MONTH(B1386)-MONTH(parametros!$C$2)&gt;59),"Fora dos ciclos","C"&amp;INT(((YEAR(B1386)-YEAR(parametros!$C$2))*12+MONTH(B1386)-MONTH(parametros!$C$2))/12)))))</f>
        <v/>
      </c>
      <c r="D1386" s="394"/>
      <c r="E1386" s="78" t="str">
        <f>IF(C1386="","",IFERROR(VLOOKUP(C1386,parametros!$A$11:$E$15,5,0),""))</f>
        <v/>
      </c>
      <c r="F1386" s="79" t="str">
        <f t="shared" si="107"/>
        <v/>
      </c>
      <c r="G1386" s="395"/>
      <c r="H1386" s="91">
        <f t="shared" si="108"/>
        <v>0</v>
      </c>
      <c r="I1386" s="91" t="str">
        <f t="shared" si="109"/>
        <v/>
      </c>
      <c r="J1386" s="91" t="str">
        <f t="shared" si="110"/>
        <v/>
      </c>
      <c r="K1386" s="92" t="str">
        <f>IF(AND(A1386="",B1386="",D1386="",G1386=""),"",IF(AND(A1386&lt;&gt;"",COUNTIF($A$2:$A$5001,A1386)&gt;1),"NUMERO_PC duplicado",IF(B1386="","DATA_PC vazia",IF(NOT(ISNUMBER(B1386)),"DATA_PC invalida",IF(OR(C1386="",C1386="Fora dos ciclos"),"CICLO_PC nao identificado",IF(OR(D1386="",D1386=0),"VALOR_PC vazio ou zero",IF(AND(G1386&lt;&gt;"Sim",G1386&lt;&gt;"Nao",G1386&lt;&gt;""),"PC_PAGO_A_CONTRATADA invalido",IF(AND(C1386&lt;&gt;"C0",IFERROR(INDEX(parametros!$A$2:$A$6,MATCH(C1386,parametros!$B$2:$B$6,0)),"")="Sim",IFERROR(INDEX(parametros!$H$2:$H$6,MATCH(C1386,parametros!$B$2:$B$6,0)),"")=""),"INICIO_EFEITO ausente: PC "&amp;A1386&amp;" - "&amp;C1386,IF(L1386="","EFEITO_PC nao calculado: PC "&amp;A1386&amp;" - "&amp;C1386,"OK")))))))))</f>
        <v/>
      </c>
      <c r="L1386" s="92" t="str">
        <f>IF(AND(A1386="",B1386="",D1386="",G1386=""),"",IF(OR(B1386="",NOT(ISNUMBER(B1386)),C1386="",C1386="Fora dos ciclos"),"",IF(C1386="C0","Nao",IF(IFERROR(INDEX(parametros!$A$2:$A$6,MATCH(C1386,parametros!$B$2:$B$6,0)),"")&lt;&gt;"Sim","Nao",IF(IFERROR(INDEX(parametros!$H$2:$H$6,MATCH(C1386,parametros!$B$2:$B$6,0)),"")="","",IF(B1386&gt;=IFERROR(INDEX(parametros!$H$2:$H$6,MATCH(C1386,parametros!$B$2:$B$6,0)),""),"Sim","Nao"))))))</f>
        <v/>
      </c>
      <c r="T1386" s="156"/>
      <c r="U1386" s="214" t="str">
        <f t="shared" si="111"/>
        <v/>
      </c>
      <c r="V1386" s="212" t="s">
        <v>50</v>
      </c>
      <c r="W1386" s="100" t="s">
        <v>168</v>
      </c>
      <c r="X1386" s="100" t="s">
        <v>169</v>
      </c>
      <c r="Y1386" s="101" t="s">
        <v>170</v>
      </c>
      <c r="Z1386" s="101" t="s">
        <v>171</v>
      </c>
      <c r="AA1386" s="101" t="s">
        <v>50</v>
      </c>
      <c r="AB1386" s="101" t="s">
        <v>172</v>
      </c>
      <c r="AC1386" s="102" t="s">
        <v>173</v>
      </c>
    </row>
    <row r="1387" spans="1:29" ht="25.5" customHeight="1" x14ac:dyDescent="0.35">
      <c r="A1387" s="392"/>
      <c r="B1387" s="393"/>
      <c r="C1387" s="99" t="str">
        <f>IF(B1387="","",IF(NOT(ISNUMBER(B1387)),"DATA_PC invalida",IF(NOT(ISNUMBER(parametros!$C$2)),"Fora dos ciclos",IF(OR(B1387&lt;parametros!$C$2,(YEAR(B1387)-YEAR(parametros!$C$2))*12+MONTH(B1387)-MONTH(parametros!$C$2)&gt;59),"Fora dos ciclos","C"&amp;INT(((YEAR(B1387)-YEAR(parametros!$C$2))*12+MONTH(B1387)-MONTH(parametros!$C$2))/12)))))</f>
        <v/>
      </c>
      <c r="D1387" s="394"/>
      <c r="E1387" s="78" t="str">
        <f>IF(C1387="","",IFERROR(VLOOKUP(C1387,parametros!$A$11:$E$15,5,0),""))</f>
        <v/>
      </c>
      <c r="F1387" s="79" t="str">
        <f t="shared" si="107"/>
        <v/>
      </c>
      <c r="G1387" s="395"/>
      <c r="H1387" s="91">
        <f t="shared" si="108"/>
        <v>0</v>
      </c>
      <c r="I1387" s="91" t="str">
        <f t="shared" si="109"/>
        <v/>
      </c>
      <c r="J1387" s="91" t="str">
        <f t="shared" si="110"/>
        <v/>
      </c>
      <c r="K1387" s="92" t="str">
        <f>IF(AND(A1387="",B1387="",D1387="",G1387=""),"",IF(AND(A1387&lt;&gt;"",COUNTIF($A$2:$A$5001,A1387)&gt;1),"NUMERO_PC duplicado",IF(B1387="","DATA_PC vazia",IF(NOT(ISNUMBER(B1387)),"DATA_PC invalida",IF(OR(C1387="",C1387="Fora dos ciclos"),"CICLO_PC nao identificado",IF(OR(D1387="",D1387=0),"VALOR_PC vazio ou zero",IF(AND(G1387&lt;&gt;"Sim",G1387&lt;&gt;"Nao",G1387&lt;&gt;""),"PC_PAGO_A_CONTRATADA invalido",IF(AND(C1387&lt;&gt;"C0",IFERROR(INDEX(parametros!$A$2:$A$6,MATCH(C1387,parametros!$B$2:$B$6,0)),"")="Sim",IFERROR(INDEX(parametros!$H$2:$H$6,MATCH(C1387,parametros!$B$2:$B$6,0)),"")=""),"INICIO_EFEITO ausente: PC "&amp;A1387&amp;" - "&amp;C1387,IF(L1387="","EFEITO_PC nao calculado: PC "&amp;A1387&amp;" - "&amp;C1387,"OK")))))))))</f>
        <v/>
      </c>
      <c r="L1387" s="92" t="str">
        <f>IF(AND(A1387="",B1387="",D1387="",G1387=""),"",IF(OR(B1387="",NOT(ISNUMBER(B1387)),C1387="",C1387="Fora dos ciclos"),"",IF(C1387="C0","Nao",IF(IFERROR(INDEX(parametros!$A$2:$A$6,MATCH(C1387,parametros!$B$2:$B$6,0)),"")&lt;&gt;"Sim","Nao",IF(IFERROR(INDEX(parametros!$H$2:$H$6,MATCH(C1387,parametros!$B$2:$B$6,0)),"")="","",IF(B1387&gt;=IFERROR(INDEX(parametros!$H$2:$H$6,MATCH(C1387,parametros!$B$2:$B$6,0)),""),"Sim","Nao"))))))</f>
        <v/>
      </c>
      <c r="T1387" s="156"/>
      <c r="U1387" s="214" t="str">
        <f t="shared" si="111"/>
        <v/>
      </c>
      <c r="V1387" s="212" t="s">
        <v>50</v>
      </c>
      <c r="W1387" s="100" t="s">
        <v>168</v>
      </c>
      <c r="X1387" s="100" t="s">
        <v>169</v>
      </c>
      <c r="Y1387" s="101" t="s">
        <v>170</v>
      </c>
      <c r="Z1387" s="101" t="s">
        <v>171</v>
      </c>
      <c r="AA1387" s="101" t="s">
        <v>50</v>
      </c>
      <c r="AB1387" s="101" t="s">
        <v>172</v>
      </c>
      <c r="AC1387" s="102" t="s">
        <v>173</v>
      </c>
    </row>
    <row r="1388" spans="1:29" ht="25.5" customHeight="1" x14ac:dyDescent="0.35">
      <c r="A1388" s="392"/>
      <c r="B1388" s="393"/>
      <c r="C1388" s="99" t="str">
        <f>IF(B1388="","",IF(NOT(ISNUMBER(B1388)),"DATA_PC invalida",IF(NOT(ISNUMBER(parametros!$C$2)),"Fora dos ciclos",IF(OR(B1388&lt;parametros!$C$2,(YEAR(B1388)-YEAR(parametros!$C$2))*12+MONTH(B1388)-MONTH(parametros!$C$2)&gt;59),"Fora dos ciclos","C"&amp;INT(((YEAR(B1388)-YEAR(parametros!$C$2))*12+MONTH(B1388)-MONTH(parametros!$C$2))/12)))))</f>
        <v/>
      </c>
      <c r="D1388" s="394"/>
      <c r="E1388" s="78" t="str">
        <f>IF(C1388="","",IFERROR(VLOOKUP(C1388,parametros!$A$11:$E$15,5,0),""))</f>
        <v/>
      </c>
      <c r="F1388" s="79" t="str">
        <f t="shared" si="107"/>
        <v/>
      </c>
      <c r="G1388" s="395"/>
      <c r="H1388" s="91">
        <f t="shared" si="108"/>
        <v>0</v>
      </c>
      <c r="I1388" s="91" t="str">
        <f t="shared" si="109"/>
        <v/>
      </c>
      <c r="J1388" s="91" t="str">
        <f t="shared" si="110"/>
        <v/>
      </c>
      <c r="K1388" s="92" t="str">
        <f>IF(AND(A1388="",B1388="",D1388="",G1388=""),"",IF(AND(A1388&lt;&gt;"",COUNTIF($A$2:$A$5001,A1388)&gt;1),"NUMERO_PC duplicado",IF(B1388="","DATA_PC vazia",IF(NOT(ISNUMBER(B1388)),"DATA_PC invalida",IF(OR(C1388="",C1388="Fora dos ciclos"),"CICLO_PC nao identificado",IF(OR(D1388="",D1388=0),"VALOR_PC vazio ou zero",IF(AND(G1388&lt;&gt;"Sim",G1388&lt;&gt;"Nao",G1388&lt;&gt;""),"PC_PAGO_A_CONTRATADA invalido",IF(AND(C1388&lt;&gt;"C0",IFERROR(INDEX(parametros!$A$2:$A$6,MATCH(C1388,parametros!$B$2:$B$6,0)),"")="Sim",IFERROR(INDEX(parametros!$H$2:$H$6,MATCH(C1388,parametros!$B$2:$B$6,0)),"")=""),"INICIO_EFEITO ausente: PC "&amp;A1388&amp;" - "&amp;C1388,IF(L1388="","EFEITO_PC nao calculado: PC "&amp;A1388&amp;" - "&amp;C1388,"OK")))))))))</f>
        <v/>
      </c>
      <c r="L1388" s="92" t="str">
        <f>IF(AND(A1388="",B1388="",D1388="",G1388=""),"",IF(OR(B1388="",NOT(ISNUMBER(B1388)),C1388="",C1388="Fora dos ciclos"),"",IF(C1388="C0","Nao",IF(IFERROR(INDEX(parametros!$A$2:$A$6,MATCH(C1388,parametros!$B$2:$B$6,0)),"")&lt;&gt;"Sim","Nao",IF(IFERROR(INDEX(parametros!$H$2:$H$6,MATCH(C1388,parametros!$B$2:$B$6,0)),"")="","",IF(B1388&gt;=IFERROR(INDEX(parametros!$H$2:$H$6,MATCH(C1388,parametros!$B$2:$B$6,0)),""),"Sim","Nao"))))))</f>
        <v/>
      </c>
      <c r="T1388" s="156"/>
      <c r="U1388" s="214" t="str">
        <f t="shared" si="111"/>
        <v/>
      </c>
      <c r="V1388" s="212" t="s">
        <v>50</v>
      </c>
      <c r="W1388" s="100" t="s">
        <v>168</v>
      </c>
      <c r="X1388" s="100" t="s">
        <v>169</v>
      </c>
      <c r="Y1388" s="101" t="s">
        <v>170</v>
      </c>
      <c r="Z1388" s="101" t="s">
        <v>171</v>
      </c>
      <c r="AA1388" s="101" t="s">
        <v>50</v>
      </c>
      <c r="AB1388" s="101" t="s">
        <v>172</v>
      </c>
      <c r="AC1388" s="102" t="s">
        <v>173</v>
      </c>
    </row>
    <row r="1389" spans="1:29" ht="25.5" customHeight="1" x14ac:dyDescent="0.35">
      <c r="A1389" s="392"/>
      <c r="B1389" s="393"/>
      <c r="C1389" s="99" t="str">
        <f>IF(B1389="","",IF(NOT(ISNUMBER(B1389)),"DATA_PC invalida",IF(NOT(ISNUMBER(parametros!$C$2)),"Fora dos ciclos",IF(OR(B1389&lt;parametros!$C$2,(YEAR(B1389)-YEAR(parametros!$C$2))*12+MONTH(B1389)-MONTH(parametros!$C$2)&gt;59),"Fora dos ciclos","C"&amp;INT(((YEAR(B1389)-YEAR(parametros!$C$2))*12+MONTH(B1389)-MONTH(parametros!$C$2))/12)))))</f>
        <v/>
      </c>
      <c r="D1389" s="394"/>
      <c r="E1389" s="78" t="str">
        <f>IF(C1389="","",IFERROR(VLOOKUP(C1389,parametros!$A$11:$E$15,5,0),""))</f>
        <v/>
      </c>
      <c r="F1389" s="79" t="str">
        <f t="shared" si="107"/>
        <v/>
      </c>
      <c r="G1389" s="395"/>
      <c r="H1389" s="91">
        <f t="shared" si="108"/>
        <v>0</v>
      </c>
      <c r="I1389" s="91" t="str">
        <f t="shared" si="109"/>
        <v/>
      </c>
      <c r="J1389" s="91" t="str">
        <f t="shared" si="110"/>
        <v/>
      </c>
      <c r="K1389" s="92" t="str">
        <f>IF(AND(A1389="",B1389="",D1389="",G1389=""),"",IF(AND(A1389&lt;&gt;"",COUNTIF($A$2:$A$5001,A1389)&gt;1),"NUMERO_PC duplicado",IF(B1389="","DATA_PC vazia",IF(NOT(ISNUMBER(B1389)),"DATA_PC invalida",IF(OR(C1389="",C1389="Fora dos ciclos"),"CICLO_PC nao identificado",IF(OR(D1389="",D1389=0),"VALOR_PC vazio ou zero",IF(AND(G1389&lt;&gt;"Sim",G1389&lt;&gt;"Nao",G1389&lt;&gt;""),"PC_PAGO_A_CONTRATADA invalido",IF(AND(C1389&lt;&gt;"C0",IFERROR(INDEX(parametros!$A$2:$A$6,MATCH(C1389,parametros!$B$2:$B$6,0)),"")="Sim",IFERROR(INDEX(parametros!$H$2:$H$6,MATCH(C1389,parametros!$B$2:$B$6,0)),"")=""),"INICIO_EFEITO ausente: PC "&amp;A1389&amp;" - "&amp;C1389,IF(L1389="","EFEITO_PC nao calculado: PC "&amp;A1389&amp;" - "&amp;C1389,"OK")))))))))</f>
        <v/>
      </c>
      <c r="L1389" s="92" t="str">
        <f>IF(AND(A1389="",B1389="",D1389="",G1389=""),"",IF(OR(B1389="",NOT(ISNUMBER(B1389)),C1389="",C1389="Fora dos ciclos"),"",IF(C1389="C0","Nao",IF(IFERROR(INDEX(parametros!$A$2:$A$6,MATCH(C1389,parametros!$B$2:$B$6,0)),"")&lt;&gt;"Sim","Nao",IF(IFERROR(INDEX(parametros!$H$2:$H$6,MATCH(C1389,parametros!$B$2:$B$6,0)),"")="","",IF(B1389&gt;=IFERROR(INDEX(parametros!$H$2:$H$6,MATCH(C1389,parametros!$B$2:$B$6,0)),""),"Sim","Nao"))))))</f>
        <v/>
      </c>
      <c r="T1389" s="156"/>
      <c r="U1389" s="214" t="str">
        <f t="shared" si="111"/>
        <v/>
      </c>
      <c r="V1389" s="212" t="s">
        <v>50</v>
      </c>
      <c r="W1389" s="100" t="s">
        <v>168</v>
      </c>
      <c r="X1389" s="100" t="s">
        <v>169</v>
      </c>
      <c r="Y1389" s="101" t="s">
        <v>170</v>
      </c>
      <c r="Z1389" s="101" t="s">
        <v>171</v>
      </c>
      <c r="AA1389" s="101" t="s">
        <v>50</v>
      </c>
      <c r="AB1389" s="101" t="s">
        <v>172</v>
      </c>
      <c r="AC1389" s="102" t="s">
        <v>173</v>
      </c>
    </row>
    <row r="1390" spans="1:29" ht="25.5" customHeight="1" x14ac:dyDescent="0.35">
      <c r="A1390" s="392"/>
      <c r="B1390" s="393"/>
      <c r="C1390" s="99" t="str">
        <f>IF(B1390="","",IF(NOT(ISNUMBER(B1390)),"DATA_PC invalida",IF(NOT(ISNUMBER(parametros!$C$2)),"Fora dos ciclos",IF(OR(B1390&lt;parametros!$C$2,(YEAR(B1390)-YEAR(parametros!$C$2))*12+MONTH(B1390)-MONTH(parametros!$C$2)&gt;59),"Fora dos ciclos","C"&amp;INT(((YEAR(B1390)-YEAR(parametros!$C$2))*12+MONTH(B1390)-MONTH(parametros!$C$2))/12)))))</f>
        <v/>
      </c>
      <c r="D1390" s="394"/>
      <c r="E1390" s="78" t="str">
        <f>IF(C1390="","",IFERROR(VLOOKUP(C1390,parametros!$A$11:$E$15,5,0),""))</f>
        <v/>
      </c>
      <c r="F1390" s="79" t="str">
        <f t="shared" si="107"/>
        <v/>
      </c>
      <c r="G1390" s="395"/>
      <c r="H1390" s="91">
        <f t="shared" si="108"/>
        <v>0</v>
      </c>
      <c r="I1390" s="91" t="str">
        <f t="shared" si="109"/>
        <v/>
      </c>
      <c r="J1390" s="91" t="str">
        <f t="shared" si="110"/>
        <v/>
      </c>
      <c r="K1390" s="92" t="str">
        <f>IF(AND(A1390="",B1390="",D1390="",G1390=""),"",IF(AND(A1390&lt;&gt;"",COUNTIF($A$2:$A$5001,A1390)&gt;1),"NUMERO_PC duplicado",IF(B1390="","DATA_PC vazia",IF(NOT(ISNUMBER(B1390)),"DATA_PC invalida",IF(OR(C1390="",C1390="Fora dos ciclos"),"CICLO_PC nao identificado",IF(OR(D1390="",D1390=0),"VALOR_PC vazio ou zero",IF(AND(G1390&lt;&gt;"Sim",G1390&lt;&gt;"Nao",G1390&lt;&gt;""),"PC_PAGO_A_CONTRATADA invalido",IF(AND(C1390&lt;&gt;"C0",IFERROR(INDEX(parametros!$A$2:$A$6,MATCH(C1390,parametros!$B$2:$B$6,0)),"")="Sim",IFERROR(INDEX(parametros!$H$2:$H$6,MATCH(C1390,parametros!$B$2:$B$6,0)),"")=""),"INICIO_EFEITO ausente: PC "&amp;A1390&amp;" - "&amp;C1390,IF(L1390="","EFEITO_PC nao calculado: PC "&amp;A1390&amp;" - "&amp;C1390,"OK")))))))))</f>
        <v/>
      </c>
      <c r="L1390" s="92" t="str">
        <f>IF(AND(A1390="",B1390="",D1390="",G1390=""),"",IF(OR(B1390="",NOT(ISNUMBER(B1390)),C1390="",C1390="Fora dos ciclos"),"",IF(C1390="C0","Nao",IF(IFERROR(INDEX(parametros!$A$2:$A$6,MATCH(C1390,parametros!$B$2:$B$6,0)),"")&lt;&gt;"Sim","Nao",IF(IFERROR(INDEX(parametros!$H$2:$H$6,MATCH(C1390,parametros!$B$2:$B$6,0)),"")="","",IF(B1390&gt;=IFERROR(INDEX(parametros!$H$2:$H$6,MATCH(C1390,parametros!$B$2:$B$6,0)),""),"Sim","Nao"))))))</f>
        <v/>
      </c>
      <c r="T1390" s="156"/>
      <c r="U1390" s="214" t="str">
        <f t="shared" si="111"/>
        <v/>
      </c>
      <c r="V1390" s="212" t="s">
        <v>50</v>
      </c>
      <c r="W1390" s="100" t="s">
        <v>168</v>
      </c>
      <c r="X1390" s="100" t="s">
        <v>169</v>
      </c>
      <c r="Y1390" s="101" t="s">
        <v>170</v>
      </c>
      <c r="Z1390" s="101" t="s">
        <v>171</v>
      </c>
      <c r="AA1390" s="101" t="s">
        <v>50</v>
      </c>
      <c r="AB1390" s="101" t="s">
        <v>172</v>
      </c>
      <c r="AC1390" s="102" t="s">
        <v>173</v>
      </c>
    </row>
    <row r="1391" spans="1:29" ht="25.5" customHeight="1" x14ac:dyDescent="0.35">
      <c r="A1391" s="392"/>
      <c r="B1391" s="393"/>
      <c r="C1391" s="99" t="str">
        <f>IF(B1391="","",IF(NOT(ISNUMBER(B1391)),"DATA_PC invalida",IF(NOT(ISNUMBER(parametros!$C$2)),"Fora dos ciclos",IF(OR(B1391&lt;parametros!$C$2,(YEAR(B1391)-YEAR(parametros!$C$2))*12+MONTH(B1391)-MONTH(parametros!$C$2)&gt;59),"Fora dos ciclos","C"&amp;INT(((YEAR(B1391)-YEAR(parametros!$C$2))*12+MONTH(B1391)-MONTH(parametros!$C$2))/12)))))</f>
        <v/>
      </c>
      <c r="D1391" s="394"/>
      <c r="E1391" s="78" t="str">
        <f>IF(C1391="","",IFERROR(VLOOKUP(C1391,parametros!$A$11:$E$15,5,0),""))</f>
        <v/>
      </c>
      <c r="F1391" s="79" t="str">
        <f t="shared" si="107"/>
        <v/>
      </c>
      <c r="G1391" s="395"/>
      <c r="H1391" s="91">
        <f t="shared" si="108"/>
        <v>0</v>
      </c>
      <c r="I1391" s="91" t="str">
        <f t="shared" si="109"/>
        <v/>
      </c>
      <c r="J1391" s="91" t="str">
        <f t="shared" si="110"/>
        <v/>
      </c>
      <c r="K1391" s="92" t="str">
        <f>IF(AND(A1391="",B1391="",D1391="",G1391=""),"",IF(AND(A1391&lt;&gt;"",COUNTIF($A$2:$A$5001,A1391)&gt;1),"NUMERO_PC duplicado",IF(B1391="","DATA_PC vazia",IF(NOT(ISNUMBER(B1391)),"DATA_PC invalida",IF(OR(C1391="",C1391="Fora dos ciclos"),"CICLO_PC nao identificado",IF(OR(D1391="",D1391=0),"VALOR_PC vazio ou zero",IF(AND(G1391&lt;&gt;"Sim",G1391&lt;&gt;"Nao",G1391&lt;&gt;""),"PC_PAGO_A_CONTRATADA invalido",IF(AND(C1391&lt;&gt;"C0",IFERROR(INDEX(parametros!$A$2:$A$6,MATCH(C1391,parametros!$B$2:$B$6,0)),"")="Sim",IFERROR(INDEX(parametros!$H$2:$H$6,MATCH(C1391,parametros!$B$2:$B$6,0)),"")=""),"INICIO_EFEITO ausente: PC "&amp;A1391&amp;" - "&amp;C1391,IF(L1391="","EFEITO_PC nao calculado: PC "&amp;A1391&amp;" - "&amp;C1391,"OK")))))))))</f>
        <v/>
      </c>
      <c r="L1391" s="92" t="str">
        <f>IF(AND(A1391="",B1391="",D1391="",G1391=""),"",IF(OR(B1391="",NOT(ISNUMBER(B1391)),C1391="",C1391="Fora dos ciclos"),"",IF(C1391="C0","Nao",IF(IFERROR(INDEX(parametros!$A$2:$A$6,MATCH(C1391,parametros!$B$2:$B$6,0)),"")&lt;&gt;"Sim","Nao",IF(IFERROR(INDEX(parametros!$H$2:$H$6,MATCH(C1391,parametros!$B$2:$B$6,0)),"")="","",IF(B1391&gt;=IFERROR(INDEX(parametros!$H$2:$H$6,MATCH(C1391,parametros!$B$2:$B$6,0)),""),"Sim","Nao"))))))</f>
        <v/>
      </c>
      <c r="T1391" s="156"/>
      <c r="U1391" s="214" t="str">
        <f t="shared" si="111"/>
        <v/>
      </c>
      <c r="V1391" s="212" t="s">
        <v>50</v>
      </c>
      <c r="W1391" s="100" t="s">
        <v>168</v>
      </c>
      <c r="X1391" s="100" t="s">
        <v>169</v>
      </c>
      <c r="Y1391" s="101" t="s">
        <v>170</v>
      </c>
      <c r="Z1391" s="101" t="s">
        <v>171</v>
      </c>
      <c r="AA1391" s="101" t="s">
        <v>50</v>
      </c>
      <c r="AB1391" s="101" t="s">
        <v>172</v>
      </c>
      <c r="AC1391" s="102" t="s">
        <v>173</v>
      </c>
    </row>
    <row r="1392" spans="1:29" ht="25.5" customHeight="1" x14ac:dyDescent="0.35">
      <c r="A1392" s="392"/>
      <c r="B1392" s="393"/>
      <c r="C1392" s="99" t="str">
        <f>IF(B1392="","",IF(NOT(ISNUMBER(B1392)),"DATA_PC invalida",IF(NOT(ISNUMBER(parametros!$C$2)),"Fora dos ciclos",IF(OR(B1392&lt;parametros!$C$2,(YEAR(B1392)-YEAR(parametros!$C$2))*12+MONTH(B1392)-MONTH(parametros!$C$2)&gt;59),"Fora dos ciclos","C"&amp;INT(((YEAR(B1392)-YEAR(parametros!$C$2))*12+MONTH(B1392)-MONTH(parametros!$C$2))/12)))))</f>
        <v/>
      </c>
      <c r="D1392" s="394"/>
      <c r="E1392" s="78" t="str">
        <f>IF(C1392="","",IFERROR(VLOOKUP(C1392,parametros!$A$11:$E$15,5,0),""))</f>
        <v/>
      </c>
      <c r="F1392" s="79" t="str">
        <f t="shared" si="107"/>
        <v/>
      </c>
      <c r="G1392" s="395"/>
      <c r="H1392" s="91">
        <f t="shared" si="108"/>
        <v>0</v>
      </c>
      <c r="I1392" s="91" t="str">
        <f t="shared" si="109"/>
        <v/>
      </c>
      <c r="J1392" s="91" t="str">
        <f t="shared" si="110"/>
        <v/>
      </c>
      <c r="K1392" s="92" t="str">
        <f>IF(AND(A1392="",B1392="",D1392="",G1392=""),"",IF(AND(A1392&lt;&gt;"",COUNTIF($A$2:$A$5001,A1392)&gt;1),"NUMERO_PC duplicado",IF(B1392="","DATA_PC vazia",IF(NOT(ISNUMBER(B1392)),"DATA_PC invalida",IF(OR(C1392="",C1392="Fora dos ciclos"),"CICLO_PC nao identificado",IF(OR(D1392="",D1392=0),"VALOR_PC vazio ou zero",IF(AND(G1392&lt;&gt;"Sim",G1392&lt;&gt;"Nao",G1392&lt;&gt;""),"PC_PAGO_A_CONTRATADA invalido",IF(AND(C1392&lt;&gt;"C0",IFERROR(INDEX(parametros!$A$2:$A$6,MATCH(C1392,parametros!$B$2:$B$6,0)),"")="Sim",IFERROR(INDEX(parametros!$H$2:$H$6,MATCH(C1392,parametros!$B$2:$B$6,0)),"")=""),"INICIO_EFEITO ausente: PC "&amp;A1392&amp;" - "&amp;C1392,IF(L1392="","EFEITO_PC nao calculado: PC "&amp;A1392&amp;" - "&amp;C1392,"OK")))))))))</f>
        <v/>
      </c>
      <c r="L1392" s="92" t="str">
        <f>IF(AND(A1392="",B1392="",D1392="",G1392=""),"",IF(OR(B1392="",NOT(ISNUMBER(B1392)),C1392="",C1392="Fora dos ciclos"),"",IF(C1392="C0","Nao",IF(IFERROR(INDEX(parametros!$A$2:$A$6,MATCH(C1392,parametros!$B$2:$B$6,0)),"")&lt;&gt;"Sim","Nao",IF(IFERROR(INDEX(parametros!$H$2:$H$6,MATCH(C1392,parametros!$B$2:$B$6,0)),"")="","",IF(B1392&gt;=IFERROR(INDEX(parametros!$H$2:$H$6,MATCH(C1392,parametros!$B$2:$B$6,0)),""),"Sim","Nao"))))))</f>
        <v/>
      </c>
      <c r="T1392" s="156"/>
      <c r="U1392" s="214" t="str">
        <f t="shared" si="111"/>
        <v/>
      </c>
      <c r="V1392" s="212" t="s">
        <v>50</v>
      </c>
      <c r="W1392" s="100" t="s">
        <v>168</v>
      </c>
      <c r="X1392" s="100" t="s">
        <v>169</v>
      </c>
      <c r="Y1392" s="101" t="s">
        <v>170</v>
      </c>
      <c r="Z1392" s="101" t="s">
        <v>171</v>
      </c>
      <c r="AA1392" s="101" t="s">
        <v>50</v>
      </c>
      <c r="AB1392" s="101" t="s">
        <v>172</v>
      </c>
      <c r="AC1392" s="102" t="s">
        <v>173</v>
      </c>
    </row>
    <row r="1393" spans="1:29" ht="25.5" customHeight="1" x14ac:dyDescent="0.35">
      <c r="A1393" s="392"/>
      <c r="B1393" s="393"/>
      <c r="C1393" s="99" t="str">
        <f>IF(B1393="","",IF(NOT(ISNUMBER(B1393)),"DATA_PC invalida",IF(NOT(ISNUMBER(parametros!$C$2)),"Fora dos ciclos",IF(OR(B1393&lt;parametros!$C$2,(YEAR(B1393)-YEAR(parametros!$C$2))*12+MONTH(B1393)-MONTH(parametros!$C$2)&gt;59),"Fora dos ciclos","C"&amp;INT(((YEAR(B1393)-YEAR(parametros!$C$2))*12+MONTH(B1393)-MONTH(parametros!$C$2))/12)))))</f>
        <v/>
      </c>
      <c r="D1393" s="394"/>
      <c r="E1393" s="78" t="str">
        <f>IF(C1393="","",IFERROR(VLOOKUP(C1393,parametros!$A$11:$E$15,5,0),""))</f>
        <v/>
      </c>
      <c r="F1393" s="79" t="str">
        <f t="shared" si="107"/>
        <v/>
      </c>
      <c r="G1393" s="395"/>
      <c r="H1393" s="91">
        <f t="shared" si="108"/>
        <v>0</v>
      </c>
      <c r="I1393" s="91" t="str">
        <f t="shared" si="109"/>
        <v/>
      </c>
      <c r="J1393" s="91" t="str">
        <f t="shared" si="110"/>
        <v/>
      </c>
      <c r="K1393" s="92" t="str">
        <f>IF(AND(A1393="",B1393="",D1393="",G1393=""),"",IF(AND(A1393&lt;&gt;"",COUNTIF($A$2:$A$5001,A1393)&gt;1),"NUMERO_PC duplicado",IF(B1393="","DATA_PC vazia",IF(NOT(ISNUMBER(B1393)),"DATA_PC invalida",IF(OR(C1393="",C1393="Fora dos ciclos"),"CICLO_PC nao identificado",IF(OR(D1393="",D1393=0),"VALOR_PC vazio ou zero",IF(AND(G1393&lt;&gt;"Sim",G1393&lt;&gt;"Nao",G1393&lt;&gt;""),"PC_PAGO_A_CONTRATADA invalido",IF(AND(C1393&lt;&gt;"C0",IFERROR(INDEX(parametros!$A$2:$A$6,MATCH(C1393,parametros!$B$2:$B$6,0)),"")="Sim",IFERROR(INDEX(parametros!$H$2:$H$6,MATCH(C1393,parametros!$B$2:$B$6,0)),"")=""),"INICIO_EFEITO ausente: PC "&amp;A1393&amp;" - "&amp;C1393,IF(L1393="","EFEITO_PC nao calculado: PC "&amp;A1393&amp;" - "&amp;C1393,"OK")))))))))</f>
        <v/>
      </c>
      <c r="L1393" s="92" t="str">
        <f>IF(AND(A1393="",B1393="",D1393="",G1393=""),"",IF(OR(B1393="",NOT(ISNUMBER(B1393)),C1393="",C1393="Fora dos ciclos"),"",IF(C1393="C0","Nao",IF(IFERROR(INDEX(parametros!$A$2:$A$6,MATCH(C1393,parametros!$B$2:$B$6,0)),"")&lt;&gt;"Sim","Nao",IF(IFERROR(INDEX(parametros!$H$2:$H$6,MATCH(C1393,parametros!$B$2:$B$6,0)),"")="","",IF(B1393&gt;=IFERROR(INDEX(parametros!$H$2:$H$6,MATCH(C1393,parametros!$B$2:$B$6,0)),""),"Sim","Nao"))))))</f>
        <v/>
      </c>
      <c r="T1393" s="156"/>
      <c r="U1393" s="214" t="str">
        <f t="shared" si="111"/>
        <v/>
      </c>
      <c r="V1393" s="212" t="s">
        <v>50</v>
      </c>
      <c r="W1393" s="100" t="s">
        <v>168</v>
      </c>
      <c r="X1393" s="100" t="s">
        <v>169</v>
      </c>
      <c r="Y1393" s="101" t="s">
        <v>170</v>
      </c>
      <c r="Z1393" s="101" t="s">
        <v>171</v>
      </c>
      <c r="AA1393" s="101" t="s">
        <v>50</v>
      </c>
      <c r="AB1393" s="101" t="s">
        <v>172</v>
      </c>
      <c r="AC1393" s="102" t="s">
        <v>173</v>
      </c>
    </row>
    <row r="1394" spans="1:29" ht="25.5" customHeight="1" x14ac:dyDescent="0.35">
      <c r="A1394" s="392"/>
      <c r="B1394" s="393"/>
      <c r="C1394" s="99" t="str">
        <f>IF(B1394="","",IF(NOT(ISNUMBER(B1394)),"DATA_PC invalida",IF(NOT(ISNUMBER(parametros!$C$2)),"Fora dos ciclos",IF(OR(B1394&lt;parametros!$C$2,(YEAR(B1394)-YEAR(parametros!$C$2))*12+MONTH(B1394)-MONTH(parametros!$C$2)&gt;59),"Fora dos ciclos","C"&amp;INT(((YEAR(B1394)-YEAR(parametros!$C$2))*12+MONTH(B1394)-MONTH(parametros!$C$2))/12)))))</f>
        <v/>
      </c>
      <c r="D1394" s="394"/>
      <c r="E1394" s="78" t="str">
        <f>IF(C1394="","",IFERROR(VLOOKUP(C1394,parametros!$A$11:$E$15,5,0),""))</f>
        <v/>
      </c>
      <c r="F1394" s="79" t="str">
        <f t="shared" si="107"/>
        <v/>
      </c>
      <c r="G1394" s="395"/>
      <c r="H1394" s="91">
        <f t="shared" si="108"/>
        <v>0</v>
      </c>
      <c r="I1394" s="91" t="str">
        <f t="shared" si="109"/>
        <v/>
      </c>
      <c r="J1394" s="91" t="str">
        <f t="shared" si="110"/>
        <v/>
      </c>
      <c r="K1394" s="92" t="str">
        <f>IF(AND(A1394="",B1394="",D1394="",G1394=""),"",IF(AND(A1394&lt;&gt;"",COUNTIF($A$2:$A$5001,A1394)&gt;1),"NUMERO_PC duplicado",IF(B1394="","DATA_PC vazia",IF(NOT(ISNUMBER(B1394)),"DATA_PC invalida",IF(OR(C1394="",C1394="Fora dos ciclos"),"CICLO_PC nao identificado",IF(OR(D1394="",D1394=0),"VALOR_PC vazio ou zero",IF(AND(G1394&lt;&gt;"Sim",G1394&lt;&gt;"Nao",G1394&lt;&gt;""),"PC_PAGO_A_CONTRATADA invalido",IF(AND(C1394&lt;&gt;"C0",IFERROR(INDEX(parametros!$A$2:$A$6,MATCH(C1394,parametros!$B$2:$B$6,0)),"")="Sim",IFERROR(INDEX(parametros!$H$2:$H$6,MATCH(C1394,parametros!$B$2:$B$6,0)),"")=""),"INICIO_EFEITO ausente: PC "&amp;A1394&amp;" - "&amp;C1394,IF(L1394="","EFEITO_PC nao calculado: PC "&amp;A1394&amp;" - "&amp;C1394,"OK")))))))))</f>
        <v/>
      </c>
      <c r="L1394" s="92" t="str">
        <f>IF(AND(A1394="",B1394="",D1394="",G1394=""),"",IF(OR(B1394="",NOT(ISNUMBER(B1394)),C1394="",C1394="Fora dos ciclos"),"",IF(C1394="C0","Nao",IF(IFERROR(INDEX(parametros!$A$2:$A$6,MATCH(C1394,parametros!$B$2:$B$6,0)),"")&lt;&gt;"Sim","Nao",IF(IFERROR(INDEX(parametros!$H$2:$H$6,MATCH(C1394,parametros!$B$2:$B$6,0)),"")="","",IF(B1394&gt;=IFERROR(INDEX(parametros!$H$2:$H$6,MATCH(C1394,parametros!$B$2:$B$6,0)),""),"Sim","Nao"))))))</f>
        <v/>
      </c>
      <c r="T1394" s="156"/>
      <c r="U1394" s="214" t="str">
        <f t="shared" si="111"/>
        <v/>
      </c>
      <c r="V1394" s="212" t="s">
        <v>50</v>
      </c>
      <c r="W1394" s="100" t="s">
        <v>168</v>
      </c>
      <c r="X1394" s="100" t="s">
        <v>169</v>
      </c>
      <c r="Y1394" s="101" t="s">
        <v>170</v>
      </c>
      <c r="Z1394" s="101" t="s">
        <v>171</v>
      </c>
      <c r="AA1394" s="101" t="s">
        <v>50</v>
      </c>
      <c r="AB1394" s="101" t="s">
        <v>172</v>
      </c>
      <c r="AC1394" s="102" t="s">
        <v>173</v>
      </c>
    </row>
    <row r="1395" spans="1:29" ht="25.5" customHeight="1" x14ac:dyDescent="0.35">
      <c r="A1395" s="392"/>
      <c r="B1395" s="393"/>
      <c r="C1395" s="99" t="str">
        <f>IF(B1395="","",IF(NOT(ISNUMBER(B1395)),"DATA_PC invalida",IF(NOT(ISNUMBER(parametros!$C$2)),"Fora dos ciclos",IF(OR(B1395&lt;parametros!$C$2,(YEAR(B1395)-YEAR(parametros!$C$2))*12+MONTH(B1395)-MONTH(parametros!$C$2)&gt;59),"Fora dos ciclos","C"&amp;INT(((YEAR(B1395)-YEAR(parametros!$C$2))*12+MONTH(B1395)-MONTH(parametros!$C$2))/12)))))</f>
        <v/>
      </c>
      <c r="D1395" s="394"/>
      <c r="E1395" s="78" t="str">
        <f>IF(C1395="","",IFERROR(VLOOKUP(C1395,parametros!$A$11:$E$15,5,0),""))</f>
        <v/>
      </c>
      <c r="F1395" s="79" t="str">
        <f t="shared" si="107"/>
        <v/>
      </c>
      <c r="G1395" s="395"/>
      <c r="H1395" s="91">
        <f t="shared" si="108"/>
        <v>0</v>
      </c>
      <c r="I1395" s="91" t="str">
        <f t="shared" si="109"/>
        <v/>
      </c>
      <c r="J1395" s="91" t="str">
        <f t="shared" si="110"/>
        <v/>
      </c>
      <c r="K1395" s="92" t="str">
        <f>IF(AND(A1395="",B1395="",D1395="",G1395=""),"",IF(AND(A1395&lt;&gt;"",COUNTIF($A$2:$A$5001,A1395)&gt;1),"NUMERO_PC duplicado",IF(B1395="","DATA_PC vazia",IF(NOT(ISNUMBER(B1395)),"DATA_PC invalida",IF(OR(C1395="",C1395="Fora dos ciclos"),"CICLO_PC nao identificado",IF(OR(D1395="",D1395=0),"VALOR_PC vazio ou zero",IF(AND(G1395&lt;&gt;"Sim",G1395&lt;&gt;"Nao",G1395&lt;&gt;""),"PC_PAGO_A_CONTRATADA invalido",IF(AND(C1395&lt;&gt;"C0",IFERROR(INDEX(parametros!$A$2:$A$6,MATCH(C1395,parametros!$B$2:$B$6,0)),"")="Sim",IFERROR(INDEX(parametros!$H$2:$H$6,MATCH(C1395,parametros!$B$2:$B$6,0)),"")=""),"INICIO_EFEITO ausente: PC "&amp;A1395&amp;" - "&amp;C1395,IF(L1395="","EFEITO_PC nao calculado: PC "&amp;A1395&amp;" - "&amp;C1395,"OK")))))))))</f>
        <v/>
      </c>
      <c r="L1395" s="92" t="str">
        <f>IF(AND(A1395="",B1395="",D1395="",G1395=""),"",IF(OR(B1395="",NOT(ISNUMBER(B1395)),C1395="",C1395="Fora dos ciclos"),"",IF(C1395="C0","Nao",IF(IFERROR(INDEX(parametros!$A$2:$A$6,MATCH(C1395,parametros!$B$2:$B$6,0)),"")&lt;&gt;"Sim","Nao",IF(IFERROR(INDEX(parametros!$H$2:$H$6,MATCH(C1395,parametros!$B$2:$B$6,0)),"")="","",IF(B1395&gt;=IFERROR(INDEX(parametros!$H$2:$H$6,MATCH(C1395,parametros!$B$2:$B$6,0)),""),"Sim","Nao"))))))</f>
        <v/>
      </c>
      <c r="T1395" s="156"/>
      <c r="U1395" s="214" t="str">
        <f t="shared" si="111"/>
        <v/>
      </c>
      <c r="V1395" s="212" t="s">
        <v>50</v>
      </c>
      <c r="W1395" s="100" t="s">
        <v>168</v>
      </c>
      <c r="X1395" s="100" t="s">
        <v>169</v>
      </c>
      <c r="Y1395" s="101" t="s">
        <v>170</v>
      </c>
      <c r="Z1395" s="101" t="s">
        <v>171</v>
      </c>
      <c r="AA1395" s="101" t="s">
        <v>50</v>
      </c>
      <c r="AB1395" s="101" t="s">
        <v>172</v>
      </c>
      <c r="AC1395" s="102" t="s">
        <v>173</v>
      </c>
    </row>
    <row r="1396" spans="1:29" ht="25.5" customHeight="1" x14ac:dyDescent="0.35">
      <c r="A1396" s="392"/>
      <c r="B1396" s="393"/>
      <c r="C1396" s="99" t="str">
        <f>IF(B1396="","",IF(NOT(ISNUMBER(B1396)),"DATA_PC invalida",IF(NOT(ISNUMBER(parametros!$C$2)),"Fora dos ciclos",IF(OR(B1396&lt;parametros!$C$2,(YEAR(B1396)-YEAR(parametros!$C$2))*12+MONTH(B1396)-MONTH(parametros!$C$2)&gt;59),"Fora dos ciclos","C"&amp;INT(((YEAR(B1396)-YEAR(parametros!$C$2))*12+MONTH(B1396)-MONTH(parametros!$C$2))/12)))))</f>
        <v/>
      </c>
      <c r="D1396" s="394"/>
      <c r="E1396" s="78" t="str">
        <f>IF(C1396="","",IFERROR(VLOOKUP(C1396,parametros!$A$11:$E$15,5,0),""))</f>
        <v/>
      </c>
      <c r="F1396" s="79" t="str">
        <f t="shared" si="107"/>
        <v/>
      </c>
      <c r="G1396" s="395"/>
      <c r="H1396" s="91">
        <f t="shared" si="108"/>
        <v>0</v>
      </c>
      <c r="I1396" s="91" t="str">
        <f t="shared" si="109"/>
        <v/>
      </c>
      <c r="J1396" s="91" t="str">
        <f t="shared" si="110"/>
        <v/>
      </c>
      <c r="K1396" s="92" t="str">
        <f>IF(AND(A1396="",B1396="",D1396="",G1396=""),"",IF(AND(A1396&lt;&gt;"",COUNTIF($A$2:$A$5001,A1396)&gt;1),"NUMERO_PC duplicado",IF(B1396="","DATA_PC vazia",IF(NOT(ISNUMBER(B1396)),"DATA_PC invalida",IF(OR(C1396="",C1396="Fora dos ciclos"),"CICLO_PC nao identificado",IF(OR(D1396="",D1396=0),"VALOR_PC vazio ou zero",IF(AND(G1396&lt;&gt;"Sim",G1396&lt;&gt;"Nao",G1396&lt;&gt;""),"PC_PAGO_A_CONTRATADA invalido",IF(AND(C1396&lt;&gt;"C0",IFERROR(INDEX(parametros!$A$2:$A$6,MATCH(C1396,parametros!$B$2:$B$6,0)),"")="Sim",IFERROR(INDEX(parametros!$H$2:$H$6,MATCH(C1396,parametros!$B$2:$B$6,0)),"")=""),"INICIO_EFEITO ausente: PC "&amp;A1396&amp;" - "&amp;C1396,IF(L1396="","EFEITO_PC nao calculado: PC "&amp;A1396&amp;" - "&amp;C1396,"OK")))))))))</f>
        <v/>
      </c>
      <c r="L1396" s="92" t="str">
        <f>IF(AND(A1396="",B1396="",D1396="",G1396=""),"",IF(OR(B1396="",NOT(ISNUMBER(B1396)),C1396="",C1396="Fora dos ciclos"),"",IF(C1396="C0","Nao",IF(IFERROR(INDEX(parametros!$A$2:$A$6,MATCH(C1396,parametros!$B$2:$B$6,0)),"")&lt;&gt;"Sim","Nao",IF(IFERROR(INDEX(parametros!$H$2:$H$6,MATCH(C1396,parametros!$B$2:$B$6,0)),"")="","",IF(B1396&gt;=IFERROR(INDEX(parametros!$H$2:$H$6,MATCH(C1396,parametros!$B$2:$B$6,0)),""),"Sim","Nao"))))))</f>
        <v/>
      </c>
      <c r="T1396" s="156"/>
      <c r="U1396" s="214" t="str">
        <f t="shared" si="111"/>
        <v/>
      </c>
      <c r="V1396" s="212" t="s">
        <v>50</v>
      </c>
      <c r="W1396" s="100" t="s">
        <v>168</v>
      </c>
      <c r="X1396" s="100" t="s">
        <v>169</v>
      </c>
      <c r="Y1396" s="101" t="s">
        <v>170</v>
      </c>
      <c r="Z1396" s="101" t="s">
        <v>171</v>
      </c>
      <c r="AA1396" s="101" t="s">
        <v>50</v>
      </c>
      <c r="AB1396" s="101" t="s">
        <v>172</v>
      </c>
      <c r="AC1396" s="102" t="s">
        <v>173</v>
      </c>
    </row>
    <row r="1397" spans="1:29" ht="25.5" customHeight="1" x14ac:dyDescent="0.35">
      <c r="A1397" s="392"/>
      <c r="B1397" s="393"/>
      <c r="C1397" s="99" t="str">
        <f>IF(B1397="","",IF(NOT(ISNUMBER(B1397)),"DATA_PC invalida",IF(NOT(ISNUMBER(parametros!$C$2)),"Fora dos ciclos",IF(OR(B1397&lt;parametros!$C$2,(YEAR(B1397)-YEAR(parametros!$C$2))*12+MONTH(B1397)-MONTH(parametros!$C$2)&gt;59),"Fora dos ciclos","C"&amp;INT(((YEAR(B1397)-YEAR(parametros!$C$2))*12+MONTH(B1397)-MONTH(parametros!$C$2))/12)))))</f>
        <v/>
      </c>
      <c r="D1397" s="394"/>
      <c r="E1397" s="78" t="str">
        <f>IF(C1397="","",IFERROR(VLOOKUP(C1397,parametros!$A$11:$E$15,5,0),""))</f>
        <v/>
      </c>
      <c r="F1397" s="79" t="str">
        <f t="shared" si="107"/>
        <v/>
      </c>
      <c r="G1397" s="395"/>
      <c r="H1397" s="91">
        <f t="shared" si="108"/>
        <v>0</v>
      </c>
      <c r="I1397" s="91" t="str">
        <f t="shared" si="109"/>
        <v/>
      </c>
      <c r="J1397" s="91" t="str">
        <f t="shared" si="110"/>
        <v/>
      </c>
      <c r="K1397" s="92" t="str">
        <f>IF(AND(A1397="",B1397="",D1397="",G1397=""),"",IF(AND(A1397&lt;&gt;"",COUNTIF($A$2:$A$5001,A1397)&gt;1),"NUMERO_PC duplicado",IF(B1397="","DATA_PC vazia",IF(NOT(ISNUMBER(B1397)),"DATA_PC invalida",IF(OR(C1397="",C1397="Fora dos ciclos"),"CICLO_PC nao identificado",IF(OR(D1397="",D1397=0),"VALOR_PC vazio ou zero",IF(AND(G1397&lt;&gt;"Sim",G1397&lt;&gt;"Nao",G1397&lt;&gt;""),"PC_PAGO_A_CONTRATADA invalido",IF(AND(C1397&lt;&gt;"C0",IFERROR(INDEX(parametros!$A$2:$A$6,MATCH(C1397,parametros!$B$2:$B$6,0)),"")="Sim",IFERROR(INDEX(parametros!$H$2:$H$6,MATCH(C1397,parametros!$B$2:$B$6,0)),"")=""),"INICIO_EFEITO ausente: PC "&amp;A1397&amp;" - "&amp;C1397,IF(L1397="","EFEITO_PC nao calculado: PC "&amp;A1397&amp;" - "&amp;C1397,"OK")))))))))</f>
        <v/>
      </c>
      <c r="L1397" s="92" t="str">
        <f>IF(AND(A1397="",B1397="",D1397="",G1397=""),"",IF(OR(B1397="",NOT(ISNUMBER(B1397)),C1397="",C1397="Fora dos ciclos"),"",IF(C1397="C0","Nao",IF(IFERROR(INDEX(parametros!$A$2:$A$6,MATCH(C1397,parametros!$B$2:$B$6,0)),"")&lt;&gt;"Sim","Nao",IF(IFERROR(INDEX(parametros!$H$2:$H$6,MATCH(C1397,parametros!$B$2:$B$6,0)),"")="","",IF(B1397&gt;=IFERROR(INDEX(parametros!$H$2:$H$6,MATCH(C1397,parametros!$B$2:$B$6,0)),""),"Sim","Nao"))))))</f>
        <v/>
      </c>
      <c r="T1397" s="156"/>
      <c r="U1397" s="214" t="str">
        <f t="shared" si="111"/>
        <v/>
      </c>
      <c r="V1397" s="212" t="s">
        <v>50</v>
      </c>
      <c r="W1397" s="100" t="s">
        <v>168</v>
      </c>
      <c r="X1397" s="100" t="s">
        <v>169</v>
      </c>
      <c r="Y1397" s="101" t="s">
        <v>170</v>
      </c>
      <c r="Z1397" s="101" t="s">
        <v>171</v>
      </c>
      <c r="AA1397" s="101" t="s">
        <v>50</v>
      </c>
      <c r="AB1397" s="101" t="s">
        <v>172</v>
      </c>
      <c r="AC1397" s="102" t="s">
        <v>173</v>
      </c>
    </row>
    <row r="1398" spans="1:29" ht="25.5" customHeight="1" x14ac:dyDescent="0.35">
      <c r="A1398" s="392"/>
      <c r="B1398" s="393"/>
      <c r="C1398" s="99" t="str">
        <f>IF(B1398="","",IF(NOT(ISNUMBER(B1398)),"DATA_PC invalida",IF(NOT(ISNUMBER(parametros!$C$2)),"Fora dos ciclos",IF(OR(B1398&lt;parametros!$C$2,(YEAR(B1398)-YEAR(parametros!$C$2))*12+MONTH(B1398)-MONTH(parametros!$C$2)&gt;59),"Fora dos ciclos","C"&amp;INT(((YEAR(B1398)-YEAR(parametros!$C$2))*12+MONTH(B1398)-MONTH(parametros!$C$2))/12)))))</f>
        <v/>
      </c>
      <c r="D1398" s="394"/>
      <c r="E1398" s="78" t="str">
        <f>IF(C1398="","",IFERROR(VLOOKUP(C1398,parametros!$A$11:$E$15,5,0),""))</f>
        <v/>
      </c>
      <c r="F1398" s="79" t="str">
        <f t="shared" si="107"/>
        <v/>
      </c>
      <c r="G1398" s="395"/>
      <c r="H1398" s="91">
        <f t="shared" si="108"/>
        <v>0</v>
      </c>
      <c r="I1398" s="91" t="str">
        <f t="shared" si="109"/>
        <v/>
      </c>
      <c r="J1398" s="91" t="str">
        <f t="shared" si="110"/>
        <v/>
      </c>
      <c r="K1398" s="92" t="str">
        <f>IF(AND(A1398="",B1398="",D1398="",G1398=""),"",IF(AND(A1398&lt;&gt;"",COUNTIF($A$2:$A$5001,A1398)&gt;1),"NUMERO_PC duplicado",IF(B1398="","DATA_PC vazia",IF(NOT(ISNUMBER(B1398)),"DATA_PC invalida",IF(OR(C1398="",C1398="Fora dos ciclos"),"CICLO_PC nao identificado",IF(OR(D1398="",D1398=0),"VALOR_PC vazio ou zero",IF(AND(G1398&lt;&gt;"Sim",G1398&lt;&gt;"Nao",G1398&lt;&gt;""),"PC_PAGO_A_CONTRATADA invalido",IF(AND(C1398&lt;&gt;"C0",IFERROR(INDEX(parametros!$A$2:$A$6,MATCH(C1398,parametros!$B$2:$B$6,0)),"")="Sim",IFERROR(INDEX(parametros!$H$2:$H$6,MATCH(C1398,parametros!$B$2:$B$6,0)),"")=""),"INICIO_EFEITO ausente: PC "&amp;A1398&amp;" - "&amp;C1398,IF(L1398="","EFEITO_PC nao calculado: PC "&amp;A1398&amp;" - "&amp;C1398,"OK")))))))))</f>
        <v/>
      </c>
      <c r="L1398" s="92" t="str">
        <f>IF(AND(A1398="",B1398="",D1398="",G1398=""),"",IF(OR(B1398="",NOT(ISNUMBER(B1398)),C1398="",C1398="Fora dos ciclos"),"",IF(C1398="C0","Nao",IF(IFERROR(INDEX(parametros!$A$2:$A$6,MATCH(C1398,parametros!$B$2:$B$6,0)),"")&lt;&gt;"Sim","Nao",IF(IFERROR(INDEX(parametros!$H$2:$H$6,MATCH(C1398,parametros!$B$2:$B$6,0)),"")="","",IF(B1398&gt;=IFERROR(INDEX(parametros!$H$2:$H$6,MATCH(C1398,parametros!$B$2:$B$6,0)),""),"Sim","Nao"))))))</f>
        <v/>
      </c>
      <c r="T1398" s="156"/>
      <c r="U1398" s="214" t="str">
        <f t="shared" si="111"/>
        <v/>
      </c>
      <c r="V1398" s="212" t="s">
        <v>50</v>
      </c>
      <c r="W1398" s="100" t="s">
        <v>168</v>
      </c>
      <c r="X1398" s="100" t="s">
        <v>169</v>
      </c>
      <c r="Y1398" s="101" t="s">
        <v>170</v>
      </c>
      <c r="Z1398" s="101" t="s">
        <v>171</v>
      </c>
      <c r="AA1398" s="101" t="s">
        <v>50</v>
      </c>
      <c r="AB1398" s="101" t="s">
        <v>172</v>
      </c>
      <c r="AC1398" s="102" t="s">
        <v>173</v>
      </c>
    </row>
    <row r="1399" spans="1:29" ht="25.5" customHeight="1" x14ac:dyDescent="0.35">
      <c r="A1399" s="392"/>
      <c r="B1399" s="393"/>
      <c r="C1399" s="99" t="str">
        <f>IF(B1399="","",IF(NOT(ISNUMBER(B1399)),"DATA_PC invalida",IF(NOT(ISNUMBER(parametros!$C$2)),"Fora dos ciclos",IF(OR(B1399&lt;parametros!$C$2,(YEAR(B1399)-YEAR(parametros!$C$2))*12+MONTH(B1399)-MONTH(parametros!$C$2)&gt;59),"Fora dos ciclos","C"&amp;INT(((YEAR(B1399)-YEAR(parametros!$C$2))*12+MONTH(B1399)-MONTH(parametros!$C$2))/12)))))</f>
        <v/>
      </c>
      <c r="D1399" s="394"/>
      <c r="E1399" s="78" t="str">
        <f>IF(C1399="","",IFERROR(VLOOKUP(C1399,parametros!$A$11:$E$15,5,0),""))</f>
        <v/>
      </c>
      <c r="F1399" s="79" t="str">
        <f t="shared" si="107"/>
        <v/>
      </c>
      <c r="G1399" s="395"/>
      <c r="H1399" s="91">
        <f t="shared" si="108"/>
        <v>0</v>
      </c>
      <c r="I1399" s="91" t="str">
        <f t="shared" si="109"/>
        <v/>
      </c>
      <c r="J1399" s="91" t="str">
        <f t="shared" si="110"/>
        <v/>
      </c>
      <c r="K1399" s="92" t="str">
        <f>IF(AND(A1399="",B1399="",D1399="",G1399=""),"",IF(AND(A1399&lt;&gt;"",COUNTIF($A$2:$A$5001,A1399)&gt;1),"NUMERO_PC duplicado",IF(B1399="","DATA_PC vazia",IF(NOT(ISNUMBER(B1399)),"DATA_PC invalida",IF(OR(C1399="",C1399="Fora dos ciclos"),"CICLO_PC nao identificado",IF(OR(D1399="",D1399=0),"VALOR_PC vazio ou zero",IF(AND(G1399&lt;&gt;"Sim",G1399&lt;&gt;"Nao",G1399&lt;&gt;""),"PC_PAGO_A_CONTRATADA invalido",IF(AND(C1399&lt;&gt;"C0",IFERROR(INDEX(parametros!$A$2:$A$6,MATCH(C1399,parametros!$B$2:$B$6,0)),"")="Sim",IFERROR(INDEX(parametros!$H$2:$H$6,MATCH(C1399,parametros!$B$2:$B$6,0)),"")=""),"INICIO_EFEITO ausente: PC "&amp;A1399&amp;" - "&amp;C1399,IF(L1399="","EFEITO_PC nao calculado: PC "&amp;A1399&amp;" - "&amp;C1399,"OK")))))))))</f>
        <v/>
      </c>
      <c r="L1399" s="92" t="str">
        <f>IF(AND(A1399="",B1399="",D1399="",G1399=""),"",IF(OR(B1399="",NOT(ISNUMBER(B1399)),C1399="",C1399="Fora dos ciclos"),"",IF(C1399="C0","Nao",IF(IFERROR(INDEX(parametros!$A$2:$A$6,MATCH(C1399,parametros!$B$2:$B$6,0)),"")&lt;&gt;"Sim","Nao",IF(IFERROR(INDEX(parametros!$H$2:$H$6,MATCH(C1399,parametros!$B$2:$B$6,0)),"")="","",IF(B1399&gt;=IFERROR(INDEX(parametros!$H$2:$H$6,MATCH(C1399,parametros!$B$2:$B$6,0)),""),"Sim","Nao"))))))</f>
        <v/>
      </c>
      <c r="T1399" s="156"/>
      <c r="U1399" s="214" t="str">
        <f t="shared" si="111"/>
        <v/>
      </c>
      <c r="V1399" s="212" t="s">
        <v>50</v>
      </c>
      <c r="W1399" s="100" t="s">
        <v>168</v>
      </c>
      <c r="X1399" s="100" t="s">
        <v>169</v>
      </c>
      <c r="Y1399" s="101" t="s">
        <v>170</v>
      </c>
      <c r="Z1399" s="101" t="s">
        <v>171</v>
      </c>
      <c r="AA1399" s="101" t="s">
        <v>50</v>
      </c>
      <c r="AB1399" s="101" t="s">
        <v>172</v>
      </c>
      <c r="AC1399" s="102" t="s">
        <v>173</v>
      </c>
    </row>
    <row r="1400" spans="1:29" ht="25.5" customHeight="1" x14ac:dyDescent="0.35">
      <c r="A1400" s="392"/>
      <c r="B1400" s="393"/>
      <c r="C1400" s="99" t="str">
        <f>IF(B1400="","",IF(NOT(ISNUMBER(B1400)),"DATA_PC invalida",IF(NOT(ISNUMBER(parametros!$C$2)),"Fora dos ciclos",IF(OR(B1400&lt;parametros!$C$2,(YEAR(B1400)-YEAR(parametros!$C$2))*12+MONTH(B1400)-MONTH(parametros!$C$2)&gt;59),"Fora dos ciclos","C"&amp;INT(((YEAR(B1400)-YEAR(parametros!$C$2))*12+MONTH(B1400)-MONTH(parametros!$C$2))/12)))))</f>
        <v/>
      </c>
      <c r="D1400" s="394"/>
      <c r="E1400" s="78" t="str">
        <f>IF(C1400="","",IFERROR(VLOOKUP(C1400,parametros!$A$11:$E$15,5,0),""))</f>
        <v/>
      </c>
      <c r="F1400" s="79" t="str">
        <f t="shared" si="107"/>
        <v/>
      </c>
      <c r="G1400" s="395"/>
      <c r="H1400" s="91">
        <f t="shared" si="108"/>
        <v>0</v>
      </c>
      <c r="I1400" s="91" t="str">
        <f t="shared" si="109"/>
        <v/>
      </c>
      <c r="J1400" s="91" t="str">
        <f t="shared" si="110"/>
        <v/>
      </c>
      <c r="K1400" s="92" t="str">
        <f>IF(AND(A1400="",B1400="",D1400="",G1400=""),"",IF(AND(A1400&lt;&gt;"",COUNTIF($A$2:$A$5001,A1400)&gt;1),"NUMERO_PC duplicado",IF(B1400="","DATA_PC vazia",IF(NOT(ISNUMBER(B1400)),"DATA_PC invalida",IF(OR(C1400="",C1400="Fora dos ciclos"),"CICLO_PC nao identificado",IF(OR(D1400="",D1400=0),"VALOR_PC vazio ou zero",IF(AND(G1400&lt;&gt;"Sim",G1400&lt;&gt;"Nao",G1400&lt;&gt;""),"PC_PAGO_A_CONTRATADA invalido",IF(AND(C1400&lt;&gt;"C0",IFERROR(INDEX(parametros!$A$2:$A$6,MATCH(C1400,parametros!$B$2:$B$6,0)),"")="Sim",IFERROR(INDEX(parametros!$H$2:$H$6,MATCH(C1400,parametros!$B$2:$B$6,0)),"")=""),"INICIO_EFEITO ausente: PC "&amp;A1400&amp;" - "&amp;C1400,IF(L1400="","EFEITO_PC nao calculado: PC "&amp;A1400&amp;" - "&amp;C1400,"OK")))))))))</f>
        <v/>
      </c>
      <c r="L1400" s="92" t="str">
        <f>IF(AND(A1400="",B1400="",D1400="",G1400=""),"",IF(OR(B1400="",NOT(ISNUMBER(B1400)),C1400="",C1400="Fora dos ciclos"),"",IF(C1400="C0","Nao",IF(IFERROR(INDEX(parametros!$A$2:$A$6,MATCH(C1400,parametros!$B$2:$B$6,0)),"")&lt;&gt;"Sim","Nao",IF(IFERROR(INDEX(parametros!$H$2:$H$6,MATCH(C1400,parametros!$B$2:$B$6,0)),"")="","",IF(B1400&gt;=IFERROR(INDEX(parametros!$H$2:$H$6,MATCH(C1400,parametros!$B$2:$B$6,0)),""),"Sim","Nao"))))))</f>
        <v/>
      </c>
      <c r="T1400" s="156"/>
      <c r="U1400" s="214" t="str">
        <f t="shared" si="111"/>
        <v/>
      </c>
      <c r="V1400" s="212" t="s">
        <v>50</v>
      </c>
      <c r="W1400" s="100" t="s">
        <v>168</v>
      </c>
      <c r="X1400" s="100" t="s">
        <v>169</v>
      </c>
      <c r="Y1400" s="101" t="s">
        <v>170</v>
      </c>
      <c r="Z1400" s="101" t="s">
        <v>171</v>
      </c>
      <c r="AA1400" s="101" t="s">
        <v>50</v>
      </c>
      <c r="AB1400" s="101" t="s">
        <v>172</v>
      </c>
      <c r="AC1400" s="102" t="s">
        <v>173</v>
      </c>
    </row>
    <row r="1401" spans="1:29" ht="25.5" customHeight="1" x14ac:dyDescent="0.35">
      <c r="A1401" s="392"/>
      <c r="B1401" s="393"/>
      <c r="C1401" s="99" t="str">
        <f>IF(B1401="","",IF(NOT(ISNUMBER(B1401)),"DATA_PC invalida",IF(NOT(ISNUMBER(parametros!$C$2)),"Fora dos ciclos",IF(OR(B1401&lt;parametros!$C$2,(YEAR(B1401)-YEAR(parametros!$C$2))*12+MONTH(B1401)-MONTH(parametros!$C$2)&gt;59),"Fora dos ciclos","C"&amp;INT(((YEAR(B1401)-YEAR(parametros!$C$2))*12+MONTH(B1401)-MONTH(parametros!$C$2))/12)))))</f>
        <v/>
      </c>
      <c r="D1401" s="394"/>
      <c r="E1401" s="78" t="str">
        <f>IF(C1401="","",IFERROR(VLOOKUP(C1401,parametros!$A$11:$E$15,5,0),""))</f>
        <v/>
      </c>
      <c r="F1401" s="79" t="str">
        <f t="shared" si="107"/>
        <v/>
      </c>
      <c r="G1401" s="395"/>
      <c r="H1401" s="91">
        <f t="shared" si="108"/>
        <v>0</v>
      </c>
      <c r="I1401" s="91" t="str">
        <f t="shared" si="109"/>
        <v/>
      </c>
      <c r="J1401" s="91" t="str">
        <f t="shared" si="110"/>
        <v/>
      </c>
      <c r="K1401" s="92" t="str">
        <f>IF(AND(A1401="",B1401="",D1401="",G1401=""),"",IF(AND(A1401&lt;&gt;"",COUNTIF($A$2:$A$5001,A1401)&gt;1),"NUMERO_PC duplicado",IF(B1401="","DATA_PC vazia",IF(NOT(ISNUMBER(B1401)),"DATA_PC invalida",IF(OR(C1401="",C1401="Fora dos ciclos"),"CICLO_PC nao identificado",IF(OR(D1401="",D1401=0),"VALOR_PC vazio ou zero",IF(AND(G1401&lt;&gt;"Sim",G1401&lt;&gt;"Nao",G1401&lt;&gt;""),"PC_PAGO_A_CONTRATADA invalido",IF(AND(C1401&lt;&gt;"C0",IFERROR(INDEX(parametros!$A$2:$A$6,MATCH(C1401,parametros!$B$2:$B$6,0)),"")="Sim",IFERROR(INDEX(parametros!$H$2:$H$6,MATCH(C1401,parametros!$B$2:$B$6,0)),"")=""),"INICIO_EFEITO ausente: PC "&amp;A1401&amp;" - "&amp;C1401,IF(L1401="","EFEITO_PC nao calculado: PC "&amp;A1401&amp;" - "&amp;C1401,"OK")))))))))</f>
        <v/>
      </c>
      <c r="L1401" s="92" t="str">
        <f>IF(AND(A1401="",B1401="",D1401="",G1401=""),"",IF(OR(B1401="",NOT(ISNUMBER(B1401)),C1401="",C1401="Fora dos ciclos"),"",IF(C1401="C0","Nao",IF(IFERROR(INDEX(parametros!$A$2:$A$6,MATCH(C1401,parametros!$B$2:$B$6,0)),"")&lt;&gt;"Sim","Nao",IF(IFERROR(INDEX(parametros!$H$2:$H$6,MATCH(C1401,parametros!$B$2:$B$6,0)),"")="","",IF(B1401&gt;=IFERROR(INDEX(parametros!$H$2:$H$6,MATCH(C1401,parametros!$B$2:$B$6,0)),""),"Sim","Nao"))))))</f>
        <v/>
      </c>
      <c r="T1401" s="156"/>
      <c r="U1401" s="214" t="str">
        <f t="shared" si="111"/>
        <v/>
      </c>
      <c r="V1401" s="212" t="s">
        <v>50</v>
      </c>
      <c r="W1401" s="100" t="s">
        <v>168</v>
      </c>
      <c r="X1401" s="100" t="s">
        <v>169</v>
      </c>
      <c r="Y1401" s="101" t="s">
        <v>170</v>
      </c>
      <c r="Z1401" s="101" t="s">
        <v>171</v>
      </c>
      <c r="AA1401" s="101" t="s">
        <v>50</v>
      </c>
      <c r="AB1401" s="101" t="s">
        <v>172</v>
      </c>
      <c r="AC1401" s="102" t="s">
        <v>173</v>
      </c>
    </row>
    <row r="1402" spans="1:29" ht="25.5" customHeight="1" x14ac:dyDescent="0.35">
      <c r="A1402" s="392"/>
      <c r="B1402" s="393"/>
      <c r="C1402" s="99" t="str">
        <f>IF(B1402="","",IF(NOT(ISNUMBER(B1402)),"DATA_PC invalida",IF(NOT(ISNUMBER(parametros!$C$2)),"Fora dos ciclos",IF(OR(B1402&lt;parametros!$C$2,(YEAR(B1402)-YEAR(parametros!$C$2))*12+MONTH(B1402)-MONTH(parametros!$C$2)&gt;59),"Fora dos ciclos","C"&amp;INT(((YEAR(B1402)-YEAR(parametros!$C$2))*12+MONTH(B1402)-MONTH(parametros!$C$2))/12)))))</f>
        <v/>
      </c>
      <c r="D1402" s="394"/>
      <c r="E1402" s="78" t="str">
        <f>IF(C1402="","",IFERROR(VLOOKUP(C1402,parametros!$A$11:$E$15,5,0),""))</f>
        <v/>
      </c>
      <c r="F1402" s="79" t="str">
        <f t="shared" si="107"/>
        <v/>
      </c>
      <c r="G1402" s="395"/>
      <c r="H1402" s="91">
        <f t="shared" si="108"/>
        <v>0</v>
      </c>
      <c r="I1402" s="91" t="str">
        <f t="shared" si="109"/>
        <v/>
      </c>
      <c r="J1402" s="91" t="str">
        <f t="shared" si="110"/>
        <v/>
      </c>
      <c r="K1402" s="92" t="str">
        <f>IF(AND(A1402="",B1402="",D1402="",G1402=""),"",IF(AND(A1402&lt;&gt;"",COUNTIF($A$2:$A$5001,A1402)&gt;1),"NUMERO_PC duplicado",IF(B1402="","DATA_PC vazia",IF(NOT(ISNUMBER(B1402)),"DATA_PC invalida",IF(OR(C1402="",C1402="Fora dos ciclos"),"CICLO_PC nao identificado",IF(OR(D1402="",D1402=0),"VALOR_PC vazio ou zero",IF(AND(G1402&lt;&gt;"Sim",G1402&lt;&gt;"Nao",G1402&lt;&gt;""),"PC_PAGO_A_CONTRATADA invalido",IF(AND(C1402&lt;&gt;"C0",IFERROR(INDEX(parametros!$A$2:$A$6,MATCH(C1402,parametros!$B$2:$B$6,0)),"")="Sim",IFERROR(INDEX(parametros!$H$2:$H$6,MATCH(C1402,parametros!$B$2:$B$6,0)),"")=""),"INICIO_EFEITO ausente: PC "&amp;A1402&amp;" - "&amp;C1402,IF(L1402="","EFEITO_PC nao calculado: PC "&amp;A1402&amp;" - "&amp;C1402,"OK")))))))))</f>
        <v/>
      </c>
      <c r="L1402" s="92" t="str">
        <f>IF(AND(A1402="",B1402="",D1402="",G1402=""),"",IF(OR(B1402="",NOT(ISNUMBER(B1402)),C1402="",C1402="Fora dos ciclos"),"",IF(C1402="C0","Nao",IF(IFERROR(INDEX(parametros!$A$2:$A$6,MATCH(C1402,parametros!$B$2:$B$6,0)),"")&lt;&gt;"Sim","Nao",IF(IFERROR(INDEX(parametros!$H$2:$H$6,MATCH(C1402,parametros!$B$2:$B$6,0)),"")="","",IF(B1402&gt;=IFERROR(INDEX(parametros!$H$2:$H$6,MATCH(C1402,parametros!$B$2:$B$6,0)),""),"Sim","Nao"))))))</f>
        <v/>
      </c>
      <c r="T1402" s="156"/>
      <c r="U1402" s="214" t="str">
        <f t="shared" si="111"/>
        <v/>
      </c>
      <c r="V1402" s="212" t="s">
        <v>50</v>
      </c>
      <c r="W1402" s="100" t="s">
        <v>168</v>
      </c>
      <c r="X1402" s="100" t="s">
        <v>169</v>
      </c>
      <c r="Y1402" s="101" t="s">
        <v>170</v>
      </c>
      <c r="Z1402" s="101" t="s">
        <v>171</v>
      </c>
      <c r="AA1402" s="101" t="s">
        <v>50</v>
      </c>
      <c r="AB1402" s="101" t="s">
        <v>172</v>
      </c>
      <c r="AC1402" s="102" t="s">
        <v>173</v>
      </c>
    </row>
    <row r="1403" spans="1:29" ht="25.5" customHeight="1" x14ac:dyDescent="0.35">
      <c r="A1403" s="392"/>
      <c r="B1403" s="393"/>
      <c r="C1403" s="99" t="str">
        <f>IF(B1403="","",IF(NOT(ISNUMBER(B1403)),"DATA_PC invalida",IF(NOT(ISNUMBER(parametros!$C$2)),"Fora dos ciclos",IF(OR(B1403&lt;parametros!$C$2,(YEAR(B1403)-YEAR(parametros!$C$2))*12+MONTH(B1403)-MONTH(parametros!$C$2)&gt;59),"Fora dos ciclos","C"&amp;INT(((YEAR(B1403)-YEAR(parametros!$C$2))*12+MONTH(B1403)-MONTH(parametros!$C$2))/12)))))</f>
        <v/>
      </c>
      <c r="D1403" s="394"/>
      <c r="E1403" s="78" t="str">
        <f>IF(C1403="","",IFERROR(VLOOKUP(C1403,parametros!$A$11:$E$15,5,0),""))</f>
        <v/>
      </c>
      <c r="F1403" s="79" t="str">
        <f t="shared" si="107"/>
        <v/>
      </c>
      <c r="G1403" s="395"/>
      <c r="H1403" s="91">
        <f t="shared" si="108"/>
        <v>0</v>
      </c>
      <c r="I1403" s="91" t="str">
        <f t="shared" si="109"/>
        <v/>
      </c>
      <c r="J1403" s="91" t="str">
        <f t="shared" si="110"/>
        <v/>
      </c>
      <c r="K1403" s="92" t="str">
        <f>IF(AND(A1403="",B1403="",D1403="",G1403=""),"",IF(AND(A1403&lt;&gt;"",COUNTIF($A$2:$A$5001,A1403)&gt;1),"NUMERO_PC duplicado",IF(B1403="","DATA_PC vazia",IF(NOT(ISNUMBER(B1403)),"DATA_PC invalida",IF(OR(C1403="",C1403="Fora dos ciclos"),"CICLO_PC nao identificado",IF(OR(D1403="",D1403=0),"VALOR_PC vazio ou zero",IF(AND(G1403&lt;&gt;"Sim",G1403&lt;&gt;"Nao",G1403&lt;&gt;""),"PC_PAGO_A_CONTRATADA invalido",IF(AND(C1403&lt;&gt;"C0",IFERROR(INDEX(parametros!$A$2:$A$6,MATCH(C1403,parametros!$B$2:$B$6,0)),"")="Sim",IFERROR(INDEX(parametros!$H$2:$H$6,MATCH(C1403,parametros!$B$2:$B$6,0)),"")=""),"INICIO_EFEITO ausente: PC "&amp;A1403&amp;" - "&amp;C1403,IF(L1403="","EFEITO_PC nao calculado: PC "&amp;A1403&amp;" - "&amp;C1403,"OK")))))))))</f>
        <v/>
      </c>
      <c r="L1403" s="92" t="str">
        <f>IF(AND(A1403="",B1403="",D1403="",G1403=""),"",IF(OR(B1403="",NOT(ISNUMBER(B1403)),C1403="",C1403="Fora dos ciclos"),"",IF(C1403="C0","Nao",IF(IFERROR(INDEX(parametros!$A$2:$A$6,MATCH(C1403,parametros!$B$2:$B$6,0)),"")&lt;&gt;"Sim","Nao",IF(IFERROR(INDEX(parametros!$H$2:$H$6,MATCH(C1403,parametros!$B$2:$B$6,0)),"")="","",IF(B1403&gt;=IFERROR(INDEX(parametros!$H$2:$H$6,MATCH(C1403,parametros!$B$2:$B$6,0)),""),"Sim","Nao"))))))</f>
        <v/>
      </c>
      <c r="T1403" s="156"/>
      <c r="U1403" s="214" t="str">
        <f t="shared" si="111"/>
        <v/>
      </c>
      <c r="V1403" s="212" t="s">
        <v>50</v>
      </c>
      <c r="W1403" s="100" t="s">
        <v>168</v>
      </c>
      <c r="X1403" s="100" t="s">
        <v>169</v>
      </c>
      <c r="Y1403" s="101" t="s">
        <v>170</v>
      </c>
      <c r="Z1403" s="101" t="s">
        <v>171</v>
      </c>
      <c r="AA1403" s="101" t="s">
        <v>50</v>
      </c>
      <c r="AB1403" s="101" t="s">
        <v>172</v>
      </c>
      <c r="AC1403" s="102" t="s">
        <v>173</v>
      </c>
    </row>
    <row r="1404" spans="1:29" ht="25.5" customHeight="1" x14ac:dyDescent="0.35">
      <c r="A1404" s="392"/>
      <c r="B1404" s="393"/>
      <c r="C1404" s="99" t="str">
        <f>IF(B1404="","",IF(NOT(ISNUMBER(B1404)),"DATA_PC invalida",IF(NOT(ISNUMBER(parametros!$C$2)),"Fora dos ciclos",IF(OR(B1404&lt;parametros!$C$2,(YEAR(B1404)-YEAR(parametros!$C$2))*12+MONTH(B1404)-MONTH(parametros!$C$2)&gt;59),"Fora dos ciclos","C"&amp;INT(((YEAR(B1404)-YEAR(parametros!$C$2))*12+MONTH(B1404)-MONTH(parametros!$C$2))/12)))))</f>
        <v/>
      </c>
      <c r="D1404" s="394"/>
      <c r="E1404" s="78" t="str">
        <f>IF(C1404="","",IFERROR(VLOOKUP(C1404,parametros!$A$11:$E$15,5,0),""))</f>
        <v/>
      </c>
      <c r="F1404" s="79" t="str">
        <f t="shared" si="107"/>
        <v/>
      </c>
      <c r="G1404" s="395"/>
      <c r="H1404" s="91">
        <f t="shared" si="108"/>
        <v>0</v>
      </c>
      <c r="I1404" s="91" t="str">
        <f t="shared" si="109"/>
        <v/>
      </c>
      <c r="J1404" s="91" t="str">
        <f t="shared" si="110"/>
        <v/>
      </c>
      <c r="K1404" s="92" t="str">
        <f>IF(AND(A1404="",B1404="",D1404="",G1404=""),"",IF(AND(A1404&lt;&gt;"",COUNTIF($A$2:$A$5001,A1404)&gt;1),"NUMERO_PC duplicado",IF(B1404="","DATA_PC vazia",IF(NOT(ISNUMBER(B1404)),"DATA_PC invalida",IF(OR(C1404="",C1404="Fora dos ciclos"),"CICLO_PC nao identificado",IF(OR(D1404="",D1404=0),"VALOR_PC vazio ou zero",IF(AND(G1404&lt;&gt;"Sim",G1404&lt;&gt;"Nao",G1404&lt;&gt;""),"PC_PAGO_A_CONTRATADA invalido",IF(AND(C1404&lt;&gt;"C0",IFERROR(INDEX(parametros!$A$2:$A$6,MATCH(C1404,parametros!$B$2:$B$6,0)),"")="Sim",IFERROR(INDEX(parametros!$H$2:$H$6,MATCH(C1404,parametros!$B$2:$B$6,0)),"")=""),"INICIO_EFEITO ausente: PC "&amp;A1404&amp;" - "&amp;C1404,IF(L1404="","EFEITO_PC nao calculado: PC "&amp;A1404&amp;" - "&amp;C1404,"OK")))))))))</f>
        <v/>
      </c>
      <c r="L1404" s="92" t="str">
        <f>IF(AND(A1404="",B1404="",D1404="",G1404=""),"",IF(OR(B1404="",NOT(ISNUMBER(B1404)),C1404="",C1404="Fora dos ciclos"),"",IF(C1404="C0","Nao",IF(IFERROR(INDEX(parametros!$A$2:$A$6,MATCH(C1404,parametros!$B$2:$B$6,0)),"")&lt;&gt;"Sim","Nao",IF(IFERROR(INDEX(parametros!$H$2:$H$6,MATCH(C1404,parametros!$B$2:$B$6,0)),"")="","",IF(B1404&gt;=IFERROR(INDEX(parametros!$H$2:$H$6,MATCH(C1404,parametros!$B$2:$B$6,0)),""),"Sim","Nao"))))))</f>
        <v/>
      </c>
      <c r="T1404" s="156"/>
      <c r="U1404" s="214" t="str">
        <f t="shared" si="111"/>
        <v/>
      </c>
      <c r="V1404" s="212" t="s">
        <v>50</v>
      </c>
      <c r="W1404" s="100" t="s">
        <v>168</v>
      </c>
      <c r="X1404" s="100" t="s">
        <v>169</v>
      </c>
      <c r="Y1404" s="101" t="s">
        <v>170</v>
      </c>
      <c r="Z1404" s="101" t="s">
        <v>171</v>
      </c>
      <c r="AA1404" s="101" t="s">
        <v>50</v>
      </c>
      <c r="AB1404" s="101" t="s">
        <v>172</v>
      </c>
      <c r="AC1404" s="102" t="s">
        <v>173</v>
      </c>
    </row>
    <row r="1405" spans="1:29" ht="25.5" customHeight="1" x14ac:dyDescent="0.35">
      <c r="A1405" s="392"/>
      <c r="B1405" s="393"/>
      <c r="C1405" s="99" t="str">
        <f>IF(B1405="","",IF(NOT(ISNUMBER(B1405)),"DATA_PC invalida",IF(NOT(ISNUMBER(parametros!$C$2)),"Fora dos ciclos",IF(OR(B1405&lt;parametros!$C$2,(YEAR(B1405)-YEAR(parametros!$C$2))*12+MONTH(B1405)-MONTH(parametros!$C$2)&gt;59),"Fora dos ciclos","C"&amp;INT(((YEAR(B1405)-YEAR(parametros!$C$2))*12+MONTH(B1405)-MONTH(parametros!$C$2))/12)))))</f>
        <v/>
      </c>
      <c r="D1405" s="394"/>
      <c r="E1405" s="78" t="str">
        <f>IF(C1405="","",IFERROR(VLOOKUP(C1405,parametros!$A$11:$E$15,5,0),""))</f>
        <v/>
      </c>
      <c r="F1405" s="79" t="str">
        <f t="shared" si="107"/>
        <v/>
      </c>
      <c r="G1405" s="395"/>
      <c r="H1405" s="91">
        <f t="shared" si="108"/>
        <v>0</v>
      </c>
      <c r="I1405" s="91" t="str">
        <f t="shared" si="109"/>
        <v/>
      </c>
      <c r="J1405" s="91" t="str">
        <f t="shared" si="110"/>
        <v/>
      </c>
      <c r="K1405" s="92" t="str">
        <f>IF(AND(A1405="",B1405="",D1405="",G1405=""),"",IF(AND(A1405&lt;&gt;"",COUNTIF($A$2:$A$5001,A1405)&gt;1),"NUMERO_PC duplicado",IF(B1405="","DATA_PC vazia",IF(NOT(ISNUMBER(B1405)),"DATA_PC invalida",IF(OR(C1405="",C1405="Fora dos ciclos"),"CICLO_PC nao identificado",IF(OR(D1405="",D1405=0),"VALOR_PC vazio ou zero",IF(AND(G1405&lt;&gt;"Sim",G1405&lt;&gt;"Nao",G1405&lt;&gt;""),"PC_PAGO_A_CONTRATADA invalido",IF(AND(C1405&lt;&gt;"C0",IFERROR(INDEX(parametros!$A$2:$A$6,MATCH(C1405,parametros!$B$2:$B$6,0)),"")="Sim",IFERROR(INDEX(parametros!$H$2:$H$6,MATCH(C1405,parametros!$B$2:$B$6,0)),"")=""),"INICIO_EFEITO ausente: PC "&amp;A1405&amp;" - "&amp;C1405,IF(L1405="","EFEITO_PC nao calculado: PC "&amp;A1405&amp;" - "&amp;C1405,"OK")))))))))</f>
        <v/>
      </c>
      <c r="L1405" s="92" t="str">
        <f>IF(AND(A1405="",B1405="",D1405="",G1405=""),"",IF(OR(B1405="",NOT(ISNUMBER(B1405)),C1405="",C1405="Fora dos ciclos"),"",IF(C1405="C0","Nao",IF(IFERROR(INDEX(parametros!$A$2:$A$6,MATCH(C1405,parametros!$B$2:$B$6,0)),"")&lt;&gt;"Sim","Nao",IF(IFERROR(INDEX(parametros!$H$2:$H$6,MATCH(C1405,parametros!$B$2:$B$6,0)),"")="","",IF(B1405&gt;=IFERROR(INDEX(parametros!$H$2:$H$6,MATCH(C1405,parametros!$B$2:$B$6,0)),""),"Sim","Nao"))))))</f>
        <v/>
      </c>
      <c r="T1405" s="156"/>
      <c r="U1405" s="214" t="str">
        <f t="shared" si="111"/>
        <v/>
      </c>
      <c r="V1405" s="212" t="s">
        <v>50</v>
      </c>
      <c r="W1405" s="100" t="s">
        <v>168</v>
      </c>
      <c r="X1405" s="100" t="s">
        <v>169</v>
      </c>
      <c r="Y1405" s="101" t="s">
        <v>170</v>
      </c>
      <c r="Z1405" s="101" t="s">
        <v>171</v>
      </c>
      <c r="AA1405" s="101" t="s">
        <v>50</v>
      </c>
      <c r="AB1405" s="101" t="s">
        <v>172</v>
      </c>
      <c r="AC1405" s="102" t="s">
        <v>173</v>
      </c>
    </row>
    <row r="1406" spans="1:29" ht="25.5" customHeight="1" x14ac:dyDescent="0.35">
      <c r="A1406" s="392"/>
      <c r="B1406" s="393"/>
      <c r="C1406" s="99" t="str">
        <f>IF(B1406="","",IF(NOT(ISNUMBER(B1406)),"DATA_PC invalida",IF(NOT(ISNUMBER(parametros!$C$2)),"Fora dos ciclos",IF(OR(B1406&lt;parametros!$C$2,(YEAR(B1406)-YEAR(parametros!$C$2))*12+MONTH(B1406)-MONTH(parametros!$C$2)&gt;59),"Fora dos ciclos","C"&amp;INT(((YEAR(B1406)-YEAR(parametros!$C$2))*12+MONTH(B1406)-MONTH(parametros!$C$2))/12)))))</f>
        <v/>
      </c>
      <c r="D1406" s="394"/>
      <c r="E1406" s="78" t="str">
        <f>IF(C1406="","",IFERROR(VLOOKUP(C1406,parametros!$A$11:$E$15,5,0),""))</f>
        <v/>
      </c>
      <c r="F1406" s="79" t="str">
        <f t="shared" si="107"/>
        <v/>
      </c>
      <c r="G1406" s="395"/>
      <c r="H1406" s="91">
        <f t="shared" si="108"/>
        <v>0</v>
      </c>
      <c r="I1406" s="91" t="str">
        <f t="shared" si="109"/>
        <v/>
      </c>
      <c r="J1406" s="91" t="str">
        <f t="shared" si="110"/>
        <v/>
      </c>
      <c r="K1406" s="92" t="str">
        <f>IF(AND(A1406="",B1406="",D1406="",G1406=""),"",IF(AND(A1406&lt;&gt;"",COUNTIF($A$2:$A$5001,A1406)&gt;1),"NUMERO_PC duplicado",IF(B1406="","DATA_PC vazia",IF(NOT(ISNUMBER(B1406)),"DATA_PC invalida",IF(OR(C1406="",C1406="Fora dos ciclos"),"CICLO_PC nao identificado",IF(OR(D1406="",D1406=0),"VALOR_PC vazio ou zero",IF(AND(G1406&lt;&gt;"Sim",G1406&lt;&gt;"Nao",G1406&lt;&gt;""),"PC_PAGO_A_CONTRATADA invalido",IF(AND(C1406&lt;&gt;"C0",IFERROR(INDEX(parametros!$A$2:$A$6,MATCH(C1406,parametros!$B$2:$B$6,0)),"")="Sim",IFERROR(INDEX(parametros!$H$2:$H$6,MATCH(C1406,parametros!$B$2:$B$6,0)),"")=""),"INICIO_EFEITO ausente: PC "&amp;A1406&amp;" - "&amp;C1406,IF(L1406="","EFEITO_PC nao calculado: PC "&amp;A1406&amp;" - "&amp;C1406,"OK")))))))))</f>
        <v/>
      </c>
      <c r="L1406" s="92" t="str">
        <f>IF(AND(A1406="",B1406="",D1406="",G1406=""),"",IF(OR(B1406="",NOT(ISNUMBER(B1406)),C1406="",C1406="Fora dos ciclos"),"",IF(C1406="C0","Nao",IF(IFERROR(INDEX(parametros!$A$2:$A$6,MATCH(C1406,parametros!$B$2:$B$6,0)),"")&lt;&gt;"Sim","Nao",IF(IFERROR(INDEX(parametros!$H$2:$H$6,MATCH(C1406,parametros!$B$2:$B$6,0)),"")="","",IF(B1406&gt;=IFERROR(INDEX(parametros!$H$2:$H$6,MATCH(C1406,parametros!$B$2:$B$6,0)),""),"Sim","Nao"))))))</f>
        <v/>
      </c>
      <c r="T1406" s="156"/>
      <c r="U1406" s="214" t="str">
        <f t="shared" si="111"/>
        <v/>
      </c>
      <c r="V1406" s="212" t="s">
        <v>50</v>
      </c>
      <c r="W1406" s="100" t="s">
        <v>168</v>
      </c>
      <c r="X1406" s="100" t="s">
        <v>169</v>
      </c>
      <c r="Y1406" s="101" t="s">
        <v>170</v>
      </c>
      <c r="Z1406" s="101" t="s">
        <v>171</v>
      </c>
      <c r="AA1406" s="101" t="s">
        <v>50</v>
      </c>
      <c r="AB1406" s="101" t="s">
        <v>172</v>
      </c>
      <c r="AC1406" s="102" t="s">
        <v>173</v>
      </c>
    </row>
    <row r="1407" spans="1:29" ht="25.5" customHeight="1" x14ac:dyDescent="0.35">
      <c r="A1407" s="392"/>
      <c r="B1407" s="393"/>
      <c r="C1407" s="99" t="str">
        <f>IF(B1407="","",IF(NOT(ISNUMBER(B1407)),"DATA_PC invalida",IF(NOT(ISNUMBER(parametros!$C$2)),"Fora dos ciclos",IF(OR(B1407&lt;parametros!$C$2,(YEAR(B1407)-YEAR(parametros!$C$2))*12+MONTH(B1407)-MONTH(parametros!$C$2)&gt;59),"Fora dos ciclos","C"&amp;INT(((YEAR(B1407)-YEAR(parametros!$C$2))*12+MONTH(B1407)-MONTH(parametros!$C$2))/12)))))</f>
        <v/>
      </c>
      <c r="D1407" s="394"/>
      <c r="E1407" s="78" t="str">
        <f>IF(C1407="","",IFERROR(VLOOKUP(C1407,parametros!$A$11:$E$15,5,0),""))</f>
        <v/>
      </c>
      <c r="F1407" s="79" t="str">
        <f t="shared" si="107"/>
        <v/>
      </c>
      <c r="G1407" s="395"/>
      <c r="H1407" s="91">
        <f t="shared" si="108"/>
        <v>0</v>
      </c>
      <c r="I1407" s="91" t="str">
        <f t="shared" si="109"/>
        <v/>
      </c>
      <c r="J1407" s="91" t="str">
        <f t="shared" si="110"/>
        <v/>
      </c>
      <c r="K1407" s="92" t="str">
        <f>IF(AND(A1407="",B1407="",D1407="",G1407=""),"",IF(AND(A1407&lt;&gt;"",COUNTIF($A$2:$A$5001,A1407)&gt;1),"NUMERO_PC duplicado",IF(B1407="","DATA_PC vazia",IF(NOT(ISNUMBER(B1407)),"DATA_PC invalida",IF(OR(C1407="",C1407="Fora dos ciclos"),"CICLO_PC nao identificado",IF(OR(D1407="",D1407=0),"VALOR_PC vazio ou zero",IF(AND(G1407&lt;&gt;"Sim",G1407&lt;&gt;"Nao",G1407&lt;&gt;""),"PC_PAGO_A_CONTRATADA invalido",IF(AND(C1407&lt;&gt;"C0",IFERROR(INDEX(parametros!$A$2:$A$6,MATCH(C1407,parametros!$B$2:$B$6,0)),"")="Sim",IFERROR(INDEX(parametros!$H$2:$H$6,MATCH(C1407,parametros!$B$2:$B$6,0)),"")=""),"INICIO_EFEITO ausente: PC "&amp;A1407&amp;" - "&amp;C1407,IF(L1407="","EFEITO_PC nao calculado: PC "&amp;A1407&amp;" - "&amp;C1407,"OK")))))))))</f>
        <v/>
      </c>
      <c r="L1407" s="92" t="str">
        <f>IF(AND(A1407="",B1407="",D1407="",G1407=""),"",IF(OR(B1407="",NOT(ISNUMBER(B1407)),C1407="",C1407="Fora dos ciclos"),"",IF(C1407="C0","Nao",IF(IFERROR(INDEX(parametros!$A$2:$A$6,MATCH(C1407,parametros!$B$2:$B$6,0)),"")&lt;&gt;"Sim","Nao",IF(IFERROR(INDEX(parametros!$H$2:$H$6,MATCH(C1407,parametros!$B$2:$B$6,0)),"")="","",IF(B1407&gt;=IFERROR(INDEX(parametros!$H$2:$H$6,MATCH(C1407,parametros!$B$2:$B$6,0)),""),"Sim","Nao"))))))</f>
        <v/>
      </c>
      <c r="T1407" s="156"/>
      <c r="U1407" s="214" t="str">
        <f t="shared" si="111"/>
        <v/>
      </c>
      <c r="V1407" s="212" t="s">
        <v>50</v>
      </c>
      <c r="W1407" s="100" t="s">
        <v>168</v>
      </c>
      <c r="X1407" s="100" t="s">
        <v>169</v>
      </c>
      <c r="Y1407" s="101" t="s">
        <v>170</v>
      </c>
      <c r="Z1407" s="101" t="s">
        <v>171</v>
      </c>
      <c r="AA1407" s="101" t="s">
        <v>50</v>
      </c>
      <c r="AB1407" s="101" t="s">
        <v>172</v>
      </c>
      <c r="AC1407" s="102" t="s">
        <v>173</v>
      </c>
    </row>
    <row r="1408" spans="1:29" ht="25.5" customHeight="1" x14ac:dyDescent="0.35">
      <c r="A1408" s="392"/>
      <c r="B1408" s="393"/>
      <c r="C1408" s="99" t="str">
        <f>IF(B1408="","",IF(NOT(ISNUMBER(B1408)),"DATA_PC invalida",IF(NOT(ISNUMBER(parametros!$C$2)),"Fora dos ciclos",IF(OR(B1408&lt;parametros!$C$2,(YEAR(B1408)-YEAR(parametros!$C$2))*12+MONTH(B1408)-MONTH(parametros!$C$2)&gt;59),"Fora dos ciclos","C"&amp;INT(((YEAR(B1408)-YEAR(parametros!$C$2))*12+MONTH(B1408)-MONTH(parametros!$C$2))/12)))))</f>
        <v/>
      </c>
      <c r="D1408" s="394"/>
      <c r="E1408" s="78" t="str">
        <f>IF(C1408="","",IFERROR(VLOOKUP(C1408,parametros!$A$11:$E$15,5,0),""))</f>
        <v/>
      </c>
      <c r="F1408" s="79" t="str">
        <f t="shared" si="107"/>
        <v/>
      </c>
      <c r="G1408" s="395"/>
      <c r="H1408" s="91">
        <f t="shared" si="108"/>
        <v>0</v>
      </c>
      <c r="I1408" s="91" t="str">
        <f t="shared" si="109"/>
        <v/>
      </c>
      <c r="J1408" s="91" t="str">
        <f t="shared" si="110"/>
        <v/>
      </c>
      <c r="K1408" s="92" t="str">
        <f>IF(AND(A1408="",B1408="",D1408="",G1408=""),"",IF(AND(A1408&lt;&gt;"",COUNTIF($A$2:$A$5001,A1408)&gt;1),"NUMERO_PC duplicado",IF(B1408="","DATA_PC vazia",IF(NOT(ISNUMBER(B1408)),"DATA_PC invalida",IF(OR(C1408="",C1408="Fora dos ciclos"),"CICLO_PC nao identificado",IF(OR(D1408="",D1408=0),"VALOR_PC vazio ou zero",IF(AND(G1408&lt;&gt;"Sim",G1408&lt;&gt;"Nao",G1408&lt;&gt;""),"PC_PAGO_A_CONTRATADA invalido",IF(AND(C1408&lt;&gt;"C0",IFERROR(INDEX(parametros!$A$2:$A$6,MATCH(C1408,parametros!$B$2:$B$6,0)),"")="Sim",IFERROR(INDEX(parametros!$H$2:$H$6,MATCH(C1408,parametros!$B$2:$B$6,0)),"")=""),"INICIO_EFEITO ausente: PC "&amp;A1408&amp;" - "&amp;C1408,IF(L1408="","EFEITO_PC nao calculado: PC "&amp;A1408&amp;" - "&amp;C1408,"OK")))))))))</f>
        <v/>
      </c>
      <c r="L1408" s="92" t="str">
        <f>IF(AND(A1408="",B1408="",D1408="",G1408=""),"",IF(OR(B1408="",NOT(ISNUMBER(B1408)),C1408="",C1408="Fora dos ciclos"),"",IF(C1408="C0","Nao",IF(IFERROR(INDEX(parametros!$A$2:$A$6,MATCH(C1408,parametros!$B$2:$B$6,0)),"")&lt;&gt;"Sim","Nao",IF(IFERROR(INDEX(parametros!$H$2:$H$6,MATCH(C1408,parametros!$B$2:$B$6,0)),"")="","",IF(B1408&gt;=IFERROR(INDEX(parametros!$H$2:$H$6,MATCH(C1408,parametros!$B$2:$B$6,0)),""),"Sim","Nao"))))))</f>
        <v/>
      </c>
      <c r="T1408" s="156"/>
      <c r="U1408" s="214" t="str">
        <f t="shared" si="111"/>
        <v/>
      </c>
      <c r="V1408" s="212" t="s">
        <v>50</v>
      </c>
      <c r="W1408" s="100" t="s">
        <v>168</v>
      </c>
      <c r="X1408" s="100" t="s">
        <v>169</v>
      </c>
      <c r="Y1408" s="101" t="s">
        <v>170</v>
      </c>
      <c r="Z1408" s="101" t="s">
        <v>171</v>
      </c>
      <c r="AA1408" s="101" t="s">
        <v>50</v>
      </c>
      <c r="AB1408" s="101" t="s">
        <v>172</v>
      </c>
      <c r="AC1408" s="102" t="s">
        <v>173</v>
      </c>
    </row>
    <row r="1409" spans="1:29" ht="25.5" customHeight="1" x14ac:dyDescent="0.35">
      <c r="A1409" s="392"/>
      <c r="B1409" s="393"/>
      <c r="C1409" s="99" t="str">
        <f>IF(B1409="","",IF(NOT(ISNUMBER(B1409)),"DATA_PC invalida",IF(NOT(ISNUMBER(parametros!$C$2)),"Fora dos ciclos",IF(OR(B1409&lt;parametros!$C$2,(YEAR(B1409)-YEAR(parametros!$C$2))*12+MONTH(B1409)-MONTH(parametros!$C$2)&gt;59),"Fora dos ciclos","C"&amp;INT(((YEAR(B1409)-YEAR(parametros!$C$2))*12+MONTH(B1409)-MONTH(parametros!$C$2))/12)))))</f>
        <v/>
      </c>
      <c r="D1409" s="394"/>
      <c r="E1409" s="78" t="str">
        <f>IF(C1409="","",IFERROR(VLOOKUP(C1409,parametros!$A$11:$E$15,5,0),""))</f>
        <v/>
      </c>
      <c r="F1409" s="79" t="str">
        <f t="shared" si="107"/>
        <v/>
      </c>
      <c r="G1409" s="395"/>
      <c r="H1409" s="91">
        <f t="shared" si="108"/>
        <v>0</v>
      </c>
      <c r="I1409" s="91" t="str">
        <f t="shared" si="109"/>
        <v/>
      </c>
      <c r="J1409" s="91" t="str">
        <f t="shared" si="110"/>
        <v/>
      </c>
      <c r="K1409" s="92" t="str">
        <f>IF(AND(A1409="",B1409="",D1409="",G1409=""),"",IF(AND(A1409&lt;&gt;"",COUNTIF($A$2:$A$5001,A1409)&gt;1),"NUMERO_PC duplicado",IF(B1409="","DATA_PC vazia",IF(NOT(ISNUMBER(B1409)),"DATA_PC invalida",IF(OR(C1409="",C1409="Fora dos ciclos"),"CICLO_PC nao identificado",IF(OR(D1409="",D1409=0),"VALOR_PC vazio ou zero",IF(AND(G1409&lt;&gt;"Sim",G1409&lt;&gt;"Nao",G1409&lt;&gt;""),"PC_PAGO_A_CONTRATADA invalido",IF(AND(C1409&lt;&gt;"C0",IFERROR(INDEX(parametros!$A$2:$A$6,MATCH(C1409,parametros!$B$2:$B$6,0)),"")="Sim",IFERROR(INDEX(parametros!$H$2:$H$6,MATCH(C1409,parametros!$B$2:$B$6,0)),"")=""),"INICIO_EFEITO ausente: PC "&amp;A1409&amp;" - "&amp;C1409,IF(L1409="","EFEITO_PC nao calculado: PC "&amp;A1409&amp;" - "&amp;C1409,"OK")))))))))</f>
        <v/>
      </c>
      <c r="L1409" s="92" t="str">
        <f>IF(AND(A1409="",B1409="",D1409="",G1409=""),"",IF(OR(B1409="",NOT(ISNUMBER(B1409)),C1409="",C1409="Fora dos ciclos"),"",IF(C1409="C0","Nao",IF(IFERROR(INDEX(parametros!$A$2:$A$6,MATCH(C1409,parametros!$B$2:$B$6,0)),"")&lt;&gt;"Sim","Nao",IF(IFERROR(INDEX(parametros!$H$2:$H$6,MATCH(C1409,parametros!$B$2:$B$6,0)),"")="","",IF(B1409&gt;=IFERROR(INDEX(parametros!$H$2:$H$6,MATCH(C1409,parametros!$B$2:$B$6,0)),""),"Sim","Nao"))))))</f>
        <v/>
      </c>
      <c r="T1409" s="156"/>
      <c r="U1409" s="214" t="str">
        <f t="shared" si="111"/>
        <v/>
      </c>
      <c r="V1409" s="212" t="s">
        <v>50</v>
      </c>
      <c r="W1409" s="100" t="s">
        <v>168</v>
      </c>
      <c r="X1409" s="100" t="s">
        <v>169</v>
      </c>
      <c r="Y1409" s="101" t="s">
        <v>170</v>
      </c>
      <c r="Z1409" s="101" t="s">
        <v>171</v>
      </c>
      <c r="AA1409" s="101" t="s">
        <v>50</v>
      </c>
      <c r="AB1409" s="101" t="s">
        <v>172</v>
      </c>
      <c r="AC1409" s="102" t="s">
        <v>173</v>
      </c>
    </row>
    <row r="1410" spans="1:29" ht="25.5" customHeight="1" x14ac:dyDescent="0.35">
      <c r="A1410" s="392"/>
      <c r="B1410" s="393"/>
      <c r="C1410" s="99" t="str">
        <f>IF(B1410="","",IF(NOT(ISNUMBER(B1410)),"DATA_PC invalida",IF(NOT(ISNUMBER(parametros!$C$2)),"Fora dos ciclos",IF(OR(B1410&lt;parametros!$C$2,(YEAR(B1410)-YEAR(parametros!$C$2))*12+MONTH(B1410)-MONTH(parametros!$C$2)&gt;59),"Fora dos ciclos","C"&amp;INT(((YEAR(B1410)-YEAR(parametros!$C$2))*12+MONTH(B1410)-MONTH(parametros!$C$2))/12)))))</f>
        <v/>
      </c>
      <c r="D1410" s="394"/>
      <c r="E1410" s="78" t="str">
        <f>IF(C1410="","",IFERROR(VLOOKUP(C1410,parametros!$A$11:$E$15,5,0),""))</f>
        <v/>
      </c>
      <c r="F1410" s="79" t="str">
        <f t="shared" ref="F1410:F1473" si="112">IF(OR(D1410="",E1410=""),"",ROUND(D1410*E1410,2))</f>
        <v/>
      </c>
      <c r="G1410" s="395"/>
      <c r="H1410" s="91">
        <f t="shared" ref="H1410:H1473" si="113">IF(G1410="Sim",IF(OR(F1410="",D1410="",L1410=""),"",IF(L1410="Sim",ROUND(F1410-D1410,2),0)),0)</f>
        <v>0</v>
      </c>
      <c r="I1410" s="91" t="str">
        <f t="shared" ref="I1410:I1473" si="114">IF(G1410="Sim",0,IF(OR(F1410="",L1410=""),"",F1410))</f>
        <v/>
      </c>
      <c r="J1410" s="91" t="str">
        <f t="shared" ref="J1410:J1473" si="115">IF(G1410="Sim",0,IF(OR(F1410="",D1410="",L1410=""),"",IF(L1410="Sim",ROUND(F1410-D1410,2),0)))</f>
        <v/>
      </c>
      <c r="K1410" s="92" t="str">
        <f>IF(AND(A1410="",B1410="",D1410="",G1410=""),"",IF(AND(A1410&lt;&gt;"",COUNTIF($A$2:$A$5001,A1410)&gt;1),"NUMERO_PC duplicado",IF(B1410="","DATA_PC vazia",IF(NOT(ISNUMBER(B1410)),"DATA_PC invalida",IF(OR(C1410="",C1410="Fora dos ciclos"),"CICLO_PC nao identificado",IF(OR(D1410="",D1410=0),"VALOR_PC vazio ou zero",IF(AND(G1410&lt;&gt;"Sim",G1410&lt;&gt;"Nao",G1410&lt;&gt;""),"PC_PAGO_A_CONTRATADA invalido",IF(AND(C1410&lt;&gt;"C0",IFERROR(INDEX(parametros!$A$2:$A$6,MATCH(C1410,parametros!$B$2:$B$6,0)),"")="Sim",IFERROR(INDEX(parametros!$H$2:$H$6,MATCH(C1410,parametros!$B$2:$B$6,0)),"")=""),"INICIO_EFEITO ausente: PC "&amp;A1410&amp;" - "&amp;C1410,IF(L1410="","EFEITO_PC nao calculado: PC "&amp;A1410&amp;" - "&amp;C1410,"OK")))))))))</f>
        <v/>
      </c>
      <c r="L1410" s="92" t="str">
        <f>IF(AND(A1410="",B1410="",D1410="",G1410=""),"",IF(OR(B1410="",NOT(ISNUMBER(B1410)),C1410="",C1410="Fora dos ciclos"),"",IF(C1410="C0","Nao",IF(IFERROR(INDEX(parametros!$A$2:$A$6,MATCH(C1410,parametros!$B$2:$B$6,0)),"")&lt;&gt;"Sim","Nao",IF(IFERROR(INDEX(parametros!$H$2:$H$6,MATCH(C1410,parametros!$B$2:$B$6,0)),"")="","",IF(B1410&gt;=IFERROR(INDEX(parametros!$H$2:$H$6,MATCH(C1410,parametros!$B$2:$B$6,0)),""),"Sim","Nao"))))))</f>
        <v/>
      </c>
      <c r="T1410" s="156"/>
      <c r="U1410" s="214" t="str">
        <f t="shared" ref="U1410:U1473" si="116">IF(OR($D1410="",$H1410=""),"",ROUND($D1410+$H1410,2))</f>
        <v/>
      </c>
      <c r="V1410" s="212" t="s">
        <v>50</v>
      </c>
      <c r="W1410" s="100" t="s">
        <v>168</v>
      </c>
      <c r="X1410" s="100" t="s">
        <v>169</v>
      </c>
      <c r="Y1410" s="101" t="s">
        <v>170</v>
      </c>
      <c r="Z1410" s="101" t="s">
        <v>171</v>
      </c>
      <c r="AA1410" s="101" t="s">
        <v>50</v>
      </c>
      <c r="AB1410" s="101" t="s">
        <v>172</v>
      </c>
      <c r="AC1410" s="102" t="s">
        <v>173</v>
      </c>
    </row>
    <row r="1411" spans="1:29" ht="25.5" customHeight="1" x14ac:dyDescent="0.35">
      <c r="A1411" s="392"/>
      <c r="B1411" s="393"/>
      <c r="C1411" s="99" t="str">
        <f>IF(B1411="","",IF(NOT(ISNUMBER(B1411)),"DATA_PC invalida",IF(NOT(ISNUMBER(parametros!$C$2)),"Fora dos ciclos",IF(OR(B1411&lt;parametros!$C$2,(YEAR(B1411)-YEAR(parametros!$C$2))*12+MONTH(B1411)-MONTH(parametros!$C$2)&gt;59),"Fora dos ciclos","C"&amp;INT(((YEAR(B1411)-YEAR(parametros!$C$2))*12+MONTH(B1411)-MONTH(parametros!$C$2))/12)))))</f>
        <v/>
      </c>
      <c r="D1411" s="394"/>
      <c r="E1411" s="78" t="str">
        <f>IF(C1411="","",IFERROR(VLOOKUP(C1411,parametros!$A$11:$E$15,5,0),""))</f>
        <v/>
      </c>
      <c r="F1411" s="79" t="str">
        <f t="shared" si="112"/>
        <v/>
      </c>
      <c r="G1411" s="395"/>
      <c r="H1411" s="91">
        <f t="shared" si="113"/>
        <v>0</v>
      </c>
      <c r="I1411" s="91" t="str">
        <f t="shared" si="114"/>
        <v/>
      </c>
      <c r="J1411" s="91" t="str">
        <f t="shared" si="115"/>
        <v/>
      </c>
      <c r="K1411" s="92" t="str">
        <f>IF(AND(A1411="",B1411="",D1411="",G1411=""),"",IF(AND(A1411&lt;&gt;"",COUNTIF($A$2:$A$5001,A1411)&gt;1),"NUMERO_PC duplicado",IF(B1411="","DATA_PC vazia",IF(NOT(ISNUMBER(B1411)),"DATA_PC invalida",IF(OR(C1411="",C1411="Fora dos ciclos"),"CICLO_PC nao identificado",IF(OR(D1411="",D1411=0),"VALOR_PC vazio ou zero",IF(AND(G1411&lt;&gt;"Sim",G1411&lt;&gt;"Nao",G1411&lt;&gt;""),"PC_PAGO_A_CONTRATADA invalido",IF(AND(C1411&lt;&gt;"C0",IFERROR(INDEX(parametros!$A$2:$A$6,MATCH(C1411,parametros!$B$2:$B$6,0)),"")="Sim",IFERROR(INDEX(parametros!$H$2:$H$6,MATCH(C1411,parametros!$B$2:$B$6,0)),"")=""),"INICIO_EFEITO ausente: PC "&amp;A1411&amp;" - "&amp;C1411,IF(L1411="","EFEITO_PC nao calculado: PC "&amp;A1411&amp;" - "&amp;C1411,"OK")))))))))</f>
        <v/>
      </c>
      <c r="L1411" s="92" t="str">
        <f>IF(AND(A1411="",B1411="",D1411="",G1411=""),"",IF(OR(B1411="",NOT(ISNUMBER(B1411)),C1411="",C1411="Fora dos ciclos"),"",IF(C1411="C0","Nao",IF(IFERROR(INDEX(parametros!$A$2:$A$6,MATCH(C1411,parametros!$B$2:$B$6,0)),"")&lt;&gt;"Sim","Nao",IF(IFERROR(INDEX(parametros!$H$2:$H$6,MATCH(C1411,parametros!$B$2:$B$6,0)),"")="","",IF(B1411&gt;=IFERROR(INDEX(parametros!$H$2:$H$6,MATCH(C1411,parametros!$B$2:$B$6,0)),""),"Sim","Nao"))))))</f>
        <v/>
      </c>
      <c r="T1411" s="156"/>
      <c r="U1411" s="214" t="str">
        <f t="shared" si="116"/>
        <v/>
      </c>
      <c r="V1411" s="212" t="s">
        <v>50</v>
      </c>
      <c r="W1411" s="100" t="s">
        <v>168</v>
      </c>
      <c r="X1411" s="100" t="s">
        <v>169</v>
      </c>
      <c r="Y1411" s="101" t="s">
        <v>170</v>
      </c>
      <c r="Z1411" s="101" t="s">
        <v>171</v>
      </c>
      <c r="AA1411" s="101" t="s">
        <v>50</v>
      </c>
      <c r="AB1411" s="101" t="s">
        <v>172</v>
      </c>
      <c r="AC1411" s="102" t="s">
        <v>173</v>
      </c>
    </row>
    <row r="1412" spans="1:29" ht="25.5" customHeight="1" x14ac:dyDescent="0.35">
      <c r="A1412" s="392"/>
      <c r="B1412" s="393"/>
      <c r="C1412" s="99" t="str">
        <f>IF(B1412="","",IF(NOT(ISNUMBER(B1412)),"DATA_PC invalida",IF(NOT(ISNUMBER(parametros!$C$2)),"Fora dos ciclos",IF(OR(B1412&lt;parametros!$C$2,(YEAR(B1412)-YEAR(parametros!$C$2))*12+MONTH(B1412)-MONTH(parametros!$C$2)&gt;59),"Fora dos ciclos","C"&amp;INT(((YEAR(B1412)-YEAR(parametros!$C$2))*12+MONTH(B1412)-MONTH(parametros!$C$2))/12)))))</f>
        <v/>
      </c>
      <c r="D1412" s="394"/>
      <c r="E1412" s="78" t="str">
        <f>IF(C1412="","",IFERROR(VLOOKUP(C1412,parametros!$A$11:$E$15,5,0),""))</f>
        <v/>
      </c>
      <c r="F1412" s="79" t="str">
        <f t="shared" si="112"/>
        <v/>
      </c>
      <c r="G1412" s="395"/>
      <c r="H1412" s="91">
        <f t="shared" si="113"/>
        <v>0</v>
      </c>
      <c r="I1412" s="91" t="str">
        <f t="shared" si="114"/>
        <v/>
      </c>
      <c r="J1412" s="91" t="str">
        <f t="shared" si="115"/>
        <v/>
      </c>
      <c r="K1412" s="92" t="str">
        <f>IF(AND(A1412="",B1412="",D1412="",G1412=""),"",IF(AND(A1412&lt;&gt;"",COUNTIF($A$2:$A$5001,A1412)&gt;1),"NUMERO_PC duplicado",IF(B1412="","DATA_PC vazia",IF(NOT(ISNUMBER(B1412)),"DATA_PC invalida",IF(OR(C1412="",C1412="Fora dos ciclos"),"CICLO_PC nao identificado",IF(OR(D1412="",D1412=0),"VALOR_PC vazio ou zero",IF(AND(G1412&lt;&gt;"Sim",G1412&lt;&gt;"Nao",G1412&lt;&gt;""),"PC_PAGO_A_CONTRATADA invalido",IF(AND(C1412&lt;&gt;"C0",IFERROR(INDEX(parametros!$A$2:$A$6,MATCH(C1412,parametros!$B$2:$B$6,0)),"")="Sim",IFERROR(INDEX(parametros!$H$2:$H$6,MATCH(C1412,parametros!$B$2:$B$6,0)),"")=""),"INICIO_EFEITO ausente: PC "&amp;A1412&amp;" - "&amp;C1412,IF(L1412="","EFEITO_PC nao calculado: PC "&amp;A1412&amp;" - "&amp;C1412,"OK")))))))))</f>
        <v/>
      </c>
      <c r="L1412" s="92" t="str">
        <f>IF(AND(A1412="",B1412="",D1412="",G1412=""),"",IF(OR(B1412="",NOT(ISNUMBER(B1412)),C1412="",C1412="Fora dos ciclos"),"",IF(C1412="C0","Nao",IF(IFERROR(INDEX(parametros!$A$2:$A$6,MATCH(C1412,parametros!$B$2:$B$6,0)),"")&lt;&gt;"Sim","Nao",IF(IFERROR(INDEX(parametros!$H$2:$H$6,MATCH(C1412,parametros!$B$2:$B$6,0)),"")="","",IF(B1412&gt;=IFERROR(INDEX(parametros!$H$2:$H$6,MATCH(C1412,parametros!$B$2:$B$6,0)),""),"Sim","Nao"))))))</f>
        <v/>
      </c>
      <c r="T1412" s="156"/>
      <c r="U1412" s="214" t="str">
        <f t="shared" si="116"/>
        <v/>
      </c>
      <c r="V1412" s="212" t="s">
        <v>50</v>
      </c>
      <c r="W1412" s="100" t="s">
        <v>168</v>
      </c>
      <c r="X1412" s="100" t="s">
        <v>169</v>
      </c>
      <c r="Y1412" s="101" t="s">
        <v>170</v>
      </c>
      <c r="Z1412" s="101" t="s">
        <v>171</v>
      </c>
      <c r="AA1412" s="101" t="s">
        <v>50</v>
      </c>
      <c r="AB1412" s="101" t="s">
        <v>172</v>
      </c>
      <c r="AC1412" s="102" t="s">
        <v>173</v>
      </c>
    </row>
    <row r="1413" spans="1:29" ht="25.5" customHeight="1" x14ac:dyDescent="0.35">
      <c r="A1413" s="392"/>
      <c r="B1413" s="393"/>
      <c r="C1413" s="99" t="str">
        <f>IF(B1413="","",IF(NOT(ISNUMBER(B1413)),"DATA_PC invalida",IF(NOT(ISNUMBER(parametros!$C$2)),"Fora dos ciclos",IF(OR(B1413&lt;parametros!$C$2,(YEAR(B1413)-YEAR(parametros!$C$2))*12+MONTH(B1413)-MONTH(parametros!$C$2)&gt;59),"Fora dos ciclos","C"&amp;INT(((YEAR(B1413)-YEAR(parametros!$C$2))*12+MONTH(B1413)-MONTH(parametros!$C$2))/12)))))</f>
        <v/>
      </c>
      <c r="D1413" s="394"/>
      <c r="E1413" s="78" t="str">
        <f>IF(C1413="","",IFERROR(VLOOKUP(C1413,parametros!$A$11:$E$15,5,0),""))</f>
        <v/>
      </c>
      <c r="F1413" s="79" t="str">
        <f t="shared" si="112"/>
        <v/>
      </c>
      <c r="G1413" s="395"/>
      <c r="H1413" s="91">
        <f t="shared" si="113"/>
        <v>0</v>
      </c>
      <c r="I1413" s="91" t="str">
        <f t="shared" si="114"/>
        <v/>
      </c>
      <c r="J1413" s="91" t="str">
        <f t="shared" si="115"/>
        <v/>
      </c>
      <c r="K1413" s="92" t="str">
        <f>IF(AND(A1413="",B1413="",D1413="",G1413=""),"",IF(AND(A1413&lt;&gt;"",COUNTIF($A$2:$A$5001,A1413)&gt;1),"NUMERO_PC duplicado",IF(B1413="","DATA_PC vazia",IF(NOT(ISNUMBER(B1413)),"DATA_PC invalida",IF(OR(C1413="",C1413="Fora dos ciclos"),"CICLO_PC nao identificado",IF(OR(D1413="",D1413=0),"VALOR_PC vazio ou zero",IF(AND(G1413&lt;&gt;"Sim",G1413&lt;&gt;"Nao",G1413&lt;&gt;""),"PC_PAGO_A_CONTRATADA invalido",IF(AND(C1413&lt;&gt;"C0",IFERROR(INDEX(parametros!$A$2:$A$6,MATCH(C1413,parametros!$B$2:$B$6,0)),"")="Sim",IFERROR(INDEX(parametros!$H$2:$H$6,MATCH(C1413,parametros!$B$2:$B$6,0)),"")=""),"INICIO_EFEITO ausente: PC "&amp;A1413&amp;" - "&amp;C1413,IF(L1413="","EFEITO_PC nao calculado: PC "&amp;A1413&amp;" - "&amp;C1413,"OK")))))))))</f>
        <v/>
      </c>
      <c r="L1413" s="92" t="str">
        <f>IF(AND(A1413="",B1413="",D1413="",G1413=""),"",IF(OR(B1413="",NOT(ISNUMBER(B1413)),C1413="",C1413="Fora dos ciclos"),"",IF(C1413="C0","Nao",IF(IFERROR(INDEX(parametros!$A$2:$A$6,MATCH(C1413,parametros!$B$2:$B$6,0)),"")&lt;&gt;"Sim","Nao",IF(IFERROR(INDEX(parametros!$H$2:$H$6,MATCH(C1413,parametros!$B$2:$B$6,0)),"")="","",IF(B1413&gt;=IFERROR(INDEX(parametros!$H$2:$H$6,MATCH(C1413,parametros!$B$2:$B$6,0)),""),"Sim","Nao"))))))</f>
        <v/>
      </c>
      <c r="T1413" s="156"/>
      <c r="U1413" s="214" t="str">
        <f t="shared" si="116"/>
        <v/>
      </c>
      <c r="V1413" s="212" t="s">
        <v>50</v>
      </c>
      <c r="W1413" s="100" t="s">
        <v>168</v>
      </c>
      <c r="X1413" s="100" t="s">
        <v>169</v>
      </c>
      <c r="Y1413" s="101" t="s">
        <v>170</v>
      </c>
      <c r="Z1413" s="101" t="s">
        <v>171</v>
      </c>
      <c r="AA1413" s="101" t="s">
        <v>50</v>
      </c>
      <c r="AB1413" s="101" t="s">
        <v>172</v>
      </c>
      <c r="AC1413" s="102" t="s">
        <v>173</v>
      </c>
    </row>
    <row r="1414" spans="1:29" ht="25.5" customHeight="1" x14ac:dyDescent="0.35">
      <c r="A1414" s="392"/>
      <c r="B1414" s="393"/>
      <c r="C1414" s="99" t="str">
        <f>IF(B1414="","",IF(NOT(ISNUMBER(B1414)),"DATA_PC invalida",IF(NOT(ISNUMBER(parametros!$C$2)),"Fora dos ciclos",IF(OR(B1414&lt;parametros!$C$2,(YEAR(B1414)-YEAR(parametros!$C$2))*12+MONTH(B1414)-MONTH(parametros!$C$2)&gt;59),"Fora dos ciclos","C"&amp;INT(((YEAR(B1414)-YEAR(parametros!$C$2))*12+MONTH(B1414)-MONTH(parametros!$C$2))/12)))))</f>
        <v/>
      </c>
      <c r="D1414" s="394"/>
      <c r="E1414" s="78" t="str">
        <f>IF(C1414="","",IFERROR(VLOOKUP(C1414,parametros!$A$11:$E$15,5,0),""))</f>
        <v/>
      </c>
      <c r="F1414" s="79" t="str">
        <f t="shared" si="112"/>
        <v/>
      </c>
      <c r="G1414" s="395"/>
      <c r="H1414" s="91">
        <f t="shared" si="113"/>
        <v>0</v>
      </c>
      <c r="I1414" s="91" t="str">
        <f t="shared" si="114"/>
        <v/>
      </c>
      <c r="J1414" s="91" t="str">
        <f t="shared" si="115"/>
        <v/>
      </c>
      <c r="K1414" s="92" t="str">
        <f>IF(AND(A1414="",B1414="",D1414="",G1414=""),"",IF(AND(A1414&lt;&gt;"",COUNTIF($A$2:$A$5001,A1414)&gt;1),"NUMERO_PC duplicado",IF(B1414="","DATA_PC vazia",IF(NOT(ISNUMBER(B1414)),"DATA_PC invalida",IF(OR(C1414="",C1414="Fora dos ciclos"),"CICLO_PC nao identificado",IF(OR(D1414="",D1414=0),"VALOR_PC vazio ou zero",IF(AND(G1414&lt;&gt;"Sim",G1414&lt;&gt;"Nao",G1414&lt;&gt;""),"PC_PAGO_A_CONTRATADA invalido",IF(AND(C1414&lt;&gt;"C0",IFERROR(INDEX(parametros!$A$2:$A$6,MATCH(C1414,parametros!$B$2:$B$6,0)),"")="Sim",IFERROR(INDEX(parametros!$H$2:$H$6,MATCH(C1414,parametros!$B$2:$B$6,0)),"")=""),"INICIO_EFEITO ausente: PC "&amp;A1414&amp;" - "&amp;C1414,IF(L1414="","EFEITO_PC nao calculado: PC "&amp;A1414&amp;" - "&amp;C1414,"OK")))))))))</f>
        <v/>
      </c>
      <c r="L1414" s="92" t="str">
        <f>IF(AND(A1414="",B1414="",D1414="",G1414=""),"",IF(OR(B1414="",NOT(ISNUMBER(B1414)),C1414="",C1414="Fora dos ciclos"),"",IF(C1414="C0","Nao",IF(IFERROR(INDEX(parametros!$A$2:$A$6,MATCH(C1414,parametros!$B$2:$B$6,0)),"")&lt;&gt;"Sim","Nao",IF(IFERROR(INDEX(parametros!$H$2:$H$6,MATCH(C1414,parametros!$B$2:$B$6,0)),"")="","",IF(B1414&gt;=IFERROR(INDEX(parametros!$H$2:$H$6,MATCH(C1414,parametros!$B$2:$B$6,0)),""),"Sim","Nao"))))))</f>
        <v/>
      </c>
      <c r="T1414" s="156"/>
      <c r="U1414" s="214" t="str">
        <f t="shared" si="116"/>
        <v/>
      </c>
      <c r="V1414" s="212" t="s">
        <v>50</v>
      </c>
      <c r="W1414" s="100" t="s">
        <v>168</v>
      </c>
      <c r="X1414" s="100" t="s">
        <v>169</v>
      </c>
      <c r="Y1414" s="101" t="s">
        <v>170</v>
      </c>
      <c r="Z1414" s="101" t="s">
        <v>171</v>
      </c>
      <c r="AA1414" s="101" t="s">
        <v>50</v>
      </c>
      <c r="AB1414" s="101" t="s">
        <v>172</v>
      </c>
      <c r="AC1414" s="102" t="s">
        <v>173</v>
      </c>
    </row>
    <row r="1415" spans="1:29" ht="25.5" customHeight="1" x14ac:dyDescent="0.35">
      <c r="A1415" s="392"/>
      <c r="B1415" s="393"/>
      <c r="C1415" s="99" t="str">
        <f>IF(B1415="","",IF(NOT(ISNUMBER(B1415)),"DATA_PC invalida",IF(NOT(ISNUMBER(parametros!$C$2)),"Fora dos ciclos",IF(OR(B1415&lt;parametros!$C$2,(YEAR(B1415)-YEAR(parametros!$C$2))*12+MONTH(B1415)-MONTH(parametros!$C$2)&gt;59),"Fora dos ciclos","C"&amp;INT(((YEAR(B1415)-YEAR(parametros!$C$2))*12+MONTH(B1415)-MONTH(parametros!$C$2))/12)))))</f>
        <v/>
      </c>
      <c r="D1415" s="394"/>
      <c r="E1415" s="78" t="str">
        <f>IF(C1415="","",IFERROR(VLOOKUP(C1415,parametros!$A$11:$E$15,5,0),""))</f>
        <v/>
      </c>
      <c r="F1415" s="79" t="str">
        <f t="shared" si="112"/>
        <v/>
      </c>
      <c r="G1415" s="395"/>
      <c r="H1415" s="91">
        <f t="shared" si="113"/>
        <v>0</v>
      </c>
      <c r="I1415" s="91" t="str">
        <f t="shared" si="114"/>
        <v/>
      </c>
      <c r="J1415" s="91" t="str">
        <f t="shared" si="115"/>
        <v/>
      </c>
      <c r="K1415" s="92" t="str">
        <f>IF(AND(A1415="",B1415="",D1415="",G1415=""),"",IF(AND(A1415&lt;&gt;"",COUNTIF($A$2:$A$5001,A1415)&gt;1),"NUMERO_PC duplicado",IF(B1415="","DATA_PC vazia",IF(NOT(ISNUMBER(B1415)),"DATA_PC invalida",IF(OR(C1415="",C1415="Fora dos ciclos"),"CICLO_PC nao identificado",IF(OR(D1415="",D1415=0),"VALOR_PC vazio ou zero",IF(AND(G1415&lt;&gt;"Sim",G1415&lt;&gt;"Nao",G1415&lt;&gt;""),"PC_PAGO_A_CONTRATADA invalido",IF(AND(C1415&lt;&gt;"C0",IFERROR(INDEX(parametros!$A$2:$A$6,MATCH(C1415,parametros!$B$2:$B$6,0)),"")="Sim",IFERROR(INDEX(parametros!$H$2:$H$6,MATCH(C1415,parametros!$B$2:$B$6,0)),"")=""),"INICIO_EFEITO ausente: PC "&amp;A1415&amp;" - "&amp;C1415,IF(L1415="","EFEITO_PC nao calculado: PC "&amp;A1415&amp;" - "&amp;C1415,"OK")))))))))</f>
        <v/>
      </c>
      <c r="L1415" s="92" t="str">
        <f>IF(AND(A1415="",B1415="",D1415="",G1415=""),"",IF(OR(B1415="",NOT(ISNUMBER(B1415)),C1415="",C1415="Fora dos ciclos"),"",IF(C1415="C0","Nao",IF(IFERROR(INDEX(parametros!$A$2:$A$6,MATCH(C1415,parametros!$B$2:$B$6,0)),"")&lt;&gt;"Sim","Nao",IF(IFERROR(INDEX(parametros!$H$2:$H$6,MATCH(C1415,parametros!$B$2:$B$6,0)),"")="","",IF(B1415&gt;=IFERROR(INDEX(parametros!$H$2:$H$6,MATCH(C1415,parametros!$B$2:$B$6,0)),""),"Sim","Nao"))))))</f>
        <v/>
      </c>
      <c r="T1415" s="156"/>
      <c r="U1415" s="214" t="str">
        <f t="shared" si="116"/>
        <v/>
      </c>
      <c r="V1415" s="212" t="s">
        <v>50</v>
      </c>
      <c r="W1415" s="100" t="s">
        <v>168</v>
      </c>
      <c r="X1415" s="100" t="s">
        <v>169</v>
      </c>
      <c r="Y1415" s="101" t="s">
        <v>170</v>
      </c>
      <c r="Z1415" s="101" t="s">
        <v>171</v>
      </c>
      <c r="AA1415" s="101" t="s">
        <v>50</v>
      </c>
      <c r="AB1415" s="101" t="s">
        <v>172</v>
      </c>
      <c r="AC1415" s="102" t="s">
        <v>173</v>
      </c>
    </row>
    <row r="1416" spans="1:29" ht="25.5" customHeight="1" x14ac:dyDescent="0.35">
      <c r="A1416" s="392"/>
      <c r="B1416" s="393"/>
      <c r="C1416" s="99" t="str">
        <f>IF(B1416="","",IF(NOT(ISNUMBER(B1416)),"DATA_PC invalida",IF(NOT(ISNUMBER(parametros!$C$2)),"Fora dos ciclos",IF(OR(B1416&lt;parametros!$C$2,(YEAR(B1416)-YEAR(parametros!$C$2))*12+MONTH(B1416)-MONTH(parametros!$C$2)&gt;59),"Fora dos ciclos","C"&amp;INT(((YEAR(B1416)-YEAR(parametros!$C$2))*12+MONTH(B1416)-MONTH(parametros!$C$2))/12)))))</f>
        <v/>
      </c>
      <c r="D1416" s="394"/>
      <c r="E1416" s="78" t="str">
        <f>IF(C1416="","",IFERROR(VLOOKUP(C1416,parametros!$A$11:$E$15,5,0),""))</f>
        <v/>
      </c>
      <c r="F1416" s="79" t="str">
        <f t="shared" si="112"/>
        <v/>
      </c>
      <c r="G1416" s="395"/>
      <c r="H1416" s="91">
        <f t="shared" si="113"/>
        <v>0</v>
      </c>
      <c r="I1416" s="91" t="str">
        <f t="shared" si="114"/>
        <v/>
      </c>
      <c r="J1416" s="91" t="str">
        <f t="shared" si="115"/>
        <v/>
      </c>
      <c r="K1416" s="92" t="str">
        <f>IF(AND(A1416="",B1416="",D1416="",G1416=""),"",IF(AND(A1416&lt;&gt;"",COUNTIF($A$2:$A$5001,A1416)&gt;1),"NUMERO_PC duplicado",IF(B1416="","DATA_PC vazia",IF(NOT(ISNUMBER(B1416)),"DATA_PC invalida",IF(OR(C1416="",C1416="Fora dos ciclos"),"CICLO_PC nao identificado",IF(OR(D1416="",D1416=0),"VALOR_PC vazio ou zero",IF(AND(G1416&lt;&gt;"Sim",G1416&lt;&gt;"Nao",G1416&lt;&gt;""),"PC_PAGO_A_CONTRATADA invalido",IF(AND(C1416&lt;&gt;"C0",IFERROR(INDEX(parametros!$A$2:$A$6,MATCH(C1416,parametros!$B$2:$B$6,0)),"")="Sim",IFERROR(INDEX(parametros!$H$2:$H$6,MATCH(C1416,parametros!$B$2:$B$6,0)),"")=""),"INICIO_EFEITO ausente: PC "&amp;A1416&amp;" - "&amp;C1416,IF(L1416="","EFEITO_PC nao calculado: PC "&amp;A1416&amp;" - "&amp;C1416,"OK")))))))))</f>
        <v/>
      </c>
      <c r="L1416" s="92" t="str">
        <f>IF(AND(A1416="",B1416="",D1416="",G1416=""),"",IF(OR(B1416="",NOT(ISNUMBER(B1416)),C1416="",C1416="Fora dos ciclos"),"",IF(C1416="C0","Nao",IF(IFERROR(INDEX(parametros!$A$2:$A$6,MATCH(C1416,parametros!$B$2:$B$6,0)),"")&lt;&gt;"Sim","Nao",IF(IFERROR(INDEX(parametros!$H$2:$H$6,MATCH(C1416,parametros!$B$2:$B$6,0)),"")="","",IF(B1416&gt;=IFERROR(INDEX(parametros!$H$2:$H$6,MATCH(C1416,parametros!$B$2:$B$6,0)),""),"Sim","Nao"))))))</f>
        <v/>
      </c>
      <c r="T1416" s="156"/>
      <c r="U1416" s="214" t="str">
        <f t="shared" si="116"/>
        <v/>
      </c>
      <c r="V1416" s="212" t="s">
        <v>50</v>
      </c>
      <c r="W1416" s="100" t="s">
        <v>168</v>
      </c>
      <c r="X1416" s="100" t="s">
        <v>169</v>
      </c>
      <c r="Y1416" s="101" t="s">
        <v>170</v>
      </c>
      <c r="Z1416" s="101" t="s">
        <v>171</v>
      </c>
      <c r="AA1416" s="101" t="s">
        <v>50</v>
      </c>
      <c r="AB1416" s="101" t="s">
        <v>172</v>
      </c>
      <c r="AC1416" s="102" t="s">
        <v>173</v>
      </c>
    </row>
    <row r="1417" spans="1:29" ht="25.5" customHeight="1" x14ac:dyDescent="0.35">
      <c r="A1417" s="392"/>
      <c r="B1417" s="393"/>
      <c r="C1417" s="99" t="str">
        <f>IF(B1417="","",IF(NOT(ISNUMBER(B1417)),"DATA_PC invalida",IF(NOT(ISNUMBER(parametros!$C$2)),"Fora dos ciclos",IF(OR(B1417&lt;parametros!$C$2,(YEAR(B1417)-YEAR(parametros!$C$2))*12+MONTH(B1417)-MONTH(parametros!$C$2)&gt;59),"Fora dos ciclos","C"&amp;INT(((YEAR(B1417)-YEAR(parametros!$C$2))*12+MONTH(B1417)-MONTH(parametros!$C$2))/12)))))</f>
        <v/>
      </c>
      <c r="D1417" s="394"/>
      <c r="E1417" s="78" t="str">
        <f>IF(C1417="","",IFERROR(VLOOKUP(C1417,parametros!$A$11:$E$15,5,0),""))</f>
        <v/>
      </c>
      <c r="F1417" s="79" t="str">
        <f t="shared" si="112"/>
        <v/>
      </c>
      <c r="G1417" s="395"/>
      <c r="H1417" s="91">
        <f t="shared" si="113"/>
        <v>0</v>
      </c>
      <c r="I1417" s="91" t="str">
        <f t="shared" si="114"/>
        <v/>
      </c>
      <c r="J1417" s="91" t="str">
        <f t="shared" si="115"/>
        <v/>
      </c>
      <c r="K1417" s="92" t="str">
        <f>IF(AND(A1417="",B1417="",D1417="",G1417=""),"",IF(AND(A1417&lt;&gt;"",COUNTIF($A$2:$A$5001,A1417)&gt;1),"NUMERO_PC duplicado",IF(B1417="","DATA_PC vazia",IF(NOT(ISNUMBER(B1417)),"DATA_PC invalida",IF(OR(C1417="",C1417="Fora dos ciclos"),"CICLO_PC nao identificado",IF(OR(D1417="",D1417=0),"VALOR_PC vazio ou zero",IF(AND(G1417&lt;&gt;"Sim",G1417&lt;&gt;"Nao",G1417&lt;&gt;""),"PC_PAGO_A_CONTRATADA invalido",IF(AND(C1417&lt;&gt;"C0",IFERROR(INDEX(parametros!$A$2:$A$6,MATCH(C1417,parametros!$B$2:$B$6,0)),"")="Sim",IFERROR(INDEX(parametros!$H$2:$H$6,MATCH(C1417,parametros!$B$2:$B$6,0)),"")=""),"INICIO_EFEITO ausente: PC "&amp;A1417&amp;" - "&amp;C1417,IF(L1417="","EFEITO_PC nao calculado: PC "&amp;A1417&amp;" - "&amp;C1417,"OK")))))))))</f>
        <v/>
      </c>
      <c r="L1417" s="92" t="str">
        <f>IF(AND(A1417="",B1417="",D1417="",G1417=""),"",IF(OR(B1417="",NOT(ISNUMBER(B1417)),C1417="",C1417="Fora dos ciclos"),"",IF(C1417="C0","Nao",IF(IFERROR(INDEX(parametros!$A$2:$A$6,MATCH(C1417,parametros!$B$2:$B$6,0)),"")&lt;&gt;"Sim","Nao",IF(IFERROR(INDEX(parametros!$H$2:$H$6,MATCH(C1417,parametros!$B$2:$B$6,0)),"")="","",IF(B1417&gt;=IFERROR(INDEX(parametros!$H$2:$H$6,MATCH(C1417,parametros!$B$2:$B$6,0)),""),"Sim","Nao"))))))</f>
        <v/>
      </c>
      <c r="T1417" s="156"/>
      <c r="U1417" s="214" t="str">
        <f t="shared" si="116"/>
        <v/>
      </c>
      <c r="V1417" s="212" t="s">
        <v>50</v>
      </c>
      <c r="W1417" s="100" t="s">
        <v>168</v>
      </c>
      <c r="X1417" s="100" t="s">
        <v>169</v>
      </c>
      <c r="Y1417" s="101" t="s">
        <v>170</v>
      </c>
      <c r="Z1417" s="101" t="s">
        <v>171</v>
      </c>
      <c r="AA1417" s="101" t="s">
        <v>50</v>
      </c>
      <c r="AB1417" s="101" t="s">
        <v>172</v>
      </c>
      <c r="AC1417" s="102" t="s">
        <v>173</v>
      </c>
    </row>
    <row r="1418" spans="1:29" ht="25.5" customHeight="1" x14ac:dyDescent="0.35">
      <c r="A1418" s="392"/>
      <c r="B1418" s="393"/>
      <c r="C1418" s="99" t="str">
        <f>IF(B1418="","",IF(NOT(ISNUMBER(B1418)),"DATA_PC invalida",IF(NOT(ISNUMBER(parametros!$C$2)),"Fora dos ciclos",IF(OR(B1418&lt;parametros!$C$2,(YEAR(B1418)-YEAR(parametros!$C$2))*12+MONTH(B1418)-MONTH(parametros!$C$2)&gt;59),"Fora dos ciclos","C"&amp;INT(((YEAR(B1418)-YEAR(parametros!$C$2))*12+MONTH(B1418)-MONTH(parametros!$C$2))/12)))))</f>
        <v/>
      </c>
      <c r="D1418" s="394"/>
      <c r="E1418" s="78" t="str">
        <f>IF(C1418="","",IFERROR(VLOOKUP(C1418,parametros!$A$11:$E$15,5,0),""))</f>
        <v/>
      </c>
      <c r="F1418" s="79" t="str">
        <f t="shared" si="112"/>
        <v/>
      </c>
      <c r="G1418" s="395"/>
      <c r="H1418" s="91">
        <f t="shared" si="113"/>
        <v>0</v>
      </c>
      <c r="I1418" s="91" t="str">
        <f t="shared" si="114"/>
        <v/>
      </c>
      <c r="J1418" s="91" t="str">
        <f t="shared" si="115"/>
        <v/>
      </c>
      <c r="K1418" s="92" t="str">
        <f>IF(AND(A1418="",B1418="",D1418="",G1418=""),"",IF(AND(A1418&lt;&gt;"",COUNTIF($A$2:$A$5001,A1418)&gt;1),"NUMERO_PC duplicado",IF(B1418="","DATA_PC vazia",IF(NOT(ISNUMBER(B1418)),"DATA_PC invalida",IF(OR(C1418="",C1418="Fora dos ciclos"),"CICLO_PC nao identificado",IF(OR(D1418="",D1418=0),"VALOR_PC vazio ou zero",IF(AND(G1418&lt;&gt;"Sim",G1418&lt;&gt;"Nao",G1418&lt;&gt;""),"PC_PAGO_A_CONTRATADA invalido",IF(AND(C1418&lt;&gt;"C0",IFERROR(INDEX(parametros!$A$2:$A$6,MATCH(C1418,parametros!$B$2:$B$6,0)),"")="Sim",IFERROR(INDEX(parametros!$H$2:$H$6,MATCH(C1418,parametros!$B$2:$B$6,0)),"")=""),"INICIO_EFEITO ausente: PC "&amp;A1418&amp;" - "&amp;C1418,IF(L1418="","EFEITO_PC nao calculado: PC "&amp;A1418&amp;" - "&amp;C1418,"OK")))))))))</f>
        <v/>
      </c>
      <c r="L1418" s="92" t="str">
        <f>IF(AND(A1418="",B1418="",D1418="",G1418=""),"",IF(OR(B1418="",NOT(ISNUMBER(B1418)),C1418="",C1418="Fora dos ciclos"),"",IF(C1418="C0","Nao",IF(IFERROR(INDEX(parametros!$A$2:$A$6,MATCH(C1418,parametros!$B$2:$B$6,0)),"")&lt;&gt;"Sim","Nao",IF(IFERROR(INDEX(parametros!$H$2:$H$6,MATCH(C1418,parametros!$B$2:$B$6,0)),"")="","",IF(B1418&gt;=IFERROR(INDEX(parametros!$H$2:$H$6,MATCH(C1418,parametros!$B$2:$B$6,0)),""),"Sim","Nao"))))))</f>
        <v/>
      </c>
      <c r="T1418" s="156"/>
      <c r="U1418" s="214" t="str">
        <f t="shared" si="116"/>
        <v/>
      </c>
      <c r="V1418" s="212" t="s">
        <v>50</v>
      </c>
      <c r="W1418" s="100" t="s">
        <v>168</v>
      </c>
      <c r="X1418" s="100" t="s">
        <v>169</v>
      </c>
      <c r="Y1418" s="101" t="s">
        <v>170</v>
      </c>
      <c r="Z1418" s="101" t="s">
        <v>171</v>
      </c>
      <c r="AA1418" s="101" t="s">
        <v>50</v>
      </c>
      <c r="AB1418" s="101" t="s">
        <v>172</v>
      </c>
      <c r="AC1418" s="102" t="s">
        <v>173</v>
      </c>
    </row>
    <row r="1419" spans="1:29" ht="25.5" customHeight="1" x14ac:dyDescent="0.35">
      <c r="A1419" s="392"/>
      <c r="B1419" s="393"/>
      <c r="C1419" s="99" t="str">
        <f>IF(B1419="","",IF(NOT(ISNUMBER(B1419)),"DATA_PC invalida",IF(NOT(ISNUMBER(parametros!$C$2)),"Fora dos ciclos",IF(OR(B1419&lt;parametros!$C$2,(YEAR(B1419)-YEAR(parametros!$C$2))*12+MONTH(B1419)-MONTH(parametros!$C$2)&gt;59),"Fora dos ciclos","C"&amp;INT(((YEAR(B1419)-YEAR(parametros!$C$2))*12+MONTH(B1419)-MONTH(parametros!$C$2))/12)))))</f>
        <v/>
      </c>
      <c r="D1419" s="394"/>
      <c r="E1419" s="78" t="str">
        <f>IF(C1419="","",IFERROR(VLOOKUP(C1419,parametros!$A$11:$E$15,5,0),""))</f>
        <v/>
      </c>
      <c r="F1419" s="79" t="str">
        <f t="shared" si="112"/>
        <v/>
      </c>
      <c r="G1419" s="395"/>
      <c r="H1419" s="91">
        <f t="shared" si="113"/>
        <v>0</v>
      </c>
      <c r="I1419" s="91" t="str">
        <f t="shared" si="114"/>
        <v/>
      </c>
      <c r="J1419" s="91" t="str">
        <f t="shared" si="115"/>
        <v/>
      </c>
      <c r="K1419" s="92" t="str">
        <f>IF(AND(A1419="",B1419="",D1419="",G1419=""),"",IF(AND(A1419&lt;&gt;"",COUNTIF($A$2:$A$5001,A1419)&gt;1),"NUMERO_PC duplicado",IF(B1419="","DATA_PC vazia",IF(NOT(ISNUMBER(B1419)),"DATA_PC invalida",IF(OR(C1419="",C1419="Fora dos ciclos"),"CICLO_PC nao identificado",IF(OR(D1419="",D1419=0),"VALOR_PC vazio ou zero",IF(AND(G1419&lt;&gt;"Sim",G1419&lt;&gt;"Nao",G1419&lt;&gt;""),"PC_PAGO_A_CONTRATADA invalido",IF(AND(C1419&lt;&gt;"C0",IFERROR(INDEX(parametros!$A$2:$A$6,MATCH(C1419,parametros!$B$2:$B$6,0)),"")="Sim",IFERROR(INDEX(parametros!$H$2:$H$6,MATCH(C1419,parametros!$B$2:$B$6,0)),"")=""),"INICIO_EFEITO ausente: PC "&amp;A1419&amp;" - "&amp;C1419,IF(L1419="","EFEITO_PC nao calculado: PC "&amp;A1419&amp;" - "&amp;C1419,"OK")))))))))</f>
        <v/>
      </c>
      <c r="L1419" s="92" t="str">
        <f>IF(AND(A1419="",B1419="",D1419="",G1419=""),"",IF(OR(B1419="",NOT(ISNUMBER(B1419)),C1419="",C1419="Fora dos ciclos"),"",IF(C1419="C0","Nao",IF(IFERROR(INDEX(parametros!$A$2:$A$6,MATCH(C1419,parametros!$B$2:$B$6,0)),"")&lt;&gt;"Sim","Nao",IF(IFERROR(INDEX(parametros!$H$2:$H$6,MATCH(C1419,parametros!$B$2:$B$6,0)),"")="","",IF(B1419&gt;=IFERROR(INDEX(parametros!$H$2:$H$6,MATCH(C1419,parametros!$B$2:$B$6,0)),""),"Sim","Nao"))))))</f>
        <v/>
      </c>
      <c r="T1419" s="156"/>
      <c r="U1419" s="214" t="str">
        <f t="shared" si="116"/>
        <v/>
      </c>
      <c r="V1419" s="212" t="s">
        <v>50</v>
      </c>
      <c r="W1419" s="100" t="s">
        <v>168</v>
      </c>
      <c r="X1419" s="100" t="s">
        <v>169</v>
      </c>
      <c r="Y1419" s="101" t="s">
        <v>170</v>
      </c>
      <c r="Z1419" s="101" t="s">
        <v>171</v>
      </c>
      <c r="AA1419" s="101" t="s">
        <v>50</v>
      </c>
      <c r="AB1419" s="101" t="s">
        <v>172</v>
      </c>
      <c r="AC1419" s="102" t="s">
        <v>173</v>
      </c>
    </row>
    <row r="1420" spans="1:29" ht="25.5" customHeight="1" x14ac:dyDescent="0.35">
      <c r="A1420" s="392"/>
      <c r="B1420" s="393"/>
      <c r="C1420" s="99" t="str">
        <f>IF(B1420="","",IF(NOT(ISNUMBER(B1420)),"DATA_PC invalida",IF(NOT(ISNUMBER(parametros!$C$2)),"Fora dos ciclos",IF(OR(B1420&lt;parametros!$C$2,(YEAR(B1420)-YEAR(parametros!$C$2))*12+MONTH(B1420)-MONTH(parametros!$C$2)&gt;59),"Fora dos ciclos","C"&amp;INT(((YEAR(B1420)-YEAR(parametros!$C$2))*12+MONTH(B1420)-MONTH(parametros!$C$2))/12)))))</f>
        <v/>
      </c>
      <c r="D1420" s="394"/>
      <c r="E1420" s="78" t="str">
        <f>IF(C1420="","",IFERROR(VLOOKUP(C1420,parametros!$A$11:$E$15,5,0),""))</f>
        <v/>
      </c>
      <c r="F1420" s="79" t="str">
        <f t="shared" si="112"/>
        <v/>
      </c>
      <c r="G1420" s="395"/>
      <c r="H1420" s="91">
        <f t="shared" si="113"/>
        <v>0</v>
      </c>
      <c r="I1420" s="91" t="str">
        <f t="shared" si="114"/>
        <v/>
      </c>
      <c r="J1420" s="91" t="str">
        <f t="shared" si="115"/>
        <v/>
      </c>
      <c r="K1420" s="92" t="str">
        <f>IF(AND(A1420="",B1420="",D1420="",G1420=""),"",IF(AND(A1420&lt;&gt;"",COUNTIF($A$2:$A$5001,A1420)&gt;1),"NUMERO_PC duplicado",IF(B1420="","DATA_PC vazia",IF(NOT(ISNUMBER(B1420)),"DATA_PC invalida",IF(OR(C1420="",C1420="Fora dos ciclos"),"CICLO_PC nao identificado",IF(OR(D1420="",D1420=0),"VALOR_PC vazio ou zero",IF(AND(G1420&lt;&gt;"Sim",G1420&lt;&gt;"Nao",G1420&lt;&gt;""),"PC_PAGO_A_CONTRATADA invalido",IF(AND(C1420&lt;&gt;"C0",IFERROR(INDEX(parametros!$A$2:$A$6,MATCH(C1420,parametros!$B$2:$B$6,0)),"")="Sim",IFERROR(INDEX(parametros!$H$2:$H$6,MATCH(C1420,parametros!$B$2:$B$6,0)),"")=""),"INICIO_EFEITO ausente: PC "&amp;A1420&amp;" - "&amp;C1420,IF(L1420="","EFEITO_PC nao calculado: PC "&amp;A1420&amp;" - "&amp;C1420,"OK")))))))))</f>
        <v/>
      </c>
      <c r="L1420" s="92" t="str">
        <f>IF(AND(A1420="",B1420="",D1420="",G1420=""),"",IF(OR(B1420="",NOT(ISNUMBER(B1420)),C1420="",C1420="Fora dos ciclos"),"",IF(C1420="C0","Nao",IF(IFERROR(INDEX(parametros!$A$2:$A$6,MATCH(C1420,parametros!$B$2:$B$6,0)),"")&lt;&gt;"Sim","Nao",IF(IFERROR(INDEX(parametros!$H$2:$H$6,MATCH(C1420,parametros!$B$2:$B$6,0)),"")="","",IF(B1420&gt;=IFERROR(INDEX(parametros!$H$2:$H$6,MATCH(C1420,parametros!$B$2:$B$6,0)),""),"Sim","Nao"))))))</f>
        <v/>
      </c>
      <c r="T1420" s="156"/>
      <c r="U1420" s="214" t="str">
        <f t="shared" si="116"/>
        <v/>
      </c>
      <c r="V1420" s="212" t="s">
        <v>50</v>
      </c>
      <c r="W1420" s="100" t="s">
        <v>168</v>
      </c>
      <c r="X1420" s="100" t="s">
        <v>169</v>
      </c>
      <c r="Y1420" s="101" t="s">
        <v>170</v>
      </c>
      <c r="Z1420" s="101" t="s">
        <v>171</v>
      </c>
      <c r="AA1420" s="101" t="s">
        <v>50</v>
      </c>
      <c r="AB1420" s="101" t="s">
        <v>172</v>
      </c>
      <c r="AC1420" s="102" t="s">
        <v>173</v>
      </c>
    </row>
    <row r="1421" spans="1:29" ht="25.5" customHeight="1" x14ac:dyDescent="0.35">
      <c r="A1421" s="392"/>
      <c r="B1421" s="393"/>
      <c r="C1421" s="99" t="str">
        <f>IF(B1421="","",IF(NOT(ISNUMBER(B1421)),"DATA_PC invalida",IF(NOT(ISNUMBER(parametros!$C$2)),"Fora dos ciclos",IF(OR(B1421&lt;parametros!$C$2,(YEAR(B1421)-YEAR(parametros!$C$2))*12+MONTH(B1421)-MONTH(parametros!$C$2)&gt;59),"Fora dos ciclos","C"&amp;INT(((YEAR(B1421)-YEAR(parametros!$C$2))*12+MONTH(B1421)-MONTH(parametros!$C$2))/12)))))</f>
        <v/>
      </c>
      <c r="D1421" s="394"/>
      <c r="E1421" s="78" t="str">
        <f>IF(C1421="","",IFERROR(VLOOKUP(C1421,parametros!$A$11:$E$15,5,0),""))</f>
        <v/>
      </c>
      <c r="F1421" s="79" t="str">
        <f t="shared" si="112"/>
        <v/>
      </c>
      <c r="G1421" s="395"/>
      <c r="H1421" s="91">
        <f t="shared" si="113"/>
        <v>0</v>
      </c>
      <c r="I1421" s="91" t="str">
        <f t="shared" si="114"/>
        <v/>
      </c>
      <c r="J1421" s="91" t="str">
        <f t="shared" si="115"/>
        <v/>
      </c>
      <c r="K1421" s="92" t="str">
        <f>IF(AND(A1421="",B1421="",D1421="",G1421=""),"",IF(AND(A1421&lt;&gt;"",COUNTIF($A$2:$A$5001,A1421)&gt;1),"NUMERO_PC duplicado",IF(B1421="","DATA_PC vazia",IF(NOT(ISNUMBER(B1421)),"DATA_PC invalida",IF(OR(C1421="",C1421="Fora dos ciclos"),"CICLO_PC nao identificado",IF(OR(D1421="",D1421=0),"VALOR_PC vazio ou zero",IF(AND(G1421&lt;&gt;"Sim",G1421&lt;&gt;"Nao",G1421&lt;&gt;""),"PC_PAGO_A_CONTRATADA invalido",IF(AND(C1421&lt;&gt;"C0",IFERROR(INDEX(parametros!$A$2:$A$6,MATCH(C1421,parametros!$B$2:$B$6,0)),"")="Sim",IFERROR(INDEX(parametros!$H$2:$H$6,MATCH(C1421,parametros!$B$2:$B$6,0)),"")=""),"INICIO_EFEITO ausente: PC "&amp;A1421&amp;" - "&amp;C1421,IF(L1421="","EFEITO_PC nao calculado: PC "&amp;A1421&amp;" - "&amp;C1421,"OK")))))))))</f>
        <v/>
      </c>
      <c r="L1421" s="92" t="str">
        <f>IF(AND(A1421="",B1421="",D1421="",G1421=""),"",IF(OR(B1421="",NOT(ISNUMBER(B1421)),C1421="",C1421="Fora dos ciclos"),"",IF(C1421="C0","Nao",IF(IFERROR(INDEX(parametros!$A$2:$A$6,MATCH(C1421,parametros!$B$2:$B$6,0)),"")&lt;&gt;"Sim","Nao",IF(IFERROR(INDEX(parametros!$H$2:$H$6,MATCH(C1421,parametros!$B$2:$B$6,0)),"")="","",IF(B1421&gt;=IFERROR(INDEX(parametros!$H$2:$H$6,MATCH(C1421,parametros!$B$2:$B$6,0)),""),"Sim","Nao"))))))</f>
        <v/>
      </c>
      <c r="T1421" s="156"/>
      <c r="U1421" s="214" t="str">
        <f t="shared" si="116"/>
        <v/>
      </c>
      <c r="V1421" s="212" t="s">
        <v>50</v>
      </c>
      <c r="W1421" s="100" t="s">
        <v>168</v>
      </c>
      <c r="X1421" s="100" t="s">
        <v>169</v>
      </c>
      <c r="Y1421" s="101" t="s">
        <v>170</v>
      </c>
      <c r="Z1421" s="101" t="s">
        <v>171</v>
      </c>
      <c r="AA1421" s="101" t="s">
        <v>50</v>
      </c>
      <c r="AB1421" s="101" t="s">
        <v>172</v>
      </c>
      <c r="AC1421" s="102" t="s">
        <v>173</v>
      </c>
    </row>
    <row r="1422" spans="1:29" ht="25.5" customHeight="1" x14ac:dyDescent="0.35">
      <c r="A1422" s="392"/>
      <c r="B1422" s="393"/>
      <c r="C1422" s="99" t="str">
        <f>IF(B1422="","",IF(NOT(ISNUMBER(B1422)),"DATA_PC invalida",IF(NOT(ISNUMBER(parametros!$C$2)),"Fora dos ciclos",IF(OR(B1422&lt;parametros!$C$2,(YEAR(B1422)-YEAR(parametros!$C$2))*12+MONTH(B1422)-MONTH(parametros!$C$2)&gt;59),"Fora dos ciclos","C"&amp;INT(((YEAR(B1422)-YEAR(parametros!$C$2))*12+MONTH(B1422)-MONTH(parametros!$C$2))/12)))))</f>
        <v/>
      </c>
      <c r="D1422" s="394"/>
      <c r="E1422" s="78" t="str">
        <f>IF(C1422="","",IFERROR(VLOOKUP(C1422,parametros!$A$11:$E$15,5,0),""))</f>
        <v/>
      </c>
      <c r="F1422" s="79" t="str">
        <f t="shared" si="112"/>
        <v/>
      </c>
      <c r="G1422" s="395"/>
      <c r="H1422" s="91">
        <f t="shared" si="113"/>
        <v>0</v>
      </c>
      <c r="I1422" s="91" t="str">
        <f t="shared" si="114"/>
        <v/>
      </c>
      <c r="J1422" s="91" t="str">
        <f t="shared" si="115"/>
        <v/>
      </c>
      <c r="K1422" s="92" t="str">
        <f>IF(AND(A1422="",B1422="",D1422="",G1422=""),"",IF(AND(A1422&lt;&gt;"",COUNTIF($A$2:$A$5001,A1422)&gt;1),"NUMERO_PC duplicado",IF(B1422="","DATA_PC vazia",IF(NOT(ISNUMBER(B1422)),"DATA_PC invalida",IF(OR(C1422="",C1422="Fora dos ciclos"),"CICLO_PC nao identificado",IF(OR(D1422="",D1422=0),"VALOR_PC vazio ou zero",IF(AND(G1422&lt;&gt;"Sim",G1422&lt;&gt;"Nao",G1422&lt;&gt;""),"PC_PAGO_A_CONTRATADA invalido",IF(AND(C1422&lt;&gt;"C0",IFERROR(INDEX(parametros!$A$2:$A$6,MATCH(C1422,parametros!$B$2:$B$6,0)),"")="Sim",IFERROR(INDEX(parametros!$H$2:$H$6,MATCH(C1422,parametros!$B$2:$B$6,0)),"")=""),"INICIO_EFEITO ausente: PC "&amp;A1422&amp;" - "&amp;C1422,IF(L1422="","EFEITO_PC nao calculado: PC "&amp;A1422&amp;" - "&amp;C1422,"OK")))))))))</f>
        <v/>
      </c>
      <c r="L1422" s="92" t="str">
        <f>IF(AND(A1422="",B1422="",D1422="",G1422=""),"",IF(OR(B1422="",NOT(ISNUMBER(B1422)),C1422="",C1422="Fora dos ciclos"),"",IF(C1422="C0","Nao",IF(IFERROR(INDEX(parametros!$A$2:$A$6,MATCH(C1422,parametros!$B$2:$B$6,0)),"")&lt;&gt;"Sim","Nao",IF(IFERROR(INDEX(parametros!$H$2:$H$6,MATCH(C1422,parametros!$B$2:$B$6,0)),"")="","",IF(B1422&gt;=IFERROR(INDEX(parametros!$H$2:$H$6,MATCH(C1422,parametros!$B$2:$B$6,0)),""),"Sim","Nao"))))))</f>
        <v/>
      </c>
      <c r="T1422" s="156"/>
      <c r="U1422" s="214" t="str">
        <f t="shared" si="116"/>
        <v/>
      </c>
      <c r="V1422" s="212" t="s">
        <v>50</v>
      </c>
      <c r="W1422" s="100" t="s">
        <v>168</v>
      </c>
      <c r="X1422" s="100" t="s">
        <v>169</v>
      </c>
      <c r="Y1422" s="101" t="s">
        <v>170</v>
      </c>
      <c r="Z1422" s="101" t="s">
        <v>171</v>
      </c>
      <c r="AA1422" s="101" t="s">
        <v>50</v>
      </c>
      <c r="AB1422" s="101" t="s">
        <v>172</v>
      </c>
      <c r="AC1422" s="102" t="s">
        <v>173</v>
      </c>
    </row>
    <row r="1423" spans="1:29" ht="25.5" customHeight="1" x14ac:dyDescent="0.35">
      <c r="A1423" s="392"/>
      <c r="B1423" s="393"/>
      <c r="C1423" s="99" t="str">
        <f>IF(B1423="","",IF(NOT(ISNUMBER(B1423)),"DATA_PC invalida",IF(NOT(ISNUMBER(parametros!$C$2)),"Fora dos ciclos",IF(OR(B1423&lt;parametros!$C$2,(YEAR(B1423)-YEAR(parametros!$C$2))*12+MONTH(B1423)-MONTH(parametros!$C$2)&gt;59),"Fora dos ciclos","C"&amp;INT(((YEAR(B1423)-YEAR(parametros!$C$2))*12+MONTH(B1423)-MONTH(parametros!$C$2))/12)))))</f>
        <v/>
      </c>
      <c r="D1423" s="394"/>
      <c r="E1423" s="78" t="str">
        <f>IF(C1423="","",IFERROR(VLOOKUP(C1423,parametros!$A$11:$E$15,5,0),""))</f>
        <v/>
      </c>
      <c r="F1423" s="79" t="str">
        <f t="shared" si="112"/>
        <v/>
      </c>
      <c r="G1423" s="395"/>
      <c r="H1423" s="91">
        <f t="shared" si="113"/>
        <v>0</v>
      </c>
      <c r="I1423" s="91" t="str">
        <f t="shared" si="114"/>
        <v/>
      </c>
      <c r="J1423" s="91" t="str">
        <f t="shared" si="115"/>
        <v/>
      </c>
      <c r="K1423" s="92" t="str">
        <f>IF(AND(A1423="",B1423="",D1423="",G1423=""),"",IF(AND(A1423&lt;&gt;"",COUNTIF($A$2:$A$5001,A1423)&gt;1),"NUMERO_PC duplicado",IF(B1423="","DATA_PC vazia",IF(NOT(ISNUMBER(B1423)),"DATA_PC invalida",IF(OR(C1423="",C1423="Fora dos ciclos"),"CICLO_PC nao identificado",IF(OR(D1423="",D1423=0),"VALOR_PC vazio ou zero",IF(AND(G1423&lt;&gt;"Sim",G1423&lt;&gt;"Nao",G1423&lt;&gt;""),"PC_PAGO_A_CONTRATADA invalido",IF(AND(C1423&lt;&gt;"C0",IFERROR(INDEX(parametros!$A$2:$A$6,MATCH(C1423,parametros!$B$2:$B$6,0)),"")="Sim",IFERROR(INDEX(parametros!$H$2:$H$6,MATCH(C1423,parametros!$B$2:$B$6,0)),"")=""),"INICIO_EFEITO ausente: PC "&amp;A1423&amp;" - "&amp;C1423,IF(L1423="","EFEITO_PC nao calculado: PC "&amp;A1423&amp;" - "&amp;C1423,"OK")))))))))</f>
        <v/>
      </c>
      <c r="L1423" s="92" t="str">
        <f>IF(AND(A1423="",B1423="",D1423="",G1423=""),"",IF(OR(B1423="",NOT(ISNUMBER(B1423)),C1423="",C1423="Fora dos ciclos"),"",IF(C1423="C0","Nao",IF(IFERROR(INDEX(parametros!$A$2:$A$6,MATCH(C1423,parametros!$B$2:$B$6,0)),"")&lt;&gt;"Sim","Nao",IF(IFERROR(INDEX(parametros!$H$2:$H$6,MATCH(C1423,parametros!$B$2:$B$6,0)),"")="","",IF(B1423&gt;=IFERROR(INDEX(parametros!$H$2:$H$6,MATCH(C1423,parametros!$B$2:$B$6,0)),""),"Sim","Nao"))))))</f>
        <v/>
      </c>
      <c r="T1423" s="156"/>
      <c r="U1423" s="214" t="str">
        <f t="shared" si="116"/>
        <v/>
      </c>
      <c r="V1423" s="212" t="s">
        <v>50</v>
      </c>
      <c r="W1423" s="100" t="s">
        <v>168</v>
      </c>
      <c r="X1423" s="100" t="s">
        <v>169</v>
      </c>
      <c r="Y1423" s="101" t="s">
        <v>170</v>
      </c>
      <c r="Z1423" s="101" t="s">
        <v>171</v>
      </c>
      <c r="AA1423" s="101" t="s">
        <v>50</v>
      </c>
      <c r="AB1423" s="101" t="s">
        <v>172</v>
      </c>
      <c r="AC1423" s="102" t="s">
        <v>173</v>
      </c>
    </row>
    <row r="1424" spans="1:29" ht="25.5" customHeight="1" x14ac:dyDescent="0.35">
      <c r="A1424" s="392"/>
      <c r="B1424" s="393"/>
      <c r="C1424" s="99" t="str">
        <f>IF(B1424="","",IF(NOT(ISNUMBER(B1424)),"DATA_PC invalida",IF(NOT(ISNUMBER(parametros!$C$2)),"Fora dos ciclos",IF(OR(B1424&lt;parametros!$C$2,(YEAR(B1424)-YEAR(parametros!$C$2))*12+MONTH(B1424)-MONTH(parametros!$C$2)&gt;59),"Fora dos ciclos","C"&amp;INT(((YEAR(B1424)-YEAR(parametros!$C$2))*12+MONTH(B1424)-MONTH(parametros!$C$2))/12)))))</f>
        <v/>
      </c>
      <c r="D1424" s="394"/>
      <c r="E1424" s="78" t="str">
        <f>IF(C1424="","",IFERROR(VLOOKUP(C1424,parametros!$A$11:$E$15,5,0),""))</f>
        <v/>
      </c>
      <c r="F1424" s="79" t="str">
        <f t="shared" si="112"/>
        <v/>
      </c>
      <c r="G1424" s="395"/>
      <c r="H1424" s="91">
        <f t="shared" si="113"/>
        <v>0</v>
      </c>
      <c r="I1424" s="91" t="str">
        <f t="shared" si="114"/>
        <v/>
      </c>
      <c r="J1424" s="91" t="str">
        <f t="shared" si="115"/>
        <v/>
      </c>
      <c r="K1424" s="92" t="str">
        <f>IF(AND(A1424="",B1424="",D1424="",G1424=""),"",IF(AND(A1424&lt;&gt;"",COUNTIF($A$2:$A$5001,A1424)&gt;1),"NUMERO_PC duplicado",IF(B1424="","DATA_PC vazia",IF(NOT(ISNUMBER(B1424)),"DATA_PC invalida",IF(OR(C1424="",C1424="Fora dos ciclos"),"CICLO_PC nao identificado",IF(OR(D1424="",D1424=0),"VALOR_PC vazio ou zero",IF(AND(G1424&lt;&gt;"Sim",G1424&lt;&gt;"Nao",G1424&lt;&gt;""),"PC_PAGO_A_CONTRATADA invalido",IF(AND(C1424&lt;&gt;"C0",IFERROR(INDEX(parametros!$A$2:$A$6,MATCH(C1424,parametros!$B$2:$B$6,0)),"")="Sim",IFERROR(INDEX(parametros!$H$2:$H$6,MATCH(C1424,parametros!$B$2:$B$6,0)),"")=""),"INICIO_EFEITO ausente: PC "&amp;A1424&amp;" - "&amp;C1424,IF(L1424="","EFEITO_PC nao calculado: PC "&amp;A1424&amp;" - "&amp;C1424,"OK")))))))))</f>
        <v/>
      </c>
      <c r="L1424" s="92" t="str">
        <f>IF(AND(A1424="",B1424="",D1424="",G1424=""),"",IF(OR(B1424="",NOT(ISNUMBER(B1424)),C1424="",C1424="Fora dos ciclos"),"",IF(C1424="C0","Nao",IF(IFERROR(INDEX(parametros!$A$2:$A$6,MATCH(C1424,parametros!$B$2:$B$6,0)),"")&lt;&gt;"Sim","Nao",IF(IFERROR(INDEX(parametros!$H$2:$H$6,MATCH(C1424,parametros!$B$2:$B$6,0)),"")="","",IF(B1424&gt;=IFERROR(INDEX(parametros!$H$2:$H$6,MATCH(C1424,parametros!$B$2:$B$6,0)),""),"Sim","Nao"))))))</f>
        <v/>
      </c>
      <c r="T1424" s="156"/>
      <c r="U1424" s="214" t="str">
        <f t="shared" si="116"/>
        <v/>
      </c>
      <c r="V1424" s="212" t="s">
        <v>50</v>
      </c>
      <c r="W1424" s="100" t="s">
        <v>168</v>
      </c>
      <c r="X1424" s="100" t="s">
        <v>169</v>
      </c>
      <c r="Y1424" s="101" t="s">
        <v>170</v>
      </c>
      <c r="Z1424" s="101" t="s">
        <v>171</v>
      </c>
      <c r="AA1424" s="101" t="s">
        <v>50</v>
      </c>
      <c r="AB1424" s="101" t="s">
        <v>172</v>
      </c>
      <c r="AC1424" s="102" t="s">
        <v>173</v>
      </c>
    </row>
    <row r="1425" spans="1:29" ht="25.5" customHeight="1" x14ac:dyDescent="0.35">
      <c r="A1425" s="392"/>
      <c r="B1425" s="393"/>
      <c r="C1425" s="99" t="str">
        <f>IF(B1425="","",IF(NOT(ISNUMBER(B1425)),"DATA_PC invalida",IF(NOT(ISNUMBER(parametros!$C$2)),"Fora dos ciclos",IF(OR(B1425&lt;parametros!$C$2,(YEAR(B1425)-YEAR(parametros!$C$2))*12+MONTH(B1425)-MONTH(parametros!$C$2)&gt;59),"Fora dos ciclos","C"&amp;INT(((YEAR(B1425)-YEAR(parametros!$C$2))*12+MONTH(B1425)-MONTH(parametros!$C$2))/12)))))</f>
        <v/>
      </c>
      <c r="D1425" s="394"/>
      <c r="E1425" s="78" t="str">
        <f>IF(C1425="","",IFERROR(VLOOKUP(C1425,parametros!$A$11:$E$15,5,0),""))</f>
        <v/>
      </c>
      <c r="F1425" s="79" t="str">
        <f t="shared" si="112"/>
        <v/>
      </c>
      <c r="G1425" s="395"/>
      <c r="H1425" s="91">
        <f t="shared" si="113"/>
        <v>0</v>
      </c>
      <c r="I1425" s="91" t="str">
        <f t="shared" si="114"/>
        <v/>
      </c>
      <c r="J1425" s="91" t="str">
        <f t="shared" si="115"/>
        <v/>
      </c>
      <c r="K1425" s="92" t="str">
        <f>IF(AND(A1425="",B1425="",D1425="",G1425=""),"",IF(AND(A1425&lt;&gt;"",COUNTIF($A$2:$A$5001,A1425)&gt;1),"NUMERO_PC duplicado",IF(B1425="","DATA_PC vazia",IF(NOT(ISNUMBER(B1425)),"DATA_PC invalida",IF(OR(C1425="",C1425="Fora dos ciclos"),"CICLO_PC nao identificado",IF(OR(D1425="",D1425=0),"VALOR_PC vazio ou zero",IF(AND(G1425&lt;&gt;"Sim",G1425&lt;&gt;"Nao",G1425&lt;&gt;""),"PC_PAGO_A_CONTRATADA invalido",IF(AND(C1425&lt;&gt;"C0",IFERROR(INDEX(parametros!$A$2:$A$6,MATCH(C1425,parametros!$B$2:$B$6,0)),"")="Sim",IFERROR(INDEX(parametros!$H$2:$H$6,MATCH(C1425,parametros!$B$2:$B$6,0)),"")=""),"INICIO_EFEITO ausente: PC "&amp;A1425&amp;" - "&amp;C1425,IF(L1425="","EFEITO_PC nao calculado: PC "&amp;A1425&amp;" - "&amp;C1425,"OK")))))))))</f>
        <v/>
      </c>
      <c r="L1425" s="92" t="str">
        <f>IF(AND(A1425="",B1425="",D1425="",G1425=""),"",IF(OR(B1425="",NOT(ISNUMBER(B1425)),C1425="",C1425="Fora dos ciclos"),"",IF(C1425="C0","Nao",IF(IFERROR(INDEX(parametros!$A$2:$A$6,MATCH(C1425,parametros!$B$2:$B$6,0)),"")&lt;&gt;"Sim","Nao",IF(IFERROR(INDEX(parametros!$H$2:$H$6,MATCH(C1425,parametros!$B$2:$B$6,0)),"")="","",IF(B1425&gt;=IFERROR(INDEX(parametros!$H$2:$H$6,MATCH(C1425,parametros!$B$2:$B$6,0)),""),"Sim","Nao"))))))</f>
        <v/>
      </c>
      <c r="T1425" s="156"/>
      <c r="U1425" s="214" t="str">
        <f t="shared" si="116"/>
        <v/>
      </c>
      <c r="V1425" s="212" t="s">
        <v>50</v>
      </c>
      <c r="W1425" s="100" t="s">
        <v>168</v>
      </c>
      <c r="X1425" s="100" t="s">
        <v>169</v>
      </c>
      <c r="Y1425" s="101" t="s">
        <v>170</v>
      </c>
      <c r="Z1425" s="101" t="s">
        <v>171</v>
      </c>
      <c r="AA1425" s="101" t="s">
        <v>50</v>
      </c>
      <c r="AB1425" s="101" t="s">
        <v>172</v>
      </c>
      <c r="AC1425" s="102" t="s">
        <v>173</v>
      </c>
    </row>
    <row r="1426" spans="1:29" ht="25.5" customHeight="1" x14ac:dyDescent="0.35">
      <c r="A1426" s="392"/>
      <c r="B1426" s="393"/>
      <c r="C1426" s="99" t="str">
        <f>IF(B1426="","",IF(NOT(ISNUMBER(B1426)),"DATA_PC invalida",IF(NOT(ISNUMBER(parametros!$C$2)),"Fora dos ciclos",IF(OR(B1426&lt;parametros!$C$2,(YEAR(B1426)-YEAR(parametros!$C$2))*12+MONTH(B1426)-MONTH(parametros!$C$2)&gt;59),"Fora dos ciclos","C"&amp;INT(((YEAR(B1426)-YEAR(parametros!$C$2))*12+MONTH(B1426)-MONTH(parametros!$C$2))/12)))))</f>
        <v/>
      </c>
      <c r="D1426" s="394"/>
      <c r="E1426" s="78" t="str">
        <f>IF(C1426="","",IFERROR(VLOOKUP(C1426,parametros!$A$11:$E$15,5,0),""))</f>
        <v/>
      </c>
      <c r="F1426" s="79" t="str">
        <f t="shared" si="112"/>
        <v/>
      </c>
      <c r="G1426" s="395"/>
      <c r="H1426" s="91">
        <f t="shared" si="113"/>
        <v>0</v>
      </c>
      <c r="I1426" s="91" t="str">
        <f t="shared" si="114"/>
        <v/>
      </c>
      <c r="J1426" s="91" t="str">
        <f t="shared" si="115"/>
        <v/>
      </c>
      <c r="K1426" s="92" t="str">
        <f>IF(AND(A1426="",B1426="",D1426="",G1426=""),"",IF(AND(A1426&lt;&gt;"",COUNTIF($A$2:$A$5001,A1426)&gt;1),"NUMERO_PC duplicado",IF(B1426="","DATA_PC vazia",IF(NOT(ISNUMBER(B1426)),"DATA_PC invalida",IF(OR(C1426="",C1426="Fora dos ciclos"),"CICLO_PC nao identificado",IF(OR(D1426="",D1426=0),"VALOR_PC vazio ou zero",IF(AND(G1426&lt;&gt;"Sim",G1426&lt;&gt;"Nao",G1426&lt;&gt;""),"PC_PAGO_A_CONTRATADA invalido",IF(AND(C1426&lt;&gt;"C0",IFERROR(INDEX(parametros!$A$2:$A$6,MATCH(C1426,parametros!$B$2:$B$6,0)),"")="Sim",IFERROR(INDEX(parametros!$H$2:$H$6,MATCH(C1426,parametros!$B$2:$B$6,0)),"")=""),"INICIO_EFEITO ausente: PC "&amp;A1426&amp;" - "&amp;C1426,IF(L1426="","EFEITO_PC nao calculado: PC "&amp;A1426&amp;" - "&amp;C1426,"OK")))))))))</f>
        <v/>
      </c>
      <c r="L1426" s="92" t="str">
        <f>IF(AND(A1426="",B1426="",D1426="",G1426=""),"",IF(OR(B1426="",NOT(ISNUMBER(B1426)),C1426="",C1426="Fora dos ciclos"),"",IF(C1426="C0","Nao",IF(IFERROR(INDEX(parametros!$A$2:$A$6,MATCH(C1426,parametros!$B$2:$B$6,0)),"")&lt;&gt;"Sim","Nao",IF(IFERROR(INDEX(parametros!$H$2:$H$6,MATCH(C1426,parametros!$B$2:$B$6,0)),"")="","",IF(B1426&gt;=IFERROR(INDEX(parametros!$H$2:$H$6,MATCH(C1426,parametros!$B$2:$B$6,0)),""),"Sim","Nao"))))))</f>
        <v/>
      </c>
      <c r="T1426" s="156"/>
      <c r="U1426" s="214" t="str">
        <f t="shared" si="116"/>
        <v/>
      </c>
      <c r="V1426" s="212" t="s">
        <v>50</v>
      </c>
      <c r="W1426" s="100" t="s">
        <v>168</v>
      </c>
      <c r="X1426" s="100" t="s">
        <v>169</v>
      </c>
      <c r="Y1426" s="101" t="s">
        <v>170</v>
      </c>
      <c r="Z1426" s="101" t="s">
        <v>171</v>
      </c>
      <c r="AA1426" s="101" t="s">
        <v>50</v>
      </c>
      <c r="AB1426" s="101" t="s">
        <v>172</v>
      </c>
      <c r="AC1426" s="102" t="s">
        <v>173</v>
      </c>
    </row>
    <row r="1427" spans="1:29" ht="25.5" customHeight="1" x14ac:dyDescent="0.35">
      <c r="A1427" s="392"/>
      <c r="B1427" s="393"/>
      <c r="C1427" s="99" t="str">
        <f>IF(B1427="","",IF(NOT(ISNUMBER(B1427)),"DATA_PC invalida",IF(NOT(ISNUMBER(parametros!$C$2)),"Fora dos ciclos",IF(OR(B1427&lt;parametros!$C$2,(YEAR(B1427)-YEAR(parametros!$C$2))*12+MONTH(B1427)-MONTH(parametros!$C$2)&gt;59),"Fora dos ciclos","C"&amp;INT(((YEAR(B1427)-YEAR(parametros!$C$2))*12+MONTH(B1427)-MONTH(parametros!$C$2))/12)))))</f>
        <v/>
      </c>
      <c r="D1427" s="394"/>
      <c r="E1427" s="78" t="str">
        <f>IF(C1427="","",IFERROR(VLOOKUP(C1427,parametros!$A$11:$E$15,5,0),""))</f>
        <v/>
      </c>
      <c r="F1427" s="79" t="str">
        <f t="shared" si="112"/>
        <v/>
      </c>
      <c r="G1427" s="395"/>
      <c r="H1427" s="91">
        <f t="shared" si="113"/>
        <v>0</v>
      </c>
      <c r="I1427" s="91" t="str">
        <f t="shared" si="114"/>
        <v/>
      </c>
      <c r="J1427" s="91" t="str">
        <f t="shared" si="115"/>
        <v/>
      </c>
      <c r="K1427" s="92" t="str">
        <f>IF(AND(A1427="",B1427="",D1427="",G1427=""),"",IF(AND(A1427&lt;&gt;"",COUNTIF($A$2:$A$5001,A1427)&gt;1),"NUMERO_PC duplicado",IF(B1427="","DATA_PC vazia",IF(NOT(ISNUMBER(B1427)),"DATA_PC invalida",IF(OR(C1427="",C1427="Fora dos ciclos"),"CICLO_PC nao identificado",IF(OR(D1427="",D1427=0),"VALOR_PC vazio ou zero",IF(AND(G1427&lt;&gt;"Sim",G1427&lt;&gt;"Nao",G1427&lt;&gt;""),"PC_PAGO_A_CONTRATADA invalido",IF(AND(C1427&lt;&gt;"C0",IFERROR(INDEX(parametros!$A$2:$A$6,MATCH(C1427,parametros!$B$2:$B$6,0)),"")="Sim",IFERROR(INDEX(parametros!$H$2:$H$6,MATCH(C1427,parametros!$B$2:$B$6,0)),"")=""),"INICIO_EFEITO ausente: PC "&amp;A1427&amp;" - "&amp;C1427,IF(L1427="","EFEITO_PC nao calculado: PC "&amp;A1427&amp;" - "&amp;C1427,"OK")))))))))</f>
        <v/>
      </c>
      <c r="L1427" s="92" t="str">
        <f>IF(AND(A1427="",B1427="",D1427="",G1427=""),"",IF(OR(B1427="",NOT(ISNUMBER(B1427)),C1427="",C1427="Fora dos ciclos"),"",IF(C1427="C0","Nao",IF(IFERROR(INDEX(parametros!$A$2:$A$6,MATCH(C1427,parametros!$B$2:$B$6,0)),"")&lt;&gt;"Sim","Nao",IF(IFERROR(INDEX(parametros!$H$2:$H$6,MATCH(C1427,parametros!$B$2:$B$6,0)),"")="","",IF(B1427&gt;=IFERROR(INDEX(parametros!$H$2:$H$6,MATCH(C1427,parametros!$B$2:$B$6,0)),""),"Sim","Nao"))))))</f>
        <v/>
      </c>
      <c r="T1427" s="156"/>
      <c r="U1427" s="214" t="str">
        <f t="shared" si="116"/>
        <v/>
      </c>
      <c r="V1427" s="212" t="s">
        <v>50</v>
      </c>
      <c r="W1427" s="100" t="s">
        <v>168</v>
      </c>
      <c r="X1427" s="100" t="s">
        <v>169</v>
      </c>
      <c r="Y1427" s="101" t="s">
        <v>170</v>
      </c>
      <c r="Z1427" s="101" t="s">
        <v>171</v>
      </c>
      <c r="AA1427" s="101" t="s">
        <v>50</v>
      </c>
      <c r="AB1427" s="101" t="s">
        <v>172</v>
      </c>
      <c r="AC1427" s="102" t="s">
        <v>173</v>
      </c>
    </row>
    <row r="1428" spans="1:29" ht="25.5" customHeight="1" x14ac:dyDescent="0.35">
      <c r="A1428" s="392"/>
      <c r="B1428" s="393"/>
      <c r="C1428" s="99" t="str">
        <f>IF(B1428="","",IF(NOT(ISNUMBER(B1428)),"DATA_PC invalida",IF(NOT(ISNUMBER(parametros!$C$2)),"Fora dos ciclos",IF(OR(B1428&lt;parametros!$C$2,(YEAR(B1428)-YEAR(parametros!$C$2))*12+MONTH(B1428)-MONTH(parametros!$C$2)&gt;59),"Fora dos ciclos","C"&amp;INT(((YEAR(B1428)-YEAR(parametros!$C$2))*12+MONTH(B1428)-MONTH(parametros!$C$2))/12)))))</f>
        <v/>
      </c>
      <c r="D1428" s="394"/>
      <c r="E1428" s="78" t="str">
        <f>IF(C1428="","",IFERROR(VLOOKUP(C1428,parametros!$A$11:$E$15,5,0),""))</f>
        <v/>
      </c>
      <c r="F1428" s="79" t="str">
        <f t="shared" si="112"/>
        <v/>
      </c>
      <c r="G1428" s="395"/>
      <c r="H1428" s="91">
        <f t="shared" si="113"/>
        <v>0</v>
      </c>
      <c r="I1428" s="91" t="str">
        <f t="shared" si="114"/>
        <v/>
      </c>
      <c r="J1428" s="91" t="str">
        <f t="shared" si="115"/>
        <v/>
      </c>
      <c r="K1428" s="92" t="str">
        <f>IF(AND(A1428="",B1428="",D1428="",G1428=""),"",IF(AND(A1428&lt;&gt;"",COUNTIF($A$2:$A$5001,A1428)&gt;1),"NUMERO_PC duplicado",IF(B1428="","DATA_PC vazia",IF(NOT(ISNUMBER(B1428)),"DATA_PC invalida",IF(OR(C1428="",C1428="Fora dos ciclos"),"CICLO_PC nao identificado",IF(OR(D1428="",D1428=0),"VALOR_PC vazio ou zero",IF(AND(G1428&lt;&gt;"Sim",G1428&lt;&gt;"Nao",G1428&lt;&gt;""),"PC_PAGO_A_CONTRATADA invalido",IF(AND(C1428&lt;&gt;"C0",IFERROR(INDEX(parametros!$A$2:$A$6,MATCH(C1428,parametros!$B$2:$B$6,0)),"")="Sim",IFERROR(INDEX(parametros!$H$2:$H$6,MATCH(C1428,parametros!$B$2:$B$6,0)),"")=""),"INICIO_EFEITO ausente: PC "&amp;A1428&amp;" - "&amp;C1428,IF(L1428="","EFEITO_PC nao calculado: PC "&amp;A1428&amp;" - "&amp;C1428,"OK")))))))))</f>
        <v/>
      </c>
      <c r="L1428" s="92" t="str">
        <f>IF(AND(A1428="",B1428="",D1428="",G1428=""),"",IF(OR(B1428="",NOT(ISNUMBER(B1428)),C1428="",C1428="Fora dos ciclos"),"",IF(C1428="C0","Nao",IF(IFERROR(INDEX(parametros!$A$2:$A$6,MATCH(C1428,parametros!$B$2:$B$6,0)),"")&lt;&gt;"Sim","Nao",IF(IFERROR(INDEX(parametros!$H$2:$H$6,MATCH(C1428,parametros!$B$2:$B$6,0)),"")="","",IF(B1428&gt;=IFERROR(INDEX(parametros!$H$2:$H$6,MATCH(C1428,parametros!$B$2:$B$6,0)),""),"Sim","Nao"))))))</f>
        <v/>
      </c>
      <c r="T1428" s="156"/>
      <c r="U1428" s="214" t="str">
        <f t="shared" si="116"/>
        <v/>
      </c>
      <c r="V1428" s="212" t="s">
        <v>50</v>
      </c>
      <c r="W1428" s="100" t="s">
        <v>168</v>
      </c>
      <c r="X1428" s="100" t="s">
        <v>169</v>
      </c>
      <c r="Y1428" s="101" t="s">
        <v>170</v>
      </c>
      <c r="Z1428" s="101" t="s">
        <v>171</v>
      </c>
      <c r="AA1428" s="101" t="s">
        <v>50</v>
      </c>
      <c r="AB1428" s="101" t="s">
        <v>172</v>
      </c>
      <c r="AC1428" s="102" t="s">
        <v>173</v>
      </c>
    </row>
    <row r="1429" spans="1:29" ht="25.5" customHeight="1" x14ac:dyDescent="0.35">
      <c r="A1429" s="392"/>
      <c r="B1429" s="393"/>
      <c r="C1429" s="99" t="str">
        <f>IF(B1429="","",IF(NOT(ISNUMBER(B1429)),"DATA_PC invalida",IF(NOT(ISNUMBER(parametros!$C$2)),"Fora dos ciclos",IF(OR(B1429&lt;parametros!$C$2,(YEAR(B1429)-YEAR(parametros!$C$2))*12+MONTH(B1429)-MONTH(parametros!$C$2)&gt;59),"Fora dos ciclos","C"&amp;INT(((YEAR(B1429)-YEAR(parametros!$C$2))*12+MONTH(B1429)-MONTH(parametros!$C$2))/12)))))</f>
        <v/>
      </c>
      <c r="D1429" s="394"/>
      <c r="E1429" s="78" t="str">
        <f>IF(C1429="","",IFERROR(VLOOKUP(C1429,parametros!$A$11:$E$15,5,0),""))</f>
        <v/>
      </c>
      <c r="F1429" s="79" t="str">
        <f t="shared" si="112"/>
        <v/>
      </c>
      <c r="G1429" s="395"/>
      <c r="H1429" s="91">
        <f t="shared" si="113"/>
        <v>0</v>
      </c>
      <c r="I1429" s="91" t="str">
        <f t="shared" si="114"/>
        <v/>
      </c>
      <c r="J1429" s="91" t="str">
        <f t="shared" si="115"/>
        <v/>
      </c>
      <c r="K1429" s="92" t="str">
        <f>IF(AND(A1429="",B1429="",D1429="",G1429=""),"",IF(AND(A1429&lt;&gt;"",COUNTIF($A$2:$A$5001,A1429)&gt;1),"NUMERO_PC duplicado",IF(B1429="","DATA_PC vazia",IF(NOT(ISNUMBER(B1429)),"DATA_PC invalida",IF(OR(C1429="",C1429="Fora dos ciclos"),"CICLO_PC nao identificado",IF(OR(D1429="",D1429=0),"VALOR_PC vazio ou zero",IF(AND(G1429&lt;&gt;"Sim",G1429&lt;&gt;"Nao",G1429&lt;&gt;""),"PC_PAGO_A_CONTRATADA invalido",IF(AND(C1429&lt;&gt;"C0",IFERROR(INDEX(parametros!$A$2:$A$6,MATCH(C1429,parametros!$B$2:$B$6,0)),"")="Sim",IFERROR(INDEX(parametros!$H$2:$H$6,MATCH(C1429,parametros!$B$2:$B$6,0)),"")=""),"INICIO_EFEITO ausente: PC "&amp;A1429&amp;" - "&amp;C1429,IF(L1429="","EFEITO_PC nao calculado: PC "&amp;A1429&amp;" - "&amp;C1429,"OK")))))))))</f>
        <v/>
      </c>
      <c r="L1429" s="92" t="str">
        <f>IF(AND(A1429="",B1429="",D1429="",G1429=""),"",IF(OR(B1429="",NOT(ISNUMBER(B1429)),C1429="",C1429="Fora dos ciclos"),"",IF(C1429="C0","Nao",IF(IFERROR(INDEX(parametros!$A$2:$A$6,MATCH(C1429,parametros!$B$2:$B$6,0)),"")&lt;&gt;"Sim","Nao",IF(IFERROR(INDEX(parametros!$H$2:$H$6,MATCH(C1429,parametros!$B$2:$B$6,0)),"")="","",IF(B1429&gt;=IFERROR(INDEX(parametros!$H$2:$H$6,MATCH(C1429,parametros!$B$2:$B$6,0)),""),"Sim","Nao"))))))</f>
        <v/>
      </c>
      <c r="T1429" s="156"/>
      <c r="U1429" s="214" t="str">
        <f t="shared" si="116"/>
        <v/>
      </c>
      <c r="V1429" s="212" t="s">
        <v>50</v>
      </c>
      <c r="W1429" s="100" t="s">
        <v>168</v>
      </c>
      <c r="X1429" s="100" t="s">
        <v>169</v>
      </c>
      <c r="Y1429" s="101" t="s">
        <v>170</v>
      </c>
      <c r="Z1429" s="101" t="s">
        <v>171</v>
      </c>
      <c r="AA1429" s="101" t="s">
        <v>50</v>
      </c>
      <c r="AB1429" s="101" t="s">
        <v>172</v>
      </c>
      <c r="AC1429" s="102" t="s">
        <v>173</v>
      </c>
    </row>
    <row r="1430" spans="1:29" ht="25.5" customHeight="1" x14ac:dyDescent="0.35">
      <c r="A1430" s="392"/>
      <c r="B1430" s="393"/>
      <c r="C1430" s="99" t="str">
        <f>IF(B1430="","",IF(NOT(ISNUMBER(B1430)),"DATA_PC invalida",IF(NOT(ISNUMBER(parametros!$C$2)),"Fora dos ciclos",IF(OR(B1430&lt;parametros!$C$2,(YEAR(B1430)-YEAR(parametros!$C$2))*12+MONTH(B1430)-MONTH(parametros!$C$2)&gt;59),"Fora dos ciclos","C"&amp;INT(((YEAR(B1430)-YEAR(parametros!$C$2))*12+MONTH(B1430)-MONTH(parametros!$C$2))/12)))))</f>
        <v/>
      </c>
      <c r="D1430" s="394"/>
      <c r="E1430" s="78" t="str">
        <f>IF(C1430="","",IFERROR(VLOOKUP(C1430,parametros!$A$11:$E$15,5,0),""))</f>
        <v/>
      </c>
      <c r="F1430" s="79" t="str">
        <f t="shared" si="112"/>
        <v/>
      </c>
      <c r="G1430" s="395"/>
      <c r="H1430" s="91">
        <f t="shared" si="113"/>
        <v>0</v>
      </c>
      <c r="I1430" s="91" t="str">
        <f t="shared" si="114"/>
        <v/>
      </c>
      <c r="J1430" s="91" t="str">
        <f t="shared" si="115"/>
        <v/>
      </c>
      <c r="K1430" s="92" t="str">
        <f>IF(AND(A1430="",B1430="",D1430="",G1430=""),"",IF(AND(A1430&lt;&gt;"",COUNTIF($A$2:$A$5001,A1430)&gt;1),"NUMERO_PC duplicado",IF(B1430="","DATA_PC vazia",IF(NOT(ISNUMBER(B1430)),"DATA_PC invalida",IF(OR(C1430="",C1430="Fora dos ciclos"),"CICLO_PC nao identificado",IF(OR(D1430="",D1430=0),"VALOR_PC vazio ou zero",IF(AND(G1430&lt;&gt;"Sim",G1430&lt;&gt;"Nao",G1430&lt;&gt;""),"PC_PAGO_A_CONTRATADA invalido",IF(AND(C1430&lt;&gt;"C0",IFERROR(INDEX(parametros!$A$2:$A$6,MATCH(C1430,parametros!$B$2:$B$6,0)),"")="Sim",IFERROR(INDEX(parametros!$H$2:$H$6,MATCH(C1430,parametros!$B$2:$B$6,0)),"")=""),"INICIO_EFEITO ausente: PC "&amp;A1430&amp;" - "&amp;C1430,IF(L1430="","EFEITO_PC nao calculado: PC "&amp;A1430&amp;" - "&amp;C1430,"OK")))))))))</f>
        <v/>
      </c>
      <c r="L1430" s="92" t="str">
        <f>IF(AND(A1430="",B1430="",D1430="",G1430=""),"",IF(OR(B1430="",NOT(ISNUMBER(B1430)),C1430="",C1430="Fora dos ciclos"),"",IF(C1430="C0","Nao",IF(IFERROR(INDEX(parametros!$A$2:$A$6,MATCH(C1430,parametros!$B$2:$B$6,0)),"")&lt;&gt;"Sim","Nao",IF(IFERROR(INDEX(parametros!$H$2:$H$6,MATCH(C1430,parametros!$B$2:$B$6,0)),"")="","",IF(B1430&gt;=IFERROR(INDEX(parametros!$H$2:$H$6,MATCH(C1430,parametros!$B$2:$B$6,0)),""),"Sim","Nao"))))))</f>
        <v/>
      </c>
      <c r="T1430" s="156"/>
      <c r="U1430" s="214" t="str">
        <f t="shared" si="116"/>
        <v/>
      </c>
      <c r="V1430" s="212" t="s">
        <v>50</v>
      </c>
      <c r="W1430" s="100" t="s">
        <v>168</v>
      </c>
      <c r="X1430" s="100" t="s">
        <v>169</v>
      </c>
      <c r="Y1430" s="101" t="s">
        <v>170</v>
      </c>
      <c r="Z1430" s="101" t="s">
        <v>171</v>
      </c>
      <c r="AA1430" s="101" t="s">
        <v>50</v>
      </c>
      <c r="AB1430" s="101" t="s">
        <v>172</v>
      </c>
      <c r="AC1430" s="102" t="s">
        <v>173</v>
      </c>
    </row>
    <row r="1431" spans="1:29" ht="25.5" customHeight="1" x14ac:dyDescent="0.35">
      <c r="A1431" s="392"/>
      <c r="B1431" s="393"/>
      <c r="C1431" s="99" t="str">
        <f>IF(B1431="","",IF(NOT(ISNUMBER(B1431)),"DATA_PC invalida",IF(NOT(ISNUMBER(parametros!$C$2)),"Fora dos ciclos",IF(OR(B1431&lt;parametros!$C$2,(YEAR(B1431)-YEAR(parametros!$C$2))*12+MONTH(B1431)-MONTH(parametros!$C$2)&gt;59),"Fora dos ciclos","C"&amp;INT(((YEAR(B1431)-YEAR(parametros!$C$2))*12+MONTH(B1431)-MONTH(parametros!$C$2))/12)))))</f>
        <v/>
      </c>
      <c r="D1431" s="394"/>
      <c r="E1431" s="78" t="str">
        <f>IF(C1431="","",IFERROR(VLOOKUP(C1431,parametros!$A$11:$E$15,5,0),""))</f>
        <v/>
      </c>
      <c r="F1431" s="79" t="str">
        <f t="shared" si="112"/>
        <v/>
      </c>
      <c r="G1431" s="395"/>
      <c r="H1431" s="91">
        <f t="shared" si="113"/>
        <v>0</v>
      </c>
      <c r="I1431" s="91" t="str">
        <f t="shared" si="114"/>
        <v/>
      </c>
      <c r="J1431" s="91" t="str">
        <f t="shared" si="115"/>
        <v/>
      </c>
      <c r="K1431" s="92" t="str">
        <f>IF(AND(A1431="",B1431="",D1431="",G1431=""),"",IF(AND(A1431&lt;&gt;"",COUNTIF($A$2:$A$5001,A1431)&gt;1),"NUMERO_PC duplicado",IF(B1431="","DATA_PC vazia",IF(NOT(ISNUMBER(B1431)),"DATA_PC invalida",IF(OR(C1431="",C1431="Fora dos ciclos"),"CICLO_PC nao identificado",IF(OR(D1431="",D1431=0),"VALOR_PC vazio ou zero",IF(AND(G1431&lt;&gt;"Sim",G1431&lt;&gt;"Nao",G1431&lt;&gt;""),"PC_PAGO_A_CONTRATADA invalido",IF(AND(C1431&lt;&gt;"C0",IFERROR(INDEX(parametros!$A$2:$A$6,MATCH(C1431,parametros!$B$2:$B$6,0)),"")="Sim",IFERROR(INDEX(parametros!$H$2:$H$6,MATCH(C1431,parametros!$B$2:$B$6,0)),"")=""),"INICIO_EFEITO ausente: PC "&amp;A1431&amp;" - "&amp;C1431,IF(L1431="","EFEITO_PC nao calculado: PC "&amp;A1431&amp;" - "&amp;C1431,"OK")))))))))</f>
        <v/>
      </c>
      <c r="L1431" s="92" t="str">
        <f>IF(AND(A1431="",B1431="",D1431="",G1431=""),"",IF(OR(B1431="",NOT(ISNUMBER(B1431)),C1431="",C1431="Fora dos ciclos"),"",IF(C1431="C0","Nao",IF(IFERROR(INDEX(parametros!$A$2:$A$6,MATCH(C1431,parametros!$B$2:$B$6,0)),"")&lt;&gt;"Sim","Nao",IF(IFERROR(INDEX(parametros!$H$2:$H$6,MATCH(C1431,parametros!$B$2:$B$6,0)),"")="","",IF(B1431&gt;=IFERROR(INDEX(parametros!$H$2:$H$6,MATCH(C1431,parametros!$B$2:$B$6,0)),""),"Sim","Nao"))))))</f>
        <v/>
      </c>
      <c r="T1431" s="156"/>
      <c r="U1431" s="214" t="str">
        <f t="shared" si="116"/>
        <v/>
      </c>
      <c r="V1431" s="212" t="s">
        <v>50</v>
      </c>
      <c r="W1431" s="100" t="s">
        <v>168</v>
      </c>
      <c r="X1431" s="100" t="s">
        <v>169</v>
      </c>
      <c r="Y1431" s="101" t="s">
        <v>170</v>
      </c>
      <c r="Z1431" s="101" t="s">
        <v>171</v>
      </c>
      <c r="AA1431" s="101" t="s">
        <v>50</v>
      </c>
      <c r="AB1431" s="101" t="s">
        <v>172</v>
      </c>
      <c r="AC1431" s="102" t="s">
        <v>173</v>
      </c>
    </row>
    <row r="1432" spans="1:29" ht="25.5" customHeight="1" x14ac:dyDescent="0.35">
      <c r="A1432" s="392"/>
      <c r="B1432" s="393"/>
      <c r="C1432" s="99" t="str">
        <f>IF(B1432="","",IF(NOT(ISNUMBER(B1432)),"DATA_PC invalida",IF(NOT(ISNUMBER(parametros!$C$2)),"Fora dos ciclos",IF(OR(B1432&lt;parametros!$C$2,(YEAR(B1432)-YEAR(parametros!$C$2))*12+MONTH(B1432)-MONTH(parametros!$C$2)&gt;59),"Fora dos ciclos","C"&amp;INT(((YEAR(B1432)-YEAR(parametros!$C$2))*12+MONTH(B1432)-MONTH(parametros!$C$2))/12)))))</f>
        <v/>
      </c>
      <c r="D1432" s="394"/>
      <c r="E1432" s="78" t="str">
        <f>IF(C1432="","",IFERROR(VLOOKUP(C1432,parametros!$A$11:$E$15,5,0),""))</f>
        <v/>
      </c>
      <c r="F1432" s="79" t="str">
        <f t="shared" si="112"/>
        <v/>
      </c>
      <c r="G1432" s="395"/>
      <c r="H1432" s="91">
        <f t="shared" si="113"/>
        <v>0</v>
      </c>
      <c r="I1432" s="91" t="str">
        <f t="shared" si="114"/>
        <v/>
      </c>
      <c r="J1432" s="91" t="str">
        <f t="shared" si="115"/>
        <v/>
      </c>
      <c r="K1432" s="92" t="str">
        <f>IF(AND(A1432="",B1432="",D1432="",G1432=""),"",IF(AND(A1432&lt;&gt;"",COUNTIF($A$2:$A$5001,A1432)&gt;1),"NUMERO_PC duplicado",IF(B1432="","DATA_PC vazia",IF(NOT(ISNUMBER(B1432)),"DATA_PC invalida",IF(OR(C1432="",C1432="Fora dos ciclos"),"CICLO_PC nao identificado",IF(OR(D1432="",D1432=0),"VALOR_PC vazio ou zero",IF(AND(G1432&lt;&gt;"Sim",G1432&lt;&gt;"Nao",G1432&lt;&gt;""),"PC_PAGO_A_CONTRATADA invalido",IF(AND(C1432&lt;&gt;"C0",IFERROR(INDEX(parametros!$A$2:$A$6,MATCH(C1432,parametros!$B$2:$B$6,0)),"")="Sim",IFERROR(INDEX(parametros!$H$2:$H$6,MATCH(C1432,parametros!$B$2:$B$6,0)),"")=""),"INICIO_EFEITO ausente: PC "&amp;A1432&amp;" - "&amp;C1432,IF(L1432="","EFEITO_PC nao calculado: PC "&amp;A1432&amp;" - "&amp;C1432,"OK")))))))))</f>
        <v/>
      </c>
      <c r="L1432" s="92" t="str">
        <f>IF(AND(A1432="",B1432="",D1432="",G1432=""),"",IF(OR(B1432="",NOT(ISNUMBER(B1432)),C1432="",C1432="Fora dos ciclos"),"",IF(C1432="C0","Nao",IF(IFERROR(INDEX(parametros!$A$2:$A$6,MATCH(C1432,parametros!$B$2:$B$6,0)),"")&lt;&gt;"Sim","Nao",IF(IFERROR(INDEX(parametros!$H$2:$H$6,MATCH(C1432,parametros!$B$2:$B$6,0)),"")="","",IF(B1432&gt;=IFERROR(INDEX(parametros!$H$2:$H$6,MATCH(C1432,parametros!$B$2:$B$6,0)),""),"Sim","Nao"))))))</f>
        <v/>
      </c>
      <c r="T1432" s="156"/>
      <c r="U1432" s="214" t="str">
        <f t="shared" si="116"/>
        <v/>
      </c>
      <c r="V1432" s="212" t="s">
        <v>50</v>
      </c>
      <c r="W1432" s="100" t="s">
        <v>168</v>
      </c>
      <c r="X1432" s="100" t="s">
        <v>169</v>
      </c>
      <c r="Y1432" s="101" t="s">
        <v>170</v>
      </c>
      <c r="Z1432" s="101" t="s">
        <v>171</v>
      </c>
      <c r="AA1432" s="101" t="s">
        <v>50</v>
      </c>
      <c r="AB1432" s="101" t="s">
        <v>172</v>
      </c>
      <c r="AC1432" s="102" t="s">
        <v>173</v>
      </c>
    </row>
    <row r="1433" spans="1:29" ht="25.5" customHeight="1" x14ac:dyDescent="0.35">
      <c r="A1433" s="392"/>
      <c r="B1433" s="393"/>
      <c r="C1433" s="99" t="str">
        <f>IF(B1433="","",IF(NOT(ISNUMBER(B1433)),"DATA_PC invalida",IF(NOT(ISNUMBER(parametros!$C$2)),"Fora dos ciclos",IF(OR(B1433&lt;parametros!$C$2,(YEAR(B1433)-YEAR(parametros!$C$2))*12+MONTH(B1433)-MONTH(parametros!$C$2)&gt;59),"Fora dos ciclos","C"&amp;INT(((YEAR(B1433)-YEAR(parametros!$C$2))*12+MONTH(B1433)-MONTH(parametros!$C$2))/12)))))</f>
        <v/>
      </c>
      <c r="D1433" s="394"/>
      <c r="E1433" s="78" t="str">
        <f>IF(C1433="","",IFERROR(VLOOKUP(C1433,parametros!$A$11:$E$15,5,0),""))</f>
        <v/>
      </c>
      <c r="F1433" s="79" t="str">
        <f t="shared" si="112"/>
        <v/>
      </c>
      <c r="G1433" s="395"/>
      <c r="H1433" s="91">
        <f t="shared" si="113"/>
        <v>0</v>
      </c>
      <c r="I1433" s="91" t="str">
        <f t="shared" si="114"/>
        <v/>
      </c>
      <c r="J1433" s="91" t="str">
        <f t="shared" si="115"/>
        <v/>
      </c>
      <c r="K1433" s="92" t="str">
        <f>IF(AND(A1433="",B1433="",D1433="",G1433=""),"",IF(AND(A1433&lt;&gt;"",COUNTIF($A$2:$A$5001,A1433)&gt;1),"NUMERO_PC duplicado",IF(B1433="","DATA_PC vazia",IF(NOT(ISNUMBER(B1433)),"DATA_PC invalida",IF(OR(C1433="",C1433="Fora dos ciclos"),"CICLO_PC nao identificado",IF(OR(D1433="",D1433=0),"VALOR_PC vazio ou zero",IF(AND(G1433&lt;&gt;"Sim",G1433&lt;&gt;"Nao",G1433&lt;&gt;""),"PC_PAGO_A_CONTRATADA invalido",IF(AND(C1433&lt;&gt;"C0",IFERROR(INDEX(parametros!$A$2:$A$6,MATCH(C1433,parametros!$B$2:$B$6,0)),"")="Sim",IFERROR(INDEX(parametros!$H$2:$H$6,MATCH(C1433,parametros!$B$2:$B$6,0)),"")=""),"INICIO_EFEITO ausente: PC "&amp;A1433&amp;" - "&amp;C1433,IF(L1433="","EFEITO_PC nao calculado: PC "&amp;A1433&amp;" - "&amp;C1433,"OK")))))))))</f>
        <v/>
      </c>
      <c r="L1433" s="92" t="str">
        <f>IF(AND(A1433="",B1433="",D1433="",G1433=""),"",IF(OR(B1433="",NOT(ISNUMBER(B1433)),C1433="",C1433="Fora dos ciclos"),"",IF(C1433="C0","Nao",IF(IFERROR(INDEX(parametros!$A$2:$A$6,MATCH(C1433,parametros!$B$2:$B$6,0)),"")&lt;&gt;"Sim","Nao",IF(IFERROR(INDEX(parametros!$H$2:$H$6,MATCH(C1433,parametros!$B$2:$B$6,0)),"")="","",IF(B1433&gt;=IFERROR(INDEX(parametros!$H$2:$H$6,MATCH(C1433,parametros!$B$2:$B$6,0)),""),"Sim","Nao"))))))</f>
        <v/>
      </c>
      <c r="T1433" s="156"/>
      <c r="U1433" s="214" t="str">
        <f t="shared" si="116"/>
        <v/>
      </c>
      <c r="V1433" s="212" t="s">
        <v>50</v>
      </c>
      <c r="W1433" s="100" t="s">
        <v>168</v>
      </c>
      <c r="X1433" s="100" t="s">
        <v>169</v>
      </c>
      <c r="Y1433" s="101" t="s">
        <v>170</v>
      </c>
      <c r="Z1433" s="101" t="s">
        <v>171</v>
      </c>
      <c r="AA1433" s="101" t="s">
        <v>50</v>
      </c>
      <c r="AB1433" s="101" t="s">
        <v>172</v>
      </c>
      <c r="AC1433" s="102" t="s">
        <v>173</v>
      </c>
    </row>
    <row r="1434" spans="1:29" ht="25.5" customHeight="1" x14ac:dyDescent="0.35">
      <c r="A1434" s="392"/>
      <c r="B1434" s="393"/>
      <c r="C1434" s="99" t="str">
        <f>IF(B1434="","",IF(NOT(ISNUMBER(B1434)),"DATA_PC invalida",IF(NOT(ISNUMBER(parametros!$C$2)),"Fora dos ciclos",IF(OR(B1434&lt;parametros!$C$2,(YEAR(B1434)-YEAR(parametros!$C$2))*12+MONTH(B1434)-MONTH(parametros!$C$2)&gt;59),"Fora dos ciclos","C"&amp;INT(((YEAR(B1434)-YEAR(parametros!$C$2))*12+MONTH(B1434)-MONTH(parametros!$C$2))/12)))))</f>
        <v/>
      </c>
      <c r="D1434" s="394"/>
      <c r="E1434" s="78" t="str">
        <f>IF(C1434="","",IFERROR(VLOOKUP(C1434,parametros!$A$11:$E$15,5,0),""))</f>
        <v/>
      </c>
      <c r="F1434" s="79" t="str">
        <f t="shared" si="112"/>
        <v/>
      </c>
      <c r="G1434" s="395"/>
      <c r="H1434" s="91">
        <f t="shared" si="113"/>
        <v>0</v>
      </c>
      <c r="I1434" s="91" t="str">
        <f t="shared" si="114"/>
        <v/>
      </c>
      <c r="J1434" s="91" t="str">
        <f t="shared" si="115"/>
        <v/>
      </c>
      <c r="K1434" s="92" t="str">
        <f>IF(AND(A1434="",B1434="",D1434="",G1434=""),"",IF(AND(A1434&lt;&gt;"",COUNTIF($A$2:$A$5001,A1434)&gt;1),"NUMERO_PC duplicado",IF(B1434="","DATA_PC vazia",IF(NOT(ISNUMBER(B1434)),"DATA_PC invalida",IF(OR(C1434="",C1434="Fora dos ciclos"),"CICLO_PC nao identificado",IF(OR(D1434="",D1434=0),"VALOR_PC vazio ou zero",IF(AND(G1434&lt;&gt;"Sim",G1434&lt;&gt;"Nao",G1434&lt;&gt;""),"PC_PAGO_A_CONTRATADA invalido",IF(AND(C1434&lt;&gt;"C0",IFERROR(INDEX(parametros!$A$2:$A$6,MATCH(C1434,parametros!$B$2:$B$6,0)),"")="Sim",IFERROR(INDEX(parametros!$H$2:$H$6,MATCH(C1434,parametros!$B$2:$B$6,0)),"")=""),"INICIO_EFEITO ausente: PC "&amp;A1434&amp;" - "&amp;C1434,IF(L1434="","EFEITO_PC nao calculado: PC "&amp;A1434&amp;" - "&amp;C1434,"OK")))))))))</f>
        <v/>
      </c>
      <c r="L1434" s="92" t="str">
        <f>IF(AND(A1434="",B1434="",D1434="",G1434=""),"",IF(OR(B1434="",NOT(ISNUMBER(B1434)),C1434="",C1434="Fora dos ciclos"),"",IF(C1434="C0","Nao",IF(IFERROR(INDEX(parametros!$A$2:$A$6,MATCH(C1434,parametros!$B$2:$B$6,0)),"")&lt;&gt;"Sim","Nao",IF(IFERROR(INDEX(parametros!$H$2:$H$6,MATCH(C1434,parametros!$B$2:$B$6,0)),"")="","",IF(B1434&gt;=IFERROR(INDEX(parametros!$H$2:$H$6,MATCH(C1434,parametros!$B$2:$B$6,0)),""),"Sim","Nao"))))))</f>
        <v/>
      </c>
      <c r="T1434" s="156"/>
      <c r="U1434" s="214" t="str">
        <f t="shared" si="116"/>
        <v/>
      </c>
      <c r="V1434" s="212" t="s">
        <v>50</v>
      </c>
      <c r="W1434" s="100" t="s">
        <v>168</v>
      </c>
      <c r="X1434" s="100" t="s">
        <v>169</v>
      </c>
      <c r="Y1434" s="101" t="s">
        <v>170</v>
      </c>
      <c r="Z1434" s="101" t="s">
        <v>171</v>
      </c>
      <c r="AA1434" s="101" t="s">
        <v>50</v>
      </c>
      <c r="AB1434" s="101" t="s">
        <v>172</v>
      </c>
      <c r="AC1434" s="102" t="s">
        <v>173</v>
      </c>
    </row>
    <row r="1435" spans="1:29" ht="25.5" customHeight="1" x14ac:dyDescent="0.35">
      <c r="A1435" s="392"/>
      <c r="B1435" s="393"/>
      <c r="C1435" s="99" t="str">
        <f>IF(B1435="","",IF(NOT(ISNUMBER(B1435)),"DATA_PC invalida",IF(NOT(ISNUMBER(parametros!$C$2)),"Fora dos ciclos",IF(OR(B1435&lt;parametros!$C$2,(YEAR(B1435)-YEAR(parametros!$C$2))*12+MONTH(B1435)-MONTH(parametros!$C$2)&gt;59),"Fora dos ciclos","C"&amp;INT(((YEAR(B1435)-YEAR(parametros!$C$2))*12+MONTH(B1435)-MONTH(parametros!$C$2))/12)))))</f>
        <v/>
      </c>
      <c r="D1435" s="394"/>
      <c r="E1435" s="78" t="str">
        <f>IF(C1435="","",IFERROR(VLOOKUP(C1435,parametros!$A$11:$E$15,5,0),""))</f>
        <v/>
      </c>
      <c r="F1435" s="79" t="str">
        <f t="shared" si="112"/>
        <v/>
      </c>
      <c r="G1435" s="395"/>
      <c r="H1435" s="91">
        <f t="shared" si="113"/>
        <v>0</v>
      </c>
      <c r="I1435" s="91" t="str">
        <f t="shared" si="114"/>
        <v/>
      </c>
      <c r="J1435" s="91" t="str">
        <f t="shared" si="115"/>
        <v/>
      </c>
      <c r="K1435" s="92" t="str">
        <f>IF(AND(A1435="",B1435="",D1435="",G1435=""),"",IF(AND(A1435&lt;&gt;"",COUNTIF($A$2:$A$5001,A1435)&gt;1),"NUMERO_PC duplicado",IF(B1435="","DATA_PC vazia",IF(NOT(ISNUMBER(B1435)),"DATA_PC invalida",IF(OR(C1435="",C1435="Fora dos ciclos"),"CICLO_PC nao identificado",IF(OR(D1435="",D1435=0),"VALOR_PC vazio ou zero",IF(AND(G1435&lt;&gt;"Sim",G1435&lt;&gt;"Nao",G1435&lt;&gt;""),"PC_PAGO_A_CONTRATADA invalido",IF(AND(C1435&lt;&gt;"C0",IFERROR(INDEX(parametros!$A$2:$A$6,MATCH(C1435,parametros!$B$2:$B$6,0)),"")="Sim",IFERROR(INDEX(parametros!$H$2:$H$6,MATCH(C1435,parametros!$B$2:$B$6,0)),"")=""),"INICIO_EFEITO ausente: PC "&amp;A1435&amp;" - "&amp;C1435,IF(L1435="","EFEITO_PC nao calculado: PC "&amp;A1435&amp;" - "&amp;C1435,"OK")))))))))</f>
        <v/>
      </c>
      <c r="L1435" s="92" t="str">
        <f>IF(AND(A1435="",B1435="",D1435="",G1435=""),"",IF(OR(B1435="",NOT(ISNUMBER(B1435)),C1435="",C1435="Fora dos ciclos"),"",IF(C1435="C0","Nao",IF(IFERROR(INDEX(parametros!$A$2:$A$6,MATCH(C1435,parametros!$B$2:$B$6,0)),"")&lt;&gt;"Sim","Nao",IF(IFERROR(INDEX(parametros!$H$2:$H$6,MATCH(C1435,parametros!$B$2:$B$6,0)),"")="","",IF(B1435&gt;=IFERROR(INDEX(parametros!$H$2:$H$6,MATCH(C1435,parametros!$B$2:$B$6,0)),""),"Sim","Nao"))))))</f>
        <v/>
      </c>
      <c r="T1435" s="156"/>
      <c r="U1435" s="214" t="str">
        <f t="shared" si="116"/>
        <v/>
      </c>
      <c r="V1435" s="212" t="s">
        <v>50</v>
      </c>
      <c r="W1435" s="100" t="s">
        <v>168</v>
      </c>
      <c r="X1435" s="100" t="s">
        <v>169</v>
      </c>
      <c r="Y1435" s="101" t="s">
        <v>170</v>
      </c>
      <c r="Z1435" s="101" t="s">
        <v>171</v>
      </c>
      <c r="AA1435" s="101" t="s">
        <v>50</v>
      </c>
      <c r="AB1435" s="101" t="s">
        <v>172</v>
      </c>
      <c r="AC1435" s="102" t="s">
        <v>173</v>
      </c>
    </row>
    <row r="1436" spans="1:29" ht="25.5" customHeight="1" x14ac:dyDescent="0.35">
      <c r="A1436" s="392"/>
      <c r="B1436" s="393"/>
      <c r="C1436" s="99" t="str">
        <f>IF(B1436="","",IF(NOT(ISNUMBER(B1436)),"DATA_PC invalida",IF(NOT(ISNUMBER(parametros!$C$2)),"Fora dos ciclos",IF(OR(B1436&lt;parametros!$C$2,(YEAR(B1436)-YEAR(parametros!$C$2))*12+MONTH(B1436)-MONTH(parametros!$C$2)&gt;59),"Fora dos ciclos","C"&amp;INT(((YEAR(B1436)-YEAR(parametros!$C$2))*12+MONTH(B1436)-MONTH(parametros!$C$2))/12)))))</f>
        <v/>
      </c>
      <c r="D1436" s="394"/>
      <c r="E1436" s="78" t="str">
        <f>IF(C1436="","",IFERROR(VLOOKUP(C1436,parametros!$A$11:$E$15,5,0),""))</f>
        <v/>
      </c>
      <c r="F1436" s="79" t="str">
        <f t="shared" si="112"/>
        <v/>
      </c>
      <c r="G1436" s="395"/>
      <c r="H1436" s="91">
        <f t="shared" si="113"/>
        <v>0</v>
      </c>
      <c r="I1436" s="91" t="str">
        <f t="shared" si="114"/>
        <v/>
      </c>
      <c r="J1436" s="91" t="str">
        <f t="shared" si="115"/>
        <v/>
      </c>
      <c r="K1436" s="92" t="str">
        <f>IF(AND(A1436="",B1436="",D1436="",G1436=""),"",IF(AND(A1436&lt;&gt;"",COUNTIF($A$2:$A$5001,A1436)&gt;1),"NUMERO_PC duplicado",IF(B1436="","DATA_PC vazia",IF(NOT(ISNUMBER(B1436)),"DATA_PC invalida",IF(OR(C1436="",C1436="Fora dos ciclos"),"CICLO_PC nao identificado",IF(OR(D1436="",D1436=0),"VALOR_PC vazio ou zero",IF(AND(G1436&lt;&gt;"Sim",G1436&lt;&gt;"Nao",G1436&lt;&gt;""),"PC_PAGO_A_CONTRATADA invalido",IF(AND(C1436&lt;&gt;"C0",IFERROR(INDEX(parametros!$A$2:$A$6,MATCH(C1436,parametros!$B$2:$B$6,0)),"")="Sim",IFERROR(INDEX(parametros!$H$2:$H$6,MATCH(C1436,parametros!$B$2:$B$6,0)),"")=""),"INICIO_EFEITO ausente: PC "&amp;A1436&amp;" - "&amp;C1436,IF(L1436="","EFEITO_PC nao calculado: PC "&amp;A1436&amp;" - "&amp;C1436,"OK")))))))))</f>
        <v/>
      </c>
      <c r="L1436" s="92" t="str">
        <f>IF(AND(A1436="",B1436="",D1436="",G1436=""),"",IF(OR(B1436="",NOT(ISNUMBER(B1436)),C1436="",C1436="Fora dos ciclos"),"",IF(C1436="C0","Nao",IF(IFERROR(INDEX(parametros!$A$2:$A$6,MATCH(C1436,parametros!$B$2:$B$6,0)),"")&lt;&gt;"Sim","Nao",IF(IFERROR(INDEX(parametros!$H$2:$H$6,MATCH(C1436,parametros!$B$2:$B$6,0)),"")="","",IF(B1436&gt;=IFERROR(INDEX(parametros!$H$2:$H$6,MATCH(C1436,parametros!$B$2:$B$6,0)),""),"Sim","Nao"))))))</f>
        <v/>
      </c>
      <c r="T1436" s="156"/>
      <c r="U1436" s="214" t="str">
        <f t="shared" si="116"/>
        <v/>
      </c>
      <c r="V1436" s="212" t="s">
        <v>50</v>
      </c>
      <c r="W1436" s="100" t="s">
        <v>168</v>
      </c>
      <c r="X1436" s="100" t="s">
        <v>169</v>
      </c>
      <c r="Y1436" s="101" t="s">
        <v>170</v>
      </c>
      <c r="Z1436" s="101" t="s">
        <v>171</v>
      </c>
      <c r="AA1436" s="101" t="s">
        <v>50</v>
      </c>
      <c r="AB1436" s="101" t="s">
        <v>172</v>
      </c>
      <c r="AC1436" s="102" t="s">
        <v>173</v>
      </c>
    </row>
    <row r="1437" spans="1:29" ht="25.5" customHeight="1" x14ac:dyDescent="0.35">
      <c r="A1437" s="392"/>
      <c r="B1437" s="393"/>
      <c r="C1437" s="99" t="str">
        <f>IF(B1437="","",IF(NOT(ISNUMBER(B1437)),"DATA_PC invalida",IF(NOT(ISNUMBER(parametros!$C$2)),"Fora dos ciclos",IF(OR(B1437&lt;parametros!$C$2,(YEAR(B1437)-YEAR(parametros!$C$2))*12+MONTH(B1437)-MONTH(parametros!$C$2)&gt;59),"Fora dos ciclos","C"&amp;INT(((YEAR(B1437)-YEAR(parametros!$C$2))*12+MONTH(B1437)-MONTH(parametros!$C$2))/12)))))</f>
        <v/>
      </c>
      <c r="D1437" s="394"/>
      <c r="E1437" s="78" t="str">
        <f>IF(C1437="","",IFERROR(VLOOKUP(C1437,parametros!$A$11:$E$15,5,0),""))</f>
        <v/>
      </c>
      <c r="F1437" s="79" t="str">
        <f t="shared" si="112"/>
        <v/>
      </c>
      <c r="G1437" s="395"/>
      <c r="H1437" s="91">
        <f t="shared" si="113"/>
        <v>0</v>
      </c>
      <c r="I1437" s="91" t="str">
        <f t="shared" si="114"/>
        <v/>
      </c>
      <c r="J1437" s="91" t="str">
        <f t="shared" si="115"/>
        <v/>
      </c>
      <c r="K1437" s="92" t="str">
        <f>IF(AND(A1437="",B1437="",D1437="",G1437=""),"",IF(AND(A1437&lt;&gt;"",COUNTIF($A$2:$A$5001,A1437)&gt;1),"NUMERO_PC duplicado",IF(B1437="","DATA_PC vazia",IF(NOT(ISNUMBER(B1437)),"DATA_PC invalida",IF(OR(C1437="",C1437="Fora dos ciclos"),"CICLO_PC nao identificado",IF(OR(D1437="",D1437=0),"VALOR_PC vazio ou zero",IF(AND(G1437&lt;&gt;"Sim",G1437&lt;&gt;"Nao",G1437&lt;&gt;""),"PC_PAGO_A_CONTRATADA invalido",IF(AND(C1437&lt;&gt;"C0",IFERROR(INDEX(parametros!$A$2:$A$6,MATCH(C1437,parametros!$B$2:$B$6,0)),"")="Sim",IFERROR(INDEX(parametros!$H$2:$H$6,MATCH(C1437,parametros!$B$2:$B$6,0)),"")=""),"INICIO_EFEITO ausente: PC "&amp;A1437&amp;" - "&amp;C1437,IF(L1437="","EFEITO_PC nao calculado: PC "&amp;A1437&amp;" - "&amp;C1437,"OK")))))))))</f>
        <v/>
      </c>
      <c r="L1437" s="92" t="str">
        <f>IF(AND(A1437="",B1437="",D1437="",G1437=""),"",IF(OR(B1437="",NOT(ISNUMBER(B1437)),C1437="",C1437="Fora dos ciclos"),"",IF(C1437="C0","Nao",IF(IFERROR(INDEX(parametros!$A$2:$A$6,MATCH(C1437,parametros!$B$2:$B$6,0)),"")&lt;&gt;"Sim","Nao",IF(IFERROR(INDEX(parametros!$H$2:$H$6,MATCH(C1437,parametros!$B$2:$B$6,0)),"")="","",IF(B1437&gt;=IFERROR(INDEX(parametros!$H$2:$H$6,MATCH(C1437,parametros!$B$2:$B$6,0)),""),"Sim","Nao"))))))</f>
        <v/>
      </c>
      <c r="T1437" s="156"/>
      <c r="U1437" s="214" t="str">
        <f t="shared" si="116"/>
        <v/>
      </c>
      <c r="V1437" s="212" t="s">
        <v>50</v>
      </c>
      <c r="W1437" s="100" t="s">
        <v>168</v>
      </c>
      <c r="X1437" s="100" t="s">
        <v>169</v>
      </c>
      <c r="Y1437" s="101" t="s">
        <v>170</v>
      </c>
      <c r="Z1437" s="101" t="s">
        <v>171</v>
      </c>
      <c r="AA1437" s="101" t="s">
        <v>50</v>
      </c>
      <c r="AB1437" s="101" t="s">
        <v>172</v>
      </c>
      <c r="AC1437" s="102" t="s">
        <v>173</v>
      </c>
    </row>
    <row r="1438" spans="1:29" ht="25.5" customHeight="1" x14ac:dyDescent="0.35">
      <c r="A1438" s="392"/>
      <c r="B1438" s="393"/>
      <c r="C1438" s="99" t="str">
        <f>IF(B1438="","",IF(NOT(ISNUMBER(B1438)),"DATA_PC invalida",IF(NOT(ISNUMBER(parametros!$C$2)),"Fora dos ciclos",IF(OR(B1438&lt;parametros!$C$2,(YEAR(B1438)-YEAR(parametros!$C$2))*12+MONTH(B1438)-MONTH(parametros!$C$2)&gt;59),"Fora dos ciclos","C"&amp;INT(((YEAR(B1438)-YEAR(parametros!$C$2))*12+MONTH(B1438)-MONTH(parametros!$C$2))/12)))))</f>
        <v/>
      </c>
      <c r="D1438" s="394"/>
      <c r="E1438" s="78" t="str">
        <f>IF(C1438="","",IFERROR(VLOOKUP(C1438,parametros!$A$11:$E$15,5,0),""))</f>
        <v/>
      </c>
      <c r="F1438" s="79" t="str">
        <f t="shared" si="112"/>
        <v/>
      </c>
      <c r="G1438" s="395"/>
      <c r="H1438" s="91">
        <f t="shared" si="113"/>
        <v>0</v>
      </c>
      <c r="I1438" s="91" t="str">
        <f t="shared" si="114"/>
        <v/>
      </c>
      <c r="J1438" s="91" t="str">
        <f t="shared" si="115"/>
        <v/>
      </c>
      <c r="K1438" s="92" t="str">
        <f>IF(AND(A1438="",B1438="",D1438="",G1438=""),"",IF(AND(A1438&lt;&gt;"",COUNTIF($A$2:$A$5001,A1438)&gt;1),"NUMERO_PC duplicado",IF(B1438="","DATA_PC vazia",IF(NOT(ISNUMBER(B1438)),"DATA_PC invalida",IF(OR(C1438="",C1438="Fora dos ciclos"),"CICLO_PC nao identificado",IF(OR(D1438="",D1438=0),"VALOR_PC vazio ou zero",IF(AND(G1438&lt;&gt;"Sim",G1438&lt;&gt;"Nao",G1438&lt;&gt;""),"PC_PAGO_A_CONTRATADA invalido",IF(AND(C1438&lt;&gt;"C0",IFERROR(INDEX(parametros!$A$2:$A$6,MATCH(C1438,parametros!$B$2:$B$6,0)),"")="Sim",IFERROR(INDEX(parametros!$H$2:$H$6,MATCH(C1438,parametros!$B$2:$B$6,0)),"")=""),"INICIO_EFEITO ausente: PC "&amp;A1438&amp;" - "&amp;C1438,IF(L1438="","EFEITO_PC nao calculado: PC "&amp;A1438&amp;" - "&amp;C1438,"OK")))))))))</f>
        <v/>
      </c>
      <c r="L1438" s="92" t="str">
        <f>IF(AND(A1438="",B1438="",D1438="",G1438=""),"",IF(OR(B1438="",NOT(ISNUMBER(B1438)),C1438="",C1438="Fora dos ciclos"),"",IF(C1438="C0","Nao",IF(IFERROR(INDEX(parametros!$A$2:$A$6,MATCH(C1438,parametros!$B$2:$B$6,0)),"")&lt;&gt;"Sim","Nao",IF(IFERROR(INDEX(parametros!$H$2:$H$6,MATCH(C1438,parametros!$B$2:$B$6,0)),"")="","",IF(B1438&gt;=IFERROR(INDEX(parametros!$H$2:$H$6,MATCH(C1438,parametros!$B$2:$B$6,0)),""),"Sim","Nao"))))))</f>
        <v/>
      </c>
      <c r="T1438" s="156"/>
      <c r="U1438" s="214" t="str">
        <f t="shared" si="116"/>
        <v/>
      </c>
      <c r="V1438" s="212" t="s">
        <v>50</v>
      </c>
      <c r="W1438" s="100" t="s">
        <v>168</v>
      </c>
      <c r="X1438" s="100" t="s">
        <v>169</v>
      </c>
      <c r="Y1438" s="101" t="s">
        <v>170</v>
      </c>
      <c r="Z1438" s="101" t="s">
        <v>171</v>
      </c>
      <c r="AA1438" s="101" t="s">
        <v>50</v>
      </c>
      <c r="AB1438" s="101" t="s">
        <v>172</v>
      </c>
      <c r="AC1438" s="102" t="s">
        <v>173</v>
      </c>
    </row>
    <row r="1439" spans="1:29" ht="25.5" customHeight="1" x14ac:dyDescent="0.35">
      <c r="A1439" s="392"/>
      <c r="B1439" s="393"/>
      <c r="C1439" s="99" t="str">
        <f>IF(B1439="","",IF(NOT(ISNUMBER(B1439)),"DATA_PC invalida",IF(NOT(ISNUMBER(parametros!$C$2)),"Fora dos ciclos",IF(OR(B1439&lt;parametros!$C$2,(YEAR(B1439)-YEAR(parametros!$C$2))*12+MONTH(B1439)-MONTH(parametros!$C$2)&gt;59),"Fora dos ciclos","C"&amp;INT(((YEAR(B1439)-YEAR(parametros!$C$2))*12+MONTH(B1439)-MONTH(parametros!$C$2))/12)))))</f>
        <v/>
      </c>
      <c r="D1439" s="394"/>
      <c r="E1439" s="78" t="str">
        <f>IF(C1439="","",IFERROR(VLOOKUP(C1439,parametros!$A$11:$E$15,5,0),""))</f>
        <v/>
      </c>
      <c r="F1439" s="79" t="str">
        <f t="shared" si="112"/>
        <v/>
      </c>
      <c r="G1439" s="395"/>
      <c r="H1439" s="91">
        <f t="shared" si="113"/>
        <v>0</v>
      </c>
      <c r="I1439" s="91" t="str">
        <f t="shared" si="114"/>
        <v/>
      </c>
      <c r="J1439" s="91" t="str">
        <f t="shared" si="115"/>
        <v/>
      </c>
      <c r="K1439" s="92" t="str">
        <f>IF(AND(A1439="",B1439="",D1439="",G1439=""),"",IF(AND(A1439&lt;&gt;"",COUNTIF($A$2:$A$5001,A1439)&gt;1),"NUMERO_PC duplicado",IF(B1439="","DATA_PC vazia",IF(NOT(ISNUMBER(B1439)),"DATA_PC invalida",IF(OR(C1439="",C1439="Fora dos ciclos"),"CICLO_PC nao identificado",IF(OR(D1439="",D1439=0),"VALOR_PC vazio ou zero",IF(AND(G1439&lt;&gt;"Sim",G1439&lt;&gt;"Nao",G1439&lt;&gt;""),"PC_PAGO_A_CONTRATADA invalido",IF(AND(C1439&lt;&gt;"C0",IFERROR(INDEX(parametros!$A$2:$A$6,MATCH(C1439,parametros!$B$2:$B$6,0)),"")="Sim",IFERROR(INDEX(parametros!$H$2:$H$6,MATCH(C1439,parametros!$B$2:$B$6,0)),"")=""),"INICIO_EFEITO ausente: PC "&amp;A1439&amp;" - "&amp;C1439,IF(L1439="","EFEITO_PC nao calculado: PC "&amp;A1439&amp;" - "&amp;C1439,"OK")))))))))</f>
        <v/>
      </c>
      <c r="L1439" s="92" t="str">
        <f>IF(AND(A1439="",B1439="",D1439="",G1439=""),"",IF(OR(B1439="",NOT(ISNUMBER(B1439)),C1439="",C1439="Fora dos ciclos"),"",IF(C1439="C0","Nao",IF(IFERROR(INDEX(parametros!$A$2:$A$6,MATCH(C1439,parametros!$B$2:$B$6,0)),"")&lt;&gt;"Sim","Nao",IF(IFERROR(INDEX(parametros!$H$2:$H$6,MATCH(C1439,parametros!$B$2:$B$6,0)),"")="","",IF(B1439&gt;=IFERROR(INDEX(parametros!$H$2:$H$6,MATCH(C1439,parametros!$B$2:$B$6,0)),""),"Sim","Nao"))))))</f>
        <v/>
      </c>
      <c r="T1439" s="156"/>
      <c r="U1439" s="214" t="str">
        <f t="shared" si="116"/>
        <v/>
      </c>
      <c r="V1439" s="212" t="s">
        <v>50</v>
      </c>
      <c r="W1439" s="100" t="s">
        <v>168</v>
      </c>
      <c r="X1439" s="100" t="s">
        <v>169</v>
      </c>
      <c r="Y1439" s="101" t="s">
        <v>170</v>
      </c>
      <c r="Z1439" s="101" t="s">
        <v>171</v>
      </c>
      <c r="AA1439" s="101" t="s">
        <v>50</v>
      </c>
      <c r="AB1439" s="101" t="s">
        <v>172</v>
      </c>
      <c r="AC1439" s="102" t="s">
        <v>173</v>
      </c>
    </row>
    <row r="1440" spans="1:29" ht="25.5" customHeight="1" x14ac:dyDescent="0.35">
      <c r="A1440" s="392"/>
      <c r="B1440" s="393"/>
      <c r="C1440" s="99" t="str">
        <f>IF(B1440="","",IF(NOT(ISNUMBER(B1440)),"DATA_PC invalida",IF(NOT(ISNUMBER(parametros!$C$2)),"Fora dos ciclos",IF(OR(B1440&lt;parametros!$C$2,(YEAR(B1440)-YEAR(parametros!$C$2))*12+MONTH(B1440)-MONTH(parametros!$C$2)&gt;59),"Fora dos ciclos","C"&amp;INT(((YEAR(B1440)-YEAR(parametros!$C$2))*12+MONTH(B1440)-MONTH(parametros!$C$2))/12)))))</f>
        <v/>
      </c>
      <c r="D1440" s="394"/>
      <c r="E1440" s="78" t="str">
        <f>IF(C1440="","",IFERROR(VLOOKUP(C1440,parametros!$A$11:$E$15,5,0),""))</f>
        <v/>
      </c>
      <c r="F1440" s="79" t="str">
        <f t="shared" si="112"/>
        <v/>
      </c>
      <c r="G1440" s="395"/>
      <c r="H1440" s="91">
        <f t="shared" si="113"/>
        <v>0</v>
      </c>
      <c r="I1440" s="91" t="str">
        <f t="shared" si="114"/>
        <v/>
      </c>
      <c r="J1440" s="91" t="str">
        <f t="shared" si="115"/>
        <v/>
      </c>
      <c r="K1440" s="92" t="str">
        <f>IF(AND(A1440="",B1440="",D1440="",G1440=""),"",IF(AND(A1440&lt;&gt;"",COUNTIF($A$2:$A$5001,A1440)&gt;1),"NUMERO_PC duplicado",IF(B1440="","DATA_PC vazia",IF(NOT(ISNUMBER(B1440)),"DATA_PC invalida",IF(OR(C1440="",C1440="Fora dos ciclos"),"CICLO_PC nao identificado",IF(OR(D1440="",D1440=0),"VALOR_PC vazio ou zero",IF(AND(G1440&lt;&gt;"Sim",G1440&lt;&gt;"Nao",G1440&lt;&gt;""),"PC_PAGO_A_CONTRATADA invalido",IF(AND(C1440&lt;&gt;"C0",IFERROR(INDEX(parametros!$A$2:$A$6,MATCH(C1440,parametros!$B$2:$B$6,0)),"")="Sim",IFERROR(INDEX(parametros!$H$2:$H$6,MATCH(C1440,parametros!$B$2:$B$6,0)),"")=""),"INICIO_EFEITO ausente: PC "&amp;A1440&amp;" - "&amp;C1440,IF(L1440="","EFEITO_PC nao calculado: PC "&amp;A1440&amp;" - "&amp;C1440,"OK")))))))))</f>
        <v/>
      </c>
      <c r="L1440" s="92" t="str">
        <f>IF(AND(A1440="",B1440="",D1440="",G1440=""),"",IF(OR(B1440="",NOT(ISNUMBER(B1440)),C1440="",C1440="Fora dos ciclos"),"",IF(C1440="C0","Nao",IF(IFERROR(INDEX(parametros!$A$2:$A$6,MATCH(C1440,parametros!$B$2:$B$6,0)),"")&lt;&gt;"Sim","Nao",IF(IFERROR(INDEX(parametros!$H$2:$H$6,MATCH(C1440,parametros!$B$2:$B$6,0)),"")="","",IF(B1440&gt;=IFERROR(INDEX(parametros!$H$2:$H$6,MATCH(C1440,parametros!$B$2:$B$6,0)),""),"Sim","Nao"))))))</f>
        <v/>
      </c>
      <c r="T1440" s="156"/>
      <c r="U1440" s="214" t="str">
        <f t="shared" si="116"/>
        <v/>
      </c>
      <c r="V1440" s="212" t="s">
        <v>50</v>
      </c>
      <c r="W1440" s="100" t="s">
        <v>168</v>
      </c>
      <c r="X1440" s="100" t="s">
        <v>169</v>
      </c>
      <c r="Y1440" s="101" t="s">
        <v>170</v>
      </c>
      <c r="Z1440" s="101" t="s">
        <v>171</v>
      </c>
      <c r="AA1440" s="101" t="s">
        <v>50</v>
      </c>
      <c r="AB1440" s="101" t="s">
        <v>172</v>
      </c>
      <c r="AC1440" s="102" t="s">
        <v>173</v>
      </c>
    </row>
    <row r="1441" spans="1:29" ht="25.5" customHeight="1" x14ac:dyDescent="0.35">
      <c r="A1441" s="392"/>
      <c r="B1441" s="393"/>
      <c r="C1441" s="99" t="str">
        <f>IF(B1441="","",IF(NOT(ISNUMBER(B1441)),"DATA_PC invalida",IF(NOT(ISNUMBER(parametros!$C$2)),"Fora dos ciclos",IF(OR(B1441&lt;parametros!$C$2,(YEAR(B1441)-YEAR(parametros!$C$2))*12+MONTH(B1441)-MONTH(parametros!$C$2)&gt;59),"Fora dos ciclos","C"&amp;INT(((YEAR(B1441)-YEAR(parametros!$C$2))*12+MONTH(B1441)-MONTH(parametros!$C$2))/12)))))</f>
        <v/>
      </c>
      <c r="D1441" s="394"/>
      <c r="E1441" s="78" t="str">
        <f>IF(C1441="","",IFERROR(VLOOKUP(C1441,parametros!$A$11:$E$15,5,0),""))</f>
        <v/>
      </c>
      <c r="F1441" s="79" t="str">
        <f t="shared" si="112"/>
        <v/>
      </c>
      <c r="G1441" s="395"/>
      <c r="H1441" s="91">
        <f t="shared" si="113"/>
        <v>0</v>
      </c>
      <c r="I1441" s="91" t="str">
        <f t="shared" si="114"/>
        <v/>
      </c>
      <c r="J1441" s="91" t="str">
        <f t="shared" si="115"/>
        <v/>
      </c>
      <c r="K1441" s="92" t="str">
        <f>IF(AND(A1441="",B1441="",D1441="",G1441=""),"",IF(AND(A1441&lt;&gt;"",COUNTIF($A$2:$A$5001,A1441)&gt;1),"NUMERO_PC duplicado",IF(B1441="","DATA_PC vazia",IF(NOT(ISNUMBER(B1441)),"DATA_PC invalida",IF(OR(C1441="",C1441="Fora dos ciclos"),"CICLO_PC nao identificado",IF(OR(D1441="",D1441=0),"VALOR_PC vazio ou zero",IF(AND(G1441&lt;&gt;"Sim",G1441&lt;&gt;"Nao",G1441&lt;&gt;""),"PC_PAGO_A_CONTRATADA invalido",IF(AND(C1441&lt;&gt;"C0",IFERROR(INDEX(parametros!$A$2:$A$6,MATCH(C1441,parametros!$B$2:$B$6,0)),"")="Sim",IFERROR(INDEX(parametros!$H$2:$H$6,MATCH(C1441,parametros!$B$2:$B$6,0)),"")=""),"INICIO_EFEITO ausente: PC "&amp;A1441&amp;" - "&amp;C1441,IF(L1441="","EFEITO_PC nao calculado: PC "&amp;A1441&amp;" - "&amp;C1441,"OK")))))))))</f>
        <v/>
      </c>
      <c r="L1441" s="92" t="str">
        <f>IF(AND(A1441="",B1441="",D1441="",G1441=""),"",IF(OR(B1441="",NOT(ISNUMBER(B1441)),C1441="",C1441="Fora dos ciclos"),"",IF(C1441="C0","Nao",IF(IFERROR(INDEX(parametros!$A$2:$A$6,MATCH(C1441,parametros!$B$2:$B$6,0)),"")&lt;&gt;"Sim","Nao",IF(IFERROR(INDEX(parametros!$H$2:$H$6,MATCH(C1441,parametros!$B$2:$B$6,0)),"")="","",IF(B1441&gt;=IFERROR(INDEX(parametros!$H$2:$H$6,MATCH(C1441,parametros!$B$2:$B$6,0)),""),"Sim","Nao"))))))</f>
        <v/>
      </c>
      <c r="T1441" s="156"/>
      <c r="U1441" s="214" t="str">
        <f t="shared" si="116"/>
        <v/>
      </c>
      <c r="V1441" s="212" t="s">
        <v>50</v>
      </c>
      <c r="W1441" s="100" t="s">
        <v>168</v>
      </c>
      <c r="X1441" s="100" t="s">
        <v>169</v>
      </c>
      <c r="Y1441" s="101" t="s">
        <v>170</v>
      </c>
      <c r="Z1441" s="101" t="s">
        <v>171</v>
      </c>
      <c r="AA1441" s="101" t="s">
        <v>50</v>
      </c>
      <c r="AB1441" s="101" t="s">
        <v>172</v>
      </c>
      <c r="AC1441" s="102" t="s">
        <v>173</v>
      </c>
    </row>
    <row r="1442" spans="1:29" ht="25.5" customHeight="1" x14ac:dyDescent="0.35">
      <c r="A1442" s="392"/>
      <c r="B1442" s="393"/>
      <c r="C1442" s="99" t="str">
        <f>IF(B1442="","",IF(NOT(ISNUMBER(B1442)),"DATA_PC invalida",IF(NOT(ISNUMBER(parametros!$C$2)),"Fora dos ciclos",IF(OR(B1442&lt;parametros!$C$2,(YEAR(B1442)-YEAR(parametros!$C$2))*12+MONTH(B1442)-MONTH(parametros!$C$2)&gt;59),"Fora dos ciclos","C"&amp;INT(((YEAR(B1442)-YEAR(parametros!$C$2))*12+MONTH(B1442)-MONTH(parametros!$C$2))/12)))))</f>
        <v/>
      </c>
      <c r="D1442" s="394"/>
      <c r="E1442" s="78" t="str">
        <f>IF(C1442="","",IFERROR(VLOOKUP(C1442,parametros!$A$11:$E$15,5,0),""))</f>
        <v/>
      </c>
      <c r="F1442" s="79" t="str">
        <f t="shared" si="112"/>
        <v/>
      </c>
      <c r="G1442" s="395"/>
      <c r="H1442" s="91">
        <f t="shared" si="113"/>
        <v>0</v>
      </c>
      <c r="I1442" s="91" t="str">
        <f t="shared" si="114"/>
        <v/>
      </c>
      <c r="J1442" s="91" t="str">
        <f t="shared" si="115"/>
        <v/>
      </c>
      <c r="K1442" s="92" t="str">
        <f>IF(AND(A1442="",B1442="",D1442="",G1442=""),"",IF(AND(A1442&lt;&gt;"",COUNTIF($A$2:$A$5001,A1442)&gt;1),"NUMERO_PC duplicado",IF(B1442="","DATA_PC vazia",IF(NOT(ISNUMBER(B1442)),"DATA_PC invalida",IF(OR(C1442="",C1442="Fora dos ciclos"),"CICLO_PC nao identificado",IF(OR(D1442="",D1442=0),"VALOR_PC vazio ou zero",IF(AND(G1442&lt;&gt;"Sim",G1442&lt;&gt;"Nao",G1442&lt;&gt;""),"PC_PAGO_A_CONTRATADA invalido",IF(AND(C1442&lt;&gt;"C0",IFERROR(INDEX(parametros!$A$2:$A$6,MATCH(C1442,parametros!$B$2:$B$6,0)),"")="Sim",IFERROR(INDEX(parametros!$H$2:$H$6,MATCH(C1442,parametros!$B$2:$B$6,0)),"")=""),"INICIO_EFEITO ausente: PC "&amp;A1442&amp;" - "&amp;C1442,IF(L1442="","EFEITO_PC nao calculado: PC "&amp;A1442&amp;" - "&amp;C1442,"OK")))))))))</f>
        <v/>
      </c>
      <c r="L1442" s="92" t="str">
        <f>IF(AND(A1442="",B1442="",D1442="",G1442=""),"",IF(OR(B1442="",NOT(ISNUMBER(B1442)),C1442="",C1442="Fora dos ciclos"),"",IF(C1442="C0","Nao",IF(IFERROR(INDEX(parametros!$A$2:$A$6,MATCH(C1442,parametros!$B$2:$B$6,0)),"")&lt;&gt;"Sim","Nao",IF(IFERROR(INDEX(parametros!$H$2:$H$6,MATCH(C1442,parametros!$B$2:$B$6,0)),"")="","",IF(B1442&gt;=IFERROR(INDEX(parametros!$H$2:$H$6,MATCH(C1442,parametros!$B$2:$B$6,0)),""),"Sim","Nao"))))))</f>
        <v/>
      </c>
      <c r="T1442" s="156"/>
      <c r="U1442" s="214" t="str">
        <f t="shared" si="116"/>
        <v/>
      </c>
      <c r="V1442" s="212" t="s">
        <v>50</v>
      </c>
      <c r="W1442" s="100" t="s">
        <v>168</v>
      </c>
      <c r="X1442" s="100" t="s">
        <v>169</v>
      </c>
      <c r="Y1442" s="101" t="s">
        <v>170</v>
      </c>
      <c r="Z1442" s="101" t="s">
        <v>171</v>
      </c>
      <c r="AA1442" s="101" t="s">
        <v>50</v>
      </c>
      <c r="AB1442" s="101" t="s">
        <v>172</v>
      </c>
      <c r="AC1442" s="102" t="s">
        <v>173</v>
      </c>
    </row>
    <row r="1443" spans="1:29" ht="25.5" customHeight="1" x14ac:dyDescent="0.35">
      <c r="A1443" s="392"/>
      <c r="B1443" s="393"/>
      <c r="C1443" s="99" t="str">
        <f>IF(B1443="","",IF(NOT(ISNUMBER(B1443)),"DATA_PC invalida",IF(NOT(ISNUMBER(parametros!$C$2)),"Fora dos ciclos",IF(OR(B1443&lt;parametros!$C$2,(YEAR(B1443)-YEAR(parametros!$C$2))*12+MONTH(B1443)-MONTH(parametros!$C$2)&gt;59),"Fora dos ciclos","C"&amp;INT(((YEAR(B1443)-YEAR(parametros!$C$2))*12+MONTH(B1443)-MONTH(parametros!$C$2))/12)))))</f>
        <v/>
      </c>
      <c r="D1443" s="394"/>
      <c r="E1443" s="78" t="str">
        <f>IF(C1443="","",IFERROR(VLOOKUP(C1443,parametros!$A$11:$E$15,5,0),""))</f>
        <v/>
      </c>
      <c r="F1443" s="79" t="str">
        <f t="shared" si="112"/>
        <v/>
      </c>
      <c r="G1443" s="395"/>
      <c r="H1443" s="91">
        <f t="shared" si="113"/>
        <v>0</v>
      </c>
      <c r="I1443" s="91" t="str">
        <f t="shared" si="114"/>
        <v/>
      </c>
      <c r="J1443" s="91" t="str">
        <f t="shared" si="115"/>
        <v/>
      </c>
      <c r="K1443" s="92" t="str">
        <f>IF(AND(A1443="",B1443="",D1443="",G1443=""),"",IF(AND(A1443&lt;&gt;"",COUNTIF($A$2:$A$5001,A1443)&gt;1),"NUMERO_PC duplicado",IF(B1443="","DATA_PC vazia",IF(NOT(ISNUMBER(B1443)),"DATA_PC invalida",IF(OR(C1443="",C1443="Fora dos ciclos"),"CICLO_PC nao identificado",IF(OR(D1443="",D1443=0),"VALOR_PC vazio ou zero",IF(AND(G1443&lt;&gt;"Sim",G1443&lt;&gt;"Nao",G1443&lt;&gt;""),"PC_PAGO_A_CONTRATADA invalido",IF(AND(C1443&lt;&gt;"C0",IFERROR(INDEX(parametros!$A$2:$A$6,MATCH(C1443,parametros!$B$2:$B$6,0)),"")="Sim",IFERROR(INDEX(parametros!$H$2:$H$6,MATCH(C1443,parametros!$B$2:$B$6,0)),"")=""),"INICIO_EFEITO ausente: PC "&amp;A1443&amp;" - "&amp;C1443,IF(L1443="","EFEITO_PC nao calculado: PC "&amp;A1443&amp;" - "&amp;C1443,"OK")))))))))</f>
        <v/>
      </c>
      <c r="L1443" s="92" t="str">
        <f>IF(AND(A1443="",B1443="",D1443="",G1443=""),"",IF(OR(B1443="",NOT(ISNUMBER(B1443)),C1443="",C1443="Fora dos ciclos"),"",IF(C1443="C0","Nao",IF(IFERROR(INDEX(parametros!$A$2:$A$6,MATCH(C1443,parametros!$B$2:$B$6,0)),"")&lt;&gt;"Sim","Nao",IF(IFERROR(INDEX(parametros!$H$2:$H$6,MATCH(C1443,parametros!$B$2:$B$6,0)),"")="","",IF(B1443&gt;=IFERROR(INDEX(parametros!$H$2:$H$6,MATCH(C1443,parametros!$B$2:$B$6,0)),""),"Sim","Nao"))))))</f>
        <v/>
      </c>
      <c r="T1443" s="156"/>
      <c r="U1443" s="214" t="str">
        <f t="shared" si="116"/>
        <v/>
      </c>
      <c r="V1443" s="212" t="s">
        <v>50</v>
      </c>
      <c r="W1443" s="100" t="s">
        <v>168</v>
      </c>
      <c r="X1443" s="100" t="s">
        <v>169</v>
      </c>
      <c r="Y1443" s="101" t="s">
        <v>170</v>
      </c>
      <c r="Z1443" s="101" t="s">
        <v>171</v>
      </c>
      <c r="AA1443" s="101" t="s">
        <v>50</v>
      </c>
      <c r="AB1443" s="101" t="s">
        <v>172</v>
      </c>
      <c r="AC1443" s="102" t="s">
        <v>173</v>
      </c>
    </row>
    <row r="1444" spans="1:29" ht="25.5" customHeight="1" x14ac:dyDescent="0.35">
      <c r="A1444" s="392"/>
      <c r="B1444" s="393"/>
      <c r="C1444" s="99" t="str">
        <f>IF(B1444="","",IF(NOT(ISNUMBER(B1444)),"DATA_PC invalida",IF(NOT(ISNUMBER(parametros!$C$2)),"Fora dos ciclos",IF(OR(B1444&lt;parametros!$C$2,(YEAR(B1444)-YEAR(parametros!$C$2))*12+MONTH(B1444)-MONTH(parametros!$C$2)&gt;59),"Fora dos ciclos","C"&amp;INT(((YEAR(B1444)-YEAR(parametros!$C$2))*12+MONTH(B1444)-MONTH(parametros!$C$2))/12)))))</f>
        <v/>
      </c>
      <c r="D1444" s="394"/>
      <c r="E1444" s="78" t="str">
        <f>IF(C1444="","",IFERROR(VLOOKUP(C1444,parametros!$A$11:$E$15,5,0),""))</f>
        <v/>
      </c>
      <c r="F1444" s="79" t="str">
        <f t="shared" si="112"/>
        <v/>
      </c>
      <c r="G1444" s="395"/>
      <c r="H1444" s="91">
        <f t="shared" si="113"/>
        <v>0</v>
      </c>
      <c r="I1444" s="91" t="str">
        <f t="shared" si="114"/>
        <v/>
      </c>
      <c r="J1444" s="91" t="str">
        <f t="shared" si="115"/>
        <v/>
      </c>
      <c r="K1444" s="92" t="str">
        <f>IF(AND(A1444="",B1444="",D1444="",G1444=""),"",IF(AND(A1444&lt;&gt;"",COUNTIF($A$2:$A$5001,A1444)&gt;1),"NUMERO_PC duplicado",IF(B1444="","DATA_PC vazia",IF(NOT(ISNUMBER(B1444)),"DATA_PC invalida",IF(OR(C1444="",C1444="Fora dos ciclos"),"CICLO_PC nao identificado",IF(OR(D1444="",D1444=0),"VALOR_PC vazio ou zero",IF(AND(G1444&lt;&gt;"Sim",G1444&lt;&gt;"Nao",G1444&lt;&gt;""),"PC_PAGO_A_CONTRATADA invalido",IF(AND(C1444&lt;&gt;"C0",IFERROR(INDEX(parametros!$A$2:$A$6,MATCH(C1444,parametros!$B$2:$B$6,0)),"")="Sim",IFERROR(INDEX(parametros!$H$2:$H$6,MATCH(C1444,parametros!$B$2:$B$6,0)),"")=""),"INICIO_EFEITO ausente: PC "&amp;A1444&amp;" - "&amp;C1444,IF(L1444="","EFEITO_PC nao calculado: PC "&amp;A1444&amp;" - "&amp;C1444,"OK")))))))))</f>
        <v/>
      </c>
      <c r="L1444" s="92" t="str">
        <f>IF(AND(A1444="",B1444="",D1444="",G1444=""),"",IF(OR(B1444="",NOT(ISNUMBER(B1444)),C1444="",C1444="Fora dos ciclos"),"",IF(C1444="C0","Nao",IF(IFERROR(INDEX(parametros!$A$2:$A$6,MATCH(C1444,parametros!$B$2:$B$6,0)),"")&lt;&gt;"Sim","Nao",IF(IFERROR(INDEX(parametros!$H$2:$H$6,MATCH(C1444,parametros!$B$2:$B$6,0)),"")="","",IF(B1444&gt;=IFERROR(INDEX(parametros!$H$2:$H$6,MATCH(C1444,parametros!$B$2:$B$6,0)),""),"Sim","Nao"))))))</f>
        <v/>
      </c>
      <c r="T1444" s="156"/>
      <c r="U1444" s="214" t="str">
        <f t="shared" si="116"/>
        <v/>
      </c>
      <c r="V1444" s="212" t="s">
        <v>50</v>
      </c>
      <c r="W1444" s="100" t="s">
        <v>168</v>
      </c>
      <c r="X1444" s="100" t="s">
        <v>169</v>
      </c>
      <c r="Y1444" s="101" t="s">
        <v>170</v>
      </c>
      <c r="Z1444" s="101" t="s">
        <v>171</v>
      </c>
      <c r="AA1444" s="101" t="s">
        <v>50</v>
      </c>
      <c r="AB1444" s="101" t="s">
        <v>172</v>
      </c>
      <c r="AC1444" s="102" t="s">
        <v>173</v>
      </c>
    </row>
    <row r="1445" spans="1:29" ht="25.5" customHeight="1" x14ac:dyDescent="0.35">
      <c r="A1445" s="392"/>
      <c r="B1445" s="393"/>
      <c r="C1445" s="99" t="str">
        <f>IF(B1445="","",IF(NOT(ISNUMBER(B1445)),"DATA_PC invalida",IF(NOT(ISNUMBER(parametros!$C$2)),"Fora dos ciclos",IF(OR(B1445&lt;parametros!$C$2,(YEAR(B1445)-YEAR(parametros!$C$2))*12+MONTH(B1445)-MONTH(parametros!$C$2)&gt;59),"Fora dos ciclos","C"&amp;INT(((YEAR(B1445)-YEAR(parametros!$C$2))*12+MONTH(B1445)-MONTH(parametros!$C$2))/12)))))</f>
        <v/>
      </c>
      <c r="D1445" s="394"/>
      <c r="E1445" s="78" t="str">
        <f>IF(C1445="","",IFERROR(VLOOKUP(C1445,parametros!$A$11:$E$15,5,0),""))</f>
        <v/>
      </c>
      <c r="F1445" s="79" t="str">
        <f t="shared" si="112"/>
        <v/>
      </c>
      <c r="G1445" s="395"/>
      <c r="H1445" s="91">
        <f t="shared" si="113"/>
        <v>0</v>
      </c>
      <c r="I1445" s="91" t="str">
        <f t="shared" si="114"/>
        <v/>
      </c>
      <c r="J1445" s="91" t="str">
        <f t="shared" si="115"/>
        <v/>
      </c>
      <c r="K1445" s="92" t="str">
        <f>IF(AND(A1445="",B1445="",D1445="",G1445=""),"",IF(AND(A1445&lt;&gt;"",COUNTIF($A$2:$A$5001,A1445)&gt;1),"NUMERO_PC duplicado",IF(B1445="","DATA_PC vazia",IF(NOT(ISNUMBER(B1445)),"DATA_PC invalida",IF(OR(C1445="",C1445="Fora dos ciclos"),"CICLO_PC nao identificado",IF(OR(D1445="",D1445=0),"VALOR_PC vazio ou zero",IF(AND(G1445&lt;&gt;"Sim",G1445&lt;&gt;"Nao",G1445&lt;&gt;""),"PC_PAGO_A_CONTRATADA invalido",IF(AND(C1445&lt;&gt;"C0",IFERROR(INDEX(parametros!$A$2:$A$6,MATCH(C1445,parametros!$B$2:$B$6,0)),"")="Sim",IFERROR(INDEX(parametros!$H$2:$H$6,MATCH(C1445,parametros!$B$2:$B$6,0)),"")=""),"INICIO_EFEITO ausente: PC "&amp;A1445&amp;" - "&amp;C1445,IF(L1445="","EFEITO_PC nao calculado: PC "&amp;A1445&amp;" - "&amp;C1445,"OK")))))))))</f>
        <v/>
      </c>
      <c r="L1445" s="92" t="str">
        <f>IF(AND(A1445="",B1445="",D1445="",G1445=""),"",IF(OR(B1445="",NOT(ISNUMBER(B1445)),C1445="",C1445="Fora dos ciclos"),"",IF(C1445="C0","Nao",IF(IFERROR(INDEX(parametros!$A$2:$A$6,MATCH(C1445,parametros!$B$2:$B$6,0)),"")&lt;&gt;"Sim","Nao",IF(IFERROR(INDEX(parametros!$H$2:$H$6,MATCH(C1445,parametros!$B$2:$B$6,0)),"")="","",IF(B1445&gt;=IFERROR(INDEX(parametros!$H$2:$H$6,MATCH(C1445,parametros!$B$2:$B$6,0)),""),"Sim","Nao"))))))</f>
        <v/>
      </c>
      <c r="T1445" s="156"/>
      <c r="U1445" s="214" t="str">
        <f t="shared" si="116"/>
        <v/>
      </c>
      <c r="V1445" s="212" t="s">
        <v>50</v>
      </c>
      <c r="W1445" s="100" t="s">
        <v>168</v>
      </c>
      <c r="X1445" s="100" t="s">
        <v>169</v>
      </c>
      <c r="Y1445" s="101" t="s">
        <v>170</v>
      </c>
      <c r="Z1445" s="101" t="s">
        <v>171</v>
      </c>
      <c r="AA1445" s="101" t="s">
        <v>50</v>
      </c>
      <c r="AB1445" s="101" t="s">
        <v>172</v>
      </c>
      <c r="AC1445" s="102" t="s">
        <v>173</v>
      </c>
    </row>
    <row r="1446" spans="1:29" ht="25.5" customHeight="1" x14ac:dyDescent="0.35">
      <c r="A1446" s="392"/>
      <c r="B1446" s="393"/>
      <c r="C1446" s="99" t="str">
        <f>IF(B1446="","",IF(NOT(ISNUMBER(B1446)),"DATA_PC invalida",IF(NOT(ISNUMBER(parametros!$C$2)),"Fora dos ciclos",IF(OR(B1446&lt;parametros!$C$2,(YEAR(B1446)-YEAR(parametros!$C$2))*12+MONTH(B1446)-MONTH(parametros!$C$2)&gt;59),"Fora dos ciclos","C"&amp;INT(((YEAR(B1446)-YEAR(parametros!$C$2))*12+MONTH(B1446)-MONTH(parametros!$C$2))/12)))))</f>
        <v/>
      </c>
      <c r="D1446" s="394"/>
      <c r="E1446" s="78" t="str">
        <f>IF(C1446="","",IFERROR(VLOOKUP(C1446,parametros!$A$11:$E$15,5,0),""))</f>
        <v/>
      </c>
      <c r="F1446" s="79" t="str">
        <f t="shared" si="112"/>
        <v/>
      </c>
      <c r="G1446" s="395"/>
      <c r="H1446" s="91">
        <f t="shared" si="113"/>
        <v>0</v>
      </c>
      <c r="I1446" s="91" t="str">
        <f t="shared" si="114"/>
        <v/>
      </c>
      <c r="J1446" s="91" t="str">
        <f t="shared" si="115"/>
        <v/>
      </c>
      <c r="K1446" s="92" t="str">
        <f>IF(AND(A1446="",B1446="",D1446="",G1446=""),"",IF(AND(A1446&lt;&gt;"",COUNTIF($A$2:$A$5001,A1446)&gt;1),"NUMERO_PC duplicado",IF(B1446="","DATA_PC vazia",IF(NOT(ISNUMBER(B1446)),"DATA_PC invalida",IF(OR(C1446="",C1446="Fora dos ciclos"),"CICLO_PC nao identificado",IF(OR(D1446="",D1446=0),"VALOR_PC vazio ou zero",IF(AND(G1446&lt;&gt;"Sim",G1446&lt;&gt;"Nao",G1446&lt;&gt;""),"PC_PAGO_A_CONTRATADA invalido",IF(AND(C1446&lt;&gt;"C0",IFERROR(INDEX(parametros!$A$2:$A$6,MATCH(C1446,parametros!$B$2:$B$6,0)),"")="Sim",IFERROR(INDEX(parametros!$H$2:$H$6,MATCH(C1446,parametros!$B$2:$B$6,0)),"")=""),"INICIO_EFEITO ausente: PC "&amp;A1446&amp;" - "&amp;C1446,IF(L1446="","EFEITO_PC nao calculado: PC "&amp;A1446&amp;" - "&amp;C1446,"OK")))))))))</f>
        <v/>
      </c>
      <c r="L1446" s="92" t="str">
        <f>IF(AND(A1446="",B1446="",D1446="",G1446=""),"",IF(OR(B1446="",NOT(ISNUMBER(B1446)),C1446="",C1446="Fora dos ciclos"),"",IF(C1446="C0","Nao",IF(IFERROR(INDEX(parametros!$A$2:$A$6,MATCH(C1446,parametros!$B$2:$B$6,0)),"")&lt;&gt;"Sim","Nao",IF(IFERROR(INDEX(parametros!$H$2:$H$6,MATCH(C1446,parametros!$B$2:$B$6,0)),"")="","",IF(B1446&gt;=IFERROR(INDEX(parametros!$H$2:$H$6,MATCH(C1446,parametros!$B$2:$B$6,0)),""),"Sim","Nao"))))))</f>
        <v/>
      </c>
      <c r="T1446" s="156"/>
      <c r="U1446" s="214" t="str">
        <f t="shared" si="116"/>
        <v/>
      </c>
      <c r="V1446" s="212" t="s">
        <v>50</v>
      </c>
      <c r="W1446" s="100" t="s">
        <v>168</v>
      </c>
      <c r="X1446" s="100" t="s">
        <v>169</v>
      </c>
      <c r="Y1446" s="101" t="s">
        <v>170</v>
      </c>
      <c r="Z1446" s="101" t="s">
        <v>171</v>
      </c>
      <c r="AA1446" s="101" t="s">
        <v>50</v>
      </c>
      <c r="AB1446" s="101" t="s">
        <v>172</v>
      </c>
      <c r="AC1446" s="102" t="s">
        <v>173</v>
      </c>
    </row>
    <row r="1447" spans="1:29" ht="25.5" customHeight="1" x14ac:dyDescent="0.35">
      <c r="A1447" s="392"/>
      <c r="B1447" s="393"/>
      <c r="C1447" s="99" t="str">
        <f>IF(B1447="","",IF(NOT(ISNUMBER(B1447)),"DATA_PC invalida",IF(NOT(ISNUMBER(parametros!$C$2)),"Fora dos ciclos",IF(OR(B1447&lt;parametros!$C$2,(YEAR(B1447)-YEAR(parametros!$C$2))*12+MONTH(B1447)-MONTH(parametros!$C$2)&gt;59),"Fora dos ciclos","C"&amp;INT(((YEAR(B1447)-YEAR(parametros!$C$2))*12+MONTH(B1447)-MONTH(parametros!$C$2))/12)))))</f>
        <v/>
      </c>
      <c r="D1447" s="394"/>
      <c r="E1447" s="78" t="str">
        <f>IF(C1447="","",IFERROR(VLOOKUP(C1447,parametros!$A$11:$E$15,5,0),""))</f>
        <v/>
      </c>
      <c r="F1447" s="79" t="str">
        <f t="shared" si="112"/>
        <v/>
      </c>
      <c r="G1447" s="395"/>
      <c r="H1447" s="91">
        <f t="shared" si="113"/>
        <v>0</v>
      </c>
      <c r="I1447" s="91" t="str">
        <f t="shared" si="114"/>
        <v/>
      </c>
      <c r="J1447" s="91" t="str">
        <f t="shared" si="115"/>
        <v/>
      </c>
      <c r="K1447" s="92" t="str">
        <f>IF(AND(A1447="",B1447="",D1447="",G1447=""),"",IF(AND(A1447&lt;&gt;"",COUNTIF($A$2:$A$5001,A1447)&gt;1),"NUMERO_PC duplicado",IF(B1447="","DATA_PC vazia",IF(NOT(ISNUMBER(B1447)),"DATA_PC invalida",IF(OR(C1447="",C1447="Fora dos ciclos"),"CICLO_PC nao identificado",IF(OR(D1447="",D1447=0),"VALOR_PC vazio ou zero",IF(AND(G1447&lt;&gt;"Sim",G1447&lt;&gt;"Nao",G1447&lt;&gt;""),"PC_PAGO_A_CONTRATADA invalido",IF(AND(C1447&lt;&gt;"C0",IFERROR(INDEX(parametros!$A$2:$A$6,MATCH(C1447,parametros!$B$2:$B$6,0)),"")="Sim",IFERROR(INDEX(parametros!$H$2:$H$6,MATCH(C1447,parametros!$B$2:$B$6,0)),"")=""),"INICIO_EFEITO ausente: PC "&amp;A1447&amp;" - "&amp;C1447,IF(L1447="","EFEITO_PC nao calculado: PC "&amp;A1447&amp;" - "&amp;C1447,"OK")))))))))</f>
        <v/>
      </c>
      <c r="L1447" s="92" t="str">
        <f>IF(AND(A1447="",B1447="",D1447="",G1447=""),"",IF(OR(B1447="",NOT(ISNUMBER(B1447)),C1447="",C1447="Fora dos ciclos"),"",IF(C1447="C0","Nao",IF(IFERROR(INDEX(parametros!$A$2:$A$6,MATCH(C1447,parametros!$B$2:$B$6,0)),"")&lt;&gt;"Sim","Nao",IF(IFERROR(INDEX(parametros!$H$2:$H$6,MATCH(C1447,parametros!$B$2:$B$6,0)),"")="","",IF(B1447&gt;=IFERROR(INDEX(parametros!$H$2:$H$6,MATCH(C1447,parametros!$B$2:$B$6,0)),""),"Sim","Nao"))))))</f>
        <v/>
      </c>
      <c r="T1447" s="156"/>
      <c r="U1447" s="214" t="str">
        <f t="shared" si="116"/>
        <v/>
      </c>
      <c r="V1447" s="212" t="s">
        <v>50</v>
      </c>
      <c r="W1447" s="100" t="s">
        <v>168</v>
      </c>
      <c r="X1447" s="100" t="s">
        <v>169</v>
      </c>
      <c r="Y1447" s="101" t="s">
        <v>170</v>
      </c>
      <c r="Z1447" s="101" t="s">
        <v>171</v>
      </c>
      <c r="AA1447" s="101" t="s">
        <v>50</v>
      </c>
      <c r="AB1447" s="101" t="s">
        <v>172</v>
      </c>
      <c r="AC1447" s="102" t="s">
        <v>173</v>
      </c>
    </row>
    <row r="1448" spans="1:29" ht="25.5" customHeight="1" x14ac:dyDescent="0.35">
      <c r="A1448" s="392"/>
      <c r="B1448" s="393"/>
      <c r="C1448" s="99" t="str">
        <f>IF(B1448="","",IF(NOT(ISNUMBER(B1448)),"DATA_PC invalida",IF(NOT(ISNUMBER(parametros!$C$2)),"Fora dos ciclos",IF(OR(B1448&lt;parametros!$C$2,(YEAR(B1448)-YEAR(parametros!$C$2))*12+MONTH(B1448)-MONTH(parametros!$C$2)&gt;59),"Fora dos ciclos","C"&amp;INT(((YEAR(B1448)-YEAR(parametros!$C$2))*12+MONTH(B1448)-MONTH(parametros!$C$2))/12)))))</f>
        <v/>
      </c>
      <c r="D1448" s="394"/>
      <c r="E1448" s="78" t="str">
        <f>IF(C1448="","",IFERROR(VLOOKUP(C1448,parametros!$A$11:$E$15,5,0),""))</f>
        <v/>
      </c>
      <c r="F1448" s="79" t="str">
        <f t="shared" si="112"/>
        <v/>
      </c>
      <c r="G1448" s="395"/>
      <c r="H1448" s="91">
        <f t="shared" si="113"/>
        <v>0</v>
      </c>
      <c r="I1448" s="91" t="str">
        <f t="shared" si="114"/>
        <v/>
      </c>
      <c r="J1448" s="91" t="str">
        <f t="shared" si="115"/>
        <v/>
      </c>
      <c r="K1448" s="92" t="str">
        <f>IF(AND(A1448="",B1448="",D1448="",G1448=""),"",IF(AND(A1448&lt;&gt;"",COUNTIF($A$2:$A$5001,A1448)&gt;1),"NUMERO_PC duplicado",IF(B1448="","DATA_PC vazia",IF(NOT(ISNUMBER(B1448)),"DATA_PC invalida",IF(OR(C1448="",C1448="Fora dos ciclos"),"CICLO_PC nao identificado",IF(OR(D1448="",D1448=0),"VALOR_PC vazio ou zero",IF(AND(G1448&lt;&gt;"Sim",G1448&lt;&gt;"Nao",G1448&lt;&gt;""),"PC_PAGO_A_CONTRATADA invalido",IF(AND(C1448&lt;&gt;"C0",IFERROR(INDEX(parametros!$A$2:$A$6,MATCH(C1448,parametros!$B$2:$B$6,0)),"")="Sim",IFERROR(INDEX(parametros!$H$2:$H$6,MATCH(C1448,parametros!$B$2:$B$6,0)),"")=""),"INICIO_EFEITO ausente: PC "&amp;A1448&amp;" - "&amp;C1448,IF(L1448="","EFEITO_PC nao calculado: PC "&amp;A1448&amp;" - "&amp;C1448,"OK")))))))))</f>
        <v/>
      </c>
      <c r="L1448" s="92" t="str">
        <f>IF(AND(A1448="",B1448="",D1448="",G1448=""),"",IF(OR(B1448="",NOT(ISNUMBER(B1448)),C1448="",C1448="Fora dos ciclos"),"",IF(C1448="C0","Nao",IF(IFERROR(INDEX(parametros!$A$2:$A$6,MATCH(C1448,parametros!$B$2:$B$6,0)),"")&lt;&gt;"Sim","Nao",IF(IFERROR(INDEX(parametros!$H$2:$H$6,MATCH(C1448,parametros!$B$2:$B$6,0)),"")="","",IF(B1448&gt;=IFERROR(INDEX(parametros!$H$2:$H$6,MATCH(C1448,parametros!$B$2:$B$6,0)),""),"Sim","Nao"))))))</f>
        <v/>
      </c>
      <c r="T1448" s="156"/>
      <c r="U1448" s="214" t="str">
        <f t="shared" si="116"/>
        <v/>
      </c>
      <c r="V1448" s="212" t="s">
        <v>50</v>
      </c>
      <c r="W1448" s="100" t="s">
        <v>168</v>
      </c>
      <c r="X1448" s="100" t="s">
        <v>169</v>
      </c>
      <c r="Y1448" s="101" t="s">
        <v>170</v>
      </c>
      <c r="Z1448" s="101" t="s">
        <v>171</v>
      </c>
      <c r="AA1448" s="101" t="s">
        <v>50</v>
      </c>
      <c r="AB1448" s="101" t="s">
        <v>172</v>
      </c>
      <c r="AC1448" s="102" t="s">
        <v>173</v>
      </c>
    </row>
    <row r="1449" spans="1:29" ht="25.5" customHeight="1" x14ac:dyDescent="0.35">
      <c r="A1449" s="392"/>
      <c r="B1449" s="393"/>
      <c r="C1449" s="99" t="str">
        <f>IF(B1449="","",IF(NOT(ISNUMBER(B1449)),"DATA_PC invalida",IF(NOT(ISNUMBER(parametros!$C$2)),"Fora dos ciclos",IF(OR(B1449&lt;parametros!$C$2,(YEAR(B1449)-YEAR(parametros!$C$2))*12+MONTH(B1449)-MONTH(parametros!$C$2)&gt;59),"Fora dos ciclos","C"&amp;INT(((YEAR(B1449)-YEAR(parametros!$C$2))*12+MONTH(B1449)-MONTH(parametros!$C$2))/12)))))</f>
        <v/>
      </c>
      <c r="D1449" s="394"/>
      <c r="E1449" s="78" t="str">
        <f>IF(C1449="","",IFERROR(VLOOKUP(C1449,parametros!$A$11:$E$15,5,0),""))</f>
        <v/>
      </c>
      <c r="F1449" s="79" t="str">
        <f t="shared" si="112"/>
        <v/>
      </c>
      <c r="G1449" s="395"/>
      <c r="H1449" s="91">
        <f t="shared" si="113"/>
        <v>0</v>
      </c>
      <c r="I1449" s="91" t="str">
        <f t="shared" si="114"/>
        <v/>
      </c>
      <c r="J1449" s="91" t="str">
        <f t="shared" si="115"/>
        <v/>
      </c>
      <c r="K1449" s="92" t="str">
        <f>IF(AND(A1449="",B1449="",D1449="",G1449=""),"",IF(AND(A1449&lt;&gt;"",COUNTIF($A$2:$A$5001,A1449)&gt;1),"NUMERO_PC duplicado",IF(B1449="","DATA_PC vazia",IF(NOT(ISNUMBER(B1449)),"DATA_PC invalida",IF(OR(C1449="",C1449="Fora dos ciclos"),"CICLO_PC nao identificado",IF(OR(D1449="",D1449=0),"VALOR_PC vazio ou zero",IF(AND(G1449&lt;&gt;"Sim",G1449&lt;&gt;"Nao",G1449&lt;&gt;""),"PC_PAGO_A_CONTRATADA invalido",IF(AND(C1449&lt;&gt;"C0",IFERROR(INDEX(parametros!$A$2:$A$6,MATCH(C1449,parametros!$B$2:$B$6,0)),"")="Sim",IFERROR(INDEX(parametros!$H$2:$H$6,MATCH(C1449,parametros!$B$2:$B$6,0)),"")=""),"INICIO_EFEITO ausente: PC "&amp;A1449&amp;" - "&amp;C1449,IF(L1449="","EFEITO_PC nao calculado: PC "&amp;A1449&amp;" - "&amp;C1449,"OK")))))))))</f>
        <v/>
      </c>
      <c r="L1449" s="92" t="str">
        <f>IF(AND(A1449="",B1449="",D1449="",G1449=""),"",IF(OR(B1449="",NOT(ISNUMBER(B1449)),C1449="",C1449="Fora dos ciclos"),"",IF(C1449="C0","Nao",IF(IFERROR(INDEX(parametros!$A$2:$A$6,MATCH(C1449,parametros!$B$2:$B$6,0)),"")&lt;&gt;"Sim","Nao",IF(IFERROR(INDEX(parametros!$H$2:$H$6,MATCH(C1449,parametros!$B$2:$B$6,0)),"")="","",IF(B1449&gt;=IFERROR(INDEX(parametros!$H$2:$H$6,MATCH(C1449,parametros!$B$2:$B$6,0)),""),"Sim","Nao"))))))</f>
        <v/>
      </c>
      <c r="T1449" s="156"/>
      <c r="U1449" s="214" t="str">
        <f t="shared" si="116"/>
        <v/>
      </c>
      <c r="V1449" s="212" t="s">
        <v>50</v>
      </c>
      <c r="W1449" s="100" t="s">
        <v>168</v>
      </c>
      <c r="X1449" s="100" t="s">
        <v>169</v>
      </c>
      <c r="Y1449" s="101" t="s">
        <v>170</v>
      </c>
      <c r="Z1449" s="101" t="s">
        <v>171</v>
      </c>
      <c r="AA1449" s="101" t="s">
        <v>50</v>
      </c>
      <c r="AB1449" s="101" t="s">
        <v>172</v>
      </c>
      <c r="AC1449" s="102" t="s">
        <v>173</v>
      </c>
    </row>
    <row r="1450" spans="1:29" ht="25.5" customHeight="1" x14ac:dyDescent="0.35">
      <c r="A1450" s="392"/>
      <c r="B1450" s="393"/>
      <c r="C1450" s="99" t="str">
        <f>IF(B1450="","",IF(NOT(ISNUMBER(B1450)),"DATA_PC invalida",IF(NOT(ISNUMBER(parametros!$C$2)),"Fora dos ciclos",IF(OR(B1450&lt;parametros!$C$2,(YEAR(B1450)-YEAR(parametros!$C$2))*12+MONTH(B1450)-MONTH(parametros!$C$2)&gt;59),"Fora dos ciclos","C"&amp;INT(((YEAR(B1450)-YEAR(parametros!$C$2))*12+MONTH(B1450)-MONTH(parametros!$C$2))/12)))))</f>
        <v/>
      </c>
      <c r="D1450" s="394"/>
      <c r="E1450" s="78" t="str">
        <f>IF(C1450="","",IFERROR(VLOOKUP(C1450,parametros!$A$11:$E$15,5,0),""))</f>
        <v/>
      </c>
      <c r="F1450" s="79" t="str">
        <f t="shared" si="112"/>
        <v/>
      </c>
      <c r="G1450" s="395"/>
      <c r="H1450" s="91">
        <f t="shared" si="113"/>
        <v>0</v>
      </c>
      <c r="I1450" s="91" t="str">
        <f t="shared" si="114"/>
        <v/>
      </c>
      <c r="J1450" s="91" t="str">
        <f t="shared" si="115"/>
        <v/>
      </c>
      <c r="K1450" s="92" t="str">
        <f>IF(AND(A1450="",B1450="",D1450="",G1450=""),"",IF(AND(A1450&lt;&gt;"",COUNTIF($A$2:$A$5001,A1450)&gt;1),"NUMERO_PC duplicado",IF(B1450="","DATA_PC vazia",IF(NOT(ISNUMBER(B1450)),"DATA_PC invalida",IF(OR(C1450="",C1450="Fora dos ciclos"),"CICLO_PC nao identificado",IF(OR(D1450="",D1450=0),"VALOR_PC vazio ou zero",IF(AND(G1450&lt;&gt;"Sim",G1450&lt;&gt;"Nao",G1450&lt;&gt;""),"PC_PAGO_A_CONTRATADA invalido",IF(AND(C1450&lt;&gt;"C0",IFERROR(INDEX(parametros!$A$2:$A$6,MATCH(C1450,parametros!$B$2:$B$6,0)),"")="Sim",IFERROR(INDEX(parametros!$H$2:$H$6,MATCH(C1450,parametros!$B$2:$B$6,0)),"")=""),"INICIO_EFEITO ausente: PC "&amp;A1450&amp;" - "&amp;C1450,IF(L1450="","EFEITO_PC nao calculado: PC "&amp;A1450&amp;" - "&amp;C1450,"OK")))))))))</f>
        <v/>
      </c>
      <c r="L1450" s="92" t="str">
        <f>IF(AND(A1450="",B1450="",D1450="",G1450=""),"",IF(OR(B1450="",NOT(ISNUMBER(B1450)),C1450="",C1450="Fora dos ciclos"),"",IF(C1450="C0","Nao",IF(IFERROR(INDEX(parametros!$A$2:$A$6,MATCH(C1450,parametros!$B$2:$B$6,0)),"")&lt;&gt;"Sim","Nao",IF(IFERROR(INDEX(parametros!$H$2:$H$6,MATCH(C1450,parametros!$B$2:$B$6,0)),"")="","",IF(B1450&gt;=IFERROR(INDEX(parametros!$H$2:$H$6,MATCH(C1450,parametros!$B$2:$B$6,0)),""),"Sim","Nao"))))))</f>
        <v/>
      </c>
      <c r="T1450" s="156"/>
      <c r="U1450" s="214" t="str">
        <f t="shared" si="116"/>
        <v/>
      </c>
      <c r="V1450" s="212" t="s">
        <v>50</v>
      </c>
      <c r="W1450" s="100" t="s">
        <v>168</v>
      </c>
      <c r="X1450" s="100" t="s">
        <v>169</v>
      </c>
      <c r="Y1450" s="101" t="s">
        <v>170</v>
      </c>
      <c r="Z1450" s="101" t="s">
        <v>171</v>
      </c>
      <c r="AA1450" s="101" t="s">
        <v>50</v>
      </c>
      <c r="AB1450" s="101" t="s">
        <v>172</v>
      </c>
      <c r="AC1450" s="102" t="s">
        <v>173</v>
      </c>
    </row>
    <row r="1451" spans="1:29" ht="25.5" customHeight="1" x14ac:dyDescent="0.35">
      <c r="A1451" s="392"/>
      <c r="B1451" s="393"/>
      <c r="C1451" s="99" t="str">
        <f>IF(B1451="","",IF(NOT(ISNUMBER(B1451)),"DATA_PC invalida",IF(NOT(ISNUMBER(parametros!$C$2)),"Fora dos ciclos",IF(OR(B1451&lt;parametros!$C$2,(YEAR(B1451)-YEAR(parametros!$C$2))*12+MONTH(B1451)-MONTH(parametros!$C$2)&gt;59),"Fora dos ciclos","C"&amp;INT(((YEAR(B1451)-YEAR(parametros!$C$2))*12+MONTH(B1451)-MONTH(parametros!$C$2))/12)))))</f>
        <v/>
      </c>
      <c r="D1451" s="394"/>
      <c r="E1451" s="78" t="str">
        <f>IF(C1451="","",IFERROR(VLOOKUP(C1451,parametros!$A$11:$E$15,5,0),""))</f>
        <v/>
      </c>
      <c r="F1451" s="79" t="str">
        <f t="shared" si="112"/>
        <v/>
      </c>
      <c r="G1451" s="395"/>
      <c r="H1451" s="91">
        <f t="shared" si="113"/>
        <v>0</v>
      </c>
      <c r="I1451" s="91" t="str">
        <f t="shared" si="114"/>
        <v/>
      </c>
      <c r="J1451" s="91" t="str">
        <f t="shared" si="115"/>
        <v/>
      </c>
      <c r="K1451" s="92" t="str">
        <f>IF(AND(A1451="",B1451="",D1451="",G1451=""),"",IF(AND(A1451&lt;&gt;"",COUNTIF($A$2:$A$5001,A1451)&gt;1),"NUMERO_PC duplicado",IF(B1451="","DATA_PC vazia",IF(NOT(ISNUMBER(B1451)),"DATA_PC invalida",IF(OR(C1451="",C1451="Fora dos ciclos"),"CICLO_PC nao identificado",IF(OR(D1451="",D1451=0),"VALOR_PC vazio ou zero",IF(AND(G1451&lt;&gt;"Sim",G1451&lt;&gt;"Nao",G1451&lt;&gt;""),"PC_PAGO_A_CONTRATADA invalido",IF(AND(C1451&lt;&gt;"C0",IFERROR(INDEX(parametros!$A$2:$A$6,MATCH(C1451,parametros!$B$2:$B$6,0)),"")="Sim",IFERROR(INDEX(parametros!$H$2:$H$6,MATCH(C1451,parametros!$B$2:$B$6,0)),"")=""),"INICIO_EFEITO ausente: PC "&amp;A1451&amp;" - "&amp;C1451,IF(L1451="","EFEITO_PC nao calculado: PC "&amp;A1451&amp;" - "&amp;C1451,"OK")))))))))</f>
        <v/>
      </c>
      <c r="L1451" s="92" t="str">
        <f>IF(AND(A1451="",B1451="",D1451="",G1451=""),"",IF(OR(B1451="",NOT(ISNUMBER(B1451)),C1451="",C1451="Fora dos ciclos"),"",IF(C1451="C0","Nao",IF(IFERROR(INDEX(parametros!$A$2:$A$6,MATCH(C1451,parametros!$B$2:$B$6,0)),"")&lt;&gt;"Sim","Nao",IF(IFERROR(INDEX(parametros!$H$2:$H$6,MATCH(C1451,parametros!$B$2:$B$6,0)),"")="","",IF(B1451&gt;=IFERROR(INDEX(parametros!$H$2:$H$6,MATCH(C1451,parametros!$B$2:$B$6,0)),""),"Sim","Nao"))))))</f>
        <v/>
      </c>
      <c r="T1451" s="156"/>
      <c r="U1451" s="214" t="str">
        <f t="shared" si="116"/>
        <v/>
      </c>
      <c r="V1451" s="212" t="s">
        <v>50</v>
      </c>
      <c r="W1451" s="100" t="s">
        <v>168</v>
      </c>
      <c r="X1451" s="100" t="s">
        <v>169</v>
      </c>
      <c r="Y1451" s="101" t="s">
        <v>170</v>
      </c>
      <c r="Z1451" s="101" t="s">
        <v>171</v>
      </c>
      <c r="AA1451" s="101" t="s">
        <v>50</v>
      </c>
      <c r="AB1451" s="101" t="s">
        <v>172</v>
      </c>
      <c r="AC1451" s="102" t="s">
        <v>173</v>
      </c>
    </row>
    <row r="1452" spans="1:29" ht="25.5" customHeight="1" x14ac:dyDescent="0.35">
      <c r="A1452" s="392"/>
      <c r="B1452" s="393"/>
      <c r="C1452" s="99" t="str">
        <f>IF(B1452="","",IF(NOT(ISNUMBER(B1452)),"DATA_PC invalida",IF(NOT(ISNUMBER(parametros!$C$2)),"Fora dos ciclos",IF(OR(B1452&lt;parametros!$C$2,(YEAR(B1452)-YEAR(parametros!$C$2))*12+MONTH(B1452)-MONTH(parametros!$C$2)&gt;59),"Fora dos ciclos","C"&amp;INT(((YEAR(B1452)-YEAR(parametros!$C$2))*12+MONTH(B1452)-MONTH(parametros!$C$2))/12)))))</f>
        <v/>
      </c>
      <c r="D1452" s="394"/>
      <c r="E1452" s="78" t="str">
        <f>IF(C1452="","",IFERROR(VLOOKUP(C1452,parametros!$A$11:$E$15,5,0),""))</f>
        <v/>
      </c>
      <c r="F1452" s="79" t="str">
        <f t="shared" si="112"/>
        <v/>
      </c>
      <c r="G1452" s="395"/>
      <c r="H1452" s="91">
        <f t="shared" si="113"/>
        <v>0</v>
      </c>
      <c r="I1452" s="91" t="str">
        <f t="shared" si="114"/>
        <v/>
      </c>
      <c r="J1452" s="91" t="str">
        <f t="shared" si="115"/>
        <v/>
      </c>
      <c r="K1452" s="92" t="str">
        <f>IF(AND(A1452="",B1452="",D1452="",G1452=""),"",IF(AND(A1452&lt;&gt;"",COUNTIF($A$2:$A$5001,A1452)&gt;1),"NUMERO_PC duplicado",IF(B1452="","DATA_PC vazia",IF(NOT(ISNUMBER(B1452)),"DATA_PC invalida",IF(OR(C1452="",C1452="Fora dos ciclos"),"CICLO_PC nao identificado",IF(OR(D1452="",D1452=0),"VALOR_PC vazio ou zero",IF(AND(G1452&lt;&gt;"Sim",G1452&lt;&gt;"Nao",G1452&lt;&gt;""),"PC_PAGO_A_CONTRATADA invalido",IF(AND(C1452&lt;&gt;"C0",IFERROR(INDEX(parametros!$A$2:$A$6,MATCH(C1452,parametros!$B$2:$B$6,0)),"")="Sim",IFERROR(INDEX(parametros!$H$2:$H$6,MATCH(C1452,parametros!$B$2:$B$6,0)),"")=""),"INICIO_EFEITO ausente: PC "&amp;A1452&amp;" - "&amp;C1452,IF(L1452="","EFEITO_PC nao calculado: PC "&amp;A1452&amp;" - "&amp;C1452,"OK")))))))))</f>
        <v/>
      </c>
      <c r="L1452" s="92" t="str">
        <f>IF(AND(A1452="",B1452="",D1452="",G1452=""),"",IF(OR(B1452="",NOT(ISNUMBER(B1452)),C1452="",C1452="Fora dos ciclos"),"",IF(C1452="C0","Nao",IF(IFERROR(INDEX(parametros!$A$2:$A$6,MATCH(C1452,parametros!$B$2:$B$6,0)),"")&lt;&gt;"Sim","Nao",IF(IFERROR(INDEX(parametros!$H$2:$H$6,MATCH(C1452,parametros!$B$2:$B$6,0)),"")="","",IF(B1452&gt;=IFERROR(INDEX(parametros!$H$2:$H$6,MATCH(C1452,parametros!$B$2:$B$6,0)),""),"Sim","Nao"))))))</f>
        <v/>
      </c>
      <c r="T1452" s="156"/>
      <c r="U1452" s="214" t="str">
        <f t="shared" si="116"/>
        <v/>
      </c>
      <c r="V1452" s="212" t="s">
        <v>50</v>
      </c>
      <c r="W1452" s="100" t="s">
        <v>168</v>
      </c>
      <c r="X1452" s="100" t="s">
        <v>169</v>
      </c>
      <c r="Y1452" s="101" t="s">
        <v>170</v>
      </c>
      <c r="Z1452" s="101" t="s">
        <v>171</v>
      </c>
      <c r="AA1452" s="101" t="s">
        <v>50</v>
      </c>
      <c r="AB1452" s="101" t="s">
        <v>172</v>
      </c>
      <c r="AC1452" s="102" t="s">
        <v>173</v>
      </c>
    </row>
    <row r="1453" spans="1:29" ht="25.5" customHeight="1" x14ac:dyDescent="0.35">
      <c r="A1453" s="392"/>
      <c r="B1453" s="393"/>
      <c r="C1453" s="99" t="str">
        <f>IF(B1453="","",IF(NOT(ISNUMBER(B1453)),"DATA_PC invalida",IF(NOT(ISNUMBER(parametros!$C$2)),"Fora dos ciclos",IF(OR(B1453&lt;parametros!$C$2,(YEAR(B1453)-YEAR(parametros!$C$2))*12+MONTH(B1453)-MONTH(parametros!$C$2)&gt;59),"Fora dos ciclos","C"&amp;INT(((YEAR(B1453)-YEAR(parametros!$C$2))*12+MONTH(B1453)-MONTH(parametros!$C$2))/12)))))</f>
        <v/>
      </c>
      <c r="D1453" s="394"/>
      <c r="E1453" s="78" t="str">
        <f>IF(C1453="","",IFERROR(VLOOKUP(C1453,parametros!$A$11:$E$15,5,0),""))</f>
        <v/>
      </c>
      <c r="F1453" s="79" t="str">
        <f t="shared" si="112"/>
        <v/>
      </c>
      <c r="G1453" s="395"/>
      <c r="H1453" s="91">
        <f t="shared" si="113"/>
        <v>0</v>
      </c>
      <c r="I1453" s="91" t="str">
        <f t="shared" si="114"/>
        <v/>
      </c>
      <c r="J1453" s="91" t="str">
        <f t="shared" si="115"/>
        <v/>
      </c>
      <c r="K1453" s="92" t="str">
        <f>IF(AND(A1453="",B1453="",D1453="",G1453=""),"",IF(AND(A1453&lt;&gt;"",COUNTIF($A$2:$A$5001,A1453)&gt;1),"NUMERO_PC duplicado",IF(B1453="","DATA_PC vazia",IF(NOT(ISNUMBER(B1453)),"DATA_PC invalida",IF(OR(C1453="",C1453="Fora dos ciclos"),"CICLO_PC nao identificado",IF(OR(D1453="",D1453=0),"VALOR_PC vazio ou zero",IF(AND(G1453&lt;&gt;"Sim",G1453&lt;&gt;"Nao",G1453&lt;&gt;""),"PC_PAGO_A_CONTRATADA invalido",IF(AND(C1453&lt;&gt;"C0",IFERROR(INDEX(parametros!$A$2:$A$6,MATCH(C1453,parametros!$B$2:$B$6,0)),"")="Sim",IFERROR(INDEX(parametros!$H$2:$H$6,MATCH(C1453,parametros!$B$2:$B$6,0)),"")=""),"INICIO_EFEITO ausente: PC "&amp;A1453&amp;" - "&amp;C1453,IF(L1453="","EFEITO_PC nao calculado: PC "&amp;A1453&amp;" - "&amp;C1453,"OK")))))))))</f>
        <v/>
      </c>
      <c r="L1453" s="92" t="str">
        <f>IF(AND(A1453="",B1453="",D1453="",G1453=""),"",IF(OR(B1453="",NOT(ISNUMBER(B1453)),C1453="",C1453="Fora dos ciclos"),"",IF(C1453="C0","Nao",IF(IFERROR(INDEX(parametros!$A$2:$A$6,MATCH(C1453,parametros!$B$2:$B$6,0)),"")&lt;&gt;"Sim","Nao",IF(IFERROR(INDEX(parametros!$H$2:$H$6,MATCH(C1453,parametros!$B$2:$B$6,0)),"")="","",IF(B1453&gt;=IFERROR(INDEX(parametros!$H$2:$H$6,MATCH(C1453,parametros!$B$2:$B$6,0)),""),"Sim","Nao"))))))</f>
        <v/>
      </c>
      <c r="T1453" s="156"/>
      <c r="U1453" s="214" t="str">
        <f t="shared" si="116"/>
        <v/>
      </c>
      <c r="V1453" s="212" t="s">
        <v>50</v>
      </c>
      <c r="W1453" s="100" t="s">
        <v>168</v>
      </c>
      <c r="X1453" s="100" t="s">
        <v>169</v>
      </c>
      <c r="Y1453" s="101" t="s">
        <v>170</v>
      </c>
      <c r="Z1453" s="101" t="s">
        <v>171</v>
      </c>
      <c r="AA1453" s="101" t="s">
        <v>50</v>
      </c>
      <c r="AB1453" s="101" t="s">
        <v>172</v>
      </c>
      <c r="AC1453" s="102" t="s">
        <v>173</v>
      </c>
    </row>
    <row r="1454" spans="1:29" ht="25.5" customHeight="1" x14ac:dyDescent="0.35">
      <c r="A1454" s="392"/>
      <c r="B1454" s="393"/>
      <c r="C1454" s="99" t="str">
        <f>IF(B1454="","",IF(NOT(ISNUMBER(B1454)),"DATA_PC invalida",IF(NOT(ISNUMBER(parametros!$C$2)),"Fora dos ciclos",IF(OR(B1454&lt;parametros!$C$2,(YEAR(B1454)-YEAR(parametros!$C$2))*12+MONTH(B1454)-MONTH(parametros!$C$2)&gt;59),"Fora dos ciclos","C"&amp;INT(((YEAR(B1454)-YEAR(parametros!$C$2))*12+MONTH(B1454)-MONTH(parametros!$C$2))/12)))))</f>
        <v/>
      </c>
      <c r="D1454" s="394"/>
      <c r="E1454" s="78" t="str">
        <f>IF(C1454="","",IFERROR(VLOOKUP(C1454,parametros!$A$11:$E$15,5,0),""))</f>
        <v/>
      </c>
      <c r="F1454" s="79" t="str">
        <f t="shared" si="112"/>
        <v/>
      </c>
      <c r="G1454" s="395"/>
      <c r="H1454" s="91">
        <f t="shared" si="113"/>
        <v>0</v>
      </c>
      <c r="I1454" s="91" t="str">
        <f t="shared" si="114"/>
        <v/>
      </c>
      <c r="J1454" s="91" t="str">
        <f t="shared" si="115"/>
        <v/>
      </c>
      <c r="K1454" s="92" t="str">
        <f>IF(AND(A1454="",B1454="",D1454="",G1454=""),"",IF(AND(A1454&lt;&gt;"",COUNTIF($A$2:$A$5001,A1454)&gt;1),"NUMERO_PC duplicado",IF(B1454="","DATA_PC vazia",IF(NOT(ISNUMBER(B1454)),"DATA_PC invalida",IF(OR(C1454="",C1454="Fora dos ciclos"),"CICLO_PC nao identificado",IF(OR(D1454="",D1454=0),"VALOR_PC vazio ou zero",IF(AND(G1454&lt;&gt;"Sim",G1454&lt;&gt;"Nao",G1454&lt;&gt;""),"PC_PAGO_A_CONTRATADA invalido",IF(AND(C1454&lt;&gt;"C0",IFERROR(INDEX(parametros!$A$2:$A$6,MATCH(C1454,parametros!$B$2:$B$6,0)),"")="Sim",IFERROR(INDEX(parametros!$H$2:$H$6,MATCH(C1454,parametros!$B$2:$B$6,0)),"")=""),"INICIO_EFEITO ausente: PC "&amp;A1454&amp;" - "&amp;C1454,IF(L1454="","EFEITO_PC nao calculado: PC "&amp;A1454&amp;" - "&amp;C1454,"OK")))))))))</f>
        <v/>
      </c>
      <c r="L1454" s="92" t="str">
        <f>IF(AND(A1454="",B1454="",D1454="",G1454=""),"",IF(OR(B1454="",NOT(ISNUMBER(B1454)),C1454="",C1454="Fora dos ciclos"),"",IF(C1454="C0","Nao",IF(IFERROR(INDEX(parametros!$A$2:$A$6,MATCH(C1454,parametros!$B$2:$B$6,0)),"")&lt;&gt;"Sim","Nao",IF(IFERROR(INDEX(parametros!$H$2:$H$6,MATCH(C1454,parametros!$B$2:$B$6,0)),"")="","",IF(B1454&gt;=IFERROR(INDEX(parametros!$H$2:$H$6,MATCH(C1454,parametros!$B$2:$B$6,0)),""),"Sim","Nao"))))))</f>
        <v/>
      </c>
      <c r="T1454" s="156"/>
      <c r="U1454" s="214" t="str">
        <f t="shared" si="116"/>
        <v/>
      </c>
      <c r="V1454" s="212" t="s">
        <v>50</v>
      </c>
      <c r="W1454" s="100" t="s">
        <v>168</v>
      </c>
      <c r="X1454" s="100" t="s">
        <v>169</v>
      </c>
      <c r="Y1454" s="101" t="s">
        <v>170</v>
      </c>
      <c r="Z1454" s="101" t="s">
        <v>171</v>
      </c>
      <c r="AA1454" s="101" t="s">
        <v>50</v>
      </c>
      <c r="AB1454" s="101" t="s">
        <v>172</v>
      </c>
      <c r="AC1454" s="102" t="s">
        <v>173</v>
      </c>
    </row>
    <row r="1455" spans="1:29" ht="25.5" customHeight="1" x14ac:dyDescent="0.35">
      <c r="A1455" s="392"/>
      <c r="B1455" s="393"/>
      <c r="C1455" s="99" t="str">
        <f>IF(B1455="","",IF(NOT(ISNUMBER(B1455)),"DATA_PC invalida",IF(NOT(ISNUMBER(parametros!$C$2)),"Fora dos ciclos",IF(OR(B1455&lt;parametros!$C$2,(YEAR(B1455)-YEAR(parametros!$C$2))*12+MONTH(B1455)-MONTH(parametros!$C$2)&gt;59),"Fora dos ciclos","C"&amp;INT(((YEAR(B1455)-YEAR(parametros!$C$2))*12+MONTH(B1455)-MONTH(parametros!$C$2))/12)))))</f>
        <v/>
      </c>
      <c r="D1455" s="394"/>
      <c r="E1455" s="78" t="str">
        <f>IF(C1455="","",IFERROR(VLOOKUP(C1455,parametros!$A$11:$E$15,5,0),""))</f>
        <v/>
      </c>
      <c r="F1455" s="79" t="str">
        <f t="shared" si="112"/>
        <v/>
      </c>
      <c r="G1455" s="395"/>
      <c r="H1455" s="91">
        <f t="shared" si="113"/>
        <v>0</v>
      </c>
      <c r="I1455" s="91" t="str">
        <f t="shared" si="114"/>
        <v/>
      </c>
      <c r="J1455" s="91" t="str">
        <f t="shared" si="115"/>
        <v/>
      </c>
      <c r="K1455" s="92" t="str">
        <f>IF(AND(A1455="",B1455="",D1455="",G1455=""),"",IF(AND(A1455&lt;&gt;"",COUNTIF($A$2:$A$5001,A1455)&gt;1),"NUMERO_PC duplicado",IF(B1455="","DATA_PC vazia",IF(NOT(ISNUMBER(B1455)),"DATA_PC invalida",IF(OR(C1455="",C1455="Fora dos ciclos"),"CICLO_PC nao identificado",IF(OR(D1455="",D1455=0),"VALOR_PC vazio ou zero",IF(AND(G1455&lt;&gt;"Sim",G1455&lt;&gt;"Nao",G1455&lt;&gt;""),"PC_PAGO_A_CONTRATADA invalido",IF(AND(C1455&lt;&gt;"C0",IFERROR(INDEX(parametros!$A$2:$A$6,MATCH(C1455,parametros!$B$2:$B$6,0)),"")="Sim",IFERROR(INDEX(parametros!$H$2:$H$6,MATCH(C1455,parametros!$B$2:$B$6,0)),"")=""),"INICIO_EFEITO ausente: PC "&amp;A1455&amp;" - "&amp;C1455,IF(L1455="","EFEITO_PC nao calculado: PC "&amp;A1455&amp;" - "&amp;C1455,"OK")))))))))</f>
        <v/>
      </c>
      <c r="L1455" s="92" t="str">
        <f>IF(AND(A1455="",B1455="",D1455="",G1455=""),"",IF(OR(B1455="",NOT(ISNUMBER(B1455)),C1455="",C1455="Fora dos ciclos"),"",IF(C1455="C0","Nao",IF(IFERROR(INDEX(parametros!$A$2:$A$6,MATCH(C1455,parametros!$B$2:$B$6,0)),"")&lt;&gt;"Sim","Nao",IF(IFERROR(INDEX(parametros!$H$2:$H$6,MATCH(C1455,parametros!$B$2:$B$6,0)),"")="","",IF(B1455&gt;=IFERROR(INDEX(parametros!$H$2:$H$6,MATCH(C1455,parametros!$B$2:$B$6,0)),""),"Sim","Nao"))))))</f>
        <v/>
      </c>
      <c r="T1455" s="156"/>
      <c r="U1455" s="214" t="str">
        <f t="shared" si="116"/>
        <v/>
      </c>
      <c r="V1455" s="212" t="s">
        <v>50</v>
      </c>
      <c r="W1455" s="100" t="s">
        <v>168</v>
      </c>
      <c r="X1455" s="100" t="s">
        <v>169</v>
      </c>
      <c r="Y1455" s="101" t="s">
        <v>170</v>
      </c>
      <c r="Z1455" s="101" t="s">
        <v>171</v>
      </c>
      <c r="AA1455" s="101" t="s">
        <v>50</v>
      </c>
      <c r="AB1455" s="101" t="s">
        <v>172</v>
      </c>
      <c r="AC1455" s="102" t="s">
        <v>173</v>
      </c>
    </row>
    <row r="1456" spans="1:29" ht="25.5" customHeight="1" x14ac:dyDescent="0.35">
      <c r="A1456" s="392"/>
      <c r="B1456" s="393"/>
      <c r="C1456" s="99" t="str">
        <f>IF(B1456="","",IF(NOT(ISNUMBER(B1456)),"DATA_PC invalida",IF(NOT(ISNUMBER(parametros!$C$2)),"Fora dos ciclos",IF(OR(B1456&lt;parametros!$C$2,(YEAR(B1456)-YEAR(parametros!$C$2))*12+MONTH(B1456)-MONTH(parametros!$C$2)&gt;59),"Fora dos ciclos","C"&amp;INT(((YEAR(B1456)-YEAR(parametros!$C$2))*12+MONTH(B1456)-MONTH(parametros!$C$2))/12)))))</f>
        <v/>
      </c>
      <c r="D1456" s="394"/>
      <c r="E1456" s="78" t="str">
        <f>IF(C1456="","",IFERROR(VLOOKUP(C1456,parametros!$A$11:$E$15,5,0),""))</f>
        <v/>
      </c>
      <c r="F1456" s="79" t="str">
        <f t="shared" si="112"/>
        <v/>
      </c>
      <c r="G1456" s="395"/>
      <c r="H1456" s="91">
        <f t="shared" si="113"/>
        <v>0</v>
      </c>
      <c r="I1456" s="91" t="str">
        <f t="shared" si="114"/>
        <v/>
      </c>
      <c r="J1456" s="91" t="str">
        <f t="shared" si="115"/>
        <v/>
      </c>
      <c r="K1456" s="92" t="str">
        <f>IF(AND(A1456="",B1456="",D1456="",G1456=""),"",IF(AND(A1456&lt;&gt;"",COUNTIF($A$2:$A$5001,A1456)&gt;1),"NUMERO_PC duplicado",IF(B1456="","DATA_PC vazia",IF(NOT(ISNUMBER(B1456)),"DATA_PC invalida",IF(OR(C1456="",C1456="Fora dos ciclos"),"CICLO_PC nao identificado",IF(OR(D1456="",D1456=0),"VALOR_PC vazio ou zero",IF(AND(G1456&lt;&gt;"Sim",G1456&lt;&gt;"Nao",G1456&lt;&gt;""),"PC_PAGO_A_CONTRATADA invalido",IF(AND(C1456&lt;&gt;"C0",IFERROR(INDEX(parametros!$A$2:$A$6,MATCH(C1456,parametros!$B$2:$B$6,0)),"")="Sim",IFERROR(INDEX(parametros!$H$2:$H$6,MATCH(C1456,parametros!$B$2:$B$6,0)),"")=""),"INICIO_EFEITO ausente: PC "&amp;A1456&amp;" - "&amp;C1456,IF(L1456="","EFEITO_PC nao calculado: PC "&amp;A1456&amp;" - "&amp;C1456,"OK")))))))))</f>
        <v/>
      </c>
      <c r="L1456" s="92" t="str">
        <f>IF(AND(A1456="",B1456="",D1456="",G1456=""),"",IF(OR(B1456="",NOT(ISNUMBER(B1456)),C1456="",C1456="Fora dos ciclos"),"",IF(C1456="C0","Nao",IF(IFERROR(INDEX(parametros!$A$2:$A$6,MATCH(C1456,parametros!$B$2:$B$6,0)),"")&lt;&gt;"Sim","Nao",IF(IFERROR(INDEX(parametros!$H$2:$H$6,MATCH(C1456,parametros!$B$2:$B$6,0)),"")="","",IF(B1456&gt;=IFERROR(INDEX(parametros!$H$2:$H$6,MATCH(C1456,parametros!$B$2:$B$6,0)),""),"Sim","Nao"))))))</f>
        <v/>
      </c>
      <c r="T1456" s="156"/>
      <c r="U1456" s="214" t="str">
        <f t="shared" si="116"/>
        <v/>
      </c>
      <c r="V1456" s="212" t="s">
        <v>50</v>
      </c>
      <c r="W1456" s="100" t="s">
        <v>168</v>
      </c>
      <c r="X1456" s="100" t="s">
        <v>169</v>
      </c>
      <c r="Y1456" s="101" t="s">
        <v>170</v>
      </c>
      <c r="Z1456" s="101" t="s">
        <v>171</v>
      </c>
      <c r="AA1456" s="101" t="s">
        <v>50</v>
      </c>
      <c r="AB1456" s="101" t="s">
        <v>172</v>
      </c>
      <c r="AC1456" s="102" t="s">
        <v>173</v>
      </c>
    </row>
    <row r="1457" spans="1:29" ht="25.5" customHeight="1" x14ac:dyDescent="0.35">
      <c r="A1457" s="392"/>
      <c r="B1457" s="393"/>
      <c r="C1457" s="99" t="str">
        <f>IF(B1457="","",IF(NOT(ISNUMBER(B1457)),"DATA_PC invalida",IF(NOT(ISNUMBER(parametros!$C$2)),"Fora dos ciclos",IF(OR(B1457&lt;parametros!$C$2,(YEAR(B1457)-YEAR(parametros!$C$2))*12+MONTH(B1457)-MONTH(parametros!$C$2)&gt;59),"Fora dos ciclos","C"&amp;INT(((YEAR(B1457)-YEAR(parametros!$C$2))*12+MONTH(B1457)-MONTH(parametros!$C$2))/12)))))</f>
        <v/>
      </c>
      <c r="D1457" s="394"/>
      <c r="E1457" s="78" t="str">
        <f>IF(C1457="","",IFERROR(VLOOKUP(C1457,parametros!$A$11:$E$15,5,0),""))</f>
        <v/>
      </c>
      <c r="F1457" s="79" t="str">
        <f t="shared" si="112"/>
        <v/>
      </c>
      <c r="G1457" s="395"/>
      <c r="H1457" s="91">
        <f t="shared" si="113"/>
        <v>0</v>
      </c>
      <c r="I1457" s="91" t="str">
        <f t="shared" si="114"/>
        <v/>
      </c>
      <c r="J1457" s="91" t="str">
        <f t="shared" si="115"/>
        <v/>
      </c>
      <c r="K1457" s="92" t="str">
        <f>IF(AND(A1457="",B1457="",D1457="",G1457=""),"",IF(AND(A1457&lt;&gt;"",COUNTIF($A$2:$A$5001,A1457)&gt;1),"NUMERO_PC duplicado",IF(B1457="","DATA_PC vazia",IF(NOT(ISNUMBER(B1457)),"DATA_PC invalida",IF(OR(C1457="",C1457="Fora dos ciclos"),"CICLO_PC nao identificado",IF(OR(D1457="",D1457=0),"VALOR_PC vazio ou zero",IF(AND(G1457&lt;&gt;"Sim",G1457&lt;&gt;"Nao",G1457&lt;&gt;""),"PC_PAGO_A_CONTRATADA invalido",IF(AND(C1457&lt;&gt;"C0",IFERROR(INDEX(parametros!$A$2:$A$6,MATCH(C1457,parametros!$B$2:$B$6,0)),"")="Sim",IFERROR(INDEX(parametros!$H$2:$H$6,MATCH(C1457,parametros!$B$2:$B$6,0)),"")=""),"INICIO_EFEITO ausente: PC "&amp;A1457&amp;" - "&amp;C1457,IF(L1457="","EFEITO_PC nao calculado: PC "&amp;A1457&amp;" - "&amp;C1457,"OK")))))))))</f>
        <v/>
      </c>
      <c r="L1457" s="92" t="str">
        <f>IF(AND(A1457="",B1457="",D1457="",G1457=""),"",IF(OR(B1457="",NOT(ISNUMBER(B1457)),C1457="",C1457="Fora dos ciclos"),"",IF(C1457="C0","Nao",IF(IFERROR(INDEX(parametros!$A$2:$A$6,MATCH(C1457,parametros!$B$2:$B$6,0)),"")&lt;&gt;"Sim","Nao",IF(IFERROR(INDEX(parametros!$H$2:$H$6,MATCH(C1457,parametros!$B$2:$B$6,0)),"")="","",IF(B1457&gt;=IFERROR(INDEX(parametros!$H$2:$H$6,MATCH(C1457,parametros!$B$2:$B$6,0)),""),"Sim","Nao"))))))</f>
        <v/>
      </c>
      <c r="T1457" s="156"/>
      <c r="U1457" s="214" t="str">
        <f t="shared" si="116"/>
        <v/>
      </c>
      <c r="V1457" s="212" t="s">
        <v>50</v>
      </c>
      <c r="W1457" s="100" t="s">
        <v>168</v>
      </c>
      <c r="X1457" s="100" t="s">
        <v>169</v>
      </c>
      <c r="Y1457" s="101" t="s">
        <v>170</v>
      </c>
      <c r="Z1457" s="101" t="s">
        <v>171</v>
      </c>
      <c r="AA1457" s="101" t="s">
        <v>50</v>
      </c>
      <c r="AB1457" s="101" t="s">
        <v>172</v>
      </c>
      <c r="AC1457" s="102" t="s">
        <v>173</v>
      </c>
    </row>
    <row r="1458" spans="1:29" ht="25.5" customHeight="1" x14ac:dyDescent="0.35">
      <c r="A1458" s="392"/>
      <c r="B1458" s="393"/>
      <c r="C1458" s="99" t="str">
        <f>IF(B1458="","",IF(NOT(ISNUMBER(B1458)),"DATA_PC invalida",IF(NOT(ISNUMBER(parametros!$C$2)),"Fora dos ciclos",IF(OR(B1458&lt;parametros!$C$2,(YEAR(B1458)-YEAR(parametros!$C$2))*12+MONTH(B1458)-MONTH(parametros!$C$2)&gt;59),"Fora dos ciclos","C"&amp;INT(((YEAR(B1458)-YEAR(parametros!$C$2))*12+MONTH(B1458)-MONTH(parametros!$C$2))/12)))))</f>
        <v/>
      </c>
      <c r="D1458" s="394"/>
      <c r="E1458" s="78" t="str">
        <f>IF(C1458="","",IFERROR(VLOOKUP(C1458,parametros!$A$11:$E$15,5,0),""))</f>
        <v/>
      </c>
      <c r="F1458" s="79" t="str">
        <f t="shared" si="112"/>
        <v/>
      </c>
      <c r="G1458" s="395"/>
      <c r="H1458" s="91">
        <f t="shared" si="113"/>
        <v>0</v>
      </c>
      <c r="I1458" s="91" t="str">
        <f t="shared" si="114"/>
        <v/>
      </c>
      <c r="J1458" s="91" t="str">
        <f t="shared" si="115"/>
        <v/>
      </c>
      <c r="K1458" s="92" t="str">
        <f>IF(AND(A1458="",B1458="",D1458="",G1458=""),"",IF(AND(A1458&lt;&gt;"",COUNTIF($A$2:$A$5001,A1458)&gt;1),"NUMERO_PC duplicado",IF(B1458="","DATA_PC vazia",IF(NOT(ISNUMBER(B1458)),"DATA_PC invalida",IF(OR(C1458="",C1458="Fora dos ciclos"),"CICLO_PC nao identificado",IF(OR(D1458="",D1458=0),"VALOR_PC vazio ou zero",IF(AND(G1458&lt;&gt;"Sim",G1458&lt;&gt;"Nao",G1458&lt;&gt;""),"PC_PAGO_A_CONTRATADA invalido",IF(AND(C1458&lt;&gt;"C0",IFERROR(INDEX(parametros!$A$2:$A$6,MATCH(C1458,parametros!$B$2:$B$6,0)),"")="Sim",IFERROR(INDEX(parametros!$H$2:$H$6,MATCH(C1458,parametros!$B$2:$B$6,0)),"")=""),"INICIO_EFEITO ausente: PC "&amp;A1458&amp;" - "&amp;C1458,IF(L1458="","EFEITO_PC nao calculado: PC "&amp;A1458&amp;" - "&amp;C1458,"OK")))))))))</f>
        <v/>
      </c>
      <c r="L1458" s="92" t="str">
        <f>IF(AND(A1458="",B1458="",D1458="",G1458=""),"",IF(OR(B1458="",NOT(ISNUMBER(B1458)),C1458="",C1458="Fora dos ciclos"),"",IF(C1458="C0","Nao",IF(IFERROR(INDEX(parametros!$A$2:$A$6,MATCH(C1458,parametros!$B$2:$B$6,0)),"")&lt;&gt;"Sim","Nao",IF(IFERROR(INDEX(parametros!$H$2:$H$6,MATCH(C1458,parametros!$B$2:$B$6,0)),"")="","",IF(B1458&gt;=IFERROR(INDEX(parametros!$H$2:$H$6,MATCH(C1458,parametros!$B$2:$B$6,0)),""),"Sim","Nao"))))))</f>
        <v/>
      </c>
      <c r="T1458" s="156"/>
      <c r="U1458" s="214" t="str">
        <f t="shared" si="116"/>
        <v/>
      </c>
      <c r="V1458" s="212" t="s">
        <v>50</v>
      </c>
      <c r="W1458" s="100" t="s">
        <v>168</v>
      </c>
      <c r="X1458" s="100" t="s">
        <v>169</v>
      </c>
      <c r="Y1458" s="101" t="s">
        <v>170</v>
      </c>
      <c r="Z1458" s="101" t="s">
        <v>171</v>
      </c>
      <c r="AA1458" s="101" t="s">
        <v>50</v>
      </c>
      <c r="AB1458" s="101" t="s">
        <v>172</v>
      </c>
      <c r="AC1458" s="102" t="s">
        <v>173</v>
      </c>
    </row>
    <row r="1459" spans="1:29" ht="25.5" customHeight="1" x14ac:dyDescent="0.35">
      <c r="A1459" s="392"/>
      <c r="B1459" s="393"/>
      <c r="C1459" s="99" t="str">
        <f>IF(B1459="","",IF(NOT(ISNUMBER(B1459)),"DATA_PC invalida",IF(NOT(ISNUMBER(parametros!$C$2)),"Fora dos ciclos",IF(OR(B1459&lt;parametros!$C$2,(YEAR(B1459)-YEAR(parametros!$C$2))*12+MONTH(B1459)-MONTH(parametros!$C$2)&gt;59),"Fora dos ciclos","C"&amp;INT(((YEAR(B1459)-YEAR(parametros!$C$2))*12+MONTH(B1459)-MONTH(parametros!$C$2))/12)))))</f>
        <v/>
      </c>
      <c r="D1459" s="394"/>
      <c r="E1459" s="78" t="str">
        <f>IF(C1459="","",IFERROR(VLOOKUP(C1459,parametros!$A$11:$E$15,5,0),""))</f>
        <v/>
      </c>
      <c r="F1459" s="79" t="str">
        <f t="shared" si="112"/>
        <v/>
      </c>
      <c r="G1459" s="395"/>
      <c r="H1459" s="91">
        <f t="shared" si="113"/>
        <v>0</v>
      </c>
      <c r="I1459" s="91" t="str">
        <f t="shared" si="114"/>
        <v/>
      </c>
      <c r="J1459" s="91" t="str">
        <f t="shared" si="115"/>
        <v/>
      </c>
      <c r="K1459" s="92" t="str">
        <f>IF(AND(A1459="",B1459="",D1459="",G1459=""),"",IF(AND(A1459&lt;&gt;"",COUNTIF($A$2:$A$5001,A1459)&gt;1),"NUMERO_PC duplicado",IF(B1459="","DATA_PC vazia",IF(NOT(ISNUMBER(B1459)),"DATA_PC invalida",IF(OR(C1459="",C1459="Fora dos ciclos"),"CICLO_PC nao identificado",IF(OR(D1459="",D1459=0),"VALOR_PC vazio ou zero",IF(AND(G1459&lt;&gt;"Sim",G1459&lt;&gt;"Nao",G1459&lt;&gt;""),"PC_PAGO_A_CONTRATADA invalido",IF(AND(C1459&lt;&gt;"C0",IFERROR(INDEX(parametros!$A$2:$A$6,MATCH(C1459,parametros!$B$2:$B$6,0)),"")="Sim",IFERROR(INDEX(parametros!$H$2:$H$6,MATCH(C1459,parametros!$B$2:$B$6,0)),"")=""),"INICIO_EFEITO ausente: PC "&amp;A1459&amp;" - "&amp;C1459,IF(L1459="","EFEITO_PC nao calculado: PC "&amp;A1459&amp;" - "&amp;C1459,"OK")))))))))</f>
        <v/>
      </c>
      <c r="L1459" s="92" t="str">
        <f>IF(AND(A1459="",B1459="",D1459="",G1459=""),"",IF(OR(B1459="",NOT(ISNUMBER(B1459)),C1459="",C1459="Fora dos ciclos"),"",IF(C1459="C0","Nao",IF(IFERROR(INDEX(parametros!$A$2:$A$6,MATCH(C1459,parametros!$B$2:$B$6,0)),"")&lt;&gt;"Sim","Nao",IF(IFERROR(INDEX(parametros!$H$2:$H$6,MATCH(C1459,parametros!$B$2:$B$6,0)),"")="","",IF(B1459&gt;=IFERROR(INDEX(parametros!$H$2:$H$6,MATCH(C1459,parametros!$B$2:$B$6,0)),""),"Sim","Nao"))))))</f>
        <v/>
      </c>
      <c r="T1459" s="156"/>
      <c r="U1459" s="214" t="str">
        <f t="shared" si="116"/>
        <v/>
      </c>
      <c r="V1459" s="212" t="s">
        <v>50</v>
      </c>
      <c r="W1459" s="100" t="s">
        <v>168</v>
      </c>
      <c r="X1459" s="100" t="s">
        <v>169</v>
      </c>
      <c r="Y1459" s="101" t="s">
        <v>170</v>
      </c>
      <c r="Z1459" s="101" t="s">
        <v>171</v>
      </c>
      <c r="AA1459" s="101" t="s">
        <v>50</v>
      </c>
      <c r="AB1459" s="101" t="s">
        <v>172</v>
      </c>
      <c r="AC1459" s="102" t="s">
        <v>173</v>
      </c>
    </row>
    <row r="1460" spans="1:29" ht="25.5" customHeight="1" x14ac:dyDescent="0.35">
      <c r="A1460" s="392"/>
      <c r="B1460" s="393"/>
      <c r="C1460" s="99" t="str">
        <f>IF(B1460="","",IF(NOT(ISNUMBER(B1460)),"DATA_PC invalida",IF(NOT(ISNUMBER(parametros!$C$2)),"Fora dos ciclos",IF(OR(B1460&lt;parametros!$C$2,(YEAR(B1460)-YEAR(parametros!$C$2))*12+MONTH(B1460)-MONTH(parametros!$C$2)&gt;59),"Fora dos ciclos","C"&amp;INT(((YEAR(B1460)-YEAR(parametros!$C$2))*12+MONTH(B1460)-MONTH(parametros!$C$2))/12)))))</f>
        <v/>
      </c>
      <c r="D1460" s="394"/>
      <c r="E1460" s="78" t="str">
        <f>IF(C1460="","",IFERROR(VLOOKUP(C1460,parametros!$A$11:$E$15,5,0),""))</f>
        <v/>
      </c>
      <c r="F1460" s="79" t="str">
        <f t="shared" si="112"/>
        <v/>
      </c>
      <c r="G1460" s="395"/>
      <c r="H1460" s="91">
        <f t="shared" si="113"/>
        <v>0</v>
      </c>
      <c r="I1460" s="91" t="str">
        <f t="shared" si="114"/>
        <v/>
      </c>
      <c r="J1460" s="91" t="str">
        <f t="shared" si="115"/>
        <v/>
      </c>
      <c r="K1460" s="92" t="str">
        <f>IF(AND(A1460="",B1460="",D1460="",G1460=""),"",IF(AND(A1460&lt;&gt;"",COUNTIF($A$2:$A$5001,A1460)&gt;1),"NUMERO_PC duplicado",IF(B1460="","DATA_PC vazia",IF(NOT(ISNUMBER(B1460)),"DATA_PC invalida",IF(OR(C1460="",C1460="Fora dos ciclos"),"CICLO_PC nao identificado",IF(OR(D1460="",D1460=0),"VALOR_PC vazio ou zero",IF(AND(G1460&lt;&gt;"Sim",G1460&lt;&gt;"Nao",G1460&lt;&gt;""),"PC_PAGO_A_CONTRATADA invalido",IF(AND(C1460&lt;&gt;"C0",IFERROR(INDEX(parametros!$A$2:$A$6,MATCH(C1460,parametros!$B$2:$B$6,0)),"")="Sim",IFERROR(INDEX(parametros!$H$2:$H$6,MATCH(C1460,parametros!$B$2:$B$6,0)),"")=""),"INICIO_EFEITO ausente: PC "&amp;A1460&amp;" - "&amp;C1460,IF(L1460="","EFEITO_PC nao calculado: PC "&amp;A1460&amp;" - "&amp;C1460,"OK")))))))))</f>
        <v/>
      </c>
      <c r="L1460" s="92" t="str">
        <f>IF(AND(A1460="",B1460="",D1460="",G1460=""),"",IF(OR(B1460="",NOT(ISNUMBER(B1460)),C1460="",C1460="Fora dos ciclos"),"",IF(C1460="C0","Nao",IF(IFERROR(INDEX(parametros!$A$2:$A$6,MATCH(C1460,parametros!$B$2:$B$6,0)),"")&lt;&gt;"Sim","Nao",IF(IFERROR(INDEX(parametros!$H$2:$H$6,MATCH(C1460,parametros!$B$2:$B$6,0)),"")="","",IF(B1460&gt;=IFERROR(INDEX(parametros!$H$2:$H$6,MATCH(C1460,parametros!$B$2:$B$6,0)),""),"Sim","Nao"))))))</f>
        <v/>
      </c>
      <c r="T1460" s="156"/>
      <c r="U1460" s="214" t="str">
        <f t="shared" si="116"/>
        <v/>
      </c>
      <c r="V1460" s="212" t="s">
        <v>50</v>
      </c>
      <c r="W1460" s="100" t="s">
        <v>168</v>
      </c>
      <c r="X1460" s="100" t="s">
        <v>169</v>
      </c>
      <c r="Y1460" s="101" t="s">
        <v>170</v>
      </c>
      <c r="Z1460" s="101" t="s">
        <v>171</v>
      </c>
      <c r="AA1460" s="101" t="s">
        <v>50</v>
      </c>
      <c r="AB1460" s="101" t="s">
        <v>172</v>
      </c>
      <c r="AC1460" s="102" t="s">
        <v>173</v>
      </c>
    </row>
    <row r="1461" spans="1:29" ht="25.5" customHeight="1" x14ac:dyDescent="0.35">
      <c r="A1461" s="392"/>
      <c r="B1461" s="393"/>
      <c r="C1461" s="99" t="str">
        <f>IF(B1461="","",IF(NOT(ISNUMBER(B1461)),"DATA_PC invalida",IF(NOT(ISNUMBER(parametros!$C$2)),"Fora dos ciclos",IF(OR(B1461&lt;parametros!$C$2,(YEAR(B1461)-YEAR(parametros!$C$2))*12+MONTH(B1461)-MONTH(parametros!$C$2)&gt;59),"Fora dos ciclos","C"&amp;INT(((YEAR(B1461)-YEAR(parametros!$C$2))*12+MONTH(B1461)-MONTH(parametros!$C$2))/12)))))</f>
        <v/>
      </c>
      <c r="D1461" s="394"/>
      <c r="E1461" s="78" t="str">
        <f>IF(C1461="","",IFERROR(VLOOKUP(C1461,parametros!$A$11:$E$15,5,0),""))</f>
        <v/>
      </c>
      <c r="F1461" s="79" t="str">
        <f t="shared" si="112"/>
        <v/>
      </c>
      <c r="G1461" s="395"/>
      <c r="H1461" s="91">
        <f t="shared" si="113"/>
        <v>0</v>
      </c>
      <c r="I1461" s="91" t="str">
        <f t="shared" si="114"/>
        <v/>
      </c>
      <c r="J1461" s="91" t="str">
        <f t="shared" si="115"/>
        <v/>
      </c>
      <c r="K1461" s="92" t="str">
        <f>IF(AND(A1461="",B1461="",D1461="",G1461=""),"",IF(AND(A1461&lt;&gt;"",COUNTIF($A$2:$A$5001,A1461)&gt;1),"NUMERO_PC duplicado",IF(B1461="","DATA_PC vazia",IF(NOT(ISNUMBER(B1461)),"DATA_PC invalida",IF(OR(C1461="",C1461="Fora dos ciclos"),"CICLO_PC nao identificado",IF(OR(D1461="",D1461=0),"VALOR_PC vazio ou zero",IF(AND(G1461&lt;&gt;"Sim",G1461&lt;&gt;"Nao",G1461&lt;&gt;""),"PC_PAGO_A_CONTRATADA invalido",IF(AND(C1461&lt;&gt;"C0",IFERROR(INDEX(parametros!$A$2:$A$6,MATCH(C1461,parametros!$B$2:$B$6,0)),"")="Sim",IFERROR(INDEX(parametros!$H$2:$H$6,MATCH(C1461,parametros!$B$2:$B$6,0)),"")=""),"INICIO_EFEITO ausente: PC "&amp;A1461&amp;" - "&amp;C1461,IF(L1461="","EFEITO_PC nao calculado: PC "&amp;A1461&amp;" - "&amp;C1461,"OK")))))))))</f>
        <v/>
      </c>
      <c r="L1461" s="92" t="str">
        <f>IF(AND(A1461="",B1461="",D1461="",G1461=""),"",IF(OR(B1461="",NOT(ISNUMBER(B1461)),C1461="",C1461="Fora dos ciclos"),"",IF(C1461="C0","Nao",IF(IFERROR(INDEX(parametros!$A$2:$A$6,MATCH(C1461,parametros!$B$2:$B$6,0)),"")&lt;&gt;"Sim","Nao",IF(IFERROR(INDEX(parametros!$H$2:$H$6,MATCH(C1461,parametros!$B$2:$B$6,0)),"")="","",IF(B1461&gt;=IFERROR(INDEX(parametros!$H$2:$H$6,MATCH(C1461,parametros!$B$2:$B$6,0)),""),"Sim","Nao"))))))</f>
        <v/>
      </c>
      <c r="T1461" s="156"/>
      <c r="U1461" s="214" t="str">
        <f t="shared" si="116"/>
        <v/>
      </c>
      <c r="V1461" s="212" t="s">
        <v>50</v>
      </c>
      <c r="W1461" s="100" t="s">
        <v>168</v>
      </c>
      <c r="X1461" s="100" t="s">
        <v>169</v>
      </c>
      <c r="Y1461" s="101" t="s">
        <v>170</v>
      </c>
      <c r="Z1461" s="101" t="s">
        <v>171</v>
      </c>
      <c r="AA1461" s="101" t="s">
        <v>50</v>
      </c>
      <c r="AB1461" s="101" t="s">
        <v>172</v>
      </c>
      <c r="AC1461" s="102" t="s">
        <v>173</v>
      </c>
    </row>
    <row r="1462" spans="1:29" ht="25.5" customHeight="1" x14ac:dyDescent="0.35">
      <c r="A1462" s="392"/>
      <c r="B1462" s="393"/>
      <c r="C1462" s="99" t="str">
        <f>IF(B1462="","",IF(NOT(ISNUMBER(B1462)),"DATA_PC invalida",IF(NOT(ISNUMBER(parametros!$C$2)),"Fora dos ciclos",IF(OR(B1462&lt;parametros!$C$2,(YEAR(B1462)-YEAR(parametros!$C$2))*12+MONTH(B1462)-MONTH(parametros!$C$2)&gt;59),"Fora dos ciclos","C"&amp;INT(((YEAR(B1462)-YEAR(parametros!$C$2))*12+MONTH(B1462)-MONTH(parametros!$C$2))/12)))))</f>
        <v/>
      </c>
      <c r="D1462" s="394"/>
      <c r="E1462" s="78" t="str">
        <f>IF(C1462="","",IFERROR(VLOOKUP(C1462,parametros!$A$11:$E$15,5,0),""))</f>
        <v/>
      </c>
      <c r="F1462" s="79" t="str">
        <f t="shared" si="112"/>
        <v/>
      </c>
      <c r="G1462" s="395"/>
      <c r="H1462" s="91">
        <f t="shared" si="113"/>
        <v>0</v>
      </c>
      <c r="I1462" s="91" t="str">
        <f t="shared" si="114"/>
        <v/>
      </c>
      <c r="J1462" s="91" t="str">
        <f t="shared" si="115"/>
        <v/>
      </c>
      <c r="K1462" s="92" t="str">
        <f>IF(AND(A1462="",B1462="",D1462="",G1462=""),"",IF(AND(A1462&lt;&gt;"",COUNTIF($A$2:$A$5001,A1462)&gt;1),"NUMERO_PC duplicado",IF(B1462="","DATA_PC vazia",IF(NOT(ISNUMBER(B1462)),"DATA_PC invalida",IF(OR(C1462="",C1462="Fora dos ciclos"),"CICLO_PC nao identificado",IF(OR(D1462="",D1462=0),"VALOR_PC vazio ou zero",IF(AND(G1462&lt;&gt;"Sim",G1462&lt;&gt;"Nao",G1462&lt;&gt;""),"PC_PAGO_A_CONTRATADA invalido",IF(AND(C1462&lt;&gt;"C0",IFERROR(INDEX(parametros!$A$2:$A$6,MATCH(C1462,parametros!$B$2:$B$6,0)),"")="Sim",IFERROR(INDEX(parametros!$H$2:$H$6,MATCH(C1462,parametros!$B$2:$B$6,0)),"")=""),"INICIO_EFEITO ausente: PC "&amp;A1462&amp;" - "&amp;C1462,IF(L1462="","EFEITO_PC nao calculado: PC "&amp;A1462&amp;" - "&amp;C1462,"OK")))))))))</f>
        <v/>
      </c>
      <c r="L1462" s="92" t="str">
        <f>IF(AND(A1462="",B1462="",D1462="",G1462=""),"",IF(OR(B1462="",NOT(ISNUMBER(B1462)),C1462="",C1462="Fora dos ciclos"),"",IF(C1462="C0","Nao",IF(IFERROR(INDEX(parametros!$A$2:$A$6,MATCH(C1462,parametros!$B$2:$B$6,0)),"")&lt;&gt;"Sim","Nao",IF(IFERROR(INDEX(parametros!$H$2:$H$6,MATCH(C1462,parametros!$B$2:$B$6,0)),"")="","",IF(B1462&gt;=IFERROR(INDEX(parametros!$H$2:$H$6,MATCH(C1462,parametros!$B$2:$B$6,0)),""),"Sim","Nao"))))))</f>
        <v/>
      </c>
      <c r="T1462" s="156"/>
      <c r="U1462" s="214" t="str">
        <f t="shared" si="116"/>
        <v/>
      </c>
      <c r="V1462" s="212" t="s">
        <v>50</v>
      </c>
      <c r="W1462" s="100" t="s">
        <v>168</v>
      </c>
      <c r="X1462" s="100" t="s">
        <v>169</v>
      </c>
      <c r="Y1462" s="101" t="s">
        <v>170</v>
      </c>
      <c r="Z1462" s="101" t="s">
        <v>171</v>
      </c>
      <c r="AA1462" s="101" t="s">
        <v>50</v>
      </c>
      <c r="AB1462" s="101" t="s">
        <v>172</v>
      </c>
      <c r="AC1462" s="102" t="s">
        <v>173</v>
      </c>
    </row>
    <row r="1463" spans="1:29" ht="25.5" customHeight="1" x14ac:dyDescent="0.35">
      <c r="A1463" s="392"/>
      <c r="B1463" s="393"/>
      <c r="C1463" s="99" t="str">
        <f>IF(B1463="","",IF(NOT(ISNUMBER(B1463)),"DATA_PC invalida",IF(NOT(ISNUMBER(parametros!$C$2)),"Fora dos ciclos",IF(OR(B1463&lt;parametros!$C$2,(YEAR(B1463)-YEAR(parametros!$C$2))*12+MONTH(B1463)-MONTH(parametros!$C$2)&gt;59),"Fora dos ciclos","C"&amp;INT(((YEAR(B1463)-YEAR(parametros!$C$2))*12+MONTH(B1463)-MONTH(parametros!$C$2))/12)))))</f>
        <v/>
      </c>
      <c r="D1463" s="394"/>
      <c r="E1463" s="78" t="str">
        <f>IF(C1463="","",IFERROR(VLOOKUP(C1463,parametros!$A$11:$E$15,5,0),""))</f>
        <v/>
      </c>
      <c r="F1463" s="79" t="str">
        <f t="shared" si="112"/>
        <v/>
      </c>
      <c r="G1463" s="395"/>
      <c r="H1463" s="91">
        <f t="shared" si="113"/>
        <v>0</v>
      </c>
      <c r="I1463" s="91" t="str">
        <f t="shared" si="114"/>
        <v/>
      </c>
      <c r="J1463" s="91" t="str">
        <f t="shared" si="115"/>
        <v/>
      </c>
      <c r="K1463" s="92" t="str">
        <f>IF(AND(A1463="",B1463="",D1463="",G1463=""),"",IF(AND(A1463&lt;&gt;"",COUNTIF($A$2:$A$5001,A1463)&gt;1),"NUMERO_PC duplicado",IF(B1463="","DATA_PC vazia",IF(NOT(ISNUMBER(B1463)),"DATA_PC invalida",IF(OR(C1463="",C1463="Fora dos ciclos"),"CICLO_PC nao identificado",IF(OR(D1463="",D1463=0),"VALOR_PC vazio ou zero",IF(AND(G1463&lt;&gt;"Sim",G1463&lt;&gt;"Nao",G1463&lt;&gt;""),"PC_PAGO_A_CONTRATADA invalido",IF(AND(C1463&lt;&gt;"C0",IFERROR(INDEX(parametros!$A$2:$A$6,MATCH(C1463,parametros!$B$2:$B$6,0)),"")="Sim",IFERROR(INDEX(parametros!$H$2:$H$6,MATCH(C1463,parametros!$B$2:$B$6,0)),"")=""),"INICIO_EFEITO ausente: PC "&amp;A1463&amp;" - "&amp;C1463,IF(L1463="","EFEITO_PC nao calculado: PC "&amp;A1463&amp;" - "&amp;C1463,"OK")))))))))</f>
        <v/>
      </c>
      <c r="L1463" s="92" t="str">
        <f>IF(AND(A1463="",B1463="",D1463="",G1463=""),"",IF(OR(B1463="",NOT(ISNUMBER(B1463)),C1463="",C1463="Fora dos ciclos"),"",IF(C1463="C0","Nao",IF(IFERROR(INDEX(parametros!$A$2:$A$6,MATCH(C1463,parametros!$B$2:$B$6,0)),"")&lt;&gt;"Sim","Nao",IF(IFERROR(INDEX(parametros!$H$2:$H$6,MATCH(C1463,parametros!$B$2:$B$6,0)),"")="","",IF(B1463&gt;=IFERROR(INDEX(parametros!$H$2:$H$6,MATCH(C1463,parametros!$B$2:$B$6,0)),""),"Sim","Nao"))))))</f>
        <v/>
      </c>
      <c r="T1463" s="156"/>
      <c r="U1463" s="214" t="str">
        <f t="shared" si="116"/>
        <v/>
      </c>
      <c r="V1463" s="212" t="s">
        <v>50</v>
      </c>
      <c r="W1463" s="100" t="s">
        <v>168</v>
      </c>
      <c r="X1463" s="100" t="s">
        <v>169</v>
      </c>
      <c r="Y1463" s="101" t="s">
        <v>170</v>
      </c>
      <c r="Z1463" s="101" t="s">
        <v>171</v>
      </c>
      <c r="AA1463" s="101" t="s">
        <v>50</v>
      </c>
      <c r="AB1463" s="101" t="s">
        <v>172</v>
      </c>
      <c r="AC1463" s="102" t="s">
        <v>173</v>
      </c>
    </row>
    <row r="1464" spans="1:29" ht="25.5" customHeight="1" x14ac:dyDescent="0.35">
      <c r="A1464" s="392"/>
      <c r="B1464" s="393"/>
      <c r="C1464" s="99" t="str">
        <f>IF(B1464="","",IF(NOT(ISNUMBER(B1464)),"DATA_PC invalida",IF(NOT(ISNUMBER(parametros!$C$2)),"Fora dos ciclos",IF(OR(B1464&lt;parametros!$C$2,(YEAR(B1464)-YEAR(parametros!$C$2))*12+MONTH(B1464)-MONTH(parametros!$C$2)&gt;59),"Fora dos ciclos","C"&amp;INT(((YEAR(B1464)-YEAR(parametros!$C$2))*12+MONTH(B1464)-MONTH(parametros!$C$2))/12)))))</f>
        <v/>
      </c>
      <c r="D1464" s="394"/>
      <c r="E1464" s="78" t="str">
        <f>IF(C1464="","",IFERROR(VLOOKUP(C1464,parametros!$A$11:$E$15,5,0),""))</f>
        <v/>
      </c>
      <c r="F1464" s="79" t="str">
        <f t="shared" si="112"/>
        <v/>
      </c>
      <c r="G1464" s="395"/>
      <c r="H1464" s="91">
        <f t="shared" si="113"/>
        <v>0</v>
      </c>
      <c r="I1464" s="91" t="str">
        <f t="shared" si="114"/>
        <v/>
      </c>
      <c r="J1464" s="91" t="str">
        <f t="shared" si="115"/>
        <v/>
      </c>
      <c r="K1464" s="92" t="str">
        <f>IF(AND(A1464="",B1464="",D1464="",G1464=""),"",IF(AND(A1464&lt;&gt;"",COUNTIF($A$2:$A$5001,A1464)&gt;1),"NUMERO_PC duplicado",IF(B1464="","DATA_PC vazia",IF(NOT(ISNUMBER(B1464)),"DATA_PC invalida",IF(OR(C1464="",C1464="Fora dos ciclos"),"CICLO_PC nao identificado",IF(OR(D1464="",D1464=0),"VALOR_PC vazio ou zero",IF(AND(G1464&lt;&gt;"Sim",G1464&lt;&gt;"Nao",G1464&lt;&gt;""),"PC_PAGO_A_CONTRATADA invalido",IF(AND(C1464&lt;&gt;"C0",IFERROR(INDEX(parametros!$A$2:$A$6,MATCH(C1464,parametros!$B$2:$B$6,0)),"")="Sim",IFERROR(INDEX(parametros!$H$2:$H$6,MATCH(C1464,parametros!$B$2:$B$6,0)),"")=""),"INICIO_EFEITO ausente: PC "&amp;A1464&amp;" - "&amp;C1464,IF(L1464="","EFEITO_PC nao calculado: PC "&amp;A1464&amp;" - "&amp;C1464,"OK")))))))))</f>
        <v/>
      </c>
      <c r="L1464" s="92" t="str">
        <f>IF(AND(A1464="",B1464="",D1464="",G1464=""),"",IF(OR(B1464="",NOT(ISNUMBER(B1464)),C1464="",C1464="Fora dos ciclos"),"",IF(C1464="C0","Nao",IF(IFERROR(INDEX(parametros!$A$2:$A$6,MATCH(C1464,parametros!$B$2:$B$6,0)),"")&lt;&gt;"Sim","Nao",IF(IFERROR(INDEX(parametros!$H$2:$H$6,MATCH(C1464,parametros!$B$2:$B$6,0)),"")="","",IF(B1464&gt;=IFERROR(INDEX(parametros!$H$2:$H$6,MATCH(C1464,parametros!$B$2:$B$6,0)),""),"Sim","Nao"))))))</f>
        <v/>
      </c>
      <c r="T1464" s="156"/>
      <c r="U1464" s="214" t="str">
        <f t="shared" si="116"/>
        <v/>
      </c>
      <c r="V1464" s="212" t="s">
        <v>50</v>
      </c>
      <c r="W1464" s="100" t="s">
        <v>168</v>
      </c>
      <c r="X1464" s="100" t="s">
        <v>169</v>
      </c>
      <c r="Y1464" s="101" t="s">
        <v>170</v>
      </c>
      <c r="Z1464" s="101" t="s">
        <v>171</v>
      </c>
      <c r="AA1464" s="101" t="s">
        <v>50</v>
      </c>
      <c r="AB1464" s="101" t="s">
        <v>172</v>
      </c>
      <c r="AC1464" s="102" t="s">
        <v>173</v>
      </c>
    </row>
    <row r="1465" spans="1:29" ht="25.5" customHeight="1" x14ac:dyDescent="0.35">
      <c r="A1465" s="392"/>
      <c r="B1465" s="393"/>
      <c r="C1465" s="99" t="str">
        <f>IF(B1465="","",IF(NOT(ISNUMBER(B1465)),"DATA_PC invalida",IF(NOT(ISNUMBER(parametros!$C$2)),"Fora dos ciclos",IF(OR(B1465&lt;parametros!$C$2,(YEAR(B1465)-YEAR(parametros!$C$2))*12+MONTH(B1465)-MONTH(parametros!$C$2)&gt;59),"Fora dos ciclos","C"&amp;INT(((YEAR(B1465)-YEAR(parametros!$C$2))*12+MONTH(B1465)-MONTH(parametros!$C$2))/12)))))</f>
        <v/>
      </c>
      <c r="D1465" s="394"/>
      <c r="E1465" s="78" t="str">
        <f>IF(C1465="","",IFERROR(VLOOKUP(C1465,parametros!$A$11:$E$15,5,0),""))</f>
        <v/>
      </c>
      <c r="F1465" s="79" t="str">
        <f t="shared" si="112"/>
        <v/>
      </c>
      <c r="G1465" s="395"/>
      <c r="H1465" s="91">
        <f t="shared" si="113"/>
        <v>0</v>
      </c>
      <c r="I1465" s="91" t="str">
        <f t="shared" si="114"/>
        <v/>
      </c>
      <c r="J1465" s="91" t="str">
        <f t="shared" si="115"/>
        <v/>
      </c>
      <c r="K1465" s="92" t="str">
        <f>IF(AND(A1465="",B1465="",D1465="",G1465=""),"",IF(AND(A1465&lt;&gt;"",COUNTIF($A$2:$A$5001,A1465)&gt;1),"NUMERO_PC duplicado",IF(B1465="","DATA_PC vazia",IF(NOT(ISNUMBER(B1465)),"DATA_PC invalida",IF(OR(C1465="",C1465="Fora dos ciclos"),"CICLO_PC nao identificado",IF(OR(D1465="",D1465=0),"VALOR_PC vazio ou zero",IF(AND(G1465&lt;&gt;"Sim",G1465&lt;&gt;"Nao",G1465&lt;&gt;""),"PC_PAGO_A_CONTRATADA invalido",IF(AND(C1465&lt;&gt;"C0",IFERROR(INDEX(parametros!$A$2:$A$6,MATCH(C1465,parametros!$B$2:$B$6,0)),"")="Sim",IFERROR(INDEX(parametros!$H$2:$H$6,MATCH(C1465,parametros!$B$2:$B$6,0)),"")=""),"INICIO_EFEITO ausente: PC "&amp;A1465&amp;" - "&amp;C1465,IF(L1465="","EFEITO_PC nao calculado: PC "&amp;A1465&amp;" - "&amp;C1465,"OK")))))))))</f>
        <v/>
      </c>
      <c r="L1465" s="92" t="str">
        <f>IF(AND(A1465="",B1465="",D1465="",G1465=""),"",IF(OR(B1465="",NOT(ISNUMBER(B1465)),C1465="",C1465="Fora dos ciclos"),"",IF(C1465="C0","Nao",IF(IFERROR(INDEX(parametros!$A$2:$A$6,MATCH(C1465,parametros!$B$2:$B$6,0)),"")&lt;&gt;"Sim","Nao",IF(IFERROR(INDEX(parametros!$H$2:$H$6,MATCH(C1465,parametros!$B$2:$B$6,0)),"")="","",IF(B1465&gt;=IFERROR(INDEX(parametros!$H$2:$H$6,MATCH(C1465,parametros!$B$2:$B$6,0)),""),"Sim","Nao"))))))</f>
        <v/>
      </c>
      <c r="T1465" s="156"/>
      <c r="U1465" s="214" t="str">
        <f t="shared" si="116"/>
        <v/>
      </c>
      <c r="V1465" s="212" t="s">
        <v>50</v>
      </c>
      <c r="W1465" s="100" t="s">
        <v>168</v>
      </c>
      <c r="X1465" s="100" t="s">
        <v>169</v>
      </c>
      <c r="Y1465" s="101" t="s">
        <v>170</v>
      </c>
      <c r="Z1465" s="101" t="s">
        <v>171</v>
      </c>
      <c r="AA1465" s="101" t="s">
        <v>50</v>
      </c>
      <c r="AB1465" s="101" t="s">
        <v>172</v>
      </c>
      <c r="AC1465" s="102" t="s">
        <v>173</v>
      </c>
    </row>
    <row r="1466" spans="1:29" ht="25.5" customHeight="1" x14ac:dyDescent="0.35">
      <c r="A1466" s="392"/>
      <c r="B1466" s="393"/>
      <c r="C1466" s="99" t="str">
        <f>IF(B1466="","",IF(NOT(ISNUMBER(B1466)),"DATA_PC invalida",IF(NOT(ISNUMBER(parametros!$C$2)),"Fora dos ciclos",IF(OR(B1466&lt;parametros!$C$2,(YEAR(B1466)-YEAR(parametros!$C$2))*12+MONTH(B1466)-MONTH(parametros!$C$2)&gt;59),"Fora dos ciclos","C"&amp;INT(((YEAR(B1466)-YEAR(parametros!$C$2))*12+MONTH(B1466)-MONTH(parametros!$C$2))/12)))))</f>
        <v/>
      </c>
      <c r="D1466" s="394"/>
      <c r="E1466" s="78" t="str">
        <f>IF(C1466="","",IFERROR(VLOOKUP(C1466,parametros!$A$11:$E$15,5,0),""))</f>
        <v/>
      </c>
      <c r="F1466" s="79" t="str">
        <f t="shared" si="112"/>
        <v/>
      </c>
      <c r="G1466" s="395"/>
      <c r="H1466" s="91">
        <f t="shared" si="113"/>
        <v>0</v>
      </c>
      <c r="I1466" s="91" t="str">
        <f t="shared" si="114"/>
        <v/>
      </c>
      <c r="J1466" s="91" t="str">
        <f t="shared" si="115"/>
        <v/>
      </c>
      <c r="K1466" s="92" t="str">
        <f>IF(AND(A1466="",B1466="",D1466="",G1466=""),"",IF(AND(A1466&lt;&gt;"",COUNTIF($A$2:$A$5001,A1466)&gt;1),"NUMERO_PC duplicado",IF(B1466="","DATA_PC vazia",IF(NOT(ISNUMBER(B1466)),"DATA_PC invalida",IF(OR(C1466="",C1466="Fora dos ciclos"),"CICLO_PC nao identificado",IF(OR(D1466="",D1466=0),"VALOR_PC vazio ou zero",IF(AND(G1466&lt;&gt;"Sim",G1466&lt;&gt;"Nao",G1466&lt;&gt;""),"PC_PAGO_A_CONTRATADA invalido",IF(AND(C1466&lt;&gt;"C0",IFERROR(INDEX(parametros!$A$2:$A$6,MATCH(C1466,parametros!$B$2:$B$6,0)),"")="Sim",IFERROR(INDEX(parametros!$H$2:$H$6,MATCH(C1466,parametros!$B$2:$B$6,0)),"")=""),"INICIO_EFEITO ausente: PC "&amp;A1466&amp;" - "&amp;C1466,IF(L1466="","EFEITO_PC nao calculado: PC "&amp;A1466&amp;" - "&amp;C1466,"OK")))))))))</f>
        <v/>
      </c>
      <c r="L1466" s="92" t="str">
        <f>IF(AND(A1466="",B1466="",D1466="",G1466=""),"",IF(OR(B1466="",NOT(ISNUMBER(B1466)),C1466="",C1466="Fora dos ciclos"),"",IF(C1466="C0","Nao",IF(IFERROR(INDEX(parametros!$A$2:$A$6,MATCH(C1466,parametros!$B$2:$B$6,0)),"")&lt;&gt;"Sim","Nao",IF(IFERROR(INDEX(parametros!$H$2:$H$6,MATCH(C1466,parametros!$B$2:$B$6,0)),"")="","",IF(B1466&gt;=IFERROR(INDEX(parametros!$H$2:$H$6,MATCH(C1466,parametros!$B$2:$B$6,0)),""),"Sim","Nao"))))))</f>
        <v/>
      </c>
      <c r="T1466" s="156"/>
      <c r="U1466" s="214" t="str">
        <f t="shared" si="116"/>
        <v/>
      </c>
      <c r="V1466" s="212" t="s">
        <v>50</v>
      </c>
      <c r="W1466" s="100" t="s">
        <v>168</v>
      </c>
      <c r="X1466" s="100" t="s">
        <v>169</v>
      </c>
      <c r="Y1466" s="101" t="s">
        <v>170</v>
      </c>
      <c r="Z1466" s="101" t="s">
        <v>171</v>
      </c>
      <c r="AA1466" s="101" t="s">
        <v>50</v>
      </c>
      <c r="AB1466" s="101" t="s">
        <v>172</v>
      </c>
      <c r="AC1466" s="102" t="s">
        <v>173</v>
      </c>
    </row>
    <row r="1467" spans="1:29" ht="25.5" customHeight="1" x14ac:dyDescent="0.35">
      <c r="A1467" s="392"/>
      <c r="B1467" s="393"/>
      <c r="C1467" s="99" t="str">
        <f>IF(B1467="","",IF(NOT(ISNUMBER(B1467)),"DATA_PC invalida",IF(NOT(ISNUMBER(parametros!$C$2)),"Fora dos ciclos",IF(OR(B1467&lt;parametros!$C$2,(YEAR(B1467)-YEAR(parametros!$C$2))*12+MONTH(B1467)-MONTH(parametros!$C$2)&gt;59),"Fora dos ciclos","C"&amp;INT(((YEAR(B1467)-YEAR(parametros!$C$2))*12+MONTH(B1467)-MONTH(parametros!$C$2))/12)))))</f>
        <v/>
      </c>
      <c r="D1467" s="394"/>
      <c r="E1467" s="78" t="str">
        <f>IF(C1467="","",IFERROR(VLOOKUP(C1467,parametros!$A$11:$E$15,5,0),""))</f>
        <v/>
      </c>
      <c r="F1467" s="79" t="str">
        <f t="shared" si="112"/>
        <v/>
      </c>
      <c r="G1467" s="395"/>
      <c r="H1467" s="91">
        <f t="shared" si="113"/>
        <v>0</v>
      </c>
      <c r="I1467" s="91" t="str">
        <f t="shared" si="114"/>
        <v/>
      </c>
      <c r="J1467" s="91" t="str">
        <f t="shared" si="115"/>
        <v/>
      </c>
      <c r="K1467" s="92" t="str">
        <f>IF(AND(A1467="",B1467="",D1467="",G1467=""),"",IF(AND(A1467&lt;&gt;"",COUNTIF($A$2:$A$5001,A1467)&gt;1),"NUMERO_PC duplicado",IF(B1467="","DATA_PC vazia",IF(NOT(ISNUMBER(B1467)),"DATA_PC invalida",IF(OR(C1467="",C1467="Fora dos ciclos"),"CICLO_PC nao identificado",IF(OR(D1467="",D1467=0),"VALOR_PC vazio ou zero",IF(AND(G1467&lt;&gt;"Sim",G1467&lt;&gt;"Nao",G1467&lt;&gt;""),"PC_PAGO_A_CONTRATADA invalido",IF(AND(C1467&lt;&gt;"C0",IFERROR(INDEX(parametros!$A$2:$A$6,MATCH(C1467,parametros!$B$2:$B$6,0)),"")="Sim",IFERROR(INDEX(parametros!$H$2:$H$6,MATCH(C1467,parametros!$B$2:$B$6,0)),"")=""),"INICIO_EFEITO ausente: PC "&amp;A1467&amp;" - "&amp;C1467,IF(L1467="","EFEITO_PC nao calculado: PC "&amp;A1467&amp;" - "&amp;C1467,"OK")))))))))</f>
        <v/>
      </c>
      <c r="L1467" s="92" t="str">
        <f>IF(AND(A1467="",B1467="",D1467="",G1467=""),"",IF(OR(B1467="",NOT(ISNUMBER(B1467)),C1467="",C1467="Fora dos ciclos"),"",IF(C1467="C0","Nao",IF(IFERROR(INDEX(parametros!$A$2:$A$6,MATCH(C1467,parametros!$B$2:$B$6,0)),"")&lt;&gt;"Sim","Nao",IF(IFERROR(INDEX(parametros!$H$2:$H$6,MATCH(C1467,parametros!$B$2:$B$6,0)),"")="","",IF(B1467&gt;=IFERROR(INDEX(parametros!$H$2:$H$6,MATCH(C1467,parametros!$B$2:$B$6,0)),""),"Sim","Nao"))))))</f>
        <v/>
      </c>
      <c r="T1467" s="156"/>
      <c r="U1467" s="214" t="str">
        <f t="shared" si="116"/>
        <v/>
      </c>
      <c r="V1467" s="212" t="s">
        <v>50</v>
      </c>
      <c r="W1467" s="100" t="s">
        <v>168</v>
      </c>
      <c r="X1467" s="100" t="s">
        <v>169</v>
      </c>
      <c r="Y1467" s="101" t="s">
        <v>170</v>
      </c>
      <c r="Z1467" s="101" t="s">
        <v>171</v>
      </c>
      <c r="AA1467" s="101" t="s">
        <v>50</v>
      </c>
      <c r="AB1467" s="101" t="s">
        <v>172</v>
      </c>
      <c r="AC1467" s="102" t="s">
        <v>173</v>
      </c>
    </row>
    <row r="1468" spans="1:29" ht="25.5" customHeight="1" x14ac:dyDescent="0.35">
      <c r="A1468" s="392"/>
      <c r="B1468" s="393"/>
      <c r="C1468" s="99" t="str">
        <f>IF(B1468="","",IF(NOT(ISNUMBER(B1468)),"DATA_PC invalida",IF(NOT(ISNUMBER(parametros!$C$2)),"Fora dos ciclos",IF(OR(B1468&lt;parametros!$C$2,(YEAR(B1468)-YEAR(parametros!$C$2))*12+MONTH(B1468)-MONTH(parametros!$C$2)&gt;59),"Fora dos ciclos","C"&amp;INT(((YEAR(B1468)-YEAR(parametros!$C$2))*12+MONTH(B1468)-MONTH(parametros!$C$2))/12)))))</f>
        <v/>
      </c>
      <c r="D1468" s="394"/>
      <c r="E1468" s="78" t="str">
        <f>IF(C1468="","",IFERROR(VLOOKUP(C1468,parametros!$A$11:$E$15,5,0),""))</f>
        <v/>
      </c>
      <c r="F1468" s="79" t="str">
        <f t="shared" si="112"/>
        <v/>
      </c>
      <c r="G1468" s="395"/>
      <c r="H1468" s="91">
        <f t="shared" si="113"/>
        <v>0</v>
      </c>
      <c r="I1468" s="91" t="str">
        <f t="shared" si="114"/>
        <v/>
      </c>
      <c r="J1468" s="91" t="str">
        <f t="shared" si="115"/>
        <v/>
      </c>
      <c r="K1468" s="92" t="str">
        <f>IF(AND(A1468="",B1468="",D1468="",G1468=""),"",IF(AND(A1468&lt;&gt;"",COUNTIF($A$2:$A$5001,A1468)&gt;1),"NUMERO_PC duplicado",IF(B1468="","DATA_PC vazia",IF(NOT(ISNUMBER(B1468)),"DATA_PC invalida",IF(OR(C1468="",C1468="Fora dos ciclos"),"CICLO_PC nao identificado",IF(OR(D1468="",D1468=0),"VALOR_PC vazio ou zero",IF(AND(G1468&lt;&gt;"Sim",G1468&lt;&gt;"Nao",G1468&lt;&gt;""),"PC_PAGO_A_CONTRATADA invalido",IF(AND(C1468&lt;&gt;"C0",IFERROR(INDEX(parametros!$A$2:$A$6,MATCH(C1468,parametros!$B$2:$B$6,0)),"")="Sim",IFERROR(INDEX(parametros!$H$2:$H$6,MATCH(C1468,parametros!$B$2:$B$6,0)),"")=""),"INICIO_EFEITO ausente: PC "&amp;A1468&amp;" - "&amp;C1468,IF(L1468="","EFEITO_PC nao calculado: PC "&amp;A1468&amp;" - "&amp;C1468,"OK")))))))))</f>
        <v/>
      </c>
      <c r="L1468" s="92" t="str">
        <f>IF(AND(A1468="",B1468="",D1468="",G1468=""),"",IF(OR(B1468="",NOT(ISNUMBER(B1468)),C1468="",C1468="Fora dos ciclos"),"",IF(C1468="C0","Nao",IF(IFERROR(INDEX(parametros!$A$2:$A$6,MATCH(C1468,parametros!$B$2:$B$6,0)),"")&lt;&gt;"Sim","Nao",IF(IFERROR(INDEX(parametros!$H$2:$H$6,MATCH(C1468,parametros!$B$2:$B$6,0)),"")="","",IF(B1468&gt;=IFERROR(INDEX(parametros!$H$2:$H$6,MATCH(C1468,parametros!$B$2:$B$6,0)),""),"Sim","Nao"))))))</f>
        <v/>
      </c>
      <c r="T1468" s="156"/>
      <c r="U1468" s="214" t="str">
        <f t="shared" si="116"/>
        <v/>
      </c>
      <c r="V1468" s="212" t="s">
        <v>50</v>
      </c>
      <c r="W1468" s="100" t="s">
        <v>168</v>
      </c>
      <c r="X1468" s="100" t="s">
        <v>169</v>
      </c>
      <c r="Y1468" s="101" t="s">
        <v>170</v>
      </c>
      <c r="Z1468" s="101" t="s">
        <v>171</v>
      </c>
      <c r="AA1468" s="101" t="s">
        <v>50</v>
      </c>
      <c r="AB1468" s="101" t="s">
        <v>172</v>
      </c>
      <c r="AC1468" s="102" t="s">
        <v>173</v>
      </c>
    </row>
    <row r="1469" spans="1:29" ht="25.5" customHeight="1" x14ac:dyDescent="0.35">
      <c r="A1469" s="392"/>
      <c r="B1469" s="393"/>
      <c r="C1469" s="99" t="str">
        <f>IF(B1469="","",IF(NOT(ISNUMBER(B1469)),"DATA_PC invalida",IF(NOT(ISNUMBER(parametros!$C$2)),"Fora dos ciclos",IF(OR(B1469&lt;parametros!$C$2,(YEAR(B1469)-YEAR(parametros!$C$2))*12+MONTH(B1469)-MONTH(parametros!$C$2)&gt;59),"Fora dos ciclos","C"&amp;INT(((YEAR(B1469)-YEAR(parametros!$C$2))*12+MONTH(B1469)-MONTH(parametros!$C$2))/12)))))</f>
        <v/>
      </c>
      <c r="D1469" s="394"/>
      <c r="E1469" s="78" t="str">
        <f>IF(C1469="","",IFERROR(VLOOKUP(C1469,parametros!$A$11:$E$15,5,0),""))</f>
        <v/>
      </c>
      <c r="F1469" s="79" t="str">
        <f t="shared" si="112"/>
        <v/>
      </c>
      <c r="G1469" s="395"/>
      <c r="H1469" s="91">
        <f t="shared" si="113"/>
        <v>0</v>
      </c>
      <c r="I1469" s="91" t="str">
        <f t="shared" si="114"/>
        <v/>
      </c>
      <c r="J1469" s="91" t="str">
        <f t="shared" si="115"/>
        <v/>
      </c>
      <c r="K1469" s="92" t="str">
        <f>IF(AND(A1469="",B1469="",D1469="",G1469=""),"",IF(AND(A1469&lt;&gt;"",COUNTIF($A$2:$A$5001,A1469)&gt;1),"NUMERO_PC duplicado",IF(B1469="","DATA_PC vazia",IF(NOT(ISNUMBER(B1469)),"DATA_PC invalida",IF(OR(C1469="",C1469="Fora dos ciclos"),"CICLO_PC nao identificado",IF(OR(D1469="",D1469=0),"VALOR_PC vazio ou zero",IF(AND(G1469&lt;&gt;"Sim",G1469&lt;&gt;"Nao",G1469&lt;&gt;""),"PC_PAGO_A_CONTRATADA invalido",IF(AND(C1469&lt;&gt;"C0",IFERROR(INDEX(parametros!$A$2:$A$6,MATCH(C1469,parametros!$B$2:$B$6,0)),"")="Sim",IFERROR(INDEX(parametros!$H$2:$H$6,MATCH(C1469,parametros!$B$2:$B$6,0)),"")=""),"INICIO_EFEITO ausente: PC "&amp;A1469&amp;" - "&amp;C1469,IF(L1469="","EFEITO_PC nao calculado: PC "&amp;A1469&amp;" - "&amp;C1469,"OK")))))))))</f>
        <v/>
      </c>
      <c r="L1469" s="92" t="str">
        <f>IF(AND(A1469="",B1469="",D1469="",G1469=""),"",IF(OR(B1469="",NOT(ISNUMBER(B1469)),C1469="",C1469="Fora dos ciclos"),"",IF(C1469="C0","Nao",IF(IFERROR(INDEX(parametros!$A$2:$A$6,MATCH(C1469,parametros!$B$2:$B$6,0)),"")&lt;&gt;"Sim","Nao",IF(IFERROR(INDEX(parametros!$H$2:$H$6,MATCH(C1469,parametros!$B$2:$B$6,0)),"")="","",IF(B1469&gt;=IFERROR(INDEX(parametros!$H$2:$H$6,MATCH(C1469,parametros!$B$2:$B$6,0)),""),"Sim","Nao"))))))</f>
        <v/>
      </c>
      <c r="T1469" s="156"/>
      <c r="U1469" s="214" t="str">
        <f t="shared" si="116"/>
        <v/>
      </c>
      <c r="V1469" s="212" t="s">
        <v>50</v>
      </c>
      <c r="W1469" s="100" t="s">
        <v>168</v>
      </c>
      <c r="X1469" s="100" t="s">
        <v>169</v>
      </c>
      <c r="Y1469" s="101" t="s">
        <v>170</v>
      </c>
      <c r="Z1469" s="101" t="s">
        <v>171</v>
      </c>
      <c r="AA1469" s="101" t="s">
        <v>50</v>
      </c>
      <c r="AB1469" s="101" t="s">
        <v>172</v>
      </c>
      <c r="AC1469" s="102" t="s">
        <v>173</v>
      </c>
    </row>
    <row r="1470" spans="1:29" ht="25.5" customHeight="1" x14ac:dyDescent="0.35">
      <c r="A1470" s="392"/>
      <c r="B1470" s="393"/>
      <c r="C1470" s="99" t="str">
        <f>IF(B1470="","",IF(NOT(ISNUMBER(B1470)),"DATA_PC invalida",IF(NOT(ISNUMBER(parametros!$C$2)),"Fora dos ciclos",IF(OR(B1470&lt;parametros!$C$2,(YEAR(B1470)-YEAR(parametros!$C$2))*12+MONTH(B1470)-MONTH(parametros!$C$2)&gt;59),"Fora dos ciclos","C"&amp;INT(((YEAR(B1470)-YEAR(parametros!$C$2))*12+MONTH(B1470)-MONTH(parametros!$C$2))/12)))))</f>
        <v/>
      </c>
      <c r="D1470" s="394"/>
      <c r="E1470" s="78" t="str">
        <f>IF(C1470="","",IFERROR(VLOOKUP(C1470,parametros!$A$11:$E$15,5,0),""))</f>
        <v/>
      </c>
      <c r="F1470" s="79" t="str">
        <f t="shared" si="112"/>
        <v/>
      </c>
      <c r="G1470" s="395"/>
      <c r="H1470" s="91">
        <f t="shared" si="113"/>
        <v>0</v>
      </c>
      <c r="I1470" s="91" t="str">
        <f t="shared" si="114"/>
        <v/>
      </c>
      <c r="J1470" s="91" t="str">
        <f t="shared" si="115"/>
        <v/>
      </c>
      <c r="K1470" s="92" t="str">
        <f>IF(AND(A1470="",B1470="",D1470="",G1470=""),"",IF(AND(A1470&lt;&gt;"",COUNTIF($A$2:$A$5001,A1470)&gt;1),"NUMERO_PC duplicado",IF(B1470="","DATA_PC vazia",IF(NOT(ISNUMBER(B1470)),"DATA_PC invalida",IF(OR(C1470="",C1470="Fora dos ciclos"),"CICLO_PC nao identificado",IF(OR(D1470="",D1470=0),"VALOR_PC vazio ou zero",IF(AND(G1470&lt;&gt;"Sim",G1470&lt;&gt;"Nao",G1470&lt;&gt;""),"PC_PAGO_A_CONTRATADA invalido",IF(AND(C1470&lt;&gt;"C0",IFERROR(INDEX(parametros!$A$2:$A$6,MATCH(C1470,parametros!$B$2:$B$6,0)),"")="Sim",IFERROR(INDEX(parametros!$H$2:$H$6,MATCH(C1470,parametros!$B$2:$B$6,0)),"")=""),"INICIO_EFEITO ausente: PC "&amp;A1470&amp;" - "&amp;C1470,IF(L1470="","EFEITO_PC nao calculado: PC "&amp;A1470&amp;" - "&amp;C1470,"OK")))))))))</f>
        <v/>
      </c>
      <c r="L1470" s="92" t="str">
        <f>IF(AND(A1470="",B1470="",D1470="",G1470=""),"",IF(OR(B1470="",NOT(ISNUMBER(B1470)),C1470="",C1470="Fora dos ciclos"),"",IF(C1470="C0","Nao",IF(IFERROR(INDEX(parametros!$A$2:$A$6,MATCH(C1470,parametros!$B$2:$B$6,0)),"")&lt;&gt;"Sim","Nao",IF(IFERROR(INDEX(parametros!$H$2:$H$6,MATCH(C1470,parametros!$B$2:$B$6,0)),"")="","",IF(B1470&gt;=IFERROR(INDEX(parametros!$H$2:$H$6,MATCH(C1470,parametros!$B$2:$B$6,0)),""),"Sim","Nao"))))))</f>
        <v/>
      </c>
      <c r="T1470" s="156"/>
      <c r="U1470" s="214" t="str">
        <f t="shared" si="116"/>
        <v/>
      </c>
      <c r="V1470" s="212" t="s">
        <v>50</v>
      </c>
      <c r="W1470" s="100" t="s">
        <v>168</v>
      </c>
      <c r="X1470" s="100" t="s">
        <v>169</v>
      </c>
      <c r="Y1470" s="101" t="s">
        <v>170</v>
      </c>
      <c r="Z1470" s="101" t="s">
        <v>171</v>
      </c>
      <c r="AA1470" s="101" t="s">
        <v>50</v>
      </c>
      <c r="AB1470" s="101" t="s">
        <v>172</v>
      </c>
      <c r="AC1470" s="102" t="s">
        <v>173</v>
      </c>
    </row>
    <row r="1471" spans="1:29" ht="25.5" customHeight="1" x14ac:dyDescent="0.35">
      <c r="A1471" s="392"/>
      <c r="B1471" s="393"/>
      <c r="C1471" s="99" t="str">
        <f>IF(B1471="","",IF(NOT(ISNUMBER(B1471)),"DATA_PC invalida",IF(NOT(ISNUMBER(parametros!$C$2)),"Fora dos ciclos",IF(OR(B1471&lt;parametros!$C$2,(YEAR(B1471)-YEAR(parametros!$C$2))*12+MONTH(B1471)-MONTH(parametros!$C$2)&gt;59),"Fora dos ciclos","C"&amp;INT(((YEAR(B1471)-YEAR(parametros!$C$2))*12+MONTH(B1471)-MONTH(parametros!$C$2))/12)))))</f>
        <v/>
      </c>
      <c r="D1471" s="394"/>
      <c r="E1471" s="78" t="str">
        <f>IF(C1471="","",IFERROR(VLOOKUP(C1471,parametros!$A$11:$E$15,5,0),""))</f>
        <v/>
      </c>
      <c r="F1471" s="79" t="str">
        <f t="shared" si="112"/>
        <v/>
      </c>
      <c r="G1471" s="395"/>
      <c r="H1471" s="91">
        <f t="shared" si="113"/>
        <v>0</v>
      </c>
      <c r="I1471" s="91" t="str">
        <f t="shared" si="114"/>
        <v/>
      </c>
      <c r="J1471" s="91" t="str">
        <f t="shared" si="115"/>
        <v/>
      </c>
      <c r="K1471" s="92" t="str">
        <f>IF(AND(A1471="",B1471="",D1471="",G1471=""),"",IF(AND(A1471&lt;&gt;"",COUNTIF($A$2:$A$5001,A1471)&gt;1),"NUMERO_PC duplicado",IF(B1471="","DATA_PC vazia",IF(NOT(ISNUMBER(B1471)),"DATA_PC invalida",IF(OR(C1471="",C1471="Fora dos ciclos"),"CICLO_PC nao identificado",IF(OR(D1471="",D1471=0),"VALOR_PC vazio ou zero",IF(AND(G1471&lt;&gt;"Sim",G1471&lt;&gt;"Nao",G1471&lt;&gt;""),"PC_PAGO_A_CONTRATADA invalido",IF(AND(C1471&lt;&gt;"C0",IFERROR(INDEX(parametros!$A$2:$A$6,MATCH(C1471,parametros!$B$2:$B$6,0)),"")="Sim",IFERROR(INDEX(parametros!$H$2:$H$6,MATCH(C1471,parametros!$B$2:$B$6,0)),"")=""),"INICIO_EFEITO ausente: PC "&amp;A1471&amp;" - "&amp;C1471,IF(L1471="","EFEITO_PC nao calculado: PC "&amp;A1471&amp;" - "&amp;C1471,"OK")))))))))</f>
        <v/>
      </c>
      <c r="L1471" s="92" t="str">
        <f>IF(AND(A1471="",B1471="",D1471="",G1471=""),"",IF(OR(B1471="",NOT(ISNUMBER(B1471)),C1471="",C1471="Fora dos ciclos"),"",IF(C1471="C0","Nao",IF(IFERROR(INDEX(parametros!$A$2:$A$6,MATCH(C1471,parametros!$B$2:$B$6,0)),"")&lt;&gt;"Sim","Nao",IF(IFERROR(INDEX(parametros!$H$2:$H$6,MATCH(C1471,parametros!$B$2:$B$6,0)),"")="","",IF(B1471&gt;=IFERROR(INDEX(parametros!$H$2:$H$6,MATCH(C1471,parametros!$B$2:$B$6,0)),""),"Sim","Nao"))))))</f>
        <v/>
      </c>
      <c r="T1471" s="156"/>
      <c r="U1471" s="214" t="str">
        <f t="shared" si="116"/>
        <v/>
      </c>
      <c r="V1471" s="212" t="s">
        <v>50</v>
      </c>
      <c r="W1471" s="100" t="s">
        <v>168</v>
      </c>
      <c r="X1471" s="100" t="s">
        <v>169</v>
      </c>
      <c r="Y1471" s="101" t="s">
        <v>170</v>
      </c>
      <c r="Z1471" s="101" t="s">
        <v>171</v>
      </c>
      <c r="AA1471" s="101" t="s">
        <v>50</v>
      </c>
      <c r="AB1471" s="101" t="s">
        <v>172</v>
      </c>
      <c r="AC1471" s="102" t="s">
        <v>173</v>
      </c>
    </row>
    <row r="1472" spans="1:29" ht="25.5" customHeight="1" x14ac:dyDescent="0.35">
      <c r="A1472" s="392"/>
      <c r="B1472" s="393"/>
      <c r="C1472" s="99" t="str">
        <f>IF(B1472="","",IF(NOT(ISNUMBER(B1472)),"DATA_PC invalida",IF(NOT(ISNUMBER(parametros!$C$2)),"Fora dos ciclos",IF(OR(B1472&lt;parametros!$C$2,(YEAR(B1472)-YEAR(parametros!$C$2))*12+MONTH(B1472)-MONTH(parametros!$C$2)&gt;59),"Fora dos ciclos","C"&amp;INT(((YEAR(B1472)-YEAR(parametros!$C$2))*12+MONTH(B1472)-MONTH(parametros!$C$2))/12)))))</f>
        <v/>
      </c>
      <c r="D1472" s="394"/>
      <c r="E1472" s="78" t="str">
        <f>IF(C1472="","",IFERROR(VLOOKUP(C1472,parametros!$A$11:$E$15,5,0),""))</f>
        <v/>
      </c>
      <c r="F1472" s="79" t="str">
        <f t="shared" si="112"/>
        <v/>
      </c>
      <c r="G1472" s="395"/>
      <c r="H1472" s="91">
        <f t="shared" si="113"/>
        <v>0</v>
      </c>
      <c r="I1472" s="91" t="str">
        <f t="shared" si="114"/>
        <v/>
      </c>
      <c r="J1472" s="91" t="str">
        <f t="shared" si="115"/>
        <v/>
      </c>
      <c r="K1472" s="92" t="str">
        <f>IF(AND(A1472="",B1472="",D1472="",G1472=""),"",IF(AND(A1472&lt;&gt;"",COUNTIF($A$2:$A$5001,A1472)&gt;1),"NUMERO_PC duplicado",IF(B1472="","DATA_PC vazia",IF(NOT(ISNUMBER(B1472)),"DATA_PC invalida",IF(OR(C1472="",C1472="Fora dos ciclos"),"CICLO_PC nao identificado",IF(OR(D1472="",D1472=0),"VALOR_PC vazio ou zero",IF(AND(G1472&lt;&gt;"Sim",G1472&lt;&gt;"Nao",G1472&lt;&gt;""),"PC_PAGO_A_CONTRATADA invalido",IF(AND(C1472&lt;&gt;"C0",IFERROR(INDEX(parametros!$A$2:$A$6,MATCH(C1472,parametros!$B$2:$B$6,0)),"")="Sim",IFERROR(INDEX(parametros!$H$2:$H$6,MATCH(C1472,parametros!$B$2:$B$6,0)),"")=""),"INICIO_EFEITO ausente: PC "&amp;A1472&amp;" - "&amp;C1472,IF(L1472="","EFEITO_PC nao calculado: PC "&amp;A1472&amp;" - "&amp;C1472,"OK")))))))))</f>
        <v/>
      </c>
      <c r="L1472" s="92" t="str">
        <f>IF(AND(A1472="",B1472="",D1472="",G1472=""),"",IF(OR(B1472="",NOT(ISNUMBER(B1472)),C1472="",C1472="Fora dos ciclos"),"",IF(C1472="C0","Nao",IF(IFERROR(INDEX(parametros!$A$2:$A$6,MATCH(C1472,parametros!$B$2:$B$6,0)),"")&lt;&gt;"Sim","Nao",IF(IFERROR(INDEX(parametros!$H$2:$H$6,MATCH(C1472,parametros!$B$2:$B$6,0)),"")="","",IF(B1472&gt;=IFERROR(INDEX(parametros!$H$2:$H$6,MATCH(C1472,parametros!$B$2:$B$6,0)),""),"Sim","Nao"))))))</f>
        <v/>
      </c>
      <c r="T1472" s="156"/>
      <c r="U1472" s="214" t="str">
        <f t="shared" si="116"/>
        <v/>
      </c>
      <c r="V1472" s="212" t="s">
        <v>50</v>
      </c>
      <c r="W1472" s="100" t="s">
        <v>168</v>
      </c>
      <c r="X1472" s="100" t="s">
        <v>169</v>
      </c>
      <c r="Y1472" s="101" t="s">
        <v>170</v>
      </c>
      <c r="Z1472" s="101" t="s">
        <v>171</v>
      </c>
      <c r="AA1472" s="101" t="s">
        <v>50</v>
      </c>
      <c r="AB1472" s="101" t="s">
        <v>172</v>
      </c>
      <c r="AC1472" s="102" t="s">
        <v>173</v>
      </c>
    </row>
    <row r="1473" spans="1:29" ht="25.5" customHeight="1" x14ac:dyDescent="0.35">
      <c r="A1473" s="392"/>
      <c r="B1473" s="393"/>
      <c r="C1473" s="99" t="str">
        <f>IF(B1473="","",IF(NOT(ISNUMBER(B1473)),"DATA_PC invalida",IF(NOT(ISNUMBER(parametros!$C$2)),"Fora dos ciclos",IF(OR(B1473&lt;parametros!$C$2,(YEAR(B1473)-YEAR(parametros!$C$2))*12+MONTH(B1473)-MONTH(parametros!$C$2)&gt;59),"Fora dos ciclos","C"&amp;INT(((YEAR(B1473)-YEAR(parametros!$C$2))*12+MONTH(B1473)-MONTH(parametros!$C$2))/12)))))</f>
        <v/>
      </c>
      <c r="D1473" s="394"/>
      <c r="E1473" s="78" t="str">
        <f>IF(C1473="","",IFERROR(VLOOKUP(C1473,parametros!$A$11:$E$15,5,0),""))</f>
        <v/>
      </c>
      <c r="F1473" s="79" t="str">
        <f t="shared" si="112"/>
        <v/>
      </c>
      <c r="G1473" s="395"/>
      <c r="H1473" s="91">
        <f t="shared" si="113"/>
        <v>0</v>
      </c>
      <c r="I1473" s="91" t="str">
        <f t="shared" si="114"/>
        <v/>
      </c>
      <c r="J1473" s="91" t="str">
        <f t="shared" si="115"/>
        <v/>
      </c>
      <c r="K1473" s="92" t="str">
        <f>IF(AND(A1473="",B1473="",D1473="",G1473=""),"",IF(AND(A1473&lt;&gt;"",COUNTIF($A$2:$A$5001,A1473)&gt;1),"NUMERO_PC duplicado",IF(B1473="","DATA_PC vazia",IF(NOT(ISNUMBER(B1473)),"DATA_PC invalida",IF(OR(C1473="",C1473="Fora dos ciclos"),"CICLO_PC nao identificado",IF(OR(D1473="",D1473=0),"VALOR_PC vazio ou zero",IF(AND(G1473&lt;&gt;"Sim",G1473&lt;&gt;"Nao",G1473&lt;&gt;""),"PC_PAGO_A_CONTRATADA invalido",IF(AND(C1473&lt;&gt;"C0",IFERROR(INDEX(parametros!$A$2:$A$6,MATCH(C1473,parametros!$B$2:$B$6,0)),"")="Sim",IFERROR(INDEX(parametros!$H$2:$H$6,MATCH(C1473,parametros!$B$2:$B$6,0)),"")=""),"INICIO_EFEITO ausente: PC "&amp;A1473&amp;" - "&amp;C1473,IF(L1473="","EFEITO_PC nao calculado: PC "&amp;A1473&amp;" - "&amp;C1473,"OK")))))))))</f>
        <v/>
      </c>
      <c r="L1473" s="92" t="str">
        <f>IF(AND(A1473="",B1473="",D1473="",G1473=""),"",IF(OR(B1473="",NOT(ISNUMBER(B1473)),C1473="",C1473="Fora dos ciclos"),"",IF(C1473="C0","Nao",IF(IFERROR(INDEX(parametros!$A$2:$A$6,MATCH(C1473,parametros!$B$2:$B$6,0)),"")&lt;&gt;"Sim","Nao",IF(IFERROR(INDEX(parametros!$H$2:$H$6,MATCH(C1473,parametros!$B$2:$B$6,0)),"")="","",IF(B1473&gt;=IFERROR(INDEX(parametros!$H$2:$H$6,MATCH(C1473,parametros!$B$2:$B$6,0)),""),"Sim","Nao"))))))</f>
        <v/>
      </c>
      <c r="T1473" s="156"/>
      <c r="U1473" s="214" t="str">
        <f t="shared" si="116"/>
        <v/>
      </c>
      <c r="V1473" s="212" t="s">
        <v>50</v>
      </c>
      <c r="W1473" s="100" t="s">
        <v>168</v>
      </c>
      <c r="X1473" s="100" t="s">
        <v>169</v>
      </c>
      <c r="Y1473" s="101" t="s">
        <v>170</v>
      </c>
      <c r="Z1473" s="101" t="s">
        <v>171</v>
      </c>
      <c r="AA1473" s="101" t="s">
        <v>50</v>
      </c>
      <c r="AB1473" s="101" t="s">
        <v>172</v>
      </c>
      <c r="AC1473" s="102" t="s">
        <v>173</v>
      </c>
    </row>
    <row r="1474" spans="1:29" ht="25.5" customHeight="1" x14ac:dyDescent="0.35">
      <c r="A1474" s="392"/>
      <c r="B1474" s="393"/>
      <c r="C1474" s="99" t="str">
        <f>IF(B1474="","",IF(NOT(ISNUMBER(B1474)),"DATA_PC invalida",IF(NOT(ISNUMBER(parametros!$C$2)),"Fora dos ciclos",IF(OR(B1474&lt;parametros!$C$2,(YEAR(B1474)-YEAR(parametros!$C$2))*12+MONTH(B1474)-MONTH(parametros!$C$2)&gt;59),"Fora dos ciclos","C"&amp;INT(((YEAR(B1474)-YEAR(parametros!$C$2))*12+MONTH(B1474)-MONTH(parametros!$C$2))/12)))))</f>
        <v/>
      </c>
      <c r="D1474" s="394"/>
      <c r="E1474" s="78" t="str">
        <f>IF(C1474="","",IFERROR(VLOOKUP(C1474,parametros!$A$11:$E$15,5,0),""))</f>
        <v/>
      </c>
      <c r="F1474" s="79" t="str">
        <f t="shared" ref="F1474:F1537" si="117">IF(OR(D1474="",E1474=""),"",ROUND(D1474*E1474,2))</f>
        <v/>
      </c>
      <c r="G1474" s="395"/>
      <c r="H1474" s="91">
        <f t="shared" ref="H1474:H1537" si="118">IF(G1474="Sim",IF(OR(F1474="",D1474="",L1474=""),"",IF(L1474="Sim",ROUND(F1474-D1474,2),0)),0)</f>
        <v>0</v>
      </c>
      <c r="I1474" s="91" t="str">
        <f t="shared" ref="I1474:I1537" si="119">IF(G1474="Sim",0,IF(OR(F1474="",L1474=""),"",F1474))</f>
        <v/>
      </c>
      <c r="J1474" s="91" t="str">
        <f t="shared" ref="J1474:J1537" si="120">IF(G1474="Sim",0,IF(OR(F1474="",D1474="",L1474=""),"",IF(L1474="Sim",ROUND(F1474-D1474,2),0)))</f>
        <v/>
      </c>
      <c r="K1474" s="92" t="str">
        <f>IF(AND(A1474="",B1474="",D1474="",G1474=""),"",IF(AND(A1474&lt;&gt;"",COUNTIF($A$2:$A$5001,A1474)&gt;1),"NUMERO_PC duplicado",IF(B1474="","DATA_PC vazia",IF(NOT(ISNUMBER(B1474)),"DATA_PC invalida",IF(OR(C1474="",C1474="Fora dos ciclos"),"CICLO_PC nao identificado",IF(OR(D1474="",D1474=0),"VALOR_PC vazio ou zero",IF(AND(G1474&lt;&gt;"Sim",G1474&lt;&gt;"Nao",G1474&lt;&gt;""),"PC_PAGO_A_CONTRATADA invalido",IF(AND(C1474&lt;&gt;"C0",IFERROR(INDEX(parametros!$A$2:$A$6,MATCH(C1474,parametros!$B$2:$B$6,0)),"")="Sim",IFERROR(INDEX(parametros!$H$2:$H$6,MATCH(C1474,parametros!$B$2:$B$6,0)),"")=""),"INICIO_EFEITO ausente: PC "&amp;A1474&amp;" - "&amp;C1474,IF(L1474="","EFEITO_PC nao calculado: PC "&amp;A1474&amp;" - "&amp;C1474,"OK")))))))))</f>
        <v/>
      </c>
      <c r="L1474" s="92" t="str">
        <f>IF(AND(A1474="",B1474="",D1474="",G1474=""),"",IF(OR(B1474="",NOT(ISNUMBER(B1474)),C1474="",C1474="Fora dos ciclos"),"",IF(C1474="C0","Nao",IF(IFERROR(INDEX(parametros!$A$2:$A$6,MATCH(C1474,parametros!$B$2:$B$6,0)),"")&lt;&gt;"Sim","Nao",IF(IFERROR(INDEX(parametros!$H$2:$H$6,MATCH(C1474,parametros!$B$2:$B$6,0)),"")="","",IF(B1474&gt;=IFERROR(INDEX(parametros!$H$2:$H$6,MATCH(C1474,parametros!$B$2:$B$6,0)),""),"Sim","Nao"))))))</f>
        <v/>
      </c>
      <c r="T1474" s="156"/>
      <c r="U1474" s="214" t="str">
        <f t="shared" ref="U1474:U1537" si="121">IF(OR($D1474="",$H1474=""),"",ROUND($D1474+$H1474,2))</f>
        <v/>
      </c>
      <c r="V1474" s="212" t="s">
        <v>50</v>
      </c>
      <c r="W1474" s="100" t="s">
        <v>168</v>
      </c>
      <c r="X1474" s="100" t="s">
        <v>169</v>
      </c>
      <c r="Y1474" s="101" t="s">
        <v>170</v>
      </c>
      <c r="Z1474" s="101" t="s">
        <v>171</v>
      </c>
      <c r="AA1474" s="101" t="s">
        <v>50</v>
      </c>
      <c r="AB1474" s="101" t="s">
        <v>172</v>
      </c>
      <c r="AC1474" s="102" t="s">
        <v>173</v>
      </c>
    </row>
    <row r="1475" spans="1:29" ht="25.5" customHeight="1" x14ac:dyDescent="0.35">
      <c r="A1475" s="392"/>
      <c r="B1475" s="393"/>
      <c r="C1475" s="99" t="str">
        <f>IF(B1475="","",IF(NOT(ISNUMBER(B1475)),"DATA_PC invalida",IF(NOT(ISNUMBER(parametros!$C$2)),"Fora dos ciclos",IF(OR(B1475&lt;parametros!$C$2,(YEAR(B1475)-YEAR(parametros!$C$2))*12+MONTH(B1475)-MONTH(parametros!$C$2)&gt;59),"Fora dos ciclos","C"&amp;INT(((YEAR(B1475)-YEAR(parametros!$C$2))*12+MONTH(B1475)-MONTH(parametros!$C$2))/12)))))</f>
        <v/>
      </c>
      <c r="D1475" s="394"/>
      <c r="E1475" s="78" t="str">
        <f>IF(C1475="","",IFERROR(VLOOKUP(C1475,parametros!$A$11:$E$15,5,0),""))</f>
        <v/>
      </c>
      <c r="F1475" s="79" t="str">
        <f t="shared" si="117"/>
        <v/>
      </c>
      <c r="G1475" s="395"/>
      <c r="H1475" s="91">
        <f t="shared" si="118"/>
        <v>0</v>
      </c>
      <c r="I1475" s="91" t="str">
        <f t="shared" si="119"/>
        <v/>
      </c>
      <c r="J1475" s="91" t="str">
        <f t="shared" si="120"/>
        <v/>
      </c>
      <c r="K1475" s="92" t="str">
        <f>IF(AND(A1475="",B1475="",D1475="",G1475=""),"",IF(AND(A1475&lt;&gt;"",COUNTIF($A$2:$A$5001,A1475)&gt;1),"NUMERO_PC duplicado",IF(B1475="","DATA_PC vazia",IF(NOT(ISNUMBER(B1475)),"DATA_PC invalida",IF(OR(C1475="",C1475="Fora dos ciclos"),"CICLO_PC nao identificado",IF(OR(D1475="",D1475=0),"VALOR_PC vazio ou zero",IF(AND(G1475&lt;&gt;"Sim",G1475&lt;&gt;"Nao",G1475&lt;&gt;""),"PC_PAGO_A_CONTRATADA invalido",IF(AND(C1475&lt;&gt;"C0",IFERROR(INDEX(parametros!$A$2:$A$6,MATCH(C1475,parametros!$B$2:$B$6,0)),"")="Sim",IFERROR(INDEX(parametros!$H$2:$H$6,MATCH(C1475,parametros!$B$2:$B$6,0)),"")=""),"INICIO_EFEITO ausente: PC "&amp;A1475&amp;" - "&amp;C1475,IF(L1475="","EFEITO_PC nao calculado: PC "&amp;A1475&amp;" - "&amp;C1475,"OK")))))))))</f>
        <v/>
      </c>
      <c r="L1475" s="92" t="str">
        <f>IF(AND(A1475="",B1475="",D1475="",G1475=""),"",IF(OR(B1475="",NOT(ISNUMBER(B1475)),C1475="",C1475="Fora dos ciclos"),"",IF(C1475="C0","Nao",IF(IFERROR(INDEX(parametros!$A$2:$A$6,MATCH(C1475,parametros!$B$2:$B$6,0)),"")&lt;&gt;"Sim","Nao",IF(IFERROR(INDEX(parametros!$H$2:$H$6,MATCH(C1475,parametros!$B$2:$B$6,0)),"")="","",IF(B1475&gt;=IFERROR(INDEX(parametros!$H$2:$H$6,MATCH(C1475,parametros!$B$2:$B$6,0)),""),"Sim","Nao"))))))</f>
        <v/>
      </c>
      <c r="T1475" s="156"/>
      <c r="U1475" s="214" t="str">
        <f t="shared" si="121"/>
        <v/>
      </c>
      <c r="V1475" s="212" t="s">
        <v>50</v>
      </c>
      <c r="W1475" s="100" t="s">
        <v>168</v>
      </c>
      <c r="X1475" s="100" t="s">
        <v>169</v>
      </c>
      <c r="Y1475" s="101" t="s">
        <v>170</v>
      </c>
      <c r="Z1475" s="101" t="s">
        <v>171</v>
      </c>
      <c r="AA1475" s="101" t="s">
        <v>50</v>
      </c>
      <c r="AB1475" s="101" t="s">
        <v>172</v>
      </c>
      <c r="AC1475" s="102" t="s">
        <v>173</v>
      </c>
    </row>
    <row r="1476" spans="1:29" ht="25.5" customHeight="1" x14ac:dyDescent="0.35">
      <c r="A1476" s="392"/>
      <c r="B1476" s="393"/>
      <c r="C1476" s="99" t="str">
        <f>IF(B1476="","",IF(NOT(ISNUMBER(B1476)),"DATA_PC invalida",IF(NOT(ISNUMBER(parametros!$C$2)),"Fora dos ciclos",IF(OR(B1476&lt;parametros!$C$2,(YEAR(B1476)-YEAR(parametros!$C$2))*12+MONTH(B1476)-MONTH(parametros!$C$2)&gt;59),"Fora dos ciclos","C"&amp;INT(((YEAR(B1476)-YEAR(parametros!$C$2))*12+MONTH(B1476)-MONTH(parametros!$C$2))/12)))))</f>
        <v/>
      </c>
      <c r="D1476" s="394"/>
      <c r="E1476" s="78" t="str">
        <f>IF(C1476="","",IFERROR(VLOOKUP(C1476,parametros!$A$11:$E$15,5,0),""))</f>
        <v/>
      </c>
      <c r="F1476" s="79" t="str">
        <f t="shared" si="117"/>
        <v/>
      </c>
      <c r="G1476" s="395"/>
      <c r="H1476" s="91">
        <f t="shared" si="118"/>
        <v>0</v>
      </c>
      <c r="I1476" s="91" t="str">
        <f t="shared" si="119"/>
        <v/>
      </c>
      <c r="J1476" s="91" t="str">
        <f t="shared" si="120"/>
        <v/>
      </c>
      <c r="K1476" s="92" t="str">
        <f>IF(AND(A1476="",B1476="",D1476="",G1476=""),"",IF(AND(A1476&lt;&gt;"",COUNTIF($A$2:$A$5001,A1476)&gt;1),"NUMERO_PC duplicado",IF(B1476="","DATA_PC vazia",IF(NOT(ISNUMBER(B1476)),"DATA_PC invalida",IF(OR(C1476="",C1476="Fora dos ciclos"),"CICLO_PC nao identificado",IF(OR(D1476="",D1476=0),"VALOR_PC vazio ou zero",IF(AND(G1476&lt;&gt;"Sim",G1476&lt;&gt;"Nao",G1476&lt;&gt;""),"PC_PAGO_A_CONTRATADA invalido",IF(AND(C1476&lt;&gt;"C0",IFERROR(INDEX(parametros!$A$2:$A$6,MATCH(C1476,parametros!$B$2:$B$6,0)),"")="Sim",IFERROR(INDEX(parametros!$H$2:$H$6,MATCH(C1476,parametros!$B$2:$B$6,0)),"")=""),"INICIO_EFEITO ausente: PC "&amp;A1476&amp;" - "&amp;C1476,IF(L1476="","EFEITO_PC nao calculado: PC "&amp;A1476&amp;" - "&amp;C1476,"OK")))))))))</f>
        <v/>
      </c>
      <c r="L1476" s="92" t="str">
        <f>IF(AND(A1476="",B1476="",D1476="",G1476=""),"",IF(OR(B1476="",NOT(ISNUMBER(B1476)),C1476="",C1476="Fora dos ciclos"),"",IF(C1476="C0","Nao",IF(IFERROR(INDEX(parametros!$A$2:$A$6,MATCH(C1476,parametros!$B$2:$B$6,0)),"")&lt;&gt;"Sim","Nao",IF(IFERROR(INDEX(parametros!$H$2:$H$6,MATCH(C1476,parametros!$B$2:$B$6,0)),"")="","",IF(B1476&gt;=IFERROR(INDEX(parametros!$H$2:$H$6,MATCH(C1476,parametros!$B$2:$B$6,0)),""),"Sim","Nao"))))))</f>
        <v/>
      </c>
      <c r="T1476" s="156"/>
      <c r="U1476" s="214" t="str">
        <f t="shared" si="121"/>
        <v/>
      </c>
      <c r="V1476" s="212" t="s">
        <v>50</v>
      </c>
      <c r="W1476" s="100" t="s">
        <v>168</v>
      </c>
      <c r="X1476" s="100" t="s">
        <v>169</v>
      </c>
      <c r="Y1476" s="101" t="s">
        <v>170</v>
      </c>
      <c r="Z1476" s="101" t="s">
        <v>171</v>
      </c>
      <c r="AA1476" s="101" t="s">
        <v>50</v>
      </c>
      <c r="AB1476" s="101" t="s">
        <v>172</v>
      </c>
      <c r="AC1476" s="102" t="s">
        <v>173</v>
      </c>
    </row>
    <row r="1477" spans="1:29" ht="25.5" customHeight="1" x14ac:dyDescent="0.35">
      <c r="A1477" s="392"/>
      <c r="B1477" s="393"/>
      <c r="C1477" s="99" t="str">
        <f>IF(B1477="","",IF(NOT(ISNUMBER(B1477)),"DATA_PC invalida",IF(NOT(ISNUMBER(parametros!$C$2)),"Fora dos ciclos",IF(OR(B1477&lt;parametros!$C$2,(YEAR(B1477)-YEAR(parametros!$C$2))*12+MONTH(B1477)-MONTH(parametros!$C$2)&gt;59),"Fora dos ciclos","C"&amp;INT(((YEAR(B1477)-YEAR(parametros!$C$2))*12+MONTH(B1477)-MONTH(parametros!$C$2))/12)))))</f>
        <v/>
      </c>
      <c r="D1477" s="394"/>
      <c r="E1477" s="78" t="str">
        <f>IF(C1477="","",IFERROR(VLOOKUP(C1477,parametros!$A$11:$E$15,5,0),""))</f>
        <v/>
      </c>
      <c r="F1477" s="79" t="str">
        <f t="shared" si="117"/>
        <v/>
      </c>
      <c r="G1477" s="395"/>
      <c r="H1477" s="91">
        <f t="shared" si="118"/>
        <v>0</v>
      </c>
      <c r="I1477" s="91" t="str">
        <f t="shared" si="119"/>
        <v/>
      </c>
      <c r="J1477" s="91" t="str">
        <f t="shared" si="120"/>
        <v/>
      </c>
      <c r="K1477" s="92" t="str">
        <f>IF(AND(A1477="",B1477="",D1477="",G1477=""),"",IF(AND(A1477&lt;&gt;"",COUNTIF($A$2:$A$5001,A1477)&gt;1),"NUMERO_PC duplicado",IF(B1477="","DATA_PC vazia",IF(NOT(ISNUMBER(B1477)),"DATA_PC invalida",IF(OR(C1477="",C1477="Fora dos ciclos"),"CICLO_PC nao identificado",IF(OR(D1477="",D1477=0),"VALOR_PC vazio ou zero",IF(AND(G1477&lt;&gt;"Sim",G1477&lt;&gt;"Nao",G1477&lt;&gt;""),"PC_PAGO_A_CONTRATADA invalido",IF(AND(C1477&lt;&gt;"C0",IFERROR(INDEX(parametros!$A$2:$A$6,MATCH(C1477,parametros!$B$2:$B$6,0)),"")="Sim",IFERROR(INDEX(parametros!$H$2:$H$6,MATCH(C1477,parametros!$B$2:$B$6,0)),"")=""),"INICIO_EFEITO ausente: PC "&amp;A1477&amp;" - "&amp;C1477,IF(L1477="","EFEITO_PC nao calculado: PC "&amp;A1477&amp;" - "&amp;C1477,"OK")))))))))</f>
        <v/>
      </c>
      <c r="L1477" s="92" t="str">
        <f>IF(AND(A1477="",B1477="",D1477="",G1477=""),"",IF(OR(B1477="",NOT(ISNUMBER(B1477)),C1477="",C1477="Fora dos ciclos"),"",IF(C1477="C0","Nao",IF(IFERROR(INDEX(parametros!$A$2:$A$6,MATCH(C1477,parametros!$B$2:$B$6,0)),"")&lt;&gt;"Sim","Nao",IF(IFERROR(INDEX(parametros!$H$2:$H$6,MATCH(C1477,parametros!$B$2:$B$6,0)),"")="","",IF(B1477&gt;=IFERROR(INDEX(parametros!$H$2:$H$6,MATCH(C1477,parametros!$B$2:$B$6,0)),""),"Sim","Nao"))))))</f>
        <v/>
      </c>
      <c r="T1477" s="156"/>
      <c r="U1477" s="214" t="str">
        <f t="shared" si="121"/>
        <v/>
      </c>
      <c r="V1477" s="212" t="s">
        <v>50</v>
      </c>
      <c r="W1477" s="100" t="s">
        <v>168</v>
      </c>
      <c r="X1477" s="100" t="s">
        <v>169</v>
      </c>
      <c r="Y1477" s="101" t="s">
        <v>170</v>
      </c>
      <c r="Z1477" s="101" t="s">
        <v>171</v>
      </c>
      <c r="AA1477" s="101" t="s">
        <v>50</v>
      </c>
      <c r="AB1477" s="101" t="s">
        <v>172</v>
      </c>
      <c r="AC1477" s="102" t="s">
        <v>173</v>
      </c>
    </row>
    <row r="1478" spans="1:29" ht="25.5" customHeight="1" x14ac:dyDescent="0.35">
      <c r="A1478" s="392"/>
      <c r="B1478" s="393"/>
      <c r="C1478" s="99" t="str">
        <f>IF(B1478="","",IF(NOT(ISNUMBER(B1478)),"DATA_PC invalida",IF(NOT(ISNUMBER(parametros!$C$2)),"Fora dos ciclos",IF(OR(B1478&lt;parametros!$C$2,(YEAR(B1478)-YEAR(parametros!$C$2))*12+MONTH(B1478)-MONTH(parametros!$C$2)&gt;59),"Fora dos ciclos","C"&amp;INT(((YEAR(B1478)-YEAR(parametros!$C$2))*12+MONTH(B1478)-MONTH(parametros!$C$2))/12)))))</f>
        <v/>
      </c>
      <c r="D1478" s="394"/>
      <c r="E1478" s="78" t="str">
        <f>IF(C1478="","",IFERROR(VLOOKUP(C1478,parametros!$A$11:$E$15,5,0),""))</f>
        <v/>
      </c>
      <c r="F1478" s="79" t="str">
        <f t="shared" si="117"/>
        <v/>
      </c>
      <c r="G1478" s="395"/>
      <c r="H1478" s="91">
        <f t="shared" si="118"/>
        <v>0</v>
      </c>
      <c r="I1478" s="91" t="str">
        <f t="shared" si="119"/>
        <v/>
      </c>
      <c r="J1478" s="91" t="str">
        <f t="shared" si="120"/>
        <v/>
      </c>
      <c r="K1478" s="92" t="str">
        <f>IF(AND(A1478="",B1478="",D1478="",G1478=""),"",IF(AND(A1478&lt;&gt;"",COUNTIF($A$2:$A$5001,A1478)&gt;1),"NUMERO_PC duplicado",IF(B1478="","DATA_PC vazia",IF(NOT(ISNUMBER(B1478)),"DATA_PC invalida",IF(OR(C1478="",C1478="Fora dos ciclos"),"CICLO_PC nao identificado",IF(OR(D1478="",D1478=0),"VALOR_PC vazio ou zero",IF(AND(G1478&lt;&gt;"Sim",G1478&lt;&gt;"Nao",G1478&lt;&gt;""),"PC_PAGO_A_CONTRATADA invalido",IF(AND(C1478&lt;&gt;"C0",IFERROR(INDEX(parametros!$A$2:$A$6,MATCH(C1478,parametros!$B$2:$B$6,0)),"")="Sim",IFERROR(INDEX(parametros!$H$2:$H$6,MATCH(C1478,parametros!$B$2:$B$6,0)),"")=""),"INICIO_EFEITO ausente: PC "&amp;A1478&amp;" - "&amp;C1478,IF(L1478="","EFEITO_PC nao calculado: PC "&amp;A1478&amp;" - "&amp;C1478,"OK")))))))))</f>
        <v/>
      </c>
      <c r="L1478" s="92" t="str">
        <f>IF(AND(A1478="",B1478="",D1478="",G1478=""),"",IF(OR(B1478="",NOT(ISNUMBER(B1478)),C1478="",C1478="Fora dos ciclos"),"",IF(C1478="C0","Nao",IF(IFERROR(INDEX(parametros!$A$2:$A$6,MATCH(C1478,parametros!$B$2:$B$6,0)),"")&lt;&gt;"Sim","Nao",IF(IFERROR(INDEX(parametros!$H$2:$H$6,MATCH(C1478,parametros!$B$2:$B$6,0)),"")="","",IF(B1478&gt;=IFERROR(INDEX(parametros!$H$2:$H$6,MATCH(C1478,parametros!$B$2:$B$6,0)),""),"Sim","Nao"))))))</f>
        <v/>
      </c>
      <c r="T1478" s="156"/>
      <c r="U1478" s="214" t="str">
        <f t="shared" si="121"/>
        <v/>
      </c>
      <c r="V1478" s="212" t="s">
        <v>50</v>
      </c>
      <c r="W1478" s="100" t="s">
        <v>168</v>
      </c>
      <c r="X1478" s="100" t="s">
        <v>169</v>
      </c>
      <c r="Y1478" s="101" t="s">
        <v>170</v>
      </c>
      <c r="Z1478" s="101" t="s">
        <v>171</v>
      </c>
      <c r="AA1478" s="101" t="s">
        <v>50</v>
      </c>
      <c r="AB1478" s="101" t="s">
        <v>172</v>
      </c>
      <c r="AC1478" s="102" t="s">
        <v>173</v>
      </c>
    </row>
    <row r="1479" spans="1:29" ht="25.5" customHeight="1" x14ac:dyDescent="0.35">
      <c r="A1479" s="392"/>
      <c r="B1479" s="393"/>
      <c r="C1479" s="99" t="str">
        <f>IF(B1479="","",IF(NOT(ISNUMBER(B1479)),"DATA_PC invalida",IF(NOT(ISNUMBER(parametros!$C$2)),"Fora dos ciclos",IF(OR(B1479&lt;parametros!$C$2,(YEAR(B1479)-YEAR(parametros!$C$2))*12+MONTH(B1479)-MONTH(parametros!$C$2)&gt;59),"Fora dos ciclos","C"&amp;INT(((YEAR(B1479)-YEAR(parametros!$C$2))*12+MONTH(B1479)-MONTH(parametros!$C$2))/12)))))</f>
        <v/>
      </c>
      <c r="D1479" s="394"/>
      <c r="E1479" s="78" t="str">
        <f>IF(C1479="","",IFERROR(VLOOKUP(C1479,parametros!$A$11:$E$15,5,0),""))</f>
        <v/>
      </c>
      <c r="F1479" s="79" t="str">
        <f t="shared" si="117"/>
        <v/>
      </c>
      <c r="G1479" s="395"/>
      <c r="H1479" s="91">
        <f t="shared" si="118"/>
        <v>0</v>
      </c>
      <c r="I1479" s="91" t="str">
        <f t="shared" si="119"/>
        <v/>
      </c>
      <c r="J1479" s="91" t="str">
        <f t="shared" si="120"/>
        <v/>
      </c>
      <c r="K1479" s="92" t="str">
        <f>IF(AND(A1479="",B1479="",D1479="",G1479=""),"",IF(AND(A1479&lt;&gt;"",COUNTIF($A$2:$A$5001,A1479)&gt;1),"NUMERO_PC duplicado",IF(B1479="","DATA_PC vazia",IF(NOT(ISNUMBER(B1479)),"DATA_PC invalida",IF(OR(C1479="",C1479="Fora dos ciclos"),"CICLO_PC nao identificado",IF(OR(D1479="",D1479=0),"VALOR_PC vazio ou zero",IF(AND(G1479&lt;&gt;"Sim",G1479&lt;&gt;"Nao",G1479&lt;&gt;""),"PC_PAGO_A_CONTRATADA invalido",IF(AND(C1479&lt;&gt;"C0",IFERROR(INDEX(parametros!$A$2:$A$6,MATCH(C1479,parametros!$B$2:$B$6,0)),"")="Sim",IFERROR(INDEX(parametros!$H$2:$H$6,MATCH(C1479,parametros!$B$2:$B$6,0)),"")=""),"INICIO_EFEITO ausente: PC "&amp;A1479&amp;" - "&amp;C1479,IF(L1479="","EFEITO_PC nao calculado: PC "&amp;A1479&amp;" - "&amp;C1479,"OK")))))))))</f>
        <v/>
      </c>
      <c r="L1479" s="92" t="str">
        <f>IF(AND(A1479="",B1479="",D1479="",G1479=""),"",IF(OR(B1479="",NOT(ISNUMBER(B1479)),C1479="",C1479="Fora dos ciclos"),"",IF(C1479="C0","Nao",IF(IFERROR(INDEX(parametros!$A$2:$A$6,MATCH(C1479,parametros!$B$2:$B$6,0)),"")&lt;&gt;"Sim","Nao",IF(IFERROR(INDEX(parametros!$H$2:$H$6,MATCH(C1479,parametros!$B$2:$B$6,0)),"")="","",IF(B1479&gt;=IFERROR(INDEX(parametros!$H$2:$H$6,MATCH(C1479,parametros!$B$2:$B$6,0)),""),"Sim","Nao"))))))</f>
        <v/>
      </c>
      <c r="T1479" s="156"/>
      <c r="U1479" s="214" t="str">
        <f t="shared" si="121"/>
        <v/>
      </c>
      <c r="V1479" s="212" t="s">
        <v>50</v>
      </c>
      <c r="W1479" s="100" t="s">
        <v>168</v>
      </c>
      <c r="X1479" s="100" t="s">
        <v>169</v>
      </c>
      <c r="Y1479" s="101" t="s">
        <v>170</v>
      </c>
      <c r="Z1479" s="101" t="s">
        <v>171</v>
      </c>
      <c r="AA1479" s="101" t="s">
        <v>50</v>
      </c>
      <c r="AB1479" s="101" t="s">
        <v>172</v>
      </c>
      <c r="AC1479" s="102" t="s">
        <v>173</v>
      </c>
    </row>
    <row r="1480" spans="1:29" ht="25.5" customHeight="1" x14ac:dyDescent="0.35">
      <c r="A1480" s="392"/>
      <c r="B1480" s="393"/>
      <c r="C1480" s="99" t="str">
        <f>IF(B1480="","",IF(NOT(ISNUMBER(B1480)),"DATA_PC invalida",IF(NOT(ISNUMBER(parametros!$C$2)),"Fora dos ciclos",IF(OR(B1480&lt;parametros!$C$2,(YEAR(B1480)-YEAR(parametros!$C$2))*12+MONTH(B1480)-MONTH(parametros!$C$2)&gt;59),"Fora dos ciclos","C"&amp;INT(((YEAR(B1480)-YEAR(parametros!$C$2))*12+MONTH(B1480)-MONTH(parametros!$C$2))/12)))))</f>
        <v/>
      </c>
      <c r="D1480" s="394"/>
      <c r="E1480" s="78" t="str">
        <f>IF(C1480="","",IFERROR(VLOOKUP(C1480,parametros!$A$11:$E$15,5,0),""))</f>
        <v/>
      </c>
      <c r="F1480" s="79" t="str">
        <f t="shared" si="117"/>
        <v/>
      </c>
      <c r="G1480" s="395"/>
      <c r="H1480" s="91">
        <f t="shared" si="118"/>
        <v>0</v>
      </c>
      <c r="I1480" s="91" t="str">
        <f t="shared" si="119"/>
        <v/>
      </c>
      <c r="J1480" s="91" t="str">
        <f t="shared" si="120"/>
        <v/>
      </c>
      <c r="K1480" s="92" t="str">
        <f>IF(AND(A1480="",B1480="",D1480="",G1480=""),"",IF(AND(A1480&lt;&gt;"",COUNTIF($A$2:$A$5001,A1480)&gt;1),"NUMERO_PC duplicado",IF(B1480="","DATA_PC vazia",IF(NOT(ISNUMBER(B1480)),"DATA_PC invalida",IF(OR(C1480="",C1480="Fora dos ciclos"),"CICLO_PC nao identificado",IF(OR(D1480="",D1480=0),"VALOR_PC vazio ou zero",IF(AND(G1480&lt;&gt;"Sim",G1480&lt;&gt;"Nao",G1480&lt;&gt;""),"PC_PAGO_A_CONTRATADA invalido",IF(AND(C1480&lt;&gt;"C0",IFERROR(INDEX(parametros!$A$2:$A$6,MATCH(C1480,parametros!$B$2:$B$6,0)),"")="Sim",IFERROR(INDEX(parametros!$H$2:$H$6,MATCH(C1480,parametros!$B$2:$B$6,0)),"")=""),"INICIO_EFEITO ausente: PC "&amp;A1480&amp;" - "&amp;C1480,IF(L1480="","EFEITO_PC nao calculado: PC "&amp;A1480&amp;" - "&amp;C1480,"OK")))))))))</f>
        <v/>
      </c>
      <c r="L1480" s="92" t="str">
        <f>IF(AND(A1480="",B1480="",D1480="",G1480=""),"",IF(OR(B1480="",NOT(ISNUMBER(B1480)),C1480="",C1480="Fora dos ciclos"),"",IF(C1480="C0","Nao",IF(IFERROR(INDEX(parametros!$A$2:$A$6,MATCH(C1480,parametros!$B$2:$B$6,0)),"")&lt;&gt;"Sim","Nao",IF(IFERROR(INDEX(parametros!$H$2:$H$6,MATCH(C1480,parametros!$B$2:$B$6,0)),"")="","",IF(B1480&gt;=IFERROR(INDEX(parametros!$H$2:$H$6,MATCH(C1480,parametros!$B$2:$B$6,0)),""),"Sim","Nao"))))))</f>
        <v/>
      </c>
      <c r="T1480" s="156"/>
      <c r="U1480" s="214" t="str">
        <f t="shared" si="121"/>
        <v/>
      </c>
      <c r="V1480" s="212" t="s">
        <v>50</v>
      </c>
      <c r="W1480" s="100" t="s">
        <v>168</v>
      </c>
      <c r="X1480" s="100" t="s">
        <v>169</v>
      </c>
      <c r="Y1480" s="101" t="s">
        <v>170</v>
      </c>
      <c r="Z1480" s="101" t="s">
        <v>171</v>
      </c>
      <c r="AA1480" s="101" t="s">
        <v>50</v>
      </c>
      <c r="AB1480" s="101" t="s">
        <v>172</v>
      </c>
      <c r="AC1480" s="102" t="s">
        <v>173</v>
      </c>
    </row>
    <row r="1481" spans="1:29" ht="25.5" customHeight="1" x14ac:dyDescent="0.35">
      <c r="A1481" s="392"/>
      <c r="B1481" s="393"/>
      <c r="C1481" s="99" t="str">
        <f>IF(B1481="","",IF(NOT(ISNUMBER(B1481)),"DATA_PC invalida",IF(NOT(ISNUMBER(parametros!$C$2)),"Fora dos ciclos",IF(OR(B1481&lt;parametros!$C$2,(YEAR(B1481)-YEAR(parametros!$C$2))*12+MONTH(B1481)-MONTH(parametros!$C$2)&gt;59),"Fora dos ciclos","C"&amp;INT(((YEAR(B1481)-YEAR(parametros!$C$2))*12+MONTH(B1481)-MONTH(parametros!$C$2))/12)))))</f>
        <v/>
      </c>
      <c r="D1481" s="394"/>
      <c r="E1481" s="78" t="str">
        <f>IF(C1481="","",IFERROR(VLOOKUP(C1481,parametros!$A$11:$E$15,5,0),""))</f>
        <v/>
      </c>
      <c r="F1481" s="79" t="str">
        <f t="shared" si="117"/>
        <v/>
      </c>
      <c r="G1481" s="395"/>
      <c r="H1481" s="91">
        <f t="shared" si="118"/>
        <v>0</v>
      </c>
      <c r="I1481" s="91" t="str">
        <f t="shared" si="119"/>
        <v/>
      </c>
      <c r="J1481" s="91" t="str">
        <f t="shared" si="120"/>
        <v/>
      </c>
      <c r="K1481" s="92" t="str">
        <f>IF(AND(A1481="",B1481="",D1481="",G1481=""),"",IF(AND(A1481&lt;&gt;"",COUNTIF($A$2:$A$5001,A1481)&gt;1),"NUMERO_PC duplicado",IF(B1481="","DATA_PC vazia",IF(NOT(ISNUMBER(B1481)),"DATA_PC invalida",IF(OR(C1481="",C1481="Fora dos ciclos"),"CICLO_PC nao identificado",IF(OR(D1481="",D1481=0),"VALOR_PC vazio ou zero",IF(AND(G1481&lt;&gt;"Sim",G1481&lt;&gt;"Nao",G1481&lt;&gt;""),"PC_PAGO_A_CONTRATADA invalido",IF(AND(C1481&lt;&gt;"C0",IFERROR(INDEX(parametros!$A$2:$A$6,MATCH(C1481,parametros!$B$2:$B$6,0)),"")="Sim",IFERROR(INDEX(parametros!$H$2:$H$6,MATCH(C1481,parametros!$B$2:$B$6,0)),"")=""),"INICIO_EFEITO ausente: PC "&amp;A1481&amp;" - "&amp;C1481,IF(L1481="","EFEITO_PC nao calculado: PC "&amp;A1481&amp;" - "&amp;C1481,"OK")))))))))</f>
        <v/>
      </c>
      <c r="L1481" s="92" t="str">
        <f>IF(AND(A1481="",B1481="",D1481="",G1481=""),"",IF(OR(B1481="",NOT(ISNUMBER(B1481)),C1481="",C1481="Fora dos ciclos"),"",IF(C1481="C0","Nao",IF(IFERROR(INDEX(parametros!$A$2:$A$6,MATCH(C1481,parametros!$B$2:$B$6,0)),"")&lt;&gt;"Sim","Nao",IF(IFERROR(INDEX(parametros!$H$2:$H$6,MATCH(C1481,parametros!$B$2:$B$6,0)),"")="","",IF(B1481&gt;=IFERROR(INDEX(parametros!$H$2:$H$6,MATCH(C1481,parametros!$B$2:$B$6,0)),""),"Sim","Nao"))))))</f>
        <v/>
      </c>
      <c r="T1481" s="156"/>
      <c r="U1481" s="214" t="str">
        <f t="shared" si="121"/>
        <v/>
      </c>
      <c r="V1481" s="212" t="s">
        <v>50</v>
      </c>
      <c r="W1481" s="100" t="s">
        <v>168</v>
      </c>
      <c r="X1481" s="100" t="s">
        <v>169</v>
      </c>
      <c r="Y1481" s="101" t="s">
        <v>170</v>
      </c>
      <c r="Z1481" s="101" t="s">
        <v>171</v>
      </c>
      <c r="AA1481" s="101" t="s">
        <v>50</v>
      </c>
      <c r="AB1481" s="101" t="s">
        <v>172</v>
      </c>
      <c r="AC1481" s="102" t="s">
        <v>173</v>
      </c>
    </row>
    <row r="1482" spans="1:29" ht="25.5" customHeight="1" x14ac:dyDescent="0.35">
      <c r="A1482" s="392"/>
      <c r="B1482" s="393"/>
      <c r="C1482" s="99" t="str">
        <f>IF(B1482="","",IF(NOT(ISNUMBER(B1482)),"DATA_PC invalida",IF(NOT(ISNUMBER(parametros!$C$2)),"Fora dos ciclos",IF(OR(B1482&lt;parametros!$C$2,(YEAR(B1482)-YEAR(parametros!$C$2))*12+MONTH(B1482)-MONTH(parametros!$C$2)&gt;59),"Fora dos ciclos","C"&amp;INT(((YEAR(B1482)-YEAR(parametros!$C$2))*12+MONTH(B1482)-MONTH(parametros!$C$2))/12)))))</f>
        <v/>
      </c>
      <c r="D1482" s="394"/>
      <c r="E1482" s="78" t="str">
        <f>IF(C1482="","",IFERROR(VLOOKUP(C1482,parametros!$A$11:$E$15,5,0),""))</f>
        <v/>
      </c>
      <c r="F1482" s="79" t="str">
        <f t="shared" si="117"/>
        <v/>
      </c>
      <c r="G1482" s="395"/>
      <c r="H1482" s="91">
        <f t="shared" si="118"/>
        <v>0</v>
      </c>
      <c r="I1482" s="91" t="str">
        <f t="shared" si="119"/>
        <v/>
      </c>
      <c r="J1482" s="91" t="str">
        <f t="shared" si="120"/>
        <v/>
      </c>
      <c r="K1482" s="92" t="str">
        <f>IF(AND(A1482="",B1482="",D1482="",G1482=""),"",IF(AND(A1482&lt;&gt;"",COUNTIF($A$2:$A$5001,A1482)&gt;1),"NUMERO_PC duplicado",IF(B1482="","DATA_PC vazia",IF(NOT(ISNUMBER(B1482)),"DATA_PC invalida",IF(OR(C1482="",C1482="Fora dos ciclos"),"CICLO_PC nao identificado",IF(OR(D1482="",D1482=0),"VALOR_PC vazio ou zero",IF(AND(G1482&lt;&gt;"Sim",G1482&lt;&gt;"Nao",G1482&lt;&gt;""),"PC_PAGO_A_CONTRATADA invalido",IF(AND(C1482&lt;&gt;"C0",IFERROR(INDEX(parametros!$A$2:$A$6,MATCH(C1482,parametros!$B$2:$B$6,0)),"")="Sim",IFERROR(INDEX(parametros!$H$2:$H$6,MATCH(C1482,parametros!$B$2:$B$6,0)),"")=""),"INICIO_EFEITO ausente: PC "&amp;A1482&amp;" - "&amp;C1482,IF(L1482="","EFEITO_PC nao calculado: PC "&amp;A1482&amp;" - "&amp;C1482,"OK")))))))))</f>
        <v/>
      </c>
      <c r="L1482" s="92" t="str">
        <f>IF(AND(A1482="",B1482="",D1482="",G1482=""),"",IF(OR(B1482="",NOT(ISNUMBER(B1482)),C1482="",C1482="Fora dos ciclos"),"",IF(C1482="C0","Nao",IF(IFERROR(INDEX(parametros!$A$2:$A$6,MATCH(C1482,parametros!$B$2:$B$6,0)),"")&lt;&gt;"Sim","Nao",IF(IFERROR(INDEX(parametros!$H$2:$H$6,MATCH(C1482,parametros!$B$2:$B$6,0)),"")="","",IF(B1482&gt;=IFERROR(INDEX(parametros!$H$2:$H$6,MATCH(C1482,parametros!$B$2:$B$6,0)),""),"Sim","Nao"))))))</f>
        <v/>
      </c>
      <c r="T1482" s="156"/>
      <c r="U1482" s="214" t="str">
        <f t="shared" si="121"/>
        <v/>
      </c>
      <c r="V1482" s="212" t="s">
        <v>50</v>
      </c>
      <c r="W1482" s="100" t="s">
        <v>168</v>
      </c>
      <c r="X1482" s="100" t="s">
        <v>169</v>
      </c>
      <c r="Y1482" s="101" t="s">
        <v>170</v>
      </c>
      <c r="Z1482" s="101" t="s">
        <v>171</v>
      </c>
      <c r="AA1482" s="101" t="s">
        <v>50</v>
      </c>
      <c r="AB1482" s="101" t="s">
        <v>172</v>
      </c>
      <c r="AC1482" s="102" t="s">
        <v>173</v>
      </c>
    </row>
    <row r="1483" spans="1:29" ht="25.5" customHeight="1" x14ac:dyDescent="0.35">
      <c r="A1483" s="392"/>
      <c r="B1483" s="393"/>
      <c r="C1483" s="99" t="str">
        <f>IF(B1483="","",IF(NOT(ISNUMBER(B1483)),"DATA_PC invalida",IF(NOT(ISNUMBER(parametros!$C$2)),"Fora dos ciclos",IF(OR(B1483&lt;parametros!$C$2,(YEAR(B1483)-YEAR(parametros!$C$2))*12+MONTH(B1483)-MONTH(parametros!$C$2)&gt;59),"Fora dos ciclos","C"&amp;INT(((YEAR(B1483)-YEAR(parametros!$C$2))*12+MONTH(B1483)-MONTH(parametros!$C$2))/12)))))</f>
        <v/>
      </c>
      <c r="D1483" s="394"/>
      <c r="E1483" s="78" t="str">
        <f>IF(C1483="","",IFERROR(VLOOKUP(C1483,parametros!$A$11:$E$15,5,0),""))</f>
        <v/>
      </c>
      <c r="F1483" s="79" t="str">
        <f t="shared" si="117"/>
        <v/>
      </c>
      <c r="G1483" s="395"/>
      <c r="H1483" s="91">
        <f t="shared" si="118"/>
        <v>0</v>
      </c>
      <c r="I1483" s="91" t="str">
        <f t="shared" si="119"/>
        <v/>
      </c>
      <c r="J1483" s="91" t="str">
        <f t="shared" si="120"/>
        <v/>
      </c>
      <c r="K1483" s="92" t="str">
        <f>IF(AND(A1483="",B1483="",D1483="",G1483=""),"",IF(AND(A1483&lt;&gt;"",COUNTIF($A$2:$A$5001,A1483)&gt;1),"NUMERO_PC duplicado",IF(B1483="","DATA_PC vazia",IF(NOT(ISNUMBER(B1483)),"DATA_PC invalida",IF(OR(C1483="",C1483="Fora dos ciclos"),"CICLO_PC nao identificado",IF(OR(D1483="",D1483=0),"VALOR_PC vazio ou zero",IF(AND(G1483&lt;&gt;"Sim",G1483&lt;&gt;"Nao",G1483&lt;&gt;""),"PC_PAGO_A_CONTRATADA invalido",IF(AND(C1483&lt;&gt;"C0",IFERROR(INDEX(parametros!$A$2:$A$6,MATCH(C1483,parametros!$B$2:$B$6,0)),"")="Sim",IFERROR(INDEX(parametros!$H$2:$H$6,MATCH(C1483,parametros!$B$2:$B$6,0)),"")=""),"INICIO_EFEITO ausente: PC "&amp;A1483&amp;" - "&amp;C1483,IF(L1483="","EFEITO_PC nao calculado: PC "&amp;A1483&amp;" - "&amp;C1483,"OK")))))))))</f>
        <v/>
      </c>
      <c r="L1483" s="92" t="str">
        <f>IF(AND(A1483="",B1483="",D1483="",G1483=""),"",IF(OR(B1483="",NOT(ISNUMBER(B1483)),C1483="",C1483="Fora dos ciclos"),"",IF(C1483="C0","Nao",IF(IFERROR(INDEX(parametros!$A$2:$A$6,MATCH(C1483,parametros!$B$2:$B$6,0)),"")&lt;&gt;"Sim","Nao",IF(IFERROR(INDEX(parametros!$H$2:$H$6,MATCH(C1483,parametros!$B$2:$B$6,0)),"")="","",IF(B1483&gt;=IFERROR(INDEX(parametros!$H$2:$H$6,MATCH(C1483,parametros!$B$2:$B$6,0)),""),"Sim","Nao"))))))</f>
        <v/>
      </c>
      <c r="T1483" s="156"/>
      <c r="U1483" s="214" t="str">
        <f t="shared" si="121"/>
        <v/>
      </c>
      <c r="V1483" s="212" t="s">
        <v>50</v>
      </c>
      <c r="W1483" s="100" t="s">
        <v>168</v>
      </c>
      <c r="X1483" s="100" t="s">
        <v>169</v>
      </c>
      <c r="Y1483" s="101" t="s">
        <v>170</v>
      </c>
      <c r="Z1483" s="101" t="s">
        <v>171</v>
      </c>
      <c r="AA1483" s="101" t="s">
        <v>50</v>
      </c>
      <c r="AB1483" s="101" t="s">
        <v>172</v>
      </c>
      <c r="AC1483" s="102" t="s">
        <v>173</v>
      </c>
    </row>
    <row r="1484" spans="1:29" ht="25.5" customHeight="1" x14ac:dyDescent="0.35">
      <c r="A1484" s="392"/>
      <c r="B1484" s="393"/>
      <c r="C1484" s="99" t="str">
        <f>IF(B1484="","",IF(NOT(ISNUMBER(B1484)),"DATA_PC invalida",IF(NOT(ISNUMBER(parametros!$C$2)),"Fora dos ciclos",IF(OR(B1484&lt;parametros!$C$2,(YEAR(B1484)-YEAR(parametros!$C$2))*12+MONTH(B1484)-MONTH(parametros!$C$2)&gt;59),"Fora dos ciclos","C"&amp;INT(((YEAR(B1484)-YEAR(parametros!$C$2))*12+MONTH(B1484)-MONTH(parametros!$C$2))/12)))))</f>
        <v/>
      </c>
      <c r="D1484" s="394"/>
      <c r="E1484" s="78" t="str">
        <f>IF(C1484="","",IFERROR(VLOOKUP(C1484,parametros!$A$11:$E$15,5,0),""))</f>
        <v/>
      </c>
      <c r="F1484" s="79" t="str">
        <f t="shared" si="117"/>
        <v/>
      </c>
      <c r="G1484" s="395"/>
      <c r="H1484" s="91">
        <f t="shared" si="118"/>
        <v>0</v>
      </c>
      <c r="I1484" s="91" t="str">
        <f t="shared" si="119"/>
        <v/>
      </c>
      <c r="J1484" s="91" t="str">
        <f t="shared" si="120"/>
        <v/>
      </c>
      <c r="K1484" s="92" t="str">
        <f>IF(AND(A1484="",B1484="",D1484="",G1484=""),"",IF(AND(A1484&lt;&gt;"",COUNTIF($A$2:$A$5001,A1484)&gt;1),"NUMERO_PC duplicado",IF(B1484="","DATA_PC vazia",IF(NOT(ISNUMBER(B1484)),"DATA_PC invalida",IF(OR(C1484="",C1484="Fora dos ciclos"),"CICLO_PC nao identificado",IF(OR(D1484="",D1484=0),"VALOR_PC vazio ou zero",IF(AND(G1484&lt;&gt;"Sim",G1484&lt;&gt;"Nao",G1484&lt;&gt;""),"PC_PAGO_A_CONTRATADA invalido",IF(AND(C1484&lt;&gt;"C0",IFERROR(INDEX(parametros!$A$2:$A$6,MATCH(C1484,parametros!$B$2:$B$6,0)),"")="Sim",IFERROR(INDEX(parametros!$H$2:$H$6,MATCH(C1484,parametros!$B$2:$B$6,0)),"")=""),"INICIO_EFEITO ausente: PC "&amp;A1484&amp;" - "&amp;C1484,IF(L1484="","EFEITO_PC nao calculado: PC "&amp;A1484&amp;" - "&amp;C1484,"OK")))))))))</f>
        <v/>
      </c>
      <c r="L1484" s="92" t="str">
        <f>IF(AND(A1484="",B1484="",D1484="",G1484=""),"",IF(OR(B1484="",NOT(ISNUMBER(B1484)),C1484="",C1484="Fora dos ciclos"),"",IF(C1484="C0","Nao",IF(IFERROR(INDEX(parametros!$A$2:$A$6,MATCH(C1484,parametros!$B$2:$B$6,0)),"")&lt;&gt;"Sim","Nao",IF(IFERROR(INDEX(parametros!$H$2:$H$6,MATCH(C1484,parametros!$B$2:$B$6,0)),"")="","",IF(B1484&gt;=IFERROR(INDEX(parametros!$H$2:$H$6,MATCH(C1484,parametros!$B$2:$B$6,0)),""),"Sim","Nao"))))))</f>
        <v/>
      </c>
      <c r="T1484" s="156"/>
      <c r="U1484" s="214" t="str">
        <f t="shared" si="121"/>
        <v/>
      </c>
      <c r="V1484" s="212" t="s">
        <v>50</v>
      </c>
      <c r="W1484" s="100" t="s">
        <v>168</v>
      </c>
      <c r="X1484" s="100" t="s">
        <v>169</v>
      </c>
      <c r="Y1484" s="101" t="s">
        <v>170</v>
      </c>
      <c r="Z1484" s="101" t="s">
        <v>171</v>
      </c>
      <c r="AA1484" s="101" t="s">
        <v>50</v>
      </c>
      <c r="AB1484" s="101" t="s">
        <v>172</v>
      </c>
      <c r="AC1484" s="102" t="s">
        <v>173</v>
      </c>
    </row>
    <row r="1485" spans="1:29" ht="25.5" customHeight="1" x14ac:dyDescent="0.35">
      <c r="A1485" s="392"/>
      <c r="B1485" s="393"/>
      <c r="C1485" s="99" t="str">
        <f>IF(B1485="","",IF(NOT(ISNUMBER(B1485)),"DATA_PC invalida",IF(NOT(ISNUMBER(parametros!$C$2)),"Fora dos ciclos",IF(OR(B1485&lt;parametros!$C$2,(YEAR(B1485)-YEAR(parametros!$C$2))*12+MONTH(B1485)-MONTH(parametros!$C$2)&gt;59),"Fora dos ciclos","C"&amp;INT(((YEAR(B1485)-YEAR(parametros!$C$2))*12+MONTH(B1485)-MONTH(parametros!$C$2))/12)))))</f>
        <v/>
      </c>
      <c r="D1485" s="394"/>
      <c r="E1485" s="78" t="str">
        <f>IF(C1485="","",IFERROR(VLOOKUP(C1485,parametros!$A$11:$E$15,5,0),""))</f>
        <v/>
      </c>
      <c r="F1485" s="79" t="str">
        <f t="shared" si="117"/>
        <v/>
      </c>
      <c r="G1485" s="395"/>
      <c r="H1485" s="91">
        <f t="shared" si="118"/>
        <v>0</v>
      </c>
      <c r="I1485" s="91" t="str">
        <f t="shared" si="119"/>
        <v/>
      </c>
      <c r="J1485" s="91" t="str">
        <f t="shared" si="120"/>
        <v/>
      </c>
      <c r="K1485" s="92" t="str">
        <f>IF(AND(A1485="",B1485="",D1485="",G1485=""),"",IF(AND(A1485&lt;&gt;"",COUNTIF($A$2:$A$5001,A1485)&gt;1),"NUMERO_PC duplicado",IF(B1485="","DATA_PC vazia",IF(NOT(ISNUMBER(B1485)),"DATA_PC invalida",IF(OR(C1485="",C1485="Fora dos ciclos"),"CICLO_PC nao identificado",IF(OR(D1485="",D1485=0),"VALOR_PC vazio ou zero",IF(AND(G1485&lt;&gt;"Sim",G1485&lt;&gt;"Nao",G1485&lt;&gt;""),"PC_PAGO_A_CONTRATADA invalido",IF(AND(C1485&lt;&gt;"C0",IFERROR(INDEX(parametros!$A$2:$A$6,MATCH(C1485,parametros!$B$2:$B$6,0)),"")="Sim",IFERROR(INDEX(parametros!$H$2:$H$6,MATCH(C1485,parametros!$B$2:$B$6,0)),"")=""),"INICIO_EFEITO ausente: PC "&amp;A1485&amp;" - "&amp;C1485,IF(L1485="","EFEITO_PC nao calculado: PC "&amp;A1485&amp;" - "&amp;C1485,"OK")))))))))</f>
        <v/>
      </c>
      <c r="L1485" s="92" t="str">
        <f>IF(AND(A1485="",B1485="",D1485="",G1485=""),"",IF(OR(B1485="",NOT(ISNUMBER(B1485)),C1485="",C1485="Fora dos ciclos"),"",IF(C1485="C0","Nao",IF(IFERROR(INDEX(parametros!$A$2:$A$6,MATCH(C1485,parametros!$B$2:$B$6,0)),"")&lt;&gt;"Sim","Nao",IF(IFERROR(INDEX(parametros!$H$2:$H$6,MATCH(C1485,parametros!$B$2:$B$6,0)),"")="","",IF(B1485&gt;=IFERROR(INDEX(parametros!$H$2:$H$6,MATCH(C1485,parametros!$B$2:$B$6,0)),""),"Sim","Nao"))))))</f>
        <v/>
      </c>
      <c r="T1485" s="156"/>
      <c r="U1485" s="214" t="str">
        <f t="shared" si="121"/>
        <v/>
      </c>
      <c r="V1485" s="212" t="s">
        <v>50</v>
      </c>
      <c r="W1485" s="100" t="s">
        <v>168</v>
      </c>
      <c r="X1485" s="100" t="s">
        <v>169</v>
      </c>
      <c r="Y1485" s="101" t="s">
        <v>170</v>
      </c>
      <c r="Z1485" s="101" t="s">
        <v>171</v>
      </c>
      <c r="AA1485" s="101" t="s">
        <v>50</v>
      </c>
      <c r="AB1485" s="101" t="s">
        <v>172</v>
      </c>
      <c r="AC1485" s="102" t="s">
        <v>173</v>
      </c>
    </row>
    <row r="1486" spans="1:29" ht="25.5" customHeight="1" x14ac:dyDescent="0.35">
      <c r="A1486" s="392"/>
      <c r="B1486" s="393"/>
      <c r="C1486" s="99" t="str">
        <f>IF(B1486="","",IF(NOT(ISNUMBER(B1486)),"DATA_PC invalida",IF(NOT(ISNUMBER(parametros!$C$2)),"Fora dos ciclos",IF(OR(B1486&lt;parametros!$C$2,(YEAR(B1486)-YEAR(parametros!$C$2))*12+MONTH(B1486)-MONTH(parametros!$C$2)&gt;59),"Fora dos ciclos","C"&amp;INT(((YEAR(B1486)-YEAR(parametros!$C$2))*12+MONTH(B1486)-MONTH(parametros!$C$2))/12)))))</f>
        <v/>
      </c>
      <c r="D1486" s="394"/>
      <c r="E1486" s="78" t="str">
        <f>IF(C1486="","",IFERROR(VLOOKUP(C1486,parametros!$A$11:$E$15,5,0),""))</f>
        <v/>
      </c>
      <c r="F1486" s="79" t="str">
        <f t="shared" si="117"/>
        <v/>
      </c>
      <c r="G1486" s="395"/>
      <c r="H1486" s="91">
        <f t="shared" si="118"/>
        <v>0</v>
      </c>
      <c r="I1486" s="91" t="str">
        <f t="shared" si="119"/>
        <v/>
      </c>
      <c r="J1486" s="91" t="str">
        <f t="shared" si="120"/>
        <v/>
      </c>
      <c r="K1486" s="92" t="str">
        <f>IF(AND(A1486="",B1486="",D1486="",G1486=""),"",IF(AND(A1486&lt;&gt;"",COUNTIF($A$2:$A$5001,A1486)&gt;1),"NUMERO_PC duplicado",IF(B1486="","DATA_PC vazia",IF(NOT(ISNUMBER(B1486)),"DATA_PC invalida",IF(OR(C1486="",C1486="Fora dos ciclos"),"CICLO_PC nao identificado",IF(OR(D1486="",D1486=0),"VALOR_PC vazio ou zero",IF(AND(G1486&lt;&gt;"Sim",G1486&lt;&gt;"Nao",G1486&lt;&gt;""),"PC_PAGO_A_CONTRATADA invalido",IF(AND(C1486&lt;&gt;"C0",IFERROR(INDEX(parametros!$A$2:$A$6,MATCH(C1486,parametros!$B$2:$B$6,0)),"")="Sim",IFERROR(INDEX(parametros!$H$2:$H$6,MATCH(C1486,parametros!$B$2:$B$6,0)),"")=""),"INICIO_EFEITO ausente: PC "&amp;A1486&amp;" - "&amp;C1486,IF(L1486="","EFEITO_PC nao calculado: PC "&amp;A1486&amp;" - "&amp;C1486,"OK")))))))))</f>
        <v/>
      </c>
      <c r="L1486" s="92" t="str">
        <f>IF(AND(A1486="",B1486="",D1486="",G1486=""),"",IF(OR(B1486="",NOT(ISNUMBER(B1486)),C1486="",C1486="Fora dos ciclos"),"",IF(C1486="C0","Nao",IF(IFERROR(INDEX(parametros!$A$2:$A$6,MATCH(C1486,parametros!$B$2:$B$6,0)),"")&lt;&gt;"Sim","Nao",IF(IFERROR(INDEX(parametros!$H$2:$H$6,MATCH(C1486,parametros!$B$2:$B$6,0)),"")="","",IF(B1486&gt;=IFERROR(INDEX(parametros!$H$2:$H$6,MATCH(C1486,parametros!$B$2:$B$6,0)),""),"Sim","Nao"))))))</f>
        <v/>
      </c>
      <c r="T1486" s="156"/>
      <c r="U1486" s="214" t="str">
        <f t="shared" si="121"/>
        <v/>
      </c>
      <c r="V1486" s="212" t="s">
        <v>50</v>
      </c>
      <c r="W1486" s="100" t="s">
        <v>168</v>
      </c>
      <c r="X1486" s="100" t="s">
        <v>169</v>
      </c>
      <c r="Y1486" s="101" t="s">
        <v>170</v>
      </c>
      <c r="Z1486" s="101" t="s">
        <v>171</v>
      </c>
      <c r="AA1486" s="101" t="s">
        <v>50</v>
      </c>
      <c r="AB1486" s="101" t="s">
        <v>172</v>
      </c>
      <c r="AC1486" s="102" t="s">
        <v>173</v>
      </c>
    </row>
    <row r="1487" spans="1:29" ht="25.5" customHeight="1" x14ac:dyDescent="0.35">
      <c r="A1487" s="392"/>
      <c r="B1487" s="393"/>
      <c r="C1487" s="99" t="str">
        <f>IF(B1487="","",IF(NOT(ISNUMBER(B1487)),"DATA_PC invalida",IF(NOT(ISNUMBER(parametros!$C$2)),"Fora dos ciclos",IF(OR(B1487&lt;parametros!$C$2,(YEAR(B1487)-YEAR(parametros!$C$2))*12+MONTH(B1487)-MONTH(parametros!$C$2)&gt;59),"Fora dos ciclos","C"&amp;INT(((YEAR(B1487)-YEAR(parametros!$C$2))*12+MONTH(B1487)-MONTH(parametros!$C$2))/12)))))</f>
        <v/>
      </c>
      <c r="D1487" s="394"/>
      <c r="E1487" s="78" t="str">
        <f>IF(C1487="","",IFERROR(VLOOKUP(C1487,parametros!$A$11:$E$15,5,0),""))</f>
        <v/>
      </c>
      <c r="F1487" s="79" t="str">
        <f t="shared" si="117"/>
        <v/>
      </c>
      <c r="G1487" s="395"/>
      <c r="H1487" s="91">
        <f t="shared" si="118"/>
        <v>0</v>
      </c>
      <c r="I1487" s="91" t="str">
        <f t="shared" si="119"/>
        <v/>
      </c>
      <c r="J1487" s="91" t="str">
        <f t="shared" si="120"/>
        <v/>
      </c>
      <c r="K1487" s="92" t="str">
        <f>IF(AND(A1487="",B1487="",D1487="",G1487=""),"",IF(AND(A1487&lt;&gt;"",COUNTIF($A$2:$A$5001,A1487)&gt;1),"NUMERO_PC duplicado",IF(B1487="","DATA_PC vazia",IF(NOT(ISNUMBER(B1487)),"DATA_PC invalida",IF(OR(C1487="",C1487="Fora dos ciclos"),"CICLO_PC nao identificado",IF(OR(D1487="",D1487=0),"VALOR_PC vazio ou zero",IF(AND(G1487&lt;&gt;"Sim",G1487&lt;&gt;"Nao",G1487&lt;&gt;""),"PC_PAGO_A_CONTRATADA invalido",IF(AND(C1487&lt;&gt;"C0",IFERROR(INDEX(parametros!$A$2:$A$6,MATCH(C1487,parametros!$B$2:$B$6,0)),"")="Sim",IFERROR(INDEX(parametros!$H$2:$H$6,MATCH(C1487,parametros!$B$2:$B$6,0)),"")=""),"INICIO_EFEITO ausente: PC "&amp;A1487&amp;" - "&amp;C1487,IF(L1487="","EFEITO_PC nao calculado: PC "&amp;A1487&amp;" - "&amp;C1487,"OK")))))))))</f>
        <v/>
      </c>
      <c r="L1487" s="92" t="str">
        <f>IF(AND(A1487="",B1487="",D1487="",G1487=""),"",IF(OR(B1487="",NOT(ISNUMBER(B1487)),C1487="",C1487="Fora dos ciclos"),"",IF(C1487="C0","Nao",IF(IFERROR(INDEX(parametros!$A$2:$A$6,MATCH(C1487,parametros!$B$2:$B$6,0)),"")&lt;&gt;"Sim","Nao",IF(IFERROR(INDEX(parametros!$H$2:$H$6,MATCH(C1487,parametros!$B$2:$B$6,0)),"")="","",IF(B1487&gt;=IFERROR(INDEX(parametros!$H$2:$H$6,MATCH(C1487,parametros!$B$2:$B$6,0)),""),"Sim","Nao"))))))</f>
        <v/>
      </c>
      <c r="T1487" s="156"/>
      <c r="U1487" s="214" t="str">
        <f t="shared" si="121"/>
        <v/>
      </c>
      <c r="V1487" s="212" t="s">
        <v>50</v>
      </c>
      <c r="W1487" s="100" t="s">
        <v>168</v>
      </c>
      <c r="X1487" s="100" t="s">
        <v>169</v>
      </c>
      <c r="Y1487" s="101" t="s">
        <v>170</v>
      </c>
      <c r="Z1487" s="101" t="s">
        <v>171</v>
      </c>
      <c r="AA1487" s="101" t="s">
        <v>50</v>
      </c>
      <c r="AB1487" s="101" t="s">
        <v>172</v>
      </c>
      <c r="AC1487" s="102" t="s">
        <v>173</v>
      </c>
    </row>
    <row r="1488" spans="1:29" ht="25.5" customHeight="1" x14ac:dyDescent="0.35">
      <c r="A1488" s="392"/>
      <c r="B1488" s="393"/>
      <c r="C1488" s="99" t="str">
        <f>IF(B1488="","",IF(NOT(ISNUMBER(B1488)),"DATA_PC invalida",IF(NOT(ISNUMBER(parametros!$C$2)),"Fora dos ciclos",IF(OR(B1488&lt;parametros!$C$2,(YEAR(B1488)-YEAR(parametros!$C$2))*12+MONTH(B1488)-MONTH(parametros!$C$2)&gt;59),"Fora dos ciclos","C"&amp;INT(((YEAR(B1488)-YEAR(parametros!$C$2))*12+MONTH(B1488)-MONTH(parametros!$C$2))/12)))))</f>
        <v/>
      </c>
      <c r="D1488" s="394"/>
      <c r="E1488" s="78" t="str">
        <f>IF(C1488="","",IFERROR(VLOOKUP(C1488,parametros!$A$11:$E$15,5,0),""))</f>
        <v/>
      </c>
      <c r="F1488" s="79" t="str">
        <f t="shared" si="117"/>
        <v/>
      </c>
      <c r="G1488" s="395"/>
      <c r="H1488" s="91">
        <f t="shared" si="118"/>
        <v>0</v>
      </c>
      <c r="I1488" s="91" t="str">
        <f t="shared" si="119"/>
        <v/>
      </c>
      <c r="J1488" s="91" t="str">
        <f t="shared" si="120"/>
        <v/>
      </c>
      <c r="K1488" s="92" t="str">
        <f>IF(AND(A1488="",B1488="",D1488="",G1488=""),"",IF(AND(A1488&lt;&gt;"",COUNTIF($A$2:$A$5001,A1488)&gt;1),"NUMERO_PC duplicado",IF(B1488="","DATA_PC vazia",IF(NOT(ISNUMBER(B1488)),"DATA_PC invalida",IF(OR(C1488="",C1488="Fora dos ciclos"),"CICLO_PC nao identificado",IF(OR(D1488="",D1488=0),"VALOR_PC vazio ou zero",IF(AND(G1488&lt;&gt;"Sim",G1488&lt;&gt;"Nao",G1488&lt;&gt;""),"PC_PAGO_A_CONTRATADA invalido",IF(AND(C1488&lt;&gt;"C0",IFERROR(INDEX(parametros!$A$2:$A$6,MATCH(C1488,parametros!$B$2:$B$6,0)),"")="Sim",IFERROR(INDEX(parametros!$H$2:$H$6,MATCH(C1488,parametros!$B$2:$B$6,0)),"")=""),"INICIO_EFEITO ausente: PC "&amp;A1488&amp;" - "&amp;C1488,IF(L1488="","EFEITO_PC nao calculado: PC "&amp;A1488&amp;" - "&amp;C1488,"OK")))))))))</f>
        <v/>
      </c>
      <c r="L1488" s="92" t="str">
        <f>IF(AND(A1488="",B1488="",D1488="",G1488=""),"",IF(OR(B1488="",NOT(ISNUMBER(B1488)),C1488="",C1488="Fora dos ciclos"),"",IF(C1488="C0","Nao",IF(IFERROR(INDEX(parametros!$A$2:$A$6,MATCH(C1488,parametros!$B$2:$B$6,0)),"")&lt;&gt;"Sim","Nao",IF(IFERROR(INDEX(parametros!$H$2:$H$6,MATCH(C1488,parametros!$B$2:$B$6,0)),"")="","",IF(B1488&gt;=IFERROR(INDEX(parametros!$H$2:$H$6,MATCH(C1488,parametros!$B$2:$B$6,0)),""),"Sim","Nao"))))))</f>
        <v/>
      </c>
      <c r="T1488" s="156"/>
      <c r="U1488" s="214" t="str">
        <f t="shared" si="121"/>
        <v/>
      </c>
      <c r="V1488" s="212" t="s">
        <v>50</v>
      </c>
      <c r="W1488" s="100" t="s">
        <v>168</v>
      </c>
      <c r="X1488" s="100" t="s">
        <v>169</v>
      </c>
      <c r="Y1488" s="101" t="s">
        <v>170</v>
      </c>
      <c r="Z1488" s="101" t="s">
        <v>171</v>
      </c>
      <c r="AA1488" s="101" t="s">
        <v>50</v>
      </c>
      <c r="AB1488" s="101" t="s">
        <v>172</v>
      </c>
      <c r="AC1488" s="102" t="s">
        <v>173</v>
      </c>
    </row>
    <row r="1489" spans="1:29" ht="25.5" customHeight="1" x14ac:dyDescent="0.35">
      <c r="A1489" s="392"/>
      <c r="B1489" s="393"/>
      <c r="C1489" s="99" t="str">
        <f>IF(B1489="","",IF(NOT(ISNUMBER(B1489)),"DATA_PC invalida",IF(NOT(ISNUMBER(parametros!$C$2)),"Fora dos ciclos",IF(OR(B1489&lt;parametros!$C$2,(YEAR(B1489)-YEAR(parametros!$C$2))*12+MONTH(B1489)-MONTH(parametros!$C$2)&gt;59),"Fora dos ciclos","C"&amp;INT(((YEAR(B1489)-YEAR(parametros!$C$2))*12+MONTH(B1489)-MONTH(parametros!$C$2))/12)))))</f>
        <v/>
      </c>
      <c r="D1489" s="394"/>
      <c r="E1489" s="78" t="str">
        <f>IF(C1489="","",IFERROR(VLOOKUP(C1489,parametros!$A$11:$E$15,5,0),""))</f>
        <v/>
      </c>
      <c r="F1489" s="79" t="str">
        <f t="shared" si="117"/>
        <v/>
      </c>
      <c r="G1489" s="395"/>
      <c r="H1489" s="91">
        <f t="shared" si="118"/>
        <v>0</v>
      </c>
      <c r="I1489" s="91" t="str">
        <f t="shared" si="119"/>
        <v/>
      </c>
      <c r="J1489" s="91" t="str">
        <f t="shared" si="120"/>
        <v/>
      </c>
      <c r="K1489" s="92" t="str">
        <f>IF(AND(A1489="",B1489="",D1489="",G1489=""),"",IF(AND(A1489&lt;&gt;"",COUNTIF($A$2:$A$5001,A1489)&gt;1),"NUMERO_PC duplicado",IF(B1489="","DATA_PC vazia",IF(NOT(ISNUMBER(B1489)),"DATA_PC invalida",IF(OR(C1489="",C1489="Fora dos ciclos"),"CICLO_PC nao identificado",IF(OR(D1489="",D1489=0),"VALOR_PC vazio ou zero",IF(AND(G1489&lt;&gt;"Sim",G1489&lt;&gt;"Nao",G1489&lt;&gt;""),"PC_PAGO_A_CONTRATADA invalido",IF(AND(C1489&lt;&gt;"C0",IFERROR(INDEX(parametros!$A$2:$A$6,MATCH(C1489,parametros!$B$2:$B$6,0)),"")="Sim",IFERROR(INDEX(parametros!$H$2:$H$6,MATCH(C1489,parametros!$B$2:$B$6,0)),"")=""),"INICIO_EFEITO ausente: PC "&amp;A1489&amp;" - "&amp;C1489,IF(L1489="","EFEITO_PC nao calculado: PC "&amp;A1489&amp;" - "&amp;C1489,"OK")))))))))</f>
        <v/>
      </c>
      <c r="L1489" s="92" t="str">
        <f>IF(AND(A1489="",B1489="",D1489="",G1489=""),"",IF(OR(B1489="",NOT(ISNUMBER(B1489)),C1489="",C1489="Fora dos ciclos"),"",IF(C1489="C0","Nao",IF(IFERROR(INDEX(parametros!$A$2:$A$6,MATCH(C1489,parametros!$B$2:$B$6,0)),"")&lt;&gt;"Sim","Nao",IF(IFERROR(INDEX(parametros!$H$2:$H$6,MATCH(C1489,parametros!$B$2:$B$6,0)),"")="","",IF(B1489&gt;=IFERROR(INDEX(parametros!$H$2:$H$6,MATCH(C1489,parametros!$B$2:$B$6,0)),""),"Sim","Nao"))))))</f>
        <v/>
      </c>
      <c r="T1489" s="156"/>
      <c r="U1489" s="214" t="str">
        <f t="shared" si="121"/>
        <v/>
      </c>
      <c r="V1489" s="212" t="s">
        <v>50</v>
      </c>
      <c r="W1489" s="100" t="s">
        <v>168</v>
      </c>
      <c r="X1489" s="100" t="s">
        <v>169</v>
      </c>
      <c r="Y1489" s="101" t="s">
        <v>170</v>
      </c>
      <c r="Z1489" s="101" t="s">
        <v>171</v>
      </c>
      <c r="AA1489" s="101" t="s">
        <v>50</v>
      </c>
      <c r="AB1489" s="101" t="s">
        <v>172</v>
      </c>
      <c r="AC1489" s="102" t="s">
        <v>173</v>
      </c>
    </row>
    <row r="1490" spans="1:29" ht="25.5" customHeight="1" x14ac:dyDescent="0.35">
      <c r="A1490" s="392"/>
      <c r="B1490" s="393"/>
      <c r="C1490" s="99" t="str">
        <f>IF(B1490="","",IF(NOT(ISNUMBER(B1490)),"DATA_PC invalida",IF(NOT(ISNUMBER(parametros!$C$2)),"Fora dos ciclos",IF(OR(B1490&lt;parametros!$C$2,(YEAR(B1490)-YEAR(parametros!$C$2))*12+MONTH(B1490)-MONTH(parametros!$C$2)&gt;59),"Fora dos ciclos","C"&amp;INT(((YEAR(B1490)-YEAR(parametros!$C$2))*12+MONTH(B1490)-MONTH(parametros!$C$2))/12)))))</f>
        <v/>
      </c>
      <c r="D1490" s="394"/>
      <c r="E1490" s="78" t="str">
        <f>IF(C1490="","",IFERROR(VLOOKUP(C1490,parametros!$A$11:$E$15,5,0),""))</f>
        <v/>
      </c>
      <c r="F1490" s="79" t="str">
        <f t="shared" si="117"/>
        <v/>
      </c>
      <c r="G1490" s="395"/>
      <c r="H1490" s="91">
        <f t="shared" si="118"/>
        <v>0</v>
      </c>
      <c r="I1490" s="91" t="str">
        <f t="shared" si="119"/>
        <v/>
      </c>
      <c r="J1490" s="91" t="str">
        <f t="shared" si="120"/>
        <v/>
      </c>
      <c r="K1490" s="92" t="str">
        <f>IF(AND(A1490="",B1490="",D1490="",G1490=""),"",IF(AND(A1490&lt;&gt;"",COUNTIF($A$2:$A$5001,A1490)&gt;1),"NUMERO_PC duplicado",IF(B1490="","DATA_PC vazia",IF(NOT(ISNUMBER(B1490)),"DATA_PC invalida",IF(OR(C1490="",C1490="Fora dos ciclos"),"CICLO_PC nao identificado",IF(OR(D1490="",D1490=0),"VALOR_PC vazio ou zero",IF(AND(G1490&lt;&gt;"Sim",G1490&lt;&gt;"Nao",G1490&lt;&gt;""),"PC_PAGO_A_CONTRATADA invalido",IF(AND(C1490&lt;&gt;"C0",IFERROR(INDEX(parametros!$A$2:$A$6,MATCH(C1490,parametros!$B$2:$B$6,0)),"")="Sim",IFERROR(INDEX(parametros!$H$2:$H$6,MATCH(C1490,parametros!$B$2:$B$6,0)),"")=""),"INICIO_EFEITO ausente: PC "&amp;A1490&amp;" - "&amp;C1490,IF(L1490="","EFEITO_PC nao calculado: PC "&amp;A1490&amp;" - "&amp;C1490,"OK")))))))))</f>
        <v/>
      </c>
      <c r="L1490" s="92" t="str">
        <f>IF(AND(A1490="",B1490="",D1490="",G1490=""),"",IF(OR(B1490="",NOT(ISNUMBER(B1490)),C1490="",C1490="Fora dos ciclos"),"",IF(C1490="C0","Nao",IF(IFERROR(INDEX(parametros!$A$2:$A$6,MATCH(C1490,parametros!$B$2:$B$6,0)),"")&lt;&gt;"Sim","Nao",IF(IFERROR(INDEX(parametros!$H$2:$H$6,MATCH(C1490,parametros!$B$2:$B$6,0)),"")="","",IF(B1490&gt;=IFERROR(INDEX(parametros!$H$2:$H$6,MATCH(C1490,parametros!$B$2:$B$6,0)),""),"Sim","Nao"))))))</f>
        <v/>
      </c>
      <c r="T1490" s="156"/>
      <c r="U1490" s="214" t="str">
        <f t="shared" si="121"/>
        <v/>
      </c>
      <c r="V1490" s="212" t="s">
        <v>50</v>
      </c>
      <c r="W1490" s="100" t="s">
        <v>168</v>
      </c>
      <c r="X1490" s="100" t="s">
        <v>169</v>
      </c>
      <c r="Y1490" s="101" t="s">
        <v>170</v>
      </c>
      <c r="Z1490" s="101" t="s">
        <v>171</v>
      </c>
      <c r="AA1490" s="101" t="s">
        <v>50</v>
      </c>
      <c r="AB1490" s="101" t="s">
        <v>172</v>
      </c>
      <c r="AC1490" s="102" t="s">
        <v>173</v>
      </c>
    </row>
    <row r="1491" spans="1:29" ht="25.5" customHeight="1" x14ac:dyDescent="0.35">
      <c r="A1491" s="392"/>
      <c r="B1491" s="393"/>
      <c r="C1491" s="99" t="str">
        <f>IF(B1491="","",IF(NOT(ISNUMBER(B1491)),"DATA_PC invalida",IF(NOT(ISNUMBER(parametros!$C$2)),"Fora dos ciclos",IF(OR(B1491&lt;parametros!$C$2,(YEAR(B1491)-YEAR(parametros!$C$2))*12+MONTH(B1491)-MONTH(parametros!$C$2)&gt;59),"Fora dos ciclos","C"&amp;INT(((YEAR(B1491)-YEAR(parametros!$C$2))*12+MONTH(B1491)-MONTH(parametros!$C$2))/12)))))</f>
        <v/>
      </c>
      <c r="D1491" s="394"/>
      <c r="E1491" s="78" t="str">
        <f>IF(C1491="","",IFERROR(VLOOKUP(C1491,parametros!$A$11:$E$15,5,0),""))</f>
        <v/>
      </c>
      <c r="F1491" s="79" t="str">
        <f t="shared" si="117"/>
        <v/>
      </c>
      <c r="G1491" s="395"/>
      <c r="H1491" s="91">
        <f t="shared" si="118"/>
        <v>0</v>
      </c>
      <c r="I1491" s="91" t="str">
        <f t="shared" si="119"/>
        <v/>
      </c>
      <c r="J1491" s="91" t="str">
        <f t="shared" si="120"/>
        <v/>
      </c>
      <c r="K1491" s="92" t="str">
        <f>IF(AND(A1491="",B1491="",D1491="",G1491=""),"",IF(AND(A1491&lt;&gt;"",COUNTIF($A$2:$A$5001,A1491)&gt;1),"NUMERO_PC duplicado",IF(B1491="","DATA_PC vazia",IF(NOT(ISNUMBER(B1491)),"DATA_PC invalida",IF(OR(C1491="",C1491="Fora dos ciclos"),"CICLO_PC nao identificado",IF(OR(D1491="",D1491=0),"VALOR_PC vazio ou zero",IF(AND(G1491&lt;&gt;"Sim",G1491&lt;&gt;"Nao",G1491&lt;&gt;""),"PC_PAGO_A_CONTRATADA invalido",IF(AND(C1491&lt;&gt;"C0",IFERROR(INDEX(parametros!$A$2:$A$6,MATCH(C1491,parametros!$B$2:$B$6,0)),"")="Sim",IFERROR(INDEX(parametros!$H$2:$H$6,MATCH(C1491,parametros!$B$2:$B$6,0)),"")=""),"INICIO_EFEITO ausente: PC "&amp;A1491&amp;" - "&amp;C1491,IF(L1491="","EFEITO_PC nao calculado: PC "&amp;A1491&amp;" - "&amp;C1491,"OK")))))))))</f>
        <v/>
      </c>
      <c r="L1491" s="92" t="str">
        <f>IF(AND(A1491="",B1491="",D1491="",G1491=""),"",IF(OR(B1491="",NOT(ISNUMBER(B1491)),C1491="",C1491="Fora dos ciclos"),"",IF(C1491="C0","Nao",IF(IFERROR(INDEX(parametros!$A$2:$A$6,MATCH(C1491,parametros!$B$2:$B$6,0)),"")&lt;&gt;"Sim","Nao",IF(IFERROR(INDEX(parametros!$H$2:$H$6,MATCH(C1491,parametros!$B$2:$B$6,0)),"")="","",IF(B1491&gt;=IFERROR(INDEX(parametros!$H$2:$H$6,MATCH(C1491,parametros!$B$2:$B$6,0)),""),"Sim","Nao"))))))</f>
        <v/>
      </c>
      <c r="T1491" s="156"/>
      <c r="U1491" s="214" t="str">
        <f t="shared" si="121"/>
        <v/>
      </c>
      <c r="V1491" s="212" t="s">
        <v>50</v>
      </c>
      <c r="W1491" s="100" t="s">
        <v>168</v>
      </c>
      <c r="X1491" s="100" t="s">
        <v>169</v>
      </c>
      <c r="Y1491" s="101" t="s">
        <v>170</v>
      </c>
      <c r="Z1491" s="101" t="s">
        <v>171</v>
      </c>
      <c r="AA1491" s="101" t="s">
        <v>50</v>
      </c>
      <c r="AB1491" s="101" t="s">
        <v>172</v>
      </c>
      <c r="AC1491" s="102" t="s">
        <v>173</v>
      </c>
    </row>
    <row r="1492" spans="1:29" ht="25.5" customHeight="1" x14ac:dyDescent="0.35">
      <c r="A1492" s="392"/>
      <c r="B1492" s="393"/>
      <c r="C1492" s="99" t="str">
        <f>IF(B1492="","",IF(NOT(ISNUMBER(B1492)),"DATA_PC invalida",IF(NOT(ISNUMBER(parametros!$C$2)),"Fora dos ciclos",IF(OR(B1492&lt;parametros!$C$2,(YEAR(B1492)-YEAR(parametros!$C$2))*12+MONTH(B1492)-MONTH(parametros!$C$2)&gt;59),"Fora dos ciclos","C"&amp;INT(((YEAR(B1492)-YEAR(parametros!$C$2))*12+MONTH(B1492)-MONTH(parametros!$C$2))/12)))))</f>
        <v/>
      </c>
      <c r="D1492" s="394"/>
      <c r="E1492" s="78" t="str">
        <f>IF(C1492="","",IFERROR(VLOOKUP(C1492,parametros!$A$11:$E$15,5,0),""))</f>
        <v/>
      </c>
      <c r="F1492" s="79" t="str">
        <f t="shared" si="117"/>
        <v/>
      </c>
      <c r="G1492" s="395"/>
      <c r="H1492" s="91">
        <f t="shared" si="118"/>
        <v>0</v>
      </c>
      <c r="I1492" s="91" t="str">
        <f t="shared" si="119"/>
        <v/>
      </c>
      <c r="J1492" s="91" t="str">
        <f t="shared" si="120"/>
        <v/>
      </c>
      <c r="K1492" s="92" t="str">
        <f>IF(AND(A1492="",B1492="",D1492="",G1492=""),"",IF(AND(A1492&lt;&gt;"",COUNTIF($A$2:$A$5001,A1492)&gt;1),"NUMERO_PC duplicado",IF(B1492="","DATA_PC vazia",IF(NOT(ISNUMBER(B1492)),"DATA_PC invalida",IF(OR(C1492="",C1492="Fora dos ciclos"),"CICLO_PC nao identificado",IF(OR(D1492="",D1492=0),"VALOR_PC vazio ou zero",IF(AND(G1492&lt;&gt;"Sim",G1492&lt;&gt;"Nao",G1492&lt;&gt;""),"PC_PAGO_A_CONTRATADA invalido",IF(AND(C1492&lt;&gt;"C0",IFERROR(INDEX(parametros!$A$2:$A$6,MATCH(C1492,parametros!$B$2:$B$6,0)),"")="Sim",IFERROR(INDEX(parametros!$H$2:$H$6,MATCH(C1492,parametros!$B$2:$B$6,0)),"")=""),"INICIO_EFEITO ausente: PC "&amp;A1492&amp;" - "&amp;C1492,IF(L1492="","EFEITO_PC nao calculado: PC "&amp;A1492&amp;" - "&amp;C1492,"OK")))))))))</f>
        <v/>
      </c>
      <c r="L1492" s="92" t="str">
        <f>IF(AND(A1492="",B1492="",D1492="",G1492=""),"",IF(OR(B1492="",NOT(ISNUMBER(B1492)),C1492="",C1492="Fora dos ciclos"),"",IF(C1492="C0","Nao",IF(IFERROR(INDEX(parametros!$A$2:$A$6,MATCH(C1492,parametros!$B$2:$B$6,0)),"")&lt;&gt;"Sim","Nao",IF(IFERROR(INDEX(parametros!$H$2:$H$6,MATCH(C1492,parametros!$B$2:$B$6,0)),"")="","",IF(B1492&gt;=IFERROR(INDEX(parametros!$H$2:$H$6,MATCH(C1492,parametros!$B$2:$B$6,0)),""),"Sim","Nao"))))))</f>
        <v/>
      </c>
      <c r="T1492" s="156"/>
      <c r="U1492" s="214" t="str">
        <f t="shared" si="121"/>
        <v/>
      </c>
      <c r="V1492" s="212" t="s">
        <v>50</v>
      </c>
      <c r="W1492" s="100" t="s">
        <v>168</v>
      </c>
      <c r="X1492" s="100" t="s">
        <v>169</v>
      </c>
      <c r="Y1492" s="101" t="s">
        <v>170</v>
      </c>
      <c r="Z1492" s="101" t="s">
        <v>171</v>
      </c>
      <c r="AA1492" s="101" t="s">
        <v>50</v>
      </c>
      <c r="AB1492" s="101" t="s">
        <v>172</v>
      </c>
      <c r="AC1492" s="102" t="s">
        <v>173</v>
      </c>
    </row>
    <row r="1493" spans="1:29" ht="25.5" customHeight="1" x14ac:dyDescent="0.35">
      <c r="A1493" s="392"/>
      <c r="B1493" s="393"/>
      <c r="C1493" s="99" t="str">
        <f>IF(B1493="","",IF(NOT(ISNUMBER(B1493)),"DATA_PC invalida",IF(NOT(ISNUMBER(parametros!$C$2)),"Fora dos ciclos",IF(OR(B1493&lt;parametros!$C$2,(YEAR(B1493)-YEAR(parametros!$C$2))*12+MONTH(B1493)-MONTH(parametros!$C$2)&gt;59),"Fora dos ciclos","C"&amp;INT(((YEAR(B1493)-YEAR(parametros!$C$2))*12+MONTH(B1493)-MONTH(parametros!$C$2))/12)))))</f>
        <v/>
      </c>
      <c r="D1493" s="394"/>
      <c r="E1493" s="78" t="str">
        <f>IF(C1493="","",IFERROR(VLOOKUP(C1493,parametros!$A$11:$E$15,5,0),""))</f>
        <v/>
      </c>
      <c r="F1493" s="79" t="str">
        <f t="shared" si="117"/>
        <v/>
      </c>
      <c r="G1493" s="395"/>
      <c r="H1493" s="91">
        <f t="shared" si="118"/>
        <v>0</v>
      </c>
      <c r="I1493" s="91" t="str">
        <f t="shared" si="119"/>
        <v/>
      </c>
      <c r="J1493" s="91" t="str">
        <f t="shared" si="120"/>
        <v/>
      </c>
      <c r="K1493" s="92" t="str">
        <f>IF(AND(A1493="",B1493="",D1493="",G1493=""),"",IF(AND(A1493&lt;&gt;"",COUNTIF($A$2:$A$5001,A1493)&gt;1),"NUMERO_PC duplicado",IF(B1493="","DATA_PC vazia",IF(NOT(ISNUMBER(B1493)),"DATA_PC invalida",IF(OR(C1493="",C1493="Fora dos ciclos"),"CICLO_PC nao identificado",IF(OR(D1493="",D1493=0),"VALOR_PC vazio ou zero",IF(AND(G1493&lt;&gt;"Sim",G1493&lt;&gt;"Nao",G1493&lt;&gt;""),"PC_PAGO_A_CONTRATADA invalido",IF(AND(C1493&lt;&gt;"C0",IFERROR(INDEX(parametros!$A$2:$A$6,MATCH(C1493,parametros!$B$2:$B$6,0)),"")="Sim",IFERROR(INDEX(parametros!$H$2:$H$6,MATCH(C1493,parametros!$B$2:$B$6,0)),"")=""),"INICIO_EFEITO ausente: PC "&amp;A1493&amp;" - "&amp;C1493,IF(L1493="","EFEITO_PC nao calculado: PC "&amp;A1493&amp;" - "&amp;C1493,"OK")))))))))</f>
        <v/>
      </c>
      <c r="L1493" s="92" t="str">
        <f>IF(AND(A1493="",B1493="",D1493="",G1493=""),"",IF(OR(B1493="",NOT(ISNUMBER(B1493)),C1493="",C1493="Fora dos ciclos"),"",IF(C1493="C0","Nao",IF(IFERROR(INDEX(parametros!$A$2:$A$6,MATCH(C1493,parametros!$B$2:$B$6,0)),"")&lt;&gt;"Sim","Nao",IF(IFERROR(INDEX(parametros!$H$2:$H$6,MATCH(C1493,parametros!$B$2:$B$6,0)),"")="","",IF(B1493&gt;=IFERROR(INDEX(parametros!$H$2:$H$6,MATCH(C1493,parametros!$B$2:$B$6,0)),""),"Sim","Nao"))))))</f>
        <v/>
      </c>
      <c r="T1493" s="156"/>
      <c r="U1493" s="214" t="str">
        <f t="shared" si="121"/>
        <v/>
      </c>
      <c r="V1493" s="212" t="s">
        <v>50</v>
      </c>
      <c r="W1493" s="100" t="s">
        <v>168</v>
      </c>
      <c r="X1493" s="100" t="s">
        <v>169</v>
      </c>
      <c r="Y1493" s="101" t="s">
        <v>170</v>
      </c>
      <c r="Z1493" s="101" t="s">
        <v>171</v>
      </c>
      <c r="AA1493" s="101" t="s">
        <v>50</v>
      </c>
      <c r="AB1493" s="101" t="s">
        <v>172</v>
      </c>
      <c r="AC1493" s="102" t="s">
        <v>173</v>
      </c>
    </row>
    <row r="1494" spans="1:29" ht="25.5" customHeight="1" x14ac:dyDescent="0.35">
      <c r="A1494" s="392"/>
      <c r="B1494" s="393"/>
      <c r="C1494" s="99" t="str">
        <f>IF(B1494="","",IF(NOT(ISNUMBER(B1494)),"DATA_PC invalida",IF(NOT(ISNUMBER(parametros!$C$2)),"Fora dos ciclos",IF(OR(B1494&lt;parametros!$C$2,(YEAR(B1494)-YEAR(parametros!$C$2))*12+MONTH(B1494)-MONTH(parametros!$C$2)&gt;59),"Fora dos ciclos","C"&amp;INT(((YEAR(B1494)-YEAR(parametros!$C$2))*12+MONTH(B1494)-MONTH(parametros!$C$2))/12)))))</f>
        <v/>
      </c>
      <c r="D1494" s="394"/>
      <c r="E1494" s="78" t="str">
        <f>IF(C1494="","",IFERROR(VLOOKUP(C1494,parametros!$A$11:$E$15,5,0),""))</f>
        <v/>
      </c>
      <c r="F1494" s="79" t="str">
        <f t="shared" si="117"/>
        <v/>
      </c>
      <c r="G1494" s="395"/>
      <c r="H1494" s="91">
        <f t="shared" si="118"/>
        <v>0</v>
      </c>
      <c r="I1494" s="91" t="str">
        <f t="shared" si="119"/>
        <v/>
      </c>
      <c r="J1494" s="91" t="str">
        <f t="shared" si="120"/>
        <v/>
      </c>
      <c r="K1494" s="92" t="str">
        <f>IF(AND(A1494="",B1494="",D1494="",G1494=""),"",IF(AND(A1494&lt;&gt;"",COUNTIF($A$2:$A$5001,A1494)&gt;1),"NUMERO_PC duplicado",IF(B1494="","DATA_PC vazia",IF(NOT(ISNUMBER(B1494)),"DATA_PC invalida",IF(OR(C1494="",C1494="Fora dos ciclos"),"CICLO_PC nao identificado",IF(OR(D1494="",D1494=0),"VALOR_PC vazio ou zero",IF(AND(G1494&lt;&gt;"Sim",G1494&lt;&gt;"Nao",G1494&lt;&gt;""),"PC_PAGO_A_CONTRATADA invalido",IF(AND(C1494&lt;&gt;"C0",IFERROR(INDEX(parametros!$A$2:$A$6,MATCH(C1494,parametros!$B$2:$B$6,0)),"")="Sim",IFERROR(INDEX(parametros!$H$2:$H$6,MATCH(C1494,parametros!$B$2:$B$6,0)),"")=""),"INICIO_EFEITO ausente: PC "&amp;A1494&amp;" - "&amp;C1494,IF(L1494="","EFEITO_PC nao calculado: PC "&amp;A1494&amp;" - "&amp;C1494,"OK")))))))))</f>
        <v/>
      </c>
      <c r="L1494" s="92" t="str">
        <f>IF(AND(A1494="",B1494="",D1494="",G1494=""),"",IF(OR(B1494="",NOT(ISNUMBER(B1494)),C1494="",C1494="Fora dos ciclos"),"",IF(C1494="C0","Nao",IF(IFERROR(INDEX(parametros!$A$2:$A$6,MATCH(C1494,parametros!$B$2:$B$6,0)),"")&lt;&gt;"Sim","Nao",IF(IFERROR(INDEX(parametros!$H$2:$H$6,MATCH(C1494,parametros!$B$2:$B$6,0)),"")="","",IF(B1494&gt;=IFERROR(INDEX(parametros!$H$2:$H$6,MATCH(C1494,parametros!$B$2:$B$6,0)),""),"Sim","Nao"))))))</f>
        <v/>
      </c>
      <c r="T1494" s="156"/>
      <c r="U1494" s="214" t="str">
        <f t="shared" si="121"/>
        <v/>
      </c>
      <c r="V1494" s="212" t="s">
        <v>50</v>
      </c>
      <c r="W1494" s="100" t="s">
        <v>168</v>
      </c>
      <c r="X1494" s="100" t="s">
        <v>169</v>
      </c>
      <c r="Y1494" s="101" t="s">
        <v>170</v>
      </c>
      <c r="Z1494" s="101" t="s">
        <v>171</v>
      </c>
      <c r="AA1494" s="101" t="s">
        <v>50</v>
      </c>
      <c r="AB1494" s="101" t="s">
        <v>172</v>
      </c>
      <c r="AC1494" s="102" t="s">
        <v>173</v>
      </c>
    </row>
    <row r="1495" spans="1:29" ht="25.5" customHeight="1" x14ac:dyDescent="0.35">
      <c r="A1495" s="392"/>
      <c r="B1495" s="393"/>
      <c r="C1495" s="99" t="str">
        <f>IF(B1495="","",IF(NOT(ISNUMBER(B1495)),"DATA_PC invalida",IF(NOT(ISNUMBER(parametros!$C$2)),"Fora dos ciclos",IF(OR(B1495&lt;parametros!$C$2,(YEAR(B1495)-YEAR(parametros!$C$2))*12+MONTH(B1495)-MONTH(parametros!$C$2)&gt;59),"Fora dos ciclos","C"&amp;INT(((YEAR(B1495)-YEAR(parametros!$C$2))*12+MONTH(B1495)-MONTH(parametros!$C$2))/12)))))</f>
        <v/>
      </c>
      <c r="D1495" s="394"/>
      <c r="E1495" s="78" t="str">
        <f>IF(C1495="","",IFERROR(VLOOKUP(C1495,parametros!$A$11:$E$15,5,0),""))</f>
        <v/>
      </c>
      <c r="F1495" s="79" t="str">
        <f t="shared" si="117"/>
        <v/>
      </c>
      <c r="G1495" s="395"/>
      <c r="H1495" s="91">
        <f t="shared" si="118"/>
        <v>0</v>
      </c>
      <c r="I1495" s="91" t="str">
        <f t="shared" si="119"/>
        <v/>
      </c>
      <c r="J1495" s="91" t="str">
        <f t="shared" si="120"/>
        <v/>
      </c>
      <c r="K1495" s="92" t="str">
        <f>IF(AND(A1495="",B1495="",D1495="",G1495=""),"",IF(AND(A1495&lt;&gt;"",COUNTIF($A$2:$A$5001,A1495)&gt;1),"NUMERO_PC duplicado",IF(B1495="","DATA_PC vazia",IF(NOT(ISNUMBER(B1495)),"DATA_PC invalida",IF(OR(C1495="",C1495="Fora dos ciclos"),"CICLO_PC nao identificado",IF(OR(D1495="",D1495=0),"VALOR_PC vazio ou zero",IF(AND(G1495&lt;&gt;"Sim",G1495&lt;&gt;"Nao",G1495&lt;&gt;""),"PC_PAGO_A_CONTRATADA invalido",IF(AND(C1495&lt;&gt;"C0",IFERROR(INDEX(parametros!$A$2:$A$6,MATCH(C1495,parametros!$B$2:$B$6,0)),"")="Sim",IFERROR(INDEX(parametros!$H$2:$H$6,MATCH(C1495,parametros!$B$2:$B$6,0)),"")=""),"INICIO_EFEITO ausente: PC "&amp;A1495&amp;" - "&amp;C1495,IF(L1495="","EFEITO_PC nao calculado: PC "&amp;A1495&amp;" - "&amp;C1495,"OK")))))))))</f>
        <v/>
      </c>
      <c r="L1495" s="92" t="str">
        <f>IF(AND(A1495="",B1495="",D1495="",G1495=""),"",IF(OR(B1495="",NOT(ISNUMBER(B1495)),C1495="",C1495="Fora dos ciclos"),"",IF(C1495="C0","Nao",IF(IFERROR(INDEX(parametros!$A$2:$A$6,MATCH(C1495,parametros!$B$2:$B$6,0)),"")&lt;&gt;"Sim","Nao",IF(IFERROR(INDEX(parametros!$H$2:$H$6,MATCH(C1495,parametros!$B$2:$B$6,0)),"")="","",IF(B1495&gt;=IFERROR(INDEX(parametros!$H$2:$H$6,MATCH(C1495,parametros!$B$2:$B$6,0)),""),"Sim","Nao"))))))</f>
        <v/>
      </c>
      <c r="T1495" s="156"/>
      <c r="U1495" s="214" t="str">
        <f t="shared" si="121"/>
        <v/>
      </c>
      <c r="V1495" s="212" t="s">
        <v>50</v>
      </c>
      <c r="W1495" s="100" t="s">
        <v>168</v>
      </c>
      <c r="X1495" s="100" t="s">
        <v>169</v>
      </c>
      <c r="Y1495" s="101" t="s">
        <v>170</v>
      </c>
      <c r="Z1495" s="101" t="s">
        <v>171</v>
      </c>
      <c r="AA1495" s="101" t="s">
        <v>50</v>
      </c>
      <c r="AB1495" s="101" t="s">
        <v>172</v>
      </c>
      <c r="AC1495" s="102" t="s">
        <v>173</v>
      </c>
    </row>
    <row r="1496" spans="1:29" ht="25.5" customHeight="1" x14ac:dyDescent="0.35">
      <c r="A1496" s="392"/>
      <c r="B1496" s="393"/>
      <c r="C1496" s="99" t="str">
        <f>IF(B1496="","",IF(NOT(ISNUMBER(B1496)),"DATA_PC invalida",IF(NOT(ISNUMBER(parametros!$C$2)),"Fora dos ciclos",IF(OR(B1496&lt;parametros!$C$2,(YEAR(B1496)-YEAR(parametros!$C$2))*12+MONTH(B1496)-MONTH(parametros!$C$2)&gt;59),"Fora dos ciclos","C"&amp;INT(((YEAR(B1496)-YEAR(parametros!$C$2))*12+MONTH(B1496)-MONTH(parametros!$C$2))/12)))))</f>
        <v/>
      </c>
      <c r="D1496" s="394"/>
      <c r="E1496" s="78" t="str">
        <f>IF(C1496="","",IFERROR(VLOOKUP(C1496,parametros!$A$11:$E$15,5,0),""))</f>
        <v/>
      </c>
      <c r="F1496" s="79" t="str">
        <f t="shared" si="117"/>
        <v/>
      </c>
      <c r="G1496" s="395"/>
      <c r="H1496" s="91">
        <f t="shared" si="118"/>
        <v>0</v>
      </c>
      <c r="I1496" s="91" t="str">
        <f t="shared" si="119"/>
        <v/>
      </c>
      <c r="J1496" s="91" t="str">
        <f t="shared" si="120"/>
        <v/>
      </c>
      <c r="K1496" s="92" t="str">
        <f>IF(AND(A1496="",B1496="",D1496="",G1496=""),"",IF(AND(A1496&lt;&gt;"",COUNTIF($A$2:$A$5001,A1496)&gt;1),"NUMERO_PC duplicado",IF(B1496="","DATA_PC vazia",IF(NOT(ISNUMBER(B1496)),"DATA_PC invalida",IF(OR(C1496="",C1496="Fora dos ciclos"),"CICLO_PC nao identificado",IF(OR(D1496="",D1496=0),"VALOR_PC vazio ou zero",IF(AND(G1496&lt;&gt;"Sim",G1496&lt;&gt;"Nao",G1496&lt;&gt;""),"PC_PAGO_A_CONTRATADA invalido",IF(AND(C1496&lt;&gt;"C0",IFERROR(INDEX(parametros!$A$2:$A$6,MATCH(C1496,parametros!$B$2:$B$6,0)),"")="Sim",IFERROR(INDEX(parametros!$H$2:$H$6,MATCH(C1496,parametros!$B$2:$B$6,0)),"")=""),"INICIO_EFEITO ausente: PC "&amp;A1496&amp;" - "&amp;C1496,IF(L1496="","EFEITO_PC nao calculado: PC "&amp;A1496&amp;" - "&amp;C1496,"OK")))))))))</f>
        <v/>
      </c>
      <c r="L1496" s="92" t="str">
        <f>IF(AND(A1496="",B1496="",D1496="",G1496=""),"",IF(OR(B1496="",NOT(ISNUMBER(B1496)),C1496="",C1496="Fora dos ciclos"),"",IF(C1496="C0","Nao",IF(IFERROR(INDEX(parametros!$A$2:$A$6,MATCH(C1496,parametros!$B$2:$B$6,0)),"")&lt;&gt;"Sim","Nao",IF(IFERROR(INDEX(parametros!$H$2:$H$6,MATCH(C1496,parametros!$B$2:$B$6,0)),"")="","",IF(B1496&gt;=IFERROR(INDEX(parametros!$H$2:$H$6,MATCH(C1496,parametros!$B$2:$B$6,0)),""),"Sim","Nao"))))))</f>
        <v/>
      </c>
      <c r="T1496" s="156"/>
      <c r="U1496" s="214" t="str">
        <f t="shared" si="121"/>
        <v/>
      </c>
      <c r="V1496" s="212" t="s">
        <v>50</v>
      </c>
      <c r="W1496" s="100" t="s">
        <v>168</v>
      </c>
      <c r="X1496" s="100" t="s">
        <v>169</v>
      </c>
      <c r="Y1496" s="101" t="s">
        <v>170</v>
      </c>
      <c r="Z1496" s="101" t="s">
        <v>171</v>
      </c>
      <c r="AA1496" s="101" t="s">
        <v>50</v>
      </c>
      <c r="AB1496" s="101" t="s">
        <v>172</v>
      </c>
      <c r="AC1496" s="102" t="s">
        <v>173</v>
      </c>
    </row>
    <row r="1497" spans="1:29" ht="25.5" customHeight="1" x14ac:dyDescent="0.35">
      <c r="A1497" s="392"/>
      <c r="B1497" s="393"/>
      <c r="C1497" s="99" t="str">
        <f>IF(B1497="","",IF(NOT(ISNUMBER(B1497)),"DATA_PC invalida",IF(NOT(ISNUMBER(parametros!$C$2)),"Fora dos ciclos",IF(OR(B1497&lt;parametros!$C$2,(YEAR(B1497)-YEAR(parametros!$C$2))*12+MONTH(B1497)-MONTH(parametros!$C$2)&gt;59),"Fora dos ciclos","C"&amp;INT(((YEAR(B1497)-YEAR(parametros!$C$2))*12+MONTH(B1497)-MONTH(parametros!$C$2))/12)))))</f>
        <v/>
      </c>
      <c r="D1497" s="394"/>
      <c r="E1497" s="78" t="str">
        <f>IF(C1497="","",IFERROR(VLOOKUP(C1497,parametros!$A$11:$E$15,5,0),""))</f>
        <v/>
      </c>
      <c r="F1497" s="79" t="str">
        <f t="shared" si="117"/>
        <v/>
      </c>
      <c r="G1497" s="395"/>
      <c r="H1497" s="91">
        <f t="shared" si="118"/>
        <v>0</v>
      </c>
      <c r="I1497" s="91" t="str">
        <f t="shared" si="119"/>
        <v/>
      </c>
      <c r="J1497" s="91" t="str">
        <f t="shared" si="120"/>
        <v/>
      </c>
      <c r="K1497" s="92" t="str">
        <f>IF(AND(A1497="",B1497="",D1497="",G1497=""),"",IF(AND(A1497&lt;&gt;"",COUNTIF($A$2:$A$5001,A1497)&gt;1),"NUMERO_PC duplicado",IF(B1497="","DATA_PC vazia",IF(NOT(ISNUMBER(B1497)),"DATA_PC invalida",IF(OR(C1497="",C1497="Fora dos ciclos"),"CICLO_PC nao identificado",IF(OR(D1497="",D1497=0),"VALOR_PC vazio ou zero",IF(AND(G1497&lt;&gt;"Sim",G1497&lt;&gt;"Nao",G1497&lt;&gt;""),"PC_PAGO_A_CONTRATADA invalido",IF(AND(C1497&lt;&gt;"C0",IFERROR(INDEX(parametros!$A$2:$A$6,MATCH(C1497,parametros!$B$2:$B$6,0)),"")="Sim",IFERROR(INDEX(parametros!$H$2:$H$6,MATCH(C1497,parametros!$B$2:$B$6,0)),"")=""),"INICIO_EFEITO ausente: PC "&amp;A1497&amp;" - "&amp;C1497,IF(L1497="","EFEITO_PC nao calculado: PC "&amp;A1497&amp;" - "&amp;C1497,"OK")))))))))</f>
        <v/>
      </c>
      <c r="L1497" s="92" t="str">
        <f>IF(AND(A1497="",B1497="",D1497="",G1497=""),"",IF(OR(B1497="",NOT(ISNUMBER(B1497)),C1497="",C1497="Fora dos ciclos"),"",IF(C1497="C0","Nao",IF(IFERROR(INDEX(parametros!$A$2:$A$6,MATCH(C1497,parametros!$B$2:$B$6,0)),"")&lt;&gt;"Sim","Nao",IF(IFERROR(INDEX(parametros!$H$2:$H$6,MATCH(C1497,parametros!$B$2:$B$6,0)),"")="","",IF(B1497&gt;=IFERROR(INDEX(parametros!$H$2:$H$6,MATCH(C1497,parametros!$B$2:$B$6,0)),""),"Sim","Nao"))))))</f>
        <v/>
      </c>
      <c r="T1497" s="156"/>
      <c r="U1497" s="214" t="str">
        <f t="shared" si="121"/>
        <v/>
      </c>
      <c r="V1497" s="212" t="s">
        <v>50</v>
      </c>
      <c r="W1497" s="100" t="s">
        <v>168</v>
      </c>
      <c r="X1497" s="100" t="s">
        <v>169</v>
      </c>
      <c r="Y1497" s="101" t="s">
        <v>170</v>
      </c>
      <c r="Z1497" s="101" t="s">
        <v>171</v>
      </c>
      <c r="AA1497" s="101" t="s">
        <v>50</v>
      </c>
      <c r="AB1497" s="101" t="s">
        <v>172</v>
      </c>
      <c r="AC1497" s="102" t="s">
        <v>173</v>
      </c>
    </row>
    <row r="1498" spans="1:29" ht="25.5" customHeight="1" x14ac:dyDescent="0.35">
      <c r="A1498" s="392"/>
      <c r="B1498" s="393"/>
      <c r="C1498" s="99" t="str">
        <f>IF(B1498="","",IF(NOT(ISNUMBER(B1498)),"DATA_PC invalida",IF(NOT(ISNUMBER(parametros!$C$2)),"Fora dos ciclos",IF(OR(B1498&lt;parametros!$C$2,(YEAR(B1498)-YEAR(parametros!$C$2))*12+MONTH(B1498)-MONTH(parametros!$C$2)&gt;59),"Fora dos ciclos","C"&amp;INT(((YEAR(B1498)-YEAR(parametros!$C$2))*12+MONTH(B1498)-MONTH(parametros!$C$2))/12)))))</f>
        <v/>
      </c>
      <c r="D1498" s="394"/>
      <c r="E1498" s="78" t="str">
        <f>IF(C1498="","",IFERROR(VLOOKUP(C1498,parametros!$A$11:$E$15,5,0),""))</f>
        <v/>
      </c>
      <c r="F1498" s="79" t="str">
        <f t="shared" si="117"/>
        <v/>
      </c>
      <c r="G1498" s="395"/>
      <c r="H1498" s="91">
        <f t="shared" si="118"/>
        <v>0</v>
      </c>
      <c r="I1498" s="91" t="str">
        <f t="shared" si="119"/>
        <v/>
      </c>
      <c r="J1498" s="91" t="str">
        <f t="shared" si="120"/>
        <v/>
      </c>
      <c r="K1498" s="92" t="str">
        <f>IF(AND(A1498="",B1498="",D1498="",G1498=""),"",IF(AND(A1498&lt;&gt;"",COUNTIF($A$2:$A$5001,A1498)&gt;1),"NUMERO_PC duplicado",IF(B1498="","DATA_PC vazia",IF(NOT(ISNUMBER(B1498)),"DATA_PC invalida",IF(OR(C1498="",C1498="Fora dos ciclos"),"CICLO_PC nao identificado",IF(OR(D1498="",D1498=0),"VALOR_PC vazio ou zero",IF(AND(G1498&lt;&gt;"Sim",G1498&lt;&gt;"Nao",G1498&lt;&gt;""),"PC_PAGO_A_CONTRATADA invalido",IF(AND(C1498&lt;&gt;"C0",IFERROR(INDEX(parametros!$A$2:$A$6,MATCH(C1498,parametros!$B$2:$B$6,0)),"")="Sim",IFERROR(INDEX(parametros!$H$2:$H$6,MATCH(C1498,parametros!$B$2:$B$6,0)),"")=""),"INICIO_EFEITO ausente: PC "&amp;A1498&amp;" - "&amp;C1498,IF(L1498="","EFEITO_PC nao calculado: PC "&amp;A1498&amp;" - "&amp;C1498,"OK")))))))))</f>
        <v/>
      </c>
      <c r="L1498" s="92" t="str">
        <f>IF(AND(A1498="",B1498="",D1498="",G1498=""),"",IF(OR(B1498="",NOT(ISNUMBER(B1498)),C1498="",C1498="Fora dos ciclos"),"",IF(C1498="C0","Nao",IF(IFERROR(INDEX(parametros!$A$2:$A$6,MATCH(C1498,parametros!$B$2:$B$6,0)),"")&lt;&gt;"Sim","Nao",IF(IFERROR(INDEX(parametros!$H$2:$H$6,MATCH(C1498,parametros!$B$2:$B$6,0)),"")="","",IF(B1498&gt;=IFERROR(INDEX(parametros!$H$2:$H$6,MATCH(C1498,parametros!$B$2:$B$6,0)),""),"Sim","Nao"))))))</f>
        <v/>
      </c>
      <c r="T1498" s="156"/>
      <c r="U1498" s="214" t="str">
        <f t="shared" si="121"/>
        <v/>
      </c>
      <c r="V1498" s="212" t="s">
        <v>50</v>
      </c>
      <c r="W1498" s="100" t="s">
        <v>168</v>
      </c>
      <c r="X1498" s="100" t="s">
        <v>169</v>
      </c>
      <c r="Y1498" s="101" t="s">
        <v>170</v>
      </c>
      <c r="Z1498" s="101" t="s">
        <v>171</v>
      </c>
      <c r="AA1498" s="101" t="s">
        <v>50</v>
      </c>
      <c r="AB1498" s="101" t="s">
        <v>172</v>
      </c>
      <c r="AC1498" s="102" t="s">
        <v>173</v>
      </c>
    </row>
    <row r="1499" spans="1:29" ht="25.5" customHeight="1" x14ac:dyDescent="0.35">
      <c r="A1499" s="392"/>
      <c r="B1499" s="393"/>
      <c r="C1499" s="99" t="str">
        <f>IF(B1499="","",IF(NOT(ISNUMBER(B1499)),"DATA_PC invalida",IF(NOT(ISNUMBER(parametros!$C$2)),"Fora dos ciclos",IF(OR(B1499&lt;parametros!$C$2,(YEAR(B1499)-YEAR(parametros!$C$2))*12+MONTH(B1499)-MONTH(parametros!$C$2)&gt;59),"Fora dos ciclos","C"&amp;INT(((YEAR(B1499)-YEAR(parametros!$C$2))*12+MONTH(B1499)-MONTH(parametros!$C$2))/12)))))</f>
        <v/>
      </c>
      <c r="D1499" s="394"/>
      <c r="E1499" s="78" t="str">
        <f>IF(C1499="","",IFERROR(VLOOKUP(C1499,parametros!$A$11:$E$15,5,0),""))</f>
        <v/>
      </c>
      <c r="F1499" s="79" t="str">
        <f t="shared" si="117"/>
        <v/>
      </c>
      <c r="G1499" s="395"/>
      <c r="H1499" s="91">
        <f t="shared" si="118"/>
        <v>0</v>
      </c>
      <c r="I1499" s="91" t="str">
        <f t="shared" si="119"/>
        <v/>
      </c>
      <c r="J1499" s="91" t="str">
        <f t="shared" si="120"/>
        <v/>
      </c>
      <c r="K1499" s="92" t="str">
        <f>IF(AND(A1499="",B1499="",D1499="",G1499=""),"",IF(AND(A1499&lt;&gt;"",COUNTIF($A$2:$A$5001,A1499)&gt;1),"NUMERO_PC duplicado",IF(B1499="","DATA_PC vazia",IF(NOT(ISNUMBER(B1499)),"DATA_PC invalida",IF(OR(C1499="",C1499="Fora dos ciclos"),"CICLO_PC nao identificado",IF(OR(D1499="",D1499=0),"VALOR_PC vazio ou zero",IF(AND(G1499&lt;&gt;"Sim",G1499&lt;&gt;"Nao",G1499&lt;&gt;""),"PC_PAGO_A_CONTRATADA invalido",IF(AND(C1499&lt;&gt;"C0",IFERROR(INDEX(parametros!$A$2:$A$6,MATCH(C1499,parametros!$B$2:$B$6,0)),"")="Sim",IFERROR(INDEX(parametros!$H$2:$H$6,MATCH(C1499,parametros!$B$2:$B$6,0)),"")=""),"INICIO_EFEITO ausente: PC "&amp;A1499&amp;" - "&amp;C1499,IF(L1499="","EFEITO_PC nao calculado: PC "&amp;A1499&amp;" - "&amp;C1499,"OK")))))))))</f>
        <v/>
      </c>
      <c r="L1499" s="92" t="str">
        <f>IF(AND(A1499="",B1499="",D1499="",G1499=""),"",IF(OR(B1499="",NOT(ISNUMBER(B1499)),C1499="",C1499="Fora dos ciclos"),"",IF(C1499="C0","Nao",IF(IFERROR(INDEX(parametros!$A$2:$A$6,MATCH(C1499,parametros!$B$2:$B$6,0)),"")&lt;&gt;"Sim","Nao",IF(IFERROR(INDEX(parametros!$H$2:$H$6,MATCH(C1499,parametros!$B$2:$B$6,0)),"")="","",IF(B1499&gt;=IFERROR(INDEX(parametros!$H$2:$H$6,MATCH(C1499,parametros!$B$2:$B$6,0)),""),"Sim","Nao"))))))</f>
        <v/>
      </c>
      <c r="T1499" s="156"/>
      <c r="U1499" s="214" t="str">
        <f t="shared" si="121"/>
        <v/>
      </c>
      <c r="V1499" s="212" t="s">
        <v>50</v>
      </c>
      <c r="W1499" s="100" t="s">
        <v>168</v>
      </c>
      <c r="X1499" s="100" t="s">
        <v>169</v>
      </c>
      <c r="Y1499" s="101" t="s">
        <v>170</v>
      </c>
      <c r="Z1499" s="101" t="s">
        <v>171</v>
      </c>
      <c r="AA1499" s="101" t="s">
        <v>50</v>
      </c>
      <c r="AB1499" s="101" t="s">
        <v>172</v>
      </c>
      <c r="AC1499" s="102" t="s">
        <v>173</v>
      </c>
    </row>
    <row r="1500" spans="1:29" ht="25.5" customHeight="1" x14ac:dyDescent="0.35">
      <c r="A1500" s="392"/>
      <c r="B1500" s="393"/>
      <c r="C1500" s="99" t="str">
        <f>IF(B1500="","",IF(NOT(ISNUMBER(B1500)),"DATA_PC invalida",IF(NOT(ISNUMBER(parametros!$C$2)),"Fora dos ciclos",IF(OR(B1500&lt;parametros!$C$2,(YEAR(B1500)-YEAR(parametros!$C$2))*12+MONTH(B1500)-MONTH(parametros!$C$2)&gt;59),"Fora dos ciclos","C"&amp;INT(((YEAR(B1500)-YEAR(parametros!$C$2))*12+MONTH(B1500)-MONTH(parametros!$C$2))/12)))))</f>
        <v/>
      </c>
      <c r="D1500" s="394"/>
      <c r="E1500" s="78" t="str">
        <f>IF(C1500="","",IFERROR(VLOOKUP(C1500,parametros!$A$11:$E$15,5,0),""))</f>
        <v/>
      </c>
      <c r="F1500" s="79" t="str">
        <f t="shared" si="117"/>
        <v/>
      </c>
      <c r="G1500" s="395"/>
      <c r="H1500" s="91">
        <f t="shared" si="118"/>
        <v>0</v>
      </c>
      <c r="I1500" s="91" t="str">
        <f t="shared" si="119"/>
        <v/>
      </c>
      <c r="J1500" s="91" t="str">
        <f t="shared" si="120"/>
        <v/>
      </c>
      <c r="K1500" s="92" t="str">
        <f>IF(AND(A1500="",B1500="",D1500="",G1500=""),"",IF(AND(A1500&lt;&gt;"",COUNTIF($A$2:$A$5001,A1500)&gt;1),"NUMERO_PC duplicado",IF(B1500="","DATA_PC vazia",IF(NOT(ISNUMBER(B1500)),"DATA_PC invalida",IF(OR(C1500="",C1500="Fora dos ciclos"),"CICLO_PC nao identificado",IF(OR(D1500="",D1500=0),"VALOR_PC vazio ou zero",IF(AND(G1500&lt;&gt;"Sim",G1500&lt;&gt;"Nao",G1500&lt;&gt;""),"PC_PAGO_A_CONTRATADA invalido",IF(AND(C1500&lt;&gt;"C0",IFERROR(INDEX(parametros!$A$2:$A$6,MATCH(C1500,parametros!$B$2:$B$6,0)),"")="Sim",IFERROR(INDEX(parametros!$H$2:$H$6,MATCH(C1500,parametros!$B$2:$B$6,0)),"")=""),"INICIO_EFEITO ausente: PC "&amp;A1500&amp;" - "&amp;C1500,IF(L1500="","EFEITO_PC nao calculado: PC "&amp;A1500&amp;" - "&amp;C1500,"OK")))))))))</f>
        <v/>
      </c>
      <c r="L1500" s="92" t="str">
        <f>IF(AND(A1500="",B1500="",D1500="",G1500=""),"",IF(OR(B1500="",NOT(ISNUMBER(B1500)),C1500="",C1500="Fora dos ciclos"),"",IF(C1500="C0","Nao",IF(IFERROR(INDEX(parametros!$A$2:$A$6,MATCH(C1500,parametros!$B$2:$B$6,0)),"")&lt;&gt;"Sim","Nao",IF(IFERROR(INDEX(parametros!$H$2:$H$6,MATCH(C1500,parametros!$B$2:$B$6,0)),"")="","",IF(B1500&gt;=IFERROR(INDEX(parametros!$H$2:$H$6,MATCH(C1500,parametros!$B$2:$B$6,0)),""),"Sim","Nao"))))))</f>
        <v/>
      </c>
      <c r="T1500" s="156"/>
      <c r="U1500" s="214" t="str">
        <f t="shared" si="121"/>
        <v/>
      </c>
      <c r="V1500" s="212" t="s">
        <v>50</v>
      </c>
      <c r="W1500" s="100" t="s">
        <v>168</v>
      </c>
      <c r="X1500" s="100" t="s">
        <v>169</v>
      </c>
      <c r="Y1500" s="101" t="s">
        <v>170</v>
      </c>
      <c r="Z1500" s="101" t="s">
        <v>171</v>
      </c>
      <c r="AA1500" s="101" t="s">
        <v>50</v>
      </c>
      <c r="AB1500" s="101" t="s">
        <v>172</v>
      </c>
      <c r="AC1500" s="102" t="s">
        <v>173</v>
      </c>
    </row>
    <row r="1501" spans="1:29" ht="25.5" customHeight="1" x14ac:dyDescent="0.35">
      <c r="A1501" s="392"/>
      <c r="B1501" s="393"/>
      <c r="C1501" s="99" t="str">
        <f>IF(B1501="","",IF(NOT(ISNUMBER(B1501)),"DATA_PC invalida",IF(NOT(ISNUMBER(parametros!$C$2)),"Fora dos ciclos",IF(OR(B1501&lt;parametros!$C$2,(YEAR(B1501)-YEAR(parametros!$C$2))*12+MONTH(B1501)-MONTH(parametros!$C$2)&gt;59),"Fora dos ciclos","C"&amp;INT(((YEAR(B1501)-YEAR(parametros!$C$2))*12+MONTH(B1501)-MONTH(parametros!$C$2))/12)))))</f>
        <v/>
      </c>
      <c r="D1501" s="394"/>
      <c r="E1501" s="78" t="str">
        <f>IF(C1501="","",IFERROR(VLOOKUP(C1501,parametros!$A$11:$E$15,5,0),""))</f>
        <v/>
      </c>
      <c r="F1501" s="79" t="str">
        <f t="shared" si="117"/>
        <v/>
      </c>
      <c r="G1501" s="395"/>
      <c r="H1501" s="91">
        <f t="shared" si="118"/>
        <v>0</v>
      </c>
      <c r="I1501" s="91" t="str">
        <f t="shared" si="119"/>
        <v/>
      </c>
      <c r="J1501" s="91" t="str">
        <f t="shared" si="120"/>
        <v/>
      </c>
      <c r="K1501" s="92" t="str">
        <f>IF(AND(A1501="",B1501="",D1501="",G1501=""),"",IF(AND(A1501&lt;&gt;"",COUNTIF($A$2:$A$5001,A1501)&gt;1),"NUMERO_PC duplicado",IF(B1501="","DATA_PC vazia",IF(NOT(ISNUMBER(B1501)),"DATA_PC invalida",IF(OR(C1501="",C1501="Fora dos ciclos"),"CICLO_PC nao identificado",IF(OR(D1501="",D1501=0),"VALOR_PC vazio ou zero",IF(AND(G1501&lt;&gt;"Sim",G1501&lt;&gt;"Nao",G1501&lt;&gt;""),"PC_PAGO_A_CONTRATADA invalido",IF(AND(C1501&lt;&gt;"C0",IFERROR(INDEX(parametros!$A$2:$A$6,MATCH(C1501,parametros!$B$2:$B$6,0)),"")="Sim",IFERROR(INDEX(parametros!$H$2:$H$6,MATCH(C1501,parametros!$B$2:$B$6,0)),"")=""),"INICIO_EFEITO ausente: PC "&amp;A1501&amp;" - "&amp;C1501,IF(L1501="","EFEITO_PC nao calculado: PC "&amp;A1501&amp;" - "&amp;C1501,"OK")))))))))</f>
        <v/>
      </c>
      <c r="L1501" s="92" t="str">
        <f>IF(AND(A1501="",B1501="",D1501="",G1501=""),"",IF(OR(B1501="",NOT(ISNUMBER(B1501)),C1501="",C1501="Fora dos ciclos"),"",IF(C1501="C0","Nao",IF(IFERROR(INDEX(parametros!$A$2:$A$6,MATCH(C1501,parametros!$B$2:$B$6,0)),"")&lt;&gt;"Sim","Nao",IF(IFERROR(INDEX(parametros!$H$2:$H$6,MATCH(C1501,parametros!$B$2:$B$6,0)),"")="","",IF(B1501&gt;=IFERROR(INDEX(parametros!$H$2:$H$6,MATCH(C1501,parametros!$B$2:$B$6,0)),""),"Sim","Nao"))))))</f>
        <v/>
      </c>
      <c r="T1501" s="156"/>
      <c r="U1501" s="214" t="str">
        <f t="shared" si="121"/>
        <v/>
      </c>
      <c r="V1501" s="212" t="s">
        <v>50</v>
      </c>
      <c r="W1501" s="100" t="s">
        <v>168</v>
      </c>
      <c r="X1501" s="100" t="s">
        <v>169</v>
      </c>
      <c r="Y1501" s="101" t="s">
        <v>170</v>
      </c>
      <c r="Z1501" s="101" t="s">
        <v>171</v>
      </c>
      <c r="AA1501" s="101" t="s">
        <v>50</v>
      </c>
      <c r="AB1501" s="101" t="s">
        <v>172</v>
      </c>
      <c r="AC1501" s="102" t="s">
        <v>173</v>
      </c>
    </row>
    <row r="1502" spans="1:29" ht="25.5" customHeight="1" x14ac:dyDescent="0.35">
      <c r="A1502" s="392"/>
      <c r="B1502" s="393"/>
      <c r="C1502" s="99" t="str">
        <f>IF(B1502="","",IF(NOT(ISNUMBER(B1502)),"DATA_PC invalida",IF(NOT(ISNUMBER(parametros!$C$2)),"Fora dos ciclos",IF(OR(B1502&lt;parametros!$C$2,(YEAR(B1502)-YEAR(parametros!$C$2))*12+MONTH(B1502)-MONTH(parametros!$C$2)&gt;59),"Fora dos ciclos","C"&amp;INT(((YEAR(B1502)-YEAR(parametros!$C$2))*12+MONTH(B1502)-MONTH(parametros!$C$2))/12)))))</f>
        <v/>
      </c>
      <c r="D1502" s="394"/>
      <c r="E1502" s="78" t="str">
        <f>IF(C1502="","",IFERROR(VLOOKUP(C1502,parametros!$A$11:$E$15,5,0),""))</f>
        <v/>
      </c>
      <c r="F1502" s="79" t="str">
        <f t="shared" si="117"/>
        <v/>
      </c>
      <c r="G1502" s="395"/>
      <c r="H1502" s="91">
        <f t="shared" si="118"/>
        <v>0</v>
      </c>
      <c r="I1502" s="91" t="str">
        <f t="shared" si="119"/>
        <v/>
      </c>
      <c r="J1502" s="91" t="str">
        <f t="shared" si="120"/>
        <v/>
      </c>
      <c r="K1502" s="92" t="str">
        <f>IF(AND(A1502="",B1502="",D1502="",G1502=""),"",IF(AND(A1502&lt;&gt;"",COUNTIF($A$2:$A$5001,A1502)&gt;1),"NUMERO_PC duplicado",IF(B1502="","DATA_PC vazia",IF(NOT(ISNUMBER(B1502)),"DATA_PC invalida",IF(OR(C1502="",C1502="Fora dos ciclos"),"CICLO_PC nao identificado",IF(OR(D1502="",D1502=0),"VALOR_PC vazio ou zero",IF(AND(G1502&lt;&gt;"Sim",G1502&lt;&gt;"Nao",G1502&lt;&gt;""),"PC_PAGO_A_CONTRATADA invalido",IF(AND(C1502&lt;&gt;"C0",IFERROR(INDEX(parametros!$A$2:$A$6,MATCH(C1502,parametros!$B$2:$B$6,0)),"")="Sim",IFERROR(INDEX(parametros!$H$2:$H$6,MATCH(C1502,parametros!$B$2:$B$6,0)),"")=""),"INICIO_EFEITO ausente: PC "&amp;A1502&amp;" - "&amp;C1502,IF(L1502="","EFEITO_PC nao calculado: PC "&amp;A1502&amp;" - "&amp;C1502,"OK")))))))))</f>
        <v/>
      </c>
      <c r="L1502" s="92" t="str">
        <f>IF(AND(A1502="",B1502="",D1502="",G1502=""),"",IF(OR(B1502="",NOT(ISNUMBER(B1502)),C1502="",C1502="Fora dos ciclos"),"",IF(C1502="C0","Nao",IF(IFERROR(INDEX(parametros!$A$2:$A$6,MATCH(C1502,parametros!$B$2:$B$6,0)),"")&lt;&gt;"Sim","Nao",IF(IFERROR(INDEX(parametros!$H$2:$H$6,MATCH(C1502,parametros!$B$2:$B$6,0)),"")="","",IF(B1502&gt;=IFERROR(INDEX(parametros!$H$2:$H$6,MATCH(C1502,parametros!$B$2:$B$6,0)),""),"Sim","Nao"))))))</f>
        <v/>
      </c>
      <c r="T1502" s="156"/>
      <c r="U1502" s="214" t="str">
        <f t="shared" si="121"/>
        <v/>
      </c>
      <c r="V1502" s="212" t="s">
        <v>50</v>
      </c>
      <c r="W1502" s="100" t="s">
        <v>168</v>
      </c>
      <c r="X1502" s="100" t="s">
        <v>169</v>
      </c>
      <c r="Y1502" s="101" t="s">
        <v>170</v>
      </c>
      <c r="Z1502" s="101" t="s">
        <v>171</v>
      </c>
      <c r="AA1502" s="101" t="s">
        <v>50</v>
      </c>
      <c r="AB1502" s="101" t="s">
        <v>172</v>
      </c>
      <c r="AC1502" s="102" t="s">
        <v>173</v>
      </c>
    </row>
    <row r="1503" spans="1:29" ht="25.5" customHeight="1" x14ac:dyDescent="0.35">
      <c r="A1503" s="392"/>
      <c r="B1503" s="393"/>
      <c r="C1503" s="99" t="str">
        <f>IF(B1503="","",IF(NOT(ISNUMBER(B1503)),"DATA_PC invalida",IF(NOT(ISNUMBER(parametros!$C$2)),"Fora dos ciclos",IF(OR(B1503&lt;parametros!$C$2,(YEAR(B1503)-YEAR(parametros!$C$2))*12+MONTH(B1503)-MONTH(parametros!$C$2)&gt;59),"Fora dos ciclos","C"&amp;INT(((YEAR(B1503)-YEAR(parametros!$C$2))*12+MONTH(B1503)-MONTH(parametros!$C$2))/12)))))</f>
        <v/>
      </c>
      <c r="D1503" s="394"/>
      <c r="E1503" s="78" t="str">
        <f>IF(C1503="","",IFERROR(VLOOKUP(C1503,parametros!$A$11:$E$15,5,0),""))</f>
        <v/>
      </c>
      <c r="F1503" s="79" t="str">
        <f t="shared" si="117"/>
        <v/>
      </c>
      <c r="G1503" s="395"/>
      <c r="H1503" s="91">
        <f t="shared" si="118"/>
        <v>0</v>
      </c>
      <c r="I1503" s="91" t="str">
        <f t="shared" si="119"/>
        <v/>
      </c>
      <c r="J1503" s="91" t="str">
        <f t="shared" si="120"/>
        <v/>
      </c>
      <c r="K1503" s="92" t="str">
        <f>IF(AND(A1503="",B1503="",D1503="",G1503=""),"",IF(AND(A1503&lt;&gt;"",COUNTIF($A$2:$A$5001,A1503)&gt;1),"NUMERO_PC duplicado",IF(B1503="","DATA_PC vazia",IF(NOT(ISNUMBER(B1503)),"DATA_PC invalida",IF(OR(C1503="",C1503="Fora dos ciclos"),"CICLO_PC nao identificado",IF(OR(D1503="",D1503=0),"VALOR_PC vazio ou zero",IF(AND(G1503&lt;&gt;"Sim",G1503&lt;&gt;"Nao",G1503&lt;&gt;""),"PC_PAGO_A_CONTRATADA invalido",IF(AND(C1503&lt;&gt;"C0",IFERROR(INDEX(parametros!$A$2:$A$6,MATCH(C1503,parametros!$B$2:$B$6,0)),"")="Sim",IFERROR(INDEX(parametros!$H$2:$H$6,MATCH(C1503,parametros!$B$2:$B$6,0)),"")=""),"INICIO_EFEITO ausente: PC "&amp;A1503&amp;" - "&amp;C1503,IF(L1503="","EFEITO_PC nao calculado: PC "&amp;A1503&amp;" - "&amp;C1503,"OK")))))))))</f>
        <v/>
      </c>
      <c r="L1503" s="92" t="str">
        <f>IF(AND(A1503="",B1503="",D1503="",G1503=""),"",IF(OR(B1503="",NOT(ISNUMBER(B1503)),C1503="",C1503="Fora dos ciclos"),"",IF(C1503="C0","Nao",IF(IFERROR(INDEX(parametros!$A$2:$A$6,MATCH(C1503,parametros!$B$2:$B$6,0)),"")&lt;&gt;"Sim","Nao",IF(IFERROR(INDEX(parametros!$H$2:$H$6,MATCH(C1503,parametros!$B$2:$B$6,0)),"")="","",IF(B1503&gt;=IFERROR(INDEX(parametros!$H$2:$H$6,MATCH(C1503,parametros!$B$2:$B$6,0)),""),"Sim","Nao"))))))</f>
        <v/>
      </c>
      <c r="T1503" s="156"/>
      <c r="U1503" s="214" t="str">
        <f t="shared" si="121"/>
        <v/>
      </c>
      <c r="V1503" s="212" t="s">
        <v>50</v>
      </c>
      <c r="W1503" s="100" t="s">
        <v>168</v>
      </c>
      <c r="X1503" s="100" t="s">
        <v>169</v>
      </c>
      <c r="Y1503" s="101" t="s">
        <v>170</v>
      </c>
      <c r="Z1503" s="101" t="s">
        <v>171</v>
      </c>
      <c r="AA1503" s="101" t="s">
        <v>50</v>
      </c>
      <c r="AB1503" s="101" t="s">
        <v>172</v>
      </c>
      <c r="AC1503" s="102" t="s">
        <v>173</v>
      </c>
    </row>
    <row r="1504" spans="1:29" ht="25.5" customHeight="1" x14ac:dyDescent="0.35">
      <c r="A1504" s="392"/>
      <c r="B1504" s="393"/>
      <c r="C1504" s="99" t="str">
        <f>IF(B1504="","",IF(NOT(ISNUMBER(B1504)),"DATA_PC invalida",IF(NOT(ISNUMBER(parametros!$C$2)),"Fora dos ciclos",IF(OR(B1504&lt;parametros!$C$2,(YEAR(B1504)-YEAR(parametros!$C$2))*12+MONTH(B1504)-MONTH(parametros!$C$2)&gt;59),"Fora dos ciclos","C"&amp;INT(((YEAR(B1504)-YEAR(parametros!$C$2))*12+MONTH(B1504)-MONTH(parametros!$C$2))/12)))))</f>
        <v/>
      </c>
      <c r="D1504" s="394"/>
      <c r="E1504" s="78" t="str">
        <f>IF(C1504="","",IFERROR(VLOOKUP(C1504,parametros!$A$11:$E$15,5,0),""))</f>
        <v/>
      </c>
      <c r="F1504" s="79" t="str">
        <f t="shared" si="117"/>
        <v/>
      </c>
      <c r="G1504" s="395"/>
      <c r="H1504" s="91">
        <f t="shared" si="118"/>
        <v>0</v>
      </c>
      <c r="I1504" s="91" t="str">
        <f t="shared" si="119"/>
        <v/>
      </c>
      <c r="J1504" s="91" t="str">
        <f t="shared" si="120"/>
        <v/>
      </c>
      <c r="K1504" s="92" t="str">
        <f>IF(AND(A1504="",B1504="",D1504="",G1504=""),"",IF(AND(A1504&lt;&gt;"",COUNTIF($A$2:$A$5001,A1504)&gt;1),"NUMERO_PC duplicado",IF(B1504="","DATA_PC vazia",IF(NOT(ISNUMBER(B1504)),"DATA_PC invalida",IF(OR(C1504="",C1504="Fora dos ciclos"),"CICLO_PC nao identificado",IF(OR(D1504="",D1504=0),"VALOR_PC vazio ou zero",IF(AND(G1504&lt;&gt;"Sim",G1504&lt;&gt;"Nao",G1504&lt;&gt;""),"PC_PAGO_A_CONTRATADA invalido",IF(AND(C1504&lt;&gt;"C0",IFERROR(INDEX(parametros!$A$2:$A$6,MATCH(C1504,parametros!$B$2:$B$6,0)),"")="Sim",IFERROR(INDEX(parametros!$H$2:$H$6,MATCH(C1504,parametros!$B$2:$B$6,0)),"")=""),"INICIO_EFEITO ausente: PC "&amp;A1504&amp;" - "&amp;C1504,IF(L1504="","EFEITO_PC nao calculado: PC "&amp;A1504&amp;" - "&amp;C1504,"OK")))))))))</f>
        <v/>
      </c>
      <c r="L1504" s="92" t="str">
        <f>IF(AND(A1504="",B1504="",D1504="",G1504=""),"",IF(OR(B1504="",NOT(ISNUMBER(B1504)),C1504="",C1504="Fora dos ciclos"),"",IF(C1504="C0","Nao",IF(IFERROR(INDEX(parametros!$A$2:$A$6,MATCH(C1504,parametros!$B$2:$B$6,0)),"")&lt;&gt;"Sim","Nao",IF(IFERROR(INDEX(parametros!$H$2:$H$6,MATCH(C1504,parametros!$B$2:$B$6,0)),"")="","",IF(B1504&gt;=IFERROR(INDEX(parametros!$H$2:$H$6,MATCH(C1504,parametros!$B$2:$B$6,0)),""),"Sim","Nao"))))))</f>
        <v/>
      </c>
      <c r="T1504" s="156"/>
      <c r="U1504" s="214" t="str">
        <f t="shared" si="121"/>
        <v/>
      </c>
      <c r="V1504" s="212" t="s">
        <v>50</v>
      </c>
      <c r="W1504" s="100" t="s">
        <v>168</v>
      </c>
      <c r="X1504" s="100" t="s">
        <v>169</v>
      </c>
      <c r="Y1504" s="101" t="s">
        <v>170</v>
      </c>
      <c r="Z1504" s="101" t="s">
        <v>171</v>
      </c>
      <c r="AA1504" s="101" t="s">
        <v>50</v>
      </c>
      <c r="AB1504" s="101" t="s">
        <v>172</v>
      </c>
      <c r="AC1504" s="102" t="s">
        <v>173</v>
      </c>
    </row>
    <row r="1505" spans="1:29" ht="25.5" customHeight="1" x14ac:dyDescent="0.35">
      <c r="A1505" s="392"/>
      <c r="B1505" s="393"/>
      <c r="C1505" s="99" t="str">
        <f>IF(B1505="","",IF(NOT(ISNUMBER(B1505)),"DATA_PC invalida",IF(NOT(ISNUMBER(parametros!$C$2)),"Fora dos ciclos",IF(OR(B1505&lt;parametros!$C$2,(YEAR(B1505)-YEAR(parametros!$C$2))*12+MONTH(B1505)-MONTH(parametros!$C$2)&gt;59),"Fora dos ciclos","C"&amp;INT(((YEAR(B1505)-YEAR(parametros!$C$2))*12+MONTH(B1505)-MONTH(parametros!$C$2))/12)))))</f>
        <v/>
      </c>
      <c r="D1505" s="394"/>
      <c r="E1505" s="78" t="str">
        <f>IF(C1505="","",IFERROR(VLOOKUP(C1505,parametros!$A$11:$E$15,5,0),""))</f>
        <v/>
      </c>
      <c r="F1505" s="79" t="str">
        <f t="shared" si="117"/>
        <v/>
      </c>
      <c r="G1505" s="395"/>
      <c r="H1505" s="91">
        <f t="shared" si="118"/>
        <v>0</v>
      </c>
      <c r="I1505" s="91" t="str">
        <f t="shared" si="119"/>
        <v/>
      </c>
      <c r="J1505" s="91" t="str">
        <f t="shared" si="120"/>
        <v/>
      </c>
      <c r="K1505" s="92" t="str">
        <f>IF(AND(A1505="",B1505="",D1505="",G1505=""),"",IF(AND(A1505&lt;&gt;"",COUNTIF($A$2:$A$5001,A1505)&gt;1),"NUMERO_PC duplicado",IF(B1505="","DATA_PC vazia",IF(NOT(ISNUMBER(B1505)),"DATA_PC invalida",IF(OR(C1505="",C1505="Fora dos ciclos"),"CICLO_PC nao identificado",IF(OR(D1505="",D1505=0),"VALOR_PC vazio ou zero",IF(AND(G1505&lt;&gt;"Sim",G1505&lt;&gt;"Nao",G1505&lt;&gt;""),"PC_PAGO_A_CONTRATADA invalido",IF(AND(C1505&lt;&gt;"C0",IFERROR(INDEX(parametros!$A$2:$A$6,MATCH(C1505,parametros!$B$2:$B$6,0)),"")="Sim",IFERROR(INDEX(parametros!$H$2:$H$6,MATCH(C1505,parametros!$B$2:$B$6,0)),"")=""),"INICIO_EFEITO ausente: PC "&amp;A1505&amp;" - "&amp;C1505,IF(L1505="","EFEITO_PC nao calculado: PC "&amp;A1505&amp;" - "&amp;C1505,"OK")))))))))</f>
        <v/>
      </c>
      <c r="L1505" s="92" t="str">
        <f>IF(AND(A1505="",B1505="",D1505="",G1505=""),"",IF(OR(B1505="",NOT(ISNUMBER(B1505)),C1505="",C1505="Fora dos ciclos"),"",IF(C1505="C0","Nao",IF(IFERROR(INDEX(parametros!$A$2:$A$6,MATCH(C1505,parametros!$B$2:$B$6,0)),"")&lt;&gt;"Sim","Nao",IF(IFERROR(INDEX(parametros!$H$2:$H$6,MATCH(C1505,parametros!$B$2:$B$6,0)),"")="","",IF(B1505&gt;=IFERROR(INDEX(parametros!$H$2:$H$6,MATCH(C1505,parametros!$B$2:$B$6,0)),""),"Sim","Nao"))))))</f>
        <v/>
      </c>
      <c r="T1505" s="156"/>
      <c r="U1505" s="214" t="str">
        <f t="shared" si="121"/>
        <v/>
      </c>
      <c r="V1505" s="212" t="s">
        <v>50</v>
      </c>
      <c r="W1505" s="100" t="s">
        <v>168</v>
      </c>
      <c r="X1505" s="100" t="s">
        <v>169</v>
      </c>
      <c r="Y1505" s="101" t="s">
        <v>170</v>
      </c>
      <c r="Z1505" s="101" t="s">
        <v>171</v>
      </c>
      <c r="AA1505" s="101" t="s">
        <v>50</v>
      </c>
      <c r="AB1505" s="101" t="s">
        <v>172</v>
      </c>
      <c r="AC1505" s="102" t="s">
        <v>173</v>
      </c>
    </row>
    <row r="1506" spans="1:29" ht="25.5" customHeight="1" x14ac:dyDescent="0.35">
      <c r="A1506" s="392"/>
      <c r="B1506" s="393"/>
      <c r="C1506" s="99" t="str">
        <f>IF(B1506="","",IF(NOT(ISNUMBER(B1506)),"DATA_PC invalida",IF(NOT(ISNUMBER(parametros!$C$2)),"Fora dos ciclos",IF(OR(B1506&lt;parametros!$C$2,(YEAR(B1506)-YEAR(parametros!$C$2))*12+MONTH(B1506)-MONTH(parametros!$C$2)&gt;59),"Fora dos ciclos","C"&amp;INT(((YEAR(B1506)-YEAR(parametros!$C$2))*12+MONTH(B1506)-MONTH(parametros!$C$2))/12)))))</f>
        <v/>
      </c>
      <c r="D1506" s="394"/>
      <c r="E1506" s="78" t="str">
        <f>IF(C1506="","",IFERROR(VLOOKUP(C1506,parametros!$A$11:$E$15,5,0),""))</f>
        <v/>
      </c>
      <c r="F1506" s="79" t="str">
        <f t="shared" si="117"/>
        <v/>
      </c>
      <c r="G1506" s="395"/>
      <c r="H1506" s="91">
        <f t="shared" si="118"/>
        <v>0</v>
      </c>
      <c r="I1506" s="91" t="str">
        <f t="shared" si="119"/>
        <v/>
      </c>
      <c r="J1506" s="91" t="str">
        <f t="shared" si="120"/>
        <v/>
      </c>
      <c r="K1506" s="92" t="str">
        <f>IF(AND(A1506="",B1506="",D1506="",G1506=""),"",IF(AND(A1506&lt;&gt;"",COUNTIF($A$2:$A$5001,A1506)&gt;1),"NUMERO_PC duplicado",IF(B1506="","DATA_PC vazia",IF(NOT(ISNUMBER(B1506)),"DATA_PC invalida",IF(OR(C1506="",C1506="Fora dos ciclos"),"CICLO_PC nao identificado",IF(OR(D1506="",D1506=0),"VALOR_PC vazio ou zero",IF(AND(G1506&lt;&gt;"Sim",G1506&lt;&gt;"Nao",G1506&lt;&gt;""),"PC_PAGO_A_CONTRATADA invalido",IF(AND(C1506&lt;&gt;"C0",IFERROR(INDEX(parametros!$A$2:$A$6,MATCH(C1506,parametros!$B$2:$B$6,0)),"")="Sim",IFERROR(INDEX(parametros!$H$2:$H$6,MATCH(C1506,parametros!$B$2:$B$6,0)),"")=""),"INICIO_EFEITO ausente: PC "&amp;A1506&amp;" - "&amp;C1506,IF(L1506="","EFEITO_PC nao calculado: PC "&amp;A1506&amp;" - "&amp;C1506,"OK")))))))))</f>
        <v/>
      </c>
      <c r="L1506" s="92" t="str">
        <f>IF(AND(A1506="",B1506="",D1506="",G1506=""),"",IF(OR(B1506="",NOT(ISNUMBER(B1506)),C1506="",C1506="Fora dos ciclos"),"",IF(C1506="C0","Nao",IF(IFERROR(INDEX(parametros!$A$2:$A$6,MATCH(C1506,parametros!$B$2:$B$6,0)),"")&lt;&gt;"Sim","Nao",IF(IFERROR(INDEX(parametros!$H$2:$H$6,MATCH(C1506,parametros!$B$2:$B$6,0)),"")="","",IF(B1506&gt;=IFERROR(INDEX(parametros!$H$2:$H$6,MATCH(C1506,parametros!$B$2:$B$6,0)),""),"Sim","Nao"))))))</f>
        <v/>
      </c>
      <c r="T1506" s="156"/>
      <c r="U1506" s="214" t="str">
        <f t="shared" si="121"/>
        <v/>
      </c>
      <c r="V1506" s="212" t="s">
        <v>50</v>
      </c>
      <c r="W1506" s="100" t="s">
        <v>168</v>
      </c>
      <c r="X1506" s="100" t="s">
        <v>169</v>
      </c>
      <c r="Y1506" s="101" t="s">
        <v>170</v>
      </c>
      <c r="Z1506" s="101" t="s">
        <v>171</v>
      </c>
      <c r="AA1506" s="101" t="s">
        <v>50</v>
      </c>
      <c r="AB1506" s="101" t="s">
        <v>172</v>
      </c>
      <c r="AC1506" s="102" t="s">
        <v>173</v>
      </c>
    </row>
    <row r="1507" spans="1:29" ht="25.5" customHeight="1" x14ac:dyDescent="0.35">
      <c r="A1507" s="392"/>
      <c r="B1507" s="393"/>
      <c r="C1507" s="99" t="str">
        <f>IF(B1507="","",IF(NOT(ISNUMBER(B1507)),"DATA_PC invalida",IF(NOT(ISNUMBER(parametros!$C$2)),"Fora dos ciclos",IF(OR(B1507&lt;parametros!$C$2,(YEAR(B1507)-YEAR(parametros!$C$2))*12+MONTH(B1507)-MONTH(parametros!$C$2)&gt;59),"Fora dos ciclos","C"&amp;INT(((YEAR(B1507)-YEAR(parametros!$C$2))*12+MONTH(B1507)-MONTH(parametros!$C$2))/12)))))</f>
        <v/>
      </c>
      <c r="D1507" s="394"/>
      <c r="E1507" s="78" t="str">
        <f>IF(C1507="","",IFERROR(VLOOKUP(C1507,parametros!$A$11:$E$15,5,0),""))</f>
        <v/>
      </c>
      <c r="F1507" s="79" t="str">
        <f t="shared" si="117"/>
        <v/>
      </c>
      <c r="G1507" s="395"/>
      <c r="H1507" s="91">
        <f t="shared" si="118"/>
        <v>0</v>
      </c>
      <c r="I1507" s="91" t="str">
        <f t="shared" si="119"/>
        <v/>
      </c>
      <c r="J1507" s="91" t="str">
        <f t="shared" si="120"/>
        <v/>
      </c>
      <c r="K1507" s="92" t="str">
        <f>IF(AND(A1507="",B1507="",D1507="",G1507=""),"",IF(AND(A1507&lt;&gt;"",COUNTIF($A$2:$A$5001,A1507)&gt;1),"NUMERO_PC duplicado",IF(B1507="","DATA_PC vazia",IF(NOT(ISNUMBER(B1507)),"DATA_PC invalida",IF(OR(C1507="",C1507="Fora dos ciclos"),"CICLO_PC nao identificado",IF(OR(D1507="",D1507=0),"VALOR_PC vazio ou zero",IF(AND(G1507&lt;&gt;"Sim",G1507&lt;&gt;"Nao",G1507&lt;&gt;""),"PC_PAGO_A_CONTRATADA invalido",IF(AND(C1507&lt;&gt;"C0",IFERROR(INDEX(parametros!$A$2:$A$6,MATCH(C1507,parametros!$B$2:$B$6,0)),"")="Sim",IFERROR(INDEX(parametros!$H$2:$H$6,MATCH(C1507,parametros!$B$2:$B$6,0)),"")=""),"INICIO_EFEITO ausente: PC "&amp;A1507&amp;" - "&amp;C1507,IF(L1507="","EFEITO_PC nao calculado: PC "&amp;A1507&amp;" - "&amp;C1507,"OK")))))))))</f>
        <v/>
      </c>
      <c r="L1507" s="92" t="str">
        <f>IF(AND(A1507="",B1507="",D1507="",G1507=""),"",IF(OR(B1507="",NOT(ISNUMBER(B1507)),C1507="",C1507="Fora dos ciclos"),"",IF(C1507="C0","Nao",IF(IFERROR(INDEX(parametros!$A$2:$A$6,MATCH(C1507,parametros!$B$2:$B$6,0)),"")&lt;&gt;"Sim","Nao",IF(IFERROR(INDEX(parametros!$H$2:$H$6,MATCH(C1507,parametros!$B$2:$B$6,0)),"")="","",IF(B1507&gt;=IFERROR(INDEX(parametros!$H$2:$H$6,MATCH(C1507,parametros!$B$2:$B$6,0)),""),"Sim","Nao"))))))</f>
        <v/>
      </c>
      <c r="T1507" s="156"/>
      <c r="U1507" s="214" t="str">
        <f t="shared" si="121"/>
        <v/>
      </c>
      <c r="V1507" s="212" t="s">
        <v>50</v>
      </c>
      <c r="W1507" s="100" t="s">
        <v>168</v>
      </c>
      <c r="X1507" s="100" t="s">
        <v>169</v>
      </c>
      <c r="Y1507" s="101" t="s">
        <v>170</v>
      </c>
      <c r="Z1507" s="101" t="s">
        <v>171</v>
      </c>
      <c r="AA1507" s="101" t="s">
        <v>50</v>
      </c>
      <c r="AB1507" s="101" t="s">
        <v>172</v>
      </c>
      <c r="AC1507" s="102" t="s">
        <v>173</v>
      </c>
    </row>
    <row r="1508" spans="1:29" ht="25.5" customHeight="1" x14ac:dyDescent="0.35">
      <c r="A1508" s="392"/>
      <c r="B1508" s="393"/>
      <c r="C1508" s="99" t="str">
        <f>IF(B1508="","",IF(NOT(ISNUMBER(B1508)),"DATA_PC invalida",IF(NOT(ISNUMBER(parametros!$C$2)),"Fora dos ciclos",IF(OR(B1508&lt;parametros!$C$2,(YEAR(B1508)-YEAR(parametros!$C$2))*12+MONTH(B1508)-MONTH(parametros!$C$2)&gt;59),"Fora dos ciclos","C"&amp;INT(((YEAR(B1508)-YEAR(parametros!$C$2))*12+MONTH(B1508)-MONTH(parametros!$C$2))/12)))))</f>
        <v/>
      </c>
      <c r="D1508" s="394"/>
      <c r="E1508" s="78" t="str">
        <f>IF(C1508="","",IFERROR(VLOOKUP(C1508,parametros!$A$11:$E$15,5,0),""))</f>
        <v/>
      </c>
      <c r="F1508" s="79" t="str">
        <f t="shared" si="117"/>
        <v/>
      </c>
      <c r="G1508" s="395"/>
      <c r="H1508" s="91">
        <f t="shared" si="118"/>
        <v>0</v>
      </c>
      <c r="I1508" s="91" t="str">
        <f t="shared" si="119"/>
        <v/>
      </c>
      <c r="J1508" s="91" t="str">
        <f t="shared" si="120"/>
        <v/>
      </c>
      <c r="K1508" s="92" t="str">
        <f>IF(AND(A1508="",B1508="",D1508="",G1508=""),"",IF(AND(A1508&lt;&gt;"",COUNTIF($A$2:$A$5001,A1508)&gt;1),"NUMERO_PC duplicado",IF(B1508="","DATA_PC vazia",IF(NOT(ISNUMBER(B1508)),"DATA_PC invalida",IF(OR(C1508="",C1508="Fora dos ciclos"),"CICLO_PC nao identificado",IF(OR(D1508="",D1508=0),"VALOR_PC vazio ou zero",IF(AND(G1508&lt;&gt;"Sim",G1508&lt;&gt;"Nao",G1508&lt;&gt;""),"PC_PAGO_A_CONTRATADA invalido",IF(AND(C1508&lt;&gt;"C0",IFERROR(INDEX(parametros!$A$2:$A$6,MATCH(C1508,parametros!$B$2:$B$6,0)),"")="Sim",IFERROR(INDEX(parametros!$H$2:$H$6,MATCH(C1508,parametros!$B$2:$B$6,0)),"")=""),"INICIO_EFEITO ausente: PC "&amp;A1508&amp;" - "&amp;C1508,IF(L1508="","EFEITO_PC nao calculado: PC "&amp;A1508&amp;" - "&amp;C1508,"OK")))))))))</f>
        <v/>
      </c>
      <c r="L1508" s="92" t="str">
        <f>IF(AND(A1508="",B1508="",D1508="",G1508=""),"",IF(OR(B1508="",NOT(ISNUMBER(B1508)),C1508="",C1508="Fora dos ciclos"),"",IF(C1508="C0","Nao",IF(IFERROR(INDEX(parametros!$A$2:$A$6,MATCH(C1508,parametros!$B$2:$B$6,0)),"")&lt;&gt;"Sim","Nao",IF(IFERROR(INDEX(parametros!$H$2:$H$6,MATCH(C1508,parametros!$B$2:$B$6,0)),"")="","",IF(B1508&gt;=IFERROR(INDEX(parametros!$H$2:$H$6,MATCH(C1508,parametros!$B$2:$B$6,0)),""),"Sim","Nao"))))))</f>
        <v/>
      </c>
      <c r="T1508" s="156"/>
      <c r="U1508" s="214" t="str">
        <f t="shared" si="121"/>
        <v/>
      </c>
      <c r="V1508" s="212" t="s">
        <v>50</v>
      </c>
      <c r="W1508" s="100" t="s">
        <v>168</v>
      </c>
      <c r="X1508" s="100" t="s">
        <v>169</v>
      </c>
      <c r="Y1508" s="101" t="s">
        <v>170</v>
      </c>
      <c r="Z1508" s="101" t="s">
        <v>171</v>
      </c>
      <c r="AA1508" s="101" t="s">
        <v>50</v>
      </c>
      <c r="AB1508" s="101" t="s">
        <v>172</v>
      </c>
      <c r="AC1508" s="102" t="s">
        <v>173</v>
      </c>
    </row>
    <row r="1509" spans="1:29" ht="25.5" customHeight="1" x14ac:dyDescent="0.35">
      <c r="A1509" s="392"/>
      <c r="B1509" s="393"/>
      <c r="C1509" s="99" t="str">
        <f>IF(B1509="","",IF(NOT(ISNUMBER(B1509)),"DATA_PC invalida",IF(NOT(ISNUMBER(parametros!$C$2)),"Fora dos ciclos",IF(OR(B1509&lt;parametros!$C$2,(YEAR(B1509)-YEAR(parametros!$C$2))*12+MONTH(B1509)-MONTH(parametros!$C$2)&gt;59),"Fora dos ciclos","C"&amp;INT(((YEAR(B1509)-YEAR(parametros!$C$2))*12+MONTH(B1509)-MONTH(parametros!$C$2))/12)))))</f>
        <v/>
      </c>
      <c r="D1509" s="394"/>
      <c r="E1509" s="78" t="str">
        <f>IF(C1509="","",IFERROR(VLOOKUP(C1509,parametros!$A$11:$E$15,5,0),""))</f>
        <v/>
      </c>
      <c r="F1509" s="79" t="str">
        <f t="shared" si="117"/>
        <v/>
      </c>
      <c r="G1509" s="395"/>
      <c r="H1509" s="91">
        <f t="shared" si="118"/>
        <v>0</v>
      </c>
      <c r="I1509" s="91" t="str">
        <f t="shared" si="119"/>
        <v/>
      </c>
      <c r="J1509" s="91" t="str">
        <f t="shared" si="120"/>
        <v/>
      </c>
      <c r="K1509" s="92" t="str">
        <f>IF(AND(A1509="",B1509="",D1509="",G1509=""),"",IF(AND(A1509&lt;&gt;"",COUNTIF($A$2:$A$5001,A1509)&gt;1),"NUMERO_PC duplicado",IF(B1509="","DATA_PC vazia",IF(NOT(ISNUMBER(B1509)),"DATA_PC invalida",IF(OR(C1509="",C1509="Fora dos ciclos"),"CICLO_PC nao identificado",IF(OR(D1509="",D1509=0),"VALOR_PC vazio ou zero",IF(AND(G1509&lt;&gt;"Sim",G1509&lt;&gt;"Nao",G1509&lt;&gt;""),"PC_PAGO_A_CONTRATADA invalido",IF(AND(C1509&lt;&gt;"C0",IFERROR(INDEX(parametros!$A$2:$A$6,MATCH(C1509,parametros!$B$2:$B$6,0)),"")="Sim",IFERROR(INDEX(parametros!$H$2:$H$6,MATCH(C1509,parametros!$B$2:$B$6,0)),"")=""),"INICIO_EFEITO ausente: PC "&amp;A1509&amp;" - "&amp;C1509,IF(L1509="","EFEITO_PC nao calculado: PC "&amp;A1509&amp;" - "&amp;C1509,"OK")))))))))</f>
        <v/>
      </c>
      <c r="L1509" s="92" t="str">
        <f>IF(AND(A1509="",B1509="",D1509="",G1509=""),"",IF(OR(B1509="",NOT(ISNUMBER(B1509)),C1509="",C1509="Fora dos ciclos"),"",IF(C1509="C0","Nao",IF(IFERROR(INDEX(parametros!$A$2:$A$6,MATCH(C1509,parametros!$B$2:$B$6,0)),"")&lt;&gt;"Sim","Nao",IF(IFERROR(INDEX(parametros!$H$2:$H$6,MATCH(C1509,parametros!$B$2:$B$6,0)),"")="","",IF(B1509&gt;=IFERROR(INDEX(parametros!$H$2:$H$6,MATCH(C1509,parametros!$B$2:$B$6,0)),""),"Sim","Nao"))))))</f>
        <v/>
      </c>
      <c r="T1509" s="156"/>
      <c r="U1509" s="214" t="str">
        <f t="shared" si="121"/>
        <v/>
      </c>
      <c r="V1509" s="212" t="s">
        <v>50</v>
      </c>
      <c r="W1509" s="100" t="s">
        <v>168</v>
      </c>
      <c r="X1509" s="100" t="s">
        <v>169</v>
      </c>
      <c r="Y1509" s="101" t="s">
        <v>170</v>
      </c>
      <c r="Z1509" s="101" t="s">
        <v>171</v>
      </c>
      <c r="AA1509" s="101" t="s">
        <v>50</v>
      </c>
      <c r="AB1509" s="101" t="s">
        <v>172</v>
      </c>
      <c r="AC1509" s="102" t="s">
        <v>173</v>
      </c>
    </row>
    <row r="1510" spans="1:29" ht="25.5" customHeight="1" x14ac:dyDescent="0.35">
      <c r="A1510" s="392"/>
      <c r="B1510" s="393"/>
      <c r="C1510" s="99" t="str">
        <f>IF(B1510="","",IF(NOT(ISNUMBER(B1510)),"DATA_PC invalida",IF(NOT(ISNUMBER(parametros!$C$2)),"Fora dos ciclos",IF(OR(B1510&lt;parametros!$C$2,(YEAR(B1510)-YEAR(parametros!$C$2))*12+MONTH(B1510)-MONTH(parametros!$C$2)&gt;59),"Fora dos ciclos","C"&amp;INT(((YEAR(B1510)-YEAR(parametros!$C$2))*12+MONTH(B1510)-MONTH(parametros!$C$2))/12)))))</f>
        <v/>
      </c>
      <c r="D1510" s="394"/>
      <c r="E1510" s="78" t="str">
        <f>IF(C1510="","",IFERROR(VLOOKUP(C1510,parametros!$A$11:$E$15,5,0),""))</f>
        <v/>
      </c>
      <c r="F1510" s="79" t="str">
        <f t="shared" si="117"/>
        <v/>
      </c>
      <c r="G1510" s="395"/>
      <c r="H1510" s="91">
        <f t="shared" si="118"/>
        <v>0</v>
      </c>
      <c r="I1510" s="91" t="str">
        <f t="shared" si="119"/>
        <v/>
      </c>
      <c r="J1510" s="91" t="str">
        <f t="shared" si="120"/>
        <v/>
      </c>
      <c r="K1510" s="92" t="str">
        <f>IF(AND(A1510="",B1510="",D1510="",G1510=""),"",IF(AND(A1510&lt;&gt;"",COUNTIF($A$2:$A$5001,A1510)&gt;1),"NUMERO_PC duplicado",IF(B1510="","DATA_PC vazia",IF(NOT(ISNUMBER(B1510)),"DATA_PC invalida",IF(OR(C1510="",C1510="Fora dos ciclos"),"CICLO_PC nao identificado",IF(OR(D1510="",D1510=0),"VALOR_PC vazio ou zero",IF(AND(G1510&lt;&gt;"Sim",G1510&lt;&gt;"Nao",G1510&lt;&gt;""),"PC_PAGO_A_CONTRATADA invalido",IF(AND(C1510&lt;&gt;"C0",IFERROR(INDEX(parametros!$A$2:$A$6,MATCH(C1510,parametros!$B$2:$B$6,0)),"")="Sim",IFERROR(INDEX(parametros!$H$2:$H$6,MATCH(C1510,parametros!$B$2:$B$6,0)),"")=""),"INICIO_EFEITO ausente: PC "&amp;A1510&amp;" - "&amp;C1510,IF(L1510="","EFEITO_PC nao calculado: PC "&amp;A1510&amp;" - "&amp;C1510,"OK")))))))))</f>
        <v/>
      </c>
      <c r="L1510" s="92" t="str">
        <f>IF(AND(A1510="",B1510="",D1510="",G1510=""),"",IF(OR(B1510="",NOT(ISNUMBER(B1510)),C1510="",C1510="Fora dos ciclos"),"",IF(C1510="C0","Nao",IF(IFERROR(INDEX(parametros!$A$2:$A$6,MATCH(C1510,parametros!$B$2:$B$6,0)),"")&lt;&gt;"Sim","Nao",IF(IFERROR(INDEX(parametros!$H$2:$H$6,MATCH(C1510,parametros!$B$2:$B$6,0)),"")="","",IF(B1510&gt;=IFERROR(INDEX(parametros!$H$2:$H$6,MATCH(C1510,parametros!$B$2:$B$6,0)),""),"Sim","Nao"))))))</f>
        <v/>
      </c>
      <c r="T1510" s="156"/>
      <c r="U1510" s="214" t="str">
        <f t="shared" si="121"/>
        <v/>
      </c>
      <c r="V1510" s="212" t="s">
        <v>50</v>
      </c>
      <c r="W1510" s="100" t="s">
        <v>168</v>
      </c>
      <c r="X1510" s="100" t="s">
        <v>169</v>
      </c>
      <c r="Y1510" s="101" t="s">
        <v>170</v>
      </c>
      <c r="Z1510" s="101" t="s">
        <v>171</v>
      </c>
      <c r="AA1510" s="101" t="s">
        <v>50</v>
      </c>
      <c r="AB1510" s="101" t="s">
        <v>172</v>
      </c>
      <c r="AC1510" s="102" t="s">
        <v>173</v>
      </c>
    </row>
    <row r="1511" spans="1:29" ht="25.5" customHeight="1" x14ac:dyDescent="0.35">
      <c r="A1511" s="392"/>
      <c r="B1511" s="393"/>
      <c r="C1511" s="99" t="str">
        <f>IF(B1511="","",IF(NOT(ISNUMBER(B1511)),"DATA_PC invalida",IF(NOT(ISNUMBER(parametros!$C$2)),"Fora dos ciclos",IF(OR(B1511&lt;parametros!$C$2,(YEAR(B1511)-YEAR(parametros!$C$2))*12+MONTH(B1511)-MONTH(parametros!$C$2)&gt;59),"Fora dos ciclos","C"&amp;INT(((YEAR(B1511)-YEAR(parametros!$C$2))*12+MONTH(B1511)-MONTH(parametros!$C$2))/12)))))</f>
        <v/>
      </c>
      <c r="D1511" s="394"/>
      <c r="E1511" s="78" t="str">
        <f>IF(C1511="","",IFERROR(VLOOKUP(C1511,parametros!$A$11:$E$15,5,0),""))</f>
        <v/>
      </c>
      <c r="F1511" s="79" t="str">
        <f t="shared" si="117"/>
        <v/>
      </c>
      <c r="G1511" s="395"/>
      <c r="H1511" s="91">
        <f t="shared" si="118"/>
        <v>0</v>
      </c>
      <c r="I1511" s="91" t="str">
        <f t="shared" si="119"/>
        <v/>
      </c>
      <c r="J1511" s="91" t="str">
        <f t="shared" si="120"/>
        <v/>
      </c>
      <c r="K1511" s="92" t="str">
        <f>IF(AND(A1511="",B1511="",D1511="",G1511=""),"",IF(AND(A1511&lt;&gt;"",COUNTIF($A$2:$A$5001,A1511)&gt;1),"NUMERO_PC duplicado",IF(B1511="","DATA_PC vazia",IF(NOT(ISNUMBER(B1511)),"DATA_PC invalida",IF(OR(C1511="",C1511="Fora dos ciclos"),"CICLO_PC nao identificado",IF(OR(D1511="",D1511=0),"VALOR_PC vazio ou zero",IF(AND(G1511&lt;&gt;"Sim",G1511&lt;&gt;"Nao",G1511&lt;&gt;""),"PC_PAGO_A_CONTRATADA invalido",IF(AND(C1511&lt;&gt;"C0",IFERROR(INDEX(parametros!$A$2:$A$6,MATCH(C1511,parametros!$B$2:$B$6,0)),"")="Sim",IFERROR(INDEX(parametros!$H$2:$H$6,MATCH(C1511,parametros!$B$2:$B$6,0)),"")=""),"INICIO_EFEITO ausente: PC "&amp;A1511&amp;" - "&amp;C1511,IF(L1511="","EFEITO_PC nao calculado: PC "&amp;A1511&amp;" - "&amp;C1511,"OK")))))))))</f>
        <v/>
      </c>
      <c r="L1511" s="92" t="str">
        <f>IF(AND(A1511="",B1511="",D1511="",G1511=""),"",IF(OR(B1511="",NOT(ISNUMBER(B1511)),C1511="",C1511="Fora dos ciclos"),"",IF(C1511="C0","Nao",IF(IFERROR(INDEX(parametros!$A$2:$A$6,MATCH(C1511,parametros!$B$2:$B$6,0)),"")&lt;&gt;"Sim","Nao",IF(IFERROR(INDEX(parametros!$H$2:$H$6,MATCH(C1511,parametros!$B$2:$B$6,0)),"")="","",IF(B1511&gt;=IFERROR(INDEX(parametros!$H$2:$H$6,MATCH(C1511,parametros!$B$2:$B$6,0)),""),"Sim","Nao"))))))</f>
        <v/>
      </c>
      <c r="T1511" s="156"/>
      <c r="U1511" s="214" t="str">
        <f t="shared" si="121"/>
        <v/>
      </c>
      <c r="V1511" s="212" t="s">
        <v>50</v>
      </c>
      <c r="W1511" s="100" t="s">
        <v>168</v>
      </c>
      <c r="X1511" s="100" t="s">
        <v>169</v>
      </c>
      <c r="Y1511" s="101" t="s">
        <v>170</v>
      </c>
      <c r="Z1511" s="101" t="s">
        <v>171</v>
      </c>
      <c r="AA1511" s="101" t="s">
        <v>50</v>
      </c>
      <c r="AB1511" s="101" t="s">
        <v>172</v>
      </c>
      <c r="AC1511" s="102" t="s">
        <v>173</v>
      </c>
    </row>
    <row r="1512" spans="1:29" ht="25.5" customHeight="1" x14ac:dyDescent="0.35">
      <c r="A1512" s="392"/>
      <c r="B1512" s="393"/>
      <c r="C1512" s="99" t="str">
        <f>IF(B1512="","",IF(NOT(ISNUMBER(B1512)),"DATA_PC invalida",IF(NOT(ISNUMBER(parametros!$C$2)),"Fora dos ciclos",IF(OR(B1512&lt;parametros!$C$2,(YEAR(B1512)-YEAR(parametros!$C$2))*12+MONTH(B1512)-MONTH(parametros!$C$2)&gt;59),"Fora dos ciclos","C"&amp;INT(((YEAR(B1512)-YEAR(parametros!$C$2))*12+MONTH(B1512)-MONTH(parametros!$C$2))/12)))))</f>
        <v/>
      </c>
      <c r="D1512" s="394"/>
      <c r="E1512" s="78" t="str">
        <f>IF(C1512="","",IFERROR(VLOOKUP(C1512,parametros!$A$11:$E$15,5,0),""))</f>
        <v/>
      </c>
      <c r="F1512" s="79" t="str">
        <f t="shared" si="117"/>
        <v/>
      </c>
      <c r="G1512" s="395"/>
      <c r="H1512" s="91">
        <f t="shared" si="118"/>
        <v>0</v>
      </c>
      <c r="I1512" s="91" t="str">
        <f t="shared" si="119"/>
        <v/>
      </c>
      <c r="J1512" s="91" t="str">
        <f t="shared" si="120"/>
        <v/>
      </c>
      <c r="K1512" s="92" t="str">
        <f>IF(AND(A1512="",B1512="",D1512="",G1512=""),"",IF(AND(A1512&lt;&gt;"",COUNTIF($A$2:$A$5001,A1512)&gt;1),"NUMERO_PC duplicado",IF(B1512="","DATA_PC vazia",IF(NOT(ISNUMBER(B1512)),"DATA_PC invalida",IF(OR(C1512="",C1512="Fora dos ciclos"),"CICLO_PC nao identificado",IF(OR(D1512="",D1512=0),"VALOR_PC vazio ou zero",IF(AND(G1512&lt;&gt;"Sim",G1512&lt;&gt;"Nao",G1512&lt;&gt;""),"PC_PAGO_A_CONTRATADA invalido",IF(AND(C1512&lt;&gt;"C0",IFERROR(INDEX(parametros!$A$2:$A$6,MATCH(C1512,parametros!$B$2:$B$6,0)),"")="Sim",IFERROR(INDEX(parametros!$H$2:$H$6,MATCH(C1512,parametros!$B$2:$B$6,0)),"")=""),"INICIO_EFEITO ausente: PC "&amp;A1512&amp;" - "&amp;C1512,IF(L1512="","EFEITO_PC nao calculado: PC "&amp;A1512&amp;" - "&amp;C1512,"OK")))))))))</f>
        <v/>
      </c>
      <c r="L1512" s="92" t="str">
        <f>IF(AND(A1512="",B1512="",D1512="",G1512=""),"",IF(OR(B1512="",NOT(ISNUMBER(B1512)),C1512="",C1512="Fora dos ciclos"),"",IF(C1512="C0","Nao",IF(IFERROR(INDEX(parametros!$A$2:$A$6,MATCH(C1512,parametros!$B$2:$B$6,0)),"")&lt;&gt;"Sim","Nao",IF(IFERROR(INDEX(parametros!$H$2:$H$6,MATCH(C1512,parametros!$B$2:$B$6,0)),"")="","",IF(B1512&gt;=IFERROR(INDEX(parametros!$H$2:$H$6,MATCH(C1512,parametros!$B$2:$B$6,0)),""),"Sim","Nao"))))))</f>
        <v/>
      </c>
      <c r="T1512" s="156"/>
      <c r="U1512" s="214" t="str">
        <f t="shared" si="121"/>
        <v/>
      </c>
      <c r="V1512" s="212" t="s">
        <v>50</v>
      </c>
      <c r="W1512" s="100" t="s">
        <v>168</v>
      </c>
      <c r="X1512" s="100" t="s">
        <v>169</v>
      </c>
      <c r="Y1512" s="101" t="s">
        <v>170</v>
      </c>
      <c r="Z1512" s="101" t="s">
        <v>171</v>
      </c>
      <c r="AA1512" s="101" t="s">
        <v>50</v>
      </c>
      <c r="AB1512" s="101" t="s">
        <v>172</v>
      </c>
      <c r="AC1512" s="102" t="s">
        <v>173</v>
      </c>
    </row>
    <row r="1513" spans="1:29" ht="25.5" customHeight="1" x14ac:dyDescent="0.35">
      <c r="A1513" s="392"/>
      <c r="B1513" s="393"/>
      <c r="C1513" s="99" t="str">
        <f>IF(B1513="","",IF(NOT(ISNUMBER(B1513)),"DATA_PC invalida",IF(NOT(ISNUMBER(parametros!$C$2)),"Fora dos ciclos",IF(OR(B1513&lt;parametros!$C$2,(YEAR(B1513)-YEAR(parametros!$C$2))*12+MONTH(B1513)-MONTH(parametros!$C$2)&gt;59),"Fora dos ciclos","C"&amp;INT(((YEAR(B1513)-YEAR(parametros!$C$2))*12+MONTH(B1513)-MONTH(parametros!$C$2))/12)))))</f>
        <v/>
      </c>
      <c r="D1513" s="394"/>
      <c r="E1513" s="78" t="str">
        <f>IF(C1513="","",IFERROR(VLOOKUP(C1513,parametros!$A$11:$E$15,5,0),""))</f>
        <v/>
      </c>
      <c r="F1513" s="79" t="str">
        <f t="shared" si="117"/>
        <v/>
      </c>
      <c r="G1513" s="395"/>
      <c r="H1513" s="91">
        <f t="shared" si="118"/>
        <v>0</v>
      </c>
      <c r="I1513" s="91" t="str">
        <f t="shared" si="119"/>
        <v/>
      </c>
      <c r="J1513" s="91" t="str">
        <f t="shared" si="120"/>
        <v/>
      </c>
      <c r="K1513" s="92" t="str">
        <f>IF(AND(A1513="",B1513="",D1513="",G1513=""),"",IF(AND(A1513&lt;&gt;"",COUNTIF($A$2:$A$5001,A1513)&gt;1),"NUMERO_PC duplicado",IF(B1513="","DATA_PC vazia",IF(NOT(ISNUMBER(B1513)),"DATA_PC invalida",IF(OR(C1513="",C1513="Fora dos ciclos"),"CICLO_PC nao identificado",IF(OR(D1513="",D1513=0),"VALOR_PC vazio ou zero",IF(AND(G1513&lt;&gt;"Sim",G1513&lt;&gt;"Nao",G1513&lt;&gt;""),"PC_PAGO_A_CONTRATADA invalido",IF(AND(C1513&lt;&gt;"C0",IFERROR(INDEX(parametros!$A$2:$A$6,MATCH(C1513,parametros!$B$2:$B$6,0)),"")="Sim",IFERROR(INDEX(parametros!$H$2:$H$6,MATCH(C1513,parametros!$B$2:$B$6,0)),"")=""),"INICIO_EFEITO ausente: PC "&amp;A1513&amp;" - "&amp;C1513,IF(L1513="","EFEITO_PC nao calculado: PC "&amp;A1513&amp;" - "&amp;C1513,"OK")))))))))</f>
        <v/>
      </c>
      <c r="L1513" s="92" t="str">
        <f>IF(AND(A1513="",B1513="",D1513="",G1513=""),"",IF(OR(B1513="",NOT(ISNUMBER(B1513)),C1513="",C1513="Fora dos ciclos"),"",IF(C1513="C0","Nao",IF(IFERROR(INDEX(parametros!$A$2:$A$6,MATCH(C1513,parametros!$B$2:$B$6,0)),"")&lt;&gt;"Sim","Nao",IF(IFERROR(INDEX(parametros!$H$2:$H$6,MATCH(C1513,parametros!$B$2:$B$6,0)),"")="","",IF(B1513&gt;=IFERROR(INDEX(parametros!$H$2:$H$6,MATCH(C1513,parametros!$B$2:$B$6,0)),""),"Sim","Nao"))))))</f>
        <v/>
      </c>
      <c r="T1513" s="156"/>
      <c r="U1513" s="214" t="str">
        <f t="shared" si="121"/>
        <v/>
      </c>
      <c r="V1513" s="212" t="s">
        <v>50</v>
      </c>
      <c r="W1513" s="100" t="s">
        <v>168</v>
      </c>
      <c r="X1513" s="100" t="s">
        <v>169</v>
      </c>
      <c r="Y1513" s="101" t="s">
        <v>170</v>
      </c>
      <c r="Z1513" s="101" t="s">
        <v>171</v>
      </c>
      <c r="AA1513" s="101" t="s">
        <v>50</v>
      </c>
      <c r="AB1513" s="101" t="s">
        <v>172</v>
      </c>
      <c r="AC1513" s="102" t="s">
        <v>173</v>
      </c>
    </row>
    <row r="1514" spans="1:29" ht="25.5" customHeight="1" x14ac:dyDescent="0.35">
      <c r="A1514" s="392"/>
      <c r="B1514" s="393"/>
      <c r="C1514" s="99" t="str">
        <f>IF(B1514="","",IF(NOT(ISNUMBER(B1514)),"DATA_PC invalida",IF(NOT(ISNUMBER(parametros!$C$2)),"Fora dos ciclos",IF(OR(B1514&lt;parametros!$C$2,(YEAR(B1514)-YEAR(parametros!$C$2))*12+MONTH(B1514)-MONTH(parametros!$C$2)&gt;59),"Fora dos ciclos","C"&amp;INT(((YEAR(B1514)-YEAR(parametros!$C$2))*12+MONTH(B1514)-MONTH(parametros!$C$2))/12)))))</f>
        <v/>
      </c>
      <c r="D1514" s="394"/>
      <c r="E1514" s="78" t="str">
        <f>IF(C1514="","",IFERROR(VLOOKUP(C1514,parametros!$A$11:$E$15,5,0),""))</f>
        <v/>
      </c>
      <c r="F1514" s="79" t="str">
        <f t="shared" si="117"/>
        <v/>
      </c>
      <c r="G1514" s="395"/>
      <c r="H1514" s="91">
        <f t="shared" si="118"/>
        <v>0</v>
      </c>
      <c r="I1514" s="91" t="str">
        <f t="shared" si="119"/>
        <v/>
      </c>
      <c r="J1514" s="91" t="str">
        <f t="shared" si="120"/>
        <v/>
      </c>
      <c r="K1514" s="92" t="str">
        <f>IF(AND(A1514="",B1514="",D1514="",G1514=""),"",IF(AND(A1514&lt;&gt;"",COUNTIF($A$2:$A$5001,A1514)&gt;1),"NUMERO_PC duplicado",IF(B1514="","DATA_PC vazia",IF(NOT(ISNUMBER(B1514)),"DATA_PC invalida",IF(OR(C1514="",C1514="Fora dos ciclos"),"CICLO_PC nao identificado",IF(OR(D1514="",D1514=0),"VALOR_PC vazio ou zero",IF(AND(G1514&lt;&gt;"Sim",G1514&lt;&gt;"Nao",G1514&lt;&gt;""),"PC_PAGO_A_CONTRATADA invalido",IF(AND(C1514&lt;&gt;"C0",IFERROR(INDEX(parametros!$A$2:$A$6,MATCH(C1514,parametros!$B$2:$B$6,0)),"")="Sim",IFERROR(INDEX(parametros!$H$2:$H$6,MATCH(C1514,parametros!$B$2:$B$6,0)),"")=""),"INICIO_EFEITO ausente: PC "&amp;A1514&amp;" - "&amp;C1514,IF(L1514="","EFEITO_PC nao calculado: PC "&amp;A1514&amp;" - "&amp;C1514,"OK")))))))))</f>
        <v/>
      </c>
      <c r="L1514" s="92" t="str">
        <f>IF(AND(A1514="",B1514="",D1514="",G1514=""),"",IF(OR(B1514="",NOT(ISNUMBER(B1514)),C1514="",C1514="Fora dos ciclos"),"",IF(C1514="C0","Nao",IF(IFERROR(INDEX(parametros!$A$2:$A$6,MATCH(C1514,parametros!$B$2:$B$6,0)),"")&lt;&gt;"Sim","Nao",IF(IFERROR(INDEX(parametros!$H$2:$H$6,MATCH(C1514,parametros!$B$2:$B$6,0)),"")="","",IF(B1514&gt;=IFERROR(INDEX(parametros!$H$2:$H$6,MATCH(C1514,parametros!$B$2:$B$6,0)),""),"Sim","Nao"))))))</f>
        <v/>
      </c>
      <c r="T1514" s="156"/>
      <c r="U1514" s="214" t="str">
        <f t="shared" si="121"/>
        <v/>
      </c>
      <c r="V1514" s="212" t="s">
        <v>50</v>
      </c>
      <c r="W1514" s="100" t="s">
        <v>168</v>
      </c>
      <c r="X1514" s="100" t="s">
        <v>169</v>
      </c>
      <c r="Y1514" s="101" t="s">
        <v>170</v>
      </c>
      <c r="Z1514" s="101" t="s">
        <v>171</v>
      </c>
      <c r="AA1514" s="101" t="s">
        <v>50</v>
      </c>
      <c r="AB1514" s="101" t="s">
        <v>172</v>
      </c>
      <c r="AC1514" s="102" t="s">
        <v>173</v>
      </c>
    </row>
    <row r="1515" spans="1:29" ht="25.5" customHeight="1" x14ac:dyDescent="0.35">
      <c r="A1515" s="392"/>
      <c r="B1515" s="393"/>
      <c r="C1515" s="99" t="str">
        <f>IF(B1515="","",IF(NOT(ISNUMBER(B1515)),"DATA_PC invalida",IF(NOT(ISNUMBER(parametros!$C$2)),"Fora dos ciclos",IF(OR(B1515&lt;parametros!$C$2,(YEAR(B1515)-YEAR(parametros!$C$2))*12+MONTH(B1515)-MONTH(parametros!$C$2)&gt;59),"Fora dos ciclos","C"&amp;INT(((YEAR(B1515)-YEAR(parametros!$C$2))*12+MONTH(B1515)-MONTH(parametros!$C$2))/12)))))</f>
        <v/>
      </c>
      <c r="D1515" s="394"/>
      <c r="E1515" s="78" t="str">
        <f>IF(C1515="","",IFERROR(VLOOKUP(C1515,parametros!$A$11:$E$15,5,0),""))</f>
        <v/>
      </c>
      <c r="F1515" s="79" t="str">
        <f t="shared" si="117"/>
        <v/>
      </c>
      <c r="G1515" s="395"/>
      <c r="H1515" s="91">
        <f t="shared" si="118"/>
        <v>0</v>
      </c>
      <c r="I1515" s="91" t="str">
        <f t="shared" si="119"/>
        <v/>
      </c>
      <c r="J1515" s="91" t="str">
        <f t="shared" si="120"/>
        <v/>
      </c>
      <c r="K1515" s="92" t="str">
        <f>IF(AND(A1515="",B1515="",D1515="",G1515=""),"",IF(AND(A1515&lt;&gt;"",COUNTIF($A$2:$A$5001,A1515)&gt;1),"NUMERO_PC duplicado",IF(B1515="","DATA_PC vazia",IF(NOT(ISNUMBER(B1515)),"DATA_PC invalida",IF(OR(C1515="",C1515="Fora dos ciclos"),"CICLO_PC nao identificado",IF(OR(D1515="",D1515=0),"VALOR_PC vazio ou zero",IF(AND(G1515&lt;&gt;"Sim",G1515&lt;&gt;"Nao",G1515&lt;&gt;""),"PC_PAGO_A_CONTRATADA invalido",IF(AND(C1515&lt;&gt;"C0",IFERROR(INDEX(parametros!$A$2:$A$6,MATCH(C1515,parametros!$B$2:$B$6,0)),"")="Sim",IFERROR(INDEX(parametros!$H$2:$H$6,MATCH(C1515,parametros!$B$2:$B$6,0)),"")=""),"INICIO_EFEITO ausente: PC "&amp;A1515&amp;" - "&amp;C1515,IF(L1515="","EFEITO_PC nao calculado: PC "&amp;A1515&amp;" - "&amp;C1515,"OK")))))))))</f>
        <v/>
      </c>
      <c r="L1515" s="92" t="str">
        <f>IF(AND(A1515="",B1515="",D1515="",G1515=""),"",IF(OR(B1515="",NOT(ISNUMBER(B1515)),C1515="",C1515="Fora dos ciclos"),"",IF(C1515="C0","Nao",IF(IFERROR(INDEX(parametros!$A$2:$A$6,MATCH(C1515,parametros!$B$2:$B$6,0)),"")&lt;&gt;"Sim","Nao",IF(IFERROR(INDEX(parametros!$H$2:$H$6,MATCH(C1515,parametros!$B$2:$B$6,0)),"")="","",IF(B1515&gt;=IFERROR(INDEX(parametros!$H$2:$H$6,MATCH(C1515,parametros!$B$2:$B$6,0)),""),"Sim","Nao"))))))</f>
        <v/>
      </c>
      <c r="T1515" s="156"/>
      <c r="U1515" s="214" t="str">
        <f t="shared" si="121"/>
        <v/>
      </c>
      <c r="V1515" s="212" t="s">
        <v>50</v>
      </c>
      <c r="W1515" s="100" t="s">
        <v>168</v>
      </c>
      <c r="X1515" s="100" t="s">
        <v>169</v>
      </c>
      <c r="Y1515" s="101" t="s">
        <v>170</v>
      </c>
      <c r="Z1515" s="101" t="s">
        <v>171</v>
      </c>
      <c r="AA1515" s="101" t="s">
        <v>50</v>
      </c>
      <c r="AB1515" s="101" t="s">
        <v>172</v>
      </c>
      <c r="AC1515" s="102" t="s">
        <v>173</v>
      </c>
    </row>
    <row r="1516" spans="1:29" ht="25.5" customHeight="1" x14ac:dyDescent="0.35">
      <c r="A1516" s="392"/>
      <c r="B1516" s="393"/>
      <c r="C1516" s="99" t="str">
        <f>IF(B1516="","",IF(NOT(ISNUMBER(B1516)),"DATA_PC invalida",IF(NOT(ISNUMBER(parametros!$C$2)),"Fora dos ciclos",IF(OR(B1516&lt;parametros!$C$2,(YEAR(B1516)-YEAR(parametros!$C$2))*12+MONTH(B1516)-MONTH(parametros!$C$2)&gt;59),"Fora dos ciclos","C"&amp;INT(((YEAR(B1516)-YEAR(parametros!$C$2))*12+MONTH(B1516)-MONTH(parametros!$C$2))/12)))))</f>
        <v/>
      </c>
      <c r="D1516" s="394"/>
      <c r="E1516" s="78" t="str">
        <f>IF(C1516="","",IFERROR(VLOOKUP(C1516,parametros!$A$11:$E$15,5,0),""))</f>
        <v/>
      </c>
      <c r="F1516" s="79" t="str">
        <f t="shared" si="117"/>
        <v/>
      </c>
      <c r="G1516" s="395"/>
      <c r="H1516" s="91">
        <f t="shared" si="118"/>
        <v>0</v>
      </c>
      <c r="I1516" s="91" t="str">
        <f t="shared" si="119"/>
        <v/>
      </c>
      <c r="J1516" s="91" t="str">
        <f t="shared" si="120"/>
        <v/>
      </c>
      <c r="K1516" s="92" t="str">
        <f>IF(AND(A1516="",B1516="",D1516="",G1516=""),"",IF(AND(A1516&lt;&gt;"",COUNTIF($A$2:$A$5001,A1516)&gt;1),"NUMERO_PC duplicado",IF(B1516="","DATA_PC vazia",IF(NOT(ISNUMBER(B1516)),"DATA_PC invalida",IF(OR(C1516="",C1516="Fora dos ciclos"),"CICLO_PC nao identificado",IF(OR(D1516="",D1516=0),"VALOR_PC vazio ou zero",IF(AND(G1516&lt;&gt;"Sim",G1516&lt;&gt;"Nao",G1516&lt;&gt;""),"PC_PAGO_A_CONTRATADA invalido",IF(AND(C1516&lt;&gt;"C0",IFERROR(INDEX(parametros!$A$2:$A$6,MATCH(C1516,parametros!$B$2:$B$6,0)),"")="Sim",IFERROR(INDEX(parametros!$H$2:$H$6,MATCH(C1516,parametros!$B$2:$B$6,0)),"")=""),"INICIO_EFEITO ausente: PC "&amp;A1516&amp;" - "&amp;C1516,IF(L1516="","EFEITO_PC nao calculado: PC "&amp;A1516&amp;" - "&amp;C1516,"OK")))))))))</f>
        <v/>
      </c>
      <c r="L1516" s="92" t="str">
        <f>IF(AND(A1516="",B1516="",D1516="",G1516=""),"",IF(OR(B1516="",NOT(ISNUMBER(B1516)),C1516="",C1516="Fora dos ciclos"),"",IF(C1516="C0","Nao",IF(IFERROR(INDEX(parametros!$A$2:$A$6,MATCH(C1516,parametros!$B$2:$B$6,0)),"")&lt;&gt;"Sim","Nao",IF(IFERROR(INDEX(parametros!$H$2:$H$6,MATCH(C1516,parametros!$B$2:$B$6,0)),"")="","",IF(B1516&gt;=IFERROR(INDEX(parametros!$H$2:$H$6,MATCH(C1516,parametros!$B$2:$B$6,0)),""),"Sim","Nao"))))))</f>
        <v/>
      </c>
      <c r="T1516" s="156"/>
      <c r="U1516" s="214" t="str">
        <f t="shared" si="121"/>
        <v/>
      </c>
      <c r="V1516" s="212" t="s">
        <v>50</v>
      </c>
      <c r="W1516" s="100" t="s">
        <v>168</v>
      </c>
      <c r="X1516" s="100" t="s">
        <v>169</v>
      </c>
      <c r="Y1516" s="101" t="s">
        <v>170</v>
      </c>
      <c r="Z1516" s="101" t="s">
        <v>171</v>
      </c>
      <c r="AA1516" s="101" t="s">
        <v>50</v>
      </c>
      <c r="AB1516" s="101" t="s">
        <v>172</v>
      </c>
      <c r="AC1516" s="102" t="s">
        <v>173</v>
      </c>
    </row>
    <row r="1517" spans="1:29" ht="25.5" customHeight="1" x14ac:dyDescent="0.35">
      <c r="A1517" s="392"/>
      <c r="B1517" s="393"/>
      <c r="C1517" s="99" t="str">
        <f>IF(B1517="","",IF(NOT(ISNUMBER(B1517)),"DATA_PC invalida",IF(NOT(ISNUMBER(parametros!$C$2)),"Fora dos ciclos",IF(OR(B1517&lt;parametros!$C$2,(YEAR(B1517)-YEAR(parametros!$C$2))*12+MONTH(B1517)-MONTH(parametros!$C$2)&gt;59),"Fora dos ciclos","C"&amp;INT(((YEAR(B1517)-YEAR(parametros!$C$2))*12+MONTH(B1517)-MONTH(parametros!$C$2))/12)))))</f>
        <v/>
      </c>
      <c r="D1517" s="394"/>
      <c r="E1517" s="78" t="str">
        <f>IF(C1517="","",IFERROR(VLOOKUP(C1517,parametros!$A$11:$E$15,5,0),""))</f>
        <v/>
      </c>
      <c r="F1517" s="79" t="str">
        <f t="shared" si="117"/>
        <v/>
      </c>
      <c r="G1517" s="395"/>
      <c r="H1517" s="91">
        <f t="shared" si="118"/>
        <v>0</v>
      </c>
      <c r="I1517" s="91" t="str">
        <f t="shared" si="119"/>
        <v/>
      </c>
      <c r="J1517" s="91" t="str">
        <f t="shared" si="120"/>
        <v/>
      </c>
      <c r="K1517" s="92" t="str">
        <f>IF(AND(A1517="",B1517="",D1517="",G1517=""),"",IF(AND(A1517&lt;&gt;"",COUNTIF($A$2:$A$5001,A1517)&gt;1),"NUMERO_PC duplicado",IF(B1517="","DATA_PC vazia",IF(NOT(ISNUMBER(B1517)),"DATA_PC invalida",IF(OR(C1517="",C1517="Fora dos ciclos"),"CICLO_PC nao identificado",IF(OR(D1517="",D1517=0),"VALOR_PC vazio ou zero",IF(AND(G1517&lt;&gt;"Sim",G1517&lt;&gt;"Nao",G1517&lt;&gt;""),"PC_PAGO_A_CONTRATADA invalido",IF(AND(C1517&lt;&gt;"C0",IFERROR(INDEX(parametros!$A$2:$A$6,MATCH(C1517,parametros!$B$2:$B$6,0)),"")="Sim",IFERROR(INDEX(parametros!$H$2:$H$6,MATCH(C1517,parametros!$B$2:$B$6,0)),"")=""),"INICIO_EFEITO ausente: PC "&amp;A1517&amp;" - "&amp;C1517,IF(L1517="","EFEITO_PC nao calculado: PC "&amp;A1517&amp;" - "&amp;C1517,"OK")))))))))</f>
        <v/>
      </c>
      <c r="L1517" s="92" t="str">
        <f>IF(AND(A1517="",B1517="",D1517="",G1517=""),"",IF(OR(B1517="",NOT(ISNUMBER(B1517)),C1517="",C1517="Fora dos ciclos"),"",IF(C1517="C0","Nao",IF(IFERROR(INDEX(parametros!$A$2:$A$6,MATCH(C1517,parametros!$B$2:$B$6,0)),"")&lt;&gt;"Sim","Nao",IF(IFERROR(INDEX(parametros!$H$2:$H$6,MATCH(C1517,parametros!$B$2:$B$6,0)),"")="","",IF(B1517&gt;=IFERROR(INDEX(parametros!$H$2:$H$6,MATCH(C1517,parametros!$B$2:$B$6,0)),""),"Sim","Nao"))))))</f>
        <v/>
      </c>
      <c r="T1517" s="156"/>
      <c r="U1517" s="214" t="str">
        <f t="shared" si="121"/>
        <v/>
      </c>
      <c r="V1517" s="212" t="s">
        <v>50</v>
      </c>
      <c r="W1517" s="100" t="s">
        <v>168</v>
      </c>
      <c r="X1517" s="100" t="s">
        <v>169</v>
      </c>
      <c r="Y1517" s="101" t="s">
        <v>170</v>
      </c>
      <c r="Z1517" s="101" t="s">
        <v>171</v>
      </c>
      <c r="AA1517" s="101" t="s">
        <v>50</v>
      </c>
      <c r="AB1517" s="101" t="s">
        <v>172</v>
      </c>
      <c r="AC1517" s="102" t="s">
        <v>173</v>
      </c>
    </row>
    <row r="1518" spans="1:29" ht="25.5" customHeight="1" x14ac:dyDescent="0.35">
      <c r="A1518" s="392"/>
      <c r="B1518" s="393"/>
      <c r="C1518" s="99" t="str">
        <f>IF(B1518="","",IF(NOT(ISNUMBER(B1518)),"DATA_PC invalida",IF(NOT(ISNUMBER(parametros!$C$2)),"Fora dos ciclos",IF(OR(B1518&lt;parametros!$C$2,(YEAR(B1518)-YEAR(parametros!$C$2))*12+MONTH(B1518)-MONTH(parametros!$C$2)&gt;59),"Fora dos ciclos","C"&amp;INT(((YEAR(B1518)-YEAR(parametros!$C$2))*12+MONTH(B1518)-MONTH(parametros!$C$2))/12)))))</f>
        <v/>
      </c>
      <c r="D1518" s="394"/>
      <c r="E1518" s="78" t="str">
        <f>IF(C1518="","",IFERROR(VLOOKUP(C1518,parametros!$A$11:$E$15,5,0),""))</f>
        <v/>
      </c>
      <c r="F1518" s="79" t="str">
        <f t="shared" si="117"/>
        <v/>
      </c>
      <c r="G1518" s="395"/>
      <c r="H1518" s="91">
        <f t="shared" si="118"/>
        <v>0</v>
      </c>
      <c r="I1518" s="91" t="str">
        <f t="shared" si="119"/>
        <v/>
      </c>
      <c r="J1518" s="91" t="str">
        <f t="shared" si="120"/>
        <v/>
      </c>
      <c r="K1518" s="92" t="str">
        <f>IF(AND(A1518="",B1518="",D1518="",G1518=""),"",IF(AND(A1518&lt;&gt;"",COUNTIF($A$2:$A$5001,A1518)&gt;1),"NUMERO_PC duplicado",IF(B1518="","DATA_PC vazia",IF(NOT(ISNUMBER(B1518)),"DATA_PC invalida",IF(OR(C1518="",C1518="Fora dos ciclos"),"CICLO_PC nao identificado",IF(OR(D1518="",D1518=0),"VALOR_PC vazio ou zero",IF(AND(G1518&lt;&gt;"Sim",G1518&lt;&gt;"Nao",G1518&lt;&gt;""),"PC_PAGO_A_CONTRATADA invalido",IF(AND(C1518&lt;&gt;"C0",IFERROR(INDEX(parametros!$A$2:$A$6,MATCH(C1518,parametros!$B$2:$B$6,0)),"")="Sim",IFERROR(INDEX(parametros!$H$2:$H$6,MATCH(C1518,parametros!$B$2:$B$6,0)),"")=""),"INICIO_EFEITO ausente: PC "&amp;A1518&amp;" - "&amp;C1518,IF(L1518="","EFEITO_PC nao calculado: PC "&amp;A1518&amp;" - "&amp;C1518,"OK")))))))))</f>
        <v/>
      </c>
      <c r="L1518" s="92" t="str">
        <f>IF(AND(A1518="",B1518="",D1518="",G1518=""),"",IF(OR(B1518="",NOT(ISNUMBER(B1518)),C1518="",C1518="Fora dos ciclos"),"",IF(C1518="C0","Nao",IF(IFERROR(INDEX(parametros!$A$2:$A$6,MATCH(C1518,parametros!$B$2:$B$6,0)),"")&lt;&gt;"Sim","Nao",IF(IFERROR(INDEX(parametros!$H$2:$H$6,MATCH(C1518,parametros!$B$2:$B$6,0)),"")="","",IF(B1518&gt;=IFERROR(INDEX(parametros!$H$2:$H$6,MATCH(C1518,parametros!$B$2:$B$6,0)),""),"Sim","Nao"))))))</f>
        <v/>
      </c>
      <c r="T1518" s="156"/>
      <c r="U1518" s="214" t="str">
        <f t="shared" si="121"/>
        <v/>
      </c>
      <c r="V1518" s="212" t="s">
        <v>50</v>
      </c>
      <c r="W1518" s="100" t="s">
        <v>168</v>
      </c>
      <c r="X1518" s="100" t="s">
        <v>169</v>
      </c>
      <c r="Y1518" s="101" t="s">
        <v>170</v>
      </c>
      <c r="Z1518" s="101" t="s">
        <v>171</v>
      </c>
      <c r="AA1518" s="101" t="s">
        <v>50</v>
      </c>
      <c r="AB1518" s="101" t="s">
        <v>172</v>
      </c>
      <c r="AC1518" s="102" t="s">
        <v>173</v>
      </c>
    </row>
    <row r="1519" spans="1:29" ht="25.5" customHeight="1" x14ac:dyDescent="0.35">
      <c r="A1519" s="392"/>
      <c r="B1519" s="393"/>
      <c r="C1519" s="99" t="str">
        <f>IF(B1519="","",IF(NOT(ISNUMBER(B1519)),"DATA_PC invalida",IF(NOT(ISNUMBER(parametros!$C$2)),"Fora dos ciclos",IF(OR(B1519&lt;parametros!$C$2,(YEAR(B1519)-YEAR(parametros!$C$2))*12+MONTH(B1519)-MONTH(parametros!$C$2)&gt;59),"Fora dos ciclos","C"&amp;INT(((YEAR(B1519)-YEAR(parametros!$C$2))*12+MONTH(B1519)-MONTH(parametros!$C$2))/12)))))</f>
        <v/>
      </c>
      <c r="D1519" s="394"/>
      <c r="E1519" s="78" t="str">
        <f>IF(C1519="","",IFERROR(VLOOKUP(C1519,parametros!$A$11:$E$15,5,0),""))</f>
        <v/>
      </c>
      <c r="F1519" s="79" t="str">
        <f t="shared" si="117"/>
        <v/>
      </c>
      <c r="G1519" s="395"/>
      <c r="H1519" s="91">
        <f t="shared" si="118"/>
        <v>0</v>
      </c>
      <c r="I1519" s="91" t="str">
        <f t="shared" si="119"/>
        <v/>
      </c>
      <c r="J1519" s="91" t="str">
        <f t="shared" si="120"/>
        <v/>
      </c>
      <c r="K1519" s="92" t="str">
        <f>IF(AND(A1519="",B1519="",D1519="",G1519=""),"",IF(AND(A1519&lt;&gt;"",COUNTIF($A$2:$A$5001,A1519)&gt;1),"NUMERO_PC duplicado",IF(B1519="","DATA_PC vazia",IF(NOT(ISNUMBER(B1519)),"DATA_PC invalida",IF(OR(C1519="",C1519="Fora dos ciclos"),"CICLO_PC nao identificado",IF(OR(D1519="",D1519=0),"VALOR_PC vazio ou zero",IF(AND(G1519&lt;&gt;"Sim",G1519&lt;&gt;"Nao",G1519&lt;&gt;""),"PC_PAGO_A_CONTRATADA invalido",IF(AND(C1519&lt;&gt;"C0",IFERROR(INDEX(parametros!$A$2:$A$6,MATCH(C1519,parametros!$B$2:$B$6,0)),"")="Sim",IFERROR(INDEX(parametros!$H$2:$H$6,MATCH(C1519,parametros!$B$2:$B$6,0)),"")=""),"INICIO_EFEITO ausente: PC "&amp;A1519&amp;" - "&amp;C1519,IF(L1519="","EFEITO_PC nao calculado: PC "&amp;A1519&amp;" - "&amp;C1519,"OK")))))))))</f>
        <v/>
      </c>
      <c r="L1519" s="92" t="str">
        <f>IF(AND(A1519="",B1519="",D1519="",G1519=""),"",IF(OR(B1519="",NOT(ISNUMBER(B1519)),C1519="",C1519="Fora dos ciclos"),"",IF(C1519="C0","Nao",IF(IFERROR(INDEX(parametros!$A$2:$A$6,MATCH(C1519,parametros!$B$2:$B$6,0)),"")&lt;&gt;"Sim","Nao",IF(IFERROR(INDEX(parametros!$H$2:$H$6,MATCH(C1519,parametros!$B$2:$B$6,0)),"")="","",IF(B1519&gt;=IFERROR(INDEX(parametros!$H$2:$H$6,MATCH(C1519,parametros!$B$2:$B$6,0)),""),"Sim","Nao"))))))</f>
        <v/>
      </c>
      <c r="T1519" s="156"/>
      <c r="U1519" s="214" t="str">
        <f t="shared" si="121"/>
        <v/>
      </c>
      <c r="V1519" s="212" t="s">
        <v>50</v>
      </c>
      <c r="W1519" s="100" t="s">
        <v>168</v>
      </c>
      <c r="X1519" s="100" t="s">
        <v>169</v>
      </c>
      <c r="Y1519" s="101" t="s">
        <v>170</v>
      </c>
      <c r="Z1519" s="101" t="s">
        <v>171</v>
      </c>
      <c r="AA1519" s="101" t="s">
        <v>50</v>
      </c>
      <c r="AB1519" s="101" t="s">
        <v>172</v>
      </c>
      <c r="AC1519" s="102" t="s">
        <v>173</v>
      </c>
    </row>
    <row r="1520" spans="1:29" ht="25.5" customHeight="1" x14ac:dyDescent="0.35">
      <c r="A1520" s="392"/>
      <c r="B1520" s="393"/>
      <c r="C1520" s="99" t="str">
        <f>IF(B1520="","",IF(NOT(ISNUMBER(B1520)),"DATA_PC invalida",IF(NOT(ISNUMBER(parametros!$C$2)),"Fora dos ciclos",IF(OR(B1520&lt;parametros!$C$2,(YEAR(B1520)-YEAR(parametros!$C$2))*12+MONTH(B1520)-MONTH(parametros!$C$2)&gt;59),"Fora dos ciclos","C"&amp;INT(((YEAR(B1520)-YEAR(parametros!$C$2))*12+MONTH(B1520)-MONTH(parametros!$C$2))/12)))))</f>
        <v/>
      </c>
      <c r="D1520" s="394"/>
      <c r="E1520" s="78" t="str">
        <f>IF(C1520="","",IFERROR(VLOOKUP(C1520,parametros!$A$11:$E$15,5,0),""))</f>
        <v/>
      </c>
      <c r="F1520" s="79" t="str">
        <f t="shared" si="117"/>
        <v/>
      </c>
      <c r="G1520" s="395"/>
      <c r="H1520" s="91">
        <f t="shared" si="118"/>
        <v>0</v>
      </c>
      <c r="I1520" s="91" t="str">
        <f t="shared" si="119"/>
        <v/>
      </c>
      <c r="J1520" s="91" t="str">
        <f t="shared" si="120"/>
        <v/>
      </c>
      <c r="K1520" s="92" t="str">
        <f>IF(AND(A1520="",B1520="",D1520="",G1520=""),"",IF(AND(A1520&lt;&gt;"",COUNTIF($A$2:$A$5001,A1520)&gt;1),"NUMERO_PC duplicado",IF(B1520="","DATA_PC vazia",IF(NOT(ISNUMBER(B1520)),"DATA_PC invalida",IF(OR(C1520="",C1520="Fora dos ciclos"),"CICLO_PC nao identificado",IF(OR(D1520="",D1520=0),"VALOR_PC vazio ou zero",IF(AND(G1520&lt;&gt;"Sim",G1520&lt;&gt;"Nao",G1520&lt;&gt;""),"PC_PAGO_A_CONTRATADA invalido",IF(AND(C1520&lt;&gt;"C0",IFERROR(INDEX(parametros!$A$2:$A$6,MATCH(C1520,parametros!$B$2:$B$6,0)),"")="Sim",IFERROR(INDEX(parametros!$H$2:$H$6,MATCH(C1520,parametros!$B$2:$B$6,0)),"")=""),"INICIO_EFEITO ausente: PC "&amp;A1520&amp;" - "&amp;C1520,IF(L1520="","EFEITO_PC nao calculado: PC "&amp;A1520&amp;" - "&amp;C1520,"OK")))))))))</f>
        <v/>
      </c>
      <c r="L1520" s="92" t="str">
        <f>IF(AND(A1520="",B1520="",D1520="",G1520=""),"",IF(OR(B1520="",NOT(ISNUMBER(B1520)),C1520="",C1520="Fora dos ciclos"),"",IF(C1520="C0","Nao",IF(IFERROR(INDEX(parametros!$A$2:$A$6,MATCH(C1520,parametros!$B$2:$B$6,0)),"")&lt;&gt;"Sim","Nao",IF(IFERROR(INDEX(parametros!$H$2:$H$6,MATCH(C1520,parametros!$B$2:$B$6,0)),"")="","",IF(B1520&gt;=IFERROR(INDEX(parametros!$H$2:$H$6,MATCH(C1520,parametros!$B$2:$B$6,0)),""),"Sim","Nao"))))))</f>
        <v/>
      </c>
      <c r="T1520" s="156"/>
      <c r="U1520" s="214" t="str">
        <f t="shared" si="121"/>
        <v/>
      </c>
      <c r="V1520" s="212" t="s">
        <v>50</v>
      </c>
      <c r="W1520" s="100" t="s">
        <v>168</v>
      </c>
      <c r="X1520" s="100" t="s">
        <v>169</v>
      </c>
      <c r="Y1520" s="101" t="s">
        <v>170</v>
      </c>
      <c r="Z1520" s="101" t="s">
        <v>171</v>
      </c>
      <c r="AA1520" s="101" t="s">
        <v>50</v>
      </c>
      <c r="AB1520" s="101" t="s">
        <v>172</v>
      </c>
      <c r="AC1520" s="102" t="s">
        <v>173</v>
      </c>
    </row>
    <row r="1521" spans="1:29" ht="25.5" customHeight="1" x14ac:dyDescent="0.35">
      <c r="A1521" s="392"/>
      <c r="B1521" s="393"/>
      <c r="C1521" s="99" t="str">
        <f>IF(B1521="","",IF(NOT(ISNUMBER(B1521)),"DATA_PC invalida",IF(NOT(ISNUMBER(parametros!$C$2)),"Fora dos ciclos",IF(OR(B1521&lt;parametros!$C$2,(YEAR(B1521)-YEAR(parametros!$C$2))*12+MONTH(B1521)-MONTH(parametros!$C$2)&gt;59),"Fora dos ciclos","C"&amp;INT(((YEAR(B1521)-YEAR(parametros!$C$2))*12+MONTH(B1521)-MONTH(parametros!$C$2))/12)))))</f>
        <v/>
      </c>
      <c r="D1521" s="394"/>
      <c r="E1521" s="78" t="str">
        <f>IF(C1521="","",IFERROR(VLOOKUP(C1521,parametros!$A$11:$E$15,5,0),""))</f>
        <v/>
      </c>
      <c r="F1521" s="79" t="str">
        <f t="shared" si="117"/>
        <v/>
      </c>
      <c r="G1521" s="395"/>
      <c r="H1521" s="91">
        <f t="shared" si="118"/>
        <v>0</v>
      </c>
      <c r="I1521" s="91" t="str">
        <f t="shared" si="119"/>
        <v/>
      </c>
      <c r="J1521" s="91" t="str">
        <f t="shared" si="120"/>
        <v/>
      </c>
      <c r="K1521" s="92" t="str">
        <f>IF(AND(A1521="",B1521="",D1521="",G1521=""),"",IF(AND(A1521&lt;&gt;"",COUNTIF($A$2:$A$5001,A1521)&gt;1),"NUMERO_PC duplicado",IF(B1521="","DATA_PC vazia",IF(NOT(ISNUMBER(B1521)),"DATA_PC invalida",IF(OR(C1521="",C1521="Fora dos ciclos"),"CICLO_PC nao identificado",IF(OR(D1521="",D1521=0),"VALOR_PC vazio ou zero",IF(AND(G1521&lt;&gt;"Sim",G1521&lt;&gt;"Nao",G1521&lt;&gt;""),"PC_PAGO_A_CONTRATADA invalido",IF(AND(C1521&lt;&gt;"C0",IFERROR(INDEX(parametros!$A$2:$A$6,MATCH(C1521,parametros!$B$2:$B$6,0)),"")="Sim",IFERROR(INDEX(parametros!$H$2:$H$6,MATCH(C1521,parametros!$B$2:$B$6,0)),"")=""),"INICIO_EFEITO ausente: PC "&amp;A1521&amp;" - "&amp;C1521,IF(L1521="","EFEITO_PC nao calculado: PC "&amp;A1521&amp;" - "&amp;C1521,"OK")))))))))</f>
        <v/>
      </c>
      <c r="L1521" s="92" t="str">
        <f>IF(AND(A1521="",B1521="",D1521="",G1521=""),"",IF(OR(B1521="",NOT(ISNUMBER(B1521)),C1521="",C1521="Fora dos ciclos"),"",IF(C1521="C0","Nao",IF(IFERROR(INDEX(parametros!$A$2:$A$6,MATCH(C1521,parametros!$B$2:$B$6,0)),"")&lt;&gt;"Sim","Nao",IF(IFERROR(INDEX(parametros!$H$2:$H$6,MATCH(C1521,parametros!$B$2:$B$6,0)),"")="","",IF(B1521&gt;=IFERROR(INDEX(parametros!$H$2:$H$6,MATCH(C1521,parametros!$B$2:$B$6,0)),""),"Sim","Nao"))))))</f>
        <v/>
      </c>
      <c r="T1521" s="156"/>
      <c r="U1521" s="214" t="str">
        <f t="shared" si="121"/>
        <v/>
      </c>
      <c r="V1521" s="212" t="s">
        <v>50</v>
      </c>
      <c r="W1521" s="100" t="s">
        <v>168</v>
      </c>
      <c r="X1521" s="100" t="s">
        <v>169</v>
      </c>
      <c r="Y1521" s="101" t="s">
        <v>170</v>
      </c>
      <c r="Z1521" s="101" t="s">
        <v>171</v>
      </c>
      <c r="AA1521" s="101" t="s">
        <v>50</v>
      </c>
      <c r="AB1521" s="101" t="s">
        <v>172</v>
      </c>
      <c r="AC1521" s="102" t="s">
        <v>173</v>
      </c>
    </row>
    <row r="1522" spans="1:29" ht="25.5" customHeight="1" x14ac:dyDescent="0.35">
      <c r="A1522" s="392"/>
      <c r="B1522" s="393"/>
      <c r="C1522" s="99" t="str">
        <f>IF(B1522="","",IF(NOT(ISNUMBER(B1522)),"DATA_PC invalida",IF(NOT(ISNUMBER(parametros!$C$2)),"Fora dos ciclos",IF(OR(B1522&lt;parametros!$C$2,(YEAR(B1522)-YEAR(parametros!$C$2))*12+MONTH(B1522)-MONTH(parametros!$C$2)&gt;59),"Fora dos ciclos","C"&amp;INT(((YEAR(B1522)-YEAR(parametros!$C$2))*12+MONTH(B1522)-MONTH(parametros!$C$2))/12)))))</f>
        <v/>
      </c>
      <c r="D1522" s="394"/>
      <c r="E1522" s="78" t="str">
        <f>IF(C1522="","",IFERROR(VLOOKUP(C1522,parametros!$A$11:$E$15,5,0),""))</f>
        <v/>
      </c>
      <c r="F1522" s="79" t="str">
        <f t="shared" si="117"/>
        <v/>
      </c>
      <c r="G1522" s="395"/>
      <c r="H1522" s="91">
        <f t="shared" si="118"/>
        <v>0</v>
      </c>
      <c r="I1522" s="91" t="str">
        <f t="shared" si="119"/>
        <v/>
      </c>
      <c r="J1522" s="91" t="str">
        <f t="shared" si="120"/>
        <v/>
      </c>
      <c r="K1522" s="92" t="str">
        <f>IF(AND(A1522="",B1522="",D1522="",G1522=""),"",IF(AND(A1522&lt;&gt;"",COUNTIF($A$2:$A$5001,A1522)&gt;1),"NUMERO_PC duplicado",IF(B1522="","DATA_PC vazia",IF(NOT(ISNUMBER(B1522)),"DATA_PC invalida",IF(OR(C1522="",C1522="Fora dos ciclos"),"CICLO_PC nao identificado",IF(OR(D1522="",D1522=0),"VALOR_PC vazio ou zero",IF(AND(G1522&lt;&gt;"Sim",G1522&lt;&gt;"Nao",G1522&lt;&gt;""),"PC_PAGO_A_CONTRATADA invalido",IF(AND(C1522&lt;&gt;"C0",IFERROR(INDEX(parametros!$A$2:$A$6,MATCH(C1522,parametros!$B$2:$B$6,0)),"")="Sim",IFERROR(INDEX(parametros!$H$2:$H$6,MATCH(C1522,parametros!$B$2:$B$6,0)),"")=""),"INICIO_EFEITO ausente: PC "&amp;A1522&amp;" - "&amp;C1522,IF(L1522="","EFEITO_PC nao calculado: PC "&amp;A1522&amp;" - "&amp;C1522,"OK")))))))))</f>
        <v/>
      </c>
      <c r="L1522" s="92" t="str">
        <f>IF(AND(A1522="",B1522="",D1522="",G1522=""),"",IF(OR(B1522="",NOT(ISNUMBER(B1522)),C1522="",C1522="Fora dos ciclos"),"",IF(C1522="C0","Nao",IF(IFERROR(INDEX(parametros!$A$2:$A$6,MATCH(C1522,parametros!$B$2:$B$6,0)),"")&lt;&gt;"Sim","Nao",IF(IFERROR(INDEX(parametros!$H$2:$H$6,MATCH(C1522,parametros!$B$2:$B$6,0)),"")="","",IF(B1522&gt;=IFERROR(INDEX(parametros!$H$2:$H$6,MATCH(C1522,parametros!$B$2:$B$6,0)),""),"Sim","Nao"))))))</f>
        <v/>
      </c>
      <c r="T1522" s="156"/>
      <c r="U1522" s="214" t="str">
        <f t="shared" si="121"/>
        <v/>
      </c>
      <c r="V1522" s="212" t="s">
        <v>50</v>
      </c>
      <c r="W1522" s="100" t="s">
        <v>168</v>
      </c>
      <c r="X1522" s="100" t="s">
        <v>169</v>
      </c>
      <c r="Y1522" s="101" t="s">
        <v>170</v>
      </c>
      <c r="Z1522" s="101" t="s">
        <v>171</v>
      </c>
      <c r="AA1522" s="101" t="s">
        <v>50</v>
      </c>
      <c r="AB1522" s="101" t="s">
        <v>172</v>
      </c>
      <c r="AC1522" s="102" t="s">
        <v>173</v>
      </c>
    </row>
    <row r="1523" spans="1:29" ht="25.5" customHeight="1" x14ac:dyDescent="0.35">
      <c r="A1523" s="392"/>
      <c r="B1523" s="393"/>
      <c r="C1523" s="99" t="str">
        <f>IF(B1523="","",IF(NOT(ISNUMBER(B1523)),"DATA_PC invalida",IF(NOT(ISNUMBER(parametros!$C$2)),"Fora dos ciclos",IF(OR(B1523&lt;parametros!$C$2,(YEAR(B1523)-YEAR(parametros!$C$2))*12+MONTH(B1523)-MONTH(parametros!$C$2)&gt;59),"Fora dos ciclos","C"&amp;INT(((YEAR(B1523)-YEAR(parametros!$C$2))*12+MONTH(B1523)-MONTH(parametros!$C$2))/12)))))</f>
        <v/>
      </c>
      <c r="D1523" s="394"/>
      <c r="E1523" s="78" t="str">
        <f>IF(C1523="","",IFERROR(VLOOKUP(C1523,parametros!$A$11:$E$15,5,0),""))</f>
        <v/>
      </c>
      <c r="F1523" s="79" t="str">
        <f t="shared" si="117"/>
        <v/>
      </c>
      <c r="G1523" s="395"/>
      <c r="H1523" s="91">
        <f t="shared" si="118"/>
        <v>0</v>
      </c>
      <c r="I1523" s="91" t="str">
        <f t="shared" si="119"/>
        <v/>
      </c>
      <c r="J1523" s="91" t="str">
        <f t="shared" si="120"/>
        <v/>
      </c>
      <c r="K1523" s="92" t="str">
        <f>IF(AND(A1523="",B1523="",D1523="",G1523=""),"",IF(AND(A1523&lt;&gt;"",COUNTIF($A$2:$A$5001,A1523)&gt;1),"NUMERO_PC duplicado",IF(B1523="","DATA_PC vazia",IF(NOT(ISNUMBER(B1523)),"DATA_PC invalida",IF(OR(C1523="",C1523="Fora dos ciclos"),"CICLO_PC nao identificado",IF(OR(D1523="",D1523=0),"VALOR_PC vazio ou zero",IF(AND(G1523&lt;&gt;"Sim",G1523&lt;&gt;"Nao",G1523&lt;&gt;""),"PC_PAGO_A_CONTRATADA invalido",IF(AND(C1523&lt;&gt;"C0",IFERROR(INDEX(parametros!$A$2:$A$6,MATCH(C1523,parametros!$B$2:$B$6,0)),"")="Sim",IFERROR(INDEX(parametros!$H$2:$H$6,MATCH(C1523,parametros!$B$2:$B$6,0)),"")=""),"INICIO_EFEITO ausente: PC "&amp;A1523&amp;" - "&amp;C1523,IF(L1523="","EFEITO_PC nao calculado: PC "&amp;A1523&amp;" - "&amp;C1523,"OK")))))))))</f>
        <v/>
      </c>
      <c r="L1523" s="92" t="str">
        <f>IF(AND(A1523="",B1523="",D1523="",G1523=""),"",IF(OR(B1523="",NOT(ISNUMBER(B1523)),C1523="",C1523="Fora dos ciclos"),"",IF(C1523="C0","Nao",IF(IFERROR(INDEX(parametros!$A$2:$A$6,MATCH(C1523,parametros!$B$2:$B$6,0)),"")&lt;&gt;"Sim","Nao",IF(IFERROR(INDEX(parametros!$H$2:$H$6,MATCH(C1523,parametros!$B$2:$B$6,0)),"")="","",IF(B1523&gt;=IFERROR(INDEX(parametros!$H$2:$H$6,MATCH(C1523,parametros!$B$2:$B$6,0)),""),"Sim","Nao"))))))</f>
        <v/>
      </c>
      <c r="T1523" s="156"/>
      <c r="U1523" s="214" t="str">
        <f t="shared" si="121"/>
        <v/>
      </c>
      <c r="V1523" s="212" t="s">
        <v>50</v>
      </c>
      <c r="W1523" s="100" t="s">
        <v>168</v>
      </c>
      <c r="X1523" s="100" t="s">
        <v>169</v>
      </c>
      <c r="Y1523" s="101" t="s">
        <v>170</v>
      </c>
      <c r="Z1523" s="101" t="s">
        <v>171</v>
      </c>
      <c r="AA1523" s="101" t="s">
        <v>50</v>
      </c>
      <c r="AB1523" s="101" t="s">
        <v>172</v>
      </c>
      <c r="AC1523" s="102" t="s">
        <v>173</v>
      </c>
    </row>
    <row r="1524" spans="1:29" ht="25.5" customHeight="1" x14ac:dyDescent="0.35">
      <c r="A1524" s="392"/>
      <c r="B1524" s="393"/>
      <c r="C1524" s="99" t="str">
        <f>IF(B1524="","",IF(NOT(ISNUMBER(B1524)),"DATA_PC invalida",IF(NOT(ISNUMBER(parametros!$C$2)),"Fora dos ciclos",IF(OR(B1524&lt;parametros!$C$2,(YEAR(B1524)-YEAR(parametros!$C$2))*12+MONTH(B1524)-MONTH(parametros!$C$2)&gt;59),"Fora dos ciclos","C"&amp;INT(((YEAR(B1524)-YEAR(parametros!$C$2))*12+MONTH(B1524)-MONTH(parametros!$C$2))/12)))))</f>
        <v/>
      </c>
      <c r="D1524" s="394"/>
      <c r="E1524" s="78" t="str">
        <f>IF(C1524="","",IFERROR(VLOOKUP(C1524,parametros!$A$11:$E$15,5,0),""))</f>
        <v/>
      </c>
      <c r="F1524" s="79" t="str">
        <f t="shared" si="117"/>
        <v/>
      </c>
      <c r="G1524" s="395"/>
      <c r="H1524" s="91">
        <f t="shared" si="118"/>
        <v>0</v>
      </c>
      <c r="I1524" s="91" t="str">
        <f t="shared" si="119"/>
        <v/>
      </c>
      <c r="J1524" s="91" t="str">
        <f t="shared" si="120"/>
        <v/>
      </c>
      <c r="K1524" s="92" t="str">
        <f>IF(AND(A1524="",B1524="",D1524="",G1524=""),"",IF(AND(A1524&lt;&gt;"",COUNTIF($A$2:$A$5001,A1524)&gt;1),"NUMERO_PC duplicado",IF(B1524="","DATA_PC vazia",IF(NOT(ISNUMBER(B1524)),"DATA_PC invalida",IF(OR(C1524="",C1524="Fora dos ciclos"),"CICLO_PC nao identificado",IF(OR(D1524="",D1524=0),"VALOR_PC vazio ou zero",IF(AND(G1524&lt;&gt;"Sim",G1524&lt;&gt;"Nao",G1524&lt;&gt;""),"PC_PAGO_A_CONTRATADA invalido",IF(AND(C1524&lt;&gt;"C0",IFERROR(INDEX(parametros!$A$2:$A$6,MATCH(C1524,parametros!$B$2:$B$6,0)),"")="Sim",IFERROR(INDEX(parametros!$H$2:$H$6,MATCH(C1524,parametros!$B$2:$B$6,0)),"")=""),"INICIO_EFEITO ausente: PC "&amp;A1524&amp;" - "&amp;C1524,IF(L1524="","EFEITO_PC nao calculado: PC "&amp;A1524&amp;" - "&amp;C1524,"OK")))))))))</f>
        <v/>
      </c>
      <c r="L1524" s="92" t="str">
        <f>IF(AND(A1524="",B1524="",D1524="",G1524=""),"",IF(OR(B1524="",NOT(ISNUMBER(B1524)),C1524="",C1524="Fora dos ciclos"),"",IF(C1524="C0","Nao",IF(IFERROR(INDEX(parametros!$A$2:$A$6,MATCH(C1524,parametros!$B$2:$B$6,0)),"")&lt;&gt;"Sim","Nao",IF(IFERROR(INDEX(parametros!$H$2:$H$6,MATCH(C1524,parametros!$B$2:$B$6,0)),"")="","",IF(B1524&gt;=IFERROR(INDEX(parametros!$H$2:$H$6,MATCH(C1524,parametros!$B$2:$B$6,0)),""),"Sim","Nao"))))))</f>
        <v/>
      </c>
      <c r="T1524" s="156"/>
      <c r="U1524" s="214" t="str">
        <f t="shared" si="121"/>
        <v/>
      </c>
      <c r="V1524" s="212" t="s">
        <v>50</v>
      </c>
      <c r="W1524" s="100" t="s">
        <v>168</v>
      </c>
      <c r="X1524" s="100" t="s">
        <v>169</v>
      </c>
      <c r="Y1524" s="101" t="s">
        <v>170</v>
      </c>
      <c r="Z1524" s="101" t="s">
        <v>171</v>
      </c>
      <c r="AA1524" s="101" t="s">
        <v>50</v>
      </c>
      <c r="AB1524" s="101" t="s">
        <v>172</v>
      </c>
      <c r="AC1524" s="102" t="s">
        <v>173</v>
      </c>
    </row>
    <row r="1525" spans="1:29" ht="25.5" customHeight="1" x14ac:dyDescent="0.35">
      <c r="A1525" s="392"/>
      <c r="B1525" s="393"/>
      <c r="C1525" s="99" t="str">
        <f>IF(B1525="","",IF(NOT(ISNUMBER(B1525)),"DATA_PC invalida",IF(NOT(ISNUMBER(parametros!$C$2)),"Fora dos ciclos",IF(OR(B1525&lt;parametros!$C$2,(YEAR(B1525)-YEAR(parametros!$C$2))*12+MONTH(B1525)-MONTH(parametros!$C$2)&gt;59),"Fora dos ciclos","C"&amp;INT(((YEAR(B1525)-YEAR(parametros!$C$2))*12+MONTH(B1525)-MONTH(parametros!$C$2))/12)))))</f>
        <v/>
      </c>
      <c r="D1525" s="394"/>
      <c r="E1525" s="78" t="str">
        <f>IF(C1525="","",IFERROR(VLOOKUP(C1525,parametros!$A$11:$E$15,5,0),""))</f>
        <v/>
      </c>
      <c r="F1525" s="79" t="str">
        <f t="shared" si="117"/>
        <v/>
      </c>
      <c r="G1525" s="395"/>
      <c r="H1525" s="91">
        <f t="shared" si="118"/>
        <v>0</v>
      </c>
      <c r="I1525" s="91" t="str">
        <f t="shared" si="119"/>
        <v/>
      </c>
      <c r="J1525" s="91" t="str">
        <f t="shared" si="120"/>
        <v/>
      </c>
      <c r="K1525" s="92" t="str">
        <f>IF(AND(A1525="",B1525="",D1525="",G1525=""),"",IF(AND(A1525&lt;&gt;"",COUNTIF($A$2:$A$5001,A1525)&gt;1),"NUMERO_PC duplicado",IF(B1525="","DATA_PC vazia",IF(NOT(ISNUMBER(B1525)),"DATA_PC invalida",IF(OR(C1525="",C1525="Fora dos ciclos"),"CICLO_PC nao identificado",IF(OR(D1525="",D1525=0),"VALOR_PC vazio ou zero",IF(AND(G1525&lt;&gt;"Sim",G1525&lt;&gt;"Nao",G1525&lt;&gt;""),"PC_PAGO_A_CONTRATADA invalido",IF(AND(C1525&lt;&gt;"C0",IFERROR(INDEX(parametros!$A$2:$A$6,MATCH(C1525,parametros!$B$2:$B$6,0)),"")="Sim",IFERROR(INDEX(parametros!$H$2:$H$6,MATCH(C1525,parametros!$B$2:$B$6,0)),"")=""),"INICIO_EFEITO ausente: PC "&amp;A1525&amp;" - "&amp;C1525,IF(L1525="","EFEITO_PC nao calculado: PC "&amp;A1525&amp;" - "&amp;C1525,"OK")))))))))</f>
        <v/>
      </c>
      <c r="L1525" s="92" t="str">
        <f>IF(AND(A1525="",B1525="",D1525="",G1525=""),"",IF(OR(B1525="",NOT(ISNUMBER(B1525)),C1525="",C1525="Fora dos ciclos"),"",IF(C1525="C0","Nao",IF(IFERROR(INDEX(parametros!$A$2:$A$6,MATCH(C1525,parametros!$B$2:$B$6,0)),"")&lt;&gt;"Sim","Nao",IF(IFERROR(INDEX(parametros!$H$2:$H$6,MATCH(C1525,parametros!$B$2:$B$6,0)),"")="","",IF(B1525&gt;=IFERROR(INDEX(parametros!$H$2:$H$6,MATCH(C1525,parametros!$B$2:$B$6,0)),""),"Sim","Nao"))))))</f>
        <v/>
      </c>
      <c r="T1525" s="156"/>
      <c r="U1525" s="214" t="str">
        <f t="shared" si="121"/>
        <v/>
      </c>
      <c r="V1525" s="212" t="s">
        <v>50</v>
      </c>
      <c r="W1525" s="100" t="s">
        <v>168</v>
      </c>
      <c r="X1525" s="100" t="s">
        <v>169</v>
      </c>
      <c r="Y1525" s="101" t="s">
        <v>170</v>
      </c>
      <c r="Z1525" s="101" t="s">
        <v>171</v>
      </c>
      <c r="AA1525" s="101" t="s">
        <v>50</v>
      </c>
      <c r="AB1525" s="101" t="s">
        <v>172</v>
      </c>
      <c r="AC1525" s="102" t="s">
        <v>173</v>
      </c>
    </row>
    <row r="1526" spans="1:29" ht="25.5" customHeight="1" x14ac:dyDescent="0.35">
      <c r="A1526" s="392"/>
      <c r="B1526" s="393"/>
      <c r="C1526" s="99" t="str">
        <f>IF(B1526="","",IF(NOT(ISNUMBER(B1526)),"DATA_PC invalida",IF(NOT(ISNUMBER(parametros!$C$2)),"Fora dos ciclos",IF(OR(B1526&lt;parametros!$C$2,(YEAR(B1526)-YEAR(parametros!$C$2))*12+MONTH(B1526)-MONTH(parametros!$C$2)&gt;59),"Fora dos ciclos","C"&amp;INT(((YEAR(B1526)-YEAR(parametros!$C$2))*12+MONTH(B1526)-MONTH(parametros!$C$2))/12)))))</f>
        <v/>
      </c>
      <c r="D1526" s="394"/>
      <c r="E1526" s="78" t="str">
        <f>IF(C1526="","",IFERROR(VLOOKUP(C1526,parametros!$A$11:$E$15,5,0),""))</f>
        <v/>
      </c>
      <c r="F1526" s="79" t="str">
        <f t="shared" si="117"/>
        <v/>
      </c>
      <c r="G1526" s="395"/>
      <c r="H1526" s="91">
        <f t="shared" si="118"/>
        <v>0</v>
      </c>
      <c r="I1526" s="91" t="str">
        <f t="shared" si="119"/>
        <v/>
      </c>
      <c r="J1526" s="91" t="str">
        <f t="shared" si="120"/>
        <v/>
      </c>
      <c r="K1526" s="92" t="str">
        <f>IF(AND(A1526="",B1526="",D1526="",G1526=""),"",IF(AND(A1526&lt;&gt;"",COUNTIF($A$2:$A$5001,A1526)&gt;1),"NUMERO_PC duplicado",IF(B1526="","DATA_PC vazia",IF(NOT(ISNUMBER(B1526)),"DATA_PC invalida",IF(OR(C1526="",C1526="Fora dos ciclos"),"CICLO_PC nao identificado",IF(OR(D1526="",D1526=0),"VALOR_PC vazio ou zero",IF(AND(G1526&lt;&gt;"Sim",G1526&lt;&gt;"Nao",G1526&lt;&gt;""),"PC_PAGO_A_CONTRATADA invalido",IF(AND(C1526&lt;&gt;"C0",IFERROR(INDEX(parametros!$A$2:$A$6,MATCH(C1526,parametros!$B$2:$B$6,0)),"")="Sim",IFERROR(INDEX(parametros!$H$2:$H$6,MATCH(C1526,parametros!$B$2:$B$6,0)),"")=""),"INICIO_EFEITO ausente: PC "&amp;A1526&amp;" - "&amp;C1526,IF(L1526="","EFEITO_PC nao calculado: PC "&amp;A1526&amp;" - "&amp;C1526,"OK")))))))))</f>
        <v/>
      </c>
      <c r="L1526" s="92" t="str">
        <f>IF(AND(A1526="",B1526="",D1526="",G1526=""),"",IF(OR(B1526="",NOT(ISNUMBER(B1526)),C1526="",C1526="Fora dos ciclos"),"",IF(C1526="C0","Nao",IF(IFERROR(INDEX(parametros!$A$2:$A$6,MATCH(C1526,parametros!$B$2:$B$6,0)),"")&lt;&gt;"Sim","Nao",IF(IFERROR(INDEX(parametros!$H$2:$H$6,MATCH(C1526,parametros!$B$2:$B$6,0)),"")="","",IF(B1526&gt;=IFERROR(INDEX(parametros!$H$2:$H$6,MATCH(C1526,parametros!$B$2:$B$6,0)),""),"Sim","Nao"))))))</f>
        <v/>
      </c>
      <c r="T1526" s="156"/>
      <c r="U1526" s="214" t="str">
        <f t="shared" si="121"/>
        <v/>
      </c>
      <c r="V1526" s="212" t="s">
        <v>50</v>
      </c>
      <c r="W1526" s="100" t="s">
        <v>168</v>
      </c>
      <c r="X1526" s="100" t="s">
        <v>169</v>
      </c>
      <c r="Y1526" s="101" t="s">
        <v>170</v>
      </c>
      <c r="Z1526" s="101" t="s">
        <v>171</v>
      </c>
      <c r="AA1526" s="101" t="s">
        <v>50</v>
      </c>
      <c r="AB1526" s="101" t="s">
        <v>172</v>
      </c>
      <c r="AC1526" s="102" t="s">
        <v>173</v>
      </c>
    </row>
    <row r="1527" spans="1:29" ht="25.5" customHeight="1" x14ac:dyDescent="0.35">
      <c r="A1527" s="392"/>
      <c r="B1527" s="393"/>
      <c r="C1527" s="99" t="str">
        <f>IF(B1527="","",IF(NOT(ISNUMBER(B1527)),"DATA_PC invalida",IF(NOT(ISNUMBER(parametros!$C$2)),"Fora dos ciclos",IF(OR(B1527&lt;parametros!$C$2,(YEAR(B1527)-YEAR(parametros!$C$2))*12+MONTH(B1527)-MONTH(parametros!$C$2)&gt;59),"Fora dos ciclos","C"&amp;INT(((YEAR(B1527)-YEAR(parametros!$C$2))*12+MONTH(B1527)-MONTH(parametros!$C$2))/12)))))</f>
        <v/>
      </c>
      <c r="D1527" s="394"/>
      <c r="E1527" s="78" t="str">
        <f>IF(C1527="","",IFERROR(VLOOKUP(C1527,parametros!$A$11:$E$15,5,0),""))</f>
        <v/>
      </c>
      <c r="F1527" s="79" t="str">
        <f t="shared" si="117"/>
        <v/>
      </c>
      <c r="G1527" s="395"/>
      <c r="H1527" s="91">
        <f t="shared" si="118"/>
        <v>0</v>
      </c>
      <c r="I1527" s="91" t="str">
        <f t="shared" si="119"/>
        <v/>
      </c>
      <c r="J1527" s="91" t="str">
        <f t="shared" si="120"/>
        <v/>
      </c>
      <c r="K1527" s="92" t="str">
        <f>IF(AND(A1527="",B1527="",D1527="",G1527=""),"",IF(AND(A1527&lt;&gt;"",COUNTIF($A$2:$A$5001,A1527)&gt;1),"NUMERO_PC duplicado",IF(B1527="","DATA_PC vazia",IF(NOT(ISNUMBER(B1527)),"DATA_PC invalida",IF(OR(C1527="",C1527="Fora dos ciclos"),"CICLO_PC nao identificado",IF(OR(D1527="",D1527=0),"VALOR_PC vazio ou zero",IF(AND(G1527&lt;&gt;"Sim",G1527&lt;&gt;"Nao",G1527&lt;&gt;""),"PC_PAGO_A_CONTRATADA invalido",IF(AND(C1527&lt;&gt;"C0",IFERROR(INDEX(parametros!$A$2:$A$6,MATCH(C1527,parametros!$B$2:$B$6,0)),"")="Sim",IFERROR(INDEX(parametros!$H$2:$H$6,MATCH(C1527,parametros!$B$2:$B$6,0)),"")=""),"INICIO_EFEITO ausente: PC "&amp;A1527&amp;" - "&amp;C1527,IF(L1527="","EFEITO_PC nao calculado: PC "&amp;A1527&amp;" - "&amp;C1527,"OK")))))))))</f>
        <v/>
      </c>
      <c r="L1527" s="92" t="str">
        <f>IF(AND(A1527="",B1527="",D1527="",G1527=""),"",IF(OR(B1527="",NOT(ISNUMBER(B1527)),C1527="",C1527="Fora dos ciclos"),"",IF(C1527="C0","Nao",IF(IFERROR(INDEX(parametros!$A$2:$A$6,MATCH(C1527,parametros!$B$2:$B$6,0)),"")&lt;&gt;"Sim","Nao",IF(IFERROR(INDEX(parametros!$H$2:$H$6,MATCH(C1527,parametros!$B$2:$B$6,0)),"")="","",IF(B1527&gt;=IFERROR(INDEX(parametros!$H$2:$H$6,MATCH(C1527,parametros!$B$2:$B$6,0)),""),"Sim","Nao"))))))</f>
        <v/>
      </c>
      <c r="T1527" s="156"/>
      <c r="U1527" s="214" t="str">
        <f t="shared" si="121"/>
        <v/>
      </c>
      <c r="V1527" s="212" t="s">
        <v>50</v>
      </c>
      <c r="W1527" s="100" t="s">
        <v>168</v>
      </c>
      <c r="X1527" s="100" t="s">
        <v>169</v>
      </c>
      <c r="Y1527" s="101" t="s">
        <v>170</v>
      </c>
      <c r="Z1527" s="101" t="s">
        <v>171</v>
      </c>
      <c r="AA1527" s="101" t="s">
        <v>50</v>
      </c>
      <c r="AB1527" s="101" t="s">
        <v>172</v>
      </c>
      <c r="AC1527" s="102" t="s">
        <v>173</v>
      </c>
    </row>
    <row r="1528" spans="1:29" ht="25.5" customHeight="1" x14ac:dyDescent="0.35">
      <c r="A1528" s="392"/>
      <c r="B1528" s="393"/>
      <c r="C1528" s="99" t="str">
        <f>IF(B1528="","",IF(NOT(ISNUMBER(B1528)),"DATA_PC invalida",IF(NOT(ISNUMBER(parametros!$C$2)),"Fora dos ciclos",IF(OR(B1528&lt;parametros!$C$2,(YEAR(B1528)-YEAR(parametros!$C$2))*12+MONTH(B1528)-MONTH(parametros!$C$2)&gt;59),"Fora dos ciclos","C"&amp;INT(((YEAR(B1528)-YEAR(parametros!$C$2))*12+MONTH(B1528)-MONTH(parametros!$C$2))/12)))))</f>
        <v/>
      </c>
      <c r="D1528" s="394"/>
      <c r="E1528" s="78" t="str">
        <f>IF(C1528="","",IFERROR(VLOOKUP(C1528,parametros!$A$11:$E$15,5,0),""))</f>
        <v/>
      </c>
      <c r="F1528" s="79" t="str">
        <f t="shared" si="117"/>
        <v/>
      </c>
      <c r="G1528" s="395"/>
      <c r="H1528" s="91">
        <f t="shared" si="118"/>
        <v>0</v>
      </c>
      <c r="I1528" s="91" t="str">
        <f t="shared" si="119"/>
        <v/>
      </c>
      <c r="J1528" s="91" t="str">
        <f t="shared" si="120"/>
        <v/>
      </c>
      <c r="K1528" s="92" t="str">
        <f>IF(AND(A1528="",B1528="",D1528="",G1528=""),"",IF(AND(A1528&lt;&gt;"",COUNTIF($A$2:$A$5001,A1528)&gt;1),"NUMERO_PC duplicado",IF(B1528="","DATA_PC vazia",IF(NOT(ISNUMBER(B1528)),"DATA_PC invalida",IF(OR(C1528="",C1528="Fora dos ciclos"),"CICLO_PC nao identificado",IF(OR(D1528="",D1528=0),"VALOR_PC vazio ou zero",IF(AND(G1528&lt;&gt;"Sim",G1528&lt;&gt;"Nao",G1528&lt;&gt;""),"PC_PAGO_A_CONTRATADA invalido",IF(AND(C1528&lt;&gt;"C0",IFERROR(INDEX(parametros!$A$2:$A$6,MATCH(C1528,parametros!$B$2:$B$6,0)),"")="Sim",IFERROR(INDEX(parametros!$H$2:$H$6,MATCH(C1528,parametros!$B$2:$B$6,0)),"")=""),"INICIO_EFEITO ausente: PC "&amp;A1528&amp;" - "&amp;C1528,IF(L1528="","EFEITO_PC nao calculado: PC "&amp;A1528&amp;" - "&amp;C1528,"OK")))))))))</f>
        <v/>
      </c>
      <c r="L1528" s="92" t="str">
        <f>IF(AND(A1528="",B1528="",D1528="",G1528=""),"",IF(OR(B1528="",NOT(ISNUMBER(B1528)),C1528="",C1528="Fora dos ciclos"),"",IF(C1528="C0","Nao",IF(IFERROR(INDEX(parametros!$A$2:$A$6,MATCH(C1528,parametros!$B$2:$B$6,0)),"")&lt;&gt;"Sim","Nao",IF(IFERROR(INDEX(parametros!$H$2:$H$6,MATCH(C1528,parametros!$B$2:$B$6,0)),"")="","",IF(B1528&gt;=IFERROR(INDEX(parametros!$H$2:$H$6,MATCH(C1528,parametros!$B$2:$B$6,0)),""),"Sim","Nao"))))))</f>
        <v/>
      </c>
      <c r="T1528" s="156"/>
      <c r="U1528" s="214" t="str">
        <f t="shared" si="121"/>
        <v/>
      </c>
      <c r="V1528" s="212" t="s">
        <v>50</v>
      </c>
      <c r="W1528" s="100" t="s">
        <v>168</v>
      </c>
      <c r="X1528" s="100" t="s">
        <v>169</v>
      </c>
      <c r="Y1528" s="101" t="s">
        <v>170</v>
      </c>
      <c r="Z1528" s="101" t="s">
        <v>171</v>
      </c>
      <c r="AA1528" s="101" t="s">
        <v>50</v>
      </c>
      <c r="AB1528" s="101" t="s">
        <v>172</v>
      </c>
      <c r="AC1528" s="102" t="s">
        <v>173</v>
      </c>
    </row>
    <row r="1529" spans="1:29" ht="25.5" customHeight="1" x14ac:dyDescent="0.35">
      <c r="A1529" s="392"/>
      <c r="B1529" s="393"/>
      <c r="C1529" s="99" t="str">
        <f>IF(B1529="","",IF(NOT(ISNUMBER(B1529)),"DATA_PC invalida",IF(NOT(ISNUMBER(parametros!$C$2)),"Fora dos ciclos",IF(OR(B1529&lt;parametros!$C$2,(YEAR(B1529)-YEAR(parametros!$C$2))*12+MONTH(B1529)-MONTH(parametros!$C$2)&gt;59),"Fora dos ciclos","C"&amp;INT(((YEAR(B1529)-YEAR(parametros!$C$2))*12+MONTH(B1529)-MONTH(parametros!$C$2))/12)))))</f>
        <v/>
      </c>
      <c r="D1529" s="394"/>
      <c r="E1529" s="78" t="str">
        <f>IF(C1529="","",IFERROR(VLOOKUP(C1529,parametros!$A$11:$E$15,5,0),""))</f>
        <v/>
      </c>
      <c r="F1529" s="79" t="str">
        <f t="shared" si="117"/>
        <v/>
      </c>
      <c r="G1529" s="395"/>
      <c r="H1529" s="91">
        <f t="shared" si="118"/>
        <v>0</v>
      </c>
      <c r="I1529" s="91" t="str">
        <f t="shared" si="119"/>
        <v/>
      </c>
      <c r="J1529" s="91" t="str">
        <f t="shared" si="120"/>
        <v/>
      </c>
      <c r="K1529" s="92" t="str">
        <f>IF(AND(A1529="",B1529="",D1529="",G1529=""),"",IF(AND(A1529&lt;&gt;"",COUNTIF($A$2:$A$5001,A1529)&gt;1),"NUMERO_PC duplicado",IF(B1529="","DATA_PC vazia",IF(NOT(ISNUMBER(B1529)),"DATA_PC invalida",IF(OR(C1529="",C1529="Fora dos ciclos"),"CICLO_PC nao identificado",IF(OR(D1529="",D1529=0),"VALOR_PC vazio ou zero",IF(AND(G1529&lt;&gt;"Sim",G1529&lt;&gt;"Nao",G1529&lt;&gt;""),"PC_PAGO_A_CONTRATADA invalido",IF(AND(C1529&lt;&gt;"C0",IFERROR(INDEX(parametros!$A$2:$A$6,MATCH(C1529,parametros!$B$2:$B$6,0)),"")="Sim",IFERROR(INDEX(parametros!$H$2:$H$6,MATCH(C1529,parametros!$B$2:$B$6,0)),"")=""),"INICIO_EFEITO ausente: PC "&amp;A1529&amp;" - "&amp;C1529,IF(L1529="","EFEITO_PC nao calculado: PC "&amp;A1529&amp;" - "&amp;C1529,"OK")))))))))</f>
        <v/>
      </c>
      <c r="L1529" s="92" t="str">
        <f>IF(AND(A1529="",B1529="",D1529="",G1529=""),"",IF(OR(B1529="",NOT(ISNUMBER(B1529)),C1529="",C1529="Fora dos ciclos"),"",IF(C1529="C0","Nao",IF(IFERROR(INDEX(parametros!$A$2:$A$6,MATCH(C1529,parametros!$B$2:$B$6,0)),"")&lt;&gt;"Sim","Nao",IF(IFERROR(INDEX(parametros!$H$2:$H$6,MATCH(C1529,parametros!$B$2:$B$6,0)),"")="","",IF(B1529&gt;=IFERROR(INDEX(parametros!$H$2:$H$6,MATCH(C1529,parametros!$B$2:$B$6,0)),""),"Sim","Nao"))))))</f>
        <v/>
      </c>
      <c r="T1529" s="156"/>
      <c r="U1529" s="214" t="str">
        <f t="shared" si="121"/>
        <v/>
      </c>
      <c r="V1529" s="212" t="s">
        <v>50</v>
      </c>
      <c r="W1529" s="100" t="s">
        <v>168</v>
      </c>
      <c r="X1529" s="100" t="s">
        <v>169</v>
      </c>
      <c r="Y1529" s="101" t="s">
        <v>170</v>
      </c>
      <c r="Z1529" s="101" t="s">
        <v>171</v>
      </c>
      <c r="AA1529" s="101" t="s">
        <v>50</v>
      </c>
      <c r="AB1529" s="101" t="s">
        <v>172</v>
      </c>
      <c r="AC1529" s="102" t="s">
        <v>173</v>
      </c>
    </row>
    <row r="1530" spans="1:29" ht="25.5" customHeight="1" x14ac:dyDescent="0.35">
      <c r="A1530" s="392"/>
      <c r="B1530" s="393"/>
      <c r="C1530" s="99" t="str">
        <f>IF(B1530="","",IF(NOT(ISNUMBER(B1530)),"DATA_PC invalida",IF(NOT(ISNUMBER(parametros!$C$2)),"Fora dos ciclos",IF(OR(B1530&lt;parametros!$C$2,(YEAR(B1530)-YEAR(parametros!$C$2))*12+MONTH(B1530)-MONTH(parametros!$C$2)&gt;59),"Fora dos ciclos","C"&amp;INT(((YEAR(B1530)-YEAR(parametros!$C$2))*12+MONTH(B1530)-MONTH(parametros!$C$2))/12)))))</f>
        <v/>
      </c>
      <c r="D1530" s="394"/>
      <c r="E1530" s="78" t="str">
        <f>IF(C1530="","",IFERROR(VLOOKUP(C1530,parametros!$A$11:$E$15,5,0),""))</f>
        <v/>
      </c>
      <c r="F1530" s="79" t="str">
        <f t="shared" si="117"/>
        <v/>
      </c>
      <c r="G1530" s="395"/>
      <c r="H1530" s="91">
        <f t="shared" si="118"/>
        <v>0</v>
      </c>
      <c r="I1530" s="91" t="str">
        <f t="shared" si="119"/>
        <v/>
      </c>
      <c r="J1530" s="91" t="str">
        <f t="shared" si="120"/>
        <v/>
      </c>
      <c r="K1530" s="92" t="str">
        <f>IF(AND(A1530="",B1530="",D1530="",G1530=""),"",IF(AND(A1530&lt;&gt;"",COUNTIF($A$2:$A$5001,A1530)&gt;1),"NUMERO_PC duplicado",IF(B1530="","DATA_PC vazia",IF(NOT(ISNUMBER(B1530)),"DATA_PC invalida",IF(OR(C1530="",C1530="Fora dos ciclos"),"CICLO_PC nao identificado",IF(OR(D1530="",D1530=0),"VALOR_PC vazio ou zero",IF(AND(G1530&lt;&gt;"Sim",G1530&lt;&gt;"Nao",G1530&lt;&gt;""),"PC_PAGO_A_CONTRATADA invalido",IF(AND(C1530&lt;&gt;"C0",IFERROR(INDEX(parametros!$A$2:$A$6,MATCH(C1530,parametros!$B$2:$B$6,0)),"")="Sim",IFERROR(INDEX(parametros!$H$2:$H$6,MATCH(C1530,parametros!$B$2:$B$6,0)),"")=""),"INICIO_EFEITO ausente: PC "&amp;A1530&amp;" - "&amp;C1530,IF(L1530="","EFEITO_PC nao calculado: PC "&amp;A1530&amp;" - "&amp;C1530,"OK")))))))))</f>
        <v/>
      </c>
      <c r="L1530" s="92" t="str">
        <f>IF(AND(A1530="",B1530="",D1530="",G1530=""),"",IF(OR(B1530="",NOT(ISNUMBER(B1530)),C1530="",C1530="Fora dos ciclos"),"",IF(C1530="C0","Nao",IF(IFERROR(INDEX(parametros!$A$2:$A$6,MATCH(C1530,parametros!$B$2:$B$6,0)),"")&lt;&gt;"Sim","Nao",IF(IFERROR(INDEX(parametros!$H$2:$H$6,MATCH(C1530,parametros!$B$2:$B$6,0)),"")="","",IF(B1530&gt;=IFERROR(INDEX(parametros!$H$2:$H$6,MATCH(C1530,parametros!$B$2:$B$6,0)),""),"Sim","Nao"))))))</f>
        <v/>
      </c>
      <c r="T1530" s="156"/>
      <c r="U1530" s="214" t="str">
        <f t="shared" si="121"/>
        <v/>
      </c>
      <c r="V1530" s="212" t="s">
        <v>50</v>
      </c>
      <c r="W1530" s="100" t="s">
        <v>168</v>
      </c>
      <c r="X1530" s="100" t="s">
        <v>169</v>
      </c>
      <c r="Y1530" s="101" t="s">
        <v>170</v>
      </c>
      <c r="Z1530" s="101" t="s">
        <v>171</v>
      </c>
      <c r="AA1530" s="101" t="s">
        <v>50</v>
      </c>
      <c r="AB1530" s="101" t="s">
        <v>172</v>
      </c>
      <c r="AC1530" s="102" t="s">
        <v>173</v>
      </c>
    </row>
    <row r="1531" spans="1:29" ht="25.5" customHeight="1" x14ac:dyDescent="0.35">
      <c r="A1531" s="392"/>
      <c r="B1531" s="393"/>
      <c r="C1531" s="99" t="str">
        <f>IF(B1531="","",IF(NOT(ISNUMBER(B1531)),"DATA_PC invalida",IF(NOT(ISNUMBER(parametros!$C$2)),"Fora dos ciclos",IF(OR(B1531&lt;parametros!$C$2,(YEAR(B1531)-YEAR(parametros!$C$2))*12+MONTH(B1531)-MONTH(parametros!$C$2)&gt;59),"Fora dos ciclos","C"&amp;INT(((YEAR(B1531)-YEAR(parametros!$C$2))*12+MONTH(B1531)-MONTH(parametros!$C$2))/12)))))</f>
        <v/>
      </c>
      <c r="D1531" s="394"/>
      <c r="E1531" s="78" t="str">
        <f>IF(C1531="","",IFERROR(VLOOKUP(C1531,parametros!$A$11:$E$15,5,0),""))</f>
        <v/>
      </c>
      <c r="F1531" s="79" t="str">
        <f t="shared" si="117"/>
        <v/>
      </c>
      <c r="G1531" s="395"/>
      <c r="H1531" s="91">
        <f t="shared" si="118"/>
        <v>0</v>
      </c>
      <c r="I1531" s="91" t="str">
        <f t="shared" si="119"/>
        <v/>
      </c>
      <c r="J1531" s="91" t="str">
        <f t="shared" si="120"/>
        <v/>
      </c>
      <c r="K1531" s="92" t="str">
        <f>IF(AND(A1531="",B1531="",D1531="",G1531=""),"",IF(AND(A1531&lt;&gt;"",COUNTIF($A$2:$A$5001,A1531)&gt;1),"NUMERO_PC duplicado",IF(B1531="","DATA_PC vazia",IF(NOT(ISNUMBER(B1531)),"DATA_PC invalida",IF(OR(C1531="",C1531="Fora dos ciclos"),"CICLO_PC nao identificado",IF(OR(D1531="",D1531=0),"VALOR_PC vazio ou zero",IF(AND(G1531&lt;&gt;"Sim",G1531&lt;&gt;"Nao",G1531&lt;&gt;""),"PC_PAGO_A_CONTRATADA invalido",IF(AND(C1531&lt;&gt;"C0",IFERROR(INDEX(parametros!$A$2:$A$6,MATCH(C1531,parametros!$B$2:$B$6,0)),"")="Sim",IFERROR(INDEX(parametros!$H$2:$H$6,MATCH(C1531,parametros!$B$2:$B$6,0)),"")=""),"INICIO_EFEITO ausente: PC "&amp;A1531&amp;" - "&amp;C1531,IF(L1531="","EFEITO_PC nao calculado: PC "&amp;A1531&amp;" - "&amp;C1531,"OK")))))))))</f>
        <v/>
      </c>
      <c r="L1531" s="92" t="str">
        <f>IF(AND(A1531="",B1531="",D1531="",G1531=""),"",IF(OR(B1531="",NOT(ISNUMBER(B1531)),C1531="",C1531="Fora dos ciclos"),"",IF(C1531="C0","Nao",IF(IFERROR(INDEX(parametros!$A$2:$A$6,MATCH(C1531,parametros!$B$2:$B$6,0)),"")&lt;&gt;"Sim","Nao",IF(IFERROR(INDEX(parametros!$H$2:$H$6,MATCH(C1531,parametros!$B$2:$B$6,0)),"")="","",IF(B1531&gt;=IFERROR(INDEX(parametros!$H$2:$H$6,MATCH(C1531,parametros!$B$2:$B$6,0)),""),"Sim","Nao"))))))</f>
        <v/>
      </c>
      <c r="T1531" s="156"/>
      <c r="U1531" s="214" t="str">
        <f t="shared" si="121"/>
        <v/>
      </c>
      <c r="V1531" s="212" t="s">
        <v>50</v>
      </c>
      <c r="W1531" s="100" t="s">
        <v>168</v>
      </c>
      <c r="X1531" s="100" t="s">
        <v>169</v>
      </c>
      <c r="Y1531" s="101" t="s">
        <v>170</v>
      </c>
      <c r="Z1531" s="101" t="s">
        <v>171</v>
      </c>
      <c r="AA1531" s="101" t="s">
        <v>50</v>
      </c>
      <c r="AB1531" s="101" t="s">
        <v>172</v>
      </c>
      <c r="AC1531" s="102" t="s">
        <v>173</v>
      </c>
    </row>
    <row r="1532" spans="1:29" ht="25.5" customHeight="1" x14ac:dyDescent="0.35">
      <c r="A1532" s="392"/>
      <c r="B1532" s="393"/>
      <c r="C1532" s="99" t="str">
        <f>IF(B1532="","",IF(NOT(ISNUMBER(B1532)),"DATA_PC invalida",IF(NOT(ISNUMBER(parametros!$C$2)),"Fora dos ciclos",IF(OR(B1532&lt;parametros!$C$2,(YEAR(B1532)-YEAR(parametros!$C$2))*12+MONTH(B1532)-MONTH(parametros!$C$2)&gt;59),"Fora dos ciclos","C"&amp;INT(((YEAR(B1532)-YEAR(parametros!$C$2))*12+MONTH(B1532)-MONTH(parametros!$C$2))/12)))))</f>
        <v/>
      </c>
      <c r="D1532" s="394"/>
      <c r="E1532" s="78" t="str">
        <f>IF(C1532="","",IFERROR(VLOOKUP(C1532,parametros!$A$11:$E$15,5,0),""))</f>
        <v/>
      </c>
      <c r="F1532" s="79" t="str">
        <f t="shared" si="117"/>
        <v/>
      </c>
      <c r="G1532" s="395"/>
      <c r="H1532" s="91">
        <f t="shared" si="118"/>
        <v>0</v>
      </c>
      <c r="I1532" s="91" t="str">
        <f t="shared" si="119"/>
        <v/>
      </c>
      <c r="J1532" s="91" t="str">
        <f t="shared" si="120"/>
        <v/>
      </c>
      <c r="K1532" s="92" t="str">
        <f>IF(AND(A1532="",B1532="",D1532="",G1532=""),"",IF(AND(A1532&lt;&gt;"",COUNTIF($A$2:$A$5001,A1532)&gt;1),"NUMERO_PC duplicado",IF(B1532="","DATA_PC vazia",IF(NOT(ISNUMBER(B1532)),"DATA_PC invalida",IF(OR(C1532="",C1532="Fora dos ciclos"),"CICLO_PC nao identificado",IF(OR(D1532="",D1532=0),"VALOR_PC vazio ou zero",IF(AND(G1532&lt;&gt;"Sim",G1532&lt;&gt;"Nao",G1532&lt;&gt;""),"PC_PAGO_A_CONTRATADA invalido",IF(AND(C1532&lt;&gt;"C0",IFERROR(INDEX(parametros!$A$2:$A$6,MATCH(C1532,parametros!$B$2:$B$6,0)),"")="Sim",IFERROR(INDEX(parametros!$H$2:$H$6,MATCH(C1532,parametros!$B$2:$B$6,0)),"")=""),"INICIO_EFEITO ausente: PC "&amp;A1532&amp;" - "&amp;C1532,IF(L1532="","EFEITO_PC nao calculado: PC "&amp;A1532&amp;" - "&amp;C1532,"OK")))))))))</f>
        <v/>
      </c>
      <c r="L1532" s="92" t="str">
        <f>IF(AND(A1532="",B1532="",D1532="",G1532=""),"",IF(OR(B1532="",NOT(ISNUMBER(B1532)),C1532="",C1532="Fora dos ciclos"),"",IF(C1532="C0","Nao",IF(IFERROR(INDEX(parametros!$A$2:$A$6,MATCH(C1532,parametros!$B$2:$B$6,0)),"")&lt;&gt;"Sim","Nao",IF(IFERROR(INDEX(parametros!$H$2:$H$6,MATCH(C1532,parametros!$B$2:$B$6,0)),"")="","",IF(B1532&gt;=IFERROR(INDEX(parametros!$H$2:$H$6,MATCH(C1532,parametros!$B$2:$B$6,0)),""),"Sim","Nao"))))))</f>
        <v/>
      </c>
      <c r="T1532" s="156"/>
      <c r="U1532" s="214" t="str">
        <f t="shared" si="121"/>
        <v/>
      </c>
      <c r="V1532" s="212" t="s">
        <v>50</v>
      </c>
      <c r="W1532" s="100" t="s">
        <v>168</v>
      </c>
      <c r="X1532" s="100" t="s">
        <v>169</v>
      </c>
      <c r="Y1532" s="101" t="s">
        <v>170</v>
      </c>
      <c r="Z1532" s="101" t="s">
        <v>171</v>
      </c>
      <c r="AA1532" s="101" t="s">
        <v>50</v>
      </c>
      <c r="AB1532" s="101" t="s">
        <v>172</v>
      </c>
      <c r="AC1532" s="102" t="s">
        <v>173</v>
      </c>
    </row>
    <row r="1533" spans="1:29" ht="25.5" customHeight="1" x14ac:dyDescent="0.35">
      <c r="A1533" s="392"/>
      <c r="B1533" s="393"/>
      <c r="C1533" s="99" t="str">
        <f>IF(B1533="","",IF(NOT(ISNUMBER(B1533)),"DATA_PC invalida",IF(NOT(ISNUMBER(parametros!$C$2)),"Fora dos ciclos",IF(OR(B1533&lt;parametros!$C$2,(YEAR(B1533)-YEAR(parametros!$C$2))*12+MONTH(B1533)-MONTH(parametros!$C$2)&gt;59),"Fora dos ciclos","C"&amp;INT(((YEAR(B1533)-YEAR(parametros!$C$2))*12+MONTH(B1533)-MONTH(parametros!$C$2))/12)))))</f>
        <v/>
      </c>
      <c r="D1533" s="394"/>
      <c r="E1533" s="78" t="str">
        <f>IF(C1533="","",IFERROR(VLOOKUP(C1533,parametros!$A$11:$E$15,5,0),""))</f>
        <v/>
      </c>
      <c r="F1533" s="79" t="str">
        <f t="shared" si="117"/>
        <v/>
      </c>
      <c r="G1533" s="395"/>
      <c r="H1533" s="91">
        <f t="shared" si="118"/>
        <v>0</v>
      </c>
      <c r="I1533" s="91" t="str">
        <f t="shared" si="119"/>
        <v/>
      </c>
      <c r="J1533" s="91" t="str">
        <f t="shared" si="120"/>
        <v/>
      </c>
      <c r="K1533" s="92" t="str">
        <f>IF(AND(A1533="",B1533="",D1533="",G1533=""),"",IF(AND(A1533&lt;&gt;"",COUNTIF($A$2:$A$5001,A1533)&gt;1),"NUMERO_PC duplicado",IF(B1533="","DATA_PC vazia",IF(NOT(ISNUMBER(B1533)),"DATA_PC invalida",IF(OR(C1533="",C1533="Fora dos ciclos"),"CICLO_PC nao identificado",IF(OR(D1533="",D1533=0),"VALOR_PC vazio ou zero",IF(AND(G1533&lt;&gt;"Sim",G1533&lt;&gt;"Nao",G1533&lt;&gt;""),"PC_PAGO_A_CONTRATADA invalido",IF(AND(C1533&lt;&gt;"C0",IFERROR(INDEX(parametros!$A$2:$A$6,MATCH(C1533,parametros!$B$2:$B$6,0)),"")="Sim",IFERROR(INDEX(parametros!$H$2:$H$6,MATCH(C1533,parametros!$B$2:$B$6,0)),"")=""),"INICIO_EFEITO ausente: PC "&amp;A1533&amp;" - "&amp;C1533,IF(L1533="","EFEITO_PC nao calculado: PC "&amp;A1533&amp;" - "&amp;C1533,"OK")))))))))</f>
        <v/>
      </c>
      <c r="L1533" s="92" t="str">
        <f>IF(AND(A1533="",B1533="",D1533="",G1533=""),"",IF(OR(B1533="",NOT(ISNUMBER(B1533)),C1533="",C1533="Fora dos ciclos"),"",IF(C1533="C0","Nao",IF(IFERROR(INDEX(parametros!$A$2:$A$6,MATCH(C1533,parametros!$B$2:$B$6,0)),"")&lt;&gt;"Sim","Nao",IF(IFERROR(INDEX(parametros!$H$2:$H$6,MATCH(C1533,parametros!$B$2:$B$6,0)),"")="","",IF(B1533&gt;=IFERROR(INDEX(parametros!$H$2:$H$6,MATCH(C1533,parametros!$B$2:$B$6,0)),""),"Sim","Nao"))))))</f>
        <v/>
      </c>
      <c r="T1533" s="156"/>
      <c r="U1533" s="214" t="str">
        <f t="shared" si="121"/>
        <v/>
      </c>
      <c r="V1533" s="212" t="s">
        <v>50</v>
      </c>
      <c r="W1533" s="100" t="s">
        <v>168</v>
      </c>
      <c r="X1533" s="100" t="s">
        <v>169</v>
      </c>
      <c r="Y1533" s="101" t="s">
        <v>170</v>
      </c>
      <c r="Z1533" s="101" t="s">
        <v>171</v>
      </c>
      <c r="AA1533" s="101" t="s">
        <v>50</v>
      </c>
      <c r="AB1533" s="101" t="s">
        <v>172</v>
      </c>
      <c r="AC1533" s="102" t="s">
        <v>173</v>
      </c>
    </row>
    <row r="1534" spans="1:29" ht="25.5" customHeight="1" x14ac:dyDescent="0.35">
      <c r="A1534" s="392"/>
      <c r="B1534" s="393"/>
      <c r="C1534" s="99" t="str">
        <f>IF(B1534="","",IF(NOT(ISNUMBER(B1534)),"DATA_PC invalida",IF(NOT(ISNUMBER(parametros!$C$2)),"Fora dos ciclos",IF(OR(B1534&lt;parametros!$C$2,(YEAR(B1534)-YEAR(parametros!$C$2))*12+MONTH(B1534)-MONTH(parametros!$C$2)&gt;59),"Fora dos ciclos","C"&amp;INT(((YEAR(B1534)-YEAR(parametros!$C$2))*12+MONTH(B1534)-MONTH(parametros!$C$2))/12)))))</f>
        <v/>
      </c>
      <c r="D1534" s="394"/>
      <c r="E1534" s="78" t="str">
        <f>IF(C1534="","",IFERROR(VLOOKUP(C1534,parametros!$A$11:$E$15,5,0),""))</f>
        <v/>
      </c>
      <c r="F1534" s="79" t="str">
        <f t="shared" si="117"/>
        <v/>
      </c>
      <c r="G1534" s="395"/>
      <c r="H1534" s="91">
        <f t="shared" si="118"/>
        <v>0</v>
      </c>
      <c r="I1534" s="91" t="str">
        <f t="shared" si="119"/>
        <v/>
      </c>
      <c r="J1534" s="91" t="str">
        <f t="shared" si="120"/>
        <v/>
      </c>
      <c r="K1534" s="92" t="str">
        <f>IF(AND(A1534="",B1534="",D1534="",G1534=""),"",IF(AND(A1534&lt;&gt;"",COUNTIF($A$2:$A$5001,A1534)&gt;1),"NUMERO_PC duplicado",IF(B1534="","DATA_PC vazia",IF(NOT(ISNUMBER(B1534)),"DATA_PC invalida",IF(OR(C1534="",C1534="Fora dos ciclos"),"CICLO_PC nao identificado",IF(OR(D1534="",D1534=0),"VALOR_PC vazio ou zero",IF(AND(G1534&lt;&gt;"Sim",G1534&lt;&gt;"Nao",G1534&lt;&gt;""),"PC_PAGO_A_CONTRATADA invalido",IF(AND(C1534&lt;&gt;"C0",IFERROR(INDEX(parametros!$A$2:$A$6,MATCH(C1534,parametros!$B$2:$B$6,0)),"")="Sim",IFERROR(INDEX(parametros!$H$2:$H$6,MATCH(C1534,parametros!$B$2:$B$6,0)),"")=""),"INICIO_EFEITO ausente: PC "&amp;A1534&amp;" - "&amp;C1534,IF(L1534="","EFEITO_PC nao calculado: PC "&amp;A1534&amp;" - "&amp;C1534,"OK")))))))))</f>
        <v/>
      </c>
      <c r="L1534" s="92" t="str">
        <f>IF(AND(A1534="",B1534="",D1534="",G1534=""),"",IF(OR(B1534="",NOT(ISNUMBER(B1534)),C1534="",C1534="Fora dos ciclos"),"",IF(C1534="C0","Nao",IF(IFERROR(INDEX(parametros!$A$2:$A$6,MATCH(C1534,parametros!$B$2:$B$6,0)),"")&lt;&gt;"Sim","Nao",IF(IFERROR(INDEX(parametros!$H$2:$H$6,MATCH(C1534,parametros!$B$2:$B$6,0)),"")="","",IF(B1534&gt;=IFERROR(INDEX(parametros!$H$2:$H$6,MATCH(C1534,parametros!$B$2:$B$6,0)),""),"Sim","Nao"))))))</f>
        <v/>
      </c>
      <c r="T1534" s="156"/>
      <c r="U1534" s="214" t="str">
        <f t="shared" si="121"/>
        <v/>
      </c>
      <c r="V1534" s="212" t="s">
        <v>50</v>
      </c>
      <c r="W1534" s="100" t="s">
        <v>168</v>
      </c>
      <c r="X1534" s="100" t="s">
        <v>169</v>
      </c>
      <c r="Y1534" s="101" t="s">
        <v>170</v>
      </c>
      <c r="Z1534" s="101" t="s">
        <v>171</v>
      </c>
      <c r="AA1534" s="101" t="s">
        <v>50</v>
      </c>
      <c r="AB1534" s="101" t="s">
        <v>172</v>
      </c>
      <c r="AC1534" s="102" t="s">
        <v>173</v>
      </c>
    </row>
    <row r="1535" spans="1:29" ht="25.5" customHeight="1" x14ac:dyDescent="0.35">
      <c r="A1535" s="392"/>
      <c r="B1535" s="393"/>
      <c r="C1535" s="99" t="str">
        <f>IF(B1535="","",IF(NOT(ISNUMBER(B1535)),"DATA_PC invalida",IF(NOT(ISNUMBER(parametros!$C$2)),"Fora dos ciclos",IF(OR(B1535&lt;parametros!$C$2,(YEAR(B1535)-YEAR(parametros!$C$2))*12+MONTH(B1535)-MONTH(parametros!$C$2)&gt;59),"Fora dos ciclos","C"&amp;INT(((YEAR(B1535)-YEAR(parametros!$C$2))*12+MONTH(B1535)-MONTH(parametros!$C$2))/12)))))</f>
        <v/>
      </c>
      <c r="D1535" s="394"/>
      <c r="E1535" s="78" t="str">
        <f>IF(C1535="","",IFERROR(VLOOKUP(C1535,parametros!$A$11:$E$15,5,0),""))</f>
        <v/>
      </c>
      <c r="F1535" s="79" t="str">
        <f t="shared" si="117"/>
        <v/>
      </c>
      <c r="G1535" s="395"/>
      <c r="H1535" s="91">
        <f t="shared" si="118"/>
        <v>0</v>
      </c>
      <c r="I1535" s="91" t="str">
        <f t="shared" si="119"/>
        <v/>
      </c>
      <c r="J1535" s="91" t="str">
        <f t="shared" si="120"/>
        <v/>
      </c>
      <c r="K1535" s="92" t="str">
        <f>IF(AND(A1535="",B1535="",D1535="",G1535=""),"",IF(AND(A1535&lt;&gt;"",COUNTIF($A$2:$A$5001,A1535)&gt;1),"NUMERO_PC duplicado",IF(B1535="","DATA_PC vazia",IF(NOT(ISNUMBER(B1535)),"DATA_PC invalida",IF(OR(C1535="",C1535="Fora dos ciclos"),"CICLO_PC nao identificado",IF(OR(D1535="",D1535=0),"VALOR_PC vazio ou zero",IF(AND(G1535&lt;&gt;"Sim",G1535&lt;&gt;"Nao",G1535&lt;&gt;""),"PC_PAGO_A_CONTRATADA invalido",IF(AND(C1535&lt;&gt;"C0",IFERROR(INDEX(parametros!$A$2:$A$6,MATCH(C1535,parametros!$B$2:$B$6,0)),"")="Sim",IFERROR(INDEX(parametros!$H$2:$H$6,MATCH(C1535,parametros!$B$2:$B$6,0)),"")=""),"INICIO_EFEITO ausente: PC "&amp;A1535&amp;" - "&amp;C1535,IF(L1535="","EFEITO_PC nao calculado: PC "&amp;A1535&amp;" - "&amp;C1535,"OK")))))))))</f>
        <v/>
      </c>
      <c r="L1535" s="92" t="str">
        <f>IF(AND(A1535="",B1535="",D1535="",G1535=""),"",IF(OR(B1535="",NOT(ISNUMBER(B1535)),C1535="",C1535="Fora dos ciclos"),"",IF(C1535="C0","Nao",IF(IFERROR(INDEX(parametros!$A$2:$A$6,MATCH(C1535,parametros!$B$2:$B$6,0)),"")&lt;&gt;"Sim","Nao",IF(IFERROR(INDEX(parametros!$H$2:$H$6,MATCH(C1535,parametros!$B$2:$B$6,0)),"")="","",IF(B1535&gt;=IFERROR(INDEX(parametros!$H$2:$H$6,MATCH(C1535,parametros!$B$2:$B$6,0)),""),"Sim","Nao"))))))</f>
        <v/>
      </c>
      <c r="T1535" s="156"/>
      <c r="U1535" s="214" t="str">
        <f t="shared" si="121"/>
        <v/>
      </c>
      <c r="V1535" s="212" t="s">
        <v>50</v>
      </c>
      <c r="W1535" s="100" t="s">
        <v>168</v>
      </c>
      <c r="X1535" s="100" t="s">
        <v>169</v>
      </c>
      <c r="Y1535" s="101" t="s">
        <v>170</v>
      </c>
      <c r="Z1535" s="101" t="s">
        <v>171</v>
      </c>
      <c r="AA1535" s="101" t="s">
        <v>50</v>
      </c>
      <c r="AB1535" s="101" t="s">
        <v>172</v>
      </c>
      <c r="AC1535" s="102" t="s">
        <v>173</v>
      </c>
    </row>
    <row r="1536" spans="1:29" ht="25.5" customHeight="1" x14ac:dyDescent="0.35">
      <c r="A1536" s="392"/>
      <c r="B1536" s="393"/>
      <c r="C1536" s="99" t="str">
        <f>IF(B1536="","",IF(NOT(ISNUMBER(B1536)),"DATA_PC invalida",IF(NOT(ISNUMBER(parametros!$C$2)),"Fora dos ciclos",IF(OR(B1536&lt;parametros!$C$2,(YEAR(B1536)-YEAR(parametros!$C$2))*12+MONTH(B1536)-MONTH(parametros!$C$2)&gt;59),"Fora dos ciclos","C"&amp;INT(((YEAR(B1536)-YEAR(parametros!$C$2))*12+MONTH(B1536)-MONTH(parametros!$C$2))/12)))))</f>
        <v/>
      </c>
      <c r="D1536" s="394"/>
      <c r="E1536" s="78" t="str">
        <f>IF(C1536="","",IFERROR(VLOOKUP(C1536,parametros!$A$11:$E$15,5,0),""))</f>
        <v/>
      </c>
      <c r="F1536" s="79" t="str">
        <f t="shared" si="117"/>
        <v/>
      </c>
      <c r="G1536" s="395"/>
      <c r="H1536" s="91">
        <f t="shared" si="118"/>
        <v>0</v>
      </c>
      <c r="I1536" s="91" t="str">
        <f t="shared" si="119"/>
        <v/>
      </c>
      <c r="J1536" s="91" t="str">
        <f t="shared" si="120"/>
        <v/>
      </c>
      <c r="K1536" s="92" t="str">
        <f>IF(AND(A1536="",B1536="",D1536="",G1536=""),"",IF(AND(A1536&lt;&gt;"",COUNTIF($A$2:$A$5001,A1536)&gt;1),"NUMERO_PC duplicado",IF(B1536="","DATA_PC vazia",IF(NOT(ISNUMBER(B1536)),"DATA_PC invalida",IF(OR(C1536="",C1536="Fora dos ciclos"),"CICLO_PC nao identificado",IF(OR(D1536="",D1536=0),"VALOR_PC vazio ou zero",IF(AND(G1536&lt;&gt;"Sim",G1536&lt;&gt;"Nao",G1536&lt;&gt;""),"PC_PAGO_A_CONTRATADA invalido",IF(AND(C1536&lt;&gt;"C0",IFERROR(INDEX(parametros!$A$2:$A$6,MATCH(C1536,parametros!$B$2:$B$6,0)),"")="Sim",IFERROR(INDEX(parametros!$H$2:$H$6,MATCH(C1536,parametros!$B$2:$B$6,0)),"")=""),"INICIO_EFEITO ausente: PC "&amp;A1536&amp;" - "&amp;C1536,IF(L1536="","EFEITO_PC nao calculado: PC "&amp;A1536&amp;" - "&amp;C1536,"OK")))))))))</f>
        <v/>
      </c>
      <c r="L1536" s="92" t="str">
        <f>IF(AND(A1536="",B1536="",D1536="",G1536=""),"",IF(OR(B1536="",NOT(ISNUMBER(B1536)),C1536="",C1536="Fora dos ciclos"),"",IF(C1536="C0","Nao",IF(IFERROR(INDEX(parametros!$A$2:$A$6,MATCH(C1536,parametros!$B$2:$B$6,0)),"")&lt;&gt;"Sim","Nao",IF(IFERROR(INDEX(parametros!$H$2:$H$6,MATCH(C1536,parametros!$B$2:$B$6,0)),"")="","",IF(B1536&gt;=IFERROR(INDEX(parametros!$H$2:$H$6,MATCH(C1536,parametros!$B$2:$B$6,0)),""),"Sim","Nao"))))))</f>
        <v/>
      </c>
      <c r="T1536" s="156"/>
      <c r="U1536" s="214" t="str">
        <f t="shared" si="121"/>
        <v/>
      </c>
      <c r="V1536" s="212" t="s">
        <v>50</v>
      </c>
      <c r="W1536" s="100" t="s">
        <v>168</v>
      </c>
      <c r="X1536" s="100" t="s">
        <v>169</v>
      </c>
      <c r="Y1536" s="101" t="s">
        <v>170</v>
      </c>
      <c r="Z1536" s="101" t="s">
        <v>171</v>
      </c>
      <c r="AA1536" s="101" t="s">
        <v>50</v>
      </c>
      <c r="AB1536" s="101" t="s">
        <v>172</v>
      </c>
      <c r="AC1536" s="102" t="s">
        <v>173</v>
      </c>
    </row>
    <row r="1537" spans="1:29" ht="25.5" customHeight="1" x14ac:dyDescent="0.35">
      <c r="A1537" s="392"/>
      <c r="B1537" s="393"/>
      <c r="C1537" s="99" t="str">
        <f>IF(B1537="","",IF(NOT(ISNUMBER(B1537)),"DATA_PC invalida",IF(NOT(ISNUMBER(parametros!$C$2)),"Fora dos ciclos",IF(OR(B1537&lt;parametros!$C$2,(YEAR(B1537)-YEAR(parametros!$C$2))*12+MONTH(B1537)-MONTH(parametros!$C$2)&gt;59),"Fora dos ciclos","C"&amp;INT(((YEAR(B1537)-YEAR(parametros!$C$2))*12+MONTH(B1537)-MONTH(parametros!$C$2))/12)))))</f>
        <v/>
      </c>
      <c r="D1537" s="394"/>
      <c r="E1537" s="78" t="str">
        <f>IF(C1537="","",IFERROR(VLOOKUP(C1537,parametros!$A$11:$E$15,5,0),""))</f>
        <v/>
      </c>
      <c r="F1537" s="79" t="str">
        <f t="shared" si="117"/>
        <v/>
      </c>
      <c r="G1537" s="395"/>
      <c r="H1537" s="91">
        <f t="shared" si="118"/>
        <v>0</v>
      </c>
      <c r="I1537" s="91" t="str">
        <f t="shared" si="119"/>
        <v/>
      </c>
      <c r="J1537" s="91" t="str">
        <f t="shared" si="120"/>
        <v/>
      </c>
      <c r="K1537" s="92" t="str">
        <f>IF(AND(A1537="",B1537="",D1537="",G1537=""),"",IF(AND(A1537&lt;&gt;"",COUNTIF($A$2:$A$5001,A1537)&gt;1),"NUMERO_PC duplicado",IF(B1537="","DATA_PC vazia",IF(NOT(ISNUMBER(B1537)),"DATA_PC invalida",IF(OR(C1537="",C1537="Fora dos ciclos"),"CICLO_PC nao identificado",IF(OR(D1537="",D1537=0),"VALOR_PC vazio ou zero",IF(AND(G1537&lt;&gt;"Sim",G1537&lt;&gt;"Nao",G1537&lt;&gt;""),"PC_PAGO_A_CONTRATADA invalido",IF(AND(C1537&lt;&gt;"C0",IFERROR(INDEX(parametros!$A$2:$A$6,MATCH(C1537,parametros!$B$2:$B$6,0)),"")="Sim",IFERROR(INDEX(parametros!$H$2:$H$6,MATCH(C1537,parametros!$B$2:$B$6,0)),"")=""),"INICIO_EFEITO ausente: PC "&amp;A1537&amp;" - "&amp;C1537,IF(L1537="","EFEITO_PC nao calculado: PC "&amp;A1537&amp;" - "&amp;C1537,"OK")))))))))</f>
        <v/>
      </c>
      <c r="L1537" s="92" t="str">
        <f>IF(AND(A1537="",B1537="",D1537="",G1537=""),"",IF(OR(B1537="",NOT(ISNUMBER(B1537)),C1537="",C1537="Fora dos ciclos"),"",IF(C1537="C0","Nao",IF(IFERROR(INDEX(parametros!$A$2:$A$6,MATCH(C1537,parametros!$B$2:$B$6,0)),"")&lt;&gt;"Sim","Nao",IF(IFERROR(INDEX(parametros!$H$2:$H$6,MATCH(C1537,parametros!$B$2:$B$6,0)),"")="","",IF(B1537&gt;=IFERROR(INDEX(parametros!$H$2:$H$6,MATCH(C1537,parametros!$B$2:$B$6,0)),""),"Sim","Nao"))))))</f>
        <v/>
      </c>
      <c r="T1537" s="156"/>
      <c r="U1537" s="214" t="str">
        <f t="shared" si="121"/>
        <v/>
      </c>
      <c r="V1537" s="212" t="s">
        <v>50</v>
      </c>
      <c r="W1537" s="100" t="s">
        <v>168</v>
      </c>
      <c r="X1537" s="100" t="s">
        <v>169</v>
      </c>
      <c r="Y1537" s="101" t="s">
        <v>170</v>
      </c>
      <c r="Z1537" s="101" t="s">
        <v>171</v>
      </c>
      <c r="AA1537" s="101" t="s">
        <v>50</v>
      </c>
      <c r="AB1537" s="101" t="s">
        <v>172</v>
      </c>
      <c r="AC1537" s="102" t="s">
        <v>173</v>
      </c>
    </row>
    <row r="1538" spans="1:29" ht="25.5" customHeight="1" x14ac:dyDescent="0.35">
      <c r="A1538" s="392"/>
      <c r="B1538" s="393"/>
      <c r="C1538" s="99" t="str">
        <f>IF(B1538="","",IF(NOT(ISNUMBER(B1538)),"DATA_PC invalida",IF(NOT(ISNUMBER(parametros!$C$2)),"Fora dos ciclos",IF(OR(B1538&lt;parametros!$C$2,(YEAR(B1538)-YEAR(parametros!$C$2))*12+MONTH(B1538)-MONTH(parametros!$C$2)&gt;59),"Fora dos ciclos","C"&amp;INT(((YEAR(B1538)-YEAR(parametros!$C$2))*12+MONTH(B1538)-MONTH(parametros!$C$2))/12)))))</f>
        <v/>
      </c>
      <c r="D1538" s="394"/>
      <c r="E1538" s="78" t="str">
        <f>IF(C1538="","",IFERROR(VLOOKUP(C1538,parametros!$A$11:$E$15,5,0),""))</f>
        <v/>
      </c>
      <c r="F1538" s="79" t="str">
        <f t="shared" ref="F1538:F1601" si="122">IF(OR(D1538="",E1538=""),"",ROUND(D1538*E1538,2))</f>
        <v/>
      </c>
      <c r="G1538" s="395"/>
      <c r="H1538" s="91">
        <f t="shared" ref="H1538:H1601" si="123">IF(G1538="Sim",IF(OR(F1538="",D1538="",L1538=""),"",IF(L1538="Sim",ROUND(F1538-D1538,2),0)),0)</f>
        <v>0</v>
      </c>
      <c r="I1538" s="91" t="str">
        <f t="shared" ref="I1538:I1601" si="124">IF(G1538="Sim",0,IF(OR(F1538="",L1538=""),"",F1538))</f>
        <v/>
      </c>
      <c r="J1538" s="91" t="str">
        <f t="shared" ref="J1538:J1601" si="125">IF(G1538="Sim",0,IF(OR(F1538="",D1538="",L1538=""),"",IF(L1538="Sim",ROUND(F1538-D1538,2),0)))</f>
        <v/>
      </c>
      <c r="K1538" s="92" t="str">
        <f>IF(AND(A1538="",B1538="",D1538="",G1538=""),"",IF(AND(A1538&lt;&gt;"",COUNTIF($A$2:$A$5001,A1538)&gt;1),"NUMERO_PC duplicado",IF(B1538="","DATA_PC vazia",IF(NOT(ISNUMBER(B1538)),"DATA_PC invalida",IF(OR(C1538="",C1538="Fora dos ciclos"),"CICLO_PC nao identificado",IF(OR(D1538="",D1538=0),"VALOR_PC vazio ou zero",IF(AND(G1538&lt;&gt;"Sim",G1538&lt;&gt;"Nao",G1538&lt;&gt;""),"PC_PAGO_A_CONTRATADA invalido",IF(AND(C1538&lt;&gt;"C0",IFERROR(INDEX(parametros!$A$2:$A$6,MATCH(C1538,parametros!$B$2:$B$6,0)),"")="Sim",IFERROR(INDEX(parametros!$H$2:$H$6,MATCH(C1538,parametros!$B$2:$B$6,0)),"")=""),"INICIO_EFEITO ausente: PC "&amp;A1538&amp;" - "&amp;C1538,IF(L1538="","EFEITO_PC nao calculado: PC "&amp;A1538&amp;" - "&amp;C1538,"OK")))))))))</f>
        <v/>
      </c>
      <c r="L1538" s="92" t="str">
        <f>IF(AND(A1538="",B1538="",D1538="",G1538=""),"",IF(OR(B1538="",NOT(ISNUMBER(B1538)),C1538="",C1538="Fora dos ciclos"),"",IF(C1538="C0","Nao",IF(IFERROR(INDEX(parametros!$A$2:$A$6,MATCH(C1538,parametros!$B$2:$B$6,0)),"")&lt;&gt;"Sim","Nao",IF(IFERROR(INDEX(parametros!$H$2:$H$6,MATCH(C1538,parametros!$B$2:$B$6,0)),"")="","",IF(B1538&gt;=IFERROR(INDEX(parametros!$H$2:$H$6,MATCH(C1538,parametros!$B$2:$B$6,0)),""),"Sim","Nao"))))))</f>
        <v/>
      </c>
      <c r="T1538" s="156"/>
      <c r="U1538" s="214" t="str">
        <f t="shared" ref="U1538:U1601" si="126">IF(OR($D1538="",$H1538=""),"",ROUND($D1538+$H1538,2))</f>
        <v/>
      </c>
      <c r="V1538" s="212" t="s">
        <v>50</v>
      </c>
      <c r="W1538" s="100" t="s">
        <v>168</v>
      </c>
      <c r="X1538" s="100" t="s">
        <v>169</v>
      </c>
      <c r="Y1538" s="101" t="s">
        <v>170</v>
      </c>
      <c r="Z1538" s="101" t="s">
        <v>171</v>
      </c>
      <c r="AA1538" s="101" t="s">
        <v>50</v>
      </c>
      <c r="AB1538" s="101" t="s">
        <v>172</v>
      </c>
      <c r="AC1538" s="102" t="s">
        <v>173</v>
      </c>
    </row>
    <row r="1539" spans="1:29" ht="25.5" customHeight="1" x14ac:dyDescent="0.35">
      <c r="A1539" s="392"/>
      <c r="B1539" s="393"/>
      <c r="C1539" s="99" t="str">
        <f>IF(B1539="","",IF(NOT(ISNUMBER(B1539)),"DATA_PC invalida",IF(NOT(ISNUMBER(parametros!$C$2)),"Fora dos ciclos",IF(OR(B1539&lt;parametros!$C$2,(YEAR(B1539)-YEAR(parametros!$C$2))*12+MONTH(B1539)-MONTH(parametros!$C$2)&gt;59),"Fora dos ciclos","C"&amp;INT(((YEAR(B1539)-YEAR(parametros!$C$2))*12+MONTH(B1539)-MONTH(parametros!$C$2))/12)))))</f>
        <v/>
      </c>
      <c r="D1539" s="394"/>
      <c r="E1539" s="78" t="str">
        <f>IF(C1539="","",IFERROR(VLOOKUP(C1539,parametros!$A$11:$E$15,5,0),""))</f>
        <v/>
      </c>
      <c r="F1539" s="79" t="str">
        <f t="shared" si="122"/>
        <v/>
      </c>
      <c r="G1539" s="395"/>
      <c r="H1539" s="91">
        <f t="shared" si="123"/>
        <v>0</v>
      </c>
      <c r="I1539" s="91" t="str">
        <f t="shared" si="124"/>
        <v/>
      </c>
      <c r="J1539" s="91" t="str">
        <f t="shared" si="125"/>
        <v/>
      </c>
      <c r="K1539" s="92" t="str">
        <f>IF(AND(A1539="",B1539="",D1539="",G1539=""),"",IF(AND(A1539&lt;&gt;"",COUNTIF($A$2:$A$5001,A1539)&gt;1),"NUMERO_PC duplicado",IF(B1539="","DATA_PC vazia",IF(NOT(ISNUMBER(B1539)),"DATA_PC invalida",IF(OR(C1539="",C1539="Fora dos ciclos"),"CICLO_PC nao identificado",IF(OR(D1539="",D1539=0),"VALOR_PC vazio ou zero",IF(AND(G1539&lt;&gt;"Sim",G1539&lt;&gt;"Nao",G1539&lt;&gt;""),"PC_PAGO_A_CONTRATADA invalido",IF(AND(C1539&lt;&gt;"C0",IFERROR(INDEX(parametros!$A$2:$A$6,MATCH(C1539,parametros!$B$2:$B$6,0)),"")="Sim",IFERROR(INDEX(parametros!$H$2:$H$6,MATCH(C1539,parametros!$B$2:$B$6,0)),"")=""),"INICIO_EFEITO ausente: PC "&amp;A1539&amp;" - "&amp;C1539,IF(L1539="","EFEITO_PC nao calculado: PC "&amp;A1539&amp;" - "&amp;C1539,"OK")))))))))</f>
        <v/>
      </c>
      <c r="L1539" s="92" t="str">
        <f>IF(AND(A1539="",B1539="",D1539="",G1539=""),"",IF(OR(B1539="",NOT(ISNUMBER(B1539)),C1539="",C1539="Fora dos ciclos"),"",IF(C1539="C0","Nao",IF(IFERROR(INDEX(parametros!$A$2:$A$6,MATCH(C1539,parametros!$B$2:$B$6,0)),"")&lt;&gt;"Sim","Nao",IF(IFERROR(INDEX(parametros!$H$2:$H$6,MATCH(C1539,parametros!$B$2:$B$6,0)),"")="","",IF(B1539&gt;=IFERROR(INDEX(parametros!$H$2:$H$6,MATCH(C1539,parametros!$B$2:$B$6,0)),""),"Sim","Nao"))))))</f>
        <v/>
      </c>
      <c r="T1539" s="156"/>
      <c r="U1539" s="214" t="str">
        <f t="shared" si="126"/>
        <v/>
      </c>
      <c r="V1539" s="212" t="s">
        <v>50</v>
      </c>
      <c r="W1539" s="100" t="s">
        <v>168</v>
      </c>
      <c r="X1539" s="100" t="s">
        <v>169</v>
      </c>
      <c r="Y1539" s="101" t="s">
        <v>170</v>
      </c>
      <c r="Z1539" s="101" t="s">
        <v>171</v>
      </c>
      <c r="AA1539" s="101" t="s">
        <v>50</v>
      </c>
      <c r="AB1539" s="101" t="s">
        <v>172</v>
      </c>
      <c r="AC1539" s="102" t="s">
        <v>173</v>
      </c>
    </row>
    <row r="1540" spans="1:29" ht="25.5" customHeight="1" x14ac:dyDescent="0.35">
      <c r="A1540" s="392"/>
      <c r="B1540" s="393"/>
      <c r="C1540" s="99" t="str">
        <f>IF(B1540="","",IF(NOT(ISNUMBER(B1540)),"DATA_PC invalida",IF(NOT(ISNUMBER(parametros!$C$2)),"Fora dos ciclos",IF(OR(B1540&lt;parametros!$C$2,(YEAR(B1540)-YEAR(parametros!$C$2))*12+MONTH(B1540)-MONTH(parametros!$C$2)&gt;59),"Fora dos ciclos","C"&amp;INT(((YEAR(B1540)-YEAR(parametros!$C$2))*12+MONTH(B1540)-MONTH(parametros!$C$2))/12)))))</f>
        <v/>
      </c>
      <c r="D1540" s="394"/>
      <c r="E1540" s="78" t="str">
        <f>IF(C1540="","",IFERROR(VLOOKUP(C1540,parametros!$A$11:$E$15,5,0),""))</f>
        <v/>
      </c>
      <c r="F1540" s="79" t="str">
        <f t="shared" si="122"/>
        <v/>
      </c>
      <c r="G1540" s="395"/>
      <c r="H1540" s="91">
        <f t="shared" si="123"/>
        <v>0</v>
      </c>
      <c r="I1540" s="91" t="str">
        <f t="shared" si="124"/>
        <v/>
      </c>
      <c r="J1540" s="91" t="str">
        <f t="shared" si="125"/>
        <v/>
      </c>
      <c r="K1540" s="92" t="str">
        <f>IF(AND(A1540="",B1540="",D1540="",G1540=""),"",IF(AND(A1540&lt;&gt;"",COUNTIF($A$2:$A$5001,A1540)&gt;1),"NUMERO_PC duplicado",IF(B1540="","DATA_PC vazia",IF(NOT(ISNUMBER(B1540)),"DATA_PC invalida",IF(OR(C1540="",C1540="Fora dos ciclos"),"CICLO_PC nao identificado",IF(OR(D1540="",D1540=0),"VALOR_PC vazio ou zero",IF(AND(G1540&lt;&gt;"Sim",G1540&lt;&gt;"Nao",G1540&lt;&gt;""),"PC_PAGO_A_CONTRATADA invalido",IF(AND(C1540&lt;&gt;"C0",IFERROR(INDEX(parametros!$A$2:$A$6,MATCH(C1540,parametros!$B$2:$B$6,0)),"")="Sim",IFERROR(INDEX(parametros!$H$2:$H$6,MATCH(C1540,parametros!$B$2:$B$6,0)),"")=""),"INICIO_EFEITO ausente: PC "&amp;A1540&amp;" - "&amp;C1540,IF(L1540="","EFEITO_PC nao calculado: PC "&amp;A1540&amp;" - "&amp;C1540,"OK")))))))))</f>
        <v/>
      </c>
      <c r="L1540" s="92" t="str">
        <f>IF(AND(A1540="",B1540="",D1540="",G1540=""),"",IF(OR(B1540="",NOT(ISNUMBER(B1540)),C1540="",C1540="Fora dos ciclos"),"",IF(C1540="C0","Nao",IF(IFERROR(INDEX(parametros!$A$2:$A$6,MATCH(C1540,parametros!$B$2:$B$6,0)),"")&lt;&gt;"Sim","Nao",IF(IFERROR(INDEX(parametros!$H$2:$H$6,MATCH(C1540,parametros!$B$2:$B$6,0)),"")="","",IF(B1540&gt;=IFERROR(INDEX(parametros!$H$2:$H$6,MATCH(C1540,parametros!$B$2:$B$6,0)),""),"Sim","Nao"))))))</f>
        <v/>
      </c>
      <c r="T1540" s="156"/>
      <c r="U1540" s="214" t="str">
        <f t="shared" si="126"/>
        <v/>
      </c>
      <c r="V1540" s="212" t="s">
        <v>50</v>
      </c>
      <c r="W1540" s="100" t="s">
        <v>168</v>
      </c>
      <c r="X1540" s="100" t="s">
        <v>169</v>
      </c>
      <c r="Y1540" s="101" t="s">
        <v>170</v>
      </c>
      <c r="Z1540" s="101" t="s">
        <v>171</v>
      </c>
      <c r="AA1540" s="101" t="s">
        <v>50</v>
      </c>
      <c r="AB1540" s="101" t="s">
        <v>172</v>
      </c>
      <c r="AC1540" s="102" t="s">
        <v>173</v>
      </c>
    </row>
    <row r="1541" spans="1:29" ht="25.5" customHeight="1" x14ac:dyDescent="0.35">
      <c r="A1541" s="392"/>
      <c r="B1541" s="393"/>
      <c r="C1541" s="99" t="str">
        <f>IF(B1541="","",IF(NOT(ISNUMBER(B1541)),"DATA_PC invalida",IF(NOT(ISNUMBER(parametros!$C$2)),"Fora dos ciclos",IF(OR(B1541&lt;parametros!$C$2,(YEAR(B1541)-YEAR(parametros!$C$2))*12+MONTH(B1541)-MONTH(parametros!$C$2)&gt;59),"Fora dos ciclos","C"&amp;INT(((YEAR(B1541)-YEAR(parametros!$C$2))*12+MONTH(B1541)-MONTH(parametros!$C$2))/12)))))</f>
        <v/>
      </c>
      <c r="D1541" s="394"/>
      <c r="E1541" s="78" t="str">
        <f>IF(C1541="","",IFERROR(VLOOKUP(C1541,parametros!$A$11:$E$15,5,0),""))</f>
        <v/>
      </c>
      <c r="F1541" s="79" t="str">
        <f t="shared" si="122"/>
        <v/>
      </c>
      <c r="G1541" s="395"/>
      <c r="H1541" s="91">
        <f t="shared" si="123"/>
        <v>0</v>
      </c>
      <c r="I1541" s="91" t="str">
        <f t="shared" si="124"/>
        <v/>
      </c>
      <c r="J1541" s="91" t="str">
        <f t="shared" si="125"/>
        <v/>
      </c>
      <c r="K1541" s="92" t="str">
        <f>IF(AND(A1541="",B1541="",D1541="",G1541=""),"",IF(AND(A1541&lt;&gt;"",COUNTIF($A$2:$A$5001,A1541)&gt;1),"NUMERO_PC duplicado",IF(B1541="","DATA_PC vazia",IF(NOT(ISNUMBER(B1541)),"DATA_PC invalida",IF(OR(C1541="",C1541="Fora dos ciclos"),"CICLO_PC nao identificado",IF(OR(D1541="",D1541=0),"VALOR_PC vazio ou zero",IF(AND(G1541&lt;&gt;"Sim",G1541&lt;&gt;"Nao",G1541&lt;&gt;""),"PC_PAGO_A_CONTRATADA invalido",IF(AND(C1541&lt;&gt;"C0",IFERROR(INDEX(parametros!$A$2:$A$6,MATCH(C1541,parametros!$B$2:$B$6,0)),"")="Sim",IFERROR(INDEX(parametros!$H$2:$H$6,MATCH(C1541,parametros!$B$2:$B$6,0)),"")=""),"INICIO_EFEITO ausente: PC "&amp;A1541&amp;" - "&amp;C1541,IF(L1541="","EFEITO_PC nao calculado: PC "&amp;A1541&amp;" - "&amp;C1541,"OK")))))))))</f>
        <v/>
      </c>
      <c r="L1541" s="92" t="str">
        <f>IF(AND(A1541="",B1541="",D1541="",G1541=""),"",IF(OR(B1541="",NOT(ISNUMBER(B1541)),C1541="",C1541="Fora dos ciclos"),"",IF(C1541="C0","Nao",IF(IFERROR(INDEX(parametros!$A$2:$A$6,MATCH(C1541,parametros!$B$2:$B$6,0)),"")&lt;&gt;"Sim","Nao",IF(IFERROR(INDEX(parametros!$H$2:$H$6,MATCH(C1541,parametros!$B$2:$B$6,0)),"")="","",IF(B1541&gt;=IFERROR(INDEX(parametros!$H$2:$H$6,MATCH(C1541,parametros!$B$2:$B$6,0)),""),"Sim","Nao"))))))</f>
        <v/>
      </c>
      <c r="T1541" s="156"/>
      <c r="U1541" s="214" t="str">
        <f t="shared" si="126"/>
        <v/>
      </c>
      <c r="V1541" s="212" t="s">
        <v>50</v>
      </c>
      <c r="W1541" s="100" t="s">
        <v>168</v>
      </c>
      <c r="X1541" s="100" t="s">
        <v>169</v>
      </c>
      <c r="Y1541" s="101" t="s">
        <v>170</v>
      </c>
      <c r="Z1541" s="101" t="s">
        <v>171</v>
      </c>
      <c r="AA1541" s="101" t="s">
        <v>50</v>
      </c>
      <c r="AB1541" s="101" t="s">
        <v>172</v>
      </c>
      <c r="AC1541" s="102" t="s">
        <v>173</v>
      </c>
    </row>
    <row r="1542" spans="1:29" ht="25.5" customHeight="1" x14ac:dyDescent="0.35">
      <c r="A1542" s="392"/>
      <c r="B1542" s="393"/>
      <c r="C1542" s="99" t="str">
        <f>IF(B1542="","",IF(NOT(ISNUMBER(B1542)),"DATA_PC invalida",IF(NOT(ISNUMBER(parametros!$C$2)),"Fora dos ciclos",IF(OR(B1542&lt;parametros!$C$2,(YEAR(B1542)-YEAR(parametros!$C$2))*12+MONTH(B1542)-MONTH(parametros!$C$2)&gt;59),"Fora dos ciclos","C"&amp;INT(((YEAR(B1542)-YEAR(parametros!$C$2))*12+MONTH(B1542)-MONTH(parametros!$C$2))/12)))))</f>
        <v/>
      </c>
      <c r="D1542" s="394"/>
      <c r="E1542" s="78" t="str">
        <f>IF(C1542="","",IFERROR(VLOOKUP(C1542,parametros!$A$11:$E$15,5,0),""))</f>
        <v/>
      </c>
      <c r="F1542" s="79" t="str">
        <f t="shared" si="122"/>
        <v/>
      </c>
      <c r="G1542" s="395"/>
      <c r="H1542" s="91">
        <f t="shared" si="123"/>
        <v>0</v>
      </c>
      <c r="I1542" s="91" t="str">
        <f t="shared" si="124"/>
        <v/>
      </c>
      <c r="J1542" s="91" t="str">
        <f t="shared" si="125"/>
        <v/>
      </c>
      <c r="K1542" s="92" t="str">
        <f>IF(AND(A1542="",B1542="",D1542="",G1542=""),"",IF(AND(A1542&lt;&gt;"",COUNTIF($A$2:$A$5001,A1542)&gt;1),"NUMERO_PC duplicado",IF(B1542="","DATA_PC vazia",IF(NOT(ISNUMBER(B1542)),"DATA_PC invalida",IF(OR(C1542="",C1542="Fora dos ciclos"),"CICLO_PC nao identificado",IF(OR(D1542="",D1542=0),"VALOR_PC vazio ou zero",IF(AND(G1542&lt;&gt;"Sim",G1542&lt;&gt;"Nao",G1542&lt;&gt;""),"PC_PAGO_A_CONTRATADA invalido",IF(AND(C1542&lt;&gt;"C0",IFERROR(INDEX(parametros!$A$2:$A$6,MATCH(C1542,parametros!$B$2:$B$6,0)),"")="Sim",IFERROR(INDEX(parametros!$H$2:$H$6,MATCH(C1542,parametros!$B$2:$B$6,0)),"")=""),"INICIO_EFEITO ausente: PC "&amp;A1542&amp;" - "&amp;C1542,IF(L1542="","EFEITO_PC nao calculado: PC "&amp;A1542&amp;" - "&amp;C1542,"OK")))))))))</f>
        <v/>
      </c>
      <c r="L1542" s="92" t="str">
        <f>IF(AND(A1542="",B1542="",D1542="",G1542=""),"",IF(OR(B1542="",NOT(ISNUMBER(B1542)),C1542="",C1542="Fora dos ciclos"),"",IF(C1542="C0","Nao",IF(IFERROR(INDEX(parametros!$A$2:$A$6,MATCH(C1542,parametros!$B$2:$B$6,0)),"")&lt;&gt;"Sim","Nao",IF(IFERROR(INDEX(parametros!$H$2:$H$6,MATCH(C1542,parametros!$B$2:$B$6,0)),"")="","",IF(B1542&gt;=IFERROR(INDEX(parametros!$H$2:$H$6,MATCH(C1542,parametros!$B$2:$B$6,0)),""),"Sim","Nao"))))))</f>
        <v/>
      </c>
      <c r="T1542" s="156"/>
      <c r="U1542" s="214" t="str">
        <f t="shared" si="126"/>
        <v/>
      </c>
      <c r="V1542" s="212" t="s">
        <v>50</v>
      </c>
      <c r="W1542" s="100" t="s">
        <v>168</v>
      </c>
      <c r="X1542" s="100" t="s">
        <v>169</v>
      </c>
      <c r="Y1542" s="101" t="s">
        <v>170</v>
      </c>
      <c r="Z1542" s="101" t="s">
        <v>171</v>
      </c>
      <c r="AA1542" s="101" t="s">
        <v>50</v>
      </c>
      <c r="AB1542" s="101" t="s">
        <v>172</v>
      </c>
      <c r="AC1542" s="102" t="s">
        <v>173</v>
      </c>
    </row>
    <row r="1543" spans="1:29" ht="25.5" customHeight="1" x14ac:dyDescent="0.35">
      <c r="A1543" s="392"/>
      <c r="B1543" s="393"/>
      <c r="C1543" s="99" t="str">
        <f>IF(B1543="","",IF(NOT(ISNUMBER(B1543)),"DATA_PC invalida",IF(NOT(ISNUMBER(parametros!$C$2)),"Fora dos ciclos",IF(OR(B1543&lt;parametros!$C$2,(YEAR(B1543)-YEAR(parametros!$C$2))*12+MONTH(B1543)-MONTH(parametros!$C$2)&gt;59),"Fora dos ciclos","C"&amp;INT(((YEAR(B1543)-YEAR(parametros!$C$2))*12+MONTH(B1543)-MONTH(parametros!$C$2))/12)))))</f>
        <v/>
      </c>
      <c r="D1543" s="394"/>
      <c r="E1543" s="78" t="str">
        <f>IF(C1543="","",IFERROR(VLOOKUP(C1543,parametros!$A$11:$E$15,5,0),""))</f>
        <v/>
      </c>
      <c r="F1543" s="79" t="str">
        <f t="shared" si="122"/>
        <v/>
      </c>
      <c r="G1543" s="395"/>
      <c r="H1543" s="91">
        <f t="shared" si="123"/>
        <v>0</v>
      </c>
      <c r="I1543" s="91" t="str">
        <f t="shared" si="124"/>
        <v/>
      </c>
      <c r="J1543" s="91" t="str">
        <f t="shared" si="125"/>
        <v/>
      </c>
      <c r="K1543" s="92" t="str">
        <f>IF(AND(A1543="",B1543="",D1543="",G1543=""),"",IF(AND(A1543&lt;&gt;"",COUNTIF($A$2:$A$5001,A1543)&gt;1),"NUMERO_PC duplicado",IF(B1543="","DATA_PC vazia",IF(NOT(ISNUMBER(B1543)),"DATA_PC invalida",IF(OR(C1543="",C1543="Fora dos ciclos"),"CICLO_PC nao identificado",IF(OR(D1543="",D1543=0),"VALOR_PC vazio ou zero",IF(AND(G1543&lt;&gt;"Sim",G1543&lt;&gt;"Nao",G1543&lt;&gt;""),"PC_PAGO_A_CONTRATADA invalido",IF(AND(C1543&lt;&gt;"C0",IFERROR(INDEX(parametros!$A$2:$A$6,MATCH(C1543,parametros!$B$2:$B$6,0)),"")="Sim",IFERROR(INDEX(parametros!$H$2:$H$6,MATCH(C1543,parametros!$B$2:$B$6,0)),"")=""),"INICIO_EFEITO ausente: PC "&amp;A1543&amp;" - "&amp;C1543,IF(L1543="","EFEITO_PC nao calculado: PC "&amp;A1543&amp;" - "&amp;C1543,"OK")))))))))</f>
        <v/>
      </c>
      <c r="L1543" s="92" t="str">
        <f>IF(AND(A1543="",B1543="",D1543="",G1543=""),"",IF(OR(B1543="",NOT(ISNUMBER(B1543)),C1543="",C1543="Fora dos ciclos"),"",IF(C1543="C0","Nao",IF(IFERROR(INDEX(parametros!$A$2:$A$6,MATCH(C1543,parametros!$B$2:$B$6,0)),"")&lt;&gt;"Sim","Nao",IF(IFERROR(INDEX(parametros!$H$2:$H$6,MATCH(C1543,parametros!$B$2:$B$6,0)),"")="","",IF(B1543&gt;=IFERROR(INDEX(parametros!$H$2:$H$6,MATCH(C1543,parametros!$B$2:$B$6,0)),""),"Sim","Nao"))))))</f>
        <v/>
      </c>
      <c r="T1543" s="156"/>
      <c r="U1543" s="214" t="str">
        <f t="shared" si="126"/>
        <v/>
      </c>
      <c r="V1543" s="212" t="s">
        <v>50</v>
      </c>
      <c r="W1543" s="100" t="s">
        <v>168</v>
      </c>
      <c r="X1543" s="100" t="s">
        <v>169</v>
      </c>
      <c r="Y1543" s="101" t="s">
        <v>170</v>
      </c>
      <c r="Z1543" s="101" t="s">
        <v>171</v>
      </c>
      <c r="AA1543" s="101" t="s">
        <v>50</v>
      </c>
      <c r="AB1543" s="101" t="s">
        <v>172</v>
      </c>
      <c r="AC1543" s="102" t="s">
        <v>173</v>
      </c>
    </row>
    <row r="1544" spans="1:29" ht="25.5" customHeight="1" x14ac:dyDescent="0.35">
      <c r="A1544" s="392"/>
      <c r="B1544" s="393"/>
      <c r="C1544" s="99" t="str">
        <f>IF(B1544="","",IF(NOT(ISNUMBER(B1544)),"DATA_PC invalida",IF(NOT(ISNUMBER(parametros!$C$2)),"Fora dos ciclos",IF(OR(B1544&lt;parametros!$C$2,(YEAR(B1544)-YEAR(parametros!$C$2))*12+MONTH(B1544)-MONTH(parametros!$C$2)&gt;59),"Fora dos ciclos","C"&amp;INT(((YEAR(B1544)-YEAR(parametros!$C$2))*12+MONTH(B1544)-MONTH(parametros!$C$2))/12)))))</f>
        <v/>
      </c>
      <c r="D1544" s="394"/>
      <c r="E1544" s="78" t="str">
        <f>IF(C1544="","",IFERROR(VLOOKUP(C1544,parametros!$A$11:$E$15,5,0),""))</f>
        <v/>
      </c>
      <c r="F1544" s="79" t="str">
        <f t="shared" si="122"/>
        <v/>
      </c>
      <c r="G1544" s="395"/>
      <c r="H1544" s="91">
        <f t="shared" si="123"/>
        <v>0</v>
      </c>
      <c r="I1544" s="91" t="str">
        <f t="shared" si="124"/>
        <v/>
      </c>
      <c r="J1544" s="91" t="str">
        <f t="shared" si="125"/>
        <v/>
      </c>
      <c r="K1544" s="92" t="str">
        <f>IF(AND(A1544="",B1544="",D1544="",G1544=""),"",IF(AND(A1544&lt;&gt;"",COUNTIF($A$2:$A$5001,A1544)&gt;1),"NUMERO_PC duplicado",IF(B1544="","DATA_PC vazia",IF(NOT(ISNUMBER(B1544)),"DATA_PC invalida",IF(OR(C1544="",C1544="Fora dos ciclos"),"CICLO_PC nao identificado",IF(OR(D1544="",D1544=0),"VALOR_PC vazio ou zero",IF(AND(G1544&lt;&gt;"Sim",G1544&lt;&gt;"Nao",G1544&lt;&gt;""),"PC_PAGO_A_CONTRATADA invalido",IF(AND(C1544&lt;&gt;"C0",IFERROR(INDEX(parametros!$A$2:$A$6,MATCH(C1544,parametros!$B$2:$B$6,0)),"")="Sim",IFERROR(INDEX(parametros!$H$2:$H$6,MATCH(C1544,parametros!$B$2:$B$6,0)),"")=""),"INICIO_EFEITO ausente: PC "&amp;A1544&amp;" - "&amp;C1544,IF(L1544="","EFEITO_PC nao calculado: PC "&amp;A1544&amp;" - "&amp;C1544,"OK")))))))))</f>
        <v/>
      </c>
      <c r="L1544" s="92" t="str">
        <f>IF(AND(A1544="",B1544="",D1544="",G1544=""),"",IF(OR(B1544="",NOT(ISNUMBER(B1544)),C1544="",C1544="Fora dos ciclos"),"",IF(C1544="C0","Nao",IF(IFERROR(INDEX(parametros!$A$2:$A$6,MATCH(C1544,parametros!$B$2:$B$6,0)),"")&lt;&gt;"Sim","Nao",IF(IFERROR(INDEX(parametros!$H$2:$H$6,MATCH(C1544,parametros!$B$2:$B$6,0)),"")="","",IF(B1544&gt;=IFERROR(INDEX(parametros!$H$2:$H$6,MATCH(C1544,parametros!$B$2:$B$6,0)),""),"Sim","Nao"))))))</f>
        <v/>
      </c>
      <c r="T1544" s="156"/>
      <c r="U1544" s="214" t="str">
        <f t="shared" si="126"/>
        <v/>
      </c>
      <c r="V1544" s="212" t="s">
        <v>50</v>
      </c>
      <c r="W1544" s="100" t="s">
        <v>168</v>
      </c>
      <c r="X1544" s="100" t="s">
        <v>169</v>
      </c>
      <c r="Y1544" s="101" t="s">
        <v>170</v>
      </c>
      <c r="Z1544" s="101" t="s">
        <v>171</v>
      </c>
      <c r="AA1544" s="101" t="s">
        <v>50</v>
      </c>
      <c r="AB1544" s="101" t="s">
        <v>172</v>
      </c>
      <c r="AC1544" s="102" t="s">
        <v>173</v>
      </c>
    </row>
    <row r="1545" spans="1:29" ht="25.5" customHeight="1" x14ac:dyDescent="0.35">
      <c r="A1545" s="392"/>
      <c r="B1545" s="393"/>
      <c r="C1545" s="99" t="str">
        <f>IF(B1545="","",IF(NOT(ISNUMBER(B1545)),"DATA_PC invalida",IF(NOT(ISNUMBER(parametros!$C$2)),"Fora dos ciclos",IF(OR(B1545&lt;parametros!$C$2,(YEAR(B1545)-YEAR(parametros!$C$2))*12+MONTH(B1545)-MONTH(parametros!$C$2)&gt;59),"Fora dos ciclos","C"&amp;INT(((YEAR(B1545)-YEAR(parametros!$C$2))*12+MONTH(B1545)-MONTH(parametros!$C$2))/12)))))</f>
        <v/>
      </c>
      <c r="D1545" s="394"/>
      <c r="E1545" s="78" t="str">
        <f>IF(C1545="","",IFERROR(VLOOKUP(C1545,parametros!$A$11:$E$15,5,0),""))</f>
        <v/>
      </c>
      <c r="F1545" s="79" t="str">
        <f t="shared" si="122"/>
        <v/>
      </c>
      <c r="G1545" s="395"/>
      <c r="H1545" s="91">
        <f t="shared" si="123"/>
        <v>0</v>
      </c>
      <c r="I1545" s="91" t="str">
        <f t="shared" si="124"/>
        <v/>
      </c>
      <c r="J1545" s="91" t="str">
        <f t="shared" si="125"/>
        <v/>
      </c>
      <c r="K1545" s="92" t="str">
        <f>IF(AND(A1545="",B1545="",D1545="",G1545=""),"",IF(AND(A1545&lt;&gt;"",COUNTIF($A$2:$A$5001,A1545)&gt;1),"NUMERO_PC duplicado",IF(B1545="","DATA_PC vazia",IF(NOT(ISNUMBER(B1545)),"DATA_PC invalida",IF(OR(C1545="",C1545="Fora dos ciclos"),"CICLO_PC nao identificado",IF(OR(D1545="",D1545=0),"VALOR_PC vazio ou zero",IF(AND(G1545&lt;&gt;"Sim",G1545&lt;&gt;"Nao",G1545&lt;&gt;""),"PC_PAGO_A_CONTRATADA invalido",IF(AND(C1545&lt;&gt;"C0",IFERROR(INDEX(parametros!$A$2:$A$6,MATCH(C1545,parametros!$B$2:$B$6,0)),"")="Sim",IFERROR(INDEX(parametros!$H$2:$H$6,MATCH(C1545,parametros!$B$2:$B$6,0)),"")=""),"INICIO_EFEITO ausente: PC "&amp;A1545&amp;" - "&amp;C1545,IF(L1545="","EFEITO_PC nao calculado: PC "&amp;A1545&amp;" - "&amp;C1545,"OK")))))))))</f>
        <v/>
      </c>
      <c r="L1545" s="92" t="str">
        <f>IF(AND(A1545="",B1545="",D1545="",G1545=""),"",IF(OR(B1545="",NOT(ISNUMBER(B1545)),C1545="",C1545="Fora dos ciclos"),"",IF(C1545="C0","Nao",IF(IFERROR(INDEX(parametros!$A$2:$A$6,MATCH(C1545,parametros!$B$2:$B$6,0)),"")&lt;&gt;"Sim","Nao",IF(IFERROR(INDEX(parametros!$H$2:$H$6,MATCH(C1545,parametros!$B$2:$B$6,0)),"")="","",IF(B1545&gt;=IFERROR(INDEX(parametros!$H$2:$H$6,MATCH(C1545,parametros!$B$2:$B$6,0)),""),"Sim","Nao"))))))</f>
        <v/>
      </c>
      <c r="T1545" s="156"/>
      <c r="U1545" s="214" t="str">
        <f t="shared" si="126"/>
        <v/>
      </c>
      <c r="V1545" s="212" t="s">
        <v>50</v>
      </c>
      <c r="W1545" s="100" t="s">
        <v>168</v>
      </c>
      <c r="X1545" s="100" t="s">
        <v>169</v>
      </c>
      <c r="Y1545" s="101" t="s">
        <v>170</v>
      </c>
      <c r="Z1545" s="101" t="s">
        <v>171</v>
      </c>
      <c r="AA1545" s="101" t="s">
        <v>50</v>
      </c>
      <c r="AB1545" s="101" t="s">
        <v>172</v>
      </c>
      <c r="AC1545" s="102" t="s">
        <v>173</v>
      </c>
    </row>
    <row r="1546" spans="1:29" ht="25.5" customHeight="1" x14ac:dyDescent="0.35">
      <c r="A1546" s="392"/>
      <c r="B1546" s="393"/>
      <c r="C1546" s="99" t="str">
        <f>IF(B1546="","",IF(NOT(ISNUMBER(B1546)),"DATA_PC invalida",IF(NOT(ISNUMBER(parametros!$C$2)),"Fora dos ciclos",IF(OR(B1546&lt;parametros!$C$2,(YEAR(B1546)-YEAR(parametros!$C$2))*12+MONTH(B1546)-MONTH(parametros!$C$2)&gt;59),"Fora dos ciclos","C"&amp;INT(((YEAR(B1546)-YEAR(parametros!$C$2))*12+MONTH(B1546)-MONTH(parametros!$C$2))/12)))))</f>
        <v/>
      </c>
      <c r="D1546" s="394"/>
      <c r="E1546" s="78" t="str">
        <f>IF(C1546="","",IFERROR(VLOOKUP(C1546,parametros!$A$11:$E$15,5,0),""))</f>
        <v/>
      </c>
      <c r="F1546" s="79" t="str">
        <f t="shared" si="122"/>
        <v/>
      </c>
      <c r="G1546" s="395"/>
      <c r="H1546" s="91">
        <f t="shared" si="123"/>
        <v>0</v>
      </c>
      <c r="I1546" s="91" t="str">
        <f t="shared" si="124"/>
        <v/>
      </c>
      <c r="J1546" s="91" t="str">
        <f t="shared" si="125"/>
        <v/>
      </c>
      <c r="K1546" s="92" t="str">
        <f>IF(AND(A1546="",B1546="",D1546="",G1546=""),"",IF(AND(A1546&lt;&gt;"",COUNTIF($A$2:$A$5001,A1546)&gt;1),"NUMERO_PC duplicado",IF(B1546="","DATA_PC vazia",IF(NOT(ISNUMBER(B1546)),"DATA_PC invalida",IF(OR(C1546="",C1546="Fora dos ciclos"),"CICLO_PC nao identificado",IF(OR(D1546="",D1546=0),"VALOR_PC vazio ou zero",IF(AND(G1546&lt;&gt;"Sim",G1546&lt;&gt;"Nao",G1546&lt;&gt;""),"PC_PAGO_A_CONTRATADA invalido",IF(AND(C1546&lt;&gt;"C0",IFERROR(INDEX(parametros!$A$2:$A$6,MATCH(C1546,parametros!$B$2:$B$6,0)),"")="Sim",IFERROR(INDEX(parametros!$H$2:$H$6,MATCH(C1546,parametros!$B$2:$B$6,0)),"")=""),"INICIO_EFEITO ausente: PC "&amp;A1546&amp;" - "&amp;C1546,IF(L1546="","EFEITO_PC nao calculado: PC "&amp;A1546&amp;" - "&amp;C1546,"OK")))))))))</f>
        <v/>
      </c>
      <c r="L1546" s="92" t="str">
        <f>IF(AND(A1546="",B1546="",D1546="",G1546=""),"",IF(OR(B1546="",NOT(ISNUMBER(B1546)),C1546="",C1546="Fora dos ciclos"),"",IF(C1546="C0","Nao",IF(IFERROR(INDEX(parametros!$A$2:$A$6,MATCH(C1546,parametros!$B$2:$B$6,0)),"")&lt;&gt;"Sim","Nao",IF(IFERROR(INDEX(parametros!$H$2:$H$6,MATCH(C1546,parametros!$B$2:$B$6,0)),"")="","",IF(B1546&gt;=IFERROR(INDEX(parametros!$H$2:$H$6,MATCH(C1546,parametros!$B$2:$B$6,0)),""),"Sim","Nao"))))))</f>
        <v/>
      </c>
      <c r="T1546" s="156"/>
      <c r="U1546" s="214" t="str">
        <f t="shared" si="126"/>
        <v/>
      </c>
      <c r="V1546" s="212" t="s">
        <v>50</v>
      </c>
      <c r="W1546" s="100" t="s">
        <v>168</v>
      </c>
      <c r="X1546" s="100" t="s">
        <v>169</v>
      </c>
      <c r="Y1546" s="101" t="s">
        <v>170</v>
      </c>
      <c r="Z1546" s="101" t="s">
        <v>171</v>
      </c>
      <c r="AA1546" s="101" t="s">
        <v>50</v>
      </c>
      <c r="AB1546" s="101" t="s">
        <v>172</v>
      </c>
      <c r="AC1546" s="102" t="s">
        <v>173</v>
      </c>
    </row>
    <row r="1547" spans="1:29" ht="25.5" customHeight="1" x14ac:dyDescent="0.35">
      <c r="A1547" s="392"/>
      <c r="B1547" s="393"/>
      <c r="C1547" s="99" t="str">
        <f>IF(B1547="","",IF(NOT(ISNUMBER(B1547)),"DATA_PC invalida",IF(NOT(ISNUMBER(parametros!$C$2)),"Fora dos ciclos",IF(OR(B1547&lt;parametros!$C$2,(YEAR(B1547)-YEAR(parametros!$C$2))*12+MONTH(B1547)-MONTH(parametros!$C$2)&gt;59),"Fora dos ciclos","C"&amp;INT(((YEAR(B1547)-YEAR(parametros!$C$2))*12+MONTH(B1547)-MONTH(parametros!$C$2))/12)))))</f>
        <v/>
      </c>
      <c r="D1547" s="394"/>
      <c r="E1547" s="78" t="str">
        <f>IF(C1547="","",IFERROR(VLOOKUP(C1547,parametros!$A$11:$E$15,5,0),""))</f>
        <v/>
      </c>
      <c r="F1547" s="79" t="str">
        <f t="shared" si="122"/>
        <v/>
      </c>
      <c r="G1547" s="395"/>
      <c r="H1547" s="91">
        <f t="shared" si="123"/>
        <v>0</v>
      </c>
      <c r="I1547" s="91" t="str">
        <f t="shared" si="124"/>
        <v/>
      </c>
      <c r="J1547" s="91" t="str">
        <f t="shared" si="125"/>
        <v/>
      </c>
      <c r="K1547" s="92" t="str">
        <f>IF(AND(A1547="",B1547="",D1547="",G1547=""),"",IF(AND(A1547&lt;&gt;"",COUNTIF($A$2:$A$5001,A1547)&gt;1),"NUMERO_PC duplicado",IF(B1547="","DATA_PC vazia",IF(NOT(ISNUMBER(B1547)),"DATA_PC invalida",IF(OR(C1547="",C1547="Fora dos ciclos"),"CICLO_PC nao identificado",IF(OR(D1547="",D1547=0),"VALOR_PC vazio ou zero",IF(AND(G1547&lt;&gt;"Sim",G1547&lt;&gt;"Nao",G1547&lt;&gt;""),"PC_PAGO_A_CONTRATADA invalido",IF(AND(C1547&lt;&gt;"C0",IFERROR(INDEX(parametros!$A$2:$A$6,MATCH(C1547,parametros!$B$2:$B$6,0)),"")="Sim",IFERROR(INDEX(parametros!$H$2:$H$6,MATCH(C1547,parametros!$B$2:$B$6,0)),"")=""),"INICIO_EFEITO ausente: PC "&amp;A1547&amp;" - "&amp;C1547,IF(L1547="","EFEITO_PC nao calculado: PC "&amp;A1547&amp;" - "&amp;C1547,"OK")))))))))</f>
        <v/>
      </c>
      <c r="L1547" s="92" t="str">
        <f>IF(AND(A1547="",B1547="",D1547="",G1547=""),"",IF(OR(B1547="",NOT(ISNUMBER(B1547)),C1547="",C1547="Fora dos ciclos"),"",IF(C1547="C0","Nao",IF(IFERROR(INDEX(parametros!$A$2:$A$6,MATCH(C1547,parametros!$B$2:$B$6,0)),"")&lt;&gt;"Sim","Nao",IF(IFERROR(INDEX(parametros!$H$2:$H$6,MATCH(C1547,parametros!$B$2:$B$6,0)),"")="","",IF(B1547&gt;=IFERROR(INDEX(parametros!$H$2:$H$6,MATCH(C1547,parametros!$B$2:$B$6,0)),""),"Sim","Nao"))))))</f>
        <v/>
      </c>
      <c r="T1547" s="156"/>
      <c r="U1547" s="214" t="str">
        <f t="shared" si="126"/>
        <v/>
      </c>
      <c r="V1547" s="212" t="s">
        <v>50</v>
      </c>
      <c r="W1547" s="100" t="s">
        <v>168</v>
      </c>
      <c r="X1547" s="100" t="s">
        <v>169</v>
      </c>
      <c r="Y1547" s="101" t="s">
        <v>170</v>
      </c>
      <c r="Z1547" s="101" t="s">
        <v>171</v>
      </c>
      <c r="AA1547" s="101" t="s">
        <v>50</v>
      </c>
      <c r="AB1547" s="101" t="s">
        <v>172</v>
      </c>
      <c r="AC1547" s="102" t="s">
        <v>173</v>
      </c>
    </row>
    <row r="1548" spans="1:29" ht="25.5" customHeight="1" x14ac:dyDescent="0.35">
      <c r="A1548" s="392"/>
      <c r="B1548" s="393"/>
      <c r="C1548" s="99" t="str">
        <f>IF(B1548="","",IF(NOT(ISNUMBER(B1548)),"DATA_PC invalida",IF(NOT(ISNUMBER(parametros!$C$2)),"Fora dos ciclos",IF(OR(B1548&lt;parametros!$C$2,(YEAR(B1548)-YEAR(parametros!$C$2))*12+MONTH(B1548)-MONTH(parametros!$C$2)&gt;59),"Fora dos ciclos","C"&amp;INT(((YEAR(B1548)-YEAR(parametros!$C$2))*12+MONTH(B1548)-MONTH(parametros!$C$2))/12)))))</f>
        <v/>
      </c>
      <c r="D1548" s="394"/>
      <c r="E1548" s="78" t="str">
        <f>IF(C1548="","",IFERROR(VLOOKUP(C1548,parametros!$A$11:$E$15,5,0),""))</f>
        <v/>
      </c>
      <c r="F1548" s="79" t="str">
        <f t="shared" si="122"/>
        <v/>
      </c>
      <c r="G1548" s="395"/>
      <c r="H1548" s="91">
        <f t="shared" si="123"/>
        <v>0</v>
      </c>
      <c r="I1548" s="91" t="str">
        <f t="shared" si="124"/>
        <v/>
      </c>
      <c r="J1548" s="91" t="str">
        <f t="shared" si="125"/>
        <v/>
      </c>
      <c r="K1548" s="92" t="str">
        <f>IF(AND(A1548="",B1548="",D1548="",G1548=""),"",IF(AND(A1548&lt;&gt;"",COUNTIF($A$2:$A$5001,A1548)&gt;1),"NUMERO_PC duplicado",IF(B1548="","DATA_PC vazia",IF(NOT(ISNUMBER(B1548)),"DATA_PC invalida",IF(OR(C1548="",C1548="Fora dos ciclos"),"CICLO_PC nao identificado",IF(OR(D1548="",D1548=0),"VALOR_PC vazio ou zero",IF(AND(G1548&lt;&gt;"Sim",G1548&lt;&gt;"Nao",G1548&lt;&gt;""),"PC_PAGO_A_CONTRATADA invalido",IF(AND(C1548&lt;&gt;"C0",IFERROR(INDEX(parametros!$A$2:$A$6,MATCH(C1548,parametros!$B$2:$B$6,0)),"")="Sim",IFERROR(INDEX(parametros!$H$2:$H$6,MATCH(C1548,parametros!$B$2:$B$6,0)),"")=""),"INICIO_EFEITO ausente: PC "&amp;A1548&amp;" - "&amp;C1548,IF(L1548="","EFEITO_PC nao calculado: PC "&amp;A1548&amp;" - "&amp;C1548,"OK")))))))))</f>
        <v/>
      </c>
      <c r="L1548" s="92" t="str">
        <f>IF(AND(A1548="",B1548="",D1548="",G1548=""),"",IF(OR(B1548="",NOT(ISNUMBER(B1548)),C1548="",C1548="Fora dos ciclos"),"",IF(C1548="C0","Nao",IF(IFERROR(INDEX(parametros!$A$2:$A$6,MATCH(C1548,parametros!$B$2:$B$6,0)),"")&lt;&gt;"Sim","Nao",IF(IFERROR(INDEX(parametros!$H$2:$H$6,MATCH(C1548,parametros!$B$2:$B$6,0)),"")="","",IF(B1548&gt;=IFERROR(INDEX(parametros!$H$2:$H$6,MATCH(C1548,parametros!$B$2:$B$6,0)),""),"Sim","Nao"))))))</f>
        <v/>
      </c>
      <c r="T1548" s="156"/>
      <c r="U1548" s="214" t="str">
        <f t="shared" si="126"/>
        <v/>
      </c>
      <c r="V1548" s="212" t="s">
        <v>50</v>
      </c>
      <c r="W1548" s="100" t="s">
        <v>168</v>
      </c>
      <c r="X1548" s="100" t="s">
        <v>169</v>
      </c>
      <c r="Y1548" s="101" t="s">
        <v>170</v>
      </c>
      <c r="Z1548" s="101" t="s">
        <v>171</v>
      </c>
      <c r="AA1548" s="101" t="s">
        <v>50</v>
      </c>
      <c r="AB1548" s="101" t="s">
        <v>172</v>
      </c>
      <c r="AC1548" s="102" t="s">
        <v>173</v>
      </c>
    </row>
    <row r="1549" spans="1:29" ht="25.5" customHeight="1" x14ac:dyDescent="0.35">
      <c r="A1549" s="392"/>
      <c r="B1549" s="393"/>
      <c r="C1549" s="99" t="str">
        <f>IF(B1549="","",IF(NOT(ISNUMBER(B1549)),"DATA_PC invalida",IF(NOT(ISNUMBER(parametros!$C$2)),"Fora dos ciclos",IF(OR(B1549&lt;parametros!$C$2,(YEAR(B1549)-YEAR(parametros!$C$2))*12+MONTH(B1549)-MONTH(parametros!$C$2)&gt;59),"Fora dos ciclos","C"&amp;INT(((YEAR(B1549)-YEAR(parametros!$C$2))*12+MONTH(B1549)-MONTH(parametros!$C$2))/12)))))</f>
        <v/>
      </c>
      <c r="D1549" s="394"/>
      <c r="E1549" s="78" t="str">
        <f>IF(C1549="","",IFERROR(VLOOKUP(C1549,parametros!$A$11:$E$15,5,0),""))</f>
        <v/>
      </c>
      <c r="F1549" s="79" t="str">
        <f t="shared" si="122"/>
        <v/>
      </c>
      <c r="G1549" s="395"/>
      <c r="H1549" s="91">
        <f t="shared" si="123"/>
        <v>0</v>
      </c>
      <c r="I1549" s="91" t="str">
        <f t="shared" si="124"/>
        <v/>
      </c>
      <c r="J1549" s="91" t="str">
        <f t="shared" si="125"/>
        <v/>
      </c>
      <c r="K1549" s="92" t="str">
        <f>IF(AND(A1549="",B1549="",D1549="",G1549=""),"",IF(AND(A1549&lt;&gt;"",COUNTIF($A$2:$A$5001,A1549)&gt;1),"NUMERO_PC duplicado",IF(B1549="","DATA_PC vazia",IF(NOT(ISNUMBER(B1549)),"DATA_PC invalida",IF(OR(C1549="",C1549="Fora dos ciclos"),"CICLO_PC nao identificado",IF(OR(D1549="",D1549=0),"VALOR_PC vazio ou zero",IF(AND(G1549&lt;&gt;"Sim",G1549&lt;&gt;"Nao",G1549&lt;&gt;""),"PC_PAGO_A_CONTRATADA invalido",IF(AND(C1549&lt;&gt;"C0",IFERROR(INDEX(parametros!$A$2:$A$6,MATCH(C1549,parametros!$B$2:$B$6,0)),"")="Sim",IFERROR(INDEX(parametros!$H$2:$H$6,MATCH(C1549,parametros!$B$2:$B$6,0)),"")=""),"INICIO_EFEITO ausente: PC "&amp;A1549&amp;" - "&amp;C1549,IF(L1549="","EFEITO_PC nao calculado: PC "&amp;A1549&amp;" - "&amp;C1549,"OK")))))))))</f>
        <v/>
      </c>
      <c r="L1549" s="92" t="str">
        <f>IF(AND(A1549="",B1549="",D1549="",G1549=""),"",IF(OR(B1549="",NOT(ISNUMBER(B1549)),C1549="",C1549="Fora dos ciclos"),"",IF(C1549="C0","Nao",IF(IFERROR(INDEX(parametros!$A$2:$A$6,MATCH(C1549,parametros!$B$2:$B$6,0)),"")&lt;&gt;"Sim","Nao",IF(IFERROR(INDEX(parametros!$H$2:$H$6,MATCH(C1549,parametros!$B$2:$B$6,0)),"")="","",IF(B1549&gt;=IFERROR(INDEX(parametros!$H$2:$H$6,MATCH(C1549,parametros!$B$2:$B$6,0)),""),"Sim","Nao"))))))</f>
        <v/>
      </c>
      <c r="T1549" s="156"/>
      <c r="U1549" s="214" t="str">
        <f t="shared" si="126"/>
        <v/>
      </c>
      <c r="V1549" s="212" t="s">
        <v>50</v>
      </c>
      <c r="W1549" s="100" t="s">
        <v>168</v>
      </c>
      <c r="X1549" s="100" t="s">
        <v>169</v>
      </c>
      <c r="Y1549" s="101" t="s">
        <v>170</v>
      </c>
      <c r="Z1549" s="101" t="s">
        <v>171</v>
      </c>
      <c r="AA1549" s="101" t="s">
        <v>50</v>
      </c>
      <c r="AB1549" s="101" t="s">
        <v>172</v>
      </c>
      <c r="AC1549" s="102" t="s">
        <v>173</v>
      </c>
    </row>
    <row r="1550" spans="1:29" ht="25.5" customHeight="1" x14ac:dyDescent="0.35">
      <c r="A1550" s="392"/>
      <c r="B1550" s="393"/>
      <c r="C1550" s="99" t="str">
        <f>IF(B1550="","",IF(NOT(ISNUMBER(B1550)),"DATA_PC invalida",IF(NOT(ISNUMBER(parametros!$C$2)),"Fora dos ciclos",IF(OR(B1550&lt;parametros!$C$2,(YEAR(B1550)-YEAR(parametros!$C$2))*12+MONTH(B1550)-MONTH(parametros!$C$2)&gt;59),"Fora dos ciclos","C"&amp;INT(((YEAR(B1550)-YEAR(parametros!$C$2))*12+MONTH(B1550)-MONTH(parametros!$C$2))/12)))))</f>
        <v/>
      </c>
      <c r="D1550" s="394"/>
      <c r="E1550" s="78" t="str">
        <f>IF(C1550="","",IFERROR(VLOOKUP(C1550,parametros!$A$11:$E$15,5,0),""))</f>
        <v/>
      </c>
      <c r="F1550" s="79" t="str">
        <f t="shared" si="122"/>
        <v/>
      </c>
      <c r="G1550" s="395"/>
      <c r="H1550" s="91">
        <f t="shared" si="123"/>
        <v>0</v>
      </c>
      <c r="I1550" s="91" t="str">
        <f t="shared" si="124"/>
        <v/>
      </c>
      <c r="J1550" s="91" t="str">
        <f t="shared" si="125"/>
        <v/>
      </c>
      <c r="K1550" s="92" t="str">
        <f>IF(AND(A1550="",B1550="",D1550="",G1550=""),"",IF(AND(A1550&lt;&gt;"",COUNTIF($A$2:$A$5001,A1550)&gt;1),"NUMERO_PC duplicado",IF(B1550="","DATA_PC vazia",IF(NOT(ISNUMBER(B1550)),"DATA_PC invalida",IF(OR(C1550="",C1550="Fora dos ciclos"),"CICLO_PC nao identificado",IF(OR(D1550="",D1550=0),"VALOR_PC vazio ou zero",IF(AND(G1550&lt;&gt;"Sim",G1550&lt;&gt;"Nao",G1550&lt;&gt;""),"PC_PAGO_A_CONTRATADA invalido",IF(AND(C1550&lt;&gt;"C0",IFERROR(INDEX(parametros!$A$2:$A$6,MATCH(C1550,parametros!$B$2:$B$6,0)),"")="Sim",IFERROR(INDEX(parametros!$H$2:$H$6,MATCH(C1550,parametros!$B$2:$B$6,0)),"")=""),"INICIO_EFEITO ausente: PC "&amp;A1550&amp;" - "&amp;C1550,IF(L1550="","EFEITO_PC nao calculado: PC "&amp;A1550&amp;" - "&amp;C1550,"OK")))))))))</f>
        <v/>
      </c>
      <c r="L1550" s="92" t="str">
        <f>IF(AND(A1550="",B1550="",D1550="",G1550=""),"",IF(OR(B1550="",NOT(ISNUMBER(B1550)),C1550="",C1550="Fora dos ciclos"),"",IF(C1550="C0","Nao",IF(IFERROR(INDEX(parametros!$A$2:$A$6,MATCH(C1550,parametros!$B$2:$B$6,0)),"")&lt;&gt;"Sim","Nao",IF(IFERROR(INDEX(parametros!$H$2:$H$6,MATCH(C1550,parametros!$B$2:$B$6,0)),"")="","",IF(B1550&gt;=IFERROR(INDEX(parametros!$H$2:$H$6,MATCH(C1550,parametros!$B$2:$B$6,0)),""),"Sim","Nao"))))))</f>
        <v/>
      </c>
      <c r="T1550" s="156"/>
      <c r="U1550" s="214" t="str">
        <f t="shared" si="126"/>
        <v/>
      </c>
      <c r="V1550" s="212" t="s">
        <v>50</v>
      </c>
      <c r="W1550" s="100" t="s">
        <v>168</v>
      </c>
      <c r="X1550" s="100" t="s">
        <v>169</v>
      </c>
      <c r="Y1550" s="101" t="s">
        <v>170</v>
      </c>
      <c r="Z1550" s="101" t="s">
        <v>171</v>
      </c>
      <c r="AA1550" s="101" t="s">
        <v>50</v>
      </c>
      <c r="AB1550" s="101" t="s">
        <v>172</v>
      </c>
      <c r="AC1550" s="102" t="s">
        <v>173</v>
      </c>
    </row>
    <row r="1551" spans="1:29" ht="25.5" customHeight="1" x14ac:dyDescent="0.35">
      <c r="A1551" s="392"/>
      <c r="B1551" s="393"/>
      <c r="C1551" s="99" t="str">
        <f>IF(B1551="","",IF(NOT(ISNUMBER(B1551)),"DATA_PC invalida",IF(NOT(ISNUMBER(parametros!$C$2)),"Fora dos ciclos",IF(OR(B1551&lt;parametros!$C$2,(YEAR(B1551)-YEAR(parametros!$C$2))*12+MONTH(B1551)-MONTH(parametros!$C$2)&gt;59),"Fora dos ciclos","C"&amp;INT(((YEAR(B1551)-YEAR(parametros!$C$2))*12+MONTH(B1551)-MONTH(parametros!$C$2))/12)))))</f>
        <v/>
      </c>
      <c r="D1551" s="394"/>
      <c r="E1551" s="78" t="str">
        <f>IF(C1551="","",IFERROR(VLOOKUP(C1551,parametros!$A$11:$E$15,5,0),""))</f>
        <v/>
      </c>
      <c r="F1551" s="79" t="str">
        <f t="shared" si="122"/>
        <v/>
      </c>
      <c r="G1551" s="395"/>
      <c r="H1551" s="91">
        <f t="shared" si="123"/>
        <v>0</v>
      </c>
      <c r="I1551" s="91" t="str">
        <f t="shared" si="124"/>
        <v/>
      </c>
      <c r="J1551" s="91" t="str">
        <f t="shared" si="125"/>
        <v/>
      </c>
      <c r="K1551" s="92" t="str">
        <f>IF(AND(A1551="",B1551="",D1551="",G1551=""),"",IF(AND(A1551&lt;&gt;"",COUNTIF($A$2:$A$5001,A1551)&gt;1),"NUMERO_PC duplicado",IF(B1551="","DATA_PC vazia",IF(NOT(ISNUMBER(B1551)),"DATA_PC invalida",IF(OR(C1551="",C1551="Fora dos ciclos"),"CICLO_PC nao identificado",IF(OR(D1551="",D1551=0),"VALOR_PC vazio ou zero",IF(AND(G1551&lt;&gt;"Sim",G1551&lt;&gt;"Nao",G1551&lt;&gt;""),"PC_PAGO_A_CONTRATADA invalido",IF(AND(C1551&lt;&gt;"C0",IFERROR(INDEX(parametros!$A$2:$A$6,MATCH(C1551,parametros!$B$2:$B$6,0)),"")="Sim",IFERROR(INDEX(parametros!$H$2:$H$6,MATCH(C1551,parametros!$B$2:$B$6,0)),"")=""),"INICIO_EFEITO ausente: PC "&amp;A1551&amp;" - "&amp;C1551,IF(L1551="","EFEITO_PC nao calculado: PC "&amp;A1551&amp;" - "&amp;C1551,"OK")))))))))</f>
        <v/>
      </c>
      <c r="L1551" s="92" t="str">
        <f>IF(AND(A1551="",B1551="",D1551="",G1551=""),"",IF(OR(B1551="",NOT(ISNUMBER(B1551)),C1551="",C1551="Fora dos ciclos"),"",IF(C1551="C0","Nao",IF(IFERROR(INDEX(parametros!$A$2:$A$6,MATCH(C1551,parametros!$B$2:$B$6,0)),"")&lt;&gt;"Sim","Nao",IF(IFERROR(INDEX(parametros!$H$2:$H$6,MATCH(C1551,parametros!$B$2:$B$6,0)),"")="","",IF(B1551&gt;=IFERROR(INDEX(parametros!$H$2:$H$6,MATCH(C1551,parametros!$B$2:$B$6,0)),""),"Sim","Nao"))))))</f>
        <v/>
      </c>
      <c r="T1551" s="156"/>
      <c r="U1551" s="214" t="str">
        <f t="shared" si="126"/>
        <v/>
      </c>
      <c r="V1551" s="212" t="s">
        <v>50</v>
      </c>
      <c r="W1551" s="100" t="s">
        <v>168</v>
      </c>
      <c r="X1551" s="100" t="s">
        <v>169</v>
      </c>
      <c r="Y1551" s="101" t="s">
        <v>170</v>
      </c>
      <c r="Z1551" s="101" t="s">
        <v>171</v>
      </c>
      <c r="AA1551" s="101" t="s">
        <v>50</v>
      </c>
      <c r="AB1551" s="101" t="s">
        <v>172</v>
      </c>
      <c r="AC1551" s="102" t="s">
        <v>173</v>
      </c>
    </row>
    <row r="1552" spans="1:29" ht="25.5" customHeight="1" x14ac:dyDescent="0.35">
      <c r="A1552" s="392"/>
      <c r="B1552" s="393"/>
      <c r="C1552" s="99" t="str">
        <f>IF(B1552="","",IF(NOT(ISNUMBER(B1552)),"DATA_PC invalida",IF(NOT(ISNUMBER(parametros!$C$2)),"Fora dos ciclos",IF(OR(B1552&lt;parametros!$C$2,(YEAR(B1552)-YEAR(parametros!$C$2))*12+MONTH(B1552)-MONTH(parametros!$C$2)&gt;59),"Fora dos ciclos","C"&amp;INT(((YEAR(B1552)-YEAR(parametros!$C$2))*12+MONTH(B1552)-MONTH(parametros!$C$2))/12)))))</f>
        <v/>
      </c>
      <c r="D1552" s="394"/>
      <c r="E1552" s="78" t="str">
        <f>IF(C1552="","",IFERROR(VLOOKUP(C1552,parametros!$A$11:$E$15,5,0),""))</f>
        <v/>
      </c>
      <c r="F1552" s="79" t="str">
        <f t="shared" si="122"/>
        <v/>
      </c>
      <c r="G1552" s="395"/>
      <c r="H1552" s="91">
        <f t="shared" si="123"/>
        <v>0</v>
      </c>
      <c r="I1552" s="91" t="str">
        <f t="shared" si="124"/>
        <v/>
      </c>
      <c r="J1552" s="91" t="str">
        <f t="shared" si="125"/>
        <v/>
      </c>
      <c r="K1552" s="92" t="str">
        <f>IF(AND(A1552="",B1552="",D1552="",G1552=""),"",IF(AND(A1552&lt;&gt;"",COUNTIF($A$2:$A$5001,A1552)&gt;1),"NUMERO_PC duplicado",IF(B1552="","DATA_PC vazia",IF(NOT(ISNUMBER(B1552)),"DATA_PC invalida",IF(OR(C1552="",C1552="Fora dos ciclos"),"CICLO_PC nao identificado",IF(OR(D1552="",D1552=0),"VALOR_PC vazio ou zero",IF(AND(G1552&lt;&gt;"Sim",G1552&lt;&gt;"Nao",G1552&lt;&gt;""),"PC_PAGO_A_CONTRATADA invalido",IF(AND(C1552&lt;&gt;"C0",IFERROR(INDEX(parametros!$A$2:$A$6,MATCH(C1552,parametros!$B$2:$B$6,0)),"")="Sim",IFERROR(INDEX(parametros!$H$2:$H$6,MATCH(C1552,parametros!$B$2:$B$6,0)),"")=""),"INICIO_EFEITO ausente: PC "&amp;A1552&amp;" - "&amp;C1552,IF(L1552="","EFEITO_PC nao calculado: PC "&amp;A1552&amp;" - "&amp;C1552,"OK")))))))))</f>
        <v/>
      </c>
      <c r="L1552" s="92" t="str">
        <f>IF(AND(A1552="",B1552="",D1552="",G1552=""),"",IF(OR(B1552="",NOT(ISNUMBER(B1552)),C1552="",C1552="Fora dos ciclos"),"",IF(C1552="C0","Nao",IF(IFERROR(INDEX(parametros!$A$2:$A$6,MATCH(C1552,parametros!$B$2:$B$6,0)),"")&lt;&gt;"Sim","Nao",IF(IFERROR(INDEX(parametros!$H$2:$H$6,MATCH(C1552,parametros!$B$2:$B$6,0)),"")="","",IF(B1552&gt;=IFERROR(INDEX(parametros!$H$2:$H$6,MATCH(C1552,parametros!$B$2:$B$6,0)),""),"Sim","Nao"))))))</f>
        <v/>
      </c>
      <c r="T1552" s="156"/>
      <c r="U1552" s="214" t="str">
        <f t="shared" si="126"/>
        <v/>
      </c>
      <c r="V1552" s="212" t="s">
        <v>50</v>
      </c>
      <c r="W1552" s="100" t="s">
        <v>168</v>
      </c>
      <c r="X1552" s="100" t="s">
        <v>169</v>
      </c>
      <c r="Y1552" s="101" t="s">
        <v>170</v>
      </c>
      <c r="Z1552" s="101" t="s">
        <v>171</v>
      </c>
      <c r="AA1552" s="101" t="s">
        <v>50</v>
      </c>
      <c r="AB1552" s="101" t="s">
        <v>172</v>
      </c>
      <c r="AC1552" s="102" t="s">
        <v>173</v>
      </c>
    </row>
    <row r="1553" spans="1:29" ht="25.5" customHeight="1" x14ac:dyDescent="0.35">
      <c r="A1553" s="392"/>
      <c r="B1553" s="393"/>
      <c r="C1553" s="99" t="str">
        <f>IF(B1553="","",IF(NOT(ISNUMBER(B1553)),"DATA_PC invalida",IF(NOT(ISNUMBER(parametros!$C$2)),"Fora dos ciclos",IF(OR(B1553&lt;parametros!$C$2,(YEAR(B1553)-YEAR(parametros!$C$2))*12+MONTH(B1553)-MONTH(parametros!$C$2)&gt;59),"Fora dos ciclos","C"&amp;INT(((YEAR(B1553)-YEAR(parametros!$C$2))*12+MONTH(B1553)-MONTH(parametros!$C$2))/12)))))</f>
        <v/>
      </c>
      <c r="D1553" s="394"/>
      <c r="E1553" s="78" t="str">
        <f>IF(C1553="","",IFERROR(VLOOKUP(C1553,parametros!$A$11:$E$15,5,0),""))</f>
        <v/>
      </c>
      <c r="F1553" s="79" t="str">
        <f t="shared" si="122"/>
        <v/>
      </c>
      <c r="G1553" s="395"/>
      <c r="H1553" s="91">
        <f t="shared" si="123"/>
        <v>0</v>
      </c>
      <c r="I1553" s="91" t="str">
        <f t="shared" si="124"/>
        <v/>
      </c>
      <c r="J1553" s="91" t="str">
        <f t="shared" si="125"/>
        <v/>
      </c>
      <c r="K1553" s="92" t="str">
        <f>IF(AND(A1553="",B1553="",D1553="",G1553=""),"",IF(AND(A1553&lt;&gt;"",COUNTIF($A$2:$A$5001,A1553)&gt;1),"NUMERO_PC duplicado",IF(B1553="","DATA_PC vazia",IF(NOT(ISNUMBER(B1553)),"DATA_PC invalida",IF(OR(C1553="",C1553="Fora dos ciclos"),"CICLO_PC nao identificado",IF(OR(D1553="",D1553=0),"VALOR_PC vazio ou zero",IF(AND(G1553&lt;&gt;"Sim",G1553&lt;&gt;"Nao",G1553&lt;&gt;""),"PC_PAGO_A_CONTRATADA invalido",IF(AND(C1553&lt;&gt;"C0",IFERROR(INDEX(parametros!$A$2:$A$6,MATCH(C1553,parametros!$B$2:$B$6,0)),"")="Sim",IFERROR(INDEX(parametros!$H$2:$H$6,MATCH(C1553,parametros!$B$2:$B$6,0)),"")=""),"INICIO_EFEITO ausente: PC "&amp;A1553&amp;" - "&amp;C1553,IF(L1553="","EFEITO_PC nao calculado: PC "&amp;A1553&amp;" - "&amp;C1553,"OK")))))))))</f>
        <v/>
      </c>
      <c r="L1553" s="92" t="str">
        <f>IF(AND(A1553="",B1553="",D1553="",G1553=""),"",IF(OR(B1553="",NOT(ISNUMBER(B1553)),C1553="",C1553="Fora dos ciclos"),"",IF(C1553="C0","Nao",IF(IFERROR(INDEX(parametros!$A$2:$A$6,MATCH(C1553,parametros!$B$2:$B$6,0)),"")&lt;&gt;"Sim","Nao",IF(IFERROR(INDEX(parametros!$H$2:$H$6,MATCH(C1553,parametros!$B$2:$B$6,0)),"")="","",IF(B1553&gt;=IFERROR(INDEX(parametros!$H$2:$H$6,MATCH(C1553,parametros!$B$2:$B$6,0)),""),"Sim","Nao"))))))</f>
        <v/>
      </c>
      <c r="T1553" s="156"/>
      <c r="U1553" s="214" t="str">
        <f t="shared" si="126"/>
        <v/>
      </c>
      <c r="V1553" s="212" t="s">
        <v>50</v>
      </c>
      <c r="W1553" s="100" t="s">
        <v>168</v>
      </c>
      <c r="X1553" s="100" t="s">
        <v>169</v>
      </c>
      <c r="Y1553" s="101" t="s">
        <v>170</v>
      </c>
      <c r="Z1553" s="101" t="s">
        <v>171</v>
      </c>
      <c r="AA1553" s="101" t="s">
        <v>50</v>
      </c>
      <c r="AB1553" s="101" t="s">
        <v>172</v>
      </c>
      <c r="AC1553" s="102" t="s">
        <v>173</v>
      </c>
    </row>
    <row r="1554" spans="1:29" ht="25.5" customHeight="1" x14ac:dyDescent="0.35">
      <c r="A1554" s="392"/>
      <c r="B1554" s="393"/>
      <c r="C1554" s="99" t="str">
        <f>IF(B1554="","",IF(NOT(ISNUMBER(B1554)),"DATA_PC invalida",IF(NOT(ISNUMBER(parametros!$C$2)),"Fora dos ciclos",IF(OR(B1554&lt;parametros!$C$2,(YEAR(B1554)-YEAR(parametros!$C$2))*12+MONTH(B1554)-MONTH(parametros!$C$2)&gt;59),"Fora dos ciclos","C"&amp;INT(((YEAR(B1554)-YEAR(parametros!$C$2))*12+MONTH(B1554)-MONTH(parametros!$C$2))/12)))))</f>
        <v/>
      </c>
      <c r="D1554" s="394"/>
      <c r="E1554" s="78" t="str">
        <f>IF(C1554="","",IFERROR(VLOOKUP(C1554,parametros!$A$11:$E$15,5,0),""))</f>
        <v/>
      </c>
      <c r="F1554" s="79" t="str">
        <f t="shared" si="122"/>
        <v/>
      </c>
      <c r="G1554" s="395"/>
      <c r="H1554" s="91">
        <f t="shared" si="123"/>
        <v>0</v>
      </c>
      <c r="I1554" s="91" t="str">
        <f t="shared" si="124"/>
        <v/>
      </c>
      <c r="J1554" s="91" t="str">
        <f t="shared" si="125"/>
        <v/>
      </c>
      <c r="K1554" s="92" t="str">
        <f>IF(AND(A1554="",B1554="",D1554="",G1554=""),"",IF(AND(A1554&lt;&gt;"",COUNTIF($A$2:$A$5001,A1554)&gt;1),"NUMERO_PC duplicado",IF(B1554="","DATA_PC vazia",IF(NOT(ISNUMBER(B1554)),"DATA_PC invalida",IF(OR(C1554="",C1554="Fora dos ciclos"),"CICLO_PC nao identificado",IF(OR(D1554="",D1554=0),"VALOR_PC vazio ou zero",IF(AND(G1554&lt;&gt;"Sim",G1554&lt;&gt;"Nao",G1554&lt;&gt;""),"PC_PAGO_A_CONTRATADA invalido",IF(AND(C1554&lt;&gt;"C0",IFERROR(INDEX(parametros!$A$2:$A$6,MATCH(C1554,parametros!$B$2:$B$6,0)),"")="Sim",IFERROR(INDEX(parametros!$H$2:$H$6,MATCH(C1554,parametros!$B$2:$B$6,0)),"")=""),"INICIO_EFEITO ausente: PC "&amp;A1554&amp;" - "&amp;C1554,IF(L1554="","EFEITO_PC nao calculado: PC "&amp;A1554&amp;" - "&amp;C1554,"OK")))))))))</f>
        <v/>
      </c>
      <c r="L1554" s="92" t="str">
        <f>IF(AND(A1554="",B1554="",D1554="",G1554=""),"",IF(OR(B1554="",NOT(ISNUMBER(B1554)),C1554="",C1554="Fora dos ciclos"),"",IF(C1554="C0","Nao",IF(IFERROR(INDEX(parametros!$A$2:$A$6,MATCH(C1554,parametros!$B$2:$B$6,0)),"")&lt;&gt;"Sim","Nao",IF(IFERROR(INDEX(parametros!$H$2:$H$6,MATCH(C1554,parametros!$B$2:$B$6,0)),"")="","",IF(B1554&gt;=IFERROR(INDEX(parametros!$H$2:$H$6,MATCH(C1554,parametros!$B$2:$B$6,0)),""),"Sim","Nao"))))))</f>
        <v/>
      </c>
      <c r="T1554" s="156"/>
      <c r="U1554" s="214" t="str">
        <f t="shared" si="126"/>
        <v/>
      </c>
      <c r="V1554" s="212" t="s">
        <v>50</v>
      </c>
      <c r="W1554" s="100" t="s">
        <v>168</v>
      </c>
      <c r="X1554" s="100" t="s">
        <v>169</v>
      </c>
      <c r="Y1554" s="101" t="s">
        <v>170</v>
      </c>
      <c r="Z1554" s="101" t="s">
        <v>171</v>
      </c>
      <c r="AA1554" s="101" t="s">
        <v>50</v>
      </c>
      <c r="AB1554" s="101" t="s">
        <v>172</v>
      </c>
      <c r="AC1554" s="102" t="s">
        <v>173</v>
      </c>
    </row>
    <row r="1555" spans="1:29" ht="25.5" customHeight="1" x14ac:dyDescent="0.35">
      <c r="A1555" s="392"/>
      <c r="B1555" s="393"/>
      <c r="C1555" s="99" t="str">
        <f>IF(B1555="","",IF(NOT(ISNUMBER(B1555)),"DATA_PC invalida",IF(NOT(ISNUMBER(parametros!$C$2)),"Fora dos ciclos",IF(OR(B1555&lt;parametros!$C$2,(YEAR(B1555)-YEAR(parametros!$C$2))*12+MONTH(B1555)-MONTH(parametros!$C$2)&gt;59),"Fora dos ciclos","C"&amp;INT(((YEAR(B1555)-YEAR(parametros!$C$2))*12+MONTH(B1555)-MONTH(parametros!$C$2))/12)))))</f>
        <v/>
      </c>
      <c r="D1555" s="394"/>
      <c r="E1555" s="78" t="str">
        <f>IF(C1555="","",IFERROR(VLOOKUP(C1555,parametros!$A$11:$E$15,5,0),""))</f>
        <v/>
      </c>
      <c r="F1555" s="79" t="str">
        <f t="shared" si="122"/>
        <v/>
      </c>
      <c r="G1555" s="395"/>
      <c r="H1555" s="91">
        <f t="shared" si="123"/>
        <v>0</v>
      </c>
      <c r="I1555" s="91" t="str">
        <f t="shared" si="124"/>
        <v/>
      </c>
      <c r="J1555" s="91" t="str">
        <f t="shared" si="125"/>
        <v/>
      </c>
      <c r="K1555" s="92" t="str">
        <f>IF(AND(A1555="",B1555="",D1555="",G1555=""),"",IF(AND(A1555&lt;&gt;"",COUNTIF($A$2:$A$5001,A1555)&gt;1),"NUMERO_PC duplicado",IF(B1555="","DATA_PC vazia",IF(NOT(ISNUMBER(B1555)),"DATA_PC invalida",IF(OR(C1555="",C1555="Fora dos ciclos"),"CICLO_PC nao identificado",IF(OR(D1555="",D1555=0),"VALOR_PC vazio ou zero",IF(AND(G1555&lt;&gt;"Sim",G1555&lt;&gt;"Nao",G1555&lt;&gt;""),"PC_PAGO_A_CONTRATADA invalido",IF(AND(C1555&lt;&gt;"C0",IFERROR(INDEX(parametros!$A$2:$A$6,MATCH(C1555,parametros!$B$2:$B$6,0)),"")="Sim",IFERROR(INDEX(parametros!$H$2:$H$6,MATCH(C1555,parametros!$B$2:$B$6,0)),"")=""),"INICIO_EFEITO ausente: PC "&amp;A1555&amp;" - "&amp;C1555,IF(L1555="","EFEITO_PC nao calculado: PC "&amp;A1555&amp;" - "&amp;C1555,"OK")))))))))</f>
        <v/>
      </c>
      <c r="L1555" s="92" t="str">
        <f>IF(AND(A1555="",B1555="",D1555="",G1555=""),"",IF(OR(B1555="",NOT(ISNUMBER(B1555)),C1555="",C1555="Fora dos ciclos"),"",IF(C1555="C0","Nao",IF(IFERROR(INDEX(parametros!$A$2:$A$6,MATCH(C1555,parametros!$B$2:$B$6,0)),"")&lt;&gt;"Sim","Nao",IF(IFERROR(INDEX(parametros!$H$2:$H$6,MATCH(C1555,parametros!$B$2:$B$6,0)),"")="","",IF(B1555&gt;=IFERROR(INDEX(parametros!$H$2:$H$6,MATCH(C1555,parametros!$B$2:$B$6,0)),""),"Sim","Nao"))))))</f>
        <v/>
      </c>
      <c r="T1555" s="156"/>
      <c r="U1555" s="214" t="str">
        <f t="shared" si="126"/>
        <v/>
      </c>
      <c r="V1555" s="212" t="s">
        <v>50</v>
      </c>
      <c r="W1555" s="100" t="s">
        <v>168</v>
      </c>
      <c r="X1555" s="100" t="s">
        <v>169</v>
      </c>
      <c r="Y1555" s="101" t="s">
        <v>170</v>
      </c>
      <c r="Z1555" s="101" t="s">
        <v>171</v>
      </c>
      <c r="AA1555" s="101" t="s">
        <v>50</v>
      </c>
      <c r="AB1555" s="101" t="s">
        <v>172</v>
      </c>
      <c r="AC1555" s="102" t="s">
        <v>173</v>
      </c>
    </row>
    <row r="1556" spans="1:29" ht="25.5" customHeight="1" x14ac:dyDescent="0.35">
      <c r="A1556" s="392"/>
      <c r="B1556" s="393"/>
      <c r="C1556" s="99" t="str">
        <f>IF(B1556="","",IF(NOT(ISNUMBER(B1556)),"DATA_PC invalida",IF(NOT(ISNUMBER(parametros!$C$2)),"Fora dos ciclos",IF(OR(B1556&lt;parametros!$C$2,(YEAR(B1556)-YEAR(parametros!$C$2))*12+MONTH(B1556)-MONTH(parametros!$C$2)&gt;59),"Fora dos ciclos","C"&amp;INT(((YEAR(B1556)-YEAR(parametros!$C$2))*12+MONTH(B1556)-MONTH(parametros!$C$2))/12)))))</f>
        <v/>
      </c>
      <c r="D1556" s="394"/>
      <c r="E1556" s="78" t="str">
        <f>IF(C1556="","",IFERROR(VLOOKUP(C1556,parametros!$A$11:$E$15,5,0),""))</f>
        <v/>
      </c>
      <c r="F1556" s="79" t="str">
        <f t="shared" si="122"/>
        <v/>
      </c>
      <c r="G1556" s="395"/>
      <c r="H1556" s="91">
        <f t="shared" si="123"/>
        <v>0</v>
      </c>
      <c r="I1556" s="91" t="str">
        <f t="shared" si="124"/>
        <v/>
      </c>
      <c r="J1556" s="91" t="str">
        <f t="shared" si="125"/>
        <v/>
      </c>
      <c r="K1556" s="92" t="str">
        <f>IF(AND(A1556="",B1556="",D1556="",G1556=""),"",IF(AND(A1556&lt;&gt;"",COUNTIF($A$2:$A$5001,A1556)&gt;1),"NUMERO_PC duplicado",IF(B1556="","DATA_PC vazia",IF(NOT(ISNUMBER(B1556)),"DATA_PC invalida",IF(OR(C1556="",C1556="Fora dos ciclos"),"CICLO_PC nao identificado",IF(OR(D1556="",D1556=0),"VALOR_PC vazio ou zero",IF(AND(G1556&lt;&gt;"Sim",G1556&lt;&gt;"Nao",G1556&lt;&gt;""),"PC_PAGO_A_CONTRATADA invalido",IF(AND(C1556&lt;&gt;"C0",IFERROR(INDEX(parametros!$A$2:$A$6,MATCH(C1556,parametros!$B$2:$B$6,0)),"")="Sim",IFERROR(INDEX(parametros!$H$2:$H$6,MATCH(C1556,parametros!$B$2:$B$6,0)),"")=""),"INICIO_EFEITO ausente: PC "&amp;A1556&amp;" - "&amp;C1556,IF(L1556="","EFEITO_PC nao calculado: PC "&amp;A1556&amp;" - "&amp;C1556,"OK")))))))))</f>
        <v/>
      </c>
      <c r="L1556" s="92" t="str">
        <f>IF(AND(A1556="",B1556="",D1556="",G1556=""),"",IF(OR(B1556="",NOT(ISNUMBER(B1556)),C1556="",C1556="Fora dos ciclos"),"",IF(C1556="C0","Nao",IF(IFERROR(INDEX(parametros!$A$2:$A$6,MATCH(C1556,parametros!$B$2:$B$6,0)),"")&lt;&gt;"Sim","Nao",IF(IFERROR(INDEX(parametros!$H$2:$H$6,MATCH(C1556,parametros!$B$2:$B$6,0)),"")="","",IF(B1556&gt;=IFERROR(INDEX(parametros!$H$2:$H$6,MATCH(C1556,parametros!$B$2:$B$6,0)),""),"Sim","Nao"))))))</f>
        <v/>
      </c>
      <c r="T1556" s="156"/>
      <c r="U1556" s="214" t="str">
        <f t="shared" si="126"/>
        <v/>
      </c>
      <c r="V1556" s="212" t="s">
        <v>50</v>
      </c>
      <c r="W1556" s="100" t="s">
        <v>168</v>
      </c>
      <c r="X1556" s="100" t="s">
        <v>169</v>
      </c>
      <c r="Y1556" s="101" t="s">
        <v>170</v>
      </c>
      <c r="Z1556" s="101" t="s">
        <v>171</v>
      </c>
      <c r="AA1556" s="101" t="s">
        <v>50</v>
      </c>
      <c r="AB1556" s="101" t="s">
        <v>172</v>
      </c>
      <c r="AC1556" s="102" t="s">
        <v>173</v>
      </c>
    </row>
    <row r="1557" spans="1:29" ht="25.5" customHeight="1" x14ac:dyDescent="0.35">
      <c r="A1557" s="392"/>
      <c r="B1557" s="393"/>
      <c r="C1557" s="99" t="str">
        <f>IF(B1557="","",IF(NOT(ISNUMBER(B1557)),"DATA_PC invalida",IF(NOT(ISNUMBER(parametros!$C$2)),"Fora dos ciclos",IF(OR(B1557&lt;parametros!$C$2,(YEAR(B1557)-YEAR(parametros!$C$2))*12+MONTH(B1557)-MONTH(parametros!$C$2)&gt;59),"Fora dos ciclos","C"&amp;INT(((YEAR(B1557)-YEAR(parametros!$C$2))*12+MONTH(B1557)-MONTH(parametros!$C$2))/12)))))</f>
        <v/>
      </c>
      <c r="D1557" s="394"/>
      <c r="E1557" s="78" t="str">
        <f>IF(C1557="","",IFERROR(VLOOKUP(C1557,parametros!$A$11:$E$15,5,0),""))</f>
        <v/>
      </c>
      <c r="F1557" s="79" t="str">
        <f t="shared" si="122"/>
        <v/>
      </c>
      <c r="G1557" s="395"/>
      <c r="H1557" s="91">
        <f t="shared" si="123"/>
        <v>0</v>
      </c>
      <c r="I1557" s="91" t="str">
        <f t="shared" si="124"/>
        <v/>
      </c>
      <c r="J1557" s="91" t="str">
        <f t="shared" si="125"/>
        <v/>
      </c>
      <c r="K1557" s="92" t="str">
        <f>IF(AND(A1557="",B1557="",D1557="",G1557=""),"",IF(AND(A1557&lt;&gt;"",COUNTIF($A$2:$A$5001,A1557)&gt;1),"NUMERO_PC duplicado",IF(B1557="","DATA_PC vazia",IF(NOT(ISNUMBER(B1557)),"DATA_PC invalida",IF(OR(C1557="",C1557="Fora dos ciclos"),"CICLO_PC nao identificado",IF(OR(D1557="",D1557=0),"VALOR_PC vazio ou zero",IF(AND(G1557&lt;&gt;"Sim",G1557&lt;&gt;"Nao",G1557&lt;&gt;""),"PC_PAGO_A_CONTRATADA invalido",IF(AND(C1557&lt;&gt;"C0",IFERROR(INDEX(parametros!$A$2:$A$6,MATCH(C1557,parametros!$B$2:$B$6,0)),"")="Sim",IFERROR(INDEX(parametros!$H$2:$H$6,MATCH(C1557,parametros!$B$2:$B$6,0)),"")=""),"INICIO_EFEITO ausente: PC "&amp;A1557&amp;" - "&amp;C1557,IF(L1557="","EFEITO_PC nao calculado: PC "&amp;A1557&amp;" - "&amp;C1557,"OK")))))))))</f>
        <v/>
      </c>
      <c r="L1557" s="92" t="str">
        <f>IF(AND(A1557="",B1557="",D1557="",G1557=""),"",IF(OR(B1557="",NOT(ISNUMBER(B1557)),C1557="",C1557="Fora dos ciclos"),"",IF(C1557="C0","Nao",IF(IFERROR(INDEX(parametros!$A$2:$A$6,MATCH(C1557,parametros!$B$2:$B$6,0)),"")&lt;&gt;"Sim","Nao",IF(IFERROR(INDEX(parametros!$H$2:$H$6,MATCH(C1557,parametros!$B$2:$B$6,0)),"")="","",IF(B1557&gt;=IFERROR(INDEX(parametros!$H$2:$H$6,MATCH(C1557,parametros!$B$2:$B$6,0)),""),"Sim","Nao"))))))</f>
        <v/>
      </c>
      <c r="T1557" s="156"/>
      <c r="U1557" s="214" t="str">
        <f t="shared" si="126"/>
        <v/>
      </c>
      <c r="V1557" s="212" t="s">
        <v>50</v>
      </c>
      <c r="W1557" s="100" t="s">
        <v>168</v>
      </c>
      <c r="X1557" s="100" t="s">
        <v>169</v>
      </c>
      <c r="Y1557" s="101" t="s">
        <v>170</v>
      </c>
      <c r="Z1557" s="101" t="s">
        <v>171</v>
      </c>
      <c r="AA1557" s="101" t="s">
        <v>50</v>
      </c>
      <c r="AB1557" s="101" t="s">
        <v>172</v>
      </c>
      <c r="AC1557" s="102" t="s">
        <v>173</v>
      </c>
    </row>
    <row r="1558" spans="1:29" ht="25.5" customHeight="1" x14ac:dyDescent="0.35">
      <c r="A1558" s="392"/>
      <c r="B1558" s="393"/>
      <c r="C1558" s="99" t="str">
        <f>IF(B1558="","",IF(NOT(ISNUMBER(B1558)),"DATA_PC invalida",IF(NOT(ISNUMBER(parametros!$C$2)),"Fora dos ciclos",IF(OR(B1558&lt;parametros!$C$2,(YEAR(B1558)-YEAR(parametros!$C$2))*12+MONTH(B1558)-MONTH(parametros!$C$2)&gt;59),"Fora dos ciclos","C"&amp;INT(((YEAR(B1558)-YEAR(parametros!$C$2))*12+MONTH(B1558)-MONTH(parametros!$C$2))/12)))))</f>
        <v/>
      </c>
      <c r="D1558" s="394"/>
      <c r="E1558" s="78" t="str">
        <f>IF(C1558="","",IFERROR(VLOOKUP(C1558,parametros!$A$11:$E$15,5,0),""))</f>
        <v/>
      </c>
      <c r="F1558" s="79" t="str">
        <f t="shared" si="122"/>
        <v/>
      </c>
      <c r="G1558" s="395"/>
      <c r="H1558" s="91">
        <f t="shared" si="123"/>
        <v>0</v>
      </c>
      <c r="I1558" s="91" t="str">
        <f t="shared" si="124"/>
        <v/>
      </c>
      <c r="J1558" s="91" t="str">
        <f t="shared" si="125"/>
        <v/>
      </c>
      <c r="K1558" s="92" t="str">
        <f>IF(AND(A1558="",B1558="",D1558="",G1558=""),"",IF(AND(A1558&lt;&gt;"",COUNTIF($A$2:$A$5001,A1558)&gt;1),"NUMERO_PC duplicado",IF(B1558="","DATA_PC vazia",IF(NOT(ISNUMBER(B1558)),"DATA_PC invalida",IF(OR(C1558="",C1558="Fora dos ciclos"),"CICLO_PC nao identificado",IF(OR(D1558="",D1558=0),"VALOR_PC vazio ou zero",IF(AND(G1558&lt;&gt;"Sim",G1558&lt;&gt;"Nao",G1558&lt;&gt;""),"PC_PAGO_A_CONTRATADA invalido",IF(AND(C1558&lt;&gt;"C0",IFERROR(INDEX(parametros!$A$2:$A$6,MATCH(C1558,parametros!$B$2:$B$6,0)),"")="Sim",IFERROR(INDEX(parametros!$H$2:$H$6,MATCH(C1558,parametros!$B$2:$B$6,0)),"")=""),"INICIO_EFEITO ausente: PC "&amp;A1558&amp;" - "&amp;C1558,IF(L1558="","EFEITO_PC nao calculado: PC "&amp;A1558&amp;" - "&amp;C1558,"OK")))))))))</f>
        <v/>
      </c>
      <c r="L1558" s="92" t="str">
        <f>IF(AND(A1558="",B1558="",D1558="",G1558=""),"",IF(OR(B1558="",NOT(ISNUMBER(B1558)),C1558="",C1558="Fora dos ciclos"),"",IF(C1558="C0","Nao",IF(IFERROR(INDEX(parametros!$A$2:$A$6,MATCH(C1558,parametros!$B$2:$B$6,0)),"")&lt;&gt;"Sim","Nao",IF(IFERROR(INDEX(parametros!$H$2:$H$6,MATCH(C1558,parametros!$B$2:$B$6,0)),"")="","",IF(B1558&gt;=IFERROR(INDEX(parametros!$H$2:$H$6,MATCH(C1558,parametros!$B$2:$B$6,0)),""),"Sim","Nao"))))))</f>
        <v/>
      </c>
      <c r="T1558" s="156"/>
      <c r="U1558" s="214" t="str">
        <f t="shared" si="126"/>
        <v/>
      </c>
      <c r="V1558" s="212" t="s">
        <v>50</v>
      </c>
      <c r="W1558" s="100" t="s">
        <v>168</v>
      </c>
      <c r="X1558" s="100" t="s">
        <v>169</v>
      </c>
      <c r="Y1558" s="101" t="s">
        <v>170</v>
      </c>
      <c r="Z1558" s="101" t="s">
        <v>171</v>
      </c>
      <c r="AA1558" s="101" t="s">
        <v>50</v>
      </c>
      <c r="AB1558" s="101" t="s">
        <v>172</v>
      </c>
      <c r="AC1558" s="102" t="s">
        <v>173</v>
      </c>
    </row>
    <row r="1559" spans="1:29" ht="25.5" customHeight="1" x14ac:dyDescent="0.35">
      <c r="A1559" s="392"/>
      <c r="B1559" s="393"/>
      <c r="C1559" s="99" t="str">
        <f>IF(B1559="","",IF(NOT(ISNUMBER(B1559)),"DATA_PC invalida",IF(NOT(ISNUMBER(parametros!$C$2)),"Fora dos ciclos",IF(OR(B1559&lt;parametros!$C$2,(YEAR(B1559)-YEAR(parametros!$C$2))*12+MONTH(B1559)-MONTH(parametros!$C$2)&gt;59),"Fora dos ciclos","C"&amp;INT(((YEAR(B1559)-YEAR(parametros!$C$2))*12+MONTH(B1559)-MONTH(parametros!$C$2))/12)))))</f>
        <v/>
      </c>
      <c r="D1559" s="394"/>
      <c r="E1559" s="78" t="str">
        <f>IF(C1559="","",IFERROR(VLOOKUP(C1559,parametros!$A$11:$E$15,5,0),""))</f>
        <v/>
      </c>
      <c r="F1559" s="79" t="str">
        <f t="shared" si="122"/>
        <v/>
      </c>
      <c r="G1559" s="395"/>
      <c r="H1559" s="91">
        <f t="shared" si="123"/>
        <v>0</v>
      </c>
      <c r="I1559" s="91" t="str">
        <f t="shared" si="124"/>
        <v/>
      </c>
      <c r="J1559" s="91" t="str">
        <f t="shared" si="125"/>
        <v/>
      </c>
      <c r="K1559" s="92" t="str">
        <f>IF(AND(A1559="",B1559="",D1559="",G1559=""),"",IF(AND(A1559&lt;&gt;"",COUNTIF($A$2:$A$5001,A1559)&gt;1),"NUMERO_PC duplicado",IF(B1559="","DATA_PC vazia",IF(NOT(ISNUMBER(B1559)),"DATA_PC invalida",IF(OR(C1559="",C1559="Fora dos ciclos"),"CICLO_PC nao identificado",IF(OR(D1559="",D1559=0),"VALOR_PC vazio ou zero",IF(AND(G1559&lt;&gt;"Sim",G1559&lt;&gt;"Nao",G1559&lt;&gt;""),"PC_PAGO_A_CONTRATADA invalido",IF(AND(C1559&lt;&gt;"C0",IFERROR(INDEX(parametros!$A$2:$A$6,MATCH(C1559,parametros!$B$2:$B$6,0)),"")="Sim",IFERROR(INDEX(parametros!$H$2:$H$6,MATCH(C1559,parametros!$B$2:$B$6,0)),"")=""),"INICIO_EFEITO ausente: PC "&amp;A1559&amp;" - "&amp;C1559,IF(L1559="","EFEITO_PC nao calculado: PC "&amp;A1559&amp;" - "&amp;C1559,"OK")))))))))</f>
        <v/>
      </c>
      <c r="L1559" s="92" t="str">
        <f>IF(AND(A1559="",B1559="",D1559="",G1559=""),"",IF(OR(B1559="",NOT(ISNUMBER(B1559)),C1559="",C1559="Fora dos ciclos"),"",IF(C1559="C0","Nao",IF(IFERROR(INDEX(parametros!$A$2:$A$6,MATCH(C1559,parametros!$B$2:$B$6,0)),"")&lt;&gt;"Sim","Nao",IF(IFERROR(INDEX(parametros!$H$2:$H$6,MATCH(C1559,parametros!$B$2:$B$6,0)),"")="","",IF(B1559&gt;=IFERROR(INDEX(parametros!$H$2:$H$6,MATCH(C1559,parametros!$B$2:$B$6,0)),""),"Sim","Nao"))))))</f>
        <v/>
      </c>
      <c r="T1559" s="156"/>
      <c r="U1559" s="214" t="str">
        <f t="shared" si="126"/>
        <v/>
      </c>
      <c r="V1559" s="212" t="s">
        <v>50</v>
      </c>
      <c r="W1559" s="100" t="s">
        <v>168</v>
      </c>
      <c r="X1559" s="100" t="s">
        <v>169</v>
      </c>
      <c r="Y1559" s="101" t="s">
        <v>170</v>
      </c>
      <c r="Z1559" s="101" t="s">
        <v>171</v>
      </c>
      <c r="AA1559" s="101" t="s">
        <v>50</v>
      </c>
      <c r="AB1559" s="101" t="s">
        <v>172</v>
      </c>
      <c r="AC1559" s="102" t="s">
        <v>173</v>
      </c>
    </row>
    <row r="1560" spans="1:29" ht="25.5" customHeight="1" x14ac:dyDescent="0.35">
      <c r="A1560" s="392"/>
      <c r="B1560" s="393"/>
      <c r="C1560" s="99" t="str">
        <f>IF(B1560="","",IF(NOT(ISNUMBER(B1560)),"DATA_PC invalida",IF(NOT(ISNUMBER(parametros!$C$2)),"Fora dos ciclos",IF(OR(B1560&lt;parametros!$C$2,(YEAR(B1560)-YEAR(parametros!$C$2))*12+MONTH(B1560)-MONTH(parametros!$C$2)&gt;59),"Fora dos ciclos","C"&amp;INT(((YEAR(B1560)-YEAR(parametros!$C$2))*12+MONTH(B1560)-MONTH(parametros!$C$2))/12)))))</f>
        <v/>
      </c>
      <c r="D1560" s="394"/>
      <c r="E1560" s="78" t="str">
        <f>IF(C1560="","",IFERROR(VLOOKUP(C1560,parametros!$A$11:$E$15,5,0),""))</f>
        <v/>
      </c>
      <c r="F1560" s="79" t="str">
        <f t="shared" si="122"/>
        <v/>
      </c>
      <c r="G1560" s="395"/>
      <c r="H1560" s="91">
        <f t="shared" si="123"/>
        <v>0</v>
      </c>
      <c r="I1560" s="91" t="str">
        <f t="shared" si="124"/>
        <v/>
      </c>
      <c r="J1560" s="91" t="str">
        <f t="shared" si="125"/>
        <v/>
      </c>
      <c r="K1560" s="92" t="str">
        <f>IF(AND(A1560="",B1560="",D1560="",G1560=""),"",IF(AND(A1560&lt;&gt;"",COUNTIF($A$2:$A$5001,A1560)&gt;1),"NUMERO_PC duplicado",IF(B1560="","DATA_PC vazia",IF(NOT(ISNUMBER(B1560)),"DATA_PC invalida",IF(OR(C1560="",C1560="Fora dos ciclos"),"CICLO_PC nao identificado",IF(OR(D1560="",D1560=0),"VALOR_PC vazio ou zero",IF(AND(G1560&lt;&gt;"Sim",G1560&lt;&gt;"Nao",G1560&lt;&gt;""),"PC_PAGO_A_CONTRATADA invalido",IF(AND(C1560&lt;&gt;"C0",IFERROR(INDEX(parametros!$A$2:$A$6,MATCH(C1560,parametros!$B$2:$B$6,0)),"")="Sim",IFERROR(INDEX(parametros!$H$2:$H$6,MATCH(C1560,parametros!$B$2:$B$6,0)),"")=""),"INICIO_EFEITO ausente: PC "&amp;A1560&amp;" - "&amp;C1560,IF(L1560="","EFEITO_PC nao calculado: PC "&amp;A1560&amp;" - "&amp;C1560,"OK")))))))))</f>
        <v/>
      </c>
      <c r="L1560" s="92" t="str">
        <f>IF(AND(A1560="",B1560="",D1560="",G1560=""),"",IF(OR(B1560="",NOT(ISNUMBER(B1560)),C1560="",C1560="Fora dos ciclos"),"",IF(C1560="C0","Nao",IF(IFERROR(INDEX(parametros!$A$2:$A$6,MATCH(C1560,parametros!$B$2:$B$6,0)),"")&lt;&gt;"Sim","Nao",IF(IFERROR(INDEX(parametros!$H$2:$H$6,MATCH(C1560,parametros!$B$2:$B$6,0)),"")="","",IF(B1560&gt;=IFERROR(INDEX(parametros!$H$2:$H$6,MATCH(C1560,parametros!$B$2:$B$6,0)),""),"Sim","Nao"))))))</f>
        <v/>
      </c>
      <c r="T1560" s="156"/>
      <c r="U1560" s="214" t="str">
        <f t="shared" si="126"/>
        <v/>
      </c>
      <c r="V1560" s="212" t="s">
        <v>50</v>
      </c>
      <c r="W1560" s="100" t="s">
        <v>168</v>
      </c>
      <c r="X1560" s="100" t="s">
        <v>169</v>
      </c>
      <c r="Y1560" s="101" t="s">
        <v>170</v>
      </c>
      <c r="Z1560" s="101" t="s">
        <v>171</v>
      </c>
      <c r="AA1560" s="101" t="s">
        <v>50</v>
      </c>
      <c r="AB1560" s="101" t="s">
        <v>172</v>
      </c>
      <c r="AC1560" s="102" t="s">
        <v>173</v>
      </c>
    </row>
    <row r="1561" spans="1:29" ht="25.5" customHeight="1" x14ac:dyDescent="0.35">
      <c r="A1561" s="392"/>
      <c r="B1561" s="393"/>
      <c r="C1561" s="99" t="str">
        <f>IF(B1561="","",IF(NOT(ISNUMBER(B1561)),"DATA_PC invalida",IF(NOT(ISNUMBER(parametros!$C$2)),"Fora dos ciclos",IF(OR(B1561&lt;parametros!$C$2,(YEAR(B1561)-YEAR(parametros!$C$2))*12+MONTH(B1561)-MONTH(parametros!$C$2)&gt;59),"Fora dos ciclos","C"&amp;INT(((YEAR(B1561)-YEAR(parametros!$C$2))*12+MONTH(B1561)-MONTH(parametros!$C$2))/12)))))</f>
        <v/>
      </c>
      <c r="D1561" s="394"/>
      <c r="E1561" s="78" t="str">
        <f>IF(C1561="","",IFERROR(VLOOKUP(C1561,parametros!$A$11:$E$15,5,0),""))</f>
        <v/>
      </c>
      <c r="F1561" s="79" t="str">
        <f t="shared" si="122"/>
        <v/>
      </c>
      <c r="G1561" s="395"/>
      <c r="H1561" s="91">
        <f t="shared" si="123"/>
        <v>0</v>
      </c>
      <c r="I1561" s="91" t="str">
        <f t="shared" si="124"/>
        <v/>
      </c>
      <c r="J1561" s="91" t="str">
        <f t="shared" si="125"/>
        <v/>
      </c>
      <c r="K1561" s="92" t="str">
        <f>IF(AND(A1561="",B1561="",D1561="",G1561=""),"",IF(AND(A1561&lt;&gt;"",COUNTIF($A$2:$A$5001,A1561)&gt;1),"NUMERO_PC duplicado",IF(B1561="","DATA_PC vazia",IF(NOT(ISNUMBER(B1561)),"DATA_PC invalida",IF(OR(C1561="",C1561="Fora dos ciclos"),"CICLO_PC nao identificado",IF(OR(D1561="",D1561=0),"VALOR_PC vazio ou zero",IF(AND(G1561&lt;&gt;"Sim",G1561&lt;&gt;"Nao",G1561&lt;&gt;""),"PC_PAGO_A_CONTRATADA invalido",IF(AND(C1561&lt;&gt;"C0",IFERROR(INDEX(parametros!$A$2:$A$6,MATCH(C1561,parametros!$B$2:$B$6,0)),"")="Sim",IFERROR(INDEX(parametros!$H$2:$H$6,MATCH(C1561,parametros!$B$2:$B$6,0)),"")=""),"INICIO_EFEITO ausente: PC "&amp;A1561&amp;" - "&amp;C1561,IF(L1561="","EFEITO_PC nao calculado: PC "&amp;A1561&amp;" - "&amp;C1561,"OK")))))))))</f>
        <v/>
      </c>
      <c r="L1561" s="92" t="str">
        <f>IF(AND(A1561="",B1561="",D1561="",G1561=""),"",IF(OR(B1561="",NOT(ISNUMBER(B1561)),C1561="",C1561="Fora dos ciclos"),"",IF(C1561="C0","Nao",IF(IFERROR(INDEX(parametros!$A$2:$A$6,MATCH(C1561,parametros!$B$2:$B$6,0)),"")&lt;&gt;"Sim","Nao",IF(IFERROR(INDEX(parametros!$H$2:$H$6,MATCH(C1561,parametros!$B$2:$B$6,0)),"")="","",IF(B1561&gt;=IFERROR(INDEX(parametros!$H$2:$H$6,MATCH(C1561,parametros!$B$2:$B$6,0)),""),"Sim","Nao"))))))</f>
        <v/>
      </c>
      <c r="T1561" s="156"/>
      <c r="U1561" s="214" t="str">
        <f t="shared" si="126"/>
        <v/>
      </c>
      <c r="V1561" s="212" t="s">
        <v>50</v>
      </c>
      <c r="W1561" s="100" t="s">
        <v>168</v>
      </c>
      <c r="X1561" s="100" t="s">
        <v>169</v>
      </c>
      <c r="Y1561" s="101" t="s">
        <v>170</v>
      </c>
      <c r="Z1561" s="101" t="s">
        <v>171</v>
      </c>
      <c r="AA1561" s="101" t="s">
        <v>50</v>
      </c>
      <c r="AB1561" s="101" t="s">
        <v>172</v>
      </c>
      <c r="AC1561" s="102" t="s">
        <v>173</v>
      </c>
    </row>
    <row r="1562" spans="1:29" ht="25.5" customHeight="1" x14ac:dyDescent="0.35">
      <c r="A1562" s="392"/>
      <c r="B1562" s="393"/>
      <c r="C1562" s="99" t="str">
        <f>IF(B1562="","",IF(NOT(ISNUMBER(B1562)),"DATA_PC invalida",IF(NOT(ISNUMBER(parametros!$C$2)),"Fora dos ciclos",IF(OR(B1562&lt;parametros!$C$2,(YEAR(B1562)-YEAR(parametros!$C$2))*12+MONTH(B1562)-MONTH(parametros!$C$2)&gt;59),"Fora dos ciclos","C"&amp;INT(((YEAR(B1562)-YEAR(parametros!$C$2))*12+MONTH(B1562)-MONTH(parametros!$C$2))/12)))))</f>
        <v/>
      </c>
      <c r="D1562" s="394"/>
      <c r="E1562" s="78" t="str">
        <f>IF(C1562="","",IFERROR(VLOOKUP(C1562,parametros!$A$11:$E$15,5,0),""))</f>
        <v/>
      </c>
      <c r="F1562" s="79" t="str">
        <f t="shared" si="122"/>
        <v/>
      </c>
      <c r="G1562" s="395"/>
      <c r="H1562" s="91">
        <f t="shared" si="123"/>
        <v>0</v>
      </c>
      <c r="I1562" s="91" t="str">
        <f t="shared" si="124"/>
        <v/>
      </c>
      <c r="J1562" s="91" t="str">
        <f t="shared" si="125"/>
        <v/>
      </c>
      <c r="K1562" s="92" t="str">
        <f>IF(AND(A1562="",B1562="",D1562="",G1562=""),"",IF(AND(A1562&lt;&gt;"",COUNTIF($A$2:$A$5001,A1562)&gt;1),"NUMERO_PC duplicado",IF(B1562="","DATA_PC vazia",IF(NOT(ISNUMBER(B1562)),"DATA_PC invalida",IF(OR(C1562="",C1562="Fora dos ciclos"),"CICLO_PC nao identificado",IF(OR(D1562="",D1562=0),"VALOR_PC vazio ou zero",IF(AND(G1562&lt;&gt;"Sim",G1562&lt;&gt;"Nao",G1562&lt;&gt;""),"PC_PAGO_A_CONTRATADA invalido",IF(AND(C1562&lt;&gt;"C0",IFERROR(INDEX(parametros!$A$2:$A$6,MATCH(C1562,parametros!$B$2:$B$6,0)),"")="Sim",IFERROR(INDEX(parametros!$H$2:$H$6,MATCH(C1562,parametros!$B$2:$B$6,0)),"")=""),"INICIO_EFEITO ausente: PC "&amp;A1562&amp;" - "&amp;C1562,IF(L1562="","EFEITO_PC nao calculado: PC "&amp;A1562&amp;" - "&amp;C1562,"OK")))))))))</f>
        <v/>
      </c>
      <c r="L1562" s="92" t="str">
        <f>IF(AND(A1562="",B1562="",D1562="",G1562=""),"",IF(OR(B1562="",NOT(ISNUMBER(B1562)),C1562="",C1562="Fora dos ciclos"),"",IF(C1562="C0","Nao",IF(IFERROR(INDEX(parametros!$A$2:$A$6,MATCH(C1562,parametros!$B$2:$B$6,0)),"")&lt;&gt;"Sim","Nao",IF(IFERROR(INDEX(parametros!$H$2:$H$6,MATCH(C1562,parametros!$B$2:$B$6,0)),"")="","",IF(B1562&gt;=IFERROR(INDEX(parametros!$H$2:$H$6,MATCH(C1562,parametros!$B$2:$B$6,0)),""),"Sim","Nao"))))))</f>
        <v/>
      </c>
      <c r="T1562" s="156"/>
      <c r="U1562" s="214" t="str">
        <f t="shared" si="126"/>
        <v/>
      </c>
      <c r="V1562" s="212" t="s">
        <v>50</v>
      </c>
      <c r="W1562" s="100" t="s">
        <v>168</v>
      </c>
      <c r="X1562" s="100" t="s">
        <v>169</v>
      </c>
      <c r="Y1562" s="101" t="s">
        <v>170</v>
      </c>
      <c r="Z1562" s="101" t="s">
        <v>171</v>
      </c>
      <c r="AA1562" s="101" t="s">
        <v>50</v>
      </c>
      <c r="AB1562" s="101" t="s">
        <v>172</v>
      </c>
      <c r="AC1562" s="102" t="s">
        <v>173</v>
      </c>
    </row>
    <row r="1563" spans="1:29" ht="25.5" customHeight="1" x14ac:dyDescent="0.35">
      <c r="A1563" s="392"/>
      <c r="B1563" s="393"/>
      <c r="C1563" s="99" t="str">
        <f>IF(B1563="","",IF(NOT(ISNUMBER(B1563)),"DATA_PC invalida",IF(NOT(ISNUMBER(parametros!$C$2)),"Fora dos ciclos",IF(OR(B1563&lt;parametros!$C$2,(YEAR(B1563)-YEAR(parametros!$C$2))*12+MONTH(B1563)-MONTH(parametros!$C$2)&gt;59),"Fora dos ciclos","C"&amp;INT(((YEAR(B1563)-YEAR(parametros!$C$2))*12+MONTH(B1563)-MONTH(parametros!$C$2))/12)))))</f>
        <v/>
      </c>
      <c r="D1563" s="394"/>
      <c r="E1563" s="78" t="str">
        <f>IF(C1563="","",IFERROR(VLOOKUP(C1563,parametros!$A$11:$E$15,5,0),""))</f>
        <v/>
      </c>
      <c r="F1563" s="79" t="str">
        <f t="shared" si="122"/>
        <v/>
      </c>
      <c r="G1563" s="395"/>
      <c r="H1563" s="91">
        <f t="shared" si="123"/>
        <v>0</v>
      </c>
      <c r="I1563" s="91" t="str">
        <f t="shared" si="124"/>
        <v/>
      </c>
      <c r="J1563" s="91" t="str">
        <f t="shared" si="125"/>
        <v/>
      </c>
      <c r="K1563" s="92" t="str">
        <f>IF(AND(A1563="",B1563="",D1563="",G1563=""),"",IF(AND(A1563&lt;&gt;"",COUNTIF($A$2:$A$5001,A1563)&gt;1),"NUMERO_PC duplicado",IF(B1563="","DATA_PC vazia",IF(NOT(ISNUMBER(B1563)),"DATA_PC invalida",IF(OR(C1563="",C1563="Fora dos ciclos"),"CICLO_PC nao identificado",IF(OR(D1563="",D1563=0),"VALOR_PC vazio ou zero",IF(AND(G1563&lt;&gt;"Sim",G1563&lt;&gt;"Nao",G1563&lt;&gt;""),"PC_PAGO_A_CONTRATADA invalido",IF(AND(C1563&lt;&gt;"C0",IFERROR(INDEX(parametros!$A$2:$A$6,MATCH(C1563,parametros!$B$2:$B$6,0)),"")="Sim",IFERROR(INDEX(parametros!$H$2:$H$6,MATCH(C1563,parametros!$B$2:$B$6,0)),"")=""),"INICIO_EFEITO ausente: PC "&amp;A1563&amp;" - "&amp;C1563,IF(L1563="","EFEITO_PC nao calculado: PC "&amp;A1563&amp;" - "&amp;C1563,"OK")))))))))</f>
        <v/>
      </c>
      <c r="L1563" s="92" t="str">
        <f>IF(AND(A1563="",B1563="",D1563="",G1563=""),"",IF(OR(B1563="",NOT(ISNUMBER(B1563)),C1563="",C1563="Fora dos ciclos"),"",IF(C1563="C0","Nao",IF(IFERROR(INDEX(parametros!$A$2:$A$6,MATCH(C1563,parametros!$B$2:$B$6,0)),"")&lt;&gt;"Sim","Nao",IF(IFERROR(INDEX(parametros!$H$2:$H$6,MATCH(C1563,parametros!$B$2:$B$6,0)),"")="","",IF(B1563&gt;=IFERROR(INDEX(parametros!$H$2:$H$6,MATCH(C1563,parametros!$B$2:$B$6,0)),""),"Sim","Nao"))))))</f>
        <v/>
      </c>
      <c r="T1563" s="156"/>
      <c r="U1563" s="214" t="str">
        <f t="shared" si="126"/>
        <v/>
      </c>
      <c r="V1563" s="212" t="s">
        <v>50</v>
      </c>
      <c r="W1563" s="100" t="s">
        <v>168</v>
      </c>
      <c r="X1563" s="100" t="s">
        <v>169</v>
      </c>
      <c r="Y1563" s="101" t="s">
        <v>170</v>
      </c>
      <c r="Z1563" s="101" t="s">
        <v>171</v>
      </c>
      <c r="AA1563" s="101" t="s">
        <v>50</v>
      </c>
      <c r="AB1563" s="101" t="s">
        <v>172</v>
      </c>
      <c r="AC1563" s="102" t="s">
        <v>173</v>
      </c>
    </row>
    <row r="1564" spans="1:29" ht="25.5" customHeight="1" x14ac:dyDescent="0.35">
      <c r="A1564" s="392"/>
      <c r="B1564" s="393"/>
      <c r="C1564" s="99" t="str">
        <f>IF(B1564="","",IF(NOT(ISNUMBER(B1564)),"DATA_PC invalida",IF(NOT(ISNUMBER(parametros!$C$2)),"Fora dos ciclos",IF(OR(B1564&lt;parametros!$C$2,(YEAR(B1564)-YEAR(parametros!$C$2))*12+MONTH(B1564)-MONTH(parametros!$C$2)&gt;59),"Fora dos ciclos","C"&amp;INT(((YEAR(B1564)-YEAR(parametros!$C$2))*12+MONTH(B1564)-MONTH(parametros!$C$2))/12)))))</f>
        <v/>
      </c>
      <c r="D1564" s="394"/>
      <c r="E1564" s="78" t="str">
        <f>IF(C1564="","",IFERROR(VLOOKUP(C1564,parametros!$A$11:$E$15,5,0),""))</f>
        <v/>
      </c>
      <c r="F1564" s="79" t="str">
        <f t="shared" si="122"/>
        <v/>
      </c>
      <c r="G1564" s="395"/>
      <c r="H1564" s="91">
        <f t="shared" si="123"/>
        <v>0</v>
      </c>
      <c r="I1564" s="91" t="str">
        <f t="shared" si="124"/>
        <v/>
      </c>
      <c r="J1564" s="91" t="str">
        <f t="shared" si="125"/>
        <v/>
      </c>
      <c r="K1564" s="92" t="str">
        <f>IF(AND(A1564="",B1564="",D1564="",G1564=""),"",IF(AND(A1564&lt;&gt;"",COUNTIF($A$2:$A$5001,A1564)&gt;1),"NUMERO_PC duplicado",IF(B1564="","DATA_PC vazia",IF(NOT(ISNUMBER(B1564)),"DATA_PC invalida",IF(OR(C1564="",C1564="Fora dos ciclos"),"CICLO_PC nao identificado",IF(OR(D1564="",D1564=0),"VALOR_PC vazio ou zero",IF(AND(G1564&lt;&gt;"Sim",G1564&lt;&gt;"Nao",G1564&lt;&gt;""),"PC_PAGO_A_CONTRATADA invalido",IF(AND(C1564&lt;&gt;"C0",IFERROR(INDEX(parametros!$A$2:$A$6,MATCH(C1564,parametros!$B$2:$B$6,0)),"")="Sim",IFERROR(INDEX(parametros!$H$2:$H$6,MATCH(C1564,parametros!$B$2:$B$6,0)),"")=""),"INICIO_EFEITO ausente: PC "&amp;A1564&amp;" - "&amp;C1564,IF(L1564="","EFEITO_PC nao calculado: PC "&amp;A1564&amp;" - "&amp;C1564,"OK")))))))))</f>
        <v/>
      </c>
      <c r="L1564" s="92" t="str">
        <f>IF(AND(A1564="",B1564="",D1564="",G1564=""),"",IF(OR(B1564="",NOT(ISNUMBER(B1564)),C1564="",C1564="Fora dos ciclos"),"",IF(C1564="C0","Nao",IF(IFERROR(INDEX(parametros!$A$2:$A$6,MATCH(C1564,parametros!$B$2:$B$6,0)),"")&lt;&gt;"Sim","Nao",IF(IFERROR(INDEX(parametros!$H$2:$H$6,MATCH(C1564,parametros!$B$2:$B$6,0)),"")="","",IF(B1564&gt;=IFERROR(INDEX(parametros!$H$2:$H$6,MATCH(C1564,parametros!$B$2:$B$6,0)),""),"Sim","Nao"))))))</f>
        <v/>
      </c>
      <c r="T1564" s="156"/>
      <c r="U1564" s="214" t="str">
        <f t="shared" si="126"/>
        <v/>
      </c>
      <c r="V1564" s="212" t="s">
        <v>50</v>
      </c>
      <c r="W1564" s="100" t="s">
        <v>168</v>
      </c>
      <c r="X1564" s="100" t="s">
        <v>169</v>
      </c>
      <c r="Y1564" s="101" t="s">
        <v>170</v>
      </c>
      <c r="Z1564" s="101" t="s">
        <v>171</v>
      </c>
      <c r="AA1564" s="101" t="s">
        <v>50</v>
      </c>
      <c r="AB1564" s="101" t="s">
        <v>172</v>
      </c>
      <c r="AC1564" s="102" t="s">
        <v>173</v>
      </c>
    </row>
    <row r="1565" spans="1:29" ht="25.5" customHeight="1" x14ac:dyDescent="0.35">
      <c r="A1565" s="392"/>
      <c r="B1565" s="393"/>
      <c r="C1565" s="99" t="str">
        <f>IF(B1565="","",IF(NOT(ISNUMBER(B1565)),"DATA_PC invalida",IF(NOT(ISNUMBER(parametros!$C$2)),"Fora dos ciclos",IF(OR(B1565&lt;parametros!$C$2,(YEAR(B1565)-YEAR(parametros!$C$2))*12+MONTH(B1565)-MONTH(parametros!$C$2)&gt;59),"Fora dos ciclos","C"&amp;INT(((YEAR(B1565)-YEAR(parametros!$C$2))*12+MONTH(B1565)-MONTH(parametros!$C$2))/12)))))</f>
        <v/>
      </c>
      <c r="D1565" s="394"/>
      <c r="E1565" s="78" t="str">
        <f>IF(C1565="","",IFERROR(VLOOKUP(C1565,parametros!$A$11:$E$15,5,0),""))</f>
        <v/>
      </c>
      <c r="F1565" s="79" t="str">
        <f t="shared" si="122"/>
        <v/>
      </c>
      <c r="G1565" s="395"/>
      <c r="H1565" s="91">
        <f t="shared" si="123"/>
        <v>0</v>
      </c>
      <c r="I1565" s="91" t="str">
        <f t="shared" si="124"/>
        <v/>
      </c>
      <c r="J1565" s="91" t="str">
        <f t="shared" si="125"/>
        <v/>
      </c>
      <c r="K1565" s="92" t="str">
        <f>IF(AND(A1565="",B1565="",D1565="",G1565=""),"",IF(AND(A1565&lt;&gt;"",COUNTIF($A$2:$A$5001,A1565)&gt;1),"NUMERO_PC duplicado",IF(B1565="","DATA_PC vazia",IF(NOT(ISNUMBER(B1565)),"DATA_PC invalida",IF(OR(C1565="",C1565="Fora dos ciclos"),"CICLO_PC nao identificado",IF(OR(D1565="",D1565=0),"VALOR_PC vazio ou zero",IF(AND(G1565&lt;&gt;"Sim",G1565&lt;&gt;"Nao",G1565&lt;&gt;""),"PC_PAGO_A_CONTRATADA invalido",IF(AND(C1565&lt;&gt;"C0",IFERROR(INDEX(parametros!$A$2:$A$6,MATCH(C1565,parametros!$B$2:$B$6,0)),"")="Sim",IFERROR(INDEX(parametros!$H$2:$H$6,MATCH(C1565,parametros!$B$2:$B$6,0)),"")=""),"INICIO_EFEITO ausente: PC "&amp;A1565&amp;" - "&amp;C1565,IF(L1565="","EFEITO_PC nao calculado: PC "&amp;A1565&amp;" - "&amp;C1565,"OK")))))))))</f>
        <v/>
      </c>
      <c r="L1565" s="92" t="str">
        <f>IF(AND(A1565="",B1565="",D1565="",G1565=""),"",IF(OR(B1565="",NOT(ISNUMBER(B1565)),C1565="",C1565="Fora dos ciclos"),"",IF(C1565="C0","Nao",IF(IFERROR(INDEX(parametros!$A$2:$A$6,MATCH(C1565,parametros!$B$2:$B$6,0)),"")&lt;&gt;"Sim","Nao",IF(IFERROR(INDEX(parametros!$H$2:$H$6,MATCH(C1565,parametros!$B$2:$B$6,0)),"")="","",IF(B1565&gt;=IFERROR(INDEX(parametros!$H$2:$H$6,MATCH(C1565,parametros!$B$2:$B$6,0)),""),"Sim","Nao"))))))</f>
        <v/>
      </c>
      <c r="T1565" s="156"/>
      <c r="U1565" s="214" t="str">
        <f t="shared" si="126"/>
        <v/>
      </c>
      <c r="V1565" s="212" t="s">
        <v>50</v>
      </c>
      <c r="W1565" s="100" t="s">
        <v>168</v>
      </c>
      <c r="X1565" s="100" t="s">
        <v>169</v>
      </c>
      <c r="Y1565" s="101" t="s">
        <v>170</v>
      </c>
      <c r="Z1565" s="101" t="s">
        <v>171</v>
      </c>
      <c r="AA1565" s="101" t="s">
        <v>50</v>
      </c>
      <c r="AB1565" s="101" t="s">
        <v>172</v>
      </c>
      <c r="AC1565" s="102" t="s">
        <v>173</v>
      </c>
    </row>
    <row r="1566" spans="1:29" ht="25.5" customHeight="1" x14ac:dyDescent="0.35">
      <c r="A1566" s="392"/>
      <c r="B1566" s="393"/>
      <c r="C1566" s="99" t="str">
        <f>IF(B1566="","",IF(NOT(ISNUMBER(B1566)),"DATA_PC invalida",IF(NOT(ISNUMBER(parametros!$C$2)),"Fora dos ciclos",IF(OR(B1566&lt;parametros!$C$2,(YEAR(B1566)-YEAR(parametros!$C$2))*12+MONTH(B1566)-MONTH(parametros!$C$2)&gt;59),"Fora dos ciclos","C"&amp;INT(((YEAR(B1566)-YEAR(parametros!$C$2))*12+MONTH(B1566)-MONTH(parametros!$C$2))/12)))))</f>
        <v/>
      </c>
      <c r="D1566" s="394"/>
      <c r="E1566" s="78" t="str">
        <f>IF(C1566="","",IFERROR(VLOOKUP(C1566,parametros!$A$11:$E$15,5,0),""))</f>
        <v/>
      </c>
      <c r="F1566" s="79" t="str">
        <f t="shared" si="122"/>
        <v/>
      </c>
      <c r="G1566" s="395"/>
      <c r="H1566" s="91">
        <f t="shared" si="123"/>
        <v>0</v>
      </c>
      <c r="I1566" s="91" t="str">
        <f t="shared" si="124"/>
        <v/>
      </c>
      <c r="J1566" s="91" t="str">
        <f t="shared" si="125"/>
        <v/>
      </c>
      <c r="K1566" s="92" t="str">
        <f>IF(AND(A1566="",B1566="",D1566="",G1566=""),"",IF(AND(A1566&lt;&gt;"",COUNTIF($A$2:$A$5001,A1566)&gt;1),"NUMERO_PC duplicado",IF(B1566="","DATA_PC vazia",IF(NOT(ISNUMBER(B1566)),"DATA_PC invalida",IF(OR(C1566="",C1566="Fora dos ciclos"),"CICLO_PC nao identificado",IF(OR(D1566="",D1566=0),"VALOR_PC vazio ou zero",IF(AND(G1566&lt;&gt;"Sim",G1566&lt;&gt;"Nao",G1566&lt;&gt;""),"PC_PAGO_A_CONTRATADA invalido",IF(AND(C1566&lt;&gt;"C0",IFERROR(INDEX(parametros!$A$2:$A$6,MATCH(C1566,parametros!$B$2:$B$6,0)),"")="Sim",IFERROR(INDEX(parametros!$H$2:$H$6,MATCH(C1566,parametros!$B$2:$B$6,0)),"")=""),"INICIO_EFEITO ausente: PC "&amp;A1566&amp;" - "&amp;C1566,IF(L1566="","EFEITO_PC nao calculado: PC "&amp;A1566&amp;" - "&amp;C1566,"OK")))))))))</f>
        <v/>
      </c>
      <c r="L1566" s="92" t="str">
        <f>IF(AND(A1566="",B1566="",D1566="",G1566=""),"",IF(OR(B1566="",NOT(ISNUMBER(B1566)),C1566="",C1566="Fora dos ciclos"),"",IF(C1566="C0","Nao",IF(IFERROR(INDEX(parametros!$A$2:$A$6,MATCH(C1566,parametros!$B$2:$B$6,0)),"")&lt;&gt;"Sim","Nao",IF(IFERROR(INDEX(parametros!$H$2:$H$6,MATCH(C1566,parametros!$B$2:$B$6,0)),"")="","",IF(B1566&gt;=IFERROR(INDEX(parametros!$H$2:$H$6,MATCH(C1566,parametros!$B$2:$B$6,0)),""),"Sim","Nao"))))))</f>
        <v/>
      </c>
      <c r="T1566" s="156"/>
      <c r="U1566" s="214" t="str">
        <f t="shared" si="126"/>
        <v/>
      </c>
      <c r="V1566" s="212" t="s">
        <v>50</v>
      </c>
      <c r="W1566" s="100" t="s">
        <v>168</v>
      </c>
      <c r="X1566" s="100" t="s">
        <v>169</v>
      </c>
      <c r="Y1566" s="101" t="s">
        <v>170</v>
      </c>
      <c r="Z1566" s="101" t="s">
        <v>171</v>
      </c>
      <c r="AA1566" s="101" t="s">
        <v>50</v>
      </c>
      <c r="AB1566" s="101" t="s">
        <v>172</v>
      </c>
      <c r="AC1566" s="102" t="s">
        <v>173</v>
      </c>
    </row>
    <row r="1567" spans="1:29" ht="25.5" customHeight="1" x14ac:dyDescent="0.35">
      <c r="A1567" s="392"/>
      <c r="B1567" s="393"/>
      <c r="C1567" s="99" t="str">
        <f>IF(B1567="","",IF(NOT(ISNUMBER(B1567)),"DATA_PC invalida",IF(NOT(ISNUMBER(parametros!$C$2)),"Fora dos ciclos",IF(OR(B1567&lt;parametros!$C$2,(YEAR(B1567)-YEAR(parametros!$C$2))*12+MONTH(B1567)-MONTH(parametros!$C$2)&gt;59),"Fora dos ciclos","C"&amp;INT(((YEAR(B1567)-YEAR(parametros!$C$2))*12+MONTH(B1567)-MONTH(parametros!$C$2))/12)))))</f>
        <v/>
      </c>
      <c r="D1567" s="394"/>
      <c r="E1567" s="78" t="str">
        <f>IF(C1567="","",IFERROR(VLOOKUP(C1567,parametros!$A$11:$E$15,5,0),""))</f>
        <v/>
      </c>
      <c r="F1567" s="79" t="str">
        <f t="shared" si="122"/>
        <v/>
      </c>
      <c r="G1567" s="395"/>
      <c r="H1567" s="91">
        <f t="shared" si="123"/>
        <v>0</v>
      </c>
      <c r="I1567" s="91" t="str">
        <f t="shared" si="124"/>
        <v/>
      </c>
      <c r="J1567" s="91" t="str">
        <f t="shared" si="125"/>
        <v/>
      </c>
      <c r="K1567" s="92" t="str">
        <f>IF(AND(A1567="",B1567="",D1567="",G1567=""),"",IF(AND(A1567&lt;&gt;"",COUNTIF($A$2:$A$5001,A1567)&gt;1),"NUMERO_PC duplicado",IF(B1567="","DATA_PC vazia",IF(NOT(ISNUMBER(B1567)),"DATA_PC invalida",IF(OR(C1567="",C1567="Fora dos ciclos"),"CICLO_PC nao identificado",IF(OR(D1567="",D1567=0),"VALOR_PC vazio ou zero",IF(AND(G1567&lt;&gt;"Sim",G1567&lt;&gt;"Nao",G1567&lt;&gt;""),"PC_PAGO_A_CONTRATADA invalido",IF(AND(C1567&lt;&gt;"C0",IFERROR(INDEX(parametros!$A$2:$A$6,MATCH(C1567,parametros!$B$2:$B$6,0)),"")="Sim",IFERROR(INDEX(parametros!$H$2:$H$6,MATCH(C1567,parametros!$B$2:$B$6,0)),"")=""),"INICIO_EFEITO ausente: PC "&amp;A1567&amp;" - "&amp;C1567,IF(L1567="","EFEITO_PC nao calculado: PC "&amp;A1567&amp;" - "&amp;C1567,"OK")))))))))</f>
        <v/>
      </c>
      <c r="L1567" s="92" t="str">
        <f>IF(AND(A1567="",B1567="",D1567="",G1567=""),"",IF(OR(B1567="",NOT(ISNUMBER(B1567)),C1567="",C1567="Fora dos ciclos"),"",IF(C1567="C0","Nao",IF(IFERROR(INDEX(parametros!$A$2:$A$6,MATCH(C1567,parametros!$B$2:$B$6,0)),"")&lt;&gt;"Sim","Nao",IF(IFERROR(INDEX(parametros!$H$2:$H$6,MATCH(C1567,parametros!$B$2:$B$6,0)),"")="","",IF(B1567&gt;=IFERROR(INDEX(parametros!$H$2:$H$6,MATCH(C1567,parametros!$B$2:$B$6,0)),""),"Sim","Nao"))))))</f>
        <v/>
      </c>
      <c r="T1567" s="156"/>
      <c r="U1567" s="214" t="str">
        <f t="shared" si="126"/>
        <v/>
      </c>
      <c r="V1567" s="212" t="s">
        <v>50</v>
      </c>
      <c r="W1567" s="100" t="s">
        <v>168</v>
      </c>
      <c r="X1567" s="100" t="s">
        <v>169</v>
      </c>
      <c r="Y1567" s="101" t="s">
        <v>170</v>
      </c>
      <c r="Z1567" s="101" t="s">
        <v>171</v>
      </c>
      <c r="AA1567" s="101" t="s">
        <v>50</v>
      </c>
      <c r="AB1567" s="101" t="s">
        <v>172</v>
      </c>
      <c r="AC1567" s="102" t="s">
        <v>173</v>
      </c>
    </row>
    <row r="1568" spans="1:29" ht="25.5" customHeight="1" x14ac:dyDescent="0.35">
      <c r="A1568" s="392"/>
      <c r="B1568" s="393"/>
      <c r="C1568" s="99" t="str">
        <f>IF(B1568="","",IF(NOT(ISNUMBER(B1568)),"DATA_PC invalida",IF(NOT(ISNUMBER(parametros!$C$2)),"Fora dos ciclos",IF(OR(B1568&lt;parametros!$C$2,(YEAR(B1568)-YEAR(parametros!$C$2))*12+MONTH(B1568)-MONTH(parametros!$C$2)&gt;59),"Fora dos ciclos","C"&amp;INT(((YEAR(B1568)-YEAR(parametros!$C$2))*12+MONTH(B1568)-MONTH(parametros!$C$2))/12)))))</f>
        <v/>
      </c>
      <c r="D1568" s="394"/>
      <c r="E1568" s="78" t="str">
        <f>IF(C1568="","",IFERROR(VLOOKUP(C1568,parametros!$A$11:$E$15,5,0),""))</f>
        <v/>
      </c>
      <c r="F1568" s="79" t="str">
        <f t="shared" si="122"/>
        <v/>
      </c>
      <c r="G1568" s="395"/>
      <c r="H1568" s="91">
        <f t="shared" si="123"/>
        <v>0</v>
      </c>
      <c r="I1568" s="91" t="str">
        <f t="shared" si="124"/>
        <v/>
      </c>
      <c r="J1568" s="91" t="str">
        <f t="shared" si="125"/>
        <v/>
      </c>
      <c r="K1568" s="92" t="str">
        <f>IF(AND(A1568="",B1568="",D1568="",G1568=""),"",IF(AND(A1568&lt;&gt;"",COUNTIF($A$2:$A$5001,A1568)&gt;1),"NUMERO_PC duplicado",IF(B1568="","DATA_PC vazia",IF(NOT(ISNUMBER(B1568)),"DATA_PC invalida",IF(OR(C1568="",C1568="Fora dos ciclos"),"CICLO_PC nao identificado",IF(OR(D1568="",D1568=0),"VALOR_PC vazio ou zero",IF(AND(G1568&lt;&gt;"Sim",G1568&lt;&gt;"Nao",G1568&lt;&gt;""),"PC_PAGO_A_CONTRATADA invalido",IF(AND(C1568&lt;&gt;"C0",IFERROR(INDEX(parametros!$A$2:$A$6,MATCH(C1568,parametros!$B$2:$B$6,0)),"")="Sim",IFERROR(INDEX(parametros!$H$2:$H$6,MATCH(C1568,parametros!$B$2:$B$6,0)),"")=""),"INICIO_EFEITO ausente: PC "&amp;A1568&amp;" - "&amp;C1568,IF(L1568="","EFEITO_PC nao calculado: PC "&amp;A1568&amp;" - "&amp;C1568,"OK")))))))))</f>
        <v/>
      </c>
      <c r="L1568" s="92" t="str">
        <f>IF(AND(A1568="",B1568="",D1568="",G1568=""),"",IF(OR(B1568="",NOT(ISNUMBER(B1568)),C1568="",C1568="Fora dos ciclos"),"",IF(C1568="C0","Nao",IF(IFERROR(INDEX(parametros!$A$2:$A$6,MATCH(C1568,parametros!$B$2:$B$6,0)),"")&lt;&gt;"Sim","Nao",IF(IFERROR(INDEX(parametros!$H$2:$H$6,MATCH(C1568,parametros!$B$2:$B$6,0)),"")="","",IF(B1568&gt;=IFERROR(INDEX(parametros!$H$2:$H$6,MATCH(C1568,parametros!$B$2:$B$6,0)),""),"Sim","Nao"))))))</f>
        <v/>
      </c>
      <c r="T1568" s="156"/>
      <c r="U1568" s="214" t="str">
        <f t="shared" si="126"/>
        <v/>
      </c>
      <c r="V1568" s="212" t="s">
        <v>50</v>
      </c>
      <c r="W1568" s="100" t="s">
        <v>168</v>
      </c>
      <c r="X1568" s="100" t="s">
        <v>169</v>
      </c>
      <c r="Y1568" s="101" t="s">
        <v>170</v>
      </c>
      <c r="Z1568" s="101" t="s">
        <v>171</v>
      </c>
      <c r="AA1568" s="101" t="s">
        <v>50</v>
      </c>
      <c r="AB1568" s="101" t="s">
        <v>172</v>
      </c>
      <c r="AC1568" s="102" t="s">
        <v>173</v>
      </c>
    </row>
    <row r="1569" spans="1:29" ht="25.5" customHeight="1" x14ac:dyDescent="0.35">
      <c r="A1569" s="392"/>
      <c r="B1569" s="393"/>
      <c r="C1569" s="99" t="str">
        <f>IF(B1569="","",IF(NOT(ISNUMBER(B1569)),"DATA_PC invalida",IF(NOT(ISNUMBER(parametros!$C$2)),"Fora dos ciclos",IF(OR(B1569&lt;parametros!$C$2,(YEAR(B1569)-YEAR(parametros!$C$2))*12+MONTH(B1569)-MONTH(parametros!$C$2)&gt;59),"Fora dos ciclos","C"&amp;INT(((YEAR(B1569)-YEAR(parametros!$C$2))*12+MONTH(B1569)-MONTH(parametros!$C$2))/12)))))</f>
        <v/>
      </c>
      <c r="D1569" s="394"/>
      <c r="E1569" s="78" t="str">
        <f>IF(C1569="","",IFERROR(VLOOKUP(C1569,parametros!$A$11:$E$15,5,0),""))</f>
        <v/>
      </c>
      <c r="F1569" s="79" t="str">
        <f t="shared" si="122"/>
        <v/>
      </c>
      <c r="G1569" s="395"/>
      <c r="H1569" s="91">
        <f t="shared" si="123"/>
        <v>0</v>
      </c>
      <c r="I1569" s="91" t="str">
        <f t="shared" si="124"/>
        <v/>
      </c>
      <c r="J1569" s="91" t="str">
        <f t="shared" si="125"/>
        <v/>
      </c>
      <c r="K1569" s="92" t="str">
        <f>IF(AND(A1569="",B1569="",D1569="",G1569=""),"",IF(AND(A1569&lt;&gt;"",COUNTIF($A$2:$A$5001,A1569)&gt;1),"NUMERO_PC duplicado",IF(B1569="","DATA_PC vazia",IF(NOT(ISNUMBER(B1569)),"DATA_PC invalida",IF(OR(C1569="",C1569="Fora dos ciclos"),"CICLO_PC nao identificado",IF(OR(D1569="",D1569=0),"VALOR_PC vazio ou zero",IF(AND(G1569&lt;&gt;"Sim",G1569&lt;&gt;"Nao",G1569&lt;&gt;""),"PC_PAGO_A_CONTRATADA invalido",IF(AND(C1569&lt;&gt;"C0",IFERROR(INDEX(parametros!$A$2:$A$6,MATCH(C1569,parametros!$B$2:$B$6,0)),"")="Sim",IFERROR(INDEX(parametros!$H$2:$H$6,MATCH(C1569,parametros!$B$2:$B$6,0)),"")=""),"INICIO_EFEITO ausente: PC "&amp;A1569&amp;" - "&amp;C1569,IF(L1569="","EFEITO_PC nao calculado: PC "&amp;A1569&amp;" - "&amp;C1569,"OK")))))))))</f>
        <v/>
      </c>
      <c r="L1569" s="92" t="str">
        <f>IF(AND(A1569="",B1569="",D1569="",G1569=""),"",IF(OR(B1569="",NOT(ISNUMBER(B1569)),C1569="",C1569="Fora dos ciclos"),"",IF(C1569="C0","Nao",IF(IFERROR(INDEX(parametros!$A$2:$A$6,MATCH(C1569,parametros!$B$2:$B$6,0)),"")&lt;&gt;"Sim","Nao",IF(IFERROR(INDEX(parametros!$H$2:$H$6,MATCH(C1569,parametros!$B$2:$B$6,0)),"")="","",IF(B1569&gt;=IFERROR(INDEX(parametros!$H$2:$H$6,MATCH(C1569,parametros!$B$2:$B$6,0)),""),"Sim","Nao"))))))</f>
        <v/>
      </c>
      <c r="T1569" s="156"/>
      <c r="U1569" s="214" t="str">
        <f t="shared" si="126"/>
        <v/>
      </c>
      <c r="V1569" s="212" t="s">
        <v>50</v>
      </c>
      <c r="W1569" s="100" t="s">
        <v>168</v>
      </c>
      <c r="X1569" s="100" t="s">
        <v>169</v>
      </c>
      <c r="Y1569" s="101" t="s">
        <v>170</v>
      </c>
      <c r="Z1569" s="101" t="s">
        <v>171</v>
      </c>
      <c r="AA1569" s="101" t="s">
        <v>50</v>
      </c>
      <c r="AB1569" s="101" t="s">
        <v>172</v>
      </c>
      <c r="AC1569" s="102" t="s">
        <v>173</v>
      </c>
    </row>
    <row r="1570" spans="1:29" ht="25.5" customHeight="1" x14ac:dyDescent="0.35">
      <c r="A1570" s="392"/>
      <c r="B1570" s="393"/>
      <c r="C1570" s="99" t="str">
        <f>IF(B1570="","",IF(NOT(ISNUMBER(B1570)),"DATA_PC invalida",IF(NOT(ISNUMBER(parametros!$C$2)),"Fora dos ciclos",IF(OR(B1570&lt;parametros!$C$2,(YEAR(B1570)-YEAR(parametros!$C$2))*12+MONTH(B1570)-MONTH(parametros!$C$2)&gt;59),"Fora dos ciclos","C"&amp;INT(((YEAR(B1570)-YEAR(parametros!$C$2))*12+MONTH(B1570)-MONTH(parametros!$C$2))/12)))))</f>
        <v/>
      </c>
      <c r="D1570" s="394"/>
      <c r="E1570" s="78" t="str">
        <f>IF(C1570="","",IFERROR(VLOOKUP(C1570,parametros!$A$11:$E$15,5,0),""))</f>
        <v/>
      </c>
      <c r="F1570" s="79" t="str">
        <f t="shared" si="122"/>
        <v/>
      </c>
      <c r="G1570" s="395"/>
      <c r="H1570" s="91">
        <f t="shared" si="123"/>
        <v>0</v>
      </c>
      <c r="I1570" s="91" t="str">
        <f t="shared" si="124"/>
        <v/>
      </c>
      <c r="J1570" s="91" t="str">
        <f t="shared" si="125"/>
        <v/>
      </c>
      <c r="K1570" s="92" t="str">
        <f>IF(AND(A1570="",B1570="",D1570="",G1570=""),"",IF(AND(A1570&lt;&gt;"",COUNTIF($A$2:$A$5001,A1570)&gt;1),"NUMERO_PC duplicado",IF(B1570="","DATA_PC vazia",IF(NOT(ISNUMBER(B1570)),"DATA_PC invalida",IF(OR(C1570="",C1570="Fora dos ciclos"),"CICLO_PC nao identificado",IF(OR(D1570="",D1570=0),"VALOR_PC vazio ou zero",IF(AND(G1570&lt;&gt;"Sim",G1570&lt;&gt;"Nao",G1570&lt;&gt;""),"PC_PAGO_A_CONTRATADA invalido",IF(AND(C1570&lt;&gt;"C0",IFERROR(INDEX(parametros!$A$2:$A$6,MATCH(C1570,parametros!$B$2:$B$6,0)),"")="Sim",IFERROR(INDEX(parametros!$H$2:$H$6,MATCH(C1570,parametros!$B$2:$B$6,0)),"")=""),"INICIO_EFEITO ausente: PC "&amp;A1570&amp;" - "&amp;C1570,IF(L1570="","EFEITO_PC nao calculado: PC "&amp;A1570&amp;" - "&amp;C1570,"OK")))))))))</f>
        <v/>
      </c>
      <c r="L1570" s="92" t="str">
        <f>IF(AND(A1570="",B1570="",D1570="",G1570=""),"",IF(OR(B1570="",NOT(ISNUMBER(B1570)),C1570="",C1570="Fora dos ciclos"),"",IF(C1570="C0","Nao",IF(IFERROR(INDEX(parametros!$A$2:$A$6,MATCH(C1570,parametros!$B$2:$B$6,0)),"")&lt;&gt;"Sim","Nao",IF(IFERROR(INDEX(parametros!$H$2:$H$6,MATCH(C1570,parametros!$B$2:$B$6,0)),"")="","",IF(B1570&gt;=IFERROR(INDEX(parametros!$H$2:$H$6,MATCH(C1570,parametros!$B$2:$B$6,0)),""),"Sim","Nao"))))))</f>
        <v/>
      </c>
      <c r="T1570" s="156"/>
      <c r="U1570" s="214" t="str">
        <f t="shared" si="126"/>
        <v/>
      </c>
      <c r="V1570" s="212" t="s">
        <v>50</v>
      </c>
      <c r="W1570" s="100" t="s">
        <v>168</v>
      </c>
      <c r="X1570" s="100" t="s">
        <v>169</v>
      </c>
      <c r="Y1570" s="101" t="s">
        <v>170</v>
      </c>
      <c r="Z1570" s="101" t="s">
        <v>171</v>
      </c>
      <c r="AA1570" s="101" t="s">
        <v>50</v>
      </c>
      <c r="AB1570" s="101" t="s">
        <v>172</v>
      </c>
      <c r="AC1570" s="102" t="s">
        <v>173</v>
      </c>
    </row>
    <row r="1571" spans="1:29" ht="25.5" customHeight="1" x14ac:dyDescent="0.35">
      <c r="A1571" s="392"/>
      <c r="B1571" s="393"/>
      <c r="C1571" s="99" t="str">
        <f>IF(B1571="","",IF(NOT(ISNUMBER(B1571)),"DATA_PC invalida",IF(NOT(ISNUMBER(parametros!$C$2)),"Fora dos ciclos",IF(OR(B1571&lt;parametros!$C$2,(YEAR(B1571)-YEAR(parametros!$C$2))*12+MONTH(B1571)-MONTH(parametros!$C$2)&gt;59),"Fora dos ciclos","C"&amp;INT(((YEAR(B1571)-YEAR(parametros!$C$2))*12+MONTH(B1571)-MONTH(parametros!$C$2))/12)))))</f>
        <v/>
      </c>
      <c r="D1571" s="394"/>
      <c r="E1571" s="78" t="str">
        <f>IF(C1571="","",IFERROR(VLOOKUP(C1571,parametros!$A$11:$E$15,5,0),""))</f>
        <v/>
      </c>
      <c r="F1571" s="79" t="str">
        <f t="shared" si="122"/>
        <v/>
      </c>
      <c r="G1571" s="395"/>
      <c r="H1571" s="91">
        <f t="shared" si="123"/>
        <v>0</v>
      </c>
      <c r="I1571" s="91" t="str">
        <f t="shared" si="124"/>
        <v/>
      </c>
      <c r="J1571" s="91" t="str">
        <f t="shared" si="125"/>
        <v/>
      </c>
      <c r="K1571" s="92" t="str">
        <f>IF(AND(A1571="",B1571="",D1571="",G1571=""),"",IF(AND(A1571&lt;&gt;"",COUNTIF($A$2:$A$5001,A1571)&gt;1),"NUMERO_PC duplicado",IF(B1571="","DATA_PC vazia",IF(NOT(ISNUMBER(B1571)),"DATA_PC invalida",IF(OR(C1571="",C1571="Fora dos ciclos"),"CICLO_PC nao identificado",IF(OR(D1571="",D1571=0),"VALOR_PC vazio ou zero",IF(AND(G1571&lt;&gt;"Sim",G1571&lt;&gt;"Nao",G1571&lt;&gt;""),"PC_PAGO_A_CONTRATADA invalido",IF(AND(C1571&lt;&gt;"C0",IFERROR(INDEX(parametros!$A$2:$A$6,MATCH(C1571,parametros!$B$2:$B$6,0)),"")="Sim",IFERROR(INDEX(parametros!$H$2:$H$6,MATCH(C1571,parametros!$B$2:$B$6,0)),"")=""),"INICIO_EFEITO ausente: PC "&amp;A1571&amp;" - "&amp;C1571,IF(L1571="","EFEITO_PC nao calculado: PC "&amp;A1571&amp;" - "&amp;C1571,"OK")))))))))</f>
        <v/>
      </c>
      <c r="L1571" s="92" t="str">
        <f>IF(AND(A1571="",B1571="",D1571="",G1571=""),"",IF(OR(B1571="",NOT(ISNUMBER(B1571)),C1571="",C1571="Fora dos ciclos"),"",IF(C1571="C0","Nao",IF(IFERROR(INDEX(parametros!$A$2:$A$6,MATCH(C1571,parametros!$B$2:$B$6,0)),"")&lt;&gt;"Sim","Nao",IF(IFERROR(INDEX(parametros!$H$2:$H$6,MATCH(C1571,parametros!$B$2:$B$6,0)),"")="","",IF(B1571&gt;=IFERROR(INDEX(parametros!$H$2:$H$6,MATCH(C1571,parametros!$B$2:$B$6,0)),""),"Sim","Nao"))))))</f>
        <v/>
      </c>
      <c r="T1571" s="156"/>
      <c r="U1571" s="214" t="str">
        <f t="shared" si="126"/>
        <v/>
      </c>
      <c r="V1571" s="212" t="s">
        <v>50</v>
      </c>
      <c r="W1571" s="100" t="s">
        <v>168</v>
      </c>
      <c r="X1571" s="100" t="s">
        <v>169</v>
      </c>
      <c r="Y1571" s="101" t="s">
        <v>170</v>
      </c>
      <c r="Z1571" s="101" t="s">
        <v>171</v>
      </c>
      <c r="AA1571" s="101" t="s">
        <v>50</v>
      </c>
      <c r="AB1571" s="101" t="s">
        <v>172</v>
      </c>
      <c r="AC1571" s="102" t="s">
        <v>173</v>
      </c>
    </row>
    <row r="1572" spans="1:29" ht="25.5" customHeight="1" x14ac:dyDescent="0.35">
      <c r="A1572" s="392"/>
      <c r="B1572" s="393"/>
      <c r="C1572" s="99" t="str">
        <f>IF(B1572="","",IF(NOT(ISNUMBER(B1572)),"DATA_PC invalida",IF(NOT(ISNUMBER(parametros!$C$2)),"Fora dos ciclos",IF(OR(B1572&lt;parametros!$C$2,(YEAR(B1572)-YEAR(parametros!$C$2))*12+MONTH(B1572)-MONTH(parametros!$C$2)&gt;59),"Fora dos ciclos","C"&amp;INT(((YEAR(B1572)-YEAR(parametros!$C$2))*12+MONTH(B1572)-MONTH(parametros!$C$2))/12)))))</f>
        <v/>
      </c>
      <c r="D1572" s="394"/>
      <c r="E1572" s="78" t="str">
        <f>IF(C1572="","",IFERROR(VLOOKUP(C1572,parametros!$A$11:$E$15,5,0),""))</f>
        <v/>
      </c>
      <c r="F1572" s="79" t="str">
        <f t="shared" si="122"/>
        <v/>
      </c>
      <c r="G1572" s="395"/>
      <c r="H1572" s="91">
        <f t="shared" si="123"/>
        <v>0</v>
      </c>
      <c r="I1572" s="91" t="str">
        <f t="shared" si="124"/>
        <v/>
      </c>
      <c r="J1572" s="91" t="str">
        <f t="shared" si="125"/>
        <v/>
      </c>
      <c r="K1572" s="92" t="str">
        <f>IF(AND(A1572="",B1572="",D1572="",G1572=""),"",IF(AND(A1572&lt;&gt;"",COUNTIF($A$2:$A$5001,A1572)&gt;1),"NUMERO_PC duplicado",IF(B1572="","DATA_PC vazia",IF(NOT(ISNUMBER(B1572)),"DATA_PC invalida",IF(OR(C1572="",C1572="Fora dos ciclos"),"CICLO_PC nao identificado",IF(OR(D1572="",D1572=0),"VALOR_PC vazio ou zero",IF(AND(G1572&lt;&gt;"Sim",G1572&lt;&gt;"Nao",G1572&lt;&gt;""),"PC_PAGO_A_CONTRATADA invalido",IF(AND(C1572&lt;&gt;"C0",IFERROR(INDEX(parametros!$A$2:$A$6,MATCH(C1572,parametros!$B$2:$B$6,0)),"")="Sim",IFERROR(INDEX(parametros!$H$2:$H$6,MATCH(C1572,parametros!$B$2:$B$6,0)),"")=""),"INICIO_EFEITO ausente: PC "&amp;A1572&amp;" - "&amp;C1572,IF(L1572="","EFEITO_PC nao calculado: PC "&amp;A1572&amp;" - "&amp;C1572,"OK")))))))))</f>
        <v/>
      </c>
      <c r="L1572" s="92" t="str">
        <f>IF(AND(A1572="",B1572="",D1572="",G1572=""),"",IF(OR(B1572="",NOT(ISNUMBER(B1572)),C1572="",C1572="Fora dos ciclos"),"",IF(C1572="C0","Nao",IF(IFERROR(INDEX(parametros!$A$2:$A$6,MATCH(C1572,parametros!$B$2:$B$6,0)),"")&lt;&gt;"Sim","Nao",IF(IFERROR(INDEX(parametros!$H$2:$H$6,MATCH(C1572,parametros!$B$2:$B$6,0)),"")="","",IF(B1572&gt;=IFERROR(INDEX(parametros!$H$2:$H$6,MATCH(C1572,parametros!$B$2:$B$6,0)),""),"Sim","Nao"))))))</f>
        <v/>
      </c>
      <c r="T1572" s="156"/>
      <c r="U1572" s="214" t="str">
        <f t="shared" si="126"/>
        <v/>
      </c>
      <c r="V1572" s="212" t="s">
        <v>50</v>
      </c>
      <c r="W1572" s="100" t="s">
        <v>168</v>
      </c>
      <c r="X1572" s="100" t="s">
        <v>169</v>
      </c>
      <c r="Y1572" s="101" t="s">
        <v>170</v>
      </c>
      <c r="Z1572" s="101" t="s">
        <v>171</v>
      </c>
      <c r="AA1572" s="101" t="s">
        <v>50</v>
      </c>
      <c r="AB1572" s="101" t="s">
        <v>172</v>
      </c>
      <c r="AC1572" s="102" t="s">
        <v>173</v>
      </c>
    </row>
    <row r="1573" spans="1:29" ht="25.5" customHeight="1" x14ac:dyDescent="0.35">
      <c r="A1573" s="392"/>
      <c r="B1573" s="393"/>
      <c r="C1573" s="99" t="str">
        <f>IF(B1573="","",IF(NOT(ISNUMBER(B1573)),"DATA_PC invalida",IF(NOT(ISNUMBER(parametros!$C$2)),"Fora dos ciclos",IF(OR(B1573&lt;parametros!$C$2,(YEAR(B1573)-YEAR(parametros!$C$2))*12+MONTH(B1573)-MONTH(parametros!$C$2)&gt;59),"Fora dos ciclos","C"&amp;INT(((YEAR(B1573)-YEAR(parametros!$C$2))*12+MONTH(B1573)-MONTH(parametros!$C$2))/12)))))</f>
        <v/>
      </c>
      <c r="D1573" s="394"/>
      <c r="E1573" s="78" t="str">
        <f>IF(C1573="","",IFERROR(VLOOKUP(C1573,parametros!$A$11:$E$15,5,0),""))</f>
        <v/>
      </c>
      <c r="F1573" s="79" t="str">
        <f t="shared" si="122"/>
        <v/>
      </c>
      <c r="G1573" s="395"/>
      <c r="H1573" s="91">
        <f t="shared" si="123"/>
        <v>0</v>
      </c>
      <c r="I1573" s="91" t="str">
        <f t="shared" si="124"/>
        <v/>
      </c>
      <c r="J1573" s="91" t="str">
        <f t="shared" si="125"/>
        <v/>
      </c>
      <c r="K1573" s="92" t="str">
        <f>IF(AND(A1573="",B1573="",D1573="",G1573=""),"",IF(AND(A1573&lt;&gt;"",COUNTIF($A$2:$A$5001,A1573)&gt;1),"NUMERO_PC duplicado",IF(B1573="","DATA_PC vazia",IF(NOT(ISNUMBER(B1573)),"DATA_PC invalida",IF(OR(C1573="",C1573="Fora dos ciclos"),"CICLO_PC nao identificado",IF(OR(D1573="",D1573=0),"VALOR_PC vazio ou zero",IF(AND(G1573&lt;&gt;"Sim",G1573&lt;&gt;"Nao",G1573&lt;&gt;""),"PC_PAGO_A_CONTRATADA invalido",IF(AND(C1573&lt;&gt;"C0",IFERROR(INDEX(parametros!$A$2:$A$6,MATCH(C1573,parametros!$B$2:$B$6,0)),"")="Sim",IFERROR(INDEX(parametros!$H$2:$H$6,MATCH(C1573,parametros!$B$2:$B$6,0)),"")=""),"INICIO_EFEITO ausente: PC "&amp;A1573&amp;" - "&amp;C1573,IF(L1573="","EFEITO_PC nao calculado: PC "&amp;A1573&amp;" - "&amp;C1573,"OK")))))))))</f>
        <v/>
      </c>
      <c r="L1573" s="92" t="str">
        <f>IF(AND(A1573="",B1573="",D1573="",G1573=""),"",IF(OR(B1573="",NOT(ISNUMBER(B1573)),C1573="",C1573="Fora dos ciclos"),"",IF(C1573="C0","Nao",IF(IFERROR(INDEX(parametros!$A$2:$A$6,MATCH(C1573,parametros!$B$2:$B$6,0)),"")&lt;&gt;"Sim","Nao",IF(IFERROR(INDEX(parametros!$H$2:$H$6,MATCH(C1573,parametros!$B$2:$B$6,0)),"")="","",IF(B1573&gt;=IFERROR(INDEX(parametros!$H$2:$H$6,MATCH(C1573,parametros!$B$2:$B$6,0)),""),"Sim","Nao"))))))</f>
        <v/>
      </c>
      <c r="T1573" s="156"/>
      <c r="U1573" s="214" t="str">
        <f t="shared" si="126"/>
        <v/>
      </c>
      <c r="V1573" s="212" t="s">
        <v>50</v>
      </c>
      <c r="W1573" s="100" t="s">
        <v>168</v>
      </c>
      <c r="X1573" s="100" t="s">
        <v>169</v>
      </c>
      <c r="Y1573" s="101" t="s">
        <v>170</v>
      </c>
      <c r="Z1573" s="101" t="s">
        <v>171</v>
      </c>
      <c r="AA1573" s="101" t="s">
        <v>50</v>
      </c>
      <c r="AB1573" s="101" t="s">
        <v>172</v>
      </c>
      <c r="AC1573" s="102" t="s">
        <v>173</v>
      </c>
    </row>
    <row r="1574" spans="1:29" ht="25.5" customHeight="1" x14ac:dyDescent="0.35">
      <c r="A1574" s="392"/>
      <c r="B1574" s="393"/>
      <c r="C1574" s="99" t="str">
        <f>IF(B1574="","",IF(NOT(ISNUMBER(B1574)),"DATA_PC invalida",IF(NOT(ISNUMBER(parametros!$C$2)),"Fora dos ciclos",IF(OR(B1574&lt;parametros!$C$2,(YEAR(B1574)-YEAR(parametros!$C$2))*12+MONTH(B1574)-MONTH(parametros!$C$2)&gt;59),"Fora dos ciclos","C"&amp;INT(((YEAR(B1574)-YEAR(parametros!$C$2))*12+MONTH(B1574)-MONTH(parametros!$C$2))/12)))))</f>
        <v/>
      </c>
      <c r="D1574" s="394"/>
      <c r="E1574" s="78" t="str">
        <f>IF(C1574="","",IFERROR(VLOOKUP(C1574,parametros!$A$11:$E$15,5,0),""))</f>
        <v/>
      </c>
      <c r="F1574" s="79" t="str">
        <f t="shared" si="122"/>
        <v/>
      </c>
      <c r="G1574" s="395"/>
      <c r="H1574" s="91">
        <f t="shared" si="123"/>
        <v>0</v>
      </c>
      <c r="I1574" s="91" t="str">
        <f t="shared" si="124"/>
        <v/>
      </c>
      <c r="J1574" s="91" t="str">
        <f t="shared" si="125"/>
        <v/>
      </c>
      <c r="K1574" s="92" t="str">
        <f>IF(AND(A1574="",B1574="",D1574="",G1574=""),"",IF(AND(A1574&lt;&gt;"",COUNTIF($A$2:$A$5001,A1574)&gt;1),"NUMERO_PC duplicado",IF(B1574="","DATA_PC vazia",IF(NOT(ISNUMBER(B1574)),"DATA_PC invalida",IF(OR(C1574="",C1574="Fora dos ciclos"),"CICLO_PC nao identificado",IF(OR(D1574="",D1574=0),"VALOR_PC vazio ou zero",IF(AND(G1574&lt;&gt;"Sim",G1574&lt;&gt;"Nao",G1574&lt;&gt;""),"PC_PAGO_A_CONTRATADA invalido",IF(AND(C1574&lt;&gt;"C0",IFERROR(INDEX(parametros!$A$2:$A$6,MATCH(C1574,parametros!$B$2:$B$6,0)),"")="Sim",IFERROR(INDEX(parametros!$H$2:$H$6,MATCH(C1574,parametros!$B$2:$B$6,0)),"")=""),"INICIO_EFEITO ausente: PC "&amp;A1574&amp;" - "&amp;C1574,IF(L1574="","EFEITO_PC nao calculado: PC "&amp;A1574&amp;" - "&amp;C1574,"OK")))))))))</f>
        <v/>
      </c>
      <c r="L1574" s="92" t="str">
        <f>IF(AND(A1574="",B1574="",D1574="",G1574=""),"",IF(OR(B1574="",NOT(ISNUMBER(B1574)),C1574="",C1574="Fora dos ciclos"),"",IF(C1574="C0","Nao",IF(IFERROR(INDEX(parametros!$A$2:$A$6,MATCH(C1574,parametros!$B$2:$B$6,0)),"")&lt;&gt;"Sim","Nao",IF(IFERROR(INDEX(parametros!$H$2:$H$6,MATCH(C1574,parametros!$B$2:$B$6,0)),"")="","",IF(B1574&gt;=IFERROR(INDEX(parametros!$H$2:$H$6,MATCH(C1574,parametros!$B$2:$B$6,0)),""),"Sim","Nao"))))))</f>
        <v/>
      </c>
      <c r="T1574" s="156"/>
      <c r="U1574" s="214" t="str">
        <f t="shared" si="126"/>
        <v/>
      </c>
      <c r="V1574" s="212" t="s">
        <v>50</v>
      </c>
      <c r="W1574" s="100" t="s">
        <v>168</v>
      </c>
      <c r="X1574" s="100" t="s">
        <v>169</v>
      </c>
      <c r="Y1574" s="101" t="s">
        <v>170</v>
      </c>
      <c r="Z1574" s="101" t="s">
        <v>171</v>
      </c>
      <c r="AA1574" s="101" t="s">
        <v>50</v>
      </c>
      <c r="AB1574" s="101" t="s">
        <v>172</v>
      </c>
      <c r="AC1574" s="102" t="s">
        <v>173</v>
      </c>
    </row>
    <row r="1575" spans="1:29" ht="25.5" customHeight="1" x14ac:dyDescent="0.35">
      <c r="A1575" s="392"/>
      <c r="B1575" s="393"/>
      <c r="C1575" s="99" t="str">
        <f>IF(B1575="","",IF(NOT(ISNUMBER(B1575)),"DATA_PC invalida",IF(NOT(ISNUMBER(parametros!$C$2)),"Fora dos ciclos",IF(OR(B1575&lt;parametros!$C$2,(YEAR(B1575)-YEAR(parametros!$C$2))*12+MONTH(B1575)-MONTH(parametros!$C$2)&gt;59),"Fora dos ciclos","C"&amp;INT(((YEAR(B1575)-YEAR(parametros!$C$2))*12+MONTH(B1575)-MONTH(parametros!$C$2))/12)))))</f>
        <v/>
      </c>
      <c r="D1575" s="394"/>
      <c r="E1575" s="78" t="str">
        <f>IF(C1575="","",IFERROR(VLOOKUP(C1575,parametros!$A$11:$E$15,5,0),""))</f>
        <v/>
      </c>
      <c r="F1575" s="79" t="str">
        <f t="shared" si="122"/>
        <v/>
      </c>
      <c r="G1575" s="395"/>
      <c r="H1575" s="91">
        <f t="shared" si="123"/>
        <v>0</v>
      </c>
      <c r="I1575" s="91" t="str">
        <f t="shared" si="124"/>
        <v/>
      </c>
      <c r="J1575" s="91" t="str">
        <f t="shared" si="125"/>
        <v/>
      </c>
      <c r="K1575" s="92" t="str">
        <f>IF(AND(A1575="",B1575="",D1575="",G1575=""),"",IF(AND(A1575&lt;&gt;"",COUNTIF($A$2:$A$5001,A1575)&gt;1),"NUMERO_PC duplicado",IF(B1575="","DATA_PC vazia",IF(NOT(ISNUMBER(B1575)),"DATA_PC invalida",IF(OR(C1575="",C1575="Fora dos ciclos"),"CICLO_PC nao identificado",IF(OR(D1575="",D1575=0),"VALOR_PC vazio ou zero",IF(AND(G1575&lt;&gt;"Sim",G1575&lt;&gt;"Nao",G1575&lt;&gt;""),"PC_PAGO_A_CONTRATADA invalido",IF(AND(C1575&lt;&gt;"C0",IFERROR(INDEX(parametros!$A$2:$A$6,MATCH(C1575,parametros!$B$2:$B$6,0)),"")="Sim",IFERROR(INDEX(parametros!$H$2:$H$6,MATCH(C1575,parametros!$B$2:$B$6,0)),"")=""),"INICIO_EFEITO ausente: PC "&amp;A1575&amp;" - "&amp;C1575,IF(L1575="","EFEITO_PC nao calculado: PC "&amp;A1575&amp;" - "&amp;C1575,"OK")))))))))</f>
        <v/>
      </c>
      <c r="L1575" s="92" t="str">
        <f>IF(AND(A1575="",B1575="",D1575="",G1575=""),"",IF(OR(B1575="",NOT(ISNUMBER(B1575)),C1575="",C1575="Fora dos ciclos"),"",IF(C1575="C0","Nao",IF(IFERROR(INDEX(parametros!$A$2:$A$6,MATCH(C1575,parametros!$B$2:$B$6,0)),"")&lt;&gt;"Sim","Nao",IF(IFERROR(INDEX(parametros!$H$2:$H$6,MATCH(C1575,parametros!$B$2:$B$6,0)),"")="","",IF(B1575&gt;=IFERROR(INDEX(parametros!$H$2:$H$6,MATCH(C1575,parametros!$B$2:$B$6,0)),""),"Sim","Nao"))))))</f>
        <v/>
      </c>
      <c r="T1575" s="156"/>
      <c r="U1575" s="214" t="str">
        <f t="shared" si="126"/>
        <v/>
      </c>
      <c r="V1575" s="212" t="s">
        <v>50</v>
      </c>
      <c r="W1575" s="100" t="s">
        <v>168</v>
      </c>
      <c r="X1575" s="100" t="s">
        <v>169</v>
      </c>
      <c r="Y1575" s="101" t="s">
        <v>170</v>
      </c>
      <c r="Z1575" s="101" t="s">
        <v>171</v>
      </c>
      <c r="AA1575" s="101" t="s">
        <v>50</v>
      </c>
      <c r="AB1575" s="101" t="s">
        <v>172</v>
      </c>
      <c r="AC1575" s="102" t="s">
        <v>173</v>
      </c>
    </row>
    <row r="1576" spans="1:29" ht="25.5" customHeight="1" x14ac:dyDescent="0.35">
      <c r="A1576" s="392"/>
      <c r="B1576" s="393"/>
      <c r="C1576" s="99" t="str">
        <f>IF(B1576="","",IF(NOT(ISNUMBER(B1576)),"DATA_PC invalida",IF(NOT(ISNUMBER(parametros!$C$2)),"Fora dos ciclos",IF(OR(B1576&lt;parametros!$C$2,(YEAR(B1576)-YEAR(parametros!$C$2))*12+MONTH(B1576)-MONTH(parametros!$C$2)&gt;59),"Fora dos ciclos","C"&amp;INT(((YEAR(B1576)-YEAR(parametros!$C$2))*12+MONTH(B1576)-MONTH(parametros!$C$2))/12)))))</f>
        <v/>
      </c>
      <c r="D1576" s="394"/>
      <c r="E1576" s="78" t="str">
        <f>IF(C1576="","",IFERROR(VLOOKUP(C1576,parametros!$A$11:$E$15,5,0),""))</f>
        <v/>
      </c>
      <c r="F1576" s="79" t="str">
        <f t="shared" si="122"/>
        <v/>
      </c>
      <c r="G1576" s="395"/>
      <c r="H1576" s="91">
        <f t="shared" si="123"/>
        <v>0</v>
      </c>
      <c r="I1576" s="91" t="str">
        <f t="shared" si="124"/>
        <v/>
      </c>
      <c r="J1576" s="91" t="str">
        <f t="shared" si="125"/>
        <v/>
      </c>
      <c r="K1576" s="92" t="str">
        <f>IF(AND(A1576="",B1576="",D1576="",G1576=""),"",IF(AND(A1576&lt;&gt;"",COUNTIF($A$2:$A$5001,A1576)&gt;1),"NUMERO_PC duplicado",IF(B1576="","DATA_PC vazia",IF(NOT(ISNUMBER(B1576)),"DATA_PC invalida",IF(OR(C1576="",C1576="Fora dos ciclos"),"CICLO_PC nao identificado",IF(OR(D1576="",D1576=0),"VALOR_PC vazio ou zero",IF(AND(G1576&lt;&gt;"Sim",G1576&lt;&gt;"Nao",G1576&lt;&gt;""),"PC_PAGO_A_CONTRATADA invalido",IF(AND(C1576&lt;&gt;"C0",IFERROR(INDEX(parametros!$A$2:$A$6,MATCH(C1576,parametros!$B$2:$B$6,0)),"")="Sim",IFERROR(INDEX(parametros!$H$2:$H$6,MATCH(C1576,parametros!$B$2:$B$6,0)),"")=""),"INICIO_EFEITO ausente: PC "&amp;A1576&amp;" - "&amp;C1576,IF(L1576="","EFEITO_PC nao calculado: PC "&amp;A1576&amp;" - "&amp;C1576,"OK")))))))))</f>
        <v/>
      </c>
      <c r="L1576" s="92" t="str">
        <f>IF(AND(A1576="",B1576="",D1576="",G1576=""),"",IF(OR(B1576="",NOT(ISNUMBER(B1576)),C1576="",C1576="Fora dos ciclos"),"",IF(C1576="C0","Nao",IF(IFERROR(INDEX(parametros!$A$2:$A$6,MATCH(C1576,parametros!$B$2:$B$6,0)),"")&lt;&gt;"Sim","Nao",IF(IFERROR(INDEX(parametros!$H$2:$H$6,MATCH(C1576,parametros!$B$2:$B$6,0)),"")="","",IF(B1576&gt;=IFERROR(INDEX(parametros!$H$2:$H$6,MATCH(C1576,parametros!$B$2:$B$6,0)),""),"Sim","Nao"))))))</f>
        <v/>
      </c>
      <c r="T1576" s="156"/>
      <c r="U1576" s="214" t="str">
        <f t="shared" si="126"/>
        <v/>
      </c>
      <c r="V1576" s="212" t="s">
        <v>50</v>
      </c>
      <c r="W1576" s="100" t="s">
        <v>168</v>
      </c>
      <c r="X1576" s="100" t="s">
        <v>169</v>
      </c>
      <c r="Y1576" s="101" t="s">
        <v>170</v>
      </c>
      <c r="Z1576" s="101" t="s">
        <v>171</v>
      </c>
      <c r="AA1576" s="101" t="s">
        <v>50</v>
      </c>
      <c r="AB1576" s="101" t="s">
        <v>172</v>
      </c>
      <c r="AC1576" s="102" t="s">
        <v>173</v>
      </c>
    </row>
    <row r="1577" spans="1:29" ht="25.5" customHeight="1" x14ac:dyDescent="0.35">
      <c r="A1577" s="392"/>
      <c r="B1577" s="393"/>
      <c r="C1577" s="99" t="str">
        <f>IF(B1577="","",IF(NOT(ISNUMBER(B1577)),"DATA_PC invalida",IF(NOT(ISNUMBER(parametros!$C$2)),"Fora dos ciclos",IF(OR(B1577&lt;parametros!$C$2,(YEAR(B1577)-YEAR(parametros!$C$2))*12+MONTH(B1577)-MONTH(parametros!$C$2)&gt;59),"Fora dos ciclos","C"&amp;INT(((YEAR(B1577)-YEAR(parametros!$C$2))*12+MONTH(B1577)-MONTH(parametros!$C$2))/12)))))</f>
        <v/>
      </c>
      <c r="D1577" s="394"/>
      <c r="E1577" s="78" t="str">
        <f>IF(C1577="","",IFERROR(VLOOKUP(C1577,parametros!$A$11:$E$15,5,0),""))</f>
        <v/>
      </c>
      <c r="F1577" s="79" t="str">
        <f t="shared" si="122"/>
        <v/>
      </c>
      <c r="G1577" s="395"/>
      <c r="H1577" s="91">
        <f t="shared" si="123"/>
        <v>0</v>
      </c>
      <c r="I1577" s="91" t="str">
        <f t="shared" si="124"/>
        <v/>
      </c>
      <c r="J1577" s="91" t="str">
        <f t="shared" si="125"/>
        <v/>
      </c>
      <c r="K1577" s="92" t="str">
        <f>IF(AND(A1577="",B1577="",D1577="",G1577=""),"",IF(AND(A1577&lt;&gt;"",COUNTIF($A$2:$A$5001,A1577)&gt;1),"NUMERO_PC duplicado",IF(B1577="","DATA_PC vazia",IF(NOT(ISNUMBER(B1577)),"DATA_PC invalida",IF(OR(C1577="",C1577="Fora dos ciclos"),"CICLO_PC nao identificado",IF(OR(D1577="",D1577=0),"VALOR_PC vazio ou zero",IF(AND(G1577&lt;&gt;"Sim",G1577&lt;&gt;"Nao",G1577&lt;&gt;""),"PC_PAGO_A_CONTRATADA invalido",IF(AND(C1577&lt;&gt;"C0",IFERROR(INDEX(parametros!$A$2:$A$6,MATCH(C1577,parametros!$B$2:$B$6,0)),"")="Sim",IFERROR(INDEX(parametros!$H$2:$H$6,MATCH(C1577,parametros!$B$2:$B$6,0)),"")=""),"INICIO_EFEITO ausente: PC "&amp;A1577&amp;" - "&amp;C1577,IF(L1577="","EFEITO_PC nao calculado: PC "&amp;A1577&amp;" - "&amp;C1577,"OK")))))))))</f>
        <v/>
      </c>
      <c r="L1577" s="92" t="str">
        <f>IF(AND(A1577="",B1577="",D1577="",G1577=""),"",IF(OR(B1577="",NOT(ISNUMBER(B1577)),C1577="",C1577="Fora dos ciclos"),"",IF(C1577="C0","Nao",IF(IFERROR(INDEX(parametros!$A$2:$A$6,MATCH(C1577,parametros!$B$2:$B$6,0)),"")&lt;&gt;"Sim","Nao",IF(IFERROR(INDEX(parametros!$H$2:$H$6,MATCH(C1577,parametros!$B$2:$B$6,0)),"")="","",IF(B1577&gt;=IFERROR(INDEX(parametros!$H$2:$H$6,MATCH(C1577,parametros!$B$2:$B$6,0)),""),"Sim","Nao"))))))</f>
        <v/>
      </c>
      <c r="T1577" s="156"/>
      <c r="U1577" s="214" t="str">
        <f t="shared" si="126"/>
        <v/>
      </c>
      <c r="V1577" s="212" t="s">
        <v>50</v>
      </c>
      <c r="W1577" s="100" t="s">
        <v>168</v>
      </c>
      <c r="X1577" s="100" t="s">
        <v>169</v>
      </c>
      <c r="Y1577" s="101" t="s">
        <v>170</v>
      </c>
      <c r="Z1577" s="101" t="s">
        <v>171</v>
      </c>
      <c r="AA1577" s="101" t="s">
        <v>50</v>
      </c>
      <c r="AB1577" s="101" t="s">
        <v>172</v>
      </c>
      <c r="AC1577" s="102" t="s">
        <v>173</v>
      </c>
    </row>
    <row r="1578" spans="1:29" ht="25.5" customHeight="1" x14ac:dyDescent="0.35">
      <c r="A1578" s="392"/>
      <c r="B1578" s="393"/>
      <c r="C1578" s="99" t="str">
        <f>IF(B1578="","",IF(NOT(ISNUMBER(B1578)),"DATA_PC invalida",IF(NOT(ISNUMBER(parametros!$C$2)),"Fora dos ciclos",IF(OR(B1578&lt;parametros!$C$2,(YEAR(B1578)-YEAR(parametros!$C$2))*12+MONTH(B1578)-MONTH(parametros!$C$2)&gt;59),"Fora dos ciclos","C"&amp;INT(((YEAR(B1578)-YEAR(parametros!$C$2))*12+MONTH(B1578)-MONTH(parametros!$C$2))/12)))))</f>
        <v/>
      </c>
      <c r="D1578" s="394"/>
      <c r="E1578" s="78" t="str">
        <f>IF(C1578="","",IFERROR(VLOOKUP(C1578,parametros!$A$11:$E$15,5,0),""))</f>
        <v/>
      </c>
      <c r="F1578" s="79" t="str">
        <f t="shared" si="122"/>
        <v/>
      </c>
      <c r="G1578" s="395"/>
      <c r="H1578" s="91">
        <f t="shared" si="123"/>
        <v>0</v>
      </c>
      <c r="I1578" s="91" t="str">
        <f t="shared" si="124"/>
        <v/>
      </c>
      <c r="J1578" s="91" t="str">
        <f t="shared" si="125"/>
        <v/>
      </c>
      <c r="K1578" s="92" t="str">
        <f>IF(AND(A1578="",B1578="",D1578="",G1578=""),"",IF(AND(A1578&lt;&gt;"",COUNTIF($A$2:$A$5001,A1578)&gt;1),"NUMERO_PC duplicado",IF(B1578="","DATA_PC vazia",IF(NOT(ISNUMBER(B1578)),"DATA_PC invalida",IF(OR(C1578="",C1578="Fora dos ciclos"),"CICLO_PC nao identificado",IF(OR(D1578="",D1578=0),"VALOR_PC vazio ou zero",IF(AND(G1578&lt;&gt;"Sim",G1578&lt;&gt;"Nao",G1578&lt;&gt;""),"PC_PAGO_A_CONTRATADA invalido",IF(AND(C1578&lt;&gt;"C0",IFERROR(INDEX(parametros!$A$2:$A$6,MATCH(C1578,parametros!$B$2:$B$6,0)),"")="Sim",IFERROR(INDEX(parametros!$H$2:$H$6,MATCH(C1578,parametros!$B$2:$B$6,0)),"")=""),"INICIO_EFEITO ausente: PC "&amp;A1578&amp;" - "&amp;C1578,IF(L1578="","EFEITO_PC nao calculado: PC "&amp;A1578&amp;" - "&amp;C1578,"OK")))))))))</f>
        <v/>
      </c>
      <c r="L1578" s="92" t="str">
        <f>IF(AND(A1578="",B1578="",D1578="",G1578=""),"",IF(OR(B1578="",NOT(ISNUMBER(B1578)),C1578="",C1578="Fora dos ciclos"),"",IF(C1578="C0","Nao",IF(IFERROR(INDEX(parametros!$A$2:$A$6,MATCH(C1578,parametros!$B$2:$B$6,0)),"")&lt;&gt;"Sim","Nao",IF(IFERROR(INDEX(parametros!$H$2:$H$6,MATCH(C1578,parametros!$B$2:$B$6,0)),"")="","",IF(B1578&gt;=IFERROR(INDEX(parametros!$H$2:$H$6,MATCH(C1578,parametros!$B$2:$B$6,0)),""),"Sim","Nao"))))))</f>
        <v/>
      </c>
      <c r="T1578" s="156"/>
      <c r="U1578" s="214" t="str">
        <f t="shared" si="126"/>
        <v/>
      </c>
      <c r="V1578" s="212" t="s">
        <v>50</v>
      </c>
      <c r="W1578" s="100" t="s">
        <v>168</v>
      </c>
      <c r="X1578" s="100" t="s">
        <v>169</v>
      </c>
      <c r="Y1578" s="101" t="s">
        <v>170</v>
      </c>
      <c r="Z1578" s="101" t="s">
        <v>171</v>
      </c>
      <c r="AA1578" s="101" t="s">
        <v>50</v>
      </c>
      <c r="AB1578" s="101" t="s">
        <v>172</v>
      </c>
      <c r="AC1578" s="102" t="s">
        <v>173</v>
      </c>
    </row>
    <row r="1579" spans="1:29" ht="25.5" customHeight="1" x14ac:dyDescent="0.35">
      <c r="A1579" s="392"/>
      <c r="B1579" s="393"/>
      <c r="C1579" s="99" t="str">
        <f>IF(B1579="","",IF(NOT(ISNUMBER(B1579)),"DATA_PC invalida",IF(NOT(ISNUMBER(parametros!$C$2)),"Fora dos ciclos",IF(OR(B1579&lt;parametros!$C$2,(YEAR(B1579)-YEAR(parametros!$C$2))*12+MONTH(B1579)-MONTH(parametros!$C$2)&gt;59),"Fora dos ciclos","C"&amp;INT(((YEAR(B1579)-YEAR(parametros!$C$2))*12+MONTH(B1579)-MONTH(parametros!$C$2))/12)))))</f>
        <v/>
      </c>
      <c r="D1579" s="394"/>
      <c r="E1579" s="78" t="str">
        <f>IF(C1579="","",IFERROR(VLOOKUP(C1579,parametros!$A$11:$E$15,5,0),""))</f>
        <v/>
      </c>
      <c r="F1579" s="79" t="str">
        <f t="shared" si="122"/>
        <v/>
      </c>
      <c r="G1579" s="395"/>
      <c r="H1579" s="91">
        <f t="shared" si="123"/>
        <v>0</v>
      </c>
      <c r="I1579" s="91" t="str">
        <f t="shared" si="124"/>
        <v/>
      </c>
      <c r="J1579" s="91" t="str">
        <f t="shared" si="125"/>
        <v/>
      </c>
      <c r="K1579" s="92" t="str">
        <f>IF(AND(A1579="",B1579="",D1579="",G1579=""),"",IF(AND(A1579&lt;&gt;"",COUNTIF($A$2:$A$5001,A1579)&gt;1),"NUMERO_PC duplicado",IF(B1579="","DATA_PC vazia",IF(NOT(ISNUMBER(B1579)),"DATA_PC invalida",IF(OR(C1579="",C1579="Fora dos ciclos"),"CICLO_PC nao identificado",IF(OR(D1579="",D1579=0),"VALOR_PC vazio ou zero",IF(AND(G1579&lt;&gt;"Sim",G1579&lt;&gt;"Nao",G1579&lt;&gt;""),"PC_PAGO_A_CONTRATADA invalido",IF(AND(C1579&lt;&gt;"C0",IFERROR(INDEX(parametros!$A$2:$A$6,MATCH(C1579,parametros!$B$2:$B$6,0)),"")="Sim",IFERROR(INDEX(parametros!$H$2:$H$6,MATCH(C1579,parametros!$B$2:$B$6,0)),"")=""),"INICIO_EFEITO ausente: PC "&amp;A1579&amp;" - "&amp;C1579,IF(L1579="","EFEITO_PC nao calculado: PC "&amp;A1579&amp;" - "&amp;C1579,"OK")))))))))</f>
        <v/>
      </c>
      <c r="L1579" s="92" t="str">
        <f>IF(AND(A1579="",B1579="",D1579="",G1579=""),"",IF(OR(B1579="",NOT(ISNUMBER(B1579)),C1579="",C1579="Fora dos ciclos"),"",IF(C1579="C0","Nao",IF(IFERROR(INDEX(parametros!$A$2:$A$6,MATCH(C1579,parametros!$B$2:$B$6,0)),"")&lt;&gt;"Sim","Nao",IF(IFERROR(INDEX(parametros!$H$2:$H$6,MATCH(C1579,parametros!$B$2:$B$6,0)),"")="","",IF(B1579&gt;=IFERROR(INDEX(parametros!$H$2:$H$6,MATCH(C1579,parametros!$B$2:$B$6,0)),""),"Sim","Nao"))))))</f>
        <v/>
      </c>
      <c r="T1579" s="156"/>
      <c r="U1579" s="214" t="str">
        <f t="shared" si="126"/>
        <v/>
      </c>
      <c r="V1579" s="212" t="s">
        <v>50</v>
      </c>
      <c r="W1579" s="100" t="s">
        <v>168</v>
      </c>
      <c r="X1579" s="100" t="s">
        <v>169</v>
      </c>
      <c r="Y1579" s="101" t="s">
        <v>170</v>
      </c>
      <c r="Z1579" s="101" t="s">
        <v>171</v>
      </c>
      <c r="AA1579" s="101" t="s">
        <v>50</v>
      </c>
      <c r="AB1579" s="101" t="s">
        <v>172</v>
      </c>
      <c r="AC1579" s="102" t="s">
        <v>173</v>
      </c>
    </row>
    <row r="1580" spans="1:29" ht="25.5" customHeight="1" x14ac:dyDescent="0.35">
      <c r="A1580" s="392"/>
      <c r="B1580" s="393"/>
      <c r="C1580" s="99" t="str">
        <f>IF(B1580="","",IF(NOT(ISNUMBER(B1580)),"DATA_PC invalida",IF(NOT(ISNUMBER(parametros!$C$2)),"Fora dos ciclos",IF(OR(B1580&lt;parametros!$C$2,(YEAR(B1580)-YEAR(parametros!$C$2))*12+MONTH(B1580)-MONTH(parametros!$C$2)&gt;59),"Fora dos ciclos","C"&amp;INT(((YEAR(B1580)-YEAR(parametros!$C$2))*12+MONTH(B1580)-MONTH(parametros!$C$2))/12)))))</f>
        <v/>
      </c>
      <c r="D1580" s="394"/>
      <c r="E1580" s="78" t="str">
        <f>IF(C1580="","",IFERROR(VLOOKUP(C1580,parametros!$A$11:$E$15,5,0),""))</f>
        <v/>
      </c>
      <c r="F1580" s="79" t="str">
        <f t="shared" si="122"/>
        <v/>
      </c>
      <c r="G1580" s="395"/>
      <c r="H1580" s="91">
        <f t="shared" si="123"/>
        <v>0</v>
      </c>
      <c r="I1580" s="91" t="str">
        <f t="shared" si="124"/>
        <v/>
      </c>
      <c r="J1580" s="91" t="str">
        <f t="shared" si="125"/>
        <v/>
      </c>
      <c r="K1580" s="92" t="str">
        <f>IF(AND(A1580="",B1580="",D1580="",G1580=""),"",IF(AND(A1580&lt;&gt;"",COUNTIF($A$2:$A$5001,A1580)&gt;1),"NUMERO_PC duplicado",IF(B1580="","DATA_PC vazia",IF(NOT(ISNUMBER(B1580)),"DATA_PC invalida",IF(OR(C1580="",C1580="Fora dos ciclos"),"CICLO_PC nao identificado",IF(OR(D1580="",D1580=0),"VALOR_PC vazio ou zero",IF(AND(G1580&lt;&gt;"Sim",G1580&lt;&gt;"Nao",G1580&lt;&gt;""),"PC_PAGO_A_CONTRATADA invalido",IF(AND(C1580&lt;&gt;"C0",IFERROR(INDEX(parametros!$A$2:$A$6,MATCH(C1580,parametros!$B$2:$B$6,0)),"")="Sim",IFERROR(INDEX(parametros!$H$2:$H$6,MATCH(C1580,parametros!$B$2:$B$6,0)),"")=""),"INICIO_EFEITO ausente: PC "&amp;A1580&amp;" - "&amp;C1580,IF(L1580="","EFEITO_PC nao calculado: PC "&amp;A1580&amp;" - "&amp;C1580,"OK")))))))))</f>
        <v/>
      </c>
      <c r="L1580" s="92" t="str">
        <f>IF(AND(A1580="",B1580="",D1580="",G1580=""),"",IF(OR(B1580="",NOT(ISNUMBER(B1580)),C1580="",C1580="Fora dos ciclos"),"",IF(C1580="C0","Nao",IF(IFERROR(INDEX(parametros!$A$2:$A$6,MATCH(C1580,parametros!$B$2:$B$6,0)),"")&lt;&gt;"Sim","Nao",IF(IFERROR(INDEX(parametros!$H$2:$H$6,MATCH(C1580,parametros!$B$2:$B$6,0)),"")="","",IF(B1580&gt;=IFERROR(INDEX(parametros!$H$2:$H$6,MATCH(C1580,parametros!$B$2:$B$6,0)),""),"Sim","Nao"))))))</f>
        <v/>
      </c>
      <c r="T1580" s="156"/>
      <c r="U1580" s="214" t="str">
        <f t="shared" si="126"/>
        <v/>
      </c>
      <c r="V1580" s="212" t="s">
        <v>50</v>
      </c>
      <c r="W1580" s="100" t="s">
        <v>168</v>
      </c>
      <c r="X1580" s="100" t="s">
        <v>169</v>
      </c>
      <c r="Y1580" s="101" t="s">
        <v>170</v>
      </c>
      <c r="Z1580" s="101" t="s">
        <v>171</v>
      </c>
      <c r="AA1580" s="101" t="s">
        <v>50</v>
      </c>
      <c r="AB1580" s="101" t="s">
        <v>172</v>
      </c>
      <c r="AC1580" s="102" t="s">
        <v>173</v>
      </c>
    </row>
    <row r="1581" spans="1:29" ht="25.5" customHeight="1" x14ac:dyDescent="0.35">
      <c r="A1581" s="392"/>
      <c r="B1581" s="393"/>
      <c r="C1581" s="99" t="str">
        <f>IF(B1581="","",IF(NOT(ISNUMBER(B1581)),"DATA_PC invalida",IF(NOT(ISNUMBER(parametros!$C$2)),"Fora dos ciclos",IF(OR(B1581&lt;parametros!$C$2,(YEAR(B1581)-YEAR(parametros!$C$2))*12+MONTH(B1581)-MONTH(parametros!$C$2)&gt;59),"Fora dos ciclos","C"&amp;INT(((YEAR(B1581)-YEAR(parametros!$C$2))*12+MONTH(B1581)-MONTH(parametros!$C$2))/12)))))</f>
        <v/>
      </c>
      <c r="D1581" s="394"/>
      <c r="E1581" s="78" t="str">
        <f>IF(C1581="","",IFERROR(VLOOKUP(C1581,parametros!$A$11:$E$15,5,0),""))</f>
        <v/>
      </c>
      <c r="F1581" s="79" t="str">
        <f t="shared" si="122"/>
        <v/>
      </c>
      <c r="G1581" s="395"/>
      <c r="H1581" s="91">
        <f t="shared" si="123"/>
        <v>0</v>
      </c>
      <c r="I1581" s="91" t="str">
        <f t="shared" si="124"/>
        <v/>
      </c>
      <c r="J1581" s="91" t="str">
        <f t="shared" si="125"/>
        <v/>
      </c>
      <c r="K1581" s="92" t="str">
        <f>IF(AND(A1581="",B1581="",D1581="",G1581=""),"",IF(AND(A1581&lt;&gt;"",COUNTIF($A$2:$A$5001,A1581)&gt;1),"NUMERO_PC duplicado",IF(B1581="","DATA_PC vazia",IF(NOT(ISNUMBER(B1581)),"DATA_PC invalida",IF(OR(C1581="",C1581="Fora dos ciclos"),"CICLO_PC nao identificado",IF(OR(D1581="",D1581=0),"VALOR_PC vazio ou zero",IF(AND(G1581&lt;&gt;"Sim",G1581&lt;&gt;"Nao",G1581&lt;&gt;""),"PC_PAGO_A_CONTRATADA invalido",IF(AND(C1581&lt;&gt;"C0",IFERROR(INDEX(parametros!$A$2:$A$6,MATCH(C1581,parametros!$B$2:$B$6,0)),"")="Sim",IFERROR(INDEX(parametros!$H$2:$H$6,MATCH(C1581,parametros!$B$2:$B$6,0)),"")=""),"INICIO_EFEITO ausente: PC "&amp;A1581&amp;" - "&amp;C1581,IF(L1581="","EFEITO_PC nao calculado: PC "&amp;A1581&amp;" - "&amp;C1581,"OK")))))))))</f>
        <v/>
      </c>
      <c r="L1581" s="92" t="str">
        <f>IF(AND(A1581="",B1581="",D1581="",G1581=""),"",IF(OR(B1581="",NOT(ISNUMBER(B1581)),C1581="",C1581="Fora dos ciclos"),"",IF(C1581="C0","Nao",IF(IFERROR(INDEX(parametros!$A$2:$A$6,MATCH(C1581,parametros!$B$2:$B$6,0)),"")&lt;&gt;"Sim","Nao",IF(IFERROR(INDEX(parametros!$H$2:$H$6,MATCH(C1581,parametros!$B$2:$B$6,0)),"")="","",IF(B1581&gt;=IFERROR(INDEX(parametros!$H$2:$H$6,MATCH(C1581,parametros!$B$2:$B$6,0)),""),"Sim","Nao"))))))</f>
        <v/>
      </c>
      <c r="T1581" s="156"/>
      <c r="U1581" s="214" t="str">
        <f t="shared" si="126"/>
        <v/>
      </c>
      <c r="V1581" s="212" t="s">
        <v>50</v>
      </c>
      <c r="W1581" s="100" t="s">
        <v>168</v>
      </c>
      <c r="X1581" s="100" t="s">
        <v>169</v>
      </c>
      <c r="Y1581" s="101" t="s">
        <v>170</v>
      </c>
      <c r="Z1581" s="101" t="s">
        <v>171</v>
      </c>
      <c r="AA1581" s="101" t="s">
        <v>50</v>
      </c>
      <c r="AB1581" s="101" t="s">
        <v>172</v>
      </c>
      <c r="AC1581" s="102" t="s">
        <v>173</v>
      </c>
    </row>
    <row r="1582" spans="1:29" ht="25.5" customHeight="1" x14ac:dyDescent="0.35">
      <c r="A1582" s="392"/>
      <c r="B1582" s="393"/>
      <c r="C1582" s="99" t="str">
        <f>IF(B1582="","",IF(NOT(ISNUMBER(B1582)),"DATA_PC invalida",IF(NOT(ISNUMBER(parametros!$C$2)),"Fora dos ciclos",IF(OR(B1582&lt;parametros!$C$2,(YEAR(B1582)-YEAR(parametros!$C$2))*12+MONTH(B1582)-MONTH(parametros!$C$2)&gt;59),"Fora dos ciclos","C"&amp;INT(((YEAR(B1582)-YEAR(parametros!$C$2))*12+MONTH(B1582)-MONTH(parametros!$C$2))/12)))))</f>
        <v/>
      </c>
      <c r="D1582" s="394"/>
      <c r="E1582" s="78" t="str">
        <f>IF(C1582="","",IFERROR(VLOOKUP(C1582,parametros!$A$11:$E$15,5,0),""))</f>
        <v/>
      </c>
      <c r="F1582" s="79" t="str">
        <f t="shared" si="122"/>
        <v/>
      </c>
      <c r="G1582" s="395"/>
      <c r="H1582" s="91">
        <f t="shared" si="123"/>
        <v>0</v>
      </c>
      <c r="I1582" s="91" t="str">
        <f t="shared" si="124"/>
        <v/>
      </c>
      <c r="J1582" s="91" t="str">
        <f t="shared" si="125"/>
        <v/>
      </c>
      <c r="K1582" s="92" t="str">
        <f>IF(AND(A1582="",B1582="",D1582="",G1582=""),"",IF(AND(A1582&lt;&gt;"",COUNTIF($A$2:$A$5001,A1582)&gt;1),"NUMERO_PC duplicado",IF(B1582="","DATA_PC vazia",IF(NOT(ISNUMBER(B1582)),"DATA_PC invalida",IF(OR(C1582="",C1582="Fora dos ciclos"),"CICLO_PC nao identificado",IF(OR(D1582="",D1582=0),"VALOR_PC vazio ou zero",IF(AND(G1582&lt;&gt;"Sim",G1582&lt;&gt;"Nao",G1582&lt;&gt;""),"PC_PAGO_A_CONTRATADA invalido",IF(AND(C1582&lt;&gt;"C0",IFERROR(INDEX(parametros!$A$2:$A$6,MATCH(C1582,parametros!$B$2:$B$6,0)),"")="Sim",IFERROR(INDEX(parametros!$H$2:$H$6,MATCH(C1582,parametros!$B$2:$B$6,0)),"")=""),"INICIO_EFEITO ausente: PC "&amp;A1582&amp;" - "&amp;C1582,IF(L1582="","EFEITO_PC nao calculado: PC "&amp;A1582&amp;" - "&amp;C1582,"OK")))))))))</f>
        <v/>
      </c>
      <c r="L1582" s="92" t="str">
        <f>IF(AND(A1582="",B1582="",D1582="",G1582=""),"",IF(OR(B1582="",NOT(ISNUMBER(B1582)),C1582="",C1582="Fora dos ciclos"),"",IF(C1582="C0","Nao",IF(IFERROR(INDEX(parametros!$A$2:$A$6,MATCH(C1582,parametros!$B$2:$B$6,0)),"")&lt;&gt;"Sim","Nao",IF(IFERROR(INDEX(parametros!$H$2:$H$6,MATCH(C1582,parametros!$B$2:$B$6,0)),"")="","",IF(B1582&gt;=IFERROR(INDEX(parametros!$H$2:$H$6,MATCH(C1582,parametros!$B$2:$B$6,0)),""),"Sim","Nao"))))))</f>
        <v/>
      </c>
      <c r="T1582" s="156"/>
      <c r="U1582" s="214" t="str">
        <f t="shared" si="126"/>
        <v/>
      </c>
      <c r="V1582" s="212" t="s">
        <v>50</v>
      </c>
      <c r="W1582" s="100" t="s">
        <v>168</v>
      </c>
      <c r="X1582" s="100" t="s">
        <v>169</v>
      </c>
      <c r="Y1582" s="101" t="s">
        <v>170</v>
      </c>
      <c r="Z1582" s="101" t="s">
        <v>171</v>
      </c>
      <c r="AA1582" s="101" t="s">
        <v>50</v>
      </c>
      <c r="AB1582" s="101" t="s">
        <v>172</v>
      </c>
      <c r="AC1582" s="102" t="s">
        <v>173</v>
      </c>
    </row>
    <row r="1583" spans="1:29" ht="25.5" customHeight="1" x14ac:dyDescent="0.35">
      <c r="A1583" s="392"/>
      <c r="B1583" s="393"/>
      <c r="C1583" s="99" t="str">
        <f>IF(B1583="","",IF(NOT(ISNUMBER(B1583)),"DATA_PC invalida",IF(NOT(ISNUMBER(parametros!$C$2)),"Fora dos ciclos",IF(OR(B1583&lt;parametros!$C$2,(YEAR(B1583)-YEAR(parametros!$C$2))*12+MONTH(B1583)-MONTH(parametros!$C$2)&gt;59),"Fora dos ciclos","C"&amp;INT(((YEAR(B1583)-YEAR(parametros!$C$2))*12+MONTH(B1583)-MONTH(parametros!$C$2))/12)))))</f>
        <v/>
      </c>
      <c r="D1583" s="394"/>
      <c r="E1583" s="78" t="str">
        <f>IF(C1583="","",IFERROR(VLOOKUP(C1583,parametros!$A$11:$E$15,5,0),""))</f>
        <v/>
      </c>
      <c r="F1583" s="79" t="str">
        <f t="shared" si="122"/>
        <v/>
      </c>
      <c r="G1583" s="395"/>
      <c r="H1583" s="91">
        <f t="shared" si="123"/>
        <v>0</v>
      </c>
      <c r="I1583" s="91" t="str">
        <f t="shared" si="124"/>
        <v/>
      </c>
      <c r="J1583" s="91" t="str">
        <f t="shared" si="125"/>
        <v/>
      </c>
      <c r="K1583" s="92" t="str">
        <f>IF(AND(A1583="",B1583="",D1583="",G1583=""),"",IF(AND(A1583&lt;&gt;"",COUNTIF($A$2:$A$5001,A1583)&gt;1),"NUMERO_PC duplicado",IF(B1583="","DATA_PC vazia",IF(NOT(ISNUMBER(B1583)),"DATA_PC invalida",IF(OR(C1583="",C1583="Fora dos ciclos"),"CICLO_PC nao identificado",IF(OR(D1583="",D1583=0),"VALOR_PC vazio ou zero",IF(AND(G1583&lt;&gt;"Sim",G1583&lt;&gt;"Nao",G1583&lt;&gt;""),"PC_PAGO_A_CONTRATADA invalido",IF(AND(C1583&lt;&gt;"C0",IFERROR(INDEX(parametros!$A$2:$A$6,MATCH(C1583,parametros!$B$2:$B$6,0)),"")="Sim",IFERROR(INDEX(parametros!$H$2:$H$6,MATCH(C1583,parametros!$B$2:$B$6,0)),"")=""),"INICIO_EFEITO ausente: PC "&amp;A1583&amp;" - "&amp;C1583,IF(L1583="","EFEITO_PC nao calculado: PC "&amp;A1583&amp;" - "&amp;C1583,"OK")))))))))</f>
        <v/>
      </c>
      <c r="L1583" s="92" t="str">
        <f>IF(AND(A1583="",B1583="",D1583="",G1583=""),"",IF(OR(B1583="",NOT(ISNUMBER(B1583)),C1583="",C1583="Fora dos ciclos"),"",IF(C1583="C0","Nao",IF(IFERROR(INDEX(parametros!$A$2:$A$6,MATCH(C1583,parametros!$B$2:$B$6,0)),"")&lt;&gt;"Sim","Nao",IF(IFERROR(INDEX(parametros!$H$2:$H$6,MATCH(C1583,parametros!$B$2:$B$6,0)),"")="","",IF(B1583&gt;=IFERROR(INDEX(parametros!$H$2:$H$6,MATCH(C1583,parametros!$B$2:$B$6,0)),""),"Sim","Nao"))))))</f>
        <v/>
      </c>
      <c r="T1583" s="156"/>
      <c r="U1583" s="214" t="str">
        <f t="shared" si="126"/>
        <v/>
      </c>
      <c r="V1583" s="212" t="s">
        <v>50</v>
      </c>
      <c r="W1583" s="100" t="s">
        <v>168</v>
      </c>
      <c r="X1583" s="100" t="s">
        <v>169</v>
      </c>
      <c r="Y1583" s="101" t="s">
        <v>170</v>
      </c>
      <c r="Z1583" s="101" t="s">
        <v>171</v>
      </c>
      <c r="AA1583" s="101" t="s">
        <v>50</v>
      </c>
      <c r="AB1583" s="101" t="s">
        <v>172</v>
      </c>
      <c r="AC1583" s="102" t="s">
        <v>173</v>
      </c>
    </row>
    <row r="1584" spans="1:29" ht="25.5" customHeight="1" x14ac:dyDescent="0.35">
      <c r="A1584" s="392"/>
      <c r="B1584" s="393"/>
      <c r="C1584" s="99" t="str">
        <f>IF(B1584="","",IF(NOT(ISNUMBER(B1584)),"DATA_PC invalida",IF(NOT(ISNUMBER(parametros!$C$2)),"Fora dos ciclos",IF(OR(B1584&lt;parametros!$C$2,(YEAR(B1584)-YEAR(parametros!$C$2))*12+MONTH(B1584)-MONTH(parametros!$C$2)&gt;59),"Fora dos ciclos","C"&amp;INT(((YEAR(B1584)-YEAR(parametros!$C$2))*12+MONTH(B1584)-MONTH(parametros!$C$2))/12)))))</f>
        <v/>
      </c>
      <c r="D1584" s="394"/>
      <c r="E1584" s="78" t="str">
        <f>IF(C1584="","",IFERROR(VLOOKUP(C1584,parametros!$A$11:$E$15,5,0),""))</f>
        <v/>
      </c>
      <c r="F1584" s="79" t="str">
        <f t="shared" si="122"/>
        <v/>
      </c>
      <c r="G1584" s="395"/>
      <c r="H1584" s="91">
        <f t="shared" si="123"/>
        <v>0</v>
      </c>
      <c r="I1584" s="91" t="str">
        <f t="shared" si="124"/>
        <v/>
      </c>
      <c r="J1584" s="91" t="str">
        <f t="shared" si="125"/>
        <v/>
      </c>
      <c r="K1584" s="92" t="str">
        <f>IF(AND(A1584="",B1584="",D1584="",G1584=""),"",IF(AND(A1584&lt;&gt;"",COUNTIF($A$2:$A$5001,A1584)&gt;1),"NUMERO_PC duplicado",IF(B1584="","DATA_PC vazia",IF(NOT(ISNUMBER(B1584)),"DATA_PC invalida",IF(OR(C1584="",C1584="Fora dos ciclos"),"CICLO_PC nao identificado",IF(OR(D1584="",D1584=0),"VALOR_PC vazio ou zero",IF(AND(G1584&lt;&gt;"Sim",G1584&lt;&gt;"Nao",G1584&lt;&gt;""),"PC_PAGO_A_CONTRATADA invalido",IF(AND(C1584&lt;&gt;"C0",IFERROR(INDEX(parametros!$A$2:$A$6,MATCH(C1584,parametros!$B$2:$B$6,0)),"")="Sim",IFERROR(INDEX(parametros!$H$2:$H$6,MATCH(C1584,parametros!$B$2:$B$6,0)),"")=""),"INICIO_EFEITO ausente: PC "&amp;A1584&amp;" - "&amp;C1584,IF(L1584="","EFEITO_PC nao calculado: PC "&amp;A1584&amp;" - "&amp;C1584,"OK")))))))))</f>
        <v/>
      </c>
      <c r="L1584" s="92" t="str">
        <f>IF(AND(A1584="",B1584="",D1584="",G1584=""),"",IF(OR(B1584="",NOT(ISNUMBER(B1584)),C1584="",C1584="Fora dos ciclos"),"",IF(C1584="C0","Nao",IF(IFERROR(INDEX(parametros!$A$2:$A$6,MATCH(C1584,parametros!$B$2:$B$6,0)),"")&lt;&gt;"Sim","Nao",IF(IFERROR(INDEX(parametros!$H$2:$H$6,MATCH(C1584,parametros!$B$2:$B$6,0)),"")="","",IF(B1584&gt;=IFERROR(INDEX(parametros!$H$2:$H$6,MATCH(C1584,parametros!$B$2:$B$6,0)),""),"Sim","Nao"))))))</f>
        <v/>
      </c>
      <c r="T1584" s="156"/>
      <c r="U1584" s="214" t="str">
        <f t="shared" si="126"/>
        <v/>
      </c>
      <c r="V1584" s="212" t="s">
        <v>50</v>
      </c>
      <c r="W1584" s="100" t="s">
        <v>168</v>
      </c>
      <c r="X1584" s="100" t="s">
        <v>169</v>
      </c>
      <c r="Y1584" s="101" t="s">
        <v>170</v>
      </c>
      <c r="Z1584" s="101" t="s">
        <v>171</v>
      </c>
      <c r="AA1584" s="101" t="s">
        <v>50</v>
      </c>
      <c r="AB1584" s="101" t="s">
        <v>172</v>
      </c>
      <c r="AC1584" s="102" t="s">
        <v>173</v>
      </c>
    </row>
    <row r="1585" spans="1:29" ht="25.5" customHeight="1" x14ac:dyDescent="0.35">
      <c r="A1585" s="392"/>
      <c r="B1585" s="393"/>
      <c r="C1585" s="99" t="str">
        <f>IF(B1585="","",IF(NOT(ISNUMBER(B1585)),"DATA_PC invalida",IF(NOT(ISNUMBER(parametros!$C$2)),"Fora dos ciclos",IF(OR(B1585&lt;parametros!$C$2,(YEAR(B1585)-YEAR(parametros!$C$2))*12+MONTH(B1585)-MONTH(parametros!$C$2)&gt;59),"Fora dos ciclos","C"&amp;INT(((YEAR(B1585)-YEAR(parametros!$C$2))*12+MONTH(B1585)-MONTH(parametros!$C$2))/12)))))</f>
        <v/>
      </c>
      <c r="D1585" s="394"/>
      <c r="E1585" s="78" t="str">
        <f>IF(C1585="","",IFERROR(VLOOKUP(C1585,parametros!$A$11:$E$15,5,0),""))</f>
        <v/>
      </c>
      <c r="F1585" s="79" t="str">
        <f t="shared" si="122"/>
        <v/>
      </c>
      <c r="G1585" s="395"/>
      <c r="H1585" s="91">
        <f t="shared" si="123"/>
        <v>0</v>
      </c>
      <c r="I1585" s="91" t="str">
        <f t="shared" si="124"/>
        <v/>
      </c>
      <c r="J1585" s="91" t="str">
        <f t="shared" si="125"/>
        <v/>
      </c>
      <c r="K1585" s="92" t="str">
        <f>IF(AND(A1585="",B1585="",D1585="",G1585=""),"",IF(AND(A1585&lt;&gt;"",COUNTIF($A$2:$A$5001,A1585)&gt;1),"NUMERO_PC duplicado",IF(B1585="","DATA_PC vazia",IF(NOT(ISNUMBER(B1585)),"DATA_PC invalida",IF(OR(C1585="",C1585="Fora dos ciclos"),"CICLO_PC nao identificado",IF(OR(D1585="",D1585=0),"VALOR_PC vazio ou zero",IF(AND(G1585&lt;&gt;"Sim",G1585&lt;&gt;"Nao",G1585&lt;&gt;""),"PC_PAGO_A_CONTRATADA invalido",IF(AND(C1585&lt;&gt;"C0",IFERROR(INDEX(parametros!$A$2:$A$6,MATCH(C1585,parametros!$B$2:$B$6,0)),"")="Sim",IFERROR(INDEX(parametros!$H$2:$H$6,MATCH(C1585,parametros!$B$2:$B$6,0)),"")=""),"INICIO_EFEITO ausente: PC "&amp;A1585&amp;" - "&amp;C1585,IF(L1585="","EFEITO_PC nao calculado: PC "&amp;A1585&amp;" - "&amp;C1585,"OK")))))))))</f>
        <v/>
      </c>
      <c r="L1585" s="92" t="str">
        <f>IF(AND(A1585="",B1585="",D1585="",G1585=""),"",IF(OR(B1585="",NOT(ISNUMBER(B1585)),C1585="",C1585="Fora dos ciclos"),"",IF(C1585="C0","Nao",IF(IFERROR(INDEX(parametros!$A$2:$A$6,MATCH(C1585,parametros!$B$2:$B$6,0)),"")&lt;&gt;"Sim","Nao",IF(IFERROR(INDEX(parametros!$H$2:$H$6,MATCH(C1585,parametros!$B$2:$B$6,0)),"")="","",IF(B1585&gt;=IFERROR(INDEX(parametros!$H$2:$H$6,MATCH(C1585,parametros!$B$2:$B$6,0)),""),"Sim","Nao"))))))</f>
        <v/>
      </c>
      <c r="T1585" s="156"/>
      <c r="U1585" s="214" t="str">
        <f t="shared" si="126"/>
        <v/>
      </c>
      <c r="V1585" s="212" t="s">
        <v>50</v>
      </c>
      <c r="W1585" s="100" t="s">
        <v>168</v>
      </c>
      <c r="X1585" s="100" t="s">
        <v>169</v>
      </c>
      <c r="Y1585" s="101" t="s">
        <v>170</v>
      </c>
      <c r="Z1585" s="101" t="s">
        <v>171</v>
      </c>
      <c r="AA1585" s="101" t="s">
        <v>50</v>
      </c>
      <c r="AB1585" s="101" t="s">
        <v>172</v>
      </c>
      <c r="AC1585" s="102" t="s">
        <v>173</v>
      </c>
    </row>
    <row r="1586" spans="1:29" ht="25.5" customHeight="1" x14ac:dyDescent="0.35">
      <c r="A1586" s="392"/>
      <c r="B1586" s="393"/>
      <c r="C1586" s="99" t="str">
        <f>IF(B1586="","",IF(NOT(ISNUMBER(B1586)),"DATA_PC invalida",IF(NOT(ISNUMBER(parametros!$C$2)),"Fora dos ciclos",IF(OR(B1586&lt;parametros!$C$2,(YEAR(B1586)-YEAR(parametros!$C$2))*12+MONTH(B1586)-MONTH(parametros!$C$2)&gt;59),"Fora dos ciclos","C"&amp;INT(((YEAR(B1586)-YEAR(parametros!$C$2))*12+MONTH(B1586)-MONTH(parametros!$C$2))/12)))))</f>
        <v/>
      </c>
      <c r="D1586" s="394"/>
      <c r="E1586" s="78" t="str">
        <f>IF(C1586="","",IFERROR(VLOOKUP(C1586,parametros!$A$11:$E$15,5,0),""))</f>
        <v/>
      </c>
      <c r="F1586" s="79" t="str">
        <f t="shared" si="122"/>
        <v/>
      </c>
      <c r="G1586" s="395"/>
      <c r="H1586" s="91">
        <f t="shared" si="123"/>
        <v>0</v>
      </c>
      <c r="I1586" s="91" t="str">
        <f t="shared" si="124"/>
        <v/>
      </c>
      <c r="J1586" s="91" t="str">
        <f t="shared" si="125"/>
        <v/>
      </c>
      <c r="K1586" s="92" t="str">
        <f>IF(AND(A1586="",B1586="",D1586="",G1586=""),"",IF(AND(A1586&lt;&gt;"",COUNTIF($A$2:$A$5001,A1586)&gt;1),"NUMERO_PC duplicado",IF(B1586="","DATA_PC vazia",IF(NOT(ISNUMBER(B1586)),"DATA_PC invalida",IF(OR(C1586="",C1586="Fora dos ciclos"),"CICLO_PC nao identificado",IF(OR(D1586="",D1586=0),"VALOR_PC vazio ou zero",IF(AND(G1586&lt;&gt;"Sim",G1586&lt;&gt;"Nao",G1586&lt;&gt;""),"PC_PAGO_A_CONTRATADA invalido",IF(AND(C1586&lt;&gt;"C0",IFERROR(INDEX(parametros!$A$2:$A$6,MATCH(C1586,parametros!$B$2:$B$6,0)),"")="Sim",IFERROR(INDEX(parametros!$H$2:$H$6,MATCH(C1586,parametros!$B$2:$B$6,0)),"")=""),"INICIO_EFEITO ausente: PC "&amp;A1586&amp;" - "&amp;C1586,IF(L1586="","EFEITO_PC nao calculado: PC "&amp;A1586&amp;" - "&amp;C1586,"OK")))))))))</f>
        <v/>
      </c>
      <c r="L1586" s="92" t="str">
        <f>IF(AND(A1586="",B1586="",D1586="",G1586=""),"",IF(OR(B1586="",NOT(ISNUMBER(B1586)),C1586="",C1586="Fora dos ciclos"),"",IF(C1586="C0","Nao",IF(IFERROR(INDEX(parametros!$A$2:$A$6,MATCH(C1586,parametros!$B$2:$B$6,0)),"")&lt;&gt;"Sim","Nao",IF(IFERROR(INDEX(parametros!$H$2:$H$6,MATCH(C1586,parametros!$B$2:$B$6,0)),"")="","",IF(B1586&gt;=IFERROR(INDEX(parametros!$H$2:$H$6,MATCH(C1586,parametros!$B$2:$B$6,0)),""),"Sim","Nao"))))))</f>
        <v/>
      </c>
      <c r="T1586" s="156"/>
      <c r="U1586" s="214" t="str">
        <f t="shared" si="126"/>
        <v/>
      </c>
      <c r="V1586" s="212" t="s">
        <v>50</v>
      </c>
      <c r="W1586" s="100" t="s">
        <v>168</v>
      </c>
      <c r="X1586" s="100" t="s">
        <v>169</v>
      </c>
      <c r="Y1586" s="101" t="s">
        <v>170</v>
      </c>
      <c r="Z1586" s="101" t="s">
        <v>171</v>
      </c>
      <c r="AA1586" s="101" t="s">
        <v>50</v>
      </c>
      <c r="AB1586" s="101" t="s">
        <v>172</v>
      </c>
      <c r="AC1586" s="102" t="s">
        <v>173</v>
      </c>
    </row>
    <row r="1587" spans="1:29" ht="25.5" customHeight="1" x14ac:dyDescent="0.35">
      <c r="A1587" s="392"/>
      <c r="B1587" s="393"/>
      <c r="C1587" s="99" t="str">
        <f>IF(B1587="","",IF(NOT(ISNUMBER(B1587)),"DATA_PC invalida",IF(NOT(ISNUMBER(parametros!$C$2)),"Fora dos ciclos",IF(OR(B1587&lt;parametros!$C$2,(YEAR(B1587)-YEAR(parametros!$C$2))*12+MONTH(B1587)-MONTH(parametros!$C$2)&gt;59),"Fora dos ciclos","C"&amp;INT(((YEAR(B1587)-YEAR(parametros!$C$2))*12+MONTH(B1587)-MONTH(parametros!$C$2))/12)))))</f>
        <v/>
      </c>
      <c r="D1587" s="394"/>
      <c r="E1587" s="78" t="str">
        <f>IF(C1587="","",IFERROR(VLOOKUP(C1587,parametros!$A$11:$E$15,5,0),""))</f>
        <v/>
      </c>
      <c r="F1587" s="79" t="str">
        <f t="shared" si="122"/>
        <v/>
      </c>
      <c r="G1587" s="395"/>
      <c r="H1587" s="91">
        <f t="shared" si="123"/>
        <v>0</v>
      </c>
      <c r="I1587" s="91" t="str">
        <f t="shared" si="124"/>
        <v/>
      </c>
      <c r="J1587" s="91" t="str">
        <f t="shared" si="125"/>
        <v/>
      </c>
      <c r="K1587" s="92" t="str">
        <f>IF(AND(A1587="",B1587="",D1587="",G1587=""),"",IF(AND(A1587&lt;&gt;"",COUNTIF($A$2:$A$5001,A1587)&gt;1),"NUMERO_PC duplicado",IF(B1587="","DATA_PC vazia",IF(NOT(ISNUMBER(B1587)),"DATA_PC invalida",IF(OR(C1587="",C1587="Fora dos ciclos"),"CICLO_PC nao identificado",IF(OR(D1587="",D1587=0),"VALOR_PC vazio ou zero",IF(AND(G1587&lt;&gt;"Sim",G1587&lt;&gt;"Nao",G1587&lt;&gt;""),"PC_PAGO_A_CONTRATADA invalido",IF(AND(C1587&lt;&gt;"C0",IFERROR(INDEX(parametros!$A$2:$A$6,MATCH(C1587,parametros!$B$2:$B$6,0)),"")="Sim",IFERROR(INDEX(parametros!$H$2:$H$6,MATCH(C1587,parametros!$B$2:$B$6,0)),"")=""),"INICIO_EFEITO ausente: PC "&amp;A1587&amp;" - "&amp;C1587,IF(L1587="","EFEITO_PC nao calculado: PC "&amp;A1587&amp;" - "&amp;C1587,"OK")))))))))</f>
        <v/>
      </c>
      <c r="L1587" s="92" t="str">
        <f>IF(AND(A1587="",B1587="",D1587="",G1587=""),"",IF(OR(B1587="",NOT(ISNUMBER(B1587)),C1587="",C1587="Fora dos ciclos"),"",IF(C1587="C0","Nao",IF(IFERROR(INDEX(parametros!$A$2:$A$6,MATCH(C1587,parametros!$B$2:$B$6,0)),"")&lt;&gt;"Sim","Nao",IF(IFERROR(INDEX(parametros!$H$2:$H$6,MATCH(C1587,parametros!$B$2:$B$6,0)),"")="","",IF(B1587&gt;=IFERROR(INDEX(parametros!$H$2:$H$6,MATCH(C1587,parametros!$B$2:$B$6,0)),""),"Sim","Nao"))))))</f>
        <v/>
      </c>
      <c r="T1587" s="156"/>
      <c r="U1587" s="214" t="str">
        <f t="shared" si="126"/>
        <v/>
      </c>
      <c r="V1587" s="212" t="s">
        <v>50</v>
      </c>
      <c r="W1587" s="100" t="s">
        <v>168</v>
      </c>
      <c r="X1587" s="100" t="s">
        <v>169</v>
      </c>
      <c r="Y1587" s="101" t="s">
        <v>170</v>
      </c>
      <c r="Z1587" s="101" t="s">
        <v>171</v>
      </c>
      <c r="AA1587" s="101" t="s">
        <v>50</v>
      </c>
      <c r="AB1587" s="101" t="s">
        <v>172</v>
      </c>
      <c r="AC1587" s="102" t="s">
        <v>173</v>
      </c>
    </row>
    <row r="1588" spans="1:29" ht="25.5" customHeight="1" x14ac:dyDescent="0.35">
      <c r="A1588" s="392"/>
      <c r="B1588" s="393"/>
      <c r="C1588" s="99" t="str">
        <f>IF(B1588="","",IF(NOT(ISNUMBER(B1588)),"DATA_PC invalida",IF(NOT(ISNUMBER(parametros!$C$2)),"Fora dos ciclos",IF(OR(B1588&lt;parametros!$C$2,(YEAR(B1588)-YEAR(parametros!$C$2))*12+MONTH(B1588)-MONTH(parametros!$C$2)&gt;59),"Fora dos ciclos","C"&amp;INT(((YEAR(B1588)-YEAR(parametros!$C$2))*12+MONTH(B1588)-MONTH(parametros!$C$2))/12)))))</f>
        <v/>
      </c>
      <c r="D1588" s="394"/>
      <c r="E1588" s="78" t="str">
        <f>IF(C1588="","",IFERROR(VLOOKUP(C1588,parametros!$A$11:$E$15,5,0),""))</f>
        <v/>
      </c>
      <c r="F1588" s="79" t="str">
        <f t="shared" si="122"/>
        <v/>
      </c>
      <c r="G1588" s="395"/>
      <c r="H1588" s="91">
        <f t="shared" si="123"/>
        <v>0</v>
      </c>
      <c r="I1588" s="91" t="str">
        <f t="shared" si="124"/>
        <v/>
      </c>
      <c r="J1588" s="91" t="str">
        <f t="shared" si="125"/>
        <v/>
      </c>
      <c r="K1588" s="92" t="str">
        <f>IF(AND(A1588="",B1588="",D1588="",G1588=""),"",IF(AND(A1588&lt;&gt;"",COUNTIF($A$2:$A$5001,A1588)&gt;1),"NUMERO_PC duplicado",IF(B1588="","DATA_PC vazia",IF(NOT(ISNUMBER(B1588)),"DATA_PC invalida",IF(OR(C1588="",C1588="Fora dos ciclos"),"CICLO_PC nao identificado",IF(OR(D1588="",D1588=0),"VALOR_PC vazio ou zero",IF(AND(G1588&lt;&gt;"Sim",G1588&lt;&gt;"Nao",G1588&lt;&gt;""),"PC_PAGO_A_CONTRATADA invalido",IF(AND(C1588&lt;&gt;"C0",IFERROR(INDEX(parametros!$A$2:$A$6,MATCH(C1588,parametros!$B$2:$B$6,0)),"")="Sim",IFERROR(INDEX(parametros!$H$2:$H$6,MATCH(C1588,parametros!$B$2:$B$6,0)),"")=""),"INICIO_EFEITO ausente: PC "&amp;A1588&amp;" - "&amp;C1588,IF(L1588="","EFEITO_PC nao calculado: PC "&amp;A1588&amp;" - "&amp;C1588,"OK")))))))))</f>
        <v/>
      </c>
      <c r="L1588" s="92" t="str">
        <f>IF(AND(A1588="",B1588="",D1588="",G1588=""),"",IF(OR(B1588="",NOT(ISNUMBER(B1588)),C1588="",C1588="Fora dos ciclos"),"",IF(C1588="C0","Nao",IF(IFERROR(INDEX(parametros!$A$2:$A$6,MATCH(C1588,parametros!$B$2:$B$6,0)),"")&lt;&gt;"Sim","Nao",IF(IFERROR(INDEX(parametros!$H$2:$H$6,MATCH(C1588,parametros!$B$2:$B$6,0)),"")="","",IF(B1588&gt;=IFERROR(INDEX(parametros!$H$2:$H$6,MATCH(C1588,parametros!$B$2:$B$6,0)),""),"Sim","Nao"))))))</f>
        <v/>
      </c>
      <c r="T1588" s="156"/>
      <c r="U1588" s="214" t="str">
        <f t="shared" si="126"/>
        <v/>
      </c>
      <c r="V1588" s="212" t="s">
        <v>50</v>
      </c>
      <c r="W1588" s="100" t="s">
        <v>168</v>
      </c>
      <c r="X1588" s="100" t="s">
        <v>169</v>
      </c>
      <c r="Y1588" s="101" t="s">
        <v>170</v>
      </c>
      <c r="Z1588" s="101" t="s">
        <v>171</v>
      </c>
      <c r="AA1588" s="101" t="s">
        <v>50</v>
      </c>
      <c r="AB1588" s="101" t="s">
        <v>172</v>
      </c>
      <c r="AC1588" s="102" t="s">
        <v>173</v>
      </c>
    </row>
    <row r="1589" spans="1:29" ht="25.5" customHeight="1" x14ac:dyDescent="0.35">
      <c r="A1589" s="392"/>
      <c r="B1589" s="393"/>
      <c r="C1589" s="99" t="str">
        <f>IF(B1589="","",IF(NOT(ISNUMBER(B1589)),"DATA_PC invalida",IF(NOT(ISNUMBER(parametros!$C$2)),"Fora dos ciclos",IF(OR(B1589&lt;parametros!$C$2,(YEAR(B1589)-YEAR(parametros!$C$2))*12+MONTH(B1589)-MONTH(parametros!$C$2)&gt;59),"Fora dos ciclos","C"&amp;INT(((YEAR(B1589)-YEAR(parametros!$C$2))*12+MONTH(B1589)-MONTH(parametros!$C$2))/12)))))</f>
        <v/>
      </c>
      <c r="D1589" s="394"/>
      <c r="E1589" s="78" t="str">
        <f>IF(C1589="","",IFERROR(VLOOKUP(C1589,parametros!$A$11:$E$15,5,0),""))</f>
        <v/>
      </c>
      <c r="F1589" s="79" t="str">
        <f t="shared" si="122"/>
        <v/>
      </c>
      <c r="G1589" s="395"/>
      <c r="H1589" s="91">
        <f t="shared" si="123"/>
        <v>0</v>
      </c>
      <c r="I1589" s="91" t="str">
        <f t="shared" si="124"/>
        <v/>
      </c>
      <c r="J1589" s="91" t="str">
        <f t="shared" si="125"/>
        <v/>
      </c>
      <c r="K1589" s="92" t="str">
        <f>IF(AND(A1589="",B1589="",D1589="",G1589=""),"",IF(AND(A1589&lt;&gt;"",COUNTIF($A$2:$A$5001,A1589)&gt;1),"NUMERO_PC duplicado",IF(B1589="","DATA_PC vazia",IF(NOT(ISNUMBER(B1589)),"DATA_PC invalida",IF(OR(C1589="",C1589="Fora dos ciclos"),"CICLO_PC nao identificado",IF(OR(D1589="",D1589=0),"VALOR_PC vazio ou zero",IF(AND(G1589&lt;&gt;"Sim",G1589&lt;&gt;"Nao",G1589&lt;&gt;""),"PC_PAGO_A_CONTRATADA invalido",IF(AND(C1589&lt;&gt;"C0",IFERROR(INDEX(parametros!$A$2:$A$6,MATCH(C1589,parametros!$B$2:$B$6,0)),"")="Sim",IFERROR(INDEX(parametros!$H$2:$H$6,MATCH(C1589,parametros!$B$2:$B$6,0)),"")=""),"INICIO_EFEITO ausente: PC "&amp;A1589&amp;" - "&amp;C1589,IF(L1589="","EFEITO_PC nao calculado: PC "&amp;A1589&amp;" - "&amp;C1589,"OK")))))))))</f>
        <v/>
      </c>
      <c r="L1589" s="92" t="str">
        <f>IF(AND(A1589="",B1589="",D1589="",G1589=""),"",IF(OR(B1589="",NOT(ISNUMBER(B1589)),C1589="",C1589="Fora dos ciclos"),"",IF(C1589="C0","Nao",IF(IFERROR(INDEX(parametros!$A$2:$A$6,MATCH(C1589,parametros!$B$2:$B$6,0)),"")&lt;&gt;"Sim","Nao",IF(IFERROR(INDEX(parametros!$H$2:$H$6,MATCH(C1589,parametros!$B$2:$B$6,0)),"")="","",IF(B1589&gt;=IFERROR(INDEX(parametros!$H$2:$H$6,MATCH(C1589,parametros!$B$2:$B$6,0)),""),"Sim","Nao"))))))</f>
        <v/>
      </c>
      <c r="T1589" s="156"/>
      <c r="U1589" s="214" t="str">
        <f t="shared" si="126"/>
        <v/>
      </c>
      <c r="V1589" s="212" t="s">
        <v>50</v>
      </c>
      <c r="W1589" s="100" t="s">
        <v>168</v>
      </c>
      <c r="X1589" s="100" t="s">
        <v>169</v>
      </c>
      <c r="Y1589" s="101" t="s">
        <v>170</v>
      </c>
      <c r="Z1589" s="101" t="s">
        <v>171</v>
      </c>
      <c r="AA1589" s="101" t="s">
        <v>50</v>
      </c>
      <c r="AB1589" s="101" t="s">
        <v>172</v>
      </c>
      <c r="AC1589" s="102" t="s">
        <v>173</v>
      </c>
    </row>
    <row r="1590" spans="1:29" ht="25.5" customHeight="1" x14ac:dyDescent="0.35">
      <c r="A1590" s="392"/>
      <c r="B1590" s="393"/>
      <c r="C1590" s="99" t="str">
        <f>IF(B1590="","",IF(NOT(ISNUMBER(B1590)),"DATA_PC invalida",IF(NOT(ISNUMBER(parametros!$C$2)),"Fora dos ciclos",IF(OR(B1590&lt;parametros!$C$2,(YEAR(B1590)-YEAR(parametros!$C$2))*12+MONTH(B1590)-MONTH(parametros!$C$2)&gt;59),"Fora dos ciclos","C"&amp;INT(((YEAR(B1590)-YEAR(parametros!$C$2))*12+MONTH(B1590)-MONTH(parametros!$C$2))/12)))))</f>
        <v/>
      </c>
      <c r="D1590" s="394"/>
      <c r="E1590" s="78" t="str">
        <f>IF(C1590="","",IFERROR(VLOOKUP(C1590,parametros!$A$11:$E$15,5,0),""))</f>
        <v/>
      </c>
      <c r="F1590" s="79" t="str">
        <f t="shared" si="122"/>
        <v/>
      </c>
      <c r="G1590" s="395"/>
      <c r="H1590" s="91">
        <f t="shared" si="123"/>
        <v>0</v>
      </c>
      <c r="I1590" s="91" t="str">
        <f t="shared" si="124"/>
        <v/>
      </c>
      <c r="J1590" s="91" t="str">
        <f t="shared" si="125"/>
        <v/>
      </c>
      <c r="K1590" s="92" t="str">
        <f>IF(AND(A1590="",B1590="",D1590="",G1590=""),"",IF(AND(A1590&lt;&gt;"",COUNTIF($A$2:$A$5001,A1590)&gt;1),"NUMERO_PC duplicado",IF(B1590="","DATA_PC vazia",IF(NOT(ISNUMBER(B1590)),"DATA_PC invalida",IF(OR(C1590="",C1590="Fora dos ciclos"),"CICLO_PC nao identificado",IF(OR(D1590="",D1590=0),"VALOR_PC vazio ou zero",IF(AND(G1590&lt;&gt;"Sim",G1590&lt;&gt;"Nao",G1590&lt;&gt;""),"PC_PAGO_A_CONTRATADA invalido",IF(AND(C1590&lt;&gt;"C0",IFERROR(INDEX(parametros!$A$2:$A$6,MATCH(C1590,parametros!$B$2:$B$6,0)),"")="Sim",IFERROR(INDEX(parametros!$H$2:$H$6,MATCH(C1590,parametros!$B$2:$B$6,0)),"")=""),"INICIO_EFEITO ausente: PC "&amp;A1590&amp;" - "&amp;C1590,IF(L1590="","EFEITO_PC nao calculado: PC "&amp;A1590&amp;" - "&amp;C1590,"OK")))))))))</f>
        <v/>
      </c>
      <c r="L1590" s="92" t="str">
        <f>IF(AND(A1590="",B1590="",D1590="",G1590=""),"",IF(OR(B1590="",NOT(ISNUMBER(B1590)),C1590="",C1590="Fora dos ciclos"),"",IF(C1590="C0","Nao",IF(IFERROR(INDEX(parametros!$A$2:$A$6,MATCH(C1590,parametros!$B$2:$B$6,0)),"")&lt;&gt;"Sim","Nao",IF(IFERROR(INDEX(parametros!$H$2:$H$6,MATCH(C1590,parametros!$B$2:$B$6,0)),"")="","",IF(B1590&gt;=IFERROR(INDEX(parametros!$H$2:$H$6,MATCH(C1590,parametros!$B$2:$B$6,0)),""),"Sim","Nao"))))))</f>
        <v/>
      </c>
      <c r="T1590" s="156"/>
      <c r="U1590" s="214" t="str">
        <f t="shared" si="126"/>
        <v/>
      </c>
      <c r="V1590" s="212" t="s">
        <v>50</v>
      </c>
      <c r="W1590" s="100" t="s">
        <v>168</v>
      </c>
      <c r="X1590" s="100" t="s">
        <v>169</v>
      </c>
      <c r="Y1590" s="101" t="s">
        <v>170</v>
      </c>
      <c r="Z1590" s="101" t="s">
        <v>171</v>
      </c>
      <c r="AA1590" s="101" t="s">
        <v>50</v>
      </c>
      <c r="AB1590" s="101" t="s">
        <v>172</v>
      </c>
      <c r="AC1590" s="102" t="s">
        <v>173</v>
      </c>
    </row>
    <row r="1591" spans="1:29" ht="25.5" customHeight="1" x14ac:dyDescent="0.35">
      <c r="A1591" s="392"/>
      <c r="B1591" s="393"/>
      <c r="C1591" s="99" t="str">
        <f>IF(B1591="","",IF(NOT(ISNUMBER(B1591)),"DATA_PC invalida",IF(NOT(ISNUMBER(parametros!$C$2)),"Fora dos ciclos",IF(OR(B1591&lt;parametros!$C$2,(YEAR(B1591)-YEAR(parametros!$C$2))*12+MONTH(B1591)-MONTH(parametros!$C$2)&gt;59),"Fora dos ciclos","C"&amp;INT(((YEAR(B1591)-YEAR(parametros!$C$2))*12+MONTH(B1591)-MONTH(parametros!$C$2))/12)))))</f>
        <v/>
      </c>
      <c r="D1591" s="394"/>
      <c r="E1591" s="78" t="str">
        <f>IF(C1591="","",IFERROR(VLOOKUP(C1591,parametros!$A$11:$E$15,5,0),""))</f>
        <v/>
      </c>
      <c r="F1591" s="79" t="str">
        <f t="shared" si="122"/>
        <v/>
      </c>
      <c r="G1591" s="395"/>
      <c r="H1591" s="91">
        <f t="shared" si="123"/>
        <v>0</v>
      </c>
      <c r="I1591" s="91" t="str">
        <f t="shared" si="124"/>
        <v/>
      </c>
      <c r="J1591" s="91" t="str">
        <f t="shared" si="125"/>
        <v/>
      </c>
      <c r="K1591" s="92" t="str">
        <f>IF(AND(A1591="",B1591="",D1591="",G1591=""),"",IF(AND(A1591&lt;&gt;"",COUNTIF($A$2:$A$5001,A1591)&gt;1),"NUMERO_PC duplicado",IF(B1591="","DATA_PC vazia",IF(NOT(ISNUMBER(B1591)),"DATA_PC invalida",IF(OR(C1591="",C1591="Fora dos ciclos"),"CICLO_PC nao identificado",IF(OR(D1591="",D1591=0),"VALOR_PC vazio ou zero",IF(AND(G1591&lt;&gt;"Sim",G1591&lt;&gt;"Nao",G1591&lt;&gt;""),"PC_PAGO_A_CONTRATADA invalido",IF(AND(C1591&lt;&gt;"C0",IFERROR(INDEX(parametros!$A$2:$A$6,MATCH(C1591,parametros!$B$2:$B$6,0)),"")="Sim",IFERROR(INDEX(parametros!$H$2:$H$6,MATCH(C1591,parametros!$B$2:$B$6,0)),"")=""),"INICIO_EFEITO ausente: PC "&amp;A1591&amp;" - "&amp;C1591,IF(L1591="","EFEITO_PC nao calculado: PC "&amp;A1591&amp;" - "&amp;C1591,"OK")))))))))</f>
        <v/>
      </c>
      <c r="L1591" s="92" t="str">
        <f>IF(AND(A1591="",B1591="",D1591="",G1591=""),"",IF(OR(B1591="",NOT(ISNUMBER(B1591)),C1591="",C1591="Fora dos ciclos"),"",IF(C1591="C0","Nao",IF(IFERROR(INDEX(parametros!$A$2:$A$6,MATCH(C1591,parametros!$B$2:$B$6,0)),"")&lt;&gt;"Sim","Nao",IF(IFERROR(INDEX(parametros!$H$2:$H$6,MATCH(C1591,parametros!$B$2:$B$6,0)),"")="","",IF(B1591&gt;=IFERROR(INDEX(parametros!$H$2:$H$6,MATCH(C1591,parametros!$B$2:$B$6,0)),""),"Sim","Nao"))))))</f>
        <v/>
      </c>
      <c r="T1591" s="156"/>
      <c r="U1591" s="214" t="str">
        <f t="shared" si="126"/>
        <v/>
      </c>
      <c r="V1591" s="212" t="s">
        <v>50</v>
      </c>
      <c r="W1591" s="100" t="s">
        <v>168</v>
      </c>
      <c r="X1591" s="100" t="s">
        <v>169</v>
      </c>
      <c r="Y1591" s="101" t="s">
        <v>170</v>
      </c>
      <c r="Z1591" s="101" t="s">
        <v>171</v>
      </c>
      <c r="AA1591" s="101" t="s">
        <v>50</v>
      </c>
      <c r="AB1591" s="101" t="s">
        <v>172</v>
      </c>
      <c r="AC1591" s="102" t="s">
        <v>173</v>
      </c>
    </row>
    <row r="1592" spans="1:29" ht="25.5" customHeight="1" x14ac:dyDescent="0.35">
      <c r="A1592" s="392"/>
      <c r="B1592" s="393"/>
      <c r="C1592" s="99" t="str">
        <f>IF(B1592="","",IF(NOT(ISNUMBER(B1592)),"DATA_PC invalida",IF(NOT(ISNUMBER(parametros!$C$2)),"Fora dos ciclos",IF(OR(B1592&lt;parametros!$C$2,(YEAR(B1592)-YEAR(parametros!$C$2))*12+MONTH(B1592)-MONTH(parametros!$C$2)&gt;59),"Fora dos ciclos","C"&amp;INT(((YEAR(B1592)-YEAR(parametros!$C$2))*12+MONTH(B1592)-MONTH(parametros!$C$2))/12)))))</f>
        <v/>
      </c>
      <c r="D1592" s="394"/>
      <c r="E1592" s="78" t="str">
        <f>IF(C1592="","",IFERROR(VLOOKUP(C1592,parametros!$A$11:$E$15,5,0),""))</f>
        <v/>
      </c>
      <c r="F1592" s="79" t="str">
        <f t="shared" si="122"/>
        <v/>
      </c>
      <c r="G1592" s="395"/>
      <c r="H1592" s="91">
        <f t="shared" si="123"/>
        <v>0</v>
      </c>
      <c r="I1592" s="91" t="str">
        <f t="shared" si="124"/>
        <v/>
      </c>
      <c r="J1592" s="91" t="str">
        <f t="shared" si="125"/>
        <v/>
      </c>
      <c r="K1592" s="92" t="str">
        <f>IF(AND(A1592="",B1592="",D1592="",G1592=""),"",IF(AND(A1592&lt;&gt;"",COUNTIF($A$2:$A$5001,A1592)&gt;1),"NUMERO_PC duplicado",IF(B1592="","DATA_PC vazia",IF(NOT(ISNUMBER(B1592)),"DATA_PC invalida",IF(OR(C1592="",C1592="Fora dos ciclos"),"CICLO_PC nao identificado",IF(OR(D1592="",D1592=0),"VALOR_PC vazio ou zero",IF(AND(G1592&lt;&gt;"Sim",G1592&lt;&gt;"Nao",G1592&lt;&gt;""),"PC_PAGO_A_CONTRATADA invalido",IF(AND(C1592&lt;&gt;"C0",IFERROR(INDEX(parametros!$A$2:$A$6,MATCH(C1592,parametros!$B$2:$B$6,0)),"")="Sim",IFERROR(INDEX(parametros!$H$2:$H$6,MATCH(C1592,parametros!$B$2:$B$6,0)),"")=""),"INICIO_EFEITO ausente: PC "&amp;A1592&amp;" - "&amp;C1592,IF(L1592="","EFEITO_PC nao calculado: PC "&amp;A1592&amp;" - "&amp;C1592,"OK")))))))))</f>
        <v/>
      </c>
      <c r="L1592" s="92" t="str">
        <f>IF(AND(A1592="",B1592="",D1592="",G1592=""),"",IF(OR(B1592="",NOT(ISNUMBER(B1592)),C1592="",C1592="Fora dos ciclos"),"",IF(C1592="C0","Nao",IF(IFERROR(INDEX(parametros!$A$2:$A$6,MATCH(C1592,parametros!$B$2:$B$6,0)),"")&lt;&gt;"Sim","Nao",IF(IFERROR(INDEX(parametros!$H$2:$H$6,MATCH(C1592,parametros!$B$2:$B$6,0)),"")="","",IF(B1592&gt;=IFERROR(INDEX(parametros!$H$2:$H$6,MATCH(C1592,parametros!$B$2:$B$6,0)),""),"Sim","Nao"))))))</f>
        <v/>
      </c>
      <c r="T1592" s="156"/>
      <c r="U1592" s="214" t="str">
        <f t="shared" si="126"/>
        <v/>
      </c>
      <c r="V1592" s="212" t="s">
        <v>50</v>
      </c>
      <c r="W1592" s="100" t="s">
        <v>168</v>
      </c>
      <c r="X1592" s="100" t="s">
        <v>169</v>
      </c>
      <c r="Y1592" s="101" t="s">
        <v>170</v>
      </c>
      <c r="Z1592" s="101" t="s">
        <v>171</v>
      </c>
      <c r="AA1592" s="101" t="s">
        <v>50</v>
      </c>
      <c r="AB1592" s="101" t="s">
        <v>172</v>
      </c>
      <c r="AC1592" s="102" t="s">
        <v>173</v>
      </c>
    </row>
    <row r="1593" spans="1:29" ht="25.5" customHeight="1" x14ac:dyDescent="0.35">
      <c r="A1593" s="392"/>
      <c r="B1593" s="393"/>
      <c r="C1593" s="99" t="str">
        <f>IF(B1593="","",IF(NOT(ISNUMBER(B1593)),"DATA_PC invalida",IF(NOT(ISNUMBER(parametros!$C$2)),"Fora dos ciclos",IF(OR(B1593&lt;parametros!$C$2,(YEAR(B1593)-YEAR(parametros!$C$2))*12+MONTH(B1593)-MONTH(parametros!$C$2)&gt;59),"Fora dos ciclos","C"&amp;INT(((YEAR(B1593)-YEAR(parametros!$C$2))*12+MONTH(B1593)-MONTH(parametros!$C$2))/12)))))</f>
        <v/>
      </c>
      <c r="D1593" s="394"/>
      <c r="E1593" s="78" t="str">
        <f>IF(C1593="","",IFERROR(VLOOKUP(C1593,parametros!$A$11:$E$15,5,0),""))</f>
        <v/>
      </c>
      <c r="F1593" s="79" t="str">
        <f t="shared" si="122"/>
        <v/>
      </c>
      <c r="G1593" s="395"/>
      <c r="H1593" s="91">
        <f t="shared" si="123"/>
        <v>0</v>
      </c>
      <c r="I1593" s="91" t="str">
        <f t="shared" si="124"/>
        <v/>
      </c>
      <c r="J1593" s="91" t="str">
        <f t="shared" si="125"/>
        <v/>
      </c>
      <c r="K1593" s="92" t="str">
        <f>IF(AND(A1593="",B1593="",D1593="",G1593=""),"",IF(AND(A1593&lt;&gt;"",COUNTIF($A$2:$A$5001,A1593)&gt;1),"NUMERO_PC duplicado",IF(B1593="","DATA_PC vazia",IF(NOT(ISNUMBER(B1593)),"DATA_PC invalida",IF(OR(C1593="",C1593="Fora dos ciclos"),"CICLO_PC nao identificado",IF(OR(D1593="",D1593=0),"VALOR_PC vazio ou zero",IF(AND(G1593&lt;&gt;"Sim",G1593&lt;&gt;"Nao",G1593&lt;&gt;""),"PC_PAGO_A_CONTRATADA invalido",IF(AND(C1593&lt;&gt;"C0",IFERROR(INDEX(parametros!$A$2:$A$6,MATCH(C1593,parametros!$B$2:$B$6,0)),"")="Sim",IFERROR(INDEX(parametros!$H$2:$H$6,MATCH(C1593,parametros!$B$2:$B$6,0)),"")=""),"INICIO_EFEITO ausente: PC "&amp;A1593&amp;" - "&amp;C1593,IF(L1593="","EFEITO_PC nao calculado: PC "&amp;A1593&amp;" - "&amp;C1593,"OK")))))))))</f>
        <v/>
      </c>
      <c r="L1593" s="92" t="str">
        <f>IF(AND(A1593="",B1593="",D1593="",G1593=""),"",IF(OR(B1593="",NOT(ISNUMBER(B1593)),C1593="",C1593="Fora dos ciclos"),"",IF(C1593="C0","Nao",IF(IFERROR(INDEX(parametros!$A$2:$A$6,MATCH(C1593,parametros!$B$2:$B$6,0)),"")&lt;&gt;"Sim","Nao",IF(IFERROR(INDEX(parametros!$H$2:$H$6,MATCH(C1593,parametros!$B$2:$B$6,0)),"")="","",IF(B1593&gt;=IFERROR(INDEX(parametros!$H$2:$H$6,MATCH(C1593,parametros!$B$2:$B$6,0)),""),"Sim","Nao"))))))</f>
        <v/>
      </c>
      <c r="T1593" s="156"/>
      <c r="U1593" s="214" t="str">
        <f t="shared" si="126"/>
        <v/>
      </c>
      <c r="V1593" s="212" t="s">
        <v>50</v>
      </c>
      <c r="W1593" s="100" t="s">
        <v>168</v>
      </c>
      <c r="X1593" s="100" t="s">
        <v>169</v>
      </c>
      <c r="Y1593" s="101" t="s">
        <v>170</v>
      </c>
      <c r="Z1593" s="101" t="s">
        <v>171</v>
      </c>
      <c r="AA1593" s="101" t="s">
        <v>50</v>
      </c>
      <c r="AB1593" s="101" t="s">
        <v>172</v>
      </c>
      <c r="AC1593" s="102" t="s">
        <v>173</v>
      </c>
    </row>
    <row r="1594" spans="1:29" ht="25.5" customHeight="1" x14ac:dyDescent="0.35">
      <c r="A1594" s="392"/>
      <c r="B1594" s="393"/>
      <c r="C1594" s="99" t="str">
        <f>IF(B1594="","",IF(NOT(ISNUMBER(B1594)),"DATA_PC invalida",IF(NOT(ISNUMBER(parametros!$C$2)),"Fora dos ciclos",IF(OR(B1594&lt;parametros!$C$2,(YEAR(B1594)-YEAR(parametros!$C$2))*12+MONTH(B1594)-MONTH(parametros!$C$2)&gt;59),"Fora dos ciclos","C"&amp;INT(((YEAR(B1594)-YEAR(parametros!$C$2))*12+MONTH(B1594)-MONTH(parametros!$C$2))/12)))))</f>
        <v/>
      </c>
      <c r="D1594" s="394"/>
      <c r="E1594" s="78" t="str">
        <f>IF(C1594="","",IFERROR(VLOOKUP(C1594,parametros!$A$11:$E$15,5,0),""))</f>
        <v/>
      </c>
      <c r="F1594" s="79" t="str">
        <f t="shared" si="122"/>
        <v/>
      </c>
      <c r="G1594" s="395"/>
      <c r="H1594" s="91">
        <f t="shared" si="123"/>
        <v>0</v>
      </c>
      <c r="I1594" s="91" t="str">
        <f t="shared" si="124"/>
        <v/>
      </c>
      <c r="J1594" s="91" t="str">
        <f t="shared" si="125"/>
        <v/>
      </c>
      <c r="K1594" s="92" t="str">
        <f>IF(AND(A1594="",B1594="",D1594="",G1594=""),"",IF(AND(A1594&lt;&gt;"",COUNTIF($A$2:$A$5001,A1594)&gt;1),"NUMERO_PC duplicado",IF(B1594="","DATA_PC vazia",IF(NOT(ISNUMBER(B1594)),"DATA_PC invalida",IF(OR(C1594="",C1594="Fora dos ciclos"),"CICLO_PC nao identificado",IF(OR(D1594="",D1594=0),"VALOR_PC vazio ou zero",IF(AND(G1594&lt;&gt;"Sim",G1594&lt;&gt;"Nao",G1594&lt;&gt;""),"PC_PAGO_A_CONTRATADA invalido",IF(AND(C1594&lt;&gt;"C0",IFERROR(INDEX(parametros!$A$2:$A$6,MATCH(C1594,parametros!$B$2:$B$6,0)),"")="Sim",IFERROR(INDEX(parametros!$H$2:$H$6,MATCH(C1594,parametros!$B$2:$B$6,0)),"")=""),"INICIO_EFEITO ausente: PC "&amp;A1594&amp;" - "&amp;C1594,IF(L1594="","EFEITO_PC nao calculado: PC "&amp;A1594&amp;" - "&amp;C1594,"OK")))))))))</f>
        <v/>
      </c>
      <c r="L1594" s="92" t="str">
        <f>IF(AND(A1594="",B1594="",D1594="",G1594=""),"",IF(OR(B1594="",NOT(ISNUMBER(B1594)),C1594="",C1594="Fora dos ciclos"),"",IF(C1594="C0","Nao",IF(IFERROR(INDEX(parametros!$A$2:$A$6,MATCH(C1594,parametros!$B$2:$B$6,0)),"")&lt;&gt;"Sim","Nao",IF(IFERROR(INDEX(parametros!$H$2:$H$6,MATCH(C1594,parametros!$B$2:$B$6,0)),"")="","",IF(B1594&gt;=IFERROR(INDEX(parametros!$H$2:$H$6,MATCH(C1594,parametros!$B$2:$B$6,0)),""),"Sim","Nao"))))))</f>
        <v/>
      </c>
      <c r="T1594" s="156"/>
      <c r="U1594" s="214" t="str">
        <f t="shared" si="126"/>
        <v/>
      </c>
      <c r="V1594" s="212" t="s">
        <v>50</v>
      </c>
      <c r="W1594" s="100" t="s">
        <v>168</v>
      </c>
      <c r="X1594" s="100" t="s">
        <v>169</v>
      </c>
      <c r="Y1594" s="101" t="s">
        <v>170</v>
      </c>
      <c r="Z1594" s="101" t="s">
        <v>171</v>
      </c>
      <c r="AA1594" s="101" t="s">
        <v>50</v>
      </c>
      <c r="AB1594" s="101" t="s">
        <v>172</v>
      </c>
      <c r="AC1594" s="102" t="s">
        <v>173</v>
      </c>
    </row>
    <row r="1595" spans="1:29" ht="25.5" customHeight="1" x14ac:dyDescent="0.35">
      <c r="A1595" s="392"/>
      <c r="B1595" s="393"/>
      <c r="C1595" s="99" t="str">
        <f>IF(B1595="","",IF(NOT(ISNUMBER(B1595)),"DATA_PC invalida",IF(NOT(ISNUMBER(parametros!$C$2)),"Fora dos ciclos",IF(OR(B1595&lt;parametros!$C$2,(YEAR(B1595)-YEAR(parametros!$C$2))*12+MONTH(B1595)-MONTH(parametros!$C$2)&gt;59),"Fora dos ciclos","C"&amp;INT(((YEAR(B1595)-YEAR(parametros!$C$2))*12+MONTH(B1595)-MONTH(parametros!$C$2))/12)))))</f>
        <v/>
      </c>
      <c r="D1595" s="394"/>
      <c r="E1595" s="78" t="str">
        <f>IF(C1595="","",IFERROR(VLOOKUP(C1595,parametros!$A$11:$E$15,5,0),""))</f>
        <v/>
      </c>
      <c r="F1595" s="79" t="str">
        <f t="shared" si="122"/>
        <v/>
      </c>
      <c r="G1595" s="395"/>
      <c r="H1595" s="91">
        <f t="shared" si="123"/>
        <v>0</v>
      </c>
      <c r="I1595" s="91" t="str">
        <f t="shared" si="124"/>
        <v/>
      </c>
      <c r="J1595" s="91" t="str">
        <f t="shared" si="125"/>
        <v/>
      </c>
      <c r="K1595" s="92" t="str">
        <f>IF(AND(A1595="",B1595="",D1595="",G1595=""),"",IF(AND(A1595&lt;&gt;"",COUNTIF($A$2:$A$5001,A1595)&gt;1),"NUMERO_PC duplicado",IF(B1595="","DATA_PC vazia",IF(NOT(ISNUMBER(B1595)),"DATA_PC invalida",IF(OR(C1595="",C1595="Fora dos ciclos"),"CICLO_PC nao identificado",IF(OR(D1595="",D1595=0),"VALOR_PC vazio ou zero",IF(AND(G1595&lt;&gt;"Sim",G1595&lt;&gt;"Nao",G1595&lt;&gt;""),"PC_PAGO_A_CONTRATADA invalido",IF(AND(C1595&lt;&gt;"C0",IFERROR(INDEX(parametros!$A$2:$A$6,MATCH(C1595,parametros!$B$2:$B$6,0)),"")="Sim",IFERROR(INDEX(parametros!$H$2:$H$6,MATCH(C1595,parametros!$B$2:$B$6,0)),"")=""),"INICIO_EFEITO ausente: PC "&amp;A1595&amp;" - "&amp;C1595,IF(L1595="","EFEITO_PC nao calculado: PC "&amp;A1595&amp;" - "&amp;C1595,"OK")))))))))</f>
        <v/>
      </c>
      <c r="L1595" s="92" t="str">
        <f>IF(AND(A1595="",B1595="",D1595="",G1595=""),"",IF(OR(B1595="",NOT(ISNUMBER(B1595)),C1595="",C1595="Fora dos ciclos"),"",IF(C1595="C0","Nao",IF(IFERROR(INDEX(parametros!$A$2:$A$6,MATCH(C1595,parametros!$B$2:$B$6,0)),"")&lt;&gt;"Sim","Nao",IF(IFERROR(INDEX(parametros!$H$2:$H$6,MATCH(C1595,parametros!$B$2:$B$6,0)),"")="","",IF(B1595&gt;=IFERROR(INDEX(parametros!$H$2:$H$6,MATCH(C1595,parametros!$B$2:$B$6,0)),""),"Sim","Nao"))))))</f>
        <v/>
      </c>
      <c r="T1595" s="156"/>
      <c r="U1595" s="214" t="str">
        <f t="shared" si="126"/>
        <v/>
      </c>
      <c r="V1595" s="212" t="s">
        <v>50</v>
      </c>
      <c r="W1595" s="100" t="s">
        <v>168</v>
      </c>
      <c r="X1595" s="100" t="s">
        <v>169</v>
      </c>
      <c r="Y1595" s="101" t="s">
        <v>170</v>
      </c>
      <c r="Z1595" s="101" t="s">
        <v>171</v>
      </c>
      <c r="AA1595" s="101" t="s">
        <v>50</v>
      </c>
      <c r="AB1595" s="101" t="s">
        <v>172</v>
      </c>
      <c r="AC1595" s="102" t="s">
        <v>173</v>
      </c>
    </row>
    <row r="1596" spans="1:29" ht="25.5" customHeight="1" x14ac:dyDescent="0.35">
      <c r="A1596" s="392"/>
      <c r="B1596" s="393"/>
      <c r="C1596" s="99" t="str">
        <f>IF(B1596="","",IF(NOT(ISNUMBER(B1596)),"DATA_PC invalida",IF(NOT(ISNUMBER(parametros!$C$2)),"Fora dos ciclos",IF(OR(B1596&lt;parametros!$C$2,(YEAR(B1596)-YEAR(parametros!$C$2))*12+MONTH(B1596)-MONTH(parametros!$C$2)&gt;59),"Fora dos ciclos","C"&amp;INT(((YEAR(B1596)-YEAR(parametros!$C$2))*12+MONTH(B1596)-MONTH(parametros!$C$2))/12)))))</f>
        <v/>
      </c>
      <c r="D1596" s="394"/>
      <c r="E1596" s="78" t="str">
        <f>IF(C1596="","",IFERROR(VLOOKUP(C1596,parametros!$A$11:$E$15,5,0),""))</f>
        <v/>
      </c>
      <c r="F1596" s="79" t="str">
        <f t="shared" si="122"/>
        <v/>
      </c>
      <c r="G1596" s="395"/>
      <c r="H1596" s="91">
        <f t="shared" si="123"/>
        <v>0</v>
      </c>
      <c r="I1596" s="91" t="str">
        <f t="shared" si="124"/>
        <v/>
      </c>
      <c r="J1596" s="91" t="str">
        <f t="shared" si="125"/>
        <v/>
      </c>
      <c r="K1596" s="92" t="str">
        <f>IF(AND(A1596="",B1596="",D1596="",G1596=""),"",IF(AND(A1596&lt;&gt;"",COUNTIF($A$2:$A$5001,A1596)&gt;1),"NUMERO_PC duplicado",IF(B1596="","DATA_PC vazia",IF(NOT(ISNUMBER(B1596)),"DATA_PC invalida",IF(OR(C1596="",C1596="Fora dos ciclos"),"CICLO_PC nao identificado",IF(OR(D1596="",D1596=0),"VALOR_PC vazio ou zero",IF(AND(G1596&lt;&gt;"Sim",G1596&lt;&gt;"Nao",G1596&lt;&gt;""),"PC_PAGO_A_CONTRATADA invalido",IF(AND(C1596&lt;&gt;"C0",IFERROR(INDEX(parametros!$A$2:$A$6,MATCH(C1596,parametros!$B$2:$B$6,0)),"")="Sim",IFERROR(INDEX(parametros!$H$2:$H$6,MATCH(C1596,parametros!$B$2:$B$6,0)),"")=""),"INICIO_EFEITO ausente: PC "&amp;A1596&amp;" - "&amp;C1596,IF(L1596="","EFEITO_PC nao calculado: PC "&amp;A1596&amp;" - "&amp;C1596,"OK")))))))))</f>
        <v/>
      </c>
      <c r="L1596" s="92" t="str">
        <f>IF(AND(A1596="",B1596="",D1596="",G1596=""),"",IF(OR(B1596="",NOT(ISNUMBER(B1596)),C1596="",C1596="Fora dos ciclos"),"",IF(C1596="C0","Nao",IF(IFERROR(INDEX(parametros!$A$2:$A$6,MATCH(C1596,parametros!$B$2:$B$6,0)),"")&lt;&gt;"Sim","Nao",IF(IFERROR(INDEX(parametros!$H$2:$H$6,MATCH(C1596,parametros!$B$2:$B$6,0)),"")="","",IF(B1596&gt;=IFERROR(INDEX(parametros!$H$2:$H$6,MATCH(C1596,parametros!$B$2:$B$6,0)),""),"Sim","Nao"))))))</f>
        <v/>
      </c>
      <c r="T1596" s="156"/>
      <c r="U1596" s="214" t="str">
        <f t="shared" si="126"/>
        <v/>
      </c>
      <c r="V1596" s="212" t="s">
        <v>50</v>
      </c>
      <c r="W1596" s="100" t="s">
        <v>168</v>
      </c>
      <c r="X1596" s="100" t="s">
        <v>169</v>
      </c>
      <c r="Y1596" s="101" t="s">
        <v>170</v>
      </c>
      <c r="Z1596" s="101" t="s">
        <v>171</v>
      </c>
      <c r="AA1596" s="101" t="s">
        <v>50</v>
      </c>
      <c r="AB1596" s="101" t="s">
        <v>172</v>
      </c>
      <c r="AC1596" s="102" t="s">
        <v>173</v>
      </c>
    </row>
    <row r="1597" spans="1:29" ht="25.5" customHeight="1" x14ac:dyDescent="0.35">
      <c r="A1597" s="392"/>
      <c r="B1597" s="393"/>
      <c r="C1597" s="99" t="str">
        <f>IF(B1597="","",IF(NOT(ISNUMBER(B1597)),"DATA_PC invalida",IF(NOT(ISNUMBER(parametros!$C$2)),"Fora dos ciclos",IF(OR(B1597&lt;parametros!$C$2,(YEAR(B1597)-YEAR(parametros!$C$2))*12+MONTH(B1597)-MONTH(parametros!$C$2)&gt;59),"Fora dos ciclos","C"&amp;INT(((YEAR(B1597)-YEAR(parametros!$C$2))*12+MONTH(B1597)-MONTH(parametros!$C$2))/12)))))</f>
        <v/>
      </c>
      <c r="D1597" s="394"/>
      <c r="E1597" s="78" t="str">
        <f>IF(C1597="","",IFERROR(VLOOKUP(C1597,parametros!$A$11:$E$15,5,0),""))</f>
        <v/>
      </c>
      <c r="F1597" s="79" t="str">
        <f t="shared" si="122"/>
        <v/>
      </c>
      <c r="G1597" s="395"/>
      <c r="H1597" s="91">
        <f t="shared" si="123"/>
        <v>0</v>
      </c>
      <c r="I1597" s="91" t="str">
        <f t="shared" si="124"/>
        <v/>
      </c>
      <c r="J1597" s="91" t="str">
        <f t="shared" si="125"/>
        <v/>
      </c>
      <c r="K1597" s="92" t="str">
        <f>IF(AND(A1597="",B1597="",D1597="",G1597=""),"",IF(AND(A1597&lt;&gt;"",COUNTIF($A$2:$A$5001,A1597)&gt;1),"NUMERO_PC duplicado",IF(B1597="","DATA_PC vazia",IF(NOT(ISNUMBER(B1597)),"DATA_PC invalida",IF(OR(C1597="",C1597="Fora dos ciclos"),"CICLO_PC nao identificado",IF(OR(D1597="",D1597=0),"VALOR_PC vazio ou zero",IF(AND(G1597&lt;&gt;"Sim",G1597&lt;&gt;"Nao",G1597&lt;&gt;""),"PC_PAGO_A_CONTRATADA invalido",IF(AND(C1597&lt;&gt;"C0",IFERROR(INDEX(parametros!$A$2:$A$6,MATCH(C1597,parametros!$B$2:$B$6,0)),"")="Sim",IFERROR(INDEX(parametros!$H$2:$H$6,MATCH(C1597,parametros!$B$2:$B$6,0)),"")=""),"INICIO_EFEITO ausente: PC "&amp;A1597&amp;" - "&amp;C1597,IF(L1597="","EFEITO_PC nao calculado: PC "&amp;A1597&amp;" - "&amp;C1597,"OK")))))))))</f>
        <v/>
      </c>
      <c r="L1597" s="92" t="str">
        <f>IF(AND(A1597="",B1597="",D1597="",G1597=""),"",IF(OR(B1597="",NOT(ISNUMBER(B1597)),C1597="",C1597="Fora dos ciclos"),"",IF(C1597="C0","Nao",IF(IFERROR(INDEX(parametros!$A$2:$A$6,MATCH(C1597,parametros!$B$2:$B$6,0)),"")&lt;&gt;"Sim","Nao",IF(IFERROR(INDEX(parametros!$H$2:$H$6,MATCH(C1597,parametros!$B$2:$B$6,0)),"")="","",IF(B1597&gt;=IFERROR(INDEX(parametros!$H$2:$H$6,MATCH(C1597,parametros!$B$2:$B$6,0)),""),"Sim","Nao"))))))</f>
        <v/>
      </c>
      <c r="T1597" s="156"/>
      <c r="U1597" s="214" t="str">
        <f t="shared" si="126"/>
        <v/>
      </c>
      <c r="V1597" s="212" t="s">
        <v>50</v>
      </c>
      <c r="W1597" s="100" t="s">
        <v>168</v>
      </c>
      <c r="X1597" s="100" t="s">
        <v>169</v>
      </c>
      <c r="Y1597" s="101" t="s">
        <v>170</v>
      </c>
      <c r="Z1597" s="101" t="s">
        <v>171</v>
      </c>
      <c r="AA1597" s="101" t="s">
        <v>50</v>
      </c>
      <c r="AB1597" s="101" t="s">
        <v>172</v>
      </c>
      <c r="AC1597" s="102" t="s">
        <v>173</v>
      </c>
    </row>
    <row r="1598" spans="1:29" ht="25.5" customHeight="1" x14ac:dyDescent="0.35">
      <c r="A1598" s="392"/>
      <c r="B1598" s="393"/>
      <c r="C1598" s="99" t="str">
        <f>IF(B1598="","",IF(NOT(ISNUMBER(B1598)),"DATA_PC invalida",IF(NOT(ISNUMBER(parametros!$C$2)),"Fora dos ciclos",IF(OR(B1598&lt;parametros!$C$2,(YEAR(B1598)-YEAR(parametros!$C$2))*12+MONTH(B1598)-MONTH(parametros!$C$2)&gt;59),"Fora dos ciclos","C"&amp;INT(((YEAR(B1598)-YEAR(parametros!$C$2))*12+MONTH(B1598)-MONTH(parametros!$C$2))/12)))))</f>
        <v/>
      </c>
      <c r="D1598" s="394"/>
      <c r="E1598" s="78" t="str">
        <f>IF(C1598="","",IFERROR(VLOOKUP(C1598,parametros!$A$11:$E$15,5,0),""))</f>
        <v/>
      </c>
      <c r="F1598" s="79" t="str">
        <f t="shared" si="122"/>
        <v/>
      </c>
      <c r="G1598" s="395"/>
      <c r="H1598" s="91">
        <f t="shared" si="123"/>
        <v>0</v>
      </c>
      <c r="I1598" s="91" t="str">
        <f t="shared" si="124"/>
        <v/>
      </c>
      <c r="J1598" s="91" t="str">
        <f t="shared" si="125"/>
        <v/>
      </c>
      <c r="K1598" s="92" t="str">
        <f>IF(AND(A1598="",B1598="",D1598="",G1598=""),"",IF(AND(A1598&lt;&gt;"",COUNTIF($A$2:$A$5001,A1598)&gt;1),"NUMERO_PC duplicado",IF(B1598="","DATA_PC vazia",IF(NOT(ISNUMBER(B1598)),"DATA_PC invalida",IF(OR(C1598="",C1598="Fora dos ciclos"),"CICLO_PC nao identificado",IF(OR(D1598="",D1598=0),"VALOR_PC vazio ou zero",IF(AND(G1598&lt;&gt;"Sim",G1598&lt;&gt;"Nao",G1598&lt;&gt;""),"PC_PAGO_A_CONTRATADA invalido",IF(AND(C1598&lt;&gt;"C0",IFERROR(INDEX(parametros!$A$2:$A$6,MATCH(C1598,parametros!$B$2:$B$6,0)),"")="Sim",IFERROR(INDEX(parametros!$H$2:$H$6,MATCH(C1598,parametros!$B$2:$B$6,0)),"")=""),"INICIO_EFEITO ausente: PC "&amp;A1598&amp;" - "&amp;C1598,IF(L1598="","EFEITO_PC nao calculado: PC "&amp;A1598&amp;" - "&amp;C1598,"OK")))))))))</f>
        <v/>
      </c>
      <c r="L1598" s="92" t="str">
        <f>IF(AND(A1598="",B1598="",D1598="",G1598=""),"",IF(OR(B1598="",NOT(ISNUMBER(B1598)),C1598="",C1598="Fora dos ciclos"),"",IF(C1598="C0","Nao",IF(IFERROR(INDEX(parametros!$A$2:$A$6,MATCH(C1598,parametros!$B$2:$B$6,0)),"")&lt;&gt;"Sim","Nao",IF(IFERROR(INDEX(parametros!$H$2:$H$6,MATCH(C1598,parametros!$B$2:$B$6,0)),"")="","",IF(B1598&gt;=IFERROR(INDEX(parametros!$H$2:$H$6,MATCH(C1598,parametros!$B$2:$B$6,0)),""),"Sim","Nao"))))))</f>
        <v/>
      </c>
      <c r="T1598" s="156"/>
      <c r="U1598" s="214" t="str">
        <f t="shared" si="126"/>
        <v/>
      </c>
      <c r="V1598" s="212" t="s">
        <v>50</v>
      </c>
      <c r="W1598" s="100" t="s">
        <v>168</v>
      </c>
      <c r="X1598" s="100" t="s">
        <v>169</v>
      </c>
      <c r="Y1598" s="101" t="s">
        <v>170</v>
      </c>
      <c r="Z1598" s="101" t="s">
        <v>171</v>
      </c>
      <c r="AA1598" s="101" t="s">
        <v>50</v>
      </c>
      <c r="AB1598" s="101" t="s">
        <v>172</v>
      </c>
      <c r="AC1598" s="102" t="s">
        <v>173</v>
      </c>
    </row>
    <row r="1599" spans="1:29" ht="25.5" customHeight="1" x14ac:dyDescent="0.35">
      <c r="A1599" s="392"/>
      <c r="B1599" s="393"/>
      <c r="C1599" s="99" t="str">
        <f>IF(B1599="","",IF(NOT(ISNUMBER(B1599)),"DATA_PC invalida",IF(NOT(ISNUMBER(parametros!$C$2)),"Fora dos ciclos",IF(OR(B1599&lt;parametros!$C$2,(YEAR(B1599)-YEAR(parametros!$C$2))*12+MONTH(B1599)-MONTH(parametros!$C$2)&gt;59),"Fora dos ciclos","C"&amp;INT(((YEAR(B1599)-YEAR(parametros!$C$2))*12+MONTH(B1599)-MONTH(parametros!$C$2))/12)))))</f>
        <v/>
      </c>
      <c r="D1599" s="394"/>
      <c r="E1599" s="78" t="str">
        <f>IF(C1599="","",IFERROR(VLOOKUP(C1599,parametros!$A$11:$E$15,5,0),""))</f>
        <v/>
      </c>
      <c r="F1599" s="79" t="str">
        <f t="shared" si="122"/>
        <v/>
      </c>
      <c r="G1599" s="395"/>
      <c r="H1599" s="91">
        <f t="shared" si="123"/>
        <v>0</v>
      </c>
      <c r="I1599" s="91" t="str">
        <f t="shared" si="124"/>
        <v/>
      </c>
      <c r="J1599" s="91" t="str">
        <f t="shared" si="125"/>
        <v/>
      </c>
      <c r="K1599" s="92" t="str">
        <f>IF(AND(A1599="",B1599="",D1599="",G1599=""),"",IF(AND(A1599&lt;&gt;"",COUNTIF($A$2:$A$5001,A1599)&gt;1),"NUMERO_PC duplicado",IF(B1599="","DATA_PC vazia",IF(NOT(ISNUMBER(B1599)),"DATA_PC invalida",IF(OR(C1599="",C1599="Fora dos ciclos"),"CICLO_PC nao identificado",IF(OR(D1599="",D1599=0),"VALOR_PC vazio ou zero",IF(AND(G1599&lt;&gt;"Sim",G1599&lt;&gt;"Nao",G1599&lt;&gt;""),"PC_PAGO_A_CONTRATADA invalido",IF(AND(C1599&lt;&gt;"C0",IFERROR(INDEX(parametros!$A$2:$A$6,MATCH(C1599,parametros!$B$2:$B$6,0)),"")="Sim",IFERROR(INDEX(parametros!$H$2:$H$6,MATCH(C1599,parametros!$B$2:$B$6,0)),"")=""),"INICIO_EFEITO ausente: PC "&amp;A1599&amp;" - "&amp;C1599,IF(L1599="","EFEITO_PC nao calculado: PC "&amp;A1599&amp;" - "&amp;C1599,"OK")))))))))</f>
        <v/>
      </c>
      <c r="L1599" s="92" t="str">
        <f>IF(AND(A1599="",B1599="",D1599="",G1599=""),"",IF(OR(B1599="",NOT(ISNUMBER(B1599)),C1599="",C1599="Fora dos ciclos"),"",IF(C1599="C0","Nao",IF(IFERROR(INDEX(parametros!$A$2:$A$6,MATCH(C1599,parametros!$B$2:$B$6,0)),"")&lt;&gt;"Sim","Nao",IF(IFERROR(INDEX(parametros!$H$2:$H$6,MATCH(C1599,parametros!$B$2:$B$6,0)),"")="","",IF(B1599&gt;=IFERROR(INDEX(parametros!$H$2:$H$6,MATCH(C1599,parametros!$B$2:$B$6,0)),""),"Sim","Nao"))))))</f>
        <v/>
      </c>
      <c r="T1599" s="156"/>
      <c r="U1599" s="214" t="str">
        <f t="shared" si="126"/>
        <v/>
      </c>
      <c r="V1599" s="212" t="s">
        <v>50</v>
      </c>
      <c r="W1599" s="100" t="s">
        <v>168</v>
      </c>
      <c r="X1599" s="100" t="s">
        <v>169</v>
      </c>
      <c r="Y1599" s="101" t="s">
        <v>170</v>
      </c>
      <c r="Z1599" s="101" t="s">
        <v>171</v>
      </c>
      <c r="AA1599" s="101" t="s">
        <v>50</v>
      </c>
      <c r="AB1599" s="101" t="s">
        <v>172</v>
      </c>
      <c r="AC1599" s="102" t="s">
        <v>173</v>
      </c>
    </row>
    <row r="1600" spans="1:29" ht="25.5" customHeight="1" x14ac:dyDescent="0.35">
      <c r="A1600" s="392"/>
      <c r="B1600" s="393"/>
      <c r="C1600" s="99" t="str">
        <f>IF(B1600="","",IF(NOT(ISNUMBER(B1600)),"DATA_PC invalida",IF(NOT(ISNUMBER(parametros!$C$2)),"Fora dos ciclos",IF(OR(B1600&lt;parametros!$C$2,(YEAR(B1600)-YEAR(parametros!$C$2))*12+MONTH(B1600)-MONTH(parametros!$C$2)&gt;59),"Fora dos ciclos","C"&amp;INT(((YEAR(B1600)-YEAR(parametros!$C$2))*12+MONTH(B1600)-MONTH(parametros!$C$2))/12)))))</f>
        <v/>
      </c>
      <c r="D1600" s="394"/>
      <c r="E1600" s="78" t="str">
        <f>IF(C1600="","",IFERROR(VLOOKUP(C1600,parametros!$A$11:$E$15,5,0),""))</f>
        <v/>
      </c>
      <c r="F1600" s="79" t="str">
        <f t="shared" si="122"/>
        <v/>
      </c>
      <c r="G1600" s="395"/>
      <c r="H1600" s="91">
        <f t="shared" si="123"/>
        <v>0</v>
      </c>
      <c r="I1600" s="91" t="str">
        <f t="shared" si="124"/>
        <v/>
      </c>
      <c r="J1600" s="91" t="str">
        <f t="shared" si="125"/>
        <v/>
      </c>
      <c r="K1600" s="92" t="str">
        <f>IF(AND(A1600="",B1600="",D1600="",G1600=""),"",IF(AND(A1600&lt;&gt;"",COUNTIF($A$2:$A$5001,A1600)&gt;1),"NUMERO_PC duplicado",IF(B1600="","DATA_PC vazia",IF(NOT(ISNUMBER(B1600)),"DATA_PC invalida",IF(OR(C1600="",C1600="Fora dos ciclos"),"CICLO_PC nao identificado",IF(OR(D1600="",D1600=0),"VALOR_PC vazio ou zero",IF(AND(G1600&lt;&gt;"Sim",G1600&lt;&gt;"Nao",G1600&lt;&gt;""),"PC_PAGO_A_CONTRATADA invalido",IF(AND(C1600&lt;&gt;"C0",IFERROR(INDEX(parametros!$A$2:$A$6,MATCH(C1600,parametros!$B$2:$B$6,0)),"")="Sim",IFERROR(INDEX(parametros!$H$2:$H$6,MATCH(C1600,parametros!$B$2:$B$6,0)),"")=""),"INICIO_EFEITO ausente: PC "&amp;A1600&amp;" - "&amp;C1600,IF(L1600="","EFEITO_PC nao calculado: PC "&amp;A1600&amp;" - "&amp;C1600,"OK")))))))))</f>
        <v/>
      </c>
      <c r="L1600" s="92" t="str">
        <f>IF(AND(A1600="",B1600="",D1600="",G1600=""),"",IF(OR(B1600="",NOT(ISNUMBER(B1600)),C1600="",C1600="Fora dos ciclos"),"",IF(C1600="C0","Nao",IF(IFERROR(INDEX(parametros!$A$2:$A$6,MATCH(C1600,parametros!$B$2:$B$6,0)),"")&lt;&gt;"Sim","Nao",IF(IFERROR(INDEX(parametros!$H$2:$H$6,MATCH(C1600,parametros!$B$2:$B$6,0)),"")="","",IF(B1600&gt;=IFERROR(INDEX(parametros!$H$2:$H$6,MATCH(C1600,parametros!$B$2:$B$6,0)),""),"Sim","Nao"))))))</f>
        <v/>
      </c>
      <c r="T1600" s="156"/>
      <c r="U1600" s="214" t="str">
        <f t="shared" si="126"/>
        <v/>
      </c>
      <c r="V1600" s="212" t="s">
        <v>50</v>
      </c>
      <c r="W1600" s="100" t="s">
        <v>168</v>
      </c>
      <c r="X1600" s="100" t="s">
        <v>169</v>
      </c>
      <c r="Y1600" s="101" t="s">
        <v>170</v>
      </c>
      <c r="Z1600" s="101" t="s">
        <v>171</v>
      </c>
      <c r="AA1600" s="101" t="s">
        <v>50</v>
      </c>
      <c r="AB1600" s="101" t="s">
        <v>172</v>
      </c>
      <c r="AC1600" s="102" t="s">
        <v>173</v>
      </c>
    </row>
    <row r="1601" spans="1:29" ht="25.5" customHeight="1" x14ac:dyDescent="0.35">
      <c r="A1601" s="392"/>
      <c r="B1601" s="393"/>
      <c r="C1601" s="99" t="str">
        <f>IF(B1601="","",IF(NOT(ISNUMBER(B1601)),"DATA_PC invalida",IF(NOT(ISNUMBER(parametros!$C$2)),"Fora dos ciclos",IF(OR(B1601&lt;parametros!$C$2,(YEAR(B1601)-YEAR(parametros!$C$2))*12+MONTH(B1601)-MONTH(parametros!$C$2)&gt;59),"Fora dos ciclos","C"&amp;INT(((YEAR(B1601)-YEAR(parametros!$C$2))*12+MONTH(B1601)-MONTH(parametros!$C$2))/12)))))</f>
        <v/>
      </c>
      <c r="D1601" s="394"/>
      <c r="E1601" s="78" t="str">
        <f>IF(C1601="","",IFERROR(VLOOKUP(C1601,parametros!$A$11:$E$15,5,0),""))</f>
        <v/>
      </c>
      <c r="F1601" s="79" t="str">
        <f t="shared" si="122"/>
        <v/>
      </c>
      <c r="G1601" s="395"/>
      <c r="H1601" s="91">
        <f t="shared" si="123"/>
        <v>0</v>
      </c>
      <c r="I1601" s="91" t="str">
        <f t="shared" si="124"/>
        <v/>
      </c>
      <c r="J1601" s="91" t="str">
        <f t="shared" si="125"/>
        <v/>
      </c>
      <c r="K1601" s="92" t="str">
        <f>IF(AND(A1601="",B1601="",D1601="",G1601=""),"",IF(AND(A1601&lt;&gt;"",COUNTIF($A$2:$A$5001,A1601)&gt;1),"NUMERO_PC duplicado",IF(B1601="","DATA_PC vazia",IF(NOT(ISNUMBER(B1601)),"DATA_PC invalida",IF(OR(C1601="",C1601="Fora dos ciclos"),"CICLO_PC nao identificado",IF(OR(D1601="",D1601=0),"VALOR_PC vazio ou zero",IF(AND(G1601&lt;&gt;"Sim",G1601&lt;&gt;"Nao",G1601&lt;&gt;""),"PC_PAGO_A_CONTRATADA invalido",IF(AND(C1601&lt;&gt;"C0",IFERROR(INDEX(parametros!$A$2:$A$6,MATCH(C1601,parametros!$B$2:$B$6,0)),"")="Sim",IFERROR(INDEX(parametros!$H$2:$H$6,MATCH(C1601,parametros!$B$2:$B$6,0)),"")=""),"INICIO_EFEITO ausente: PC "&amp;A1601&amp;" - "&amp;C1601,IF(L1601="","EFEITO_PC nao calculado: PC "&amp;A1601&amp;" - "&amp;C1601,"OK")))))))))</f>
        <v/>
      </c>
      <c r="L1601" s="92" t="str">
        <f>IF(AND(A1601="",B1601="",D1601="",G1601=""),"",IF(OR(B1601="",NOT(ISNUMBER(B1601)),C1601="",C1601="Fora dos ciclos"),"",IF(C1601="C0","Nao",IF(IFERROR(INDEX(parametros!$A$2:$A$6,MATCH(C1601,parametros!$B$2:$B$6,0)),"")&lt;&gt;"Sim","Nao",IF(IFERROR(INDEX(parametros!$H$2:$H$6,MATCH(C1601,parametros!$B$2:$B$6,0)),"")="","",IF(B1601&gt;=IFERROR(INDEX(parametros!$H$2:$H$6,MATCH(C1601,parametros!$B$2:$B$6,0)),""),"Sim","Nao"))))))</f>
        <v/>
      </c>
      <c r="T1601" s="156"/>
      <c r="U1601" s="214" t="str">
        <f t="shared" si="126"/>
        <v/>
      </c>
      <c r="V1601" s="212" t="s">
        <v>50</v>
      </c>
      <c r="W1601" s="100" t="s">
        <v>168</v>
      </c>
      <c r="X1601" s="100" t="s">
        <v>169</v>
      </c>
      <c r="Y1601" s="101" t="s">
        <v>170</v>
      </c>
      <c r="Z1601" s="101" t="s">
        <v>171</v>
      </c>
      <c r="AA1601" s="101" t="s">
        <v>50</v>
      </c>
      <c r="AB1601" s="101" t="s">
        <v>172</v>
      </c>
      <c r="AC1601" s="102" t="s">
        <v>173</v>
      </c>
    </row>
    <row r="1602" spans="1:29" ht="25.5" customHeight="1" x14ac:dyDescent="0.35">
      <c r="A1602" s="392"/>
      <c r="B1602" s="393"/>
      <c r="C1602" s="99" t="str">
        <f>IF(B1602="","",IF(NOT(ISNUMBER(B1602)),"DATA_PC invalida",IF(NOT(ISNUMBER(parametros!$C$2)),"Fora dos ciclos",IF(OR(B1602&lt;parametros!$C$2,(YEAR(B1602)-YEAR(parametros!$C$2))*12+MONTH(B1602)-MONTH(parametros!$C$2)&gt;59),"Fora dos ciclos","C"&amp;INT(((YEAR(B1602)-YEAR(parametros!$C$2))*12+MONTH(B1602)-MONTH(parametros!$C$2))/12)))))</f>
        <v/>
      </c>
      <c r="D1602" s="394"/>
      <c r="E1602" s="78" t="str">
        <f>IF(C1602="","",IFERROR(VLOOKUP(C1602,parametros!$A$11:$E$15,5,0),""))</f>
        <v/>
      </c>
      <c r="F1602" s="79" t="str">
        <f t="shared" ref="F1602:F1665" si="127">IF(OR(D1602="",E1602=""),"",ROUND(D1602*E1602,2))</f>
        <v/>
      </c>
      <c r="G1602" s="395"/>
      <c r="H1602" s="91">
        <f t="shared" ref="H1602:H1665" si="128">IF(G1602="Sim",IF(OR(F1602="",D1602="",L1602=""),"",IF(L1602="Sim",ROUND(F1602-D1602,2),0)),0)</f>
        <v>0</v>
      </c>
      <c r="I1602" s="91" t="str">
        <f t="shared" ref="I1602:I1665" si="129">IF(G1602="Sim",0,IF(OR(F1602="",L1602=""),"",F1602))</f>
        <v/>
      </c>
      <c r="J1602" s="91" t="str">
        <f t="shared" ref="J1602:J1665" si="130">IF(G1602="Sim",0,IF(OR(F1602="",D1602="",L1602=""),"",IF(L1602="Sim",ROUND(F1602-D1602,2),0)))</f>
        <v/>
      </c>
      <c r="K1602" s="92" t="str">
        <f>IF(AND(A1602="",B1602="",D1602="",G1602=""),"",IF(AND(A1602&lt;&gt;"",COUNTIF($A$2:$A$5001,A1602)&gt;1),"NUMERO_PC duplicado",IF(B1602="","DATA_PC vazia",IF(NOT(ISNUMBER(B1602)),"DATA_PC invalida",IF(OR(C1602="",C1602="Fora dos ciclos"),"CICLO_PC nao identificado",IF(OR(D1602="",D1602=0),"VALOR_PC vazio ou zero",IF(AND(G1602&lt;&gt;"Sim",G1602&lt;&gt;"Nao",G1602&lt;&gt;""),"PC_PAGO_A_CONTRATADA invalido",IF(AND(C1602&lt;&gt;"C0",IFERROR(INDEX(parametros!$A$2:$A$6,MATCH(C1602,parametros!$B$2:$B$6,0)),"")="Sim",IFERROR(INDEX(parametros!$H$2:$H$6,MATCH(C1602,parametros!$B$2:$B$6,0)),"")=""),"INICIO_EFEITO ausente: PC "&amp;A1602&amp;" - "&amp;C1602,IF(L1602="","EFEITO_PC nao calculado: PC "&amp;A1602&amp;" - "&amp;C1602,"OK")))))))))</f>
        <v/>
      </c>
      <c r="L1602" s="92" t="str">
        <f>IF(AND(A1602="",B1602="",D1602="",G1602=""),"",IF(OR(B1602="",NOT(ISNUMBER(B1602)),C1602="",C1602="Fora dos ciclos"),"",IF(C1602="C0","Nao",IF(IFERROR(INDEX(parametros!$A$2:$A$6,MATCH(C1602,parametros!$B$2:$B$6,0)),"")&lt;&gt;"Sim","Nao",IF(IFERROR(INDEX(parametros!$H$2:$H$6,MATCH(C1602,parametros!$B$2:$B$6,0)),"")="","",IF(B1602&gt;=IFERROR(INDEX(parametros!$H$2:$H$6,MATCH(C1602,parametros!$B$2:$B$6,0)),""),"Sim","Nao"))))))</f>
        <v/>
      </c>
      <c r="T1602" s="156"/>
      <c r="U1602" s="214" t="str">
        <f t="shared" ref="U1602:U1665" si="131">IF(OR($D1602="",$H1602=""),"",ROUND($D1602+$H1602,2))</f>
        <v/>
      </c>
      <c r="V1602" s="212" t="s">
        <v>50</v>
      </c>
      <c r="W1602" s="100" t="s">
        <v>168</v>
      </c>
      <c r="X1602" s="100" t="s">
        <v>169</v>
      </c>
      <c r="Y1602" s="101" t="s">
        <v>170</v>
      </c>
      <c r="Z1602" s="101" t="s">
        <v>171</v>
      </c>
      <c r="AA1602" s="101" t="s">
        <v>50</v>
      </c>
      <c r="AB1602" s="101" t="s">
        <v>172</v>
      </c>
      <c r="AC1602" s="102" t="s">
        <v>173</v>
      </c>
    </row>
    <row r="1603" spans="1:29" ht="25.5" customHeight="1" x14ac:dyDescent="0.35">
      <c r="A1603" s="392"/>
      <c r="B1603" s="393"/>
      <c r="C1603" s="99" t="str">
        <f>IF(B1603="","",IF(NOT(ISNUMBER(B1603)),"DATA_PC invalida",IF(NOT(ISNUMBER(parametros!$C$2)),"Fora dos ciclos",IF(OR(B1603&lt;parametros!$C$2,(YEAR(B1603)-YEAR(parametros!$C$2))*12+MONTH(B1603)-MONTH(parametros!$C$2)&gt;59),"Fora dos ciclos","C"&amp;INT(((YEAR(B1603)-YEAR(parametros!$C$2))*12+MONTH(B1603)-MONTH(parametros!$C$2))/12)))))</f>
        <v/>
      </c>
      <c r="D1603" s="394"/>
      <c r="E1603" s="78" t="str">
        <f>IF(C1603="","",IFERROR(VLOOKUP(C1603,parametros!$A$11:$E$15,5,0),""))</f>
        <v/>
      </c>
      <c r="F1603" s="79" t="str">
        <f t="shared" si="127"/>
        <v/>
      </c>
      <c r="G1603" s="395"/>
      <c r="H1603" s="91">
        <f t="shared" si="128"/>
        <v>0</v>
      </c>
      <c r="I1603" s="91" t="str">
        <f t="shared" si="129"/>
        <v/>
      </c>
      <c r="J1603" s="91" t="str">
        <f t="shared" si="130"/>
        <v/>
      </c>
      <c r="K1603" s="92" t="str">
        <f>IF(AND(A1603="",B1603="",D1603="",G1603=""),"",IF(AND(A1603&lt;&gt;"",COUNTIF($A$2:$A$5001,A1603)&gt;1),"NUMERO_PC duplicado",IF(B1603="","DATA_PC vazia",IF(NOT(ISNUMBER(B1603)),"DATA_PC invalida",IF(OR(C1603="",C1603="Fora dos ciclos"),"CICLO_PC nao identificado",IF(OR(D1603="",D1603=0),"VALOR_PC vazio ou zero",IF(AND(G1603&lt;&gt;"Sim",G1603&lt;&gt;"Nao",G1603&lt;&gt;""),"PC_PAGO_A_CONTRATADA invalido",IF(AND(C1603&lt;&gt;"C0",IFERROR(INDEX(parametros!$A$2:$A$6,MATCH(C1603,parametros!$B$2:$B$6,0)),"")="Sim",IFERROR(INDEX(parametros!$H$2:$H$6,MATCH(C1603,parametros!$B$2:$B$6,0)),"")=""),"INICIO_EFEITO ausente: PC "&amp;A1603&amp;" - "&amp;C1603,IF(L1603="","EFEITO_PC nao calculado: PC "&amp;A1603&amp;" - "&amp;C1603,"OK")))))))))</f>
        <v/>
      </c>
      <c r="L1603" s="92" t="str">
        <f>IF(AND(A1603="",B1603="",D1603="",G1603=""),"",IF(OR(B1603="",NOT(ISNUMBER(B1603)),C1603="",C1603="Fora dos ciclos"),"",IF(C1603="C0","Nao",IF(IFERROR(INDEX(parametros!$A$2:$A$6,MATCH(C1603,parametros!$B$2:$B$6,0)),"")&lt;&gt;"Sim","Nao",IF(IFERROR(INDEX(parametros!$H$2:$H$6,MATCH(C1603,parametros!$B$2:$B$6,0)),"")="","",IF(B1603&gt;=IFERROR(INDEX(parametros!$H$2:$H$6,MATCH(C1603,parametros!$B$2:$B$6,0)),""),"Sim","Nao"))))))</f>
        <v/>
      </c>
      <c r="T1603" s="156"/>
      <c r="U1603" s="214" t="str">
        <f t="shared" si="131"/>
        <v/>
      </c>
      <c r="V1603" s="212" t="s">
        <v>50</v>
      </c>
      <c r="W1603" s="100" t="s">
        <v>168</v>
      </c>
      <c r="X1603" s="100" t="s">
        <v>169</v>
      </c>
      <c r="Y1603" s="101" t="s">
        <v>170</v>
      </c>
      <c r="Z1603" s="101" t="s">
        <v>171</v>
      </c>
      <c r="AA1603" s="101" t="s">
        <v>50</v>
      </c>
      <c r="AB1603" s="101" t="s">
        <v>172</v>
      </c>
      <c r="AC1603" s="102" t="s">
        <v>173</v>
      </c>
    </row>
    <row r="1604" spans="1:29" ht="25.5" customHeight="1" x14ac:dyDescent="0.35">
      <c r="A1604" s="392"/>
      <c r="B1604" s="393"/>
      <c r="C1604" s="99" t="str">
        <f>IF(B1604="","",IF(NOT(ISNUMBER(B1604)),"DATA_PC invalida",IF(NOT(ISNUMBER(parametros!$C$2)),"Fora dos ciclos",IF(OR(B1604&lt;parametros!$C$2,(YEAR(B1604)-YEAR(parametros!$C$2))*12+MONTH(B1604)-MONTH(parametros!$C$2)&gt;59),"Fora dos ciclos","C"&amp;INT(((YEAR(B1604)-YEAR(parametros!$C$2))*12+MONTH(B1604)-MONTH(parametros!$C$2))/12)))))</f>
        <v/>
      </c>
      <c r="D1604" s="394"/>
      <c r="E1604" s="78" t="str">
        <f>IF(C1604="","",IFERROR(VLOOKUP(C1604,parametros!$A$11:$E$15,5,0),""))</f>
        <v/>
      </c>
      <c r="F1604" s="79" t="str">
        <f t="shared" si="127"/>
        <v/>
      </c>
      <c r="G1604" s="395"/>
      <c r="H1604" s="91">
        <f t="shared" si="128"/>
        <v>0</v>
      </c>
      <c r="I1604" s="91" t="str">
        <f t="shared" si="129"/>
        <v/>
      </c>
      <c r="J1604" s="91" t="str">
        <f t="shared" si="130"/>
        <v/>
      </c>
      <c r="K1604" s="92" t="str">
        <f>IF(AND(A1604="",B1604="",D1604="",G1604=""),"",IF(AND(A1604&lt;&gt;"",COUNTIF($A$2:$A$5001,A1604)&gt;1),"NUMERO_PC duplicado",IF(B1604="","DATA_PC vazia",IF(NOT(ISNUMBER(B1604)),"DATA_PC invalida",IF(OR(C1604="",C1604="Fora dos ciclos"),"CICLO_PC nao identificado",IF(OR(D1604="",D1604=0),"VALOR_PC vazio ou zero",IF(AND(G1604&lt;&gt;"Sim",G1604&lt;&gt;"Nao",G1604&lt;&gt;""),"PC_PAGO_A_CONTRATADA invalido",IF(AND(C1604&lt;&gt;"C0",IFERROR(INDEX(parametros!$A$2:$A$6,MATCH(C1604,parametros!$B$2:$B$6,0)),"")="Sim",IFERROR(INDEX(parametros!$H$2:$H$6,MATCH(C1604,parametros!$B$2:$B$6,0)),"")=""),"INICIO_EFEITO ausente: PC "&amp;A1604&amp;" - "&amp;C1604,IF(L1604="","EFEITO_PC nao calculado: PC "&amp;A1604&amp;" - "&amp;C1604,"OK")))))))))</f>
        <v/>
      </c>
      <c r="L1604" s="92" t="str">
        <f>IF(AND(A1604="",B1604="",D1604="",G1604=""),"",IF(OR(B1604="",NOT(ISNUMBER(B1604)),C1604="",C1604="Fora dos ciclos"),"",IF(C1604="C0","Nao",IF(IFERROR(INDEX(parametros!$A$2:$A$6,MATCH(C1604,parametros!$B$2:$B$6,0)),"")&lt;&gt;"Sim","Nao",IF(IFERROR(INDEX(parametros!$H$2:$H$6,MATCH(C1604,parametros!$B$2:$B$6,0)),"")="","",IF(B1604&gt;=IFERROR(INDEX(parametros!$H$2:$H$6,MATCH(C1604,parametros!$B$2:$B$6,0)),""),"Sim","Nao"))))))</f>
        <v/>
      </c>
      <c r="T1604" s="156"/>
      <c r="U1604" s="214" t="str">
        <f t="shared" si="131"/>
        <v/>
      </c>
      <c r="V1604" s="212" t="s">
        <v>50</v>
      </c>
      <c r="W1604" s="100" t="s">
        <v>168</v>
      </c>
      <c r="X1604" s="100" t="s">
        <v>169</v>
      </c>
      <c r="Y1604" s="101" t="s">
        <v>170</v>
      </c>
      <c r="Z1604" s="101" t="s">
        <v>171</v>
      </c>
      <c r="AA1604" s="101" t="s">
        <v>50</v>
      </c>
      <c r="AB1604" s="101" t="s">
        <v>172</v>
      </c>
      <c r="AC1604" s="102" t="s">
        <v>173</v>
      </c>
    </row>
    <row r="1605" spans="1:29" ht="25.5" customHeight="1" x14ac:dyDescent="0.35">
      <c r="A1605" s="392"/>
      <c r="B1605" s="393"/>
      <c r="C1605" s="99" t="str">
        <f>IF(B1605="","",IF(NOT(ISNUMBER(B1605)),"DATA_PC invalida",IF(NOT(ISNUMBER(parametros!$C$2)),"Fora dos ciclos",IF(OR(B1605&lt;parametros!$C$2,(YEAR(B1605)-YEAR(parametros!$C$2))*12+MONTH(B1605)-MONTH(parametros!$C$2)&gt;59),"Fora dos ciclos","C"&amp;INT(((YEAR(B1605)-YEAR(parametros!$C$2))*12+MONTH(B1605)-MONTH(parametros!$C$2))/12)))))</f>
        <v/>
      </c>
      <c r="D1605" s="394"/>
      <c r="E1605" s="78" t="str">
        <f>IF(C1605="","",IFERROR(VLOOKUP(C1605,parametros!$A$11:$E$15,5,0),""))</f>
        <v/>
      </c>
      <c r="F1605" s="79" t="str">
        <f t="shared" si="127"/>
        <v/>
      </c>
      <c r="G1605" s="395"/>
      <c r="H1605" s="91">
        <f t="shared" si="128"/>
        <v>0</v>
      </c>
      <c r="I1605" s="91" t="str">
        <f t="shared" si="129"/>
        <v/>
      </c>
      <c r="J1605" s="91" t="str">
        <f t="shared" si="130"/>
        <v/>
      </c>
      <c r="K1605" s="92" t="str">
        <f>IF(AND(A1605="",B1605="",D1605="",G1605=""),"",IF(AND(A1605&lt;&gt;"",COUNTIF($A$2:$A$5001,A1605)&gt;1),"NUMERO_PC duplicado",IF(B1605="","DATA_PC vazia",IF(NOT(ISNUMBER(B1605)),"DATA_PC invalida",IF(OR(C1605="",C1605="Fora dos ciclos"),"CICLO_PC nao identificado",IF(OR(D1605="",D1605=0),"VALOR_PC vazio ou zero",IF(AND(G1605&lt;&gt;"Sim",G1605&lt;&gt;"Nao",G1605&lt;&gt;""),"PC_PAGO_A_CONTRATADA invalido",IF(AND(C1605&lt;&gt;"C0",IFERROR(INDEX(parametros!$A$2:$A$6,MATCH(C1605,parametros!$B$2:$B$6,0)),"")="Sim",IFERROR(INDEX(parametros!$H$2:$H$6,MATCH(C1605,parametros!$B$2:$B$6,0)),"")=""),"INICIO_EFEITO ausente: PC "&amp;A1605&amp;" - "&amp;C1605,IF(L1605="","EFEITO_PC nao calculado: PC "&amp;A1605&amp;" - "&amp;C1605,"OK")))))))))</f>
        <v/>
      </c>
      <c r="L1605" s="92" t="str">
        <f>IF(AND(A1605="",B1605="",D1605="",G1605=""),"",IF(OR(B1605="",NOT(ISNUMBER(B1605)),C1605="",C1605="Fora dos ciclos"),"",IF(C1605="C0","Nao",IF(IFERROR(INDEX(parametros!$A$2:$A$6,MATCH(C1605,parametros!$B$2:$B$6,0)),"")&lt;&gt;"Sim","Nao",IF(IFERROR(INDEX(parametros!$H$2:$H$6,MATCH(C1605,parametros!$B$2:$B$6,0)),"")="","",IF(B1605&gt;=IFERROR(INDEX(parametros!$H$2:$H$6,MATCH(C1605,parametros!$B$2:$B$6,0)),""),"Sim","Nao"))))))</f>
        <v/>
      </c>
      <c r="T1605" s="156"/>
      <c r="U1605" s="214" t="str">
        <f t="shared" si="131"/>
        <v/>
      </c>
      <c r="V1605" s="212" t="s">
        <v>50</v>
      </c>
      <c r="W1605" s="100" t="s">
        <v>168</v>
      </c>
      <c r="X1605" s="100" t="s">
        <v>169</v>
      </c>
      <c r="Y1605" s="101" t="s">
        <v>170</v>
      </c>
      <c r="Z1605" s="101" t="s">
        <v>171</v>
      </c>
      <c r="AA1605" s="101" t="s">
        <v>50</v>
      </c>
      <c r="AB1605" s="101" t="s">
        <v>172</v>
      </c>
      <c r="AC1605" s="102" t="s">
        <v>173</v>
      </c>
    </row>
    <row r="1606" spans="1:29" ht="25.5" customHeight="1" x14ac:dyDescent="0.35">
      <c r="A1606" s="392"/>
      <c r="B1606" s="393"/>
      <c r="C1606" s="99" t="str">
        <f>IF(B1606="","",IF(NOT(ISNUMBER(B1606)),"DATA_PC invalida",IF(NOT(ISNUMBER(parametros!$C$2)),"Fora dos ciclos",IF(OR(B1606&lt;parametros!$C$2,(YEAR(B1606)-YEAR(parametros!$C$2))*12+MONTH(B1606)-MONTH(parametros!$C$2)&gt;59),"Fora dos ciclos","C"&amp;INT(((YEAR(B1606)-YEAR(parametros!$C$2))*12+MONTH(B1606)-MONTH(parametros!$C$2))/12)))))</f>
        <v/>
      </c>
      <c r="D1606" s="394"/>
      <c r="E1606" s="78" t="str">
        <f>IF(C1606="","",IFERROR(VLOOKUP(C1606,parametros!$A$11:$E$15,5,0),""))</f>
        <v/>
      </c>
      <c r="F1606" s="79" t="str">
        <f t="shared" si="127"/>
        <v/>
      </c>
      <c r="G1606" s="395"/>
      <c r="H1606" s="91">
        <f t="shared" si="128"/>
        <v>0</v>
      </c>
      <c r="I1606" s="91" t="str">
        <f t="shared" si="129"/>
        <v/>
      </c>
      <c r="J1606" s="91" t="str">
        <f t="shared" si="130"/>
        <v/>
      </c>
      <c r="K1606" s="92" t="str">
        <f>IF(AND(A1606="",B1606="",D1606="",G1606=""),"",IF(AND(A1606&lt;&gt;"",COUNTIF($A$2:$A$5001,A1606)&gt;1),"NUMERO_PC duplicado",IF(B1606="","DATA_PC vazia",IF(NOT(ISNUMBER(B1606)),"DATA_PC invalida",IF(OR(C1606="",C1606="Fora dos ciclos"),"CICLO_PC nao identificado",IF(OR(D1606="",D1606=0),"VALOR_PC vazio ou zero",IF(AND(G1606&lt;&gt;"Sim",G1606&lt;&gt;"Nao",G1606&lt;&gt;""),"PC_PAGO_A_CONTRATADA invalido",IF(AND(C1606&lt;&gt;"C0",IFERROR(INDEX(parametros!$A$2:$A$6,MATCH(C1606,parametros!$B$2:$B$6,0)),"")="Sim",IFERROR(INDEX(parametros!$H$2:$H$6,MATCH(C1606,parametros!$B$2:$B$6,0)),"")=""),"INICIO_EFEITO ausente: PC "&amp;A1606&amp;" - "&amp;C1606,IF(L1606="","EFEITO_PC nao calculado: PC "&amp;A1606&amp;" - "&amp;C1606,"OK")))))))))</f>
        <v/>
      </c>
      <c r="L1606" s="92" t="str">
        <f>IF(AND(A1606="",B1606="",D1606="",G1606=""),"",IF(OR(B1606="",NOT(ISNUMBER(B1606)),C1606="",C1606="Fora dos ciclos"),"",IF(C1606="C0","Nao",IF(IFERROR(INDEX(parametros!$A$2:$A$6,MATCH(C1606,parametros!$B$2:$B$6,0)),"")&lt;&gt;"Sim","Nao",IF(IFERROR(INDEX(parametros!$H$2:$H$6,MATCH(C1606,parametros!$B$2:$B$6,0)),"")="","",IF(B1606&gt;=IFERROR(INDEX(parametros!$H$2:$H$6,MATCH(C1606,parametros!$B$2:$B$6,0)),""),"Sim","Nao"))))))</f>
        <v/>
      </c>
      <c r="T1606" s="156"/>
      <c r="U1606" s="214" t="str">
        <f t="shared" si="131"/>
        <v/>
      </c>
      <c r="V1606" s="212" t="s">
        <v>50</v>
      </c>
      <c r="W1606" s="100" t="s">
        <v>168</v>
      </c>
      <c r="X1606" s="100" t="s">
        <v>169</v>
      </c>
      <c r="Y1606" s="101" t="s">
        <v>170</v>
      </c>
      <c r="Z1606" s="101" t="s">
        <v>171</v>
      </c>
      <c r="AA1606" s="101" t="s">
        <v>50</v>
      </c>
      <c r="AB1606" s="101" t="s">
        <v>172</v>
      </c>
      <c r="AC1606" s="102" t="s">
        <v>173</v>
      </c>
    </row>
    <row r="1607" spans="1:29" ht="25.5" customHeight="1" x14ac:dyDescent="0.35">
      <c r="A1607" s="392"/>
      <c r="B1607" s="393"/>
      <c r="C1607" s="99" t="str">
        <f>IF(B1607="","",IF(NOT(ISNUMBER(B1607)),"DATA_PC invalida",IF(NOT(ISNUMBER(parametros!$C$2)),"Fora dos ciclos",IF(OR(B1607&lt;parametros!$C$2,(YEAR(B1607)-YEAR(parametros!$C$2))*12+MONTH(B1607)-MONTH(parametros!$C$2)&gt;59),"Fora dos ciclos","C"&amp;INT(((YEAR(B1607)-YEAR(parametros!$C$2))*12+MONTH(B1607)-MONTH(parametros!$C$2))/12)))))</f>
        <v/>
      </c>
      <c r="D1607" s="394"/>
      <c r="E1607" s="78" t="str">
        <f>IF(C1607="","",IFERROR(VLOOKUP(C1607,parametros!$A$11:$E$15,5,0),""))</f>
        <v/>
      </c>
      <c r="F1607" s="79" t="str">
        <f t="shared" si="127"/>
        <v/>
      </c>
      <c r="G1607" s="395"/>
      <c r="H1607" s="91">
        <f t="shared" si="128"/>
        <v>0</v>
      </c>
      <c r="I1607" s="91" t="str">
        <f t="shared" si="129"/>
        <v/>
      </c>
      <c r="J1607" s="91" t="str">
        <f t="shared" si="130"/>
        <v/>
      </c>
      <c r="K1607" s="92" t="str">
        <f>IF(AND(A1607="",B1607="",D1607="",G1607=""),"",IF(AND(A1607&lt;&gt;"",COUNTIF($A$2:$A$5001,A1607)&gt;1),"NUMERO_PC duplicado",IF(B1607="","DATA_PC vazia",IF(NOT(ISNUMBER(B1607)),"DATA_PC invalida",IF(OR(C1607="",C1607="Fora dos ciclos"),"CICLO_PC nao identificado",IF(OR(D1607="",D1607=0),"VALOR_PC vazio ou zero",IF(AND(G1607&lt;&gt;"Sim",G1607&lt;&gt;"Nao",G1607&lt;&gt;""),"PC_PAGO_A_CONTRATADA invalido",IF(AND(C1607&lt;&gt;"C0",IFERROR(INDEX(parametros!$A$2:$A$6,MATCH(C1607,parametros!$B$2:$B$6,0)),"")="Sim",IFERROR(INDEX(parametros!$H$2:$H$6,MATCH(C1607,parametros!$B$2:$B$6,0)),"")=""),"INICIO_EFEITO ausente: PC "&amp;A1607&amp;" - "&amp;C1607,IF(L1607="","EFEITO_PC nao calculado: PC "&amp;A1607&amp;" - "&amp;C1607,"OK")))))))))</f>
        <v/>
      </c>
      <c r="L1607" s="92" t="str">
        <f>IF(AND(A1607="",B1607="",D1607="",G1607=""),"",IF(OR(B1607="",NOT(ISNUMBER(B1607)),C1607="",C1607="Fora dos ciclos"),"",IF(C1607="C0","Nao",IF(IFERROR(INDEX(parametros!$A$2:$A$6,MATCH(C1607,parametros!$B$2:$B$6,0)),"")&lt;&gt;"Sim","Nao",IF(IFERROR(INDEX(parametros!$H$2:$H$6,MATCH(C1607,parametros!$B$2:$B$6,0)),"")="","",IF(B1607&gt;=IFERROR(INDEX(parametros!$H$2:$H$6,MATCH(C1607,parametros!$B$2:$B$6,0)),""),"Sim","Nao"))))))</f>
        <v/>
      </c>
      <c r="T1607" s="156"/>
      <c r="U1607" s="214" t="str">
        <f t="shared" si="131"/>
        <v/>
      </c>
      <c r="V1607" s="212" t="s">
        <v>50</v>
      </c>
      <c r="W1607" s="100" t="s">
        <v>168</v>
      </c>
      <c r="X1607" s="100" t="s">
        <v>169</v>
      </c>
      <c r="Y1607" s="101" t="s">
        <v>170</v>
      </c>
      <c r="Z1607" s="101" t="s">
        <v>171</v>
      </c>
      <c r="AA1607" s="101" t="s">
        <v>50</v>
      </c>
      <c r="AB1607" s="101" t="s">
        <v>172</v>
      </c>
      <c r="AC1607" s="102" t="s">
        <v>173</v>
      </c>
    </row>
    <row r="1608" spans="1:29" ht="25.5" customHeight="1" x14ac:dyDescent="0.35">
      <c r="A1608" s="392"/>
      <c r="B1608" s="393"/>
      <c r="C1608" s="99" t="str">
        <f>IF(B1608="","",IF(NOT(ISNUMBER(B1608)),"DATA_PC invalida",IF(NOT(ISNUMBER(parametros!$C$2)),"Fora dos ciclos",IF(OR(B1608&lt;parametros!$C$2,(YEAR(B1608)-YEAR(parametros!$C$2))*12+MONTH(B1608)-MONTH(parametros!$C$2)&gt;59),"Fora dos ciclos","C"&amp;INT(((YEAR(B1608)-YEAR(parametros!$C$2))*12+MONTH(B1608)-MONTH(parametros!$C$2))/12)))))</f>
        <v/>
      </c>
      <c r="D1608" s="394"/>
      <c r="E1608" s="78" t="str">
        <f>IF(C1608="","",IFERROR(VLOOKUP(C1608,parametros!$A$11:$E$15,5,0),""))</f>
        <v/>
      </c>
      <c r="F1608" s="79" t="str">
        <f t="shared" si="127"/>
        <v/>
      </c>
      <c r="G1608" s="395"/>
      <c r="H1608" s="91">
        <f t="shared" si="128"/>
        <v>0</v>
      </c>
      <c r="I1608" s="91" t="str">
        <f t="shared" si="129"/>
        <v/>
      </c>
      <c r="J1608" s="91" t="str">
        <f t="shared" si="130"/>
        <v/>
      </c>
      <c r="K1608" s="92" t="str">
        <f>IF(AND(A1608="",B1608="",D1608="",G1608=""),"",IF(AND(A1608&lt;&gt;"",COUNTIF($A$2:$A$5001,A1608)&gt;1),"NUMERO_PC duplicado",IF(B1608="","DATA_PC vazia",IF(NOT(ISNUMBER(B1608)),"DATA_PC invalida",IF(OR(C1608="",C1608="Fora dos ciclos"),"CICLO_PC nao identificado",IF(OR(D1608="",D1608=0),"VALOR_PC vazio ou zero",IF(AND(G1608&lt;&gt;"Sim",G1608&lt;&gt;"Nao",G1608&lt;&gt;""),"PC_PAGO_A_CONTRATADA invalido",IF(AND(C1608&lt;&gt;"C0",IFERROR(INDEX(parametros!$A$2:$A$6,MATCH(C1608,parametros!$B$2:$B$6,0)),"")="Sim",IFERROR(INDEX(parametros!$H$2:$H$6,MATCH(C1608,parametros!$B$2:$B$6,0)),"")=""),"INICIO_EFEITO ausente: PC "&amp;A1608&amp;" - "&amp;C1608,IF(L1608="","EFEITO_PC nao calculado: PC "&amp;A1608&amp;" - "&amp;C1608,"OK")))))))))</f>
        <v/>
      </c>
      <c r="L1608" s="92" t="str">
        <f>IF(AND(A1608="",B1608="",D1608="",G1608=""),"",IF(OR(B1608="",NOT(ISNUMBER(B1608)),C1608="",C1608="Fora dos ciclos"),"",IF(C1608="C0","Nao",IF(IFERROR(INDEX(parametros!$A$2:$A$6,MATCH(C1608,parametros!$B$2:$B$6,0)),"")&lt;&gt;"Sim","Nao",IF(IFERROR(INDEX(parametros!$H$2:$H$6,MATCH(C1608,parametros!$B$2:$B$6,0)),"")="","",IF(B1608&gt;=IFERROR(INDEX(parametros!$H$2:$H$6,MATCH(C1608,parametros!$B$2:$B$6,0)),""),"Sim","Nao"))))))</f>
        <v/>
      </c>
      <c r="T1608" s="156"/>
      <c r="U1608" s="214" t="str">
        <f t="shared" si="131"/>
        <v/>
      </c>
      <c r="V1608" s="212" t="s">
        <v>50</v>
      </c>
      <c r="W1608" s="100" t="s">
        <v>168</v>
      </c>
      <c r="X1608" s="100" t="s">
        <v>169</v>
      </c>
      <c r="Y1608" s="101" t="s">
        <v>170</v>
      </c>
      <c r="Z1608" s="101" t="s">
        <v>171</v>
      </c>
      <c r="AA1608" s="101" t="s">
        <v>50</v>
      </c>
      <c r="AB1608" s="101" t="s">
        <v>172</v>
      </c>
      <c r="AC1608" s="102" t="s">
        <v>173</v>
      </c>
    </row>
    <row r="1609" spans="1:29" ht="25.5" customHeight="1" x14ac:dyDescent="0.35">
      <c r="A1609" s="392"/>
      <c r="B1609" s="393"/>
      <c r="C1609" s="99" t="str">
        <f>IF(B1609="","",IF(NOT(ISNUMBER(B1609)),"DATA_PC invalida",IF(NOT(ISNUMBER(parametros!$C$2)),"Fora dos ciclos",IF(OR(B1609&lt;parametros!$C$2,(YEAR(B1609)-YEAR(parametros!$C$2))*12+MONTH(B1609)-MONTH(parametros!$C$2)&gt;59),"Fora dos ciclos","C"&amp;INT(((YEAR(B1609)-YEAR(parametros!$C$2))*12+MONTH(B1609)-MONTH(parametros!$C$2))/12)))))</f>
        <v/>
      </c>
      <c r="D1609" s="394"/>
      <c r="E1609" s="78" t="str">
        <f>IF(C1609="","",IFERROR(VLOOKUP(C1609,parametros!$A$11:$E$15,5,0),""))</f>
        <v/>
      </c>
      <c r="F1609" s="79" t="str">
        <f t="shared" si="127"/>
        <v/>
      </c>
      <c r="G1609" s="395"/>
      <c r="H1609" s="91">
        <f t="shared" si="128"/>
        <v>0</v>
      </c>
      <c r="I1609" s="91" t="str">
        <f t="shared" si="129"/>
        <v/>
      </c>
      <c r="J1609" s="91" t="str">
        <f t="shared" si="130"/>
        <v/>
      </c>
      <c r="K1609" s="92" t="str">
        <f>IF(AND(A1609="",B1609="",D1609="",G1609=""),"",IF(AND(A1609&lt;&gt;"",COUNTIF($A$2:$A$5001,A1609)&gt;1),"NUMERO_PC duplicado",IF(B1609="","DATA_PC vazia",IF(NOT(ISNUMBER(B1609)),"DATA_PC invalida",IF(OR(C1609="",C1609="Fora dos ciclos"),"CICLO_PC nao identificado",IF(OR(D1609="",D1609=0),"VALOR_PC vazio ou zero",IF(AND(G1609&lt;&gt;"Sim",G1609&lt;&gt;"Nao",G1609&lt;&gt;""),"PC_PAGO_A_CONTRATADA invalido",IF(AND(C1609&lt;&gt;"C0",IFERROR(INDEX(parametros!$A$2:$A$6,MATCH(C1609,parametros!$B$2:$B$6,0)),"")="Sim",IFERROR(INDEX(parametros!$H$2:$H$6,MATCH(C1609,parametros!$B$2:$B$6,0)),"")=""),"INICIO_EFEITO ausente: PC "&amp;A1609&amp;" - "&amp;C1609,IF(L1609="","EFEITO_PC nao calculado: PC "&amp;A1609&amp;" - "&amp;C1609,"OK")))))))))</f>
        <v/>
      </c>
      <c r="L1609" s="92" t="str">
        <f>IF(AND(A1609="",B1609="",D1609="",G1609=""),"",IF(OR(B1609="",NOT(ISNUMBER(B1609)),C1609="",C1609="Fora dos ciclos"),"",IF(C1609="C0","Nao",IF(IFERROR(INDEX(parametros!$A$2:$A$6,MATCH(C1609,parametros!$B$2:$B$6,0)),"")&lt;&gt;"Sim","Nao",IF(IFERROR(INDEX(parametros!$H$2:$H$6,MATCH(C1609,parametros!$B$2:$B$6,0)),"")="","",IF(B1609&gt;=IFERROR(INDEX(parametros!$H$2:$H$6,MATCH(C1609,parametros!$B$2:$B$6,0)),""),"Sim","Nao"))))))</f>
        <v/>
      </c>
      <c r="T1609" s="156"/>
      <c r="U1609" s="214" t="str">
        <f t="shared" si="131"/>
        <v/>
      </c>
      <c r="V1609" s="212" t="s">
        <v>50</v>
      </c>
      <c r="W1609" s="100" t="s">
        <v>168</v>
      </c>
      <c r="X1609" s="100" t="s">
        <v>169</v>
      </c>
      <c r="Y1609" s="101" t="s">
        <v>170</v>
      </c>
      <c r="Z1609" s="101" t="s">
        <v>171</v>
      </c>
      <c r="AA1609" s="101" t="s">
        <v>50</v>
      </c>
      <c r="AB1609" s="101" t="s">
        <v>172</v>
      </c>
      <c r="AC1609" s="102" t="s">
        <v>173</v>
      </c>
    </row>
    <row r="1610" spans="1:29" ht="25.5" customHeight="1" x14ac:dyDescent="0.35">
      <c r="A1610" s="392"/>
      <c r="B1610" s="393"/>
      <c r="C1610" s="99" t="str">
        <f>IF(B1610="","",IF(NOT(ISNUMBER(B1610)),"DATA_PC invalida",IF(NOT(ISNUMBER(parametros!$C$2)),"Fora dos ciclos",IF(OR(B1610&lt;parametros!$C$2,(YEAR(B1610)-YEAR(parametros!$C$2))*12+MONTH(B1610)-MONTH(parametros!$C$2)&gt;59),"Fora dos ciclos","C"&amp;INT(((YEAR(B1610)-YEAR(parametros!$C$2))*12+MONTH(B1610)-MONTH(parametros!$C$2))/12)))))</f>
        <v/>
      </c>
      <c r="D1610" s="394"/>
      <c r="E1610" s="78" t="str">
        <f>IF(C1610="","",IFERROR(VLOOKUP(C1610,parametros!$A$11:$E$15,5,0),""))</f>
        <v/>
      </c>
      <c r="F1610" s="79" t="str">
        <f t="shared" si="127"/>
        <v/>
      </c>
      <c r="G1610" s="395"/>
      <c r="H1610" s="91">
        <f t="shared" si="128"/>
        <v>0</v>
      </c>
      <c r="I1610" s="91" t="str">
        <f t="shared" si="129"/>
        <v/>
      </c>
      <c r="J1610" s="91" t="str">
        <f t="shared" si="130"/>
        <v/>
      </c>
      <c r="K1610" s="92" t="str">
        <f>IF(AND(A1610="",B1610="",D1610="",G1610=""),"",IF(AND(A1610&lt;&gt;"",COUNTIF($A$2:$A$5001,A1610)&gt;1),"NUMERO_PC duplicado",IF(B1610="","DATA_PC vazia",IF(NOT(ISNUMBER(B1610)),"DATA_PC invalida",IF(OR(C1610="",C1610="Fora dos ciclos"),"CICLO_PC nao identificado",IF(OR(D1610="",D1610=0),"VALOR_PC vazio ou zero",IF(AND(G1610&lt;&gt;"Sim",G1610&lt;&gt;"Nao",G1610&lt;&gt;""),"PC_PAGO_A_CONTRATADA invalido",IF(AND(C1610&lt;&gt;"C0",IFERROR(INDEX(parametros!$A$2:$A$6,MATCH(C1610,parametros!$B$2:$B$6,0)),"")="Sim",IFERROR(INDEX(parametros!$H$2:$H$6,MATCH(C1610,parametros!$B$2:$B$6,0)),"")=""),"INICIO_EFEITO ausente: PC "&amp;A1610&amp;" - "&amp;C1610,IF(L1610="","EFEITO_PC nao calculado: PC "&amp;A1610&amp;" - "&amp;C1610,"OK")))))))))</f>
        <v/>
      </c>
      <c r="L1610" s="92" t="str">
        <f>IF(AND(A1610="",B1610="",D1610="",G1610=""),"",IF(OR(B1610="",NOT(ISNUMBER(B1610)),C1610="",C1610="Fora dos ciclos"),"",IF(C1610="C0","Nao",IF(IFERROR(INDEX(parametros!$A$2:$A$6,MATCH(C1610,parametros!$B$2:$B$6,0)),"")&lt;&gt;"Sim","Nao",IF(IFERROR(INDEX(parametros!$H$2:$H$6,MATCH(C1610,parametros!$B$2:$B$6,0)),"")="","",IF(B1610&gt;=IFERROR(INDEX(parametros!$H$2:$H$6,MATCH(C1610,parametros!$B$2:$B$6,0)),""),"Sim","Nao"))))))</f>
        <v/>
      </c>
      <c r="T1610" s="156"/>
      <c r="U1610" s="214" t="str">
        <f t="shared" si="131"/>
        <v/>
      </c>
      <c r="V1610" s="212" t="s">
        <v>50</v>
      </c>
      <c r="W1610" s="100" t="s">
        <v>168</v>
      </c>
      <c r="X1610" s="100" t="s">
        <v>169</v>
      </c>
      <c r="Y1610" s="101" t="s">
        <v>170</v>
      </c>
      <c r="Z1610" s="101" t="s">
        <v>171</v>
      </c>
      <c r="AA1610" s="101" t="s">
        <v>50</v>
      </c>
      <c r="AB1610" s="101" t="s">
        <v>172</v>
      </c>
      <c r="AC1610" s="102" t="s">
        <v>173</v>
      </c>
    </row>
    <row r="1611" spans="1:29" ht="25.5" customHeight="1" x14ac:dyDescent="0.35">
      <c r="A1611" s="392"/>
      <c r="B1611" s="393"/>
      <c r="C1611" s="99" t="str">
        <f>IF(B1611="","",IF(NOT(ISNUMBER(B1611)),"DATA_PC invalida",IF(NOT(ISNUMBER(parametros!$C$2)),"Fora dos ciclos",IF(OR(B1611&lt;parametros!$C$2,(YEAR(B1611)-YEAR(parametros!$C$2))*12+MONTH(B1611)-MONTH(parametros!$C$2)&gt;59),"Fora dos ciclos","C"&amp;INT(((YEAR(B1611)-YEAR(parametros!$C$2))*12+MONTH(B1611)-MONTH(parametros!$C$2))/12)))))</f>
        <v/>
      </c>
      <c r="D1611" s="394"/>
      <c r="E1611" s="78" t="str">
        <f>IF(C1611="","",IFERROR(VLOOKUP(C1611,parametros!$A$11:$E$15,5,0),""))</f>
        <v/>
      </c>
      <c r="F1611" s="79" t="str">
        <f t="shared" si="127"/>
        <v/>
      </c>
      <c r="G1611" s="395"/>
      <c r="H1611" s="91">
        <f t="shared" si="128"/>
        <v>0</v>
      </c>
      <c r="I1611" s="91" t="str">
        <f t="shared" si="129"/>
        <v/>
      </c>
      <c r="J1611" s="91" t="str">
        <f t="shared" si="130"/>
        <v/>
      </c>
      <c r="K1611" s="92" t="str">
        <f>IF(AND(A1611="",B1611="",D1611="",G1611=""),"",IF(AND(A1611&lt;&gt;"",COUNTIF($A$2:$A$5001,A1611)&gt;1),"NUMERO_PC duplicado",IF(B1611="","DATA_PC vazia",IF(NOT(ISNUMBER(B1611)),"DATA_PC invalida",IF(OR(C1611="",C1611="Fora dos ciclos"),"CICLO_PC nao identificado",IF(OR(D1611="",D1611=0),"VALOR_PC vazio ou zero",IF(AND(G1611&lt;&gt;"Sim",G1611&lt;&gt;"Nao",G1611&lt;&gt;""),"PC_PAGO_A_CONTRATADA invalido",IF(AND(C1611&lt;&gt;"C0",IFERROR(INDEX(parametros!$A$2:$A$6,MATCH(C1611,parametros!$B$2:$B$6,0)),"")="Sim",IFERROR(INDEX(parametros!$H$2:$H$6,MATCH(C1611,parametros!$B$2:$B$6,0)),"")=""),"INICIO_EFEITO ausente: PC "&amp;A1611&amp;" - "&amp;C1611,IF(L1611="","EFEITO_PC nao calculado: PC "&amp;A1611&amp;" - "&amp;C1611,"OK")))))))))</f>
        <v/>
      </c>
      <c r="L1611" s="92" t="str">
        <f>IF(AND(A1611="",B1611="",D1611="",G1611=""),"",IF(OR(B1611="",NOT(ISNUMBER(B1611)),C1611="",C1611="Fora dos ciclos"),"",IF(C1611="C0","Nao",IF(IFERROR(INDEX(parametros!$A$2:$A$6,MATCH(C1611,parametros!$B$2:$B$6,0)),"")&lt;&gt;"Sim","Nao",IF(IFERROR(INDEX(parametros!$H$2:$H$6,MATCH(C1611,parametros!$B$2:$B$6,0)),"")="","",IF(B1611&gt;=IFERROR(INDEX(parametros!$H$2:$H$6,MATCH(C1611,parametros!$B$2:$B$6,0)),""),"Sim","Nao"))))))</f>
        <v/>
      </c>
      <c r="T1611" s="156"/>
      <c r="U1611" s="214" t="str">
        <f t="shared" si="131"/>
        <v/>
      </c>
      <c r="V1611" s="212" t="s">
        <v>50</v>
      </c>
      <c r="W1611" s="100" t="s">
        <v>168</v>
      </c>
      <c r="X1611" s="100" t="s">
        <v>169</v>
      </c>
      <c r="Y1611" s="101" t="s">
        <v>170</v>
      </c>
      <c r="Z1611" s="101" t="s">
        <v>171</v>
      </c>
      <c r="AA1611" s="101" t="s">
        <v>50</v>
      </c>
      <c r="AB1611" s="101" t="s">
        <v>172</v>
      </c>
      <c r="AC1611" s="102" t="s">
        <v>173</v>
      </c>
    </row>
    <row r="1612" spans="1:29" ht="25.5" customHeight="1" x14ac:dyDescent="0.35">
      <c r="A1612" s="392"/>
      <c r="B1612" s="393"/>
      <c r="C1612" s="99" t="str">
        <f>IF(B1612="","",IF(NOT(ISNUMBER(B1612)),"DATA_PC invalida",IF(NOT(ISNUMBER(parametros!$C$2)),"Fora dos ciclos",IF(OR(B1612&lt;parametros!$C$2,(YEAR(B1612)-YEAR(parametros!$C$2))*12+MONTH(B1612)-MONTH(parametros!$C$2)&gt;59),"Fora dos ciclos","C"&amp;INT(((YEAR(B1612)-YEAR(parametros!$C$2))*12+MONTH(B1612)-MONTH(parametros!$C$2))/12)))))</f>
        <v/>
      </c>
      <c r="D1612" s="394"/>
      <c r="E1612" s="78" t="str">
        <f>IF(C1612="","",IFERROR(VLOOKUP(C1612,parametros!$A$11:$E$15,5,0),""))</f>
        <v/>
      </c>
      <c r="F1612" s="79" t="str">
        <f t="shared" si="127"/>
        <v/>
      </c>
      <c r="G1612" s="395"/>
      <c r="H1612" s="91">
        <f t="shared" si="128"/>
        <v>0</v>
      </c>
      <c r="I1612" s="91" t="str">
        <f t="shared" si="129"/>
        <v/>
      </c>
      <c r="J1612" s="91" t="str">
        <f t="shared" si="130"/>
        <v/>
      </c>
      <c r="K1612" s="92" t="str">
        <f>IF(AND(A1612="",B1612="",D1612="",G1612=""),"",IF(AND(A1612&lt;&gt;"",COUNTIF($A$2:$A$5001,A1612)&gt;1),"NUMERO_PC duplicado",IF(B1612="","DATA_PC vazia",IF(NOT(ISNUMBER(B1612)),"DATA_PC invalida",IF(OR(C1612="",C1612="Fora dos ciclos"),"CICLO_PC nao identificado",IF(OR(D1612="",D1612=0),"VALOR_PC vazio ou zero",IF(AND(G1612&lt;&gt;"Sim",G1612&lt;&gt;"Nao",G1612&lt;&gt;""),"PC_PAGO_A_CONTRATADA invalido",IF(AND(C1612&lt;&gt;"C0",IFERROR(INDEX(parametros!$A$2:$A$6,MATCH(C1612,parametros!$B$2:$B$6,0)),"")="Sim",IFERROR(INDEX(parametros!$H$2:$H$6,MATCH(C1612,parametros!$B$2:$B$6,0)),"")=""),"INICIO_EFEITO ausente: PC "&amp;A1612&amp;" - "&amp;C1612,IF(L1612="","EFEITO_PC nao calculado: PC "&amp;A1612&amp;" - "&amp;C1612,"OK")))))))))</f>
        <v/>
      </c>
      <c r="L1612" s="92" t="str">
        <f>IF(AND(A1612="",B1612="",D1612="",G1612=""),"",IF(OR(B1612="",NOT(ISNUMBER(B1612)),C1612="",C1612="Fora dos ciclos"),"",IF(C1612="C0","Nao",IF(IFERROR(INDEX(parametros!$A$2:$A$6,MATCH(C1612,parametros!$B$2:$B$6,0)),"")&lt;&gt;"Sim","Nao",IF(IFERROR(INDEX(parametros!$H$2:$H$6,MATCH(C1612,parametros!$B$2:$B$6,0)),"")="","",IF(B1612&gt;=IFERROR(INDEX(parametros!$H$2:$H$6,MATCH(C1612,parametros!$B$2:$B$6,0)),""),"Sim","Nao"))))))</f>
        <v/>
      </c>
      <c r="T1612" s="156"/>
      <c r="U1612" s="214" t="str">
        <f t="shared" si="131"/>
        <v/>
      </c>
      <c r="V1612" s="212" t="s">
        <v>50</v>
      </c>
      <c r="W1612" s="100" t="s">
        <v>168</v>
      </c>
      <c r="X1612" s="100" t="s">
        <v>169</v>
      </c>
      <c r="Y1612" s="101" t="s">
        <v>170</v>
      </c>
      <c r="Z1612" s="101" t="s">
        <v>171</v>
      </c>
      <c r="AA1612" s="101" t="s">
        <v>50</v>
      </c>
      <c r="AB1612" s="101" t="s">
        <v>172</v>
      </c>
      <c r="AC1612" s="102" t="s">
        <v>173</v>
      </c>
    </row>
    <row r="1613" spans="1:29" ht="25.5" customHeight="1" x14ac:dyDescent="0.35">
      <c r="A1613" s="392"/>
      <c r="B1613" s="393"/>
      <c r="C1613" s="99" t="str">
        <f>IF(B1613="","",IF(NOT(ISNUMBER(B1613)),"DATA_PC invalida",IF(NOT(ISNUMBER(parametros!$C$2)),"Fora dos ciclos",IF(OR(B1613&lt;parametros!$C$2,(YEAR(B1613)-YEAR(parametros!$C$2))*12+MONTH(B1613)-MONTH(parametros!$C$2)&gt;59),"Fora dos ciclos","C"&amp;INT(((YEAR(B1613)-YEAR(parametros!$C$2))*12+MONTH(B1613)-MONTH(parametros!$C$2))/12)))))</f>
        <v/>
      </c>
      <c r="D1613" s="394"/>
      <c r="E1613" s="78" t="str">
        <f>IF(C1613="","",IFERROR(VLOOKUP(C1613,parametros!$A$11:$E$15,5,0),""))</f>
        <v/>
      </c>
      <c r="F1613" s="79" t="str">
        <f t="shared" si="127"/>
        <v/>
      </c>
      <c r="G1613" s="395"/>
      <c r="H1613" s="91">
        <f t="shared" si="128"/>
        <v>0</v>
      </c>
      <c r="I1613" s="91" t="str">
        <f t="shared" si="129"/>
        <v/>
      </c>
      <c r="J1613" s="91" t="str">
        <f t="shared" si="130"/>
        <v/>
      </c>
      <c r="K1613" s="92" t="str">
        <f>IF(AND(A1613="",B1613="",D1613="",G1613=""),"",IF(AND(A1613&lt;&gt;"",COUNTIF($A$2:$A$5001,A1613)&gt;1),"NUMERO_PC duplicado",IF(B1613="","DATA_PC vazia",IF(NOT(ISNUMBER(B1613)),"DATA_PC invalida",IF(OR(C1613="",C1613="Fora dos ciclos"),"CICLO_PC nao identificado",IF(OR(D1613="",D1613=0),"VALOR_PC vazio ou zero",IF(AND(G1613&lt;&gt;"Sim",G1613&lt;&gt;"Nao",G1613&lt;&gt;""),"PC_PAGO_A_CONTRATADA invalido",IF(AND(C1613&lt;&gt;"C0",IFERROR(INDEX(parametros!$A$2:$A$6,MATCH(C1613,parametros!$B$2:$B$6,0)),"")="Sim",IFERROR(INDEX(parametros!$H$2:$H$6,MATCH(C1613,parametros!$B$2:$B$6,0)),"")=""),"INICIO_EFEITO ausente: PC "&amp;A1613&amp;" - "&amp;C1613,IF(L1613="","EFEITO_PC nao calculado: PC "&amp;A1613&amp;" - "&amp;C1613,"OK")))))))))</f>
        <v/>
      </c>
      <c r="L1613" s="92" t="str">
        <f>IF(AND(A1613="",B1613="",D1613="",G1613=""),"",IF(OR(B1613="",NOT(ISNUMBER(B1613)),C1613="",C1613="Fora dos ciclos"),"",IF(C1613="C0","Nao",IF(IFERROR(INDEX(parametros!$A$2:$A$6,MATCH(C1613,parametros!$B$2:$B$6,0)),"")&lt;&gt;"Sim","Nao",IF(IFERROR(INDEX(parametros!$H$2:$H$6,MATCH(C1613,parametros!$B$2:$B$6,0)),"")="","",IF(B1613&gt;=IFERROR(INDEX(parametros!$H$2:$H$6,MATCH(C1613,parametros!$B$2:$B$6,0)),""),"Sim","Nao"))))))</f>
        <v/>
      </c>
      <c r="T1613" s="156"/>
      <c r="U1613" s="214" t="str">
        <f t="shared" si="131"/>
        <v/>
      </c>
      <c r="V1613" s="212" t="s">
        <v>50</v>
      </c>
      <c r="W1613" s="100" t="s">
        <v>168</v>
      </c>
      <c r="X1613" s="100" t="s">
        <v>169</v>
      </c>
      <c r="Y1613" s="101" t="s">
        <v>170</v>
      </c>
      <c r="Z1613" s="101" t="s">
        <v>171</v>
      </c>
      <c r="AA1613" s="101" t="s">
        <v>50</v>
      </c>
      <c r="AB1613" s="101" t="s">
        <v>172</v>
      </c>
      <c r="AC1613" s="102" t="s">
        <v>173</v>
      </c>
    </row>
    <row r="1614" spans="1:29" ht="25.5" customHeight="1" x14ac:dyDescent="0.35">
      <c r="A1614" s="392"/>
      <c r="B1614" s="393"/>
      <c r="C1614" s="99" t="str">
        <f>IF(B1614="","",IF(NOT(ISNUMBER(B1614)),"DATA_PC invalida",IF(NOT(ISNUMBER(parametros!$C$2)),"Fora dos ciclos",IF(OR(B1614&lt;parametros!$C$2,(YEAR(B1614)-YEAR(parametros!$C$2))*12+MONTH(B1614)-MONTH(parametros!$C$2)&gt;59),"Fora dos ciclos","C"&amp;INT(((YEAR(B1614)-YEAR(parametros!$C$2))*12+MONTH(B1614)-MONTH(parametros!$C$2))/12)))))</f>
        <v/>
      </c>
      <c r="D1614" s="394"/>
      <c r="E1614" s="78" t="str">
        <f>IF(C1614="","",IFERROR(VLOOKUP(C1614,parametros!$A$11:$E$15,5,0),""))</f>
        <v/>
      </c>
      <c r="F1614" s="79" t="str">
        <f t="shared" si="127"/>
        <v/>
      </c>
      <c r="G1614" s="395"/>
      <c r="H1614" s="91">
        <f t="shared" si="128"/>
        <v>0</v>
      </c>
      <c r="I1614" s="91" t="str">
        <f t="shared" si="129"/>
        <v/>
      </c>
      <c r="J1614" s="91" t="str">
        <f t="shared" si="130"/>
        <v/>
      </c>
      <c r="K1614" s="92" t="str">
        <f>IF(AND(A1614="",B1614="",D1614="",G1614=""),"",IF(AND(A1614&lt;&gt;"",COUNTIF($A$2:$A$5001,A1614)&gt;1),"NUMERO_PC duplicado",IF(B1614="","DATA_PC vazia",IF(NOT(ISNUMBER(B1614)),"DATA_PC invalida",IF(OR(C1614="",C1614="Fora dos ciclos"),"CICLO_PC nao identificado",IF(OR(D1614="",D1614=0),"VALOR_PC vazio ou zero",IF(AND(G1614&lt;&gt;"Sim",G1614&lt;&gt;"Nao",G1614&lt;&gt;""),"PC_PAGO_A_CONTRATADA invalido",IF(AND(C1614&lt;&gt;"C0",IFERROR(INDEX(parametros!$A$2:$A$6,MATCH(C1614,parametros!$B$2:$B$6,0)),"")="Sim",IFERROR(INDEX(parametros!$H$2:$H$6,MATCH(C1614,parametros!$B$2:$B$6,0)),"")=""),"INICIO_EFEITO ausente: PC "&amp;A1614&amp;" - "&amp;C1614,IF(L1614="","EFEITO_PC nao calculado: PC "&amp;A1614&amp;" - "&amp;C1614,"OK")))))))))</f>
        <v/>
      </c>
      <c r="L1614" s="92" t="str">
        <f>IF(AND(A1614="",B1614="",D1614="",G1614=""),"",IF(OR(B1614="",NOT(ISNUMBER(B1614)),C1614="",C1614="Fora dos ciclos"),"",IF(C1614="C0","Nao",IF(IFERROR(INDEX(parametros!$A$2:$A$6,MATCH(C1614,parametros!$B$2:$B$6,0)),"")&lt;&gt;"Sim","Nao",IF(IFERROR(INDEX(parametros!$H$2:$H$6,MATCH(C1614,parametros!$B$2:$B$6,0)),"")="","",IF(B1614&gt;=IFERROR(INDEX(parametros!$H$2:$H$6,MATCH(C1614,parametros!$B$2:$B$6,0)),""),"Sim","Nao"))))))</f>
        <v/>
      </c>
      <c r="T1614" s="156"/>
      <c r="U1614" s="214" t="str">
        <f t="shared" si="131"/>
        <v/>
      </c>
      <c r="V1614" s="212" t="s">
        <v>50</v>
      </c>
      <c r="W1614" s="100" t="s">
        <v>168</v>
      </c>
      <c r="X1614" s="100" t="s">
        <v>169</v>
      </c>
      <c r="Y1614" s="101" t="s">
        <v>170</v>
      </c>
      <c r="Z1614" s="101" t="s">
        <v>171</v>
      </c>
      <c r="AA1614" s="101" t="s">
        <v>50</v>
      </c>
      <c r="AB1614" s="101" t="s">
        <v>172</v>
      </c>
      <c r="AC1614" s="102" t="s">
        <v>173</v>
      </c>
    </row>
    <row r="1615" spans="1:29" ht="25.5" customHeight="1" x14ac:dyDescent="0.35">
      <c r="A1615" s="392"/>
      <c r="B1615" s="393"/>
      <c r="C1615" s="99" t="str">
        <f>IF(B1615="","",IF(NOT(ISNUMBER(B1615)),"DATA_PC invalida",IF(NOT(ISNUMBER(parametros!$C$2)),"Fora dos ciclos",IF(OR(B1615&lt;parametros!$C$2,(YEAR(B1615)-YEAR(parametros!$C$2))*12+MONTH(B1615)-MONTH(parametros!$C$2)&gt;59),"Fora dos ciclos","C"&amp;INT(((YEAR(B1615)-YEAR(parametros!$C$2))*12+MONTH(B1615)-MONTH(parametros!$C$2))/12)))))</f>
        <v/>
      </c>
      <c r="D1615" s="394"/>
      <c r="E1615" s="78" t="str">
        <f>IF(C1615="","",IFERROR(VLOOKUP(C1615,parametros!$A$11:$E$15,5,0),""))</f>
        <v/>
      </c>
      <c r="F1615" s="79" t="str">
        <f t="shared" si="127"/>
        <v/>
      </c>
      <c r="G1615" s="395"/>
      <c r="H1615" s="91">
        <f t="shared" si="128"/>
        <v>0</v>
      </c>
      <c r="I1615" s="91" t="str">
        <f t="shared" si="129"/>
        <v/>
      </c>
      <c r="J1615" s="91" t="str">
        <f t="shared" si="130"/>
        <v/>
      </c>
      <c r="K1615" s="92" t="str">
        <f>IF(AND(A1615="",B1615="",D1615="",G1615=""),"",IF(AND(A1615&lt;&gt;"",COUNTIF($A$2:$A$5001,A1615)&gt;1),"NUMERO_PC duplicado",IF(B1615="","DATA_PC vazia",IF(NOT(ISNUMBER(B1615)),"DATA_PC invalida",IF(OR(C1615="",C1615="Fora dos ciclos"),"CICLO_PC nao identificado",IF(OR(D1615="",D1615=0),"VALOR_PC vazio ou zero",IF(AND(G1615&lt;&gt;"Sim",G1615&lt;&gt;"Nao",G1615&lt;&gt;""),"PC_PAGO_A_CONTRATADA invalido",IF(AND(C1615&lt;&gt;"C0",IFERROR(INDEX(parametros!$A$2:$A$6,MATCH(C1615,parametros!$B$2:$B$6,0)),"")="Sim",IFERROR(INDEX(parametros!$H$2:$H$6,MATCH(C1615,parametros!$B$2:$B$6,0)),"")=""),"INICIO_EFEITO ausente: PC "&amp;A1615&amp;" - "&amp;C1615,IF(L1615="","EFEITO_PC nao calculado: PC "&amp;A1615&amp;" - "&amp;C1615,"OK")))))))))</f>
        <v/>
      </c>
      <c r="L1615" s="92" t="str">
        <f>IF(AND(A1615="",B1615="",D1615="",G1615=""),"",IF(OR(B1615="",NOT(ISNUMBER(B1615)),C1615="",C1615="Fora dos ciclos"),"",IF(C1615="C0","Nao",IF(IFERROR(INDEX(parametros!$A$2:$A$6,MATCH(C1615,parametros!$B$2:$B$6,0)),"")&lt;&gt;"Sim","Nao",IF(IFERROR(INDEX(parametros!$H$2:$H$6,MATCH(C1615,parametros!$B$2:$B$6,0)),"")="","",IF(B1615&gt;=IFERROR(INDEX(parametros!$H$2:$H$6,MATCH(C1615,parametros!$B$2:$B$6,0)),""),"Sim","Nao"))))))</f>
        <v/>
      </c>
      <c r="T1615" s="156"/>
      <c r="U1615" s="214" t="str">
        <f t="shared" si="131"/>
        <v/>
      </c>
      <c r="V1615" s="212" t="s">
        <v>50</v>
      </c>
      <c r="W1615" s="100" t="s">
        <v>168</v>
      </c>
      <c r="X1615" s="100" t="s">
        <v>169</v>
      </c>
      <c r="Y1615" s="101" t="s">
        <v>170</v>
      </c>
      <c r="Z1615" s="101" t="s">
        <v>171</v>
      </c>
      <c r="AA1615" s="101" t="s">
        <v>50</v>
      </c>
      <c r="AB1615" s="101" t="s">
        <v>172</v>
      </c>
      <c r="AC1615" s="102" t="s">
        <v>173</v>
      </c>
    </row>
    <row r="1616" spans="1:29" ht="25.5" customHeight="1" x14ac:dyDescent="0.35">
      <c r="A1616" s="392"/>
      <c r="B1616" s="393"/>
      <c r="C1616" s="99" t="str">
        <f>IF(B1616="","",IF(NOT(ISNUMBER(B1616)),"DATA_PC invalida",IF(NOT(ISNUMBER(parametros!$C$2)),"Fora dos ciclos",IF(OR(B1616&lt;parametros!$C$2,(YEAR(B1616)-YEAR(parametros!$C$2))*12+MONTH(B1616)-MONTH(parametros!$C$2)&gt;59),"Fora dos ciclos","C"&amp;INT(((YEAR(B1616)-YEAR(parametros!$C$2))*12+MONTH(B1616)-MONTH(parametros!$C$2))/12)))))</f>
        <v/>
      </c>
      <c r="D1616" s="394"/>
      <c r="E1616" s="78" t="str">
        <f>IF(C1616="","",IFERROR(VLOOKUP(C1616,parametros!$A$11:$E$15,5,0),""))</f>
        <v/>
      </c>
      <c r="F1616" s="79" t="str">
        <f t="shared" si="127"/>
        <v/>
      </c>
      <c r="G1616" s="395"/>
      <c r="H1616" s="91">
        <f t="shared" si="128"/>
        <v>0</v>
      </c>
      <c r="I1616" s="91" t="str">
        <f t="shared" si="129"/>
        <v/>
      </c>
      <c r="J1616" s="91" t="str">
        <f t="shared" si="130"/>
        <v/>
      </c>
      <c r="K1616" s="92" t="str">
        <f>IF(AND(A1616="",B1616="",D1616="",G1616=""),"",IF(AND(A1616&lt;&gt;"",COUNTIF($A$2:$A$5001,A1616)&gt;1),"NUMERO_PC duplicado",IF(B1616="","DATA_PC vazia",IF(NOT(ISNUMBER(B1616)),"DATA_PC invalida",IF(OR(C1616="",C1616="Fora dos ciclos"),"CICLO_PC nao identificado",IF(OR(D1616="",D1616=0),"VALOR_PC vazio ou zero",IF(AND(G1616&lt;&gt;"Sim",G1616&lt;&gt;"Nao",G1616&lt;&gt;""),"PC_PAGO_A_CONTRATADA invalido",IF(AND(C1616&lt;&gt;"C0",IFERROR(INDEX(parametros!$A$2:$A$6,MATCH(C1616,parametros!$B$2:$B$6,0)),"")="Sim",IFERROR(INDEX(parametros!$H$2:$H$6,MATCH(C1616,parametros!$B$2:$B$6,0)),"")=""),"INICIO_EFEITO ausente: PC "&amp;A1616&amp;" - "&amp;C1616,IF(L1616="","EFEITO_PC nao calculado: PC "&amp;A1616&amp;" - "&amp;C1616,"OK")))))))))</f>
        <v/>
      </c>
      <c r="L1616" s="92" t="str">
        <f>IF(AND(A1616="",B1616="",D1616="",G1616=""),"",IF(OR(B1616="",NOT(ISNUMBER(B1616)),C1616="",C1616="Fora dos ciclos"),"",IF(C1616="C0","Nao",IF(IFERROR(INDEX(parametros!$A$2:$A$6,MATCH(C1616,parametros!$B$2:$B$6,0)),"")&lt;&gt;"Sim","Nao",IF(IFERROR(INDEX(parametros!$H$2:$H$6,MATCH(C1616,parametros!$B$2:$B$6,0)),"")="","",IF(B1616&gt;=IFERROR(INDEX(parametros!$H$2:$H$6,MATCH(C1616,parametros!$B$2:$B$6,0)),""),"Sim","Nao"))))))</f>
        <v/>
      </c>
      <c r="T1616" s="156"/>
      <c r="U1616" s="214" t="str">
        <f t="shared" si="131"/>
        <v/>
      </c>
      <c r="V1616" s="212" t="s">
        <v>50</v>
      </c>
      <c r="W1616" s="100" t="s">
        <v>168</v>
      </c>
      <c r="X1616" s="100" t="s">
        <v>169</v>
      </c>
      <c r="Y1616" s="101" t="s">
        <v>170</v>
      </c>
      <c r="Z1616" s="101" t="s">
        <v>171</v>
      </c>
      <c r="AA1616" s="101" t="s">
        <v>50</v>
      </c>
      <c r="AB1616" s="101" t="s">
        <v>172</v>
      </c>
      <c r="AC1616" s="102" t="s">
        <v>173</v>
      </c>
    </row>
    <row r="1617" spans="1:29" ht="25.5" customHeight="1" x14ac:dyDescent="0.35">
      <c r="A1617" s="392"/>
      <c r="B1617" s="393"/>
      <c r="C1617" s="99" t="str">
        <f>IF(B1617="","",IF(NOT(ISNUMBER(B1617)),"DATA_PC invalida",IF(NOT(ISNUMBER(parametros!$C$2)),"Fora dos ciclos",IF(OR(B1617&lt;parametros!$C$2,(YEAR(B1617)-YEAR(parametros!$C$2))*12+MONTH(B1617)-MONTH(parametros!$C$2)&gt;59),"Fora dos ciclos","C"&amp;INT(((YEAR(B1617)-YEAR(parametros!$C$2))*12+MONTH(B1617)-MONTH(parametros!$C$2))/12)))))</f>
        <v/>
      </c>
      <c r="D1617" s="394"/>
      <c r="E1617" s="78" t="str">
        <f>IF(C1617="","",IFERROR(VLOOKUP(C1617,parametros!$A$11:$E$15,5,0),""))</f>
        <v/>
      </c>
      <c r="F1617" s="79" t="str">
        <f t="shared" si="127"/>
        <v/>
      </c>
      <c r="G1617" s="395"/>
      <c r="H1617" s="91">
        <f t="shared" si="128"/>
        <v>0</v>
      </c>
      <c r="I1617" s="91" t="str">
        <f t="shared" si="129"/>
        <v/>
      </c>
      <c r="J1617" s="91" t="str">
        <f t="shared" si="130"/>
        <v/>
      </c>
      <c r="K1617" s="92" t="str">
        <f>IF(AND(A1617="",B1617="",D1617="",G1617=""),"",IF(AND(A1617&lt;&gt;"",COUNTIF($A$2:$A$5001,A1617)&gt;1),"NUMERO_PC duplicado",IF(B1617="","DATA_PC vazia",IF(NOT(ISNUMBER(B1617)),"DATA_PC invalida",IF(OR(C1617="",C1617="Fora dos ciclos"),"CICLO_PC nao identificado",IF(OR(D1617="",D1617=0),"VALOR_PC vazio ou zero",IF(AND(G1617&lt;&gt;"Sim",G1617&lt;&gt;"Nao",G1617&lt;&gt;""),"PC_PAGO_A_CONTRATADA invalido",IF(AND(C1617&lt;&gt;"C0",IFERROR(INDEX(parametros!$A$2:$A$6,MATCH(C1617,parametros!$B$2:$B$6,0)),"")="Sim",IFERROR(INDEX(parametros!$H$2:$H$6,MATCH(C1617,parametros!$B$2:$B$6,0)),"")=""),"INICIO_EFEITO ausente: PC "&amp;A1617&amp;" - "&amp;C1617,IF(L1617="","EFEITO_PC nao calculado: PC "&amp;A1617&amp;" - "&amp;C1617,"OK")))))))))</f>
        <v/>
      </c>
      <c r="L1617" s="92" t="str">
        <f>IF(AND(A1617="",B1617="",D1617="",G1617=""),"",IF(OR(B1617="",NOT(ISNUMBER(B1617)),C1617="",C1617="Fora dos ciclos"),"",IF(C1617="C0","Nao",IF(IFERROR(INDEX(parametros!$A$2:$A$6,MATCH(C1617,parametros!$B$2:$B$6,0)),"")&lt;&gt;"Sim","Nao",IF(IFERROR(INDEX(parametros!$H$2:$H$6,MATCH(C1617,parametros!$B$2:$B$6,0)),"")="","",IF(B1617&gt;=IFERROR(INDEX(parametros!$H$2:$H$6,MATCH(C1617,parametros!$B$2:$B$6,0)),""),"Sim","Nao"))))))</f>
        <v/>
      </c>
      <c r="T1617" s="156"/>
      <c r="U1617" s="214" t="str">
        <f t="shared" si="131"/>
        <v/>
      </c>
      <c r="V1617" s="212" t="s">
        <v>50</v>
      </c>
      <c r="W1617" s="100" t="s">
        <v>168</v>
      </c>
      <c r="X1617" s="100" t="s">
        <v>169</v>
      </c>
      <c r="Y1617" s="101" t="s">
        <v>170</v>
      </c>
      <c r="Z1617" s="101" t="s">
        <v>171</v>
      </c>
      <c r="AA1617" s="101" t="s">
        <v>50</v>
      </c>
      <c r="AB1617" s="101" t="s">
        <v>172</v>
      </c>
      <c r="AC1617" s="102" t="s">
        <v>173</v>
      </c>
    </row>
    <row r="1618" spans="1:29" ht="25.5" customHeight="1" x14ac:dyDescent="0.35">
      <c r="A1618" s="392"/>
      <c r="B1618" s="393"/>
      <c r="C1618" s="99" t="str">
        <f>IF(B1618="","",IF(NOT(ISNUMBER(B1618)),"DATA_PC invalida",IF(NOT(ISNUMBER(parametros!$C$2)),"Fora dos ciclos",IF(OR(B1618&lt;parametros!$C$2,(YEAR(B1618)-YEAR(parametros!$C$2))*12+MONTH(B1618)-MONTH(parametros!$C$2)&gt;59),"Fora dos ciclos","C"&amp;INT(((YEAR(B1618)-YEAR(parametros!$C$2))*12+MONTH(B1618)-MONTH(parametros!$C$2))/12)))))</f>
        <v/>
      </c>
      <c r="D1618" s="394"/>
      <c r="E1618" s="78" t="str">
        <f>IF(C1618="","",IFERROR(VLOOKUP(C1618,parametros!$A$11:$E$15,5,0),""))</f>
        <v/>
      </c>
      <c r="F1618" s="79" t="str">
        <f t="shared" si="127"/>
        <v/>
      </c>
      <c r="G1618" s="395"/>
      <c r="H1618" s="91">
        <f t="shared" si="128"/>
        <v>0</v>
      </c>
      <c r="I1618" s="91" t="str">
        <f t="shared" si="129"/>
        <v/>
      </c>
      <c r="J1618" s="91" t="str">
        <f t="shared" si="130"/>
        <v/>
      </c>
      <c r="K1618" s="92" t="str">
        <f>IF(AND(A1618="",B1618="",D1618="",G1618=""),"",IF(AND(A1618&lt;&gt;"",COUNTIF($A$2:$A$5001,A1618)&gt;1),"NUMERO_PC duplicado",IF(B1618="","DATA_PC vazia",IF(NOT(ISNUMBER(B1618)),"DATA_PC invalida",IF(OR(C1618="",C1618="Fora dos ciclos"),"CICLO_PC nao identificado",IF(OR(D1618="",D1618=0),"VALOR_PC vazio ou zero",IF(AND(G1618&lt;&gt;"Sim",G1618&lt;&gt;"Nao",G1618&lt;&gt;""),"PC_PAGO_A_CONTRATADA invalido",IF(AND(C1618&lt;&gt;"C0",IFERROR(INDEX(parametros!$A$2:$A$6,MATCH(C1618,parametros!$B$2:$B$6,0)),"")="Sim",IFERROR(INDEX(parametros!$H$2:$H$6,MATCH(C1618,parametros!$B$2:$B$6,0)),"")=""),"INICIO_EFEITO ausente: PC "&amp;A1618&amp;" - "&amp;C1618,IF(L1618="","EFEITO_PC nao calculado: PC "&amp;A1618&amp;" - "&amp;C1618,"OK")))))))))</f>
        <v/>
      </c>
      <c r="L1618" s="92" t="str">
        <f>IF(AND(A1618="",B1618="",D1618="",G1618=""),"",IF(OR(B1618="",NOT(ISNUMBER(B1618)),C1618="",C1618="Fora dos ciclos"),"",IF(C1618="C0","Nao",IF(IFERROR(INDEX(parametros!$A$2:$A$6,MATCH(C1618,parametros!$B$2:$B$6,0)),"")&lt;&gt;"Sim","Nao",IF(IFERROR(INDEX(parametros!$H$2:$H$6,MATCH(C1618,parametros!$B$2:$B$6,0)),"")="","",IF(B1618&gt;=IFERROR(INDEX(parametros!$H$2:$H$6,MATCH(C1618,parametros!$B$2:$B$6,0)),""),"Sim","Nao"))))))</f>
        <v/>
      </c>
      <c r="T1618" s="156"/>
      <c r="U1618" s="214" t="str">
        <f t="shared" si="131"/>
        <v/>
      </c>
      <c r="V1618" s="212" t="s">
        <v>50</v>
      </c>
      <c r="W1618" s="100" t="s">
        <v>168</v>
      </c>
      <c r="X1618" s="100" t="s">
        <v>169</v>
      </c>
      <c r="Y1618" s="101" t="s">
        <v>170</v>
      </c>
      <c r="Z1618" s="101" t="s">
        <v>171</v>
      </c>
      <c r="AA1618" s="101" t="s">
        <v>50</v>
      </c>
      <c r="AB1618" s="101" t="s">
        <v>172</v>
      </c>
      <c r="AC1618" s="102" t="s">
        <v>173</v>
      </c>
    </row>
    <row r="1619" spans="1:29" ht="25.5" customHeight="1" x14ac:dyDescent="0.35">
      <c r="A1619" s="392"/>
      <c r="B1619" s="393"/>
      <c r="C1619" s="99" t="str">
        <f>IF(B1619="","",IF(NOT(ISNUMBER(B1619)),"DATA_PC invalida",IF(NOT(ISNUMBER(parametros!$C$2)),"Fora dos ciclos",IF(OR(B1619&lt;parametros!$C$2,(YEAR(B1619)-YEAR(parametros!$C$2))*12+MONTH(B1619)-MONTH(parametros!$C$2)&gt;59),"Fora dos ciclos","C"&amp;INT(((YEAR(B1619)-YEAR(parametros!$C$2))*12+MONTH(B1619)-MONTH(parametros!$C$2))/12)))))</f>
        <v/>
      </c>
      <c r="D1619" s="394"/>
      <c r="E1619" s="78" t="str">
        <f>IF(C1619="","",IFERROR(VLOOKUP(C1619,parametros!$A$11:$E$15,5,0),""))</f>
        <v/>
      </c>
      <c r="F1619" s="79" t="str">
        <f t="shared" si="127"/>
        <v/>
      </c>
      <c r="G1619" s="395"/>
      <c r="H1619" s="91">
        <f t="shared" si="128"/>
        <v>0</v>
      </c>
      <c r="I1619" s="91" t="str">
        <f t="shared" si="129"/>
        <v/>
      </c>
      <c r="J1619" s="91" t="str">
        <f t="shared" si="130"/>
        <v/>
      </c>
      <c r="K1619" s="92" t="str">
        <f>IF(AND(A1619="",B1619="",D1619="",G1619=""),"",IF(AND(A1619&lt;&gt;"",COUNTIF($A$2:$A$5001,A1619)&gt;1),"NUMERO_PC duplicado",IF(B1619="","DATA_PC vazia",IF(NOT(ISNUMBER(B1619)),"DATA_PC invalida",IF(OR(C1619="",C1619="Fora dos ciclos"),"CICLO_PC nao identificado",IF(OR(D1619="",D1619=0),"VALOR_PC vazio ou zero",IF(AND(G1619&lt;&gt;"Sim",G1619&lt;&gt;"Nao",G1619&lt;&gt;""),"PC_PAGO_A_CONTRATADA invalido",IF(AND(C1619&lt;&gt;"C0",IFERROR(INDEX(parametros!$A$2:$A$6,MATCH(C1619,parametros!$B$2:$B$6,0)),"")="Sim",IFERROR(INDEX(parametros!$H$2:$H$6,MATCH(C1619,parametros!$B$2:$B$6,0)),"")=""),"INICIO_EFEITO ausente: PC "&amp;A1619&amp;" - "&amp;C1619,IF(L1619="","EFEITO_PC nao calculado: PC "&amp;A1619&amp;" - "&amp;C1619,"OK")))))))))</f>
        <v/>
      </c>
      <c r="L1619" s="92" t="str">
        <f>IF(AND(A1619="",B1619="",D1619="",G1619=""),"",IF(OR(B1619="",NOT(ISNUMBER(B1619)),C1619="",C1619="Fora dos ciclos"),"",IF(C1619="C0","Nao",IF(IFERROR(INDEX(parametros!$A$2:$A$6,MATCH(C1619,parametros!$B$2:$B$6,0)),"")&lt;&gt;"Sim","Nao",IF(IFERROR(INDEX(parametros!$H$2:$H$6,MATCH(C1619,parametros!$B$2:$B$6,0)),"")="","",IF(B1619&gt;=IFERROR(INDEX(parametros!$H$2:$H$6,MATCH(C1619,parametros!$B$2:$B$6,0)),""),"Sim","Nao"))))))</f>
        <v/>
      </c>
      <c r="T1619" s="156"/>
      <c r="U1619" s="214" t="str">
        <f t="shared" si="131"/>
        <v/>
      </c>
      <c r="V1619" s="212" t="s">
        <v>50</v>
      </c>
      <c r="W1619" s="100" t="s">
        <v>168</v>
      </c>
      <c r="X1619" s="100" t="s">
        <v>169</v>
      </c>
      <c r="Y1619" s="101" t="s">
        <v>170</v>
      </c>
      <c r="Z1619" s="101" t="s">
        <v>171</v>
      </c>
      <c r="AA1619" s="101" t="s">
        <v>50</v>
      </c>
      <c r="AB1619" s="101" t="s">
        <v>172</v>
      </c>
      <c r="AC1619" s="102" t="s">
        <v>173</v>
      </c>
    </row>
    <row r="1620" spans="1:29" ht="25.5" customHeight="1" x14ac:dyDescent="0.35">
      <c r="A1620" s="392"/>
      <c r="B1620" s="393"/>
      <c r="C1620" s="99" t="str">
        <f>IF(B1620="","",IF(NOT(ISNUMBER(B1620)),"DATA_PC invalida",IF(NOT(ISNUMBER(parametros!$C$2)),"Fora dos ciclos",IF(OR(B1620&lt;parametros!$C$2,(YEAR(B1620)-YEAR(parametros!$C$2))*12+MONTH(B1620)-MONTH(parametros!$C$2)&gt;59),"Fora dos ciclos","C"&amp;INT(((YEAR(B1620)-YEAR(parametros!$C$2))*12+MONTH(B1620)-MONTH(parametros!$C$2))/12)))))</f>
        <v/>
      </c>
      <c r="D1620" s="394"/>
      <c r="E1620" s="78" t="str">
        <f>IF(C1620="","",IFERROR(VLOOKUP(C1620,parametros!$A$11:$E$15,5,0),""))</f>
        <v/>
      </c>
      <c r="F1620" s="79" t="str">
        <f t="shared" si="127"/>
        <v/>
      </c>
      <c r="G1620" s="395"/>
      <c r="H1620" s="91">
        <f t="shared" si="128"/>
        <v>0</v>
      </c>
      <c r="I1620" s="91" t="str">
        <f t="shared" si="129"/>
        <v/>
      </c>
      <c r="J1620" s="91" t="str">
        <f t="shared" si="130"/>
        <v/>
      </c>
      <c r="K1620" s="92" t="str">
        <f>IF(AND(A1620="",B1620="",D1620="",G1620=""),"",IF(AND(A1620&lt;&gt;"",COUNTIF($A$2:$A$5001,A1620)&gt;1),"NUMERO_PC duplicado",IF(B1620="","DATA_PC vazia",IF(NOT(ISNUMBER(B1620)),"DATA_PC invalida",IF(OR(C1620="",C1620="Fora dos ciclos"),"CICLO_PC nao identificado",IF(OR(D1620="",D1620=0),"VALOR_PC vazio ou zero",IF(AND(G1620&lt;&gt;"Sim",G1620&lt;&gt;"Nao",G1620&lt;&gt;""),"PC_PAGO_A_CONTRATADA invalido",IF(AND(C1620&lt;&gt;"C0",IFERROR(INDEX(parametros!$A$2:$A$6,MATCH(C1620,parametros!$B$2:$B$6,0)),"")="Sim",IFERROR(INDEX(parametros!$H$2:$H$6,MATCH(C1620,parametros!$B$2:$B$6,0)),"")=""),"INICIO_EFEITO ausente: PC "&amp;A1620&amp;" - "&amp;C1620,IF(L1620="","EFEITO_PC nao calculado: PC "&amp;A1620&amp;" - "&amp;C1620,"OK")))))))))</f>
        <v/>
      </c>
      <c r="L1620" s="92" t="str">
        <f>IF(AND(A1620="",B1620="",D1620="",G1620=""),"",IF(OR(B1620="",NOT(ISNUMBER(B1620)),C1620="",C1620="Fora dos ciclos"),"",IF(C1620="C0","Nao",IF(IFERROR(INDEX(parametros!$A$2:$A$6,MATCH(C1620,parametros!$B$2:$B$6,0)),"")&lt;&gt;"Sim","Nao",IF(IFERROR(INDEX(parametros!$H$2:$H$6,MATCH(C1620,parametros!$B$2:$B$6,0)),"")="","",IF(B1620&gt;=IFERROR(INDEX(parametros!$H$2:$H$6,MATCH(C1620,parametros!$B$2:$B$6,0)),""),"Sim","Nao"))))))</f>
        <v/>
      </c>
      <c r="T1620" s="156"/>
      <c r="U1620" s="214" t="str">
        <f t="shared" si="131"/>
        <v/>
      </c>
      <c r="V1620" s="212" t="s">
        <v>50</v>
      </c>
      <c r="W1620" s="100" t="s">
        <v>168</v>
      </c>
      <c r="X1620" s="100" t="s">
        <v>169</v>
      </c>
      <c r="Y1620" s="101" t="s">
        <v>170</v>
      </c>
      <c r="Z1620" s="101" t="s">
        <v>171</v>
      </c>
      <c r="AA1620" s="101" t="s">
        <v>50</v>
      </c>
      <c r="AB1620" s="101" t="s">
        <v>172</v>
      </c>
      <c r="AC1620" s="102" t="s">
        <v>173</v>
      </c>
    </row>
    <row r="1621" spans="1:29" ht="25.5" customHeight="1" x14ac:dyDescent="0.35">
      <c r="A1621" s="392"/>
      <c r="B1621" s="393"/>
      <c r="C1621" s="99" t="str">
        <f>IF(B1621="","",IF(NOT(ISNUMBER(B1621)),"DATA_PC invalida",IF(NOT(ISNUMBER(parametros!$C$2)),"Fora dos ciclos",IF(OR(B1621&lt;parametros!$C$2,(YEAR(B1621)-YEAR(parametros!$C$2))*12+MONTH(B1621)-MONTH(parametros!$C$2)&gt;59),"Fora dos ciclos","C"&amp;INT(((YEAR(B1621)-YEAR(parametros!$C$2))*12+MONTH(B1621)-MONTH(parametros!$C$2))/12)))))</f>
        <v/>
      </c>
      <c r="D1621" s="394"/>
      <c r="E1621" s="78" t="str">
        <f>IF(C1621="","",IFERROR(VLOOKUP(C1621,parametros!$A$11:$E$15,5,0),""))</f>
        <v/>
      </c>
      <c r="F1621" s="79" t="str">
        <f t="shared" si="127"/>
        <v/>
      </c>
      <c r="G1621" s="395"/>
      <c r="H1621" s="91">
        <f t="shared" si="128"/>
        <v>0</v>
      </c>
      <c r="I1621" s="91" t="str">
        <f t="shared" si="129"/>
        <v/>
      </c>
      <c r="J1621" s="91" t="str">
        <f t="shared" si="130"/>
        <v/>
      </c>
      <c r="K1621" s="92" t="str">
        <f>IF(AND(A1621="",B1621="",D1621="",G1621=""),"",IF(AND(A1621&lt;&gt;"",COUNTIF($A$2:$A$5001,A1621)&gt;1),"NUMERO_PC duplicado",IF(B1621="","DATA_PC vazia",IF(NOT(ISNUMBER(B1621)),"DATA_PC invalida",IF(OR(C1621="",C1621="Fora dos ciclos"),"CICLO_PC nao identificado",IF(OR(D1621="",D1621=0),"VALOR_PC vazio ou zero",IF(AND(G1621&lt;&gt;"Sim",G1621&lt;&gt;"Nao",G1621&lt;&gt;""),"PC_PAGO_A_CONTRATADA invalido",IF(AND(C1621&lt;&gt;"C0",IFERROR(INDEX(parametros!$A$2:$A$6,MATCH(C1621,parametros!$B$2:$B$6,0)),"")="Sim",IFERROR(INDEX(parametros!$H$2:$H$6,MATCH(C1621,parametros!$B$2:$B$6,0)),"")=""),"INICIO_EFEITO ausente: PC "&amp;A1621&amp;" - "&amp;C1621,IF(L1621="","EFEITO_PC nao calculado: PC "&amp;A1621&amp;" - "&amp;C1621,"OK")))))))))</f>
        <v/>
      </c>
      <c r="L1621" s="92" t="str">
        <f>IF(AND(A1621="",B1621="",D1621="",G1621=""),"",IF(OR(B1621="",NOT(ISNUMBER(B1621)),C1621="",C1621="Fora dos ciclos"),"",IF(C1621="C0","Nao",IF(IFERROR(INDEX(parametros!$A$2:$A$6,MATCH(C1621,parametros!$B$2:$B$6,0)),"")&lt;&gt;"Sim","Nao",IF(IFERROR(INDEX(parametros!$H$2:$H$6,MATCH(C1621,parametros!$B$2:$B$6,0)),"")="","",IF(B1621&gt;=IFERROR(INDEX(parametros!$H$2:$H$6,MATCH(C1621,parametros!$B$2:$B$6,0)),""),"Sim","Nao"))))))</f>
        <v/>
      </c>
      <c r="T1621" s="156"/>
      <c r="U1621" s="214" t="str">
        <f t="shared" si="131"/>
        <v/>
      </c>
      <c r="V1621" s="212" t="s">
        <v>50</v>
      </c>
      <c r="W1621" s="100" t="s">
        <v>168</v>
      </c>
      <c r="X1621" s="100" t="s">
        <v>169</v>
      </c>
      <c r="Y1621" s="101" t="s">
        <v>170</v>
      </c>
      <c r="Z1621" s="101" t="s">
        <v>171</v>
      </c>
      <c r="AA1621" s="101" t="s">
        <v>50</v>
      </c>
      <c r="AB1621" s="101" t="s">
        <v>172</v>
      </c>
      <c r="AC1621" s="102" t="s">
        <v>173</v>
      </c>
    </row>
    <row r="1622" spans="1:29" ht="25.5" customHeight="1" x14ac:dyDescent="0.35">
      <c r="A1622" s="392"/>
      <c r="B1622" s="393"/>
      <c r="C1622" s="99" t="str">
        <f>IF(B1622="","",IF(NOT(ISNUMBER(B1622)),"DATA_PC invalida",IF(NOT(ISNUMBER(parametros!$C$2)),"Fora dos ciclos",IF(OR(B1622&lt;parametros!$C$2,(YEAR(B1622)-YEAR(parametros!$C$2))*12+MONTH(B1622)-MONTH(parametros!$C$2)&gt;59),"Fora dos ciclos","C"&amp;INT(((YEAR(B1622)-YEAR(parametros!$C$2))*12+MONTH(B1622)-MONTH(parametros!$C$2))/12)))))</f>
        <v/>
      </c>
      <c r="D1622" s="394"/>
      <c r="E1622" s="78" t="str">
        <f>IF(C1622="","",IFERROR(VLOOKUP(C1622,parametros!$A$11:$E$15,5,0),""))</f>
        <v/>
      </c>
      <c r="F1622" s="79" t="str">
        <f t="shared" si="127"/>
        <v/>
      </c>
      <c r="G1622" s="395"/>
      <c r="H1622" s="91">
        <f t="shared" si="128"/>
        <v>0</v>
      </c>
      <c r="I1622" s="91" t="str">
        <f t="shared" si="129"/>
        <v/>
      </c>
      <c r="J1622" s="91" t="str">
        <f t="shared" si="130"/>
        <v/>
      </c>
      <c r="K1622" s="92" t="str">
        <f>IF(AND(A1622="",B1622="",D1622="",G1622=""),"",IF(AND(A1622&lt;&gt;"",COUNTIF($A$2:$A$5001,A1622)&gt;1),"NUMERO_PC duplicado",IF(B1622="","DATA_PC vazia",IF(NOT(ISNUMBER(B1622)),"DATA_PC invalida",IF(OR(C1622="",C1622="Fora dos ciclos"),"CICLO_PC nao identificado",IF(OR(D1622="",D1622=0),"VALOR_PC vazio ou zero",IF(AND(G1622&lt;&gt;"Sim",G1622&lt;&gt;"Nao",G1622&lt;&gt;""),"PC_PAGO_A_CONTRATADA invalido",IF(AND(C1622&lt;&gt;"C0",IFERROR(INDEX(parametros!$A$2:$A$6,MATCH(C1622,parametros!$B$2:$B$6,0)),"")="Sim",IFERROR(INDEX(parametros!$H$2:$H$6,MATCH(C1622,parametros!$B$2:$B$6,0)),"")=""),"INICIO_EFEITO ausente: PC "&amp;A1622&amp;" - "&amp;C1622,IF(L1622="","EFEITO_PC nao calculado: PC "&amp;A1622&amp;" - "&amp;C1622,"OK")))))))))</f>
        <v/>
      </c>
      <c r="L1622" s="92" t="str">
        <f>IF(AND(A1622="",B1622="",D1622="",G1622=""),"",IF(OR(B1622="",NOT(ISNUMBER(B1622)),C1622="",C1622="Fora dos ciclos"),"",IF(C1622="C0","Nao",IF(IFERROR(INDEX(parametros!$A$2:$A$6,MATCH(C1622,parametros!$B$2:$B$6,0)),"")&lt;&gt;"Sim","Nao",IF(IFERROR(INDEX(parametros!$H$2:$H$6,MATCH(C1622,parametros!$B$2:$B$6,0)),"")="","",IF(B1622&gt;=IFERROR(INDEX(parametros!$H$2:$H$6,MATCH(C1622,parametros!$B$2:$B$6,0)),""),"Sim","Nao"))))))</f>
        <v/>
      </c>
      <c r="T1622" s="156"/>
      <c r="U1622" s="214" t="str">
        <f t="shared" si="131"/>
        <v/>
      </c>
      <c r="V1622" s="212" t="s">
        <v>50</v>
      </c>
      <c r="W1622" s="100" t="s">
        <v>168</v>
      </c>
      <c r="X1622" s="100" t="s">
        <v>169</v>
      </c>
      <c r="Y1622" s="101" t="s">
        <v>170</v>
      </c>
      <c r="Z1622" s="101" t="s">
        <v>171</v>
      </c>
      <c r="AA1622" s="101" t="s">
        <v>50</v>
      </c>
      <c r="AB1622" s="101" t="s">
        <v>172</v>
      </c>
      <c r="AC1622" s="102" t="s">
        <v>173</v>
      </c>
    </row>
    <row r="1623" spans="1:29" ht="25.5" customHeight="1" x14ac:dyDescent="0.35">
      <c r="A1623" s="392"/>
      <c r="B1623" s="393"/>
      <c r="C1623" s="99" t="str">
        <f>IF(B1623="","",IF(NOT(ISNUMBER(B1623)),"DATA_PC invalida",IF(NOT(ISNUMBER(parametros!$C$2)),"Fora dos ciclos",IF(OR(B1623&lt;parametros!$C$2,(YEAR(B1623)-YEAR(parametros!$C$2))*12+MONTH(B1623)-MONTH(parametros!$C$2)&gt;59),"Fora dos ciclos","C"&amp;INT(((YEAR(B1623)-YEAR(parametros!$C$2))*12+MONTH(B1623)-MONTH(parametros!$C$2))/12)))))</f>
        <v/>
      </c>
      <c r="D1623" s="394"/>
      <c r="E1623" s="78" t="str">
        <f>IF(C1623="","",IFERROR(VLOOKUP(C1623,parametros!$A$11:$E$15,5,0),""))</f>
        <v/>
      </c>
      <c r="F1623" s="79" t="str">
        <f t="shared" si="127"/>
        <v/>
      </c>
      <c r="G1623" s="395"/>
      <c r="H1623" s="91">
        <f t="shared" si="128"/>
        <v>0</v>
      </c>
      <c r="I1623" s="91" t="str">
        <f t="shared" si="129"/>
        <v/>
      </c>
      <c r="J1623" s="91" t="str">
        <f t="shared" si="130"/>
        <v/>
      </c>
      <c r="K1623" s="92" t="str">
        <f>IF(AND(A1623="",B1623="",D1623="",G1623=""),"",IF(AND(A1623&lt;&gt;"",COUNTIF($A$2:$A$5001,A1623)&gt;1),"NUMERO_PC duplicado",IF(B1623="","DATA_PC vazia",IF(NOT(ISNUMBER(B1623)),"DATA_PC invalida",IF(OR(C1623="",C1623="Fora dos ciclos"),"CICLO_PC nao identificado",IF(OR(D1623="",D1623=0),"VALOR_PC vazio ou zero",IF(AND(G1623&lt;&gt;"Sim",G1623&lt;&gt;"Nao",G1623&lt;&gt;""),"PC_PAGO_A_CONTRATADA invalido",IF(AND(C1623&lt;&gt;"C0",IFERROR(INDEX(parametros!$A$2:$A$6,MATCH(C1623,parametros!$B$2:$B$6,0)),"")="Sim",IFERROR(INDEX(parametros!$H$2:$H$6,MATCH(C1623,parametros!$B$2:$B$6,0)),"")=""),"INICIO_EFEITO ausente: PC "&amp;A1623&amp;" - "&amp;C1623,IF(L1623="","EFEITO_PC nao calculado: PC "&amp;A1623&amp;" - "&amp;C1623,"OK")))))))))</f>
        <v/>
      </c>
      <c r="L1623" s="92" t="str">
        <f>IF(AND(A1623="",B1623="",D1623="",G1623=""),"",IF(OR(B1623="",NOT(ISNUMBER(B1623)),C1623="",C1623="Fora dos ciclos"),"",IF(C1623="C0","Nao",IF(IFERROR(INDEX(parametros!$A$2:$A$6,MATCH(C1623,parametros!$B$2:$B$6,0)),"")&lt;&gt;"Sim","Nao",IF(IFERROR(INDEX(parametros!$H$2:$H$6,MATCH(C1623,parametros!$B$2:$B$6,0)),"")="","",IF(B1623&gt;=IFERROR(INDEX(parametros!$H$2:$H$6,MATCH(C1623,parametros!$B$2:$B$6,0)),""),"Sim","Nao"))))))</f>
        <v/>
      </c>
      <c r="T1623" s="156"/>
      <c r="U1623" s="214" t="str">
        <f t="shared" si="131"/>
        <v/>
      </c>
      <c r="V1623" s="212" t="s">
        <v>50</v>
      </c>
      <c r="W1623" s="100" t="s">
        <v>168</v>
      </c>
      <c r="X1623" s="100" t="s">
        <v>169</v>
      </c>
      <c r="Y1623" s="101" t="s">
        <v>170</v>
      </c>
      <c r="Z1623" s="101" t="s">
        <v>171</v>
      </c>
      <c r="AA1623" s="101" t="s">
        <v>50</v>
      </c>
      <c r="AB1623" s="101" t="s">
        <v>172</v>
      </c>
      <c r="AC1623" s="102" t="s">
        <v>173</v>
      </c>
    </row>
    <row r="1624" spans="1:29" ht="25.5" customHeight="1" x14ac:dyDescent="0.35">
      <c r="A1624" s="392"/>
      <c r="B1624" s="393"/>
      <c r="C1624" s="99" t="str">
        <f>IF(B1624="","",IF(NOT(ISNUMBER(B1624)),"DATA_PC invalida",IF(NOT(ISNUMBER(parametros!$C$2)),"Fora dos ciclos",IF(OR(B1624&lt;parametros!$C$2,(YEAR(B1624)-YEAR(parametros!$C$2))*12+MONTH(B1624)-MONTH(parametros!$C$2)&gt;59),"Fora dos ciclos","C"&amp;INT(((YEAR(B1624)-YEAR(parametros!$C$2))*12+MONTH(B1624)-MONTH(parametros!$C$2))/12)))))</f>
        <v/>
      </c>
      <c r="D1624" s="394"/>
      <c r="E1624" s="78" t="str">
        <f>IF(C1624="","",IFERROR(VLOOKUP(C1624,parametros!$A$11:$E$15,5,0),""))</f>
        <v/>
      </c>
      <c r="F1624" s="79" t="str">
        <f t="shared" si="127"/>
        <v/>
      </c>
      <c r="G1624" s="395"/>
      <c r="H1624" s="91">
        <f t="shared" si="128"/>
        <v>0</v>
      </c>
      <c r="I1624" s="91" t="str">
        <f t="shared" si="129"/>
        <v/>
      </c>
      <c r="J1624" s="91" t="str">
        <f t="shared" si="130"/>
        <v/>
      </c>
      <c r="K1624" s="92" t="str">
        <f>IF(AND(A1624="",B1624="",D1624="",G1624=""),"",IF(AND(A1624&lt;&gt;"",COUNTIF($A$2:$A$5001,A1624)&gt;1),"NUMERO_PC duplicado",IF(B1624="","DATA_PC vazia",IF(NOT(ISNUMBER(B1624)),"DATA_PC invalida",IF(OR(C1624="",C1624="Fora dos ciclos"),"CICLO_PC nao identificado",IF(OR(D1624="",D1624=0),"VALOR_PC vazio ou zero",IF(AND(G1624&lt;&gt;"Sim",G1624&lt;&gt;"Nao",G1624&lt;&gt;""),"PC_PAGO_A_CONTRATADA invalido",IF(AND(C1624&lt;&gt;"C0",IFERROR(INDEX(parametros!$A$2:$A$6,MATCH(C1624,parametros!$B$2:$B$6,0)),"")="Sim",IFERROR(INDEX(parametros!$H$2:$H$6,MATCH(C1624,parametros!$B$2:$B$6,0)),"")=""),"INICIO_EFEITO ausente: PC "&amp;A1624&amp;" - "&amp;C1624,IF(L1624="","EFEITO_PC nao calculado: PC "&amp;A1624&amp;" - "&amp;C1624,"OK")))))))))</f>
        <v/>
      </c>
      <c r="L1624" s="92" t="str">
        <f>IF(AND(A1624="",B1624="",D1624="",G1624=""),"",IF(OR(B1624="",NOT(ISNUMBER(B1624)),C1624="",C1624="Fora dos ciclos"),"",IF(C1624="C0","Nao",IF(IFERROR(INDEX(parametros!$A$2:$A$6,MATCH(C1624,parametros!$B$2:$B$6,0)),"")&lt;&gt;"Sim","Nao",IF(IFERROR(INDEX(parametros!$H$2:$H$6,MATCH(C1624,parametros!$B$2:$B$6,0)),"")="","",IF(B1624&gt;=IFERROR(INDEX(parametros!$H$2:$H$6,MATCH(C1624,parametros!$B$2:$B$6,0)),""),"Sim","Nao"))))))</f>
        <v/>
      </c>
      <c r="T1624" s="156"/>
      <c r="U1624" s="214" t="str">
        <f t="shared" si="131"/>
        <v/>
      </c>
      <c r="V1624" s="212" t="s">
        <v>50</v>
      </c>
      <c r="W1624" s="100" t="s">
        <v>168</v>
      </c>
      <c r="X1624" s="100" t="s">
        <v>169</v>
      </c>
      <c r="Y1624" s="101" t="s">
        <v>170</v>
      </c>
      <c r="Z1624" s="101" t="s">
        <v>171</v>
      </c>
      <c r="AA1624" s="101" t="s">
        <v>50</v>
      </c>
      <c r="AB1624" s="101" t="s">
        <v>172</v>
      </c>
      <c r="AC1624" s="102" t="s">
        <v>173</v>
      </c>
    </row>
    <row r="1625" spans="1:29" ht="25.5" customHeight="1" x14ac:dyDescent="0.35">
      <c r="A1625" s="392"/>
      <c r="B1625" s="393"/>
      <c r="C1625" s="99" t="str">
        <f>IF(B1625="","",IF(NOT(ISNUMBER(B1625)),"DATA_PC invalida",IF(NOT(ISNUMBER(parametros!$C$2)),"Fora dos ciclos",IF(OR(B1625&lt;parametros!$C$2,(YEAR(B1625)-YEAR(parametros!$C$2))*12+MONTH(B1625)-MONTH(parametros!$C$2)&gt;59),"Fora dos ciclos","C"&amp;INT(((YEAR(B1625)-YEAR(parametros!$C$2))*12+MONTH(B1625)-MONTH(parametros!$C$2))/12)))))</f>
        <v/>
      </c>
      <c r="D1625" s="394"/>
      <c r="E1625" s="78" t="str">
        <f>IF(C1625="","",IFERROR(VLOOKUP(C1625,parametros!$A$11:$E$15,5,0),""))</f>
        <v/>
      </c>
      <c r="F1625" s="79" t="str">
        <f t="shared" si="127"/>
        <v/>
      </c>
      <c r="G1625" s="395"/>
      <c r="H1625" s="91">
        <f t="shared" si="128"/>
        <v>0</v>
      </c>
      <c r="I1625" s="91" t="str">
        <f t="shared" si="129"/>
        <v/>
      </c>
      <c r="J1625" s="91" t="str">
        <f t="shared" si="130"/>
        <v/>
      </c>
      <c r="K1625" s="92" t="str">
        <f>IF(AND(A1625="",B1625="",D1625="",G1625=""),"",IF(AND(A1625&lt;&gt;"",COUNTIF($A$2:$A$5001,A1625)&gt;1),"NUMERO_PC duplicado",IF(B1625="","DATA_PC vazia",IF(NOT(ISNUMBER(B1625)),"DATA_PC invalida",IF(OR(C1625="",C1625="Fora dos ciclos"),"CICLO_PC nao identificado",IF(OR(D1625="",D1625=0),"VALOR_PC vazio ou zero",IF(AND(G1625&lt;&gt;"Sim",G1625&lt;&gt;"Nao",G1625&lt;&gt;""),"PC_PAGO_A_CONTRATADA invalido",IF(AND(C1625&lt;&gt;"C0",IFERROR(INDEX(parametros!$A$2:$A$6,MATCH(C1625,parametros!$B$2:$B$6,0)),"")="Sim",IFERROR(INDEX(parametros!$H$2:$H$6,MATCH(C1625,parametros!$B$2:$B$6,0)),"")=""),"INICIO_EFEITO ausente: PC "&amp;A1625&amp;" - "&amp;C1625,IF(L1625="","EFEITO_PC nao calculado: PC "&amp;A1625&amp;" - "&amp;C1625,"OK")))))))))</f>
        <v/>
      </c>
      <c r="L1625" s="92" t="str">
        <f>IF(AND(A1625="",B1625="",D1625="",G1625=""),"",IF(OR(B1625="",NOT(ISNUMBER(B1625)),C1625="",C1625="Fora dos ciclos"),"",IF(C1625="C0","Nao",IF(IFERROR(INDEX(parametros!$A$2:$A$6,MATCH(C1625,parametros!$B$2:$B$6,0)),"")&lt;&gt;"Sim","Nao",IF(IFERROR(INDEX(parametros!$H$2:$H$6,MATCH(C1625,parametros!$B$2:$B$6,0)),"")="","",IF(B1625&gt;=IFERROR(INDEX(parametros!$H$2:$H$6,MATCH(C1625,parametros!$B$2:$B$6,0)),""),"Sim","Nao"))))))</f>
        <v/>
      </c>
      <c r="T1625" s="156"/>
      <c r="U1625" s="214" t="str">
        <f t="shared" si="131"/>
        <v/>
      </c>
      <c r="V1625" s="212" t="s">
        <v>50</v>
      </c>
      <c r="W1625" s="100" t="s">
        <v>168</v>
      </c>
      <c r="X1625" s="100" t="s">
        <v>169</v>
      </c>
      <c r="Y1625" s="101" t="s">
        <v>170</v>
      </c>
      <c r="Z1625" s="101" t="s">
        <v>171</v>
      </c>
      <c r="AA1625" s="101" t="s">
        <v>50</v>
      </c>
      <c r="AB1625" s="101" t="s">
        <v>172</v>
      </c>
      <c r="AC1625" s="102" t="s">
        <v>173</v>
      </c>
    </row>
    <row r="1626" spans="1:29" ht="25.5" customHeight="1" x14ac:dyDescent="0.35">
      <c r="A1626" s="392"/>
      <c r="B1626" s="393"/>
      <c r="C1626" s="99" t="str">
        <f>IF(B1626="","",IF(NOT(ISNUMBER(B1626)),"DATA_PC invalida",IF(NOT(ISNUMBER(parametros!$C$2)),"Fora dos ciclos",IF(OR(B1626&lt;parametros!$C$2,(YEAR(B1626)-YEAR(parametros!$C$2))*12+MONTH(B1626)-MONTH(parametros!$C$2)&gt;59),"Fora dos ciclos","C"&amp;INT(((YEAR(B1626)-YEAR(parametros!$C$2))*12+MONTH(B1626)-MONTH(parametros!$C$2))/12)))))</f>
        <v/>
      </c>
      <c r="D1626" s="394"/>
      <c r="E1626" s="78" t="str">
        <f>IF(C1626="","",IFERROR(VLOOKUP(C1626,parametros!$A$11:$E$15,5,0),""))</f>
        <v/>
      </c>
      <c r="F1626" s="79" t="str">
        <f t="shared" si="127"/>
        <v/>
      </c>
      <c r="G1626" s="395"/>
      <c r="H1626" s="91">
        <f t="shared" si="128"/>
        <v>0</v>
      </c>
      <c r="I1626" s="91" t="str">
        <f t="shared" si="129"/>
        <v/>
      </c>
      <c r="J1626" s="91" t="str">
        <f t="shared" si="130"/>
        <v/>
      </c>
      <c r="K1626" s="92" t="str">
        <f>IF(AND(A1626="",B1626="",D1626="",G1626=""),"",IF(AND(A1626&lt;&gt;"",COUNTIF($A$2:$A$5001,A1626)&gt;1),"NUMERO_PC duplicado",IF(B1626="","DATA_PC vazia",IF(NOT(ISNUMBER(B1626)),"DATA_PC invalida",IF(OR(C1626="",C1626="Fora dos ciclos"),"CICLO_PC nao identificado",IF(OR(D1626="",D1626=0),"VALOR_PC vazio ou zero",IF(AND(G1626&lt;&gt;"Sim",G1626&lt;&gt;"Nao",G1626&lt;&gt;""),"PC_PAGO_A_CONTRATADA invalido",IF(AND(C1626&lt;&gt;"C0",IFERROR(INDEX(parametros!$A$2:$A$6,MATCH(C1626,parametros!$B$2:$B$6,0)),"")="Sim",IFERROR(INDEX(parametros!$H$2:$H$6,MATCH(C1626,parametros!$B$2:$B$6,0)),"")=""),"INICIO_EFEITO ausente: PC "&amp;A1626&amp;" - "&amp;C1626,IF(L1626="","EFEITO_PC nao calculado: PC "&amp;A1626&amp;" - "&amp;C1626,"OK")))))))))</f>
        <v/>
      </c>
      <c r="L1626" s="92" t="str">
        <f>IF(AND(A1626="",B1626="",D1626="",G1626=""),"",IF(OR(B1626="",NOT(ISNUMBER(B1626)),C1626="",C1626="Fora dos ciclos"),"",IF(C1626="C0","Nao",IF(IFERROR(INDEX(parametros!$A$2:$A$6,MATCH(C1626,parametros!$B$2:$B$6,0)),"")&lt;&gt;"Sim","Nao",IF(IFERROR(INDEX(parametros!$H$2:$H$6,MATCH(C1626,parametros!$B$2:$B$6,0)),"")="","",IF(B1626&gt;=IFERROR(INDEX(parametros!$H$2:$H$6,MATCH(C1626,parametros!$B$2:$B$6,0)),""),"Sim","Nao"))))))</f>
        <v/>
      </c>
      <c r="T1626" s="156"/>
      <c r="U1626" s="214" t="str">
        <f t="shared" si="131"/>
        <v/>
      </c>
      <c r="V1626" s="212" t="s">
        <v>50</v>
      </c>
      <c r="W1626" s="100" t="s">
        <v>168</v>
      </c>
      <c r="X1626" s="100" t="s">
        <v>169</v>
      </c>
      <c r="Y1626" s="101" t="s">
        <v>170</v>
      </c>
      <c r="Z1626" s="101" t="s">
        <v>171</v>
      </c>
      <c r="AA1626" s="101" t="s">
        <v>50</v>
      </c>
      <c r="AB1626" s="101" t="s">
        <v>172</v>
      </c>
      <c r="AC1626" s="102" t="s">
        <v>173</v>
      </c>
    </row>
    <row r="1627" spans="1:29" ht="25.5" customHeight="1" x14ac:dyDescent="0.35">
      <c r="A1627" s="392"/>
      <c r="B1627" s="393"/>
      <c r="C1627" s="99" t="str">
        <f>IF(B1627="","",IF(NOT(ISNUMBER(B1627)),"DATA_PC invalida",IF(NOT(ISNUMBER(parametros!$C$2)),"Fora dos ciclos",IF(OR(B1627&lt;parametros!$C$2,(YEAR(B1627)-YEAR(parametros!$C$2))*12+MONTH(B1627)-MONTH(parametros!$C$2)&gt;59),"Fora dos ciclos","C"&amp;INT(((YEAR(B1627)-YEAR(parametros!$C$2))*12+MONTH(B1627)-MONTH(parametros!$C$2))/12)))))</f>
        <v/>
      </c>
      <c r="D1627" s="394"/>
      <c r="E1627" s="78" t="str">
        <f>IF(C1627="","",IFERROR(VLOOKUP(C1627,parametros!$A$11:$E$15,5,0),""))</f>
        <v/>
      </c>
      <c r="F1627" s="79" t="str">
        <f t="shared" si="127"/>
        <v/>
      </c>
      <c r="G1627" s="395"/>
      <c r="H1627" s="91">
        <f t="shared" si="128"/>
        <v>0</v>
      </c>
      <c r="I1627" s="91" t="str">
        <f t="shared" si="129"/>
        <v/>
      </c>
      <c r="J1627" s="91" t="str">
        <f t="shared" si="130"/>
        <v/>
      </c>
      <c r="K1627" s="92" t="str">
        <f>IF(AND(A1627="",B1627="",D1627="",G1627=""),"",IF(AND(A1627&lt;&gt;"",COUNTIF($A$2:$A$5001,A1627)&gt;1),"NUMERO_PC duplicado",IF(B1627="","DATA_PC vazia",IF(NOT(ISNUMBER(B1627)),"DATA_PC invalida",IF(OR(C1627="",C1627="Fora dos ciclos"),"CICLO_PC nao identificado",IF(OR(D1627="",D1627=0),"VALOR_PC vazio ou zero",IF(AND(G1627&lt;&gt;"Sim",G1627&lt;&gt;"Nao",G1627&lt;&gt;""),"PC_PAGO_A_CONTRATADA invalido",IF(AND(C1627&lt;&gt;"C0",IFERROR(INDEX(parametros!$A$2:$A$6,MATCH(C1627,parametros!$B$2:$B$6,0)),"")="Sim",IFERROR(INDEX(parametros!$H$2:$H$6,MATCH(C1627,parametros!$B$2:$B$6,0)),"")=""),"INICIO_EFEITO ausente: PC "&amp;A1627&amp;" - "&amp;C1627,IF(L1627="","EFEITO_PC nao calculado: PC "&amp;A1627&amp;" - "&amp;C1627,"OK")))))))))</f>
        <v/>
      </c>
      <c r="L1627" s="92" t="str">
        <f>IF(AND(A1627="",B1627="",D1627="",G1627=""),"",IF(OR(B1627="",NOT(ISNUMBER(B1627)),C1627="",C1627="Fora dos ciclos"),"",IF(C1627="C0","Nao",IF(IFERROR(INDEX(parametros!$A$2:$A$6,MATCH(C1627,parametros!$B$2:$B$6,0)),"")&lt;&gt;"Sim","Nao",IF(IFERROR(INDEX(parametros!$H$2:$H$6,MATCH(C1627,parametros!$B$2:$B$6,0)),"")="","",IF(B1627&gt;=IFERROR(INDEX(parametros!$H$2:$H$6,MATCH(C1627,parametros!$B$2:$B$6,0)),""),"Sim","Nao"))))))</f>
        <v/>
      </c>
      <c r="T1627" s="156"/>
      <c r="U1627" s="214" t="str">
        <f t="shared" si="131"/>
        <v/>
      </c>
      <c r="V1627" s="212" t="s">
        <v>50</v>
      </c>
      <c r="W1627" s="100" t="s">
        <v>168</v>
      </c>
      <c r="X1627" s="100" t="s">
        <v>169</v>
      </c>
      <c r="Y1627" s="101" t="s">
        <v>170</v>
      </c>
      <c r="Z1627" s="101" t="s">
        <v>171</v>
      </c>
      <c r="AA1627" s="101" t="s">
        <v>50</v>
      </c>
      <c r="AB1627" s="101" t="s">
        <v>172</v>
      </c>
      <c r="AC1627" s="102" t="s">
        <v>173</v>
      </c>
    </row>
    <row r="1628" spans="1:29" ht="25.5" customHeight="1" x14ac:dyDescent="0.35">
      <c r="A1628" s="392"/>
      <c r="B1628" s="393"/>
      <c r="C1628" s="99" t="str">
        <f>IF(B1628="","",IF(NOT(ISNUMBER(B1628)),"DATA_PC invalida",IF(NOT(ISNUMBER(parametros!$C$2)),"Fora dos ciclos",IF(OR(B1628&lt;parametros!$C$2,(YEAR(B1628)-YEAR(parametros!$C$2))*12+MONTH(B1628)-MONTH(parametros!$C$2)&gt;59),"Fora dos ciclos","C"&amp;INT(((YEAR(B1628)-YEAR(parametros!$C$2))*12+MONTH(B1628)-MONTH(parametros!$C$2))/12)))))</f>
        <v/>
      </c>
      <c r="D1628" s="394"/>
      <c r="E1628" s="78" t="str">
        <f>IF(C1628="","",IFERROR(VLOOKUP(C1628,parametros!$A$11:$E$15,5,0),""))</f>
        <v/>
      </c>
      <c r="F1628" s="79" t="str">
        <f t="shared" si="127"/>
        <v/>
      </c>
      <c r="G1628" s="395"/>
      <c r="H1628" s="91">
        <f t="shared" si="128"/>
        <v>0</v>
      </c>
      <c r="I1628" s="91" t="str">
        <f t="shared" si="129"/>
        <v/>
      </c>
      <c r="J1628" s="91" t="str">
        <f t="shared" si="130"/>
        <v/>
      </c>
      <c r="K1628" s="92" t="str">
        <f>IF(AND(A1628="",B1628="",D1628="",G1628=""),"",IF(AND(A1628&lt;&gt;"",COUNTIF($A$2:$A$5001,A1628)&gt;1),"NUMERO_PC duplicado",IF(B1628="","DATA_PC vazia",IF(NOT(ISNUMBER(B1628)),"DATA_PC invalida",IF(OR(C1628="",C1628="Fora dos ciclos"),"CICLO_PC nao identificado",IF(OR(D1628="",D1628=0),"VALOR_PC vazio ou zero",IF(AND(G1628&lt;&gt;"Sim",G1628&lt;&gt;"Nao",G1628&lt;&gt;""),"PC_PAGO_A_CONTRATADA invalido",IF(AND(C1628&lt;&gt;"C0",IFERROR(INDEX(parametros!$A$2:$A$6,MATCH(C1628,parametros!$B$2:$B$6,0)),"")="Sim",IFERROR(INDEX(parametros!$H$2:$H$6,MATCH(C1628,parametros!$B$2:$B$6,0)),"")=""),"INICIO_EFEITO ausente: PC "&amp;A1628&amp;" - "&amp;C1628,IF(L1628="","EFEITO_PC nao calculado: PC "&amp;A1628&amp;" - "&amp;C1628,"OK")))))))))</f>
        <v/>
      </c>
      <c r="L1628" s="92" t="str">
        <f>IF(AND(A1628="",B1628="",D1628="",G1628=""),"",IF(OR(B1628="",NOT(ISNUMBER(B1628)),C1628="",C1628="Fora dos ciclos"),"",IF(C1628="C0","Nao",IF(IFERROR(INDEX(parametros!$A$2:$A$6,MATCH(C1628,parametros!$B$2:$B$6,0)),"")&lt;&gt;"Sim","Nao",IF(IFERROR(INDEX(parametros!$H$2:$H$6,MATCH(C1628,parametros!$B$2:$B$6,0)),"")="","",IF(B1628&gt;=IFERROR(INDEX(parametros!$H$2:$H$6,MATCH(C1628,parametros!$B$2:$B$6,0)),""),"Sim","Nao"))))))</f>
        <v/>
      </c>
      <c r="T1628" s="156"/>
      <c r="U1628" s="214" t="str">
        <f t="shared" si="131"/>
        <v/>
      </c>
      <c r="V1628" s="212" t="s">
        <v>50</v>
      </c>
      <c r="W1628" s="100" t="s">
        <v>168</v>
      </c>
      <c r="X1628" s="100" t="s">
        <v>169</v>
      </c>
      <c r="Y1628" s="101" t="s">
        <v>170</v>
      </c>
      <c r="Z1628" s="101" t="s">
        <v>171</v>
      </c>
      <c r="AA1628" s="101" t="s">
        <v>50</v>
      </c>
      <c r="AB1628" s="101" t="s">
        <v>172</v>
      </c>
      <c r="AC1628" s="102" t="s">
        <v>173</v>
      </c>
    </row>
    <row r="1629" spans="1:29" ht="25.5" customHeight="1" x14ac:dyDescent="0.35">
      <c r="A1629" s="392"/>
      <c r="B1629" s="393"/>
      <c r="C1629" s="99" t="str">
        <f>IF(B1629="","",IF(NOT(ISNUMBER(B1629)),"DATA_PC invalida",IF(NOT(ISNUMBER(parametros!$C$2)),"Fora dos ciclos",IF(OR(B1629&lt;parametros!$C$2,(YEAR(B1629)-YEAR(parametros!$C$2))*12+MONTH(B1629)-MONTH(parametros!$C$2)&gt;59),"Fora dos ciclos","C"&amp;INT(((YEAR(B1629)-YEAR(parametros!$C$2))*12+MONTH(B1629)-MONTH(parametros!$C$2))/12)))))</f>
        <v/>
      </c>
      <c r="D1629" s="394"/>
      <c r="E1629" s="78" t="str">
        <f>IF(C1629="","",IFERROR(VLOOKUP(C1629,parametros!$A$11:$E$15,5,0),""))</f>
        <v/>
      </c>
      <c r="F1629" s="79" t="str">
        <f t="shared" si="127"/>
        <v/>
      </c>
      <c r="G1629" s="395"/>
      <c r="H1629" s="91">
        <f t="shared" si="128"/>
        <v>0</v>
      </c>
      <c r="I1629" s="91" t="str">
        <f t="shared" si="129"/>
        <v/>
      </c>
      <c r="J1629" s="91" t="str">
        <f t="shared" si="130"/>
        <v/>
      </c>
      <c r="K1629" s="92" t="str">
        <f>IF(AND(A1629="",B1629="",D1629="",G1629=""),"",IF(AND(A1629&lt;&gt;"",COUNTIF($A$2:$A$5001,A1629)&gt;1),"NUMERO_PC duplicado",IF(B1629="","DATA_PC vazia",IF(NOT(ISNUMBER(B1629)),"DATA_PC invalida",IF(OR(C1629="",C1629="Fora dos ciclos"),"CICLO_PC nao identificado",IF(OR(D1629="",D1629=0),"VALOR_PC vazio ou zero",IF(AND(G1629&lt;&gt;"Sim",G1629&lt;&gt;"Nao",G1629&lt;&gt;""),"PC_PAGO_A_CONTRATADA invalido",IF(AND(C1629&lt;&gt;"C0",IFERROR(INDEX(parametros!$A$2:$A$6,MATCH(C1629,parametros!$B$2:$B$6,0)),"")="Sim",IFERROR(INDEX(parametros!$H$2:$H$6,MATCH(C1629,parametros!$B$2:$B$6,0)),"")=""),"INICIO_EFEITO ausente: PC "&amp;A1629&amp;" - "&amp;C1629,IF(L1629="","EFEITO_PC nao calculado: PC "&amp;A1629&amp;" - "&amp;C1629,"OK")))))))))</f>
        <v/>
      </c>
      <c r="L1629" s="92" t="str">
        <f>IF(AND(A1629="",B1629="",D1629="",G1629=""),"",IF(OR(B1629="",NOT(ISNUMBER(B1629)),C1629="",C1629="Fora dos ciclos"),"",IF(C1629="C0","Nao",IF(IFERROR(INDEX(parametros!$A$2:$A$6,MATCH(C1629,parametros!$B$2:$B$6,0)),"")&lt;&gt;"Sim","Nao",IF(IFERROR(INDEX(parametros!$H$2:$H$6,MATCH(C1629,parametros!$B$2:$B$6,0)),"")="","",IF(B1629&gt;=IFERROR(INDEX(parametros!$H$2:$H$6,MATCH(C1629,parametros!$B$2:$B$6,0)),""),"Sim","Nao"))))))</f>
        <v/>
      </c>
      <c r="T1629" s="156"/>
      <c r="U1629" s="214" t="str">
        <f t="shared" si="131"/>
        <v/>
      </c>
      <c r="V1629" s="212" t="s">
        <v>50</v>
      </c>
      <c r="W1629" s="100" t="s">
        <v>168</v>
      </c>
      <c r="X1629" s="100" t="s">
        <v>169</v>
      </c>
      <c r="Y1629" s="101" t="s">
        <v>170</v>
      </c>
      <c r="Z1629" s="101" t="s">
        <v>171</v>
      </c>
      <c r="AA1629" s="101" t="s">
        <v>50</v>
      </c>
      <c r="AB1629" s="101" t="s">
        <v>172</v>
      </c>
      <c r="AC1629" s="102" t="s">
        <v>173</v>
      </c>
    </row>
    <row r="1630" spans="1:29" ht="25.5" customHeight="1" x14ac:dyDescent="0.35">
      <c r="A1630" s="392"/>
      <c r="B1630" s="393"/>
      <c r="C1630" s="99" t="str">
        <f>IF(B1630="","",IF(NOT(ISNUMBER(B1630)),"DATA_PC invalida",IF(NOT(ISNUMBER(parametros!$C$2)),"Fora dos ciclos",IF(OR(B1630&lt;parametros!$C$2,(YEAR(B1630)-YEAR(parametros!$C$2))*12+MONTH(B1630)-MONTH(parametros!$C$2)&gt;59),"Fora dos ciclos","C"&amp;INT(((YEAR(B1630)-YEAR(parametros!$C$2))*12+MONTH(B1630)-MONTH(parametros!$C$2))/12)))))</f>
        <v/>
      </c>
      <c r="D1630" s="394"/>
      <c r="E1630" s="78" t="str">
        <f>IF(C1630="","",IFERROR(VLOOKUP(C1630,parametros!$A$11:$E$15,5,0),""))</f>
        <v/>
      </c>
      <c r="F1630" s="79" t="str">
        <f t="shared" si="127"/>
        <v/>
      </c>
      <c r="G1630" s="395"/>
      <c r="H1630" s="91">
        <f t="shared" si="128"/>
        <v>0</v>
      </c>
      <c r="I1630" s="91" t="str">
        <f t="shared" si="129"/>
        <v/>
      </c>
      <c r="J1630" s="91" t="str">
        <f t="shared" si="130"/>
        <v/>
      </c>
      <c r="K1630" s="92" t="str">
        <f>IF(AND(A1630="",B1630="",D1630="",G1630=""),"",IF(AND(A1630&lt;&gt;"",COUNTIF($A$2:$A$5001,A1630)&gt;1),"NUMERO_PC duplicado",IF(B1630="","DATA_PC vazia",IF(NOT(ISNUMBER(B1630)),"DATA_PC invalida",IF(OR(C1630="",C1630="Fora dos ciclos"),"CICLO_PC nao identificado",IF(OR(D1630="",D1630=0),"VALOR_PC vazio ou zero",IF(AND(G1630&lt;&gt;"Sim",G1630&lt;&gt;"Nao",G1630&lt;&gt;""),"PC_PAGO_A_CONTRATADA invalido",IF(AND(C1630&lt;&gt;"C0",IFERROR(INDEX(parametros!$A$2:$A$6,MATCH(C1630,parametros!$B$2:$B$6,0)),"")="Sim",IFERROR(INDEX(parametros!$H$2:$H$6,MATCH(C1630,parametros!$B$2:$B$6,0)),"")=""),"INICIO_EFEITO ausente: PC "&amp;A1630&amp;" - "&amp;C1630,IF(L1630="","EFEITO_PC nao calculado: PC "&amp;A1630&amp;" - "&amp;C1630,"OK")))))))))</f>
        <v/>
      </c>
      <c r="L1630" s="92" t="str">
        <f>IF(AND(A1630="",B1630="",D1630="",G1630=""),"",IF(OR(B1630="",NOT(ISNUMBER(B1630)),C1630="",C1630="Fora dos ciclos"),"",IF(C1630="C0","Nao",IF(IFERROR(INDEX(parametros!$A$2:$A$6,MATCH(C1630,parametros!$B$2:$B$6,0)),"")&lt;&gt;"Sim","Nao",IF(IFERROR(INDEX(parametros!$H$2:$H$6,MATCH(C1630,parametros!$B$2:$B$6,0)),"")="","",IF(B1630&gt;=IFERROR(INDEX(parametros!$H$2:$H$6,MATCH(C1630,parametros!$B$2:$B$6,0)),""),"Sim","Nao"))))))</f>
        <v/>
      </c>
      <c r="T1630" s="156"/>
      <c r="U1630" s="214" t="str">
        <f t="shared" si="131"/>
        <v/>
      </c>
      <c r="V1630" s="212" t="s">
        <v>50</v>
      </c>
      <c r="W1630" s="100" t="s">
        <v>168</v>
      </c>
      <c r="X1630" s="100" t="s">
        <v>169</v>
      </c>
      <c r="Y1630" s="101" t="s">
        <v>170</v>
      </c>
      <c r="Z1630" s="101" t="s">
        <v>171</v>
      </c>
      <c r="AA1630" s="101" t="s">
        <v>50</v>
      </c>
      <c r="AB1630" s="101" t="s">
        <v>172</v>
      </c>
      <c r="AC1630" s="102" t="s">
        <v>173</v>
      </c>
    </row>
    <row r="1631" spans="1:29" ht="25.5" customHeight="1" x14ac:dyDescent="0.35">
      <c r="A1631" s="392"/>
      <c r="B1631" s="393"/>
      <c r="C1631" s="99" t="str">
        <f>IF(B1631="","",IF(NOT(ISNUMBER(B1631)),"DATA_PC invalida",IF(NOT(ISNUMBER(parametros!$C$2)),"Fora dos ciclos",IF(OR(B1631&lt;parametros!$C$2,(YEAR(B1631)-YEAR(parametros!$C$2))*12+MONTH(B1631)-MONTH(parametros!$C$2)&gt;59),"Fora dos ciclos","C"&amp;INT(((YEAR(B1631)-YEAR(parametros!$C$2))*12+MONTH(B1631)-MONTH(parametros!$C$2))/12)))))</f>
        <v/>
      </c>
      <c r="D1631" s="394"/>
      <c r="E1631" s="78" t="str">
        <f>IF(C1631="","",IFERROR(VLOOKUP(C1631,parametros!$A$11:$E$15,5,0),""))</f>
        <v/>
      </c>
      <c r="F1631" s="79" t="str">
        <f t="shared" si="127"/>
        <v/>
      </c>
      <c r="G1631" s="395"/>
      <c r="H1631" s="91">
        <f t="shared" si="128"/>
        <v>0</v>
      </c>
      <c r="I1631" s="91" t="str">
        <f t="shared" si="129"/>
        <v/>
      </c>
      <c r="J1631" s="91" t="str">
        <f t="shared" si="130"/>
        <v/>
      </c>
      <c r="K1631" s="92" t="str">
        <f>IF(AND(A1631="",B1631="",D1631="",G1631=""),"",IF(AND(A1631&lt;&gt;"",COUNTIF($A$2:$A$5001,A1631)&gt;1),"NUMERO_PC duplicado",IF(B1631="","DATA_PC vazia",IF(NOT(ISNUMBER(B1631)),"DATA_PC invalida",IF(OR(C1631="",C1631="Fora dos ciclos"),"CICLO_PC nao identificado",IF(OR(D1631="",D1631=0),"VALOR_PC vazio ou zero",IF(AND(G1631&lt;&gt;"Sim",G1631&lt;&gt;"Nao",G1631&lt;&gt;""),"PC_PAGO_A_CONTRATADA invalido",IF(AND(C1631&lt;&gt;"C0",IFERROR(INDEX(parametros!$A$2:$A$6,MATCH(C1631,parametros!$B$2:$B$6,0)),"")="Sim",IFERROR(INDEX(parametros!$H$2:$H$6,MATCH(C1631,parametros!$B$2:$B$6,0)),"")=""),"INICIO_EFEITO ausente: PC "&amp;A1631&amp;" - "&amp;C1631,IF(L1631="","EFEITO_PC nao calculado: PC "&amp;A1631&amp;" - "&amp;C1631,"OK")))))))))</f>
        <v/>
      </c>
      <c r="L1631" s="92" t="str">
        <f>IF(AND(A1631="",B1631="",D1631="",G1631=""),"",IF(OR(B1631="",NOT(ISNUMBER(B1631)),C1631="",C1631="Fora dos ciclos"),"",IF(C1631="C0","Nao",IF(IFERROR(INDEX(parametros!$A$2:$A$6,MATCH(C1631,parametros!$B$2:$B$6,0)),"")&lt;&gt;"Sim","Nao",IF(IFERROR(INDEX(parametros!$H$2:$H$6,MATCH(C1631,parametros!$B$2:$B$6,0)),"")="","",IF(B1631&gt;=IFERROR(INDEX(parametros!$H$2:$H$6,MATCH(C1631,parametros!$B$2:$B$6,0)),""),"Sim","Nao"))))))</f>
        <v/>
      </c>
      <c r="T1631" s="156"/>
      <c r="U1631" s="214" t="str">
        <f t="shared" si="131"/>
        <v/>
      </c>
      <c r="V1631" s="212" t="s">
        <v>50</v>
      </c>
      <c r="W1631" s="100" t="s">
        <v>168</v>
      </c>
      <c r="X1631" s="100" t="s">
        <v>169</v>
      </c>
      <c r="Y1631" s="101" t="s">
        <v>170</v>
      </c>
      <c r="Z1631" s="101" t="s">
        <v>171</v>
      </c>
      <c r="AA1631" s="101" t="s">
        <v>50</v>
      </c>
      <c r="AB1631" s="101" t="s">
        <v>172</v>
      </c>
      <c r="AC1631" s="102" t="s">
        <v>173</v>
      </c>
    </row>
    <row r="1632" spans="1:29" ht="25.5" customHeight="1" x14ac:dyDescent="0.35">
      <c r="A1632" s="392"/>
      <c r="B1632" s="393"/>
      <c r="C1632" s="99" t="str">
        <f>IF(B1632="","",IF(NOT(ISNUMBER(B1632)),"DATA_PC invalida",IF(NOT(ISNUMBER(parametros!$C$2)),"Fora dos ciclos",IF(OR(B1632&lt;parametros!$C$2,(YEAR(B1632)-YEAR(parametros!$C$2))*12+MONTH(B1632)-MONTH(parametros!$C$2)&gt;59),"Fora dos ciclos","C"&amp;INT(((YEAR(B1632)-YEAR(parametros!$C$2))*12+MONTH(B1632)-MONTH(parametros!$C$2))/12)))))</f>
        <v/>
      </c>
      <c r="D1632" s="394"/>
      <c r="E1632" s="78" t="str">
        <f>IF(C1632="","",IFERROR(VLOOKUP(C1632,parametros!$A$11:$E$15,5,0),""))</f>
        <v/>
      </c>
      <c r="F1632" s="79" t="str">
        <f t="shared" si="127"/>
        <v/>
      </c>
      <c r="G1632" s="395"/>
      <c r="H1632" s="91">
        <f t="shared" si="128"/>
        <v>0</v>
      </c>
      <c r="I1632" s="91" t="str">
        <f t="shared" si="129"/>
        <v/>
      </c>
      <c r="J1632" s="91" t="str">
        <f t="shared" si="130"/>
        <v/>
      </c>
      <c r="K1632" s="92" t="str">
        <f>IF(AND(A1632="",B1632="",D1632="",G1632=""),"",IF(AND(A1632&lt;&gt;"",COUNTIF($A$2:$A$5001,A1632)&gt;1),"NUMERO_PC duplicado",IF(B1632="","DATA_PC vazia",IF(NOT(ISNUMBER(B1632)),"DATA_PC invalida",IF(OR(C1632="",C1632="Fora dos ciclos"),"CICLO_PC nao identificado",IF(OR(D1632="",D1632=0),"VALOR_PC vazio ou zero",IF(AND(G1632&lt;&gt;"Sim",G1632&lt;&gt;"Nao",G1632&lt;&gt;""),"PC_PAGO_A_CONTRATADA invalido",IF(AND(C1632&lt;&gt;"C0",IFERROR(INDEX(parametros!$A$2:$A$6,MATCH(C1632,parametros!$B$2:$B$6,0)),"")="Sim",IFERROR(INDEX(parametros!$H$2:$H$6,MATCH(C1632,parametros!$B$2:$B$6,0)),"")=""),"INICIO_EFEITO ausente: PC "&amp;A1632&amp;" - "&amp;C1632,IF(L1632="","EFEITO_PC nao calculado: PC "&amp;A1632&amp;" - "&amp;C1632,"OK")))))))))</f>
        <v/>
      </c>
      <c r="L1632" s="92" t="str">
        <f>IF(AND(A1632="",B1632="",D1632="",G1632=""),"",IF(OR(B1632="",NOT(ISNUMBER(B1632)),C1632="",C1632="Fora dos ciclos"),"",IF(C1632="C0","Nao",IF(IFERROR(INDEX(parametros!$A$2:$A$6,MATCH(C1632,parametros!$B$2:$B$6,0)),"")&lt;&gt;"Sim","Nao",IF(IFERROR(INDEX(parametros!$H$2:$H$6,MATCH(C1632,parametros!$B$2:$B$6,0)),"")="","",IF(B1632&gt;=IFERROR(INDEX(parametros!$H$2:$H$6,MATCH(C1632,parametros!$B$2:$B$6,0)),""),"Sim","Nao"))))))</f>
        <v/>
      </c>
      <c r="T1632" s="156"/>
      <c r="U1632" s="214" t="str">
        <f t="shared" si="131"/>
        <v/>
      </c>
      <c r="V1632" s="212" t="s">
        <v>50</v>
      </c>
      <c r="W1632" s="100" t="s">
        <v>168</v>
      </c>
      <c r="X1632" s="100" t="s">
        <v>169</v>
      </c>
      <c r="Y1632" s="101" t="s">
        <v>170</v>
      </c>
      <c r="Z1632" s="101" t="s">
        <v>171</v>
      </c>
      <c r="AA1632" s="101" t="s">
        <v>50</v>
      </c>
      <c r="AB1632" s="101" t="s">
        <v>172</v>
      </c>
      <c r="AC1632" s="102" t="s">
        <v>173</v>
      </c>
    </row>
    <row r="1633" spans="1:29" ht="25.5" customHeight="1" x14ac:dyDescent="0.35">
      <c r="A1633" s="392"/>
      <c r="B1633" s="393"/>
      <c r="C1633" s="99" t="str">
        <f>IF(B1633="","",IF(NOT(ISNUMBER(B1633)),"DATA_PC invalida",IF(NOT(ISNUMBER(parametros!$C$2)),"Fora dos ciclos",IF(OR(B1633&lt;parametros!$C$2,(YEAR(B1633)-YEAR(parametros!$C$2))*12+MONTH(B1633)-MONTH(parametros!$C$2)&gt;59),"Fora dos ciclos","C"&amp;INT(((YEAR(B1633)-YEAR(parametros!$C$2))*12+MONTH(B1633)-MONTH(parametros!$C$2))/12)))))</f>
        <v/>
      </c>
      <c r="D1633" s="394"/>
      <c r="E1633" s="78" t="str">
        <f>IF(C1633="","",IFERROR(VLOOKUP(C1633,parametros!$A$11:$E$15,5,0),""))</f>
        <v/>
      </c>
      <c r="F1633" s="79" t="str">
        <f t="shared" si="127"/>
        <v/>
      </c>
      <c r="G1633" s="395"/>
      <c r="H1633" s="91">
        <f t="shared" si="128"/>
        <v>0</v>
      </c>
      <c r="I1633" s="91" t="str">
        <f t="shared" si="129"/>
        <v/>
      </c>
      <c r="J1633" s="91" t="str">
        <f t="shared" si="130"/>
        <v/>
      </c>
      <c r="K1633" s="92" t="str">
        <f>IF(AND(A1633="",B1633="",D1633="",G1633=""),"",IF(AND(A1633&lt;&gt;"",COUNTIF($A$2:$A$5001,A1633)&gt;1),"NUMERO_PC duplicado",IF(B1633="","DATA_PC vazia",IF(NOT(ISNUMBER(B1633)),"DATA_PC invalida",IF(OR(C1633="",C1633="Fora dos ciclos"),"CICLO_PC nao identificado",IF(OR(D1633="",D1633=0),"VALOR_PC vazio ou zero",IF(AND(G1633&lt;&gt;"Sim",G1633&lt;&gt;"Nao",G1633&lt;&gt;""),"PC_PAGO_A_CONTRATADA invalido",IF(AND(C1633&lt;&gt;"C0",IFERROR(INDEX(parametros!$A$2:$A$6,MATCH(C1633,parametros!$B$2:$B$6,0)),"")="Sim",IFERROR(INDEX(parametros!$H$2:$H$6,MATCH(C1633,parametros!$B$2:$B$6,0)),"")=""),"INICIO_EFEITO ausente: PC "&amp;A1633&amp;" - "&amp;C1633,IF(L1633="","EFEITO_PC nao calculado: PC "&amp;A1633&amp;" - "&amp;C1633,"OK")))))))))</f>
        <v/>
      </c>
      <c r="L1633" s="92" t="str">
        <f>IF(AND(A1633="",B1633="",D1633="",G1633=""),"",IF(OR(B1633="",NOT(ISNUMBER(B1633)),C1633="",C1633="Fora dos ciclos"),"",IF(C1633="C0","Nao",IF(IFERROR(INDEX(parametros!$A$2:$A$6,MATCH(C1633,parametros!$B$2:$B$6,0)),"")&lt;&gt;"Sim","Nao",IF(IFERROR(INDEX(parametros!$H$2:$H$6,MATCH(C1633,parametros!$B$2:$B$6,0)),"")="","",IF(B1633&gt;=IFERROR(INDEX(parametros!$H$2:$H$6,MATCH(C1633,parametros!$B$2:$B$6,0)),""),"Sim","Nao"))))))</f>
        <v/>
      </c>
      <c r="T1633" s="156"/>
      <c r="U1633" s="214" t="str">
        <f t="shared" si="131"/>
        <v/>
      </c>
      <c r="V1633" s="212" t="s">
        <v>50</v>
      </c>
      <c r="W1633" s="100" t="s">
        <v>168</v>
      </c>
      <c r="X1633" s="100" t="s">
        <v>169</v>
      </c>
      <c r="Y1633" s="101" t="s">
        <v>170</v>
      </c>
      <c r="Z1633" s="101" t="s">
        <v>171</v>
      </c>
      <c r="AA1633" s="101" t="s">
        <v>50</v>
      </c>
      <c r="AB1633" s="101" t="s">
        <v>172</v>
      </c>
      <c r="AC1633" s="102" t="s">
        <v>173</v>
      </c>
    </row>
    <row r="1634" spans="1:29" ht="25.5" customHeight="1" x14ac:dyDescent="0.35">
      <c r="A1634" s="392"/>
      <c r="B1634" s="393"/>
      <c r="C1634" s="99" t="str">
        <f>IF(B1634="","",IF(NOT(ISNUMBER(B1634)),"DATA_PC invalida",IF(NOT(ISNUMBER(parametros!$C$2)),"Fora dos ciclos",IF(OR(B1634&lt;parametros!$C$2,(YEAR(B1634)-YEAR(parametros!$C$2))*12+MONTH(B1634)-MONTH(parametros!$C$2)&gt;59),"Fora dos ciclos","C"&amp;INT(((YEAR(B1634)-YEAR(parametros!$C$2))*12+MONTH(B1634)-MONTH(parametros!$C$2))/12)))))</f>
        <v/>
      </c>
      <c r="D1634" s="394"/>
      <c r="E1634" s="78" t="str">
        <f>IF(C1634="","",IFERROR(VLOOKUP(C1634,parametros!$A$11:$E$15,5,0),""))</f>
        <v/>
      </c>
      <c r="F1634" s="79" t="str">
        <f t="shared" si="127"/>
        <v/>
      </c>
      <c r="G1634" s="395"/>
      <c r="H1634" s="91">
        <f t="shared" si="128"/>
        <v>0</v>
      </c>
      <c r="I1634" s="91" t="str">
        <f t="shared" si="129"/>
        <v/>
      </c>
      <c r="J1634" s="91" t="str">
        <f t="shared" si="130"/>
        <v/>
      </c>
      <c r="K1634" s="92" t="str">
        <f>IF(AND(A1634="",B1634="",D1634="",G1634=""),"",IF(AND(A1634&lt;&gt;"",COUNTIF($A$2:$A$5001,A1634)&gt;1),"NUMERO_PC duplicado",IF(B1634="","DATA_PC vazia",IF(NOT(ISNUMBER(B1634)),"DATA_PC invalida",IF(OR(C1634="",C1634="Fora dos ciclos"),"CICLO_PC nao identificado",IF(OR(D1634="",D1634=0),"VALOR_PC vazio ou zero",IF(AND(G1634&lt;&gt;"Sim",G1634&lt;&gt;"Nao",G1634&lt;&gt;""),"PC_PAGO_A_CONTRATADA invalido",IF(AND(C1634&lt;&gt;"C0",IFERROR(INDEX(parametros!$A$2:$A$6,MATCH(C1634,parametros!$B$2:$B$6,0)),"")="Sim",IFERROR(INDEX(parametros!$H$2:$H$6,MATCH(C1634,parametros!$B$2:$B$6,0)),"")=""),"INICIO_EFEITO ausente: PC "&amp;A1634&amp;" - "&amp;C1634,IF(L1634="","EFEITO_PC nao calculado: PC "&amp;A1634&amp;" - "&amp;C1634,"OK")))))))))</f>
        <v/>
      </c>
      <c r="L1634" s="92" t="str">
        <f>IF(AND(A1634="",B1634="",D1634="",G1634=""),"",IF(OR(B1634="",NOT(ISNUMBER(B1634)),C1634="",C1634="Fora dos ciclos"),"",IF(C1634="C0","Nao",IF(IFERROR(INDEX(parametros!$A$2:$A$6,MATCH(C1634,parametros!$B$2:$B$6,0)),"")&lt;&gt;"Sim","Nao",IF(IFERROR(INDEX(parametros!$H$2:$H$6,MATCH(C1634,parametros!$B$2:$B$6,0)),"")="","",IF(B1634&gt;=IFERROR(INDEX(parametros!$H$2:$H$6,MATCH(C1634,parametros!$B$2:$B$6,0)),""),"Sim","Nao"))))))</f>
        <v/>
      </c>
      <c r="T1634" s="156"/>
      <c r="U1634" s="214" t="str">
        <f t="shared" si="131"/>
        <v/>
      </c>
      <c r="V1634" s="212" t="s">
        <v>50</v>
      </c>
      <c r="W1634" s="100" t="s">
        <v>168</v>
      </c>
      <c r="X1634" s="100" t="s">
        <v>169</v>
      </c>
      <c r="Y1634" s="101" t="s">
        <v>170</v>
      </c>
      <c r="Z1634" s="101" t="s">
        <v>171</v>
      </c>
      <c r="AA1634" s="101" t="s">
        <v>50</v>
      </c>
      <c r="AB1634" s="101" t="s">
        <v>172</v>
      </c>
      <c r="AC1634" s="102" t="s">
        <v>173</v>
      </c>
    </row>
    <row r="1635" spans="1:29" ht="25.5" customHeight="1" x14ac:dyDescent="0.35">
      <c r="A1635" s="392"/>
      <c r="B1635" s="393"/>
      <c r="C1635" s="99" t="str">
        <f>IF(B1635="","",IF(NOT(ISNUMBER(B1635)),"DATA_PC invalida",IF(NOT(ISNUMBER(parametros!$C$2)),"Fora dos ciclos",IF(OR(B1635&lt;parametros!$C$2,(YEAR(B1635)-YEAR(parametros!$C$2))*12+MONTH(B1635)-MONTH(parametros!$C$2)&gt;59),"Fora dos ciclos","C"&amp;INT(((YEAR(B1635)-YEAR(parametros!$C$2))*12+MONTH(B1635)-MONTH(parametros!$C$2))/12)))))</f>
        <v/>
      </c>
      <c r="D1635" s="394"/>
      <c r="E1635" s="78" t="str">
        <f>IF(C1635="","",IFERROR(VLOOKUP(C1635,parametros!$A$11:$E$15,5,0),""))</f>
        <v/>
      </c>
      <c r="F1635" s="79" t="str">
        <f t="shared" si="127"/>
        <v/>
      </c>
      <c r="G1635" s="395"/>
      <c r="H1635" s="91">
        <f t="shared" si="128"/>
        <v>0</v>
      </c>
      <c r="I1635" s="91" t="str">
        <f t="shared" si="129"/>
        <v/>
      </c>
      <c r="J1635" s="91" t="str">
        <f t="shared" si="130"/>
        <v/>
      </c>
      <c r="K1635" s="92" t="str">
        <f>IF(AND(A1635="",B1635="",D1635="",G1635=""),"",IF(AND(A1635&lt;&gt;"",COUNTIF($A$2:$A$5001,A1635)&gt;1),"NUMERO_PC duplicado",IF(B1635="","DATA_PC vazia",IF(NOT(ISNUMBER(B1635)),"DATA_PC invalida",IF(OR(C1635="",C1635="Fora dos ciclos"),"CICLO_PC nao identificado",IF(OR(D1635="",D1635=0),"VALOR_PC vazio ou zero",IF(AND(G1635&lt;&gt;"Sim",G1635&lt;&gt;"Nao",G1635&lt;&gt;""),"PC_PAGO_A_CONTRATADA invalido",IF(AND(C1635&lt;&gt;"C0",IFERROR(INDEX(parametros!$A$2:$A$6,MATCH(C1635,parametros!$B$2:$B$6,0)),"")="Sim",IFERROR(INDEX(parametros!$H$2:$H$6,MATCH(C1635,parametros!$B$2:$B$6,0)),"")=""),"INICIO_EFEITO ausente: PC "&amp;A1635&amp;" - "&amp;C1635,IF(L1635="","EFEITO_PC nao calculado: PC "&amp;A1635&amp;" - "&amp;C1635,"OK")))))))))</f>
        <v/>
      </c>
      <c r="L1635" s="92" t="str">
        <f>IF(AND(A1635="",B1635="",D1635="",G1635=""),"",IF(OR(B1635="",NOT(ISNUMBER(B1635)),C1635="",C1635="Fora dos ciclos"),"",IF(C1635="C0","Nao",IF(IFERROR(INDEX(parametros!$A$2:$A$6,MATCH(C1635,parametros!$B$2:$B$6,0)),"")&lt;&gt;"Sim","Nao",IF(IFERROR(INDEX(parametros!$H$2:$H$6,MATCH(C1635,parametros!$B$2:$B$6,0)),"")="","",IF(B1635&gt;=IFERROR(INDEX(parametros!$H$2:$H$6,MATCH(C1635,parametros!$B$2:$B$6,0)),""),"Sim","Nao"))))))</f>
        <v/>
      </c>
      <c r="T1635" s="156"/>
      <c r="U1635" s="214" t="str">
        <f t="shared" si="131"/>
        <v/>
      </c>
      <c r="V1635" s="212" t="s">
        <v>50</v>
      </c>
      <c r="W1635" s="100" t="s">
        <v>168</v>
      </c>
      <c r="X1635" s="100" t="s">
        <v>169</v>
      </c>
      <c r="Y1635" s="101" t="s">
        <v>170</v>
      </c>
      <c r="Z1635" s="101" t="s">
        <v>171</v>
      </c>
      <c r="AA1635" s="101" t="s">
        <v>50</v>
      </c>
      <c r="AB1635" s="101" t="s">
        <v>172</v>
      </c>
      <c r="AC1635" s="102" t="s">
        <v>173</v>
      </c>
    </row>
    <row r="1636" spans="1:29" ht="25.5" customHeight="1" x14ac:dyDescent="0.35">
      <c r="A1636" s="392"/>
      <c r="B1636" s="393"/>
      <c r="C1636" s="99" t="str">
        <f>IF(B1636="","",IF(NOT(ISNUMBER(B1636)),"DATA_PC invalida",IF(NOT(ISNUMBER(parametros!$C$2)),"Fora dos ciclos",IF(OR(B1636&lt;parametros!$C$2,(YEAR(B1636)-YEAR(parametros!$C$2))*12+MONTH(B1636)-MONTH(parametros!$C$2)&gt;59),"Fora dos ciclos","C"&amp;INT(((YEAR(B1636)-YEAR(parametros!$C$2))*12+MONTH(B1636)-MONTH(parametros!$C$2))/12)))))</f>
        <v/>
      </c>
      <c r="D1636" s="394"/>
      <c r="E1636" s="78" t="str">
        <f>IF(C1636="","",IFERROR(VLOOKUP(C1636,parametros!$A$11:$E$15,5,0),""))</f>
        <v/>
      </c>
      <c r="F1636" s="79" t="str">
        <f t="shared" si="127"/>
        <v/>
      </c>
      <c r="G1636" s="395"/>
      <c r="H1636" s="91">
        <f t="shared" si="128"/>
        <v>0</v>
      </c>
      <c r="I1636" s="91" t="str">
        <f t="shared" si="129"/>
        <v/>
      </c>
      <c r="J1636" s="91" t="str">
        <f t="shared" si="130"/>
        <v/>
      </c>
      <c r="K1636" s="92" t="str">
        <f>IF(AND(A1636="",B1636="",D1636="",G1636=""),"",IF(AND(A1636&lt;&gt;"",COUNTIF($A$2:$A$5001,A1636)&gt;1),"NUMERO_PC duplicado",IF(B1636="","DATA_PC vazia",IF(NOT(ISNUMBER(B1636)),"DATA_PC invalida",IF(OR(C1636="",C1636="Fora dos ciclos"),"CICLO_PC nao identificado",IF(OR(D1636="",D1636=0),"VALOR_PC vazio ou zero",IF(AND(G1636&lt;&gt;"Sim",G1636&lt;&gt;"Nao",G1636&lt;&gt;""),"PC_PAGO_A_CONTRATADA invalido",IF(AND(C1636&lt;&gt;"C0",IFERROR(INDEX(parametros!$A$2:$A$6,MATCH(C1636,parametros!$B$2:$B$6,0)),"")="Sim",IFERROR(INDEX(parametros!$H$2:$H$6,MATCH(C1636,parametros!$B$2:$B$6,0)),"")=""),"INICIO_EFEITO ausente: PC "&amp;A1636&amp;" - "&amp;C1636,IF(L1636="","EFEITO_PC nao calculado: PC "&amp;A1636&amp;" - "&amp;C1636,"OK")))))))))</f>
        <v/>
      </c>
      <c r="L1636" s="92" t="str">
        <f>IF(AND(A1636="",B1636="",D1636="",G1636=""),"",IF(OR(B1636="",NOT(ISNUMBER(B1636)),C1636="",C1636="Fora dos ciclos"),"",IF(C1636="C0","Nao",IF(IFERROR(INDEX(parametros!$A$2:$A$6,MATCH(C1636,parametros!$B$2:$B$6,0)),"")&lt;&gt;"Sim","Nao",IF(IFERROR(INDEX(parametros!$H$2:$H$6,MATCH(C1636,parametros!$B$2:$B$6,0)),"")="","",IF(B1636&gt;=IFERROR(INDEX(parametros!$H$2:$H$6,MATCH(C1636,parametros!$B$2:$B$6,0)),""),"Sim","Nao"))))))</f>
        <v/>
      </c>
      <c r="T1636" s="156"/>
      <c r="U1636" s="214" t="str">
        <f t="shared" si="131"/>
        <v/>
      </c>
      <c r="V1636" s="212" t="s">
        <v>50</v>
      </c>
      <c r="W1636" s="100" t="s">
        <v>168</v>
      </c>
      <c r="X1636" s="100" t="s">
        <v>169</v>
      </c>
      <c r="Y1636" s="101" t="s">
        <v>170</v>
      </c>
      <c r="Z1636" s="101" t="s">
        <v>171</v>
      </c>
      <c r="AA1636" s="101" t="s">
        <v>50</v>
      </c>
      <c r="AB1636" s="101" t="s">
        <v>172</v>
      </c>
      <c r="AC1636" s="102" t="s">
        <v>173</v>
      </c>
    </row>
    <row r="1637" spans="1:29" ht="25.5" customHeight="1" x14ac:dyDescent="0.35">
      <c r="A1637" s="392"/>
      <c r="B1637" s="393"/>
      <c r="C1637" s="99" t="str">
        <f>IF(B1637="","",IF(NOT(ISNUMBER(B1637)),"DATA_PC invalida",IF(NOT(ISNUMBER(parametros!$C$2)),"Fora dos ciclos",IF(OR(B1637&lt;parametros!$C$2,(YEAR(B1637)-YEAR(parametros!$C$2))*12+MONTH(B1637)-MONTH(parametros!$C$2)&gt;59),"Fora dos ciclos","C"&amp;INT(((YEAR(B1637)-YEAR(parametros!$C$2))*12+MONTH(B1637)-MONTH(parametros!$C$2))/12)))))</f>
        <v/>
      </c>
      <c r="D1637" s="394"/>
      <c r="E1637" s="78" t="str">
        <f>IF(C1637="","",IFERROR(VLOOKUP(C1637,parametros!$A$11:$E$15,5,0),""))</f>
        <v/>
      </c>
      <c r="F1637" s="79" t="str">
        <f t="shared" si="127"/>
        <v/>
      </c>
      <c r="G1637" s="395"/>
      <c r="H1637" s="91">
        <f t="shared" si="128"/>
        <v>0</v>
      </c>
      <c r="I1637" s="91" t="str">
        <f t="shared" si="129"/>
        <v/>
      </c>
      <c r="J1637" s="91" t="str">
        <f t="shared" si="130"/>
        <v/>
      </c>
      <c r="K1637" s="92" t="str">
        <f>IF(AND(A1637="",B1637="",D1637="",G1637=""),"",IF(AND(A1637&lt;&gt;"",COUNTIF($A$2:$A$5001,A1637)&gt;1),"NUMERO_PC duplicado",IF(B1637="","DATA_PC vazia",IF(NOT(ISNUMBER(B1637)),"DATA_PC invalida",IF(OR(C1637="",C1637="Fora dos ciclos"),"CICLO_PC nao identificado",IF(OR(D1637="",D1637=0),"VALOR_PC vazio ou zero",IF(AND(G1637&lt;&gt;"Sim",G1637&lt;&gt;"Nao",G1637&lt;&gt;""),"PC_PAGO_A_CONTRATADA invalido",IF(AND(C1637&lt;&gt;"C0",IFERROR(INDEX(parametros!$A$2:$A$6,MATCH(C1637,parametros!$B$2:$B$6,0)),"")="Sim",IFERROR(INDEX(parametros!$H$2:$H$6,MATCH(C1637,parametros!$B$2:$B$6,0)),"")=""),"INICIO_EFEITO ausente: PC "&amp;A1637&amp;" - "&amp;C1637,IF(L1637="","EFEITO_PC nao calculado: PC "&amp;A1637&amp;" - "&amp;C1637,"OK")))))))))</f>
        <v/>
      </c>
      <c r="L1637" s="92" t="str">
        <f>IF(AND(A1637="",B1637="",D1637="",G1637=""),"",IF(OR(B1637="",NOT(ISNUMBER(B1637)),C1637="",C1637="Fora dos ciclos"),"",IF(C1637="C0","Nao",IF(IFERROR(INDEX(parametros!$A$2:$A$6,MATCH(C1637,parametros!$B$2:$B$6,0)),"")&lt;&gt;"Sim","Nao",IF(IFERROR(INDEX(parametros!$H$2:$H$6,MATCH(C1637,parametros!$B$2:$B$6,0)),"")="","",IF(B1637&gt;=IFERROR(INDEX(parametros!$H$2:$H$6,MATCH(C1637,parametros!$B$2:$B$6,0)),""),"Sim","Nao"))))))</f>
        <v/>
      </c>
      <c r="T1637" s="156"/>
      <c r="U1637" s="214" t="str">
        <f t="shared" si="131"/>
        <v/>
      </c>
      <c r="V1637" s="212" t="s">
        <v>50</v>
      </c>
      <c r="W1637" s="100" t="s">
        <v>168</v>
      </c>
      <c r="X1637" s="100" t="s">
        <v>169</v>
      </c>
      <c r="Y1637" s="101" t="s">
        <v>170</v>
      </c>
      <c r="Z1637" s="101" t="s">
        <v>171</v>
      </c>
      <c r="AA1637" s="101" t="s">
        <v>50</v>
      </c>
      <c r="AB1637" s="101" t="s">
        <v>172</v>
      </c>
      <c r="AC1637" s="102" t="s">
        <v>173</v>
      </c>
    </row>
    <row r="1638" spans="1:29" ht="25.5" customHeight="1" x14ac:dyDescent="0.35">
      <c r="A1638" s="392"/>
      <c r="B1638" s="393"/>
      <c r="C1638" s="99" t="str">
        <f>IF(B1638="","",IF(NOT(ISNUMBER(B1638)),"DATA_PC invalida",IF(NOT(ISNUMBER(parametros!$C$2)),"Fora dos ciclos",IF(OR(B1638&lt;parametros!$C$2,(YEAR(B1638)-YEAR(parametros!$C$2))*12+MONTH(B1638)-MONTH(parametros!$C$2)&gt;59),"Fora dos ciclos","C"&amp;INT(((YEAR(B1638)-YEAR(parametros!$C$2))*12+MONTH(B1638)-MONTH(parametros!$C$2))/12)))))</f>
        <v/>
      </c>
      <c r="D1638" s="394"/>
      <c r="E1638" s="78" t="str">
        <f>IF(C1638="","",IFERROR(VLOOKUP(C1638,parametros!$A$11:$E$15,5,0),""))</f>
        <v/>
      </c>
      <c r="F1638" s="79" t="str">
        <f t="shared" si="127"/>
        <v/>
      </c>
      <c r="G1638" s="395"/>
      <c r="H1638" s="91">
        <f t="shared" si="128"/>
        <v>0</v>
      </c>
      <c r="I1638" s="91" t="str">
        <f t="shared" si="129"/>
        <v/>
      </c>
      <c r="J1638" s="91" t="str">
        <f t="shared" si="130"/>
        <v/>
      </c>
      <c r="K1638" s="92" t="str">
        <f>IF(AND(A1638="",B1638="",D1638="",G1638=""),"",IF(AND(A1638&lt;&gt;"",COUNTIF($A$2:$A$5001,A1638)&gt;1),"NUMERO_PC duplicado",IF(B1638="","DATA_PC vazia",IF(NOT(ISNUMBER(B1638)),"DATA_PC invalida",IF(OR(C1638="",C1638="Fora dos ciclos"),"CICLO_PC nao identificado",IF(OR(D1638="",D1638=0),"VALOR_PC vazio ou zero",IF(AND(G1638&lt;&gt;"Sim",G1638&lt;&gt;"Nao",G1638&lt;&gt;""),"PC_PAGO_A_CONTRATADA invalido",IF(AND(C1638&lt;&gt;"C0",IFERROR(INDEX(parametros!$A$2:$A$6,MATCH(C1638,parametros!$B$2:$B$6,0)),"")="Sim",IFERROR(INDEX(parametros!$H$2:$H$6,MATCH(C1638,parametros!$B$2:$B$6,0)),"")=""),"INICIO_EFEITO ausente: PC "&amp;A1638&amp;" - "&amp;C1638,IF(L1638="","EFEITO_PC nao calculado: PC "&amp;A1638&amp;" - "&amp;C1638,"OK")))))))))</f>
        <v/>
      </c>
      <c r="L1638" s="92" t="str">
        <f>IF(AND(A1638="",B1638="",D1638="",G1638=""),"",IF(OR(B1638="",NOT(ISNUMBER(B1638)),C1638="",C1638="Fora dos ciclos"),"",IF(C1638="C0","Nao",IF(IFERROR(INDEX(parametros!$A$2:$A$6,MATCH(C1638,parametros!$B$2:$B$6,0)),"")&lt;&gt;"Sim","Nao",IF(IFERROR(INDEX(parametros!$H$2:$H$6,MATCH(C1638,parametros!$B$2:$B$6,0)),"")="","",IF(B1638&gt;=IFERROR(INDEX(parametros!$H$2:$H$6,MATCH(C1638,parametros!$B$2:$B$6,0)),""),"Sim","Nao"))))))</f>
        <v/>
      </c>
      <c r="T1638" s="156"/>
      <c r="U1638" s="214" t="str">
        <f t="shared" si="131"/>
        <v/>
      </c>
      <c r="V1638" s="212" t="s">
        <v>50</v>
      </c>
      <c r="W1638" s="100" t="s">
        <v>168</v>
      </c>
      <c r="X1638" s="100" t="s">
        <v>169</v>
      </c>
      <c r="Y1638" s="101" t="s">
        <v>170</v>
      </c>
      <c r="Z1638" s="101" t="s">
        <v>171</v>
      </c>
      <c r="AA1638" s="101" t="s">
        <v>50</v>
      </c>
      <c r="AB1638" s="101" t="s">
        <v>172</v>
      </c>
      <c r="AC1638" s="102" t="s">
        <v>173</v>
      </c>
    </row>
    <row r="1639" spans="1:29" ht="25.5" customHeight="1" x14ac:dyDescent="0.35">
      <c r="A1639" s="392"/>
      <c r="B1639" s="393"/>
      <c r="C1639" s="99" t="str">
        <f>IF(B1639="","",IF(NOT(ISNUMBER(B1639)),"DATA_PC invalida",IF(NOT(ISNUMBER(parametros!$C$2)),"Fora dos ciclos",IF(OR(B1639&lt;parametros!$C$2,(YEAR(B1639)-YEAR(parametros!$C$2))*12+MONTH(B1639)-MONTH(parametros!$C$2)&gt;59),"Fora dos ciclos","C"&amp;INT(((YEAR(B1639)-YEAR(parametros!$C$2))*12+MONTH(B1639)-MONTH(parametros!$C$2))/12)))))</f>
        <v/>
      </c>
      <c r="D1639" s="394"/>
      <c r="E1639" s="78" t="str">
        <f>IF(C1639="","",IFERROR(VLOOKUP(C1639,parametros!$A$11:$E$15,5,0),""))</f>
        <v/>
      </c>
      <c r="F1639" s="79" t="str">
        <f t="shared" si="127"/>
        <v/>
      </c>
      <c r="G1639" s="395"/>
      <c r="H1639" s="91">
        <f t="shared" si="128"/>
        <v>0</v>
      </c>
      <c r="I1639" s="91" t="str">
        <f t="shared" si="129"/>
        <v/>
      </c>
      <c r="J1639" s="91" t="str">
        <f t="shared" si="130"/>
        <v/>
      </c>
      <c r="K1639" s="92" t="str">
        <f>IF(AND(A1639="",B1639="",D1639="",G1639=""),"",IF(AND(A1639&lt;&gt;"",COUNTIF($A$2:$A$5001,A1639)&gt;1),"NUMERO_PC duplicado",IF(B1639="","DATA_PC vazia",IF(NOT(ISNUMBER(B1639)),"DATA_PC invalida",IF(OR(C1639="",C1639="Fora dos ciclos"),"CICLO_PC nao identificado",IF(OR(D1639="",D1639=0),"VALOR_PC vazio ou zero",IF(AND(G1639&lt;&gt;"Sim",G1639&lt;&gt;"Nao",G1639&lt;&gt;""),"PC_PAGO_A_CONTRATADA invalido",IF(AND(C1639&lt;&gt;"C0",IFERROR(INDEX(parametros!$A$2:$A$6,MATCH(C1639,parametros!$B$2:$B$6,0)),"")="Sim",IFERROR(INDEX(parametros!$H$2:$H$6,MATCH(C1639,parametros!$B$2:$B$6,0)),"")=""),"INICIO_EFEITO ausente: PC "&amp;A1639&amp;" - "&amp;C1639,IF(L1639="","EFEITO_PC nao calculado: PC "&amp;A1639&amp;" - "&amp;C1639,"OK")))))))))</f>
        <v/>
      </c>
      <c r="L1639" s="92" t="str">
        <f>IF(AND(A1639="",B1639="",D1639="",G1639=""),"",IF(OR(B1639="",NOT(ISNUMBER(B1639)),C1639="",C1639="Fora dos ciclos"),"",IF(C1639="C0","Nao",IF(IFERROR(INDEX(parametros!$A$2:$A$6,MATCH(C1639,parametros!$B$2:$B$6,0)),"")&lt;&gt;"Sim","Nao",IF(IFERROR(INDEX(parametros!$H$2:$H$6,MATCH(C1639,parametros!$B$2:$B$6,0)),"")="","",IF(B1639&gt;=IFERROR(INDEX(parametros!$H$2:$H$6,MATCH(C1639,parametros!$B$2:$B$6,0)),""),"Sim","Nao"))))))</f>
        <v/>
      </c>
      <c r="T1639" s="156"/>
      <c r="U1639" s="214" t="str">
        <f t="shared" si="131"/>
        <v/>
      </c>
      <c r="V1639" s="212" t="s">
        <v>50</v>
      </c>
      <c r="W1639" s="100" t="s">
        <v>168</v>
      </c>
      <c r="X1639" s="100" t="s">
        <v>169</v>
      </c>
      <c r="Y1639" s="101" t="s">
        <v>170</v>
      </c>
      <c r="Z1639" s="101" t="s">
        <v>171</v>
      </c>
      <c r="AA1639" s="101" t="s">
        <v>50</v>
      </c>
      <c r="AB1639" s="101" t="s">
        <v>172</v>
      </c>
      <c r="AC1639" s="102" t="s">
        <v>173</v>
      </c>
    </row>
    <row r="1640" spans="1:29" ht="25.5" customHeight="1" x14ac:dyDescent="0.35">
      <c r="A1640" s="392"/>
      <c r="B1640" s="393"/>
      <c r="C1640" s="99" t="str">
        <f>IF(B1640="","",IF(NOT(ISNUMBER(B1640)),"DATA_PC invalida",IF(NOT(ISNUMBER(parametros!$C$2)),"Fora dos ciclos",IF(OR(B1640&lt;parametros!$C$2,(YEAR(B1640)-YEAR(parametros!$C$2))*12+MONTH(B1640)-MONTH(parametros!$C$2)&gt;59),"Fora dos ciclos","C"&amp;INT(((YEAR(B1640)-YEAR(parametros!$C$2))*12+MONTH(B1640)-MONTH(parametros!$C$2))/12)))))</f>
        <v/>
      </c>
      <c r="D1640" s="394"/>
      <c r="E1640" s="78" t="str">
        <f>IF(C1640="","",IFERROR(VLOOKUP(C1640,parametros!$A$11:$E$15,5,0),""))</f>
        <v/>
      </c>
      <c r="F1640" s="79" t="str">
        <f t="shared" si="127"/>
        <v/>
      </c>
      <c r="G1640" s="395"/>
      <c r="H1640" s="91">
        <f t="shared" si="128"/>
        <v>0</v>
      </c>
      <c r="I1640" s="91" t="str">
        <f t="shared" si="129"/>
        <v/>
      </c>
      <c r="J1640" s="91" t="str">
        <f t="shared" si="130"/>
        <v/>
      </c>
      <c r="K1640" s="92" t="str">
        <f>IF(AND(A1640="",B1640="",D1640="",G1640=""),"",IF(AND(A1640&lt;&gt;"",COUNTIF($A$2:$A$5001,A1640)&gt;1),"NUMERO_PC duplicado",IF(B1640="","DATA_PC vazia",IF(NOT(ISNUMBER(B1640)),"DATA_PC invalida",IF(OR(C1640="",C1640="Fora dos ciclos"),"CICLO_PC nao identificado",IF(OR(D1640="",D1640=0),"VALOR_PC vazio ou zero",IF(AND(G1640&lt;&gt;"Sim",G1640&lt;&gt;"Nao",G1640&lt;&gt;""),"PC_PAGO_A_CONTRATADA invalido",IF(AND(C1640&lt;&gt;"C0",IFERROR(INDEX(parametros!$A$2:$A$6,MATCH(C1640,parametros!$B$2:$B$6,0)),"")="Sim",IFERROR(INDEX(parametros!$H$2:$H$6,MATCH(C1640,parametros!$B$2:$B$6,0)),"")=""),"INICIO_EFEITO ausente: PC "&amp;A1640&amp;" - "&amp;C1640,IF(L1640="","EFEITO_PC nao calculado: PC "&amp;A1640&amp;" - "&amp;C1640,"OK")))))))))</f>
        <v/>
      </c>
      <c r="L1640" s="92" t="str">
        <f>IF(AND(A1640="",B1640="",D1640="",G1640=""),"",IF(OR(B1640="",NOT(ISNUMBER(B1640)),C1640="",C1640="Fora dos ciclos"),"",IF(C1640="C0","Nao",IF(IFERROR(INDEX(parametros!$A$2:$A$6,MATCH(C1640,parametros!$B$2:$B$6,0)),"")&lt;&gt;"Sim","Nao",IF(IFERROR(INDEX(parametros!$H$2:$H$6,MATCH(C1640,parametros!$B$2:$B$6,0)),"")="","",IF(B1640&gt;=IFERROR(INDEX(parametros!$H$2:$H$6,MATCH(C1640,parametros!$B$2:$B$6,0)),""),"Sim","Nao"))))))</f>
        <v/>
      </c>
      <c r="T1640" s="156"/>
      <c r="U1640" s="214" t="str">
        <f t="shared" si="131"/>
        <v/>
      </c>
      <c r="V1640" s="212" t="s">
        <v>50</v>
      </c>
      <c r="W1640" s="100" t="s">
        <v>168</v>
      </c>
      <c r="X1640" s="100" t="s">
        <v>169</v>
      </c>
      <c r="Y1640" s="101" t="s">
        <v>170</v>
      </c>
      <c r="Z1640" s="101" t="s">
        <v>171</v>
      </c>
      <c r="AA1640" s="101" t="s">
        <v>50</v>
      </c>
      <c r="AB1640" s="101" t="s">
        <v>172</v>
      </c>
      <c r="AC1640" s="102" t="s">
        <v>173</v>
      </c>
    </row>
    <row r="1641" spans="1:29" ht="25.5" customHeight="1" x14ac:dyDescent="0.35">
      <c r="A1641" s="392"/>
      <c r="B1641" s="393"/>
      <c r="C1641" s="99" t="str">
        <f>IF(B1641="","",IF(NOT(ISNUMBER(B1641)),"DATA_PC invalida",IF(NOT(ISNUMBER(parametros!$C$2)),"Fora dos ciclos",IF(OR(B1641&lt;parametros!$C$2,(YEAR(B1641)-YEAR(parametros!$C$2))*12+MONTH(B1641)-MONTH(parametros!$C$2)&gt;59),"Fora dos ciclos","C"&amp;INT(((YEAR(B1641)-YEAR(parametros!$C$2))*12+MONTH(B1641)-MONTH(parametros!$C$2))/12)))))</f>
        <v/>
      </c>
      <c r="D1641" s="394"/>
      <c r="E1641" s="78" t="str">
        <f>IF(C1641="","",IFERROR(VLOOKUP(C1641,parametros!$A$11:$E$15,5,0),""))</f>
        <v/>
      </c>
      <c r="F1641" s="79" t="str">
        <f t="shared" si="127"/>
        <v/>
      </c>
      <c r="G1641" s="395"/>
      <c r="H1641" s="91">
        <f t="shared" si="128"/>
        <v>0</v>
      </c>
      <c r="I1641" s="91" t="str">
        <f t="shared" si="129"/>
        <v/>
      </c>
      <c r="J1641" s="91" t="str">
        <f t="shared" si="130"/>
        <v/>
      </c>
      <c r="K1641" s="92" t="str">
        <f>IF(AND(A1641="",B1641="",D1641="",G1641=""),"",IF(AND(A1641&lt;&gt;"",COUNTIF($A$2:$A$5001,A1641)&gt;1),"NUMERO_PC duplicado",IF(B1641="","DATA_PC vazia",IF(NOT(ISNUMBER(B1641)),"DATA_PC invalida",IF(OR(C1641="",C1641="Fora dos ciclos"),"CICLO_PC nao identificado",IF(OR(D1641="",D1641=0),"VALOR_PC vazio ou zero",IF(AND(G1641&lt;&gt;"Sim",G1641&lt;&gt;"Nao",G1641&lt;&gt;""),"PC_PAGO_A_CONTRATADA invalido",IF(AND(C1641&lt;&gt;"C0",IFERROR(INDEX(parametros!$A$2:$A$6,MATCH(C1641,parametros!$B$2:$B$6,0)),"")="Sim",IFERROR(INDEX(parametros!$H$2:$H$6,MATCH(C1641,parametros!$B$2:$B$6,0)),"")=""),"INICIO_EFEITO ausente: PC "&amp;A1641&amp;" - "&amp;C1641,IF(L1641="","EFEITO_PC nao calculado: PC "&amp;A1641&amp;" - "&amp;C1641,"OK")))))))))</f>
        <v/>
      </c>
      <c r="L1641" s="92" t="str">
        <f>IF(AND(A1641="",B1641="",D1641="",G1641=""),"",IF(OR(B1641="",NOT(ISNUMBER(B1641)),C1641="",C1641="Fora dos ciclos"),"",IF(C1641="C0","Nao",IF(IFERROR(INDEX(parametros!$A$2:$A$6,MATCH(C1641,parametros!$B$2:$B$6,0)),"")&lt;&gt;"Sim","Nao",IF(IFERROR(INDEX(parametros!$H$2:$H$6,MATCH(C1641,parametros!$B$2:$B$6,0)),"")="","",IF(B1641&gt;=IFERROR(INDEX(parametros!$H$2:$H$6,MATCH(C1641,parametros!$B$2:$B$6,0)),""),"Sim","Nao"))))))</f>
        <v/>
      </c>
      <c r="T1641" s="156"/>
      <c r="U1641" s="214" t="str">
        <f t="shared" si="131"/>
        <v/>
      </c>
      <c r="V1641" s="212" t="s">
        <v>50</v>
      </c>
      <c r="W1641" s="100" t="s">
        <v>168</v>
      </c>
      <c r="X1641" s="100" t="s">
        <v>169</v>
      </c>
      <c r="Y1641" s="101" t="s">
        <v>170</v>
      </c>
      <c r="Z1641" s="101" t="s">
        <v>171</v>
      </c>
      <c r="AA1641" s="101" t="s">
        <v>50</v>
      </c>
      <c r="AB1641" s="101" t="s">
        <v>172</v>
      </c>
      <c r="AC1641" s="102" t="s">
        <v>173</v>
      </c>
    </row>
    <row r="1642" spans="1:29" ht="25.5" customHeight="1" x14ac:dyDescent="0.35">
      <c r="A1642" s="392"/>
      <c r="B1642" s="393"/>
      <c r="C1642" s="99" t="str">
        <f>IF(B1642="","",IF(NOT(ISNUMBER(B1642)),"DATA_PC invalida",IF(NOT(ISNUMBER(parametros!$C$2)),"Fora dos ciclos",IF(OR(B1642&lt;parametros!$C$2,(YEAR(B1642)-YEAR(parametros!$C$2))*12+MONTH(B1642)-MONTH(parametros!$C$2)&gt;59),"Fora dos ciclos","C"&amp;INT(((YEAR(B1642)-YEAR(parametros!$C$2))*12+MONTH(B1642)-MONTH(parametros!$C$2))/12)))))</f>
        <v/>
      </c>
      <c r="D1642" s="394"/>
      <c r="E1642" s="78" t="str">
        <f>IF(C1642="","",IFERROR(VLOOKUP(C1642,parametros!$A$11:$E$15,5,0),""))</f>
        <v/>
      </c>
      <c r="F1642" s="79" t="str">
        <f t="shared" si="127"/>
        <v/>
      </c>
      <c r="G1642" s="395"/>
      <c r="H1642" s="91">
        <f t="shared" si="128"/>
        <v>0</v>
      </c>
      <c r="I1642" s="91" t="str">
        <f t="shared" si="129"/>
        <v/>
      </c>
      <c r="J1642" s="91" t="str">
        <f t="shared" si="130"/>
        <v/>
      </c>
      <c r="K1642" s="92" t="str">
        <f>IF(AND(A1642="",B1642="",D1642="",G1642=""),"",IF(AND(A1642&lt;&gt;"",COUNTIF($A$2:$A$5001,A1642)&gt;1),"NUMERO_PC duplicado",IF(B1642="","DATA_PC vazia",IF(NOT(ISNUMBER(B1642)),"DATA_PC invalida",IF(OR(C1642="",C1642="Fora dos ciclos"),"CICLO_PC nao identificado",IF(OR(D1642="",D1642=0),"VALOR_PC vazio ou zero",IF(AND(G1642&lt;&gt;"Sim",G1642&lt;&gt;"Nao",G1642&lt;&gt;""),"PC_PAGO_A_CONTRATADA invalido",IF(AND(C1642&lt;&gt;"C0",IFERROR(INDEX(parametros!$A$2:$A$6,MATCH(C1642,parametros!$B$2:$B$6,0)),"")="Sim",IFERROR(INDEX(parametros!$H$2:$H$6,MATCH(C1642,parametros!$B$2:$B$6,0)),"")=""),"INICIO_EFEITO ausente: PC "&amp;A1642&amp;" - "&amp;C1642,IF(L1642="","EFEITO_PC nao calculado: PC "&amp;A1642&amp;" - "&amp;C1642,"OK")))))))))</f>
        <v/>
      </c>
      <c r="L1642" s="92" t="str">
        <f>IF(AND(A1642="",B1642="",D1642="",G1642=""),"",IF(OR(B1642="",NOT(ISNUMBER(B1642)),C1642="",C1642="Fora dos ciclos"),"",IF(C1642="C0","Nao",IF(IFERROR(INDEX(parametros!$A$2:$A$6,MATCH(C1642,parametros!$B$2:$B$6,0)),"")&lt;&gt;"Sim","Nao",IF(IFERROR(INDEX(parametros!$H$2:$H$6,MATCH(C1642,parametros!$B$2:$B$6,0)),"")="","",IF(B1642&gt;=IFERROR(INDEX(parametros!$H$2:$H$6,MATCH(C1642,parametros!$B$2:$B$6,0)),""),"Sim","Nao"))))))</f>
        <v/>
      </c>
      <c r="T1642" s="156"/>
      <c r="U1642" s="214" t="str">
        <f t="shared" si="131"/>
        <v/>
      </c>
      <c r="V1642" s="212" t="s">
        <v>50</v>
      </c>
      <c r="W1642" s="100" t="s">
        <v>168</v>
      </c>
      <c r="X1642" s="100" t="s">
        <v>169</v>
      </c>
      <c r="Y1642" s="101" t="s">
        <v>170</v>
      </c>
      <c r="Z1642" s="101" t="s">
        <v>171</v>
      </c>
      <c r="AA1642" s="101" t="s">
        <v>50</v>
      </c>
      <c r="AB1642" s="101" t="s">
        <v>172</v>
      </c>
      <c r="AC1642" s="102" t="s">
        <v>173</v>
      </c>
    </row>
    <row r="1643" spans="1:29" ht="25.5" customHeight="1" x14ac:dyDescent="0.35">
      <c r="A1643" s="392"/>
      <c r="B1643" s="393"/>
      <c r="C1643" s="99" t="str">
        <f>IF(B1643="","",IF(NOT(ISNUMBER(B1643)),"DATA_PC invalida",IF(NOT(ISNUMBER(parametros!$C$2)),"Fora dos ciclos",IF(OR(B1643&lt;parametros!$C$2,(YEAR(B1643)-YEAR(parametros!$C$2))*12+MONTH(B1643)-MONTH(parametros!$C$2)&gt;59),"Fora dos ciclos","C"&amp;INT(((YEAR(B1643)-YEAR(parametros!$C$2))*12+MONTH(B1643)-MONTH(parametros!$C$2))/12)))))</f>
        <v/>
      </c>
      <c r="D1643" s="394"/>
      <c r="E1643" s="78" t="str">
        <f>IF(C1643="","",IFERROR(VLOOKUP(C1643,parametros!$A$11:$E$15,5,0),""))</f>
        <v/>
      </c>
      <c r="F1643" s="79" t="str">
        <f t="shared" si="127"/>
        <v/>
      </c>
      <c r="G1643" s="395"/>
      <c r="H1643" s="91">
        <f t="shared" si="128"/>
        <v>0</v>
      </c>
      <c r="I1643" s="91" t="str">
        <f t="shared" si="129"/>
        <v/>
      </c>
      <c r="J1643" s="91" t="str">
        <f t="shared" si="130"/>
        <v/>
      </c>
      <c r="K1643" s="92" t="str">
        <f>IF(AND(A1643="",B1643="",D1643="",G1643=""),"",IF(AND(A1643&lt;&gt;"",COUNTIF($A$2:$A$5001,A1643)&gt;1),"NUMERO_PC duplicado",IF(B1643="","DATA_PC vazia",IF(NOT(ISNUMBER(B1643)),"DATA_PC invalida",IF(OR(C1643="",C1643="Fora dos ciclos"),"CICLO_PC nao identificado",IF(OR(D1643="",D1643=0),"VALOR_PC vazio ou zero",IF(AND(G1643&lt;&gt;"Sim",G1643&lt;&gt;"Nao",G1643&lt;&gt;""),"PC_PAGO_A_CONTRATADA invalido",IF(AND(C1643&lt;&gt;"C0",IFERROR(INDEX(parametros!$A$2:$A$6,MATCH(C1643,parametros!$B$2:$B$6,0)),"")="Sim",IFERROR(INDEX(parametros!$H$2:$H$6,MATCH(C1643,parametros!$B$2:$B$6,0)),"")=""),"INICIO_EFEITO ausente: PC "&amp;A1643&amp;" - "&amp;C1643,IF(L1643="","EFEITO_PC nao calculado: PC "&amp;A1643&amp;" - "&amp;C1643,"OK")))))))))</f>
        <v/>
      </c>
      <c r="L1643" s="92" t="str">
        <f>IF(AND(A1643="",B1643="",D1643="",G1643=""),"",IF(OR(B1643="",NOT(ISNUMBER(B1643)),C1643="",C1643="Fora dos ciclos"),"",IF(C1643="C0","Nao",IF(IFERROR(INDEX(parametros!$A$2:$A$6,MATCH(C1643,parametros!$B$2:$B$6,0)),"")&lt;&gt;"Sim","Nao",IF(IFERROR(INDEX(parametros!$H$2:$H$6,MATCH(C1643,parametros!$B$2:$B$6,0)),"")="","",IF(B1643&gt;=IFERROR(INDEX(parametros!$H$2:$H$6,MATCH(C1643,parametros!$B$2:$B$6,0)),""),"Sim","Nao"))))))</f>
        <v/>
      </c>
      <c r="T1643" s="156"/>
      <c r="U1643" s="214" t="str">
        <f t="shared" si="131"/>
        <v/>
      </c>
      <c r="V1643" s="212" t="s">
        <v>50</v>
      </c>
      <c r="W1643" s="100" t="s">
        <v>168</v>
      </c>
      <c r="X1643" s="100" t="s">
        <v>169</v>
      </c>
      <c r="Y1643" s="101" t="s">
        <v>170</v>
      </c>
      <c r="Z1643" s="101" t="s">
        <v>171</v>
      </c>
      <c r="AA1643" s="101" t="s">
        <v>50</v>
      </c>
      <c r="AB1643" s="101" t="s">
        <v>172</v>
      </c>
      <c r="AC1643" s="102" t="s">
        <v>173</v>
      </c>
    </row>
    <row r="1644" spans="1:29" ht="25.5" customHeight="1" x14ac:dyDescent="0.35">
      <c r="A1644" s="392"/>
      <c r="B1644" s="393"/>
      <c r="C1644" s="99" t="str">
        <f>IF(B1644="","",IF(NOT(ISNUMBER(B1644)),"DATA_PC invalida",IF(NOT(ISNUMBER(parametros!$C$2)),"Fora dos ciclos",IF(OR(B1644&lt;parametros!$C$2,(YEAR(B1644)-YEAR(parametros!$C$2))*12+MONTH(B1644)-MONTH(parametros!$C$2)&gt;59),"Fora dos ciclos","C"&amp;INT(((YEAR(B1644)-YEAR(parametros!$C$2))*12+MONTH(B1644)-MONTH(parametros!$C$2))/12)))))</f>
        <v/>
      </c>
      <c r="D1644" s="394"/>
      <c r="E1644" s="78" t="str">
        <f>IF(C1644="","",IFERROR(VLOOKUP(C1644,parametros!$A$11:$E$15,5,0),""))</f>
        <v/>
      </c>
      <c r="F1644" s="79" t="str">
        <f t="shared" si="127"/>
        <v/>
      </c>
      <c r="G1644" s="395"/>
      <c r="H1644" s="91">
        <f t="shared" si="128"/>
        <v>0</v>
      </c>
      <c r="I1644" s="91" t="str">
        <f t="shared" si="129"/>
        <v/>
      </c>
      <c r="J1644" s="91" t="str">
        <f t="shared" si="130"/>
        <v/>
      </c>
      <c r="K1644" s="92" t="str">
        <f>IF(AND(A1644="",B1644="",D1644="",G1644=""),"",IF(AND(A1644&lt;&gt;"",COUNTIF($A$2:$A$5001,A1644)&gt;1),"NUMERO_PC duplicado",IF(B1644="","DATA_PC vazia",IF(NOT(ISNUMBER(B1644)),"DATA_PC invalida",IF(OR(C1644="",C1644="Fora dos ciclos"),"CICLO_PC nao identificado",IF(OR(D1644="",D1644=0),"VALOR_PC vazio ou zero",IF(AND(G1644&lt;&gt;"Sim",G1644&lt;&gt;"Nao",G1644&lt;&gt;""),"PC_PAGO_A_CONTRATADA invalido",IF(AND(C1644&lt;&gt;"C0",IFERROR(INDEX(parametros!$A$2:$A$6,MATCH(C1644,parametros!$B$2:$B$6,0)),"")="Sim",IFERROR(INDEX(parametros!$H$2:$H$6,MATCH(C1644,parametros!$B$2:$B$6,0)),"")=""),"INICIO_EFEITO ausente: PC "&amp;A1644&amp;" - "&amp;C1644,IF(L1644="","EFEITO_PC nao calculado: PC "&amp;A1644&amp;" - "&amp;C1644,"OK")))))))))</f>
        <v/>
      </c>
      <c r="L1644" s="92" t="str">
        <f>IF(AND(A1644="",B1644="",D1644="",G1644=""),"",IF(OR(B1644="",NOT(ISNUMBER(B1644)),C1644="",C1644="Fora dos ciclos"),"",IF(C1644="C0","Nao",IF(IFERROR(INDEX(parametros!$A$2:$A$6,MATCH(C1644,parametros!$B$2:$B$6,0)),"")&lt;&gt;"Sim","Nao",IF(IFERROR(INDEX(parametros!$H$2:$H$6,MATCH(C1644,parametros!$B$2:$B$6,0)),"")="","",IF(B1644&gt;=IFERROR(INDEX(parametros!$H$2:$H$6,MATCH(C1644,parametros!$B$2:$B$6,0)),""),"Sim","Nao"))))))</f>
        <v/>
      </c>
      <c r="T1644" s="156"/>
      <c r="U1644" s="214" t="str">
        <f t="shared" si="131"/>
        <v/>
      </c>
      <c r="V1644" s="212" t="s">
        <v>50</v>
      </c>
      <c r="W1644" s="100" t="s">
        <v>168</v>
      </c>
      <c r="X1644" s="100" t="s">
        <v>169</v>
      </c>
      <c r="Y1644" s="101" t="s">
        <v>170</v>
      </c>
      <c r="Z1644" s="101" t="s">
        <v>171</v>
      </c>
      <c r="AA1644" s="101" t="s">
        <v>50</v>
      </c>
      <c r="AB1644" s="101" t="s">
        <v>172</v>
      </c>
      <c r="AC1644" s="102" t="s">
        <v>173</v>
      </c>
    </row>
    <row r="1645" spans="1:29" ht="25.5" customHeight="1" x14ac:dyDescent="0.35">
      <c r="A1645" s="392"/>
      <c r="B1645" s="393"/>
      <c r="C1645" s="99" t="str">
        <f>IF(B1645="","",IF(NOT(ISNUMBER(B1645)),"DATA_PC invalida",IF(NOT(ISNUMBER(parametros!$C$2)),"Fora dos ciclos",IF(OR(B1645&lt;parametros!$C$2,(YEAR(B1645)-YEAR(parametros!$C$2))*12+MONTH(B1645)-MONTH(parametros!$C$2)&gt;59),"Fora dos ciclos","C"&amp;INT(((YEAR(B1645)-YEAR(parametros!$C$2))*12+MONTH(B1645)-MONTH(parametros!$C$2))/12)))))</f>
        <v/>
      </c>
      <c r="D1645" s="394"/>
      <c r="E1645" s="78" t="str">
        <f>IF(C1645="","",IFERROR(VLOOKUP(C1645,parametros!$A$11:$E$15,5,0),""))</f>
        <v/>
      </c>
      <c r="F1645" s="79" t="str">
        <f t="shared" si="127"/>
        <v/>
      </c>
      <c r="G1645" s="395"/>
      <c r="H1645" s="91">
        <f t="shared" si="128"/>
        <v>0</v>
      </c>
      <c r="I1645" s="91" t="str">
        <f t="shared" si="129"/>
        <v/>
      </c>
      <c r="J1645" s="91" t="str">
        <f t="shared" si="130"/>
        <v/>
      </c>
      <c r="K1645" s="92" t="str">
        <f>IF(AND(A1645="",B1645="",D1645="",G1645=""),"",IF(AND(A1645&lt;&gt;"",COUNTIF($A$2:$A$5001,A1645)&gt;1),"NUMERO_PC duplicado",IF(B1645="","DATA_PC vazia",IF(NOT(ISNUMBER(B1645)),"DATA_PC invalida",IF(OR(C1645="",C1645="Fora dos ciclos"),"CICLO_PC nao identificado",IF(OR(D1645="",D1645=0),"VALOR_PC vazio ou zero",IF(AND(G1645&lt;&gt;"Sim",G1645&lt;&gt;"Nao",G1645&lt;&gt;""),"PC_PAGO_A_CONTRATADA invalido",IF(AND(C1645&lt;&gt;"C0",IFERROR(INDEX(parametros!$A$2:$A$6,MATCH(C1645,parametros!$B$2:$B$6,0)),"")="Sim",IFERROR(INDEX(parametros!$H$2:$H$6,MATCH(C1645,parametros!$B$2:$B$6,0)),"")=""),"INICIO_EFEITO ausente: PC "&amp;A1645&amp;" - "&amp;C1645,IF(L1645="","EFEITO_PC nao calculado: PC "&amp;A1645&amp;" - "&amp;C1645,"OK")))))))))</f>
        <v/>
      </c>
      <c r="L1645" s="92" t="str">
        <f>IF(AND(A1645="",B1645="",D1645="",G1645=""),"",IF(OR(B1645="",NOT(ISNUMBER(B1645)),C1645="",C1645="Fora dos ciclos"),"",IF(C1645="C0","Nao",IF(IFERROR(INDEX(parametros!$A$2:$A$6,MATCH(C1645,parametros!$B$2:$B$6,0)),"")&lt;&gt;"Sim","Nao",IF(IFERROR(INDEX(parametros!$H$2:$H$6,MATCH(C1645,parametros!$B$2:$B$6,0)),"")="","",IF(B1645&gt;=IFERROR(INDEX(parametros!$H$2:$H$6,MATCH(C1645,parametros!$B$2:$B$6,0)),""),"Sim","Nao"))))))</f>
        <v/>
      </c>
      <c r="T1645" s="156"/>
      <c r="U1645" s="214" t="str">
        <f t="shared" si="131"/>
        <v/>
      </c>
      <c r="V1645" s="212" t="s">
        <v>50</v>
      </c>
      <c r="W1645" s="100" t="s">
        <v>168</v>
      </c>
      <c r="X1645" s="100" t="s">
        <v>169</v>
      </c>
      <c r="Y1645" s="101" t="s">
        <v>170</v>
      </c>
      <c r="Z1645" s="101" t="s">
        <v>171</v>
      </c>
      <c r="AA1645" s="101" t="s">
        <v>50</v>
      </c>
      <c r="AB1645" s="101" t="s">
        <v>172</v>
      </c>
      <c r="AC1645" s="102" t="s">
        <v>173</v>
      </c>
    </row>
    <row r="1646" spans="1:29" ht="25.5" customHeight="1" x14ac:dyDescent="0.35">
      <c r="A1646" s="392"/>
      <c r="B1646" s="393"/>
      <c r="C1646" s="99" t="str">
        <f>IF(B1646="","",IF(NOT(ISNUMBER(B1646)),"DATA_PC invalida",IF(NOT(ISNUMBER(parametros!$C$2)),"Fora dos ciclos",IF(OR(B1646&lt;parametros!$C$2,(YEAR(B1646)-YEAR(parametros!$C$2))*12+MONTH(B1646)-MONTH(parametros!$C$2)&gt;59),"Fora dos ciclos","C"&amp;INT(((YEAR(B1646)-YEAR(parametros!$C$2))*12+MONTH(B1646)-MONTH(parametros!$C$2))/12)))))</f>
        <v/>
      </c>
      <c r="D1646" s="394"/>
      <c r="E1646" s="78" t="str">
        <f>IF(C1646="","",IFERROR(VLOOKUP(C1646,parametros!$A$11:$E$15,5,0),""))</f>
        <v/>
      </c>
      <c r="F1646" s="79" t="str">
        <f t="shared" si="127"/>
        <v/>
      </c>
      <c r="G1646" s="395"/>
      <c r="H1646" s="91">
        <f t="shared" si="128"/>
        <v>0</v>
      </c>
      <c r="I1646" s="91" t="str">
        <f t="shared" si="129"/>
        <v/>
      </c>
      <c r="J1646" s="91" t="str">
        <f t="shared" si="130"/>
        <v/>
      </c>
      <c r="K1646" s="92" t="str">
        <f>IF(AND(A1646="",B1646="",D1646="",G1646=""),"",IF(AND(A1646&lt;&gt;"",COUNTIF($A$2:$A$5001,A1646)&gt;1),"NUMERO_PC duplicado",IF(B1646="","DATA_PC vazia",IF(NOT(ISNUMBER(B1646)),"DATA_PC invalida",IF(OR(C1646="",C1646="Fora dos ciclos"),"CICLO_PC nao identificado",IF(OR(D1646="",D1646=0),"VALOR_PC vazio ou zero",IF(AND(G1646&lt;&gt;"Sim",G1646&lt;&gt;"Nao",G1646&lt;&gt;""),"PC_PAGO_A_CONTRATADA invalido",IF(AND(C1646&lt;&gt;"C0",IFERROR(INDEX(parametros!$A$2:$A$6,MATCH(C1646,parametros!$B$2:$B$6,0)),"")="Sim",IFERROR(INDEX(parametros!$H$2:$H$6,MATCH(C1646,parametros!$B$2:$B$6,0)),"")=""),"INICIO_EFEITO ausente: PC "&amp;A1646&amp;" - "&amp;C1646,IF(L1646="","EFEITO_PC nao calculado: PC "&amp;A1646&amp;" - "&amp;C1646,"OK")))))))))</f>
        <v/>
      </c>
      <c r="L1646" s="92" t="str">
        <f>IF(AND(A1646="",B1646="",D1646="",G1646=""),"",IF(OR(B1646="",NOT(ISNUMBER(B1646)),C1646="",C1646="Fora dos ciclos"),"",IF(C1646="C0","Nao",IF(IFERROR(INDEX(parametros!$A$2:$A$6,MATCH(C1646,parametros!$B$2:$B$6,0)),"")&lt;&gt;"Sim","Nao",IF(IFERROR(INDEX(parametros!$H$2:$H$6,MATCH(C1646,parametros!$B$2:$B$6,0)),"")="","",IF(B1646&gt;=IFERROR(INDEX(parametros!$H$2:$H$6,MATCH(C1646,parametros!$B$2:$B$6,0)),""),"Sim","Nao"))))))</f>
        <v/>
      </c>
      <c r="T1646" s="156"/>
      <c r="U1646" s="214" t="str">
        <f t="shared" si="131"/>
        <v/>
      </c>
      <c r="V1646" s="212" t="s">
        <v>50</v>
      </c>
      <c r="W1646" s="100" t="s">
        <v>168</v>
      </c>
      <c r="X1646" s="100" t="s">
        <v>169</v>
      </c>
      <c r="Y1646" s="101" t="s">
        <v>170</v>
      </c>
      <c r="Z1646" s="101" t="s">
        <v>171</v>
      </c>
      <c r="AA1646" s="101" t="s">
        <v>50</v>
      </c>
      <c r="AB1646" s="101" t="s">
        <v>172</v>
      </c>
      <c r="AC1646" s="102" t="s">
        <v>173</v>
      </c>
    </row>
    <row r="1647" spans="1:29" ht="25.5" customHeight="1" x14ac:dyDescent="0.35">
      <c r="A1647" s="392"/>
      <c r="B1647" s="393"/>
      <c r="C1647" s="99" t="str">
        <f>IF(B1647="","",IF(NOT(ISNUMBER(B1647)),"DATA_PC invalida",IF(NOT(ISNUMBER(parametros!$C$2)),"Fora dos ciclos",IF(OR(B1647&lt;parametros!$C$2,(YEAR(B1647)-YEAR(parametros!$C$2))*12+MONTH(B1647)-MONTH(parametros!$C$2)&gt;59),"Fora dos ciclos","C"&amp;INT(((YEAR(B1647)-YEAR(parametros!$C$2))*12+MONTH(B1647)-MONTH(parametros!$C$2))/12)))))</f>
        <v/>
      </c>
      <c r="D1647" s="394"/>
      <c r="E1647" s="78" t="str">
        <f>IF(C1647="","",IFERROR(VLOOKUP(C1647,parametros!$A$11:$E$15,5,0),""))</f>
        <v/>
      </c>
      <c r="F1647" s="79" t="str">
        <f t="shared" si="127"/>
        <v/>
      </c>
      <c r="G1647" s="395"/>
      <c r="H1647" s="91">
        <f t="shared" si="128"/>
        <v>0</v>
      </c>
      <c r="I1647" s="91" t="str">
        <f t="shared" si="129"/>
        <v/>
      </c>
      <c r="J1647" s="91" t="str">
        <f t="shared" si="130"/>
        <v/>
      </c>
      <c r="K1647" s="92" t="str">
        <f>IF(AND(A1647="",B1647="",D1647="",G1647=""),"",IF(AND(A1647&lt;&gt;"",COUNTIF($A$2:$A$5001,A1647)&gt;1),"NUMERO_PC duplicado",IF(B1647="","DATA_PC vazia",IF(NOT(ISNUMBER(B1647)),"DATA_PC invalida",IF(OR(C1647="",C1647="Fora dos ciclos"),"CICLO_PC nao identificado",IF(OR(D1647="",D1647=0),"VALOR_PC vazio ou zero",IF(AND(G1647&lt;&gt;"Sim",G1647&lt;&gt;"Nao",G1647&lt;&gt;""),"PC_PAGO_A_CONTRATADA invalido",IF(AND(C1647&lt;&gt;"C0",IFERROR(INDEX(parametros!$A$2:$A$6,MATCH(C1647,parametros!$B$2:$B$6,0)),"")="Sim",IFERROR(INDEX(parametros!$H$2:$H$6,MATCH(C1647,parametros!$B$2:$B$6,0)),"")=""),"INICIO_EFEITO ausente: PC "&amp;A1647&amp;" - "&amp;C1647,IF(L1647="","EFEITO_PC nao calculado: PC "&amp;A1647&amp;" - "&amp;C1647,"OK")))))))))</f>
        <v/>
      </c>
      <c r="L1647" s="92" t="str">
        <f>IF(AND(A1647="",B1647="",D1647="",G1647=""),"",IF(OR(B1647="",NOT(ISNUMBER(B1647)),C1647="",C1647="Fora dos ciclos"),"",IF(C1647="C0","Nao",IF(IFERROR(INDEX(parametros!$A$2:$A$6,MATCH(C1647,parametros!$B$2:$B$6,0)),"")&lt;&gt;"Sim","Nao",IF(IFERROR(INDEX(parametros!$H$2:$H$6,MATCH(C1647,parametros!$B$2:$B$6,0)),"")="","",IF(B1647&gt;=IFERROR(INDEX(parametros!$H$2:$H$6,MATCH(C1647,parametros!$B$2:$B$6,0)),""),"Sim","Nao"))))))</f>
        <v/>
      </c>
      <c r="T1647" s="156"/>
      <c r="U1647" s="214" t="str">
        <f t="shared" si="131"/>
        <v/>
      </c>
      <c r="V1647" s="212" t="s">
        <v>50</v>
      </c>
      <c r="W1647" s="100" t="s">
        <v>168</v>
      </c>
      <c r="X1647" s="100" t="s">
        <v>169</v>
      </c>
      <c r="Y1647" s="101" t="s">
        <v>170</v>
      </c>
      <c r="Z1647" s="101" t="s">
        <v>171</v>
      </c>
      <c r="AA1647" s="101" t="s">
        <v>50</v>
      </c>
      <c r="AB1647" s="101" t="s">
        <v>172</v>
      </c>
      <c r="AC1647" s="102" t="s">
        <v>173</v>
      </c>
    </row>
    <row r="1648" spans="1:29" ht="25.5" customHeight="1" x14ac:dyDescent="0.35">
      <c r="A1648" s="392"/>
      <c r="B1648" s="393"/>
      <c r="C1648" s="99" t="str">
        <f>IF(B1648="","",IF(NOT(ISNUMBER(B1648)),"DATA_PC invalida",IF(NOT(ISNUMBER(parametros!$C$2)),"Fora dos ciclos",IF(OR(B1648&lt;parametros!$C$2,(YEAR(B1648)-YEAR(parametros!$C$2))*12+MONTH(B1648)-MONTH(parametros!$C$2)&gt;59),"Fora dos ciclos","C"&amp;INT(((YEAR(B1648)-YEAR(parametros!$C$2))*12+MONTH(B1648)-MONTH(parametros!$C$2))/12)))))</f>
        <v/>
      </c>
      <c r="D1648" s="394"/>
      <c r="E1648" s="78" t="str">
        <f>IF(C1648="","",IFERROR(VLOOKUP(C1648,parametros!$A$11:$E$15,5,0),""))</f>
        <v/>
      </c>
      <c r="F1648" s="79" t="str">
        <f t="shared" si="127"/>
        <v/>
      </c>
      <c r="G1648" s="395"/>
      <c r="H1648" s="91">
        <f t="shared" si="128"/>
        <v>0</v>
      </c>
      <c r="I1648" s="91" t="str">
        <f t="shared" si="129"/>
        <v/>
      </c>
      <c r="J1648" s="91" t="str">
        <f t="shared" si="130"/>
        <v/>
      </c>
      <c r="K1648" s="92" t="str">
        <f>IF(AND(A1648="",B1648="",D1648="",G1648=""),"",IF(AND(A1648&lt;&gt;"",COUNTIF($A$2:$A$5001,A1648)&gt;1),"NUMERO_PC duplicado",IF(B1648="","DATA_PC vazia",IF(NOT(ISNUMBER(B1648)),"DATA_PC invalida",IF(OR(C1648="",C1648="Fora dos ciclos"),"CICLO_PC nao identificado",IF(OR(D1648="",D1648=0),"VALOR_PC vazio ou zero",IF(AND(G1648&lt;&gt;"Sim",G1648&lt;&gt;"Nao",G1648&lt;&gt;""),"PC_PAGO_A_CONTRATADA invalido",IF(AND(C1648&lt;&gt;"C0",IFERROR(INDEX(parametros!$A$2:$A$6,MATCH(C1648,parametros!$B$2:$B$6,0)),"")="Sim",IFERROR(INDEX(parametros!$H$2:$H$6,MATCH(C1648,parametros!$B$2:$B$6,0)),"")=""),"INICIO_EFEITO ausente: PC "&amp;A1648&amp;" - "&amp;C1648,IF(L1648="","EFEITO_PC nao calculado: PC "&amp;A1648&amp;" - "&amp;C1648,"OK")))))))))</f>
        <v/>
      </c>
      <c r="L1648" s="92" t="str">
        <f>IF(AND(A1648="",B1648="",D1648="",G1648=""),"",IF(OR(B1648="",NOT(ISNUMBER(B1648)),C1648="",C1648="Fora dos ciclos"),"",IF(C1648="C0","Nao",IF(IFERROR(INDEX(parametros!$A$2:$A$6,MATCH(C1648,parametros!$B$2:$B$6,0)),"")&lt;&gt;"Sim","Nao",IF(IFERROR(INDEX(parametros!$H$2:$H$6,MATCH(C1648,parametros!$B$2:$B$6,0)),"")="","",IF(B1648&gt;=IFERROR(INDEX(parametros!$H$2:$H$6,MATCH(C1648,parametros!$B$2:$B$6,0)),""),"Sim","Nao"))))))</f>
        <v/>
      </c>
      <c r="T1648" s="156"/>
      <c r="U1648" s="214" t="str">
        <f t="shared" si="131"/>
        <v/>
      </c>
      <c r="V1648" s="212" t="s">
        <v>50</v>
      </c>
      <c r="W1648" s="100" t="s">
        <v>168</v>
      </c>
      <c r="X1648" s="100" t="s">
        <v>169</v>
      </c>
      <c r="Y1648" s="101" t="s">
        <v>170</v>
      </c>
      <c r="Z1648" s="101" t="s">
        <v>171</v>
      </c>
      <c r="AA1648" s="101" t="s">
        <v>50</v>
      </c>
      <c r="AB1648" s="101" t="s">
        <v>172</v>
      </c>
      <c r="AC1648" s="102" t="s">
        <v>173</v>
      </c>
    </row>
    <row r="1649" spans="1:29" ht="25.5" customHeight="1" x14ac:dyDescent="0.35">
      <c r="A1649" s="392"/>
      <c r="B1649" s="393"/>
      <c r="C1649" s="99" t="str">
        <f>IF(B1649="","",IF(NOT(ISNUMBER(B1649)),"DATA_PC invalida",IF(NOT(ISNUMBER(parametros!$C$2)),"Fora dos ciclos",IF(OR(B1649&lt;parametros!$C$2,(YEAR(B1649)-YEAR(parametros!$C$2))*12+MONTH(B1649)-MONTH(parametros!$C$2)&gt;59),"Fora dos ciclos","C"&amp;INT(((YEAR(B1649)-YEAR(parametros!$C$2))*12+MONTH(B1649)-MONTH(parametros!$C$2))/12)))))</f>
        <v/>
      </c>
      <c r="D1649" s="394"/>
      <c r="E1649" s="78" t="str">
        <f>IF(C1649="","",IFERROR(VLOOKUP(C1649,parametros!$A$11:$E$15,5,0),""))</f>
        <v/>
      </c>
      <c r="F1649" s="79" t="str">
        <f t="shared" si="127"/>
        <v/>
      </c>
      <c r="G1649" s="395"/>
      <c r="H1649" s="91">
        <f t="shared" si="128"/>
        <v>0</v>
      </c>
      <c r="I1649" s="91" t="str">
        <f t="shared" si="129"/>
        <v/>
      </c>
      <c r="J1649" s="91" t="str">
        <f t="shared" si="130"/>
        <v/>
      </c>
      <c r="K1649" s="92" t="str">
        <f>IF(AND(A1649="",B1649="",D1649="",G1649=""),"",IF(AND(A1649&lt;&gt;"",COUNTIF($A$2:$A$5001,A1649)&gt;1),"NUMERO_PC duplicado",IF(B1649="","DATA_PC vazia",IF(NOT(ISNUMBER(B1649)),"DATA_PC invalida",IF(OR(C1649="",C1649="Fora dos ciclos"),"CICLO_PC nao identificado",IF(OR(D1649="",D1649=0),"VALOR_PC vazio ou zero",IF(AND(G1649&lt;&gt;"Sim",G1649&lt;&gt;"Nao",G1649&lt;&gt;""),"PC_PAGO_A_CONTRATADA invalido",IF(AND(C1649&lt;&gt;"C0",IFERROR(INDEX(parametros!$A$2:$A$6,MATCH(C1649,parametros!$B$2:$B$6,0)),"")="Sim",IFERROR(INDEX(parametros!$H$2:$H$6,MATCH(C1649,parametros!$B$2:$B$6,0)),"")=""),"INICIO_EFEITO ausente: PC "&amp;A1649&amp;" - "&amp;C1649,IF(L1649="","EFEITO_PC nao calculado: PC "&amp;A1649&amp;" - "&amp;C1649,"OK")))))))))</f>
        <v/>
      </c>
      <c r="L1649" s="92" t="str">
        <f>IF(AND(A1649="",B1649="",D1649="",G1649=""),"",IF(OR(B1649="",NOT(ISNUMBER(B1649)),C1649="",C1649="Fora dos ciclos"),"",IF(C1649="C0","Nao",IF(IFERROR(INDEX(parametros!$A$2:$A$6,MATCH(C1649,parametros!$B$2:$B$6,0)),"")&lt;&gt;"Sim","Nao",IF(IFERROR(INDEX(parametros!$H$2:$H$6,MATCH(C1649,parametros!$B$2:$B$6,0)),"")="","",IF(B1649&gt;=IFERROR(INDEX(parametros!$H$2:$H$6,MATCH(C1649,parametros!$B$2:$B$6,0)),""),"Sim","Nao"))))))</f>
        <v/>
      </c>
      <c r="T1649" s="156"/>
      <c r="U1649" s="214" t="str">
        <f t="shared" si="131"/>
        <v/>
      </c>
      <c r="V1649" s="212" t="s">
        <v>50</v>
      </c>
      <c r="W1649" s="100" t="s">
        <v>168</v>
      </c>
      <c r="X1649" s="100" t="s">
        <v>169</v>
      </c>
      <c r="Y1649" s="101" t="s">
        <v>170</v>
      </c>
      <c r="Z1649" s="101" t="s">
        <v>171</v>
      </c>
      <c r="AA1649" s="101" t="s">
        <v>50</v>
      </c>
      <c r="AB1649" s="101" t="s">
        <v>172</v>
      </c>
      <c r="AC1649" s="102" t="s">
        <v>173</v>
      </c>
    </row>
    <row r="1650" spans="1:29" ht="25.5" customHeight="1" x14ac:dyDescent="0.35">
      <c r="A1650" s="392"/>
      <c r="B1650" s="393"/>
      <c r="C1650" s="99" t="str">
        <f>IF(B1650="","",IF(NOT(ISNUMBER(B1650)),"DATA_PC invalida",IF(NOT(ISNUMBER(parametros!$C$2)),"Fora dos ciclos",IF(OR(B1650&lt;parametros!$C$2,(YEAR(B1650)-YEAR(parametros!$C$2))*12+MONTH(B1650)-MONTH(parametros!$C$2)&gt;59),"Fora dos ciclos","C"&amp;INT(((YEAR(B1650)-YEAR(parametros!$C$2))*12+MONTH(B1650)-MONTH(parametros!$C$2))/12)))))</f>
        <v/>
      </c>
      <c r="D1650" s="394"/>
      <c r="E1650" s="78" t="str">
        <f>IF(C1650="","",IFERROR(VLOOKUP(C1650,parametros!$A$11:$E$15,5,0),""))</f>
        <v/>
      </c>
      <c r="F1650" s="79" t="str">
        <f t="shared" si="127"/>
        <v/>
      </c>
      <c r="G1650" s="395"/>
      <c r="H1650" s="91">
        <f t="shared" si="128"/>
        <v>0</v>
      </c>
      <c r="I1650" s="91" t="str">
        <f t="shared" si="129"/>
        <v/>
      </c>
      <c r="J1650" s="91" t="str">
        <f t="shared" si="130"/>
        <v/>
      </c>
      <c r="K1650" s="92" t="str">
        <f>IF(AND(A1650="",B1650="",D1650="",G1650=""),"",IF(AND(A1650&lt;&gt;"",COUNTIF($A$2:$A$5001,A1650)&gt;1),"NUMERO_PC duplicado",IF(B1650="","DATA_PC vazia",IF(NOT(ISNUMBER(B1650)),"DATA_PC invalida",IF(OR(C1650="",C1650="Fora dos ciclos"),"CICLO_PC nao identificado",IF(OR(D1650="",D1650=0),"VALOR_PC vazio ou zero",IF(AND(G1650&lt;&gt;"Sim",G1650&lt;&gt;"Nao",G1650&lt;&gt;""),"PC_PAGO_A_CONTRATADA invalido",IF(AND(C1650&lt;&gt;"C0",IFERROR(INDEX(parametros!$A$2:$A$6,MATCH(C1650,parametros!$B$2:$B$6,0)),"")="Sim",IFERROR(INDEX(parametros!$H$2:$H$6,MATCH(C1650,parametros!$B$2:$B$6,0)),"")=""),"INICIO_EFEITO ausente: PC "&amp;A1650&amp;" - "&amp;C1650,IF(L1650="","EFEITO_PC nao calculado: PC "&amp;A1650&amp;" - "&amp;C1650,"OK")))))))))</f>
        <v/>
      </c>
      <c r="L1650" s="92" t="str">
        <f>IF(AND(A1650="",B1650="",D1650="",G1650=""),"",IF(OR(B1650="",NOT(ISNUMBER(B1650)),C1650="",C1650="Fora dos ciclos"),"",IF(C1650="C0","Nao",IF(IFERROR(INDEX(parametros!$A$2:$A$6,MATCH(C1650,parametros!$B$2:$B$6,0)),"")&lt;&gt;"Sim","Nao",IF(IFERROR(INDEX(parametros!$H$2:$H$6,MATCH(C1650,parametros!$B$2:$B$6,0)),"")="","",IF(B1650&gt;=IFERROR(INDEX(parametros!$H$2:$H$6,MATCH(C1650,parametros!$B$2:$B$6,0)),""),"Sim","Nao"))))))</f>
        <v/>
      </c>
      <c r="T1650" s="156"/>
      <c r="U1650" s="214" t="str">
        <f t="shared" si="131"/>
        <v/>
      </c>
      <c r="V1650" s="212" t="s">
        <v>50</v>
      </c>
      <c r="W1650" s="100" t="s">
        <v>168</v>
      </c>
      <c r="X1650" s="100" t="s">
        <v>169</v>
      </c>
      <c r="Y1650" s="101" t="s">
        <v>170</v>
      </c>
      <c r="Z1650" s="101" t="s">
        <v>171</v>
      </c>
      <c r="AA1650" s="101" t="s">
        <v>50</v>
      </c>
      <c r="AB1650" s="101" t="s">
        <v>172</v>
      </c>
      <c r="AC1650" s="102" t="s">
        <v>173</v>
      </c>
    </row>
    <row r="1651" spans="1:29" ht="25.5" customHeight="1" x14ac:dyDescent="0.35">
      <c r="A1651" s="392"/>
      <c r="B1651" s="393"/>
      <c r="C1651" s="99" t="str">
        <f>IF(B1651="","",IF(NOT(ISNUMBER(B1651)),"DATA_PC invalida",IF(NOT(ISNUMBER(parametros!$C$2)),"Fora dos ciclos",IF(OR(B1651&lt;parametros!$C$2,(YEAR(B1651)-YEAR(parametros!$C$2))*12+MONTH(B1651)-MONTH(parametros!$C$2)&gt;59),"Fora dos ciclos","C"&amp;INT(((YEAR(B1651)-YEAR(parametros!$C$2))*12+MONTH(B1651)-MONTH(parametros!$C$2))/12)))))</f>
        <v/>
      </c>
      <c r="D1651" s="394"/>
      <c r="E1651" s="78" t="str">
        <f>IF(C1651="","",IFERROR(VLOOKUP(C1651,parametros!$A$11:$E$15,5,0),""))</f>
        <v/>
      </c>
      <c r="F1651" s="79" t="str">
        <f t="shared" si="127"/>
        <v/>
      </c>
      <c r="G1651" s="395"/>
      <c r="H1651" s="91">
        <f t="shared" si="128"/>
        <v>0</v>
      </c>
      <c r="I1651" s="91" t="str">
        <f t="shared" si="129"/>
        <v/>
      </c>
      <c r="J1651" s="91" t="str">
        <f t="shared" si="130"/>
        <v/>
      </c>
      <c r="K1651" s="92" t="str">
        <f>IF(AND(A1651="",B1651="",D1651="",G1651=""),"",IF(AND(A1651&lt;&gt;"",COUNTIF($A$2:$A$5001,A1651)&gt;1),"NUMERO_PC duplicado",IF(B1651="","DATA_PC vazia",IF(NOT(ISNUMBER(B1651)),"DATA_PC invalida",IF(OR(C1651="",C1651="Fora dos ciclos"),"CICLO_PC nao identificado",IF(OR(D1651="",D1651=0),"VALOR_PC vazio ou zero",IF(AND(G1651&lt;&gt;"Sim",G1651&lt;&gt;"Nao",G1651&lt;&gt;""),"PC_PAGO_A_CONTRATADA invalido",IF(AND(C1651&lt;&gt;"C0",IFERROR(INDEX(parametros!$A$2:$A$6,MATCH(C1651,parametros!$B$2:$B$6,0)),"")="Sim",IFERROR(INDEX(parametros!$H$2:$H$6,MATCH(C1651,parametros!$B$2:$B$6,0)),"")=""),"INICIO_EFEITO ausente: PC "&amp;A1651&amp;" - "&amp;C1651,IF(L1651="","EFEITO_PC nao calculado: PC "&amp;A1651&amp;" - "&amp;C1651,"OK")))))))))</f>
        <v/>
      </c>
      <c r="L1651" s="92" t="str">
        <f>IF(AND(A1651="",B1651="",D1651="",G1651=""),"",IF(OR(B1651="",NOT(ISNUMBER(B1651)),C1651="",C1651="Fora dos ciclos"),"",IF(C1651="C0","Nao",IF(IFERROR(INDEX(parametros!$A$2:$A$6,MATCH(C1651,parametros!$B$2:$B$6,0)),"")&lt;&gt;"Sim","Nao",IF(IFERROR(INDEX(parametros!$H$2:$H$6,MATCH(C1651,parametros!$B$2:$B$6,0)),"")="","",IF(B1651&gt;=IFERROR(INDEX(parametros!$H$2:$H$6,MATCH(C1651,parametros!$B$2:$B$6,0)),""),"Sim","Nao"))))))</f>
        <v/>
      </c>
      <c r="T1651" s="156"/>
      <c r="U1651" s="214" t="str">
        <f t="shared" si="131"/>
        <v/>
      </c>
      <c r="V1651" s="212" t="s">
        <v>50</v>
      </c>
      <c r="W1651" s="100" t="s">
        <v>168</v>
      </c>
      <c r="X1651" s="100" t="s">
        <v>169</v>
      </c>
      <c r="Y1651" s="101" t="s">
        <v>170</v>
      </c>
      <c r="Z1651" s="101" t="s">
        <v>171</v>
      </c>
      <c r="AA1651" s="101" t="s">
        <v>50</v>
      </c>
      <c r="AB1651" s="101" t="s">
        <v>172</v>
      </c>
      <c r="AC1651" s="102" t="s">
        <v>173</v>
      </c>
    </row>
    <row r="1652" spans="1:29" ht="25.5" customHeight="1" x14ac:dyDescent="0.35">
      <c r="A1652" s="392"/>
      <c r="B1652" s="393"/>
      <c r="C1652" s="99" t="str">
        <f>IF(B1652="","",IF(NOT(ISNUMBER(B1652)),"DATA_PC invalida",IF(NOT(ISNUMBER(parametros!$C$2)),"Fora dos ciclos",IF(OR(B1652&lt;parametros!$C$2,(YEAR(B1652)-YEAR(parametros!$C$2))*12+MONTH(B1652)-MONTH(parametros!$C$2)&gt;59),"Fora dos ciclos","C"&amp;INT(((YEAR(B1652)-YEAR(parametros!$C$2))*12+MONTH(B1652)-MONTH(parametros!$C$2))/12)))))</f>
        <v/>
      </c>
      <c r="D1652" s="394"/>
      <c r="E1652" s="78" t="str">
        <f>IF(C1652="","",IFERROR(VLOOKUP(C1652,parametros!$A$11:$E$15,5,0),""))</f>
        <v/>
      </c>
      <c r="F1652" s="79" t="str">
        <f t="shared" si="127"/>
        <v/>
      </c>
      <c r="G1652" s="395"/>
      <c r="H1652" s="91">
        <f t="shared" si="128"/>
        <v>0</v>
      </c>
      <c r="I1652" s="91" t="str">
        <f t="shared" si="129"/>
        <v/>
      </c>
      <c r="J1652" s="91" t="str">
        <f t="shared" si="130"/>
        <v/>
      </c>
      <c r="K1652" s="92" t="str">
        <f>IF(AND(A1652="",B1652="",D1652="",G1652=""),"",IF(AND(A1652&lt;&gt;"",COUNTIF($A$2:$A$5001,A1652)&gt;1),"NUMERO_PC duplicado",IF(B1652="","DATA_PC vazia",IF(NOT(ISNUMBER(B1652)),"DATA_PC invalida",IF(OR(C1652="",C1652="Fora dos ciclos"),"CICLO_PC nao identificado",IF(OR(D1652="",D1652=0),"VALOR_PC vazio ou zero",IF(AND(G1652&lt;&gt;"Sim",G1652&lt;&gt;"Nao",G1652&lt;&gt;""),"PC_PAGO_A_CONTRATADA invalido",IF(AND(C1652&lt;&gt;"C0",IFERROR(INDEX(parametros!$A$2:$A$6,MATCH(C1652,parametros!$B$2:$B$6,0)),"")="Sim",IFERROR(INDEX(parametros!$H$2:$H$6,MATCH(C1652,parametros!$B$2:$B$6,0)),"")=""),"INICIO_EFEITO ausente: PC "&amp;A1652&amp;" - "&amp;C1652,IF(L1652="","EFEITO_PC nao calculado: PC "&amp;A1652&amp;" - "&amp;C1652,"OK")))))))))</f>
        <v/>
      </c>
      <c r="L1652" s="92" t="str">
        <f>IF(AND(A1652="",B1652="",D1652="",G1652=""),"",IF(OR(B1652="",NOT(ISNUMBER(B1652)),C1652="",C1652="Fora dos ciclos"),"",IF(C1652="C0","Nao",IF(IFERROR(INDEX(parametros!$A$2:$A$6,MATCH(C1652,parametros!$B$2:$B$6,0)),"")&lt;&gt;"Sim","Nao",IF(IFERROR(INDEX(parametros!$H$2:$H$6,MATCH(C1652,parametros!$B$2:$B$6,0)),"")="","",IF(B1652&gt;=IFERROR(INDEX(parametros!$H$2:$H$6,MATCH(C1652,parametros!$B$2:$B$6,0)),""),"Sim","Nao"))))))</f>
        <v/>
      </c>
      <c r="T1652" s="156"/>
      <c r="U1652" s="214" t="str">
        <f t="shared" si="131"/>
        <v/>
      </c>
      <c r="V1652" s="212" t="s">
        <v>50</v>
      </c>
      <c r="W1652" s="100" t="s">
        <v>168</v>
      </c>
      <c r="X1652" s="100" t="s">
        <v>169</v>
      </c>
      <c r="Y1652" s="101" t="s">
        <v>170</v>
      </c>
      <c r="Z1652" s="101" t="s">
        <v>171</v>
      </c>
      <c r="AA1652" s="101" t="s">
        <v>50</v>
      </c>
      <c r="AB1652" s="101" t="s">
        <v>172</v>
      </c>
      <c r="AC1652" s="102" t="s">
        <v>173</v>
      </c>
    </row>
    <row r="1653" spans="1:29" ht="25.5" customHeight="1" x14ac:dyDescent="0.35">
      <c r="A1653" s="392"/>
      <c r="B1653" s="393"/>
      <c r="C1653" s="99" t="str">
        <f>IF(B1653="","",IF(NOT(ISNUMBER(B1653)),"DATA_PC invalida",IF(NOT(ISNUMBER(parametros!$C$2)),"Fora dos ciclos",IF(OR(B1653&lt;parametros!$C$2,(YEAR(B1653)-YEAR(parametros!$C$2))*12+MONTH(B1653)-MONTH(parametros!$C$2)&gt;59),"Fora dos ciclos","C"&amp;INT(((YEAR(B1653)-YEAR(parametros!$C$2))*12+MONTH(B1653)-MONTH(parametros!$C$2))/12)))))</f>
        <v/>
      </c>
      <c r="D1653" s="394"/>
      <c r="E1653" s="78" t="str">
        <f>IF(C1653="","",IFERROR(VLOOKUP(C1653,parametros!$A$11:$E$15,5,0),""))</f>
        <v/>
      </c>
      <c r="F1653" s="79" t="str">
        <f t="shared" si="127"/>
        <v/>
      </c>
      <c r="G1653" s="395"/>
      <c r="H1653" s="91">
        <f t="shared" si="128"/>
        <v>0</v>
      </c>
      <c r="I1653" s="91" t="str">
        <f t="shared" si="129"/>
        <v/>
      </c>
      <c r="J1653" s="91" t="str">
        <f t="shared" si="130"/>
        <v/>
      </c>
      <c r="K1653" s="92" t="str">
        <f>IF(AND(A1653="",B1653="",D1653="",G1653=""),"",IF(AND(A1653&lt;&gt;"",COUNTIF($A$2:$A$5001,A1653)&gt;1),"NUMERO_PC duplicado",IF(B1653="","DATA_PC vazia",IF(NOT(ISNUMBER(B1653)),"DATA_PC invalida",IF(OR(C1653="",C1653="Fora dos ciclos"),"CICLO_PC nao identificado",IF(OR(D1653="",D1653=0),"VALOR_PC vazio ou zero",IF(AND(G1653&lt;&gt;"Sim",G1653&lt;&gt;"Nao",G1653&lt;&gt;""),"PC_PAGO_A_CONTRATADA invalido",IF(AND(C1653&lt;&gt;"C0",IFERROR(INDEX(parametros!$A$2:$A$6,MATCH(C1653,parametros!$B$2:$B$6,0)),"")="Sim",IFERROR(INDEX(parametros!$H$2:$H$6,MATCH(C1653,parametros!$B$2:$B$6,0)),"")=""),"INICIO_EFEITO ausente: PC "&amp;A1653&amp;" - "&amp;C1653,IF(L1653="","EFEITO_PC nao calculado: PC "&amp;A1653&amp;" - "&amp;C1653,"OK")))))))))</f>
        <v/>
      </c>
      <c r="L1653" s="92" t="str">
        <f>IF(AND(A1653="",B1653="",D1653="",G1653=""),"",IF(OR(B1653="",NOT(ISNUMBER(B1653)),C1653="",C1653="Fora dos ciclos"),"",IF(C1653="C0","Nao",IF(IFERROR(INDEX(parametros!$A$2:$A$6,MATCH(C1653,parametros!$B$2:$B$6,0)),"")&lt;&gt;"Sim","Nao",IF(IFERROR(INDEX(parametros!$H$2:$H$6,MATCH(C1653,parametros!$B$2:$B$6,0)),"")="","",IF(B1653&gt;=IFERROR(INDEX(parametros!$H$2:$H$6,MATCH(C1653,parametros!$B$2:$B$6,0)),""),"Sim","Nao"))))))</f>
        <v/>
      </c>
      <c r="T1653" s="156"/>
      <c r="U1653" s="214" t="str">
        <f t="shared" si="131"/>
        <v/>
      </c>
      <c r="V1653" s="212" t="s">
        <v>50</v>
      </c>
      <c r="W1653" s="100" t="s">
        <v>168</v>
      </c>
      <c r="X1653" s="100" t="s">
        <v>169</v>
      </c>
      <c r="Y1653" s="101" t="s">
        <v>170</v>
      </c>
      <c r="Z1653" s="101" t="s">
        <v>171</v>
      </c>
      <c r="AA1653" s="101" t="s">
        <v>50</v>
      </c>
      <c r="AB1653" s="101" t="s">
        <v>172</v>
      </c>
      <c r="AC1653" s="102" t="s">
        <v>173</v>
      </c>
    </row>
    <row r="1654" spans="1:29" ht="25.5" customHeight="1" x14ac:dyDescent="0.35">
      <c r="A1654" s="392"/>
      <c r="B1654" s="393"/>
      <c r="C1654" s="99" t="str">
        <f>IF(B1654="","",IF(NOT(ISNUMBER(B1654)),"DATA_PC invalida",IF(NOT(ISNUMBER(parametros!$C$2)),"Fora dos ciclos",IF(OR(B1654&lt;parametros!$C$2,(YEAR(B1654)-YEAR(parametros!$C$2))*12+MONTH(B1654)-MONTH(parametros!$C$2)&gt;59),"Fora dos ciclos","C"&amp;INT(((YEAR(B1654)-YEAR(parametros!$C$2))*12+MONTH(B1654)-MONTH(parametros!$C$2))/12)))))</f>
        <v/>
      </c>
      <c r="D1654" s="394"/>
      <c r="E1654" s="78" t="str">
        <f>IF(C1654="","",IFERROR(VLOOKUP(C1654,parametros!$A$11:$E$15,5,0),""))</f>
        <v/>
      </c>
      <c r="F1654" s="79" t="str">
        <f t="shared" si="127"/>
        <v/>
      </c>
      <c r="G1654" s="395"/>
      <c r="H1654" s="91">
        <f t="shared" si="128"/>
        <v>0</v>
      </c>
      <c r="I1654" s="91" t="str">
        <f t="shared" si="129"/>
        <v/>
      </c>
      <c r="J1654" s="91" t="str">
        <f t="shared" si="130"/>
        <v/>
      </c>
      <c r="K1654" s="92" t="str">
        <f>IF(AND(A1654="",B1654="",D1654="",G1654=""),"",IF(AND(A1654&lt;&gt;"",COUNTIF($A$2:$A$5001,A1654)&gt;1),"NUMERO_PC duplicado",IF(B1654="","DATA_PC vazia",IF(NOT(ISNUMBER(B1654)),"DATA_PC invalida",IF(OR(C1654="",C1654="Fora dos ciclos"),"CICLO_PC nao identificado",IF(OR(D1654="",D1654=0),"VALOR_PC vazio ou zero",IF(AND(G1654&lt;&gt;"Sim",G1654&lt;&gt;"Nao",G1654&lt;&gt;""),"PC_PAGO_A_CONTRATADA invalido",IF(AND(C1654&lt;&gt;"C0",IFERROR(INDEX(parametros!$A$2:$A$6,MATCH(C1654,parametros!$B$2:$B$6,0)),"")="Sim",IFERROR(INDEX(parametros!$H$2:$H$6,MATCH(C1654,parametros!$B$2:$B$6,0)),"")=""),"INICIO_EFEITO ausente: PC "&amp;A1654&amp;" - "&amp;C1654,IF(L1654="","EFEITO_PC nao calculado: PC "&amp;A1654&amp;" - "&amp;C1654,"OK")))))))))</f>
        <v/>
      </c>
      <c r="L1654" s="92" t="str">
        <f>IF(AND(A1654="",B1654="",D1654="",G1654=""),"",IF(OR(B1654="",NOT(ISNUMBER(B1654)),C1654="",C1654="Fora dos ciclos"),"",IF(C1654="C0","Nao",IF(IFERROR(INDEX(parametros!$A$2:$A$6,MATCH(C1654,parametros!$B$2:$B$6,0)),"")&lt;&gt;"Sim","Nao",IF(IFERROR(INDEX(parametros!$H$2:$H$6,MATCH(C1654,parametros!$B$2:$B$6,0)),"")="","",IF(B1654&gt;=IFERROR(INDEX(parametros!$H$2:$H$6,MATCH(C1654,parametros!$B$2:$B$6,0)),""),"Sim","Nao"))))))</f>
        <v/>
      </c>
      <c r="T1654" s="156"/>
      <c r="U1654" s="214" t="str">
        <f t="shared" si="131"/>
        <v/>
      </c>
      <c r="V1654" s="212" t="s">
        <v>50</v>
      </c>
      <c r="W1654" s="100" t="s">
        <v>168</v>
      </c>
      <c r="X1654" s="100" t="s">
        <v>169</v>
      </c>
      <c r="Y1654" s="101" t="s">
        <v>170</v>
      </c>
      <c r="Z1654" s="101" t="s">
        <v>171</v>
      </c>
      <c r="AA1654" s="101" t="s">
        <v>50</v>
      </c>
      <c r="AB1654" s="101" t="s">
        <v>172</v>
      </c>
      <c r="AC1654" s="102" t="s">
        <v>173</v>
      </c>
    </row>
    <row r="1655" spans="1:29" ht="25.5" customHeight="1" x14ac:dyDescent="0.35">
      <c r="A1655" s="392"/>
      <c r="B1655" s="393"/>
      <c r="C1655" s="99" t="str">
        <f>IF(B1655="","",IF(NOT(ISNUMBER(B1655)),"DATA_PC invalida",IF(NOT(ISNUMBER(parametros!$C$2)),"Fora dos ciclos",IF(OR(B1655&lt;parametros!$C$2,(YEAR(B1655)-YEAR(parametros!$C$2))*12+MONTH(B1655)-MONTH(parametros!$C$2)&gt;59),"Fora dos ciclos","C"&amp;INT(((YEAR(B1655)-YEAR(parametros!$C$2))*12+MONTH(B1655)-MONTH(parametros!$C$2))/12)))))</f>
        <v/>
      </c>
      <c r="D1655" s="394"/>
      <c r="E1655" s="78" t="str">
        <f>IF(C1655="","",IFERROR(VLOOKUP(C1655,parametros!$A$11:$E$15,5,0),""))</f>
        <v/>
      </c>
      <c r="F1655" s="79" t="str">
        <f t="shared" si="127"/>
        <v/>
      </c>
      <c r="G1655" s="395"/>
      <c r="H1655" s="91">
        <f t="shared" si="128"/>
        <v>0</v>
      </c>
      <c r="I1655" s="91" t="str">
        <f t="shared" si="129"/>
        <v/>
      </c>
      <c r="J1655" s="91" t="str">
        <f t="shared" si="130"/>
        <v/>
      </c>
      <c r="K1655" s="92" t="str">
        <f>IF(AND(A1655="",B1655="",D1655="",G1655=""),"",IF(AND(A1655&lt;&gt;"",COUNTIF($A$2:$A$5001,A1655)&gt;1),"NUMERO_PC duplicado",IF(B1655="","DATA_PC vazia",IF(NOT(ISNUMBER(B1655)),"DATA_PC invalida",IF(OR(C1655="",C1655="Fora dos ciclos"),"CICLO_PC nao identificado",IF(OR(D1655="",D1655=0),"VALOR_PC vazio ou zero",IF(AND(G1655&lt;&gt;"Sim",G1655&lt;&gt;"Nao",G1655&lt;&gt;""),"PC_PAGO_A_CONTRATADA invalido",IF(AND(C1655&lt;&gt;"C0",IFERROR(INDEX(parametros!$A$2:$A$6,MATCH(C1655,parametros!$B$2:$B$6,0)),"")="Sim",IFERROR(INDEX(parametros!$H$2:$H$6,MATCH(C1655,parametros!$B$2:$B$6,0)),"")=""),"INICIO_EFEITO ausente: PC "&amp;A1655&amp;" - "&amp;C1655,IF(L1655="","EFEITO_PC nao calculado: PC "&amp;A1655&amp;" - "&amp;C1655,"OK")))))))))</f>
        <v/>
      </c>
      <c r="L1655" s="92" t="str">
        <f>IF(AND(A1655="",B1655="",D1655="",G1655=""),"",IF(OR(B1655="",NOT(ISNUMBER(B1655)),C1655="",C1655="Fora dos ciclos"),"",IF(C1655="C0","Nao",IF(IFERROR(INDEX(parametros!$A$2:$A$6,MATCH(C1655,parametros!$B$2:$B$6,0)),"")&lt;&gt;"Sim","Nao",IF(IFERROR(INDEX(parametros!$H$2:$H$6,MATCH(C1655,parametros!$B$2:$B$6,0)),"")="","",IF(B1655&gt;=IFERROR(INDEX(parametros!$H$2:$H$6,MATCH(C1655,parametros!$B$2:$B$6,0)),""),"Sim","Nao"))))))</f>
        <v/>
      </c>
      <c r="T1655" s="156"/>
      <c r="U1655" s="214" t="str">
        <f t="shared" si="131"/>
        <v/>
      </c>
      <c r="V1655" s="212" t="s">
        <v>50</v>
      </c>
      <c r="W1655" s="100" t="s">
        <v>168</v>
      </c>
      <c r="X1655" s="100" t="s">
        <v>169</v>
      </c>
      <c r="Y1655" s="101" t="s">
        <v>170</v>
      </c>
      <c r="Z1655" s="101" t="s">
        <v>171</v>
      </c>
      <c r="AA1655" s="101" t="s">
        <v>50</v>
      </c>
      <c r="AB1655" s="101" t="s">
        <v>172</v>
      </c>
      <c r="AC1655" s="102" t="s">
        <v>173</v>
      </c>
    </row>
    <row r="1656" spans="1:29" ht="25.5" customHeight="1" x14ac:dyDescent="0.35">
      <c r="A1656" s="392"/>
      <c r="B1656" s="393"/>
      <c r="C1656" s="99" t="str">
        <f>IF(B1656="","",IF(NOT(ISNUMBER(B1656)),"DATA_PC invalida",IF(NOT(ISNUMBER(parametros!$C$2)),"Fora dos ciclos",IF(OR(B1656&lt;parametros!$C$2,(YEAR(B1656)-YEAR(parametros!$C$2))*12+MONTH(B1656)-MONTH(parametros!$C$2)&gt;59),"Fora dos ciclos","C"&amp;INT(((YEAR(B1656)-YEAR(parametros!$C$2))*12+MONTH(B1656)-MONTH(parametros!$C$2))/12)))))</f>
        <v/>
      </c>
      <c r="D1656" s="394"/>
      <c r="E1656" s="78" t="str">
        <f>IF(C1656="","",IFERROR(VLOOKUP(C1656,parametros!$A$11:$E$15,5,0),""))</f>
        <v/>
      </c>
      <c r="F1656" s="79" t="str">
        <f t="shared" si="127"/>
        <v/>
      </c>
      <c r="G1656" s="395"/>
      <c r="H1656" s="91">
        <f t="shared" si="128"/>
        <v>0</v>
      </c>
      <c r="I1656" s="91" t="str">
        <f t="shared" si="129"/>
        <v/>
      </c>
      <c r="J1656" s="91" t="str">
        <f t="shared" si="130"/>
        <v/>
      </c>
      <c r="K1656" s="92" t="str">
        <f>IF(AND(A1656="",B1656="",D1656="",G1656=""),"",IF(AND(A1656&lt;&gt;"",COUNTIF($A$2:$A$5001,A1656)&gt;1),"NUMERO_PC duplicado",IF(B1656="","DATA_PC vazia",IF(NOT(ISNUMBER(B1656)),"DATA_PC invalida",IF(OR(C1656="",C1656="Fora dos ciclos"),"CICLO_PC nao identificado",IF(OR(D1656="",D1656=0),"VALOR_PC vazio ou zero",IF(AND(G1656&lt;&gt;"Sim",G1656&lt;&gt;"Nao",G1656&lt;&gt;""),"PC_PAGO_A_CONTRATADA invalido",IF(AND(C1656&lt;&gt;"C0",IFERROR(INDEX(parametros!$A$2:$A$6,MATCH(C1656,parametros!$B$2:$B$6,0)),"")="Sim",IFERROR(INDEX(parametros!$H$2:$H$6,MATCH(C1656,parametros!$B$2:$B$6,0)),"")=""),"INICIO_EFEITO ausente: PC "&amp;A1656&amp;" - "&amp;C1656,IF(L1656="","EFEITO_PC nao calculado: PC "&amp;A1656&amp;" - "&amp;C1656,"OK")))))))))</f>
        <v/>
      </c>
      <c r="L1656" s="92" t="str">
        <f>IF(AND(A1656="",B1656="",D1656="",G1656=""),"",IF(OR(B1656="",NOT(ISNUMBER(B1656)),C1656="",C1656="Fora dos ciclos"),"",IF(C1656="C0","Nao",IF(IFERROR(INDEX(parametros!$A$2:$A$6,MATCH(C1656,parametros!$B$2:$B$6,0)),"")&lt;&gt;"Sim","Nao",IF(IFERROR(INDEX(parametros!$H$2:$H$6,MATCH(C1656,parametros!$B$2:$B$6,0)),"")="","",IF(B1656&gt;=IFERROR(INDEX(parametros!$H$2:$H$6,MATCH(C1656,parametros!$B$2:$B$6,0)),""),"Sim","Nao"))))))</f>
        <v/>
      </c>
      <c r="T1656" s="156"/>
      <c r="U1656" s="214" t="str">
        <f t="shared" si="131"/>
        <v/>
      </c>
      <c r="V1656" s="212" t="s">
        <v>50</v>
      </c>
      <c r="W1656" s="100" t="s">
        <v>168</v>
      </c>
      <c r="X1656" s="100" t="s">
        <v>169</v>
      </c>
      <c r="Y1656" s="101" t="s">
        <v>170</v>
      </c>
      <c r="Z1656" s="101" t="s">
        <v>171</v>
      </c>
      <c r="AA1656" s="101" t="s">
        <v>50</v>
      </c>
      <c r="AB1656" s="101" t="s">
        <v>172</v>
      </c>
      <c r="AC1656" s="102" t="s">
        <v>173</v>
      </c>
    </row>
    <row r="1657" spans="1:29" ht="25.5" customHeight="1" x14ac:dyDescent="0.35">
      <c r="A1657" s="392"/>
      <c r="B1657" s="393"/>
      <c r="C1657" s="99" t="str">
        <f>IF(B1657="","",IF(NOT(ISNUMBER(B1657)),"DATA_PC invalida",IF(NOT(ISNUMBER(parametros!$C$2)),"Fora dos ciclos",IF(OR(B1657&lt;parametros!$C$2,(YEAR(B1657)-YEAR(parametros!$C$2))*12+MONTH(B1657)-MONTH(parametros!$C$2)&gt;59),"Fora dos ciclos","C"&amp;INT(((YEAR(B1657)-YEAR(parametros!$C$2))*12+MONTH(B1657)-MONTH(parametros!$C$2))/12)))))</f>
        <v/>
      </c>
      <c r="D1657" s="394"/>
      <c r="E1657" s="78" t="str">
        <f>IF(C1657="","",IFERROR(VLOOKUP(C1657,parametros!$A$11:$E$15,5,0),""))</f>
        <v/>
      </c>
      <c r="F1657" s="79" t="str">
        <f t="shared" si="127"/>
        <v/>
      </c>
      <c r="G1657" s="395"/>
      <c r="H1657" s="91">
        <f t="shared" si="128"/>
        <v>0</v>
      </c>
      <c r="I1657" s="91" t="str">
        <f t="shared" si="129"/>
        <v/>
      </c>
      <c r="J1657" s="91" t="str">
        <f t="shared" si="130"/>
        <v/>
      </c>
      <c r="K1657" s="92" t="str">
        <f>IF(AND(A1657="",B1657="",D1657="",G1657=""),"",IF(AND(A1657&lt;&gt;"",COUNTIF($A$2:$A$5001,A1657)&gt;1),"NUMERO_PC duplicado",IF(B1657="","DATA_PC vazia",IF(NOT(ISNUMBER(B1657)),"DATA_PC invalida",IF(OR(C1657="",C1657="Fora dos ciclos"),"CICLO_PC nao identificado",IF(OR(D1657="",D1657=0),"VALOR_PC vazio ou zero",IF(AND(G1657&lt;&gt;"Sim",G1657&lt;&gt;"Nao",G1657&lt;&gt;""),"PC_PAGO_A_CONTRATADA invalido",IF(AND(C1657&lt;&gt;"C0",IFERROR(INDEX(parametros!$A$2:$A$6,MATCH(C1657,parametros!$B$2:$B$6,0)),"")="Sim",IFERROR(INDEX(parametros!$H$2:$H$6,MATCH(C1657,parametros!$B$2:$B$6,0)),"")=""),"INICIO_EFEITO ausente: PC "&amp;A1657&amp;" - "&amp;C1657,IF(L1657="","EFEITO_PC nao calculado: PC "&amp;A1657&amp;" - "&amp;C1657,"OK")))))))))</f>
        <v/>
      </c>
      <c r="L1657" s="92" t="str">
        <f>IF(AND(A1657="",B1657="",D1657="",G1657=""),"",IF(OR(B1657="",NOT(ISNUMBER(B1657)),C1657="",C1657="Fora dos ciclos"),"",IF(C1657="C0","Nao",IF(IFERROR(INDEX(parametros!$A$2:$A$6,MATCH(C1657,parametros!$B$2:$B$6,0)),"")&lt;&gt;"Sim","Nao",IF(IFERROR(INDEX(parametros!$H$2:$H$6,MATCH(C1657,parametros!$B$2:$B$6,0)),"")="","",IF(B1657&gt;=IFERROR(INDEX(parametros!$H$2:$H$6,MATCH(C1657,parametros!$B$2:$B$6,0)),""),"Sim","Nao"))))))</f>
        <v/>
      </c>
      <c r="T1657" s="156"/>
      <c r="U1657" s="214" t="str">
        <f t="shared" si="131"/>
        <v/>
      </c>
      <c r="V1657" s="212" t="s">
        <v>50</v>
      </c>
      <c r="W1657" s="100" t="s">
        <v>168</v>
      </c>
      <c r="X1657" s="100" t="s">
        <v>169</v>
      </c>
      <c r="Y1657" s="101" t="s">
        <v>170</v>
      </c>
      <c r="Z1657" s="101" t="s">
        <v>171</v>
      </c>
      <c r="AA1657" s="101" t="s">
        <v>50</v>
      </c>
      <c r="AB1657" s="101" t="s">
        <v>172</v>
      </c>
      <c r="AC1657" s="102" t="s">
        <v>173</v>
      </c>
    </row>
    <row r="1658" spans="1:29" ht="25.5" customHeight="1" x14ac:dyDescent="0.35">
      <c r="A1658" s="392"/>
      <c r="B1658" s="393"/>
      <c r="C1658" s="99" t="str">
        <f>IF(B1658="","",IF(NOT(ISNUMBER(B1658)),"DATA_PC invalida",IF(NOT(ISNUMBER(parametros!$C$2)),"Fora dos ciclos",IF(OR(B1658&lt;parametros!$C$2,(YEAR(B1658)-YEAR(parametros!$C$2))*12+MONTH(B1658)-MONTH(parametros!$C$2)&gt;59),"Fora dos ciclos","C"&amp;INT(((YEAR(B1658)-YEAR(parametros!$C$2))*12+MONTH(B1658)-MONTH(parametros!$C$2))/12)))))</f>
        <v/>
      </c>
      <c r="D1658" s="394"/>
      <c r="E1658" s="78" t="str">
        <f>IF(C1658="","",IFERROR(VLOOKUP(C1658,parametros!$A$11:$E$15,5,0),""))</f>
        <v/>
      </c>
      <c r="F1658" s="79" t="str">
        <f t="shared" si="127"/>
        <v/>
      </c>
      <c r="G1658" s="395"/>
      <c r="H1658" s="91">
        <f t="shared" si="128"/>
        <v>0</v>
      </c>
      <c r="I1658" s="91" t="str">
        <f t="shared" si="129"/>
        <v/>
      </c>
      <c r="J1658" s="91" t="str">
        <f t="shared" si="130"/>
        <v/>
      </c>
      <c r="K1658" s="92" t="str">
        <f>IF(AND(A1658="",B1658="",D1658="",G1658=""),"",IF(AND(A1658&lt;&gt;"",COUNTIF($A$2:$A$5001,A1658)&gt;1),"NUMERO_PC duplicado",IF(B1658="","DATA_PC vazia",IF(NOT(ISNUMBER(B1658)),"DATA_PC invalida",IF(OR(C1658="",C1658="Fora dos ciclos"),"CICLO_PC nao identificado",IF(OR(D1658="",D1658=0),"VALOR_PC vazio ou zero",IF(AND(G1658&lt;&gt;"Sim",G1658&lt;&gt;"Nao",G1658&lt;&gt;""),"PC_PAGO_A_CONTRATADA invalido",IF(AND(C1658&lt;&gt;"C0",IFERROR(INDEX(parametros!$A$2:$A$6,MATCH(C1658,parametros!$B$2:$B$6,0)),"")="Sim",IFERROR(INDEX(parametros!$H$2:$H$6,MATCH(C1658,parametros!$B$2:$B$6,0)),"")=""),"INICIO_EFEITO ausente: PC "&amp;A1658&amp;" - "&amp;C1658,IF(L1658="","EFEITO_PC nao calculado: PC "&amp;A1658&amp;" - "&amp;C1658,"OK")))))))))</f>
        <v/>
      </c>
      <c r="L1658" s="92" t="str">
        <f>IF(AND(A1658="",B1658="",D1658="",G1658=""),"",IF(OR(B1658="",NOT(ISNUMBER(B1658)),C1658="",C1658="Fora dos ciclos"),"",IF(C1658="C0","Nao",IF(IFERROR(INDEX(parametros!$A$2:$A$6,MATCH(C1658,parametros!$B$2:$B$6,0)),"")&lt;&gt;"Sim","Nao",IF(IFERROR(INDEX(parametros!$H$2:$H$6,MATCH(C1658,parametros!$B$2:$B$6,0)),"")="","",IF(B1658&gt;=IFERROR(INDEX(parametros!$H$2:$H$6,MATCH(C1658,parametros!$B$2:$B$6,0)),""),"Sim","Nao"))))))</f>
        <v/>
      </c>
      <c r="T1658" s="156"/>
      <c r="U1658" s="214" t="str">
        <f t="shared" si="131"/>
        <v/>
      </c>
      <c r="V1658" s="212" t="s">
        <v>50</v>
      </c>
      <c r="W1658" s="100" t="s">
        <v>168</v>
      </c>
      <c r="X1658" s="100" t="s">
        <v>169</v>
      </c>
      <c r="Y1658" s="101" t="s">
        <v>170</v>
      </c>
      <c r="Z1658" s="101" t="s">
        <v>171</v>
      </c>
      <c r="AA1658" s="101" t="s">
        <v>50</v>
      </c>
      <c r="AB1658" s="101" t="s">
        <v>172</v>
      </c>
      <c r="AC1658" s="102" t="s">
        <v>173</v>
      </c>
    </row>
    <row r="1659" spans="1:29" ht="25.5" customHeight="1" x14ac:dyDescent="0.35">
      <c r="A1659" s="392"/>
      <c r="B1659" s="393"/>
      <c r="C1659" s="99" t="str">
        <f>IF(B1659="","",IF(NOT(ISNUMBER(B1659)),"DATA_PC invalida",IF(NOT(ISNUMBER(parametros!$C$2)),"Fora dos ciclos",IF(OR(B1659&lt;parametros!$C$2,(YEAR(B1659)-YEAR(parametros!$C$2))*12+MONTH(B1659)-MONTH(parametros!$C$2)&gt;59),"Fora dos ciclos","C"&amp;INT(((YEAR(B1659)-YEAR(parametros!$C$2))*12+MONTH(B1659)-MONTH(parametros!$C$2))/12)))))</f>
        <v/>
      </c>
      <c r="D1659" s="394"/>
      <c r="E1659" s="78" t="str">
        <f>IF(C1659="","",IFERROR(VLOOKUP(C1659,parametros!$A$11:$E$15,5,0),""))</f>
        <v/>
      </c>
      <c r="F1659" s="79" t="str">
        <f t="shared" si="127"/>
        <v/>
      </c>
      <c r="G1659" s="395"/>
      <c r="H1659" s="91">
        <f t="shared" si="128"/>
        <v>0</v>
      </c>
      <c r="I1659" s="91" t="str">
        <f t="shared" si="129"/>
        <v/>
      </c>
      <c r="J1659" s="91" t="str">
        <f t="shared" si="130"/>
        <v/>
      </c>
      <c r="K1659" s="92" t="str">
        <f>IF(AND(A1659="",B1659="",D1659="",G1659=""),"",IF(AND(A1659&lt;&gt;"",COUNTIF($A$2:$A$5001,A1659)&gt;1),"NUMERO_PC duplicado",IF(B1659="","DATA_PC vazia",IF(NOT(ISNUMBER(B1659)),"DATA_PC invalida",IF(OR(C1659="",C1659="Fora dos ciclos"),"CICLO_PC nao identificado",IF(OR(D1659="",D1659=0),"VALOR_PC vazio ou zero",IF(AND(G1659&lt;&gt;"Sim",G1659&lt;&gt;"Nao",G1659&lt;&gt;""),"PC_PAGO_A_CONTRATADA invalido",IF(AND(C1659&lt;&gt;"C0",IFERROR(INDEX(parametros!$A$2:$A$6,MATCH(C1659,parametros!$B$2:$B$6,0)),"")="Sim",IFERROR(INDEX(parametros!$H$2:$H$6,MATCH(C1659,parametros!$B$2:$B$6,0)),"")=""),"INICIO_EFEITO ausente: PC "&amp;A1659&amp;" - "&amp;C1659,IF(L1659="","EFEITO_PC nao calculado: PC "&amp;A1659&amp;" - "&amp;C1659,"OK")))))))))</f>
        <v/>
      </c>
      <c r="L1659" s="92" t="str">
        <f>IF(AND(A1659="",B1659="",D1659="",G1659=""),"",IF(OR(B1659="",NOT(ISNUMBER(B1659)),C1659="",C1659="Fora dos ciclos"),"",IF(C1659="C0","Nao",IF(IFERROR(INDEX(parametros!$A$2:$A$6,MATCH(C1659,parametros!$B$2:$B$6,0)),"")&lt;&gt;"Sim","Nao",IF(IFERROR(INDEX(parametros!$H$2:$H$6,MATCH(C1659,parametros!$B$2:$B$6,0)),"")="","",IF(B1659&gt;=IFERROR(INDEX(parametros!$H$2:$H$6,MATCH(C1659,parametros!$B$2:$B$6,0)),""),"Sim","Nao"))))))</f>
        <v/>
      </c>
      <c r="T1659" s="156"/>
      <c r="U1659" s="214" t="str">
        <f t="shared" si="131"/>
        <v/>
      </c>
      <c r="V1659" s="212" t="s">
        <v>50</v>
      </c>
      <c r="W1659" s="100" t="s">
        <v>168</v>
      </c>
      <c r="X1659" s="100" t="s">
        <v>169</v>
      </c>
      <c r="Y1659" s="101" t="s">
        <v>170</v>
      </c>
      <c r="Z1659" s="101" t="s">
        <v>171</v>
      </c>
      <c r="AA1659" s="101" t="s">
        <v>50</v>
      </c>
      <c r="AB1659" s="101" t="s">
        <v>172</v>
      </c>
      <c r="AC1659" s="102" t="s">
        <v>173</v>
      </c>
    </row>
    <row r="1660" spans="1:29" ht="25.5" customHeight="1" x14ac:dyDescent="0.35">
      <c r="A1660" s="392"/>
      <c r="B1660" s="393"/>
      <c r="C1660" s="99" t="str">
        <f>IF(B1660="","",IF(NOT(ISNUMBER(B1660)),"DATA_PC invalida",IF(NOT(ISNUMBER(parametros!$C$2)),"Fora dos ciclos",IF(OR(B1660&lt;parametros!$C$2,(YEAR(B1660)-YEAR(parametros!$C$2))*12+MONTH(B1660)-MONTH(parametros!$C$2)&gt;59),"Fora dos ciclos","C"&amp;INT(((YEAR(B1660)-YEAR(parametros!$C$2))*12+MONTH(B1660)-MONTH(parametros!$C$2))/12)))))</f>
        <v/>
      </c>
      <c r="D1660" s="394"/>
      <c r="E1660" s="78" t="str">
        <f>IF(C1660="","",IFERROR(VLOOKUP(C1660,parametros!$A$11:$E$15,5,0),""))</f>
        <v/>
      </c>
      <c r="F1660" s="79" t="str">
        <f t="shared" si="127"/>
        <v/>
      </c>
      <c r="G1660" s="395"/>
      <c r="H1660" s="91">
        <f t="shared" si="128"/>
        <v>0</v>
      </c>
      <c r="I1660" s="91" t="str">
        <f t="shared" si="129"/>
        <v/>
      </c>
      <c r="J1660" s="91" t="str">
        <f t="shared" si="130"/>
        <v/>
      </c>
      <c r="K1660" s="92" t="str">
        <f>IF(AND(A1660="",B1660="",D1660="",G1660=""),"",IF(AND(A1660&lt;&gt;"",COUNTIF($A$2:$A$5001,A1660)&gt;1),"NUMERO_PC duplicado",IF(B1660="","DATA_PC vazia",IF(NOT(ISNUMBER(B1660)),"DATA_PC invalida",IF(OR(C1660="",C1660="Fora dos ciclos"),"CICLO_PC nao identificado",IF(OR(D1660="",D1660=0),"VALOR_PC vazio ou zero",IF(AND(G1660&lt;&gt;"Sim",G1660&lt;&gt;"Nao",G1660&lt;&gt;""),"PC_PAGO_A_CONTRATADA invalido",IF(AND(C1660&lt;&gt;"C0",IFERROR(INDEX(parametros!$A$2:$A$6,MATCH(C1660,parametros!$B$2:$B$6,0)),"")="Sim",IFERROR(INDEX(parametros!$H$2:$H$6,MATCH(C1660,parametros!$B$2:$B$6,0)),"")=""),"INICIO_EFEITO ausente: PC "&amp;A1660&amp;" - "&amp;C1660,IF(L1660="","EFEITO_PC nao calculado: PC "&amp;A1660&amp;" - "&amp;C1660,"OK")))))))))</f>
        <v/>
      </c>
      <c r="L1660" s="92" t="str">
        <f>IF(AND(A1660="",B1660="",D1660="",G1660=""),"",IF(OR(B1660="",NOT(ISNUMBER(B1660)),C1660="",C1660="Fora dos ciclos"),"",IF(C1660="C0","Nao",IF(IFERROR(INDEX(parametros!$A$2:$A$6,MATCH(C1660,parametros!$B$2:$B$6,0)),"")&lt;&gt;"Sim","Nao",IF(IFERROR(INDEX(parametros!$H$2:$H$6,MATCH(C1660,parametros!$B$2:$B$6,0)),"")="","",IF(B1660&gt;=IFERROR(INDEX(parametros!$H$2:$H$6,MATCH(C1660,parametros!$B$2:$B$6,0)),""),"Sim","Nao"))))))</f>
        <v/>
      </c>
      <c r="T1660" s="156"/>
      <c r="U1660" s="214" t="str">
        <f t="shared" si="131"/>
        <v/>
      </c>
      <c r="V1660" s="212" t="s">
        <v>50</v>
      </c>
      <c r="W1660" s="100" t="s">
        <v>168</v>
      </c>
      <c r="X1660" s="100" t="s">
        <v>169</v>
      </c>
      <c r="Y1660" s="101" t="s">
        <v>170</v>
      </c>
      <c r="Z1660" s="101" t="s">
        <v>171</v>
      </c>
      <c r="AA1660" s="101" t="s">
        <v>50</v>
      </c>
      <c r="AB1660" s="101" t="s">
        <v>172</v>
      </c>
      <c r="AC1660" s="102" t="s">
        <v>173</v>
      </c>
    </row>
    <row r="1661" spans="1:29" ht="25.5" customHeight="1" x14ac:dyDescent="0.35">
      <c r="A1661" s="392"/>
      <c r="B1661" s="393"/>
      <c r="C1661" s="99" t="str">
        <f>IF(B1661="","",IF(NOT(ISNUMBER(B1661)),"DATA_PC invalida",IF(NOT(ISNUMBER(parametros!$C$2)),"Fora dos ciclos",IF(OR(B1661&lt;parametros!$C$2,(YEAR(B1661)-YEAR(parametros!$C$2))*12+MONTH(B1661)-MONTH(parametros!$C$2)&gt;59),"Fora dos ciclos","C"&amp;INT(((YEAR(B1661)-YEAR(parametros!$C$2))*12+MONTH(B1661)-MONTH(parametros!$C$2))/12)))))</f>
        <v/>
      </c>
      <c r="D1661" s="394"/>
      <c r="E1661" s="78" t="str">
        <f>IF(C1661="","",IFERROR(VLOOKUP(C1661,parametros!$A$11:$E$15,5,0),""))</f>
        <v/>
      </c>
      <c r="F1661" s="79" t="str">
        <f t="shared" si="127"/>
        <v/>
      </c>
      <c r="G1661" s="395"/>
      <c r="H1661" s="91">
        <f t="shared" si="128"/>
        <v>0</v>
      </c>
      <c r="I1661" s="91" t="str">
        <f t="shared" si="129"/>
        <v/>
      </c>
      <c r="J1661" s="91" t="str">
        <f t="shared" si="130"/>
        <v/>
      </c>
      <c r="K1661" s="92" t="str">
        <f>IF(AND(A1661="",B1661="",D1661="",G1661=""),"",IF(AND(A1661&lt;&gt;"",COUNTIF($A$2:$A$5001,A1661)&gt;1),"NUMERO_PC duplicado",IF(B1661="","DATA_PC vazia",IF(NOT(ISNUMBER(B1661)),"DATA_PC invalida",IF(OR(C1661="",C1661="Fora dos ciclos"),"CICLO_PC nao identificado",IF(OR(D1661="",D1661=0),"VALOR_PC vazio ou zero",IF(AND(G1661&lt;&gt;"Sim",G1661&lt;&gt;"Nao",G1661&lt;&gt;""),"PC_PAGO_A_CONTRATADA invalido",IF(AND(C1661&lt;&gt;"C0",IFERROR(INDEX(parametros!$A$2:$A$6,MATCH(C1661,parametros!$B$2:$B$6,0)),"")="Sim",IFERROR(INDEX(parametros!$H$2:$H$6,MATCH(C1661,parametros!$B$2:$B$6,0)),"")=""),"INICIO_EFEITO ausente: PC "&amp;A1661&amp;" - "&amp;C1661,IF(L1661="","EFEITO_PC nao calculado: PC "&amp;A1661&amp;" - "&amp;C1661,"OK")))))))))</f>
        <v/>
      </c>
      <c r="L1661" s="92" t="str">
        <f>IF(AND(A1661="",B1661="",D1661="",G1661=""),"",IF(OR(B1661="",NOT(ISNUMBER(B1661)),C1661="",C1661="Fora dos ciclos"),"",IF(C1661="C0","Nao",IF(IFERROR(INDEX(parametros!$A$2:$A$6,MATCH(C1661,parametros!$B$2:$B$6,0)),"")&lt;&gt;"Sim","Nao",IF(IFERROR(INDEX(parametros!$H$2:$H$6,MATCH(C1661,parametros!$B$2:$B$6,0)),"")="","",IF(B1661&gt;=IFERROR(INDEX(parametros!$H$2:$H$6,MATCH(C1661,parametros!$B$2:$B$6,0)),""),"Sim","Nao"))))))</f>
        <v/>
      </c>
      <c r="T1661" s="156"/>
      <c r="U1661" s="214" t="str">
        <f t="shared" si="131"/>
        <v/>
      </c>
      <c r="V1661" s="212" t="s">
        <v>50</v>
      </c>
      <c r="W1661" s="100" t="s">
        <v>168</v>
      </c>
      <c r="X1661" s="100" t="s">
        <v>169</v>
      </c>
      <c r="Y1661" s="101" t="s">
        <v>170</v>
      </c>
      <c r="Z1661" s="101" t="s">
        <v>171</v>
      </c>
      <c r="AA1661" s="101" t="s">
        <v>50</v>
      </c>
      <c r="AB1661" s="101" t="s">
        <v>172</v>
      </c>
      <c r="AC1661" s="102" t="s">
        <v>173</v>
      </c>
    </row>
    <row r="1662" spans="1:29" ht="25.5" customHeight="1" x14ac:dyDescent="0.35">
      <c r="A1662" s="392"/>
      <c r="B1662" s="393"/>
      <c r="C1662" s="99" t="str">
        <f>IF(B1662="","",IF(NOT(ISNUMBER(B1662)),"DATA_PC invalida",IF(NOT(ISNUMBER(parametros!$C$2)),"Fora dos ciclos",IF(OR(B1662&lt;parametros!$C$2,(YEAR(B1662)-YEAR(parametros!$C$2))*12+MONTH(B1662)-MONTH(parametros!$C$2)&gt;59),"Fora dos ciclos","C"&amp;INT(((YEAR(B1662)-YEAR(parametros!$C$2))*12+MONTH(B1662)-MONTH(parametros!$C$2))/12)))))</f>
        <v/>
      </c>
      <c r="D1662" s="394"/>
      <c r="E1662" s="78" t="str">
        <f>IF(C1662="","",IFERROR(VLOOKUP(C1662,parametros!$A$11:$E$15,5,0),""))</f>
        <v/>
      </c>
      <c r="F1662" s="79" t="str">
        <f t="shared" si="127"/>
        <v/>
      </c>
      <c r="G1662" s="395"/>
      <c r="H1662" s="91">
        <f t="shared" si="128"/>
        <v>0</v>
      </c>
      <c r="I1662" s="91" t="str">
        <f t="shared" si="129"/>
        <v/>
      </c>
      <c r="J1662" s="91" t="str">
        <f t="shared" si="130"/>
        <v/>
      </c>
      <c r="K1662" s="92" t="str">
        <f>IF(AND(A1662="",B1662="",D1662="",G1662=""),"",IF(AND(A1662&lt;&gt;"",COUNTIF($A$2:$A$5001,A1662)&gt;1),"NUMERO_PC duplicado",IF(B1662="","DATA_PC vazia",IF(NOT(ISNUMBER(B1662)),"DATA_PC invalida",IF(OR(C1662="",C1662="Fora dos ciclos"),"CICLO_PC nao identificado",IF(OR(D1662="",D1662=0),"VALOR_PC vazio ou zero",IF(AND(G1662&lt;&gt;"Sim",G1662&lt;&gt;"Nao",G1662&lt;&gt;""),"PC_PAGO_A_CONTRATADA invalido",IF(AND(C1662&lt;&gt;"C0",IFERROR(INDEX(parametros!$A$2:$A$6,MATCH(C1662,parametros!$B$2:$B$6,0)),"")="Sim",IFERROR(INDEX(parametros!$H$2:$H$6,MATCH(C1662,parametros!$B$2:$B$6,0)),"")=""),"INICIO_EFEITO ausente: PC "&amp;A1662&amp;" - "&amp;C1662,IF(L1662="","EFEITO_PC nao calculado: PC "&amp;A1662&amp;" - "&amp;C1662,"OK")))))))))</f>
        <v/>
      </c>
      <c r="L1662" s="92" t="str">
        <f>IF(AND(A1662="",B1662="",D1662="",G1662=""),"",IF(OR(B1662="",NOT(ISNUMBER(B1662)),C1662="",C1662="Fora dos ciclos"),"",IF(C1662="C0","Nao",IF(IFERROR(INDEX(parametros!$A$2:$A$6,MATCH(C1662,parametros!$B$2:$B$6,0)),"")&lt;&gt;"Sim","Nao",IF(IFERROR(INDEX(parametros!$H$2:$H$6,MATCH(C1662,parametros!$B$2:$B$6,0)),"")="","",IF(B1662&gt;=IFERROR(INDEX(parametros!$H$2:$H$6,MATCH(C1662,parametros!$B$2:$B$6,0)),""),"Sim","Nao"))))))</f>
        <v/>
      </c>
      <c r="T1662" s="156"/>
      <c r="U1662" s="214" t="str">
        <f t="shared" si="131"/>
        <v/>
      </c>
      <c r="V1662" s="212" t="s">
        <v>50</v>
      </c>
      <c r="W1662" s="100" t="s">
        <v>168</v>
      </c>
      <c r="X1662" s="100" t="s">
        <v>169</v>
      </c>
      <c r="Y1662" s="101" t="s">
        <v>170</v>
      </c>
      <c r="Z1662" s="101" t="s">
        <v>171</v>
      </c>
      <c r="AA1662" s="101" t="s">
        <v>50</v>
      </c>
      <c r="AB1662" s="101" t="s">
        <v>172</v>
      </c>
      <c r="AC1662" s="102" t="s">
        <v>173</v>
      </c>
    </row>
    <row r="1663" spans="1:29" ht="25.5" customHeight="1" x14ac:dyDescent="0.35">
      <c r="A1663" s="392"/>
      <c r="B1663" s="393"/>
      <c r="C1663" s="99" t="str">
        <f>IF(B1663="","",IF(NOT(ISNUMBER(B1663)),"DATA_PC invalida",IF(NOT(ISNUMBER(parametros!$C$2)),"Fora dos ciclos",IF(OR(B1663&lt;parametros!$C$2,(YEAR(B1663)-YEAR(parametros!$C$2))*12+MONTH(B1663)-MONTH(parametros!$C$2)&gt;59),"Fora dos ciclos","C"&amp;INT(((YEAR(B1663)-YEAR(parametros!$C$2))*12+MONTH(B1663)-MONTH(parametros!$C$2))/12)))))</f>
        <v/>
      </c>
      <c r="D1663" s="394"/>
      <c r="E1663" s="78" t="str">
        <f>IF(C1663="","",IFERROR(VLOOKUP(C1663,parametros!$A$11:$E$15,5,0),""))</f>
        <v/>
      </c>
      <c r="F1663" s="79" t="str">
        <f t="shared" si="127"/>
        <v/>
      </c>
      <c r="G1663" s="395"/>
      <c r="H1663" s="91">
        <f t="shared" si="128"/>
        <v>0</v>
      </c>
      <c r="I1663" s="91" t="str">
        <f t="shared" si="129"/>
        <v/>
      </c>
      <c r="J1663" s="91" t="str">
        <f t="shared" si="130"/>
        <v/>
      </c>
      <c r="K1663" s="92" t="str">
        <f>IF(AND(A1663="",B1663="",D1663="",G1663=""),"",IF(AND(A1663&lt;&gt;"",COUNTIF($A$2:$A$5001,A1663)&gt;1),"NUMERO_PC duplicado",IF(B1663="","DATA_PC vazia",IF(NOT(ISNUMBER(B1663)),"DATA_PC invalida",IF(OR(C1663="",C1663="Fora dos ciclos"),"CICLO_PC nao identificado",IF(OR(D1663="",D1663=0),"VALOR_PC vazio ou zero",IF(AND(G1663&lt;&gt;"Sim",G1663&lt;&gt;"Nao",G1663&lt;&gt;""),"PC_PAGO_A_CONTRATADA invalido",IF(AND(C1663&lt;&gt;"C0",IFERROR(INDEX(parametros!$A$2:$A$6,MATCH(C1663,parametros!$B$2:$B$6,0)),"")="Sim",IFERROR(INDEX(parametros!$H$2:$H$6,MATCH(C1663,parametros!$B$2:$B$6,0)),"")=""),"INICIO_EFEITO ausente: PC "&amp;A1663&amp;" - "&amp;C1663,IF(L1663="","EFEITO_PC nao calculado: PC "&amp;A1663&amp;" - "&amp;C1663,"OK")))))))))</f>
        <v/>
      </c>
      <c r="L1663" s="92" t="str">
        <f>IF(AND(A1663="",B1663="",D1663="",G1663=""),"",IF(OR(B1663="",NOT(ISNUMBER(B1663)),C1663="",C1663="Fora dos ciclos"),"",IF(C1663="C0","Nao",IF(IFERROR(INDEX(parametros!$A$2:$A$6,MATCH(C1663,parametros!$B$2:$B$6,0)),"")&lt;&gt;"Sim","Nao",IF(IFERROR(INDEX(parametros!$H$2:$H$6,MATCH(C1663,parametros!$B$2:$B$6,0)),"")="","",IF(B1663&gt;=IFERROR(INDEX(parametros!$H$2:$H$6,MATCH(C1663,parametros!$B$2:$B$6,0)),""),"Sim","Nao"))))))</f>
        <v/>
      </c>
      <c r="T1663" s="156"/>
      <c r="U1663" s="214" t="str">
        <f t="shared" si="131"/>
        <v/>
      </c>
      <c r="V1663" s="212" t="s">
        <v>50</v>
      </c>
      <c r="W1663" s="100" t="s">
        <v>168</v>
      </c>
      <c r="X1663" s="100" t="s">
        <v>169</v>
      </c>
      <c r="Y1663" s="101" t="s">
        <v>170</v>
      </c>
      <c r="Z1663" s="101" t="s">
        <v>171</v>
      </c>
      <c r="AA1663" s="101" t="s">
        <v>50</v>
      </c>
      <c r="AB1663" s="101" t="s">
        <v>172</v>
      </c>
      <c r="AC1663" s="102" t="s">
        <v>173</v>
      </c>
    </row>
    <row r="1664" spans="1:29" ht="25.5" customHeight="1" x14ac:dyDescent="0.35">
      <c r="A1664" s="392"/>
      <c r="B1664" s="393"/>
      <c r="C1664" s="99" t="str">
        <f>IF(B1664="","",IF(NOT(ISNUMBER(B1664)),"DATA_PC invalida",IF(NOT(ISNUMBER(parametros!$C$2)),"Fora dos ciclos",IF(OR(B1664&lt;parametros!$C$2,(YEAR(B1664)-YEAR(parametros!$C$2))*12+MONTH(B1664)-MONTH(parametros!$C$2)&gt;59),"Fora dos ciclos","C"&amp;INT(((YEAR(B1664)-YEAR(parametros!$C$2))*12+MONTH(B1664)-MONTH(parametros!$C$2))/12)))))</f>
        <v/>
      </c>
      <c r="D1664" s="394"/>
      <c r="E1664" s="78" t="str">
        <f>IF(C1664="","",IFERROR(VLOOKUP(C1664,parametros!$A$11:$E$15,5,0),""))</f>
        <v/>
      </c>
      <c r="F1664" s="79" t="str">
        <f t="shared" si="127"/>
        <v/>
      </c>
      <c r="G1664" s="395"/>
      <c r="H1664" s="91">
        <f t="shared" si="128"/>
        <v>0</v>
      </c>
      <c r="I1664" s="91" t="str">
        <f t="shared" si="129"/>
        <v/>
      </c>
      <c r="J1664" s="91" t="str">
        <f t="shared" si="130"/>
        <v/>
      </c>
      <c r="K1664" s="92" t="str">
        <f>IF(AND(A1664="",B1664="",D1664="",G1664=""),"",IF(AND(A1664&lt;&gt;"",COUNTIF($A$2:$A$5001,A1664)&gt;1),"NUMERO_PC duplicado",IF(B1664="","DATA_PC vazia",IF(NOT(ISNUMBER(B1664)),"DATA_PC invalida",IF(OR(C1664="",C1664="Fora dos ciclos"),"CICLO_PC nao identificado",IF(OR(D1664="",D1664=0),"VALOR_PC vazio ou zero",IF(AND(G1664&lt;&gt;"Sim",G1664&lt;&gt;"Nao",G1664&lt;&gt;""),"PC_PAGO_A_CONTRATADA invalido",IF(AND(C1664&lt;&gt;"C0",IFERROR(INDEX(parametros!$A$2:$A$6,MATCH(C1664,parametros!$B$2:$B$6,0)),"")="Sim",IFERROR(INDEX(parametros!$H$2:$H$6,MATCH(C1664,parametros!$B$2:$B$6,0)),"")=""),"INICIO_EFEITO ausente: PC "&amp;A1664&amp;" - "&amp;C1664,IF(L1664="","EFEITO_PC nao calculado: PC "&amp;A1664&amp;" - "&amp;C1664,"OK")))))))))</f>
        <v/>
      </c>
      <c r="L1664" s="92" t="str">
        <f>IF(AND(A1664="",B1664="",D1664="",G1664=""),"",IF(OR(B1664="",NOT(ISNUMBER(B1664)),C1664="",C1664="Fora dos ciclos"),"",IF(C1664="C0","Nao",IF(IFERROR(INDEX(parametros!$A$2:$A$6,MATCH(C1664,parametros!$B$2:$B$6,0)),"")&lt;&gt;"Sim","Nao",IF(IFERROR(INDEX(parametros!$H$2:$H$6,MATCH(C1664,parametros!$B$2:$B$6,0)),"")="","",IF(B1664&gt;=IFERROR(INDEX(parametros!$H$2:$H$6,MATCH(C1664,parametros!$B$2:$B$6,0)),""),"Sim","Nao"))))))</f>
        <v/>
      </c>
      <c r="T1664" s="156"/>
      <c r="U1664" s="214" t="str">
        <f t="shared" si="131"/>
        <v/>
      </c>
      <c r="V1664" s="212" t="s">
        <v>50</v>
      </c>
      <c r="W1664" s="100" t="s">
        <v>168</v>
      </c>
      <c r="X1664" s="100" t="s">
        <v>169</v>
      </c>
      <c r="Y1664" s="101" t="s">
        <v>170</v>
      </c>
      <c r="Z1664" s="101" t="s">
        <v>171</v>
      </c>
      <c r="AA1664" s="101" t="s">
        <v>50</v>
      </c>
      <c r="AB1664" s="101" t="s">
        <v>172</v>
      </c>
      <c r="AC1664" s="102" t="s">
        <v>173</v>
      </c>
    </row>
    <row r="1665" spans="1:29" ht="25.5" customHeight="1" x14ac:dyDescent="0.35">
      <c r="A1665" s="392"/>
      <c r="B1665" s="393"/>
      <c r="C1665" s="99" t="str">
        <f>IF(B1665="","",IF(NOT(ISNUMBER(B1665)),"DATA_PC invalida",IF(NOT(ISNUMBER(parametros!$C$2)),"Fora dos ciclos",IF(OR(B1665&lt;parametros!$C$2,(YEAR(B1665)-YEAR(parametros!$C$2))*12+MONTH(B1665)-MONTH(parametros!$C$2)&gt;59),"Fora dos ciclos","C"&amp;INT(((YEAR(B1665)-YEAR(parametros!$C$2))*12+MONTH(B1665)-MONTH(parametros!$C$2))/12)))))</f>
        <v/>
      </c>
      <c r="D1665" s="394"/>
      <c r="E1665" s="78" t="str">
        <f>IF(C1665="","",IFERROR(VLOOKUP(C1665,parametros!$A$11:$E$15,5,0),""))</f>
        <v/>
      </c>
      <c r="F1665" s="79" t="str">
        <f t="shared" si="127"/>
        <v/>
      </c>
      <c r="G1665" s="395"/>
      <c r="H1665" s="91">
        <f t="shared" si="128"/>
        <v>0</v>
      </c>
      <c r="I1665" s="91" t="str">
        <f t="shared" si="129"/>
        <v/>
      </c>
      <c r="J1665" s="91" t="str">
        <f t="shared" si="130"/>
        <v/>
      </c>
      <c r="K1665" s="92" t="str">
        <f>IF(AND(A1665="",B1665="",D1665="",G1665=""),"",IF(AND(A1665&lt;&gt;"",COUNTIF($A$2:$A$5001,A1665)&gt;1),"NUMERO_PC duplicado",IF(B1665="","DATA_PC vazia",IF(NOT(ISNUMBER(B1665)),"DATA_PC invalida",IF(OR(C1665="",C1665="Fora dos ciclos"),"CICLO_PC nao identificado",IF(OR(D1665="",D1665=0),"VALOR_PC vazio ou zero",IF(AND(G1665&lt;&gt;"Sim",G1665&lt;&gt;"Nao",G1665&lt;&gt;""),"PC_PAGO_A_CONTRATADA invalido",IF(AND(C1665&lt;&gt;"C0",IFERROR(INDEX(parametros!$A$2:$A$6,MATCH(C1665,parametros!$B$2:$B$6,0)),"")="Sim",IFERROR(INDEX(parametros!$H$2:$H$6,MATCH(C1665,parametros!$B$2:$B$6,0)),"")=""),"INICIO_EFEITO ausente: PC "&amp;A1665&amp;" - "&amp;C1665,IF(L1665="","EFEITO_PC nao calculado: PC "&amp;A1665&amp;" - "&amp;C1665,"OK")))))))))</f>
        <v/>
      </c>
      <c r="L1665" s="92" t="str">
        <f>IF(AND(A1665="",B1665="",D1665="",G1665=""),"",IF(OR(B1665="",NOT(ISNUMBER(B1665)),C1665="",C1665="Fora dos ciclos"),"",IF(C1665="C0","Nao",IF(IFERROR(INDEX(parametros!$A$2:$A$6,MATCH(C1665,parametros!$B$2:$B$6,0)),"")&lt;&gt;"Sim","Nao",IF(IFERROR(INDEX(parametros!$H$2:$H$6,MATCH(C1665,parametros!$B$2:$B$6,0)),"")="","",IF(B1665&gt;=IFERROR(INDEX(parametros!$H$2:$H$6,MATCH(C1665,parametros!$B$2:$B$6,0)),""),"Sim","Nao"))))))</f>
        <v/>
      </c>
      <c r="T1665" s="156"/>
      <c r="U1665" s="214" t="str">
        <f t="shared" si="131"/>
        <v/>
      </c>
      <c r="V1665" s="212" t="s">
        <v>50</v>
      </c>
      <c r="W1665" s="100" t="s">
        <v>168</v>
      </c>
      <c r="X1665" s="100" t="s">
        <v>169</v>
      </c>
      <c r="Y1665" s="101" t="s">
        <v>170</v>
      </c>
      <c r="Z1665" s="101" t="s">
        <v>171</v>
      </c>
      <c r="AA1665" s="101" t="s">
        <v>50</v>
      </c>
      <c r="AB1665" s="101" t="s">
        <v>172</v>
      </c>
      <c r="AC1665" s="102" t="s">
        <v>173</v>
      </c>
    </row>
    <row r="1666" spans="1:29" ht="25.5" customHeight="1" x14ac:dyDescent="0.35">
      <c r="A1666" s="392"/>
      <c r="B1666" s="393"/>
      <c r="C1666" s="99" t="str">
        <f>IF(B1666="","",IF(NOT(ISNUMBER(B1666)),"DATA_PC invalida",IF(NOT(ISNUMBER(parametros!$C$2)),"Fora dos ciclos",IF(OR(B1666&lt;parametros!$C$2,(YEAR(B1666)-YEAR(parametros!$C$2))*12+MONTH(B1666)-MONTH(parametros!$C$2)&gt;59),"Fora dos ciclos","C"&amp;INT(((YEAR(B1666)-YEAR(parametros!$C$2))*12+MONTH(B1666)-MONTH(parametros!$C$2))/12)))))</f>
        <v/>
      </c>
      <c r="D1666" s="394"/>
      <c r="E1666" s="78" t="str">
        <f>IF(C1666="","",IFERROR(VLOOKUP(C1666,parametros!$A$11:$E$15,5,0),""))</f>
        <v/>
      </c>
      <c r="F1666" s="79" t="str">
        <f t="shared" ref="F1666:F1729" si="132">IF(OR(D1666="",E1666=""),"",ROUND(D1666*E1666,2))</f>
        <v/>
      </c>
      <c r="G1666" s="395"/>
      <c r="H1666" s="91">
        <f t="shared" ref="H1666:H1729" si="133">IF(G1666="Sim",IF(OR(F1666="",D1666="",L1666=""),"",IF(L1666="Sim",ROUND(F1666-D1666,2),0)),0)</f>
        <v>0</v>
      </c>
      <c r="I1666" s="91" t="str">
        <f t="shared" ref="I1666:I1729" si="134">IF(G1666="Sim",0,IF(OR(F1666="",L1666=""),"",F1666))</f>
        <v/>
      </c>
      <c r="J1666" s="91" t="str">
        <f t="shared" ref="J1666:J1729" si="135">IF(G1666="Sim",0,IF(OR(F1666="",D1666="",L1666=""),"",IF(L1666="Sim",ROUND(F1666-D1666,2),0)))</f>
        <v/>
      </c>
      <c r="K1666" s="92" t="str">
        <f>IF(AND(A1666="",B1666="",D1666="",G1666=""),"",IF(AND(A1666&lt;&gt;"",COUNTIF($A$2:$A$5001,A1666)&gt;1),"NUMERO_PC duplicado",IF(B1666="","DATA_PC vazia",IF(NOT(ISNUMBER(B1666)),"DATA_PC invalida",IF(OR(C1666="",C1666="Fora dos ciclos"),"CICLO_PC nao identificado",IF(OR(D1666="",D1666=0),"VALOR_PC vazio ou zero",IF(AND(G1666&lt;&gt;"Sim",G1666&lt;&gt;"Nao",G1666&lt;&gt;""),"PC_PAGO_A_CONTRATADA invalido",IF(AND(C1666&lt;&gt;"C0",IFERROR(INDEX(parametros!$A$2:$A$6,MATCH(C1666,parametros!$B$2:$B$6,0)),"")="Sim",IFERROR(INDEX(parametros!$H$2:$H$6,MATCH(C1666,parametros!$B$2:$B$6,0)),"")=""),"INICIO_EFEITO ausente: PC "&amp;A1666&amp;" - "&amp;C1666,IF(L1666="","EFEITO_PC nao calculado: PC "&amp;A1666&amp;" - "&amp;C1666,"OK")))))))))</f>
        <v/>
      </c>
      <c r="L1666" s="92" t="str">
        <f>IF(AND(A1666="",B1666="",D1666="",G1666=""),"",IF(OR(B1666="",NOT(ISNUMBER(B1666)),C1666="",C1666="Fora dos ciclos"),"",IF(C1666="C0","Nao",IF(IFERROR(INDEX(parametros!$A$2:$A$6,MATCH(C1666,parametros!$B$2:$B$6,0)),"")&lt;&gt;"Sim","Nao",IF(IFERROR(INDEX(parametros!$H$2:$H$6,MATCH(C1666,parametros!$B$2:$B$6,0)),"")="","",IF(B1666&gt;=IFERROR(INDEX(parametros!$H$2:$H$6,MATCH(C1666,parametros!$B$2:$B$6,0)),""),"Sim","Nao"))))))</f>
        <v/>
      </c>
      <c r="T1666" s="156"/>
      <c r="U1666" s="214" t="str">
        <f t="shared" ref="U1666:U1729" si="136">IF(OR($D1666="",$H1666=""),"",ROUND($D1666+$H1666,2))</f>
        <v/>
      </c>
      <c r="V1666" s="212" t="s">
        <v>50</v>
      </c>
      <c r="W1666" s="100" t="s">
        <v>168</v>
      </c>
      <c r="X1666" s="100" t="s">
        <v>169</v>
      </c>
      <c r="Y1666" s="101" t="s">
        <v>170</v>
      </c>
      <c r="Z1666" s="101" t="s">
        <v>171</v>
      </c>
      <c r="AA1666" s="101" t="s">
        <v>50</v>
      </c>
      <c r="AB1666" s="101" t="s">
        <v>172</v>
      </c>
      <c r="AC1666" s="102" t="s">
        <v>173</v>
      </c>
    </row>
    <row r="1667" spans="1:29" ht="25.5" customHeight="1" x14ac:dyDescent="0.35">
      <c r="A1667" s="392"/>
      <c r="B1667" s="393"/>
      <c r="C1667" s="99" t="str">
        <f>IF(B1667="","",IF(NOT(ISNUMBER(B1667)),"DATA_PC invalida",IF(NOT(ISNUMBER(parametros!$C$2)),"Fora dos ciclos",IF(OR(B1667&lt;parametros!$C$2,(YEAR(B1667)-YEAR(parametros!$C$2))*12+MONTH(B1667)-MONTH(parametros!$C$2)&gt;59),"Fora dos ciclos","C"&amp;INT(((YEAR(B1667)-YEAR(parametros!$C$2))*12+MONTH(B1667)-MONTH(parametros!$C$2))/12)))))</f>
        <v/>
      </c>
      <c r="D1667" s="394"/>
      <c r="E1667" s="78" t="str">
        <f>IF(C1667="","",IFERROR(VLOOKUP(C1667,parametros!$A$11:$E$15,5,0),""))</f>
        <v/>
      </c>
      <c r="F1667" s="79" t="str">
        <f t="shared" si="132"/>
        <v/>
      </c>
      <c r="G1667" s="395"/>
      <c r="H1667" s="91">
        <f t="shared" si="133"/>
        <v>0</v>
      </c>
      <c r="I1667" s="91" t="str">
        <f t="shared" si="134"/>
        <v/>
      </c>
      <c r="J1667" s="91" t="str">
        <f t="shared" si="135"/>
        <v/>
      </c>
      <c r="K1667" s="92" t="str">
        <f>IF(AND(A1667="",B1667="",D1667="",G1667=""),"",IF(AND(A1667&lt;&gt;"",COUNTIF($A$2:$A$5001,A1667)&gt;1),"NUMERO_PC duplicado",IF(B1667="","DATA_PC vazia",IF(NOT(ISNUMBER(B1667)),"DATA_PC invalida",IF(OR(C1667="",C1667="Fora dos ciclos"),"CICLO_PC nao identificado",IF(OR(D1667="",D1667=0),"VALOR_PC vazio ou zero",IF(AND(G1667&lt;&gt;"Sim",G1667&lt;&gt;"Nao",G1667&lt;&gt;""),"PC_PAGO_A_CONTRATADA invalido",IF(AND(C1667&lt;&gt;"C0",IFERROR(INDEX(parametros!$A$2:$A$6,MATCH(C1667,parametros!$B$2:$B$6,0)),"")="Sim",IFERROR(INDEX(parametros!$H$2:$H$6,MATCH(C1667,parametros!$B$2:$B$6,0)),"")=""),"INICIO_EFEITO ausente: PC "&amp;A1667&amp;" - "&amp;C1667,IF(L1667="","EFEITO_PC nao calculado: PC "&amp;A1667&amp;" - "&amp;C1667,"OK")))))))))</f>
        <v/>
      </c>
      <c r="L1667" s="92" t="str">
        <f>IF(AND(A1667="",B1667="",D1667="",G1667=""),"",IF(OR(B1667="",NOT(ISNUMBER(B1667)),C1667="",C1667="Fora dos ciclos"),"",IF(C1667="C0","Nao",IF(IFERROR(INDEX(parametros!$A$2:$A$6,MATCH(C1667,parametros!$B$2:$B$6,0)),"")&lt;&gt;"Sim","Nao",IF(IFERROR(INDEX(parametros!$H$2:$H$6,MATCH(C1667,parametros!$B$2:$B$6,0)),"")="","",IF(B1667&gt;=IFERROR(INDEX(parametros!$H$2:$H$6,MATCH(C1667,parametros!$B$2:$B$6,0)),""),"Sim","Nao"))))))</f>
        <v/>
      </c>
      <c r="T1667" s="156"/>
      <c r="U1667" s="214" t="str">
        <f t="shared" si="136"/>
        <v/>
      </c>
      <c r="V1667" s="212" t="s">
        <v>50</v>
      </c>
      <c r="W1667" s="100" t="s">
        <v>168</v>
      </c>
      <c r="X1667" s="100" t="s">
        <v>169</v>
      </c>
      <c r="Y1667" s="101" t="s">
        <v>170</v>
      </c>
      <c r="Z1667" s="101" t="s">
        <v>171</v>
      </c>
      <c r="AA1667" s="101" t="s">
        <v>50</v>
      </c>
      <c r="AB1667" s="101" t="s">
        <v>172</v>
      </c>
      <c r="AC1667" s="102" t="s">
        <v>173</v>
      </c>
    </row>
    <row r="1668" spans="1:29" ht="25.5" customHeight="1" x14ac:dyDescent="0.35">
      <c r="A1668" s="392"/>
      <c r="B1668" s="393"/>
      <c r="C1668" s="99" t="str">
        <f>IF(B1668="","",IF(NOT(ISNUMBER(B1668)),"DATA_PC invalida",IF(NOT(ISNUMBER(parametros!$C$2)),"Fora dos ciclos",IF(OR(B1668&lt;parametros!$C$2,(YEAR(B1668)-YEAR(parametros!$C$2))*12+MONTH(B1668)-MONTH(parametros!$C$2)&gt;59),"Fora dos ciclos","C"&amp;INT(((YEAR(B1668)-YEAR(parametros!$C$2))*12+MONTH(B1668)-MONTH(parametros!$C$2))/12)))))</f>
        <v/>
      </c>
      <c r="D1668" s="394"/>
      <c r="E1668" s="78" t="str">
        <f>IF(C1668="","",IFERROR(VLOOKUP(C1668,parametros!$A$11:$E$15,5,0),""))</f>
        <v/>
      </c>
      <c r="F1668" s="79" t="str">
        <f t="shared" si="132"/>
        <v/>
      </c>
      <c r="G1668" s="395"/>
      <c r="H1668" s="91">
        <f t="shared" si="133"/>
        <v>0</v>
      </c>
      <c r="I1668" s="91" t="str">
        <f t="shared" si="134"/>
        <v/>
      </c>
      <c r="J1668" s="91" t="str">
        <f t="shared" si="135"/>
        <v/>
      </c>
      <c r="K1668" s="92" t="str">
        <f>IF(AND(A1668="",B1668="",D1668="",G1668=""),"",IF(AND(A1668&lt;&gt;"",COUNTIF($A$2:$A$5001,A1668)&gt;1),"NUMERO_PC duplicado",IF(B1668="","DATA_PC vazia",IF(NOT(ISNUMBER(B1668)),"DATA_PC invalida",IF(OR(C1668="",C1668="Fora dos ciclos"),"CICLO_PC nao identificado",IF(OR(D1668="",D1668=0),"VALOR_PC vazio ou zero",IF(AND(G1668&lt;&gt;"Sim",G1668&lt;&gt;"Nao",G1668&lt;&gt;""),"PC_PAGO_A_CONTRATADA invalido",IF(AND(C1668&lt;&gt;"C0",IFERROR(INDEX(parametros!$A$2:$A$6,MATCH(C1668,parametros!$B$2:$B$6,0)),"")="Sim",IFERROR(INDEX(parametros!$H$2:$H$6,MATCH(C1668,parametros!$B$2:$B$6,0)),"")=""),"INICIO_EFEITO ausente: PC "&amp;A1668&amp;" - "&amp;C1668,IF(L1668="","EFEITO_PC nao calculado: PC "&amp;A1668&amp;" - "&amp;C1668,"OK")))))))))</f>
        <v/>
      </c>
      <c r="L1668" s="92" t="str">
        <f>IF(AND(A1668="",B1668="",D1668="",G1668=""),"",IF(OR(B1668="",NOT(ISNUMBER(B1668)),C1668="",C1668="Fora dos ciclos"),"",IF(C1668="C0","Nao",IF(IFERROR(INDEX(parametros!$A$2:$A$6,MATCH(C1668,parametros!$B$2:$B$6,0)),"")&lt;&gt;"Sim","Nao",IF(IFERROR(INDEX(parametros!$H$2:$H$6,MATCH(C1668,parametros!$B$2:$B$6,0)),"")="","",IF(B1668&gt;=IFERROR(INDEX(parametros!$H$2:$H$6,MATCH(C1668,parametros!$B$2:$B$6,0)),""),"Sim","Nao"))))))</f>
        <v/>
      </c>
      <c r="T1668" s="156"/>
      <c r="U1668" s="214" t="str">
        <f t="shared" si="136"/>
        <v/>
      </c>
      <c r="V1668" s="212" t="s">
        <v>50</v>
      </c>
      <c r="W1668" s="100" t="s">
        <v>168</v>
      </c>
      <c r="X1668" s="100" t="s">
        <v>169</v>
      </c>
      <c r="Y1668" s="101" t="s">
        <v>170</v>
      </c>
      <c r="Z1668" s="101" t="s">
        <v>171</v>
      </c>
      <c r="AA1668" s="101" t="s">
        <v>50</v>
      </c>
      <c r="AB1668" s="101" t="s">
        <v>172</v>
      </c>
      <c r="AC1668" s="102" t="s">
        <v>173</v>
      </c>
    </row>
    <row r="1669" spans="1:29" ht="25.5" customHeight="1" x14ac:dyDescent="0.35">
      <c r="A1669" s="392"/>
      <c r="B1669" s="393"/>
      <c r="C1669" s="99" t="str">
        <f>IF(B1669="","",IF(NOT(ISNUMBER(B1669)),"DATA_PC invalida",IF(NOT(ISNUMBER(parametros!$C$2)),"Fora dos ciclos",IF(OR(B1669&lt;parametros!$C$2,(YEAR(B1669)-YEAR(parametros!$C$2))*12+MONTH(B1669)-MONTH(parametros!$C$2)&gt;59),"Fora dos ciclos","C"&amp;INT(((YEAR(B1669)-YEAR(parametros!$C$2))*12+MONTH(B1669)-MONTH(parametros!$C$2))/12)))))</f>
        <v/>
      </c>
      <c r="D1669" s="394"/>
      <c r="E1669" s="78" t="str">
        <f>IF(C1669="","",IFERROR(VLOOKUP(C1669,parametros!$A$11:$E$15,5,0),""))</f>
        <v/>
      </c>
      <c r="F1669" s="79" t="str">
        <f t="shared" si="132"/>
        <v/>
      </c>
      <c r="G1669" s="395"/>
      <c r="H1669" s="91">
        <f t="shared" si="133"/>
        <v>0</v>
      </c>
      <c r="I1669" s="91" t="str">
        <f t="shared" si="134"/>
        <v/>
      </c>
      <c r="J1669" s="91" t="str">
        <f t="shared" si="135"/>
        <v/>
      </c>
      <c r="K1669" s="92" t="str">
        <f>IF(AND(A1669="",B1669="",D1669="",G1669=""),"",IF(AND(A1669&lt;&gt;"",COUNTIF($A$2:$A$5001,A1669)&gt;1),"NUMERO_PC duplicado",IF(B1669="","DATA_PC vazia",IF(NOT(ISNUMBER(B1669)),"DATA_PC invalida",IF(OR(C1669="",C1669="Fora dos ciclos"),"CICLO_PC nao identificado",IF(OR(D1669="",D1669=0),"VALOR_PC vazio ou zero",IF(AND(G1669&lt;&gt;"Sim",G1669&lt;&gt;"Nao",G1669&lt;&gt;""),"PC_PAGO_A_CONTRATADA invalido",IF(AND(C1669&lt;&gt;"C0",IFERROR(INDEX(parametros!$A$2:$A$6,MATCH(C1669,parametros!$B$2:$B$6,0)),"")="Sim",IFERROR(INDEX(parametros!$H$2:$H$6,MATCH(C1669,parametros!$B$2:$B$6,0)),"")=""),"INICIO_EFEITO ausente: PC "&amp;A1669&amp;" - "&amp;C1669,IF(L1669="","EFEITO_PC nao calculado: PC "&amp;A1669&amp;" - "&amp;C1669,"OK")))))))))</f>
        <v/>
      </c>
      <c r="L1669" s="92" t="str">
        <f>IF(AND(A1669="",B1669="",D1669="",G1669=""),"",IF(OR(B1669="",NOT(ISNUMBER(B1669)),C1669="",C1669="Fora dos ciclos"),"",IF(C1669="C0","Nao",IF(IFERROR(INDEX(parametros!$A$2:$A$6,MATCH(C1669,parametros!$B$2:$B$6,0)),"")&lt;&gt;"Sim","Nao",IF(IFERROR(INDEX(parametros!$H$2:$H$6,MATCH(C1669,parametros!$B$2:$B$6,0)),"")="","",IF(B1669&gt;=IFERROR(INDEX(parametros!$H$2:$H$6,MATCH(C1669,parametros!$B$2:$B$6,0)),""),"Sim","Nao"))))))</f>
        <v/>
      </c>
      <c r="T1669" s="156"/>
      <c r="U1669" s="214" t="str">
        <f t="shared" si="136"/>
        <v/>
      </c>
      <c r="V1669" s="212" t="s">
        <v>50</v>
      </c>
      <c r="W1669" s="100" t="s">
        <v>168</v>
      </c>
      <c r="X1669" s="100" t="s">
        <v>169</v>
      </c>
      <c r="Y1669" s="101" t="s">
        <v>170</v>
      </c>
      <c r="Z1669" s="101" t="s">
        <v>171</v>
      </c>
      <c r="AA1669" s="101" t="s">
        <v>50</v>
      </c>
      <c r="AB1669" s="101" t="s">
        <v>172</v>
      </c>
      <c r="AC1669" s="102" t="s">
        <v>173</v>
      </c>
    </row>
    <row r="1670" spans="1:29" ht="25.5" customHeight="1" x14ac:dyDescent="0.35">
      <c r="A1670" s="392"/>
      <c r="B1670" s="393"/>
      <c r="C1670" s="99" t="str">
        <f>IF(B1670="","",IF(NOT(ISNUMBER(B1670)),"DATA_PC invalida",IF(NOT(ISNUMBER(parametros!$C$2)),"Fora dos ciclos",IF(OR(B1670&lt;parametros!$C$2,(YEAR(B1670)-YEAR(parametros!$C$2))*12+MONTH(B1670)-MONTH(parametros!$C$2)&gt;59),"Fora dos ciclos","C"&amp;INT(((YEAR(B1670)-YEAR(parametros!$C$2))*12+MONTH(B1670)-MONTH(parametros!$C$2))/12)))))</f>
        <v/>
      </c>
      <c r="D1670" s="394"/>
      <c r="E1670" s="78" t="str">
        <f>IF(C1670="","",IFERROR(VLOOKUP(C1670,parametros!$A$11:$E$15,5,0),""))</f>
        <v/>
      </c>
      <c r="F1670" s="79" t="str">
        <f t="shared" si="132"/>
        <v/>
      </c>
      <c r="G1670" s="395"/>
      <c r="H1670" s="91">
        <f t="shared" si="133"/>
        <v>0</v>
      </c>
      <c r="I1670" s="91" t="str">
        <f t="shared" si="134"/>
        <v/>
      </c>
      <c r="J1670" s="91" t="str">
        <f t="shared" si="135"/>
        <v/>
      </c>
      <c r="K1670" s="92" t="str">
        <f>IF(AND(A1670="",B1670="",D1670="",G1670=""),"",IF(AND(A1670&lt;&gt;"",COUNTIF($A$2:$A$5001,A1670)&gt;1),"NUMERO_PC duplicado",IF(B1670="","DATA_PC vazia",IF(NOT(ISNUMBER(B1670)),"DATA_PC invalida",IF(OR(C1670="",C1670="Fora dos ciclos"),"CICLO_PC nao identificado",IF(OR(D1670="",D1670=0),"VALOR_PC vazio ou zero",IF(AND(G1670&lt;&gt;"Sim",G1670&lt;&gt;"Nao",G1670&lt;&gt;""),"PC_PAGO_A_CONTRATADA invalido",IF(AND(C1670&lt;&gt;"C0",IFERROR(INDEX(parametros!$A$2:$A$6,MATCH(C1670,parametros!$B$2:$B$6,0)),"")="Sim",IFERROR(INDEX(parametros!$H$2:$H$6,MATCH(C1670,parametros!$B$2:$B$6,0)),"")=""),"INICIO_EFEITO ausente: PC "&amp;A1670&amp;" - "&amp;C1670,IF(L1670="","EFEITO_PC nao calculado: PC "&amp;A1670&amp;" - "&amp;C1670,"OK")))))))))</f>
        <v/>
      </c>
      <c r="L1670" s="92" t="str">
        <f>IF(AND(A1670="",B1670="",D1670="",G1670=""),"",IF(OR(B1670="",NOT(ISNUMBER(B1670)),C1670="",C1670="Fora dos ciclos"),"",IF(C1670="C0","Nao",IF(IFERROR(INDEX(parametros!$A$2:$A$6,MATCH(C1670,parametros!$B$2:$B$6,0)),"")&lt;&gt;"Sim","Nao",IF(IFERROR(INDEX(parametros!$H$2:$H$6,MATCH(C1670,parametros!$B$2:$B$6,0)),"")="","",IF(B1670&gt;=IFERROR(INDEX(parametros!$H$2:$H$6,MATCH(C1670,parametros!$B$2:$B$6,0)),""),"Sim","Nao"))))))</f>
        <v/>
      </c>
      <c r="T1670" s="156"/>
      <c r="U1670" s="214" t="str">
        <f t="shared" si="136"/>
        <v/>
      </c>
      <c r="V1670" s="212" t="s">
        <v>50</v>
      </c>
      <c r="W1670" s="100" t="s">
        <v>168</v>
      </c>
      <c r="X1670" s="100" t="s">
        <v>169</v>
      </c>
      <c r="Y1670" s="101" t="s">
        <v>170</v>
      </c>
      <c r="Z1670" s="101" t="s">
        <v>171</v>
      </c>
      <c r="AA1670" s="101" t="s">
        <v>50</v>
      </c>
      <c r="AB1670" s="101" t="s">
        <v>172</v>
      </c>
      <c r="AC1670" s="102" t="s">
        <v>173</v>
      </c>
    </row>
    <row r="1671" spans="1:29" ht="25.5" customHeight="1" x14ac:dyDescent="0.35">
      <c r="A1671" s="392"/>
      <c r="B1671" s="393"/>
      <c r="C1671" s="99" t="str">
        <f>IF(B1671="","",IF(NOT(ISNUMBER(B1671)),"DATA_PC invalida",IF(NOT(ISNUMBER(parametros!$C$2)),"Fora dos ciclos",IF(OR(B1671&lt;parametros!$C$2,(YEAR(B1671)-YEAR(parametros!$C$2))*12+MONTH(B1671)-MONTH(parametros!$C$2)&gt;59),"Fora dos ciclos","C"&amp;INT(((YEAR(B1671)-YEAR(parametros!$C$2))*12+MONTH(B1671)-MONTH(parametros!$C$2))/12)))))</f>
        <v/>
      </c>
      <c r="D1671" s="394"/>
      <c r="E1671" s="78" t="str">
        <f>IF(C1671="","",IFERROR(VLOOKUP(C1671,parametros!$A$11:$E$15,5,0),""))</f>
        <v/>
      </c>
      <c r="F1671" s="79" t="str">
        <f t="shared" si="132"/>
        <v/>
      </c>
      <c r="G1671" s="395"/>
      <c r="H1671" s="91">
        <f t="shared" si="133"/>
        <v>0</v>
      </c>
      <c r="I1671" s="91" t="str">
        <f t="shared" si="134"/>
        <v/>
      </c>
      <c r="J1671" s="91" t="str">
        <f t="shared" si="135"/>
        <v/>
      </c>
      <c r="K1671" s="92" t="str">
        <f>IF(AND(A1671="",B1671="",D1671="",G1671=""),"",IF(AND(A1671&lt;&gt;"",COUNTIF($A$2:$A$5001,A1671)&gt;1),"NUMERO_PC duplicado",IF(B1671="","DATA_PC vazia",IF(NOT(ISNUMBER(B1671)),"DATA_PC invalida",IF(OR(C1671="",C1671="Fora dos ciclos"),"CICLO_PC nao identificado",IF(OR(D1671="",D1671=0),"VALOR_PC vazio ou zero",IF(AND(G1671&lt;&gt;"Sim",G1671&lt;&gt;"Nao",G1671&lt;&gt;""),"PC_PAGO_A_CONTRATADA invalido",IF(AND(C1671&lt;&gt;"C0",IFERROR(INDEX(parametros!$A$2:$A$6,MATCH(C1671,parametros!$B$2:$B$6,0)),"")="Sim",IFERROR(INDEX(parametros!$H$2:$H$6,MATCH(C1671,parametros!$B$2:$B$6,0)),"")=""),"INICIO_EFEITO ausente: PC "&amp;A1671&amp;" - "&amp;C1671,IF(L1671="","EFEITO_PC nao calculado: PC "&amp;A1671&amp;" - "&amp;C1671,"OK")))))))))</f>
        <v/>
      </c>
      <c r="L1671" s="92" t="str">
        <f>IF(AND(A1671="",B1671="",D1671="",G1671=""),"",IF(OR(B1671="",NOT(ISNUMBER(B1671)),C1671="",C1671="Fora dos ciclos"),"",IF(C1671="C0","Nao",IF(IFERROR(INDEX(parametros!$A$2:$A$6,MATCH(C1671,parametros!$B$2:$B$6,0)),"")&lt;&gt;"Sim","Nao",IF(IFERROR(INDEX(parametros!$H$2:$H$6,MATCH(C1671,parametros!$B$2:$B$6,0)),"")="","",IF(B1671&gt;=IFERROR(INDEX(parametros!$H$2:$H$6,MATCH(C1671,parametros!$B$2:$B$6,0)),""),"Sim","Nao"))))))</f>
        <v/>
      </c>
      <c r="T1671" s="156"/>
      <c r="U1671" s="214" t="str">
        <f t="shared" si="136"/>
        <v/>
      </c>
      <c r="V1671" s="212" t="s">
        <v>50</v>
      </c>
      <c r="W1671" s="100" t="s">
        <v>168</v>
      </c>
      <c r="X1671" s="100" t="s">
        <v>169</v>
      </c>
      <c r="Y1671" s="101" t="s">
        <v>170</v>
      </c>
      <c r="Z1671" s="101" t="s">
        <v>171</v>
      </c>
      <c r="AA1671" s="101" t="s">
        <v>50</v>
      </c>
      <c r="AB1671" s="101" t="s">
        <v>172</v>
      </c>
      <c r="AC1671" s="102" t="s">
        <v>173</v>
      </c>
    </row>
    <row r="1672" spans="1:29" ht="25.5" customHeight="1" x14ac:dyDescent="0.35">
      <c r="A1672" s="392"/>
      <c r="B1672" s="393"/>
      <c r="C1672" s="99" t="str">
        <f>IF(B1672="","",IF(NOT(ISNUMBER(B1672)),"DATA_PC invalida",IF(NOT(ISNUMBER(parametros!$C$2)),"Fora dos ciclos",IF(OR(B1672&lt;parametros!$C$2,(YEAR(B1672)-YEAR(parametros!$C$2))*12+MONTH(B1672)-MONTH(parametros!$C$2)&gt;59),"Fora dos ciclos","C"&amp;INT(((YEAR(B1672)-YEAR(parametros!$C$2))*12+MONTH(B1672)-MONTH(parametros!$C$2))/12)))))</f>
        <v/>
      </c>
      <c r="D1672" s="394"/>
      <c r="E1672" s="78" t="str">
        <f>IF(C1672="","",IFERROR(VLOOKUP(C1672,parametros!$A$11:$E$15,5,0),""))</f>
        <v/>
      </c>
      <c r="F1672" s="79" t="str">
        <f t="shared" si="132"/>
        <v/>
      </c>
      <c r="G1672" s="395"/>
      <c r="H1672" s="91">
        <f t="shared" si="133"/>
        <v>0</v>
      </c>
      <c r="I1672" s="91" t="str">
        <f t="shared" si="134"/>
        <v/>
      </c>
      <c r="J1672" s="91" t="str">
        <f t="shared" si="135"/>
        <v/>
      </c>
      <c r="K1672" s="92" t="str">
        <f>IF(AND(A1672="",B1672="",D1672="",G1672=""),"",IF(AND(A1672&lt;&gt;"",COUNTIF($A$2:$A$5001,A1672)&gt;1),"NUMERO_PC duplicado",IF(B1672="","DATA_PC vazia",IF(NOT(ISNUMBER(B1672)),"DATA_PC invalida",IF(OR(C1672="",C1672="Fora dos ciclos"),"CICLO_PC nao identificado",IF(OR(D1672="",D1672=0),"VALOR_PC vazio ou zero",IF(AND(G1672&lt;&gt;"Sim",G1672&lt;&gt;"Nao",G1672&lt;&gt;""),"PC_PAGO_A_CONTRATADA invalido",IF(AND(C1672&lt;&gt;"C0",IFERROR(INDEX(parametros!$A$2:$A$6,MATCH(C1672,parametros!$B$2:$B$6,0)),"")="Sim",IFERROR(INDEX(parametros!$H$2:$H$6,MATCH(C1672,parametros!$B$2:$B$6,0)),"")=""),"INICIO_EFEITO ausente: PC "&amp;A1672&amp;" - "&amp;C1672,IF(L1672="","EFEITO_PC nao calculado: PC "&amp;A1672&amp;" - "&amp;C1672,"OK")))))))))</f>
        <v/>
      </c>
      <c r="L1672" s="92" t="str">
        <f>IF(AND(A1672="",B1672="",D1672="",G1672=""),"",IF(OR(B1672="",NOT(ISNUMBER(B1672)),C1672="",C1672="Fora dos ciclos"),"",IF(C1672="C0","Nao",IF(IFERROR(INDEX(parametros!$A$2:$A$6,MATCH(C1672,parametros!$B$2:$B$6,0)),"")&lt;&gt;"Sim","Nao",IF(IFERROR(INDEX(parametros!$H$2:$H$6,MATCH(C1672,parametros!$B$2:$B$6,0)),"")="","",IF(B1672&gt;=IFERROR(INDEX(parametros!$H$2:$H$6,MATCH(C1672,parametros!$B$2:$B$6,0)),""),"Sim","Nao"))))))</f>
        <v/>
      </c>
      <c r="T1672" s="156"/>
      <c r="U1672" s="214" t="str">
        <f t="shared" si="136"/>
        <v/>
      </c>
      <c r="V1672" s="212" t="s">
        <v>50</v>
      </c>
      <c r="W1672" s="100" t="s">
        <v>168</v>
      </c>
      <c r="X1672" s="100" t="s">
        <v>169</v>
      </c>
      <c r="Y1672" s="101" t="s">
        <v>170</v>
      </c>
      <c r="Z1672" s="101" t="s">
        <v>171</v>
      </c>
      <c r="AA1672" s="101" t="s">
        <v>50</v>
      </c>
      <c r="AB1672" s="101" t="s">
        <v>172</v>
      </c>
      <c r="AC1672" s="102" t="s">
        <v>173</v>
      </c>
    </row>
    <row r="1673" spans="1:29" ht="25.5" customHeight="1" x14ac:dyDescent="0.35">
      <c r="A1673" s="392"/>
      <c r="B1673" s="393"/>
      <c r="C1673" s="99" t="str">
        <f>IF(B1673="","",IF(NOT(ISNUMBER(B1673)),"DATA_PC invalida",IF(NOT(ISNUMBER(parametros!$C$2)),"Fora dos ciclos",IF(OR(B1673&lt;parametros!$C$2,(YEAR(B1673)-YEAR(parametros!$C$2))*12+MONTH(B1673)-MONTH(parametros!$C$2)&gt;59),"Fora dos ciclos","C"&amp;INT(((YEAR(B1673)-YEAR(parametros!$C$2))*12+MONTH(B1673)-MONTH(parametros!$C$2))/12)))))</f>
        <v/>
      </c>
      <c r="D1673" s="394"/>
      <c r="E1673" s="78" t="str">
        <f>IF(C1673="","",IFERROR(VLOOKUP(C1673,parametros!$A$11:$E$15,5,0),""))</f>
        <v/>
      </c>
      <c r="F1673" s="79" t="str">
        <f t="shared" si="132"/>
        <v/>
      </c>
      <c r="G1673" s="395"/>
      <c r="H1673" s="91">
        <f t="shared" si="133"/>
        <v>0</v>
      </c>
      <c r="I1673" s="91" t="str">
        <f t="shared" si="134"/>
        <v/>
      </c>
      <c r="J1673" s="91" t="str">
        <f t="shared" si="135"/>
        <v/>
      </c>
      <c r="K1673" s="92" t="str">
        <f>IF(AND(A1673="",B1673="",D1673="",G1673=""),"",IF(AND(A1673&lt;&gt;"",COUNTIF($A$2:$A$5001,A1673)&gt;1),"NUMERO_PC duplicado",IF(B1673="","DATA_PC vazia",IF(NOT(ISNUMBER(B1673)),"DATA_PC invalida",IF(OR(C1673="",C1673="Fora dos ciclos"),"CICLO_PC nao identificado",IF(OR(D1673="",D1673=0),"VALOR_PC vazio ou zero",IF(AND(G1673&lt;&gt;"Sim",G1673&lt;&gt;"Nao",G1673&lt;&gt;""),"PC_PAGO_A_CONTRATADA invalido",IF(AND(C1673&lt;&gt;"C0",IFERROR(INDEX(parametros!$A$2:$A$6,MATCH(C1673,parametros!$B$2:$B$6,0)),"")="Sim",IFERROR(INDEX(parametros!$H$2:$H$6,MATCH(C1673,parametros!$B$2:$B$6,0)),"")=""),"INICIO_EFEITO ausente: PC "&amp;A1673&amp;" - "&amp;C1673,IF(L1673="","EFEITO_PC nao calculado: PC "&amp;A1673&amp;" - "&amp;C1673,"OK")))))))))</f>
        <v/>
      </c>
      <c r="L1673" s="92" t="str">
        <f>IF(AND(A1673="",B1673="",D1673="",G1673=""),"",IF(OR(B1673="",NOT(ISNUMBER(B1673)),C1673="",C1673="Fora dos ciclos"),"",IF(C1673="C0","Nao",IF(IFERROR(INDEX(parametros!$A$2:$A$6,MATCH(C1673,parametros!$B$2:$B$6,0)),"")&lt;&gt;"Sim","Nao",IF(IFERROR(INDEX(parametros!$H$2:$H$6,MATCH(C1673,parametros!$B$2:$B$6,0)),"")="","",IF(B1673&gt;=IFERROR(INDEX(parametros!$H$2:$H$6,MATCH(C1673,parametros!$B$2:$B$6,0)),""),"Sim","Nao"))))))</f>
        <v/>
      </c>
      <c r="T1673" s="156"/>
      <c r="U1673" s="214" t="str">
        <f t="shared" si="136"/>
        <v/>
      </c>
      <c r="V1673" s="212" t="s">
        <v>50</v>
      </c>
      <c r="W1673" s="100" t="s">
        <v>168</v>
      </c>
      <c r="X1673" s="100" t="s">
        <v>169</v>
      </c>
      <c r="Y1673" s="101" t="s">
        <v>170</v>
      </c>
      <c r="Z1673" s="101" t="s">
        <v>171</v>
      </c>
      <c r="AA1673" s="101" t="s">
        <v>50</v>
      </c>
      <c r="AB1673" s="101" t="s">
        <v>172</v>
      </c>
      <c r="AC1673" s="102" t="s">
        <v>173</v>
      </c>
    </row>
    <row r="1674" spans="1:29" ht="25.5" customHeight="1" x14ac:dyDescent="0.35">
      <c r="A1674" s="392"/>
      <c r="B1674" s="393"/>
      <c r="C1674" s="99" t="str">
        <f>IF(B1674="","",IF(NOT(ISNUMBER(B1674)),"DATA_PC invalida",IF(NOT(ISNUMBER(parametros!$C$2)),"Fora dos ciclos",IF(OR(B1674&lt;parametros!$C$2,(YEAR(B1674)-YEAR(parametros!$C$2))*12+MONTH(B1674)-MONTH(parametros!$C$2)&gt;59),"Fora dos ciclos","C"&amp;INT(((YEAR(B1674)-YEAR(parametros!$C$2))*12+MONTH(B1674)-MONTH(parametros!$C$2))/12)))))</f>
        <v/>
      </c>
      <c r="D1674" s="394"/>
      <c r="E1674" s="78" t="str">
        <f>IF(C1674="","",IFERROR(VLOOKUP(C1674,parametros!$A$11:$E$15,5,0),""))</f>
        <v/>
      </c>
      <c r="F1674" s="79" t="str">
        <f t="shared" si="132"/>
        <v/>
      </c>
      <c r="G1674" s="395"/>
      <c r="H1674" s="91">
        <f t="shared" si="133"/>
        <v>0</v>
      </c>
      <c r="I1674" s="91" t="str">
        <f t="shared" si="134"/>
        <v/>
      </c>
      <c r="J1674" s="91" t="str">
        <f t="shared" si="135"/>
        <v/>
      </c>
      <c r="K1674" s="92" t="str">
        <f>IF(AND(A1674="",B1674="",D1674="",G1674=""),"",IF(AND(A1674&lt;&gt;"",COUNTIF($A$2:$A$5001,A1674)&gt;1),"NUMERO_PC duplicado",IF(B1674="","DATA_PC vazia",IF(NOT(ISNUMBER(B1674)),"DATA_PC invalida",IF(OR(C1674="",C1674="Fora dos ciclos"),"CICLO_PC nao identificado",IF(OR(D1674="",D1674=0),"VALOR_PC vazio ou zero",IF(AND(G1674&lt;&gt;"Sim",G1674&lt;&gt;"Nao",G1674&lt;&gt;""),"PC_PAGO_A_CONTRATADA invalido",IF(AND(C1674&lt;&gt;"C0",IFERROR(INDEX(parametros!$A$2:$A$6,MATCH(C1674,parametros!$B$2:$B$6,0)),"")="Sim",IFERROR(INDEX(parametros!$H$2:$H$6,MATCH(C1674,parametros!$B$2:$B$6,0)),"")=""),"INICIO_EFEITO ausente: PC "&amp;A1674&amp;" - "&amp;C1674,IF(L1674="","EFEITO_PC nao calculado: PC "&amp;A1674&amp;" - "&amp;C1674,"OK")))))))))</f>
        <v/>
      </c>
      <c r="L1674" s="92" t="str">
        <f>IF(AND(A1674="",B1674="",D1674="",G1674=""),"",IF(OR(B1674="",NOT(ISNUMBER(B1674)),C1674="",C1674="Fora dos ciclos"),"",IF(C1674="C0","Nao",IF(IFERROR(INDEX(parametros!$A$2:$A$6,MATCH(C1674,parametros!$B$2:$B$6,0)),"")&lt;&gt;"Sim","Nao",IF(IFERROR(INDEX(parametros!$H$2:$H$6,MATCH(C1674,parametros!$B$2:$B$6,0)),"")="","",IF(B1674&gt;=IFERROR(INDEX(parametros!$H$2:$H$6,MATCH(C1674,parametros!$B$2:$B$6,0)),""),"Sim","Nao"))))))</f>
        <v/>
      </c>
      <c r="T1674" s="156"/>
      <c r="U1674" s="214" t="str">
        <f t="shared" si="136"/>
        <v/>
      </c>
      <c r="V1674" s="212" t="s">
        <v>50</v>
      </c>
      <c r="W1674" s="100" t="s">
        <v>168</v>
      </c>
      <c r="X1674" s="100" t="s">
        <v>169</v>
      </c>
      <c r="Y1674" s="101" t="s">
        <v>170</v>
      </c>
      <c r="Z1674" s="101" t="s">
        <v>171</v>
      </c>
      <c r="AA1674" s="101" t="s">
        <v>50</v>
      </c>
      <c r="AB1674" s="101" t="s">
        <v>172</v>
      </c>
      <c r="AC1674" s="102" t="s">
        <v>173</v>
      </c>
    </row>
    <row r="1675" spans="1:29" ht="25.5" customHeight="1" x14ac:dyDescent="0.35">
      <c r="A1675" s="392"/>
      <c r="B1675" s="393"/>
      <c r="C1675" s="99" t="str">
        <f>IF(B1675="","",IF(NOT(ISNUMBER(B1675)),"DATA_PC invalida",IF(NOT(ISNUMBER(parametros!$C$2)),"Fora dos ciclos",IF(OR(B1675&lt;parametros!$C$2,(YEAR(B1675)-YEAR(parametros!$C$2))*12+MONTH(B1675)-MONTH(parametros!$C$2)&gt;59),"Fora dos ciclos","C"&amp;INT(((YEAR(B1675)-YEAR(parametros!$C$2))*12+MONTH(B1675)-MONTH(parametros!$C$2))/12)))))</f>
        <v/>
      </c>
      <c r="D1675" s="394"/>
      <c r="E1675" s="78" t="str">
        <f>IF(C1675="","",IFERROR(VLOOKUP(C1675,parametros!$A$11:$E$15,5,0),""))</f>
        <v/>
      </c>
      <c r="F1675" s="79" t="str">
        <f t="shared" si="132"/>
        <v/>
      </c>
      <c r="G1675" s="395"/>
      <c r="H1675" s="91">
        <f t="shared" si="133"/>
        <v>0</v>
      </c>
      <c r="I1675" s="91" t="str">
        <f t="shared" si="134"/>
        <v/>
      </c>
      <c r="J1675" s="91" t="str">
        <f t="shared" si="135"/>
        <v/>
      </c>
      <c r="K1675" s="92" t="str">
        <f>IF(AND(A1675="",B1675="",D1675="",G1675=""),"",IF(AND(A1675&lt;&gt;"",COUNTIF($A$2:$A$5001,A1675)&gt;1),"NUMERO_PC duplicado",IF(B1675="","DATA_PC vazia",IF(NOT(ISNUMBER(B1675)),"DATA_PC invalida",IF(OR(C1675="",C1675="Fora dos ciclos"),"CICLO_PC nao identificado",IF(OR(D1675="",D1675=0),"VALOR_PC vazio ou zero",IF(AND(G1675&lt;&gt;"Sim",G1675&lt;&gt;"Nao",G1675&lt;&gt;""),"PC_PAGO_A_CONTRATADA invalido",IF(AND(C1675&lt;&gt;"C0",IFERROR(INDEX(parametros!$A$2:$A$6,MATCH(C1675,parametros!$B$2:$B$6,0)),"")="Sim",IFERROR(INDEX(parametros!$H$2:$H$6,MATCH(C1675,parametros!$B$2:$B$6,0)),"")=""),"INICIO_EFEITO ausente: PC "&amp;A1675&amp;" - "&amp;C1675,IF(L1675="","EFEITO_PC nao calculado: PC "&amp;A1675&amp;" - "&amp;C1675,"OK")))))))))</f>
        <v/>
      </c>
      <c r="L1675" s="92" t="str">
        <f>IF(AND(A1675="",B1675="",D1675="",G1675=""),"",IF(OR(B1675="",NOT(ISNUMBER(B1675)),C1675="",C1675="Fora dos ciclos"),"",IF(C1675="C0","Nao",IF(IFERROR(INDEX(parametros!$A$2:$A$6,MATCH(C1675,parametros!$B$2:$B$6,0)),"")&lt;&gt;"Sim","Nao",IF(IFERROR(INDEX(parametros!$H$2:$H$6,MATCH(C1675,parametros!$B$2:$B$6,0)),"")="","",IF(B1675&gt;=IFERROR(INDEX(parametros!$H$2:$H$6,MATCH(C1675,parametros!$B$2:$B$6,0)),""),"Sim","Nao"))))))</f>
        <v/>
      </c>
      <c r="T1675" s="156"/>
      <c r="U1675" s="214" t="str">
        <f t="shared" si="136"/>
        <v/>
      </c>
      <c r="V1675" s="212" t="s">
        <v>50</v>
      </c>
      <c r="W1675" s="100" t="s">
        <v>168</v>
      </c>
      <c r="X1675" s="100" t="s">
        <v>169</v>
      </c>
      <c r="Y1675" s="101" t="s">
        <v>170</v>
      </c>
      <c r="Z1675" s="101" t="s">
        <v>171</v>
      </c>
      <c r="AA1675" s="101" t="s">
        <v>50</v>
      </c>
      <c r="AB1675" s="101" t="s">
        <v>172</v>
      </c>
      <c r="AC1675" s="102" t="s">
        <v>173</v>
      </c>
    </row>
    <row r="1676" spans="1:29" ht="25.5" customHeight="1" x14ac:dyDescent="0.35">
      <c r="A1676" s="392"/>
      <c r="B1676" s="393"/>
      <c r="C1676" s="99" t="str">
        <f>IF(B1676="","",IF(NOT(ISNUMBER(B1676)),"DATA_PC invalida",IF(NOT(ISNUMBER(parametros!$C$2)),"Fora dos ciclos",IF(OR(B1676&lt;parametros!$C$2,(YEAR(B1676)-YEAR(parametros!$C$2))*12+MONTH(B1676)-MONTH(parametros!$C$2)&gt;59),"Fora dos ciclos","C"&amp;INT(((YEAR(B1676)-YEAR(parametros!$C$2))*12+MONTH(B1676)-MONTH(parametros!$C$2))/12)))))</f>
        <v/>
      </c>
      <c r="D1676" s="394"/>
      <c r="E1676" s="78" t="str">
        <f>IF(C1676="","",IFERROR(VLOOKUP(C1676,parametros!$A$11:$E$15,5,0),""))</f>
        <v/>
      </c>
      <c r="F1676" s="79" t="str">
        <f t="shared" si="132"/>
        <v/>
      </c>
      <c r="G1676" s="395"/>
      <c r="H1676" s="91">
        <f t="shared" si="133"/>
        <v>0</v>
      </c>
      <c r="I1676" s="91" t="str">
        <f t="shared" si="134"/>
        <v/>
      </c>
      <c r="J1676" s="91" t="str">
        <f t="shared" si="135"/>
        <v/>
      </c>
      <c r="K1676" s="92" t="str">
        <f>IF(AND(A1676="",B1676="",D1676="",G1676=""),"",IF(AND(A1676&lt;&gt;"",COUNTIF($A$2:$A$5001,A1676)&gt;1),"NUMERO_PC duplicado",IF(B1676="","DATA_PC vazia",IF(NOT(ISNUMBER(B1676)),"DATA_PC invalida",IF(OR(C1676="",C1676="Fora dos ciclos"),"CICLO_PC nao identificado",IF(OR(D1676="",D1676=0),"VALOR_PC vazio ou zero",IF(AND(G1676&lt;&gt;"Sim",G1676&lt;&gt;"Nao",G1676&lt;&gt;""),"PC_PAGO_A_CONTRATADA invalido",IF(AND(C1676&lt;&gt;"C0",IFERROR(INDEX(parametros!$A$2:$A$6,MATCH(C1676,parametros!$B$2:$B$6,0)),"")="Sim",IFERROR(INDEX(parametros!$H$2:$H$6,MATCH(C1676,parametros!$B$2:$B$6,0)),"")=""),"INICIO_EFEITO ausente: PC "&amp;A1676&amp;" - "&amp;C1676,IF(L1676="","EFEITO_PC nao calculado: PC "&amp;A1676&amp;" - "&amp;C1676,"OK")))))))))</f>
        <v/>
      </c>
      <c r="L1676" s="92" t="str">
        <f>IF(AND(A1676="",B1676="",D1676="",G1676=""),"",IF(OR(B1676="",NOT(ISNUMBER(B1676)),C1676="",C1676="Fora dos ciclos"),"",IF(C1676="C0","Nao",IF(IFERROR(INDEX(parametros!$A$2:$A$6,MATCH(C1676,parametros!$B$2:$B$6,0)),"")&lt;&gt;"Sim","Nao",IF(IFERROR(INDEX(parametros!$H$2:$H$6,MATCH(C1676,parametros!$B$2:$B$6,0)),"")="","",IF(B1676&gt;=IFERROR(INDEX(parametros!$H$2:$H$6,MATCH(C1676,parametros!$B$2:$B$6,0)),""),"Sim","Nao"))))))</f>
        <v/>
      </c>
      <c r="T1676" s="156"/>
      <c r="U1676" s="214" t="str">
        <f t="shared" si="136"/>
        <v/>
      </c>
      <c r="V1676" s="212" t="s">
        <v>50</v>
      </c>
      <c r="W1676" s="100" t="s">
        <v>168</v>
      </c>
      <c r="X1676" s="100" t="s">
        <v>169</v>
      </c>
      <c r="Y1676" s="101" t="s">
        <v>170</v>
      </c>
      <c r="Z1676" s="101" t="s">
        <v>171</v>
      </c>
      <c r="AA1676" s="101" t="s">
        <v>50</v>
      </c>
      <c r="AB1676" s="101" t="s">
        <v>172</v>
      </c>
      <c r="AC1676" s="102" t="s">
        <v>173</v>
      </c>
    </row>
    <row r="1677" spans="1:29" ht="25.5" customHeight="1" x14ac:dyDescent="0.35">
      <c r="A1677" s="392"/>
      <c r="B1677" s="393"/>
      <c r="C1677" s="99" t="str">
        <f>IF(B1677="","",IF(NOT(ISNUMBER(B1677)),"DATA_PC invalida",IF(NOT(ISNUMBER(parametros!$C$2)),"Fora dos ciclos",IF(OR(B1677&lt;parametros!$C$2,(YEAR(B1677)-YEAR(parametros!$C$2))*12+MONTH(B1677)-MONTH(parametros!$C$2)&gt;59),"Fora dos ciclos","C"&amp;INT(((YEAR(B1677)-YEAR(parametros!$C$2))*12+MONTH(B1677)-MONTH(parametros!$C$2))/12)))))</f>
        <v/>
      </c>
      <c r="D1677" s="394"/>
      <c r="E1677" s="78" t="str">
        <f>IF(C1677="","",IFERROR(VLOOKUP(C1677,parametros!$A$11:$E$15,5,0),""))</f>
        <v/>
      </c>
      <c r="F1677" s="79" t="str">
        <f t="shared" si="132"/>
        <v/>
      </c>
      <c r="G1677" s="395"/>
      <c r="H1677" s="91">
        <f t="shared" si="133"/>
        <v>0</v>
      </c>
      <c r="I1677" s="91" t="str">
        <f t="shared" si="134"/>
        <v/>
      </c>
      <c r="J1677" s="91" t="str">
        <f t="shared" si="135"/>
        <v/>
      </c>
      <c r="K1677" s="92" t="str">
        <f>IF(AND(A1677="",B1677="",D1677="",G1677=""),"",IF(AND(A1677&lt;&gt;"",COUNTIF($A$2:$A$5001,A1677)&gt;1),"NUMERO_PC duplicado",IF(B1677="","DATA_PC vazia",IF(NOT(ISNUMBER(B1677)),"DATA_PC invalida",IF(OR(C1677="",C1677="Fora dos ciclos"),"CICLO_PC nao identificado",IF(OR(D1677="",D1677=0),"VALOR_PC vazio ou zero",IF(AND(G1677&lt;&gt;"Sim",G1677&lt;&gt;"Nao",G1677&lt;&gt;""),"PC_PAGO_A_CONTRATADA invalido",IF(AND(C1677&lt;&gt;"C0",IFERROR(INDEX(parametros!$A$2:$A$6,MATCH(C1677,parametros!$B$2:$B$6,0)),"")="Sim",IFERROR(INDEX(parametros!$H$2:$H$6,MATCH(C1677,parametros!$B$2:$B$6,0)),"")=""),"INICIO_EFEITO ausente: PC "&amp;A1677&amp;" - "&amp;C1677,IF(L1677="","EFEITO_PC nao calculado: PC "&amp;A1677&amp;" - "&amp;C1677,"OK")))))))))</f>
        <v/>
      </c>
      <c r="L1677" s="92" t="str">
        <f>IF(AND(A1677="",B1677="",D1677="",G1677=""),"",IF(OR(B1677="",NOT(ISNUMBER(B1677)),C1677="",C1677="Fora dos ciclos"),"",IF(C1677="C0","Nao",IF(IFERROR(INDEX(parametros!$A$2:$A$6,MATCH(C1677,parametros!$B$2:$B$6,0)),"")&lt;&gt;"Sim","Nao",IF(IFERROR(INDEX(parametros!$H$2:$H$6,MATCH(C1677,parametros!$B$2:$B$6,0)),"")="","",IF(B1677&gt;=IFERROR(INDEX(parametros!$H$2:$H$6,MATCH(C1677,parametros!$B$2:$B$6,0)),""),"Sim","Nao"))))))</f>
        <v/>
      </c>
      <c r="T1677" s="156"/>
      <c r="U1677" s="214" t="str">
        <f t="shared" si="136"/>
        <v/>
      </c>
      <c r="V1677" s="212" t="s">
        <v>50</v>
      </c>
      <c r="W1677" s="100" t="s">
        <v>168</v>
      </c>
      <c r="X1677" s="100" t="s">
        <v>169</v>
      </c>
      <c r="Y1677" s="101" t="s">
        <v>170</v>
      </c>
      <c r="Z1677" s="101" t="s">
        <v>171</v>
      </c>
      <c r="AA1677" s="101" t="s">
        <v>50</v>
      </c>
      <c r="AB1677" s="101" t="s">
        <v>172</v>
      </c>
      <c r="AC1677" s="102" t="s">
        <v>173</v>
      </c>
    </row>
    <row r="1678" spans="1:29" ht="25.5" customHeight="1" x14ac:dyDescent="0.35">
      <c r="A1678" s="392"/>
      <c r="B1678" s="393"/>
      <c r="C1678" s="99" t="str">
        <f>IF(B1678="","",IF(NOT(ISNUMBER(B1678)),"DATA_PC invalida",IF(NOT(ISNUMBER(parametros!$C$2)),"Fora dos ciclos",IF(OR(B1678&lt;parametros!$C$2,(YEAR(B1678)-YEAR(parametros!$C$2))*12+MONTH(B1678)-MONTH(parametros!$C$2)&gt;59),"Fora dos ciclos","C"&amp;INT(((YEAR(B1678)-YEAR(parametros!$C$2))*12+MONTH(B1678)-MONTH(parametros!$C$2))/12)))))</f>
        <v/>
      </c>
      <c r="D1678" s="394"/>
      <c r="E1678" s="78" t="str">
        <f>IF(C1678="","",IFERROR(VLOOKUP(C1678,parametros!$A$11:$E$15,5,0),""))</f>
        <v/>
      </c>
      <c r="F1678" s="79" t="str">
        <f t="shared" si="132"/>
        <v/>
      </c>
      <c r="G1678" s="395"/>
      <c r="H1678" s="91">
        <f t="shared" si="133"/>
        <v>0</v>
      </c>
      <c r="I1678" s="91" t="str">
        <f t="shared" si="134"/>
        <v/>
      </c>
      <c r="J1678" s="91" t="str">
        <f t="shared" si="135"/>
        <v/>
      </c>
      <c r="K1678" s="92" t="str">
        <f>IF(AND(A1678="",B1678="",D1678="",G1678=""),"",IF(AND(A1678&lt;&gt;"",COUNTIF($A$2:$A$5001,A1678)&gt;1),"NUMERO_PC duplicado",IF(B1678="","DATA_PC vazia",IF(NOT(ISNUMBER(B1678)),"DATA_PC invalida",IF(OR(C1678="",C1678="Fora dos ciclos"),"CICLO_PC nao identificado",IF(OR(D1678="",D1678=0),"VALOR_PC vazio ou zero",IF(AND(G1678&lt;&gt;"Sim",G1678&lt;&gt;"Nao",G1678&lt;&gt;""),"PC_PAGO_A_CONTRATADA invalido",IF(AND(C1678&lt;&gt;"C0",IFERROR(INDEX(parametros!$A$2:$A$6,MATCH(C1678,parametros!$B$2:$B$6,0)),"")="Sim",IFERROR(INDEX(parametros!$H$2:$H$6,MATCH(C1678,parametros!$B$2:$B$6,0)),"")=""),"INICIO_EFEITO ausente: PC "&amp;A1678&amp;" - "&amp;C1678,IF(L1678="","EFEITO_PC nao calculado: PC "&amp;A1678&amp;" - "&amp;C1678,"OK")))))))))</f>
        <v/>
      </c>
      <c r="L1678" s="92" t="str">
        <f>IF(AND(A1678="",B1678="",D1678="",G1678=""),"",IF(OR(B1678="",NOT(ISNUMBER(B1678)),C1678="",C1678="Fora dos ciclos"),"",IF(C1678="C0","Nao",IF(IFERROR(INDEX(parametros!$A$2:$A$6,MATCH(C1678,parametros!$B$2:$B$6,0)),"")&lt;&gt;"Sim","Nao",IF(IFERROR(INDEX(parametros!$H$2:$H$6,MATCH(C1678,parametros!$B$2:$B$6,0)),"")="","",IF(B1678&gt;=IFERROR(INDEX(parametros!$H$2:$H$6,MATCH(C1678,parametros!$B$2:$B$6,0)),""),"Sim","Nao"))))))</f>
        <v/>
      </c>
      <c r="T1678" s="156"/>
      <c r="U1678" s="214" t="str">
        <f t="shared" si="136"/>
        <v/>
      </c>
      <c r="V1678" s="212" t="s">
        <v>50</v>
      </c>
      <c r="W1678" s="100" t="s">
        <v>168</v>
      </c>
      <c r="X1678" s="100" t="s">
        <v>169</v>
      </c>
      <c r="Y1678" s="101" t="s">
        <v>170</v>
      </c>
      <c r="Z1678" s="101" t="s">
        <v>171</v>
      </c>
      <c r="AA1678" s="101" t="s">
        <v>50</v>
      </c>
      <c r="AB1678" s="101" t="s">
        <v>172</v>
      </c>
      <c r="AC1678" s="102" t="s">
        <v>173</v>
      </c>
    </row>
    <row r="1679" spans="1:29" ht="25.5" customHeight="1" x14ac:dyDescent="0.35">
      <c r="A1679" s="392"/>
      <c r="B1679" s="393"/>
      <c r="C1679" s="99" t="str">
        <f>IF(B1679="","",IF(NOT(ISNUMBER(B1679)),"DATA_PC invalida",IF(NOT(ISNUMBER(parametros!$C$2)),"Fora dos ciclos",IF(OR(B1679&lt;parametros!$C$2,(YEAR(B1679)-YEAR(parametros!$C$2))*12+MONTH(B1679)-MONTH(parametros!$C$2)&gt;59),"Fora dos ciclos","C"&amp;INT(((YEAR(B1679)-YEAR(parametros!$C$2))*12+MONTH(B1679)-MONTH(parametros!$C$2))/12)))))</f>
        <v/>
      </c>
      <c r="D1679" s="394"/>
      <c r="E1679" s="78" t="str">
        <f>IF(C1679="","",IFERROR(VLOOKUP(C1679,parametros!$A$11:$E$15,5,0),""))</f>
        <v/>
      </c>
      <c r="F1679" s="79" t="str">
        <f t="shared" si="132"/>
        <v/>
      </c>
      <c r="G1679" s="395"/>
      <c r="H1679" s="91">
        <f t="shared" si="133"/>
        <v>0</v>
      </c>
      <c r="I1679" s="91" t="str">
        <f t="shared" si="134"/>
        <v/>
      </c>
      <c r="J1679" s="91" t="str">
        <f t="shared" si="135"/>
        <v/>
      </c>
      <c r="K1679" s="92" t="str">
        <f>IF(AND(A1679="",B1679="",D1679="",G1679=""),"",IF(AND(A1679&lt;&gt;"",COUNTIF($A$2:$A$5001,A1679)&gt;1),"NUMERO_PC duplicado",IF(B1679="","DATA_PC vazia",IF(NOT(ISNUMBER(B1679)),"DATA_PC invalida",IF(OR(C1679="",C1679="Fora dos ciclos"),"CICLO_PC nao identificado",IF(OR(D1679="",D1679=0),"VALOR_PC vazio ou zero",IF(AND(G1679&lt;&gt;"Sim",G1679&lt;&gt;"Nao",G1679&lt;&gt;""),"PC_PAGO_A_CONTRATADA invalido",IF(AND(C1679&lt;&gt;"C0",IFERROR(INDEX(parametros!$A$2:$A$6,MATCH(C1679,parametros!$B$2:$B$6,0)),"")="Sim",IFERROR(INDEX(parametros!$H$2:$H$6,MATCH(C1679,parametros!$B$2:$B$6,0)),"")=""),"INICIO_EFEITO ausente: PC "&amp;A1679&amp;" - "&amp;C1679,IF(L1679="","EFEITO_PC nao calculado: PC "&amp;A1679&amp;" - "&amp;C1679,"OK")))))))))</f>
        <v/>
      </c>
      <c r="L1679" s="92" t="str">
        <f>IF(AND(A1679="",B1679="",D1679="",G1679=""),"",IF(OR(B1679="",NOT(ISNUMBER(B1679)),C1679="",C1679="Fora dos ciclos"),"",IF(C1679="C0","Nao",IF(IFERROR(INDEX(parametros!$A$2:$A$6,MATCH(C1679,parametros!$B$2:$B$6,0)),"")&lt;&gt;"Sim","Nao",IF(IFERROR(INDEX(parametros!$H$2:$H$6,MATCH(C1679,parametros!$B$2:$B$6,0)),"")="","",IF(B1679&gt;=IFERROR(INDEX(parametros!$H$2:$H$6,MATCH(C1679,parametros!$B$2:$B$6,0)),""),"Sim","Nao"))))))</f>
        <v/>
      </c>
      <c r="T1679" s="156"/>
      <c r="U1679" s="214" t="str">
        <f t="shared" si="136"/>
        <v/>
      </c>
      <c r="V1679" s="212" t="s">
        <v>50</v>
      </c>
      <c r="W1679" s="100" t="s">
        <v>168</v>
      </c>
      <c r="X1679" s="100" t="s">
        <v>169</v>
      </c>
      <c r="Y1679" s="101" t="s">
        <v>170</v>
      </c>
      <c r="Z1679" s="101" t="s">
        <v>171</v>
      </c>
      <c r="AA1679" s="101" t="s">
        <v>50</v>
      </c>
      <c r="AB1679" s="101" t="s">
        <v>172</v>
      </c>
      <c r="AC1679" s="102" t="s">
        <v>173</v>
      </c>
    </row>
    <row r="1680" spans="1:29" ht="25.5" customHeight="1" x14ac:dyDescent="0.35">
      <c r="A1680" s="392"/>
      <c r="B1680" s="393"/>
      <c r="C1680" s="99" t="str">
        <f>IF(B1680="","",IF(NOT(ISNUMBER(B1680)),"DATA_PC invalida",IF(NOT(ISNUMBER(parametros!$C$2)),"Fora dos ciclos",IF(OR(B1680&lt;parametros!$C$2,(YEAR(B1680)-YEAR(parametros!$C$2))*12+MONTH(B1680)-MONTH(parametros!$C$2)&gt;59),"Fora dos ciclos","C"&amp;INT(((YEAR(B1680)-YEAR(parametros!$C$2))*12+MONTH(B1680)-MONTH(parametros!$C$2))/12)))))</f>
        <v/>
      </c>
      <c r="D1680" s="394"/>
      <c r="E1680" s="78" t="str">
        <f>IF(C1680="","",IFERROR(VLOOKUP(C1680,parametros!$A$11:$E$15,5,0),""))</f>
        <v/>
      </c>
      <c r="F1680" s="79" t="str">
        <f t="shared" si="132"/>
        <v/>
      </c>
      <c r="G1680" s="395"/>
      <c r="H1680" s="91">
        <f t="shared" si="133"/>
        <v>0</v>
      </c>
      <c r="I1680" s="91" t="str">
        <f t="shared" si="134"/>
        <v/>
      </c>
      <c r="J1680" s="91" t="str">
        <f t="shared" si="135"/>
        <v/>
      </c>
      <c r="K1680" s="92" t="str">
        <f>IF(AND(A1680="",B1680="",D1680="",G1680=""),"",IF(AND(A1680&lt;&gt;"",COUNTIF($A$2:$A$5001,A1680)&gt;1),"NUMERO_PC duplicado",IF(B1680="","DATA_PC vazia",IF(NOT(ISNUMBER(B1680)),"DATA_PC invalida",IF(OR(C1680="",C1680="Fora dos ciclos"),"CICLO_PC nao identificado",IF(OR(D1680="",D1680=0),"VALOR_PC vazio ou zero",IF(AND(G1680&lt;&gt;"Sim",G1680&lt;&gt;"Nao",G1680&lt;&gt;""),"PC_PAGO_A_CONTRATADA invalido",IF(AND(C1680&lt;&gt;"C0",IFERROR(INDEX(parametros!$A$2:$A$6,MATCH(C1680,parametros!$B$2:$B$6,0)),"")="Sim",IFERROR(INDEX(parametros!$H$2:$H$6,MATCH(C1680,parametros!$B$2:$B$6,0)),"")=""),"INICIO_EFEITO ausente: PC "&amp;A1680&amp;" - "&amp;C1680,IF(L1680="","EFEITO_PC nao calculado: PC "&amp;A1680&amp;" - "&amp;C1680,"OK")))))))))</f>
        <v/>
      </c>
      <c r="L1680" s="92" t="str">
        <f>IF(AND(A1680="",B1680="",D1680="",G1680=""),"",IF(OR(B1680="",NOT(ISNUMBER(B1680)),C1680="",C1680="Fora dos ciclos"),"",IF(C1680="C0","Nao",IF(IFERROR(INDEX(parametros!$A$2:$A$6,MATCH(C1680,parametros!$B$2:$B$6,0)),"")&lt;&gt;"Sim","Nao",IF(IFERROR(INDEX(parametros!$H$2:$H$6,MATCH(C1680,parametros!$B$2:$B$6,0)),"")="","",IF(B1680&gt;=IFERROR(INDEX(parametros!$H$2:$H$6,MATCH(C1680,parametros!$B$2:$B$6,0)),""),"Sim","Nao"))))))</f>
        <v/>
      </c>
      <c r="T1680" s="156"/>
      <c r="U1680" s="214" t="str">
        <f t="shared" si="136"/>
        <v/>
      </c>
      <c r="V1680" s="212" t="s">
        <v>50</v>
      </c>
      <c r="W1680" s="100" t="s">
        <v>168</v>
      </c>
      <c r="X1680" s="100" t="s">
        <v>169</v>
      </c>
      <c r="Y1680" s="101" t="s">
        <v>170</v>
      </c>
      <c r="Z1680" s="101" t="s">
        <v>171</v>
      </c>
      <c r="AA1680" s="101" t="s">
        <v>50</v>
      </c>
      <c r="AB1680" s="101" t="s">
        <v>172</v>
      </c>
      <c r="AC1680" s="102" t="s">
        <v>173</v>
      </c>
    </row>
    <row r="1681" spans="1:29" ht="25.5" customHeight="1" x14ac:dyDescent="0.35">
      <c r="A1681" s="392"/>
      <c r="B1681" s="393"/>
      <c r="C1681" s="99" t="str">
        <f>IF(B1681="","",IF(NOT(ISNUMBER(B1681)),"DATA_PC invalida",IF(NOT(ISNUMBER(parametros!$C$2)),"Fora dos ciclos",IF(OR(B1681&lt;parametros!$C$2,(YEAR(B1681)-YEAR(parametros!$C$2))*12+MONTH(B1681)-MONTH(parametros!$C$2)&gt;59),"Fora dos ciclos","C"&amp;INT(((YEAR(B1681)-YEAR(parametros!$C$2))*12+MONTH(B1681)-MONTH(parametros!$C$2))/12)))))</f>
        <v/>
      </c>
      <c r="D1681" s="394"/>
      <c r="E1681" s="78" t="str">
        <f>IF(C1681="","",IFERROR(VLOOKUP(C1681,parametros!$A$11:$E$15,5,0),""))</f>
        <v/>
      </c>
      <c r="F1681" s="79" t="str">
        <f t="shared" si="132"/>
        <v/>
      </c>
      <c r="G1681" s="395"/>
      <c r="H1681" s="91">
        <f t="shared" si="133"/>
        <v>0</v>
      </c>
      <c r="I1681" s="91" t="str">
        <f t="shared" si="134"/>
        <v/>
      </c>
      <c r="J1681" s="91" t="str">
        <f t="shared" si="135"/>
        <v/>
      </c>
      <c r="K1681" s="92" t="str">
        <f>IF(AND(A1681="",B1681="",D1681="",G1681=""),"",IF(AND(A1681&lt;&gt;"",COUNTIF($A$2:$A$5001,A1681)&gt;1),"NUMERO_PC duplicado",IF(B1681="","DATA_PC vazia",IF(NOT(ISNUMBER(B1681)),"DATA_PC invalida",IF(OR(C1681="",C1681="Fora dos ciclos"),"CICLO_PC nao identificado",IF(OR(D1681="",D1681=0),"VALOR_PC vazio ou zero",IF(AND(G1681&lt;&gt;"Sim",G1681&lt;&gt;"Nao",G1681&lt;&gt;""),"PC_PAGO_A_CONTRATADA invalido",IF(AND(C1681&lt;&gt;"C0",IFERROR(INDEX(parametros!$A$2:$A$6,MATCH(C1681,parametros!$B$2:$B$6,0)),"")="Sim",IFERROR(INDEX(parametros!$H$2:$H$6,MATCH(C1681,parametros!$B$2:$B$6,0)),"")=""),"INICIO_EFEITO ausente: PC "&amp;A1681&amp;" - "&amp;C1681,IF(L1681="","EFEITO_PC nao calculado: PC "&amp;A1681&amp;" - "&amp;C1681,"OK")))))))))</f>
        <v/>
      </c>
      <c r="L1681" s="92" t="str">
        <f>IF(AND(A1681="",B1681="",D1681="",G1681=""),"",IF(OR(B1681="",NOT(ISNUMBER(B1681)),C1681="",C1681="Fora dos ciclos"),"",IF(C1681="C0","Nao",IF(IFERROR(INDEX(parametros!$A$2:$A$6,MATCH(C1681,parametros!$B$2:$B$6,0)),"")&lt;&gt;"Sim","Nao",IF(IFERROR(INDEX(parametros!$H$2:$H$6,MATCH(C1681,parametros!$B$2:$B$6,0)),"")="","",IF(B1681&gt;=IFERROR(INDEX(parametros!$H$2:$H$6,MATCH(C1681,parametros!$B$2:$B$6,0)),""),"Sim","Nao"))))))</f>
        <v/>
      </c>
      <c r="T1681" s="156"/>
      <c r="U1681" s="214" t="str">
        <f t="shared" si="136"/>
        <v/>
      </c>
      <c r="V1681" s="212" t="s">
        <v>50</v>
      </c>
      <c r="W1681" s="100" t="s">
        <v>168</v>
      </c>
      <c r="X1681" s="100" t="s">
        <v>169</v>
      </c>
      <c r="Y1681" s="101" t="s">
        <v>170</v>
      </c>
      <c r="Z1681" s="101" t="s">
        <v>171</v>
      </c>
      <c r="AA1681" s="101" t="s">
        <v>50</v>
      </c>
      <c r="AB1681" s="101" t="s">
        <v>172</v>
      </c>
      <c r="AC1681" s="102" t="s">
        <v>173</v>
      </c>
    </row>
    <row r="1682" spans="1:29" ht="25.5" customHeight="1" x14ac:dyDescent="0.35">
      <c r="A1682" s="392"/>
      <c r="B1682" s="393"/>
      <c r="C1682" s="99" t="str">
        <f>IF(B1682="","",IF(NOT(ISNUMBER(B1682)),"DATA_PC invalida",IF(NOT(ISNUMBER(parametros!$C$2)),"Fora dos ciclos",IF(OR(B1682&lt;parametros!$C$2,(YEAR(B1682)-YEAR(parametros!$C$2))*12+MONTH(B1682)-MONTH(parametros!$C$2)&gt;59),"Fora dos ciclos","C"&amp;INT(((YEAR(B1682)-YEAR(parametros!$C$2))*12+MONTH(B1682)-MONTH(parametros!$C$2))/12)))))</f>
        <v/>
      </c>
      <c r="D1682" s="394"/>
      <c r="E1682" s="78" t="str">
        <f>IF(C1682="","",IFERROR(VLOOKUP(C1682,parametros!$A$11:$E$15,5,0),""))</f>
        <v/>
      </c>
      <c r="F1682" s="79" t="str">
        <f t="shared" si="132"/>
        <v/>
      </c>
      <c r="G1682" s="395"/>
      <c r="H1682" s="91">
        <f t="shared" si="133"/>
        <v>0</v>
      </c>
      <c r="I1682" s="91" t="str">
        <f t="shared" si="134"/>
        <v/>
      </c>
      <c r="J1682" s="91" t="str">
        <f t="shared" si="135"/>
        <v/>
      </c>
      <c r="K1682" s="92" t="str">
        <f>IF(AND(A1682="",B1682="",D1682="",G1682=""),"",IF(AND(A1682&lt;&gt;"",COUNTIF($A$2:$A$5001,A1682)&gt;1),"NUMERO_PC duplicado",IF(B1682="","DATA_PC vazia",IF(NOT(ISNUMBER(B1682)),"DATA_PC invalida",IF(OR(C1682="",C1682="Fora dos ciclos"),"CICLO_PC nao identificado",IF(OR(D1682="",D1682=0),"VALOR_PC vazio ou zero",IF(AND(G1682&lt;&gt;"Sim",G1682&lt;&gt;"Nao",G1682&lt;&gt;""),"PC_PAGO_A_CONTRATADA invalido",IF(AND(C1682&lt;&gt;"C0",IFERROR(INDEX(parametros!$A$2:$A$6,MATCH(C1682,parametros!$B$2:$B$6,0)),"")="Sim",IFERROR(INDEX(parametros!$H$2:$H$6,MATCH(C1682,parametros!$B$2:$B$6,0)),"")=""),"INICIO_EFEITO ausente: PC "&amp;A1682&amp;" - "&amp;C1682,IF(L1682="","EFEITO_PC nao calculado: PC "&amp;A1682&amp;" - "&amp;C1682,"OK")))))))))</f>
        <v/>
      </c>
      <c r="L1682" s="92" t="str">
        <f>IF(AND(A1682="",B1682="",D1682="",G1682=""),"",IF(OR(B1682="",NOT(ISNUMBER(B1682)),C1682="",C1682="Fora dos ciclos"),"",IF(C1682="C0","Nao",IF(IFERROR(INDEX(parametros!$A$2:$A$6,MATCH(C1682,parametros!$B$2:$B$6,0)),"")&lt;&gt;"Sim","Nao",IF(IFERROR(INDEX(parametros!$H$2:$H$6,MATCH(C1682,parametros!$B$2:$B$6,0)),"")="","",IF(B1682&gt;=IFERROR(INDEX(parametros!$H$2:$H$6,MATCH(C1682,parametros!$B$2:$B$6,0)),""),"Sim","Nao"))))))</f>
        <v/>
      </c>
      <c r="T1682" s="156"/>
      <c r="U1682" s="214" t="str">
        <f t="shared" si="136"/>
        <v/>
      </c>
      <c r="V1682" s="212" t="s">
        <v>50</v>
      </c>
      <c r="W1682" s="100" t="s">
        <v>168</v>
      </c>
      <c r="X1682" s="100" t="s">
        <v>169</v>
      </c>
      <c r="Y1682" s="101" t="s">
        <v>170</v>
      </c>
      <c r="Z1682" s="101" t="s">
        <v>171</v>
      </c>
      <c r="AA1682" s="101" t="s">
        <v>50</v>
      </c>
      <c r="AB1682" s="101" t="s">
        <v>172</v>
      </c>
      <c r="AC1682" s="102" t="s">
        <v>173</v>
      </c>
    </row>
    <row r="1683" spans="1:29" ht="25.5" customHeight="1" x14ac:dyDescent="0.35">
      <c r="A1683" s="392"/>
      <c r="B1683" s="393"/>
      <c r="C1683" s="99" t="str">
        <f>IF(B1683="","",IF(NOT(ISNUMBER(B1683)),"DATA_PC invalida",IF(NOT(ISNUMBER(parametros!$C$2)),"Fora dos ciclos",IF(OR(B1683&lt;parametros!$C$2,(YEAR(B1683)-YEAR(parametros!$C$2))*12+MONTH(B1683)-MONTH(parametros!$C$2)&gt;59),"Fora dos ciclos","C"&amp;INT(((YEAR(B1683)-YEAR(parametros!$C$2))*12+MONTH(B1683)-MONTH(parametros!$C$2))/12)))))</f>
        <v/>
      </c>
      <c r="D1683" s="394"/>
      <c r="E1683" s="78" t="str">
        <f>IF(C1683="","",IFERROR(VLOOKUP(C1683,parametros!$A$11:$E$15,5,0),""))</f>
        <v/>
      </c>
      <c r="F1683" s="79" t="str">
        <f t="shared" si="132"/>
        <v/>
      </c>
      <c r="G1683" s="395"/>
      <c r="H1683" s="91">
        <f t="shared" si="133"/>
        <v>0</v>
      </c>
      <c r="I1683" s="91" t="str">
        <f t="shared" si="134"/>
        <v/>
      </c>
      <c r="J1683" s="91" t="str">
        <f t="shared" si="135"/>
        <v/>
      </c>
      <c r="K1683" s="92" t="str">
        <f>IF(AND(A1683="",B1683="",D1683="",G1683=""),"",IF(AND(A1683&lt;&gt;"",COUNTIF($A$2:$A$5001,A1683)&gt;1),"NUMERO_PC duplicado",IF(B1683="","DATA_PC vazia",IF(NOT(ISNUMBER(B1683)),"DATA_PC invalida",IF(OR(C1683="",C1683="Fora dos ciclos"),"CICLO_PC nao identificado",IF(OR(D1683="",D1683=0),"VALOR_PC vazio ou zero",IF(AND(G1683&lt;&gt;"Sim",G1683&lt;&gt;"Nao",G1683&lt;&gt;""),"PC_PAGO_A_CONTRATADA invalido",IF(AND(C1683&lt;&gt;"C0",IFERROR(INDEX(parametros!$A$2:$A$6,MATCH(C1683,parametros!$B$2:$B$6,0)),"")="Sim",IFERROR(INDEX(parametros!$H$2:$H$6,MATCH(C1683,parametros!$B$2:$B$6,0)),"")=""),"INICIO_EFEITO ausente: PC "&amp;A1683&amp;" - "&amp;C1683,IF(L1683="","EFEITO_PC nao calculado: PC "&amp;A1683&amp;" - "&amp;C1683,"OK")))))))))</f>
        <v/>
      </c>
      <c r="L1683" s="92" t="str">
        <f>IF(AND(A1683="",B1683="",D1683="",G1683=""),"",IF(OR(B1683="",NOT(ISNUMBER(B1683)),C1683="",C1683="Fora dos ciclos"),"",IF(C1683="C0","Nao",IF(IFERROR(INDEX(parametros!$A$2:$A$6,MATCH(C1683,parametros!$B$2:$B$6,0)),"")&lt;&gt;"Sim","Nao",IF(IFERROR(INDEX(parametros!$H$2:$H$6,MATCH(C1683,parametros!$B$2:$B$6,0)),"")="","",IF(B1683&gt;=IFERROR(INDEX(parametros!$H$2:$H$6,MATCH(C1683,parametros!$B$2:$B$6,0)),""),"Sim","Nao"))))))</f>
        <v/>
      </c>
      <c r="T1683" s="156"/>
      <c r="U1683" s="214" t="str">
        <f t="shared" si="136"/>
        <v/>
      </c>
      <c r="V1683" s="212" t="s">
        <v>50</v>
      </c>
      <c r="W1683" s="100" t="s">
        <v>168</v>
      </c>
      <c r="X1683" s="100" t="s">
        <v>169</v>
      </c>
      <c r="Y1683" s="101" t="s">
        <v>170</v>
      </c>
      <c r="Z1683" s="101" t="s">
        <v>171</v>
      </c>
      <c r="AA1683" s="101" t="s">
        <v>50</v>
      </c>
      <c r="AB1683" s="101" t="s">
        <v>172</v>
      </c>
      <c r="AC1683" s="102" t="s">
        <v>173</v>
      </c>
    </row>
    <row r="1684" spans="1:29" ht="25.5" customHeight="1" x14ac:dyDescent="0.35">
      <c r="A1684" s="392"/>
      <c r="B1684" s="393"/>
      <c r="C1684" s="99" t="str">
        <f>IF(B1684="","",IF(NOT(ISNUMBER(B1684)),"DATA_PC invalida",IF(NOT(ISNUMBER(parametros!$C$2)),"Fora dos ciclos",IF(OR(B1684&lt;parametros!$C$2,(YEAR(B1684)-YEAR(parametros!$C$2))*12+MONTH(B1684)-MONTH(parametros!$C$2)&gt;59),"Fora dos ciclos","C"&amp;INT(((YEAR(B1684)-YEAR(parametros!$C$2))*12+MONTH(B1684)-MONTH(parametros!$C$2))/12)))))</f>
        <v/>
      </c>
      <c r="D1684" s="394"/>
      <c r="E1684" s="78" t="str">
        <f>IF(C1684="","",IFERROR(VLOOKUP(C1684,parametros!$A$11:$E$15,5,0),""))</f>
        <v/>
      </c>
      <c r="F1684" s="79" t="str">
        <f t="shared" si="132"/>
        <v/>
      </c>
      <c r="G1684" s="395"/>
      <c r="H1684" s="91">
        <f t="shared" si="133"/>
        <v>0</v>
      </c>
      <c r="I1684" s="91" t="str">
        <f t="shared" si="134"/>
        <v/>
      </c>
      <c r="J1684" s="91" t="str">
        <f t="shared" si="135"/>
        <v/>
      </c>
      <c r="K1684" s="92" t="str">
        <f>IF(AND(A1684="",B1684="",D1684="",G1684=""),"",IF(AND(A1684&lt;&gt;"",COUNTIF($A$2:$A$5001,A1684)&gt;1),"NUMERO_PC duplicado",IF(B1684="","DATA_PC vazia",IF(NOT(ISNUMBER(B1684)),"DATA_PC invalida",IF(OR(C1684="",C1684="Fora dos ciclos"),"CICLO_PC nao identificado",IF(OR(D1684="",D1684=0),"VALOR_PC vazio ou zero",IF(AND(G1684&lt;&gt;"Sim",G1684&lt;&gt;"Nao",G1684&lt;&gt;""),"PC_PAGO_A_CONTRATADA invalido",IF(AND(C1684&lt;&gt;"C0",IFERROR(INDEX(parametros!$A$2:$A$6,MATCH(C1684,parametros!$B$2:$B$6,0)),"")="Sim",IFERROR(INDEX(parametros!$H$2:$H$6,MATCH(C1684,parametros!$B$2:$B$6,0)),"")=""),"INICIO_EFEITO ausente: PC "&amp;A1684&amp;" - "&amp;C1684,IF(L1684="","EFEITO_PC nao calculado: PC "&amp;A1684&amp;" - "&amp;C1684,"OK")))))))))</f>
        <v/>
      </c>
      <c r="L1684" s="92" t="str">
        <f>IF(AND(A1684="",B1684="",D1684="",G1684=""),"",IF(OR(B1684="",NOT(ISNUMBER(B1684)),C1684="",C1684="Fora dos ciclos"),"",IF(C1684="C0","Nao",IF(IFERROR(INDEX(parametros!$A$2:$A$6,MATCH(C1684,parametros!$B$2:$B$6,0)),"")&lt;&gt;"Sim","Nao",IF(IFERROR(INDEX(parametros!$H$2:$H$6,MATCH(C1684,parametros!$B$2:$B$6,0)),"")="","",IF(B1684&gt;=IFERROR(INDEX(parametros!$H$2:$H$6,MATCH(C1684,parametros!$B$2:$B$6,0)),""),"Sim","Nao"))))))</f>
        <v/>
      </c>
      <c r="T1684" s="156"/>
      <c r="U1684" s="214" t="str">
        <f t="shared" si="136"/>
        <v/>
      </c>
      <c r="V1684" s="212" t="s">
        <v>50</v>
      </c>
      <c r="W1684" s="100" t="s">
        <v>168</v>
      </c>
      <c r="X1684" s="100" t="s">
        <v>169</v>
      </c>
      <c r="Y1684" s="101" t="s">
        <v>170</v>
      </c>
      <c r="Z1684" s="101" t="s">
        <v>171</v>
      </c>
      <c r="AA1684" s="101" t="s">
        <v>50</v>
      </c>
      <c r="AB1684" s="101" t="s">
        <v>172</v>
      </c>
      <c r="AC1684" s="102" t="s">
        <v>173</v>
      </c>
    </row>
    <row r="1685" spans="1:29" ht="25.5" customHeight="1" x14ac:dyDescent="0.35">
      <c r="A1685" s="392"/>
      <c r="B1685" s="393"/>
      <c r="C1685" s="99" t="str">
        <f>IF(B1685="","",IF(NOT(ISNUMBER(B1685)),"DATA_PC invalida",IF(NOT(ISNUMBER(parametros!$C$2)),"Fora dos ciclos",IF(OR(B1685&lt;parametros!$C$2,(YEAR(B1685)-YEAR(parametros!$C$2))*12+MONTH(B1685)-MONTH(parametros!$C$2)&gt;59),"Fora dos ciclos","C"&amp;INT(((YEAR(B1685)-YEAR(parametros!$C$2))*12+MONTH(B1685)-MONTH(parametros!$C$2))/12)))))</f>
        <v/>
      </c>
      <c r="D1685" s="394"/>
      <c r="E1685" s="78" t="str">
        <f>IF(C1685="","",IFERROR(VLOOKUP(C1685,parametros!$A$11:$E$15,5,0),""))</f>
        <v/>
      </c>
      <c r="F1685" s="79" t="str">
        <f t="shared" si="132"/>
        <v/>
      </c>
      <c r="G1685" s="395"/>
      <c r="H1685" s="91">
        <f t="shared" si="133"/>
        <v>0</v>
      </c>
      <c r="I1685" s="91" t="str">
        <f t="shared" si="134"/>
        <v/>
      </c>
      <c r="J1685" s="91" t="str">
        <f t="shared" si="135"/>
        <v/>
      </c>
      <c r="K1685" s="92" t="str">
        <f>IF(AND(A1685="",B1685="",D1685="",G1685=""),"",IF(AND(A1685&lt;&gt;"",COUNTIF($A$2:$A$5001,A1685)&gt;1),"NUMERO_PC duplicado",IF(B1685="","DATA_PC vazia",IF(NOT(ISNUMBER(B1685)),"DATA_PC invalida",IF(OR(C1685="",C1685="Fora dos ciclos"),"CICLO_PC nao identificado",IF(OR(D1685="",D1685=0),"VALOR_PC vazio ou zero",IF(AND(G1685&lt;&gt;"Sim",G1685&lt;&gt;"Nao",G1685&lt;&gt;""),"PC_PAGO_A_CONTRATADA invalido",IF(AND(C1685&lt;&gt;"C0",IFERROR(INDEX(parametros!$A$2:$A$6,MATCH(C1685,parametros!$B$2:$B$6,0)),"")="Sim",IFERROR(INDEX(parametros!$H$2:$H$6,MATCH(C1685,parametros!$B$2:$B$6,0)),"")=""),"INICIO_EFEITO ausente: PC "&amp;A1685&amp;" - "&amp;C1685,IF(L1685="","EFEITO_PC nao calculado: PC "&amp;A1685&amp;" - "&amp;C1685,"OK")))))))))</f>
        <v/>
      </c>
      <c r="L1685" s="92" t="str">
        <f>IF(AND(A1685="",B1685="",D1685="",G1685=""),"",IF(OR(B1685="",NOT(ISNUMBER(B1685)),C1685="",C1685="Fora dos ciclos"),"",IF(C1685="C0","Nao",IF(IFERROR(INDEX(parametros!$A$2:$A$6,MATCH(C1685,parametros!$B$2:$B$6,0)),"")&lt;&gt;"Sim","Nao",IF(IFERROR(INDEX(parametros!$H$2:$H$6,MATCH(C1685,parametros!$B$2:$B$6,0)),"")="","",IF(B1685&gt;=IFERROR(INDEX(parametros!$H$2:$H$6,MATCH(C1685,parametros!$B$2:$B$6,0)),""),"Sim","Nao"))))))</f>
        <v/>
      </c>
      <c r="T1685" s="156"/>
      <c r="U1685" s="214" t="str">
        <f t="shared" si="136"/>
        <v/>
      </c>
      <c r="V1685" s="212" t="s">
        <v>50</v>
      </c>
      <c r="W1685" s="100" t="s">
        <v>168</v>
      </c>
      <c r="X1685" s="100" t="s">
        <v>169</v>
      </c>
      <c r="Y1685" s="101" t="s">
        <v>170</v>
      </c>
      <c r="Z1685" s="101" t="s">
        <v>171</v>
      </c>
      <c r="AA1685" s="101" t="s">
        <v>50</v>
      </c>
      <c r="AB1685" s="101" t="s">
        <v>172</v>
      </c>
      <c r="AC1685" s="102" t="s">
        <v>173</v>
      </c>
    </row>
    <row r="1686" spans="1:29" ht="25.5" customHeight="1" x14ac:dyDescent="0.35">
      <c r="A1686" s="392"/>
      <c r="B1686" s="393"/>
      <c r="C1686" s="99" t="str">
        <f>IF(B1686="","",IF(NOT(ISNUMBER(B1686)),"DATA_PC invalida",IF(NOT(ISNUMBER(parametros!$C$2)),"Fora dos ciclos",IF(OR(B1686&lt;parametros!$C$2,(YEAR(B1686)-YEAR(parametros!$C$2))*12+MONTH(B1686)-MONTH(parametros!$C$2)&gt;59),"Fora dos ciclos","C"&amp;INT(((YEAR(B1686)-YEAR(parametros!$C$2))*12+MONTH(B1686)-MONTH(parametros!$C$2))/12)))))</f>
        <v/>
      </c>
      <c r="D1686" s="394"/>
      <c r="E1686" s="78" t="str">
        <f>IF(C1686="","",IFERROR(VLOOKUP(C1686,parametros!$A$11:$E$15,5,0),""))</f>
        <v/>
      </c>
      <c r="F1686" s="79" t="str">
        <f t="shared" si="132"/>
        <v/>
      </c>
      <c r="G1686" s="395"/>
      <c r="H1686" s="91">
        <f t="shared" si="133"/>
        <v>0</v>
      </c>
      <c r="I1686" s="91" t="str">
        <f t="shared" si="134"/>
        <v/>
      </c>
      <c r="J1686" s="91" t="str">
        <f t="shared" si="135"/>
        <v/>
      </c>
      <c r="K1686" s="92" t="str">
        <f>IF(AND(A1686="",B1686="",D1686="",G1686=""),"",IF(AND(A1686&lt;&gt;"",COUNTIF($A$2:$A$5001,A1686)&gt;1),"NUMERO_PC duplicado",IF(B1686="","DATA_PC vazia",IF(NOT(ISNUMBER(B1686)),"DATA_PC invalida",IF(OR(C1686="",C1686="Fora dos ciclos"),"CICLO_PC nao identificado",IF(OR(D1686="",D1686=0),"VALOR_PC vazio ou zero",IF(AND(G1686&lt;&gt;"Sim",G1686&lt;&gt;"Nao",G1686&lt;&gt;""),"PC_PAGO_A_CONTRATADA invalido",IF(AND(C1686&lt;&gt;"C0",IFERROR(INDEX(parametros!$A$2:$A$6,MATCH(C1686,parametros!$B$2:$B$6,0)),"")="Sim",IFERROR(INDEX(parametros!$H$2:$H$6,MATCH(C1686,parametros!$B$2:$B$6,0)),"")=""),"INICIO_EFEITO ausente: PC "&amp;A1686&amp;" - "&amp;C1686,IF(L1686="","EFEITO_PC nao calculado: PC "&amp;A1686&amp;" - "&amp;C1686,"OK")))))))))</f>
        <v/>
      </c>
      <c r="L1686" s="92" t="str">
        <f>IF(AND(A1686="",B1686="",D1686="",G1686=""),"",IF(OR(B1686="",NOT(ISNUMBER(B1686)),C1686="",C1686="Fora dos ciclos"),"",IF(C1686="C0","Nao",IF(IFERROR(INDEX(parametros!$A$2:$A$6,MATCH(C1686,parametros!$B$2:$B$6,0)),"")&lt;&gt;"Sim","Nao",IF(IFERROR(INDEX(parametros!$H$2:$H$6,MATCH(C1686,parametros!$B$2:$B$6,0)),"")="","",IF(B1686&gt;=IFERROR(INDEX(parametros!$H$2:$H$6,MATCH(C1686,parametros!$B$2:$B$6,0)),""),"Sim","Nao"))))))</f>
        <v/>
      </c>
      <c r="T1686" s="156"/>
      <c r="U1686" s="214" t="str">
        <f t="shared" si="136"/>
        <v/>
      </c>
      <c r="V1686" s="212" t="s">
        <v>50</v>
      </c>
      <c r="W1686" s="100" t="s">
        <v>168</v>
      </c>
      <c r="X1686" s="100" t="s">
        <v>169</v>
      </c>
      <c r="Y1686" s="101" t="s">
        <v>170</v>
      </c>
      <c r="Z1686" s="101" t="s">
        <v>171</v>
      </c>
      <c r="AA1686" s="101" t="s">
        <v>50</v>
      </c>
      <c r="AB1686" s="101" t="s">
        <v>172</v>
      </c>
      <c r="AC1686" s="102" t="s">
        <v>173</v>
      </c>
    </row>
    <row r="1687" spans="1:29" ht="25.5" customHeight="1" x14ac:dyDescent="0.35">
      <c r="A1687" s="392"/>
      <c r="B1687" s="393"/>
      <c r="C1687" s="99" t="str">
        <f>IF(B1687="","",IF(NOT(ISNUMBER(B1687)),"DATA_PC invalida",IF(NOT(ISNUMBER(parametros!$C$2)),"Fora dos ciclos",IF(OR(B1687&lt;parametros!$C$2,(YEAR(B1687)-YEAR(parametros!$C$2))*12+MONTH(B1687)-MONTH(parametros!$C$2)&gt;59),"Fora dos ciclos","C"&amp;INT(((YEAR(B1687)-YEAR(parametros!$C$2))*12+MONTH(B1687)-MONTH(parametros!$C$2))/12)))))</f>
        <v/>
      </c>
      <c r="D1687" s="394"/>
      <c r="E1687" s="78" t="str">
        <f>IF(C1687="","",IFERROR(VLOOKUP(C1687,parametros!$A$11:$E$15,5,0),""))</f>
        <v/>
      </c>
      <c r="F1687" s="79" t="str">
        <f t="shared" si="132"/>
        <v/>
      </c>
      <c r="G1687" s="395"/>
      <c r="H1687" s="91">
        <f t="shared" si="133"/>
        <v>0</v>
      </c>
      <c r="I1687" s="91" t="str">
        <f t="shared" si="134"/>
        <v/>
      </c>
      <c r="J1687" s="91" t="str">
        <f t="shared" si="135"/>
        <v/>
      </c>
      <c r="K1687" s="92" t="str">
        <f>IF(AND(A1687="",B1687="",D1687="",G1687=""),"",IF(AND(A1687&lt;&gt;"",COUNTIF($A$2:$A$5001,A1687)&gt;1),"NUMERO_PC duplicado",IF(B1687="","DATA_PC vazia",IF(NOT(ISNUMBER(B1687)),"DATA_PC invalida",IF(OR(C1687="",C1687="Fora dos ciclos"),"CICLO_PC nao identificado",IF(OR(D1687="",D1687=0),"VALOR_PC vazio ou zero",IF(AND(G1687&lt;&gt;"Sim",G1687&lt;&gt;"Nao",G1687&lt;&gt;""),"PC_PAGO_A_CONTRATADA invalido",IF(AND(C1687&lt;&gt;"C0",IFERROR(INDEX(parametros!$A$2:$A$6,MATCH(C1687,parametros!$B$2:$B$6,0)),"")="Sim",IFERROR(INDEX(parametros!$H$2:$H$6,MATCH(C1687,parametros!$B$2:$B$6,0)),"")=""),"INICIO_EFEITO ausente: PC "&amp;A1687&amp;" - "&amp;C1687,IF(L1687="","EFEITO_PC nao calculado: PC "&amp;A1687&amp;" - "&amp;C1687,"OK")))))))))</f>
        <v/>
      </c>
      <c r="L1687" s="92" t="str">
        <f>IF(AND(A1687="",B1687="",D1687="",G1687=""),"",IF(OR(B1687="",NOT(ISNUMBER(B1687)),C1687="",C1687="Fora dos ciclos"),"",IF(C1687="C0","Nao",IF(IFERROR(INDEX(parametros!$A$2:$A$6,MATCH(C1687,parametros!$B$2:$B$6,0)),"")&lt;&gt;"Sim","Nao",IF(IFERROR(INDEX(parametros!$H$2:$H$6,MATCH(C1687,parametros!$B$2:$B$6,0)),"")="","",IF(B1687&gt;=IFERROR(INDEX(parametros!$H$2:$H$6,MATCH(C1687,parametros!$B$2:$B$6,0)),""),"Sim","Nao"))))))</f>
        <v/>
      </c>
      <c r="T1687" s="156"/>
      <c r="U1687" s="214" t="str">
        <f t="shared" si="136"/>
        <v/>
      </c>
      <c r="V1687" s="212" t="s">
        <v>50</v>
      </c>
      <c r="W1687" s="100" t="s">
        <v>168</v>
      </c>
      <c r="X1687" s="100" t="s">
        <v>169</v>
      </c>
      <c r="Y1687" s="101" t="s">
        <v>170</v>
      </c>
      <c r="Z1687" s="101" t="s">
        <v>171</v>
      </c>
      <c r="AA1687" s="101" t="s">
        <v>50</v>
      </c>
      <c r="AB1687" s="101" t="s">
        <v>172</v>
      </c>
      <c r="AC1687" s="102" t="s">
        <v>173</v>
      </c>
    </row>
    <row r="1688" spans="1:29" ht="25.5" customHeight="1" x14ac:dyDescent="0.35">
      <c r="A1688" s="392"/>
      <c r="B1688" s="393"/>
      <c r="C1688" s="99" t="str">
        <f>IF(B1688="","",IF(NOT(ISNUMBER(B1688)),"DATA_PC invalida",IF(NOT(ISNUMBER(parametros!$C$2)),"Fora dos ciclos",IF(OR(B1688&lt;parametros!$C$2,(YEAR(B1688)-YEAR(parametros!$C$2))*12+MONTH(B1688)-MONTH(parametros!$C$2)&gt;59),"Fora dos ciclos","C"&amp;INT(((YEAR(B1688)-YEAR(parametros!$C$2))*12+MONTH(B1688)-MONTH(parametros!$C$2))/12)))))</f>
        <v/>
      </c>
      <c r="D1688" s="394"/>
      <c r="E1688" s="78" t="str">
        <f>IF(C1688="","",IFERROR(VLOOKUP(C1688,parametros!$A$11:$E$15,5,0),""))</f>
        <v/>
      </c>
      <c r="F1688" s="79" t="str">
        <f t="shared" si="132"/>
        <v/>
      </c>
      <c r="G1688" s="395"/>
      <c r="H1688" s="91">
        <f t="shared" si="133"/>
        <v>0</v>
      </c>
      <c r="I1688" s="91" t="str">
        <f t="shared" si="134"/>
        <v/>
      </c>
      <c r="J1688" s="91" t="str">
        <f t="shared" si="135"/>
        <v/>
      </c>
      <c r="K1688" s="92" t="str">
        <f>IF(AND(A1688="",B1688="",D1688="",G1688=""),"",IF(AND(A1688&lt;&gt;"",COUNTIF($A$2:$A$5001,A1688)&gt;1),"NUMERO_PC duplicado",IF(B1688="","DATA_PC vazia",IF(NOT(ISNUMBER(B1688)),"DATA_PC invalida",IF(OR(C1688="",C1688="Fora dos ciclos"),"CICLO_PC nao identificado",IF(OR(D1688="",D1688=0),"VALOR_PC vazio ou zero",IF(AND(G1688&lt;&gt;"Sim",G1688&lt;&gt;"Nao",G1688&lt;&gt;""),"PC_PAGO_A_CONTRATADA invalido",IF(AND(C1688&lt;&gt;"C0",IFERROR(INDEX(parametros!$A$2:$A$6,MATCH(C1688,parametros!$B$2:$B$6,0)),"")="Sim",IFERROR(INDEX(parametros!$H$2:$H$6,MATCH(C1688,parametros!$B$2:$B$6,0)),"")=""),"INICIO_EFEITO ausente: PC "&amp;A1688&amp;" - "&amp;C1688,IF(L1688="","EFEITO_PC nao calculado: PC "&amp;A1688&amp;" - "&amp;C1688,"OK")))))))))</f>
        <v/>
      </c>
      <c r="L1688" s="92" t="str">
        <f>IF(AND(A1688="",B1688="",D1688="",G1688=""),"",IF(OR(B1688="",NOT(ISNUMBER(B1688)),C1688="",C1688="Fora dos ciclos"),"",IF(C1688="C0","Nao",IF(IFERROR(INDEX(parametros!$A$2:$A$6,MATCH(C1688,parametros!$B$2:$B$6,0)),"")&lt;&gt;"Sim","Nao",IF(IFERROR(INDEX(parametros!$H$2:$H$6,MATCH(C1688,parametros!$B$2:$B$6,0)),"")="","",IF(B1688&gt;=IFERROR(INDEX(parametros!$H$2:$H$6,MATCH(C1688,parametros!$B$2:$B$6,0)),""),"Sim","Nao"))))))</f>
        <v/>
      </c>
      <c r="T1688" s="156"/>
      <c r="U1688" s="214" t="str">
        <f t="shared" si="136"/>
        <v/>
      </c>
      <c r="V1688" s="212" t="s">
        <v>50</v>
      </c>
      <c r="W1688" s="100" t="s">
        <v>168</v>
      </c>
      <c r="X1688" s="100" t="s">
        <v>169</v>
      </c>
      <c r="Y1688" s="101" t="s">
        <v>170</v>
      </c>
      <c r="Z1688" s="101" t="s">
        <v>171</v>
      </c>
      <c r="AA1688" s="101" t="s">
        <v>50</v>
      </c>
      <c r="AB1688" s="101" t="s">
        <v>172</v>
      </c>
      <c r="AC1688" s="102" t="s">
        <v>173</v>
      </c>
    </row>
    <row r="1689" spans="1:29" ht="25.5" customHeight="1" x14ac:dyDescent="0.35">
      <c r="A1689" s="392"/>
      <c r="B1689" s="393"/>
      <c r="C1689" s="99" t="str">
        <f>IF(B1689="","",IF(NOT(ISNUMBER(B1689)),"DATA_PC invalida",IF(NOT(ISNUMBER(parametros!$C$2)),"Fora dos ciclos",IF(OR(B1689&lt;parametros!$C$2,(YEAR(B1689)-YEAR(parametros!$C$2))*12+MONTH(B1689)-MONTH(parametros!$C$2)&gt;59),"Fora dos ciclos","C"&amp;INT(((YEAR(B1689)-YEAR(parametros!$C$2))*12+MONTH(B1689)-MONTH(parametros!$C$2))/12)))))</f>
        <v/>
      </c>
      <c r="D1689" s="394"/>
      <c r="E1689" s="78" t="str">
        <f>IF(C1689="","",IFERROR(VLOOKUP(C1689,parametros!$A$11:$E$15,5,0),""))</f>
        <v/>
      </c>
      <c r="F1689" s="79" t="str">
        <f t="shared" si="132"/>
        <v/>
      </c>
      <c r="G1689" s="395"/>
      <c r="H1689" s="91">
        <f t="shared" si="133"/>
        <v>0</v>
      </c>
      <c r="I1689" s="91" t="str">
        <f t="shared" si="134"/>
        <v/>
      </c>
      <c r="J1689" s="91" t="str">
        <f t="shared" si="135"/>
        <v/>
      </c>
      <c r="K1689" s="92" t="str">
        <f>IF(AND(A1689="",B1689="",D1689="",G1689=""),"",IF(AND(A1689&lt;&gt;"",COUNTIF($A$2:$A$5001,A1689)&gt;1),"NUMERO_PC duplicado",IF(B1689="","DATA_PC vazia",IF(NOT(ISNUMBER(B1689)),"DATA_PC invalida",IF(OR(C1689="",C1689="Fora dos ciclos"),"CICLO_PC nao identificado",IF(OR(D1689="",D1689=0),"VALOR_PC vazio ou zero",IF(AND(G1689&lt;&gt;"Sim",G1689&lt;&gt;"Nao",G1689&lt;&gt;""),"PC_PAGO_A_CONTRATADA invalido",IF(AND(C1689&lt;&gt;"C0",IFERROR(INDEX(parametros!$A$2:$A$6,MATCH(C1689,parametros!$B$2:$B$6,0)),"")="Sim",IFERROR(INDEX(parametros!$H$2:$H$6,MATCH(C1689,parametros!$B$2:$B$6,0)),"")=""),"INICIO_EFEITO ausente: PC "&amp;A1689&amp;" - "&amp;C1689,IF(L1689="","EFEITO_PC nao calculado: PC "&amp;A1689&amp;" - "&amp;C1689,"OK")))))))))</f>
        <v/>
      </c>
      <c r="L1689" s="92" t="str">
        <f>IF(AND(A1689="",B1689="",D1689="",G1689=""),"",IF(OR(B1689="",NOT(ISNUMBER(B1689)),C1689="",C1689="Fora dos ciclos"),"",IF(C1689="C0","Nao",IF(IFERROR(INDEX(parametros!$A$2:$A$6,MATCH(C1689,parametros!$B$2:$B$6,0)),"")&lt;&gt;"Sim","Nao",IF(IFERROR(INDEX(parametros!$H$2:$H$6,MATCH(C1689,parametros!$B$2:$B$6,0)),"")="","",IF(B1689&gt;=IFERROR(INDEX(parametros!$H$2:$H$6,MATCH(C1689,parametros!$B$2:$B$6,0)),""),"Sim","Nao"))))))</f>
        <v/>
      </c>
      <c r="T1689" s="156"/>
      <c r="U1689" s="214" t="str">
        <f t="shared" si="136"/>
        <v/>
      </c>
      <c r="V1689" s="212" t="s">
        <v>50</v>
      </c>
      <c r="W1689" s="100" t="s">
        <v>168</v>
      </c>
      <c r="X1689" s="100" t="s">
        <v>169</v>
      </c>
      <c r="Y1689" s="101" t="s">
        <v>170</v>
      </c>
      <c r="Z1689" s="101" t="s">
        <v>171</v>
      </c>
      <c r="AA1689" s="101" t="s">
        <v>50</v>
      </c>
      <c r="AB1689" s="101" t="s">
        <v>172</v>
      </c>
      <c r="AC1689" s="102" t="s">
        <v>173</v>
      </c>
    </row>
    <row r="1690" spans="1:29" ht="25.5" customHeight="1" x14ac:dyDescent="0.35">
      <c r="A1690" s="392"/>
      <c r="B1690" s="393"/>
      <c r="C1690" s="99" t="str">
        <f>IF(B1690="","",IF(NOT(ISNUMBER(B1690)),"DATA_PC invalida",IF(NOT(ISNUMBER(parametros!$C$2)),"Fora dos ciclos",IF(OR(B1690&lt;parametros!$C$2,(YEAR(B1690)-YEAR(parametros!$C$2))*12+MONTH(B1690)-MONTH(parametros!$C$2)&gt;59),"Fora dos ciclos","C"&amp;INT(((YEAR(B1690)-YEAR(parametros!$C$2))*12+MONTH(B1690)-MONTH(parametros!$C$2))/12)))))</f>
        <v/>
      </c>
      <c r="D1690" s="394"/>
      <c r="E1690" s="78" t="str">
        <f>IF(C1690="","",IFERROR(VLOOKUP(C1690,parametros!$A$11:$E$15,5,0),""))</f>
        <v/>
      </c>
      <c r="F1690" s="79" t="str">
        <f t="shared" si="132"/>
        <v/>
      </c>
      <c r="G1690" s="395"/>
      <c r="H1690" s="91">
        <f t="shared" si="133"/>
        <v>0</v>
      </c>
      <c r="I1690" s="91" t="str">
        <f t="shared" si="134"/>
        <v/>
      </c>
      <c r="J1690" s="91" t="str">
        <f t="shared" si="135"/>
        <v/>
      </c>
      <c r="K1690" s="92" t="str">
        <f>IF(AND(A1690="",B1690="",D1690="",G1690=""),"",IF(AND(A1690&lt;&gt;"",COUNTIF($A$2:$A$5001,A1690)&gt;1),"NUMERO_PC duplicado",IF(B1690="","DATA_PC vazia",IF(NOT(ISNUMBER(B1690)),"DATA_PC invalida",IF(OR(C1690="",C1690="Fora dos ciclos"),"CICLO_PC nao identificado",IF(OR(D1690="",D1690=0),"VALOR_PC vazio ou zero",IF(AND(G1690&lt;&gt;"Sim",G1690&lt;&gt;"Nao",G1690&lt;&gt;""),"PC_PAGO_A_CONTRATADA invalido",IF(AND(C1690&lt;&gt;"C0",IFERROR(INDEX(parametros!$A$2:$A$6,MATCH(C1690,parametros!$B$2:$B$6,0)),"")="Sim",IFERROR(INDEX(parametros!$H$2:$H$6,MATCH(C1690,parametros!$B$2:$B$6,0)),"")=""),"INICIO_EFEITO ausente: PC "&amp;A1690&amp;" - "&amp;C1690,IF(L1690="","EFEITO_PC nao calculado: PC "&amp;A1690&amp;" - "&amp;C1690,"OK")))))))))</f>
        <v/>
      </c>
      <c r="L1690" s="92" t="str">
        <f>IF(AND(A1690="",B1690="",D1690="",G1690=""),"",IF(OR(B1690="",NOT(ISNUMBER(B1690)),C1690="",C1690="Fora dos ciclos"),"",IF(C1690="C0","Nao",IF(IFERROR(INDEX(parametros!$A$2:$A$6,MATCH(C1690,parametros!$B$2:$B$6,0)),"")&lt;&gt;"Sim","Nao",IF(IFERROR(INDEX(parametros!$H$2:$H$6,MATCH(C1690,parametros!$B$2:$B$6,0)),"")="","",IF(B1690&gt;=IFERROR(INDEX(parametros!$H$2:$H$6,MATCH(C1690,parametros!$B$2:$B$6,0)),""),"Sim","Nao"))))))</f>
        <v/>
      </c>
      <c r="T1690" s="156"/>
      <c r="U1690" s="214" t="str">
        <f t="shared" si="136"/>
        <v/>
      </c>
      <c r="V1690" s="212" t="s">
        <v>50</v>
      </c>
      <c r="W1690" s="100" t="s">
        <v>168</v>
      </c>
      <c r="X1690" s="100" t="s">
        <v>169</v>
      </c>
      <c r="Y1690" s="101" t="s">
        <v>170</v>
      </c>
      <c r="Z1690" s="101" t="s">
        <v>171</v>
      </c>
      <c r="AA1690" s="101" t="s">
        <v>50</v>
      </c>
      <c r="AB1690" s="101" t="s">
        <v>172</v>
      </c>
      <c r="AC1690" s="102" t="s">
        <v>173</v>
      </c>
    </row>
    <row r="1691" spans="1:29" ht="25.5" customHeight="1" x14ac:dyDescent="0.35">
      <c r="A1691" s="392"/>
      <c r="B1691" s="393"/>
      <c r="C1691" s="99" t="str">
        <f>IF(B1691="","",IF(NOT(ISNUMBER(B1691)),"DATA_PC invalida",IF(NOT(ISNUMBER(parametros!$C$2)),"Fora dos ciclos",IF(OR(B1691&lt;parametros!$C$2,(YEAR(B1691)-YEAR(parametros!$C$2))*12+MONTH(B1691)-MONTH(parametros!$C$2)&gt;59),"Fora dos ciclos","C"&amp;INT(((YEAR(B1691)-YEAR(parametros!$C$2))*12+MONTH(B1691)-MONTH(parametros!$C$2))/12)))))</f>
        <v/>
      </c>
      <c r="D1691" s="394"/>
      <c r="E1691" s="78" t="str">
        <f>IF(C1691="","",IFERROR(VLOOKUP(C1691,parametros!$A$11:$E$15,5,0),""))</f>
        <v/>
      </c>
      <c r="F1691" s="79" t="str">
        <f t="shared" si="132"/>
        <v/>
      </c>
      <c r="G1691" s="395"/>
      <c r="H1691" s="91">
        <f t="shared" si="133"/>
        <v>0</v>
      </c>
      <c r="I1691" s="91" t="str">
        <f t="shared" si="134"/>
        <v/>
      </c>
      <c r="J1691" s="91" t="str">
        <f t="shared" si="135"/>
        <v/>
      </c>
      <c r="K1691" s="92" t="str">
        <f>IF(AND(A1691="",B1691="",D1691="",G1691=""),"",IF(AND(A1691&lt;&gt;"",COUNTIF($A$2:$A$5001,A1691)&gt;1),"NUMERO_PC duplicado",IF(B1691="","DATA_PC vazia",IF(NOT(ISNUMBER(B1691)),"DATA_PC invalida",IF(OR(C1691="",C1691="Fora dos ciclos"),"CICLO_PC nao identificado",IF(OR(D1691="",D1691=0),"VALOR_PC vazio ou zero",IF(AND(G1691&lt;&gt;"Sim",G1691&lt;&gt;"Nao",G1691&lt;&gt;""),"PC_PAGO_A_CONTRATADA invalido",IF(AND(C1691&lt;&gt;"C0",IFERROR(INDEX(parametros!$A$2:$A$6,MATCH(C1691,parametros!$B$2:$B$6,0)),"")="Sim",IFERROR(INDEX(parametros!$H$2:$H$6,MATCH(C1691,parametros!$B$2:$B$6,0)),"")=""),"INICIO_EFEITO ausente: PC "&amp;A1691&amp;" - "&amp;C1691,IF(L1691="","EFEITO_PC nao calculado: PC "&amp;A1691&amp;" - "&amp;C1691,"OK")))))))))</f>
        <v/>
      </c>
      <c r="L1691" s="92" t="str">
        <f>IF(AND(A1691="",B1691="",D1691="",G1691=""),"",IF(OR(B1691="",NOT(ISNUMBER(B1691)),C1691="",C1691="Fora dos ciclos"),"",IF(C1691="C0","Nao",IF(IFERROR(INDEX(parametros!$A$2:$A$6,MATCH(C1691,parametros!$B$2:$B$6,0)),"")&lt;&gt;"Sim","Nao",IF(IFERROR(INDEX(parametros!$H$2:$H$6,MATCH(C1691,parametros!$B$2:$B$6,0)),"")="","",IF(B1691&gt;=IFERROR(INDEX(parametros!$H$2:$H$6,MATCH(C1691,parametros!$B$2:$B$6,0)),""),"Sim","Nao"))))))</f>
        <v/>
      </c>
      <c r="T1691" s="156"/>
      <c r="U1691" s="214" t="str">
        <f t="shared" si="136"/>
        <v/>
      </c>
      <c r="V1691" s="212" t="s">
        <v>50</v>
      </c>
      <c r="W1691" s="100" t="s">
        <v>168</v>
      </c>
      <c r="X1691" s="100" t="s">
        <v>169</v>
      </c>
      <c r="Y1691" s="101" t="s">
        <v>170</v>
      </c>
      <c r="Z1691" s="101" t="s">
        <v>171</v>
      </c>
      <c r="AA1691" s="101" t="s">
        <v>50</v>
      </c>
      <c r="AB1691" s="101" t="s">
        <v>172</v>
      </c>
      <c r="AC1691" s="102" t="s">
        <v>173</v>
      </c>
    </row>
    <row r="1692" spans="1:29" ht="25.5" customHeight="1" x14ac:dyDescent="0.35">
      <c r="A1692" s="392"/>
      <c r="B1692" s="393"/>
      <c r="C1692" s="99" t="str">
        <f>IF(B1692="","",IF(NOT(ISNUMBER(B1692)),"DATA_PC invalida",IF(NOT(ISNUMBER(parametros!$C$2)),"Fora dos ciclos",IF(OR(B1692&lt;parametros!$C$2,(YEAR(B1692)-YEAR(parametros!$C$2))*12+MONTH(B1692)-MONTH(parametros!$C$2)&gt;59),"Fora dos ciclos","C"&amp;INT(((YEAR(B1692)-YEAR(parametros!$C$2))*12+MONTH(B1692)-MONTH(parametros!$C$2))/12)))))</f>
        <v/>
      </c>
      <c r="D1692" s="394"/>
      <c r="E1692" s="78" t="str">
        <f>IF(C1692="","",IFERROR(VLOOKUP(C1692,parametros!$A$11:$E$15,5,0),""))</f>
        <v/>
      </c>
      <c r="F1692" s="79" t="str">
        <f t="shared" si="132"/>
        <v/>
      </c>
      <c r="G1692" s="395"/>
      <c r="H1692" s="91">
        <f t="shared" si="133"/>
        <v>0</v>
      </c>
      <c r="I1692" s="91" t="str">
        <f t="shared" si="134"/>
        <v/>
      </c>
      <c r="J1692" s="91" t="str">
        <f t="shared" si="135"/>
        <v/>
      </c>
      <c r="K1692" s="92" t="str">
        <f>IF(AND(A1692="",B1692="",D1692="",G1692=""),"",IF(AND(A1692&lt;&gt;"",COUNTIF($A$2:$A$5001,A1692)&gt;1),"NUMERO_PC duplicado",IF(B1692="","DATA_PC vazia",IF(NOT(ISNUMBER(B1692)),"DATA_PC invalida",IF(OR(C1692="",C1692="Fora dos ciclos"),"CICLO_PC nao identificado",IF(OR(D1692="",D1692=0),"VALOR_PC vazio ou zero",IF(AND(G1692&lt;&gt;"Sim",G1692&lt;&gt;"Nao",G1692&lt;&gt;""),"PC_PAGO_A_CONTRATADA invalido",IF(AND(C1692&lt;&gt;"C0",IFERROR(INDEX(parametros!$A$2:$A$6,MATCH(C1692,parametros!$B$2:$B$6,0)),"")="Sim",IFERROR(INDEX(parametros!$H$2:$H$6,MATCH(C1692,parametros!$B$2:$B$6,0)),"")=""),"INICIO_EFEITO ausente: PC "&amp;A1692&amp;" - "&amp;C1692,IF(L1692="","EFEITO_PC nao calculado: PC "&amp;A1692&amp;" - "&amp;C1692,"OK")))))))))</f>
        <v/>
      </c>
      <c r="L1692" s="92" t="str">
        <f>IF(AND(A1692="",B1692="",D1692="",G1692=""),"",IF(OR(B1692="",NOT(ISNUMBER(B1692)),C1692="",C1692="Fora dos ciclos"),"",IF(C1692="C0","Nao",IF(IFERROR(INDEX(parametros!$A$2:$A$6,MATCH(C1692,parametros!$B$2:$B$6,0)),"")&lt;&gt;"Sim","Nao",IF(IFERROR(INDEX(parametros!$H$2:$H$6,MATCH(C1692,parametros!$B$2:$B$6,0)),"")="","",IF(B1692&gt;=IFERROR(INDEX(parametros!$H$2:$H$6,MATCH(C1692,parametros!$B$2:$B$6,0)),""),"Sim","Nao"))))))</f>
        <v/>
      </c>
      <c r="T1692" s="156"/>
      <c r="U1692" s="214" t="str">
        <f t="shared" si="136"/>
        <v/>
      </c>
      <c r="V1692" s="212" t="s">
        <v>50</v>
      </c>
      <c r="W1692" s="100" t="s">
        <v>168</v>
      </c>
      <c r="X1692" s="100" t="s">
        <v>169</v>
      </c>
      <c r="Y1692" s="101" t="s">
        <v>170</v>
      </c>
      <c r="Z1692" s="101" t="s">
        <v>171</v>
      </c>
      <c r="AA1692" s="101" t="s">
        <v>50</v>
      </c>
      <c r="AB1692" s="101" t="s">
        <v>172</v>
      </c>
      <c r="AC1692" s="102" t="s">
        <v>173</v>
      </c>
    </row>
    <row r="1693" spans="1:29" ht="25.5" customHeight="1" x14ac:dyDescent="0.35">
      <c r="A1693" s="392"/>
      <c r="B1693" s="393"/>
      <c r="C1693" s="99" t="str">
        <f>IF(B1693="","",IF(NOT(ISNUMBER(B1693)),"DATA_PC invalida",IF(NOT(ISNUMBER(parametros!$C$2)),"Fora dos ciclos",IF(OR(B1693&lt;parametros!$C$2,(YEAR(B1693)-YEAR(parametros!$C$2))*12+MONTH(B1693)-MONTH(parametros!$C$2)&gt;59),"Fora dos ciclos","C"&amp;INT(((YEAR(B1693)-YEAR(parametros!$C$2))*12+MONTH(B1693)-MONTH(parametros!$C$2))/12)))))</f>
        <v/>
      </c>
      <c r="D1693" s="394"/>
      <c r="E1693" s="78" t="str">
        <f>IF(C1693="","",IFERROR(VLOOKUP(C1693,parametros!$A$11:$E$15,5,0),""))</f>
        <v/>
      </c>
      <c r="F1693" s="79" t="str">
        <f t="shared" si="132"/>
        <v/>
      </c>
      <c r="G1693" s="395"/>
      <c r="H1693" s="91">
        <f t="shared" si="133"/>
        <v>0</v>
      </c>
      <c r="I1693" s="91" t="str">
        <f t="shared" si="134"/>
        <v/>
      </c>
      <c r="J1693" s="91" t="str">
        <f t="shared" si="135"/>
        <v/>
      </c>
      <c r="K1693" s="92" t="str">
        <f>IF(AND(A1693="",B1693="",D1693="",G1693=""),"",IF(AND(A1693&lt;&gt;"",COUNTIF($A$2:$A$5001,A1693)&gt;1),"NUMERO_PC duplicado",IF(B1693="","DATA_PC vazia",IF(NOT(ISNUMBER(B1693)),"DATA_PC invalida",IF(OR(C1693="",C1693="Fora dos ciclos"),"CICLO_PC nao identificado",IF(OR(D1693="",D1693=0),"VALOR_PC vazio ou zero",IF(AND(G1693&lt;&gt;"Sim",G1693&lt;&gt;"Nao",G1693&lt;&gt;""),"PC_PAGO_A_CONTRATADA invalido",IF(AND(C1693&lt;&gt;"C0",IFERROR(INDEX(parametros!$A$2:$A$6,MATCH(C1693,parametros!$B$2:$B$6,0)),"")="Sim",IFERROR(INDEX(parametros!$H$2:$H$6,MATCH(C1693,parametros!$B$2:$B$6,0)),"")=""),"INICIO_EFEITO ausente: PC "&amp;A1693&amp;" - "&amp;C1693,IF(L1693="","EFEITO_PC nao calculado: PC "&amp;A1693&amp;" - "&amp;C1693,"OK")))))))))</f>
        <v/>
      </c>
      <c r="L1693" s="92" t="str">
        <f>IF(AND(A1693="",B1693="",D1693="",G1693=""),"",IF(OR(B1693="",NOT(ISNUMBER(B1693)),C1693="",C1693="Fora dos ciclos"),"",IF(C1693="C0","Nao",IF(IFERROR(INDEX(parametros!$A$2:$A$6,MATCH(C1693,parametros!$B$2:$B$6,0)),"")&lt;&gt;"Sim","Nao",IF(IFERROR(INDEX(parametros!$H$2:$H$6,MATCH(C1693,parametros!$B$2:$B$6,0)),"")="","",IF(B1693&gt;=IFERROR(INDEX(parametros!$H$2:$H$6,MATCH(C1693,parametros!$B$2:$B$6,0)),""),"Sim","Nao"))))))</f>
        <v/>
      </c>
      <c r="T1693" s="156"/>
      <c r="U1693" s="214" t="str">
        <f t="shared" si="136"/>
        <v/>
      </c>
      <c r="V1693" s="212" t="s">
        <v>50</v>
      </c>
      <c r="W1693" s="100" t="s">
        <v>168</v>
      </c>
      <c r="X1693" s="100" t="s">
        <v>169</v>
      </c>
      <c r="Y1693" s="101" t="s">
        <v>170</v>
      </c>
      <c r="Z1693" s="101" t="s">
        <v>171</v>
      </c>
      <c r="AA1693" s="101" t="s">
        <v>50</v>
      </c>
      <c r="AB1693" s="101" t="s">
        <v>172</v>
      </c>
      <c r="AC1693" s="102" t="s">
        <v>173</v>
      </c>
    </row>
    <row r="1694" spans="1:29" ht="25.5" customHeight="1" x14ac:dyDescent="0.35">
      <c r="A1694" s="392"/>
      <c r="B1694" s="393"/>
      <c r="C1694" s="99" t="str">
        <f>IF(B1694="","",IF(NOT(ISNUMBER(B1694)),"DATA_PC invalida",IF(NOT(ISNUMBER(parametros!$C$2)),"Fora dos ciclos",IF(OR(B1694&lt;parametros!$C$2,(YEAR(B1694)-YEAR(parametros!$C$2))*12+MONTH(B1694)-MONTH(parametros!$C$2)&gt;59),"Fora dos ciclos","C"&amp;INT(((YEAR(B1694)-YEAR(parametros!$C$2))*12+MONTH(B1694)-MONTH(parametros!$C$2))/12)))))</f>
        <v/>
      </c>
      <c r="D1694" s="394"/>
      <c r="E1694" s="78" t="str">
        <f>IF(C1694="","",IFERROR(VLOOKUP(C1694,parametros!$A$11:$E$15,5,0),""))</f>
        <v/>
      </c>
      <c r="F1694" s="79" t="str">
        <f t="shared" si="132"/>
        <v/>
      </c>
      <c r="G1694" s="395"/>
      <c r="H1694" s="91">
        <f t="shared" si="133"/>
        <v>0</v>
      </c>
      <c r="I1694" s="91" t="str">
        <f t="shared" si="134"/>
        <v/>
      </c>
      <c r="J1694" s="91" t="str">
        <f t="shared" si="135"/>
        <v/>
      </c>
      <c r="K1694" s="92" t="str">
        <f>IF(AND(A1694="",B1694="",D1694="",G1694=""),"",IF(AND(A1694&lt;&gt;"",COUNTIF($A$2:$A$5001,A1694)&gt;1),"NUMERO_PC duplicado",IF(B1694="","DATA_PC vazia",IF(NOT(ISNUMBER(B1694)),"DATA_PC invalida",IF(OR(C1694="",C1694="Fora dos ciclos"),"CICLO_PC nao identificado",IF(OR(D1694="",D1694=0),"VALOR_PC vazio ou zero",IF(AND(G1694&lt;&gt;"Sim",G1694&lt;&gt;"Nao",G1694&lt;&gt;""),"PC_PAGO_A_CONTRATADA invalido",IF(AND(C1694&lt;&gt;"C0",IFERROR(INDEX(parametros!$A$2:$A$6,MATCH(C1694,parametros!$B$2:$B$6,0)),"")="Sim",IFERROR(INDEX(parametros!$H$2:$H$6,MATCH(C1694,parametros!$B$2:$B$6,0)),"")=""),"INICIO_EFEITO ausente: PC "&amp;A1694&amp;" - "&amp;C1694,IF(L1694="","EFEITO_PC nao calculado: PC "&amp;A1694&amp;" - "&amp;C1694,"OK")))))))))</f>
        <v/>
      </c>
      <c r="L1694" s="92" t="str">
        <f>IF(AND(A1694="",B1694="",D1694="",G1694=""),"",IF(OR(B1694="",NOT(ISNUMBER(B1694)),C1694="",C1694="Fora dos ciclos"),"",IF(C1694="C0","Nao",IF(IFERROR(INDEX(parametros!$A$2:$A$6,MATCH(C1694,parametros!$B$2:$B$6,0)),"")&lt;&gt;"Sim","Nao",IF(IFERROR(INDEX(parametros!$H$2:$H$6,MATCH(C1694,parametros!$B$2:$B$6,0)),"")="","",IF(B1694&gt;=IFERROR(INDEX(parametros!$H$2:$H$6,MATCH(C1694,parametros!$B$2:$B$6,0)),""),"Sim","Nao"))))))</f>
        <v/>
      </c>
      <c r="T1694" s="156"/>
      <c r="U1694" s="214" t="str">
        <f t="shared" si="136"/>
        <v/>
      </c>
      <c r="V1694" s="212" t="s">
        <v>50</v>
      </c>
      <c r="W1694" s="100" t="s">
        <v>168</v>
      </c>
      <c r="X1694" s="100" t="s">
        <v>169</v>
      </c>
      <c r="Y1694" s="101" t="s">
        <v>170</v>
      </c>
      <c r="Z1694" s="101" t="s">
        <v>171</v>
      </c>
      <c r="AA1694" s="101" t="s">
        <v>50</v>
      </c>
      <c r="AB1694" s="101" t="s">
        <v>172</v>
      </c>
      <c r="AC1694" s="102" t="s">
        <v>173</v>
      </c>
    </row>
    <row r="1695" spans="1:29" ht="25.5" customHeight="1" x14ac:dyDescent="0.35">
      <c r="A1695" s="392"/>
      <c r="B1695" s="393"/>
      <c r="C1695" s="99" t="str">
        <f>IF(B1695="","",IF(NOT(ISNUMBER(B1695)),"DATA_PC invalida",IF(NOT(ISNUMBER(parametros!$C$2)),"Fora dos ciclos",IF(OR(B1695&lt;parametros!$C$2,(YEAR(B1695)-YEAR(parametros!$C$2))*12+MONTH(B1695)-MONTH(parametros!$C$2)&gt;59),"Fora dos ciclos","C"&amp;INT(((YEAR(B1695)-YEAR(parametros!$C$2))*12+MONTH(B1695)-MONTH(parametros!$C$2))/12)))))</f>
        <v/>
      </c>
      <c r="D1695" s="394"/>
      <c r="E1695" s="78" t="str">
        <f>IF(C1695="","",IFERROR(VLOOKUP(C1695,parametros!$A$11:$E$15,5,0),""))</f>
        <v/>
      </c>
      <c r="F1695" s="79" t="str">
        <f t="shared" si="132"/>
        <v/>
      </c>
      <c r="G1695" s="395"/>
      <c r="H1695" s="91">
        <f t="shared" si="133"/>
        <v>0</v>
      </c>
      <c r="I1695" s="91" t="str">
        <f t="shared" si="134"/>
        <v/>
      </c>
      <c r="J1695" s="91" t="str">
        <f t="shared" si="135"/>
        <v/>
      </c>
      <c r="K1695" s="92" t="str">
        <f>IF(AND(A1695="",B1695="",D1695="",G1695=""),"",IF(AND(A1695&lt;&gt;"",COUNTIF($A$2:$A$5001,A1695)&gt;1),"NUMERO_PC duplicado",IF(B1695="","DATA_PC vazia",IF(NOT(ISNUMBER(B1695)),"DATA_PC invalida",IF(OR(C1695="",C1695="Fora dos ciclos"),"CICLO_PC nao identificado",IF(OR(D1695="",D1695=0),"VALOR_PC vazio ou zero",IF(AND(G1695&lt;&gt;"Sim",G1695&lt;&gt;"Nao",G1695&lt;&gt;""),"PC_PAGO_A_CONTRATADA invalido",IF(AND(C1695&lt;&gt;"C0",IFERROR(INDEX(parametros!$A$2:$A$6,MATCH(C1695,parametros!$B$2:$B$6,0)),"")="Sim",IFERROR(INDEX(parametros!$H$2:$H$6,MATCH(C1695,parametros!$B$2:$B$6,0)),"")=""),"INICIO_EFEITO ausente: PC "&amp;A1695&amp;" - "&amp;C1695,IF(L1695="","EFEITO_PC nao calculado: PC "&amp;A1695&amp;" - "&amp;C1695,"OK")))))))))</f>
        <v/>
      </c>
      <c r="L1695" s="92" t="str">
        <f>IF(AND(A1695="",B1695="",D1695="",G1695=""),"",IF(OR(B1695="",NOT(ISNUMBER(B1695)),C1695="",C1695="Fora dos ciclos"),"",IF(C1695="C0","Nao",IF(IFERROR(INDEX(parametros!$A$2:$A$6,MATCH(C1695,parametros!$B$2:$B$6,0)),"")&lt;&gt;"Sim","Nao",IF(IFERROR(INDEX(parametros!$H$2:$H$6,MATCH(C1695,parametros!$B$2:$B$6,0)),"")="","",IF(B1695&gt;=IFERROR(INDEX(parametros!$H$2:$H$6,MATCH(C1695,parametros!$B$2:$B$6,0)),""),"Sim","Nao"))))))</f>
        <v/>
      </c>
      <c r="T1695" s="156"/>
      <c r="U1695" s="214" t="str">
        <f t="shared" si="136"/>
        <v/>
      </c>
      <c r="V1695" s="212" t="s">
        <v>50</v>
      </c>
      <c r="W1695" s="100" t="s">
        <v>168</v>
      </c>
      <c r="X1695" s="100" t="s">
        <v>169</v>
      </c>
      <c r="Y1695" s="101" t="s">
        <v>170</v>
      </c>
      <c r="Z1695" s="101" t="s">
        <v>171</v>
      </c>
      <c r="AA1695" s="101" t="s">
        <v>50</v>
      </c>
      <c r="AB1695" s="101" t="s">
        <v>172</v>
      </c>
      <c r="AC1695" s="102" t="s">
        <v>173</v>
      </c>
    </row>
    <row r="1696" spans="1:29" ht="25.5" customHeight="1" x14ac:dyDescent="0.35">
      <c r="A1696" s="392"/>
      <c r="B1696" s="393"/>
      <c r="C1696" s="99" t="str">
        <f>IF(B1696="","",IF(NOT(ISNUMBER(B1696)),"DATA_PC invalida",IF(NOT(ISNUMBER(parametros!$C$2)),"Fora dos ciclos",IF(OR(B1696&lt;parametros!$C$2,(YEAR(B1696)-YEAR(parametros!$C$2))*12+MONTH(B1696)-MONTH(parametros!$C$2)&gt;59),"Fora dos ciclos","C"&amp;INT(((YEAR(B1696)-YEAR(parametros!$C$2))*12+MONTH(B1696)-MONTH(parametros!$C$2))/12)))))</f>
        <v/>
      </c>
      <c r="D1696" s="394"/>
      <c r="E1696" s="78" t="str">
        <f>IF(C1696="","",IFERROR(VLOOKUP(C1696,parametros!$A$11:$E$15,5,0),""))</f>
        <v/>
      </c>
      <c r="F1696" s="79" t="str">
        <f t="shared" si="132"/>
        <v/>
      </c>
      <c r="G1696" s="395"/>
      <c r="H1696" s="91">
        <f t="shared" si="133"/>
        <v>0</v>
      </c>
      <c r="I1696" s="91" t="str">
        <f t="shared" si="134"/>
        <v/>
      </c>
      <c r="J1696" s="91" t="str">
        <f t="shared" si="135"/>
        <v/>
      </c>
      <c r="K1696" s="92" t="str">
        <f>IF(AND(A1696="",B1696="",D1696="",G1696=""),"",IF(AND(A1696&lt;&gt;"",COUNTIF($A$2:$A$5001,A1696)&gt;1),"NUMERO_PC duplicado",IF(B1696="","DATA_PC vazia",IF(NOT(ISNUMBER(B1696)),"DATA_PC invalida",IF(OR(C1696="",C1696="Fora dos ciclos"),"CICLO_PC nao identificado",IF(OR(D1696="",D1696=0),"VALOR_PC vazio ou zero",IF(AND(G1696&lt;&gt;"Sim",G1696&lt;&gt;"Nao",G1696&lt;&gt;""),"PC_PAGO_A_CONTRATADA invalido",IF(AND(C1696&lt;&gt;"C0",IFERROR(INDEX(parametros!$A$2:$A$6,MATCH(C1696,parametros!$B$2:$B$6,0)),"")="Sim",IFERROR(INDEX(parametros!$H$2:$H$6,MATCH(C1696,parametros!$B$2:$B$6,0)),"")=""),"INICIO_EFEITO ausente: PC "&amp;A1696&amp;" - "&amp;C1696,IF(L1696="","EFEITO_PC nao calculado: PC "&amp;A1696&amp;" - "&amp;C1696,"OK")))))))))</f>
        <v/>
      </c>
      <c r="L1696" s="92" t="str">
        <f>IF(AND(A1696="",B1696="",D1696="",G1696=""),"",IF(OR(B1696="",NOT(ISNUMBER(B1696)),C1696="",C1696="Fora dos ciclos"),"",IF(C1696="C0","Nao",IF(IFERROR(INDEX(parametros!$A$2:$A$6,MATCH(C1696,parametros!$B$2:$B$6,0)),"")&lt;&gt;"Sim","Nao",IF(IFERROR(INDEX(parametros!$H$2:$H$6,MATCH(C1696,parametros!$B$2:$B$6,0)),"")="","",IF(B1696&gt;=IFERROR(INDEX(parametros!$H$2:$H$6,MATCH(C1696,parametros!$B$2:$B$6,0)),""),"Sim","Nao"))))))</f>
        <v/>
      </c>
      <c r="T1696" s="156"/>
      <c r="U1696" s="214" t="str">
        <f t="shared" si="136"/>
        <v/>
      </c>
      <c r="V1696" s="212" t="s">
        <v>50</v>
      </c>
      <c r="W1696" s="100" t="s">
        <v>168</v>
      </c>
      <c r="X1696" s="100" t="s">
        <v>169</v>
      </c>
      <c r="Y1696" s="101" t="s">
        <v>170</v>
      </c>
      <c r="Z1696" s="101" t="s">
        <v>171</v>
      </c>
      <c r="AA1696" s="101" t="s">
        <v>50</v>
      </c>
      <c r="AB1696" s="101" t="s">
        <v>172</v>
      </c>
      <c r="AC1696" s="102" t="s">
        <v>173</v>
      </c>
    </row>
    <row r="1697" spans="1:29" ht="25.5" customHeight="1" x14ac:dyDescent="0.35">
      <c r="A1697" s="392"/>
      <c r="B1697" s="393"/>
      <c r="C1697" s="99" t="str">
        <f>IF(B1697="","",IF(NOT(ISNUMBER(B1697)),"DATA_PC invalida",IF(NOT(ISNUMBER(parametros!$C$2)),"Fora dos ciclos",IF(OR(B1697&lt;parametros!$C$2,(YEAR(B1697)-YEAR(parametros!$C$2))*12+MONTH(B1697)-MONTH(parametros!$C$2)&gt;59),"Fora dos ciclos","C"&amp;INT(((YEAR(B1697)-YEAR(parametros!$C$2))*12+MONTH(B1697)-MONTH(parametros!$C$2))/12)))))</f>
        <v/>
      </c>
      <c r="D1697" s="394"/>
      <c r="E1697" s="78" t="str">
        <f>IF(C1697="","",IFERROR(VLOOKUP(C1697,parametros!$A$11:$E$15,5,0),""))</f>
        <v/>
      </c>
      <c r="F1697" s="79" t="str">
        <f t="shared" si="132"/>
        <v/>
      </c>
      <c r="G1697" s="395"/>
      <c r="H1697" s="91">
        <f t="shared" si="133"/>
        <v>0</v>
      </c>
      <c r="I1697" s="91" t="str">
        <f t="shared" si="134"/>
        <v/>
      </c>
      <c r="J1697" s="91" t="str">
        <f t="shared" si="135"/>
        <v/>
      </c>
      <c r="K1697" s="92" t="str">
        <f>IF(AND(A1697="",B1697="",D1697="",G1697=""),"",IF(AND(A1697&lt;&gt;"",COUNTIF($A$2:$A$5001,A1697)&gt;1),"NUMERO_PC duplicado",IF(B1697="","DATA_PC vazia",IF(NOT(ISNUMBER(B1697)),"DATA_PC invalida",IF(OR(C1697="",C1697="Fora dos ciclos"),"CICLO_PC nao identificado",IF(OR(D1697="",D1697=0),"VALOR_PC vazio ou zero",IF(AND(G1697&lt;&gt;"Sim",G1697&lt;&gt;"Nao",G1697&lt;&gt;""),"PC_PAGO_A_CONTRATADA invalido",IF(AND(C1697&lt;&gt;"C0",IFERROR(INDEX(parametros!$A$2:$A$6,MATCH(C1697,parametros!$B$2:$B$6,0)),"")="Sim",IFERROR(INDEX(parametros!$H$2:$H$6,MATCH(C1697,parametros!$B$2:$B$6,0)),"")=""),"INICIO_EFEITO ausente: PC "&amp;A1697&amp;" - "&amp;C1697,IF(L1697="","EFEITO_PC nao calculado: PC "&amp;A1697&amp;" - "&amp;C1697,"OK")))))))))</f>
        <v/>
      </c>
      <c r="L1697" s="92" t="str">
        <f>IF(AND(A1697="",B1697="",D1697="",G1697=""),"",IF(OR(B1697="",NOT(ISNUMBER(B1697)),C1697="",C1697="Fora dos ciclos"),"",IF(C1697="C0","Nao",IF(IFERROR(INDEX(parametros!$A$2:$A$6,MATCH(C1697,parametros!$B$2:$B$6,0)),"")&lt;&gt;"Sim","Nao",IF(IFERROR(INDEX(parametros!$H$2:$H$6,MATCH(C1697,parametros!$B$2:$B$6,0)),"")="","",IF(B1697&gt;=IFERROR(INDEX(parametros!$H$2:$H$6,MATCH(C1697,parametros!$B$2:$B$6,0)),""),"Sim","Nao"))))))</f>
        <v/>
      </c>
      <c r="T1697" s="156"/>
      <c r="U1697" s="214" t="str">
        <f t="shared" si="136"/>
        <v/>
      </c>
      <c r="V1697" s="212" t="s">
        <v>50</v>
      </c>
      <c r="W1697" s="100" t="s">
        <v>168</v>
      </c>
      <c r="X1697" s="100" t="s">
        <v>169</v>
      </c>
      <c r="Y1697" s="101" t="s">
        <v>170</v>
      </c>
      <c r="Z1697" s="101" t="s">
        <v>171</v>
      </c>
      <c r="AA1697" s="101" t="s">
        <v>50</v>
      </c>
      <c r="AB1697" s="101" t="s">
        <v>172</v>
      </c>
      <c r="AC1697" s="102" t="s">
        <v>173</v>
      </c>
    </row>
    <row r="1698" spans="1:29" ht="25.5" customHeight="1" x14ac:dyDescent="0.35">
      <c r="A1698" s="392"/>
      <c r="B1698" s="393"/>
      <c r="C1698" s="99" t="str">
        <f>IF(B1698="","",IF(NOT(ISNUMBER(B1698)),"DATA_PC invalida",IF(NOT(ISNUMBER(parametros!$C$2)),"Fora dos ciclos",IF(OR(B1698&lt;parametros!$C$2,(YEAR(B1698)-YEAR(parametros!$C$2))*12+MONTH(B1698)-MONTH(parametros!$C$2)&gt;59),"Fora dos ciclos","C"&amp;INT(((YEAR(B1698)-YEAR(parametros!$C$2))*12+MONTH(B1698)-MONTH(parametros!$C$2))/12)))))</f>
        <v/>
      </c>
      <c r="D1698" s="394"/>
      <c r="E1698" s="78" t="str">
        <f>IF(C1698="","",IFERROR(VLOOKUP(C1698,parametros!$A$11:$E$15,5,0),""))</f>
        <v/>
      </c>
      <c r="F1698" s="79" t="str">
        <f t="shared" si="132"/>
        <v/>
      </c>
      <c r="G1698" s="395"/>
      <c r="H1698" s="91">
        <f t="shared" si="133"/>
        <v>0</v>
      </c>
      <c r="I1698" s="91" t="str">
        <f t="shared" si="134"/>
        <v/>
      </c>
      <c r="J1698" s="91" t="str">
        <f t="shared" si="135"/>
        <v/>
      </c>
      <c r="K1698" s="92" t="str">
        <f>IF(AND(A1698="",B1698="",D1698="",G1698=""),"",IF(AND(A1698&lt;&gt;"",COUNTIF($A$2:$A$5001,A1698)&gt;1),"NUMERO_PC duplicado",IF(B1698="","DATA_PC vazia",IF(NOT(ISNUMBER(B1698)),"DATA_PC invalida",IF(OR(C1698="",C1698="Fora dos ciclos"),"CICLO_PC nao identificado",IF(OR(D1698="",D1698=0),"VALOR_PC vazio ou zero",IF(AND(G1698&lt;&gt;"Sim",G1698&lt;&gt;"Nao",G1698&lt;&gt;""),"PC_PAGO_A_CONTRATADA invalido",IF(AND(C1698&lt;&gt;"C0",IFERROR(INDEX(parametros!$A$2:$A$6,MATCH(C1698,parametros!$B$2:$B$6,0)),"")="Sim",IFERROR(INDEX(parametros!$H$2:$H$6,MATCH(C1698,parametros!$B$2:$B$6,0)),"")=""),"INICIO_EFEITO ausente: PC "&amp;A1698&amp;" - "&amp;C1698,IF(L1698="","EFEITO_PC nao calculado: PC "&amp;A1698&amp;" - "&amp;C1698,"OK")))))))))</f>
        <v/>
      </c>
      <c r="L1698" s="92" t="str">
        <f>IF(AND(A1698="",B1698="",D1698="",G1698=""),"",IF(OR(B1698="",NOT(ISNUMBER(B1698)),C1698="",C1698="Fora dos ciclos"),"",IF(C1698="C0","Nao",IF(IFERROR(INDEX(parametros!$A$2:$A$6,MATCH(C1698,parametros!$B$2:$B$6,0)),"")&lt;&gt;"Sim","Nao",IF(IFERROR(INDEX(parametros!$H$2:$H$6,MATCH(C1698,parametros!$B$2:$B$6,0)),"")="","",IF(B1698&gt;=IFERROR(INDEX(parametros!$H$2:$H$6,MATCH(C1698,parametros!$B$2:$B$6,0)),""),"Sim","Nao"))))))</f>
        <v/>
      </c>
      <c r="T1698" s="156"/>
      <c r="U1698" s="214" t="str">
        <f t="shared" si="136"/>
        <v/>
      </c>
      <c r="V1698" s="212" t="s">
        <v>50</v>
      </c>
      <c r="W1698" s="100" t="s">
        <v>168</v>
      </c>
      <c r="X1698" s="100" t="s">
        <v>169</v>
      </c>
      <c r="Y1698" s="101" t="s">
        <v>170</v>
      </c>
      <c r="Z1698" s="101" t="s">
        <v>171</v>
      </c>
      <c r="AA1698" s="101" t="s">
        <v>50</v>
      </c>
      <c r="AB1698" s="101" t="s">
        <v>172</v>
      </c>
      <c r="AC1698" s="102" t="s">
        <v>173</v>
      </c>
    </row>
    <row r="1699" spans="1:29" ht="25.5" customHeight="1" x14ac:dyDescent="0.35">
      <c r="A1699" s="392"/>
      <c r="B1699" s="393"/>
      <c r="C1699" s="99" t="str">
        <f>IF(B1699="","",IF(NOT(ISNUMBER(B1699)),"DATA_PC invalida",IF(NOT(ISNUMBER(parametros!$C$2)),"Fora dos ciclos",IF(OR(B1699&lt;parametros!$C$2,(YEAR(B1699)-YEAR(parametros!$C$2))*12+MONTH(B1699)-MONTH(parametros!$C$2)&gt;59),"Fora dos ciclos","C"&amp;INT(((YEAR(B1699)-YEAR(parametros!$C$2))*12+MONTH(B1699)-MONTH(parametros!$C$2))/12)))))</f>
        <v/>
      </c>
      <c r="D1699" s="394"/>
      <c r="E1699" s="78" t="str">
        <f>IF(C1699="","",IFERROR(VLOOKUP(C1699,parametros!$A$11:$E$15,5,0),""))</f>
        <v/>
      </c>
      <c r="F1699" s="79" t="str">
        <f t="shared" si="132"/>
        <v/>
      </c>
      <c r="G1699" s="395"/>
      <c r="H1699" s="91">
        <f t="shared" si="133"/>
        <v>0</v>
      </c>
      <c r="I1699" s="91" t="str">
        <f t="shared" si="134"/>
        <v/>
      </c>
      <c r="J1699" s="91" t="str">
        <f t="shared" si="135"/>
        <v/>
      </c>
      <c r="K1699" s="92" t="str">
        <f>IF(AND(A1699="",B1699="",D1699="",G1699=""),"",IF(AND(A1699&lt;&gt;"",COUNTIF($A$2:$A$5001,A1699)&gt;1),"NUMERO_PC duplicado",IF(B1699="","DATA_PC vazia",IF(NOT(ISNUMBER(B1699)),"DATA_PC invalida",IF(OR(C1699="",C1699="Fora dos ciclos"),"CICLO_PC nao identificado",IF(OR(D1699="",D1699=0),"VALOR_PC vazio ou zero",IF(AND(G1699&lt;&gt;"Sim",G1699&lt;&gt;"Nao",G1699&lt;&gt;""),"PC_PAGO_A_CONTRATADA invalido",IF(AND(C1699&lt;&gt;"C0",IFERROR(INDEX(parametros!$A$2:$A$6,MATCH(C1699,parametros!$B$2:$B$6,0)),"")="Sim",IFERROR(INDEX(parametros!$H$2:$H$6,MATCH(C1699,parametros!$B$2:$B$6,0)),"")=""),"INICIO_EFEITO ausente: PC "&amp;A1699&amp;" - "&amp;C1699,IF(L1699="","EFEITO_PC nao calculado: PC "&amp;A1699&amp;" - "&amp;C1699,"OK")))))))))</f>
        <v/>
      </c>
      <c r="L1699" s="92" t="str">
        <f>IF(AND(A1699="",B1699="",D1699="",G1699=""),"",IF(OR(B1699="",NOT(ISNUMBER(B1699)),C1699="",C1699="Fora dos ciclos"),"",IF(C1699="C0","Nao",IF(IFERROR(INDEX(parametros!$A$2:$A$6,MATCH(C1699,parametros!$B$2:$B$6,0)),"")&lt;&gt;"Sim","Nao",IF(IFERROR(INDEX(parametros!$H$2:$H$6,MATCH(C1699,parametros!$B$2:$B$6,0)),"")="","",IF(B1699&gt;=IFERROR(INDEX(parametros!$H$2:$H$6,MATCH(C1699,parametros!$B$2:$B$6,0)),""),"Sim","Nao"))))))</f>
        <v/>
      </c>
      <c r="T1699" s="156"/>
      <c r="U1699" s="214" t="str">
        <f t="shared" si="136"/>
        <v/>
      </c>
      <c r="V1699" s="212" t="s">
        <v>50</v>
      </c>
      <c r="W1699" s="100" t="s">
        <v>168</v>
      </c>
      <c r="X1699" s="100" t="s">
        <v>169</v>
      </c>
      <c r="Y1699" s="101" t="s">
        <v>170</v>
      </c>
      <c r="Z1699" s="101" t="s">
        <v>171</v>
      </c>
      <c r="AA1699" s="101" t="s">
        <v>50</v>
      </c>
      <c r="AB1699" s="101" t="s">
        <v>172</v>
      </c>
      <c r="AC1699" s="102" t="s">
        <v>173</v>
      </c>
    </row>
    <row r="1700" spans="1:29" ht="25.5" customHeight="1" x14ac:dyDescent="0.35">
      <c r="A1700" s="392"/>
      <c r="B1700" s="393"/>
      <c r="C1700" s="99" t="str">
        <f>IF(B1700="","",IF(NOT(ISNUMBER(B1700)),"DATA_PC invalida",IF(NOT(ISNUMBER(parametros!$C$2)),"Fora dos ciclos",IF(OR(B1700&lt;parametros!$C$2,(YEAR(B1700)-YEAR(parametros!$C$2))*12+MONTH(B1700)-MONTH(parametros!$C$2)&gt;59),"Fora dos ciclos","C"&amp;INT(((YEAR(B1700)-YEAR(parametros!$C$2))*12+MONTH(B1700)-MONTH(parametros!$C$2))/12)))))</f>
        <v/>
      </c>
      <c r="D1700" s="394"/>
      <c r="E1700" s="78" t="str">
        <f>IF(C1700="","",IFERROR(VLOOKUP(C1700,parametros!$A$11:$E$15,5,0),""))</f>
        <v/>
      </c>
      <c r="F1700" s="79" t="str">
        <f t="shared" si="132"/>
        <v/>
      </c>
      <c r="G1700" s="395"/>
      <c r="H1700" s="91">
        <f t="shared" si="133"/>
        <v>0</v>
      </c>
      <c r="I1700" s="91" t="str">
        <f t="shared" si="134"/>
        <v/>
      </c>
      <c r="J1700" s="91" t="str">
        <f t="shared" si="135"/>
        <v/>
      </c>
      <c r="K1700" s="92" t="str">
        <f>IF(AND(A1700="",B1700="",D1700="",G1700=""),"",IF(AND(A1700&lt;&gt;"",COUNTIF($A$2:$A$5001,A1700)&gt;1),"NUMERO_PC duplicado",IF(B1700="","DATA_PC vazia",IF(NOT(ISNUMBER(B1700)),"DATA_PC invalida",IF(OR(C1700="",C1700="Fora dos ciclos"),"CICLO_PC nao identificado",IF(OR(D1700="",D1700=0),"VALOR_PC vazio ou zero",IF(AND(G1700&lt;&gt;"Sim",G1700&lt;&gt;"Nao",G1700&lt;&gt;""),"PC_PAGO_A_CONTRATADA invalido",IF(AND(C1700&lt;&gt;"C0",IFERROR(INDEX(parametros!$A$2:$A$6,MATCH(C1700,parametros!$B$2:$B$6,0)),"")="Sim",IFERROR(INDEX(parametros!$H$2:$H$6,MATCH(C1700,parametros!$B$2:$B$6,0)),"")=""),"INICIO_EFEITO ausente: PC "&amp;A1700&amp;" - "&amp;C1700,IF(L1700="","EFEITO_PC nao calculado: PC "&amp;A1700&amp;" - "&amp;C1700,"OK")))))))))</f>
        <v/>
      </c>
      <c r="L1700" s="92" t="str">
        <f>IF(AND(A1700="",B1700="",D1700="",G1700=""),"",IF(OR(B1700="",NOT(ISNUMBER(B1700)),C1700="",C1700="Fora dos ciclos"),"",IF(C1700="C0","Nao",IF(IFERROR(INDEX(parametros!$A$2:$A$6,MATCH(C1700,parametros!$B$2:$B$6,0)),"")&lt;&gt;"Sim","Nao",IF(IFERROR(INDEX(parametros!$H$2:$H$6,MATCH(C1700,parametros!$B$2:$B$6,0)),"")="","",IF(B1700&gt;=IFERROR(INDEX(parametros!$H$2:$H$6,MATCH(C1700,parametros!$B$2:$B$6,0)),""),"Sim","Nao"))))))</f>
        <v/>
      </c>
      <c r="T1700" s="156"/>
      <c r="U1700" s="214" t="str">
        <f t="shared" si="136"/>
        <v/>
      </c>
      <c r="V1700" s="212" t="s">
        <v>50</v>
      </c>
      <c r="W1700" s="100" t="s">
        <v>168</v>
      </c>
      <c r="X1700" s="100" t="s">
        <v>169</v>
      </c>
      <c r="Y1700" s="101" t="s">
        <v>170</v>
      </c>
      <c r="Z1700" s="101" t="s">
        <v>171</v>
      </c>
      <c r="AA1700" s="101" t="s">
        <v>50</v>
      </c>
      <c r="AB1700" s="101" t="s">
        <v>172</v>
      </c>
      <c r="AC1700" s="102" t="s">
        <v>173</v>
      </c>
    </row>
    <row r="1701" spans="1:29" ht="25.5" customHeight="1" x14ac:dyDescent="0.35">
      <c r="A1701" s="392"/>
      <c r="B1701" s="393"/>
      <c r="C1701" s="99" t="str">
        <f>IF(B1701="","",IF(NOT(ISNUMBER(B1701)),"DATA_PC invalida",IF(NOT(ISNUMBER(parametros!$C$2)),"Fora dos ciclos",IF(OR(B1701&lt;parametros!$C$2,(YEAR(B1701)-YEAR(parametros!$C$2))*12+MONTH(B1701)-MONTH(parametros!$C$2)&gt;59),"Fora dos ciclos","C"&amp;INT(((YEAR(B1701)-YEAR(parametros!$C$2))*12+MONTH(B1701)-MONTH(parametros!$C$2))/12)))))</f>
        <v/>
      </c>
      <c r="D1701" s="394"/>
      <c r="E1701" s="78" t="str">
        <f>IF(C1701="","",IFERROR(VLOOKUP(C1701,parametros!$A$11:$E$15,5,0),""))</f>
        <v/>
      </c>
      <c r="F1701" s="79" t="str">
        <f t="shared" si="132"/>
        <v/>
      </c>
      <c r="G1701" s="395"/>
      <c r="H1701" s="91">
        <f t="shared" si="133"/>
        <v>0</v>
      </c>
      <c r="I1701" s="91" t="str">
        <f t="shared" si="134"/>
        <v/>
      </c>
      <c r="J1701" s="91" t="str">
        <f t="shared" si="135"/>
        <v/>
      </c>
      <c r="K1701" s="92" t="str">
        <f>IF(AND(A1701="",B1701="",D1701="",G1701=""),"",IF(AND(A1701&lt;&gt;"",COUNTIF($A$2:$A$5001,A1701)&gt;1),"NUMERO_PC duplicado",IF(B1701="","DATA_PC vazia",IF(NOT(ISNUMBER(B1701)),"DATA_PC invalida",IF(OR(C1701="",C1701="Fora dos ciclos"),"CICLO_PC nao identificado",IF(OR(D1701="",D1701=0),"VALOR_PC vazio ou zero",IF(AND(G1701&lt;&gt;"Sim",G1701&lt;&gt;"Nao",G1701&lt;&gt;""),"PC_PAGO_A_CONTRATADA invalido",IF(AND(C1701&lt;&gt;"C0",IFERROR(INDEX(parametros!$A$2:$A$6,MATCH(C1701,parametros!$B$2:$B$6,0)),"")="Sim",IFERROR(INDEX(parametros!$H$2:$H$6,MATCH(C1701,parametros!$B$2:$B$6,0)),"")=""),"INICIO_EFEITO ausente: PC "&amp;A1701&amp;" - "&amp;C1701,IF(L1701="","EFEITO_PC nao calculado: PC "&amp;A1701&amp;" - "&amp;C1701,"OK")))))))))</f>
        <v/>
      </c>
      <c r="L1701" s="92" t="str">
        <f>IF(AND(A1701="",B1701="",D1701="",G1701=""),"",IF(OR(B1701="",NOT(ISNUMBER(B1701)),C1701="",C1701="Fora dos ciclos"),"",IF(C1701="C0","Nao",IF(IFERROR(INDEX(parametros!$A$2:$A$6,MATCH(C1701,parametros!$B$2:$B$6,0)),"")&lt;&gt;"Sim","Nao",IF(IFERROR(INDEX(parametros!$H$2:$H$6,MATCH(C1701,parametros!$B$2:$B$6,0)),"")="","",IF(B1701&gt;=IFERROR(INDEX(parametros!$H$2:$H$6,MATCH(C1701,parametros!$B$2:$B$6,0)),""),"Sim","Nao"))))))</f>
        <v/>
      </c>
      <c r="T1701" s="156"/>
      <c r="U1701" s="214" t="str">
        <f t="shared" si="136"/>
        <v/>
      </c>
      <c r="V1701" s="212" t="s">
        <v>50</v>
      </c>
      <c r="W1701" s="100" t="s">
        <v>168</v>
      </c>
      <c r="X1701" s="100" t="s">
        <v>169</v>
      </c>
      <c r="Y1701" s="101" t="s">
        <v>170</v>
      </c>
      <c r="Z1701" s="101" t="s">
        <v>171</v>
      </c>
      <c r="AA1701" s="101" t="s">
        <v>50</v>
      </c>
      <c r="AB1701" s="101" t="s">
        <v>172</v>
      </c>
      <c r="AC1701" s="102" t="s">
        <v>173</v>
      </c>
    </row>
    <row r="1702" spans="1:29" ht="25.5" customHeight="1" x14ac:dyDescent="0.35">
      <c r="A1702" s="392"/>
      <c r="B1702" s="393"/>
      <c r="C1702" s="99" t="str">
        <f>IF(B1702="","",IF(NOT(ISNUMBER(B1702)),"DATA_PC invalida",IF(NOT(ISNUMBER(parametros!$C$2)),"Fora dos ciclos",IF(OR(B1702&lt;parametros!$C$2,(YEAR(B1702)-YEAR(parametros!$C$2))*12+MONTH(B1702)-MONTH(parametros!$C$2)&gt;59),"Fora dos ciclos","C"&amp;INT(((YEAR(B1702)-YEAR(parametros!$C$2))*12+MONTH(B1702)-MONTH(parametros!$C$2))/12)))))</f>
        <v/>
      </c>
      <c r="D1702" s="394"/>
      <c r="E1702" s="78" t="str">
        <f>IF(C1702="","",IFERROR(VLOOKUP(C1702,parametros!$A$11:$E$15,5,0),""))</f>
        <v/>
      </c>
      <c r="F1702" s="79" t="str">
        <f t="shared" si="132"/>
        <v/>
      </c>
      <c r="G1702" s="395"/>
      <c r="H1702" s="91">
        <f t="shared" si="133"/>
        <v>0</v>
      </c>
      <c r="I1702" s="91" t="str">
        <f t="shared" si="134"/>
        <v/>
      </c>
      <c r="J1702" s="91" t="str">
        <f t="shared" si="135"/>
        <v/>
      </c>
      <c r="K1702" s="92" t="str">
        <f>IF(AND(A1702="",B1702="",D1702="",G1702=""),"",IF(AND(A1702&lt;&gt;"",COUNTIF($A$2:$A$5001,A1702)&gt;1),"NUMERO_PC duplicado",IF(B1702="","DATA_PC vazia",IF(NOT(ISNUMBER(B1702)),"DATA_PC invalida",IF(OR(C1702="",C1702="Fora dos ciclos"),"CICLO_PC nao identificado",IF(OR(D1702="",D1702=0),"VALOR_PC vazio ou zero",IF(AND(G1702&lt;&gt;"Sim",G1702&lt;&gt;"Nao",G1702&lt;&gt;""),"PC_PAGO_A_CONTRATADA invalido",IF(AND(C1702&lt;&gt;"C0",IFERROR(INDEX(parametros!$A$2:$A$6,MATCH(C1702,parametros!$B$2:$B$6,0)),"")="Sim",IFERROR(INDEX(parametros!$H$2:$H$6,MATCH(C1702,parametros!$B$2:$B$6,0)),"")=""),"INICIO_EFEITO ausente: PC "&amp;A1702&amp;" - "&amp;C1702,IF(L1702="","EFEITO_PC nao calculado: PC "&amp;A1702&amp;" - "&amp;C1702,"OK")))))))))</f>
        <v/>
      </c>
      <c r="L1702" s="92" t="str">
        <f>IF(AND(A1702="",B1702="",D1702="",G1702=""),"",IF(OR(B1702="",NOT(ISNUMBER(B1702)),C1702="",C1702="Fora dos ciclos"),"",IF(C1702="C0","Nao",IF(IFERROR(INDEX(parametros!$A$2:$A$6,MATCH(C1702,parametros!$B$2:$B$6,0)),"")&lt;&gt;"Sim","Nao",IF(IFERROR(INDEX(parametros!$H$2:$H$6,MATCH(C1702,parametros!$B$2:$B$6,0)),"")="","",IF(B1702&gt;=IFERROR(INDEX(parametros!$H$2:$H$6,MATCH(C1702,parametros!$B$2:$B$6,0)),""),"Sim","Nao"))))))</f>
        <v/>
      </c>
      <c r="T1702" s="156"/>
      <c r="U1702" s="214" t="str">
        <f t="shared" si="136"/>
        <v/>
      </c>
      <c r="V1702" s="212" t="s">
        <v>50</v>
      </c>
      <c r="W1702" s="100" t="s">
        <v>168</v>
      </c>
      <c r="X1702" s="100" t="s">
        <v>169</v>
      </c>
      <c r="Y1702" s="101" t="s">
        <v>170</v>
      </c>
      <c r="Z1702" s="101" t="s">
        <v>171</v>
      </c>
      <c r="AA1702" s="101" t="s">
        <v>50</v>
      </c>
      <c r="AB1702" s="101" t="s">
        <v>172</v>
      </c>
      <c r="AC1702" s="102" t="s">
        <v>173</v>
      </c>
    </row>
    <row r="1703" spans="1:29" ht="25.5" customHeight="1" x14ac:dyDescent="0.35">
      <c r="A1703" s="392"/>
      <c r="B1703" s="393"/>
      <c r="C1703" s="99" t="str">
        <f>IF(B1703="","",IF(NOT(ISNUMBER(B1703)),"DATA_PC invalida",IF(NOT(ISNUMBER(parametros!$C$2)),"Fora dos ciclos",IF(OR(B1703&lt;parametros!$C$2,(YEAR(B1703)-YEAR(parametros!$C$2))*12+MONTH(B1703)-MONTH(parametros!$C$2)&gt;59),"Fora dos ciclos","C"&amp;INT(((YEAR(B1703)-YEAR(parametros!$C$2))*12+MONTH(B1703)-MONTH(parametros!$C$2))/12)))))</f>
        <v/>
      </c>
      <c r="D1703" s="394"/>
      <c r="E1703" s="78" t="str">
        <f>IF(C1703="","",IFERROR(VLOOKUP(C1703,parametros!$A$11:$E$15,5,0),""))</f>
        <v/>
      </c>
      <c r="F1703" s="79" t="str">
        <f t="shared" si="132"/>
        <v/>
      </c>
      <c r="G1703" s="395"/>
      <c r="H1703" s="91">
        <f t="shared" si="133"/>
        <v>0</v>
      </c>
      <c r="I1703" s="91" t="str">
        <f t="shared" si="134"/>
        <v/>
      </c>
      <c r="J1703" s="91" t="str">
        <f t="shared" si="135"/>
        <v/>
      </c>
      <c r="K1703" s="92" t="str">
        <f>IF(AND(A1703="",B1703="",D1703="",G1703=""),"",IF(AND(A1703&lt;&gt;"",COUNTIF($A$2:$A$5001,A1703)&gt;1),"NUMERO_PC duplicado",IF(B1703="","DATA_PC vazia",IF(NOT(ISNUMBER(B1703)),"DATA_PC invalida",IF(OR(C1703="",C1703="Fora dos ciclos"),"CICLO_PC nao identificado",IF(OR(D1703="",D1703=0),"VALOR_PC vazio ou zero",IF(AND(G1703&lt;&gt;"Sim",G1703&lt;&gt;"Nao",G1703&lt;&gt;""),"PC_PAGO_A_CONTRATADA invalido",IF(AND(C1703&lt;&gt;"C0",IFERROR(INDEX(parametros!$A$2:$A$6,MATCH(C1703,parametros!$B$2:$B$6,0)),"")="Sim",IFERROR(INDEX(parametros!$H$2:$H$6,MATCH(C1703,parametros!$B$2:$B$6,0)),"")=""),"INICIO_EFEITO ausente: PC "&amp;A1703&amp;" - "&amp;C1703,IF(L1703="","EFEITO_PC nao calculado: PC "&amp;A1703&amp;" - "&amp;C1703,"OK")))))))))</f>
        <v/>
      </c>
      <c r="L1703" s="92" t="str">
        <f>IF(AND(A1703="",B1703="",D1703="",G1703=""),"",IF(OR(B1703="",NOT(ISNUMBER(B1703)),C1703="",C1703="Fora dos ciclos"),"",IF(C1703="C0","Nao",IF(IFERROR(INDEX(parametros!$A$2:$A$6,MATCH(C1703,parametros!$B$2:$B$6,0)),"")&lt;&gt;"Sim","Nao",IF(IFERROR(INDEX(parametros!$H$2:$H$6,MATCH(C1703,parametros!$B$2:$B$6,0)),"")="","",IF(B1703&gt;=IFERROR(INDEX(parametros!$H$2:$H$6,MATCH(C1703,parametros!$B$2:$B$6,0)),""),"Sim","Nao"))))))</f>
        <v/>
      </c>
      <c r="T1703" s="156"/>
      <c r="U1703" s="214" t="str">
        <f t="shared" si="136"/>
        <v/>
      </c>
      <c r="V1703" s="212" t="s">
        <v>50</v>
      </c>
      <c r="W1703" s="100" t="s">
        <v>168</v>
      </c>
      <c r="X1703" s="100" t="s">
        <v>169</v>
      </c>
      <c r="Y1703" s="101" t="s">
        <v>170</v>
      </c>
      <c r="Z1703" s="101" t="s">
        <v>171</v>
      </c>
      <c r="AA1703" s="101" t="s">
        <v>50</v>
      </c>
      <c r="AB1703" s="101" t="s">
        <v>172</v>
      </c>
      <c r="AC1703" s="102" t="s">
        <v>173</v>
      </c>
    </row>
    <row r="1704" spans="1:29" ht="25.5" customHeight="1" x14ac:dyDescent="0.35">
      <c r="A1704" s="392"/>
      <c r="B1704" s="393"/>
      <c r="C1704" s="99" t="str">
        <f>IF(B1704="","",IF(NOT(ISNUMBER(B1704)),"DATA_PC invalida",IF(NOT(ISNUMBER(parametros!$C$2)),"Fora dos ciclos",IF(OR(B1704&lt;parametros!$C$2,(YEAR(B1704)-YEAR(parametros!$C$2))*12+MONTH(B1704)-MONTH(parametros!$C$2)&gt;59),"Fora dos ciclos","C"&amp;INT(((YEAR(B1704)-YEAR(parametros!$C$2))*12+MONTH(B1704)-MONTH(parametros!$C$2))/12)))))</f>
        <v/>
      </c>
      <c r="D1704" s="394"/>
      <c r="E1704" s="78" t="str">
        <f>IF(C1704="","",IFERROR(VLOOKUP(C1704,parametros!$A$11:$E$15,5,0),""))</f>
        <v/>
      </c>
      <c r="F1704" s="79" t="str">
        <f t="shared" si="132"/>
        <v/>
      </c>
      <c r="G1704" s="395"/>
      <c r="H1704" s="91">
        <f t="shared" si="133"/>
        <v>0</v>
      </c>
      <c r="I1704" s="91" t="str">
        <f t="shared" si="134"/>
        <v/>
      </c>
      <c r="J1704" s="91" t="str">
        <f t="shared" si="135"/>
        <v/>
      </c>
      <c r="K1704" s="92" t="str">
        <f>IF(AND(A1704="",B1704="",D1704="",G1704=""),"",IF(AND(A1704&lt;&gt;"",COUNTIF($A$2:$A$5001,A1704)&gt;1),"NUMERO_PC duplicado",IF(B1704="","DATA_PC vazia",IF(NOT(ISNUMBER(B1704)),"DATA_PC invalida",IF(OR(C1704="",C1704="Fora dos ciclos"),"CICLO_PC nao identificado",IF(OR(D1704="",D1704=0),"VALOR_PC vazio ou zero",IF(AND(G1704&lt;&gt;"Sim",G1704&lt;&gt;"Nao",G1704&lt;&gt;""),"PC_PAGO_A_CONTRATADA invalido",IF(AND(C1704&lt;&gt;"C0",IFERROR(INDEX(parametros!$A$2:$A$6,MATCH(C1704,parametros!$B$2:$B$6,0)),"")="Sim",IFERROR(INDEX(parametros!$H$2:$H$6,MATCH(C1704,parametros!$B$2:$B$6,0)),"")=""),"INICIO_EFEITO ausente: PC "&amp;A1704&amp;" - "&amp;C1704,IF(L1704="","EFEITO_PC nao calculado: PC "&amp;A1704&amp;" - "&amp;C1704,"OK")))))))))</f>
        <v/>
      </c>
      <c r="L1704" s="92" t="str">
        <f>IF(AND(A1704="",B1704="",D1704="",G1704=""),"",IF(OR(B1704="",NOT(ISNUMBER(B1704)),C1704="",C1704="Fora dos ciclos"),"",IF(C1704="C0","Nao",IF(IFERROR(INDEX(parametros!$A$2:$A$6,MATCH(C1704,parametros!$B$2:$B$6,0)),"")&lt;&gt;"Sim","Nao",IF(IFERROR(INDEX(parametros!$H$2:$H$6,MATCH(C1704,parametros!$B$2:$B$6,0)),"")="","",IF(B1704&gt;=IFERROR(INDEX(parametros!$H$2:$H$6,MATCH(C1704,parametros!$B$2:$B$6,0)),""),"Sim","Nao"))))))</f>
        <v/>
      </c>
      <c r="T1704" s="156"/>
      <c r="U1704" s="214" t="str">
        <f t="shared" si="136"/>
        <v/>
      </c>
      <c r="V1704" s="212" t="s">
        <v>50</v>
      </c>
      <c r="W1704" s="100" t="s">
        <v>168</v>
      </c>
      <c r="X1704" s="100" t="s">
        <v>169</v>
      </c>
      <c r="Y1704" s="101" t="s">
        <v>170</v>
      </c>
      <c r="Z1704" s="101" t="s">
        <v>171</v>
      </c>
      <c r="AA1704" s="101" t="s">
        <v>50</v>
      </c>
      <c r="AB1704" s="101" t="s">
        <v>172</v>
      </c>
      <c r="AC1704" s="102" t="s">
        <v>173</v>
      </c>
    </row>
    <row r="1705" spans="1:29" ht="25.5" customHeight="1" x14ac:dyDescent="0.35">
      <c r="A1705" s="392"/>
      <c r="B1705" s="393"/>
      <c r="C1705" s="99" t="str">
        <f>IF(B1705="","",IF(NOT(ISNUMBER(B1705)),"DATA_PC invalida",IF(NOT(ISNUMBER(parametros!$C$2)),"Fora dos ciclos",IF(OR(B1705&lt;parametros!$C$2,(YEAR(B1705)-YEAR(parametros!$C$2))*12+MONTH(B1705)-MONTH(parametros!$C$2)&gt;59),"Fora dos ciclos","C"&amp;INT(((YEAR(B1705)-YEAR(parametros!$C$2))*12+MONTH(B1705)-MONTH(parametros!$C$2))/12)))))</f>
        <v/>
      </c>
      <c r="D1705" s="394"/>
      <c r="E1705" s="78" t="str">
        <f>IF(C1705="","",IFERROR(VLOOKUP(C1705,parametros!$A$11:$E$15,5,0),""))</f>
        <v/>
      </c>
      <c r="F1705" s="79" t="str">
        <f t="shared" si="132"/>
        <v/>
      </c>
      <c r="G1705" s="395"/>
      <c r="H1705" s="91">
        <f t="shared" si="133"/>
        <v>0</v>
      </c>
      <c r="I1705" s="91" t="str">
        <f t="shared" si="134"/>
        <v/>
      </c>
      <c r="J1705" s="91" t="str">
        <f t="shared" si="135"/>
        <v/>
      </c>
      <c r="K1705" s="92" t="str">
        <f>IF(AND(A1705="",B1705="",D1705="",G1705=""),"",IF(AND(A1705&lt;&gt;"",COUNTIF($A$2:$A$5001,A1705)&gt;1),"NUMERO_PC duplicado",IF(B1705="","DATA_PC vazia",IF(NOT(ISNUMBER(B1705)),"DATA_PC invalida",IF(OR(C1705="",C1705="Fora dos ciclos"),"CICLO_PC nao identificado",IF(OR(D1705="",D1705=0),"VALOR_PC vazio ou zero",IF(AND(G1705&lt;&gt;"Sim",G1705&lt;&gt;"Nao",G1705&lt;&gt;""),"PC_PAGO_A_CONTRATADA invalido",IF(AND(C1705&lt;&gt;"C0",IFERROR(INDEX(parametros!$A$2:$A$6,MATCH(C1705,parametros!$B$2:$B$6,0)),"")="Sim",IFERROR(INDEX(parametros!$H$2:$H$6,MATCH(C1705,parametros!$B$2:$B$6,0)),"")=""),"INICIO_EFEITO ausente: PC "&amp;A1705&amp;" - "&amp;C1705,IF(L1705="","EFEITO_PC nao calculado: PC "&amp;A1705&amp;" - "&amp;C1705,"OK")))))))))</f>
        <v/>
      </c>
      <c r="L1705" s="92" t="str">
        <f>IF(AND(A1705="",B1705="",D1705="",G1705=""),"",IF(OR(B1705="",NOT(ISNUMBER(B1705)),C1705="",C1705="Fora dos ciclos"),"",IF(C1705="C0","Nao",IF(IFERROR(INDEX(parametros!$A$2:$A$6,MATCH(C1705,parametros!$B$2:$B$6,0)),"")&lt;&gt;"Sim","Nao",IF(IFERROR(INDEX(parametros!$H$2:$H$6,MATCH(C1705,parametros!$B$2:$B$6,0)),"")="","",IF(B1705&gt;=IFERROR(INDEX(parametros!$H$2:$H$6,MATCH(C1705,parametros!$B$2:$B$6,0)),""),"Sim","Nao"))))))</f>
        <v/>
      </c>
      <c r="T1705" s="156"/>
      <c r="U1705" s="214" t="str">
        <f t="shared" si="136"/>
        <v/>
      </c>
      <c r="V1705" s="212" t="s">
        <v>50</v>
      </c>
      <c r="W1705" s="100" t="s">
        <v>168</v>
      </c>
      <c r="X1705" s="100" t="s">
        <v>169</v>
      </c>
      <c r="Y1705" s="101" t="s">
        <v>170</v>
      </c>
      <c r="Z1705" s="101" t="s">
        <v>171</v>
      </c>
      <c r="AA1705" s="101" t="s">
        <v>50</v>
      </c>
      <c r="AB1705" s="101" t="s">
        <v>172</v>
      </c>
      <c r="AC1705" s="102" t="s">
        <v>173</v>
      </c>
    </row>
    <row r="1706" spans="1:29" ht="25.5" customHeight="1" x14ac:dyDescent="0.35">
      <c r="A1706" s="392"/>
      <c r="B1706" s="393"/>
      <c r="C1706" s="99" t="str">
        <f>IF(B1706="","",IF(NOT(ISNUMBER(B1706)),"DATA_PC invalida",IF(NOT(ISNUMBER(parametros!$C$2)),"Fora dos ciclos",IF(OR(B1706&lt;parametros!$C$2,(YEAR(B1706)-YEAR(parametros!$C$2))*12+MONTH(B1706)-MONTH(parametros!$C$2)&gt;59),"Fora dos ciclos","C"&amp;INT(((YEAR(B1706)-YEAR(parametros!$C$2))*12+MONTH(B1706)-MONTH(parametros!$C$2))/12)))))</f>
        <v/>
      </c>
      <c r="D1706" s="394"/>
      <c r="E1706" s="78" t="str">
        <f>IF(C1706="","",IFERROR(VLOOKUP(C1706,parametros!$A$11:$E$15,5,0),""))</f>
        <v/>
      </c>
      <c r="F1706" s="79" t="str">
        <f t="shared" si="132"/>
        <v/>
      </c>
      <c r="G1706" s="395"/>
      <c r="H1706" s="91">
        <f t="shared" si="133"/>
        <v>0</v>
      </c>
      <c r="I1706" s="91" t="str">
        <f t="shared" si="134"/>
        <v/>
      </c>
      <c r="J1706" s="91" t="str">
        <f t="shared" si="135"/>
        <v/>
      </c>
      <c r="K1706" s="92" t="str">
        <f>IF(AND(A1706="",B1706="",D1706="",G1706=""),"",IF(AND(A1706&lt;&gt;"",COUNTIF($A$2:$A$5001,A1706)&gt;1),"NUMERO_PC duplicado",IF(B1706="","DATA_PC vazia",IF(NOT(ISNUMBER(B1706)),"DATA_PC invalida",IF(OR(C1706="",C1706="Fora dos ciclos"),"CICLO_PC nao identificado",IF(OR(D1706="",D1706=0),"VALOR_PC vazio ou zero",IF(AND(G1706&lt;&gt;"Sim",G1706&lt;&gt;"Nao",G1706&lt;&gt;""),"PC_PAGO_A_CONTRATADA invalido",IF(AND(C1706&lt;&gt;"C0",IFERROR(INDEX(parametros!$A$2:$A$6,MATCH(C1706,parametros!$B$2:$B$6,0)),"")="Sim",IFERROR(INDEX(parametros!$H$2:$H$6,MATCH(C1706,parametros!$B$2:$B$6,0)),"")=""),"INICIO_EFEITO ausente: PC "&amp;A1706&amp;" - "&amp;C1706,IF(L1706="","EFEITO_PC nao calculado: PC "&amp;A1706&amp;" - "&amp;C1706,"OK")))))))))</f>
        <v/>
      </c>
      <c r="L1706" s="92" t="str">
        <f>IF(AND(A1706="",B1706="",D1706="",G1706=""),"",IF(OR(B1706="",NOT(ISNUMBER(B1706)),C1706="",C1706="Fora dos ciclos"),"",IF(C1706="C0","Nao",IF(IFERROR(INDEX(parametros!$A$2:$A$6,MATCH(C1706,parametros!$B$2:$B$6,0)),"")&lt;&gt;"Sim","Nao",IF(IFERROR(INDEX(parametros!$H$2:$H$6,MATCH(C1706,parametros!$B$2:$B$6,0)),"")="","",IF(B1706&gt;=IFERROR(INDEX(parametros!$H$2:$H$6,MATCH(C1706,parametros!$B$2:$B$6,0)),""),"Sim","Nao"))))))</f>
        <v/>
      </c>
      <c r="T1706" s="156"/>
      <c r="U1706" s="214" t="str">
        <f t="shared" si="136"/>
        <v/>
      </c>
      <c r="V1706" s="212" t="s">
        <v>50</v>
      </c>
      <c r="W1706" s="100" t="s">
        <v>168</v>
      </c>
      <c r="X1706" s="100" t="s">
        <v>169</v>
      </c>
      <c r="Y1706" s="101" t="s">
        <v>170</v>
      </c>
      <c r="Z1706" s="101" t="s">
        <v>171</v>
      </c>
      <c r="AA1706" s="101" t="s">
        <v>50</v>
      </c>
      <c r="AB1706" s="101" t="s">
        <v>172</v>
      </c>
      <c r="AC1706" s="102" t="s">
        <v>173</v>
      </c>
    </row>
    <row r="1707" spans="1:29" ht="25.5" customHeight="1" x14ac:dyDescent="0.35">
      <c r="A1707" s="392"/>
      <c r="B1707" s="393"/>
      <c r="C1707" s="99" t="str">
        <f>IF(B1707="","",IF(NOT(ISNUMBER(B1707)),"DATA_PC invalida",IF(NOT(ISNUMBER(parametros!$C$2)),"Fora dos ciclos",IF(OR(B1707&lt;parametros!$C$2,(YEAR(B1707)-YEAR(parametros!$C$2))*12+MONTH(B1707)-MONTH(parametros!$C$2)&gt;59),"Fora dos ciclos","C"&amp;INT(((YEAR(B1707)-YEAR(parametros!$C$2))*12+MONTH(B1707)-MONTH(parametros!$C$2))/12)))))</f>
        <v/>
      </c>
      <c r="D1707" s="394"/>
      <c r="E1707" s="78" t="str">
        <f>IF(C1707="","",IFERROR(VLOOKUP(C1707,parametros!$A$11:$E$15,5,0),""))</f>
        <v/>
      </c>
      <c r="F1707" s="79" t="str">
        <f t="shared" si="132"/>
        <v/>
      </c>
      <c r="G1707" s="395"/>
      <c r="H1707" s="91">
        <f t="shared" si="133"/>
        <v>0</v>
      </c>
      <c r="I1707" s="91" t="str">
        <f t="shared" si="134"/>
        <v/>
      </c>
      <c r="J1707" s="91" t="str">
        <f t="shared" si="135"/>
        <v/>
      </c>
      <c r="K1707" s="92" t="str">
        <f>IF(AND(A1707="",B1707="",D1707="",G1707=""),"",IF(AND(A1707&lt;&gt;"",COUNTIF($A$2:$A$5001,A1707)&gt;1),"NUMERO_PC duplicado",IF(B1707="","DATA_PC vazia",IF(NOT(ISNUMBER(B1707)),"DATA_PC invalida",IF(OR(C1707="",C1707="Fora dos ciclos"),"CICLO_PC nao identificado",IF(OR(D1707="",D1707=0),"VALOR_PC vazio ou zero",IF(AND(G1707&lt;&gt;"Sim",G1707&lt;&gt;"Nao",G1707&lt;&gt;""),"PC_PAGO_A_CONTRATADA invalido",IF(AND(C1707&lt;&gt;"C0",IFERROR(INDEX(parametros!$A$2:$A$6,MATCH(C1707,parametros!$B$2:$B$6,0)),"")="Sim",IFERROR(INDEX(parametros!$H$2:$H$6,MATCH(C1707,parametros!$B$2:$B$6,0)),"")=""),"INICIO_EFEITO ausente: PC "&amp;A1707&amp;" - "&amp;C1707,IF(L1707="","EFEITO_PC nao calculado: PC "&amp;A1707&amp;" - "&amp;C1707,"OK")))))))))</f>
        <v/>
      </c>
      <c r="L1707" s="92" t="str">
        <f>IF(AND(A1707="",B1707="",D1707="",G1707=""),"",IF(OR(B1707="",NOT(ISNUMBER(B1707)),C1707="",C1707="Fora dos ciclos"),"",IF(C1707="C0","Nao",IF(IFERROR(INDEX(parametros!$A$2:$A$6,MATCH(C1707,parametros!$B$2:$B$6,0)),"")&lt;&gt;"Sim","Nao",IF(IFERROR(INDEX(parametros!$H$2:$H$6,MATCH(C1707,parametros!$B$2:$B$6,0)),"")="","",IF(B1707&gt;=IFERROR(INDEX(parametros!$H$2:$H$6,MATCH(C1707,parametros!$B$2:$B$6,0)),""),"Sim","Nao"))))))</f>
        <v/>
      </c>
      <c r="T1707" s="156"/>
      <c r="U1707" s="214" t="str">
        <f t="shared" si="136"/>
        <v/>
      </c>
      <c r="V1707" s="212" t="s">
        <v>50</v>
      </c>
      <c r="W1707" s="100" t="s">
        <v>168</v>
      </c>
      <c r="X1707" s="100" t="s">
        <v>169</v>
      </c>
      <c r="Y1707" s="101" t="s">
        <v>170</v>
      </c>
      <c r="Z1707" s="101" t="s">
        <v>171</v>
      </c>
      <c r="AA1707" s="101" t="s">
        <v>50</v>
      </c>
      <c r="AB1707" s="101" t="s">
        <v>172</v>
      </c>
      <c r="AC1707" s="102" t="s">
        <v>173</v>
      </c>
    </row>
    <row r="1708" spans="1:29" ht="25.5" customHeight="1" x14ac:dyDescent="0.35">
      <c r="A1708" s="392"/>
      <c r="B1708" s="393"/>
      <c r="C1708" s="99" t="str">
        <f>IF(B1708="","",IF(NOT(ISNUMBER(B1708)),"DATA_PC invalida",IF(NOT(ISNUMBER(parametros!$C$2)),"Fora dos ciclos",IF(OR(B1708&lt;parametros!$C$2,(YEAR(B1708)-YEAR(parametros!$C$2))*12+MONTH(B1708)-MONTH(parametros!$C$2)&gt;59),"Fora dos ciclos","C"&amp;INT(((YEAR(B1708)-YEAR(parametros!$C$2))*12+MONTH(B1708)-MONTH(parametros!$C$2))/12)))))</f>
        <v/>
      </c>
      <c r="D1708" s="394"/>
      <c r="E1708" s="78" t="str">
        <f>IF(C1708="","",IFERROR(VLOOKUP(C1708,parametros!$A$11:$E$15,5,0),""))</f>
        <v/>
      </c>
      <c r="F1708" s="79" t="str">
        <f t="shared" si="132"/>
        <v/>
      </c>
      <c r="G1708" s="395"/>
      <c r="H1708" s="91">
        <f t="shared" si="133"/>
        <v>0</v>
      </c>
      <c r="I1708" s="91" t="str">
        <f t="shared" si="134"/>
        <v/>
      </c>
      <c r="J1708" s="91" t="str">
        <f t="shared" si="135"/>
        <v/>
      </c>
      <c r="K1708" s="92" t="str">
        <f>IF(AND(A1708="",B1708="",D1708="",G1708=""),"",IF(AND(A1708&lt;&gt;"",COUNTIF($A$2:$A$5001,A1708)&gt;1),"NUMERO_PC duplicado",IF(B1708="","DATA_PC vazia",IF(NOT(ISNUMBER(B1708)),"DATA_PC invalida",IF(OR(C1708="",C1708="Fora dos ciclos"),"CICLO_PC nao identificado",IF(OR(D1708="",D1708=0),"VALOR_PC vazio ou zero",IF(AND(G1708&lt;&gt;"Sim",G1708&lt;&gt;"Nao",G1708&lt;&gt;""),"PC_PAGO_A_CONTRATADA invalido",IF(AND(C1708&lt;&gt;"C0",IFERROR(INDEX(parametros!$A$2:$A$6,MATCH(C1708,parametros!$B$2:$B$6,0)),"")="Sim",IFERROR(INDEX(parametros!$H$2:$H$6,MATCH(C1708,parametros!$B$2:$B$6,0)),"")=""),"INICIO_EFEITO ausente: PC "&amp;A1708&amp;" - "&amp;C1708,IF(L1708="","EFEITO_PC nao calculado: PC "&amp;A1708&amp;" - "&amp;C1708,"OK")))))))))</f>
        <v/>
      </c>
      <c r="L1708" s="92" t="str">
        <f>IF(AND(A1708="",B1708="",D1708="",G1708=""),"",IF(OR(B1708="",NOT(ISNUMBER(B1708)),C1708="",C1708="Fora dos ciclos"),"",IF(C1708="C0","Nao",IF(IFERROR(INDEX(parametros!$A$2:$A$6,MATCH(C1708,parametros!$B$2:$B$6,0)),"")&lt;&gt;"Sim","Nao",IF(IFERROR(INDEX(parametros!$H$2:$H$6,MATCH(C1708,parametros!$B$2:$B$6,0)),"")="","",IF(B1708&gt;=IFERROR(INDEX(parametros!$H$2:$H$6,MATCH(C1708,parametros!$B$2:$B$6,0)),""),"Sim","Nao"))))))</f>
        <v/>
      </c>
      <c r="T1708" s="156"/>
      <c r="U1708" s="214" t="str">
        <f t="shared" si="136"/>
        <v/>
      </c>
      <c r="V1708" s="212" t="s">
        <v>50</v>
      </c>
      <c r="W1708" s="100" t="s">
        <v>168</v>
      </c>
      <c r="X1708" s="100" t="s">
        <v>169</v>
      </c>
      <c r="Y1708" s="101" t="s">
        <v>170</v>
      </c>
      <c r="Z1708" s="101" t="s">
        <v>171</v>
      </c>
      <c r="AA1708" s="101" t="s">
        <v>50</v>
      </c>
      <c r="AB1708" s="101" t="s">
        <v>172</v>
      </c>
      <c r="AC1708" s="102" t="s">
        <v>173</v>
      </c>
    </row>
    <row r="1709" spans="1:29" ht="25.5" customHeight="1" x14ac:dyDescent="0.35">
      <c r="A1709" s="392"/>
      <c r="B1709" s="393"/>
      <c r="C1709" s="99" t="str">
        <f>IF(B1709="","",IF(NOT(ISNUMBER(B1709)),"DATA_PC invalida",IF(NOT(ISNUMBER(parametros!$C$2)),"Fora dos ciclos",IF(OR(B1709&lt;parametros!$C$2,(YEAR(B1709)-YEAR(parametros!$C$2))*12+MONTH(B1709)-MONTH(parametros!$C$2)&gt;59),"Fora dos ciclos","C"&amp;INT(((YEAR(B1709)-YEAR(parametros!$C$2))*12+MONTH(B1709)-MONTH(parametros!$C$2))/12)))))</f>
        <v/>
      </c>
      <c r="D1709" s="394"/>
      <c r="E1709" s="78" t="str">
        <f>IF(C1709="","",IFERROR(VLOOKUP(C1709,parametros!$A$11:$E$15,5,0),""))</f>
        <v/>
      </c>
      <c r="F1709" s="79" t="str">
        <f t="shared" si="132"/>
        <v/>
      </c>
      <c r="G1709" s="395"/>
      <c r="H1709" s="91">
        <f t="shared" si="133"/>
        <v>0</v>
      </c>
      <c r="I1709" s="91" t="str">
        <f t="shared" si="134"/>
        <v/>
      </c>
      <c r="J1709" s="91" t="str">
        <f t="shared" si="135"/>
        <v/>
      </c>
      <c r="K1709" s="92" t="str">
        <f>IF(AND(A1709="",B1709="",D1709="",G1709=""),"",IF(AND(A1709&lt;&gt;"",COUNTIF($A$2:$A$5001,A1709)&gt;1),"NUMERO_PC duplicado",IF(B1709="","DATA_PC vazia",IF(NOT(ISNUMBER(B1709)),"DATA_PC invalida",IF(OR(C1709="",C1709="Fora dos ciclos"),"CICLO_PC nao identificado",IF(OR(D1709="",D1709=0),"VALOR_PC vazio ou zero",IF(AND(G1709&lt;&gt;"Sim",G1709&lt;&gt;"Nao",G1709&lt;&gt;""),"PC_PAGO_A_CONTRATADA invalido",IF(AND(C1709&lt;&gt;"C0",IFERROR(INDEX(parametros!$A$2:$A$6,MATCH(C1709,parametros!$B$2:$B$6,0)),"")="Sim",IFERROR(INDEX(parametros!$H$2:$H$6,MATCH(C1709,parametros!$B$2:$B$6,0)),"")=""),"INICIO_EFEITO ausente: PC "&amp;A1709&amp;" - "&amp;C1709,IF(L1709="","EFEITO_PC nao calculado: PC "&amp;A1709&amp;" - "&amp;C1709,"OK")))))))))</f>
        <v/>
      </c>
      <c r="L1709" s="92" t="str">
        <f>IF(AND(A1709="",B1709="",D1709="",G1709=""),"",IF(OR(B1709="",NOT(ISNUMBER(B1709)),C1709="",C1709="Fora dos ciclos"),"",IF(C1709="C0","Nao",IF(IFERROR(INDEX(parametros!$A$2:$A$6,MATCH(C1709,parametros!$B$2:$B$6,0)),"")&lt;&gt;"Sim","Nao",IF(IFERROR(INDEX(parametros!$H$2:$H$6,MATCH(C1709,parametros!$B$2:$B$6,0)),"")="","",IF(B1709&gt;=IFERROR(INDEX(parametros!$H$2:$H$6,MATCH(C1709,parametros!$B$2:$B$6,0)),""),"Sim","Nao"))))))</f>
        <v/>
      </c>
      <c r="T1709" s="156"/>
      <c r="U1709" s="214" t="str">
        <f t="shared" si="136"/>
        <v/>
      </c>
      <c r="V1709" s="212" t="s">
        <v>50</v>
      </c>
      <c r="W1709" s="100" t="s">
        <v>168</v>
      </c>
      <c r="X1709" s="100" t="s">
        <v>169</v>
      </c>
      <c r="Y1709" s="101" t="s">
        <v>170</v>
      </c>
      <c r="Z1709" s="101" t="s">
        <v>171</v>
      </c>
      <c r="AA1709" s="101" t="s">
        <v>50</v>
      </c>
      <c r="AB1709" s="101" t="s">
        <v>172</v>
      </c>
      <c r="AC1709" s="102" t="s">
        <v>173</v>
      </c>
    </row>
    <row r="1710" spans="1:29" ht="25.5" customHeight="1" x14ac:dyDescent="0.35">
      <c r="A1710" s="392"/>
      <c r="B1710" s="393"/>
      <c r="C1710" s="99" t="str">
        <f>IF(B1710="","",IF(NOT(ISNUMBER(B1710)),"DATA_PC invalida",IF(NOT(ISNUMBER(parametros!$C$2)),"Fora dos ciclos",IF(OR(B1710&lt;parametros!$C$2,(YEAR(B1710)-YEAR(parametros!$C$2))*12+MONTH(B1710)-MONTH(parametros!$C$2)&gt;59),"Fora dos ciclos","C"&amp;INT(((YEAR(B1710)-YEAR(parametros!$C$2))*12+MONTH(B1710)-MONTH(parametros!$C$2))/12)))))</f>
        <v/>
      </c>
      <c r="D1710" s="394"/>
      <c r="E1710" s="78" t="str">
        <f>IF(C1710="","",IFERROR(VLOOKUP(C1710,parametros!$A$11:$E$15,5,0),""))</f>
        <v/>
      </c>
      <c r="F1710" s="79" t="str">
        <f t="shared" si="132"/>
        <v/>
      </c>
      <c r="G1710" s="395"/>
      <c r="H1710" s="91">
        <f t="shared" si="133"/>
        <v>0</v>
      </c>
      <c r="I1710" s="91" t="str">
        <f t="shared" si="134"/>
        <v/>
      </c>
      <c r="J1710" s="91" t="str">
        <f t="shared" si="135"/>
        <v/>
      </c>
      <c r="K1710" s="92" t="str">
        <f>IF(AND(A1710="",B1710="",D1710="",G1710=""),"",IF(AND(A1710&lt;&gt;"",COUNTIF($A$2:$A$5001,A1710)&gt;1),"NUMERO_PC duplicado",IF(B1710="","DATA_PC vazia",IF(NOT(ISNUMBER(B1710)),"DATA_PC invalida",IF(OR(C1710="",C1710="Fora dos ciclos"),"CICLO_PC nao identificado",IF(OR(D1710="",D1710=0),"VALOR_PC vazio ou zero",IF(AND(G1710&lt;&gt;"Sim",G1710&lt;&gt;"Nao",G1710&lt;&gt;""),"PC_PAGO_A_CONTRATADA invalido",IF(AND(C1710&lt;&gt;"C0",IFERROR(INDEX(parametros!$A$2:$A$6,MATCH(C1710,parametros!$B$2:$B$6,0)),"")="Sim",IFERROR(INDEX(parametros!$H$2:$H$6,MATCH(C1710,parametros!$B$2:$B$6,0)),"")=""),"INICIO_EFEITO ausente: PC "&amp;A1710&amp;" - "&amp;C1710,IF(L1710="","EFEITO_PC nao calculado: PC "&amp;A1710&amp;" - "&amp;C1710,"OK")))))))))</f>
        <v/>
      </c>
      <c r="L1710" s="92" t="str">
        <f>IF(AND(A1710="",B1710="",D1710="",G1710=""),"",IF(OR(B1710="",NOT(ISNUMBER(B1710)),C1710="",C1710="Fora dos ciclos"),"",IF(C1710="C0","Nao",IF(IFERROR(INDEX(parametros!$A$2:$A$6,MATCH(C1710,parametros!$B$2:$B$6,0)),"")&lt;&gt;"Sim","Nao",IF(IFERROR(INDEX(parametros!$H$2:$H$6,MATCH(C1710,parametros!$B$2:$B$6,0)),"")="","",IF(B1710&gt;=IFERROR(INDEX(parametros!$H$2:$H$6,MATCH(C1710,parametros!$B$2:$B$6,0)),""),"Sim","Nao"))))))</f>
        <v/>
      </c>
      <c r="T1710" s="156"/>
      <c r="U1710" s="214" t="str">
        <f t="shared" si="136"/>
        <v/>
      </c>
      <c r="V1710" s="212" t="s">
        <v>50</v>
      </c>
      <c r="W1710" s="100" t="s">
        <v>168</v>
      </c>
      <c r="X1710" s="100" t="s">
        <v>169</v>
      </c>
      <c r="Y1710" s="101" t="s">
        <v>170</v>
      </c>
      <c r="Z1710" s="101" t="s">
        <v>171</v>
      </c>
      <c r="AA1710" s="101" t="s">
        <v>50</v>
      </c>
      <c r="AB1710" s="101" t="s">
        <v>172</v>
      </c>
      <c r="AC1710" s="102" t="s">
        <v>173</v>
      </c>
    </row>
    <row r="1711" spans="1:29" ht="25.5" customHeight="1" x14ac:dyDescent="0.35">
      <c r="A1711" s="392"/>
      <c r="B1711" s="393"/>
      <c r="C1711" s="99" t="str">
        <f>IF(B1711="","",IF(NOT(ISNUMBER(B1711)),"DATA_PC invalida",IF(NOT(ISNUMBER(parametros!$C$2)),"Fora dos ciclos",IF(OR(B1711&lt;parametros!$C$2,(YEAR(B1711)-YEAR(parametros!$C$2))*12+MONTH(B1711)-MONTH(parametros!$C$2)&gt;59),"Fora dos ciclos","C"&amp;INT(((YEAR(B1711)-YEAR(parametros!$C$2))*12+MONTH(B1711)-MONTH(parametros!$C$2))/12)))))</f>
        <v/>
      </c>
      <c r="D1711" s="394"/>
      <c r="E1711" s="78" t="str">
        <f>IF(C1711="","",IFERROR(VLOOKUP(C1711,parametros!$A$11:$E$15,5,0),""))</f>
        <v/>
      </c>
      <c r="F1711" s="79" t="str">
        <f t="shared" si="132"/>
        <v/>
      </c>
      <c r="G1711" s="395"/>
      <c r="H1711" s="91">
        <f t="shared" si="133"/>
        <v>0</v>
      </c>
      <c r="I1711" s="91" t="str">
        <f t="shared" si="134"/>
        <v/>
      </c>
      <c r="J1711" s="91" t="str">
        <f t="shared" si="135"/>
        <v/>
      </c>
      <c r="K1711" s="92" t="str">
        <f>IF(AND(A1711="",B1711="",D1711="",G1711=""),"",IF(AND(A1711&lt;&gt;"",COUNTIF($A$2:$A$5001,A1711)&gt;1),"NUMERO_PC duplicado",IF(B1711="","DATA_PC vazia",IF(NOT(ISNUMBER(B1711)),"DATA_PC invalida",IF(OR(C1711="",C1711="Fora dos ciclos"),"CICLO_PC nao identificado",IF(OR(D1711="",D1711=0),"VALOR_PC vazio ou zero",IF(AND(G1711&lt;&gt;"Sim",G1711&lt;&gt;"Nao",G1711&lt;&gt;""),"PC_PAGO_A_CONTRATADA invalido",IF(AND(C1711&lt;&gt;"C0",IFERROR(INDEX(parametros!$A$2:$A$6,MATCH(C1711,parametros!$B$2:$B$6,0)),"")="Sim",IFERROR(INDEX(parametros!$H$2:$H$6,MATCH(C1711,parametros!$B$2:$B$6,0)),"")=""),"INICIO_EFEITO ausente: PC "&amp;A1711&amp;" - "&amp;C1711,IF(L1711="","EFEITO_PC nao calculado: PC "&amp;A1711&amp;" - "&amp;C1711,"OK")))))))))</f>
        <v/>
      </c>
      <c r="L1711" s="92" t="str">
        <f>IF(AND(A1711="",B1711="",D1711="",G1711=""),"",IF(OR(B1711="",NOT(ISNUMBER(B1711)),C1711="",C1711="Fora dos ciclos"),"",IF(C1711="C0","Nao",IF(IFERROR(INDEX(parametros!$A$2:$A$6,MATCH(C1711,parametros!$B$2:$B$6,0)),"")&lt;&gt;"Sim","Nao",IF(IFERROR(INDEX(parametros!$H$2:$H$6,MATCH(C1711,parametros!$B$2:$B$6,0)),"")="","",IF(B1711&gt;=IFERROR(INDEX(parametros!$H$2:$H$6,MATCH(C1711,parametros!$B$2:$B$6,0)),""),"Sim","Nao"))))))</f>
        <v/>
      </c>
      <c r="T1711" s="156"/>
      <c r="U1711" s="214" t="str">
        <f t="shared" si="136"/>
        <v/>
      </c>
      <c r="V1711" s="212" t="s">
        <v>50</v>
      </c>
      <c r="W1711" s="100" t="s">
        <v>168</v>
      </c>
      <c r="X1711" s="100" t="s">
        <v>169</v>
      </c>
      <c r="Y1711" s="101" t="s">
        <v>170</v>
      </c>
      <c r="Z1711" s="101" t="s">
        <v>171</v>
      </c>
      <c r="AA1711" s="101" t="s">
        <v>50</v>
      </c>
      <c r="AB1711" s="101" t="s">
        <v>172</v>
      </c>
      <c r="AC1711" s="102" t="s">
        <v>173</v>
      </c>
    </row>
    <row r="1712" spans="1:29" ht="25.5" customHeight="1" x14ac:dyDescent="0.35">
      <c r="A1712" s="392"/>
      <c r="B1712" s="393"/>
      <c r="C1712" s="99" t="str">
        <f>IF(B1712="","",IF(NOT(ISNUMBER(B1712)),"DATA_PC invalida",IF(NOT(ISNUMBER(parametros!$C$2)),"Fora dos ciclos",IF(OR(B1712&lt;parametros!$C$2,(YEAR(B1712)-YEAR(parametros!$C$2))*12+MONTH(B1712)-MONTH(parametros!$C$2)&gt;59),"Fora dos ciclos","C"&amp;INT(((YEAR(B1712)-YEAR(parametros!$C$2))*12+MONTH(B1712)-MONTH(parametros!$C$2))/12)))))</f>
        <v/>
      </c>
      <c r="D1712" s="394"/>
      <c r="E1712" s="78" t="str">
        <f>IF(C1712="","",IFERROR(VLOOKUP(C1712,parametros!$A$11:$E$15,5,0),""))</f>
        <v/>
      </c>
      <c r="F1712" s="79" t="str">
        <f t="shared" si="132"/>
        <v/>
      </c>
      <c r="G1712" s="395"/>
      <c r="H1712" s="91">
        <f t="shared" si="133"/>
        <v>0</v>
      </c>
      <c r="I1712" s="91" t="str">
        <f t="shared" si="134"/>
        <v/>
      </c>
      <c r="J1712" s="91" t="str">
        <f t="shared" si="135"/>
        <v/>
      </c>
      <c r="K1712" s="92" t="str">
        <f>IF(AND(A1712="",B1712="",D1712="",G1712=""),"",IF(AND(A1712&lt;&gt;"",COUNTIF($A$2:$A$5001,A1712)&gt;1),"NUMERO_PC duplicado",IF(B1712="","DATA_PC vazia",IF(NOT(ISNUMBER(B1712)),"DATA_PC invalida",IF(OR(C1712="",C1712="Fora dos ciclos"),"CICLO_PC nao identificado",IF(OR(D1712="",D1712=0),"VALOR_PC vazio ou zero",IF(AND(G1712&lt;&gt;"Sim",G1712&lt;&gt;"Nao",G1712&lt;&gt;""),"PC_PAGO_A_CONTRATADA invalido",IF(AND(C1712&lt;&gt;"C0",IFERROR(INDEX(parametros!$A$2:$A$6,MATCH(C1712,parametros!$B$2:$B$6,0)),"")="Sim",IFERROR(INDEX(parametros!$H$2:$H$6,MATCH(C1712,parametros!$B$2:$B$6,0)),"")=""),"INICIO_EFEITO ausente: PC "&amp;A1712&amp;" - "&amp;C1712,IF(L1712="","EFEITO_PC nao calculado: PC "&amp;A1712&amp;" - "&amp;C1712,"OK")))))))))</f>
        <v/>
      </c>
      <c r="L1712" s="92" t="str">
        <f>IF(AND(A1712="",B1712="",D1712="",G1712=""),"",IF(OR(B1712="",NOT(ISNUMBER(B1712)),C1712="",C1712="Fora dos ciclos"),"",IF(C1712="C0","Nao",IF(IFERROR(INDEX(parametros!$A$2:$A$6,MATCH(C1712,parametros!$B$2:$B$6,0)),"")&lt;&gt;"Sim","Nao",IF(IFERROR(INDEX(parametros!$H$2:$H$6,MATCH(C1712,parametros!$B$2:$B$6,0)),"")="","",IF(B1712&gt;=IFERROR(INDEX(parametros!$H$2:$H$6,MATCH(C1712,parametros!$B$2:$B$6,0)),""),"Sim","Nao"))))))</f>
        <v/>
      </c>
      <c r="T1712" s="156"/>
      <c r="U1712" s="214" t="str">
        <f t="shared" si="136"/>
        <v/>
      </c>
      <c r="V1712" s="212" t="s">
        <v>50</v>
      </c>
      <c r="W1712" s="100" t="s">
        <v>168</v>
      </c>
      <c r="X1712" s="100" t="s">
        <v>169</v>
      </c>
      <c r="Y1712" s="101" t="s">
        <v>170</v>
      </c>
      <c r="Z1712" s="101" t="s">
        <v>171</v>
      </c>
      <c r="AA1712" s="101" t="s">
        <v>50</v>
      </c>
      <c r="AB1712" s="101" t="s">
        <v>172</v>
      </c>
      <c r="AC1712" s="102" t="s">
        <v>173</v>
      </c>
    </row>
    <row r="1713" spans="1:29" ht="25.5" customHeight="1" x14ac:dyDescent="0.35">
      <c r="A1713" s="392"/>
      <c r="B1713" s="393"/>
      <c r="C1713" s="99" t="str">
        <f>IF(B1713="","",IF(NOT(ISNUMBER(B1713)),"DATA_PC invalida",IF(NOT(ISNUMBER(parametros!$C$2)),"Fora dos ciclos",IF(OR(B1713&lt;parametros!$C$2,(YEAR(B1713)-YEAR(parametros!$C$2))*12+MONTH(B1713)-MONTH(parametros!$C$2)&gt;59),"Fora dos ciclos","C"&amp;INT(((YEAR(B1713)-YEAR(parametros!$C$2))*12+MONTH(B1713)-MONTH(parametros!$C$2))/12)))))</f>
        <v/>
      </c>
      <c r="D1713" s="394"/>
      <c r="E1713" s="78" t="str">
        <f>IF(C1713="","",IFERROR(VLOOKUP(C1713,parametros!$A$11:$E$15,5,0),""))</f>
        <v/>
      </c>
      <c r="F1713" s="79" t="str">
        <f t="shared" si="132"/>
        <v/>
      </c>
      <c r="G1713" s="395"/>
      <c r="H1713" s="91">
        <f t="shared" si="133"/>
        <v>0</v>
      </c>
      <c r="I1713" s="91" t="str">
        <f t="shared" si="134"/>
        <v/>
      </c>
      <c r="J1713" s="91" t="str">
        <f t="shared" si="135"/>
        <v/>
      </c>
      <c r="K1713" s="92" t="str">
        <f>IF(AND(A1713="",B1713="",D1713="",G1713=""),"",IF(AND(A1713&lt;&gt;"",COUNTIF($A$2:$A$5001,A1713)&gt;1),"NUMERO_PC duplicado",IF(B1713="","DATA_PC vazia",IF(NOT(ISNUMBER(B1713)),"DATA_PC invalida",IF(OR(C1713="",C1713="Fora dos ciclos"),"CICLO_PC nao identificado",IF(OR(D1713="",D1713=0),"VALOR_PC vazio ou zero",IF(AND(G1713&lt;&gt;"Sim",G1713&lt;&gt;"Nao",G1713&lt;&gt;""),"PC_PAGO_A_CONTRATADA invalido",IF(AND(C1713&lt;&gt;"C0",IFERROR(INDEX(parametros!$A$2:$A$6,MATCH(C1713,parametros!$B$2:$B$6,0)),"")="Sim",IFERROR(INDEX(parametros!$H$2:$H$6,MATCH(C1713,parametros!$B$2:$B$6,0)),"")=""),"INICIO_EFEITO ausente: PC "&amp;A1713&amp;" - "&amp;C1713,IF(L1713="","EFEITO_PC nao calculado: PC "&amp;A1713&amp;" - "&amp;C1713,"OK")))))))))</f>
        <v/>
      </c>
      <c r="L1713" s="92" t="str">
        <f>IF(AND(A1713="",B1713="",D1713="",G1713=""),"",IF(OR(B1713="",NOT(ISNUMBER(B1713)),C1713="",C1713="Fora dos ciclos"),"",IF(C1713="C0","Nao",IF(IFERROR(INDEX(parametros!$A$2:$A$6,MATCH(C1713,parametros!$B$2:$B$6,0)),"")&lt;&gt;"Sim","Nao",IF(IFERROR(INDEX(parametros!$H$2:$H$6,MATCH(C1713,parametros!$B$2:$B$6,0)),"")="","",IF(B1713&gt;=IFERROR(INDEX(parametros!$H$2:$H$6,MATCH(C1713,parametros!$B$2:$B$6,0)),""),"Sim","Nao"))))))</f>
        <v/>
      </c>
      <c r="T1713" s="156"/>
      <c r="U1713" s="214" t="str">
        <f t="shared" si="136"/>
        <v/>
      </c>
      <c r="V1713" s="212" t="s">
        <v>50</v>
      </c>
      <c r="W1713" s="100" t="s">
        <v>168</v>
      </c>
      <c r="X1713" s="100" t="s">
        <v>169</v>
      </c>
      <c r="Y1713" s="101" t="s">
        <v>170</v>
      </c>
      <c r="Z1713" s="101" t="s">
        <v>171</v>
      </c>
      <c r="AA1713" s="101" t="s">
        <v>50</v>
      </c>
      <c r="AB1713" s="101" t="s">
        <v>172</v>
      </c>
      <c r="AC1713" s="102" t="s">
        <v>173</v>
      </c>
    </row>
    <row r="1714" spans="1:29" ht="25.5" customHeight="1" x14ac:dyDescent="0.35">
      <c r="A1714" s="392"/>
      <c r="B1714" s="393"/>
      <c r="C1714" s="99" t="str">
        <f>IF(B1714="","",IF(NOT(ISNUMBER(B1714)),"DATA_PC invalida",IF(NOT(ISNUMBER(parametros!$C$2)),"Fora dos ciclos",IF(OR(B1714&lt;parametros!$C$2,(YEAR(B1714)-YEAR(parametros!$C$2))*12+MONTH(B1714)-MONTH(parametros!$C$2)&gt;59),"Fora dos ciclos","C"&amp;INT(((YEAR(B1714)-YEAR(parametros!$C$2))*12+MONTH(B1714)-MONTH(parametros!$C$2))/12)))))</f>
        <v/>
      </c>
      <c r="D1714" s="394"/>
      <c r="E1714" s="78" t="str">
        <f>IF(C1714="","",IFERROR(VLOOKUP(C1714,parametros!$A$11:$E$15,5,0),""))</f>
        <v/>
      </c>
      <c r="F1714" s="79" t="str">
        <f t="shared" si="132"/>
        <v/>
      </c>
      <c r="G1714" s="395"/>
      <c r="H1714" s="91">
        <f t="shared" si="133"/>
        <v>0</v>
      </c>
      <c r="I1714" s="91" t="str">
        <f t="shared" si="134"/>
        <v/>
      </c>
      <c r="J1714" s="91" t="str">
        <f t="shared" si="135"/>
        <v/>
      </c>
      <c r="K1714" s="92" t="str">
        <f>IF(AND(A1714="",B1714="",D1714="",G1714=""),"",IF(AND(A1714&lt;&gt;"",COUNTIF($A$2:$A$5001,A1714)&gt;1),"NUMERO_PC duplicado",IF(B1714="","DATA_PC vazia",IF(NOT(ISNUMBER(B1714)),"DATA_PC invalida",IF(OR(C1714="",C1714="Fora dos ciclos"),"CICLO_PC nao identificado",IF(OR(D1714="",D1714=0),"VALOR_PC vazio ou zero",IF(AND(G1714&lt;&gt;"Sim",G1714&lt;&gt;"Nao",G1714&lt;&gt;""),"PC_PAGO_A_CONTRATADA invalido",IF(AND(C1714&lt;&gt;"C0",IFERROR(INDEX(parametros!$A$2:$A$6,MATCH(C1714,parametros!$B$2:$B$6,0)),"")="Sim",IFERROR(INDEX(parametros!$H$2:$H$6,MATCH(C1714,parametros!$B$2:$B$6,0)),"")=""),"INICIO_EFEITO ausente: PC "&amp;A1714&amp;" - "&amp;C1714,IF(L1714="","EFEITO_PC nao calculado: PC "&amp;A1714&amp;" - "&amp;C1714,"OK")))))))))</f>
        <v/>
      </c>
      <c r="L1714" s="92" t="str">
        <f>IF(AND(A1714="",B1714="",D1714="",G1714=""),"",IF(OR(B1714="",NOT(ISNUMBER(B1714)),C1714="",C1714="Fora dos ciclos"),"",IF(C1714="C0","Nao",IF(IFERROR(INDEX(parametros!$A$2:$A$6,MATCH(C1714,parametros!$B$2:$B$6,0)),"")&lt;&gt;"Sim","Nao",IF(IFERROR(INDEX(parametros!$H$2:$H$6,MATCH(C1714,parametros!$B$2:$B$6,0)),"")="","",IF(B1714&gt;=IFERROR(INDEX(parametros!$H$2:$H$6,MATCH(C1714,parametros!$B$2:$B$6,0)),""),"Sim","Nao"))))))</f>
        <v/>
      </c>
      <c r="T1714" s="156"/>
      <c r="U1714" s="214" t="str">
        <f t="shared" si="136"/>
        <v/>
      </c>
      <c r="V1714" s="212" t="s">
        <v>50</v>
      </c>
      <c r="W1714" s="100" t="s">
        <v>168</v>
      </c>
      <c r="X1714" s="100" t="s">
        <v>169</v>
      </c>
      <c r="Y1714" s="101" t="s">
        <v>170</v>
      </c>
      <c r="Z1714" s="101" t="s">
        <v>171</v>
      </c>
      <c r="AA1714" s="101" t="s">
        <v>50</v>
      </c>
      <c r="AB1714" s="101" t="s">
        <v>172</v>
      </c>
      <c r="AC1714" s="102" t="s">
        <v>173</v>
      </c>
    </row>
    <row r="1715" spans="1:29" ht="25.5" customHeight="1" x14ac:dyDescent="0.35">
      <c r="A1715" s="392"/>
      <c r="B1715" s="393"/>
      <c r="C1715" s="99" t="str">
        <f>IF(B1715="","",IF(NOT(ISNUMBER(B1715)),"DATA_PC invalida",IF(NOT(ISNUMBER(parametros!$C$2)),"Fora dos ciclos",IF(OR(B1715&lt;parametros!$C$2,(YEAR(B1715)-YEAR(parametros!$C$2))*12+MONTH(B1715)-MONTH(parametros!$C$2)&gt;59),"Fora dos ciclos","C"&amp;INT(((YEAR(B1715)-YEAR(parametros!$C$2))*12+MONTH(B1715)-MONTH(parametros!$C$2))/12)))))</f>
        <v/>
      </c>
      <c r="D1715" s="394"/>
      <c r="E1715" s="78" t="str">
        <f>IF(C1715="","",IFERROR(VLOOKUP(C1715,parametros!$A$11:$E$15,5,0),""))</f>
        <v/>
      </c>
      <c r="F1715" s="79" t="str">
        <f t="shared" si="132"/>
        <v/>
      </c>
      <c r="G1715" s="395"/>
      <c r="H1715" s="91">
        <f t="shared" si="133"/>
        <v>0</v>
      </c>
      <c r="I1715" s="91" t="str">
        <f t="shared" si="134"/>
        <v/>
      </c>
      <c r="J1715" s="91" t="str">
        <f t="shared" si="135"/>
        <v/>
      </c>
      <c r="K1715" s="92" t="str">
        <f>IF(AND(A1715="",B1715="",D1715="",G1715=""),"",IF(AND(A1715&lt;&gt;"",COUNTIF($A$2:$A$5001,A1715)&gt;1),"NUMERO_PC duplicado",IF(B1715="","DATA_PC vazia",IF(NOT(ISNUMBER(B1715)),"DATA_PC invalida",IF(OR(C1715="",C1715="Fora dos ciclos"),"CICLO_PC nao identificado",IF(OR(D1715="",D1715=0),"VALOR_PC vazio ou zero",IF(AND(G1715&lt;&gt;"Sim",G1715&lt;&gt;"Nao",G1715&lt;&gt;""),"PC_PAGO_A_CONTRATADA invalido",IF(AND(C1715&lt;&gt;"C0",IFERROR(INDEX(parametros!$A$2:$A$6,MATCH(C1715,parametros!$B$2:$B$6,0)),"")="Sim",IFERROR(INDEX(parametros!$H$2:$H$6,MATCH(C1715,parametros!$B$2:$B$6,0)),"")=""),"INICIO_EFEITO ausente: PC "&amp;A1715&amp;" - "&amp;C1715,IF(L1715="","EFEITO_PC nao calculado: PC "&amp;A1715&amp;" - "&amp;C1715,"OK")))))))))</f>
        <v/>
      </c>
      <c r="L1715" s="92" t="str">
        <f>IF(AND(A1715="",B1715="",D1715="",G1715=""),"",IF(OR(B1715="",NOT(ISNUMBER(B1715)),C1715="",C1715="Fora dos ciclos"),"",IF(C1715="C0","Nao",IF(IFERROR(INDEX(parametros!$A$2:$A$6,MATCH(C1715,parametros!$B$2:$B$6,0)),"")&lt;&gt;"Sim","Nao",IF(IFERROR(INDEX(parametros!$H$2:$H$6,MATCH(C1715,parametros!$B$2:$B$6,0)),"")="","",IF(B1715&gt;=IFERROR(INDEX(parametros!$H$2:$H$6,MATCH(C1715,parametros!$B$2:$B$6,0)),""),"Sim","Nao"))))))</f>
        <v/>
      </c>
      <c r="T1715" s="156"/>
      <c r="U1715" s="214" t="str">
        <f t="shared" si="136"/>
        <v/>
      </c>
      <c r="V1715" s="212" t="s">
        <v>50</v>
      </c>
      <c r="W1715" s="100" t="s">
        <v>168</v>
      </c>
      <c r="X1715" s="100" t="s">
        <v>169</v>
      </c>
      <c r="Y1715" s="101" t="s">
        <v>170</v>
      </c>
      <c r="Z1715" s="101" t="s">
        <v>171</v>
      </c>
      <c r="AA1715" s="101" t="s">
        <v>50</v>
      </c>
      <c r="AB1715" s="101" t="s">
        <v>172</v>
      </c>
      <c r="AC1715" s="102" t="s">
        <v>173</v>
      </c>
    </row>
    <row r="1716" spans="1:29" ht="25.5" customHeight="1" x14ac:dyDescent="0.35">
      <c r="A1716" s="392"/>
      <c r="B1716" s="393"/>
      <c r="C1716" s="99" t="str">
        <f>IF(B1716="","",IF(NOT(ISNUMBER(B1716)),"DATA_PC invalida",IF(NOT(ISNUMBER(parametros!$C$2)),"Fora dos ciclos",IF(OR(B1716&lt;parametros!$C$2,(YEAR(B1716)-YEAR(parametros!$C$2))*12+MONTH(B1716)-MONTH(parametros!$C$2)&gt;59),"Fora dos ciclos","C"&amp;INT(((YEAR(B1716)-YEAR(parametros!$C$2))*12+MONTH(B1716)-MONTH(parametros!$C$2))/12)))))</f>
        <v/>
      </c>
      <c r="D1716" s="394"/>
      <c r="E1716" s="78" t="str">
        <f>IF(C1716="","",IFERROR(VLOOKUP(C1716,parametros!$A$11:$E$15,5,0),""))</f>
        <v/>
      </c>
      <c r="F1716" s="79" t="str">
        <f t="shared" si="132"/>
        <v/>
      </c>
      <c r="G1716" s="395"/>
      <c r="H1716" s="91">
        <f t="shared" si="133"/>
        <v>0</v>
      </c>
      <c r="I1716" s="91" t="str">
        <f t="shared" si="134"/>
        <v/>
      </c>
      <c r="J1716" s="91" t="str">
        <f t="shared" si="135"/>
        <v/>
      </c>
      <c r="K1716" s="92" t="str">
        <f>IF(AND(A1716="",B1716="",D1716="",G1716=""),"",IF(AND(A1716&lt;&gt;"",COUNTIF($A$2:$A$5001,A1716)&gt;1),"NUMERO_PC duplicado",IF(B1716="","DATA_PC vazia",IF(NOT(ISNUMBER(B1716)),"DATA_PC invalida",IF(OR(C1716="",C1716="Fora dos ciclos"),"CICLO_PC nao identificado",IF(OR(D1716="",D1716=0),"VALOR_PC vazio ou zero",IF(AND(G1716&lt;&gt;"Sim",G1716&lt;&gt;"Nao",G1716&lt;&gt;""),"PC_PAGO_A_CONTRATADA invalido",IF(AND(C1716&lt;&gt;"C0",IFERROR(INDEX(parametros!$A$2:$A$6,MATCH(C1716,parametros!$B$2:$B$6,0)),"")="Sim",IFERROR(INDEX(parametros!$H$2:$H$6,MATCH(C1716,parametros!$B$2:$B$6,0)),"")=""),"INICIO_EFEITO ausente: PC "&amp;A1716&amp;" - "&amp;C1716,IF(L1716="","EFEITO_PC nao calculado: PC "&amp;A1716&amp;" - "&amp;C1716,"OK")))))))))</f>
        <v/>
      </c>
      <c r="L1716" s="92" t="str">
        <f>IF(AND(A1716="",B1716="",D1716="",G1716=""),"",IF(OR(B1716="",NOT(ISNUMBER(B1716)),C1716="",C1716="Fora dos ciclos"),"",IF(C1716="C0","Nao",IF(IFERROR(INDEX(parametros!$A$2:$A$6,MATCH(C1716,parametros!$B$2:$B$6,0)),"")&lt;&gt;"Sim","Nao",IF(IFERROR(INDEX(parametros!$H$2:$H$6,MATCH(C1716,parametros!$B$2:$B$6,0)),"")="","",IF(B1716&gt;=IFERROR(INDEX(parametros!$H$2:$H$6,MATCH(C1716,parametros!$B$2:$B$6,0)),""),"Sim","Nao"))))))</f>
        <v/>
      </c>
      <c r="T1716" s="156"/>
      <c r="U1716" s="214" t="str">
        <f t="shared" si="136"/>
        <v/>
      </c>
      <c r="V1716" s="212" t="s">
        <v>50</v>
      </c>
      <c r="W1716" s="100" t="s">
        <v>168</v>
      </c>
      <c r="X1716" s="100" t="s">
        <v>169</v>
      </c>
      <c r="Y1716" s="101" t="s">
        <v>170</v>
      </c>
      <c r="Z1716" s="101" t="s">
        <v>171</v>
      </c>
      <c r="AA1716" s="101" t="s">
        <v>50</v>
      </c>
      <c r="AB1716" s="101" t="s">
        <v>172</v>
      </c>
      <c r="AC1716" s="102" t="s">
        <v>173</v>
      </c>
    </row>
    <row r="1717" spans="1:29" ht="25.5" customHeight="1" x14ac:dyDescent="0.35">
      <c r="A1717" s="392"/>
      <c r="B1717" s="393"/>
      <c r="C1717" s="99" t="str">
        <f>IF(B1717="","",IF(NOT(ISNUMBER(B1717)),"DATA_PC invalida",IF(NOT(ISNUMBER(parametros!$C$2)),"Fora dos ciclos",IF(OR(B1717&lt;parametros!$C$2,(YEAR(B1717)-YEAR(parametros!$C$2))*12+MONTH(B1717)-MONTH(parametros!$C$2)&gt;59),"Fora dos ciclos","C"&amp;INT(((YEAR(B1717)-YEAR(parametros!$C$2))*12+MONTH(B1717)-MONTH(parametros!$C$2))/12)))))</f>
        <v/>
      </c>
      <c r="D1717" s="394"/>
      <c r="E1717" s="78" t="str">
        <f>IF(C1717="","",IFERROR(VLOOKUP(C1717,parametros!$A$11:$E$15,5,0),""))</f>
        <v/>
      </c>
      <c r="F1717" s="79" t="str">
        <f t="shared" si="132"/>
        <v/>
      </c>
      <c r="G1717" s="395"/>
      <c r="H1717" s="91">
        <f t="shared" si="133"/>
        <v>0</v>
      </c>
      <c r="I1717" s="91" t="str">
        <f t="shared" si="134"/>
        <v/>
      </c>
      <c r="J1717" s="91" t="str">
        <f t="shared" si="135"/>
        <v/>
      </c>
      <c r="K1717" s="92" t="str">
        <f>IF(AND(A1717="",B1717="",D1717="",G1717=""),"",IF(AND(A1717&lt;&gt;"",COUNTIF($A$2:$A$5001,A1717)&gt;1),"NUMERO_PC duplicado",IF(B1717="","DATA_PC vazia",IF(NOT(ISNUMBER(B1717)),"DATA_PC invalida",IF(OR(C1717="",C1717="Fora dos ciclos"),"CICLO_PC nao identificado",IF(OR(D1717="",D1717=0),"VALOR_PC vazio ou zero",IF(AND(G1717&lt;&gt;"Sim",G1717&lt;&gt;"Nao",G1717&lt;&gt;""),"PC_PAGO_A_CONTRATADA invalido",IF(AND(C1717&lt;&gt;"C0",IFERROR(INDEX(parametros!$A$2:$A$6,MATCH(C1717,parametros!$B$2:$B$6,0)),"")="Sim",IFERROR(INDEX(parametros!$H$2:$H$6,MATCH(C1717,parametros!$B$2:$B$6,0)),"")=""),"INICIO_EFEITO ausente: PC "&amp;A1717&amp;" - "&amp;C1717,IF(L1717="","EFEITO_PC nao calculado: PC "&amp;A1717&amp;" - "&amp;C1717,"OK")))))))))</f>
        <v/>
      </c>
      <c r="L1717" s="92" t="str">
        <f>IF(AND(A1717="",B1717="",D1717="",G1717=""),"",IF(OR(B1717="",NOT(ISNUMBER(B1717)),C1717="",C1717="Fora dos ciclos"),"",IF(C1717="C0","Nao",IF(IFERROR(INDEX(parametros!$A$2:$A$6,MATCH(C1717,parametros!$B$2:$B$6,0)),"")&lt;&gt;"Sim","Nao",IF(IFERROR(INDEX(parametros!$H$2:$H$6,MATCH(C1717,parametros!$B$2:$B$6,0)),"")="","",IF(B1717&gt;=IFERROR(INDEX(parametros!$H$2:$H$6,MATCH(C1717,parametros!$B$2:$B$6,0)),""),"Sim","Nao"))))))</f>
        <v/>
      </c>
      <c r="T1717" s="156"/>
      <c r="U1717" s="214" t="str">
        <f t="shared" si="136"/>
        <v/>
      </c>
      <c r="V1717" s="212" t="s">
        <v>50</v>
      </c>
      <c r="W1717" s="100" t="s">
        <v>168</v>
      </c>
      <c r="X1717" s="100" t="s">
        <v>169</v>
      </c>
      <c r="Y1717" s="101" t="s">
        <v>170</v>
      </c>
      <c r="Z1717" s="101" t="s">
        <v>171</v>
      </c>
      <c r="AA1717" s="101" t="s">
        <v>50</v>
      </c>
      <c r="AB1717" s="101" t="s">
        <v>172</v>
      </c>
      <c r="AC1717" s="102" t="s">
        <v>173</v>
      </c>
    </row>
    <row r="1718" spans="1:29" ht="25.5" customHeight="1" x14ac:dyDescent="0.35">
      <c r="A1718" s="392"/>
      <c r="B1718" s="393"/>
      <c r="C1718" s="99" t="str">
        <f>IF(B1718="","",IF(NOT(ISNUMBER(B1718)),"DATA_PC invalida",IF(NOT(ISNUMBER(parametros!$C$2)),"Fora dos ciclos",IF(OR(B1718&lt;parametros!$C$2,(YEAR(B1718)-YEAR(parametros!$C$2))*12+MONTH(B1718)-MONTH(parametros!$C$2)&gt;59),"Fora dos ciclos","C"&amp;INT(((YEAR(B1718)-YEAR(parametros!$C$2))*12+MONTH(B1718)-MONTH(parametros!$C$2))/12)))))</f>
        <v/>
      </c>
      <c r="D1718" s="394"/>
      <c r="E1718" s="78" t="str">
        <f>IF(C1718="","",IFERROR(VLOOKUP(C1718,parametros!$A$11:$E$15,5,0),""))</f>
        <v/>
      </c>
      <c r="F1718" s="79" t="str">
        <f t="shared" si="132"/>
        <v/>
      </c>
      <c r="G1718" s="395"/>
      <c r="H1718" s="91">
        <f t="shared" si="133"/>
        <v>0</v>
      </c>
      <c r="I1718" s="91" t="str">
        <f t="shared" si="134"/>
        <v/>
      </c>
      <c r="J1718" s="91" t="str">
        <f t="shared" si="135"/>
        <v/>
      </c>
      <c r="K1718" s="92" t="str">
        <f>IF(AND(A1718="",B1718="",D1718="",G1718=""),"",IF(AND(A1718&lt;&gt;"",COUNTIF($A$2:$A$5001,A1718)&gt;1),"NUMERO_PC duplicado",IF(B1718="","DATA_PC vazia",IF(NOT(ISNUMBER(B1718)),"DATA_PC invalida",IF(OR(C1718="",C1718="Fora dos ciclos"),"CICLO_PC nao identificado",IF(OR(D1718="",D1718=0),"VALOR_PC vazio ou zero",IF(AND(G1718&lt;&gt;"Sim",G1718&lt;&gt;"Nao",G1718&lt;&gt;""),"PC_PAGO_A_CONTRATADA invalido",IF(AND(C1718&lt;&gt;"C0",IFERROR(INDEX(parametros!$A$2:$A$6,MATCH(C1718,parametros!$B$2:$B$6,0)),"")="Sim",IFERROR(INDEX(parametros!$H$2:$H$6,MATCH(C1718,parametros!$B$2:$B$6,0)),"")=""),"INICIO_EFEITO ausente: PC "&amp;A1718&amp;" - "&amp;C1718,IF(L1718="","EFEITO_PC nao calculado: PC "&amp;A1718&amp;" - "&amp;C1718,"OK")))))))))</f>
        <v/>
      </c>
      <c r="L1718" s="92" t="str">
        <f>IF(AND(A1718="",B1718="",D1718="",G1718=""),"",IF(OR(B1718="",NOT(ISNUMBER(B1718)),C1718="",C1718="Fora dos ciclos"),"",IF(C1718="C0","Nao",IF(IFERROR(INDEX(parametros!$A$2:$A$6,MATCH(C1718,parametros!$B$2:$B$6,0)),"")&lt;&gt;"Sim","Nao",IF(IFERROR(INDEX(parametros!$H$2:$H$6,MATCH(C1718,parametros!$B$2:$B$6,0)),"")="","",IF(B1718&gt;=IFERROR(INDEX(parametros!$H$2:$H$6,MATCH(C1718,parametros!$B$2:$B$6,0)),""),"Sim","Nao"))))))</f>
        <v/>
      </c>
      <c r="T1718" s="156"/>
      <c r="U1718" s="214" t="str">
        <f t="shared" si="136"/>
        <v/>
      </c>
      <c r="V1718" s="212" t="s">
        <v>50</v>
      </c>
      <c r="W1718" s="100" t="s">
        <v>168</v>
      </c>
      <c r="X1718" s="100" t="s">
        <v>169</v>
      </c>
      <c r="Y1718" s="101" t="s">
        <v>170</v>
      </c>
      <c r="Z1718" s="101" t="s">
        <v>171</v>
      </c>
      <c r="AA1718" s="101" t="s">
        <v>50</v>
      </c>
      <c r="AB1718" s="101" t="s">
        <v>172</v>
      </c>
      <c r="AC1718" s="102" t="s">
        <v>173</v>
      </c>
    </row>
    <row r="1719" spans="1:29" ht="25.5" customHeight="1" x14ac:dyDescent="0.35">
      <c r="A1719" s="392"/>
      <c r="B1719" s="393"/>
      <c r="C1719" s="99" t="str">
        <f>IF(B1719="","",IF(NOT(ISNUMBER(B1719)),"DATA_PC invalida",IF(NOT(ISNUMBER(parametros!$C$2)),"Fora dos ciclos",IF(OR(B1719&lt;parametros!$C$2,(YEAR(B1719)-YEAR(parametros!$C$2))*12+MONTH(B1719)-MONTH(parametros!$C$2)&gt;59),"Fora dos ciclos","C"&amp;INT(((YEAR(B1719)-YEAR(parametros!$C$2))*12+MONTH(B1719)-MONTH(parametros!$C$2))/12)))))</f>
        <v/>
      </c>
      <c r="D1719" s="394"/>
      <c r="E1719" s="78" t="str">
        <f>IF(C1719="","",IFERROR(VLOOKUP(C1719,parametros!$A$11:$E$15,5,0),""))</f>
        <v/>
      </c>
      <c r="F1719" s="79" t="str">
        <f t="shared" si="132"/>
        <v/>
      </c>
      <c r="G1719" s="395"/>
      <c r="H1719" s="91">
        <f t="shared" si="133"/>
        <v>0</v>
      </c>
      <c r="I1719" s="91" t="str">
        <f t="shared" si="134"/>
        <v/>
      </c>
      <c r="J1719" s="91" t="str">
        <f t="shared" si="135"/>
        <v/>
      </c>
      <c r="K1719" s="92" t="str">
        <f>IF(AND(A1719="",B1719="",D1719="",G1719=""),"",IF(AND(A1719&lt;&gt;"",COUNTIF($A$2:$A$5001,A1719)&gt;1),"NUMERO_PC duplicado",IF(B1719="","DATA_PC vazia",IF(NOT(ISNUMBER(B1719)),"DATA_PC invalida",IF(OR(C1719="",C1719="Fora dos ciclos"),"CICLO_PC nao identificado",IF(OR(D1719="",D1719=0),"VALOR_PC vazio ou zero",IF(AND(G1719&lt;&gt;"Sim",G1719&lt;&gt;"Nao",G1719&lt;&gt;""),"PC_PAGO_A_CONTRATADA invalido",IF(AND(C1719&lt;&gt;"C0",IFERROR(INDEX(parametros!$A$2:$A$6,MATCH(C1719,parametros!$B$2:$B$6,0)),"")="Sim",IFERROR(INDEX(parametros!$H$2:$H$6,MATCH(C1719,parametros!$B$2:$B$6,0)),"")=""),"INICIO_EFEITO ausente: PC "&amp;A1719&amp;" - "&amp;C1719,IF(L1719="","EFEITO_PC nao calculado: PC "&amp;A1719&amp;" - "&amp;C1719,"OK")))))))))</f>
        <v/>
      </c>
      <c r="L1719" s="92" t="str">
        <f>IF(AND(A1719="",B1719="",D1719="",G1719=""),"",IF(OR(B1719="",NOT(ISNUMBER(B1719)),C1719="",C1719="Fora dos ciclos"),"",IF(C1719="C0","Nao",IF(IFERROR(INDEX(parametros!$A$2:$A$6,MATCH(C1719,parametros!$B$2:$B$6,0)),"")&lt;&gt;"Sim","Nao",IF(IFERROR(INDEX(parametros!$H$2:$H$6,MATCH(C1719,parametros!$B$2:$B$6,0)),"")="","",IF(B1719&gt;=IFERROR(INDEX(parametros!$H$2:$H$6,MATCH(C1719,parametros!$B$2:$B$6,0)),""),"Sim","Nao"))))))</f>
        <v/>
      </c>
      <c r="T1719" s="156"/>
      <c r="U1719" s="214" t="str">
        <f t="shared" si="136"/>
        <v/>
      </c>
      <c r="V1719" s="212" t="s">
        <v>50</v>
      </c>
      <c r="W1719" s="100" t="s">
        <v>168</v>
      </c>
      <c r="X1719" s="100" t="s">
        <v>169</v>
      </c>
      <c r="Y1719" s="101" t="s">
        <v>170</v>
      </c>
      <c r="Z1719" s="101" t="s">
        <v>171</v>
      </c>
      <c r="AA1719" s="101" t="s">
        <v>50</v>
      </c>
      <c r="AB1719" s="101" t="s">
        <v>172</v>
      </c>
      <c r="AC1719" s="102" t="s">
        <v>173</v>
      </c>
    </row>
    <row r="1720" spans="1:29" ht="25.5" customHeight="1" x14ac:dyDescent="0.35">
      <c r="A1720" s="392"/>
      <c r="B1720" s="393"/>
      <c r="C1720" s="99" t="str">
        <f>IF(B1720="","",IF(NOT(ISNUMBER(B1720)),"DATA_PC invalida",IF(NOT(ISNUMBER(parametros!$C$2)),"Fora dos ciclos",IF(OR(B1720&lt;parametros!$C$2,(YEAR(B1720)-YEAR(parametros!$C$2))*12+MONTH(B1720)-MONTH(parametros!$C$2)&gt;59),"Fora dos ciclos","C"&amp;INT(((YEAR(B1720)-YEAR(parametros!$C$2))*12+MONTH(B1720)-MONTH(parametros!$C$2))/12)))))</f>
        <v/>
      </c>
      <c r="D1720" s="394"/>
      <c r="E1720" s="78" t="str">
        <f>IF(C1720="","",IFERROR(VLOOKUP(C1720,parametros!$A$11:$E$15,5,0),""))</f>
        <v/>
      </c>
      <c r="F1720" s="79" t="str">
        <f t="shared" si="132"/>
        <v/>
      </c>
      <c r="G1720" s="395"/>
      <c r="H1720" s="91">
        <f t="shared" si="133"/>
        <v>0</v>
      </c>
      <c r="I1720" s="91" t="str">
        <f t="shared" si="134"/>
        <v/>
      </c>
      <c r="J1720" s="91" t="str">
        <f t="shared" si="135"/>
        <v/>
      </c>
      <c r="K1720" s="92" t="str">
        <f>IF(AND(A1720="",B1720="",D1720="",G1720=""),"",IF(AND(A1720&lt;&gt;"",COUNTIF($A$2:$A$5001,A1720)&gt;1),"NUMERO_PC duplicado",IF(B1720="","DATA_PC vazia",IF(NOT(ISNUMBER(B1720)),"DATA_PC invalida",IF(OR(C1720="",C1720="Fora dos ciclos"),"CICLO_PC nao identificado",IF(OR(D1720="",D1720=0),"VALOR_PC vazio ou zero",IF(AND(G1720&lt;&gt;"Sim",G1720&lt;&gt;"Nao",G1720&lt;&gt;""),"PC_PAGO_A_CONTRATADA invalido",IF(AND(C1720&lt;&gt;"C0",IFERROR(INDEX(parametros!$A$2:$A$6,MATCH(C1720,parametros!$B$2:$B$6,0)),"")="Sim",IFERROR(INDEX(parametros!$H$2:$H$6,MATCH(C1720,parametros!$B$2:$B$6,0)),"")=""),"INICIO_EFEITO ausente: PC "&amp;A1720&amp;" - "&amp;C1720,IF(L1720="","EFEITO_PC nao calculado: PC "&amp;A1720&amp;" - "&amp;C1720,"OK")))))))))</f>
        <v/>
      </c>
      <c r="L1720" s="92" t="str">
        <f>IF(AND(A1720="",B1720="",D1720="",G1720=""),"",IF(OR(B1720="",NOT(ISNUMBER(B1720)),C1720="",C1720="Fora dos ciclos"),"",IF(C1720="C0","Nao",IF(IFERROR(INDEX(parametros!$A$2:$A$6,MATCH(C1720,parametros!$B$2:$B$6,0)),"")&lt;&gt;"Sim","Nao",IF(IFERROR(INDEX(parametros!$H$2:$H$6,MATCH(C1720,parametros!$B$2:$B$6,0)),"")="","",IF(B1720&gt;=IFERROR(INDEX(parametros!$H$2:$H$6,MATCH(C1720,parametros!$B$2:$B$6,0)),""),"Sim","Nao"))))))</f>
        <v/>
      </c>
      <c r="T1720" s="156"/>
      <c r="U1720" s="214" t="str">
        <f t="shared" si="136"/>
        <v/>
      </c>
      <c r="V1720" s="212" t="s">
        <v>50</v>
      </c>
      <c r="W1720" s="100" t="s">
        <v>168</v>
      </c>
      <c r="X1720" s="100" t="s">
        <v>169</v>
      </c>
      <c r="Y1720" s="101" t="s">
        <v>170</v>
      </c>
      <c r="Z1720" s="101" t="s">
        <v>171</v>
      </c>
      <c r="AA1720" s="101" t="s">
        <v>50</v>
      </c>
      <c r="AB1720" s="101" t="s">
        <v>172</v>
      </c>
      <c r="AC1720" s="102" t="s">
        <v>173</v>
      </c>
    </row>
    <row r="1721" spans="1:29" ht="25.5" customHeight="1" x14ac:dyDescent="0.35">
      <c r="A1721" s="392"/>
      <c r="B1721" s="393"/>
      <c r="C1721" s="99" t="str">
        <f>IF(B1721="","",IF(NOT(ISNUMBER(B1721)),"DATA_PC invalida",IF(NOT(ISNUMBER(parametros!$C$2)),"Fora dos ciclos",IF(OR(B1721&lt;parametros!$C$2,(YEAR(B1721)-YEAR(parametros!$C$2))*12+MONTH(B1721)-MONTH(parametros!$C$2)&gt;59),"Fora dos ciclos","C"&amp;INT(((YEAR(B1721)-YEAR(parametros!$C$2))*12+MONTH(B1721)-MONTH(parametros!$C$2))/12)))))</f>
        <v/>
      </c>
      <c r="D1721" s="394"/>
      <c r="E1721" s="78" t="str">
        <f>IF(C1721="","",IFERROR(VLOOKUP(C1721,parametros!$A$11:$E$15,5,0),""))</f>
        <v/>
      </c>
      <c r="F1721" s="79" t="str">
        <f t="shared" si="132"/>
        <v/>
      </c>
      <c r="G1721" s="395"/>
      <c r="H1721" s="91">
        <f t="shared" si="133"/>
        <v>0</v>
      </c>
      <c r="I1721" s="91" t="str">
        <f t="shared" si="134"/>
        <v/>
      </c>
      <c r="J1721" s="91" t="str">
        <f t="shared" si="135"/>
        <v/>
      </c>
      <c r="K1721" s="92" t="str">
        <f>IF(AND(A1721="",B1721="",D1721="",G1721=""),"",IF(AND(A1721&lt;&gt;"",COUNTIF($A$2:$A$5001,A1721)&gt;1),"NUMERO_PC duplicado",IF(B1721="","DATA_PC vazia",IF(NOT(ISNUMBER(B1721)),"DATA_PC invalida",IF(OR(C1721="",C1721="Fora dos ciclos"),"CICLO_PC nao identificado",IF(OR(D1721="",D1721=0),"VALOR_PC vazio ou zero",IF(AND(G1721&lt;&gt;"Sim",G1721&lt;&gt;"Nao",G1721&lt;&gt;""),"PC_PAGO_A_CONTRATADA invalido",IF(AND(C1721&lt;&gt;"C0",IFERROR(INDEX(parametros!$A$2:$A$6,MATCH(C1721,parametros!$B$2:$B$6,0)),"")="Sim",IFERROR(INDEX(parametros!$H$2:$H$6,MATCH(C1721,parametros!$B$2:$B$6,0)),"")=""),"INICIO_EFEITO ausente: PC "&amp;A1721&amp;" - "&amp;C1721,IF(L1721="","EFEITO_PC nao calculado: PC "&amp;A1721&amp;" - "&amp;C1721,"OK")))))))))</f>
        <v/>
      </c>
      <c r="L1721" s="92" t="str">
        <f>IF(AND(A1721="",B1721="",D1721="",G1721=""),"",IF(OR(B1721="",NOT(ISNUMBER(B1721)),C1721="",C1721="Fora dos ciclos"),"",IF(C1721="C0","Nao",IF(IFERROR(INDEX(parametros!$A$2:$A$6,MATCH(C1721,parametros!$B$2:$B$6,0)),"")&lt;&gt;"Sim","Nao",IF(IFERROR(INDEX(parametros!$H$2:$H$6,MATCH(C1721,parametros!$B$2:$B$6,0)),"")="","",IF(B1721&gt;=IFERROR(INDEX(parametros!$H$2:$H$6,MATCH(C1721,parametros!$B$2:$B$6,0)),""),"Sim","Nao"))))))</f>
        <v/>
      </c>
      <c r="T1721" s="156"/>
      <c r="U1721" s="214" t="str">
        <f t="shared" si="136"/>
        <v/>
      </c>
      <c r="V1721" s="212" t="s">
        <v>50</v>
      </c>
      <c r="W1721" s="100" t="s">
        <v>168</v>
      </c>
      <c r="X1721" s="100" t="s">
        <v>169</v>
      </c>
      <c r="Y1721" s="101" t="s">
        <v>170</v>
      </c>
      <c r="Z1721" s="101" t="s">
        <v>171</v>
      </c>
      <c r="AA1721" s="101" t="s">
        <v>50</v>
      </c>
      <c r="AB1721" s="101" t="s">
        <v>172</v>
      </c>
      <c r="AC1721" s="102" t="s">
        <v>173</v>
      </c>
    </row>
    <row r="1722" spans="1:29" ht="25.5" customHeight="1" x14ac:dyDescent="0.35">
      <c r="A1722" s="392"/>
      <c r="B1722" s="393"/>
      <c r="C1722" s="99" t="str">
        <f>IF(B1722="","",IF(NOT(ISNUMBER(B1722)),"DATA_PC invalida",IF(NOT(ISNUMBER(parametros!$C$2)),"Fora dos ciclos",IF(OR(B1722&lt;parametros!$C$2,(YEAR(B1722)-YEAR(parametros!$C$2))*12+MONTH(B1722)-MONTH(parametros!$C$2)&gt;59),"Fora dos ciclos","C"&amp;INT(((YEAR(B1722)-YEAR(parametros!$C$2))*12+MONTH(B1722)-MONTH(parametros!$C$2))/12)))))</f>
        <v/>
      </c>
      <c r="D1722" s="394"/>
      <c r="E1722" s="78" t="str">
        <f>IF(C1722="","",IFERROR(VLOOKUP(C1722,parametros!$A$11:$E$15,5,0),""))</f>
        <v/>
      </c>
      <c r="F1722" s="79" t="str">
        <f t="shared" si="132"/>
        <v/>
      </c>
      <c r="G1722" s="395"/>
      <c r="H1722" s="91">
        <f t="shared" si="133"/>
        <v>0</v>
      </c>
      <c r="I1722" s="91" t="str">
        <f t="shared" si="134"/>
        <v/>
      </c>
      <c r="J1722" s="91" t="str">
        <f t="shared" si="135"/>
        <v/>
      </c>
      <c r="K1722" s="92" t="str">
        <f>IF(AND(A1722="",B1722="",D1722="",G1722=""),"",IF(AND(A1722&lt;&gt;"",COUNTIF($A$2:$A$5001,A1722)&gt;1),"NUMERO_PC duplicado",IF(B1722="","DATA_PC vazia",IF(NOT(ISNUMBER(B1722)),"DATA_PC invalida",IF(OR(C1722="",C1722="Fora dos ciclos"),"CICLO_PC nao identificado",IF(OR(D1722="",D1722=0),"VALOR_PC vazio ou zero",IF(AND(G1722&lt;&gt;"Sim",G1722&lt;&gt;"Nao",G1722&lt;&gt;""),"PC_PAGO_A_CONTRATADA invalido",IF(AND(C1722&lt;&gt;"C0",IFERROR(INDEX(parametros!$A$2:$A$6,MATCH(C1722,parametros!$B$2:$B$6,0)),"")="Sim",IFERROR(INDEX(parametros!$H$2:$H$6,MATCH(C1722,parametros!$B$2:$B$6,0)),"")=""),"INICIO_EFEITO ausente: PC "&amp;A1722&amp;" - "&amp;C1722,IF(L1722="","EFEITO_PC nao calculado: PC "&amp;A1722&amp;" - "&amp;C1722,"OK")))))))))</f>
        <v/>
      </c>
      <c r="L1722" s="92" t="str">
        <f>IF(AND(A1722="",B1722="",D1722="",G1722=""),"",IF(OR(B1722="",NOT(ISNUMBER(B1722)),C1722="",C1722="Fora dos ciclos"),"",IF(C1722="C0","Nao",IF(IFERROR(INDEX(parametros!$A$2:$A$6,MATCH(C1722,parametros!$B$2:$B$6,0)),"")&lt;&gt;"Sim","Nao",IF(IFERROR(INDEX(parametros!$H$2:$H$6,MATCH(C1722,parametros!$B$2:$B$6,0)),"")="","",IF(B1722&gt;=IFERROR(INDEX(parametros!$H$2:$H$6,MATCH(C1722,parametros!$B$2:$B$6,0)),""),"Sim","Nao"))))))</f>
        <v/>
      </c>
      <c r="T1722" s="156"/>
      <c r="U1722" s="214" t="str">
        <f t="shared" si="136"/>
        <v/>
      </c>
      <c r="V1722" s="212" t="s">
        <v>50</v>
      </c>
      <c r="W1722" s="100" t="s">
        <v>168</v>
      </c>
      <c r="X1722" s="100" t="s">
        <v>169</v>
      </c>
      <c r="Y1722" s="101" t="s">
        <v>170</v>
      </c>
      <c r="Z1722" s="101" t="s">
        <v>171</v>
      </c>
      <c r="AA1722" s="101" t="s">
        <v>50</v>
      </c>
      <c r="AB1722" s="101" t="s">
        <v>172</v>
      </c>
      <c r="AC1722" s="102" t="s">
        <v>173</v>
      </c>
    </row>
    <row r="1723" spans="1:29" ht="25.5" customHeight="1" x14ac:dyDescent="0.35">
      <c r="A1723" s="392"/>
      <c r="B1723" s="393"/>
      <c r="C1723" s="99" t="str">
        <f>IF(B1723="","",IF(NOT(ISNUMBER(B1723)),"DATA_PC invalida",IF(NOT(ISNUMBER(parametros!$C$2)),"Fora dos ciclos",IF(OR(B1723&lt;parametros!$C$2,(YEAR(B1723)-YEAR(parametros!$C$2))*12+MONTH(B1723)-MONTH(parametros!$C$2)&gt;59),"Fora dos ciclos","C"&amp;INT(((YEAR(B1723)-YEAR(parametros!$C$2))*12+MONTH(B1723)-MONTH(parametros!$C$2))/12)))))</f>
        <v/>
      </c>
      <c r="D1723" s="394"/>
      <c r="E1723" s="78" t="str">
        <f>IF(C1723="","",IFERROR(VLOOKUP(C1723,parametros!$A$11:$E$15,5,0),""))</f>
        <v/>
      </c>
      <c r="F1723" s="79" t="str">
        <f t="shared" si="132"/>
        <v/>
      </c>
      <c r="G1723" s="395"/>
      <c r="H1723" s="91">
        <f t="shared" si="133"/>
        <v>0</v>
      </c>
      <c r="I1723" s="91" t="str">
        <f t="shared" si="134"/>
        <v/>
      </c>
      <c r="J1723" s="91" t="str">
        <f t="shared" si="135"/>
        <v/>
      </c>
      <c r="K1723" s="92" t="str">
        <f>IF(AND(A1723="",B1723="",D1723="",G1723=""),"",IF(AND(A1723&lt;&gt;"",COUNTIF($A$2:$A$5001,A1723)&gt;1),"NUMERO_PC duplicado",IF(B1723="","DATA_PC vazia",IF(NOT(ISNUMBER(B1723)),"DATA_PC invalida",IF(OR(C1723="",C1723="Fora dos ciclos"),"CICLO_PC nao identificado",IF(OR(D1723="",D1723=0),"VALOR_PC vazio ou zero",IF(AND(G1723&lt;&gt;"Sim",G1723&lt;&gt;"Nao",G1723&lt;&gt;""),"PC_PAGO_A_CONTRATADA invalido",IF(AND(C1723&lt;&gt;"C0",IFERROR(INDEX(parametros!$A$2:$A$6,MATCH(C1723,parametros!$B$2:$B$6,0)),"")="Sim",IFERROR(INDEX(parametros!$H$2:$H$6,MATCH(C1723,parametros!$B$2:$B$6,0)),"")=""),"INICIO_EFEITO ausente: PC "&amp;A1723&amp;" - "&amp;C1723,IF(L1723="","EFEITO_PC nao calculado: PC "&amp;A1723&amp;" - "&amp;C1723,"OK")))))))))</f>
        <v/>
      </c>
      <c r="L1723" s="92" t="str">
        <f>IF(AND(A1723="",B1723="",D1723="",G1723=""),"",IF(OR(B1723="",NOT(ISNUMBER(B1723)),C1723="",C1723="Fora dos ciclos"),"",IF(C1723="C0","Nao",IF(IFERROR(INDEX(parametros!$A$2:$A$6,MATCH(C1723,parametros!$B$2:$B$6,0)),"")&lt;&gt;"Sim","Nao",IF(IFERROR(INDEX(parametros!$H$2:$H$6,MATCH(C1723,parametros!$B$2:$B$6,0)),"")="","",IF(B1723&gt;=IFERROR(INDEX(parametros!$H$2:$H$6,MATCH(C1723,parametros!$B$2:$B$6,0)),""),"Sim","Nao"))))))</f>
        <v/>
      </c>
      <c r="T1723" s="156"/>
      <c r="U1723" s="214" t="str">
        <f t="shared" si="136"/>
        <v/>
      </c>
      <c r="V1723" s="212" t="s">
        <v>50</v>
      </c>
      <c r="W1723" s="100" t="s">
        <v>168</v>
      </c>
      <c r="X1723" s="100" t="s">
        <v>169</v>
      </c>
      <c r="Y1723" s="101" t="s">
        <v>170</v>
      </c>
      <c r="Z1723" s="101" t="s">
        <v>171</v>
      </c>
      <c r="AA1723" s="101" t="s">
        <v>50</v>
      </c>
      <c r="AB1723" s="101" t="s">
        <v>172</v>
      </c>
      <c r="AC1723" s="102" t="s">
        <v>173</v>
      </c>
    </row>
    <row r="1724" spans="1:29" ht="25.5" customHeight="1" x14ac:dyDescent="0.35">
      <c r="A1724" s="392"/>
      <c r="B1724" s="393"/>
      <c r="C1724" s="99" t="str">
        <f>IF(B1724="","",IF(NOT(ISNUMBER(B1724)),"DATA_PC invalida",IF(NOT(ISNUMBER(parametros!$C$2)),"Fora dos ciclos",IF(OR(B1724&lt;parametros!$C$2,(YEAR(B1724)-YEAR(parametros!$C$2))*12+MONTH(B1724)-MONTH(parametros!$C$2)&gt;59),"Fora dos ciclos","C"&amp;INT(((YEAR(B1724)-YEAR(parametros!$C$2))*12+MONTH(B1724)-MONTH(parametros!$C$2))/12)))))</f>
        <v/>
      </c>
      <c r="D1724" s="394"/>
      <c r="E1724" s="78" t="str">
        <f>IF(C1724="","",IFERROR(VLOOKUP(C1724,parametros!$A$11:$E$15,5,0),""))</f>
        <v/>
      </c>
      <c r="F1724" s="79" t="str">
        <f t="shared" si="132"/>
        <v/>
      </c>
      <c r="G1724" s="395"/>
      <c r="H1724" s="91">
        <f t="shared" si="133"/>
        <v>0</v>
      </c>
      <c r="I1724" s="91" t="str">
        <f t="shared" si="134"/>
        <v/>
      </c>
      <c r="J1724" s="91" t="str">
        <f t="shared" si="135"/>
        <v/>
      </c>
      <c r="K1724" s="92" t="str">
        <f>IF(AND(A1724="",B1724="",D1724="",G1724=""),"",IF(AND(A1724&lt;&gt;"",COUNTIF($A$2:$A$5001,A1724)&gt;1),"NUMERO_PC duplicado",IF(B1724="","DATA_PC vazia",IF(NOT(ISNUMBER(B1724)),"DATA_PC invalida",IF(OR(C1724="",C1724="Fora dos ciclos"),"CICLO_PC nao identificado",IF(OR(D1724="",D1724=0),"VALOR_PC vazio ou zero",IF(AND(G1724&lt;&gt;"Sim",G1724&lt;&gt;"Nao",G1724&lt;&gt;""),"PC_PAGO_A_CONTRATADA invalido",IF(AND(C1724&lt;&gt;"C0",IFERROR(INDEX(parametros!$A$2:$A$6,MATCH(C1724,parametros!$B$2:$B$6,0)),"")="Sim",IFERROR(INDEX(parametros!$H$2:$H$6,MATCH(C1724,parametros!$B$2:$B$6,0)),"")=""),"INICIO_EFEITO ausente: PC "&amp;A1724&amp;" - "&amp;C1724,IF(L1724="","EFEITO_PC nao calculado: PC "&amp;A1724&amp;" - "&amp;C1724,"OK")))))))))</f>
        <v/>
      </c>
      <c r="L1724" s="92" t="str">
        <f>IF(AND(A1724="",B1724="",D1724="",G1724=""),"",IF(OR(B1724="",NOT(ISNUMBER(B1724)),C1724="",C1724="Fora dos ciclos"),"",IF(C1724="C0","Nao",IF(IFERROR(INDEX(parametros!$A$2:$A$6,MATCH(C1724,parametros!$B$2:$B$6,0)),"")&lt;&gt;"Sim","Nao",IF(IFERROR(INDEX(parametros!$H$2:$H$6,MATCH(C1724,parametros!$B$2:$B$6,0)),"")="","",IF(B1724&gt;=IFERROR(INDEX(parametros!$H$2:$H$6,MATCH(C1724,parametros!$B$2:$B$6,0)),""),"Sim","Nao"))))))</f>
        <v/>
      </c>
      <c r="T1724" s="156"/>
      <c r="U1724" s="214" t="str">
        <f t="shared" si="136"/>
        <v/>
      </c>
      <c r="V1724" s="212" t="s">
        <v>50</v>
      </c>
      <c r="W1724" s="100" t="s">
        <v>168</v>
      </c>
      <c r="X1724" s="100" t="s">
        <v>169</v>
      </c>
      <c r="Y1724" s="101" t="s">
        <v>170</v>
      </c>
      <c r="Z1724" s="101" t="s">
        <v>171</v>
      </c>
      <c r="AA1724" s="101" t="s">
        <v>50</v>
      </c>
      <c r="AB1724" s="101" t="s">
        <v>172</v>
      </c>
      <c r="AC1724" s="102" t="s">
        <v>173</v>
      </c>
    </row>
    <row r="1725" spans="1:29" ht="25.5" customHeight="1" x14ac:dyDescent="0.35">
      <c r="A1725" s="392"/>
      <c r="B1725" s="393"/>
      <c r="C1725" s="99" t="str">
        <f>IF(B1725="","",IF(NOT(ISNUMBER(B1725)),"DATA_PC invalida",IF(NOT(ISNUMBER(parametros!$C$2)),"Fora dos ciclos",IF(OR(B1725&lt;parametros!$C$2,(YEAR(B1725)-YEAR(parametros!$C$2))*12+MONTH(B1725)-MONTH(parametros!$C$2)&gt;59),"Fora dos ciclos","C"&amp;INT(((YEAR(B1725)-YEAR(parametros!$C$2))*12+MONTH(B1725)-MONTH(parametros!$C$2))/12)))))</f>
        <v/>
      </c>
      <c r="D1725" s="394"/>
      <c r="E1725" s="78" t="str">
        <f>IF(C1725="","",IFERROR(VLOOKUP(C1725,parametros!$A$11:$E$15,5,0),""))</f>
        <v/>
      </c>
      <c r="F1725" s="79" t="str">
        <f t="shared" si="132"/>
        <v/>
      </c>
      <c r="G1725" s="395"/>
      <c r="H1725" s="91">
        <f t="shared" si="133"/>
        <v>0</v>
      </c>
      <c r="I1725" s="91" t="str">
        <f t="shared" si="134"/>
        <v/>
      </c>
      <c r="J1725" s="91" t="str">
        <f t="shared" si="135"/>
        <v/>
      </c>
      <c r="K1725" s="92" t="str">
        <f>IF(AND(A1725="",B1725="",D1725="",G1725=""),"",IF(AND(A1725&lt;&gt;"",COUNTIF($A$2:$A$5001,A1725)&gt;1),"NUMERO_PC duplicado",IF(B1725="","DATA_PC vazia",IF(NOT(ISNUMBER(B1725)),"DATA_PC invalida",IF(OR(C1725="",C1725="Fora dos ciclos"),"CICLO_PC nao identificado",IF(OR(D1725="",D1725=0),"VALOR_PC vazio ou zero",IF(AND(G1725&lt;&gt;"Sim",G1725&lt;&gt;"Nao",G1725&lt;&gt;""),"PC_PAGO_A_CONTRATADA invalido",IF(AND(C1725&lt;&gt;"C0",IFERROR(INDEX(parametros!$A$2:$A$6,MATCH(C1725,parametros!$B$2:$B$6,0)),"")="Sim",IFERROR(INDEX(parametros!$H$2:$H$6,MATCH(C1725,parametros!$B$2:$B$6,0)),"")=""),"INICIO_EFEITO ausente: PC "&amp;A1725&amp;" - "&amp;C1725,IF(L1725="","EFEITO_PC nao calculado: PC "&amp;A1725&amp;" - "&amp;C1725,"OK")))))))))</f>
        <v/>
      </c>
      <c r="L1725" s="92" t="str">
        <f>IF(AND(A1725="",B1725="",D1725="",G1725=""),"",IF(OR(B1725="",NOT(ISNUMBER(B1725)),C1725="",C1725="Fora dos ciclos"),"",IF(C1725="C0","Nao",IF(IFERROR(INDEX(parametros!$A$2:$A$6,MATCH(C1725,parametros!$B$2:$B$6,0)),"")&lt;&gt;"Sim","Nao",IF(IFERROR(INDEX(parametros!$H$2:$H$6,MATCH(C1725,parametros!$B$2:$B$6,0)),"")="","",IF(B1725&gt;=IFERROR(INDEX(parametros!$H$2:$H$6,MATCH(C1725,parametros!$B$2:$B$6,0)),""),"Sim","Nao"))))))</f>
        <v/>
      </c>
      <c r="T1725" s="156"/>
      <c r="U1725" s="214" t="str">
        <f t="shared" si="136"/>
        <v/>
      </c>
      <c r="V1725" s="212" t="s">
        <v>50</v>
      </c>
      <c r="W1725" s="100" t="s">
        <v>168</v>
      </c>
      <c r="X1725" s="100" t="s">
        <v>169</v>
      </c>
      <c r="Y1725" s="101" t="s">
        <v>170</v>
      </c>
      <c r="Z1725" s="101" t="s">
        <v>171</v>
      </c>
      <c r="AA1725" s="101" t="s">
        <v>50</v>
      </c>
      <c r="AB1725" s="101" t="s">
        <v>172</v>
      </c>
      <c r="AC1725" s="102" t="s">
        <v>173</v>
      </c>
    </row>
    <row r="1726" spans="1:29" ht="25.5" customHeight="1" x14ac:dyDescent="0.35">
      <c r="A1726" s="392"/>
      <c r="B1726" s="393"/>
      <c r="C1726" s="99" t="str">
        <f>IF(B1726="","",IF(NOT(ISNUMBER(B1726)),"DATA_PC invalida",IF(NOT(ISNUMBER(parametros!$C$2)),"Fora dos ciclos",IF(OR(B1726&lt;parametros!$C$2,(YEAR(B1726)-YEAR(parametros!$C$2))*12+MONTH(B1726)-MONTH(parametros!$C$2)&gt;59),"Fora dos ciclos","C"&amp;INT(((YEAR(B1726)-YEAR(parametros!$C$2))*12+MONTH(B1726)-MONTH(parametros!$C$2))/12)))))</f>
        <v/>
      </c>
      <c r="D1726" s="394"/>
      <c r="E1726" s="78" t="str">
        <f>IF(C1726="","",IFERROR(VLOOKUP(C1726,parametros!$A$11:$E$15,5,0),""))</f>
        <v/>
      </c>
      <c r="F1726" s="79" t="str">
        <f t="shared" si="132"/>
        <v/>
      </c>
      <c r="G1726" s="395"/>
      <c r="H1726" s="91">
        <f t="shared" si="133"/>
        <v>0</v>
      </c>
      <c r="I1726" s="91" t="str">
        <f t="shared" si="134"/>
        <v/>
      </c>
      <c r="J1726" s="91" t="str">
        <f t="shared" si="135"/>
        <v/>
      </c>
      <c r="K1726" s="92" t="str">
        <f>IF(AND(A1726="",B1726="",D1726="",G1726=""),"",IF(AND(A1726&lt;&gt;"",COUNTIF($A$2:$A$5001,A1726)&gt;1),"NUMERO_PC duplicado",IF(B1726="","DATA_PC vazia",IF(NOT(ISNUMBER(B1726)),"DATA_PC invalida",IF(OR(C1726="",C1726="Fora dos ciclos"),"CICLO_PC nao identificado",IF(OR(D1726="",D1726=0),"VALOR_PC vazio ou zero",IF(AND(G1726&lt;&gt;"Sim",G1726&lt;&gt;"Nao",G1726&lt;&gt;""),"PC_PAGO_A_CONTRATADA invalido",IF(AND(C1726&lt;&gt;"C0",IFERROR(INDEX(parametros!$A$2:$A$6,MATCH(C1726,parametros!$B$2:$B$6,0)),"")="Sim",IFERROR(INDEX(parametros!$H$2:$H$6,MATCH(C1726,parametros!$B$2:$B$6,0)),"")=""),"INICIO_EFEITO ausente: PC "&amp;A1726&amp;" - "&amp;C1726,IF(L1726="","EFEITO_PC nao calculado: PC "&amp;A1726&amp;" - "&amp;C1726,"OK")))))))))</f>
        <v/>
      </c>
      <c r="L1726" s="92" t="str">
        <f>IF(AND(A1726="",B1726="",D1726="",G1726=""),"",IF(OR(B1726="",NOT(ISNUMBER(B1726)),C1726="",C1726="Fora dos ciclos"),"",IF(C1726="C0","Nao",IF(IFERROR(INDEX(parametros!$A$2:$A$6,MATCH(C1726,parametros!$B$2:$B$6,0)),"")&lt;&gt;"Sim","Nao",IF(IFERROR(INDEX(parametros!$H$2:$H$6,MATCH(C1726,parametros!$B$2:$B$6,0)),"")="","",IF(B1726&gt;=IFERROR(INDEX(parametros!$H$2:$H$6,MATCH(C1726,parametros!$B$2:$B$6,0)),""),"Sim","Nao"))))))</f>
        <v/>
      </c>
      <c r="T1726" s="156"/>
      <c r="U1726" s="214" t="str">
        <f t="shared" si="136"/>
        <v/>
      </c>
      <c r="V1726" s="212" t="s">
        <v>50</v>
      </c>
      <c r="W1726" s="100" t="s">
        <v>168</v>
      </c>
      <c r="X1726" s="100" t="s">
        <v>169</v>
      </c>
      <c r="Y1726" s="101" t="s">
        <v>170</v>
      </c>
      <c r="Z1726" s="101" t="s">
        <v>171</v>
      </c>
      <c r="AA1726" s="101" t="s">
        <v>50</v>
      </c>
      <c r="AB1726" s="101" t="s">
        <v>172</v>
      </c>
      <c r="AC1726" s="102" t="s">
        <v>173</v>
      </c>
    </row>
    <row r="1727" spans="1:29" ht="25.5" customHeight="1" x14ac:dyDescent="0.35">
      <c r="A1727" s="392"/>
      <c r="B1727" s="393"/>
      <c r="C1727" s="99" t="str">
        <f>IF(B1727="","",IF(NOT(ISNUMBER(B1727)),"DATA_PC invalida",IF(NOT(ISNUMBER(parametros!$C$2)),"Fora dos ciclos",IF(OR(B1727&lt;parametros!$C$2,(YEAR(B1727)-YEAR(parametros!$C$2))*12+MONTH(B1727)-MONTH(parametros!$C$2)&gt;59),"Fora dos ciclos","C"&amp;INT(((YEAR(B1727)-YEAR(parametros!$C$2))*12+MONTH(B1727)-MONTH(parametros!$C$2))/12)))))</f>
        <v/>
      </c>
      <c r="D1727" s="394"/>
      <c r="E1727" s="78" t="str">
        <f>IF(C1727="","",IFERROR(VLOOKUP(C1727,parametros!$A$11:$E$15,5,0),""))</f>
        <v/>
      </c>
      <c r="F1727" s="79" t="str">
        <f t="shared" si="132"/>
        <v/>
      </c>
      <c r="G1727" s="395"/>
      <c r="H1727" s="91">
        <f t="shared" si="133"/>
        <v>0</v>
      </c>
      <c r="I1727" s="91" t="str">
        <f t="shared" si="134"/>
        <v/>
      </c>
      <c r="J1727" s="91" t="str">
        <f t="shared" si="135"/>
        <v/>
      </c>
      <c r="K1727" s="92" t="str">
        <f>IF(AND(A1727="",B1727="",D1727="",G1727=""),"",IF(AND(A1727&lt;&gt;"",COUNTIF($A$2:$A$5001,A1727)&gt;1),"NUMERO_PC duplicado",IF(B1727="","DATA_PC vazia",IF(NOT(ISNUMBER(B1727)),"DATA_PC invalida",IF(OR(C1727="",C1727="Fora dos ciclos"),"CICLO_PC nao identificado",IF(OR(D1727="",D1727=0),"VALOR_PC vazio ou zero",IF(AND(G1727&lt;&gt;"Sim",G1727&lt;&gt;"Nao",G1727&lt;&gt;""),"PC_PAGO_A_CONTRATADA invalido",IF(AND(C1727&lt;&gt;"C0",IFERROR(INDEX(parametros!$A$2:$A$6,MATCH(C1727,parametros!$B$2:$B$6,0)),"")="Sim",IFERROR(INDEX(parametros!$H$2:$H$6,MATCH(C1727,parametros!$B$2:$B$6,0)),"")=""),"INICIO_EFEITO ausente: PC "&amp;A1727&amp;" - "&amp;C1727,IF(L1727="","EFEITO_PC nao calculado: PC "&amp;A1727&amp;" - "&amp;C1727,"OK")))))))))</f>
        <v/>
      </c>
      <c r="L1727" s="92" t="str">
        <f>IF(AND(A1727="",B1727="",D1727="",G1727=""),"",IF(OR(B1727="",NOT(ISNUMBER(B1727)),C1727="",C1727="Fora dos ciclos"),"",IF(C1727="C0","Nao",IF(IFERROR(INDEX(parametros!$A$2:$A$6,MATCH(C1727,parametros!$B$2:$B$6,0)),"")&lt;&gt;"Sim","Nao",IF(IFERROR(INDEX(parametros!$H$2:$H$6,MATCH(C1727,parametros!$B$2:$B$6,0)),"")="","",IF(B1727&gt;=IFERROR(INDEX(parametros!$H$2:$H$6,MATCH(C1727,parametros!$B$2:$B$6,0)),""),"Sim","Nao"))))))</f>
        <v/>
      </c>
      <c r="T1727" s="156"/>
      <c r="U1727" s="214" t="str">
        <f t="shared" si="136"/>
        <v/>
      </c>
      <c r="V1727" s="212" t="s">
        <v>50</v>
      </c>
      <c r="W1727" s="100" t="s">
        <v>168</v>
      </c>
      <c r="X1727" s="100" t="s">
        <v>169</v>
      </c>
      <c r="Y1727" s="101" t="s">
        <v>170</v>
      </c>
      <c r="Z1727" s="101" t="s">
        <v>171</v>
      </c>
      <c r="AA1727" s="101" t="s">
        <v>50</v>
      </c>
      <c r="AB1727" s="101" t="s">
        <v>172</v>
      </c>
      <c r="AC1727" s="102" t="s">
        <v>173</v>
      </c>
    </row>
    <row r="1728" spans="1:29" ht="25.5" customHeight="1" x14ac:dyDescent="0.35">
      <c r="A1728" s="392"/>
      <c r="B1728" s="393"/>
      <c r="C1728" s="99" t="str">
        <f>IF(B1728="","",IF(NOT(ISNUMBER(B1728)),"DATA_PC invalida",IF(NOT(ISNUMBER(parametros!$C$2)),"Fora dos ciclos",IF(OR(B1728&lt;parametros!$C$2,(YEAR(B1728)-YEAR(parametros!$C$2))*12+MONTH(B1728)-MONTH(parametros!$C$2)&gt;59),"Fora dos ciclos","C"&amp;INT(((YEAR(B1728)-YEAR(parametros!$C$2))*12+MONTH(B1728)-MONTH(parametros!$C$2))/12)))))</f>
        <v/>
      </c>
      <c r="D1728" s="394"/>
      <c r="E1728" s="78" t="str">
        <f>IF(C1728="","",IFERROR(VLOOKUP(C1728,parametros!$A$11:$E$15,5,0),""))</f>
        <v/>
      </c>
      <c r="F1728" s="79" t="str">
        <f t="shared" si="132"/>
        <v/>
      </c>
      <c r="G1728" s="395"/>
      <c r="H1728" s="91">
        <f t="shared" si="133"/>
        <v>0</v>
      </c>
      <c r="I1728" s="91" t="str">
        <f t="shared" si="134"/>
        <v/>
      </c>
      <c r="J1728" s="91" t="str">
        <f t="shared" si="135"/>
        <v/>
      </c>
      <c r="K1728" s="92" t="str">
        <f>IF(AND(A1728="",B1728="",D1728="",G1728=""),"",IF(AND(A1728&lt;&gt;"",COUNTIF($A$2:$A$5001,A1728)&gt;1),"NUMERO_PC duplicado",IF(B1728="","DATA_PC vazia",IF(NOT(ISNUMBER(B1728)),"DATA_PC invalida",IF(OR(C1728="",C1728="Fora dos ciclos"),"CICLO_PC nao identificado",IF(OR(D1728="",D1728=0),"VALOR_PC vazio ou zero",IF(AND(G1728&lt;&gt;"Sim",G1728&lt;&gt;"Nao",G1728&lt;&gt;""),"PC_PAGO_A_CONTRATADA invalido",IF(AND(C1728&lt;&gt;"C0",IFERROR(INDEX(parametros!$A$2:$A$6,MATCH(C1728,parametros!$B$2:$B$6,0)),"")="Sim",IFERROR(INDEX(parametros!$H$2:$H$6,MATCH(C1728,parametros!$B$2:$B$6,0)),"")=""),"INICIO_EFEITO ausente: PC "&amp;A1728&amp;" - "&amp;C1728,IF(L1728="","EFEITO_PC nao calculado: PC "&amp;A1728&amp;" - "&amp;C1728,"OK")))))))))</f>
        <v/>
      </c>
      <c r="L1728" s="92" t="str">
        <f>IF(AND(A1728="",B1728="",D1728="",G1728=""),"",IF(OR(B1728="",NOT(ISNUMBER(B1728)),C1728="",C1728="Fora dos ciclos"),"",IF(C1728="C0","Nao",IF(IFERROR(INDEX(parametros!$A$2:$A$6,MATCH(C1728,parametros!$B$2:$B$6,0)),"")&lt;&gt;"Sim","Nao",IF(IFERROR(INDEX(parametros!$H$2:$H$6,MATCH(C1728,parametros!$B$2:$B$6,0)),"")="","",IF(B1728&gt;=IFERROR(INDEX(parametros!$H$2:$H$6,MATCH(C1728,parametros!$B$2:$B$6,0)),""),"Sim","Nao"))))))</f>
        <v/>
      </c>
      <c r="T1728" s="156"/>
      <c r="U1728" s="214" t="str">
        <f t="shared" si="136"/>
        <v/>
      </c>
      <c r="V1728" s="212" t="s">
        <v>50</v>
      </c>
      <c r="W1728" s="100" t="s">
        <v>168</v>
      </c>
      <c r="X1728" s="100" t="s">
        <v>169</v>
      </c>
      <c r="Y1728" s="101" t="s">
        <v>170</v>
      </c>
      <c r="Z1728" s="101" t="s">
        <v>171</v>
      </c>
      <c r="AA1728" s="101" t="s">
        <v>50</v>
      </c>
      <c r="AB1728" s="101" t="s">
        <v>172</v>
      </c>
      <c r="AC1728" s="102" t="s">
        <v>173</v>
      </c>
    </row>
    <row r="1729" spans="1:29" ht="25.5" customHeight="1" x14ac:dyDescent="0.35">
      <c r="A1729" s="392"/>
      <c r="B1729" s="393"/>
      <c r="C1729" s="99" t="str">
        <f>IF(B1729="","",IF(NOT(ISNUMBER(B1729)),"DATA_PC invalida",IF(NOT(ISNUMBER(parametros!$C$2)),"Fora dos ciclos",IF(OR(B1729&lt;parametros!$C$2,(YEAR(B1729)-YEAR(parametros!$C$2))*12+MONTH(B1729)-MONTH(parametros!$C$2)&gt;59),"Fora dos ciclos","C"&amp;INT(((YEAR(B1729)-YEAR(parametros!$C$2))*12+MONTH(B1729)-MONTH(parametros!$C$2))/12)))))</f>
        <v/>
      </c>
      <c r="D1729" s="394"/>
      <c r="E1729" s="78" t="str">
        <f>IF(C1729="","",IFERROR(VLOOKUP(C1729,parametros!$A$11:$E$15,5,0),""))</f>
        <v/>
      </c>
      <c r="F1729" s="79" t="str">
        <f t="shared" si="132"/>
        <v/>
      </c>
      <c r="G1729" s="395"/>
      <c r="H1729" s="91">
        <f t="shared" si="133"/>
        <v>0</v>
      </c>
      <c r="I1729" s="91" t="str">
        <f t="shared" si="134"/>
        <v/>
      </c>
      <c r="J1729" s="91" t="str">
        <f t="shared" si="135"/>
        <v/>
      </c>
      <c r="K1729" s="92" t="str">
        <f>IF(AND(A1729="",B1729="",D1729="",G1729=""),"",IF(AND(A1729&lt;&gt;"",COUNTIF($A$2:$A$5001,A1729)&gt;1),"NUMERO_PC duplicado",IF(B1729="","DATA_PC vazia",IF(NOT(ISNUMBER(B1729)),"DATA_PC invalida",IF(OR(C1729="",C1729="Fora dos ciclos"),"CICLO_PC nao identificado",IF(OR(D1729="",D1729=0),"VALOR_PC vazio ou zero",IF(AND(G1729&lt;&gt;"Sim",G1729&lt;&gt;"Nao",G1729&lt;&gt;""),"PC_PAGO_A_CONTRATADA invalido",IF(AND(C1729&lt;&gt;"C0",IFERROR(INDEX(parametros!$A$2:$A$6,MATCH(C1729,parametros!$B$2:$B$6,0)),"")="Sim",IFERROR(INDEX(parametros!$H$2:$H$6,MATCH(C1729,parametros!$B$2:$B$6,0)),"")=""),"INICIO_EFEITO ausente: PC "&amp;A1729&amp;" - "&amp;C1729,IF(L1729="","EFEITO_PC nao calculado: PC "&amp;A1729&amp;" - "&amp;C1729,"OK")))))))))</f>
        <v/>
      </c>
      <c r="L1729" s="92" t="str">
        <f>IF(AND(A1729="",B1729="",D1729="",G1729=""),"",IF(OR(B1729="",NOT(ISNUMBER(B1729)),C1729="",C1729="Fora dos ciclos"),"",IF(C1729="C0","Nao",IF(IFERROR(INDEX(parametros!$A$2:$A$6,MATCH(C1729,parametros!$B$2:$B$6,0)),"")&lt;&gt;"Sim","Nao",IF(IFERROR(INDEX(parametros!$H$2:$H$6,MATCH(C1729,parametros!$B$2:$B$6,0)),"")="","",IF(B1729&gt;=IFERROR(INDEX(parametros!$H$2:$H$6,MATCH(C1729,parametros!$B$2:$B$6,0)),""),"Sim","Nao"))))))</f>
        <v/>
      </c>
      <c r="T1729" s="156"/>
      <c r="U1729" s="214" t="str">
        <f t="shared" si="136"/>
        <v/>
      </c>
      <c r="V1729" s="212" t="s">
        <v>50</v>
      </c>
      <c r="W1729" s="100" t="s">
        <v>168</v>
      </c>
      <c r="X1729" s="100" t="s">
        <v>169</v>
      </c>
      <c r="Y1729" s="101" t="s">
        <v>170</v>
      </c>
      <c r="Z1729" s="101" t="s">
        <v>171</v>
      </c>
      <c r="AA1729" s="101" t="s">
        <v>50</v>
      </c>
      <c r="AB1729" s="101" t="s">
        <v>172</v>
      </c>
      <c r="AC1729" s="102" t="s">
        <v>173</v>
      </c>
    </row>
    <row r="1730" spans="1:29" ht="25.5" customHeight="1" x14ac:dyDescent="0.35">
      <c r="A1730" s="392"/>
      <c r="B1730" s="393"/>
      <c r="C1730" s="99" t="str">
        <f>IF(B1730="","",IF(NOT(ISNUMBER(B1730)),"DATA_PC invalida",IF(NOT(ISNUMBER(parametros!$C$2)),"Fora dos ciclos",IF(OR(B1730&lt;parametros!$C$2,(YEAR(B1730)-YEAR(parametros!$C$2))*12+MONTH(B1730)-MONTH(parametros!$C$2)&gt;59),"Fora dos ciclos","C"&amp;INT(((YEAR(B1730)-YEAR(parametros!$C$2))*12+MONTH(B1730)-MONTH(parametros!$C$2))/12)))))</f>
        <v/>
      </c>
      <c r="D1730" s="394"/>
      <c r="E1730" s="78" t="str">
        <f>IF(C1730="","",IFERROR(VLOOKUP(C1730,parametros!$A$11:$E$15,5,0),""))</f>
        <v/>
      </c>
      <c r="F1730" s="79" t="str">
        <f t="shared" ref="F1730:F1793" si="137">IF(OR(D1730="",E1730=""),"",ROUND(D1730*E1730,2))</f>
        <v/>
      </c>
      <c r="G1730" s="395"/>
      <c r="H1730" s="91">
        <f t="shared" ref="H1730:H1793" si="138">IF(G1730="Sim",IF(OR(F1730="",D1730="",L1730=""),"",IF(L1730="Sim",ROUND(F1730-D1730,2),0)),0)</f>
        <v>0</v>
      </c>
      <c r="I1730" s="91" t="str">
        <f t="shared" ref="I1730:I1793" si="139">IF(G1730="Sim",0,IF(OR(F1730="",L1730=""),"",F1730))</f>
        <v/>
      </c>
      <c r="J1730" s="91" t="str">
        <f t="shared" ref="J1730:J1793" si="140">IF(G1730="Sim",0,IF(OR(F1730="",D1730="",L1730=""),"",IF(L1730="Sim",ROUND(F1730-D1730,2),0)))</f>
        <v/>
      </c>
      <c r="K1730" s="92" t="str">
        <f>IF(AND(A1730="",B1730="",D1730="",G1730=""),"",IF(AND(A1730&lt;&gt;"",COUNTIF($A$2:$A$5001,A1730)&gt;1),"NUMERO_PC duplicado",IF(B1730="","DATA_PC vazia",IF(NOT(ISNUMBER(B1730)),"DATA_PC invalida",IF(OR(C1730="",C1730="Fora dos ciclos"),"CICLO_PC nao identificado",IF(OR(D1730="",D1730=0),"VALOR_PC vazio ou zero",IF(AND(G1730&lt;&gt;"Sim",G1730&lt;&gt;"Nao",G1730&lt;&gt;""),"PC_PAGO_A_CONTRATADA invalido",IF(AND(C1730&lt;&gt;"C0",IFERROR(INDEX(parametros!$A$2:$A$6,MATCH(C1730,parametros!$B$2:$B$6,0)),"")="Sim",IFERROR(INDEX(parametros!$H$2:$H$6,MATCH(C1730,parametros!$B$2:$B$6,0)),"")=""),"INICIO_EFEITO ausente: PC "&amp;A1730&amp;" - "&amp;C1730,IF(L1730="","EFEITO_PC nao calculado: PC "&amp;A1730&amp;" - "&amp;C1730,"OK")))))))))</f>
        <v/>
      </c>
      <c r="L1730" s="92" t="str">
        <f>IF(AND(A1730="",B1730="",D1730="",G1730=""),"",IF(OR(B1730="",NOT(ISNUMBER(B1730)),C1730="",C1730="Fora dos ciclos"),"",IF(C1730="C0","Nao",IF(IFERROR(INDEX(parametros!$A$2:$A$6,MATCH(C1730,parametros!$B$2:$B$6,0)),"")&lt;&gt;"Sim","Nao",IF(IFERROR(INDEX(parametros!$H$2:$H$6,MATCH(C1730,parametros!$B$2:$B$6,0)),"")="","",IF(B1730&gt;=IFERROR(INDEX(parametros!$H$2:$H$6,MATCH(C1730,parametros!$B$2:$B$6,0)),""),"Sim","Nao"))))))</f>
        <v/>
      </c>
      <c r="T1730" s="156"/>
      <c r="U1730" s="214" t="str">
        <f t="shared" ref="U1730:U1793" si="141">IF(OR($D1730="",$H1730=""),"",ROUND($D1730+$H1730,2))</f>
        <v/>
      </c>
      <c r="V1730" s="212" t="s">
        <v>50</v>
      </c>
      <c r="W1730" s="100" t="s">
        <v>168</v>
      </c>
      <c r="X1730" s="100" t="s">
        <v>169</v>
      </c>
      <c r="Y1730" s="101" t="s">
        <v>170</v>
      </c>
      <c r="Z1730" s="101" t="s">
        <v>171</v>
      </c>
      <c r="AA1730" s="101" t="s">
        <v>50</v>
      </c>
      <c r="AB1730" s="101" t="s">
        <v>172</v>
      </c>
      <c r="AC1730" s="102" t="s">
        <v>173</v>
      </c>
    </row>
    <row r="1731" spans="1:29" ht="25.5" customHeight="1" x14ac:dyDescent="0.35">
      <c r="A1731" s="392"/>
      <c r="B1731" s="393"/>
      <c r="C1731" s="99" t="str">
        <f>IF(B1731="","",IF(NOT(ISNUMBER(B1731)),"DATA_PC invalida",IF(NOT(ISNUMBER(parametros!$C$2)),"Fora dos ciclos",IF(OR(B1731&lt;parametros!$C$2,(YEAR(B1731)-YEAR(parametros!$C$2))*12+MONTH(B1731)-MONTH(parametros!$C$2)&gt;59),"Fora dos ciclos","C"&amp;INT(((YEAR(B1731)-YEAR(parametros!$C$2))*12+MONTH(B1731)-MONTH(parametros!$C$2))/12)))))</f>
        <v/>
      </c>
      <c r="D1731" s="394"/>
      <c r="E1731" s="78" t="str">
        <f>IF(C1731="","",IFERROR(VLOOKUP(C1731,parametros!$A$11:$E$15,5,0),""))</f>
        <v/>
      </c>
      <c r="F1731" s="79" t="str">
        <f t="shared" si="137"/>
        <v/>
      </c>
      <c r="G1731" s="395"/>
      <c r="H1731" s="91">
        <f t="shared" si="138"/>
        <v>0</v>
      </c>
      <c r="I1731" s="91" t="str">
        <f t="shared" si="139"/>
        <v/>
      </c>
      <c r="J1731" s="91" t="str">
        <f t="shared" si="140"/>
        <v/>
      </c>
      <c r="K1731" s="92" t="str">
        <f>IF(AND(A1731="",B1731="",D1731="",G1731=""),"",IF(AND(A1731&lt;&gt;"",COUNTIF($A$2:$A$5001,A1731)&gt;1),"NUMERO_PC duplicado",IF(B1731="","DATA_PC vazia",IF(NOT(ISNUMBER(B1731)),"DATA_PC invalida",IF(OR(C1731="",C1731="Fora dos ciclos"),"CICLO_PC nao identificado",IF(OR(D1731="",D1731=0),"VALOR_PC vazio ou zero",IF(AND(G1731&lt;&gt;"Sim",G1731&lt;&gt;"Nao",G1731&lt;&gt;""),"PC_PAGO_A_CONTRATADA invalido",IF(AND(C1731&lt;&gt;"C0",IFERROR(INDEX(parametros!$A$2:$A$6,MATCH(C1731,parametros!$B$2:$B$6,0)),"")="Sim",IFERROR(INDEX(parametros!$H$2:$H$6,MATCH(C1731,parametros!$B$2:$B$6,0)),"")=""),"INICIO_EFEITO ausente: PC "&amp;A1731&amp;" - "&amp;C1731,IF(L1731="","EFEITO_PC nao calculado: PC "&amp;A1731&amp;" - "&amp;C1731,"OK")))))))))</f>
        <v/>
      </c>
      <c r="L1731" s="92" t="str">
        <f>IF(AND(A1731="",B1731="",D1731="",G1731=""),"",IF(OR(B1731="",NOT(ISNUMBER(B1731)),C1731="",C1731="Fora dos ciclos"),"",IF(C1731="C0","Nao",IF(IFERROR(INDEX(parametros!$A$2:$A$6,MATCH(C1731,parametros!$B$2:$B$6,0)),"")&lt;&gt;"Sim","Nao",IF(IFERROR(INDEX(parametros!$H$2:$H$6,MATCH(C1731,parametros!$B$2:$B$6,0)),"")="","",IF(B1731&gt;=IFERROR(INDEX(parametros!$H$2:$H$6,MATCH(C1731,parametros!$B$2:$B$6,0)),""),"Sim","Nao"))))))</f>
        <v/>
      </c>
      <c r="T1731" s="156"/>
      <c r="U1731" s="214" t="str">
        <f t="shared" si="141"/>
        <v/>
      </c>
      <c r="V1731" s="212" t="s">
        <v>50</v>
      </c>
      <c r="W1731" s="100" t="s">
        <v>168</v>
      </c>
      <c r="X1731" s="100" t="s">
        <v>169</v>
      </c>
      <c r="Y1731" s="101" t="s">
        <v>170</v>
      </c>
      <c r="Z1731" s="101" t="s">
        <v>171</v>
      </c>
      <c r="AA1731" s="101" t="s">
        <v>50</v>
      </c>
      <c r="AB1731" s="101" t="s">
        <v>172</v>
      </c>
      <c r="AC1731" s="102" t="s">
        <v>173</v>
      </c>
    </row>
    <row r="1732" spans="1:29" ht="25.5" customHeight="1" x14ac:dyDescent="0.35">
      <c r="A1732" s="392"/>
      <c r="B1732" s="393"/>
      <c r="C1732" s="99" t="str">
        <f>IF(B1732="","",IF(NOT(ISNUMBER(B1732)),"DATA_PC invalida",IF(NOT(ISNUMBER(parametros!$C$2)),"Fora dos ciclos",IF(OR(B1732&lt;parametros!$C$2,(YEAR(B1732)-YEAR(parametros!$C$2))*12+MONTH(B1732)-MONTH(parametros!$C$2)&gt;59),"Fora dos ciclos","C"&amp;INT(((YEAR(B1732)-YEAR(parametros!$C$2))*12+MONTH(B1732)-MONTH(parametros!$C$2))/12)))))</f>
        <v/>
      </c>
      <c r="D1732" s="394"/>
      <c r="E1732" s="78" t="str">
        <f>IF(C1732="","",IFERROR(VLOOKUP(C1732,parametros!$A$11:$E$15,5,0),""))</f>
        <v/>
      </c>
      <c r="F1732" s="79" t="str">
        <f t="shared" si="137"/>
        <v/>
      </c>
      <c r="G1732" s="395"/>
      <c r="H1732" s="91">
        <f t="shared" si="138"/>
        <v>0</v>
      </c>
      <c r="I1732" s="91" t="str">
        <f t="shared" si="139"/>
        <v/>
      </c>
      <c r="J1732" s="91" t="str">
        <f t="shared" si="140"/>
        <v/>
      </c>
      <c r="K1732" s="92" t="str">
        <f>IF(AND(A1732="",B1732="",D1732="",G1732=""),"",IF(AND(A1732&lt;&gt;"",COUNTIF($A$2:$A$5001,A1732)&gt;1),"NUMERO_PC duplicado",IF(B1732="","DATA_PC vazia",IF(NOT(ISNUMBER(B1732)),"DATA_PC invalida",IF(OR(C1732="",C1732="Fora dos ciclos"),"CICLO_PC nao identificado",IF(OR(D1732="",D1732=0),"VALOR_PC vazio ou zero",IF(AND(G1732&lt;&gt;"Sim",G1732&lt;&gt;"Nao",G1732&lt;&gt;""),"PC_PAGO_A_CONTRATADA invalido",IF(AND(C1732&lt;&gt;"C0",IFERROR(INDEX(parametros!$A$2:$A$6,MATCH(C1732,parametros!$B$2:$B$6,0)),"")="Sim",IFERROR(INDEX(parametros!$H$2:$H$6,MATCH(C1732,parametros!$B$2:$B$6,0)),"")=""),"INICIO_EFEITO ausente: PC "&amp;A1732&amp;" - "&amp;C1732,IF(L1732="","EFEITO_PC nao calculado: PC "&amp;A1732&amp;" - "&amp;C1732,"OK")))))))))</f>
        <v/>
      </c>
      <c r="L1732" s="92" t="str">
        <f>IF(AND(A1732="",B1732="",D1732="",G1732=""),"",IF(OR(B1732="",NOT(ISNUMBER(B1732)),C1732="",C1732="Fora dos ciclos"),"",IF(C1732="C0","Nao",IF(IFERROR(INDEX(parametros!$A$2:$A$6,MATCH(C1732,parametros!$B$2:$B$6,0)),"")&lt;&gt;"Sim","Nao",IF(IFERROR(INDEX(parametros!$H$2:$H$6,MATCH(C1732,parametros!$B$2:$B$6,0)),"")="","",IF(B1732&gt;=IFERROR(INDEX(parametros!$H$2:$H$6,MATCH(C1732,parametros!$B$2:$B$6,0)),""),"Sim","Nao"))))))</f>
        <v/>
      </c>
      <c r="T1732" s="156"/>
      <c r="U1732" s="214" t="str">
        <f t="shared" si="141"/>
        <v/>
      </c>
      <c r="V1732" s="212" t="s">
        <v>50</v>
      </c>
      <c r="W1732" s="100" t="s">
        <v>168</v>
      </c>
      <c r="X1732" s="100" t="s">
        <v>169</v>
      </c>
      <c r="Y1732" s="101" t="s">
        <v>170</v>
      </c>
      <c r="Z1732" s="101" t="s">
        <v>171</v>
      </c>
      <c r="AA1732" s="101" t="s">
        <v>50</v>
      </c>
      <c r="AB1732" s="101" t="s">
        <v>172</v>
      </c>
      <c r="AC1732" s="102" t="s">
        <v>173</v>
      </c>
    </row>
    <row r="1733" spans="1:29" ht="25.5" customHeight="1" x14ac:dyDescent="0.35">
      <c r="A1733" s="392"/>
      <c r="B1733" s="393"/>
      <c r="C1733" s="99" t="str">
        <f>IF(B1733="","",IF(NOT(ISNUMBER(B1733)),"DATA_PC invalida",IF(NOT(ISNUMBER(parametros!$C$2)),"Fora dos ciclos",IF(OR(B1733&lt;parametros!$C$2,(YEAR(B1733)-YEAR(parametros!$C$2))*12+MONTH(B1733)-MONTH(parametros!$C$2)&gt;59),"Fora dos ciclos","C"&amp;INT(((YEAR(B1733)-YEAR(parametros!$C$2))*12+MONTH(B1733)-MONTH(parametros!$C$2))/12)))))</f>
        <v/>
      </c>
      <c r="D1733" s="394"/>
      <c r="E1733" s="78" t="str">
        <f>IF(C1733="","",IFERROR(VLOOKUP(C1733,parametros!$A$11:$E$15,5,0),""))</f>
        <v/>
      </c>
      <c r="F1733" s="79" t="str">
        <f t="shared" si="137"/>
        <v/>
      </c>
      <c r="G1733" s="395"/>
      <c r="H1733" s="91">
        <f t="shared" si="138"/>
        <v>0</v>
      </c>
      <c r="I1733" s="91" t="str">
        <f t="shared" si="139"/>
        <v/>
      </c>
      <c r="J1733" s="91" t="str">
        <f t="shared" si="140"/>
        <v/>
      </c>
      <c r="K1733" s="92" t="str">
        <f>IF(AND(A1733="",B1733="",D1733="",G1733=""),"",IF(AND(A1733&lt;&gt;"",COUNTIF($A$2:$A$5001,A1733)&gt;1),"NUMERO_PC duplicado",IF(B1733="","DATA_PC vazia",IF(NOT(ISNUMBER(B1733)),"DATA_PC invalida",IF(OR(C1733="",C1733="Fora dos ciclos"),"CICLO_PC nao identificado",IF(OR(D1733="",D1733=0),"VALOR_PC vazio ou zero",IF(AND(G1733&lt;&gt;"Sim",G1733&lt;&gt;"Nao",G1733&lt;&gt;""),"PC_PAGO_A_CONTRATADA invalido",IF(AND(C1733&lt;&gt;"C0",IFERROR(INDEX(parametros!$A$2:$A$6,MATCH(C1733,parametros!$B$2:$B$6,0)),"")="Sim",IFERROR(INDEX(parametros!$H$2:$H$6,MATCH(C1733,parametros!$B$2:$B$6,0)),"")=""),"INICIO_EFEITO ausente: PC "&amp;A1733&amp;" - "&amp;C1733,IF(L1733="","EFEITO_PC nao calculado: PC "&amp;A1733&amp;" - "&amp;C1733,"OK")))))))))</f>
        <v/>
      </c>
      <c r="L1733" s="92" t="str">
        <f>IF(AND(A1733="",B1733="",D1733="",G1733=""),"",IF(OR(B1733="",NOT(ISNUMBER(B1733)),C1733="",C1733="Fora dos ciclos"),"",IF(C1733="C0","Nao",IF(IFERROR(INDEX(parametros!$A$2:$A$6,MATCH(C1733,parametros!$B$2:$B$6,0)),"")&lt;&gt;"Sim","Nao",IF(IFERROR(INDEX(parametros!$H$2:$H$6,MATCH(C1733,parametros!$B$2:$B$6,0)),"")="","",IF(B1733&gt;=IFERROR(INDEX(parametros!$H$2:$H$6,MATCH(C1733,parametros!$B$2:$B$6,0)),""),"Sim","Nao"))))))</f>
        <v/>
      </c>
      <c r="T1733" s="156"/>
      <c r="U1733" s="214" t="str">
        <f t="shared" si="141"/>
        <v/>
      </c>
      <c r="V1733" s="212" t="s">
        <v>50</v>
      </c>
      <c r="W1733" s="100" t="s">
        <v>168</v>
      </c>
      <c r="X1733" s="100" t="s">
        <v>169</v>
      </c>
      <c r="Y1733" s="101" t="s">
        <v>170</v>
      </c>
      <c r="Z1733" s="101" t="s">
        <v>171</v>
      </c>
      <c r="AA1733" s="101" t="s">
        <v>50</v>
      </c>
      <c r="AB1733" s="101" t="s">
        <v>172</v>
      </c>
      <c r="AC1733" s="102" t="s">
        <v>173</v>
      </c>
    </row>
    <row r="1734" spans="1:29" ht="25.5" customHeight="1" x14ac:dyDescent="0.35">
      <c r="A1734" s="392"/>
      <c r="B1734" s="393"/>
      <c r="C1734" s="99" t="str">
        <f>IF(B1734="","",IF(NOT(ISNUMBER(B1734)),"DATA_PC invalida",IF(NOT(ISNUMBER(parametros!$C$2)),"Fora dos ciclos",IF(OR(B1734&lt;parametros!$C$2,(YEAR(B1734)-YEAR(parametros!$C$2))*12+MONTH(B1734)-MONTH(parametros!$C$2)&gt;59),"Fora dos ciclos","C"&amp;INT(((YEAR(B1734)-YEAR(parametros!$C$2))*12+MONTH(B1734)-MONTH(parametros!$C$2))/12)))))</f>
        <v/>
      </c>
      <c r="D1734" s="394"/>
      <c r="E1734" s="78" t="str">
        <f>IF(C1734="","",IFERROR(VLOOKUP(C1734,parametros!$A$11:$E$15,5,0),""))</f>
        <v/>
      </c>
      <c r="F1734" s="79" t="str">
        <f t="shared" si="137"/>
        <v/>
      </c>
      <c r="G1734" s="395"/>
      <c r="H1734" s="91">
        <f t="shared" si="138"/>
        <v>0</v>
      </c>
      <c r="I1734" s="91" t="str">
        <f t="shared" si="139"/>
        <v/>
      </c>
      <c r="J1734" s="91" t="str">
        <f t="shared" si="140"/>
        <v/>
      </c>
      <c r="K1734" s="92" t="str">
        <f>IF(AND(A1734="",B1734="",D1734="",G1734=""),"",IF(AND(A1734&lt;&gt;"",COUNTIF($A$2:$A$5001,A1734)&gt;1),"NUMERO_PC duplicado",IF(B1734="","DATA_PC vazia",IF(NOT(ISNUMBER(B1734)),"DATA_PC invalida",IF(OR(C1734="",C1734="Fora dos ciclos"),"CICLO_PC nao identificado",IF(OR(D1734="",D1734=0),"VALOR_PC vazio ou zero",IF(AND(G1734&lt;&gt;"Sim",G1734&lt;&gt;"Nao",G1734&lt;&gt;""),"PC_PAGO_A_CONTRATADA invalido",IF(AND(C1734&lt;&gt;"C0",IFERROR(INDEX(parametros!$A$2:$A$6,MATCH(C1734,parametros!$B$2:$B$6,0)),"")="Sim",IFERROR(INDEX(parametros!$H$2:$H$6,MATCH(C1734,parametros!$B$2:$B$6,0)),"")=""),"INICIO_EFEITO ausente: PC "&amp;A1734&amp;" - "&amp;C1734,IF(L1734="","EFEITO_PC nao calculado: PC "&amp;A1734&amp;" - "&amp;C1734,"OK")))))))))</f>
        <v/>
      </c>
      <c r="L1734" s="92" t="str">
        <f>IF(AND(A1734="",B1734="",D1734="",G1734=""),"",IF(OR(B1734="",NOT(ISNUMBER(B1734)),C1734="",C1734="Fora dos ciclos"),"",IF(C1734="C0","Nao",IF(IFERROR(INDEX(parametros!$A$2:$A$6,MATCH(C1734,parametros!$B$2:$B$6,0)),"")&lt;&gt;"Sim","Nao",IF(IFERROR(INDEX(parametros!$H$2:$H$6,MATCH(C1734,parametros!$B$2:$B$6,0)),"")="","",IF(B1734&gt;=IFERROR(INDEX(parametros!$H$2:$H$6,MATCH(C1734,parametros!$B$2:$B$6,0)),""),"Sim","Nao"))))))</f>
        <v/>
      </c>
      <c r="T1734" s="156"/>
      <c r="U1734" s="214" t="str">
        <f t="shared" si="141"/>
        <v/>
      </c>
      <c r="V1734" s="212" t="s">
        <v>50</v>
      </c>
      <c r="W1734" s="100" t="s">
        <v>168</v>
      </c>
      <c r="X1734" s="100" t="s">
        <v>169</v>
      </c>
      <c r="Y1734" s="101" t="s">
        <v>170</v>
      </c>
      <c r="Z1734" s="101" t="s">
        <v>171</v>
      </c>
      <c r="AA1734" s="101" t="s">
        <v>50</v>
      </c>
      <c r="AB1734" s="101" t="s">
        <v>172</v>
      </c>
      <c r="AC1734" s="102" t="s">
        <v>173</v>
      </c>
    </row>
    <row r="1735" spans="1:29" ht="25.5" customHeight="1" x14ac:dyDescent="0.35">
      <c r="A1735" s="392"/>
      <c r="B1735" s="393"/>
      <c r="C1735" s="99" t="str">
        <f>IF(B1735="","",IF(NOT(ISNUMBER(B1735)),"DATA_PC invalida",IF(NOT(ISNUMBER(parametros!$C$2)),"Fora dos ciclos",IF(OR(B1735&lt;parametros!$C$2,(YEAR(B1735)-YEAR(parametros!$C$2))*12+MONTH(B1735)-MONTH(parametros!$C$2)&gt;59),"Fora dos ciclos","C"&amp;INT(((YEAR(B1735)-YEAR(parametros!$C$2))*12+MONTH(B1735)-MONTH(parametros!$C$2))/12)))))</f>
        <v/>
      </c>
      <c r="D1735" s="394"/>
      <c r="E1735" s="78" t="str">
        <f>IF(C1735="","",IFERROR(VLOOKUP(C1735,parametros!$A$11:$E$15,5,0),""))</f>
        <v/>
      </c>
      <c r="F1735" s="79" t="str">
        <f t="shared" si="137"/>
        <v/>
      </c>
      <c r="G1735" s="395"/>
      <c r="H1735" s="91">
        <f t="shared" si="138"/>
        <v>0</v>
      </c>
      <c r="I1735" s="91" t="str">
        <f t="shared" si="139"/>
        <v/>
      </c>
      <c r="J1735" s="91" t="str">
        <f t="shared" si="140"/>
        <v/>
      </c>
      <c r="K1735" s="92" t="str">
        <f>IF(AND(A1735="",B1735="",D1735="",G1735=""),"",IF(AND(A1735&lt;&gt;"",COUNTIF($A$2:$A$5001,A1735)&gt;1),"NUMERO_PC duplicado",IF(B1735="","DATA_PC vazia",IF(NOT(ISNUMBER(B1735)),"DATA_PC invalida",IF(OR(C1735="",C1735="Fora dos ciclos"),"CICLO_PC nao identificado",IF(OR(D1735="",D1735=0),"VALOR_PC vazio ou zero",IF(AND(G1735&lt;&gt;"Sim",G1735&lt;&gt;"Nao",G1735&lt;&gt;""),"PC_PAGO_A_CONTRATADA invalido",IF(AND(C1735&lt;&gt;"C0",IFERROR(INDEX(parametros!$A$2:$A$6,MATCH(C1735,parametros!$B$2:$B$6,0)),"")="Sim",IFERROR(INDEX(parametros!$H$2:$H$6,MATCH(C1735,parametros!$B$2:$B$6,0)),"")=""),"INICIO_EFEITO ausente: PC "&amp;A1735&amp;" - "&amp;C1735,IF(L1735="","EFEITO_PC nao calculado: PC "&amp;A1735&amp;" - "&amp;C1735,"OK")))))))))</f>
        <v/>
      </c>
      <c r="L1735" s="92" t="str">
        <f>IF(AND(A1735="",B1735="",D1735="",G1735=""),"",IF(OR(B1735="",NOT(ISNUMBER(B1735)),C1735="",C1735="Fora dos ciclos"),"",IF(C1735="C0","Nao",IF(IFERROR(INDEX(parametros!$A$2:$A$6,MATCH(C1735,parametros!$B$2:$B$6,0)),"")&lt;&gt;"Sim","Nao",IF(IFERROR(INDEX(parametros!$H$2:$H$6,MATCH(C1735,parametros!$B$2:$B$6,0)),"")="","",IF(B1735&gt;=IFERROR(INDEX(parametros!$H$2:$H$6,MATCH(C1735,parametros!$B$2:$B$6,0)),""),"Sim","Nao"))))))</f>
        <v/>
      </c>
      <c r="T1735" s="156"/>
      <c r="U1735" s="214" t="str">
        <f t="shared" si="141"/>
        <v/>
      </c>
      <c r="V1735" s="212" t="s">
        <v>50</v>
      </c>
      <c r="W1735" s="100" t="s">
        <v>168</v>
      </c>
      <c r="X1735" s="100" t="s">
        <v>169</v>
      </c>
      <c r="Y1735" s="101" t="s">
        <v>170</v>
      </c>
      <c r="Z1735" s="101" t="s">
        <v>171</v>
      </c>
      <c r="AA1735" s="101" t="s">
        <v>50</v>
      </c>
      <c r="AB1735" s="101" t="s">
        <v>172</v>
      </c>
      <c r="AC1735" s="102" t="s">
        <v>173</v>
      </c>
    </row>
    <row r="1736" spans="1:29" ht="25.5" customHeight="1" x14ac:dyDescent="0.35">
      <c r="A1736" s="392"/>
      <c r="B1736" s="393"/>
      <c r="C1736" s="99" t="str">
        <f>IF(B1736="","",IF(NOT(ISNUMBER(B1736)),"DATA_PC invalida",IF(NOT(ISNUMBER(parametros!$C$2)),"Fora dos ciclos",IF(OR(B1736&lt;parametros!$C$2,(YEAR(B1736)-YEAR(parametros!$C$2))*12+MONTH(B1736)-MONTH(parametros!$C$2)&gt;59),"Fora dos ciclos","C"&amp;INT(((YEAR(B1736)-YEAR(parametros!$C$2))*12+MONTH(B1736)-MONTH(parametros!$C$2))/12)))))</f>
        <v/>
      </c>
      <c r="D1736" s="394"/>
      <c r="E1736" s="78" t="str">
        <f>IF(C1736="","",IFERROR(VLOOKUP(C1736,parametros!$A$11:$E$15,5,0),""))</f>
        <v/>
      </c>
      <c r="F1736" s="79" t="str">
        <f t="shared" si="137"/>
        <v/>
      </c>
      <c r="G1736" s="395"/>
      <c r="H1736" s="91">
        <f t="shared" si="138"/>
        <v>0</v>
      </c>
      <c r="I1736" s="91" t="str">
        <f t="shared" si="139"/>
        <v/>
      </c>
      <c r="J1736" s="91" t="str">
        <f t="shared" si="140"/>
        <v/>
      </c>
      <c r="K1736" s="92" t="str">
        <f>IF(AND(A1736="",B1736="",D1736="",G1736=""),"",IF(AND(A1736&lt;&gt;"",COUNTIF($A$2:$A$5001,A1736)&gt;1),"NUMERO_PC duplicado",IF(B1736="","DATA_PC vazia",IF(NOT(ISNUMBER(B1736)),"DATA_PC invalida",IF(OR(C1736="",C1736="Fora dos ciclos"),"CICLO_PC nao identificado",IF(OR(D1736="",D1736=0),"VALOR_PC vazio ou zero",IF(AND(G1736&lt;&gt;"Sim",G1736&lt;&gt;"Nao",G1736&lt;&gt;""),"PC_PAGO_A_CONTRATADA invalido",IF(AND(C1736&lt;&gt;"C0",IFERROR(INDEX(parametros!$A$2:$A$6,MATCH(C1736,parametros!$B$2:$B$6,0)),"")="Sim",IFERROR(INDEX(parametros!$H$2:$H$6,MATCH(C1736,parametros!$B$2:$B$6,0)),"")=""),"INICIO_EFEITO ausente: PC "&amp;A1736&amp;" - "&amp;C1736,IF(L1736="","EFEITO_PC nao calculado: PC "&amp;A1736&amp;" - "&amp;C1736,"OK")))))))))</f>
        <v/>
      </c>
      <c r="L1736" s="92" t="str">
        <f>IF(AND(A1736="",B1736="",D1736="",G1736=""),"",IF(OR(B1736="",NOT(ISNUMBER(B1736)),C1736="",C1736="Fora dos ciclos"),"",IF(C1736="C0","Nao",IF(IFERROR(INDEX(parametros!$A$2:$A$6,MATCH(C1736,parametros!$B$2:$B$6,0)),"")&lt;&gt;"Sim","Nao",IF(IFERROR(INDEX(parametros!$H$2:$H$6,MATCH(C1736,parametros!$B$2:$B$6,0)),"")="","",IF(B1736&gt;=IFERROR(INDEX(parametros!$H$2:$H$6,MATCH(C1736,parametros!$B$2:$B$6,0)),""),"Sim","Nao"))))))</f>
        <v/>
      </c>
      <c r="T1736" s="156"/>
      <c r="U1736" s="214" t="str">
        <f t="shared" si="141"/>
        <v/>
      </c>
      <c r="V1736" s="212" t="s">
        <v>50</v>
      </c>
      <c r="W1736" s="100" t="s">
        <v>168</v>
      </c>
      <c r="X1736" s="100" t="s">
        <v>169</v>
      </c>
      <c r="Y1736" s="101" t="s">
        <v>170</v>
      </c>
      <c r="Z1736" s="101" t="s">
        <v>171</v>
      </c>
      <c r="AA1736" s="101" t="s">
        <v>50</v>
      </c>
      <c r="AB1736" s="101" t="s">
        <v>172</v>
      </c>
      <c r="AC1736" s="102" t="s">
        <v>173</v>
      </c>
    </row>
    <row r="1737" spans="1:29" ht="25.5" customHeight="1" x14ac:dyDescent="0.35">
      <c r="A1737" s="392"/>
      <c r="B1737" s="393"/>
      <c r="C1737" s="99" t="str">
        <f>IF(B1737="","",IF(NOT(ISNUMBER(B1737)),"DATA_PC invalida",IF(NOT(ISNUMBER(parametros!$C$2)),"Fora dos ciclos",IF(OR(B1737&lt;parametros!$C$2,(YEAR(B1737)-YEAR(parametros!$C$2))*12+MONTH(B1737)-MONTH(parametros!$C$2)&gt;59),"Fora dos ciclos","C"&amp;INT(((YEAR(B1737)-YEAR(parametros!$C$2))*12+MONTH(B1737)-MONTH(parametros!$C$2))/12)))))</f>
        <v/>
      </c>
      <c r="D1737" s="394"/>
      <c r="E1737" s="78" t="str">
        <f>IF(C1737="","",IFERROR(VLOOKUP(C1737,parametros!$A$11:$E$15,5,0),""))</f>
        <v/>
      </c>
      <c r="F1737" s="79" t="str">
        <f t="shared" si="137"/>
        <v/>
      </c>
      <c r="G1737" s="395"/>
      <c r="H1737" s="91">
        <f t="shared" si="138"/>
        <v>0</v>
      </c>
      <c r="I1737" s="91" t="str">
        <f t="shared" si="139"/>
        <v/>
      </c>
      <c r="J1737" s="91" t="str">
        <f t="shared" si="140"/>
        <v/>
      </c>
      <c r="K1737" s="92" t="str">
        <f>IF(AND(A1737="",B1737="",D1737="",G1737=""),"",IF(AND(A1737&lt;&gt;"",COUNTIF($A$2:$A$5001,A1737)&gt;1),"NUMERO_PC duplicado",IF(B1737="","DATA_PC vazia",IF(NOT(ISNUMBER(B1737)),"DATA_PC invalida",IF(OR(C1737="",C1737="Fora dos ciclos"),"CICLO_PC nao identificado",IF(OR(D1737="",D1737=0),"VALOR_PC vazio ou zero",IF(AND(G1737&lt;&gt;"Sim",G1737&lt;&gt;"Nao",G1737&lt;&gt;""),"PC_PAGO_A_CONTRATADA invalido",IF(AND(C1737&lt;&gt;"C0",IFERROR(INDEX(parametros!$A$2:$A$6,MATCH(C1737,parametros!$B$2:$B$6,0)),"")="Sim",IFERROR(INDEX(parametros!$H$2:$H$6,MATCH(C1737,parametros!$B$2:$B$6,0)),"")=""),"INICIO_EFEITO ausente: PC "&amp;A1737&amp;" - "&amp;C1737,IF(L1737="","EFEITO_PC nao calculado: PC "&amp;A1737&amp;" - "&amp;C1737,"OK")))))))))</f>
        <v/>
      </c>
      <c r="L1737" s="92" t="str">
        <f>IF(AND(A1737="",B1737="",D1737="",G1737=""),"",IF(OR(B1737="",NOT(ISNUMBER(B1737)),C1737="",C1737="Fora dos ciclos"),"",IF(C1737="C0","Nao",IF(IFERROR(INDEX(parametros!$A$2:$A$6,MATCH(C1737,parametros!$B$2:$B$6,0)),"")&lt;&gt;"Sim","Nao",IF(IFERROR(INDEX(parametros!$H$2:$H$6,MATCH(C1737,parametros!$B$2:$B$6,0)),"")="","",IF(B1737&gt;=IFERROR(INDEX(parametros!$H$2:$H$6,MATCH(C1737,parametros!$B$2:$B$6,0)),""),"Sim","Nao"))))))</f>
        <v/>
      </c>
      <c r="T1737" s="156"/>
      <c r="U1737" s="214" t="str">
        <f t="shared" si="141"/>
        <v/>
      </c>
      <c r="V1737" s="212" t="s">
        <v>50</v>
      </c>
      <c r="W1737" s="100" t="s">
        <v>168</v>
      </c>
      <c r="X1737" s="100" t="s">
        <v>169</v>
      </c>
      <c r="Y1737" s="101" t="s">
        <v>170</v>
      </c>
      <c r="Z1737" s="101" t="s">
        <v>171</v>
      </c>
      <c r="AA1737" s="101" t="s">
        <v>50</v>
      </c>
      <c r="AB1737" s="101" t="s">
        <v>172</v>
      </c>
      <c r="AC1737" s="102" t="s">
        <v>173</v>
      </c>
    </row>
    <row r="1738" spans="1:29" ht="25.5" customHeight="1" x14ac:dyDescent="0.35">
      <c r="A1738" s="392"/>
      <c r="B1738" s="393"/>
      <c r="C1738" s="99" t="str">
        <f>IF(B1738="","",IF(NOT(ISNUMBER(B1738)),"DATA_PC invalida",IF(NOT(ISNUMBER(parametros!$C$2)),"Fora dos ciclos",IF(OR(B1738&lt;parametros!$C$2,(YEAR(B1738)-YEAR(parametros!$C$2))*12+MONTH(B1738)-MONTH(parametros!$C$2)&gt;59),"Fora dos ciclos","C"&amp;INT(((YEAR(B1738)-YEAR(parametros!$C$2))*12+MONTH(B1738)-MONTH(parametros!$C$2))/12)))))</f>
        <v/>
      </c>
      <c r="D1738" s="394"/>
      <c r="E1738" s="78" t="str">
        <f>IF(C1738="","",IFERROR(VLOOKUP(C1738,parametros!$A$11:$E$15,5,0),""))</f>
        <v/>
      </c>
      <c r="F1738" s="79" t="str">
        <f t="shared" si="137"/>
        <v/>
      </c>
      <c r="G1738" s="395"/>
      <c r="H1738" s="91">
        <f t="shared" si="138"/>
        <v>0</v>
      </c>
      <c r="I1738" s="91" t="str">
        <f t="shared" si="139"/>
        <v/>
      </c>
      <c r="J1738" s="91" t="str">
        <f t="shared" si="140"/>
        <v/>
      </c>
      <c r="K1738" s="92" t="str">
        <f>IF(AND(A1738="",B1738="",D1738="",G1738=""),"",IF(AND(A1738&lt;&gt;"",COUNTIF($A$2:$A$5001,A1738)&gt;1),"NUMERO_PC duplicado",IF(B1738="","DATA_PC vazia",IF(NOT(ISNUMBER(B1738)),"DATA_PC invalida",IF(OR(C1738="",C1738="Fora dos ciclos"),"CICLO_PC nao identificado",IF(OR(D1738="",D1738=0),"VALOR_PC vazio ou zero",IF(AND(G1738&lt;&gt;"Sim",G1738&lt;&gt;"Nao",G1738&lt;&gt;""),"PC_PAGO_A_CONTRATADA invalido",IF(AND(C1738&lt;&gt;"C0",IFERROR(INDEX(parametros!$A$2:$A$6,MATCH(C1738,parametros!$B$2:$B$6,0)),"")="Sim",IFERROR(INDEX(parametros!$H$2:$H$6,MATCH(C1738,parametros!$B$2:$B$6,0)),"")=""),"INICIO_EFEITO ausente: PC "&amp;A1738&amp;" - "&amp;C1738,IF(L1738="","EFEITO_PC nao calculado: PC "&amp;A1738&amp;" - "&amp;C1738,"OK")))))))))</f>
        <v/>
      </c>
      <c r="L1738" s="92" t="str">
        <f>IF(AND(A1738="",B1738="",D1738="",G1738=""),"",IF(OR(B1738="",NOT(ISNUMBER(B1738)),C1738="",C1738="Fora dos ciclos"),"",IF(C1738="C0","Nao",IF(IFERROR(INDEX(parametros!$A$2:$A$6,MATCH(C1738,parametros!$B$2:$B$6,0)),"")&lt;&gt;"Sim","Nao",IF(IFERROR(INDEX(parametros!$H$2:$H$6,MATCH(C1738,parametros!$B$2:$B$6,0)),"")="","",IF(B1738&gt;=IFERROR(INDEX(parametros!$H$2:$H$6,MATCH(C1738,parametros!$B$2:$B$6,0)),""),"Sim","Nao"))))))</f>
        <v/>
      </c>
      <c r="T1738" s="156"/>
      <c r="U1738" s="214" t="str">
        <f t="shared" si="141"/>
        <v/>
      </c>
      <c r="V1738" s="212" t="s">
        <v>50</v>
      </c>
      <c r="W1738" s="100" t="s">
        <v>168</v>
      </c>
      <c r="X1738" s="100" t="s">
        <v>169</v>
      </c>
      <c r="Y1738" s="101" t="s">
        <v>170</v>
      </c>
      <c r="Z1738" s="101" t="s">
        <v>171</v>
      </c>
      <c r="AA1738" s="101" t="s">
        <v>50</v>
      </c>
      <c r="AB1738" s="101" t="s">
        <v>172</v>
      </c>
      <c r="AC1738" s="102" t="s">
        <v>173</v>
      </c>
    </row>
    <row r="1739" spans="1:29" ht="25.5" customHeight="1" x14ac:dyDescent="0.35">
      <c r="A1739" s="392"/>
      <c r="B1739" s="393"/>
      <c r="C1739" s="99" t="str">
        <f>IF(B1739="","",IF(NOT(ISNUMBER(B1739)),"DATA_PC invalida",IF(NOT(ISNUMBER(parametros!$C$2)),"Fora dos ciclos",IF(OR(B1739&lt;parametros!$C$2,(YEAR(B1739)-YEAR(parametros!$C$2))*12+MONTH(B1739)-MONTH(parametros!$C$2)&gt;59),"Fora dos ciclos","C"&amp;INT(((YEAR(B1739)-YEAR(parametros!$C$2))*12+MONTH(B1739)-MONTH(parametros!$C$2))/12)))))</f>
        <v/>
      </c>
      <c r="D1739" s="394"/>
      <c r="E1739" s="78" t="str">
        <f>IF(C1739="","",IFERROR(VLOOKUP(C1739,parametros!$A$11:$E$15,5,0),""))</f>
        <v/>
      </c>
      <c r="F1739" s="79" t="str">
        <f t="shared" si="137"/>
        <v/>
      </c>
      <c r="G1739" s="395"/>
      <c r="H1739" s="91">
        <f t="shared" si="138"/>
        <v>0</v>
      </c>
      <c r="I1739" s="91" t="str">
        <f t="shared" si="139"/>
        <v/>
      </c>
      <c r="J1739" s="91" t="str">
        <f t="shared" si="140"/>
        <v/>
      </c>
      <c r="K1739" s="92" t="str">
        <f>IF(AND(A1739="",B1739="",D1739="",G1739=""),"",IF(AND(A1739&lt;&gt;"",COUNTIF($A$2:$A$5001,A1739)&gt;1),"NUMERO_PC duplicado",IF(B1739="","DATA_PC vazia",IF(NOT(ISNUMBER(B1739)),"DATA_PC invalida",IF(OR(C1739="",C1739="Fora dos ciclos"),"CICLO_PC nao identificado",IF(OR(D1739="",D1739=0),"VALOR_PC vazio ou zero",IF(AND(G1739&lt;&gt;"Sim",G1739&lt;&gt;"Nao",G1739&lt;&gt;""),"PC_PAGO_A_CONTRATADA invalido",IF(AND(C1739&lt;&gt;"C0",IFERROR(INDEX(parametros!$A$2:$A$6,MATCH(C1739,parametros!$B$2:$B$6,0)),"")="Sim",IFERROR(INDEX(parametros!$H$2:$H$6,MATCH(C1739,parametros!$B$2:$B$6,0)),"")=""),"INICIO_EFEITO ausente: PC "&amp;A1739&amp;" - "&amp;C1739,IF(L1739="","EFEITO_PC nao calculado: PC "&amp;A1739&amp;" - "&amp;C1739,"OK")))))))))</f>
        <v/>
      </c>
      <c r="L1739" s="92" t="str">
        <f>IF(AND(A1739="",B1739="",D1739="",G1739=""),"",IF(OR(B1739="",NOT(ISNUMBER(B1739)),C1739="",C1739="Fora dos ciclos"),"",IF(C1739="C0","Nao",IF(IFERROR(INDEX(parametros!$A$2:$A$6,MATCH(C1739,parametros!$B$2:$B$6,0)),"")&lt;&gt;"Sim","Nao",IF(IFERROR(INDEX(parametros!$H$2:$H$6,MATCH(C1739,parametros!$B$2:$B$6,0)),"")="","",IF(B1739&gt;=IFERROR(INDEX(parametros!$H$2:$H$6,MATCH(C1739,parametros!$B$2:$B$6,0)),""),"Sim","Nao"))))))</f>
        <v/>
      </c>
      <c r="T1739" s="156"/>
      <c r="U1739" s="214" t="str">
        <f t="shared" si="141"/>
        <v/>
      </c>
      <c r="V1739" s="212" t="s">
        <v>50</v>
      </c>
      <c r="W1739" s="100" t="s">
        <v>168</v>
      </c>
      <c r="X1739" s="100" t="s">
        <v>169</v>
      </c>
      <c r="Y1739" s="101" t="s">
        <v>170</v>
      </c>
      <c r="Z1739" s="101" t="s">
        <v>171</v>
      </c>
      <c r="AA1739" s="101" t="s">
        <v>50</v>
      </c>
      <c r="AB1739" s="101" t="s">
        <v>172</v>
      </c>
      <c r="AC1739" s="102" t="s">
        <v>173</v>
      </c>
    </row>
    <row r="1740" spans="1:29" ht="25.5" customHeight="1" x14ac:dyDescent="0.35">
      <c r="A1740" s="392"/>
      <c r="B1740" s="393"/>
      <c r="C1740" s="99" t="str">
        <f>IF(B1740="","",IF(NOT(ISNUMBER(B1740)),"DATA_PC invalida",IF(NOT(ISNUMBER(parametros!$C$2)),"Fora dos ciclos",IF(OR(B1740&lt;parametros!$C$2,(YEAR(B1740)-YEAR(parametros!$C$2))*12+MONTH(B1740)-MONTH(parametros!$C$2)&gt;59),"Fora dos ciclos","C"&amp;INT(((YEAR(B1740)-YEAR(parametros!$C$2))*12+MONTH(B1740)-MONTH(parametros!$C$2))/12)))))</f>
        <v/>
      </c>
      <c r="D1740" s="394"/>
      <c r="E1740" s="78" t="str">
        <f>IF(C1740="","",IFERROR(VLOOKUP(C1740,parametros!$A$11:$E$15,5,0),""))</f>
        <v/>
      </c>
      <c r="F1740" s="79" t="str">
        <f t="shared" si="137"/>
        <v/>
      </c>
      <c r="G1740" s="395"/>
      <c r="H1740" s="91">
        <f t="shared" si="138"/>
        <v>0</v>
      </c>
      <c r="I1740" s="91" t="str">
        <f t="shared" si="139"/>
        <v/>
      </c>
      <c r="J1740" s="91" t="str">
        <f t="shared" si="140"/>
        <v/>
      </c>
      <c r="K1740" s="92" t="str">
        <f>IF(AND(A1740="",B1740="",D1740="",G1740=""),"",IF(AND(A1740&lt;&gt;"",COUNTIF($A$2:$A$5001,A1740)&gt;1),"NUMERO_PC duplicado",IF(B1740="","DATA_PC vazia",IF(NOT(ISNUMBER(B1740)),"DATA_PC invalida",IF(OR(C1740="",C1740="Fora dos ciclos"),"CICLO_PC nao identificado",IF(OR(D1740="",D1740=0),"VALOR_PC vazio ou zero",IF(AND(G1740&lt;&gt;"Sim",G1740&lt;&gt;"Nao",G1740&lt;&gt;""),"PC_PAGO_A_CONTRATADA invalido",IF(AND(C1740&lt;&gt;"C0",IFERROR(INDEX(parametros!$A$2:$A$6,MATCH(C1740,parametros!$B$2:$B$6,0)),"")="Sim",IFERROR(INDEX(parametros!$H$2:$H$6,MATCH(C1740,parametros!$B$2:$B$6,0)),"")=""),"INICIO_EFEITO ausente: PC "&amp;A1740&amp;" - "&amp;C1740,IF(L1740="","EFEITO_PC nao calculado: PC "&amp;A1740&amp;" - "&amp;C1740,"OK")))))))))</f>
        <v/>
      </c>
      <c r="L1740" s="92" t="str">
        <f>IF(AND(A1740="",B1740="",D1740="",G1740=""),"",IF(OR(B1740="",NOT(ISNUMBER(B1740)),C1740="",C1740="Fora dos ciclos"),"",IF(C1740="C0","Nao",IF(IFERROR(INDEX(parametros!$A$2:$A$6,MATCH(C1740,parametros!$B$2:$B$6,0)),"")&lt;&gt;"Sim","Nao",IF(IFERROR(INDEX(parametros!$H$2:$H$6,MATCH(C1740,parametros!$B$2:$B$6,0)),"")="","",IF(B1740&gt;=IFERROR(INDEX(parametros!$H$2:$H$6,MATCH(C1740,parametros!$B$2:$B$6,0)),""),"Sim","Nao"))))))</f>
        <v/>
      </c>
      <c r="T1740" s="156"/>
      <c r="U1740" s="214" t="str">
        <f t="shared" si="141"/>
        <v/>
      </c>
      <c r="V1740" s="212" t="s">
        <v>50</v>
      </c>
      <c r="W1740" s="100" t="s">
        <v>168</v>
      </c>
      <c r="X1740" s="100" t="s">
        <v>169</v>
      </c>
      <c r="Y1740" s="101" t="s">
        <v>170</v>
      </c>
      <c r="Z1740" s="101" t="s">
        <v>171</v>
      </c>
      <c r="AA1740" s="101" t="s">
        <v>50</v>
      </c>
      <c r="AB1740" s="101" t="s">
        <v>172</v>
      </c>
      <c r="AC1740" s="102" t="s">
        <v>173</v>
      </c>
    </row>
    <row r="1741" spans="1:29" ht="25.5" customHeight="1" x14ac:dyDescent="0.35">
      <c r="A1741" s="392"/>
      <c r="B1741" s="393"/>
      <c r="C1741" s="99" t="str">
        <f>IF(B1741="","",IF(NOT(ISNUMBER(B1741)),"DATA_PC invalida",IF(NOT(ISNUMBER(parametros!$C$2)),"Fora dos ciclos",IF(OR(B1741&lt;parametros!$C$2,(YEAR(B1741)-YEAR(parametros!$C$2))*12+MONTH(B1741)-MONTH(parametros!$C$2)&gt;59),"Fora dos ciclos","C"&amp;INT(((YEAR(B1741)-YEAR(parametros!$C$2))*12+MONTH(B1741)-MONTH(parametros!$C$2))/12)))))</f>
        <v/>
      </c>
      <c r="D1741" s="394"/>
      <c r="E1741" s="78" t="str">
        <f>IF(C1741="","",IFERROR(VLOOKUP(C1741,parametros!$A$11:$E$15,5,0),""))</f>
        <v/>
      </c>
      <c r="F1741" s="79" t="str">
        <f t="shared" si="137"/>
        <v/>
      </c>
      <c r="G1741" s="395"/>
      <c r="H1741" s="91">
        <f t="shared" si="138"/>
        <v>0</v>
      </c>
      <c r="I1741" s="91" t="str">
        <f t="shared" si="139"/>
        <v/>
      </c>
      <c r="J1741" s="91" t="str">
        <f t="shared" si="140"/>
        <v/>
      </c>
      <c r="K1741" s="92" t="str">
        <f>IF(AND(A1741="",B1741="",D1741="",G1741=""),"",IF(AND(A1741&lt;&gt;"",COUNTIF($A$2:$A$5001,A1741)&gt;1),"NUMERO_PC duplicado",IF(B1741="","DATA_PC vazia",IF(NOT(ISNUMBER(B1741)),"DATA_PC invalida",IF(OR(C1741="",C1741="Fora dos ciclos"),"CICLO_PC nao identificado",IF(OR(D1741="",D1741=0),"VALOR_PC vazio ou zero",IF(AND(G1741&lt;&gt;"Sim",G1741&lt;&gt;"Nao",G1741&lt;&gt;""),"PC_PAGO_A_CONTRATADA invalido",IF(AND(C1741&lt;&gt;"C0",IFERROR(INDEX(parametros!$A$2:$A$6,MATCH(C1741,parametros!$B$2:$B$6,0)),"")="Sim",IFERROR(INDEX(parametros!$H$2:$H$6,MATCH(C1741,parametros!$B$2:$B$6,0)),"")=""),"INICIO_EFEITO ausente: PC "&amp;A1741&amp;" - "&amp;C1741,IF(L1741="","EFEITO_PC nao calculado: PC "&amp;A1741&amp;" - "&amp;C1741,"OK")))))))))</f>
        <v/>
      </c>
      <c r="L1741" s="92" t="str">
        <f>IF(AND(A1741="",B1741="",D1741="",G1741=""),"",IF(OR(B1741="",NOT(ISNUMBER(B1741)),C1741="",C1741="Fora dos ciclos"),"",IF(C1741="C0","Nao",IF(IFERROR(INDEX(parametros!$A$2:$A$6,MATCH(C1741,parametros!$B$2:$B$6,0)),"")&lt;&gt;"Sim","Nao",IF(IFERROR(INDEX(parametros!$H$2:$H$6,MATCH(C1741,parametros!$B$2:$B$6,0)),"")="","",IF(B1741&gt;=IFERROR(INDEX(parametros!$H$2:$H$6,MATCH(C1741,parametros!$B$2:$B$6,0)),""),"Sim","Nao"))))))</f>
        <v/>
      </c>
      <c r="T1741" s="156"/>
      <c r="U1741" s="214" t="str">
        <f t="shared" si="141"/>
        <v/>
      </c>
      <c r="V1741" s="212" t="s">
        <v>50</v>
      </c>
      <c r="W1741" s="100" t="s">
        <v>168</v>
      </c>
      <c r="X1741" s="100" t="s">
        <v>169</v>
      </c>
      <c r="Y1741" s="101" t="s">
        <v>170</v>
      </c>
      <c r="Z1741" s="101" t="s">
        <v>171</v>
      </c>
      <c r="AA1741" s="101" t="s">
        <v>50</v>
      </c>
      <c r="AB1741" s="101" t="s">
        <v>172</v>
      </c>
      <c r="AC1741" s="102" t="s">
        <v>173</v>
      </c>
    </row>
    <row r="1742" spans="1:29" ht="25.5" customHeight="1" x14ac:dyDescent="0.35">
      <c r="A1742" s="392"/>
      <c r="B1742" s="393"/>
      <c r="C1742" s="99" t="str">
        <f>IF(B1742="","",IF(NOT(ISNUMBER(B1742)),"DATA_PC invalida",IF(NOT(ISNUMBER(parametros!$C$2)),"Fora dos ciclos",IF(OR(B1742&lt;parametros!$C$2,(YEAR(B1742)-YEAR(parametros!$C$2))*12+MONTH(B1742)-MONTH(parametros!$C$2)&gt;59),"Fora dos ciclos","C"&amp;INT(((YEAR(B1742)-YEAR(parametros!$C$2))*12+MONTH(B1742)-MONTH(parametros!$C$2))/12)))))</f>
        <v/>
      </c>
      <c r="D1742" s="394"/>
      <c r="E1742" s="78" t="str">
        <f>IF(C1742="","",IFERROR(VLOOKUP(C1742,parametros!$A$11:$E$15,5,0),""))</f>
        <v/>
      </c>
      <c r="F1742" s="79" t="str">
        <f t="shared" si="137"/>
        <v/>
      </c>
      <c r="G1742" s="395"/>
      <c r="H1742" s="91">
        <f t="shared" si="138"/>
        <v>0</v>
      </c>
      <c r="I1742" s="91" t="str">
        <f t="shared" si="139"/>
        <v/>
      </c>
      <c r="J1742" s="91" t="str">
        <f t="shared" si="140"/>
        <v/>
      </c>
      <c r="K1742" s="92" t="str">
        <f>IF(AND(A1742="",B1742="",D1742="",G1742=""),"",IF(AND(A1742&lt;&gt;"",COUNTIF($A$2:$A$5001,A1742)&gt;1),"NUMERO_PC duplicado",IF(B1742="","DATA_PC vazia",IF(NOT(ISNUMBER(B1742)),"DATA_PC invalida",IF(OR(C1742="",C1742="Fora dos ciclos"),"CICLO_PC nao identificado",IF(OR(D1742="",D1742=0),"VALOR_PC vazio ou zero",IF(AND(G1742&lt;&gt;"Sim",G1742&lt;&gt;"Nao",G1742&lt;&gt;""),"PC_PAGO_A_CONTRATADA invalido",IF(AND(C1742&lt;&gt;"C0",IFERROR(INDEX(parametros!$A$2:$A$6,MATCH(C1742,parametros!$B$2:$B$6,0)),"")="Sim",IFERROR(INDEX(parametros!$H$2:$H$6,MATCH(C1742,parametros!$B$2:$B$6,0)),"")=""),"INICIO_EFEITO ausente: PC "&amp;A1742&amp;" - "&amp;C1742,IF(L1742="","EFEITO_PC nao calculado: PC "&amp;A1742&amp;" - "&amp;C1742,"OK")))))))))</f>
        <v/>
      </c>
      <c r="L1742" s="92" t="str">
        <f>IF(AND(A1742="",B1742="",D1742="",G1742=""),"",IF(OR(B1742="",NOT(ISNUMBER(B1742)),C1742="",C1742="Fora dos ciclos"),"",IF(C1742="C0","Nao",IF(IFERROR(INDEX(parametros!$A$2:$A$6,MATCH(C1742,parametros!$B$2:$B$6,0)),"")&lt;&gt;"Sim","Nao",IF(IFERROR(INDEX(parametros!$H$2:$H$6,MATCH(C1742,parametros!$B$2:$B$6,0)),"")="","",IF(B1742&gt;=IFERROR(INDEX(parametros!$H$2:$H$6,MATCH(C1742,parametros!$B$2:$B$6,0)),""),"Sim","Nao"))))))</f>
        <v/>
      </c>
      <c r="T1742" s="156"/>
      <c r="U1742" s="214" t="str">
        <f t="shared" si="141"/>
        <v/>
      </c>
      <c r="V1742" s="212" t="s">
        <v>50</v>
      </c>
      <c r="W1742" s="100" t="s">
        <v>168</v>
      </c>
      <c r="X1742" s="100" t="s">
        <v>169</v>
      </c>
      <c r="Y1742" s="101" t="s">
        <v>170</v>
      </c>
      <c r="Z1742" s="101" t="s">
        <v>171</v>
      </c>
      <c r="AA1742" s="101" t="s">
        <v>50</v>
      </c>
      <c r="AB1742" s="101" t="s">
        <v>172</v>
      </c>
      <c r="AC1742" s="102" t="s">
        <v>173</v>
      </c>
    </row>
    <row r="1743" spans="1:29" ht="25.5" customHeight="1" x14ac:dyDescent="0.35">
      <c r="A1743" s="392"/>
      <c r="B1743" s="393"/>
      <c r="C1743" s="99" t="str">
        <f>IF(B1743="","",IF(NOT(ISNUMBER(B1743)),"DATA_PC invalida",IF(NOT(ISNUMBER(parametros!$C$2)),"Fora dos ciclos",IF(OR(B1743&lt;parametros!$C$2,(YEAR(B1743)-YEAR(parametros!$C$2))*12+MONTH(B1743)-MONTH(parametros!$C$2)&gt;59),"Fora dos ciclos","C"&amp;INT(((YEAR(B1743)-YEAR(parametros!$C$2))*12+MONTH(B1743)-MONTH(parametros!$C$2))/12)))))</f>
        <v/>
      </c>
      <c r="D1743" s="394"/>
      <c r="E1743" s="78" t="str">
        <f>IF(C1743="","",IFERROR(VLOOKUP(C1743,parametros!$A$11:$E$15,5,0),""))</f>
        <v/>
      </c>
      <c r="F1743" s="79" t="str">
        <f t="shared" si="137"/>
        <v/>
      </c>
      <c r="G1743" s="395"/>
      <c r="H1743" s="91">
        <f t="shared" si="138"/>
        <v>0</v>
      </c>
      <c r="I1743" s="91" t="str">
        <f t="shared" si="139"/>
        <v/>
      </c>
      <c r="J1743" s="91" t="str">
        <f t="shared" si="140"/>
        <v/>
      </c>
      <c r="K1743" s="92" t="str">
        <f>IF(AND(A1743="",B1743="",D1743="",G1743=""),"",IF(AND(A1743&lt;&gt;"",COUNTIF($A$2:$A$5001,A1743)&gt;1),"NUMERO_PC duplicado",IF(B1743="","DATA_PC vazia",IF(NOT(ISNUMBER(B1743)),"DATA_PC invalida",IF(OR(C1743="",C1743="Fora dos ciclos"),"CICLO_PC nao identificado",IF(OR(D1743="",D1743=0),"VALOR_PC vazio ou zero",IF(AND(G1743&lt;&gt;"Sim",G1743&lt;&gt;"Nao",G1743&lt;&gt;""),"PC_PAGO_A_CONTRATADA invalido",IF(AND(C1743&lt;&gt;"C0",IFERROR(INDEX(parametros!$A$2:$A$6,MATCH(C1743,parametros!$B$2:$B$6,0)),"")="Sim",IFERROR(INDEX(parametros!$H$2:$H$6,MATCH(C1743,parametros!$B$2:$B$6,0)),"")=""),"INICIO_EFEITO ausente: PC "&amp;A1743&amp;" - "&amp;C1743,IF(L1743="","EFEITO_PC nao calculado: PC "&amp;A1743&amp;" - "&amp;C1743,"OK")))))))))</f>
        <v/>
      </c>
      <c r="L1743" s="92" t="str">
        <f>IF(AND(A1743="",B1743="",D1743="",G1743=""),"",IF(OR(B1743="",NOT(ISNUMBER(B1743)),C1743="",C1743="Fora dos ciclos"),"",IF(C1743="C0","Nao",IF(IFERROR(INDEX(parametros!$A$2:$A$6,MATCH(C1743,parametros!$B$2:$B$6,0)),"")&lt;&gt;"Sim","Nao",IF(IFERROR(INDEX(parametros!$H$2:$H$6,MATCH(C1743,parametros!$B$2:$B$6,0)),"")="","",IF(B1743&gt;=IFERROR(INDEX(parametros!$H$2:$H$6,MATCH(C1743,parametros!$B$2:$B$6,0)),""),"Sim","Nao"))))))</f>
        <v/>
      </c>
      <c r="T1743" s="156"/>
      <c r="U1743" s="214" t="str">
        <f t="shared" si="141"/>
        <v/>
      </c>
      <c r="V1743" s="212" t="s">
        <v>50</v>
      </c>
      <c r="W1743" s="100" t="s">
        <v>168</v>
      </c>
      <c r="X1743" s="100" t="s">
        <v>169</v>
      </c>
      <c r="Y1743" s="101" t="s">
        <v>170</v>
      </c>
      <c r="Z1743" s="101" t="s">
        <v>171</v>
      </c>
      <c r="AA1743" s="101" t="s">
        <v>50</v>
      </c>
      <c r="AB1743" s="101" t="s">
        <v>172</v>
      </c>
      <c r="AC1743" s="102" t="s">
        <v>173</v>
      </c>
    </row>
    <row r="1744" spans="1:29" ht="25.5" customHeight="1" x14ac:dyDescent="0.35">
      <c r="A1744" s="392"/>
      <c r="B1744" s="393"/>
      <c r="C1744" s="99" t="str">
        <f>IF(B1744="","",IF(NOT(ISNUMBER(B1744)),"DATA_PC invalida",IF(NOT(ISNUMBER(parametros!$C$2)),"Fora dos ciclos",IF(OR(B1744&lt;parametros!$C$2,(YEAR(B1744)-YEAR(parametros!$C$2))*12+MONTH(B1744)-MONTH(parametros!$C$2)&gt;59),"Fora dos ciclos","C"&amp;INT(((YEAR(B1744)-YEAR(parametros!$C$2))*12+MONTH(B1744)-MONTH(parametros!$C$2))/12)))))</f>
        <v/>
      </c>
      <c r="D1744" s="394"/>
      <c r="E1744" s="78" t="str">
        <f>IF(C1744="","",IFERROR(VLOOKUP(C1744,parametros!$A$11:$E$15,5,0),""))</f>
        <v/>
      </c>
      <c r="F1744" s="79" t="str">
        <f t="shared" si="137"/>
        <v/>
      </c>
      <c r="G1744" s="395"/>
      <c r="H1744" s="91">
        <f t="shared" si="138"/>
        <v>0</v>
      </c>
      <c r="I1744" s="91" t="str">
        <f t="shared" si="139"/>
        <v/>
      </c>
      <c r="J1744" s="91" t="str">
        <f t="shared" si="140"/>
        <v/>
      </c>
      <c r="K1744" s="92" t="str">
        <f>IF(AND(A1744="",B1744="",D1744="",G1744=""),"",IF(AND(A1744&lt;&gt;"",COUNTIF($A$2:$A$5001,A1744)&gt;1),"NUMERO_PC duplicado",IF(B1744="","DATA_PC vazia",IF(NOT(ISNUMBER(B1744)),"DATA_PC invalida",IF(OR(C1744="",C1744="Fora dos ciclos"),"CICLO_PC nao identificado",IF(OR(D1744="",D1744=0),"VALOR_PC vazio ou zero",IF(AND(G1744&lt;&gt;"Sim",G1744&lt;&gt;"Nao",G1744&lt;&gt;""),"PC_PAGO_A_CONTRATADA invalido",IF(AND(C1744&lt;&gt;"C0",IFERROR(INDEX(parametros!$A$2:$A$6,MATCH(C1744,parametros!$B$2:$B$6,0)),"")="Sim",IFERROR(INDEX(parametros!$H$2:$H$6,MATCH(C1744,parametros!$B$2:$B$6,0)),"")=""),"INICIO_EFEITO ausente: PC "&amp;A1744&amp;" - "&amp;C1744,IF(L1744="","EFEITO_PC nao calculado: PC "&amp;A1744&amp;" - "&amp;C1744,"OK")))))))))</f>
        <v/>
      </c>
      <c r="L1744" s="92" t="str">
        <f>IF(AND(A1744="",B1744="",D1744="",G1744=""),"",IF(OR(B1744="",NOT(ISNUMBER(B1744)),C1744="",C1744="Fora dos ciclos"),"",IF(C1744="C0","Nao",IF(IFERROR(INDEX(parametros!$A$2:$A$6,MATCH(C1744,parametros!$B$2:$B$6,0)),"")&lt;&gt;"Sim","Nao",IF(IFERROR(INDEX(parametros!$H$2:$H$6,MATCH(C1744,parametros!$B$2:$B$6,0)),"")="","",IF(B1744&gt;=IFERROR(INDEX(parametros!$H$2:$H$6,MATCH(C1744,parametros!$B$2:$B$6,0)),""),"Sim","Nao"))))))</f>
        <v/>
      </c>
      <c r="T1744" s="156"/>
      <c r="U1744" s="214" t="str">
        <f t="shared" si="141"/>
        <v/>
      </c>
      <c r="V1744" s="212" t="s">
        <v>50</v>
      </c>
      <c r="W1744" s="100" t="s">
        <v>168</v>
      </c>
      <c r="X1744" s="100" t="s">
        <v>169</v>
      </c>
      <c r="Y1744" s="101" t="s">
        <v>170</v>
      </c>
      <c r="Z1744" s="101" t="s">
        <v>171</v>
      </c>
      <c r="AA1744" s="101" t="s">
        <v>50</v>
      </c>
      <c r="AB1744" s="101" t="s">
        <v>172</v>
      </c>
      <c r="AC1744" s="102" t="s">
        <v>173</v>
      </c>
    </row>
    <row r="1745" spans="1:29" ht="25.5" customHeight="1" x14ac:dyDescent="0.35">
      <c r="A1745" s="392"/>
      <c r="B1745" s="393"/>
      <c r="C1745" s="99" t="str">
        <f>IF(B1745="","",IF(NOT(ISNUMBER(B1745)),"DATA_PC invalida",IF(NOT(ISNUMBER(parametros!$C$2)),"Fora dos ciclos",IF(OR(B1745&lt;parametros!$C$2,(YEAR(B1745)-YEAR(parametros!$C$2))*12+MONTH(B1745)-MONTH(parametros!$C$2)&gt;59),"Fora dos ciclos","C"&amp;INT(((YEAR(B1745)-YEAR(parametros!$C$2))*12+MONTH(B1745)-MONTH(parametros!$C$2))/12)))))</f>
        <v/>
      </c>
      <c r="D1745" s="394"/>
      <c r="E1745" s="78" t="str">
        <f>IF(C1745="","",IFERROR(VLOOKUP(C1745,parametros!$A$11:$E$15,5,0),""))</f>
        <v/>
      </c>
      <c r="F1745" s="79" t="str">
        <f t="shared" si="137"/>
        <v/>
      </c>
      <c r="G1745" s="395"/>
      <c r="H1745" s="91">
        <f t="shared" si="138"/>
        <v>0</v>
      </c>
      <c r="I1745" s="91" t="str">
        <f t="shared" si="139"/>
        <v/>
      </c>
      <c r="J1745" s="91" t="str">
        <f t="shared" si="140"/>
        <v/>
      </c>
      <c r="K1745" s="92" t="str">
        <f>IF(AND(A1745="",B1745="",D1745="",G1745=""),"",IF(AND(A1745&lt;&gt;"",COUNTIF($A$2:$A$5001,A1745)&gt;1),"NUMERO_PC duplicado",IF(B1745="","DATA_PC vazia",IF(NOT(ISNUMBER(B1745)),"DATA_PC invalida",IF(OR(C1745="",C1745="Fora dos ciclos"),"CICLO_PC nao identificado",IF(OR(D1745="",D1745=0),"VALOR_PC vazio ou zero",IF(AND(G1745&lt;&gt;"Sim",G1745&lt;&gt;"Nao",G1745&lt;&gt;""),"PC_PAGO_A_CONTRATADA invalido",IF(AND(C1745&lt;&gt;"C0",IFERROR(INDEX(parametros!$A$2:$A$6,MATCH(C1745,parametros!$B$2:$B$6,0)),"")="Sim",IFERROR(INDEX(parametros!$H$2:$H$6,MATCH(C1745,parametros!$B$2:$B$6,0)),"")=""),"INICIO_EFEITO ausente: PC "&amp;A1745&amp;" - "&amp;C1745,IF(L1745="","EFEITO_PC nao calculado: PC "&amp;A1745&amp;" - "&amp;C1745,"OK")))))))))</f>
        <v/>
      </c>
      <c r="L1745" s="92" t="str">
        <f>IF(AND(A1745="",B1745="",D1745="",G1745=""),"",IF(OR(B1745="",NOT(ISNUMBER(B1745)),C1745="",C1745="Fora dos ciclos"),"",IF(C1745="C0","Nao",IF(IFERROR(INDEX(parametros!$A$2:$A$6,MATCH(C1745,parametros!$B$2:$B$6,0)),"")&lt;&gt;"Sim","Nao",IF(IFERROR(INDEX(parametros!$H$2:$H$6,MATCH(C1745,parametros!$B$2:$B$6,0)),"")="","",IF(B1745&gt;=IFERROR(INDEX(parametros!$H$2:$H$6,MATCH(C1745,parametros!$B$2:$B$6,0)),""),"Sim","Nao"))))))</f>
        <v/>
      </c>
      <c r="T1745" s="156"/>
      <c r="U1745" s="214" t="str">
        <f t="shared" si="141"/>
        <v/>
      </c>
      <c r="V1745" s="212" t="s">
        <v>50</v>
      </c>
      <c r="W1745" s="100" t="s">
        <v>168</v>
      </c>
      <c r="X1745" s="100" t="s">
        <v>169</v>
      </c>
      <c r="Y1745" s="101" t="s">
        <v>170</v>
      </c>
      <c r="Z1745" s="101" t="s">
        <v>171</v>
      </c>
      <c r="AA1745" s="101" t="s">
        <v>50</v>
      </c>
      <c r="AB1745" s="101" t="s">
        <v>172</v>
      </c>
      <c r="AC1745" s="102" t="s">
        <v>173</v>
      </c>
    </row>
    <row r="1746" spans="1:29" ht="25.5" customHeight="1" x14ac:dyDescent="0.35">
      <c r="A1746" s="392"/>
      <c r="B1746" s="393"/>
      <c r="C1746" s="99" t="str">
        <f>IF(B1746="","",IF(NOT(ISNUMBER(B1746)),"DATA_PC invalida",IF(NOT(ISNUMBER(parametros!$C$2)),"Fora dos ciclos",IF(OR(B1746&lt;parametros!$C$2,(YEAR(B1746)-YEAR(parametros!$C$2))*12+MONTH(B1746)-MONTH(parametros!$C$2)&gt;59),"Fora dos ciclos","C"&amp;INT(((YEAR(B1746)-YEAR(parametros!$C$2))*12+MONTH(B1746)-MONTH(parametros!$C$2))/12)))))</f>
        <v/>
      </c>
      <c r="D1746" s="394"/>
      <c r="E1746" s="78" t="str">
        <f>IF(C1746="","",IFERROR(VLOOKUP(C1746,parametros!$A$11:$E$15,5,0),""))</f>
        <v/>
      </c>
      <c r="F1746" s="79" t="str">
        <f t="shared" si="137"/>
        <v/>
      </c>
      <c r="G1746" s="395"/>
      <c r="H1746" s="91">
        <f t="shared" si="138"/>
        <v>0</v>
      </c>
      <c r="I1746" s="91" t="str">
        <f t="shared" si="139"/>
        <v/>
      </c>
      <c r="J1746" s="91" t="str">
        <f t="shared" si="140"/>
        <v/>
      </c>
      <c r="K1746" s="92" t="str">
        <f>IF(AND(A1746="",B1746="",D1746="",G1746=""),"",IF(AND(A1746&lt;&gt;"",COUNTIF($A$2:$A$5001,A1746)&gt;1),"NUMERO_PC duplicado",IF(B1746="","DATA_PC vazia",IF(NOT(ISNUMBER(B1746)),"DATA_PC invalida",IF(OR(C1746="",C1746="Fora dos ciclos"),"CICLO_PC nao identificado",IF(OR(D1746="",D1746=0),"VALOR_PC vazio ou zero",IF(AND(G1746&lt;&gt;"Sim",G1746&lt;&gt;"Nao",G1746&lt;&gt;""),"PC_PAGO_A_CONTRATADA invalido",IF(AND(C1746&lt;&gt;"C0",IFERROR(INDEX(parametros!$A$2:$A$6,MATCH(C1746,parametros!$B$2:$B$6,0)),"")="Sim",IFERROR(INDEX(parametros!$H$2:$H$6,MATCH(C1746,parametros!$B$2:$B$6,0)),"")=""),"INICIO_EFEITO ausente: PC "&amp;A1746&amp;" - "&amp;C1746,IF(L1746="","EFEITO_PC nao calculado: PC "&amp;A1746&amp;" - "&amp;C1746,"OK")))))))))</f>
        <v/>
      </c>
      <c r="L1746" s="92" t="str">
        <f>IF(AND(A1746="",B1746="",D1746="",G1746=""),"",IF(OR(B1746="",NOT(ISNUMBER(B1746)),C1746="",C1746="Fora dos ciclos"),"",IF(C1746="C0","Nao",IF(IFERROR(INDEX(parametros!$A$2:$A$6,MATCH(C1746,parametros!$B$2:$B$6,0)),"")&lt;&gt;"Sim","Nao",IF(IFERROR(INDEX(parametros!$H$2:$H$6,MATCH(C1746,parametros!$B$2:$B$6,0)),"")="","",IF(B1746&gt;=IFERROR(INDEX(parametros!$H$2:$H$6,MATCH(C1746,parametros!$B$2:$B$6,0)),""),"Sim","Nao"))))))</f>
        <v/>
      </c>
      <c r="T1746" s="156"/>
      <c r="U1746" s="214" t="str">
        <f t="shared" si="141"/>
        <v/>
      </c>
      <c r="V1746" s="212" t="s">
        <v>50</v>
      </c>
      <c r="W1746" s="100" t="s">
        <v>168</v>
      </c>
      <c r="X1746" s="100" t="s">
        <v>169</v>
      </c>
      <c r="Y1746" s="101" t="s">
        <v>170</v>
      </c>
      <c r="Z1746" s="101" t="s">
        <v>171</v>
      </c>
      <c r="AA1746" s="101" t="s">
        <v>50</v>
      </c>
      <c r="AB1746" s="101" t="s">
        <v>172</v>
      </c>
      <c r="AC1746" s="102" t="s">
        <v>173</v>
      </c>
    </row>
    <row r="1747" spans="1:29" ht="25.5" customHeight="1" x14ac:dyDescent="0.35">
      <c r="A1747" s="392"/>
      <c r="B1747" s="393"/>
      <c r="C1747" s="99" t="str">
        <f>IF(B1747="","",IF(NOT(ISNUMBER(B1747)),"DATA_PC invalida",IF(NOT(ISNUMBER(parametros!$C$2)),"Fora dos ciclos",IF(OR(B1747&lt;parametros!$C$2,(YEAR(B1747)-YEAR(parametros!$C$2))*12+MONTH(B1747)-MONTH(parametros!$C$2)&gt;59),"Fora dos ciclos","C"&amp;INT(((YEAR(B1747)-YEAR(parametros!$C$2))*12+MONTH(B1747)-MONTH(parametros!$C$2))/12)))))</f>
        <v/>
      </c>
      <c r="D1747" s="394"/>
      <c r="E1747" s="78" t="str">
        <f>IF(C1747="","",IFERROR(VLOOKUP(C1747,parametros!$A$11:$E$15,5,0),""))</f>
        <v/>
      </c>
      <c r="F1747" s="79" t="str">
        <f t="shared" si="137"/>
        <v/>
      </c>
      <c r="G1747" s="395"/>
      <c r="H1747" s="91">
        <f t="shared" si="138"/>
        <v>0</v>
      </c>
      <c r="I1747" s="91" t="str">
        <f t="shared" si="139"/>
        <v/>
      </c>
      <c r="J1747" s="91" t="str">
        <f t="shared" si="140"/>
        <v/>
      </c>
      <c r="K1747" s="92" t="str">
        <f>IF(AND(A1747="",B1747="",D1747="",G1747=""),"",IF(AND(A1747&lt;&gt;"",COUNTIF($A$2:$A$5001,A1747)&gt;1),"NUMERO_PC duplicado",IF(B1747="","DATA_PC vazia",IF(NOT(ISNUMBER(B1747)),"DATA_PC invalida",IF(OR(C1747="",C1747="Fora dos ciclos"),"CICLO_PC nao identificado",IF(OR(D1747="",D1747=0),"VALOR_PC vazio ou zero",IF(AND(G1747&lt;&gt;"Sim",G1747&lt;&gt;"Nao",G1747&lt;&gt;""),"PC_PAGO_A_CONTRATADA invalido",IF(AND(C1747&lt;&gt;"C0",IFERROR(INDEX(parametros!$A$2:$A$6,MATCH(C1747,parametros!$B$2:$B$6,0)),"")="Sim",IFERROR(INDEX(parametros!$H$2:$H$6,MATCH(C1747,parametros!$B$2:$B$6,0)),"")=""),"INICIO_EFEITO ausente: PC "&amp;A1747&amp;" - "&amp;C1747,IF(L1747="","EFEITO_PC nao calculado: PC "&amp;A1747&amp;" - "&amp;C1747,"OK")))))))))</f>
        <v/>
      </c>
      <c r="L1747" s="92" t="str">
        <f>IF(AND(A1747="",B1747="",D1747="",G1747=""),"",IF(OR(B1747="",NOT(ISNUMBER(B1747)),C1747="",C1747="Fora dos ciclos"),"",IF(C1747="C0","Nao",IF(IFERROR(INDEX(parametros!$A$2:$A$6,MATCH(C1747,parametros!$B$2:$B$6,0)),"")&lt;&gt;"Sim","Nao",IF(IFERROR(INDEX(parametros!$H$2:$H$6,MATCH(C1747,parametros!$B$2:$B$6,0)),"")="","",IF(B1747&gt;=IFERROR(INDEX(parametros!$H$2:$H$6,MATCH(C1747,parametros!$B$2:$B$6,0)),""),"Sim","Nao"))))))</f>
        <v/>
      </c>
      <c r="T1747" s="156"/>
      <c r="U1747" s="214" t="str">
        <f t="shared" si="141"/>
        <v/>
      </c>
      <c r="V1747" s="212" t="s">
        <v>50</v>
      </c>
      <c r="W1747" s="100" t="s">
        <v>168</v>
      </c>
      <c r="X1747" s="100" t="s">
        <v>169</v>
      </c>
      <c r="Y1747" s="101" t="s">
        <v>170</v>
      </c>
      <c r="Z1747" s="101" t="s">
        <v>171</v>
      </c>
      <c r="AA1747" s="101" t="s">
        <v>50</v>
      </c>
      <c r="AB1747" s="101" t="s">
        <v>172</v>
      </c>
      <c r="AC1747" s="102" t="s">
        <v>173</v>
      </c>
    </row>
    <row r="1748" spans="1:29" ht="25.5" customHeight="1" x14ac:dyDescent="0.35">
      <c r="A1748" s="392"/>
      <c r="B1748" s="393"/>
      <c r="C1748" s="99" t="str">
        <f>IF(B1748="","",IF(NOT(ISNUMBER(B1748)),"DATA_PC invalida",IF(NOT(ISNUMBER(parametros!$C$2)),"Fora dos ciclos",IF(OR(B1748&lt;parametros!$C$2,(YEAR(B1748)-YEAR(parametros!$C$2))*12+MONTH(B1748)-MONTH(parametros!$C$2)&gt;59),"Fora dos ciclos","C"&amp;INT(((YEAR(B1748)-YEAR(parametros!$C$2))*12+MONTH(B1748)-MONTH(parametros!$C$2))/12)))))</f>
        <v/>
      </c>
      <c r="D1748" s="394"/>
      <c r="E1748" s="78" t="str">
        <f>IF(C1748="","",IFERROR(VLOOKUP(C1748,parametros!$A$11:$E$15,5,0),""))</f>
        <v/>
      </c>
      <c r="F1748" s="79" t="str">
        <f t="shared" si="137"/>
        <v/>
      </c>
      <c r="G1748" s="395"/>
      <c r="H1748" s="91">
        <f t="shared" si="138"/>
        <v>0</v>
      </c>
      <c r="I1748" s="91" t="str">
        <f t="shared" si="139"/>
        <v/>
      </c>
      <c r="J1748" s="91" t="str">
        <f t="shared" si="140"/>
        <v/>
      </c>
      <c r="K1748" s="92" t="str">
        <f>IF(AND(A1748="",B1748="",D1748="",G1748=""),"",IF(AND(A1748&lt;&gt;"",COUNTIF($A$2:$A$5001,A1748)&gt;1),"NUMERO_PC duplicado",IF(B1748="","DATA_PC vazia",IF(NOT(ISNUMBER(B1748)),"DATA_PC invalida",IF(OR(C1748="",C1748="Fora dos ciclos"),"CICLO_PC nao identificado",IF(OR(D1748="",D1748=0),"VALOR_PC vazio ou zero",IF(AND(G1748&lt;&gt;"Sim",G1748&lt;&gt;"Nao",G1748&lt;&gt;""),"PC_PAGO_A_CONTRATADA invalido",IF(AND(C1748&lt;&gt;"C0",IFERROR(INDEX(parametros!$A$2:$A$6,MATCH(C1748,parametros!$B$2:$B$6,0)),"")="Sim",IFERROR(INDEX(parametros!$H$2:$H$6,MATCH(C1748,parametros!$B$2:$B$6,0)),"")=""),"INICIO_EFEITO ausente: PC "&amp;A1748&amp;" - "&amp;C1748,IF(L1748="","EFEITO_PC nao calculado: PC "&amp;A1748&amp;" - "&amp;C1748,"OK")))))))))</f>
        <v/>
      </c>
      <c r="L1748" s="92" t="str">
        <f>IF(AND(A1748="",B1748="",D1748="",G1748=""),"",IF(OR(B1748="",NOT(ISNUMBER(B1748)),C1748="",C1748="Fora dos ciclos"),"",IF(C1748="C0","Nao",IF(IFERROR(INDEX(parametros!$A$2:$A$6,MATCH(C1748,parametros!$B$2:$B$6,0)),"")&lt;&gt;"Sim","Nao",IF(IFERROR(INDEX(parametros!$H$2:$H$6,MATCH(C1748,parametros!$B$2:$B$6,0)),"")="","",IF(B1748&gt;=IFERROR(INDEX(parametros!$H$2:$H$6,MATCH(C1748,parametros!$B$2:$B$6,0)),""),"Sim","Nao"))))))</f>
        <v/>
      </c>
      <c r="T1748" s="156"/>
      <c r="U1748" s="214" t="str">
        <f t="shared" si="141"/>
        <v/>
      </c>
      <c r="V1748" s="212" t="s">
        <v>50</v>
      </c>
      <c r="W1748" s="100" t="s">
        <v>168</v>
      </c>
      <c r="X1748" s="100" t="s">
        <v>169</v>
      </c>
      <c r="Y1748" s="101" t="s">
        <v>170</v>
      </c>
      <c r="Z1748" s="101" t="s">
        <v>171</v>
      </c>
      <c r="AA1748" s="101" t="s">
        <v>50</v>
      </c>
      <c r="AB1748" s="101" t="s">
        <v>172</v>
      </c>
      <c r="AC1748" s="102" t="s">
        <v>173</v>
      </c>
    </row>
    <row r="1749" spans="1:29" ht="25.5" customHeight="1" x14ac:dyDescent="0.35">
      <c r="A1749" s="392"/>
      <c r="B1749" s="393"/>
      <c r="C1749" s="99" t="str">
        <f>IF(B1749="","",IF(NOT(ISNUMBER(B1749)),"DATA_PC invalida",IF(NOT(ISNUMBER(parametros!$C$2)),"Fora dos ciclos",IF(OR(B1749&lt;parametros!$C$2,(YEAR(B1749)-YEAR(parametros!$C$2))*12+MONTH(B1749)-MONTH(parametros!$C$2)&gt;59),"Fora dos ciclos","C"&amp;INT(((YEAR(B1749)-YEAR(parametros!$C$2))*12+MONTH(B1749)-MONTH(parametros!$C$2))/12)))))</f>
        <v/>
      </c>
      <c r="D1749" s="394"/>
      <c r="E1749" s="78" t="str">
        <f>IF(C1749="","",IFERROR(VLOOKUP(C1749,parametros!$A$11:$E$15,5,0),""))</f>
        <v/>
      </c>
      <c r="F1749" s="79" t="str">
        <f t="shared" si="137"/>
        <v/>
      </c>
      <c r="G1749" s="395"/>
      <c r="H1749" s="91">
        <f t="shared" si="138"/>
        <v>0</v>
      </c>
      <c r="I1749" s="91" t="str">
        <f t="shared" si="139"/>
        <v/>
      </c>
      <c r="J1749" s="91" t="str">
        <f t="shared" si="140"/>
        <v/>
      </c>
      <c r="K1749" s="92" t="str">
        <f>IF(AND(A1749="",B1749="",D1749="",G1749=""),"",IF(AND(A1749&lt;&gt;"",COUNTIF($A$2:$A$5001,A1749)&gt;1),"NUMERO_PC duplicado",IF(B1749="","DATA_PC vazia",IF(NOT(ISNUMBER(B1749)),"DATA_PC invalida",IF(OR(C1749="",C1749="Fora dos ciclos"),"CICLO_PC nao identificado",IF(OR(D1749="",D1749=0),"VALOR_PC vazio ou zero",IF(AND(G1749&lt;&gt;"Sim",G1749&lt;&gt;"Nao",G1749&lt;&gt;""),"PC_PAGO_A_CONTRATADA invalido",IF(AND(C1749&lt;&gt;"C0",IFERROR(INDEX(parametros!$A$2:$A$6,MATCH(C1749,parametros!$B$2:$B$6,0)),"")="Sim",IFERROR(INDEX(parametros!$H$2:$H$6,MATCH(C1749,parametros!$B$2:$B$6,0)),"")=""),"INICIO_EFEITO ausente: PC "&amp;A1749&amp;" - "&amp;C1749,IF(L1749="","EFEITO_PC nao calculado: PC "&amp;A1749&amp;" - "&amp;C1749,"OK")))))))))</f>
        <v/>
      </c>
      <c r="L1749" s="92" t="str">
        <f>IF(AND(A1749="",B1749="",D1749="",G1749=""),"",IF(OR(B1749="",NOT(ISNUMBER(B1749)),C1749="",C1749="Fora dos ciclos"),"",IF(C1749="C0","Nao",IF(IFERROR(INDEX(parametros!$A$2:$A$6,MATCH(C1749,parametros!$B$2:$B$6,0)),"")&lt;&gt;"Sim","Nao",IF(IFERROR(INDEX(parametros!$H$2:$H$6,MATCH(C1749,parametros!$B$2:$B$6,0)),"")="","",IF(B1749&gt;=IFERROR(INDEX(parametros!$H$2:$H$6,MATCH(C1749,parametros!$B$2:$B$6,0)),""),"Sim","Nao"))))))</f>
        <v/>
      </c>
      <c r="T1749" s="156"/>
      <c r="U1749" s="214" t="str">
        <f t="shared" si="141"/>
        <v/>
      </c>
      <c r="V1749" s="212" t="s">
        <v>50</v>
      </c>
      <c r="W1749" s="100" t="s">
        <v>168</v>
      </c>
      <c r="X1749" s="100" t="s">
        <v>169</v>
      </c>
      <c r="Y1749" s="101" t="s">
        <v>170</v>
      </c>
      <c r="Z1749" s="101" t="s">
        <v>171</v>
      </c>
      <c r="AA1749" s="101" t="s">
        <v>50</v>
      </c>
      <c r="AB1749" s="101" t="s">
        <v>172</v>
      </c>
      <c r="AC1749" s="102" t="s">
        <v>173</v>
      </c>
    </row>
    <row r="1750" spans="1:29" ht="25.5" customHeight="1" x14ac:dyDescent="0.35">
      <c r="A1750" s="392"/>
      <c r="B1750" s="393"/>
      <c r="C1750" s="99" t="str">
        <f>IF(B1750="","",IF(NOT(ISNUMBER(B1750)),"DATA_PC invalida",IF(NOT(ISNUMBER(parametros!$C$2)),"Fora dos ciclos",IF(OR(B1750&lt;parametros!$C$2,(YEAR(B1750)-YEAR(parametros!$C$2))*12+MONTH(B1750)-MONTH(parametros!$C$2)&gt;59),"Fora dos ciclos","C"&amp;INT(((YEAR(B1750)-YEAR(parametros!$C$2))*12+MONTH(B1750)-MONTH(parametros!$C$2))/12)))))</f>
        <v/>
      </c>
      <c r="D1750" s="394"/>
      <c r="E1750" s="78" t="str">
        <f>IF(C1750="","",IFERROR(VLOOKUP(C1750,parametros!$A$11:$E$15,5,0),""))</f>
        <v/>
      </c>
      <c r="F1750" s="79" t="str">
        <f t="shared" si="137"/>
        <v/>
      </c>
      <c r="G1750" s="395"/>
      <c r="H1750" s="91">
        <f t="shared" si="138"/>
        <v>0</v>
      </c>
      <c r="I1750" s="91" t="str">
        <f t="shared" si="139"/>
        <v/>
      </c>
      <c r="J1750" s="91" t="str">
        <f t="shared" si="140"/>
        <v/>
      </c>
      <c r="K1750" s="92" t="str">
        <f>IF(AND(A1750="",B1750="",D1750="",G1750=""),"",IF(AND(A1750&lt;&gt;"",COUNTIF($A$2:$A$5001,A1750)&gt;1),"NUMERO_PC duplicado",IF(B1750="","DATA_PC vazia",IF(NOT(ISNUMBER(B1750)),"DATA_PC invalida",IF(OR(C1750="",C1750="Fora dos ciclos"),"CICLO_PC nao identificado",IF(OR(D1750="",D1750=0),"VALOR_PC vazio ou zero",IF(AND(G1750&lt;&gt;"Sim",G1750&lt;&gt;"Nao",G1750&lt;&gt;""),"PC_PAGO_A_CONTRATADA invalido",IF(AND(C1750&lt;&gt;"C0",IFERROR(INDEX(parametros!$A$2:$A$6,MATCH(C1750,parametros!$B$2:$B$6,0)),"")="Sim",IFERROR(INDEX(parametros!$H$2:$H$6,MATCH(C1750,parametros!$B$2:$B$6,0)),"")=""),"INICIO_EFEITO ausente: PC "&amp;A1750&amp;" - "&amp;C1750,IF(L1750="","EFEITO_PC nao calculado: PC "&amp;A1750&amp;" - "&amp;C1750,"OK")))))))))</f>
        <v/>
      </c>
      <c r="L1750" s="92" t="str">
        <f>IF(AND(A1750="",B1750="",D1750="",G1750=""),"",IF(OR(B1750="",NOT(ISNUMBER(B1750)),C1750="",C1750="Fora dos ciclos"),"",IF(C1750="C0","Nao",IF(IFERROR(INDEX(parametros!$A$2:$A$6,MATCH(C1750,parametros!$B$2:$B$6,0)),"")&lt;&gt;"Sim","Nao",IF(IFERROR(INDEX(parametros!$H$2:$H$6,MATCH(C1750,parametros!$B$2:$B$6,0)),"")="","",IF(B1750&gt;=IFERROR(INDEX(parametros!$H$2:$H$6,MATCH(C1750,parametros!$B$2:$B$6,0)),""),"Sim","Nao"))))))</f>
        <v/>
      </c>
      <c r="T1750" s="156"/>
      <c r="U1750" s="214" t="str">
        <f t="shared" si="141"/>
        <v/>
      </c>
      <c r="V1750" s="212" t="s">
        <v>50</v>
      </c>
      <c r="W1750" s="100" t="s">
        <v>168</v>
      </c>
      <c r="X1750" s="100" t="s">
        <v>169</v>
      </c>
      <c r="Y1750" s="101" t="s">
        <v>170</v>
      </c>
      <c r="Z1750" s="101" t="s">
        <v>171</v>
      </c>
      <c r="AA1750" s="101" t="s">
        <v>50</v>
      </c>
      <c r="AB1750" s="101" t="s">
        <v>172</v>
      </c>
      <c r="AC1750" s="102" t="s">
        <v>173</v>
      </c>
    </row>
    <row r="1751" spans="1:29" ht="25.5" customHeight="1" x14ac:dyDescent="0.35">
      <c r="A1751" s="392"/>
      <c r="B1751" s="393"/>
      <c r="C1751" s="99" t="str">
        <f>IF(B1751="","",IF(NOT(ISNUMBER(B1751)),"DATA_PC invalida",IF(NOT(ISNUMBER(parametros!$C$2)),"Fora dos ciclos",IF(OR(B1751&lt;parametros!$C$2,(YEAR(B1751)-YEAR(parametros!$C$2))*12+MONTH(B1751)-MONTH(parametros!$C$2)&gt;59),"Fora dos ciclos","C"&amp;INT(((YEAR(B1751)-YEAR(parametros!$C$2))*12+MONTH(B1751)-MONTH(parametros!$C$2))/12)))))</f>
        <v/>
      </c>
      <c r="D1751" s="394"/>
      <c r="E1751" s="78" t="str">
        <f>IF(C1751="","",IFERROR(VLOOKUP(C1751,parametros!$A$11:$E$15,5,0),""))</f>
        <v/>
      </c>
      <c r="F1751" s="79" t="str">
        <f t="shared" si="137"/>
        <v/>
      </c>
      <c r="G1751" s="395"/>
      <c r="H1751" s="91">
        <f t="shared" si="138"/>
        <v>0</v>
      </c>
      <c r="I1751" s="91" t="str">
        <f t="shared" si="139"/>
        <v/>
      </c>
      <c r="J1751" s="91" t="str">
        <f t="shared" si="140"/>
        <v/>
      </c>
      <c r="K1751" s="92" t="str">
        <f>IF(AND(A1751="",B1751="",D1751="",G1751=""),"",IF(AND(A1751&lt;&gt;"",COUNTIF($A$2:$A$5001,A1751)&gt;1),"NUMERO_PC duplicado",IF(B1751="","DATA_PC vazia",IF(NOT(ISNUMBER(B1751)),"DATA_PC invalida",IF(OR(C1751="",C1751="Fora dos ciclos"),"CICLO_PC nao identificado",IF(OR(D1751="",D1751=0),"VALOR_PC vazio ou zero",IF(AND(G1751&lt;&gt;"Sim",G1751&lt;&gt;"Nao",G1751&lt;&gt;""),"PC_PAGO_A_CONTRATADA invalido",IF(AND(C1751&lt;&gt;"C0",IFERROR(INDEX(parametros!$A$2:$A$6,MATCH(C1751,parametros!$B$2:$B$6,0)),"")="Sim",IFERROR(INDEX(parametros!$H$2:$H$6,MATCH(C1751,parametros!$B$2:$B$6,0)),"")=""),"INICIO_EFEITO ausente: PC "&amp;A1751&amp;" - "&amp;C1751,IF(L1751="","EFEITO_PC nao calculado: PC "&amp;A1751&amp;" - "&amp;C1751,"OK")))))))))</f>
        <v/>
      </c>
      <c r="L1751" s="92" t="str">
        <f>IF(AND(A1751="",B1751="",D1751="",G1751=""),"",IF(OR(B1751="",NOT(ISNUMBER(B1751)),C1751="",C1751="Fora dos ciclos"),"",IF(C1751="C0","Nao",IF(IFERROR(INDEX(parametros!$A$2:$A$6,MATCH(C1751,parametros!$B$2:$B$6,0)),"")&lt;&gt;"Sim","Nao",IF(IFERROR(INDEX(parametros!$H$2:$H$6,MATCH(C1751,parametros!$B$2:$B$6,0)),"")="","",IF(B1751&gt;=IFERROR(INDEX(parametros!$H$2:$H$6,MATCH(C1751,parametros!$B$2:$B$6,0)),""),"Sim","Nao"))))))</f>
        <v/>
      </c>
      <c r="T1751" s="156"/>
      <c r="U1751" s="214" t="str">
        <f t="shared" si="141"/>
        <v/>
      </c>
      <c r="V1751" s="212" t="s">
        <v>50</v>
      </c>
      <c r="W1751" s="100" t="s">
        <v>168</v>
      </c>
      <c r="X1751" s="100" t="s">
        <v>169</v>
      </c>
      <c r="Y1751" s="101" t="s">
        <v>170</v>
      </c>
      <c r="Z1751" s="101" t="s">
        <v>171</v>
      </c>
      <c r="AA1751" s="101" t="s">
        <v>50</v>
      </c>
      <c r="AB1751" s="101" t="s">
        <v>172</v>
      </c>
      <c r="AC1751" s="102" t="s">
        <v>173</v>
      </c>
    </row>
    <row r="1752" spans="1:29" ht="25.5" customHeight="1" x14ac:dyDescent="0.35">
      <c r="A1752" s="392"/>
      <c r="B1752" s="393"/>
      <c r="C1752" s="99" t="str">
        <f>IF(B1752="","",IF(NOT(ISNUMBER(B1752)),"DATA_PC invalida",IF(NOT(ISNUMBER(parametros!$C$2)),"Fora dos ciclos",IF(OR(B1752&lt;parametros!$C$2,(YEAR(B1752)-YEAR(parametros!$C$2))*12+MONTH(B1752)-MONTH(parametros!$C$2)&gt;59),"Fora dos ciclos","C"&amp;INT(((YEAR(B1752)-YEAR(parametros!$C$2))*12+MONTH(B1752)-MONTH(parametros!$C$2))/12)))))</f>
        <v/>
      </c>
      <c r="D1752" s="394"/>
      <c r="E1752" s="78" t="str">
        <f>IF(C1752="","",IFERROR(VLOOKUP(C1752,parametros!$A$11:$E$15,5,0),""))</f>
        <v/>
      </c>
      <c r="F1752" s="79" t="str">
        <f t="shared" si="137"/>
        <v/>
      </c>
      <c r="G1752" s="395"/>
      <c r="H1752" s="91">
        <f t="shared" si="138"/>
        <v>0</v>
      </c>
      <c r="I1752" s="91" t="str">
        <f t="shared" si="139"/>
        <v/>
      </c>
      <c r="J1752" s="91" t="str">
        <f t="shared" si="140"/>
        <v/>
      </c>
      <c r="K1752" s="92" t="str">
        <f>IF(AND(A1752="",B1752="",D1752="",G1752=""),"",IF(AND(A1752&lt;&gt;"",COUNTIF($A$2:$A$5001,A1752)&gt;1),"NUMERO_PC duplicado",IF(B1752="","DATA_PC vazia",IF(NOT(ISNUMBER(B1752)),"DATA_PC invalida",IF(OR(C1752="",C1752="Fora dos ciclos"),"CICLO_PC nao identificado",IF(OR(D1752="",D1752=0),"VALOR_PC vazio ou zero",IF(AND(G1752&lt;&gt;"Sim",G1752&lt;&gt;"Nao",G1752&lt;&gt;""),"PC_PAGO_A_CONTRATADA invalido",IF(AND(C1752&lt;&gt;"C0",IFERROR(INDEX(parametros!$A$2:$A$6,MATCH(C1752,parametros!$B$2:$B$6,0)),"")="Sim",IFERROR(INDEX(parametros!$H$2:$H$6,MATCH(C1752,parametros!$B$2:$B$6,0)),"")=""),"INICIO_EFEITO ausente: PC "&amp;A1752&amp;" - "&amp;C1752,IF(L1752="","EFEITO_PC nao calculado: PC "&amp;A1752&amp;" - "&amp;C1752,"OK")))))))))</f>
        <v/>
      </c>
      <c r="L1752" s="92" t="str">
        <f>IF(AND(A1752="",B1752="",D1752="",G1752=""),"",IF(OR(B1752="",NOT(ISNUMBER(B1752)),C1752="",C1752="Fora dos ciclos"),"",IF(C1752="C0","Nao",IF(IFERROR(INDEX(parametros!$A$2:$A$6,MATCH(C1752,parametros!$B$2:$B$6,0)),"")&lt;&gt;"Sim","Nao",IF(IFERROR(INDEX(parametros!$H$2:$H$6,MATCH(C1752,parametros!$B$2:$B$6,0)),"")="","",IF(B1752&gt;=IFERROR(INDEX(parametros!$H$2:$H$6,MATCH(C1752,parametros!$B$2:$B$6,0)),""),"Sim","Nao"))))))</f>
        <v/>
      </c>
      <c r="T1752" s="156"/>
      <c r="U1752" s="214" t="str">
        <f t="shared" si="141"/>
        <v/>
      </c>
      <c r="V1752" s="212" t="s">
        <v>50</v>
      </c>
      <c r="W1752" s="100" t="s">
        <v>168</v>
      </c>
      <c r="X1752" s="100" t="s">
        <v>169</v>
      </c>
      <c r="Y1752" s="101" t="s">
        <v>170</v>
      </c>
      <c r="Z1752" s="101" t="s">
        <v>171</v>
      </c>
      <c r="AA1752" s="101" t="s">
        <v>50</v>
      </c>
      <c r="AB1752" s="101" t="s">
        <v>172</v>
      </c>
      <c r="AC1752" s="102" t="s">
        <v>173</v>
      </c>
    </row>
    <row r="1753" spans="1:29" ht="25.5" customHeight="1" x14ac:dyDescent="0.35">
      <c r="A1753" s="392"/>
      <c r="B1753" s="393"/>
      <c r="C1753" s="99" t="str">
        <f>IF(B1753="","",IF(NOT(ISNUMBER(B1753)),"DATA_PC invalida",IF(NOT(ISNUMBER(parametros!$C$2)),"Fora dos ciclos",IF(OR(B1753&lt;parametros!$C$2,(YEAR(B1753)-YEAR(parametros!$C$2))*12+MONTH(B1753)-MONTH(parametros!$C$2)&gt;59),"Fora dos ciclos","C"&amp;INT(((YEAR(B1753)-YEAR(parametros!$C$2))*12+MONTH(B1753)-MONTH(parametros!$C$2))/12)))))</f>
        <v/>
      </c>
      <c r="D1753" s="394"/>
      <c r="E1753" s="78" t="str">
        <f>IF(C1753="","",IFERROR(VLOOKUP(C1753,parametros!$A$11:$E$15,5,0),""))</f>
        <v/>
      </c>
      <c r="F1753" s="79" t="str">
        <f t="shared" si="137"/>
        <v/>
      </c>
      <c r="G1753" s="395"/>
      <c r="H1753" s="91">
        <f t="shared" si="138"/>
        <v>0</v>
      </c>
      <c r="I1753" s="91" t="str">
        <f t="shared" si="139"/>
        <v/>
      </c>
      <c r="J1753" s="91" t="str">
        <f t="shared" si="140"/>
        <v/>
      </c>
      <c r="K1753" s="92" t="str">
        <f>IF(AND(A1753="",B1753="",D1753="",G1753=""),"",IF(AND(A1753&lt;&gt;"",COUNTIF($A$2:$A$5001,A1753)&gt;1),"NUMERO_PC duplicado",IF(B1753="","DATA_PC vazia",IF(NOT(ISNUMBER(B1753)),"DATA_PC invalida",IF(OR(C1753="",C1753="Fora dos ciclos"),"CICLO_PC nao identificado",IF(OR(D1753="",D1753=0),"VALOR_PC vazio ou zero",IF(AND(G1753&lt;&gt;"Sim",G1753&lt;&gt;"Nao",G1753&lt;&gt;""),"PC_PAGO_A_CONTRATADA invalido",IF(AND(C1753&lt;&gt;"C0",IFERROR(INDEX(parametros!$A$2:$A$6,MATCH(C1753,parametros!$B$2:$B$6,0)),"")="Sim",IFERROR(INDEX(parametros!$H$2:$H$6,MATCH(C1753,parametros!$B$2:$B$6,0)),"")=""),"INICIO_EFEITO ausente: PC "&amp;A1753&amp;" - "&amp;C1753,IF(L1753="","EFEITO_PC nao calculado: PC "&amp;A1753&amp;" - "&amp;C1753,"OK")))))))))</f>
        <v/>
      </c>
      <c r="L1753" s="92" t="str">
        <f>IF(AND(A1753="",B1753="",D1753="",G1753=""),"",IF(OR(B1753="",NOT(ISNUMBER(B1753)),C1753="",C1753="Fora dos ciclos"),"",IF(C1753="C0","Nao",IF(IFERROR(INDEX(parametros!$A$2:$A$6,MATCH(C1753,parametros!$B$2:$B$6,0)),"")&lt;&gt;"Sim","Nao",IF(IFERROR(INDEX(parametros!$H$2:$H$6,MATCH(C1753,parametros!$B$2:$B$6,0)),"")="","",IF(B1753&gt;=IFERROR(INDEX(parametros!$H$2:$H$6,MATCH(C1753,parametros!$B$2:$B$6,0)),""),"Sim","Nao"))))))</f>
        <v/>
      </c>
      <c r="T1753" s="156"/>
      <c r="U1753" s="214" t="str">
        <f t="shared" si="141"/>
        <v/>
      </c>
      <c r="V1753" s="212" t="s">
        <v>50</v>
      </c>
      <c r="W1753" s="100" t="s">
        <v>168</v>
      </c>
      <c r="X1753" s="100" t="s">
        <v>169</v>
      </c>
      <c r="Y1753" s="101" t="s">
        <v>170</v>
      </c>
      <c r="Z1753" s="101" t="s">
        <v>171</v>
      </c>
      <c r="AA1753" s="101" t="s">
        <v>50</v>
      </c>
      <c r="AB1753" s="101" t="s">
        <v>172</v>
      </c>
      <c r="AC1753" s="102" t="s">
        <v>173</v>
      </c>
    </row>
    <row r="1754" spans="1:29" ht="25.5" customHeight="1" x14ac:dyDescent="0.35">
      <c r="A1754" s="392"/>
      <c r="B1754" s="393"/>
      <c r="C1754" s="99" t="str">
        <f>IF(B1754="","",IF(NOT(ISNUMBER(B1754)),"DATA_PC invalida",IF(NOT(ISNUMBER(parametros!$C$2)),"Fora dos ciclos",IF(OR(B1754&lt;parametros!$C$2,(YEAR(B1754)-YEAR(parametros!$C$2))*12+MONTH(B1754)-MONTH(parametros!$C$2)&gt;59),"Fora dos ciclos","C"&amp;INT(((YEAR(B1754)-YEAR(parametros!$C$2))*12+MONTH(B1754)-MONTH(parametros!$C$2))/12)))))</f>
        <v/>
      </c>
      <c r="D1754" s="394"/>
      <c r="E1754" s="78" t="str">
        <f>IF(C1754="","",IFERROR(VLOOKUP(C1754,parametros!$A$11:$E$15,5,0),""))</f>
        <v/>
      </c>
      <c r="F1754" s="79" t="str">
        <f t="shared" si="137"/>
        <v/>
      </c>
      <c r="G1754" s="395"/>
      <c r="H1754" s="91">
        <f t="shared" si="138"/>
        <v>0</v>
      </c>
      <c r="I1754" s="91" t="str">
        <f t="shared" si="139"/>
        <v/>
      </c>
      <c r="J1754" s="91" t="str">
        <f t="shared" si="140"/>
        <v/>
      </c>
      <c r="K1754" s="92" t="str">
        <f>IF(AND(A1754="",B1754="",D1754="",G1754=""),"",IF(AND(A1754&lt;&gt;"",COUNTIF($A$2:$A$5001,A1754)&gt;1),"NUMERO_PC duplicado",IF(B1754="","DATA_PC vazia",IF(NOT(ISNUMBER(B1754)),"DATA_PC invalida",IF(OR(C1754="",C1754="Fora dos ciclos"),"CICLO_PC nao identificado",IF(OR(D1754="",D1754=0),"VALOR_PC vazio ou zero",IF(AND(G1754&lt;&gt;"Sim",G1754&lt;&gt;"Nao",G1754&lt;&gt;""),"PC_PAGO_A_CONTRATADA invalido",IF(AND(C1754&lt;&gt;"C0",IFERROR(INDEX(parametros!$A$2:$A$6,MATCH(C1754,parametros!$B$2:$B$6,0)),"")="Sim",IFERROR(INDEX(parametros!$H$2:$H$6,MATCH(C1754,parametros!$B$2:$B$6,0)),"")=""),"INICIO_EFEITO ausente: PC "&amp;A1754&amp;" - "&amp;C1754,IF(L1754="","EFEITO_PC nao calculado: PC "&amp;A1754&amp;" - "&amp;C1754,"OK")))))))))</f>
        <v/>
      </c>
      <c r="L1754" s="92" t="str">
        <f>IF(AND(A1754="",B1754="",D1754="",G1754=""),"",IF(OR(B1754="",NOT(ISNUMBER(B1754)),C1754="",C1754="Fora dos ciclos"),"",IF(C1754="C0","Nao",IF(IFERROR(INDEX(parametros!$A$2:$A$6,MATCH(C1754,parametros!$B$2:$B$6,0)),"")&lt;&gt;"Sim","Nao",IF(IFERROR(INDEX(parametros!$H$2:$H$6,MATCH(C1754,parametros!$B$2:$B$6,0)),"")="","",IF(B1754&gt;=IFERROR(INDEX(parametros!$H$2:$H$6,MATCH(C1754,parametros!$B$2:$B$6,0)),""),"Sim","Nao"))))))</f>
        <v/>
      </c>
      <c r="T1754" s="156"/>
      <c r="U1754" s="214" t="str">
        <f t="shared" si="141"/>
        <v/>
      </c>
      <c r="V1754" s="212" t="s">
        <v>50</v>
      </c>
      <c r="W1754" s="100" t="s">
        <v>168</v>
      </c>
      <c r="X1754" s="100" t="s">
        <v>169</v>
      </c>
      <c r="Y1754" s="101" t="s">
        <v>170</v>
      </c>
      <c r="Z1754" s="101" t="s">
        <v>171</v>
      </c>
      <c r="AA1754" s="101" t="s">
        <v>50</v>
      </c>
      <c r="AB1754" s="101" t="s">
        <v>172</v>
      </c>
      <c r="AC1754" s="102" t="s">
        <v>173</v>
      </c>
    </row>
    <row r="1755" spans="1:29" ht="25.5" customHeight="1" x14ac:dyDescent="0.35">
      <c r="A1755" s="392"/>
      <c r="B1755" s="393"/>
      <c r="C1755" s="99" t="str">
        <f>IF(B1755="","",IF(NOT(ISNUMBER(B1755)),"DATA_PC invalida",IF(NOT(ISNUMBER(parametros!$C$2)),"Fora dos ciclos",IF(OR(B1755&lt;parametros!$C$2,(YEAR(B1755)-YEAR(parametros!$C$2))*12+MONTH(B1755)-MONTH(parametros!$C$2)&gt;59),"Fora dos ciclos","C"&amp;INT(((YEAR(B1755)-YEAR(parametros!$C$2))*12+MONTH(B1755)-MONTH(parametros!$C$2))/12)))))</f>
        <v/>
      </c>
      <c r="D1755" s="394"/>
      <c r="E1755" s="78" t="str">
        <f>IF(C1755="","",IFERROR(VLOOKUP(C1755,parametros!$A$11:$E$15,5,0),""))</f>
        <v/>
      </c>
      <c r="F1755" s="79" t="str">
        <f t="shared" si="137"/>
        <v/>
      </c>
      <c r="G1755" s="395"/>
      <c r="H1755" s="91">
        <f t="shared" si="138"/>
        <v>0</v>
      </c>
      <c r="I1755" s="91" t="str">
        <f t="shared" si="139"/>
        <v/>
      </c>
      <c r="J1755" s="91" t="str">
        <f t="shared" si="140"/>
        <v/>
      </c>
      <c r="K1755" s="92" t="str">
        <f>IF(AND(A1755="",B1755="",D1755="",G1755=""),"",IF(AND(A1755&lt;&gt;"",COUNTIF($A$2:$A$5001,A1755)&gt;1),"NUMERO_PC duplicado",IF(B1755="","DATA_PC vazia",IF(NOT(ISNUMBER(B1755)),"DATA_PC invalida",IF(OR(C1755="",C1755="Fora dos ciclos"),"CICLO_PC nao identificado",IF(OR(D1755="",D1755=0),"VALOR_PC vazio ou zero",IF(AND(G1755&lt;&gt;"Sim",G1755&lt;&gt;"Nao",G1755&lt;&gt;""),"PC_PAGO_A_CONTRATADA invalido",IF(AND(C1755&lt;&gt;"C0",IFERROR(INDEX(parametros!$A$2:$A$6,MATCH(C1755,parametros!$B$2:$B$6,0)),"")="Sim",IFERROR(INDEX(parametros!$H$2:$H$6,MATCH(C1755,parametros!$B$2:$B$6,0)),"")=""),"INICIO_EFEITO ausente: PC "&amp;A1755&amp;" - "&amp;C1755,IF(L1755="","EFEITO_PC nao calculado: PC "&amp;A1755&amp;" - "&amp;C1755,"OK")))))))))</f>
        <v/>
      </c>
      <c r="L1755" s="92" t="str">
        <f>IF(AND(A1755="",B1755="",D1755="",G1755=""),"",IF(OR(B1755="",NOT(ISNUMBER(B1755)),C1755="",C1755="Fora dos ciclos"),"",IF(C1755="C0","Nao",IF(IFERROR(INDEX(parametros!$A$2:$A$6,MATCH(C1755,parametros!$B$2:$B$6,0)),"")&lt;&gt;"Sim","Nao",IF(IFERROR(INDEX(parametros!$H$2:$H$6,MATCH(C1755,parametros!$B$2:$B$6,0)),"")="","",IF(B1755&gt;=IFERROR(INDEX(parametros!$H$2:$H$6,MATCH(C1755,parametros!$B$2:$B$6,0)),""),"Sim","Nao"))))))</f>
        <v/>
      </c>
      <c r="T1755" s="156"/>
      <c r="U1755" s="214" t="str">
        <f t="shared" si="141"/>
        <v/>
      </c>
      <c r="V1755" s="212" t="s">
        <v>50</v>
      </c>
      <c r="W1755" s="100" t="s">
        <v>168</v>
      </c>
      <c r="X1755" s="100" t="s">
        <v>169</v>
      </c>
      <c r="Y1755" s="101" t="s">
        <v>170</v>
      </c>
      <c r="Z1755" s="101" t="s">
        <v>171</v>
      </c>
      <c r="AA1755" s="101" t="s">
        <v>50</v>
      </c>
      <c r="AB1755" s="101" t="s">
        <v>172</v>
      </c>
      <c r="AC1755" s="102" t="s">
        <v>173</v>
      </c>
    </row>
    <row r="1756" spans="1:29" ht="25.5" customHeight="1" x14ac:dyDescent="0.35">
      <c r="A1756" s="392"/>
      <c r="B1756" s="393"/>
      <c r="C1756" s="99" t="str">
        <f>IF(B1756="","",IF(NOT(ISNUMBER(B1756)),"DATA_PC invalida",IF(NOT(ISNUMBER(parametros!$C$2)),"Fora dos ciclos",IF(OR(B1756&lt;parametros!$C$2,(YEAR(B1756)-YEAR(parametros!$C$2))*12+MONTH(B1756)-MONTH(parametros!$C$2)&gt;59),"Fora dos ciclos","C"&amp;INT(((YEAR(B1756)-YEAR(parametros!$C$2))*12+MONTH(B1756)-MONTH(parametros!$C$2))/12)))))</f>
        <v/>
      </c>
      <c r="D1756" s="394"/>
      <c r="E1756" s="78" t="str">
        <f>IF(C1756="","",IFERROR(VLOOKUP(C1756,parametros!$A$11:$E$15,5,0),""))</f>
        <v/>
      </c>
      <c r="F1756" s="79" t="str">
        <f t="shared" si="137"/>
        <v/>
      </c>
      <c r="G1756" s="395"/>
      <c r="H1756" s="91">
        <f t="shared" si="138"/>
        <v>0</v>
      </c>
      <c r="I1756" s="91" t="str">
        <f t="shared" si="139"/>
        <v/>
      </c>
      <c r="J1756" s="91" t="str">
        <f t="shared" si="140"/>
        <v/>
      </c>
      <c r="K1756" s="92" t="str">
        <f>IF(AND(A1756="",B1756="",D1756="",G1756=""),"",IF(AND(A1756&lt;&gt;"",COUNTIF($A$2:$A$5001,A1756)&gt;1),"NUMERO_PC duplicado",IF(B1756="","DATA_PC vazia",IF(NOT(ISNUMBER(B1756)),"DATA_PC invalida",IF(OR(C1756="",C1756="Fora dos ciclos"),"CICLO_PC nao identificado",IF(OR(D1756="",D1756=0),"VALOR_PC vazio ou zero",IF(AND(G1756&lt;&gt;"Sim",G1756&lt;&gt;"Nao",G1756&lt;&gt;""),"PC_PAGO_A_CONTRATADA invalido",IF(AND(C1756&lt;&gt;"C0",IFERROR(INDEX(parametros!$A$2:$A$6,MATCH(C1756,parametros!$B$2:$B$6,0)),"")="Sim",IFERROR(INDEX(parametros!$H$2:$H$6,MATCH(C1756,parametros!$B$2:$B$6,0)),"")=""),"INICIO_EFEITO ausente: PC "&amp;A1756&amp;" - "&amp;C1756,IF(L1756="","EFEITO_PC nao calculado: PC "&amp;A1756&amp;" - "&amp;C1756,"OK")))))))))</f>
        <v/>
      </c>
      <c r="L1756" s="92" t="str">
        <f>IF(AND(A1756="",B1756="",D1756="",G1756=""),"",IF(OR(B1756="",NOT(ISNUMBER(B1756)),C1756="",C1756="Fora dos ciclos"),"",IF(C1756="C0","Nao",IF(IFERROR(INDEX(parametros!$A$2:$A$6,MATCH(C1756,parametros!$B$2:$B$6,0)),"")&lt;&gt;"Sim","Nao",IF(IFERROR(INDEX(parametros!$H$2:$H$6,MATCH(C1756,parametros!$B$2:$B$6,0)),"")="","",IF(B1756&gt;=IFERROR(INDEX(parametros!$H$2:$H$6,MATCH(C1756,parametros!$B$2:$B$6,0)),""),"Sim","Nao"))))))</f>
        <v/>
      </c>
      <c r="T1756" s="156"/>
      <c r="U1756" s="214" t="str">
        <f t="shared" si="141"/>
        <v/>
      </c>
      <c r="V1756" s="212" t="s">
        <v>50</v>
      </c>
      <c r="W1756" s="100" t="s">
        <v>168</v>
      </c>
      <c r="X1756" s="100" t="s">
        <v>169</v>
      </c>
      <c r="Y1756" s="101" t="s">
        <v>170</v>
      </c>
      <c r="Z1756" s="101" t="s">
        <v>171</v>
      </c>
      <c r="AA1756" s="101" t="s">
        <v>50</v>
      </c>
      <c r="AB1756" s="101" t="s">
        <v>172</v>
      </c>
      <c r="AC1756" s="102" t="s">
        <v>173</v>
      </c>
    </row>
    <row r="1757" spans="1:29" ht="25.5" customHeight="1" x14ac:dyDescent="0.35">
      <c r="A1757" s="392"/>
      <c r="B1757" s="393"/>
      <c r="C1757" s="99" t="str">
        <f>IF(B1757="","",IF(NOT(ISNUMBER(B1757)),"DATA_PC invalida",IF(NOT(ISNUMBER(parametros!$C$2)),"Fora dos ciclos",IF(OR(B1757&lt;parametros!$C$2,(YEAR(B1757)-YEAR(parametros!$C$2))*12+MONTH(B1757)-MONTH(parametros!$C$2)&gt;59),"Fora dos ciclos","C"&amp;INT(((YEAR(B1757)-YEAR(parametros!$C$2))*12+MONTH(B1757)-MONTH(parametros!$C$2))/12)))))</f>
        <v/>
      </c>
      <c r="D1757" s="394"/>
      <c r="E1757" s="78" t="str">
        <f>IF(C1757="","",IFERROR(VLOOKUP(C1757,parametros!$A$11:$E$15,5,0),""))</f>
        <v/>
      </c>
      <c r="F1757" s="79" t="str">
        <f t="shared" si="137"/>
        <v/>
      </c>
      <c r="G1757" s="395"/>
      <c r="H1757" s="91">
        <f t="shared" si="138"/>
        <v>0</v>
      </c>
      <c r="I1757" s="91" t="str">
        <f t="shared" si="139"/>
        <v/>
      </c>
      <c r="J1757" s="91" t="str">
        <f t="shared" si="140"/>
        <v/>
      </c>
      <c r="K1757" s="92" t="str">
        <f>IF(AND(A1757="",B1757="",D1757="",G1757=""),"",IF(AND(A1757&lt;&gt;"",COUNTIF($A$2:$A$5001,A1757)&gt;1),"NUMERO_PC duplicado",IF(B1757="","DATA_PC vazia",IF(NOT(ISNUMBER(B1757)),"DATA_PC invalida",IF(OR(C1757="",C1757="Fora dos ciclos"),"CICLO_PC nao identificado",IF(OR(D1757="",D1757=0),"VALOR_PC vazio ou zero",IF(AND(G1757&lt;&gt;"Sim",G1757&lt;&gt;"Nao",G1757&lt;&gt;""),"PC_PAGO_A_CONTRATADA invalido",IF(AND(C1757&lt;&gt;"C0",IFERROR(INDEX(parametros!$A$2:$A$6,MATCH(C1757,parametros!$B$2:$B$6,0)),"")="Sim",IFERROR(INDEX(parametros!$H$2:$H$6,MATCH(C1757,parametros!$B$2:$B$6,0)),"")=""),"INICIO_EFEITO ausente: PC "&amp;A1757&amp;" - "&amp;C1757,IF(L1757="","EFEITO_PC nao calculado: PC "&amp;A1757&amp;" - "&amp;C1757,"OK")))))))))</f>
        <v/>
      </c>
      <c r="L1757" s="92" t="str">
        <f>IF(AND(A1757="",B1757="",D1757="",G1757=""),"",IF(OR(B1757="",NOT(ISNUMBER(B1757)),C1757="",C1757="Fora dos ciclos"),"",IF(C1757="C0","Nao",IF(IFERROR(INDEX(parametros!$A$2:$A$6,MATCH(C1757,parametros!$B$2:$B$6,0)),"")&lt;&gt;"Sim","Nao",IF(IFERROR(INDEX(parametros!$H$2:$H$6,MATCH(C1757,parametros!$B$2:$B$6,0)),"")="","",IF(B1757&gt;=IFERROR(INDEX(parametros!$H$2:$H$6,MATCH(C1757,parametros!$B$2:$B$6,0)),""),"Sim","Nao"))))))</f>
        <v/>
      </c>
      <c r="T1757" s="156"/>
      <c r="U1757" s="214" t="str">
        <f t="shared" si="141"/>
        <v/>
      </c>
      <c r="V1757" s="212" t="s">
        <v>50</v>
      </c>
      <c r="W1757" s="100" t="s">
        <v>168</v>
      </c>
      <c r="X1757" s="100" t="s">
        <v>169</v>
      </c>
      <c r="Y1757" s="101" t="s">
        <v>170</v>
      </c>
      <c r="Z1757" s="101" t="s">
        <v>171</v>
      </c>
      <c r="AA1757" s="101" t="s">
        <v>50</v>
      </c>
      <c r="AB1757" s="101" t="s">
        <v>172</v>
      </c>
      <c r="AC1757" s="102" t="s">
        <v>173</v>
      </c>
    </row>
    <row r="1758" spans="1:29" ht="25.5" customHeight="1" x14ac:dyDescent="0.35">
      <c r="A1758" s="392"/>
      <c r="B1758" s="393"/>
      <c r="C1758" s="99" t="str">
        <f>IF(B1758="","",IF(NOT(ISNUMBER(B1758)),"DATA_PC invalida",IF(NOT(ISNUMBER(parametros!$C$2)),"Fora dos ciclos",IF(OR(B1758&lt;parametros!$C$2,(YEAR(B1758)-YEAR(parametros!$C$2))*12+MONTH(B1758)-MONTH(parametros!$C$2)&gt;59),"Fora dos ciclos","C"&amp;INT(((YEAR(B1758)-YEAR(parametros!$C$2))*12+MONTH(B1758)-MONTH(parametros!$C$2))/12)))))</f>
        <v/>
      </c>
      <c r="D1758" s="394"/>
      <c r="E1758" s="78" t="str">
        <f>IF(C1758="","",IFERROR(VLOOKUP(C1758,parametros!$A$11:$E$15,5,0),""))</f>
        <v/>
      </c>
      <c r="F1758" s="79" t="str">
        <f t="shared" si="137"/>
        <v/>
      </c>
      <c r="G1758" s="395"/>
      <c r="H1758" s="91">
        <f t="shared" si="138"/>
        <v>0</v>
      </c>
      <c r="I1758" s="91" t="str">
        <f t="shared" si="139"/>
        <v/>
      </c>
      <c r="J1758" s="91" t="str">
        <f t="shared" si="140"/>
        <v/>
      </c>
      <c r="K1758" s="92" t="str">
        <f>IF(AND(A1758="",B1758="",D1758="",G1758=""),"",IF(AND(A1758&lt;&gt;"",COUNTIF($A$2:$A$5001,A1758)&gt;1),"NUMERO_PC duplicado",IF(B1758="","DATA_PC vazia",IF(NOT(ISNUMBER(B1758)),"DATA_PC invalida",IF(OR(C1758="",C1758="Fora dos ciclos"),"CICLO_PC nao identificado",IF(OR(D1758="",D1758=0),"VALOR_PC vazio ou zero",IF(AND(G1758&lt;&gt;"Sim",G1758&lt;&gt;"Nao",G1758&lt;&gt;""),"PC_PAGO_A_CONTRATADA invalido",IF(AND(C1758&lt;&gt;"C0",IFERROR(INDEX(parametros!$A$2:$A$6,MATCH(C1758,parametros!$B$2:$B$6,0)),"")="Sim",IFERROR(INDEX(parametros!$H$2:$H$6,MATCH(C1758,parametros!$B$2:$B$6,0)),"")=""),"INICIO_EFEITO ausente: PC "&amp;A1758&amp;" - "&amp;C1758,IF(L1758="","EFEITO_PC nao calculado: PC "&amp;A1758&amp;" - "&amp;C1758,"OK")))))))))</f>
        <v/>
      </c>
      <c r="L1758" s="92" t="str">
        <f>IF(AND(A1758="",B1758="",D1758="",G1758=""),"",IF(OR(B1758="",NOT(ISNUMBER(B1758)),C1758="",C1758="Fora dos ciclos"),"",IF(C1758="C0","Nao",IF(IFERROR(INDEX(parametros!$A$2:$A$6,MATCH(C1758,parametros!$B$2:$B$6,0)),"")&lt;&gt;"Sim","Nao",IF(IFERROR(INDEX(parametros!$H$2:$H$6,MATCH(C1758,parametros!$B$2:$B$6,0)),"")="","",IF(B1758&gt;=IFERROR(INDEX(parametros!$H$2:$H$6,MATCH(C1758,parametros!$B$2:$B$6,0)),""),"Sim","Nao"))))))</f>
        <v/>
      </c>
      <c r="T1758" s="156"/>
      <c r="U1758" s="214" t="str">
        <f t="shared" si="141"/>
        <v/>
      </c>
      <c r="V1758" s="212" t="s">
        <v>50</v>
      </c>
      <c r="W1758" s="100" t="s">
        <v>168</v>
      </c>
      <c r="X1758" s="100" t="s">
        <v>169</v>
      </c>
      <c r="Y1758" s="101" t="s">
        <v>170</v>
      </c>
      <c r="Z1758" s="101" t="s">
        <v>171</v>
      </c>
      <c r="AA1758" s="101" t="s">
        <v>50</v>
      </c>
      <c r="AB1758" s="101" t="s">
        <v>172</v>
      </c>
      <c r="AC1758" s="102" t="s">
        <v>173</v>
      </c>
    </row>
    <row r="1759" spans="1:29" ht="25.5" customHeight="1" x14ac:dyDescent="0.35">
      <c r="A1759" s="392"/>
      <c r="B1759" s="393"/>
      <c r="C1759" s="99" t="str">
        <f>IF(B1759="","",IF(NOT(ISNUMBER(B1759)),"DATA_PC invalida",IF(NOT(ISNUMBER(parametros!$C$2)),"Fora dos ciclos",IF(OR(B1759&lt;parametros!$C$2,(YEAR(B1759)-YEAR(parametros!$C$2))*12+MONTH(B1759)-MONTH(parametros!$C$2)&gt;59),"Fora dos ciclos","C"&amp;INT(((YEAR(B1759)-YEAR(parametros!$C$2))*12+MONTH(B1759)-MONTH(parametros!$C$2))/12)))))</f>
        <v/>
      </c>
      <c r="D1759" s="394"/>
      <c r="E1759" s="78" t="str">
        <f>IF(C1759="","",IFERROR(VLOOKUP(C1759,parametros!$A$11:$E$15,5,0),""))</f>
        <v/>
      </c>
      <c r="F1759" s="79" t="str">
        <f t="shared" si="137"/>
        <v/>
      </c>
      <c r="G1759" s="395"/>
      <c r="H1759" s="91">
        <f t="shared" si="138"/>
        <v>0</v>
      </c>
      <c r="I1759" s="91" t="str">
        <f t="shared" si="139"/>
        <v/>
      </c>
      <c r="J1759" s="91" t="str">
        <f t="shared" si="140"/>
        <v/>
      </c>
      <c r="K1759" s="92" t="str">
        <f>IF(AND(A1759="",B1759="",D1759="",G1759=""),"",IF(AND(A1759&lt;&gt;"",COUNTIF($A$2:$A$5001,A1759)&gt;1),"NUMERO_PC duplicado",IF(B1759="","DATA_PC vazia",IF(NOT(ISNUMBER(B1759)),"DATA_PC invalida",IF(OR(C1759="",C1759="Fora dos ciclos"),"CICLO_PC nao identificado",IF(OR(D1759="",D1759=0),"VALOR_PC vazio ou zero",IF(AND(G1759&lt;&gt;"Sim",G1759&lt;&gt;"Nao",G1759&lt;&gt;""),"PC_PAGO_A_CONTRATADA invalido",IF(AND(C1759&lt;&gt;"C0",IFERROR(INDEX(parametros!$A$2:$A$6,MATCH(C1759,parametros!$B$2:$B$6,0)),"")="Sim",IFERROR(INDEX(parametros!$H$2:$H$6,MATCH(C1759,parametros!$B$2:$B$6,0)),"")=""),"INICIO_EFEITO ausente: PC "&amp;A1759&amp;" - "&amp;C1759,IF(L1759="","EFEITO_PC nao calculado: PC "&amp;A1759&amp;" - "&amp;C1759,"OK")))))))))</f>
        <v/>
      </c>
      <c r="L1759" s="92" t="str">
        <f>IF(AND(A1759="",B1759="",D1759="",G1759=""),"",IF(OR(B1759="",NOT(ISNUMBER(B1759)),C1759="",C1759="Fora dos ciclos"),"",IF(C1759="C0","Nao",IF(IFERROR(INDEX(parametros!$A$2:$A$6,MATCH(C1759,parametros!$B$2:$B$6,0)),"")&lt;&gt;"Sim","Nao",IF(IFERROR(INDEX(parametros!$H$2:$H$6,MATCH(C1759,parametros!$B$2:$B$6,0)),"")="","",IF(B1759&gt;=IFERROR(INDEX(parametros!$H$2:$H$6,MATCH(C1759,parametros!$B$2:$B$6,0)),""),"Sim","Nao"))))))</f>
        <v/>
      </c>
      <c r="T1759" s="156"/>
      <c r="U1759" s="214" t="str">
        <f t="shared" si="141"/>
        <v/>
      </c>
      <c r="V1759" s="212" t="s">
        <v>50</v>
      </c>
      <c r="W1759" s="100" t="s">
        <v>168</v>
      </c>
      <c r="X1759" s="100" t="s">
        <v>169</v>
      </c>
      <c r="Y1759" s="101" t="s">
        <v>170</v>
      </c>
      <c r="Z1759" s="101" t="s">
        <v>171</v>
      </c>
      <c r="AA1759" s="101" t="s">
        <v>50</v>
      </c>
      <c r="AB1759" s="101" t="s">
        <v>172</v>
      </c>
      <c r="AC1759" s="102" t="s">
        <v>173</v>
      </c>
    </row>
    <row r="1760" spans="1:29" ht="25.5" customHeight="1" x14ac:dyDescent="0.35">
      <c r="A1760" s="392"/>
      <c r="B1760" s="393"/>
      <c r="C1760" s="99" t="str">
        <f>IF(B1760="","",IF(NOT(ISNUMBER(B1760)),"DATA_PC invalida",IF(NOT(ISNUMBER(parametros!$C$2)),"Fora dos ciclos",IF(OR(B1760&lt;parametros!$C$2,(YEAR(B1760)-YEAR(parametros!$C$2))*12+MONTH(B1760)-MONTH(parametros!$C$2)&gt;59),"Fora dos ciclos","C"&amp;INT(((YEAR(B1760)-YEAR(parametros!$C$2))*12+MONTH(B1760)-MONTH(parametros!$C$2))/12)))))</f>
        <v/>
      </c>
      <c r="D1760" s="394"/>
      <c r="E1760" s="78" t="str">
        <f>IF(C1760="","",IFERROR(VLOOKUP(C1760,parametros!$A$11:$E$15,5,0),""))</f>
        <v/>
      </c>
      <c r="F1760" s="79" t="str">
        <f t="shared" si="137"/>
        <v/>
      </c>
      <c r="G1760" s="395"/>
      <c r="H1760" s="91">
        <f t="shared" si="138"/>
        <v>0</v>
      </c>
      <c r="I1760" s="91" t="str">
        <f t="shared" si="139"/>
        <v/>
      </c>
      <c r="J1760" s="91" t="str">
        <f t="shared" si="140"/>
        <v/>
      </c>
      <c r="K1760" s="92" t="str">
        <f>IF(AND(A1760="",B1760="",D1760="",G1760=""),"",IF(AND(A1760&lt;&gt;"",COUNTIF($A$2:$A$5001,A1760)&gt;1),"NUMERO_PC duplicado",IF(B1760="","DATA_PC vazia",IF(NOT(ISNUMBER(B1760)),"DATA_PC invalida",IF(OR(C1760="",C1760="Fora dos ciclos"),"CICLO_PC nao identificado",IF(OR(D1760="",D1760=0),"VALOR_PC vazio ou zero",IF(AND(G1760&lt;&gt;"Sim",G1760&lt;&gt;"Nao",G1760&lt;&gt;""),"PC_PAGO_A_CONTRATADA invalido",IF(AND(C1760&lt;&gt;"C0",IFERROR(INDEX(parametros!$A$2:$A$6,MATCH(C1760,parametros!$B$2:$B$6,0)),"")="Sim",IFERROR(INDEX(parametros!$H$2:$H$6,MATCH(C1760,parametros!$B$2:$B$6,0)),"")=""),"INICIO_EFEITO ausente: PC "&amp;A1760&amp;" - "&amp;C1760,IF(L1760="","EFEITO_PC nao calculado: PC "&amp;A1760&amp;" - "&amp;C1760,"OK")))))))))</f>
        <v/>
      </c>
      <c r="L1760" s="92" t="str">
        <f>IF(AND(A1760="",B1760="",D1760="",G1760=""),"",IF(OR(B1760="",NOT(ISNUMBER(B1760)),C1760="",C1760="Fora dos ciclos"),"",IF(C1760="C0","Nao",IF(IFERROR(INDEX(parametros!$A$2:$A$6,MATCH(C1760,parametros!$B$2:$B$6,0)),"")&lt;&gt;"Sim","Nao",IF(IFERROR(INDEX(parametros!$H$2:$H$6,MATCH(C1760,parametros!$B$2:$B$6,0)),"")="","",IF(B1760&gt;=IFERROR(INDEX(parametros!$H$2:$H$6,MATCH(C1760,parametros!$B$2:$B$6,0)),""),"Sim","Nao"))))))</f>
        <v/>
      </c>
      <c r="T1760" s="156"/>
      <c r="U1760" s="214" t="str">
        <f t="shared" si="141"/>
        <v/>
      </c>
      <c r="V1760" s="212" t="s">
        <v>50</v>
      </c>
      <c r="W1760" s="100" t="s">
        <v>168</v>
      </c>
      <c r="X1760" s="100" t="s">
        <v>169</v>
      </c>
      <c r="Y1760" s="101" t="s">
        <v>170</v>
      </c>
      <c r="Z1760" s="101" t="s">
        <v>171</v>
      </c>
      <c r="AA1760" s="101" t="s">
        <v>50</v>
      </c>
      <c r="AB1760" s="101" t="s">
        <v>172</v>
      </c>
      <c r="AC1760" s="102" t="s">
        <v>173</v>
      </c>
    </row>
    <row r="1761" spans="1:29" ht="25.5" customHeight="1" x14ac:dyDescent="0.35">
      <c r="A1761" s="392"/>
      <c r="B1761" s="393"/>
      <c r="C1761" s="99" t="str">
        <f>IF(B1761="","",IF(NOT(ISNUMBER(B1761)),"DATA_PC invalida",IF(NOT(ISNUMBER(parametros!$C$2)),"Fora dos ciclos",IF(OR(B1761&lt;parametros!$C$2,(YEAR(B1761)-YEAR(parametros!$C$2))*12+MONTH(B1761)-MONTH(parametros!$C$2)&gt;59),"Fora dos ciclos","C"&amp;INT(((YEAR(B1761)-YEAR(parametros!$C$2))*12+MONTH(B1761)-MONTH(parametros!$C$2))/12)))))</f>
        <v/>
      </c>
      <c r="D1761" s="394"/>
      <c r="E1761" s="78" t="str">
        <f>IF(C1761="","",IFERROR(VLOOKUP(C1761,parametros!$A$11:$E$15,5,0),""))</f>
        <v/>
      </c>
      <c r="F1761" s="79" t="str">
        <f t="shared" si="137"/>
        <v/>
      </c>
      <c r="G1761" s="395"/>
      <c r="H1761" s="91">
        <f t="shared" si="138"/>
        <v>0</v>
      </c>
      <c r="I1761" s="91" t="str">
        <f t="shared" si="139"/>
        <v/>
      </c>
      <c r="J1761" s="91" t="str">
        <f t="shared" si="140"/>
        <v/>
      </c>
      <c r="K1761" s="92" t="str">
        <f>IF(AND(A1761="",B1761="",D1761="",G1761=""),"",IF(AND(A1761&lt;&gt;"",COUNTIF($A$2:$A$5001,A1761)&gt;1),"NUMERO_PC duplicado",IF(B1761="","DATA_PC vazia",IF(NOT(ISNUMBER(B1761)),"DATA_PC invalida",IF(OR(C1761="",C1761="Fora dos ciclos"),"CICLO_PC nao identificado",IF(OR(D1761="",D1761=0),"VALOR_PC vazio ou zero",IF(AND(G1761&lt;&gt;"Sim",G1761&lt;&gt;"Nao",G1761&lt;&gt;""),"PC_PAGO_A_CONTRATADA invalido",IF(AND(C1761&lt;&gt;"C0",IFERROR(INDEX(parametros!$A$2:$A$6,MATCH(C1761,parametros!$B$2:$B$6,0)),"")="Sim",IFERROR(INDEX(parametros!$H$2:$H$6,MATCH(C1761,parametros!$B$2:$B$6,0)),"")=""),"INICIO_EFEITO ausente: PC "&amp;A1761&amp;" - "&amp;C1761,IF(L1761="","EFEITO_PC nao calculado: PC "&amp;A1761&amp;" - "&amp;C1761,"OK")))))))))</f>
        <v/>
      </c>
      <c r="L1761" s="92" t="str">
        <f>IF(AND(A1761="",B1761="",D1761="",G1761=""),"",IF(OR(B1761="",NOT(ISNUMBER(B1761)),C1761="",C1761="Fora dos ciclos"),"",IF(C1761="C0","Nao",IF(IFERROR(INDEX(parametros!$A$2:$A$6,MATCH(C1761,parametros!$B$2:$B$6,0)),"")&lt;&gt;"Sim","Nao",IF(IFERROR(INDEX(parametros!$H$2:$H$6,MATCH(C1761,parametros!$B$2:$B$6,0)),"")="","",IF(B1761&gt;=IFERROR(INDEX(parametros!$H$2:$H$6,MATCH(C1761,parametros!$B$2:$B$6,0)),""),"Sim","Nao"))))))</f>
        <v/>
      </c>
      <c r="T1761" s="156"/>
      <c r="U1761" s="214" t="str">
        <f t="shared" si="141"/>
        <v/>
      </c>
      <c r="V1761" s="212" t="s">
        <v>50</v>
      </c>
      <c r="W1761" s="100" t="s">
        <v>168</v>
      </c>
      <c r="X1761" s="100" t="s">
        <v>169</v>
      </c>
      <c r="Y1761" s="101" t="s">
        <v>170</v>
      </c>
      <c r="Z1761" s="101" t="s">
        <v>171</v>
      </c>
      <c r="AA1761" s="101" t="s">
        <v>50</v>
      </c>
      <c r="AB1761" s="101" t="s">
        <v>172</v>
      </c>
      <c r="AC1761" s="102" t="s">
        <v>173</v>
      </c>
    </row>
    <row r="1762" spans="1:29" ht="25.5" customHeight="1" x14ac:dyDescent="0.35">
      <c r="A1762" s="392"/>
      <c r="B1762" s="393"/>
      <c r="C1762" s="99" t="str">
        <f>IF(B1762="","",IF(NOT(ISNUMBER(B1762)),"DATA_PC invalida",IF(NOT(ISNUMBER(parametros!$C$2)),"Fora dos ciclos",IF(OR(B1762&lt;parametros!$C$2,(YEAR(B1762)-YEAR(parametros!$C$2))*12+MONTH(B1762)-MONTH(parametros!$C$2)&gt;59),"Fora dos ciclos","C"&amp;INT(((YEAR(B1762)-YEAR(parametros!$C$2))*12+MONTH(B1762)-MONTH(parametros!$C$2))/12)))))</f>
        <v/>
      </c>
      <c r="D1762" s="394"/>
      <c r="E1762" s="78" t="str">
        <f>IF(C1762="","",IFERROR(VLOOKUP(C1762,parametros!$A$11:$E$15,5,0),""))</f>
        <v/>
      </c>
      <c r="F1762" s="79" t="str">
        <f t="shared" si="137"/>
        <v/>
      </c>
      <c r="G1762" s="395"/>
      <c r="H1762" s="91">
        <f t="shared" si="138"/>
        <v>0</v>
      </c>
      <c r="I1762" s="91" t="str">
        <f t="shared" si="139"/>
        <v/>
      </c>
      <c r="J1762" s="91" t="str">
        <f t="shared" si="140"/>
        <v/>
      </c>
      <c r="K1762" s="92" t="str">
        <f>IF(AND(A1762="",B1762="",D1762="",G1762=""),"",IF(AND(A1762&lt;&gt;"",COUNTIF($A$2:$A$5001,A1762)&gt;1),"NUMERO_PC duplicado",IF(B1762="","DATA_PC vazia",IF(NOT(ISNUMBER(B1762)),"DATA_PC invalida",IF(OR(C1762="",C1762="Fora dos ciclos"),"CICLO_PC nao identificado",IF(OR(D1762="",D1762=0),"VALOR_PC vazio ou zero",IF(AND(G1762&lt;&gt;"Sim",G1762&lt;&gt;"Nao",G1762&lt;&gt;""),"PC_PAGO_A_CONTRATADA invalido",IF(AND(C1762&lt;&gt;"C0",IFERROR(INDEX(parametros!$A$2:$A$6,MATCH(C1762,parametros!$B$2:$B$6,0)),"")="Sim",IFERROR(INDEX(parametros!$H$2:$H$6,MATCH(C1762,parametros!$B$2:$B$6,0)),"")=""),"INICIO_EFEITO ausente: PC "&amp;A1762&amp;" - "&amp;C1762,IF(L1762="","EFEITO_PC nao calculado: PC "&amp;A1762&amp;" - "&amp;C1762,"OK")))))))))</f>
        <v/>
      </c>
      <c r="L1762" s="92" t="str">
        <f>IF(AND(A1762="",B1762="",D1762="",G1762=""),"",IF(OR(B1762="",NOT(ISNUMBER(B1762)),C1762="",C1762="Fora dos ciclos"),"",IF(C1762="C0","Nao",IF(IFERROR(INDEX(parametros!$A$2:$A$6,MATCH(C1762,parametros!$B$2:$B$6,0)),"")&lt;&gt;"Sim","Nao",IF(IFERROR(INDEX(parametros!$H$2:$H$6,MATCH(C1762,parametros!$B$2:$B$6,0)),"")="","",IF(B1762&gt;=IFERROR(INDEX(parametros!$H$2:$H$6,MATCH(C1762,parametros!$B$2:$B$6,0)),""),"Sim","Nao"))))))</f>
        <v/>
      </c>
      <c r="T1762" s="156"/>
      <c r="U1762" s="214" t="str">
        <f t="shared" si="141"/>
        <v/>
      </c>
      <c r="V1762" s="212" t="s">
        <v>50</v>
      </c>
      <c r="W1762" s="100" t="s">
        <v>168</v>
      </c>
      <c r="X1762" s="100" t="s">
        <v>169</v>
      </c>
      <c r="Y1762" s="101" t="s">
        <v>170</v>
      </c>
      <c r="Z1762" s="101" t="s">
        <v>171</v>
      </c>
      <c r="AA1762" s="101" t="s">
        <v>50</v>
      </c>
      <c r="AB1762" s="101" t="s">
        <v>172</v>
      </c>
      <c r="AC1762" s="102" t="s">
        <v>173</v>
      </c>
    </row>
    <row r="1763" spans="1:29" ht="25.5" customHeight="1" x14ac:dyDescent="0.35">
      <c r="A1763" s="392"/>
      <c r="B1763" s="393"/>
      <c r="C1763" s="99" t="str">
        <f>IF(B1763="","",IF(NOT(ISNUMBER(B1763)),"DATA_PC invalida",IF(NOT(ISNUMBER(parametros!$C$2)),"Fora dos ciclos",IF(OR(B1763&lt;parametros!$C$2,(YEAR(B1763)-YEAR(parametros!$C$2))*12+MONTH(B1763)-MONTH(parametros!$C$2)&gt;59),"Fora dos ciclos","C"&amp;INT(((YEAR(B1763)-YEAR(parametros!$C$2))*12+MONTH(B1763)-MONTH(parametros!$C$2))/12)))))</f>
        <v/>
      </c>
      <c r="D1763" s="394"/>
      <c r="E1763" s="78" t="str">
        <f>IF(C1763="","",IFERROR(VLOOKUP(C1763,parametros!$A$11:$E$15,5,0),""))</f>
        <v/>
      </c>
      <c r="F1763" s="79" t="str">
        <f t="shared" si="137"/>
        <v/>
      </c>
      <c r="G1763" s="395"/>
      <c r="H1763" s="91">
        <f t="shared" si="138"/>
        <v>0</v>
      </c>
      <c r="I1763" s="91" t="str">
        <f t="shared" si="139"/>
        <v/>
      </c>
      <c r="J1763" s="91" t="str">
        <f t="shared" si="140"/>
        <v/>
      </c>
      <c r="K1763" s="92" t="str">
        <f>IF(AND(A1763="",B1763="",D1763="",G1763=""),"",IF(AND(A1763&lt;&gt;"",COUNTIF($A$2:$A$5001,A1763)&gt;1),"NUMERO_PC duplicado",IF(B1763="","DATA_PC vazia",IF(NOT(ISNUMBER(B1763)),"DATA_PC invalida",IF(OR(C1763="",C1763="Fora dos ciclos"),"CICLO_PC nao identificado",IF(OR(D1763="",D1763=0),"VALOR_PC vazio ou zero",IF(AND(G1763&lt;&gt;"Sim",G1763&lt;&gt;"Nao",G1763&lt;&gt;""),"PC_PAGO_A_CONTRATADA invalido",IF(AND(C1763&lt;&gt;"C0",IFERROR(INDEX(parametros!$A$2:$A$6,MATCH(C1763,parametros!$B$2:$B$6,0)),"")="Sim",IFERROR(INDEX(parametros!$H$2:$H$6,MATCH(C1763,parametros!$B$2:$B$6,0)),"")=""),"INICIO_EFEITO ausente: PC "&amp;A1763&amp;" - "&amp;C1763,IF(L1763="","EFEITO_PC nao calculado: PC "&amp;A1763&amp;" - "&amp;C1763,"OK")))))))))</f>
        <v/>
      </c>
      <c r="L1763" s="92" t="str">
        <f>IF(AND(A1763="",B1763="",D1763="",G1763=""),"",IF(OR(B1763="",NOT(ISNUMBER(B1763)),C1763="",C1763="Fora dos ciclos"),"",IF(C1763="C0","Nao",IF(IFERROR(INDEX(parametros!$A$2:$A$6,MATCH(C1763,parametros!$B$2:$B$6,0)),"")&lt;&gt;"Sim","Nao",IF(IFERROR(INDEX(parametros!$H$2:$H$6,MATCH(C1763,parametros!$B$2:$B$6,0)),"")="","",IF(B1763&gt;=IFERROR(INDEX(parametros!$H$2:$H$6,MATCH(C1763,parametros!$B$2:$B$6,0)),""),"Sim","Nao"))))))</f>
        <v/>
      </c>
      <c r="T1763" s="156"/>
      <c r="U1763" s="214" t="str">
        <f t="shared" si="141"/>
        <v/>
      </c>
      <c r="V1763" s="212" t="s">
        <v>50</v>
      </c>
      <c r="W1763" s="100" t="s">
        <v>168</v>
      </c>
      <c r="X1763" s="100" t="s">
        <v>169</v>
      </c>
      <c r="Y1763" s="101" t="s">
        <v>170</v>
      </c>
      <c r="Z1763" s="101" t="s">
        <v>171</v>
      </c>
      <c r="AA1763" s="101" t="s">
        <v>50</v>
      </c>
      <c r="AB1763" s="101" t="s">
        <v>172</v>
      </c>
      <c r="AC1763" s="102" t="s">
        <v>173</v>
      </c>
    </row>
    <row r="1764" spans="1:29" ht="25.5" customHeight="1" x14ac:dyDescent="0.35">
      <c r="A1764" s="392"/>
      <c r="B1764" s="393"/>
      <c r="C1764" s="99" t="str">
        <f>IF(B1764="","",IF(NOT(ISNUMBER(B1764)),"DATA_PC invalida",IF(NOT(ISNUMBER(parametros!$C$2)),"Fora dos ciclos",IF(OR(B1764&lt;parametros!$C$2,(YEAR(B1764)-YEAR(parametros!$C$2))*12+MONTH(B1764)-MONTH(parametros!$C$2)&gt;59),"Fora dos ciclos","C"&amp;INT(((YEAR(B1764)-YEAR(parametros!$C$2))*12+MONTH(B1764)-MONTH(parametros!$C$2))/12)))))</f>
        <v/>
      </c>
      <c r="D1764" s="394"/>
      <c r="E1764" s="78" t="str">
        <f>IF(C1764="","",IFERROR(VLOOKUP(C1764,parametros!$A$11:$E$15,5,0),""))</f>
        <v/>
      </c>
      <c r="F1764" s="79" t="str">
        <f t="shared" si="137"/>
        <v/>
      </c>
      <c r="G1764" s="395"/>
      <c r="H1764" s="91">
        <f t="shared" si="138"/>
        <v>0</v>
      </c>
      <c r="I1764" s="91" t="str">
        <f t="shared" si="139"/>
        <v/>
      </c>
      <c r="J1764" s="91" t="str">
        <f t="shared" si="140"/>
        <v/>
      </c>
      <c r="K1764" s="92" t="str">
        <f>IF(AND(A1764="",B1764="",D1764="",G1764=""),"",IF(AND(A1764&lt;&gt;"",COUNTIF($A$2:$A$5001,A1764)&gt;1),"NUMERO_PC duplicado",IF(B1764="","DATA_PC vazia",IF(NOT(ISNUMBER(B1764)),"DATA_PC invalida",IF(OR(C1764="",C1764="Fora dos ciclos"),"CICLO_PC nao identificado",IF(OR(D1764="",D1764=0),"VALOR_PC vazio ou zero",IF(AND(G1764&lt;&gt;"Sim",G1764&lt;&gt;"Nao",G1764&lt;&gt;""),"PC_PAGO_A_CONTRATADA invalido",IF(AND(C1764&lt;&gt;"C0",IFERROR(INDEX(parametros!$A$2:$A$6,MATCH(C1764,parametros!$B$2:$B$6,0)),"")="Sim",IFERROR(INDEX(parametros!$H$2:$H$6,MATCH(C1764,parametros!$B$2:$B$6,0)),"")=""),"INICIO_EFEITO ausente: PC "&amp;A1764&amp;" - "&amp;C1764,IF(L1764="","EFEITO_PC nao calculado: PC "&amp;A1764&amp;" - "&amp;C1764,"OK")))))))))</f>
        <v/>
      </c>
      <c r="L1764" s="92" t="str">
        <f>IF(AND(A1764="",B1764="",D1764="",G1764=""),"",IF(OR(B1764="",NOT(ISNUMBER(B1764)),C1764="",C1764="Fora dos ciclos"),"",IF(C1764="C0","Nao",IF(IFERROR(INDEX(parametros!$A$2:$A$6,MATCH(C1764,parametros!$B$2:$B$6,0)),"")&lt;&gt;"Sim","Nao",IF(IFERROR(INDEX(parametros!$H$2:$H$6,MATCH(C1764,parametros!$B$2:$B$6,0)),"")="","",IF(B1764&gt;=IFERROR(INDEX(parametros!$H$2:$H$6,MATCH(C1764,parametros!$B$2:$B$6,0)),""),"Sim","Nao"))))))</f>
        <v/>
      </c>
      <c r="T1764" s="156"/>
      <c r="U1764" s="214" t="str">
        <f t="shared" si="141"/>
        <v/>
      </c>
      <c r="V1764" s="212" t="s">
        <v>50</v>
      </c>
      <c r="W1764" s="100" t="s">
        <v>168</v>
      </c>
      <c r="X1764" s="100" t="s">
        <v>169</v>
      </c>
      <c r="Y1764" s="101" t="s">
        <v>170</v>
      </c>
      <c r="Z1764" s="101" t="s">
        <v>171</v>
      </c>
      <c r="AA1764" s="101" t="s">
        <v>50</v>
      </c>
      <c r="AB1764" s="101" t="s">
        <v>172</v>
      </c>
      <c r="AC1764" s="102" t="s">
        <v>173</v>
      </c>
    </row>
    <row r="1765" spans="1:29" ht="25.5" customHeight="1" x14ac:dyDescent="0.35">
      <c r="A1765" s="392"/>
      <c r="B1765" s="393"/>
      <c r="C1765" s="99" t="str">
        <f>IF(B1765="","",IF(NOT(ISNUMBER(B1765)),"DATA_PC invalida",IF(NOT(ISNUMBER(parametros!$C$2)),"Fora dos ciclos",IF(OR(B1765&lt;parametros!$C$2,(YEAR(B1765)-YEAR(parametros!$C$2))*12+MONTH(B1765)-MONTH(parametros!$C$2)&gt;59),"Fora dos ciclos","C"&amp;INT(((YEAR(B1765)-YEAR(parametros!$C$2))*12+MONTH(B1765)-MONTH(parametros!$C$2))/12)))))</f>
        <v/>
      </c>
      <c r="D1765" s="394"/>
      <c r="E1765" s="78" t="str">
        <f>IF(C1765="","",IFERROR(VLOOKUP(C1765,parametros!$A$11:$E$15,5,0),""))</f>
        <v/>
      </c>
      <c r="F1765" s="79" t="str">
        <f t="shared" si="137"/>
        <v/>
      </c>
      <c r="G1765" s="395"/>
      <c r="H1765" s="91">
        <f t="shared" si="138"/>
        <v>0</v>
      </c>
      <c r="I1765" s="91" t="str">
        <f t="shared" si="139"/>
        <v/>
      </c>
      <c r="J1765" s="91" t="str">
        <f t="shared" si="140"/>
        <v/>
      </c>
      <c r="K1765" s="92" t="str">
        <f>IF(AND(A1765="",B1765="",D1765="",G1765=""),"",IF(AND(A1765&lt;&gt;"",COUNTIF($A$2:$A$5001,A1765)&gt;1),"NUMERO_PC duplicado",IF(B1765="","DATA_PC vazia",IF(NOT(ISNUMBER(B1765)),"DATA_PC invalida",IF(OR(C1765="",C1765="Fora dos ciclos"),"CICLO_PC nao identificado",IF(OR(D1765="",D1765=0),"VALOR_PC vazio ou zero",IF(AND(G1765&lt;&gt;"Sim",G1765&lt;&gt;"Nao",G1765&lt;&gt;""),"PC_PAGO_A_CONTRATADA invalido",IF(AND(C1765&lt;&gt;"C0",IFERROR(INDEX(parametros!$A$2:$A$6,MATCH(C1765,parametros!$B$2:$B$6,0)),"")="Sim",IFERROR(INDEX(parametros!$H$2:$H$6,MATCH(C1765,parametros!$B$2:$B$6,0)),"")=""),"INICIO_EFEITO ausente: PC "&amp;A1765&amp;" - "&amp;C1765,IF(L1765="","EFEITO_PC nao calculado: PC "&amp;A1765&amp;" - "&amp;C1765,"OK")))))))))</f>
        <v/>
      </c>
      <c r="L1765" s="92" t="str">
        <f>IF(AND(A1765="",B1765="",D1765="",G1765=""),"",IF(OR(B1765="",NOT(ISNUMBER(B1765)),C1765="",C1765="Fora dos ciclos"),"",IF(C1765="C0","Nao",IF(IFERROR(INDEX(parametros!$A$2:$A$6,MATCH(C1765,parametros!$B$2:$B$6,0)),"")&lt;&gt;"Sim","Nao",IF(IFERROR(INDEX(parametros!$H$2:$H$6,MATCH(C1765,parametros!$B$2:$B$6,0)),"")="","",IF(B1765&gt;=IFERROR(INDEX(parametros!$H$2:$H$6,MATCH(C1765,parametros!$B$2:$B$6,0)),""),"Sim","Nao"))))))</f>
        <v/>
      </c>
      <c r="T1765" s="156"/>
      <c r="U1765" s="214" t="str">
        <f t="shared" si="141"/>
        <v/>
      </c>
      <c r="V1765" s="212" t="s">
        <v>50</v>
      </c>
      <c r="W1765" s="100" t="s">
        <v>168</v>
      </c>
      <c r="X1765" s="100" t="s">
        <v>169</v>
      </c>
      <c r="Y1765" s="101" t="s">
        <v>170</v>
      </c>
      <c r="Z1765" s="101" t="s">
        <v>171</v>
      </c>
      <c r="AA1765" s="101" t="s">
        <v>50</v>
      </c>
      <c r="AB1765" s="101" t="s">
        <v>172</v>
      </c>
      <c r="AC1765" s="102" t="s">
        <v>173</v>
      </c>
    </row>
    <row r="1766" spans="1:29" ht="25.5" customHeight="1" x14ac:dyDescent="0.35">
      <c r="A1766" s="392"/>
      <c r="B1766" s="393"/>
      <c r="C1766" s="99" t="str">
        <f>IF(B1766="","",IF(NOT(ISNUMBER(B1766)),"DATA_PC invalida",IF(NOT(ISNUMBER(parametros!$C$2)),"Fora dos ciclos",IF(OR(B1766&lt;parametros!$C$2,(YEAR(B1766)-YEAR(parametros!$C$2))*12+MONTH(B1766)-MONTH(parametros!$C$2)&gt;59),"Fora dos ciclos","C"&amp;INT(((YEAR(B1766)-YEAR(parametros!$C$2))*12+MONTH(B1766)-MONTH(parametros!$C$2))/12)))))</f>
        <v/>
      </c>
      <c r="D1766" s="394"/>
      <c r="E1766" s="78" t="str">
        <f>IF(C1766="","",IFERROR(VLOOKUP(C1766,parametros!$A$11:$E$15,5,0),""))</f>
        <v/>
      </c>
      <c r="F1766" s="79" t="str">
        <f t="shared" si="137"/>
        <v/>
      </c>
      <c r="G1766" s="395"/>
      <c r="H1766" s="91">
        <f t="shared" si="138"/>
        <v>0</v>
      </c>
      <c r="I1766" s="91" t="str">
        <f t="shared" si="139"/>
        <v/>
      </c>
      <c r="J1766" s="91" t="str">
        <f t="shared" si="140"/>
        <v/>
      </c>
      <c r="K1766" s="92" t="str">
        <f>IF(AND(A1766="",B1766="",D1766="",G1766=""),"",IF(AND(A1766&lt;&gt;"",COUNTIF($A$2:$A$5001,A1766)&gt;1),"NUMERO_PC duplicado",IF(B1766="","DATA_PC vazia",IF(NOT(ISNUMBER(B1766)),"DATA_PC invalida",IF(OR(C1766="",C1766="Fora dos ciclos"),"CICLO_PC nao identificado",IF(OR(D1766="",D1766=0),"VALOR_PC vazio ou zero",IF(AND(G1766&lt;&gt;"Sim",G1766&lt;&gt;"Nao",G1766&lt;&gt;""),"PC_PAGO_A_CONTRATADA invalido",IF(AND(C1766&lt;&gt;"C0",IFERROR(INDEX(parametros!$A$2:$A$6,MATCH(C1766,parametros!$B$2:$B$6,0)),"")="Sim",IFERROR(INDEX(parametros!$H$2:$H$6,MATCH(C1766,parametros!$B$2:$B$6,0)),"")=""),"INICIO_EFEITO ausente: PC "&amp;A1766&amp;" - "&amp;C1766,IF(L1766="","EFEITO_PC nao calculado: PC "&amp;A1766&amp;" - "&amp;C1766,"OK")))))))))</f>
        <v/>
      </c>
      <c r="L1766" s="92" t="str">
        <f>IF(AND(A1766="",B1766="",D1766="",G1766=""),"",IF(OR(B1766="",NOT(ISNUMBER(B1766)),C1766="",C1766="Fora dos ciclos"),"",IF(C1766="C0","Nao",IF(IFERROR(INDEX(parametros!$A$2:$A$6,MATCH(C1766,parametros!$B$2:$B$6,0)),"")&lt;&gt;"Sim","Nao",IF(IFERROR(INDEX(parametros!$H$2:$H$6,MATCH(C1766,parametros!$B$2:$B$6,0)),"")="","",IF(B1766&gt;=IFERROR(INDEX(parametros!$H$2:$H$6,MATCH(C1766,parametros!$B$2:$B$6,0)),""),"Sim","Nao"))))))</f>
        <v/>
      </c>
      <c r="T1766" s="156"/>
      <c r="U1766" s="214" t="str">
        <f t="shared" si="141"/>
        <v/>
      </c>
      <c r="V1766" s="212" t="s">
        <v>50</v>
      </c>
      <c r="W1766" s="100" t="s">
        <v>168</v>
      </c>
      <c r="X1766" s="100" t="s">
        <v>169</v>
      </c>
      <c r="Y1766" s="101" t="s">
        <v>170</v>
      </c>
      <c r="Z1766" s="101" t="s">
        <v>171</v>
      </c>
      <c r="AA1766" s="101" t="s">
        <v>50</v>
      </c>
      <c r="AB1766" s="101" t="s">
        <v>172</v>
      </c>
      <c r="AC1766" s="102" t="s">
        <v>173</v>
      </c>
    </row>
    <row r="1767" spans="1:29" ht="25.5" customHeight="1" x14ac:dyDescent="0.35">
      <c r="A1767" s="392"/>
      <c r="B1767" s="393"/>
      <c r="C1767" s="99" t="str">
        <f>IF(B1767="","",IF(NOT(ISNUMBER(B1767)),"DATA_PC invalida",IF(NOT(ISNUMBER(parametros!$C$2)),"Fora dos ciclos",IF(OR(B1767&lt;parametros!$C$2,(YEAR(B1767)-YEAR(parametros!$C$2))*12+MONTH(B1767)-MONTH(parametros!$C$2)&gt;59),"Fora dos ciclos","C"&amp;INT(((YEAR(B1767)-YEAR(parametros!$C$2))*12+MONTH(B1767)-MONTH(parametros!$C$2))/12)))))</f>
        <v/>
      </c>
      <c r="D1767" s="394"/>
      <c r="E1767" s="78" t="str">
        <f>IF(C1767="","",IFERROR(VLOOKUP(C1767,parametros!$A$11:$E$15,5,0),""))</f>
        <v/>
      </c>
      <c r="F1767" s="79" t="str">
        <f t="shared" si="137"/>
        <v/>
      </c>
      <c r="G1767" s="395"/>
      <c r="H1767" s="91">
        <f t="shared" si="138"/>
        <v>0</v>
      </c>
      <c r="I1767" s="91" t="str">
        <f t="shared" si="139"/>
        <v/>
      </c>
      <c r="J1767" s="91" t="str">
        <f t="shared" si="140"/>
        <v/>
      </c>
      <c r="K1767" s="92" t="str">
        <f>IF(AND(A1767="",B1767="",D1767="",G1767=""),"",IF(AND(A1767&lt;&gt;"",COUNTIF($A$2:$A$5001,A1767)&gt;1),"NUMERO_PC duplicado",IF(B1767="","DATA_PC vazia",IF(NOT(ISNUMBER(B1767)),"DATA_PC invalida",IF(OR(C1767="",C1767="Fora dos ciclos"),"CICLO_PC nao identificado",IF(OR(D1767="",D1767=0),"VALOR_PC vazio ou zero",IF(AND(G1767&lt;&gt;"Sim",G1767&lt;&gt;"Nao",G1767&lt;&gt;""),"PC_PAGO_A_CONTRATADA invalido",IF(AND(C1767&lt;&gt;"C0",IFERROR(INDEX(parametros!$A$2:$A$6,MATCH(C1767,parametros!$B$2:$B$6,0)),"")="Sim",IFERROR(INDEX(parametros!$H$2:$H$6,MATCH(C1767,parametros!$B$2:$B$6,0)),"")=""),"INICIO_EFEITO ausente: PC "&amp;A1767&amp;" - "&amp;C1767,IF(L1767="","EFEITO_PC nao calculado: PC "&amp;A1767&amp;" - "&amp;C1767,"OK")))))))))</f>
        <v/>
      </c>
      <c r="L1767" s="92" t="str">
        <f>IF(AND(A1767="",B1767="",D1767="",G1767=""),"",IF(OR(B1767="",NOT(ISNUMBER(B1767)),C1767="",C1767="Fora dos ciclos"),"",IF(C1767="C0","Nao",IF(IFERROR(INDEX(parametros!$A$2:$A$6,MATCH(C1767,parametros!$B$2:$B$6,0)),"")&lt;&gt;"Sim","Nao",IF(IFERROR(INDEX(parametros!$H$2:$H$6,MATCH(C1767,parametros!$B$2:$B$6,0)),"")="","",IF(B1767&gt;=IFERROR(INDEX(parametros!$H$2:$H$6,MATCH(C1767,parametros!$B$2:$B$6,0)),""),"Sim","Nao"))))))</f>
        <v/>
      </c>
      <c r="T1767" s="156"/>
      <c r="U1767" s="214" t="str">
        <f t="shared" si="141"/>
        <v/>
      </c>
      <c r="V1767" s="212" t="s">
        <v>50</v>
      </c>
      <c r="W1767" s="100" t="s">
        <v>168</v>
      </c>
      <c r="X1767" s="100" t="s">
        <v>169</v>
      </c>
      <c r="Y1767" s="101" t="s">
        <v>170</v>
      </c>
      <c r="Z1767" s="101" t="s">
        <v>171</v>
      </c>
      <c r="AA1767" s="101" t="s">
        <v>50</v>
      </c>
      <c r="AB1767" s="101" t="s">
        <v>172</v>
      </c>
      <c r="AC1767" s="102" t="s">
        <v>173</v>
      </c>
    </row>
    <row r="1768" spans="1:29" ht="25.5" customHeight="1" x14ac:dyDescent="0.35">
      <c r="A1768" s="392"/>
      <c r="B1768" s="393"/>
      <c r="C1768" s="99" t="str">
        <f>IF(B1768="","",IF(NOT(ISNUMBER(B1768)),"DATA_PC invalida",IF(NOT(ISNUMBER(parametros!$C$2)),"Fora dos ciclos",IF(OR(B1768&lt;parametros!$C$2,(YEAR(B1768)-YEAR(parametros!$C$2))*12+MONTH(B1768)-MONTH(parametros!$C$2)&gt;59),"Fora dos ciclos","C"&amp;INT(((YEAR(B1768)-YEAR(parametros!$C$2))*12+MONTH(B1768)-MONTH(parametros!$C$2))/12)))))</f>
        <v/>
      </c>
      <c r="D1768" s="394"/>
      <c r="E1768" s="78" t="str">
        <f>IF(C1768="","",IFERROR(VLOOKUP(C1768,parametros!$A$11:$E$15,5,0),""))</f>
        <v/>
      </c>
      <c r="F1768" s="79" t="str">
        <f t="shared" si="137"/>
        <v/>
      </c>
      <c r="G1768" s="395"/>
      <c r="H1768" s="91">
        <f t="shared" si="138"/>
        <v>0</v>
      </c>
      <c r="I1768" s="91" t="str">
        <f t="shared" si="139"/>
        <v/>
      </c>
      <c r="J1768" s="91" t="str">
        <f t="shared" si="140"/>
        <v/>
      </c>
      <c r="K1768" s="92" t="str">
        <f>IF(AND(A1768="",B1768="",D1768="",G1768=""),"",IF(AND(A1768&lt;&gt;"",COUNTIF($A$2:$A$5001,A1768)&gt;1),"NUMERO_PC duplicado",IF(B1768="","DATA_PC vazia",IF(NOT(ISNUMBER(B1768)),"DATA_PC invalida",IF(OR(C1768="",C1768="Fora dos ciclos"),"CICLO_PC nao identificado",IF(OR(D1768="",D1768=0),"VALOR_PC vazio ou zero",IF(AND(G1768&lt;&gt;"Sim",G1768&lt;&gt;"Nao",G1768&lt;&gt;""),"PC_PAGO_A_CONTRATADA invalido",IF(AND(C1768&lt;&gt;"C0",IFERROR(INDEX(parametros!$A$2:$A$6,MATCH(C1768,parametros!$B$2:$B$6,0)),"")="Sim",IFERROR(INDEX(parametros!$H$2:$H$6,MATCH(C1768,parametros!$B$2:$B$6,0)),"")=""),"INICIO_EFEITO ausente: PC "&amp;A1768&amp;" - "&amp;C1768,IF(L1768="","EFEITO_PC nao calculado: PC "&amp;A1768&amp;" - "&amp;C1768,"OK")))))))))</f>
        <v/>
      </c>
      <c r="L1768" s="92" t="str">
        <f>IF(AND(A1768="",B1768="",D1768="",G1768=""),"",IF(OR(B1768="",NOT(ISNUMBER(B1768)),C1768="",C1768="Fora dos ciclos"),"",IF(C1768="C0","Nao",IF(IFERROR(INDEX(parametros!$A$2:$A$6,MATCH(C1768,parametros!$B$2:$B$6,0)),"")&lt;&gt;"Sim","Nao",IF(IFERROR(INDEX(parametros!$H$2:$H$6,MATCH(C1768,parametros!$B$2:$B$6,0)),"")="","",IF(B1768&gt;=IFERROR(INDEX(parametros!$H$2:$H$6,MATCH(C1768,parametros!$B$2:$B$6,0)),""),"Sim","Nao"))))))</f>
        <v/>
      </c>
      <c r="T1768" s="156"/>
      <c r="U1768" s="214" t="str">
        <f t="shared" si="141"/>
        <v/>
      </c>
      <c r="V1768" s="212" t="s">
        <v>50</v>
      </c>
      <c r="W1768" s="100" t="s">
        <v>168</v>
      </c>
      <c r="X1768" s="100" t="s">
        <v>169</v>
      </c>
      <c r="Y1768" s="101" t="s">
        <v>170</v>
      </c>
      <c r="Z1768" s="101" t="s">
        <v>171</v>
      </c>
      <c r="AA1768" s="101" t="s">
        <v>50</v>
      </c>
      <c r="AB1768" s="101" t="s">
        <v>172</v>
      </c>
      <c r="AC1768" s="102" t="s">
        <v>173</v>
      </c>
    </row>
    <row r="1769" spans="1:29" ht="25.5" customHeight="1" x14ac:dyDescent="0.35">
      <c r="A1769" s="392"/>
      <c r="B1769" s="393"/>
      <c r="C1769" s="99" t="str">
        <f>IF(B1769="","",IF(NOT(ISNUMBER(B1769)),"DATA_PC invalida",IF(NOT(ISNUMBER(parametros!$C$2)),"Fora dos ciclos",IF(OR(B1769&lt;parametros!$C$2,(YEAR(B1769)-YEAR(parametros!$C$2))*12+MONTH(B1769)-MONTH(parametros!$C$2)&gt;59),"Fora dos ciclos","C"&amp;INT(((YEAR(B1769)-YEAR(parametros!$C$2))*12+MONTH(B1769)-MONTH(parametros!$C$2))/12)))))</f>
        <v/>
      </c>
      <c r="D1769" s="394"/>
      <c r="E1769" s="78" t="str">
        <f>IF(C1769="","",IFERROR(VLOOKUP(C1769,parametros!$A$11:$E$15,5,0),""))</f>
        <v/>
      </c>
      <c r="F1769" s="79" t="str">
        <f t="shared" si="137"/>
        <v/>
      </c>
      <c r="G1769" s="395"/>
      <c r="H1769" s="91">
        <f t="shared" si="138"/>
        <v>0</v>
      </c>
      <c r="I1769" s="91" t="str">
        <f t="shared" si="139"/>
        <v/>
      </c>
      <c r="J1769" s="91" t="str">
        <f t="shared" si="140"/>
        <v/>
      </c>
      <c r="K1769" s="92" t="str">
        <f>IF(AND(A1769="",B1769="",D1769="",G1769=""),"",IF(AND(A1769&lt;&gt;"",COUNTIF($A$2:$A$5001,A1769)&gt;1),"NUMERO_PC duplicado",IF(B1769="","DATA_PC vazia",IF(NOT(ISNUMBER(B1769)),"DATA_PC invalida",IF(OR(C1769="",C1769="Fora dos ciclos"),"CICLO_PC nao identificado",IF(OR(D1769="",D1769=0),"VALOR_PC vazio ou zero",IF(AND(G1769&lt;&gt;"Sim",G1769&lt;&gt;"Nao",G1769&lt;&gt;""),"PC_PAGO_A_CONTRATADA invalido",IF(AND(C1769&lt;&gt;"C0",IFERROR(INDEX(parametros!$A$2:$A$6,MATCH(C1769,parametros!$B$2:$B$6,0)),"")="Sim",IFERROR(INDEX(parametros!$H$2:$H$6,MATCH(C1769,parametros!$B$2:$B$6,0)),"")=""),"INICIO_EFEITO ausente: PC "&amp;A1769&amp;" - "&amp;C1769,IF(L1769="","EFEITO_PC nao calculado: PC "&amp;A1769&amp;" - "&amp;C1769,"OK")))))))))</f>
        <v/>
      </c>
      <c r="L1769" s="92" t="str">
        <f>IF(AND(A1769="",B1769="",D1769="",G1769=""),"",IF(OR(B1769="",NOT(ISNUMBER(B1769)),C1769="",C1769="Fora dos ciclos"),"",IF(C1769="C0","Nao",IF(IFERROR(INDEX(parametros!$A$2:$A$6,MATCH(C1769,parametros!$B$2:$B$6,0)),"")&lt;&gt;"Sim","Nao",IF(IFERROR(INDEX(parametros!$H$2:$H$6,MATCH(C1769,parametros!$B$2:$B$6,0)),"")="","",IF(B1769&gt;=IFERROR(INDEX(parametros!$H$2:$H$6,MATCH(C1769,parametros!$B$2:$B$6,0)),""),"Sim","Nao"))))))</f>
        <v/>
      </c>
      <c r="T1769" s="156"/>
      <c r="U1769" s="214" t="str">
        <f t="shared" si="141"/>
        <v/>
      </c>
      <c r="V1769" s="212" t="s">
        <v>50</v>
      </c>
      <c r="W1769" s="100" t="s">
        <v>168</v>
      </c>
      <c r="X1769" s="100" t="s">
        <v>169</v>
      </c>
      <c r="Y1769" s="101" t="s">
        <v>170</v>
      </c>
      <c r="Z1769" s="101" t="s">
        <v>171</v>
      </c>
      <c r="AA1769" s="101" t="s">
        <v>50</v>
      </c>
      <c r="AB1769" s="101" t="s">
        <v>172</v>
      </c>
      <c r="AC1769" s="102" t="s">
        <v>173</v>
      </c>
    </row>
    <row r="1770" spans="1:29" ht="25.5" customHeight="1" x14ac:dyDescent="0.35">
      <c r="A1770" s="392"/>
      <c r="B1770" s="393"/>
      <c r="C1770" s="99" t="str">
        <f>IF(B1770="","",IF(NOT(ISNUMBER(B1770)),"DATA_PC invalida",IF(NOT(ISNUMBER(parametros!$C$2)),"Fora dos ciclos",IF(OR(B1770&lt;parametros!$C$2,(YEAR(B1770)-YEAR(parametros!$C$2))*12+MONTH(B1770)-MONTH(parametros!$C$2)&gt;59),"Fora dos ciclos","C"&amp;INT(((YEAR(B1770)-YEAR(parametros!$C$2))*12+MONTH(B1770)-MONTH(parametros!$C$2))/12)))))</f>
        <v/>
      </c>
      <c r="D1770" s="394"/>
      <c r="E1770" s="78" t="str">
        <f>IF(C1770="","",IFERROR(VLOOKUP(C1770,parametros!$A$11:$E$15,5,0),""))</f>
        <v/>
      </c>
      <c r="F1770" s="79" t="str">
        <f t="shared" si="137"/>
        <v/>
      </c>
      <c r="G1770" s="395"/>
      <c r="H1770" s="91">
        <f t="shared" si="138"/>
        <v>0</v>
      </c>
      <c r="I1770" s="91" t="str">
        <f t="shared" si="139"/>
        <v/>
      </c>
      <c r="J1770" s="91" t="str">
        <f t="shared" si="140"/>
        <v/>
      </c>
      <c r="K1770" s="92" t="str">
        <f>IF(AND(A1770="",B1770="",D1770="",G1770=""),"",IF(AND(A1770&lt;&gt;"",COUNTIF($A$2:$A$5001,A1770)&gt;1),"NUMERO_PC duplicado",IF(B1770="","DATA_PC vazia",IF(NOT(ISNUMBER(B1770)),"DATA_PC invalida",IF(OR(C1770="",C1770="Fora dos ciclos"),"CICLO_PC nao identificado",IF(OR(D1770="",D1770=0),"VALOR_PC vazio ou zero",IF(AND(G1770&lt;&gt;"Sim",G1770&lt;&gt;"Nao",G1770&lt;&gt;""),"PC_PAGO_A_CONTRATADA invalido",IF(AND(C1770&lt;&gt;"C0",IFERROR(INDEX(parametros!$A$2:$A$6,MATCH(C1770,parametros!$B$2:$B$6,0)),"")="Sim",IFERROR(INDEX(parametros!$H$2:$H$6,MATCH(C1770,parametros!$B$2:$B$6,0)),"")=""),"INICIO_EFEITO ausente: PC "&amp;A1770&amp;" - "&amp;C1770,IF(L1770="","EFEITO_PC nao calculado: PC "&amp;A1770&amp;" - "&amp;C1770,"OK")))))))))</f>
        <v/>
      </c>
      <c r="L1770" s="92" t="str">
        <f>IF(AND(A1770="",B1770="",D1770="",G1770=""),"",IF(OR(B1770="",NOT(ISNUMBER(B1770)),C1770="",C1770="Fora dos ciclos"),"",IF(C1770="C0","Nao",IF(IFERROR(INDEX(parametros!$A$2:$A$6,MATCH(C1770,parametros!$B$2:$B$6,0)),"")&lt;&gt;"Sim","Nao",IF(IFERROR(INDEX(parametros!$H$2:$H$6,MATCH(C1770,parametros!$B$2:$B$6,0)),"")="","",IF(B1770&gt;=IFERROR(INDEX(parametros!$H$2:$H$6,MATCH(C1770,parametros!$B$2:$B$6,0)),""),"Sim","Nao"))))))</f>
        <v/>
      </c>
      <c r="T1770" s="156"/>
      <c r="U1770" s="214" t="str">
        <f t="shared" si="141"/>
        <v/>
      </c>
      <c r="V1770" s="212" t="s">
        <v>50</v>
      </c>
      <c r="W1770" s="100" t="s">
        <v>168</v>
      </c>
      <c r="X1770" s="100" t="s">
        <v>169</v>
      </c>
      <c r="Y1770" s="101" t="s">
        <v>170</v>
      </c>
      <c r="Z1770" s="101" t="s">
        <v>171</v>
      </c>
      <c r="AA1770" s="101" t="s">
        <v>50</v>
      </c>
      <c r="AB1770" s="101" t="s">
        <v>172</v>
      </c>
      <c r="AC1770" s="102" t="s">
        <v>173</v>
      </c>
    </row>
    <row r="1771" spans="1:29" ht="25.5" customHeight="1" x14ac:dyDescent="0.35">
      <c r="A1771" s="392"/>
      <c r="B1771" s="393"/>
      <c r="C1771" s="99" t="str">
        <f>IF(B1771="","",IF(NOT(ISNUMBER(B1771)),"DATA_PC invalida",IF(NOT(ISNUMBER(parametros!$C$2)),"Fora dos ciclos",IF(OR(B1771&lt;parametros!$C$2,(YEAR(B1771)-YEAR(parametros!$C$2))*12+MONTH(B1771)-MONTH(parametros!$C$2)&gt;59),"Fora dos ciclos","C"&amp;INT(((YEAR(B1771)-YEAR(parametros!$C$2))*12+MONTH(B1771)-MONTH(parametros!$C$2))/12)))))</f>
        <v/>
      </c>
      <c r="D1771" s="394"/>
      <c r="E1771" s="78" t="str">
        <f>IF(C1771="","",IFERROR(VLOOKUP(C1771,parametros!$A$11:$E$15,5,0),""))</f>
        <v/>
      </c>
      <c r="F1771" s="79" t="str">
        <f t="shared" si="137"/>
        <v/>
      </c>
      <c r="G1771" s="395"/>
      <c r="H1771" s="91">
        <f t="shared" si="138"/>
        <v>0</v>
      </c>
      <c r="I1771" s="91" t="str">
        <f t="shared" si="139"/>
        <v/>
      </c>
      <c r="J1771" s="91" t="str">
        <f t="shared" si="140"/>
        <v/>
      </c>
      <c r="K1771" s="92" t="str">
        <f>IF(AND(A1771="",B1771="",D1771="",G1771=""),"",IF(AND(A1771&lt;&gt;"",COUNTIF($A$2:$A$5001,A1771)&gt;1),"NUMERO_PC duplicado",IF(B1771="","DATA_PC vazia",IF(NOT(ISNUMBER(B1771)),"DATA_PC invalida",IF(OR(C1771="",C1771="Fora dos ciclos"),"CICLO_PC nao identificado",IF(OR(D1771="",D1771=0),"VALOR_PC vazio ou zero",IF(AND(G1771&lt;&gt;"Sim",G1771&lt;&gt;"Nao",G1771&lt;&gt;""),"PC_PAGO_A_CONTRATADA invalido",IF(AND(C1771&lt;&gt;"C0",IFERROR(INDEX(parametros!$A$2:$A$6,MATCH(C1771,parametros!$B$2:$B$6,0)),"")="Sim",IFERROR(INDEX(parametros!$H$2:$H$6,MATCH(C1771,parametros!$B$2:$B$6,0)),"")=""),"INICIO_EFEITO ausente: PC "&amp;A1771&amp;" - "&amp;C1771,IF(L1771="","EFEITO_PC nao calculado: PC "&amp;A1771&amp;" - "&amp;C1771,"OK")))))))))</f>
        <v/>
      </c>
      <c r="L1771" s="92" t="str">
        <f>IF(AND(A1771="",B1771="",D1771="",G1771=""),"",IF(OR(B1771="",NOT(ISNUMBER(B1771)),C1771="",C1771="Fora dos ciclos"),"",IF(C1771="C0","Nao",IF(IFERROR(INDEX(parametros!$A$2:$A$6,MATCH(C1771,parametros!$B$2:$B$6,0)),"")&lt;&gt;"Sim","Nao",IF(IFERROR(INDEX(parametros!$H$2:$H$6,MATCH(C1771,parametros!$B$2:$B$6,0)),"")="","",IF(B1771&gt;=IFERROR(INDEX(parametros!$H$2:$H$6,MATCH(C1771,parametros!$B$2:$B$6,0)),""),"Sim","Nao"))))))</f>
        <v/>
      </c>
      <c r="T1771" s="156"/>
      <c r="U1771" s="214" t="str">
        <f t="shared" si="141"/>
        <v/>
      </c>
      <c r="V1771" s="212" t="s">
        <v>50</v>
      </c>
      <c r="W1771" s="100" t="s">
        <v>168</v>
      </c>
      <c r="X1771" s="100" t="s">
        <v>169</v>
      </c>
      <c r="Y1771" s="101" t="s">
        <v>170</v>
      </c>
      <c r="Z1771" s="101" t="s">
        <v>171</v>
      </c>
      <c r="AA1771" s="101" t="s">
        <v>50</v>
      </c>
      <c r="AB1771" s="101" t="s">
        <v>172</v>
      </c>
      <c r="AC1771" s="102" t="s">
        <v>173</v>
      </c>
    </row>
    <row r="1772" spans="1:29" ht="25.5" customHeight="1" x14ac:dyDescent="0.35">
      <c r="A1772" s="392"/>
      <c r="B1772" s="393"/>
      <c r="C1772" s="99" t="str">
        <f>IF(B1772="","",IF(NOT(ISNUMBER(B1772)),"DATA_PC invalida",IF(NOT(ISNUMBER(parametros!$C$2)),"Fora dos ciclos",IF(OR(B1772&lt;parametros!$C$2,(YEAR(B1772)-YEAR(parametros!$C$2))*12+MONTH(B1772)-MONTH(parametros!$C$2)&gt;59),"Fora dos ciclos","C"&amp;INT(((YEAR(B1772)-YEAR(parametros!$C$2))*12+MONTH(B1772)-MONTH(parametros!$C$2))/12)))))</f>
        <v/>
      </c>
      <c r="D1772" s="394"/>
      <c r="E1772" s="78" t="str">
        <f>IF(C1772="","",IFERROR(VLOOKUP(C1772,parametros!$A$11:$E$15,5,0),""))</f>
        <v/>
      </c>
      <c r="F1772" s="79" t="str">
        <f t="shared" si="137"/>
        <v/>
      </c>
      <c r="G1772" s="395"/>
      <c r="H1772" s="91">
        <f t="shared" si="138"/>
        <v>0</v>
      </c>
      <c r="I1772" s="91" t="str">
        <f t="shared" si="139"/>
        <v/>
      </c>
      <c r="J1772" s="91" t="str">
        <f t="shared" si="140"/>
        <v/>
      </c>
      <c r="K1772" s="92" t="str">
        <f>IF(AND(A1772="",B1772="",D1772="",G1772=""),"",IF(AND(A1772&lt;&gt;"",COUNTIF($A$2:$A$5001,A1772)&gt;1),"NUMERO_PC duplicado",IF(B1772="","DATA_PC vazia",IF(NOT(ISNUMBER(B1772)),"DATA_PC invalida",IF(OR(C1772="",C1772="Fora dos ciclos"),"CICLO_PC nao identificado",IF(OR(D1772="",D1772=0),"VALOR_PC vazio ou zero",IF(AND(G1772&lt;&gt;"Sim",G1772&lt;&gt;"Nao",G1772&lt;&gt;""),"PC_PAGO_A_CONTRATADA invalido",IF(AND(C1772&lt;&gt;"C0",IFERROR(INDEX(parametros!$A$2:$A$6,MATCH(C1772,parametros!$B$2:$B$6,0)),"")="Sim",IFERROR(INDEX(parametros!$H$2:$H$6,MATCH(C1772,parametros!$B$2:$B$6,0)),"")=""),"INICIO_EFEITO ausente: PC "&amp;A1772&amp;" - "&amp;C1772,IF(L1772="","EFEITO_PC nao calculado: PC "&amp;A1772&amp;" - "&amp;C1772,"OK")))))))))</f>
        <v/>
      </c>
      <c r="L1772" s="92" t="str">
        <f>IF(AND(A1772="",B1772="",D1772="",G1772=""),"",IF(OR(B1772="",NOT(ISNUMBER(B1772)),C1772="",C1772="Fora dos ciclos"),"",IF(C1772="C0","Nao",IF(IFERROR(INDEX(parametros!$A$2:$A$6,MATCH(C1772,parametros!$B$2:$B$6,0)),"")&lt;&gt;"Sim","Nao",IF(IFERROR(INDEX(parametros!$H$2:$H$6,MATCH(C1772,parametros!$B$2:$B$6,0)),"")="","",IF(B1772&gt;=IFERROR(INDEX(parametros!$H$2:$H$6,MATCH(C1772,parametros!$B$2:$B$6,0)),""),"Sim","Nao"))))))</f>
        <v/>
      </c>
      <c r="T1772" s="156"/>
      <c r="U1772" s="214" t="str">
        <f t="shared" si="141"/>
        <v/>
      </c>
      <c r="V1772" s="212" t="s">
        <v>50</v>
      </c>
      <c r="W1772" s="100" t="s">
        <v>168</v>
      </c>
      <c r="X1772" s="100" t="s">
        <v>169</v>
      </c>
      <c r="Y1772" s="101" t="s">
        <v>170</v>
      </c>
      <c r="Z1772" s="101" t="s">
        <v>171</v>
      </c>
      <c r="AA1772" s="101" t="s">
        <v>50</v>
      </c>
      <c r="AB1772" s="101" t="s">
        <v>172</v>
      </c>
      <c r="AC1772" s="102" t="s">
        <v>173</v>
      </c>
    </row>
    <row r="1773" spans="1:29" ht="25.5" customHeight="1" x14ac:dyDescent="0.35">
      <c r="A1773" s="392"/>
      <c r="B1773" s="393"/>
      <c r="C1773" s="99" t="str">
        <f>IF(B1773="","",IF(NOT(ISNUMBER(B1773)),"DATA_PC invalida",IF(NOT(ISNUMBER(parametros!$C$2)),"Fora dos ciclos",IF(OR(B1773&lt;parametros!$C$2,(YEAR(B1773)-YEAR(parametros!$C$2))*12+MONTH(B1773)-MONTH(parametros!$C$2)&gt;59),"Fora dos ciclos","C"&amp;INT(((YEAR(B1773)-YEAR(parametros!$C$2))*12+MONTH(B1773)-MONTH(parametros!$C$2))/12)))))</f>
        <v/>
      </c>
      <c r="D1773" s="394"/>
      <c r="E1773" s="78" t="str">
        <f>IF(C1773="","",IFERROR(VLOOKUP(C1773,parametros!$A$11:$E$15,5,0),""))</f>
        <v/>
      </c>
      <c r="F1773" s="79" t="str">
        <f t="shared" si="137"/>
        <v/>
      </c>
      <c r="G1773" s="395"/>
      <c r="H1773" s="91">
        <f t="shared" si="138"/>
        <v>0</v>
      </c>
      <c r="I1773" s="91" t="str">
        <f t="shared" si="139"/>
        <v/>
      </c>
      <c r="J1773" s="91" t="str">
        <f t="shared" si="140"/>
        <v/>
      </c>
      <c r="K1773" s="92" t="str">
        <f>IF(AND(A1773="",B1773="",D1773="",G1773=""),"",IF(AND(A1773&lt;&gt;"",COUNTIF($A$2:$A$5001,A1773)&gt;1),"NUMERO_PC duplicado",IF(B1773="","DATA_PC vazia",IF(NOT(ISNUMBER(B1773)),"DATA_PC invalida",IF(OR(C1773="",C1773="Fora dos ciclos"),"CICLO_PC nao identificado",IF(OR(D1773="",D1773=0),"VALOR_PC vazio ou zero",IF(AND(G1773&lt;&gt;"Sim",G1773&lt;&gt;"Nao",G1773&lt;&gt;""),"PC_PAGO_A_CONTRATADA invalido",IF(AND(C1773&lt;&gt;"C0",IFERROR(INDEX(parametros!$A$2:$A$6,MATCH(C1773,parametros!$B$2:$B$6,0)),"")="Sim",IFERROR(INDEX(parametros!$H$2:$H$6,MATCH(C1773,parametros!$B$2:$B$6,0)),"")=""),"INICIO_EFEITO ausente: PC "&amp;A1773&amp;" - "&amp;C1773,IF(L1773="","EFEITO_PC nao calculado: PC "&amp;A1773&amp;" - "&amp;C1773,"OK")))))))))</f>
        <v/>
      </c>
      <c r="L1773" s="92" t="str">
        <f>IF(AND(A1773="",B1773="",D1773="",G1773=""),"",IF(OR(B1773="",NOT(ISNUMBER(B1773)),C1773="",C1773="Fora dos ciclos"),"",IF(C1773="C0","Nao",IF(IFERROR(INDEX(parametros!$A$2:$A$6,MATCH(C1773,parametros!$B$2:$B$6,0)),"")&lt;&gt;"Sim","Nao",IF(IFERROR(INDEX(parametros!$H$2:$H$6,MATCH(C1773,parametros!$B$2:$B$6,0)),"")="","",IF(B1773&gt;=IFERROR(INDEX(parametros!$H$2:$H$6,MATCH(C1773,parametros!$B$2:$B$6,0)),""),"Sim","Nao"))))))</f>
        <v/>
      </c>
      <c r="T1773" s="156"/>
      <c r="U1773" s="214" t="str">
        <f t="shared" si="141"/>
        <v/>
      </c>
      <c r="V1773" s="212" t="s">
        <v>50</v>
      </c>
      <c r="W1773" s="100" t="s">
        <v>168</v>
      </c>
      <c r="X1773" s="100" t="s">
        <v>169</v>
      </c>
      <c r="Y1773" s="101" t="s">
        <v>170</v>
      </c>
      <c r="Z1773" s="101" t="s">
        <v>171</v>
      </c>
      <c r="AA1773" s="101" t="s">
        <v>50</v>
      </c>
      <c r="AB1773" s="101" t="s">
        <v>172</v>
      </c>
      <c r="AC1773" s="102" t="s">
        <v>173</v>
      </c>
    </row>
    <row r="1774" spans="1:29" ht="25.5" customHeight="1" x14ac:dyDescent="0.35">
      <c r="A1774" s="392"/>
      <c r="B1774" s="393"/>
      <c r="C1774" s="99" t="str">
        <f>IF(B1774="","",IF(NOT(ISNUMBER(B1774)),"DATA_PC invalida",IF(NOT(ISNUMBER(parametros!$C$2)),"Fora dos ciclos",IF(OR(B1774&lt;parametros!$C$2,(YEAR(B1774)-YEAR(parametros!$C$2))*12+MONTH(B1774)-MONTH(parametros!$C$2)&gt;59),"Fora dos ciclos","C"&amp;INT(((YEAR(B1774)-YEAR(parametros!$C$2))*12+MONTH(B1774)-MONTH(parametros!$C$2))/12)))))</f>
        <v/>
      </c>
      <c r="D1774" s="394"/>
      <c r="E1774" s="78" t="str">
        <f>IF(C1774="","",IFERROR(VLOOKUP(C1774,parametros!$A$11:$E$15,5,0),""))</f>
        <v/>
      </c>
      <c r="F1774" s="79" t="str">
        <f t="shared" si="137"/>
        <v/>
      </c>
      <c r="G1774" s="395"/>
      <c r="H1774" s="91">
        <f t="shared" si="138"/>
        <v>0</v>
      </c>
      <c r="I1774" s="91" t="str">
        <f t="shared" si="139"/>
        <v/>
      </c>
      <c r="J1774" s="91" t="str">
        <f t="shared" si="140"/>
        <v/>
      </c>
      <c r="K1774" s="92" t="str">
        <f>IF(AND(A1774="",B1774="",D1774="",G1774=""),"",IF(AND(A1774&lt;&gt;"",COUNTIF($A$2:$A$5001,A1774)&gt;1),"NUMERO_PC duplicado",IF(B1774="","DATA_PC vazia",IF(NOT(ISNUMBER(B1774)),"DATA_PC invalida",IF(OR(C1774="",C1774="Fora dos ciclos"),"CICLO_PC nao identificado",IF(OR(D1774="",D1774=0),"VALOR_PC vazio ou zero",IF(AND(G1774&lt;&gt;"Sim",G1774&lt;&gt;"Nao",G1774&lt;&gt;""),"PC_PAGO_A_CONTRATADA invalido",IF(AND(C1774&lt;&gt;"C0",IFERROR(INDEX(parametros!$A$2:$A$6,MATCH(C1774,parametros!$B$2:$B$6,0)),"")="Sim",IFERROR(INDEX(parametros!$H$2:$H$6,MATCH(C1774,parametros!$B$2:$B$6,0)),"")=""),"INICIO_EFEITO ausente: PC "&amp;A1774&amp;" - "&amp;C1774,IF(L1774="","EFEITO_PC nao calculado: PC "&amp;A1774&amp;" - "&amp;C1774,"OK")))))))))</f>
        <v/>
      </c>
      <c r="L1774" s="92" t="str">
        <f>IF(AND(A1774="",B1774="",D1774="",G1774=""),"",IF(OR(B1774="",NOT(ISNUMBER(B1774)),C1774="",C1774="Fora dos ciclos"),"",IF(C1774="C0","Nao",IF(IFERROR(INDEX(parametros!$A$2:$A$6,MATCH(C1774,parametros!$B$2:$B$6,0)),"")&lt;&gt;"Sim","Nao",IF(IFERROR(INDEX(parametros!$H$2:$H$6,MATCH(C1774,parametros!$B$2:$B$6,0)),"")="","",IF(B1774&gt;=IFERROR(INDEX(parametros!$H$2:$H$6,MATCH(C1774,parametros!$B$2:$B$6,0)),""),"Sim","Nao"))))))</f>
        <v/>
      </c>
      <c r="T1774" s="156"/>
      <c r="U1774" s="214" t="str">
        <f t="shared" si="141"/>
        <v/>
      </c>
      <c r="V1774" s="212" t="s">
        <v>50</v>
      </c>
      <c r="W1774" s="100" t="s">
        <v>168</v>
      </c>
      <c r="X1774" s="100" t="s">
        <v>169</v>
      </c>
      <c r="Y1774" s="101" t="s">
        <v>170</v>
      </c>
      <c r="Z1774" s="101" t="s">
        <v>171</v>
      </c>
      <c r="AA1774" s="101" t="s">
        <v>50</v>
      </c>
      <c r="AB1774" s="101" t="s">
        <v>172</v>
      </c>
      <c r="AC1774" s="102" t="s">
        <v>173</v>
      </c>
    </row>
    <row r="1775" spans="1:29" ht="25.5" customHeight="1" x14ac:dyDescent="0.35">
      <c r="A1775" s="392"/>
      <c r="B1775" s="393"/>
      <c r="C1775" s="99" t="str">
        <f>IF(B1775="","",IF(NOT(ISNUMBER(B1775)),"DATA_PC invalida",IF(NOT(ISNUMBER(parametros!$C$2)),"Fora dos ciclos",IF(OR(B1775&lt;parametros!$C$2,(YEAR(B1775)-YEAR(parametros!$C$2))*12+MONTH(B1775)-MONTH(parametros!$C$2)&gt;59),"Fora dos ciclos","C"&amp;INT(((YEAR(B1775)-YEAR(parametros!$C$2))*12+MONTH(B1775)-MONTH(parametros!$C$2))/12)))))</f>
        <v/>
      </c>
      <c r="D1775" s="394"/>
      <c r="E1775" s="78" t="str">
        <f>IF(C1775="","",IFERROR(VLOOKUP(C1775,parametros!$A$11:$E$15,5,0),""))</f>
        <v/>
      </c>
      <c r="F1775" s="79" t="str">
        <f t="shared" si="137"/>
        <v/>
      </c>
      <c r="G1775" s="395"/>
      <c r="H1775" s="91">
        <f t="shared" si="138"/>
        <v>0</v>
      </c>
      <c r="I1775" s="91" t="str">
        <f t="shared" si="139"/>
        <v/>
      </c>
      <c r="J1775" s="91" t="str">
        <f t="shared" si="140"/>
        <v/>
      </c>
      <c r="K1775" s="92" t="str">
        <f>IF(AND(A1775="",B1775="",D1775="",G1775=""),"",IF(AND(A1775&lt;&gt;"",COUNTIF($A$2:$A$5001,A1775)&gt;1),"NUMERO_PC duplicado",IF(B1775="","DATA_PC vazia",IF(NOT(ISNUMBER(B1775)),"DATA_PC invalida",IF(OR(C1775="",C1775="Fora dos ciclos"),"CICLO_PC nao identificado",IF(OR(D1775="",D1775=0),"VALOR_PC vazio ou zero",IF(AND(G1775&lt;&gt;"Sim",G1775&lt;&gt;"Nao",G1775&lt;&gt;""),"PC_PAGO_A_CONTRATADA invalido",IF(AND(C1775&lt;&gt;"C0",IFERROR(INDEX(parametros!$A$2:$A$6,MATCH(C1775,parametros!$B$2:$B$6,0)),"")="Sim",IFERROR(INDEX(parametros!$H$2:$H$6,MATCH(C1775,parametros!$B$2:$B$6,0)),"")=""),"INICIO_EFEITO ausente: PC "&amp;A1775&amp;" - "&amp;C1775,IF(L1775="","EFEITO_PC nao calculado: PC "&amp;A1775&amp;" - "&amp;C1775,"OK")))))))))</f>
        <v/>
      </c>
      <c r="L1775" s="92" t="str">
        <f>IF(AND(A1775="",B1775="",D1775="",G1775=""),"",IF(OR(B1775="",NOT(ISNUMBER(B1775)),C1775="",C1775="Fora dos ciclos"),"",IF(C1775="C0","Nao",IF(IFERROR(INDEX(parametros!$A$2:$A$6,MATCH(C1775,parametros!$B$2:$B$6,0)),"")&lt;&gt;"Sim","Nao",IF(IFERROR(INDEX(parametros!$H$2:$H$6,MATCH(C1775,parametros!$B$2:$B$6,0)),"")="","",IF(B1775&gt;=IFERROR(INDEX(parametros!$H$2:$H$6,MATCH(C1775,parametros!$B$2:$B$6,0)),""),"Sim","Nao"))))))</f>
        <v/>
      </c>
      <c r="T1775" s="156"/>
      <c r="U1775" s="214" t="str">
        <f t="shared" si="141"/>
        <v/>
      </c>
      <c r="V1775" s="212" t="s">
        <v>50</v>
      </c>
      <c r="W1775" s="100" t="s">
        <v>168</v>
      </c>
      <c r="X1775" s="100" t="s">
        <v>169</v>
      </c>
      <c r="Y1775" s="101" t="s">
        <v>170</v>
      </c>
      <c r="Z1775" s="101" t="s">
        <v>171</v>
      </c>
      <c r="AA1775" s="101" t="s">
        <v>50</v>
      </c>
      <c r="AB1775" s="101" t="s">
        <v>172</v>
      </c>
      <c r="AC1775" s="102" t="s">
        <v>173</v>
      </c>
    </row>
    <row r="1776" spans="1:29" ht="25.5" customHeight="1" x14ac:dyDescent="0.35">
      <c r="A1776" s="392"/>
      <c r="B1776" s="393"/>
      <c r="C1776" s="99" t="str">
        <f>IF(B1776="","",IF(NOT(ISNUMBER(B1776)),"DATA_PC invalida",IF(NOT(ISNUMBER(parametros!$C$2)),"Fora dos ciclos",IF(OR(B1776&lt;parametros!$C$2,(YEAR(B1776)-YEAR(parametros!$C$2))*12+MONTH(B1776)-MONTH(parametros!$C$2)&gt;59),"Fora dos ciclos","C"&amp;INT(((YEAR(B1776)-YEAR(parametros!$C$2))*12+MONTH(B1776)-MONTH(parametros!$C$2))/12)))))</f>
        <v/>
      </c>
      <c r="D1776" s="394"/>
      <c r="E1776" s="78" t="str">
        <f>IF(C1776="","",IFERROR(VLOOKUP(C1776,parametros!$A$11:$E$15,5,0),""))</f>
        <v/>
      </c>
      <c r="F1776" s="79" t="str">
        <f t="shared" si="137"/>
        <v/>
      </c>
      <c r="G1776" s="395"/>
      <c r="H1776" s="91">
        <f t="shared" si="138"/>
        <v>0</v>
      </c>
      <c r="I1776" s="91" t="str">
        <f t="shared" si="139"/>
        <v/>
      </c>
      <c r="J1776" s="91" t="str">
        <f t="shared" si="140"/>
        <v/>
      </c>
      <c r="K1776" s="92" t="str">
        <f>IF(AND(A1776="",B1776="",D1776="",G1776=""),"",IF(AND(A1776&lt;&gt;"",COUNTIF($A$2:$A$5001,A1776)&gt;1),"NUMERO_PC duplicado",IF(B1776="","DATA_PC vazia",IF(NOT(ISNUMBER(B1776)),"DATA_PC invalida",IF(OR(C1776="",C1776="Fora dos ciclos"),"CICLO_PC nao identificado",IF(OR(D1776="",D1776=0),"VALOR_PC vazio ou zero",IF(AND(G1776&lt;&gt;"Sim",G1776&lt;&gt;"Nao",G1776&lt;&gt;""),"PC_PAGO_A_CONTRATADA invalido",IF(AND(C1776&lt;&gt;"C0",IFERROR(INDEX(parametros!$A$2:$A$6,MATCH(C1776,parametros!$B$2:$B$6,0)),"")="Sim",IFERROR(INDEX(parametros!$H$2:$H$6,MATCH(C1776,parametros!$B$2:$B$6,0)),"")=""),"INICIO_EFEITO ausente: PC "&amp;A1776&amp;" - "&amp;C1776,IF(L1776="","EFEITO_PC nao calculado: PC "&amp;A1776&amp;" - "&amp;C1776,"OK")))))))))</f>
        <v/>
      </c>
      <c r="L1776" s="92" t="str">
        <f>IF(AND(A1776="",B1776="",D1776="",G1776=""),"",IF(OR(B1776="",NOT(ISNUMBER(B1776)),C1776="",C1776="Fora dos ciclos"),"",IF(C1776="C0","Nao",IF(IFERROR(INDEX(parametros!$A$2:$A$6,MATCH(C1776,parametros!$B$2:$B$6,0)),"")&lt;&gt;"Sim","Nao",IF(IFERROR(INDEX(parametros!$H$2:$H$6,MATCH(C1776,parametros!$B$2:$B$6,0)),"")="","",IF(B1776&gt;=IFERROR(INDEX(parametros!$H$2:$H$6,MATCH(C1776,parametros!$B$2:$B$6,0)),""),"Sim","Nao"))))))</f>
        <v/>
      </c>
      <c r="T1776" s="156"/>
      <c r="U1776" s="214" t="str">
        <f t="shared" si="141"/>
        <v/>
      </c>
      <c r="V1776" s="212" t="s">
        <v>50</v>
      </c>
      <c r="W1776" s="100" t="s">
        <v>168</v>
      </c>
      <c r="X1776" s="100" t="s">
        <v>169</v>
      </c>
      <c r="Y1776" s="101" t="s">
        <v>170</v>
      </c>
      <c r="Z1776" s="101" t="s">
        <v>171</v>
      </c>
      <c r="AA1776" s="101" t="s">
        <v>50</v>
      </c>
      <c r="AB1776" s="101" t="s">
        <v>172</v>
      </c>
      <c r="AC1776" s="102" t="s">
        <v>173</v>
      </c>
    </row>
    <row r="1777" spans="1:29" ht="25.5" customHeight="1" x14ac:dyDescent="0.35">
      <c r="A1777" s="392"/>
      <c r="B1777" s="393"/>
      <c r="C1777" s="99" t="str">
        <f>IF(B1777="","",IF(NOT(ISNUMBER(B1777)),"DATA_PC invalida",IF(NOT(ISNUMBER(parametros!$C$2)),"Fora dos ciclos",IF(OR(B1777&lt;parametros!$C$2,(YEAR(B1777)-YEAR(parametros!$C$2))*12+MONTH(B1777)-MONTH(parametros!$C$2)&gt;59),"Fora dos ciclos","C"&amp;INT(((YEAR(B1777)-YEAR(parametros!$C$2))*12+MONTH(B1777)-MONTH(parametros!$C$2))/12)))))</f>
        <v/>
      </c>
      <c r="D1777" s="394"/>
      <c r="E1777" s="78" t="str">
        <f>IF(C1777="","",IFERROR(VLOOKUP(C1777,parametros!$A$11:$E$15,5,0),""))</f>
        <v/>
      </c>
      <c r="F1777" s="79" t="str">
        <f t="shared" si="137"/>
        <v/>
      </c>
      <c r="G1777" s="395"/>
      <c r="H1777" s="91">
        <f t="shared" si="138"/>
        <v>0</v>
      </c>
      <c r="I1777" s="91" t="str">
        <f t="shared" si="139"/>
        <v/>
      </c>
      <c r="J1777" s="91" t="str">
        <f t="shared" si="140"/>
        <v/>
      </c>
      <c r="K1777" s="92" t="str">
        <f>IF(AND(A1777="",B1777="",D1777="",G1777=""),"",IF(AND(A1777&lt;&gt;"",COUNTIF($A$2:$A$5001,A1777)&gt;1),"NUMERO_PC duplicado",IF(B1777="","DATA_PC vazia",IF(NOT(ISNUMBER(B1777)),"DATA_PC invalida",IF(OR(C1777="",C1777="Fora dos ciclos"),"CICLO_PC nao identificado",IF(OR(D1777="",D1777=0),"VALOR_PC vazio ou zero",IF(AND(G1777&lt;&gt;"Sim",G1777&lt;&gt;"Nao",G1777&lt;&gt;""),"PC_PAGO_A_CONTRATADA invalido",IF(AND(C1777&lt;&gt;"C0",IFERROR(INDEX(parametros!$A$2:$A$6,MATCH(C1777,parametros!$B$2:$B$6,0)),"")="Sim",IFERROR(INDEX(parametros!$H$2:$H$6,MATCH(C1777,parametros!$B$2:$B$6,0)),"")=""),"INICIO_EFEITO ausente: PC "&amp;A1777&amp;" - "&amp;C1777,IF(L1777="","EFEITO_PC nao calculado: PC "&amp;A1777&amp;" - "&amp;C1777,"OK")))))))))</f>
        <v/>
      </c>
      <c r="L1777" s="92" t="str">
        <f>IF(AND(A1777="",B1777="",D1777="",G1777=""),"",IF(OR(B1777="",NOT(ISNUMBER(B1777)),C1777="",C1777="Fora dos ciclos"),"",IF(C1777="C0","Nao",IF(IFERROR(INDEX(parametros!$A$2:$A$6,MATCH(C1777,parametros!$B$2:$B$6,0)),"")&lt;&gt;"Sim","Nao",IF(IFERROR(INDEX(parametros!$H$2:$H$6,MATCH(C1777,parametros!$B$2:$B$6,0)),"")="","",IF(B1777&gt;=IFERROR(INDEX(parametros!$H$2:$H$6,MATCH(C1777,parametros!$B$2:$B$6,0)),""),"Sim","Nao"))))))</f>
        <v/>
      </c>
      <c r="T1777" s="156"/>
      <c r="U1777" s="214" t="str">
        <f t="shared" si="141"/>
        <v/>
      </c>
      <c r="V1777" s="212" t="s">
        <v>50</v>
      </c>
      <c r="W1777" s="100" t="s">
        <v>168</v>
      </c>
      <c r="X1777" s="100" t="s">
        <v>169</v>
      </c>
      <c r="Y1777" s="101" t="s">
        <v>170</v>
      </c>
      <c r="Z1777" s="101" t="s">
        <v>171</v>
      </c>
      <c r="AA1777" s="101" t="s">
        <v>50</v>
      </c>
      <c r="AB1777" s="101" t="s">
        <v>172</v>
      </c>
      <c r="AC1777" s="102" t="s">
        <v>173</v>
      </c>
    </row>
    <row r="1778" spans="1:29" ht="25.5" customHeight="1" x14ac:dyDescent="0.35">
      <c r="A1778" s="392"/>
      <c r="B1778" s="393"/>
      <c r="C1778" s="99" t="str">
        <f>IF(B1778="","",IF(NOT(ISNUMBER(B1778)),"DATA_PC invalida",IF(NOT(ISNUMBER(parametros!$C$2)),"Fora dos ciclos",IF(OR(B1778&lt;parametros!$C$2,(YEAR(B1778)-YEAR(parametros!$C$2))*12+MONTH(B1778)-MONTH(parametros!$C$2)&gt;59),"Fora dos ciclos","C"&amp;INT(((YEAR(B1778)-YEAR(parametros!$C$2))*12+MONTH(B1778)-MONTH(parametros!$C$2))/12)))))</f>
        <v/>
      </c>
      <c r="D1778" s="394"/>
      <c r="E1778" s="78" t="str">
        <f>IF(C1778="","",IFERROR(VLOOKUP(C1778,parametros!$A$11:$E$15,5,0),""))</f>
        <v/>
      </c>
      <c r="F1778" s="79" t="str">
        <f t="shared" si="137"/>
        <v/>
      </c>
      <c r="G1778" s="395"/>
      <c r="H1778" s="91">
        <f t="shared" si="138"/>
        <v>0</v>
      </c>
      <c r="I1778" s="91" t="str">
        <f t="shared" si="139"/>
        <v/>
      </c>
      <c r="J1778" s="91" t="str">
        <f t="shared" si="140"/>
        <v/>
      </c>
      <c r="K1778" s="92" t="str">
        <f>IF(AND(A1778="",B1778="",D1778="",G1778=""),"",IF(AND(A1778&lt;&gt;"",COUNTIF($A$2:$A$5001,A1778)&gt;1),"NUMERO_PC duplicado",IF(B1778="","DATA_PC vazia",IF(NOT(ISNUMBER(B1778)),"DATA_PC invalida",IF(OR(C1778="",C1778="Fora dos ciclos"),"CICLO_PC nao identificado",IF(OR(D1778="",D1778=0),"VALOR_PC vazio ou zero",IF(AND(G1778&lt;&gt;"Sim",G1778&lt;&gt;"Nao",G1778&lt;&gt;""),"PC_PAGO_A_CONTRATADA invalido",IF(AND(C1778&lt;&gt;"C0",IFERROR(INDEX(parametros!$A$2:$A$6,MATCH(C1778,parametros!$B$2:$B$6,0)),"")="Sim",IFERROR(INDEX(parametros!$H$2:$H$6,MATCH(C1778,parametros!$B$2:$B$6,0)),"")=""),"INICIO_EFEITO ausente: PC "&amp;A1778&amp;" - "&amp;C1778,IF(L1778="","EFEITO_PC nao calculado: PC "&amp;A1778&amp;" - "&amp;C1778,"OK")))))))))</f>
        <v/>
      </c>
      <c r="L1778" s="92" t="str">
        <f>IF(AND(A1778="",B1778="",D1778="",G1778=""),"",IF(OR(B1778="",NOT(ISNUMBER(B1778)),C1778="",C1778="Fora dos ciclos"),"",IF(C1778="C0","Nao",IF(IFERROR(INDEX(parametros!$A$2:$A$6,MATCH(C1778,parametros!$B$2:$B$6,0)),"")&lt;&gt;"Sim","Nao",IF(IFERROR(INDEX(parametros!$H$2:$H$6,MATCH(C1778,parametros!$B$2:$B$6,0)),"")="","",IF(B1778&gt;=IFERROR(INDEX(parametros!$H$2:$H$6,MATCH(C1778,parametros!$B$2:$B$6,0)),""),"Sim","Nao"))))))</f>
        <v/>
      </c>
      <c r="T1778" s="156"/>
      <c r="U1778" s="214" t="str">
        <f t="shared" si="141"/>
        <v/>
      </c>
      <c r="V1778" s="212" t="s">
        <v>50</v>
      </c>
      <c r="W1778" s="100" t="s">
        <v>168</v>
      </c>
      <c r="X1778" s="100" t="s">
        <v>169</v>
      </c>
      <c r="Y1778" s="101" t="s">
        <v>170</v>
      </c>
      <c r="Z1778" s="101" t="s">
        <v>171</v>
      </c>
      <c r="AA1778" s="101" t="s">
        <v>50</v>
      </c>
      <c r="AB1778" s="101" t="s">
        <v>172</v>
      </c>
      <c r="AC1778" s="102" t="s">
        <v>173</v>
      </c>
    </row>
    <row r="1779" spans="1:29" ht="25.5" customHeight="1" x14ac:dyDescent="0.35">
      <c r="A1779" s="392"/>
      <c r="B1779" s="393"/>
      <c r="C1779" s="99" t="str">
        <f>IF(B1779="","",IF(NOT(ISNUMBER(B1779)),"DATA_PC invalida",IF(NOT(ISNUMBER(parametros!$C$2)),"Fora dos ciclos",IF(OR(B1779&lt;parametros!$C$2,(YEAR(B1779)-YEAR(parametros!$C$2))*12+MONTH(B1779)-MONTH(parametros!$C$2)&gt;59),"Fora dos ciclos","C"&amp;INT(((YEAR(B1779)-YEAR(parametros!$C$2))*12+MONTH(B1779)-MONTH(parametros!$C$2))/12)))))</f>
        <v/>
      </c>
      <c r="D1779" s="394"/>
      <c r="E1779" s="78" t="str">
        <f>IF(C1779="","",IFERROR(VLOOKUP(C1779,parametros!$A$11:$E$15,5,0),""))</f>
        <v/>
      </c>
      <c r="F1779" s="79" t="str">
        <f t="shared" si="137"/>
        <v/>
      </c>
      <c r="G1779" s="395"/>
      <c r="H1779" s="91">
        <f t="shared" si="138"/>
        <v>0</v>
      </c>
      <c r="I1779" s="91" t="str">
        <f t="shared" si="139"/>
        <v/>
      </c>
      <c r="J1779" s="91" t="str">
        <f t="shared" si="140"/>
        <v/>
      </c>
      <c r="K1779" s="92" t="str">
        <f>IF(AND(A1779="",B1779="",D1779="",G1779=""),"",IF(AND(A1779&lt;&gt;"",COUNTIF($A$2:$A$5001,A1779)&gt;1),"NUMERO_PC duplicado",IF(B1779="","DATA_PC vazia",IF(NOT(ISNUMBER(B1779)),"DATA_PC invalida",IF(OR(C1779="",C1779="Fora dos ciclos"),"CICLO_PC nao identificado",IF(OR(D1779="",D1779=0),"VALOR_PC vazio ou zero",IF(AND(G1779&lt;&gt;"Sim",G1779&lt;&gt;"Nao",G1779&lt;&gt;""),"PC_PAGO_A_CONTRATADA invalido",IF(AND(C1779&lt;&gt;"C0",IFERROR(INDEX(parametros!$A$2:$A$6,MATCH(C1779,parametros!$B$2:$B$6,0)),"")="Sim",IFERROR(INDEX(parametros!$H$2:$H$6,MATCH(C1779,parametros!$B$2:$B$6,0)),"")=""),"INICIO_EFEITO ausente: PC "&amp;A1779&amp;" - "&amp;C1779,IF(L1779="","EFEITO_PC nao calculado: PC "&amp;A1779&amp;" - "&amp;C1779,"OK")))))))))</f>
        <v/>
      </c>
      <c r="L1779" s="92" t="str">
        <f>IF(AND(A1779="",B1779="",D1779="",G1779=""),"",IF(OR(B1779="",NOT(ISNUMBER(B1779)),C1779="",C1779="Fora dos ciclos"),"",IF(C1779="C0","Nao",IF(IFERROR(INDEX(parametros!$A$2:$A$6,MATCH(C1779,parametros!$B$2:$B$6,0)),"")&lt;&gt;"Sim","Nao",IF(IFERROR(INDEX(parametros!$H$2:$H$6,MATCH(C1779,parametros!$B$2:$B$6,0)),"")="","",IF(B1779&gt;=IFERROR(INDEX(parametros!$H$2:$H$6,MATCH(C1779,parametros!$B$2:$B$6,0)),""),"Sim","Nao"))))))</f>
        <v/>
      </c>
      <c r="T1779" s="156"/>
      <c r="U1779" s="214" t="str">
        <f t="shared" si="141"/>
        <v/>
      </c>
      <c r="V1779" s="212" t="s">
        <v>50</v>
      </c>
      <c r="W1779" s="100" t="s">
        <v>168</v>
      </c>
      <c r="X1779" s="100" t="s">
        <v>169</v>
      </c>
      <c r="Y1779" s="101" t="s">
        <v>170</v>
      </c>
      <c r="Z1779" s="101" t="s">
        <v>171</v>
      </c>
      <c r="AA1779" s="101" t="s">
        <v>50</v>
      </c>
      <c r="AB1779" s="101" t="s">
        <v>172</v>
      </c>
      <c r="AC1779" s="102" t="s">
        <v>173</v>
      </c>
    </row>
    <row r="1780" spans="1:29" ht="25.5" customHeight="1" x14ac:dyDescent="0.35">
      <c r="A1780" s="392"/>
      <c r="B1780" s="393"/>
      <c r="C1780" s="99" t="str">
        <f>IF(B1780="","",IF(NOT(ISNUMBER(B1780)),"DATA_PC invalida",IF(NOT(ISNUMBER(parametros!$C$2)),"Fora dos ciclos",IF(OR(B1780&lt;parametros!$C$2,(YEAR(B1780)-YEAR(parametros!$C$2))*12+MONTH(B1780)-MONTH(parametros!$C$2)&gt;59),"Fora dos ciclos","C"&amp;INT(((YEAR(B1780)-YEAR(parametros!$C$2))*12+MONTH(B1780)-MONTH(parametros!$C$2))/12)))))</f>
        <v/>
      </c>
      <c r="D1780" s="394"/>
      <c r="E1780" s="78" t="str">
        <f>IF(C1780="","",IFERROR(VLOOKUP(C1780,parametros!$A$11:$E$15,5,0),""))</f>
        <v/>
      </c>
      <c r="F1780" s="79" t="str">
        <f t="shared" si="137"/>
        <v/>
      </c>
      <c r="G1780" s="395"/>
      <c r="H1780" s="91">
        <f t="shared" si="138"/>
        <v>0</v>
      </c>
      <c r="I1780" s="91" t="str">
        <f t="shared" si="139"/>
        <v/>
      </c>
      <c r="J1780" s="91" t="str">
        <f t="shared" si="140"/>
        <v/>
      </c>
      <c r="K1780" s="92" t="str">
        <f>IF(AND(A1780="",B1780="",D1780="",G1780=""),"",IF(AND(A1780&lt;&gt;"",COUNTIF($A$2:$A$5001,A1780)&gt;1),"NUMERO_PC duplicado",IF(B1780="","DATA_PC vazia",IF(NOT(ISNUMBER(B1780)),"DATA_PC invalida",IF(OR(C1780="",C1780="Fora dos ciclos"),"CICLO_PC nao identificado",IF(OR(D1780="",D1780=0),"VALOR_PC vazio ou zero",IF(AND(G1780&lt;&gt;"Sim",G1780&lt;&gt;"Nao",G1780&lt;&gt;""),"PC_PAGO_A_CONTRATADA invalido",IF(AND(C1780&lt;&gt;"C0",IFERROR(INDEX(parametros!$A$2:$A$6,MATCH(C1780,parametros!$B$2:$B$6,0)),"")="Sim",IFERROR(INDEX(parametros!$H$2:$H$6,MATCH(C1780,parametros!$B$2:$B$6,0)),"")=""),"INICIO_EFEITO ausente: PC "&amp;A1780&amp;" - "&amp;C1780,IF(L1780="","EFEITO_PC nao calculado: PC "&amp;A1780&amp;" - "&amp;C1780,"OK")))))))))</f>
        <v/>
      </c>
      <c r="L1780" s="92" t="str">
        <f>IF(AND(A1780="",B1780="",D1780="",G1780=""),"",IF(OR(B1780="",NOT(ISNUMBER(B1780)),C1780="",C1780="Fora dos ciclos"),"",IF(C1780="C0","Nao",IF(IFERROR(INDEX(parametros!$A$2:$A$6,MATCH(C1780,parametros!$B$2:$B$6,0)),"")&lt;&gt;"Sim","Nao",IF(IFERROR(INDEX(parametros!$H$2:$H$6,MATCH(C1780,parametros!$B$2:$B$6,0)),"")="","",IF(B1780&gt;=IFERROR(INDEX(parametros!$H$2:$H$6,MATCH(C1780,parametros!$B$2:$B$6,0)),""),"Sim","Nao"))))))</f>
        <v/>
      </c>
      <c r="T1780" s="156"/>
      <c r="U1780" s="214" t="str">
        <f t="shared" si="141"/>
        <v/>
      </c>
      <c r="V1780" s="212" t="s">
        <v>50</v>
      </c>
      <c r="W1780" s="100" t="s">
        <v>168</v>
      </c>
      <c r="X1780" s="100" t="s">
        <v>169</v>
      </c>
      <c r="Y1780" s="101" t="s">
        <v>170</v>
      </c>
      <c r="Z1780" s="101" t="s">
        <v>171</v>
      </c>
      <c r="AA1780" s="101" t="s">
        <v>50</v>
      </c>
      <c r="AB1780" s="101" t="s">
        <v>172</v>
      </c>
      <c r="AC1780" s="102" t="s">
        <v>173</v>
      </c>
    </row>
    <row r="1781" spans="1:29" ht="25.5" customHeight="1" x14ac:dyDescent="0.35">
      <c r="A1781" s="392"/>
      <c r="B1781" s="393"/>
      <c r="C1781" s="99" t="str">
        <f>IF(B1781="","",IF(NOT(ISNUMBER(B1781)),"DATA_PC invalida",IF(NOT(ISNUMBER(parametros!$C$2)),"Fora dos ciclos",IF(OR(B1781&lt;parametros!$C$2,(YEAR(B1781)-YEAR(parametros!$C$2))*12+MONTH(B1781)-MONTH(parametros!$C$2)&gt;59),"Fora dos ciclos","C"&amp;INT(((YEAR(B1781)-YEAR(parametros!$C$2))*12+MONTH(B1781)-MONTH(parametros!$C$2))/12)))))</f>
        <v/>
      </c>
      <c r="D1781" s="394"/>
      <c r="E1781" s="78" t="str">
        <f>IF(C1781="","",IFERROR(VLOOKUP(C1781,parametros!$A$11:$E$15,5,0),""))</f>
        <v/>
      </c>
      <c r="F1781" s="79" t="str">
        <f t="shared" si="137"/>
        <v/>
      </c>
      <c r="G1781" s="395"/>
      <c r="H1781" s="91">
        <f t="shared" si="138"/>
        <v>0</v>
      </c>
      <c r="I1781" s="91" t="str">
        <f t="shared" si="139"/>
        <v/>
      </c>
      <c r="J1781" s="91" t="str">
        <f t="shared" si="140"/>
        <v/>
      </c>
      <c r="K1781" s="92" t="str">
        <f>IF(AND(A1781="",B1781="",D1781="",G1781=""),"",IF(AND(A1781&lt;&gt;"",COUNTIF($A$2:$A$5001,A1781)&gt;1),"NUMERO_PC duplicado",IF(B1781="","DATA_PC vazia",IF(NOT(ISNUMBER(B1781)),"DATA_PC invalida",IF(OR(C1781="",C1781="Fora dos ciclos"),"CICLO_PC nao identificado",IF(OR(D1781="",D1781=0),"VALOR_PC vazio ou zero",IF(AND(G1781&lt;&gt;"Sim",G1781&lt;&gt;"Nao",G1781&lt;&gt;""),"PC_PAGO_A_CONTRATADA invalido",IF(AND(C1781&lt;&gt;"C0",IFERROR(INDEX(parametros!$A$2:$A$6,MATCH(C1781,parametros!$B$2:$B$6,0)),"")="Sim",IFERROR(INDEX(parametros!$H$2:$H$6,MATCH(C1781,parametros!$B$2:$B$6,0)),"")=""),"INICIO_EFEITO ausente: PC "&amp;A1781&amp;" - "&amp;C1781,IF(L1781="","EFEITO_PC nao calculado: PC "&amp;A1781&amp;" - "&amp;C1781,"OK")))))))))</f>
        <v/>
      </c>
      <c r="L1781" s="92" t="str">
        <f>IF(AND(A1781="",B1781="",D1781="",G1781=""),"",IF(OR(B1781="",NOT(ISNUMBER(B1781)),C1781="",C1781="Fora dos ciclos"),"",IF(C1781="C0","Nao",IF(IFERROR(INDEX(parametros!$A$2:$A$6,MATCH(C1781,parametros!$B$2:$B$6,0)),"")&lt;&gt;"Sim","Nao",IF(IFERROR(INDEX(parametros!$H$2:$H$6,MATCH(C1781,parametros!$B$2:$B$6,0)),"")="","",IF(B1781&gt;=IFERROR(INDEX(parametros!$H$2:$H$6,MATCH(C1781,parametros!$B$2:$B$6,0)),""),"Sim","Nao"))))))</f>
        <v/>
      </c>
      <c r="T1781" s="156"/>
      <c r="U1781" s="214" t="str">
        <f t="shared" si="141"/>
        <v/>
      </c>
      <c r="V1781" s="212" t="s">
        <v>50</v>
      </c>
      <c r="W1781" s="100" t="s">
        <v>168</v>
      </c>
      <c r="X1781" s="100" t="s">
        <v>169</v>
      </c>
      <c r="Y1781" s="101" t="s">
        <v>170</v>
      </c>
      <c r="Z1781" s="101" t="s">
        <v>171</v>
      </c>
      <c r="AA1781" s="101" t="s">
        <v>50</v>
      </c>
      <c r="AB1781" s="101" t="s">
        <v>172</v>
      </c>
      <c r="AC1781" s="102" t="s">
        <v>173</v>
      </c>
    </row>
    <row r="1782" spans="1:29" ht="25.5" customHeight="1" x14ac:dyDescent="0.35">
      <c r="A1782" s="392"/>
      <c r="B1782" s="393"/>
      <c r="C1782" s="99" t="str">
        <f>IF(B1782="","",IF(NOT(ISNUMBER(B1782)),"DATA_PC invalida",IF(NOT(ISNUMBER(parametros!$C$2)),"Fora dos ciclos",IF(OR(B1782&lt;parametros!$C$2,(YEAR(B1782)-YEAR(parametros!$C$2))*12+MONTH(B1782)-MONTH(parametros!$C$2)&gt;59),"Fora dos ciclos","C"&amp;INT(((YEAR(B1782)-YEAR(parametros!$C$2))*12+MONTH(B1782)-MONTH(parametros!$C$2))/12)))))</f>
        <v/>
      </c>
      <c r="D1782" s="394"/>
      <c r="E1782" s="78" t="str">
        <f>IF(C1782="","",IFERROR(VLOOKUP(C1782,parametros!$A$11:$E$15,5,0),""))</f>
        <v/>
      </c>
      <c r="F1782" s="79" t="str">
        <f t="shared" si="137"/>
        <v/>
      </c>
      <c r="G1782" s="395"/>
      <c r="H1782" s="91">
        <f t="shared" si="138"/>
        <v>0</v>
      </c>
      <c r="I1782" s="91" t="str">
        <f t="shared" si="139"/>
        <v/>
      </c>
      <c r="J1782" s="91" t="str">
        <f t="shared" si="140"/>
        <v/>
      </c>
      <c r="K1782" s="92" t="str">
        <f>IF(AND(A1782="",B1782="",D1782="",G1782=""),"",IF(AND(A1782&lt;&gt;"",COUNTIF($A$2:$A$5001,A1782)&gt;1),"NUMERO_PC duplicado",IF(B1782="","DATA_PC vazia",IF(NOT(ISNUMBER(B1782)),"DATA_PC invalida",IF(OR(C1782="",C1782="Fora dos ciclos"),"CICLO_PC nao identificado",IF(OR(D1782="",D1782=0),"VALOR_PC vazio ou zero",IF(AND(G1782&lt;&gt;"Sim",G1782&lt;&gt;"Nao",G1782&lt;&gt;""),"PC_PAGO_A_CONTRATADA invalido",IF(AND(C1782&lt;&gt;"C0",IFERROR(INDEX(parametros!$A$2:$A$6,MATCH(C1782,parametros!$B$2:$B$6,0)),"")="Sim",IFERROR(INDEX(parametros!$H$2:$H$6,MATCH(C1782,parametros!$B$2:$B$6,0)),"")=""),"INICIO_EFEITO ausente: PC "&amp;A1782&amp;" - "&amp;C1782,IF(L1782="","EFEITO_PC nao calculado: PC "&amp;A1782&amp;" - "&amp;C1782,"OK")))))))))</f>
        <v/>
      </c>
      <c r="L1782" s="92" t="str">
        <f>IF(AND(A1782="",B1782="",D1782="",G1782=""),"",IF(OR(B1782="",NOT(ISNUMBER(B1782)),C1782="",C1782="Fora dos ciclos"),"",IF(C1782="C0","Nao",IF(IFERROR(INDEX(parametros!$A$2:$A$6,MATCH(C1782,parametros!$B$2:$B$6,0)),"")&lt;&gt;"Sim","Nao",IF(IFERROR(INDEX(parametros!$H$2:$H$6,MATCH(C1782,parametros!$B$2:$B$6,0)),"")="","",IF(B1782&gt;=IFERROR(INDEX(parametros!$H$2:$H$6,MATCH(C1782,parametros!$B$2:$B$6,0)),""),"Sim","Nao"))))))</f>
        <v/>
      </c>
      <c r="T1782" s="156"/>
      <c r="U1782" s="214" t="str">
        <f t="shared" si="141"/>
        <v/>
      </c>
      <c r="V1782" s="212" t="s">
        <v>50</v>
      </c>
      <c r="W1782" s="100" t="s">
        <v>168</v>
      </c>
      <c r="X1782" s="100" t="s">
        <v>169</v>
      </c>
      <c r="Y1782" s="101" t="s">
        <v>170</v>
      </c>
      <c r="Z1782" s="101" t="s">
        <v>171</v>
      </c>
      <c r="AA1782" s="101" t="s">
        <v>50</v>
      </c>
      <c r="AB1782" s="101" t="s">
        <v>172</v>
      </c>
      <c r="AC1782" s="102" t="s">
        <v>173</v>
      </c>
    </row>
    <row r="1783" spans="1:29" ht="25.5" customHeight="1" x14ac:dyDescent="0.35">
      <c r="A1783" s="392"/>
      <c r="B1783" s="393"/>
      <c r="C1783" s="99" t="str">
        <f>IF(B1783="","",IF(NOT(ISNUMBER(B1783)),"DATA_PC invalida",IF(NOT(ISNUMBER(parametros!$C$2)),"Fora dos ciclos",IF(OR(B1783&lt;parametros!$C$2,(YEAR(B1783)-YEAR(parametros!$C$2))*12+MONTH(B1783)-MONTH(parametros!$C$2)&gt;59),"Fora dos ciclos","C"&amp;INT(((YEAR(B1783)-YEAR(parametros!$C$2))*12+MONTH(B1783)-MONTH(parametros!$C$2))/12)))))</f>
        <v/>
      </c>
      <c r="D1783" s="394"/>
      <c r="E1783" s="78" t="str">
        <f>IF(C1783="","",IFERROR(VLOOKUP(C1783,parametros!$A$11:$E$15,5,0),""))</f>
        <v/>
      </c>
      <c r="F1783" s="79" t="str">
        <f t="shared" si="137"/>
        <v/>
      </c>
      <c r="G1783" s="395"/>
      <c r="H1783" s="91">
        <f t="shared" si="138"/>
        <v>0</v>
      </c>
      <c r="I1783" s="91" t="str">
        <f t="shared" si="139"/>
        <v/>
      </c>
      <c r="J1783" s="91" t="str">
        <f t="shared" si="140"/>
        <v/>
      </c>
      <c r="K1783" s="92" t="str">
        <f>IF(AND(A1783="",B1783="",D1783="",G1783=""),"",IF(AND(A1783&lt;&gt;"",COUNTIF($A$2:$A$5001,A1783)&gt;1),"NUMERO_PC duplicado",IF(B1783="","DATA_PC vazia",IF(NOT(ISNUMBER(B1783)),"DATA_PC invalida",IF(OR(C1783="",C1783="Fora dos ciclos"),"CICLO_PC nao identificado",IF(OR(D1783="",D1783=0),"VALOR_PC vazio ou zero",IF(AND(G1783&lt;&gt;"Sim",G1783&lt;&gt;"Nao",G1783&lt;&gt;""),"PC_PAGO_A_CONTRATADA invalido",IF(AND(C1783&lt;&gt;"C0",IFERROR(INDEX(parametros!$A$2:$A$6,MATCH(C1783,parametros!$B$2:$B$6,0)),"")="Sim",IFERROR(INDEX(parametros!$H$2:$H$6,MATCH(C1783,parametros!$B$2:$B$6,0)),"")=""),"INICIO_EFEITO ausente: PC "&amp;A1783&amp;" - "&amp;C1783,IF(L1783="","EFEITO_PC nao calculado: PC "&amp;A1783&amp;" - "&amp;C1783,"OK")))))))))</f>
        <v/>
      </c>
      <c r="L1783" s="92" t="str">
        <f>IF(AND(A1783="",B1783="",D1783="",G1783=""),"",IF(OR(B1783="",NOT(ISNUMBER(B1783)),C1783="",C1783="Fora dos ciclos"),"",IF(C1783="C0","Nao",IF(IFERROR(INDEX(parametros!$A$2:$A$6,MATCH(C1783,parametros!$B$2:$B$6,0)),"")&lt;&gt;"Sim","Nao",IF(IFERROR(INDEX(parametros!$H$2:$H$6,MATCH(C1783,parametros!$B$2:$B$6,0)),"")="","",IF(B1783&gt;=IFERROR(INDEX(parametros!$H$2:$H$6,MATCH(C1783,parametros!$B$2:$B$6,0)),""),"Sim","Nao"))))))</f>
        <v/>
      </c>
      <c r="T1783" s="156"/>
      <c r="U1783" s="214" t="str">
        <f t="shared" si="141"/>
        <v/>
      </c>
      <c r="V1783" s="212" t="s">
        <v>50</v>
      </c>
      <c r="W1783" s="100" t="s">
        <v>168</v>
      </c>
      <c r="X1783" s="100" t="s">
        <v>169</v>
      </c>
      <c r="Y1783" s="101" t="s">
        <v>170</v>
      </c>
      <c r="Z1783" s="101" t="s">
        <v>171</v>
      </c>
      <c r="AA1783" s="101" t="s">
        <v>50</v>
      </c>
      <c r="AB1783" s="101" t="s">
        <v>172</v>
      </c>
      <c r="AC1783" s="102" t="s">
        <v>173</v>
      </c>
    </row>
    <row r="1784" spans="1:29" ht="25.5" customHeight="1" x14ac:dyDescent="0.35">
      <c r="A1784" s="392"/>
      <c r="B1784" s="393"/>
      <c r="C1784" s="99" t="str">
        <f>IF(B1784="","",IF(NOT(ISNUMBER(B1784)),"DATA_PC invalida",IF(NOT(ISNUMBER(parametros!$C$2)),"Fora dos ciclos",IF(OR(B1784&lt;parametros!$C$2,(YEAR(B1784)-YEAR(parametros!$C$2))*12+MONTH(B1784)-MONTH(parametros!$C$2)&gt;59),"Fora dos ciclos","C"&amp;INT(((YEAR(B1784)-YEAR(parametros!$C$2))*12+MONTH(B1784)-MONTH(parametros!$C$2))/12)))))</f>
        <v/>
      </c>
      <c r="D1784" s="394"/>
      <c r="E1784" s="78" t="str">
        <f>IF(C1784="","",IFERROR(VLOOKUP(C1784,parametros!$A$11:$E$15,5,0),""))</f>
        <v/>
      </c>
      <c r="F1784" s="79" t="str">
        <f t="shared" si="137"/>
        <v/>
      </c>
      <c r="G1784" s="395"/>
      <c r="H1784" s="91">
        <f t="shared" si="138"/>
        <v>0</v>
      </c>
      <c r="I1784" s="91" t="str">
        <f t="shared" si="139"/>
        <v/>
      </c>
      <c r="J1784" s="91" t="str">
        <f t="shared" si="140"/>
        <v/>
      </c>
      <c r="K1784" s="92" t="str">
        <f>IF(AND(A1784="",B1784="",D1784="",G1784=""),"",IF(AND(A1784&lt;&gt;"",COUNTIF($A$2:$A$5001,A1784)&gt;1),"NUMERO_PC duplicado",IF(B1784="","DATA_PC vazia",IF(NOT(ISNUMBER(B1784)),"DATA_PC invalida",IF(OR(C1784="",C1784="Fora dos ciclos"),"CICLO_PC nao identificado",IF(OR(D1784="",D1784=0),"VALOR_PC vazio ou zero",IF(AND(G1784&lt;&gt;"Sim",G1784&lt;&gt;"Nao",G1784&lt;&gt;""),"PC_PAGO_A_CONTRATADA invalido",IF(AND(C1784&lt;&gt;"C0",IFERROR(INDEX(parametros!$A$2:$A$6,MATCH(C1784,parametros!$B$2:$B$6,0)),"")="Sim",IFERROR(INDEX(parametros!$H$2:$H$6,MATCH(C1784,parametros!$B$2:$B$6,0)),"")=""),"INICIO_EFEITO ausente: PC "&amp;A1784&amp;" - "&amp;C1784,IF(L1784="","EFEITO_PC nao calculado: PC "&amp;A1784&amp;" - "&amp;C1784,"OK")))))))))</f>
        <v/>
      </c>
      <c r="L1784" s="92" t="str">
        <f>IF(AND(A1784="",B1784="",D1784="",G1784=""),"",IF(OR(B1784="",NOT(ISNUMBER(B1784)),C1784="",C1784="Fora dos ciclos"),"",IF(C1784="C0","Nao",IF(IFERROR(INDEX(parametros!$A$2:$A$6,MATCH(C1784,parametros!$B$2:$B$6,0)),"")&lt;&gt;"Sim","Nao",IF(IFERROR(INDEX(parametros!$H$2:$H$6,MATCH(C1784,parametros!$B$2:$B$6,0)),"")="","",IF(B1784&gt;=IFERROR(INDEX(parametros!$H$2:$H$6,MATCH(C1784,parametros!$B$2:$B$6,0)),""),"Sim","Nao"))))))</f>
        <v/>
      </c>
      <c r="T1784" s="156"/>
      <c r="U1784" s="214" t="str">
        <f t="shared" si="141"/>
        <v/>
      </c>
      <c r="V1784" s="212" t="s">
        <v>50</v>
      </c>
      <c r="W1784" s="100" t="s">
        <v>168</v>
      </c>
      <c r="X1784" s="100" t="s">
        <v>169</v>
      </c>
      <c r="Y1784" s="101" t="s">
        <v>170</v>
      </c>
      <c r="Z1784" s="101" t="s">
        <v>171</v>
      </c>
      <c r="AA1784" s="101" t="s">
        <v>50</v>
      </c>
      <c r="AB1784" s="101" t="s">
        <v>172</v>
      </c>
      <c r="AC1784" s="102" t="s">
        <v>173</v>
      </c>
    </row>
    <row r="1785" spans="1:29" ht="25.5" customHeight="1" x14ac:dyDescent="0.35">
      <c r="A1785" s="392"/>
      <c r="B1785" s="393"/>
      <c r="C1785" s="99" t="str">
        <f>IF(B1785="","",IF(NOT(ISNUMBER(B1785)),"DATA_PC invalida",IF(NOT(ISNUMBER(parametros!$C$2)),"Fora dos ciclos",IF(OR(B1785&lt;parametros!$C$2,(YEAR(B1785)-YEAR(parametros!$C$2))*12+MONTH(B1785)-MONTH(parametros!$C$2)&gt;59),"Fora dos ciclos","C"&amp;INT(((YEAR(B1785)-YEAR(parametros!$C$2))*12+MONTH(B1785)-MONTH(parametros!$C$2))/12)))))</f>
        <v/>
      </c>
      <c r="D1785" s="394"/>
      <c r="E1785" s="78" t="str">
        <f>IF(C1785="","",IFERROR(VLOOKUP(C1785,parametros!$A$11:$E$15,5,0),""))</f>
        <v/>
      </c>
      <c r="F1785" s="79" t="str">
        <f t="shared" si="137"/>
        <v/>
      </c>
      <c r="G1785" s="395"/>
      <c r="H1785" s="91">
        <f t="shared" si="138"/>
        <v>0</v>
      </c>
      <c r="I1785" s="91" t="str">
        <f t="shared" si="139"/>
        <v/>
      </c>
      <c r="J1785" s="91" t="str">
        <f t="shared" si="140"/>
        <v/>
      </c>
      <c r="K1785" s="92" t="str">
        <f>IF(AND(A1785="",B1785="",D1785="",G1785=""),"",IF(AND(A1785&lt;&gt;"",COUNTIF($A$2:$A$5001,A1785)&gt;1),"NUMERO_PC duplicado",IF(B1785="","DATA_PC vazia",IF(NOT(ISNUMBER(B1785)),"DATA_PC invalida",IF(OR(C1785="",C1785="Fora dos ciclos"),"CICLO_PC nao identificado",IF(OR(D1785="",D1785=0),"VALOR_PC vazio ou zero",IF(AND(G1785&lt;&gt;"Sim",G1785&lt;&gt;"Nao",G1785&lt;&gt;""),"PC_PAGO_A_CONTRATADA invalido",IF(AND(C1785&lt;&gt;"C0",IFERROR(INDEX(parametros!$A$2:$A$6,MATCH(C1785,parametros!$B$2:$B$6,0)),"")="Sim",IFERROR(INDEX(parametros!$H$2:$H$6,MATCH(C1785,parametros!$B$2:$B$6,0)),"")=""),"INICIO_EFEITO ausente: PC "&amp;A1785&amp;" - "&amp;C1785,IF(L1785="","EFEITO_PC nao calculado: PC "&amp;A1785&amp;" - "&amp;C1785,"OK")))))))))</f>
        <v/>
      </c>
      <c r="L1785" s="92" t="str">
        <f>IF(AND(A1785="",B1785="",D1785="",G1785=""),"",IF(OR(B1785="",NOT(ISNUMBER(B1785)),C1785="",C1785="Fora dos ciclos"),"",IF(C1785="C0","Nao",IF(IFERROR(INDEX(parametros!$A$2:$A$6,MATCH(C1785,parametros!$B$2:$B$6,0)),"")&lt;&gt;"Sim","Nao",IF(IFERROR(INDEX(parametros!$H$2:$H$6,MATCH(C1785,parametros!$B$2:$B$6,0)),"")="","",IF(B1785&gt;=IFERROR(INDEX(parametros!$H$2:$H$6,MATCH(C1785,parametros!$B$2:$B$6,0)),""),"Sim","Nao"))))))</f>
        <v/>
      </c>
      <c r="T1785" s="156"/>
      <c r="U1785" s="214" t="str">
        <f t="shared" si="141"/>
        <v/>
      </c>
      <c r="V1785" s="212" t="s">
        <v>50</v>
      </c>
      <c r="W1785" s="100" t="s">
        <v>168</v>
      </c>
      <c r="X1785" s="100" t="s">
        <v>169</v>
      </c>
      <c r="Y1785" s="101" t="s">
        <v>170</v>
      </c>
      <c r="Z1785" s="101" t="s">
        <v>171</v>
      </c>
      <c r="AA1785" s="101" t="s">
        <v>50</v>
      </c>
      <c r="AB1785" s="101" t="s">
        <v>172</v>
      </c>
      <c r="AC1785" s="102" t="s">
        <v>173</v>
      </c>
    </row>
    <row r="1786" spans="1:29" ht="25.5" customHeight="1" x14ac:dyDescent="0.35">
      <c r="A1786" s="392"/>
      <c r="B1786" s="393"/>
      <c r="C1786" s="99" t="str">
        <f>IF(B1786="","",IF(NOT(ISNUMBER(B1786)),"DATA_PC invalida",IF(NOT(ISNUMBER(parametros!$C$2)),"Fora dos ciclos",IF(OR(B1786&lt;parametros!$C$2,(YEAR(B1786)-YEAR(parametros!$C$2))*12+MONTH(B1786)-MONTH(parametros!$C$2)&gt;59),"Fora dos ciclos","C"&amp;INT(((YEAR(B1786)-YEAR(parametros!$C$2))*12+MONTH(B1786)-MONTH(parametros!$C$2))/12)))))</f>
        <v/>
      </c>
      <c r="D1786" s="394"/>
      <c r="E1786" s="78" t="str">
        <f>IF(C1786="","",IFERROR(VLOOKUP(C1786,parametros!$A$11:$E$15,5,0),""))</f>
        <v/>
      </c>
      <c r="F1786" s="79" t="str">
        <f t="shared" si="137"/>
        <v/>
      </c>
      <c r="G1786" s="395"/>
      <c r="H1786" s="91">
        <f t="shared" si="138"/>
        <v>0</v>
      </c>
      <c r="I1786" s="91" t="str">
        <f t="shared" si="139"/>
        <v/>
      </c>
      <c r="J1786" s="91" t="str">
        <f t="shared" si="140"/>
        <v/>
      </c>
      <c r="K1786" s="92" t="str">
        <f>IF(AND(A1786="",B1786="",D1786="",G1786=""),"",IF(AND(A1786&lt;&gt;"",COUNTIF($A$2:$A$5001,A1786)&gt;1),"NUMERO_PC duplicado",IF(B1786="","DATA_PC vazia",IF(NOT(ISNUMBER(B1786)),"DATA_PC invalida",IF(OR(C1786="",C1786="Fora dos ciclos"),"CICLO_PC nao identificado",IF(OR(D1786="",D1786=0),"VALOR_PC vazio ou zero",IF(AND(G1786&lt;&gt;"Sim",G1786&lt;&gt;"Nao",G1786&lt;&gt;""),"PC_PAGO_A_CONTRATADA invalido",IF(AND(C1786&lt;&gt;"C0",IFERROR(INDEX(parametros!$A$2:$A$6,MATCH(C1786,parametros!$B$2:$B$6,0)),"")="Sim",IFERROR(INDEX(parametros!$H$2:$H$6,MATCH(C1786,parametros!$B$2:$B$6,0)),"")=""),"INICIO_EFEITO ausente: PC "&amp;A1786&amp;" - "&amp;C1786,IF(L1786="","EFEITO_PC nao calculado: PC "&amp;A1786&amp;" - "&amp;C1786,"OK")))))))))</f>
        <v/>
      </c>
      <c r="L1786" s="92" t="str">
        <f>IF(AND(A1786="",B1786="",D1786="",G1786=""),"",IF(OR(B1786="",NOT(ISNUMBER(B1786)),C1786="",C1786="Fora dos ciclos"),"",IF(C1786="C0","Nao",IF(IFERROR(INDEX(parametros!$A$2:$A$6,MATCH(C1786,parametros!$B$2:$B$6,0)),"")&lt;&gt;"Sim","Nao",IF(IFERROR(INDEX(parametros!$H$2:$H$6,MATCH(C1786,parametros!$B$2:$B$6,0)),"")="","",IF(B1786&gt;=IFERROR(INDEX(parametros!$H$2:$H$6,MATCH(C1786,parametros!$B$2:$B$6,0)),""),"Sim","Nao"))))))</f>
        <v/>
      </c>
      <c r="T1786" s="156"/>
      <c r="U1786" s="214" t="str">
        <f t="shared" si="141"/>
        <v/>
      </c>
      <c r="V1786" s="212" t="s">
        <v>50</v>
      </c>
      <c r="W1786" s="100" t="s">
        <v>168</v>
      </c>
      <c r="X1786" s="100" t="s">
        <v>169</v>
      </c>
      <c r="Y1786" s="101" t="s">
        <v>170</v>
      </c>
      <c r="Z1786" s="101" t="s">
        <v>171</v>
      </c>
      <c r="AA1786" s="101" t="s">
        <v>50</v>
      </c>
      <c r="AB1786" s="101" t="s">
        <v>172</v>
      </c>
      <c r="AC1786" s="102" t="s">
        <v>173</v>
      </c>
    </row>
    <row r="1787" spans="1:29" ht="25.5" customHeight="1" x14ac:dyDescent="0.35">
      <c r="A1787" s="392"/>
      <c r="B1787" s="393"/>
      <c r="C1787" s="99" t="str">
        <f>IF(B1787="","",IF(NOT(ISNUMBER(B1787)),"DATA_PC invalida",IF(NOT(ISNUMBER(parametros!$C$2)),"Fora dos ciclos",IF(OR(B1787&lt;parametros!$C$2,(YEAR(B1787)-YEAR(parametros!$C$2))*12+MONTH(B1787)-MONTH(parametros!$C$2)&gt;59),"Fora dos ciclos","C"&amp;INT(((YEAR(B1787)-YEAR(parametros!$C$2))*12+MONTH(B1787)-MONTH(parametros!$C$2))/12)))))</f>
        <v/>
      </c>
      <c r="D1787" s="394"/>
      <c r="E1787" s="78" t="str">
        <f>IF(C1787="","",IFERROR(VLOOKUP(C1787,parametros!$A$11:$E$15,5,0),""))</f>
        <v/>
      </c>
      <c r="F1787" s="79" t="str">
        <f t="shared" si="137"/>
        <v/>
      </c>
      <c r="G1787" s="395"/>
      <c r="H1787" s="91">
        <f t="shared" si="138"/>
        <v>0</v>
      </c>
      <c r="I1787" s="91" t="str">
        <f t="shared" si="139"/>
        <v/>
      </c>
      <c r="J1787" s="91" t="str">
        <f t="shared" si="140"/>
        <v/>
      </c>
      <c r="K1787" s="92" t="str">
        <f>IF(AND(A1787="",B1787="",D1787="",G1787=""),"",IF(AND(A1787&lt;&gt;"",COUNTIF($A$2:$A$5001,A1787)&gt;1),"NUMERO_PC duplicado",IF(B1787="","DATA_PC vazia",IF(NOT(ISNUMBER(B1787)),"DATA_PC invalida",IF(OR(C1787="",C1787="Fora dos ciclos"),"CICLO_PC nao identificado",IF(OR(D1787="",D1787=0),"VALOR_PC vazio ou zero",IF(AND(G1787&lt;&gt;"Sim",G1787&lt;&gt;"Nao",G1787&lt;&gt;""),"PC_PAGO_A_CONTRATADA invalido",IF(AND(C1787&lt;&gt;"C0",IFERROR(INDEX(parametros!$A$2:$A$6,MATCH(C1787,parametros!$B$2:$B$6,0)),"")="Sim",IFERROR(INDEX(parametros!$H$2:$H$6,MATCH(C1787,parametros!$B$2:$B$6,0)),"")=""),"INICIO_EFEITO ausente: PC "&amp;A1787&amp;" - "&amp;C1787,IF(L1787="","EFEITO_PC nao calculado: PC "&amp;A1787&amp;" - "&amp;C1787,"OK")))))))))</f>
        <v/>
      </c>
      <c r="L1787" s="92" t="str">
        <f>IF(AND(A1787="",B1787="",D1787="",G1787=""),"",IF(OR(B1787="",NOT(ISNUMBER(B1787)),C1787="",C1787="Fora dos ciclos"),"",IF(C1787="C0","Nao",IF(IFERROR(INDEX(parametros!$A$2:$A$6,MATCH(C1787,parametros!$B$2:$B$6,0)),"")&lt;&gt;"Sim","Nao",IF(IFERROR(INDEX(parametros!$H$2:$H$6,MATCH(C1787,parametros!$B$2:$B$6,0)),"")="","",IF(B1787&gt;=IFERROR(INDEX(parametros!$H$2:$H$6,MATCH(C1787,parametros!$B$2:$B$6,0)),""),"Sim","Nao"))))))</f>
        <v/>
      </c>
      <c r="T1787" s="156"/>
      <c r="U1787" s="214" t="str">
        <f t="shared" si="141"/>
        <v/>
      </c>
      <c r="V1787" s="212" t="s">
        <v>50</v>
      </c>
      <c r="W1787" s="100" t="s">
        <v>168</v>
      </c>
      <c r="X1787" s="100" t="s">
        <v>169</v>
      </c>
      <c r="Y1787" s="101" t="s">
        <v>170</v>
      </c>
      <c r="Z1787" s="101" t="s">
        <v>171</v>
      </c>
      <c r="AA1787" s="101" t="s">
        <v>50</v>
      </c>
      <c r="AB1787" s="101" t="s">
        <v>172</v>
      </c>
      <c r="AC1787" s="102" t="s">
        <v>173</v>
      </c>
    </row>
    <row r="1788" spans="1:29" ht="25.5" customHeight="1" x14ac:dyDescent="0.35">
      <c r="A1788" s="392"/>
      <c r="B1788" s="393"/>
      <c r="C1788" s="99" t="str">
        <f>IF(B1788="","",IF(NOT(ISNUMBER(B1788)),"DATA_PC invalida",IF(NOT(ISNUMBER(parametros!$C$2)),"Fora dos ciclos",IF(OR(B1788&lt;parametros!$C$2,(YEAR(B1788)-YEAR(parametros!$C$2))*12+MONTH(B1788)-MONTH(parametros!$C$2)&gt;59),"Fora dos ciclos","C"&amp;INT(((YEAR(B1788)-YEAR(parametros!$C$2))*12+MONTH(B1788)-MONTH(parametros!$C$2))/12)))))</f>
        <v/>
      </c>
      <c r="D1788" s="394"/>
      <c r="E1788" s="78" t="str">
        <f>IF(C1788="","",IFERROR(VLOOKUP(C1788,parametros!$A$11:$E$15,5,0),""))</f>
        <v/>
      </c>
      <c r="F1788" s="79" t="str">
        <f t="shared" si="137"/>
        <v/>
      </c>
      <c r="G1788" s="395"/>
      <c r="H1788" s="91">
        <f t="shared" si="138"/>
        <v>0</v>
      </c>
      <c r="I1788" s="91" t="str">
        <f t="shared" si="139"/>
        <v/>
      </c>
      <c r="J1788" s="91" t="str">
        <f t="shared" si="140"/>
        <v/>
      </c>
      <c r="K1788" s="92" t="str">
        <f>IF(AND(A1788="",B1788="",D1788="",G1788=""),"",IF(AND(A1788&lt;&gt;"",COUNTIF($A$2:$A$5001,A1788)&gt;1),"NUMERO_PC duplicado",IF(B1788="","DATA_PC vazia",IF(NOT(ISNUMBER(B1788)),"DATA_PC invalida",IF(OR(C1788="",C1788="Fora dos ciclos"),"CICLO_PC nao identificado",IF(OR(D1788="",D1788=0),"VALOR_PC vazio ou zero",IF(AND(G1788&lt;&gt;"Sim",G1788&lt;&gt;"Nao",G1788&lt;&gt;""),"PC_PAGO_A_CONTRATADA invalido",IF(AND(C1788&lt;&gt;"C0",IFERROR(INDEX(parametros!$A$2:$A$6,MATCH(C1788,parametros!$B$2:$B$6,0)),"")="Sim",IFERROR(INDEX(parametros!$H$2:$H$6,MATCH(C1788,parametros!$B$2:$B$6,0)),"")=""),"INICIO_EFEITO ausente: PC "&amp;A1788&amp;" - "&amp;C1788,IF(L1788="","EFEITO_PC nao calculado: PC "&amp;A1788&amp;" - "&amp;C1788,"OK")))))))))</f>
        <v/>
      </c>
      <c r="L1788" s="92" t="str">
        <f>IF(AND(A1788="",B1788="",D1788="",G1788=""),"",IF(OR(B1788="",NOT(ISNUMBER(B1788)),C1788="",C1788="Fora dos ciclos"),"",IF(C1788="C0","Nao",IF(IFERROR(INDEX(parametros!$A$2:$A$6,MATCH(C1788,parametros!$B$2:$B$6,0)),"")&lt;&gt;"Sim","Nao",IF(IFERROR(INDEX(parametros!$H$2:$H$6,MATCH(C1788,parametros!$B$2:$B$6,0)),"")="","",IF(B1788&gt;=IFERROR(INDEX(parametros!$H$2:$H$6,MATCH(C1788,parametros!$B$2:$B$6,0)),""),"Sim","Nao"))))))</f>
        <v/>
      </c>
      <c r="T1788" s="156"/>
      <c r="U1788" s="214" t="str">
        <f t="shared" si="141"/>
        <v/>
      </c>
      <c r="V1788" s="212" t="s">
        <v>50</v>
      </c>
      <c r="W1788" s="100" t="s">
        <v>168</v>
      </c>
      <c r="X1788" s="100" t="s">
        <v>169</v>
      </c>
      <c r="Y1788" s="101" t="s">
        <v>170</v>
      </c>
      <c r="Z1788" s="101" t="s">
        <v>171</v>
      </c>
      <c r="AA1788" s="101" t="s">
        <v>50</v>
      </c>
      <c r="AB1788" s="101" t="s">
        <v>172</v>
      </c>
      <c r="AC1788" s="102" t="s">
        <v>173</v>
      </c>
    </row>
    <row r="1789" spans="1:29" ht="25.5" customHeight="1" x14ac:dyDescent="0.35">
      <c r="A1789" s="392"/>
      <c r="B1789" s="393"/>
      <c r="C1789" s="99" t="str">
        <f>IF(B1789="","",IF(NOT(ISNUMBER(B1789)),"DATA_PC invalida",IF(NOT(ISNUMBER(parametros!$C$2)),"Fora dos ciclos",IF(OR(B1789&lt;parametros!$C$2,(YEAR(B1789)-YEAR(parametros!$C$2))*12+MONTH(B1789)-MONTH(parametros!$C$2)&gt;59),"Fora dos ciclos","C"&amp;INT(((YEAR(B1789)-YEAR(parametros!$C$2))*12+MONTH(B1789)-MONTH(parametros!$C$2))/12)))))</f>
        <v/>
      </c>
      <c r="D1789" s="394"/>
      <c r="E1789" s="78" t="str">
        <f>IF(C1789="","",IFERROR(VLOOKUP(C1789,parametros!$A$11:$E$15,5,0),""))</f>
        <v/>
      </c>
      <c r="F1789" s="79" t="str">
        <f t="shared" si="137"/>
        <v/>
      </c>
      <c r="G1789" s="395"/>
      <c r="H1789" s="91">
        <f t="shared" si="138"/>
        <v>0</v>
      </c>
      <c r="I1789" s="91" t="str">
        <f t="shared" si="139"/>
        <v/>
      </c>
      <c r="J1789" s="91" t="str">
        <f t="shared" si="140"/>
        <v/>
      </c>
      <c r="K1789" s="92" t="str">
        <f>IF(AND(A1789="",B1789="",D1789="",G1789=""),"",IF(AND(A1789&lt;&gt;"",COUNTIF($A$2:$A$5001,A1789)&gt;1),"NUMERO_PC duplicado",IF(B1789="","DATA_PC vazia",IF(NOT(ISNUMBER(B1789)),"DATA_PC invalida",IF(OR(C1789="",C1789="Fora dos ciclos"),"CICLO_PC nao identificado",IF(OR(D1789="",D1789=0),"VALOR_PC vazio ou zero",IF(AND(G1789&lt;&gt;"Sim",G1789&lt;&gt;"Nao",G1789&lt;&gt;""),"PC_PAGO_A_CONTRATADA invalido",IF(AND(C1789&lt;&gt;"C0",IFERROR(INDEX(parametros!$A$2:$A$6,MATCH(C1789,parametros!$B$2:$B$6,0)),"")="Sim",IFERROR(INDEX(parametros!$H$2:$H$6,MATCH(C1789,parametros!$B$2:$B$6,0)),"")=""),"INICIO_EFEITO ausente: PC "&amp;A1789&amp;" - "&amp;C1789,IF(L1789="","EFEITO_PC nao calculado: PC "&amp;A1789&amp;" - "&amp;C1789,"OK")))))))))</f>
        <v/>
      </c>
      <c r="L1789" s="92" t="str">
        <f>IF(AND(A1789="",B1789="",D1789="",G1789=""),"",IF(OR(B1789="",NOT(ISNUMBER(B1789)),C1789="",C1789="Fora dos ciclos"),"",IF(C1789="C0","Nao",IF(IFERROR(INDEX(parametros!$A$2:$A$6,MATCH(C1789,parametros!$B$2:$B$6,0)),"")&lt;&gt;"Sim","Nao",IF(IFERROR(INDEX(parametros!$H$2:$H$6,MATCH(C1789,parametros!$B$2:$B$6,0)),"")="","",IF(B1789&gt;=IFERROR(INDEX(parametros!$H$2:$H$6,MATCH(C1789,parametros!$B$2:$B$6,0)),""),"Sim","Nao"))))))</f>
        <v/>
      </c>
      <c r="T1789" s="156"/>
      <c r="U1789" s="214" t="str">
        <f t="shared" si="141"/>
        <v/>
      </c>
      <c r="V1789" s="212" t="s">
        <v>50</v>
      </c>
      <c r="W1789" s="100" t="s">
        <v>168</v>
      </c>
      <c r="X1789" s="100" t="s">
        <v>169</v>
      </c>
      <c r="Y1789" s="101" t="s">
        <v>170</v>
      </c>
      <c r="Z1789" s="101" t="s">
        <v>171</v>
      </c>
      <c r="AA1789" s="101" t="s">
        <v>50</v>
      </c>
      <c r="AB1789" s="101" t="s">
        <v>172</v>
      </c>
      <c r="AC1789" s="102" t="s">
        <v>173</v>
      </c>
    </row>
    <row r="1790" spans="1:29" ht="25.5" customHeight="1" x14ac:dyDescent="0.35">
      <c r="A1790" s="392"/>
      <c r="B1790" s="393"/>
      <c r="C1790" s="99" t="str">
        <f>IF(B1790="","",IF(NOT(ISNUMBER(B1790)),"DATA_PC invalida",IF(NOT(ISNUMBER(parametros!$C$2)),"Fora dos ciclos",IF(OR(B1790&lt;parametros!$C$2,(YEAR(B1790)-YEAR(parametros!$C$2))*12+MONTH(B1790)-MONTH(parametros!$C$2)&gt;59),"Fora dos ciclos","C"&amp;INT(((YEAR(B1790)-YEAR(parametros!$C$2))*12+MONTH(B1790)-MONTH(parametros!$C$2))/12)))))</f>
        <v/>
      </c>
      <c r="D1790" s="394"/>
      <c r="E1790" s="78" t="str">
        <f>IF(C1790="","",IFERROR(VLOOKUP(C1790,parametros!$A$11:$E$15,5,0),""))</f>
        <v/>
      </c>
      <c r="F1790" s="79" t="str">
        <f t="shared" si="137"/>
        <v/>
      </c>
      <c r="G1790" s="395"/>
      <c r="H1790" s="91">
        <f t="shared" si="138"/>
        <v>0</v>
      </c>
      <c r="I1790" s="91" t="str">
        <f t="shared" si="139"/>
        <v/>
      </c>
      <c r="J1790" s="91" t="str">
        <f t="shared" si="140"/>
        <v/>
      </c>
      <c r="K1790" s="92" t="str">
        <f>IF(AND(A1790="",B1790="",D1790="",G1790=""),"",IF(AND(A1790&lt;&gt;"",COUNTIF($A$2:$A$5001,A1790)&gt;1),"NUMERO_PC duplicado",IF(B1790="","DATA_PC vazia",IF(NOT(ISNUMBER(B1790)),"DATA_PC invalida",IF(OR(C1790="",C1790="Fora dos ciclos"),"CICLO_PC nao identificado",IF(OR(D1790="",D1790=0),"VALOR_PC vazio ou zero",IF(AND(G1790&lt;&gt;"Sim",G1790&lt;&gt;"Nao",G1790&lt;&gt;""),"PC_PAGO_A_CONTRATADA invalido",IF(AND(C1790&lt;&gt;"C0",IFERROR(INDEX(parametros!$A$2:$A$6,MATCH(C1790,parametros!$B$2:$B$6,0)),"")="Sim",IFERROR(INDEX(parametros!$H$2:$H$6,MATCH(C1790,parametros!$B$2:$B$6,0)),"")=""),"INICIO_EFEITO ausente: PC "&amp;A1790&amp;" - "&amp;C1790,IF(L1790="","EFEITO_PC nao calculado: PC "&amp;A1790&amp;" - "&amp;C1790,"OK")))))))))</f>
        <v/>
      </c>
      <c r="L1790" s="92" t="str">
        <f>IF(AND(A1790="",B1790="",D1790="",G1790=""),"",IF(OR(B1790="",NOT(ISNUMBER(B1790)),C1790="",C1790="Fora dos ciclos"),"",IF(C1790="C0","Nao",IF(IFERROR(INDEX(parametros!$A$2:$A$6,MATCH(C1790,parametros!$B$2:$B$6,0)),"")&lt;&gt;"Sim","Nao",IF(IFERROR(INDEX(parametros!$H$2:$H$6,MATCH(C1790,parametros!$B$2:$B$6,0)),"")="","",IF(B1790&gt;=IFERROR(INDEX(parametros!$H$2:$H$6,MATCH(C1790,parametros!$B$2:$B$6,0)),""),"Sim","Nao"))))))</f>
        <v/>
      </c>
      <c r="T1790" s="156"/>
      <c r="U1790" s="214" t="str">
        <f t="shared" si="141"/>
        <v/>
      </c>
      <c r="V1790" s="212" t="s">
        <v>50</v>
      </c>
      <c r="W1790" s="100" t="s">
        <v>168</v>
      </c>
      <c r="X1790" s="100" t="s">
        <v>169</v>
      </c>
      <c r="Y1790" s="101" t="s">
        <v>170</v>
      </c>
      <c r="Z1790" s="101" t="s">
        <v>171</v>
      </c>
      <c r="AA1790" s="101" t="s">
        <v>50</v>
      </c>
      <c r="AB1790" s="101" t="s">
        <v>172</v>
      </c>
      <c r="AC1790" s="102" t="s">
        <v>173</v>
      </c>
    </row>
    <row r="1791" spans="1:29" ht="25.5" customHeight="1" x14ac:dyDescent="0.35">
      <c r="A1791" s="392"/>
      <c r="B1791" s="393"/>
      <c r="C1791" s="99" t="str">
        <f>IF(B1791="","",IF(NOT(ISNUMBER(B1791)),"DATA_PC invalida",IF(NOT(ISNUMBER(parametros!$C$2)),"Fora dos ciclos",IF(OR(B1791&lt;parametros!$C$2,(YEAR(B1791)-YEAR(parametros!$C$2))*12+MONTH(B1791)-MONTH(parametros!$C$2)&gt;59),"Fora dos ciclos","C"&amp;INT(((YEAR(B1791)-YEAR(parametros!$C$2))*12+MONTH(B1791)-MONTH(parametros!$C$2))/12)))))</f>
        <v/>
      </c>
      <c r="D1791" s="394"/>
      <c r="E1791" s="78" t="str">
        <f>IF(C1791="","",IFERROR(VLOOKUP(C1791,parametros!$A$11:$E$15,5,0),""))</f>
        <v/>
      </c>
      <c r="F1791" s="79" t="str">
        <f t="shared" si="137"/>
        <v/>
      </c>
      <c r="G1791" s="395"/>
      <c r="H1791" s="91">
        <f t="shared" si="138"/>
        <v>0</v>
      </c>
      <c r="I1791" s="91" t="str">
        <f t="shared" si="139"/>
        <v/>
      </c>
      <c r="J1791" s="91" t="str">
        <f t="shared" si="140"/>
        <v/>
      </c>
      <c r="K1791" s="92" t="str">
        <f>IF(AND(A1791="",B1791="",D1791="",G1791=""),"",IF(AND(A1791&lt;&gt;"",COUNTIF($A$2:$A$5001,A1791)&gt;1),"NUMERO_PC duplicado",IF(B1791="","DATA_PC vazia",IF(NOT(ISNUMBER(B1791)),"DATA_PC invalida",IF(OR(C1791="",C1791="Fora dos ciclos"),"CICLO_PC nao identificado",IF(OR(D1791="",D1791=0),"VALOR_PC vazio ou zero",IF(AND(G1791&lt;&gt;"Sim",G1791&lt;&gt;"Nao",G1791&lt;&gt;""),"PC_PAGO_A_CONTRATADA invalido",IF(AND(C1791&lt;&gt;"C0",IFERROR(INDEX(parametros!$A$2:$A$6,MATCH(C1791,parametros!$B$2:$B$6,0)),"")="Sim",IFERROR(INDEX(parametros!$H$2:$H$6,MATCH(C1791,parametros!$B$2:$B$6,0)),"")=""),"INICIO_EFEITO ausente: PC "&amp;A1791&amp;" - "&amp;C1791,IF(L1791="","EFEITO_PC nao calculado: PC "&amp;A1791&amp;" - "&amp;C1791,"OK")))))))))</f>
        <v/>
      </c>
      <c r="L1791" s="92" t="str">
        <f>IF(AND(A1791="",B1791="",D1791="",G1791=""),"",IF(OR(B1791="",NOT(ISNUMBER(B1791)),C1791="",C1791="Fora dos ciclos"),"",IF(C1791="C0","Nao",IF(IFERROR(INDEX(parametros!$A$2:$A$6,MATCH(C1791,parametros!$B$2:$B$6,0)),"")&lt;&gt;"Sim","Nao",IF(IFERROR(INDEX(parametros!$H$2:$H$6,MATCH(C1791,parametros!$B$2:$B$6,0)),"")="","",IF(B1791&gt;=IFERROR(INDEX(parametros!$H$2:$H$6,MATCH(C1791,parametros!$B$2:$B$6,0)),""),"Sim","Nao"))))))</f>
        <v/>
      </c>
      <c r="T1791" s="156"/>
      <c r="U1791" s="214" t="str">
        <f t="shared" si="141"/>
        <v/>
      </c>
      <c r="V1791" s="212" t="s">
        <v>50</v>
      </c>
      <c r="W1791" s="100" t="s">
        <v>168</v>
      </c>
      <c r="X1791" s="100" t="s">
        <v>169</v>
      </c>
      <c r="Y1791" s="101" t="s">
        <v>170</v>
      </c>
      <c r="Z1791" s="101" t="s">
        <v>171</v>
      </c>
      <c r="AA1791" s="101" t="s">
        <v>50</v>
      </c>
      <c r="AB1791" s="101" t="s">
        <v>172</v>
      </c>
      <c r="AC1791" s="102" t="s">
        <v>173</v>
      </c>
    </row>
    <row r="1792" spans="1:29" ht="25.5" customHeight="1" x14ac:dyDescent="0.35">
      <c r="A1792" s="392"/>
      <c r="B1792" s="393"/>
      <c r="C1792" s="99" t="str">
        <f>IF(B1792="","",IF(NOT(ISNUMBER(B1792)),"DATA_PC invalida",IF(NOT(ISNUMBER(parametros!$C$2)),"Fora dos ciclos",IF(OR(B1792&lt;parametros!$C$2,(YEAR(B1792)-YEAR(parametros!$C$2))*12+MONTH(B1792)-MONTH(parametros!$C$2)&gt;59),"Fora dos ciclos","C"&amp;INT(((YEAR(B1792)-YEAR(parametros!$C$2))*12+MONTH(B1792)-MONTH(parametros!$C$2))/12)))))</f>
        <v/>
      </c>
      <c r="D1792" s="394"/>
      <c r="E1792" s="78" t="str">
        <f>IF(C1792="","",IFERROR(VLOOKUP(C1792,parametros!$A$11:$E$15,5,0),""))</f>
        <v/>
      </c>
      <c r="F1792" s="79" t="str">
        <f t="shared" si="137"/>
        <v/>
      </c>
      <c r="G1792" s="395"/>
      <c r="H1792" s="91">
        <f t="shared" si="138"/>
        <v>0</v>
      </c>
      <c r="I1792" s="91" t="str">
        <f t="shared" si="139"/>
        <v/>
      </c>
      <c r="J1792" s="91" t="str">
        <f t="shared" si="140"/>
        <v/>
      </c>
      <c r="K1792" s="92" t="str">
        <f>IF(AND(A1792="",B1792="",D1792="",G1792=""),"",IF(AND(A1792&lt;&gt;"",COUNTIF($A$2:$A$5001,A1792)&gt;1),"NUMERO_PC duplicado",IF(B1792="","DATA_PC vazia",IF(NOT(ISNUMBER(B1792)),"DATA_PC invalida",IF(OR(C1792="",C1792="Fora dos ciclos"),"CICLO_PC nao identificado",IF(OR(D1792="",D1792=0),"VALOR_PC vazio ou zero",IF(AND(G1792&lt;&gt;"Sim",G1792&lt;&gt;"Nao",G1792&lt;&gt;""),"PC_PAGO_A_CONTRATADA invalido",IF(AND(C1792&lt;&gt;"C0",IFERROR(INDEX(parametros!$A$2:$A$6,MATCH(C1792,parametros!$B$2:$B$6,0)),"")="Sim",IFERROR(INDEX(parametros!$H$2:$H$6,MATCH(C1792,parametros!$B$2:$B$6,0)),"")=""),"INICIO_EFEITO ausente: PC "&amp;A1792&amp;" - "&amp;C1792,IF(L1792="","EFEITO_PC nao calculado: PC "&amp;A1792&amp;" - "&amp;C1792,"OK")))))))))</f>
        <v/>
      </c>
      <c r="L1792" s="92" t="str">
        <f>IF(AND(A1792="",B1792="",D1792="",G1792=""),"",IF(OR(B1792="",NOT(ISNUMBER(B1792)),C1792="",C1792="Fora dos ciclos"),"",IF(C1792="C0","Nao",IF(IFERROR(INDEX(parametros!$A$2:$A$6,MATCH(C1792,parametros!$B$2:$B$6,0)),"")&lt;&gt;"Sim","Nao",IF(IFERROR(INDEX(parametros!$H$2:$H$6,MATCH(C1792,parametros!$B$2:$B$6,0)),"")="","",IF(B1792&gt;=IFERROR(INDEX(parametros!$H$2:$H$6,MATCH(C1792,parametros!$B$2:$B$6,0)),""),"Sim","Nao"))))))</f>
        <v/>
      </c>
      <c r="T1792" s="156"/>
      <c r="U1792" s="214" t="str">
        <f t="shared" si="141"/>
        <v/>
      </c>
      <c r="V1792" s="212" t="s">
        <v>50</v>
      </c>
      <c r="W1792" s="100" t="s">
        <v>168</v>
      </c>
      <c r="X1792" s="100" t="s">
        <v>169</v>
      </c>
      <c r="Y1792" s="101" t="s">
        <v>170</v>
      </c>
      <c r="Z1792" s="101" t="s">
        <v>171</v>
      </c>
      <c r="AA1792" s="101" t="s">
        <v>50</v>
      </c>
      <c r="AB1792" s="101" t="s">
        <v>172</v>
      </c>
      <c r="AC1792" s="102" t="s">
        <v>173</v>
      </c>
    </row>
    <row r="1793" spans="1:29" ht="25.5" customHeight="1" x14ac:dyDescent="0.35">
      <c r="A1793" s="392"/>
      <c r="B1793" s="393"/>
      <c r="C1793" s="99" t="str">
        <f>IF(B1793="","",IF(NOT(ISNUMBER(B1793)),"DATA_PC invalida",IF(NOT(ISNUMBER(parametros!$C$2)),"Fora dos ciclos",IF(OR(B1793&lt;parametros!$C$2,(YEAR(B1793)-YEAR(parametros!$C$2))*12+MONTH(B1793)-MONTH(parametros!$C$2)&gt;59),"Fora dos ciclos","C"&amp;INT(((YEAR(B1793)-YEAR(parametros!$C$2))*12+MONTH(B1793)-MONTH(parametros!$C$2))/12)))))</f>
        <v/>
      </c>
      <c r="D1793" s="394"/>
      <c r="E1793" s="78" t="str">
        <f>IF(C1793="","",IFERROR(VLOOKUP(C1793,parametros!$A$11:$E$15,5,0),""))</f>
        <v/>
      </c>
      <c r="F1793" s="79" t="str">
        <f t="shared" si="137"/>
        <v/>
      </c>
      <c r="G1793" s="395"/>
      <c r="H1793" s="91">
        <f t="shared" si="138"/>
        <v>0</v>
      </c>
      <c r="I1793" s="91" t="str">
        <f t="shared" si="139"/>
        <v/>
      </c>
      <c r="J1793" s="91" t="str">
        <f t="shared" si="140"/>
        <v/>
      </c>
      <c r="K1793" s="92" t="str">
        <f>IF(AND(A1793="",B1793="",D1793="",G1793=""),"",IF(AND(A1793&lt;&gt;"",COUNTIF($A$2:$A$5001,A1793)&gt;1),"NUMERO_PC duplicado",IF(B1793="","DATA_PC vazia",IF(NOT(ISNUMBER(B1793)),"DATA_PC invalida",IF(OR(C1793="",C1793="Fora dos ciclos"),"CICLO_PC nao identificado",IF(OR(D1793="",D1793=0),"VALOR_PC vazio ou zero",IF(AND(G1793&lt;&gt;"Sim",G1793&lt;&gt;"Nao",G1793&lt;&gt;""),"PC_PAGO_A_CONTRATADA invalido",IF(AND(C1793&lt;&gt;"C0",IFERROR(INDEX(parametros!$A$2:$A$6,MATCH(C1793,parametros!$B$2:$B$6,0)),"")="Sim",IFERROR(INDEX(parametros!$H$2:$H$6,MATCH(C1793,parametros!$B$2:$B$6,0)),"")=""),"INICIO_EFEITO ausente: PC "&amp;A1793&amp;" - "&amp;C1793,IF(L1793="","EFEITO_PC nao calculado: PC "&amp;A1793&amp;" - "&amp;C1793,"OK")))))))))</f>
        <v/>
      </c>
      <c r="L1793" s="92" t="str">
        <f>IF(AND(A1793="",B1793="",D1793="",G1793=""),"",IF(OR(B1793="",NOT(ISNUMBER(B1793)),C1793="",C1793="Fora dos ciclos"),"",IF(C1793="C0","Nao",IF(IFERROR(INDEX(parametros!$A$2:$A$6,MATCH(C1793,parametros!$B$2:$B$6,0)),"")&lt;&gt;"Sim","Nao",IF(IFERROR(INDEX(parametros!$H$2:$H$6,MATCH(C1793,parametros!$B$2:$B$6,0)),"")="","",IF(B1793&gt;=IFERROR(INDEX(parametros!$H$2:$H$6,MATCH(C1793,parametros!$B$2:$B$6,0)),""),"Sim","Nao"))))))</f>
        <v/>
      </c>
      <c r="T1793" s="156"/>
      <c r="U1793" s="214" t="str">
        <f t="shared" si="141"/>
        <v/>
      </c>
      <c r="V1793" s="212" t="s">
        <v>50</v>
      </c>
      <c r="W1793" s="100" t="s">
        <v>168</v>
      </c>
      <c r="X1793" s="100" t="s">
        <v>169</v>
      </c>
      <c r="Y1793" s="101" t="s">
        <v>170</v>
      </c>
      <c r="Z1793" s="101" t="s">
        <v>171</v>
      </c>
      <c r="AA1793" s="101" t="s">
        <v>50</v>
      </c>
      <c r="AB1793" s="101" t="s">
        <v>172</v>
      </c>
      <c r="AC1793" s="102" t="s">
        <v>173</v>
      </c>
    </row>
    <row r="1794" spans="1:29" ht="25.5" customHeight="1" x14ac:dyDescent="0.35">
      <c r="A1794" s="392"/>
      <c r="B1794" s="393"/>
      <c r="C1794" s="99" t="str">
        <f>IF(B1794="","",IF(NOT(ISNUMBER(B1794)),"DATA_PC invalida",IF(NOT(ISNUMBER(parametros!$C$2)),"Fora dos ciclos",IF(OR(B1794&lt;parametros!$C$2,(YEAR(B1794)-YEAR(parametros!$C$2))*12+MONTH(B1794)-MONTH(parametros!$C$2)&gt;59),"Fora dos ciclos","C"&amp;INT(((YEAR(B1794)-YEAR(parametros!$C$2))*12+MONTH(B1794)-MONTH(parametros!$C$2))/12)))))</f>
        <v/>
      </c>
      <c r="D1794" s="394"/>
      <c r="E1794" s="78" t="str">
        <f>IF(C1794="","",IFERROR(VLOOKUP(C1794,parametros!$A$11:$E$15,5,0),""))</f>
        <v/>
      </c>
      <c r="F1794" s="79" t="str">
        <f t="shared" ref="F1794:F1857" si="142">IF(OR(D1794="",E1794=""),"",ROUND(D1794*E1794,2))</f>
        <v/>
      </c>
      <c r="G1794" s="395"/>
      <c r="H1794" s="91">
        <f t="shared" ref="H1794:H1857" si="143">IF(G1794="Sim",IF(OR(F1794="",D1794="",L1794=""),"",IF(L1794="Sim",ROUND(F1794-D1794,2),0)),0)</f>
        <v>0</v>
      </c>
      <c r="I1794" s="91" t="str">
        <f t="shared" ref="I1794:I1857" si="144">IF(G1794="Sim",0,IF(OR(F1794="",L1794=""),"",F1794))</f>
        <v/>
      </c>
      <c r="J1794" s="91" t="str">
        <f t="shared" ref="J1794:J1857" si="145">IF(G1794="Sim",0,IF(OR(F1794="",D1794="",L1794=""),"",IF(L1794="Sim",ROUND(F1794-D1794,2),0)))</f>
        <v/>
      </c>
      <c r="K1794" s="92" t="str">
        <f>IF(AND(A1794="",B1794="",D1794="",G1794=""),"",IF(AND(A1794&lt;&gt;"",COUNTIF($A$2:$A$5001,A1794)&gt;1),"NUMERO_PC duplicado",IF(B1794="","DATA_PC vazia",IF(NOT(ISNUMBER(B1794)),"DATA_PC invalida",IF(OR(C1794="",C1794="Fora dos ciclos"),"CICLO_PC nao identificado",IF(OR(D1794="",D1794=0),"VALOR_PC vazio ou zero",IF(AND(G1794&lt;&gt;"Sim",G1794&lt;&gt;"Nao",G1794&lt;&gt;""),"PC_PAGO_A_CONTRATADA invalido",IF(AND(C1794&lt;&gt;"C0",IFERROR(INDEX(parametros!$A$2:$A$6,MATCH(C1794,parametros!$B$2:$B$6,0)),"")="Sim",IFERROR(INDEX(parametros!$H$2:$H$6,MATCH(C1794,parametros!$B$2:$B$6,0)),"")=""),"INICIO_EFEITO ausente: PC "&amp;A1794&amp;" - "&amp;C1794,IF(L1794="","EFEITO_PC nao calculado: PC "&amp;A1794&amp;" - "&amp;C1794,"OK")))))))))</f>
        <v/>
      </c>
      <c r="L1794" s="92" t="str">
        <f>IF(AND(A1794="",B1794="",D1794="",G1794=""),"",IF(OR(B1794="",NOT(ISNUMBER(B1794)),C1794="",C1794="Fora dos ciclos"),"",IF(C1794="C0","Nao",IF(IFERROR(INDEX(parametros!$A$2:$A$6,MATCH(C1794,parametros!$B$2:$B$6,0)),"")&lt;&gt;"Sim","Nao",IF(IFERROR(INDEX(parametros!$H$2:$H$6,MATCH(C1794,parametros!$B$2:$B$6,0)),"")="","",IF(B1794&gt;=IFERROR(INDEX(parametros!$H$2:$H$6,MATCH(C1794,parametros!$B$2:$B$6,0)),""),"Sim","Nao"))))))</f>
        <v/>
      </c>
      <c r="T1794" s="156"/>
      <c r="U1794" s="214" t="str">
        <f t="shared" ref="U1794:U1857" si="146">IF(OR($D1794="",$H1794=""),"",ROUND($D1794+$H1794,2))</f>
        <v/>
      </c>
      <c r="V1794" s="212" t="s">
        <v>50</v>
      </c>
      <c r="W1794" s="100" t="s">
        <v>168</v>
      </c>
      <c r="X1794" s="100" t="s">
        <v>169</v>
      </c>
      <c r="Y1794" s="101" t="s">
        <v>170</v>
      </c>
      <c r="Z1794" s="101" t="s">
        <v>171</v>
      </c>
      <c r="AA1794" s="101" t="s">
        <v>50</v>
      </c>
      <c r="AB1794" s="101" t="s">
        <v>172</v>
      </c>
      <c r="AC1794" s="102" t="s">
        <v>173</v>
      </c>
    </row>
    <row r="1795" spans="1:29" ht="25.5" customHeight="1" x14ac:dyDescent="0.35">
      <c r="A1795" s="392"/>
      <c r="B1795" s="393"/>
      <c r="C1795" s="99" t="str">
        <f>IF(B1795="","",IF(NOT(ISNUMBER(B1795)),"DATA_PC invalida",IF(NOT(ISNUMBER(parametros!$C$2)),"Fora dos ciclos",IF(OR(B1795&lt;parametros!$C$2,(YEAR(B1795)-YEAR(parametros!$C$2))*12+MONTH(B1795)-MONTH(parametros!$C$2)&gt;59),"Fora dos ciclos","C"&amp;INT(((YEAR(B1795)-YEAR(parametros!$C$2))*12+MONTH(B1795)-MONTH(parametros!$C$2))/12)))))</f>
        <v/>
      </c>
      <c r="D1795" s="394"/>
      <c r="E1795" s="78" t="str">
        <f>IF(C1795="","",IFERROR(VLOOKUP(C1795,parametros!$A$11:$E$15,5,0),""))</f>
        <v/>
      </c>
      <c r="F1795" s="79" t="str">
        <f t="shared" si="142"/>
        <v/>
      </c>
      <c r="G1795" s="395"/>
      <c r="H1795" s="91">
        <f t="shared" si="143"/>
        <v>0</v>
      </c>
      <c r="I1795" s="91" t="str">
        <f t="shared" si="144"/>
        <v/>
      </c>
      <c r="J1795" s="91" t="str">
        <f t="shared" si="145"/>
        <v/>
      </c>
      <c r="K1795" s="92" t="str">
        <f>IF(AND(A1795="",B1795="",D1795="",G1795=""),"",IF(AND(A1795&lt;&gt;"",COUNTIF($A$2:$A$5001,A1795)&gt;1),"NUMERO_PC duplicado",IF(B1795="","DATA_PC vazia",IF(NOT(ISNUMBER(B1795)),"DATA_PC invalida",IF(OR(C1795="",C1795="Fora dos ciclos"),"CICLO_PC nao identificado",IF(OR(D1795="",D1795=0),"VALOR_PC vazio ou zero",IF(AND(G1795&lt;&gt;"Sim",G1795&lt;&gt;"Nao",G1795&lt;&gt;""),"PC_PAGO_A_CONTRATADA invalido",IF(AND(C1795&lt;&gt;"C0",IFERROR(INDEX(parametros!$A$2:$A$6,MATCH(C1795,parametros!$B$2:$B$6,0)),"")="Sim",IFERROR(INDEX(parametros!$H$2:$H$6,MATCH(C1795,parametros!$B$2:$B$6,0)),"")=""),"INICIO_EFEITO ausente: PC "&amp;A1795&amp;" - "&amp;C1795,IF(L1795="","EFEITO_PC nao calculado: PC "&amp;A1795&amp;" - "&amp;C1795,"OK")))))))))</f>
        <v/>
      </c>
      <c r="L1795" s="92" t="str">
        <f>IF(AND(A1795="",B1795="",D1795="",G1795=""),"",IF(OR(B1795="",NOT(ISNUMBER(B1795)),C1795="",C1795="Fora dos ciclos"),"",IF(C1795="C0","Nao",IF(IFERROR(INDEX(parametros!$A$2:$A$6,MATCH(C1795,parametros!$B$2:$B$6,0)),"")&lt;&gt;"Sim","Nao",IF(IFERROR(INDEX(parametros!$H$2:$H$6,MATCH(C1795,parametros!$B$2:$B$6,0)),"")="","",IF(B1795&gt;=IFERROR(INDEX(parametros!$H$2:$H$6,MATCH(C1795,parametros!$B$2:$B$6,0)),""),"Sim","Nao"))))))</f>
        <v/>
      </c>
      <c r="T1795" s="156"/>
      <c r="U1795" s="214" t="str">
        <f t="shared" si="146"/>
        <v/>
      </c>
      <c r="V1795" s="212" t="s">
        <v>50</v>
      </c>
      <c r="W1795" s="100" t="s">
        <v>168</v>
      </c>
      <c r="X1795" s="100" t="s">
        <v>169</v>
      </c>
      <c r="Y1795" s="101" t="s">
        <v>170</v>
      </c>
      <c r="Z1795" s="101" t="s">
        <v>171</v>
      </c>
      <c r="AA1795" s="101" t="s">
        <v>50</v>
      </c>
      <c r="AB1795" s="101" t="s">
        <v>172</v>
      </c>
      <c r="AC1795" s="102" t="s">
        <v>173</v>
      </c>
    </row>
    <row r="1796" spans="1:29" ht="25.5" customHeight="1" x14ac:dyDescent="0.35">
      <c r="A1796" s="392"/>
      <c r="B1796" s="393"/>
      <c r="C1796" s="99" t="str">
        <f>IF(B1796="","",IF(NOT(ISNUMBER(B1796)),"DATA_PC invalida",IF(NOT(ISNUMBER(parametros!$C$2)),"Fora dos ciclos",IF(OR(B1796&lt;parametros!$C$2,(YEAR(B1796)-YEAR(parametros!$C$2))*12+MONTH(B1796)-MONTH(parametros!$C$2)&gt;59),"Fora dos ciclos","C"&amp;INT(((YEAR(B1796)-YEAR(parametros!$C$2))*12+MONTH(B1796)-MONTH(parametros!$C$2))/12)))))</f>
        <v/>
      </c>
      <c r="D1796" s="394"/>
      <c r="E1796" s="78" t="str">
        <f>IF(C1796="","",IFERROR(VLOOKUP(C1796,parametros!$A$11:$E$15,5,0),""))</f>
        <v/>
      </c>
      <c r="F1796" s="79" t="str">
        <f t="shared" si="142"/>
        <v/>
      </c>
      <c r="G1796" s="395"/>
      <c r="H1796" s="91">
        <f t="shared" si="143"/>
        <v>0</v>
      </c>
      <c r="I1796" s="91" t="str">
        <f t="shared" si="144"/>
        <v/>
      </c>
      <c r="J1796" s="91" t="str">
        <f t="shared" si="145"/>
        <v/>
      </c>
      <c r="K1796" s="92" t="str">
        <f>IF(AND(A1796="",B1796="",D1796="",G1796=""),"",IF(AND(A1796&lt;&gt;"",COUNTIF($A$2:$A$5001,A1796)&gt;1),"NUMERO_PC duplicado",IF(B1796="","DATA_PC vazia",IF(NOT(ISNUMBER(B1796)),"DATA_PC invalida",IF(OR(C1796="",C1796="Fora dos ciclos"),"CICLO_PC nao identificado",IF(OR(D1796="",D1796=0),"VALOR_PC vazio ou zero",IF(AND(G1796&lt;&gt;"Sim",G1796&lt;&gt;"Nao",G1796&lt;&gt;""),"PC_PAGO_A_CONTRATADA invalido",IF(AND(C1796&lt;&gt;"C0",IFERROR(INDEX(parametros!$A$2:$A$6,MATCH(C1796,parametros!$B$2:$B$6,0)),"")="Sim",IFERROR(INDEX(parametros!$H$2:$H$6,MATCH(C1796,parametros!$B$2:$B$6,0)),"")=""),"INICIO_EFEITO ausente: PC "&amp;A1796&amp;" - "&amp;C1796,IF(L1796="","EFEITO_PC nao calculado: PC "&amp;A1796&amp;" - "&amp;C1796,"OK")))))))))</f>
        <v/>
      </c>
      <c r="L1796" s="92" t="str">
        <f>IF(AND(A1796="",B1796="",D1796="",G1796=""),"",IF(OR(B1796="",NOT(ISNUMBER(B1796)),C1796="",C1796="Fora dos ciclos"),"",IF(C1796="C0","Nao",IF(IFERROR(INDEX(parametros!$A$2:$A$6,MATCH(C1796,parametros!$B$2:$B$6,0)),"")&lt;&gt;"Sim","Nao",IF(IFERROR(INDEX(parametros!$H$2:$H$6,MATCH(C1796,parametros!$B$2:$B$6,0)),"")="","",IF(B1796&gt;=IFERROR(INDEX(parametros!$H$2:$H$6,MATCH(C1796,parametros!$B$2:$B$6,0)),""),"Sim","Nao"))))))</f>
        <v/>
      </c>
      <c r="T1796" s="156"/>
      <c r="U1796" s="214" t="str">
        <f t="shared" si="146"/>
        <v/>
      </c>
      <c r="V1796" s="212" t="s">
        <v>50</v>
      </c>
      <c r="W1796" s="100" t="s">
        <v>168</v>
      </c>
      <c r="X1796" s="100" t="s">
        <v>169</v>
      </c>
      <c r="Y1796" s="101" t="s">
        <v>170</v>
      </c>
      <c r="Z1796" s="101" t="s">
        <v>171</v>
      </c>
      <c r="AA1796" s="101" t="s">
        <v>50</v>
      </c>
      <c r="AB1796" s="101" t="s">
        <v>172</v>
      </c>
      <c r="AC1796" s="102" t="s">
        <v>173</v>
      </c>
    </row>
    <row r="1797" spans="1:29" ht="25.5" customHeight="1" x14ac:dyDescent="0.35">
      <c r="A1797" s="392"/>
      <c r="B1797" s="393"/>
      <c r="C1797" s="99" t="str">
        <f>IF(B1797="","",IF(NOT(ISNUMBER(B1797)),"DATA_PC invalida",IF(NOT(ISNUMBER(parametros!$C$2)),"Fora dos ciclos",IF(OR(B1797&lt;parametros!$C$2,(YEAR(B1797)-YEAR(parametros!$C$2))*12+MONTH(B1797)-MONTH(parametros!$C$2)&gt;59),"Fora dos ciclos","C"&amp;INT(((YEAR(B1797)-YEAR(parametros!$C$2))*12+MONTH(B1797)-MONTH(parametros!$C$2))/12)))))</f>
        <v/>
      </c>
      <c r="D1797" s="394"/>
      <c r="E1797" s="78" t="str">
        <f>IF(C1797="","",IFERROR(VLOOKUP(C1797,parametros!$A$11:$E$15,5,0),""))</f>
        <v/>
      </c>
      <c r="F1797" s="79" t="str">
        <f t="shared" si="142"/>
        <v/>
      </c>
      <c r="G1797" s="395"/>
      <c r="H1797" s="91">
        <f t="shared" si="143"/>
        <v>0</v>
      </c>
      <c r="I1797" s="91" t="str">
        <f t="shared" si="144"/>
        <v/>
      </c>
      <c r="J1797" s="91" t="str">
        <f t="shared" si="145"/>
        <v/>
      </c>
      <c r="K1797" s="92" t="str">
        <f>IF(AND(A1797="",B1797="",D1797="",G1797=""),"",IF(AND(A1797&lt;&gt;"",COUNTIF($A$2:$A$5001,A1797)&gt;1),"NUMERO_PC duplicado",IF(B1797="","DATA_PC vazia",IF(NOT(ISNUMBER(B1797)),"DATA_PC invalida",IF(OR(C1797="",C1797="Fora dos ciclos"),"CICLO_PC nao identificado",IF(OR(D1797="",D1797=0),"VALOR_PC vazio ou zero",IF(AND(G1797&lt;&gt;"Sim",G1797&lt;&gt;"Nao",G1797&lt;&gt;""),"PC_PAGO_A_CONTRATADA invalido",IF(AND(C1797&lt;&gt;"C0",IFERROR(INDEX(parametros!$A$2:$A$6,MATCH(C1797,parametros!$B$2:$B$6,0)),"")="Sim",IFERROR(INDEX(parametros!$H$2:$H$6,MATCH(C1797,parametros!$B$2:$B$6,0)),"")=""),"INICIO_EFEITO ausente: PC "&amp;A1797&amp;" - "&amp;C1797,IF(L1797="","EFEITO_PC nao calculado: PC "&amp;A1797&amp;" - "&amp;C1797,"OK")))))))))</f>
        <v/>
      </c>
      <c r="L1797" s="92" t="str">
        <f>IF(AND(A1797="",B1797="",D1797="",G1797=""),"",IF(OR(B1797="",NOT(ISNUMBER(B1797)),C1797="",C1797="Fora dos ciclos"),"",IF(C1797="C0","Nao",IF(IFERROR(INDEX(parametros!$A$2:$A$6,MATCH(C1797,parametros!$B$2:$B$6,0)),"")&lt;&gt;"Sim","Nao",IF(IFERROR(INDEX(parametros!$H$2:$H$6,MATCH(C1797,parametros!$B$2:$B$6,0)),"")="","",IF(B1797&gt;=IFERROR(INDEX(parametros!$H$2:$H$6,MATCH(C1797,parametros!$B$2:$B$6,0)),""),"Sim","Nao"))))))</f>
        <v/>
      </c>
      <c r="T1797" s="156"/>
      <c r="U1797" s="214" t="str">
        <f t="shared" si="146"/>
        <v/>
      </c>
      <c r="V1797" s="212" t="s">
        <v>50</v>
      </c>
      <c r="W1797" s="100" t="s">
        <v>168</v>
      </c>
      <c r="X1797" s="100" t="s">
        <v>169</v>
      </c>
      <c r="Y1797" s="101" t="s">
        <v>170</v>
      </c>
      <c r="Z1797" s="101" t="s">
        <v>171</v>
      </c>
      <c r="AA1797" s="101" t="s">
        <v>50</v>
      </c>
      <c r="AB1797" s="101" t="s">
        <v>172</v>
      </c>
      <c r="AC1797" s="102" t="s">
        <v>173</v>
      </c>
    </row>
    <row r="1798" spans="1:29" ht="25.5" customHeight="1" x14ac:dyDescent="0.35">
      <c r="A1798" s="392"/>
      <c r="B1798" s="393"/>
      <c r="C1798" s="99" t="str">
        <f>IF(B1798="","",IF(NOT(ISNUMBER(B1798)),"DATA_PC invalida",IF(NOT(ISNUMBER(parametros!$C$2)),"Fora dos ciclos",IF(OR(B1798&lt;parametros!$C$2,(YEAR(B1798)-YEAR(parametros!$C$2))*12+MONTH(B1798)-MONTH(parametros!$C$2)&gt;59),"Fora dos ciclos","C"&amp;INT(((YEAR(B1798)-YEAR(parametros!$C$2))*12+MONTH(B1798)-MONTH(parametros!$C$2))/12)))))</f>
        <v/>
      </c>
      <c r="D1798" s="394"/>
      <c r="E1798" s="78" t="str">
        <f>IF(C1798="","",IFERROR(VLOOKUP(C1798,parametros!$A$11:$E$15,5,0),""))</f>
        <v/>
      </c>
      <c r="F1798" s="79" t="str">
        <f t="shared" si="142"/>
        <v/>
      </c>
      <c r="G1798" s="395"/>
      <c r="H1798" s="91">
        <f t="shared" si="143"/>
        <v>0</v>
      </c>
      <c r="I1798" s="91" t="str">
        <f t="shared" si="144"/>
        <v/>
      </c>
      <c r="J1798" s="91" t="str">
        <f t="shared" si="145"/>
        <v/>
      </c>
      <c r="K1798" s="92" t="str">
        <f>IF(AND(A1798="",B1798="",D1798="",G1798=""),"",IF(AND(A1798&lt;&gt;"",COUNTIF($A$2:$A$5001,A1798)&gt;1),"NUMERO_PC duplicado",IF(B1798="","DATA_PC vazia",IF(NOT(ISNUMBER(B1798)),"DATA_PC invalida",IF(OR(C1798="",C1798="Fora dos ciclos"),"CICLO_PC nao identificado",IF(OR(D1798="",D1798=0),"VALOR_PC vazio ou zero",IF(AND(G1798&lt;&gt;"Sim",G1798&lt;&gt;"Nao",G1798&lt;&gt;""),"PC_PAGO_A_CONTRATADA invalido",IF(AND(C1798&lt;&gt;"C0",IFERROR(INDEX(parametros!$A$2:$A$6,MATCH(C1798,parametros!$B$2:$B$6,0)),"")="Sim",IFERROR(INDEX(parametros!$H$2:$H$6,MATCH(C1798,parametros!$B$2:$B$6,0)),"")=""),"INICIO_EFEITO ausente: PC "&amp;A1798&amp;" - "&amp;C1798,IF(L1798="","EFEITO_PC nao calculado: PC "&amp;A1798&amp;" - "&amp;C1798,"OK")))))))))</f>
        <v/>
      </c>
      <c r="L1798" s="92" t="str">
        <f>IF(AND(A1798="",B1798="",D1798="",G1798=""),"",IF(OR(B1798="",NOT(ISNUMBER(B1798)),C1798="",C1798="Fora dos ciclos"),"",IF(C1798="C0","Nao",IF(IFERROR(INDEX(parametros!$A$2:$A$6,MATCH(C1798,parametros!$B$2:$B$6,0)),"")&lt;&gt;"Sim","Nao",IF(IFERROR(INDEX(parametros!$H$2:$H$6,MATCH(C1798,parametros!$B$2:$B$6,0)),"")="","",IF(B1798&gt;=IFERROR(INDEX(parametros!$H$2:$H$6,MATCH(C1798,parametros!$B$2:$B$6,0)),""),"Sim","Nao"))))))</f>
        <v/>
      </c>
      <c r="T1798" s="156"/>
      <c r="U1798" s="214" t="str">
        <f t="shared" si="146"/>
        <v/>
      </c>
      <c r="V1798" s="212" t="s">
        <v>50</v>
      </c>
      <c r="W1798" s="100" t="s">
        <v>168</v>
      </c>
      <c r="X1798" s="100" t="s">
        <v>169</v>
      </c>
      <c r="Y1798" s="101" t="s">
        <v>170</v>
      </c>
      <c r="Z1798" s="101" t="s">
        <v>171</v>
      </c>
      <c r="AA1798" s="101" t="s">
        <v>50</v>
      </c>
      <c r="AB1798" s="101" t="s">
        <v>172</v>
      </c>
      <c r="AC1798" s="102" t="s">
        <v>173</v>
      </c>
    </row>
    <row r="1799" spans="1:29" ht="25.5" customHeight="1" x14ac:dyDescent="0.35">
      <c r="A1799" s="392"/>
      <c r="B1799" s="393"/>
      <c r="C1799" s="99" t="str">
        <f>IF(B1799="","",IF(NOT(ISNUMBER(B1799)),"DATA_PC invalida",IF(NOT(ISNUMBER(parametros!$C$2)),"Fora dos ciclos",IF(OR(B1799&lt;parametros!$C$2,(YEAR(B1799)-YEAR(parametros!$C$2))*12+MONTH(B1799)-MONTH(parametros!$C$2)&gt;59),"Fora dos ciclos","C"&amp;INT(((YEAR(B1799)-YEAR(parametros!$C$2))*12+MONTH(B1799)-MONTH(parametros!$C$2))/12)))))</f>
        <v/>
      </c>
      <c r="D1799" s="394"/>
      <c r="E1799" s="78" t="str">
        <f>IF(C1799="","",IFERROR(VLOOKUP(C1799,parametros!$A$11:$E$15,5,0),""))</f>
        <v/>
      </c>
      <c r="F1799" s="79" t="str">
        <f t="shared" si="142"/>
        <v/>
      </c>
      <c r="G1799" s="395"/>
      <c r="H1799" s="91">
        <f t="shared" si="143"/>
        <v>0</v>
      </c>
      <c r="I1799" s="91" t="str">
        <f t="shared" si="144"/>
        <v/>
      </c>
      <c r="J1799" s="91" t="str">
        <f t="shared" si="145"/>
        <v/>
      </c>
      <c r="K1799" s="92" t="str">
        <f>IF(AND(A1799="",B1799="",D1799="",G1799=""),"",IF(AND(A1799&lt;&gt;"",COUNTIF($A$2:$A$5001,A1799)&gt;1),"NUMERO_PC duplicado",IF(B1799="","DATA_PC vazia",IF(NOT(ISNUMBER(B1799)),"DATA_PC invalida",IF(OR(C1799="",C1799="Fora dos ciclos"),"CICLO_PC nao identificado",IF(OR(D1799="",D1799=0),"VALOR_PC vazio ou zero",IF(AND(G1799&lt;&gt;"Sim",G1799&lt;&gt;"Nao",G1799&lt;&gt;""),"PC_PAGO_A_CONTRATADA invalido",IF(AND(C1799&lt;&gt;"C0",IFERROR(INDEX(parametros!$A$2:$A$6,MATCH(C1799,parametros!$B$2:$B$6,0)),"")="Sim",IFERROR(INDEX(parametros!$H$2:$H$6,MATCH(C1799,parametros!$B$2:$B$6,0)),"")=""),"INICIO_EFEITO ausente: PC "&amp;A1799&amp;" - "&amp;C1799,IF(L1799="","EFEITO_PC nao calculado: PC "&amp;A1799&amp;" - "&amp;C1799,"OK")))))))))</f>
        <v/>
      </c>
      <c r="L1799" s="92" t="str">
        <f>IF(AND(A1799="",B1799="",D1799="",G1799=""),"",IF(OR(B1799="",NOT(ISNUMBER(B1799)),C1799="",C1799="Fora dos ciclos"),"",IF(C1799="C0","Nao",IF(IFERROR(INDEX(parametros!$A$2:$A$6,MATCH(C1799,parametros!$B$2:$B$6,0)),"")&lt;&gt;"Sim","Nao",IF(IFERROR(INDEX(parametros!$H$2:$H$6,MATCH(C1799,parametros!$B$2:$B$6,0)),"")="","",IF(B1799&gt;=IFERROR(INDEX(parametros!$H$2:$H$6,MATCH(C1799,parametros!$B$2:$B$6,0)),""),"Sim","Nao"))))))</f>
        <v/>
      </c>
      <c r="T1799" s="156"/>
      <c r="U1799" s="214" t="str">
        <f t="shared" si="146"/>
        <v/>
      </c>
      <c r="V1799" s="212" t="s">
        <v>50</v>
      </c>
      <c r="W1799" s="100" t="s">
        <v>168</v>
      </c>
      <c r="X1799" s="100" t="s">
        <v>169</v>
      </c>
      <c r="Y1799" s="101" t="s">
        <v>170</v>
      </c>
      <c r="Z1799" s="101" t="s">
        <v>171</v>
      </c>
      <c r="AA1799" s="101" t="s">
        <v>50</v>
      </c>
      <c r="AB1799" s="101" t="s">
        <v>172</v>
      </c>
      <c r="AC1799" s="102" t="s">
        <v>173</v>
      </c>
    </row>
    <row r="1800" spans="1:29" ht="25.5" customHeight="1" x14ac:dyDescent="0.35">
      <c r="A1800" s="392"/>
      <c r="B1800" s="393"/>
      <c r="C1800" s="99" t="str">
        <f>IF(B1800="","",IF(NOT(ISNUMBER(B1800)),"DATA_PC invalida",IF(NOT(ISNUMBER(parametros!$C$2)),"Fora dos ciclos",IF(OR(B1800&lt;parametros!$C$2,(YEAR(B1800)-YEAR(parametros!$C$2))*12+MONTH(B1800)-MONTH(parametros!$C$2)&gt;59),"Fora dos ciclos","C"&amp;INT(((YEAR(B1800)-YEAR(parametros!$C$2))*12+MONTH(B1800)-MONTH(parametros!$C$2))/12)))))</f>
        <v/>
      </c>
      <c r="D1800" s="394"/>
      <c r="E1800" s="78" t="str">
        <f>IF(C1800="","",IFERROR(VLOOKUP(C1800,parametros!$A$11:$E$15,5,0),""))</f>
        <v/>
      </c>
      <c r="F1800" s="79" t="str">
        <f t="shared" si="142"/>
        <v/>
      </c>
      <c r="G1800" s="395"/>
      <c r="H1800" s="91">
        <f t="shared" si="143"/>
        <v>0</v>
      </c>
      <c r="I1800" s="91" t="str">
        <f t="shared" si="144"/>
        <v/>
      </c>
      <c r="J1800" s="91" t="str">
        <f t="shared" si="145"/>
        <v/>
      </c>
      <c r="K1800" s="92" t="str">
        <f>IF(AND(A1800="",B1800="",D1800="",G1800=""),"",IF(AND(A1800&lt;&gt;"",COUNTIF($A$2:$A$5001,A1800)&gt;1),"NUMERO_PC duplicado",IF(B1800="","DATA_PC vazia",IF(NOT(ISNUMBER(B1800)),"DATA_PC invalida",IF(OR(C1800="",C1800="Fora dos ciclos"),"CICLO_PC nao identificado",IF(OR(D1800="",D1800=0),"VALOR_PC vazio ou zero",IF(AND(G1800&lt;&gt;"Sim",G1800&lt;&gt;"Nao",G1800&lt;&gt;""),"PC_PAGO_A_CONTRATADA invalido",IF(AND(C1800&lt;&gt;"C0",IFERROR(INDEX(parametros!$A$2:$A$6,MATCH(C1800,parametros!$B$2:$B$6,0)),"")="Sim",IFERROR(INDEX(parametros!$H$2:$H$6,MATCH(C1800,parametros!$B$2:$B$6,0)),"")=""),"INICIO_EFEITO ausente: PC "&amp;A1800&amp;" - "&amp;C1800,IF(L1800="","EFEITO_PC nao calculado: PC "&amp;A1800&amp;" - "&amp;C1800,"OK")))))))))</f>
        <v/>
      </c>
      <c r="L1800" s="92" t="str">
        <f>IF(AND(A1800="",B1800="",D1800="",G1800=""),"",IF(OR(B1800="",NOT(ISNUMBER(B1800)),C1800="",C1800="Fora dos ciclos"),"",IF(C1800="C0","Nao",IF(IFERROR(INDEX(parametros!$A$2:$A$6,MATCH(C1800,parametros!$B$2:$B$6,0)),"")&lt;&gt;"Sim","Nao",IF(IFERROR(INDEX(parametros!$H$2:$H$6,MATCH(C1800,parametros!$B$2:$B$6,0)),"")="","",IF(B1800&gt;=IFERROR(INDEX(parametros!$H$2:$H$6,MATCH(C1800,parametros!$B$2:$B$6,0)),""),"Sim","Nao"))))))</f>
        <v/>
      </c>
      <c r="T1800" s="156"/>
      <c r="U1800" s="214" t="str">
        <f t="shared" si="146"/>
        <v/>
      </c>
      <c r="V1800" s="212" t="s">
        <v>50</v>
      </c>
      <c r="W1800" s="100" t="s">
        <v>168</v>
      </c>
      <c r="X1800" s="100" t="s">
        <v>169</v>
      </c>
      <c r="Y1800" s="101" t="s">
        <v>170</v>
      </c>
      <c r="Z1800" s="101" t="s">
        <v>171</v>
      </c>
      <c r="AA1800" s="101" t="s">
        <v>50</v>
      </c>
      <c r="AB1800" s="101" t="s">
        <v>172</v>
      </c>
      <c r="AC1800" s="102" t="s">
        <v>173</v>
      </c>
    </row>
    <row r="1801" spans="1:29" ht="25.5" customHeight="1" x14ac:dyDescent="0.35">
      <c r="A1801" s="392"/>
      <c r="B1801" s="393"/>
      <c r="C1801" s="99" t="str">
        <f>IF(B1801="","",IF(NOT(ISNUMBER(B1801)),"DATA_PC invalida",IF(NOT(ISNUMBER(parametros!$C$2)),"Fora dos ciclos",IF(OR(B1801&lt;parametros!$C$2,(YEAR(B1801)-YEAR(parametros!$C$2))*12+MONTH(B1801)-MONTH(parametros!$C$2)&gt;59),"Fora dos ciclos","C"&amp;INT(((YEAR(B1801)-YEAR(parametros!$C$2))*12+MONTH(B1801)-MONTH(parametros!$C$2))/12)))))</f>
        <v/>
      </c>
      <c r="D1801" s="394"/>
      <c r="E1801" s="78" t="str">
        <f>IF(C1801="","",IFERROR(VLOOKUP(C1801,parametros!$A$11:$E$15,5,0),""))</f>
        <v/>
      </c>
      <c r="F1801" s="79" t="str">
        <f t="shared" si="142"/>
        <v/>
      </c>
      <c r="G1801" s="395"/>
      <c r="H1801" s="91">
        <f t="shared" si="143"/>
        <v>0</v>
      </c>
      <c r="I1801" s="91" t="str">
        <f t="shared" si="144"/>
        <v/>
      </c>
      <c r="J1801" s="91" t="str">
        <f t="shared" si="145"/>
        <v/>
      </c>
      <c r="K1801" s="92" t="str">
        <f>IF(AND(A1801="",B1801="",D1801="",G1801=""),"",IF(AND(A1801&lt;&gt;"",COUNTIF($A$2:$A$5001,A1801)&gt;1),"NUMERO_PC duplicado",IF(B1801="","DATA_PC vazia",IF(NOT(ISNUMBER(B1801)),"DATA_PC invalida",IF(OR(C1801="",C1801="Fora dos ciclos"),"CICLO_PC nao identificado",IF(OR(D1801="",D1801=0),"VALOR_PC vazio ou zero",IF(AND(G1801&lt;&gt;"Sim",G1801&lt;&gt;"Nao",G1801&lt;&gt;""),"PC_PAGO_A_CONTRATADA invalido",IF(AND(C1801&lt;&gt;"C0",IFERROR(INDEX(parametros!$A$2:$A$6,MATCH(C1801,parametros!$B$2:$B$6,0)),"")="Sim",IFERROR(INDEX(parametros!$H$2:$H$6,MATCH(C1801,parametros!$B$2:$B$6,0)),"")=""),"INICIO_EFEITO ausente: PC "&amp;A1801&amp;" - "&amp;C1801,IF(L1801="","EFEITO_PC nao calculado: PC "&amp;A1801&amp;" - "&amp;C1801,"OK")))))))))</f>
        <v/>
      </c>
      <c r="L1801" s="92" t="str">
        <f>IF(AND(A1801="",B1801="",D1801="",G1801=""),"",IF(OR(B1801="",NOT(ISNUMBER(B1801)),C1801="",C1801="Fora dos ciclos"),"",IF(C1801="C0","Nao",IF(IFERROR(INDEX(parametros!$A$2:$A$6,MATCH(C1801,parametros!$B$2:$B$6,0)),"")&lt;&gt;"Sim","Nao",IF(IFERROR(INDEX(parametros!$H$2:$H$6,MATCH(C1801,parametros!$B$2:$B$6,0)),"")="","",IF(B1801&gt;=IFERROR(INDEX(parametros!$H$2:$H$6,MATCH(C1801,parametros!$B$2:$B$6,0)),""),"Sim","Nao"))))))</f>
        <v/>
      </c>
      <c r="T1801" s="156"/>
      <c r="U1801" s="214" t="str">
        <f t="shared" si="146"/>
        <v/>
      </c>
      <c r="V1801" s="212" t="s">
        <v>50</v>
      </c>
      <c r="W1801" s="100" t="s">
        <v>168</v>
      </c>
      <c r="X1801" s="100" t="s">
        <v>169</v>
      </c>
      <c r="Y1801" s="101" t="s">
        <v>170</v>
      </c>
      <c r="Z1801" s="101" t="s">
        <v>171</v>
      </c>
      <c r="AA1801" s="101" t="s">
        <v>50</v>
      </c>
      <c r="AB1801" s="101" t="s">
        <v>172</v>
      </c>
      <c r="AC1801" s="102" t="s">
        <v>173</v>
      </c>
    </row>
    <row r="1802" spans="1:29" ht="25.5" customHeight="1" x14ac:dyDescent="0.35">
      <c r="A1802" s="392"/>
      <c r="B1802" s="393"/>
      <c r="C1802" s="99" t="str">
        <f>IF(B1802="","",IF(NOT(ISNUMBER(B1802)),"DATA_PC invalida",IF(NOT(ISNUMBER(parametros!$C$2)),"Fora dos ciclos",IF(OR(B1802&lt;parametros!$C$2,(YEAR(B1802)-YEAR(parametros!$C$2))*12+MONTH(B1802)-MONTH(parametros!$C$2)&gt;59),"Fora dos ciclos","C"&amp;INT(((YEAR(B1802)-YEAR(parametros!$C$2))*12+MONTH(B1802)-MONTH(parametros!$C$2))/12)))))</f>
        <v/>
      </c>
      <c r="D1802" s="394"/>
      <c r="E1802" s="78" t="str">
        <f>IF(C1802="","",IFERROR(VLOOKUP(C1802,parametros!$A$11:$E$15,5,0),""))</f>
        <v/>
      </c>
      <c r="F1802" s="79" t="str">
        <f t="shared" si="142"/>
        <v/>
      </c>
      <c r="G1802" s="395"/>
      <c r="H1802" s="91">
        <f t="shared" si="143"/>
        <v>0</v>
      </c>
      <c r="I1802" s="91" t="str">
        <f t="shared" si="144"/>
        <v/>
      </c>
      <c r="J1802" s="91" t="str">
        <f t="shared" si="145"/>
        <v/>
      </c>
      <c r="K1802" s="92" t="str">
        <f>IF(AND(A1802="",B1802="",D1802="",G1802=""),"",IF(AND(A1802&lt;&gt;"",COUNTIF($A$2:$A$5001,A1802)&gt;1),"NUMERO_PC duplicado",IF(B1802="","DATA_PC vazia",IF(NOT(ISNUMBER(B1802)),"DATA_PC invalida",IF(OR(C1802="",C1802="Fora dos ciclos"),"CICLO_PC nao identificado",IF(OR(D1802="",D1802=0),"VALOR_PC vazio ou zero",IF(AND(G1802&lt;&gt;"Sim",G1802&lt;&gt;"Nao",G1802&lt;&gt;""),"PC_PAGO_A_CONTRATADA invalido",IF(AND(C1802&lt;&gt;"C0",IFERROR(INDEX(parametros!$A$2:$A$6,MATCH(C1802,parametros!$B$2:$B$6,0)),"")="Sim",IFERROR(INDEX(parametros!$H$2:$H$6,MATCH(C1802,parametros!$B$2:$B$6,0)),"")=""),"INICIO_EFEITO ausente: PC "&amp;A1802&amp;" - "&amp;C1802,IF(L1802="","EFEITO_PC nao calculado: PC "&amp;A1802&amp;" - "&amp;C1802,"OK")))))))))</f>
        <v/>
      </c>
      <c r="L1802" s="92" t="str">
        <f>IF(AND(A1802="",B1802="",D1802="",G1802=""),"",IF(OR(B1802="",NOT(ISNUMBER(B1802)),C1802="",C1802="Fora dos ciclos"),"",IF(C1802="C0","Nao",IF(IFERROR(INDEX(parametros!$A$2:$A$6,MATCH(C1802,parametros!$B$2:$B$6,0)),"")&lt;&gt;"Sim","Nao",IF(IFERROR(INDEX(parametros!$H$2:$H$6,MATCH(C1802,parametros!$B$2:$B$6,0)),"")="","",IF(B1802&gt;=IFERROR(INDEX(parametros!$H$2:$H$6,MATCH(C1802,parametros!$B$2:$B$6,0)),""),"Sim","Nao"))))))</f>
        <v/>
      </c>
      <c r="T1802" s="156"/>
      <c r="U1802" s="214" t="str">
        <f t="shared" si="146"/>
        <v/>
      </c>
      <c r="V1802" s="212" t="s">
        <v>50</v>
      </c>
      <c r="W1802" s="100" t="s">
        <v>168</v>
      </c>
      <c r="X1802" s="100" t="s">
        <v>169</v>
      </c>
      <c r="Y1802" s="101" t="s">
        <v>170</v>
      </c>
      <c r="Z1802" s="101" t="s">
        <v>171</v>
      </c>
      <c r="AA1802" s="101" t="s">
        <v>50</v>
      </c>
      <c r="AB1802" s="101" t="s">
        <v>172</v>
      </c>
      <c r="AC1802" s="102" t="s">
        <v>173</v>
      </c>
    </row>
    <row r="1803" spans="1:29" ht="25.5" customHeight="1" x14ac:dyDescent="0.35">
      <c r="A1803" s="392"/>
      <c r="B1803" s="393"/>
      <c r="C1803" s="99" t="str">
        <f>IF(B1803="","",IF(NOT(ISNUMBER(B1803)),"DATA_PC invalida",IF(NOT(ISNUMBER(parametros!$C$2)),"Fora dos ciclos",IF(OR(B1803&lt;parametros!$C$2,(YEAR(B1803)-YEAR(parametros!$C$2))*12+MONTH(B1803)-MONTH(parametros!$C$2)&gt;59),"Fora dos ciclos","C"&amp;INT(((YEAR(B1803)-YEAR(parametros!$C$2))*12+MONTH(B1803)-MONTH(parametros!$C$2))/12)))))</f>
        <v/>
      </c>
      <c r="D1803" s="394"/>
      <c r="E1803" s="78" t="str">
        <f>IF(C1803="","",IFERROR(VLOOKUP(C1803,parametros!$A$11:$E$15,5,0),""))</f>
        <v/>
      </c>
      <c r="F1803" s="79" t="str">
        <f t="shared" si="142"/>
        <v/>
      </c>
      <c r="G1803" s="395"/>
      <c r="H1803" s="91">
        <f t="shared" si="143"/>
        <v>0</v>
      </c>
      <c r="I1803" s="91" t="str">
        <f t="shared" si="144"/>
        <v/>
      </c>
      <c r="J1803" s="91" t="str">
        <f t="shared" si="145"/>
        <v/>
      </c>
      <c r="K1803" s="92" t="str">
        <f>IF(AND(A1803="",B1803="",D1803="",G1803=""),"",IF(AND(A1803&lt;&gt;"",COUNTIF($A$2:$A$5001,A1803)&gt;1),"NUMERO_PC duplicado",IF(B1803="","DATA_PC vazia",IF(NOT(ISNUMBER(B1803)),"DATA_PC invalida",IF(OR(C1803="",C1803="Fora dos ciclos"),"CICLO_PC nao identificado",IF(OR(D1803="",D1803=0),"VALOR_PC vazio ou zero",IF(AND(G1803&lt;&gt;"Sim",G1803&lt;&gt;"Nao",G1803&lt;&gt;""),"PC_PAGO_A_CONTRATADA invalido",IF(AND(C1803&lt;&gt;"C0",IFERROR(INDEX(parametros!$A$2:$A$6,MATCH(C1803,parametros!$B$2:$B$6,0)),"")="Sim",IFERROR(INDEX(parametros!$H$2:$H$6,MATCH(C1803,parametros!$B$2:$B$6,0)),"")=""),"INICIO_EFEITO ausente: PC "&amp;A1803&amp;" - "&amp;C1803,IF(L1803="","EFEITO_PC nao calculado: PC "&amp;A1803&amp;" - "&amp;C1803,"OK")))))))))</f>
        <v/>
      </c>
      <c r="L1803" s="92" t="str">
        <f>IF(AND(A1803="",B1803="",D1803="",G1803=""),"",IF(OR(B1803="",NOT(ISNUMBER(B1803)),C1803="",C1803="Fora dos ciclos"),"",IF(C1803="C0","Nao",IF(IFERROR(INDEX(parametros!$A$2:$A$6,MATCH(C1803,parametros!$B$2:$B$6,0)),"")&lt;&gt;"Sim","Nao",IF(IFERROR(INDEX(parametros!$H$2:$H$6,MATCH(C1803,parametros!$B$2:$B$6,0)),"")="","",IF(B1803&gt;=IFERROR(INDEX(parametros!$H$2:$H$6,MATCH(C1803,parametros!$B$2:$B$6,0)),""),"Sim","Nao"))))))</f>
        <v/>
      </c>
      <c r="T1803" s="156"/>
      <c r="U1803" s="214" t="str">
        <f t="shared" si="146"/>
        <v/>
      </c>
      <c r="V1803" s="212" t="s">
        <v>50</v>
      </c>
      <c r="W1803" s="100" t="s">
        <v>168</v>
      </c>
      <c r="X1803" s="100" t="s">
        <v>169</v>
      </c>
      <c r="Y1803" s="101" t="s">
        <v>170</v>
      </c>
      <c r="Z1803" s="101" t="s">
        <v>171</v>
      </c>
      <c r="AA1803" s="101" t="s">
        <v>50</v>
      </c>
      <c r="AB1803" s="101" t="s">
        <v>172</v>
      </c>
      <c r="AC1803" s="102" t="s">
        <v>173</v>
      </c>
    </row>
    <row r="1804" spans="1:29" ht="25.5" customHeight="1" x14ac:dyDescent="0.35">
      <c r="A1804" s="392"/>
      <c r="B1804" s="393"/>
      <c r="C1804" s="99" t="str">
        <f>IF(B1804="","",IF(NOT(ISNUMBER(B1804)),"DATA_PC invalida",IF(NOT(ISNUMBER(parametros!$C$2)),"Fora dos ciclos",IF(OR(B1804&lt;parametros!$C$2,(YEAR(B1804)-YEAR(parametros!$C$2))*12+MONTH(B1804)-MONTH(parametros!$C$2)&gt;59),"Fora dos ciclos","C"&amp;INT(((YEAR(B1804)-YEAR(parametros!$C$2))*12+MONTH(B1804)-MONTH(parametros!$C$2))/12)))))</f>
        <v/>
      </c>
      <c r="D1804" s="394"/>
      <c r="E1804" s="78" t="str">
        <f>IF(C1804="","",IFERROR(VLOOKUP(C1804,parametros!$A$11:$E$15,5,0),""))</f>
        <v/>
      </c>
      <c r="F1804" s="79" t="str">
        <f t="shared" si="142"/>
        <v/>
      </c>
      <c r="G1804" s="395"/>
      <c r="H1804" s="91">
        <f t="shared" si="143"/>
        <v>0</v>
      </c>
      <c r="I1804" s="91" t="str">
        <f t="shared" si="144"/>
        <v/>
      </c>
      <c r="J1804" s="91" t="str">
        <f t="shared" si="145"/>
        <v/>
      </c>
      <c r="K1804" s="92" t="str">
        <f>IF(AND(A1804="",B1804="",D1804="",G1804=""),"",IF(AND(A1804&lt;&gt;"",COUNTIF($A$2:$A$5001,A1804)&gt;1),"NUMERO_PC duplicado",IF(B1804="","DATA_PC vazia",IF(NOT(ISNUMBER(B1804)),"DATA_PC invalida",IF(OR(C1804="",C1804="Fora dos ciclos"),"CICLO_PC nao identificado",IF(OR(D1804="",D1804=0),"VALOR_PC vazio ou zero",IF(AND(G1804&lt;&gt;"Sim",G1804&lt;&gt;"Nao",G1804&lt;&gt;""),"PC_PAGO_A_CONTRATADA invalido",IF(AND(C1804&lt;&gt;"C0",IFERROR(INDEX(parametros!$A$2:$A$6,MATCH(C1804,parametros!$B$2:$B$6,0)),"")="Sim",IFERROR(INDEX(parametros!$H$2:$H$6,MATCH(C1804,parametros!$B$2:$B$6,0)),"")=""),"INICIO_EFEITO ausente: PC "&amp;A1804&amp;" - "&amp;C1804,IF(L1804="","EFEITO_PC nao calculado: PC "&amp;A1804&amp;" - "&amp;C1804,"OK")))))))))</f>
        <v/>
      </c>
      <c r="L1804" s="92" t="str">
        <f>IF(AND(A1804="",B1804="",D1804="",G1804=""),"",IF(OR(B1804="",NOT(ISNUMBER(B1804)),C1804="",C1804="Fora dos ciclos"),"",IF(C1804="C0","Nao",IF(IFERROR(INDEX(parametros!$A$2:$A$6,MATCH(C1804,parametros!$B$2:$B$6,0)),"")&lt;&gt;"Sim","Nao",IF(IFERROR(INDEX(parametros!$H$2:$H$6,MATCH(C1804,parametros!$B$2:$B$6,0)),"")="","",IF(B1804&gt;=IFERROR(INDEX(parametros!$H$2:$H$6,MATCH(C1804,parametros!$B$2:$B$6,0)),""),"Sim","Nao"))))))</f>
        <v/>
      </c>
      <c r="T1804" s="156"/>
      <c r="U1804" s="214" t="str">
        <f t="shared" si="146"/>
        <v/>
      </c>
      <c r="V1804" s="212" t="s">
        <v>50</v>
      </c>
      <c r="W1804" s="100" t="s">
        <v>168</v>
      </c>
      <c r="X1804" s="100" t="s">
        <v>169</v>
      </c>
      <c r="Y1804" s="101" t="s">
        <v>170</v>
      </c>
      <c r="Z1804" s="101" t="s">
        <v>171</v>
      </c>
      <c r="AA1804" s="101" t="s">
        <v>50</v>
      </c>
      <c r="AB1804" s="101" t="s">
        <v>172</v>
      </c>
      <c r="AC1804" s="102" t="s">
        <v>173</v>
      </c>
    </row>
    <row r="1805" spans="1:29" ht="25.5" customHeight="1" x14ac:dyDescent="0.35">
      <c r="A1805" s="392"/>
      <c r="B1805" s="393"/>
      <c r="C1805" s="99" t="str">
        <f>IF(B1805="","",IF(NOT(ISNUMBER(B1805)),"DATA_PC invalida",IF(NOT(ISNUMBER(parametros!$C$2)),"Fora dos ciclos",IF(OR(B1805&lt;parametros!$C$2,(YEAR(B1805)-YEAR(parametros!$C$2))*12+MONTH(B1805)-MONTH(parametros!$C$2)&gt;59),"Fora dos ciclos","C"&amp;INT(((YEAR(B1805)-YEAR(parametros!$C$2))*12+MONTH(B1805)-MONTH(parametros!$C$2))/12)))))</f>
        <v/>
      </c>
      <c r="D1805" s="394"/>
      <c r="E1805" s="78" t="str">
        <f>IF(C1805="","",IFERROR(VLOOKUP(C1805,parametros!$A$11:$E$15,5,0),""))</f>
        <v/>
      </c>
      <c r="F1805" s="79" t="str">
        <f t="shared" si="142"/>
        <v/>
      </c>
      <c r="G1805" s="395"/>
      <c r="H1805" s="91">
        <f t="shared" si="143"/>
        <v>0</v>
      </c>
      <c r="I1805" s="91" t="str">
        <f t="shared" si="144"/>
        <v/>
      </c>
      <c r="J1805" s="91" t="str">
        <f t="shared" si="145"/>
        <v/>
      </c>
      <c r="K1805" s="92" t="str">
        <f>IF(AND(A1805="",B1805="",D1805="",G1805=""),"",IF(AND(A1805&lt;&gt;"",COUNTIF($A$2:$A$5001,A1805)&gt;1),"NUMERO_PC duplicado",IF(B1805="","DATA_PC vazia",IF(NOT(ISNUMBER(B1805)),"DATA_PC invalida",IF(OR(C1805="",C1805="Fora dos ciclos"),"CICLO_PC nao identificado",IF(OR(D1805="",D1805=0),"VALOR_PC vazio ou zero",IF(AND(G1805&lt;&gt;"Sim",G1805&lt;&gt;"Nao",G1805&lt;&gt;""),"PC_PAGO_A_CONTRATADA invalido",IF(AND(C1805&lt;&gt;"C0",IFERROR(INDEX(parametros!$A$2:$A$6,MATCH(C1805,parametros!$B$2:$B$6,0)),"")="Sim",IFERROR(INDEX(parametros!$H$2:$H$6,MATCH(C1805,parametros!$B$2:$B$6,0)),"")=""),"INICIO_EFEITO ausente: PC "&amp;A1805&amp;" - "&amp;C1805,IF(L1805="","EFEITO_PC nao calculado: PC "&amp;A1805&amp;" - "&amp;C1805,"OK")))))))))</f>
        <v/>
      </c>
      <c r="L1805" s="92" t="str">
        <f>IF(AND(A1805="",B1805="",D1805="",G1805=""),"",IF(OR(B1805="",NOT(ISNUMBER(B1805)),C1805="",C1805="Fora dos ciclos"),"",IF(C1805="C0","Nao",IF(IFERROR(INDEX(parametros!$A$2:$A$6,MATCH(C1805,parametros!$B$2:$B$6,0)),"")&lt;&gt;"Sim","Nao",IF(IFERROR(INDEX(parametros!$H$2:$H$6,MATCH(C1805,parametros!$B$2:$B$6,0)),"")="","",IF(B1805&gt;=IFERROR(INDEX(parametros!$H$2:$H$6,MATCH(C1805,parametros!$B$2:$B$6,0)),""),"Sim","Nao"))))))</f>
        <v/>
      </c>
      <c r="T1805" s="156"/>
      <c r="U1805" s="214" t="str">
        <f t="shared" si="146"/>
        <v/>
      </c>
      <c r="V1805" s="212" t="s">
        <v>50</v>
      </c>
      <c r="W1805" s="100" t="s">
        <v>168</v>
      </c>
      <c r="X1805" s="100" t="s">
        <v>169</v>
      </c>
      <c r="Y1805" s="101" t="s">
        <v>170</v>
      </c>
      <c r="Z1805" s="101" t="s">
        <v>171</v>
      </c>
      <c r="AA1805" s="101" t="s">
        <v>50</v>
      </c>
      <c r="AB1805" s="101" t="s">
        <v>172</v>
      </c>
      <c r="AC1805" s="102" t="s">
        <v>173</v>
      </c>
    </row>
    <row r="1806" spans="1:29" ht="25.5" customHeight="1" x14ac:dyDescent="0.35">
      <c r="A1806" s="392"/>
      <c r="B1806" s="393"/>
      <c r="C1806" s="99" t="str">
        <f>IF(B1806="","",IF(NOT(ISNUMBER(B1806)),"DATA_PC invalida",IF(NOT(ISNUMBER(parametros!$C$2)),"Fora dos ciclos",IF(OR(B1806&lt;parametros!$C$2,(YEAR(B1806)-YEAR(parametros!$C$2))*12+MONTH(B1806)-MONTH(parametros!$C$2)&gt;59),"Fora dos ciclos","C"&amp;INT(((YEAR(B1806)-YEAR(parametros!$C$2))*12+MONTH(B1806)-MONTH(parametros!$C$2))/12)))))</f>
        <v/>
      </c>
      <c r="D1806" s="394"/>
      <c r="E1806" s="78" t="str">
        <f>IF(C1806="","",IFERROR(VLOOKUP(C1806,parametros!$A$11:$E$15,5,0),""))</f>
        <v/>
      </c>
      <c r="F1806" s="79" t="str">
        <f t="shared" si="142"/>
        <v/>
      </c>
      <c r="G1806" s="395"/>
      <c r="H1806" s="91">
        <f t="shared" si="143"/>
        <v>0</v>
      </c>
      <c r="I1806" s="91" t="str">
        <f t="shared" si="144"/>
        <v/>
      </c>
      <c r="J1806" s="91" t="str">
        <f t="shared" si="145"/>
        <v/>
      </c>
      <c r="K1806" s="92" t="str">
        <f>IF(AND(A1806="",B1806="",D1806="",G1806=""),"",IF(AND(A1806&lt;&gt;"",COUNTIF($A$2:$A$5001,A1806)&gt;1),"NUMERO_PC duplicado",IF(B1806="","DATA_PC vazia",IF(NOT(ISNUMBER(B1806)),"DATA_PC invalida",IF(OR(C1806="",C1806="Fora dos ciclos"),"CICLO_PC nao identificado",IF(OR(D1806="",D1806=0),"VALOR_PC vazio ou zero",IF(AND(G1806&lt;&gt;"Sim",G1806&lt;&gt;"Nao",G1806&lt;&gt;""),"PC_PAGO_A_CONTRATADA invalido",IF(AND(C1806&lt;&gt;"C0",IFERROR(INDEX(parametros!$A$2:$A$6,MATCH(C1806,parametros!$B$2:$B$6,0)),"")="Sim",IFERROR(INDEX(parametros!$H$2:$H$6,MATCH(C1806,parametros!$B$2:$B$6,0)),"")=""),"INICIO_EFEITO ausente: PC "&amp;A1806&amp;" - "&amp;C1806,IF(L1806="","EFEITO_PC nao calculado: PC "&amp;A1806&amp;" - "&amp;C1806,"OK")))))))))</f>
        <v/>
      </c>
      <c r="L1806" s="92" t="str">
        <f>IF(AND(A1806="",B1806="",D1806="",G1806=""),"",IF(OR(B1806="",NOT(ISNUMBER(B1806)),C1806="",C1806="Fora dos ciclos"),"",IF(C1806="C0","Nao",IF(IFERROR(INDEX(parametros!$A$2:$A$6,MATCH(C1806,parametros!$B$2:$B$6,0)),"")&lt;&gt;"Sim","Nao",IF(IFERROR(INDEX(parametros!$H$2:$H$6,MATCH(C1806,parametros!$B$2:$B$6,0)),"")="","",IF(B1806&gt;=IFERROR(INDEX(parametros!$H$2:$H$6,MATCH(C1806,parametros!$B$2:$B$6,0)),""),"Sim","Nao"))))))</f>
        <v/>
      </c>
      <c r="T1806" s="156"/>
      <c r="U1806" s="214" t="str">
        <f t="shared" si="146"/>
        <v/>
      </c>
      <c r="V1806" s="212" t="s">
        <v>50</v>
      </c>
      <c r="W1806" s="100" t="s">
        <v>168</v>
      </c>
      <c r="X1806" s="100" t="s">
        <v>169</v>
      </c>
      <c r="Y1806" s="101" t="s">
        <v>170</v>
      </c>
      <c r="Z1806" s="101" t="s">
        <v>171</v>
      </c>
      <c r="AA1806" s="101" t="s">
        <v>50</v>
      </c>
      <c r="AB1806" s="101" t="s">
        <v>172</v>
      </c>
      <c r="AC1806" s="102" t="s">
        <v>173</v>
      </c>
    </row>
    <row r="1807" spans="1:29" ht="25.5" customHeight="1" x14ac:dyDescent="0.35">
      <c r="A1807" s="392"/>
      <c r="B1807" s="393"/>
      <c r="C1807" s="99" t="str">
        <f>IF(B1807="","",IF(NOT(ISNUMBER(B1807)),"DATA_PC invalida",IF(NOT(ISNUMBER(parametros!$C$2)),"Fora dos ciclos",IF(OR(B1807&lt;parametros!$C$2,(YEAR(B1807)-YEAR(parametros!$C$2))*12+MONTH(B1807)-MONTH(parametros!$C$2)&gt;59),"Fora dos ciclos","C"&amp;INT(((YEAR(B1807)-YEAR(parametros!$C$2))*12+MONTH(B1807)-MONTH(parametros!$C$2))/12)))))</f>
        <v/>
      </c>
      <c r="D1807" s="394"/>
      <c r="E1807" s="78" t="str">
        <f>IF(C1807="","",IFERROR(VLOOKUP(C1807,parametros!$A$11:$E$15,5,0),""))</f>
        <v/>
      </c>
      <c r="F1807" s="79" t="str">
        <f t="shared" si="142"/>
        <v/>
      </c>
      <c r="G1807" s="395"/>
      <c r="H1807" s="91">
        <f t="shared" si="143"/>
        <v>0</v>
      </c>
      <c r="I1807" s="91" t="str">
        <f t="shared" si="144"/>
        <v/>
      </c>
      <c r="J1807" s="91" t="str">
        <f t="shared" si="145"/>
        <v/>
      </c>
      <c r="K1807" s="92" t="str">
        <f>IF(AND(A1807="",B1807="",D1807="",G1807=""),"",IF(AND(A1807&lt;&gt;"",COUNTIF($A$2:$A$5001,A1807)&gt;1),"NUMERO_PC duplicado",IF(B1807="","DATA_PC vazia",IF(NOT(ISNUMBER(B1807)),"DATA_PC invalida",IF(OR(C1807="",C1807="Fora dos ciclos"),"CICLO_PC nao identificado",IF(OR(D1807="",D1807=0),"VALOR_PC vazio ou zero",IF(AND(G1807&lt;&gt;"Sim",G1807&lt;&gt;"Nao",G1807&lt;&gt;""),"PC_PAGO_A_CONTRATADA invalido",IF(AND(C1807&lt;&gt;"C0",IFERROR(INDEX(parametros!$A$2:$A$6,MATCH(C1807,parametros!$B$2:$B$6,0)),"")="Sim",IFERROR(INDEX(parametros!$H$2:$H$6,MATCH(C1807,parametros!$B$2:$B$6,0)),"")=""),"INICIO_EFEITO ausente: PC "&amp;A1807&amp;" - "&amp;C1807,IF(L1807="","EFEITO_PC nao calculado: PC "&amp;A1807&amp;" - "&amp;C1807,"OK")))))))))</f>
        <v/>
      </c>
      <c r="L1807" s="92" t="str">
        <f>IF(AND(A1807="",B1807="",D1807="",G1807=""),"",IF(OR(B1807="",NOT(ISNUMBER(B1807)),C1807="",C1807="Fora dos ciclos"),"",IF(C1807="C0","Nao",IF(IFERROR(INDEX(parametros!$A$2:$A$6,MATCH(C1807,parametros!$B$2:$B$6,0)),"")&lt;&gt;"Sim","Nao",IF(IFERROR(INDEX(parametros!$H$2:$H$6,MATCH(C1807,parametros!$B$2:$B$6,0)),"")="","",IF(B1807&gt;=IFERROR(INDEX(parametros!$H$2:$H$6,MATCH(C1807,parametros!$B$2:$B$6,0)),""),"Sim","Nao"))))))</f>
        <v/>
      </c>
      <c r="T1807" s="156"/>
      <c r="U1807" s="214" t="str">
        <f t="shared" si="146"/>
        <v/>
      </c>
      <c r="V1807" s="212" t="s">
        <v>50</v>
      </c>
      <c r="W1807" s="100" t="s">
        <v>168</v>
      </c>
      <c r="X1807" s="100" t="s">
        <v>169</v>
      </c>
      <c r="Y1807" s="101" t="s">
        <v>170</v>
      </c>
      <c r="Z1807" s="101" t="s">
        <v>171</v>
      </c>
      <c r="AA1807" s="101" t="s">
        <v>50</v>
      </c>
      <c r="AB1807" s="101" t="s">
        <v>172</v>
      </c>
      <c r="AC1807" s="102" t="s">
        <v>173</v>
      </c>
    </row>
    <row r="1808" spans="1:29" ht="25.5" customHeight="1" x14ac:dyDescent="0.35">
      <c r="A1808" s="392"/>
      <c r="B1808" s="393"/>
      <c r="C1808" s="99" t="str">
        <f>IF(B1808="","",IF(NOT(ISNUMBER(B1808)),"DATA_PC invalida",IF(NOT(ISNUMBER(parametros!$C$2)),"Fora dos ciclos",IF(OR(B1808&lt;parametros!$C$2,(YEAR(B1808)-YEAR(parametros!$C$2))*12+MONTH(B1808)-MONTH(parametros!$C$2)&gt;59),"Fora dos ciclos","C"&amp;INT(((YEAR(B1808)-YEAR(parametros!$C$2))*12+MONTH(B1808)-MONTH(parametros!$C$2))/12)))))</f>
        <v/>
      </c>
      <c r="D1808" s="394"/>
      <c r="E1808" s="78" t="str">
        <f>IF(C1808="","",IFERROR(VLOOKUP(C1808,parametros!$A$11:$E$15,5,0),""))</f>
        <v/>
      </c>
      <c r="F1808" s="79" t="str">
        <f t="shared" si="142"/>
        <v/>
      </c>
      <c r="G1808" s="395"/>
      <c r="H1808" s="91">
        <f t="shared" si="143"/>
        <v>0</v>
      </c>
      <c r="I1808" s="91" t="str">
        <f t="shared" si="144"/>
        <v/>
      </c>
      <c r="J1808" s="91" t="str">
        <f t="shared" si="145"/>
        <v/>
      </c>
      <c r="K1808" s="92" t="str">
        <f>IF(AND(A1808="",B1808="",D1808="",G1808=""),"",IF(AND(A1808&lt;&gt;"",COUNTIF($A$2:$A$5001,A1808)&gt;1),"NUMERO_PC duplicado",IF(B1808="","DATA_PC vazia",IF(NOT(ISNUMBER(B1808)),"DATA_PC invalida",IF(OR(C1808="",C1808="Fora dos ciclos"),"CICLO_PC nao identificado",IF(OR(D1808="",D1808=0),"VALOR_PC vazio ou zero",IF(AND(G1808&lt;&gt;"Sim",G1808&lt;&gt;"Nao",G1808&lt;&gt;""),"PC_PAGO_A_CONTRATADA invalido",IF(AND(C1808&lt;&gt;"C0",IFERROR(INDEX(parametros!$A$2:$A$6,MATCH(C1808,parametros!$B$2:$B$6,0)),"")="Sim",IFERROR(INDEX(parametros!$H$2:$H$6,MATCH(C1808,parametros!$B$2:$B$6,0)),"")=""),"INICIO_EFEITO ausente: PC "&amp;A1808&amp;" - "&amp;C1808,IF(L1808="","EFEITO_PC nao calculado: PC "&amp;A1808&amp;" - "&amp;C1808,"OK")))))))))</f>
        <v/>
      </c>
      <c r="L1808" s="92" t="str">
        <f>IF(AND(A1808="",B1808="",D1808="",G1808=""),"",IF(OR(B1808="",NOT(ISNUMBER(B1808)),C1808="",C1808="Fora dos ciclos"),"",IF(C1808="C0","Nao",IF(IFERROR(INDEX(parametros!$A$2:$A$6,MATCH(C1808,parametros!$B$2:$B$6,0)),"")&lt;&gt;"Sim","Nao",IF(IFERROR(INDEX(parametros!$H$2:$H$6,MATCH(C1808,parametros!$B$2:$B$6,0)),"")="","",IF(B1808&gt;=IFERROR(INDEX(parametros!$H$2:$H$6,MATCH(C1808,parametros!$B$2:$B$6,0)),""),"Sim","Nao"))))))</f>
        <v/>
      </c>
      <c r="T1808" s="156"/>
      <c r="U1808" s="214" t="str">
        <f t="shared" si="146"/>
        <v/>
      </c>
      <c r="V1808" s="212" t="s">
        <v>50</v>
      </c>
      <c r="W1808" s="100" t="s">
        <v>168</v>
      </c>
      <c r="X1808" s="100" t="s">
        <v>169</v>
      </c>
      <c r="Y1808" s="101" t="s">
        <v>170</v>
      </c>
      <c r="Z1808" s="101" t="s">
        <v>171</v>
      </c>
      <c r="AA1808" s="101" t="s">
        <v>50</v>
      </c>
      <c r="AB1808" s="101" t="s">
        <v>172</v>
      </c>
      <c r="AC1808" s="102" t="s">
        <v>173</v>
      </c>
    </row>
    <row r="1809" spans="1:29" ht="25.5" customHeight="1" x14ac:dyDescent="0.35">
      <c r="A1809" s="392"/>
      <c r="B1809" s="393"/>
      <c r="C1809" s="99" t="str">
        <f>IF(B1809="","",IF(NOT(ISNUMBER(B1809)),"DATA_PC invalida",IF(NOT(ISNUMBER(parametros!$C$2)),"Fora dos ciclos",IF(OR(B1809&lt;parametros!$C$2,(YEAR(B1809)-YEAR(parametros!$C$2))*12+MONTH(B1809)-MONTH(parametros!$C$2)&gt;59),"Fora dos ciclos","C"&amp;INT(((YEAR(B1809)-YEAR(parametros!$C$2))*12+MONTH(B1809)-MONTH(parametros!$C$2))/12)))))</f>
        <v/>
      </c>
      <c r="D1809" s="394"/>
      <c r="E1809" s="78" t="str">
        <f>IF(C1809="","",IFERROR(VLOOKUP(C1809,parametros!$A$11:$E$15,5,0),""))</f>
        <v/>
      </c>
      <c r="F1809" s="79" t="str">
        <f t="shared" si="142"/>
        <v/>
      </c>
      <c r="G1809" s="395"/>
      <c r="H1809" s="91">
        <f t="shared" si="143"/>
        <v>0</v>
      </c>
      <c r="I1809" s="91" t="str">
        <f t="shared" si="144"/>
        <v/>
      </c>
      <c r="J1809" s="91" t="str">
        <f t="shared" si="145"/>
        <v/>
      </c>
      <c r="K1809" s="92" t="str">
        <f>IF(AND(A1809="",B1809="",D1809="",G1809=""),"",IF(AND(A1809&lt;&gt;"",COUNTIF($A$2:$A$5001,A1809)&gt;1),"NUMERO_PC duplicado",IF(B1809="","DATA_PC vazia",IF(NOT(ISNUMBER(B1809)),"DATA_PC invalida",IF(OR(C1809="",C1809="Fora dos ciclos"),"CICLO_PC nao identificado",IF(OR(D1809="",D1809=0),"VALOR_PC vazio ou zero",IF(AND(G1809&lt;&gt;"Sim",G1809&lt;&gt;"Nao",G1809&lt;&gt;""),"PC_PAGO_A_CONTRATADA invalido",IF(AND(C1809&lt;&gt;"C0",IFERROR(INDEX(parametros!$A$2:$A$6,MATCH(C1809,parametros!$B$2:$B$6,0)),"")="Sim",IFERROR(INDEX(parametros!$H$2:$H$6,MATCH(C1809,parametros!$B$2:$B$6,0)),"")=""),"INICIO_EFEITO ausente: PC "&amp;A1809&amp;" - "&amp;C1809,IF(L1809="","EFEITO_PC nao calculado: PC "&amp;A1809&amp;" - "&amp;C1809,"OK")))))))))</f>
        <v/>
      </c>
      <c r="L1809" s="92" t="str">
        <f>IF(AND(A1809="",B1809="",D1809="",G1809=""),"",IF(OR(B1809="",NOT(ISNUMBER(B1809)),C1809="",C1809="Fora dos ciclos"),"",IF(C1809="C0","Nao",IF(IFERROR(INDEX(parametros!$A$2:$A$6,MATCH(C1809,parametros!$B$2:$B$6,0)),"")&lt;&gt;"Sim","Nao",IF(IFERROR(INDEX(parametros!$H$2:$H$6,MATCH(C1809,parametros!$B$2:$B$6,0)),"")="","",IF(B1809&gt;=IFERROR(INDEX(parametros!$H$2:$H$6,MATCH(C1809,parametros!$B$2:$B$6,0)),""),"Sim","Nao"))))))</f>
        <v/>
      </c>
      <c r="T1809" s="156"/>
      <c r="U1809" s="214" t="str">
        <f t="shared" si="146"/>
        <v/>
      </c>
      <c r="V1809" s="212" t="s">
        <v>50</v>
      </c>
      <c r="W1809" s="100" t="s">
        <v>168</v>
      </c>
      <c r="X1809" s="100" t="s">
        <v>169</v>
      </c>
      <c r="Y1809" s="101" t="s">
        <v>170</v>
      </c>
      <c r="Z1809" s="101" t="s">
        <v>171</v>
      </c>
      <c r="AA1809" s="101" t="s">
        <v>50</v>
      </c>
      <c r="AB1809" s="101" t="s">
        <v>172</v>
      </c>
      <c r="AC1809" s="102" t="s">
        <v>173</v>
      </c>
    </row>
    <row r="1810" spans="1:29" ht="25.5" customHeight="1" x14ac:dyDescent="0.35">
      <c r="A1810" s="392"/>
      <c r="B1810" s="393"/>
      <c r="C1810" s="99" t="str">
        <f>IF(B1810="","",IF(NOT(ISNUMBER(B1810)),"DATA_PC invalida",IF(NOT(ISNUMBER(parametros!$C$2)),"Fora dos ciclos",IF(OR(B1810&lt;parametros!$C$2,(YEAR(B1810)-YEAR(parametros!$C$2))*12+MONTH(B1810)-MONTH(parametros!$C$2)&gt;59),"Fora dos ciclos","C"&amp;INT(((YEAR(B1810)-YEAR(parametros!$C$2))*12+MONTH(B1810)-MONTH(parametros!$C$2))/12)))))</f>
        <v/>
      </c>
      <c r="D1810" s="394"/>
      <c r="E1810" s="78" t="str">
        <f>IF(C1810="","",IFERROR(VLOOKUP(C1810,parametros!$A$11:$E$15,5,0),""))</f>
        <v/>
      </c>
      <c r="F1810" s="79" t="str">
        <f t="shared" si="142"/>
        <v/>
      </c>
      <c r="G1810" s="395"/>
      <c r="H1810" s="91">
        <f t="shared" si="143"/>
        <v>0</v>
      </c>
      <c r="I1810" s="91" t="str">
        <f t="shared" si="144"/>
        <v/>
      </c>
      <c r="J1810" s="91" t="str">
        <f t="shared" si="145"/>
        <v/>
      </c>
      <c r="K1810" s="92" t="str">
        <f>IF(AND(A1810="",B1810="",D1810="",G1810=""),"",IF(AND(A1810&lt;&gt;"",COUNTIF($A$2:$A$5001,A1810)&gt;1),"NUMERO_PC duplicado",IF(B1810="","DATA_PC vazia",IF(NOT(ISNUMBER(B1810)),"DATA_PC invalida",IF(OR(C1810="",C1810="Fora dos ciclos"),"CICLO_PC nao identificado",IF(OR(D1810="",D1810=0),"VALOR_PC vazio ou zero",IF(AND(G1810&lt;&gt;"Sim",G1810&lt;&gt;"Nao",G1810&lt;&gt;""),"PC_PAGO_A_CONTRATADA invalido",IF(AND(C1810&lt;&gt;"C0",IFERROR(INDEX(parametros!$A$2:$A$6,MATCH(C1810,parametros!$B$2:$B$6,0)),"")="Sim",IFERROR(INDEX(parametros!$H$2:$H$6,MATCH(C1810,parametros!$B$2:$B$6,0)),"")=""),"INICIO_EFEITO ausente: PC "&amp;A1810&amp;" - "&amp;C1810,IF(L1810="","EFEITO_PC nao calculado: PC "&amp;A1810&amp;" - "&amp;C1810,"OK")))))))))</f>
        <v/>
      </c>
      <c r="L1810" s="92" t="str">
        <f>IF(AND(A1810="",B1810="",D1810="",G1810=""),"",IF(OR(B1810="",NOT(ISNUMBER(B1810)),C1810="",C1810="Fora dos ciclos"),"",IF(C1810="C0","Nao",IF(IFERROR(INDEX(parametros!$A$2:$A$6,MATCH(C1810,parametros!$B$2:$B$6,0)),"")&lt;&gt;"Sim","Nao",IF(IFERROR(INDEX(parametros!$H$2:$H$6,MATCH(C1810,parametros!$B$2:$B$6,0)),"")="","",IF(B1810&gt;=IFERROR(INDEX(parametros!$H$2:$H$6,MATCH(C1810,parametros!$B$2:$B$6,0)),""),"Sim","Nao"))))))</f>
        <v/>
      </c>
      <c r="T1810" s="156"/>
      <c r="U1810" s="214" t="str">
        <f t="shared" si="146"/>
        <v/>
      </c>
      <c r="V1810" s="212" t="s">
        <v>50</v>
      </c>
      <c r="W1810" s="100" t="s">
        <v>168</v>
      </c>
      <c r="X1810" s="100" t="s">
        <v>169</v>
      </c>
      <c r="Y1810" s="101" t="s">
        <v>170</v>
      </c>
      <c r="Z1810" s="101" t="s">
        <v>171</v>
      </c>
      <c r="AA1810" s="101" t="s">
        <v>50</v>
      </c>
      <c r="AB1810" s="101" t="s">
        <v>172</v>
      </c>
      <c r="AC1810" s="102" t="s">
        <v>173</v>
      </c>
    </row>
    <row r="1811" spans="1:29" ht="25.5" customHeight="1" x14ac:dyDescent="0.35">
      <c r="A1811" s="392"/>
      <c r="B1811" s="393"/>
      <c r="C1811" s="99" t="str">
        <f>IF(B1811="","",IF(NOT(ISNUMBER(B1811)),"DATA_PC invalida",IF(NOT(ISNUMBER(parametros!$C$2)),"Fora dos ciclos",IF(OR(B1811&lt;parametros!$C$2,(YEAR(B1811)-YEAR(parametros!$C$2))*12+MONTH(B1811)-MONTH(parametros!$C$2)&gt;59),"Fora dos ciclos","C"&amp;INT(((YEAR(B1811)-YEAR(parametros!$C$2))*12+MONTH(B1811)-MONTH(parametros!$C$2))/12)))))</f>
        <v/>
      </c>
      <c r="D1811" s="394"/>
      <c r="E1811" s="78" t="str">
        <f>IF(C1811="","",IFERROR(VLOOKUP(C1811,parametros!$A$11:$E$15,5,0),""))</f>
        <v/>
      </c>
      <c r="F1811" s="79" t="str">
        <f t="shared" si="142"/>
        <v/>
      </c>
      <c r="G1811" s="395"/>
      <c r="H1811" s="91">
        <f t="shared" si="143"/>
        <v>0</v>
      </c>
      <c r="I1811" s="91" t="str">
        <f t="shared" si="144"/>
        <v/>
      </c>
      <c r="J1811" s="91" t="str">
        <f t="shared" si="145"/>
        <v/>
      </c>
      <c r="K1811" s="92" t="str">
        <f>IF(AND(A1811="",B1811="",D1811="",G1811=""),"",IF(AND(A1811&lt;&gt;"",COUNTIF($A$2:$A$5001,A1811)&gt;1),"NUMERO_PC duplicado",IF(B1811="","DATA_PC vazia",IF(NOT(ISNUMBER(B1811)),"DATA_PC invalida",IF(OR(C1811="",C1811="Fora dos ciclos"),"CICLO_PC nao identificado",IF(OR(D1811="",D1811=0),"VALOR_PC vazio ou zero",IF(AND(G1811&lt;&gt;"Sim",G1811&lt;&gt;"Nao",G1811&lt;&gt;""),"PC_PAGO_A_CONTRATADA invalido",IF(AND(C1811&lt;&gt;"C0",IFERROR(INDEX(parametros!$A$2:$A$6,MATCH(C1811,parametros!$B$2:$B$6,0)),"")="Sim",IFERROR(INDEX(parametros!$H$2:$H$6,MATCH(C1811,parametros!$B$2:$B$6,0)),"")=""),"INICIO_EFEITO ausente: PC "&amp;A1811&amp;" - "&amp;C1811,IF(L1811="","EFEITO_PC nao calculado: PC "&amp;A1811&amp;" - "&amp;C1811,"OK")))))))))</f>
        <v/>
      </c>
      <c r="L1811" s="92" t="str">
        <f>IF(AND(A1811="",B1811="",D1811="",G1811=""),"",IF(OR(B1811="",NOT(ISNUMBER(B1811)),C1811="",C1811="Fora dos ciclos"),"",IF(C1811="C0","Nao",IF(IFERROR(INDEX(parametros!$A$2:$A$6,MATCH(C1811,parametros!$B$2:$B$6,0)),"")&lt;&gt;"Sim","Nao",IF(IFERROR(INDEX(parametros!$H$2:$H$6,MATCH(C1811,parametros!$B$2:$B$6,0)),"")="","",IF(B1811&gt;=IFERROR(INDEX(parametros!$H$2:$H$6,MATCH(C1811,parametros!$B$2:$B$6,0)),""),"Sim","Nao"))))))</f>
        <v/>
      </c>
      <c r="T1811" s="156"/>
      <c r="U1811" s="214" t="str">
        <f t="shared" si="146"/>
        <v/>
      </c>
      <c r="V1811" s="212" t="s">
        <v>50</v>
      </c>
      <c r="W1811" s="100" t="s">
        <v>168</v>
      </c>
      <c r="X1811" s="100" t="s">
        <v>169</v>
      </c>
      <c r="Y1811" s="101" t="s">
        <v>170</v>
      </c>
      <c r="Z1811" s="101" t="s">
        <v>171</v>
      </c>
      <c r="AA1811" s="101" t="s">
        <v>50</v>
      </c>
      <c r="AB1811" s="101" t="s">
        <v>172</v>
      </c>
      <c r="AC1811" s="102" t="s">
        <v>173</v>
      </c>
    </row>
    <row r="1812" spans="1:29" ht="25.5" customHeight="1" x14ac:dyDescent="0.35">
      <c r="A1812" s="392"/>
      <c r="B1812" s="393"/>
      <c r="C1812" s="99" t="str">
        <f>IF(B1812="","",IF(NOT(ISNUMBER(B1812)),"DATA_PC invalida",IF(NOT(ISNUMBER(parametros!$C$2)),"Fora dos ciclos",IF(OR(B1812&lt;parametros!$C$2,(YEAR(B1812)-YEAR(parametros!$C$2))*12+MONTH(B1812)-MONTH(parametros!$C$2)&gt;59),"Fora dos ciclos","C"&amp;INT(((YEAR(B1812)-YEAR(parametros!$C$2))*12+MONTH(B1812)-MONTH(parametros!$C$2))/12)))))</f>
        <v/>
      </c>
      <c r="D1812" s="394"/>
      <c r="E1812" s="78" t="str">
        <f>IF(C1812="","",IFERROR(VLOOKUP(C1812,parametros!$A$11:$E$15,5,0),""))</f>
        <v/>
      </c>
      <c r="F1812" s="79" t="str">
        <f t="shared" si="142"/>
        <v/>
      </c>
      <c r="G1812" s="395"/>
      <c r="H1812" s="91">
        <f t="shared" si="143"/>
        <v>0</v>
      </c>
      <c r="I1812" s="91" t="str">
        <f t="shared" si="144"/>
        <v/>
      </c>
      <c r="J1812" s="91" t="str">
        <f t="shared" si="145"/>
        <v/>
      </c>
      <c r="K1812" s="92" t="str">
        <f>IF(AND(A1812="",B1812="",D1812="",G1812=""),"",IF(AND(A1812&lt;&gt;"",COUNTIF($A$2:$A$5001,A1812)&gt;1),"NUMERO_PC duplicado",IF(B1812="","DATA_PC vazia",IF(NOT(ISNUMBER(B1812)),"DATA_PC invalida",IF(OR(C1812="",C1812="Fora dos ciclos"),"CICLO_PC nao identificado",IF(OR(D1812="",D1812=0),"VALOR_PC vazio ou zero",IF(AND(G1812&lt;&gt;"Sim",G1812&lt;&gt;"Nao",G1812&lt;&gt;""),"PC_PAGO_A_CONTRATADA invalido",IF(AND(C1812&lt;&gt;"C0",IFERROR(INDEX(parametros!$A$2:$A$6,MATCH(C1812,parametros!$B$2:$B$6,0)),"")="Sim",IFERROR(INDEX(parametros!$H$2:$H$6,MATCH(C1812,parametros!$B$2:$B$6,0)),"")=""),"INICIO_EFEITO ausente: PC "&amp;A1812&amp;" - "&amp;C1812,IF(L1812="","EFEITO_PC nao calculado: PC "&amp;A1812&amp;" - "&amp;C1812,"OK")))))))))</f>
        <v/>
      </c>
      <c r="L1812" s="92" t="str">
        <f>IF(AND(A1812="",B1812="",D1812="",G1812=""),"",IF(OR(B1812="",NOT(ISNUMBER(B1812)),C1812="",C1812="Fora dos ciclos"),"",IF(C1812="C0","Nao",IF(IFERROR(INDEX(parametros!$A$2:$A$6,MATCH(C1812,parametros!$B$2:$B$6,0)),"")&lt;&gt;"Sim","Nao",IF(IFERROR(INDEX(parametros!$H$2:$H$6,MATCH(C1812,parametros!$B$2:$B$6,0)),"")="","",IF(B1812&gt;=IFERROR(INDEX(parametros!$H$2:$H$6,MATCH(C1812,parametros!$B$2:$B$6,0)),""),"Sim","Nao"))))))</f>
        <v/>
      </c>
      <c r="T1812" s="156"/>
      <c r="U1812" s="214" t="str">
        <f t="shared" si="146"/>
        <v/>
      </c>
      <c r="V1812" s="212" t="s">
        <v>50</v>
      </c>
      <c r="W1812" s="100" t="s">
        <v>168</v>
      </c>
      <c r="X1812" s="100" t="s">
        <v>169</v>
      </c>
      <c r="Y1812" s="101" t="s">
        <v>170</v>
      </c>
      <c r="Z1812" s="101" t="s">
        <v>171</v>
      </c>
      <c r="AA1812" s="101" t="s">
        <v>50</v>
      </c>
      <c r="AB1812" s="101" t="s">
        <v>172</v>
      </c>
      <c r="AC1812" s="102" t="s">
        <v>173</v>
      </c>
    </row>
    <row r="1813" spans="1:29" ht="25.5" customHeight="1" x14ac:dyDescent="0.35">
      <c r="A1813" s="392"/>
      <c r="B1813" s="393"/>
      <c r="C1813" s="99" t="str">
        <f>IF(B1813="","",IF(NOT(ISNUMBER(B1813)),"DATA_PC invalida",IF(NOT(ISNUMBER(parametros!$C$2)),"Fora dos ciclos",IF(OR(B1813&lt;parametros!$C$2,(YEAR(B1813)-YEAR(parametros!$C$2))*12+MONTH(B1813)-MONTH(parametros!$C$2)&gt;59),"Fora dos ciclos","C"&amp;INT(((YEAR(B1813)-YEAR(parametros!$C$2))*12+MONTH(B1813)-MONTH(parametros!$C$2))/12)))))</f>
        <v/>
      </c>
      <c r="D1813" s="394"/>
      <c r="E1813" s="78" t="str">
        <f>IF(C1813="","",IFERROR(VLOOKUP(C1813,parametros!$A$11:$E$15,5,0),""))</f>
        <v/>
      </c>
      <c r="F1813" s="79" t="str">
        <f t="shared" si="142"/>
        <v/>
      </c>
      <c r="G1813" s="395"/>
      <c r="H1813" s="91">
        <f t="shared" si="143"/>
        <v>0</v>
      </c>
      <c r="I1813" s="91" t="str">
        <f t="shared" si="144"/>
        <v/>
      </c>
      <c r="J1813" s="91" t="str">
        <f t="shared" si="145"/>
        <v/>
      </c>
      <c r="K1813" s="92" t="str">
        <f>IF(AND(A1813="",B1813="",D1813="",G1813=""),"",IF(AND(A1813&lt;&gt;"",COUNTIF($A$2:$A$5001,A1813)&gt;1),"NUMERO_PC duplicado",IF(B1813="","DATA_PC vazia",IF(NOT(ISNUMBER(B1813)),"DATA_PC invalida",IF(OR(C1813="",C1813="Fora dos ciclos"),"CICLO_PC nao identificado",IF(OR(D1813="",D1813=0),"VALOR_PC vazio ou zero",IF(AND(G1813&lt;&gt;"Sim",G1813&lt;&gt;"Nao",G1813&lt;&gt;""),"PC_PAGO_A_CONTRATADA invalido",IF(AND(C1813&lt;&gt;"C0",IFERROR(INDEX(parametros!$A$2:$A$6,MATCH(C1813,parametros!$B$2:$B$6,0)),"")="Sim",IFERROR(INDEX(parametros!$H$2:$H$6,MATCH(C1813,parametros!$B$2:$B$6,0)),"")=""),"INICIO_EFEITO ausente: PC "&amp;A1813&amp;" - "&amp;C1813,IF(L1813="","EFEITO_PC nao calculado: PC "&amp;A1813&amp;" - "&amp;C1813,"OK")))))))))</f>
        <v/>
      </c>
      <c r="L1813" s="92" t="str">
        <f>IF(AND(A1813="",B1813="",D1813="",G1813=""),"",IF(OR(B1813="",NOT(ISNUMBER(B1813)),C1813="",C1813="Fora dos ciclos"),"",IF(C1813="C0","Nao",IF(IFERROR(INDEX(parametros!$A$2:$A$6,MATCH(C1813,parametros!$B$2:$B$6,0)),"")&lt;&gt;"Sim","Nao",IF(IFERROR(INDEX(parametros!$H$2:$H$6,MATCH(C1813,parametros!$B$2:$B$6,0)),"")="","",IF(B1813&gt;=IFERROR(INDEX(parametros!$H$2:$H$6,MATCH(C1813,parametros!$B$2:$B$6,0)),""),"Sim","Nao"))))))</f>
        <v/>
      </c>
      <c r="T1813" s="156"/>
      <c r="U1813" s="214" t="str">
        <f t="shared" si="146"/>
        <v/>
      </c>
      <c r="V1813" s="212" t="s">
        <v>50</v>
      </c>
      <c r="W1813" s="100" t="s">
        <v>168</v>
      </c>
      <c r="X1813" s="100" t="s">
        <v>169</v>
      </c>
      <c r="Y1813" s="101" t="s">
        <v>170</v>
      </c>
      <c r="Z1813" s="101" t="s">
        <v>171</v>
      </c>
      <c r="AA1813" s="101" t="s">
        <v>50</v>
      </c>
      <c r="AB1813" s="101" t="s">
        <v>172</v>
      </c>
      <c r="AC1813" s="102" t="s">
        <v>173</v>
      </c>
    </row>
    <row r="1814" spans="1:29" ht="25.5" customHeight="1" x14ac:dyDescent="0.35">
      <c r="A1814" s="392"/>
      <c r="B1814" s="393"/>
      <c r="C1814" s="99" t="str">
        <f>IF(B1814="","",IF(NOT(ISNUMBER(B1814)),"DATA_PC invalida",IF(NOT(ISNUMBER(parametros!$C$2)),"Fora dos ciclos",IF(OR(B1814&lt;parametros!$C$2,(YEAR(B1814)-YEAR(parametros!$C$2))*12+MONTH(B1814)-MONTH(parametros!$C$2)&gt;59),"Fora dos ciclos","C"&amp;INT(((YEAR(B1814)-YEAR(parametros!$C$2))*12+MONTH(B1814)-MONTH(parametros!$C$2))/12)))))</f>
        <v/>
      </c>
      <c r="D1814" s="394"/>
      <c r="E1814" s="78" t="str">
        <f>IF(C1814="","",IFERROR(VLOOKUP(C1814,parametros!$A$11:$E$15,5,0),""))</f>
        <v/>
      </c>
      <c r="F1814" s="79" t="str">
        <f t="shared" si="142"/>
        <v/>
      </c>
      <c r="G1814" s="395"/>
      <c r="H1814" s="91">
        <f t="shared" si="143"/>
        <v>0</v>
      </c>
      <c r="I1814" s="91" t="str">
        <f t="shared" si="144"/>
        <v/>
      </c>
      <c r="J1814" s="91" t="str">
        <f t="shared" si="145"/>
        <v/>
      </c>
      <c r="K1814" s="92" t="str">
        <f>IF(AND(A1814="",B1814="",D1814="",G1814=""),"",IF(AND(A1814&lt;&gt;"",COUNTIF($A$2:$A$5001,A1814)&gt;1),"NUMERO_PC duplicado",IF(B1814="","DATA_PC vazia",IF(NOT(ISNUMBER(B1814)),"DATA_PC invalida",IF(OR(C1814="",C1814="Fora dos ciclos"),"CICLO_PC nao identificado",IF(OR(D1814="",D1814=0),"VALOR_PC vazio ou zero",IF(AND(G1814&lt;&gt;"Sim",G1814&lt;&gt;"Nao",G1814&lt;&gt;""),"PC_PAGO_A_CONTRATADA invalido",IF(AND(C1814&lt;&gt;"C0",IFERROR(INDEX(parametros!$A$2:$A$6,MATCH(C1814,parametros!$B$2:$B$6,0)),"")="Sim",IFERROR(INDEX(parametros!$H$2:$H$6,MATCH(C1814,parametros!$B$2:$B$6,0)),"")=""),"INICIO_EFEITO ausente: PC "&amp;A1814&amp;" - "&amp;C1814,IF(L1814="","EFEITO_PC nao calculado: PC "&amp;A1814&amp;" - "&amp;C1814,"OK")))))))))</f>
        <v/>
      </c>
      <c r="L1814" s="92" t="str">
        <f>IF(AND(A1814="",B1814="",D1814="",G1814=""),"",IF(OR(B1814="",NOT(ISNUMBER(B1814)),C1814="",C1814="Fora dos ciclos"),"",IF(C1814="C0","Nao",IF(IFERROR(INDEX(parametros!$A$2:$A$6,MATCH(C1814,parametros!$B$2:$B$6,0)),"")&lt;&gt;"Sim","Nao",IF(IFERROR(INDEX(parametros!$H$2:$H$6,MATCH(C1814,parametros!$B$2:$B$6,0)),"")="","",IF(B1814&gt;=IFERROR(INDEX(parametros!$H$2:$H$6,MATCH(C1814,parametros!$B$2:$B$6,0)),""),"Sim","Nao"))))))</f>
        <v/>
      </c>
      <c r="T1814" s="156"/>
      <c r="U1814" s="214" t="str">
        <f t="shared" si="146"/>
        <v/>
      </c>
      <c r="V1814" s="212" t="s">
        <v>50</v>
      </c>
      <c r="W1814" s="100" t="s">
        <v>168</v>
      </c>
      <c r="X1814" s="100" t="s">
        <v>169</v>
      </c>
      <c r="Y1814" s="101" t="s">
        <v>170</v>
      </c>
      <c r="Z1814" s="101" t="s">
        <v>171</v>
      </c>
      <c r="AA1814" s="101" t="s">
        <v>50</v>
      </c>
      <c r="AB1814" s="101" t="s">
        <v>172</v>
      </c>
      <c r="AC1814" s="102" t="s">
        <v>173</v>
      </c>
    </row>
    <row r="1815" spans="1:29" ht="25.5" customHeight="1" x14ac:dyDescent="0.35">
      <c r="A1815" s="392"/>
      <c r="B1815" s="393"/>
      <c r="C1815" s="99" t="str">
        <f>IF(B1815="","",IF(NOT(ISNUMBER(B1815)),"DATA_PC invalida",IF(NOT(ISNUMBER(parametros!$C$2)),"Fora dos ciclos",IF(OR(B1815&lt;parametros!$C$2,(YEAR(B1815)-YEAR(parametros!$C$2))*12+MONTH(B1815)-MONTH(parametros!$C$2)&gt;59),"Fora dos ciclos","C"&amp;INT(((YEAR(B1815)-YEAR(parametros!$C$2))*12+MONTH(B1815)-MONTH(parametros!$C$2))/12)))))</f>
        <v/>
      </c>
      <c r="D1815" s="394"/>
      <c r="E1815" s="78" t="str">
        <f>IF(C1815="","",IFERROR(VLOOKUP(C1815,parametros!$A$11:$E$15,5,0),""))</f>
        <v/>
      </c>
      <c r="F1815" s="79" t="str">
        <f t="shared" si="142"/>
        <v/>
      </c>
      <c r="G1815" s="395"/>
      <c r="H1815" s="91">
        <f t="shared" si="143"/>
        <v>0</v>
      </c>
      <c r="I1815" s="91" t="str">
        <f t="shared" si="144"/>
        <v/>
      </c>
      <c r="J1815" s="91" t="str">
        <f t="shared" si="145"/>
        <v/>
      </c>
      <c r="K1815" s="92" t="str">
        <f>IF(AND(A1815="",B1815="",D1815="",G1815=""),"",IF(AND(A1815&lt;&gt;"",COUNTIF($A$2:$A$5001,A1815)&gt;1),"NUMERO_PC duplicado",IF(B1815="","DATA_PC vazia",IF(NOT(ISNUMBER(B1815)),"DATA_PC invalida",IF(OR(C1815="",C1815="Fora dos ciclos"),"CICLO_PC nao identificado",IF(OR(D1815="",D1815=0),"VALOR_PC vazio ou zero",IF(AND(G1815&lt;&gt;"Sim",G1815&lt;&gt;"Nao",G1815&lt;&gt;""),"PC_PAGO_A_CONTRATADA invalido",IF(AND(C1815&lt;&gt;"C0",IFERROR(INDEX(parametros!$A$2:$A$6,MATCH(C1815,parametros!$B$2:$B$6,0)),"")="Sim",IFERROR(INDEX(parametros!$H$2:$H$6,MATCH(C1815,parametros!$B$2:$B$6,0)),"")=""),"INICIO_EFEITO ausente: PC "&amp;A1815&amp;" - "&amp;C1815,IF(L1815="","EFEITO_PC nao calculado: PC "&amp;A1815&amp;" - "&amp;C1815,"OK")))))))))</f>
        <v/>
      </c>
      <c r="L1815" s="92" t="str">
        <f>IF(AND(A1815="",B1815="",D1815="",G1815=""),"",IF(OR(B1815="",NOT(ISNUMBER(B1815)),C1815="",C1815="Fora dos ciclos"),"",IF(C1815="C0","Nao",IF(IFERROR(INDEX(parametros!$A$2:$A$6,MATCH(C1815,parametros!$B$2:$B$6,0)),"")&lt;&gt;"Sim","Nao",IF(IFERROR(INDEX(parametros!$H$2:$H$6,MATCH(C1815,parametros!$B$2:$B$6,0)),"")="","",IF(B1815&gt;=IFERROR(INDEX(parametros!$H$2:$H$6,MATCH(C1815,parametros!$B$2:$B$6,0)),""),"Sim","Nao"))))))</f>
        <v/>
      </c>
      <c r="T1815" s="156"/>
      <c r="U1815" s="214" t="str">
        <f t="shared" si="146"/>
        <v/>
      </c>
      <c r="V1815" s="212" t="s">
        <v>50</v>
      </c>
      <c r="W1815" s="100" t="s">
        <v>168</v>
      </c>
      <c r="X1815" s="100" t="s">
        <v>169</v>
      </c>
      <c r="Y1815" s="101" t="s">
        <v>170</v>
      </c>
      <c r="Z1815" s="101" t="s">
        <v>171</v>
      </c>
      <c r="AA1815" s="101" t="s">
        <v>50</v>
      </c>
      <c r="AB1815" s="101" t="s">
        <v>172</v>
      </c>
      <c r="AC1815" s="102" t="s">
        <v>173</v>
      </c>
    </row>
    <row r="1816" spans="1:29" ht="25.5" customHeight="1" x14ac:dyDescent="0.35">
      <c r="A1816" s="392"/>
      <c r="B1816" s="393"/>
      <c r="C1816" s="99" t="str">
        <f>IF(B1816="","",IF(NOT(ISNUMBER(B1816)),"DATA_PC invalida",IF(NOT(ISNUMBER(parametros!$C$2)),"Fora dos ciclos",IF(OR(B1816&lt;parametros!$C$2,(YEAR(B1816)-YEAR(parametros!$C$2))*12+MONTH(B1816)-MONTH(parametros!$C$2)&gt;59),"Fora dos ciclos","C"&amp;INT(((YEAR(B1816)-YEAR(parametros!$C$2))*12+MONTH(B1816)-MONTH(parametros!$C$2))/12)))))</f>
        <v/>
      </c>
      <c r="D1816" s="394"/>
      <c r="E1816" s="78" t="str">
        <f>IF(C1816="","",IFERROR(VLOOKUP(C1816,parametros!$A$11:$E$15,5,0),""))</f>
        <v/>
      </c>
      <c r="F1816" s="79" t="str">
        <f t="shared" si="142"/>
        <v/>
      </c>
      <c r="G1816" s="395"/>
      <c r="H1816" s="91">
        <f t="shared" si="143"/>
        <v>0</v>
      </c>
      <c r="I1816" s="91" t="str">
        <f t="shared" si="144"/>
        <v/>
      </c>
      <c r="J1816" s="91" t="str">
        <f t="shared" si="145"/>
        <v/>
      </c>
      <c r="K1816" s="92" t="str">
        <f>IF(AND(A1816="",B1816="",D1816="",G1816=""),"",IF(AND(A1816&lt;&gt;"",COUNTIF($A$2:$A$5001,A1816)&gt;1),"NUMERO_PC duplicado",IF(B1816="","DATA_PC vazia",IF(NOT(ISNUMBER(B1816)),"DATA_PC invalida",IF(OR(C1816="",C1816="Fora dos ciclos"),"CICLO_PC nao identificado",IF(OR(D1816="",D1816=0),"VALOR_PC vazio ou zero",IF(AND(G1816&lt;&gt;"Sim",G1816&lt;&gt;"Nao",G1816&lt;&gt;""),"PC_PAGO_A_CONTRATADA invalido",IF(AND(C1816&lt;&gt;"C0",IFERROR(INDEX(parametros!$A$2:$A$6,MATCH(C1816,parametros!$B$2:$B$6,0)),"")="Sim",IFERROR(INDEX(parametros!$H$2:$H$6,MATCH(C1816,parametros!$B$2:$B$6,0)),"")=""),"INICIO_EFEITO ausente: PC "&amp;A1816&amp;" - "&amp;C1816,IF(L1816="","EFEITO_PC nao calculado: PC "&amp;A1816&amp;" - "&amp;C1816,"OK")))))))))</f>
        <v/>
      </c>
      <c r="L1816" s="92" t="str">
        <f>IF(AND(A1816="",B1816="",D1816="",G1816=""),"",IF(OR(B1816="",NOT(ISNUMBER(B1816)),C1816="",C1816="Fora dos ciclos"),"",IF(C1816="C0","Nao",IF(IFERROR(INDEX(parametros!$A$2:$A$6,MATCH(C1816,parametros!$B$2:$B$6,0)),"")&lt;&gt;"Sim","Nao",IF(IFERROR(INDEX(parametros!$H$2:$H$6,MATCH(C1816,parametros!$B$2:$B$6,0)),"")="","",IF(B1816&gt;=IFERROR(INDEX(parametros!$H$2:$H$6,MATCH(C1816,parametros!$B$2:$B$6,0)),""),"Sim","Nao"))))))</f>
        <v/>
      </c>
      <c r="T1816" s="156"/>
      <c r="U1816" s="214" t="str">
        <f t="shared" si="146"/>
        <v/>
      </c>
      <c r="V1816" s="212" t="s">
        <v>50</v>
      </c>
      <c r="W1816" s="100" t="s">
        <v>168</v>
      </c>
      <c r="X1816" s="100" t="s">
        <v>169</v>
      </c>
      <c r="Y1816" s="101" t="s">
        <v>170</v>
      </c>
      <c r="Z1816" s="101" t="s">
        <v>171</v>
      </c>
      <c r="AA1816" s="101" t="s">
        <v>50</v>
      </c>
      <c r="AB1816" s="101" t="s">
        <v>172</v>
      </c>
      <c r="AC1816" s="102" t="s">
        <v>173</v>
      </c>
    </row>
    <row r="1817" spans="1:29" ht="25.5" customHeight="1" x14ac:dyDescent="0.35">
      <c r="A1817" s="392"/>
      <c r="B1817" s="393"/>
      <c r="C1817" s="99" t="str">
        <f>IF(B1817="","",IF(NOT(ISNUMBER(B1817)),"DATA_PC invalida",IF(NOT(ISNUMBER(parametros!$C$2)),"Fora dos ciclos",IF(OR(B1817&lt;parametros!$C$2,(YEAR(B1817)-YEAR(parametros!$C$2))*12+MONTH(B1817)-MONTH(parametros!$C$2)&gt;59),"Fora dos ciclos","C"&amp;INT(((YEAR(B1817)-YEAR(parametros!$C$2))*12+MONTH(B1817)-MONTH(parametros!$C$2))/12)))))</f>
        <v/>
      </c>
      <c r="D1817" s="394"/>
      <c r="E1817" s="78" t="str">
        <f>IF(C1817="","",IFERROR(VLOOKUP(C1817,parametros!$A$11:$E$15,5,0),""))</f>
        <v/>
      </c>
      <c r="F1817" s="79" t="str">
        <f t="shared" si="142"/>
        <v/>
      </c>
      <c r="G1817" s="395"/>
      <c r="H1817" s="91">
        <f t="shared" si="143"/>
        <v>0</v>
      </c>
      <c r="I1817" s="91" t="str">
        <f t="shared" si="144"/>
        <v/>
      </c>
      <c r="J1817" s="91" t="str">
        <f t="shared" si="145"/>
        <v/>
      </c>
      <c r="K1817" s="92" t="str">
        <f>IF(AND(A1817="",B1817="",D1817="",G1817=""),"",IF(AND(A1817&lt;&gt;"",COUNTIF($A$2:$A$5001,A1817)&gt;1),"NUMERO_PC duplicado",IF(B1817="","DATA_PC vazia",IF(NOT(ISNUMBER(B1817)),"DATA_PC invalida",IF(OR(C1817="",C1817="Fora dos ciclos"),"CICLO_PC nao identificado",IF(OR(D1817="",D1817=0),"VALOR_PC vazio ou zero",IF(AND(G1817&lt;&gt;"Sim",G1817&lt;&gt;"Nao",G1817&lt;&gt;""),"PC_PAGO_A_CONTRATADA invalido",IF(AND(C1817&lt;&gt;"C0",IFERROR(INDEX(parametros!$A$2:$A$6,MATCH(C1817,parametros!$B$2:$B$6,0)),"")="Sim",IFERROR(INDEX(parametros!$H$2:$H$6,MATCH(C1817,parametros!$B$2:$B$6,0)),"")=""),"INICIO_EFEITO ausente: PC "&amp;A1817&amp;" - "&amp;C1817,IF(L1817="","EFEITO_PC nao calculado: PC "&amp;A1817&amp;" - "&amp;C1817,"OK")))))))))</f>
        <v/>
      </c>
      <c r="L1817" s="92" t="str">
        <f>IF(AND(A1817="",B1817="",D1817="",G1817=""),"",IF(OR(B1817="",NOT(ISNUMBER(B1817)),C1817="",C1817="Fora dos ciclos"),"",IF(C1817="C0","Nao",IF(IFERROR(INDEX(parametros!$A$2:$A$6,MATCH(C1817,parametros!$B$2:$B$6,0)),"")&lt;&gt;"Sim","Nao",IF(IFERROR(INDEX(parametros!$H$2:$H$6,MATCH(C1817,parametros!$B$2:$B$6,0)),"")="","",IF(B1817&gt;=IFERROR(INDEX(parametros!$H$2:$H$6,MATCH(C1817,parametros!$B$2:$B$6,0)),""),"Sim","Nao"))))))</f>
        <v/>
      </c>
      <c r="T1817" s="156"/>
      <c r="U1817" s="214" t="str">
        <f t="shared" si="146"/>
        <v/>
      </c>
      <c r="V1817" s="212" t="s">
        <v>50</v>
      </c>
      <c r="W1817" s="100" t="s">
        <v>168</v>
      </c>
      <c r="X1817" s="100" t="s">
        <v>169</v>
      </c>
      <c r="Y1817" s="101" t="s">
        <v>170</v>
      </c>
      <c r="Z1817" s="101" t="s">
        <v>171</v>
      </c>
      <c r="AA1817" s="101" t="s">
        <v>50</v>
      </c>
      <c r="AB1817" s="101" t="s">
        <v>172</v>
      </c>
      <c r="AC1817" s="102" t="s">
        <v>173</v>
      </c>
    </row>
    <row r="1818" spans="1:29" ht="25.5" customHeight="1" x14ac:dyDescent="0.35">
      <c r="A1818" s="392"/>
      <c r="B1818" s="393"/>
      <c r="C1818" s="99" t="str">
        <f>IF(B1818="","",IF(NOT(ISNUMBER(B1818)),"DATA_PC invalida",IF(NOT(ISNUMBER(parametros!$C$2)),"Fora dos ciclos",IF(OR(B1818&lt;parametros!$C$2,(YEAR(B1818)-YEAR(parametros!$C$2))*12+MONTH(B1818)-MONTH(parametros!$C$2)&gt;59),"Fora dos ciclos","C"&amp;INT(((YEAR(B1818)-YEAR(parametros!$C$2))*12+MONTH(B1818)-MONTH(parametros!$C$2))/12)))))</f>
        <v/>
      </c>
      <c r="D1818" s="394"/>
      <c r="E1818" s="78" t="str">
        <f>IF(C1818="","",IFERROR(VLOOKUP(C1818,parametros!$A$11:$E$15,5,0),""))</f>
        <v/>
      </c>
      <c r="F1818" s="79" t="str">
        <f t="shared" si="142"/>
        <v/>
      </c>
      <c r="G1818" s="395"/>
      <c r="H1818" s="91">
        <f t="shared" si="143"/>
        <v>0</v>
      </c>
      <c r="I1818" s="91" t="str">
        <f t="shared" si="144"/>
        <v/>
      </c>
      <c r="J1818" s="91" t="str">
        <f t="shared" si="145"/>
        <v/>
      </c>
      <c r="K1818" s="92" t="str">
        <f>IF(AND(A1818="",B1818="",D1818="",G1818=""),"",IF(AND(A1818&lt;&gt;"",COUNTIF($A$2:$A$5001,A1818)&gt;1),"NUMERO_PC duplicado",IF(B1818="","DATA_PC vazia",IF(NOT(ISNUMBER(B1818)),"DATA_PC invalida",IF(OR(C1818="",C1818="Fora dos ciclos"),"CICLO_PC nao identificado",IF(OR(D1818="",D1818=0),"VALOR_PC vazio ou zero",IF(AND(G1818&lt;&gt;"Sim",G1818&lt;&gt;"Nao",G1818&lt;&gt;""),"PC_PAGO_A_CONTRATADA invalido",IF(AND(C1818&lt;&gt;"C0",IFERROR(INDEX(parametros!$A$2:$A$6,MATCH(C1818,parametros!$B$2:$B$6,0)),"")="Sim",IFERROR(INDEX(parametros!$H$2:$H$6,MATCH(C1818,parametros!$B$2:$B$6,0)),"")=""),"INICIO_EFEITO ausente: PC "&amp;A1818&amp;" - "&amp;C1818,IF(L1818="","EFEITO_PC nao calculado: PC "&amp;A1818&amp;" - "&amp;C1818,"OK")))))))))</f>
        <v/>
      </c>
      <c r="L1818" s="92" t="str">
        <f>IF(AND(A1818="",B1818="",D1818="",G1818=""),"",IF(OR(B1818="",NOT(ISNUMBER(B1818)),C1818="",C1818="Fora dos ciclos"),"",IF(C1818="C0","Nao",IF(IFERROR(INDEX(parametros!$A$2:$A$6,MATCH(C1818,parametros!$B$2:$B$6,0)),"")&lt;&gt;"Sim","Nao",IF(IFERROR(INDEX(parametros!$H$2:$H$6,MATCH(C1818,parametros!$B$2:$B$6,0)),"")="","",IF(B1818&gt;=IFERROR(INDEX(parametros!$H$2:$H$6,MATCH(C1818,parametros!$B$2:$B$6,0)),""),"Sim","Nao"))))))</f>
        <v/>
      </c>
      <c r="T1818" s="156"/>
      <c r="U1818" s="214" t="str">
        <f t="shared" si="146"/>
        <v/>
      </c>
      <c r="V1818" s="212" t="s">
        <v>50</v>
      </c>
      <c r="W1818" s="100" t="s">
        <v>168</v>
      </c>
      <c r="X1818" s="100" t="s">
        <v>169</v>
      </c>
      <c r="Y1818" s="101" t="s">
        <v>170</v>
      </c>
      <c r="Z1818" s="101" t="s">
        <v>171</v>
      </c>
      <c r="AA1818" s="101" t="s">
        <v>50</v>
      </c>
      <c r="AB1818" s="101" t="s">
        <v>172</v>
      </c>
      <c r="AC1818" s="102" t="s">
        <v>173</v>
      </c>
    </row>
    <row r="1819" spans="1:29" ht="25.5" customHeight="1" x14ac:dyDescent="0.35">
      <c r="A1819" s="392"/>
      <c r="B1819" s="393"/>
      <c r="C1819" s="99" t="str">
        <f>IF(B1819="","",IF(NOT(ISNUMBER(B1819)),"DATA_PC invalida",IF(NOT(ISNUMBER(parametros!$C$2)),"Fora dos ciclos",IF(OR(B1819&lt;parametros!$C$2,(YEAR(B1819)-YEAR(parametros!$C$2))*12+MONTH(B1819)-MONTH(parametros!$C$2)&gt;59),"Fora dos ciclos","C"&amp;INT(((YEAR(B1819)-YEAR(parametros!$C$2))*12+MONTH(B1819)-MONTH(parametros!$C$2))/12)))))</f>
        <v/>
      </c>
      <c r="D1819" s="394"/>
      <c r="E1819" s="78" t="str">
        <f>IF(C1819="","",IFERROR(VLOOKUP(C1819,parametros!$A$11:$E$15,5,0),""))</f>
        <v/>
      </c>
      <c r="F1819" s="79" t="str">
        <f t="shared" si="142"/>
        <v/>
      </c>
      <c r="G1819" s="395"/>
      <c r="H1819" s="91">
        <f t="shared" si="143"/>
        <v>0</v>
      </c>
      <c r="I1819" s="91" t="str">
        <f t="shared" si="144"/>
        <v/>
      </c>
      <c r="J1819" s="91" t="str">
        <f t="shared" si="145"/>
        <v/>
      </c>
      <c r="K1819" s="92" t="str">
        <f>IF(AND(A1819="",B1819="",D1819="",G1819=""),"",IF(AND(A1819&lt;&gt;"",COUNTIF($A$2:$A$5001,A1819)&gt;1),"NUMERO_PC duplicado",IF(B1819="","DATA_PC vazia",IF(NOT(ISNUMBER(B1819)),"DATA_PC invalida",IF(OR(C1819="",C1819="Fora dos ciclos"),"CICLO_PC nao identificado",IF(OR(D1819="",D1819=0),"VALOR_PC vazio ou zero",IF(AND(G1819&lt;&gt;"Sim",G1819&lt;&gt;"Nao",G1819&lt;&gt;""),"PC_PAGO_A_CONTRATADA invalido",IF(AND(C1819&lt;&gt;"C0",IFERROR(INDEX(parametros!$A$2:$A$6,MATCH(C1819,parametros!$B$2:$B$6,0)),"")="Sim",IFERROR(INDEX(parametros!$H$2:$H$6,MATCH(C1819,parametros!$B$2:$B$6,0)),"")=""),"INICIO_EFEITO ausente: PC "&amp;A1819&amp;" - "&amp;C1819,IF(L1819="","EFEITO_PC nao calculado: PC "&amp;A1819&amp;" - "&amp;C1819,"OK")))))))))</f>
        <v/>
      </c>
      <c r="L1819" s="92" t="str">
        <f>IF(AND(A1819="",B1819="",D1819="",G1819=""),"",IF(OR(B1819="",NOT(ISNUMBER(B1819)),C1819="",C1819="Fora dos ciclos"),"",IF(C1819="C0","Nao",IF(IFERROR(INDEX(parametros!$A$2:$A$6,MATCH(C1819,parametros!$B$2:$B$6,0)),"")&lt;&gt;"Sim","Nao",IF(IFERROR(INDEX(parametros!$H$2:$H$6,MATCH(C1819,parametros!$B$2:$B$6,0)),"")="","",IF(B1819&gt;=IFERROR(INDEX(parametros!$H$2:$H$6,MATCH(C1819,parametros!$B$2:$B$6,0)),""),"Sim","Nao"))))))</f>
        <v/>
      </c>
      <c r="T1819" s="156"/>
      <c r="U1819" s="214" t="str">
        <f t="shared" si="146"/>
        <v/>
      </c>
      <c r="V1819" s="212" t="s">
        <v>50</v>
      </c>
      <c r="W1819" s="100" t="s">
        <v>168</v>
      </c>
      <c r="X1819" s="100" t="s">
        <v>169</v>
      </c>
      <c r="Y1819" s="101" t="s">
        <v>170</v>
      </c>
      <c r="Z1819" s="101" t="s">
        <v>171</v>
      </c>
      <c r="AA1819" s="101" t="s">
        <v>50</v>
      </c>
      <c r="AB1819" s="101" t="s">
        <v>172</v>
      </c>
      <c r="AC1819" s="102" t="s">
        <v>173</v>
      </c>
    </row>
    <row r="1820" spans="1:29" ht="25.5" customHeight="1" x14ac:dyDescent="0.35">
      <c r="A1820" s="392"/>
      <c r="B1820" s="393"/>
      <c r="C1820" s="99" t="str">
        <f>IF(B1820="","",IF(NOT(ISNUMBER(B1820)),"DATA_PC invalida",IF(NOT(ISNUMBER(parametros!$C$2)),"Fora dos ciclos",IF(OR(B1820&lt;parametros!$C$2,(YEAR(B1820)-YEAR(parametros!$C$2))*12+MONTH(B1820)-MONTH(parametros!$C$2)&gt;59),"Fora dos ciclos","C"&amp;INT(((YEAR(B1820)-YEAR(parametros!$C$2))*12+MONTH(B1820)-MONTH(parametros!$C$2))/12)))))</f>
        <v/>
      </c>
      <c r="D1820" s="394"/>
      <c r="E1820" s="78" t="str">
        <f>IF(C1820="","",IFERROR(VLOOKUP(C1820,parametros!$A$11:$E$15,5,0),""))</f>
        <v/>
      </c>
      <c r="F1820" s="79" t="str">
        <f t="shared" si="142"/>
        <v/>
      </c>
      <c r="G1820" s="395"/>
      <c r="H1820" s="91">
        <f t="shared" si="143"/>
        <v>0</v>
      </c>
      <c r="I1820" s="91" t="str">
        <f t="shared" si="144"/>
        <v/>
      </c>
      <c r="J1820" s="91" t="str">
        <f t="shared" si="145"/>
        <v/>
      </c>
      <c r="K1820" s="92" t="str">
        <f>IF(AND(A1820="",B1820="",D1820="",G1820=""),"",IF(AND(A1820&lt;&gt;"",COUNTIF($A$2:$A$5001,A1820)&gt;1),"NUMERO_PC duplicado",IF(B1820="","DATA_PC vazia",IF(NOT(ISNUMBER(B1820)),"DATA_PC invalida",IF(OR(C1820="",C1820="Fora dos ciclos"),"CICLO_PC nao identificado",IF(OR(D1820="",D1820=0),"VALOR_PC vazio ou zero",IF(AND(G1820&lt;&gt;"Sim",G1820&lt;&gt;"Nao",G1820&lt;&gt;""),"PC_PAGO_A_CONTRATADA invalido",IF(AND(C1820&lt;&gt;"C0",IFERROR(INDEX(parametros!$A$2:$A$6,MATCH(C1820,parametros!$B$2:$B$6,0)),"")="Sim",IFERROR(INDEX(parametros!$H$2:$H$6,MATCH(C1820,parametros!$B$2:$B$6,0)),"")=""),"INICIO_EFEITO ausente: PC "&amp;A1820&amp;" - "&amp;C1820,IF(L1820="","EFEITO_PC nao calculado: PC "&amp;A1820&amp;" - "&amp;C1820,"OK")))))))))</f>
        <v/>
      </c>
      <c r="L1820" s="92" t="str">
        <f>IF(AND(A1820="",B1820="",D1820="",G1820=""),"",IF(OR(B1820="",NOT(ISNUMBER(B1820)),C1820="",C1820="Fora dos ciclos"),"",IF(C1820="C0","Nao",IF(IFERROR(INDEX(parametros!$A$2:$A$6,MATCH(C1820,parametros!$B$2:$B$6,0)),"")&lt;&gt;"Sim","Nao",IF(IFERROR(INDEX(parametros!$H$2:$H$6,MATCH(C1820,parametros!$B$2:$B$6,0)),"")="","",IF(B1820&gt;=IFERROR(INDEX(parametros!$H$2:$H$6,MATCH(C1820,parametros!$B$2:$B$6,0)),""),"Sim","Nao"))))))</f>
        <v/>
      </c>
      <c r="T1820" s="156"/>
      <c r="U1820" s="214" t="str">
        <f t="shared" si="146"/>
        <v/>
      </c>
      <c r="V1820" s="212" t="s">
        <v>50</v>
      </c>
      <c r="W1820" s="100" t="s">
        <v>168</v>
      </c>
      <c r="X1820" s="100" t="s">
        <v>169</v>
      </c>
      <c r="Y1820" s="101" t="s">
        <v>170</v>
      </c>
      <c r="Z1820" s="101" t="s">
        <v>171</v>
      </c>
      <c r="AA1820" s="101" t="s">
        <v>50</v>
      </c>
      <c r="AB1820" s="101" t="s">
        <v>172</v>
      </c>
      <c r="AC1820" s="102" t="s">
        <v>173</v>
      </c>
    </row>
    <row r="1821" spans="1:29" ht="25.5" customHeight="1" x14ac:dyDescent="0.35">
      <c r="A1821" s="392"/>
      <c r="B1821" s="393"/>
      <c r="C1821" s="99" t="str">
        <f>IF(B1821="","",IF(NOT(ISNUMBER(B1821)),"DATA_PC invalida",IF(NOT(ISNUMBER(parametros!$C$2)),"Fora dos ciclos",IF(OR(B1821&lt;parametros!$C$2,(YEAR(B1821)-YEAR(parametros!$C$2))*12+MONTH(B1821)-MONTH(parametros!$C$2)&gt;59),"Fora dos ciclos","C"&amp;INT(((YEAR(B1821)-YEAR(parametros!$C$2))*12+MONTH(B1821)-MONTH(parametros!$C$2))/12)))))</f>
        <v/>
      </c>
      <c r="D1821" s="394"/>
      <c r="E1821" s="78" t="str">
        <f>IF(C1821="","",IFERROR(VLOOKUP(C1821,parametros!$A$11:$E$15,5,0),""))</f>
        <v/>
      </c>
      <c r="F1821" s="79" t="str">
        <f t="shared" si="142"/>
        <v/>
      </c>
      <c r="G1821" s="395"/>
      <c r="H1821" s="91">
        <f t="shared" si="143"/>
        <v>0</v>
      </c>
      <c r="I1821" s="91" t="str">
        <f t="shared" si="144"/>
        <v/>
      </c>
      <c r="J1821" s="91" t="str">
        <f t="shared" si="145"/>
        <v/>
      </c>
      <c r="K1821" s="92" t="str">
        <f>IF(AND(A1821="",B1821="",D1821="",G1821=""),"",IF(AND(A1821&lt;&gt;"",COUNTIF($A$2:$A$5001,A1821)&gt;1),"NUMERO_PC duplicado",IF(B1821="","DATA_PC vazia",IF(NOT(ISNUMBER(B1821)),"DATA_PC invalida",IF(OR(C1821="",C1821="Fora dos ciclos"),"CICLO_PC nao identificado",IF(OR(D1821="",D1821=0),"VALOR_PC vazio ou zero",IF(AND(G1821&lt;&gt;"Sim",G1821&lt;&gt;"Nao",G1821&lt;&gt;""),"PC_PAGO_A_CONTRATADA invalido",IF(AND(C1821&lt;&gt;"C0",IFERROR(INDEX(parametros!$A$2:$A$6,MATCH(C1821,parametros!$B$2:$B$6,0)),"")="Sim",IFERROR(INDEX(parametros!$H$2:$H$6,MATCH(C1821,parametros!$B$2:$B$6,0)),"")=""),"INICIO_EFEITO ausente: PC "&amp;A1821&amp;" - "&amp;C1821,IF(L1821="","EFEITO_PC nao calculado: PC "&amp;A1821&amp;" - "&amp;C1821,"OK")))))))))</f>
        <v/>
      </c>
      <c r="L1821" s="92" t="str">
        <f>IF(AND(A1821="",B1821="",D1821="",G1821=""),"",IF(OR(B1821="",NOT(ISNUMBER(B1821)),C1821="",C1821="Fora dos ciclos"),"",IF(C1821="C0","Nao",IF(IFERROR(INDEX(parametros!$A$2:$A$6,MATCH(C1821,parametros!$B$2:$B$6,0)),"")&lt;&gt;"Sim","Nao",IF(IFERROR(INDEX(parametros!$H$2:$H$6,MATCH(C1821,parametros!$B$2:$B$6,0)),"")="","",IF(B1821&gt;=IFERROR(INDEX(parametros!$H$2:$H$6,MATCH(C1821,parametros!$B$2:$B$6,0)),""),"Sim","Nao"))))))</f>
        <v/>
      </c>
      <c r="T1821" s="156"/>
      <c r="U1821" s="214" t="str">
        <f t="shared" si="146"/>
        <v/>
      </c>
      <c r="V1821" s="212" t="s">
        <v>50</v>
      </c>
      <c r="W1821" s="100" t="s">
        <v>168</v>
      </c>
      <c r="X1821" s="100" t="s">
        <v>169</v>
      </c>
      <c r="Y1821" s="101" t="s">
        <v>170</v>
      </c>
      <c r="Z1821" s="101" t="s">
        <v>171</v>
      </c>
      <c r="AA1821" s="101" t="s">
        <v>50</v>
      </c>
      <c r="AB1821" s="101" t="s">
        <v>172</v>
      </c>
      <c r="AC1821" s="102" t="s">
        <v>173</v>
      </c>
    </row>
    <row r="1822" spans="1:29" ht="25.5" customHeight="1" x14ac:dyDescent="0.35">
      <c r="A1822" s="392"/>
      <c r="B1822" s="393"/>
      <c r="C1822" s="99" t="str">
        <f>IF(B1822="","",IF(NOT(ISNUMBER(B1822)),"DATA_PC invalida",IF(NOT(ISNUMBER(parametros!$C$2)),"Fora dos ciclos",IF(OR(B1822&lt;parametros!$C$2,(YEAR(B1822)-YEAR(parametros!$C$2))*12+MONTH(B1822)-MONTH(parametros!$C$2)&gt;59),"Fora dos ciclos","C"&amp;INT(((YEAR(B1822)-YEAR(parametros!$C$2))*12+MONTH(B1822)-MONTH(parametros!$C$2))/12)))))</f>
        <v/>
      </c>
      <c r="D1822" s="394"/>
      <c r="E1822" s="78" t="str">
        <f>IF(C1822="","",IFERROR(VLOOKUP(C1822,parametros!$A$11:$E$15,5,0),""))</f>
        <v/>
      </c>
      <c r="F1822" s="79" t="str">
        <f t="shared" si="142"/>
        <v/>
      </c>
      <c r="G1822" s="395"/>
      <c r="H1822" s="91">
        <f t="shared" si="143"/>
        <v>0</v>
      </c>
      <c r="I1822" s="91" t="str">
        <f t="shared" si="144"/>
        <v/>
      </c>
      <c r="J1822" s="91" t="str">
        <f t="shared" si="145"/>
        <v/>
      </c>
      <c r="K1822" s="92" t="str">
        <f>IF(AND(A1822="",B1822="",D1822="",G1822=""),"",IF(AND(A1822&lt;&gt;"",COUNTIF($A$2:$A$5001,A1822)&gt;1),"NUMERO_PC duplicado",IF(B1822="","DATA_PC vazia",IF(NOT(ISNUMBER(B1822)),"DATA_PC invalida",IF(OR(C1822="",C1822="Fora dos ciclos"),"CICLO_PC nao identificado",IF(OR(D1822="",D1822=0),"VALOR_PC vazio ou zero",IF(AND(G1822&lt;&gt;"Sim",G1822&lt;&gt;"Nao",G1822&lt;&gt;""),"PC_PAGO_A_CONTRATADA invalido",IF(AND(C1822&lt;&gt;"C0",IFERROR(INDEX(parametros!$A$2:$A$6,MATCH(C1822,parametros!$B$2:$B$6,0)),"")="Sim",IFERROR(INDEX(parametros!$H$2:$H$6,MATCH(C1822,parametros!$B$2:$B$6,0)),"")=""),"INICIO_EFEITO ausente: PC "&amp;A1822&amp;" - "&amp;C1822,IF(L1822="","EFEITO_PC nao calculado: PC "&amp;A1822&amp;" - "&amp;C1822,"OK")))))))))</f>
        <v/>
      </c>
      <c r="L1822" s="92" t="str">
        <f>IF(AND(A1822="",B1822="",D1822="",G1822=""),"",IF(OR(B1822="",NOT(ISNUMBER(B1822)),C1822="",C1822="Fora dos ciclos"),"",IF(C1822="C0","Nao",IF(IFERROR(INDEX(parametros!$A$2:$A$6,MATCH(C1822,parametros!$B$2:$B$6,0)),"")&lt;&gt;"Sim","Nao",IF(IFERROR(INDEX(parametros!$H$2:$H$6,MATCH(C1822,parametros!$B$2:$B$6,0)),"")="","",IF(B1822&gt;=IFERROR(INDEX(parametros!$H$2:$H$6,MATCH(C1822,parametros!$B$2:$B$6,0)),""),"Sim","Nao"))))))</f>
        <v/>
      </c>
      <c r="T1822" s="156"/>
      <c r="U1822" s="214" t="str">
        <f t="shared" si="146"/>
        <v/>
      </c>
      <c r="V1822" s="212" t="s">
        <v>50</v>
      </c>
      <c r="W1822" s="100" t="s">
        <v>168</v>
      </c>
      <c r="X1822" s="100" t="s">
        <v>169</v>
      </c>
      <c r="Y1822" s="101" t="s">
        <v>170</v>
      </c>
      <c r="Z1822" s="101" t="s">
        <v>171</v>
      </c>
      <c r="AA1822" s="101" t="s">
        <v>50</v>
      </c>
      <c r="AB1822" s="101" t="s">
        <v>172</v>
      </c>
      <c r="AC1822" s="102" t="s">
        <v>173</v>
      </c>
    </row>
    <row r="1823" spans="1:29" ht="25.5" customHeight="1" x14ac:dyDescent="0.35">
      <c r="A1823" s="392"/>
      <c r="B1823" s="393"/>
      <c r="C1823" s="99" t="str">
        <f>IF(B1823="","",IF(NOT(ISNUMBER(B1823)),"DATA_PC invalida",IF(NOT(ISNUMBER(parametros!$C$2)),"Fora dos ciclos",IF(OR(B1823&lt;parametros!$C$2,(YEAR(B1823)-YEAR(parametros!$C$2))*12+MONTH(B1823)-MONTH(parametros!$C$2)&gt;59),"Fora dos ciclos","C"&amp;INT(((YEAR(B1823)-YEAR(parametros!$C$2))*12+MONTH(B1823)-MONTH(parametros!$C$2))/12)))))</f>
        <v/>
      </c>
      <c r="D1823" s="394"/>
      <c r="E1823" s="78" t="str">
        <f>IF(C1823="","",IFERROR(VLOOKUP(C1823,parametros!$A$11:$E$15,5,0),""))</f>
        <v/>
      </c>
      <c r="F1823" s="79" t="str">
        <f t="shared" si="142"/>
        <v/>
      </c>
      <c r="G1823" s="395"/>
      <c r="H1823" s="91">
        <f t="shared" si="143"/>
        <v>0</v>
      </c>
      <c r="I1823" s="91" t="str">
        <f t="shared" si="144"/>
        <v/>
      </c>
      <c r="J1823" s="91" t="str">
        <f t="shared" si="145"/>
        <v/>
      </c>
      <c r="K1823" s="92" t="str">
        <f>IF(AND(A1823="",B1823="",D1823="",G1823=""),"",IF(AND(A1823&lt;&gt;"",COUNTIF($A$2:$A$5001,A1823)&gt;1),"NUMERO_PC duplicado",IF(B1823="","DATA_PC vazia",IF(NOT(ISNUMBER(B1823)),"DATA_PC invalida",IF(OR(C1823="",C1823="Fora dos ciclos"),"CICLO_PC nao identificado",IF(OR(D1823="",D1823=0),"VALOR_PC vazio ou zero",IF(AND(G1823&lt;&gt;"Sim",G1823&lt;&gt;"Nao",G1823&lt;&gt;""),"PC_PAGO_A_CONTRATADA invalido",IF(AND(C1823&lt;&gt;"C0",IFERROR(INDEX(parametros!$A$2:$A$6,MATCH(C1823,parametros!$B$2:$B$6,0)),"")="Sim",IFERROR(INDEX(parametros!$H$2:$H$6,MATCH(C1823,parametros!$B$2:$B$6,0)),"")=""),"INICIO_EFEITO ausente: PC "&amp;A1823&amp;" - "&amp;C1823,IF(L1823="","EFEITO_PC nao calculado: PC "&amp;A1823&amp;" - "&amp;C1823,"OK")))))))))</f>
        <v/>
      </c>
      <c r="L1823" s="92" t="str">
        <f>IF(AND(A1823="",B1823="",D1823="",G1823=""),"",IF(OR(B1823="",NOT(ISNUMBER(B1823)),C1823="",C1823="Fora dos ciclos"),"",IF(C1823="C0","Nao",IF(IFERROR(INDEX(parametros!$A$2:$A$6,MATCH(C1823,parametros!$B$2:$B$6,0)),"")&lt;&gt;"Sim","Nao",IF(IFERROR(INDEX(parametros!$H$2:$H$6,MATCH(C1823,parametros!$B$2:$B$6,0)),"")="","",IF(B1823&gt;=IFERROR(INDEX(parametros!$H$2:$H$6,MATCH(C1823,parametros!$B$2:$B$6,0)),""),"Sim","Nao"))))))</f>
        <v/>
      </c>
      <c r="T1823" s="156"/>
      <c r="U1823" s="214" t="str">
        <f t="shared" si="146"/>
        <v/>
      </c>
      <c r="V1823" s="212" t="s">
        <v>50</v>
      </c>
      <c r="W1823" s="100" t="s">
        <v>168</v>
      </c>
      <c r="X1823" s="100" t="s">
        <v>169</v>
      </c>
      <c r="Y1823" s="101" t="s">
        <v>170</v>
      </c>
      <c r="Z1823" s="101" t="s">
        <v>171</v>
      </c>
      <c r="AA1823" s="101" t="s">
        <v>50</v>
      </c>
      <c r="AB1823" s="101" t="s">
        <v>172</v>
      </c>
      <c r="AC1823" s="102" t="s">
        <v>173</v>
      </c>
    </row>
    <row r="1824" spans="1:29" ht="25.5" customHeight="1" x14ac:dyDescent="0.35">
      <c r="A1824" s="392"/>
      <c r="B1824" s="393"/>
      <c r="C1824" s="99" t="str">
        <f>IF(B1824="","",IF(NOT(ISNUMBER(B1824)),"DATA_PC invalida",IF(NOT(ISNUMBER(parametros!$C$2)),"Fora dos ciclos",IF(OR(B1824&lt;parametros!$C$2,(YEAR(B1824)-YEAR(parametros!$C$2))*12+MONTH(B1824)-MONTH(parametros!$C$2)&gt;59),"Fora dos ciclos","C"&amp;INT(((YEAR(B1824)-YEAR(parametros!$C$2))*12+MONTH(B1824)-MONTH(parametros!$C$2))/12)))))</f>
        <v/>
      </c>
      <c r="D1824" s="394"/>
      <c r="E1824" s="78" t="str">
        <f>IF(C1824="","",IFERROR(VLOOKUP(C1824,parametros!$A$11:$E$15,5,0),""))</f>
        <v/>
      </c>
      <c r="F1824" s="79" t="str">
        <f t="shared" si="142"/>
        <v/>
      </c>
      <c r="G1824" s="395"/>
      <c r="H1824" s="91">
        <f t="shared" si="143"/>
        <v>0</v>
      </c>
      <c r="I1824" s="91" t="str">
        <f t="shared" si="144"/>
        <v/>
      </c>
      <c r="J1824" s="91" t="str">
        <f t="shared" si="145"/>
        <v/>
      </c>
      <c r="K1824" s="92" t="str">
        <f>IF(AND(A1824="",B1824="",D1824="",G1824=""),"",IF(AND(A1824&lt;&gt;"",COUNTIF($A$2:$A$5001,A1824)&gt;1),"NUMERO_PC duplicado",IF(B1824="","DATA_PC vazia",IF(NOT(ISNUMBER(B1824)),"DATA_PC invalida",IF(OR(C1824="",C1824="Fora dos ciclos"),"CICLO_PC nao identificado",IF(OR(D1824="",D1824=0),"VALOR_PC vazio ou zero",IF(AND(G1824&lt;&gt;"Sim",G1824&lt;&gt;"Nao",G1824&lt;&gt;""),"PC_PAGO_A_CONTRATADA invalido",IF(AND(C1824&lt;&gt;"C0",IFERROR(INDEX(parametros!$A$2:$A$6,MATCH(C1824,parametros!$B$2:$B$6,0)),"")="Sim",IFERROR(INDEX(parametros!$H$2:$H$6,MATCH(C1824,parametros!$B$2:$B$6,0)),"")=""),"INICIO_EFEITO ausente: PC "&amp;A1824&amp;" - "&amp;C1824,IF(L1824="","EFEITO_PC nao calculado: PC "&amp;A1824&amp;" - "&amp;C1824,"OK")))))))))</f>
        <v/>
      </c>
      <c r="L1824" s="92" t="str">
        <f>IF(AND(A1824="",B1824="",D1824="",G1824=""),"",IF(OR(B1824="",NOT(ISNUMBER(B1824)),C1824="",C1824="Fora dos ciclos"),"",IF(C1824="C0","Nao",IF(IFERROR(INDEX(parametros!$A$2:$A$6,MATCH(C1824,parametros!$B$2:$B$6,0)),"")&lt;&gt;"Sim","Nao",IF(IFERROR(INDEX(parametros!$H$2:$H$6,MATCH(C1824,parametros!$B$2:$B$6,0)),"")="","",IF(B1824&gt;=IFERROR(INDEX(parametros!$H$2:$H$6,MATCH(C1824,parametros!$B$2:$B$6,0)),""),"Sim","Nao"))))))</f>
        <v/>
      </c>
      <c r="T1824" s="156"/>
      <c r="U1824" s="214" t="str">
        <f t="shared" si="146"/>
        <v/>
      </c>
      <c r="V1824" s="212" t="s">
        <v>50</v>
      </c>
      <c r="W1824" s="100" t="s">
        <v>168</v>
      </c>
      <c r="X1824" s="100" t="s">
        <v>169</v>
      </c>
      <c r="Y1824" s="101" t="s">
        <v>170</v>
      </c>
      <c r="Z1824" s="101" t="s">
        <v>171</v>
      </c>
      <c r="AA1824" s="101" t="s">
        <v>50</v>
      </c>
      <c r="AB1824" s="101" t="s">
        <v>172</v>
      </c>
      <c r="AC1824" s="102" t="s">
        <v>173</v>
      </c>
    </row>
    <row r="1825" spans="1:29" ht="25.5" customHeight="1" x14ac:dyDescent="0.35">
      <c r="A1825" s="392"/>
      <c r="B1825" s="393"/>
      <c r="C1825" s="99" t="str">
        <f>IF(B1825="","",IF(NOT(ISNUMBER(B1825)),"DATA_PC invalida",IF(NOT(ISNUMBER(parametros!$C$2)),"Fora dos ciclos",IF(OR(B1825&lt;parametros!$C$2,(YEAR(B1825)-YEAR(parametros!$C$2))*12+MONTH(B1825)-MONTH(parametros!$C$2)&gt;59),"Fora dos ciclos","C"&amp;INT(((YEAR(B1825)-YEAR(parametros!$C$2))*12+MONTH(B1825)-MONTH(parametros!$C$2))/12)))))</f>
        <v/>
      </c>
      <c r="D1825" s="394"/>
      <c r="E1825" s="78" t="str">
        <f>IF(C1825="","",IFERROR(VLOOKUP(C1825,parametros!$A$11:$E$15,5,0),""))</f>
        <v/>
      </c>
      <c r="F1825" s="79" t="str">
        <f t="shared" si="142"/>
        <v/>
      </c>
      <c r="G1825" s="395"/>
      <c r="H1825" s="91">
        <f t="shared" si="143"/>
        <v>0</v>
      </c>
      <c r="I1825" s="91" t="str">
        <f t="shared" si="144"/>
        <v/>
      </c>
      <c r="J1825" s="91" t="str">
        <f t="shared" si="145"/>
        <v/>
      </c>
      <c r="K1825" s="92" t="str">
        <f>IF(AND(A1825="",B1825="",D1825="",G1825=""),"",IF(AND(A1825&lt;&gt;"",COUNTIF($A$2:$A$5001,A1825)&gt;1),"NUMERO_PC duplicado",IF(B1825="","DATA_PC vazia",IF(NOT(ISNUMBER(B1825)),"DATA_PC invalida",IF(OR(C1825="",C1825="Fora dos ciclos"),"CICLO_PC nao identificado",IF(OR(D1825="",D1825=0),"VALOR_PC vazio ou zero",IF(AND(G1825&lt;&gt;"Sim",G1825&lt;&gt;"Nao",G1825&lt;&gt;""),"PC_PAGO_A_CONTRATADA invalido",IF(AND(C1825&lt;&gt;"C0",IFERROR(INDEX(parametros!$A$2:$A$6,MATCH(C1825,parametros!$B$2:$B$6,0)),"")="Sim",IFERROR(INDEX(parametros!$H$2:$H$6,MATCH(C1825,parametros!$B$2:$B$6,0)),"")=""),"INICIO_EFEITO ausente: PC "&amp;A1825&amp;" - "&amp;C1825,IF(L1825="","EFEITO_PC nao calculado: PC "&amp;A1825&amp;" - "&amp;C1825,"OK")))))))))</f>
        <v/>
      </c>
      <c r="L1825" s="92" t="str">
        <f>IF(AND(A1825="",B1825="",D1825="",G1825=""),"",IF(OR(B1825="",NOT(ISNUMBER(B1825)),C1825="",C1825="Fora dos ciclos"),"",IF(C1825="C0","Nao",IF(IFERROR(INDEX(parametros!$A$2:$A$6,MATCH(C1825,parametros!$B$2:$B$6,0)),"")&lt;&gt;"Sim","Nao",IF(IFERROR(INDEX(parametros!$H$2:$H$6,MATCH(C1825,parametros!$B$2:$B$6,0)),"")="","",IF(B1825&gt;=IFERROR(INDEX(parametros!$H$2:$H$6,MATCH(C1825,parametros!$B$2:$B$6,0)),""),"Sim","Nao"))))))</f>
        <v/>
      </c>
      <c r="T1825" s="156"/>
      <c r="U1825" s="214" t="str">
        <f t="shared" si="146"/>
        <v/>
      </c>
      <c r="V1825" s="212" t="s">
        <v>50</v>
      </c>
      <c r="W1825" s="100" t="s">
        <v>168</v>
      </c>
      <c r="X1825" s="100" t="s">
        <v>169</v>
      </c>
      <c r="Y1825" s="101" t="s">
        <v>170</v>
      </c>
      <c r="Z1825" s="101" t="s">
        <v>171</v>
      </c>
      <c r="AA1825" s="101" t="s">
        <v>50</v>
      </c>
      <c r="AB1825" s="101" t="s">
        <v>172</v>
      </c>
      <c r="AC1825" s="102" t="s">
        <v>173</v>
      </c>
    </row>
    <row r="1826" spans="1:29" ht="25.5" customHeight="1" x14ac:dyDescent="0.35">
      <c r="A1826" s="392"/>
      <c r="B1826" s="393"/>
      <c r="C1826" s="99" t="str">
        <f>IF(B1826="","",IF(NOT(ISNUMBER(B1826)),"DATA_PC invalida",IF(NOT(ISNUMBER(parametros!$C$2)),"Fora dos ciclos",IF(OR(B1826&lt;parametros!$C$2,(YEAR(B1826)-YEAR(parametros!$C$2))*12+MONTH(B1826)-MONTH(parametros!$C$2)&gt;59),"Fora dos ciclos","C"&amp;INT(((YEAR(B1826)-YEAR(parametros!$C$2))*12+MONTH(B1826)-MONTH(parametros!$C$2))/12)))))</f>
        <v/>
      </c>
      <c r="D1826" s="394"/>
      <c r="E1826" s="78" t="str">
        <f>IF(C1826="","",IFERROR(VLOOKUP(C1826,parametros!$A$11:$E$15,5,0),""))</f>
        <v/>
      </c>
      <c r="F1826" s="79" t="str">
        <f t="shared" si="142"/>
        <v/>
      </c>
      <c r="G1826" s="395"/>
      <c r="H1826" s="91">
        <f t="shared" si="143"/>
        <v>0</v>
      </c>
      <c r="I1826" s="91" t="str">
        <f t="shared" si="144"/>
        <v/>
      </c>
      <c r="J1826" s="91" t="str">
        <f t="shared" si="145"/>
        <v/>
      </c>
      <c r="K1826" s="92" t="str">
        <f>IF(AND(A1826="",B1826="",D1826="",G1826=""),"",IF(AND(A1826&lt;&gt;"",COUNTIF($A$2:$A$5001,A1826)&gt;1),"NUMERO_PC duplicado",IF(B1826="","DATA_PC vazia",IF(NOT(ISNUMBER(B1826)),"DATA_PC invalida",IF(OR(C1826="",C1826="Fora dos ciclos"),"CICLO_PC nao identificado",IF(OR(D1826="",D1826=0),"VALOR_PC vazio ou zero",IF(AND(G1826&lt;&gt;"Sim",G1826&lt;&gt;"Nao",G1826&lt;&gt;""),"PC_PAGO_A_CONTRATADA invalido",IF(AND(C1826&lt;&gt;"C0",IFERROR(INDEX(parametros!$A$2:$A$6,MATCH(C1826,parametros!$B$2:$B$6,0)),"")="Sim",IFERROR(INDEX(parametros!$H$2:$H$6,MATCH(C1826,parametros!$B$2:$B$6,0)),"")=""),"INICIO_EFEITO ausente: PC "&amp;A1826&amp;" - "&amp;C1826,IF(L1826="","EFEITO_PC nao calculado: PC "&amp;A1826&amp;" - "&amp;C1826,"OK")))))))))</f>
        <v/>
      </c>
      <c r="L1826" s="92" t="str">
        <f>IF(AND(A1826="",B1826="",D1826="",G1826=""),"",IF(OR(B1826="",NOT(ISNUMBER(B1826)),C1826="",C1826="Fora dos ciclos"),"",IF(C1826="C0","Nao",IF(IFERROR(INDEX(parametros!$A$2:$A$6,MATCH(C1826,parametros!$B$2:$B$6,0)),"")&lt;&gt;"Sim","Nao",IF(IFERROR(INDEX(parametros!$H$2:$H$6,MATCH(C1826,parametros!$B$2:$B$6,0)),"")="","",IF(B1826&gt;=IFERROR(INDEX(parametros!$H$2:$H$6,MATCH(C1826,parametros!$B$2:$B$6,0)),""),"Sim","Nao"))))))</f>
        <v/>
      </c>
      <c r="T1826" s="156"/>
      <c r="U1826" s="214" t="str">
        <f t="shared" si="146"/>
        <v/>
      </c>
      <c r="V1826" s="212" t="s">
        <v>50</v>
      </c>
      <c r="W1826" s="100" t="s">
        <v>168</v>
      </c>
      <c r="X1826" s="100" t="s">
        <v>169</v>
      </c>
      <c r="Y1826" s="101" t="s">
        <v>170</v>
      </c>
      <c r="Z1826" s="101" t="s">
        <v>171</v>
      </c>
      <c r="AA1826" s="101" t="s">
        <v>50</v>
      </c>
      <c r="AB1826" s="101" t="s">
        <v>172</v>
      </c>
      <c r="AC1826" s="102" t="s">
        <v>173</v>
      </c>
    </row>
    <row r="1827" spans="1:29" ht="25.5" customHeight="1" x14ac:dyDescent="0.35">
      <c r="A1827" s="392"/>
      <c r="B1827" s="393"/>
      <c r="C1827" s="99" t="str">
        <f>IF(B1827="","",IF(NOT(ISNUMBER(B1827)),"DATA_PC invalida",IF(NOT(ISNUMBER(parametros!$C$2)),"Fora dos ciclos",IF(OR(B1827&lt;parametros!$C$2,(YEAR(B1827)-YEAR(parametros!$C$2))*12+MONTH(B1827)-MONTH(parametros!$C$2)&gt;59),"Fora dos ciclos","C"&amp;INT(((YEAR(B1827)-YEAR(parametros!$C$2))*12+MONTH(B1827)-MONTH(parametros!$C$2))/12)))))</f>
        <v/>
      </c>
      <c r="D1827" s="394"/>
      <c r="E1827" s="78" t="str">
        <f>IF(C1827="","",IFERROR(VLOOKUP(C1827,parametros!$A$11:$E$15,5,0),""))</f>
        <v/>
      </c>
      <c r="F1827" s="79" t="str">
        <f t="shared" si="142"/>
        <v/>
      </c>
      <c r="G1827" s="395"/>
      <c r="H1827" s="91">
        <f t="shared" si="143"/>
        <v>0</v>
      </c>
      <c r="I1827" s="91" t="str">
        <f t="shared" si="144"/>
        <v/>
      </c>
      <c r="J1827" s="91" t="str">
        <f t="shared" si="145"/>
        <v/>
      </c>
      <c r="K1827" s="92" t="str">
        <f>IF(AND(A1827="",B1827="",D1827="",G1827=""),"",IF(AND(A1827&lt;&gt;"",COUNTIF($A$2:$A$5001,A1827)&gt;1),"NUMERO_PC duplicado",IF(B1827="","DATA_PC vazia",IF(NOT(ISNUMBER(B1827)),"DATA_PC invalida",IF(OR(C1827="",C1827="Fora dos ciclos"),"CICLO_PC nao identificado",IF(OR(D1827="",D1827=0),"VALOR_PC vazio ou zero",IF(AND(G1827&lt;&gt;"Sim",G1827&lt;&gt;"Nao",G1827&lt;&gt;""),"PC_PAGO_A_CONTRATADA invalido",IF(AND(C1827&lt;&gt;"C0",IFERROR(INDEX(parametros!$A$2:$A$6,MATCH(C1827,parametros!$B$2:$B$6,0)),"")="Sim",IFERROR(INDEX(parametros!$H$2:$H$6,MATCH(C1827,parametros!$B$2:$B$6,0)),"")=""),"INICIO_EFEITO ausente: PC "&amp;A1827&amp;" - "&amp;C1827,IF(L1827="","EFEITO_PC nao calculado: PC "&amp;A1827&amp;" - "&amp;C1827,"OK")))))))))</f>
        <v/>
      </c>
      <c r="L1827" s="92" t="str">
        <f>IF(AND(A1827="",B1827="",D1827="",G1827=""),"",IF(OR(B1827="",NOT(ISNUMBER(B1827)),C1827="",C1827="Fora dos ciclos"),"",IF(C1827="C0","Nao",IF(IFERROR(INDEX(parametros!$A$2:$A$6,MATCH(C1827,parametros!$B$2:$B$6,0)),"")&lt;&gt;"Sim","Nao",IF(IFERROR(INDEX(parametros!$H$2:$H$6,MATCH(C1827,parametros!$B$2:$B$6,0)),"")="","",IF(B1827&gt;=IFERROR(INDEX(parametros!$H$2:$H$6,MATCH(C1827,parametros!$B$2:$B$6,0)),""),"Sim","Nao"))))))</f>
        <v/>
      </c>
      <c r="T1827" s="156"/>
      <c r="U1827" s="214" t="str">
        <f t="shared" si="146"/>
        <v/>
      </c>
      <c r="V1827" s="212" t="s">
        <v>50</v>
      </c>
      <c r="W1827" s="100" t="s">
        <v>168</v>
      </c>
      <c r="X1827" s="100" t="s">
        <v>169</v>
      </c>
      <c r="Y1827" s="101" t="s">
        <v>170</v>
      </c>
      <c r="Z1827" s="101" t="s">
        <v>171</v>
      </c>
      <c r="AA1827" s="101" t="s">
        <v>50</v>
      </c>
      <c r="AB1827" s="101" t="s">
        <v>172</v>
      </c>
      <c r="AC1827" s="102" t="s">
        <v>173</v>
      </c>
    </row>
    <row r="1828" spans="1:29" ht="25.5" customHeight="1" x14ac:dyDescent="0.35">
      <c r="A1828" s="392"/>
      <c r="B1828" s="393"/>
      <c r="C1828" s="99" t="str">
        <f>IF(B1828="","",IF(NOT(ISNUMBER(B1828)),"DATA_PC invalida",IF(NOT(ISNUMBER(parametros!$C$2)),"Fora dos ciclos",IF(OR(B1828&lt;parametros!$C$2,(YEAR(B1828)-YEAR(parametros!$C$2))*12+MONTH(B1828)-MONTH(parametros!$C$2)&gt;59),"Fora dos ciclos","C"&amp;INT(((YEAR(B1828)-YEAR(parametros!$C$2))*12+MONTH(B1828)-MONTH(parametros!$C$2))/12)))))</f>
        <v/>
      </c>
      <c r="D1828" s="394"/>
      <c r="E1828" s="78" t="str">
        <f>IF(C1828="","",IFERROR(VLOOKUP(C1828,parametros!$A$11:$E$15,5,0),""))</f>
        <v/>
      </c>
      <c r="F1828" s="79" t="str">
        <f t="shared" si="142"/>
        <v/>
      </c>
      <c r="G1828" s="395"/>
      <c r="H1828" s="91">
        <f t="shared" si="143"/>
        <v>0</v>
      </c>
      <c r="I1828" s="91" t="str">
        <f t="shared" si="144"/>
        <v/>
      </c>
      <c r="J1828" s="91" t="str">
        <f t="shared" si="145"/>
        <v/>
      </c>
      <c r="K1828" s="92" t="str">
        <f>IF(AND(A1828="",B1828="",D1828="",G1828=""),"",IF(AND(A1828&lt;&gt;"",COUNTIF($A$2:$A$5001,A1828)&gt;1),"NUMERO_PC duplicado",IF(B1828="","DATA_PC vazia",IF(NOT(ISNUMBER(B1828)),"DATA_PC invalida",IF(OR(C1828="",C1828="Fora dos ciclos"),"CICLO_PC nao identificado",IF(OR(D1828="",D1828=0),"VALOR_PC vazio ou zero",IF(AND(G1828&lt;&gt;"Sim",G1828&lt;&gt;"Nao",G1828&lt;&gt;""),"PC_PAGO_A_CONTRATADA invalido",IF(AND(C1828&lt;&gt;"C0",IFERROR(INDEX(parametros!$A$2:$A$6,MATCH(C1828,parametros!$B$2:$B$6,0)),"")="Sim",IFERROR(INDEX(parametros!$H$2:$H$6,MATCH(C1828,parametros!$B$2:$B$6,0)),"")=""),"INICIO_EFEITO ausente: PC "&amp;A1828&amp;" - "&amp;C1828,IF(L1828="","EFEITO_PC nao calculado: PC "&amp;A1828&amp;" - "&amp;C1828,"OK")))))))))</f>
        <v/>
      </c>
      <c r="L1828" s="92" t="str">
        <f>IF(AND(A1828="",B1828="",D1828="",G1828=""),"",IF(OR(B1828="",NOT(ISNUMBER(B1828)),C1828="",C1828="Fora dos ciclos"),"",IF(C1828="C0","Nao",IF(IFERROR(INDEX(parametros!$A$2:$A$6,MATCH(C1828,parametros!$B$2:$B$6,0)),"")&lt;&gt;"Sim","Nao",IF(IFERROR(INDEX(parametros!$H$2:$H$6,MATCH(C1828,parametros!$B$2:$B$6,0)),"")="","",IF(B1828&gt;=IFERROR(INDEX(parametros!$H$2:$H$6,MATCH(C1828,parametros!$B$2:$B$6,0)),""),"Sim","Nao"))))))</f>
        <v/>
      </c>
      <c r="T1828" s="156"/>
      <c r="U1828" s="214" t="str">
        <f t="shared" si="146"/>
        <v/>
      </c>
      <c r="V1828" s="212" t="s">
        <v>50</v>
      </c>
      <c r="W1828" s="100" t="s">
        <v>168</v>
      </c>
      <c r="X1828" s="100" t="s">
        <v>169</v>
      </c>
      <c r="Y1828" s="101" t="s">
        <v>170</v>
      </c>
      <c r="Z1828" s="101" t="s">
        <v>171</v>
      </c>
      <c r="AA1828" s="101" t="s">
        <v>50</v>
      </c>
      <c r="AB1828" s="101" t="s">
        <v>172</v>
      </c>
      <c r="AC1828" s="102" t="s">
        <v>173</v>
      </c>
    </row>
    <row r="1829" spans="1:29" ht="25.5" customHeight="1" x14ac:dyDescent="0.35">
      <c r="A1829" s="392"/>
      <c r="B1829" s="393"/>
      <c r="C1829" s="99" t="str">
        <f>IF(B1829="","",IF(NOT(ISNUMBER(B1829)),"DATA_PC invalida",IF(NOT(ISNUMBER(parametros!$C$2)),"Fora dos ciclos",IF(OR(B1829&lt;parametros!$C$2,(YEAR(B1829)-YEAR(parametros!$C$2))*12+MONTH(B1829)-MONTH(parametros!$C$2)&gt;59),"Fora dos ciclos","C"&amp;INT(((YEAR(B1829)-YEAR(parametros!$C$2))*12+MONTH(B1829)-MONTH(parametros!$C$2))/12)))))</f>
        <v/>
      </c>
      <c r="D1829" s="394"/>
      <c r="E1829" s="78" t="str">
        <f>IF(C1829="","",IFERROR(VLOOKUP(C1829,parametros!$A$11:$E$15,5,0),""))</f>
        <v/>
      </c>
      <c r="F1829" s="79" t="str">
        <f t="shared" si="142"/>
        <v/>
      </c>
      <c r="G1829" s="395"/>
      <c r="H1829" s="91">
        <f t="shared" si="143"/>
        <v>0</v>
      </c>
      <c r="I1829" s="91" t="str">
        <f t="shared" si="144"/>
        <v/>
      </c>
      <c r="J1829" s="91" t="str">
        <f t="shared" si="145"/>
        <v/>
      </c>
      <c r="K1829" s="92" t="str">
        <f>IF(AND(A1829="",B1829="",D1829="",G1829=""),"",IF(AND(A1829&lt;&gt;"",COUNTIF($A$2:$A$5001,A1829)&gt;1),"NUMERO_PC duplicado",IF(B1829="","DATA_PC vazia",IF(NOT(ISNUMBER(B1829)),"DATA_PC invalida",IF(OR(C1829="",C1829="Fora dos ciclos"),"CICLO_PC nao identificado",IF(OR(D1829="",D1829=0),"VALOR_PC vazio ou zero",IF(AND(G1829&lt;&gt;"Sim",G1829&lt;&gt;"Nao",G1829&lt;&gt;""),"PC_PAGO_A_CONTRATADA invalido",IF(AND(C1829&lt;&gt;"C0",IFERROR(INDEX(parametros!$A$2:$A$6,MATCH(C1829,parametros!$B$2:$B$6,0)),"")="Sim",IFERROR(INDEX(parametros!$H$2:$H$6,MATCH(C1829,parametros!$B$2:$B$6,0)),"")=""),"INICIO_EFEITO ausente: PC "&amp;A1829&amp;" - "&amp;C1829,IF(L1829="","EFEITO_PC nao calculado: PC "&amp;A1829&amp;" - "&amp;C1829,"OK")))))))))</f>
        <v/>
      </c>
      <c r="L1829" s="92" t="str">
        <f>IF(AND(A1829="",B1829="",D1829="",G1829=""),"",IF(OR(B1829="",NOT(ISNUMBER(B1829)),C1829="",C1829="Fora dos ciclos"),"",IF(C1829="C0","Nao",IF(IFERROR(INDEX(parametros!$A$2:$A$6,MATCH(C1829,parametros!$B$2:$B$6,0)),"")&lt;&gt;"Sim","Nao",IF(IFERROR(INDEX(parametros!$H$2:$H$6,MATCH(C1829,parametros!$B$2:$B$6,0)),"")="","",IF(B1829&gt;=IFERROR(INDEX(parametros!$H$2:$H$6,MATCH(C1829,parametros!$B$2:$B$6,0)),""),"Sim","Nao"))))))</f>
        <v/>
      </c>
      <c r="T1829" s="156"/>
      <c r="U1829" s="214" t="str">
        <f t="shared" si="146"/>
        <v/>
      </c>
      <c r="V1829" s="212" t="s">
        <v>50</v>
      </c>
      <c r="W1829" s="100" t="s">
        <v>168</v>
      </c>
      <c r="X1829" s="100" t="s">
        <v>169</v>
      </c>
      <c r="Y1829" s="101" t="s">
        <v>170</v>
      </c>
      <c r="Z1829" s="101" t="s">
        <v>171</v>
      </c>
      <c r="AA1829" s="101" t="s">
        <v>50</v>
      </c>
      <c r="AB1829" s="101" t="s">
        <v>172</v>
      </c>
      <c r="AC1829" s="102" t="s">
        <v>173</v>
      </c>
    </row>
    <row r="1830" spans="1:29" ht="25.5" customHeight="1" x14ac:dyDescent="0.35">
      <c r="A1830" s="392"/>
      <c r="B1830" s="393"/>
      <c r="C1830" s="99" t="str">
        <f>IF(B1830="","",IF(NOT(ISNUMBER(B1830)),"DATA_PC invalida",IF(NOT(ISNUMBER(parametros!$C$2)),"Fora dos ciclos",IF(OR(B1830&lt;parametros!$C$2,(YEAR(B1830)-YEAR(parametros!$C$2))*12+MONTH(B1830)-MONTH(parametros!$C$2)&gt;59),"Fora dos ciclos","C"&amp;INT(((YEAR(B1830)-YEAR(parametros!$C$2))*12+MONTH(B1830)-MONTH(parametros!$C$2))/12)))))</f>
        <v/>
      </c>
      <c r="D1830" s="394"/>
      <c r="E1830" s="78" t="str">
        <f>IF(C1830="","",IFERROR(VLOOKUP(C1830,parametros!$A$11:$E$15,5,0),""))</f>
        <v/>
      </c>
      <c r="F1830" s="79" t="str">
        <f t="shared" si="142"/>
        <v/>
      </c>
      <c r="G1830" s="395"/>
      <c r="H1830" s="91">
        <f t="shared" si="143"/>
        <v>0</v>
      </c>
      <c r="I1830" s="91" t="str">
        <f t="shared" si="144"/>
        <v/>
      </c>
      <c r="J1830" s="91" t="str">
        <f t="shared" si="145"/>
        <v/>
      </c>
      <c r="K1830" s="92" t="str">
        <f>IF(AND(A1830="",B1830="",D1830="",G1830=""),"",IF(AND(A1830&lt;&gt;"",COUNTIF($A$2:$A$5001,A1830)&gt;1),"NUMERO_PC duplicado",IF(B1830="","DATA_PC vazia",IF(NOT(ISNUMBER(B1830)),"DATA_PC invalida",IF(OR(C1830="",C1830="Fora dos ciclos"),"CICLO_PC nao identificado",IF(OR(D1830="",D1830=0),"VALOR_PC vazio ou zero",IF(AND(G1830&lt;&gt;"Sim",G1830&lt;&gt;"Nao",G1830&lt;&gt;""),"PC_PAGO_A_CONTRATADA invalido",IF(AND(C1830&lt;&gt;"C0",IFERROR(INDEX(parametros!$A$2:$A$6,MATCH(C1830,parametros!$B$2:$B$6,0)),"")="Sim",IFERROR(INDEX(parametros!$H$2:$H$6,MATCH(C1830,parametros!$B$2:$B$6,0)),"")=""),"INICIO_EFEITO ausente: PC "&amp;A1830&amp;" - "&amp;C1830,IF(L1830="","EFEITO_PC nao calculado: PC "&amp;A1830&amp;" - "&amp;C1830,"OK")))))))))</f>
        <v/>
      </c>
      <c r="L1830" s="92" t="str">
        <f>IF(AND(A1830="",B1830="",D1830="",G1830=""),"",IF(OR(B1830="",NOT(ISNUMBER(B1830)),C1830="",C1830="Fora dos ciclos"),"",IF(C1830="C0","Nao",IF(IFERROR(INDEX(parametros!$A$2:$A$6,MATCH(C1830,parametros!$B$2:$B$6,0)),"")&lt;&gt;"Sim","Nao",IF(IFERROR(INDEX(parametros!$H$2:$H$6,MATCH(C1830,parametros!$B$2:$B$6,0)),"")="","",IF(B1830&gt;=IFERROR(INDEX(parametros!$H$2:$H$6,MATCH(C1830,parametros!$B$2:$B$6,0)),""),"Sim","Nao"))))))</f>
        <v/>
      </c>
      <c r="T1830" s="156"/>
      <c r="U1830" s="214" t="str">
        <f t="shared" si="146"/>
        <v/>
      </c>
      <c r="V1830" s="212" t="s">
        <v>50</v>
      </c>
      <c r="W1830" s="100" t="s">
        <v>168</v>
      </c>
      <c r="X1830" s="100" t="s">
        <v>169</v>
      </c>
      <c r="Y1830" s="101" t="s">
        <v>170</v>
      </c>
      <c r="Z1830" s="101" t="s">
        <v>171</v>
      </c>
      <c r="AA1830" s="101" t="s">
        <v>50</v>
      </c>
      <c r="AB1830" s="101" t="s">
        <v>172</v>
      </c>
      <c r="AC1830" s="102" t="s">
        <v>173</v>
      </c>
    </row>
    <row r="1831" spans="1:29" ht="25.5" customHeight="1" x14ac:dyDescent="0.35">
      <c r="A1831" s="392"/>
      <c r="B1831" s="393"/>
      <c r="C1831" s="99" t="str">
        <f>IF(B1831="","",IF(NOT(ISNUMBER(B1831)),"DATA_PC invalida",IF(NOT(ISNUMBER(parametros!$C$2)),"Fora dos ciclos",IF(OR(B1831&lt;parametros!$C$2,(YEAR(B1831)-YEAR(parametros!$C$2))*12+MONTH(B1831)-MONTH(parametros!$C$2)&gt;59),"Fora dos ciclos","C"&amp;INT(((YEAR(B1831)-YEAR(parametros!$C$2))*12+MONTH(B1831)-MONTH(parametros!$C$2))/12)))))</f>
        <v/>
      </c>
      <c r="D1831" s="394"/>
      <c r="E1831" s="78" t="str">
        <f>IF(C1831="","",IFERROR(VLOOKUP(C1831,parametros!$A$11:$E$15,5,0),""))</f>
        <v/>
      </c>
      <c r="F1831" s="79" t="str">
        <f t="shared" si="142"/>
        <v/>
      </c>
      <c r="G1831" s="395"/>
      <c r="H1831" s="91">
        <f t="shared" si="143"/>
        <v>0</v>
      </c>
      <c r="I1831" s="91" t="str">
        <f t="shared" si="144"/>
        <v/>
      </c>
      <c r="J1831" s="91" t="str">
        <f t="shared" si="145"/>
        <v/>
      </c>
      <c r="K1831" s="92" t="str">
        <f>IF(AND(A1831="",B1831="",D1831="",G1831=""),"",IF(AND(A1831&lt;&gt;"",COUNTIF($A$2:$A$5001,A1831)&gt;1),"NUMERO_PC duplicado",IF(B1831="","DATA_PC vazia",IF(NOT(ISNUMBER(B1831)),"DATA_PC invalida",IF(OR(C1831="",C1831="Fora dos ciclos"),"CICLO_PC nao identificado",IF(OR(D1831="",D1831=0),"VALOR_PC vazio ou zero",IF(AND(G1831&lt;&gt;"Sim",G1831&lt;&gt;"Nao",G1831&lt;&gt;""),"PC_PAGO_A_CONTRATADA invalido",IF(AND(C1831&lt;&gt;"C0",IFERROR(INDEX(parametros!$A$2:$A$6,MATCH(C1831,parametros!$B$2:$B$6,0)),"")="Sim",IFERROR(INDEX(parametros!$H$2:$H$6,MATCH(C1831,parametros!$B$2:$B$6,0)),"")=""),"INICIO_EFEITO ausente: PC "&amp;A1831&amp;" - "&amp;C1831,IF(L1831="","EFEITO_PC nao calculado: PC "&amp;A1831&amp;" - "&amp;C1831,"OK")))))))))</f>
        <v/>
      </c>
      <c r="L1831" s="92" t="str">
        <f>IF(AND(A1831="",B1831="",D1831="",G1831=""),"",IF(OR(B1831="",NOT(ISNUMBER(B1831)),C1831="",C1831="Fora dos ciclos"),"",IF(C1831="C0","Nao",IF(IFERROR(INDEX(parametros!$A$2:$A$6,MATCH(C1831,parametros!$B$2:$B$6,0)),"")&lt;&gt;"Sim","Nao",IF(IFERROR(INDEX(parametros!$H$2:$H$6,MATCH(C1831,parametros!$B$2:$B$6,0)),"")="","",IF(B1831&gt;=IFERROR(INDEX(parametros!$H$2:$H$6,MATCH(C1831,parametros!$B$2:$B$6,0)),""),"Sim","Nao"))))))</f>
        <v/>
      </c>
      <c r="T1831" s="156"/>
      <c r="U1831" s="214" t="str">
        <f t="shared" si="146"/>
        <v/>
      </c>
      <c r="V1831" s="212" t="s">
        <v>50</v>
      </c>
      <c r="W1831" s="100" t="s">
        <v>168</v>
      </c>
      <c r="X1831" s="100" t="s">
        <v>169</v>
      </c>
      <c r="Y1831" s="101" t="s">
        <v>170</v>
      </c>
      <c r="Z1831" s="101" t="s">
        <v>171</v>
      </c>
      <c r="AA1831" s="101" t="s">
        <v>50</v>
      </c>
      <c r="AB1831" s="101" t="s">
        <v>172</v>
      </c>
      <c r="AC1831" s="102" t="s">
        <v>173</v>
      </c>
    </row>
    <row r="1832" spans="1:29" ht="25.5" customHeight="1" x14ac:dyDescent="0.35">
      <c r="A1832" s="392"/>
      <c r="B1832" s="393"/>
      <c r="C1832" s="99" t="str">
        <f>IF(B1832="","",IF(NOT(ISNUMBER(B1832)),"DATA_PC invalida",IF(NOT(ISNUMBER(parametros!$C$2)),"Fora dos ciclos",IF(OR(B1832&lt;parametros!$C$2,(YEAR(B1832)-YEAR(parametros!$C$2))*12+MONTH(B1832)-MONTH(parametros!$C$2)&gt;59),"Fora dos ciclos","C"&amp;INT(((YEAR(B1832)-YEAR(parametros!$C$2))*12+MONTH(B1832)-MONTH(parametros!$C$2))/12)))))</f>
        <v/>
      </c>
      <c r="D1832" s="394"/>
      <c r="E1832" s="78" t="str">
        <f>IF(C1832="","",IFERROR(VLOOKUP(C1832,parametros!$A$11:$E$15,5,0),""))</f>
        <v/>
      </c>
      <c r="F1832" s="79" t="str">
        <f t="shared" si="142"/>
        <v/>
      </c>
      <c r="G1832" s="395"/>
      <c r="H1832" s="91">
        <f t="shared" si="143"/>
        <v>0</v>
      </c>
      <c r="I1832" s="91" t="str">
        <f t="shared" si="144"/>
        <v/>
      </c>
      <c r="J1832" s="91" t="str">
        <f t="shared" si="145"/>
        <v/>
      </c>
      <c r="K1832" s="92" t="str">
        <f>IF(AND(A1832="",B1832="",D1832="",G1832=""),"",IF(AND(A1832&lt;&gt;"",COUNTIF($A$2:$A$5001,A1832)&gt;1),"NUMERO_PC duplicado",IF(B1832="","DATA_PC vazia",IF(NOT(ISNUMBER(B1832)),"DATA_PC invalida",IF(OR(C1832="",C1832="Fora dos ciclos"),"CICLO_PC nao identificado",IF(OR(D1832="",D1832=0),"VALOR_PC vazio ou zero",IF(AND(G1832&lt;&gt;"Sim",G1832&lt;&gt;"Nao",G1832&lt;&gt;""),"PC_PAGO_A_CONTRATADA invalido",IF(AND(C1832&lt;&gt;"C0",IFERROR(INDEX(parametros!$A$2:$A$6,MATCH(C1832,parametros!$B$2:$B$6,0)),"")="Sim",IFERROR(INDEX(parametros!$H$2:$H$6,MATCH(C1832,parametros!$B$2:$B$6,0)),"")=""),"INICIO_EFEITO ausente: PC "&amp;A1832&amp;" - "&amp;C1832,IF(L1832="","EFEITO_PC nao calculado: PC "&amp;A1832&amp;" - "&amp;C1832,"OK")))))))))</f>
        <v/>
      </c>
      <c r="L1832" s="92" t="str">
        <f>IF(AND(A1832="",B1832="",D1832="",G1832=""),"",IF(OR(B1832="",NOT(ISNUMBER(B1832)),C1832="",C1832="Fora dos ciclos"),"",IF(C1832="C0","Nao",IF(IFERROR(INDEX(parametros!$A$2:$A$6,MATCH(C1832,parametros!$B$2:$B$6,0)),"")&lt;&gt;"Sim","Nao",IF(IFERROR(INDEX(parametros!$H$2:$H$6,MATCH(C1832,parametros!$B$2:$B$6,0)),"")="","",IF(B1832&gt;=IFERROR(INDEX(parametros!$H$2:$H$6,MATCH(C1832,parametros!$B$2:$B$6,0)),""),"Sim","Nao"))))))</f>
        <v/>
      </c>
      <c r="T1832" s="156"/>
      <c r="U1832" s="214" t="str">
        <f t="shared" si="146"/>
        <v/>
      </c>
      <c r="V1832" s="212" t="s">
        <v>50</v>
      </c>
      <c r="W1832" s="100" t="s">
        <v>168</v>
      </c>
      <c r="X1832" s="100" t="s">
        <v>169</v>
      </c>
      <c r="Y1832" s="101" t="s">
        <v>170</v>
      </c>
      <c r="Z1832" s="101" t="s">
        <v>171</v>
      </c>
      <c r="AA1832" s="101" t="s">
        <v>50</v>
      </c>
      <c r="AB1832" s="101" t="s">
        <v>172</v>
      </c>
      <c r="AC1832" s="102" t="s">
        <v>173</v>
      </c>
    </row>
    <row r="1833" spans="1:29" ht="25.5" customHeight="1" x14ac:dyDescent="0.35">
      <c r="A1833" s="392"/>
      <c r="B1833" s="393"/>
      <c r="C1833" s="99" t="str">
        <f>IF(B1833="","",IF(NOT(ISNUMBER(B1833)),"DATA_PC invalida",IF(NOT(ISNUMBER(parametros!$C$2)),"Fora dos ciclos",IF(OR(B1833&lt;parametros!$C$2,(YEAR(B1833)-YEAR(parametros!$C$2))*12+MONTH(B1833)-MONTH(parametros!$C$2)&gt;59),"Fora dos ciclos","C"&amp;INT(((YEAR(B1833)-YEAR(parametros!$C$2))*12+MONTH(B1833)-MONTH(parametros!$C$2))/12)))))</f>
        <v/>
      </c>
      <c r="D1833" s="394"/>
      <c r="E1833" s="78" t="str">
        <f>IF(C1833="","",IFERROR(VLOOKUP(C1833,parametros!$A$11:$E$15,5,0),""))</f>
        <v/>
      </c>
      <c r="F1833" s="79" t="str">
        <f t="shared" si="142"/>
        <v/>
      </c>
      <c r="G1833" s="395"/>
      <c r="H1833" s="91">
        <f t="shared" si="143"/>
        <v>0</v>
      </c>
      <c r="I1833" s="91" t="str">
        <f t="shared" si="144"/>
        <v/>
      </c>
      <c r="J1833" s="91" t="str">
        <f t="shared" si="145"/>
        <v/>
      </c>
      <c r="K1833" s="92" t="str">
        <f>IF(AND(A1833="",B1833="",D1833="",G1833=""),"",IF(AND(A1833&lt;&gt;"",COUNTIF($A$2:$A$5001,A1833)&gt;1),"NUMERO_PC duplicado",IF(B1833="","DATA_PC vazia",IF(NOT(ISNUMBER(B1833)),"DATA_PC invalida",IF(OR(C1833="",C1833="Fora dos ciclos"),"CICLO_PC nao identificado",IF(OR(D1833="",D1833=0),"VALOR_PC vazio ou zero",IF(AND(G1833&lt;&gt;"Sim",G1833&lt;&gt;"Nao",G1833&lt;&gt;""),"PC_PAGO_A_CONTRATADA invalido",IF(AND(C1833&lt;&gt;"C0",IFERROR(INDEX(parametros!$A$2:$A$6,MATCH(C1833,parametros!$B$2:$B$6,0)),"")="Sim",IFERROR(INDEX(parametros!$H$2:$H$6,MATCH(C1833,parametros!$B$2:$B$6,0)),"")=""),"INICIO_EFEITO ausente: PC "&amp;A1833&amp;" - "&amp;C1833,IF(L1833="","EFEITO_PC nao calculado: PC "&amp;A1833&amp;" - "&amp;C1833,"OK")))))))))</f>
        <v/>
      </c>
      <c r="L1833" s="92" t="str">
        <f>IF(AND(A1833="",B1833="",D1833="",G1833=""),"",IF(OR(B1833="",NOT(ISNUMBER(B1833)),C1833="",C1833="Fora dos ciclos"),"",IF(C1833="C0","Nao",IF(IFERROR(INDEX(parametros!$A$2:$A$6,MATCH(C1833,parametros!$B$2:$B$6,0)),"")&lt;&gt;"Sim","Nao",IF(IFERROR(INDEX(parametros!$H$2:$H$6,MATCH(C1833,parametros!$B$2:$B$6,0)),"")="","",IF(B1833&gt;=IFERROR(INDEX(parametros!$H$2:$H$6,MATCH(C1833,parametros!$B$2:$B$6,0)),""),"Sim","Nao"))))))</f>
        <v/>
      </c>
      <c r="T1833" s="156"/>
      <c r="U1833" s="214" t="str">
        <f t="shared" si="146"/>
        <v/>
      </c>
      <c r="V1833" s="212" t="s">
        <v>50</v>
      </c>
      <c r="W1833" s="100" t="s">
        <v>168</v>
      </c>
      <c r="X1833" s="100" t="s">
        <v>169</v>
      </c>
      <c r="Y1833" s="101" t="s">
        <v>170</v>
      </c>
      <c r="Z1833" s="101" t="s">
        <v>171</v>
      </c>
      <c r="AA1833" s="101" t="s">
        <v>50</v>
      </c>
      <c r="AB1833" s="101" t="s">
        <v>172</v>
      </c>
      <c r="AC1833" s="102" t="s">
        <v>173</v>
      </c>
    </row>
    <row r="1834" spans="1:29" ht="25.5" customHeight="1" x14ac:dyDescent="0.35">
      <c r="A1834" s="392"/>
      <c r="B1834" s="393"/>
      <c r="C1834" s="99" t="str">
        <f>IF(B1834="","",IF(NOT(ISNUMBER(B1834)),"DATA_PC invalida",IF(NOT(ISNUMBER(parametros!$C$2)),"Fora dos ciclos",IF(OR(B1834&lt;parametros!$C$2,(YEAR(B1834)-YEAR(parametros!$C$2))*12+MONTH(B1834)-MONTH(parametros!$C$2)&gt;59),"Fora dos ciclos","C"&amp;INT(((YEAR(B1834)-YEAR(parametros!$C$2))*12+MONTH(B1834)-MONTH(parametros!$C$2))/12)))))</f>
        <v/>
      </c>
      <c r="D1834" s="394"/>
      <c r="E1834" s="78" t="str">
        <f>IF(C1834="","",IFERROR(VLOOKUP(C1834,parametros!$A$11:$E$15,5,0),""))</f>
        <v/>
      </c>
      <c r="F1834" s="79" t="str">
        <f t="shared" si="142"/>
        <v/>
      </c>
      <c r="G1834" s="395"/>
      <c r="H1834" s="91">
        <f t="shared" si="143"/>
        <v>0</v>
      </c>
      <c r="I1834" s="91" t="str">
        <f t="shared" si="144"/>
        <v/>
      </c>
      <c r="J1834" s="91" t="str">
        <f t="shared" si="145"/>
        <v/>
      </c>
      <c r="K1834" s="92" t="str">
        <f>IF(AND(A1834="",B1834="",D1834="",G1834=""),"",IF(AND(A1834&lt;&gt;"",COUNTIF($A$2:$A$5001,A1834)&gt;1),"NUMERO_PC duplicado",IF(B1834="","DATA_PC vazia",IF(NOT(ISNUMBER(B1834)),"DATA_PC invalida",IF(OR(C1834="",C1834="Fora dos ciclos"),"CICLO_PC nao identificado",IF(OR(D1834="",D1834=0),"VALOR_PC vazio ou zero",IF(AND(G1834&lt;&gt;"Sim",G1834&lt;&gt;"Nao",G1834&lt;&gt;""),"PC_PAGO_A_CONTRATADA invalido",IF(AND(C1834&lt;&gt;"C0",IFERROR(INDEX(parametros!$A$2:$A$6,MATCH(C1834,parametros!$B$2:$B$6,0)),"")="Sim",IFERROR(INDEX(parametros!$H$2:$H$6,MATCH(C1834,parametros!$B$2:$B$6,0)),"")=""),"INICIO_EFEITO ausente: PC "&amp;A1834&amp;" - "&amp;C1834,IF(L1834="","EFEITO_PC nao calculado: PC "&amp;A1834&amp;" - "&amp;C1834,"OK")))))))))</f>
        <v/>
      </c>
      <c r="L1834" s="92" t="str">
        <f>IF(AND(A1834="",B1834="",D1834="",G1834=""),"",IF(OR(B1834="",NOT(ISNUMBER(B1834)),C1834="",C1834="Fora dos ciclos"),"",IF(C1834="C0","Nao",IF(IFERROR(INDEX(parametros!$A$2:$A$6,MATCH(C1834,parametros!$B$2:$B$6,0)),"")&lt;&gt;"Sim","Nao",IF(IFERROR(INDEX(parametros!$H$2:$H$6,MATCH(C1834,parametros!$B$2:$B$6,0)),"")="","",IF(B1834&gt;=IFERROR(INDEX(parametros!$H$2:$H$6,MATCH(C1834,parametros!$B$2:$B$6,0)),""),"Sim","Nao"))))))</f>
        <v/>
      </c>
      <c r="T1834" s="156"/>
      <c r="U1834" s="214" t="str">
        <f t="shared" si="146"/>
        <v/>
      </c>
      <c r="V1834" s="212" t="s">
        <v>50</v>
      </c>
      <c r="W1834" s="100" t="s">
        <v>168</v>
      </c>
      <c r="X1834" s="100" t="s">
        <v>169</v>
      </c>
      <c r="Y1834" s="101" t="s">
        <v>170</v>
      </c>
      <c r="Z1834" s="101" t="s">
        <v>171</v>
      </c>
      <c r="AA1834" s="101" t="s">
        <v>50</v>
      </c>
      <c r="AB1834" s="101" t="s">
        <v>172</v>
      </c>
      <c r="AC1834" s="102" t="s">
        <v>173</v>
      </c>
    </row>
    <row r="1835" spans="1:29" ht="25.5" customHeight="1" x14ac:dyDescent="0.35">
      <c r="A1835" s="392"/>
      <c r="B1835" s="393"/>
      <c r="C1835" s="99" t="str">
        <f>IF(B1835="","",IF(NOT(ISNUMBER(B1835)),"DATA_PC invalida",IF(NOT(ISNUMBER(parametros!$C$2)),"Fora dos ciclos",IF(OR(B1835&lt;parametros!$C$2,(YEAR(B1835)-YEAR(parametros!$C$2))*12+MONTH(B1835)-MONTH(parametros!$C$2)&gt;59),"Fora dos ciclos","C"&amp;INT(((YEAR(B1835)-YEAR(parametros!$C$2))*12+MONTH(B1835)-MONTH(parametros!$C$2))/12)))))</f>
        <v/>
      </c>
      <c r="D1835" s="394"/>
      <c r="E1835" s="78" t="str">
        <f>IF(C1835="","",IFERROR(VLOOKUP(C1835,parametros!$A$11:$E$15,5,0),""))</f>
        <v/>
      </c>
      <c r="F1835" s="79" t="str">
        <f t="shared" si="142"/>
        <v/>
      </c>
      <c r="G1835" s="395"/>
      <c r="H1835" s="91">
        <f t="shared" si="143"/>
        <v>0</v>
      </c>
      <c r="I1835" s="91" t="str">
        <f t="shared" si="144"/>
        <v/>
      </c>
      <c r="J1835" s="91" t="str">
        <f t="shared" si="145"/>
        <v/>
      </c>
      <c r="K1835" s="92" t="str">
        <f>IF(AND(A1835="",B1835="",D1835="",G1835=""),"",IF(AND(A1835&lt;&gt;"",COUNTIF($A$2:$A$5001,A1835)&gt;1),"NUMERO_PC duplicado",IF(B1835="","DATA_PC vazia",IF(NOT(ISNUMBER(B1835)),"DATA_PC invalida",IF(OR(C1835="",C1835="Fora dos ciclos"),"CICLO_PC nao identificado",IF(OR(D1835="",D1835=0),"VALOR_PC vazio ou zero",IF(AND(G1835&lt;&gt;"Sim",G1835&lt;&gt;"Nao",G1835&lt;&gt;""),"PC_PAGO_A_CONTRATADA invalido",IF(AND(C1835&lt;&gt;"C0",IFERROR(INDEX(parametros!$A$2:$A$6,MATCH(C1835,parametros!$B$2:$B$6,0)),"")="Sim",IFERROR(INDEX(parametros!$H$2:$H$6,MATCH(C1835,parametros!$B$2:$B$6,0)),"")=""),"INICIO_EFEITO ausente: PC "&amp;A1835&amp;" - "&amp;C1835,IF(L1835="","EFEITO_PC nao calculado: PC "&amp;A1835&amp;" - "&amp;C1835,"OK")))))))))</f>
        <v/>
      </c>
      <c r="L1835" s="92" t="str">
        <f>IF(AND(A1835="",B1835="",D1835="",G1835=""),"",IF(OR(B1835="",NOT(ISNUMBER(B1835)),C1835="",C1835="Fora dos ciclos"),"",IF(C1835="C0","Nao",IF(IFERROR(INDEX(parametros!$A$2:$A$6,MATCH(C1835,parametros!$B$2:$B$6,0)),"")&lt;&gt;"Sim","Nao",IF(IFERROR(INDEX(parametros!$H$2:$H$6,MATCH(C1835,parametros!$B$2:$B$6,0)),"")="","",IF(B1835&gt;=IFERROR(INDEX(parametros!$H$2:$H$6,MATCH(C1835,parametros!$B$2:$B$6,0)),""),"Sim","Nao"))))))</f>
        <v/>
      </c>
      <c r="T1835" s="156"/>
      <c r="U1835" s="214" t="str">
        <f t="shared" si="146"/>
        <v/>
      </c>
      <c r="V1835" s="212" t="s">
        <v>50</v>
      </c>
      <c r="W1835" s="100" t="s">
        <v>168</v>
      </c>
      <c r="X1835" s="100" t="s">
        <v>169</v>
      </c>
      <c r="Y1835" s="101" t="s">
        <v>170</v>
      </c>
      <c r="Z1835" s="101" t="s">
        <v>171</v>
      </c>
      <c r="AA1835" s="101" t="s">
        <v>50</v>
      </c>
      <c r="AB1835" s="101" t="s">
        <v>172</v>
      </c>
      <c r="AC1835" s="102" t="s">
        <v>173</v>
      </c>
    </row>
    <row r="1836" spans="1:29" ht="25.5" customHeight="1" x14ac:dyDescent="0.35">
      <c r="A1836" s="392"/>
      <c r="B1836" s="393"/>
      <c r="C1836" s="99" t="str">
        <f>IF(B1836="","",IF(NOT(ISNUMBER(B1836)),"DATA_PC invalida",IF(NOT(ISNUMBER(parametros!$C$2)),"Fora dos ciclos",IF(OR(B1836&lt;parametros!$C$2,(YEAR(B1836)-YEAR(parametros!$C$2))*12+MONTH(B1836)-MONTH(parametros!$C$2)&gt;59),"Fora dos ciclos","C"&amp;INT(((YEAR(B1836)-YEAR(parametros!$C$2))*12+MONTH(B1836)-MONTH(parametros!$C$2))/12)))))</f>
        <v/>
      </c>
      <c r="D1836" s="394"/>
      <c r="E1836" s="78" t="str">
        <f>IF(C1836="","",IFERROR(VLOOKUP(C1836,parametros!$A$11:$E$15,5,0),""))</f>
        <v/>
      </c>
      <c r="F1836" s="79" t="str">
        <f t="shared" si="142"/>
        <v/>
      </c>
      <c r="G1836" s="395"/>
      <c r="H1836" s="91">
        <f t="shared" si="143"/>
        <v>0</v>
      </c>
      <c r="I1836" s="91" t="str">
        <f t="shared" si="144"/>
        <v/>
      </c>
      <c r="J1836" s="91" t="str">
        <f t="shared" si="145"/>
        <v/>
      </c>
      <c r="K1836" s="92" t="str">
        <f>IF(AND(A1836="",B1836="",D1836="",G1836=""),"",IF(AND(A1836&lt;&gt;"",COUNTIF($A$2:$A$5001,A1836)&gt;1),"NUMERO_PC duplicado",IF(B1836="","DATA_PC vazia",IF(NOT(ISNUMBER(B1836)),"DATA_PC invalida",IF(OR(C1836="",C1836="Fora dos ciclos"),"CICLO_PC nao identificado",IF(OR(D1836="",D1836=0),"VALOR_PC vazio ou zero",IF(AND(G1836&lt;&gt;"Sim",G1836&lt;&gt;"Nao",G1836&lt;&gt;""),"PC_PAGO_A_CONTRATADA invalido",IF(AND(C1836&lt;&gt;"C0",IFERROR(INDEX(parametros!$A$2:$A$6,MATCH(C1836,parametros!$B$2:$B$6,0)),"")="Sim",IFERROR(INDEX(parametros!$H$2:$H$6,MATCH(C1836,parametros!$B$2:$B$6,0)),"")=""),"INICIO_EFEITO ausente: PC "&amp;A1836&amp;" - "&amp;C1836,IF(L1836="","EFEITO_PC nao calculado: PC "&amp;A1836&amp;" - "&amp;C1836,"OK")))))))))</f>
        <v/>
      </c>
      <c r="L1836" s="92" t="str">
        <f>IF(AND(A1836="",B1836="",D1836="",G1836=""),"",IF(OR(B1836="",NOT(ISNUMBER(B1836)),C1836="",C1836="Fora dos ciclos"),"",IF(C1836="C0","Nao",IF(IFERROR(INDEX(parametros!$A$2:$A$6,MATCH(C1836,parametros!$B$2:$B$6,0)),"")&lt;&gt;"Sim","Nao",IF(IFERROR(INDEX(parametros!$H$2:$H$6,MATCH(C1836,parametros!$B$2:$B$6,0)),"")="","",IF(B1836&gt;=IFERROR(INDEX(parametros!$H$2:$H$6,MATCH(C1836,parametros!$B$2:$B$6,0)),""),"Sim","Nao"))))))</f>
        <v/>
      </c>
      <c r="T1836" s="156"/>
      <c r="U1836" s="214" t="str">
        <f t="shared" si="146"/>
        <v/>
      </c>
      <c r="V1836" s="212" t="s">
        <v>50</v>
      </c>
      <c r="W1836" s="100" t="s">
        <v>168</v>
      </c>
      <c r="X1836" s="100" t="s">
        <v>169</v>
      </c>
      <c r="Y1836" s="101" t="s">
        <v>170</v>
      </c>
      <c r="Z1836" s="101" t="s">
        <v>171</v>
      </c>
      <c r="AA1836" s="101" t="s">
        <v>50</v>
      </c>
      <c r="AB1836" s="101" t="s">
        <v>172</v>
      </c>
      <c r="AC1836" s="102" t="s">
        <v>173</v>
      </c>
    </row>
    <row r="1837" spans="1:29" ht="25.5" customHeight="1" x14ac:dyDescent="0.35">
      <c r="A1837" s="392"/>
      <c r="B1837" s="393"/>
      <c r="C1837" s="99" t="str">
        <f>IF(B1837="","",IF(NOT(ISNUMBER(B1837)),"DATA_PC invalida",IF(NOT(ISNUMBER(parametros!$C$2)),"Fora dos ciclos",IF(OR(B1837&lt;parametros!$C$2,(YEAR(B1837)-YEAR(parametros!$C$2))*12+MONTH(B1837)-MONTH(parametros!$C$2)&gt;59),"Fora dos ciclos","C"&amp;INT(((YEAR(B1837)-YEAR(parametros!$C$2))*12+MONTH(B1837)-MONTH(parametros!$C$2))/12)))))</f>
        <v/>
      </c>
      <c r="D1837" s="394"/>
      <c r="E1837" s="78" t="str">
        <f>IF(C1837="","",IFERROR(VLOOKUP(C1837,parametros!$A$11:$E$15,5,0),""))</f>
        <v/>
      </c>
      <c r="F1837" s="79" t="str">
        <f t="shared" si="142"/>
        <v/>
      </c>
      <c r="G1837" s="395"/>
      <c r="H1837" s="91">
        <f t="shared" si="143"/>
        <v>0</v>
      </c>
      <c r="I1837" s="91" t="str">
        <f t="shared" si="144"/>
        <v/>
      </c>
      <c r="J1837" s="91" t="str">
        <f t="shared" si="145"/>
        <v/>
      </c>
      <c r="K1837" s="92" t="str">
        <f>IF(AND(A1837="",B1837="",D1837="",G1837=""),"",IF(AND(A1837&lt;&gt;"",COUNTIF($A$2:$A$5001,A1837)&gt;1),"NUMERO_PC duplicado",IF(B1837="","DATA_PC vazia",IF(NOT(ISNUMBER(B1837)),"DATA_PC invalida",IF(OR(C1837="",C1837="Fora dos ciclos"),"CICLO_PC nao identificado",IF(OR(D1837="",D1837=0),"VALOR_PC vazio ou zero",IF(AND(G1837&lt;&gt;"Sim",G1837&lt;&gt;"Nao",G1837&lt;&gt;""),"PC_PAGO_A_CONTRATADA invalido",IF(AND(C1837&lt;&gt;"C0",IFERROR(INDEX(parametros!$A$2:$A$6,MATCH(C1837,parametros!$B$2:$B$6,0)),"")="Sim",IFERROR(INDEX(parametros!$H$2:$H$6,MATCH(C1837,parametros!$B$2:$B$6,0)),"")=""),"INICIO_EFEITO ausente: PC "&amp;A1837&amp;" - "&amp;C1837,IF(L1837="","EFEITO_PC nao calculado: PC "&amp;A1837&amp;" - "&amp;C1837,"OK")))))))))</f>
        <v/>
      </c>
      <c r="L1837" s="92" t="str">
        <f>IF(AND(A1837="",B1837="",D1837="",G1837=""),"",IF(OR(B1837="",NOT(ISNUMBER(B1837)),C1837="",C1837="Fora dos ciclos"),"",IF(C1837="C0","Nao",IF(IFERROR(INDEX(parametros!$A$2:$A$6,MATCH(C1837,parametros!$B$2:$B$6,0)),"")&lt;&gt;"Sim","Nao",IF(IFERROR(INDEX(parametros!$H$2:$H$6,MATCH(C1837,parametros!$B$2:$B$6,0)),"")="","",IF(B1837&gt;=IFERROR(INDEX(parametros!$H$2:$H$6,MATCH(C1837,parametros!$B$2:$B$6,0)),""),"Sim","Nao"))))))</f>
        <v/>
      </c>
      <c r="T1837" s="156"/>
      <c r="U1837" s="214" t="str">
        <f t="shared" si="146"/>
        <v/>
      </c>
      <c r="V1837" s="212" t="s">
        <v>50</v>
      </c>
      <c r="W1837" s="100" t="s">
        <v>168</v>
      </c>
      <c r="X1837" s="100" t="s">
        <v>169</v>
      </c>
      <c r="Y1837" s="101" t="s">
        <v>170</v>
      </c>
      <c r="Z1837" s="101" t="s">
        <v>171</v>
      </c>
      <c r="AA1837" s="101" t="s">
        <v>50</v>
      </c>
      <c r="AB1837" s="101" t="s">
        <v>172</v>
      </c>
      <c r="AC1837" s="102" t="s">
        <v>173</v>
      </c>
    </row>
    <row r="1838" spans="1:29" ht="25.5" customHeight="1" x14ac:dyDescent="0.35">
      <c r="A1838" s="392"/>
      <c r="B1838" s="393"/>
      <c r="C1838" s="99" t="str">
        <f>IF(B1838="","",IF(NOT(ISNUMBER(B1838)),"DATA_PC invalida",IF(NOT(ISNUMBER(parametros!$C$2)),"Fora dos ciclos",IF(OR(B1838&lt;parametros!$C$2,(YEAR(B1838)-YEAR(parametros!$C$2))*12+MONTH(B1838)-MONTH(parametros!$C$2)&gt;59),"Fora dos ciclos","C"&amp;INT(((YEAR(B1838)-YEAR(parametros!$C$2))*12+MONTH(B1838)-MONTH(parametros!$C$2))/12)))))</f>
        <v/>
      </c>
      <c r="D1838" s="394"/>
      <c r="E1838" s="78" t="str">
        <f>IF(C1838="","",IFERROR(VLOOKUP(C1838,parametros!$A$11:$E$15,5,0),""))</f>
        <v/>
      </c>
      <c r="F1838" s="79" t="str">
        <f t="shared" si="142"/>
        <v/>
      </c>
      <c r="G1838" s="395"/>
      <c r="H1838" s="91">
        <f t="shared" si="143"/>
        <v>0</v>
      </c>
      <c r="I1838" s="91" t="str">
        <f t="shared" si="144"/>
        <v/>
      </c>
      <c r="J1838" s="91" t="str">
        <f t="shared" si="145"/>
        <v/>
      </c>
      <c r="K1838" s="92" t="str">
        <f>IF(AND(A1838="",B1838="",D1838="",G1838=""),"",IF(AND(A1838&lt;&gt;"",COUNTIF($A$2:$A$5001,A1838)&gt;1),"NUMERO_PC duplicado",IF(B1838="","DATA_PC vazia",IF(NOT(ISNUMBER(B1838)),"DATA_PC invalida",IF(OR(C1838="",C1838="Fora dos ciclos"),"CICLO_PC nao identificado",IF(OR(D1838="",D1838=0),"VALOR_PC vazio ou zero",IF(AND(G1838&lt;&gt;"Sim",G1838&lt;&gt;"Nao",G1838&lt;&gt;""),"PC_PAGO_A_CONTRATADA invalido",IF(AND(C1838&lt;&gt;"C0",IFERROR(INDEX(parametros!$A$2:$A$6,MATCH(C1838,parametros!$B$2:$B$6,0)),"")="Sim",IFERROR(INDEX(parametros!$H$2:$H$6,MATCH(C1838,parametros!$B$2:$B$6,0)),"")=""),"INICIO_EFEITO ausente: PC "&amp;A1838&amp;" - "&amp;C1838,IF(L1838="","EFEITO_PC nao calculado: PC "&amp;A1838&amp;" - "&amp;C1838,"OK")))))))))</f>
        <v/>
      </c>
      <c r="L1838" s="92" t="str">
        <f>IF(AND(A1838="",B1838="",D1838="",G1838=""),"",IF(OR(B1838="",NOT(ISNUMBER(B1838)),C1838="",C1838="Fora dos ciclos"),"",IF(C1838="C0","Nao",IF(IFERROR(INDEX(parametros!$A$2:$A$6,MATCH(C1838,parametros!$B$2:$B$6,0)),"")&lt;&gt;"Sim","Nao",IF(IFERROR(INDEX(parametros!$H$2:$H$6,MATCH(C1838,parametros!$B$2:$B$6,0)),"")="","",IF(B1838&gt;=IFERROR(INDEX(parametros!$H$2:$H$6,MATCH(C1838,parametros!$B$2:$B$6,0)),""),"Sim","Nao"))))))</f>
        <v/>
      </c>
      <c r="T1838" s="156"/>
      <c r="U1838" s="214" t="str">
        <f t="shared" si="146"/>
        <v/>
      </c>
      <c r="V1838" s="212" t="s">
        <v>50</v>
      </c>
      <c r="W1838" s="100" t="s">
        <v>168</v>
      </c>
      <c r="X1838" s="100" t="s">
        <v>169</v>
      </c>
      <c r="Y1838" s="101" t="s">
        <v>170</v>
      </c>
      <c r="Z1838" s="101" t="s">
        <v>171</v>
      </c>
      <c r="AA1838" s="101" t="s">
        <v>50</v>
      </c>
      <c r="AB1838" s="101" t="s">
        <v>172</v>
      </c>
      <c r="AC1838" s="102" t="s">
        <v>173</v>
      </c>
    </row>
    <row r="1839" spans="1:29" ht="25.5" customHeight="1" x14ac:dyDescent="0.35">
      <c r="A1839" s="392"/>
      <c r="B1839" s="393"/>
      <c r="C1839" s="99" t="str">
        <f>IF(B1839="","",IF(NOT(ISNUMBER(B1839)),"DATA_PC invalida",IF(NOT(ISNUMBER(parametros!$C$2)),"Fora dos ciclos",IF(OR(B1839&lt;parametros!$C$2,(YEAR(B1839)-YEAR(parametros!$C$2))*12+MONTH(B1839)-MONTH(parametros!$C$2)&gt;59),"Fora dos ciclos","C"&amp;INT(((YEAR(B1839)-YEAR(parametros!$C$2))*12+MONTH(B1839)-MONTH(parametros!$C$2))/12)))))</f>
        <v/>
      </c>
      <c r="D1839" s="394"/>
      <c r="E1839" s="78" t="str">
        <f>IF(C1839="","",IFERROR(VLOOKUP(C1839,parametros!$A$11:$E$15,5,0),""))</f>
        <v/>
      </c>
      <c r="F1839" s="79" t="str">
        <f t="shared" si="142"/>
        <v/>
      </c>
      <c r="G1839" s="395"/>
      <c r="H1839" s="91">
        <f t="shared" si="143"/>
        <v>0</v>
      </c>
      <c r="I1839" s="91" t="str">
        <f t="shared" si="144"/>
        <v/>
      </c>
      <c r="J1839" s="91" t="str">
        <f t="shared" si="145"/>
        <v/>
      </c>
      <c r="K1839" s="92" t="str">
        <f>IF(AND(A1839="",B1839="",D1839="",G1839=""),"",IF(AND(A1839&lt;&gt;"",COUNTIF($A$2:$A$5001,A1839)&gt;1),"NUMERO_PC duplicado",IF(B1839="","DATA_PC vazia",IF(NOT(ISNUMBER(B1839)),"DATA_PC invalida",IF(OR(C1839="",C1839="Fora dos ciclos"),"CICLO_PC nao identificado",IF(OR(D1839="",D1839=0),"VALOR_PC vazio ou zero",IF(AND(G1839&lt;&gt;"Sim",G1839&lt;&gt;"Nao",G1839&lt;&gt;""),"PC_PAGO_A_CONTRATADA invalido",IF(AND(C1839&lt;&gt;"C0",IFERROR(INDEX(parametros!$A$2:$A$6,MATCH(C1839,parametros!$B$2:$B$6,0)),"")="Sim",IFERROR(INDEX(parametros!$H$2:$H$6,MATCH(C1839,parametros!$B$2:$B$6,0)),"")=""),"INICIO_EFEITO ausente: PC "&amp;A1839&amp;" - "&amp;C1839,IF(L1839="","EFEITO_PC nao calculado: PC "&amp;A1839&amp;" - "&amp;C1839,"OK")))))))))</f>
        <v/>
      </c>
      <c r="L1839" s="92" t="str">
        <f>IF(AND(A1839="",B1839="",D1839="",G1839=""),"",IF(OR(B1839="",NOT(ISNUMBER(B1839)),C1839="",C1839="Fora dos ciclos"),"",IF(C1839="C0","Nao",IF(IFERROR(INDEX(parametros!$A$2:$A$6,MATCH(C1839,parametros!$B$2:$B$6,0)),"")&lt;&gt;"Sim","Nao",IF(IFERROR(INDEX(parametros!$H$2:$H$6,MATCH(C1839,parametros!$B$2:$B$6,0)),"")="","",IF(B1839&gt;=IFERROR(INDEX(parametros!$H$2:$H$6,MATCH(C1839,parametros!$B$2:$B$6,0)),""),"Sim","Nao"))))))</f>
        <v/>
      </c>
      <c r="T1839" s="156"/>
      <c r="U1839" s="214" t="str">
        <f t="shared" si="146"/>
        <v/>
      </c>
      <c r="V1839" s="212" t="s">
        <v>50</v>
      </c>
      <c r="W1839" s="100" t="s">
        <v>168</v>
      </c>
      <c r="X1839" s="100" t="s">
        <v>169</v>
      </c>
      <c r="Y1839" s="101" t="s">
        <v>170</v>
      </c>
      <c r="Z1839" s="101" t="s">
        <v>171</v>
      </c>
      <c r="AA1839" s="101" t="s">
        <v>50</v>
      </c>
      <c r="AB1839" s="101" t="s">
        <v>172</v>
      </c>
      <c r="AC1839" s="102" t="s">
        <v>173</v>
      </c>
    </row>
    <row r="1840" spans="1:29" ht="25.5" customHeight="1" x14ac:dyDescent="0.35">
      <c r="A1840" s="392"/>
      <c r="B1840" s="393"/>
      <c r="C1840" s="99" t="str">
        <f>IF(B1840="","",IF(NOT(ISNUMBER(B1840)),"DATA_PC invalida",IF(NOT(ISNUMBER(parametros!$C$2)),"Fora dos ciclos",IF(OR(B1840&lt;parametros!$C$2,(YEAR(B1840)-YEAR(parametros!$C$2))*12+MONTH(B1840)-MONTH(parametros!$C$2)&gt;59),"Fora dos ciclos","C"&amp;INT(((YEAR(B1840)-YEAR(parametros!$C$2))*12+MONTH(B1840)-MONTH(parametros!$C$2))/12)))))</f>
        <v/>
      </c>
      <c r="D1840" s="394"/>
      <c r="E1840" s="78" t="str">
        <f>IF(C1840="","",IFERROR(VLOOKUP(C1840,parametros!$A$11:$E$15,5,0),""))</f>
        <v/>
      </c>
      <c r="F1840" s="79" t="str">
        <f t="shared" si="142"/>
        <v/>
      </c>
      <c r="G1840" s="395"/>
      <c r="H1840" s="91">
        <f t="shared" si="143"/>
        <v>0</v>
      </c>
      <c r="I1840" s="91" t="str">
        <f t="shared" si="144"/>
        <v/>
      </c>
      <c r="J1840" s="91" t="str">
        <f t="shared" si="145"/>
        <v/>
      </c>
      <c r="K1840" s="92" t="str">
        <f>IF(AND(A1840="",B1840="",D1840="",G1840=""),"",IF(AND(A1840&lt;&gt;"",COUNTIF($A$2:$A$5001,A1840)&gt;1),"NUMERO_PC duplicado",IF(B1840="","DATA_PC vazia",IF(NOT(ISNUMBER(B1840)),"DATA_PC invalida",IF(OR(C1840="",C1840="Fora dos ciclos"),"CICLO_PC nao identificado",IF(OR(D1840="",D1840=0),"VALOR_PC vazio ou zero",IF(AND(G1840&lt;&gt;"Sim",G1840&lt;&gt;"Nao",G1840&lt;&gt;""),"PC_PAGO_A_CONTRATADA invalido",IF(AND(C1840&lt;&gt;"C0",IFERROR(INDEX(parametros!$A$2:$A$6,MATCH(C1840,parametros!$B$2:$B$6,0)),"")="Sim",IFERROR(INDEX(parametros!$H$2:$H$6,MATCH(C1840,parametros!$B$2:$B$6,0)),"")=""),"INICIO_EFEITO ausente: PC "&amp;A1840&amp;" - "&amp;C1840,IF(L1840="","EFEITO_PC nao calculado: PC "&amp;A1840&amp;" - "&amp;C1840,"OK")))))))))</f>
        <v/>
      </c>
      <c r="L1840" s="92" t="str">
        <f>IF(AND(A1840="",B1840="",D1840="",G1840=""),"",IF(OR(B1840="",NOT(ISNUMBER(B1840)),C1840="",C1840="Fora dos ciclos"),"",IF(C1840="C0","Nao",IF(IFERROR(INDEX(parametros!$A$2:$A$6,MATCH(C1840,parametros!$B$2:$B$6,0)),"")&lt;&gt;"Sim","Nao",IF(IFERROR(INDEX(parametros!$H$2:$H$6,MATCH(C1840,parametros!$B$2:$B$6,0)),"")="","",IF(B1840&gt;=IFERROR(INDEX(parametros!$H$2:$H$6,MATCH(C1840,parametros!$B$2:$B$6,0)),""),"Sim","Nao"))))))</f>
        <v/>
      </c>
      <c r="T1840" s="156"/>
      <c r="U1840" s="214" t="str">
        <f t="shared" si="146"/>
        <v/>
      </c>
      <c r="V1840" s="212" t="s">
        <v>50</v>
      </c>
      <c r="W1840" s="100" t="s">
        <v>168</v>
      </c>
      <c r="X1840" s="100" t="s">
        <v>169</v>
      </c>
      <c r="Y1840" s="101" t="s">
        <v>170</v>
      </c>
      <c r="Z1840" s="101" t="s">
        <v>171</v>
      </c>
      <c r="AA1840" s="101" t="s">
        <v>50</v>
      </c>
      <c r="AB1840" s="101" t="s">
        <v>172</v>
      </c>
      <c r="AC1840" s="102" t="s">
        <v>173</v>
      </c>
    </row>
    <row r="1841" spans="1:29" ht="25.5" customHeight="1" x14ac:dyDescent="0.35">
      <c r="A1841" s="392"/>
      <c r="B1841" s="393"/>
      <c r="C1841" s="99" t="str">
        <f>IF(B1841="","",IF(NOT(ISNUMBER(B1841)),"DATA_PC invalida",IF(NOT(ISNUMBER(parametros!$C$2)),"Fora dos ciclos",IF(OR(B1841&lt;parametros!$C$2,(YEAR(B1841)-YEAR(parametros!$C$2))*12+MONTH(B1841)-MONTH(parametros!$C$2)&gt;59),"Fora dos ciclos","C"&amp;INT(((YEAR(B1841)-YEAR(parametros!$C$2))*12+MONTH(B1841)-MONTH(parametros!$C$2))/12)))))</f>
        <v/>
      </c>
      <c r="D1841" s="394"/>
      <c r="E1841" s="78" t="str">
        <f>IF(C1841="","",IFERROR(VLOOKUP(C1841,parametros!$A$11:$E$15,5,0),""))</f>
        <v/>
      </c>
      <c r="F1841" s="79" t="str">
        <f t="shared" si="142"/>
        <v/>
      </c>
      <c r="G1841" s="395"/>
      <c r="H1841" s="91">
        <f t="shared" si="143"/>
        <v>0</v>
      </c>
      <c r="I1841" s="91" t="str">
        <f t="shared" si="144"/>
        <v/>
      </c>
      <c r="J1841" s="91" t="str">
        <f t="shared" si="145"/>
        <v/>
      </c>
      <c r="K1841" s="92" t="str">
        <f>IF(AND(A1841="",B1841="",D1841="",G1841=""),"",IF(AND(A1841&lt;&gt;"",COUNTIF($A$2:$A$5001,A1841)&gt;1),"NUMERO_PC duplicado",IF(B1841="","DATA_PC vazia",IF(NOT(ISNUMBER(B1841)),"DATA_PC invalida",IF(OR(C1841="",C1841="Fora dos ciclos"),"CICLO_PC nao identificado",IF(OR(D1841="",D1841=0),"VALOR_PC vazio ou zero",IF(AND(G1841&lt;&gt;"Sim",G1841&lt;&gt;"Nao",G1841&lt;&gt;""),"PC_PAGO_A_CONTRATADA invalido",IF(AND(C1841&lt;&gt;"C0",IFERROR(INDEX(parametros!$A$2:$A$6,MATCH(C1841,parametros!$B$2:$B$6,0)),"")="Sim",IFERROR(INDEX(parametros!$H$2:$H$6,MATCH(C1841,parametros!$B$2:$B$6,0)),"")=""),"INICIO_EFEITO ausente: PC "&amp;A1841&amp;" - "&amp;C1841,IF(L1841="","EFEITO_PC nao calculado: PC "&amp;A1841&amp;" - "&amp;C1841,"OK")))))))))</f>
        <v/>
      </c>
      <c r="L1841" s="92" t="str">
        <f>IF(AND(A1841="",B1841="",D1841="",G1841=""),"",IF(OR(B1841="",NOT(ISNUMBER(B1841)),C1841="",C1841="Fora dos ciclos"),"",IF(C1841="C0","Nao",IF(IFERROR(INDEX(parametros!$A$2:$A$6,MATCH(C1841,parametros!$B$2:$B$6,0)),"")&lt;&gt;"Sim","Nao",IF(IFERROR(INDEX(parametros!$H$2:$H$6,MATCH(C1841,parametros!$B$2:$B$6,0)),"")="","",IF(B1841&gt;=IFERROR(INDEX(parametros!$H$2:$H$6,MATCH(C1841,parametros!$B$2:$B$6,0)),""),"Sim","Nao"))))))</f>
        <v/>
      </c>
      <c r="T1841" s="156"/>
      <c r="U1841" s="214" t="str">
        <f t="shared" si="146"/>
        <v/>
      </c>
      <c r="V1841" s="212" t="s">
        <v>50</v>
      </c>
      <c r="W1841" s="100" t="s">
        <v>168</v>
      </c>
      <c r="X1841" s="100" t="s">
        <v>169</v>
      </c>
      <c r="Y1841" s="101" t="s">
        <v>170</v>
      </c>
      <c r="Z1841" s="101" t="s">
        <v>171</v>
      </c>
      <c r="AA1841" s="101" t="s">
        <v>50</v>
      </c>
      <c r="AB1841" s="101" t="s">
        <v>172</v>
      </c>
      <c r="AC1841" s="102" t="s">
        <v>173</v>
      </c>
    </row>
    <row r="1842" spans="1:29" ht="25.5" customHeight="1" x14ac:dyDescent="0.35">
      <c r="A1842" s="392"/>
      <c r="B1842" s="393"/>
      <c r="C1842" s="99" t="str">
        <f>IF(B1842="","",IF(NOT(ISNUMBER(B1842)),"DATA_PC invalida",IF(NOT(ISNUMBER(parametros!$C$2)),"Fora dos ciclos",IF(OR(B1842&lt;parametros!$C$2,(YEAR(B1842)-YEAR(parametros!$C$2))*12+MONTH(B1842)-MONTH(parametros!$C$2)&gt;59),"Fora dos ciclos","C"&amp;INT(((YEAR(B1842)-YEAR(parametros!$C$2))*12+MONTH(B1842)-MONTH(parametros!$C$2))/12)))))</f>
        <v/>
      </c>
      <c r="D1842" s="394"/>
      <c r="E1842" s="78" t="str">
        <f>IF(C1842="","",IFERROR(VLOOKUP(C1842,parametros!$A$11:$E$15,5,0),""))</f>
        <v/>
      </c>
      <c r="F1842" s="79" t="str">
        <f t="shared" si="142"/>
        <v/>
      </c>
      <c r="G1842" s="395"/>
      <c r="H1842" s="91">
        <f t="shared" si="143"/>
        <v>0</v>
      </c>
      <c r="I1842" s="91" t="str">
        <f t="shared" si="144"/>
        <v/>
      </c>
      <c r="J1842" s="91" t="str">
        <f t="shared" si="145"/>
        <v/>
      </c>
      <c r="K1842" s="92" t="str">
        <f>IF(AND(A1842="",B1842="",D1842="",G1842=""),"",IF(AND(A1842&lt;&gt;"",COUNTIF($A$2:$A$5001,A1842)&gt;1),"NUMERO_PC duplicado",IF(B1842="","DATA_PC vazia",IF(NOT(ISNUMBER(B1842)),"DATA_PC invalida",IF(OR(C1842="",C1842="Fora dos ciclos"),"CICLO_PC nao identificado",IF(OR(D1842="",D1842=0),"VALOR_PC vazio ou zero",IF(AND(G1842&lt;&gt;"Sim",G1842&lt;&gt;"Nao",G1842&lt;&gt;""),"PC_PAGO_A_CONTRATADA invalido",IF(AND(C1842&lt;&gt;"C0",IFERROR(INDEX(parametros!$A$2:$A$6,MATCH(C1842,parametros!$B$2:$B$6,0)),"")="Sim",IFERROR(INDEX(parametros!$H$2:$H$6,MATCH(C1842,parametros!$B$2:$B$6,0)),"")=""),"INICIO_EFEITO ausente: PC "&amp;A1842&amp;" - "&amp;C1842,IF(L1842="","EFEITO_PC nao calculado: PC "&amp;A1842&amp;" - "&amp;C1842,"OK")))))))))</f>
        <v/>
      </c>
      <c r="L1842" s="92" t="str">
        <f>IF(AND(A1842="",B1842="",D1842="",G1842=""),"",IF(OR(B1842="",NOT(ISNUMBER(B1842)),C1842="",C1842="Fora dos ciclos"),"",IF(C1842="C0","Nao",IF(IFERROR(INDEX(parametros!$A$2:$A$6,MATCH(C1842,parametros!$B$2:$B$6,0)),"")&lt;&gt;"Sim","Nao",IF(IFERROR(INDEX(parametros!$H$2:$H$6,MATCH(C1842,parametros!$B$2:$B$6,0)),"")="","",IF(B1842&gt;=IFERROR(INDEX(parametros!$H$2:$H$6,MATCH(C1842,parametros!$B$2:$B$6,0)),""),"Sim","Nao"))))))</f>
        <v/>
      </c>
      <c r="T1842" s="156"/>
      <c r="U1842" s="214" t="str">
        <f t="shared" si="146"/>
        <v/>
      </c>
      <c r="V1842" s="212" t="s">
        <v>50</v>
      </c>
      <c r="W1842" s="100" t="s">
        <v>168</v>
      </c>
      <c r="X1842" s="100" t="s">
        <v>169</v>
      </c>
      <c r="Y1842" s="101" t="s">
        <v>170</v>
      </c>
      <c r="Z1842" s="101" t="s">
        <v>171</v>
      </c>
      <c r="AA1842" s="101" t="s">
        <v>50</v>
      </c>
      <c r="AB1842" s="101" t="s">
        <v>172</v>
      </c>
      <c r="AC1842" s="102" t="s">
        <v>173</v>
      </c>
    </row>
    <row r="1843" spans="1:29" ht="25.5" customHeight="1" x14ac:dyDescent="0.35">
      <c r="A1843" s="392"/>
      <c r="B1843" s="393"/>
      <c r="C1843" s="99" t="str">
        <f>IF(B1843="","",IF(NOT(ISNUMBER(B1843)),"DATA_PC invalida",IF(NOT(ISNUMBER(parametros!$C$2)),"Fora dos ciclos",IF(OR(B1843&lt;parametros!$C$2,(YEAR(B1843)-YEAR(parametros!$C$2))*12+MONTH(B1843)-MONTH(parametros!$C$2)&gt;59),"Fora dos ciclos","C"&amp;INT(((YEAR(B1843)-YEAR(parametros!$C$2))*12+MONTH(B1843)-MONTH(parametros!$C$2))/12)))))</f>
        <v/>
      </c>
      <c r="D1843" s="394"/>
      <c r="E1843" s="78" t="str">
        <f>IF(C1843="","",IFERROR(VLOOKUP(C1843,parametros!$A$11:$E$15,5,0),""))</f>
        <v/>
      </c>
      <c r="F1843" s="79" t="str">
        <f t="shared" si="142"/>
        <v/>
      </c>
      <c r="G1843" s="395"/>
      <c r="H1843" s="91">
        <f t="shared" si="143"/>
        <v>0</v>
      </c>
      <c r="I1843" s="91" t="str">
        <f t="shared" si="144"/>
        <v/>
      </c>
      <c r="J1843" s="91" t="str">
        <f t="shared" si="145"/>
        <v/>
      </c>
      <c r="K1843" s="92" t="str">
        <f>IF(AND(A1843="",B1843="",D1843="",G1843=""),"",IF(AND(A1843&lt;&gt;"",COUNTIF($A$2:$A$5001,A1843)&gt;1),"NUMERO_PC duplicado",IF(B1843="","DATA_PC vazia",IF(NOT(ISNUMBER(B1843)),"DATA_PC invalida",IF(OR(C1843="",C1843="Fora dos ciclos"),"CICLO_PC nao identificado",IF(OR(D1843="",D1843=0),"VALOR_PC vazio ou zero",IF(AND(G1843&lt;&gt;"Sim",G1843&lt;&gt;"Nao",G1843&lt;&gt;""),"PC_PAGO_A_CONTRATADA invalido",IF(AND(C1843&lt;&gt;"C0",IFERROR(INDEX(parametros!$A$2:$A$6,MATCH(C1843,parametros!$B$2:$B$6,0)),"")="Sim",IFERROR(INDEX(parametros!$H$2:$H$6,MATCH(C1843,parametros!$B$2:$B$6,0)),"")=""),"INICIO_EFEITO ausente: PC "&amp;A1843&amp;" - "&amp;C1843,IF(L1843="","EFEITO_PC nao calculado: PC "&amp;A1843&amp;" - "&amp;C1843,"OK")))))))))</f>
        <v/>
      </c>
      <c r="L1843" s="92" t="str">
        <f>IF(AND(A1843="",B1843="",D1843="",G1843=""),"",IF(OR(B1843="",NOT(ISNUMBER(B1843)),C1843="",C1843="Fora dos ciclos"),"",IF(C1843="C0","Nao",IF(IFERROR(INDEX(parametros!$A$2:$A$6,MATCH(C1843,parametros!$B$2:$B$6,0)),"")&lt;&gt;"Sim","Nao",IF(IFERROR(INDEX(parametros!$H$2:$H$6,MATCH(C1843,parametros!$B$2:$B$6,0)),"")="","",IF(B1843&gt;=IFERROR(INDEX(parametros!$H$2:$H$6,MATCH(C1843,parametros!$B$2:$B$6,0)),""),"Sim","Nao"))))))</f>
        <v/>
      </c>
      <c r="T1843" s="156"/>
      <c r="U1843" s="214" t="str">
        <f t="shared" si="146"/>
        <v/>
      </c>
      <c r="V1843" s="212" t="s">
        <v>50</v>
      </c>
      <c r="W1843" s="100" t="s">
        <v>168</v>
      </c>
      <c r="X1843" s="100" t="s">
        <v>169</v>
      </c>
      <c r="Y1843" s="101" t="s">
        <v>170</v>
      </c>
      <c r="Z1843" s="101" t="s">
        <v>171</v>
      </c>
      <c r="AA1843" s="101" t="s">
        <v>50</v>
      </c>
      <c r="AB1843" s="101" t="s">
        <v>172</v>
      </c>
      <c r="AC1843" s="102" t="s">
        <v>173</v>
      </c>
    </row>
    <row r="1844" spans="1:29" ht="25.5" customHeight="1" x14ac:dyDescent="0.35">
      <c r="A1844" s="392"/>
      <c r="B1844" s="393"/>
      <c r="C1844" s="99" t="str">
        <f>IF(B1844="","",IF(NOT(ISNUMBER(B1844)),"DATA_PC invalida",IF(NOT(ISNUMBER(parametros!$C$2)),"Fora dos ciclos",IF(OR(B1844&lt;parametros!$C$2,(YEAR(B1844)-YEAR(parametros!$C$2))*12+MONTH(B1844)-MONTH(parametros!$C$2)&gt;59),"Fora dos ciclos","C"&amp;INT(((YEAR(B1844)-YEAR(parametros!$C$2))*12+MONTH(B1844)-MONTH(parametros!$C$2))/12)))))</f>
        <v/>
      </c>
      <c r="D1844" s="394"/>
      <c r="E1844" s="78" t="str">
        <f>IF(C1844="","",IFERROR(VLOOKUP(C1844,parametros!$A$11:$E$15,5,0),""))</f>
        <v/>
      </c>
      <c r="F1844" s="79" t="str">
        <f t="shared" si="142"/>
        <v/>
      </c>
      <c r="G1844" s="395"/>
      <c r="H1844" s="91">
        <f t="shared" si="143"/>
        <v>0</v>
      </c>
      <c r="I1844" s="91" t="str">
        <f t="shared" si="144"/>
        <v/>
      </c>
      <c r="J1844" s="91" t="str">
        <f t="shared" si="145"/>
        <v/>
      </c>
      <c r="K1844" s="92" t="str">
        <f>IF(AND(A1844="",B1844="",D1844="",G1844=""),"",IF(AND(A1844&lt;&gt;"",COUNTIF($A$2:$A$5001,A1844)&gt;1),"NUMERO_PC duplicado",IF(B1844="","DATA_PC vazia",IF(NOT(ISNUMBER(B1844)),"DATA_PC invalida",IF(OR(C1844="",C1844="Fora dos ciclos"),"CICLO_PC nao identificado",IF(OR(D1844="",D1844=0),"VALOR_PC vazio ou zero",IF(AND(G1844&lt;&gt;"Sim",G1844&lt;&gt;"Nao",G1844&lt;&gt;""),"PC_PAGO_A_CONTRATADA invalido",IF(AND(C1844&lt;&gt;"C0",IFERROR(INDEX(parametros!$A$2:$A$6,MATCH(C1844,parametros!$B$2:$B$6,0)),"")="Sim",IFERROR(INDEX(parametros!$H$2:$H$6,MATCH(C1844,parametros!$B$2:$B$6,0)),"")=""),"INICIO_EFEITO ausente: PC "&amp;A1844&amp;" - "&amp;C1844,IF(L1844="","EFEITO_PC nao calculado: PC "&amp;A1844&amp;" - "&amp;C1844,"OK")))))))))</f>
        <v/>
      </c>
      <c r="L1844" s="92" t="str">
        <f>IF(AND(A1844="",B1844="",D1844="",G1844=""),"",IF(OR(B1844="",NOT(ISNUMBER(B1844)),C1844="",C1844="Fora dos ciclos"),"",IF(C1844="C0","Nao",IF(IFERROR(INDEX(parametros!$A$2:$A$6,MATCH(C1844,parametros!$B$2:$B$6,0)),"")&lt;&gt;"Sim","Nao",IF(IFERROR(INDEX(parametros!$H$2:$H$6,MATCH(C1844,parametros!$B$2:$B$6,0)),"")="","",IF(B1844&gt;=IFERROR(INDEX(parametros!$H$2:$H$6,MATCH(C1844,parametros!$B$2:$B$6,0)),""),"Sim","Nao"))))))</f>
        <v/>
      </c>
      <c r="T1844" s="156"/>
      <c r="U1844" s="214" t="str">
        <f t="shared" si="146"/>
        <v/>
      </c>
      <c r="V1844" s="212" t="s">
        <v>50</v>
      </c>
      <c r="W1844" s="100" t="s">
        <v>168</v>
      </c>
      <c r="X1844" s="100" t="s">
        <v>169</v>
      </c>
      <c r="Y1844" s="101" t="s">
        <v>170</v>
      </c>
      <c r="Z1844" s="101" t="s">
        <v>171</v>
      </c>
      <c r="AA1844" s="101" t="s">
        <v>50</v>
      </c>
      <c r="AB1844" s="101" t="s">
        <v>172</v>
      </c>
      <c r="AC1844" s="102" t="s">
        <v>173</v>
      </c>
    </row>
    <row r="1845" spans="1:29" ht="25.5" customHeight="1" x14ac:dyDescent="0.35">
      <c r="A1845" s="392"/>
      <c r="B1845" s="393"/>
      <c r="C1845" s="99" t="str">
        <f>IF(B1845="","",IF(NOT(ISNUMBER(B1845)),"DATA_PC invalida",IF(NOT(ISNUMBER(parametros!$C$2)),"Fora dos ciclos",IF(OR(B1845&lt;parametros!$C$2,(YEAR(B1845)-YEAR(parametros!$C$2))*12+MONTH(B1845)-MONTH(parametros!$C$2)&gt;59),"Fora dos ciclos","C"&amp;INT(((YEAR(B1845)-YEAR(parametros!$C$2))*12+MONTH(B1845)-MONTH(parametros!$C$2))/12)))))</f>
        <v/>
      </c>
      <c r="D1845" s="394"/>
      <c r="E1845" s="78" t="str">
        <f>IF(C1845="","",IFERROR(VLOOKUP(C1845,parametros!$A$11:$E$15,5,0),""))</f>
        <v/>
      </c>
      <c r="F1845" s="79" t="str">
        <f t="shared" si="142"/>
        <v/>
      </c>
      <c r="G1845" s="395"/>
      <c r="H1845" s="91">
        <f t="shared" si="143"/>
        <v>0</v>
      </c>
      <c r="I1845" s="91" t="str">
        <f t="shared" si="144"/>
        <v/>
      </c>
      <c r="J1845" s="91" t="str">
        <f t="shared" si="145"/>
        <v/>
      </c>
      <c r="K1845" s="92" t="str">
        <f>IF(AND(A1845="",B1845="",D1845="",G1845=""),"",IF(AND(A1845&lt;&gt;"",COUNTIF($A$2:$A$5001,A1845)&gt;1),"NUMERO_PC duplicado",IF(B1845="","DATA_PC vazia",IF(NOT(ISNUMBER(B1845)),"DATA_PC invalida",IF(OR(C1845="",C1845="Fora dos ciclos"),"CICLO_PC nao identificado",IF(OR(D1845="",D1845=0),"VALOR_PC vazio ou zero",IF(AND(G1845&lt;&gt;"Sim",G1845&lt;&gt;"Nao",G1845&lt;&gt;""),"PC_PAGO_A_CONTRATADA invalido",IF(AND(C1845&lt;&gt;"C0",IFERROR(INDEX(parametros!$A$2:$A$6,MATCH(C1845,parametros!$B$2:$B$6,0)),"")="Sim",IFERROR(INDEX(parametros!$H$2:$H$6,MATCH(C1845,parametros!$B$2:$B$6,0)),"")=""),"INICIO_EFEITO ausente: PC "&amp;A1845&amp;" - "&amp;C1845,IF(L1845="","EFEITO_PC nao calculado: PC "&amp;A1845&amp;" - "&amp;C1845,"OK")))))))))</f>
        <v/>
      </c>
      <c r="L1845" s="92" t="str">
        <f>IF(AND(A1845="",B1845="",D1845="",G1845=""),"",IF(OR(B1845="",NOT(ISNUMBER(B1845)),C1845="",C1845="Fora dos ciclos"),"",IF(C1845="C0","Nao",IF(IFERROR(INDEX(parametros!$A$2:$A$6,MATCH(C1845,parametros!$B$2:$B$6,0)),"")&lt;&gt;"Sim","Nao",IF(IFERROR(INDEX(parametros!$H$2:$H$6,MATCH(C1845,parametros!$B$2:$B$6,0)),"")="","",IF(B1845&gt;=IFERROR(INDEX(parametros!$H$2:$H$6,MATCH(C1845,parametros!$B$2:$B$6,0)),""),"Sim","Nao"))))))</f>
        <v/>
      </c>
      <c r="T1845" s="156"/>
      <c r="U1845" s="214" t="str">
        <f t="shared" si="146"/>
        <v/>
      </c>
      <c r="V1845" s="212" t="s">
        <v>50</v>
      </c>
      <c r="W1845" s="100" t="s">
        <v>168</v>
      </c>
      <c r="X1845" s="100" t="s">
        <v>169</v>
      </c>
      <c r="Y1845" s="101" t="s">
        <v>170</v>
      </c>
      <c r="Z1845" s="101" t="s">
        <v>171</v>
      </c>
      <c r="AA1845" s="101" t="s">
        <v>50</v>
      </c>
      <c r="AB1845" s="101" t="s">
        <v>172</v>
      </c>
      <c r="AC1845" s="102" t="s">
        <v>173</v>
      </c>
    </row>
    <row r="1846" spans="1:29" ht="25.5" customHeight="1" x14ac:dyDescent="0.35">
      <c r="A1846" s="392"/>
      <c r="B1846" s="393"/>
      <c r="C1846" s="99" t="str">
        <f>IF(B1846="","",IF(NOT(ISNUMBER(B1846)),"DATA_PC invalida",IF(NOT(ISNUMBER(parametros!$C$2)),"Fora dos ciclos",IF(OR(B1846&lt;parametros!$C$2,(YEAR(B1846)-YEAR(parametros!$C$2))*12+MONTH(B1846)-MONTH(parametros!$C$2)&gt;59),"Fora dos ciclos","C"&amp;INT(((YEAR(B1846)-YEAR(parametros!$C$2))*12+MONTH(B1846)-MONTH(parametros!$C$2))/12)))))</f>
        <v/>
      </c>
      <c r="D1846" s="394"/>
      <c r="E1846" s="78" t="str">
        <f>IF(C1846="","",IFERROR(VLOOKUP(C1846,parametros!$A$11:$E$15,5,0),""))</f>
        <v/>
      </c>
      <c r="F1846" s="79" t="str">
        <f t="shared" si="142"/>
        <v/>
      </c>
      <c r="G1846" s="395"/>
      <c r="H1846" s="91">
        <f t="shared" si="143"/>
        <v>0</v>
      </c>
      <c r="I1846" s="91" t="str">
        <f t="shared" si="144"/>
        <v/>
      </c>
      <c r="J1846" s="91" t="str">
        <f t="shared" si="145"/>
        <v/>
      </c>
      <c r="K1846" s="92" t="str">
        <f>IF(AND(A1846="",B1846="",D1846="",G1846=""),"",IF(AND(A1846&lt;&gt;"",COUNTIF($A$2:$A$5001,A1846)&gt;1),"NUMERO_PC duplicado",IF(B1846="","DATA_PC vazia",IF(NOT(ISNUMBER(B1846)),"DATA_PC invalida",IF(OR(C1846="",C1846="Fora dos ciclos"),"CICLO_PC nao identificado",IF(OR(D1846="",D1846=0),"VALOR_PC vazio ou zero",IF(AND(G1846&lt;&gt;"Sim",G1846&lt;&gt;"Nao",G1846&lt;&gt;""),"PC_PAGO_A_CONTRATADA invalido",IF(AND(C1846&lt;&gt;"C0",IFERROR(INDEX(parametros!$A$2:$A$6,MATCH(C1846,parametros!$B$2:$B$6,0)),"")="Sim",IFERROR(INDEX(parametros!$H$2:$H$6,MATCH(C1846,parametros!$B$2:$B$6,0)),"")=""),"INICIO_EFEITO ausente: PC "&amp;A1846&amp;" - "&amp;C1846,IF(L1846="","EFEITO_PC nao calculado: PC "&amp;A1846&amp;" - "&amp;C1846,"OK")))))))))</f>
        <v/>
      </c>
      <c r="L1846" s="92" t="str">
        <f>IF(AND(A1846="",B1846="",D1846="",G1846=""),"",IF(OR(B1846="",NOT(ISNUMBER(B1846)),C1846="",C1846="Fora dos ciclos"),"",IF(C1846="C0","Nao",IF(IFERROR(INDEX(parametros!$A$2:$A$6,MATCH(C1846,parametros!$B$2:$B$6,0)),"")&lt;&gt;"Sim","Nao",IF(IFERROR(INDEX(parametros!$H$2:$H$6,MATCH(C1846,parametros!$B$2:$B$6,0)),"")="","",IF(B1846&gt;=IFERROR(INDEX(parametros!$H$2:$H$6,MATCH(C1846,parametros!$B$2:$B$6,0)),""),"Sim","Nao"))))))</f>
        <v/>
      </c>
      <c r="T1846" s="156"/>
      <c r="U1846" s="214" t="str">
        <f t="shared" si="146"/>
        <v/>
      </c>
      <c r="V1846" s="212" t="s">
        <v>50</v>
      </c>
      <c r="W1846" s="100" t="s">
        <v>168</v>
      </c>
      <c r="X1846" s="100" t="s">
        <v>169</v>
      </c>
      <c r="Y1846" s="101" t="s">
        <v>170</v>
      </c>
      <c r="Z1846" s="101" t="s">
        <v>171</v>
      </c>
      <c r="AA1846" s="101" t="s">
        <v>50</v>
      </c>
      <c r="AB1846" s="101" t="s">
        <v>172</v>
      </c>
      <c r="AC1846" s="102" t="s">
        <v>173</v>
      </c>
    </row>
    <row r="1847" spans="1:29" ht="25.5" customHeight="1" x14ac:dyDescent="0.35">
      <c r="A1847" s="392"/>
      <c r="B1847" s="393"/>
      <c r="C1847" s="99" t="str">
        <f>IF(B1847="","",IF(NOT(ISNUMBER(B1847)),"DATA_PC invalida",IF(NOT(ISNUMBER(parametros!$C$2)),"Fora dos ciclos",IF(OR(B1847&lt;parametros!$C$2,(YEAR(B1847)-YEAR(parametros!$C$2))*12+MONTH(B1847)-MONTH(parametros!$C$2)&gt;59),"Fora dos ciclos","C"&amp;INT(((YEAR(B1847)-YEAR(parametros!$C$2))*12+MONTH(B1847)-MONTH(parametros!$C$2))/12)))))</f>
        <v/>
      </c>
      <c r="D1847" s="394"/>
      <c r="E1847" s="78" t="str">
        <f>IF(C1847="","",IFERROR(VLOOKUP(C1847,parametros!$A$11:$E$15,5,0),""))</f>
        <v/>
      </c>
      <c r="F1847" s="79" t="str">
        <f t="shared" si="142"/>
        <v/>
      </c>
      <c r="G1847" s="395"/>
      <c r="H1847" s="91">
        <f t="shared" si="143"/>
        <v>0</v>
      </c>
      <c r="I1847" s="91" t="str">
        <f t="shared" si="144"/>
        <v/>
      </c>
      <c r="J1847" s="91" t="str">
        <f t="shared" si="145"/>
        <v/>
      </c>
      <c r="K1847" s="92" t="str">
        <f>IF(AND(A1847="",B1847="",D1847="",G1847=""),"",IF(AND(A1847&lt;&gt;"",COUNTIF($A$2:$A$5001,A1847)&gt;1),"NUMERO_PC duplicado",IF(B1847="","DATA_PC vazia",IF(NOT(ISNUMBER(B1847)),"DATA_PC invalida",IF(OR(C1847="",C1847="Fora dos ciclos"),"CICLO_PC nao identificado",IF(OR(D1847="",D1847=0),"VALOR_PC vazio ou zero",IF(AND(G1847&lt;&gt;"Sim",G1847&lt;&gt;"Nao",G1847&lt;&gt;""),"PC_PAGO_A_CONTRATADA invalido",IF(AND(C1847&lt;&gt;"C0",IFERROR(INDEX(parametros!$A$2:$A$6,MATCH(C1847,parametros!$B$2:$B$6,0)),"")="Sim",IFERROR(INDEX(parametros!$H$2:$H$6,MATCH(C1847,parametros!$B$2:$B$6,0)),"")=""),"INICIO_EFEITO ausente: PC "&amp;A1847&amp;" - "&amp;C1847,IF(L1847="","EFEITO_PC nao calculado: PC "&amp;A1847&amp;" - "&amp;C1847,"OK")))))))))</f>
        <v/>
      </c>
      <c r="L1847" s="92" t="str">
        <f>IF(AND(A1847="",B1847="",D1847="",G1847=""),"",IF(OR(B1847="",NOT(ISNUMBER(B1847)),C1847="",C1847="Fora dos ciclos"),"",IF(C1847="C0","Nao",IF(IFERROR(INDEX(parametros!$A$2:$A$6,MATCH(C1847,parametros!$B$2:$B$6,0)),"")&lt;&gt;"Sim","Nao",IF(IFERROR(INDEX(parametros!$H$2:$H$6,MATCH(C1847,parametros!$B$2:$B$6,0)),"")="","",IF(B1847&gt;=IFERROR(INDEX(parametros!$H$2:$H$6,MATCH(C1847,parametros!$B$2:$B$6,0)),""),"Sim","Nao"))))))</f>
        <v/>
      </c>
      <c r="T1847" s="156"/>
      <c r="U1847" s="214" t="str">
        <f t="shared" si="146"/>
        <v/>
      </c>
      <c r="V1847" s="212" t="s">
        <v>50</v>
      </c>
      <c r="W1847" s="100" t="s">
        <v>168</v>
      </c>
      <c r="X1847" s="100" t="s">
        <v>169</v>
      </c>
      <c r="Y1847" s="101" t="s">
        <v>170</v>
      </c>
      <c r="Z1847" s="101" t="s">
        <v>171</v>
      </c>
      <c r="AA1847" s="101" t="s">
        <v>50</v>
      </c>
      <c r="AB1847" s="101" t="s">
        <v>172</v>
      </c>
      <c r="AC1847" s="102" t="s">
        <v>173</v>
      </c>
    </row>
    <row r="1848" spans="1:29" ht="25.5" customHeight="1" x14ac:dyDescent="0.35">
      <c r="A1848" s="392"/>
      <c r="B1848" s="393"/>
      <c r="C1848" s="99" t="str">
        <f>IF(B1848="","",IF(NOT(ISNUMBER(B1848)),"DATA_PC invalida",IF(NOT(ISNUMBER(parametros!$C$2)),"Fora dos ciclos",IF(OR(B1848&lt;parametros!$C$2,(YEAR(B1848)-YEAR(parametros!$C$2))*12+MONTH(B1848)-MONTH(parametros!$C$2)&gt;59),"Fora dos ciclos","C"&amp;INT(((YEAR(B1848)-YEAR(parametros!$C$2))*12+MONTH(B1848)-MONTH(parametros!$C$2))/12)))))</f>
        <v/>
      </c>
      <c r="D1848" s="394"/>
      <c r="E1848" s="78" t="str">
        <f>IF(C1848="","",IFERROR(VLOOKUP(C1848,parametros!$A$11:$E$15,5,0),""))</f>
        <v/>
      </c>
      <c r="F1848" s="79" t="str">
        <f t="shared" si="142"/>
        <v/>
      </c>
      <c r="G1848" s="395"/>
      <c r="H1848" s="91">
        <f t="shared" si="143"/>
        <v>0</v>
      </c>
      <c r="I1848" s="91" t="str">
        <f t="shared" si="144"/>
        <v/>
      </c>
      <c r="J1848" s="91" t="str">
        <f t="shared" si="145"/>
        <v/>
      </c>
      <c r="K1848" s="92" t="str">
        <f>IF(AND(A1848="",B1848="",D1848="",G1848=""),"",IF(AND(A1848&lt;&gt;"",COUNTIF($A$2:$A$5001,A1848)&gt;1),"NUMERO_PC duplicado",IF(B1848="","DATA_PC vazia",IF(NOT(ISNUMBER(B1848)),"DATA_PC invalida",IF(OR(C1848="",C1848="Fora dos ciclos"),"CICLO_PC nao identificado",IF(OR(D1848="",D1848=0),"VALOR_PC vazio ou zero",IF(AND(G1848&lt;&gt;"Sim",G1848&lt;&gt;"Nao",G1848&lt;&gt;""),"PC_PAGO_A_CONTRATADA invalido",IF(AND(C1848&lt;&gt;"C0",IFERROR(INDEX(parametros!$A$2:$A$6,MATCH(C1848,parametros!$B$2:$B$6,0)),"")="Sim",IFERROR(INDEX(parametros!$H$2:$H$6,MATCH(C1848,parametros!$B$2:$B$6,0)),"")=""),"INICIO_EFEITO ausente: PC "&amp;A1848&amp;" - "&amp;C1848,IF(L1848="","EFEITO_PC nao calculado: PC "&amp;A1848&amp;" - "&amp;C1848,"OK")))))))))</f>
        <v/>
      </c>
      <c r="L1848" s="92" t="str">
        <f>IF(AND(A1848="",B1848="",D1848="",G1848=""),"",IF(OR(B1848="",NOT(ISNUMBER(B1848)),C1848="",C1848="Fora dos ciclos"),"",IF(C1848="C0","Nao",IF(IFERROR(INDEX(parametros!$A$2:$A$6,MATCH(C1848,parametros!$B$2:$B$6,0)),"")&lt;&gt;"Sim","Nao",IF(IFERROR(INDEX(parametros!$H$2:$H$6,MATCH(C1848,parametros!$B$2:$B$6,0)),"")="","",IF(B1848&gt;=IFERROR(INDEX(parametros!$H$2:$H$6,MATCH(C1848,parametros!$B$2:$B$6,0)),""),"Sim","Nao"))))))</f>
        <v/>
      </c>
      <c r="T1848" s="156"/>
      <c r="U1848" s="214" t="str">
        <f t="shared" si="146"/>
        <v/>
      </c>
      <c r="V1848" s="212" t="s">
        <v>50</v>
      </c>
      <c r="W1848" s="100" t="s">
        <v>168</v>
      </c>
      <c r="X1848" s="100" t="s">
        <v>169</v>
      </c>
      <c r="Y1848" s="101" t="s">
        <v>170</v>
      </c>
      <c r="Z1848" s="101" t="s">
        <v>171</v>
      </c>
      <c r="AA1848" s="101" t="s">
        <v>50</v>
      </c>
      <c r="AB1848" s="101" t="s">
        <v>172</v>
      </c>
      <c r="AC1848" s="102" t="s">
        <v>173</v>
      </c>
    </row>
    <row r="1849" spans="1:29" ht="25.5" customHeight="1" x14ac:dyDescent="0.35">
      <c r="A1849" s="392"/>
      <c r="B1849" s="393"/>
      <c r="C1849" s="99" t="str">
        <f>IF(B1849="","",IF(NOT(ISNUMBER(B1849)),"DATA_PC invalida",IF(NOT(ISNUMBER(parametros!$C$2)),"Fora dos ciclos",IF(OR(B1849&lt;parametros!$C$2,(YEAR(B1849)-YEAR(parametros!$C$2))*12+MONTH(B1849)-MONTH(parametros!$C$2)&gt;59),"Fora dos ciclos","C"&amp;INT(((YEAR(B1849)-YEAR(parametros!$C$2))*12+MONTH(B1849)-MONTH(parametros!$C$2))/12)))))</f>
        <v/>
      </c>
      <c r="D1849" s="394"/>
      <c r="E1849" s="78" t="str">
        <f>IF(C1849="","",IFERROR(VLOOKUP(C1849,parametros!$A$11:$E$15,5,0),""))</f>
        <v/>
      </c>
      <c r="F1849" s="79" t="str">
        <f t="shared" si="142"/>
        <v/>
      </c>
      <c r="G1849" s="395"/>
      <c r="H1849" s="91">
        <f t="shared" si="143"/>
        <v>0</v>
      </c>
      <c r="I1849" s="91" t="str">
        <f t="shared" si="144"/>
        <v/>
      </c>
      <c r="J1849" s="91" t="str">
        <f t="shared" si="145"/>
        <v/>
      </c>
      <c r="K1849" s="92" t="str">
        <f>IF(AND(A1849="",B1849="",D1849="",G1849=""),"",IF(AND(A1849&lt;&gt;"",COUNTIF($A$2:$A$5001,A1849)&gt;1),"NUMERO_PC duplicado",IF(B1849="","DATA_PC vazia",IF(NOT(ISNUMBER(B1849)),"DATA_PC invalida",IF(OR(C1849="",C1849="Fora dos ciclos"),"CICLO_PC nao identificado",IF(OR(D1849="",D1849=0),"VALOR_PC vazio ou zero",IF(AND(G1849&lt;&gt;"Sim",G1849&lt;&gt;"Nao",G1849&lt;&gt;""),"PC_PAGO_A_CONTRATADA invalido",IF(AND(C1849&lt;&gt;"C0",IFERROR(INDEX(parametros!$A$2:$A$6,MATCH(C1849,parametros!$B$2:$B$6,0)),"")="Sim",IFERROR(INDEX(parametros!$H$2:$H$6,MATCH(C1849,parametros!$B$2:$B$6,0)),"")=""),"INICIO_EFEITO ausente: PC "&amp;A1849&amp;" - "&amp;C1849,IF(L1849="","EFEITO_PC nao calculado: PC "&amp;A1849&amp;" - "&amp;C1849,"OK")))))))))</f>
        <v/>
      </c>
      <c r="L1849" s="92" t="str">
        <f>IF(AND(A1849="",B1849="",D1849="",G1849=""),"",IF(OR(B1849="",NOT(ISNUMBER(B1849)),C1849="",C1849="Fora dos ciclos"),"",IF(C1849="C0","Nao",IF(IFERROR(INDEX(parametros!$A$2:$A$6,MATCH(C1849,parametros!$B$2:$B$6,0)),"")&lt;&gt;"Sim","Nao",IF(IFERROR(INDEX(parametros!$H$2:$H$6,MATCH(C1849,parametros!$B$2:$B$6,0)),"")="","",IF(B1849&gt;=IFERROR(INDEX(parametros!$H$2:$H$6,MATCH(C1849,parametros!$B$2:$B$6,0)),""),"Sim","Nao"))))))</f>
        <v/>
      </c>
      <c r="T1849" s="156"/>
      <c r="U1849" s="214" t="str">
        <f t="shared" si="146"/>
        <v/>
      </c>
      <c r="V1849" s="212" t="s">
        <v>50</v>
      </c>
      <c r="W1849" s="100" t="s">
        <v>168</v>
      </c>
      <c r="X1849" s="100" t="s">
        <v>169</v>
      </c>
      <c r="Y1849" s="101" t="s">
        <v>170</v>
      </c>
      <c r="Z1849" s="101" t="s">
        <v>171</v>
      </c>
      <c r="AA1849" s="101" t="s">
        <v>50</v>
      </c>
      <c r="AB1849" s="101" t="s">
        <v>172</v>
      </c>
      <c r="AC1849" s="102" t="s">
        <v>173</v>
      </c>
    </row>
    <row r="1850" spans="1:29" ht="25.5" customHeight="1" x14ac:dyDescent="0.35">
      <c r="A1850" s="392"/>
      <c r="B1850" s="393"/>
      <c r="C1850" s="99" t="str">
        <f>IF(B1850="","",IF(NOT(ISNUMBER(B1850)),"DATA_PC invalida",IF(NOT(ISNUMBER(parametros!$C$2)),"Fora dos ciclos",IF(OR(B1850&lt;parametros!$C$2,(YEAR(B1850)-YEAR(parametros!$C$2))*12+MONTH(B1850)-MONTH(parametros!$C$2)&gt;59),"Fora dos ciclos","C"&amp;INT(((YEAR(B1850)-YEAR(parametros!$C$2))*12+MONTH(B1850)-MONTH(parametros!$C$2))/12)))))</f>
        <v/>
      </c>
      <c r="D1850" s="394"/>
      <c r="E1850" s="78" t="str">
        <f>IF(C1850="","",IFERROR(VLOOKUP(C1850,parametros!$A$11:$E$15,5,0),""))</f>
        <v/>
      </c>
      <c r="F1850" s="79" t="str">
        <f t="shared" si="142"/>
        <v/>
      </c>
      <c r="G1850" s="395"/>
      <c r="H1850" s="91">
        <f t="shared" si="143"/>
        <v>0</v>
      </c>
      <c r="I1850" s="91" t="str">
        <f t="shared" si="144"/>
        <v/>
      </c>
      <c r="J1850" s="91" t="str">
        <f t="shared" si="145"/>
        <v/>
      </c>
      <c r="K1850" s="92" t="str">
        <f>IF(AND(A1850="",B1850="",D1850="",G1850=""),"",IF(AND(A1850&lt;&gt;"",COUNTIF($A$2:$A$5001,A1850)&gt;1),"NUMERO_PC duplicado",IF(B1850="","DATA_PC vazia",IF(NOT(ISNUMBER(B1850)),"DATA_PC invalida",IF(OR(C1850="",C1850="Fora dos ciclos"),"CICLO_PC nao identificado",IF(OR(D1850="",D1850=0),"VALOR_PC vazio ou zero",IF(AND(G1850&lt;&gt;"Sim",G1850&lt;&gt;"Nao",G1850&lt;&gt;""),"PC_PAGO_A_CONTRATADA invalido",IF(AND(C1850&lt;&gt;"C0",IFERROR(INDEX(parametros!$A$2:$A$6,MATCH(C1850,parametros!$B$2:$B$6,0)),"")="Sim",IFERROR(INDEX(parametros!$H$2:$H$6,MATCH(C1850,parametros!$B$2:$B$6,0)),"")=""),"INICIO_EFEITO ausente: PC "&amp;A1850&amp;" - "&amp;C1850,IF(L1850="","EFEITO_PC nao calculado: PC "&amp;A1850&amp;" - "&amp;C1850,"OK")))))))))</f>
        <v/>
      </c>
      <c r="L1850" s="92" t="str">
        <f>IF(AND(A1850="",B1850="",D1850="",G1850=""),"",IF(OR(B1850="",NOT(ISNUMBER(B1850)),C1850="",C1850="Fora dos ciclos"),"",IF(C1850="C0","Nao",IF(IFERROR(INDEX(parametros!$A$2:$A$6,MATCH(C1850,parametros!$B$2:$B$6,0)),"")&lt;&gt;"Sim","Nao",IF(IFERROR(INDEX(parametros!$H$2:$H$6,MATCH(C1850,parametros!$B$2:$B$6,0)),"")="","",IF(B1850&gt;=IFERROR(INDEX(parametros!$H$2:$H$6,MATCH(C1850,parametros!$B$2:$B$6,0)),""),"Sim","Nao"))))))</f>
        <v/>
      </c>
      <c r="T1850" s="156"/>
      <c r="U1850" s="214" t="str">
        <f t="shared" si="146"/>
        <v/>
      </c>
      <c r="V1850" s="212" t="s">
        <v>50</v>
      </c>
      <c r="W1850" s="100" t="s">
        <v>168</v>
      </c>
      <c r="X1850" s="100" t="s">
        <v>169</v>
      </c>
      <c r="Y1850" s="101" t="s">
        <v>170</v>
      </c>
      <c r="Z1850" s="101" t="s">
        <v>171</v>
      </c>
      <c r="AA1850" s="101" t="s">
        <v>50</v>
      </c>
      <c r="AB1850" s="101" t="s">
        <v>172</v>
      </c>
      <c r="AC1850" s="102" t="s">
        <v>173</v>
      </c>
    </row>
    <row r="1851" spans="1:29" ht="25.5" customHeight="1" x14ac:dyDescent="0.35">
      <c r="A1851" s="392"/>
      <c r="B1851" s="393"/>
      <c r="C1851" s="99" t="str">
        <f>IF(B1851="","",IF(NOT(ISNUMBER(B1851)),"DATA_PC invalida",IF(NOT(ISNUMBER(parametros!$C$2)),"Fora dos ciclos",IF(OR(B1851&lt;parametros!$C$2,(YEAR(B1851)-YEAR(parametros!$C$2))*12+MONTH(B1851)-MONTH(parametros!$C$2)&gt;59),"Fora dos ciclos","C"&amp;INT(((YEAR(B1851)-YEAR(parametros!$C$2))*12+MONTH(B1851)-MONTH(parametros!$C$2))/12)))))</f>
        <v/>
      </c>
      <c r="D1851" s="394"/>
      <c r="E1851" s="78" t="str">
        <f>IF(C1851="","",IFERROR(VLOOKUP(C1851,parametros!$A$11:$E$15,5,0),""))</f>
        <v/>
      </c>
      <c r="F1851" s="79" t="str">
        <f t="shared" si="142"/>
        <v/>
      </c>
      <c r="G1851" s="395"/>
      <c r="H1851" s="91">
        <f t="shared" si="143"/>
        <v>0</v>
      </c>
      <c r="I1851" s="91" t="str">
        <f t="shared" si="144"/>
        <v/>
      </c>
      <c r="J1851" s="91" t="str">
        <f t="shared" si="145"/>
        <v/>
      </c>
      <c r="K1851" s="92" t="str">
        <f>IF(AND(A1851="",B1851="",D1851="",G1851=""),"",IF(AND(A1851&lt;&gt;"",COUNTIF($A$2:$A$5001,A1851)&gt;1),"NUMERO_PC duplicado",IF(B1851="","DATA_PC vazia",IF(NOT(ISNUMBER(B1851)),"DATA_PC invalida",IF(OR(C1851="",C1851="Fora dos ciclos"),"CICLO_PC nao identificado",IF(OR(D1851="",D1851=0),"VALOR_PC vazio ou zero",IF(AND(G1851&lt;&gt;"Sim",G1851&lt;&gt;"Nao",G1851&lt;&gt;""),"PC_PAGO_A_CONTRATADA invalido",IF(AND(C1851&lt;&gt;"C0",IFERROR(INDEX(parametros!$A$2:$A$6,MATCH(C1851,parametros!$B$2:$B$6,0)),"")="Sim",IFERROR(INDEX(parametros!$H$2:$H$6,MATCH(C1851,parametros!$B$2:$B$6,0)),"")=""),"INICIO_EFEITO ausente: PC "&amp;A1851&amp;" - "&amp;C1851,IF(L1851="","EFEITO_PC nao calculado: PC "&amp;A1851&amp;" - "&amp;C1851,"OK")))))))))</f>
        <v/>
      </c>
      <c r="L1851" s="92" t="str">
        <f>IF(AND(A1851="",B1851="",D1851="",G1851=""),"",IF(OR(B1851="",NOT(ISNUMBER(B1851)),C1851="",C1851="Fora dos ciclos"),"",IF(C1851="C0","Nao",IF(IFERROR(INDEX(parametros!$A$2:$A$6,MATCH(C1851,parametros!$B$2:$B$6,0)),"")&lt;&gt;"Sim","Nao",IF(IFERROR(INDEX(parametros!$H$2:$H$6,MATCH(C1851,parametros!$B$2:$B$6,0)),"")="","",IF(B1851&gt;=IFERROR(INDEX(parametros!$H$2:$H$6,MATCH(C1851,parametros!$B$2:$B$6,0)),""),"Sim","Nao"))))))</f>
        <v/>
      </c>
      <c r="T1851" s="156"/>
      <c r="U1851" s="214" t="str">
        <f t="shared" si="146"/>
        <v/>
      </c>
      <c r="V1851" s="212" t="s">
        <v>50</v>
      </c>
      <c r="W1851" s="100" t="s">
        <v>168</v>
      </c>
      <c r="X1851" s="100" t="s">
        <v>169</v>
      </c>
      <c r="Y1851" s="101" t="s">
        <v>170</v>
      </c>
      <c r="Z1851" s="101" t="s">
        <v>171</v>
      </c>
      <c r="AA1851" s="101" t="s">
        <v>50</v>
      </c>
      <c r="AB1851" s="101" t="s">
        <v>172</v>
      </c>
      <c r="AC1851" s="102" t="s">
        <v>173</v>
      </c>
    </row>
    <row r="1852" spans="1:29" ht="25.5" customHeight="1" x14ac:dyDescent="0.35">
      <c r="A1852" s="392"/>
      <c r="B1852" s="393"/>
      <c r="C1852" s="99" t="str">
        <f>IF(B1852="","",IF(NOT(ISNUMBER(B1852)),"DATA_PC invalida",IF(NOT(ISNUMBER(parametros!$C$2)),"Fora dos ciclos",IF(OR(B1852&lt;parametros!$C$2,(YEAR(B1852)-YEAR(parametros!$C$2))*12+MONTH(B1852)-MONTH(parametros!$C$2)&gt;59),"Fora dos ciclos","C"&amp;INT(((YEAR(B1852)-YEAR(parametros!$C$2))*12+MONTH(B1852)-MONTH(parametros!$C$2))/12)))))</f>
        <v/>
      </c>
      <c r="D1852" s="394"/>
      <c r="E1852" s="78" t="str">
        <f>IF(C1852="","",IFERROR(VLOOKUP(C1852,parametros!$A$11:$E$15,5,0),""))</f>
        <v/>
      </c>
      <c r="F1852" s="79" t="str">
        <f t="shared" si="142"/>
        <v/>
      </c>
      <c r="G1852" s="395"/>
      <c r="H1852" s="91">
        <f t="shared" si="143"/>
        <v>0</v>
      </c>
      <c r="I1852" s="91" t="str">
        <f t="shared" si="144"/>
        <v/>
      </c>
      <c r="J1852" s="91" t="str">
        <f t="shared" si="145"/>
        <v/>
      </c>
      <c r="K1852" s="92" t="str">
        <f>IF(AND(A1852="",B1852="",D1852="",G1852=""),"",IF(AND(A1852&lt;&gt;"",COUNTIF($A$2:$A$5001,A1852)&gt;1),"NUMERO_PC duplicado",IF(B1852="","DATA_PC vazia",IF(NOT(ISNUMBER(B1852)),"DATA_PC invalida",IF(OR(C1852="",C1852="Fora dos ciclos"),"CICLO_PC nao identificado",IF(OR(D1852="",D1852=0),"VALOR_PC vazio ou zero",IF(AND(G1852&lt;&gt;"Sim",G1852&lt;&gt;"Nao",G1852&lt;&gt;""),"PC_PAGO_A_CONTRATADA invalido",IF(AND(C1852&lt;&gt;"C0",IFERROR(INDEX(parametros!$A$2:$A$6,MATCH(C1852,parametros!$B$2:$B$6,0)),"")="Sim",IFERROR(INDEX(parametros!$H$2:$H$6,MATCH(C1852,parametros!$B$2:$B$6,0)),"")=""),"INICIO_EFEITO ausente: PC "&amp;A1852&amp;" - "&amp;C1852,IF(L1852="","EFEITO_PC nao calculado: PC "&amp;A1852&amp;" - "&amp;C1852,"OK")))))))))</f>
        <v/>
      </c>
      <c r="L1852" s="92" t="str">
        <f>IF(AND(A1852="",B1852="",D1852="",G1852=""),"",IF(OR(B1852="",NOT(ISNUMBER(B1852)),C1852="",C1852="Fora dos ciclos"),"",IF(C1852="C0","Nao",IF(IFERROR(INDEX(parametros!$A$2:$A$6,MATCH(C1852,parametros!$B$2:$B$6,0)),"")&lt;&gt;"Sim","Nao",IF(IFERROR(INDEX(parametros!$H$2:$H$6,MATCH(C1852,parametros!$B$2:$B$6,0)),"")="","",IF(B1852&gt;=IFERROR(INDEX(parametros!$H$2:$H$6,MATCH(C1852,parametros!$B$2:$B$6,0)),""),"Sim","Nao"))))))</f>
        <v/>
      </c>
      <c r="T1852" s="156"/>
      <c r="U1852" s="214" t="str">
        <f t="shared" si="146"/>
        <v/>
      </c>
      <c r="V1852" s="212" t="s">
        <v>50</v>
      </c>
      <c r="W1852" s="100" t="s">
        <v>168</v>
      </c>
      <c r="X1852" s="100" t="s">
        <v>169</v>
      </c>
      <c r="Y1852" s="101" t="s">
        <v>170</v>
      </c>
      <c r="Z1852" s="101" t="s">
        <v>171</v>
      </c>
      <c r="AA1852" s="101" t="s">
        <v>50</v>
      </c>
      <c r="AB1852" s="101" t="s">
        <v>172</v>
      </c>
      <c r="AC1852" s="102" t="s">
        <v>173</v>
      </c>
    </row>
    <row r="1853" spans="1:29" ht="25.5" customHeight="1" x14ac:dyDescent="0.35">
      <c r="A1853" s="392"/>
      <c r="B1853" s="393"/>
      <c r="C1853" s="99" t="str">
        <f>IF(B1853="","",IF(NOT(ISNUMBER(B1853)),"DATA_PC invalida",IF(NOT(ISNUMBER(parametros!$C$2)),"Fora dos ciclos",IF(OR(B1853&lt;parametros!$C$2,(YEAR(B1853)-YEAR(parametros!$C$2))*12+MONTH(B1853)-MONTH(parametros!$C$2)&gt;59),"Fora dos ciclos","C"&amp;INT(((YEAR(B1853)-YEAR(parametros!$C$2))*12+MONTH(B1853)-MONTH(parametros!$C$2))/12)))))</f>
        <v/>
      </c>
      <c r="D1853" s="394"/>
      <c r="E1853" s="78" t="str">
        <f>IF(C1853="","",IFERROR(VLOOKUP(C1853,parametros!$A$11:$E$15,5,0),""))</f>
        <v/>
      </c>
      <c r="F1853" s="79" t="str">
        <f t="shared" si="142"/>
        <v/>
      </c>
      <c r="G1853" s="395"/>
      <c r="H1853" s="91">
        <f t="shared" si="143"/>
        <v>0</v>
      </c>
      <c r="I1853" s="91" t="str">
        <f t="shared" si="144"/>
        <v/>
      </c>
      <c r="J1853" s="91" t="str">
        <f t="shared" si="145"/>
        <v/>
      </c>
      <c r="K1853" s="92" t="str">
        <f>IF(AND(A1853="",B1853="",D1853="",G1853=""),"",IF(AND(A1853&lt;&gt;"",COUNTIF($A$2:$A$5001,A1853)&gt;1),"NUMERO_PC duplicado",IF(B1853="","DATA_PC vazia",IF(NOT(ISNUMBER(B1853)),"DATA_PC invalida",IF(OR(C1853="",C1853="Fora dos ciclos"),"CICLO_PC nao identificado",IF(OR(D1853="",D1853=0),"VALOR_PC vazio ou zero",IF(AND(G1853&lt;&gt;"Sim",G1853&lt;&gt;"Nao",G1853&lt;&gt;""),"PC_PAGO_A_CONTRATADA invalido",IF(AND(C1853&lt;&gt;"C0",IFERROR(INDEX(parametros!$A$2:$A$6,MATCH(C1853,parametros!$B$2:$B$6,0)),"")="Sim",IFERROR(INDEX(parametros!$H$2:$H$6,MATCH(C1853,parametros!$B$2:$B$6,0)),"")=""),"INICIO_EFEITO ausente: PC "&amp;A1853&amp;" - "&amp;C1853,IF(L1853="","EFEITO_PC nao calculado: PC "&amp;A1853&amp;" - "&amp;C1853,"OK")))))))))</f>
        <v/>
      </c>
      <c r="L1853" s="92" t="str">
        <f>IF(AND(A1853="",B1853="",D1853="",G1853=""),"",IF(OR(B1853="",NOT(ISNUMBER(B1853)),C1853="",C1853="Fora dos ciclos"),"",IF(C1853="C0","Nao",IF(IFERROR(INDEX(parametros!$A$2:$A$6,MATCH(C1853,parametros!$B$2:$B$6,0)),"")&lt;&gt;"Sim","Nao",IF(IFERROR(INDEX(parametros!$H$2:$H$6,MATCH(C1853,parametros!$B$2:$B$6,0)),"")="","",IF(B1853&gt;=IFERROR(INDEX(parametros!$H$2:$H$6,MATCH(C1853,parametros!$B$2:$B$6,0)),""),"Sim","Nao"))))))</f>
        <v/>
      </c>
      <c r="T1853" s="156"/>
      <c r="U1853" s="214" t="str">
        <f t="shared" si="146"/>
        <v/>
      </c>
      <c r="V1853" s="212" t="s">
        <v>50</v>
      </c>
      <c r="W1853" s="100" t="s">
        <v>168</v>
      </c>
      <c r="X1853" s="100" t="s">
        <v>169</v>
      </c>
      <c r="Y1853" s="101" t="s">
        <v>170</v>
      </c>
      <c r="Z1853" s="101" t="s">
        <v>171</v>
      </c>
      <c r="AA1853" s="101" t="s">
        <v>50</v>
      </c>
      <c r="AB1853" s="101" t="s">
        <v>172</v>
      </c>
      <c r="AC1853" s="102" t="s">
        <v>173</v>
      </c>
    </row>
    <row r="1854" spans="1:29" ht="25.5" customHeight="1" x14ac:dyDescent="0.35">
      <c r="A1854" s="392"/>
      <c r="B1854" s="393"/>
      <c r="C1854" s="99" t="str">
        <f>IF(B1854="","",IF(NOT(ISNUMBER(B1854)),"DATA_PC invalida",IF(NOT(ISNUMBER(parametros!$C$2)),"Fora dos ciclos",IF(OR(B1854&lt;parametros!$C$2,(YEAR(B1854)-YEAR(parametros!$C$2))*12+MONTH(B1854)-MONTH(parametros!$C$2)&gt;59),"Fora dos ciclos","C"&amp;INT(((YEAR(B1854)-YEAR(parametros!$C$2))*12+MONTH(B1854)-MONTH(parametros!$C$2))/12)))))</f>
        <v/>
      </c>
      <c r="D1854" s="394"/>
      <c r="E1854" s="78" t="str">
        <f>IF(C1854="","",IFERROR(VLOOKUP(C1854,parametros!$A$11:$E$15,5,0),""))</f>
        <v/>
      </c>
      <c r="F1854" s="79" t="str">
        <f t="shared" si="142"/>
        <v/>
      </c>
      <c r="G1854" s="395"/>
      <c r="H1854" s="91">
        <f t="shared" si="143"/>
        <v>0</v>
      </c>
      <c r="I1854" s="91" t="str">
        <f t="shared" si="144"/>
        <v/>
      </c>
      <c r="J1854" s="91" t="str">
        <f t="shared" si="145"/>
        <v/>
      </c>
      <c r="K1854" s="92" t="str">
        <f>IF(AND(A1854="",B1854="",D1854="",G1854=""),"",IF(AND(A1854&lt;&gt;"",COUNTIF($A$2:$A$5001,A1854)&gt;1),"NUMERO_PC duplicado",IF(B1854="","DATA_PC vazia",IF(NOT(ISNUMBER(B1854)),"DATA_PC invalida",IF(OR(C1854="",C1854="Fora dos ciclos"),"CICLO_PC nao identificado",IF(OR(D1854="",D1854=0),"VALOR_PC vazio ou zero",IF(AND(G1854&lt;&gt;"Sim",G1854&lt;&gt;"Nao",G1854&lt;&gt;""),"PC_PAGO_A_CONTRATADA invalido",IF(AND(C1854&lt;&gt;"C0",IFERROR(INDEX(parametros!$A$2:$A$6,MATCH(C1854,parametros!$B$2:$B$6,0)),"")="Sim",IFERROR(INDEX(parametros!$H$2:$H$6,MATCH(C1854,parametros!$B$2:$B$6,0)),"")=""),"INICIO_EFEITO ausente: PC "&amp;A1854&amp;" - "&amp;C1854,IF(L1854="","EFEITO_PC nao calculado: PC "&amp;A1854&amp;" - "&amp;C1854,"OK")))))))))</f>
        <v/>
      </c>
      <c r="L1854" s="92" t="str">
        <f>IF(AND(A1854="",B1854="",D1854="",G1854=""),"",IF(OR(B1854="",NOT(ISNUMBER(B1854)),C1854="",C1854="Fora dos ciclos"),"",IF(C1854="C0","Nao",IF(IFERROR(INDEX(parametros!$A$2:$A$6,MATCH(C1854,parametros!$B$2:$B$6,0)),"")&lt;&gt;"Sim","Nao",IF(IFERROR(INDEX(parametros!$H$2:$H$6,MATCH(C1854,parametros!$B$2:$B$6,0)),"")="","",IF(B1854&gt;=IFERROR(INDEX(parametros!$H$2:$H$6,MATCH(C1854,parametros!$B$2:$B$6,0)),""),"Sim","Nao"))))))</f>
        <v/>
      </c>
      <c r="T1854" s="156"/>
      <c r="U1854" s="214" t="str">
        <f t="shared" si="146"/>
        <v/>
      </c>
      <c r="V1854" s="212" t="s">
        <v>50</v>
      </c>
      <c r="W1854" s="100" t="s">
        <v>168</v>
      </c>
      <c r="X1854" s="100" t="s">
        <v>169</v>
      </c>
      <c r="Y1854" s="101" t="s">
        <v>170</v>
      </c>
      <c r="Z1854" s="101" t="s">
        <v>171</v>
      </c>
      <c r="AA1854" s="101" t="s">
        <v>50</v>
      </c>
      <c r="AB1854" s="101" t="s">
        <v>172</v>
      </c>
      <c r="AC1854" s="102" t="s">
        <v>173</v>
      </c>
    </row>
    <row r="1855" spans="1:29" ht="25.5" customHeight="1" x14ac:dyDescent="0.35">
      <c r="A1855" s="392"/>
      <c r="B1855" s="393"/>
      <c r="C1855" s="99" t="str">
        <f>IF(B1855="","",IF(NOT(ISNUMBER(B1855)),"DATA_PC invalida",IF(NOT(ISNUMBER(parametros!$C$2)),"Fora dos ciclos",IF(OR(B1855&lt;parametros!$C$2,(YEAR(B1855)-YEAR(parametros!$C$2))*12+MONTH(B1855)-MONTH(parametros!$C$2)&gt;59),"Fora dos ciclos","C"&amp;INT(((YEAR(B1855)-YEAR(parametros!$C$2))*12+MONTH(B1855)-MONTH(parametros!$C$2))/12)))))</f>
        <v/>
      </c>
      <c r="D1855" s="394"/>
      <c r="E1855" s="78" t="str">
        <f>IF(C1855="","",IFERROR(VLOOKUP(C1855,parametros!$A$11:$E$15,5,0),""))</f>
        <v/>
      </c>
      <c r="F1855" s="79" t="str">
        <f t="shared" si="142"/>
        <v/>
      </c>
      <c r="G1855" s="395"/>
      <c r="H1855" s="91">
        <f t="shared" si="143"/>
        <v>0</v>
      </c>
      <c r="I1855" s="91" t="str">
        <f t="shared" si="144"/>
        <v/>
      </c>
      <c r="J1855" s="91" t="str">
        <f t="shared" si="145"/>
        <v/>
      </c>
      <c r="K1855" s="92" t="str">
        <f>IF(AND(A1855="",B1855="",D1855="",G1855=""),"",IF(AND(A1855&lt;&gt;"",COUNTIF($A$2:$A$5001,A1855)&gt;1),"NUMERO_PC duplicado",IF(B1855="","DATA_PC vazia",IF(NOT(ISNUMBER(B1855)),"DATA_PC invalida",IF(OR(C1855="",C1855="Fora dos ciclos"),"CICLO_PC nao identificado",IF(OR(D1855="",D1855=0),"VALOR_PC vazio ou zero",IF(AND(G1855&lt;&gt;"Sim",G1855&lt;&gt;"Nao",G1855&lt;&gt;""),"PC_PAGO_A_CONTRATADA invalido",IF(AND(C1855&lt;&gt;"C0",IFERROR(INDEX(parametros!$A$2:$A$6,MATCH(C1855,parametros!$B$2:$B$6,0)),"")="Sim",IFERROR(INDEX(parametros!$H$2:$H$6,MATCH(C1855,parametros!$B$2:$B$6,0)),"")=""),"INICIO_EFEITO ausente: PC "&amp;A1855&amp;" - "&amp;C1855,IF(L1855="","EFEITO_PC nao calculado: PC "&amp;A1855&amp;" - "&amp;C1855,"OK")))))))))</f>
        <v/>
      </c>
      <c r="L1855" s="92" t="str">
        <f>IF(AND(A1855="",B1855="",D1855="",G1855=""),"",IF(OR(B1855="",NOT(ISNUMBER(B1855)),C1855="",C1855="Fora dos ciclos"),"",IF(C1855="C0","Nao",IF(IFERROR(INDEX(parametros!$A$2:$A$6,MATCH(C1855,parametros!$B$2:$B$6,0)),"")&lt;&gt;"Sim","Nao",IF(IFERROR(INDEX(parametros!$H$2:$H$6,MATCH(C1855,parametros!$B$2:$B$6,0)),"")="","",IF(B1855&gt;=IFERROR(INDEX(parametros!$H$2:$H$6,MATCH(C1855,parametros!$B$2:$B$6,0)),""),"Sim","Nao"))))))</f>
        <v/>
      </c>
      <c r="T1855" s="156"/>
      <c r="U1855" s="214" t="str">
        <f t="shared" si="146"/>
        <v/>
      </c>
      <c r="V1855" s="212" t="s">
        <v>50</v>
      </c>
      <c r="W1855" s="100" t="s">
        <v>168</v>
      </c>
      <c r="X1855" s="100" t="s">
        <v>169</v>
      </c>
      <c r="Y1855" s="101" t="s">
        <v>170</v>
      </c>
      <c r="Z1855" s="101" t="s">
        <v>171</v>
      </c>
      <c r="AA1855" s="101" t="s">
        <v>50</v>
      </c>
      <c r="AB1855" s="101" t="s">
        <v>172</v>
      </c>
      <c r="AC1855" s="102" t="s">
        <v>173</v>
      </c>
    </row>
    <row r="1856" spans="1:29" ht="25.5" customHeight="1" x14ac:dyDescent="0.35">
      <c r="A1856" s="392"/>
      <c r="B1856" s="393"/>
      <c r="C1856" s="99" t="str">
        <f>IF(B1856="","",IF(NOT(ISNUMBER(B1856)),"DATA_PC invalida",IF(NOT(ISNUMBER(parametros!$C$2)),"Fora dos ciclos",IF(OR(B1856&lt;parametros!$C$2,(YEAR(B1856)-YEAR(parametros!$C$2))*12+MONTH(B1856)-MONTH(parametros!$C$2)&gt;59),"Fora dos ciclos","C"&amp;INT(((YEAR(B1856)-YEAR(parametros!$C$2))*12+MONTH(B1856)-MONTH(parametros!$C$2))/12)))))</f>
        <v/>
      </c>
      <c r="D1856" s="394"/>
      <c r="E1856" s="78" t="str">
        <f>IF(C1856="","",IFERROR(VLOOKUP(C1856,parametros!$A$11:$E$15,5,0),""))</f>
        <v/>
      </c>
      <c r="F1856" s="79" t="str">
        <f t="shared" si="142"/>
        <v/>
      </c>
      <c r="G1856" s="395"/>
      <c r="H1856" s="91">
        <f t="shared" si="143"/>
        <v>0</v>
      </c>
      <c r="I1856" s="91" t="str">
        <f t="shared" si="144"/>
        <v/>
      </c>
      <c r="J1856" s="91" t="str">
        <f t="shared" si="145"/>
        <v/>
      </c>
      <c r="K1856" s="92" t="str">
        <f>IF(AND(A1856="",B1856="",D1856="",G1856=""),"",IF(AND(A1856&lt;&gt;"",COUNTIF($A$2:$A$5001,A1856)&gt;1),"NUMERO_PC duplicado",IF(B1856="","DATA_PC vazia",IF(NOT(ISNUMBER(B1856)),"DATA_PC invalida",IF(OR(C1856="",C1856="Fora dos ciclos"),"CICLO_PC nao identificado",IF(OR(D1856="",D1856=0),"VALOR_PC vazio ou zero",IF(AND(G1856&lt;&gt;"Sim",G1856&lt;&gt;"Nao",G1856&lt;&gt;""),"PC_PAGO_A_CONTRATADA invalido",IF(AND(C1856&lt;&gt;"C0",IFERROR(INDEX(parametros!$A$2:$A$6,MATCH(C1856,parametros!$B$2:$B$6,0)),"")="Sim",IFERROR(INDEX(parametros!$H$2:$H$6,MATCH(C1856,parametros!$B$2:$B$6,0)),"")=""),"INICIO_EFEITO ausente: PC "&amp;A1856&amp;" - "&amp;C1856,IF(L1856="","EFEITO_PC nao calculado: PC "&amp;A1856&amp;" - "&amp;C1856,"OK")))))))))</f>
        <v/>
      </c>
      <c r="L1856" s="92" t="str">
        <f>IF(AND(A1856="",B1856="",D1856="",G1856=""),"",IF(OR(B1856="",NOT(ISNUMBER(B1856)),C1856="",C1856="Fora dos ciclos"),"",IF(C1856="C0","Nao",IF(IFERROR(INDEX(parametros!$A$2:$A$6,MATCH(C1856,parametros!$B$2:$B$6,0)),"")&lt;&gt;"Sim","Nao",IF(IFERROR(INDEX(parametros!$H$2:$H$6,MATCH(C1856,parametros!$B$2:$B$6,0)),"")="","",IF(B1856&gt;=IFERROR(INDEX(parametros!$H$2:$H$6,MATCH(C1856,parametros!$B$2:$B$6,0)),""),"Sim","Nao"))))))</f>
        <v/>
      </c>
      <c r="T1856" s="156"/>
      <c r="U1856" s="214" t="str">
        <f t="shared" si="146"/>
        <v/>
      </c>
      <c r="V1856" s="212" t="s">
        <v>50</v>
      </c>
      <c r="W1856" s="100" t="s">
        <v>168</v>
      </c>
      <c r="X1856" s="100" t="s">
        <v>169</v>
      </c>
      <c r="Y1856" s="101" t="s">
        <v>170</v>
      </c>
      <c r="Z1856" s="101" t="s">
        <v>171</v>
      </c>
      <c r="AA1856" s="101" t="s">
        <v>50</v>
      </c>
      <c r="AB1856" s="101" t="s">
        <v>172</v>
      </c>
      <c r="AC1856" s="102" t="s">
        <v>173</v>
      </c>
    </row>
    <row r="1857" spans="1:29" ht="25.5" customHeight="1" x14ac:dyDescent="0.35">
      <c r="A1857" s="392"/>
      <c r="B1857" s="393"/>
      <c r="C1857" s="99" t="str">
        <f>IF(B1857="","",IF(NOT(ISNUMBER(B1857)),"DATA_PC invalida",IF(NOT(ISNUMBER(parametros!$C$2)),"Fora dos ciclos",IF(OR(B1857&lt;parametros!$C$2,(YEAR(B1857)-YEAR(parametros!$C$2))*12+MONTH(B1857)-MONTH(parametros!$C$2)&gt;59),"Fora dos ciclos","C"&amp;INT(((YEAR(B1857)-YEAR(parametros!$C$2))*12+MONTH(B1857)-MONTH(parametros!$C$2))/12)))))</f>
        <v/>
      </c>
      <c r="D1857" s="394"/>
      <c r="E1857" s="78" t="str">
        <f>IF(C1857="","",IFERROR(VLOOKUP(C1857,parametros!$A$11:$E$15,5,0),""))</f>
        <v/>
      </c>
      <c r="F1857" s="79" t="str">
        <f t="shared" si="142"/>
        <v/>
      </c>
      <c r="G1857" s="395"/>
      <c r="H1857" s="91">
        <f t="shared" si="143"/>
        <v>0</v>
      </c>
      <c r="I1857" s="91" t="str">
        <f t="shared" si="144"/>
        <v/>
      </c>
      <c r="J1857" s="91" t="str">
        <f t="shared" si="145"/>
        <v/>
      </c>
      <c r="K1857" s="92" t="str">
        <f>IF(AND(A1857="",B1857="",D1857="",G1857=""),"",IF(AND(A1857&lt;&gt;"",COUNTIF($A$2:$A$5001,A1857)&gt;1),"NUMERO_PC duplicado",IF(B1857="","DATA_PC vazia",IF(NOT(ISNUMBER(B1857)),"DATA_PC invalida",IF(OR(C1857="",C1857="Fora dos ciclos"),"CICLO_PC nao identificado",IF(OR(D1857="",D1857=0),"VALOR_PC vazio ou zero",IF(AND(G1857&lt;&gt;"Sim",G1857&lt;&gt;"Nao",G1857&lt;&gt;""),"PC_PAGO_A_CONTRATADA invalido",IF(AND(C1857&lt;&gt;"C0",IFERROR(INDEX(parametros!$A$2:$A$6,MATCH(C1857,parametros!$B$2:$B$6,0)),"")="Sim",IFERROR(INDEX(parametros!$H$2:$H$6,MATCH(C1857,parametros!$B$2:$B$6,0)),"")=""),"INICIO_EFEITO ausente: PC "&amp;A1857&amp;" - "&amp;C1857,IF(L1857="","EFEITO_PC nao calculado: PC "&amp;A1857&amp;" - "&amp;C1857,"OK")))))))))</f>
        <v/>
      </c>
      <c r="L1857" s="92" t="str">
        <f>IF(AND(A1857="",B1857="",D1857="",G1857=""),"",IF(OR(B1857="",NOT(ISNUMBER(B1857)),C1857="",C1857="Fora dos ciclos"),"",IF(C1857="C0","Nao",IF(IFERROR(INDEX(parametros!$A$2:$A$6,MATCH(C1857,parametros!$B$2:$B$6,0)),"")&lt;&gt;"Sim","Nao",IF(IFERROR(INDEX(parametros!$H$2:$H$6,MATCH(C1857,parametros!$B$2:$B$6,0)),"")="","",IF(B1857&gt;=IFERROR(INDEX(parametros!$H$2:$H$6,MATCH(C1857,parametros!$B$2:$B$6,0)),""),"Sim","Nao"))))))</f>
        <v/>
      </c>
      <c r="T1857" s="156"/>
      <c r="U1857" s="214" t="str">
        <f t="shared" si="146"/>
        <v/>
      </c>
      <c r="V1857" s="212" t="s">
        <v>50</v>
      </c>
      <c r="W1857" s="100" t="s">
        <v>168</v>
      </c>
      <c r="X1857" s="100" t="s">
        <v>169</v>
      </c>
      <c r="Y1857" s="101" t="s">
        <v>170</v>
      </c>
      <c r="Z1857" s="101" t="s">
        <v>171</v>
      </c>
      <c r="AA1857" s="101" t="s">
        <v>50</v>
      </c>
      <c r="AB1857" s="101" t="s">
        <v>172</v>
      </c>
      <c r="AC1857" s="102" t="s">
        <v>173</v>
      </c>
    </row>
    <row r="1858" spans="1:29" ht="25.5" customHeight="1" x14ac:dyDescent="0.35">
      <c r="A1858" s="392"/>
      <c r="B1858" s="393"/>
      <c r="C1858" s="99" t="str">
        <f>IF(B1858="","",IF(NOT(ISNUMBER(B1858)),"DATA_PC invalida",IF(NOT(ISNUMBER(parametros!$C$2)),"Fora dos ciclos",IF(OR(B1858&lt;parametros!$C$2,(YEAR(B1858)-YEAR(parametros!$C$2))*12+MONTH(B1858)-MONTH(parametros!$C$2)&gt;59),"Fora dos ciclos","C"&amp;INT(((YEAR(B1858)-YEAR(parametros!$C$2))*12+MONTH(B1858)-MONTH(parametros!$C$2))/12)))))</f>
        <v/>
      </c>
      <c r="D1858" s="394"/>
      <c r="E1858" s="78" t="str">
        <f>IF(C1858="","",IFERROR(VLOOKUP(C1858,parametros!$A$11:$E$15,5,0),""))</f>
        <v/>
      </c>
      <c r="F1858" s="79" t="str">
        <f t="shared" ref="F1858:F1921" si="147">IF(OR(D1858="",E1858=""),"",ROUND(D1858*E1858,2))</f>
        <v/>
      </c>
      <c r="G1858" s="395"/>
      <c r="H1858" s="91">
        <f t="shared" ref="H1858:H1921" si="148">IF(G1858="Sim",IF(OR(F1858="",D1858="",L1858=""),"",IF(L1858="Sim",ROUND(F1858-D1858,2),0)),0)</f>
        <v>0</v>
      </c>
      <c r="I1858" s="91" t="str">
        <f t="shared" ref="I1858:I1921" si="149">IF(G1858="Sim",0,IF(OR(F1858="",L1858=""),"",F1858))</f>
        <v/>
      </c>
      <c r="J1858" s="91" t="str">
        <f t="shared" ref="J1858:J1921" si="150">IF(G1858="Sim",0,IF(OR(F1858="",D1858="",L1858=""),"",IF(L1858="Sim",ROUND(F1858-D1858,2),0)))</f>
        <v/>
      </c>
      <c r="K1858" s="92" t="str">
        <f>IF(AND(A1858="",B1858="",D1858="",G1858=""),"",IF(AND(A1858&lt;&gt;"",COUNTIF($A$2:$A$5001,A1858)&gt;1),"NUMERO_PC duplicado",IF(B1858="","DATA_PC vazia",IF(NOT(ISNUMBER(B1858)),"DATA_PC invalida",IF(OR(C1858="",C1858="Fora dos ciclos"),"CICLO_PC nao identificado",IF(OR(D1858="",D1858=0),"VALOR_PC vazio ou zero",IF(AND(G1858&lt;&gt;"Sim",G1858&lt;&gt;"Nao",G1858&lt;&gt;""),"PC_PAGO_A_CONTRATADA invalido",IF(AND(C1858&lt;&gt;"C0",IFERROR(INDEX(parametros!$A$2:$A$6,MATCH(C1858,parametros!$B$2:$B$6,0)),"")="Sim",IFERROR(INDEX(parametros!$H$2:$H$6,MATCH(C1858,parametros!$B$2:$B$6,0)),"")=""),"INICIO_EFEITO ausente: PC "&amp;A1858&amp;" - "&amp;C1858,IF(L1858="","EFEITO_PC nao calculado: PC "&amp;A1858&amp;" - "&amp;C1858,"OK")))))))))</f>
        <v/>
      </c>
      <c r="L1858" s="92" t="str">
        <f>IF(AND(A1858="",B1858="",D1858="",G1858=""),"",IF(OR(B1858="",NOT(ISNUMBER(B1858)),C1858="",C1858="Fora dos ciclos"),"",IF(C1858="C0","Nao",IF(IFERROR(INDEX(parametros!$A$2:$A$6,MATCH(C1858,parametros!$B$2:$B$6,0)),"")&lt;&gt;"Sim","Nao",IF(IFERROR(INDEX(parametros!$H$2:$H$6,MATCH(C1858,parametros!$B$2:$B$6,0)),"")="","",IF(B1858&gt;=IFERROR(INDEX(parametros!$H$2:$H$6,MATCH(C1858,parametros!$B$2:$B$6,0)),""),"Sim","Nao"))))))</f>
        <v/>
      </c>
      <c r="T1858" s="156"/>
      <c r="U1858" s="214" t="str">
        <f t="shared" ref="U1858:U1921" si="151">IF(OR($D1858="",$H1858=""),"",ROUND($D1858+$H1858,2))</f>
        <v/>
      </c>
      <c r="V1858" s="212" t="s">
        <v>50</v>
      </c>
      <c r="W1858" s="100" t="s">
        <v>168</v>
      </c>
      <c r="X1858" s="100" t="s">
        <v>169</v>
      </c>
      <c r="Y1858" s="101" t="s">
        <v>170</v>
      </c>
      <c r="Z1858" s="101" t="s">
        <v>171</v>
      </c>
      <c r="AA1858" s="101" t="s">
        <v>50</v>
      </c>
      <c r="AB1858" s="101" t="s">
        <v>172</v>
      </c>
      <c r="AC1858" s="102" t="s">
        <v>173</v>
      </c>
    </row>
    <row r="1859" spans="1:29" ht="25.5" customHeight="1" x14ac:dyDescent="0.35">
      <c r="A1859" s="392"/>
      <c r="B1859" s="393"/>
      <c r="C1859" s="99" t="str">
        <f>IF(B1859="","",IF(NOT(ISNUMBER(B1859)),"DATA_PC invalida",IF(NOT(ISNUMBER(parametros!$C$2)),"Fora dos ciclos",IF(OR(B1859&lt;parametros!$C$2,(YEAR(B1859)-YEAR(parametros!$C$2))*12+MONTH(B1859)-MONTH(parametros!$C$2)&gt;59),"Fora dos ciclos","C"&amp;INT(((YEAR(B1859)-YEAR(parametros!$C$2))*12+MONTH(B1859)-MONTH(parametros!$C$2))/12)))))</f>
        <v/>
      </c>
      <c r="D1859" s="394"/>
      <c r="E1859" s="78" t="str">
        <f>IF(C1859="","",IFERROR(VLOOKUP(C1859,parametros!$A$11:$E$15,5,0),""))</f>
        <v/>
      </c>
      <c r="F1859" s="79" t="str">
        <f t="shared" si="147"/>
        <v/>
      </c>
      <c r="G1859" s="395"/>
      <c r="H1859" s="91">
        <f t="shared" si="148"/>
        <v>0</v>
      </c>
      <c r="I1859" s="91" t="str">
        <f t="shared" si="149"/>
        <v/>
      </c>
      <c r="J1859" s="91" t="str">
        <f t="shared" si="150"/>
        <v/>
      </c>
      <c r="K1859" s="92" t="str">
        <f>IF(AND(A1859="",B1859="",D1859="",G1859=""),"",IF(AND(A1859&lt;&gt;"",COUNTIF($A$2:$A$5001,A1859)&gt;1),"NUMERO_PC duplicado",IF(B1859="","DATA_PC vazia",IF(NOT(ISNUMBER(B1859)),"DATA_PC invalida",IF(OR(C1859="",C1859="Fora dos ciclos"),"CICLO_PC nao identificado",IF(OR(D1859="",D1859=0),"VALOR_PC vazio ou zero",IF(AND(G1859&lt;&gt;"Sim",G1859&lt;&gt;"Nao",G1859&lt;&gt;""),"PC_PAGO_A_CONTRATADA invalido",IF(AND(C1859&lt;&gt;"C0",IFERROR(INDEX(parametros!$A$2:$A$6,MATCH(C1859,parametros!$B$2:$B$6,0)),"")="Sim",IFERROR(INDEX(parametros!$H$2:$H$6,MATCH(C1859,parametros!$B$2:$B$6,0)),"")=""),"INICIO_EFEITO ausente: PC "&amp;A1859&amp;" - "&amp;C1859,IF(L1859="","EFEITO_PC nao calculado: PC "&amp;A1859&amp;" - "&amp;C1859,"OK")))))))))</f>
        <v/>
      </c>
      <c r="L1859" s="92" t="str">
        <f>IF(AND(A1859="",B1859="",D1859="",G1859=""),"",IF(OR(B1859="",NOT(ISNUMBER(B1859)),C1859="",C1859="Fora dos ciclos"),"",IF(C1859="C0","Nao",IF(IFERROR(INDEX(parametros!$A$2:$A$6,MATCH(C1859,parametros!$B$2:$B$6,0)),"")&lt;&gt;"Sim","Nao",IF(IFERROR(INDEX(parametros!$H$2:$H$6,MATCH(C1859,parametros!$B$2:$B$6,0)),"")="","",IF(B1859&gt;=IFERROR(INDEX(parametros!$H$2:$H$6,MATCH(C1859,parametros!$B$2:$B$6,0)),""),"Sim","Nao"))))))</f>
        <v/>
      </c>
      <c r="T1859" s="156"/>
      <c r="U1859" s="214" t="str">
        <f t="shared" si="151"/>
        <v/>
      </c>
      <c r="V1859" s="212" t="s">
        <v>50</v>
      </c>
      <c r="W1859" s="100" t="s">
        <v>168</v>
      </c>
      <c r="X1859" s="100" t="s">
        <v>169</v>
      </c>
      <c r="Y1859" s="101" t="s">
        <v>170</v>
      </c>
      <c r="Z1859" s="101" t="s">
        <v>171</v>
      </c>
      <c r="AA1859" s="101" t="s">
        <v>50</v>
      </c>
      <c r="AB1859" s="101" t="s">
        <v>172</v>
      </c>
      <c r="AC1859" s="102" t="s">
        <v>173</v>
      </c>
    </row>
    <row r="1860" spans="1:29" ht="25.5" customHeight="1" x14ac:dyDescent="0.35">
      <c r="A1860" s="392"/>
      <c r="B1860" s="393"/>
      <c r="C1860" s="99" t="str">
        <f>IF(B1860="","",IF(NOT(ISNUMBER(B1860)),"DATA_PC invalida",IF(NOT(ISNUMBER(parametros!$C$2)),"Fora dos ciclos",IF(OR(B1860&lt;parametros!$C$2,(YEAR(B1860)-YEAR(parametros!$C$2))*12+MONTH(B1860)-MONTH(parametros!$C$2)&gt;59),"Fora dos ciclos","C"&amp;INT(((YEAR(B1860)-YEAR(parametros!$C$2))*12+MONTH(B1860)-MONTH(parametros!$C$2))/12)))))</f>
        <v/>
      </c>
      <c r="D1860" s="394"/>
      <c r="E1860" s="78" t="str">
        <f>IF(C1860="","",IFERROR(VLOOKUP(C1860,parametros!$A$11:$E$15,5,0),""))</f>
        <v/>
      </c>
      <c r="F1860" s="79" t="str">
        <f t="shared" si="147"/>
        <v/>
      </c>
      <c r="G1860" s="395"/>
      <c r="H1860" s="91">
        <f t="shared" si="148"/>
        <v>0</v>
      </c>
      <c r="I1860" s="91" t="str">
        <f t="shared" si="149"/>
        <v/>
      </c>
      <c r="J1860" s="91" t="str">
        <f t="shared" si="150"/>
        <v/>
      </c>
      <c r="K1860" s="92" t="str">
        <f>IF(AND(A1860="",B1860="",D1860="",G1860=""),"",IF(AND(A1860&lt;&gt;"",COUNTIF($A$2:$A$5001,A1860)&gt;1),"NUMERO_PC duplicado",IF(B1860="","DATA_PC vazia",IF(NOT(ISNUMBER(B1860)),"DATA_PC invalida",IF(OR(C1860="",C1860="Fora dos ciclos"),"CICLO_PC nao identificado",IF(OR(D1860="",D1860=0),"VALOR_PC vazio ou zero",IF(AND(G1860&lt;&gt;"Sim",G1860&lt;&gt;"Nao",G1860&lt;&gt;""),"PC_PAGO_A_CONTRATADA invalido",IF(AND(C1860&lt;&gt;"C0",IFERROR(INDEX(parametros!$A$2:$A$6,MATCH(C1860,parametros!$B$2:$B$6,0)),"")="Sim",IFERROR(INDEX(parametros!$H$2:$H$6,MATCH(C1860,parametros!$B$2:$B$6,0)),"")=""),"INICIO_EFEITO ausente: PC "&amp;A1860&amp;" - "&amp;C1860,IF(L1860="","EFEITO_PC nao calculado: PC "&amp;A1860&amp;" - "&amp;C1860,"OK")))))))))</f>
        <v/>
      </c>
      <c r="L1860" s="92" t="str">
        <f>IF(AND(A1860="",B1860="",D1860="",G1860=""),"",IF(OR(B1860="",NOT(ISNUMBER(B1860)),C1860="",C1860="Fora dos ciclos"),"",IF(C1860="C0","Nao",IF(IFERROR(INDEX(parametros!$A$2:$A$6,MATCH(C1860,parametros!$B$2:$B$6,0)),"")&lt;&gt;"Sim","Nao",IF(IFERROR(INDEX(parametros!$H$2:$H$6,MATCH(C1860,parametros!$B$2:$B$6,0)),"")="","",IF(B1860&gt;=IFERROR(INDEX(parametros!$H$2:$H$6,MATCH(C1860,parametros!$B$2:$B$6,0)),""),"Sim","Nao"))))))</f>
        <v/>
      </c>
      <c r="T1860" s="156"/>
      <c r="U1860" s="214" t="str">
        <f t="shared" si="151"/>
        <v/>
      </c>
      <c r="V1860" s="212" t="s">
        <v>50</v>
      </c>
      <c r="W1860" s="100" t="s">
        <v>168</v>
      </c>
      <c r="X1860" s="100" t="s">
        <v>169</v>
      </c>
      <c r="Y1860" s="101" t="s">
        <v>170</v>
      </c>
      <c r="Z1860" s="101" t="s">
        <v>171</v>
      </c>
      <c r="AA1860" s="101" t="s">
        <v>50</v>
      </c>
      <c r="AB1860" s="101" t="s">
        <v>172</v>
      </c>
      <c r="AC1860" s="102" t="s">
        <v>173</v>
      </c>
    </row>
    <row r="1861" spans="1:29" ht="25.5" customHeight="1" x14ac:dyDescent="0.35">
      <c r="A1861" s="392"/>
      <c r="B1861" s="393"/>
      <c r="C1861" s="99" t="str">
        <f>IF(B1861="","",IF(NOT(ISNUMBER(B1861)),"DATA_PC invalida",IF(NOT(ISNUMBER(parametros!$C$2)),"Fora dos ciclos",IF(OR(B1861&lt;parametros!$C$2,(YEAR(B1861)-YEAR(parametros!$C$2))*12+MONTH(B1861)-MONTH(parametros!$C$2)&gt;59),"Fora dos ciclos","C"&amp;INT(((YEAR(B1861)-YEAR(parametros!$C$2))*12+MONTH(B1861)-MONTH(parametros!$C$2))/12)))))</f>
        <v/>
      </c>
      <c r="D1861" s="394"/>
      <c r="E1861" s="78" t="str">
        <f>IF(C1861="","",IFERROR(VLOOKUP(C1861,parametros!$A$11:$E$15,5,0),""))</f>
        <v/>
      </c>
      <c r="F1861" s="79" t="str">
        <f t="shared" si="147"/>
        <v/>
      </c>
      <c r="G1861" s="395"/>
      <c r="H1861" s="91">
        <f t="shared" si="148"/>
        <v>0</v>
      </c>
      <c r="I1861" s="91" t="str">
        <f t="shared" si="149"/>
        <v/>
      </c>
      <c r="J1861" s="91" t="str">
        <f t="shared" si="150"/>
        <v/>
      </c>
      <c r="K1861" s="92" t="str">
        <f>IF(AND(A1861="",B1861="",D1861="",G1861=""),"",IF(AND(A1861&lt;&gt;"",COUNTIF($A$2:$A$5001,A1861)&gt;1),"NUMERO_PC duplicado",IF(B1861="","DATA_PC vazia",IF(NOT(ISNUMBER(B1861)),"DATA_PC invalida",IF(OR(C1861="",C1861="Fora dos ciclos"),"CICLO_PC nao identificado",IF(OR(D1861="",D1861=0),"VALOR_PC vazio ou zero",IF(AND(G1861&lt;&gt;"Sim",G1861&lt;&gt;"Nao",G1861&lt;&gt;""),"PC_PAGO_A_CONTRATADA invalido",IF(AND(C1861&lt;&gt;"C0",IFERROR(INDEX(parametros!$A$2:$A$6,MATCH(C1861,parametros!$B$2:$B$6,0)),"")="Sim",IFERROR(INDEX(parametros!$H$2:$H$6,MATCH(C1861,parametros!$B$2:$B$6,0)),"")=""),"INICIO_EFEITO ausente: PC "&amp;A1861&amp;" - "&amp;C1861,IF(L1861="","EFEITO_PC nao calculado: PC "&amp;A1861&amp;" - "&amp;C1861,"OK")))))))))</f>
        <v/>
      </c>
      <c r="L1861" s="92" t="str">
        <f>IF(AND(A1861="",B1861="",D1861="",G1861=""),"",IF(OR(B1861="",NOT(ISNUMBER(B1861)),C1861="",C1861="Fora dos ciclos"),"",IF(C1861="C0","Nao",IF(IFERROR(INDEX(parametros!$A$2:$A$6,MATCH(C1861,parametros!$B$2:$B$6,0)),"")&lt;&gt;"Sim","Nao",IF(IFERROR(INDEX(parametros!$H$2:$H$6,MATCH(C1861,parametros!$B$2:$B$6,0)),"")="","",IF(B1861&gt;=IFERROR(INDEX(parametros!$H$2:$H$6,MATCH(C1861,parametros!$B$2:$B$6,0)),""),"Sim","Nao"))))))</f>
        <v/>
      </c>
      <c r="T1861" s="156"/>
      <c r="U1861" s="214" t="str">
        <f t="shared" si="151"/>
        <v/>
      </c>
      <c r="V1861" s="212" t="s">
        <v>50</v>
      </c>
      <c r="W1861" s="100" t="s">
        <v>168</v>
      </c>
      <c r="X1861" s="100" t="s">
        <v>169</v>
      </c>
      <c r="Y1861" s="101" t="s">
        <v>170</v>
      </c>
      <c r="Z1861" s="101" t="s">
        <v>171</v>
      </c>
      <c r="AA1861" s="101" t="s">
        <v>50</v>
      </c>
      <c r="AB1861" s="101" t="s">
        <v>172</v>
      </c>
      <c r="AC1861" s="102" t="s">
        <v>173</v>
      </c>
    </row>
    <row r="1862" spans="1:29" ht="25.5" customHeight="1" x14ac:dyDescent="0.35">
      <c r="A1862" s="392"/>
      <c r="B1862" s="393"/>
      <c r="C1862" s="99" t="str">
        <f>IF(B1862="","",IF(NOT(ISNUMBER(B1862)),"DATA_PC invalida",IF(NOT(ISNUMBER(parametros!$C$2)),"Fora dos ciclos",IF(OR(B1862&lt;parametros!$C$2,(YEAR(B1862)-YEAR(parametros!$C$2))*12+MONTH(B1862)-MONTH(parametros!$C$2)&gt;59),"Fora dos ciclos","C"&amp;INT(((YEAR(B1862)-YEAR(parametros!$C$2))*12+MONTH(B1862)-MONTH(parametros!$C$2))/12)))))</f>
        <v/>
      </c>
      <c r="D1862" s="394"/>
      <c r="E1862" s="78" t="str">
        <f>IF(C1862="","",IFERROR(VLOOKUP(C1862,parametros!$A$11:$E$15,5,0),""))</f>
        <v/>
      </c>
      <c r="F1862" s="79" t="str">
        <f t="shared" si="147"/>
        <v/>
      </c>
      <c r="G1862" s="395"/>
      <c r="H1862" s="91">
        <f t="shared" si="148"/>
        <v>0</v>
      </c>
      <c r="I1862" s="91" t="str">
        <f t="shared" si="149"/>
        <v/>
      </c>
      <c r="J1862" s="91" t="str">
        <f t="shared" si="150"/>
        <v/>
      </c>
      <c r="K1862" s="92" t="str">
        <f>IF(AND(A1862="",B1862="",D1862="",G1862=""),"",IF(AND(A1862&lt;&gt;"",COUNTIF($A$2:$A$5001,A1862)&gt;1),"NUMERO_PC duplicado",IF(B1862="","DATA_PC vazia",IF(NOT(ISNUMBER(B1862)),"DATA_PC invalida",IF(OR(C1862="",C1862="Fora dos ciclos"),"CICLO_PC nao identificado",IF(OR(D1862="",D1862=0),"VALOR_PC vazio ou zero",IF(AND(G1862&lt;&gt;"Sim",G1862&lt;&gt;"Nao",G1862&lt;&gt;""),"PC_PAGO_A_CONTRATADA invalido",IF(AND(C1862&lt;&gt;"C0",IFERROR(INDEX(parametros!$A$2:$A$6,MATCH(C1862,parametros!$B$2:$B$6,0)),"")="Sim",IFERROR(INDEX(parametros!$H$2:$H$6,MATCH(C1862,parametros!$B$2:$B$6,0)),"")=""),"INICIO_EFEITO ausente: PC "&amp;A1862&amp;" - "&amp;C1862,IF(L1862="","EFEITO_PC nao calculado: PC "&amp;A1862&amp;" - "&amp;C1862,"OK")))))))))</f>
        <v/>
      </c>
      <c r="L1862" s="92" t="str">
        <f>IF(AND(A1862="",B1862="",D1862="",G1862=""),"",IF(OR(B1862="",NOT(ISNUMBER(B1862)),C1862="",C1862="Fora dos ciclos"),"",IF(C1862="C0","Nao",IF(IFERROR(INDEX(parametros!$A$2:$A$6,MATCH(C1862,parametros!$B$2:$B$6,0)),"")&lt;&gt;"Sim","Nao",IF(IFERROR(INDEX(parametros!$H$2:$H$6,MATCH(C1862,parametros!$B$2:$B$6,0)),"")="","",IF(B1862&gt;=IFERROR(INDEX(parametros!$H$2:$H$6,MATCH(C1862,parametros!$B$2:$B$6,0)),""),"Sim","Nao"))))))</f>
        <v/>
      </c>
      <c r="T1862" s="156"/>
      <c r="U1862" s="214" t="str">
        <f t="shared" si="151"/>
        <v/>
      </c>
      <c r="V1862" s="212" t="s">
        <v>50</v>
      </c>
      <c r="W1862" s="100" t="s">
        <v>168</v>
      </c>
      <c r="X1862" s="100" t="s">
        <v>169</v>
      </c>
      <c r="Y1862" s="101" t="s">
        <v>170</v>
      </c>
      <c r="Z1862" s="101" t="s">
        <v>171</v>
      </c>
      <c r="AA1862" s="101" t="s">
        <v>50</v>
      </c>
      <c r="AB1862" s="101" t="s">
        <v>172</v>
      </c>
      <c r="AC1862" s="102" t="s">
        <v>173</v>
      </c>
    </row>
    <row r="1863" spans="1:29" ht="25.5" customHeight="1" x14ac:dyDescent="0.35">
      <c r="A1863" s="392"/>
      <c r="B1863" s="393"/>
      <c r="C1863" s="99" t="str">
        <f>IF(B1863="","",IF(NOT(ISNUMBER(B1863)),"DATA_PC invalida",IF(NOT(ISNUMBER(parametros!$C$2)),"Fora dos ciclos",IF(OR(B1863&lt;parametros!$C$2,(YEAR(B1863)-YEAR(parametros!$C$2))*12+MONTH(B1863)-MONTH(parametros!$C$2)&gt;59),"Fora dos ciclos","C"&amp;INT(((YEAR(B1863)-YEAR(parametros!$C$2))*12+MONTH(B1863)-MONTH(parametros!$C$2))/12)))))</f>
        <v/>
      </c>
      <c r="D1863" s="394"/>
      <c r="E1863" s="78" t="str">
        <f>IF(C1863="","",IFERROR(VLOOKUP(C1863,parametros!$A$11:$E$15,5,0),""))</f>
        <v/>
      </c>
      <c r="F1863" s="79" t="str">
        <f t="shared" si="147"/>
        <v/>
      </c>
      <c r="G1863" s="395"/>
      <c r="H1863" s="91">
        <f t="shared" si="148"/>
        <v>0</v>
      </c>
      <c r="I1863" s="91" t="str">
        <f t="shared" si="149"/>
        <v/>
      </c>
      <c r="J1863" s="91" t="str">
        <f t="shared" si="150"/>
        <v/>
      </c>
      <c r="K1863" s="92" t="str">
        <f>IF(AND(A1863="",B1863="",D1863="",G1863=""),"",IF(AND(A1863&lt;&gt;"",COUNTIF($A$2:$A$5001,A1863)&gt;1),"NUMERO_PC duplicado",IF(B1863="","DATA_PC vazia",IF(NOT(ISNUMBER(B1863)),"DATA_PC invalida",IF(OR(C1863="",C1863="Fora dos ciclos"),"CICLO_PC nao identificado",IF(OR(D1863="",D1863=0),"VALOR_PC vazio ou zero",IF(AND(G1863&lt;&gt;"Sim",G1863&lt;&gt;"Nao",G1863&lt;&gt;""),"PC_PAGO_A_CONTRATADA invalido",IF(AND(C1863&lt;&gt;"C0",IFERROR(INDEX(parametros!$A$2:$A$6,MATCH(C1863,parametros!$B$2:$B$6,0)),"")="Sim",IFERROR(INDEX(parametros!$H$2:$H$6,MATCH(C1863,parametros!$B$2:$B$6,0)),"")=""),"INICIO_EFEITO ausente: PC "&amp;A1863&amp;" - "&amp;C1863,IF(L1863="","EFEITO_PC nao calculado: PC "&amp;A1863&amp;" - "&amp;C1863,"OK")))))))))</f>
        <v/>
      </c>
      <c r="L1863" s="92" t="str">
        <f>IF(AND(A1863="",B1863="",D1863="",G1863=""),"",IF(OR(B1863="",NOT(ISNUMBER(B1863)),C1863="",C1863="Fora dos ciclos"),"",IF(C1863="C0","Nao",IF(IFERROR(INDEX(parametros!$A$2:$A$6,MATCH(C1863,parametros!$B$2:$B$6,0)),"")&lt;&gt;"Sim","Nao",IF(IFERROR(INDEX(parametros!$H$2:$H$6,MATCH(C1863,parametros!$B$2:$B$6,0)),"")="","",IF(B1863&gt;=IFERROR(INDEX(parametros!$H$2:$H$6,MATCH(C1863,parametros!$B$2:$B$6,0)),""),"Sim","Nao"))))))</f>
        <v/>
      </c>
      <c r="T1863" s="156"/>
      <c r="U1863" s="214" t="str">
        <f t="shared" si="151"/>
        <v/>
      </c>
      <c r="V1863" s="212" t="s">
        <v>50</v>
      </c>
      <c r="W1863" s="100" t="s">
        <v>168</v>
      </c>
      <c r="X1863" s="100" t="s">
        <v>169</v>
      </c>
      <c r="Y1863" s="101" t="s">
        <v>170</v>
      </c>
      <c r="Z1863" s="101" t="s">
        <v>171</v>
      </c>
      <c r="AA1863" s="101" t="s">
        <v>50</v>
      </c>
      <c r="AB1863" s="101" t="s">
        <v>172</v>
      </c>
      <c r="AC1863" s="102" t="s">
        <v>173</v>
      </c>
    </row>
    <row r="1864" spans="1:29" ht="25.5" customHeight="1" x14ac:dyDescent="0.35">
      <c r="A1864" s="392"/>
      <c r="B1864" s="393"/>
      <c r="C1864" s="99" t="str">
        <f>IF(B1864="","",IF(NOT(ISNUMBER(B1864)),"DATA_PC invalida",IF(NOT(ISNUMBER(parametros!$C$2)),"Fora dos ciclos",IF(OR(B1864&lt;parametros!$C$2,(YEAR(B1864)-YEAR(parametros!$C$2))*12+MONTH(B1864)-MONTH(parametros!$C$2)&gt;59),"Fora dos ciclos","C"&amp;INT(((YEAR(B1864)-YEAR(parametros!$C$2))*12+MONTH(B1864)-MONTH(parametros!$C$2))/12)))))</f>
        <v/>
      </c>
      <c r="D1864" s="394"/>
      <c r="E1864" s="78" t="str">
        <f>IF(C1864="","",IFERROR(VLOOKUP(C1864,parametros!$A$11:$E$15,5,0),""))</f>
        <v/>
      </c>
      <c r="F1864" s="79" t="str">
        <f t="shared" si="147"/>
        <v/>
      </c>
      <c r="G1864" s="395"/>
      <c r="H1864" s="91">
        <f t="shared" si="148"/>
        <v>0</v>
      </c>
      <c r="I1864" s="91" t="str">
        <f t="shared" si="149"/>
        <v/>
      </c>
      <c r="J1864" s="91" t="str">
        <f t="shared" si="150"/>
        <v/>
      </c>
      <c r="K1864" s="92" t="str">
        <f>IF(AND(A1864="",B1864="",D1864="",G1864=""),"",IF(AND(A1864&lt;&gt;"",COUNTIF($A$2:$A$5001,A1864)&gt;1),"NUMERO_PC duplicado",IF(B1864="","DATA_PC vazia",IF(NOT(ISNUMBER(B1864)),"DATA_PC invalida",IF(OR(C1864="",C1864="Fora dos ciclos"),"CICLO_PC nao identificado",IF(OR(D1864="",D1864=0),"VALOR_PC vazio ou zero",IF(AND(G1864&lt;&gt;"Sim",G1864&lt;&gt;"Nao",G1864&lt;&gt;""),"PC_PAGO_A_CONTRATADA invalido",IF(AND(C1864&lt;&gt;"C0",IFERROR(INDEX(parametros!$A$2:$A$6,MATCH(C1864,parametros!$B$2:$B$6,0)),"")="Sim",IFERROR(INDEX(parametros!$H$2:$H$6,MATCH(C1864,parametros!$B$2:$B$6,0)),"")=""),"INICIO_EFEITO ausente: PC "&amp;A1864&amp;" - "&amp;C1864,IF(L1864="","EFEITO_PC nao calculado: PC "&amp;A1864&amp;" - "&amp;C1864,"OK")))))))))</f>
        <v/>
      </c>
      <c r="L1864" s="92" t="str">
        <f>IF(AND(A1864="",B1864="",D1864="",G1864=""),"",IF(OR(B1864="",NOT(ISNUMBER(B1864)),C1864="",C1864="Fora dos ciclos"),"",IF(C1864="C0","Nao",IF(IFERROR(INDEX(parametros!$A$2:$A$6,MATCH(C1864,parametros!$B$2:$B$6,0)),"")&lt;&gt;"Sim","Nao",IF(IFERROR(INDEX(parametros!$H$2:$H$6,MATCH(C1864,parametros!$B$2:$B$6,0)),"")="","",IF(B1864&gt;=IFERROR(INDEX(parametros!$H$2:$H$6,MATCH(C1864,parametros!$B$2:$B$6,0)),""),"Sim","Nao"))))))</f>
        <v/>
      </c>
      <c r="T1864" s="156"/>
      <c r="U1864" s="214" t="str">
        <f t="shared" si="151"/>
        <v/>
      </c>
      <c r="V1864" s="212" t="s">
        <v>50</v>
      </c>
      <c r="W1864" s="100" t="s">
        <v>168</v>
      </c>
      <c r="X1864" s="100" t="s">
        <v>169</v>
      </c>
      <c r="Y1864" s="101" t="s">
        <v>170</v>
      </c>
      <c r="Z1864" s="101" t="s">
        <v>171</v>
      </c>
      <c r="AA1864" s="101" t="s">
        <v>50</v>
      </c>
      <c r="AB1864" s="101" t="s">
        <v>172</v>
      </c>
      <c r="AC1864" s="102" t="s">
        <v>173</v>
      </c>
    </row>
    <row r="1865" spans="1:29" ht="25.5" customHeight="1" x14ac:dyDescent="0.35">
      <c r="A1865" s="392"/>
      <c r="B1865" s="393"/>
      <c r="C1865" s="99" t="str">
        <f>IF(B1865="","",IF(NOT(ISNUMBER(B1865)),"DATA_PC invalida",IF(NOT(ISNUMBER(parametros!$C$2)),"Fora dos ciclos",IF(OR(B1865&lt;parametros!$C$2,(YEAR(B1865)-YEAR(parametros!$C$2))*12+MONTH(B1865)-MONTH(parametros!$C$2)&gt;59),"Fora dos ciclos","C"&amp;INT(((YEAR(B1865)-YEAR(parametros!$C$2))*12+MONTH(B1865)-MONTH(parametros!$C$2))/12)))))</f>
        <v/>
      </c>
      <c r="D1865" s="394"/>
      <c r="E1865" s="78" t="str">
        <f>IF(C1865="","",IFERROR(VLOOKUP(C1865,parametros!$A$11:$E$15,5,0),""))</f>
        <v/>
      </c>
      <c r="F1865" s="79" t="str">
        <f t="shared" si="147"/>
        <v/>
      </c>
      <c r="G1865" s="395"/>
      <c r="H1865" s="91">
        <f t="shared" si="148"/>
        <v>0</v>
      </c>
      <c r="I1865" s="91" t="str">
        <f t="shared" si="149"/>
        <v/>
      </c>
      <c r="J1865" s="91" t="str">
        <f t="shared" si="150"/>
        <v/>
      </c>
      <c r="K1865" s="92" t="str">
        <f>IF(AND(A1865="",B1865="",D1865="",G1865=""),"",IF(AND(A1865&lt;&gt;"",COUNTIF($A$2:$A$5001,A1865)&gt;1),"NUMERO_PC duplicado",IF(B1865="","DATA_PC vazia",IF(NOT(ISNUMBER(B1865)),"DATA_PC invalida",IF(OR(C1865="",C1865="Fora dos ciclos"),"CICLO_PC nao identificado",IF(OR(D1865="",D1865=0),"VALOR_PC vazio ou zero",IF(AND(G1865&lt;&gt;"Sim",G1865&lt;&gt;"Nao",G1865&lt;&gt;""),"PC_PAGO_A_CONTRATADA invalido",IF(AND(C1865&lt;&gt;"C0",IFERROR(INDEX(parametros!$A$2:$A$6,MATCH(C1865,parametros!$B$2:$B$6,0)),"")="Sim",IFERROR(INDEX(parametros!$H$2:$H$6,MATCH(C1865,parametros!$B$2:$B$6,0)),"")=""),"INICIO_EFEITO ausente: PC "&amp;A1865&amp;" - "&amp;C1865,IF(L1865="","EFEITO_PC nao calculado: PC "&amp;A1865&amp;" - "&amp;C1865,"OK")))))))))</f>
        <v/>
      </c>
      <c r="L1865" s="92" t="str">
        <f>IF(AND(A1865="",B1865="",D1865="",G1865=""),"",IF(OR(B1865="",NOT(ISNUMBER(B1865)),C1865="",C1865="Fora dos ciclos"),"",IF(C1865="C0","Nao",IF(IFERROR(INDEX(parametros!$A$2:$A$6,MATCH(C1865,parametros!$B$2:$B$6,0)),"")&lt;&gt;"Sim","Nao",IF(IFERROR(INDEX(parametros!$H$2:$H$6,MATCH(C1865,parametros!$B$2:$B$6,0)),"")="","",IF(B1865&gt;=IFERROR(INDEX(parametros!$H$2:$H$6,MATCH(C1865,parametros!$B$2:$B$6,0)),""),"Sim","Nao"))))))</f>
        <v/>
      </c>
      <c r="T1865" s="156"/>
      <c r="U1865" s="214" t="str">
        <f t="shared" si="151"/>
        <v/>
      </c>
      <c r="V1865" s="212" t="s">
        <v>50</v>
      </c>
      <c r="W1865" s="100" t="s">
        <v>168</v>
      </c>
      <c r="X1865" s="100" t="s">
        <v>169</v>
      </c>
      <c r="Y1865" s="101" t="s">
        <v>170</v>
      </c>
      <c r="Z1865" s="101" t="s">
        <v>171</v>
      </c>
      <c r="AA1865" s="101" t="s">
        <v>50</v>
      </c>
      <c r="AB1865" s="101" t="s">
        <v>172</v>
      </c>
      <c r="AC1865" s="102" t="s">
        <v>173</v>
      </c>
    </row>
    <row r="1866" spans="1:29" ht="25.5" customHeight="1" x14ac:dyDescent="0.35">
      <c r="A1866" s="392"/>
      <c r="B1866" s="393"/>
      <c r="C1866" s="99" t="str">
        <f>IF(B1866="","",IF(NOT(ISNUMBER(B1866)),"DATA_PC invalida",IF(NOT(ISNUMBER(parametros!$C$2)),"Fora dos ciclos",IF(OR(B1866&lt;parametros!$C$2,(YEAR(B1866)-YEAR(parametros!$C$2))*12+MONTH(B1866)-MONTH(parametros!$C$2)&gt;59),"Fora dos ciclos","C"&amp;INT(((YEAR(B1866)-YEAR(parametros!$C$2))*12+MONTH(B1866)-MONTH(parametros!$C$2))/12)))))</f>
        <v/>
      </c>
      <c r="D1866" s="394"/>
      <c r="E1866" s="78" t="str">
        <f>IF(C1866="","",IFERROR(VLOOKUP(C1866,parametros!$A$11:$E$15,5,0),""))</f>
        <v/>
      </c>
      <c r="F1866" s="79" t="str">
        <f t="shared" si="147"/>
        <v/>
      </c>
      <c r="G1866" s="395"/>
      <c r="H1866" s="91">
        <f t="shared" si="148"/>
        <v>0</v>
      </c>
      <c r="I1866" s="91" t="str">
        <f t="shared" si="149"/>
        <v/>
      </c>
      <c r="J1866" s="91" t="str">
        <f t="shared" si="150"/>
        <v/>
      </c>
      <c r="K1866" s="92" t="str">
        <f>IF(AND(A1866="",B1866="",D1866="",G1866=""),"",IF(AND(A1866&lt;&gt;"",COUNTIF($A$2:$A$5001,A1866)&gt;1),"NUMERO_PC duplicado",IF(B1866="","DATA_PC vazia",IF(NOT(ISNUMBER(B1866)),"DATA_PC invalida",IF(OR(C1866="",C1866="Fora dos ciclos"),"CICLO_PC nao identificado",IF(OR(D1866="",D1866=0),"VALOR_PC vazio ou zero",IF(AND(G1866&lt;&gt;"Sim",G1866&lt;&gt;"Nao",G1866&lt;&gt;""),"PC_PAGO_A_CONTRATADA invalido",IF(AND(C1866&lt;&gt;"C0",IFERROR(INDEX(parametros!$A$2:$A$6,MATCH(C1866,parametros!$B$2:$B$6,0)),"")="Sim",IFERROR(INDEX(parametros!$H$2:$H$6,MATCH(C1866,parametros!$B$2:$B$6,0)),"")=""),"INICIO_EFEITO ausente: PC "&amp;A1866&amp;" - "&amp;C1866,IF(L1866="","EFEITO_PC nao calculado: PC "&amp;A1866&amp;" - "&amp;C1866,"OK")))))))))</f>
        <v/>
      </c>
      <c r="L1866" s="92" t="str">
        <f>IF(AND(A1866="",B1866="",D1866="",G1866=""),"",IF(OR(B1866="",NOT(ISNUMBER(B1866)),C1866="",C1866="Fora dos ciclos"),"",IF(C1866="C0","Nao",IF(IFERROR(INDEX(parametros!$A$2:$A$6,MATCH(C1866,parametros!$B$2:$B$6,0)),"")&lt;&gt;"Sim","Nao",IF(IFERROR(INDEX(parametros!$H$2:$H$6,MATCH(C1866,parametros!$B$2:$B$6,0)),"")="","",IF(B1866&gt;=IFERROR(INDEX(parametros!$H$2:$H$6,MATCH(C1866,parametros!$B$2:$B$6,0)),""),"Sim","Nao"))))))</f>
        <v/>
      </c>
      <c r="T1866" s="156"/>
      <c r="U1866" s="214" t="str">
        <f t="shared" si="151"/>
        <v/>
      </c>
      <c r="V1866" s="212" t="s">
        <v>50</v>
      </c>
      <c r="W1866" s="100" t="s">
        <v>168</v>
      </c>
      <c r="X1866" s="100" t="s">
        <v>169</v>
      </c>
      <c r="Y1866" s="101" t="s">
        <v>170</v>
      </c>
      <c r="Z1866" s="101" t="s">
        <v>171</v>
      </c>
      <c r="AA1866" s="101" t="s">
        <v>50</v>
      </c>
      <c r="AB1866" s="101" t="s">
        <v>172</v>
      </c>
      <c r="AC1866" s="102" t="s">
        <v>173</v>
      </c>
    </row>
    <row r="1867" spans="1:29" ht="25.5" customHeight="1" x14ac:dyDescent="0.35">
      <c r="A1867" s="392"/>
      <c r="B1867" s="393"/>
      <c r="C1867" s="99" t="str">
        <f>IF(B1867="","",IF(NOT(ISNUMBER(B1867)),"DATA_PC invalida",IF(NOT(ISNUMBER(parametros!$C$2)),"Fora dos ciclos",IF(OR(B1867&lt;parametros!$C$2,(YEAR(B1867)-YEAR(parametros!$C$2))*12+MONTH(B1867)-MONTH(parametros!$C$2)&gt;59),"Fora dos ciclos","C"&amp;INT(((YEAR(B1867)-YEAR(parametros!$C$2))*12+MONTH(B1867)-MONTH(parametros!$C$2))/12)))))</f>
        <v/>
      </c>
      <c r="D1867" s="394"/>
      <c r="E1867" s="78" t="str">
        <f>IF(C1867="","",IFERROR(VLOOKUP(C1867,parametros!$A$11:$E$15,5,0),""))</f>
        <v/>
      </c>
      <c r="F1867" s="79" t="str">
        <f t="shared" si="147"/>
        <v/>
      </c>
      <c r="G1867" s="395"/>
      <c r="H1867" s="91">
        <f t="shared" si="148"/>
        <v>0</v>
      </c>
      <c r="I1867" s="91" t="str">
        <f t="shared" si="149"/>
        <v/>
      </c>
      <c r="J1867" s="91" t="str">
        <f t="shared" si="150"/>
        <v/>
      </c>
      <c r="K1867" s="92" t="str">
        <f>IF(AND(A1867="",B1867="",D1867="",G1867=""),"",IF(AND(A1867&lt;&gt;"",COUNTIF($A$2:$A$5001,A1867)&gt;1),"NUMERO_PC duplicado",IF(B1867="","DATA_PC vazia",IF(NOT(ISNUMBER(B1867)),"DATA_PC invalida",IF(OR(C1867="",C1867="Fora dos ciclos"),"CICLO_PC nao identificado",IF(OR(D1867="",D1867=0),"VALOR_PC vazio ou zero",IF(AND(G1867&lt;&gt;"Sim",G1867&lt;&gt;"Nao",G1867&lt;&gt;""),"PC_PAGO_A_CONTRATADA invalido",IF(AND(C1867&lt;&gt;"C0",IFERROR(INDEX(parametros!$A$2:$A$6,MATCH(C1867,parametros!$B$2:$B$6,0)),"")="Sim",IFERROR(INDEX(parametros!$H$2:$H$6,MATCH(C1867,parametros!$B$2:$B$6,0)),"")=""),"INICIO_EFEITO ausente: PC "&amp;A1867&amp;" - "&amp;C1867,IF(L1867="","EFEITO_PC nao calculado: PC "&amp;A1867&amp;" - "&amp;C1867,"OK")))))))))</f>
        <v/>
      </c>
      <c r="L1867" s="92" t="str">
        <f>IF(AND(A1867="",B1867="",D1867="",G1867=""),"",IF(OR(B1867="",NOT(ISNUMBER(B1867)),C1867="",C1867="Fora dos ciclos"),"",IF(C1867="C0","Nao",IF(IFERROR(INDEX(parametros!$A$2:$A$6,MATCH(C1867,parametros!$B$2:$B$6,0)),"")&lt;&gt;"Sim","Nao",IF(IFERROR(INDEX(parametros!$H$2:$H$6,MATCH(C1867,parametros!$B$2:$B$6,0)),"")="","",IF(B1867&gt;=IFERROR(INDEX(parametros!$H$2:$H$6,MATCH(C1867,parametros!$B$2:$B$6,0)),""),"Sim","Nao"))))))</f>
        <v/>
      </c>
      <c r="T1867" s="156"/>
      <c r="U1867" s="214" t="str">
        <f t="shared" si="151"/>
        <v/>
      </c>
      <c r="V1867" s="212" t="s">
        <v>50</v>
      </c>
      <c r="W1867" s="100" t="s">
        <v>168</v>
      </c>
      <c r="X1867" s="100" t="s">
        <v>169</v>
      </c>
      <c r="Y1867" s="101" t="s">
        <v>170</v>
      </c>
      <c r="Z1867" s="101" t="s">
        <v>171</v>
      </c>
      <c r="AA1867" s="101" t="s">
        <v>50</v>
      </c>
      <c r="AB1867" s="101" t="s">
        <v>172</v>
      </c>
      <c r="AC1867" s="102" t="s">
        <v>173</v>
      </c>
    </row>
    <row r="1868" spans="1:29" ht="25.5" customHeight="1" x14ac:dyDescent="0.35">
      <c r="A1868" s="392"/>
      <c r="B1868" s="393"/>
      <c r="C1868" s="99" t="str">
        <f>IF(B1868="","",IF(NOT(ISNUMBER(B1868)),"DATA_PC invalida",IF(NOT(ISNUMBER(parametros!$C$2)),"Fora dos ciclos",IF(OR(B1868&lt;parametros!$C$2,(YEAR(B1868)-YEAR(parametros!$C$2))*12+MONTH(B1868)-MONTH(parametros!$C$2)&gt;59),"Fora dos ciclos","C"&amp;INT(((YEAR(B1868)-YEAR(parametros!$C$2))*12+MONTH(B1868)-MONTH(parametros!$C$2))/12)))))</f>
        <v/>
      </c>
      <c r="D1868" s="394"/>
      <c r="E1868" s="78" t="str">
        <f>IF(C1868="","",IFERROR(VLOOKUP(C1868,parametros!$A$11:$E$15,5,0),""))</f>
        <v/>
      </c>
      <c r="F1868" s="79" t="str">
        <f t="shared" si="147"/>
        <v/>
      </c>
      <c r="G1868" s="395"/>
      <c r="H1868" s="91">
        <f t="shared" si="148"/>
        <v>0</v>
      </c>
      <c r="I1868" s="91" t="str">
        <f t="shared" si="149"/>
        <v/>
      </c>
      <c r="J1868" s="91" t="str">
        <f t="shared" si="150"/>
        <v/>
      </c>
      <c r="K1868" s="92" t="str">
        <f>IF(AND(A1868="",B1868="",D1868="",G1868=""),"",IF(AND(A1868&lt;&gt;"",COUNTIF($A$2:$A$5001,A1868)&gt;1),"NUMERO_PC duplicado",IF(B1868="","DATA_PC vazia",IF(NOT(ISNUMBER(B1868)),"DATA_PC invalida",IF(OR(C1868="",C1868="Fora dos ciclos"),"CICLO_PC nao identificado",IF(OR(D1868="",D1868=0),"VALOR_PC vazio ou zero",IF(AND(G1868&lt;&gt;"Sim",G1868&lt;&gt;"Nao",G1868&lt;&gt;""),"PC_PAGO_A_CONTRATADA invalido",IF(AND(C1868&lt;&gt;"C0",IFERROR(INDEX(parametros!$A$2:$A$6,MATCH(C1868,parametros!$B$2:$B$6,0)),"")="Sim",IFERROR(INDEX(parametros!$H$2:$H$6,MATCH(C1868,parametros!$B$2:$B$6,0)),"")=""),"INICIO_EFEITO ausente: PC "&amp;A1868&amp;" - "&amp;C1868,IF(L1868="","EFEITO_PC nao calculado: PC "&amp;A1868&amp;" - "&amp;C1868,"OK")))))))))</f>
        <v/>
      </c>
      <c r="L1868" s="92" t="str">
        <f>IF(AND(A1868="",B1868="",D1868="",G1868=""),"",IF(OR(B1868="",NOT(ISNUMBER(B1868)),C1868="",C1868="Fora dos ciclos"),"",IF(C1868="C0","Nao",IF(IFERROR(INDEX(parametros!$A$2:$A$6,MATCH(C1868,parametros!$B$2:$B$6,0)),"")&lt;&gt;"Sim","Nao",IF(IFERROR(INDEX(parametros!$H$2:$H$6,MATCH(C1868,parametros!$B$2:$B$6,0)),"")="","",IF(B1868&gt;=IFERROR(INDEX(parametros!$H$2:$H$6,MATCH(C1868,parametros!$B$2:$B$6,0)),""),"Sim","Nao"))))))</f>
        <v/>
      </c>
      <c r="T1868" s="156"/>
      <c r="U1868" s="214" t="str">
        <f t="shared" si="151"/>
        <v/>
      </c>
      <c r="V1868" s="212" t="s">
        <v>50</v>
      </c>
      <c r="W1868" s="100" t="s">
        <v>168</v>
      </c>
      <c r="X1868" s="100" t="s">
        <v>169</v>
      </c>
      <c r="Y1868" s="101" t="s">
        <v>170</v>
      </c>
      <c r="Z1868" s="101" t="s">
        <v>171</v>
      </c>
      <c r="AA1868" s="101" t="s">
        <v>50</v>
      </c>
      <c r="AB1868" s="101" t="s">
        <v>172</v>
      </c>
      <c r="AC1868" s="102" t="s">
        <v>173</v>
      </c>
    </row>
    <row r="1869" spans="1:29" ht="25.5" customHeight="1" x14ac:dyDescent="0.35">
      <c r="A1869" s="392"/>
      <c r="B1869" s="393"/>
      <c r="C1869" s="99" t="str">
        <f>IF(B1869="","",IF(NOT(ISNUMBER(B1869)),"DATA_PC invalida",IF(NOT(ISNUMBER(parametros!$C$2)),"Fora dos ciclos",IF(OR(B1869&lt;parametros!$C$2,(YEAR(B1869)-YEAR(parametros!$C$2))*12+MONTH(B1869)-MONTH(parametros!$C$2)&gt;59),"Fora dos ciclos","C"&amp;INT(((YEAR(B1869)-YEAR(parametros!$C$2))*12+MONTH(B1869)-MONTH(parametros!$C$2))/12)))))</f>
        <v/>
      </c>
      <c r="D1869" s="394"/>
      <c r="E1869" s="78" t="str">
        <f>IF(C1869="","",IFERROR(VLOOKUP(C1869,parametros!$A$11:$E$15,5,0),""))</f>
        <v/>
      </c>
      <c r="F1869" s="79" t="str">
        <f t="shared" si="147"/>
        <v/>
      </c>
      <c r="G1869" s="395"/>
      <c r="H1869" s="91">
        <f t="shared" si="148"/>
        <v>0</v>
      </c>
      <c r="I1869" s="91" t="str">
        <f t="shared" si="149"/>
        <v/>
      </c>
      <c r="J1869" s="91" t="str">
        <f t="shared" si="150"/>
        <v/>
      </c>
      <c r="K1869" s="92" t="str">
        <f>IF(AND(A1869="",B1869="",D1869="",G1869=""),"",IF(AND(A1869&lt;&gt;"",COUNTIF($A$2:$A$5001,A1869)&gt;1),"NUMERO_PC duplicado",IF(B1869="","DATA_PC vazia",IF(NOT(ISNUMBER(B1869)),"DATA_PC invalida",IF(OR(C1869="",C1869="Fora dos ciclos"),"CICLO_PC nao identificado",IF(OR(D1869="",D1869=0),"VALOR_PC vazio ou zero",IF(AND(G1869&lt;&gt;"Sim",G1869&lt;&gt;"Nao",G1869&lt;&gt;""),"PC_PAGO_A_CONTRATADA invalido",IF(AND(C1869&lt;&gt;"C0",IFERROR(INDEX(parametros!$A$2:$A$6,MATCH(C1869,parametros!$B$2:$B$6,0)),"")="Sim",IFERROR(INDEX(parametros!$H$2:$H$6,MATCH(C1869,parametros!$B$2:$B$6,0)),"")=""),"INICIO_EFEITO ausente: PC "&amp;A1869&amp;" - "&amp;C1869,IF(L1869="","EFEITO_PC nao calculado: PC "&amp;A1869&amp;" - "&amp;C1869,"OK")))))))))</f>
        <v/>
      </c>
      <c r="L1869" s="92" t="str">
        <f>IF(AND(A1869="",B1869="",D1869="",G1869=""),"",IF(OR(B1869="",NOT(ISNUMBER(B1869)),C1869="",C1869="Fora dos ciclos"),"",IF(C1869="C0","Nao",IF(IFERROR(INDEX(parametros!$A$2:$A$6,MATCH(C1869,parametros!$B$2:$B$6,0)),"")&lt;&gt;"Sim","Nao",IF(IFERROR(INDEX(parametros!$H$2:$H$6,MATCH(C1869,parametros!$B$2:$B$6,0)),"")="","",IF(B1869&gt;=IFERROR(INDEX(parametros!$H$2:$H$6,MATCH(C1869,parametros!$B$2:$B$6,0)),""),"Sim","Nao"))))))</f>
        <v/>
      </c>
      <c r="T1869" s="156"/>
      <c r="U1869" s="214" t="str">
        <f t="shared" si="151"/>
        <v/>
      </c>
      <c r="V1869" s="212" t="s">
        <v>50</v>
      </c>
      <c r="W1869" s="100" t="s">
        <v>168</v>
      </c>
      <c r="X1869" s="100" t="s">
        <v>169</v>
      </c>
      <c r="Y1869" s="101" t="s">
        <v>170</v>
      </c>
      <c r="Z1869" s="101" t="s">
        <v>171</v>
      </c>
      <c r="AA1869" s="101" t="s">
        <v>50</v>
      </c>
      <c r="AB1869" s="101" t="s">
        <v>172</v>
      </c>
      <c r="AC1869" s="102" t="s">
        <v>173</v>
      </c>
    </row>
    <row r="1870" spans="1:29" ht="25.5" customHeight="1" x14ac:dyDescent="0.35">
      <c r="A1870" s="392"/>
      <c r="B1870" s="393"/>
      <c r="C1870" s="99" t="str">
        <f>IF(B1870="","",IF(NOT(ISNUMBER(B1870)),"DATA_PC invalida",IF(NOT(ISNUMBER(parametros!$C$2)),"Fora dos ciclos",IF(OR(B1870&lt;parametros!$C$2,(YEAR(B1870)-YEAR(parametros!$C$2))*12+MONTH(B1870)-MONTH(parametros!$C$2)&gt;59),"Fora dos ciclos","C"&amp;INT(((YEAR(B1870)-YEAR(parametros!$C$2))*12+MONTH(B1870)-MONTH(parametros!$C$2))/12)))))</f>
        <v/>
      </c>
      <c r="D1870" s="394"/>
      <c r="E1870" s="78" t="str">
        <f>IF(C1870="","",IFERROR(VLOOKUP(C1870,parametros!$A$11:$E$15,5,0),""))</f>
        <v/>
      </c>
      <c r="F1870" s="79" t="str">
        <f t="shared" si="147"/>
        <v/>
      </c>
      <c r="G1870" s="395"/>
      <c r="H1870" s="91">
        <f t="shared" si="148"/>
        <v>0</v>
      </c>
      <c r="I1870" s="91" t="str">
        <f t="shared" si="149"/>
        <v/>
      </c>
      <c r="J1870" s="91" t="str">
        <f t="shared" si="150"/>
        <v/>
      </c>
      <c r="K1870" s="92" t="str">
        <f>IF(AND(A1870="",B1870="",D1870="",G1870=""),"",IF(AND(A1870&lt;&gt;"",COUNTIF($A$2:$A$5001,A1870)&gt;1),"NUMERO_PC duplicado",IF(B1870="","DATA_PC vazia",IF(NOT(ISNUMBER(B1870)),"DATA_PC invalida",IF(OR(C1870="",C1870="Fora dos ciclos"),"CICLO_PC nao identificado",IF(OR(D1870="",D1870=0),"VALOR_PC vazio ou zero",IF(AND(G1870&lt;&gt;"Sim",G1870&lt;&gt;"Nao",G1870&lt;&gt;""),"PC_PAGO_A_CONTRATADA invalido",IF(AND(C1870&lt;&gt;"C0",IFERROR(INDEX(parametros!$A$2:$A$6,MATCH(C1870,parametros!$B$2:$B$6,0)),"")="Sim",IFERROR(INDEX(parametros!$H$2:$H$6,MATCH(C1870,parametros!$B$2:$B$6,0)),"")=""),"INICIO_EFEITO ausente: PC "&amp;A1870&amp;" - "&amp;C1870,IF(L1870="","EFEITO_PC nao calculado: PC "&amp;A1870&amp;" - "&amp;C1870,"OK")))))))))</f>
        <v/>
      </c>
      <c r="L1870" s="92" t="str">
        <f>IF(AND(A1870="",B1870="",D1870="",G1870=""),"",IF(OR(B1870="",NOT(ISNUMBER(B1870)),C1870="",C1870="Fora dos ciclos"),"",IF(C1870="C0","Nao",IF(IFERROR(INDEX(parametros!$A$2:$A$6,MATCH(C1870,parametros!$B$2:$B$6,0)),"")&lt;&gt;"Sim","Nao",IF(IFERROR(INDEX(parametros!$H$2:$H$6,MATCH(C1870,parametros!$B$2:$B$6,0)),"")="","",IF(B1870&gt;=IFERROR(INDEX(parametros!$H$2:$H$6,MATCH(C1870,parametros!$B$2:$B$6,0)),""),"Sim","Nao"))))))</f>
        <v/>
      </c>
      <c r="T1870" s="156"/>
      <c r="U1870" s="214" t="str">
        <f t="shared" si="151"/>
        <v/>
      </c>
      <c r="V1870" s="212" t="s">
        <v>50</v>
      </c>
      <c r="W1870" s="100" t="s">
        <v>168</v>
      </c>
      <c r="X1870" s="100" t="s">
        <v>169</v>
      </c>
      <c r="Y1870" s="101" t="s">
        <v>170</v>
      </c>
      <c r="Z1870" s="101" t="s">
        <v>171</v>
      </c>
      <c r="AA1870" s="101" t="s">
        <v>50</v>
      </c>
      <c r="AB1870" s="101" t="s">
        <v>172</v>
      </c>
      <c r="AC1870" s="102" t="s">
        <v>173</v>
      </c>
    </row>
    <row r="1871" spans="1:29" ht="25.5" customHeight="1" x14ac:dyDescent="0.35">
      <c r="A1871" s="392"/>
      <c r="B1871" s="393"/>
      <c r="C1871" s="99" t="str">
        <f>IF(B1871="","",IF(NOT(ISNUMBER(B1871)),"DATA_PC invalida",IF(NOT(ISNUMBER(parametros!$C$2)),"Fora dos ciclos",IF(OR(B1871&lt;parametros!$C$2,(YEAR(B1871)-YEAR(parametros!$C$2))*12+MONTH(B1871)-MONTH(parametros!$C$2)&gt;59),"Fora dos ciclos","C"&amp;INT(((YEAR(B1871)-YEAR(parametros!$C$2))*12+MONTH(B1871)-MONTH(parametros!$C$2))/12)))))</f>
        <v/>
      </c>
      <c r="D1871" s="394"/>
      <c r="E1871" s="78" t="str">
        <f>IF(C1871="","",IFERROR(VLOOKUP(C1871,parametros!$A$11:$E$15,5,0),""))</f>
        <v/>
      </c>
      <c r="F1871" s="79" t="str">
        <f t="shared" si="147"/>
        <v/>
      </c>
      <c r="G1871" s="395"/>
      <c r="H1871" s="91">
        <f t="shared" si="148"/>
        <v>0</v>
      </c>
      <c r="I1871" s="91" t="str">
        <f t="shared" si="149"/>
        <v/>
      </c>
      <c r="J1871" s="91" t="str">
        <f t="shared" si="150"/>
        <v/>
      </c>
      <c r="K1871" s="92" t="str">
        <f>IF(AND(A1871="",B1871="",D1871="",G1871=""),"",IF(AND(A1871&lt;&gt;"",COUNTIF($A$2:$A$5001,A1871)&gt;1),"NUMERO_PC duplicado",IF(B1871="","DATA_PC vazia",IF(NOT(ISNUMBER(B1871)),"DATA_PC invalida",IF(OR(C1871="",C1871="Fora dos ciclos"),"CICLO_PC nao identificado",IF(OR(D1871="",D1871=0),"VALOR_PC vazio ou zero",IF(AND(G1871&lt;&gt;"Sim",G1871&lt;&gt;"Nao",G1871&lt;&gt;""),"PC_PAGO_A_CONTRATADA invalido",IF(AND(C1871&lt;&gt;"C0",IFERROR(INDEX(parametros!$A$2:$A$6,MATCH(C1871,parametros!$B$2:$B$6,0)),"")="Sim",IFERROR(INDEX(parametros!$H$2:$H$6,MATCH(C1871,parametros!$B$2:$B$6,0)),"")=""),"INICIO_EFEITO ausente: PC "&amp;A1871&amp;" - "&amp;C1871,IF(L1871="","EFEITO_PC nao calculado: PC "&amp;A1871&amp;" - "&amp;C1871,"OK")))))))))</f>
        <v/>
      </c>
      <c r="L1871" s="92" t="str">
        <f>IF(AND(A1871="",B1871="",D1871="",G1871=""),"",IF(OR(B1871="",NOT(ISNUMBER(B1871)),C1871="",C1871="Fora dos ciclos"),"",IF(C1871="C0","Nao",IF(IFERROR(INDEX(parametros!$A$2:$A$6,MATCH(C1871,parametros!$B$2:$B$6,0)),"")&lt;&gt;"Sim","Nao",IF(IFERROR(INDEX(parametros!$H$2:$H$6,MATCH(C1871,parametros!$B$2:$B$6,0)),"")="","",IF(B1871&gt;=IFERROR(INDEX(parametros!$H$2:$H$6,MATCH(C1871,parametros!$B$2:$B$6,0)),""),"Sim","Nao"))))))</f>
        <v/>
      </c>
      <c r="T1871" s="156"/>
      <c r="U1871" s="214" t="str">
        <f t="shared" si="151"/>
        <v/>
      </c>
      <c r="V1871" s="212" t="s">
        <v>50</v>
      </c>
      <c r="W1871" s="100" t="s">
        <v>168</v>
      </c>
      <c r="X1871" s="100" t="s">
        <v>169</v>
      </c>
      <c r="Y1871" s="101" t="s">
        <v>170</v>
      </c>
      <c r="Z1871" s="101" t="s">
        <v>171</v>
      </c>
      <c r="AA1871" s="101" t="s">
        <v>50</v>
      </c>
      <c r="AB1871" s="101" t="s">
        <v>172</v>
      </c>
      <c r="AC1871" s="102" t="s">
        <v>173</v>
      </c>
    </row>
    <row r="1872" spans="1:29" ht="25.5" customHeight="1" x14ac:dyDescent="0.35">
      <c r="A1872" s="392"/>
      <c r="B1872" s="393"/>
      <c r="C1872" s="99" t="str">
        <f>IF(B1872="","",IF(NOT(ISNUMBER(B1872)),"DATA_PC invalida",IF(NOT(ISNUMBER(parametros!$C$2)),"Fora dos ciclos",IF(OR(B1872&lt;parametros!$C$2,(YEAR(B1872)-YEAR(parametros!$C$2))*12+MONTH(B1872)-MONTH(parametros!$C$2)&gt;59),"Fora dos ciclos","C"&amp;INT(((YEAR(B1872)-YEAR(parametros!$C$2))*12+MONTH(B1872)-MONTH(parametros!$C$2))/12)))))</f>
        <v/>
      </c>
      <c r="D1872" s="394"/>
      <c r="E1872" s="78" t="str">
        <f>IF(C1872="","",IFERROR(VLOOKUP(C1872,parametros!$A$11:$E$15,5,0),""))</f>
        <v/>
      </c>
      <c r="F1872" s="79" t="str">
        <f t="shared" si="147"/>
        <v/>
      </c>
      <c r="G1872" s="395"/>
      <c r="H1872" s="91">
        <f t="shared" si="148"/>
        <v>0</v>
      </c>
      <c r="I1872" s="91" t="str">
        <f t="shared" si="149"/>
        <v/>
      </c>
      <c r="J1872" s="91" t="str">
        <f t="shared" si="150"/>
        <v/>
      </c>
      <c r="K1872" s="92" t="str">
        <f>IF(AND(A1872="",B1872="",D1872="",G1872=""),"",IF(AND(A1872&lt;&gt;"",COUNTIF($A$2:$A$5001,A1872)&gt;1),"NUMERO_PC duplicado",IF(B1872="","DATA_PC vazia",IF(NOT(ISNUMBER(B1872)),"DATA_PC invalida",IF(OR(C1872="",C1872="Fora dos ciclos"),"CICLO_PC nao identificado",IF(OR(D1872="",D1872=0),"VALOR_PC vazio ou zero",IF(AND(G1872&lt;&gt;"Sim",G1872&lt;&gt;"Nao",G1872&lt;&gt;""),"PC_PAGO_A_CONTRATADA invalido",IF(AND(C1872&lt;&gt;"C0",IFERROR(INDEX(parametros!$A$2:$A$6,MATCH(C1872,parametros!$B$2:$B$6,0)),"")="Sim",IFERROR(INDEX(parametros!$H$2:$H$6,MATCH(C1872,parametros!$B$2:$B$6,0)),"")=""),"INICIO_EFEITO ausente: PC "&amp;A1872&amp;" - "&amp;C1872,IF(L1872="","EFEITO_PC nao calculado: PC "&amp;A1872&amp;" - "&amp;C1872,"OK")))))))))</f>
        <v/>
      </c>
      <c r="L1872" s="92" t="str">
        <f>IF(AND(A1872="",B1872="",D1872="",G1872=""),"",IF(OR(B1872="",NOT(ISNUMBER(B1872)),C1872="",C1872="Fora dos ciclos"),"",IF(C1872="C0","Nao",IF(IFERROR(INDEX(parametros!$A$2:$A$6,MATCH(C1872,parametros!$B$2:$B$6,0)),"")&lt;&gt;"Sim","Nao",IF(IFERROR(INDEX(parametros!$H$2:$H$6,MATCH(C1872,parametros!$B$2:$B$6,0)),"")="","",IF(B1872&gt;=IFERROR(INDEX(parametros!$H$2:$H$6,MATCH(C1872,parametros!$B$2:$B$6,0)),""),"Sim","Nao"))))))</f>
        <v/>
      </c>
      <c r="T1872" s="156"/>
      <c r="U1872" s="214" t="str">
        <f t="shared" si="151"/>
        <v/>
      </c>
      <c r="V1872" s="212" t="s">
        <v>50</v>
      </c>
      <c r="W1872" s="100" t="s">
        <v>168</v>
      </c>
      <c r="X1872" s="100" t="s">
        <v>169</v>
      </c>
      <c r="Y1872" s="101" t="s">
        <v>170</v>
      </c>
      <c r="Z1872" s="101" t="s">
        <v>171</v>
      </c>
      <c r="AA1872" s="101" t="s">
        <v>50</v>
      </c>
      <c r="AB1872" s="101" t="s">
        <v>172</v>
      </c>
      <c r="AC1872" s="102" t="s">
        <v>173</v>
      </c>
    </row>
    <row r="1873" spans="1:29" ht="25.5" customHeight="1" x14ac:dyDescent="0.35">
      <c r="A1873" s="392"/>
      <c r="B1873" s="393"/>
      <c r="C1873" s="99" t="str">
        <f>IF(B1873="","",IF(NOT(ISNUMBER(B1873)),"DATA_PC invalida",IF(NOT(ISNUMBER(parametros!$C$2)),"Fora dos ciclos",IF(OR(B1873&lt;parametros!$C$2,(YEAR(B1873)-YEAR(parametros!$C$2))*12+MONTH(B1873)-MONTH(parametros!$C$2)&gt;59),"Fora dos ciclos","C"&amp;INT(((YEAR(B1873)-YEAR(parametros!$C$2))*12+MONTH(B1873)-MONTH(parametros!$C$2))/12)))))</f>
        <v/>
      </c>
      <c r="D1873" s="394"/>
      <c r="E1873" s="78" t="str">
        <f>IF(C1873="","",IFERROR(VLOOKUP(C1873,parametros!$A$11:$E$15,5,0),""))</f>
        <v/>
      </c>
      <c r="F1873" s="79" t="str">
        <f t="shared" si="147"/>
        <v/>
      </c>
      <c r="G1873" s="395"/>
      <c r="H1873" s="91">
        <f t="shared" si="148"/>
        <v>0</v>
      </c>
      <c r="I1873" s="91" t="str">
        <f t="shared" si="149"/>
        <v/>
      </c>
      <c r="J1873" s="91" t="str">
        <f t="shared" si="150"/>
        <v/>
      </c>
      <c r="K1873" s="92" t="str">
        <f>IF(AND(A1873="",B1873="",D1873="",G1873=""),"",IF(AND(A1873&lt;&gt;"",COUNTIF($A$2:$A$5001,A1873)&gt;1),"NUMERO_PC duplicado",IF(B1873="","DATA_PC vazia",IF(NOT(ISNUMBER(B1873)),"DATA_PC invalida",IF(OR(C1873="",C1873="Fora dos ciclos"),"CICLO_PC nao identificado",IF(OR(D1873="",D1873=0),"VALOR_PC vazio ou zero",IF(AND(G1873&lt;&gt;"Sim",G1873&lt;&gt;"Nao",G1873&lt;&gt;""),"PC_PAGO_A_CONTRATADA invalido",IF(AND(C1873&lt;&gt;"C0",IFERROR(INDEX(parametros!$A$2:$A$6,MATCH(C1873,parametros!$B$2:$B$6,0)),"")="Sim",IFERROR(INDEX(parametros!$H$2:$H$6,MATCH(C1873,parametros!$B$2:$B$6,0)),"")=""),"INICIO_EFEITO ausente: PC "&amp;A1873&amp;" - "&amp;C1873,IF(L1873="","EFEITO_PC nao calculado: PC "&amp;A1873&amp;" - "&amp;C1873,"OK")))))))))</f>
        <v/>
      </c>
      <c r="L1873" s="92" t="str">
        <f>IF(AND(A1873="",B1873="",D1873="",G1873=""),"",IF(OR(B1873="",NOT(ISNUMBER(B1873)),C1873="",C1873="Fora dos ciclos"),"",IF(C1873="C0","Nao",IF(IFERROR(INDEX(parametros!$A$2:$A$6,MATCH(C1873,parametros!$B$2:$B$6,0)),"")&lt;&gt;"Sim","Nao",IF(IFERROR(INDEX(parametros!$H$2:$H$6,MATCH(C1873,parametros!$B$2:$B$6,0)),"")="","",IF(B1873&gt;=IFERROR(INDEX(parametros!$H$2:$H$6,MATCH(C1873,parametros!$B$2:$B$6,0)),""),"Sim","Nao"))))))</f>
        <v/>
      </c>
      <c r="T1873" s="156"/>
      <c r="U1873" s="214" t="str">
        <f t="shared" si="151"/>
        <v/>
      </c>
      <c r="V1873" s="212" t="s">
        <v>50</v>
      </c>
      <c r="W1873" s="100" t="s">
        <v>168</v>
      </c>
      <c r="X1873" s="100" t="s">
        <v>169</v>
      </c>
      <c r="Y1873" s="101" t="s">
        <v>170</v>
      </c>
      <c r="Z1873" s="101" t="s">
        <v>171</v>
      </c>
      <c r="AA1873" s="101" t="s">
        <v>50</v>
      </c>
      <c r="AB1873" s="101" t="s">
        <v>172</v>
      </c>
      <c r="AC1873" s="102" t="s">
        <v>173</v>
      </c>
    </row>
    <row r="1874" spans="1:29" ht="25.5" customHeight="1" x14ac:dyDescent="0.35">
      <c r="A1874" s="392"/>
      <c r="B1874" s="393"/>
      <c r="C1874" s="99" t="str">
        <f>IF(B1874="","",IF(NOT(ISNUMBER(B1874)),"DATA_PC invalida",IF(NOT(ISNUMBER(parametros!$C$2)),"Fora dos ciclos",IF(OR(B1874&lt;parametros!$C$2,(YEAR(B1874)-YEAR(parametros!$C$2))*12+MONTH(B1874)-MONTH(parametros!$C$2)&gt;59),"Fora dos ciclos","C"&amp;INT(((YEAR(B1874)-YEAR(parametros!$C$2))*12+MONTH(B1874)-MONTH(parametros!$C$2))/12)))))</f>
        <v/>
      </c>
      <c r="D1874" s="394"/>
      <c r="E1874" s="78" t="str">
        <f>IF(C1874="","",IFERROR(VLOOKUP(C1874,parametros!$A$11:$E$15,5,0),""))</f>
        <v/>
      </c>
      <c r="F1874" s="79" t="str">
        <f t="shared" si="147"/>
        <v/>
      </c>
      <c r="G1874" s="395"/>
      <c r="H1874" s="91">
        <f t="shared" si="148"/>
        <v>0</v>
      </c>
      <c r="I1874" s="91" t="str">
        <f t="shared" si="149"/>
        <v/>
      </c>
      <c r="J1874" s="91" t="str">
        <f t="shared" si="150"/>
        <v/>
      </c>
      <c r="K1874" s="92" t="str">
        <f>IF(AND(A1874="",B1874="",D1874="",G1874=""),"",IF(AND(A1874&lt;&gt;"",COUNTIF($A$2:$A$5001,A1874)&gt;1),"NUMERO_PC duplicado",IF(B1874="","DATA_PC vazia",IF(NOT(ISNUMBER(B1874)),"DATA_PC invalida",IF(OR(C1874="",C1874="Fora dos ciclos"),"CICLO_PC nao identificado",IF(OR(D1874="",D1874=0),"VALOR_PC vazio ou zero",IF(AND(G1874&lt;&gt;"Sim",G1874&lt;&gt;"Nao",G1874&lt;&gt;""),"PC_PAGO_A_CONTRATADA invalido",IF(AND(C1874&lt;&gt;"C0",IFERROR(INDEX(parametros!$A$2:$A$6,MATCH(C1874,parametros!$B$2:$B$6,0)),"")="Sim",IFERROR(INDEX(parametros!$H$2:$H$6,MATCH(C1874,parametros!$B$2:$B$6,0)),"")=""),"INICIO_EFEITO ausente: PC "&amp;A1874&amp;" - "&amp;C1874,IF(L1874="","EFEITO_PC nao calculado: PC "&amp;A1874&amp;" - "&amp;C1874,"OK")))))))))</f>
        <v/>
      </c>
      <c r="L1874" s="92" t="str">
        <f>IF(AND(A1874="",B1874="",D1874="",G1874=""),"",IF(OR(B1874="",NOT(ISNUMBER(B1874)),C1874="",C1874="Fora dos ciclos"),"",IF(C1874="C0","Nao",IF(IFERROR(INDEX(parametros!$A$2:$A$6,MATCH(C1874,parametros!$B$2:$B$6,0)),"")&lt;&gt;"Sim","Nao",IF(IFERROR(INDEX(parametros!$H$2:$H$6,MATCH(C1874,parametros!$B$2:$B$6,0)),"")="","",IF(B1874&gt;=IFERROR(INDEX(parametros!$H$2:$H$6,MATCH(C1874,parametros!$B$2:$B$6,0)),""),"Sim","Nao"))))))</f>
        <v/>
      </c>
      <c r="T1874" s="156"/>
      <c r="U1874" s="214" t="str">
        <f t="shared" si="151"/>
        <v/>
      </c>
      <c r="V1874" s="212" t="s">
        <v>50</v>
      </c>
      <c r="W1874" s="100" t="s">
        <v>168</v>
      </c>
      <c r="X1874" s="100" t="s">
        <v>169</v>
      </c>
      <c r="Y1874" s="101" t="s">
        <v>170</v>
      </c>
      <c r="Z1874" s="101" t="s">
        <v>171</v>
      </c>
      <c r="AA1874" s="101" t="s">
        <v>50</v>
      </c>
      <c r="AB1874" s="101" t="s">
        <v>172</v>
      </c>
      <c r="AC1874" s="102" t="s">
        <v>173</v>
      </c>
    </row>
    <row r="1875" spans="1:29" ht="25.5" customHeight="1" x14ac:dyDescent="0.35">
      <c r="A1875" s="392"/>
      <c r="B1875" s="393"/>
      <c r="C1875" s="99" t="str">
        <f>IF(B1875="","",IF(NOT(ISNUMBER(B1875)),"DATA_PC invalida",IF(NOT(ISNUMBER(parametros!$C$2)),"Fora dos ciclos",IF(OR(B1875&lt;parametros!$C$2,(YEAR(B1875)-YEAR(parametros!$C$2))*12+MONTH(B1875)-MONTH(parametros!$C$2)&gt;59),"Fora dos ciclos","C"&amp;INT(((YEAR(B1875)-YEAR(parametros!$C$2))*12+MONTH(B1875)-MONTH(parametros!$C$2))/12)))))</f>
        <v/>
      </c>
      <c r="D1875" s="394"/>
      <c r="E1875" s="78" t="str">
        <f>IF(C1875="","",IFERROR(VLOOKUP(C1875,parametros!$A$11:$E$15,5,0),""))</f>
        <v/>
      </c>
      <c r="F1875" s="79" t="str">
        <f t="shared" si="147"/>
        <v/>
      </c>
      <c r="G1875" s="395"/>
      <c r="H1875" s="91">
        <f t="shared" si="148"/>
        <v>0</v>
      </c>
      <c r="I1875" s="91" t="str">
        <f t="shared" si="149"/>
        <v/>
      </c>
      <c r="J1875" s="91" t="str">
        <f t="shared" si="150"/>
        <v/>
      </c>
      <c r="K1875" s="92" t="str">
        <f>IF(AND(A1875="",B1875="",D1875="",G1875=""),"",IF(AND(A1875&lt;&gt;"",COUNTIF($A$2:$A$5001,A1875)&gt;1),"NUMERO_PC duplicado",IF(B1875="","DATA_PC vazia",IF(NOT(ISNUMBER(B1875)),"DATA_PC invalida",IF(OR(C1875="",C1875="Fora dos ciclos"),"CICLO_PC nao identificado",IF(OR(D1875="",D1875=0),"VALOR_PC vazio ou zero",IF(AND(G1875&lt;&gt;"Sim",G1875&lt;&gt;"Nao",G1875&lt;&gt;""),"PC_PAGO_A_CONTRATADA invalido",IF(AND(C1875&lt;&gt;"C0",IFERROR(INDEX(parametros!$A$2:$A$6,MATCH(C1875,parametros!$B$2:$B$6,0)),"")="Sim",IFERROR(INDEX(parametros!$H$2:$H$6,MATCH(C1875,parametros!$B$2:$B$6,0)),"")=""),"INICIO_EFEITO ausente: PC "&amp;A1875&amp;" - "&amp;C1875,IF(L1875="","EFEITO_PC nao calculado: PC "&amp;A1875&amp;" - "&amp;C1875,"OK")))))))))</f>
        <v/>
      </c>
      <c r="L1875" s="92" t="str">
        <f>IF(AND(A1875="",B1875="",D1875="",G1875=""),"",IF(OR(B1875="",NOT(ISNUMBER(B1875)),C1875="",C1875="Fora dos ciclos"),"",IF(C1875="C0","Nao",IF(IFERROR(INDEX(parametros!$A$2:$A$6,MATCH(C1875,parametros!$B$2:$B$6,0)),"")&lt;&gt;"Sim","Nao",IF(IFERROR(INDEX(parametros!$H$2:$H$6,MATCH(C1875,parametros!$B$2:$B$6,0)),"")="","",IF(B1875&gt;=IFERROR(INDEX(parametros!$H$2:$H$6,MATCH(C1875,parametros!$B$2:$B$6,0)),""),"Sim","Nao"))))))</f>
        <v/>
      </c>
      <c r="T1875" s="156"/>
      <c r="U1875" s="214" t="str">
        <f t="shared" si="151"/>
        <v/>
      </c>
      <c r="V1875" s="212" t="s">
        <v>50</v>
      </c>
      <c r="W1875" s="100" t="s">
        <v>168</v>
      </c>
      <c r="X1875" s="100" t="s">
        <v>169</v>
      </c>
      <c r="Y1875" s="101" t="s">
        <v>170</v>
      </c>
      <c r="Z1875" s="101" t="s">
        <v>171</v>
      </c>
      <c r="AA1875" s="101" t="s">
        <v>50</v>
      </c>
      <c r="AB1875" s="101" t="s">
        <v>172</v>
      </c>
      <c r="AC1875" s="102" t="s">
        <v>173</v>
      </c>
    </row>
    <row r="1876" spans="1:29" ht="25.5" customHeight="1" x14ac:dyDescent="0.35">
      <c r="A1876" s="392"/>
      <c r="B1876" s="393"/>
      <c r="C1876" s="99" t="str">
        <f>IF(B1876="","",IF(NOT(ISNUMBER(B1876)),"DATA_PC invalida",IF(NOT(ISNUMBER(parametros!$C$2)),"Fora dos ciclos",IF(OR(B1876&lt;parametros!$C$2,(YEAR(B1876)-YEAR(parametros!$C$2))*12+MONTH(B1876)-MONTH(parametros!$C$2)&gt;59),"Fora dos ciclos","C"&amp;INT(((YEAR(B1876)-YEAR(parametros!$C$2))*12+MONTH(B1876)-MONTH(parametros!$C$2))/12)))))</f>
        <v/>
      </c>
      <c r="D1876" s="394"/>
      <c r="E1876" s="78" t="str">
        <f>IF(C1876="","",IFERROR(VLOOKUP(C1876,parametros!$A$11:$E$15,5,0),""))</f>
        <v/>
      </c>
      <c r="F1876" s="79" t="str">
        <f t="shared" si="147"/>
        <v/>
      </c>
      <c r="G1876" s="395"/>
      <c r="H1876" s="91">
        <f t="shared" si="148"/>
        <v>0</v>
      </c>
      <c r="I1876" s="91" t="str">
        <f t="shared" si="149"/>
        <v/>
      </c>
      <c r="J1876" s="91" t="str">
        <f t="shared" si="150"/>
        <v/>
      </c>
      <c r="K1876" s="92" t="str">
        <f>IF(AND(A1876="",B1876="",D1876="",G1876=""),"",IF(AND(A1876&lt;&gt;"",COUNTIF($A$2:$A$5001,A1876)&gt;1),"NUMERO_PC duplicado",IF(B1876="","DATA_PC vazia",IF(NOT(ISNUMBER(B1876)),"DATA_PC invalida",IF(OR(C1876="",C1876="Fora dos ciclos"),"CICLO_PC nao identificado",IF(OR(D1876="",D1876=0),"VALOR_PC vazio ou zero",IF(AND(G1876&lt;&gt;"Sim",G1876&lt;&gt;"Nao",G1876&lt;&gt;""),"PC_PAGO_A_CONTRATADA invalido",IF(AND(C1876&lt;&gt;"C0",IFERROR(INDEX(parametros!$A$2:$A$6,MATCH(C1876,parametros!$B$2:$B$6,0)),"")="Sim",IFERROR(INDEX(parametros!$H$2:$H$6,MATCH(C1876,parametros!$B$2:$B$6,0)),"")=""),"INICIO_EFEITO ausente: PC "&amp;A1876&amp;" - "&amp;C1876,IF(L1876="","EFEITO_PC nao calculado: PC "&amp;A1876&amp;" - "&amp;C1876,"OK")))))))))</f>
        <v/>
      </c>
      <c r="L1876" s="92" t="str">
        <f>IF(AND(A1876="",B1876="",D1876="",G1876=""),"",IF(OR(B1876="",NOT(ISNUMBER(B1876)),C1876="",C1876="Fora dos ciclos"),"",IF(C1876="C0","Nao",IF(IFERROR(INDEX(parametros!$A$2:$A$6,MATCH(C1876,parametros!$B$2:$B$6,0)),"")&lt;&gt;"Sim","Nao",IF(IFERROR(INDEX(parametros!$H$2:$H$6,MATCH(C1876,parametros!$B$2:$B$6,0)),"")="","",IF(B1876&gt;=IFERROR(INDEX(parametros!$H$2:$H$6,MATCH(C1876,parametros!$B$2:$B$6,0)),""),"Sim","Nao"))))))</f>
        <v/>
      </c>
      <c r="T1876" s="156"/>
      <c r="U1876" s="214" t="str">
        <f t="shared" si="151"/>
        <v/>
      </c>
      <c r="V1876" s="212" t="s">
        <v>50</v>
      </c>
      <c r="W1876" s="100" t="s">
        <v>168</v>
      </c>
      <c r="X1876" s="100" t="s">
        <v>169</v>
      </c>
      <c r="Y1876" s="101" t="s">
        <v>170</v>
      </c>
      <c r="Z1876" s="101" t="s">
        <v>171</v>
      </c>
      <c r="AA1876" s="101" t="s">
        <v>50</v>
      </c>
      <c r="AB1876" s="101" t="s">
        <v>172</v>
      </c>
      <c r="AC1876" s="102" t="s">
        <v>173</v>
      </c>
    </row>
    <row r="1877" spans="1:29" ht="25.5" customHeight="1" x14ac:dyDescent="0.35">
      <c r="A1877" s="392"/>
      <c r="B1877" s="393"/>
      <c r="C1877" s="99" t="str">
        <f>IF(B1877="","",IF(NOT(ISNUMBER(B1877)),"DATA_PC invalida",IF(NOT(ISNUMBER(parametros!$C$2)),"Fora dos ciclos",IF(OR(B1877&lt;parametros!$C$2,(YEAR(B1877)-YEAR(parametros!$C$2))*12+MONTH(B1877)-MONTH(parametros!$C$2)&gt;59),"Fora dos ciclos","C"&amp;INT(((YEAR(B1877)-YEAR(parametros!$C$2))*12+MONTH(B1877)-MONTH(parametros!$C$2))/12)))))</f>
        <v/>
      </c>
      <c r="D1877" s="394"/>
      <c r="E1877" s="78" t="str">
        <f>IF(C1877="","",IFERROR(VLOOKUP(C1877,parametros!$A$11:$E$15,5,0),""))</f>
        <v/>
      </c>
      <c r="F1877" s="79" t="str">
        <f t="shared" si="147"/>
        <v/>
      </c>
      <c r="G1877" s="395"/>
      <c r="H1877" s="91">
        <f t="shared" si="148"/>
        <v>0</v>
      </c>
      <c r="I1877" s="91" t="str">
        <f t="shared" si="149"/>
        <v/>
      </c>
      <c r="J1877" s="91" t="str">
        <f t="shared" si="150"/>
        <v/>
      </c>
      <c r="K1877" s="92" t="str">
        <f>IF(AND(A1877="",B1877="",D1877="",G1877=""),"",IF(AND(A1877&lt;&gt;"",COUNTIF($A$2:$A$5001,A1877)&gt;1),"NUMERO_PC duplicado",IF(B1877="","DATA_PC vazia",IF(NOT(ISNUMBER(B1877)),"DATA_PC invalida",IF(OR(C1877="",C1877="Fora dos ciclos"),"CICLO_PC nao identificado",IF(OR(D1877="",D1877=0),"VALOR_PC vazio ou zero",IF(AND(G1877&lt;&gt;"Sim",G1877&lt;&gt;"Nao",G1877&lt;&gt;""),"PC_PAGO_A_CONTRATADA invalido",IF(AND(C1877&lt;&gt;"C0",IFERROR(INDEX(parametros!$A$2:$A$6,MATCH(C1877,parametros!$B$2:$B$6,0)),"")="Sim",IFERROR(INDEX(parametros!$H$2:$H$6,MATCH(C1877,parametros!$B$2:$B$6,0)),"")=""),"INICIO_EFEITO ausente: PC "&amp;A1877&amp;" - "&amp;C1877,IF(L1877="","EFEITO_PC nao calculado: PC "&amp;A1877&amp;" - "&amp;C1877,"OK")))))))))</f>
        <v/>
      </c>
      <c r="L1877" s="92" t="str">
        <f>IF(AND(A1877="",B1877="",D1877="",G1877=""),"",IF(OR(B1877="",NOT(ISNUMBER(B1877)),C1877="",C1877="Fora dos ciclos"),"",IF(C1877="C0","Nao",IF(IFERROR(INDEX(parametros!$A$2:$A$6,MATCH(C1877,parametros!$B$2:$B$6,0)),"")&lt;&gt;"Sim","Nao",IF(IFERROR(INDEX(parametros!$H$2:$H$6,MATCH(C1877,parametros!$B$2:$B$6,0)),"")="","",IF(B1877&gt;=IFERROR(INDEX(parametros!$H$2:$H$6,MATCH(C1877,parametros!$B$2:$B$6,0)),""),"Sim","Nao"))))))</f>
        <v/>
      </c>
      <c r="T1877" s="156"/>
      <c r="U1877" s="214" t="str">
        <f t="shared" si="151"/>
        <v/>
      </c>
      <c r="V1877" s="212" t="s">
        <v>50</v>
      </c>
      <c r="W1877" s="100" t="s">
        <v>168</v>
      </c>
      <c r="X1877" s="100" t="s">
        <v>169</v>
      </c>
      <c r="Y1877" s="101" t="s">
        <v>170</v>
      </c>
      <c r="Z1877" s="101" t="s">
        <v>171</v>
      </c>
      <c r="AA1877" s="101" t="s">
        <v>50</v>
      </c>
      <c r="AB1877" s="101" t="s">
        <v>172</v>
      </c>
      <c r="AC1877" s="102" t="s">
        <v>173</v>
      </c>
    </row>
    <row r="1878" spans="1:29" ht="25.5" customHeight="1" x14ac:dyDescent="0.35">
      <c r="A1878" s="392"/>
      <c r="B1878" s="393"/>
      <c r="C1878" s="99" t="str">
        <f>IF(B1878="","",IF(NOT(ISNUMBER(B1878)),"DATA_PC invalida",IF(NOT(ISNUMBER(parametros!$C$2)),"Fora dos ciclos",IF(OR(B1878&lt;parametros!$C$2,(YEAR(B1878)-YEAR(parametros!$C$2))*12+MONTH(B1878)-MONTH(parametros!$C$2)&gt;59),"Fora dos ciclos","C"&amp;INT(((YEAR(B1878)-YEAR(parametros!$C$2))*12+MONTH(B1878)-MONTH(parametros!$C$2))/12)))))</f>
        <v/>
      </c>
      <c r="D1878" s="394"/>
      <c r="E1878" s="78" t="str">
        <f>IF(C1878="","",IFERROR(VLOOKUP(C1878,parametros!$A$11:$E$15,5,0),""))</f>
        <v/>
      </c>
      <c r="F1878" s="79" t="str">
        <f t="shared" si="147"/>
        <v/>
      </c>
      <c r="G1878" s="395"/>
      <c r="H1878" s="91">
        <f t="shared" si="148"/>
        <v>0</v>
      </c>
      <c r="I1878" s="91" t="str">
        <f t="shared" si="149"/>
        <v/>
      </c>
      <c r="J1878" s="91" t="str">
        <f t="shared" si="150"/>
        <v/>
      </c>
      <c r="K1878" s="92" t="str">
        <f>IF(AND(A1878="",B1878="",D1878="",G1878=""),"",IF(AND(A1878&lt;&gt;"",COUNTIF($A$2:$A$5001,A1878)&gt;1),"NUMERO_PC duplicado",IF(B1878="","DATA_PC vazia",IF(NOT(ISNUMBER(B1878)),"DATA_PC invalida",IF(OR(C1878="",C1878="Fora dos ciclos"),"CICLO_PC nao identificado",IF(OR(D1878="",D1878=0),"VALOR_PC vazio ou zero",IF(AND(G1878&lt;&gt;"Sim",G1878&lt;&gt;"Nao",G1878&lt;&gt;""),"PC_PAGO_A_CONTRATADA invalido",IF(AND(C1878&lt;&gt;"C0",IFERROR(INDEX(parametros!$A$2:$A$6,MATCH(C1878,parametros!$B$2:$B$6,0)),"")="Sim",IFERROR(INDEX(parametros!$H$2:$H$6,MATCH(C1878,parametros!$B$2:$B$6,0)),"")=""),"INICIO_EFEITO ausente: PC "&amp;A1878&amp;" - "&amp;C1878,IF(L1878="","EFEITO_PC nao calculado: PC "&amp;A1878&amp;" - "&amp;C1878,"OK")))))))))</f>
        <v/>
      </c>
      <c r="L1878" s="92" t="str">
        <f>IF(AND(A1878="",B1878="",D1878="",G1878=""),"",IF(OR(B1878="",NOT(ISNUMBER(B1878)),C1878="",C1878="Fora dos ciclos"),"",IF(C1878="C0","Nao",IF(IFERROR(INDEX(parametros!$A$2:$A$6,MATCH(C1878,parametros!$B$2:$B$6,0)),"")&lt;&gt;"Sim","Nao",IF(IFERROR(INDEX(parametros!$H$2:$H$6,MATCH(C1878,parametros!$B$2:$B$6,0)),"")="","",IF(B1878&gt;=IFERROR(INDEX(parametros!$H$2:$H$6,MATCH(C1878,parametros!$B$2:$B$6,0)),""),"Sim","Nao"))))))</f>
        <v/>
      </c>
      <c r="T1878" s="156"/>
      <c r="U1878" s="214" t="str">
        <f t="shared" si="151"/>
        <v/>
      </c>
      <c r="V1878" s="212" t="s">
        <v>50</v>
      </c>
      <c r="W1878" s="100" t="s">
        <v>168</v>
      </c>
      <c r="X1878" s="100" t="s">
        <v>169</v>
      </c>
      <c r="Y1878" s="101" t="s">
        <v>170</v>
      </c>
      <c r="Z1878" s="101" t="s">
        <v>171</v>
      </c>
      <c r="AA1878" s="101" t="s">
        <v>50</v>
      </c>
      <c r="AB1878" s="101" t="s">
        <v>172</v>
      </c>
      <c r="AC1878" s="102" t="s">
        <v>173</v>
      </c>
    </row>
    <row r="1879" spans="1:29" ht="25.5" customHeight="1" x14ac:dyDescent="0.35">
      <c r="A1879" s="392"/>
      <c r="B1879" s="393"/>
      <c r="C1879" s="99" t="str">
        <f>IF(B1879="","",IF(NOT(ISNUMBER(B1879)),"DATA_PC invalida",IF(NOT(ISNUMBER(parametros!$C$2)),"Fora dos ciclos",IF(OR(B1879&lt;parametros!$C$2,(YEAR(B1879)-YEAR(parametros!$C$2))*12+MONTH(B1879)-MONTH(parametros!$C$2)&gt;59),"Fora dos ciclos","C"&amp;INT(((YEAR(B1879)-YEAR(parametros!$C$2))*12+MONTH(B1879)-MONTH(parametros!$C$2))/12)))))</f>
        <v/>
      </c>
      <c r="D1879" s="394"/>
      <c r="E1879" s="78" t="str">
        <f>IF(C1879="","",IFERROR(VLOOKUP(C1879,parametros!$A$11:$E$15,5,0),""))</f>
        <v/>
      </c>
      <c r="F1879" s="79" t="str">
        <f t="shared" si="147"/>
        <v/>
      </c>
      <c r="G1879" s="395"/>
      <c r="H1879" s="91">
        <f t="shared" si="148"/>
        <v>0</v>
      </c>
      <c r="I1879" s="91" t="str">
        <f t="shared" si="149"/>
        <v/>
      </c>
      <c r="J1879" s="91" t="str">
        <f t="shared" si="150"/>
        <v/>
      </c>
      <c r="K1879" s="92" t="str">
        <f>IF(AND(A1879="",B1879="",D1879="",G1879=""),"",IF(AND(A1879&lt;&gt;"",COUNTIF($A$2:$A$5001,A1879)&gt;1),"NUMERO_PC duplicado",IF(B1879="","DATA_PC vazia",IF(NOT(ISNUMBER(B1879)),"DATA_PC invalida",IF(OR(C1879="",C1879="Fora dos ciclos"),"CICLO_PC nao identificado",IF(OR(D1879="",D1879=0),"VALOR_PC vazio ou zero",IF(AND(G1879&lt;&gt;"Sim",G1879&lt;&gt;"Nao",G1879&lt;&gt;""),"PC_PAGO_A_CONTRATADA invalido",IF(AND(C1879&lt;&gt;"C0",IFERROR(INDEX(parametros!$A$2:$A$6,MATCH(C1879,parametros!$B$2:$B$6,0)),"")="Sim",IFERROR(INDEX(parametros!$H$2:$H$6,MATCH(C1879,parametros!$B$2:$B$6,0)),"")=""),"INICIO_EFEITO ausente: PC "&amp;A1879&amp;" - "&amp;C1879,IF(L1879="","EFEITO_PC nao calculado: PC "&amp;A1879&amp;" - "&amp;C1879,"OK")))))))))</f>
        <v/>
      </c>
      <c r="L1879" s="92" t="str">
        <f>IF(AND(A1879="",B1879="",D1879="",G1879=""),"",IF(OR(B1879="",NOT(ISNUMBER(B1879)),C1879="",C1879="Fora dos ciclos"),"",IF(C1879="C0","Nao",IF(IFERROR(INDEX(parametros!$A$2:$A$6,MATCH(C1879,parametros!$B$2:$B$6,0)),"")&lt;&gt;"Sim","Nao",IF(IFERROR(INDEX(parametros!$H$2:$H$6,MATCH(C1879,parametros!$B$2:$B$6,0)),"")="","",IF(B1879&gt;=IFERROR(INDEX(parametros!$H$2:$H$6,MATCH(C1879,parametros!$B$2:$B$6,0)),""),"Sim","Nao"))))))</f>
        <v/>
      </c>
      <c r="T1879" s="156"/>
      <c r="U1879" s="214" t="str">
        <f t="shared" si="151"/>
        <v/>
      </c>
      <c r="V1879" s="212" t="s">
        <v>50</v>
      </c>
      <c r="W1879" s="100" t="s">
        <v>168</v>
      </c>
      <c r="X1879" s="100" t="s">
        <v>169</v>
      </c>
      <c r="Y1879" s="101" t="s">
        <v>170</v>
      </c>
      <c r="Z1879" s="101" t="s">
        <v>171</v>
      </c>
      <c r="AA1879" s="101" t="s">
        <v>50</v>
      </c>
      <c r="AB1879" s="101" t="s">
        <v>172</v>
      </c>
      <c r="AC1879" s="102" t="s">
        <v>173</v>
      </c>
    </row>
    <row r="1880" spans="1:29" ht="25.5" customHeight="1" x14ac:dyDescent="0.35">
      <c r="A1880" s="392"/>
      <c r="B1880" s="393"/>
      <c r="C1880" s="99" t="str">
        <f>IF(B1880="","",IF(NOT(ISNUMBER(B1880)),"DATA_PC invalida",IF(NOT(ISNUMBER(parametros!$C$2)),"Fora dos ciclos",IF(OR(B1880&lt;parametros!$C$2,(YEAR(B1880)-YEAR(parametros!$C$2))*12+MONTH(B1880)-MONTH(parametros!$C$2)&gt;59),"Fora dos ciclos","C"&amp;INT(((YEAR(B1880)-YEAR(parametros!$C$2))*12+MONTH(B1880)-MONTH(parametros!$C$2))/12)))))</f>
        <v/>
      </c>
      <c r="D1880" s="394"/>
      <c r="E1880" s="78" t="str">
        <f>IF(C1880="","",IFERROR(VLOOKUP(C1880,parametros!$A$11:$E$15,5,0),""))</f>
        <v/>
      </c>
      <c r="F1880" s="79" t="str">
        <f t="shared" si="147"/>
        <v/>
      </c>
      <c r="G1880" s="395"/>
      <c r="H1880" s="91">
        <f t="shared" si="148"/>
        <v>0</v>
      </c>
      <c r="I1880" s="91" t="str">
        <f t="shared" si="149"/>
        <v/>
      </c>
      <c r="J1880" s="91" t="str">
        <f t="shared" si="150"/>
        <v/>
      </c>
      <c r="K1880" s="92" t="str">
        <f>IF(AND(A1880="",B1880="",D1880="",G1880=""),"",IF(AND(A1880&lt;&gt;"",COUNTIF($A$2:$A$5001,A1880)&gt;1),"NUMERO_PC duplicado",IF(B1880="","DATA_PC vazia",IF(NOT(ISNUMBER(B1880)),"DATA_PC invalida",IF(OR(C1880="",C1880="Fora dos ciclos"),"CICLO_PC nao identificado",IF(OR(D1880="",D1880=0),"VALOR_PC vazio ou zero",IF(AND(G1880&lt;&gt;"Sim",G1880&lt;&gt;"Nao",G1880&lt;&gt;""),"PC_PAGO_A_CONTRATADA invalido",IF(AND(C1880&lt;&gt;"C0",IFERROR(INDEX(parametros!$A$2:$A$6,MATCH(C1880,parametros!$B$2:$B$6,0)),"")="Sim",IFERROR(INDEX(parametros!$H$2:$H$6,MATCH(C1880,parametros!$B$2:$B$6,0)),"")=""),"INICIO_EFEITO ausente: PC "&amp;A1880&amp;" - "&amp;C1880,IF(L1880="","EFEITO_PC nao calculado: PC "&amp;A1880&amp;" - "&amp;C1880,"OK")))))))))</f>
        <v/>
      </c>
      <c r="L1880" s="92" t="str">
        <f>IF(AND(A1880="",B1880="",D1880="",G1880=""),"",IF(OR(B1880="",NOT(ISNUMBER(B1880)),C1880="",C1880="Fora dos ciclos"),"",IF(C1880="C0","Nao",IF(IFERROR(INDEX(parametros!$A$2:$A$6,MATCH(C1880,parametros!$B$2:$B$6,0)),"")&lt;&gt;"Sim","Nao",IF(IFERROR(INDEX(parametros!$H$2:$H$6,MATCH(C1880,parametros!$B$2:$B$6,0)),"")="","",IF(B1880&gt;=IFERROR(INDEX(parametros!$H$2:$H$6,MATCH(C1880,parametros!$B$2:$B$6,0)),""),"Sim","Nao"))))))</f>
        <v/>
      </c>
      <c r="T1880" s="156"/>
      <c r="U1880" s="214" t="str">
        <f t="shared" si="151"/>
        <v/>
      </c>
      <c r="V1880" s="212" t="s">
        <v>50</v>
      </c>
      <c r="W1880" s="100" t="s">
        <v>168</v>
      </c>
      <c r="X1880" s="100" t="s">
        <v>169</v>
      </c>
      <c r="Y1880" s="101" t="s">
        <v>170</v>
      </c>
      <c r="Z1880" s="101" t="s">
        <v>171</v>
      </c>
      <c r="AA1880" s="101" t="s">
        <v>50</v>
      </c>
      <c r="AB1880" s="101" t="s">
        <v>172</v>
      </c>
      <c r="AC1880" s="102" t="s">
        <v>173</v>
      </c>
    </row>
    <row r="1881" spans="1:29" ht="25.5" customHeight="1" x14ac:dyDescent="0.35">
      <c r="A1881" s="392"/>
      <c r="B1881" s="393"/>
      <c r="C1881" s="99" t="str">
        <f>IF(B1881="","",IF(NOT(ISNUMBER(B1881)),"DATA_PC invalida",IF(NOT(ISNUMBER(parametros!$C$2)),"Fora dos ciclos",IF(OR(B1881&lt;parametros!$C$2,(YEAR(B1881)-YEAR(parametros!$C$2))*12+MONTH(B1881)-MONTH(parametros!$C$2)&gt;59),"Fora dos ciclos","C"&amp;INT(((YEAR(B1881)-YEAR(parametros!$C$2))*12+MONTH(B1881)-MONTH(parametros!$C$2))/12)))))</f>
        <v/>
      </c>
      <c r="D1881" s="394"/>
      <c r="E1881" s="78" t="str">
        <f>IF(C1881="","",IFERROR(VLOOKUP(C1881,parametros!$A$11:$E$15,5,0),""))</f>
        <v/>
      </c>
      <c r="F1881" s="79" t="str">
        <f t="shared" si="147"/>
        <v/>
      </c>
      <c r="G1881" s="395"/>
      <c r="H1881" s="91">
        <f t="shared" si="148"/>
        <v>0</v>
      </c>
      <c r="I1881" s="91" t="str">
        <f t="shared" si="149"/>
        <v/>
      </c>
      <c r="J1881" s="91" t="str">
        <f t="shared" si="150"/>
        <v/>
      </c>
      <c r="K1881" s="92" t="str">
        <f>IF(AND(A1881="",B1881="",D1881="",G1881=""),"",IF(AND(A1881&lt;&gt;"",COUNTIF($A$2:$A$5001,A1881)&gt;1),"NUMERO_PC duplicado",IF(B1881="","DATA_PC vazia",IF(NOT(ISNUMBER(B1881)),"DATA_PC invalida",IF(OR(C1881="",C1881="Fora dos ciclos"),"CICLO_PC nao identificado",IF(OR(D1881="",D1881=0),"VALOR_PC vazio ou zero",IF(AND(G1881&lt;&gt;"Sim",G1881&lt;&gt;"Nao",G1881&lt;&gt;""),"PC_PAGO_A_CONTRATADA invalido",IF(AND(C1881&lt;&gt;"C0",IFERROR(INDEX(parametros!$A$2:$A$6,MATCH(C1881,parametros!$B$2:$B$6,0)),"")="Sim",IFERROR(INDEX(parametros!$H$2:$H$6,MATCH(C1881,parametros!$B$2:$B$6,0)),"")=""),"INICIO_EFEITO ausente: PC "&amp;A1881&amp;" - "&amp;C1881,IF(L1881="","EFEITO_PC nao calculado: PC "&amp;A1881&amp;" - "&amp;C1881,"OK")))))))))</f>
        <v/>
      </c>
      <c r="L1881" s="92" t="str">
        <f>IF(AND(A1881="",B1881="",D1881="",G1881=""),"",IF(OR(B1881="",NOT(ISNUMBER(B1881)),C1881="",C1881="Fora dos ciclos"),"",IF(C1881="C0","Nao",IF(IFERROR(INDEX(parametros!$A$2:$A$6,MATCH(C1881,parametros!$B$2:$B$6,0)),"")&lt;&gt;"Sim","Nao",IF(IFERROR(INDEX(parametros!$H$2:$H$6,MATCH(C1881,parametros!$B$2:$B$6,0)),"")="","",IF(B1881&gt;=IFERROR(INDEX(parametros!$H$2:$H$6,MATCH(C1881,parametros!$B$2:$B$6,0)),""),"Sim","Nao"))))))</f>
        <v/>
      </c>
      <c r="T1881" s="156"/>
      <c r="U1881" s="214" t="str">
        <f t="shared" si="151"/>
        <v/>
      </c>
      <c r="V1881" s="212" t="s">
        <v>50</v>
      </c>
      <c r="W1881" s="100" t="s">
        <v>168</v>
      </c>
      <c r="X1881" s="100" t="s">
        <v>169</v>
      </c>
      <c r="Y1881" s="101" t="s">
        <v>170</v>
      </c>
      <c r="Z1881" s="101" t="s">
        <v>171</v>
      </c>
      <c r="AA1881" s="101" t="s">
        <v>50</v>
      </c>
      <c r="AB1881" s="101" t="s">
        <v>172</v>
      </c>
      <c r="AC1881" s="102" t="s">
        <v>173</v>
      </c>
    </row>
    <row r="1882" spans="1:29" ht="25.5" customHeight="1" x14ac:dyDescent="0.35">
      <c r="A1882" s="392"/>
      <c r="B1882" s="393"/>
      <c r="C1882" s="99" t="str">
        <f>IF(B1882="","",IF(NOT(ISNUMBER(B1882)),"DATA_PC invalida",IF(NOT(ISNUMBER(parametros!$C$2)),"Fora dos ciclos",IF(OR(B1882&lt;parametros!$C$2,(YEAR(B1882)-YEAR(parametros!$C$2))*12+MONTH(B1882)-MONTH(parametros!$C$2)&gt;59),"Fora dos ciclos","C"&amp;INT(((YEAR(B1882)-YEAR(parametros!$C$2))*12+MONTH(B1882)-MONTH(parametros!$C$2))/12)))))</f>
        <v/>
      </c>
      <c r="D1882" s="394"/>
      <c r="E1882" s="78" t="str">
        <f>IF(C1882="","",IFERROR(VLOOKUP(C1882,parametros!$A$11:$E$15,5,0),""))</f>
        <v/>
      </c>
      <c r="F1882" s="79" t="str">
        <f t="shared" si="147"/>
        <v/>
      </c>
      <c r="G1882" s="395"/>
      <c r="H1882" s="91">
        <f t="shared" si="148"/>
        <v>0</v>
      </c>
      <c r="I1882" s="91" t="str">
        <f t="shared" si="149"/>
        <v/>
      </c>
      <c r="J1882" s="91" t="str">
        <f t="shared" si="150"/>
        <v/>
      </c>
      <c r="K1882" s="92" t="str">
        <f>IF(AND(A1882="",B1882="",D1882="",G1882=""),"",IF(AND(A1882&lt;&gt;"",COUNTIF($A$2:$A$5001,A1882)&gt;1),"NUMERO_PC duplicado",IF(B1882="","DATA_PC vazia",IF(NOT(ISNUMBER(B1882)),"DATA_PC invalida",IF(OR(C1882="",C1882="Fora dos ciclos"),"CICLO_PC nao identificado",IF(OR(D1882="",D1882=0),"VALOR_PC vazio ou zero",IF(AND(G1882&lt;&gt;"Sim",G1882&lt;&gt;"Nao",G1882&lt;&gt;""),"PC_PAGO_A_CONTRATADA invalido",IF(AND(C1882&lt;&gt;"C0",IFERROR(INDEX(parametros!$A$2:$A$6,MATCH(C1882,parametros!$B$2:$B$6,0)),"")="Sim",IFERROR(INDEX(parametros!$H$2:$H$6,MATCH(C1882,parametros!$B$2:$B$6,0)),"")=""),"INICIO_EFEITO ausente: PC "&amp;A1882&amp;" - "&amp;C1882,IF(L1882="","EFEITO_PC nao calculado: PC "&amp;A1882&amp;" - "&amp;C1882,"OK")))))))))</f>
        <v/>
      </c>
      <c r="L1882" s="92" t="str">
        <f>IF(AND(A1882="",B1882="",D1882="",G1882=""),"",IF(OR(B1882="",NOT(ISNUMBER(B1882)),C1882="",C1882="Fora dos ciclos"),"",IF(C1882="C0","Nao",IF(IFERROR(INDEX(parametros!$A$2:$A$6,MATCH(C1882,parametros!$B$2:$B$6,0)),"")&lt;&gt;"Sim","Nao",IF(IFERROR(INDEX(parametros!$H$2:$H$6,MATCH(C1882,parametros!$B$2:$B$6,0)),"")="","",IF(B1882&gt;=IFERROR(INDEX(parametros!$H$2:$H$6,MATCH(C1882,parametros!$B$2:$B$6,0)),""),"Sim","Nao"))))))</f>
        <v/>
      </c>
      <c r="T1882" s="156"/>
      <c r="U1882" s="214" t="str">
        <f t="shared" si="151"/>
        <v/>
      </c>
      <c r="V1882" s="212" t="s">
        <v>50</v>
      </c>
      <c r="W1882" s="100" t="s">
        <v>168</v>
      </c>
      <c r="X1882" s="100" t="s">
        <v>169</v>
      </c>
      <c r="Y1882" s="101" t="s">
        <v>170</v>
      </c>
      <c r="Z1882" s="101" t="s">
        <v>171</v>
      </c>
      <c r="AA1882" s="101" t="s">
        <v>50</v>
      </c>
      <c r="AB1882" s="101" t="s">
        <v>172</v>
      </c>
      <c r="AC1882" s="102" t="s">
        <v>173</v>
      </c>
    </row>
    <row r="1883" spans="1:29" ht="25.5" customHeight="1" x14ac:dyDescent="0.35">
      <c r="A1883" s="392"/>
      <c r="B1883" s="393"/>
      <c r="C1883" s="99" t="str">
        <f>IF(B1883="","",IF(NOT(ISNUMBER(B1883)),"DATA_PC invalida",IF(NOT(ISNUMBER(parametros!$C$2)),"Fora dos ciclos",IF(OR(B1883&lt;parametros!$C$2,(YEAR(B1883)-YEAR(parametros!$C$2))*12+MONTH(B1883)-MONTH(parametros!$C$2)&gt;59),"Fora dos ciclos","C"&amp;INT(((YEAR(B1883)-YEAR(parametros!$C$2))*12+MONTH(B1883)-MONTH(parametros!$C$2))/12)))))</f>
        <v/>
      </c>
      <c r="D1883" s="394"/>
      <c r="E1883" s="78" t="str">
        <f>IF(C1883="","",IFERROR(VLOOKUP(C1883,parametros!$A$11:$E$15,5,0),""))</f>
        <v/>
      </c>
      <c r="F1883" s="79" t="str">
        <f t="shared" si="147"/>
        <v/>
      </c>
      <c r="G1883" s="395"/>
      <c r="H1883" s="91">
        <f t="shared" si="148"/>
        <v>0</v>
      </c>
      <c r="I1883" s="91" t="str">
        <f t="shared" si="149"/>
        <v/>
      </c>
      <c r="J1883" s="91" t="str">
        <f t="shared" si="150"/>
        <v/>
      </c>
      <c r="K1883" s="92" t="str">
        <f>IF(AND(A1883="",B1883="",D1883="",G1883=""),"",IF(AND(A1883&lt;&gt;"",COUNTIF($A$2:$A$5001,A1883)&gt;1),"NUMERO_PC duplicado",IF(B1883="","DATA_PC vazia",IF(NOT(ISNUMBER(B1883)),"DATA_PC invalida",IF(OR(C1883="",C1883="Fora dos ciclos"),"CICLO_PC nao identificado",IF(OR(D1883="",D1883=0),"VALOR_PC vazio ou zero",IF(AND(G1883&lt;&gt;"Sim",G1883&lt;&gt;"Nao",G1883&lt;&gt;""),"PC_PAGO_A_CONTRATADA invalido",IF(AND(C1883&lt;&gt;"C0",IFERROR(INDEX(parametros!$A$2:$A$6,MATCH(C1883,parametros!$B$2:$B$6,0)),"")="Sim",IFERROR(INDEX(parametros!$H$2:$H$6,MATCH(C1883,parametros!$B$2:$B$6,0)),"")=""),"INICIO_EFEITO ausente: PC "&amp;A1883&amp;" - "&amp;C1883,IF(L1883="","EFEITO_PC nao calculado: PC "&amp;A1883&amp;" - "&amp;C1883,"OK")))))))))</f>
        <v/>
      </c>
      <c r="L1883" s="92" t="str">
        <f>IF(AND(A1883="",B1883="",D1883="",G1883=""),"",IF(OR(B1883="",NOT(ISNUMBER(B1883)),C1883="",C1883="Fora dos ciclos"),"",IF(C1883="C0","Nao",IF(IFERROR(INDEX(parametros!$A$2:$A$6,MATCH(C1883,parametros!$B$2:$B$6,0)),"")&lt;&gt;"Sim","Nao",IF(IFERROR(INDEX(parametros!$H$2:$H$6,MATCH(C1883,parametros!$B$2:$B$6,0)),"")="","",IF(B1883&gt;=IFERROR(INDEX(parametros!$H$2:$H$6,MATCH(C1883,parametros!$B$2:$B$6,0)),""),"Sim","Nao"))))))</f>
        <v/>
      </c>
      <c r="T1883" s="156"/>
      <c r="U1883" s="214" t="str">
        <f t="shared" si="151"/>
        <v/>
      </c>
      <c r="V1883" s="212" t="s">
        <v>50</v>
      </c>
      <c r="W1883" s="100" t="s">
        <v>168</v>
      </c>
      <c r="X1883" s="100" t="s">
        <v>169</v>
      </c>
      <c r="Y1883" s="101" t="s">
        <v>170</v>
      </c>
      <c r="Z1883" s="101" t="s">
        <v>171</v>
      </c>
      <c r="AA1883" s="101" t="s">
        <v>50</v>
      </c>
      <c r="AB1883" s="101" t="s">
        <v>172</v>
      </c>
      <c r="AC1883" s="102" t="s">
        <v>173</v>
      </c>
    </row>
    <row r="1884" spans="1:29" ht="25.5" customHeight="1" x14ac:dyDescent="0.35">
      <c r="A1884" s="392"/>
      <c r="B1884" s="393"/>
      <c r="C1884" s="99" t="str">
        <f>IF(B1884="","",IF(NOT(ISNUMBER(B1884)),"DATA_PC invalida",IF(NOT(ISNUMBER(parametros!$C$2)),"Fora dos ciclos",IF(OR(B1884&lt;parametros!$C$2,(YEAR(B1884)-YEAR(parametros!$C$2))*12+MONTH(B1884)-MONTH(parametros!$C$2)&gt;59),"Fora dos ciclos","C"&amp;INT(((YEAR(B1884)-YEAR(parametros!$C$2))*12+MONTH(B1884)-MONTH(parametros!$C$2))/12)))))</f>
        <v/>
      </c>
      <c r="D1884" s="394"/>
      <c r="E1884" s="78" t="str">
        <f>IF(C1884="","",IFERROR(VLOOKUP(C1884,parametros!$A$11:$E$15,5,0),""))</f>
        <v/>
      </c>
      <c r="F1884" s="79" t="str">
        <f t="shared" si="147"/>
        <v/>
      </c>
      <c r="G1884" s="395"/>
      <c r="H1884" s="91">
        <f t="shared" si="148"/>
        <v>0</v>
      </c>
      <c r="I1884" s="91" t="str">
        <f t="shared" si="149"/>
        <v/>
      </c>
      <c r="J1884" s="91" t="str">
        <f t="shared" si="150"/>
        <v/>
      </c>
      <c r="K1884" s="92" t="str">
        <f>IF(AND(A1884="",B1884="",D1884="",G1884=""),"",IF(AND(A1884&lt;&gt;"",COUNTIF($A$2:$A$5001,A1884)&gt;1),"NUMERO_PC duplicado",IF(B1884="","DATA_PC vazia",IF(NOT(ISNUMBER(B1884)),"DATA_PC invalida",IF(OR(C1884="",C1884="Fora dos ciclos"),"CICLO_PC nao identificado",IF(OR(D1884="",D1884=0),"VALOR_PC vazio ou zero",IF(AND(G1884&lt;&gt;"Sim",G1884&lt;&gt;"Nao",G1884&lt;&gt;""),"PC_PAGO_A_CONTRATADA invalido",IF(AND(C1884&lt;&gt;"C0",IFERROR(INDEX(parametros!$A$2:$A$6,MATCH(C1884,parametros!$B$2:$B$6,0)),"")="Sim",IFERROR(INDEX(parametros!$H$2:$H$6,MATCH(C1884,parametros!$B$2:$B$6,0)),"")=""),"INICIO_EFEITO ausente: PC "&amp;A1884&amp;" - "&amp;C1884,IF(L1884="","EFEITO_PC nao calculado: PC "&amp;A1884&amp;" - "&amp;C1884,"OK")))))))))</f>
        <v/>
      </c>
      <c r="L1884" s="92" t="str">
        <f>IF(AND(A1884="",B1884="",D1884="",G1884=""),"",IF(OR(B1884="",NOT(ISNUMBER(B1884)),C1884="",C1884="Fora dos ciclos"),"",IF(C1884="C0","Nao",IF(IFERROR(INDEX(parametros!$A$2:$A$6,MATCH(C1884,parametros!$B$2:$B$6,0)),"")&lt;&gt;"Sim","Nao",IF(IFERROR(INDEX(parametros!$H$2:$H$6,MATCH(C1884,parametros!$B$2:$B$6,0)),"")="","",IF(B1884&gt;=IFERROR(INDEX(parametros!$H$2:$H$6,MATCH(C1884,parametros!$B$2:$B$6,0)),""),"Sim","Nao"))))))</f>
        <v/>
      </c>
      <c r="T1884" s="156"/>
      <c r="U1884" s="214" t="str">
        <f t="shared" si="151"/>
        <v/>
      </c>
      <c r="V1884" s="212" t="s">
        <v>50</v>
      </c>
      <c r="W1884" s="100" t="s">
        <v>168</v>
      </c>
      <c r="X1884" s="100" t="s">
        <v>169</v>
      </c>
      <c r="Y1884" s="101" t="s">
        <v>170</v>
      </c>
      <c r="Z1884" s="101" t="s">
        <v>171</v>
      </c>
      <c r="AA1884" s="101" t="s">
        <v>50</v>
      </c>
      <c r="AB1884" s="101" t="s">
        <v>172</v>
      </c>
      <c r="AC1884" s="102" t="s">
        <v>173</v>
      </c>
    </row>
    <row r="1885" spans="1:29" ht="25.5" customHeight="1" x14ac:dyDescent="0.35">
      <c r="A1885" s="392"/>
      <c r="B1885" s="393"/>
      <c r="C1885" s="99" t="str">
        <f>IF(B1885="","",IF(NOT(ISNUMBER(B1885)),"DATA_PC invalida",IF(NOT(ISNUMBER(parametros!$C$2)),"Fora dos ciclos",IF(OR(B1885&lt;parametros!$C$2,(YEAR(B1885)-YEAR(parametros!$C$2))*12+MONTH(B1885)-MONTH(parametros!$C$2)&gt;59),"Fora dos ciclos","C"&amp;INT(((YEAR(B1885)-YEAR(parametros!$C$2))*12+MONTH(B1885)-MONTH(parametros!$C$2))/12)))))</f>
        <v/>
      </c>
      <c r="D1885" s="394"/>
      <c r="E1885" s="78" t="str">
        <f>IF(C1885="","",IFERROR(VLOOKUP(C1885,parametros!$A$11:$E$15,5,0),""))</f>
        <v/>
      </c>
      <c r="F1885" s="79" t="str">
        <f t="shared" si="147"/>
        <v/>
      </c>
      <c r="G1885" s="395"/>
      <c r="H1885" s="91">
        <f t="shared" si="148"/>
        <v>0</v>
      </c>
      <c r="I1885" s="91" t="str">
        <f t="shared" si="149"/>
        <v/>
      </c>
      <c r="J1885" s="91" t="str">
        <f t="shared" si="150"/>
        <v/>
      </c>
      <c r="K1885" s="92" t="str">
        <f>IF(AND(A1885="",B1885="",D1885="",G1885=""),"",IF(AND(A1885&lt;&gt;"",COUNTIF($A$2:$A$5001,A1885)&gt;1),"NUMERO_PC duplicado",IF(B1885="","DATA_PC vazia",IF(NOT(ISNUMBER(B1885)),"DATA_PC invalida",IF(OR(C1885="",C1885="Fora dos ciclos"),"CICLO_PC nao identificado",IF(OR(D1885="",D1885=0),"VALOR_PC vazio ou zero",IF(AND(G1885&lt;&gt;"Sim",G1885&lt;&gt;"Nao",G1885&lt;&gt;""),"PC_PAGO_A_CONTRATADA invalido",IF(AND(C1885&lt;&gt;"C0",IFERROR(INDEX(parametros!$A$2:$A$6,MATCH(C1885,parametros!$B$2:$B$6,0)),"")="Sim",IFERROR(INDEX(parametros!$H$2:$H$6,MATCH(C1885,parametros!$B$2:$B$6,0)),"")=""),"INICIO_EFEITO ausente: PC "&amp;A1885&amp;" - "&amp;C1885,IF(L1885="","EFEITO_PC nao calculado: PC "&amp;A1885&amp;" - "&amp;C1885,"OK")))))))))</f>
        <v/>
      </c>
      <c r="L1885" s="92" t="str">
        <f>IF(AND(A1885="",B1885="",D1885="",G1885=""),"",IF(OR(B1885="",NOT(ISNUMBER(B1885)),C1885="",C1885="Fora dos ciclos"),"",IF(C1885="C0","Nao",IF(IFERROR(INDEX(parametros!$A$2:$A$6,MATCH(C1885,parametros!$B$2:$B$6,0)),"")&lt;&gt;"Sim","Nao",IF(IFERROR(INDEX(parametros!$H$2:$H$6,MATCH(C1885,parametros!$B$2:$B$6,0)),"")="","",IF(B1885&gt;=IFERROR(INDEX(parametros!$H$2:$H$6,MATCH(C1885,parametros!$B$2:$B$6,0)),""),"Sim","Nao"))))))</f>
        <v/>
      </c>
      <c r="T1885" s="156"/>
      <c r="U1885" s="214" t="str">
        <f t="shared" si="151"/>
        <v/>
      </c>
      <c r="V1885" s="212" t="s">
        <v>50</v>
      </c>
      <c r="W1885" s="100" t="s">
        <v>168</v>
      </c>
      <c r="X1885" s="100" t="s">
        <v>169</v>
      </c>
      <c r="Y1885" s="101" t="s">
        <v>170</v>
      </c>
      <c r="Z1885" s="101" t="s">
        <v>171</v>
      </c>
      <c r="AA1885" s="101" t="s">
        <v>50</v>
      </c>
      <c r="AB1885" s="101" t="s">
        <v>172</v>
      </c>
      <c r="AC1885" s="102" t="s">
        <v>173</v>
      </c>
    </row>
    <row r="1886" spans="1:29" ht="25.5" customHeight="1" x14ac:dyDescent="0.35">
      <c r="A1886" s="392"/>
      <c r="B1886" s="393"/>
      <c r="C1886" s="99" t="str">
        <f>IF(B1886="","",IF(NOT(ISNUMBER(B1886)),"DATA_PC invalida",IF(NOT(ISNUMBER(parametros!$C$2)),"Fora dos ciclos",IF(OR(B1886&lt;parametros!$C$2,(YEAR(B1886)-YEAR(parametros!$C$2))*12+MONTH(B1886)-MONTH(parametros!$C$2)&gt;59),"Fora dos ciclos","C"&amp;INT(((YEAR(B1886)-YEAR(parametros!$C$2))*12+MONTH(B1886)-MONTH(parametros!$C$2))/12)))))</f>
        <v/>
      </c>
      <c r="D1886" s="394"/>
      <c r="E1886" s="78" t="str">
        <f>IF(C1886="","",IFERROR(VLOOKUP(C1886,parametros!$A$11:$E$15,5,0),""))</f>
        <v/>
      </c>
      <c r="F1886" s="79" t="str">
        <f t="shared" si="147"/>
        <v/>
      </c>
      <c r="G1886" s="395"/>
      <c r="H1886" s="91">
        <f t="shared" si="148"/>
        <v>0</v>
      </c>
      <c r="I1886" s="91" t="str">
        <f t="shared" si="149"/>
        <v/>
      </c>
      <c r="J1886" s="91" t="str">
        <f t="shared" si="150"/>
        <v/>
      </c>
      <c r="K1886" s="92" t="str">
        <f>IF(AND(A1886="",B1886="",D1886="",G1886=""),"",IF(AND(A1886&lt;&gt;"",COUNTIF($A$2:$A$5001,A1886)&gt;1),"NUMERO_PC duplicado",IF(B1886="","DATA_PC vazia",IF(NOT(ISNUMBER(B1886)),"DATA_PC invalida",IF(OR(C1886="",C1886="Fora dos ciclos"),"CICLO_PC nao identificado",IF(OR(D1886="",D1886=0),"VALOR_PC vazio ou zero",IF(AND(G1886&lt;&gt;"Sim",G1886&lt;&gt;"Nao",G1886&lt;&gt;""),"PC_PAGO_A_CONTRATADA invalido",IF(AND(C1886&lt;&gt;"C0",IFERROR(INDEX(parametros!$A$2:$A$6,MATCH(C1886,parametros!$B$2:$B$6,0)),"")="Sim",IFERROR(INDEX(parametros!$H$2:$H$6,MATCH(C1886,parametros!$B$2:$B$6,0)),"")=""),"INICIO_EFEITO ausente: PC "&amp;A1886&amp;" - "&amp;C1886,IF(L1886="","EFEITO_PC nao calculado: PC "&amp;A1886&amp;" - "&amp;C1886,"OK")))))))))</f>
        <v/>
      </c>
      <c r="L1886" s="92" t="str">
        <f>IF(AND(A1886="",B1886="",D1886="",G1886=""),"",IF(OR(B1886="",NOT(ISNUMBER(B1886)),C1886="",C1886="Fora dos ciclos"),"",IF(C1886="C0","Nao",IF(IFERROR(INDEX(parametros!$A$2:$A$6,MATCH(C1886,parametros!$B$2:$B$6,0)),"")&lt;&gt;"Sim","Nao",IF(IFERROR(INDEX(parametros!$H$2:$H$6,MATCH(C1886,parametros!$B$2:$B$6,0)),"")="","",IF(B1886&gt;=IFERROR(INDEX(parametros!$H$2:$H$6,MATCH(C1886,parametros!$B$2:$B$6,0)),""),"Sim","Nao"))))))</f>
        <v/>
      </c>
      <c r="T1886" s="156"/>
      <c r="U1886" s="214" t="str">
        <f t="shared" si="151"/>
        <v/>
      </c>
      <c r="V1886" s="212" t="s">
        <v>50</v>
      </c>
      <c r="W1886" s="100" t="s">
        <v>168</v>
      </c>
      <c r="X1886" s="100" t="s">
        <v>169</v>
      </c>
      <c r="Y1886" s="101" t="s">
        <v>170</v>
      </c>
      <c r="Z1886" s="101" t="s">
        <v>171</v>
      </c>
      <c r="AA1886" s="101" t="s">
        <v>50</v>
      </c>
      <c r="AB1886" s="101" t="s">
        <v>172</v>
      </c>
      <c r="AC1886" s="102" t="s">
        <v>173</v>
      </c>
    </row>
    <row r="1887" spans="1:29" ht="25.5" customHeight="1" x14ac:dyDescent="0.35">
      <c r="A1887" s="392"/>
      <c r="B1887" s="393"/>
      <c r="C1887" s="99" t="str">
        <f>IF(B1887="","",IF(NOT(ISNUMBER(B1887)),"DATA_PC invalida",IF(NOT(ISNUMBER(parametros!$C$2)),"Fora dos ciclos",IF(OR(B1887&lt;parametros!$C$2,(YEAR(B1887)-YEAR(parametros!$C$2))*12+MONTH(B1887)-MONTH(parametros!$C$2)&gt;59),"Fora dos ciclos","C"&amp;INT(((YEAR(B1887)-YEAR(parametros!$C$2))*12+MONTH(B1887)-MONTH(parametros!$C$2))/12)))))</f>
        <v/>
      </c>
      <c r="D1887" s="394"/>
      <c r="E1887" s="78" t="str">
        <f>IF(C1887="","",IFERROR(VLOOKUP(C1887,parametros!$A$11:$E$15,5,0),""))</f>
        <v/>
      </c>
      <c r="F1887" s="79" t="str">
        <f t="shared" si="147"/>
        <v/>
      </c>
      <c r="G1887" s="395"/>
      <c r="H1887" s="91">
        <f t="shared" si="148"/>
        <v>0</v>
      </c>
      <c r="I1887" s="91" t="str">
        <f t="shared" si="149"/>
        <v/>
      </c>
      <c r="J1887" s="91" t="str">
        <f t="shared" si="150"/>
        <v/>
      </c>
      <c r="K1887" s="92" t="str">
        <f>IF(AND(A1887="",B1887="",D1887="",G1887=""),"",IF(AND(A1887&lt;&gt;"",COUNTIF($A$2:$A$5001,A1887)&gt;1),"NUMERO_PC duplicado",IF(B1887="","DATA_PC vazia",IF(NOT(ISNUMBER(B1887)),"DATA_PC invalida",IF(OR(C1887="",C1887="Fora dos ciclos"),"CICLO_PC nao identificado",IF(OR(D1887="",D1887=0),"VALOR_PC vazio ou zero",IF(AND(G1887&lt;&gt;"Sim",G1887&lt;&gt;"Nao",G1887&lt;&gt;""),"PC_PAGO_A_CONTRATADA invalido",IF(AND(C1887&lt;&gt;"C0",IFERROR(INDEX(parametros!$A$2:$A$6,MATCH(C1887,parametros!$B$2:$B$6,0)),"")="Sim",IFERROR(INDEX(parametros!$H$2:$H$6,MATCH(C1887,parametros!$B$2:$B$6,0)),"")=""),"INICIO_EFEITO ausente: PC "&amp;A1887&amp;" - "&amp;C1887,IF(L1887="","EFEITO_PC nao calculado: PC "&amp;A1887&amp;" - "&amp;C1887,"OK")))))))))</f>
        <v/>
      </c>
      <c r="L1887" s="92" t="str">
        <f>IF(AND(A1887="",B1887="",D1887="",G1887=""),"",IF(OR(B1887="",NOT(ISNUMBER(B1887)),C1887="",C1887="Fora dos ciclos"),"",IF(C1887="C0","Nao",IF(IFERROR(INDEX(parametros!$A$2:$A$6,MATCH(C1887,parametros!$B$2:$B$6,0)),"")&lt;&gt;"Sim","Nao",IF(IFERROR(INDEX(parametros!$H$2:$H$6,MATCH(C1887,parametros!$B$2:$B$6,0)),"")="","",IF(B1887&gt;=IFERROR(INDEX(parametros!$H$2:$H$6,MATCH(C1887,parametros!$B$2:$B$6,0)),""),"Sim","Nao"))))))</f>
        <v/>
      </c>
      <c r="T1887" s="156"/>
      <c r="U1887" s="214" t="str">
        <f t="shared" si="151"/>
        <v/>
      </c>
      <c r="V1887" s="212" t="s">
        <v>50</v>
      </c>
      <c r="W1887" s="100" t="s">
        <v>168</v>
      </c>
      <c r="X1887" s="100" t="s">
        <v>169</v>
      </c>
      <c r="Y1887" s="101" t="s">
        <v>170</v>
      </c>
      <c r="Z1887" s="101" t="s">
        <v>171</v>
      </c>
      <c r="AA1887" s="101" t="s">
        <v>50</v>
      </c>
      <c r="AB1887" s="101" t="s">
        <v>172</v>
      </c>
      <c r="AC1887" s="102" t="s">
        <v>173</v>
      </c>
    </row>
    <row r="1888" spans="1:29" ht="25.5" customHeight="1" x14ac:dyDescent="0.35">
      <c r="A1888" s="392"/>
      <c r="B1888" s="393"/>
      <c r="C1888" s="99" t="str">
        <f>IF(B1888="","",IF(NOT(ISNUMBER(B1888)),"DATA_PC invalida",IF(NOT(ISNUMBER(parametros!$C$2)),"Fora dos ciclos",IF(OR(B1888&lt;parametros!$C$2,(YEAR(B1888)-YEAR(parametros!$C$2))*12+MONTH(B1888)-MONTH(parametros!$C$2)&gt;59),"Fora dos ciclos","C"&amp;INT(((YEAR(B1888)-YEAR(parametros!$C$2))*12+MONTH(B1888)-MONTH(parametros!$C$2))/12)))))</f>
        <v/>
      </c>
      <c r="D1888" s="394"/>
      <c r="E1888" s="78" t="str">
        <f>IF(C1888="","",IFERROR(VLOOKUP(C1888,parametros!$A$11:$E$15,5,0),""))</f>
        <v/>
      </c>
      <c r="F1888" s="79" t="str">
        <f t="shared" si="147"/>
        <v/>
      </c>
      <c r="G1888" s="395"/>
      <c r="H1888" s="91">
        <f t="shared" si="148"/>
        <v>0</v>
      </c>
      <c r="I1888" s="91" t="str">
        <f t="shared" si="149"/>
        <v/>
      </c>
      <c r="J1888" s="91" t="str">
        <f t="shared" si="150"/>
        <v/>
      </c>
      <c r="K1888" s="92" t="str">
        <f>IF(AND(A1888="",B1888="",D1888="",G1888=""),"",IF(AND(A1888&lt;&gt;"",COUNTIF($A$2:$A$5001,A1888)&gt;1),"NUMERO_PC duplicado",IF(B1888="","DATA_PC vazia",IF(NOT(ISNUMBER(B1888)),"DATA_PC invalida",IF(OR(C1888="",C1888="Fora dos ciclos"),"CICLO_PC nao identificado",IF(OR(D1888="",D1888=0),"VALOR_PC vazio ou zero",IF(AND(G1888&lt;&gt;"Sim",G1888&lt;&gt;"Nao",G1888&lt;&gt;""),"PC_PAGO_A_CONTRATADA invalido",IF(AND(C1888&lt;&gt;"C0",IFERROR(INDEX(parametros!$A$2:$A$6,MATCH(C1888,parametros!$B$2:$B$6,0)),"")="Sim",IFERROR(INDEX(parametros!$H$2:$H$6,MATCH(C1888,parametros!$B$2:$B$6,0)),"")=""),"INICIO_EFEITO ausente: PC "&amp;A1888&amp;" - "&amp;C1888,IF(L1888="","EFEITO_PC nao calculado: PC "&amp;A1888&amp;" - "&amp;C1888,"OK")))))))))</f>
        <v/>
      </c>
      <c r="L1888" s="92" t="str">
        <f>IF(AND(A1888="",B1888="",D1888="",G1888=""),"",IF(OR(B1888="",NOT(ISNUMBER(B1888)),C1888="",C1888="Fora dos ciclos"),"",IF(C1888="C0","Nao",IF(IFERROR(INDEX(parametros!$A$2:$A$6,MATCH(C1888,parametros!$B$2:$B$6,0)),"")&lt;&gt;"Sim","Nao",IF(IFERROR(INDEX(parametros!$H$2:$H$6,MATCH(C1888,parametros!$B$2:$B$6,0)),"")="","",IF(B1888&gt;=IFERROR(INDEX(parametros!$H$2:$H$6,MATCH(C1888,parametros!$B$2:$B$6,0)),""),"Sim","Nao"))))))</f>
        <v/>
      </c>
      <c r="T1888" s="156"/>
      <c r="U1888" s="214" t="str">
        <f t="shared" si="151"/>
        <v/>
      </c>
      <c r="V1888" s="212" t="s">
        <v>50</v>
      </c>
      <c r="W1888" s="100" t="s">
        <v>168</v>
      </c>
      <c r="X1888" s="100" t="s">
        <v>169</v>
      </c>
      <c r="Y1888" s="101" t="s">
        <v>170</v>
      </c>
      <c r="Z1888" s="101" t="s">
        <v>171</v>
      </c>
      <c r="AA1888" s="101" t="s">
        <v>50</v>
      </c>
      <c r="AB1888" s="101" t="s">
        <v>172</v>
      </c>
      <c r="AC1888" s="102" t="s">
        <v>173</v>
      </c>
    </row>
    <row r="1889" spans="1:29" ht="25.5" customHeight="1" x14ac:dyDescent="0.35">
      <c r="A1889" s="392"/>
      <c r="B1889" s="393"/>
      <c r="C1889" s="99" t="str">
        <f>IF(B1889="","",IF(NOT(ISNUMBER(B1889)),"DATA_PC invalida",IF(NOT(ISNUMBER(parametros!$C$2)),"Fora dos ciclos",IF(OR(B1889&lt;parametros!$C$2,(YEAR(B1889)-YEAR(parametros!$C$2))*12+MONTH(B1889)-MONTH(parametros!$C$2)&gt;59),"Fora dos ciclos","C"&amp;INT(((YEAR(B1889)-YEAR(parametros!$C$2))*12+MONTH(B1889)-MONTH(parametros!$C$2))/12)))))</f>
        <v/>
      </c>
      <c r="D1889" s="394"/>
      <c r="E1889" s="78" t="str">
        <f>IF(C1889="","",IFERROR(VLOOKUP(C1889,parametros!$A$11:$E$15,5,0),""))</f>
        <v/>
      </c>
      <c r="F1889" s="79" t="str">
        <f t="shared" si="147"/>
        <v/>
      </c>
      <c r="G1889" s="395"/>
      <c r="H1889" s="91">
        <f t="shared" si="148"/>
        <v>0</v>
      </c>
      <c r="I1889" s="91" t="str">
        <f t="shared" si="149"/>
        <v/>
      </c>
      <c r="J1889" s="91" t="str">
        <f t="shared" si="150"/>
        <v/>
      </c>
      <c r="K1889" s="92" t="str">
        <f>IF(AND(A1889="",B1889="",D1889="",G1889=""),"",IF(AND(A1889&lt;&gt;"",COUNTIF($A$2:$A$5001,A1889)&gt;1),"NUMERO_PC duplicado",IF(B1889="","DATA_PC vazia",IF(NOT(ISNUMBER(B1889)),"DATA_PC invalida",IF(OR(C1889="",C1889="Fora dos ciclos"),"CICLO_PC nao identificado",IF(OR(D1889="",D1889=0),"VALOR_PC vazio ou zero",IF(AND(G1889&lt;&gt;"Sim",G1889&lt;&gt;"Nao",G1889&lt;&gt;""),"PC_PAGO_A_CONTRATADA invalido",IF(AND(C1889&lt;&gt;"C0",IFERROR(INDEX(parametros!$A$2:$A$6,MATCH(C1889,parametros!$B$2:$B$6,0)),"")="Sim",IFERROR(INDEX(parametros!$H$2:$H$6,MATCH(C1889,parametros!$B$2:$B$6,0)),"")=""),"INICIO_EFEITO ausente: PC "&amp;A1889&amp;" - "&amp;C1889,IF(L1889="","EFEITO_PC nao calculado: PC "&amp;A1889&amp;" - "&amp;C1889,"OK")))))))))</f>
        <v/>
      </c>
      <c r="L1889" s="92" t="str">
        <f>IF(AND(A1889="",B1889="",D1889="",G1889=""),"",IF(OR(B1889="",NOT(ISNUMBER(B1889)),C1889="",C1889="Fora dos ciclos"),"",IF(C1889="C0","Nao",IF(IFERROR(INDEX(parametros!$A$2:$A$6,MATCH(C1889,parametros!$B$2:$B$6,0)),"")&lt;&gt;"Sim","Nao",IF(IFERROR(INDEX(parametros!$H$2:$H$6,MATCH(C1889,parametros!$B$2:$B$6,0)),"")="","",IF(B1889&gt;=IFERROR(INDEX(parametros!$H$2:$H$6,MATCH(C1889,parametros!$B$2:$B$6,0)),""),"Sim","Nao"))))))</f>
        <v/>
      </c>
      <c r="T1889" s="156"/>
      <c r="U1889" s="214" t="str">
        <f t="shared" si="151"/>
        <v/>
      </c>
      <c r="V1889" s="212" t="s">
        <v>50</v>
      </c>
      <c r="W1889" s="100" t="s">
        <v>168</v>
      </c>
      <c r="X1889" s="100" t="s">
        <v>169</v>
      </c>
      <c r="Y1889" s="101" t="s">
        <v>170</v>
      </c>
      <c r="Z1889" s="101" t="s">
        <v>171</v>
      </c>
      <c r="AA1889" s="101" t="s">
        <v>50</v>
      </c>
      <c r="AB1889" s="101" t="s">
        <v>172</v>
      </c>
      <c r="AC1889" s="102" t="s">
        <v>173</v>
      </c>
    </row>
    <row r="1890" spans="1:29" ht="25.5" customHeight="1" x14ac:dyDescent="0.35">
      <c r="A1890" s="392"/>
      <c r="B1890" s="393"/>
      <c r="C1890" s="99" t="str">
        <f>IF(B1890="","",IF(NOT(ISNUMBER(B1890)),"DATA_PC invalida",IF(NOT(ISNUMBER(parametros!$C$2)),"Fora dos ciclos",IF(OR(B1890&lt;parametros!$C$2,(YEAR(B1890)-YEAR(parametros!$C$2))*12+MONTH(B1890)-MONTH(parametros!$C$2)&gt;59),"Fora dos ciclos","C"&amp;INT(((YEAR(B1890)-YEAR(parametros!$C$2))*12+MONTH(B1890)-MONTH(parametros!$C$2))/12)))))</f>
        <v/>
      </c>
      <c r="D1890" s="394"/>
      <c r="E1890" s="78" t="str">
        <f>IF(C1890="","",IFERROR(VLOOKUP(C1890,parametros!$A$11:$E$15,5,0),""))</f>
        <v/>
      </c>
      <c r="F1890" s="79" t="str">
        <f t="shared" si="147"/>
        <v/>
      </c>
      <c r="G1890" s="395"/>
      <c r="H1890" s="91">
        <f t="shared" si="148"/>
        <v>0</v>
      </c>
      <c r="I1890" s="91" t="str">
        <f t="shared" si="149"/>
        <v/>
      </c>
      <c r="J1890" s="91" t="str">
        <f t="shared" si="150"/>
        <v/>
      </c>
      <c r="K1890" s="92" t="str">
        <f>IF(AND(A1890="",B1890="",D1890="",G1890=""),"",IF(AND(A1890&lt;&gt;"",COUNTIF($A$2:$A$5001,A1890)&gt;1),"NUMERO_PC duplicado",IF(B1890="","DATA_PC vazia",IF(NOT(ISNUMBER(B1890)),"DATA_PC invalida",IF(OR(C1890="",C1890="Fora dos ciclos"),"CICLO_PC nao identificado",IF(OR(D1890="",D1890=0),"VALOR_PC vazio ou zero",IF(AND(G1890&lt;&gt;"Sim",G1890&lt;&gt;"Nao",G1890&lt;&gt;""),"PC_PAGO_A_CONTRATADA invalido",IF(AND(C1890&lt;&gt;"C0",IFERROR(INDEX(parametros!$A$2:$A$6,MATCH(C1890,parametros!$B$2:$B$6,0)),"")="Sim",IFERROR(INDEX(parametros!$H$2:$H$6,MATCH(C1890,parametros!$B$2:$B$6,0)),"")=""),"INICIO_EFEITO ausente: PC "&amp;A1890&amp;" - "&amp;C1890,IF(L1890="","EFEITO_PC nao calculado: PC "&amp;A1890&amp;" - "&amp;C1890,"OK")))))))))</f>
        <v/>
      </c>
      <c r="L1890" s="92" t="str">
        <f>IF(AND(A1890="",B1890="",D1890="",G1890=""),"",IF(OR(B1890="",NOT(ISNUMBER(B1890)),C1890="",C1890="Fora dos ciclos"),"",IF(C1890="C0","Nao",IF(IFERROR(INDEX(parametros!$A$2:$A$6,MATCH(C1890,parametros!$B$2:$B$6,0)),"")&lt;&gt;"Sim","Nao",IF(IFERROR(INDEX(parametros!$H$2:$H$6,MATCH(C1890,parametros!$B$2:$B$6,0)),"")="","",IF(B1890&gt;=IFERROR(INDEX(parametros!$H$2:$H$6,MATCH(C1890,parametros!$B$2:$B$6,0)),""),"Sim","Nao"))))))</f>
        <v/>
      </c>
      <c r="T1890" s="156"/>
      <c r="U1890" s="214" t="str">
        <f t="shared" si="151"/>
        <v/>
      </c>
      <c r="V1890" s="212" t="s">
        <v>50</v>
      </c>
      <c r="W1890" s="100" t="s">
        <v>168</v>
      </c>
      <c r="X1890" s="100" t="s">
        <v>169</v>
      </c>
      <c r="Y1890" s="101" t="s">
        <v>170</v>
      </c>
      <c r="Z1890" s="101" t="s">
        <v>171</v>
      </c>
      <c r="AA1890" s="101" t="s">
        <v>50</v>
      </c>
      <c r="AB1890" s="101" t="s">
        <v>172</v>
      </c>
      <c r="AC1890" s="102" t="s">
        <v>173</v>
      </c>
    </row>
    <row r="1891" spans="1:29" ht="25.5" customHeight="1" x14ac:dyDescent="0.35">
      <c r="A1891" s="392"/>
      <c r="B1891" s="393"/>
      <c r="C1891" s="99" t="str">
        <f>IF(B1891="","",IF(NOT(ISNUMBER(B1891)),"DATA_PC invalida",IF(NOT(ISNUMBER(parametros!$C$2)),"Fora dos ciclos",IF(OR(B1891&lt;parametros!$C$2,(YEAR(B1891)-YEAR(parametros!$C$2))*12+MONTH(B1891)-MONTH(parametros!$C$2)&gt;59),"Fora dos ciclos","C"&amp;INT(((YEAR(B1891)-YEAR(parametros!$C$2))*12+MONTH(B1891)-MONTH(parametros!$C$2))/12)))))</f>
        <v/>
      </c>
      <c r="D1891" s="394"/>
      <c r="E1891" s="78" t="str">
        <f>IF(C1891="","",IFERROR(VLOOKUP(C1891,parametros!$A$11:$E$15,5,0),""))</f>
        <v/>
      </c>
      <c r="F1891" s="79" t="str">
        <f t="shared" si="147"/>
        <v/>
      </c>
      <c r="G1891" s="395"/>
      <c r="H1891" s="91">
        <f t="shared" si="148"/>
        <v>0</v>
      </c>
      <c r="I1891" s="91" t="str">
        <f t="shared" si="149"/>
        <v/>
      </c>
      <c r="J1891" s="91" t="str">
        <f t="shared" si="150"/>
        <v/>
      </c>
      <c r="K1891" s="92" t="str">
        <f>IF(AND(A1891="",B1891="",D1891="",G1891=""),"",IF(AND(A1891&lt;&gt;"",COUNTIF($A$2:$A$5001,A1891)&gt;1),"NUMERO_PC duplicado",IF(B1891="","DATA_PC vazia",IF(NOT(ISNUMBER(B1891)),"DATA_PC invalida",IF(OR(C1891="",C1891="Fora dos ciclos"),"CICLO_PC nao identificado",IF(OR(D1891="",D1891=0),"VALOR_PC vazio ou zero",IF(AND(G1891&lt;&gt;"Sim",G1891&lt;&gt;"Nao",G1891&lt;&gt;""),"PC_PAGO_A_CONTRATADA invalido",IF(AND(C1891&lt;&gt;"C0",IFERROR(INDEX(parametros!$A$2:$A$6,MATCH(C1891,parametros!$B$2:$B$6,0)),"")="Sim",IFERROR(INDEX(parametros!$H$2:$H$6,MATCH(C1891,parametros!$B$2:$B$6,0)),"")=""),"INICIO_EFEITO ausente: PC "&amp;A1891&amp;" - "&amp;C1891,IF(L1891="","EFEITO_PC nao calculado: PC "&amp;A1891&amp;" - "&amp;C1891,"OK")))))))))</f>
        <v/>
      </c>
      <c r="L1891" s="92" t="str">
        <f>IF(AND(A1891="",B1891="",D1891="",G1891=""),"",IF(OR(B1891="",NOT(ISNUMBER(B1891)),C1891="",C1891="Fora dos ciclos"),"",IF(C1891="C0","Nao",IF(IFERROR(INDEX(parametros!$A$2:$A$6,MATCH(C1891,parametros!$B$2:$B$6,0)),"")&lt;&gt;"Sim","Nao",IF(IFERROR(INDEX(parametros!$H$2:$H$6,MATCH(C1891,parametros!$B$2:$B$6,0)),"")="","",IF(B1891&gt;=IFERROR(INDEX(parametros!$H$2:$H$6,MATCH(C1891,parametros!$B$2:$B$6,0)),""),"Sim","Nao"))))))</f>
        <v/>
      </c>
      <c r="T1891" s="156"/>
      <c r="U1891" s="214" t="str">
        <f t="shared" si="151"/>
        <v/>
      </c>
      <c r="V1891" s="212" t="s">
        <v>50</v>
      </c>
      <c r="W1891" s="100" t="s">
        <v>168</v>
      </c>
      <c r="X1891" s="100" t="s">
        <v>169</v>
      </c>
      <c r="Y1891" s="101" t="s">
        <v>170</v>
      </c>
      <c r="Z1891" s="101" t="s">
        <v>171</v>
      </c>
      <c r="AA1891" s="101" t="s">
        <v>50</v>
      </c>
      <c r="AB1891" s="101" t="s">
        <v>172</v>
      </c>
      <c r="AC1891" s="102" t="s">
        <v>173</v>
      </c>
    </row>
    <row r="1892" spans="1:29" ht="25.5" customHeight="1" x14ac:dyDescent="0.35">
      <c r="A1892" s="392"/>
      <c r="B1892" s="393"/>
      <c r="C1892" s="99" t="str">
        <f>IF(B1892="","",IF(NOT(ISNUMBER(B1892)),"DATA_PC invalida",IF(NOT(ISNUMBER(parametros!$C$2)),"Fora dos ciclos",IF(OR(B1892&lt;parametros!$C$2,(YEAR(B1892)-YEAR(parametros!$C$2))*12+MONTH(B1892)-MONTH(parametros!$C$2)&gt;59),"Fora dos ciclos","C"&amp;INT(((YEAR(B1892)-YEAR(parametros!$C$2))*12+MONTH(B1892)-MONTH(parametros!$C$2))/12)))))</f>
        <v/>
      </c>
      <c r="D1892" s="394"/>
      <c r="E1892" s="78" t="str">
        <f>IF(C1892="","",IFERROR(VLOOKUP(C1892,parametros!$A$11:$E$15,5,0),""))</f>
        <v/>
      </c>
      <c r="F1892" s="79" t="str">
        <f t="shared" si="147"/>
        <v/>
      </c>
      <c r="G1892" s="395"/>
      <c r="H1892" s="91">
        <f t="shared" si="148"/>
        <v>0</v>
      </c>
      <c r="I1892" s="91" t="str">
        <f t="shared" si="149"/>
        <v/>
      </c>
      <c r="J1892" s="91" t="str">
        <f t="shared" si="150"/>
        <v/>
      </c>
      <c r="K1892" s="92" t="str">
        <f>IF(AND(A1892="",B1892="",D1892="",G1892=""),"",IF(AND(A1892&lt;&gt;"",COUNTIF($A$2:$A$5001,A1892)&gt;1),"NUMERO_PC duplicado",IF(B1892="","DATA_PC vazia",IF(NOT(ISNUMBER(B1892)),"DATA_PC invalida",IF(OR(C1892="",C1892="Fora dos ciclos"),"CICLO_PC nao identificado",IF(OR(D1892="",D1892=0),"VALOR_PC vazio ou zero",IF(AND(G1892&lt;&gt;"Sim",G1892&lt;&gt;"Nao",G1892&lt;&gt;""),"PC_PAGO_A_CONTRATADA invalido",IF(AND(C1892&lt;&gt;"C0",IFERROR(INDEX(parametros!$A$2:$A$6,MATCH(C1892,parametros!$B$2:$B$6,0)),"")="Sim",IFERROR(INDEX(parametros!$H$2:$H$6,MATCH(C1892,parametros!$B$2:$B$6,0)),"")=""),"INICIO_EFEITO ausente: PC "&amp;A1892&amp;" - "&amp;C1892,IF(L1892="","EFEITO_PC nao calculado: PC "&amp;A1892&amp;" - "&amp;C1892,"OK")))))))))</f>
        <v/>
      </c>
      <c r="L1892" s="92" t="str">
        <f>IF(AND(A1892="",B1892="",D1892="",G1892=""),"",IF(OR(B1892="",NOT(ISNUMBER(B1892)),C1892="",C1892="Fora dos ciclos"),"",IF(C1892="C0","Nao",IF(IFERROR(INDEX(parametros!$A$2:$A$6,MATCH(C1892,parametros!$B$2:$B$6,0)),"")&lt;&gt;"Sim","Nao",IF(IFERROR(INDEX(parametros!$H$2:$H$6,MATCH(C1892,parametros!$B$2:$B$6,0)),"")="","",IF(B1892&gt;=IFERROR(INDEX(parametros!$H$2:$H$6,MATCH(C1892,parametros!$B$2:$B$6,0)),""),"Sim","Nao"))))))</f>
        <v/>
      </c>
      <c r="T1892" s="156"/>
      <c r="U1892" s="214" t="str">
        <f t="shared" si="151"/>
        <v/>
      </c>
      <c r="V1892" s="212" t="s">
        <v>50</v>
      </c>
      <c r="W1892" s="100" t="s">
        <v>168</v>
      </c>
      <c r="X1892" s="100" t="s">
        <v>169</v>
      </c>
      <c r="Y1892" s="101" t="s">
        <v>170</v>
      </c>
      <c r="Z1892" s="101" t="s">
        <v>171</v>
      </c>
      <c r="AA1892" s="101" t="s">
        <v>50</v>
      </c>
      <c r="AB1892" s="101" t="s">
        <v>172</v>
      </c>
      <c r="AC1892" s="102" t="s">
        <v>173</v>
      </c>
    </row>
    <row r="1893" spans="1:29" ht="25.5" customHeight="1" x14ac:dyDescent="0.35">
      <c r="A1893" s="392"/>
      <c r="B1893" s="393"/>
      <c r="C1893" s="99" t="str">
        <f>IF(B1893="","",IF(NOT(ISNUMBER(B1893)),"DATA_PC invalida",IF(NOT(ISNUMBER(parametros!$C$2)),"Fora dos ciclos",IF(OR(B1893&lt;parametros!$C$2,(YEAR(B1893)-YEAR(parametros!$C$2))*12+MONTH(B1893)-MONTH(parametros!$C$2)&gt;59),"Fora dos ciclos","C"&amp;INT(((YEAR(B1893)-YEAR(parametros!$C$2))*12+MONTH(B1893)-MONTH(parametros!$C$2))/12)))))</f>
        <v/>
      </c>
      <c r="D1893" s="394"/>
      <c r="E1893" s="78" t="str">
        <f>IF(C1893="","",IFERROR(VLOOKUP(C1893,parametros!$A$11:$E$15,5,0),""))</f>
        <v/>
      </c>
      <c r="F1893" s="79" t="str">
        <f t="shared" si="147"/>
        <v/>
      </c>
      <c r="G1893" s="395"/>
      <c r="H1893" s="91">
        <f t="shared" si="148"/>
        <v>0</v>
      </c>
      <c r="I1893" s="91" t="str">
        <f t="shared" si="149"/>
        <v/>
      </c>
      <c r="J1893" s="91" t="str">
        <f t="shared" si="150"/>
        <v/>
      </c>
      <c r="K1893" s="92" t="str">
        <f>IF(AND(A1893="",B1893="",D1893="",G1893=""),"",IF(AND(A1893&lt;&gt;"",COUNTIF($A$2:$A$5001,A1893)&gt;1),"NUMERO_PC duplicado",IF(B1893="","DATA_PC vazia",IF(NOT(ISNUMBER(B1893)),"DATA_PC invalida",IF(OR(C1893="",C1893="Fora dos ciclos"),"CICLO_PC nao identificado",IF(OR(D1893="",D1893=0),"VALOR_PC vazio ou zero",IF(AND(G1893&lt;&gt;"Sim",G1893&lt;&gt;"Nao",G1893&lt;&gt;""),"PC_PAGO_A_CONTRATADA invalido",IF(AND(C1893&lt;&gt;"C0",IFERROR(INDEX(parametros!$A$2:$A$6,MATCH(C1893,parametros!$B$2:$B$6,0)),"")="Sim",IFERROR(INDEX(parametros!$H$2:$H$6,MATCH(C1893,parametros!$B$2:$B$6,0)),"")=""),"INICIO_EFEITO ausente: PC "&amp;A1893&amp;" - "&amp;C1893,IF(L1893="","EFEITO_PC nao calculado: PC "&amp;A1893&amp;" - "&amp;C1893,"OK")))))))))</f>
        <v/>
      </c>
      <c r="L1893" s="92" t="str">
        <f>IF(AND(A1893="",B1893="",D1893="",G1893=""),"",IF(OR(B1893="",NOT(ISNUMBER(B1893)),C1893="",C1893="Fora dos ciclos"),"",IF(C1893="C0","Nao",IF(IFERROR(INDEX(parametros!$A$2:$A$6,MATCH(C1893,parametros!$B$2:$B$6,0)),"")&lt;&gt;"Sim","Nao",IF(IFERROR(INDEX(parametros!$H$2:$H$6,MATCH(C1893,parametros!$B$2:$B$6,0)),"")="","",IF(B1893&gt;=IFERROR(INDEX(parametros!$H$2:$H$6,MATCH(C1893,parametros!$B$2:$B$6,0)),""),"Sim","Nao"))))))</f>
        <v/>
      </c>
      <c r="T1893" s="156"/>
      <c r="U1893" s="214" t="str">
        <f t="shared" si="151"/>
        <v/>
      </c>
      <c r="V1893" s="212" t="s">
        <v>50</v>
      </c>
      <c r="W1893" s="100" t="s">
        <v>168</v>
      </c>
      <c r="X1893" s="100" t="s">
        <v>169</v>
      </c>
      <c r="Y1893" s="101" t="s">
        <v>170</v>
      </c>
      <c r="Z1893" s="101" t="s">
        <v>171</v>
      </c>
      <c r="AA1893" s="101" t="s">
        <v>50</v>
      </c>
      <c r="AB1893" s="101" t="s">
        <v>172</v>
      </c>
      <c r="AC1893" s="102" t="s">
        <v>173</v>
      </c>
    </row>
    <row r="1894" spans="1:29" ht="25.5" customHeight="1" x14ac:dyDescent="0.35">
      <c r="A1894" s="392"/>
      <c r="B1894" s="393"/>
      <c r="C1894" s="99" t="str">
        <f>IF(B1894="","",IF(NOT(ISNUMBER(B1894)),"DATA_PC invalida",IF(NOT(ISNUMBER(parametros!$C$2)),"Fora dos ciclos",IF(OR(B1894&lt;parametros!$C$2,(YEAR(B1894)-YEAR(parametros!$C$2))*12+MONTH(B1894)-MONTH(parametros!$C$2)&gt;59),"Fora dos ciclos","C"&amp;INT(((YEAR(B1894)-YEAR(parametros!$C$2))*12+MONTH(B1894)-MONTH(parametros!$C$2))/12)))))</f>
        <v/>
      </c>
      <c r="D1894" s="394"/>
      <c r="E1894" s="78" t="str">
        <f>IF(C1894="","",IFERROR(VLOOKUP(C1894,parametros!$A$11:$E$15,5,0),""))</f>
        <v/>
      </c>
      <c r="F1894" s="79" t="str">
        <f t="shared" si="147"/>
        <v/>
      </c>
      <c r="G1894" s="395"/>
      <c r="H1894" s="91">
        <f t="shared" si="148"/>
        <v>0</v>
      </c>
      <c r="I1894" s="91" t="str">
        <f t="shared" si="149"/>
        <v/>
      </c>
      <c r="J1894" s="91" t="str">
        <f t="shared" si="150"/>
        <v/>
      </c>
      <c r="K1894" s="92" t="str">
        <f>IF(AND(A1894="",B1894="",D1894="",G1894=""),"",IF(AND(A1894&lt;&gt;"",COUNTIF($A$2:$A$5001,A1894)&gt;1),"NUMERO_PC duplicado",IF(B1894="","DATA_PC vazia",IF(NOT(ISNUMBER(B1894)),"DATA_PC invalida",IF(OR(C1894="",C1894="Fora dos ciclos"),"CICLO_PC nao identificado",IF(OR(D1894="",D1894=0),"VALOR_PC vazio ou zero",IF(AND(G1894&lt;&gt;"Sim",G1894&lt;&gt;"Nao",G1894&lt;&gt;""),"PC_PAGO_A_CONTRATADA invalido",IF(AND(C1894&lt;&gt;"C0",IFERROR(INDEX(parametros!$A$2:$A$6,MATCH(C1894,parametros!$B$2:$B$6,0)),"")="Sim",IFERROR(INDEX(parametros!$H$2:$H$6,MATCH(C1894,parametros!$B$2:$B$6,0)),"")=""),"INICIO_EFEITO ausente: PC "&amp;A1894&amp;" - "&amp;C1894,IF(L1894="","EFEITO_PC nao calculado: PC "&amp;A1894&amp;" - "&amp;C1894,"OK")))))))))</f>
        <v/>
      </c>
      <c r="L1894" s="92" t="str">
        <f>IF(AND(A1894="",B1894="",D1894="",G1894=""),"",IF(OR(B1894="",NOT(ISNUMBER(B1894)),C1894="",C1894="Fora dos ciclos"),"",IF(C1894="C0","Nao",IF(IFERROR(INDEX(parametros!$A$2:$A$6,MATCH(C1894,parametros!$B$2:$B$6,0)),"")&lt;&gt;"Sim","Nao",IF(IFERROR(INDEX(parametros!$H$2:$H$6,MATCH(C1894,parametros!$B$2:$B$6,0)),"")="","",IF(B1894&gt;=IFERROR(INDEX(parametros!$H$2:$H$6,MATCH(C1894,parametros!$B$2:$B$6,0)),""),"Sim","Nao"))))))</f>
        <v/>
      </c>
      <c r="T1894" s="156"/>
      <c r="U1894" s="214" t="str">
        <f t="shared" si="151"/>
        <v/>
      </c>
      <c r="V1894" s="212" t="s">
        <v>50</v>
      </c>
      <c r="W1894" s="100" t="s">
        <v>168</v>
      </c>
      <c r="X1894" s="100" t="s">
        <v>169</v>
      </c>
      <c r="Y1894" s="101" t="s">
        <v>170</v>
      </c>
      <c r="Z1894" s="101" t="s">
        <v>171</v>
      </c>
      <c r="AA1894" s="101" t="s">
        <v>50</v>
      </c>
      <c r="AB1894" s="101" t="s">
        <v>172</v>
      </c>
      <c r="AC1894" s="102" t="s">
        <v>173</v>
      </c>
    </row>
    <row r="1895" spans="1:29" ht="25.5" customHeight="1" x14ac:dyDescent="0.35">
      <c r="A1895" s="392"/>
      <c r="B1895" s="393"/>
      <c r="C1895" s="99" t="str">
        <f>IF(B1895="","",IF(NOT(ISNUMBER(B1895)),"DATA_PC invalida",IF(NOT(ISNUMBER(parametros!$C$2)),"Fora dos ciclos",IF(OR(B1895&lt;parametros!$C$2,(YEAR(B1895)-YEAR(parametros!$C$2))*12+MONTH(B1895)-MONTH(parametros!$C$2)&gt;59),"Fora dos ciclos","C"&amp;INT(((YEAR(B1895)-YEAR(parametros!$C$2))*12+MONTH(B1895)-MONTH(parametros!$C$2))/12)))))</f>
        <v/>
      </c>
      <c r="D1895" s="394"/>
      <c r="E1895" s="78" t="str">
        <f>IF(C1895="","",IFERROR(VLOOKUP(C1895,parametros!$A$11:$E$15,5,0),""))</f>
        <v/>
      </c>
      <c r="F1895" s="79" t="str">
        <f t="shared" si="147"/>
        <v/>
      </c>
      <c r="G1895" s="395"/>
      <c r="H1895" s="91">
        <f t="shared" si="148"/>
        <v>0</v>
      </c>
      <c r="I1895" s="91" t="str">
        <f t="shared" si="149"/>
        <v/>
      </c>
      <c r="J1895" s="91" t="str">
        <f t="shared" si="150"/>
        <v/>
      </c>
      <c r="K1895" s="92" t="str">
        <f>IF(AND(A1895="",B1895="",D1895="",G1895=""),"",IF(AND(A1895&lt;&gt;"",COUNTIF($A$2:$A$5001,A1895)&gt;1),"NUMERO_PC duplicado",IF(B1895="","DATA_PC vazia",IF(NOT(ISNUMBER(B1895)),"DATA_PC invalida",IF(OR(C1895="",C1895="Fora dos ciclos"),"CICLO_PC nao identificado",IF(OR(D1895="",D1895=0),"VALOR_PC vazio ou zero",IF(AND(G1895&lt;&gt;"Sim",G1895&lt;&gt;"Nao",G1895&lt;&gt;""),"PC_PAGO_A_CONTRATADA invalido",IF(AND(C1895&lt;&gt;"C0",IFERROR(INDEX(parametros!$A$2:$A$6,MATCH(C1895,parametros!$B$2:$B$6,0)),"")="Sim",IFERROR(INDEX(parametros!$H$2:$H$6,MATCH(C1895,parametros!$B$2:$B$6,0)),"")=""),"INICIO_EFEITO ausente: PC "&amp;A1895&amp;" - "&amp;C1895,IF(L1895="","EFEITO_PC nao calculado: PC "&amp;A1895&amp;" - "&amp;C1895,"OK")))))))))</f>
        <v/>
      </c>
      <c r="L1895" s="92" t="str">
        <f>IF(AND(A1895="",B1895="",D1895="",G1895=""),"",IF(OR(B1895="",NOT(ISNUMBER(B1895)),C1895="",C1895="Fora dos ciclos"),"",IF(C1895="C0","Nao",IF(IFERROR(INDEX(parametros!$A$2:$A$6,MATCH(C1895,parametros!$B$2:$B$6,0)),"")&lt;&gt;"Sim","Nao",IF(IFERROR(INDEX(parametros!$H$2:$H$6,MATCH(C1895,parametros!$B$2:$B$6,0)),"")="","",IF(B1895&gt;=IFERROR(INDEX(parametros!$H$2:$H$6,MATCH(C1895,parametros!$B$2:$B$6,0)),""),"Sim","Nao"))))))</f>
        <v/>
      </c>
      <c r="T1895" s="156"/>
      <c r="U1895" s="214" t="str">
        <f t="shared" si="151"/>
        <v/>
      </c>
      <c r="V1895" s="212" t="s">
        <v>50</v>
      </c>
      <c r="W1895" s="100" t="s">
        <v>168</v>
      </c>
      <c r="X1895" s="100" t="s">
        <v>169</v>
      </c>
      <c r="Y1895" s="101" t="s">
        <v>170</v>
      </c>
      <c r="Z1895" s="101" t="s">
        <v>171</v>
      </c>
      <c r="AA1895" s="101" t="s">
        <v>50</v>
      </c>
      <c r="AB1895" s="101" t="s">
        <v>172</v>
      </c>
      <c r="AC1895" s="102" t="s">
        <v>173</v>
      </c>
    </row>
    <row r="1896" spans="1:29" ht="25.5" customHeight="1" x14ac:dyDescent="0.35">
      <c r="A1896" s="392"/>
      <c r="B1896" s="393"/>
      <c r="C1896" s="99" t="str">
        <f>IF(B1896="","",IF(NOT(ISNUMBER(B1896)),"DATA_PC invalida",IF(NOT(ISNUMBER(parametros!$C$2)),"Fora dos ciclos",IF(OR(B1896&lt;parametros!$C$2,(YEAR(B1896)-YEAR(parametros!$C$2))*12+MONTH(B1896)-MONTH(parametros!$C$2)&gt;59),"Fora dos ciclos","C"&amp;INT(((YEAR(B1896)-YEAR(parametros!$C$2))*12+MONTH(B1896)-MONTH(parametros!$C$2))/12)))))</f>
        <v/>
      </c>
      <c r="D1896" s="394"/>
      <c r="E1896" s="78" t="str">
        <f>IF(C1896="","",IFERROR(VLOOKUP(C1896,parametros!$A$11:$E$15,5,0),""))</f>
        <v/>
      </c>
      <c r="F1896" s="79" t="str">
        <f t="shared" si="147"/>
        <v/>
      </c>
      <c r="G1896" s="395"/>
      <c r="H1896" s="91">
        <f t="shared" si="148"/>
        <v>0</v>
      </c>
      <c r="I1896" s="91" t="str">
        <f t="shared" si="149"/>
        <v/>
      </c>
      <c r="J1896" s="91" t="str">
        <f t="shared" si="150"/>
        <v/>
      </c>
      <c r="K1896" s="92" t="str">
        <f>IF(AND(A1896="",B1896="",D1896="",G1896=""),"",IF(AND(A1896&lt;&gt;"",COUNTIF($A$2:$A$5001,A1896)&gt;1),"NUMERO_PC duplicado",IF(B1896="","DATA_PC vazia",IF(NOT(ISNUMBER(B1896)),"DATA_PC invalida",IF(OR(C1896="",C1896="Fora dos ciclos"),"CICLO_PC nao identificado",IF(OR(D1896="",D1896=0),"VALOR_PC vazio ou zero",IF(AND(G1896&lt;&gt;"Sim",G1896&lt;&gt;"Nao",G1896&lt;&gt;""),"PC_PAGO_A_CONTRATADA invalido",IF(AND(C1896&lt;&gt;"C0",IFERROR(INDEX(parametros!$A$2:$A$6,MATCH(C1896,parametros!$B$2:$B$6,0)),"")="Sim",IFERROR(INDEX(parametros!$H$2:$H$6,MATCH(C1896,parametros!$B$2:$B$6,0)),"")=""),"INICIO_EFEITO ausente: PC "&amp;A1896&amp;" - "&amp;C1896,IF(L1896="","EFEITO_PC nao calculado: PC "&amp;A1896&amp;" - "&amp;C1896,"OK")))))))))</f>
        <v/>
      </c>
      <c r="L1896" s="92" t="str">
        <f>IF(AND(A1896="",B1896="",D1896="",G1896=""),"",IF(OR(B1896="",NOT(ISNUMBER(B1896)),C1896="",C1896="Fora dos ciclos"),"",IF(C1896="C0","Nao",IF(IFERROR(INDEX(parametros!$A$2:$A$6,MATCH(C1896,parametros!$B$2:$B$6,0)),"")&lt;&gt;"Sim","Nao",IF(IFERROR(INDEX(parametros!$H$2:$H$6,MATCH(C1896,parametros!$B$2:$B$6,0)),"")="","",IF(B1896&gt;=IFERROR(INDEX(parametros!$H$2:$H$6,MATCH(C1896,parametros!$B$2:$B$6,0)),""),"Sim","Nao"))))))</f>
        <v/>
      </c>
      <c r="T1896" s="156"/>
      <c r="U1896" s="214" t="str">
        <f t="shared" si="151"/>
        <v/>
      </c>
      <c r="V1896" s="212" t="s">
        <v>50</v>
      </c>
      <c r="W1896" s="100" t="s">
        <v>168</v>
      </c>
      <c r="X1896" s="100" t="s">
        <v>169</v>
      </c>
      <c r="Y1896" s="101" t="s">
        <v>170</v>
      </c>
      <c r="Z1896" s="101" t="s">
        <v>171</v>
      </c>
      <c r="AA1896" s="101" t="s">
        <v>50</v>
      </c>
      <c r="AB1896" s="101" t="s">
        <v>172</v>
      </c>
      <c r="AC1896" s="102" t="s">
        <v>173</v>
      </c>
    </row>
    <row r="1897" spans="1:29" ht="25.5" customHeight="1" x14ac:dyDescent="0.35">
      <c r="A1897" s="392"/>
      <c r="B1897" s="393"/>
      <c r="C1897" s="99" t="str">
        <f>IF(B1897="","",IF(NOT(ISNUMBER(B1897)),"DATA_PC invalida",IF(NOT(ISNUMBER(parametros!$C$2)),"Fora dos ciclos",IF(OR(B1897&lt;parametros!$C$2,(YEAR(B1897)-YEAR(parametros!$C$2))*12+MONTH(B1897)-MONTH(parametros!$C$2)&gt;59),"Fora dos ciclos","C"&amp;INT(((YEAR(B1897)-YEAR(parametros!$C$2))*12+MONTH(B1897)-MONTH(parametros!$C$2))/12)))))</f>
        <v/>
      </c>
      <c r="D1897" s="394"/>
      <c r="E1897" s="78" t="str">
        <f>IF(C1897="","",IFERROR(VLOOKUP(C1897,parametros!$A$11:$E$15,5,0),""))</f>
        <v/>
      </c>
      <c r="F1897" s="79" t="str">
        <f t="shared" si="147"/>
        <v/>
      </c>
      <c r="G1897" s="395"/>
      <c r="H1897" s="91">
        <f t="shared" si="148"/>
        <v>0</v>
      </c>
      <c r="I1897" s="91" t="str">
        <f t="shared" si="149"/>
        <v/>
      </c>
      <c r="J1897" s="91" t="str">
        <f t="shared" si="150"/>
        <v/>
      </c>
      <c r="K1897" s="92" t="str">
        <f>IF(AND(A1897="",B1897="",D1897="",G1897=""),"",IF(AND(A1897&lt;&gt;"",COUNTIF($A$2:$A$5001,A1897)&gt;1),"NUMERO_PC duplicado",IF(B1897="","DATA_PC vazia",IF(NOT(ISNUMBER(B1897)),"DATA_PC invalida",IF(OR(C1897="",C1897="Fora dos ciclos"),"CICLO_PC nao identificado",IF(OR(D1897="",D1897=0),"VALOR_PC vazio ou zero",IF(AND(G1897&lt;&gt;"Sim",G1897&lt;&gt;"Nao",G1897&lt;&gt;""),"PC_PAGO_A_CONTRATADA invalido",IF(AND(C1897&lt;&gt;"C0",IFERROR(INDEX(parametros!$A$2:$A$6,MATCH(C1897,parametros!$B$2:$B$6,0)),"")="Sim",IFERROR(INDEX(parametros!$H$2:$H$6,MATCH(C1897,parametros!$B$2:$B$6,0)),"")=""),"INICIO_EFEITO ausente: PC "&amp;A1897&amp;" - "&amp;C1897,IF(L1897="","EFEITO_PC nao calculado: PC "&amp;A1897&amp;" - "&amp;C1897,"OK")))))))))</f>
        <v/>
      </c>
      <c r="L1897" s="92" t="str">
        <f>IF(AND(A1897="",B1897="",D1897="",G1897=""),"",IF(OR(B1897="",NOT(ISNUMBER(B1897)),C1897="",C1897="Fora dos ciclos"),"",IF(C1897="C0","Nao",IF(IFERROR(INDEX(parametros!$A$2:$A$6,MATCH(C1897,parametros!$B$2:$B$6,0)),"")&lt;&gt;"Sim","Nao",IF(IFERROR(INDEX(parametros!$H$2:$H$6,MATCH(C1897,parametros!$B$2:$B$6,0)),"")="","",IF(B1897&gt;=IFERROR(INDEX(parametros!$H$2:$H$6,MATCH(C1897,parametros!$B$2:$B$6,0)),""),"Sim","Nao"))))))</f>
        <v/>
      </c>
      <c r="T1897" s="156"/>
      <c r="U1897" s="214" t="str">
        <f t="shared" si="151"/>
        <v/>
      </c>
      <c r="V1897" s="212" t="s">
        <v>50</v>
      </c>
      <c r="W1897" s="100" t="s">
        <v>168</v>
      </c>
      <c r="X1897" s="100" t="s">
        <v>169</v>
      </c>
      <c r="Y1897" s="101" t="s">
        <v>170</v>
      </c>
      <c r="Z1897" s="101" t="s">
        <v>171</v>
      </c>
      <c r="AA1897" s="101" t="s">
        <v>50</v>
      </c>
      <c r="AB1897" s="101" t="s">
        <v>172</v>
      </c>
      <c r="AC1897" s="102" t="s">
        <v>173</v>
      </c>
    </row>
    <row r="1898" spans="1:29" ht="25.5" customHeight="1" x14ac:dyDescent="0.35">
      <c r="A1898" s="392"/>
      <c r="B1898" s="393"/>
      <c r="C1898" s="99" t="str">
        <f>IF(B1898="","",IF(NOT(ISNUMBER(B1898)),"DATA_PC invalida",IF(NOT(ISNUMBER(parametros!$C$2)),"Fora dos ciclos",IF(OR(B1898&lt;parametros!$C$2,(YEAR(B1898)-YEAR(parametros!$C$2))*12+MONTH(B1898)-MONTH(parametros!$C$2)&gt;59),"Fora dos ciclos","C"&amp;INT(((YEAR(B1898)-YEAR(parametros!$C$2))*12+MONTH(B1898)-MONTH(parametros!$C$2))/12)))))</f>
        <v/>
      </c>
      <c r="D1898" s="394"/>
      <c r="E1898" s="78" t="str">
        <f>IF(C1898="","",IFERROR(VLOOKUP(C1898,parametros!$A$11:$E$15,5,0),""))</f>
        <v/>
      </c>
      <c r="F1898" s="79" t="str">
        <f t="shared" si="147"/>
        <v/>
      </c>
      <c r="G1898" s="395"/>
      <c r="H1898" s="91">
        <f t="shared" si="148"/>
        <v>0</v>
      </c>
      <c r="I1898" s="91" t="str">
        <f t="shared" si="149"/>
        <v/>
      </c>
      <c r="J1898" s="91" t="str">
        <f t="shared" si="150"/>
        <v/>
      </c>
      <c r="K1898" s="92" t="str">
        <f>IF(AND(A1898="",B1898="",D1898="",G1898=""),"",IF(AND(A1898&lt;&gt;"",COUNTIF($A$2:$A$5001,A1898)&gt;1),"NUMERO_PC duplicado",IF(B1898="","DATA_PC vazia",IF(NOT(ISNUMBER(B1898)),"DATA_PC invalida",IF(OR(C1898="",C1898="Fora dos ciclos"),"CICLO_PC nao identificado",IF(OR(D1898="",D1898=0),"VALOR_PC vazio ou zero",IF(AND(G1898&lt;&gt;"Sim",G1898&lt;&gt;"Nao",G1898&lt;&gt;""),"PC_PAGO_A_CONTRATADA invalido",IF(AND(C1898&lt;&gt;"C0",IFERROR(INDEX(parametros!$A$2:$A$6,MATCH(C1898,parametros!$B$2:$B$6,0)),"")="Sim",IFERROR(INDEX(parametros!$H$2:$H$6,MATCH(C1898,parametros!$B$2:$B$6,0)),"")=""),"INICIO_EFEITO ausente: PC "&amp;A1898&amp;" - "&amp;C1898,IF(L1898="","EFEITO_PC nao calculado: PC "&amp;A1898&amp;" - "&amp;C1898,"OK")))))))))</f>
        <v/>
      </c>
      <c r="L1898" s="92" t="str">
        <f>IF(AND(A1898="",B1898="",D1898="",G1898=""),"",IF(OR(B1898="",NOT(ISNUMBER(B1898)),C1898="",C1898="Fora dos ciclos"),"",IF(C1898="C0","Nao",IF(IFERROR(INDEX(parametros!$A$2:$A$6,MATCH(C1898,parametros!$B$2:$B$6,0)),"")&lt;&gt;"Sim","Nao",IF(IFERROR(INDEX(parametros!$H$2:$H$6,MATCH(C1898,parametros!$B$2:$B$6,0)),"")="","",IF(B1898&gt;=IFERROR(INDEX(parametros!$H$2:$H$6,MATCH(C1898,parametros!$B$2:$B$6,0)),""),"Sim","Nao"))))))</f>
        <v/>
      </c>
      <c r="T1898" s="156"/>
      <c r="U1898" s="214" t="str">
        <f t="shared" si="151"/>
        <v/>
      </c>
      <c r="V1898" s="212" t="s">
        <v>50</v>
      </c>
      <c r="W1898" s="100" t="s">
        <v>168</v>
      </c>
      <c r="X1898" s="100" t="s">
        <v>169</v>
      </c>
      <c r="Y1898" s="101" t="s">
        <v>170</v>
      </c>
      <c r="Z1898" s="101" t="s">
        <v>171</v>
      </c>
      <c r="AA1898" s="101" t="s">
        <v>50</v>
      </c>
      <c r="AB1898" s="101" t="s">
        <v>172</v>
      </c>
      <c r="AC1898" s="102" t="s">
        <v>173</v>
      </c>
    </row>
    <row r="1899" spans="1:29" ht="25.5" customHeight="1" x14ac:dyDescent="0.35">
      <c r="A1899" s="392"/>
      <c r="B1899" s="393"/>
      <c r="C1899" s="99" t="str">
        <f>IF(B1899="","",IF(NOT(ISNUMBER(B1899)),"DATA_PC invalida",IF(NOT(ISNUMBER(parametros!$C$2)),"Fora dos ciclos",IF(OR(B1899&lt;parametros!$C$2,(YEAR(B1899)-YEAR(parametros!$C$2))*12+MONTH(B1899)-MONTH(parametros!$C$2)&gt;59),"Fora dos ciclos","C"&amp;INT(((YEAR(B1899)-YEAR(parametros!$C$2))*12+MONTH(B1899)-MONTH(parametros!$C$2))/12)))))</f>
        <v/>
      </c>
      <c r="D1899" s="394"/>
      <c r="E1899" s="78" t="str">
        <f>IF(C1899="","",IFERROR(VLOOKUP(C1899,parametros!$A$11:$E$15,5,0),""))</f>
        <v/>
      </c>
      <c r="F1899" s="79" t="str">
        <f t="shared" si="147"/>
        <v/>
      </c>
      <c r="G1899" s="395"/>
      <c r="H1899" s="91">
        <f t="shared" si="148"/>
        <v>0</v>
      </c>
      <c r="I1899" s="91" t="str">
        <f t="shared" si="149"/>
        <v/>
      </c>
      <c r="J1899" s="91" t="str">
        <f t="shared" si="150"/>
        <v/>
      </c>
      <c r="K1899" s="92" t="str">
        <f>IF(AND(A1899="",B1899="",D1899="",G1899=""),"",IF(AND(A1899&lt;&gt;"",COUNTIF($A$2:$A$5001,A1899)&gt;1),"NUMERO_PC duplicado",IF(B1899="","DATA_PC vazia",IF(NOT(ISNUMBER(B1899)),"DATA_PC invalida",IF(OR(C1899="",C1899="Fora dos ciclos"),"CICLO_PC nao identificado",IF(OR(D1899="",D1899=0),"VALOR_PC vazio ou zero",IF(AND(G1899&lt;&gt;"Sim",G1899&lt;&gt;"Nao",G1899&lt;&gt;""),"PC_PAGO_A_CONTRATADA invalido",IF(AND(C1899&lt;&gt;"C0",IFERROR(INDEX(parametros!$A$2:$A$6,MATCH(C1899,parametros!$B$2:$B$6,0)),"")="Sim",IFERROR(INDEX(parametros!$H$2:$H$6,MATCH(C1899,parametros!$B$2:$B$6,0)),"")=""),"INICIO_EFEITO ausente: PC "&amp;A1899&amp;" - "&amp;C1899,IF(L1899="","EFEITO_PC nao calculado: PC "&amp;A1899&amp;" - "&amp;C1899,"OK")))))))))</f>
        <v/>
      </c>
      <c r="L1899" s="92" t="str">
        <f>IF(AND(A1899="",B1899="",D1899="",G1899=""),"",IF(OR(B1899="",NOT(ISNUMBER(B1899)),C1899="",C1899="Fora dos ciclos"),"",IF(C1899="C0","Nao",IF(IFERROR(INDEX(parametros!$A$2:$A$6,MATCH(C1899,parametros!$B$2:$B$6,0)),"")&lt;&gt;"Sim","Nao",IF(IFERROR(INDEX(parametros!$H$2:$H$6,MATCH(C1899,parametros!$B$2:$B$6,0)),"")="","",IF(B1899&gt;=IFERROR(INDEX(parametros!$H$2:$H$6,MATCH(C1899,parametros!$B$2:$B$6,0)),""),"Sim","Nao"))))))</f>
        <v/>
      </c>
      <c r="T1899" s="156"/>
      <c r="U1899" s="214" t="str">
        <f t="shared" si="151"/>
        <v/>
      </c>
      <c r="V1899" s="212" t="s">
        <v>50</v>
      </c>
      <c r="W1899" s="100" t="s">
        <v>168</v>
      </c>
      <c r="X1899" s="100" t="s">
        <v>169</v>
      </c>
      <c r="Y1899" s="101" t="s">
        <v>170</v>
      </c>
      <c r="Z1899" s="101" t="s">
        <v>171</v>
      </c>
      <c r="AA1899" s="101" t="s">
        <v>50</v>
      </c>
      <c r="AB1899" s="101" t="s">
        <v>172</v>
      </c>
      <c r="AC1899" s="102" t="s">
        <v>173</v>
      </c>
    </row>
    <row r="1900" spans="1:29" ht="25.5" customHeight="1" x14ac:dyDescent="0.35">
      <c r="A1900" s="392"/>
      <c r="B1900" s="393"/>
      <c r="C1900" s="99" t="str">
        <f>IF(B1900="","",IF(NOT(ISNUMBER(B1900)),"DATA_PC invalida",IF(NOT(ISNUMBER(parametros!$C$2)),"Fora dos ciclos",IF(OR(B1900&lt;parametros!$C$2,(YEAR(B1900)-YEAR(parametros!$C$2))*12+MONTH(B1900)-MONTH(parametros!$C$2)&gt;59),"Fora dos ciclos","C"&amp;INT(((YEAR(B1900)-YEAR(parametros!$C$2))*12+MONTH(B1900)-MONTH(parametros!$C$2))/12)))))</f>
        <v/>
      </c>
      <c r="D1900" s="394"/>
      <c r="E1900" s="78" t="str">
        <f>IF(C1900="","",IFERROR(VLOOKUP(C1900,parametros!$A$11:$E$15,5,0),""))</f>
        <v/>
      </c>
      <c r="F1900" s="79" t="str">
        <f t="shared" si="147"/>
        <v/>
      </c>
      <c r="G1900" s="395"/>
      <c r="H1900" s="91">
        <f t="shared" si="148"/>
        <v>0</v>
      </c>
      <c r="I1900" s="91" t="str">
        <f t="shared" si="149"/>
        <v/>
      </c>
      <c r="J1900" s="91" t="str">
        <f t="shared" si="150"/>
        <v/>
      </c>
      <c r="K1900" s="92" t="str">
        <f>IF(AND(A1900="",B1900="",D1900="",G1900=""),"",IF(AND(A1900&lt;&gt;"",COUNTIF($A$2:$A$5001,A1900)&gt;1),"NUMERO_PC duplicado",IF(B1900="","DATA_PC vazia",IF(NOT(ISNUMBER(B1900)),"DATA_PC invalida",IF(OR(C1900="",C1900="Fora dos ciclos"),"CICLO_PC nao identificado",IF(OR(D1900="",D1900=0),"VALOR_PC vazio ou zero",IF(AND(G1900&lt;&gt;"Sim",G1900&lt;&gt;"Nao",G1900&lt;&gt;""),"PC_PAGO_A_CONTRATADA invalido",IF(AND(C1900&lt;&gt;"C0",IFERROR(INDEX(parametros!$A$2:$A$6,MATCH(C1900,parametros!$B$2:$B$6,0)),"")="Sim",IFERROR(INDEX(parametros!$H$2:$H$6,MATCH(C1900,parametros!$B$2:$B$6,0)),"")=""),"INICIO_EFEITO ausente: PC "&amp;A1900&amp;" - "&amp;C1900,IF(L1900="","EFEITO_PC nao calculado: PC "&amp;A1900&amp;" - "&amp;C1900,"OK")))))))))</f>
        <v/>
      </c>
      <c r="L1900" s="92" t="str">
        <f>IF(AND(A1900="",B1900="",D1900="",G1900=""),"",IF(OR(B1900="",NOT(ISNUMBER(B1900)),C1900="",C1900="Fora dos ciclos"),"",IF(C1900="C0","Nao",IF(IFERROR(INDEX(parametros!$A$2:$A$6,MATCH(C1900,parametros!$B$2:$B$6,0)),"")&lt;&gt;"Sim","Nao",IF(IFERROR(INDEX(parametros!$H$2:$H$6,MATCH(C1900,parametros!$B$2:$B$6,0)),"")="","",IF(B1900&gt;=IFERROR(INDEX(parametros!$H$2:$H$6,MATCH(C1900,parametros!$B$2:$B$6,0)),""),"Sim","Nao"))))))</f>
        <v/>
      </c>
      <c r="T1900" s="156"/>
      <c r="U1900" s="214" t="str">
        <f t="shared" si="151"/>
        <v/>
      </c>
      <c r="V1900" s="212" t="s">
        <v>50</v>
      </c>
      <c r="W1900" s="100" t="s">
        <v>168</v>
      </c>
      <c r="X1900" s="100" t="s">
        <v>169</v>
      </c>
      <c r="Y1900" s="101" t="s">
        <v>170</v>
      </c>
      <c r="Z1900" s="101" t="s">
        <v>171</v>
      </c>
      <c r="AA1900" s="101" t="s">
        <v>50</v>
      </c>
      <c r="AB1900" s="101" t="s">
        <v>172</v>
      </c>
      <c r="AC1900" s="102" t="s">
        <v>173</v>
      </c>
    </row>
    <row r="1901" spans="1:29" ht="25.5" customHeight="1" x14ac:dyDescent="0.35">
      <c r="A1901" s="392"/>
      <c r="B1901" s="393"/>
      <c r="C1901" s="99" t="str">
        <f>IF(B1901="","",IF(NOT(ISNUMBER(B1901)),"DATA_PC invalida",IF(NOT(ISNUMBER(parametros!$C$2)),"Fora dos ciclos",IF(OR(B1901&lt;parametros!$C$2,(YEAR(B1901)-YEAR(parametros!$C$2))*12+MONTH(B1901)-MONTH(parametros!$C$2)&gt;59),"Fora dos ciclos","C"&amp;INT(((YEAR(B1901)-YEAR(parametros!$C$2))*12+MONTH(B1901)-MONTH(parametros!$C$2))/12)))))</f>
        <v/>
      </c>
      <c r="D1901" s="394"/>
      <c r="E1901" s="78" t="str">
        <f>IF(C1901="","",IFERROR(VLOOKUP(C1901,parametros!$A$11:$E$15,5,0),""))</f>
        <v/>
      </c>
      <c r="F1901" s="79" t="str">
        <f t="shared" si="147"/>
        <v/>
      </c>
      <c r="G1901" s="395"/>
      <c r="H1901" s="91">
        <f t="shared" si="148"/>
        <v>0</v>
      </c>
      <c r="I1901" s="91" t="str">
        <f t="shared" si="149"/>
        <v/>
      </c>
      <c r="J1901" s="91" t="str">
        <f t="shared" si="150"/>
        <v/>
      </c>
      <c r="K1901" s="92" t="str">
        <f>IF(AND(A1901="",B1901="",D1901="",G1901=""),"",IF(AND(A1901&lt;&gt;"",COUNTIF($A$2:$A$5001,A1901)&gt;1),"NUMERO_PC duplicado",IF(B1901="","DATA_PC vazia",IF(NOT(ISNUMBER(B1901)),"DATA_PC invalida",IF(OR(C1901="",C1901="Fora dos ciclos"),"CICLO_PC nao identificado",IF(OR(D1901="",D1901=0),"VALOR_PC vazio ou zero",IF(AND(G1901&lt;&gt;"Sim",G1901&lt;&gt;"Nao",G1901&lt;&gt;""),"PC_PAGO_A_CONTRATADA invalido",IF(AND(C1901&lt;&gt;"C0",IFERROR(INDEX(parametros!$A$2:$A$6,MATCH(C1901,parametros!$B$2:$B$6,0)),"")="Sim",IFERROR(INDEX(parametros!$H$2:$H$6,MATCH(C1901,parametros!$B$2:$B$6,0)),"")=""),"INICIO_EFEITO ausente: PC "&amp;A1901&amp;" - "&amp;C1901,IF(L1901="","EFEITO_PC nao calculado: PC "&amp;A1901&amp;" - "&amp;C1901,"OK")))))))))</f>
        <v/>
      </c>
      <c r="L1901" s="92" t="str">
        <f>IF(AND(A1901="",B1901="",D1901="",G1901=""),"",IF(OR(B1901="",NOT(ISNUMBER(B1901)),C1901="",C1901="Fora dos ciclos"),"",IF(C1901="C0","Nao",IF(IFERROR(INDEX(parametros!$A$2:$A$6,MATCH(C1901,parametros!$B$2:$B$6,0)),"")&lt;&gt;"Sim","Nao",IF(IFERROR(INDEX(parametros!$H$2:$H$6,MATCH(C1901,parametros!$B$2:$B$6,0)),"")="","",IF(B1901&gt;=IFERROR(INDEX(parametros!$H$2:$H$6,MATCH(C1901,parametros!$B$2:$B$6,0)),""),"Sim","Nao"))))))</f>
        <v/>
      </c>
      <c r="T1901" s="156"/>
      <c r="U1901" s="214" t="str">
        <f t="shared" si="151"/>
        <v/>
      </c>
      <c r="V1901" s="212" t="s">
        <v>50</v>
      </c>
      <c r="W1901" s="100" t="s">
        <v>168</v>
      </c>
      <c r="X1901" s="100" t="s">
        <v>169</v>
      </c>
      <c r="Y1901" s="101" t="s">
        <v>170</v>
      </c>
      <c r="Z1901" s="101" t="s">
        <v>171</v>
      </c>
      <c r="AA1901" s="101" t="s">
        <v>50</v>
      </c>
      <c r="AB1901" s="101" t="s">
        <v>172</v>
      </c>
      <c r="AC1901" s="102" t="s">
        <v>173</v>
      </c>
    </row>
    <row r="1902" spans="1:29" ht="25.5" customHeight="1" x14ac:dyDescent="0.35">
      <c r="A1902" s="392"/>
      <c r="B1902" s="393"/>
      <c r="C1902" s="99" t="str">
        <f>IF(B1902="","",IF(NOT(ISNUMBER(B1902)),"DATA_PC invalida",IF(NOT(ISNUMBER(parametros!$C$2)),"Fora dos ciclos",IF(OR(B1902&lt;parametros!$C$2,(YEAR(B1902)-YEAR(parametros!$C$2))*12+MONTH(B1902)-MONTH(parametros!$C$2)&gt;59),"Fora dos ciclos","C"&amp;INT(((YEAR(B1902)-YEAR(parametros!$C$2))*12+MONTH(B1902)-MONTH(parametros!$C$2))/12)))))</f>
        <v/>
      </c>
      <c r="D1902" s="394"/>
      <c r="E1902" s="78" t="str">
        <f>IF(C1902="","",IFERROR(VLOOKUP(C1902,parametros!$A$11:$E$15,5,0),""))</f>
        <v/>
      </c>
      <c r="F1902" s="79" t="str">
        <f t="shared" si="147"/>
        <v/>
      </c>
      <c r="G1902" s="395"/>
      <c r="H1902" s="91">
        <f t="shared" si="148"/>
        <v>0</v>
      </c>
      <c r="I1902" s="91" t="str">
        <f t="shared" si="149"/>
        <v/>
      </c>
      <c r="J1902" s="91" t="str">
        <f t="shared" si="150"/>
        <v/>
      </c>
      <c r="K1902" s="92" t="str">
        <f>IF(AND(A1902="",B1902="",D1902="",G1902=""),"",IF(AND(A1902&lt;&gt;"",COUNTIF($A$2:$A$5001,A1902)&gt;1),"NUMERO_PC duplicado",IF(B1902="","DATA_PC vazia",IF(NOT(ISNUMBER(B1902)),"DATA_PC invalida",IF(OR(C1902="",C1902="Fora dos ciclos"),"CICLO_PC nao identificado",IF(OR(D1902="",D1902=0),"VALOR_PC vazio ou zero",IF(AND(G1902&lt;&gt;"Sim",G1902&lt;&gt;"Nao",G1902&lt;&gt;""),"PC_PAGO_A_CONTRATADA invalido",IF(AND(C1902&lt;&gt;"C0",IFERROR(INDEX(parametros!$A$2:$A$6,MATCH(C1902,parametros!$B$2:$B$6,0)),"")="Sim",IFERROR(INDEX(parametros!$H$2:$H$6,MATCH(C1902,parametros!$B$2:$B$6,0)),"")=""),"INICIO_EFEITO ausente: PC "&amp;A1902&amp;" - "&amp;C1902,IF(L1902="","EFEITO_PC nao calculado: PC "&amp;A1902&amp;" - "&amp;C1902,"OK")))))))))</f>
        <v/>
      </c>
      <c r="L1902" s="92" t="str">
        <f>IF(AND(A1902="",B1902="",D1902="",G1902=""),"",IF(OR(B1902="",NOT(ISNUMBER(B1902)),C1902="",C1902="Fora dos ciclos"),"",IF(C1902="C0","Nao",IF(IFERROR(INDEX(parametros!$A$2:$A$6,MATCH(C1902,parametros!$B$2:$B$6,0)),"")&lt;&gt;"Sim","Nao",IF(IFERROR(INDEX(parametros!$H$2:$H$6,MATCH(C1902,parametros!$B$2:$B$6,0)),"")="","",IF(B1902&gt;=IFERROR(INDEX(parametros!$H$2:$H$6,MATCH(C1902,parametros!$B$2:$B$6,0)),""),"Sim","Nao"))))))</f>
        <v/>
      </c>
      <c r="T1902" s="156"/>
      <c r="U1902" s="214" t="str">
        <f t="shared" si="151"/>
        <v/>
      </c>
      <c r="V1902" s="212" t="s">
        <v>50</v>
      </c>
      <c r="W1902" s="100" t="s">
        <v>168</v>
      </c>
      <c r="X1902" s="100" t="s">
        <v>169</v>
      </c>
      <c r="Y1902" s="101" t="s">
        <v>170</v>
      </c>
      <c r="Z1902" s="101" t="s">
        <v>171</v>
      </c>
      <c r="AA1902" s="101" t="s">
        <v>50</v>
      </c>
      <c r="AB1902" s="101" t="s">
        <v>172</v>
      </c>
      <c r="AC1902" s="102" t="s">
        <v>173</v>
      </c>
    </row>
    <row r="1903" spans="1:29" ht="25.5" customHeight="1" x14ac:dyDescent="0.35">
      <c r="A1903" s="392"/>
      <c r="B1903" s="393"/>
      <c r="C1903" s="99" t="str">
        <f>IF(B1903="","",IF(NOT(ISNUMBER(B1903)),"DATA_PC invalida",IF(NOT(ISNUMBER(parametros!$C$2)),"Fora dos ciclos",IF(OR(B1903&lt;parametros!$C$2,(YEAR(B1903)-YEAR(parametros!$C$2))*12+MONTH(B1903)-MONTH(parametros!$C$2)&gt;59),"Fora dos ciclos","C"&amp;INT(((YEAR(B1903)-YEAR(parametros!$C$2))*12+MONTH(B1903)-MONTH(parametros!$C$2))/12)))))</f>
        <v/>
      </c>
      <c r="D1903" s="394"/>
      <c r="E1903" s="78" t="str">
        <f>IF(C1903="","",IFERROR(VLOOKUP(C1903,parametros!$A$11:$E$15,5,0),""))</f>
        <v/>
      </c>
      <c r="F1903" s="79" t="str">
        <f t="shared" si="147"/>
        <v/>
      </c>
      <c r="G1903" s="395"/>
      <c r="H1903" s="91">
        <f t="shared" si="148"/>
        <v>0</v>
      </c>
      <c r="I1903" s="91" t="str">
        <f t="shared" si="149"/>
        <v/>
      </c>
      <c r="J1903" s="91" t="str">
        <f t="shared" si="150"/>
        <v/>
      </c>
      <c r="K1903" s="92" t="str">
        <f>IF(AND(A1903="",B1903="",D1903="",G1903=""),"",IF(AND(A1903&lt;&gt;"",COUNTIF($A$2:$A$5001,A1903)&gt;1),"NUMERO_PC duplicado",IF(B1903="","DATA_PC vazia",IF(NOT(ISNUMBER(B1903)),"DATA_PC invalida",IF(OR(C1903="",C1903="Fora dos ciclos"),"CICLO_PC nao identificado",IF(OR(D1903="",D1903=0),"VALOR_PC vazio ou zero",IF(AND(G1903&lt;&gt;"Sim",G1903&lt;&gt;"Nao",G1903&lt;&gt;""),"PC_PAGO_A_CONTRATADA invalido",IF(AND(C1903&lt;&gt;"C0",IFERROR(INDEX(parametros!$A$2:$A$6,MATCH(C1903,parametros!$B$2:$B$6,0)),"")="Sim",IFERROR(INDEX(parametros!$H$2:$H$6,MATCH(C1903,parametros!$B$2:$B$6,0)),"")=""),"INICIO_EFEITO ausente: PC "&amp;A1903&amp;" - "&amp;C1903,IF(L1903="","EFEITO_PC nao calculado: PC "&amp;A1903&amp;" - "&amp;C1903,"OK")))))))))</f>
        <v/>
      </c>
      <c r="L1903" s="92" t="str">
        <f>IF(AND(A1903="",B1903="",D1903="",G1903=""),"",IF(OR(B1903="",NOT(ISNUMBER(B1903)),C1903="",C1903="Fora dos ciclos"),"",IF(C1903="C0","Nao",IF(IFERROR(INDEX(parametros!$A$2:$A$6,MATCH(C1903,parametros!$B$2:$B$6,0)),"")&lt;&gt;"Sim","Nao",IF(IFERROR(INDEX(parametros!$H$2:$H$6,MATCH(C1903,parametros!$B$2:$B$6,0)),"")="","",IF(B1903&gt;=IFERROR(INDEX(parametros!$H$2:$H$6,MATCH(C1903,parametros!$B$2:$B$6,0)),""),"Sim","Nao"))))))</f>
        <v/>
      </c>
      <c r="T1903" s="156"/>
      <c r="U1903" s="214" t="str">
        <f t="shared" si="151"/>
        <v/>
      </c>
      <c r="V1903" s="212" t="s">
        <v>50</v>
      </c>
      <c r="W1903" s="100" t="s">
        <v>168</v>
      </c>
      <c r="X1903" s="100" t="s">
        <v>169</v>
      </c>
      <c r="Y1903" s="101" t="s">
        <v>170</v>
      </c>
      <c r="Z1903" s="101" t="s">
        <v>171</v>
      </c>
      <c r="AA1903" s="101" t="s">
        <v>50</v>
      </c>
      <c r="AB1903" s="101" t="s">
        <v>172</v>
      </c>
      <c r="AC1903" s="102" t="s">
        <v>173</v>
      </c>
    </row>
    <row r="1904" spans="1:29" ht="25.5" customHeight="1" x14ac:dyDescent="0.35">
      <c r="A1904" s="392"/>
      <c r="B1904" s="393"/>
      <c r="C1904" s="99" t="str">
        <f>IF(B1904="","",IF(NOT(ISNUMBER(B1904)),"DATA_PC invalida",IF(NOT(ISNUMBER(parametros!$C$2)),"Fora dos ciclos",IF(OR(B1904&lt;parametros!$C$2,(YEAR(B1904)-YEAR(parametros!$C$2))*12+MONTH(B1904)-MONTH(parametros!$C$2)&gt;59),"Fora dos ciclos","C"&amp;INT(((YEAR(B1904)-YEAR(parametros!$C$2))*12+MONTH(B1904)-MONTH(parametros!$C$2))/12)))))</f>
        <v/>
      </c>
      <c r="D1904" s="394"/>
      <c r="E1904" s="78" t="str">
        <f>IF(C1904="","",IFERROR(VLOOKUP(C1904,parametros!$A$11:$E$15,5,0),""))</f>
        <v/>
      </c>
      <c r="F1904" s="79" t="str">
        <f t="shared" si="147"/>
        <v/>
      </c>
      <c r="G1904" s="395"/>
      <c r="H1904" s="91">
        <f t="shared" si="148"/>
        <v>0</v>
      </c>
      <c r="I1904" s="91" t="str">
        <f t="shared" si="149"/>
        <v/>
      </c>
      <c r="J1904" s="91" t="str">
        <f t="shared" si="150"/>
        <v/>
      </c>
      <c r="K1904" s="92" t="str">
        <f>IF(AND(A1904="",B1904="",D1904="",G1904=""),"",IF(AND(A1904&lt;&gt;"",COUNTIF($A$2:$A$5001,A1904)&gt;1),"NUMERO_PC duplicado",IF(B1904="","DATA_PC vazia",IF(NOT(ISNUMBER(B1904)),"DATA_PC invalida",IF(OR(C1904="",C1904="Fora dos ciclos"),"CICLO_PC nao identificado",IF(OR(D1904="",D1904=0),"VALOR_PC vazio ou zero",IF(AND(G1904&lt;&gt;"Sim",G1904&lt;&gt;"Nao",G1904&lt;&gt;""),"PC_PAGO_A_CONTRATADA invalido",IF(AND(C1904&lt;&gt;"C0",IFERROR(INDEX(parametros!$A$2:$A$6,MATCH(C1904,parametros!$B$2:$B$6,0)),"")="Sim",IFERROR(INDEX(parametros!$H$2:$H$6,MATCH(C1904,parametros!$B$2:$B$6,0)),"")=""),"INICIO_EFEITO ausente: PC "&amp;A1904&amp;" - "&amp;C1904,IF(L1904="","EFEITO_PC nao calculado: PC "&amp;A1904&amp;" - "&amp;C1904,"OK")))))))))</f>
        <v/>
      </c>
      <c r="L1904" s="92" t="str">
        <f>IF(AND(A1904="",B1904="",D1904="",G1904=""),"",IF(OR(B1904="",NOT(ISNUMBER(B1904)),C1904="",C1904="Fora dos ciclos"),"",IF(C1904="C0","Nao",IF(IFERROR(INDEX(parametros!$A$2:$A$6,MATCH(C1904,parametros!$B$2:$B$6,0)),"")&lt;&gt;"Sim","Nao",IF(IFERROR(INDEX(parametros!$H$2:$H$6,MATCH(C1904,parametros!$B$2:$B$6,0)),"")="","",IF(B1904&gt;=IFERROR(INDEX(parametros!$H$2:$H$6,MATCH(C1904,parametros!$B$2:$B$6,0)),""),"Sim","Nao"))))))</f>
        <v/>
      </c>
      <c r="T1904" s="156"/>
      <c r="U1904" s="214" t="str">
        <f t="shared" si="151"/>
        <v/>
      </c>
      <c r="V1904" s="212" t="s">
        <v>50</v>
      </c>
      <c r="W1904" s="100" t="s">
        <v>168</v>
      </c>
      <c r="X1904" s="100" t="s">
        <v>169</v>
      </c>
      <c r="Y1904" s="101" t="s">
        <v>170</v>
      </c>
      <c r="Z1904" s="101" t="s">
        <v>171</v>
      </c>
      <c r="AA1904" s="101" t="s">
        <v>50</v>
      </c>
      <c r="AB1904" s="101" t="s">
        <v>172</v>
      </c>
      <c r="AC1904" s="102" t="s">
        <v>173</v>
      </c>
    </row>
    <row r="1905" spans="1:29" ht="25.5" customHeight="1" x14ac:dyDescent="0.35">
      <c r="A1905" s="392"/>
      <c r="B1905" s="393"/>
      <c r="C1905" s="99" t="str">
        <f>IF(B1905="","",IF(NOT(ISNUMBER(B1905)),"DATA_PC invalida",IF(NOT(ISNUMBER(parametros!$C$2)),"Fora dos ciclos",IF(OR(B1905&lt;parametros!$C$2,(YEAR(B1905)-YEAR(parametros!$C$2))*12+MONTH(B1905)-MONTH(parametros!$C$2)&gt;59),"Fora dos ciclos","C"&amp;INT(((YEAR(B1905)-YEAR(parametros!$C$2))*12+MONTH(B1905)-MONTH(parametros!$C$2))/12)))))</f>
        <v/>
      </c>
      <c r="D1905" s="394"/>
      <c r="E1905" s="78" t="str">
        <f>IF(C1905="","",IFERROR(VLOOKUP(C1905,parametros!$A$11:$E$15,5,0),""))</f>
        <v/>
      </c>
      <c r="F1905" s="79" t="str">
        <f t="shared" si="147"/>
        <v/>
      </c>
      <c r="G1905" s="395"/>
      <c r="H1905" s="91">
        <f t="shared" si="148"/>
        <v>0</v>
      </c>
      <c r="I1905" s="91" t="str">
        <f t="shared" si="149"/>
        <v/>
      </c>
      <c r="J1905" s="91" t="str">
        <f t="shared" si="150"/>
        <v/>
      </c>
      <c r="K1905" s="92" t="str">
        <f>IF(AND(A1905="",B1905="",D1905="",G1905=""),"",IF(AND(A1905&lt;&gt;"",COUNTIF($A$2:$A$5001,A1905)&gt;1),"NUMERO_PC duplicado",IF(B1905="","DATA_PC vazia",IF(NOT(ISNUMBER(B1905)),"DATA_PC invalida",IF(OR(C1905="",C1905="Fora dos ciclos"),"CICLO_PC nao identificado",IF(OR(D1905="",D1905=0),"VALOR_PC vazio ou zero",IF(AND(G1905&lt;&gt;"Sim",G1905&lt;&gt;"Nao",G1905&lt;&gt;""),"PC_PAGO_A_CONTRATADA invalido",IF(AND(C1905&lt;&gt;"C0",IFERROR(INDEX(parametros!$A$2:$A$6,MATCH(C1905,parametros!$B$2:$B$6,0)),"")="Sim",IFERROR(INDEX(parametros!$H$2:$H$6,MATCH(C1905,parametros!$B$2:$B$6,0)),"")=""),"INICIO_EFEITO ausente: PC "&amp;A1905&amp;" - "&amp;C1905,IF(L1905="","EFEITO_PC nao calculado: PC "&amp;A1905&amp;" - "&amp;C1905,"OK")))))))))</f>
        <v/>
      </c>
      <c r="L1905" s="92" t="str">
        <f>IF(AND(A1905="",B1905="",D1905="",G1905=""),"",IF(OR(B1905="",NOT(ISNUMBER(B1905)),C1905="",C1905="Fora dos ciclos"),"",IF(C1905="C0","Nao",IF(IFERROR(INDEX(parametros!$A$2:$A$6,MATCH(C1905,parametros!$B$2:$B$6,0)),"")&lt;&gt;"Sim","Nao",IF(IFERROR(INDEX(parametros!$H$2:$H$6,MATCH(C1905,parametros!$B$2:$B$6,0)),"")="","",IF(B1905&gt;=IFERROR(INDEX(parametros!$H$2:$H$6,MATCH(C1905,parametros!$B$2:$B$6,0)),""),"Sim","Nao"))))))</f>
        <v/>
      </c>
      <c r="T1905" s="156"/>
      <c r="U1905" s="214" t="str">
        <f t="shared" si="151"/>
        <v/>
      </c>
      <c r="V1905" s="212" t="s">
        <v>50</v>
      </c>
      <c r="W1905" s="100" t="s">
        <v>168</v>
      </c>
      <c r="X1905" s="100" t="s">
        <v>169</v>
      </c>
      <c r="Y1905" s="101" t="s">
        <v>170</v>
      </c>
      <c r="Z1905" s="101" t="s">
        <v>171</v>
      </c>
      <c r="AA1905" s="101" t="s">
        <v>50</v>
      </c>
      <c r="AB1905" s="101" t="s">
        <v>172</v>
      </c>
      <c r="AC1905" s="102" t="s">
        <v>173</v>
      </c>
    </row>
    <row r="1906" spans="1:29" ht="25.5" customHeight="1" x14ac:dyDescent="0.35">
      <c r="A1906" s="392"/>
      <c r="B1906" s="393"/>
      <c r="C1906" s="99" t="str">
        <f>IF(B1906="","",IF(NOT(ISNUMBER(B1906)),"DATA_PC invalida",IF(NOT(ISNUMBER(parametros!$C$2)),"Fora dos ciclos",IF(OR(B1906&lt;parametros!$C$2,(YEAR(B1906)-YEAR(parametros!$C$2))*12+MONTH(B1906)-MONTH(parametros!$C$2)&gt;59),"Fora dos ciclos","C"&amp;INT(((YEAR(B1906)-YEAR(parametros!$C$2))*12+MONTH(B1906)-MONTH(parametros!$C$2))/12)))))</f>
        <v/>
      </c>
      <c r="D1906" s="394"/>
      <c r="E1906" s="78" t="str">
        <f>IF(C1906="","",IFERROR(VLOOKUP(C1906,parametros!$A$11:$E$15,5,0),""))</f>
        <v/>
      </c>
      <c r="F1906" s="79" t="str">
        <f t="shared" si="147"/>
        <v/>
      </c>
      <c r="G1906" s="395"/>
      <c r="H1906" s="91">
        <f t="shared" si="148"/>
        <v>0</v>
      </c>
      <c r="I1906" s="91" t="str">
        <f t="shared" si="149"/>
        <v/>
      </c>
      <c r="J1906" s="91" t="str">
        <f t="shared" si="150"/>
        <v/>
      </c>
      <c r="K1906" s="92" t="str">
        <f>IF(AND(A1906="",B1906="",D1906="",G1906=""),"",IF(AND(A1906&lt;&gt;"",COUNTIF($A$2:$A$5001,A1906)&gt;1),"NUMERO_PC duplicado",IF(B1906="","DATA_PC vazia",IF(NOT(ISNUMBER(B1906)),"DATA_PC invalida",IF(OR(C1906="",C1906="Fora dos ciclos"),"CICLO_PC nao identificado",IF(OR(D1906="",D1906=0),"VALOR_PC vazio ou zero",IF(AND(G1906&lt;&gt;"Sim",G1906&lt;&gt;"Nao",G1906&lt;&gt;""),"PC_PAGO_A_CONTRATADA invalido",IF(AND(C1906&lt;&gt;"C0",IFERROR(INDEX(parametros!$A$2:$A$6,MATCH(C1906,parametros!$B$2:$B$6,0)),"")="Sim",IFERROR(INDEX(parametros!$H$2:$H$6,MATCH(C1906,parametros!$B$2:$B$6,0)),"")=""),"INICIO_EFEITO ausente: PC "&amp;A1906&amp;" - "&amp;C1906,IF(L1906="","EFEITO_PC nao calculado: PC "&amp;A1906&amp;" - "&amp;C1906,"OK")))))))))</f>
        <v/>
      </c>
      <c r="L1906" s="92" t="str">
        <f>IF(AND(A1906="",B1906="",D1906="",G1906=""),"",IF(OR(B1906="",NOT(ISNUMBER(B1906)),C1906="",C1906="Fora dos ciclos"),"",IF(C1906="C0","Nao",IF(IFERROR(INDEX(parametros!$A$2:$A$6,MATCH(C1906,parametros!$B$2:$B$6,0)),"")&lt;&gt;"Sim","Nao",IF(IFERROR(INDEX(parametros!$H$2:$H$6,MATCH(C1906,parametros!$B$2:$B$6,0)),"")="","",IF(B1906&gt;=IFERROR(INDEX(parametros!$H$2:$H$6,MATCH(C1906,parametros!$B$2:$B$6,0)),""),"Sim","Nao"))))))</f>
        <v/>
      </c>
      <c r="T1906" s="156"/>
      <c r="U1906" s="214" t="str">
        <f t="shared" si="151"/>
        <v/>
      </c>
      <c r="V1906" s="212" t="s">
        <v>50</v>
      </c>
      <c r="W1906" s="100" t="s">
        <v>168</v>
      </c>
      <c r="X1906" s="100" t="s">
        <v>169</v>
      </c>
      <c r="Y1906" s="101" t="s">
        <v>170</v>
      </c>
      <c r="Z1906" s="101" t="s">
        <v>171</v>
      </c>
      <c r="AA1906" s="101" t="s">
        <v>50</v>
      </c>
      <c r="AB1906" s="101" t="s">
        <v>172</v>
      </c>
      <c r="AC1906" s="102" t="s">
        <v>173</v>
      </c>
    </row>
    <row r="1907" spans="1:29" ht="25.5" customHeight="1" x14ac:dyDescent="0.35">
      <c r="A1907" s="392"/>
      <c r="B1907" s="393"/>
      <c r="C1907" s="99" t="str">
        <f>IF(B1907="","",IF(NOT(ISNUMBER(B1907)),"DATA_PC invalida",IF(NOT(ISNUMBER(parametros!$C$2)),"Fora dos ciclos",IF(OR(B1907&lt;parametros!$C$2,(YEAR(B1907)-YEAR(parametros!$C$2))*12+MONTH(B1907)-MONTH(parametros!$C$2)&gt;59),"Fora dos ciclos","C"&amp;INT(((YEAR(B1907)-YEAR(parametros!$C$2))*12+MONTH(B1907)-MONTH(parametros!$C$2))/12)))))</f>
        <v/>
      </c>
      <c r="D1907" s="394"/>
      <c r="E1907" s="78" t="str">
        <f>IF(C1907="","",IFERROR(VLOOKUP(C1907,parametros!$A$11:$E$15,5,0),""))</f>
        <v/>
      </c>
      <c r="F1907" s="79" t="str">
        <f t="shared" si="147"/>
        <v/>
      </c>
      <c r="G1907" s="395"/>
      <c r="H1907" s="91">
        <f t="shared" si="148"/>
        <v>0</v>
      </c>
      <c r="I1907" s="91" t="str">
        <f t="shared" si="149"/>
        <v/>
      </c>
      <c r="J1907" s="91" t="str">
        <f t="shared" si="150"/>
        <v/>
      </c>
      <c r="K1907" s="92" t="str">
        <f>IF(AND(A1907="",B1907="",D1907="",G1907=""),"",IF(AND(A1907&lt;&gt;"",COUNTIF($A$2:$A$5001,A1907)&gt;1),"NUMERO_PC duplicado",IF(B1907="","DATA_PC vazia",IF(NOT(ISNUMBER(B1907)),"DATA_PC invalida",IF(OR(C1907="",C1907="Fora dos ciclos"),"CICLO_PC nao identificado",IF(OR(D1907="",D1907=0),"VALOR_PC vazio ou zero",IF(AND(G1907&lt;&gt;"Sim",G1907&lt;&gt;"Nao",G1907&lt;&gt;""),"PC_PAGO_A_CONTRATADA invalido",IF(AND(C1907&lt;&gt;"C0",IFERROR(INDEX(parametros!$A$2:$A$6,MATCH(C1907,parametros!$B$2:$B$6,0)),"")="Sim",IFERROR(INDEX(parametros!$H$2:$H$6,MATCH(C1907,parametros!$B$2:$B$6,0)),"")=""),"INICIO_EFEITO ausente: PC "&amp;A1907&amp;" - "&amp;C1907,IF(L1907="","EFEITO_PC nao calculado: PC "&amp;A1907&amp;" - "&amp;C1907,"OK")))))))))</f>
        <v/>
      </c>
      <c r="L1907" s="92" t="str">
        <f>IF(AND(A1907="",B1907="",D1907="",G1907=""),"",IF(OR(B1907="",NOT(ISNUMBER(B1907)),C1907="",C1907="Fora dos ciclos"),"",IF(C1907="C0","Nao",IF(IFERROR(INDEX(parametros!$A$2:$A$6,MATCH(C1907,parametros!$B$2:$B$6,0)),"")&lt;&gt;"Sim","Nao",IF(IFERROR(INDEX(parametros!$H$2:$H$6,MATCH(C1907,parametros!$B$2:$B$6,0)),"")="","",IF(B1907&gt;=IFERROR(INDEX(parametros!$H$2:$H$6,MATCH(C1907,parametros!$B$2:$B$6,0)),""),"Sim","Nao"))))))</f>
        <v/>
      </c>
      <c r="T1907" s="156"/>
      <c r="U1907" s="214" t="str">
        <f t="shared" si="151"/>
        <v/>
      </c>
      <c r="V1907" s="212" t="s">
        <v>50</v>
      </c>
      <c r="W1907" s="100" t="s">
        <v>168</v>
      </c>
      <c r="X1907" s="100" t="s">
        <v>169</v>
      </c>
      <c r="Y1907" s="101" t="s">
        <v>170</v>
      </c>
      <c r="Z1907" s="101" t="s">
        <v>171</v>
      </c>
      <c r="AA1907" s="101" t="s">
        <v>50</v>
      </c>
      <c r="AB1907" s="101" t="s">
        <v>172</v>
      </c>
      <c r="AC1907" s="102" t="s">
        <v>173</v>
      </c>
    </row>
    <row r="1908" spans="1:29" ht="25.5" customHeight="1" x14ac:dyDescent="0.35">
      <c r="A1908" s="392"/>
      <c r="B1908" s="393"/>
      <c r="C1908" s="99" t="str">
        <f>IF(B1908="","",IF(NOT(ISNUMBER(B1908)),"DATA_PC invalida",IF(NOT(ISNUMBER(parametros!$C$2)),"Fora dos ciclos",IF(OR(B1908&lt;parametros!$C$2,(YEAR(B1908)-YEAR(parametros!$C$2))*12+MONTH(B1908)-MONTH(parametros!$C$2)&gt;59),"Fora dos ciclos","C"&amp;INT(((YEAR(B1908)-YEAR(parametros!$C$2))*12+MONTH(B1908)-MONTH(parametros!$C$2))/12)))))</f>
        <v/>
      </c>
      <c r="D1908" s="394"/>
      <c r="E1908" s="78" t="str">
        <f>IF(C1908="","",IFERROR(VLOOKUP(C1908,parametros!$A$11:$E$15,5,0),""))</f>
        <v/>
      </c>
      <c r="F1908" s="79" t="str">
        <f t="shared" si="147"/>
        <v/>
      </c>
      <c r="G1908" s="395"/>
      <c r="H1908" s="91">
        <f t="shared" si="148"/>
        <v>0</v>
      </c>
      <c r="I1908" s="91" t="str">
        <f t="shared" si="149"/>
        <v/>
      </c>
      <c r="J1908" s="91" t="str">
        <f t="shared" si="150"/>
        <v/>
      </c>
      <c r="K1908" s="92" t="str">
        <f>IF(AND(A1908="",B1908="",D1908="",G1908=""),"",IF(AND(A1908&lt;&gt;"",COUNTIF($A$2:$A$5001,A1908)&gt;1),"NUMERO_PC duplicado",IF(B1908="","DATA_PC vazia",IF(NOT(ISNUMBER(B1908)),"DATA_PC invalida",IF(OR(C1908="",C1908="Fora dos ciclos"),"CICLO_PC nao identificado",IF(OR(D1908="",D1908=0),"VALOR_PC vazio ou zero",IF(AND(G1908&lt;&gt;"Sim",G1908&lt;&gt;"Nao",G1908&lt;&gt;""),"PC_PAGO_A_CONTRATADA invalido",IF(AND(C1908&lt;&gt;"C0",IFERROR(INDEX(parametros!$A$2:$A$6,MATCH(C1908,parametros!$B$2:$B$6,0)),"")="Sim",IFERROR(INDEX(parametros!$H$2:$H$6,MATCH(C1908,parametros!$B$2:$B$6,0)),"")=""),"INICIO_EFEITO ausente: PC "&amp;A1908&amp;" - "&amp;C1908,IF(L1908="","EFEITO_PC nao calculado: PC "&amp;A1908&amp;" - "&amp;C1908,"OK")))))))))</f>
        <v/>
      </c>
      <c r="L1908" s="92" t="str">
        <f>IF(AND(A1908="",B1908="",D1908="",G1908=""),"",IF(OR(B1908="",NOT(ISNUMBER(B1908)),C1908="",C1908="Fora dos ciclos"),"",IF(C1908="C0","Nao",IF(IFERROR(INDEX(parametros!$A$2:$A$6,MATCH(C1908,parametros!$B$2:$B$6,0)),"")&lt;&gt;"Sim","Nao",IF(IFERROR(INDEX(parametros!$H$2:$H$6,MATCH(C1908,parametros!$B$2:$B$6,0)),"")="","",IF(B1908&gt;=IFERROR(INDEX(parametros!$H$2:$H$6,MATCH(C1908,parametros!$B$2:$B$6,0)),""),"Sim","Nao"))))))</f>
        <v/>
      </c>
      <c r="T1908" s="156"/>
      <c r="U1908" s="214" t="str">
        <f t="shared" si="151"/>
        <v/>
      </c>
      <c r="V1908" s="212" t="s">
        <v>50</v>
      </c>
      <c r="W1908" s="100" t="s">
        <v>168</v>
      </c>
      <c r="X1908" s="100" t="s">
        <v>169</v>
      </c>
      <c r="Y1908" s="101" t="s">
        <v>170</v>
      </c>
      <c r="Z1908" s="101" t="s">
        <v>171</v>
      </c>
      <c r="AA1908" s="101" t="s">
        <v>50</v>
      </c>
      <c r="AB1908" s="101" t="s">
        <v>172</v>
      </c>
      <c r="AC1908" s="102" t="s">
        <v>173</v>
      </c>
    </row>
    <row r="1909" spans="1:29" ht="25.5" customHeight="1" x14ac:dyDescent="0.35">
      <c r="A1909" s="392"/>
      <c r="B1909" s="393"/>
      <c r="C1909" s="99" t="str">
        <f>IF(B1909="","",IF(NOT(ISNUMBER(B1909)),"DATA_PC invalida",IF(NOT(ISNUMBER(parametros!$C$2)),"Fora dos ciclos",IF(OR(B1909&lt;parametros!$C$2,(YEAR(B1909)-YEAR(parametros!$C$2))*12+MONTH(B1909)-MONTH(parametros!$C$2)&gt;59),"Fora dos ciclos","C"&amp;INT(((YEAR(B1909)-YEAR(parametros!$C$2))*12+MONTH(B1909)-MONTH(parametros!$C$2))/12)))))</f>
        <v/>
      </c>
      <c r="D1909" s="394"/>
      <c r="E1909" s="78" t="str">
        <f>IF(C1909="","",IFERROR(VLOOKUP(C1909,parametros!$A$11:$E$15,5,0),""))</f>
        <v/>
      </c>
      <c r="F1909" s="79" t="str">
        <f t="shared" si="147"/>
        <v/>
      </c>
      <c r="G1909" s="395"/>
      <c r="H1909" s="91">
        <f t="shared" si="148"/>
        <v>0</v>
      </c>
      <c r="I1909" s="91" t="str">
        <f t="shared" si="149"/>
        <v/>
      </c>
      <c r="J1909" s="91" t="str">
        <f t="shared" si="150"/>
        <v/>
      </c>
      <c r="K1909" s="92" t="str">
        <f>IF(AND(A1909="",B1909="",D1909="",G1909=""),"",IF(AND(A1909&lt;&gt;"",COUNTIF($A$2:$A$5001,A1909)&gt;1),"NUMERO_PC duplicado",IF(B1909="","DATA_PC vazia",IF(NOT(ISNUMBER(B1909)),"DATA_PC invalida",IF(OR(C1909="",C1909="Fora dos ciclos"),"CICLO_PC nao identificado",IF(OR(D1909="",D1909=0),"VALOR_PC vazio ou zero",IF(AND(G1909&lt;&gt;"Sim",G1909&lt;&gt;"Nao",G1909&lt;&gt;""),"PC_PAGO_A_CONTRATADA invalido",IF(AND(C1909&lt;&gt;"C0",IFERROR(INDEX(parametros!$A$2:$A$6,MATCH(C1909,parametros!$B$2:$B$6,0)),"")="Sim",IFERROR(INDEX(parametros!$H$2:$H$6,MATCH(C1909,parametros!$B$2:$B$6,0)),"")=""),"INICIO_EFEITO ausente: PC "&amp;A1909&amp;" - "&amp;C1909,IF(L1909="","EFEITO_PC nao calculado: PC "&amp;A1909&amp;" - "&amp;C1909,"OK")))))))))</f>
        <v/>
      </c>
      <c r="L1909" s="92" t="str">
        <f>IF(AND(A1909="",B1909="",D1909="",G1909=""),"",IF(OR(B1909="",NOT(ISNUMBER(B1909)),C1909="",C1909="Fora dos ciclos"),"",IF(C1909="C0","Nao",IF(IFERROR(INDEX(parametros!$A$2:$A$6,MATCH(C1909,parametros!$B$2:$B$6,0)),"")&lt;&gt;"Sim","Nao",IF(IFERROR(INDEX(parametros!$H$2:$H$6,MATCH(C1909,parametros!$B$2:$B$6,0)),"")="","",IF(B1909&gt;=IFERROR(INDEX(parametros!$H$2:$H$6,MATCH(C1909,parametros!$B$2:$B$6,0)),""),"Sim","Nao"))))))</f>
        <v/>
      </c>
      <c r="T1909" s="156"/>
      <c r="U1909" s="214" t="str">
        <f t="shared" si="151"/>
        <v/>
      </c>
      <c r="V1909" s="212" t="s">
        <v>50</v>
      </c>
      <c r="W1909" s="100" t="s">
        <v>168</v>
      </c>
      <c r="X1909" s="100" t="s">
        <v>169</v>
      </c>
      <c r="Y1909" s="101" t="s">
        <v>170</v>
      </c>
      <c r="Z1909" s="101" t="s">
        <v>171</v>
      </c>
      <c r="AA1909" s="101" t="s">
        <v>50</v>
      </c>
      <c r="AB1909" s="101" t="s">
        <v>172</v>
      </c>
      <c r="AC1909" s="102" t="s">
        <v>173</v>
      </c>
    </row>
    <row r="1910" spans="1:29" ht="25.5" customHeight="1" x14ac:dyDescent="0.35">
      <c r="A1910" s="392"/>
      <c r="B1910" s="393"/>
      <c r="C1910" s="99" t="str">
        <f>IF(B1910="","",IF(NOT(ISNUMBER(B1910)),"DATA_PC invalida",IF(NOT(ISNUMBER(parametros!$C$2)),"Fora dos ciclos",IF(OR(B1910&lt;parametros!$C$2,(YEAR(B1910)-YEAR(parametros!$C$2))*12+MONTH(B1910)-MONTH(parametros!$C$2)&gt;59),"Fora dos ciclos","C"&amp;INT(((YEAR(B1910)-YEAR(parametros!$C$2))*12+MONTH(B1910)-MONTH(parametros!$C$2))/12)))))</f>
        <v/>
      </c>
      <c r="D1910" s="394"/>
      <c r="E1910" s="78" t="str">
        <f>IF(C1910="","",IFERROR(VLOOKUP(C1910,parametros!$A$11:$E$15,5,0),""))</f>
        <v/>
      </c>
      <c r="F1910" s="79" t="str">
        <f t="shared" si="147"/>
        <v/>
      </c>
      <c r="G1910" s="395"/>
      <c r="H1910" s="91">
        <f t="shared" si="148"/>
        <v>0</v>
      </c>
      <c r="I1910" s="91" t="str">
        <f t="shared" si="149"/>
        <v/>
      </c>
      <c r="J1910" s="91" t="str">
        <f t="shared" si="150"/>
        <v/>
      </c>
      <c r="K1910" s="92" t="str">
        <f>IF(AND(A1910="",B1910="",D1910="",G1910=""),"",IF(AND(A1910&lt;&gt;"",COUNTIF($A$2:$A$5001,A1910)&gt;1),"NUMERO_PC duplicado",IF(B1910="","DATA_PC vazia",IF(NOT(ISNUMBER(B1910)),"DATA_PC invalida",IF(OR(C1910="",C1910="Fora dos ciclos"),"CICLO_PC nao identificado",IF(OR(D1910="",D1910=0),"VALOR_PC vazio ou zero",IF(AND(G1910&lt;&gt;"Sim",G1910&lt;&gt;"Nao",G1910&lt;&gt;""),"PC_PAGO_A_CONTRATADA invalido",IF(AND(C1910&lt;&gt;"C0",IFERROR(INDEX(parametros!$A$2:$A$6,MATCH(C1910,parametros!$B$2:$B$6,0)),"")="Sim",IFERROR(INDEX(parametros!$H$2:$H$6,MATCH(C1910,parametros!$B$2:$B$6,0)),"")=""),"INICIO_EFEITO ausente: PC "&amp;A1910&amp;" - "&amp;C1910,IF(L1910="","EFEITO_PC nao calculado: PC "&amp;A1910&amp;" - "&amp;C1910,"OK")))))))))</f>
        <v/>
      </c>
      <c r="L1910" s="92" t="str">
        <f>IF(AND(A1910="",B1910="",D1910="",G1910=""),"",IF(OR(B1910="",NOT(ISNUMBER(B1910)),C1910="",C1910="Fora dos ciclos"),"",IF(C1910="C0","Nao",IF(IFERROR(INDEX(parametros!$A$2:$A$6,MATCH(C1910,parametros!$B$2:$B$6,0)),"")&lt;&gt;"Sim","Nao",IF(IFERROR(INDEX(parametros!$H$2:$H$6,MATCH(C1910,parametros!$B$2:$B$6,0)),"")="","",IF(B1910&gt;=IFERROR(INDEX(parametros!$H$2:$H$6,MATCH(C1910,parametros!$B$2:$B$6,0)),""),"Sim","Nao"))))))</f>
        <v/>
      </c>
      <c r="T1910" s="156"/>
      <c r="U1910" s="214" t="str">
        <f t="shared" si="151"/>
        <v/>
      </c>
      <c r="V1910" s="212" t="s">
        <v>50</v>
      </c>
      <c r="W1910" s="100" t="s">
        <v>168</v>
      </c>
      <c r="X1910" s="100" t="s">
        <v>169</v>
      </c>
      <c r="Y1910" s="101" t="s">
        <v>170</v>
      </c>
      <c r="Z1910" s="101" t="s">
        <v>171</v>
      </c>
      <c r="AA1910" s="101" t="s">
        <v>50</v>
      </c>
      <c r="AB1910" s="101" t="s">
        <v>172</v>
      </c>
      <c r="AC1910" s="102" t="s">
        <v>173</v>
      </c>
    </row>
    <row r="1911" spans="1:29" ht="25.5" customHeight="1" x14ac:dyDescent="0.35">
      <c r="A1911" s="392"/>
      <c r="B1911" s="393"/>
      <c r="C1911" s="99" t="str">
        <f>IF(B1911="","",IF(NOT(ISNUMBER(B1911)),"DATA_PC invalida",IF(NOT(ISNUMBER(parametros!$C$2)),"Fora dos ciclos",IF(OR(B1911&lt;parametros!$C$2,(YEAR(B1911)-YEAR(parametros!$C$2))*12+MONTH(B1911)-MONTH(parametros!$C$2)&gt;59),"Fora dos ciclos","C"&amp;INT(((YEAR(B1911)-YEAR(parametros!$C$2))*12+MONTH(B1911)-MONTH(parametros!$C$2))/12)))))</f>
        <v/>
      </c>
      <c r="D1911" s="394"/>
      <c r="E1911" s="78" t="str">
        <f>IF(C1911="","",IFERROR(VLOOKUP(C1911,parametros!$A$11:$E$15,5,0),""))</f>
        <v/>
      </c>
      <c r="F1911" s="79" t="str">
        <f t="shared" si="147"/>
        <v/>
      </c>
      <c r="G1911" s="395"/>
      <c r="H1911" s="91">
        <f t="shared" si="148"/>
        <v>0</v>
      </c>
      <c r="I1911" s="91" t="str">
        <f t="shared" si="149"/>
        <v/>
      </c>
      <c r="J1911" s="91" t="str">
        <f t="shared" si="150"/>
        <v/>
      </c>
      <c r="K1911" s="92" t="str">
        <f>IF(AND(A1911="",B1911="",D1911="",G1911=""),"",IF(AND(A1911&lt;&gt;"",COUNTIF($A$2:$A$5001,A1911)&gt;1),"NUMERO_PC duplicado",IF(B1911="","DATA_PC vazia",IF(NOT(ISNUMBER(B1911)),"DATA_PC invalida",IF(OR(C1911="",C1911="Fora dos ciclos"),"CICLO_PC nao identificado",IF(OR(D1911="",D1911=0),"VALOR_PC vazio ou zero",IF(AND(G1911&lt;&gt;"Sim",G1911&lt;&gt;"Nao",G1911&lt;&gt;""),"PC_PAGO_A_CONTRATADA invalido",IF(AND(C1911&lt;&gt;"C0",IFERROR(INDEX(parametros!$A$2:$A$6,MATCH(C1911,parametros!$B$2:$B$6,0)),"")="Sim",IFERROR(INDEX(parametros!$H$2:$H$6,MATCH(C1911,parametros!$B$2:$B$6,0)),"")=""),"INICIO_EFEITO ausente: PC "&amp;A1911&amp;" - "&amp;C1911,IF(L1911="","EFEITO_PC nao calculado: PC "&amp;A1911&amp;" - "&amp;C1911,"OK")))))))))</f>
        <v/>
      </c>
      <c r="L1911" s="92" t="str">
        <f>IF(AND(A1911="",B1911="",D1911="",G1911=""),"",IF(OR(B1911="",NOT(ISNUMBER(B1911)),C1911="",C1911="Fora dos ciclos"),"",IF(C1911="C0","Nao",IF(IFERROR(INDEX(parametros!$A$2:$A$6,MATCH(C1911,parametros!$B$2:$B$6,0)),"")&lt;&gt;"Sim","Nao",IF(IFERROR(INDEX(parametros!$H$2:$H$6,MATCH(C1911,parametros!$B$2:$B$6,0)),"")="","",IF(B1911&gt;=IFERROR(INDEX(parametros!$H$2:$H$6,MATCH(C1911,parametros!$B$2:$B$6,0)),""),"Sim","Nao"))))))</f>
        <v/>
      </c>
      <c r="T1911" s="156"/>
      <c r="U1911" s="214" t="str">
        <f t="shared" si="151"/>
        <v/>
      </c>
      <c r="V1911" s="212" t="s">
        <v>50</v>
      </c>
      <c r="W1911" s="100" t="s">
        <v>168</v>
      </c>
      <c r="X1911" s="100" t="s">
        <v>169</v>
      </c>
      <c r="Y1911" s="101" t="s">
        <v>170</v>
      </c>
      <c r="Z1911" s="101" t="s">
        <v>171</v>
      </c>
      <c r="AA1911" s="101" t="s">
        <v>50</v>
      </c>
      <c r="AB1911" s="101" t="s">
        <v>172</v>
      </c>
      <c r="AC1911" s="102" t="s">
        <v>173</v>
      </c>
    </row>
    <row r="1912" spans="1:29" ht="25.5" customHeight="1" x14ac:dyDescent="0.35">
      <c r="A1912" s="392"/>
      <c r="B1912" s="393"/>
      <c r="C1912" s="99" t="str">
        <f>IF(B1912="","",IF(NOT(ISNUMBER(B1912)),"DATA_PC invalida",IF(NOT(ISNUMBER(parametros!$C$2)),"Fora dos ciclos",IF(OR(B1912&lt;parametros!$C$2,(YEAR(B1912)-YEAR(parametros!$C$2))*12+MONTH(B1912)-MONTH(parametros!$C$2)&gt;59),"Fora dos ciclos","C"&amp;INT(((YEAR(B1912)-YEAR(parametros!$C$2))*12+MONTH(B1912)-MONTH(parametros!$C$2))/12)))))</f>
        <v/>
      </c>
      <c r="D1912" s="394"/>
      <c r="E1912" s="78" t="str">
        <f>IF(C1912="","",IFERROR(VLOOKUP(C1912,parametros!$A$11:$E$15,5,0),""))</f>
        <v/>
      </c>
      <c r="F1912" s="79" t="str">
        <f t="shared" si="147"/>
        <v/>
      </c>
      <c r="G1912" s="395"/>
      <c r="H1912" s="91">
        <f t="shared" si="148"/>
        <v>0</v>
      </c>
      <c r="I1912" s="91" t="str">
        <f t="shared" si="149"/>
        <v/>
      </c>
      <c r="J1912" s="91" t="str">
        <f t="shared" si="150"/>
        <v/>
      </c>
      <c r="K1912" s="92" t="str">
        <f>IF(AND(A1912="",B1912="",D1912="",G1912=""),"",IF(AND(A1912&lt;&gt;"",COUNTIF($A$2:$A$5001,A1912)&gt;1),"NUMERO_PC duplicado",IF(B1912="","DATA_PC vazia",IF(NOT(ISNUMBER(B1912)),"DATA_PC invalida",IF(OR(C1912="",C1912="Fora dos ciclos"),"CICLO_PC nao identificado",IF(OR(D1912="",D1912=0),"VALOR_PC vazio ou zero",IF(AND(G1912&lt;&gt;"Sim",G1912&lt;&gt;"Nao",G1912&lt;&gt;""),"PC_PAGO_A_CONTRATADA invalido",IF(AND(C1912&lt;&gt;"C0",IFERROR(INDEX(parametros!$A$2:$A$6,MATCH(C1912,parametros!$B$2:$B$6,0)),"")="Sim",IFERROR(INDEX(parametros!$H$2:$H$6,MATCH(C1912,parametros!$B$2:$B$6,0)),"")=""),"INICIO_EFEITO ausente: PC "&amp;A1912&amp;" - "&amp;C1912,IF(L1912="","EFEITO_PC nao calculado: PC "&amp;A1912&amp;" - "&amp;C1912,"OK")))))))))</f>
        <v/>
      </c>
      <c r="L1912" s="92" t="str">
        <f>IF(AND(A1912="",B1912="",D1912="",G1912=""),"",IF(OR(B1912="",NOT(ISNUMBER(B1912)),C1912="",C1912="Fora dos ciclos"),"",IF(C1912="C0","Nao",IF(IFERROR(INDEX(parametros!$A$2:$A$6,MATCH(C1912,parametros!$B$2:$B$6,0)),"")&lt;&gt;"Sim","Nao",IF(IFERROR(INDEX(parametros!$H$2:$H$6,MATCH(C1912,parametros!$B$2:$B$6,0)),"")="","",IF(B1912&gt;=IFERROR(INDEX(parametros!$H$2:$H$6,MATCH(C1912,parametros!$B$2:$B$6,0)),""),"Sim","Nao"))))))</f>
        <v/>
      </c>
      <c r="T1912" s="156"/>
      <c r="U1912" s="214" t="str">
        <f t="shared" si="151"/>
        <v/>
      </c>
      <c r="V1912" s="212" t="s">
        <v>50</v>
      </c>
      <c r="W1912" s="100" t="s">
        <v>168</v>
      </c>
      <c r="X1912" s="100" t="s">
        <v>169</v>
      </c>
      <c r="Y1912" s="101" t="s">
        <v>170</v>
      </c>
      <c r="Z1912" s="101" t="s">
        <v>171</v>
      </c>
      <c r="AA1912" s="101" t="s">
        <v>50</v>
      </c>
      <c r="AB1912" s="101" t="s">
        <v>172</v>
      </c>
      <c r="AC1912" s="102" t="s">
        <v>173</v>
      </c>
    </row>
    <row r="1913" spans="1:29" ht="25.5" customHeight="1" x14ac:dyDescent="0.35">
      <c r="A1913" s="392"/>
      <c r="B1913" s="393"/>
      <c r="C1913" s="99" t="str">
        <f>IF(B1913="","",IF(NOT(ISNUMBER(B1913)),"DATA_PC invalida",IF(NOT(ISNUMBER(parametros!$C$2)),"Fora dos ciclos",IF(OR(B1913&lt;parametros!$C$2,(YEAR(B1913)-YEAR(parametros!$C$2))*12+MONTH(B1913)-MONTH(parametros!$C$2)&gt;59),"Fora dos ciclos","C"&amp;INT(((YEAR(B1913)-YEAR(parametros!$C$2))*12+MONTH(B1913)-MONTH(parametros!$C$2))/12)))))</f>
        <v/>
      </c>
      <c r="D1913" s="394"/>
      <c r="E1913" s="78" t="str">
        <f>IF(C1913="","",IFERROR(VLOOKUP(C1913,parametros!$A$11:$E$15,5,0),""))</f>
        <v/>
      </c>
      <c r="F1913" s="79" t="str">
        <f t="shared" si="147"/>
        <v/>
      </c>
      <c r="G1913" s="395"/>
      <c r="H1913" s="91">
        <f t="shared" si="148"/>
        <v>0</v>
      </c>
      <c r="I1913" s="91" t="str">
        <f t="shared" si="149"/>
        <v/>
      </c>
      <c r="J1913" s="91" t="str">
        <f t="shared" si="150"/>
        <v/>
      </c>
      <c r="K1913" s="92" t="str">
        <f>IF(AND(A1913="",B1913="",D1913="",G1913=""),"",IF(AND(A1913&lt;&gt;"",COUNTIF($A$2:$A$5001,A1913)&gt;1),"NUMERO_PC duplicado",IF(B1913="","DATA_PC vazia",IF(NOT(ISNUMBER(B1913)),"DATA_PC invalida",IF(OR(C1913="",C1913="Fora dos ciclos"),"CICLO_PC nao identificado",IF(OR(D1913="",D1913=0),"VALOR_PC vazio ou zero",IF(AND(G1913&lt;&gt;"Sim",G1913&lt;&gt;"Nao",G1913&lt;&gt;""),"PC_PAGO_A_CONTRATADA invalido",IF(AND(C1913&lt;&gt;"C0",IFERROR(INDEX(parametros!$A$2:$A$6,MATCH(C1913,parametros!$B$2:$B$6,0)),"")="Sim",IFERROR(INDEX(parametros!$H$2:$H$6,MATCH(C1913,parametros!$B$2:$B$6,0)),"")=""),"INICIO_EFEITO ausente: PC "&amp;A1913&amp;" - "&amp;C1913,IF(L1913="","EFEITO_PC nao calculado: PC "&amp;A1913&amp;" - "&amp;C1913,"OK")))))))))</f>
        <v/>
      </c>
      <c r="L1913" s="92" t="str">
        <f>IF(AND(A1913="",B1913="",D1913="",G1913=""),"",IF(OR(B1913="",NOT(ISNUMBER(B1913)),C1913="",C1913="Fora dos ciclos"),"",IF(C1913="C0","Nao",IF(IFERROR(INDEX(parametros!$A$2:$A$6,MATCH(C1913,parametros!$B$2:$B$6,0)),"")&lt;&gt;"Sim","Nao",IF(IFERROR(INDEX(parametros!$H$2:$H$6,MATCH(C1913,parametros!$B$2:$B$6,0)),"")="","",IF(B1913&gt;=IFERROR(INDEX(parametros!$H$2:$H$6,MATCH(C1913,parametros!$B$2:$B$6,0)),""),"Sim","Nao"))))))</f>
        <v/>
      </c>
      <c r="T1913" s="156"/>
      <c r="U1913" s="214" t="str">
        <f t="shared" si="151"/>
        <v/>
      </c>
      <c r="V1913" s="212" t="s">
        <v>50</v>
      </c>
      <c r="W1913" s="100" t="s">
        <v>168</v>
      </c>
      <c r="X1913" s="100" t="s">
        <v>169</v>
      </c>
      <c r="Y1913" s="101" t="s">
        <v>170</v>
      </c>
      <c r="Z1913" s="101" t="s">
        <v>171</v>
      </c>
      <c r="AA1913" s="101" t="s">
        <v>50</v>
      </c>
      <c r="AB1913" s="101" t="s">
        <v>172</v>
      </c>
      <c r="AC1913" s="102" t="s">
        <v>173</v>
      </c>
    </row>
    <row r="1914" spans="1:29" ht="25.5" customHeight="1" x14ac:dyDescent="0.35">
      <c r="A1914" s="392"/>
      <c r="B1914" s="393"/>
      <c r="C1914" s="99" t="str">
        <f>IF(B1914="","",IF(NOT(ISNUMBER(B1914)),"DATA_PC invalida",IF(NOT(ISNUMBER(parametros!$C$2)),"Fora dos ciclos",IF(OR(B1914&lt;parametros!$C$2,(YEAR(B1914)-YEAR(parametros!$C$2))*12+MONTH(B1914)-MONTH(parametros!$C$2)&gt;59),"Fora dos ciclos","C"&amp;INT(((YEAR(B1914)-YEAR(parametros!$C$2))*12+MONTH(B1914)-MONTH(parametros!$C$2))/12)))))</f>
        <v/>
      </c>
      <c r="D1914" s="394"/>
      <c r="E1914" s="78" t="str">
        <f>IF(C1914="","",IFERROR(VLOOKUP(C1914,parametros!$A$11:$E$15,5,0),""))</f>
        <v/>
      </c>
      <c r="F1914" s="79" t="str">
        <f t="shared" si="147"/>
        <v/>
      </c>
      <c r="G1914" s="395"/>
      <c r="H1914" s="91">
        <f t="shared" si="148"/>
        <v>0</v>
      </c>
      <c r="I1914" s="91" t="str">
        <f t="shared" si="149"/>
        <v/>
      </c>
      <c r="J1914" s="91" t="str">
        <f t="shared" si="150"/>
        <v/>
      </c>
      <c r="K1914" s="92" t="str">
        <f>IF(AND(A1914="",B1914="",D1914="",G1914=""),"",IF(AND(A1914&lt;&gt;"",COUNTIF($A$2:$A$5001,A1914)&gt;1),"NUMERO_PC duplicado",IF(B1914="","DATA_PC vazia",IF(NOT(ISNUMBER(B1914)),"DATA_PC invalida",IF(OR(C1914="",C1914="Fora dos ciclos"),"CICLO_PC nao identificado",IF(OR(D1914="",D1914=0),"VALOR_PC vazio ou zero",IF(AND(G1914&lt;&gt;"Sim",G1914&lt;&gt;"Nao",G1914&lt;&gt;""),"PC_PAGO_A_CONTRATADA invalido",IF(AND(C1914&lt;&gt;"C0",IFERROR(INDEX(parametros!$A$2:$A$6,MATCH(C1914,parametros!$B$2:$B$6,0)),"")="Sim",IFERROR(INDEX(parametros!$H$2:$H$6,MATCH(C1914,parametros!$B$2:$B$6,0)),"")=""),"INICIO_EFEITO ausente: PC "&amp;A1914&amp;" - "&amp;C1914,IF(L1914="","EFEITO_PC nao calculado: PC "&amp;A1914&amp;" - "&amp;C1914,"OK")))))))))</f>
        <v/>
      </c>
      <c r="L1914" s="92" t="str">
        <f>IF(AND(A1914="",B1914="",D1914="",G1914=""),"",IF(OR(B1914="",NOT(ISNUMBER(B1914)),C1914="",C1914="Fora dos ciclos"),"",IF(C1914="C0","Nao",IF(IFERROR(INDEX(parametros!$A$2:$A$6,MATCH(C1914,parametros!$B$2:$B$6,0)),"")&lt;&gt;"Sim","Nao",IF(IFERROR(INDEX(parametros!$H$2:$H$6,MATCH(C1914,parametros!$B$2:$B$6,0)),"")="","",IF(B1914&gt;=IFERROR(INDEX(parametros!$H$2:$H$6,MATCH(C1914,parametros!$B$2:$B$6,0)),""),"Sim","Nao"))))))</f>
        <v/>
      </c>
      <c r="T1914" s="156"/>
      <c r="U1914" s="214" t="str">
        <f t="shared" si="151"/>
        <v/>
      </c>
      <c r="V1914" s="212" t="s">
        <v>50</v>
      </c>
      <c r="W1914" s="100" t="s">
        <v>168</v>
      </c>
      <c r="X1914" s="100" t="s">
        <v>169</v>
      </c>
      <c r="Y1914" s="101" t="s">
        <v>170</v>
      </c>
      <c r="Z1914" s="101" t="s">
        <v>171</v>
      </c>
      <c r="AA1914" s="101" t="s">
        <v>50</v>
      </c>
      <c r="AB1914" s="101" t="s">
        <v>172</v>
      </c>
      <c r="AC1914" s="102" t="s">
        <v>173</v>
      </c>
    </row>
    <row r="1915" spans="1:29" ht="25.5" customHeight="1" x14ac:dyDescent="0.35">
      <c r="A1915" s="392"/>
      <c r="B1915" s="393"/>
      <c r="C1915" s="99" t="str">
        <f>IF(B1915="","",IF(NOT(ISNUMBER(B1915)),"DATA_PC invalida",IF(NOT(ISNUMBER(parametros!$C$2)),"Fora dos ciclos",IF(OR(B1915&lt;parametros!$C$2,(YEAR(B1915)-YEAR(parametros!$C$2))*12+MONTH(B1915)-MONTH(parametros!$C$2)&gt;59),"Fora dos ciclos","C"&amp;INT(((YEAR(B1915)-YEAR(parametros!$C$2))*12+MONTH(B1915)-MONTH(parametros!$C$2))/12)))))</f>
        <v/>
      </c>
      <c r="D1915" s="394"/>
      <c r="E1915" s="78" t="str">
        <f>IF(C1915="","",IFERROR(VLOOKUP(C1915,parametros!$A$11:$E$15,5,0),""))</f>
        <v/>
      </c>
      <c r="F1915" s="79" t="str">
        <f t="shared" si="147"/>
        <v/>
      </c>
      <c r="G1915" s="395"/>
      <c r="H1915" s="91">
        <f t="shared" si="148"/>
        <v>0</v>
      </c>
      <c r="I1915" s="91" t="str">
        <f t="shared" si="149"/>
        <v/>
      </c>
      <c r="J1915" s="91" t="str">
        <f t="shared" si="150"/>
        <v/>
      </c>
      <c r="K1915" s="92" t="str">
        <f>IF(AND(A1915="",B1915="",D1915="",G1915=""),"",IF(AND(A1915&lt;&gt;"",COUNTIF($A$2:$A$5001,A1915)&gt;1),"NUMERO_PC duplicado",IF(B1915="","DATA_PC vazia",IF(NOT(ISNUMBER(B1915)),"DATA_PC invalida",IF(OR(C1915="",C1915="Fora dos ciclos"),"CICLO_PC nao identificado",IF(OR(D1915="",D1915=0),"VALOR_PC vazio ou zero",IF(AND(G1915&lt;&gt;"Sim",G1915&lt;&gt;"Nao",G1915&lt;&gt;""),"PC_PAGO_A_CONTRATADA invalido",IF(AND(C1915&lt;&gt;"C0",IFERROR(INDEX(parametros!$A$2:$A$6,MATCH(C1915,parametros!$B$2:$B$6,0)),"")="Sim",IFERROR(INDEX(parametros!$H$2:$H$6,MATCH(C1915,parametros!$B$2:$B$6,0)),"")=""),"INICIO_EFEITO ausente: PC "&amp;A1915&amp;" - "&amp;C1915,IF(L1915="","EFEITO_PC nao calculado: PC "&amp;A1915&amp;" - "&amp;C1915,"OK")))))))))</f>
        <v/>
      </c>
      <c r="L1915" s="92" t="str">
        <f>IF(AND(A1915="",B1915="",D1915="",G1915=""),"",IF(OR(B1915="",NOT(ISNUMBER(B1915)),C1915="",C1915="Fora dos ciclos"),"",IF(C1915="C0","Nao",IF(IFERROR(INDEX(parametros!$A$2:$A$6,MATCH(C1915,parametros!$B$2:$B$6,0)),"")&lt;&gt;"Sim","Nao",IF(IFERROR(INDEX(parametros!$H$2:$H$6,MATCH(C1915,parametros!$B$2:$B$6,0)),"")="","",IF(B1915&gt;=IFERROR(INDEX(parametros!$H$2:$H$6,MATCH(C1915,parametros!$B$2:$B$6,0)),""),"Sim","Nao"))))))</f>
        <v/>
      </c>
      <c r="T1915" s="156"/>
      <c r="U1915" s="214" t="str">
        <f t="shared" si="151"/>
        <v/>
      </c>
      <c r="V1915" s="212" t="s">
        <v>50</v>
      </c>
      <c r="W1915" s="100" t="s">
        <v>168</v>
      </c>
      <c r="X1915" s="100" t="s">
        <v>169</v>
      </c>
      <c r="Y1915" s="101" t="s">
        <v>170</v>
      </c>
      <c r="Z1915" s="101" t="s">
        <v>171</v>
      </c>
      <c r="AA1915" s="101" t="s">
        <v>50</v>
      </c>
      <c r="AB1915" s="101" t="s">
        <v>172</v>
      </c>
      <c r="AC1915" s="102" t="s">
        <v>173</v>
      </c>
    </row>
    <row r="1916" spans="1:29" ht="25.5" customHeight="1" x14ac:dyDescent="0.35">
      <c r="A1916" s="392"/>
      <c r="B1916" s="393"/>
      <c r="C1916" s="99" t="str">
        <f>IF(B1916="","",IF(NOT(ISNUMBER(B1916)),"DATA_PC invalida",IF(NOT(ISNUMBER(parametros!$C$2)),"Fora dos ciclos",IF(OR(B1916&lt;parametros!$C$2,(YEAR(B1916)-YEAR(parametros!$C$2))*12+MONTH(B1916)-MONTH(parametros!$C$2)&gt;59),"Fora dos ciclos","C"&amp;INT(((YEAR(B1916)-YEAR(parametros!$C$2))*12+MONTH(B1916)-MONTH(parametros!$C$2))/12)))))</f>
        <v/>
      </c>
      <c r="D1916" s="394"/>
      <c r="E1916" s="78" t="str">
        <f>IF(C1916="","",IFERROR(VLOOKUP(C1916,parametros!$A$11:$E$15,5,0),""))</f>
        <v/>
      </c>
      <c r="F1916" s="79" t="str">
        <f t="shared" si="147"/>
        <v/>
      </c>
      <c r="G1916" s="395"/>
      <c r="H1916" s="91">
        <f t="shared" si="148"/>
        <v>0</v>
      </c>
      <c r="I1916" s="91" t="str">
        <f t="shared" si="149"/>
        <v/>
      </c>
      <c r="J1916" s="91" t="str">
        <f t="shared" si="150"/>
        <v/>
      </c>
      <c r="K1916" s="92" t="str">
        <f>IF(AND(A1916="",B1916="",D1916="",G1916=""),"",IF(AND(A1916&lt;&gt;"",COUNTIF($A$2:$A$5001,A1916)&gt;1),"NUMERO_PC duplicado",IF(B1916="","DATA_PC vazia",IF(NOT(ISNUMBER(B1916)),"DATA_PC invalida",IF(OR(C1916="",C1916="Fora dos ciclos"),"CICLO_PC nao identificado",IF(OR(D1916="",D1916=0),"VALOR_PC vazio ou zero",IF(AND(G1916&lt;&gt;"Sim",G1916&lt;&gt;"Nao",G1916&lt;&gt;""),"PC_PAGO_A_CONTRATADA invalido",IF(AND(C1916&lt;&gt;"C0",IFERROR(INDEX(parametros!$A$2:$A$6,MATCH(C1916,parametros!$B$2:$B$6,0)),"")="Sim",IFERROR(INDEX(parametros!$H$2:$H$6,MATCH(C1916,parametros!$B$2:$B$6,0)),"")=""),"INICIO_EFEITO ausente: PC "&amp;A1916&amp;" - "&amp;C1916,IF(L1916="","EFEITO_PC nao calculado: PC "&amp;A1916&amp;" - "&amp;C1916,"OK")))))))))</f>
        <v/>
      </c>
      <c r="L1916" s="92" t="str">
        <f>IF(AND(A1916="",B1916="",D1916="",G1916=""),"",IF(OR(B1916="",NOT(ISNUMBER(B1916)),C1916="",C1916="Fora dos ciclos"),"",IF(C1916="C0","Nao",IF(IFERROR(INDEX(parametros!$A$2:$A$6,MATCH(C1916,parametros!$B$2:$B$6,0)),"")&lt;&gt;"Sim","Nao",IF(IFERROR(INDEX(parametros!$H$2:$H$6,MATCH(C1916,parametros!$B$2:$B$6,0)),"")="","",IF(B1916&gt;=IFERROR(INDEX(parametros!$H$2:$H$6,MATCH(C1916,parametros!$B$2:$B$6,0)),""),"Sim","Nao"))))))</f>
        <v/>
      </c>
      <c r="T1916" s="156"/>
      <c r="U1916" s="214" t="str">
        <f t="shared" si="151"/>
        <v/>
      </c>
      <c r="V1916" s="212" t="s">
        <v>50</v>
      </c>
      <c r="W1916" s="100" t="s">
        <v>168</v>
      </c>
      <c r="X1916" s="100" t="s">
        <v>169</v>
      </c>
      <c r="Y1916" s="101" t="s">
        <v>170</v>
      </c>
      <c r="Z1916" s="101" t="s">
        <v>171</v>
      </c>
      <c r="AA1916" s="101" t="s">
        <v>50</v>
      </c>
      <c r="AB1916" s="101" t="s">
        <v>172</v>
      </c>
      <c r="AC1916" s="102" t="s">
        <v>173</v>
      </c>
    </row>
    <row r="1917" spans="1:29" ht="25.5" customHeight="1" x14ac:dyDescent="0.35">
      <c r="A1917" s="392"/>
      <c r="B1917" s="393"/>
      <c r="C1917" s="99" t="str">
        <f>IF(B1917="","",IF(NOT(ISNUMBER(B1917)),"DATA_PC invalida",IF(NOT(ISNUMBER(parametros!$C$2)),"Fora dos ciclos",IF(OR(B1917&lt;parametros!$C$2,(YEAR(B1917)-YEAR(parametros!$C$2))*12+MONTH(B1917)-MONTH(parametros!$C$2)&gt;59),"Fora dos ciclos","C"&amp;INT(((YEAR(B1917)-YEAR(parametros!$C$2))*12+MONTH(B1917)-MONTH(parametros!$C$2))/12)))))</f>
        <v/>
      </c>
      <c r="D1917" s="394"/>
      <c r="E1917" s="78" t="str">
        <f>IF(C1917="","",IFERROR(VLOOKUP(C1917,parametros!$A$11:$E$15,5,0),""))</f>
        <v/>
      </c>
      <c r="F1917" s="79" t="str">
        <f t="shared" si="147"/>
        <v/>
      </c>
      <c r="G1917" s="395"/>
      <c r="H1917" s="91">
        <f t="shared" si="148"/>
        <v>0</v>
      </c>
      <c r="I1917" s="91" t="str">
        <f t="shared" si="149"/>
        <v/>
      </c>
      <c r="J1917" s="91" t="str">
        <f t="shared" si="150"/>
        <v/>
      </c>
      <c r="K1917" s="92" t="str">
        <f>IF(AND(A1917="",B1917="",D1917="",G1917=""),"",IF(AND(A1917&lt;&gt;"",COUNTIF($A$2:$A$5001,A1917)&gt;1),"NUMERO_PC duplicado",IF(B1917="","DATA_PC vazia",IF(NOT(ISNUMBER(B1917)),"DATA_PC invalida",IF(OR(C1917="",C1917="Fora dos ciclos"),"CICLO_PC nao identificado",IF(OR(D1917="",D1917=0),"VALOR_PC vazio ou zero",IF(AND(G1917&lt;&gt;"Sim",G1917&lt;&gt;"Nao",G1917&lt;&gt;""),"PC_PAGO_A_CONTRATADA invalido",IF(AND(C1917&lt;&gt;"C0",IFERROR(INDEX(parametros!$A$2:$A$6,MATCH(C1917,parametros!$B$2:$B$6,0)),"")="Sim",IFERROR(INDEX(parametros!$H$2:$H$6,MATCH(C1917,parametros!$B$2:$B$6,0)),"")=""),"INICIO_EFEITO ausente: PC "&amp;A1917&amp;" - "&amp;C1917,IF(L1917="","EFEITO_PC nao calculado: PC "&amp;A1917&amp;" - "&amp;C1917,"OK")))))))))</f>
        <v/>
      </c>
      <c r="L1917" s="92" t="str">
        <f>IF(AND(A1917="",B1917="",D1917="",G1917=""),"",IF(OR(B1917="",NOT(ISNUMBER(B1917)),C1917="",C1917="Fora dos ciclos"),"",IF(C1917="C0","Nao",IF(IFERROR(INDEX(parametros!$A$2:$A$6,MATCH(C1917,parametros!$B$2:$B$6,0)),"")&lt;&gt;"Sim","Nao",IF(IFERROR(INDEX(parametros!$H$2:$H$6,MATCH(C1917,parametros!$B$2:$B$6,0)),"")="","",IF(B1917&gt;=IFERROR(INDEX(parametros!$H$2:$H$6,MATCH(C1917,parametros!$B$2:$B$6,0)),""),"Sim","Nao"))))))</f>
        <v/>
      </c>
      <c r="T1917" s="156"/>
      <c r="U1917" s="214" t="str">
        <f t="shared" si="151"/>
        <v/>
      </c>
      <c r="V1917" s="212" t="s">
        <v>50</v>
      </c>
      <c r="W1917" s="100" t="s">
        <v>168</v>
      </c>
      <c r="X1917" s="100" t="s">
        <v>169</v>
      </c>
      <c r="Y1917" s="101" t="s">
        <v>170</v>
      </c>
      <c r="Z1917" s="101" t="s">
        <v>171</v>
      </c>
      <c r="AA1917" s="101" t="s">
        <v>50</v>
      </c>
      <c r="AB1917" s="101" t="s">
        <v>172</v>
      </c>
      <c r="AC1917" s="102" t="s">
        <v>173</v>
      </c>
    </row>
    <row r="1918" spans="1:29" ht="25.5" customHeight="1" x14ac:dyDescent="0.35">
      <c r="A1918" s="392"/>
      <c r="B1918" s="393"/>
      <c r="C1918" s="99" t="str">
        <f>IF(B1918="","",IF(NOT(ISNUMBER(B1918)),"DATA_PC invalida",IF(NOT(ISNUMBER(parametros!$C$2)),"Fora dos ciclos",IF(OR(B1918&lt;parametros!$C$2,(YEAR(B1918)-YEAR(parametros!$C$2))*12+MONTH(B1918)-MONTH(parametros!$C$2)&gt;59),"Fora dos ciclos","C"&amp;INT(((YEAR(B1918)-YEAR(parametros!$C$2))*12+MONTH(B1918)-MONTH(parametros!$C$2))/12)))))</f>
        <v/>
      </c>
      <c r="D1918" s="394"/>
      <c r="E1918" s="78" t="str">
        <f>IF(C1918="","",IFERROR(VLOOKUP(C1918,parametros!$A$11:$E$15,5,0),""))</f>
        <v/>
      </c>
      <c r="F1918" s="79" t="str">
        <f t="shared" si="147"/>
        <v/>
      </c>
      <c r="G1918" s="395"/>
      <c r="H1918" s="91">
        <f t="shared" si="148"/>
        <v>0</v>
      </c>
      <c r="I1918" s="91" t="str">
        <f t="shared" si="149"/>
        <v/>
      </c>
      <c r="J1918" s="91" t="str">
        <f t="shared" si="150"/>
        <v/>
      </c>
      <c r="K1918" s="92" t="str">
        <f>IF(AND(A1918="",B1918="",D1918="",G1918=""),"",IF(AND(A1918&lt;&gt;"",COUNTIF($A$2:$A$5001,A1918)&gt;1),"NUMERO_PC duplicado",IF(B1918="","DATA_PC vazia",IF(NOT(ISNUMBER(B1918)),"DATA_PC invalida",IF(OR(C1918="",C1918="Fora dos ciclos"),"CICLO_PC nao identificado",IF(OR(D1918="",D1918=0),"VALOR_PC vazio ou zero",IF(AND(G1918&lt;&gt;"Sim",G1918&lt;&gt;"Nao",G1918&lt;&gt;""),"PC_PAGO_A_CONTRATADA invalido",IF(AND(C1918&lt;&gt;"C0",IFERROR(INDEX(parametros!$A$2:$A$6,MATCH(C1918,parametros!$B$2:$B$6,0)),"")="Sim",IFERROR(INDEX(parametros!$H$2:$H$6,MATCH(C1918,parametros!$B$2:$B$6,0)),"")=""),"INICIO_EFEITO ausente: PC "&amp;A1918&amp;" - "&amp;C1918,IF(L1918="","EFEITO_PC nao calculado: PC "&amp;A1918&amp;" - "&amp;C1918,"OK")))))))))</f>
        <v/>
      </c>
      <c r="L1918" s="92" t="str">
        <f>IF(AND(A1918="",B1918="",D1918="",G1918=""),"",IF(OR(B1918="",NOT(ISNUMBER(B1918)),C1918="",C1918="Fora dos ciclos"),"",IF(C1918="C0","Nao",IF(IFERROR(INDEX(parametros!$A$2:$A$6,MATCH(C1918,parametros!$B$2:$B$6,0)),"")&lt;&gt;"Sim","Nao",IF(IFERROR(INDEX(parametros!$H$2:$H$6,MATCH(C1918,parametros!$B$2:$B$6,0)),"")="","",IF(B1918&gt;=IFERROR(INDEX(parametros!$H$2:$H$6,MATCH(C1918,parametros!$B$2:$B$6,0)),""),"Sim","Nao"))))))</f>
        <v/>
      </c>
      <c r="T1918" s="156"/>
      <c r="U1918" s="214" t="str">
        <f t="shared" si="151"/>
        <v/>
      </c>
      <c r="V1918" s="212" t="s">
        <v>50</v>
      </c>
      <c r="W1918" s="100" t="s">
        <v>168</v>
      </c>
      <c r="X1918" s="100" t="s">
        <v>169</v>
      </c>
      <c r="Y1918" s="101" t="s">
        <v>170</v>
      </c>
      <c r="Z1918" s="101" t="s">
        <v>171</v>
      </c>
      <c r="AA1918" s="101" t="s">
        <v>50</v>
      </c>
      <c r="AB1918" s="101" t="s">
        <v>172</v>
      </c>
      <c r="AC1918" s="102" t="s">
        <v>173</v>
      </c>
    </row>
    <row r="1919" spans="1:29" ht="25.5" customHeight="1" x14ac:dyDescent="0.35">
      <c r="A1919" s="392"/>
      <c r="B1919" s="393"/>
      <c r="C1919" s="99" t="str">
        <f>IF(B1919="","",IF(NOT(ISNUMBER(B1919)),"DATA_PC invalida",IF(NOT(ISNUMBER(parametros!$C$2)),"Fora dos ciclos",IF(OR(B1919&lt;parametros!$C$2,(YEAR(B1919)-YEAR(parametros!$C$2))*12+MONTH(B1919)-MONTH(parametros!$C$2)&gt;59),"Fora dos ciclos","C"&amp;INT(((YEAR(B1919)-YEAR(parametros!$C$2))*12+MONTH(B1919)-MONTH(parametros!$C$2))/12)))))</f>
        <v/>
      </c>
      <c r="D1919" s="394"/>
      <c r="E1919" s="78" t="str">
        <f>IF(C1919="","",IFERROR(VLOOKUP(C1919,parametros!$A$11:$E$15,5,0),""))</f>
        <v/>
      </c>
      <c r="F1919" s="79" t="str">
        <f t="shared" si="147"/>
        <v/>
      </c>
      <c r="G1919" s="395"/>
      <c r="H1919" s="91">
        <f t="shared" si="148"/>
        <v>0</v>
      </c>
      <c r="I1919" s="91" t="str">
        <f t="shared" si="149"/>
        <v/>
      </c>
      <c r="J1919" s="91" t="str">
        <f t="shared" si="150"/>
        <v/>
      </c>
      <c r="K1919" s="92" t="str">
        <f>IF(AND(A1919="",B1919="",D1919="",G1919=""),"",IF(AND(A1919&lt;&gt;"",COUNTIF($A$2:$A$5001,A1919)&gt;1),"NUMERO_PC duplicado",IF(B1919="","DATA_PC vazia",IF(NOT(ISNUMBER(B1919)),"DATA_PC invalida",IF(OR(C1919="",C1919="Fora dos ciclos"),"CICLO_PC nao identificado",IF(OR(D1919="",D1919=0),"VALOR_PC vazio ou zero",IF(AND(G1919&lt;&gt;"Sim",G1919&lt;&gt;"Nao",G1919&lt;&gt;""),"PC_PAGO_A_CONTRATADA invalido",IF(AND(C1919&lt;&gt;"C0",IFERROR(INDEX(parametros!$A$2:$A$6,MATCH(C1919,parametros!$B$2:$B$6,0)),"")="Sim",IFERROR(INDEX(parametros!$H$2:$H$6,MATCH(C1919,parametros!$B$2:$B$6,0)),"")=""),"INICIO_EFEITO ausente: PC "&amp;A1919&amp;" - "&amp;C1919,IF(L1919="","EFEITO_PC nao calculado: PC "&amp;A1919&amp;" - "&amp;C1919,"OK")))))))))</f>
        <v/>
      </c>
      <c r="L1919" s="92" t="str">
        <f>IF(AND(A1919="",B1919="",D1919="",G1919=""),"",IF(OR(B1919="",NOT(ISNUMBER(B1919)),C1919="",C1919="Fora dos ciclos"),"",IF(C1919="C0","Nao",IF(IFERROR(INDEX(parametros!$A$2:$A$6,MATCH(C1919,parametros!$B$2:$B$6,0)),"")&lt;&gt;"Sim","Nao",IF(IFERROR(INDEX(parametros!$H$2:$H$6,MATCH(C1919,parametros!$B$2:$B$6,0)),"")="","",IF(B1919&gt;=IFERROR(INDEX(parametros!$H$2:$H$6,MATCH(C1919,parametros!$B$2:$B$6,0)),""),"Sim","Nao"))))))</f>
        <v/>
      </c>
      <c r="T1919" s="156"/>
      <c r="U1919" s="214" t="str">
        <f t="shared" si="151"/>
        <v/>
      </c>
      <c r="V1919" s="212" t="s">
        <v>50</v>
      </c>
      <c r="W1919" s="100" t="s">
        <v>168</v>
      </c>
      <c r="X1919" s="100" t="s">
        <v>169</v>
      </c>
      <c r="Y1919" s="101" t="s">
        <v>170</v>
      </c>
      <c r="Z1919" s="101" t="s">
        <v>171</v>
      </c>
      <c r="AA1919" s="101" t="s">
        <v>50</v>
      </c>
      <c r="AB1919" s="101" t="s">
        <v>172</v>
      </c>
      <c r="AC1919" s="102" t="s">
        <v>173</v>
      </c>
    </row>
    <row r="1920" spans="1:29" ht="25.5" customHeight="1" x14ac:dyDescent="0.35">
      <c r="A1920" s="392"/>
      <c r="B1920" s="393"/>
      <c r="C1920" s="99" t="str">
        <f>IF(B1920="","",IF(NOT(ISNUMBER(B1920)),"DATA_PC invalida",IF(NOT(ISNUMBER(parametros!$C$2)),"Fora dos ciclos",IF(OR(B1920&lt;parametros!$C$2,(YEAR(B1920)-YEAR(parametros!$C$2))*12+MONTH(B1920)-MONTH(parametros!$C$2)&gt;59),"Fora dos ciclos","C"&amp;INT(((YEAR(B1920)-YEAR(parametros!$C$2))*12+MONTH(B1920)-MONTH(parametros!$C$2))/12)))))</f>
        <v/>
      </c>
      <c r="D1920" s="394"/>
      <c r="E1920" s="78" t="str">
        <f>IF(C1920="","",IFERROR(VLOOKUP(C1920,parametros!$A$11:$E$15,5,0),""))</f>
        <v/>
      </c>
      <c r="F1920" s="79" t="str">
        <f t="shared" si="147"/>
        <v/>
      </c>
      <c r="G1920" s="395"/>
      <c r="H1920" s="91">
        <f t="shared" si="148"/>
        <v>0</v>
      </c>
      <c r="I1920" s="91" t="str">
        <f t="shared" si="149"/>
        <v/>
      </c>
      <c r="J1920" s="91" t="str">
        <f t="shared" si="150"/>
        <v/>
      </c>
      <c r="K1920" s="92" t="str">
        <f>IF(AND(A1920="",B1920="",D1920="",G1920=""),"",IF(AND(A1920&lt;&gt;"",COUNTIF($A$2:$A$5001,A1920)&gt;1),"NUMERO_PC duplicado",IF(B1920="","DATA_PC vazia",IF(NOT(ISNUMBER(B1920)),"DATA_PC invalida",IF(OR(C1920="",C1920="Fora dos ciclos"),"CICLO_PC nao identificado",IF(OR(D1920="",D1920=0),"VALOR_PC vazio ou zero",IF(AND(G1920&lt;&gt;"Sim",G1920&lt;&gt;"Nao",G1920&lt;&gt;""),"PC_PAGO_A_CONTRATADA invalido",IF(AND(C1920&lt;&gt;"C0",IFERROR(INDEX(parametros!$A$2:$A$6,MATCH(C1920,parametros!$B$2:$B$6,0)),"")="Sim",IFERROR(INDEX(parametros!$H$2:$H$6,MATCH(C1920,parametros!$B$2:$B$6,0)),"")=""),"INICIO_EFEITO ausente: PC "&amp;A1920&amp;" - "&amp;C1920,IF(L1920="","EFEITO_PC nao calculado: PC "&amp;A1920&amp;" - "&amp;C1920,"OK")))))))))</f>
        <v/>
      </c>
      <c r="L1920" s="92" t="str">
        <f>IF(AND(A1920="",B1920="",D1920="",G1920=""),"",IF(OR(B1920="",NOT(ISNUMBER(B1920)),C1920="",C1920="Fora dos ciclos"),"",IF(C1920="C0","Nao",IF(IFERROR(INDEX(parametros!$A$2:$A$6,MATCH(C1920,parametros!$B$2:$B$6,0)),"")&lt;&gt;"Sim","Nao",IF(IFERROR(INDEX(parametros!$H$2:$H$6,MATCH(C1920,parametros!$B$2:$B$6,0)),"")="","",IF(B1920&gt;=IFERROR(INDEX(parametros!$H$2:$H$6,MATCH(C1920,parametros!$B$2:$B$6,0)),""),"Sim","Nao"))))))</f>
        <v/>
      </c>
      <c r="T1920" s="156"/>
      <c r="U1920" s="214" t="str">
        <f t="shared" si="151"/>
        <v/>
      </c>
      <c r="V1920" s="212" t="s">
        <v>50</v>
      </c>
      <c r="W1920" s="100" t="s">
        <v>168</v>
      </c>
      <c r="X1920" s="100" t="s">
        <v>169</v>
      </c>
      <c r="Y1920" s="101" t="s">
        <v>170</v>
      </c>
      <c r="Z1920" s="101" t="s">
        <v>171</v>
      </c>
      <c r="AA1920" s="101" t="s">
        <v>50</v>
      </c>
      <c r="AB1920" s="101" t="s">
        <v>172</v>
      </c>
      <c r="AC1920" s="102" t="s">
        <v>173</v>
      </c>
    </row>
    <row r="1921" spans="1:29" ht="25.5" customHeight="1" x14ac:dyDescent="0.35">
      <c r="A1921" s="392"/>
      <c r="B1921" s="393"/>
      <c r="C1921" s="99" t="str">
        <f>IF(B1921="","",IF(NOT(ISNUMBER(B1921)),"DATA_PC invalida",IF(NOT(ISNUMBER(parametros!$C$2)),"Fora dos ciclos",IF(OR(B1921&lt;parametros!$C$2,(YEAR(B1921)-YEAR(parametros!$C$2))*12+MONTH(B1921)-MONTH(parametros!$C$2)&gt;59),"Fora dos ciclos","C"&amp;INT(((YEAR(B1921)-YEAR(parametros!$C$2))*12+MONTH(B1921)-MONTH(parametros!$C$2))/12)))))</f>
        <v/>
      </c>
      <c r="D1921" s="394"/>
      <c r="E1921" s="78" t="str">
        <f>IF(C1921="","",IFERROR(VLOOKUP(C1921,parametros!$A$11:$E$15,5,0),""))</f>
        <v/>
      </c>
      <c r="F1921" s="79" t="str">
        <f t="shared" si="147"/>
        <v/>
      </c>
      <c r="G1921" s="395"/>
      <c r="H1921" s="91">
        <f t="shared" si="148"/>
        <v>0</v>
      </c>
      <c r="I1921" s="91" t="str">
        <f t="shared" si="149"/>
        <v/>
      </c>
      <c r="J1921" s="91" t="str">
        <f t="shared" si="150"/>
        <v/>
      </c>
      <c r="K1921" s="92" t="str">
        <f>IF(AND(A1921="",B1921="",D1921="",G1921=""),"",IF(AND(A1921&lt;&gt;"",COUNTIF($A$2:$A$5001,A1921)&gt;1),"NUMERO_PC duplicado",IF(B1921="","DATA_PC vazia",IF(NOT(ISNUMBER(B1921)),"DATA_PC invalida",IF(OR(C1921="",C1921="Fora dos ciclos"),"CICLO_PC nao identificado",IF(OR(D1921="",D1921=0),"VALOR_PC vazio ou zero",IF(AND(G1921&lt;&gt;"Sim",G1921&lt;&gt;"Nao",G1921&lt;&gt;""),"PC_PAGO_A_CONTRATADA invalido",IF(AND(C1921&lt;&gt;"C0",IFERROR(INDEX(parametros!$A$2:$A$6,MATCH(C1921,parametros!$B$2:$B$6,0)),"")="Sim",IFERROR(INDEX(parametros!$H$2:$H$6,MATCH(C1921,parametros!$B$2:$B$6,0)),"")=""),"INICIO_EFEITO ausente: PC "&amp;A1921&amp;" - "&amp;C1921,IF(L1921="","EFEITO_PC nao calculado: PC "&amp;A1921&amp;" - "&amp;C1921,"OK")))))))))</f>
        <v/>
      </c>
      <c r="L1921" s="92" t="str">
        <f>IF(AND(A1921="",B1921="",D1921="",G1921=""),"",IF(OR(B1921="",NOT(ISNUMBER(B1921)),C1921="",C1921="Fora dos ciclos"),"",IF(C1921="C0","Nao",IF(IFERROR(INDEX(parametros!$A$2:$A$6,MATCH(C1921,parametros!$B$2:$B$6,0)),"")&lt;&gt;"Sim","Nao",IF(IFERROR(INDEX(parametros!$H$2:$H$6,MATCH(C1921,parametros!$B$2:$B$6,0)),"")="","",IF(B1921&gt;=IFERROR(INDEX(parametros!$H$2:$H$6,MATCH(C1921,parametros!$B$2:$B$6,0)),""),"Sim","Nao"))))))</f>
        <v/>
      </c>
      <c r="T1921" s="156"/>
      <c r="U1921" s="214" t="str">
        <f t="shared" si="151"/>
        <v/>
      </c>
      <c r="V1921" s="212" t="s">
        <v>50</v>
      </c>
      <c r="W1921" s="100" t="s">
        <v>168</v>
      </c>
      <c r="X1921" s="100" t="s">
        <v>169</v>
      </c>
      <c r="Y1921" s="101" t="s">
        <v>170</v>
      </c>
      <c r="Z1921" s="101" t="s">
        <v>171</v>
      </c>
      <c r="AA1921" s="101" t="s">
        <v>50</v>
      </c>
      <c r="AB1921" s="101" t="s">
        <v>172</v>
      </c>
      <c r="AC1921" s="102" t="s">
        <v>173</v>
      </c>
    </row>
    <row r="1922" spans="1:29" ht="25.5" customHeight="1" x14ac:dyDescent="0.35">
      <c r="A1922" s="392"/>
      <c r="B1922" s="393"/>
      <c r="C1922" s="99" t="str">
        <f>IF(B1922="","",IF(NOT(ISNUMBER(B1922)),"DATA_PC invalida",IF(NOT(ISNUMBER(parametros!$C$2)),"Fora dos ciclos",IF(OR(B1922&lt;parametros!$C$2,(YEAR(B1922)-YEAR(parametros!$C$2))*12+MONTH(B1922)-MONTH(parametros!$C$2)&gt;59),"Fora dos ciclos","C"&amp;INT(((YEAR(B1922)-YEAR(parametros!$C$2))*12+MONTH(B1922)-MONTH(parametros!$C$2))/12)))))</f>
        <v/>
      </c>
      <c r="D1922" s="394"/>
      <c r="E1922" s="78" t="str">
        <f>IF(C1922="","",IFERROR(VLOOKUP(C1922,parametros!$A$11:$E$15,5,0),""))</f>
        <v/>
      </c>
      <c r="F1922" s="79" t="str">
        <f t="shared" ref="F1922:F1985" si="152">IF(OR(D1922="",E1922=""),"",ROUND(D1922*E1922,2))</f>
        <v/>
      </c>
      <c r="G1922" s="395"/>
      <c r="H1922" s="91">
        <f t="shared" ref="H1922:H1985" si="153">IF(G1922="Sim",IF(OR(F1922="",D1922="",L1922=""),"",IF(L1922="Sim",ROUND(F1922-D1922,2),0)),0)</f>
        <v>0</v>
      </c>
      <c r="I1922" s="91" t="str">
        <f t="shared" ref="I1922:I1985" si="154">IF(G1922="Sim",0,IF(OR(F1922="",L1922=""),"",F1922))</f>
        <v/>
      </c>
      <c r="J1922" s="91" t="str">
        <f t="shared" ref="J1922:J1985" si="155">IF(G1922="Sim",0,IF(OR(F1922="",D1922="",L1922=""),"",IF(L1922="Sim",ROUND(F1922-D1922,2),0)))</f>
        <v/>
      </c>
      <c r="K1922" s="92" t="str">
        <f>IF(AND(A1922="",B1922="",D1922="",G1922=""),"",IF(AND(A1922&lt;&gt;"",COUNTIF($A$2:$A$5001,A1922)&gt;1),"NUMERO_PC duplicado",IF(B1922="","DATA_PC vazia",IF(NOT(ISNUMBER(B1922)),"DATA_PC invalida",IF(OR(C1922="",C1922="Fora dos ciclos"),"CICLO_PC nao identificado",IF(OR(D1922="",D1922=0),"VALOR_PC vazio ou zero",IF(AND(G1922&lt;&gt;"Sim",G1922&lt;&gt;"Nao",G1922&lt;&gt;""),"PC_PAGO_A_CONTRATADA invalido",IF(AND(C1922&lt;&gt;"C0",IFERROR(INDEX(parametros!$A$2:$A$6,MATCH(C1922,parametros!$B$2:$B$6,0)),"")="Sim",IFERROR(INDEX(parametros!$H$2:$H$6,MATCH(C1922,parametros!$B$2:$B$6,0)),"")=""),"INICIO_EFEITO ausente: PC "&amp;A1922&amp;" - "&amp;C1922,IF(L1922="","EFEITO_PC nao calculado: PC "&amp;A1922&amp;" - "&amp;C1922,"OK")))))))))</f>
        <v/>
      </c>
      <c r="L1922" s="92" t="str">
        <f>IF(AND(A1922="",B1922="",D1922="",G1922=""),"",IF(OR(B1922="",NOT(ISNUMBER(B1922)),C1922="",C1922="Fora dos ciclos"),"",IF(C1922="C0","Nao",IF(IFERROR(INDEX(parametros!$A$2:$A$6,MATCH(C1922,parametros!$B$2:$B$6,0)),"")&lt;&gt;"Sim","Nao",IF(IFERROR(INDEX(parametros!$H$2:$H$6,MATCH(C1922,parametros!$B$2:$B$6,0)),"")="","",IF(B1922&gt;=IFERROR(INDEX(parametros!$H$2:$H$6,MATCH(C1922,parametros!$B$2:$B$6,0)),""),"Sim","Nao"))))))</f>
        <v/>
      </c>
      <c r="T1922" s="156"/>
      <c r="U1922" s="214" t="str">
        <f t="shared" ref="U1922:U1985" si="156">IF(OR($D1922="",$H1922=""),"",ROUND($D1922+$H1922,2))</f>
        <v/>
      </c>
      <c r="V1922" s="212" t="s">
        <v>50</v>
      </c>
      <c r="W1922" s="100" t="s">
        <v>168</v>
      </c>
      <c r="X1922" s="100" t="s">
        <v>169</v>
      </c>
      <c r="Y1922" s="101" t="s">
        <v>170</v>
      </c>
      <c r="Z1922" s="101" t="s">
        <v>171</v>
      </c>
      <c r="AA1922" s="101" t="s">
        <v>50</v>
      </c>
      <c r="AB1922" s="101" t="s">
        <v>172</v>
      </c>
      <c r="AC1922" s="102" t="s">
        <v>173</v>
      </c>
    </row>
    <row r="1923" spans="1:29" ht="25.5" customHeight="1" x14ac:dyDescent="0.35">
      <c r="A1923" s="392"/>
      <c r="B1923" s="393"/>
      <c r="C1923" s="99" t="str">
        <f>IF(B1923="","",IF(NOT(ISNUMBER(B1923)),"DATA_PC invalida",IF(NOT(ISNUMBER(parametros!$C$2)),"Fora dos ciclos",IF(OR(B1923&lt;parametros!$C$2,(YEAR(B1923)-YEAR(parametros!$C$2))*12+MONTH(B1923)-MONTH(parametros!$C$2)&gt;59),"Fora dos ciclos","C"&amp;INT(((YEAR(B1923)-YEAR(parametros!$C$2))*12+MONTH(B1923)-MONTH(parametros!$C$2))/12)))))</f>
        <v/>
      </c>
      <c r="D1923" s="394"/>
      <c r="E1923" s="78" t="str">
        <f>IF(C1923="","",IFERROR(VLOOKUP(C1923,parametros!$A$11:$E$15,5,0),""))</f>
        <v/>
      </c>
      <c r="F1923" s="79" t="str">
        <f t="shared" si="152"/>
        <v/>
      </c>
      <c r="G1923" s="395"/>
      <c r="H1923" s="91">
        <f t="shared" si="153"/>
        <v>0</v>
      </c>
      <c r="I1923" s="91" t="str">
        <f t="shared" si="154"/>
        <v/>
      </c>
      <c r="J1923" s="91" t="str">
        <f t="shared" si="155"/>
        <v/>
      </c>
      <c r="K1923" s="92" t="str">
        <f>IF(AND(A1923="",B1923="",D1923="",G1923=""),"",IF(AND(A1923&lt;&gt;"",COUNTIF($A$2:$A$5001,A1923)&gt;1),"NUMERO_PC duplicado",IF(B1923="","DATA_PC vazia",IF(NOT(ISNUMBER(B1923)),"DATA_PC invalida",IF(OR(C1923="",C1923="Fora dos ciclos"),"CICLO_PC nao identificado",IF(OR(D1923="",D1923=0),"VALOR_PC vazio ou zero",IF(AND(G1923&lt;&gt;"Sim",G1923&lt;&gt;"Nao",G1923&lt;&gt;""),"PC_PAGO_A_CONTRATADA invalido",IF(AND(C1923&lt;&gt;"C0",IFERROR(INDEX(parametros!$A$2:$A$6,MATCH(C1923,parametros!$B$2:$B$6,0)),"")="Sim",IFERROR(INDEX(parametros!$H$2:$H$6,MATCH(C1923,parametros!$B$2:$B$6,0)),"")=""),"INICIO_EFEITO ausente: PC "&amp;A1923&amp;" - "&amp;C1923,IF(L1923="","EFEITO_PC nao calculado: PC "&amp;A1923&amp;" - "&amp;C1923,"OK")))))))))</f>
        <v/>
      </c>
      <c r="L1923" s="92" t="str">
        <f>IF(AND(A1923="",B1923="",D1923="",G1923=""),"",IF(OR(B1923="",NOT(ISNUMBER(B1923)),C1923="",C1923="Fora dos ciclos"),"",IF(C1923="C0","Nao",IF(IFERROR(INDEX(parametros!$A$2:$A$6,MATCH(C1923,parametros!$B$2:$B$6,0)),"")&lt;&gt;"Sim","Nao",IF(IFERROR(INDEX(parametros!$H$2:$H$6,MATCH(C1923,parametros!$B$2:$B$6,0)),"")="","",IF(B1923&gt;=IFERROR(INDEX(parametros!$H$2:$H$6,MATCH(C1923,parametros!$B$2:$B$6,0)),""),"Sim","Nao"))))))</f>
        <v/>
      </c>
      <c r="T1923" s="156"/>
      <c r="U1923" s="214" t="str">
        <f t="shared" si="156"/>
        <v/>
      </c>
      <c r="V1923" s="212" t="s">
        <v>50</v>
      </c>
      <c r="W1923" s="100" t="s">
        <v>168</v>
      </c>
      <c r="X1923" s="100" t="s">
        <v>169</v>
      </c>
      <c r="Y1923" s="101" t="s">
        <v>170</v>
      </c>
      <c r="Z1923" s="101" t="s">
        <v>171</v>
      </c>
      <c r="AA1923" s="101" t="s">
        <v>50</v>
      </c>
      <c r="AB1923" s="101" t="s">
        <v>172</v>
      </c>
      <c r="AC1923" s="102" t="s">
        <v>173</v>
      </c>
    </row>
    <row r="1924" spans="1:29" ht="25.5" customHeight="1" x14ac:dyDescent="0.35">
      <c r="A1924" s="392"/>
      <c r="B1924" s="393"/>
      <c r="C1924" s="99" t="str">
        <f>IF(B1924="","",IF(NOT(ISNUMBER(B1924)),"DATA_PC invalida",IF(NOT(ISNUMBER(parametros!$C$2)),"Fora dos ciclos",IF(OR(B1924&lt;parametros!$C$2,(YEAR(B1924)-YEAR(parametros!$C$2))*12+MONTH(B1924)-MONTH(parametros!$C$2)&gt;59),"Fora dos ciclos","C"&amp;INT(((YEAR(B1924)-YEAR(parametros!$C$2))*12+MONTH(B1924)-MONTH(parametros!$C$2))/12)))))</f>
        <v/>
      </c>
      <c r="D1924" s="394"/>
      <c r="E1924" s="78" t="str">
        <f>IF(C1924="","",IFERROR(VLOOKUP(C1924,parametros!$A$11:$E$15,5,0),""))</f>
        <v/>
      </c>
      <c r="F1924" s="79" t="str">
        <f t="shared" si="152"/>
        <v/>
      </c>
      <c r="G1924" s="395"/>
      <c r="H1924" s="91">
        <f t="shared" si="153"/>
        <v>0</v>
      </c>
      <c r="I1924" s="91" t="str">
        <f t="shared" si="154"/>
        <v/>
      </c>
      <c r="J1924" s="91" t="str">
        <f t="shared" si="155"/>
        <v/>
      </c>
      <c r="K1924" s="92" t="str">
        <f>IF(AND(A1924="",B1924="",D1924="",G1924=""),"",IF(AND(A1924&lt;&gt;"",COUNTIF($A$2:$A$5001,A1924)&gt;1),"NUMERO_PC duplicado",IF(B1924="","DATA_PC vazia",IF(NOT(ISNUMBER(B1924)),"DATA_PC invalida",IF(OR(C1924="",C1924="Fora dos ciclos"),"CICLO_PC nao identificado",IF(OR(D1924="",D1924=0),"VALOR_PC vazio ou zero",IF(AND(G1924&lt;&gt;"Sim",G1924&lt;&gt;"Nao",G1924&lt;&gt;""),"PC_PAGO_A_CONTRATADA invalido",IF(AND(C1924&lt;&gt;"C0",IFERROR(INDEX(parametros!$A$2:$A$6,MATCH(C1924,parametros!$B$2:$B$6,0)),"")="Sim",IFERROR(INDEX(parametros!$H$2:$H$6,MATCH(C1924,parametros!$B$2:$B$6,0)),"")=""),"INICIO_EFEITO ausente: PC "&amp;A1924&amp;" - "&amp;C1924,IF(L1924="","EFEITO_PC nao calculado: PC "&amp;A1924&amp;" - "&amp;C1924,"OK")))))))))</f>
        <v/>
      </c>
      <c r="L1924" s="92" t="str">
        <f>IF(AND(A1924="",B1924="",D1924="",G1924=""),"",IF(OR(B1924="",NOT(ISNUMBER(B1924)),C1924="",C1924="Fora dos ciclos"),"",IF(C1924="C0","Nao",IF(IFERROR(INDEX(parametros!$A$2:$A$6,MATCH(C1924,parametros!$B$2:$B$6,0)),"")&lt;&gt;"Sim","Nao",IF(IFERROR(INDEX(parametros!$H$2:$H$6,MATCH(C1924,parametros!$B$2:$B$6,0)),"")="","",IF(B1924&gt;=IFERROR(INDEX(parametros!$H$2:$H$6,MATCH(C1924,parametros!$B$2:$B$6,0)),""),"Sim","Nao"))))))</f>
        <v/>
      </c>
      <c r="T1924" s="156"/>
      <c r="U1924" s="214" t="str">
        <f t="shared" si="156"/>
        <v/>
      </c>
      <c r="V1924" s="212" t="s">
        <v>50</v>
      </c>
      <c r="W1924" s="100" t="s">
        <v>168</v>
      </c>
      <c r="X1924" s="100" t="s">
        <v>169</v>
      </c>
      <c r="Y1924" s="101" t="s">
        <v>170</v>
      </c>
      <c r="Z1924" s="101" t="s">
        <v>171</v>
      </c>
      <c r="AA1924" s="101" t="s">
        <v>50</v>
      </c>
      <c r="AB1924" s="101" t="s">
        <v>172</v>
      </c>
      <c r="AC1924" s="102" t="s">
        <v>173</v>
      </c>
    </row>
    <row r="1925" spans="1:29" ht="25.5" customHeight="1" x14ac:dyDescent="0.35">
      <c r="A1925" s="392"/>
      <c r="B1925" s="393"/>
      <c r="C1925" s="99" t="str">
        <f>IF(B1925="","",IF(NOT(ISNUMBER(B1925)),"DATA_PC invalida",IF(NOT(ISNUMBER(parametros!$C$2)),"Fora dos ciclos",IF(OR(B1925&lt;parametros!$C$2,(YEAR(B1925)-YEAR(parametros!$C$2))*12+MONTH(B1925)-MONTH(parametros!$C$2)&gt;59),"Fora dos ciclos","C"&amp;INT(((YEAR(B1925)-YEAR(parametros!$C$2))*12+MONTH(B1925)-MONTH(parametros!$C$2))/12)))))</f>
        <v/>
      </c>
      <c r="D1925" s="394"/>
      <c r="E1925" s="78" t="str">
        <f>IF(C1925="","",IFERROR(VLOOKUP(C1925,parametros!$A$11:$E$15,5,0),""))</f>
        <v/>
      </c>
      <c r="F1925" s="79" t="str">
        <f t="shared" si="152"/>
        <v/>
      </c>
      <c r="G1925" s="395"/>
      <c r="H1925" s="91">
        <f t="shared" si="153"/>
        <v>0</v>
      </c>
      <c r="I1925" s="91" t="str">
        <f t="shared" si="154"/>
        <v/>
      </c>
      <c r="J1925" s="91" t="str">
        <f t="shared" si="155"/>
        <v/>
      </c>
      <c r="K1925" s="92" t="str">
        <f>IF(AND(A1925="",B1925="",D1925="",G1925=""),"",IF(AND(A1925&lt;&gt;"",COUNTIF($A$2:$A$5001,A1925)&gt;1),"NUMERO_PC duplicado",IF(B1925="","DATA_PC vazia",IF(NOT(ISNUMBER(B1925)),"DATA_PC invalida",IF(OR(C1925="",C1925="Fora dos ciclos"),"CICLO_PC nao identificado",IF(OR(D1925="",D1925=0),"VALOR_PC vazio ou zero",IF(AND(G1925&lt;&gt;"Sim",G1925&lt;&gt;"Nao",G1925&lt;&gt;""),"PC_PAGO_A_CONTRATADA invalido",IF(AND(C1925&lt;&gt;"C0",IFERROR(INDEX(parametros!$A$2:$A$6,MATCH(C1925,parametros!$B$2:$B$6,0)),"")="Sim",IFERROR(INDEX(parametros!$H$2:$H$6,MATCH(C1925,parametros!$B$2:$B$6,0)),"")=""),"INICIO_EFEITO ausente: PC "&amp;A1925&amp;" - "&amp;C1925,IF(L1925="","EFEITO_PC nao calculado: PC "&amp;A1925&amp;" - "&amp;C1925,"OK")))))))))</f>
        <v/>
      </c>
      <c r="L1925" s="92" t="str">
        <f>IF(AND(A1925="",B1925="",D1925="",G1925=""),"",IF(OR(B1925="",NOT(ISNUMBER(B1925)),C1925="",C1925="Fora dos ciclos"),"",IF(C1925="C0","Nao",IF(IFERROR(INDEX(parametros!$A$2:$A$6,MATCH(C1925,parametros!$B$2:$B$6,0)),"")&lt;&gt;"Sim","Nao",IF(IFERROR(INDEX(parametros!$H$2:$H$6,MATCH(C1925,parametros!$B$2:$B$6,0)),"")="","",IF(B1925&gt;=IFERROR(INDEX(parametros!$H$2:$H$6,MATCH(C1925,parametros!$B$2:$B$6,0)),""),"Sim","Nao"))))))</f>
        <v/>
      </c>
      <c r="T1925" s="156"/>
      <c r="U1925" s="214" t="str">
        <f t="shared" si="156"/>
        <v/>
      </c>
      <c r="V1925" s="212" t="s">
        <v>50</v>
      </c>
      <c r="W1925" s="100" t="s">
        <v>168</v>
      </c>
      <c r="X1925" s="100" t="s">
        <v>169</v>
      </c>
      <c r="Y1925" s="101" t="s">
        <v>170</v>
      </c>
      <c r="Z1925" s="101" t="s">
        <v>171</v>
      </c>
      <c r="AA1925" s="101" t="s">
        <v>50</v>
      </c>
      <c r="AB1925" s="101" t="s">
        <v>172</v>
      </c>
      <c r="AC1925" s="102" t="s">
        <v>173</v>
      </c>
    </row>
    <row r="1926" spans="1:29" ht="25.5" customHeight="1" x14ac:dyDescent="0.35">
      <c r="A1926" s="392"/>
      <c r="B1926" s="393"/>
      <c r="C1926" s="99" t="str">
        <f>IF(B1926="","",IF(NOT(ISNUMBER(B1926)),"DATA_PC invalida",IF(NOT(ISNUMBER(parametros!$C$2)),"Fora dos ciclos",IF(OR(B1926&lt;parametros!$C$2,(YEAR(B1926)-YEAR(parametros!$C$2))*12+MONTH(B1926)-MONTH(parametros!$C$2)&gt;59),"Fora dos ciclos","C"&amp;INT(((YEAR(B1926)-YEAR(parametros!$C$2))*12+MONTH(B1926)-MONTH(parametros!$C$2))/12)))))</f>
        <v/>
      </c>
      <c r="D1926" s="394"/>
      <c r="E1926" s="78" t="str">
        <f>IF(C1926="","",IFERROR(VLOOKUP(C1926,parametros!$A$11:$E$15,5,0),""))</f>
        <v/>
      </c>
      <c r="F1926" s="79" t="str">
        <f t="shared" si="152"/>
        <v/>
      </c>
      <c r="G1926" s="395"/>
      <c r="H1926" s="91">
        <f t="shared" si="153"/>
        <v>0</v>
      </c>
      <c r="I1926" s="91" t="str">
        <f t="shared" si="154"/>
        <v/>
      </c>
      <c r="J1926" s="91" t="str">
        <f t="shared" si="155"/>
        <v/>
      </c>
      <c r="K1926" s="92" t="str">
        <f>IF(AND(A1926="",B1926="",D1926="",G1926=""),"",IF(AND(A1926&lt;&gt;"",COUNTIF($A$2:$A$5001,A1926)&gt;1),"NUMERO_PC duplicado",IF(B1926="","DATA_PC vazia",IF(NOT(ISNUMBER(B1926)),"DATA_PC invalida",IF(OR(C1926="",C1926="Fora dos ciclos"),"CICLO_PC nao identificado",IF(OR(D1926="",D1926=0),"VALOR_PC vazio ou zero",IF(AND(G1926&lt;&gt;"Sim",G1926&lt;&gt;"Nao",G1926&lt;&gt;""),"PC_PAGO_A_CONTRATADA invalido",IF(AND(C1926&lt;&gt;"C0",IFERROR(INDEX(parametros!$A$2:$A$6,MATCH(C1926,parametros!$B$2:$B$6,0)),"")="Sim",IFERROR(INDEX(parametros!$H$2:$H$6,MATCH(C1926,parametros!$B$2:$B$6,0)),"")=""),"INICIO_EFEITO ausente: PC "&amp;A1926&amp;" - "&amp;C1926,IF(L1926="","EFEITO_PC nao calculado: PC "&amp;A1926&amp;" - "&amp;C1926,"OK")))))))))</f>
        <v/>
      </c>
      <c r="L1926" s="92" t="str">
        <f>IF(AND(A1926="",B1926="",D1926="",G1926=""),"",IF(OR(B1926="",NOT(ISNUMBER(B1926)),C1926="",C1926="Fora dos ciclos"),"",IF(C1926="C0","Nao",IF(IFERROR(INDEX(parametros!$A$2:$A$6,MATCH(C1926,parametros!$B$2:$B$6,0)),"")&lt;&gt;"Sim","Nao",IF(IFERROR(INDEX(parametros!$H$2:$H$6,MATCH(C1926,parametros!$B$2:$B$6,0)),"")="","",IF(B1926&gt;=IFERROR(INDEX(parametros!$H$2:$H$6,MATCH(C1926,parametros!$B$2:$B$6,0)),""),"Sim","Nao"))))))</f>
        <v/>
      </c>
      <c r="T1926" s="156"/>
      <c r="U1926" s="214" t="str">
        <f t="shared" si="156"/>
        <v/>
      </c>
      <c r="V1926" s="212" t="s">
        <v>50</v>
      </c>
      <c r="W1926" s="100" t="s">
        <v>168</v>
      </c>
      <c r="X1926" s="100" t="s">
        <v>169</v>
      </c>
      <c r="Y1926" s="101" t="s">
        <v>170</v>
      </c>
      <c r="Z1926" s="101" t="s">
        <v>171</v>
      </c>
      <c r="AA1926" s="101" t="s">
        <v>50</v>
      </c>
      <c r="AB1926" s="101" t="s">
        <v>172</v>
      </c>
      <c r="AC1926" s="102" t="s">
        <v>173</v>
      </c>
    </row>
    <row r="1927" spans="1:29" ht="25.5" customHeight="1" x14ac:dyDescent="0.35">
      <c r="A1927" s="392"/>
      <c r="B1927" s="393"/>
      <c r="C1927" s="99" t="str">
        <f>IF(B1927="","",IF(NOT(ISNUMBER(B1927)),"DATA_PC invalida",IF(NOT(ISNUMBER(parametros!$C$2)),"Fora dos ciclos",IF(OR(B1927&lt;parametros!$C$2,(YEAR(B1927)-YEAR(parametros!$C$2))*12+MONTH(B1927)-MONTH(parametros!$C$2)&gt;59),"Fora dos ciclos","C"&amp;INT(((YEAR(B1927)-YEAR(parametros!$C$2))*12+MONTH(B1927)-MONTH(parametros!$C$2))/12)))))</f>
        <v/>
      </c>
      <c r="D1927" s="394"/>
      <c r="E1927" s="78" t="str">
        <f>IF(C1927="","",IFERROR(VLOOKUP(C1927,parametros!$A$11:$E$15,5,0),""))</f>
        <v/>
      </c>
      <c r="F1927" s="79" t="str">
        <f t="shared" si="152"/>
        <v/>
      </c>
      <c r="G1927" s="395"/>
      <c r="H1927" s="91">
        <f t="shared" si="153"/>
        <v>0</v>
      </c>
      <c r="I1927" s="91" t="str">
        <f t="shared" si="154"/>
        <v/>
      </c>
      <c r="J1927" s="91" t="str">
        <f t="shared" si="155"/>
        <v/>
      </c>
      <c r="K1927" s="92" t="str">
        <f>IF(AND(A1927="",B1927="",D1927="",G1927=""),"",IF(AND(A1927&lt;&gt;"",COUNTIF($A$2:$A$5001,A1927)&gt;1),"NUMERO_PC duplicado",IF(B1927="","DATA_PC vazia",IF(NOT(ISNUMBER(B1927)),"DATA_PC invalida",IF(OR(C1927="",C1927="Fora dos ciclos"),"CICLO_PC nao identificado",IF(OR(D1927="",D1927=0),"VALOR_PC vazio ou zero",IF(AND(G1927&lt;&gt;"Sim",G1927&lt;&gt;"Nao",G1927&lt;&gt;""),"PC_PAGO_A_CONTRATADA invalido",IF(AND(C1927&lt;&gt;"C0",IFERROR(INDEX(parametros!$A$2:$A$6,MATCH(C1927,parametros!$B$2:$B$6,0)),"")="Sim",IFERROR(INDEX(parametros!$H$2:$H$6,MATCH(C1927,parametros!$B$2:$B$6,0)),"")=""),"INICIO_EFEITO ausente: PC "&amp;A1927&amp;" - "&amp;C1927,IF(L1927="","EFEITO_PC nao calculado: PC "&amp;A1927&amp;" - "&amp;C1927,"OK")))))))))</f>
        <v/>
      </c>
      <c r="L1927" s="92" t="str">
        <f>IF(AND(A1927="",B1927="",D1927="",G1927=""),"",IF(OR(B1927="",NOT(ISNUMBER(B1927)),C1927="",C1927="Fora dos ciclos"),"",IF(C1927="C0","Nao",IF(IFERROR(INDEX(parametros!$A$2:$A$6,MATCH(C1927,parametros!$B$2:$B$6,0)),"")&lt;&gt;"Sim","Nao",IF(IFERROR(INDEX(parametros!$H$2:$H$6,MATCH(C1927,parametros!$B$2:$B$6,0)),"")="","",IF(B1927&gt;=IFERROR(INDEX(parametros!$H$2:$H$6,MATCH(C1927,parametros!$B$2:$B$6,0)),""),"Sim","Nao"))))))</f>
        <v/>
      </c>
      <c r="T1927" s="156"/>
      <c r="U1927" s="214" t="str">
        <f t="shared" si="156"/>
        <v/>
      </c>
      <c r="V1927" s="212" t="s">
        <v>50</v>
      </c>
      <c r="W1927" s="100" t="s">
        <v>168</v>
      </c>
      <c r="X1927" s="100" t="s">
        <v>169</v>
      </c>
      <c r="Y1927" s="101" t="s">
        <v>170</v>
      </c>
      <c r="Z1927" s="101" t="s">
        <v>171</v>
      </c>
      <c r="AA1927" s="101" t="s">
        <v>50</v>
      </c>
      <c r="AB1927" s="101" t="s">
        <v>172</v>
      </c>
      <c r="AC1927" s="102" t="s">
        <v>173</v>
      </c>
    </row>
    <row r="1928" spans="1:29" ht="25.5" customHeight="1" x14ac:dyDescent="0.35">
      <c r="A1928" s="392"/>
      <c r="B1928" s="393"/>
      <c r="C1928" s="99" t="str">
        <f>IF(B1928="","",IF(NOT(ISNUMBER(B1928)),"DATA_PC invalida",IF(NOT(ISNUMBER(parametros!$C$2)),"Fora dos ciclos",IF(OR(B1928&lt;parametros!$C$2,(YEAR(B1928)-YEAR(parametros!$C$2))*12+MONTH(B1928)-MONTH(parametros!$C$2)&gt;59),"Fora dos ciclos","C"&amp;INT(((YEAR(B1928)-YEAR(parametros!$C$2))*12+MONTH(B1928)-MONTH(parametros!$C$2))/12)))))</f>
        <v/>
      </c>
      <c r="D1928" s="394"/>
      <c r="E1928" s="78" t="str">
        <f>IF(C1928="","",IFERROR(VLOOKUP(C1928,parametros!$A$11:$E$15,5,0),""))</f>
        <v/>
      </c>
      <c r="F1928" s="79" t="str">
        <f t="shared" si="152"/>
        <v/>
      </c>
      <c r="G1928" s="395"/>
      <c r="H1928" s="91">
        <f t="shared" si="153"/>
        <v>0</v>
      </c>
      <c r="I1928" s="91" t="str">
        <f t="shared" si="154"/>
        <v/>
      </c>
      <c r="J1928" s="91" t="str">
        <f t="shared" si="155"/>
        <v/>
      </c>
      <c r="K1928" s="92" t="str">
        <f>IF(AND(A1928="",B1928="",D1928="",G1928=""),"",IF(AND(A1928&lt;&gt;"",COUNTIF($A$2:$A$5001,A1928)&gt;1),"NUMERO_PC duplicado",IF(B1928="","DATA_PC vazia",IF(NOT(ISNUMBER(B1928)),"DATA_PC invalida",IF(OR(C1928="",C1928="Fora dos ciclos"),"CICLO_PC nao identificado",IF(OR(D1928="",D1928=0),"VALOR_PC vazio ou zero",IF(AND(G1928&lt;&gt;"Sim",G1928&lt;&gt;"Nao",G1928&lt;&gt;""),"PC_PAGO_A_CONTRATADA invalido",IF(AND(C1928&lt;&gt;"C0",IFERROR(INDEX(parametros!$A$2:$A$6,MATCH(C1928,parametros!$B$2:$B$6,0)),"")="Sim",IFERROR(INDEX(parametros!$H$2:$H$6,MATCH(C1928,parametros!$B$2:$B$6,0)),"")=""),"INICIO_EFEITO ausente: PC "&amp;A1928&amp;" - "&amp;C1928,IF(L1928="","EFEITO_PC nao calculado: PC "&amp;A1928&amp;" - "&amp;C1928,"OK")))))))))</f>
        <v/>
      </c>
      <c r="L1928" s="92" t="str">
        <f>IF(AND(A1928="",B1928="",D1928="",G1928=""),"",IF(OR(B1928="",NOT(ISNUMBER(B1928)),C1928="",C1928="Fora dos ciclos"),"",IF(C1928="C0","Nao",IF(IFERROR(INDEX(parametros!$A$2:$A$6,MATCH(C1928,parametros!$B$2:$B$6,0)),"")&lt;&gt;"Sim","Nao",IF(IFERROR(INDEX(parametros!$H$2:$H$6,MATCH(C1928,parametros!$B$2:$B$6,0)),"")="","",IF(B1928&gt;=IFERROR(INDEX(parametros!$H$2:$H$6,MATCH(C1928,parametros!$B$2:$B$6,0)),""),"Sim","Nao"))))))</f>
        <v/>
      </c>
      <c r="T1928" s="156"/>
      <c r="U1928" s="214" t="str">
        <f t="shared" si="156"/>
        <v/>
      </c>
      <c r="V1928" s="212" t="s">
        <v>50</v>
      </c>
      <c r="W1928" s="100" t="s">
        <v>168</v>
      </c>
      <c r="X1928" s="100" t="s">
        <v>169</v>
      </c>
      <c r="Y1928" s="101" t="s">
        <v>170</v>
      </c>
      <c r="Z1928" s="101" t="s">
        <v>171</v>
      </c>
      <c r="AA1928" s="101" t="s">
        <v>50</v>
      </c>
      <c r="AB1928" s="101" t="s">
        <v>172</v>
      </c>
      <c r="AC1928" s="102" t="s">
        <v>173</v>
      </c>
    </row>
    <row r="1929" spans="1:29" ht="25.5" customHeight="1" x14ac:dyDescent="0.35">
      <c r="A1929" s="392"/>
      <c r="B1929" s="393"/>
      <c r="C1929" s="99" t="str">
        <f>IF(B1929="","",IF(NOT(ISNUMBER(B1929)),"DATA_PC invalida",IF(NOT(ISNUMBER(parametros!$C$2)),"Fora dos ciclos",IF(OR(B1929&lt;parametros!$C$2,(YEAR(B1929)-YEAR(parametros!$C$2))*12+MONTH(B1929)-MONTH(parametros!$C$2)&gt;59),"Fora dos ciclos","C"&amp;INT(((YEAR(B1929)-YEAR(parametros!$C$2))*12+MONTH(B1929)-MONTH(parametros!$C$2))/12)))))</f>
        <v/>
      </c>
      <c r="D1929" s="394"/>
      <c r="E1929" s="78" t="str">
        <f>IF(C1929="","",IFERROR(VLOOKUP(C1929,parametros!$A$11:$E$15,5,0),""))</f>
        <v/>
      </c>
      <c r="F1929" s="79" t="str">
        <f t="shared" si="152"/>
        <v/>
      </c>
      <c r="G1929" s="395"/>
      <c r="H1929" s="91">
        <f t="shared" si="153"/>
        <v>0</v>
      </c>
      <c r="I1929" s="91" t="str">
        <f t="shared" si="154"/>
        <v/>
      </c>
      <c r="J1929" s="91" t="str">
        <f t="shared" si="155"/>
        <v/>
      </c>
      <c r="K1929" s="92" t="str">
        <f>IF(AND(A1929="",B1929="",D1929="",G1929=""),"",IF(AND(A1929&lt;&gt;"",COUNTIF($A$2:$A$5001,A1929)&gt;1),"NUMERO_PC duplicado",IF(B1929="","DATA_PC vazia",IF(NOT(ISNUMBER(B1929)),"DATA_PC invalida",IF(OR(C1929="",C1929="Fora dos ciclos"),"CICLO_PC nao identificado",IF(OR(D1929="",D1929=0),"VALOR_PC vazio ou zero",IF(AND(G1929&lt;&gt;"Sim",G1929&lt;&gt;"Nao",G1929&lt;&gt;""),"PC_PAGO_A_CONTRATADA invalido",IF(AND(C1929&lt;&gt;"C0",IFERROR(INDEX(parametros!$A$2:$A$6,MATCH(C1929,parametros!$B$2:$B$6,0)),"")="Sim",IFERROR(INDEX(parametros!$H$2:$H$6,MATCH(C1929,parametros!$B$2:$B$6,0)),"")=""),"INICIO_EFEITO ausente: PC "&amp;A1929&amp;" - "&amp;C1929,IF(L1929="","EFEITO_PC nao calculado: PC "&amp;A1929&amp;" - "&amp;C1929,"OK")))))))))</f>
        <v/>
      </c>
      <c r="L1929" s="92" t="str">
        <f>IF(AND(A1929="",B1929="",D1929="",G1929=""),"",IF(OR(B1929="",NOT(ISNUMBER(B1929)),C1929="",C1929="Fora dos ciclos"),"",IF(C1929="C0","Nao",IF(IFERROR(INDEX(parametros!$A$2:$A$6,MATCH(C1929,parametros!$B$2:$B$6,0)),"")&lt;&gt;"Sim","Nao",IF(IFERROR(INDEX(parametros!$H$2:$H$6,MATCH(C1929,parametros!$B$2:$B$6,0)),"")="","",IF(B1929&gt;=IFERROR(INDEX(parametros!$H$2:$H$6,MATCH(C1929,parametros!$B$2:$B$6,0)),""),"Sim","Nao"))))))</f>
        <v/>
      </c>
      <c r="T1929" s="156"/>
      <c r="U1929" s="214" t="str">
        <f t="shared" si="156"/>
        <v/>
      </c>
      <c r="V1929" s="212" t="s">
        <v>50</v>
      </c>
      <c r="W1929" s="100" t="s">
        <v>168</v>
      </c>
      <c r="X1929" s="100" t="s">
        <v>169</v>
      </c>
      <c r="Y1929" s="101" t="s">
        <v>170</v>
      </c>
      <c r="Z1929" s="101" t="s">
        <v>171</v>
      </c>
      <c r="AA1929" s="101" t="s">
        <v>50</v>
      </c>
      <c r="AB1929" s="101" t="s">
        <v>172</v>
      </c>
      <c r="AC1929" s="102" t="s">
        <v>173</v>
      </c>
    </row>
    <row r="1930" spans="1:29" ht="25.5" customHeight="1" x14ac:dyDescent="0.35">
      <c r="A1930" s="392"/>
      <c r="B1930" s="393"/>
      <c r="C1930" s="99" t="str">
        <f>IF(B1930="","",IF(NOT(ISNUMBER(B1930)),"DATA_PC invalida",IF(NOT(ISNUMBER(parametros!$C$2)),"Fora dos ciclos",IF(OR(B1930&lt;parametros!$C$2,(YEAR(B1930)-YEAR(parametros!$C$2))*12+MONTH(B1930)-MONTH(parametros!$C$2)&gt;59),"Fora dos ciclos","C"&amp;INT(((YEAR(B1930)-YEAR(parametros!$C$2))*12+MONTH(B1930)-MONTH(parametros!$C$2))/12)))))</f>
        <v/>
      </c>
      <c r="D1930" s="394"/>
      <c r="E1930" s="78" t="str">
        <f>IF(C1930="","",IFERROR(VLOOKUP(C1930,parametros!$A$11:$E$15,5,0),""))</f>
        <v/>
      </c>
      <c r="F1930" s="79" t="str">
        <f t="shared" si="152"/>
        <v/>
      </c>
      <c r="G1930" s="395"/>
      <c r="H1930" s="91">
        <f t="shared" si="153"/>
        <v>0</v>
      </c>
      <c r="I1930" s="91" t="str">
        <f t="shared" si="154"/>
        <v/>
      </c>
      <c r="J1930" s="91" t="str">
        <f t="shared" si="155"/>
        <v/>
      </c>
      <c r="K1930" s="92" t="str">
        <f>IF(AND(A1930="",B1930="",D1930="",G1930=""),"",IF(AND(A1930&lt;&gt;"",COUNTIF($A$2:$A$5001,A1930)&gt;1),"NUMERO_PC duplicado",IF(B1930="","DATA_PC vazia",IF(NOT(ISNUMBER(B1930)),"DATA_PC invalida",IF(OR(C1930="",C1930="Fora dos ciclos"),"CICLO_PC nao identificado",IF(OR(D1930="",D1930=0),"VALOR_PC vazio ou zero",IF(AND(G1930&lt;&gt;"Sim",G1930&lt;&gt;"Nao",G1930&lt;&gt;""),"PC_PAGO_A_CONTRATADA invalido",IF(AND(C1930&lt;&gt;"C0",IFERROR(INDEX(parametros!$A$2:$A$6,MATCH(C1930,parametros!$B$2:$B$6,0)),"")="Sim",IFERROR(INDEX(parametros!$H$2:$H$6,MATCH(C1930,parametros!$B$2:$B$6,0)),"")=""),"INICIO_EFEITO ausente: PC "&amp;A1930&amp;" - "&amp;C1930,IF(L1930="","EFEITO_PC nao calculado: PC "&amp;A1930&amp;" - "&amp;C1930,"OK")))))))))</f>
        <v/>
      </c>
      <c r="L1930" s="92" t="str">
        <f>IF(AND(A1930="",B1930="",D1930="",G1930=""),"",IF(OR(B1930="",NOT(ISNUMBER(B1930)),C1930="",C1930="Fora dos ciclos"),"",IF(C1930="C0","Nao",IF(IFERROR(INDEX(parametros!$A$2:$A$6,MATCH(C1930,parametros!$B$2:$B$6,0)),"")&lt;&gt;"Sim","Nao",IF(IFERROR(INDEX(parametros!$H$2:$H$6,MATCH(C1930,parametros!$B$2:$B$6,0)),"")="","",IF(B1930&gt;=IFERROR(INDEX(parametros!$H$2:$H$6,MATCH(C1930,parametros!$B$2:$B$6,0)),""),"Sim","Nao"))))))</f>
        <v/>
      </c>
      <c r="T1930" s="156"/>
      <c r="U1930" s="214" t="str">
        <f t="shared" si="156"/>
        <v/>
      </c>
      <c r="V1930" s="212" t="s">
        <v>50</v>
      </c>
      <c r="W1930" s="100" t="s">
        <v>168</v>
      </c>
      <c r="X1930" s="100" t="s">
        <v>169</v>
      </c>
      <c r="Y1930" s="101" t="s">
        <v>170</v>
      </c>
      <c r="Z1930" s="101" t="s">
        <v>171</v>
      </c>
      <c r="AA1930" s="101" t="s">
        <v>50</v>
      </c>
      <c r="AB1930" s="101" t="s">
        <v>172</v>
      </c>
      <c r="AC1930" s="102" t="s">
        <v>173</v>
      </c>
    </row>
    <row r="1931" spans="1:29" ht="25.5" customHeight="1" x14ac:dyDescent="0.35">
      <c r="A1931" s="392"/>
      <c r="B1931" s="393"/>
      <c r="C1931" s="99" t="str">
        <f>IF(B1931="","",IF(NOT(ISNUMBER(B1931)),"DATA_PC invalida",IF(NOT(ISNUMBER(parametros!$C$2)),"Fora dos ciclos",IF(OR(B1931&lt;parametros!$C$2,(YEAR(B1931)-YEAR(parametros!$C$2))*12+MONTH(B1931)-MONTH(parametros!$C$2)&gt;59),"Fora dos ciclos","C"&amp;INT(((YEAR(B1931)-YEAR(parametros!$C$2))*12+MONTH(B1931)-MONTH(parametros!$C$2))/12)))))</f>
        <v/>
      </c>
      <c r="D1931" s="394"/>
      <c r="E1931" s="78" t="str">
        <f>IF(C1931="","",IFERROR(VLOOKUP(C1931,parametros!$A$11:$E$15,5,0),""))</f>
        <v/>
      </c>
      <c r="F1931" s="79" t="str">
        <f t="shared" si="152"/>
        <v/>
      </c>
      <c r="G1931" s="395"/>
      <c r="H1931" s="91">
        <f t="shared" si="153"/>
        <v>0</v>
      </c>
      <c r="I1931" s="91" t="str">
        <f t="shared" si="154"/>
        <v/>
      </c>
      <c r="J1931" s="91" t="str">
        <f t="shared" si="155"/>
        <v/>
      </c>
      <c r="K1931" s="92" t="str">
        <f>IF(AND(A1931="",B1931="",D1931="",G1931=""),"",IF(AND(A1931&lt;&gt;"",COUNTIF($A$2:$A$5001,A1931)&gt;1),"NUMERO_PC duplicado",IF(B1931="","DATA_PC vazia",IF(NOT(ISNUMBER(B1931)),"DATA_PC invalida",IF(OR(C1931="",C1931="Fora dos ciclos"),"CICLO_PC nao identificado",IF(OR(D1931="",D1931=0),"VALOR_PC vazio ou zero",IF(AND(G1931&lt;&gt;"Sim",G1931&lt;&gt;"Nao",G1931&lt;&gt;""),"PC_PAGO_A_CONTRATADA invalido",IF(AND(C1931&lt;&gt;"C0",IFERROR(INDEX(parametros!$A$2:$A$6,MATCH(C1931,parametros!$B$2:$B$6,0)),"")="Sim",IFERROR(INDEX(parametros!$H$2:$H$6,MATCH(C1931,parametros!$B$2:$B$6,0)),"")=""),"INICIO_EFEITO ausente: PC "&amp;A1931&amp;" - "&amp;C1931,IF(L1931="","EFEITO_PC nao calculado: PC "&amp;A1931&amp;" - "&amp;C1931,"OK")))))))))</f>
        <v/>
      </c>
      <c r="L1931" s="92" t="str">
        <f>IF(AND(A1931="",B1931="",D1931="",G1931=""),"",IF(OR(B1931="",NOT(ISNUMBER(B1931)),C1931="",C1931="Fora dos ciclos"),"",IF(C1931="C0","Nao",IF(IFERROR(INDEX(parametros!$A$2:$A$6,MATCH(C1931,parametros!$B$2:$B$6,0)),"")&lt;&gt;"Sim","Nao",IF(IFERROR(INDEX(parametros!$H$2:$H$6,MATCH(C1931,parametros!$B$2:$B$6,0)),"")="","",IF(B1931&gt;=IFERROR(INDEX(parametros!$H$2:$H$6,MATCH(C1931,parametros!$B$2:$B$6,0)),""),"Sim","Nao"))))))</f>
        <v/>
      </c>
      <c r="T1931" s="156"/>
      <c r="U1931" s="214" t="str">
        <f t="shared" si="156"/>
        <v/>
      </c>
      <c r="V1931" s="212" t="s">
        <v>50</v>
      </c>
      <c r="W1931" s="100" t="s">
        <v>168</v>
      </c>
      <c r="X1931" s="100" t="s">
        <v>169</v>
      </c>
      <c r="Y1931" s="101" t="s">
        <v>170</v>
      </c>
      <c r="Z1931" s="101" t="s">
        <v>171</v>
      </c>
      <c r="AA1931" s="101" t="s">
        <v>50</v>
      </c>
      <c r="AB1931" s="101" t="s">
        <v>172</v>
      </c>
      <c r="AC1931" s="102" t="s">
        <v>173</v>
      </c>
    </row>
    <row r="1932" spans="1:29" ht="25.5" customHeight="1" x14ac:dyDescent="0.35">
      <c r="A1932" s="392"/>
      <c r="B1932" s="393"/>
      <c r="C1932" s="99" t="str">
        <f>IF(B1932="","",IF(NOT(ISNUMBER(B1932)),"DATA_PC invalida",IF(NOT(ISNUMBER(parametros!$C$2)),"Fora dos ciclos",IF(OR(B1932&lt;parametros!$C$2,(YEAR(B1932)-YEAR(parametros!$C$2))*12+MONTH(B1932)-MONTH(parametros!$C$2)&gt;59),"Fora dos ciclos","C"&amp;INT(((YEAR(B1932)-YEAR(parametros!$C$2))*12+MONTH(B1932)-MONTH(parametros!$C$2))/12)))))</f>
        <v/>
      </c>
      <c r="D1932" s="394"/>
      <c r="E1932" s="78" t="str">
        <f>IF(C1932="","",IFERROR(VLOOKUP(C1932,parametros!$A$11:$E$15,5,0),""))</f>
        <v/>
      </c>
      <c r="F1932" s="79" t="str">
        <f t="shared" si="152"/>
        <v/>
      </c>
      <c r="G1932" s="395"/>
      <c r="H1932" s="91">
        <f t="shared" si="153"/>
        <v>0</v>
      </c>
      <c r="I1932" s="91" t="str">
        <f t="shared" si="154"/>
        <v/>
      </c>
      <c r="J1932" s="91" t="str">
        <f t="shared" si="155"/>
        <v/>
      </c>
      <c r="K1932" s="92" t="str">
        <f>IF(AND(A1932="",B1932="",D1932="",G1932=""),"",IF(AND(A1932&lt;&gt;"",COUNTIF($A$2:$A$5001,A1932)&gt;1),"NUMERO_PC duplicado",IF(B1932="","DATA_PC vazia",IF(NOT(ISNUMBER(B1932)),"DATA_PC invalida",IF(OR(C1932="",C1932="Fora dos ciclos"),"CICLO_PC nao identificado",IF(OR(D1932="",D1932=0),"VALOR_PC vazio ou zero",IF(AND(G1932&lt;&gt;"Sim",G1932&lt;&gt;"Nao",G1932&lt;&gt;""),"PC_PAGO_A_CONTRATADA invalido",IF(AND(C1932&lt;&gt;"C0",IFERROR(INDEX(parametros!$A$2:$A$6,MATCH(C1932,parametros!$B$2:$B$6,0)),"")="Sim",IFERROR(INDEX(parametros!$H$2:$H$6,MATCH(C1932,parametros!$B$2:$B$6,0)),"")=""),"INICIO_EFEITO ausente: PC "&amp;A1932&amp;" - "&amp;C1932,IF(L1932="","EFEITO_PC nao calculado: PC "&amp;A1932&amp;" - "&amp;C1932,"OK")))))))))</f>
        <v/>
      </c>
      <c r="L1932" s="92" t="str">
        <f>IF(AND(A1932="",B1932="",D1932="",G1932=""),"",IF(OR(B1932="",NOT(ISNUMBER(B1932)),C1932="",C1932="Fora dos ciclos"),"",IF(C1932="C0","Nao",IF(IFERROR(INDEX(parametros!$A$2:$A$6,MATCH(C1932,parametros!$B$2:$B$6,0)),"")&lt;&gt;"Sim","Nao",IF(IFERROR(INDEX(parametros!$H$2:$H$6,MATCH(C1932,parametros!$B$2:$B$6,0)),"")="","",IF(B1932&gt;=IFERROR(INDEX(parametros!$H$2:$H$6,MATCH(C1932,parametros!$B$2:$B$6,0)),""),"Sim","Nao"))))))</f>
        <v/>
      </c>
      <c r="T1932" s="156"/>
      <c r="U1932" s="214" t="str">
        <f t="shared" si="156"/>
        <v/>
      </c>
      <c r="V1932" s="212" t="s">
        <v>50</v>
      </c>
      <c r="W1932" s="100" t="s">
        <v>168</v>
      </c>
      <c r="X1932" s="100" t="s">
        <v>169</v>
      </c>
      <c r="Y1932" s="101" t="s">
        <v>170</v>
      </c>
      <c r="Z1932" s="101" t="s">
        <v>171</v>
      </c>
      <c r="AA1932" s="101" t="s">
        <v>50</v>
      </c>
      <c r="AB1932" s="101" t="s">
        <v>172</v>
      </c>
      <c r="AC1932" s="102" t="s">
        <v>173</v>
      </c>
    </row>
    <row r="1933" spans="1:29" ht="25.5" customHeight="1" x14ac:dyDescent="0.35">
      <c r="A1933" s="392"/>
      <c r="B1933" s="393"/>
      <c r="C1933" s="99" t="str">
        <f>IF(B1933="","",IF(NOT(ISNUMBER(B1933)),"DATA_PC invalida",IF(NOT(ISNUMBER(parametros!$C$2)),"Fora dos ciclos",IF(OR(B1933&lt;parametros!$C$2,(YEAR(B1933)-YEAR(parametros!$C$2))*12+MONTH(B1933)-MONTH(parametros!$C$2)&gt;59),"Fora dos ciclos","C"&amp;INT(((YEAR(B1933)-YEAR(parametros!$C$2))*12+MONTH(B1933)-MONTH(parametros!$C$2))/12)))))</f>
        <v/>
      </c>
      <c r="D1933" s="394"/>
      <c r="E1933" s="78" t="str">
        <f>IF(C1933="","",IFERROR(VLOOKUP(C1933,parametros!$A$11:$E$15,5,0),""))</f>
        <v/>
      </c>
      <c r="F1933" s="79" t="str">
        <f t="shared" si="152"/>
        <v/>
      </c>
      <c r="G1933" s="395"/>
      <c r="H1933" s="91">
        <f t="shared" si="153"/>
        <v>0</v>
      </c>
      <c r="I1933" s="91" t="str">
        <f t="shared" si="154"/>
        <v/>
      </c>
      <c r="J1933" s="91" t="str">
        <f t="shared" si="155"/>
        <v/>
      </c>
      <c r="K1933" s="92" t="str">
        <f>IF(AND(A1933="",B1933="",D1933="",G1933=""),"",IF(AND(A1933&lt;&gt;"",COUNTIF($A$2:$A$5001,A1933)&gt;1),"NUMERO_PC duplicado",IF(B1933="","DATA_PC vazia",IF(NOT(ISNUMBER(B1933)),"DATA_PC invalida",IF(OR(C1933="",C1933="Fora dos ciclos"),"CICLO_PC nao identificado",IF(OR(D1933="",D1933=0),"VALOR_PC vazio ou zero",IF(AND(G1933&lt;&gt;"Sim",G1933&lt;&gt;"Nao",G1933&lt;&gt;""),"PC_PAGO_A_CONTRATADA invalido",IF(AND(C1933&lt;&gt;"C0",IFERROR(INDEX(parametros!$A$2:$A$6,MATCH(C1933,parametros!$B$2:$B$6,0)),"")="Sim",IFERROR(INDEX(parametros!$H$2:$H$6,MATCH(C1933,parametros!$B$2:$B$6,0)),"")=""),"INICIO_EFEITO ausente: PC "&amp;A1933&amp;" - "&amp;C1933,IF(L1933="","EFEITO_PC nao calculado: PC "&amp;A1933&amp;" - "&amp;C1933,"OK")))))))))</f>
        <v/>
      </c>
      <c r="L1933" s="92" t="str">
        <f>IF(AND(A1933="",B1933="",D1933="",G1933=""),"",IF(OR(B1933="",NOT(ISNUMBER(B1933)),C1933="",C1933="Fora dos ciclos"),"",IF(C1933="C0","Nao",IF(IFERROR(INDEX(parametros!$A$2:$A$6,MATCH(C1933,parametros!$B$2:$B$6,0)),"")&lt;&gt;"Sim","Nao",IF(IFERROR(INDEX(parametros!$H$2:$H$6,MATCH(C1933,parametros!$B$2:$B$6,0)),"")="","",IF(B1933&gt;=IFERROR(INDEX(parametros!$H$2:$H$6,MATCH(C1933,parametros!$B$2:$B$6,0)),""),"Sim","Nao"))))))</f>
        <v/>
      </c>
      <c r="T1933" s="156"/>
      <c r="U1933" s="214" t="str">
        <f t="shared" si="156"/>
        <v/>
      </c>
      <c r="V1933" s="212" t="s">
        <v>50</v>
      </c>
      <c r="W1933" s="100" t="s">
        <v>168</v>
      </c>
      <c r="X1933" s="100" t="s">
        <v>169</v>
      </c>
      <c r="Y1933" s="101" t="s">
        <v>170</v>
      </c>
      <c r="Z1933" s="101" t="s">
        <v>171</v>
      </c>
      <c r="AA1933" s="101" t="s">
        <v>50</v>
      </c>
      <c r="AB1933" s="101" t="s">
        <v>172</v>
      </c>
      <c r="AC1933" s="102" t="s">
        <v>173</v>
      </c>
    </row>
    <row r="1934" spans="1:29" ht="25.5" customHeight="1" x14ac:dyDescent="0.35">
      <c r="A1934" s="392"/>
      <c r="B1934" s="393"/>
      <c r="C1934" s="99" t="str">
        <f>IF(B1934="","",IF(NOT(ISNUMBER(B1934)),"DATA_PC invalida",IF(NOT(ISNUMBER(parametros!$C$2)),"Fora dos ciclos",IF(OR(B1934&lt;parametros!$C$2,(YEAR(B1934)-YEAR(parametros!$C$2))*12+MONTH(B1934)-MONTH(parametros!$C$2)&gt;59),"Fora dos ciclos","C"&amp;INT(((YEAR(B1934)-YEAR(parametros!$C$2))*12+MONTH(B1934)-MONTH(parametros!$C$2))/12)))))</f>
        <v/>
      </c>
      <c r="D1934" s="394"/>
      <c r="E1934" s="78" t="str">
        <f>IF(C1934="","",IFERROR(VLOOKUP(C1934,parametros!$A$11:$E$15,5,0),""))</f>
        <v/>
      </c>
      <c r="F1934" s="79" t="str">
        <f t="shared" si="152"/>
        <v/>
      </c>
      <c r="G1934" s="395"/>
      <c r="H1934" s="91">
        <f t="shared" si="153"/>
        <v>0</v>
      </c>
      <c r="I1934" s="91" t="str">
        <f t="shared" si="154"/>
        <v/>
      </c>
      <c r="J1934" s="91" t="str">
        <f t="shared" si="155"/>
        <v/>
      </c>
      <c r="K1934" s="92" t="str">
        <f>IF(AND(A1934="",B1934="",D1934="",G1934=""),"",IF(AND(A1934&lt;&gt;"",COUNTIF($A$2:$A$5001,A1934)&gt;1),"NUMERO_PC duplicado",IF(B1934="","DATA_PC vazia",IF(NOT(ISNUMBER(B1934)),"DATA_PC invalida",IF(OR(C1934="",C1934="Fora dos ciclos"),"CICLO_PC nao identificado",IF(OR(D1934="",D1934=0),"VALOR_PC vazio ou zero",IF(AND(G1934&lt;&gt;"Sim",G1934&lt;&gt;"Nao",G1934&lt;&gt;""),"PC_PAGO_A_CONTRATADA invalido",IF(AND(C1934&lt;&gt;"C0",IFERROR(INDEX(parametros!$A$2:$A$6,MATCH(C1934,parametros!$B$2:$B$6,0)),"")="Sim",IFERROR(INDEX(parametros!$H$2:$H$6,MATCH(C1934,parametros!$B$2:$B$6,0)),"")=""),"INICIO_EFEITO ausente: PC "&amp;A1934&amp;" - "&amp;C1934,IF(L1934="","EFEITO_PC nao calculado: PC "&amp;A1934&amp;" - "&amp;C1934,"OK")))))))))</f>
        <v/>
      </c>
      <c r="L1934" s="92" t="str">
        <f>IF(AND(A1934="",B1934="",D1934="",G1934=""),"",IF(OR(B1934="",NOT(ISNUMBER(B1934)),C1934="",C1934="Fora dos ciclos"),"",IF(C1934="C0","Nao",IF(IFERROR(INDEX(parametros!$A$2:$A$6,MATCH(C1934,parametros!$B$2:$B$6,0)),"")&lt;&gt;"Sim","Nao",IF(IFERROR(INDEX(parametros!$H$2:$H$6,MATCH(C1934,parametros!$B$2:$B$6,0)),"")="","",IF(B1934&gt;=IFERROR(INDEX(parametros!$H$2:$H$6,MATCH(C1934,parametros!$B$2:$B$6,0)),""),"Sim","Nao"))))))</f>
        <v/>
      </c>
      <c r="T1934" s="156"/>
      <c r="U1934" s="214" t="str">
        <f t="shared" si="156"/>
        <v/>
      </c>
      <c r="V1934" s="212" t="s">
        <v>50</v>
      </c>
      <c r="W1934" s="100" t="s">
        <v>168</v>
      </c>
      <c r="X1934" s="100" t="s">
        <v>169</v>
      </c>
      <c r="Y1934" s="101" t="s">
        <v>170</v>
      </c>
      <c r="Z1934" s="101" t="s">
        <v>171</v>
      </c>
      <c r="AA1934" s="101" t="s">
        <v>50</v>
      </c>
      <c r="AB1934" s="101" t="s">
        <v>172</v>
      </c>
      <c r="AC1934" s="102" t="s">
        <v>173</v>
      </c>
    </row>
    <row r="1935" spans="1:29" ht="25.5" customHeight="1" x14ac:dyDescent="0.35">
      <c r="A1935" s="392"/>
      <c r="B1935" s="393"/>
      <c r="C1935" s="99" t="str">
        <f>IF(B1935="","",IF(NOT(ISNUMBER(B1935)),"DATA_PC invalida",IF(NOT(ISNUMBER(parametros!$C$2)),"Fora dos ciclos",IF(OR(B1935&lt;parametros!$C$2,(YEAR(B1935)-YEAR(parametros!$C$2))*12+MONTH(B1935)-MONTH(parametros!$C$2)&gt;59),"Fora dos ciclos","C"&amp;INT(((YEAR(B1935)-YEAR(parametros!$C$2))*12+MONTH(B1935)-MONTH(parametros!$C$2))/12)))))</f>
        <v/>
      </c>
      <c r="D1935" s="394"/>
      <c r="E1935" s="78" t="str">
        <f>IF(C1935="","",IFERROR(VLOOKUP(C1935,parametros!$A$11:$E$15,5,0),""))</f>
        <v/>
      </c>
      <c r="F1935" s="79" t="str">
        <f t="shared" si="152"/>
        <v/>
      </c>
      <c r="G1935" s="395"/>
      <c r="H1935" s="91">
        <f t="shared" si="153"/>
        <v>0</v>
      </c>
      <c r="I1935" s="91" t="str">
        <f t="shared" si="154"/>
        <v/>
      </c>
      <c r="J1935" s="91" t="str">
        <f t="shared" si="155"/>
        <v/>
      </c>
      <c r="K1935" s="92" t="str">
        <f>IF(AND(A1935="",B1935="",D1935="",G1935=""),"",IF(AND(A1935&lt;&gt;"",COUNTIF($A$2:$A$5001,A1935)&gt;1),"NUMERO_PC duplicado",IF(B1935="","DATA_PC vazia",IF(NOT(ISNUMBER(B1935)),"DATA_PC invalida",IF(OR(C1935="",C1935="Fora dos ciclos"),"CICLO_PC nao identificado",IF(OR(D1935="",D1935=0),"VALOR_PC vazio ou zero",IF(AND(G1935&lt;&gt;"Sim",G1935&lt;&gt;"Nao",G1935&lt;&gt;""),"PC_PAGO_A_CONTRATADA invalido",IF(AND(C1935&lt;&gt;"C0",IFERROR(INDEX(parametros!$A$2:$A$6,MATCH(C1935,parametros!$B$2:$B$6,0)),"")="Sim",IFERROR(INDEX(parametros!$H$2:$H$6,MATCH(C1935,parametros!$B$2:$B$6,0)),"")=""),"INICIO_EFEITO ausente: PC "&amp;A1935&amp;" - "&amp;C1935,IF(L1935="","EFEITO_PC nao calculado: PC "&amp;A1935&amp;" - "&amp;C1935,"OK")))))))))</f>
        <v/>
      </c>
      <c r="L1935" s="92" t="str">
        <f>IF(AND(A1935="",B1935="",D1935="",G1935=""),"",IF(OR(B1935="",NOT(ISNUMBER(B1935)),C1935="",C1935="Fora dos ciclos"),"",IF(C1935="C0","Nao",IF(IFERROR(INDEX(parametros!$A$2:$A$6,MATCH(C1935,parametros!$B$2:$B$6,0)),"")&lt;&gt;"Sim","Nao",IF(IFERROR(INDEX(parametros!$H$2:$H$6,MATCH(C1935,parametros!$B$2:$B$6,0)),"")="","",IF(B1935&gt;=IFERROR(INDEX(parametros!$H$2:$H$6,MATCH(C1935,parametros!$B$2:$B$6,0)),""),"Sim","Nao"))))))</f>
        <v/>
      </c>
      <c r="T1935" s="156"/>
      <c r="U1935" s="214" t="str">
        <f t="shared" si="156"/>
        <v/>
      </c>
      <c r="V1935" s="212" t="s">
        <v>50</v>
      </c>
      <c r="W1935" s="100" t="s">
        <v>168</v>
      </c>
      <c r="X1935" s="100" t="s">
        <v>169</v>
      </c>
      <c r="Y1935" s="101" t="s">
        <v>170</v>
      </c>
      <c r="Z1935" s="101" t="s">
        <v>171</v>
      </c>
      <c r="AA1935" s="101" t="s">
        <v>50</v>
      </c>
      <c r="AB1935" s="101" t="s">
        <v>172</v>
      </c>
      <c r="AC1935" s="102" t="s">
        <v>173</v>
      </c>
    </row>
    <row r="1936" spans="1:29" ht="25.5" customHeight="1" x14ac:dyDescent="0.35">
      <c r="A1936" s="392"/>
      <c r="B1936" s="393"/>
      <c r="C1936" s="99" t="str">
        <f>IF(B1936="","",IF(NOT(ISNUMBER(B1936)),"DATA_PC invalida",IF(NOT(ISNUMBER(parametros!$C$2)),"Fora dos ciclos",IF(OR(B1936&lt;parametros!$C$2,(YEAR(B1936)-YEAR(parametros!$C$2))*12+MONTH(B1936)-MONTH(parametros!$C$2)&gt;59),"Fora dos ciclos","C"&amp;INT(((YEAR(B1936)-YEAR(parametros!$C$2))*12+MONTH(B1936)-MONTH(parametros!$C$2))/12)))))</f>
        <v/>
      </c>
      <c r="D1936" s="394"/>
      <c r="E1936" s="78" t="str">
        <f>IF(C1936="","",IFERROR(VLOOKUP(C1936,parametros!$A$11:$E$15,5,0),""))</f>
        <v/>
      </c>
      <c r="F1936" s="79" t="str">
        <f t="shared" si="152"/>
        <v/>
      </c>
      <c r="G1936" s="395"/>
      <c r="H1936" s="91">
        <f t="shared" si="153"/>
        <v>0</v>
      </c>
      <c r="I1936" s="91" t="str">
        <f t="shared" si="154"/>
        <v/>
      </c>
      <c r="J1936" s="91" t="str">
        <f t="shared" si="155"/>
        <v/>
      </c>
      <c r="K1936" s="92" t="str">
        <f>IF(AND(A1936="",B1936="",D1936="",G1936=""),"",IF(AND(A1936&lt;&gt;"",COUNTIF($A$2:$A$5001,A1936)&gt;1),"NUMERO_PC duplicado",IF(B1936="","DATA_PC vazia",IF(NOT(ISNUMBER(B1936)),"DATA_PC invalida",IF(OR(C1936="",C1936="Fora dos ciclos"),"CICLO_PC nao identificado",IF(OR(D1936="",D1936=0),"VALOR_PC vazio ou zero",IF(AND(G1936&lt;&gt;"Sim",G1936&lt;&gt;"Nao",G1936&lt;&gt;""),"PC_PAGO_A_CONTRATADA invalido",IF(AND(C1936&lt;&gt;"C0",IFERROR(INDEX(parametros!$A$2:$A$6,MATCH(C1936,parametros!$B$2:$B$6,0)),"")="Sim",IFERROR(INDEX(parametros!$H$2:$H$6,MATCH(C1936,parametros!$B$2:$B$6,0)),"")=""),"INICIO_EFEITO ausente: PC "&amp;A1936&amp;" - "&amp;C1936,IF(L1936="","EFEITO_PC nao calculado: PC "&amp;A1936&amp;" - "&amp;C1936,"OK")))))))))</f>
        <v/>
      </c>
      <c r="L1936" s="92" t="str">
        <f>IF(AND(A1936="",B1936="",D1936="",G1936=""),"",IF(OR(B1936="",NOT(ISNUMBER(B1936)),C1936="",C1936="Fora dos ciclos"),"",IF(C1936="C0","Nao",IF(IFERROR(INDEX(parametros!$A$2:$A$6,MATCH(C1936,parametros!$B$2:$B$6,0)),"")&lt;&gt;"Sim","Nao",IF(IFERROR(INDEX(parametros!$H$2:$H$6,MATCH(C1936,parametros!$B$2:$B$6,0)),"")="","",IF(B1936&gt;=IFERROR(INDEX(parametros!$H$2:$H$6,MATCH(C1936,parametros!$B$2:$B$6,0)),""),"Sim","Nao"))))))</f>
        <v/>
      </c>
      <c r="T1936" s="156"/>
      <c r="U1936" s="214" t="str">
        <f t="shared" si="156"/>
        <v/>
      </c>
      <c r="V1936" s="212" t="s">
        <v>50</v>
      </c>
      <c r="W1936" s="100" t="s">
        <v>168</v>
      </c>
      <c r="X1936" s="100" t="s">
        <v>169</v>
      </c>
      <c r="Y1936" s="101" t="s">
        <v>170</v>
      </c>
      <c r="Z1936" s="101" t="s">
        <v>171</v>
      </c>
      <c r="AA1936" s="101" t="s">
        <v>50</v>
      </c>
      <c r="AB1936" s="101" t="s">
        <v>172</v>
      </c>
      <c r="AC1936" s="102" t="s">
        <v>173</v>
      </c>
    </row>
    <row r="1937" spans="1:29" ht="25.5" customHeight="1" x14ac:dyDescent="0.35">
      <c r="A1937" s="392"/>
      <c r="B1937" s="393"/>
      <c r="C1937" s="99" t="str">
        <f>IF(B1937="","",IF(NOT(ISNUMBER(B1937)),"DATA_PC invalida",IF(NOT(ISNUMBER(parametros!$C$2)),"Fora dos ciclos",IF(OR(B1937&lt;parametros!$C$2,(YEAR(B1937)-YEAR(parametros!$C$2))*12+MONTH(B1937)-MONTH(parametros!$C$2)&gt;59),"Fora dos ciclos","C"&amp;INT(((YEAR(B1937)-YEAR(parametros!$C$2))*12+MONTH(B1937)-MONTH(parametros!$C$2))/12)))))</f>
        <v/>
      </c>
      <c r="D1937" s="394"/>
      <c r="E1937" s="78" t="str">
        <f>IF(C1937="","",IFERROR(VLOOKUP(C1937,parametros!$A$11:$E$15,5,0),""))</f>
        <v/>
      </c>
      <c r="F1937" s="79" t="str">
        <f t="shared" si="152"/>
        <v/>
      </c>
      <c r="G1937" s="395"/>
      <c r="H1937" s="91">
        <f t="shared" si="153"/>
        <v>0</v>
      </c>
      <c r="I1937" s="91" t="str">
        <f t="shared" si="154"/>
        <v/>
      </c>
      <c r="J1937" s="91" t="str">
        <f t="shared" si="155"/>
        <v/>
      </c>
      <c r="K1937" s="92" t="str">
        <f>IF(AND(A1937="",B1937="",D1937="",G1937=""),"",IF(AND(A1937&lt;&gt;"",COUNTIF($A$2:$A$5001,A1937)&gt;1),"NUMERO_PC duplicado",IF(B1937="","DATA_PC vazia",IF(NOT(ISNUMBER(B1937)),"DATA_PC invalida",IF(OR(C1937="",C1937="Fora dos ciclos"),"CICLO_PC nao identificado",IF(OR(D1937="",D1937=0),"VALOR_PC vazio ou zero",IF(AND(G1937&lt;&gt;"Sim",G1937&lt;&gt;"Nao",G1937&lt;&gt;""),"PC_PAGO_A_CONTRATADA invalido",IF(AND(C1937&lt;&gt;"C0",IFERROR(INDEX(parametros!$A$2:$A$6,MATCH(C1937,parametros!$B$2:$B$6,0)),"")="Sim",IFERROR(INDEX(parametros!$H$2:$H$6,MATCH(C1937,parametros!$B$2:$B$6,0)),"")=""),"INICIO_EFEITO ausente: PC "&amp;A1937&amp;" - "&amp;C1937,IF(L1937="","EFEITO_PC nao calculado: PC "&amp;A1937&amp;" - "&amp;C1937,"OK")))))))))</f>
        <v/>
      </c>
      <c r="L1937" s="92" t="str">
        <f>IF(AND(A1937="",B1937="",D1937="",G1937=""),"",IF(OR(B1937="",NOT(ISNUMBER(B1937)),C1937="",C1937="Fora dos ciclos"),"",IF(C1937="C0","Nao",IF(IFERROR(INDEX(parametros!$A$2:$A$6,MATCH(C1937,parametros!$B$2:$B$6,0)),"")&lt;&gt;"Sim","Nao",IF(IFERROR(INDEX(parametros!$H$2:$H$6,MATCH(C1937,parametros!$B$2:$B$6,0)),"")="","",IF(B1937&gt;=IFERROR(INDEX(parametros!$H$2:$H$6,MATCH(C1937,parametros!$B$2:$B$6,0)),""),"Sim","Nao"))))))</f>
        <v/>
      </c>
      <c r="T1937" s="156"/>
      <c r="U1937" s="214" t="str">
        <f t="shared" si="156"/>
        <v/>
      </c>
      <c r="V1937" s="212" t="s">
        <v>50</v>
      </c>
      <c r="W1937" s="100" t="s">
        <v>168</v>
      </c>
      <c r="X1937" s="100" t="s">
        <v>169</v>
      </c>
      <c r="Y1937" s="101" t="s">
        <v>170</v>
      </c>
      <c r="Z1937" s="101" t="s">
        <v>171</v>
      </c>
      <c r="AA1937" s="101" t="s">
        <v>50</v>
      </c>
      <c r="AB1937" s="101" t="s">
        <v>172</v>
      </c>
      <c r="AC1937" s="102" t="s">
        <v>173</v>
      </c>
    </row>
    <row r="1938" spans="1:29" ht="25.5" customHeight="1" x14ac:dyDescent="0.35">
      <c r="A1938" s="392"/>
      <c r="B1938" s="393"/>
      <c r="C1938" s="99" t="str">
        <f>IF(B1938="","",IF(NOT(ISNUMBER(B1938)),"DATA_PC invalida",IF(NOT(ISNUMBER(parametros!$C$2)),"Fora dos ciclos",IF(OR(B1938&lt;parametros!$C$2,(YEAR(B1938)-YEAR(parametros!$C$2))*12+MONTH(B1938)-MONTH(parametros!$C$2)&gt;59),"Fora dos ciclos","C"&amp;INT(((YEAR(B1938)-YEAR(parametros!$C$2))*12+MONTH(B1938)-MONTH(parametros!$C$2))/12)))))</f>
        <v/>
      </c>
      <c r="D1938" s="394"/>
      <c r="E1938" s="78" t="str">
        <f>IF(C1938="","",IFERROR(VLOOKUP(C1938,parametros!$A$11:$E$15,5,0),""))</f>
        <v/>
      </c>
      <c r="F1938" s="79" t="str">
        <f t="shared" si="152"/>
        <v/>
      </c>
      <c r="G1938" s="395"/>
      <c r="H1938" s="91">
        <f t="shared" si="153"/>
        <v>0</v>
      </c>
      <c r="I1938" s="91" t="str">
        <f t="shared" si="154"/>
        <v/>
      </c>
      <c r="J1938" s="91" t="str">
        <f t="shared" si="155"/>
        <v/>
      </c>
      <c r="K1938" s="92" t="str">
        <f>IF(AND(A1938="",B1938="",D1938="",G1938=""),"",IF(AND(A1938&lt;&gt;"",COUNTIF($A$2:$A$5001,A1938)&gt;1),"NUMERO_PC duplicado",IF(B1938="","DATA_PC vazia",IF(NOT(ISNUMBER(B1938)),"DATA_PC invalida",IF(OR(C1938="",C1938="Fora dos ciclos"),"CICLO_PC nao identificado",IF(OR(D1938="",D1938=0),"VALOR_PC vazio ou zero",IF(AND(G1938&lt;&gt;"Sim",G1938&lt;&gt;"Nao",G1938&lt;&gt;""),"PC_PAGO_A_CONTRATADA invalido",IF(AND(C1938&lt;&gt;"C0",IFERROR(INDEX(parametros!$A$2:$A$6,MATCH(C1938,parametros!$B$2:$B$6,0)),"")="Sim",IFERROR(INDEX(parametros!$H$2:$H$6,MATCH(C1938,parametros!$B$2:$B$6,0)),"")=""),"INICIO_EFEITO ausente: PC "&amp;A1938&amp;" - "&amp;C1938,IF(L1938="","EFEITO_PC nao calculado: PC "&amp;A1938&amp;" - "&amp;C1938,"OK")))))))))</f>
        <v/>
      </c>
      <c r="L1938" s="92" t="str">
        <f>IF(AND(A1938="",B1938="",D1938="",G1938=""),"",IF(OR(B1938="",NOT(ISNUMBER(B1938)),C1938="",C1938="Fora dos ciclos"),"",IF(C1938="C0","Nao",IF(IFERROR(INDEX(parametros!$A$2:$A$6,MATCH(C1938,parametros!$B$2:$B$6,0)),"")&lt;&gt;"Sim","Nao",IF(IFERROR(INDEX(parametros!$H$2:$H$6,MATCH(C1938,parametros!$B$2:$B$6,0)),"")="","",IF(B1938&gt;=IFERROR(INDEX(parametros!$H$2:$H$6,MATCH(C1938,parametros!$B$2:$B$6,0)),""),"Sim","Nao"))))))</f>
        <v/>
      </c>
      <c r="T1938" s="156"/>
      <c r="U1938" s="214" t="str">
        <f t="shared" si="156"/>
        <v/>
      </c>
      <c r="V1938" s="212" t="s">
        <v>50</v>
      </c>
      <c r="W1938" s="100" t="s">
        <v>168</v>
      </c>
      <c r="X1938" s="100" t="s">
        <v>169</v>
      </c>
      <c r="Y1938" s="101" t="s">
        <v>170</v>
      </c>
      <c r="Z1938" s="101" t="s">
        <v>171</v>
      </c>
      <c r="AA1938" s="101" t="s">
        <v>50</v>
      </c>
      <c r="AB1938" s="101" t="s">
        <v>172</v>
      </c>
      <c r="AC1938" s="102" t="s">
        <v>173</v>
      </c>
    </row>
    <row r="1939" spans="1:29" ht="25.5" customHeight="1" x14ac:dyDescent="0.35">
      <c r="A1939" s="392"/>
      <c r="B1939" s="393"/>
      <c r="C1939" s="99" t="str">
        <f>IF(B1939="","",IF(NOT(ISNUMBER(B1939)),"DATA_PC invalida",IF(NOT(ISNUMBER(parametros!$C$2)),"Fora dos ciclos",IF(OR(B1939&lt;parametros!$C$2,(YEAR(B1939)-YEAR(parametros!$C$2))*12+MONTH(B1939)-MONTH(parametros!$C$2)&gt;59),"Fora dos ciclos","C"&amp;INT(((YEAR(B1939)-YEAR(parametros!$C$2))*12+MONTH(B1939)-MONTH(parametros!$C$2))/12)))))</f>
        <v/>
      </c>
      <c r="D1939" s="394"/>
      <c r="E1939" s="78" t="str">
        <f>IF(C1939="","",IFERROR(VLOOKUP(C1939,parametros!$A$11:$E$15,5,0),""))</f>
        <v/>
      </c>
      <c r="F1939" s="79" t="str">
        <f t="shared" si="152"/>
        <v/>
      </c>
      <c r="G1939" s="395"/>
      <c r="H1939" s="91">
        <f t="shared" si="153"/>
        <v>0</v>
      </c>
      <c r="I1939" s="91" t="str">
        <f t="shared" si="154"/>
        <v/>
      </c>
      <c r="J1939" s="91" t="str">
        <f t="shared" si="155"/>
        <v/>
      </c>
      <c r="K1939" s="92" t="str">
        <f>IF(AND(A1939="",B1939="",D1939="",G1939=""),"",IF(AND(A1939&lt;&gt;"",COUNTIF($A$2:$A$5001,A1939)&gt;1),"NUMERO_PC duplicado",IF(B1939="","DATA_PC vazia",IF(NOT(ISNUMBER(B1939)),"DATA_PC invalida",IF(OR(C1939="",C1939="Fora dos ciclos"),"CICLO_PC nao identificado",IF(OR(D1939="",D1939=0),"VALOR_PC vazio ou zero",IF(AND(G1939&lt;&gt;"Sim",G1939&lt;&gt;"Nao",G1939&lt;&gt;""),"PC_PAGO_A_CONTRATADA invalido",IF(AND(C1939&lt;&gt;"C0",IFERROR(INDEX(parametros!$A$2:$A$6,MATCH(C1939,parametros!$B$2:$B$6,0)),"")="Sim",IFERROR(INDEX(parametros!$H$2:$H$6,MATCH(C1939,parametros!$B$2:$B$6,0)),"")=""),"INICIO_EFEITO ausente: PC "&amp;A1939&amp;" - "&amp;C1939,IF(L1939="","EFEITO_PC nao calculado: PC "&amp;A1939&amp;" - "&amp;C1939,"OK")))))))))</f>
        <v/>
      </c>
      <c r="L1939" s="92" t="str">
        <f>IF(AND(A1939="",B1939="",D1939="",G1939=""),"",IF(OR(B1939="",NOT(ISNUMBER(B1939)),C1939="",C1939="Fora dos ciclos"),"",IF(C1939="C0","Nao",IF(IFERROR(INDEX(parametros!$A$2:$A$6,MATCH(C1939,parametros!$B$2:$B$6,0)),"")&lt;&gt;"Sim","Nao",IF(IFERROR(INDEX(parametros!$H$2:$H$6,MATCH(C1939,parametros!$B$2:$B$6,0)),"")="","",IF(B1939&gt;=IFERROR(INDEX(parametros!$H$2:$H$6,MATCH(C1939,parametros!$B$2:$B$6,0)),""),"Sim","Nao"))))))</f>
        <v/>
      </c>
      <c r="T1939" s="156"/>
      <c r="U1939" s="214" t="str">
        <f t="shared" si="156"/>
        <v/>
      </c>
      <c r="V1939" s="212" t="s">
        <v>50</v>
      </c>
      <c r="W1939" s="100" t="s">
        <v>168</v>
      </c>
      <c r="X1939" s="100" t="s">
        <v>169</v>
      </c>
      <c r="Y1939" s="101" t="s">
        <v>170</v>
      </c>
      <c r="Z1939" s="101" t="s">
        <v>171</v>
      </c>
      <c r="AA1939" s="101" t="s">
        <v>50</v>
      </c>
      <c r="AB1939" s="101" t="s">
        <v>172</v>
      </c>
      <c r="AC1939" s="102" t="s">
        <v>173</v>
      </c>
    </row>
    <row r="1940" spans="1:29" ht="25.5" customHeight="1" x14ac:dyDescent="0.35">
      <c r="A1940" s="392"/>
      <c r="B1940" s="393"/>
      <c r="C1940" s="99" t="str">
        <f>IF(B1940="","",IF(NOT(ISNUMBER(B1940)),"DATA_PC invalida",IF(NOT(ISNUMBER(parametros!$C$2)),"Fora dos ciclos",IF(OR(B1940&lt;parametros!$C$2,(YEAR(B1940)-YEAR(parametros!$C$2))*12+MONTH(B1940)-MONTH(parametros!$C$2)&gt;59),"Fora dos ciclos","C"&amp;INT(((YEAR(B1940)-YEAR(parametros!$C$2))*12+MONTH(B1940)-MONTH(parametros!$C$2))/12)))))</f>
        <v/>
      </c>
      <c r="D1940" s="394"/>
      <c r="E1940" s="78" t="str">
        <f>IF(C1940="","",IFERROR(VLOOKUP(C1940,parametros!$A$11:$E$15,5,0),""))</f>
        <v/>
      </c>
      <c r="F1940" s="79" t="str">
        <f t="shared" si="152"/>
        <v/>
      </c>
      <c r="G1940" s="395"/>
      <c r="H1940" s="91">
        <f t="shared" si="153"/>
        <v>0</v>
      </c>
      <c r="I1940" s="91" t="str">
        <f t="shared" si="154"/>
        <v/>
      </c>
      <c r="J1940" s="91" t="str">
        <f t="shared" si="155"/>
        <v/>
      </c>
      <c r="K1940" s="92" t="str">
        <f>IF(AND(A1940="",B1940="",D1940="",G1940=""),"",IF(AND(A1940&lt;&gt;"",COUNTIF($A$2:$A$5001,A1940)&gt;1),"NUMERO_PC duplicado",IF(B1940="","DATA_PC vazia",IF(NOT(ISNUMBER(B1940)),"DATA_PC invalida",IF(OR(C1940="",C1940="Fora dos ciclos"),"CICLO_PC nao identificado",IF(OR(D1940="",D1940=0),"VALOR_PC vazio ou zero",IF(AND(G1940&lt;&gt;"Sim",G1940&lt;&gt;"Nao",G1940&lt;&gt;""),"PC_PAGO_A_CONTRATADA invalido",IF(AND(C1940&lt;&gt;"C0",IFERROR(INDEX(parametros!$A$2:$A$6,MATCH(C1940,parametros!$B$2:$B$6,0)),"")="Sim",IFERROR(INDEX(parametros!$H$2:$H$6,MATCH(C1940,parametros!$B$2:$B$6,0)),"")=""),"INICIO_EFEITO ausente: PC "&amp;A1940&amp;" - "&amp;C1940,IF(L1940="","EFEITO_PC nao calculado: PC "&amp;A1940&amp;" - "&amp;C1940,"OK")))))))))</f>
        <v/>
      </c>
      <c r="L1940" s="92" t="str">
        <f>IF(AND(A1940="",B1940="",D1940="",G1940=""),"",IF(OR(B1940="",NOT(ISNUMBER(B1940)),C1940="",C1940="Fora dos ciclos"),"",IF(C1940="C0","Nao",IF(IFERROR(INDEX(parametros!$A$2:$A$6,MATCH(C1940,parametros!$B$2:$B$6,0)),"")&lt;&gt;"Sim","Nao",IF(IFERROR(INDEX(parametros!$H$2:$H$6,MATCH(C1940,parametros!$B$2:$B$6,0)),"")="","",IF(B1940&gt;=IFERROR(INDEX(parametros!$H$2:$H$6,MATCH(C1940,parametros!$B$2:$B$6,0)),""),"Sim","Nao"))))))</f>
        <v/>
      </c>
      <c r="T1940" s="156"/>
      <c r="U1940" s="214" t="str">
        <f t="shared" si="156"/>
        <v/>
      </c>
      <c r="V1940" s="212" t="s">
        <v>50</v>
      </c>
      <c r="W1940" s="100" t="s">
        <v>168</v>
      </c>
      <c r="X1940" s="100" t="s">
        <v>169</v>
      </c>
      <c r="Y1940" s="101" t="s">
        <v>170</v>
      </c>
      <c r="Z1940" s="101" t="s">
        <v>171</v>
      </c>
      <c r="AA1940" s="101" t="s">
        <v>50</v>
      </c>
      <c r="AB1940" s="101" t="s">
        <v>172</v>
      </c>
      <c r="AC1940" s="102" t="s">
        <v>173</v>
      </c>
    </row>
    <row r="1941" spans="1:29" ht="25.5" customHeight="1" x14ac:dyDescent="0.35">
      <c r="A1941" s="392"/>
      <c r="B1941" s="393"/>
      <c r="C1941" s="99" t="str">
        <f>IF(B1941="","",IF(NOT(ISNUMBER(B1941)),"DATA_PC invalida",IF(NOT(ISNUMBER(parametros!$C$2)),"Fora dos ciclos",IF(OR(B1941&lt;parametros!$C$2,(YEAR(B1941)-YEAR(parametros!$C$2))*12+MONTH(B1941)-MONTH(parametros!$C$2)&gt;59),"Fora dos ciclos","C"&amp;INT(((YEAR(B1941)-YEAR(parametros!$C$2))*12+MONTH(B1941)-MONTH(parametros!$C$2))/12)))))</f>
        <v/>
      </c>
      <c r="D1941" s="394"/>
      <c r="E1941" s="78" t="str">
        <f>IF(C1941="","",IFERROR(VLOOKUP(C1941,parametros!$A$11:$E$15,5,0),""))</f>
        <v/>
      </c>
      <c r="F1941" s="79" t="str">
        <f t="shared" si="152"/>
        <v/>
      </c>
      <c r="G1941" s="395"/>
      <c r="H1941" s="91">
        <f t="shared" si="153"/>
        <v>0</v>
      </c>
      <c r="I1941" s="91" t="str">
        <f t="shared" si="154"/>
        <v/>
      </c>
      <c r="J1941" s="91" t="str">
        <f t="shared" si="155"/>
        <v/>
      </c>
      <c r="K1941" s="92" t="str">
        <f>IF(AND(A1941="",B1941="",D1941="",G1941=""),"",IF(AND(A1941&lt;&gt;"",COUNTIF($A$2:$A$5001,A1941)&gt;1),"NUMERO_PC duplicado",IF(B1941="","DATA_PC vazia",IF(NOT(ISNUMBER(B1941)),"DATA_PC invalida",IF(OR(C1941="",C1941="Fora dos ciclos"),"CICLO_PC nao identificado",IF(OR(D1941="",D1941=0),"VALOR_PC vazio ou zero",IF(AND(G1941&lt;&gt;"Sim",G1941&lt;&gt;"Nao",G1941&lt;&gt;""),"PC_PAGO_A_CONTRATADA invalido",IF(AND(C1941&lt;&gt;"C0",IFERROR(INDEX(parametros!$A$2:$A$6,MATCH(C1941,parametros!$B$2:$B$6,0)),"")="Sim",IFERROR(INDEX(parametros!$H$2:$H$6,MATCH(C1941,parametros!$B$2:$B$6,0)),"")=""),"INICIO_EFEITO ausente: PC "&amp;A1941&amp;" - "&amp;C1941,IF(L1941="","EFEITO_PC nao calculado: PC "&amp;A1941&amp;" - "&amp;C1941,"OK")))))))))</f>
        <v/>
      </c>
      <c r="L1941" s="92" t="str">
        <f>IF(AND(A1941="",B1941="",D1941="",G1941=""),"",IF(OR(B1941="",NOT(ISNUMBER(B1941)),C1941="",C1941="Fora dos ciclos"),"",IF(C1941="C0","Nao",IF(IFERROR(INDEX(parametros!$A$2:$A$6,MATCH(C1941,parametros!$B$2:$B$6,0)),"")&lt;&gt;"Sim","Nao",IF(IFERROR(INDEX(parametros!$H$2:$H$6,MATCH(C1941,parametros!$B$2:$B$6,0)),"")="","",IF(B1941&gt;=IFERROR(INDEX(parametros!$H$2:$H$6,MATCH(C1941,parametros!$B$2:$B$6,0)),""),"Sim","Nao"))))))</f>
        <v/>
      </c>
      <c r="T1941" s="156"/>
      <c r="U1941" s="214" t="str">
        <f t="shared" si="156"/>
        <v/>
      </c>
      <c r="V1941" s="212" t="s">
        <v>50</v>
      </c>
      <c r="W1941" s="100" t="s">
        <v>168</v>
      </c>
      <c r="X1941" s="100" t="s">
        <v>169</v>
      </c>
      <c r="Y1941" s="101" t="s">
        <v>170</v>
      </c>
      <c r="Z1941" s="101" t="s">
        <v>171</v>
      </c>
      <c r="AA1941" s="101" t="s">
        <v>50</v>
      </c>
      <c r="AB1941" s="101" t="s">
        <v>172</v>
      </c>
      <c r="AC1941" s="102" t="s">
        <v>173</v>
      </c>
    </row>
    <row r="1942" spans="1:29" ht="25.5" customHeight="1" x14ac:dyDescent="0.35">
      <c r="A1942" s="392"/>
      <c r="B1942" s="393"/>
      <c r="C1942" s="99" t="str">
        <f>IF(B1942="","",IF(NOT(ISNUMBER(B1942)),"DATA_PC invalida",IF(NOT(ISNUMBER(parametros!$C$2)),"Fora dos ciclos",IF(OR(B1942&lt;parametros!$C$2,(YEAR(B1942)-YEAR(parametros!$C$2))*12+MONTH(B1942)-MONTH(parametros!$C$2)&gt;59),"Fora dos ciclos","C"&amp;INT(((YEAR(B1942)-YEAR(parametros!$C$2))*12+MONTH(B1942)-MONTH(parametros!$C$2))/12)))))</f>
        <v/>
      </c>
      <c r="D1942" s="394"/>
      <c r="E1942" s="78" t="str">
        <f>IF(C1942="","",IFERROR(VLOOKUP(C1942,parametros!$A$11:$E$15,5,0),""))</f>
        <v/>
      </c>
      <c r="F1942" s="79" t="str">
        <f t="shared" si="152"/>
        <v/>
      </c>
      <c r="G1942" s="395"/>
      <c r="H1942" s="91">
        <f t="shared" si="153"/>
        <v>0</v>
      </c>
      <c r="I1942" s="91" t="str">
        <f t="shared" si="154"/>
        <v/>
      </c>
      <c r="J1942" s="91" t="str">
        <f t="shared" si="155"/>
        <v/>
      </c>
      <c r="K1942" s="92" t="str">
        <f>IF(AND(A1942="",B1942="",D1942="",G1942=""),"",IF(AND(A1942&lt;&gt;"",COUNTIF($A$2:$A$5001,A1942)&gt;1),"NUMERO_PC duplicado",IF(B1942="","DATA_PC vazia",IF(NOT(ISNUMBER(B1942)),"DATA_PC invalida",IF(OR(C1942="",C1942="Fora dos ciclos"),"CICLO_PC nao identificado",IF(OR(D1942="",D1942=0),"VALOR_PC vazio ou zero",IF(AND(G1942&lt;&gt;"Sim",G1942&lt;&gt;"Nao",G1942&lt;&gt;""),"PC_PAGO_A_CONTRATADA invalido",IF(AND(C1942&lt;&gt;"C0",IFERROR(INDEX(parametros!$A$2:$A$6,MATCH(C1942,parametros!$B$2:$B$6,0)),"")="Sim",IFERROR(INDEX(parametros!$H$2:$H$6,MATCH(C1942,parametros!$B$2:$B$6,0)),"")=""),"INICIO_EFEITO ausente: PC "&amp;A1942&amp;" - "&amp;C1942,IF(L1942="","EFEITO_PC nao calculado: PC "&amp;A1942&amp;" - "&amp;C1942,"OK")))))))))</f>
        <v/>
      </c>
      <c r="L1942" s="92" t="str">
        <f>IF(AND(A1942="",B1942="",D1942="",G1942=""),"",IF(OR(B1942="",NOT(ISNUMBER(B1942)),C1942="",C1942="Fora dos ciclos"),"",IF(C1942="C0","Nao",IF(IFERROR(INDEX(parametros!$A$2:$A$6,MATCH(C1942,parametros!$B$2:$B$6,0)),"")&lt;&gt;"Sim","Nao",IF(IFERROR(INDEX(parametros!$H$2:$H$6,MATCH(C1942,parametros!$B$2:$B$6,0)),"")="","",IF(B1942&gt;=IFERROR(INDEX(parametros!$H$2:$H$6,MATCH(C1942,parametros!$B$2:$B$6,0)),""),"Sim","Nao"))))))</f>
        <v/>
      </c>
      <c r="T1942" s="156"/>
      <c r="U1942" s="214" t="str">
        <f t="shared" si="156"/>
        <v/>
      </c>
      <c r="V1942" s="212" t="s">
        <v>50</v>
      </c>
      <c r="W1942" s="100" t="s">
        <v>168</v>
      </c>
      <c r="X1942" s="100" t="s">
        <v>169</v>
      </c>
      <c r="Y1942" s="101" t="s">
        <v>170</v>
      </c>
      <c r="Z1942" s="101" t="s">
        <v>171</v>
      </c>
      <c r="AA1942" s="101" t="s">
        <v>50</v>
      </c>
      <c r="AB1942" s="101" t="s">
        <v>172</v>
      </c>
      <c r="AC1942" s="102" t="s">
        <v>173</v>
      </c>
    </row>
    <row r="1943" spans="1:29" ht="25.5" customHeight="1" x14ac:dyDescent="0.35">
      <c r="A1943" s="392"/>
      <c r="B1943" s="393"/>
      <c r="C1943" s="99" t="str">
        <f>IF(B1943="","",IF(NOT(ISNUMBER(B1943)),"DATA_PC invalida",IF(NOT(ISNUMBER(parametros!$C$2)),"Fora dos ciclos",IF(OR(B1943&lt;parametros!$C$2,(YEAR(B1943)-YEAR(parametros!$C$2))*12+MONTH(B1943)-MONTH(parametros!$C$2)&gt;59),"Fora dos ciclos","C"&amp;INT(((YEAR(B1943)-YEAR(parametros!$C$2))*12+MONTH(B1943)-MONTH(parametros!$C$2))/12)))))</f>
        <v/>
      </c>
      <c r="D1943" s="394"/>
      <c r="E1943" s="78" t="str">
        <f>IF(C1943="","",IFERROR(VLOOKUP(C1943,parametros!$A$11:$E$15,5,0),""))</f>
        <v/>
      </c>
      <c r="F1943" s="79" t="str">
        <f t="shared" si="152"/>
        <v/>
      </c>
      <c r="G1943" s="395"/>
      <c r="H1943" s="91">
        <f t="shared" si="153"/>
        <v>0</v>
      </c>
      <c r="I1943" s="91" t="str">
        <f t="shared" si="154"/>
        <v/>
      </c>
      <c r="J1943" s="91" t="str">
        <f t="shared" si="155"/>
        <v/>
      </c>
      <c r="K1943" s="92" t="str">
        <f>IF(AND(A1943="",B1943="",D1943="",G1943=""),"",IF(AND(A1943&lt;&gt;"",COUNTIF($A$2:$A$5001,A1943)&gt;1),"NUMERO_PC duplicado",IF(B1943="","DATA_PC vazia",IF(NOT(ISNUMBER(B1943)),"DATA_PC invalida",IF(OR(C1943="",C1943="Fora dos ciclos"),"CICLO_PC nao identificado",IF(OR(D1943="",D1943=0),"VALOR_PC vazio ou zero",IF(AND(G1943&lt;&gt;"Sim",G1943&lt;&gt;"Nao",G1943&lt;&gt;""),"PC_PAGO_A_CONTRATADA invalido",IF(AND(C1943&lt;&gt;"C0",IFERROR(INDEX(parametros!$A$2:$A$6,MATCH(C1943,parametros!$B$2:$B$6,0)),"")="Sim",IFERROR(INDEX(parametros!$H$2:$H$6,MATCH(C1943,parametros!$B$2:$B$6,0)),"")=""),"INICIO_EFEITO ausente: PC "&amp;A1943&amp;" - "&amp;C1943,IF(L1943="","EFEITO_PC nao calculado: PC "&amp;A1943&amp;" - "&amp;C1943,"OK")))))))))</f>
        <v/>
      </c>
      <c r="L1943" s="92" t="str">
        <f>IF(AND(A1943="",B1943="",D1943="",G1943=""),"",IF(OR(B1943="",NOT(ISNUMBER(B1943)),C1943="",C1943="Fora dos ciclos"),"",IF(C1943="C0","Nao",IF(IFERROR(INDEX(parametros!$A$2:$A$6,MATCH(C1943,parametros!$B$2:$B$6,0)),"")&lt;&gt;"Sim","Nao",IF(IFERROR(INDEX(parametros!$H$2:$H$6,MATCH(C1943,parametros!$B$2:$B$6,0)),"")="","",IF(B1943&gt;=IFERROR(INDEX(parametros!$H$2:$H$6,MATCH(C1943,parametros!$B$2:$B$6,0)),""),"Sim","Nao"))))))</f>
        <v/>
      </c>
      <c r="T1943" s="156"/>
      <c r="U1943" s="214" t="str">
        <f t="shared" si="156"/>
        <v/>
      </c>
      <c r="V1943" s="212" t="s">
        <v>50</v>
      </c>
      <c r="W1943" s="100" t="s">
        <v>168</v>
      </c>
      <c r="X1943" s="100" t="s">
        <v>169</v>
      </c>
      <c r="Y1943" s="101" t="s">
        <v>170</v>
      </c>
      <c r="Z1943" s="101" t="s">
        <v>171</v>
      </c>
      <c r="AA1943" s="101" t="s">
        <v>50</v>
      </c>
      <c r="AB1943" s="101" t="s">
        <v>172</v>
      </c>
      <c r="AC1943" s="102" t="s">
        <v>173</v>
      </c>
    </row>
    <row r="1944" spans="1:29" ht="25.5" customHeight="1" x14ac:dyDescent="0.35">
      <c r="A1944" s="392"/>
      <c r="B1944" s="393"/>
      <c r="C1944" s="99" t="str">
        <f>IF(B1944="","",IF(NOT(ISNUMBER(B1944)),"DATA_PC invalida",IF(NOT(ISNUMBER(parametros!$C$2)),"Fora dos ciclos",IF(OR(B1944&lt;parametros!$C$2,(YEAR(B1944)-YEAR(parametros!$C$2))*12+MONTH(B1944)-MONTH(parametros!$C$2)&gt;59),"Fora dos ciclos","C"&amp;INT(((YEAR(B1944)-YEAR(parametros!$C$2))*12+MONTH(B1944)-MONTH(parametros!$C$2))/12)))))</f>
        <v/>
      </c>
      <c r="D1944" s="394"/>
      <c r="E1944" s="78" t="str">
        <f>IF(C1944="","",IFERROR(VLOOKUP(C1944,parametros!$A$11:$E$15,5,0),""))</f>
        <v/>
      </c>
      <c r="F1944" s="79" t="str">
        <f t="shared" si="152"/>
        <v/>
      </c>
      <c r="G1944" s="395"/>
      <c r="H1944" s="91">
        <f t="shared" si="153"/>
        <v>0</v>
      </c>
      <c r="I1944" s="91" t="str">
        <f t="shared" si="154"/>
        <v/>
      </c>
      <c r="J1944" s="91" t="str">
        <f t="shared" si="155"/>
        <v/>
      </c>
      <c r="K1944" s="92" t="str">
        <f>IF(AND(A1944="",B1944="",D1944="",G1944=""),"",IF(AND(A1944&lt;&gt;"",COUNTIF($A$2:$A$5001,A1944)&gt;1),"NUMERO_PC duplicado",IF(B1944="","DATA_PC vazia",IF(NOT(ISNUMBER(B1944)),"DATA_PC invalida",IF(OR(C1944="",C1944="Fora dos ciclos"),"CICLO_PC nao identificado",IF(OR(D1944="",D1944=0),"VALOR_PC vazio ou zero",IF(AND(G1944&lt;&gt;"Sim",G1944&lt;&gt;"Nao",G1944&lt;&gt;""),"PC_PAGO_A_CONTRATADA invalido",IF(AND(C1944&lt;&gt;"C0",IFERROR(INDEX(parametros!$A$2:$A$6,MATCH(C1944,parametros!$B$2:$B$6,0)),"")="Sim",IFERROR(INDEX(parametros!$H$2:$H$6,MATCH(C1944,parametros!$B$2:$B$6,0)),"")=""),"INICIO_EFEITO ausente: PC "&amp;A1944&amp;" - "&amp;C1944,IF(L1944="","EFEITO_PC nao calculado: PC "&amp;A1944&amp;" - "&amp;C1944,"OK")))))))))</f>
        <v/>
      </c>
      <c r="L1944" s="92" t="str">
        <f>IF(AND(A1944="",B1944="",D1944="",G1944=""),"",IF(OR(B1944="",NOT(ISNUMBER(B1944)),C1944="",C1944="Fora dos ciclos"),"",IF(C1944="C0","Nao",IF(IFERROR(INDEX(parametros!$A$2:$A$6,MATCH(C1944,parametros!$B$2:$B$6,0)),"")&lt;&gt;"Sim","Nao",IF(IFERROR(INDEX(parametros!$H$2:$H$6,MATCH(C1944,parametros!$B$2:$B$6,0)),"")="","",IF(B1944&gt;=IFERROR(INDEX(parametros!$H$2:$H$6,MATCH(C1944,parametros!$B$2:$B$6,0)),""),"Sim","Nao"))))))</f>
        <v/>
      </c>
      <c r="T1944" s="156"/>
      <c r="U1944" s="214" t="str">
        <f t="shared" si="156"/>
        <v/>
      </c>
      <c r="V1944" s="212" t="s">
        <v>50</v>
      </c>
      <c r="W1944" s="100" t="s">
        <v>168</v>
      </c>
      <c r="X1944" s="100" t="s">
        <v>169</v>
      </c>
      <c r="Y1944" s="101" t="s">
        <v>170</v>
      </c>
      <c r="Z1944" s="101" t="s">
        <v>171</v>
      </c>
      <c r="AA1944" s="101" t="s">
        <v>50</v>
      </c>
      <c r="AB1944" s="101" t="s">
        <v>172</v>
      </c>
      <c r="AC1944" s="102" t="s">
        <v>173</v>
      </c>
    </row>
    <row r="1945" spans="1:29" ht="25.5" customHeight="1" x14ac:dyDescent="0.35">
      <c r="A1945" s="392"/>
      <c r="B1945" s="393"/>
      <c r="C1945" s="99" t="str">
        <f>IF(B1945="","",IF(NOT(ISNUMBER(B1945)),"DATA_PC invalida",IF(NOT(ISNUMBER(parametros!$C$2)),"Fora dos ciclos",IF(OR(B1945&lt;parametros!$C$2,(YEAR(B1945)-YEAR(parametros!$C$2))*12+MONTH(B1945)-MONTH(parametros!$C$2)&gt;59),"Fora dos ciclos","C"&amp;INT(((YEAR(B1945)-YEAR(parametros!$C$2))*12+MONTH(B1945)-MONTH(parametros!$C$2))/12)))))</f>
        <v/>
      </c>
      <c r="D1945" s="394"/>
      <c r="E1945" s="78" t="str">
        <f>IF(C1945="","",IFERROR(VLOOKUP(C1945,parametros!$A$11:$E$15,5,0),""))</f>
        <v/>
      </c>
      <c r="F1945" s="79" t="str">
        <f t="shared" si="152"/>
        <v/>
      </c>
      <c r="G1945" s="395"/>
      <c r="H1945" s="91">
        <f t="shared" si="153"/>
        <v>0</v>
      </c>
      <c r="I1945" s="91" t="str">
        <f t="shared" si="154"/>
        <v/>
      </c>
      <c r="J1945" s="91" t="str">
        <f t="shared" si="155"/>
        <v/>
      </c>
      <c r="K1945" s="92" t="str">
        <f>IF(AND(A1945="",B1945="",D1945="",G1945=""),"",IF(AND(A1945&lt;&gt;"",COUNTIF($A$2:$A$5001,A1945)&gt;1),"NUMERO_PC duplicado",IF(B1945="","DATA_PC vazia",IF(NOT(ISNUMBER(B1945)),"DATA_PC invalida",IF(OR(C1945="",C1945="Fora dos ciclos"),"CICLO_PC nao identificado",IF(OR(D1945="",D1945=0),"VALOR_PC vazio ou zero",IF(AND(G1945&lt;&gt;"Sim",G1945&lt;&gt;"Nao",G1945&lt;&gt;""),"PC_PAGO_A_CONTRATADA invalido",IF(AND(C1945&lt;&gt;"C0",IFERROR(INDEX(parametros!$A$2:$A$6,MATCH(C1945,parametros!$B$2:$B$6,0)),"")="Sim",IFERROR(INDEX(parametros!$H$2:$H$6,MATCH(C1945,parametros!$B$2:$B$6,0)),"")=""),"INICIO_EFEITO ausente: PC "&amp;A1945&amp;" - "&amp;C1945,IF(L1945="","EFEITO_PC nao calculado: PC "&amp;A1945&amp;" - "&amp;C1945,"OK")))))))))</f>
        <v/>
      </c>
      <c r="L1945" s="92" t="str">
        <f>IF(AND(A1945="",B1945="",D1945="",G1945=""),"",IF(OR(B1945="",NOT(ISNUMBER(B1945)),C1945="",C1945="Fora dos ciclos"),"",IF(C1945="C0","Nao",IF(IFERROR(INDEX(parametros!$A$2:$A$6,MATCH(C1945,parametros!$B$2:$B$6,0)),"")&lt;&gt;"Sim","Nao",IF(IFERROR(INDEX(parametros!$H$2:$H$6,MATCH(C1945,parametros!$B$2:$B$6,0)),"")="","",IF(B1945&gt;=IFERROR(INDEX(parametros!$H$2:$H$6,MATCH(C1945,parametros!$B$2:$B$6,0)),""),"Sim","Nao"))))))</f>
        <v/>
      </c>
      <c r="T1945" s="156"/>
      <c r="U1945" s="214" t="str">
        <f t="shared" si="156"/>
        <v/>
      </c>
      <c r="V1945" s="212" t="s">
        <v>50</v>
      </c>
      <c r="W1945" s="100" t="s">
        <v>168</v>
      </c>
      <c r="X1945" s="100" t="s">
        <v>169</v>
      </c>
      <c r="Y1945" s="101" t="s">
        <v>170</v>
      </c>
      <c r="Z1945" s="101" t="s">
        <v>171</v>
      </c>
      <c r="AA1945" s="101" t="s">
        <v>50</v>
      </c>
      <c r="AB1945" s="101" t="s">
        <v>172</v>
      </c>
      <c r="AC1945" s="102" t="s">
        <v>173</v>
      </c>
    </row>
    <row r="1946" spans="1:29" ht="25.5" customHeight="1" x14ac:dyDescent="0.35">
      <c r="A1946" s="392"/>
      <c r="B1946" s="393"/>
      <c r="C1946" s="99" t="str">
        <f>IF(B1946="","",IF(NOT(ISNUMBER(B1946)),"DATA_PC invalida",IF(NOT(ISNUMBER(parametros!$C$2)),"Fora dos ciclos",IF(OR(B1946&lt;parametros!$C$2,(YEAR(B1946)-YEAR(parametros!$C$2))*12+MONTH(B1946)-MONTH(parametros!$C$2)&gt;59),"Fora dos ciclos","C"&amp;INT(((YEAR(B1946)-YEAR(parametros!$C$2))*12+MONTH(B1946)-MONTH(parametros!$C$2))/12)))))</f>
        <v/>
      </c>
      <c r="D1946" s="394"/>
      <c r="E1946" s="78" t="str">
        <f>IF(C1946="","",IFERROR(VLOOKUP(C1946,parametros!$A$11:$E$15,5,0),""))</f>
        <v/>
      </c>
      <c r="F1946" s="79" t="str">
        <f t="shared" si="152"/>
        <v/>
      </c>
      <c r="G1946" s="395"/>
      <c r="H1946" s="91">
        <f t="shared" si="153"/>
        <v>0</v>
      </c>
      <c r="I1946" s="91" t="str">
        <f t="shared" si="154"/>
        <v/>
      </c>
      <c r="J1946" s="91" t="str">
        <f t="shared" si="155"/>
        <v/>
      </c>
      <c r="K1946" s="92" t="str">
        <f>IF(AND(A1946="",B1946="",D1946="",G1946=""),"",IF(AND(A1946&lt;&gt;"",COUNTIF($A$2:$A$5001,A1946)&gt;1),"NUMERO_PC duplicado",IF(B1946="","DATA_PC vazia",IF(NOT(ISNUMBER(B1946)),"DATA_PC invalida",IF(OR(C1946="",C1946="Fora dos ciclos"),"CICLO_PC nao identificado",IF(OR(D1946="",D1946=0),"VALOR_PC vazio ou zero",IF(AND(G1946&lt;&gt;"Sim",G1946&lt;&gt;"Nao",G1946&lt;&gt;""),"PC_PAGO_A_CONTRATADA invalido",IF(AND(C1946&lt;&gt;"C0",IFERROR(INDEX(parametros!$A$2:$A$6,MATCH(C1946,parametros!$B$2:$B$6,0)),"")="Sim",IFERROR(INDEX(parametros!$H$2:$H$6,MATCH(C1946,parametros!$B$2:$B$6,0)),"")=""),"INICIO_EFEITO ausente: PC "&amp;A1946&amp;" - "&amp;C1946,IF(L1946="","EFEITO_PC nao calculado: PC "&amp;A1946&amp;" - "&amp;C1946,"OK")))))))))</f>
        <v/>
      </c>
      <c r="L1946" s="92" t="str">
        <f>IF(AND(A1946="",B1946="",D1946="",G1946=""),"",IF(OR(B1946="",NOT(ISNUMBER(B1946)),C1946="",C1946="Fora dos ciclos"),"",IF(C1946="C0","Nao",IF(IFERROR(INDEX(parametros!$A$2:$A$6,MATCH(C1946,parametros!$B$2:$B$6,0)),"")&lt;&gt;"Sim","Nao",IF(IFERROR(INDEX(parametros!$H$2:$H$6,MATCH(C1946,parametros!$B$2:$B$6,0)),"")="","",IF(B1946&gt;=IFERROR(INDEX(parametros!$H$2:$H$6,MATCH(C1946,parametros!$B$2:$B$6,0)),""),"Sim","Nao"))))))</f>
        <v/>
      </c>
      <c r="T1946" s="156"/>
      <c r="U1946" s="214" t="str">
        <f t="shared" si="156"/>
        <v/>
      </c>
      <c r="V1946" s="212" t="s">
        <v>50</v>
      </c>
      <c r="W1946" s="100" t="s">
        <v>168</v>
      </c>
      <c r="X1946" s="100" t="s">
        <v>169</v>
      </c>
      <c r="Y1946" s="101" t="s">
        <v>170</v>
      </c>
      <c r="Z1946" s="101" t="s">
        <v>171</v>
      </c>
      <c r="AA1946" s="101" t="s">
        <v>50</v>
      </c>
      <c r="AB1946" s="101" t="s">
        <v>172</v>
      </c>
      <c r="AC1946" s="102" t="s">
        <v>173</v>
      </c>
    </row>
    <row r="1947" spans="1:29" ht="25.5" customHeight="1" x14ac:dyDescent="0.35">
      <c r="A1947" s="392"/>
      <c r="B1947" s="393"/>
      <c r="C1947" s="99" t="str">
        <f>IF(B1947="","",IF(NOT(ISNUMBER(B1947)),"DATA_PC invalida",IF(NOT(ISNUMBER(parametros!$C$2)),"Fora dos ciclos",IF(OR(B1947&lt;parametros!$C$2,(YEAR(B1947)-YEAR(parametros!$C$2))*12+MONTH(B1947)-MONTH(parametros!$C$2)&gt;59),"Fora dos ciclos","C"&amp;INT(((YEAR(B1947)-YEAR(parametros!$C$2))*12+MONTH(B1947)-MONTH(parametros!$C$2))/12)))))</f>
        <v/>
      </c>
      <c r="D1947" s="394"/>
      <c r="E1947" s="78" t="str">
        <f>IF(C1947="","",IFERROR(VLOOKUP(C1947,parametros!$A$11:$E$15,5,0),""))</f>
        <v/>
      </c>
      <c r="F1947" s="79" t="str">
        <f t="shared" si="152"/>
        <v/>
      </c>
      <c r="G1947" s="395"/>
      <c r="H1947" s="91">
        <f t="shared" si="153"/>
        <v>0</v>
      </c>
      <c r="I1947" s="91" t="str">
        <f t="shared" si="154"/>
        <v/>
      </c>
      <c r="J1947" s="91" t="str">
        <f t="shared" si="155"/>
        <v/>
      </c>
      <c r="K1947" s="92" t="str">
        <f>IF(AND(A1947="",B1947="",D1947="",G1947=""),"",IF(AND(A1947&lt;&gt;"",COUNTIF($A$2:$A$5001,A1947)&gt;1),"NUMERO_PC duplicado",IF(B1947="","DATA_PC vazia",IF(NOT(ISNUMBER(B1947)),"DATA_PC invalida",IF(OR(C1947="",C1947="Fora dos ciclos"),"CICLO_PC nao identificado",IF(OR(D1947="",D1947=0),"VALOR_PC vazio ou zero",IF(AND(G1947&lt;&gt;"Sim",G1947&lt;&gt;"Nao",G1947&lt;&gt;""),"PC_PAGO_A_CONTRATADA invalido",IF(AND(C1947&lt;&gt;"C0",IFERROR(INDEX(parametros!$A$2:$A$6,MATCH(C1947,parametros!$B$2:$B$6,0)),"")="Sim",IFERROR(INDEX(parametros!$H$2:$H$6,MATCH(C1947,parametros!$B$2:$B$6,0)),"")=""),"INICIO_EFEITO ausente: PC "&amp;A1947&amp;" - "&amp;C1947,IF(L1947="","EFEITO_PC nao calculado: PC "&amp;A1947&amp;" - "&amp;C1947,"OK")))))))))</f>
        <v/>
      </c>
      <c r="L1947" s="92" t="str">
        <f>IF(AND(A1947="",B1947="",D1947="",G1947=""),"",IF(OR(B1947="",NOT(ISNUMBER(B1947)),C1947="",C1947="Fora dos ciclos"),"",IF(C1947="C0","Nao",IF(IFERROR(INDEX(parametros!$A$2:$A$6,MATCH(C1947,parametros!$B$2:$B$6,0)),"")&lt;&gt;"Sim","Nao",IF(IFERROR(INDEX(parametros!$H$2:$H$6,MATCH(C1947,parametros!$B$2:$B$6,0)),"")="","",IF(B1947&gt;=IFERROR(INDEX(parametros!$H$2:$H$6,MATCH(C1947,parametros!$B$2:$B$6,0)),""),"Sim","Nao"))))))</f>
        <v/>
      </c>
      <c r="T1947" s="156"/>
      <c r="U1947" s="214" t="str">
        <f t="shared" si="156"/>
        <v/>
      </c>
      <c r="V1947" s="212" t="s">
        <v>50</v>
      </c>
      <c r="W1947" s="100" t="s">
        <v>168</v>
      </c>
      <c r="X1947" s="100" t="s">
        <v>169</v>
      </c>
      <c r="Y1947" s="101" t="s">
        <v>170</v>
      </c>
      <c r="Z1947" s="101" t="s">
        <v>171</v>
      </c>
      <c r="AA1947" s="101" t="s">
        <v>50</v>
      </c>
      <c r="AB1947" s="101" t="s">
        <v>172</v>
      </c>
      <c r="AC1947" s="102" t="s">
        <v>173</v>
      </c>
    </row>
    <row r="1948" spans="1:29" ht="25.5" customHeight="1" x14ac:dyDescent="0.35">
      <c r="A1948" s="392"/>
      <c r="B1948" s="393"/>
      <c r="C1948" s="99" t="str">
        <f>IF(B1948="","",IF(NOT(ISNUMBER(B1948)),"DATA_PC invalida",IF(NOT(ISNUMBER(parametros!$C$2)),"Fora dos ciclos",IF(OR(B1948&lt;parametros!$C$2,(YEAR(B1948)-YEAR(parametros!$C$2))*12+MONTH(B1948)-MONTH(parametros!$C$2)&gt;59),"Fora dos ciclos","C"&amp;INT(((YEAR(B1948)-YEAR(parametros!$C$2))*12+MONTH(B1948)-MONTH(parametros!$C$2))/12)))))</f>
        <v/>
      </c>
      <c r="D1948" s="394"/>
      <c r="E1948" s="78" t="str">
        <f>IF(C1948="","",IFERROR(VLOOKUP(C1948,parametros!$A$11:$E$15,5,0),""))</f>
        <v/>
      </c>
      <c r="F1948" s="79" t="str">
        <f t="shared" si="152"/>
        <v/>
      </c>
      <c r="G1948" s="395"/>
      <c r="H1948" s="91">
        <f t="shared" si="153"/>
        <v>0</v>
      </c>
      <c r="I1948" s="91" t="str">
        <f t="shared" si="154"/>
        <v/>
      </c>
      <c r="J1948" s="91" t="str">
        <f t="shared" si="155"/>
        <v/>
      </c>
      <c r="K1948" s="92" t="str">
        <f>IF(AND(A1948="",B1948="",D1948="",G1948=""),"",IF(AND(A1948&lt;&gt;"",COUNTIF($A$2:$A$5001,A1948)&gt;1),"NUMERO_PC duplicado",IF(B1948="","DATA_PC vazia",IF(NOT(ISNUMBER(B1948)),"DATA_PC invalida",IF(OR(C1948="",C1948="Fora dos ciclos"),"CICLO_PC nao identificado",IF(OR(D1948="",D1948=0),"VALOR_PC vazio ou zero",IF(AND(G1948&lt;&gt;"Sim",G1948&lt;&gt;"Nao",G1948&lt;&gt;""),"PC_PAGO_A_CONTRATADA invalido",IF(AND(C1948&lt;&gt;"C0",IFERROR(INDEX(parametros!$A$2:$A$6,MATCH(C1948,parametros!$B$2:$B$6,0)),"")="Sim",IFERROR(INDEX(parametros!$H$2:$H$6,MATCH(C1948,parametros!$B$2:$B$6,0)),"")=""),"INICIO_EFEITO ausente: PC "&amp;A1948&amp;" - "&amp;C1948,IF(L1948="","EFEITO_PC nao calculado: PC "&amp;A1948&amp;" - "&amp;C1948,"OK")))))))))</f>
        <v/>
      </c>
      <c r="L1948" s="92" t="str">
        <f>IF(AND(A1948="",B1948="",D1948="",G1948=""),"",IF(OR(B1948="",NOT(ISNUMBER(B1948)),C1948="",C1948="Fora dos ciclos"),"",IF(C1948="C0","Nao",IF(IFERROR(INDEX(parametros!$A$2:$A$6,MATCH(C1948,parametros!$B$2:$B$6,0)),"")&lt;&gt;"Sim","Nao",IF(IFERROR(INDEX(parametros!$H$2:$H$6,MATCH(C1948,parametros!$B$2:$B$6,0)),"")="","",IF(B1948&gt;=IFERROR(INDEX(parametros!$H$2:$H$6,MATCH(C1948,parametros!$B$2:$B$6,0)),""),"Sim","Nao"))))))</f>
        <v/>
      </c>
      <c r="T1948" s="156"/>
      <c r="U1948" s="214" t="str">
        <f t="shared" si="156"/>
        <v/>
      </c>
      <c r="V1948" s="212" t="s">
        <v>50</v>
      </c>
      <c r="W1948" s="100" t="s">
        <v>168</v>
      </c>
      <c r="X1948" s="100" t="s">
        <v>169</v>
      </c>
      <c r="Y1948" s="101" t="s">
        <v>170</v>
      </c>
      <c r="Z1948" s="101" t="s">
        <v>171</v>
      </c>
      <c r="AA1948" s="101" t="s">
        <v>50</v>
      </c>
      <c r="AB1948" s="101" t="s">
        <v>172</v>
      </c>
      <c r="AC1948" s="102" t="s">
        <v>173</v>
      </c>
    </row>
    <row r="1949" spans="1:29" ht="25.5" customHeight="1" x14ac:dyDescent="0.35">
      <c r="A1949" s="392"/>
      <c r="B1949" s="393"/>
      <c r="C1949" s="99" t="str">
        <f>IF(B1949="","",IF(NOT(ISNUMBER(B1949)),"DATA_PC invalida",IF(NOT(ISNUMBER(parametros!$C$2)),"Fora dos ciclos",IF(OR(B1949&lt;parametros!$C$2,(YEAR(B1949)-YEAR(parametros!$C$2))*12+MONTH(B1949)-MONTH(parametros!$C$2)&gt;59),"Fora dos ciclos","C"&amp;INT(((YEAR(B1949)-YEAR(parametros!$C$2))*12+MONTH(B1949)-MONTH(parametros!$C$2))/12)))))</f>
        <v/>
      </c>
      <c r="D1949" s="394"/>
      <c r="E1949" s="78" t="str">
        <f>IF(C1949="","",IFERROR(VLOOKUP(C1949,parametros!$A$11:$E$15,5,0),""))</f>
        <v/>
      </c>
      <c r="F1949" s="79" t="str">
        <f t="shared" si="152"/>
        <v/>
      </c>
      <c r="G1949" s="395"/>
      <c r="H1949" s="91">
        <f t="shared" si="153"/>
        <v>0</v>
      </c>
      <c r="I1949" s="91" t="str">
        <f t="shared" si="154"/>
        <v/>
      </c>
      <c r="J1949" s="91" t="str">
        <f t="shared" si="155"/>
        <v/>
      </c>
      <c r="K1949" s="92" t="str">
        <f>IF(AND(A1949="",B1949="",D1949="",G1949=""),"",IF(AND(A1949&lt;&gt;"",COUNTIF($A$2:$A$5001,A1949)&gt;1),"NUMERO_PC duplicado",IF(B1949="","DATA_PC vazia",IF(NOT(ISNUMBER(B1949)),"DATA_PC invalida",IF(OR(C1949="",C1949="Fora dos ciclos"),"CICLO_PC nao identificado",IF(OR(D1949="",D1949=0),"VALOR_PC vazio ou zero",IF(AND(G1949&lt;&gt;"Sim",G1949&lt;&gt;"Nao",G1949&lt;&gt;""),"PC_PAGO_A_CONTRATADA invalido",IF(AND(C1949&lt;&gt;"C0",IFERROR(INDEX(parametros!$A$2:$A$6,MATCH(C1949,parametros!$B$2:$B$6,0)),"")="Sim",IFERROR(INDEX(parametros!$H$2:$H$6,MATCH(C1949,parametros!$B$2:$B$6,0)),"")=""),"INICIO_EFEITO ausente: PC "&amp;A1949&amp;" - "&amp;C1949,IF(L1949="","EFEITO_PC nao calculado: PC "&amp;A1949&amp;" - "&amp;C1949,"OK")))))))))</f>
        <v/>
      </c>
      <c r="L1949" s="92" t="str">
        <f>IF(AND(A1949="",B1949="",D1949="",G1949=""),"",IF(OR(B1949="",NOT(ISNUMBER(B1949)),C1949="",C1949="Fora dos ciclos"),"",IF(C1949="C0","Nao",IF(IFERROR(INDEX(parametros!$A$2:$A$6,MATCH(C1949,parametros!$B$2:$B$6,0)),"")&lt;&gt;"Sim","Nao",IF(IFERROR(INDEX(parametros!$H$2:$H$6,MATCH(C1949,parametros!$B$2:$B$6,0)),"")="","",IF(B1949&gt;=IFERROR(INDEX(parametros!$H$2:$H$6,MATCH(C1949,parametros!$B$2:$B$6,0)),""),"Sim","Nao"))))))</f>
        <v/>
      </c>
      <c r="T1949" s="156"/>
      <c r="U1949" s="214" t="str">
        <f t="shared" si="156"/>
        <v/>
      </c>
      <c r="V1949" s="212" t="s">
        <v>50</v>
      </c>
      <c r="W1949" s="100" t="s">
        <v>168</v>
      </c>
      <c r="X1949" s="100" t="s">
        <v>169</v>
      </c>
      <c r="Y1949" s="101" t="s">
        <v>170</v>
      </c>
      <c r="Z1949" s="101" t="s">
        <v>171</v>
      </c>
      <c r="AA1949" s="101" t="s">
        <v>50</v>
      </c>
      <c r="AB1949" s="101" t="s">
        <v>172</v>
      </c>
      <c r="AC1949" s="102" t="s">
        <v>173</v>
      </c>
    </row>
    <row r="1950" spans="1:29" ht="25.5" customHeight="1" x14ac:dyDescent="0.35">
      <c r="A1950" s="392"/>
      <c r="B1950" s="393"/>
      <c r="C1950" s="99" t="str">
        <f>IF(B1950="","",IF(NOT(ISNUMBER(B1950)),"DATA_PC invalida",IF(NOT(ISNUMBER(parametros!$C$2)),"Fora dos ciclos",IF(OR(B1950&lt;parametros!$C$2,(YEAR(B1950)-YEAR(parametros!$C$2))*12+MONTH(B1950)-MONTH(parametros!$C$2)&gt;59),"Fora dos ciclos","C"&amp;INT(((YEAR(B1950)-YEAR(parametros!$C$2))*12+MONTH(B1950)-MONTH(parametros!$C$2))/12)))))</f>
        <v/>
      </c>
      <c r="D1950" s="394"/>
      <c r="E1950" s="78" t="str">
        <f>IF(C1950="","",IFERROR(VLOOKUP(C1950,parametros!$A$11:$E$15,5,0),""))</f>
        <v/>
      </c>
      <c r="F1950" s="79" t="str">
        <f t="shared" si="152"/>
        <v/>
      </c>
      <c r="G1950" s="395"/>
      <c r="H1950" s="91">
        <f t="shared" si="153"/>
        <v>0</v>
      </c>
      <c r="I1950" s="91" t="str">
        <f t="shared" si="154"/>
        <v/>
      </c>
      <c r="J1950" s="91" t="str">
        <f t="shared" si="155"/>
        <v/>
      </c>
      <c r="K1950" s="92" t="str">
        <f>IF(AND(A1950="",B1950="",D1950="",G1950=""),"",IF(AND(A1950&lt;&gt;"",COUNTIF($A$2:$A$5001,A1950)&gt;1),"NUMERO_PC duplicado",IF(B1950="","DATA_PC vazia",IF(NOT(ISNUMBER(B1950)),"DATA_PC invalida",IF(OR(C1950="",C1950="Fora dos ciclos"),"CICLO_PC nao identificado",IF(OR(D1950="",D1950=0),"VALOR_PC vazio ou zero",IF(AND(G1950&lt;&gt;"Sim",G1950&lt;&gt;"Nao",G1950&lt;&gt;""),"PC_PAGO_A_CONTRATADA invalido",IF(AND(C1950&lt;&gt;"C0",IFERROR(INDEX(parametros!$A$2:$A$6,MATCH(C1950,parametros!$B$2:$B$6,0)),"")="Sim",IFERROR(INDEX(parametros!$H$2:$H$6,MATCH(C1950,parametros!$B$2:$B$6,0)),"")=""),"INICIO_EFEITO ausente: PC "&amp;A1950&amp;" - "&amp;C1950,IF(L1950="","EFEITO_PC nao calculado: PC "&amp;A1950&amp;" - "&amp;C1950,"OK")))))))))</f>
        <v/>
      </c>
      <c r="L1950" s="92" t="str">
        <f>IF(AND(A1950="",B1950="",D1950="",G1950=""),"",IF(OR(B1950="",NOT(ISNUMBER(B1950)),C1950="",C1950="Fora dos ciclos"),"",IF(C1950="C0","Nao",IF(IFERROR(INDEX(parametros!$A$2:$A$6,MATCH(C1950,parametros!$B$2:$B$6,0)),"")&lt;&gt;"Sim","Nao",IF(IFERROR(INDEX(parametros!$H$2:$H$6,MATCH(C1950,parametros!$B$2:$B$6,0)),"")="","",IF(B1950&gt;=IFERROR(INDEX(parametros!$H$2:$H$6,MATCH(C1950,parametros!$B$2:$B$6,0)),""),"Sim","Nao"))))))</f>
        <v/>
      </c>
      <c r="T1950" s="156"/>
      <c r="U1950" s="214" t="str">
        <f t="shared" si="156"/>
        <v/>
      </c>
      <c r="V1950" s="212" t="s">
        <v>50</v>
      </c>
      <c r="W1950" s="100" t="s">
        <v>168</v>
      </c>
      <c r="X1950" s="100" t="s">
        <v>169</v>
      </c>
      <c r="Y1950" s="101" t="s">
        <v>170</v>
      </c>
      <c r="Z1950" s="101" t="s">
        <v>171</v>
      </c>
      <c r="AA1950" s="101" t="s">
        <v>50</v>
      </c>
      <c r="AB1950" s="101" t="s">
        <v>172</v>
      </c>
      <c r="AC1950" s="102" t="s">
        <v>173</v>
      </c>
    </row>
    <row r="1951" spans="1:29" ht="25.5" customHeight="1" x14ac:dyDescent="0.35">
      <c r="A1951" s="392"/>
      <c r="B1951" s="393"/>
      <c r="C1951" s="99" t="str">
        <f>IF(B1951="","",IF(NOT(ISNUMBER(B1951)),"DATA_PC invalida",IF(NOT(ISNUMBER(parametros!$C$2)),"Fora dos ciclos",IF(OR(B1951&lt;parametros!$C$2,(YEAR(B1951)-YEAR(parametros!$C$2))*12+MONTH(B1951)-MONTH(parametros!$C$2)&gt;59),"Fora dos ciclos","C"&amp;INT(((YEAR(B1951)-YEAR(parametros!$C$2))*12+MONTH(B1951)-MONTH(parametros!$C$2))/12)))))</f>
        <v/>
      </c>
      <c r="D1951" s="394"/>
      <c r="E1951" s="78" t="str">
        <f>IF(C1951="","",IFERROR(VLOOKUP(C1951,parametros!$A$11:$E$15,5,0),""))</f>
        <v/>
      </c>
      <c r="F1951" s="79" t="str">
        <f t="shared" si="152"/>
        <v/>
      </c>
      <c r="G1951" s="395"/>
      <c r="H1951" s="91">
        <f t="shared" si="153"/>
        <v>0</v>
      </c>
      <c r="I1951" s="91" t="str">
        <f t="shared" si="154"/>
        <v/>
      </c>
      <c r="J1951" s="91" t="str">
        <f t="shared" si="155"/>
        <v/>
      </c>
      <c r="K1951" s="92" t="str">
        <f>IF(AND(A1951="",B1951="",D1951="",G1951=""),"",IF(AND(A1951&lt;&gt;"",COUNTIF($A$2:$A$5001,A1951)&gt;1),"NUMERO_PC duplicado",IF(B1951="","DATA_PC vazia",IF(NOT(ISNUMBER(B1951)),"DATA_PC invalida",IF(OR(C1951="",C1951="Fora dos ciclos"),"CICLO_PC nao identificado",IF(OR(D1951="",D1951=0),"VALOR_PC vazio ou zero",IF(AND(G1951&lt;&gt;"Sim",G1951&lt;&gt;"Nao",G1951&lt;&gt;""),"PC_PAGO_A_CONTRATADA invalido",IF(AND(C1951&lt;&gt;"C0",IFERROR(INDEX(parametros!$A$2:$A$6,MATCH(C1951,parametros!$B$2:$B$6,0)),"")="Sim",IFERROR(INDEX(parametros!$H$2:$H$6,MATCH(C1951,parametros!$B$2:$B$6,0)),"")=""),"INICIO_EFEITO ausente: PC "&amp;A1951&amp;" - "&amp;C1951,IF(L1951="","EFEITO_PC nao calculado: PC "&amp;A1951&amp;" - "&amp;C1951,"OK")))))))))</f>
        <v/>
      </c>
      <c r="L1951" s="92" t="str">
        <f>IF(AND(A1951="",B1951="",D1951="",G1951=""),"",IF(OR(B1951="",NOT(ISNUMBER(B1951)),C1951="",C1951="Fora dos ciclos"),"",IF(C1951="C0","Nao",IF(IFERROR(INDEX(parametros!$A$2:$A$6,MATCH(C1951,parametros!$B$2:$B$6,0)),"")&lt;&gt;"Sim","Nao",IF(IFERROR(INDEX(parametros!$H$2:$H$6,MATCH(C1951,parametros!$B$2:$B$6,0)),"")="","",IF(B1951&gt;=IFERROR(INDEX(parametros!$H$2:$H$6,MATCH(C1951,parametros!$B$2:$B$6,0)),""),"Sim","Nao"))))))</f>
        <v/>
      </c>
      <c r="T1951" s="156"/>
      <c r="U1951" s="214" t="str">
        <f t="shared" si="156"/>
        <v/>
      </c>
      <c r="V1951" s="212" t="s">
        <v>50</v>
      </c>
      <c r="W1951" s="100" t="s">
        <v>168</v>
      </c>
      <c r="X1951" s="100" t="s">
        <v>169</v>
      </c>
      <c r="Y1951" s="101" t="s">
        <v>170</v>
      </c>
      <c r="Z1951" s="101" t="s">
        <v>171</v>
      </c>
      <c r="AA1951" s="101" t="s">
        <v>50</v>
      </c>
      <c r="AB1951" s="101" t="s">
        <v>172</v>
      </c>
      <c r="AC1951" s="102" t="s">
        <v>173</v>
      </c>
    </row>
    <row r="1952" spans="1:29" ht="25.5" customHeight="1" x14ac:dyDescent="0.35">
      <c r="A1952" s="392"/>
      <c r="B1952" s="393"/>
      <c r="C1952" s="99" t="str">
        <f>IF(B1952="","",IF(NOT(ISNUMBER(B1952)),"DATA_PC invalida",IF(NOT(ISNUMBER(parametros!$C$2)),"Fora dos ciclos",IF(OR(B1952&lt;parametros!$C$2,(YEAR(B1952)-YEAR(parametros!$C$2))*12+MONTH(B1952)-MONTH(parametros!$C$2)&gt;59),"Fora dos ciclos","C"&amp;INT(((YEAR(B1952)-YEAR(parametros!$C$2))*12+MONTH(B1952)-MONTH(parametros!$C$2))/12)))))</f>
        <v/>
      </c>
      <c r="D1952" s="394"/>
      <c r="E1952" s="78" t="str">
        <f>IF(C1952="","",IFERROR(VLOOKUP(C1952,parametros!$A$11:$E$15,5,0),""))</f>
        <v/>
      </c>
      <c r="F1952" s="79" t="str">
        <f t="shared" si="152"/>
        <v/>
      </c>
      <c r="G1952" s="395"/>
      <c r="H1952" s="91">
        <f t="shared" si="153"/>
        <v>0</v>
      </c>
      <c r="I1952" s="91" t="str">
        <f t="shared" si="154"/>
        <v/>
      </c>
      <c r="J1952" s="91" t="str">
        <f t="shared" si="155"/>
        <v/>
      </c>
      <c r="K1952" s="92" t="str">
        <f>IF(AND(A1952="",B1952="",D1952="",G1952=""),"",IF(AND(A1952&lt;&gt;"",COUNTIF($A$2:$A$5001,A1952)&gt;1),"NUMERO_PC duplicado",IF(B1952="","DATA_PC vazia",IF(NOT(ISNUMBER(B1952)),"DATA_PC invalida",IF(OR(C1952="",C1952="Fora dos ciclos"),"CICLO_PC nao identificado",IF(OR(D1952="",D1952=0),"VALOR_PC vazio ou zero",IF(AND(G1952&lt;&gt;"Sim",G1952&lt;&gt;"Nao",G1952&lt;&gt;""),"PC_PAGO_A_CONTRATADA invalido",IF(AND(C1952&lt;&gt;"C0",IFERROR(INDEX(parametros!$A$2:$A$6,MATCH(C1952,parametros!$B$2:$B$6,0)),"")="Sim",IFERROR(INDEX(parametros!$H$2:$H$6,MATCH(C1952,parametros!$B$2:$B$6,0)),"")=""),"INICIO_EFEITO ausente: PC "&amp;A1952&amp;" - "&amp;C1952,IF(L1952="","EFEITO_PC nao calculado: PC "&amp;A1952&amp;" - "&amp;C1952,"OK")))))))))</f>
        <v/>
      </c>
      <c r="L1952" s="92" t="str">
        <f>IF(AND(A1952="",B1952="",D1952="",G1952=""),"",IF(OR(B1952="",NOT(ISNUMBER(B1952)),C1952="",C1952="Fora dos ciclos"),"",IF(C1952="C0","Nao",IF(IFERROR(INDEX(parametros!$A$2:$A$6,MATCH(C1952,parametros!$B$2:$B$6,0)),"")&lt;&gt;"Sim","Nao",IF(IFERROR(INDEX(parametros!$H$2:$H$6,MATCH(C1952,parametros!$B$2:$B$6,0)),"")="","",IF(B1952&gt;=IFERROR(INDEX(parametros!$H$2:$H$6,MATCH(C1952,parametros!$B$2:$B$6,0)),""),"Sim","Nao"))))))</f>
        <v/>
      </c>
      <c r="T1952" s="156"/>
      <c r="U1952" s="214" t="str">
        <f t="shared" si="156"/>
        <v/>
      </c>
      <c r="V1952" s="212" t="s">
        <v>50</v>
      </c>
      <c r="W1952" s="100" t="s">
        <v>168</v>
      </c>
      <c r="X1952" s="100" t="s">
        <v>169</v>
      </c>
      <c r="Y1952" s="101" t="s">
        <v>170</v>
      </c>
      <c r="Z1952" s="101" t="s">
        <v>171</v>
      </c>
      <c r="AA1952" s="101" t="s">
        <v>50</v>
      </c>
      <c r="AB1952" s="101" t="s">
        <v>172</v>
      </c>
      <c r="AC1952" s="102" t="s">
        <v>173</v>
      </c>
    </row>
    <row r="1953" spans="1:29" ht="25.5" customHeight="1" x14ac:dyDescent="0.35">
      <c r="A1953" s="392"/>
      <c r="B1953" s="393"/>
      <c r="C1953" s="99" t="str">
        <f>IF(B1953="","",IF(NOT(ISNUMBER(B1953)),"DATA_PC invalida",IF(NOT(ISNUMBER(parametros!$C$2)),"Fora dos ciclos",IF(OR(B1953&lt;parametros!$C$2,(YEAR(B1953)-YEAR(parametros!$C$2))*12+MONTH(B1953)-MONTH(parametros!$C$2)&gt;59),"Fora dos ciclos","C"&amp;INT(((YEAR(B1953)-YEAR(parametros!$C$2))*12+MONTH(B1953)-MONTH(parametros!$C$2))/12)))))</f>
        <v/>
      </c>
      <c r="D1953" s="394"/>
      <c r="E1953" s="78" t="str">
        <f>IF(C1953="","",IFERROR(VLOOKUP(C1953,parametros!$A$11:$E$15,5,0),""))</f>
        <v/>
      </c>
      <c r="F1953" s="79" t="str">
        <f t="shared" si="152"/>
        <v/>
      </c>
      <c r="G1953" s="395"/>
      <c r="H1953" s="91">
        <f t="shared" si="153"/>
        <v>0</v>
      </c>
      <c r="I1953" s="91" t="str">
        <f t="shared" si="154"/>
        <v/>
      </c>
      <c r="J1953" s="91" t="str">
        <f t="shared" si="155"/>
        <v/>
      </c>
      <c r="K1953" s="92" t="str">
        <f>IF(AND(A1953="",B1953="",D1953="",G1953=""),"",IF(AND(A1953&lt;&gt;"",COUNTIF($A$2:$A$5001,A1953)&gt;1),"NUMERO_PC duplicado",IF(B1953="","DATA_PC vazia",IF(NOT(ISNUMBER(B1953)),"DATA_PC invalida",IF(OR(C1953="",C1953="Fora dos ciclos"),"CICLO_PC nao identificado",IF(OR(D1953="",D1953=0),"VALOR_PC vazio ou zero",IF(AND(G1953&lt;&gt;"Sim",G1953&lt;&gt;"Nao",G1953&lt;&gt;""),"PC_PAGO_A_CONTRATADA invalido",IF(AND(C1953&lt;&gt;"C0",IFERROR(INDEX(parametros!$A$2:$A$6,MATCH(C1953,parametros!$B$2:$B$6,0)),"")="Sim",IFERROR(INDEX(parametros!$H$2:$H$6,MATCH(C1953,parametros!$B$2:$B$6,0)),"")=""),"INICIO_EFEITO ausente: PC "&amp;A1953&amp;" - "&amp;C1953,IF(L1953="","EFEITO_PC nao calculado: PC "&amp;A1953&amp;" - "&amp;C1953,"OK")))))))))</f>
        <v/>
      </c>
      <c r="L1953" s="92" t="str">
        <f>IF(AND(A1953="",B1953="",D1953="",G1953=""),"",IF(OR(B1953="",NOT(ISNUMBER(B1953)),C1953="",C1953="Fora dos ciclos"),"",IF(C1953="C0","Nao",IF(IFERROR(INDEX(parametros!$A$2:$A$6,MATCH(C1953,parametros!$B$2:$B$6,0)),"")&lt;&gt;"Sim","Nao",IF(IFERROR(INDEX(parametros!$H$2:$H$6,MATCH(C1953,parametros!$B$2:$B$6,0)),"")="","",IF(B1953&gt;=IFERROR(INDEX(parametros!$H$2:$H$6,MATCH(C1953,parametros!$B$2:$B$6,0)),""),"Sim","Nao"))))))</f>
        <v/>
      </c>
      <c r="T1953" s="156"/>
      <c r="U1953" s="214" t="str">
        <f t="shared" si="156"/>
        <v/>
      </c>
      <c r="V1953" s="212" t="s">
        <v>50</v>
      </c>
      <c r="W1953" s="100" t="s">
        <v>168</v>
      </c>
      <c r="X1953" s="100" t="s">
        <v>169</v>
      </c>
      <c r="Y1953" s="101" t="s">
        <v>170</v>
      </c>
      <c r="Z1953" s="101" t="s">
        <v>171</v>
      </c>
      <c r="AA1953" s="101" t="s">
        <v>50</v>
      </c>
      <c r="AB1953" s="101" t="s">
        <v>172</v>
      </c>
      <c r="AC1953" s="102" t="s">
        <v>173</v>
      </c>
    </row>
    <row r="1954" spans="1:29" ht="25.5" customHeight="1" x14ac:dyDescent="0.35">
      <c r="A1954" s="392"/>
      <c r="B1954" s="393"/>
      <c r="C1954" s="99" t="str">
        <f>IF(B1954="","",IF(NOT(ISNUMBER(B1954)),"DATA_PC invalida",IF(NOT(ISNUMBER(parametros!$C$2)),"Fora dos ciclos",IF(OR(B1954&lt;parametros!$C$2,(YEAR(B1954)-YEAR(parametros!$C$2))*12+MONTH(B1954)-MONTH(parametros!$C$2)&gt;59),"Fora dos ciclos","C"&amp;INT(((YEAR(B1954)-YEAR(parametros!$C$2))*12+MONTH(B1954)-MONTH(parametros!$C$2))/12)))))</f>
        <v/>
      </c>
      <c r="D1954" s="394"/>
      <c r="E1954" s="78" t="str">
        <f>IF(C1954="","",IFERROR(VLOOKUP(C1954,parametros!$A$11:$E$15,5,0),""))</f>
        <v/>
      </c>
      <c r="F1954" s="79" t="str">
        <f t="shared" si="152"/>
        <v/>
      </c>
      <c r="G1954" s="395"/>
      <c r="H1954" s="91">
        <f t="shared" si="153"/>
        <v>0</v>
      </c>
      <c r="I1954" s="91" t="str">
        <f t="shared" si="154"/>
        <v/>
      </c>
      <c r="J1954" s="91" t="str">
        <f t="shared" si="155"/>
        <v/>
      </c>
      <c r="K1954" s="92" t="str">
        <f>IF(AND(A1954="",B1954="",D1954="",G1954=""),"",IF(AND(A1954&lt;&gt;"",COUNTIF($A$2:$A$5001,A1954)&gt;1),"NUMERO_PC duplicado",IF(B1954="","DATA_PC vazia",IF(NOT(ISNUMBER(B1954)),"DATA_PC invalida",IF(OR(C1954="",C1954="Fora dos ciclos"),"CICLO_PC nao identificado",IF(OR(D1954="",D1954=0),"VALOR_PC vazio ou zero",IF(AND(G1954&lt;&gt;"Sim",G1954&lt;&gt;"Nao",G1954&lt;&gt;""),"PC_PAGO_A_CONTRATADA invalido",IF(AND(C1954&lt;&gt;"C0",IFERROR(INDEX(parametros!$A$2:$A$6,MATCH(C1954,parametros!$B$2:$B$6,0)),"")="Sim",IFERROR(INDEX(parametros!$H$2:$H$6,MATCH(C1954,parametros!$B$2:$B$6,0)),"")=""),"INICIO_EFEITO ausente: PC "&amp;A1954&amp;" - "&amp;C1954,IF(L1954="","EFEITO_PC nao calculado: PC "&amp;A1954&amp;" - "&amp;C1954,"OK")))))))))</f>
        <v/>
      </c>
      <c r="L1954" s="92" t="str">
        <f>IF(AND(A1954="",B1954="",D1954="",G1954=""),"",IF(OR(B1954="",NOT(ISNUMBER(B1954)),C1954="",C1954="Fora dos ciclos"),"",IF(C1954="C0","Nao",IF(IFERROR(INDEX(parametros!$A$2:$A$6,MATCH(C1954,parametros!$B$2:$B$6,0)),"")&lt;&gt;"Sim","Nao",IF(IFERROR(INDEX(parametros!$H$2:$H$6,MATCH(C1954,parametros!$B$2:$B$6,0)),"")="","",IF(B1954&gt;=IFERROR(INDEX(parametros!$H$2:$H$6,MATCH(C1954,parametros!$B$2:$B$6,0)),""),"Sim","Nao"))))))</f>
        <v/>
      </c>
      <c r="T1954" s="156"/>
      <c r="U1954" s="214" t="str">
        <f t="shared" si="156"/>
        <v/>
      </c>
      <c r="V1954" s="212" t="s">
        <v>50</v>
      </c>
      <c r="W1954" s="100" t="s">
        <v>168</v>
      </c>
      <c r="X1954" s="100" t="s">
        <v>169</v>
      </c>
      <c r="Y1954" s="101" t="s">
        <v>170</v>
      </c>
      <c r="Z1954" s="101" t="s">
        <v>171</v>
      </c>
      <c r="AA1954" s="101" t="s">
        <v>50</v>
      </c>
      <c r="AB1954" s="101" t="s">
        <v>172</v>
      </c>
      <c r="AC1954" s="102" t="s">
        <v>173</v>
      </c>
    </row>
    <row r="1955" spans="1:29" ht="25.5" customHeight="1" x14ac:dyDescent="0.35">
      <c r="A1955" s="392"/>
      <c r="B1955" s="393"/>
      <c r="C1955" s="99" t="str">
        <f>IF(B1955="","",IF(NOT(ISNUMBER(B1955)),"DATA_PC invalida",IF(NOT(ISNUMBER(parametros!$C$2)),"Fora dos ciclos",IF(OR(B1955&lt;parametros!$C$2,(YEAR(B1955)-YEAR(parametros!$C$2))*12+MONTH(B1955)-MONTH(parametros!$C$2)&gt;59),"Fora dos ciclos","C"&amp;INT(((YEAR(B1955)-YEAR(parametros!$C$2))*12+MONTH(B1955)-MONTH(parametros!$C$2))/12)))))</f>
        <v/>
      </c>
      <c r="D1955" s="394"/>
      <c r="E1955" s="78" t="str">
        <f>IF(C1955="","",IFERROR(VLOOKUP(C1955,parametros!$A$11:$E$15,5,0),""))</f>
        <v/>
      </c>
      <c r="F1955" s="79" t="str">
        <f t="shared" si="152"/>
        <v/>
      </c>
      <c r="G1955" s="395"/>
      <c r="H1955" s="91">
        <f t="shared" si="153"/>
        <v>0</v>
      </c>
      <c r="I1955" s="91" t="str">
        <f t="shared" si="154"/>
        <v/>
      </c>
      <c r="J1955" s="91" t="str">
        <f t="shared" si="155"/>
        <v/>
      </c>
      <c r="K1955" s="92" t="str">
        <f>IF(AND(A1955="",B1955="",D1955="",G1955=""),"",IF(AND(A1955&lt;&gt;"",COUNTIF($A$2:$A$5001,A1955)&gt;1),"NUMERO_PC duplicado",IF(B1955="","DATA_PC vazia",IF(NOT(ISNUMBER(B1955)),"DATA_PC invalida",IF(OR(C1955="",C1955="Fora dos ciclos"),"CICLO_PC nao identificado",IF(OR(D1955="",D1955=0),"VALOR_PC vazio ou zero",IF(AND(G1955&lt;&gt;"Sim",G1955&lt;&gt;"Nao",G1955&lt;&gt;""),"PC_PAGO_A_CONTRATADA invalido",IF(AND(C1955&lt;&gt;"C0",IFERROR(INDEX(parametros!$A$2:$A$6,MATCH(C1955,parametros!$B$2:$B$6,0)),"")="Sim",IFERROR(INDEX(parametros!$H$2:$H$6,MATCH(C1955,parametros!$B$2:$B$6,0)),"")=""),"INICIO_EFEITO ausente: PC "&amp;A1955&amp;" - "&amp;C1955,IF(L1955="","EFEITO_PC nao calculado: PC "&amp;A1955&amp;" - "&amp;C1955,"OK")))))))))</f>
        <v/>
      </c>
      <c r="L1955" s="92" t="str">
        <f>IF(AND(A1955="",B1955="",D1955="",G1955=""),"",IF(OR(B1955="",NOT(ISNUMBER(B1955)),C1955="",C1955="Fora dos ciclos"),"",IF(C1955="C0","Nao",IF(IFERROR(INDEX(parametros!$A$2:$A$6,MATCH(C1955,parametros!$B$2:$B$6,0)),"")&lt;&gt;"Sim","Nao",IF(IFERROR(INDEX(parametros!$H$2:$H$6,MATCH(C1955,parametros!$B$2:$B$6,0)),"")="","",IF(B1955&gt;=IFERROR(INDEX(parametros!$H$2:$H$6,MATCH(C1955,parametros!$B$2:$B$6,0)),""),"Sim","Nao"))))))</f>
        <v/>
      </c>
      <c r="T1955" s="156"/>
      <c r="U1955" s="214" t="str">
        <f t="shared" si="156"/>
        <v/>
      </c>
      <c r="V1955" s="212" t="s">
        <v>50</v>
      </c>
      <c r="W1955" s="100" t="s">
        <v>168</v>
      </c>
      <c r="X1955" s="100" t="s">
        <v>169</v>
      </c>
      <c r="Y1955" s="101" t="s">
        <v>170</v>
      </c>
      <c r="Z1955" s="101" t="s">
        <v>171</v>
      </c>
      <c r="AA1955" s="101" t="s">
        <v>50</v>
      </c>
      <c r="AB1955" s="101" t="s">
        <v>172</v>
      </c>
      <c r="AC1955" s="102" t="s">
        <v>173</v>
      </c>
    </row>
    <row r="1956" spans="1:29" ht="25.5" customHeight="1" x14ac:dyDescent="0.35">
      <c r="A1956" s="392"/>
      <c r="B1956" s="393"/>
      <c r="C1956" s="99" t="str">
        <f>IF(B1956="","",IF(NOT(ISNUMBER(B1956)),"DATA_PC invalida",IF(NOT(ISNUMBER(parametros!$C$2)),"Fora dos ciclos",IF(OR(B1956&lt;parametros!$C$2,(YEAR(B1956)-YEAR(parametros!$C$2))*12+MONTH(B1956)-MONTH(parametros!$C$2)&gt;59),"Fora dos ciclos","C"&amp;INT(((YEAR(B1956)-YEAR(parametros!$C$2))*12+MONTH(B1956)-MONTH(parametros!$C$2))/12)))))</f>
        <v/>
      </c>
      <c r="D1956" s="394"/>
      <c r="E1956" s="78" t="str">
        <f>IF(C1956="","",IFERROR(VLOOKUP(C1956,parametros!$A$11:$E$15,5,0),""))</f>
        <v/>
      </c>
      <c r="F1956" s="79" t="str">
        <f t="shared" si="152"/>
        <v/>
      </c>
      <c r="G1956" s="395"/>
      <c r="H1956" s="91">
        <f t="shared" si="153"/>
        <v>0</v>
      </c>
      <c r="I1956" s="91" t="str">
        <f t="shared" si="154"/>
        <v/>
      </c>
      <c r="J1956" s="91" t="str">
        <f t="shared" si="155"/>
        <v/>
      </c>
      <c r="K1956" s="92" t="str">
        <f>IF(AND(A1956="",B1956="",D1956="",G1956=""),"",IF(AND(A1956&lt;&gt;"",COUNTIF($A$2:$A$5001,A1956)&gt;1),"NUMERO_PC duplicado",IF(B1956="","DATA_PC vazia",IF(NOT(ISNUMBER(B1956)),"DATA_PC invalida",IF(OR(C1956="",C1956="Fora dos ciclos"),"CICLO_PC nao identificado",IF(OR(D1956="",D1956=0),"VALOR_PC vazio ou zero",IF(AND(G1956&lt;&gt;"Sim",G1956&lt;&gt;"Nao",G1956&lt;&gt;""),"PC_PAGO_A_CONTRATADA invalido",IF(AND(C1956&lt;&gt;"C0",IFERROR(INDEX(parametros!$A$2:$A$6,MATCH(C1956,parametros!$B$2:$B$6,0)),"")="Sim",IFERROR(INDEX(parametros!$H$2:$H$6,MATCH(C1956,parametros!$B$2:$B$6,0)),"")=""),"INICIO_EFEITO ausente: PC "&amp;A1956&amp;" - "&amp;C1956,IF(L1956="","EFEITO_PC nao calculado: PC "&amp;A1956&amp;" - "&amp;C1956,"OK")))))))))</f>
        <v/>
      </c>
      <c r="L1956" s="92" t="str">
        <f>IF(AND(A1956="",B1956="",D1956="",G1956=""),"",IF(OR(B1956="",NOT(ISNUMBER(B1956)),C1956="",C1956="Fora dos ciclos"),"",IF(C1956="C0","Nao",IF(IFERROR(INDEX(parametros!$A$2:$A$6,MATCH(C1956,parametros!$B$2:$B$6,0)),"")&lt;&gt;"Sim","Nao",IF(IFERROR(INDEX(parametros!$H$2:$H$6,MATCH(C1956,parametros!$B$2:$B$6,0)),"")="","",IF(B1956&gt;=IFERROR(INDEX(parametros!$H$2:$H$6,MATCH(C1956,parametros!$B$2:$B$6,0)),""),"Sim","Nao"))))))</f>
        <v/>
      </c>
      <c r="T1956" s="156"/>
      <c r="U1956" s="214" t="str">
        <f t="shared" si="156"/>
        <v/>
      </c>
      <c r="V1956" s="212" t="s">
        <v>50</v>
      </c>
      <c r="W1956" s="100" t="s">
        <v>168</v>
      </c>
      <c r="X1956" s="100" t="s">
        <v>169</v>
      </c>
      <c r="Y1956" s="101" t="s">
        <v>170</v>
      </c>
      <c r="Z1956" s="101" t="s">
        <v>171</v>
      </c>
      <c r="AA1956" s="101" t="s">
        <v>50</v>
      </c>
      <c r="AB1956" s="101" t="s">
        <v>172</v>
      </c>
      <c r="AC1956" s="102" t="s">
        <v>173</v>
      </c>
    </row>
    <row r="1957" spans="1:29" ht="25.5" customHeight="1" x14ac:dyDescent="0.35">
      <c r="A1957" s="392"/>
      <c r="B1957" s="393"/>
      <c r="C1957" s="99" t="str">
        <f>IF(B1957="","",IF(NOT(ISNUMBER(B1957)),"DATA_PC invalida",IF(NOT(ISNUMBER(parametros!$C$2)),"Fora dos ciclos",IF(OR(B1957&lt;parametros!$C$2,(YEAR(B1957)-YEAR(parametros!$C$2))*12+MONTH(B1957)-MONTH(parametros!$C$2)&gt;59),"Fora dos ciclos","C"&amp;INT(((YEAR(B1957)-YEAR(parametros!$C$2))*12+MONTH(B1957)-MONTH(parametros!$C$2))/12)))))</f>
        <v/>
      </c>
      <c r="D1957" s="394"/>
      <c r="E1957" s="78" t="str">
        <f>IF(C1957="","",IFERROR(VLOOKUP(C1957,parametros!$A$11:$E$15,5,0),""))</f>
        <v/>
      </c>
      <c r="F1957" s="79" t="str">
        <f t="shared" si="152"/>
        <v/>
      </c>
      <c r="G1957" s="395"/>
      <c r="H1957" s="91">
        <f t="shared" si="153"/>
        <v>0</v>
      </c>
      <c r="I1957" s="91" t="str">
        <f t="shared" si="154"/>
        <v/>
      </c>
      <c r="J1957" s="91" t="str">
        <f t="shared" si="155"/>
        <v/>
      </c>
      <c r="K1957" s="92" t="str">
        <f>IF(AND(A1957="",B1957="",D1957="",G1957=""),"",IF(AND(A1957&lt;&gt;"",COUNTIF($A$2:$A$5001,A1957)&gt;1),"NUMERO_PC duplicado",IF(B1957="","DATA_PC vazia",IF(NOT(ISNUMBER(B1957)),"DATA_PC invalida",IF(OR(C1957="",C1957="Fora dos ciclos"),"CICLO_PC nao identificado",IF(OR(D1957="",D1957=0),"VALOR_PC vazio ou zero",IF(AND(G1957&lt;&gt;"Sim",G1957&lt;&gt;"Nao",G1957&lt;&gt;""),"PC_PAGO_A_CONTRATADA invalido",IF(AND(C1957&lt;&gt;"C0",IFERROR(INDEX(parametros!$A$2:$A$6,MATCH(C1957,parametros!$B$2:$B$6,0)),"")="Sim",IFERROR(INDEX(parametros!$H$2:$H$6,MATCH(C1957,parametros!$B$2:$B$6,0)),"")=""),"INICIO_EFEITO ausente: PC "&amp;A1957&amp;" - "&amp;C1957,IF(L1957="","EFEITO_PC nao calculado: PC "&amp;A1957&amp;" - "&amp;C1957,"OK")))))))))</f>
        <v/>
      </c>
      <c r="L1957" s="92" t="str">
        <f>IF(AND(A1957="",B1957="",D1957="",G1957=""),"",IF(OR(B1957="",NOT(ISNUMBER(B1957)),C1957="",C1957="Fora dos ciclos"),"",IF(C1957="C0","Nao",IF(IFERROR(INDEX(parametros!$A$2:$A$6,MATCH(C1957,parametros!$B$2:$B$6,0)),"")&lt;&gt;"Sim","Nao",IF(IFERROR(INDEX(parametros!$H$2:$H$6,MATCH(C1957,parametros!$B$2:$B$6,0)),"")="","",IF(B1957&gt;=IFERROR(INDEX(parametros!$H$2:$H$6,MATCH(C1957,parametros!$B$2:$B$6,0)),""),"Sim","Nao"))))))</f>
        <v/>
      </c>
      <c r="T1957" s="156"/>
      <c r="U1957" s="214" t="str">
        <f t="shared" si="156"/>
        <v/>
      </c>
      <c r="V1957" s="212" t="s">
        <v>50</v>
      </c>
      <c r="W1957" s="100" t="s">
        <v>168</v>
      </c>
      <c r="X1957" s="100" t="s">
        <v>169</v>
      </c>
      <c r="Y1957" s="101" t="s">
        <v>170</v>
      </c>
      <c r="Z1957" s="101" t="s">
        <v>171</v>
      </c>
      <c r="AA1957" s="101" t="s">
        <v>50</v>
      </c>
      <c r="AB1957" s="101" t="s">
        <v>172</v>
      </c>
      <c r="AC1957" s="102" t="s">
        <v>173</v>
      </c>
    </row>
    <row r="1958" spans="1:29" ht="25.5" customHeight="1" x14ac:dyDescent="0.35">
      <c r="A1958" s="392"/>
      <c r="B1958" s="393"/>
      <c r="C1958" s="99" t="str">
        <f>IF(B1958="","",IF(NOT(ISNUMBER(B1958)),"DATA_PC invalida",IF(NOT(ISNUMBER(parametros!$C$2)),"Fora dos ciclos",IF(OR(B1958&lt;parametros!$C$2,(YEAR(B1958)-YEAR(parametros!$C$2))*12+MONTH(B1958)-MONTH(parametros!$C$2)&gt;59),"Fora dos ciclos","C"&amp;INT(((YEAR(B1958)-YEAR(parametros!$C$2))*12+MONTH(B1958)-MONTH(parametros!$C$2))/12)))))</f>
        <v/>
      </c>
      <c r="D1958" s="394"/>
      <c r="E1958" s="78" t="str">
        <f>IF(C1958="","",IFERROR(VLOOKUP(C1958,parametros!$A$11:$E$15,5,0),""))</f>
        <v/>
      </c>
      <c r="F1958" s="79" t="str">
        <f t="shared" si="152"/>
        <v/>
      </c>
      <c r="G1958" s="395"/>
      <c r="H1958" s="91">
        <f t="shared" si="153"/>
        <v>0</v>
      </c>
      <c r="I1958" s="91" t="str">
        <f t="shared" si="154"/>
        <v/>
      </c>
      <c r="J1958" s="91" t="str">
        <f t="shared" si="155"/>
        <v/>
      </c>
      <c r="K1958" s="92" t="str">
        <f>IF(AND(A1958="",B1958="",D1958="",G1958=""),"",IF(AND(A1958&lt;&gt;"",COUNTIF($A$2:$A$5001,A1958)&gt;1),"NUMERO_PC duplicado",IF(B1958="","DATA_PC vazia",IF(NOT(ISNUMBER(B1958)),"DATA_PC invalida",IF(OR(C1958="",C1958="Fora dos ciclos"),"CICLO_PC nao identificado",IF(OR(D1958="",D1958=0),"VALOR_PC vazio ou zero",IF(AND(G1958&lt;&gt;"Sim",G1958&lt;&gt;"Nao",G1958&lt;&gt;""),"PC_PAGO_A_CONTRATADA invalido",IF(AND(C1958&lt;&gt;"C0",IFERROR(INDEX(parametros!$A$2:$A$6,MATCH(C1958,parametros!$B$2:$B$6,0)),"")="Sim",IFERROR(INDEX(parametros!$H$2:$H$6,MATCH(C1958,parametros!$B$2:$B$6,0)),"")=""),"INICIO_EFEITO ausente: PC "&amp;A1958&amp;" - "&amp;C1958,IF(L1958="","EFEITO_PC nao calculado: PC "&amp;A1958&amp;" - "&amp;C1958,"OK")))))))))</f>
        <v/>
      </c>
      <c r="L1958" s="92" t="str">
        <f>IF(AND(A1958="",B1958="",D1958="",G1958=""),"",IF(OR(B1958="",NOT(ISNUMBER(B1958)),C1958="",C1958="Fora dos ciclos"),"",IF(C1958="C0","Nao",IF(IFERROR(INDEX(parametros!$A$2:$A$6,MATCH(C1958,parametros!$B$2:$B$6,0)),"")&lt;&gt;"Sim","Nao",IF(IFERROR(INDEX(parametros!$H$2:$H$6,MATCH(C1958,parametros!$B$2:$B$6,0)),"")="","",IF(B1958&gt;=IFERROR(INDEX(parametros!$H$2:$H$6,MATCH(C1958,parametros!$B$2:$B$6,0)),""),"Sim","Nao"))))))</f>
        <v/>
      </c>
      <c r="T1958" s="156"/>
      <c r="U1958" s="214" t="str">
        <f t="shared" si="156"/>
        <v/>
      </c>
      <c r="V1958" s="212" t="s">
        <v>50</v>
      </c>
      <c r="W1958" s="100" t="s">
        <v>168</v>
      </c>
      <c r="X1958" s="100" t="s">
        <v>169</v>
      </c>
      <c r="Y1958" s="101" t="s">
        <v>170</v>
      </c>
      <c r="Z1958" s="101" t="s">
        <v>171</v>
      </c>
      <c r="AA1958" s="101" t="s">
        <v>50</v>
      </c>
      <c r="AB1958" s="101" t="s">
        <v>172</v>
      </c>
      <c r="AC1958" s="102" t="s">
        <v>173</v>
      </c>
    </row>
    <row r="1959" spans="1:29" ht="25.5" customHeight="1" x14ac:dyDescent="0.35">
      <c r="A1959" s="392"/>
      <c r="B1959" s="393"/>
      <c r="C1959" s="99" t="str">
        <f>IF(B1959="","",IF(NOT(ISNUMBER(B1959)),"DATA_PC invalida",IF(NOT(ISNUMBER(parametros!$C$2)),"Fora dos ciclos",IF(OR(B1959&lt;parametros!$C$2,(YEAR(B1959)-YEAR(parametros!$C$2))*12+MONTH(B1959)-MONTH(parametros!$C$2)&gt;59),"Fora dos ciclos","C"&amp;INT(((YEAR(B1959)-YEAR(parametros!$C$2))*12+MONTH(B1959)-MONTH(parametros!$C$2))/12)))))</f>
        <v/>
      </c>
      <c r="D1959" s="394"/>
      <c r="E1959" s="78" t="str">
        <f>IF(C1959="","",IFERROR(VLOOKUP(C1959,parametros!$A$11:$E$15,5,0),""))</f>
        <v/>
      </c>
      <c r="F1959" s="79" t="str">
        <f t="shared" si="152"/>
        <v/>
      </c>
      <c r="G1959" s="395"/>
      <c r="H1959" s="91">
        <f t="shared" si="153"/>
        <v>0</v>
      </c>
      <c r="I1959" s="91" t="str">
        <f t="shared" si="154"/>
        <v/>
      </c>
      <c r="J1959" s="91" t="str">
        <f t="shared" si="155"/>
        <v/>
      </c>
      <c r="K1959" s="92" t="str">
        <f>IF(AND(A1959="",B1959="",D1959="",G1959=""),"",IF(AND(A1959&lt;&gt;"",COUNTIF($A$2:$A$5001,A1959)&gt;1),"NUMERO_PC duplicado",IF(B1959="","DATA_PC vazia",IF(NOT(ISNUMBER(B1959)),"DATA_PC invalida",IF(OR(C1959="",C1959="Fora dos ciclos"),"CICLO_PC nao identificado",IF(OR(D1959="",D1959=0),"VALOR_PC vazio ou zero",IF(AND(G1959&lt;&gt;"Sim",G1959&lt;&gt;"Nao",G1959&lt;&gt;""),"PC_PAGO_A_CONTRATADA invalido",IF(AND(C1959&lt;&gt;"C0",IFERROR(INDEX(parametros!$A$2:$A$6,MATCH(C1959,parametros!$B$2:$B$6,0)),"")="Sim",IFERROR(INDEX(parametros!$H$2:$H$6,MATCH(C1959,parametros!$B$2:$B$6,0)),"")=""),"INICIO_EFEITO ausente: PC "&amp;A1959&amp;" - "&amp;C1959,IF(L1959="","EFEITO_PC nao calculado: PC "&amp;A1959&amp;" - "&amp;C1959,"OK")))))))))</f>
        <v/>
      </c>
      <c r="L1959" s="92" t="str">
        <f>IF(AND(A1959="",B1959="",D1959="",G1959=""),"",IF(OR(B1959="",NOT(ISNUMBER(B1959)),C1959="",C1959="Fora dos ciclos"),"",IF(C1959="C0","Nao",IF(IFERROR(INDEX(parametros!$A$2:$A$6,MATCH(C1959,parametros!$B$2:$B$6,0)),"")&lt;&gt;"Sim","Nao",IF(IFERROR(INDEX(parametros!$H$2:$H$6,MATCH(C1959,parametros!$B$2:$B$6,0)),"")="","",IF(B1959&gt;=IFERROR(INDEX(parametros!$H$2:$H$6,MATCH(C1959,parametros!$B$2:$B$6,0)),""),"Sim","Nao"))))))</f>
        <v/>
      </c>
      <c r="T1959" s="156"/>
      <c r="U1959" s="214" t="str">
        <f t="shared" si="156"/>
        <v/>
      </c>
      <c r="V1959" s="212" t="s">
        <v>50</v>
      </c>
      <c r="W1959" s="100" t="s">
        <v>168</v>
      </c>
      <c r="X1959" s="100" t="s">
        <v>169</v>
      </c>
      <c r="Y1959" s="101" t="s">
        <v>170</v>
      </c>
      <c r="Z1959" s="101" t="s">
        <v>171</v>
      </c>
      <c r="AA1959" s="101" t="s">
        <v>50</v>
      </c>
      <c r="AB1959" s="101" t="s">
        <v>172</v>
      </c>
      <c r="AC1959" s="102" t="s">
        <v>173</v>
      </c>
    </row>
    <row r="1960" spans="1:29" ht="25.5" customHeight="1" x14ac:dyDescent="0.35">
      <c r="A1960" s="392"/>
      <c r="B1960" s="393"/>
      <c r="C1960" s="99" t="str">
        <f>IF(B1960="","",IF(NOT(ISNUMBER(B1960)),"DATA_PC invalida",IF(NOT(ISNUMBER(parametros!$C$2)),"Fora dos ciclos",IF(OR(B1960&lt;parametros!$C$2,(YEAR(B1960)-YEAR(parametros!$C$2))*12+MONTH(B1960)-MONTH(parametros!$C$2)&gt;59),"Fora dos ciclos","C"&amp;INT(((YEAR(B1960)-YEAR(parametros!$C$2))*12+MONTH(B1960)-MONTH(parametros!$C$2))/12)))))</f>
        <v/>
      </c>
      <c r="D1960" s="394"/>
      <c r="E1960" s="78" t="str">
        <f>IF(C1960="","",IFERROR(VLOOKUP(C1960,parametros!$A$11:$E$15,5,0),""))</f>
        <v/>
      </c>
      <c r="F1960" s="79" t="str">
        <f t="shared" si="152"/>
        <v/>
      </c>
      <c r="G1960" s="395"/>
      <c r="H1960" s="91">
        <f t="shared" si="153"/>
        <v>0</v>
      </c>
      <c r="I1960" s="91" t="str">
        <f t="shared" si="154"/>
        <v/>
      </c>
      <c r="J1960" s="91" t="str">
        <f t="shared" si="155"/>
        <v/>
      </c>
      <c r="K1960" s="92" t="str">
        <f>IF(AND(A1960="",B1960="",D1960="",G1960=""),"",IF(AND(A1960&lt;&gt;"",COUNTIF($A$2:$A$5001,A1960)&gt;1),"NUMERO_PC duplicado",IF(B1960="","DATA_PC vazia",IF(NOT(ISNUMBER(B1960)),"DATA_PC invalida",IF(OR(C1960="",C1960="Fora dos ciclos"),"CICLO_PC nao identificado",IF(OR(D1960="",D1960=0),"VALOR_PC vazio ou zero",IF(AND(G1960&lt;&gt;"Sim",G1960&lt;&gt;"Nao",G1960&lt;&gt;""),"PC_PAGO_A_CONTRATADA invalido",IF(AND(C1960&lt;&gt;"C0",IFERROR(INDEX(parametros!$A$2:$A$6,MATCH(C1960,parametros!$B$2:$B$6,0)),"")="Sim",IFERROR(INDEX(parametros!$H$2:$H$6,MATCH(C1960,parametros!$B$2:$B$6,0)),"")=""),"INICIO_EFEITO ausente: PC "&amp;A1960&amp;" - "&amp;C1960,IF(L1960="","EFEITO_PC nao calculado: PC "&amp;A1960&amp;" - "&amp;C1960,"OK")))))))))</f>
        <v/>
      </c>
      <c r="L1960" s="92" t="str">
        <f>IF(AND(A1960="",B1960="",D1960="",G1960=""),"",IF(OR(B1960="",NOT(ISNUMBER(B1960)),C1960="",C1960="Fora dos ciclos"),"",IF(C1960="C0","Nao",IF(IFERROR(INDEX(parametros!$A$2:$A$6,MATCH(C1960,parametros!$B$2:$B$6,0)),"")&lt;&gt;"Sim","Nao",IF(IFERROR(INDEX(parametros!$H$2:$H$6,MATCH(C1960,parametros!$B$2:$B$6,0)),"")="","",IF(B1960&gt;=IFERROR(INDEX(parametros!$H$2:$H$6,MATCH(C1960,parametros!$B$2:$B$6,0)),""),"Sim","Nao"))))))</f>
        <v/>
      </c>
      <c r="T1960" s="156"/>
      <c r="U1960" s="214" t="str">
        <f t="shared" si="156"/>
        <v/>
      </c>
      <c r="V1960" s="212" t="s">
        <v>50</v>
      </c>
      <c r="W1960" s="100" t="s">
        <v>168</v>
      </c>
      <c r="X1960" s="100" t="s">
        <v>169</v>
      </c>
      <c r="Y1960" s="101" t="s">
        <v>170</v>
      </c>
      <c r="Z1960" s="101" t="s">
        <v>171</v>
      </c>
      <c r="AA1960" s="101" t="s">
        <v>50</v>
      </c>
      <c r="AB1960" s="101" t="s">
        <v>172</v>
      </c>
      <c r="AC1960" s="102" t="s">
        <v>173</v>
      </c>
    </row>
    <row r="1961" spans="1:29" ht="25.5" customHeight="1" x14ac:dyDescent="0.35">
      <c r="A1961" s="392"/>
      <c r="B1961" s="393"/>
      <c r="C1961" s="99" t="str">
        <f>IF(B1961="","",IF(NOT(ISNUMBER(B1961)),"DATA_PC invalida",IF(NOT(ISNUMBER(parametros!$C$2)),"Fora dos ciclos",IF(OR(B1961&lt;parametros!$C$2,(YEAR(B1961)-YEAR(parametros!$C$2))*12+MONTH(B1961)-MONTH(parametros!$C$2)&gt;59),"Fora dos ciclos","C"&amp;INT(((YEAR(B1961)-YEAR(parametros!$C$2))*12+MONTH(B1961)-MONTH(parametros!$C$2))/12)))))</f>
        <v/>
      </c>
      <c r="D1961" s="394"/>
      <c r="E1961" s="78" t="str">
        <f>IF(C1961="","",IFERROR(VLOOKUP(C1961,parametros!$A$11:$E$15,5,0),""))</f>
        <v/>
      </c>
      <c r="F1961" s="79" t="str">
        <f t="shared" si="152"/>
        <v/>
      </c>
      <c r="G1961" s="395"/>
      <c r="H1961" s="91">
        <f t="shared" si="153"/>
        <v>0</v>
      </c>
      <c r="I1961" s="91" t="str">
        <f t="shared" si="154"/>
        <v/>
      </c>
      <c r="J1961" s="91" t="str">
        <f t="shared" si="155"/>
        <v/>
      </c>
      <c r="K1961" s="92" t="str">
        <f>IF(AND(A1961="",B1961="",D1961="",G1961=""),"",IF(AND(A1961&lt;&gt;"",COUNTIF($A$2:$A$5001,A1961)&gt;1),"NUMERO_PC duplicado",IF(B1961="","DATA_PC vazia",IF(NOT(ISNUMBER(B1961)),"DATA_PC invalida",IF(OR(C1961="",C1961="Fora dos ciclos"),"CICLO_PC nao identificado",IF(OR(D1961="",D1961=0),"VALOR_PC vazio ou zero",IF(AND(G1961&lt;&gt;"Sim",G1961&lt;&gt;"Nao",G1961&lt;&gt;""),"PC_PAGO_A_CONTRATADA invalido",IF(AND(C1961&lt;&gt;"C0",IFERROR(INDEX(parametros!$A$2:$A$6,MATCH(C1961,parametros!$B$2:$B$6,0)),"")="Sim",IFERROR(INDEX(parametros!$H$2:$H$6,MATCH(C1961,parametros!$B$2:$B$6,0)),"")=""),"INICIO_EFEITO ausente: PC "&amp;A1961&amp;" - "&amp;C1961,IF(L1961="","EFEITO_PC nao calculado: PC "&amp;A1961&amp;" - "&amp;C1961,"OK")))))))))</f>
        <v/>
      </c>
      <c r="L1961" s="92" t="str">
        <f>IF(AND(A1961="",B1961="",D1961="",G1961=""),"",IF(OR(B1961="",NOT(ISNUMBER(B1961)),C1961="",C1961="Fora dos ciclos"),"",IF(C1961="C0","Nao",IF(IFERROR(INDEX(parametros!$A$2:$A$6,MATCH(C1961,parametros!$B$2:$B$6,0)),"")&lt;&gt;"Sim","Nao",IF(IFERROR(INDEX(parametros!$H$2:$H$6,MATCH(C1961,parametros!$B$2:$B$6,0)),"")="","",IF(B1961&gt;=IFERROR(INDEX(parametros!$H$2:$H$6,MATCH(C1961,parametros!$B$2:$B$6,0)),""),"Sim","Nao"))))))</f>
        <v/>
      </c>
      <c r="T1961" s="156"/>
      <c r="U1961" s="214" t="str">
        <f t="shared" si="156"/>
        <v/>
      </c>
      <c r="V1961" s="212" t="s">
        <v>50</v>
      </c>
      <c r="W1961" s="100" t="s">
        <v>168</v>
      </c>
      <c r="X1961" s="100" t="s">
        <v>169</v>
      </c>
      <c r="Y1961" s="101" t="s">
        <v>170</v>
      </c>
      <c r="Z1961" s="101" t="s">
        <v>171</v>
      </c>
      <c r="AA1961" s="101" t="s">
        <v>50</v>
      </c>
      <c r="AB1961" s="101" t="s">
        <v>172</v>
      </c>
      <c r="AC1961" s="102" t="s">
        <v>173</v>
      </c>
    </row>
    <row r="1962" spans="1:29" ht="25.5" customHeight="1" x14ac:dyDescent="0.35">
      <c r="A1962" s="392"/>
      <c r="B1962" s="393"/>
      <c r="C1962" s="99" t="str">
        <f>IF(B1962="","",IF(NOT(ISNUMBER(B1962)),"DATA_PC invalida",IF(NOT(ISNUMBER(parametros!$C$2)),"Fora dos ciclos",IF(OR(B1962&lt;parametros!$C$2,(YEAR(B1962)-YEAR(parametros!$C$2))*12+MONTH(B1962)-MONTH(parametros!$C$2)&gt;59),"Fora dos ciclos","C"&amp;INT(((YEAR(B1962)-YEAR(parametros!$C$2))*12+MONTH(B1962)-MONTH(parametros!$C$2))/12)))))</f>
        <v/>
      </c>
      <c r="D1962" s="394"/>
      <c r="E1962" s="78" t="str">
        <f>IF(C1962="","",IFERROR(VLOOKUP(C1962,parametros!$A$11:$E$15,5,0),""))</f>
        <v/>
      </c>
      <c r="F1962" s="79" t="str">
        <f t="shared" si="152"/>
        <v/>
      </c>
      <c r="G1962" s="395"/>
      <c r="H1962" s="91">
        <f t="shared" si="153"/>
        <v>0</v>
      </c>
      <c r="I1962" s="91" t="str">
        <f t="shared" si="154"/>
        <v/>
      </c>
      <c r="J1962" s="91" t="str">
        <f t="shared" si="155"/>
        <v/>
      </c>
      <c r="K1962" s="92" t="str">
        <f>IF(AND(A1962="",B1962="",D1962="",G1962=""),"",IF(AND(A1962&lt;&gt;"",COUNTIF($A$2:$A$5001,A1962)&gt;1),"NUMERO_PC duplicado",IF(B1962="","DATA_PC vazia",IF(NOT(ISNUMBER(B1962)),"DATA_PC invalida",IF(OR(C1962="",C1962="Fora dos ciclos"),"CICLO_PC nao identificado",IF(OR(D1962="",D1962=0),"VALOR_PC vazio ou zero",IF(AND(G1962&lt;&gt;"Sim",G1962&lt;&gt;"Nao",G1962&lt;&gt;""),"PC_PAGO_A_CONTRATADA invalido",IF(AND(C1962&lt;&gt;"C0",IFERROR(INDEX(parametros!$A$2:$A$6,MATCH(C1962,parametros!$B$2:$B$6,0)),"")="Sim",IFERROR(INDEX(parametros!$H$2:$H$6,MATCH(C1962,parametros!$B$2:$B$6,0)),"")=""),"INICIO_EFEITO ausente: PC "&amp;A1962&amp;" - "&amp;C1962,IF(L1962="","EFEITO_PC nao calculado: PC "&amp;A1962&amp;" - "&amp;C1962,"OK")))))))))</f>
        <v/>
      </c>
      <c r="L1962" s="92" t="str">
        <f>IF(AND(A1962="",B1962="",D1962="",G1962=""),"",IF(OR(B1962="",NOT(ISNUMBER(B1962)),C1962="",C1962="Fora dos ciclos"),"",IF(C1962="C0","Nao",IF(IFERROR(INDEX(parametros!$A$2:$A$6,MATCH(C1962,parametros!$B$2:$B$6,0)),"")&lt;&gt;"Sim","Nao",IF(IFERROR(INDEX(parametros!$H$2:$H$6,MATCH(C1962,parametros!$B$2:$B$6,0)),"")="","",IF(B1962&gt;=IFERROR(INDEX(parametros!$H$2:$H$6,MATCH(C1962,parametros!$B$2:$B$6,0)),""),"Sim","Nao"))))))</f>
        <v/>
      </c>
      <c r="T1962" s="156"/>
      <c r="U1962" s="214" t="str">
        <f t="shared" si="156"/>
        <v/>
      </c>
      <c r="V1962" s="212" t="s">
        <v>50</v>
      </c>
      <c r="W1962" s="100" t="s">
        <v>168</v>
      </c>
      <c r="X1962" s="100" t="s">
        <v>169</v>
      </c>
      <c r="Y1962" s="101" t="s">
        <v>170</v>
      </c>
      <c r="Z1962" s="101" t="s">
        <v>171</v>
      </c>
      <c r="AA1962" s="101" t="s">
        <v>50</v>
      </c>
      <c r="AB1962" s="101" t="s">
        <v>172</v>
      </c>
      <c r="AC1962" s="102" t="s">
        <v>173</v>
      </c>
    </row>
    <row r="1963" spans="1:29" ht="25.5" customHeight="1" x14ac:dyDescent="0.35">
      <c r="A1963" s="392"/>
      <c r="B1963" s="393"/>
      <c r="C1963" s="99" t="str">
        <f>IF(B1963="","",IF(NOT(ISNUMBER(B1963)),"DATA_PC invalida",IF(NOT(ISNUMBER(parametros!$C$2)),"Fora dos ciclos",IF(OR(B1963&lt;parametros!$C$2,(YEAR(B1963)-YEAR(parametros!$C$2))*12+MONTH(B1963)-MONTH(parametros!$C$2)&gt;59),"Fora dos ciclos","C"&amp;INT(((YEAR(B1963)-YEAR(parametros!$C$2))*12+MONTH(B1963)-MONTH(parametros!$C$2))/12)))))</f>
        <v/>
      </c>
      <c r="D1963" s="394"/>
      <c r="E1963" s="78" t="str">
        <f>IF(C1963="","",IFERROR(VLOOKUP(C1963,parametros!$A$11:$E$15,5,0),""))</f>
        <v/>
      </c>
      <c r="F1963" s="79" t="str">
        <f t="shared" si="152"/>
        <v/>
      </c>
      <c r="G1963" s="395"/>
      <c r="H1963" s="91">
        <f t="shared" si="153"/>
        <v>0</v>
      </c>
      <c r="I1963" s="91" t="str">
        <f t="shared" si="154"/>
        <v/>
      </c>
      <c r="J1963" s="91" t="str">
        <f t="shared" si="155"/>
        <v/>
      </c>
      <c r="K1963" s="92" t="str">
        <f>IF(AND(A1963="",B1963="",D1963="",G1963=""),"",IF(AND(A1963&lt;&gt;"",COUNTIF($A$2:$A$5001,A1963)&gt;1),"NUMERO_PC duplicado",IF(B1963="","DATA_PC vazia",IF(NOT(ISNUMBER(B1963)),"DATA_PC invalida",IF(OR(C1963="",C1963="Fora dos ciclos"),"CICLO_PC nao identificado",IF(OR(D1963="",D1963=0),"VALOR_PC vazio ou zero",IF(AND(G1963&lt;&gt;"Sim",G1963&lt;&gt;"Nao",G1963&lt;&gt;""),"PC_PAGO_A_CONTRATADA invalido",IF(AND(C1963&lt;&gt;"C0",IFERROR(INDEX(parametros!$A$2:$A$6,MATCH(C1963,parametros!$B$2:$B$6,0)),"")="Sim",IFERROR(INDEX(parametros!$H$2:$H$6,MATCH(C1963,parametros!$B$2:$B$6,0)),"")=""),"INICIO_EFEITO ausente: PC "&amp;A1963&amp;" - "&amp;C1963,IF(L1963="","EFEITO_PC nao calculado: PC "&amp;A1963&amp;" - "&amp;C1963,"OK")))))))))</f>
        <v/>
      </c>
      <c r="L1963" s="92" t="str">
        <f>IF(AND(A1963="",B1963="",D1963="",G1963=""),"",IF(OR(B1963="",NOT(ISNUMBER(B1963)),C1963="",C1963="Fora dos ciclos"),"",IF(C1963="C0","Nao",IF(IFERROR(INDEX(parametros!$A$2:$A$6,MATCH(C1963,parametros!$B$2:$B$6,0)),"")&lt;&gt;"Sim","Nao",IF(IFERROR(INDEX(parametros!$H$2:$H$6,MATCH(C1963,parametros!$B$2:$B$6,0)),"")="","",IF(B1963&gt;=IFERROR(INDEX(parametros!$H$2:$H$6,MATCH(C1963,parametros!$B$2:$B$6,0)),""),"Sim","Nao"))))))</f>
        <v/>
      </c>
      <c r="T1963" s="156"/>
      <c r="U1963" s="214" t="str">
        <f t="shared" si="156"/>
        <v/>
      </c>
      <c r="V1963" s="212" t="s">
        <v>50</v>
      </c>
      <c r="W1963" s="100" t="s">
        <v>168</v>
      </c>
      <c r="X1963" s="100" t="s">
        <v>169</v>
      </c>
      <c r="Y1963" s="101" t="s">
        <v>170</v>
      </c>
      <c r="Z1963" s="101" t="s">
        <v>171</v>
      </c>
      <c r="AA1963" s="101" t="s">
        <v>50</v>
      </c>
      <c r="AB1963" s="101" t="s">
        <v>172</v>
      </c>
      <c r="AC1963" s="102" t="s">
        <v>173</v>
      </c>
    </row>
    <row r="1964" spans="1:29" ht="25.5" customHeight="1" x14ac:dyDescent="0.35">
      <c r="A1964" s="392"/>
      <c r="B1964" s="393"/>
      <c r="C1964" s="99" t="str">
        <f>IF(B1964="","",IF(NOT(ISNUMBER(B1964)),"DATA_PC invalida",IF(NOT(ISNUMBER(parametros!$C$2)),"Fora dos ciclos",IF(OR(B1964&lt;parametros!$C$2,(YEAR(B1964)-YEAR(parametros!$C$2))*12+MONTH(B1964)-MONTH(parametros!$C$2)&gt;59),"Fora dos ciclos","C"&amp;INT(((YEAR(B1964)-YEAR(parametros!$C$2))*12+MONTH(B1964)-MONTH(parametros!$C$2))/12)))))</f>
        <v/>
      </c>
      <c r="D1964" s="394"/>
      <c r="E1964" s="78" t="str">
        <f>IF(C1964="","",IFERROR(VLOOKUP(C1964,parametros!$A$11:$E$15,5,0),""))</f>
        <v/>
      </c>
      <c r="F1964" s="79" t="str">
        <f t="shared" si="152"/>
        <v/>
      </c>
      <c r="G1964" s="395"/>
      <c r="H1964" s="91">
        <f t="shared" si="153"/>
        <v>0</v>
      </c>
      <c r="I1964" s="91" t="str">
        <f t="shared" si="154"/>
        <v/>
      </c>
      <c r="J1964" s="91" t="str">
        <f t="shared" si="155"/>
        <v/>
      </c>
      <c r="K1964" s="92" t="str">
        <f>IF(AND(A1964="",B1964="",D1964="",G1964=""),"",IF(AND(A1964&lt;&gt;"",COUNTIF($A$2:$A$5001,A1964)&gt;1),"NUMERO_PC duplicado",IF(B1964="","DATA_PC vazia",IF(NOT(ISNUMBER(B1964)),"DATA_PC invalida",IF(OR(C1964="",C1964="Fora dos ciclos"),"CICLO_PC nao identificado",IF(OR(D1964="",D1964=0),"VALOR_PC vazio ou zero",IF(AND(G1964&lt;&gt;"Sim",G1964&lt;&gt;"Nao",G1964&lt;&gt;""),"PC_PAGO_A_CONTRATADA invalido",IF(AND(C1964&lt;&gt;"C0",IFERROR(INDEX(parametros!$A$2:$A$6,MATCH(C1964,parametros!$B$2:$B$6,0)),"")="Sim",IFERROR(INDEX(parametros!$H$2:$H$6,MATCH(C1964,parametros!$B$2:$B$6,0)),"")=""),"INICIO_EFEITO ausente: PC "&amp;A1964&amp;" - "&amp;C1964,IF(L1964="","EFEITO_PC nao calculado: PC "&amp;A1964&amp;" - "&amp;C1964,"OK")))))))))</f>
        <v/>
      </c>
      <c r="L1964" s="92" t="str">
        <f>IF(AND(A1964="",B1964="",D1964="",G1964=""),"",IF(OR(B1964="",NOT(ISNUMBER(B1964)),C1964="",C1964="Fora dos ciclos"),"",IF(C1964="C0","Nao",IF(IFERROR(INDEX(parametros!$A$2:$A$6,MATCH(C1964,parametros!$B$2:$B$6,0)),"")&lt;&gt;"Sim","Nao",IF(IFERROR(INDEX(parametros!$H$2:$H$6,MATCH(C1964,parametros!$B$2:$B$6,0)),"")="","",IF(B1964&gt;=IFERROR(INDEX(parametros!$H$2:$H$6,MATCH(C1964,parametros!$B$2:$B$6,0)),""),"Sim","Nao"))))))</f>
        <v/>
      </c>
      <c r="T1964" s="156"/>
      <c r="U1964" s="214" t="str">
        <f t="shared" si="156"/>
        <v/>
      </c>
      <c r="V1964" s="212" t="s">
        <v>50</v>
      </c>
      <c r="W1964" s="100" t="s">
        <v>168</v>
      </c>
      <c r="X1964" s="100" t="s">
        <v>169</v>
      </c>
      <c r="Y1964" s="101" t="s">
        <v>170</v>
      </c>
      <c r="Z1964" s="101" t="s">
        <v>171</v>
      </c>
      <c r="AA1964" s="101" t="s">
        <v>50</v>
      </c>
      <c r="AB1964" s="101" t="s">
        <v>172</v>
      </c>
      <c r="AC1964" s="102" t="s">
        <v>173</v>
      </c>
    </row>
    <row r="1965" spans="1:29" ht="25.5" customHeight="1" x14ac:dyDescent="0.35">
      <c r="A1965" s="392"/>
      <c r="B1965" s="393"/>
      <c r="C1965" s="99" t="str">
        <f>IF(B1965="","",IF(NOT(ISNUMBER(B1965)),"DATA_PC invalida",IF(NOT(ISNUMBER(parametros!$C$2)),"Fora dos ciclos",IF(OR(B1965&lt;parametros!$C$2,(YEAR(B1965)-YEAR(parametros!$C$2))*12+MONTH(B1965)-MONTH(parametros!$C$2)&gt;59),"Fora dos ciclos","C"&amp;INT(((YEAR(B1965)-YEAR(parametros!$C$2))*12+MONTH(B1965)-MONTH(parametros!$C$2))/12)))))</f>
        <v/>
      </c>
      <c r="D1965" s="394"/>
      <c r="E1965" s="78" t="str">
        <f>IF(C1965="","",IFERROR(VLOOKUP(C1965,parametros!$A$11:$E$15,5,0),""))</f>
        <v/>
      </c>
      <c r="F1965" s="79" t="str">
        <f t="shared" si="152"/>
        <v/>
      </c>
      <c r="G1965" s="395"/>
      <c r="H1965" s="91">
        <f t="shared" si="153"/>
        <v>0</v>
      </c>
      <c r="I1965" s="91" t="str">
        <f t="shared" si="154"/>
        <v/>
      </c>
      <c r="J1965" s="91" t="str">
        <f t="shared" si="155"/>
        <v/>
      </c>
      <c r="K1965" s="92" t="str">
        <f>IF(AND(A1965="",B1965="",D1965="",G1965=""),"",IF(AND(A1965&lt;&gt;"",COUNTIF($A$2:$A$5001,A1965)&gt;1),"NUMERO_PC duplicado",IF(B1965="","DATA_PC vazia",IF(NOT(ISNUMBER(B1965)),"DATA_PC invalida",IF(OR(C1965="",C1965="Fora dos ciclos"),"CICLO_PC nao identificado",IF(OR(D1965="",D1965=0),"VALOR_PC vazio ou zero",IF(AND(G1965&lt;&gt;"Sim",G1965&lt;&gt;"Nao",G1965&lt;&gt;""),"PC_PAGO_A_CONTRATADA invalido",IF(AND(C1965&lt;&gt;"C0",IFERROR(INDEX(parametros!$A$2:$A$6,MATCH(C1965,parametros!$B$2:$B$6,0)),"")="Sim",IFERROR(INDEX(parametros!$H$2:$H$6,MATCH(C1965,parametros!$B$2:$B$6,0)),"")=""),"INICIO_EFEITO ausente: PC "&amp;A1965&amp;" - "&amp;C1965,IF(L1965="","EFEITO_PC nao calculado: PC "&amp;A1965&amp;" - "&amp;C1965,"OK")))))))))</f>
        <v/>
      </c>
      <c r="L1965" s="92" t="str">
        <f>IF(AND(A1965="",B1965="",D1965="",G1965=""),"",IF(OR(B1965="",NOT(ISNUMBER(B1965)),C1965="",C1965="Fora dos ciclos"),"",IF(C1965="C0","Nao",IF(IFERROR(INDEX(parametros!$A$2:$A$6,MATCH(C1965,parametros!$B$2:$B$6,0)),"")&lt;&gt;"Sim","Nao",IF(IFERROR(INDEX(parametros!$H$2:$H$6,MATCH(C1965,parametros!$B$2:$B$6,0)),"")="","",IF(B1965&gt;=IFERROR(INDEX(parametros!$H$2:$H$6,MATCH(C1965,parametros!$B$2:$B$6,0)),""),"Sim","Nao"))))))</f>
        <v/>
      </c>
      <c r="T1965" s="156"/>
      <c r="U1965" s="214" t="str">
        <f t="shared" si="156"/>
        <v/>
      </c>
      <c r="V1965" s="212" t="s">
        <v>50</v>
      </c>
      <c r="W1965" s="100" t="s">
        <v>168</v>
      </c>
      <c r="X1965" s="100" t="s">
        <v>169</v>
      </c>
      <c r="Y1965" s="101" t="s">
        <v>170</v>
      </c>
      <c r="Z1965" s="101" t="s">
        <v>171</v>
      </c>
      <c r="AA1965" s="101" t="s">
        <v>50</v>
      </c>
      <c r="AB1965" s="101" t="s">
        <v>172</v>
      </c>
      <c r="AC1965" s="102" t="s">
        <v>173</v>
      </c>
    </row>
    <row r="1966" spans="1:29" ht="25.5" customHeight="1" x14ac:dyDescent="0.35">
      <c r="A1966" s="392"/>
      <c r="B1966" s="393"/>
      <c r="C1966" s="99" t="str">
        <f>IF(B1966="","",IF(NOT(ISNUMBER(B1966)),"DATA_PC invalida",IF(NOT(ISNUMBER(parametros!$C$2)),"Fora dos ciclos",IF(OR(B1966&lt;parametros!$C$2,(YEAR(B1966)-YEAR(parametros!$C$2))*12+MONTH(B1966)-MONTH(parametros!$C$2)&gt;59),"Fora dos ciclos","C"&amp;INT(((YEAR(B1966)-YEAR(parametros!$C$2))*12+MONTH(B1966)-MONTH(parametros!$C$2))/12)))))</f>
        <v/>
      </c>
      <c r="D1966" s="394"/>
      <c r="E1966" s="78" t="str">
        <f>IF(C1966="","",IFERROR(VLOOKUP(C1966,parametros!$A$11:$E$15,5,0),""))</f>
        <v/>
      </c>
      <c r="F1966" s="79" t="str">
        <f t="shared" si="152"/>
        <v/>
      </c>
      <c r="G1966" s="395"/>
      <c r="H1966" s="91">
        <f t="shared" si="153"/>
        <v>0</v>
      </c>
      <c r="I1966" s="91" t="str">
        <f t="shared" si="154"/>
        <v/>
      </c>
      <c r="J1966" s="91" t="str">
        <f t="shared" si="155"/>
        <v/>
      </c>
      <c r="K1966" s="92" t="str">
        <f>IF(AND(A1966="",B1966="",D1966="",G1966=""),"",IF(AND(A1966&lt;&gt;"",COUNTIF($A$2:$A$5001,A1966)&gt;1),"NUMERO_PC duplicado",IF(B1966="","DATA_PC vazia",IF(NOT(ISNUMBER(B1966)),"DATA_PC invalida",IF(OR(C1966="",C1966="Fora dos ciclos"),"CICLO_PC nao identificado",IF(OR(D1966="",D1966=0),"VALOR_PC vazio ou zero",IF(AND(G1966&lt;&gt;"Sim",G1966&lt;&gt;"Nao",G1966&lt;&gt;""),"PC_PAGO_A_CONTRATADA invalido",IF(AND(C1966&lt;&gt;"C0",IFERROR(INDEX(parametros!$A$2:$A$6,MATCH(C1966,parametros!$B$2:$B$6,0)),"")="Sim",IFERROR(INDEX(parametros!$H$2:$H$6,MATCH(C1966,parametros!$B$2:$B$6,0)),"")=""),"INICIO_EFEITO ausente: PC "&amp;A1966&amp;" - "&amp;C1966,IF(L1966="","EFEITO_PC nao calculado: PC "&amp;A1966&amp;" - "&amp;C1966,"OK")))))))))</f>
        <v/>
      </c>
      <c r="L1966" s="92" t="str">
        <f>IF(AND(A1966="",B1966="",D1966="",G1966=""),"",IF(OR(B1966="",NOT(ISNUMBER(B1966)),C1966="",C1966="Fora dos ciclos"),"",IF(C1966="C0","Nao",IF(IFERROR(INDEX(parametros!$A$2:$A$6,MATCH(C1966,parametros!$B$2:$B$6,0)),"")&lt;&gt;"Sim","Nao",IF(IFERROR(INDEX(parametros!$H$2:$H$6,MATCH(C1966,parametros!$B$2:$B$6,0)),"")="","",IF(B1966&gt;=IFERROR(INDEX(parametros!$H$2:$H$6,MATCH(C1966,parametros!$B$2:$B$6,0)),""),"Sim","Nao"))))))</f>
        <v/>
      </c>
      <c r="T1966" s="156"/>
      <c r="U1966" s="214" t="str">
        <f t="shared" si="156"/>
        <v/>
      </c>
      <c r="V1966" s="212" t="s">
        <v>50</v>
      </c>
      <c r="W1966" s="100" t="s">
        <v>168</v>
      </c>
      <c r="X1966" s="100" t="s">
        <v>169</v>
      </c>
      <c r="Y1966" s="101" t="s">
        <v>170</v>
      </c>
      <c r="Z1966" s="101" t="s">
        <v>171</v>
      </c>
      <c r="AA1966" s="101" t="s">
        <v>50</v>
      </c>
      <c r="AB1966" s="101" t="s">
        <v>172</v>
      </c>
      <c r="AC1966" s="102" t="s">
        <v>173</v>
      </c>
    </row>
    <row r="1967" spans="1:29" ht="25.5" customHeight="1" x14ac:dyDescent="0.35">
      <c r="A1967" s="392"/>
      <c r="B1967" s="393"/>
      <c r="C1967" s="99" t="str">
        <f>IF(B1967="","",IF(NOT(ISNUMBER(B1967)),"DATA_PC invalida",IF(NOT(ISNUMBER(parametros!$C$2)),"Fora dos ciclos",IF(OR(B1967&lt;parametros!$C$2,(YEAR(B1967)-YEAR(parametros!$C$2))*12+MONTH(B1967)-MONTH(parametros!$C$2)&gt;59),"Fora dos ciclos","C"&amp;INT(((YEAR(B1967)-YEAR(parametros!$C$2))*12+MONTH(B1967)-MONTH(parametros!$C$2))/12)))))</f>
        <v/>
      </c>
      <c r="D1967" s="394"/>
      <c r="E1967" s="78" t="str">
        <f>IF(C1967="","",IFERROR(VLOOKUP(C1967,parametros!$A$11:$E$15,5,0),""))</f>
        <v/>
      </c>
      <c r="F1967" s="79" t="str">
        <f t="shared" si="152"/>
        <v/>
      </c>
      <c r="G1967" s="395"/>
      <c r="H1967" s="91">
        <f t="shared" si="153"/>
        <v>0</v>
      </c>
      <c r="I1967" s="91" t="str">
        <f t="shared" si="154"/>
        <v/>
      </c>
      <c r="J1967" s="91" t="str">
        <f t="shared" si="155"/>
        <v/>
      </c>
      <c r="K1967" s="92" t="str">
        <f>IF(AND(A1967="",B1967="",D1967="",G1967=""),"",IF(AND(A1967&lt;&gt;"",COUNTIF($A$2:$A$5001,A1967)&gt;1),"NUMERO_PC duplicado",IF(B1967="","DATA_PC vazia",IF(NOT(ISNUMBER(B1967)),"DATA_PC invalida",IF(OR(C1967="",C1967="Fora dos ciclos"),"CICLO_PC nao identificado",IF(OR(D1967="",D1967=0),"VALOR_PC vazio ou zero",IF(AND(G1967&lt;&gt;"Sim",G1967&lt;&gt;"Nao",G1967&lt;&gt;""),"PC_PAGO_A_CONTRATADA invalido",IF(AND(C1967&lt;&gt;"C0",IFERROR(INDEX(parametros!$A$2:$A$6,MATCH(C1967,parametros!$B$2:$B$6,0)),"")="Sim",IFERROR(INDEX(parametros!$H$2:$H$6,MATCH(C1967,parametros!$B$2:$B$6,0)),"")=""),"INICIO_EFEITO ausente: PC "&amp;A1967&amp;" - "&amp;C1967,IF(L1967="","EFEITO_PC nao calculado: PC "&amp;A1967&amp;" - "&amp;C1967,"OK")))))))))</f>
        <v/>
      </c>
      <c r="L1967" s="92" t="str">
        <f>IF(AND(A1967="",B1967="",D1967="",G1967=""),"",IF(OR(B1967="",NOT(ISNUMBER(B1967)),C1967="",C1967="Fora dos ciclos"),"",IF(C1967="C0","Nao",IF(IFERROR(INDEX(parametros!$A$2:$A$6,MATCH(C1967,parametros!$B$2:$B$6,0)),"")&lt;&gt;"Sim","Nao",IF(IFERROR(INDEX(parametros!$H$2:$H$6,MATCH(C1967,parametros!$B$2:$B$6,0)),"")="","",IF(B1967&gt;=IFERROR(INDEX(parametros!$H$2:$H$6,MATCH(C1967,parametros!$B$2:$B$6,0)),""),"Sim","Nao"))))))</f>
        <v/>
      </c>
      <c r="T1967" s="156"/>
      <c r="U1967" s="214" t="str">
        <f t="shared" si="156"/>
        <v/>
      </c>
      <c r="V1967" s="212" t="s">
        <v>50</v>
      </c>
      <c r="W1967" s="100" t="s">
        <v>168</v>
      </c>
      <c r="X1967" s="100" t="s">
        <v>169</v>
      </c>
      <c r="Y1967" s="101" t="s">
        <v>170</v>
      </c>
      <c r="Z1967" s="101" t="s">
        <v>171</v>
      </c>
      <c r="AA1967" s="101" t="s">
        <v>50</v>
      </c>
      <c r="AB1967" s="101" t="s">
        <v>172</v>
      </c>
      <c r="AC1967" s="102" t="s">
        <v>173</v>
      </c>
    </row>
    <row r="1968" spans="1:29" ht="25.5" customHeight="1" x14ac:dyDescent="0.35">
      <c r="A1968" s="392"/>
      <c r="B1968" s="393"/>
      <c r="C1968" s="99" t="str">
        <f>IF(B1968="","",IF(NOT(ISNUMBER(B1968)),"DATA_PC invalida",IF(NOT(ISNUMBER(parametros!$C$2)),"Fora dos ciclos",IF(OR(B1968&lt;parametros!$C$2,(YEAR(B1968)-YEAR(parametros!$C$2))*12+MONTH(B1968)-MONTH(parametros!$C$2)&gt;59),"Fora dos ciclos","C"&amp;INT(((YEAR(B1968)-YEAR(parametros!$C$2))*12+MONTH(B1968)-MONTH(parametros!$C$2))/12)))))</f>
        <v/>
      </c>
      <c r="D1968" s="394"/>
      <c r="E1968" s="78" t="str">
        <f>IF(C1968="","",IFERROR(VLOOKUP(C1968,parametros!$A$11:$E$15,5,0),""))</f>
        <v/>
      </c>
      <c r="F1968" s="79" t="str">
        <f t="shared" si="152"/>
        <v/>
      </c>
      <c r="G1968" s="395"/>
      <c r="H1968" s="91">
        <f t="shared" si="153"/>
        <v>0</v>
      </c>
      <c r="I1968" s="91" t="str">
        <f t="shared" si="154"/>
        <v/>
      </c>
      <c r="J1968" s="91" t="str">
        <f t="shared" si="155"/>
        <v/>
      </c>
      <c r="K1968" s="92" t="str">
        <f>IF(AND(A1968="",B1968="",D1968="",G1968=""),"",IF(AND(A1968&lt;&gt;"",COUNTIF($A$2:$A$5001,A1968)&gt;1),"NUMERO_PC duplicado",IF(B1968="","DATA_PC vazia",IF(NOT(ISNUMBER(B1968)),"DATA_PC invalida",IF(OR(C1968="",C1968="Fora dos ciclos"),"CICLO_PC nao identificado",IF(OR(D1968="",D1968=0),"VALOR_PC vazio ou zero",IF(AND(G1968&lt;&gt;"Sim",G1968&lt;&gt;"Nao",G1968&lt;&gt;""),"PC_PAGO_A_CONTRATADA invalido",IF(AND(C1968&lt;&gt;"C0",IFERROR(INDEX(parametros!$A$2:$A$6,MATCH(C1968,parametros!$B$2:$B$6,0)),"")="Sim",IFERROR(INDEX(parametros!$H$2:$H$6,MATCH(C1968,parametros!$B$2:$B$6,0)),"")=""),"INICIO_EFEITO ausente: PC "&amp;A1968&amp;" - "&amp;C1968,IF(L1968="","EFEITO_PC nao calculado: PC "&amp;A1968&amp;" - "&amp;C1968,"OK")))))))))</f>
        <v/>
      </c>
      <c r="L1968" s="92" t="str">
        <f>IF(AND(A1968="",B1968="",D1968="",G1968=""),"",IF(OR(B1968="",NOT(ISNUMBER(B1968)),C1968="",C1968="Fora dos ciclos"),"",IF(C1968="C0","Nao",IF(IFERROR(INDEX(parametros!$A$2:$A$6,MATCH(C1968,parametros!$B$2:$B$6,0)),"")&lt;&gt;"Sim","Nao",IF(IFERROR(INDEX(parametros!$H$2:$H$6,MATCH(C1968,parametros!$B$2:$B$6,0)),"")="","",IF(B1968&gt;=IFERROR(INDEX(parametros!$H$2:$H$6,MATCH(C1968,parametros!$B$2:$B$6,0)),""),"Sim","Nao"))))))</f>
        <v/>
      </c>
      <c r="T1968" s="156"/>
      <c r="U1968" s="214" t="str">
        <f t="shared" si="156"/>
        <v/>
      </c>
      <c r="V1968" s="212" t="s">
        <v>50</v>
      </c>
      <c r="W1968" s="100" t="s">
        <v>168</v>
      </c>
      <c r="X1968" s="100" t="s">
        <v>169</v>
      </c>
      <c r="Y1968" s="101" t="s">
        <v>170</v>
      </c>
      <c r="Z1968" s="101" t="s">
        <v>171</v>
      </c>
      <c r="AA1968" s="101" t="s">
        <v>50</v>
      </c>
      <c r="AB1968" s="101" t="s">
        <v>172</v>
      </c>
      <c r="AC1968" s="102" t="s">
        <v>173</v>
      </c>
    </row>
    <row r="1969" spans="1:29" ht="25.5" customHeight="1" x14ac:dyDescent="0.35">
      <c r="A1969" s="392"/>
      <c r="B1969" s="393"/>
      <c r="C1969" s="99" t="str">
        <f>IF(B1969="","",IF(NOT(ISNUMBER(B1969)),"DATA_PC invalida",IF(NOT(ISNUMBER(parametros!$C$2)),"Fora dos ciclos",IF(OR(B1969&lt;parametros!$C$2,(YEAR(B1969)-YEAR(parametros!$C$2))*12+MONTH(B1969)-MONTH(parametros!$C$2)&gt;59),"Fora dos ciclos","C"&amp;INT(((YEAR(B1969)-YEAR(parametros!$C$2))*12+MONTH(B1969)-MONTH(parametros!$C$2))/12)))))</f>
        <v/>
      </c>
      <c r="D1969" s="394"/>
      <c r="E1969" s="78" t="str">
        <f>IF(C1969="","",IFERROR(VLOOKUP(C1969,parametros!$A$11:$E$15,5,0),""))</f>
        <v/>
      </c>
      <c r="F1969" s="79" t="str">
        <f t="shared" si="152"/>
        <v/>
      </c>
      <c r="G1969" s="395"/>
      <c r="H1969" s="91">
        <f t="shared" si="153"/>
        <v>0</v>
      </c>
      <c r="I1969" s="91" t="str">
        <f t="shared" si="154"/>
        <v/>
      </c>
      <c r="J1969" s="91" t="str">
        <f t="shared" si="155"/>
        <v/>
      </c>
      <c r="K1969" s="92" t="str">
        <f>IF(AND(A1969="",B1969="",D1969="",G1969=""),"",IF(AND(A1969&lt;&gt;"",COUNTIF($A$2:$A$5001,A1969)&gt;1),"NUMERO_PC duplicado",IF(B1969="","DATA_PC vazia",IF(NOT(ISNUMBER(B1969)),"DATA_PC invalida",IF(OR(C1969="",C1969="Fora dos ciclos"),"CICLO_PC nao identificado",IF(OR(D1969="",D1969=0),"VALOR_PC vazio ou zero",IF(AND(G1969&lt;&gt;"Sim",G1969&lt;&gt;"Nao",G1969&lt;&gt;""),"PC_PAGO_A_CONTRATADA invalido",IF(AND(C1969&lt;&gt;"C0",IFERROR(INDEX(parametros!$A$2:$A$6,MATCH(C1969,parametros!$B$2:$B$6,0)),"")="Sim",IFERROR(INDEX(parametros!$H$2:$H$6,MATCH(C1969,parametros!$B$2:$B$6,0)),"")=""),"INICIO_EFEITO ausente: PC "&amp;A1969&amp;" - "&amp;C1969,IF(L1969="","EFEITO_PC nao calculado: PC "&amp;A1969&amp;" - "&amp;C1969,"OK")))))))))</f>
        <v/>
      </c>
      <c r="L1969" s="92" t="str">
        <f>IF(AND(A1969="",B1969="",D1969="",G1969=""),"",IF(OR(B1969="",NOT(ISNUMBER(B1969)),C1969="",C1969="Fora dos ciclos"),"",IF(C1969="C0","Nao",IF(IFERROR(INDEX(parametros!$A$2:$A$6,MATCH(C1969,parametros!$B$2:$B$6,0)),"")&lt;&gt;"Sim","Nao",IF(IFERROR(INDEX(parametros!$H$2:$H$6,MATCH(C1969,parametros!$B$2:$B$6,0)),"")="","",IF(B1969&gt;=IFERROR(INDEX(parametros!$H$2:$H$6,MATCH(C1969,parametros!$B$2:$B$6,0)),""),"Sim","Nao"))))))</f>
        <v/>
      </c>
      <c r="T1969" s="156"/>
      <c r="U1969" s="214" t="str">
        <f t="shared" si="156"/>
        <v/>
      </c>
      <c r="V1969" s="212" t="s">
        <v>50</v>
      </c>
      <c r="W1969" s="100" t="s">
        <v>168</v>
      </c>
      <c r="X1969" s="100" t="s">
        <v>169</v>
      </c>
      <c r="Y1969" s="101" t="s">
        <v>170</v>
      </c>
      <c r="Z1969" s="101" t="s">
        <v>171</v>
      </c>
      <c r="AA1969" s="101" t="s">
        <v>50</v>
      </c>
      <c r="AB1969" s="101" t="s">
        <v>172</v>
      </c>
      <c r="AC1969" s="102" t="s">
        <v>173</v>
      </c>
    </row>
    <row r="1970" spans="1:29" ht="25.5" customHeight="1" x14ac:dyDescent="0.35">
      <c r="A1970" s="392"/>
      <c r="B1970" s="393"/>
      <c r="C1970" s="99" t="str">
        <f>IF(B1970="","",IF(NOT(ISNUMBER(B1970)),"DATA_PC invalida",IF(NOT(ISNUMBER(parametros!$C$2)),"Fora dos ciclos",IF(OR(B1970&lt;parametros!$C$2,(YEAR(B1970)-YEAR(parametros!$C$2))*12+MONTH(B1970)-MONTH(parametros!$C$2)&gt;59),"Fora dos ciclos","C"&amp;INT(((YEAR(B1970)-YEAR(parametros!$C$2))*12+MONTH(B1970)-MONTH(parametros!$C$2))/12)))))</f>
        <v/>
      </c>
      <c r="D1970" s="394"/>
      <c r="E1970" s="78" t="str">
        <f>IF(C1970="","",IFERROR(VLOOKUP(C1970,parametros!$A$11:$E$15,5,0),""))</f>
        <v/>
      </c>
      <c r="F1970" s="79" t="str">
        <f t="shared" si="152"/>
        <v/>
      </c>
      <c r="G1970" s="395"/>
      <c r="H1970" s="91">
        <f t="shared" si="153"/>
        <v>0</v>
      </c>
      <c r="I1970" s="91" t="str">
        <f t="shared" si="154"/>
        <v/>
      </c>
      <c r="J1970" s="91" t="str">
        <f t="shared" si="155"/>
        <v/>
      </c>
      <c r="K1970" s="92" t="str">
        <f>IF(AND(A1970="",B1970="",D1970="",G1970=""),"",IF(AND(A1970&lt;&gt;"",COUNTIF($A$2:$A$5001,A1970)&gt;1),"NUMERO_PC duplicado",IF(B1970="","DATA_PC vazia",IF(NOT(ISNUMBER(B1970)),"DATA_PC invalida",IF(OR(C1970="",C1970="Fora dos ciclos"),"CICLO_PC nao identificado",IF(OR(D1970="",D1970=0),"VALOR_PC vazio ou zero",IF(AND(G1970&lt;&gt;"Sim",G1970&lt;&gt;"Nao",G1970&lt;&gt;""),"PC_PAGO_A_CONTRATADA invalido",IF(AND(C1970&lt;&gt;"C0",IFERROR(INDEX(parametros!$A$2:$A$6,MATCH(C1970,parametros!$B$2:$B$6,0)),"")="Sim",IFERROR(INDEX(parametros!$H$2:$H$6,MATCH(C1970,parametros!$B$2:$B$6,0)),"")=""),"INICIO_EFEITO ausente: PC "&amp;A1970&amp;" - "&amp;C1970,IF(L1970="","EFEITO_PC nao calculado: PC "&amp;A1970&amp;" - "&amp;C1970,"OK")))))))))</f>
        <v/>
      </c>
      <c r="L1970" s="92" t="str">
        <f>IF(AND(A1970="",B1970="",D1970="",G1970=""),"",IF(OR(B1970="",NOT(ISNUMBER(B1970)),C1970="",C1970="Fora dos ciclos"),"",IF(C1970="C0","Nao",IF(IFERROR(INDEX(parametros!$A$2:$A$6,MATCH(C1970,parametros!$B$2:$B$6,0)),"")&lt;&gt;"Sim","Nao",IF(IFERROR(INDEX(parametros!$H$2:$H$6,MATCH(C1970,parametros!$B$2:$B$6,0)),"")="","",IF(B1970&gt;=IFERROR(INDEX(parametros!$H$2:$H$6,MATCH(C1970,parametros!$B$2:$B$6,0)),""),"Sim","Nao"))))))</f>
        <v/>
      </c>
      <c r="T1970" s="156"/>
      <c r="U1970" s="214" t="str">
        <f t="shared" si="156"/>
        <v/>
      </c>
      <c r="V1970" s="212" t="s">
        <v>50</v>
      </c>
      <c r="W1970" s="100" t="s">
        <v>168</v>
      </c>
      <c r="X1970" s="100" t="s">
        <v>169</v>
      </c>
      <c r="Y1970" s="101" t="s">
        <v>170</v>
      </c>
      <c r="Z1970" s="101" t="s">
        <v>171</v>
      </c>
      <c r="AA1970" s="101" t="s">
        <v>50</v>
      </c>
      <c r="AB1970" s="101" t="s">
        <v>172</v>
      </c>
      <c r="AC1970" s="102" t="s">
        <v>173</v>
      </c>
    </row>
    <row r="1971" spans="1:29" ht="25.5" customHeight="1" x14ac:dyDescent="0.35">
      <c r="A1971" s="392"/>
      <c r="B1971" s="393"/>
      <c r="C1971" s="99" t="str">
        <f>IF(B1971="","",IF(NOT(ISNUMBER(B1971)),"DATA_PC invalida",IF(NOT(ISNUMBER(parametros!$C$2)),"Fora dos ciclos",IF(OR(B1971&lt;parametros!$C$2,(YEAR(B1971)-YEAR(parametros!$C$2))*12+MONTH(B1971)-MONTH(parametros!$C$2)&gt;59),"Fora dos ciclos","C"&amp;INT(((YEAR(B1971)-YEAR(parametros!$C$2))*12+MONTH(B1971)-MONTH(parametros!$C$2))/12)))))</f>
        <v/>
      </c>
      <c r="D1971" s="394"/>
      <c r="E1971" s="78" t="str">
        <f>IF(C1971="","",IFERROR(VLOOKUP(C1971,parametros!$A$11:$E$15,5,0),""))</f>
        <v/>
      </c>
      <c r="F1971" s="79" t="str">
        <f t="shared" si="152"/>
        <v/>
      </c>
      <c r="G1971" s="395"/>
      <c r="H1971" s="91">
        <f t="shared" si="153"/>
        <v>0</v>
      </c>
      <c r="I1971" s="91" t="str">
        <f t="shared" si="154"/>
        <v/>
      </c>
      <c r="J1971" s="91" t="str">
        <f t="shared" si="155"/>
        <v/>
      </c>
      <c r="K1971" s="92" t="str">
        <f>IF(AND(A1971="",B1971="",D1971="",G1971=""),"",IF(AND(A1971&lt;&gt;"",COUNTIF($A$2:$A$5001,A1971)&gt;1),"NUMERO_PC duplicado",IF(B1971="","DATA_PC vazia",IF(NOT(ISNUMBER(B1971)),"DATA_PC invalida",IF(OR(C1971="",C1971="Fora dos ciclos"),"CICLO_PC nao identificado",IF(OR(D1971="",D1971=0),"VALOR_PC vazio ou zero",IF(AND(G1971&lt;&gt;"Sim",G1971&lt;&gt;"Nao",G1971&lt;&gt;""),"PC_PAGO_A_CONTRATADA invalido",IF(AND(C1971&lt;&gt;"C0",IFERROR(INDEX(parametros!$A$2:$A$6,MATCH(C1971,parametros!$B$2:$B$6,0)),"")="Sim",IFERROR(INDEX(parametros!$H$2:$H$6,MATCH(C1971,parametros!$B$2:$B$6,0)),"")=""),"INICIO_EFEITO ausente: PC "&amp;A1971&amp;" - "&amp;C1971,IF(L1971="","EFEITO_PC nao calculado: PC "&amp;A1971&amp;" - "&amp;C1971,"OK")))))))))</f>
        <v/>
      </c>
      <c r="L1971" s="92" t="str">
        <f>IF(AND(A1971="",B1971="",D1971="",G1971=""),"",IF(OR(B1971="",NOT(ISNUMBER(B1971)),C1971="",C1971="Fora dos ciclos"),"",IF(C1971="C0","Nao",IF(IFERROR(INDEX(parametros!$A$2:$A$6,MATCH(C1971,parametros!$B$2:$B$6,0)),"")&lt;&gt;"Sim","Nao",IF(IFERROR(INDEX(parametros!$H$2:$H$6,MATCH(C1971,parametros!$B$2:$B$6,0)),"")="","",IF(B1971&gt;=IFERROR(INDEX(parametros!$H$2:$H$6,MATCH(C1971,parametros!$B$2:$B$6,0)),""),"Sim","Nao"))))))</f>
        <v/>
      </c>
      <c r="T1971" s="156"/>
      <c r="U1971" s="214" t="str">
        <f t="shared" si="156"/>
        <v/>
      </c>
      <c r="V1971" s="212" t="s">
        <v>50</v>
      </c>
      <c r="W1971" s="100" t="s">
        <v>168</v>
      </c>
      <c r="X1971" s="100" t="s">
        <v>169</v>
      </c>
      <c r="Y1971" s="101" t="s">
        <v>170</v>
      </c>
      <c r="Z1971" s="101" t="s">
        <v>171</v>
      </c>
      <c r="AA1971" s="101" t="s">
        <v>50</v>
      </c>
      <c r="AB1971" s="101" t="s">
        <v>172</v>
      </c>
      <c r="AC1971" s="102" t="s">
        <v>173</v>
      </c>
    </row>
    <row r="1972" spans="1:29" ht="25.5" customHeight="1" x14ac:dyDescent="0.35">
      <c r="A1972" s="392"/>
      <c r="B1972" s="393"/>
      <c r="C1972" s="99" t="str">
        <f>IF(B1972="","",IF(NOT(ISNUMBER(B1972)),"DATA_PC invalida",IF(NOT(ISNUMBER(parametros!$C$2)),"Fora dos ciclos",IF(OR(B1972&lt;parametros!$C$2,(YEAR(B1972)-YEAR(parametros!$C$2))*12+MONTH(B1972)-MONTH(parametros!$C$2)&gt;59),"Fora dos ciclos","C"&amp;INT(((YEAR(B1972)-YEAR(parametros!$C$2))*12+MONTH(B1972)-MONTH(parametros!$C$2))/12)))))</f>
        <v/>
      </c>
      <c r="D1972" s="394"/>
      <c r="E1972" s="78" t="str">
        <f>IF(C1972="","",IFERROR(VLOOKUP(C1972,parametros!$A$11:$E$15,5,0),""))</f>
        <v/>
      </c>
      <c r="F1972" s="79" t="str">
        <f t="shared" si="152"/>
        <v/>
      </c>
      <c r="G1972" s="395"/>
      <c r="H1972" s="91">
        <f t="shared" si="153"/>
        <v>0</v>
      </c>
      <c r="I1972" s="91" t="str">
        <f t="shared" si="154"/>
        <v/>
      </c>
      <c r="J1972" s="91" t="str">
        <f t="shared" si="155"/>
        <v/>
      </c>
      <c r="K1972" s="92" t="str">
        <f>IF(AND(A1972="",B1972="",D1972="",G1972=""),"",IF(AND(A1972&lt;&gt;"",COUNTIF($A$2:$A$5001,A1972)&gt;1),"NUMERO_PC duplicado",IF(B1972="","DATA_PC vazia",IF(NOT(ISNUMBER(B1972)),"DATA_PC invalida",IF(OR(C1972="",C1972="Fora dos ciclos"),"CICLO_PC nao identificado",IF(OR(D1972="",D1972=0),"VALOR_PC vazio ou zero",IF(AND(G1972&lt;&gt;"Sim",G1972&lt;&gt;"Nao",G1972&lt;&gt;""),"PC_PAGO_A_CONTRATADA invalido",IF(AND(C1972&lt;&gt;"C0",IFERROR(INDEX(parametros!$A$2:$A$6,MATCH(C1972,parametros!$B$2:$B$6,0)),"")="Sim",IFERROR(INDEX(parametros!$H$2:$H$6,MATCH(C1972,parametros!$B$2:$B$6,0)),"")=""),"INICIO_EFEITO ausente: PC "&amp;A1972&amp;" - "&amp;C1972,IF(L1972="","EFEITO_PC nao calculado: PC "&amp;A1972&amp;" - "&amp;C1972,"OK")))))))))</f>
        <v/>
      </c>
      <c r="L1972" s="92" t="str">
        <f>IF(AND(A1972="",B1972="",D1972="",G1972=""),"",IF(OR(B1972="",NOT(ISNUMBER(B1972)),C1972="",C1972="Fora dos ciclos"),"",IF(C1972="C0","Nao",IF(IFERROR(INDEX(parametros!$A$2:$A$6,MATCH(C1972,parametros!$B$2:$B$6,0)),"")&lt;&gt;"Sim","Nao",IF(IFERROR(INDEX(parametros!$H$2:$H$6,MATCH(C1972,parametros!$B$2:$B$6,0)),"")="","",IF(B1972&gt;=IFERROR(INDEX(parametros!$H$2:$H$6,MATCH(C1972,parametros!$B$2:$B$6,0)),""),"Sim","Nao"))))))</f>
        <v/>
      </c>
      <c r="T1972" s="156"/>
      <c r="U1972" s="214" t="str">
        <f t="shared" si="156"/>
        <v/>
      </c>
      <c r="V1972" s="212" t="s">
        <v>50</v>
      </c>
      <c r="W1972" s="100" t="s">
        <v>168</v>
      </c>
      <c r="X1972" s="100" t="s">
        <v>169</v>
      </c>
      <c r="Y1972" s="101" t="s">
        <v>170</v>
      </c>
      <c r="Z1972" s="101" t="s">
        <v>171</v>
      </c>
      <c r="AA1972" s="101" t="s">
        <v>50</v>
      </c>
      <c r="AB1972" s="101" t="s">
        <v>172</v>
      </c>
      <c r="AC1972" s="102" t="s">
        <v>173</v>
      </c>
    </row>
    <row r="1973" spans="1:29" ht="25.5" customHeight="1" x14ac:dyDescent="0.35">
      <c r="A1973" s="392"/>
      <c r="B1973" s="393"/>
      <c r="C1973" s="99" t="str">
        <f>IF(B1973="","",IF(NOT(ISNUMBER(B1973)),"DATA_PC invalida",IF(NOT(ISNUMBER(parametros!$C$2)),"Fora dos ciclos",IF(OR(B1973&lt;parametros!$C$2,(YEAR(B1973)-YEAR(parametros!$C$2))*12+MONTH(B1973)-MONTH(parametros!$C$2)&gt;59),"Fora dos ciclos","C"&amp;INT(((YEAR(B1973)-YEAR(parametros!$C$2))*12+MONTH(B1973)-MONTH(parametros!$C$2))/12)))))</f>
        <v/>
      </c>
      <c r="D1973" s="394"/>
      <c r="E1973" s="78" t="str">
        <f>IF(C1973="","",IFERROR(VLOOKUP(C1973,parametros!$A$11:$E$15,5,0),""))</f>
        <v/>
      </c>
      <c r="F1973" s="79" t="str">
        <f t="shared" si="152"/>
        <v/>
      </c>
      <c r="G1973" s="395"/>
      <c r="H1973" s="91">
        <f t="shared" si="153"/>
        <v>0</v>
      </c>
      <c r="I1973" s="91" t="str">
        <f t="shared" si="154"/>
        <v/>
      </c>
      <c r="J1973" s="91" t="str">
        <f t="shared" si="155"/>
        <v/>
      </c>
      <c r="K1973" s="92" t="str">
        <f>IF(AND(A1973="",B1973="",D1973="",G1973=""),"",IF(AND(A1973&lt;&gt;"",COUNTIF($A$2:$A$5001,A1973)&gt;1),"NUMERO_PC duplicado",IF(B1973="","DATA_PC vazia",IF(NOT(ISNUMBER(B1973)),"DATA_PC invalida",IF(OR(C1973="",C1973="Fora dos ciclos"),"CICLO_PC nao identificado",IF(OR(D1973="",D1973=0),"VALOR_PC vazio ou zero",IF(AND(G1973&lt;&gt;"Sim",G1973&lt;&gt;"Nao",G1973&lt;&gt;""),"PC_PAGO_A_CONTRATADA invalido",IF(AND(C1973&lt;&gt;"C0",IFERROR(INDEX(parametros!$A$2:$A$6,MATCH(C1973,parametros!$B$2:$B$6,0)),"")="Sim",IFERROR(INDEX(parametros!$H$2:$H$6,MATCH(C1973,parametros!$B$2:$B$6,0)),"")=""),"INICIO_EFEITO ausente: PC "&amp;A1973&amp;" - "&amp;C1973,IF(L1973="","EFEITO_PC nao calculado: PC "&amp;A1973&amp;" - "&amp;C1973,"OK")))))))))</f>
        <v/>
      </c>
      <c r="L1973" s="92" t="str">
        <f>IF(AND(A1973="",B1973="",D1973="",G1973=""),"",IF(OR(B1973="",NOT(ISNUMBER(B1973)),C1973="",C1973="Fora dos ciclos"),"",IF(C1973="C0","Nao",IF(IFERROR(INDEX(parametros!$A$2:$A$6,MATCH(C1973,parametros!$B$2:$B$6,0)),"")&lt;&gt;"Sim","Nao",IF(IFERROR(INDEX(parametros!$H$2:$H$6,MATCH(C1973,parametros!$B$2:$B$6,0)),"")="","",IF(B1973&gt;=IFERROR(INDEX(parametros!$H$2:$H$6,MATCH(C1973,parametros!$B$2:$B$6,0)),""),"Sim","Nao"))))))</f>
        <v/>
      </c>
      <c r="T1973" s="156"/>
      <c r="U1973" s="214" t="str">
        <f t="shared" si="156"/>
        <v/>
      </c>
      <c r="V1973" s="212" t="s">
        <v>50</v>
      </c>
      <c r="W1973" s="100" t="s">
        <v>168</v>
      </c>
      <c r="X1973" s="100" t="s">
        <v>169</v>
      </c>
      <c r="Y1973" s="101" t="s">
        <v>170</v>
      </c>
      <c r="Z1973" s="101" t="s">
        <v>171</v>
      </c>
      <c r="AA1973" s="101" t="s">
        <v>50</v>
      </c>
      <c r="AB1973" s="101" t="s">
        <v>172</v>
      </c>
      <c r="AC1973" s="102" t="s">
        <v>173</v>
      </c>
    </row>
    <row r="1974" spans="1:29" ht="25.5" customHeight="1" x14ac:dyDescent="0.35">
      <c r="A1974" s="392"/>
      <c r="B1974" s="393"/>
      <c r="C1974" s="99" t="str">
        <f>IF(B1974="","",IF(NOT(ISNUMBER(B1974)),"DATA_PC invalida",IF(NOT(ISNUMBER(parametros!$C$2)),"Fora dos ciclos",IF(OR(B1974&lt;parametros!$C$2,(YEAR(B1974)-YEAR(parametros!$C$2))*12+MONTH(B1974)-MONTH(parametros!$C$2)&gt;59),"Fora dos ciclos","C"&amp;INT(((YEAR(B1974)-YEAR(parametros!$C$2))*12+MONTH(B1974)-MONTH(parametros!$C$2))/12)))))</f>
        <v/>
      </c>
      <c r="D1974" s="394"/>
      <c r="E1974" s="78" t="str">
        <f>IF(C1974="","",IFERROR(VLOOKUP(C1974,parametros!$A$11:$E$15,5,0),""))</f>
        <v/>
      </c>
      <c r="F1974" s="79" t="str">
        <f t="shared" si="152"/>
        <v/>
      </c>
      <c r="G1974" s="395"/>
      <c r="H1974" s="91">
        <f t="shared" si="153"/>
        <v>0</v>
      </c>
      <c r="I1974" s="91" t="str">
        <f t="shared" si="154"/>
        <v/>
      </c>
      <c r="J1974" s="91" t="str">
        <f t="shared" si="155"/>
        <v/>
      </c>
      <c r="K1974" s="92" t="str">
        <f>IF(AND(A1974="",B1974="",D1974="",G1974=""),"",IF(AND(A1974&lt;&gt;"",COUNTIF($A$2:$A$5001,A1974)&gt;1),"NUMERO_PC duplicado",IF(B1974="","DATA_PC vazia",IF(NOT(ISNUMBER(B1974)),"DATA_PC invalida",IF(OR(C1974="",C1974="Fora dos ciclos"),"CICLO_PC nao identificado",IF(OR(D1974="",D1974=0),"VALOR_PC vazio ou zero",IF(AND(G1974&lt;&gt;"Sim",G1974&lt;&gt;"Nao",G1974&lt;&gt;""),"PC_PAGO_A_CONTRATADA invalido",IF(AND(C1974&lt;&gt;"C0",IFERROR(INDEX(parametros!$A$2:$A$6,MATCH(C1974,parametros!$B$2:$B$6,0)),"")="Sim",IFERROR(INDEX(parametros!$H$2:$H$6,MATCH(C1974,parametros!$B$2:$B$6,0)),"")=""),"INICIO_EFEITO ausente: PC "&amp;A1974&amp;" - "&amp;C1974,IF(L1974="","EFEITO_PC nao calculado: PC "&amp;A1974&amp;" - "&amp;C1974,"OK")))))))))</f>
        <v/>
      </c>
      <c r="L1974" s="92" t="str">
        <f>IF(AND(A1974="",B1974="",D1974="",G1974=""),"",IF(OR(B1974="",NOT(ISNUMBER(B1974)),C1974="",C1974="Fora dos ciclos"),"",IF(C1974="C0","Nao",IF(IFERROR(INDEX(parametros!$A$2:$A$6,MATCH(C1974,parametros!$B$2:$B$6,0)),"")&lt;&gt;"Sim","Nao",IF(IFERROR(INDEX(parametros!$H$2:$H$6,MATCH(C1974,parametros!$B$2:$B$6,0)),"")="","",IF(B1974&gt;=IFERROR(INDEX(parametros!$H$2:$H$6,MATCH(C1974,parametros!$B$2:$B$6,0)),""),"Sim","Nao"))))))</f>
        <v/>
      </c>
      <c r="T1974" s="156"/>
      <c r="U1974" s="214" t="str">
        <f t="shared" si="156"/>
        <v/>
      </c>
      <c r="V1974" s="212" t="s">
        <v>50</v>
      </c>
      <c r="W1974" s="100" t="s">
        <v>168</v>
      </c>
      <c r="X1974" s="100" t="s">
        <v>169</v>
      </c>
      <c r="Y1974" s="101" t="s">
        <v>170</v>
      </c>
      <c r="Z1974" s="101" t="s">
        <v>171</v>
      </c>
      <c r="AA1974" s="101" t="s">
        <v>50</v>
      </c>
      <c r="AB1974" s="101" t="s">
        <v>172</v>
      </c>
      <c r="AC1974" s="102" t="s">
        <v>173</v>
      </c>
    </row>
    <row r="1975" spans="1:29" ht="25.5" customHeight="1" x14ac:dyDescent="0.35">
      <c r="A1975" s="392"/>
      <c r="B1975" s="393"/>
      <c r="C1975" s="99" t="str">
        <f>IF(B1975="","",IF(NOT(ISNUMBER(B1975)),"DATA_PC invalida",IF(NOT(ISNUMBER(parametros!$C$2)),"Fora dos ciclos",IF(OR(B1975&lt;parametros!$C$2,(YEAR(B1975)-YEAR(parametros!$C$2))*12+MONTH(B1975)-MONTH(parametros!$C$2)&gt;59),"Fora dos ciclos","C"&amp;INT(((YEAR(B1975)-YEAR(parametros!$C$2))*12+MONTH(B1975)-MONTH(parametros!$C$2))/12)))))</f>
        <v/>
      </c>
      <c r="D1975" s="394"/>
      <c r="E1975" s="78" t="str">
        <f>IF(C1975="","",IFERROR(VLOOKUP(C1975,parametros!$A$11:$E$15,5,0),""))</f>
        <v/>
      </c>
      <c r="F1975" s="79" t="str">
        <f t="shared" si="152"/>
        <v/>
      </c>
      <c r="G1975" s="395"/>
      <c r="H1975" s="91">
        <f t="shared" si="153"/>
        <v>0</v>
      </c>
      <c r="I1975" s="91" t="str">
        <f t="shared" si="154"/>
        <v/>
      </c>
      <c r="J1975" s="91" t="str">
        <f t="shared" si="155"/>
        <v/>
      </c>
      <c r="K1975" s="92" t="str">
        <f>IF(AND(A1975="",B1975="",D1975="",G1975=""),"",IF(AND(A1975&lt;&gt;"",COUNTIF($A$2:$A$5001,A1975)&gt;1),"NUMERO_PC duplicado",IF(B1975="","DATA_PC vazia",IF(NOT(ISNUMBER(B1975)),"DATA_PC invalida",IF(OR(C1975="",C1975="Fora dos ciclos"),"CICLO_PC nao identificado",IF(OR(D1975="",D1975=0),"VALOR_PC vazio ou zero",IF(AND(G1975&lt;&gt;"Sim",G1975&lt;&gt;"Nao",G1975&lt;&gt;""),"PC_PAGO_A_CONTRATADA invalido",IF(AND(C1975&lt;&gt;"C0",IFERROR(INDEX(parametros!$A$2:$A$6,MATCH(C1975,parametros!$B$2:$B$6,0)),"")="Sim",IFERROR(INDEX(parametros!$H$2:$H$6,MATCH(C1975,parametros!$B$2:$B$6,0)),"")=""),"INICIO_EFEITO ausente: PC "&amp;A1975&amp;" - "&amp;C1975,IF(L1975="","EFEITO_PC nao calculado: PC "&amp;A1975&amp;" - "&amp;C1975,"OK")))))))))</f>
        <v/>
      </c>
      <c r="L1975" s="92" t="str">
        <f>IF(AND(A1975="",B1975="",D1975="",G1975=""),"",IF(OR(B1975="",NOT(ISNUMBER(B1975)),C1975="",C1975="Fora dos ciclos"),"",IF(C1975="C0","Nao",IF(IFERROR(INDEX(parametros!$A$2:$A$6,MATCH(C1975,parametros!$B$2:$B$6,0)),"")&lt;&gt;"Sim","Nao",IF(IFERROR(INDEX(parametros!$H$2:$H$6,MATCH(C1975,parametros!$B$2:$B$6,0)),"")="","",IF(B1975&gt;=IFERROR(INDEX(parametros!$H$2:$H$6,MATCH(C1975,parametros!$B$2:$B$6,0)),""),"Sim","Nao"))))))</f>
        <v/>
      </c>
      <c r="T1975" s="156"/>
      <c r="U1975" s="214" t="str">
        <f t="shared" si="156"/>
        <v/>
      </c>
      <c r="V1975" s="212" t="s">
        <v>50</v>
      </c>
      <c r="W1975" s="100" t="s">
        <v>168</v>
      </c>
      <c r="X1975" s="100" t="s">
        <v>169</v>
      </c>
      <c r="Y1975" s="101" t="s">
        <v>170</v>
      </c>
      <c r="Z1975" s="101" t="s">
        <v>171</v>
      </c>
      <c r="AA1975" s="101" t="s">
        <v>50</v>
      </c>
      <c r="AB1975" s="101" t="s">
        <v>172</v>
      </c>
      <c r="AC1975" s="102" t="s">
        <v>173</v>
      </c>
    </row>
    <row r="1976" spans="1:29" ht="25.5" customHeight="1" x14ac:dyDescent="0.35">
      <c r="A1976" s="392"/>
      <c r="B1976" s="393"/>
      <c r="C1976" s="99" t="str">
        <f>IF(B1976="","",IF(NOT(ISNUMBER(B1976)),"DATA_PC invalida",IF(NOT(ISNUMBER(parametros!$C$2)),"Fora dos ciclos",IF(OR(B1976&lt;parametros!$C$2,(YEAR(B1976)-YEAR(parametros!$C$2))*12+MONTH(B1976)-MONTH(parametros!$C$2)&gt;59),"Fora dos ciclos","C"&amp;INT(((YEAR(B1976)-YEAR(parametros!$C$2))*12+MONTH(B1976)-MONTH(parametros!$C$2))/12)))))</f>
        <v/>
      </c>
      <c r="D1976" s="394"/>
      <c r="E1976" s="78" t="str">
        <f>IF(C1976="","",IFERROR(VLOOKUP(C1976,parametros!$A$11:$E$15,5,0),""))</f>
        <v/>
      </c>
      <c r="F1976" s="79" t="str">
        <f t="shared" si="152"/>
        <v/>
      </c>
      <c r="G1976" s="395"/>
      <c r="H1976" s="91">
        <f t="shared" si="153"/>
        <v>0</v>
      </c>
      <c r="I1976" s="91" t="str">
        <f t="shared" si="154"/>
        <v/>
      </c>
      <c r="J1976" s="91" t="str">
        <f t="shared" si="155"/>
        <v/>
      </c>
      <c r="K1976" s="92" t="str">
        <f>IF(AND(A1976="",B1976="",D1976="",G1976=""),"",IF(AND(A1976&lt;&gt;"",COUNTIF($A$2:$A$5001,A1976)&gt;1),"NUMERO_PC duplicado",IF(B1976="","DATA_PC vazia",IF(NOT(ISNUMBER(B1976)),"DATA_PC invalida",IF(OR(C1976="",C1976="Fora dos ciclos"),"CICLO_PC nao identificado",IF(OR(D1976="",D1976=0),"VALOR_PC vazio ou zero",IF(AND(G1976&lt;&gt;"Sim",G1976&lt;&gt;"Nao",G1976&lt;&gt;""),"PC_PAGO_A_CONTRATADA invalido",IF(AND(C1976&lt;&gt;"C0",IFERROR(INDEX(parametros!$A$2:$A$6,MATCH(C1976,parametros!$B$2:$B$6,0)),"")="Sim",IFERROR(INDEX(parametros!$H$2:$H$6,MATCH(C1976,parametros!$B$2:$B$6,0)),"")=""),"INICIO_EFEITO ausente: PC "&amp;A1976&amp;" - "&amp;C1976,IF(L1976="","EFEITO_PC nao calculado: PC "&amp;A1976&amp;" - "&amp;C1976,"OK")))))))))</f>
        <v/>
      </c>
      <c r="L1976" s="92" t="str">
        <f>IF(AND(A1976="",B1976="",D1976="",G1976=""),"",IF(OR(B1976="",NOT(ISNUMBER(B1976)),C1976="",C1976="Fora dos ciclos"),"",IF(C1976="C0","Nao",IF(IFERROR(INDEX(parametros!$A$2:$A$6,MATCH(C1976,parametros!$B$2:$B$6,0)),"")&lt;&gt;"Sim","Nao",IF(IFERROR(INDEX(parametros!$H$2:$H$6,MATCH(C1976,parametros!$B$2:$B$6,0)),"")="","",IF(B1976&gt;=IFERROR(INDEX(parametros!$H$2:$H$6,MATCH(C1976,parametros!$B$2:$B$6,0)),""),"Sim","Nao"))))))</f>
        <v/>
      </c>
      <c r="T1976" s="156"/>
      <c r="U1976" s="214" t="str">
        <f t="shared" si="156"/>
        <v/>
      </c>
      <c r="V1976" s="212" t="s">
        <v>50</v>
      </c>
      <c r="W1976" s="100" t="s">
        <v>168</v>
      </c>
      <c r="X1976" s="100" t="s">
        <v>169</v>
      </c>
      <c r="Y1976" s="101" t="s">
        <v>170</v>
      </c>
      <c r="Z1976" s="101" t="s">
        <v>171</v>
      </c>
      <c r="AA1976" s="101" t="s">
        <v>50</v>
      </c>
      <c r="AB1976" s="101" t="s">
        <v>172</v>
      </c>
      <c r="AC1976" s="102" t="s">
        <v>173</v>
      </c>
    </row>
    <row r="1977" spans="1:29" ht="25.5" customHeight="1" x14ac:dyDescent="0.35">
      <c r="A1977" s="392"/>
      <c r="B1977" s="393"/>
      <c r="C1977" s="99" t="str">
        <f>IF(B1977="","",IF(NOT(ISNUMBER(B1977)),"DATA_PC invalida",IF(NOT(ISNUMBER(parametros!$C$2)),"Fora dos ciclos",IF(OR(B1977&lt;parametros!$C$2,(YEAR(B1977)-YEAR(parametros!$C$2))*12+MONTH(B1977)-MONTH(parametros!$C$2)&gt;59),"Fora dos ciclos","C"&amp;INT(((YEAR(B1977)-YEAR(parametros!$C$2))*12+MONTH(B1977)-MONTH(parametros!$C$2))/12)))))</f>
        <v/>
      </c>
      <c r="D1977" s="394"/>
      <c r="E1977" s="78" t="str">
        <f>IF(C1977="","",IFERROR(VLOOKUP(C1977,parametros!$A$11:$E$15,5,0),""))</f>
        <v/>
      </c>
      <c r="F1977" s="79" t="str">
        <f t="shared" si="152"/>
        <v/>
      </c>
      <c r="G1977" s="395"/>
      <c r="H1977" s="91">
        <f t="shared" si="153"/>
        <v>0</v>
      </c>
      <c r="I1977" s="91" t="str">
        <f t="shared" si="154"/>
        <v/>
      </c>
      <c r="J1977" s="91" t="str">
        <f t="shared" si="155"/>
        <v/>
      </c>
      <c r="K1977" s="92" t="str">
        <f>IF(AND(A1977="",B1977="",D1977="",G1977=""),"",IF(AND(A1977&lt;&gt;"",COUNTIF($A$2:$A$5001,A1977)&gt;1),"NUMERO_PC duplicado",IF(B1977="","DATA_PC vazia",IF(NOT(ISNUMBER(B1977)),"DATA_PC invalida",IF(OR(C1977="",C1977="Fora dos ciclos"),"CICLO_PC nao identificado",IF(OR(D1977="",D1977=0),"VALOR_PC vazio ou zero",IF(AND(G1977&lt;&gt;"Sim",G1977&lt;&gt;"Nao",G1977&lt;&gt;""),"PC_PAGO_A_CONTRATADA invalido",IF(AND(C1977&lt;&gt;"C0",IFERROR(INDEX(parametros!$A$2:$A$6,MATCH(C1977,parametros!$B$2:$B$6,0)),"")="Sim",IFERROR(INDEX(parametros!$H$2:$H$6,MATCH(C1977,parametros!$B$2:$B$6,0)),"")=""),"INICIO_EFEITO ausente: PC "&amp;A1977&amp;" - "&amp;C1977,IF(L1977="","EFEITO_PC nao calculado: PC "&amp;A1977&amp;" - "&amp;C1977,"OK")))))))))</f>
        <v/>
      </c>
      <c r="L1977" s="92" t="str">
        <f>IF(AND(A1977="",B1977="",D1977="",G1977=""),"",IF(OR(B1977="",NOT(ISNUMBER(B1977)),C1977="",C1977="Fora dos ciclos"),"",IF(C1977="C0","Nao",IF(IFERROR(INDEX(parametros!$A$2:$A$6,MATCH(C1977,parametros!$B$2:$B$6,0)),"")&lt;&gt;"Sim","Nao",IF(IFERROR(INDEX(parametros!$H$2:$H$6,MATCH(C1977,parametros!$B$2:$B$6,0)),"")="","",IF(B1977&gt;=IFERROR(INDEX(parametros!$H$2:$H$6,MATCH(C1977,parametros!$B$2:$B$6,0)),""),"Sim","Nao"))))))</f>
        <v/>
      </c>
      <c r="T1977" s="156"/>
      <c r="U1977" s="214" t="str">
        <f t="shared" si="156"/>
        <v/>
      </c>
      <c r="V1977" s="212" t="s">
        <v>50</v>
      </c>
      <c r="W1977" s="100" t="s">
        <v>168</v>
      </c>
      <c r="X1977" s="100" t="s">
        <v>169</v>
      </c>
      <c r="Y1977" s="101" t="s">
        <v>170</v>
      </c>
      <c r="Z1977" s="101" t="s">
        <v>171</v>
      </c>
      <c r="AA1977" s="101" t="s">
        <v>50</v>
      </c>
      <c r="AB1977" s="101" t="s">
        <v>172</v>
      </c>
      <c r="AC1977" s="102" t="s">
        <v>173</v>
      </c>
    </row>
    <row r="1978" spans="1:29" ht="25.5" customHeight="1" x14ac:dyDescent="0.35">
      <c r="A1978" s="392"/>
      <c r="B1978" s="393"/>
      <c r="C1978" s="99" t="str">
        <f>IF(B1978="","",IF(NOT(ISNUMBER(B1978)),"DATA_PC invalida",IF(NOT(ISNUMBER(parametros!$C$2)),"Fora dos ciclos",IF(OR(B1978&lt;parametros!$C$2,(YEAR(B1978)-YEAR(parametros!$C$2))*12+MONTH(B1978)-MONTH(parametros!$C$2)&gt;59),"Fora dos ciclos","C"&amp;INT(((YEAR(B1978)-YEAR(parametros!$C$2))*12+MONTH(B1978)-MONTH(parametros!$C$2))/12)))))</f>
        <v/>
      </c>
      <c r="D1978" s="394"/>
      <c r="E1978" s="78" t="str">
        <f>IF(C1978="","",IFERROR(VLOOKUP(C1978,parametros!$A$11:$E$15,5,0),""))</f>
        <v/>
      </c>
      <c r="F1978" s="79" t="str">
        <f t="shared" si="152"/>
        <v/>
      </c>
      <c r="G1978" s="395"/>
      <c r="H1978" s="91">
        <f t="shared" si="153"/>
        <v>0</v>
      </c>
      <c r="I1978" s="91" t="str">
        <f t="shared" si="154"/>
        <v/>
      </c>
      <c r="J1978" s="91" t="str">
        <f t="shared" si="155"/>
        <v/>
      </c>
      <c r="K1978" s="92" t="str">
        <f>IF(AND(A1978="",B1978="",D1978="",G1978=""),"",IF(AND(A1978&lt;&gt;"",COUNTIF($A$2:$A$5001,A1978)&gt;1),"NUMERO_PC duplicado",IF(B1978="","DATA_PC vazia",IF(NOT(ISNUMBER(B1978)),"DATA_PC invalida",IF(OR(C1978="",C1978="Fora dos ciclos"),"CICLO_PC nao identificado",IF(OR(D1978="",D1978=0),"VALOR_PC vazio ou zero",IF(AND(G1978&lt;&gt;"Sim",G1978&lt;&gt;"Nao",G1978&lt;&gt;""),"PC_PAGO_A_CONTRATADA invalido",IF(AND(C1978&lt;&gt;"C0",IFERROR(INDEX(parametros!$A$2:$A$6,MATCH(C1978,parametros!$B$2:$B$6,0)),"")="Sim",IFERROR(INDEX(parametros!$H$2:$H$6,MATCH(C1978,parametros!$B$2:$B$6,0)),"")=""),"INICIO_EFEITO ausente: PC "&amp;A1978&amp;" - "&amp;C1978,IF(L1978="","EFEITO_PC nao calculado: PC "&amp;A1978&amp;" - "&amp;C1978,"OK")))))))))</f>
        <v/>
      </c>
      <c r="L1978" s="92" t="str">
        <f>IF(AND(A1978="",B1978="",D1978="",G1978=""),"",IF(OR(B1978="",NOT(ISNUMBER(B1978)),C1978="",C1978="Fora dos ciclos"),"",IF(C1978="C0","Nao",IF(IFERROR(INDEX(parametros!$A$2:$A$6,MATCH(C1978,parametros!$B$2:$B$6,0)),"")&lt;&gt;"Sim","Nao",IF(IFERROR(INDEX(parametros!$H$2:$H$6,MATCH(C1978,parametros!$B$2:$B$6,0)),"")="","",IF(B1978&gt;=IFERROR(INDEX(parametros!$H$2:$H$6,MATCH(C1978,parametros!$B$2:$B$6,0)),""),"Sim","Nao"))))))</f>
        <v/>
      </c>
      <c r="T1978" s="156"/>
      <c r="U1978" s="214" t="str">
        <f t="shared" si="156"/>
        <v/>
      </c>
      <c r="V1978" s="212" t="s">
        <v>50</v>
      </c>
      <c r="W1978" s="100" t="s">
        <v>168</v>
      </c>
      <c r="X1978" s="100" t="s">
        <v>169</v>
      </c>
      <c r="Y1978" s="101" t="s">
        <v>170</v>
      </c>
      <c r="Z1978" s="101" t="s">
        <v>171</v>
      </c>
      <c r="AA1978" s="101" t="s">
        <v>50</v>
      </c>
      <c r="AB1978" s="101" t="s">
        <v>172</v>
      </c>
      <c r="AC1978" s="102" t="s">
        <v>173</v>
      </c>
    </row>
    <row r="1979" spans="1:29" ht="25.5" customHeight="1" x14ac:dyDescent="0.35">
      <c r="A1979" s="392"/>
      <c r="B1979" s="393"/>
      <c r="C1979" s="99" t="str">
        <f>IF(B1979="","",IF(NOT(ISNUMBER(B1979)),"DATA_PC invalida",IF(NOT(ISNUMBER(parametros!$C$2)),"Fora dos ciclos",IF(OR(B1979&lt;parametros!$C$2,(YEAR(B1979)-YEAR(parametros!$C$2))*12+MONTH(B1979)-MONTH(parametros!$C$2)&gt;59),"Fora dos ciclos","C"&amp;INT(((YEAR(B1979)-YEAR(parametros!$C$2))*12+MONTH(B1979)-MONTH(parametros!$C$2))/12)))))</f>
        <v/>
      </c>
      <c r="D1979" s="394"/>
      <c r="E1979" s="78" t="str">
        <f>IF(C1979="","",IFERROR(VLOOKUP(C1979,parametros!$A$11:$E$15,5,0),""))</f>
        <v/>
      </c>
      <c r="F1979" s="79" t="str">
        <f t="shared" si="152"/>
        <v/>
      </c>
      <c r="G1979" s="395"/>
      <c r="H1979" s="91">
        <f t="shared" si="153"/>
        <v>0</v>
      </c>
      <c r="I1979" s="91" t="str">
        <f t="shared" si="154"/>
        <v/>
      </c>
      <c r="J1979" s="91" t="str">
        <f t="shared" si="155"/>
        <v/>
      </c>
      <c r="K1979" s="92" t="str">
        <f>IF(AND(A1979="",B1979="",D1979="",G1979=""),"",IF(AND(A1979&lt;&gt;"",COUNTIF($A$2:$A$5001,A1979)&gt;1),"NUMERO_PC duplicado",IF(B1979="","DATA_PC vazia",IF(NOT(ISNUMBER(B1979)),"DATA_PC invalida",IF(OR(C1979="",C1979="Fora dos ciclos"),"CICLO_PC nao identificado",IF(OR(D1979="",D1979=0),"VALOR_PC vazio ou zero",IF(AND(G1979&lt;&gt;"Sim",G1979&lt;&gt;"Nao",G1979&lt;&gt;""),"PC_PAGO_A_CONTRATADA invalido",IF(AND(C1979&lt;&gt;"C0",IFERROR(INDEX(parametros!$A$2:$A$6,MATCH(C1979,parametros!$B$2:$B$6,0)),"")="Sim",IFERROR(INDEX(parametros!$H$2:$H$6,MATCH(C1979,parametros!$B$2:$B$6,0)),"")=""),"INICIO_EFEITO ausente: PC "&amp;A1979&amp;" - "&amp;C1979,IF(L1979="","EFEITO_PC nao calculado: PC "&amp;A1979&amp;" - "&amp;C1979,"OK")))))))))</f>
        <v/>
      </c>
      <c r="L1979" s="92" t="str">
        <f>IF(AND(A1979="",B1979="",D1979="",G1979=""),"",IF(OR(B1979="",NOT(ISNUMBER(B1979)),C1979="",C1979="Fora dos ciclos"),"",IF(C1979="C0","Nao",IF(IFERROR(INDEX(parametros!$A$2:$A$6,MATCH(C1979,parametros!$B$2:$B$6,0)),"")&lt;&gt;"Sim","Nao",IF(IFERROR(INDEX(parametros!$H$2:$H$6,MATCH(C1979,parametros!$B$2:$B$6,0)),"")="","",IF(B1979&gt;=IFERROR(INDEX(parametros!$H$2:$H$6,MATCH(C1979,parametros!$B$2:$B$6,0)),""),"Sim","Nao"))))))</f>
        <v/>
      </c>
      <c r="T1979" s="156"/>
      <c r="U1979" s="214" t="str">
        <f t="shared" si="156"/>
        <v/>
      </c>
      <c r="V1979" s="212" t="s">
        <v>50</v>
      </c>
      <c r="W1979" s="100" t="s">
        <v>168</v>
      </c>
      <c r="X1979" s="100" t="s">
        <v>169</v>
      </c>
      <c r="Y1979" s="101" t="s">
        <v>170</v>
      </c>
      <c r="Z1979" s="101" t="s">
        <v>171</v>
      </c>
      <c r="AA1979" s="101" t="s">
        <v>50</v>
      </c>
      <c r="AB1979" s="101" t="s">
        <v>172</v>
      </c>
      <c r="AC1979" s="102" t="s">
        <v>173</v>
      </c>
    </row>
    <row r="1980" spans="1:29" ht="25.5" customHeight="1" x14ac:dyDescent="0.35">
      <c r="A1980" s="392"/>
      <c r="B1980" s="393"/>
      <c r="C1980" s="99" t="str">
        <f>IF(B1980="","",IF(NOT(ISNUMBER(B1980)),"DATA_PC invalida",IF(NOT(ISNUMBER(parametros!$C$2)),"Fora dos ciclos",IF(OR(B1980&lt;parametros!$C$2,(YEAR(B1980)-YEAR(parametros!$C$2))*12+MONTH(B1980)-MONTH(parametros!$C$2)&gt;59),"Fora dos ciclos","C"&amp;INT(((YEAR(B1980)-YEAR(parametros!$C$2))*12+MONTH(B1980)-MONTH(parametros!$C$2))/12)))))</f>
        <v/>
      </c>
      <c r="D1980" s="394"/>
      <c r="E1980" s="78" t="str">
        <f>IF(C1980="","",IFERROR(VLOOKUP(C1980,parametros!$A$11:$E$15,5,0),""))</f>
        <v/>
      </c>
      <c r="F1980" s="79" t="str">
        <f t="shared" si="152"/>
        <v/>
      </c>
      <c r="G1980" s="395"/>
      <c r="H1980" s="91">
        <f t="shared" si="153"/>
        <v>0</v>
      </c>
      <c r="I1980" s="91" t="str">
        <f t="shared" si="154"/>
        <v/>
      </c>
      <c r="J1980" s="91" t="str">
        <f t="shared" si="155"/>
        <v/>
      </c>
      <c r="K1980" s="92" t="str">
        <f>IF(AND(A1980="",B1980="",D1980="",G1980=""),"",IF(AND(A1980&lt;&gt;"",COUNTIF($A$2:$A$5001,A1980)&gt;1),"NUMERO_PC duplicado",IF(B1980="","DATA_PC vazia",IF(NOT(ISNUMBER(B1980)),"DATA_PC invalida",IF(OR(C1980="",C1980="Fora dos ciclos"),"CICLO_PC nao identificado",IF(OR(D1980="",D1980=0),"VALOR_PC vazio ou zero",IF(AND(G1980&lt;&gt;"Sim",G1980&lt;&gt;"Nao",G1980&lt;&gt;""),"PC_PAGO_A_CONTRATADA invalido",IF(AND(C1980&lt;&gt;"C0",IFERROR(INDEX(parametros!$A$2:$A$6,MATCH(C1980,parametros!$B$2:$B$6,0)),"")="Sim",IFERROR(INDEX(parametros!$H$2:$H$6,MATCH(C1980,parametros!$B$2:$B$6,0)),"")=""),"INICIO_EFEITO ausente: PC "&amp;A1980&amp;" - "&amp;C1980,IF(L1980="","EFEITO_PC nao calculado: PC "&amp;A1980&amp;" - "&amp;C1980,"OK")))))))))</f>
        <v/>
      </c>
      <c r="L1980" s="92" t="str">
        <f>IF(AND(A1980="",B1980="",D1980="",G1980=""),"",IF(OR(B1980="",NOT(ISNUMBER(B1980)),C1980="",C1980="Fora dos ciclos"),"",IF(C1980="C0","Nao",IF(IFERROR(INDEX(parametros!$A$2:$A$6,MATCH(C1980,parametros!$B$2:$B$6,0)),"")&lt;&gt;"Sim","Nao",IF(IFERROR(INDEX(parametros!$H$2:$H$6,MATCH(C1980,parametros!$B$2:$B$6,0)),"")="","",IF(B1980&gt;=IFERROR(INDEX(parametros!$H$2:$H$6,MATCH(C1980,parametros!$B$2:$B$6,0)),""),"Sim","Nao"))))))</f>
        <v/>
      </c>
      <c r="T1980" s="156"/>
      <c r="U1980" s="214" t="str">
        <f t="shared" si="156"/>
        <v/>
      </c>
      <c r="V1980" s="212" t="s">
        <v>50</v>
      </c>
      <c r="W1980" s="100" t="s">
        <v>168</v>
      </c>
      <c r="X1980" s="100" t="s">
        <v>169</v>
      </c>
      <c r="Y1980" s="101" t="s">
        <v>170</v>
      </c>
      <c r="Z1980" s="101" t="s">
        <v>171</v>
      </c>
      <c r="AA1980" s="101" t="s">
        <v>50</v>
      </c>
      <c r="AB1980" s="101" t="s">
        <v>172</v>
      </c>
      <c r="AC1980" s="102" t="s">
        <v>173</v>
      </c>
    </row>
    <row r="1981" spans="1:29" ht="25.5" customHeight="1" x14ac:dyDescent="0.35">
      <c r="A1981" s="392"/>
      <c r="B1981" s="393"/>
      <c r="C1981" s="99" t="str">
        <f>IF(B1981="","",IF(NOT(ISNUMBER(B1981)),"DATA_PC invalida",IF(NOT(ISNUMBER(parametros!$C$2)),"Fora dos ciclos",IF(OR(B1981&lt;parametros!$C$2,(YEAR(B1981)-YEAR(parametros!$C$2))*12+MONTH(B1981)-MONTH(parametros!$C$2)&gt;59),"Fora dos ciclos","C"&amp;INT(((YEAR(B1981)-YEAR(parametros!$C$2))*12+MONTH(B1981)-MONTH(parametros!$C$2))/12)))))</f>
        <v/>
      </c>
      <c r="D1981" s="394"/>
      <c r="E1981" s="78" t="str">
        <f>IF(C1981="","",IFERROR(VLOOKUP(C1981,parametros!$A$11:$E$15,5,0),""))</f>
        <v/>
      </c>
      <c r="F1981" s="79" t="str">
        <f t="shared" si="152"/>
        <v/>
      </c>
      <c r="G1981" s="395"/>
      <c r="H1981" s="91">
        <f t="shared" si="153"/>
        <v>0</v>
      </c>
      <c r="I1981" s="91" t="str">
        <f t="shared" si="154"/>
        <v/>
      </c>
      <c r="J1981" s="91" t="str">
        <f t="shared" si="155"/>
        <v/>
      </c>
      <c r="K1981" s="92" t="str">
        <f>IF(AND(A1981="",B1981="",D1981="",G1981=""),"",IF(AND(A1981&lt;&gt;"",COUNTIF($A$2:$A$5001,A1981)&gt;1),"NUMERO_PC duplicado",IF(B1981="","DATA_PC vazia",IF(NOT(ISNUMBER(B1981)),"DATA_PC invalida",IF(OR(C1981="",C1981="Fora dos ciclos"),"CICLO_PC nao identificado",IF(OR(D1981="",D1981=0),"VALOR_PC vazio ou zero",IF(AND(G1981&lt;&gt;"Sim",G1981&lt;&gt;"Nao",G1981&lt;&gt;""),"PC_PAGO_A_CONTRATADA invalido",IF(AND(C1981&lt;&gt;"C0",IFERROR(INDEX(parametros!$A$2:$A$6,MATCH(C1981,parametros!$B$2:$B$6,0)),"")="Sim",IFERROR(INDEX(parametros!$H$2:$H$6,MATCH(C1981,parametros!$B$2:$B$6,0)),"")=""),"INICIO_EFEITO ausente: PC "&amp;A1981&amp;" - "&amp;C1981,IF(L1981="","EFEITO_PC nao calculado: PC "&amp;A1981&amp;" - "&amp;C1981,"OK")))))))))</f>
        <v/>
      </c>
      <c r="L1981" s="92" t="str">
        <f>IF(AND(A1981="",B1981="",D1981="",G1981=""),"",IF(OR(B1981="",NOT(ISNUMBER(B1981)),C1981="",C1981="Fora dos ciclos"),"",IF(C1981="C0","Nao",IF(IFERROR(INDEX(parametros!$A$2:$A$6,MATCH(C1981,parametros!$B$2:$B$6,0)),"")&lt;&gt;"Sim","Nao",IF(IFERROR(INDEX(parametros!$H$2:$H$6,MATCH(C1981,parametros!$B$2:$B$6,0)),"")="","",IF(B1981&gt;=IFERROR(INDEX(parametros!$H$2:$H$6,MATCH(C1981,parametros!$B$2:$B$6,0)),""),"Sim","Nao"))))))</f>
        <v/>
      </c>
      <c r="T1981" s="156"/>
      <c r="U1981" s="214" t="str">
        <f t="shared" si="156"/>
        <v/>
      </c>
      <c r="V1981" s="212" t="s">
        <v>50</v>
      </c>
      <c r="W1981" s="100" t="s">
        <v>168</v>
      </c>
      <c r="X1981" s="100" t="s">
        <v>169</v>
      </c>
      <c r="Y1981" s="101" t="s">
        <v>170</v>
      </c>
      <c r="Z1981" s="101" t="s">
        <v>171</v>
      </c>
      <c r="AA1981" s="101" t="s">
        <v>50</v>
      </c>
      <c r="AB1981" s="101" t="s">
        <v>172</v>
      </c>
      <c r="AC1981" s="102" t="s">
        <v>173</v>
      </c>
    </row>
    <row r="1982" spans="1:29" ht="25.5" customHeight="1" x14ac:dyDescent="0.35">
      <c r="A1982" s="392"/>
      <c r="B1982" s="393"/>
      <c r="C1982" s="99" t="str">
        <f>IF(B1982="","",IF(NOT(ISNUMBER(B1982)),"DATA_PC invalida",IF(NOT(ISNUMBER(parametros!$C$2)),"Fora dos ciclos",IF(OR(B1982&lt;parametros!$C$2,(YEAR(B1982)-YEAR(parametros!$C$2))*12+MONTH(B1982)-MONTH(parametros!$C$2)&gt;59),"Fora dos ciclos","C"&amp;INT(((YEAR(B1982)-YEAR(parametros!$C$2))*12+MONTH(B1982)-MONTH(parametros!$C$2))/12)))))</f>
        <v/>
      </c>
      <c r="D1982" s="394"/>
      <c r="E1982" s="78" t="str">
        <f>IF(C1982="","",IFERROR(VLOOKUP(C1982,parametros!$A$11:$E$15,5,0),""))</f>
        <v/>
      </c>
      <c r="F1982" s="79" t="str">
        <f t="shared" si="152"/>
        <v/>
      </c>
      <c r="G1982" s="395"/>
      <c r="H1982" s="91">
        <f t="shared" si="153"/>
        <v>0</v>
      </c>
      <c r="I1982" s="91" t="str">
        <f t="shared" si="154"/>
        <v/>
      </c>
      <c r="J1982" s="91" t="str">
        <f t="shared" si="155"/>
        <v/>
      </c>
      <c r="K1982" s="92" t="str">
        <f>IF(AND(A1982="",B1982="",D1982="",G1982=""),"",IF(AND(A1982&lt;&gt;"",COUNTIF($A$2:$A$5001,A1982)&gt;1),"NUMERO_PC duplicado",IF(B1982="","DATA_PC vazia",IF(NOT(ISNUMBER(B1982)),"DATA_PC invalida",IF(OR(C1982="",C1982="Fora dos ciclos"),"CICLO_PC nao identificado",IF(OR(D1982="",D1982=0),"VALOR_PC vazio ou zero",IF(AND(G1982&lt;&gt;"Sim",G1982&lt;&gt;"Nao",G1982&lt;&gt;""),"PC_PAGO_A_CONTRATADA invalido",IF(AND(C1982&lt;&gt;"C0",IFERROR(INDEX(parametros!$A$2:$A$6,MATCH(C1982,parametros!$B$2:$B$6,0)),"")="Sim",IFERROR(INDEX(parametros!$H$2:$H$6,MATCH(C1982,parametros!$B$2:$B$6,0)),"")=""),"INICIO_EFEITO ausente: PC "&amp;A1982&amp;" - "&amp;C1982,IF(L1982="","EFEITO_PC nao calculado: PC "&amp;A1982&amp;" - "&amp;C1982,"OK")))))))))</f>
        <v/>
      </c>
      <c r="L1982" s="92" t="str">
        <f>IF(AND(A1982="",B1982="",D1982="",G1982=""),"",IF(OR(B1982="",NOT(ISNUMBER(B1982)),C1982="",C1982="Fora dos ciclos"),"",IF(C1982="C0","Nao",IF(IFERROR(INDEX(parametros!$A$2:$A$6,MATCH(C1982,parametros!$B$2:$B$6,0)),"")&lt;&gt;"Sim","Nao",IF(IFERROR(INDEX(parametros!$H$2:$H$6,MATCH(C1982,parametros!$B$2:$B$6,0)),"")="","",IF(B1982&gt;=IFERROR(INDEX(parametros!$H$2:$H$6,MATCH(C1982,parametros!$B$2:$B$6,0)),""),"Sim","Nao"))))))</f>
        <v/>
      </c>
      <c r="T1982" s="156"/>
      <c r="U1982" s="214" t="str">
        <f t="shared" si="156"/>
        <v/>
      </c>
      <c r="V1982" s="212" t="s">
        <v>50</v>
      </c>
      <c r="W1982" s="100" t="s">
        <v>168</v>
      </c>
      <c r="X1982" s="100" t="s">
        <v>169</v>
      </c>
      <c r="Y1982" s="101" t="s">
        <v>170</v>
      </c>
      <c r="Z1982" s="101" t="s">
        <v>171</v>
      </c>
      <c r="AA1982" s="101" t="s">
        <v>50</v>
      </c>
      <c r="AB1982" s="101" t="s">
        <v>172</v>
      </c>
      <c r="AC1982" s="102" t="s">
        <v>173</v>
      </c>
    </row>
    <row r="1983" spans="1:29" ht="25.5" customHeight="1" x14ac:dyDescent="0.35">
      <c r="A1983" s="392"/>
      <c r="B1983" s="393"/>
      <c r="C1983" s="99" t="str">
        <f>IF(B1983="","",IF(NOT(ISNUMBER(B1983)),"DATA_PC invalida",IF(NOT(ISNUMBER(parametros!$C$2)),"Fora dos ciclos",IF(OR(B1983&lt;parametros!$C$2,(YEAR(B1983)-YEAR(parametros!$C$2))*12+MONTH(B1983)-MONTH(parametros!$C$2)&gt;59),"Fora dos ciclos","C"&amp;INT(((YEAR(B1983)-YEAR(parametros!$C$2))*12+MONTH(B1983)-MONTH(parametros!$C$2))/12)))))</f>
        <v/>
      </c>
      <c r="D1983" s="394"/>
      <c r="E1983" s="78" t="str">
        <f>IF(C1983="","",IFERROR(VLOOKUP(C1983,parametros!$A$11:$E$15,5,0),""))</f>
        <v/>
      </c>
      <c r="F1983" s="79" t="str">
        <f t="shared" si="152"/>
        <v/>
      </c>
      <c r="G1983" s="395"/>
      <c r="H1983" s="91">
        <f t="shared" si="153"/>
        <v>0</v>
      </c>
      <c r="I1983" s="91" t="str">
        <f t="shared" si="154"/>
        <v/>
      </c>
      <c r="J1983" s="91" t="str">
        <f t="shared" si="155"/>
        <v/>
      </c>
      <c r="K1983" s="92" t="str">
        <f>IF(AND(A1983="",B1983="",D1983="",G1983=""),"",IF(AND(A1983&lt;&gt;"",COUNTIF($A$2:$A$5001,A1983)&gt;1),"NUMERO_PC duplicado",IF(B1983="","DATA_PC vazia",IF(NOT(ISNUMBER(B1983)),"DATA_PC invalida",IF(OR(C1983="",C1983="Fora dos ciclos"),"CICLO_PC nao identificado",IF(OR(D1983="",D1983=0),"VALOR_PC vazio ou zero",IF(AND(G1983&lt;&gt;"Sim",G1983&lt;&gt;"Nao",G1983&lt;&gt;""),"PC_PAGO_A_CONTRATADA invalido",IF(AND(C1983&lt;&gt;"C0",IFERROR(INDEX(parametros!$A$2:$A$6,MATCH(C1983,parametros!$B$2:$B$6,0)),"")="Sim",IFERROR(INDEX(parametros!$H$2:$H$6,MATCH(C1983,parametros!$B$2:$B$6,0)),"")=""),"INICIO_EFEITO ausente: PC "&amp;A1983&amp;" - "&amp;C1983,IF(L1983="","EFEITO_PC nao calculado: PC "&amp;A1983&amp;" - "&amp;C1983,"OK")))))))))</f>
        <v/>
      </c>
      <c r="L1983" s="92" t="str">
        <f>IF(AND(A1983="",B1983="",D1983="",G1983=""),"",IF(OR(B1983="",NOT(ISNUMBER(B1983)),C1983="",C1983="Fora dos ciclos"),"",IF(C1983="C0","Nao",IF(IFERROR(INDEX(parametros!$A$2:$A$6,MATCH(C1983,parametros!$B$2:$B$6,0)),"")&lt;&gt;"Sim","Nao",IF(IFERROR(INDEX(parametros!$H$2:$H$6,MATCH(C1983,parametros!$B$2:$B$6,0)),"")="","",IF(B1983&gt;=IFERROR(INDEX(parametros!$H$2:$H$6,MATCH(C1983,parametros!$B$2:$B$6,0)),""),"Sim","Nao"))))))</f>
        <v/>
      </c>
      <c r="T1983" s="156"/>
      <c r="U1983" s="214" t="str">
        <f t="shared" si="156"/>
        <v/>
      </c>
      <c r="V1983" s="212" t="s">
        <v>50</v>
      </c>
      <c r="W1983" s="100" t="s">
        <v>168</v>
      </c>
      <c r="X1983" s="100" t="s">
        <v>169</v>
      </c>
      <c r="Y1983" s="101" t="s">
        <v>170</v>
      </c>
      <c r="Z1983" s="101" t="s">
        <v>171</v>
      </c>
      <c r="AA1983" s="101" t="s">
        <v>50</v>
      </c>
      <c r="AB1983" s="101" t="s">
        <v>172</v>
      </c>
      <c r="AC1983" s="102" t="s">
        <v>173</v>
      </c>
    </row>
    <row r="1984" spans="1:29" ht="25.5" customHeight="1" x14ac:dyDescent="0.35">
      <c r="A1984" s="392"/>
      <c r="B1984" s="393"/>
      <c r="C1984" s="99" t="str">
        <f>IF(B1984="","",IF(NOT(ISNUMBER(B1984)),"DATA_PC invalida",IF(NOT(ISNUMBER(parametros!$C$2)),"Fora dos ciclos",IF(OR(B1984&lt;parametros!$C$2,(YEAR(B1984)-YEAR(parametros!$C$2))*12+MONTH(B1984)-MONTH(parametros!$C$2)&gt;59),"Fora dos ciclos","C"&amp;INT(((YEAR(B1984)-YEAR(parametros!$C$2))*12+MONTH(B1984)-MONTH(parametros!$C$2))/12)))))</f>
        <v/>
      </c>
      <c r="D1984" s="394"/>
      <c r="E1984" s="78" t="str">
        <f>IF(C1984="","",IFERROR(VLOOKUP(C1984,parametros!$A$11:$E$15,5,0),""))</f>
        <v/>
      </c>
      <c r="F1984" s="79" t="str">
        <f t="shared" si="152"/>
        <v/>
      </c>
      <c r="G1984" s="395"/>
      <c r="H1984" s="91">
        <f t="shared" si="153"/>
        <v>0</v>
      </c>
      <c r="I1984" s="91" t="str">
        <f t="shared" si="154"/>
        <v/>
      </c>
      <c r="J1984" s="91" t="str">
        <f t="shared" si="155"/>
        <v/>
      </c>
      <c r="K1984" s="92" t="str">
        <f>IF(AND(A1984="",B1984="",D1984="",G1984=""),"",IF(AND(A1984&lt;&gt;"",COUNTIF($A$2:$A$5001,A1984)&gt;1),"NUMERO_PC duplicado",IF(B1984="","DATA_PC vazia",IF(NOT(ISNUMBER(B1984)),"DATA_PC invalida",IF(OR(C1984="",C1984="Fora dos ciclos"),"CICLO_PC nao identificado",IF(OR(D1984="",D1984=0),"VALOR_PC vazio ou zero",IF(AND(G1984&lt;&gt;"Sim",G1984&lt;&gt;"Nao",G1984&lt;&gt;""),"PC_PAGO_A_CONTRATADA invalido",IF(AND(C1984&lt;&gt;"C0",IFERROR(INDEX(parametros!$A$2:$A$6,MATCH(C1984,parametros!$B$2:$B$6,0)),"")="Sim",IFERROR(INDEX(parametros!$H$2:$H$6,MATCH(C1984,parametros!$B$2:$B$6,0)),"")=""),"INICIO_EFEITO ausente: PC "&amp;A1984&amp;" - "&amp;C1984,IF(L1984="","EFEITO_PC nao calculado: PC "&amp;A1984&amp;" - "&amp;C1984,"OK")))))))))</f>
        <v/>
      </c>
      <c r="L1984" s="92" t="str">
        <f>IF(AND(A1984="",B1984="",D1984="",G1984=""),"",IF(OR(B1984="",NOT(ISNUMBER(B1984)),C1984="",C1984="Fora dos ciclos"),"",IF(C1984="C0","Nao",IF(IFERROR(INDEX(parametros!$A$2:$A$6,MATCH(C1984,parametros!$B$2:$B$6,0)),"")&lt;&gt;"Sim","Nao",IF(IFERROR(INDEX(parametros!$H$2:$H$6,MATCH(C1984,parametros!$B$2:$B$6,0)),"")="","",IF(B1984&gt;=IFERROR(INDEX(parametros!$H$2:$H$6,MATCH(C1984,parametros!$B$2:$B$6,0)),""),"Sim","Nao"))))))</f>
        <v/>
      </c>
      <c r="T1984" s="156"/>
      <c r="U1984" s="214" t="str">
        <f t="shared" si="156"/>
        <v/>
      </c>
      <c r="V1984" s="212" t="s">
        <v>50</v>
      </c>
      <c r="W1984" s="100" t="s">
        <v>168</v>
      </c>
      <c r="X1984" s="100" t="s">
        <v>169</v>
      </c>
      <c r="Y1984" s="101" t="s">
        <v>170</v>
      </c>
      <c r="Z1984" s="101" t="s">
        <v>171</v>
      </c>
      <c r="AA1984" s="101" t="s">
        <v>50</v>
      </c>
      <c r="AB1984" s="101" t="s">
        <v>172</v>
      </c>
      <c r="AC1984" s="102" t="s">
        <v>173</v>
      </c>
    </row>
    <row r="1985" spans="1:29" ht="25.5" customHeight="1" x14ac:dyDescent="0.35">
      <c r="A1985" s="392"/>
      <c r="B1985" s="393"/>
      <c r="C1985" s="99" t="str">
        <f>IF(B1985="","",IF(NOT(ISNUMBER(B1985)),"DATA_PC invalida",IF(NOT(ISNUMBER(parametros!$C$2)),"Fora dos ciclos",IF(OR(B1985&lt;parametros!$C$2,(YEAR(B1985)-YEAR(parametros!$C$2))*12+MONTH(B1985)-MONTH(parametros!$C$2)&gt;59),"Fora dos ciclos","C"&amp;INT(((YEAR(B1985)-YEAR(parametros!$C$2))*12+MONTH(B1985)-MONTH(parametros!$C$2))/12)))))</f>
        <v/>
      </c>
      <c r="D1985" s="394"/>
      <c r="E1985" s="78" t="str">
        <f>IF(C1985="","",IFERROR(VLOOKUP(C1985,parametros!$A$11:$E$15,5,0),""))</f>
        <v/>
      </c>
      <c r="F1985" s="79" t="str">
        <f t="shared" si="152"/>
        <v/>
      </c>
      <c r="G1985" s="395"/>
      <c r="H1985" s="91">
        <f t="shared" si="153"/>
        <v>0</v>
      </c>
      <c r="I1985" s="91" t="str">
        <f t="shared" si="154"/>
        <v/>
      </c>
      <c r="J1985" s="91" t="str">
        <f t="shared" si="155"/>
        <v/>
      </c>
      <c r="K1985" s="92" t="str">
        <f>IF(AND(A1985="",B1985="",D1985="",G1985=""),"",IF(AND(A1985&lt;&gt;"",COUNTIF($A$2:$A$5001,A1985)&gt;1),"NUMERO_PC duplicado",IF(B1985="","DATA_PC vazia",IF(NOT(ISNUMBER(B1985)),"DATA_PC invalida",IF(OR(C1985="",C1985="Fora dos ciclos"),"CICLO_PC nao identificado",IF(OR(D1985="",D1985=0),"VALOR_PC vazio ou zero",IF(AND(G1985&lt;&gt;"Sim",G1985&lt;&gt;"Nao",G1985&lt;&gt;""),"PC_PAGO_A_CONTRATADA invalido",IF(AND(C1985&lt;&gt;"C0",IFERROR(INDEX(parametros!$A$2:$A$6,MATCH(C1985,parametros!$B$2:$B$6,0)),"")="Sim",IFERROR(INDEX(parametros!$H$2:$H$6,MATCH(C1985,parametros!$B$2:$B$6,0)),"")=""),"INICIO_EFEITO ausente: PC "&amp;A1985&amp;" - "&amp;C1985,IF(L1985="","EFEITO_PC nao calculado: PC "&amp;A1985&amp;" - "&amp;C1985,"OK")))))))))</f>
        <v/>
      </c>
      <c r="L1985" s="92" t="str">
        <f>IF(AND(A1985="",B1985="",D1985="",G1985=""),"",IF(OR(B1985="",NOT(ISNUMBER(B1985)),C1985="",C1985="Fora dos ciclos"),"",IF(C1985="C0","Nao",IF(IFERROR(INDEX(parametros!$A$2:$A$6,MATCH(C1985,parametros!$B$2:$B$6,0)),"")&lt;&gt;"Sim","Nao",IF(IFERROR(INDEX(parametros!$H$2:$H$6,MATCH(C1985,parametros!$B$2:$B$6,0)),"")="","",IF(B1985&gt;=IFERROR(INDEX(parametros!$H$2:$H$6,MATCH(C1985,parametros!$B$2:$B$6,0)),""),"Sim","Nao"))))))</f>
        <v/>
      </c>
      <c r="T1985" s="156"/>
      <c r="U1985" s="214" t="str">
        <f t="shared" si="156"/>
        <v/>
      </c>
      <c r="V1985" s="212" t="s">
        <v>50</v>
      </c>
      <c r="W1985" s="100" t="s">
        <v>168</v>
      </c>
      <c r="X1985" s="100" t="s">
        <v>169</v>
      </c>
      <c r="Y1985" s="101" t="s">
        <v>170</v>
      </c>
      <c r="Z1985" s="101" t="s">
        <v>171</v>
      </c>
      <c r="AA1985" s="101" t="s">
        <v>50</v>
      </c>
      <c r="AB1985" s="101" t="s">
        <v>172</v>
      </c>
      <c r="AC1985" s="102" t="s">
        <v>173</v>
      </c>
    </row>
    <row r="1986" spans="1:29" ht="25.5" customHeight="1" x14ac:dyDescent="0.35">
      <c r="A1986" s="392"/>
      <c r="B1986" s="393"/>
      <c r="C1986" s="99" t="str">
        <f>IF(B1986="","",IF(NOT(ISNUMBER(B1986)),"DATA_PC invalida",IF(NOT(ISNUMBER(parametros!$C$2)),"Fora dos ciclos",IF(OR(B1986&lt;parametros!$C$2,(YEAR(B1986)-YEAR(parametros!$C$2))*12+MONTH(B1986)-MONTH(parametros!$C$2)&gt;59),"Fora dos ciclos","C"&amp;INT(((YEAR(B1986)-YEAR(parametros!$C$2))*12+MONTH(B1986)-MONTH(parametros!$C$2))/12)))))</f>
        <v/>
      </c>
      <c r="D1986" s="394"/>
      <c r="E1986" s="78" t="str">
        <f>IF(C1986="","",IFERROR(VLOOKUP(C1986,parametros!$A$11:$E$15,5,0),""))</f>
        <v/>
      </c>
      <c r="F1986" s="79" t="str">
        <f t="shared" ref="F1986:F2049" si="157">IF(OR(D1986="",E1986=""),"",ROUND(D1986*E1986,2))</f>
        <v/>
      </c>
      <c r="G1986" s="395"/>
      <c r="H1986" s="91">
        <f t="shared" ref="H1986:H2049" si="158">IF(G1986="Sim",IF(OR(F1986="",D1986="",L1986=""),"",IF(L1986="Sim",ROUND(F1986-D1986,2),0)),0)</f>
        <v>0</v>
      </c>
      <c r="I1986" s="91" t="str">
        <f t="shared" ref="I1986:I2049" si="159">IF(G1986="Sim",0,IF(OR(F1986="",L1986=""),"",F1986))</f>
        <v/>
      </c>
      <c r="J1986" s="91" t="str">
        <f t="shared" ref="J1986:J2049" si="160">IF(G1986="Sim",0,IF(OR(F1986="",D1986="",L1986=""),"",IF(L1986="Sim",ROUND(F1986-D1986,2),0)))</f>
        <v/>
      </c>
      <c r="K1986" s="92" t="str">
        <f>IF(AND(A1986="",B1986="",D1986="",G1986=""),"",IF(AND(A1986&lt;&gt;"",COUNTIF($A$2:$A$5001,A1986)&gt;1),"NUMERO_PC duplicado",IF(B1986="","DATA_PC vazia",IF(NOT(ISNUMBER(B1986)),"DATA_PC invalida",IF(OR(C1986="",C1986="Fora dos ciclos"),"CICLO_PC nao identificado",IF(OR(D1986="",D1986=0),"VALOR_PC vazio ou zero",IF(AND(G1986&lt;&gt;"Sim",G1986&lt;&gt;"Nao",G1986&lt;&gt;""),"PC_PAGO_A_CONTRATADA invalido",IF(AND(C1986&lt;&gt;"C0",IFERROR(INDEX(parametros!$A$2:$A$6,MATCH(C1986,parametros!$B$2:$B$6,0)),"")="Sim",IFERROR(INDEX(parametros!$H$2:$H$6,MATCH(C1986,parametros!$B$2:$B$6,0)),"")=""),"INICIO_EFEITO ausente: PC "&amp;A1986&amp;" - "&amp;C1986,IF(L1986="","EFEITO_PC nao calculado: PC "&amp;A1986&amp;" - "&amp;C1986,"OK")))))))))</f>
        <v/>
      </c>
      <c r="L1986" s="92" t="str">
        <f>IF(AND(A1986="",B1986="",D1986="",G1986=""),"",IF(OR(B1986="",NOT(ISNUMBER(B1986)),C1986="",C1986="Fora dos ciclos"),"",IF(C1986="C0","Nao",IF(IFERROR(INDEX(parametros!$A$2:$A$6,MATCH(C1986,parametros!$B$2:$B$6,0)),"")&lt;&gt;"Sim","Nao",IF(IFERROR(INDEX(parametros!$H$2:$H$6,MATCH(C1986,parametros!$B$2:$B$6,0)),"")="","",IF(B1986&gt;=IFERROR(INDEX(parametros!$H$2:$H$6,MATCH(C1986,parametros!$B$2:$B$6,0)),""),"Sim","Nao"))))))</f>
        <v/>
      </c>
      <c r="T1986" s="156"/>
      <c r="U1986" s="214" t="str">
        <f t="shared" ref="U1986:U2049" si="161">IF(OR($D1986="",$H1986=""),"",ROUND($D1986+$H1986,2))</f>
        <v/>
      </c>
      <c r="V1986" s="212" t="s">
        <v>50</v>
      </c>
      <c r="W1986" s="100" t="s">
        <v>168</v>
      </c>
      <c r="X1986" s="100" t="s">
        <v>169</v>
      </c>
      <c r="Y1986" s="101" t="s">
        <v>170</v>
      </c>
      <c r="Z1986" s="101" t="s">
        <v>171</v>
      </c>
      <c r="AA1986" s="101" t="s">
        <v>50</v>
      </c>
      <c r="AB1986" s="101" t="s">
        <v>172</v>
      </c>
      <c r="AC1986" s="102" t="s">
        <v>173</v>
      </c>
    </row>
    <row r="1987" spans="1:29" ht="25.5" customHeight="1" x14ac:dyDescent="0.35">
      <c r="A1987" s="392"/>
      <c r="B1987" s="393"/>
      <c r="C1987" s="99" t="str">
        <f>IF(B1987="","",IF(NOT(ISNUMBER(B1987)),"DATA_PC invalida",IF(NOT(ISNUMBER(parametros!$C$2)),"Fora dos ciclos",IF(OR(B1987&lt;parametros!$C$2,(YEAR(B1987)-YEAR(parametros!$C$2))*12+MONTH(B1987)-MONTH(parametros!$C$2)&gt;59),"Fora dos ciclos","C"&amp;INT(((YEAR(B1987)-YEAR(parametros!$C$2))*12+MONTH(B1987)-MONTH(parametros!$C$2))/12)))))</f>
        <v/>
      </c>
      <c r="D1987" s="394"/>
      <c r="E1987" s="78" t="str">
        <f>IF(C1987="","",IFERROR(VLOOKUP(C1987,parametros!$A$11:$E$15,5,0),""))</f>
        <v/>
      </c>
      <c r="F1987" s="79" t="str">
        <f t="shared" si="157"/>
        <v/>
      </c>
      <c r="G1987" s="395"/>
      <c r="H1987" s="91">
        <f t="shared" si="158"/>
        <v>0</v>
      </c>
      <c r="I1987" s="91" t="str">
        <f t="shared" si="159"/>
        <v/>
      </c>
      <c r="J1987" s="91" t="str">
        <f t="shared" si="160"/>
        <v/>
      </c>
      <c r="K1987" s="92" t="str">
        <f>IF(AND(A1987="",B1987="",D1987="",G1987=""),"",IF(AND(A1987&lt;&gt;"",COUNTIF($A$2:$A$5001,A1987)&gt;1),"NUMERO_PC duplicado",IF(B1987="","DATA_PC vazia",IF(NOT(ISNUMBER(B1987)),"DATA_PC invalida",IF(OR(C1987="",C1987="Fora dos ciclos"),"CICLO_PC nao identificado",IF(OR(D1987="",D1987=0),"VALOR_PC vazio ou zero",IF(AND(G1987&lt;&gt;"Sim",G1987&lt;&gt;"Nao",G1987&lt;&gt;""),"PC_PAGO_A_CONTRATADA invalido",IF(AND(C1987&lt;&gt;"C0",IFERROR(INDEX(parametros!$A$2:$A$6,MATCH(C1987,parametros!$B$2:$B$6,0)),"")="Sim",IFERROR(INDEX(parametros!$H$2:$H$6,MATCH(C1987,parametros!$B$2:$B$6,0)),"")=""),"INICIO_EFEITO ausente: PC "&amp;A1987&amp;" - "&amp;C1987,IF(L1987="","EFEITO_PC nao calculado: PC "&amp;A1987&amp;" - "&amp;C1987,"OK")))))))))</f>
        <v/>
      </c>
      <c r="L1987" s="92" t="str">
        <f>IF(AND(A1987="",B1987="",D1987="",G1987=""),"",IF(OR(B1987="",NOT(ISNUMBER(B1987)),C1987="",C1987="Fora dos ciclos"),"",IF(C1987="C0","Nao",IF(IFERROR(INDEX(parametros!$A$2:$A$6,MATCH(C1987,parametros!$B$2:$B$6,0)),"")&lt;&gt;"Sim","Nao",IF(IFERROR(INDEX(parametros!$H$2:$H$6,MATCH(C1987,parametros!$B$2:$B$6,0)),"")="","",IF(B1987&gt;=IFERROR(INDEX(parametros!$H$2:$H$6,MATCH(C1987,parametros!$B$2:$B$6,0)),""),"Sim","Nao"))))))</f>
        <v/>
      </c>
      <c r="T1987" s="156"/>
      <c r="U1987" s="214" t="str">
        <f t="shared" si="161"/>
        <v/>
      </c>
      <c r="V1987" s="212" t="s">
        <v>50</v>
      </c>
      <c r="W1987" s="100" t="s">
        <v>168</v>
      </c>
      <c r="X1987" s="100" t="s">
        <v>169</v>
      </c>
      <c r="Y1987" s="101" t="s">
        <v>170</v>
      </c>
      <c r="Z1987" s="101" t="s">
        <v>171</v>
      </c>
      <c r="AA1987" s="101" t="s">
        <v>50</v>
      </c>
      <c r="AB1987" s="101" t="s">
        <v>172</v>
      </c>
      <c r="AC1987" s="102" t="s">
        <v>173</v>
      </c>
    </row>
    <row r="1988" spans="1:29" ht="25.5" customHeight="1" x14ac:dyDescent="0.35">
      <c r="A1988" s="392"/>
      <c r="B1988" s="393"/>
      <c r="C1988" s="99" t="str">
        <f>IF(B1988="","",IF(NOT(ISNUMBER(B1988)),"DATA_PC invalida",IF(NOT(ISNUMBER(parametros!$C$2)),"Fora dos ciclos",IF(OR(B1988&lt;parametros!$C$2,(YEAR(B1988)-YEAR(parametros!$C$2))*12+MONTH(B1988)-MONTH(parametros!$C$2)&gt;59),"Fora dos ciclos","C"&amp;INT(((YEAR(B1988)-YEAR(parametros!$C$2))*12+MONTH(B1988)-MONTH(parametros!$C$2))/12)))))</f>
        <v/>
      </c>
      <c r="D1988" s="394"/>
      <c r="E1988" s="78" t="str">
        <f>IF(C1988="","",IFERROR(VLOOKUP(C1988,parametros!$A$11:$E$15,5,0),""))</f>
        <v/>
      </c>
      <c r="F1988" s="79" t="str">
        <f t="shared" si="157"/>
        <v/>
      </c>
      <c r="G1988" s="395"/>
      <c r="H1988" s="91">
        <f t="shared" si="158"/>
        <v>0</v>
      </c>
      <c r="I1988" s="91" t="str">
        <f t="shared" si="159"/>
        <v/>
      </c>
      <c r="J1988" s="91" t="str">
        <f t="shared" si="160"/>
        <v/>
      </c>
      <c r="K1988" s="92" t="str">
        <f>IF(AND(A1988="",B1988="",D1988="",G1988=""),"",IF(AND(A1988&lt;&gt;"",COUNTIF($A$2:$A$5001,A1988)&gt;1),"NUMERO_PC duplicado",IF(B1988="","DATA_PC vazia",IF(NOT(ISNUMBER(B1988)),"DATA_PC invalida",IF(OR(C1988="",C1988="Fora dos ciclos"),"CICLO_PC nao identificado",IF(OR(D1988="",D1988=0),"VALOR_PC vazio ou zero",IF(AND(G1988&lt;&gt;"Sim",G1988&lt;&gt;"Nao",G1988&lt;&gt;""),"PC_PAGO_A_CONTRATADA invalido",IF(AND(C1988&lt;&gt;"C0",IFERROR(INDEX(parametros!$A$2:$A$6,MATCH(C1988,parametros!$B$2:$B$6,0)),"")="Sim",IFERROR(INDEX(parametros!$H$2:$H$6,MATCH(C1988,parametros!$B$2:$B$6,0)),"")=""),"INICIO_EFEITO ausente: PC "&amp;A1988&amp;" - "&amp;C1988,IF(L1988="","EFEITO_PC nao calculado: PC "&amp;A1988&amp;" - "&amp;C1988,"OK")))))))))</f>
        <v/>
      </c>
      <c r="L1988" s="92" t="str">
        <f>IF(AND(A1988="",B1988="",D1988="",G1988=""),"",IF(OR(B1988="",NOT(ISNUMBER(B1988)),C1988="",C1988="Fora dos ciclos"),"",IF(C1988="C0","Nao",IF(IFERROR(INDEX(parametros!$A$2:$A$6,MATCH(C1988,parametros!$B$2:$B$6,0)),"")&lt;&gt;"Sim","Nao",IF(IFERROR(INDEX(parametros!$H$2:$H$6,MATCH(C1988,parametros!$B$2:$B$6,0)),"")="","",IF(B1988&gt;=IFERROR(INDEX(parametros!$H$2:$H$6,MATCH(C1988,parametros!$B$2:$B$6,0)),""),"Sim","Nao"))))))</f>
        <v/>
      </c>
      <c r="T1988" s="156"/>
      <c r="U1988" s="214" t="str">
        <f t="shared" si="161"/>
        <v/>
      </c>
      <c r="V1988" s="212" t="s">
        <v>50</v>
      </c>
      <c r="W1988" s="100" t="s">
        <v>168</v>
      </c>
      <c r="X1988" s="100" t="s">
        <v>169</v>
      </c>
      <c r="Y1988" s="101" t="s">
        <v>170</v>
      </c>
      <c r="Z1988" s="101" t="s">
        <v>171</v>
      </c>
      <c r="AA1988" s="101" t="s">
        <v>50</v>
      </c>
      <c r="AB1988" s="101" t="s">
        <v>172</v>
      </c>
      <c r="AC1988" s="102" t="s">
        <v>173</v>
      </c>
    </row>
    <row r="1989" spans="1:29" ht="25.5" customHeight="1" x14ac:dyDescent="0.35">
      <c r="A1989" s="392"/>
      <c r="B1989" s="393"/>
      <c r="C1989" s="99" t="str">
        <f>IF(B1989="","",IF(NOT(ISNUMBER(B1989)),"DATA_PC invalida",IF(NOT(ISNUMBER(parametros!$C$2)),"Fora dos ciclos",IF(OR(B1989&lt;parametros!$C$2,(YEAR(B1989)-YEAR(parametros!$C$2))*12+MONTH(B1989)-MONTH(parametros!$C$2)&gt;59),"Fora dos ciclos","C"&amp;INT(((YEAR(B1989)-YEAR(parametros!$C$2))*12+MONTH(B1989)-MONTH(parametros!$C$2))/12)))))</f>
        <v/>
      </c>
      <c r="D1989" s="394"/>
      <c r="E1989" s="78" t="str">
        <f>IF(C1989="","",IFERROR(VLOOKUP(C1989,parametros!$A$11:$E$15,5,0),""))</f>
        <v/>
      </c>
      <c r="F1989" s="79" t="str">
        <f t="shared" si="157"/>
        <v/>
      </c>
      <c r="G1989" s="395"/>
      <c r="H1989" s="91">
        <f t="shared" si="158"/>
        <v>0</v>
      </c>
      <c r="I1989" s="91" t="str">
        <f t="shared" si="159"/>
        <v/>
      </c>
      <c r="J1989" s="91" t="str">
        <f t="shared" si="160"/>
        <v/>
      </c>
      <c r="K1989" s="92" t="str">
        <f>IF(AND(A1989="",B1989="",D1989="",G1989=""),"",IF(AND(A1989&lt;&gt;"",COUNTIF($A$2:$A$5001,A1989)&gt;1),"NUMERO_PC duplicado",IF(B1989="","DATA_PC vazia",IF(NOT(ISNUMBER(B1989)),"DATA_PC invalida",IF(OR(C1989="",C1989="Fora dos ciclos"),"CICLO_PC nao identificado",IF(OR(D1989="",D1989=0),"VALOR_PC vazio ou zero",IF(AND(G1989&lt;&gt;"Sim",G1989&lt;&gt;"Nao",G1989&lt;&gt;""),"PC_PAGO_A_CONTRATADA invalido",IF(AND(C1989&lt;&gt;"C0",IFERROR(INDEX(parametros!$A$2:$A$6,MATCH(C1989,parametros!$B$2:$B$6,0)),"")="Sim",IFERROR(INDEX(parametros!$H$2:$H$6,MATCH(C1989,parametros!$B$2:$B$6,0)),"")=""),"INICIO_EFEITO ausente: PC "&amp;A1989&amp;" - "&amp;C1989,IF(L1989="","EFEITO_PC nao calculado: PC "&amp;A1989&amp;" - "&amp;C1989,"OK")))))))))</f>
        <v/>
      </c>
      <c r="L1989" s="92" t="str">
        <f>IF(AND(A1989="",B1989="",D1989="",G1989=""),"",IF(OR(B1989="",NOT(ISNUMBER(B1989)),C1989="",C1989="Fora dos ciclos"),"",IF(C1989="C0","Nao",IF(IFERROR(INDEX(parametros!$A$2:$A$6,MATCH(C1989,parametros!$B$2:$B$6,0)),"")&lt;&gt;"Sim","Nao",IF(IFERROR(INDEX(parametros!$H$2:$H$6,MATCH(C1989,parametros!$B$2:$B$6,0)),"")="","",IF(B1989&gt;=IFERROR(INDEX(parametros!$H$2:$H$6,MATCH(C1989,parametros!$B$2:$B$6,0)),""),"Sim","Nao"))))))</f>
        <v/>
      </c>
      <c r="T1989" s="156"/>
      <c r="U1989" s="214" t="str">
        <f t="shared" si="161"/>
        <v/>
      </c>
      <c r="V1989" s="212" t="s">
        <v>50</v>
      </c>
      <c r="W1989" s="100" t="s">
        <v>168</v>
      </c>
      <c r="X1989" s="100" t="s">
        <v>169</v>
      </c>
      <c r="Y1989" s="101" t="s">
        <v>170</v>
      </c>
      <c r="Z1989" s="101" t="s">
        <v>171</v>
      </c>
      <c r="AA1989" s="101" t="s">
        <v>50</v>
      </c>
      <c r="AB1989" s="101" t="s">
        <v>172</v>
      </c>
      <c r="AC1989" s="102" t="s">
        <v>173</v>
      </c>
    </row>
    <row r="1990" spans="1:29" ht="25.5" customHeight="1" x14ac:dyDescent="0.35">
      <c r="A1990" s="392"/>
      <c r="B1990" s="393"/>
      <c r="C1990" s="99" t="str">
        <f>IF(B1990="","",IF(NOT(ISNUMBER(B1990)),"DATA_PC invalida",IF(NOT(ISNUMBER(parametros!$C$2)),"Fora dos ciclos",IF(OR(B1990&lt;parametros!$C$2,(YEAR(B1990)-YEAR(parametros!$C$2))*12+MONTH(B1990)-MONTH(parametros!$C$2)&gt;59),"Fora dos ciclos","C"&amp;INT(((YEAR(B1990)-YEAR(parametros!$C$2))*12+MONTH(B1990)-MONTH(parametros!$C$2))/12)))))</f>
        <v/>
      </c>
      <c r="D1990" s="394"/>
      <c r="E1990" s="78" t="str">
        <f>IF(C1990="","",IFERROR(VLOOKUP(C1990,parametros!$A$11:$E$15,5,0),""))</f>
        <v/>
      </c>
      <c r="F1990" s="79" t="str">
        <f t="shared" si="157"/>
        <v/>
      </c>
      <c r="G1990" s="395"/>
      <c r="H1990" s="91">
        <f t="shared" si="158"/>
        <v>0</v>
      </c>
      <c r="I1990" s="91" t="str">
        <f t="shared" si="159"/>
        <v/>
      </c>
      <c r="J1990" s="91" t="str">
        <f t="shared" si="160"/>
        <v/>
      </c>
      <c r="K1990" s="92" t="str">
        <f>IF(AND(A1990="",B1990="",D1990="",G1990=""),"",IF(AND(A1990&lt;&gt;"",COUNTIF($A$2:$A$5001,A1990)&gt;1),"NUMERO_PC duplicado",IF(B1990="","DATA_PC vazia",IF(NOT(ISNUMBER(B1990)),"DATA_PC invalida",IF(OR(C1990="",C1990="Fora dos ciclos"),"CICLO_PC nao identificado",IF(OR(D1990="",D1990=0),"VALOR_PC vazio ou zero",IF(AND(G1990&lt;&gt;"Sim",G1990&lt;&gt;"Nao",G1990&lt;&gt;""),"PC_PAGO_A_CONTRATADA invalido",IF(AND(C1990&lt;&gt;"C0",IFERROR(INDEX(parametros!$A$2:$A$6,MATCH(C1990,parametros!$B$2:$B$6,0)),"")="Sim",IFERROR(INDEX(parametros!$H$2:$H$6,MATCH(C1990,parametros!$B$2:$B$6,0)),"")=""),"INICIO_EFEITO ausente: PC "&amp;A1990&amp;" - "&amp;C1990,IF(L1990="","EFEITO_PC nao calculado: PC "&amp;A1990&amp;" - "&amp;C1990,"OK")))))))))</f>
        <v/>
      </c>
      <c r="L1990" s="92" t="str">
        <f>IF(AND(A1990="",B1990="",D1990="",G1990=""),"",IF(OR(B1990="",NOT(ISNUMBER(B1990)),C1990="",C1990="Fora dos ciclos"),"",IF(C1990="C0","Nao",IF(IFERROR(INDEX(parametros!$A$2:$A$6,MATCH(C1990,parametros!$B$2:$B$6,0)),"")&lt;&gt;"Sim","Nao",IF(IFERROR(INDEX(parametros!$H$2:$H$6,MATCH(C1990,parametros!$B$2:$B$6,0)),"")="","",IF(B1990&gt;=IFERROR(INDEX(parametros!$H$2:$H$6,MATCH(C1990,parametros!$B$2:$B$6,0)),""),"Sim","Nao"))))))</f>
        <v/>
      </c>
      <c r="T1990" s="156"/>
      <c r="U1990" s="214" t="str">
        <f t="shared" si="161"/>
        <v/>
      </c>
      <c r="V1990" s="212" t="s">
        <v>50</v>
      </c>
      <c r="W1990" s="100" t="s">
        <v>168</v>
      </c>
      <c r="X1990" s="100" t="s">
        <v>169</v>
      </c>
      <c r="Y1990" s="101" t="s">
        <v>170</v>
      </c>
      <c r="Z1990" s="101" t="s">
        <v>171</v>
      </c>
      <c r="AA1990" s="101" t="s">
        <v>50</v>
      </c>
      <c r="AB1990" s="101" t="s">
        <v>172</v>
      </c>
      <c r="AC1990" s="102" t="s">
        <v>173</v>
      </c>
    </row>
    <row r="1991" spans="1:29" ht="25.5" customHeight="1" x14ac:dyDescent="0.35">
      <c r="A1991" s="392"/>
      <c r="B1991" s="393"/>
      <c r="C1991" s="99" t="str">
        <f>IF(B1991="","",IF(NOT(ISNUMBER(B1991)),"DATA_PC invalida",IF(NOT(ISNUMBER(parametros!$C$2)),"Fora dos ciclos",IF(OR(B1991&lt;parametros!$C$2,(YEAR(B1991)-YEAR(parametros!$C$2))*12+MONTH(B1991)-MONTH(parametros!$C$2)&gt;59),"Fora dos ciclos","C"&amp;INT(((YEAR(B1991)-YEAR(parametros!$C$2))*12+MONTH(B1991)-MONTH(parametros!$C$2))/12)))))</f>
        <v/>
      </c>
      <c r="D1991" s="394"/>
      <c r="E1991" s="78" t="str">
        <f>IF(C1991="","",IFERROR(VLOOKUP(C1991,parametros!$A$11:$E$15,5,0),""))</f>
        <v/>
      </c>
      <c r="F1991" s="79" t="str">
        <f t="shared" si="157"/>
        <v/>
      </c>
      <c r="G1991" s="395"/>
      <c r="H1991" s="91">
        <f t="shared" si="158"/>
        <v>0</v>
      </c>
      <c r="I1991" s="91" t="str">
        <f t="shared" si="159"/>
        <v/>
      </c>
      <c r="J1991" s="91" t="str">
        <f t="shared" si="160"/>
        <v/>
      </c>
      <c r="K1991" s="92" t="str">
        <f>IF(AND(A1991="",B1991="",D1991="",G1991=""),"",IF(AND(A1991&lt;&gt;"",COUNTIF($A$2:$A$5001,A1991)&gt;1),"NUMERO_PC duplicado",IF(B1991="","DATA_PC vazia",IF(NOT(ISNUMBER(B1991)),"DATA_PC invalida",IF(OR(C1991="",C1991="Fora dos ciclos"),"CICLO_PC nao identificado",IF(OR(D1991="",D1991=0),"VALOR_PC vazio ou zero",IF(AND(G1991&lt;&gt;"Sim",G1991&lt;&gt;"Nao",G1991&lt;&gt;""),"PC_PAGO_A_CONTRATADA invalido",IF(AND(C1991&lt;&gt;"C0",IFERROR(INDEX(parametros!$A$2:$A$6,MATCH(C1991,parametros!$B$2:$B$6,0)),"")="Sim",IFERROR(INDEX(parametros!$H$2:$H$6,MATCH(C1991,parametros!$B$2:$B$6,0)),"")=""),"INICIO_EFEITO ausente: PC "&amp;A1991&amp;" - "&amp;C1991,IF(L1991="","EFEITO_PC nao calculado: PC "&amp;A1991&amp;" - "&amp;C1991,"OK")))))))))</f>
        <v/>
      </c>
      <c r="L1991" s="92" t="str">
        <f>IF(AND(A1991="",B1991="",D1991="",G1991=""),"",IF(OR(B1991="",NOT(ISNUMBER(B1991)),C1991="",C1991="Fora dos ciclos"),"",IF(C1991="C0","Nao",IF(IFERROR(INDEX(parametros!$A$2:$A$6,MATCH(C1991,parametros!$B$2:$B$6,0)),"")&lt;&gt;"Sim","Nao",IF(IFERROR(INDEX(parametros!$H$2:$H$6,MATCH(C1991,parametros!$B$2:$B$6,0)),"")="","",IF(B1991&gt;=IFERROR(INDEX(parametros!$H$2:$H$6,MATCH(C1991,parametros!$B$2:$B$6,0)),""),"Sim","Nao"))))))</f>
        <v/>
      </c>
      <c r="T1991" s="156"/>
      <c r="U1991" s="214" t="str">
        <f t="shared" si="161"/>
        <v/>
      </c>
      <c r="V1991" s="212" t="s">
        <v>50</v>
      </c>
      <c r="W1991" s="100" t="s">
        <v>168</v>
      </c>
      <c r="X1991" s="100" t="s">
        <v>169</v>
      </c>
      <c r="Y1991" s="101" t="s">
        <v>170</v>
      </c>
      <c r="Z1991" s="101" t="s">
        <v>171</v>
      </c>
      <c r="AA1991" s="101" t="s">
        <v>50</v>
      </c>
      <c r="AB1991" s="101" t="s">
        <v>172</v>
      </c>
      <c r="AC1991" s="102" t="s">
        <v>173</v>
      </c>
    </row>
    <row r="1992" spans="1:29" ht="25.5" customHeight="1" x14ac:dyDescent="0.35">
      <c r="A1992" s="392"/>
      <c r="B1992" s="393"/>
      <c r="C1992" s="99" t="str">
        <f>IF(B1992="","",IF(NOT(ISNUMBER(B1992)),"DATA_PC invalida",IF(NOT(ISNUMBER(parametros!$C$2)),"Fora dos ciclos",IF(OR(B1992&lt;parametros!$C$2,(YEAR(B1992)-YEAR(parametros!$C$2))*12+MONTH(B1992)-MONTH(parametros!$C$2)&gt;59),"Fora dos ciclos","C"&amp;INT(((YEAR(B1992)-YEAR(parametros!$C$2))*12+MONTH(B1992)-MONTH(parametros!$C$2))/12)))))</f>
        <v/>
      </c>
      <c r="D1992" s="394"/>
      <c r="E1992" s="78" t="str">
        <f>IF(C1992="","",IFERROR(VLOOKUP(C1992,parametros!$A$11:$E$15,5,0),""))</f>
        <v/>
      </c>
      <c r="F1992" s="79" t="str">
        <f t="shared" si="157"/>
        <v/>
      </c>
      <c r="G1992" s="395"/>
      <c r="H1992" s="91">
        <f t="shared" si="158"/>
        <v>0</v>
      </c>
      <c r="I1992" s="91" t="str">
        <f t="shared" si="159"/>
        <v/>
      </c>
      <c r="J1992" s="91" t="str">
        <f t="shared" si="160"/>
        <v/>
      </c>
      <c r="K1992" s="92" t="str">
        <f>IF(AND(A1992="",B1992="",D1992="",G1992=""),"",IF(AND(A1992&lt;&gt;"",COUNTIF($A$2:$A$5001,A1992)&gt;1),"NUMERO_PC duplicado",IF(B1992="","DATA_PC vazia",IF(NOT(ISNUMBER(B1992)),"DATA_PC invalida",IF(OR(C1992="",C1992="Fora dos ciclos"),"CICLO_PC nao identificado",IF(OR(D1992="",D1992=0),"VALOR_PC vazio ou zero",IF(AND(G1992&lt;&gt;"Sim",G1992&lt;&gt;"Nao",G1992&lt;&gt;""),"PC_PAGO_A_CONTRATADA invalido",IF(AND(C1992&lt;&gt;"C0",IFERROR(INDEX(parametros!$A$2:$A$6,MATCH(C1992,parametros!$B$2:$B$6,0)),"")="Sim",IFERROR(INDEX(parametros!$H$2:$H$6,MATCH(C1992,parametros!$B$2:$B$6,0)),"")=""),"INICIO_EFEITO ausente: PC "&amp;A1992&amp;" - "&amp;C1992,IF(L1992="","EFEITO_PC nao calculado: PC "&amp;A1992&amp;" - "&amp;C1992,"OK")))))))))</f>
        <v/>
      </c>
      <c r="L1992" s="92" t="str">
        <f>IF(AND(A1992="",B1992="",D1992="",G1992=""),"",IF(OR(B1992="",NOT(ISNUMBER(B1992)),C1992="",C1992="Fora dos ciclos"),"",IF(C1992="C0","Nao",IF(IFERROR(INDEX(parametros!$A$2:$A$6,MATCH(C1992,parametros!$B$2:$B$6,0)),"")&lt;&gt;"Sim","Nao",IF(IFERROR(INDEX(parametros!$H$2:$H$6,MATCH(C1992,parametros!$B$2:$B$6,0)),"")="","",IF(B1992&gt;=IFERROR(INDEX(parametros!$H$2:$H$6,MATCH(C1992,parametros!$B$2:$B$6,0)),""),"Sim","Nao"))))))</f>
        <v/>
      </c>
      <c r="T1992" s="156"/>
      <c r="U1992" s="214" t="str">
        <f t="shared" si="161"/>
        <v/>
      </c>
      <c r="V1992" s="212" t="s">
        <v>50</v>
      </c>
      <c r="W1992" s="100" t="s">
        <v>168</v>
      </c>
      <c r="X1992" s="100" t="s">
        <v>169</v>
      </c>
      <c r="Y1992" s="101" t="s">
        <v>170</v>
      </c>
      <c r="Z1992" s="101" t="s">
        <v>171</v>
      </c>
      <c r="AA1992" s="101" t="s">
        <v>50</v>
      </c>
      <c r="AB1992" s="101" t="s">
        <v>172</v>
      </c>
      <c r="AC1992" s="102" t="s">
        <v>173</v>
      </c>
    </row>
    <row r="1993" spans="1:29" ht="25.5" customHeight="1" x14ac:dyDescent="0.35">
      <c r="A1993" s="392"/>
      <c r="B1993" s="393"/>
      <c r="C1993" s="99" t="str">
        <f>IF(B1993="","",IF(NOT(ISNUMBER(B1993)),"DATA_PC invalida",IF(NOT(ISNUMBER(parametros!$C$2)),"Fora dos ciclos",IF(OR(B1993&lt;parametros!$C$2,(YEAR(B1993)-YEAR(parametros!$C$2))*12+MONTH(B1993)-MONTH(parametros!$C$2)&gt;59),"Fora dos ciclos","C"&amp;INT(((YEAR(B1993)-YEAR(parametros!$C$2))*12+MONTH(B1993)-MONTH(parametros!$C$2))/12)))))</f>
        <v/>
      </c>
      <c r="D1993" s="394"/>
      <c r="E1993" s="78" t="str">
        <f>IF(C1993="","",IFERROR(VLOOKUP(C1993,parametros!$A$11:$E$15,5,0),""))</f>
        <v/>
      </c>
      <c r="F1993" s="79" t="str">
        <f t="shared" si="157"/>
        <v/>
      </c>
      <c r="G1993" s="395"/>
      <c r="H1993" s="91">
        <f t="shared" si="158"/>
        <v>0</v>
      </c>
      <c r="I1993" s="91" t="str">
        <f t="shared" si="159"/>
        <v/>
      </c>
      <c r="J1993" s="91" t="str">
        <f t="shared" si="160"/>
        <v/>
      </c>
      <c r="K1993" s="92" t="str">
        <f>IF(AND(A1993="",B1993="",D1993="",G1993=""),"",IF(AND(A1993&lt;&gt;"",COUNTIF($A$2:$A$5001,A1993)&gt;1),"NUMERO_PC duplicado",IF(B1993="","DATA_PC vazia",IF(NOT(ISNUMBER(B1993)),"DATA_PC invalida",IF(OR(C1993="",C1993="Fora dos ciclos"),"CICLO_PC nao identificado",IF(OR(D1993="",D1993=0),"VALOR_PC vazio ou zero",IF(AND(G1993&lt;&gt;"Sim",G1993&lt;&gt;"Nao",G1993&lt;&gt;""),"PC_PAGO_A_CONTRATADA invalido",IF(AND(C1993&lt;&gt;"C0",IFERROR(INDEX(parametros!$A$2:$A$6,MATCH(C1993,parametros!$B$2:$B$6,0)),"")="Sim",IFERROR(INDEX(parametros!$H$2:$H$6,MATCH(C1993,parametros!$B$2:$B$6,0)),"")=""),"INICIO_EFEITO ausente: PC "&amp;A1993&amp;" - "&amp;C1993,IF(L1993="","EFEITO_PC nao calculado: PC "&amp;A1993&amp;" - "&amp;C1993,"OK")))))))))</f>
        <v/>
      </c>
      <c r="L1993" s="92" t="str">
        <f>IF(AND(A1993="",B1993="",D1993="",G1993=""),"",IF(OR(B1993="",NOT(ISNUMBER(B1993)),C1993="",C1993="Fora dos ciclos"),"",IF(C1993="C0","Nao",IF(IFERROR(INDEX(parametros!$A$2:$A$6,MATCH(C1993,parametros!$B$2:$B$6,0)),"")&lt;&gt;"Sim","Nao",IF(IFERROR(INDEX(parametros!$H$2:$H$6,MATCH(C1993,parametros!$B$2:$B$6,0)),"")="","",IF(B1993&gt;=IFERROR(INDEX(parametros!$H$2:$H$6,MATCH(C1993,parametros!$B$2:$B$6,0)),""),"Sim","Nao"))))))</f>
        <v/>
      </c>
      <c r="T1993" s="156"/>
      <c r="U1993" s="214" t="str">
        <f t="shared" si="161"/>
        <v/>
      </c>
      <c r="V1993" s="212" t="s">
        <v>50</v>
      </c>
      <c r="W1993" s="100" t="s">
        <v>168</v>
      </c>
      <c r="X1993" s="100" t="s">
        <v>169</v>
      </c>
      <c r="Y1993" s="101" t="s">
        <v>170</v>
      </c>
      <c r="Z1993" s="101" t="s">
        <v>171</v>
      </c>
      <c r="AA1993" s="101" t="s">
        <v>50</v>
      </c>
      <c r="AB1993" s="101" t="s">
        <v>172</v>
      </c>
      <c r="AC1993" s="102" t="s">
        <v>173</v>
      </c>
    </row>
    <row r="1994" spans="1:29" ht="25.5" customHeight="1" x14ac:dyDescent="0.35">
      <c r="A1994" s="392"/>
      <c r="B1994" s="393"/>
      <c r="C1994" s="99" t="str">
        <f>IF(B1994="","",IF(NOT(ISNUMBER(B1994)),"DATA_PC invalida",IF(NOT(ISNUMBER(parametros!$C$2)),"Fora dos ciclos",IF(OR(B1994&lt;parametros!$C$2,(YEAR(B1994)-YEAR(parametros!$C$2))*12+MONTH(B1994)-MONTH(parametros!$C$2)&gt;59),"Fora dos ciclos","C"&amp;INT(((YEAR(B1994)-YEAR(parametros!$C$2))*12+MONTH(B1994)-MONTH(parametros!$C$2))/12)))))</f>
        <v/>
      </c>
      <c r="D1994" s="394"/>
      <c r="E1994" s="78" t="str">
        <f>IF(C1994="","",IFERROR(VLOOKUP(C1994,parametros!$A$11:$E$15,5,0),""))</f>
        <v/>
      </c>
      <c r="F1994" s="79" t="str">
        <f t="shared" si="157"/>
        <v/>
      </c>
      <c r="G1994" s="395"/>
      <c r="H1994" s="91">
        <f t="shared" si="158"/>
        <v>0</v>
      </c>
      <c r="I1994" s="91" t="str">
        <f t="shared" si="159"/>
        <v/>
      </c>
      <c r="J1994" s="91" t="str">
        <f t="shared" si="160"/>
        <v/>
      </c>
      <c r="K1994" s="92" t="str">
        <f>IF(AND(A1994="",B1994="",D1994="",G1994=""),"",IF(AND(A1994&lt;&gt;"",COUNTIF($A$2:$A$5001,A1994)&gt;1),"NUMERO_PC duplicado",IF(B1994="","DATA_PC vazia",IF(NOT(ISNUMBER(B1994)),"DATA_PC invalida",IF(OR(C1994="",C1994="Fora dos ciclos"),"CICLO_PC nao identificado",IF(OR(D1994="",D1994=0),"VALOR_PC vazio ou zero",IF(AND(G1994&lt;&gt;"Sim",G1994&lt;&gt;"Nao",G1994&lt;&gt;""),"PC_PAGO_A_CONTRATADA invalido",IF(AND(C1994&lt;&gt;"C0",IFERROR(INDEX(parametros!$A$2:$A$6,MATCH(C1994,parametros!$B$2:$B$6,0)),"")="Sim",IFERROR(INDEX(parametros!$H$2:$H$6,MATCH(C1994,parametros!$B$2:$B$6,0)),"")=""),"INICIO_EFEITO ausente: PC "&amp;A1994&amp;" - "&amp;C1994,IF(L1994="","EFEITO_PC nao calculado: PC "&amp;A1994&amp;" - "&amp;C1994,"OK")))))))))</f>
        <v/>
      </c>
      <c r="L1994" s="92" t="str">
        <f>IF(AND(A1994="",B1994="",D1994="",G1994=""),"",IF(OR(B1994="",NOT(ISNUMBER(B1994)),C1994="",C1994="Fora dos ciclos"),"",IF(C1994="C0","Nao",IF(IFERROR(INDEX(parametros!$A$2:$A$6,MATCH(C1994,parametros!$B$2:$B$6,0)),"")&lt;&gt;"Sim","Nao",IF(IFERROR(INDEX(parametros!$H$2:$H$6,MATCH(C1994,parametros!$B$2:$B$6,0)),"")="","",IF(B1994&gt;=IFERROR(INDEX(parametros!$H$2:$H$6,MATCH(C1994,parametros!$B$2:$B$6,0)),""),"Sim","Nao"))))))</f>
        <v/>
      </c>
      <c r="T1994" s="156"/>
      <c r="U1994" s="214" t="str">
        <f t="shared" si="161"/>
        <v/>
      </c>
      <c r="V1994" s="212" t="s">
        <v>50</v>
      </c>
      <c r="W1994" s="100" t="s">
        <v>168</v>
      </c>
      <c r="X1994" s="100" t="s">
        <v>169</v>
      </c>
      <c r="Y1994" s="101" t="s">
        <v>170</v>
      </c>
      <c r="Z1994" s="101" t="s">
        <v>171</v>
      </c>
      <c r="AA1994" s="101" t="s">
        <v>50</v>
      </c>
      <c r="AB1994" s="101" t="s">
        <v>172</v>
      </c>
      <c r="AC1994" s="102" t="s">
        <v>173</v>
      </c>
    </row>
    <row r="1995" spans="1:29" ht="25.5" customHeight="1" x14ac:dyDescent="0.35">
      <c r="A1995" s="392"/>
      <c r="B1995" s="393"/>
      <c r="C1995" s="99" t="str">
        <f>IF(B1995="","",IF(NOT(ISNUMBER(B1995)),"DATA_PC invalida",IF(NOT(ISNUMBER(parametros!$C$2)),"Fora dos ciclos",IF(OR(B1995&lt;parametros!$C$2,(YEAR(B1995)-YEAR(parametros!$C$2))*12+MONTH(B1995)-MONTH(parametros!$C$2)&gt;59),"Fora dos ciclos","C"&amp;INT(((YEAR(B1995)-YEAR(parametros!$C$2))*12+MONTH(B1995)-MONTH(parametros!$C$2))/12)))))</f>
        <v/>
      </c>
      <c r="D1995" s="394"/>
      <c r="E1995" s="78" t="str">
        <f>IF(C1995="","",IFERROR(VLOOKUP(C1995,parametros!$A$11:$E$15,5,0),""))</f>
        <v/>
      </c>
      <c r="F1995" s="79" t="str">
        <f t="shared" si="157"/>
        <v/>
      </c>
      <c r="G1995" s="395"/>
      <c r="H1995" s="91">
        <f t="shared" si="158"/>
        <v>0</v>
      </c>
      <c r="I1995" s="91" t="str">
        <f t="shared" si="159"/>
        <v/>
      </c>
      <c r="J1995" s="91" t="str">
        <f t="shared" si="160"/>
        <v/>
      </c>
      <c r="K1995" s="92" t="str">
        <f>IF(AND(A1995="",B1995="",D1995="",G1995=""),"",IF(AND(A1995&lt;&gt;"",COUNTIF($A$2:$A$5001,A1995)&gt;1),"NUMERO_PC duplicado",IF(B1995="","DATA_PC vazia",IF(NOT(ISNUMBER(B1995)),"DATA_PC invalida",IF(OR(C1995="",C1995="Fora dos ciclos"),"CICLO_PC nao identificado",IF(OR(D1995="",D1995=0),"VALOR_PC vazio ou zero",IF(AND(G1995&lt;&gt;"Sim",G1995&lt;&gt;"Nao",G1995&lt;&gt;""),"PC_PAGO_A_CONTRATADA invalido",IF(AND(C1995&lt;&gt;"C0",IFERROR(INDEX(parametros!$A$2:$A$6,MATCH(C1995,parametros!$B$2:$B$6,0)),"")="Sim",IFERROR(INDEX(parametros!$H$2:$H$6,MATCH(C1995,parametros!$B$2:$B$6,0)),"")=""),"INICIO_EFEITO ausente: PC "&amp;A1995&amp;" - "&amp;C1995,IF(L1995="","EFEITO_PC nao calculado: PC "&amp;A1995&amp;" - "&amp;C1995,"OK")))))))))</f>
        <v/>
      </c>
      <c r="L1995" s="92" t="str">
        <f>IF(AND(A1995="",B1995="",D1995="",G1995=""),"",IF(OR(B1995="",NOT(ISNUMBER(B1995)),C1995="",C1995="Fora dos ciclos"),"",IF(C1995="C0","Nao",IF(IFERROR(INDEX(parametros!$A$2:$A$6,MATCH(C1995,parametros!$B$2:$B$6,0)),"")&lt;&gt;"Sim","Nao",IF(IFERROR(INDEX(parametros!$H$2:$H$6,MATCH(C1995,parametros!$B$2:$B$6,0)),"")="","",IF(B1995&gt;=IFERROR(INDEX(parametros!$H$2:$H$6,MATCH(C1995,parametros!$B$2:$B$6,0)),""),"Sim","Nao"))))))</f>
        <v/>
      </c>
      <c r="T1995" s="156"/>
      <c r="U1995" s="214" t="str">
        <f t="shared" si="161"/>
        <v/>
      </c>
      <c r="V1995" s="212" t="s">
        <v>50</v>
      </c>
      <c r="W1995" s="100" t="s">
        <v>168</v>
      </c>
      <c r="X1995" s="100" t="s">
        <v>169</v>
      </c>
      <c r="Y1995" s="101" t="s">
        <v>170</v>
      </c>
      <c r="Z1995" s="101" t="s">
        <v>171</v>
      </c>
      <c r="AA1995" s="101" t="s">
        <v>50</v>
      </c>
      <c r="AB1995" s="101" t="s">
        <v>172</v>
      </c>
      <c r="AC1995" s="102" t="s">
        <v>173</v>
      </c>
    </row>
    <row r="1996" spans="1:29" ht="25.5" customHeight="1" x14ac:dyDescent="0.35">
      <c r="A1996" s="392"/>
      <c r="B1996" s="393"/>
      <c r="C1996" s="99" t="str">
        <f>IF(B1996="","",IF(NOT(ISNUMBER(B1996)),"DATA_PC invalida",IF(NOT(ISNUMBER(parametros!$C$2)),"Fora dos ciclos",IF(OR(B1996&lt;parametros!$C$2,(YEAR(B1996)-YEAR(parametros!$C$2))*12+MONTH(B1996)-MONTH(parametros!$C$2)&gt;59),"Fora dos ciclos","C"&amp;INT(((YEAR(B1996)-YEAR(parametros!$C$2))*12+MONTH(B1996)-MONTH(parametros!$C$2))/12)))))</f>
        <v/>
      </c>
      <c r="D1996" s="394"/>
      <c r="E1996" s="78" t="str">
        <f>IF(C1996="","",IFERROR(VLOOKUP(C1996,parametros!$A$11:$E$15,5,0),""))</f>
        <v/>
      </c>
      <c r="F1996" s="79" t="str">
        <f t="shared" si="157"/>
        <v/>
      </c>
      <c r="G1996" s="395"/>
      <c r="H1996" s="91">
        <f t="shared" si="158"/>
        <v>0</v>
      </c>
      <c r="I1996" s="91" t="str">
        <f t="shared" si="159"/>
        <v/>
      </c>
      <c r="J1996" s="91" t="str">
        <f t="shared" si="160"/>
        <v/>
      </c>
      <c r="K1996" s="92" t="str">
        <f>IF(AND(A1996="",B1996="",D1996="",G1996=""),"",IF(AND(A1996&lt;&gt;"",COUNTIF($A$2:$A$5001,A1996)&gt;1),"NUMERO_PC duplicado",IF(B1996="","DATA_PC vazia",IF(NOT(ISNUMBER(B1996)),"DATA_PC invalida",IF(OR(C1996="",C1996="Fora dos ciclos"),"CICLO_PC nao identificado",IF(OR(D1996="",D1996=0),"VALOR_PC vazio ou zero",IF(AND(G1996&lt;&gt;"Sim",G1996&lt;&gt;"Nao",G1996&lt;&gt;""),"PC_PAGO_A_CONTRATADA invalido",IF(AND(C1996&lt;&gt;"C0",IFERROR(INDEX(parametros!$A$2:$A$6,MATCH(C1996,parametros!$B$2:$B$6,0)),"")="Sim",IFERROR(INDEX(parametros!$H$2:$H$6,MATCH(C1996,parametros!$B$2:$B$6,0)),"")=""),"INICIO_EFEITO ausente: PC "&amp;A1996&amp;" - "&amp;C1996,IF(L1996="","EFEITO_PC nao calculado: PC "&amp;A1996&amp;" - "&amp;C1996,"OK")))))))))</f>
        <v/>
      </c>
      <c r="L1996" s="92" t="str">
        <f>IF(AND(A1996="",B1996="",D1996="",G1996=""),"",IF(OR(B1996="",NOT(ISNUMBER(B1996)),C1996="",C1996="Fora dos ciclos"),"",IF(C1996="C0","Nao",IF(IFERROR(INDEX(parametros!$A$2:$A$6,MATCH(C1996,parametros!$B$2:$B$6,0)),"")&lt;&gt;"Sim","Nao",IF(IFERROR(INDEX(parametros!$H$2:$H$6,MATCH(C1996,parametros!$B$2:$B$6,0)),"")="","",IF(B1996&gt;=IFERROR(INDEX(parametros!$H$2:$H$6,MATCH(C1996,parametros!$B$2:$B$6,0)),""),"Sim","Nao"))))))</f>
        <v/>
      </c>
      <c r="T1996" s="156"/>
      <c r="U1996" s="214" t="str">
        <f t="shared" si="161"/>
        <v/>
      </c>
      <c r="V1996" s="212" t="s">
        <v>50</v>
      </c>
      <c r="W1996" s="100" t="s">
        <v>168</v>
      </c>
      <c r="X1996" s="100" t="s">
        <v>169</v>
      </c>
      <c r="Y1996" s="101" t="s">
        <v>170</v>
      </c>
      <c r="Z1996" s="101" t="s">
        <v>171</v>
      </c>
      <c r="AA1996" s="101" t="s">
        <v>50</v>
      </c>
      <c r="AB1996" s="101" t="s">
        <v>172</v>
      </c>
      <c r="AC1996" s="102" t="s">
        <v>173</v>
      </c>
    </row>
    <row r="1997" spans="1:29" ht="25.5" customHeight="1" x14ac:dyDescent="0.35">
      <c r="A1997" s="392"/>
      <c r="B1997" s="393"/>
      <c r="C1997" s="99" t="str">
        <f>IF(B1997="","",IF(NOT(ISNUMBER(B1997)),"DATA_PC invalida",IF(NOT(ISNUMBER(parametros!$C$2)),"Fora dos ciclos",IF(OR(B1997&lt;parametros!$C$2,(YEAR(B1997)-YEAR(parametros!$C$2))*12+MONTH(B1997)-MONTH(parametros!$C$2)&gt;59),"Fora dos ciclos","C"&amp;INT(((YEAR(B1997)-YEAR(parametros!$C$2))*12+MONTH(B1997)-MONTH(parametros!$C$2))/12)))))</f>
        <v/>
      </c>
      <c r="D1997" s="394"/>
      <c r="E1997" s="78" t="str">
        <f>IF(C1997="","",IFERROR(VLOOKUP(C1997,parametros!$A$11:$E$15,5,0),""))</f>
        <v/>
      </c>
      <c r="F1997" s="79" t="str">
        <f t="shared" si="157"/>
        <v/>
      </c>
      <c r="G1997" s="395"/>
      <c r="H1997" s="91">
        <f t="shared" si="158"/>
        <v>0</v>
      </c>
      <c r="I1997" s="91" t="str">
        <f t="shared" si="159"/>
        <v/>
      </c>
      <c r="J1997" s="91" t="str">
        <f t="shared" si="160"/>
        <v/>
      </c>
      <c r="K1997" s="92" t="str">
        <f>IF(AND(A1997="",B1997="",D1997="",G1997=""),"",IF(AND(A1997&lt;&gt;"",COUNTIF($A$2:$A$5001,A1997)&gt;1),"NUMERO_PC duplicado",IF(B1997="","DATA_PC vazia",IF(NOT(ISNUMBER(B1997)),"DATA_PC invalida",IF(OR(C1997="",C1997="Fora dos ciclos"),"CICLO_PC nao identificado",IF(OR(D1997="",D1997=0),"VALOR_PC vazio ou zero",IF(AND(G1997&lt;&gt;"Sim",G1997&lt;&gt;"Nao",G1997&lt;&gt;""),"PC_PAGO_A_CONTRATADA invalido",IF(AND(C1997&lt;&gt;"C0",IFERROR(INDEX(parametros!$A$2:$A$6,MATCH(C1997,parametros!$B$2:$B$6,0)),"")="Sim",IFERROR(INDEX(parametros!$H$2:$H$6,MATCH(C1997,parametros!$B$2:$B$6,0)),"")=""),"INICIO_EFEITO ausente: PC "&amp;A1997&amp;" - "&amp;C1997,IF(L1997="","EFEITO_PC nao calculado: PC "&amp;A1997&amp;" - "&amp;C1997,"OK")))))))))</f>
        <v/>
      </c>
      <c r="L1997" s="92" t="str">
        <f>IF(AND(A1997="",B1997="",D1997="",G1997=""),"",IF(OR(B1997="",NOT(ISNUMBER(B1997)),C1997="",C1997="Fora dos ciclos"),"",IF(C1997="C0","Nao",IF(IFERROR(INDEX(parametros!$A$2:$A$6,MATCH(C1997,parametros!$B$2:$B$6,0)),"")&lt;&gt;"Sim","Nao",IF(IFERROR(INDEX(parametros!$H$2:$H$6,MATCH(C1997,parametros!$B$2:$B$6,0)),"")="","",IF(B1997&gt;=IFERROR(INDEX(parametros!$H$2:$H$6,MATCH(C1997,parametros!$B$2:$B$6,0)),""),"Sim","Nao"))))))</f>
        <v/>
      </c>
      <c r="T1997" s="156"/>
      <c r="U1997" s="214" t="str">
        <f t="shared" si="161"/>
        <v/>
      </c>
      <c r="V1997" s="212" t="s">
        <v>50</v>
      </c>
      <c r="W1997" s="100" t="s">
        <v>168</v>
      </c>
      <c r="X1997" s="100" t="s">
        <v>169</v>
      </c>
      <c r="Y1997" s="101" t="s">
        <v>170</v>
      </c>
      <c r="Z1997" s="101" t="s">
        <v>171</v>
      </c>
      <c r="AA1997" s="101" t="s">
        <v>50</v>
      </c>
      <c r="AB1997" s="101" t="s">
        <v>172</v>
      </c>
      <c r="AC1997" s="102" t="s">
        <v>173</v>
      </c>
    </row>
    <row r="1998" spans="1:29" ht="25.5" customHeight="1" x14ac:dyDescent="0.35">
      <c r="A1998" s="392"/>
      <c r="B1998" s="393"/>
      <c r="C1998" s="99" t="str">
        <f>IF(B1998="","",IF(NOT(ISNUMBER(B1998)),"DATA_PC invalida",IF(NOT(ISNUMBER(parametros!$C$2)),"Fora dos ciclos",IF(OR(B1998&lt;parametros!$C$2,(YEAR(B1998)-YEAR(parametros!$C$2))*12+MONTH(B1998)-MONTH(parametros!$C$2)&gt;59),"Fora dos ciclos","C"&amp;INT(((YEAR(B1998)-YEAR(parametros!$C$2))*12+MONTH(B1998)-MONTH(parametros!$C$2))/12)))))</f>
        <v/>
      </c>
      <c r="D1998" s="394"/>
      <c r="E1998" s="78" t="str">
        <f>IF(C1998="","",IFERROR(VLOOKUP(C1998,parametros!$A$11:$E$15,5,0),""))</f>
        <v/>
      </c>
      <c r="F1998" s="79" t="str">
        <f t="shared" si="157"/>
        <v/>
      </c>
      <c r="G1998" s="395"/>
      <c r="H1998" s="91">
        <f t="shared" si="158"/>
        <v>0</v>
      </c>
      <c r="I1998" s="91" t="str">
        <f t="shared" si="159"/>
        <v/>
      </c>
      <c r="J1998" s="91" t="str">
        <f t="shared" si="160"/>
        <v/>
      </c>
      <c r="K1998" s="92" t="str">
        <f>IF(AND(A1998="",B1998="",D1998="",G1998=""),"",IF(AND(A1998&lt;&gt;"",COUNTIF($A$2:$A$5001,A1998)&gt;1),"NUMERO_PC duplicado",IF(B1998="","DATA_PC vazia",IF(NOT(ISNUMBER(B1998)),"DATA_PC invalida",IF(OR(C1998="",C1998="Fora dos ciclos"),"CICLO_PC nao identificado",IF(OR(D1998="",D1998=0),"VALOR_PC vazio ou zero",IF(AND(G1998&lt;&gt;"Sim",G1998&lt;&gt;"Nao",G1998&lt;&gt;""),"PC_PAGO_A_CONTRATADA invalido",IF(AND(C1998&lt;&gt;"C0",IFERROR(INDEX(parametros!$A$2:$A$6,MATCH(C1998,parametros!$B$2:$B$6,0)),"")="Sim",IFERROR(INDEX(parametros!$H$2:$H$6,MATCH(C1998,parametros!$B$2:$B$6,0)),"")=""),"INICIO_EFEITO ausente: PC "&amp;A1998&amp;" - "&amp;C1998,IF(L1998="","EFEITO_PC nao calculado: PC "&amp;A1998&amp;" - "&amp;C1998,"OK")))))))))</f>
        <v/>
      </c>
      <c r="L1998" s="92" t="str">
        <f>IF(AND(A1998="",B1998="",D1998="",G1998=""),"",IF(OR(B1998="",NOT(ISNUMBER(B1998)),C1998="",C1998="Fora dos ciclos"),"",IF(C1998="C0","Nao",IF(IFERROR(INDEX(parametros!$A$2:$A$6,MATCH(C1998,parametros!$B$2:$B$6,0)),"")&lt;&gt;"Sim","Nao",IF(IFERROR(INDEX(parametros!$H$2:$H$6,MATCH(C1998,parametros!$B$2:$B$6,0)),"")="","",IF(B1998&gt;=IFERROR(INDEX(parametros!$H$2:$H$6,MATCH(C1998,parametros!$B$2:$B$6,0)),""),"Sim","Nao"))))))</f>
        <v/>
      </c>
      <c r="T1998" s="156"/>
      <c r="U1998" s="214" t="str">
        <f t="shared" si="161"/>
        <v/>
      </c>
      <c r="V1998" s="212" t="s">
        <v>50</v>
      </c>
      <c r="W1998" s="100" t="s">
        <v>168</v>
      </c>
      <c r="X1998" s="100" t="s">
        <v>169</v>
      </c>
      <c r="Y1998" s="101" t="s">
        <v>170</v>
      </c>
      <c r="Z1998" s="101" t="s">
        <v>171</v>
      </c>
      <c r="AA1998" s="101" t="s">
        <v>50</v>
      </c>
      <c r="AB1998" s="101" t="s">
        <v>172</v>
      </c>
      <c r="AC1998" s="102" t="s">
        <v>173</v>
      </c>
    </row>
    <row r="1999" spans="1:29" ht="25.5" customHeight="1" x14ac:dyDescent="0.35">
      <c r="A1999" s="392"/>
      <c r="B1999" s="393"/>
      <c r="C1999" s="99" t="str">
        <f>IF(B1999="","",IF(NOT(ISNUMBER(B1999)),"DATA_PC invalida",IF(NOT(ISNUMBER(parametros!$C$2)),"Fora dos ciclos",IF(OR(B1999&lt;parametros!$C$2,(YEAR(B1999)-YEAR(parametros!$C$2))*12+MONTH(B1999)-MONTH(parametros!$C$2)&gt;59),"Fora dos ciclos","C"&amp;INT(((YEAR(B1999)-YEAR(parametros!$C$2))*12+MONTH(B1999)-MONTH(parametros!$C$2))/12)))))</f>
        <v/>
      </c>
      <c r="D1999" s="394"/>
      <c r="E1999" s="78" t="str">
        <f>IF(C1999="","",IFERROR(VLOOKUP(C1999,parametros!$A$11:$E$15,5,0),""))</f>
        <v/>
      </c>
      <c r="F1999" s="79" t="str">
        <f t="shared" si="157"/>
        <v/>
      </c>
      <c r="G1999" s="395"/>
      <c r="H1999" s="91">
        <f t="shared" si="158"/>
        <v>0</v>
      </c>
      <c r="I1999" s="91" t="str">
        <f t="shared" si="159"/>
        <v/>
      </c>
      <c r="J1999" s="91" t="str">
        <f t="shared" si="160"/>
        <v/>
      </c>
      <c r="K1999" s="92" t="str">
        <f>IF(AND(A1999="",B1999="",D1999="",G1999=""),"",IF(AND(A1999&lt;&gt;"",COUNTIF($A$2:$A$5001,A1999)&gt;1),"NUMERO_PC duplicado",IF(B1999="","DATA_PC vazia",IF(NOT(ISNUMBER(B1999)),"DATA_PC invalida",IF(OR(C1999="",C1999="Fora dos ciclos"),"CICLO_PC nao identificado",IF(OR(D1999="",D1999=0),"VALOR_PC vazio ou zero",IF(AND(G1999&lt;&gt;"Sim",G1999&lt;&gt;"Nao",G1999&lt;&gt;""),"PC_PAGO_A_CONTRATADA invalido",IF(AND(C1999&lt;&gt;"C0",IFERROR(INDEX(parametros!$A$2:$A$6,MATCH(C1999,parametros!$B$2:$B$6,0)),"")="Sim",IFERROR(INDEX(parametros!$H$2:$H$6,MATCH(C1999,parametros!$B$2:$B$6,0)),"")=""),"INICIO_EFEITO ausente: PC "&amp;A1999&amp;" - "&amp;C1999,IF(L1999="","EFEITO_PC nao calculado: PC "&amp;A1999&amp;" - "&amp;C1999,"OK")))))))))</f>
        <v/>
      </c>
      <c r="L1999" s="92" t="str">
        <f>IF(AND(A1999="",B1999="",D1999="",G1999=""),"",IF(OR(B1999="",NOT(ISNUMBER(B1999)),C1999="",C1999="Fora dos ciclos"),"",IF(C1999="C0","Nao",IF(IFERROR(INDEX(parametros!$A$2:$A$6,MATCH(C1999,parametros!$B$2:$B$6,0)),"")&lt;&gt;"Sim","Nao",IF(IFERROR(INDEX(parametros!$H$2:$H$6,MATCH(C1999,parametros!$B$2:$B$6,0)),"")="","",IF(B1999&gt;=IFERROR(INDEX(parametros!$H$2:$H$6,MATCH(C1999,parametros!$B$2:$B$6,0)),""),"Sim","Nao"))))))</f>
        <v/>
      </c>
      <c r="T1999" s="156"/>
      <c r="U1999" s="214" t="str">
        <f t="shared" si="161"/>
        <v/>
      </c>
      <c r="V1999" s="212" t="s">
        <v>50</v>
      </c>
      <c r="W1999" s="100" t="s">
        <v>168</v>
      </c>
      <c r="X1999" s="100" t="s">
        <v>169</v>
      </c>
      <c r="Y1999" s="101" t="s">
        <v>170</v>
      </c>
      <c r="Z1999" s="101" t="s">
        <v>171</v>
      </c>
      <c r="AA1999" s="101" t="s">
        <v>50</v>
      </c>
      <c r="AB1999" s="101" t="s">
        <v>172</v>
      </c>
      <c r="AC1999" s="102" t="s">
        <v>173</v>
      </c>
    </row>
    <row r="2000" spans="1:29" ht="25.5" customHeight="1" x14ac:dyDescent="0.35">
      <c r="A2000" s="392"/>
      <c r="B2000" s="393"/>
      <c r="C2000" s="99" t="str">
        <f>IF(B2000="","",IF(NOT(ISNUMBER(B2000)),"DATA_PC invalida",IF(NOT(ISNUMBER(parametros!$C$2)),"Fora dos ciclos",IF(OR(B2000&lt;parametros!$C$2,(YEAR(B2000)-YEAR(parametros!$C$2))*12+MONTH(B2000)-MONTH(parametros!$C$2)&gt;59),"Fora dos ciclos","C"&amp;INT(((YEAR(B2000)-YEAR(parametros!$C$2))*12+MONTH(B2000)-MONTH(parametros!$C$2))/12)))))</f>
        <v/>
      </c>
      <c r="D2000" s="394"/>
      <c r="E2000" s="78" t="str">
        <f>IF(C2000="","",IFERROR(VLOOKUP(C2000,parametros!$A$11:$E$15,5,0),""))</f>
        <v/>
      </c>
      <c r="F2000" s="79" t="str">
        <f t="shared" si="157"/>
        <v/>
      </c>
      <c r="G2000" s="395"/>
      <c r="H2000" s="91">
        <f t="shared" si="158"/>
        <v>0</v>
      </c>
      <c r="I2000" s="91" t="str">
        <f t="shared" si="159"/>
        <v/>
      </c>
      <c r="J2000" s="91" t="str">
        <f t="shared" si="160"/>
        <v/>
      </c>
      <c r="K2000" s="92" t="str">
        <f>IF(AND(A2000="",B2000="",D2000="",G2000=""),"",IF(AND(A2000&lt;&gt;"",COUNTIF($A$2:$A$5001,A2000)&gt;1),"NUMERO_PC duplicado",IF(B2000="","DATA_PC vazia",IF(NOT(ISNUMBER(B2000)),"DATA_PC invalida",IF(OR(C2000="",C2000="Fora dos ciclos"),"CICLO_PC nao identificado",IF(OR(D2000="",D2000=0),"VALOR_PC vazio ou zero",IF(AND(G2000&lt;&gt;"Sim",G2000&lt;&gt;"Nao",G2000&lt;&gt;""),"PC_PAGO_A_CONTRATADA invalido",IF(AND(C2000&lt;&gt;"C0",IFERROR(INDEX(parametros!$A$2:$A$6,MATCH(C2000,parametros!$B$2:$B$6,0)),"")="Sim",IFERROR(INDEX(parametros!$H$2:$H$6,MATCH(C2000,parametros!$B$2:$B$6,0)),"")=""),"INICIO_EFEITO ausente: PC "&amp;A2000&amp;" - "&amp;C2000,IF(L2000="","EFEITO_PC nao calculado: PC "&amp;A2000&amp;" - "&amp;C2000,"OK")))))))))</f>
        <v/>
      </c>
      <c r="L2000" s="92" t="str">
        <f>IF(AND(A2000="",B2000="",D2000="",G2000=""),"",IF(OR(B2000="",NOT(ISNUMBER(B2000)),C2000="",C2000="Fora dos ciclos"),"",IF(C2000="C0","Nao",IF(IFERROR(INDEX(parametros!$A$2:$A$6,MATCH(C2000,parametros!$B$2:$B$6,0)),"")&lt;&gt;"Sim","Nao",IF(IFERROR(INDEX(parametros!$H$2:$H$6,MATCH(C2000,parametros!$B$2:$B$6,0)),"")="","",IF(B2000&gt;=IFERROR(INDEX(parametros!$H$2:$H$6,MATCH(C2000,parametros!$B$2:$B$6,0)),""),"Sim","Nao"))))))</f>
        <v/>
      </c>
      <c r="T2000" s="156"/>
      <c r="U2000" s="214" t="str">
        <f t="shared" si="161"/>
        <v/>
      </c>
      <c r="V2000" s="212" t="s">
        <v>50</v>
      </c>
      <c r="W2000" s="100" t="s">
        <v>168</v>
      </c>
      <c r="X2000" s="100" t="s">
        <v>169</v>
      </c>
      <c r="Y2000" s="101" t="s">
        <v>170</v>
      </c>
      <c r="Z2000" s="101" t="s">
        <v>171</v>
      </c>
      <c r="AA2000" s="101" t="s">
        <v>50</v>
      </c>
      <c r="AB2000" s="101" t="s">
        <v>172</v>
      </c>
      <c r="AC2000" s="102" t="s">
        <v>173</v>
      </c>
    </row>
    <row r="2001" spans="1:29" ht="25.5" customHeight="1" x14ac:dyDescent="0.35">
      <c r="A2001" s="392"/>
      <c r="B2001" s="393"/>
      <c r="C2001" s="99" t="str">
        <f>IF(B2001="","",IF(NOT(ISNUMBER(B2001)),"DATA_PC invalida",IF(NOT(ISNUMBER(parametros!$C$2)),"Fora dos ciclos",IF(OR(B2001&lt;parametros!$C$2,(YEAR(B2001)-YEAR(parametros!$C$2))*12+MONTH(B2001)-MONTH(parametros!$C$2)&gt;59),"Fora dos ciclos","C"&amp;INT(((YEAR(B2001)-YEAR(parametros!$C$2))*12+MONTH(B2001)-MONTH(parametros!$C$2))/12)))))</f>
        <v/>
      </c>
      <c r="D2001" s="394"/>
      <c r="E2001" s="78" t="str">
        <f>IF(C2001="","",IFERROR(VLOOKUP(C2001,parametros!$A$11:$E$15,5,0),""))</f>
        <v/>
      </c>
      <c r="F2001" s="79" t="str">
        <f t="shared" si="157"/>
        <v/>
      </c>
      <c r="G2001" s="395"/>
      <c r="H2001" s="91">
        <f t="shared" si="158"/>
        <v>0</v>
      </c>
      <c r="I2001" s="91" t="str">
        <f t="shared" si="159"/>
        <v/>
      </c>
      <c r="J2001" s="91" t="str">
        <f t="shared" si="160"/>
        <v/>
      </c>
      <c r="K2001" s="92" t="str">
        <f>IF(AND(A2001="",B2001="",D2001="",G2001=""),"",IF(AND(A2001&lt;&gt;"",COUNTIF($A$2:$A$5001,A2001)&gt;1),"NUMERO_PC duplicado",IF(B2001="","DATA_PC vazia",IF(NOT(ISNUMBER(B2001)),"DATA_PC invalida",IF(OR(C2001="",C2001="Fora dos ciclos"),"CICLO_PC nao identificado",IF(OR(D2001="",D2001=0),"VALOR_PC vazio ou zero",IF(AND(G2001&lt;&gt;"Sim",G2001&lt;&gt;"Nao",G2001&lt;&gt;""),"PC_PAGO_A_CONTRATADA invalido",IF(AND(C2001&lt;&gt;"C0",IFERROR(INDEX(parametros!$A$2:$A$6,MATCH(C2001,parametros!$B$2:$B$6,0)),"")="Sim",IFERROR(INDEX(parametros!$H$2:$H$6,MATCH(C2001,parametros!$B$2:$B$6,0)),"")=""),"INICIO_EFEITO ausente: PC "&amp;A2001&amp;" - "&amp;C2001,IF(L2001="","EFEITO_PC nao calculado: PC "&amp;A2001&amp;" - "&amp;C2001,"OK")))))))))</f>
        <v/>
      </c>
      <c r="L2001" s="92" t="str">
        <f>IF(AND(A2001="",B2001="",D2001="",G2001=""),"",IF(OR(B2001="",NOT(ISNUMBER(B2001)),C2001="",C2001="Fora dos ciclos"),"",IF(C2001="C0","Nao",IF(IFERROR(INDEX(parametros!$A$2:$A$6,MATCH(C2001,parametros!$B$2:$B$6,0)),"")&lt;&gt;"Sim","Nao",IF(IFERROR(INDEX(parametros!$H$2:$H$6,MATCH(C2001,parametros!$B$2:$B$6,0)),"")="","",IF(B2001&gt;=IFERROR(INDEX(parametros!$H$2:$H$6,MATCH(C2001,parametros!$B$2:$B$6,0)),""),"Sim","Nao"))))))</f>
        <v/>
      </c>
      <c r="T2001" s="156"/>
      <c r="U2001" s="214" t="str">
        <f t="shared" si="161"/>
        <v/>
      </c>
      <c r="V2001" s="212" t="s">
        <v>50</v>
      </c>
      <c r="W2001" s="100" t="s">
        <v>168</v>
      </c>
      <c r="X2001" s="100" t="s">
        <v>169</v>
      </c>
      <c r="Y2001" s="101" t="s">
        <v>170</v>
      </c>
      <c r="Z2001" s="101" t="s">
        <v>171</v>
      </c>
      <c r="AA2001" s="101" t="s">
        <v>50</v>
      </c>
      <c r="AB2001" s="101" t="s">
        <v>172</v>
      </c>
      <c r="AC2001" s="102" t="s">
        <v>173</v>
      </c>
    </row>
    <row r="2002" spans="1:29" ht="25.5" customHeight="1" x14ac:dyDescent="0.35">
      <c r="A2002" s="392"/>
      <c r="B2002" s="393"/>
      <c r="C2002" s="99" t="str">
        <f>IF(B2002="","",IF(NOT(ISNUMBER(B2002)),"DATA_PC invalida",IF(NOT(ISNUMBER(parametros!$C$2)),"Fora dos ciclos",IF(OR(B2002&lt;parametros!$C$2,(YEAR(B2002)-YEAR(parametros!$C$2))*12+MONTH(B2002)-MONTH(parametros!$C$2)&gt;59),"Fora dos ciclos","C"&amp;INT(((YEAR(B2002)-YEAR(parametros!$C$2))*12+MONTH(B2002)-MONTH(parametros!$C$2))/12)))))</f>
        <v/>
      </c>
      <c r="D2002" s="394"/>
      <c r="E2002" s="78" t="str">
        <f>IF(C2002="","",IFERROR(VLOOKUP(C2002,parametros!$A$11:$E$15,5,0),""))</f>
        <v/>
      </c>
      <c r="F2002" s="79" t="str">
        <f t="shared" si="157"/>
        <v/>
      </c>
      <c r="G2002" s="395"/>
      <c r="H2002" s="91">
        <f t="shared" si="158"/>
        <v>0</v>
      </c>
      <c r="I2002" s="91" t="str">
        <f t="shared" si="159"/>
        <v/>
      </c>
      <c r="J2002" s="91" t="str">
        <f t="shared" si="160"/>
        <v/>
      </c>
      <c r="K2002" s="92" t="str">
        <f>IF(AND(A2002="",B2002="",D2002="",G2002=""),"",IF(AND(A2002&lt;&gt;"",COUNTIF($A$2:$A$5001,A2002)&gt;1),"NUMERO_PC duplicado",IF(B2002="","DATA_PC vazia",IF(NOT(ISNUMBER(B2002)),"DATA_PC invalida",IF(OR(C2002="",C2002="Fora dos ciclos"),"CICLO_PC nao identificado",IF(OR(D2002="",D2002=0),"VALOR_PC vazio ou zero",IF(AND(G2002&lt;&gt;"Sim",G2002&lt;&gt;"Nao",G2002&lt;&gt;""),"PC_PAGO_A_CONTRATADA invalido",IF(AND(C2002&lt;&gt;"C0",IFERROR(INDEX(parametros!$A$2:$A$6,MATCH(C2002,parametros!$B$2:$B$6,0)),"")="Sim",IFERROR(INDEX(parametros!$H$2:$H$6,MATCH(C2002,parametros!$B$2:$B$6,0)),"")=""),"INICIO_EFEITO ausente: PC "&amp;A2002&amp;" - "&amp;C2002,IF(L2002="","EFEITO_PC nao calculado: PC "&amp;A2002&amp;" - "&amp;C2002,"OK")))))))))</f>
        <v/>
      </c>
      <c r="L2002" s="92" t="str">
        <f>IF(AND(A2002="",B2002="",D2002="",G2002=""),"",IF(OR(B2002="",NOT(ISNUMBER(B2002)),C2002="",C2002="Fora dos ciclos"),"",IF(C2002="C0","Nao",IF(IFERROR(INDEX(parametros!$A$2:$A$6,MATCH(C2002,parametros!$B$2:$B$6,0)),"")&lt;&gt;"Sim","Nao",IF(IFERROR(INDEX(parametros!$H$2:$H$6,MATCH(C2002,parametros!$B$2:$B$6,0)),"")="","",IF(B2002&gt;=IFERROR(INDEX(parametros!$H$2:$H$6,MATCH(C2002,parametros!$B$2:$B$6,0)),""),"Sim","Nao"))))))</f>
        <v/>
      </c>
      <c r="T2002" s="156"/>
      <c r="U2002" s="214" t="str">
        <f t="shared" si="161"/>
        <v/>
      </c>
      <c r="V2002" s="212" t="s">
        <v>50</v>
      </c>
      <c r="W2002" s="100" t="s">
        <v>168</v>
      </c>
      <c r="X2002" s="100" t="s">
        <v>169</v>
      </c>
      <c r="Y2002" s="101" t="s">
        <v>170</v>
      </c>
      <c r="Z2002" s="101" t="s">
        <v>171</v>
      </c>
      <c r="AA2002" s="101" t="s">
        <v>50</v>
      </c>
      <c r="AB2002" s="101" t="s">
        <v>172</v>
      </c>
      <c r="AC2002" s="102" t="s">
        <v>173</v>
      </c>
    </row>
    <row r="2003" spans="1:29" ht="25.5" customHeight="1" x14ac:dyDescent="0.35">
      <c r="A2003" s="392"/>
      <c r="B2003" s="393"/>
      <c r="C2003" s="99" t="str">
        <f>IF(B2003="","",IF(NOT(ISNUMBER(B2003)),"DATA_PC invalida",IF(NOT(ISNUMBER(parametros!$C$2)),"Fora dos ciclos",IF(OR(B2003&lt;parametros!$C$2,(YEAR(B2003)-YEAR(parametros!$C$2))*12+MONTH(B2003)-MONTH(parametros!$C$2)&gt;59),"Fora dos ciclos","C"&amp;INT(((YEAR(B2003)-YEAR(parametros!$C$2))*12+MONTH(B2003)-MONTH(parametros!$C$2))/12)))))</f>
        <v/>
      </c>
      <c r="D2003" s="394"/>
      <c r="E2003" s="78" t="str">
        <f>IF(C2003="","",IFERROR(VLOOKUP(C2003,parametros!$A$11:$E$15,5,0),""))</f>
        <v/>
      </c>
      <c r="F2003" s="79" t="str">
        <f t="shared" si="157"/>
        <v/>
      </c>
      <c r="G2003" s="395"/>
      <c r="H2003" s="91">
        <f t="shared" si="158"/>
        <v>0</v>
      </c>
      <c r="I2003" s="91" t="str">
        <f t="shared" si="159"/>
        <v/>
      </c>
      <c r="J2003" s="91" t="str">
        <f t="shared" si="160"/>
        <v/>
      </c>
      <c r="K2003" s="92" t="str">
        <f>IF(AND(A2003="",B2003="",D2003="",G2003=""),"",IF(AND(A2003&lt;&gt;"",COUNTIF($A$2:$A$5001,A2003)&gt;1),"NUMERO_PC duplicado",IF(B2003="","DATA_PC vazia",IF(NOT(ISNUMBER(B2003)),"DATA_PC invalida",IF(OR(C2003="",C2003="Fora dos ciclos"),"CICLO_PC nao identificado",IF(OR(D2003="",D2003=0),"VALOR_PC vazio ou zero",IF(AND(G2003&lt;&gt;"Sim",G2003&lt;&gt;"Nao",G2003&lt;&gt;""),"PC_PAGO_A_CONTRATADA invalido",IF(AND(C2003&lt;&gt;"C0",IFERROR(INDEX(parametros!$A$2:$A$6,MATCH(C2003,parametros!$B$2:$B$6,0)),"")="Sim",IFERROR(INDEX(parametros!$H$2:$H$6,MATCH(C2003,parametros!$B$2:$B$6,0)),"")=""),"INICIO_EFEITO ausente: PC "&amp;A2003&amp;" - "&amp;C2003,IF(L2003="","EFEITO_PC nao calculado: PC "&amp;A2003&amp;" - "&amp;C2003,"OK")))))))))</f>
        <v/>
      </c>
      <c r="L2003" s="92" t="str">
        <f>IF(AND(A2003="",B2003="",D2003="",G2003=""),"",IF(OR(B2003="",NOT(ISNUMBER(B2003)),C2003="",C2003="Fora dos ciclos"),"",IF(C2003="C0","Nao",IF(IFERROR(INDEX(parametros!$A$2:$A$6,MATCH(C2003,parametros!$B$2:$B$6,0)),"")&lt;&gt;"Sim","Nao",IF(IFERROR(INDEX(parametros!$H$2:$H$6,MATCH(C2003,parametros!$B$2:$B$6,0)),"")="","",IF(B2003&gt;=IFERROR(INDEX(parametros!$H$2:$H$6,MATCH(C2003,parametros!$B$2:$B$6,0)),""),"Sim","Nao"))))))</f>
        <v/>
      </c>
      <c r="T2003" s="156"/>
      <c r="U2003" s="214" t="str">
        <f t="shared" si="161"/>
        <v/>
      </c>
      <c r="V2003" s="212" t="s">
        <v>50</v>
      </c>
      <c r="W2003" s="100" t="s">
        <v>168</v>
      </c>
      <c r="X2003" s="100" t="s">
        <v>169</v>
      </c>
      <c r="Y2003" s="101" t="s">
        <v>170</v>
      </c>
      <c r="Z2003" s="101" t="s">
        <v>171</v>
      </c>
      <c r="AA2003" s="101" t="s">
        <v>50</v>
      </c>
      <c r="AB2003" s="101" t="s">
        <v>172</v>
      </c>
      <c r="AC2003" s="102" t="s">
        <v>173</v>
      </c>
    </row>
    <row r="2004" spans="1:29" ht="25.5" customHeight="1" x14ac:dyDescent="0.35">
      <c r="A2004" s="392"/>
      <c r="B2004" s="393"/>
      <c r="C2004" s="99" t="str">
        <f>IF(B2004="","",IF(NOT(ISNUMBER(B2004)),"DATA_PC invalida",IF(NOT(ISNUMBER(parametros!$C$2)),"Fora dos ciclos",IF(OR(B2004&lt;parametros!$C$2,(YEAR(B2004)-YEAR(parametros!$C$2))*12+MONTH(B2004)-MONTH(parametros!$C$2)&gt;59),"Fora dos ciclos","C"&amp;INT(((YEAR(B2004)-YEAR(parametros!$C$2))*12+MONTH(B2004)-MONTH(parametros!$C$2))/12)))))</f>
        <v/>
      </c>
      <c r="D2004" s="394"/>
      <c r="E2004" s="78" t="str">
        <f>IF(C2004="","",IFERROR(VLOOKUP(C2004,parametros!$A$11:$E$15,5,0),""))</f>
        <v/>
      </c>
      <c r="F2004" s="79" t="str">
        <f t="shared" si="157"/>
        <v/>
      </c>
      <c r="G2004" s="395"/>
      <c r="H2004" s="91">
        <f t="shared" si="158"/>
        <v>0</v>
      </c>
      <c r="I2004" s="91" t="str">
        <f t="shared" si="159"/>
        <v/>
      </c>
      <c r="J2004" s="91" t="str">
        <f t="shared" si="160"/>
        <v/>
      </c>
      <c r="K2004" s="92" t="str">
        <f>IF(AND(A2004="",B2004="",D2004="",G2004=""),"",IF(AND(A2004&lt;&gt;"",COUNTIF($A$2:$A$5001,A2004)&gt;1),"NUMERO_PC duplicado",IF(B2004="","DATA_PC vazia",IF(NOT(ISNUMBER(B2004)),"DATA_PC invalida",IF(OR(C2004="",C2004="Fora dos ciclos"),"CICLO_PC nao identificado",IF(OR(D2004="",D2004=0),"VALOR_PC vazio ou zero",IF(AND(G2004&lt;&gt;"Sim",G2004&lt;&gt;"Nao",G2004&lt;&gt;""),"PC_PAGO_A_CONTRATADA invalido",IF(AND(C2004&lt;&gt;"C0",IFERROR(INDEX(parametros!$A$2:$A$6,MATCH(C2004,parametros!$B$2:$B$6,0)),"")="Sim",IFERROR(INDEX(parametros!$H$2:$H$6,MATCH(C2004,parametros!$B$2:$B$6,0)),"")=""),"INICIO_EFEITO ausente: PC "&amp;A2004&amp;" - "&amp;C2004,IF(L2004="","EFEITO_PC nao calculado: PC "&amp;A2004&amp;" - "&amp;C2004,"OK")))))))))</f>
        <v/>
      </c>
      <c r="L2004" s="92" t="str">
        <f>IF(AND(A2004="",B2004="",D2004="",G2004=""),"",IF(OR(B2004="",NOT(ISNUMBER(B2004)),C2004="",C2004="Fora dos ciclos"),"",IF(C2004="C0","Nao",IF(IFERROR(INDEX(parametros!$A$2:$A$6,MATCH(C2004,parametros!$B$2:$B$6,0)),"")&lt;&gt;"Sim","Nao",IF(IFERROR(INDEX(parametros!$H$2:$H$6,MATCH(C2004,parametros!$B$2:$B$6,0)),"")="","",IF(B2004&gt;=IFERROR(INDEX(parametros!$H$2:$H$6,MATCH(C2004,parametros!$B$2:$B$6,0)),""),"Sim","Nao"))))))</f>
        <v/>
      </c>
      <c r="T2004" s="156"/>
      <c r="U2004" s="214" t="str">
        <f t="shared" si="161"/>
        <v/>
      </c>
      <c r="V2004" s="212" t="s">
        <v>50</v>
      </c>
      <c r="W2004" s="100" t="s">
        <v>168</v>
      </c>
      <c r="X2004" s="100" t="s">
        <v>169</v>
      </c>
      <c r="Y2004" s="101" t="s">
        <v>170</v>
      </c>
      <c r="Z2004" s="101" t="s">
        <v>171</v>
      </c>
      <c r="AA2004" s="101" t="s">
        <v>50</v>
      </c>
      <c r="AB2004" s="101" t="s">
        <v>172</v>
      </c>
      <c r="AC2004" s="102" t="s">
        <v>173</v>
      </c>
    </row>
    <row r="2005" spans="1:29" ht="25.5" customHeight="1" x14ac:dyDescent="0.35">
      <c r="A2005" s="392"/>
      <c r="B2005" s="393"/>
      <c r="C2005" s="99" t="str">
        <f>IF(B2005="","",IF(NOT(ISNUMBER(B2005)),"DATA_PC invalida",IF(NOT(ISNUMBER(parametros!$C$2)),"Fora dos ciclos",IF(OR(B2005&lt;parametros!$C$2,(YEAR(B2005)-YEAR(parametros!$C$2))*12+MONTH(B2005)-MONTH(parametros!$C$2)&gt;59),"Fora dos ciclos","C"&amp;INT(((YEAR(B2005)-YEAR(parametros!$C$2))*12+MONTH(B2005)-MONTH(parametros!$C$2))/12)))))</f>
        <v/>
      </c>
      <c r="D2005" s="394"/>
      <c r="E2005" s="78" t="str">
        <f>IF(C2005="","",IFERROR(VLOOKUP(C2005,parametros!$A$11:$E$15,5,0),""))</f>
        <v/>
      </c>
      <c r="F2005" s="79" t="str">
        <f t="shared" si="157"/>
        <v/>
      </c>
      <c r="G2005" s="395"/>
      <c r="H2005" s="91">
        <f t="shared" si="158"/>
        <v>0</v>
      </c>
      <c r="I2005" s="91" t="str">
        <f t="shared" si="159"/>
        <v/>
      </c>
      <c r="J2005" s="91" t="str">
        <f t="shared" si="160"/>
        <v/>
      </c>
      <c r="K2005" s="92" t="str">
        <f>IF(AND(A2005="",B2005="",D2005="",G2005=""),"",IF(AND(A2005&lt;&gt;"",COUNTIF($A$2:$A$5001,A2005)&gt;1),"NUMERO_PC duplicado",IF(B2005="","DATA_PC vazia",IF(NOT(ISNUMBER(B2005)),"DATA_PC invalida",IF(OR(C2005="",C2005="Fora dos ciclos"),"CICLO_PC nao identificado",IF(OR(D2005="",D2005=0),"VALOR_PC vazio ou zero",IF(AND(G2005&lt;&gt;"Sim",G2005&lt;&gt;"Nao",G2005&lt;&gt;""),"PC_PAGO_A_CONTRATADA invalido",IF(AND(C2005&lt;&gt;"C0",IFERROR(INDEX(parametros!$A$2:$A$6,MATCH(C2005,parametros!$B$2:$B$6,0)),"")="Sim",IFERROR(INDEX(parametros!$H$2:$H$6,MATCH(C2005,parametros!$B$2:$B$6,0)),"")=""),"INICIO_EFEITO ausente: PC "&amp;A2005&amp;" - "&amp;C2005,IF(L2005="","EFEITO_PC nao calculado: PC "&amp;A2005&amp;" - "&amp;C2005,"OK")))))))))</f>
        <v/>
      </c>
      <c r="L2005" s="92" t="str">
        <f>IF(AND(A2005="",B2005="",D2005="",G2005=""),"",IF(OR(B2005="",NOT(ISNUMBER(B2005)),C2005="",C2005="Fora dos ciclos"),"",IF(C2005="C0","Nao",IF(IFERROR(INDEX(parametros!$A$2:$A$6,MATCH(C2005,parametros!$B$2:$B$6,0)),"")&lt;&gt;"Sim","Nao",IF(IFERROR(INDEX(parametros!$H$2:$H$6,MATCH(C2005,parametros!$B$2:$B$6,0)),"")="","",IF(B2005&gt;=IFERROR(INDEX(parametros!$H$2:$H$6,MATCH(C2005,parametros!$B$2:$B$6,0)),""),"Sim","Nao"))))))</f>
        <v/>
      </c>
      <c r="T2005" s="156"/>
      <c r="U2005" s="214" t="str">
        <f t="shared" si="161"/>
        <v/>
      </c>
      <c r="V2005" s="212" t="s">
        <v>50</v>
      </c>
      <c r="W2005" s="100" t="s">
        <v>168</v>
      </c>
      <c r="X2005" s="100" t="s">
        <v>169</v>
      </c>
      <c r="Y2005" s="101" t="s">
        <v>170</v>
      </c>
      <c r="Z2005" s="101" t="s">
        <v>171</v>
      </c>
      <c r="AA2005" s="101" t="s">
        <v>50</v>
      </c>
      <c r="AB2005" s="101" t="s">
        <v>172</v>
      </c>
      <c r="AC2005" s="102" t="s">
        <v>173</v>
      </c>
    </row>
    <row r="2006" spans="1:29" ht="25.5" customHeight="1" x14ac:dyDescent="0.35">
      <c r="A2006" s="392"/>
      <c r="B2006" s="393"/>
      <c r="C2006" s="99" t="str">
        <f>IF(B2006="","",IF(NOT(ISNUMBER(B2006)),"DATA_PC invalida",IF(NOT(ISNUMBER(parametros!$C$2)),"Fora dos ciclos",IF(OR(B2006&lt;parametros!$C$2,(YEAR(B2006)-YEAR(parametros!$C$2))*12+MONTH(B2006)-MONTH(parametros!$C$2)&gt;59),"Fora dos ciclos","C"&amp;INT(((YEAR(B2006)-YEAR(parametros!$C$2))*12+MONTH(B2006)-MONTH(parametros!$C$2))/12)))))</f>
        <v/>
      </c>
      <c r="D2006" s="394"/>
      <c r="E2006" s="78" t="str">
        <f>IF(C2006="","",IFERROR(VLOOKUP(C2006,parametros!$A$11:$E$15,5,0),""))</f>
        <v/>
      </c>
      <c r="F2006" s="79" t="str">
        <f t="shared" si="157"/>
        <v/>
      </c>
      <c r="G2006" s="395"/>
      <c r="H2006" s="91">
        <f t="shared" si="158"/>
        <v>0</v>
      </c>
      <c r="I2006" s="91" t="str">
        <f t="shared" si="159"/>
        <v/>
      </c>
      <c r="J2006" s="91" t="str">
        <f t="shared" si="160"/>
        <v/>
      </c>
      <c r="K2006" s="92" t="str">
        <f>IF(AND(A2006="",B2006="",D2006="",G2006=""),"",IF(AND(A2006&lt;&gt;"",COUNTIF($A$2:$A$5001,A2006)&gt;1),"NUMERO_PC duplicado",IF(B2006="","DATA_PC vazia",IF(NOT(ISNUMBER(B2006)),"DATA_PC invalida",IF(OR(C2006="",C2006="Fora dos ciclos"),"CICLO_PC nao identificado",IF(OR(D2006="",D2006=0),"VALOR_PC vazio ou zero",IF(AND(G2006&lt;&gt;"Sim",G2006&lt;&gt;"Nao",G2006&lt;&gt;""),"PC_PAGO_A_CONTRATADA invalido",IF(AND(C2006&lt;&gt;"C0",IFERROR(INDEX(parametros!$A$2:$A$6,MATCH(C2006,parametros!$B$2:$B$6,0)),"")="Sim",IFERROR(INDEX(parametros!$H$2:$H$6,MATCH(C2006,parametros!$B$2:$B$6,0)),"")=""),"INICIO_EFEITO ausente: PC "&amp;A2006&amp;" - "&amp;C2006,IF(L2006="","EFEITO_PC nao calculado: PC "&amp;A2006&amp;" - "&amp;C2006,"OK")))))))))</f>
        <v/>
      </c>
      <c r="L2006" s="92" t="str">
        <f>IF(AND(A2006="",B2006="",D2006="",G2006=""),"",IF(OR(B2006="",NOT(ISNUMBER(B2006)),C2006="",C2006="Fora dos ciclos"),"",IF(C2006="C0","Nao",IF(IFERROR(INDEX(parametros!$A$2:$A$6,MATCH(C2006,parametros!$B$2:$B$6,0)),"")&lt;&gt;"Sim","Nao",IF(IFERROR(INDEX(parametros!$H$2:$H$6,MATCH(C2006,parametros!$B$2:$B$6,0)),"")="","",IF(B2006&gt;=IFERROR(INDEX(parametros!$H$2:$H$6,MATCH(C2006,parametros!$B$2:$B$6,0)),""),"Sim","Nao"))))))</f>
        <v/>
      </c>
      <c r="T2006" s="156"/>
      <c r="U2006" s="214" t="str">
        <f t="shared" si="161"/>
        <v/>
      </c>
      <c r="V2006" s="212" t="s">
        <v>50</v>
      </c>
      <c r="W2006" s="100" t="s">
        <v>168</v>
      </c>
      <c r="X2006" s="100" t="s">
        <v>169</v>
      </c>
      <c r="Y2006" s="101" t="s">
        <v>170</v>
      </c>
      <c r="Z2006" s="101" t="s">
        <v>171</v>
      </c>
      <c r="AA2006" s="101" t="s">
        <v>50</v>
      </c>
      <c r="AB2006" s="101" t="s">
        <v>172</v>
      </c>
      <c r="AC2006" s="102" t="s">
        <v>173</v>
      </c>
    </row>
    <row r="2007" spans="1:29" ht="25.5" customHeight="1" x14ac:dyDescent="0.35">
      <c r="A2007" s="392"/>
      <c r="B2007" s="393"/>
      <c r="C2007" s="99" t="str">
        <f>IF(B2007="","",IF(NOT(ISNUMBER(B2007)),"DATA_PC invalida",IF(NOT(ISNUMBER(parametros!$C$2)),"Fora dos ciclos",IF(OR(B2007&lt;parametros!$C$2,(YEAR(B2007)-YEAR(parametros!$C$2))*12+MONTH(B2007)-MONTH(parametros!$C$2)&gt;59),"Fora dos ciclos","C"&amp;INT(((YEAR(B2007)-YEAR(parametros!$C$2))*12+MONTH(B2007)-MONTH(parametros!$C$2))/12)))))</f>
        <v/>
      </c>
      <c r="D2007" s="394"/>
      <c r="E2007" s="78" t="str">
        <f>IF(C2007="","",IFERROR(VLOOKUP(C2007,parametros!$A$11:$E$15,5,0),""))</f>
        <v/>
      </c>
      <c r="F2007" s="79" t="str">
        <f t="shared" si="157"/>
        <v/>
      </c>
      <c r="G2007" s="395"/>
      <c r="H2007" s="91">
        <f t="shared" si="158"/>
        <v>0</v>
      </c>
      <c r="I2007" s="91" t="str">
        <f t="shared" si="159"/>
        <v/>
      </c>
      <c r="J2007" s="91" t="str">
        <f t="shared" si="160"/>
        <v/>
      </c>
      <c r="K2007" s="92" t="str">
        <f>IF(AND(A2007="",B2007="",D2007="",G2007=""),"",IF(AND(A2007&lt;&gt;"",COUNTIF($A$2:$A$5001,A2007)&gt;1),"NUMERO_PC duplicado",IF(B2007="","DATA_PC vazia",IF(NOT(ISNUMBER(B2007)),"DATA_PC invalida",IF(OR(C2007="",C2007="Fora dos ciclos"),"CICLO_PC nao identificado",IF(OR(D2007="",D2007=0),"VALOR_PC vazio ou zero",IF(AND(G2007&lt;&gt;"Sim",G2007&lt;&gt;"Nao",G2007&lt;&gt;""),"PC_PAGO_A_CONTRATADA invalido",IF(AND(C2007&lt;&gt;"C0",IFERROR(INDEX(parametros!$A$2:$A$6,MATCH(C2007,parametros!$B$2:$B$6,0)),"")="Sim",IFERROR(INDEX(parametros!$H$2:$H$6,MATCH(C2007,parametros!$B$2:$B$6,0)),"")=""),"INICIO_EFEITO ausente: PC "&amp;A2007&amp;" - "&amp;C2007,IF(L2007="","EFEITO_PC nao calculado: PC "&amp;A2007&amp;" - "&amp;C2007,"OK")))))))))</f>
        <v/>
      </c>
      <c r="L2007" s="92" t="str">
        <f>IF(AND(A2007="",B2007="",D2007="",G2007=""),"",IF(OR(B2007="",NOT(ISNUMBER(B2007)),C2007="",C2007="Fora dos ciclos"),"",IF(C2007="C0","Nao",IF(IFERROR(INDEX(parametros!$A$2:$A$6,MATCH(C2007,parametros!$B$2:$B$6,0)),"")&lt;&gt;"Sim","Nao",IF(IFERROR(INDEX(parametros!$H$2:$H$6,MATCH(C2007,parametros!$B$2:$B$6,0)),"")="","",IF(B2007&gt;=IFERROR(INDEX(parametros!$H$2:$H$6,MATCH(C2007,parametros!$B$2:$B$6,0)),""),"Sim","Nao"))))))</f>
        <v/>
      </c>
      <c r="T2007" s="156"/>
      <c r="U2007" s="214" t="str">
        <f t="shared" si="161"/>
        <v/>
      </c>
      <c r="V2007" s="212" t="s">
        <v>50</v>
      </c>
      <c r="W2007" s="100" t="s">
        <v>168</v>
      </c>
      <c r="X2007" s="100" t="s">
        <v>169</v>
      </c>
      <c r="Y2007" s="101" t="s">
        <v>170</v>
      </c>
      <c r="Z2007" s="101" t="s">
        <v>171</v>
      </c>
      <c r="AA2007" s="101" t="s">
        <v>50</v>
      </c>
      <c r="AB2007" s="101" t="s">
        <v>172</v>
      </c>
      <c r="AC2007" s="102" t="s">
        <v>173</v>
      </c>
    </row>
    <row r="2008" spans="1:29" ht="25.5" customHeight="1" x14ac:dyDescent="0.35">
      <c r="A2008" s="392"/>
      <c r="B2008" s="393"/>
      <c r="C2008" s="99" t="str">
        <f>IF(B2008="","",IF(NOT(ISNUMBER(B2008)),"DATA_PC invalida",IF(NOT(ISNUMBER(parametros!$C$2)),"Fora dos ciclos",IF(OR(B2008&lt;parametros!$C$2,(YEAR(B2008)-YEAR(parametros!$C$2))*12+MONTH(B2008)-MONTH(parametros!$C$2)&gt;59),"Fora dos ciclos","C"&amp;INT(((YEAR(B2008)-YEAR(parametros!$C$2))*12+MONTH(B2008)-MONTH(parametros!$C$2))/12)))))</f>
        <v/>
      </c>
      <c r="D2008" s="394"/>
      <c r="E2008" s="78" t="str">
        <f>IF(C2008="","",IFERROR(VLOOKUP(C2008,parametros!$A$11:$E$15,5,0),""))</f>
        <v/>
      </c>
      <c r="F2008" s="79" t="str">
        <f t="shared" si="157"/>
        <v/>
      </c>
      <c r="G2008" s="395"/>
      <c r="H2008" s="91">
        <f t="shared" si="158"/>
        <v>0</v>
      </c>
      <c r="I2008" s="91" t="str">
        <f t="shared" si="159"/>
        <v/>
      </c>
      <c r="J2008" s="91" t="str">
        <f t="shared" si="160"/>
        <v/>
      </c>
      <c r="K2008" s="92" t="str">
        <f>IF(AND(A2008="",B2008="",D2008="",G2008=""),"",IF(AND(A2008&lt;&gt;"",COUNTIF($A$2:$A$5001,A2008)&gt;1),"NUMERO_PC duplicado",IF(B2008="","DATA_PC vazia",IF(NOT(ISNUMBER(B2008)),"DATA_PC invalida",IF(OR(C2008="",C2008="Fora dos ciclos"),"CICLO_PC nao identificado",IF(OR(D2008="",D2008=0),"VALOR_PC vazio ou zero",IF(AND(G2008&lt;&gt;"Sim",G2008&lt;&gt;"Nao",G2008&lt;&gt;""),"PC_PAGO_A_CONTRATADA invalido",IF(AND(C2008&lt;&gt;"C0",IFERROR(INDEX(parametros!$A$2:$A$6,MATCH(C2008,parametros!$B$2:$B$6,0)),"")="Sim",IFERROR(INDEX(parametros!$H$2:$H$6,MATCH(C2008,parametros!$B$2:$B$6,0)),"")=""),"INICIO_EFEITO ausente: PC "&amp;A2008&amp;" - "&amp;C2008,IF(L2008="","EFEITO_PC nao calculado: PC "&amp;A2008&amp;" - "&amp;C2008,"OK")))))))))</f>
        <v/>
      </c>
      <c r="L2008" s="92" t="str">
        <f>IF(AND(A2008="",B2008="",D2008="",G2008=""),"",IF(OR(B2008="",NOT(ISNUMBER(B2008)),C2008="",C2008="Fora dos ciclos"),"",IF(C2008="C0","Nao",IF(IFERROR(INDEX(parametros!$A$2:$A$6,MATCH(C2008,parametros!$B$2:$B$6,0)),"")&lt;&gt;"Sim","Nao",IF(IFERROR(INDEX(parametros!$H$2:$H$6,MATCH(C2008,parametros!$B$2:$B$6,0)),"")="","",IF(B2008&gt;=IFERROR(INDEX(parametros!$H$2:$H$6,MATCH(C2008,parametros!$B$2:$B$6,0)),""),"Sim","Nao"))))))</f>
        <v/>
      </c>
      <c r="T2008" s="156"/>
      <c r="U2008" s="214" t="str">
        <f t="shared" si="161"/>
        <v/>
      </c>
      <c r="V2008" s="212" t="s">
        <v>50</v>
      </c>
      <c r="W2008" s="100" t="s">
        <v>168</v>
      </c>
      <c r="X2008" s="100" t="s">
        <v>169</v>
      </c>
      <c r="Y2008" s="101" t="s">
        <v>170</v>
      </c>
      <c r="Z2008" s="101" t="s">
        <v>171</v>
      </c>
      <c r="AA2008" s="101" t="s">
        <v>50</v>
      </c>
      <c r="AB2008" s="101" t="s">
        <v>172</v>
      </c>
      <c r="AC2008" s="102" t="s">
        <v>173</v>
      </c>
    </row>
    <row r="2009" spans="1:29" ht="25.5" customHeight="1" x14ac:dyDescent="0.35">
      <c r="A2009" s="392"/>
      <c r="B2009" s="393"/>
      <c r="C2009" s="99" t="str">
        <f>IF(B2009="","",IF(NOT(ISNUMBER(B2009)),"DATA_PC invalida",IF(NOT(ISNUMBER(parametros!$C$2)),"Fora dos ciclos",IF(OR(B2009&lt;parametros!$C$2,(YEAR(B2009)-YEAR(parametros!$C$2))*12+MONTH(B2009)-MONTH(parametros!$C$2)&gt;59),"Fora dos ciclos","C"&amp;INT(((YEAR(B2009)-YEAR(parametros!$C$2))*12+MONTH(B2009)-MONTH(parametros!$C$2))/12)))))</f>
        <v/>
      </c>
      <c r="D2009" s="394"/>
      <c r="E2009" s="78" t="str">
        <f>IF(C2009="","",IFERROR(VLOOKUP(C2009,parametros!$A$11:$E$15,5,0),""))</f>
        <v/>
      </c>
      <c r="F2009" s="79" t="str">
        <f t="shared" si="157"/>
        <v/>
      </c>
      <c r="G2009" s="395"/>
      <c r="H2009" s="91">
        <f t="shared" si="158"/>
        <v>0</v>
      </c>
      <c r="I2009" s="91" t="str">
        <f t="shared" si="159"/>
        <v/>
      </c>
      <c r="J2009" s="91" t="str">
        <f t="shared" si="160"/>
        <v/>
      </c>
      <c r="K2009" s="92" t="str">
        <f>IF(AND(A2009="",B2009="",D2009="",G2009=""),"",IF(AND(A2009&lt;&gt;"",COUNTIF($A$2:$A$5001,A2009)&gt;1),"NUMERO_PC duplicado",IF(B2009="","DATA_PC vazia",IF(NOT(ISNUMBER(B2009)),"DATA_PC invalida",IF(OR(C2009="",C2009="Fora dos ciclos"),"CICLO_PC nao identificado",IF(OR(D2009="",D2009=0),"VALOR_PC vazio ou zero",IF(AND(G2009&lt;&gt;"Sim",G2009&lt;&gt;"Nao",G2009&lt;&gt;""),"PC_PAGO_A_CONTRATADA invalido",IF(AND(C2009&lt;&gt;"C0",IFERROR(INDEX(parametros!$A$2:$A$6,MATCH(C2009,parametros!$B$2:$B$6,0)),"")="Sim",IFERROR(INDEX(parametros!$H$2:$H$6,MATCH(C2009,parametros!$B$2:$B$6,0)),"")=""),"INICIO_EFEITO ausente: PC "&amp;A2009&amp;" - "&amp;C2009,IF(L2009="","EFEITO_PC nao calculado: PC "&amp;A2009&amp;" - "&amp;C2009,"OK")))))))))</f>
        <v/>
      </c>
      <c r="L2009" s="92" t="str">
        <f>IF(AND(A2009="",B2009="",D2009="",G2009=""),"",IF(OR(B2009="",NOT(ISNUMBER(B2009)),C2009="",C2009="Fora dos ciclos"),"",IF(C2009="C0","Nao",IF(IFERROR(INDEX(parametros!$A$2:$A$6,MATCH(C2009,parametros!$B$2:$B$6,0)),"")&lt;&gt;"Sim","Nao",IF(IFERROR(INDEX(parametros!$H$2:$H$6,MATCH(C2009,parametros!$B$2:$B$6,0)),"")="","",IF(B2009&gt;=IFERROR(INDEX(parametros!$H$2:$H$6,MATCH(C2009,parametros!$B$2:$B$6,0)),""),"Sim","Nao"))))))</f>
        <v/>
      </c>
      <c r="T2009" s="156"/>
      <c r="U2009" s="214" t="str">
        <f t="shared" si="161"/>
        <v/>
      </c>
      <c r="V2009" s="212" t="s">
        <v>50</v>
      </c>
      <c r="W2009" s="100" t="s">
        <v>168</v>
      </c>
      <c r="X2009" s="100" t="s">
        <v>169</v>
      </c>
      <c r="Y2009" s="101" t="s">
        <v>170</v>
      </c>
      <c r="Z2009" s="101" t="s">
        <v>171</v>
      </c>
      <c r="AA2009" s="101" t="s">
        <v>50</v>
      </c>
      <c r="AB2009" s="101" t="s">
        <v>172</v>
      </c>
      <c r="AC2009" s="102" t="s">
        <v>173</v>
      </c>
    </row>
    <row r="2010" spans="1:29" ht="25.5" customHeight="1" x14ac:dyDescent="0.35">
      <c r="A2010" s="392"/>
      <c r="B2010" s="393"/>
      <c r="C2010" s="99" t="str">
        <f>IF(B2010="","",IF(NOT(ISNUMBER(B2010)),"DATA_PC invalida",IF(NOT(ISNUMBER(parametros!$C$2)),"Fora dos ciclos",IF(OR(B2010&lt;parametros!$C$2,(YEAR(B2010)-YEAR(parametros!$C$2))*12+MONTH(B2010)-MONTH(parametros!$C$2)&gt;59),"Fora dos ciclos","C"&amp;INT(((YEAR(B2010)-YEAR(parametros!$C$2))*12+MONTH(B2010)-MONTH(parametros!$C$2))/12)))))</f>
        <v/>
      </c>
      <c r="D2010" s="394"/>
      <c r="E2010" s="78" t="str">
        <f>IF(C2010="","",IFERROR(VLOOKUP(C2010,parametros!$A$11:$E$15,5,0),""))</f>
        <v/>
      </c>
      <c r="F2010" s="79" t="str">
        <f t="shared" si="157"/>
        <v/>
      </c>
      <c r="G2010" s="395"/>
      <c r="H2010" s="91">
        <f t="shared" si="158"/>
        <v>0</v>
      </c>
      <c r="I2010" s="91" t="str">
        <f t="shared" si="159"/>
        <v/>
      </c>
      <c r="J2010" s="91" t="str">
        <f t="shared" si="160"/>
        <v/>
      </c>
      <c r="K2010" s="92" t="str">
        <f>IF(AND(A2010="",B2010="",D2010="",G2010=""),"",IF(AND(A2010&lt;&gt;"",COUNTIF($A$2:$A$5001,A2010)&gt;1),"NUMERO_PC duplicado",IF(B2010="","DATA_PC vazia",IF(NOT(ISNUMBER(B2010)),"DATA_PC invalida",IF(OR(C2010="",C2010="Fora dos ciclos"),"CICLO_PC nao identificado",IF(OR(D2010="",D2010=0),"VALOR_PC vazio ou zero",IF(AND(G2010&lt;&gt;"Sim",G2010&lt;&gt;"Nao",G2010&lt;&gt;""),"PC_PAGO_A_CONTRATADA invalido",IF(AND(C2010&lt;&gt;"C0",IFERROR(INDEX(parametros!$A$2:$A$6,MATCH(C2010,parametros!$B$2:$B$6,0)),"")="Sim",IFERROR(INDEX(parametros!$H$2:$H$6,MATCH(C2010,parametros!$B$2:$B$6,0)),"")=""),"INICIO_EFEITO ausente: PC "&amp;A2010&amp;" - "&amp;C2010,IF(L2010="","EFEITO_PC nao calculado: PC "&amp;A2010&amp;" - "&amp;C2010,"OK")))))))))</f>
        <v/>
      </c>
      <c r="L2010" s="92" t="str">
        <f>IF(AND(A2010="",B2010="",D2010="",G2010=""),"",IF(OR(B2010="",NOT(ISNUMBER(B2010)),C2010="",C2010="Fora dos ciclos"),"",IF(C2010="C0","Nao",IF(IFERROR(INDEX(parametros!$A$2:$A$6,MATCH(C2010,parametros!$B$2:$B$6,0)),"")&lt;&gt;"Sim","Nao",IF(IFERROR(INDEX(parametros!$H$2:$H$6,MATCH(C2010,parametros!$B$2:$B$6,0)),"")="","",IF(B2010&gt;=IFERROR(INDEX(parametros!$H$2:$H$6,MATCH(C2010,parametros!$B$2:$B$6,0)),""),"Sim","Nao"))))))</f>
        <v/>
      </c>
      <c r="T2010" s="156"/>
      <c r="U2010" s="214" t="str">
        <f t="shared" si="161"/>
        <v/>
      </c>
      <c r="V2010" s="212" t="s">
        <v>50</v>
      </c>
      <c r="W2010" s="100" t="s">
        <v>168</v>
      </c>
      <c r="X2010" s="100" t="s">
        <v>169</v>
      </c>
      <c r="Y2010" s="101" t="s">
        <v>170</v>
      </c>
      <c r="Z2010" s="101" t="s">
        <v>171</v>
      </c>
      <c r="AA2010" s="101" t="s">
        <v>50</v>
      </c>
      <c r="AB2010" s="101" t="s">
        <v>172</v>
      </c>
      <c r="AC2010" s="102" t="s">
        <v>173</v>
      </c>
    </row>
    <row r="2011" spans="1:29" ht="25.5" customHeight="1" x14ac:dyDescent="0.35">
      <c r="A2011" s="392"/>
      <c r="B2011" s="393"/>
      <c r="C2011" s="99" t="str">
        <f>IF(B2011="","",IF(NOT(ISNUMBER(B2011)),"DATA_PC invalida",IF(NOT(ISNUMBER(parametros!$C$2)),"Fora dos ciclos",IF(OR(B2011&lt;parametros!$C$2,(YEAR(B2011)-YEAR(parametros!$C$2))*12+MONTH(B2011)-MONTH(parametros!$C$2)&gt;59),"Fora dos ciclos","C"&amp;INT(((YEAR(B2011)-YEAR(parametros!$C$2))*12+MONTH(B2011)-MONTH(parametros!$C$2))/12)))))</f>
        <v/>
      </c>
      <c r="D2011" s="394"/>
      <c r="E2011" s="78" t="str">
        <f>IF(C2011="","",IFERROR(VLOOKUP(C2011,parametros!$A$11:$E$15,5,0),""))</f>
        <v/>
      </c>
      <c r="F2011" s="79" t="str">
        <f t="shared" si="157"/>
        <v/>
      </c>
      <c r="G2011" s="395"/>
      <c r="H2011" s="91">
        <f t="shared" si="158"/>
        <v>0</v>
      </c>
      <c r="I2011" s="91" t="str">
        <f t="shared" si="159"/>
        <v/>
      </c>
      <c r="J2011" s="91" t="str">
        <f t="shared" si="160"/>
        <v/>
      </c>
      <c r="K2011" s="92" t="str">
        <f>IF(AND(A2011="",B2011="",D2011="",G2011=""),"",IF(AND(A2011&lt;&gt;"",COUNTIF($A$2:$A$5001,A2011)&gt;1),"NUMERO_PC duplicado",IF(B2011="","DATA_PC vazia",IF(NOT(ISNUMBER(B2011)),"DATA_PC invalida",IF(OR(C2011="",C2011="Fora dos ciclos"),"CICLO_PC nao identificado",IF(OR(D2011="",D2011=0),"VALOR_PC vazio ou zero",IF(AND(G2011&lt;&gt;"Sim",G2011&lt;&gt;"Nao",G2011&lt;&gt;""),"PC_PAGO_A_CONTRATADA invalido",IF(AND(C2011&lt;&gt;"C0",IFERROR(INDEX(parametros!$A$2:$A$6,MATCH(C2011,parametros!$B$2:$B$6,0)),"")="Sim",IFERROR(INDEX(parametros!$H$2:$H$6,MATCH(C2011,parametros!$B$2:$B$6,0)),"")=""),"INICIO_EFEITO ausente: PC "&amp;A2011&amp;" - "&amp;C2011,IF(L2011="","EFEITO_PC nao calculado: PC "&amp;A2011&amp;" - "&amp;C2011,"OK")))))))))</f>
        <v/>
      </c>
      <c r="L2011" s="92" t="str">
        <f>IF(AND(A2011="",B2011="",D2011="",G2011=""),"",IF(OR(B2011="",NOT(ISNUMBER(B2011)),C2011="",C2011="Fora dos ciclos"),"",IF(C2011="C0","Nao",IF(IFERROR(INDEX(parametros!$A$2:$A$6,MATCH(C2011,parametros!$B$2:$B$6,0)),"")&lt;&gt;"Sim","Nao",IF(IFERROR(INDEX(parametros!$H$2:$H$6,MATCH(C2011,parametros!$B$2:$B$6,0)),"")="","",IF(B2011&gt;=IFERROR(INDEX(parametros!$H$2:$H$6,MATCH(C2011,parametros!$B$2:$B$6,0)),""),"Sim","Nao"))))))</f>
        <v/>
      </c>
      <c r="T2011" s="156"/>
      <c r="U2011" s="214" t="str">
        <f t="shared" si="161"/>
        <v/>
      </c>
      <c r="V2011" s="212" t="s">
        <v>50</v>
      </c>
      <c r="W2011" s="100" t="s">
        <v>168</v>
      </c>
      <c r="X2011" s="100" t="s">
        <v>169</v>
      </c>
      <c r="Y2011" s="101" t="s">
        <v>170</v>
      </c>
      <c r="Z2011" s="101" t="s">
        <v>171</v>
      </c>
      <c r="AA2011" s="101" t="s">
        <v>50</v>
      </c>
      <c r="AB2011" s="101" t="s">
        <v>172</v>
      </c>
      <c r="AC2011" s="102" t="s">
        <v>173</v>
      </c>
    </row>
    <row r="2012" spans="1:29" ht="25.5" customHeight="1" x14ac:dyDescent="0.35">
      <c r="A2012" s="392"/>
      <c r="B2012" s="393"/>
      <c r="C2012" s="99" t="str">
        <f>IF(B2012="","",IF(NOT(ISNUMBER(B2012)),"DATA_PC invalida",IF(NOT(ISNUMBER(parametros!$C$2)),"Fora dos ciclos",IF(OR(B2012&lt;parametros!$C$2,(YEAR(B2012)-YEAR(parametros!$C$2))*12+MONTH(B2012)-MONTH(parametros!$C$2)&gt;59),"Fora dos ciclos","C"&amp;INT(((YEAR(B2012)-YEAR(parametros!$C$2))*12+MONTH(B2012)-MONTH(parametros!$C$2))/12)))))</f>
        <v/>
      </c>
      <c r="D2012" s="394"/>
      <c r="E2012" s="78" t="str">
        <f>IF(C2012="","",IFERROR(VLOOKUP(C2012,parametros!$A$11:$E$15,5,0),""))</f>
        <v/>
      </c>
      <c r="F2012" s="79" t="str">
        <f t="shared" si="157"/>
        <v/>
      </c>
      <c r="G2012" s="395"/>
      <c r="H2012" s="91">
        <f t="shared" si="158"/>
        <v>0</v>
      </c>
      <c r="I2012" s="91" t="str">
        <f t="shared" si="159"/>
        <v/>
      </c>
      <c r="J2012" s="91" t="str">
        <f t="shared" si="160"/>
        <v/>
      </c>
      <c r="K2012" s="92" t="str">
        <f>IF(AND(A2012="",B2012="",D2012="",G2012=""),"",IF(AND(A2012&lt;&gt;"",COUNTIF($A$2:$A$5001,A2012)&gt;1),"NUMERO_PC duplicado",IF(B2012="","DATA_PC vazia",IF(NOT(ISNUMBER(B2012)),"DATA_PC invalida",IF(OR(C2012="",C2012="Fora dos ciclos"),"CICLO_PC nao identificado",IF(OR(D2012="",D2012=0),"VALOR_PC vazio ou zero",IF(AND(G2012&lt;&gt;"Sim",G2012&lt;&gt;"Nao",G2012&lt;&gt;""),"PC_PAGO_A_CONTRATADA invalido",IF(AND(C2012&lt;&gt;"C0",IFERROR(INDEX(parametros!$A$2:$A$6,MATCH(C2012,parametros!$B$2:$B$6,0)),"")="Sim",IFERROR(INDEX(parametros!$H$2:$H$6,MATCH(C2012,parametros!$B$2:$B$6,0)),"")=""),"INICIO_EFEITO ausente: PC "&amp;A2012&amp;" - "&amp;C2012,IF(L2012="","EFEITO_PC nao calculado: PC "&amp;A2012&amp;" - "&amp;C2012,"OK")))))))))</f>
        <v/>
      </c>
      <c r="L2012" s="92" t="str">
        <f>IF(AND(A2012="",B2012="",D2012="",G2012=""),"",IF(OR(B2012="",NOT(ISNUMBER(B2012)),C2012="",C2012="Fora dos ciclos"),"",IF(C2012="C0","Nao",IF(IFERROR(INDEX(parametros!$A$2:$A$6,MATCH(C2012,parametros!$B$2:$B$6,0)),"")&lt;&gt;"Sim","Nao",IF(IFERROR(INDEX(parametros!$H$2:$H$6,MATCH(C2012,parametros!$B$2:$B$6,0)),"")="","",IF(B2012&gt;=IFERROR(INDEX(parametros!$H$2:$H$6,MATCH(C2012,parametros!$B$2:$B$6,0)),""),"Sim","Nao"))))))</f>
        <v/>
      </c>
      <c r="T2012" s="156"/>
      <c r="U2012" s="214" t="str">
        <f t="shared" si="161"/>
        <v/>
      </c>
      <c r="V2012" s="212" t="s">
        <v>50</v>
      </c>
      <c r="W2012" s="100" t="s">
        <v>168</v>
      </c>
      <c r="X2012" s="100" t="s">
        <v>169</v>
      </c>
      <c r="Y2012" s="101" t="s">
        <v>170</v>
      </c>
      <c r="Z2012" s="101" t="s">
        <v>171</v>
      </c>
      <c r="AA2012" s="101" t="s">
        <v>50</v>
      </c>
      <c r="AB2012" s="101" t="s">
        <v>172</v>
      </c>
      <c r="AC2012" s="102" t="s">
        <v>173</v>
      </c>
    </row>
    <row r="2013" spans="1:29" ht="25.5" customHeight="1" x14ac:dyDescent="0.35">
      <c r="A2013" s="392"/>
      <c r="B2013" s="393"/>
      <c r="C2013" s="99" t="str">
        <f>IF(B2013="","",IF(NOT(ISNUMBER(B2013)),"DATA_PC invalida",IF(NOT(ISNUMBER(parametros!$C$2)),"Fora dos ciclos",IF(OR(B2013&lt;parametros!$C$2,(YEAR(B2013)-YEAR(parametros!$C$2))*12+MONTH(B2013)-MONTH(parametros!$C$2)&gt;59),"Fora dos ciclos","C"&amp;INT(((YEAR(B2013)-YEAR(parametros!$C$2))*12+MONTH(B2013)-MONTH(parametros!$C$2))/12)))))</f>
        <v/>
      </c>
      <c r="D2013" s="394"/>
      <c r="E2013" s="78" t="str">
        <f>IF(C2013="","",IFERROR(VLOOKUP(C2013,parametros!$A$11:$E$15,5,0),""))</f>
        <v/>
      </c>
      <c r="F2013" s="79" t="str">
        <f t="shared" si="157"/>
        <v/>
      </c>
      <c r="G2013" s="395"/>
      <c r="H2013" s="91">
        <f t="shared" si="158"/>
        <v>0</v>
      </c>
      <c r="I2013" s="91" t="str">
        <f t="shared" si="159"/>
        <v/>
      </c>
      <c r="J2013" s="91" t="str">
        <f t="shared" si="160"/>
        <v/>
      </c>
      <c r="K2013" s="92" t="str">
        <f>IF(AND(A2013="",B2013="",D2013="",G2013=""),"",IF(AND(A2013&lt;&gt;"",COUNTIF($A$2:$A$5001,A2013)&gt;1),"NUMERO_PC duplicado",IF(B2013="","DATA_PC vazia",IF(NOT(ISNUMBER(B2013)),"DATA_PC invalida",IF(OR(C2013="",C2013="Fora dos ciclos"),"CICLO_PC nao identificado",IF(OR(D2013="",D2013=0),"VALOR_PC vazio ou zero",IF(AND(G2013&lt;&gt;"Sim",G2013&lt;&gt;"Nao",G2013&lt;&gt;""),"PC_PAGO_A_CONTRATADA invalido",IF(AND(C2013&lt;&gt;"C0",IFERROR(INDEX(parametros!$A$2:$A$6,MATCH(C2013,parametros!$B$2:$B$6,0)),"")="Sim",IFERROR(INDEX(parametros!$H$2:$H$6,MATCH(C2013,parametros!$B$2:$B$6,0)),"")=""),"INICIO_EFEITO ausente: PC "&amp;A2013&amp;" - "&amp;C2013,IF(L2013="","EFEITO_PC nao calculado: PC "&amp;A2013&amp;" - "&amp;C2013,"OK")))))))))</f>
        <v/>
      </c>
      <c r="L2013" s="92" t="str">
        <f>IF(AND(A2013="",B2013="",D2013="",G2013=""),"",IF(OR(B2013="",NOT(ISNUMBER(B2013)),C2013="",C2013="Fora dos ciclos"),"",IF(C2013="C0","Nao",IF(IFERROR(INDEX(parametros!$A$2:$A$6,MATCH(C2013,parametros!$B$2:$B$6,0)),"")&lt;&gt;"Sim","Nao",IF(IFERROR(INDEX(parametros!$H$2:$H$6,MATCH(C2013,parametros!$B$2:$B$6,0)),"")="","",IF(B2013&gt;=IFERROR(INDEX(parametros!$H$2:$H$6,MATCH(C2013,parametros!$B$2:$B$6,0)),""),"Sim","Nao"))))))</f>
        <v/>
      </c>
      <c r="T2013" s="156"/>
      <c r="U2013" s="214" t="str">
        <f t="shared" si="161"/>
        <v/>
      </c>
      <c r="V2013" s="212" t="s">
        <v>50</v>
      </c>
      <c r="W2013" s="100" t="s">
        <v>168</v>
      </c>
      <c r="X2013" s="100" t="s">
        <v>169</v>
      </c>
      <c r="Y2013" s="101" t="s">
        <v>170</v>
      </c>
      <c r="Z2013" s="101" t="s">
        <v>171</v>
      </c>
      <c r="AA2013" s="101" t="s">
        <v>50</v>
      </c>
      <c r="AB2013" s="101" t="s">
        <v>172</v>
      </c>
      <c r="AC2013" s="102" t="s">
        <v>173</v>
      </c>
    </row>
    <row r="2014" spans="1:29" ht="25.5" customHeight="1" x14ac:dyDescent="0.35">
      <c r="A2014" s="392"/>
      <c r="B2014" s="393"/>
      <c r="C2014" s="99" t="str">
        <f>IF(B2014="","",IF(NOT(ISNUMBER(B2014)),"DATA_PC invalida",IF(NOT(ISNUMBER(parametros!$C$2)),"Fora dos ciclos",IF(OR(B2014&lt;parametros!$C$2,(YEAR(B2014)-YEAR(parametros!$C$2))*12+MONTH(B2014)-MONTH(parametros!$C$2)&gt;59),"Fora dos ciclos","C"&amp;INT(((YEAR(B2014)-YEAR(parametros!$C$2))*12+MONTH(B2014)-MONTH(parametros!$C$2))/12)))))</f>
        <v/>
      </c>
      <c r="D2014" s="394"/>
      <c r="E2014" s="78" t="str">
        <f>IF(C2014="","",IFERROR(VLOOKUP(C2014,parametros!$A$11:$E$15,5,0),""))</f>
        <v/>
      </c>
      <c r="F2014" s="79" t="str">
        <f t="shared" si="157"/>
        <v/>
      </c>
      <c r="G2014" s="395"/>
      <c r="H2014" s="91">
        <f t="shared" si="158"/>
        <v>0</v>
      </c>
      <c r="I2014" s="91" t="str">
        <f t="shared" si="159"/>
        <v/>
      </c>
      <c r="J2014" s="91" t="str">
        <f t="shared" si="160"/>
        <v/>
      </c>
      <c r="K2014" s="92" t="str">
        <f>IF(AND(A2014="",B2014="",D2014="",G2014=""),"",IF(AND(A2014&lt;&gt;"",COUNTIF($A$2:$A$5001,A2014)&gt;1),"NUMERO_PC duplicado",IF(B2014="","DATA_PC vazia",IF(NOT(ISNUMBER(B2014)),"DATA_PC invalida",IF(OR(C2014="",C2014="Fora dos ciclos"),"CICLO_PC nao identificado",IF(OR(D2014="",D2014=0),"VALOR_PC vazio ou zero",IF(AND(G2014&lt;&gt;"Sim",G2014&lt;&gt;"Nao",G2014&lt;&gt;""),"PC_PAGO_A_CONTRATADA invalido",IF(AND(C2014&lt;&gt;"C0",IFERROR(INDEX(parametros!$A$2:$A$6,MATCH(C2014,parametros!$B$2:$B$6,0)),"")="Sim",IFERROR(INDEX(parametros!$H$2:$H$6,MATCH(C2014,parametros!$B$2:$B$6,0)),"")=""),"INICIO_EFEITO ausente: PC "&amp;A2014&amp;" - "&amp;C2014,IF(L2014="","EFEITO_PC nao calculado: PC "&amp;A2014&amp;" - "&amp;C2014,"OK")))))))))</f>
        <v/>
      </c>
      <c r="L2014" s="92" t="str">
        <f>IF(AND(A2014="",B2014="",D2014="",G2014=""),"",IF(OR(B2014="",NOT(ISNUMBER(B2014)),C2014="",C2014="Fora dos ciclos"),"",IF(C2014="C0","Nao",IF(IFERROR(INDEX(parametros!$A$2:$A$6,MATCH(C2014,parametros!$B$2:$B$6,0)),"")&lt;&gt;"Sim","Nao",IF(IFERROR(INDEX(parametros!$H$2:$H$6,MATCH(C2014,parametros!$B$2:$B$6,0)),"")="","",IF(B2014&gt;=IFERROR(INDEX(parametros!$H$2:$H$6,MATCH(C2014,parametros!$B$2:$B$6,0)),""),"Sim","Nao"))))))</f>
        <v/>
      </c>
      <c r="T2014" s="156"/>
      <c r="U2014" s="214" t="str">
        <f t="shared" si="161"/>
        <v/>
      </c>
      <c r="V2014" s="212" t="s">
        <v>50</v>
      </c>
      <c r="W2014" s="100" t="s">
        <v>168</v>
      </c>
      <c r="X2014" s="100" t="s">
        <v>169</v>
      </c>
      <c r="Y2014" s="101" t="s">
        <v>170</v>
      </c>
      <c r="Z2014" s="101" t="s">
        <v>171</v>
      </c>
      <c r="AA2014" s="101" t="s">
        <v>50</v>
      </c>
      <c r="AB2014" s="101" t="s">
        <v>172</v>
      </c>
      <c r="AC2014" s="102" t="s">
        <v>173</v>
      </c>
    </row>
    <row r="2015" spans="1:29" ht="25.5" customHeight="1" x14ac:dyDescent="0.35">
      <c r="A2015" s="392"/>
      <c r="B2015" s="393"/>
      <c r="C2015" s="99" t="str">
        <f>IF(B2015="","",IF(NOT(ISNUMBER(B2015)),"DATA_PC invalida",IF(NOT(ISNUMBER(parametros!$C$2)),"Fora dos ciclos",IF(OR(B2015&lt;parametros!$C$2,(YEAR(B2015)-YEAR(parametros!$C$2))*12+MONTH(B2015)-MONTH(parametros!$C$2)&gt;59),"Fora dos ciclos","C"&amp;INT(((YEAR(B2015)-YEAR(parametros!$C$2))*12+MONTH(B2015)-MONTH(parametros!$C$2))/12)))))</f>
        <v/>
      </c>
      <c r="D2015" s="394"/>
      <c r="E2015" s="78" t="str">
        <f>IF(C2015="","",IFERROR(VLOOKUP(C2015,parametros!$A$11:$E$15,5,0),""))</f>
        <v/>
      </c>
      <c r="F2015" s="79" t="str">
        <f t="shared" si="157"/>
        <v/>
      </c>
      <c r="G2015" s="395"/>
      <c r="H2015" s="91">
        <f t="shared" si="158"/>
        <v>0</v>
      </c>
      <c r="I2015" s="91" t="str">
        <f t="shared" si="159"/>
        <v/>
      </c>
      <c r="J2015" s="91" t="str">
        <f t="shared" si="160"/>
        <v/>
      </c>
      <c r="K2015" s="92" t="str">
        <f>IF(AND(A2015="",B2015="",D2015="",G2015=""),"",IF(AND(A2015&lt;&gt;"",COUNTIF($A$2:$A$5001,A2015)&gt;1),"NUMERO_PC duplicado",IF(B2015="","DATA_PC vazia",IF(NOT(ISNUMBER(B2015)),"DATA_PC invalida",IF(OR(C2015="",C2015="Fora dos ciclos"),"CICLO_PC nao identificado",IF(OR(D2015="",D2015=0),"VALOR_PC vazio ou zero",IF(AND(G2015&lt;&gt;"Sim",G2015&lt;&gt;"Nao",G2015&lt;&gt;""),"PC_PAGO_A_CONTRATADA invalido",IF(AND(C2015&lt;&gt;"C0",IFERROR(INDEX(parametros!$A$2:$A$6,MATCH(C2015,parametros!$B$2:$B$6,0)),"")="Sim",IFERROR(INDEX(parametros!$H$2:$H$6,MATCH(C2015,parametros!$B$2:$B$6,0)),"")=""),"INICIO_EFEITO ausente: PC "&amp;A2015&amp;" - "&amp;C2015,IF(L2015="","EFEITO_PC nao calculado: PC "&amp;A2015&amp;" - "&amp;C2015,"OK")))))))))</f>
        <v/>
      </c>
      <c r="L2015" s="92" t="str">
        <f>IF(AND(A2015="",B2015="",D2015="",G2015=""),"",IF(OR(B2015="",NOT(ISNUMBER(B2015)),C2015="",C2015="Fora dos ciclos"),"",IF(C2015="C0","Nao",IF(IFERROR(INDEX(parametros!$A$2:$A$6,MATCH(C2015,parametros!$B$2:$B$6,0)),"")&lt;&gt;"Sim","Nao",IF(IFERROR(INDEX(parametros!$H$2:$H$6,MATCH(C2015,parametros!$B$2:$B$6,0)),"")="","",IF(B2015&gt;=IFERROR(INDEX(parametros!$H$2:$H$6,MATCH(C2015,parametros!$B$2:$B$6,0)),""),"Sim","Nao"))))))</f>
        <v/>
      </c>
      <c r="T2015" s="156"/>
      <c r="U2015" s="214" t="str">
        <f t="shared" si="161"/>
        <v/>
      </c>
      <c r="V2015" s="212" t="s">
        <v>50</v>
      </c>
      <c r="W2015" s="100" t="s">
        <v>168</v>
      </c>
      <c r="X2015" s="100" t="s">
        <v>169</v>
      </c>
      <c r="Y2015" s="101" t="s">
        <v>170</v>
      </c>
      <c r="Z2015" s="101" t="s">
        <v>171</v>
      </c>
      <c r="AA2015" s="101" t="s">
        <v>50</v>
      </c>
      <c r="AB2015" s="101" t="s">
        <v>172</v>
      </c>
      <c r="AC2015" s="102" t="s">
        <v>173</v>
      </c>
    </row>
    <row r="2016" spans="1:29" ht="25.5" customHeight="1" x14ac:dyDescent="0.35">
      <c r="A2016" s="392"/>
      <c r="B2016" s="393"/>
      <c r="C2016" s="99" t="str">
        <f>IF(B2016="","",IF(NOT(ISNUMBER(B2016)),"DATA_PC invalida",IF(NOT(ISNUMBER(parametros!$C$2)),"Fora dos ciclos",IF(OR(B2016&lt;parametros!$C$2,(YEAR(B2016)-YEAR(parametros!$C$2))*12+MONTH(B2016)-MONTH(parametros!$C$2)&gt;59),"Fora dos ciclos","C"&amp;INT(((YEAR(B2016)-YEAR(parametros!$C$2))*12+MONTH(B2016)-MONTH(parametros!$C$2))/12)))))</f>
        <v/>
      </c>
      <c r="D2016" s="394"/>
      <c r="E2016" s="78" t="str">
        <f>IF(C2016="","",IFERROR(VLOOKUP(C2016,parametros!$A$11:$E$15,5,0),""))</f>
        <v/>
      </c>
      <c r="F2016" s="79" t="str">
        <f t="shared" si="157"/>
        <v/>
      </c>
      <c r="G2016" s="395"/>
      <c r="H2016" s="91">
        <f t="shared" si="158"/>
        <v>0</v>
      </c>
      <c r="I2016" s="91" t="str">
        <f t="shared" si="159"/>
        <v/>
      </c>
      <c r="J2016" s="91" t="str">
        <f t="shared" si="160"/>
        <v/>
      </c>
      <c r="K2016" s="92" t="str">
        <f>IF(AND(A2016="",B2016="",D2016="",G2016=""),"",IF(AND(A2016&lt;&gt;"",COUNTIF($A$2:$A$5001,A2016)&gt;1),"NUMERO_PC duplicado",IF(B2016="","DATA_PC vazia",IF(NOT(ISNUMBER(B2016)),"DATA_PC invalida",IF(OR(C2016="",C2016="Fora dos ciclos"),"CICLO_PC nao identificado",IF(OR(D2016="",D2016=0),"VALOR_PC vazio ou zero",IF(AND(G2016&lt;&gt;"Sim",G2016&lt;&gt;"Nao",G2016&lt;&gt;""),"PC_PAGO_A_CONTRATADA invalido",IF(AND(C2016&lt;&gt;"C0",IFERROR(INDEX(parametros!$A$2:$A$6,MATCH(C2016,parametros!$B$2:$B$6,0)),"")="Sim",IFERROR(INDEX(parametros!$H$2:$H$6,MATCH(C2016,parametros!$B$2:$B$6,0)),"")=""),"INICIO_EFEITO ausente: PC "&amp;A2016&amp;" - "&amp;C2016,IF(L2016="","EFEITO_PC nao calculado: PC "&amp;A2016&amp;" - "&amp;C2016,"OK")))))))))</f>
        <v/>
      </c>
      <c r="L2016" s="92" t="str">
        <f>IF(AND(A2016="",B2016="",D2016="",G2016=""),"",IF(OR(B2016="",NOT(ISNUMBER(B2016)),C2016="",C2016="Fora dos ciclos"),"",IF(C2016="C0","Nao",IF(IFERROR(INDEX(parametros!$A$2:$A$6,MATCH(C2016,parametros!$B$2:$B$6,0)),"")&lt;&gt;"Sim","Nao",IF(IFERROR(INDEX(parametros!$H$2:$H$6,MATCH(C2016,parametros!$B$2:$B$6,0)),"")="","",IF(B2016&gt;=IFERROR(INDEX(parametros!$H$2:$H$6,MATCH(C2016,parametros!$B$2:$B$6,0)),""),"Sim","Nao"))))))</f>
        <v/>
      </c>
      <c r="T2016" s="156"/>
      <c r="U2016" s="214" t="str">
        <f t="shared" si="161"/>
        <v/>
      </c>
      <c r="V2016" s="212" t="s">
        <v>50</v>
      </c>
      <c r="W2016" s="100" t="s">
        <v>168</v>
      </c>
      <c r="X2016" s="100" t="s">
        <v>169</v>
      </c>
      <c r="Y2016" s="101" t="s">
        <v>170</v>
      </c>
      <c r="Z2016" s="101" t="s">
        <v>171</v>
      </c>
      <c r="AA2016" s="101" t="s">
        <v>50</v>
      </c>
      <c r="AB2016" s="101" t="s">
        <v>172</v>
      </c>
      <c r="AC2016" s="102" t="s">
        <v>173</v>
      </c>
    </row>
    <row r="2017" spans="1:29" ht="25.5" customHeight="1" x14ac:dyDescent="0.35">
      <c r="A2017" s="392"/>
      <c r="B2017" s="393"/>
      <c r="C2017" s="99" t="str">
        <f>IF(B2017="","",IF(NOT(ISNUMBER(B2017)),"DATA_PC invalida",IF(NOT(ISNUMBER(parametros!$C$2)),"Fora dos ciclos",IF(OR(B2017&lt;parametros!$C$2,(YEAR(B2017)-YEAR(parametros!$C$2))*12+MONTH(B2017)-MONTH(parametros!$C$2)&gt;59),"Fora dos ciclos","C"&amp;INT(((YEAR(B2017)-YEAR(parametros!$C$2))*12+MONTH(B2017)-MONTH(parametros!$C$2))/12)))))</f>
        <v/>
      </c>
      <c r="D2017" s="394"/>
      <c r="E2017" s="78" t="str">
        <f>IF(C2017="","",IFERROR(VLOOKUP(C2017,parametros!$A$11:$E$15,5,0),""))</f>
        <v/>
      </c>
      <c r="F2017" s="79" t="str">
        <f t="shared" si="157"/>
        <v/>
      </c>
      <c r="G2017" s="395"/>
      <c r="H2017" s="91">
        <f t="shared" si="158"/>
        <v>0</v>
      </c>
      <c r="I2017" s="91" t="str">
        <f t="shared" si="159"/>
        <v/>
      </c>
      <c r="J2017" s="91" t="str">
        <f t="shared" si="160"/>
        <v/>
      </c>
      <c r="K2017" s="92" t="str">
        <f>IF(AND(A2017="",B2017="",D2017="",G2017=""),"",IF(AND(A2017&lt;&gt;"",COUNTIF($A$2:$A$5001,A2017)&gt;1),"NUMERO_PC duplicado",IF(B2017="","DATA_PC vazia",IF(NOT(ISNUMBER(B2017)),"DATA_PC invalida",IF(OR(C2017="",C2017="Fora dos ciclos"),"CICLO_PC nao identificado",IF(OR(D2017="",D2017=0),"VALOR_PC vazio ou zero",IF(AND(G2017&lt;&gt;"Sim",G2017&lt;&gt;"Nao",G2017&lt;&gt;""),"PC_PAGO_A_CONTRATADA invalido",IF(AND(C2017&lt;&gt;"C0",IFERROR(INDEX(parametros!$A$2:$A$6,MATCH(C2017,parametros!$B$2:$B$6,0)),"")="Sim",IFERROR(INDEX(parametros!$H$2:$H$6,MATCH(C2017,parametros!$B$2:$B$6,0)),"")=""),"INICIO_EFEITO ausente: PC "&amp;A2017&amp;" - "&amp;C2017,IF(L2017="","EFEITO_PC nao calculado: PC "&amp;A2017&amp;" - "&amp;C2017,"OK")))))))))</f>
        <v/>
      </c>
      <c r="L2017" s="92" t="str">
        <f>IF(AND(A2017="",B2017="",D2017="",G2017=""),"",IF(OR(B2017="",NOT(ISNUMBER(B2017)),C2017="",C2017="Fora dos ciclos"),"",IF(C2017="C0","Nao",IF(IFERROR(INDEX(parametros!$A$2:$A$6,MATCH(C2017,parametros!$B$2:$B$6,0)),"")&lt;&gt;"Sim","Nao",IF(IFERROR(INDEX(parametros!$H$2:$H$6,MATCH(C2017,parametros!$B$2:$B$6,0)),"")="","",IF(B2017&gt;=IFERROR(INDEX(parametros!$H$2:$H$6,MATCH(C2017,parametros!$B$2:$B$6,0)),""),"Sim","Nao"))))))</f>
        <v/>
      </c>
      <c r="T2017" s="156"/>
      <c r="U2017" s="214" t="str">
        <f t="shared" si="161"/>
        <v/>
      </c>
      <c r="V2017" s="212" t="s">
        <v>50</v>
      </c>
      <c r="W2017" s="100" t="s">
        <v>168</v>
      </c>
      <c r="X2017" s="100" t="s">
        <v>169</v>
      </c>
      <c r="Y2017" s="101" t="s">
        <v>170</v>
      </c>
      <c r="Z2017" s="101" t="s">
        <v>171</v>
      </c>
      <c r="AA2017" s="101" t="s">
        <v>50</v>
      </c>
      <c r="AB2017" s="101" t="s">
        <v>172</v>
      </c>
      <c r="AC2017" s="102" t="s">
        <v>173</v>
      </c>
    </row>
    <row r="2018" spans="1:29" ht="25.5" customHeight="1" x14ac:dyDescent="0.35">
      <c r="A2018" s="392"/>
      <c r="B2018" s="393"/>
      <c r="C2018" s="99" t="str">
        <f>IF(B2018="","",IF(NOT(ISNUMBER(B2018)),"DATA_PC invalida",IF(NOT(ISNUMBER(parametros!$C$2)),"Fora dos ciclos",IF(OR(B2018&lt;parametros!$C$2,(YEAR(B2018)-YEAR(parametros!$C$2))*12+MONTH(B2018)-MONTH(parametros!$C$2)&gt;59),"Fora dos ciclos","C"&amp;INT(((YEAR(B2018)-YEAR(parametros!$C$2))*12+MONTH(B2018)-MONTH(parametros!$C$2))/12)))))</f>
        <v/>
      </c>
      <c r="D2018" s="394"/>
      <c r="E2018" s="78" t="str">
        <f>IF(C2018="","",IFERROR(VLOOKUP(C2018,parametros!$A$11:$E$15,5,0),""))</f>
        <v/>
      </c>
      <c r="F2018" s="79" t="str">
        <f t="shared" si="157"/>
        <v/>
      </c>
      <c r="G2018" s="395"/>
      <c r="H2018" s="91">
        <f t="shared" si="158"/>
        <v>0</v>
      </c>
      <c r="I2018" s="91" t="str">
        <f t="shared" si="159"/>
        <v/>
      </c>
      <c r="J2018" s="91" t="str">
        <f t="shared" si="160"/>
        <v/>
      </c>
      <c r="K2018" s="92" t="str">
        <f>IF(AND(A2018="",B2018="",D2018="",G2018=""),"",IF(AND(A2018&lt;&gt;"",COUNTIF($A$2:$A$5001,A2018)&gt;1),"NUMERO_PC duplicado",IF(B2018="","DATA_PC vazia",IF(NOT(ISNUMBER(B2018)),"DATA_PC invalida",IF(OR(C2018="",C2018="Fora dos ciclos"),"CICLO_PC nao identificado",IF(OR(D2018="",D2018=0),"VALOR_PC vazio ou zero",IF(AND(G2018&lt;&gt;"Sim",G2018&lt;&gt;"Nao",G2018&lt;&gt;""),"PC_PAGO_A_CONTRATADA invalido",IF(AND(C2018&lt;&gt;"C0",IFERROR(INDEX(parametros!$A$2:$A$6,MATCH(C2018,parametros!$B$2:$B$6,0)),"")="Sim",IFERROR(INDEX(parametros!$H$2:$H$6,MATCH(C2018,parametros!$B$2:$B$6,0)),"")=""),"INICIO_EFEITO ausente: PC "&amp;A2018&amp;" - "&amp;C2018,IF(L2018="","EFEITO_PC nao calculado: PC "&amp;A2018&amp;" - "&amp;C2018,"OK")))))))))</f>
        <v/>
      </c>
      <c r="L2018" s="92" t="str">
        <f>IF(AND(A2018="",B2018="",D2018="",G2018=""),"",IF(OR(B2018="",NOT(ISNUMBER(B2018)),C2018="",C2018="Fora dos ciclos"),"",IF(C2018="C0","Nao",IF(IFERROR(INDEX(parametros!$A$2:$A$6,MATCH(C2018,parametros!$B$2:$B$6,0)),"")&lt;&gt;"Sim","Nao",IF(IFERROR(INDEX(parametros!$H$2:$H$6,MATCH(C2018,parametros!$B$2:$B$6,0)),"")="","",IF(B2018&gt;=IFERROR(INDEX(parametros!$H$2:$H$6,MATCH(C2018,parametros!$B$2:$B$6,0)),""),"Sim","Nao"))))))</f>
        <v/>
      </c>
      <c r="T2018" s="156"/>
      <c r="U2018" s="214" t="str">
        <f t="shared" si="161"/>
        <v/>
      </c>
      <c r="V2018" s="212" t="s">
        <v>50</v>
      </c>
      <c r="W2018" s="100" t="s">
        <v>168</v>
      </c>
      <c r="X2018" s="100" t="s">
        <v>169</v>
      </c>
      <c r="Y2018" s="101" t="s">
        <v>170</v>
      </c>
      <c r="Z2018" s="101" t="s">
        <v>171</v>
      </c>
      <c r="AA2018" s="101" t="s">
        <v>50</v>
      </c>
      <c r="AB2018" s="101" t="s">
        <v>172</v>
      </c>
      <c r="AC2018" s="102" t="s">
        <v>173</v>
      </c>
    </row>
    <row r="2019" spans="1:29" ht="25.5" customHeight="1" x14ac:dyDescent="0.35">
      <c r="A2019" s="392"/>
      <c r="B2019" s="393"/>
      <c r="C2019" s="99" t="str">
        <f>IF(B2019="","",IF(NOT(ISNUMBER(B2019)),"DATA_PC invalida",IF(NOT(ISNUMBER(parametros!$C$2)),"Fora dos ciclos",IF(OR(B2019&lt;parametros!$C$2,(YEAR(B2019)-YEAR(parametros!$C$2))*12+MONTH(B2019)-MONTH(parametros!$C$2)&gt;59),"Fora dos ciclos","C"&amp;INT(((YEAR(B2019)-YEAR(parametros!$C$2))*12+MONTH(B2019)-MONTH(parametros!$C$2))/12)))))</f>
        <v/>
      </c>
      <c r="D2019" s="394"/>
      <c r="E2019" s="78" t="str">
        <f>IF(C2019="","",IFERROR(VLOOKUP(C2019,parametros!$A$11:$E$15,5,0),""))</f>
        <v/>
      </c>
      <c r="F2019" s="79" t="str">
        <f t="shared" si="157"/>
        <v/>
      </c>
      <c r="G2019" s="395"/>
      <c r="H2019" s="91">
        <f t="shared" si="158"/>
        <v>0</v>
      </c>
      <c r="I2019" s="91" t="str">
        <f t="shared" si="159"/>
        <v/>
      </c>
      <c r="J2019" s="91" t="str">
        <f t="shared" si="160"/>
        <v/>
      </c>
      <c r="K2019" s="92" t="str">
        <f>IF(AND(A2019="",B2019="",D2019="",G2019=""),"",IF(AND(A2019&lt;&gt;"",COUNTIF($A$2:$A$5001,A2019)&gt;1),"NUMERO_PC duplicado",IF(B2019="","DATA_PC vazia",IF(NOT(ISNUMBER(B2019)),"DATA_PC invalida",IF(OR(C2019="",C2019="Fora dos ciclos"),"CICLO_PC nao identificado",IF(OR(D2019="",D2019=0),"VALOR_PC vazio ou zero",IF(AND(G2019&lt;&gt;"Sim",G2019&lt;&gt;"Nao",G2019&lt;&gt;""),"PC_PAGO_A_CONTRATADA invalido",IF(AND(C2019&lt;&gt;"C0",IFERROR(INDEX(parametros!$A$2:$A$6,MATCH(C2019,parametros!$B$2:$B$6,0)),"")="Sim",IFERROR(INDEX(parametros!$H$2:$H$6,MATCH(C2019,parametros!$B$2:$B$6,0)),"")=""),"INICIO_EFEITO ausente: PC "&amp;A2019&amp;" - "&amp;C2019,IF(L2019="","EFEITO_PC nao calculado: PC "&amp;A2019&amp;" - "&amp;C2019,"OK")))))))))</f>
        <v/>
      </c>
      <c r="L2019" s="92" t="str">
        <f>IF(AND(A2019="",B2019="",D2019="",G2019=""),"",IF(OR(B2019="",NOT(ISNUMBER(B2019)),C2019="",C2019="Fora dos ciclos"),"",IF(C2019="C0","Nao",IF(IFERROR(INDEX(parametros!$A$2:$A$6,MATCH(C2019,parametros!$B$2:$B$6,0)),"")&lt;&gt;"Sim","Nao",IF(IFERROR(INDEX(parametros!$H$2:$H$6,MATCH(C2019,parametros!$B$2:$B$6,0)),"")="","",IF(B2019&gt;=IFERROR(INDEX(parametros!$H$2:$H$6,MATCH(C2019,parametros!$B$2:$B$6,0)),""),"Sim","Nao"))))))</f>
        <v/>
      </c>
      <c r="T2019" s="156"/>
      <c r="U2019" s="214" t="str">
        <f t="shared" si="161"/>
        <v/>
      </c>
      <c r="V2019" s="212" t="s">
        <v>50</v>
      </c>
      <c r="W2019" s="100" t="s">
        <v>168</v>
      </c>
      <c r="X2019" s="100" t="s">
        <v>169</v>
      </c>
      <c r="Y2019" s="101" t="s">
        <v>170</v>
      </c>
      <c r="Z2019" s="101" t="s">
        <v>171</v>
      </c>
      <c r="AA2019" s="101" t="s">
        <v>50</v>
      </c>
      <c r="AB2019" s="101" t="s">
        <v>172</v>
      </c>
      <c r="AC2019" s="102" t="s">
        <v>173</v>
      </c>
    </row>
    <row r="2020" spans="1:29" ht="25.5" customHeight="1" x14ac:dyDescent="0.35">
      <c r="A2020" s="392"/>
      <c r="B2020" s="393"/>
      <c r="C2020" s="99" t="str">
        <f>IF(B2020="","",IF(NOT(ISNUMBER(B2020)),"DATA_PC invalida",IF(NOT(ISNUMBER(parametros!$C$2)),"Fora dos ciclos",IF(OR(B2020&lt;parametros!$C$2,(YEAR(B2020)-YEAR(parametros!$C$2))*12+MONTH(B2020)-MONTH(parametros!$C$2)&gt;59),"Fora dos ciclos","C"&amp;INT(((YEAR(B2020)-YEAR(parametros!$C$2))*12+MONTH(B2020)-MONTH(parametros!$C$2))/12)))))</f>
        <v/>
      </c>
      <c r="D2020" s="394"/>
      <c r="E2020" s="78" t="str">
        <f>IF(C2020="","",IFERROR(VLOOKUP(C2020,parametros!$A$11:$E$15,5,0),""))</f>
        <v/>
      </c>
      <c r="F2020" s="79" t="str">
        <f t="shared" si="157"/>
        <v/>
      </c>
      <c r="G2020" s="395"/>
      <c r="H2020" s="91">
        <f t="shared" si="158"/>
        <v>0</v>
      </c>
      <c r="I2020" s="91" t="str">
        <f t="shared" si="159"/>
        <v/>
      </c>
      <c r="J2020" s="91" t="str">
        <f t="shared" si="160"/>
        <v/>
      </c>
      <c r="K2020" s="92" t="str">
        <f>IF(AND(A2020="",B2020="",D2020="",G2020=""),"",IF(AND(A2020&lt;&gt;"",COUNTIF($A$2:$A$5001,A2020)&gt;1),"NUMERO_PC duplicado",IF(B2020="","DATA_PC vazia",IF(NOT(ISNUMBER(B2020)),"DATA_PC invalida",IF(OR(C2020="",C2020="Fora dos ciclos"),"CICLO_PC nao identificado",IF(OR(D2020="",D2020=0),"VALOR_PC vazio ou zero",IF(AND(G2020&lt;&gt;"Sim",G2020&lt;&gt;"Nao",G2020&lt;&gt;""),"PC_PAGO_A_CONTRATADA invalido",IF(AND(C2020&lt;&gt;"C0",IFERROR(INDEX(parametros!$A$2:$A$6,MATCH(C2020,parametros!$B$2:$B$6,0)),"")="Sim",IFERROR(INDEX(parametros!$H$2:$H$6,MATCH(C2020,parametros!$B$2:$B$6,0)),"")=""),"INICIO_EFEITO ausente: PC "&amp;A2020&amp;" - "&amp;C2020,IF(L2020="","EFEITO_PC nao calculado: PC "&amp;A2020&amp;" - "&amp;C2020,"OK")))))))))</f>
        <v/>
      </c>
      <c r="L2020" s="92" t="str">
        <f>IF(AND(A2020="",B2020="",D2020="",G2020=""),"",IF(OR(B2020="",NOT(ISNUMBER(B2020)),C2020="",C2020="Fora dos ciclos"),"",IF(C2020="C0","Nao",IF(IFERROR(INDEX(parametros!$A$2:$A$6,MATCH(C2020,parametros!$B$2:$B$6,0)),"")&lt;&gt;"Sim","Nao",IF(IFERROR(INDEX(parametros!$H$2:$H$6,MATCH(C2020,parametros!$B$2:$B$6,0)),"")="","",IF(B2020&gt;=IFERROR(INDEX(parametros!$H$2:$H$6,MATCH(C2020,parametros!$B$2:$B$6,0)),""),"Sim","Nao"))))))</f>
        <v/>
      </c>
      <c r="T2020" s="156"/>
      <c r="U2020" s="214" t="str">
        <f t="shared" si="161"/>
        <v/>
      </c>
      <c r="V2020" s="212" t="s">
        <v>50</v>
      </c>
      <c r="W2020" s="100" t="s">
        <v>168</v>
      </c>
      <c r="X2020" s="100" t="s">
        <v>169</v>
      </c>
      <c r="Y2020" s="101" t="s">
        <v>170</v>
      </c>
      <c r="Z2020" s="101" t="s">
        <v>171</v>
      </c>
      <c r="AA2020" s="101" t="s">
        <v>50</v>
      </c>
      <c r="AB2020" s="101" t="s">
        <v>172</v>
      </c>
      <c r="AC2020" s="102" t="s">
        <v>173</v>
      </c>
    </row>
    <row r="2021" spans="1:29" ht="25.5" customHeight="1" x14ac:dyDescent="0.35">
      <c r="A2021" s="392"/>
      <c r="B2021" s="393"/>
      <c r="C2021" s="99" t="str">
        <f>IF(B2021="","",IF(NOT(ISNUMBER(B2021)),"DATA_PC invalida",IF(NOT(ISNUMBER(parametros!$C$2)),"Fora dos ciclos",IF(OR(B2021&lt;parametros!$C$2,(YEAR(B2021)-YEAR(parametros!$C$2))*12+MONTH(B2021)-MONTH(parametros!$C$2)&gt;59),"Fora dos ciclos","C"&amp;INT(((YEAR(B2021)-YEAR(parametros!$C$2))*12+MONTH(B2021)-MONTH(parametros!$C$2))/12)))))</f>
        <v/>
      </c>
      <c r="D2021" s="394"/>
      <c r="E2021" s="78" t="str">
        <f>IF(C2021="","",IFERROR(VLOOKUP(C2021,parametros!$A$11:$E$15,5,0),""))</f>
        <v/>
      </c>
      <c r="F2021" s="79" t="str">
        <f t="shared" si="157"/>
        <v/>
      </c>
      <c r="G2021" s="395"/>
      <c r="H2021" s="91">
        <f t="shared" si="158"/>
        <v>0</v>
      </c>
      <c r="I2021" s="91" t="str">
        <f t="shared" si="159"/>
        <v/>
      </c>
      <c r="J2021" s="91" t="str">
        <f t="shared" si="160"/>
        <v/>
      </c>
      <c r="K2021" s="92" t="str">
        <f>IF(AND(A2021="",B2021="",D2021="",G2021=""),"",IF(AND(A2021&lt;&gt;"",COUNTIF($A$2:$A$5001,A2021)&gt;1),"NUMERO_PC duplicado",IF(B2021="","DATA_PC vazia",IF(NOT(ISNUMBER(B2021)),"DATA_PC invalida",IF(OR(C2021="",C2021="Fora dos ciclos"),"CICLO_PC nao identificado",IF(OR(D2021="",D2021=0),"VALOR_PC vazio ou zero",IF(AND(G2021&lt;&gt;"Sim",G2021&lt;&gt;"Nao",G2021&lt;&gt;""),"PC_PAGO_A_CONTRATADA invalido",IF(AND(C2021&lt;&gt;"C0",IFERROR(INDEX(parametros!$A$2:$A$6,MATCH(C2021,parametros!$B$2:$B$6,0)),"")="Sim",IFERROR(INDEX(parametros!$H$2:$H$6,MATCH(C2021,parametros!$B$2:$B$6,0)),"")=""),"INICIO_EFEITO ausente: PC "&amp;A2021&amp;" - "&amp;C2021,IF(L2021="","EFEITO_PC nao calculado: PC "&amp;A2021&amp;" - "&amp;C2021,"OK")))))))))</f>
        <v/>
      </c>
      <c r="L2021" s="92" t="str">
        <f>IF(AND(A2021="",B2021="",D2021="",G2021=""),"",IF(OR(B2021="",NOT(ISNUMBER(B2021)),C2021="",C2021="Fora dos ciclos"),"",IF(C2021="C0","Nao",IF(IFERROR(INDEX(parametros!$A$2:$A$6,MATCH(C2021,parametros!$B$2:$B$6,0)),"")&lt;&gt;"Sim","Nao",IF(IFERROR(INDEX(parametros!$H$2:$H$6,MATCH(C2021,parametros!$B$2:$B$6,0)),"")="","",IF(B2021&gt;=IFERROR(INDEX(parametros!$H$2:$H$6,MATCH(C2021,parametros!$B$2:$B$6,0)),""),"Sim","Nao"))))))</f>
        <v/>
      </c>
      <c r="T2021" s="156"/>
      <c r="U2021" s="214" t="str">
        <f t="shared" si="161"/>
        <v/>
      </c>
      <c r="V2021" s="212" t="s">
        <v>50</v>
      </c>
      <c r="W2021" s="100" t="s">
        <v>168</v>
      </c>
      <c r="X2021" s="100" t="s">
        <v>169</v>
      </c>
      <c r="Y2021" s="101" t="s">
        <v>170</v>
      </c>
      <c r="Z2021" s="101" t="s">
        <v>171</v>
      </c>
      <c r="AA2021" s="101" t="s">
        <v>50</v>
      </c>
      <c r="AB2021" s="101" t="s">
        <v>172</v>
      </c>
      <c r="AC2021" s="102" t="s">
        <v>173</v>
      </c>
    </row>
    <row r="2022" spans="1:29" ht="25.5" customHeight="1" x14ac:dyDescent="0.35">
      <c r="A2022" s="392"/>
      <c r="B2022" s="393"/>
      <c r="C2022" s="99" t="str">
        <f>IF(B2022="","",IF(NOT(ISNUMBER(B2022)),"DATA_PC invalida",IF(NOT(ISNUMBER(parametros!$C$2)),"Fora dos ciclos",IF(OR(B2022&lt;parametros!$C$2,(YEAR(B2022)-YEAR(parametros!$C$2))*12+MONTH(B2022)-MONTH(parametros!$C$2)&gt;59),"Fora dos ciclos","C"&amp;INT(((YEAR(B2022)-YEAR(parametros!$C$2))*12+MONTH(B2022)-MONTH(parametros!$C$2))/12)))))</f>
        <v/>
      </c>
      <c r="D2022" s="394"/>
      <c r="E2022" s="78" t="str">
        <f>IF(C2022="","",IFERROR(VLOOKUP(C2022,parametros!$A$11:$E$15,5,0),""))</f>
        <v/>
      </c>
      <c r="F2022" s="79" t="str">
        <f t="shared" si="157"/>
        <v/>
      </c>
      <c r="G2022" s="395"/>
      <c r="H2022" s="91">
        <f t="shared" si="158"/>
        <v>0</v>
      </c>
      <c r="I2022" s="91" t="str">
        <f t="shared" si="159"/>
        <v/>
      </c>
      <c r="J2022" s="91" t="str">
        <f t="shared" si="160"/>
        <v/>
      </c>
      <c r="K2022" s="92" t="str">
        <f>IF(AND(A2022="",B2022="",D2022="",G2022=""),"",IF(AND(A2022&lt;&gt;"",COUNTIF($A$2:$A$5001,A2022)&gt;1),"NUMERO_PC duplicado",IF(B2022="","DATA_PC vazia",IF(NOT(ISNUMBER(B2022)),"DATA_PC invalida",IF(OR(C2022="",C2022="Fora dos ciclos"),"CICLO_PC nao identificado",IF(OR(D2022="",D2022=0),"VALOR_PC vazio ou zero",IF(AND(G2022&lt;&gt;"Sim",G2022&lt;&gt;"Nao",G2022&lt;&gt;""),"PC_PAGO_A_CONTRATADA invalido",IF(AND(C2022&lt;&gt;"C0",IFERROR(INDEX(parametros!$A$2:$A$6,MATCH(C2022,parametros!$B$2:$B$6,0)),"")="Sim",IFERROR(INDEX(parametros!$H$2:$H$6,MATCH(C2022,parametros!$B$2:$B$6,0)),"")=""),"INICIO_EFEITO ausente: PC "&amp;A2022&amp;" - "&amp;C2022,IF(L2022="","EFEITO_PC nao calculado: PC "&amp;A2022&amp;" - "&amp;C2022,"OK")))))))))</f>
        <v/>
      </c>
      <c r="L2022" s="92" t="str">
        <f>IF(AND(A2022="",B2022="",D2022="",G2022=""),"",IF(OR(B2022="",NOT(ISNUMBER(B2022)),C2022="",C2022="Fora dos ciclos"),"",IF(C2022="C0","Nao",IF(IFERROR(INDEX(parametros!$A$2:$A$6,MATCH(C2022,parametros!$B$2:$B$6,0)),"")&lt;&gt;"Sim","Nao",IF(IFERROR(INDEX(parametros!$H$2:$H$6,MATCH(C2022,parametros!$B$2:$B$6,0)),"")="","",IF(B2022&gt;=IFERROR(INDEX(parametros!$H$2:$H$6,MATCH(C2022,parametros!$B$2:$B$6,0)),""),"Sim","Nao"))))))</f>
        <v/>
      </c>
      <c r="T2022" s="156"/>
      <c r="U2022" s="214" t="str">
        <f t="shared" si="161"/>
        <v/>
      </c>
      <c r="V2022" s="212" t="s">
        <v>50</v>
      </c>
      <c r="W2022" s="100" t="s">
        <v>168</v>
      </c>
      <c r="X2022" s="100" t="s">
        <v>169</v>
      </c>
      <c r="Y2022" s="101" t="s">
        <v>170</v>
      </c>
      <c r="Z2022" s="101" t="s">
        <v>171</v>
      </c>
      <c r="AA2022" s="101" t="s">
        <v>50</v>
      </c>
      <c r="AB2022" s="101" t="s">
        <v>172</v>
      </c>
      <c r="AC2022" s="102" t="s">
        <v>173</v>
      </c>
    </row>
    <row r="2023" spans="1:29" ht="25.5" customHeight="1" x14ac:dyDescent="0.35">
      <c r="A2023" s="392"/>
      <c r="B2023" s="393"/>
      <c r="C2023" s="99" t="str">
        <f>IF(B2023="","",IF(NOT(ISNUMBER(B2023)),"DATA_PC invalida",IF(NOT(ISNUMBER(parametros!$C$2)),"Fora dos ciclos",IF(OR(B2023&lt;parametros!$C$2,(YEAR(B2023)-YEAR(parametros!$C$2))*12+MONTH(B2023)-MONTH(parametros!$C$2)&gt;59),"Fora dos ciclos","C"&amp;INT(((YEAR(B2023)-YEAR(parametros!$C$2))*12+MONTH(B2023)-MONTH(parametros!$C$2))/12)))))</f>
        <v/>
      </c>
      <c r="D2023" s="394"/>
      <c r="E2023" s="78" t="str">
        <f>IF(C2023="","",IFERROR(VLOOKUP(C2023,parametros!$A$11:$E$15,5,0),""))</f>
        <v/>
      </c>
      <c r="F2023" s="79" t="str">
        <f t="shared" si="157"/>
        <v/>
      </c>
      <c r="G2023" s="395"/>
      <c r="H2023" s="91">
        <f t="shared" si="158"/>
        <v>0</v>
      </c>
      <c r="I2023" s="91" t="str">
        <f t="shared" si="159"/>
        <v/>
      </c>
      <c r="J2023" s="91" t="str">
        <f t="shared" si="160"/>
        <v/>
      </c>
      <c r="K2023" s="92" t="str">
        <f>IF(AND(A2023="",B2023="",D2023="",G2023=""),"",IF(AND(A2023&lt;&gt;"",COUNTIF($A$2:$A$5001,A2023)&gt;1),"NUMERO_PC duplicado",IF(B2023="","DATA_PC vazia",IF(NOT(ISNUMBER(B2023)),"DATA_PC invalida",IF(OR(C2023="",C2023="Fora dos ciclos"),"CICLO_PC nao identificado",IF(OR(D2023="",D2023=0),"VALOR_PC vazio ou zero",IF(AND(G2023&lt;&gt;"Sim",G2023&lt;&gt;"Nao",G2023&lt;&gt;""),"PC_PAGO_A_CONTRATADA invalido",IF(AND(C2023&lt;&gt;"C0",IFERROR(INDEX(parametros!$A$2:$A$6,MATCH(C2023,parametros!$B$2:$B$6,0)),"")="Sim",IFERROR(INDEX(parametros!$H$2:$H$6,MATCH(C2023,parametros!$B$2:$B$6,0)),"")=""),"INICIO_EFEITO ausente: PC "&amp;A2023&amp;" - "&amp;C2023,IF(L2023="","EFEITO_PC nao calculado: PC "&amp;A2023&amp;" - "&amp;C2023,"OK")))))))))</f>
        <v/>
      </c>
      <c r="L2023" s="92" t="str">
        <f>IF(AND(A2023="",B2023="",D2023="",G2023=""),"",IF(OR(B2023="",NOT(ISNUMBER(B2023)),C2023="",C2023="Fora dos ciclos"),"",IF(C2023="C0","Nao",IF(IFERROR(INDEX(parametros!$A$2:$A$6,MATCH(C2023,parametros!$B$2:$B$6,0)),"")&lt;&gt;"Sim","Nao",IF(IFERROR(INDEX(parametros!$H$2:$H$6,MATCH(C2023,parametros!$B$2:$B$6,0)),"")="","",IF(B2023&gt;=IFERROR(INDEX(parametros!$H$2:$H$6,MATCH(C2023,parametros!$B$2:$B$6,0)),""),"Sim","Nao"))))))</f>
        <v/>
      </c>
      <c r="T2023" s="156"/>
      <c r="U2023" s="214" t="str">
        <f t="shared" si="161"/>
        <v/>
      </c>
      <c r="V2023" s="212" t="s">
        <v>50</v>
      </c>
      <c r="W2023" s="100" t="s">
        <v>168</v>
      </c>
      <c r="X2023" s="100" t="s">
        <v>169</v>
      </c>
      <c r="Y2023" s="101" t="s">
        <v>170</v>
      </c>
      <c r="Z2023" s="101" t="s">
        <v>171</v>
      </c>
      <c r="AA2023" s="101" t="s">
        <v>50</v>
      </c>
      <c r="AB2023" s="101" t="s">
        <v>172</v>
      </c>
      <c r="AC2023" s="102" t="s">
        <v>173</v>
      </c>
    </row>
    <row r="2024" spans="1:29" ht="25.5" customHeight="1" x14ac:dyDescent="0.35">
      <c r="A2024" s="392"/>
      <c r="B2024" s="393"/>
      <c r="C2024" s="99" t="str">
        <f>IF(B2024="","",IF(NOT(ISNUMBER(B2024)),"DATA_PC invalida",IF(NOT(ISNUMBER(parametros!$C$2)),"Fora dos ciclos",IF(OR(B2024&lt;parametros!$C$2,(YEAR(B2024)-YEAR(parametros!$C$2))*12+MONTH(B2024)-MONTH(parametros!$C$2)&gt;59),"Fora dos ciclos","C"&amp;INT(((YEAR(B2024)-YEAR(parametros!$C$2))*12+MONTH(B2024)-MONTH(parametros!$C$2))/12)))))</f>
        <v/>
      </c>
      <c r="D2024" s="394"/>
      <c r="E2024" s="78" t="str">
        <f>IF(C2024="","",IFERROR(VLOOKUP(C2024,parametros!$A$11:$E$15,5,0),""))</f>
        <v/>
      </c>
      <c r="F2024" s="79" t="str">
        <f t="shared" si="157"/>
        <v/>
      </c>
      <c r="G2024" s="395"/>
      <c r="H2024" s="91">
        <f t="shared" si="158"/>
        <v>0</v>
      </c>
      <c r="I2024" s="91" t="str">
        <f t="shared" si="159"/>
        <v/>
      </c>
      <c r="J2024" s="91" t="str">
        <f t="shared" si="160"/>
        <v/>
      </c>
      <c r="K2024" s="92" t="str">
        <f>IF(AND(A2024="",B2024="",D2024="",G2024=""),"",IF(AND(A2024&lt;&gt;"",COUNTIF($A$2:$A$5001,A2024)&gt;1),"NUMERO_PC duplicado",IF(B2024="","DATA_PC vazia",IF(NOT(ISNUMBER(B2024)),"DATA_PC invalida",IF(OR(C2024="",C2024="Fora dos ciclos"),"CICLO_PC nao identificado",IF(OR(D2024="",D2024=0),"VALOR_PC vazio ou zero",IF(AND(G2024&lt;&gt;"Sim",G2024&lt;&gt;"Nao",G2024&lt;&gt;""),"PC_PAGO_A_CONTRATADA invalido",IF(AND(C2024&lt;&gt;"C0",IFERROR(INDEX(parametros!$A$2:$A$6,MATCH(C2024,parametros!$B$2:$B$6,0)),"")="Sim",IFERROR(INDEX(parametros!$H$2:$H$6,MATCH(C2024,parametros!$B$2:$B$6,0)),"")=""),"INICIO_EFEITO ausente: PC "&amp;A2024&amp;" - "&amp;C2024,IF(L2024="","EFEITO_PC nao calculado: PC "&amp;A2024&amp;" - "&amp;C2024,"OK")))))))))</f>
        <v/>
      </c>
      <c r="L2024" s="92" t="str">
        <f>IF(AND(A2024="",B2024="",D2024="",G2024=""),"",IF(OR(B2024="",NOT(ISNUMBER(B2024)),C2024="",C2024="Fora dos ciclos"),"",IF(C2024="C0","Nao",IF(IFERROR(INDEX(parametros!$A$2:$A$6,MATCH(C2024,parametros!$B$2:$B$6,0)),"")&lt;&gt;"Sim","Nao",IF(IFERROR(INDEX(parametros!$H$2:$H$6,MATCH(C2024,parametros!$B$2:$B$6,0)),"")="","",IF(B2024&gt;=IFERROR(INDEX(parametros!$H$2:$H$6,MATCH(C2024,parametros!$B$2:$B$6,0)),""),"Sim","Nao"))))))</f>
        <v/>
      </c>
      <c r="T2024" s="156"/>
      <c r="U2024" s="214" t="str">
        <f t="shared" si="161"/>
        <v/>
      </c>
      <c r="V2024" s="212" t="s">
        <v>50</v>
      </c>
      <c r="W2024" s="100" t="s">
        <v>168</v>
      </c>
      <c r="X2024" s="100" t="s">
        <v>169</v>
      </c>
      <c r="Y2024" s="101" t="s">
        <v>170</v>
      </c>
      <c r="Z2024" s="101" t="s">
        <v>171</v>
      </c>
      <c r="AA2024" s="101" t="s">
        <v>50</v>
      </c>
      <c r="AB2024" s="101" t="s">
        <v>172</v>
      </c>
      <c r="AC2024" s="102" t="s">
        <v>173</v>
      </c>
    </row>
    <row r="2025" spans="1:29" ht="25.5" customHeight="1" x14ac:dyDescent="0.35">
      <c r="A2025" s="392"/>
      <c r="B2025" s="393"/>
      <c r="C2025" s="99" t="str">
        <f>IF(B2025="","",IF(NOT(ISNUMBER(B2025)),"DATA_PC invalida",IF(NOT(ISNUMBER(parametros!$C$2)),"Fora dos ciclos",IF(OR(B2025&lt;parametros!$C$2,(YEAR(B2025)-YEAR(parametros!$C$2))*12+MONTH(B2025)-MONTH(parametros!$C$2)&gt;59),"Fora dos ciclos","C"&amp;INT(((YEAR(B2025)-YEAR(parametros!$C$2))*12+MONTH(B2025)-MONTH(parametros!$C$2))/12)))))</f>
        <v/>
      </c>
      <c r="D2025" s="394"/>
      <c r="E2025" s="78" t="str">
        <f>IF(C2025="","",IFERROR(VLOOKUP(C2025,parametros!$A$11:$E$15,5,0),""))</f>
        <v/>
      </c>
      <c r="F2025" s="79" t="str">
        <f t="shared" si="157"/>
        <v/>
      </c>
      <c r="G2025" s="395"/>
      <c r="H2025" s="91">
        <f t="shared" si="158"/>
        <v>0</v>
      </c>
      <c r="I2025" s="91" t="str">
        <f t="shared" si="159"/>
        <v/>
      </c>
      <c r="J2025" s="91" t="str">
        <f t="shared" si="160"/>
        <v/>
      </c>
      <c r="K2025" s="92" t="str">
        <f>IF(AND(A2025="",B2025="",D2025="",G2025=""),"",IF(AND(A2025&lt;&gt;"",COUNTIF($A$2:$A$5001,A2025)&gt;1),"NUMERO_PC duplicado",IF(B2025="","DATA_PC vazia",IF(NOT(ISNUMBER(B2025)),"DATA_PC invalida",IF(OR(C2025="",C2025="Fora dos ciclos"),"CICLO_PC nao identificado",IF(OR(D2025="",D2025=0),"VALOR_PC vazio ou zero",IF(AND(G2025&lt;&gt;"Sim",G2025&lt;&gt;"Nao",G2025&lt;&gt;""),"PC_PAGO_A_CONTRATADA invalido",IF(AND(C2025&lt;&gt;"C0",IFERROR(INDEX(parametros!$A$2:$A$6,MATCH(C2025,parametros!$B$2:$B$6,0)),"")="Sim",IFERROR(INDEX(parametros!$H$2:$H$6,MATCH(C2025,parametros!$B$2:$B$6,0)),"")=""),"INICIO_EFEITO ausente: PC "&amp;A2025&amp;" - "&amp;C2025,IF(L2025="","EFEITO_PC nao calculado: PC "&amp;A2025&amp;" - "&amp;C2025,"OK")))))))))</f>
        <v/>
      </c>
      <c r="L2025" s="92" t="str">
        <f>IF(AND(A2025="",B2025="",D2025="",G2025=""),"",IF(OR(B2025="",NOT(ISNUMBER(B2025)),C2025="",C2025="Fora dos ciclos"),"",IF(C2025="C0","Nao",IF(IFERROR(INDEX(parametros!$A$2:$A$6,MATCH(C2025,parametros!$B$2:$B$6,0)),"")&lt;&gt;"Sim","Nao",IF(IFERROR(INDEX(parametros!$H$2:$H$6,MATCH(C2025,parametros!$B$2:$B$6,0)),"")="","",IF(B2025&gt;=IFERROR(INDEX(parametros!$H$2:$H$6,MATCH(C2025,parametros!$B$2:$B$6,0)),""),"Sim","Nao"))))))</f>
        <v/>
      </c>
      <c r="T2025" s="156"/>
      <c r="U2025" s="214" t="str">
        <f t="shared" si="161"/>
        <v/>
      </c>
      <c r="V2025" s="212" t="s">
        <v>50</v>
      </c>
      <c r="W2025" s="100" t="s">
        <v>168</v>
      </c>
      <c r="X2025" s="100" t="s">
        <v>169</v>
      </c>
      <c r="Y2025" s="101" t="s">
        <v>170</v>
      </c>
      <c r="Z2025" s="101" t="s">
        <v>171</v>
      </c>
      <c r="AA2025" s="101" t="s">
        <v>50</v>
      </c>
      <c r="AB2025" s="101" t="s">
        <v>172</v>
      </c>
      <c r="AC2025" s="102" t="s">
        <v>173</v>
      </c>
    </row>
    <row r="2026" spans="1:29" ht="25.5" customHeight="1" x14ac:dyDescent="0.35">
      <c r="A2026" s="392"/>
      <c r="B2026" s="393"/>
      <c r="C2026" s="99" t="str">
        <f>IF(B2026="","",IF(NOT(ISNUMBER(B2026)),"DATA_PC invalida",IF(NOT(ISNUMBER(parametros!$C$2)),"Fora dos ciclos",IF(OR(B2026&lt;parametros!$C$2,(YEAR(B2026)-YEAR(parametros!$C$2))*12+MONTH(B2026)-MONTH(parametros!$C$2)&gt;59),"Fora dos ciclos","C"&amp;INT(((YEAR(B2026)-YEAR(parametros!$C$2))*12+MONTH(B2026)-MONTH(parametros!$C$2))/12)))))</f>
        <v/>
      </c>
      <c r="D2026" s="394"/>
      <c r="E2026" s="78" t="str">
        <f>IF(C2026="","",IFERROR(VLOOKUP(C2026,parametros!$A$11:$E$15,5,0),""))</f>
        <v/>
      </c>
      <c r="F2026" s="79" t="str">
        <f t="shared" si="157"/>
        <v/>
      </c>
      <c r="G2026" s="395"/>
      <c r="H2026" s="91">
        <f t="shared" si="158"/>
        <v>0</v>
      </c>
      <c r="I2026" s="91" t="str">
        <f t="shared" si="159"/>
        <v/>
      </c>
      <c r="J2026" s="91" t="str">
        <f t="shared" si="160"/>
        <v/>
      </c>
      <c r="K2026" s="92" t="str">
        <f>IF(AND(A2026="",B2026="",D2026="",G2026=""),"",IF(AND(A2026&lt;&gt;"",COUNTIF($A$2:$A$5001,A2026)&gt;1),"NUMERO_PC duplicado",IF(B2026="","DATA_PC vazia",IF(NOT(ISNUMBER(B2026)),"DATA_PC invalida",IF(OR(C2026="",C2026="Fora dos ciclos"),"CICLO_PC nao identificado",IF(OR(D2026="",D2026=0),"VALOR_PC vazio ou zero",IF(AND(G2026&lt;&gt;"Sim",G2026&lt;&gt;"Nao",G2026&lt;&gt;""),"PC_PAGO_A_CONTRATADA invalido",IF(AND(C2026&lt;&gt;"C0",IFERROR(INDEX(parametros!$A$2:$A$6,MATCH(C2026,parametros!$B$2:$B$6,0)),"")="Sim",IFERROR(INDEX(parametros!$H$2:$H$6,MATCH(C2026,parametros!$B$2:$B$6,0)),"")=""),"INICIO_EFEITO ausente: PC "&amp;A2026&amp;" - "&amp;C2026,IF(L2026="","EFEITO_PC nao calculado: PC "&amp;A2026&amp;" - "&amp;C2026,"OK")))))))))</f>
        <v/>
      </c>
      <c r="L2026" s="92" t="str">
        <f>IF(AND(A2026="",B2026="",D2026="",G2026=""),"",IF(OR(B2026="",NOT(ISNUMBER(B2026)),C2026="",C2026="Fora dos ciclos"),"",IF(C2026="C0","Nao",IF(IFERROR(INDEX(parametros!$A$2:$A$6,MATCH(C2026,parametros!$B$2:$B$6,0)),"")&lt;&gt;"Sim","Nao",IF(IFERROR(INDEX(parametros!$H$2:$H$6,MATCH(C2026,parametros!$B$2:$B$6,0)),"")="","",IF(B2026&gt;=IFERROR(INDEX(parametros!$H$2:$H$6,MATCH(C2026,parametros!$B$2:$B$6,0)),""),"Sim","Nao"))))))</f>
        <v/>
      </c>
      <c r="T2026" s="156"/>
      <c r="U2026" s="214" t="str">
        <f t="shared" si="161"/>
        <v/>
      </c>
      <c r="V2026" s="212" t="s">
        <v>50</v>
      </c>
      <c r="W2026" s="100" t="s">
        <v>168</v>
      </c>
      <c r="X2026" s="100" t="s">
        <v>169</v>
      </c>
      <c r="Y2026" s="101" t="s">
        <v>170</v>
      </c>
      <c r="Z2026" s="101" t="s">
        <v>171</v>
      </c>
      <c r="AA2026" s="101" t="s">
        <v>50</v>
      </c>
      <c r="AB2026" s="101" t="s">
        <v>172</v>
      </c>
      <c r="AC2026" s="102" t="s">
        <v>173</v>
      </c>
    </row>
    <row r="2027" spans="1:29" ht="25.5" customHeight="1" x14ac:dyDescent="0.35">
      <c r="A2027" s="392"/>
      <c r="B2027" s="393"/>
      <c r="C2027" s="99" t="str">
        <f>IF(B2027="","",IF(NOT(ISNUMBER(B2027)),"DATA_PC invalida",IF(NOT(ISNUMBER(parametros!$C$2)),"Fora dos ciclos",IF(OR(B2027&lt;parametros!$C$2,(YEAR(B2027)-YEAR(parametros!$C$2))*12+MONTH(B2027)-MONTH(parametros!$C$2)&gt;59),"Fora dos ciclos","C"&amp;INT(((YEAR(B2027)-YEAR(parametros!$C$2))*12+MONTH(B2027)-MONTH(parametros!$C$2))/12)))))</f>
        <v/>
      </c>
      <c r="D2027" s="394"/>
      <c r="E2027" s="78" t="str">
        <f>IF(C2027="","",IFERROR(VLOOKUP(C2027,parametros!$A$11:$E$15,5,0),""))</f>
        <v/>
      </c>
      <c r="F2027" s="79" t="str">
        <f t="shared" si="157"/>
        <v/>
      </c>
      <c r="G2027" s="395"/>
      <c r="H2027" s="91">
        <f t="shared" si="158"/>
        <v>0</v>
      </c>
      <c r="I2027" s="91" t="str">
        <f t="shared" si="159"/>
        <v/>
      </c>
      <c r="J2027" s="91" t="str">
        <f t="shared" si="160"/>
        <v/>
      </c>
      <c r="K2027" s="92" t="str">
        <f>IF(AND(A2027="",B2027="",D2027="",G2027=""),"",IF(AND(A2027&lt;&gt;"",COUNTIF($A$2:$A$5001,A2027)&gt;1),"NUMERO_PC duplicado",IF(B2027="","DATA_PC vazia",IF(NOT(ISNUMBER(B2027)),"DATA_PC invalida",IF(OR(C2027="",C2027="Fora dos ciclos"),"CICLO_PC nao identificado",IF(OR(D2027="",D2027=0),"VALOR_PC vazio ou zero",IF(AND(G2027&lt;&gt;"Sim",G2027&lt;&gt;"Nao",G2027&lt;&gt;""),"PC_PAGO_A_CONTRATADA invalido",IF(AND(C2027&lt;&gt;"C0",IFERROR(INDEX(parametros!$A$2:$A$6,MATCH(C2027,parametros!$B$2:$B$6,0)),"")="Sim",IFERROR(INDEX(parametros!$H$2:$H$6,MATCH(C2027,parametros!$B$2:$B$6,0)),"")=""),"INICIO_EFEITO ausente: PC "&amp;A2027&amp;" - "&amp;C2027,IF(L2027="","EFEITO_PC nao calculado: PC "&amp;A2027&amp;" - "&amp;C2027,"OK")))))))))</f>
        <v/>
      </c>
      <c r="L2027" s="92" t="str">
        <f>IF(AND(A2027="",B2027="",D2027="",G2027=""),"",IF(OR(B2027="",NOT(ISNUMBER(B2027)),C2027="",C2027="Fora dos ciclos"),"",IF(C2027="C0","Nao",IF(IFERROR(INDEX(parametros!$A$2:$A$6,MATCH(C2027,parametros!$B$2:$B$6,0)),"")&lt;&gt;"Sim","Nao",IF(IFERROR(INDEX(parametros!$H$2:$H$6,MATCH(C2027,parametros!$B$2:$B$6,0)),"")="","",IF(B2027&gt;=IFERROR(INDEX(parametros!$H$2:$H$6,MATCH(C2027,parametros!$B$2:$B$6,0)),""),"Sim","Nao"))))))</f>
        <v/>
      </c>
      <c r="T2027" s="156"/>
      <c r="U2027" s="214" t="str">
        <f t="shared" si="161"/>
        <v/>
      </c>
      <c r="V2027" s="212" t="s">
        <v>50</v>
      </c>
      <c r="W2027" s="100" t="s">
        <v>168</v>
      </c>
      <c r="X2027" s="100" t="s">
        <v>169</v>
      </c>
      <c r="Y2027" s="101" t="s">
        <v>170</v>
      </c>
      <c r="Z2027" s="101" t="s">
        <v>171</v>
      </c>
      <c r="AA2027" s="101" t="s">
        <v>50</v>
      </c>
      <c r="AB2027" s="101" t="s">
        <v>172</v>
      </c>
      <c r="AC2027" s="102" t="s">
        <v>173</v>
      </c>
    </row>
    <row r="2028" spans="1:29" ht="25.5" customHeight="1" x14ac:dyDescent="0.35">
      <c r="A2028" s="392"/>
      <c r="B2028" s="393"/>
      <c r="C2028" s="99" t="str">
        <f>IF(B2028="","",IF(NOT(ISNUMBER(B2028)),"DATA_PC invalida",IF(NOT(ISNUMBER(parametros!$C$2)),"Fora dos ciclos",IF(OR(B2028&lt;parametros!$C$2,(YEAR(B2028)-YEAR(parametros!$C$2))*12+MONTH(B2028)-MONTH(parametros!$C$2)&gt;59),"Fora dos ciclos","C"&amp;INT(((YEAR(B2028)-YEAR(parametros!$C$2))*12+MONTH(B2028)-MONTH(parametros!$C$2))/12)))))</f>
        <v/>
      </c>
      <c r="D2028" s="394"/>
      <c r="E2028" s="78" t="str">
        <f>IF(C2028="","",IFERROR(VLOOKUP(C2028,parametros!$A$11:$E$15,5,0),""))</f>
        <v/>
      </c>
      <c r="F2028" s="79" t="str">
        <f t="shared" si="157"/>
        <v/>
      </c>
      <c r="G2028" s="395"/>
      <c r="H2028" s="91">
        <f t="shared" si="158"/>
        <v>0</v>
      </c>
      <c r="I2028" s="91" t="str">
        <f t="shared" si="159"/>
        <v/>
      </c>
      <c r="J2028" s="91" t="str">
        <f t="shared" si="160"/>
        <v/>
      </c>
      <c r="K2028" s="92" t="str">
        <f>IF(AND(A2028="",B2028="",D2028="",G2028=""),"",IF(AND(A2028&lt;&gt;"",COUNTIF($A$2:$A$5001,A2028)&gt;1),"NUMERO_PC duplicado",IF(B2028="","DATA_PC vazia",IF(NOT(ISNUMBER(B2028)),"DATA_PC invalida",IF(OR(C2028="",C2028="Fora dos ciclos"),"CICLO_PC nao identificado",IF(OR(D2028="",D2028=0),"VALOR_PC vazio ou zero",IF(AND(G2028&lt;&gt;"Sim",G2028&lt;&gt;"Nao",G2028&lt;&gt;""),"PC_PAGO_A_CONTRATADA invalido",IF(AND(C2028&lt;&gt;"C0",IFERROR(INDEX(parametros!$A$2:$A$6,MATCH(C2028,parametros!$B$2:$B$6,0)),"")="Sim",IFERROR(INDEX(parametros!$H$2:$H$6,MATCH(C2028,parametros!$B$2:$B$6,0)),"")=""),"INICIO_EFEITO ausente: PC "&amp;A2028&amp;" - "&amp;C2028,IF(L2028="","EFEITO_PC nao calculado: PC "&amp;A2028&amp;" - "&amp;C2028,"OK")))))))))</f>
        <v/>
      </c>
      <c r="L2028" s="92" t="str">
        <f>IF(AND(A2028="",B2028="",D2028="",G2028=""),"",IF(OR(B2028="",NOT(ISNUMBER(B2028)),C2028="",C2028="Fora dos ciclos"),"",IF(C2028="C0","Nao",IF(IFERROR(INDEX(parametros!$A$2:$A$6,MATCH(C2028,parametros!$B$2:$B$6,0)),"")&lt;&gt;"Sim","Nao",IF(IFERROR(INDEX(parametros!$H$2:$H$6,MATCH(C2028,parametros!$B$2:$B$6,0)),"")="","",IF(B2028&gt;=IFERROR(INDEX(parametros!$H$2:$H$6,MATCH(C2028,parametros!$B$2:$B$6,0)),""),"Sim","Nao"))))))</f>
        <v/>
      </c>
      <c r="T2028" s="156"/>
      <c r="U2028" s="214" t="str">
        <f t="shared" si="161"/>
        <v/>
      </c>
      <c r="V2028" s="212" t="s">
        <v>50</v>
      </c>
      <c r="W2028" s="100" t="s">
        <v>168</v>
      </c>
      <c r="X2028" s="100" t="s">
        <v>169</v>
      </c>
      <c r="Y2028" s="101" t="s">
        <v>170</v>
      </c>
      <c r="Z2028" s="101" t="s">
        <v>171</v>
      </c>
      <c r="AA2028" s="101" t="s">
        <v>50</v>
      </c>
      <c r="AB2028" s="101" t="s">
        <v>172</v>
      </c>
      <c r="AC2028" s="102" t="s">
        <v>173</v>
      </c>
    </row>
    <row r="2029" spans="1:29" ht="25.5" customHeight="1" x14ac:dyDescent="0.35">
      <c r="A2029" s="392"/>
      <c r="B2029" s="393"/>
      <c r="C2029" s="99" t="str">
        <f>IF(B2029="","",IF(NOT(ISNUMBER(B2029)),"DATA_PC invalida",IF(NOT(ISNUMBER(parametros!$C$2)),"Fora dos ciclos",IF(OR(B2029&lt;parametros!$C$2,(YEAR(B2029)-YEAR(parametros!$C$2))*12+MONTH(B2029)-MONTH(parametros!$C$2)&gt;59),"Fora dos ciclos","C"&amp;INT(((YEAR(B2029)-YEAR(parametros!$C$2))*12+MONTH(B2029)-MONTH(parametros!$C$2))/12)))))</f>
        <v/>
      </c>
      <c r="D2029" s="394"/>
      <c r="E2029" s="78" t="str">
        <f>IF(C2029="","",IFERROR(VLOOKUP(C2029,parametros!$A$11:$E$15,5,0),""))</f>
        <v/>
      </c>
      <c r="F2029" s="79" t="str">
        <f t="shared" si="157"/>
        <v/>
      </c>
      <c r="G2029" s="395"/>
      <c r="H2029" s="91">
        <f t="shared" si="158"/>
        <v>0</v>
      </c>
      <c r="I2029" s="91" t="str">
        <f t="shared" si="159"/>
        <v/>
      </c>
      <c r="J2029" s="91" t="str">
        <f t="shared" si="160"/>
        <v/>
      </c>
      <c r="K2029" s="92" t="str">
        <f>IF(AND(A2029="",B2029="",D2029="",G2029=""),"",IF(AND(A2029&lt;&gt;"",COUNTIF($A$2:$A$5001,A2029)&gt;1),"NUMERO_PC duplicado",IF(B2029="","DATA_PC vazia",IF(NOT(ISNUMBER(B2029)),"DATA_PC invalida",IF(OR(C2029="",C2029="Fora dos ciclos"),"CICLO_PC nao identificado",IF(OR(D2029="",D2029=0),"VALOR_PC vazio ou zero",IF(AND(G2029&lt;&gt;"Sim",G2029&lt;&gt;"Nao",G2029&lt;&gt;""),"PC_PAGO_A_CONTRATADA invalido",IF(AND(C2029&lt;&gt;"C0",IFERROR(INDEX(parametros!$A$2:$A$6,MATCH(C2029,parametros!$B$2:$B$6,0)),"")="Sim",IFERROR(INDEX(parametros!$H$2:$H$6,MATCH(C2029,parametros!$B$2:$B$6,0)),"")=""),"INICIO_EFEITO ausente: PC "&amp;A2029&amp;" - "&amp;C2029,IF(L2029="","EFEITO_PC nao calculado: PC "&amp;A2029&amp;" - "&amp;C2029,"OK")))))))))</f>
        <v/>
      </c>
      <c r="L2029" s="92" t="str">
        <f>IF(AND(A2029="",B2029="",D2029="",G2029=""),"",IF(OR(B2029="",NOT(ISNUMBER(B2029)),C2029="",C2029="Fora dos ciclos"),"",IF(C2029="C0","Nao",IF(IFERROR(INDEX(parametros!$A$2:$A$6,MATCH(C2029,parametros!$B$2:$B$6,0)),"")&lt;&gt;"Sim","Nao",IF(IFERROR(INDEX(parametros!$H$2:$H$6,MATCH(C2029,parametros!$B$2:$B$6,0)),"")="","",IF(B2029&gt;=IFERROR(INDEX(parametros!$H$2:$H$6,MATCH(C2029,parametros!$B$2:$B$6,0)),""),"Sim","Nao"))))))</f>
        <v/>
      </c>
      <c r="T2029" s="156"/>
      <c r="U2029" s="214" t="str">
        <f t="shared" si="161"/>
        <v/>
      </c>
      <c r="V2029" s="212" t="s">
        <v>50</v>
      </c>
      <c r="W2029" s="100" t="s">
        <v>168</v>
      </c>
      <c r="X2029" s="100" t="s">
        <v>169</v>
      </c>
      <c r="Y2029" s="101" t="s">
        <v>170</v>
      </c>
      <c r="Z2029" s="101" t="s">
        <v>171</v>
      </c>
      <c r="AA2029" s="101" t="s">
        <v>50</v>
      </c>
      <c r="AB2029" s="101" t="s">
        <v>172</v>
      </c>
      <c r="AC2029" s="102" t="s">
        <v>173</v>
      </c>
    </row>
    <row r="2030" spans="1:29" ht="25.5" customHeight="1" x14ac:dyDescent="0.35">
      <c r="A2030" s="392"/>
      <c r="B2030" s="393"/>
      <c r="C2030" s="99" t="str">
        <f>IF(B2030="","",IF(NOT(ISNUMBER(B2030)),"DATA_PC invalida",IF(NOT(ISNUMBER(parametros!$C$2)),"Fora dos ciclos",IF(OR(B2030&lt;parametros!$C$2,(YEAR(B2030)-YEAR(parametros!$C$2))*12+MONTH(B2030)-MONTH(parametros!$C$2)&gt;59),"Fora dos ciclos","C"&amp;INT(((YEAR(B2030)-YEAR(parametros!$C$2))*12+MONTH(B2030)-MONTH(parametros!$C$2))/12)))))</f>
        <v/>
      </c>
      <c r="D2030" s="394"/>
      <c r="E2030" s="78" t="str">
        <f>IF(C2030="","",IFERROR(VLOOKUP(C2030,parametros!$A$11:$E$15,5,0),""))</f>
        <v/>
      </c>
      <c r="F2030" s="79" t="str">
        <f t="shared" si="157"/>
        <v/>
      </c>
      <c r="G2030" s="395"/>
      <c r="H2030" s="91">
        <f t="shared" si="158"/>
        <v>0</v>
      </c>
      <c r="I2030" s="91" t="str">
        <f t="shared" si="159"/>
        <v/>
      </c>
      <c r="J2030" s="91" t="str">
        <f t="shared" si="160"/>
        <v/>
      </c>
      <c r="K2030" s="92" t="str">
        <f>IF(AND(A2030="",B2030="",D2030="",G2030=""),"",IF(AND(A2030&lt;&gt;"",COUNTIF($A$2:$A$5001,A2030)&gt;1),"NUMERO_PC duplicado",IF(B2030="","DATA_PC vazia",IF(NOT(ISNUMBER(B2030)),"DATA_PC invalida",IF(OR(C2030="",C2030="Fora dos ciclos"),"CICLO_PC nao identificado",IF(OR(D2030="",D2030=0),"VALOR_PC vazio ou zero",IF(AND(G2030&lt;&gt;"Sim",G2030&lt;&gt;"Nao",G2030&lt;&gt;""),"PC_PAGO_A_CONTRATADA invalido",IF(AND(C2030&lt;&gt;"C0",IFERROR(INDEX(parametros!$A$2:$A$6,MATCH(C2030,parametros!$B$2:$B$6,0)),"")="Sim",IFERROR(INDEX(parametros!$H$2:$H$6,MATCH(C2030,parametros!$B$2:$B$6,0)),"")=""),"INICIO_EFEITO ausente: PC "&amp;A2030&amp;" - "&amp;C2030,IF(L2030="","EFEITO_PC nao calculado: PC "&amp;A2030&amp;" - "&amp;C2030,"OK")))))))))</f>
        <v/>
      </c>
      <c r="L2030" s="92" t="str">
        <f>IF(AND(A2030="",B2030="",D2030="",G2030=""),"",IF(OR(B2030="",NOT(ISNUMBER(B2030)),C2030="",C2030="Fora dos ciclos"),"",IF(C2030="C0","Nao",IF(IFERROR(INDEX(parametros!$A$2:$A$6,MATCH(C2030,parametros!$B$2:$B$6,0)),"")&lt;&gt;"Sim","Nao",IF(IFERROR(INDEX(parametros!$H$2:$H$6,MATCH(C2030,parametros!$B$2:$B$6,0)),"")="","",IF(B2030&gt;=IFERROR(INDEX(parametros!$H$2:$H$6,MATCH(C2030,parametros!$B$2:$B$6,0)),""),"Sim","Nao"))))))</f>
        <v/>
      </c>
      <c r="T2030" s="156"/>
      <c r="U2030" s="214" t="str">
        <f t="shared" si="161"/>
        <v/>
      </c>
      <c r="V2030" s="212" t="s">
        <v>50</v>
      </c>
      <c r="W2030" s="100" t="s">
        <v>168</v>
      </c>
      <c r="X2030" s="100" t="s">
        <v>169</v>
      </c>
      <c r="Y2030" s="101" t="s">
        <v>170</v>
      </c>
      <c r="Z2030" s="101" t="s">
        <v>171</v>
      </c>
      <c r="AA2030" s="101" t="s">
        <v>50</v>
      </c>
      <c r="AB2030" s="101" t="s">
        <v>172</v>
      </c>
      <c r="AC2030" s="102" t="s">
        <v>173</v>
      </c>
    </row>
    <row r="2031" spans="1:29" ht="25.5" customHeight="1" x14ac:dyDescent="0.35">
      <c r="A2031" s="392"/>
      <c r="B2031" s="393"/>
      <c r="C2031" s="99" t="str">
        <f>IF(B2031="","",IF(NOT(ISNUMBER(B2031)),"DATA_PC invalida",IF(NOT(ISNUMBER(parametros!$C$2)),"Fora dos ciclos",IF(OR(B2031&lt;parametros!$C$2,(YEAR(B2031)-YEAR(parametros!$C$2))*12+MONTH(B2031)-MONTH(parametros!$C$2)&gt;59),"Fora dos ciclos","C"&amp;INT(((YEAR(B2031)-YEAR(parametros!$C$2))*12+MONTH(B2031)-MONTH(parametros!$C$2))/12)))))</f>
        <v/>
      </c>
      <c r="D2031" s="394"/>
      <c r="E2031" s="78" t="str">
        <f>IF(C2031="","",IFERROR(VLOOKUP(C2031,parametros!$A$11:$E$15,5,0),""))</f>
        <v/>
      </c>
      <c r="F2031" s="79" t="str">
        <f t="shared" si="157"/>
        <v/>
      </c>
      <c r="G2031" s="395"/>
      <c r="H2031" s="91">
        <f t="shared" si="158"/>
        <v>0</v>
      </c>
      <c r="I2031" s="91" t="str">
        <f t="shared" si="159"/>
        <v/>
      </c>
      <c r="J2031" s="91" t="str">
        <f t="shared" si="160"/>
        <v/>
      </c>
      <c r="K2031" s="92" t="str">
        <f>IF(AND(A2031="",B2031="",D2031="",G2031=""),"",IF(AND(A2031&lt;&gt;"",COUNTIF($A$2:$A$5001,A2031)&gt;1),"NUMERO_PC duplicado",IF(B2031="","DATA_PC vazia",IF(NOT(ISNUMBER(B2031)),"DATA_PC invalida",IF(OR(C2031="",C2031="Fora dos ciclos"),"CICLO_PC nao identificado",IF(OR(D2031="",D2031=0),"VALOR_PC vazio ou zero",IF(AND(G2031&lt;&gt;"Sim",G2031&lt;&gt;"Nao",G2031&lt;&gt;""),"PC_PAGO_A_CONTRATADA invalido",IF(AND(C2031&lt;&gt;"C0",IFERROR(INDEX(parametros!$A$2:$A$6,MATCH(C2031,parametros!$B$2:$B$6,0)),"")="Sim",IFERROR(INDEX(parametros!$H$2:$H$6,MATCH(C2031,parametros!$B$2:$B$6,0)),"")=""),"INICIO_EFEITO ausente: PC "&amp;A2031&amp;" - "&amp;C2031,IF(L2031="","EFEITO_PC nao calculado: PC "&amp;A2031&amp;" - "&amp;C2031,"OK")))))))))</f>
        <v/>
      </c>
      <c r="L2031" s="92" t="str">
        <f>IF(AND(A2031="",B2031="",D2031="",G2031=""),"",IF(OR(B2031="",NOT(ISNUMBER(B2031)),C2031="",C2031="Fora dos ciclos"),"",IF(C2031="C0","Nao",IF(IFERROR(INDEX(parametros!$A$2:$A$6,MATCH(C2031,parametros!$B$2:$B$6,0)),"")&lt;&gt;"Sim","Nao",IF(IFERROR(INDEX(parametros!$H$2:$H$6,MATCH(C2031,parametros!$B$2:$B$6,0)),"")="","",IF(B2031&gt;=IFERROR(INDEX(parametros!$H$2:$H$6,MATCH(C2031,parametros!$B$2:$B$6,0)),""),"Sim","Nao"))))))</f>
        <v/>
      </c>
      <c r="T2031" s="156"/>
      <c r="U2031" s="214" t="str">
        <f t="shared" si="161"/>
        <v/>
      </c>
      <c r="V2031" s="212" t="s">
        <v>50</v>
      </c>
      <c r="W2031" s="100" t="s">
        <v>168</v>
      </c>
      <c r="X2031" s="100" t="s">
        <v>169</v>
      </c>
      <c r="Y2031" s="101" t="s">
        <v>170</v>
      </c>
      <c r="Z2031" s="101" t="s">
        <v>171</v>
      </c>
      <c r="AA2031" s="101" t="s">
        <v>50</v>
      </c>
      <c r="AB2031" s="101" t="s">
        <v>172</v>
      </c>
      <c r="AC2031" s="102" t="s">
        <v>173</v>
      </c>
    </row>
    <row r="2032" spans="1:29" ht="25.5" customHeight="1" x14ac:dyDescent="0.35">
      <c r="A2032" s="392"/>
      <c r="B2032" s="393"/>
      <c r="C2032" s="99" t="str">
        <f>IF(B2032="","",IF(NOT(ISNUMBER(B2032)),"DATA_PC invalida",IF(NOT(ISNUMBER(parametros!$C$2)),"Fora dos ciclos",IF(OR(B2032&lt;parametros!$C$2,(YEAR(B2032)-YEAR(parametros!$C$2))*12+MONTH(B2032)-MONTH(parametros!$C$2)&gt;59),"Fora dos ciclos","C"&amp;INT(((YEAR(B2032)-YEAR(parametros!$C$2))*12+MONTH(B2032)-MONTH(parametros!$C$2))/12)))))</f>
        <v/>
      </c>
      <c r="D2032" s="394"/>
      <c r="E2032" s="78" t="str">
        <f>IF(C2032="","",IFERROR(VLOOKUP(C2032,parametros!$A$11:$E$15,5,0),""))</f>
        <v/>
      </c>
      <c r="F2032" s="79" t="str">
        <f t="shared" si="157"/>
        <v/>
      </c>
      <c r="G2032" s="395"/>
      <c r="H2032" s="91">
        <f t="shared" si="158"/>
        <v>0</v>
      </c>
      <c r="I2032" s="91" t="str">
        <f t="shared" si="159"/>
        <v/>
      </c>
      <c r="J2032" s="91" t="str">
        <f t="shared" si="160"/>
        <v/>
      </c>
      <c r="K2032" s="92" t="str">
        <f>IF(AND(A2032="",B2032="",D2032="",G2032=""),"",IF(AND(A2032&lt;&gt;"",COUNTIF($A$2:$A$5001,A2032)&gt;1),"NUMERO_PC duplicado",IF(B2032="","DATA_PC vazia",IF(NOT(ISNUMBER(B2032)),"DATA_PC invalida",IF(OR(C2032="",C2032="Fora dos ciclos"),"CICLO_PC nao identificado",IF(OR(D2032="",D2032=0),"VALOR_PC vazio ou zero",IF(AND(G2032&lt;&gt;"Sim",G2032&lt;&gt;"Nao",G2032&lt;&gt;""),"PC_PAGO_A_CONTRATADA invalido",IF(AND(C2032&lt;&gt;"C0",IFERROR(INDEX(parametros!$A$2:$A$6,MATCH(C2032,parametros!$B$2:$B$6,0)),"")="Sim",IFERROR(INDEX(parametros!$H$2:$H$6,MATCH(C2032,parametros!$B$2:$B$6,0)),"")=""),"INICIO_EFEITO ausente: PC "&amp;A2032&amp;" - "&amp;C2032,IF(L2032="","EFEITO_PC nao calculado: PC "&amp;A2032&amp;" - "&amp;C2032,"OK")))))))))</f>
        <v/>
      </c>
      <c r="L2032" s="92" t="str">
        <f>IF(AND(A2032="",B2032="",D2032="",G2032=""),"",IF(OR(B2032="",NOT(ISNUMBER(B2032)),C2032="",C2032="Fora dos ciclos"),"",IF(C2032="C0","Nao",IF(IFERROR(INDEX(parametros!$A$2:$A$6,MATCH(C2032,parametros!$B$2:$B$6,0)),"")&lt;&gt;"Sim","Nao",IF(IFERROR(INDEX(parametros!$H$2:$H$6,MATCH(C2032,parametros!$B$2:$B$6,0)),"")="","",IF(B2032&gt;=IFERROR(INDEX(parametros!$H$2:$H$6,MATCH(C2032,parametros!$B$2:$B$6,0)),""),"Sim","Nao"))))))</f>
        <v/>
      </c>
      <c r="T2032" s="156"/>
      <c r="U2032" s="214" t="str">
        <f t="shared" si="161"/>
        <v/>
      </c>
      <c r="V2032" s="212" t="s">
        <v>50</v>
      </c>
      <c r="W2032" s="100" t="s">
        <v>168</v>
      </c>
      <c r="X2032" s="100" t="s">
        <v>169</v>
      </c>
      <c r="Y2032" s="101" t="s">
        <v>170</v>
      </c>
      <c r="Z2032" s="101" t="s">
        <v>171</v>
      </c>
      <c r="AA2032" s="101" t="s">
        <v>50</v>
      </c>
      <c r="AB2032" s="101" t="s">
        <v>172</v>
      </c>
      <c r="AC2032" s="102" t="s">
        <v>173</v>
      </c>
    </row>
    <row r="2033" spans="1:29" ht="25.5" customHeight="1" x14ac:dyDescent="0.35">
      <c r="A2033" s="392"/>
      <c r="B2033" s="393"/>
      <c r="C2033" s="99" t="str">
        <f>IF(B2033="","",IF(NOT(ISNUMBER(B2033)),"DATA_PC invalida",IF(NOT(ISNUMBER(parametros!$C$2)),"Fora dos ciclos",IF(OR(B2033&lt;parametros!$C$2,(YEAR(B2033)-YEAR(parametros!$C$2))*12+MONTH(B2033)-MONTH(parametros!$C$2)&gt;59),"Fora dos ciclos","C"&amp;INT(((YEAR(B2033)-YEAR(parametros!$C$2))*12+MONTH(B2033)-MONTH(parametros!$C$2))/12)))))</f>
        <v/>
      </c>
      <c r="D2033" s="394"/>
      <c r="E2033" s="78" t="str">
        <f>IF(C2033="","",IFERROR(VLOOKUP(C2033,parametros!$A$11:$E$15,5,0),""))</f>
        <v/>
      </c>
      <c r="F2033" s="79" t="str">
        <f t="shared" si="157"/>
        <v/>
      </c>
      <c r="G2033" s="395"/>
      <c r="H2033" s="91">
        <f t="shared" si="158"/>
        <v>0</v>
      </c>
      <c r="I2033" s="91" t="str">
        <f t="shared" si="159"/>
        <v/>
      </c>
      <c r="J2033" s="91" t="str">
        <f t="shared" si="160"/>
        <v/>
      </c>
      <c r="K2033" s="92" t="str">
        <f>IF(AND(A2033="",B2033="",D2033="",G2033=""),"",IF(AND(A2033&lt;&gt;"",COUNTIF($A$2:$A$5001,A2033)&gt;1),"NUMERO_PC duplicado",IF(B2033="","DATA_PC vazia",IF(NOT(ISNUMBER(B2033)),"DATA_PC invalida",IF(OR(C2033="",C2033="Fora dos ciclos"),"CICLO_PC nao identificado",IF(OR(D2033="",D2033=0),"VALOR_PC vazio ou zero",IF(AND(G2033&lt;&gt;"Sim",G2033&lt;&gt;"Nao",G2033&lt;&gt;""),"PC_PAGO_A_CONTRATADA invalido",IF(AND(C2033&lt;&gt;"C0",IFERROR(INDEX(parametros!$A$2:$A$6,MATCH(C2033,parametros!$B$2:$B$6,0)),"")="Sim",IFERROR(INDEX(parametros!$H$2:$H$6,MATCH(C2033,parametros!$B$2:$B$6,0)),"")=""),"INICIO_EFEITO ausente: PC "&amp;A2033&amp;" - "&amp;C2033,IF(L2033="","EFEITO_PC nao calculado: PC "&amp;A2033&amp;" - "&amp;C2033,"OK")))))))))</f>
        <v/>
      </c>
      <c r="L2033" s="92" t="str">
        <f>IF(AND(A2033="",B2033="",D2033="",G2033=""),"",IF(OR(B2033="",NOT(ISNUMBER(B2033)),C2033="",C2033="Fora dos ciclos"),"",IF(C2033="C0","Nao",IF(IFERROR(INDEX(parametros!$A$2:$A$6,MATCH(C2033,parametros!$B$2:$B$6,0)),"")&lt;&gt;"Sim","Nao",IF(IFERROR(INDEX(parametros!$H$2:$H$6,MATCH(C2033,parametros!$B$2:$B$6,0)),"")="","",IF(B2033&gt;=IFERROR(INDEX(parametros!$H$2:$H$6,MATCH(C2033,parametros!$B$2:$B$6,0)),""),"Sim","Nao"))))))</f>
        <v/>
      </c>
      <c r="T2033" s="156"/>
      <c r="U2033" s="214" t="str">
        <f t="shared" si="161"/>
        <v/>
      </c>
      <c r="V2033" s="212" t="s">
        <v>50</v>
      </c>
      <c r="W2033" s="100" t="s">
        <v>168</v>
      </c>
      <c r="X2033" s="100" t="s">
        <v>169</v>
      </c>
      <c r="Y2033" s="101" t="s">
        <v>170</v>
      </c>
      <c r="Z2033" s="101" t="s">
        <v>171</v>
      </c>
      <c r="AA2033" s="101" t="s">
        <v>50</v>
      </c>
      <c r="AB2033" s="101" t="s">
        <v>172</v>
      </c>
      <c r="AC2033" s="102" t="s">
        <v>173</v>
      </c>
    </row>
    <row r="2034" spans="1:29" ht="25.5" customHeight="1" x14ac:dyDescent="0.35">
      <c r="A2034" s="392"/>
      <c r="B2034" s="393"/>
      <c r="C2034" s="99" t="str">
        <f>IF(B2034="","",IF(NOT(ISNUMBER(B2034)),"DATA_PC invalida",IF(NOT(ISNUMBER(parametros!$C$2)),"Fora dos ciclos",IF(OR(B2034&lt;parametros!$C$2,(YEAR(B2034)-YEAR(parametros!$C$2))*12+MONTH(B2034)-MONTH(parametros!$C$2)&gt;59),"Fora dos ciclos","C"&amp;INT(((YEAR(B2034)-YEAR(parametros!$C$2))*12+MONTH(B2034)-MONTH(parametros!$C$2))/12)))))</f>
        <v/>
      </c>
      <c r="D2034" s="394"/>
      <c r="E2034" s="78" t="str">
        <f>IF(C2034="","",IFERROR(VLOOKUP(C2034,parametros!$A$11:$E$15,5,0),""))</f>
        <v/>
      </c>
      <c r="F2034" s="79" t="str">
        <f t="shared" si="157"/>
        <v/>
      </c>
      <c r="G2034" s="395"/>
      <c r="H2034" s="91">
        <f t="shared" si="158"/>
        <v>0</v>
      </c>
      <c r="I2034" s="91" t="str">
        <f t="shared" si="159"/>
        <v/>
      </c>
      <c r="J2034" s="91" t="str">
        <f t="shared" si="160"/>
        <v/>
      </c>
      <c r="K2034" s="92" t="str">
        <f>IF(AND(A2034="",B2034="",D2034="",G2034=""),"",IF(AND(A2034&lt;&gt;"",COUNTIF($A$2:$A$5001,A2034)&gt;1),"NUMERO_PC duplicado",IF(B2034="","DATA_PC vazia",IF(NOT(ISNUMBER(B2034)),"DATA_PC invalida",IF(OR(C2034="",C2034="Fora dos ciclos"),"CICLO_PC nao identificado",IF(OR(D2034="",D2034=0),"VALOR_PC vazio ou zero",IF(AND(G2034&lt;&gt;"Sim",G2034&lt;&gt;"Nao",G2034&lt;&gt;""),"PC_PAGO_A_CONTRATADA invalido",IF(AND(C2034&lt;&gt;"C0",IFERROR(INDEX(parametros!$A$2:$A$6,MATCH(C2034,parametros!$B$2:$B$6,0)),"")="Sim",IFERROR(INDEX(parametros!$H$2:$H$6,MATCH(C2034,parametros!$B$2:$B$6,0)),"")=""),"INICIO_EFEITO ausente: PC "&amp;A2034&amp;" - "&amp;C2034,IF(L2034="","EFEITO_PC nao calculado: PC "&amp;A2034&amp;" - "&amp;C2034,"OK")))))))))</f>
        <v/>
      </c>
      <c r="L2034" s="92" t="str">
        <f>IF(AND(A2034="",B2034="",D2034="",G2034=""),"",IF(OR(B2034="",NOT(ISNUMBER(B2034)),C2034="",C2034="Fora dos ciclos"),"",IF(C2034="C0","Nao",IF(IFERROR(INDEX(parametros!$A$2:$A$6,MATCH(C2034,parametros!$B$2:$B$6,0)),"")&lt;&gt;"Sim","Nao",IF(IFERROR(INDEX(parametros!$H$2:$H$6,MATCH(C2034,parametros!$B$2:$B$6,0)),"")="","",IF(B2034&gt;=IFERROR(INDEX(parametros!$H$2:$H$6,MATCH(C2034,parametros!$B$2:$B$6,0)),""),"Sim","Nao"))))))</f>
        <v/>
      </c>
      <c r="T2034" s="156"/>
      <c r="U2034" s="214" t="str">
        <f t="shared" si="161"/>
        <v/>
      </c>
      <c r="V2034" s="212" t="s">
        <v>50</v>
      </c>
      <c r="W2034" s="100" t="s">
        <v>168</v>
      </c>
      <c r="X2034" s="100" t="s">
        <v>169</v>
      </c>
      <c r="Y2034" s="101" t="s">
        <v>170</v>
      </c>
      <c r="Z2034" s="101" t="s">
        <v>171</v>
      </c>
      <c r="AA2034" s="101" t="s">
        <v>50</v>
      </c>
      <c r="AB2034" s="101" t="s">
        <v>172</v>
      </c>
      <c r="AC2034" s="102" t="s">
        <v>173</v>
      </c>
    </row>
    <row r="2035" spans="1:29" ht="25.5" customHeight="1" x14ac:dyDescent="0.35">
      <c r="A2035" s="392"/>
      <c r="B2035" s="393"/>
      <c r="C2035" s="99" t="str">
        <f>IF(B2035="","",IF(NOT(ISNUMBER(B2035)),"DATA_PC invalida",IF(NOT(ISNUMBER(parametros!$C$2)),"Fora dos ciclos",IF(OR(B2035&lt;parametros!$C$2,(YEAR(B2035)-YEAR(parametros!$C$2))*12+MONTH(B2035)-MONTH(parametros!$C$2)&gt;59),"Fora dos ciclos","C"&amp;INT(((YEAR(B2035)-YEAR(parametros!$C$2))*12+MONTH(B2035)-MONTH(parametros!$C$2))/12)))))</f>
        <v/>
      </c>
      <c r="D2035" s="394"/>
      <c r="E2035" s="78" t="str">
        <f>IF(C2035="","",IFERROR(VLOOKUP(C2035,parametros!$A$11:$E$15,5,0),""))</f>
        <v/>
      </c>
      <c r="F2035" s="79" t="str">
        <f t="shared" si="157"/>
        <v/>
      </c>
      <c r="G2035" s="395"/>
      <c r="H2035" s="91">
        <f t="shared" si="158"/>
        <v>0</v>
      </c>
      <c r="I2035" s="91" t="str">
        <f t="shared" si="159"/>
        <v/>
      </c>
      <c r="J2035" s="91" t="str">
        <f t="shared" si="160"/>
        <v/>
      </c>
      <c r="K2035" s="92" t="str">
        <f>IF(AND(A2035="",B2035="",D2035="",G2035=""),"",IF(AND(A2035&lt;&gt;"",COUNTIF($A$2:$A$5001,A2035)&gt;1),"NUMERO_PC duplicado",IF(B2035="","DATA_PC vazia",IF(NOT(ISNUMBER(B2035)),"DATA_PC invalida",IF(OR(C2035="",C2035="Fora dos ciclos"),"CICLO_PC nao identificado",IF(OR(D2035="",D2035=0),"VALOR_PC vazio ou zero",IF(AND(G2035&lt;&gt;"Sim",G2035&lt;&gt;"Nao",G2035&lt;&gt;""),"PC_PAGO_A_CONTRATADA invalido",IF(AND(C2035&lt;&gt;"C0",IFERROR(INDEX(parametros!$A$2:$A$6,MATCH(C2035,parametros!$B$2:$B$6,0)),"")="Sim",IFERROR(INDEX(parametros!$H$2:$H$6,MATCH(C2035,parametros!$B$2:$B$6,0)),"")=""),"INICIO_EFEITO ausente: PC "&amp;A2035&amp;" - "&amp;C2035,IF(L2035="","EFEITO_PC nao calculado: PC "&amp;A2035&amp;" - "&amp;C2035,"OK")))))))))</f>
        <v/>
      </c>
      <c r="L2035" s="92" t="str">
        <f>IF(AND(A2035="",B2035="",D2035="",G2035=""),"",IF(OR(B2035="",NOT(ISNUMBER(B2035)),C2035="",C2035="Fora dos ciclos"),"",IF(C2035="C0","Nao",IF(IFERROR(INDEX(parametros!$A$2:$A$6,MATCH(C2035,parametros!$B$2:$B$6,0)),"")&lt;&gt;"Sim","Nao",IF(IFERROR(INDEX(parametros!$H$2:$H$6,MATCH(C2035,parametros!$B$2:$B$6,0)),"")="","",IF(B2035&gt;=IFERROR(INDEX(parametros!$H$2:$H$6,MATCH(C2035,parametros!$B$2:$B$6,0)),""),"Sim","Nao"))))))</f>
        <v/>
      </c>
      <c r="T2035" s="156"/>
      <c r="U2035" s="214" t="str">
        <f t="shared" si="161"/>
        <v/>
      </c>
      <c r="V2035" s="212" t="s">
        <v>50</v>
      </c>
      <c r="W2035" s="100" t="s">
        <v>168</v>
      </c>
      <c r="X2035" s="100" t="s">
        <v>169</v>
      </c>
      <c r="Y2035" s="101" t="s">
        <v>170</v>
      </c>
      <c r="Z2035" s="101" t="s">
        <v>171</v>
      </c>
      <c r="AA2035" s="101" t="s">
        <v>50</v>
      </c>
      <c r="AB2035" s="101" t="s">
        <v>172</v>
      </c>
      <c r="AC2035" s="102" t="s">
        <v>173</v>
      </c>
    </row>
    <row r="2036" spans="1:29" ht="25.5" customHeight="1" x14ac:dyDescent="0.35">
      <c r="A2036" s="392"/>
      <c r="B2036" s="393"/>
      <c r="C2036" s="99" t="str">
        <f>IF(B2036="","",IF(NOT(ISNUMBER(B2036)),"DATA_PC invalida",IF(NOT(ISNUMBER(parametros!$C$2)),"Fora dos ciclos",IF(OR(B2036&lt;parametros!$C$2,(YEAR(B2036)-YEAR(parametros!$C$2))*12+MONTH(B2036)-MONTH(parametros!$C$2)&gt;59),"Fora dos ciclos","C"&amp;INT(((YEAR(B2036)-YEAR(parametros!$C$2))*12+MONTH(B2036)-MONTH(parametros!$C$2))/12)))))</f>
        <v/>
      </c>
      <c r="D2036" s="394"/>
      <c r="E2036" s="78" t="str">
        <f>IF(C2036="","",IFERROR(VLOOKUP(C2036,parametros!$A$11:$E$15,5,0),""))</f>
        <v/>
      </c>
      <c r="F2036" s="79" t="str">
        <f t="shared" si="157"/>
        <v/>
      </c>
      <c r="G2036" s="395"/>
      <c r="H2036" s="91">
        <f t="shared" si="158"/>
        <v>0</v>
      </c>
      <c r="I2036" s="91" t="str">
        <f t="shared" si="159"/>
        <v/>
      </c>
      <c r="J2036" s="91" t="str">
        <f t="shared" si="160"/>
        <v/>
      </c>
      <c r="K2036" s="92" t="str">
        <f>IF(AND(A2036="",B2036="",D2036="",G2036=""),"",IF(AND(A2036&lt;&gt;"",COUNTIF($A$2:$A$5001,A2036)&gt;1),"NUMERO_PC duplicado",IF(B2036="","DATA_PC vazia",IF(NOT(ISNUMBER(B2036)),"DATA_PC invalida",IF(OR(C2036="",C2036="Fora dos ciclos"),"CICLO_PC nao identificado",IF(OR(D2036="",D2036=0),"VALOR_PC vazio ou zero",IF(AND(G2036&lt;&gt;"Sim",G2036&lt;&gt;"Nao",G2036&lt;&gt;""),"PC_PAGO_A_CONTRATADA invalido",IF(AND(C2036&lt;&gt;"C0",IFERROR(INDEX(parametros!$A$2:$A$6,MATCH(C2036,parametros!$B$2:$B$6,0)),"")="Sim",IFERROR(INDEX(parametros!$H$2:$H$6,MATCH(C2036,parametros!$B$2:$B$6,0)),"")=""),"INICIO_EFEITO ausente: PC "&amp;A2036&amp;" - "&amp;C2036,IF(L2036="","EFEITO_PC nao calculado: PC "&amp;A2036&amp;" - "&amp;C2036,"OK")))))))))</f>
        <v/>
      </c>
      <c r="L2036" s="92" t="str">
        <f>IF(AND(A2036="",B2036="",D2036="",G2036=""),"",IF(OR(B2036="",NOT(ISNUMBER(B2036)),C2036="",C2036="Fora dos ciclos"),"",IF(C2036="C0","Nao",IF(IFERROR(INDEX(parametros!$A$2:$A$6,MATCH(C2036,parametros!$B$2:$B$6,0)),"")&lt;&gt;"Sim","Nao",IF(IFERROR(INDEX(parametros!$H$2:$H$6,MATCH(C2036,parametros!$B$2:$B$6,0)),"")="","",IF(B2036&gt;=IFERROR(INDEX(parametros!$H$2:$H$6,MATCH(C2036,parametros!$B$2:$B$6,0)),""),"Sim","Nao"))))))</f>
        <v/>
      </c>
      <c r="T2036" s="156"/>
      <c r="U2036" s="214" t="str">
        <f t="shared" si="161"/>
        <v/>
      </c>
      <c r="V2036" s="212" t="s">
        <v>50</v>
      </c>
      <c r="W2036" s="100" t="s">
        <v>168</v>
      </c>
      <c r="X2036" s="100" t="s">
        <v>169</v>
      </c>
      <c r="Y2036" s="101" t="s">
        <v>170</v>
      </c>
      <c r="Z2036" s="101" t="s">
        <v>171</v>
      </c>
      <c r="AA2036" s="101" t="s">
        <v>50</v>
      </c>
      <c r="AB2036" s="101" t="s">
        <v>172</v>
      </c>
      <c r="AC2036" s="102" t="s">
        <v>173</v>
      </c>
    </row>
    <row r="2037" spans="1:29" ht="25.5" customHeight="1" x14ac:dyDescent="0.35">
      <c r="A2037" s="392"/>
      <c r="B2037" s="393"/>
      <c r="C2037" s="99" t="str">
        <f>IF(B2037="","",IF(NOT(ISNUMBER(B2037)),"DATA_PC invalida",IF(NOT(ISNUMBER(parametros!$C$2)),"Fora dos ciclos",IF(OR(B2037&lt;parametros!$C$2,(YEAR(B2037)-YEAR(parametros!$C$2))*12+MONTH(B2037)-MONTH(parametros!$C$2)&gt;59),"Fora dos ciclos","C"&amp;INT(((YEAR(B2037)-YEAR(parametros!$C$2))*12+MONTH(B2037)-MONTH(parametros!$C$2))/12)))))</f>
        <v/>
      </c>
      <c r="D2037" s="394"/>
      <c r="E2037" s="78" t="str">
        <f>IF(C2037="","",IFERROR(VLOOKUP(C2037,parametros!$A$11:$E$15,5,0),""))</f>
        <v/>
      </c>
      <c r="F2037" s="79" t="str">
        <f t="shared" si="157"/>
        <v/>
      </c>
      <c r="G2037" s="395"/>
      <c r="H2037" s="91">
        <f t="shared" si="158"/>
        <v>0</v>
      </c>
      <c r="I2037" s="91" t="str">
        <f t="shared" si="159"/>
        <v/>
      </c>
      <c r="J2037" s="91" t="str">
        <f t="shared" si="160"/>
        <v/>
      </c>
      <c r="K2037" s="92" t="str">
        <f>IF(AND(A2037="",B2037="",D2037="",G2037=""),"",IF(AND(A2037&lt;&gt;"",COUNTIF($A$2:$A$5001,A2037)&gt;1),"NUMERO_PC duplicado",IF(B2037="","DATA_PC vazia",IF(NOT(ISNUMBER(B2037)),"DATA_PC invalida",IF(OR(C2037="",C2037="Fora dos ciclos"),"CICLO_PC nao identificado",IF(OR(D2037="",D2037=0),"VALOR_PC vazio ou zero",IF(AND(G2037&lt;&gt;"Sim",G2037&lt;&gt;"Nao",G2037&lt;&gt;""),"PC_PAGO_A_CONTRATADA invalido",IF(AND(C2037&lt;&gt;"C0",IFERROR(INDEX(parametros!$A$2:$A$6,MATCH(C2037,parametros!$B$2:$B$6,0)),"")="Sim",IFERROR(INDEX(parametros!$H$2:$H$6,MATCH(C2037,parametros!$B$2:$B$6,0)),"")=""),"INICIO_EFEITO ausente: PC "&amp;A2037&amp;" - "&amp;C2037,IF(L2037="","EFEITO_PC nao calculado: PC "&amp;A2037&amp;" - "&amp;C2037,"OK")))))))))</f>
        <v/>
      </c>
      <c r="L2037" s="92" t="str">
        <f>IF(AND(A2037="",B2037="",D2037="",G2037=""),"",IF(OR(B2037="",NOT(ISNUMBER(B2037)),C2037="",C2037="Fora dos ciclos"),"",IF(C2037="C0","Nao",IF(IFERROR(INDEX(parametros!$A$2:$A$6,MATCH(C2037,parametros!$B$2:$B$6,0)),"")&lt;&gt;"Sim","Nao",IF(IFERROR(INDEX(parametros!$H$2:$H$6,MATCH(C2037,parametros!$B$2:$B$6,0)),"")="","",IF(B2037&gt;=IFERROR(INDEX(parametros!$H$2:$H$6,MATCH(C2037,parametros!$B$2:$B$6,0)),""),"Sim","Nao"))))))</f>
        <v/>
      </c>
      <c r="T2037" s="156"/>
      <c r="U2037" s="214" t="str">
        <f t="shared" si="161"/>
        <v/>
      </c>
      <c r="V2037" s="212" t="s">
        <v>50</v>
      </c>
      <c r="W2037" s="100" t="s">
        <v>168</v>
      </c>
      <c r="X2037" s="100" t="s">
        <v>169</v>
      </c>
      <c r="Y2037" s="101" t="s">
        <v>170</v>
      </c>
      <c r="Z2037" s="101" t="s">
        <v>171</v>
      </c>
      <c r="AA2037" s="101" t="s">
        <v>50</v>
      </c>
      <c r="AB2037" s="101" t="s">
        <v>172</v>
      </c>
      <c r="AC2037" s="102" t="s">
        <v>173</v>
      </c>
    </row>
    <row r="2038" spans="1:29" ht="25.5" customHeight="1" x14ac:dyDescent="0.35">
      <c r="A2038" s="392"/>
      <c r="B2038" s="393"/>
      <c r="C2038" s="99" t="str">
        <f>IF(B2038="","",IF(NOT(ISNUMBER(B2038)),"DATA_PC invalida",IF(NOT(ISNUMBER(parametros!$C$2)),"Fora dos ciclos",IF(OR(B2038&lt;parametros!$C$2,(YEAR(B2038)-YEAR(parametros!$C$2))*12+MONTH(B2038)-MONTH(parametros!$C$2)&gt;59),"Fora dos ciclos","C"&amp;INT(((YEAR(B2038)-YEAR(parametros!$C$2))*12+MONTH(B2038)-MONTH(parametros!$C$2))/12)))))</f>
        <v/>
      </c>
      <c r="D2038" s="394"/>
      <c r="E2038" s="78" t="str">
        <f>IF(C2038="","",IFERROR(VLOOKUP(C2038,parametros!$A$11:$E$15,5,0),""))</f>
        <v/>
      </c>
      <c r="F2038" s="79" t="str">
        <f t="shared" si="157"/>
        <v/>
      </c>
      <c r="G2038" s="395"/>
      <c r="H2038" s="91">
        <f t="shared" si="158"/>
        <v>0</v>
      </c>
      <c r="I2038" s="91" t="str">
        <f t="shared" si="159"/>
        <v/>
      </c>
      <c r="J2038" s="91" t="str">
        <f t="shared" si="160"/>
        <v/>
      </c>
      <c r="K2038" s="92" t="str">
        <f>IF(AND(A2038="",B2038="",D2038="",G2038=""),"",IF(AND(A2038&lt;&gt;"",COUNTIF($A$2:$A$5001,A2038)&gt;1),"NUMERO_PC duplicado",IF(B2038="","DATA_PC vazia",IF(NOT(ISNUMBER(B2038)),"DATA_PC invalida",IF(OR(C2038="",C2038="Fora dos ciclos"),"CICLO_PC nao identificado",IF(OR(D2038="",D2038=0),"VALOR_PC vazio ou zero",IF(AND(G2038&lt;&gt;"Sim",G2038&lt;&gt;"Nao",G2038&lt;&gt;""),"PC_PAGO_A_CONTRATADA invalido",IF(AND(C2038&lt;&gt;"C0",IFERROR(INDEX(parametros!$A$2:$A$6,MATCH(C2038,parametros!$B$2:$B$6,0)),"")="Sim",IFERROR(INDEX(parametros!$H$2:$H$6,MATCH(C2038,parametros!$B$2:$B$6,0)),"")=""),"INICIO_EFEITO ausente: PC "&amp;A2038&amp;" - "&amp;C2038,IF(L2038="","EFEITO_PC nao calculado: PC "&amp;A2038&amp;" - "&amp;C2038,"OK")))))))))</f>
        <v/>
      </c>
      <c r="L2038" s="92" t="str">
        <f>IF(AND(A2038="",B2038="",D2038="",G2038=""),"",IF(OR(B2038="",NOT(ISNUMBER(B2038)),C2038="",C2038="Fora dos ciclos"),"",IF(C2038="C0","Nao",IF(IFERROR(INDEX(parametros!$A$2:$A$6,MATCH(C2038,parametros!$B$2:$B$6,0)),"")&lt;&gt;"Sim","Nao",IF(IFERROR(INDEX(parametros!$H$2:$H$6,MATCH(C2038,parametros!$B$2:$B$6,0)),"")="","",IF(B2038&gt;=IFERROR(INDEX(parametros!$H$2:$H$6,MATCH(C2038,parametros!$B$2:$B$6,0)),""),"Sim","Nao"))))))</f>
        <v/>
      </c>
      <c r="T2038" s="156"/>
      <c r="U2038" s="214" t="str">
        <f t="shared" si="161"/>
        <v/>
      </c>
      <c r="V2038" s="212" t="s">
        <v>50</v>
      </c>
      <c r="W2038" s="100" t="s">
        <v>168</v>
      </c>
      <c r="X2038" s="100" t="s">
        <v>169</v>
      </c>
      <c r="Y2038" s="101" t="s">
        <v>170</v>
      </c>
      <c r="Z2038" s="101" t="s">
        <v>171</v>
      </c>
      <c r="AA2038" s="101" t="s">
        <v>50</v>
      </c>
      <c r="AB2038" s="101" t="s">
        <v>172</v>
      </c>
      <c r="AC2038" s="102" t="s">
        <v>173</v>
      </c>
    </row>
    <row r="2039" spans="1:29" ht="25.5" customHeight="1" x14ac:dyDescent="0.35">
      <c r="A2039" s="392"/>
      <c r="B2039" s="393"/>
      <c r="C2039" s="99" t="str">
        <f>IF(B2039="","",IF(NOT(ISNUMBER(B2039)),"DATA_PC invalida",IF(NOT(ISNUMBER(parametros!$C$2)),"Fora dos ciclos",IF(OR(B2039&lt;parametros!$C$2,(YEAR(B2039)-YEAR(parametros!$C$2))*12+MONTH(B2039)-MONTH(parametros!$C$2)&gt;59),"Fora dos ciclos","C"&amp;INT(((YEAR(B2039)-YEAR(parametros!$C$2))*12+MONTH(B2039)-MONTH(parametros!$C$2))/12)))))</f>
        <v/>
      </c>
      <c r="D2039" s="394"/>
      <c r="E2039" s="78" t="str">
        <f>IF(C2039="","",IFERROR(VLOOKUP(C2039,parametros!$A$11:$E$15,5,0),""))</f>
        <v/>
      </c>
      <c r="F2039" s="79" t="str">
        <f t="shared" si="157"/>
        <v/>
      </c>
      <c r="G2039" s="395"/>
      <c r="H2039" s="91">
        <f t="shared" si="158"/>
        <v>0</v>
      </c>
      <c r="I2039" s="91" t="str">
        <f t="shared" si="159"/>
        <v/>
      </c>
      <c r="J2039" s="91" t="str">
        <f t="shared" si="160"/>
        <v/>
      </c>
      <c r="K2039" s="92" t="str">
        <f>IF(AND(A2039="",B2039="",D2039="",G2039=""),"",IF(AND(A2039&lt;&gt;"",COUNTIF($A$2:$A$5001,A2039)&gt;1),"NUMERO_PC duplicado",IF(B2039="","DATA_PC vazia",IF(NOT(ISNUMBER(B2039)),"DATA_PC invalida",IF(OR(C2039="",C2039="Fora dos ciclos"),"CICLO_PC nao identificado",IF(OR(D2039="",D2039=0),"VALOR_PC vazio ou zero",IF(AND(G2039&lt;&gt;"Sim",G2039&lt;&gt;"Nao",G2039&lt;&gt;""),"PC_PAGO_A_CONTRATADA invalido",IF(AND(C2039&lt;&gt;"C0",IFERROR(INDEX(parametros!$A$2:$A$6,MATCH(C2039,parametros!$B$2:$B$6,0)),"")="Sim",IFERROR(INDEX(parametros!$H$2:$H$6,MATCH(C2039,parametros!$B$2:$B$6,0)),"")=""),"INICIO_EFEITO ausente: PC "&amp;A2039&amp;" - "&amp;C2039,IF(L2039="","EFEITO_PC nao calculado: PC "&amp;A2039&amp;" - "&amp;C2039,"OK")))))))))</f>
        <v/>
      </c>
      <c r="L2039" s="92" t="str">
        <f>IF(AND(A2039="",B2039="",D2039="",G2039=""),"",IF(OR(B2039="",NOT(ISNUMBER(B2039)),C2039="",C2039="Fora dos ciclos"),"",IF(C2039="C0","Nao",IF(IFERROR(INDEX(parametros!$A$2:$A$6,MATCH(C2039,parametros!$B$2:$B$6,0)),"")&lt;&gt;"Sim","Nao",IF(IFERROR(INDEX(parametros!$H$2:$H$6,MATCH(C2039,parametros!$B$2:$B$6,0)),"")="","",IF(B2039&gt;=IFERROR(INDEX(parametros!$H$2:$H$6,MATCH(C2039,parametros!$B$2:$B$6,0)),""),"Sim","Nao"))))))</f>
        <v/>
      </c>
      <c r="T2039" s="156"/>
      <c r="U2039" s="214" t="str">
        <f t="shared" si="161"/>
        <v/>
      </c>
      <c r="V2039" s="212" t="s">
        <v>50</v>
      </c>
      <c r="W2039" s="100" t="s">
        <v>168</v>
      </c>
      <c r="X2039" s="100" t="s">
        <v>169</v>
      </c>
      <c r="Y2039" s="101" t="s">
        <v>170</v>
      </c>
      <c r="Z2039" s="101" t="s">
        <v>171</v>
      </c>
      <c r="AA2039" s="101" t="s">
        <v>50</v>
      </c>
      <c r="AB2039" s="101" t="s">
        <v>172</v>
      </c>
      <c r="AC2039" s="102" t="s">
        <v>173</v>
      </c>
    </row>
    <row r="2040" spans="1:29" ht="25.5" customHeight="1" x14ac:dyDescent="0.35">
      <c r="A2040" s="392"/>
      <c r="B2040" s="393"/>
      <c r="C2040" s="99" t="str">
        <f>IF(B2040="","",IF(NOT(ISNUMBER(B2040)),"DATA_PC invalida",IF(NOT(ISNUMBER(parametros!$C$2)),"Fora dos ciclos",IF(OR(B2040&lt;parametros!$C$2,(YEAR(B2040)-YEAR(parametros!$C$2))*12+MONTH(B2040)-MONTH(parametros!$C$2)&gt;59),"Fora dos ciclos","C"&amp;INT(((YEAR(B2040)-YEAR(parametros!$C$2))*12+MONTH(B2040)-MONTH(parametros!$C$2))/12)))))</f>
        <v/>
      </c>
      <c r="D2040" s="394"/>
      <c r="E2040" s="78" t="str">
        <f>IF(C2040="","",IFERROR(VLOOKUP(C2040,parametros!$A$11:$E$15,5,0),""))</f>
        <v/>
      </c>
      <c r="F2040" s="79" t="str">
        <f t="shared" si="157"/>
        <v/>
      </c>
      <c r="G2040" s="395"/>
      <c r="H2040" s="91">
        <f t="shared" si="158"/>
        <v>0</v>
      </c>
      <c r="I2040" s="91" t="str">
        <f t="shared" si="159"/>
        <v/>
      </c>
      <c r="J2040" s="91" t="str">
        <f t="shared" si="160"/>
        <v/>
      </c>
      <c r="K2040" s="92" t="str">
        <f>IF(AND(A2040="",B2040="",D2040="",G2040=""),"",IF(AND(A2040&lt;&gt;"",COUNTIF($A$2:$A$5001,A2040)&gt;1),"NUMERO_PC duplicado",IF(B2040="","DATA_PC vazia",IF(NOT(ISNUMBER(B2040)),"DATA_PC invalida",IF(OR(C2040="",C2040="Fora dos ciclos"),"CICLO_PC nao identificado",IF(OR(D2040="",D2040=0),"VALOR_PC vazio ou zero",IF(AND(G2040&lt;&gt;"Sim",G2040&lt;&gt;"Nao",G2040&lt;&gt;""),"PC_PAGO_A_CONTRATADA invalido",IF(AND(C2040&lt;&gt;"C0",IFERROR(INDEX(parametros!$A$2:$A$6,MATCH(C2040,parametros!$B$2:$B$6,0)),"")="Sim",IFERROR(INDEX(parametros!$H$2:$H$6,MATCH(C2040,parametros!$B$2:$B$6,0)),"")=""),"INICIO_EFEITO ausente: PC "&amp;A2040&amp;" - "&amp;C2040,IF(L2040="","EFEITO_PC nao calculado: PC "&amp;A2040&amp;" - "&amp;C2040,"OK")))))))))</f>
        <v/>
      </c>
      <c r="L2040" s="92" t="str">
        <f>IF(AND(A2040="",B2040="",D2040="",G2040=""),"",IF(OR(B2040="",NOT(ISNUMBER(B2040)),C2040="",C2040="Fora dos ciclos"),"",IF(C2040="C0","Nao",IF(IFERROR(INDEX(parametros!$A$2:$A$6,MATCH(C2040,parametros!$B$2:$B$6,0)),"")&lt;&gt;"Sim","Nao",IF(IFERROR(INDEX(parametros!$H$2:$H$6,MATCH(C2040,parametros!$B$2:$B$6,0)),"")="","",IF(B2040&gt;=IFERROR(INDEX(parametros!$H$2:$H$6,MATCH(C2040,parametros!$B$2:$B$6,0)),""),"Sim","Nao"))))))</f>
        <v/>
      </c>
      <c r="T2040" s="156"/>
      <c r="U2040" s="214" t="str">
        <f t="shared" si="161"/>
        <v/>
      </c>
      <c r="V2040" s="212" t="s">
        <v>50</v>
      </c>
      <c r="W2040" s="100" t="s">
        <v>168</v>
      </c>
      <c r="X2040" s="100" t="s">
        <v>169</v>
      </c>
      <c r="Y2040" s="101" t="s">
        <v>170</v>
      </c>
      <c r="Z2040" s="101" t="s">
        <v>171</v>
      </c>
      <c r="AA2040" s="101" t="s">
        <v>50</v>
      </c>
      <c r="AB2040" s="101" t="s">
        <v>172</v>
      </c>
      <c r="AC2040" s="102" t="s">
        <v>173</v>
      </c>
    </row>
    <row r="2041" spans="1:29" ht="25.5" customHeight="1" x14ac:dyDescent="0.35">
      <c r="A2041" s="392"/>
      <c r="B2041" s="393"/>
      <c r="C2041" s="99" t="str">
        <f>IF(B2041="","",IF(NOT(ISNUMBER(B2041)),"DATA_PC invalida",IF(NOT(ISNUMBER(parametros!$C$2)),"Fora dos ciclos",IF(OR(B2041&lt;parametros!$C$2,(YEAR(B2041)-YEAR(parametros!$C$2))*12+MONTH(B2041)-MONTH(parametros!$C$2)&gt;59),"Fora dos ciclos","C"&amp;INT(((YEAR(B2041)-YEAR(parametros!$C$2))*12+MONTH(B2041)-MONTH(parametros!$C$2))/12)))))</f>
        <v/>
      </c>
      <c r="D2041" s="394"/>
      <c r="E2041" s="78" t="str">
        <f>IF(C2041="","",IFERROR(VLOOKUP(C2041,parametros!$A$11:$E$15,5,0),""))</f>
        <v/>
      </c>
      <c r="F2041" s="79" t="str">
        <f t="shared" si="157"/>
        <v/>
      </c>
      <c r="G2041" s="395"/>
      <c r="H2041" s="91">
        <f t="shared" si="158"/>
        <v>0</v>
      </c>
      <c r="I2041" s="91" t="str">
        <f t="shared" si="159"/>
        <v/>
      </c>
      <c r="J2041" s="91" t="str">
        <f t="shared" si="160"/>
        <v/>
      </c>
      <c r="K2041" s="92" t="str">
        <f>IF(AND(A2041="",B2041="",D2041="",G2041=""),"",IF(AND(A2041&lt;&gt;"",COUNTIF($A$2:$A$5001,A2041)&gt;1),"NUMERO_PC duplicado",IF(B2041="","DATA_PC vazia",IF(NOT(ISNUMBER(B2041)),"DATA_PC invalida",IF(OR(C2041="",C2041="Fora dos ciclos"),"CICLO_PC nao identificado",IF(OR(D2041="",D2041=0),"VALOR_PC vazio ou zero",IF(AND(G2041&lt;&gt;"Sim",G2041&lt;&gt;"Nao",G2041&lt;&gt;""),"PC_PAGO_A_CONTRATADA invalido",IF(AND(C2041&lt;&gt;"C0",IFERROR(INDEX(parametros!$A$2:$A$6,MATCH(C2041,parametros!$B$2:$B$6,0)),"")="Sim",IFERROR(INDEX(parametros!$H$2:$H$6,MATCH(C2041,parametros!$B$2:$B$6,0)),"")=""),"INICIO_EFEITO ausente: PC "&amp;A2041&amp;" - "&amp;C2041,IF(L2041="","EFEITO_PC nao calculado: PC "&amp;A2041&amp;" - "&amp;C2041,"OK")))))))))</f>
        <v/>
      </c>
      <c r="L2041" s="92" t="str">
        <f>IF(AND(A2041="",B2041="",D2041="",G2041=""),"",IF(OR(B2041="",NOT(ISNUMBER(B2041)),C2041="",C2041="Fora dos ciclos"),"",IF(C2041="C0","Nao",IF(IFERROR(INDEX(parametros!$A$2:$A$6,MATCH(C2041,parametros!$B$2:$B$6,0)),"")&lt;&gt;"Sim","Nao",IF(IFERROR(INDEX(parametros!$H$2:$H$6,MATCH(C2041,parametros!$B$2:$B$6,0)),"")="","",IF(B2041&gt;=IFERROR(INDEX(parametros!$H$2:$H$6,MATCH(C2041,parametros!$B$2:$B$6,0)),""),"Sim","Nao"))))))</f>
        <v/>
      </c>
      <c r="T2041" s="156"/>
      <c r="U2041" s="214" t="str">
        <f t="shared" si="161"/>
        <v/>
      </c>
      <c r="V2041" s="212" t="s">
        <v>50</v>
      </c>
      <c r="W2041" s="100" t="s">
        <v>168</v>
      </c>
      <c r="X2041" s="100" t="s">
        <v>169</v>
      </c>
      <c r="Y2041" s="101" t="s">
        <v>170</v>
      </c>
      <c r="Z2041" s="101" t="s">
        <v>171</v>
      </c>
      <c r="AA2041" s="101" t="s">
        <v>50</v>
      </c>
      <c r="AB2041" s="101" t="s">
        <v>172</v>
      </c>
      <c r="AC2041" s="102" t="s">
        <v>173</v>
      </c>
    </row>
    <row r="2042" spans="1:29" ht="25.5" customHeight="1" x14ac:dyDescent="0.35">
      <c r="A2042" s="392"/>
      <c r="B2042" s="393"/>
      <c r="C2042" s="99" t="str">
        <f>IF(B2042="","",IF(NOT(ISNUMBER(B2042)),"DATA_PC invalida",IF(NOT(ISNUMBER(parametros!$C$2)),"Fora dos ciclos",IF(OR(B2042&lt;parametros!$C$2,(YEAR(B2042)-YEAR(parametros!$C$2))*12+MONTH(B2042)-MONTH(parametros!$C$2)&gt;59),"Fora dos ciclos","C"&amp;INT(((YEAR(B2042)-YEAR(parametros!$C$2))*12+MONTH(B2042)-MONTH(parametros!$C$2))/12)))))</f>
        <v/>
      </c>
      <c r="D2042" s="394"/>
      <c r="E2042" s="78" t="str">
        <f>IF(C2042="","",IFERROR(VLOOKUP(C2042,parametros!$A$11:$E$15,5,0),""))</f>
        <v/>
      </c>
      <c r="F2042" s="79" t="str">
        <f t="shared" si="157"/>
        <v/>
      </c>
      <c r="G2042" s="395"/>
      <c r="H2042" s="91">
        <f t="shared" si="158"/>
        <v>0</v>
      </c>
      <c r="I2042" s="91" t="str">
        <f t="shared" si="159"/>
        <v/>
      </c>
      <c r="J2042" s="91" t="str">
        <f t="shared" si="160"/>
        <v/>
      </c>
      <c r="K2042" s="92" t="str">
        <f>IF(AND(A2042="",B2042="",D2042="",G2042=""),"",IF(AND(A2042&lt;&gt;"",COUNTIF($A$2:$A$5001,A2042)&gt;1),"NUMERO_PC duplicado",IF(B2042="","DATA_PC vazia",IF(NOT(ISNUMBER(B2042)),"DATA_PC invalida",IF(OR(C2042="",C2042="Fora dos ciclos"),"CICLO_PC nao identificado",IF(OR(D2042="",D2042=0),"VALOR_PC vazio ou zero",IF(AND(G2042&lt;&gt;"Sim",G2042&lt;&gt;"Nao",G2042&lt;&gt;""),"PC_PAGO_A_CONTRATADA invalido",IF(AND(C2042&lt;&gt;"C0",IFERROR(INDEX(parametros!$A$2:$A$6,MATCH(C2042,parametros!$B$2:$B$6,0)),"")="Sim",IFERROR(INDEX(parametros!$H$2:$H$6,MATCH(C2042,parametros!$B$2:$B$6,0)),"")=""),"INICIO_EFEITO ausente: PC "&amp;A2042&amp;" - "&amp;C2042,IF(L2042="","EFEITO_PC nao calculado: PC "&amp;A2042&amp;" - "&amp;C2042,"OK")))))))))</f>
        <v/>
      </c>
      <c r="L2042" s="92" t="str">
        <f>IF(AND(A2042="",B2042="",D2042="",G2042=""),"",IF(OR(B2042="",NOT(ISNUMBER(B2042)),C2042="",C2042="Fora dos ciclos"),"",IF(C2042="C0","Nao",IF(IFERROR(INDEX(parametros!$A$2:$A$6,MATCH(C2042,parametros!$B$2:$B$6,0)),"")&lt;&gt;"Sim","Nao",IF(IFERROR(INDEX(parametros!$H$2:$H$6,MATCH(C2042,parametros!$B$2:$B$6,0)),"")="","",IF(B2042&gt;=IFERROR(INDEX(parametros!$H$2:$H$6,MATCH(C2042,parametros!$B$2:$B$6,0)),""),"Sim","Nao"))))))</f>
        <v/>
      </c>
      <c r="T2042" s="156"/>
      <c r="U2042" s="214" t="str">
        <f t="shared" si="161"/>
        <v/>
      </c>
      <c r="V2042" s="212" t="s">
        <v>50</v>
      </c>
      <c r="W2042" s="100" t="s">
        <v>168</v>
      </c>
      <c r="X2042" s="100" t="s">
        <v>169</v>
      </c>
      <c r="Y2042" s="101" t="s">
        <v>170</v>
      </c>
      <c r="Z2042" s="101" t="s">
        <v>171</v>
      </c>
      <c r="AA2042" s="101" t="s">
        <v>50</v>
      </c>
      <c r="AB2042" s="101" t="s">
        <v>172</v>
      </c>
      <c r="AC2042" s="102" t="s">
        <v>173</v>
      </c>
    </row>
    <row r="2043" spans="1:29" ht="25.5" customHeight="1" x14ac:dyDescent="0.35">
      <c r="A2043" s="392"/>
      <c r="B2043" s="393"/>
      <c r="C2043" s="99" t="str">
        <f>IF(B2043="","",IF(NOT(ISNUMBER(B2043)),"DATA_PC invalida",IF(NOT(ISNUMBER(parametros!$C$2)),"Fora dos ciclos",IF(OR(B2043&lt;parametros!$C$2,(YEAR(B2043)-YEAR(parametros!$C$2))*12+MONTH(B2043)-MONTH(parametros!$C$2)&gt;59),"Fora dos ciclos","C"&amp;INT(((YEAR(B2043)-YEAR(parametros!$C$2))*12+MONTH(B2043)-MONTH(parametros!$C$2))/12)))))</f>
        <v/>
      </c>
      <c r="D2043" s="394"/>
      <c r="E2043" s="78" t="str">
        <f>IF(C2043="","",IFERROR(VLOOKUP(C2043,parametros!$A$11:$E$15,5,0),""))</f>
        <v/>
      </c>
      <c r="F2043" s="79" t="str">
        <f t="shared" si="157"/>
        <v/>
      </c>
      <c r="G2043" s="395"/>
      <c r="H2043" s="91">
        <f t="shared" si="158"/>
        <v>0</v>
      </c>
      <c r="I2043" s="91" t="str">
        <f t="shared" si="159"/>
        <v/>
      </c>
      <c r="J2043" s="91" t="str">
        <f t="shared" si="160"/>
        <v/>
      </c>
      <c r="K2043" s="92" t="str">
        <f>IF(AND(A2043="",B2043="",D2043="",G2043=""),"",IF(AND(A2043&lt;&gt;"",COUNTIF($A$2:$A$5001,A2043)&gt;1),"NUMERO_PC duplicado",IF(B2043="","DATA_PC vazia",IF(NOT(ISNUMBER(B2043)),"DATA_PC invalida",IF(OR(C2043="",C2043="Fora dos ciclos"),"CICLO_PC nao identificado",IF(OR(D2043="",D2043=0),"VALOR_PC vazio ou zero",IF(AND(G2043&lt;&gt;"Sim",G2043&lt;&gt;"Nao",G2043&lt;&gt;""),"PC_PAGO_A_CONTRATADA invalido",IF(AND(C2043&lt;&gt;"C0",IFERROR(INDEX(parametros!$A$2:$A$6,MATCH(C2043,parametros!$B$2:$B$6,0)),"")="Sim",IFERROR(INDEX(parametros!$H$2:$H$6,MATCH(C2043,parametros!$B$2:$B$6,0)),"")=""),"INICIO_EFEITO ausente: PC "&amp;A2043&amp;" - "&amp;C2043,IF(L2043="","EFEITO_PC nao calculado: PC "&amp;A2043&amp;" - "&amp;C2043,"OK")))))))))</f>
        <v/>
      </c>
      <c r="L2043" s="92" t="str">
        <f>IF(AND(A2043="",B2043="",D2043="",G2043=""),"",IF(OR(B2043="",NOT(ISNUMBER(B2043)),C2043="",C2043="Fora dos ciclos"),"",IF(C2043="C0","Nao",IF(IFERROR(INDEX(parametros!$A$2:$A$6,MATCH(C2043,parametros!$B$2:$B$6,0)),"")&lt;&gt;"Sim","Nao",IF(IFERROR(INDEX(parametros!$H$2:$H$6,MATCH(C2043,parametros!$B$2:$B$6,0)),"")="","",IF(B2043&gt;=IFERROR(INDEX(parametros!$H$2:$H$6,MATCH(C2043,parametros!$B$2:$B$6,0)),""),"Sim","Nao"))))))</f>
        <v/>
      </c>
      <c r="T2043" s="156"/>
      <c r="U2043" s="214" t="str">
        <f t="shared" si="161"/>
        <v/>
      </c>
      <c r="V2043" s="212" t="s">
        <v>50</v>
      </c>
      <c r="W2043" s="100" t="s">
        <v>168</v>
      </c>
      <c r="X2043" s="100" t="s">
        <v>169</v>
      </c>
      <c r="Y2043" s="101" t="s">
        <v>170</v>
      </c>
      <c r="Z2043" s="101" t="s">
        <v>171</v>
      </c>
      <c r="AA2043" s="101" t="s">
        <v>50</v>
      </c>
      <c r="AB2043" s="101" t="s">
        <v>172</v>
      </c>
      <c r="AC2043" s="102" t="s">
        <v>173</v>
      </c>
    </row>
    <row r="2044" spans="1:29" ht="25.5" customHeight="1" x14ac:dyDescent="0.35">
      <c r="A2044" s="392"/>
      <c r="B2044" s="393"/>
      <c r="C2044" s="99" t="str">
        <f>IF(B2044="","",IF(NOT(ISNUMBER(B2044)),"DATA_PC invalida",IF(NOT(ISNUMBER(parametros!$C$2)),"Fora dos ciclos",IF(OR(B2044&lt;parametros!$C$2,(YEAR(B2044)-YEAR(parametros!$C$2))*12+MONTH(B2044)-MONTH(parametros!$C$2)&gt;59),"Fora dos ciclos","C"&amp;INT(((YEAR(B2044)-YEAR(parametros!$C$2))*12+MONTH(B2044)-MONTH(parametros!$C$2))/12)))))</f>
        <v/>
      </c>
      <c r="D2044" s="394"/>
      <c r="E2044" s="78" t="str">
        <f>IF(C2044="","",IFERROR(VLOOKUP(C2044,parametros!$A$11:$E$15,5,0),""))</f>
        <v/>
      </c>
      <c r="F2044" s="79" t="str">
        <f t="shared" si="157"/>
        <v/>
      </c>
      <c r="G2044" s="395"/>
      <c r="H2044" s="91">
        <f t="shared" si="158"/>
        <v>0</v>
      </c>
      <c r="I2044" s="91" t="str">
        <f t="shared" si="159"/>
        <v/>
      </c>
      <c r="J2044" s="91" t="str">
        <f t="shared" si="160"/>
        <v/>
      </c>
      <c r="K2044" s="92" t="str">
        <f>IF(AND(A2044="",B2044="",D2044="",G2044=""),"",IF(AND(A2044&lt;&gt;"",COUNTIF($A$2:$A$5001,A2044)&gt;1),"NUMERO_PC duplicado",IF(B2044="","DATA_PC vazia",IF(NOT(ISNUMBER(B2044)),"DATA_PC invalida",IF(OR(C2044="",C2044="Fora dos ciclos"),"CICLO_PC nao identificado",IF(OR(D2044="",D2044=0),"VALOR_PC vazio ou zero",IF(AND(G2044&lt;&gt;"Sim",G2044&lt;&gt;"Nao",G2044&lt;&gt;""),"PC_PAGO_A_CONTRATADA invalido",IF(AND(C2044&lt;&gt;"C0",IFERROR(INDEX(parametros!$A$2:$A$6,MATCH(C2044,parametros!$B$2:$B$6,0)),"")="Sim",IFERROR(INDEX(parametros!$H$2:$H$6,MATCH(C2044,parametros!$B$2:$B$6,0)),"")=""),"INICIO_EFEITO ausente: PC "&amp;A2044&amp;" - "&amp;C2044,IF(L2044="","EFEITO_PC nao calculado: PC "&amp;A2044&amp;" - "&amp;C2044,"OK")))))))))</f>
        <v/>
      </c>
      <c r="L2044" s="92" t="str">
        <f>IF(AND(A2044="",B2044="",D2044="",G2044=""),"",IF(OR(B2044="",NOT(ISNUMBER(B2044)),C2044="",C2044="Fora dos ciclos"),"",IF(C2044="C0","Nao",IF(IFERROR(INDEX(parametros!$A$2:$A$6,MATCH(C2044,parametros!$B$2:$B$6,0)),"")&lt;&gt;"Sim","Nao",IF(IFERROR(INDEX(parametros!$H$2:$H$6,MATCH(C2044,parametros!$B$2:$B$6,0)),"")="","",IF(B2044&gt;=IFERROR(INDEX(parametros!$H$2:$H$6,MATCH(C2044,parametros!$B$2:$B$6,0)),""),"Sim","Nao"))))))</f>
        <v/>
      </c>
      <c r="T2044" s="156"/>
      <c r="U2044" s="214" t="str">
        <f t="shared" si="161"/>
        <v/>
      </c>
      <c r="V2044" s="212" t="s">
        <v>50</v>
      </c>
      <c r="W2044" s="100" t="s">
        <v>168</v>
      </c>
      <c r="X2044" s="100" t="s">
        <v>169</v>
      </c>
      <c r="Y2044" s="101" t="s">
        <v>170</v>
      </c>
      <c r="Z2044" s="101" t="s">
        <v>171</v>
      </c>
      <c r="AA2044" s="101" t="s">
        <v>50</v>
      </c>
      <c r="AB2044" s="101" t="s">
        <v>172</v>
      </c>
      <c r="AC2044" s="102" t="s">
        <v>173</v>
      </c>
    </row>
    <row r="2045" spans="1:29" ht="25.5" customHeight="1" x14ac:dyDescent="0.35">
      <c r="A2045" s="392"/>
      <c r="B2045" s="393"/>
      <c r="C2045" s="99" t="str">
        <f>IF(B2045="","",IF(NOT(ISNUMBER(B2045)),"DATA_PC invalida",IF(NOT(ISNUMBER(parametros!$C$2)),"Fora dos ciclos",IF(OR(B2045&lt;parametros!$C$2,(YEAR(B2045)-YEAR(parametros!$C$2))*12+MONTH(B2045)-MONTH(parametros!$C$2)&gt;59),"Fora dos ciclos","C"&amp;INT(((YEAR(B2045)-YEAR(parametros!$C$2))*12+MONTH(B2045)-MONTH(parametros!$C$2))/12)))))</f>
        <v/>
      </c>
      <c r="D2045" s="394"/>
      <c r="E2045" s="78" t="str">
        <f>IF(C2045="","",IFERROR(VLOOKUP(C2045,parametros!$A$11:$E$15,5,0),""))</f>
        <v/>
      </c>
      <c r="F2045" s="79" t="str">
        <f t="shared" si="157"/>
        <v/>
      </c>
      <c r="G2045" s="395"/>
      <c r="H2045" s="91">
        <f t="shared" si="158"/>
        <v>0</v>
      </c>
      <c r="I2045" s="91" t="str">
        <f t="shared" si="159"/>
        <v/>
      </c>
      <c r="J2045" s="91" t="str">
        <f t="shared" si="160"/>
        <v/>
      </c>
      <c r="K2045" s="92" t="str">
        <f>IF(AND(A2045="",B2045="",D2045="",G2045=""),"",IF(AND(A2045&lt;&gt;"",COUNTIF($A$2:$A$5001,A2045)&gt;1),"NUMERO_PC duplicado",IF(B2045="","DATA_PC vazia",IF(NOT(ISNUMBER(B2045)),"DATA_PC invalida",IF(OR(C2045="",C2045="Fora dos ciclos"),"CICLO_PC nao identificado",IF(OR(D2045="",D2045=0),"VALOR_PC vazio ou zero",IF(AND(G2045&lt;&gt;"Sim",G2045&lt;&gt;"Nao",G2045&lt;&gt;""),"PC_PAGO_A_CONTRATADA invalido",IF(AND(C2045&lt;&gt;"C0",IFERROR(INDEX(parametros!$A$2:$A$6,MATCH(C2045,parametros!$B$2:$B$6,0)),"")="Sim",IFERROR(INDEX(parametros!$H$2:$H$6,MATCH(C2045,parametros!$B$2:$B$6,0)),"")=""),"INICIO_EFEITO ausente: PC "&amp;A2045&amp;" - "&amp;C2045,IF(L2045="","EFEITO_PC nao calculado: PC "&amp;A2045&amp;" - "&amp;C2045,"OK")))))))))</f>
        <v/>
      </c>
      <c r="L2045" s="92" t="str">
        <f>IF(AND(A2045="",B2045="",D2045="",G2045=""),"",IF(OR(B2045="",NOT(ISNUMBER(B2045)),C2045="",C2045="Fora dos ciclos"),"",IF(C2045="C0","Nao",IF(IFERROR(INDEX(parametros!$A$2:$A$6,MATCH(C2045,parametros!$B$2:$B$6,0)),"")&lt;&gt;"Sim","Nao",IF(IFERROR(INDEX(parametros!$H$2:$H$6,MATCH(C2045,parametros!$B$2:$B$6,0)),"")="","",IF(B2045&gt;=IFERROR(INDEX(parametros!$H$2:$H$6,MATCH(C2045,parametros!$B$2:$B$6,0)),""),"Sim","Nao"))))))</f>
        <v/>
      </c>
      <c r="T2045" s="156"/>
      <c r="U2045" s="214" t="str">
        <f t="shared" si="161"/>
        <v/>
      </c>
      <c r="V2045" s="212" t="s">
        <v>50</v>
      </c>
      <c r="W2045" s="100" t="s">
        <v>168</v>
      </c>
      <c r="X2045" s="100" t="s">
        <v>169</v>
      </c>
      <c r="Y2045" s="101" t="s">
        <v>170</v>
      </c>
      <c r="Z2045" s="101" t="s">
        <v>171</v>
      </c>
      <c r="AA2045" s="101" t="s">
        <v>50</v>
      </c>
      <c r="AB2045" s="101" t="s">
        <v>172</v>
      </c>
      <c r="AC2045" s="102" t="s">
        <v>173</v>
      </c>
    </row>
    <row r="2046" spans="1:29" ht="25.5" customHeight="1" x14ac:dyDescent="0.35">
      <c r="A2046" s="392"/>
      <c r="B2046" s="393"/>
      <c r="C2046" s="99" t="str">
        <f>IF(B2046="","",IF(NOT(ISNUMBER(B2046)),"DATA_PC invalida",IF(NOT(ISNUMBER(parametros!$C$2)),"Fora dos ciclos",IF(OR(B2046&lt;parametros!$C$2,(YEAR(B2046)-YEAR(parametros!$C$2))*12+MONTH(B2046)-MONTH(parametros!$C$2)&gt;59),"Fora dos ciclos","C"&amp;INT(((YEAR(B2046)-YEAR(parametros!$C$2))*12+MONTH(B2046)-MONTH(parametros!$C$2))/12)))))</f>
        <v/>
      </c>
      <c r="D2046" s="394"/>
      <c r="E2046" s="78" t="str">
        <f>IF(C2046="","",IFERROR(VLOOKUP(C2046,parametros!$A$11:$E$15,5,0),""))</f>
        <v/>
      </c>
      <c r="F2046" s="79" t="str">
        <f t="shared" si="157"/>
        <v/>
      </c>
      <c r="G2046" s="395"/>
      <c r="H2046" s="91">
        <f t="shared" si="158"/>
        <v>0</v>
      </c>
      <c r="I2046" s="91" t="str">
        <f t="shared" si="159"/>
        <v/>
      </c>
      <c r="J2046" s="91" t="str">
        <f t="shared" si="160"/>
        <v/>
      </c>
      <c r="K2046" s="92" t="str">
        <f>IF(AND(A2046="",B2046="",D2046="",G2046=""),"",IF(AND(A2046&lt;&gt;"",COUNTIF($A$2:$A$5001,A2046)&gt;1),"NUMERO_PC duplicado",IF(B2046="","DATA_PC vazia",IF(NOT(ISNUMBER(B2046)),"DATA_PC invalida",IF(OR(C2046="",C2046="Fora dos ciclos"),"CICLO_PC nao identificado",IF(OR(D2046="",D2046=0),"VALOR_PC vazio ou zero",IF(AND(G2046&lt;&gt;"Sim",G2046&lt;&gt;"Nao",G2046&lt;&gt;""),"PC_PAGO_A_CONTRATADA invalido",IF(AND(C2046&lt;&gt;"C0",IFERROR(INDEX(parametros!$A$2:$A$6,MATCH(C2046,parametros!$B$2:$B$6,0)),"")="Sim",IFERROR(INDEX(parametros!$H$2:$H$6,MATCH(C2046,parametros!$B$2:$B$6,0)),"")=""),"INICIO_EFEITO ausente: PC "&amp;A2046&amp;" - "&amp;C2046,IF(L2046="","EFEITO_PC nao calculado: PC "&amp;A2046&amp;" - "&amp;C2046,"OK")))))))))</f>
        <v/>
      </c>
      <c r="L2046" s="92" t="str">
        <f>IF(AND(A2046="",B2046="",D2046="",G2046=""),"",IF(OR(B2046="",NOT(ISNUMBER(B2046)),C2046="",C2046="Fora dos ciclos"),"",IF(C2046="C0","Nao",IF(IFERROR(INDEX(parametros!$A$2:$A$6,MATCH(C2046,parametros!$B$2:$B$6,0)),"")&lt;&gt;"Sim","Nao",IF(IFERROR(INDEX(parametros!$H$2:$H$6,MATCH(C2046,parametros!$B$2:$B$6,0)),"")="","",IF(B2046&gt;=IFERROR(INDEX(parametros!$H$2:$H$6,MATCH(C2046,parametros!$B$2:$B$6,0)),""),"Sim","Nao"))))))</f>
        <v/>
      </c>
      <c r="T2046" s="156"/>
      <c r="U2046" s="214" t="str">
        <f t="shared" si="161"/>
        <v/>
      </c>
      <c r="V2046" s="212" t="s">
        <v>50</v>
      </c>
      <c r="W2046" s="100" t="s">
        <v>168</v>
      </c>
      <c r="X2046" s="100" t="s">
        <v>169</v>
      </c>
      <c r="Y2046" s="101" t="s">
        <v>170</v>
      </c>
      <c r="Z2046" s="101" t="s">
        <v>171</v>
      </c>
      <c r="AA2046" s="101" t="s">
        <v>50</v>
      </c>
      <c r="AB2046" s="101" t="s">
        <v>172</v>
      </c>
      <c r="AC2046" s="102" t="s">
        <v>173</v>
      </c>
    </row>
    <row r="2047" spans="1:29" ht="25.5" customHeight="1" x14ac:dyDescent="0.35">
      <c r="A2047" s="392"/>
      <c r="B2047" s="393"/>
      <c r="C2047" s="99" t="str">
        <f>IF(B2047="","",IF(NOT(ISNUMBER(B2047)),"DATA_PC invalida",IF(NOT(ISNUMBER(parametros!$C$2)),"Fora dos ciclos",IF(OR(B2047&lt;parametros!$C$2,(YEAR(B2047)-YEAR(parametros!$C$2))*12+MONTH(B2047)-MONTH(parametros!$C$2)&gt;59),"Fora dos ciclos","C"&amp;INT(((YEAR(B2047)-YEAR(parametros!$C$2))*12+MONTH(B2047)-MONTH(parametros!$C$2))/12)))))</f>
        <v/>
      </c>
      <c r="D2047" s="394"/>
      <c r="E2047" s="78" t="str">
        <f>IF(C2047="","",IFERROR(VLOOKUP(C2047,parametros!$A$11:$E$15,5,0),""))</f>
        <v/>
      </c>
      <c r="F2047" s="79" t="str">
        <f t="shared" si="157"/>
        <v/>
      </c>
      <c r="G2047" s="395"/>
      <c r="H2047" s="91">
        <f t="shared" si="158"/>
        <v>0</v>
      </c>
      <c r="I2047" s="91" t="str">
        <f t="shared" si="159"/>
        <v/>
      </c>
      <c r="J2047" s="91" t="str">
        <f t="shared" si="160"/>
        <v/>
      </c>
      <c r="K2047" s="92" t="str">
        <f>IF(AND(A2047="",B2047="",D2047="",G2047=""),"",IF(AND(A2047&lt;&gt;"",COUNTIF($A$2:$A$5001,A2047)&gt;1),"NUMERO_PC duplicado",IF(B2047="","DATA_PC vazia",IF(NOT(ISNUMBER(B2047)),"DATA_PC invalida",IF(OR(C2047="",C2047="Fora dos ciclos"),"CICLO_PC nao identificado",IF(OR(D2047="",D2047=0),"VALOR_PC vazio ou zero",IF(AND(G2047&lt;&gt;"Sim",G2047&lt;&gt;"Nao",G2047&lt;&gt;""),"PC_PAGO_A_CONTRATADA invalido",IF(AND(C2047&lt;&gt;"C0",IFERROR(INDEX(parametros!$A$2:$A$6,MATCH(C2047,parametros!$B$2:$B$6,0)),"")="Sim",IFERROR(INDEX(parametros!$H$2:$H$6,MATCH(C2047,parametros!$B$2:$B$6,0)),"")=""),"INICIO_EFEITO ausente: PC "&amp;A2047&amp;" - "&amp;C2047,IF(L2047="","EFEITO_PC nao calculado: PC "&amp;A2047&amp;" - "&amp;C2047,"OK")))))))))</f>
        <v/>
      </c>
      <c r="L2047" s="92" t="str">
        <f>IF(AND(A2047="",B2047="",D2047="",G2047=""),"",IF(OR(B2047="",NOT(ISNUMBER(B2047)),C2047="",C2047="Fora dos ciclos"),"",IF(C2047="C0","Nao",IF(IFERROR(INDEX(parametros!$A$2:$A$6,MATCH(C2047,parametros!$B$2:$B$6,0)),"")&lt;&gt;"Sim","Nao",IF(IFERROR(INDEX(parametros!$H$2:$H$6,MATCH(C2047,parametros!$B$2:$B$6,0)),"")="","",IF(B2047&gt;=IFERROR(INDEX(parametros!$H$2:$H$6,MATCH(C2047,parametros!$B$2:$B$6,0)),""),"Sim","Nao"))))))</f>
        <v/>
      </c>
      <c r="T2047" s="156"/>
      <c r="U2047" s="214" t="str">
        <f t="shared" si="161"/>
        <v/>
      </c>
      <c r="V2047" s="212" t="s">
        <v>50</v>
      </c>
      <c r="W2047" s="100" t="s">
        <v>168</v>
      </c>
      <c r="X2047" s="100" t="s">
        <v>169</v>
      </c>
      <c r="Y2047" s="101" t="s">
        <v>170</v>
      </c>
      <c r="Z2047" s="101" t="s">
        <v>171</v>
      </c>
      <c r="AA2047" s="101" t="s">
        <v>50</v>
      </c>
      <c r="AB2047" s="101" t="s">
        <v>172</v>
      </c>
      <c r="AC2047" s="102" t="s">
        <v>173</v>
      </c>
    </row>
    <row r="2048" spans="1:29" ht="25.5" customHeight="1" x14ac:dyDescent="0.35">
      <c r="A2048" s="392"/>
      <c r="B2048" s="393"/>
      <c r="C2048" s="99" t="str">
        <f>IF(B2048="","",IF(NOT(ISNUMBER(B2048)),"DATA_PC invalida",IF(NOT(ISNUMBER(parametros!$C$2)),"Fora dos ciclos",IF(OR(B2048&lt;parametros!$C$2,(YEAR(B2048)-YEAR(parametros!$C$2))*12+MONTH(B2048)-MONTH(parametros!$C$2)&gt;59),"Fora dos ciclos","C"&amp;INT(((YEAR(B2048)-YEAR(parametros!$C$2))*12+MONTH(B2048)-MONTH(parametros!$C$2))/12)))))</f>
        <v/>
      </c>
      <c r="D2048" s="394"/>
      <c r="E2048" s="78" t="str">
        <f>IF(C2048="","",IFERROR(VLOOKUP(C2048,parametros!$A$11:$E$15,5,0),""))</f>
        <v/>
      </c>
      <c r="F2048" s="79" t="str">
        <f t="shared" si="157"/>
        <v/>
      </c>
      <c r="G2048" s="395"/>
      <c r="H2048" s="91">
        <f t="shared" si="158"/>
        <v>0</v>
      </c>
      <c r="I2048" s="91" t="str">
        <f t="shared" si="159"/>
        <v/>
      </c>
      <c r="J2048" s="91" t="str">
        <f t="shared" si="160"/>
        <v/>
      </c>
      <c r="K2048" s="92" t="str">
        <f>IF(AND(A2048="",B2048="",D2048="",G2048=""),"",IF(AND(A2048&lt;&gt;"",COUNTIF($A$2:$A$5001,A2048)&gt;1),"NUMERO_PC duplicado",IF(B2048="","DATA_PC vazia",IF(NOT(ISNUMBER(B2048)),"DATA_PC invalida",IF(OR(C2048="",C2048="Fora dos ciclos"),"CICLO_PC nao identificado",IF(OR(D2048="",D2048=0),"VALOR_PC vazio ou zero",IF(AND(G2048&lt;&gt;"Sim",G2048&lt;&gt;"Nao",G2048&lt;&gt;""),"PC_PAGO_A_CONTRATADA invalido",IF(AND(C2048&lt;&gt;"C0",IFERROR(INDEX(parametros!$A$2:$A$6,MATCH(C2048,parametros!$B$2:$B$6,0)),"")="Sim",IFERROR(INDEX(parametros!$H$2:$H$6,MATCH(C2048,parametros!$B$2:$B$6,0)),"")=""),"INICIO_EFEITO ausente: PC "&amp;A2048&amp;" - "&amp;C2048,IF(L2048="","EFEITO_PC nao calculado: PC "&amp;A2048&amp;" - "&amp;C2048,"OK")))))))))</f>
        <v/>
      </c>
      <c r="L2048" s="92" t="str">
        <f>IF(AND(A2048="",B2048="",D2048="",G2048=""),"",IF(OR(B2048="",NOT(ISNUMBER(B2048)),C2048="",C2048="Fora dos ciclos"),"",IF(C2048="C0","Nao",IF(IFERROR(INDEX(parametros!$A$2:$A$6,MATCH(C2048,parametros!$B$2:$B$6,0)),"")&lt;&gt;"Sim","Nao",IF(IFERROR(INDEX(parametros!$H$2:$H$6,MATCH(C2048,parametros!$B$2:$B$6,0)),"")="","",IF(B2048&gt;=IFERROR(INDEX(parametros!$H$2:$H$6,MATCH(C2048,parametros!$B$2:$B$6,0)),""),"Sim","Nao"))))))</f>
        <v/>
      </c>
      <c r="T2048" s="156"/>
      <c r="U2048" s="214" t="str">
        <f t="shared" si="161"/>
        <v/>
      </c>
      <c r="V2048" s="212" t="s">
        <v>50</v>
      </c>
      <c r="W2048" s="100" t="s">
        <v>168</v>
      </c>
      <c r="X2048" s="100" t="s">
        <v>169</v>
      </c>
      <c r="Y2048" s="101" t="s">
        <v>170</v>
      </c>
      <c r="Z2048" s="101" t="s">
        <v>171</v>
      </c>
      <c r="AA2048" s="101" t="s">
        <v>50</v>
      </c>
      <c r="AB2048" s="101" t="s">
        <v>172</v>
      </c>
      <c r="AC2048" s="102" t="s">
        <v>173</v>
      </c>
    </row>
    <row r="2049" spans="1:29" ht="25.5" customHeight="1" x14ac:dyDescent="0.35">
      <c r="A2049" s="392"/>
      <c r="B2049" s="393"/>
      <c r="C2049" s="99" t="str">
        <f>IF(B2049="","",IF(NOT(ISNUMBER(B2049)),"DATA_PC invalida",IF(NOT(ISNUMBER(parametros!$C$2)),"Fora dos ciclos",IF(OR(B2049&lt;parametros!$C$2,(YEAR(B2049)-YEAR(parametros!$C$2))*12+MONTH(B2049)-MONTH(parametros!$C$2)&gt;59),"Fora dos ciclos","C"&amp;INT(((YEAR(B2049)-YEAR(parametros!$C$2))*12+MONTH(B2049)-MONTH(parametros!$C$2))/12)))))</f>
        <v/>
      </c>
      <c r="D2049" s="394"/>
      <c r="E2049" s="78" t="str">
        <f>IF(C2049="","",IFERROR(VLOOKUP(C2049,parametros!$A$11:$E$15,5,0),""))</f>
        <v/>
      </c>
      <c r="F2049" s="79" t="str">
        <f t="shared" si="157"/>
        <v/>
      </c>
      <c r="G2049" s="395"/>
      <c r="H2049" s="91">
        <f t="shared" si="158"/>
        <v>0</v>
      </c>
      <c r="I2049" s="91" t="str">
        <f t="shared" si="159"/>
        <v/>
      </c>
      <c r="J2049" s="91" t="str">
        <f t="shared" si="160"/>
        <v/>
      </c>
      <c r="K2049" s="92" t="str">
        <f>IF(AND(A2049="",B2049="",D2049="",G2049=""),"",IF(AND(A2049&lt;&gt;"",COUNTIF($A$2:$A$5001,A2049)&gt;1),"NUMERO_PC duplicado",IF(B2049="","DATA_PC vazia",IF(NOT(ISNUMBER(B2049)),"DATA_PC invalida",IF(OR(C2049="",C2049="Fora dos ciclos"),"CICLO_PC nao identificado",IF(OR(D2049="",D2049=0),"VALOR_PC vazio ou zero",IF(AND(G2049&lt;&gt;"Sim",G2049&lt;&gt;"Nao",G2049&lt;&gt;""),"PC_PAGO_A_CONTRATADA invalido",IF(AND(C2049&lt;&gt;"C0",IFERROR(INDEX(parametros!$A$2:$A$6,MATCH(C2049,parametros!$B$2:$B$6,0)),"")="Sim",IFERROR(INDEX(parametros!$H$2:$H$6,MATCH(C2049,parametros!$B$2:$B$6,0)),"")=""),"INICIO_EFEITO ausente: PC "&amp;A2049&amp;" - "&amp;C2049,IF(L2049="","EFEITO_PC nao calculado: PC "&amp;A2049&amp;" - "&amp;C2049,"OK")))))))))</f>
        <v/>
      </c>
      <c r="L2049" s="92" t="str">
        <f>IF(AND(A2049="",B2049="",D2049="",G2049=""),"",IF(OR(B2049="",NOT(ISNUMBER(B2049)),C2049="",C2049="Fora dos ciclos"),"",IF(C2049="C0","Nao",IF(IFERROR(INDEX(parametros!$A$2:$A$6,MATCH(C2049,parametros!$B$2:$B$6,0)),"")&lt;&gt;"Sim","Nao",IF(IFERROR(INDEX(parametros!$H$2:$H$6,MATCH(C2049,parametros!$B$2:$B$6,0)),"")="","",IF(B2049&gt;=IFERROR(INDEX(parametros!$H$2:$H$6,MATCH(C2049,parametros!$B$2:$B$6,0)),""),"Sim","Nao"))))))</f>
        <v/>
      </c>
      <c r="T2049" s="156"/>
      <c r="U2049" s="214" t="str">
        <f t="shared" si="161"/>
        <v/>
      </c>
      <c r="V2049" s="212" t="s">
        <v>50</v>
      </c>
      <c r="W2049" s="100" t="s">
        <v>168</v>
      </c>
      <c r="X2049" s="100" t="s">
        <v>169</v>
      </c>
      <c r="Y2049" s="101" t="s">
        <v>170</v>
      </c>
      <c r="Z2049" s="101" t="s">
        <v>171</v>
      </c>
      <c r="AA2049" s="101" t="s">
        <v>50</v>
      </c>
      <c r="AB2049" s="101" t="s">
        <v>172</v>
      </c>
      <c r="AC2049" s="102" t="s">
        <v>173</v>
      </c>
    </row>
    <row r="2050" spans="1:29" ht="25.5" customHeight="1" x14ac:dyDescent="0.35">
      <c r="A2050" s="392"/>
      <c r="B2050" s="393"/>
      <c r="C2050" s="99" t="str">
        <f>IF(B2050="","",IF(NOT(ISNUMBER(B2050)),"DATA_PC invalida",IF(NOT(ISNUMBER(parametros!$C$2)),"Fora dos ciclos",IF(OR(B2050&lt;parametros!$C$2,(YEAR(B2050)-YEAR(parametros!$C$2))*12+MONTH(B2050)-MONTH(parametros!$C$2)&gt;59),"Fora dos ciclos","C"&amp;INT(((YEAR(B2050)-YEAR(parametros!$C$2))*12+MONTH(B2050)-MONTH(parametros!$C$2))/12)))))</f>
        <v/>
      </c>
      <c r="D2050" s="394"/>
      <c r="E2050" s="78" t="str">
        <f>IF(C2050="","",IFERROR(VLOOKUP(C2050,parametros!$A$11:$E$15,5,0),""))</f>
        <v/>
      </c>
      <c r="F2050" s="79" t="str">
        <f t="shared" ref="F2050:F2113" si="162">IF(OR(D2050="",E2050=""),"",ROUND(D2050*E2050,2))</f>
        <v/>
      </c>
      <c r="G2050" s="395"/>
      <c r="H2050" s="91">
        <f t="shared" ref="H2050:H2113" si="163">IF(G2050="Sim",IF(OR(F2050="",D2050="",L2050=""),"",IF(L2050="Sim",ROUND(F2050-D2050,2),0)),0)</f>
        <v>0</v>
      </c>
      <c r="I2050" s="91" t="str">
        <f t="shared" ref="I2050:I2113" si="164">IF(G2050="Sim",0,IF(OR(F2050="",L2050=""),"",F2050))</f>
        <v/>
      </c>
      <c r="J2050" s="91" t="str">
        <f t="shared" ref="J2050:J2113" si="165">IF(G2050="Sim",0,IF(OR(F2050="",D2050="",L2050=""),"",IF(L2050="Sim",ROUND(F2050-D2050,2),0)))</f>
        <v/>
      </c>
      <c r="K2050" s="92" t="str">
        <f>IF(AND(A2050="",B2050="",D2050="",G2050=""),"",IF(AND(A2050&lt;&gt;"",COUNTIF($A$2:$A$5001,A2050)&gt;1),"NUMERO_PC duplicado",IF(B2050="","DATA_PC vazia",IF(NOT(ISNUMBER(B2050)),"DATA_PC invalida",IF(OR(C2050="",C2050="Fora dos ciclos"),"CICLO_PC nao identificado",IF(OR(D2050="",D2050=0),"VALOR_PC vazio ou zero",IF(AND(G2050&lt;&gt;"Sim",G2050&lt;&gt;"Nao",G2050&lt;&gt;""),"PC_PAGO_A_CONTRATADA invalido",IF(AND(C2050&lt;&gt;"C0",IFERROR(INDEX(parametros!$A$2:$A$6,MATCH(C2050,parametros!$B$2:$B$6,0)),"")="Sim",IFERROR(INDEX(parametros!$H$2:$H$6,MATCH(C2050,parametros!$B$2:$B$6,0)),"")=""),"INICIO_EFEITO ausente: PC "&amp;A2050&amp;" - "&amp;C2050,IF(L2050="","EFEITO_PC nao calculado: PC "&amp;A2050&amp;" - "&amp;C2050,"OK")))))))))</f>
        <v/>
      </c>
      <c r="L2050" s="92" t="str">
        <f>IF(AND(A2050="",B2050="",D2050="",G2050=""),"",IF(OR(B2050="",NOT(ISNUMBER(B2050)),C2050="",C2050="Fora dos ciclos"),"",IF(C2050="C0","Nao",IF(IFERROR(INDEX(parametros!$A$2:$A$6,MATCH(C2050,parametros!$B$2:$B$6,0)),"")&lt;&gt;"Sim","Nao",IF(IFERROR(INDEX(parametros!$H$2:$H$6,MATCH(C2050,parametros!$B$2:$B$6,0)),"")="","",IF(B2050&gt;=IFERROR(INDEX(parametros!$H$2:$H$6,MATCH(C2050,parametros!$B$2:$B$6,0)),""),"Sim","Nao"))))))</f>
        <v/>
      </c>
      <c r="T2050" s="156"/>
      <c r="U2050" s="214" t="str">
        <f t="shared" ref="U2050:U2113" si="166">IF(OR($D2050="",$H2050=""),"",ROUND($D2050+$H2050,2))</f>
        <v/>
      </c>
      <c r="V2050" s="212" t="s">
        <v>50</v>
      </c>
      <c r="W2050" s="100" t="s">
        <v>168</v>
      </c>
      <c r="X2050" s="100" t="s">
        <v>169</v>
      </c>
      <c r="Y2050" s="101" t="s">
        <v>170</v>
      </c>
      <c r="Z2050" s="101" t="s">
        <v>171</v>
      </c>
      <c r="AA2050" s="101" t="s">
        <v>50</v>
      </c>
      <c r="AB2050" s="101" t="s">
        <v>172</v>
      </c>
      <c r="AC2050" s="102" t="s">
        <v>173</v>
      </c>
    </row>
    <row r="2051" spans="1:29" ht="25.5" customHeight="1" x14ac:dyDescent="0.35">
      <c r="A2051" s="392"/>
      <c r="B2051" s="393"/>
      <c r="C2051" s="99" t="str">
        <f>IF(B2051="","",IF(NOT(ISNUMBER(B2051)),"DATA_PC invalida",IF(NOT(ISNUMBER(parametros!$C$2)),"Fora dos ciclos",IF(OR(B2051&lt;parametros!$C$2,(YEAR(B2051)-YEAR(parametros!$C$2))*12+MONTH(B2051)-MONTH(parametros!$C$2)&gt;59),"Fora dos ciclos","C"&amp;INT(((YEAR(B2051)-YEAR(parametros!$C$2))*12+MONTH(B2051)-MONTH(parametros!$C$2))/12)))))</f>
        <v/>
      </c>
      <c r="D2051" s="394"/>
      <c r="E2051" s="78" t="str">
        <f>IF(C2051="","",IFERROR(VLOOKUP(C2051,parametros!$A$11:$E$15,5,0),""))</f>
        <v/>
      </c>
      <c r="F2051" s="79" t="str">
        <f t="shared" si="162"/>
        <v/>
      </c>
      <c r="G2051" s="395"/>
      <c r="H2051" s="91">
        <f t="shared" si="163"/>
        <v>0</v>
      </c>
      <c r="I2051" s="91" t="str">
        <f t="shared" si="164"/>
        <v/>
      </c>
      <c r="J2051" s="91" t="str">
        <f t="shared" si="165"/>
        <v/>
      </c>
      <c r="K2051" s="92" t="str">
        <f>IF(AND(A2051="",B2051="",D2051="",G2051=""),"",IF(AND(A2051&lt;&gt;"",COUNTIF($A$2:$A$5001,A2051)&gt;1),"NUMERO_PC duplicado",IF(B2051="","DATA_PC vazia",IF(NOT(ISNUMBER(B2051)),"DATA_PC invalida",IF(OR(C2051="",C2051="Fora dos ciclos"),"CICLO_PC nao identificado",IF(OR(D2051="",D2051=0),"VALOR_PC vazio ou zero",IF(AND(G2051&lt;&gt;"Sim",G2051&lt;&gt;"Nao",G2051&lt;&gt;""),"PC_PAGO_A_CONTRATADA invalido",IF(AND(C2051&lt;&gt;"C0",IFERROR(INDEX(parametros!$A$2:$A$6,MATCH(C2051,parametros!$B$2:$B$6,0)),"")="Sim",IFERROR(INDEX(parametros!$H$2:$H$6,MATCH(C2051,parametros!$B$2:$B$6,0)),"")=""),"INICIO_EFEITO ausente: PC "&amp;A2051&amp;" - "&amp;C2051,IF(L2051="","EFEITO_PC nao calculado: PC "&amp;A2051&amp;" - "&amp;C2051,"OK")))))))))</f>
        <v/>
      </c>
      <c r="L2051" s="92" t="str">
        <f>IF(AND(A2051="",B2051="",D2051="",G2051=""),"",IF(OR(B2051="",NOT(ISNUMBER(B2051)),C2051="",C2051="Fora dos ciclos"),"",IF(C2051="C0","Nao",IF(IFERROR(INDEX(parametros!$A$2:$A$6,MATCH(C2051,parametros!$B$2:$B$6,0)),"")&lt;&gt;"Sim","Nao",IF(IFERROR(INDEX(parametros!$H$2:$H$6,MATCH(C2051,parametros!$B$2:$B$6,0)),"")="","",IF(B2051&gt;=IFERROR(INDEX(parametros!$H$2:$H$6,MATCH(C2051,parametros!$B$2:$B$6,0)),""),"Sim","Nao"))))))</f>
        <v/>
      </c>
      <c r="T2051" s="156"/>
      <c r="U2051" s="214" t="str">
        <f t="shared" si="166"/>
        <v/>
      </c>
      <c r="V2051" s="212" t="s">
        <v>50</v>
      </c>
      <c r="W2051" s="100" t="s">
        <v>168</v>
      </c>
      <c r="X2051" s="100" t="s">
        <v>169</v>
      </c>
      <c r="Y2051" s="101" t="s">
        <v>170</v>
      </c>
      <c r="Z2051" s="101" t="s">
        <v>171</v>
      </c>
      <c r="AA2051" s="101" t="s">
        <v>50</v>
      </c>
      <c r="AB2051" s="101" t="s">
        <v>172</v>
      </c>
      <c r="AC2051" s="102" t="s">
        <v>173</v>
      </c>
    </row>
    <row r="2052" spans="1:29" ht="25.5" customHeight="1" x14ac:dyDescent="0.35">
      <c r="A2052" s="392"/>
      <c r="B2052" s="393"/>
      <c r="C2052" s="99" t="str">
        <f>IF(B2052="","",IF(NOT(ISNUMBER(B2052)),"DATA_PC invalida",IF(NOT(ISNUMBER(parametros!$C$2)),"Fora dos ciclos",IF(OR(B2052&lt;parametros!$C$2,(YEAR(B2052)-YEAR(parametros!$C$2))*12+MONTH(B2052)-MONTH(parametros!$C$2)&gt;59),"Fora dos ciclos","C"&amp;INT(((YEAR(B2052)-YEAR(parametros!$C$2))*12+MONTH(B2052)-MONTH(parametros!$C$2))/12)))))</f>
        <v/>
      </c>
      <c r="D2052" s="394"/>
      <c r="E2052" s="78" t="str">
        <f>IF(C2052="","",IFERROR(VLOOKUP(C2052,parametros!$A$11:$E$15,5,0),""))</f>
        <v/>
      </c>
      <c r="F2052" s="79" t="str">
        <f t="shared" si="162"/>
        <v/>
      </c>
      <c r="G2052" s="395"/>
      <c r="H2052" s="91">
        <f t="shared" si="163"/>
        <v>0</v>
      </c>
      <c r="I2052" s="91" t="str">
        <f t="shared" si="164"/>
        <v/>
      </c>
      <c r="J2052" s="91" t="str">
        <f t="shared" si="165"/>
        <v/>
      </c>
      <c r="K2052" s="92" t="str">
        <f>IF(AND(A2052="",B2052="",D2052="",G2052=""),"",IF(AND(A2052&lt;&gt;"",COUNTIF($A$2:$A$5001,A2052)&gt;1),"NUMERO_PC duplicado",IF(B2052="","DATA_PC vazia",IF(NOT(ISNUMBER(B2052)),"DATA_PC invalida",IF(OR(C2052="",C2052="Fora dos ciclos"),"CICLO_PC nao identificado",IF(OR(D2052="",D2052=0),"VALOR_PC vazio ou zero",IF(AND(G2052&lt;&gt;"Sim",G2052&lt;&gt;"Nao",G2052&lt;&gt;""),"PC_PAGO_A_CONTRATADA invalido",IF(AND(C2052&lt;&gt;"C0",IFERROR(INDEX(parametros!$A$2:$A$6,MATCH(C2052,parametros!$B$2:$B$6,0)),"")="Sim",IFERROR(INDEX(parametros!$H$2:$H$6,MATCH(C2052,parametros!$B$2:$B$6,0)),"")=""),"INICIO_EFEITO ausente: PC "&amp;A2052&amp;" - "&amp;C2052,IF(L2052="","EFEITO_PC nao calculado: PC "&amp;A2052&amp;" - "&amp;C2052,"OK")))))))))</f>
        <v/>
      </c>
      <c r="L2052" s="92" t="str">
        <f>IF(AND(A2052="",B2052="",D2052="",G2052=""),"",IF(OR(B2052="",NOT(ISNUMBER(B2052)),C2052="",C2052="Fora dos ciclos"),"",IF(C2052="C0","Nao",IF(IFERROR(INDEX(parametros!$A$2:$A$6,MATCH(C2052,parametros!$B$2:$B$6,0)),"")&lt;&gt;"Sim","Nao",IF(IFERROR(INDEX(parametros!$H$2:$H$6,MATCH(C2052,parametros!$B$2:$B$6,0)),"")="","",IF(B2052&gt;=IFERROR(INDEX(parametros!$H$2:$H$6,MATCH(C2052,parametros!$B$2:$B$6,0)),""),"Sim","Nao"))))))</f>
        <v/>
      </c>
      <c r="T2052" s="156"/>
      <c r="U2052" s="214" t="str">
        <f t="shared" si="166"/>
        <v/>
      </c>
      <c r="V2052" s="212" t="s">
        <v>50</v>
      </c>
      <c r="W2052" s="100" t="s">
        <v>168</v>
      </c>
      <c r="X2052" s="100" t="s">
        <v>169</v>
      </c>
      <c r="Y2052" s="101" t="s">
        <v>170</v>
      </c>
      <c r="Z2052" s="101" t="s">
        <v>171</v>
      </c>
      <c r="AA2052" s="101" t="s">
        <v>50</v>
      </c>
      <c r="AB2052" s="101" t="s">
        <v>172</v>
      </c>
      <c r="AC2052" s="102" t="s">
        <v>173</v>
      </c>
    </row>
    <row r="2053" spans="1:29" ht="25.5" customHeight="1" x14ac:dyDescent="0.35">
      <c r="A2053" s="392"/>
      <c r="B2053" s="393"/>
      <c r="C2053" s="99" t="str">
        <f>IF(B2053="","",IF(NOT(ISNUMBER(B2053)),"DATA_PC invalida",IF(NOT(ISNUMBER(parametros!$C$2)),"Fora dos ciclos",IF(OR(B2053&lt;parametros!$C$2,(YEAR(B2053)-YEAR(parametros!$C$2))*12+MONTH(B2053)-MONTH(parametros!$C$2)&gt;59),"Fora dos ciclos","C"&amp;INT(((YEAR(B2053)-YEAR(parametros!$C$2))*12+MONTH(B2053)-MONTH(parametros!$C$2))/12)))))</f>
        <v/>
      </c>
      <c r="D2053" s="394"/>
      <c r="E2053" s="78" t="str">
        <f>IF(C2053="","",IFERROR(VLOOKUP(C2053,parametros!$A$11:$E$15,5,0),""))</f>
        <v/>
      </c>
      <c r="F2053" s="79" t="str">
        <f t="shared" si="162"/>
        <v/>
      </c>
      <c r="G2053" s="395"/>
      <c r="H2053" s="91">
        <f t="shared" si="163"/>
        <v>0</v>
      </c>
      <c r="I2053" s="91" t="str">
        <f t="shared" si="164"/>
        <v/>
      </c>
      <c r="J2053" s="91" t="str">
        <f t="shared" si="165"/>
        <v/>
      </c>
      <c r="K2053" s="92" t="str">
        <f>IF(AND(A2053="",B2053="",D2053="",G2053=""),"",IF(AND(A2053&lt;&gt;"",COUNTIF($A$2:$A$5001,A2053)&gt;1),"NUMERO_PC duplicado",IF(B2053="","DATA_PC vazia",IF(NOT(ISNUMBER(B2053)),"DATA_PC invalida",IF(OR(C2053="",C2053="Fora dos ciclos"),"CICLO_PC nao identificado",IF(OR(D2053="",D2053=0),"VALOR_PC vazio ou zero",IF(AND(G2053&lt;&gt;"Sim",G2053&lt;&gt;"Nao",G2053&lt;&gt;""),"PC_PAGO_A_CONTRATADA invalido",IF(AND(C2053&lt;&gt;"C0",IFERROR(INDEX(parametros!$A$2:$A$6,MATCH(C2053,parametros!$B$2:$B$6,0)),"")="Sim",IFERROR(INDEX(parametros!$H$2:$H$6,MATCH(C2053,parametros!$B$2:$B$6,0)),"")=""),"INICIO_EFEITO ausente: PC "&amp;A2053&amp;" - "&amp;C2053,IF(L2053="","EFEITO_PC nao calculado: PC "&amp;A2053&amp;" - "&amp;C2053,"OK")))))))))</f>
        <v/>
      </c>
      <c r="L2053" s="92" t="str">
        <f>IF(AND(A2053="",B2053="",D2053="",G2053=""),"",IF(OR(B2053="",NOT(ISNUMBER(B2053)),C2053="",C2053="Fora dos ciclos"),"",IF(C2053="C0","Nao",IF(IFERROR(INDEX(parametros!$A$2:$A$6,MATCH(C2053,parametros!$B$2:$B$6,0)),"")&lt;&gt;"Sim","Nao",IF(IFERROR(INDEX(parametros!$H$2:$H$6,MATCH(C2053,parametros!$B$2:$B$6,0)),"")="","",IF(B2053&gt;=IFERROR(INDEX(parametros!$H$2:$H$6,MATCH(C2053,parametros!$B$2:$B$6,0)),""),"Sim","Nao"))))))</f>
        <v/>
      </c>
      <c r="T2053" s="156"/>
      <c r="U2053" s="214" t="str">
        <f t="shared" si="166"/>
        <v/>
      </c>
      <c r="V2053" s="212" t="s">
        <v>50</v>
      </c>
      <c r="W2053" s="100" t="s">
        <v>168</v>
      </c>
      <c r="X2053" s="100" t="s">
        <v>169</v>
      </c>
      <c r="Y2053" s="101" t="s">
        <v>170</v>
      </c>
      <c r="Z2053" s="101" t="s">
        <v>171</v>
      </c>
      <c r="AA2053" s="101" t="s">
        <v>50</v>
      </c>
      <c r="AB2053" s="101" t="s">
        <v>172</v>
      </c>
      <c r="AC2053" s="102" t="s">
        <v>173</v>
      </c>
    </row>
    <row r="2054" spans="1:29" ht="25.5" customHeight="1" x14ac:dyDescent="0.35">
      <c r="A2054" s="392"/>
      <c r="B2054" s="393"/>
      <c r="C2054" s="99" t="str">
        <f>IF(B2054="","",IF(NOT(ISNUMBER(B2054)),"DATA_PC invalida",IF(NOT(ISNUMBER(parametros!$C$2)),"Fora dos ciclos",IF(OR(B2054&lt;parametros!$C$2,(YEAR(B2054)-YEAR(parametros!$C$2))*12+MONTH(B2054)-MONTH(parametros!$C$2)&gt;59),"Fora dos ciclos","C"&amp;INT(((YEAR(B2054)-YEAR(parametros!$C$2))*12+MONTH(B2054)-MONTH(parametros!$C$2))/12)))))</f>
        <v/>
      </c>
      <c r="D2054" s="394"/>
      <c r="E2054" s="78" t="str">
        <f>IF(C2054="","",IFERROR(VLOOKUP(C2054,parametros!$A$11:$E$15,5,0),""))</f>
        <v/>
      </c>
      <c r="F2054" s="79" t="str">
        <f t="shared" si="162"/>
        <v/>
      </c>
      <c r="G2054" s="395"/>
      <c r="H2054" s="91">
        <f t="shared" si="163"/>
        <v>0</v>
      </c>
      <c r="I2054" s="91" t="str">
        <f t="shared" si="164"/>
        <v/>
      </c>
      <c r="J2054" s="91" t="str">
        <f t="shared" si="165"/>
        <v/>
      </c>
      <c r="K2054" s="92" t="str">
        <f>IF(AND(A2054="",B2054="",D2054="",G2054=""),"",IF(AND(A2054&lt;&gt;"",COUNTIF($A$2:$A$5001,A2054)&gt;1),"NUMERO_PC duplicado",IF(B2054="","DATA_PC vazia",IF(NOT(ISNUMBER(B2054)),"DATA_PC invalida",IF(OR(C2054="",C2054="Fora dos ciclos"),"CICLO_PC nao identificado",IF(OR(D2054="",D2054=0),"VALOR_PC vazio ou zero",IF(AND(G2054&lt;&gt;"Sim",G2054&lt;&gt;"Nao",G2054&lt;&gt;""),"PC_PAGO_A_CONTRATADA invalido",IF(AND(C2054&lt;&gt;"C0",IFERROR(INDEX(parametros!$A$2:$A$6,MATCH(C2054,parametros!$B$2:$B$6,0)),"")="Sim",IFERROR(INDEX(parametros!$H$2:$H$6,MATCH(C2054,parametros!$B$2:$B$6,0)),"")=""),"INICIO_EFEITO ausente: PC "&amp;A2054&amp;" - "&amp;C2054,IF(L2054="","EFEITO_PC nao calculado: PC "&amp;A2054&amp;" - "&amp;C2054,"OK")))))))))</f>
        <v/>
      </c>
      <c r="L2054" s="92" t="str">
        <f>IF(AND(A2054="",B2054="",D2054="",G2054=""),"",IF(OR(B2054="",NOT(ISNUMBER(B2054)),C2054="",C2054="Fora dos ciclos"),"",IF(C2054="C0","Nao",IF(IFERROR(INDEX(parametros!$A$2:$A$6,MATCH(C2054,parametros!$B$2:$B$6,0)),"")&lt;&gt;"Sim","Nao",IF(IFERROR(INDEX(parametros!$H$2:$H$6,MATCH(C2054,parametros!$B$2:$B$6,0)),"")="","",IF(B2054&gt;=IFERROR(INDEX(parametros!$H$2:$H$6,MATCH(C2054,parametros!$B$2:$B$6,0)),""),"Sim","Nao"))))))</f>
        <v/>
      </c>
      <c r="T2054" s="156"/>
      <c r="U2054" s="214" t="str">
        <f t="shared" si="166"/>
        <v/>
      </c>
      <c r="V2054" s="212" t="s">
        <v>50</v>
      </c>
      <c r="W2054" s="100" t="s">
        <v>168</v>
      </c>
      <c r="X2054" s="100" t="s">
        <v>169</v>
      </c>
      <c r="Y2054" s="101" t="s">
        <v>170</v>
      </c>
      <c r="Z2054" s="101" t="s">
        <v>171</v>
      </c>
      <c r="AA2054" s="101" t="s">
        <v>50</v>
      </c>
      <c r="AB2054" s="101" t="s">
        <v>172</v>
      </c>
      <c r="AC2054" s="102" t="s">
        <v>173</v>
      </c>
    </row>
    <row r="2055" spans="1:29" ht="25.5" customHeight="1" x14ac:dyDescent="0.35">
      <c r="A2055" s="392"/>
      <c r="B2055" s="393"/>
      <c r="C2055" s="99" t="str">
        <f>IF(B2055="","",IF(NOT(ISNUMBER(B2055)),"DATA_PC invalida",IF(NOT(ISNUMBER(parametros!$C$2)),"Fora dos ciclos",IF(OR(B2055&lt;parametros!$C$2,(YEAR(B2055)-YEAR(parametros!$C$2))*12+MONTH(B2055)-MONTH(parametros!$C$2)&gt;59),"Fora dos ciclos","C"&amp;INT(((YEAR(B2055)-YEAR(parametros!$C$2))*12+MONTH(B2055)-MONTH(parametros!$C$2))/12)))))</f>
        <v/>
      </c>
      <c r="D2055" s="394"/>
      <c r="E2055" s="78" t="str">
        <f>IF(C2055="","",IFERROR(VLOOKUP(C2055,parametros!$A$11:$E$15,5,0),""))</f>
        <v/>
      </c>
      <c r="F2055" s="79" t="str">
        <f t="shared" si="162"/>
        <v/>
      </c>
      <c r="G2055" s="395"/>
      <c r="H2055" s="91">
        <f t="shared" si="163"/>
        <v>0</v>
      </c>
      <c r="I2055" s="91" t="str">
        <f t="shared" si="164"/>
        <v/>
      </c>
      <c r="J2055" s="91" t="str">
        <f t="shared" si="165"/>
        <v/>
      </c>
      <c r="K2055" s="92" t="str">
        <f>IF(AND(A2055="",B2055="",D2055="",G2055=""),"",IF(AND(A2055&lt;&gt;"",COUNTIF($A$2:$A$5001,A2055)&gt;1),"NUMERO_PC duplicado",IF(B2055="","DATA_PC vazia",IF(NOT(ISNUMBER(B2055)),"DATA_PC invalida",IF(OR(C2055="",C2055="Fora dos ciclos"),"CICLO_PC nao identificado",IF(OR(D2055="",D2055=0),"VALOR_PC vazio ou zero",IF(AND(G2055&lt;&gt;"Sim",G2055&lt;&gt;"Nao",G2055&lt;&gt;""),"PC_PAGO_A_CONTRATADA invalido",IF(AND(C2055&lt;&gt;"C0",IFERROR(INDEX(parametros!$A$2:$A$6,MATCH(C2055,parametros!$B$2:$B$6,0)),"")="Sim",IFERROR(INDEX(parametros!$H$2:$H$6,MATCH(C2055,parametros!$B$2:$B$6,0)),"")=""),"INICIO_EFEITO ausente: PC "&amp;A2055&amp;" - "&amp;C2055,IF(L2055="","EFEITO_PC nao calculado: PC "&amp;A2055&amp;" - "&amp;C2055,"OK")))))))))</f>
        <v/>
      </c>
      <c r="L2055" s="92" t="str">
        <f>IF(AND(A2055="",B2055="",D2055="",G2055=""),"",IF(OR(B2055="",NOT(ISNUMBER(B2055)),C2055="",C2055="Fora dos ciclos"),"",IF(C2055="C0","Nao",IF(IFERROR(INDEX(parametros!$A$2:$A$6,MATCH(C2055,parametros!$B$2:$B$6,0)),"")&lt;&gt;"Sim","Nao",IF(IFERROR(INDEX(parametros!$H$2:$H$6,MATCH(C2055,parametros!$B$2:$B$6,0)),"")="","",IF(B2055&gt;=IFERROR(INDEX(parametros!$H$2:$H$6,MATCH(C2055,parametros!$B$2:$B$6,0)),""),"Sim","Nao"))))))</f>
        <v/>
      </c>
      <c r="T2055" s="156"/>
      <c r="U2055" s="214" t="str">
        <f t="shared" si="166"/>
        <v/>
      </c>
      <c r="V2055" s="212" t="s">
        <v>50</v>
      </c>
      <c r="W2055" s="100" t="s">
        <v>168</v>
      </c>
      <c r="X2055" s="100" t="s">
        <v>169</v>
      </c>
      <c r="Y2055" s="101" t="s">
        <v>170</v>
      </c>
      <c r="Z2055" s="101" t="s">
        <v>171</v>
      </c>
      <c r="AA2055" s="101" t="s">
        <v>50</v>
      </c>
      <c r="AB2055" s="101" t="s">
        <v>172</v>
      </c>
      <c r="AC2055" s="102" t="s">
        <v>173</v>
      </c>
    </row>
    <row r="2056" spans="1:29" ht="25.5" customHeight="1" x14ac:dyDescent="0.35">
      <c r="A2056" s="392"/>
      <c r="B2056" s="393"/>
      <c r="C2056" s="99" t="str">
        <f>IF(B2056="","",IF(NOT(ISNUMBER(B2056)),"DATA_PC invalida",IF(NOT(ISNUMBER(parametros!$C$2)),"Fora dos ciclos",IF(OR(B2056&lt;parametros!$C$2,(YEAR(B2056)-YEAR(parametros!$C$2))*12+MONTH(B2056)-MONTH(parametros!$C$2)&gt;59),"Fora dos ciclos","C"&amp;INT(((YEAR(B2056)-YEAR(parametros!$C$2))*12+MONTH(B2056)-MONTH(parametros!$C$2))/12)))))</f>
        <v/>
      </c>
      <c r="D2056" s="394"/>
      <c r="E2056" s="78" t="str">
        <f>IF(C2056="","",IFERROR(VLOOKUP(C2056,parametros!$A$11:$E$15,5,0),""))</f>
        <v/>
      </c>
      <c r="F2056" s="79" t="str">
        <f t="shared" si="162"/>
        <v/>
      </c>
      <c r="G2056" s="395"/>
      <c r="H2056" s="91">
        <f t="shared" si="163"/>
        <v>0</v>
      </c>
      <c r="I2056" s="91" t="str">
        <f t="shared" si="164"/>
        <v/>
      </c>
      <c r="J2056" s="91" t="str">
        <f t="shared" si="165"/>
        <v/>
      </c>
      <c r="K2056" s="92" t="str">
        <f>IF(AND(A2056="",B2056="",D2056="",G2056=""),"",IF(AND(A2056&lt;&gt;"",COUNTIF($A$2:$A$5001,A2056)&gt;1),"NUMERO_PC duplicado",IF(B2056="","DATA_PC vazia",IF(NOT(ISNUMBER(B2056)),"DATA_PC invalida",IF(OR(C2056="",C2056="Fora dos ciclos"),"CICLO_PC nao identificado",IF(OR(D2056="",D2056=0),"VALOR_PC vazio ou zero",IF(AND(G2056&lt;&gt;"Sim",G2056&lt;&gt;"Nao",G2056&lt;&gt;""),"PC_PAGO_A_CONTRATADA invalido",IF(AND(C2056&lt;&gt;"C0",IFERROR(INDEX(parametros!$A$2:$A$6,MATCH(C2056,parametros!$B$2:$B$6,0)),"")="Sim",IFERROR(INDEX(parametros!$H$2:$H$6,MATCH(C2056,parametros!$B$2:$B$6,0)),"")=""),"INICIO_EFEITO ausente: PC "&amp;A2056&amp;" - "&amp;C2056,IF(L2056="","EFEITO_PC nao calculado: PC "&amp;A2056&amp;" - "&amp;C2056,"OK")))))))))</f>
        <v/>
      </c>
      <c r="L2056" s="92" t="str">
        <f>IF(AND(A2056="",B2056="",D2056="",G2056=""),"",IF(OR(B2056="",NOT(ISNUMBER(B2056)),C2056="",C2056="Fora dos ciclos"),"",IF(C2056="C0","Nao",IF(IFERROR(INDEX(parametros!$A$2:$A$6,MATCH(C2056,parametros!$B$2:$B$6,0)),"")&lt;&gt;"Sim","Nao",IF(IFERROR(INDEX(parametros!$H$2:$H$6,MATCH(C2056,parametros!$B$2:$B$6,0)),"")="","",IF(B2056&gt;=IFERROR(INDEX(parametros!$H$2:$H$6,MATCH(C2056,parametros!$B$2:$B$6,0)),""),"Sim","Nao"))))))</f>
        <v/>
      </c>
      <c r="T2056" s="156"/>
      <c r="U2056" s="214" t="str">
        <f t="shared" si="166"/>
        <v/>
      </c>
      <c r="V2056" s="212" t="s">
        <v>50</v>
      </c>
      <c r="W2056" s="100" t="s">
        <v>168</v>
      </c>
      <c r="X2056" s="100" t="s">
        <v>169</v>
      </c>
      <c r="Y2056" s="101" t="s">
        <v>170</v>
      </c>
      <c r="Z2056" s="101" t="s">
        <v>171</v>
      </c>
      <c r="AA2056" s="101" t="s">
        <v>50</v>
      </c>
      <c r="AB2056" s="101" t="s">
        <v>172</v>
      </c>
      <c r="AC2056" s="102" t="s">
        <v>173</v>
      </c>
    </row>
    <row r="2057" spans="1:29" ht="25.5" customHeight="1" x14ac:dyDescent="0.35">
      <c r="A2057" s="392"/>
      <c r="B2057" s="393"/>
      <c r="C2057" s="99" t="str">
        <f>IF(B2057="","",IF(NOT(ISNUMBER(B2057)),"DATA_PC invalida",IF(NOT(ISNUMBER(parametros!$C$2)),"Fora dos ciclos",IF(OR(B2057&lt;parametros!$C$2,(YEAR(B2057)-YEAR(parametros!$C$2))*12+MONTH(B2057)-MONTH(parametros!$C$2)&gt;59),"Fora dos ciclos","C"&amp;INT(((YEAR(B2057)-YEAR(parametros!$C$2))*12+MONTH(B2057)-MONTH(parametros!$C$2))/12)))))</f>
        <v/>
      </c>
      <c r="D2057" s="394"/>
      <c r="E2057" s="78" t="str">
        <f>IF(C2057="","",IFERROR(VLOOKUP(C2057,parametros!$A$11:$E$15,5,0),""))</f>
        <v/>
      </c>
      <c r="F2057" s="79" t="str">
        <f t="shared" si="162"/>
        <v/>
      </c>
      <c r="G2057" s="395"/>
      <c r="H2057" s="91">
        <f t="shared" si="163"/>
        <v>0</v>
      </c>
      <c r="I2057" s="91" t="str">
        <f t="shared" si="164"/>
        <v/>
      </c>
      <c r="J2057" s="91" t="str">
        <f t="shared" si="165"/>
        <v/>
      </c>
      <c r="K2057" s="92" t="str">
        <f>IF(AND(A2057="",B2057="",D2057="",G2057=""),"",IF(AND(A2057&lt;&gt;"",COUNTIF($A$2:$A$5001,A2057)&gt;1),"NUMERO_PC duplicado",IF(B2057="","DATA_PC vazia",IF(NOT(ISNUMBER(B2057)),"DATA_PC invalida",IF(OR(C2057="",C2057="Fora dos ciclos"),"CICLO_PC nao identificado",IF(OR(D2057="",D2057=0),"VALOR_PC vazio ou zero",IF(AND(G2057&lt;&gt;"Sim",G2057&lt;&gt;"Nao",G2057&lt;&gt;""),"PC_PAGO_A_CONTRATADA invalido",IF(AND(C2057&lt;&gt;"C0",IFERROR(INDEX(parametros!$A$2:$A$6,MATCH(C2057,parametros!$B$2:$B$6,0)),"")="Sim",IFERROR(INDEX(parametros!$H$2:$H$6,MATCH(C2057,parametros!$B$2:$B$6,0)),"")=""),"INICIO_EFEITO ausente: PC "&amp;A2057&amp;" - "&amp;C2057,IF(L2057="","EFEITO_PC nao calculado: PC "&amp;A2057&amp;" - "&amp;C2057,"OK")))))))))</f>
        <v/>
      </c>
      <c r="L2057" s="92" t="str">
        <f>IF(AND(A2057="",B2057="",D2057="",G2057=""),"",IF(OR(B2057="",NOT(ISNUMBER(B2057)),C2057="",C2057="Fora dos ciclos"),"",IF(C2057="C0","Nao",IF(IFERROR(INDEX(parametros!$A$2:$A$6,MATCH(C2057,parametros!$B$2:$B$6,0)),"")&lt;&gt;"Sim","Nao",IF(IFERROR(INDEX(parametros!$H$2:$H$6,MATCH(C2057,parametros!$B$2:$B$6,0)),"")="","",IF(B2057&gt;=IFERROR(INDEX(parametros!$H$2:$H$6,MATCH(C2057,parametros!$B$2:$B$6,0)),""),"Sim","Nao"))))))</f>
        <v/>
      </c>
      <c r="T2057" s="156"/>
      <c r="U2057" s="214" t="str">
        <f t="shared" si="166"/>
        <v/>
      </c>
      <c r="V2057" s="212" t="s">
        <v>50</v>
      </c>
      <c r="W2057" s="100" t="s">
        <v>168</v>
      </c>
      <c r="X2057" s="100" t="s">
        <v>169</v>
      </c>
      <c r="Y2057" s="101" t="s">
        <v>170</v>
      </c>
      <c r="Z2057" s="101" t="s">
        <v>171</v>
      </c>
      <c r="AA2057" s="101" t="s">
        <v>50</v>
      </c>
      <c r="AB2057" s="101" t="s">
        <v>172</v>
      </c>
      <c r="AC2057" s="102" t="s">
        <v>173</v>
      </c>
    </row>
    <row r="2058" spans="1:29" ht="25.5" customHeight="1" x14ac:dyDescent="0.35">
      <c r="A2058" s="392"/>
      <c r="B2058" s="393"/>
      <c r="C2058" s="99" t="str">
        <f>IF(B2058="","",IF(NOT(ISNUMBER(B2058)),"DATA_PC invalida",IF(NOT(ISNUMBER(parametros!$C$2)),"Fora dos ciclos",IF(OR(B2058&lt;parametros!$C$2,(YEAR(B2058)-YEAR(parametros!$C$2))*12+MONTH(B2058)-MONTH(parametros!$C$2)&gt;59),"Fora dos ciclos","C"&amp;INT(((YEAR(B2058)-YEAR(parametros!$C$2))*12+MONTH(B2058)-MONTH(parametros!$C$2))/12)))))</f>
        <v/>
      </c>
      <c r="D2058" s="394"/>
      <c r="E2058" s="78" t="str">
        <f>IF(C2058="","",IFERROR(VLOOKUP(C2058,parametros!$A$11:$E$15,5,0),""))</f>
        <v/>
      </c>
      <c r="F2058" s="79" t="str">
        <f t="shared" si="162"/>
        <v/>
      </c>
      <c r="G2058" s="395"/>
      <c r="H2058" s="91">
        <f t="shared" si="163"/>
        <v>0</v>
      </c>
      <c r="I2058" s="91" t="str">
        <f t="shared" si="164"/>
        <v/>
      </c>
      <c r="J2058" s="91" t="str">
        <f t="shared" si="165"/>
        <v/>
      </c>
      <c r="K2058" s="92" t="str">
        <f>IF(AND(A2058="",B2058="",D2058="",G2058=""),"",IF(AND(A2058&lt;&gt;"",COUNTIF($A$2:$A$5001,A2058)&gt;1),"NUMERO_PC duplicado",IF(B2058="","DATA_PC vazia",IF(NOT(ISNUMBER(B2058)),"DATA_PC invalida",IF(OR(C2058="",C2058="Fora dos ciclos"),"CICLO_PC nao identificado",IF(OR(D2058="",D2058=0),"VALOR_PC vazio ou zero",IF(AND(G2058&lt;&gt;"Sim",G2058&lt;&gt;"Nao",G2058&lt;&gt;""),"PC_PAGO_A_CONTRATADA invalido",IF(AND(C2058&lt;&gt;"C0",IFERROR(INDEX(parametros!$A$2:$A$6,MATCH(C2058,parametros!$B$2:$B$6,0)),"")="Sim",IFERROR(INDEX(parametros!$H$2:$H$6,MATCH(C2058,parametros!$B$2:$B$6,0)),"")=""),"INICIO_EFEITO ausente: PC "&amp;A2058&amp;" - "&amp;C2058,IF(L2058="","EFEITO_PC nao calculado: PC "&amp;A2058&amp;" - "&amp;C2058,"OK")))))))))</f>
        <v/>
      </c>
      <c r="L2058" s="92" t="str">
        <f>IF(AND(A2058="",B2058="",D2058="",G2058=""),"",IF(OR(B2058="",NOT(ISNUMBER(B2058)),C2058="",C2058="Fora dos ciclos"),"",IF(C2058="C0","Nao",IF(IFERROR(INDEX(parametros!$A$2:$A$6,MATCH(C2058,parametros!$B$2:$B$6,0)),"")&lt;&gt;"Sim","Nao",IF(IFERROR(INDEX(parametros!$H$2:$H$6,MATCH(C2058,parametros!$B$2:$B$6,0)),"")="","",IF(B2058&gt;=IFERROR(INDEX(parametros!$H$2:$H$6,MATCH(C2058,parametros!$B$2:$B$6,0)),""),"Sim","Nao"))))))</f>
        <v/>
      </c>
      <c r="T2058" s="156"/>
      <c r="U2058" s="214" t="str">
        <f t="shared" si="166"/>
        <v/>
      </c>
      <c r="V2058" s="212" t="s">
        <v>50</v>
      </c>
      <c r="W2058" s="100" t="s">
        <v>168</v>
      </c>
      <c r="X2058" s="100" t="s">
        <v>169</v>
      </c>
      <c r="Y2058" s="101" t="s">
        <v>170</v>
      </c>
      <c r="Z2058" s="101" t="s">
        <v>171</v>
      </c>
      <c r="AA2058" s="101" t="s">
        <v>50</v>
      </c>
      <c r="AB2058" s="101" t="s">
        <v>172</v>
      </c>
      <c r="AC2058" s="102" t="s">
        <v>173</v>
      </c>
    </row>
    <row r="2059" spans="1:29" ht="25.5" customHeight="1" x14ac:dyDescent="0.35">
      <c r="A2059" s="392"/>
      <c r="B2059" s="393"/>
      <c r="C2059" s="99" t="str">
        <f>IF(B2059="","",IF(NOT(ISNUMBER(B2059)),"DATA_PC invalida",IF(NOT(ISNUMBER(parametros!$C$2)),"Fora dos ciclos",IF(OR(B2059&lt;parametros!$C$2,(YEAR(B2059)-YEAR(parametros!$C$2))*12+MONTH(B2059)-MONTH(parametros!$C$2)&gt;59),"Fora dos ciclos","C"&amp;INT(((YEAR(B2059)-YEAR(parametros!$C$2))*12+MONTH(B2059)-MONTH(parametros!$C$2))/12)))))</f>
        <v/>
      </c>
      <c r="D2059" s="394"/>
      <c r="E2059" s="78" t="str">
        <f>IF(C2059="","",IFERROR(VLOOKUP(C2059,parametros!$A$11:$E$15,5,0),""))</f>
        <v/>
      </c>
      <c r="F2059" s="79" t="str">
        <f t="shared" si="162"/>
        <v/>
      </c>
      <c r="G2059" s="395"/>
      <c r="H2059" s="91">
        <f t="shared" si="163"/>
        <v>0</v>
      </c>
      <c r="I2059" s="91" t="str">
        <f t="shared" si="164"/>
        <v/>
      </c>
      <c r="J2059" s="91" t="str">
        <f t="shared" si="165"/>
        <v/>
      </c>
      <c r="K2059" s="92" t="str">
        <f>IF(AND(A2059="",B2059="",D2059="",G2059=""),"",IF(AND(A2059&lt;&gt;"",COUNTIF($A$2:$A$5001,A2059)&gt;1),"NUMERO_PC duplicado",IF(B2059="","DATA_PC vazia",IF(NOT(ISNUMBER(B2059)),"DATA_PC invalida",IF(OR(C2059="",C2059="Fora dos ciclos"),"CICLO_PC nao identificado",IF(OR(D2059="",D2059=0),"VALOR_PC vazio ou zero",IF(AND(G2059&lt;&gt;"Sim",G2059&lt;&gt;"Nao",G2059&lt;&gt;""),"PC_PAGO_A_CONTRATADA invalido",IF(AND(C2059&lt;&gt;"C0",IFERROR(INDEX(parametros!$A$2:$A$6,MATCH(C2059,parametros!$B$2:$B$6,0)),"")="Sim",IFERROR(INDEX(parametros!$H$2:$H$6,MATCH(C2059,parametros!$B$2:$B$6,0)),"")=""),"INICIO_EFEITO ausente: PC "&amp;A2059&amp;" - "&amp;C2059,IF(L2059="","EFEITO_PC nao calculado: PC "&amp;A2059&amp;" - "&amp;C2059,"OK")))))))))</f>
        <v/>
      </c>
      <c r="L2059" s="92" t="str">
        <f>IF(AND(A2059="",B2059="",D2059="",G2059=""),"",IF(OR(B2059="",NOT(ISNUMBER(B2059)),C2059="",C2059="Fora dos ciclos"),"",IF(C2059="C0","Nao",IF(IFERROR(INDEX(parametros!$A$2:$A$6,MATCH(C2059,parametros!$B$2:$B$6,0)),"")&lt;&gt;"Sim","Nao",IF(IFERROR(INDEX(parametros!$H$2:$H$6,MATCH(C2059,parametros!$B$2:$B$6,0)),"")="","",IF(B2059&gt;=IFERROR(INDEX(parametros!$H$2:$H$6,MATCH(C2059,parametros!$B$2:$B$6,0)),""),"Sim","Nao"))))))</f>
        <v/>
      </c>
      <c r="T2059" s="156"/>
      <c r="U2059" s="214" t="str">
        <f t="shared" si="166"/>
        <v/>
      </c>
      <c r="V2059" s="212" t="s">
        <v>50</v>
      </c>
      <c r="W2059" s="100" t="s">
        <v>168</v>
      </c>
      <c r="X2059" s="100" t="s">
        <v>169</v>
      </c>
      <c r="Y2059" s="101" t="s">
        <v>170</v>
      </c>
      <c r="Z2059" s="101" t="s">
        <v>171</v>
      </c>
      <c r="AA2059" s="101" t="s">
        <v>50</v>
      </c>
      <c r="AB2059" s="101" t="s">
        <v>172</v>
      </c>
      <c r="AC2059" s="102" t="s">
        <v>173</v>
      </c>
    </row>
    <row r="2060" spans="1:29" ht="25.5" customHeight="1" x14ac:dyDescent="0.35">
      <c r="A2060" s="392"/>
      <c r="B2060" s="393"/>
      <c r="C2060" s="99" t="str">
        <f>IF(B2060="","",IF(NOT(ISNUMBER(B2060)),"DATA_PC invalida",IF(NOT(ISNUMBER(parametros!$C$2)),"Fora dos ciclos",IF(OR(B2060&lt;parametros!$C$2,(YEAR(B2060)-YEAR(parametros!$C$2))*12+MONTH(B2060)-MONTH(parametros!$C$2)&gt;59),"Fora dos ciclos","C"&amp;INT(((YEAR(B2060)-YEAR(parametros!$C$2))*12+MONTH(B2060)-MONTH(parametros!$C$2))/12)))))</f>
        <v/>
      </c>
      <c r="D2060" s="394"/>
      <c r="E2060" s="78" t="str">
        <f>IF(C2060="","",IFERROR(VLOOKUP(C2060,parametros!$A$11:$E$15,5,0),""))</f>
        <v/>
      </c>
      <c r="F2060" s="79" t="str">
        <f t="shared" si="162"/>
        <v/>
      </c>
      <c r="G2060" s="395"/>
      <c r="H2060" s="91">
        <f t="shared" si="163"/>
        <v>0</v>
      </c>
      <c r="I2060" s="91" t="str">
        <f t="shared" si="164"/>
        <v/>
      </c>
      <c r="J2060" s="91" t="str">
        <f t="shared" si="165"/>
        <v/>
      </c>
      <c r="K2060" s="92" t="str">
        <f>IF(AND(A2060="",B2060="",D2060="",G2060=""),"",IF(AND(A2060&lt;&gt;"",COUNTIF($A$2:$A$5001,A2060)&gt;1),"NUMERO_PC duplicado",IF(B2060="","DATA_PC vazia",IF(NOT(ISNUMBER(B2060)),"DATA_PC invalida",IF(OR(C2060="",C2060="Fora dos ciclos"),"CICLO_PC nao identificado",IF(OR(D2060="",D2060=0),"VALOR_PC vazio ou zero",IF(AND(G2060&lt;&gt;"Sim",G2060&lt;&gt;"Nao",G2060&lt;&gt;""),"PC_PAGO_A_CONTRATADA invalido",IF(AND(C2060&lt;&gt;"C0",IFERROR(INDEX(parametros!$A$2:$A$6,MATCH(C2060,parametros!$B$2:$B$6,0)),"")="Sim",IFERROR(INDEX(parametros!$H$2:$H$6,MATCH(C2060,parametros!$B$2:$B$6,0)),"")=""),"INICIO_EFEITO ausente: PC "&amp;A2060&amp;" - "&amp;C2060,IF(L2060="","EFEITO_PC nao calculado: PC "&amp;A2060&amp;" - "&amp;C2060,"OK")))))))))</f>
        <v/>
      </c>
      <c r="L2060" s="92" t="str">
        <f>IF(AND(A2060="",B2060="",D2060="",G2060=""),"",IF(OR(B2060="",NOT(ISNUMBER(B2060)),C2060="",C2060="Fora dos ciclos"),"",IF(C2060="C0","Nao",IF(IFERROR(INDEX(parametros!$A$2:$A$6,MATCH(C2060,parametros!$B$2:$B$6,0)),"")&lt;&gt;"Sim","Nao",IF(IFERROR(INDEX(parametros!$H$2:$H$6,MATCH(C2060,parametros!$B$2:$B$6,0)),"")="","",IF(B2060&gt;=IFERROR(INDEX(parametros!$H$2:$H$6,MATCH(C2060,parametros!$B$2:$B$6,0)),""),"Sim","Nao"))))))</f>
        <v/>
      </c>
      <c r="T2060" s="156"/>
      <c r="U2060" s="214" t="str">
        <f t="shared" si="166"/>
        <v/>
      </c>
      <c r="V2060" s="212" t="s">
        <v>50</v>
      </c>
      <c r="W2060" s="100" t="s">
        <v>168</v>
      </c>
      <c r="X2060" s="100" t="s">
        <v>169</v>
      </c>
      <c r="Y2060" s="101" t="s">
        <v>170</v>
      </c>
      <c r="Z2060" s="101" t="s">
        <v>171</v>
      </c>
      <c r="AA2060" s="101" t="s">
        <v>50</v>
      </c>
      <c r="AB2060" s="101" t="s">
        <v>172</v>
      </c>
      <c r="AC2060" s="102" t="s">
        <v>173</v>
      </c>
    </row>
    <row r="2061" spans="1:29" ht="25.5" customHeight="1" x14ac:dyDescent="0.35">
      <c r="A2061" s="392"/>
      <c r="B2061" s="393"/>
      <c r="C2061" s="99" t="str">
        <f>IF(B2061="","",IF(NOT(ISNUMBER(B2061)),"DATA_PC invalida",IF(NOT(ISNUMBER(parametros!$C$2)),"Fora dos ciclos",IF(OR(B2061&lt;parametros!$C$2,(YEAR(B2061)-YEAR(parametros!$C$2))*12+MONTH(B2061)-MONTH(parametros!$C$2)&gt;59),"Fora dos ciclos","C"&amp;INT(((YEAR(B2061)-YEAR(parametros!$C$2))*12+MONTH(B2061)-MONTH(parametros!$C$2))/12)))))</f>
        <v/>
      </c>
      <c r="D2061" s="394"/>
      <c r="E2061" s="78" t="str">
        <f>IF(C2061="","",IFERROR(VLOOKUP(C2061,parametros!$A$11:$E$15,5,0),""))</f>
        <v/>
      </c>
      <c r="F2061" s="79" t="str">
        <f t="shared" si="162"/>
        <v/>
      </c>
      <c r="G2061" s="395"/>
      <c r="H2061" s="91">
        <f t="shared" si="163"/>
        <v>0</v>
      </c>
      <c r="I2061" s="91" t="str">
        <f t="shared" si="164"/>
        <v/>
      </c>
      <c r="J2061" s="91" t="str">
        <f t="shared" si="165"/>
        <v/>
      </c>
      <c r="K2061" s="92" t="str">
        <f>IF(AND(A2061="",B2061="",D2061="",G2061=""),"",IF(AND(A2061&lt;&gt;"",COUNTIF($A$2:$A$5001,A2061)&gt;1),"NUMERO_PC duplicado",IF(B2061="","DATA_PC vazia",IF(NOT(ISNUMBER(B2061)),"DATA_PC invalida",IF(OR(C2061="",C2061="Fora dos ciclos"),"CICLO_PC nao identificado",IF(OR(D2061="",D2061=0),"VALOR_PC vazio ou zero",IF(AND(G2061&lt;&gt;"Sim",G2061&lt;&gt;"Nao",G2061&lt;&gt;""),"PC_PAGO_A_CONTRATADA invalido",IF(AND(C2061&lt;&gt;"C0",IFERROR(INDEX(parametros!$A$2:$A$6,MATCH(C2061,parametros!$B$2:$B$6,0)),"")="Sim",IFERROR(INDEX(parametros!$H$2:$H$6,MATCH(C2061,parametros!$B$2:$B$6,0)),"")=""),"INICIO_EFEITO ausente: PC "&amp;A2061&amp;" - "&amp;C2061,IF(L2061="","EFEITO_PC nao calculado: PC "&amp;A2061&amp;" - "&amp;C2061,"OK")))))))))</f>
        <v/>
      </c>
      <c r="L2061" s="92" t="str">
        <f>IF(AND(A2061="",B2061="",D2061="",G2061=""),"",IF(OR(B2061="",NOT(ISNUMBER(B2061)),C2061="",C2061="Fora dos ciclos"),"",IF(C2061="C0","Nao",IF(IFERROR(INDEX(parametros!$A$2:$A$6,MATCH(C2061,parametros!$B$2:$B$6,0)),"")&lt;&gt;"Sim","Nao",IF(IFERROR(INDEX(parametros!$H$2:$H$6,MATCH(C2061,parametros!$B$2:$B$6,0)),"")="","",IF(B2061&gt;=IFERROR(INDEX(parametros!$H$2:$H$6,MATCH(C2061,parametros!$B$2:$B$6,0)),""),"Sim","Nao"))))))</f>
        <v/>
      </c>
      <c r="T2061" s="156"/>
      <c r="U2061" s="214" t="str">
        <f t="shared" si="166"/>
        <v/>
      </c>
      <c r="V2061" s="212" t="s">
        <v>50</v>
      </c>
      <c r="W2061" s="100" t="s">
        <v>168</v>
      </c>
      <c r="X2061" s="100" t="s">
        <v>169</v>
      </c>
      <c r="Y2061" s="101" t="s">
        <v>170</v>
      </c>
      <c r="Z2061" s="101" t="s">
        <v>171</v>
      </c>
      <c r="AA2061" s="101" t="s">
        <v>50</v>
      </c>
      <c r="AB2061" s="101" t="s">
        <v>172</v>
      </c>
      <c r="AC2061" s="102" t="s">
        <v>173</v>
      </c>
    </row>
    <row r="2062" spans="1:29" ht="25.5" customHeight="1" x14ac:dyDescent="0.35">
      <c r="A2062" s="392"/>
      <c r="B2062" s="393"/>
      <c r="C2062" s="99" t="str">
        <f>IF(B2062="","",IF(NOT(ISNUMBER(B2062)),"DATA_PC invalida",IF(NOT(ISNUMBER(parametros!$C$2)),"Fora dos ciclos",IF(OR(B2062&lt;parametros!$C$2,(YEAR(B2062)-YEAR(parametros!$C$2))*12+MONTH(B2062)-MONTH(parametros!$C$2)&gt;59),"Fora dos ciclos","C"&amp;INT(((YEAR(B2062)-YEAR(parametros!$C$2))*12+MONTH(B2062)-MONTH(parametros!$C$2))/12)))))</f>
        <v/>
      </c>
      <c r="D2062" s="394"/>
      <c r="E2062" s="78" t="str">
        <f>IF(C2062="","",IFERROR(VLOOKUP(C2062,parametros!$A$11:$E$15,5,0),""))</f>
        <v/>
      </c>
      <c r="F2062" s="79" t="str">
        <f t="shared" si="162"/>
        <v/>
      </c>
      <c r="G2062" s="395"/>
      <c r="H2062" s="91">
        <f t="shared" si="163"/>
        <v>0</v>
      </c>
      <c r="I2062" s="91" t="str">
        <f t="shared" si="164"/>
        <v/>
      </c>
      <c r="J2062" s="91" t="str">
        <f t="shared" si="165"/>
        <v/>
      </c>
      <c r="K2062" s="92" t="str">
        <f>IF(AND(A2062="",B2062="",D2062="",G2062=""),"",IF(AND(A2062&lt;&gt;"",COUNTIF($A$2:$A$5001,A2062)&gt;1),"NUMERO_PC duplicado",IF(B2062="","DATA_PC vazia",IF(NOT(ISNUMBER(B2062)),"DATA_PC invalida",IF(OR(C2062="",C2062="Fora dos ciclos"),"CICLO_PC nao identificado",IF(OR(D2062="",D2062=0),"VALOR_PC vazio ou zero",IF(AND(G2062&lt;&gt;"Sim",G2062&lt;&gt;"Nao",G2062&lt;&gt;""),"PC_PAGO_A_CONTRATADA invalido",IF(AND(C2062&lt;&gt;"C0",IFERROR(INDEX(parametros!$A$2:$A$6,MATCH(C2062,parametros!$B$2:$B$6,0)),"")="Sim",IFERROR(INDEX(parametros!$H$2:$H$6,MATCH(C2062,parametros!$B$2:$B$6,0)),"")=""),"INICIO_EFEITO ausente: PC "&amp;A2062&amp;" - "&amp;C2062,IF(L2062="","EFEITO_PC nao calculado: PC "&amp;A2062&amp;" - "&amp;C2062,"OK")))))))))</f>
        <v/>
      </c>
      <c r="L2062" s="92" t="str">
        <f>IF(AND(A2062="",B2062="",D2062="",G2062=""),"",IF(OR(B2062="",NOT(ISNUMBER(B2062)),C2062="",C2062="Fora dos ciclos"),"",IF(C2062="C0","Nao",IF(IFERROR(INDEX(parametros!$A$2:$A$6,MATCH(C2062,parametros!$B$2:$B$6,0)),"")&lt;&gt;"Sim","Nao",IF(IFERROR(INDEX(parametros!$H$2:$H$6,MATCH(C2062,parametros!$B$2:$B$6,0)),"")="","",IF(B2062&gt;=IFERROR(INDEX(parametros!$H$2:$H$6,MATCH(C2062,parametros!$B$2:$B$6,0)),""),"Sim","Nao"))))))</f>
        <v/>
      </c>
      <c r="T2062" s="156"/>
      <c r="U2062" s="214" t="str">
        <f t="shared" si="166"/>
        <v/>
      </c>
      <c r="V2062" s="212" t="s">
        <v>50</v>
      </c>
      <c r="W2062" s="100" t="s">
        <v>168</v>
      </c>
      <c r="X2062" s="100" t="s">
        <v>169</v>
      </c>
      <c r="Y2062" s="101" t="s">
        <v>170</v>
      </c>
      <c r="Z2062" s="101" t="s">
        <v>171</v>
      </c>
      <c r="AA2062" s="101" t="s">
        <v>50</v>
      </c>
      <c r="AB2062" s="101" t="s">
        <v>172</v>
      </c>
      <c r="AC2062" s="102" t="s">
        <v>173</v>
      </c>
    </row>
    <row r="2063" spans="1:29" ht="25.5" customHeight="1" x14ac:dyDescent="0.35">
      <c r="A2063" s="392"/>
      <c r="B2063" s="393"/>
      <c r="C2063" s="99" t="str">
        <f>IF(B2063="","",IF(NOT(ISNUMBER(B2063)),"DATA_PC invalida",IF(NOT(ISNUMBER(parametros!$C$2)),"Fora dos ciclos",IF(OR(B2063&lt;parametros!$C$2,(YEAR(B2063)-YEAR(parametros!$C$2))*12+MONTH(B2063)-MONTH(parametros!$C$2)&gt;59),"Fora dos ciclos","C"&amp;INT(((YEAR(B2063)-YEAR(parametros!$C$2))*12+MONTH(B2063)-MONTH(parametros!$C$2))/12)))))</f>
        <v/>
      </c>
      <c r="D2063" s="394"/>
      <c r="E2063" s="78" t="str">
        <f>IF(C2063="","",IFERROR(VLOOKUP(C2063,parametros!$A$11:$E$15,5,0),""))</f>
        <v/>
      </c>
      <c r="F2063" s="79" t="str">
        <f t="shared" si="162"/>
        <v/>
      </c>
      <c r="G2063" s="395"/>
      <c r="H2063" s="91">
        <f t="shared" si="163"/>
        <v>0</v>
      </c>
      <c r="I2063" s="91" t="str">
        <f t="shared" si="164"/>
        <v/>
      </c>
      <c r="J2063" s="91" t="str">
        <f t="shared" si="165"/>
        <v/>
      </c>
      <c r="K2063" s="92" t="str">
        <f>IF(AND(A2063="",B2063="",D2063="",G2063=""),"",IF(AND(A2063&lt;&gt;"",COUNTIF($A$2:$A$5001,A2063)&gt;1),"NUMERO_PC duplicado",IF(B2063="","DATA_PC vazia",IF(NOT(ISNUMBER(B2063)),"DATA_PC invalida",IF(OR(C2063="",C2063="Fora dos ciclos"),"CICLO_PC nao identificado",IF(OR(D2063="",D2063=0),"VALOR_PC vazio ou zero",IF(AND(G2063&lt;&gt;"Sim",G2063&lt;&gt;"Nao",G2063&lt;&gt;""),"PC_PAGO_A_CONTRATADA invalido",IF(AND(C2063&lt;&gt;"C0",IFERROR(INDEX(parametros!$A$2:$A$6,MATCH(C2063,parametros!$B$2:$B$6,0)),"")="Sim",IFERROR(INDEX(parametros!$H$2:$H$6,MATCH(C2063,parametros!$B$2:$B$6,0)),"")=""),"INICIO_EFEITO ausente: PC "&amp;A2063&amp;" - "&amp;C2063,IF(L2063="","EFEITO_PC nao calculado: PC "&amp;A2063&amp;" - "&amp;C2063,"OK")))))))))</f>
        <v/>
      </c>
      <c r="L2063" s="92" t="str">
        <f>IF(AND(A2063="",B2063="",D2063="",G2063=""),"",IF(OR(B2063="",NOT(ISNUMBER(B2063)),C2063="",C2063="Fora dos ciclos"),"",IF(C2063="C0","Nao",IF(IFERROR(INDEX(parametros!$A$2:$A$6,MATCH(C2063,parametros!$B$2:$B$6,0)),"")&lt;&gt;"Sim","Nao",IF(IFERROR(INDEX(parametros!$H$2:$H$6,MATCH(C2063,parametros!$B$2:$B$6,0)),"")="","",IF(B2063&gt;=IFERROR(INDEX(parametros!$H$2:$H$6,MATCH(C2063,parametros!$B$2:$B$6,0)),""),"Sim","Nao"))))))</f>
        <v/>
      </c>
      <c r="T2063" s="156"/>
      <c r="U2063" s="214" t="str">
        <f t="shared" si="166"/>
        <v/>
      </c>
      <c r="V2063" s="212" t="s">
        <v>50</v>
      </c>
      <c r="W2063" s="100" t="s">
        <v>168</v>
      </c>
      <c r="X2063" s="100" t="s">
        <v>169</v>
      </c>
      <c r="Y2063" s="101" t="s">
        <v>170</v>
      </c>
      <c r="Z2063" s="101" t="s">
        <v>171</v>
      </c>
      <c r="AA2063" s="101" t="s">
        <v>50</v>
      </c>
      <c r="AB2063" s="101" t="s">
        <v>172</v>
      </c>
      <c r="AC2063" s="102" t="s">
        <v>173</v>
      </c>
    </row>
    <row r="2064" spans="1:29" ht="25.5" customHeight="1" x14ac:dyDescent="0.35">
      <c r="A2064" s="392"/>
      <c r="B2064" s="393"/>
      <c r="C2064" s="99" t="str">
        <f>IF(B2064="","",IF(NOT(ISNUMBER(B2064)),"DATA_PC invalida",IF(NOT(ISNUMBER(parametros!$C$2)),"Fora dos ciclos",IF(OR(B2064&lt;parametros!$C$2,(YEAR(B2064)-YEAR(parametros!$C$2))*12+MONTH(B2064)-MONTH(parametros!$C$2)&gt;59),"Fora dos ciclos","C"&amp;INT(((YEAR(B2064)-YEAR(parametros!$C$2))*12+MONTH(B2064)-MONTH(parametros!$C$2))/12)))))</f>
        <v/>
      </c>
      <c r="D2064" s="394"/>
      <c r="E2064" s="78" t="str">
        <f>IF(C2064="","",IFERROR(VLOOKUP(C2064,parametros!$A$11:$E$15,5,0),""))</f>
        <v/>
      </c>
      <c r="F2064" s="79" t="str">
        <f t="shared" si="162"/>
        <v/>
      </c>
      <c r="G2064" s="395"/>
      <c r="H2064" s="91">
        <f t="shared" si="163"/>
        <v>0</v>
      </c>
      <c r="I2064" s="91" t="str">
        <f t="shared" si="164"/>
        <v/>
      </c>
      <c r="J2064" s="91" t="str">
        <f t="shared" si="165"/>
        <v/>
      </c>
      <c r="K2064" s="92" t="str">
        <f>IF(AND(A2064="",B2064="",D2064="",G2064=""),"",IF(AND(A2064&lt;&gt;"",COUNTIF($A$2:$A$5001,A2064)&gt;1),"NUMERO_PC duplicado",IF(B2064="","DATA_PC vazia",IF(NOT(ISNUMBER(B2064)),"DATA_PC invalida",IF(OR(C2064="",C2064="Fora dos ciclos"),"CICLO_PC nao identificado",IF(OR(D2064="",D2064=0),"VALOR_PC vazio ou zero",IF(AND(G2064&lt;&gt;"Sim",G2064&lt;&gt;"Nao",G2064&lt;&gt;""),"PC_PAGO_A_CONTRATADA invalido",IF(AND(C2064&lt;&gt;"C0",IFERROR(INDEX(parametros!$A$2:$A$6,MATCH(C2064,parametros!$B$2:$B$6,0)),"")="Sim",IFERROR(INDEX(parametros!$H$2:$H$6,MATCH(C2064,parametros!$B$2:$B$6,0)),"")=""),"INICIO_EFEITO ausente: PC "&amp;A2064&amp;" - "&amp;C2064,IF(L2064="","EFEITO_PC nao calculado: PC "&amp;A2064&amp;" - "&amp;C2064,"OK")))))))))</f>
        <v/>
      </c>
      <c r="L2064" s="92" t="str">
        <f>IF(AND(A2064="",B2064="",D2064="",G2064=""),"",IF(OR(B2064="",NOT(ISNUMBER(B2064)),C2064="",C2064="Fora dos ciclos"),"",IF(C2064="C0","Nao",IF(IFERROR(INDEX(parametros!$A$2:$A$6,MATCH(C2064,parametros!$B$2:$B$6,0)),"")&lt;&gt;"Sim","Nao",IF(IFERROR(INDEX(parametros!$H$2:$H$6,MATCH(C2064,parametros!$B$2:$B$6,0)),"")="","",IF(B2064&gt;=IFERROR(INDEX(parametros!$H$2:$H$6,MATCH(C2064,parametros!$B$2:$B$6,0)),""),"Sim","Nao"))))))</f>
        <v/>
      </c>
      <c r="T2064" s="156"/>
      <c r="U2064" s="214" t="str">
        <f t="shared" si="166"/>
        <v/>
      </c>
      <c r="V2064" s="212" t="s">
        <v>50</v>
      </c>
      <c r="W2064" s="100" t="s">
        <v>168</v>
      </c>
      <c r="X2064" s="100" t="s">
        <v>169</v>
      </c>
      <c r="Y2064" s="101" t="s">
        <v>170</v>
      </c>
      <c r="Z2064" s="101" t="s">
        <v>171</v>
      </c>
      <c r="AA2064" s="101" t="s">
        <v>50</v>
      </c>
      <c r="AB2064" s="101" t="s">
        <v>172</v>
      </c>
      <c r="AC2064" s="102" t="s">
        <v>173</v>
      </c>
    </row>
    <row r="2065" spans="1:29" ht="25.5" customHeight="1" x14ac:dyDescent="0.35">
      <c r="A2065" s="392"/>
      <c r="B2065" s="393"/>
      <c r="C2065" s="99" t="str">
        <f>IF(B2065="","",IF(NOT(ISNUMBER(B2065)),"DATA_PC invalida",IF(NOT(ISNUMBER(parametros!$C$2)),"Fora dos ciclos",IF(OR(B2065&lt;parametros!$C$2,(YEAR(B2065)-YEAR(parametros!$C$2))*12+MONTH(B2065)-MONTH(parametros!$C$2)&gt;59),"Fora dos ciclos","C"&amp;INT(((YEAR(B2065)-YEAR(parametros!$C$2))*12+MONTH(B2065)-MONTH(parametros!$C$2))/12)))))</f>
        <v/>
      </c>
      <c r="D2065" s="394"/>
      <c r="E2065" s="78" t="str">
        <f>IF(C2065="","",IFERROR(VLOOKUP(C2065,parametros!$A$11:$E$15,5,0),""))</f>
        <v/>
      </c>
      <c r="F2065" s="79" t="str">
        <f t="shared" si="162"/>
        <v/>
      </c>
      <c r="G2065" s="395"/>
      <c r="H2065" s="91">
        <f t="shared" si="163"/>
        <v>0</v>
      </c>
      <c r="I2065" s="91" t="str">
        <f t="shared" si="164"/>
        <v/>
      </c>
      <c r="J2065" s="91" t="str">
        <f t="shared" si="165"/>
        <v/>
      </c>
      <c r="K2065" s="92" t="str">
        <f>IF(AND(A2065="",B2065="",D2065="",G2065=""),"",IF(AND(A2065&lt;&gt;"",COUNTIF($A$2:$A$5001,A2065)&gt;1),"NUMERO_PC duplicado",IF(B2065="","DATA_PC vazia",IF(NOT(ISNUMBER(B2065)),"DATA_PC invalida",IF(OR(C2065="",C2065="Fora dos ciclos"),"CICLO_PC nao identificado",IF(OR(D2065="",D2065=0),"VALOR_PC vazio ou zero",IF(AND(G2065&lt;&gt;"Sim",G2065&lt;&gt;"Nao",G2065&lt;&gt;""),"PC_PAGO_A_CONTRATADA invalido",IF(AND(C2065&lt;&gt;"C0",IFERROR(INDEX(parametros!$A$2:$A$6,MATCH(C2065,parametros!$B$2:$B$6,0)),"")="Sim",IFERROR(INDEX(parametros!$H$2:$H$6,MATCH(C2065,parametros!$B$2:$B$6,0)),"")=""),"INICIO_EFEITO ausente: PC "&amp;A2065&amp;" - "&amp;C2065,IF(L2065="","EFEITO_PC nao calculado: PC "&amp;A2065&amp;" - "&amp;C2065,"OK")))))))))</f>
        <v/>
      </c>
      <c r="L2065" s="92" t="str">
        <f>IF(AND(A2065="",B2065="",D2065="",G2065=""),"",IF(OR(B2065="",NOT(ISNUMBER(B2065)),C2065="",C2065="Fora dos ciclos"),"",IF(C2065="C0","Nao",IF(IFERROR(INDEX(parametros!$A$2:$A$6,MATCH(C2065,parametros!$B$2:$B$6,0)),"")&lt;&gt;"Sim","Nao",IF(IFERROR(INDEX(parametros!$H$2:$H$6,MATCH(C2065,parametros!$B$2:$B$6,0)),"")="","",IF(B2065&gt;=IFERROR(INDEX(parametros!$H$2:$H$6,MATCH(C2065,parametros!$B$2:$B$6,0)),""),"Sim","Nao"))))))</f>
        <v/>
      </c>
      <c r="T2065" s="156"/>
      <c r="U2065" s="214" t="str">
        <f t="shared" si="166"/>
        <v/>
      </c>
      <c r="V2065" s="212" t="s">
        <v>50</v>
      </c>
      <c r="W2065" s="100" t="s">
        <v>168</v>
      </c>
      <c r="X2065" s="100" t="s">
        <v>169</v>
      </c>
      <c r="Y2065" s="101" t="s">
        <v>170</v>
      </c>
      <c r="Z2065" s="101" t="s">
        <v>171</v>
      </c>
      <c r="AA2065" s="101" t="s">
        <v>50</v>
      </c>
      <c r="AB2065" s="101" t="s">
        <v>172</v>
      </c>
      <c r="AC2065" s="102" t="s">
        <v>173</v>
      </c>
    </row>
    <row r="2066" spans="1:29" ht="25.5" customHeight="1" x14ac:dyDescent="0.35">
      <c r="A2066" s="392"/>
      <c r="B2066" s="393"/>
      <c r="C2066" s="99" t="str">
        <f>IF(B2066="","",IF(NOT(ISNUMBER(B2066)),"DATA_PC invalida",IF(NOT(ISNUMBER(parametros!$C$2)),"Fora dos ciclos",IF(OR(B2066&lt;parametros!$C$2,(YEAR(B2066)-YEAR(parametros!$C$2))*12+MONTH(B2066)-MONTH(parametros!$C$2)&gt;59),"Fora dos ciclos","C"&amp;INT(((YEAR(B2066)-YEAR(parametros!$C$2))*12+MONTH(B2066)-MONTH(parametros!$C$2))/12)))))</f>
        <v/>
      </c>
      <c r="D2066" s="394"/>
      <c r="E2066" s="78" t="str">
        <f>IF(C2066="","",IFERROR(VLOOKUP(C2066,parametros!$A$11:$E$15,5,0),""))</f>
        <v/>
      </c>
      <c r="F2066" s="79" t="str">
        <f t="shared" si="162"/>
        <v/>
      </c>
      <c r="G2066" s="395"/>
      <c r="H2066" s="91">
        <f t="shared" si="163"/>
        <v>0</v>
      </c>
      <c r="I2066" s="91" t="str">
        <f t="shared" si="164"/>
        <v/>
      </c>
      <c r="J2066" s="91" t="str">
        <f t="shared" si="165"/>
        <v/>
      </c>
      <c r="K2066" s="92" t="str">
        <f>IF(AND(A2066="",B2066="",D2066="",G2066=""),"",IF(AND(A2066&lt;&gt;"",COUNTIF($A$2:$A$5001,A2066)&gt;1),"NUMERO_PC duplicado",IF(B2066="","DATA_PC vazia",IF(NOT(ISNUMBER(B2066)),"DATA_PC invalida",IF(OR(C2066="",C2066="Fora dos ciclos"),"CICLO_PC nao identificado",IF(OR(D2066="",D2066=0),"VALOR_PC vazio ou zero",IF(AND(G2066&lt;&gt;"Sim",G2066&lt;&gt;"Nao",G2066&lt;&gt;""),"PC_PAGO_A_CONTRATADA invalido",IF(AND(C2066&lt;&gt;"C0",IFERROR(INDEX(parametros!$A$2:$A$6,MATCH(C2066,parametros!$B$2:$B$6,0)),"")="Sim",IFERROR(INDEX(parametros!$H$2:$H$6,MATCH(C2066,parametros!$B$2:$B$6,0)),"")=""),"INICIO_EFEITO ausente: PC "&amp;A2066&amp;" - "&amp;C2066,IF(L2066="","EFEITO_PC nao calculado: PC "&amp;A2066&amp;" - "&amp;C2066,"OK")))))))))</f>
        <v/>
      </c>
      <c r="L2066" s="92" t="str">
        <f>IF(AND(A2066="",B2066="",D2066="",G2066=""),"",IF(OR(B2066="",NOT(ISNUMBER(B2066)),C2066="",C2066="Fora dos ciclos"),"",IF(C2066="C0","Nao",IF(IFERROR(INDEX(parametros!$A$2:$A$6,MATCH(C2066,parametros!$B$2:$B$6,0)),"")&lt;&gt;"Sim","Nao",IF(IFERROR(INDEX(parametros!$H$2:$H$6,MATCH(C2066,parametros!$B$2:$B$6,0)),"")="","",IF(B2066&gt;=IFERROR(INDEX(parametros!$H$2:$H$6,MATCH(C2066,parametros!$B$2:$B$6,0)),""),"Sim","Nao"))))))</f>
        <v/>
      </c>
      <c r="T2066" s="156"/>
      <c r="U2066" s="214" t="str">
        <f t="shared" si="166"/>
        <v/>
      </c>
      <c r="V2066" s="212" t="s">
        <v>50</v>
      </c>
      <c r="W2066" s="100" t="s">
        <v>168</v>
      </c>
      <c r="X2066" s="100" t="s">
        <v>169</v>
      </c>
      <c r="Y2066" s="101" t="s">
        <v>170</v>
      </c>
      <c r="Z2066" s="101" t="s">
        <v>171</v>
      </c>
      <c r="AA2066" s="101" t="s">
        <v>50</v>
      </c>
      <c r="AB2066" s="101" t="s">
        <v>172</v>
      </c>
      <c r="AC2066" s="102" t="s">
        <v>173</v>
      </c>
    </row>
    <row r="2067" spans="1:29" ht="25.5" customHeight="1" x14ac:dyDescent="0.35">
      <c r="A2067" s="392"/>
      <c r="B2067" s="393"/>
      <c r="C2067" s="99" t="str">
        <f>IF(B2067="","",IF(NOT(ISNUMBER(B2067)),"DATA_PC invalida",IF(NOT(ISNUMBER(parametros!$C$2)),"Fora dos ciclos",IF(OR(B2067&lt;parametros!$C$2,(YEAR(B2067)-YEAR(parametros!$C$2))*12+MONTH(B2067)-MONTH(parametros!$C$2)&gt;59),"Fora dos ciclos","C"&amp;INT(((YEAR(B2067)-YEAR(parametros!$C$2))*12+MONTH(B2067)-MONTH(parametros!$C$2))/12)))))</f>
        <v/>
      </c>
      <c r="D2067" s="394"/>
      <c r="E2067" s="78" t="str">
        <f>IF(C2067="","",IFERROR(VLOOKUP(C2067,parametros!$A$11:$E$15,5,0),""))</f>
        <v/>
      </c>
      <c r="F2067" s="79" t="str">
        <f t="shared" si="162"/>
        <v/>
      </c>
      <c r="G2067" s="395"/>
      <c r="H2067" s="91">
        <f t="shared" si="163"/>
        <v>0</v>
      </c>
      <c r="I2067" s="91" t="str">
        <f t="shared" si="164"/>
        <v/>
      </c>
      <c r="J2067" s="91" t="str">
        <f t="shared" si="165"/>
        <v/>
      </c>
      <c r="K2067" s="92" t="str">
        <f>IF(AND(A2067="",B2067="",D2067="",G2067=""),"",IF(AND(A2067&lt;&gt;"",COUNTIF($A$2:$A$5001,A2067)&gt;1),"NUMERO_PC duplicado",IF(B2067="","DATA_PC vazia",IF(NOT(ISNUMBER(B2067)),"DATA_PC invalida",IF(OR(C2067="",C2067="Fora dos ciclos"),"CICLO_PC nao identificado",IF(OR(D2067="",D2067=0),"VALOR_PC vazio ou zero",IF(AND(G2067&lt;&gt;"Sim",G2067&lt;&gt;"Nao",G2067&lt;&gt;""),"PC_PAGO_A_CONTRATADA invalido",IF(AND(C2067&lt;&gt;"C0",IFERROR(INDEX(parametros!$A$2:$A$6,MATCH(C2067,parametros!$B$2:$B$6,0)),"")="Sim",IFERROR(INDEX(parametros!$H$2:$H$6,MATCH(C2067,parametros!$B$2:$B$6,0)),"")=""),"INICIO_EFEITO ausente: PC "&amp;A2067&amp;" - "&amp;C2067,IF(L2067="","EFEITO_PC nao calculado: PC "&amp;A2067&amp;" - "&amp;C2067,"OK")))))))))</f>
        <v/>
      </c>
      <c r="L2067" s="92" t="str">
        <f>IF(AND(A2067="",B2067="",D2067="",G2067=""),"",IF(OR(B2067="",NOT(ISNUMBER(B2067)),C2067="",C2067="Fora dos ciclos"),"",IF(C2067="C0","Nao",IF(IFERROR(INDEX(parametros!$A$2:$A$6,MATCH(C2067,parametros!$B$2:$B$6,0)),"")&lt;&gt;"Sim","Nao",IF(IFERROR(INDEX(parametros!$H$2:$H$6,MATCH(C2067,parametros!$B$2:$B$6,0)),"")="","",IF(B2067&gt;=IFERROR(INDEX(parametros!$H$2:$H$6,MATCH(C2067,parametros!$B$2:$B$6,0)),""),"Sim","Nao"))))))</f>
        <v/>
      </c>
      <c r="T2067" s="156"/>
      <c r="U2067" s="214" t="str">
        <f t="shared" si="166"/>
        <v/>
      </c>
      <c r="V2067" s="212" t="s">
        <v>50</v>
      </c>
      <c r="W2067" s="100" t="s">
        <v>168</v>
      </c>
      <c r="X2067" s="100" t="s">
        <v>169</v>
      </c>
      <c r="Y2067" s="101" t="s">
        <v>170</v>
      </c>
      <c r="Z2067" s="101" t="s">
        <v>171</v>
      </c>
      <c r="AA2067" s="101" t="s">
        <v>50</v>
      </c>
      <c r="AB2067" s="101" t="s">
        <v>172</v>
      </c>
      <c r="AC2067" s="102" t="s">
        <v>173</v>
      </c>
    </row>
    <row r="2068" spans="1:29" ht="25.5" customHeight="1" x14ac:dyDescent="0.35">
      <c r="A2068" s="392"/>
      <c r="B2068" s="393"/>
      <c r="C2068" s="99" t="str">
        <f>IF(B2068="","",IF(NOT(ISNUMBER(B2068)),"DATA_PC invalida",IF(NOT(ISNUMBER(parametros!$C$2)),"Fora dos ciclos",IF(OR(B2068&lt;parametros!$C$2,(YEAR(B2068)-YEAR(parametros!$C$2))*12+MONTH(B2068)-MONTH(parametros!$C$2)&gt;59),"Fora dos ciclos","C"&amp;INT(((YEAR(B2068)-YEAR(parametros!$C$2))*12+MONTH(B2068)-MONTH(parametros!$C$2))/12)))))</f>
        <v/>
      </c>
      <c r="D2068" s="394"/>
      <c r="E2068" s="78" t="str">
        <f>IF(C2068="","",IFERROR(VLOOKUP(C2068,parametros!$A$11:$E$15,5,0),""))</f>
        <v/>
      </c>
      <c r="F2068" s="79" t="str">
        <f t="shared" si="162"/>
        <v/>
      </c>
      <c r="G2068" s="395"/>
      <c r="H2068" s="91">
        <f t="shared" si="163"/>
        <v>0</v>
      </c>
      <c r="I2068" s="91" t="str">
        <f t="shared" si="164"/>
        <v/>
      </c>
      <c r="J2068" s="91" t="str">
        <f t="shared" si="165"/>
        <v/>
      </c>
      <c r="K2068" s="92" t="str">
        <f>IF(AND(A2068="",B2068="",D2068="",G2068=""),"",IF(AND(A2068&lt;&gt;"",COUNTIF($A$2:$A$5001,A2068)&gt;1),"NUMERO_PC duplicado",IF(B2068="","DATA_PC vazia",IF(NOT(ISNUMBER(B2068)),"DATA_PC invalida",IF(OR(C2068="",C2068="Fora dos ciclos"),"CICLO_PC nao identificado",IF(OR(D2068="",D2068=0),"VALOR_PC vazio ou zero",IF(AND(G2068&lt;&gt;"Sim",G2068&lt;&gt;"Nao",G2068&lt;&gt;""),"PC_PAGO_A_CONTRATADA invalido",IF(AND(C2068&lt;&gt;"C0",IFERROR(INDEX(parametros!$A$2:$A$6,MATCH(C2068,parametros!$B$2:$B$6,0)),"")="Sim",IFERROR(INDEX(parametros!$H$2:$H$6,MATCH(C2068,parametros!$B$2:$B$6,0)),"")=""),"INICIO_EFEITO ausente: PC "&amp;A2068&amp;" - "&amp;C2068,IF(L2068="","EFEITO_PC nao calculado: PC "&amp;A2068&amp;" - "&amp;C2068,"OK")))))))))</f>
        <v/>
      </c>
      <c r="L2068" s="92" t="str">
        <f>IF(AND(A2068="",B2068="",D2068="",G2068=""),"",IF(OR(B2068="",NOT(ISNUMBER(B2068)),C2068="",C2068="Fora dos ciclos"),"",IF(C2068="C0","Nao",IF(IFERROR(INDEX(parametros!$A$2:$A$6,MATCH(C2068,parametros!$B$2:$B$6,0)),"")&lt;&gt;"Sim","Nao",IF(IFERROR(INDEX(parametros!$H$2:$H$6,MATCH(C2068,parametros!$B$2:$B$6,0)),"")="","",IF(B2068&gt;=IFERROR(INDEX(parametros!$H$2:$H$6,MATCH(C2068,parametros!$B$2:$B$6,0)),""),"Sim","Nao"))))))</f>
        <v/>
      </c>
      <c r="T2068" s="156"/>
      <c r="U2068" s="214" t="str">
        <f t="shared" si="166"/>
        <v/>
      </c>
      <c r="V2068" s="212" t="s">
        <v>50</v>
      </c>
      <c r="W2068" s="100" t="s">
        <v>168</v>
      </c>
      <c r="X2068" s="100" t="s">
        <v>169</v>
      </c>
      <c r="Y2068" s="101" t="s">
        <v>170</v>
      </c>
      <c r="Z2068" s="101" t="s">
        <v>171</v>
      </c>
      <c r="AA2068" s="101" t="s">
        <v>50</v>
      </c>
      <c r="AB2068" s="101" t="s">
        <v>172</v>
      </c>
      <c r="AC2068" s="102" t="s">
        <v>173</v>
      </c>
    </row>
    <row r="2069" spans="1:29" ht="25.5" customHeight="1" x14ac:dyDescent="0.35">
      <c r="A2069" s="392"/>
      <c r="B2069" s="393"/>
      <c r="C2069" s="99" t="str">
        <f>IF(B2069="","",IF(NOT(ISNUMBER(B2069)),"DATA_PC invalida",IF(NOT(ISNUMBER(parametros!$C$2)),"Fora dos ciclos",IF(OR(B2069&lt;parametros!$C$2,(YEAR(B2069)-YEAR(parametros!$C$2))*12+MONTH(B2069)-MONTH(parametros!$C$2)&gt;59),"Fora dos ciclos","C"&amp;INT(((YEAR(B2069)-YEAR(parametros!$C$2))*12+MONTH(B2069)-MONTH(parametros!$C$2))/12)))))</f>
        <v/>
      </c>
      <c r="D2069" s="394"/>
      <c r="E2069" s="78" t="str">
        <f>IF(C2069="","",IFERROR(VLOOKUP(C2069,parametros!$A$11:$E$15,5,0),""))</f>
        <v/>
      </c>
      <c r="F2069" s="79" t="str">
        <f t="shared" si="162"/>
        <v/>
      </c>
      <c r="G2069" s="395"/>
      <c r="H2069" s="91">
        <f t="shared" si="163"/>
        <v>0</v>
      </c>
      <c r="I2069" s="91" t="str">
        <f t="shared" si="164"/>
        <v/>
      </c>
      <c r="J2069" s="91" t="str">
        <f t="shared" si="165"/>
        <v/>
      </c>
      <c r="K2069" s="92" t="str">
        <f>IF(AND(A2069="",B2069="",D2069="",G2069=""),"",IF(AND(A2069&lt;&gt;"",COUNTIF($A$2:$A$5001,A2069)&gt;1),"NUMERO_PC duplicado",IF(B2069="","DATA_PC vazia",IF(NOT(ISNUMBER(B2069)),"DATA_PC invalida",IF(OR(C2069="",C2069="Fora dos ciclos"),"CICLO_PC nao identificado",IF(OR(D2069="",D2069=0),"VALOR_PC vazio ou zero",IF(AND(G2069&lt;&gt;"Sim",G2069&lt;&gt;"Nao",G2069&lt;&gt;""),"PC_PAGO_A_CONTRATADA invalido",IF(AND(C2069&lt;&gt;"C0",IFERROR(INDEX(parametros!$A$2:$A$6,MATCH(C2069,parametros!$B$2:$B$6,0)),"")="Sim",IFERROR(INDEX(parametros!$H$2:$H$6,MATCH(C2069,parametros!$B$2:$B$6,0)),"")=""),"INICIO_EFEITO ausente: PC "&amp;A2069&amp;" - "&amp;C2069,IF(L2069="","EFEITO_PC nao calculado: PC "&amp;A2069&amp;" - "&amp;C2069,"OK")))))))))</f>
        <v/>
      </c>
      <c r="L2069" s="92" t="str">
        <f>IF(AND(A2069="",B2069="",D2069="",G2069=""),"",IF(OR(B2069="",NOT(ISNUMBER(B2069)),C2069="",C2069="Fora dos ciclos"),"",IF(C2069="C0","Nao",IF(IFERROR(INDEX(parametros!$A$2:$A$6,MATCH(C2069,parametros!$B$2:$B$6,0)),"")&lt;&gt;"Sim","Nao",IF(IFERROR(INDEX(parametros!$H$2:$H$6,MATCH(C2069,parametros!$B$2:$B$6,0)),"")="","",IF(B2069&gt;=IFERROR(INDEX(parametros!$H$2:$H$6,MATCH(C2069,parametros!$B$2:$B$6,0)),""),"Sim","Nao"))))))</f>
        <v/>
      </c>
      <c r="T2069" s="156"/>
      <c r="U2069" s="214" t="str">
        <f t="shared" si="166"/>
        <v/>
      </c>
      <c r="V2069" s="212" t="s">
        <v>50</v>
      </c>
      <c r="W2069" s="100" t="s">
        <v>168</v>
      </c>
      <c r="X2069" s="100" t="s">
        <v>169</v>
      </c>
      <c r="Y2069" s="101" t="s">
        <v>170</v>
      </c>
      <c r="Z2069" s="101" t="s">
        <v>171</v>
      </c>
      <c r="AA2069" s="101" t="s">
        <v>50</v>
      </c>
      <c r="AB2069" s="101" t="s">
        <v>172</v>
      </c>
      <c r="AC2069" s="102" t="s">
        <v>173</v>
      </c>
    </row>
    <row r="2070" spans="1:29" ht="25.5" customHeight="1" x14ac:dyDescent="0.35">
      <c r="A2070" s="392"/>
      <c r="B2070" s="393"/>
      <c r="C2070" s="99" t="str">
        <f>IF(B2070="","",IF(NOT(ISNUMBER(B2070)),"DATA_PC invalida",IF(NOT(ISNUMBER(parametros!$C$2)),"Fora dos ciclos",IF(OR(B2070&lt;parametros!$C$2,(YEAR(B2070)-YEAR(parametros!$C$2))*12+MONTH(B2070)-MONTH(parametros!$C$2)&gt;59),"Fora dos ciclos","C"&amp;INT(((YEAR(B2070)-YEAR(parametros!$C$2))*12+MONTH(B2070)-MONTH(parametros!$C$2))/12)))))</f>
        <v/>
      </c>
      <c r="D2070" s="394"/>
      <c r="E2070" s="78" t="str">
        <f>IF(C2070="","",IFERROR(VLOOKUP(C2070,parametros!$A$11:$E$15,5,0),""))</f>
        <v/>
      </c>
      <c r="F2070" s="79" t="str">
        <f t="shared" si="162"/>
        <v/>
      </c>
      <c r="G2070" s="395"/>
      <c r="H2070" s="91">
        <f t="shared" si="163"/>
        <v>0</v>
      </c>
      <c r="I2070" s="91" t="str">
        <f t="shared" si="164"/>
        <v/>
      </c>
      <c r="J2070" s="91" t="str">
        <f t="shared" si="165"/>
        <v/>
      </c>
      <c r="K2070" s="92" t="str">
        <f>IF(AND(A2070="",B2070="",D2070="",G2070=""),"",IF(AND(A2070&lt;&gt;"",COUNTIF($A$2:$A$5001,A2070)&gt;1),"NUMERO_PC duplicado",IF(B2070="","DATA_PC vazia",IF(NOT(ISNUMBER(B2070)),"DATA_PC invalida",IF(OR(C2070="",C2070="Fora dos ciclos"),"CICLO_PC nao identificado",IF(OR(D2070="",D2070=0),"VALOR_PC vazio ou zero",IF(AND(G2070&lt;&gt;"Sim",G2070&lt;&gt;"Nao",G2070&lt;&gt;""),"PC_PAGO_A_CONTRATADA invalido",IF(AND(C2070&lt;&gt;"C0",IFERROR(INDEX(parametros!$A$2:$A$6,MATCH(C2070,parametros!$B$2:$B$6,0)),"")="Sim",IFERROR(INDEX(parametros!$H$2:$H$6,MATCH(C2070,parametros!$B$2:$B$6,0)),"")=""),"INICIO_EFEITO ausente: PC "&amp;A2070&amp;" - "&amp;C2070,IF(L2070="","EFEITO_PC nao calculado: PC "&amp;A2070&amp;" - "&amp;C2070,"OK")))))))))</f>
        <v/>
      </c>
      <c r="L2070" s="92" t="str">
        <f>IF(AND(A2070="",B2070="",D2070="",G2070=""),"",IF(OR(B2070="",NOT(ISNUMBER(B2070)),C2070="",C2070="Fora dos ciclos"),"",IF(C2070="C0","Nao",IF(IFERROR(INDEX(parametros!$A$2:$A$6,MATCH(C2070,parametros!$B$2:$B$6,0)),"")&lt;&gt;"Sim","Nao",IF(IFERROR(INDEX(parametros!$H$2:$H$6,MATCH(C2070,parametros!$B$2:$B$6,0)),"")="","",IF(B2070&gt;=IFERROR(INDEX(parametros!$H$2:$H$6,MATCH(C2070,parametros!$B$2:$B$6,0)),""),"Sim","Nao"))))))</f>
        <v/>
      </c>
      <c r="T2070" s="156"/>
      <c r="U2070" s="214" t="str">
        <f t="shared" si="166"/>
        <v/>
      </c>
      <c r="V2070" s="212" t="s">
        <v>50</v>
      </c>
      <c r="W2070" s="100" t="s">
        <v>168</v>
      </c>
      <c r="X2070" s="100" t="s">
        <v>169</v>
      </c>
      <c r="Y2070" s="101" t="s">
        <v>170</v>
      </c>
      <c r="Z2070" s="101" t="s">
        <v>171</v>
      </c>
      <c r="AA2070" s="101" t="s">
        <v>50</v>
      </c>
      <c r="AB2070" s="101" t="s">
        <v>172</v>
      </c>
      <c r="AC2070" s="102" t="s">
        <v>173</v>
      </c>
    </row>
    <row r="2071" spans="1:29" ht="25.5" customHeight="1" x14ac:dyDescent="0.35">
      <c r="A2071" s="392"/>
      <c r="B2071" s="393"/>
      <c r="C2071" s="99" t="str">
        <f>IF(B2071="","",IF(NOT(ISNUMBER(B2071)),"DATA_PC invalida",IF(NOT(ISNUMBER(parametros!$C$2)),"Fora dos ciclos",IF(OR(B2071&lt;parametros!$C$2,(YEAR(B2071)-YEAR(parametros!$C$2))*12+MONTH(B2071)-MONTH(parametros!$C$2)&gt;59),"Fora dos ciclos","C"&amp;INT(((YEAR(B2071)-YEAR(parametros!$C$2))*12+MONTH(B2071)-MONTH(parametros!$C$2))/12)))))</f>
        <v/>
      </c>
      <c r="D2071" s="394"/>
      <c r="E2071" s="78" t="str">
        <f>IF(C2071="","",IFERROR(VLOOKUP(C2071,parametros!$A$11:$E$15,5,0),""))</f>
        <v/>
      </c>
      <c r="F2071" s="79" t="str">
        <f t="shared" si="162"/>
        <v/>
      </c>
      <c r="G2071" s="395"/>
      <c r="H2071" s="91">
        <f t="shared" si="163"/>
        <v>0</v>
      </c>
      <c r="I2071" s="91" t="str">
        <f t="shared" si="164"/>
        <v/>
      </c>
      <c r="J2071" s="91" t="str">
        <f t="shared" si="165"/>
        <v/>
      </c>
      <c r="K2071" s="92" t="str">
        <f>IF(AND(A2071="",B2071="",D2071="",G2071=""),"",IF(AND(A2071&lt;&gt;"",COUNTIF($A$2:$A$5001,A2071)&gt;1),"NUMERO_PC duplicado",IF(B2071="","DATA_PC vazia",IF(NOT(ISNUMBER(B2071)),"DATA_PC invalida",IF(OR(C2071="",C2071="Fora dos ciclos"),"CICLO_PC nao identificado",IF(OR(D2071="",D2071=0),"VALOR_PC vazio ou zero",IF(AND(G2071&lt;&gt;"Sim",G2071&lt;&gt;"Nao",G2071&lt;&gt;""),"PC_PAGO_A_CONTRATADA invalido",IF(AND(C2071&lt;&gt;"C0",IFERROR(INDEX(parametros!$A$2:$A$6,MATCH(C2071,parametros!$B$2:$B$6,0)),"")="Sim",IFERROR(INDEX(parametros!$H$2:$H$6,MATCH(C2071,parametros!$B$2:$B$6,0)),"")=""),"INICIO_EFEITO ausente: PC "&amp;A2071&amp;" - "&amp;C2071,IF(L2071="","EFEITO_PC nao calculado: PC "&amp;A2071&amp;" - "&amp;C2071,"OK")))))))))</f>
        <v/>
      </c>
      <c r="L2071" s="92" t="str">
        <f>IF(AND(A2071="",B2071="",D2071="",G2071=""),"",IF(OR(B2071="",NOT(ISNUMBER(B2071)),C2071="",C2071="Fora dos ciclos"),"",IF(C2071="C0","Nao",IF(IFERROR(INDEX(parametros!$A$2:$A$6,MATCH(C2071,parametros!$B$2:$B$6,0)),"")&lt;&gt;"Sim","Nao",IF(IFERROR(INDEX(parametros!$H$2:$H$6,MATCH(C2071,parametros!$B$2:$B$6,0)),"")="","",IF(B2071&gt;=IFERROR(INDEX(parametros!$H$2:$H$6,MATCH(C2071,parametros!$B$2:$B$6,0)),""),"Sim","Nao"))))))</f>
        <v/>
      </c>
      <c r="T2071" s="156"/>
      <c r="U2071" s="214" t="str">
        <f t="shared" si="166"/>
        <v/>
      </c>
      <c r="V2071" s="212" t="s">
        <v>50</v>
      </c>
      <c r="W2071" s="100" t="s">
        <v>168</v>
      </c>
      <c r="X2071" s="100" t="s">
        <v>169</v>
      </c>
      <c r="Y2071" s="101" t="s">
        <v>170</v>
      </c>
      <c r="Z2071" s="101" t="s">
        <v>171</v>
      </c>
      <c r="AA2071" s="101" t="s">
        <v>50</v>
      </c>
      <c r="AB2071" s="101" t="s">
        <v>172</v>
      </c>
      <c r="AC2071" s="102" t="s">
        <v>173</v>
      </c>
    </row>
    <row r="2072" spans="1:29" ht="25.5" customHeight="1" x14ac:dyDescent="0.35">
      <c r="A2072" s="392"/>
      <c r="B2072" s="393"/>
      <c r="C2072" s="99" t="str">
        <f>IF(B2072="","",IF(NOT(ISNUMBER(B2072)),"DATA_PC invalida",IF(NOT(ISNUMBER(parametros!$C$2)),"Fora dos ciclos",IF(OR(B2072&lt;parametros!$C$2,(YEAR(B2072)-YEAR(parametros!$C$2))*12+MONTH(B2072)-MONTH(parametros!$C$2)&gt;59),"Fora dos ciclos","C"&amp;INT(((YEAR(B2072)-YEAR(parametros!$C$2))*12+MONTH(B2072)-MONTH(parametros!$C$2))/12)))))</f>
        <v/>
      </c>
      <c r="D2072" s="394"/>
      <c r="E2072" s="78" t="str">
        <f>IF(C2072="","",IFERROR(VLOOKUP(C2072,parametros!$A$11:$E$15,5,0),""))</f>
        <v/>
      </c>
      <c r="F2072" s="79" t="str">
        <f t="shared" si="162"/>
        <v/>
      </c>
      <c r="G2072" s="395"/>
      <c r="H2072" s="91">
        <f t="shared" si="163"/>
        <v>0</v>
      </c>
      <c r="I2072" s="91" t="str">
        <f t="shared" si="164"/>
        <v/>
      </c>
      <c r="J2072" s="91" t="str">
        <f t="shared" si="165"/>
        <v/>
      </c>
      <c r="K2072" s="92" t="str">
        <f>IF(AND(A2072="",B2072="",D2072="",G2072=""),"",IF(AND(A2072&lt;&gt;"",COUNTIF($A$2:$A$5001,A2072)&gt;1),"NUMERO_PC duplicado",IF(B2072="","DATA_PC vazia",IF(NOT(ISNUMBER(B2072)),"DATA_PC invalida",IF(OR(C2072="",C2072="Fora dos ciclos"),"CICLO_PC nao identificado",IF(OR(D2072="",D2072=0),"VALOR_PC vazio ou zero",IF(AND(G2072&lt;&gt;"Sim",G2072&lt;&gt;"Nao",G2072&lt;&gt;""),"PC_PAGO_A_CONTRATADA invalido",IF(AND(C2072&lt;&gt;"C0",IFERROR(INDEX(parametros!$A$2:$A$6,MATCH(C2072,parametros!$B$2:$B$6,0)),"")="Sim",IFERROR(INDEX(parametros!$H$2:$H$6,MATCH(C2072,parametros!$B$2:$B$6,0)),"")=""),"INICIO_EFEITO ausente: PC "&amp;A2072&amp;" - "&amp;C2072,IF(L2072="","EFEITO_PC nao calculado: PC "&amp;A2072&amp;" - "&amp;C2072,"OK")))))))))</f>
        <v/>
      </c>
      <c r="L2072" s="92" t="str">
        <f>IF(AND(A2072="",B2072="",D2072="",G2072=""),"",IF(OR(B2072="",NOT(ISNUMBER(B2072)),C2072="",C2072="Fora dos ciclos"),"",IF(C2072="C0","Nao",IF(IFERROR(INDEX(parametros!$A$2:$A$6,MATCH(C2072,parametros!$B$2:$B$6,0)),"")&lt;&gt;"Sim","Nao",IF(IFERROR(INDEX(parametros!$H$2:$H$6,MATCH(C2072,parametros!$B$2:$B$6,0)),"")="","",IF(B2072&gt;=IFERROR(INDEX(parametros!$H$2:$H$6,MATCH(C2072,parametros!$B$2:$B$6,0)),""),"Sim","Nao"))))))</f>
        <v/>
      </c>
      <c r="T2072" s="156"/>
      <c r="U2072" s="214" t="str">
        <f t="shared" si="166"/>
        <v/>
      </c>
      <c r="V2072" s="212" t="s">
        <v>50</v>
      </c>
      <c r="W2072" s="100" t="s">
        <v>168</v>
      </c>
      <c r="X2072" s="100" t="s">
        <v>169</v>
      </c>
      <c r="Y2072" s="101" t="s">
        <v>170</v>
      </c>
      <c r="Z2072" s="101" t="s">
        <v>171</v>
      </c>
      <c r="AA2072" s="101" t="s">
        <v>50</v>
      </c>
      <c r="AB2072" s="101" t="s">
        <v>172</v>
      </c>
      <c r="AC2072" s="102" t="s">
        <v>173</v>
      </c>
    </row>
    <row r="2073" spans="1:29" ht="25.5" customHeight="1" x14ac:dyDescent="0.35">
      <c r="A2073" s="392"/>
      <c r="B2073" s="393"/>
      <c r="C2073" s="99" t="str">
        <f>IF(B2073="","",IF(NOT(ISNUMBER(B2073)),"DATA_PC invalida",IF(NOT(ISNUMBER(parametros!$C$2)),"Fora dos ciclos",IF(OR(B2073&lt;parametros!$C$2,(YEAR(B2073)-YEAR(parametros!$C$2))*12+MONTH(B2073)-MONTH(parametros!$C$2)&gt;59),"Fora dos ciclos","C"&amp;INT(((YEAR(B2073)-YEAR(parametros!$C$2))*12+MONTH(B2073)-MONTH(parametros!$C$2))/12)))))</f>
        <v/>
      </c>
      <c r="D2073" s="394"/>
      <c r="E2073" s="78" t="str">
        <f>IF(C2073="","",IFERROR(VLOOKUP(C2073,parametros!$A$11:$E$15,5,0),""))</f>
        <v/>
      </c>
      <c r="F2073" s="79" t="str">
        <f t="shared" si="162"/>
        <v/>
      </c>
      <c r="G2073" s="395"/>
      <c r="H2073" s="91">
        <f t="shared" si="163"/>
        <v>0</v>
      </c>
      <c r="I2073" s="91" t="str">
        <f t="shared" si="164"/>
        <v/>
      </c>
      <c r="J2073" s="91" t="str">
        <f t="shared" si="165"/>
        <v/>
      </c>
      <c r="K2073" s="92" t="str">
        <f>IF(AND(A2073="",B2073="",D2073="",G2073=""),"",IF(AND(A2073&lt;&gt;"",COUNTIF($A$2:$A$5001,A2073)&gt;1),"NUMERO_PC duplicado",IF(B2073="","DATA_PC vazia",IF(NOT(ISNUMBER(B2073)),"DATA_PC invalida",IF(OR(C2073="",C2073="Fora dos ciclos"),"CICLO_PC nao identificado",IF(OR(D2073="",D2073=0),"VALOR_PC vazio ou zero",IF(AND(G2073&lt;&gt;"Sim",G2073&lt;&gt;"Nao",G2073&lt;&gt;""),"PC_PAGO_A_CONTRATADA invalido",IF(AND(C2073&lt;&gt;"C0",IFERROR(INDEX(parametros!$A$2:$A$6,MATCH(C2073,parametros!$B$2:$B$6,0)),"")="Sim",IFERROR(INDEX(parametros!$H$2:$H$6,MATCH(C2073,parametros!$B$2:$B$6,0)),"")=""),"INICIO_EFEITO ausente: PC "&amp;A2073&amp;" - "&amp;C2073,IF(L2073="","EFEITO_PC nao calculado: PC "&amp;A2073&amp;" - "&amp;C2073,"OK")))))))))</f>
        <v/>
      </c>
      <c r="L2073" s="92" t="str">
        <f>IF(AND(A2073="",B2073="",D2073="",G2073=""),"",IF(OR(B2073="",NOT(ISNUMBER(B2073)),C2073="",C2073="Fora dos ciclos"),"",IF(C2073="C0","Nao",IF(IFERROR(INDEX(parametros!$A$2:$A$6,MATCH(C2073,parametros!$B$2:$B$6,0)),"")&lt;&gt;"Sim","Nao",IF(IFERROR(INDEX(parametros!$H$2:$H$6,MATCH(C2073,parametros!$B$2:$B$6,0)),"")="","",IF(B2073&gt;=IFERROR(INDEX(parametros!$H$2:$H$6,MATCH(C2073,parametros!$B$2:$B$6,0)),""),"Sim","Nao"))))))</f>
        <v/>
      </c>
      <c r="T2073" s="156"/>
      <c r="U2073" s="214" t="str">
        <f t="shared" si="166"/>
        <v/>
      </c>
      <c r="V2073" s="212" t="s">
        <v>50</v>
      </c>
      <c r="W2073" s="100" t="s">
        <v>168</v>
      </c>
      <c r="X2073" s="100" t="s">
        <v>169</v>
      </c>
      <c r="Y2073" s="101" t="s">
        <v>170</v>
      </c>
      <c r="Z2073" s="101" t="s">
        <v>171</v>
      </c>
      <c r="AA2073" s="101" t="s">
        <v>50</v>
      </c>
      <c r="AB2073" s="101" t="s">
        <v>172</v>
      </c>
      <c r="AC2073" s="102" t="s">
        <v>173</v>
      </c>
    </row>
    <row r="2074" spans="1:29" ht="25.5" customHeight="1" x14ac:dyDescent="0.35">
      <c r="A2074" s="392"/>
      <c r="B2074" s="393"/>
      <c r="C2074" s="99" t="str">
        <f>IF(B2074="","",IF(NOT(ISNUMBER(B2074)),"DATA_PC invalida",IF(NOT(ISNUMBER(parametros!$C$2)),"Fora dos ciclos",IF(OR(B2074&lt;parametros!$C$2,(YEAR(B2074)-YEAR(parametros!$C$2))*12+MONTH(B2074)-MONTH(parametros!$C$2)&gt;59),"Fora dos ciclos","C"&amp;INT(((YEAR(B2074)-YEAR(parametros!$C$2))*12+MONTH(B2074)-MONTH(parametros!$C$2))/12)))))</f>
        <v/>
      </c>
      <c r="D2074" s="394"/>
      <c r="E2074" s="78" t="str">
        <f>IF(C2074="","",IFERROR(VLOOKUP(C2074,parametros!$A$11:$E$15,5,0),""))</f>
        <v/>
      </c>
      <c r="F2074" s="79" t="str">
        <f t="shared" si="162"/>
        <v/>
      </c>
      <c r="G2074" s="395"/>
      <c r="H2074" s="91">
        <f t="shared" si="163"/>
        <v>0</v>
      </c>
      <c r="I2074" s="91" t="str">
        <f t="shared" si="164"/>
        <v/>
      </c>
      <c r="J2074" s="91" t="str">
        <f t="shared" si="165"/>
        <v/>
      </c>
      <c r="K2074" s="92" t="str">
        <f>IF(AND(A2074="",B2074="",D2074="",G2074=""),"",IF(AND(A2074&lt;&gt;"",COUNTIF($A$2:$A$5001,A2074)&gt;1),"NUMERO_PC duplicado",IF(B2074="","DATA_PC vazia",IF(NOT(ISNUMBER(B2074)),"DATA_PC invalida",IF(OR(C2074="",C2074="Fora dos ciclos"),"CICLO_PC nao identificado",IF(OR(D2074="",D2074=0),"VALOR_PC vazio ou zero",IF(AND(G2074&lt;&gt;"Sim",G2074&lt;&gt;"Nao",G2074&lt;&gt;""),"PC_PAGO_A_CONTRATADA invalido",IF(AND(C2074&lt;&gt;"C0",IFERROR(INDEX(parametros!$A$2:$A$6,MATCH(C2074,parametros!$B$2:$B$6,0)),"")="Sim",IFERROR(INDEX(parametros!$H$2:$H$6,MATCH(C2074,parametros!$B$2:$B$6,0)),"")=""),"INICIO_EFEITO ausente: PC "&amp;A2074&amp;" - "&amp;C2074,IF(L2074="","EFEITO_PC nao calculado: PC "&amp;A2074&amp;" - "&amp;C2074,"OK")))))))))</f>
        <v/>
      </c>
      <c r="L2074" s="92" t="str">
        <f>IF(AND(A2074="",B2074="",D2074="",G2074=""),"",IF(OR(B2074="",NOT(ISNUMBER(B2074)),C2074="",C2074="Fora dos ciclos"),"",IF(C2074="C0","Nao",IF(IFERROR(INDEX(parametros!$A$2:$A$6,MATCH(C2074,parametros!$B$2:$B$6,0)),"")&lt;&gt;"Sim","Nao",IF(IFERROR(INDEX(parametros!$H$2:$H$6,MATCH(C2074,parametros!$B$2:$B$6,0)),"")="","",IF(B2074&gt;=IFERROR(INDEX(parametros!$H$2:$H$6,MATCH(C2074,parametros!$B$2:$B$6,0)),""),"Sim","Nao"))))))</f>
        <v/>
      </c>
      <c r="T2074" s="156"/>
      <c r="U2074" s="214" t="str">
        <f t="shared" si="166"/>
        <v/>
      </c>
      <c r="V2074" s="212" t="s">
        <v>50</v>
      </c>
      <c r="W2074" s="100" t="s">
        <v>168</v>
      </c>
      <c r="X2074" s="100" t="s">
        <v>169</v>
      </c>
      <c r="Y2074" s="101" t="s">
        <v>170</v>
      </c>
      <c r="Z2074" s="101" t="s">
        <v>171</v>
      </c>
      <c r="AA2074" s="101" t="s">
        <v>50</v>
      </c>
      <c r="AB2074" s="101" t="s">
        <v>172</v>
      </c>
      <c r="AC2074" s="102" t="s">
        <v>173</v>
      </c>
    </row>
    <row r="2075" spans="1:29" ht="25.5" customHeight="1" x14ac:dyDescent="0.35">
      <c r="A2075" s="392"/>
      <c r="B2075" s="393"/>
      <c r="C2075" s="99" t="str">
        <f>IF(B2075="","",IF(NOT(ISNUMBER(B2075)),"DATA_PC invalida",IF(NOT(ISNUMBER(parametros!$C$2)),"Fora dos ciclos",IF(OR(B2075&lt;parametros!$C$2,(YEAR(B2075)-YEAR(parametros!$C$2))*12+MONTH(B2075)-MONTH(parametros!$C$2)&gt;59),"Fora dos ciclos","C"&amp;INT(((YEAR(B2075)-YEAR(parametros!$C$2))*12+MONTH(B2075)-MONTH(parametros!$C$2))/12)))))</f>
        <v/>
      </c>
      <c r="D2075" s="394"/>
      <c r="E2075" s="78" t="str">
        <f>IF(C2075="","",IFERROR(VLOOKUP(C2075,parametros!$A$11:$E$15,5,0),""))</f>
        <v/>
      </c>
      <c r="F2075" s="79" t="str">
        <f t="shared" si="162"/>
        <v/>
      </c>
      <c r="G2075" s="395"/>
      <c r="H2075" s="91">
        <f t="shared" si="163"/>
        <v>0</v>
      </c>
      <c r="I2075" s="91" t="str">
        <f t="shared" si="164"/>
        <v/>
      </c>
      <c r="J2075" s="91" t="str">
        <f t="shared" si="165"/>
        <v/>
      </c>
      <c r="K2075" s="92" t="str">
        <f>IF(AND(A2075="",B2075="",D2075="",G2075=""),"",IF(AND(A2075&lt;&gt;"",COUNTIF($A$2:$A$5001,A2075)&gt;1),"NUMERO_PC duplicado",IF(B2075="","DATA_PC vazia",IF(NOT(ISNUMBER(B2075)),"DATA_PC invalida",IF(OR(C2075="",C2075="Fora dos ciclos"),"CICLO_PC nao identificado",IF(OR(D2075="",D2075=0),"VALOR_PC vazio ou zero",IF(AND(G2075&lt;&gt;"Sim",G2075&lt;&gt;"Nao",G2075&lt;&gt;""),"PC_PAGO_A_CONTRATADA invalido",IF(AND(C2075&lt;&gt;"C0",IFERROR(INDEX(parametros!$A$2:$A$6,MATCH(C2075,parametros!$B$2:$B$6,0)),"")="Sim",IFERROR(INDEX(parametros!$H$2:$H$6,MATCH(C2075,parametros!$B$2:$B$6,0)),"")=""),"INICIO_EFEITO ausente: PC "&amp;A2075&amp;" - "&amp;C2075,IF(L2075="","EFEITO_PC nao calculado: PC "&amp;A2075&amp;" - "&amp;C2075,"OK")))))))))</f>
        <v/>
      </c>
      <c r="L2075" s="92" t="str">
        <f>IF(AND(A2075="",B2075="",D2075="",G2075=""),"",IF(OR(B2075="",NOT(ISNUMBER(B2075)),C2075="",C2075="Fora dos ciclos"),"",IF(C2075="C0","Nao",IF(IFERROR(INDEX(parametros!$A$2:$A$6,MATCH(C2075,parametros!$B$2:$B$6,0)),"")&lt;&gt;"Sim","Nao",IF(IFERROR(INDEX(parametros!$H$2:$H$6,MATCH(C2075,parametros!$B$2:$B$6,0)),"")="","",IF(B2075&gt;=IFERROR(INDEX(parametros!$H$2:$H$6,MATCH(C2075,parametros!$B$2:$B$6,0)),""),"Sim","Nao"))))))</f>
        <v/>
      </c>
      <c r="T2075" s="156"/>
      <c r="U2075" s="214" t="str">
        <f t="shared" si="166"/>
        <v/>
      </c>
      <c r="V2075" s="212" t="s">
        <v>50</v>
      </c>
      <c r="W2075" s="100" t="s">
        <v>168</v>
      </c>
      <c r="X2075" s="100" t="s">
        <v>169</v>
      </c>
      <c r="Y2075" s="101" t="s">
        <v>170</v>
      </c>
      <c r="Z2075" s="101" t="s">
        <v>171</v>
      </c>
      <c r="AA2075" s="101" t="s">
        <v>50</v>
      </c>
      <c r="AB2075" s="101" t="s">
        <v>172</v>
      </c>
      <c r="AC2075" s="102" t="s">
        <v>173</v>
      </c>
    </row>
    <row r="2076" spans="1:29" ht="25.5" customHeight="1" x14ac:dyDescent="0.35">
      <c r="A2076" s="392"/>
      <c r="B2076" s="393"/>
      <c r="C2076" s="99" t="str">
        <f>IF(B2076="","",IF(NOT(ISNUMBER(B2076)),"DATA_PC invalida",IF(NOT(ISNUMBER(parametros!$C$2)),"Fora dos ciclos",IF(OR(B2076&lt;parametros!$C$2,(YEAR(B2076)-YEAR(parametros!$C$2))*12+MONTH(B2076)-MONTH(parametros!$C$2)&gt;59),"Fora dos ciclos","C"&amp;INT(((YEAR(B2076)-YEAR(parametros!$C$2))*12+MONTH(B2076)-MONTH(parametros!$C$2))/12)))))</f>
        <v/>
      </c>
      <c r="D2076" s="394"/>
      <c r="E2076" s="78" t="str">
        <f>IF(C2076="","",IFERROR(VLOOKUP(C2076,parametros!$A$11:$E$15,5,0),""))</f>
        <v/>
      </c>
      <c r="F2076" s="79" t="str">
        <f t="shared" si="162"/>
        <v/>
      </c>
      <c r="G2076" s="395"/>
      <c r="H2076" s="91">
        <f t="shared" si="163"/>
        <v>0</v>
      </c>
      <c r="I2076" s="91" t="str">
        <f t="shared" si="164"/>
        <v/>
      </c>
      <c r="J2076" s="91" t="str">
        <f t="shared" si="165"/>
        <v/>
      </c>
      <c r="K2076" s="92" t="str">
        <f>IF(AND(A2076="",B2076="",D2076="",G2076=""),"",IF(AND(A2076&lt;&gt;"",COUNTIF($A$2:$A$5001,A2076)&gt;1),"NUMERO_PC duplicado",IF(B2076="","DATA_PC vazia",IF(NOT(ISNUMBER(B2076)),"DATA_PC invalida",IF(OR(C2076="",C2076="Fora dos ciclos"),"CICLO_PC nao identificado",IF(OR(D2076="",D2076=0),"VALOR_PC vazio ou zero",IF(AND(G2076&lt;&gt;"Sim",G2076&lt;&gt;"Nao",G2076&lt;&gt;""),"PC_PAGO_A_CONTRATADA invalido",IF(AND(C2076&lt;&gt;"C0",IFERROR(INDEX(parametros!$A$2:$A$6,MATCH(C2076,parametros!$B$2:$B$6,0)),"")="Sim",IFERROR(INDEX(parametros!$H$2:$H$6,MATCH(C2076,parametros!$B$2:$B$6,0)),"")=""),"INICIO_EFEITO ausente: PC "&amp;A2076&amp;" - "&amp;C2076,IF(L2076="","EFEITO_PC nao calculado: PC "&amp;A2076&amp;" - "&amp;C2076,"OK")))))))))</f>
        <v/>
      </c>
      <c r="L2076" s="92" t="str">
        <f>IF(AND(A2076="",B2076="",D2076="",G2076=""),"",IF(OR(B2076="",NOT(ISNUMBER(B2076)),C2076="",C2076="Fora dos ciclos"),"",IF(C2076="C0","Nao",IF(IFERROR(INDEX(parametros!$A$2:$A$6,MATCH(C2076,parametros!$B$2:$B$6,0)),"")&lt;&gt;"Sim","Nao",IF(IFERROR(INDEX(parametros!$H$2:$H$6,MATCH(C2076,parametros!$B$2:$B$6,0)),"")="","",IF(B2076&gt;=IFERROR(INDEX(parametros!$H$2:$H$6,MATCH(C2076,parametros!$B$2:$B$6,0)),""),"Sim","Nao"))))))</f>
        <v/>
      </c>
      <c r="T2076" s="156"/>
      <c r="U2076" s="214" t="str">
        <f t="shared" si="166"/>
        <v/>
      </c>
      <c r="V2076" s="212" t="s">
        <v>50</v>
      </c>
      <c r="W2076" s="100" t="s">
        <v>168</v>
      </c>
      <c r="X2076" s="100" t="s">
        <v>169</v>
      </c>
      <c r="Y2076" s="101" t="s">
        <v>170</v>
      </c>
      <c r="Z2076" s="101" t="s">
        <v>171</v>
      </c>
      <c r="AA2076" s="101" t="s">
        <v>50</v>
      </c>
      <c r="AB2076" s="101" t="s">
        <v>172</v>
      </c>
      <c r="AC2076" s="102" t="s">
        <v>173</v>
      </c>
    </row>
    <row r="2077" spans="1:29" ht="25.5" customHeight="1" x14ac:dyDescent="0.35">
      <c r="A2077" s="392"/>
      <c r="B2077" s="393"/>
      <c r="C2077" s="99" t="str">
        <f>IF(B2077="","",IF(NOT(ISNUMBER(B2077)),"DATA_PC invalida",IF(NOT(ISNUMBER(parametros!$C$2)),"Fora dos ciclos",IF(OR(B2077&lt;parametros!$C$2,(YEAR(B2077)-YEAR(parametros!$C$2))*12+MONTH(B2077)-MONTH(parametros!$C$2)&gt;59),"Fora dos ciclos","C"&amp;INT(((YEAR(B2077)-YEAR(parametros!$C$2))*12+MONTH(B2077)-MONTH(parametros!$C$2))/12)))))</f>
        <v/>
      </c>
      <c r="D2077" s="394"/>
      <c r="E2077" s="78" t="str">
        <f>IF(C2077="","",IFERROR(VLOOKUP(C2077,parametros!$A$11:$E$15,5,0),""))</f>
        <v/>
      </c>
      <c r="F2077" s="79" t="str">
        <f t="shared" si="162"/>
        <v/>
      </c>
      <c r="G2077" s="395"/>
      <c r="H2077" s="91">
        <f t="shared" si="163"/>
        <v>0</v>
      </c>
      <c r="I2077" s="91" t="str">
        <f t="shared" si="164"/>
        <v/>
      </c>
      <c r="J2077" s="91" t="str">
        <f t="shared" si="165"/>
        <v/>
      </c>
      <c r="K2077" s="92" t="str">
        <f>IF(AND(A2077="",B2077="",D2077="",G2077=""),"",IF(AND(A2077&lt;&gt;"",COUNTIF($A$2:$A$5001,A2077)&gt;1),"NUMERO_PC duplicado",IF(B2077="","DATA_PC vazia",IF(NOT(ISNUMBER(B2077)),"DATA_PC invalida",IF(OR(C2077="",C2077="Fora dos ciclos"),"CICLO_PC nao identificado",IF(OR(D2077="",D2077=0),"VALOR_PC vazio ou zero",IF(AND(G2077&lt;&gt;"Sim",G2077&lt;&gt;"Nao",G2077&lt;&gt;""),"PC_PAGO_A_CONTRATADA invalido",IF(AND(C2077&lt;&gt;"C0",IFERROR(INDEX(parametros!$A$2:$A$6,MATCH(C2077,parametros!$B$2:$B$6,0)),"")="Sim",IFERROR(INDEX(parametros!$H$2:$H$6,MATCH(C2077,parametros!$B$2:$B$6,0)),"")=""),"INICIO_EFEITO ausente: PC "&amp;A2077&amp;" - "&amp;C2077,IF(L2077="","EFEITO_PC nao calculado: PC "&amp;A2077&amp;" - "&amp;C2077,"OK")))))))))</f>
        <v/>
      </c>
      <c r="L2077" s="92" t="str">
        <f>IF(AND(A2077="",B2077="",D2077="",G2077=""),"",IF(OR(B2077="",NOT(ISNUMBER(B2077)),C2077="",C2077="Fora dos ciclos"),"",IF(C2077="C0","Nao",IF(IFERROR(INDEX(parametros!$A$2:$A$6,MATCH(C2077,parametros!$B$2:$B$6,0)),"")&lt;&gt;"Sim","Nao",IF(IFERROR(INDEX(parametros!$H$2:$H$6,MATCH(C2077,parametros!$B$2:$B$6,0)),"")="","",IF(B2077&gt;=IFERROR(INDEX(parametros!$H$2:$H$6,MATCH(C2077,parametros!$B$2:$B$6,0)),""),"Sim","Nao"))))))</f>
        <v/>
      </c>
      <c r="T2077" s="156"/>
      <c r="U2077" s="214" t="str">
        <f t="shared" si="166"/>
        <v/>
      </c>
      <c r="V2077" s="212" t="s">
        <v>50</v>
      </c>
      <c r="W2077" s="100" t="s">
        <v>168</v>
      </c>
      <c r="X2077" s="100" t="s">
        <v>169</v>
      </c>
      <c r="Y2077" s="101" t="s">
        <v>170</v>
      </c>
      <c r="Z2077" s="101" t="s">
        <v>171</v>
      </c>
      <c r="AA2077" s="101" t="s">
        <v>50</v>
      </c>
      <c r="AB2077" s="101" t="s">
        <v>172</v>
      </c>
      <c r="AC2077" s="102" t="s">
        <v>173</v>
      </c>
    </row>
    <row r="2078" spans="1:29" ht="25.5" customHeight="1" x14ac:dyDescent="0.35">
      <c r="A2078" s="392"/>
      <c r="B2078" s="393"/>
      <c r="C2078" s="99" t="str">
        <f>IF(B2078="","",IF(NOT(ISNUMBER(B2078)),"DATA_PC invalida",IF(NOT(ISNUMBER(parametros!$C$2)),"Fora dos ciclos",IF(OR(B2078&lt;parametros!$C$2,(YEAR(B2078)-YEAR(parametros!$C$2))*12+MONTH(B2078)-MONTH(parametros!$C$2)&gt;59),"Fora dos ciclos","C"&amp;INT(((YEAR(B2078)-YEAR(parametros!$C$2))*12+MONTH(B2078)-MONTH(parametros!$C$2))/12)))))</f>
        <v/>
      </c>
      <c r="D2078" s="394"/>
      <c r="E2078" s="78" t="str">
        <f>IF(C2078="","",IFERROR(VLOOKUP(C2078,parametros!$A$11:$E$15,5,0),""))</f>
        <v/>
      </c>
      <c r="F2078" s="79" t="str">
        <f t="shared" si="162"/>
        <v/>
      </c>
      <c r="G2078" s="395"/>
      <c r="H2078" s="91">
        <f t="shared" si="163"/>
        <v>0</v>
      </c>
      <c r="I2078" s="91" t="str">
        <f t="shared" si="164"/>
        <v/>
      </c>
      <c r="J2078" s="91" t="str">
        <f t="shared" si="165"/>
        <v/>
      </c>
      <c r="K2078" s="92" t="str">
        <f>IF(AND(A2078="",B2078="",D2078="",G2078=""),"",IF(AND(A2078&lt;&gt;"",COUNTIF($A$2:$A$5001,A2078)&gt;1),"NUMERO_PC duplicado",IF(B2078="","DATA_PC vazia",IF(NOT(ISNUMBER(B2078)),"DATA_PC invalida",IF(OR(C2078="",C2078="Fora dos ciclos"),"CICLO_PC nao identificado",IF(OR(D2078="",D2078=0),"VALOR_PC vazio ou zero",IF(AND(G2078&lt;&gt;"Sim",G2078&lt;&gt;"Nao",G2078&lt;&gt;""),"PC_PAGO_A_CONTRATADA invalido",IF(AND(C2078&lt;&gt;"C0",IFERROR(INDEX(parametros!$A$2:$A$6,MATCH(C2078,parametros!$B$2:$B$6,0)),"")="Sim",IFERROR(INDEX(parametros!$H$2:$H$6,MATCH(C2078,parametros!$B$2:$B$6,0)),"")=""),"INICIO_EFEITO ausente: PC "&amp;A2078&amp;" - "&amp;C2078,IF(L2078="","EFEITO_PC nao calculado: PC "&amp;A2078&amp;" - "&amp;C2078,"OK")))))))))</f>
        <v/>
      </c>
      <c r="L2078" s="92" t="str">
        <f>IF(AND(A2078="",B2078="",D2078="",G2078=""),"",IF(OR(B2078="",NOT(ISNUMBER(B2078)),C2078="",C2078="Fora dos ciclos"),"",IF(C2078="C0","Nao",IF(IFERROR(INDEX(parametros!$A$2:$A$6,MATCH(C2078,parametros!$B$2:$B$6,0)),"")&lt;&gt;"Sim","Nao",IF(IFERROR(INDEX(parametros!$H$2:$H$6,MATCH(C2078,parametros!$B$2:$B$6,0)),"")="","",IF(B2078&gt;=IFERROR(INDEX(parametros!$H$2:$H$6,MATCH(C2078,parametros!$B$2:$B$6,0)),""),"Sim","Nao"))))))</f>
        <v/>
      </c>
      <c r="T2078" s="156"/>
      <c r="U2078" s="214" t="str">
        <f t="shared" si="166"/>
        <v/>
      </c>
      <c r="V2078" s="212" t="s">
        <v>50</v>
      </c>
      <c r="W2078" s="100" t="s">
        <v>168</v>
      </c>
      <c r="X2078" s="100" t="s">
        <v>169</v>
      </c>
      <c r="Y2078" s="101" t="s">
        <v>170</v>
      </c>
      <c r="Z2078" s="101" t="s">
        <v>171</v>
      </c>
      <c r="AA2078" s="101" t="s">
        <v>50</v>
      </c>
      <c r="AB2078" s="101" t="s">
        <v>172</v>
      </c>
      <c r="AC2078" s="102" t="s">
        <v>173</v>
      </c>
    </row>
    <row r="2079" spans="1:29" ht="25.5" customHeight="1" x14ac:dyDescent="0.35">
      <c r="A2079" s="392"/>
      <c r="B2079" s="393"/>
      <c r="C2079" s="99" t="str">
        <f>IF(B2079="","",IF(NOT(ISNUMBER(B2079)),"DATA_PC invalida",IF(NOT(ISNUMBER(parametros!$C$2)),"Fora dos ciclos",IF(OR(B2079&lt;parametros!$C$2,(YEAR(B2079)-YEAR(parametros!$C$2))*12+MONTH(B2079)-MONTH(parametros!$C$2)&gt;59),"Fora dos ciclos","C"&amp;INT(((YEAR(B2079)-YEAR(parametros!$C$2))*12+MONTH(B2079)-MONTH(parametros!$C$2))/12)))))</f>
        <v/>
      </c>
      <c r="D2079" s="394"/>
      <c r="E2079" s="78" t="str">
        <f>IF(C2079="","",IFERROR(VLOOKUP(C2079,parametros!$A$11:$E$15,5,0),""))</f>
        <v/>
      </c>
      <c r="F2079" s="79" t="str">
        <f t="shared" si="162"/>
        <v/>
      </c>
      <c r="G2079" s="395"/>
      <c r="H2079" s="91">
        <f t="shared" si="163"/>
        <v>0</v>
      </c>
      <c r="I2079" s="91" t="str">
        <f t="shared" si="164"/>
        <v/>
      </c>
      <c r="J2079" s="91" t="str">
        <f t="shared" si="165"/>
        <v/>
      </c>
      <c r="K2079" s="92" t="str">
        <f>IF(AND(A2079="",B2079="",D2079="",G2079=""),"",IF(AND(A2079&lt;&gt;"",COUNTIF($A$2:$A$5001,A2079)&gt;1),"NUMERO_PC duplicado",IF(B2079="","DATA_PC vazia",IF(NOT(ISNUMBER(B2079)),"DATA_PC invalida",IF(OR(C2079="",C2079="Fora dos ciclos"),"CICLO_PC nao identificado",IF(OR(D2079="",D2079=0),"VALOR_PC vazio ou zero",IF(AND(G2079&lt;&gt;"Sim",G2079&lt;&gt;"Nao",G2079&lt;&gt;""),"PC_PAGO_A_CONTRATADA invalido",IF(AND(C2079&lt;&gt;"C0",IFERROR(INDEX(parametros!$A$2:$A$6,MATCH(C2079,parametros!$B$2:$B$6,0)),"")="Sim",IFERROR(INDEX(parametros!$H$2:$H$6,MATCH(C2079,parametros!$B$2:$B$6,0)),"")=""),"INICIO_EFEITO ausente: PC "&amp;A2079&amp;" - "&amp;C2079,IF(L2079="","EFEITO_PC nao calculado: PC "&amp;A2079&amp;" - "&amp;C2079,"OK")))))))))</f>
        <v/>
      </c>
      <c r="L2079" s="92" t="str">
        <f>IF(AND(A2079="",B2079="",D2079="",G2079=""),"",IF(OR(B2079="",NOT(ISNUMBER(B2079)),C2079="",C2079="Fora dos ciclos"),"",IF(C2079="C0","Nao",IF(IFERROR(INDEX(parametros!$A$2:$A$6,MATCH(C2079,parametros!$B$2:$B$6,0)),"")&lt;&gt;"Sim","Nao",IF(IFERROR(INDEX(parametros!$H$2:$H$6,MATCH(C2079,parametros!$B$2:$B$6,0)),"")="","",IF(B2079&gt;=IFERROR(INDEX(parametros!$H$2:$H$6,MATCH(C2079,parametros!$B$2:$B$6,0)),""),"Sim","Nao"))))))</f>
        <v/>
      </c>
      <c r="T2079" s="156"/>
      <c r="U2079" s="214" t="str">
        <f t="shared" si="166"/>
        <v/>
      </c>
      <c r="V2079" s="212" t="s">
        <v>50</v>
      </c>
      <c r="W2079" s="100" t="s">
        <v>168</v>
      </c>
      <c r="X2079" s="100" t="s">
        <v>169</v>
      </c>
      <c r="Y2079" s="101" t="s">
        <v>170</v>
      </c>
      <c r="Z2079" s="101" t="s">
        <v>171</v>
      </c>
      <c r="AA2079" s="101" t="s">
        <v>50</v>
      </c>
      <c r="AB2079" s="101" t="s">
        <v>172</v>
      </c>
      <c r="AC2079" s="102" t="s">
        <v>173</v>
      </c>
    </row>
    <row r="2080" spans="1:29" ht="25.5" customHeight="1" x14ac:dyDescent="0.35">
      <c r="A2080" s="392"/>
      <c r="B2080" s="393"/>
      <c r="C2080" s="99" t="str">
        <f>IF(B2080="","",IF(NOT(ISNUMBER(B2080)),"DATA_PC invalida",IF(NOT(ISNUMBER(parametros!$C$2)),"Fora dos ciclos",IF(OR(B2080&lt;parametros!$C$2,(YEAR(B2080)-YEAR(parametros!$C$2))*12+MONTH(B2080)-MONTH(parametros!$C$2)&gt;59),"Fora dos ciclos","C"&amp;INT(((YEAR(B2080)-YEAR(parametros!$C$2))*12+MONTH(B2080)-MONTH(parametros!$C$2))/12)))))</f>
        <v/>
      </c>
      <c r="D2080" s="394"/>
      <c r="E2080" s="78" t="str">
        <f>IF(C2080="","",IFERROR(VLOOKUP(C2080,parametros!$A$11:$E$15,5,0),""))</f>
        <v/>
      </c>
      <c r="F2080" s="79" t="str">
        <f t="shared" si="162"/>
        <v/>
      </c>
      <c r="G2080" s="395"/>
      <c r="H2080" s="91">
        <f t="shared" si="163"/>
        <v>0</v>
      </c>
      <c r="I2080" s="91" t="str">
        <f t="shared" si="164"/>
        <v/>
      </c>
      <c r="J2080" s="91" t="str">
        <f t="shared" si="165"/>
        <v/>
      </c>
      <c r="K2080" s="92" t="str">
        <f>IF(AND(A2080="",B2080="",D2080="",G2080=""),"",IF(AND(A2080&lt;&gt;"",COUNTIF($A$2:$A$5001,A2080)&gt;1),"NUMERO_PC duplicado",IF(B2080="","DATA_PC vazia",IF(NOT(ISNUMBER(B2080)),"DATA_PC invalida",IF(OR(C2080="",C2080="Fora dos ciclos"),"CICLO_PC nao identificado",IF(OR(D2080="",D2080=0),"VALOR_PC vazio ou zero",IF(AND(G2080&lt;&gt;"Sim",G2080&lt;&gt;"Nao",G2080&lt;&gt;""),"PC_PAGO_A_CONTRATADA invalido",IF(AND(C2080&lt;&gt;"C0",IFERROR(INDEX(parametros!$A$2:$A$6,MATCH(C2080,parametros!$B$2:$B$6,0)),"")="Sim",IFERROR(INDEX(parametros!$H$2:$H$6,MATCH(C2080,parametros!$B$2:$B$6,0)),"")=""),"INICIO_EFEITO ausente: PC "&amp;A2080&amp;" - "&amp;C2080,IF(L2080="","EFEITO_PC nao calculado: PC "&amp;A2080&amp;" - "&amp;C2080,"OK")))))))))</f>
        <v/>
      </c>
      <c r="L2080" s="92" t="str">
        <f>IF(AND(A2080="",B2080="",D2080="",G2080=""),"",IF(OR(B2080="",NOT(ISNUMBER(B2080)),C2080="",C2080="Fora dos ciclos"),"",IF(C2080="C0","Nao",IF(IFERROR(INDEX(parametros!$A$2:$A$6,MATCH(C2080,parametros!$B$2:$B$6,0)),"")&lt;&gt;"Sim","Nao",IF(IFERROR(INDEX(parametros!$H$2:$H$6,MATCH(C2080,parametros!$B$2:$B$6,0)),"")="","",IF(B2080&gt;=IFERROR(INDEX(parametros!$H$2:$H$6,MATCH(C2080,parametros!$B$2:$B$6,0)),""),"Sim","Nao"))))))</f>
        <v/>
      </c>
      <c r="T2080" s="156"/>
      <c r="U2080" s="214" t="str">
        <f t="shared" si="166"/>
        <v/>
      </c>
      <c r="V2080" s="212" t="s">
        <v>50</v>
      </c>
      <c r="W2080" s="100" t="s">
        <v>168</v>
      </c>
      <c r="X2080" s="100" t="s">
        <v>169</v>
      </c>
      <c r="Y2080" s="101" t="s">
        <v>170</v>
      </c>
      <c r="Z2080" s="101" t="s">
        <v>171</v>
      </c>
      <c r="AA2080" s="101" t="s">
        <v>50</v>
      </c>
      <c r="AB2080" s="101" t="s">
        <v>172</v>
      </c>
      <c r="AC2080" s="102" t="s">
        <v>173</v>
      </c>
    </row>
    <row r="2081" spans="1:29" ht="25.5" customHeight="1" x14ac:dyDescent="0.35">
      <c r="A2081" s="392"/>
      <c r="B2081" s="393"/>
      <c r="C2081" s="99" t="str">
        <f>IF(B2081="","",IF(NOT(ISNUMBER(B2081)),"DATA_PC invalida",IF(NOT(ISNUMBER(parametros!$C$2)),"Fora dos ciclos",IF(OR(B2081&lt;parametros!$C$2,(YEAR(B2081)-YEAR(parametros!$C$2))*12+MONTH(B2081)-MONTH(parametros!$C$2)&gt;59),"Fora dos ciclos","C"&amp;INT(((YEAR(B2081)-YEAR(parametros!$C$2))*12+MONTH(B2081)-MONTH(parametros!$C$2))/12)))))</f>
        <v/>
      </c>
      <c r="D2081" s="394"/>
      <c r="E2081" s="78" t="str">
        <f>IF(C2081="","",IFERROR(VLOOKUP(C2081,parametros!$A$11:$E$15,5,0),""))</f>
        <v/>
      </c>
      <c r="F2081" s="79" t="str">
        <f t="shared" si="162"/>
        <v/>
      </c>
      <c r="G2081" s="395"/>
      <c r="H2081" s="91">
        <f t="shared" si="163"/>
        <v>0</v>
      </c>
      <c r="I2081" s="91" t="str">
        <f t="shared" si="164"/>
        <v/>
      </c>
      <c r="J2081" s="91" t="str">
        <f t="shared" si="165"/>
        <v/>
      </c>
      <c r="K2081" s="92" t="str">
        <f>IF(AND(A2081="",B2081="",D2081="",G2081=""),"",IF(AND(A2081&lt;&gt;"",COUNTIF($A$2:$A$5001,A2081)&gt;1),"NUMERO_PC duplicado",IF(B2081="","DATA_PC vazia",IF(NOT(ISNUMBER(B2081)),"DATA_PC invalida",IF(OR(C2081="",C2081="Fora dos ciclos"),"CICLO_PC nao identificado",IF(OR(D2081="",D2081=0),"VALOR_PC vazio ou zero",IF(AND(G2081&lt;&gt;"Sim",G2081&lt;&gt;"Nao",G2081&lt;&gt;""),"PC_PAGO_A_CONTRATADA invalido",IF(AND(C2081&lt;&gt;"C0",IFERROR(INDEX(parametros!$A$2:$A$6,MATCH(C2081,parametros!$B$2:$B$6,0)),"")="Sim",IFERROR(INDEX(parametros!$H$2:$H$6,MATCH(C2081,parametros!$B$2:$B$6,0)),"")=""),"INICIO_EFEITO ausente: PC "&amp;A2081&amp;" - "&amp;C2081,IF(L2081="","EFEITO_PC nao calculado: PC "&amp;A2081&amp;" - "&amp;C2081,"OK")))))))))</f>
        <v/>
      </c>
      <c r="L2081" s="92" t="str">
        <f>IF(AND(A2081="",B2081="",D2081="",G2081=""),"",IF(OR(B2081="",NOT(ISNUMBER(B2081)),C2081="",C2081="Fora dos ciclos"),"",IF(C2081="C0","Nao",IF(IFERROR(INDEX(parametros!$A$2:$A$6,MATCH(C2081,parametros!$B$2:$B$6,0)),"")&lt;&gt;"Sim","Nao",IF(IFERROR(INDEX(parametros!$H$2:$H$6,MATCH(C2081,parametros!$B$2:$B$6,0)),"")="","",IF(B2081&gt;=IFERROR(INDEX(parametros!$H$2:$H$6,MATCH(C2081,parametros!$B$2:$B$6,0)),""),"Sim","Nao"))))))</f>
        <v/>
      </c>
      <c r="T2081" s="156"/>
      <c r="U2081" s="214" t="str">
        <f t="shared" si="166"/>
        <v/>
      </c>
      <c r="V2081" s="212" t="s">
        <v>50</v>
      </c>
      <c r="W2081" s="100" t="s">
        <v>168</v>
      </c>
      <c r="X2081" s="100" t="s">
        <v>169</v>
      </c>
      <c r="Y2081" s="101" t="s">
        <v>170</v>
      </c>
      <c r="Z2081" s="101" t="s">
        <v>171</v>
      </c>
      <c r="AA2081" s="101" t="s">
        <v>50</v>
      </c>
      <c r="AB2081" s="101" t="s">
        <v>172</v>
      </c>
      <c r="AC2081" s="102" t="s">
        <v>173</v>
      </c>
    </row>
    <row r="2082" spans="1:29" ht="25.5" customHeight="1" x14ac:dyDescent="0.35">
      <c r="A2082" s="392"/>
      <c r="B2082" s="393"/>
      <c r="C2082" s="99" t="str">
        <f>IF(B2082="","",IF(NOT(ISNUMBER(B2082)),"DATA_PC invalida",IF(NOT(ISNUMBER(parametros!$C$2)),"Fora dos ciclos",IF(OR(B2082&lt;parametros!$C$2,(YEAR(B2082)-YEAR(parametros!$C$2))*12+MONTH(B2082)-MONTH(parametros!$C$2)&gt;59),"Fora dos ciclos","C"&amp;INT(((YEAR(B2082)-YEAR(parametros!$C$2))*12+MONTH(B2082)-MONTH(parametros!$C$2))/12)))))</f>
        <v/>
      </c>
      <c r="D2082" s="394"/>
      <c r="E2082" s="78" t="str">
        <f>IF(C2082="","",IFERROR(VLOOKUP(C2082,parametros!$A$11:$E$15,5,0),""))</f>
        <v/>
      </c>
      <c r="F2082" s="79" t="str">
        <f t="shared" si="162"/>
        <v/>
      </c>
      <c r="G2082" s="395"/>
      <c r="H2082" s="91">
        <f t="shared" si="163"/>
        <v>0</v>
      </c>
      <c r="I2082" s="91" t="str">
        <f t="shared" si="164"/>
        <v/>
      </c>
      <c r="J2082" s="91" t="str">
        <f t="shared" si="165"/>
        <v/>
      </c>
      <c r="K2082" s="92" t="str">
        <f>IF(AND(A2082="",B2082="",D2082="",G2082=""),"",IF(AND(A2082&lt;&gt;"",COUNTIF($A$2:$A$5001,A2082)&gt;1),"NUMERO_PC duplicado",IF(B2082="","DATA_PC vazia",IF(NOT(ISNUMBER(B2082)),"DATA_PC invalida",IF(OR(C2082="",C2082="Fora dos ciclos"),"CICLO_PC nao identificado",IF(OR(D2082="",D2082=0),"VALOR_PC vazio ou zero",IF(AND(G2082&lt;&gt;"Sim",G2082&lt;&gt;"Nao",G2082&lt;&gt;""),"PC_PAGO_A_CONTRATADA invalido",IF(AND(C2082&lt;&gt;"C0",IFERROR(INDEX(parametros!$A$2:$A$6,MATCH(C2082,parametros!$B$2:$B$6,0)),"")="Sim",IFERROR(INDEX(parametros!$H$2:$H$6,MATCH(C2082,parametros!$B$2:$B$6,0)),"")=""),"INICIO_EFEITO ausente: PC "&amp;A2082&amp;" - "&amp;C2082,IF(L2082="","EFEITO_PC nao calculado: PC "&amp;A2082&amp;" - "&amp;C2082,"OK")))))))))</f>
        <v/>
      </c>
      <c r="L2082" s="92" t="str">
        <f>IF(AND(A2082="",B2082="",D2082="",G2082=""),"",IF(OR(B2082="",NOT(ISNUMBER(B2082)),C2082="",C2082="Fora dos ciclos"),"",IF(C2082="C0","Nao",IF(IFERROR(INDEX(parametros!$A$2:$A$6,MATCH(C2082,parametros!$B$2:$B$6,0)),"")&lt;&gt;"Sim","Nao",IF(IFERROR(INDEX(parametros!$H$2:$H$6,MATCH(C2082,parametros!$B$2:$B$6,0)),"")="","",IF(B2082&gt;=IFERROR(INDEX(parametros!$H$2:$H$6,MATCH(C2082,parametros!$B$2:$B$6,0)),""),"Sim","Nao"))))))</f>
        <v/>
      </c>
      <c r="T2082" s="156"/>
      <c r="U2082" s="214" t="str">
        <f t="shared" si="166"/>
        <v/>
      </c>
      <c r="V2082" s="212" t="s">
        <v>50</v>
      </c>
      <c r="W2082" s="100" t="s">
        <v>168</v>
      </c>
      <c r="X2082" s="100" t="s">
        <v>169</v>
      </c>
      <c r="Y2082" s="101" t="s">
        <v>170</v>
      </c>
      <c r="Z2082" s="101" t="s">
        <v>171</v>
      </c>
      <c r="AA2082" s="101" t="s">
        <v>50</v>
      </c>
      <c r="AB2082" s="101" t="s">
        <v>172</v>
      </c>
      <c r="AC2082" s="102" t="s">
        <v>173</v>
      </c>
    </row>
    <row r="2083" spans="1:29" ht="25.5" customHeight="1" x14ac:dyDescent="0.35">
      <c r="A2083" s="392"/>
      <c r="B2083" s="393"/>
      <c r="C2083" s="99" t="str">
        <f>IF(B2083="","",IF(NOT(ISNUMBER(B2083)),"DATA_PC invalida",IF(NOT(ISNUMBER(parametros!$C$2)),"Fora dos ciclos",IF(OR(B2083&lt;parametros!$C$2,(YEAR(B2083)-YEAR(parametros!$C$2))*12+MONTH(B2083)-MONTH(parametros!$C$2)&gt;59),"Fora dos ciclos","C"&amp;INT(((YEAR(B2083)-YEAR(parametros!$C$2))*12+MONTH(B2083)-MONTH(parametros!$C$2))/12)))))</f>
        <v/>
      </c>
      <c r="D2083" s="394"/>
      <c r="E2083" s="78" t="str">
        <f>IF(C2083="","",IFERROR(VLOOKUP(C2083,parametros!$A$11:$E$15,5,0),""))</f>
        <v/>
      </c>
      <c r="F2083" s="79" t="str">
        <f t="shared" si="162"/>
        <v/>
      </c>
      <c r="G2083" s="395"/>
      <c r="H2083" s="91">
        <f t="shared" si="163"/>
        <v>0</v>
      </c>
      <c r="I2083" s="91" t="str">
        <f t="shared" si="164"/>
        <v/>
      </c>
      <c r="J2083" s="91" t="str">
        <f t="shared" si="165"/>
        <v/>
      </c>
      <c r="K2083" s="92" t="str">
        <f>IF(AND(A2083="",B2083="",D2083="",G2083=""),"",IF(AND(A2083&lt;&gt;"",COUNTIF($A$2:$A$5001,A2083)&gt;1),"NUMERO_PC duplicado",IF(B2083="","DATA_PC vazia",IF(NOT(ISNUMBER(B2083)),"DATA_PC invalida",IF(OR(C2083="",C2083="Fora dos ciclos"),"CICLO_PC nao identificado",IF(OR(D2083="",D2083=0),"VALOR_PC vazio ou zero",IF(AND(G2083&lt;&gt;"Sim",G2083&lt;&gt;"Nao",G2083&lt;&gt;""),"PC_PAGO_A_CONTRATADA invalido",IF(AND(C2083&lt;&gt;"C0",IFERROR(INDEX(parametros!$A$2:$A$6,MATCH(C2083,parametros!$B$2:$B$6,0)),"")="Sim",IFERROR(INDEX(parametros!$H$2:$H$6,MATCH(C2083,parametros!$B$2:$B$6,0)),"")=""),"INICIO_EFEITO ausente: PC "&amp;A2083&amp;" - "&amp;C2083,IF(L2083="","EFEITO_PC nao calculado: PC "&amp;A2083&amp;" - "&amp;C2083,"OK")))))))))</f>
        <v/>
      </c>
      <c r="L2083" s="92" t="str">
        <f>IF(AND(A2083="",B2083="",D2083="",G2083=""),"",IF(OR(B2083="",NOT(ISNUMBER(B2083)),C2083="",C2083="Fora dos ciclos"),"",IF(C2083="C0","Nao",IF(IFERROR(INDEX(parametros!$A$2:$A$6,MATCH(C2083,parametros!$B$2:$B$6,0)),"")&lt;&gt;"Sim","Nao",IF(IFERROR(INDEX(parametros!$H$2:$H$6,MATCH(C2083,parametros!$B$2:$B$6,0)),"")="","",IF(B2083&gt;=IFERROR(INDEX(parametros!$H$2:$H$6,MATCH(C2083,parametros!$B$2:$B$6,0)),""),"Sim","Nao"))))))</f>
        <v/>
      </c>
      <c r="T2083" s="156"/>
      <c r="U2083" s="214" t="str">
        <f t="shared" si="166"/>
        <v/>
      </c>
      <c r="V2083" s="212" t="s">
        <v>50</v>
      </c>
      <c r="W2083" s="100" t="s">
        <v>168</v>
      </c>
      <c r="X2083" s="100" t="s">
        <v>169</v>
      </c>
      <c r="Y2083" s="101" t="s">
        <v>170</v>
      </c>
      <c r="Z2083" s="101" t="s">
        <v>171</v>
      </c>
      <c r="AA2083" s="101" t="s">
        <v>50</v>
      </c>
      <c r="AB2083" s="101" t="s">
        <v>172</v>
      </c>
      <c r="AC2083" s="102" t="s">
        <v>173</v>
      </c>
    </row>
    <row r="2084" spans="1:29" ht="25.5" customHeight="1" x14ac:dyDescent="0.35">
      <c r="A2084" s="392"/>
      <c r="B2084" s="393"/>
      <c r="C2084" s="99" t="str">
        <f>IF(B2084="","",IF(NOT(ISNUMBER(B2084)),"DATA_PC invalida",IF(NOT(ISNUMBER(parametros!$C$2)),"Fora dos ciclos",IF(OR(B2084&lt;parametros!$C$2,(YEAR(B2084)-YEAR(parametros!$C$2))*12+MONTH(B2084)-MONTH(parametros!$C$2)&gt;59),"Fora dos ciclos","C"&amp;INT(((YEAR(B2084)-YEAR(parametros!$C$2))*12+MONTH(B2084)-MONTH(parametros!$C$2))/12)))))</f>
        <v/>
      </c>
      <c r="D2084" s="394"/>
      <c r="E2084" s="78" t="str">
        <f>IF(C2084="","",IFERROR(VLOOKUP(C2084,parametros!$A$11:$E$15,5,0),""))</f>
        <v/>
      </c>
      <c r="F2084" s="79" t="str">
        <f t="shared" si="162"/>
        <v/>
      </c>
      <c r="G2084" s="395"/>
      <c r="H2084" s="91">
        <f t="shared" si="163"/>
        <v>0</v>
      </c>
      <c r="I2084" s="91" t="str">
        <f t="shared" si="164"/>
        <v/>
      </c>
      <c r="J2084" s="91" t="str">
        <f t="shared" si="165"/>
        <v/>
      </c>
      <c r="K2084" s="92" t="str">
        <f>IF(AND(A2084="",B2084="",D2084="",G2084=""),"",IF(AND(A2084&lt;&gt;"",COUNTIF($A$2:$A$5001,A2084)&gt;1),"NUMERO_PC duplicado",IF(B2084="","DATA_PC vazia",IF(NOT(ISNUMBER(B2084)),"DATA_PC invalida",IF(OR(C2084="",C2084="Fora dos ciclos"),"CICLO_PC nao identificado",IF(OR(D2084="",D2084=0),"VALOR_PC vazio ou zero",IF(AND(G2084&lt;&gt;"Sim",G2084&lt;&gt;"Nao",G2084&lt;&gt;""),"PC_PAGO_A_CONTRATADA invalido",IF(AND(C2084&lt;&gt;"C0",IFERROR(INDEX(parametros!$A$2:$A$6,MATCH(C2084,parametros!$B$2:$B$6,0)),"")="Sim",IFERROR(INDEX(parametros!$H$2:$H$6,MATCH(C2084,parametros!$B$2:$B$6,0)),"")=""),"INICIO_EFEITO ausente: PC "&amp;A2084&amp;" - "&amp;C2084,IF(L2084="","EFEITO_PC nao calculado: PC "&amp;A2084&amp;" - "&amp;C2084,"OK")))))))))</f>
        <v/>
      </c>
      <c r="L2084" s="92" t="str">
        <f>IF(AND(A2084="",B2084="",D2084="",G2084=""),"",IF(OR(B2084="",NOT(ISNUMBER(B2084)),C2084="",C2084="Fora dos ciclos"),"",IF(C2084="C0","Nao",IF(IFERROR(INDEX(parametros!$A$2:$A$6,MATCH(C2084,parametros!$B$2:$B$6,0)),"")&lt;&gt;"Sim","Nao",IF(IFERROR(INDEX(parametros!$H$2:$H$6,MATCH(C2084,parametros!$B$2:$B$6,0)),"")="","",IF(B2084&gt;=IFERROR(INDEX(parametros!$H$2:$H$6,MATCH(C2084,parametros!$B$2:$B$6,0)),""),"Sim","Nao"))))))</f>
        <v/>
      </c>
      <c r="T2084" s="156"/>
      <c r="U2084" s="214" t="str">
        <f t="shared" si="166"/>
        <v/>
      </c>
      <c r="V2084" s="212" t="s">
        <v>50</v>
      </c>
      <c r="W2084" s="100" t="s">
        <v>168</v>
      </c>
      <c r="X2084" s="100" t="s">
        <v>169</v>
      </c>
      <c r="Y2084" s="101" t="s">
        <v>170</v>
      </c>
      <c r="Z2084" s="101" t="s">
        <v>171</v>
      </c>
      <c r="AA2084" s="101" t="s">
        <v>50</v>
      </c>
      <c r="AB2084" s="101" t="s">
        <v>172</v>
      </c>
      <c r="AC2084" s="102" t="s">
        <v>173</v>
      </c>
    </row>
    <row r="2085" spans="1:29" ht="25.5" customHeight="1" x14ac:dyDescent="0.35">
      <c r="A2085" s="392"/>
      <c r="B2085" s="393"/>
      <c r="C2085" s="99" t="str">
        <f>IF(B2085="","",IF(NOT(ISNUMBER(B2085)),"DATA_PC invalida",IF(NOT(ISNUMBER(parametros!$C$2)),"Fora dos ciclos",IF(OR(B2085&lt;parametros!$C$2,(YEAR(B2085)-YEAR(parametros!$C$2))*12+MONTH(B2085)-MONTH(parametros!$C$2)&gt;59),"Fora dos ciclos","C"&amp;INT(((YEAR(B2085)-YEAR(parametros!$C$2))*12+MONTH(B2085)-MONTH(parametros!$C$2))/12)))))</f>
        <v/>
      </c>
      <c r="D2085" s="394"/>
      <c r="E2085" s="78" t="str">
        <f>IF(C2085="","",IFERROR(VLOOKUP(C2085,parametros!$A$11:$E$15,5,0),""))</f>
        <v/>
      </c>
      <c r="F2085" s="79" t="str">
        <f t="shared" si="162"/>
        <v/>
      </c>
      <c r="G2085" s="395"/>
      <c r="H2085" s="91">
        <f t="shared" si="163"/>
        <v>0</v>
      </c>
      <c r="I2085" s="91" t="str">
        <f t="shared" si="164"/>
        <v/>
      </c>
      <c r="J2085" s="91" t="str">
        <f t="shared" si="165"/>
        <v/>
      </c>
      <c r="K2085" s="92" t="str">
        <f>IF(AND(A2085="",B2085="",D2085="",G2085=""),"",IF(AND(A2085&lt;&gt;"",COUNTIF($A$2:$A$5001,A2085)&gt;1),"NUMERO_PC duplicado",IF(B2085="","DATA_PC vazia",IF(NOT(ISNUMBER(B2085)),"DATA_PC invalida",IF(OR(C2085="",C2085="Fora dos ciclos"),"CICLO_PC nao identificado",IF(OR(D2085="",D2085=0),"VALOR_PC vazio ou zero",IF(AND(G2085&lt;&gt;"Sim",G2085&lt;&gt;"Nao",G2085&lt;&gt;""),"PC_PAGO_A_CONTRATADA invalido",IF(AND(C2085&lt;&gt;"C0",IFERROR(INDEX(parametros!$A$2:$A$6,MATCH(C2085,parametros!$B$2:$B$6,0)),"")="Sim",IFERROR(INDEX(parametros!$H$2:$H$6,MATCH(C2085,parametros!$B$2:$B$6,0)),"")=""),"INICIO_EFEITO ausente: PC "&amp;A2085&amp;" - "&amp;C2085,IF(L2085="","EFEITO_PC nao calculado: PC "&amp;A2085&amp;" - "&amp;C2085,"OK")))))))))</f>
        <v/>
      </c>
      <c r="L2085" s="92" t="str">
        <f>IF(AND(A2085="",B2085="",D2085="",G2085=""),"",IF(OR(B2085="",NOT(ISNUMBER(B2085)),C2085="",C2085="Fora dos ciclos"),"",IF(C2085="C0","Nao",IF(IFERROR(INDEX(parametros!$A$2:$A$6,MATCH(C2085,parametros!$B$2:$B$6,0)),"")&lt;&gt;"Sim","Nao",IF(IFERROR(INDEX(parametros!$H$2:$H$6,MATCH(C2085,parametros!$B$2:$B$6,0)),"")="","",IF(B2085&gt;=IFERROR(INDEX(parametros!$H$2:$H$6,MATCH(C2085,parametros!$B$2:$B$6,0)),""),"Sim","Nao"))))))</f>
        <v/>
      </c>
      <c r="T2085" s="156"/>
      <c r="U2085" s="214" t="str">
        <f t="shared" si="166"/>
        <v/>
      </c>
      <c r="V2085" s="212" t="s">
        <v>50</v>
      </c>
      <c r="W2085" s="100" t="s">
        <v>168</v>
      </c>
      <c r="X2085" s="100" t="s">
        <v>169</v>
      </c>
      <c r="Y2085" s="101" t="s">
        <v>170</v>
      </c>
      <c r="Z2085" s="101" t="s">
        <v>171</v>
      </c>
      <c r="AA2085" s="101" t="s">
        <v>50</v>
      </c>
      <c r="AB2085" s="101" t="s">
        <v>172</v>
      </c>
      <c r="AC2085" s="102" t="s">
        <v>173</v>
      </c>
    </row>
    <row r="2086" spans="1:29" ht="25.5" customHeight="1" x14ac:dyDescent="0.35">
      <c r="A2086" s="392"/>
      <c r="B2086" s="393"/>
      <c r="C2086" s="99" t="str">
        <f>IF(B2086="","",IF(NOT(ISNUMBER(B2086)),"DATA_PC invalida",IF(NOT(ISNUMBER(parametros!$C$2)),"Fora dos ciclos",IF(OR(B2086&lt;parametros!$C$2,(YEAR(B2086)-YEAR(parametros!$C$2))*12+MONTH(B2086)-MONTH(parametros!$C$2)&gt;59),"Fora dos ciclos","C"&amp;INT(((YEAR(B2086)-YEAR(parametros!$C$2))*12+MONTH(B2086)-MONTH(parametros!$C$2))/12)))))</f>
        <v/>
      </c>
      <c r="D2086" s="394"/>
      <c r="E2086" s="78" t="str">
        <f>IF(C2086="","",IFERROR(VLOOKUP(C2086,parametros!$A$11:$E$15,5,0),""))</f>
        <v/>
      </c>
      <c r="F2086" s="79" t="str">
        <f t="shared" si="162"/>
        <v/>
      </c>
      <c r="G2086" s="395"/>
      <c r="H2086" s="91">
        <f t="shared" si="163"/>
        <v>0</v>
      </c>
      <c r="I2086" s="91" t="str">
        <f t="shared" si="164"/>
        <v/>
      </c>
      <c r="J2086" s="91" t="str">
        <f t="shared" si="165"/>
        <v/>
      </c>
      <c r="K2086" s="92" t="str">
        <f>IF(AND(A2086="",B2086="",D2086="",G2086=""),"",IF(AND(A2086&lt;&gt;"",COUNTIF($A$2:$A$5001,A2086)&gt;1),"NUMERO_PC duplicado",IF(B2086="","DATA_PC vazia",IF(NOT(ISNUMBER(B2086)),"DATA_PC invalida",IF(OR(C2086="",C2086="Fora dos ciclos"),"CICLO_PC nao identificado",IF(OR(D2086="",D2086=0),"VALOR_PC vazio ou zero",IF(AND(G2086&lt;&gt;"Sim",G2086&lt;&gt;"Nao",G2086&lt;&gt;""),"PC_PAGO_A_CONTRATADA invalido",IF(AND(C2086&lt;&gt;"C0",IFERROR(INDEX(parametros!$A$2:$A$6,MATCH(C2086,parametros!$B$2:$B$6,0)),"")="Sim",IFERROR(INDEX(parametros!$H$2:$H$6,MATCH(C2086,parametros!$B$2:$B$6,0)),"")=""),"INICIO_EFEITO ausente: PC "&amp;A2086&amp;" - "&amp;C2086,IF(L2086="","EFEITO_PC nao calculado: PC "&amp;A2086&amp;" - "&amp;C2086,"OK")))))))))</f>
        <v/>
      </c>
      <c r="L2086" s="92" t="str">
        <f>IF(AND(A2086="",B2086="",D2086="",G2086=""),"",IF(OR(B2086="",NOT(ISNUMBER(B2086)),C2086="",C2086="Fora dos ciclos"),"",IF(C2086="C0","Nao",IF(IFERROR(INDEX(parametros!$A$2:$A$6,MATCH(C2086,parametros!$B$2:$B$6,0)),"")&lt;&gt;"Sim","Nao",IF(IFERROR(INDEX(parametros!$H$2:$H$6,MATCH(C2086,parametros!$B$2:$B$6,0)),"")="","",IF(B2086&gt;=IFERROR(INDEX(parametros!$H$2:$H$6,MATCH(C2086,parametros!$B$2:$B$6,0)),""),"Sim","Nao"))))))</f>
        <v/>
      </c>
      <c r="T2086" s="156"/>
      <c r="U2086" s="214" t="str">
        <f t="shared" si="166"/>
        <v/>
      </c>
      <c r="V2086" s="212" t="s">
        <v>50</v>
      </c>
      <c r="W2086" s="100" t="s">
        <v>168</v>
      </c>
      <c r="X2086" s="100" t="s">
        <v>169</v>
      </c>
      <c r="Y2086" s="101" t="s">
        <v>170</v>
      </c>
      <c r="Z2086" s="101" t="s">
        <v>171</v>
      </c>
      <c r="AA2086" s="101" t="s">
        <v>50</v>
      </c>
      <c r="AB2086" s="101" t="s">
        <v>172</v>
      </c>
      <c r="AC2086" s="102" t="s">
        <v>173</v>
      </c>
    </row>
    <row r="2087" spans="1:29" ht="25.5" customHeight="1" x14ac:dyDescent="0.35">
      <c r="A2087" s="392"/>
      <c r="B2087" s="393"/>
      <c r="C2087" s="99" t="str">
        <f>IF(B2087="","",IF(NOT(ISNUMBER(B2087)),"DATA_PC invalida",IF(NOT(ISNUMBER(parametros!$C$2)),"Fora dos ciclos",IF(OR(B2087&lt;parametros!$C$2,(YEAR(B2087)-YEAR(parametros!$C$2))*12+MONTH(B2087)-MONTH(parametros!$C$2)&gt;59),"Fora dos ciclos","C"&amp;INT(((YEAR(B2087)-YEAR(parametros!$C$2))*12+MONTH(B2087)-MONTH(parametros!$C$2))/12)))))</f>
        <v/>
      </c>
      <c r="D2087" s="394"/>
      <c r="E2087" s="78" t="str">
        <f>IF(C2087="","",IFERROR(VLOOKUP(C2087,parametros!$A$11:$E$15,5,0),""))</f>
        <v/>
      </c>
      <c r="F2087" s="79" t="str">
        <f t="shared" si="162"/>
        <v/>
      </c>
      <c r="G2087" s="395"/>
      <c r="H2087" s="91">
        <f t="shared" si="163"/>
        <v>0</v>
      </c>
      <c r="I2087" s="91" t="str">
        <f t="shared" si="164"/>
        <v/>
      </c>
      <c r="J2087" s="91" t="str">
        <f t="shared" si="165"/>
        <v/>
      </c>
      <c r="K2087" s="92" t="str">
        <f>IF(AND(A2087="",B2087="",D2087="",G2087=""),"",IF(AND(A2087&lt;&gt;"",COUNTIF($A$2:$A$5001,A2087)&gt;1),"NUMERO_PC duplicado",IF(B2087="","DATA_PC vazia",IF(NOT(ISNUMBER(B2087)),"DATA_PC invalida",IF(OR(C2087="",C2087="Fora dos ciclos"),"CICLO_PC nao identificado",IF(OR(D2087="",D2087=0),"VALOR_PC vazio ou zero",IF(AND(G2087&lt;&gt;"Sim",G2087&lt;&gt;"Nao",G2087&lt;&gt;""),"PC_PAGO_A_CONTRATADA invalido",IF(AND(C2087&lt;&gt;"C0",IFERROR(INDEX(parametros!$A$2:$A$6,MATCH(C2087,parametros!$B$2:$B$6,0)),"")="Sim",IFERROR(INDEX(parametros!$H$2:$H$6,MATCH(C2087,parametros!$B$2:$B$6,0)),"")=""),"INICIO_EFEITO ausente: PC "&amp;A2087&amp;" - "&amp;C2087,IF(L2087="","EFEITO_PC nao calculado: PC "&amp;A2087&amp;" - "&amp;C2087,"OK")))))))))</f>
        <v/>
      </c>
      <c r="L2087" s="92" t="str">
        <f>IF(AND(A2087="",B2087="",D2087="",G2087=""),"",IF(OR(B2087="",NOT(ISNUMBER(B2087)),C2087="",C2087="Fora dos ciclos"),"",IF(C2087="C0","Nao",IF(IFERROR(INDEX(parametros!$A$2:$A$6,MATCH(C2087,parametros!$B$2:$B$6,0)),"")&lt;&gt;"Sim","Nao",IF(IFERROR(INDEX(parametros!$H$2:$H$6,MATCH(C2087,parametros!$B$2:$B$6,0)),"")="","",IF(B2087&gt;=IFERROR(INDEX(parametros!$H$2:$H$6,MATCH(C2087,parametros!$B$2:$B$6,0)),""),"Sim","Nao"))))))</f>
        <v/>
      </c>
      <c r="T2087" s="156"/>
      <c r="U2087" s="214" t="str">
        <f t="shared" si="166"/>
        <v/>
      </c>
      <c r="V2087" s="212" t="s">
        <v>50</v>
      </c>
      <c r="W2087" s="100" t="s">
        <v>168</v>
      </c>
      <c r="X2087" s="100" t="s">
        <v>169</v>
      </c>
      <c r="Y2087" s="101" t="s">
        <v>170</v>
      </c>
      <c r="Z2087" s="101" t="s">
        <v>171</v>
      </c>
      <c r="AA2087" s="101" t="s">
        <v>50</v>
      </c>
      <c r="AB2087" s="101" t="s">
        <v>172</v>
      </c>
      <c r="AC2087" s="102" t="s">
        <v>173</v>
      </c>
    </row>
    <row r="2088" spans="1:29" ht="25.5" customHeight="1" x14ac:dyDescent="0.35">
      <c r="A2088" s="392"/>
      <c r="B2088" s="393"/>
      <c r="C2088" s="99" t="str">
        <f>IF(B2088="","",IF(NOT(ISNUMBER(B2088)),"DATA_PC invalida",IF(NOT(ISNUMBER(parametros!$C$2)),"Fora dos ciclos",IF(OR(B2088&lt;parametros!$C$2,(YEAR(B2088)-YEAR(parametros!$C$2))*12+MONTH(B2088)-MONTH(parametros!$C$2)&gt;59),"Fora dos ciclos","C"&amp;INT(((YEAR(B2088)-YEAR(parametros!$C$2))*12+MONTH(B2088)-MONTH(parametros!$C$2))/12)))))</f>
        <v/>
      </c>
      <c r="D2088" s="394"/>
      <c r="E2088" s="78" t="str">
        <f>IF(C2088="","",IFERROR(VLOOKUP(C2088,parametros!$A$11:$E$15,5,0),""))</f>
        <v/>
      </c>
      <c r="F2088" s="79" t="str">
        <f t="shared" si="162"/>
        <v/>
      </c>
      <c r="G2088" s="395"/>
      <c r="H2088" s="91">
        <f t="shared" si="163"/>
        <v>0</v>
      </c>
      <c r="I2088" s="91" t="str">
        <f t="shared" si="164"/>
        <v/>
      </c>
      <c r="J2088" s="91" t="str">
        <f t="shared" si="165"/>
        <v/>
      </c>
      <c r="K2088" s="92" t="str">
        <f>IF(AND(A2088="",B2088="",D2088="",G2088=""),"",IF(AND(A2088&lt;&gt;"",COUNTIF($A$2:$A$5001,A2088)&gt;1),"NUMERO_PC duplicado",IF(B2088="","DATA_PC vazia",IF(NOT(ISNUMBER(B2088)),"DATA_PC invalida",IF(OR(C2088="",C2088="Fora dos ciclos"),"CICLO_PC nao identificado",IF(OR(D2088="",D2088=0),"VALOR_PC vazio ou zero",IF(AND(G2088&lt;&gt;"Sim",G2088&lt;&gt;"Nao",G2088&lt;&gt;""),"PC_PAGO_A_CONTRATADA invalido",IF(AND(C2088&lt;&gt;"C0",IFERROR(INDEX(parametros!$A$2:$A$6,MATCH(C2088,parametros!$B$2:$B$6,0)),"")="Sim",IFERROR(INDEX(parametros!$H$2:$H$6,MATCH(C2088,parametros!$B$2:$B$6,0)),"")=""),"INICIO_EFEITO ausente: PC "&amp;A2088&amp;" - "&amp;C2088,IF(L2088="","EFEITO_PC nao calculado: PC "&amp;A2088&amp;" - "&amp;C2088,"OK")))))))))</f>
        <v/>
      </c>
      <c r="L2088" s="92" t="str">
        <f>IF(AND(A2088="",B2088="",D2088="",G2088=""),"",IF(OR(B2088="",NOT(ISNUMBER(B2088)),C2088="",C2088="Fora dos ciclos"),"",IF(C2088="C0","Nao",IF(IFERROR(INDEX(parametros!$A$2:$A$6,MATCH(C2088,parametros!$B$2:$B$6,0)),"")&lt;&gt;"Sim","Nao",IF(IFERROR(INDEX(parametros!$H$2:$H$6,MATCH(C2088,parametros!$B$2:$B$6,0)),"")="","",IF(B2088&gt;=IFERROR(INDEX(parametros!$H$2:$H$6,MATCH(C2088,parametros!$B$2:$B$6,0)),""),"Sim","Nao"))))))</f>
        <v/>
      </c>
      <c r="T2088" s="156"/>
      <c r="U2088" s="214" t="str">
        <f t="shared" si="166"/>
        <v/>
      </c>
      <c r="V2088" s="212" t="s">
        <v>50</v>
      </c>
      <c r="W2088" s="100" t="s">
        <v>168</v>
      </c>
      <c r="X2088" s="100" t="s">
        <v>169</v>
      </c>
      <c r="Y2088" s="101" t="s">
        <v>170</v>
      </c>
      <c r="Z2088" s="101" t="s">
        <v>171</v>
      </c>
      <c r="AA2088" s="101" t="s">
        <v>50</v>
      </c>
      <c r="AB2088" s="101" t="s">
        <v>172</v>
      </c>
      <c r="AC2088" s="102" t="s">
        <v>173</v>
      </c>
    </row>
    <row r="2089" spans="1:29" ht="25.5" customHeight="1" x14ac:dyDescent="0.35">
      <c r="A2089" s="392"/>
      <c r="B2089" s="393"/>
      <c r="C2089" s="99" t="str">
        <f>IF(B2089="","",IF(NOT(ISNUMBER(B2089)),"DATA_PC invalida",IF(NOT(ISNUMBER(parametros!$C$2)),"Fora dos ciclos",IF(OR(B2089&lt;parametros!$C$2,(YEAR(B2089)-YEAR(parametros!$C$2))*12+MONTH(B2089)-MONTH(parametros!$C$2)&gt;59),"Fora dos ciclos","C"&amp;INT(((YEAR(B2089)-YEAR(parametros!$C$2))*12+MONTH(B2089)-MONTH(parametros!$C$2))/12)))))</f>
        <v/>
      </c>
      <c r="D2089" s="394"/>
      <c r="E2089" s="78" t="str">
        <f>IF(C2089="","",IFERROR(VLOOKUP(C2089,parametros!$A$11:$E$15,5,0),""))</f>
        <v/>
      </c>
      <c r="F2089" s="79" t="str">
        <f t="shared" si="162"/>
        <v/>
      </c>
      <c r="G2089" s="395"/>
      <c r="H2089" s="91">
        <f t="shared" si="163"/>
        <v>0</v>
      </c>
      <c r="I2089" s="91" t="str">
        <f t="shared" si="164"/>
        <v/>
      </c>
      <c r="J2089" s="91" t="str">
        <f t="shared" si="165"/>
        <v/>
      </c>
      <c r="K2089" s="92" t="str">
        <f>IF(AND(A2089="",B2089="",D2089="",G2089=""),"",IF(AND(A2089&lt;&gt;"",COUNTIF($A$2:$A$5001,A2089)&gt;1),"NUMERO_PC duplicado",IF(B2089="","DATA_PC vazia",IF(NOT(ISNUMBER(B2089)),"DATA_PC invalida",IF(OR(C2089="",C2089="Fora dos ciclos"),"CICLO_PC nao identificado",IF(OR(D2089="",D2089=0),"VALOR_PC vazio ou zero",IF(AND(G2089&lt;&gt;"Sim",G2089&lt;&gt;"Nao",G2089&lt;&gt;""),"PC_PAGO_A_CONTRATADA invalido",IF(AND(C2089&lt;&gt;"C0",IFERROR(INDEX(parametros!$A$2:$A$6,MATCH(C2089,parametros!$B$2:$B$6,0)),"")="Sim",IFERROR(INDEX(parametros!$H$2:$H$6,MATCH(C2089,parametros!$B$2:$B$6,0)),"")=""),"INICIO_EFEITO ausente: PC "&amp;A2089&amp;" - "&amp;C2089,IF(L2089="","EFEITO_PC nao calculado: PC "&amp;A2089&amp;" - "&amp;C2089,"OK")))))))))</f>
        <v/>
      </c>
      <c r="L2089" s="92" t="str">
        <f>IF(AND(A2089="",B2089="",D2089="",G2089=""),"",IF(OR(B2089="",NOT(ISNUMBER(B2089)),C2089="",C2089="Fora dos ciclos"),"",IF(C2089="C0","Nao",IF(IFERROR(INDEX(parametros!$A$2:$A$6,MATCH(C2089,parametros!$B$2:$B$6,0)),"")&lt;&gt;"Sim","Nao",IF(IFERROR(INDEX(parametros!$H$2:$H$6,MATCH(C2089,parametros!$B$2:$B$6,0)),"")="","",IF(B2089&gt;=IFERROR(INDEX(parametros!$H$2:$H$6,MATCH(C2089,parametros!$B$2:$B$6,0)),""),"Sim","Nao"))))))</f>
        <v/>
      </c>
      <c r="T2089" s="156"/>
      <c r="U2089" s="214" t="str">
        <f t="shared" si="166"/>
        <v/>
      </c>
      <c r="V2089" s="212" t="s">
        <v>50</v>
      </c>
      <c r="W2089" s="100" t="s">
        <v>168</v>
      </c>
      <c r="X2089" s="100" t="s">
        <v>169</v>
      </c>
      <c r="Y2089" s="101" t="s">
        <v>170</v>
      </c>
      <c r="Z2089" s="101" t="s">
        <v>171</v>
      </c>
      <c r="AA2089" s="101" t="s">
        <v>50</v>
      </c>
      <c r="AB2089" s="101" t="s">
        <v>172</v>
      </c>
      <c r="AC2089" s="102" t="s">
        <v>173</v>
      </c>
    </row>
    <row r="2090" spans="1:29" ht="25.5" customHeight="1" x14ac:dyDescent="0.35">
      <c r="A2090" s="392"/>
      <c r="B2090" s="393"/>
      <c r="C2090" s="99" t="str">
        <f>IF(B2090="","",IF(NOT(ISNUMBER(B2090)),"DATA_PC invalida",IF(NOT(ISNUMBER(parametros!$C$2)),"Fora dos ciclos",IF(OR(B2090&lt;parametros!$C$2,(YEAR(B2090)-YEAR(parametros!$C$2))*12+MONTH(B2090)-MONTH(parametros!$C$2)&gt;59),"Fora dos ciclos","C"&amp;INT(((YEAR(B2090)-YEAR(parametros!$C$2))*12+MONTH(B2090)-MONTH(parametros!$C$2))/12)))))</f>
        <v/>
      </c>
      <c r="D2090" s="394"/>
      <c r="E2090" s="78" t="str">
        <f>IF(C2090="","",IFERROR(VLOOKUP(C2090,parametros!$A$11:$E$15,5,0),""))</f>
        <v/>
      </c>
      <c r="F2090" s="79" t="str">
        <f t="shared" si="162"/>
        <v/>
      </c>
      <c r="G2090" s="395"/>
      <c r="H2090" s="91">
        <f t="shared" si="163"/>
        <v>0</v>
      </c>
      <c r="I2090" s="91" t="str">
        <f t="shared" si="164"/>
        <v/>
      </c>
      <c r="J2090" s="91" t="str">
        <f t="shared" si="165"/>
        <v/>
      </c>
      <c r="K2090" s="92" t="str">
        <f>IF(AND(A2090="",B2090="",D2090="",G2090=""),"",IF(AND(A2090&lt;&gt;"",COUNTIF($A$2:$A$5001,A2090)&gt;1),"NUMERO_PC duplicado",IF(B2090="","DATA_PC vazia",IF(NOT(ISNUMBER(B2090)),"DATA_PC invalida",IF(OR(C2090="",C2090="Fora dos ciclos"),"CICLO_PC nao identificado",IF(OR(D2090="",D2090=0),"VALOR_PC vazio ou zero",IF(AND(G2090&lt;&gt;"Sim",G2090&lt;&gt;"Nao",G2090&lt;&gt;""),"PC_PAGO_A_CONTRATADA invalido",IF(AND(C2090&lt;&gt;"C0",IFERROR(INDEX(parametros!$A$2:$A$6,MATCH(C2090,parametros!$B$2:$B$6,0)),"")="Sim",IFERROR(INDEX(parametros!$H$2:$H$6,MATCH(C2090,parametros!$B$2:$B$6,0)),"")=""),"INICIO_EFEITO ausente: PC "&amp;A2090&amp;" - "&amp;C2090,IF(L2090="","EFEITO_PC nao calculado: PC "&amp;A2090&amp;" - "&amp;C2090,"OK")))))))))</f>
        <v/>
      </c>
      <c r="L2090" s="92" t="str">
        <f>IF(AND(A2090="",B2090="",D2090="",G2090=""),"",IF(OR(B2090="",NOT(ISNUMBER(B2090)),C2090="",C2090="Fora dos ciclos"),"",IF(C2090="C0","Nao",IF(IFERROR(INDEX(parametros!$A$2:$A$6,MATCH(C2090,parametros!$B$2:$B$6,0)),"")&lt;&gt;"Sim","Nao",IF(IFERROR(INDEX(parametros!$H$2:$H$6,MATCH(C2090,parametros!$B$2:$B$6,0)),"")="","",IF(B2090&gt;=IFERROR(INDEX(parametros!$H$2:$H$6,MATCH(C2090,parametros!$B$2:$B$6,0)),""),"Sim","Nao"))))))</f>
        <v/>
      </c>
      <c r="T2090" s="156"/>
      <c r="U2090" s="214" t="str">
        <f t="shared" si="166"/>
        <v/>
      </c>
      <c r="V2090" s="212" t="s">
        <v>50</v>
      </c>
      <c r="W2090" s="100" t="s">
        <v>168</v>
      </c>
      <c r="X2090" s="100" t="s">
        <v>169</v>
      </c>
      <c r="Y2090" s="101" t="s">
        <v>170</v>
      </c>
      <c r="Z2090" s="101" t="s">
        <v>171</v>
      </c>
      <c r="AA2090" s="101" t="s">
        <v>50</v>
      </c>
      <c r="AB2090" s="101" t="s">
        <v>172</v>
      </c>
      <c r="AC2090" s="102" t="s">
        <v>173</v>
      </c>
    </row>
    <row r="2091" spans="1:29" ht="25.5" customHeight="1" x14ac:dyDescent="0.35">
      <c r="A2091" s="392"/>
      <c r="B2091" s="393"/>
      <c r="C2091" s="99" t="str">
        <f>IF(B2091="","",IF(NOT(ISNUMBER(B2091)),"DATA_PC invalida",IF(NOT(ISNUMBER(parametros!$C$2)),"Fora dos ciclos",IF(OR(B2091&lt;parametros!$C$2,(YEAR(B2091)-YEAR(parametros!$C$2))*12+MONTH(B2091)-MONTH(parametros!$C$2)&gt;59),"Fora dos ciclos","C"&amp;INT(((YEAR(B2091)-YEAR(parametros!$C$2))*12+MONTH(B2091)-MONTH(parametros!$C$2))/12)))))</f>
        <v/>
      </c>
      <c r="D2091" s="394"/>
      <c r="E2091" s="78" t="str">
        <f>IF(C2091="","",IFERROR(VLOOKUP(C2091,parametros!$A$11:$E$15,5,0),""))</f>
        <v/>
      </c>
      <c r="F2091" s="79" t="str">
        <f t="shared" si="162"/>
        <v/>
      </c>
      <c r="G2091" s="395"/>
      <c r="H2091" s="91">
        <f t="shared" si="163"/>
        <v>0</v>
      </c>
      <c r="I2091" s="91" t="str">
        <f t="shared" si="164"/>
        <v/>
      </c>
      <c r="J2091" s="91" t="str">
        <f t="shared" si="165"/>
        <v/>
      </c>
      <c r="K2091" s="92" t="str">
        <f>IF(AND(A2091="",B2091="",D2091="",G2091=""),"",IF(AND(A2091&lt;&gt;"",COUNTIF($A$2:$A$5001,A2091)&gt;1),"NUMERO_PC duplicado",IF(B2091="","DATA_PC vazia",IF(NOT(ISNUMBER(B2091)),"DATA_PC invalida",IF(OR(C2091="",C2091="Fora dos ciclos"),"CICLO_PC nao identificado",IF(OR(D2091="",D2091=0),"VALOR_PC vazio ou zero",IF(AND(G2091&lt;&gt;"Sim",G2091&lt;&gt;"Nao",G2091&lt;&gt;""),"PC_PAGO_A_CONTRATADA invalido",IF(AND(C2091&lt;&gt;"C0",IFERROR(INDEX(parametros!$A$2:$A$6,MATCH(C2091,parametros!$B$2:$B$6,0)),"")="Sim",IFERROR(INDEX(parametros!$H$2:$H$6,MATCH(C2091,parametros!$B$2:$B$6,0)),"")=""),"INICIO_EFEITO ausente: PC "&amp;A2091&amp;" - "&amp;C2091,IF(L2091="","EFEITO_PC nao calculado: PC "&amp;A2091&amp;" - "&amp;C2091,"OK")))))))))</f>
        <v/>
      </c>
      <c r="L2091" s="92" t="str">
        <f>IF(AND(A2091="",B2091="",D2091="",G2091=""),"",IF(OR(B2091="",NOT(ISNUMBER(B2091)),C2091="",C2091="Fora dos ciclos"),"",IF(C2091="C0","Nao",IF(IFERROR(INDEX(parametros!$A$2:$A$6,MATCH(C2091,parametros!$B$2:$B$6,0)),"")&lt;&gt;"Sim","Nao",IF(IFERROR(INDEX(parametros!$H$2:$H$6,MATCH(C2091,parametros!$B$2:$B$6,0)),"")="","",IF(B2091&gt;=IFERROR(INDEX(parametros!$H$2:$H$6,MATCH(C2091,parametros!$B$2:$B$6,0)),""),"Sim","Nao"))))))</f>
        <v/>
      </c>
      <c r="T2091" s="156"/>
      <c r="U2091" s="214" t="str">
        <f t="shared" si="166"/>
        <v/>
      </c>
      <c r="V2091" s="212" t="s">
        <v>50</v>
      </c>
      <c r="W2091" s="100" t="s">
        <v>168</v>
      </c>
      <c r="X2091" s="100" t="s">
        <v>169</v>
      </c>
      <c r="Y2091" s="101" t="s">
        <v>170</v>
      </c>
      <c r="Z2091" s="101" t="s">
        <v>171</v>
      </c>
      <c r="AA2091" s="101" t="s">
        <v>50</v>
      </c>
      <c r="AB2091" s="101" t="s">
        <v>172</v>
      </c>
      <c r="AC2091" s="102" t="s">
        <v>173</v>
      </c>
    </row>
    <row r="2092" spans="1:29" ht="25.5" customHeight="1" x14ac:dyDescent="0.35">
      <c r="A2092" s="392"/>
      <c r="B2092" s="393"/>
      <c r="C2092" s="99" t="str">
        <f>IF(B2092="","",IF(NOT(ISNUMBER(B2092)),"DATA_PC invalida",IF(NOT(ISNUMBER(parametros!$C$2)),"Fora dos ciclos",IF(OR(B2092&lt;parametros!$C$2,(YEAR(B2092)-YEAR(parametros!$C$2))*12+MONTH(B2092)-MONTH(parametros!$C$2)&gt;59),"Fora dos ciclos","C"&amp;INT(((YEAR(B2092)-YEAR(parametros!$C$2))*12+MONTH(B2092)-MONTH(parametros!$C$2))/12)))))</f>
        <v/>
      </c>
      <c r="D2092" s="394"/>
      <c r="E2092" s="78" t="str">
        <f>IF(C2092="","",IFERROR(VLOOKUP(C2092,parametros!$A$11:$E$15,5,0),""))</f>
        <v/>
      </c>
      <c r="F2092" s="79" t="str">
        <f t="shared" si="162"/>
        <v/>
      </c>
      <c r="G2092" s="395"/>
      <c r="H2092" s="91">
        <f t="shared" si="163"/>
        <v>0</v>
      </c>
      <c r="I2092" s="91" t="str">
        <f t="shared" si="164"/>
        <v/>
      </c>
      <c r="J2092" s="91" t="str">
        <f t="shared" si="165"/>
        <v/>
      </c>
      <c r="K2092" s="92" t="str">
        <f>IF(AND(A2092="",B2092="",D2092="",G2092=""),"",IF(AND(A2092&lt;&gt;"",COUNTIF($A$2:$A$5001,A2092)&gt;1),"NUMERO_PC duplicado",IF(B2092="","DATA_PC vazia",IF(NOT(ISNUMBER(B2092)),"DATA_PC invalida",IF(OR(C2092="",C2092="Fora dos ciclos"),"CICLO_PC nao identificado",IF(OR(D2092="",D2092=0),"VALOR_PC vazio ou zero",IF(AND(G2092&lt;&gt;"Sim",G2092&lt;&gt;"Nao",G2092&lt;&gt;""),"PC_PAGO_A_CONTRATADA invalido",IF(AND(C2092&lt;&gt;"C0",IFERROR(INDEX(parametros!$A$2:$A$6,MATCH(C2092,parametros!$B$2:$B$6,0)),"")="Sim",IFERROR(INDEX(parametros!$H$2:$H$6,MATCH(C2092,parametros!$B$2:$B$6,0)),"")=""),"INICIO_EFEITO ausente: PC "&amp;A2092&amp;" - "&amp;C2092,IF(L2092="","EFEITO_PC nao calculado: PC "&amp;A2092&amp;" - "&amp;C2092,"OK")))))))))</f>
        <v/>
      </c>
      <c r="L2092" s="92" t="str">
        <f>IF(AND(A2092="",B2092="",D2092="",G2092=""),"",IF(OR(B2092="",NOT(ISNUMBER(B2092)),C2092="",C2092="Fora dos ciclos"),"",IF(C2092="C0","Nao",IF(IFERROR(INDEX(parametros!$A$2:$A$6,MATCH(C2092,parametros!$B$2:$B$6,0)),"")&lt;&gt;"Sim","Nao",IF(IFERROR(INDEX(parametros!$H$2:$H$6,MATCH(C2092,parametros!$B$2:$B$6,0)),"")="","",IF(B2092&gt;=IFERROR(INDEX(parametros!$H$2:$H$6,MATCH(C2092,parametros!$B$2:$B$6,0)),""),"Sim","Nao"))))))</f>
        <v/>
      </c>
      <c r="T2092" s="156"/>
      <c r="U2092" s="214" t="str">
        <f t="shared" si="166"/>
        <v/>
      </c>
      <c r="V2092" s="212" t="s">
        <v>50</v>
      </c>
      <c r="W2092" s="100" t="s">
        <v>168</v>
      </c>
      <c r="X2092" s="100" t="s">
        <v>169</v>
      </c>
      <c r="Y2092" s="101" t="s">
        <v>170</v>
      </c>
      <c r="Z2092" s="101" t="s">
        <v>171</v>
      </c>
      <c r="AA2092" s="101" t="s">
        <v>50</v>
      </c>
      <c r="AB2092" s="101" t="s">
        <v>172</v>
      </c>
      <c r="AC2092" s="102" t="s">
        <v>173</v>
      </c>
    </row>
    <row r="2093" spans="1:29" ht="25.5" customHeight="1" x14ac:dyDescent="0.35">
      <c r="A2093" s="392"/>
      <c r="B2093" s="393"/>
      <c r="C2093" s="99" t="str">
        <f>IF(B2093="","",IF(NOT(ISNUMBER(B2093)),"DATA_PC invalida",IF(NOT(ISNUMBER(parametros!$C$2)),"Fora dos ciclos",IF(OR(B2093&lt;parametros!$C$2,(YEAR(B2093)-YEAR(parametros!$C$2))*12+MONTH(B2093)-MONTH(parametros!$C$2)&gt;59),"Fora dos ciclos","C"&amp;INT(((YEAR(B2093)-YEAR(parametros!$C$2))*12+MONTH(B2093)-MONTH(parametros!$C$2))/12)))))</f>
        <v/>
      </c>
      <c r="D2093" s="394"/>
      <c r="E2093" s="78" t="str">
        <f>IF(C2093="","",IFERROR(VLOOKUP(C2093,parametros!$A$11:$E$15,5,0),""))</f>
        <v/>
      </c>
      <c r="F2093" s="79" t="str">
        <f t="shared" si="162"/>
        <v/>
      </c>
      <c r="G2093" s="395"/>
      <c r="H2093" s="91">
        <f t="shared" si="163"/>
        <v>0</v>
      </c>
      <c r="I2093" s="91" t="str">
        <f t="shared" si="164"/>
        <v/>
      </c>
      <c r="J2093" s="91" t="str">
        <f t="shared" si="165"/>
        <v/>
      </c>
      <c r="K2093" s="92" t="str">
        <f>IF(AND(A2093="",B2093="",D2093="",G2093=""),"",IF(AND(A2093&lt;&gt;"",COUNTIF($A$2:$A$5001,A2093)&gt;1),"NUMERO_PC duplicado",IF(B2093="","DATA_PC vazia",IF(NOT(ISNUMBER(B2093)),"DATA_PC invalida",IF(OR(C2093="",C2093="Fora dos ciclos"),"CICLO_PC nao identificado",IF(OR(D2093="",D2093=0),"VALOR_PC vazio ou zero",IF(AND(G2093&lt;&gt;"Sim",G2093&lt;&gt;"Nao",G2093&lt;&gt;""),"PC_PAGO_A_CONTRATADA invalido",IF(AND(C2093&lt;&gt;"C0",IFERROR(INDEX(parametros!$A$2:$A$6,MATCH(C2093,parametros!$B$2:$B$6,0)),"")="Sim",IFERROR(INDEX(parametros!$H$2:$H$6,MATCH(C2093,parametros!$B$2:$B$6,0)),"")=""),"INICIO_EFEITO ausente: PC "&amp;A2093&amp;" - "&amp;C2093,IF(L2093="","EFEITO_PC nao calculado: PC "&amp;A2093&amp;" - "&amp;C2093,"OK")))))))))</f>
        <v/>
      </c>
      <c r="L2093" s="92" t="str">
        <f>IF(AND(A2093="",B2093="",D2093="",G2093=""),"",IF(OR(B2093="",NOT(ISNUMBER(B2093)),C2093="",C2093="Fora dos ciclos"),"",IF(C2093="C0","Nao",IF(IFERROR(INDEX(parametros!$A$2:$A$6,MATCH(C2093,parametros!$B$2:$B$6,0)),"")&lt;&gt;"Sim","Nao",IF(IFERROR(INDEX(parametros!$H$2:$H$6,MATCH(C2093,parametros!$B$2:$B$6,0)),"")="","",IF(B2093&gt;=IFERROR(INDEX(parametros!$H$2:$H$6,MATCH(C2093,parametros!$B$2:$B$6,0)),""),"Sim","Nao"))))))</f>
        <v/>
      </c>
      <c r="T2093" s="156"/>
      <c r="U2093" s="214" t="str">
        <f t="shared" si="166"/>
        <v/>
      </c>
      <c r="V2093" s="212" t="s">
        <v>50</v>
      </c>
      <c r="W2093" s="100" t="s">
        <v>168</v>
      </c>
      <c r="X2093" s="100" t="s">
        <v>169</v>
      </c>
      <c r="Y2093" s="101" t="s">
        <v>170</v>
      </c>
      <c r="Z2093" s="101" t="s">
        <v>171</v>
      </c>
      <c r="AA2093" s="101" t="s">
        <v>50</v>
      </c>
      <c r="AB2093" s="101" t="s">
        <v>172</v>
      </c>
      <c r="AC2093" s="102" t="s">
        <v>173</v>
      </c>
    </row>
    <row r="2094" spans="1:29" ht="25.5" customHeight="1" x14ac:dyDescent="0.35">
      <c r="A2094" s="392"/>
      <c r="B2094" s="393"/>
      <c r="C2094" s="99" t="str">
        <f>IF(B2094="","",IF(NOT(ISNUMBER(B2094)),"DATA_PC invalida",IF(NOT(ISNUMBER(parametros!$C$2)),"Fora dos ciclos",IF(OR(B2094&lt;parametros!$C$2,(YEAR(B2094)-YEAR(parametros!$C$2))*12+MONTH(B2094)-MONTH(parametros!$C$2)&gt;59),"Fora dos ciclos","C"&amp;INT(((YEAR(B2094)-YEAR(parametros!$C$2))*12+MONTH(B2094)-MONTH(parametros!$C$2))/12)))))</f>
        <v/>
      </c>
      <c r="D2094" s="394"/>
      <c r="E2094" s="78" t="str">
        <f>IF(C2094="","",IFERROR(VLOOKUP(C2094,parametros!$A$11:$E$15,5,0),""))</f>
        <v/>
      </c>
      <c r="F2094" s="79" t="str">
        <f t="shared" si="162"/>
        <v/>
      </c>
      <c r="G2094" s="395"/>
      <c r="H2094" s="91">
        <f t="shared" si="163"/>
        <v>0</v>
      </c>
      <c r="I2094" s="91" t="str">
        <f t="shared" si="164"/>
        <v/>
      </c>
      <c r="J2094" s="91" t="str">
        <f t="shared" si="165"/>
        <v/>
      </c>
      <c r="K2094" s="92" t="str">
        <f>IF(AND(A2094="",B2094="",D2094="",G2094=""),"",IF(AND(A2094&lt;&gt;"",COUNTIF($A$2:$A$5001,A2094)&gt;1),"NUMERO_PC duplicado",IF(B2094="","DATA_PC vazia",IF(NOT(ISNUMBER(B2094)),"DATA_PC invalida",IF(OR(C2094="",C2094="Fora dos ciclos"),"CICLO_PC nao identificado",IF(OR(D2094="",D2094=0),"VALOR_PC vazio ou zero",IF(AND(G2094&lt;&gt;"Sim",G2094&lt;&gt;"Nao",G2094&lt;&gt;""),"PC_PAGO_A_CONTRATADA invalido",IF(AND(C2094&lt;&gt;"C0",IFERROR(INDEX(parametros!$A$2:$A$6,MATCH(C2094,parametros!$B$2:$B$6,0)),"")="Sim",IFERROR(INDEX(parametros!$H$2:$H$6,MATCH(C2094,parametros!$B$2:$B$6,0)),"")=""),"INICIO_EFEITO ausente: PC "&amp;A2094&amp;" - "&amp;C2094,IF(L2094="","EFEITO_PC nao calculado: PC "&amp;A2094&amp;" - "&amp;C2094,"OK")))))))))</f>
        <v/>
      </c>
      <c r="L2094" s="92" t="str">
        <f>IF(AND(A2094="",B2094="",D2094="",G2094=""),"",IF(OR(B2094="",NOT(ISNUMBER(B2094)),C2094="",C2094="Fora dos ciclos"),"",IF(C2094="C0","Nao",IF(IFERROR(INDEX(parametros!$A$2:$A$6,MATCH(C2094,parametros!$B$2:$B$6,0)),"")&lt;&gt;"Sim","Nao",IF(IFERROR(INDEX(parametros!$H$2:$H$6,MATCH(C2094,parametros!$B$2:$B$6,0)),"")="","",IF(B2094&gt;=IFERROR(INDEX(parametros!$H$2:$H$6,MATCH(C2094,parametros!$B$2:$B$6,0)),""),"Sim","Nao"))))))</f>
        <v/>
      </c>
      <c r="T2094" s="156"/>
      <c r="U2094" s="214" t="str">
        <f t="shared" si="166"/>
        <v/>
      </c>
      <c r="V2094" s="212" t="s">
        <v>50</v>
      </c>
      <c r="W2094" s="100" t="s">
        <v>168</v>
      </c>
      <c r="X2094" s="100" t="s">
        <v>169</v>
      </c>
      <c r="Y2094" s="101" t="s">
        <v>170</v>
      </c>
      <c r="Z2094" s="101" t="s">
        <v>171</v>
      </c>
      <c r="AA2094" s="101" t="s">
        <v>50</v>
      </c>
      <c r="AB2094" s="101" t="s">
        <v>172</v>
      </c>
      <c r="AC2094" s="102" t="s">
        <v>173</v>
      </c>
    </row>
    <row r="2095" spans="1:29" ht="25.5" customHeight="1" x14ac:dyDescent="0.35">
      <c r="A2095" s="392"/>
      <c r="B2095" s="393"/>
      <c r="C2095" s="99" t="str">
        <f>IF(B2095="","",IF(NOT(ISNUMBER(B2095)),"DATA_PC invalida",IF(NOT(ISNUMBER(parametros!$C$2)),"Fora dos ciclos",IF(OR(B2095&lt;parametros!$C$2,(YEAR(B2095)-YEAR(parametros!$C$2))*12+MONTH(B2095)-MONTH(parametros!$C$2)&gt;59),"Fora dos ciclos","C"&amp;INT(((YEAR(B2095)-YEAR(parametros!$C$2))*12+MONTH(B2095)-MONTH(parametros!$C$2))/12)))))</f>
        <v/>
      </c>
      <c r="D2095" s="394"/>
      <c r="E2095" s="78" t="str">
        <f>IF(C2095="","",IFERROR(VLOOKUP(C2095,parametros!$A$11:$E$15,5,0),""))</f>
        <v/>
      </c>
      <c r="F2095" s="79" t="str">
        <f t="shared" si="162"/>
        <v/>
      </c>
      <c r="G2095" s="395"/>
      <c r="H2095" s="91">
        <f t="shared" si="163"/>
        <v>0</v>
      </c>
      <c r="I2095" s="91" t="str">
        <f t="shared" si="164"/>
        <v/>
      </c>
      <c r="J2095" s="91" t="str">
        <f t="shared" si="165"/>
        <v/>
      </c>
      <c r="K2095" s="92" t="str">
        <f>IF(AND(A2095="",B2095="",D2095="",G2095=""),"",IF(AND(A2095&lt;&gt;"",COUNTIF($A$2:$A$5001,A2095)&gt;1),"NUMERO_PC duplicado",IF(B2095="","DATA_PC vazia",IF(NOT(ISNUMBER(B2095)),"DATA_PC invalida",IF(OR(C2095="",C2095="Fora dos ciclos"),"CICLO_PC nao identificado",IF(OR(D2095="",D2095=0),"VALOR_PC vazio ou zero",IF(AND(G2095&lt;&gt;"Sim",G2095&lt;&gt;"Nao",G2095&lt;&gt;""),"PC_PAGO_A_CONTRATADA invalido",IF(AND(C2095&lt;&gt;"C0",IFERROR(INDEX(parametros!$A$2:$A$6,MATCH(C2095,parametros!$B$2:$B$6,0)),"")="Sim",IFERROR(INDEX(parametros!$H$2:$H$6,MATCH(C2095,parametros!$B$2:$B$6,0)),"")=""),"INICIO_EFEITO ausente: PC "&amp;A2095&amp;" - "&amp;C2095,IF(L2095="","EFEITO_PC nao calculado: PC "&amp;A2095&amp;" - "&amp;C2095,"OK")))))))))</f>
        <v/>
      </c>
      <c r="L2095" s="92" t="str">
        <f>IF(AND(A2095="",B2095="",D2095="",G2095=""),"",IF(OR(B2095="",NOT(ISNUMBER(B2095)),C2095="",C2095="Fora dos ciclos"),"",IF(C2095="C0","Nao",IF(IFERROR(INDEX(parametros!$A$2:$A$6,MATCH(C2095,parametros!$B$2:$B$6,0)),"")&lt;&gt;"Sim","Nao",IF(IFERROR(INDEX(parametros!$H$2:$H$6,MATCH(C2095,parametros!$B$2:$B$6,0)),"")="","",IF(B2095&gt;=IFERROR(INDEX(parametros!$H$2:$H$6,MATCH(C2095,parametros!$B$2:$B$6,0)),""),"Sim","Nao"))))))</f>
        <v/>
      </c>
      <c r="T2095" s="156"/>
      <c r="U2095" s="214" t="str">
        <f t="shared" si="166"/>
        <v/>
      </c>
      <c r="V2095" s="212" t="s">
        <v>50</v>
      </c>
      <c r="W2095" s="100" t="s">
        <v>168</v>
      </c>
      <c r="X2095" s="100" t="s">
        <v>169</v>
      </c>
      <c r="Y2095" s="101" t="s">
        <v>170</v>
      </c>
      <c r="Z2095" s="101" t="s">
        <v>171</v>
      </c>
      <c r="AA2095" s="101" t="s">
        <v>50</v>
      </c>
      <c r="AB2095" s="101" t="s">
        <v>172</v>
      </c>
      <c r="AC2095" s="102" t="s">
        <v>173</v>
      </c>
    </row>
    <row r="2096" spans="1:29" ht="25.5" customHeight="1" x14ac:dyDescent="0.35">
      <c r="A2096" s="392"/>
      <c r="B2096" s="393"/>
      <c r="C2096" s="99" t="str">
        <f>IF(B2096="","",IF(NOT(ISNUMBER(B2096)),"DATA_PC invalida",IF(NOT(ISNUMBER(parametros!$C$2)),"Fora dos ciclos",IF(OR(B2096&lt;parametros!$C$2,(YEAR(B2096)-YEAR(parametros!$C$2))*12+MONTH(B2096)-MONTH(parametros!$C$2)&gt;59),"Fora dos ciclos","C"&amp;INT(((YEAR(B2096)-YEAR(parametros!$C$2))*12+MONTH(B2096)-MONTH(parametros!$C$2))/12)))))</f>
        <v/>
      </c>
      <c r="D2096" s="394"/>
      <c r="E2096" s="78" t="str">
        <f>IF(C2096="","",IFERROR(VLOOKUP(C2096,parametros!$A$11:$E$15,5,0),""))</f>
        <v/>
      </c>
      <c r="F2096" s="79" t="str">
        <f t="shared" si="162"/>
        <v/>
      </c>
      <c r="G2096" s="395"/>
      <c r="H2096" s="91">
        <f t="shared" si="163"/>
        <v>0</v>
      </c>
      <c r="I2096" s="91" t="str">
        <f t="shared" si="164"/>
        <v/>
      </c>
      <c r="J2096" s="91" t="str">
        <f t="shared" si="165"/>
        <v/>
      </c>
      <c r="K2096" s="92" t="str">
        <f>IF(AND(A2096="",B2096="",D2096="",G2096=""),"",IF(AND(A2096&lt;&gt;"",COUNTIF($A$2:$A$5001,A2096)&gt;1),"NUMERO_PC duplicado",IF(B2096="","DATA_PC vazia",IF(NOT(ISNUMBER(B2096)),"DATA_PC invalida",IF(OR(C2096="",C2096="Fora dos ciclos"),"CICLO_PC nao identificado",IF(OR(D2096="",D2096=0),"VALOR_PC vazio ou zero",IF(AND(G2096&lt;&gt;"Sim",G2096&lt;&gt;"Nao",G2096&lt;&gt;""),"PC_PAGO_A_CONTRATADA invalido",IF(AND(C2096&lt;&gt;"C0",IFERROR(INDEX(parametros!$A$2:$A$6,MATCH(C2096,parametros!$B$2:$B$6,0)),"")="Sim",IFERROR(INDEX(parametros!$H$2:$H$6,MATCH(C2096,parametros!$B$2:$B$6,0)),"")=""),"INICIO_EFEITO ausente: PC "&amp;A2096&amp;" - "&amp;C2096,IF(L2096="","EFEITO_PC nao calculado: PC "&amp;A2096&amp;" - "&amp;C2096,"OK")))))))))</f>
        <v/>
      </c>
      <c r="L2096" s="92" t="str">
        <f>IF(AND(A2096="",B2096="",D2096="",G2096=""),"",IF(OR(B2096="",NOT(ISNUMBER(B2096)),C2096="",C2096="Fora dos ciclos"),"",IF(C2096="C0","Nao",IF(IFERROR(INDEX(parametros!$A$2:$A$6,MATCH(C2096,parametros!$B$2:$B$6,0)),"")&lt;&gt;"Sim","Nao",IF(IFERROR(INDEX(parametros!$H$2:$H$6,MATCH(C2096,parametros!$B$2:$B$6,0)),"")="","",IF(B2096&gt;=IFERROR(INDEX(parametros!$H$2:$H$6,MATCH(C2096,parametros!$B$2:$B$6,0)),""),"Sim","Nao"))))))</f>
        <v/>
      </c>
      <c r="T2096" s="156"/>
      <c r="U2096" s="214" t="str">
        <f t="shared" si="166"/>
        <v/>
      </c>
      <c r="V2096" s="212" t="s">
        <v>50</v>
      </c>
      <c r="W2096" s="100" t="s">
        <v>168</v>
      </c>
      <c r="X2096" s="100" t="s">
        <v>169</v>
      </c>
      <c r="Y2096" s="101" t="s">
        <v>170</v>
      </c>
      <c r="Z2096" s="101" t="s">
        <v>171</v>
      </c>
      <c r="AA2096" s="101" t="s">
        <v>50</v>
      </c>
      <c r="AB2096" s="101" t="s">
        <v>172</v>
      </c>
      <c r="AC2096" s="102" t="s">
        <v>173</v>
      </c>
    </row>
    <row r="2097" spans="1:29" ht="25.5" customHeight="1" x14ac:dyDescent="0.35">
      <c r="A2097" s="392"/>
      <c r="B2097" s="393"/>
      <c r="C2097" s="99" t="str">
        <f>IF(B2097="","",IF(NOT(ISNUMBER(B2097)),"DATA_PC invalida",IF(NOT(ISNUMBER(parametros!$C$2)),"Fora dos ciclos",IF(OR(B2097&lt;parametros!$C$2,(YEAR(B2097)-YEAR(parametros!$C$2))*12+MONTH(B2097)-MONTH(parametros!$C$2)&gt;59),"Fora dos ciclos","C"&amp;INT(((YEAR(B2097)-YEAR(parametros!$C$2))*12+MONTH(B2097)-MONTH(parametros!$C$2))/12)))))</f>
        <v/>
      </c>
      <c r="D2097" s="394"/>
      <c r="E2097" s="78" t="str">
        <f>IF(C2097="","",IFERROR(VLOOKUP(C2097,parametros!$A$11:$E$15,5,0),""))</f>
        <v/>
      </c>
      <c r="F2097" s="79" t="str">
        <f t="shared" si="162"/>
        <v/>
      </c>
      <c r="G2097" s="395"/>
      <c r="H2097" s="91">
        <f t="shared" si="163"/>
        <v>0</v>
      </c>
      <c r="I2097" s="91" t="str">
        <f t="shared" si="164"/>
        <v/>
      </c>
      <c r="J2097" s="91" t="str">
        <f t="shared" si="165"/>
        <v/>
      </c>
      <c r="K2097" s="92" t="str">
        <f>IF(AND(A2097="",B2097="",D2097="",G2097=""),"",IF(AND(A2097&lt;&gt;"",COUNTIF($A$2:$A$5001,A2097)&gt;1),"NUMERO_PC duplicado",IF(B2097="","DATA_PC vazia",IF(NOT(ISNUMBER(B2097)),"DATA_PC invalida",IF(OR(C2097="",C2097="Fora dos ciclos"),"CICLO_PC nao identificado",IF(OR(D2097="",D2097=0),"VALOR_PC vazio ou zero",IF(AND(G2097&lt;&gt;"Sim",G2097&lt;&gt;"Nao",G2097&lt;&gt;""),"PC_PAGO_A_CONTRATADA invalido",IF(AND(C2097&lt;&gt;"C0",IFERROR(INDEX(parametros!$A$2:$A$6,MATCH(C2097,parametros!$B$2:$B$6,0)),"")="Sim",IFERROR(INDEX(parametros!$H$2:$H$6,MATCH(C2097,parametros!$B$2:$B$6,0)),"")=""),"INICIO_EFEITO ausente: PC "&amp;A2097&amp;" - "&amp;C2097,IF(L2097="","EFEITO_PC nao calculado: PC "&amp;A2097&amp;" - "&amp;C2097,"OK")))))))))</f>
        <v/>
      </c>
      <c r="L2097" s="92" t="str">
        <f>IF(AND(A2097="",B2097="",D2097="",G2097=""),"",IF(OR(B2097="",NOT(ISNUMBER(B2097)),C2097="",C2097="Fora dos ciclos"),"",IF(C2097="C0","Nao",IF(IFERROR(INDEX(parametros!$A$2:$A$6,MATCH(C2097,parametros!$B$2:$B$6,0)),"")&lt;&gt;"Sim","Nao",IF(IFERROR(INDEX(parametros!$H$2:$H$6,MATCH(C2097,parametros!$B$2:$B$6,0)),"")="","",IF(B2097&gt;=IFERROR(INDEX(parametros!$H$2:$H$6,MATCH(C2097,parametros!$B$2:$B$6,0)),""),"Sim","Nao"))))))</f>
        <v/>
      </c>
      <c r="T2097" s="156"/>
      <c r="U2097" s="214" t="str">
        <f t="shared" si="166"/>
        <v/>
      </c>
      <c r="V2097" s="212" t="s">
        <v>50</v>
      </c>
      <c r="W2097" s="100" t="s">
        <v>168</v>
      </c>
      <c r="X2097" s="100" t="s">
        <v>169</v>
      </c>
      <c r="Y2097" s="101" t="s">
        <v>170</v>
      </c>
      <c r="Z2097" s="101" t="s">
        <v>171</v>
      </c>
      <c r="AA2097" s="101" t="s">
        <v>50</v>
      </c>
      <c r="AB2097" s="101" t="s">
        <v>172</v>
      </c>
      <c r="AC2097" s="102" t="s">
        <v>173</v>
      </c>
    </row>
    <row r="2098" spans="1:29" ht="25.5" customHeight="1" x14ac:dyDescent="0.35">
      <c r="A2098" s="392"/>
      <c r="B2098" s="393"/>
      <c r="C2098" s="99" t="str">
        <f>IF(B2098="","",IF(NOT(ISNUMBER(B2098)),"DATA_PC invalida",IF(NOT(ISNUMBER(parametros!$C$2)),"Fora dos ciclos",IF(OR(B2098&lt;parametros!$C$2,(YEAR(B2098)-YEAR(parametros!$C$2))*12+MONTH(B2098)-MONTH(parametros!$C$2)&gt;59),"Fora dos ciclos","C"&amp;INT(((YEAR(B2098)-YEAR(parametros!$C$2))*12+MONTH(B2098)-MONTH(parametros!$C$2))/12)))))</f>
        <v/>
      </c>
      <c r="D2098" s="394"/>
      <c r="E2098" s="78" t="str">
        <f>IF(C2098="","",IFERROR(VLOOKUP(C2098,parametros!$A$11:$E$15,5,0),""))</f>
        <v/>
      </c>
      <c r="F2098" s="79" t="str">
        <f t="shared" si="162"/>
        <v/>
      </c>
      <c r="G2098" s="395"/>
      <c r="H2098" s="91">
        <f t="shared" si="163"/>
        <v>0</v>
      </c>
      <c r="I2098" s="91" t="str">
        <f t="shared" si="164"/>
        <v/>
      </c>
      <c r="J2098" s="91" t="str">
        <f t="shared" si="165"/>
        <v/>
      </c>
      <c r="K2098" s="92" t="str">
        <f>IF(AND(A2098="",B2098="",D2098="",G2098=""),"",IF(AND(A2098&lt;&gt;"",COUNTIF($A$2:$A$5001,A2098)&gt;1),"NUMERO_PC duplicado",IF(B2098="","DATA_PC vazia",IF(NOT(ISNUMBER(B2098)),"DATA_PC invalida",IF(OR(C2098="",C2098="Fora dos ciclos"),"CICLO_PC nao identificado",IF(OR(D2098="",D2098=0),"VALOR_PC vazio ou zero",IF(AND(G2098&lt;&gt;"Sim",G2098&lt;&gt;"Nao",G2098&lt;&gt;""),"PC_PAGO_A_CONTRATADA invalido",IF(AND(C2098&lt;&gt;"C0",IFERROR(INDEX(parametros!$A$2:$A$6,MATCH(C2098,parametros!$B$2:$B$6,0)),"")="Sim",IFERROR(INDEX(parametros!$H$2:$H$6,MATCH(C2098,parametros!$B$2:$B$6,0)),"")=""),"INICIO_EFEITO ausente: PC "&amp;A2098&amp;" - "&amp;C2098,IF(L2098="","EFEITO_PC nao calculado: PC "&amp;A2098&amp;" - "&amp;C2098,"OK")))))))))</f>
        <v/>
      </c>
      <c r="L2098" s="92" t="str">
        <f>IF(AND(A2098="",B2098="",D2098="",G2098=""),"",IF(OR(B2098="",NOT(ISNUMBER(B2098)),C2098="",C2098="Fora dos ciclos"),"",IF(C2098="C0","Nao",IF(IFERROR(INDEX(parametros!$A$2:$A$6,MATCH(C2098,parametros!$B$2:$B$6,0)),"")&lt;&gt;"Sim","Nao",IF(IFERROR(INDEX(parametros!$H$2:$H$6,MATCH(C2098,parametros!$B$2:$B$6,0)),"")="","",IF(B2098&gt;=IFERROR(INDEX(parametros!$H$2:$H$6,MATCH(C2098,parametros!$B$2:$B$6,0)),""),"Sim","Nao"))))))</f>
        <v/>
      </c>
      <c r="T2098" s="156"/>
      <c r="U2098" s="214" t="str">
        <f t="shared" si="166"/>
        <v/>
      </c>
      <c r="V2098" s="212" t="s">
        <v>50</v>
      </c>
      <c r="W2098" s="100" t="s">
        <v>168</v>
      </c>
      <c r="X2098" s="100" t="s">
        <v>169</v>
      </c>
      <c r="Y2098" s="101" t="s">
        <v>170</v>
      </c>
      <c r="Z2098" s="101" t="s">
        <v>171</v>
      </c>
      <c r="AA2098" s="101" t="s">
        <v>50</v>
      </c>
      <c r="AB2098" s="101" t="s">
        <v>172</v>
      </c>
      <c r="AC2098" s="102" t="s">
        <v>173</v>
      </c>
    </row>
    <row r="2099" spans="1:29" ht="25.5" customHeight="1" x14ac:dyDescent="0.35">
      <c r="A2099" s="392"/>
      <c r="B2099" s="393"/>
      <c r="C2099" s="99" t="str">
        <f>IF(B2099="","",IF(NOT(ISNUMBER(B2099)),"DATA_PC invalida",IF(NOT(ISNUMBER(parametros!$C$2)),"Fora dos ciclos",IF(OR(B2099&lt;parametros!$C$2,(YEAR(B2099)-YEAR(parametros!$C$2))*12+MONTH(B2099)-MONTH(parametros!$C$2)&gt;59),"Fora dos ciclos","C"&amp;INT(((YEAR(B2099)-YEAR(parametros!$C$2))*12+MONTH(B2099)-MONTH(parametros!$C$2))/12)))))</f>
        <v/>
      </c>
      <c r="D2099" s="394"/>
      <c r="E2099" s="78" t="str">
        <f>IF(C2099="","",IFERROR(VLOOKUP(C2099,parametros!$A$11:$E$15,5,0),""))</f>
        <v/>
      </c>
      <c r="F2099" s="79" t="str">
        <f t="shared" si="162"/>
        <v/>
      </c>
      <c r="G2099" s="395"/>
      <c r="H2099" s="91">
        <f t="shared" si="163"/>
        <v>0</v>
      </c>
      <c r="I2099" s="91" t="str">
        <f t="shared" si="164"/>
        <v/>
      </c>
      <c r="J2099" s="91" t="str">
        <f t="shared" si="165"/>
        <v/>
      </c>
      <c r="K2099" s="92" t="str">
        <f>IF(AND(A2099="",B2099="",D2099="",G2099=""),"",IF(AND(A2099&lt;&gt;"",COUNTIF($A$2:$A$5001,A2099)&gt;1),"NUMERO_PC duplicado",IF(B2099="","DATA_PC vazia",IF(NOT(ISNUMBER(B2099)),"DATA_PC invalida",IF(OR(C2099="",C2099="Fora dos ciclos"),"CICLO_PC nao identificado",IF(OR(D2099="",D2099=0),"VALOR_PC vazio ou zero",IF(AND(G2099&lt;&gt;"Sim",G2099&lt;&gt;"Nao",G2099&lt;&gt;""),"PC_PAGO_A_CONTRATADA invalido",IF(AND(C2099&lt;&gt;"C0",IFERROR(INDEX(parametros!$A$2:$A$6,MATCH(C2099,parametros!$B$2:$B$6,0)),"")="Sim",IFERROR(INDEX(parametros!$H$2:$H$6,MATCH(C2099,parametros!$B$2:$B$6,0)),"")=""),"INICIO_EFEITO ausente: PC "&amp;A2099&amp;" - "&amp;C2099,IF(L2099="","EFEITO_PC nao calculado: PC "&amp;A2099&amp;" - "&amp;C2099,"OK")))))))))</f>
        <v/>
      </c>
      <c r="L2099" s="92" t="str">
        <f>IF(AND(A2099="",B2099="",D2099="",G2099=""),"",IF(OR(B2099="",NOT(ISNUMBER(B2099)),C2099="",C2099="Fora dos ciclos"),"",IF(C2099="C0","Nao",IF(IFERROR(INDEX(parametros!$A$2:$A$6,MATCH(C2099,parametros!$B$2:$B$6,0)),"")&lt;&gt;"Sim","Nao",IF(IFERROR(INDEX(parametros!$H$2:$H$6,MATCH(C2099,parametros!$B$2:$B$6,0)),"")="","",IF(B2099&gt;=IFERROR(INDEX(parametros!$H$2:$H$6,MATCH(C2099,parametros!$B$2:$B$6,0)),""),"Sim","Nao"))))))</f>
        <v/>
      </c>
      <c r="T2099" s="156"/>
      <c r="U2099" s="214" t="str">
        <f t="shared" si="166"/>
        <v/>
      </c>
      <c r="V2099" s="212" t="s">
        <v>50</v>
      </c>
      <c r="W2099" s="100" t="s">
        <v>168</v>
      </c>
      <c r="X2099" s="100" t="s">
        <v>169</v>
      </c>
      <c r="Y2099" s="101" t="s">
        <v>170</v>
      </c>
      <c r="Z2099" s="101" t="s">
        <v>171</v>
      </c>
      <c r="AA2099" s="101" t="s">
        <v>50</v>
      </c>
      <c r="AB2099" s="101" t="s">
        <v>172</v>
      </c>
      <c r="AC2099" s="102" t="s">
        <v>173</v>
      </c>
    </row>
    <row r="2100" spans="1:29" ht="25.5" customHeight="1" x14ac:dyDescent="0.35">
      <c r="A2100" s="392"/>
      <c r="B2100" s="393"/>
      <c r="C2100" s="99" t="str">
        <f>IF(B2100="","",IF(NOT(ISNUMBER(B2100)),"DATA_PC invalida",IF(NOT(ISNUMBER(parametros!$C$2)),"Fora dos ciclos",IF(OR(B2100&lt;parametros!$C$2,(YEAR(B2100)-YEAR(parametros!$C$2))*12+MONTH(B2100)-MONTH(parametros!$C$2)&gt;59),"Fora dos ciclos","C"&amp;INT(((YEAR(B2100)-YEAR(parametros!$C$2))*12+MONTH(B2100)-MONTH(parametros!$C$2))/12)))))</f>
        <v/>
      </c>
      <c r="D2100" s="394"/>
      <c r="E2100" s="78" t="str">
        <f>IF(C2100="","",IFERROR(VLOOKUP(C2100,parametros!$A$11:$E$15,5,0),""))</f>
        <v/>
      </c>
      <c r="F2100" s="79" t="str">
        <f t="shared" si="162"/>
        <v/>
      </c>
      <c r="G2100" s="395"/>
      <c r="H2100" s="91">
        <f t="shared" si="163"/>
        <v>0</v>
      </c>
      <c r="I2100" s="91" t="str">
        <f t="shared" si="164"/>
        <v/>
      </c>
      <c r="J2100" s="91" t="str">
        <f t="shared" si="165"/>
        <v/>
      </c>
      <c r="K2100" s="92" t="str">
        <f>IF(AND(A2100="",B2100="",D2100="",G2100=""),"",IF(AND(A2100&lt;&gt;"",COUNTIF($A$2:$A$5001,A2100)&gt;1),"NUMERO_PC duplicado",IF(B2100="","DATA_PC vazia",IF(NOT(ISNUMBER(B2100)),"DATA_PC invalida",IF(OR(C2100="",C2100="Fora dos ciclos"),"CICLO_PC nao identificado",IF(OR(D2100="",D2100=0),"VALOR_PC vazio ou zero",IF(AND(G2100&lt;&gt;"Sim",G2100&lt;&gt;"Nao",G2100&lt;&gt;""),"PC_PAGO_A_CONTRATADA invalido",IF(AND(C2100&lt;&gt;"C0",IFERROR(INDEX(parametros!$A$2:$A$6,MATCH(C2100,parametros!$B$2:$B$6,0)),"")="Sim",IFERROR(INDEX(parametros!$H$2:$H$6,MATCH(C2100,parametros!$B$2:$B$6,0)),"")=""),"INICIO_EFEITO ausente: PC "&amp;A2100&amp;" - "&amp;C2100,IF(L2100="","EFEITO_PC nao calculado: PC "&amp;A2100&amp;" - "&amp;C2100,"OK")))))))))</f>
        <v/>
      </c>
      <c r="L2100" s="92" t="str">
        <f>IF(AND(A2100="",B2100="",D2100="",G2100=""),"",IF(OR(B2100="",NOT(ISNUMBER(B2100)),C2100="",C2100="Fora dos ciclos"),"",IF(C2100="C0","Nao",IF(IFERROR(INDEX(parametros!$A$2:$A$6,MATCH(C2100,parametros!$B$2:$B$6,0)),"")&lt;&gt;"Sim","Nao",IF(IFERROR(INDEX(parametros!$H$2:$H$6,MATCH(C2100,parametros!$B$2:$B$6,0)),"")="","",IF(B2100&gt;=IFERROR(INDEX(parametros!$H$2:$H$6,MATCH(C2100,parametros!$B$2:$B$6,0)),""),"Sim","Nao"))))))</f>
        <v/>
      </c>
      <c r="T2100" s="156"/>
      <c r="U2100" s="214" t="str">
        <f t="shared" si="166"/>
        <v/>
      </c>
      <c r="V2100" s="212" t="s">
        <v>50</v>
      </c>
      <c r="W2100" s="100" t="s">
        <v>168</v>
      </c>
      <c r="X2100" s="100" t="s">
        <v>169</v>
      </c>
      <c r="Y2100" s="101" t="s">
        <v>170</v>
      </c>
      <c r="Z2100" s="101" t="s">
        <v>171</v>
      </c>
      <c r="AA2100" s="101" t="s">
        <v>50</v>
      </c>
      <c r="AB2100" s="101" t="s">
        <v>172</v>
      </c>
      <c r="AC2100" s="102" t="s">
        <v>173</v>
      </c>
    </row>
    <row r="2101" spans="1:29" ht="25.5" customHeight="1" x14ac:dyDescent="0.35">
      <c r="A2101" s="392"/>
      <c r="B2101" s="393"/>
      <c r="C2101" s="99" t="str">
        <f>IF(B2101="","",IF(NOT(ISNUMBER(B2101)),"DATA_PC invalida",IF(NOT(ISNUMBER(parametros!$C$2)),"Fora dos ciclos",IF(OR(B2101&lt;parametros!$C$2,(YEAR(B2101)-YEAR(parametros!$C$2))*12+MONTH(B2101)-MONTH(parametros!$C$2)&gt;59),"Fora dos ciclos","C"&amp;INT(((YEAR(B2101)-YEAR(parametros!$C$2))*12+MONTH(B2101)-MONTH(parametros!$C$2))/12)))))</f>
        <v/>
      </c>
      <c r="D2101" s="394"/>
      <c r="E2101" s="78" t="str">
        <f>IF(C2101="","",IFERROR(VLOOKUP(C2101,parametros!$A$11:$E$15,5,0),""))</f>
        <v/>
      </c>
      <c r="F2101" s="79" t="str">
        <f t="shared" si="162"/>
        <v/>
      </c>
      <c r="G2101" s="395"/>
      <c r="H2101" s="91">
        <f t="shared" si="163"/>
        <v>0</v>
      </c>
      <c r="I2101" s="91" t="str">
        <f t="shared" si="164"/>
        <v/>
      </c>
      <c r="J2101" s="91" t="str">
        <f t="shared" si="165"/>
        <v/>
      </c>
      <c r="K2101" s="92" t="str">
        <f>IF(AND(A2101="",B2101="",D2101="",G2101=""),"",IF(AND(A2101&lt;&gt;"",COUNTIF($A$2:$A$5001,A2101)&gt;1),"NUMERO_PC duplicado",IF(B2101="","DATA_PC vazia",IF(NOT(ISNUMBER(B2101)),"DATA_PC invalida",IF(OR(C2101="",C2101="Fora dos ciclos"),"CICLO_PC nao identificado",IF(OR(D2101="",D2101=0),"VALOR_PC vazio ou zero",IF(AND(G2101&lt;&gt;"Sim",G2101&lt;&gt;"Nao",G2101&lt;&gt;""),"PC_PAGO_A_CONTRATADA invalido",IF(AND(C2101&lt;&gt;"C0",IFERROR(INDEX(parametros!$A$2:$A$6,MATCH(C2101,parametros!$B$2:$B$6,0)),"")="Sim",IFERROR(INDEX(parametros!$H$2:$H$6,MATCH(C2101,parametros!$B$2:$B$6,0)),"")=""),"INICIO_EFEITO ausente: PC "&amp;A2101&amp;" - "&amp;C2101,IF(L2101="","EFEITO_PC nao calculado: PC "&amp;A2101&amp;" - "&amp;C2101,"OK")))))))))</f>
        <v/>
      </c>
      <c r="L2101" s="92" t="str">
        <f>IF(AND(A2101="",B2101="",D2101="",G2101=""),"",IF(OR(B2101="",NOT(ISNUMBER(B2101)),C2101="",C2101="Fora dos ciclos"),"",IF(C2101="C0","Nao",IF(IFERROR(INDEX(parametros!$A$2:$A$6,MATCH(C2101,parametros!$B$2:$B$6,0)),"")&lt;&gt;"Sim","Nao",IF(IFERROR(INDEX(parametros!$H$2:$H$6,MATCH(C2101,parametros!$B$2:$B$6,0)),"")="","",IF(B2101&gt;=IFERROR(INDEX(parametros!$H$2:$H$6,MATCH(C2101,parametros!$B$2:$B$6,0)),""),"Sim","Nao"))))))</f>
        <v/>
      </c>
      <c r="T2101" s="156"/>
      <c r="U2101" s="214" t="str">
        <f t="shared" si="166"/>
        <v/>
      </c>
      <c r="V2101" s="212" t="s">
        <v>50</v>
      </c>
      <c r="W2101" s="100" t="s">
        <v>168</v>
      </c>
      <c r="X2101" s="100" t="s">
        <v>169</v>
      </c>
      <c r="Y2101" s="101" t="s">
        <v>170</v>
      </c>
      <c r="Z2101" s="101" t="s">
        <v>171</v>
      </c>
      <c r="AA2101" s="101" t="s">
        <v>50</v>
      </c>
      <c r="AB2101" s="101" t="s">
        <v>172</v>
      </c>
      <c r="AC2101" s="102" t="s">
        <v>173</v>
      </c>
    </row>
    <row r="2102" spans="1:29" ht="25.5" customHeight="1" x14ac:dyDescent="0.35">
      <c r="A2102" s="392"/>
      <c r="B2102" s="393"/>
      <c r="C2102" s="99" t="str">
        <f>IF(B2102="","",IF(NOT(ISNUMBER(B2102)),"DATA_PC invalida",IF(NOT(ISNUMBER(parametros!$C$2)),"Fora dos ciclos",IF(OR(B2102&lt;parametros!$C$2,(YEAR(B2102)-YEAR(parametros!$C$2))*12+MONTH(B2102)-MONTH(parametros!$C$2)&gt;59),"Fora dos ciclos","C"&amp;INT(((YEAR(B2102)-YEAR(parametros!$C$2))*12+MONTH(B2102)-MONTH(parametros!$C$2))/12)))))</f>
        <v/>
      </c>
      <c r="D2102" s="394"/>
      <c r="E2102" s="78" t="str">
        <f>IF(C2102="","",IFERROR(VLOOKUP(C2102,parametros!$A$11:$E$15,5,0),""))</f>
        <v/>
      </c>
      <c r="F2102" s="79" t="str">
        <f t="shared" si="162"/>
        <v/>
      </c>
      <c r="G2102" s="395"/>
      <c r="H2102" s="91">
        <f t="shared" si="163"/>
        <v>0</v>
      </c>
      <c r="I2102" s="91" t="str">
        <f t="shared" si="164"/>
        <v/>
      </c>
      <c r="J2102" s="91" t="str">
        <f t="shared" si="165"/>
        <v/>
      </c>
      <c r="K2102" s="92" t="str">
        <f>IF(AND(A2102="",B2102="",D2102="",G2102=""),"",IF(AND(A2102&lt;&gt;"",COUNTIF($A$2:$A$5001,A2102)&gt;1),"NUMERO_PC duplicado",IF(B2102="","DATA_PC vazia",IF(NOT(ISNUMBER(B2102)),"DATA_PC invalida",IF(OR(C2102="",C2102="Fora dos ciclos"),"CICLO_PC nao identificado",IF(OR(D2102="",D2102=0),"VALOR_PC vazio ou zero",IF(AND(G2102&lt;&gt;"Sim",G2102&lt;&gt;"Nao",G2102&lt;&gt;""),"PC_PAGO_A_CONTRATADA invalido",IF(AND(C2102&lt;&gt;"C0",IFERROR(INDEX(parametros!$A$2:$A$6,MATCH(C2102,parametros!$B$2:$B$6,0)),"")="Sim",IFERROR(INDEX(parametros!$H$2:$H$6,MATCH(C2102,parametros!$B$2:$B$6,0)),"")=""),"INICIO_EFEITO ausente: PC "&amp;A2102&amp;" - "&amp;C2102,IF(L2102="","EFEITO_PC nao calculado: PC "&amp;A2102&amp;" - "&amp;C2102,"OK")))))))))</f>
        <v/>
      </c>
      <c r="L2102" s="92" t="str">
        <f>IF(AND(A2102="",B2102="",D2102="",G2102=""),"",IF(OR(B2102="",NOT(ISNUMBER(B2102)),C2102="",C2102="Fora dos ciclos"),"",IF(C2102="C0","Nao",IF(IFERROR(INDEX(parametros!$A$2:$A$6,MATCH(C2102,parametros!$B$2:$B$6,0)),"")&lt;&gt;"Sim","Nao",IF(IFERROR(INDEX(parametros!$H$2:$H$6,MATCH(C2102,parametros!$B$2:$B$6,0)),"")="","",IF(B2102&gt;=IFERROR(INDEX(parametros!$H$2:$H$6,MATCH(C2102,parametros!$B$2:$B$6,0)),""),"Sim","Nao"))))))</f>
        <v/>
      </c>
      <c r="T2102" s="156"/>
      <c r="U2102" s="214" t="str">
        <f t="shared" si="166"/>
        <v/>
      </c>
      <c r="V2102" s="212" t="s">
        <v>50</v>
      </c>
      <c r="W2102" s="100" t="s">
        <v>168</v>
      </c>
      <c r="X2102" s="100" t="s">
        <v>169</v>
      </c>
      <c r="Y2102" s="101" t="s">
        <v>170</v>
      </c>
      <c r="Z2102" s="101" t="s">
        <v>171</v>
      </c>
      <c r="AA2102" s="101" t="s">
        <v>50</v>
      </c>
      <c r="AB2102" s="101" t="s">
        <v>172</v>
      </c>
      <c r="AC2102" s="102" t="s">
        <v>173</v>
      </c>
    </row>
    <row r="2103" spans="1:29" ht="25.5" customHeight="1" x14ac:dyDescent="0.35">
      <c r="A2103" s="392"/>
      <c r="B2103" s="393"/>
      <c r="C2103" s="99" t="str">
        <f>IF(B2103="","",IF(NOT(ISNUMBER(B2103)),"DATA_PC invalida",IF(NOT(ISNUMBER(parametros!$C$2)),"Fora dos ciclos",IF(OR(B2103&lt;parametros!$C$2,(YEAR(B2103)-YEAR(parametros!$C$2))*12+MONTH(B2103)-MONTH(parametros!$C$2)&gt;59),"Fora dos ciclos","C"&amp;INT(((YEAR(B2103)-YEAR(parametros!$C$2))*12+MONTH(B2103)-MONTH(parametros!$C$2))/12)))))</f>
        <v/>
      </c>
      <c r="D2103" s="394"/>
      <c r="E2103" s="78" t="str">
        <f>IF(C2103="","",IFERROR(VLOOKUP(C2103,parametros!$A$11:$E$15,5,0),""))</f>
        <v/>
      </c>
      <c r="F2103" s="79" t="str">
        <f t="shared" si="162"/>
        <v/>
      </c>
      <c r="G2103" s="395"/>
      <c r="H2103" s="91">
        <f t="shared" si="163"/>
        <v>0</v>
      </c>
      <c r="I2103" s="91" t="str">
        <f t="shared" si="164"/>
        <v/>
      </c>
      <c r="J2103" s="91" t="str">
        <f t="shared" si="165"/>
        <v/>
      </c>
      <c r="K2103" s="92" t="str">
        <f>IF(AND(A2103="",B2103="",D2103="",G2103=""),"",IF(AND(A2103&lt;&gt;"",COUNTIF($A$2:$A$5001,A2103)&gt;1),"NUMERO_PC duplicado",IF(B2103="","DATA_PC vazia",IF(NOT(ISNUMBER(B2103)),"DATA_PC invalida",IF(OR(C2103="",C2103="Fora dos ciclos"),"CICLO_PC nao identificado",IF(OR(D2103="",D2103=0),"VALOR_PC vazio ou zero",IF(AND(G2103&lt;&gt;"Sim",G2103&lt;&gt;"Nao",G2103&lt;&gt;""),"PC_PAGO_A_CONTRATADA invalido",IF(AND(C2103&lt;&gt;"C0",IFERROR(INDEX(parametros!$A$2:$A$6,MATCH(C2103,parametros!$B$2:$B$6,0)),"")="Sim",IFERROR(INDEX(parametros!$H$2:$H$6,MATCH(C2103,parametros!$B$2:$B$6,0)),"")=""),"INICIO_EFEITO ausente: PC "&amp;A2103&amp;" - "&amp;C2103,IF(L2103="","EFEITO_PC nao calculado: PC "&amp;A2103&amp;" - "&amp;C2103,"OK")))))))))</f>
        <v/>
      </c>
      <c r="L2103" s="92" t="str">
        <f>IF(AND(A2103="",B2103="",D2103="",G2103=""),"",IF(OR(B2103="",NOT(ISNUMBER(B2103)),C2103="",C2103="Fora dos ciclos"),"",IF(C2103="C0","Nao",IF(IFERROR(INDEX(parametros!$A$2:$A$6,MATCH(C2103,parametros!$B$2:$B$6,0)),"")&lt;&gt;"Sim","Nao",IF(IFERROR(INDEX(parametros!$H$2:$H$6,MATCH(C2103,parametros!$B$2:$B$6,0)),"")="","",IF(B2103&gt;=IFERROR(INDEX(parametros!$H$2:$H$6,MATCH(C2103,parametros!$B$2:$B$6,0)),""),"Sim","Nao"))))))</f>
        <v/>
      </c>
      <c r="T2103" s="156"/>
      <c r="U2103" s="214" t="str">
        <f t="shared" si="166"/>
        <v/>
      </c>
      <c r="V2103" s="212" t="s">
        <v>50</v>
      </c>
      <c r="W2103" s="100" t="s">
        <v>168</v>
      </c>
      <c r="X2103" s="100" t="s">
        <v>169</v>
      </c>
      <c r="Y2103" s="101" t="s">
        <v>170</v>
      </c>
      <c r="Z2103" s="101" t="s">
        <v>171</v>
      </c>
      <c r="AA2103" s="101" t="s">
        <v>50</v>
      </c>
      <c r="AB2103" s="101" t="s">
        <v>172</v>
      </c>
      <c r="AC2103" s="102" t="s">
        <v>173</v>
      </c>
    </row>
    <row r="2104" spans="1:29" ht="25.5" customHeight="1" x14ac:dyDescent="0.35">
      <c r="A2104" s="392"/>
      <c r="B2104" s="393"/>
      <c r="C2104" s="99" t="str">
        <f>IF(B2104="","",IF(NOT(ISNUMBER(B2104)),"DATA_PC invalida",IF(NOT(ISNUMBER(parametros!$C$2)),"Fora dos ciclos",IF(OR(B2104&lt;parametros!$C$2,(YEAR(B2104)-YEAR(parametros!$C$2))*12+MONTH(B2104)-MONTH(parametros!$C$2)&gt;59),"Fora dos ciclos","C"&amp;INT(((YEAR(B2104)-YEAR(parametros!$C$2))*12+MONTH(B2104)-MONTH(parametros!$C$2))/12)))))</f>
        <v/>
      </c>
      <c r="D2104" s="394"/>
      <c r="E2104" s="78" t="str">
        <f>IF(C2104="","",IFERROR(VLOOKUP(C2104,parametros!$A$11:$E$15,5,0),""))</f>
        <v/>
      </c>
      <c r="F2104" s="79" t="str">
        <f t="shared" si="162"/>
        <v/>
      </c>
      <c r="G2104" s="395"/>
      <c r="H2104" s="91">
        <f t="shared" si="163"/>
        <v>0</v>
      </c>
      <c r="I2104" s="91" t="str">
        <f t="shared" si="164"/>
        <v/>
      </c>
      <c r="J2104" s="91" t="str">
        <f t="shared" si="165"/>
        <v/>
      </c>
      <c r="K2104" s="92" t="str">
        <f>IF(AND(A2104="",B2104="",D2104="",G2104=""),"",IF(AND(A2104&lt;&gt;"",COUNTIF($A$2:$A$5001,A2104)&gt;1),"NUMERO_PC duplicado",IF(B2104="","DATA_PC vazia",IF(NOT(ISNUMBER(B2104)),"DATA_PC invalida",IF(OR(C2104="",C2104="Fora dos ciclos"),"CICLO_PC nao identificado",IF(OR(D2104="",D2104=0),"VALOR_PC vazio ou zero",IF(AND(G2104&lt;&gt;"Sim",G2104&lt;&gt;"Nao",G2104&lt;&gt;""),"PC_PAGO_A_CONTRATADA invalido",IF(AND(C2104&lt;&gt;"C0",IFERROR(INDEX(parametros!$A$2:$A$6,MATCH(C2104,parametros!$B$2:$B$6,0)),"")="Sim",IFERROR(INDEX(parametros!$H$2:$H$6,MATCH(C2104,parametros!$B$2:$B$6,0)),"")=""),"INICIO_EFEITO ausente: PC "&amp;A2104&amp;" - "&amp;C2104,IF(L2104="","EFEITO_PC nao calculado: PC "&amp;A2104&amp;" - "&amp;C2104,"OK")))))))))</f>
        <v/>
      </c>
      <c r="L2104" s="92" t="str">
        <f>IF(AND(A2104="",B2104="",D2104="",G2104=""),"",IF(OR(B2104="",NOT(ISNUMBER(B2104)),C2104="",C2104="Fora dos ciclos"),"",IF(C2104="C0","Nao",IF(IFERROR(INDEX(parametros!$A$2:$A$6,MATCH(C2104,parametros!$B$2:$B$6,0)),"")&lt;&gt;"Sim","Nao",IF(IFERROR(INDEX(parametros!$H$2:$H$6,MATCH(C2104,parametros!$B$2:$B$6,0)),"")="","",IF(B2104&gt;=IFERROR(INDEX(parametros!$H$2:$H$6,MATCH(C2104,parametros!$B$2:$B$6,0)),""),"Sim","Nao"))))))</f>
        <v/>
      </c>
      <c r="T2104" s="156"/>
      <c r="U2104" s="214" t="str">
        <f t="shared" si="166"/>
        <v/>
      </c>
      <c r="V2104" s="212" t="s">
        <v>50</v>
      </c>
      <c r="W2104" s="100" t="s">
        <v>168</v>
      </c>
      <c r="X2104" s="100" t="s">
        <v>169</v>
      </c>
      <c r="Y2104" s="101" t="s">
        <v>170</v>
      </c>
      <c r="Z2104" s="101" t="s">
        <v>171</v>
      </c>
      <c r="AA2104" s="101" t="s">
        <v>50</v>
      </c>
      <c r="AB2104" s="101" t="s">
        <v>172</v>
      </c>
      <c r="AC2104" s="102" t="s">
        <v>173</v>
      </c>
    </row>
    <row r="2105" spans="1:29" ht="25.5" customHeight="1" x14ac:dyDescent="0.35">
      <c r="A2105" s="392"/>
      <c r="B2105" s="393"/>
      <c r="C2105" s="99" t="str">
        <f>IF(B2105="","",IF(NOT(ISNUMBER(B2105)),"DATA_PC invalida",IF(NOT(ISNUMBER(parametros!$C$2)),"Fora dos ciclos",IF(OR(B2105&lt;parametros!$C$2,(YEAR(B2105)-YEAR(parametros!$C$2))*12+MONTH(B2105)-MONTH(parametros!$C$2)&gt;59),"Fora dos ciclos","C"&amp;INT(((YEAR(B2105)-YEAR(parametros!$C$2))*12+MONTH(B2105)-MONTH(parametros!$C$2))/12)))))</f>
        <v/>
      </c>
      <c r="D2105" s="394"/>
      <c r="E2105" s="78" t="str">
        <f>IF(C2105="","",IFERROR(VLOOKUP(C2105,parametros!$A$11:$E$15,5,0),""))</f>
        <v/>
      </c>
      <c r="F2105" s="79" t="str">
        <f t="shared" si="162"/>
        <v/>
      </c>
      <c r="G2105" s="395"/>
      <c r="H2105" s="91">
        <f t="shared" si="163"/>
        <v>0</v>
      </c>
      <c r="I2105" s="91" t="str">
        <f t="shared" si="164"/>
        <v/>
      </c>
      <c r="J2105" s="91" t="str">
        <f t="shared" si="165"/>
        <v/>
      </c>
      <c r="K2105" s="92" t="str">
        <f>IF(AND(A2105="",B2105="",D2105="",G2105=""),"",IF(AND(A2105&lt;&gt;"",COUNTIF($A$2:$A$5001,A2105)&gt;1),"NUMERO_PC duplicado",IF(B2105="","DATA_PC vazia",IF(NOT(ISNUMBER(B2105)),"DATA_PC invalida",IF(OR(C2105="",C2105="Fora dos ciclos"),"CICLO_PC nao identificado",IF(OR(D2105="",D2105=0),"VALOR_PC vazio ou zero",IF(AND(G2105&lt;&gt;"Sim",G2105&lt;&gt;"Nao",G2105&lt;&gt;""),"PC_PAGO_A_CONTRATADA invalido",IF(AND(C2105&lt;&gt;"C0",IFERROR(INDEX(parametros!$A$2:$A$6,MATCH(C2105,parametros!$B$2:$B$6,0)),"")="Sim",IFERROR(INDEX(parametros!$H$2:$H$6,MATCH(C2105,parametros!$B$2:$B$6,0)),"")=""),"INICIO_EFEITO ausente: PC "&amp;A2105&amp;" - "&amp;C2105,IF(L2105="","EFEITO_PC nao calculado: PC "&amp;A2105&amp;" - "&amp;C2105,"OK")))))))))</f>
        <v/>
      </c>
      <c r="L2105" s="92" t="str">
        <f>IF(AND(A2105="",B2105="",D2105="",G2105=""),"",IF(OR(B2105="",NOT(ISNUMBER(B2105)),C2105="",C2105="Fora dos ciclos"),"",IF(C2105="C0","Nao",IF(IFERROR(INDEX(parametros!$A$2:$A$6,MATCH(C2105,parametros!$B$2:$B$6,0)),"")&lt;&gt;"Sim","Nao",IF(IFERROR(INDEX(parametros!$H$2:$H$6,MATCH(C2105,parametros!$B$2:$B$6,0)),"")="","",IF(B2105&gt;=IFERROR(INDEX(parametros!$H$2:$H$6,MATCH(C2105,parametros!$B$2:$B$6,0)),""),"Sim","Nao"))))))</f>
        <v/>
      </c>
      <c r="T2105" s="156"/>
      <c r="U2105" s="214" t="str">
        <f t="shared" si="166"/>
        <v/>
      </c>
      <c r="V2105" s="212" t="s">
        <v>50</v>
      </c>
      <c r="W2105" s="100" t="s">
        <v>168</v>
      </c>
      <c r="X2105" s="100" t="s">
        <v>169</v>
      </c>
      <c r="Y2105" s="101" t="s">
        <v>170</v>
      </c>
      <c r="Z2105" s="101" t="s">
        <v>171</v>
      </c>
      <c r="AA2105" s="101" t="s">
        <v>50</v>
      </c>
      <c r="AB2105" s="101" t="s">
        <v>172</v>
      </c>
      <c r="AC2105" s="102" t="s">
        <v>173</v>
      </c>
    </row>
    <row r="2106" spans="1:29" ht="25.5" customHeight="1" x14ac:dyDescent="0.35">
      <c r="A2106" s="392"/>
      <c r="B2106" s="393"/>
      <c r="C2106" s="99" t="str">
        <f>IF(B2106="","",IF(NOT(ISNUMBER(B2106)),"DATA_PC invalida",IF(NOT(ISNUMBER(parametros!$C$2)),"Fora dos ciclos",IF(OR(B2106&lt;parametros!$C$2,(YEAR(B2106)-YEAR(parametros!$C$2))*12+MONTH(B2106)-MONTH(parametros!$C$2)&gt;59),"Fora dos ciclos","C"&amp;INT(((YEAR(B2106)-YEAR(parametros!$C$2))*12+MONTH(B2106)-MONTH(parametros!$C$2))/12)))))</f>
        <v/>
      </c>
      <c r="D2106" s="394"/>
      <c r="E2106" s="78" t="str">
        <f>IF(C2106="","",IFERROR(VLOOKUP(C2106,parametros!$A$11:$E$15,5,0),""))</f>
        <v/>
      </c>
      <c r="F2106" s="79" t="str">
        <f t="shared" si="162"/>
        <v/>
      </c>
      <c r="G2106" s="395"/>
      <c r="H2106" s="91">
        <f t="shared" si="163"/>
        <v>0</v>
      </c>
      <c r="I2106" s="91" t="str">
        <f t="shared" si="164"/>
        <v/>
      </c>
      <c r="J2106" s="91" t="str">
        <f t="shared" si="165"/>
        <v/>
      </c>
      <c r="K2106" s="92" t="str">
        <f>IF(AND(A2106="",B2106="",D2106="",G2106=""),"",IF(AND(A2106&lt;&gt;"",COUNTIF($A$2:$A$5001,A2106)&gt;1),"NUMERO_PC duplicado",IF(B2106="","DATA_PC vazia",IF(NOT(ISNUMBER(B2106)),"DATA_PC invalida",IF(OR(C2106="",C2106="Fora dos ciclos"),"CICLO_PC nao identificado",IF(OR(D2106="",D2106=0),"VALOR_PC vazio ou zero",IF(AND(G2106&lt;&gt;"Sim",G2106&lt;&gt;"Nao",G2106&lt;&gt;""),"PC_PAGO_A_CONTRATADA invalido",IF(AND(C2106&lt;&gt;"C0",IFERROR(INDEX(parametros!$A$2:$A$6,MATCH(C2106,parametros!$B$2:$B$6,0)),"")="Sim",IFERROR(INDEX(parametros!$H$2:$H$6,MATCH(C2106,parametros!$B$2:$B$6,0)),"")=""),"INICIO_EFEITO ausente: PC "&amp;A2106&amp;" - "&amp;C2106,IF(L2106="","EFEITO_PC nao calculado: PC "&amp;A2106&amp;" - "&amp;C2106,"OK")))))))))</f>
        <v/>
      </c>
      <c r="L2106" s="92" t="str">
        <f>IF(AND(A2106="",B2106="",D2106="",G2106=""),"",IF(OR(B2106="",NOT(ISNUMBER(B2106)),C2106="",C2106="Fora dos ciclos"),"",IF(C2106="C0","Nao",IF(IFERROR(INDEX(parametros!$A$2:$A$6,MATCH(C2106,parametros!$B$2:$B$6,0)),"")&lt;&gt;"Sim","Nao",IF(IFERROR(INDEX(parametros!$H$2:$H$6,MATCH(C2106,parametros!$B$2:$B$6,0)),"")="","",IF(B2106&gt;=IFERROR(INDEX(parametros!$H$2:$H$6,MATCH(C2106,parametros!$B$2:$B$6,0)),""),"Sim","Nao"))))))</f>
        <v/>
      </c>
      <c r="T2106" s="156"/>
      <c r="U2106" s="214" t="str">
        <f t="shared" si="166"/>
        <v/>
      </c>
      <c r="V2106" s="212" t="s">
        <v>50</v>
      </c>
      <c r="W2106" s="100" t="s">
        <v>168</v>
      </c>
      <c r="X2106" s="100" t="s">
        <v>169</v>
      </c>
      <c r="Y2106" s="101" t="s">
        <v>170</v>
      </c>
      <c r="Z2106" s="101" t="s">
        <v>171</v>
      </c>
      <c r="AA2106" s="101" t="s">
        <v>50</v>
      </c>
      <c r="AB2106" s="101" t="s">
        <v>172</v>
      </c>
      <c r="AC2106" s="102" t="s">
        <v>173</v>
      </c>
    </row>
    <row r="2107" spans="1:29" ht="25.5" customHeight="1" x14ac:dyDescent="0.35">
      <c r="A2107" s="392"/>
      <c r="B2107" s="393"/>
      <c r="C2107" s="99" t="str">
        <f>IF(B2107="","",IF(NOT(ISNUMBER(B2107)),"DATA_PC invalida",IF(NOT(ISNUMBER(parametros!$C$2)),"Fora dos ciclos",IF(OR(B2107&lt;parametros!$C$2,(YEAR(B2107)-YEAR(parametros!$C$2))*12+MONTH(B2107)-MONTH(parametros!$C$2)&gt;59),"Fora dos ciclos","C"&amp;INT(((YEAR(B2107)-YEAR(parametros!$C$2))*12+MONTH(B2107)-MONTH(parametros!$C$2))/12)))))</f>
        <v/>
      </c>
      <c r="D2107" s="394"/>
      <c r="E2107" s="78" t="str">
        <f>IF(C2107="","",IFERROR(VLOOKUP(C2107,parametros!$A$11:$E$15,5,0),""))</f>
        <v/>
      </c>
      <c r="F2107" s="79" t="str">
        <f t="shared" si="162"/>
        <v/>
      </c>
      <c r="G2107" s="395"/>
      <c r="H2107" s="91">
        <f t="shared" si="163"/>
        <v>0</v>
      </c>
      <c r="I2107" s="91" t="str">
        <f t="shared" si="164"/>
        <v/>
      </c>
      <c r="J2107" s="91" t="str">
        <f t="shared" si="165"/>
        <v/>
      </c>
      <c r="K2107" s="92" t="str">
        <f>IF(AND(A2107="",B2107="",D2107="",G2107=""),"",IF(AND(A2107&lt;&gt;"",COUNTIF($A$2:$A$5001,A2107)&gt;1),"NUMERO_PC duplicado",IF(B2107="","DATA_PC vazia",IF(NOT(ISNUMBER(B2107)),"DATA_PC invalida",IF(OR(C2107="",C2107="Fora dos ciclos"),"CICLO_PC nao identificado",IF(OR(D2107="",D2107=0),"VALOR_PC vazio ou zero",IF(AND(G2107&lt;&gt;"Sim",G2107&lt;&gt;"Nao",G2107&lt;&gt;""),"PC_PAGO_A_CONTRATADA invalido",IF(AND(C2107&lt;&gt;"C0",IFERROR(INDEX(parametros!$A$2:$A$6,MATCH(C2107,parametros!$B$2:$B$6,0)),"")="Sim",IFERROR(INDEX(parametros!$H$2:$H$6,MATCH(C2107,parametros!$B$2:$B$6,0)),"")=""),"INICIO_EFEITO ausente: PC "&amp;A2107&amp;" - "&amp;C2107,IF(L2107="","EFEITO_PC nao calculado: PC "&amp;A2107&amp;" - "&amp;C2107,"OK")))))))))</f>
        <v/>
      </c>
      <c r="L2107" s="92" t="str">
        <f>IF(AND(A2107="",B2107="",D2107="",G2107=""),"",IF(OR(B2107="",NOT(ISNUMBER(B2107)),C2107="",C2107="Fora dos ciclos"),"",IF(C2107="C0","Nao",IF(IFERROR(INDEX(parametros!$A$2:$A$6,MATCH(C2107,parametros!$B$2:$B$6,0)),"")&lt;&gt;"Sim","Nao",IF(IFERROR(INDEX(parametros!$H$2:$H$6,MATCH(C2107,parametros!$B$2:$B$6,0)),"")="","",IF(B2107&gt;=IFERROR(INDEX(parametros!$H$2:$H$6,MATCH(C2107,parametros!$B$2:$B$6,0)),""),"Sim","Nao"))))))</f>
        <v/>
      </c>
      <c r="T2107" s="156"/>
      <c r="U2107" s="214" t="str">
        <f t="shared" si="166"/>
        <v/>
      </c>
      <c r="V2107" s="212" t="s">
        <v>50</v>
      </c>
      <c r="W2107" s="100" t="s">
        <v>168</v>
      </c>
      <c r="X2107" s="100" t="s">
        <v>169</v>
      </c>
      <c r="Y2107" s="101" t="s">
        <v>170</v>
      </c>
      <c r="Z2107" s="101" t="s">
        <v>171</v>
      </c>
      <c r="AA2107" s="101" t="s">
        <v>50</v>
      </c>
      <c r="AB2107" s="101" t="s">
        <v>172</v>
      </c>
      <c r="AC2107" s="102" t="s">
        <v>173</v>
      </c>
    </row>
    <row r="2108" spans="1:29" ht="25.5" customHeight="1" x14ac:dyDescent="0.35">
      <c r="A2108" s="392"/>
      <c r="B2108" s="393"/>
      <c r="C2108" s="99" t="str">
        <f>IF(B2108="","",IF(NOT(ISNUMBER(B2108)),"DATA_PC invalida",IF(NOT(ISNUMBER(parametros!$C$2)),"Fora dos ciclos",IF(OR(B2108&lt;parametros!$C$2,(YEAR(B2108)-YEAR(parametros!$C$2))*12+MONTH(B2108)-MONTH(parametros!$C$2)&gt;59),"Fora dos ciclos","C"&amp;INT(((YEAR(B2108)-YEAR(parametros!$C$2))*12+MONTH(B2108)-MONTH(parametros!$C$2))/12)))))</f>
        <v/>
      </c>
      <c r="D2108" s="394"/>
      <c r="E2108" s="78" t="str">
        <f>IF(C2108="","",IFERROR(VLOOKUP(C2108,parametros!$A$11:$E$15,5,0),""))</f>
        <v/>
      </c>
      <c r="F2108" s="79" t="str">
        <f t="shared" si="162"/>
        <v/>
      </c>
      <c r="G2108" s="395"/>
      <c r="H2108" s="91">
        <f t="shared" si="163"/>
        <v>0</v>
      </c>
      <c r="I2108" s="91" t="str">
        <f t="shared" si="164"/>
        <v/>
      </c>
      <c r="J2108" s="91" t="str">
        <f t="shared" si="165"/>
        <v/>
      </c>
      <c r="K2108" s="92" t="str">
        <f>IF(AND(A2108="",B2108="",D2108="",G2108=""),"",IF(AND(A2108&lt;&gt;"",COUNTIF($A$2:$A$5001,A2108)&gt;1),"NUMERO_PC duplicado",IF(B2108="","DATA_PC vazia",IF(NOT(ISNUMBER(B2108)),"DATA_PC invalida",IF(OR(C2108="",C2108="Fora dos ciclos"),"CICLO_PC nao identificado",IF(OR(D2108="",D2108=0),"VALOR_PC vazio ou zero",IF(AND(G2108&lt;&gt;"Sim",G2108&lt;&gt;"Nao",G2108&lt;&gt;""),"PC_PAGO_A_CONTRATADA invalido",IF(AND(C2108&lt;&gt;"C0",IFERROR(INDEX(parametros!$A$2:$A$6,MATCH(C2108,parametros!$B$2:$B$6,0)),"")="Sim",IFERROR(INDEX(parametros!$H$2:$H$6,MATCH(C2108,parametros!$B$2:$B$6,0)),"")=""),"INICIO_EFEITO ausente: PC "&amp;A2108&amp;" - "&amp;C2108,IF(L2108="","EFEITO_PC nao calculado: PC "&amp;A2108&amp;" - "&amp;C2108,"OK")))))))))</f>
        <v/>
      </c>
      <c r="L2108" s="92" t="str">
        <f>IF(AND(A2108="",B2108="",D2108="",G2108=""),"",IF(OR(B2108="",NOT(ISNUMBER(B2108)),C2108="",C2108="Fora dos ciclos"),"",IF(C2108="C0","Nao",IF(IFERROR(INDEX(parametros!$A$2:$A$6,MATCH(C2108,parametros!$B$2:$B$6,0)),"")&lt;&gt;"Sim","Nao",IF(IFERROR(INDEX(parametros!$H$2:$H$6,MATCH(C2108,parametros!$B$2:$B$6,0)),"")="","",IF(B2108&gt;=IFERROR(INDEX(parametros!$H$2:$H$6,MATCH(C2108,parametros!$B$2:$B$6,0)),""),"Sim","Nao"))))))</f>
        <v/>
      </c>
      <c r="T2108" s="156"/>
      <c r="U2108" s="214" t="str">
        <f t="shared" si="166"/>
        <v/>
      </c>
      <c r="V2108" s="212" t="s">
        <v>50</v>
      </c>
      <c r="W2108" s="100" t="s">
        <v>168</v>
      </c>
      <c r="X2108" s="100" t="s">
        <v>169</v>
      </c>
      <c r="Y2108" s="101" t="s">
        <v>170</v>
      </c>
      <c r="Z2108" s="101" t="s">
        <v>171</v>
      </c>
      <c r="AA2108" s="101" t="s">
        <v>50</v>
      </c>
      <c r="AB2108" s="101" t="s">
        <v>172</v>
      </c>
      <c r="AC2108" s="102" t="s">
        <v>173</v>
      </c>
    </row>
    <row r="2109" spans="1:29" ht="25.5" customHeight="1" x14ac:dyDescent="0.35">
      <c r="A2109" s="392"/>
      <c r="B2109" s="393"/>
      <c r="C2109" s="99" t="str">
        <f>IF(B2109="","",IF(NOT(ISNUMBER(B2109)),"DATA_PC invalida",IF(NOT(ISNUMBER(parametros!$C$2)),"Fora dos ciclos",IF(OR(B2109&lt;parametros!$C$2,(YEAR(B2109)-YEAR(parametros!$C$2))*12+MONTH(B2109)-MONTH(parametros!$C$2)&gt;59),"Fora dos ciclos","C"&amp;INT(((YEAR(B2109)-YEAR(parametros!$C$2))*12+MONTH(B2109)-MONTH(parametros!$C$2))/12)))))</f>
        <v/>
      </c>
      <c r="D2109" s="394"/>
      <c r="E2109" s="78" t="str">
        <f>IF(C2109="","",IFERROR(VLOOKUP(C2109,parametros!$A$11:$E$15,5,0),""))</f>
        <v/>
      </c>
      <c r="F2109" s="79" t="str">
        <f t="shared" si="162"/>
        <v/>
      </c>
      <c r="G2109" s="395"/>
      <c r="H2109" s="91">
        <f t="shared" si="163"/>
        <v>0</v>
      </c>
      <c r="I2109" s="91" t="str">
        <f t="shared" si="164"/>
        <v/>
      </c>
      <c r="J2109" s="91" t="str">
        <f t="shared" si="165"/>
        <v/>
      </c>
      <c r="K2109" s="92" t="str">
        <f>IF(AND(A2109="",B2109="",D2109="",G2109=""),"",IF(AND(A2109&lt;&gt;"",COUNTIF($A$2:$A$5001,A2109)&gt;1),"NUMERO_PC duplicado",IF(B2109="","DATA_PC vazia",IF(NOT(ISNUMBER(B2109)),"DATA_PC invalida",IF(OR(C2109="",C2109="Fora dos ciclos"),"CICLO_PC nao identificado",IF(OR(D2109="",D2109=0),"VALOR_PC vazio ou zero",IF(AND(G2109&lt;&gt;"Sim",G2109&lt;&gt;"Nao",G2109&lt;&gt;""),"PC_PAGO_A_CONTRATADA invalido",IF(AND(C2109&lt;&gt;"C0",IFERROR(INDEX(parametros!$A$2:$A$6,MATCH(C2109,parametros!$B$2:$B$6,0)),"")="Sim",IFERROR(INDEX(parametros!$H$2:$H$6,MATCH(C2109,parametros!$B$2:$B$6,0)),"")=""),"INICIO_EFEITO ausente: PC "&amp;A2109&amp;" - "&amp;C2109,IF(L2109="","EFEITO_PC nao calculado: PC "&amp;A2109&amp;" - "&amp;C2109,"OK")))))))))</f>
        <v/>
      </c>
      <c r="L2109" s="92" t="str">
        <f>IF(AND(A2109="",B2109="",D2109="",G2109=""),"",IF(OR(B2109="",NOT(ISNUMBER(B2109)),C2109="",C2109="Fora dos ciclos"),"",IF(C2109="C0","Nao",IF(IFERROR(INDEX(parametros!$A$2:$A$6,MATCH(C2109,parametros!$B$2:$B$6,0)),"")&lt;&gt;"Sim","Nao",IF(IFERROR(INDEX(parametros!$H$2:$H$6,MATCH(C2109,parametros!$B$2:$B$6,0)),"")="","",IF(B2109&gt;=IFERROR(INDEX(parametros!$H$2:$H$6,MATCH(C2109,parametros!$B$2:$B$6,0)),""),"Sim","Nao"))))))</f>
        <v/>
      </c>
      <c r="T2109" s="156"/>
      <c r="U2109" s="214" t="str">
        <f t="shared" si="166"/>
        <v/>
      </c>
      <c r="V2109" s="212" t="s">
        <v>50</v>
      </c>
      <c r="W2109" s="100" t="s">
        <v>168</v>
      </c>
      <c r="X2109" s="100" t="s">
        <v>169</v>
      </c>
      <c r="Y2109" s="101" t="s">
        <v>170</v>
      </c>
      <c r="Z2109" s="101" t="s">
        <v>171</v>
      </c>
      <c r="AA2109" s="101" t="s">
        <v>50</v>
      </c>
      <c r="AB2109" s="101" t="s">
        <v>172</v>
      </c>
      <c r="AC2109" s="102" t="s">
        <v>173</v>
      </c>
    </row>
    <row r="2110" spans="1:29" ht="25.5" customHeight="1" x14ac:dyDescent="0.35">
      <c r="A2110" s="392"/>
      <c r="B2110" s="393"/>
      <c r="C2110" s="99" t="str">
        <f>IF(B2110="","",IF(NOT(ISNUMBER(B2110)),"DATA_PC invalida",IF(NOT(ISNUMBER(parametros!$C$2)),"Fora dos ciclos",IF(OR(B2110&lt;parametros!$C$2,(YEAR(B2110)-YEAR(parametros!$C$2))*12+MONTH(B2110)-MONTH(parametros!$C$2)&gt;59),"Fora dos ciclos","C"&amp;INT(((YEAR(B2110)-YEAR(parametros!$C$2))*12+MONTH(B2110)-MONTH(parametros!$C$2))/12)))))</f>
        <v/>
      </c>
      <c r="D2110" s="394"/>
      <c r="E2110" s="78" t="str">
        <f>IF(C2110="","",IFERROR(VLOOKUP(C2110,parametros!$A$11:$E$15,5,0),""))</f>
        <v/>
      </c>
      <c r="F2110" s="79" t="str">
        <f t="shared" si="162"/>
        <v/>
      </c>
      <c r="G2110" s="395"/>
      <c r="H2110" s="91">
        <f t="shared" si="163"/>
        <v>0</v>
      </c>
      <c r="I2110" s="91" t="str">
        <f t="shared" si="164"/>
        <v/>
      </c>
      <c r="J2110" s="91" t="str">
        <f t="shared" si="165"/>
        <v/>
      </c>
      <c r="K2110" s="92" t="str">
        <f>IF(AND(A2110="",B2110="",D2110="",G2110=""),"",IF(AND(A2110&lt;&gt;"",COUNTIF($A$2:$A$5001,A2110)&gt;1),"NUMERO_PC duplicado",IF(B2110="","DATA_PC vazia",IF(NOT(ISNUMBER(B2110)),"DATA_PC invalida",IF(OR(C2110="",C2110="Fora dos ciclos"),"CICLO_PC nao identificado",IF(OR(D2110="",D2110=0),"VALOR_PC vazio ou zero",IF(AND(G2110&lt;&gt;"Sim",G2110&lt;&gt;"Nao",G2110&lt;&gt;""),"PC_PAGO_A_CONTRATADA invalido",IF(AND(C2110&lt;&gt;"C0",IFERROR(INDEX(parametros!$A$2:$A$6,MATCH(C2110,parametros!$B$2:$B$6,0)),"")="Sim",IFERROR(INDEX(parametros!$H$2:$H$6,MATCH(C2110,parametros!$B$2:$B$6,0)),"")=""),"INICIO_EFEITO ausente: PC "&amp;A2110&amp;" - "&amp;C2110,IF(L2110="","EFEITO_PC nao calculado: PC "&amp;A2110&amp;" - "&amp;C2110,"OK")))))))))</f>
        <v/>
      </c>
      <c r="L2110" s="92" t="str">
        <f>IF(AND(A2110="",B2110="",D2110="",G2110=""),"",IF(OR(B2110="",NOT(ISNUMBER(B2110)),C2110="",C2110="Fora dos ciclos"),"",IF(C2110="C0","Nao",IF(IFERROR(INDEX(parametros!$A$2:$A$6,MATCH(C2110,parametros!$B$2:$B$6,0)),"")&lt;&gt;"Sim","Nao",IF(IFERROR(INDEX(parametros!$H$2:$H$6,MATCH(C2110,parametros!$B$2:$B$6,0)),"")="","",IF(B2110&gt;=IFERROR(INDEX(parametros!$H$2:$H$6,MATCH(C2110,parametros!$B$2:$B$6,0)),""),"Sim","Nao"))))))</f>
        <v/>
      </c>
      <c r="T2110" s="156"/>
      <c r="U2110" s="214" t="str">
        <f t="shared" si="166"/>
        <v/>
      </c>
      <c r="V2110" s="212" t="s">
        <v>50</v>
      </c>
      <c r="W2110" s="100" t="s">
        <v>168</v>
      </c>
      <c r="X2110" s="100" t="s">
        <v>169</v>
      </c>
      <c r="Y2110" s="101" t="s">
        <v>170</v>
      </c>
      <c r="Z2110" s="101" t="s">
        <v>171</v>
      </c>
      <c r="AA2110" s="101" t="s">
        <v>50</v>
      </c>
      <c r="AB2110" s="101" t="s">
        <v>172</v>
      </c>
      <c r="AC2110" s="102" t="s">
        <v>173</v>
      </c>
    </row>
    <row r="2111" spans="1:29" ht="25.5" customHeight="1" x14ac:dyDescent="0.35">
      <c r="A2111" s="392"/>
      <c r="B2111" s="393"/>
      <c r="C2111" s="99" t="str">
        <f>IF(B2111="","",IF(NOT(ISNUMBER(B2111)),"DATA_PC invalida",IF(NOT(ISNUMBER(parametros!$C$2)),"Fora dos ciclos",IF(OR(B2111&lt;parametros!$C$2,(YEAR(B2111)-YEAR(parametros!$C$2))*12+MONTH(B2111)-MONTH(parametros!$C$2)&gt;59),"Fora dos ciclos","C"&amp;INT(((YEAR(B2111)-YEAR(parametros!$C$2))*12+MONTH(B2111)-MONTH(parametros!$C$2))/12)))))</f>
        <v/>
      </c>
      <c r="D2111" s="394"/>
      <c r="E2111" s="78" t="str">
        <f>IF(C2111="","",IFERROR(VLOOKUP(C2111,parametros!$A$11:$E$15,5,0),""))</f>
        <v/>
      </c>
      <c r="F2111" s="79" t="str">
        <f t="shared" si="162"/>
        <v/>
      </c>
      <c r="G2111" s="395"/>
      <c r="H2111" s="91">
        <f t="shared" si="163"/>
        <v>0</v>
      </c>
      <c r="I2111" s="91" t="str">
        <f t="shared" si="164"/>
        <v/>
      </c>
      <c r="J2111" s="91" t="str">
        <f t="shared" si="165"/>
        <v/>
      </c>
      <c r="K2111" s="92" t="str">
        <f>IF(AND(A2111="",B2111="",D2111="",G2111=""),"",IF(AND(A2111&lt;&gt;"",COUNTIF($A$2:$A$5001,A2111)&gt;1),"NUMERO_PC duplicado",IF(B2111="","DATA_PC vazia",IF(NOT(ISNUMBER(B2111)),"DATA_PC invalida",IF(OR(C2111="",C2111="Fora dos ciclos"),"CICLO_PC nao identificado",IF(OR(D2111="",D2111=0),"VALOR_PC vazio ou zero",IF(AND(G2111&lt;&gt;"Sim",G2111&lt;&gt;"Nao",G2111&lt;&gt;""),"PC_PAGO_A_CONTRATADA invalido",IF(AND(C2111&lt;&gt;"C0",IFERROR(INDEX(parametros!$A$2:$A$6,MATCH(C2111,parametros!$B$2:$B$6,0)),"")="Sim",IFERROR(INDEX(parametros!$H$2:$H$6,MATCH(C2111,parametros!$B$2:$B$6,0)),"")=""),"INICIO_EFEITO ausente: PC "&amp;A2111&amp;" - "&amp;C2111,IF(L2111="","EFEITO_PC nao calculado: PC "&amp;A2111&amp;" - "&amp;C2111,"OK")))))))))</f>
        <v/>
      </c>
      <c r="L2111" s="92" t="str">
        <f>IF(AND(A2111="",B2111="",D2111="",G2111=""),"",IF(OR(B2111="",NOT(ISNUMBER(B2111)),C2111="",C2111="Fora dos ciclos"),"",IF(C2111="C0","Nao",IF(IFERROR(INDEX(parametros!$A$2:$A$6,MATCH(C2111,parametros!$B$2:$B$6,0)),"")&lt;&gt;"Sim","Nao",IF(IFERROR(INDEX(parametros!$H$2:$H$6,MATCH(C2111,parametros!$B$2:$B$6,0)),"")="","",IF(B2111&gt;=IFERROR(INDEX(parametros!$H$2:$H$6,MATCH(C2111,parametros!$B$2:$B$6,0)),""),"Sim","Nao"))))))</f>
        <v/>
      </c>
      <c r="T2111" s="156"/>
      <c r="U2111" s="214" t="str">
        <f t="shared" si="166"/>
        <v/>
      </c>
      <c r="V2111" s="212" t="s">
        <v>50</v>
      </c>
      <c r="W2111" s="100" t="s">
        <v>168</v>
      </c>
      <c r="X2111" s="100" t="s">
        <v>169</v>
      </c>
      <c r="Y2111" s="101" t="s">
        <v>170</v>
      </c>
      <c r="Z2111" s="101" t="s">
        <v>171</v>
      </c>
      <c r="AA2111" s="101" t="s">
        <v>50</v>
      </c>
      <c r="AB2111" s="101" t="s">
        <v>172</v>
      </c>
      <c r="AC2111" s="102" t="s">
        <v>173</v>
      </c>
    </row>
    <row r="2112" spans="1:29" ht="25.5" customHeight="1" x14ac:dyDescent="0.35">
      <c r="A2112" s="392"/>
      <c r="B2112" s="393"/>
      <c r="C2112" s="99" t="str">
        <f>IF(B2112="","",IF(NOT(ISNUMBER(B2112)),"DATA_PC invalida",IF(NOT(ISNUMBER(parametros!$C$2)),"Fora dos ciclos",IF(OR(B2112&lt;parametros!$C$2,(YEAR(B2112)-YEAR(parametros!$C$2))*12+MONTH(B2112)-MONTH(parametros!$C$2)&gt;59),"Fora dos ciclos","C"&amp;INT(((YEAR(B2112)-YEAR(parametros!$C$2))*12+MONTH(B2112)-MONTH(parametros!$C$2))/12)))))</f>
        <v/>
      </c>
      <c r="D2112" s="394"/>
      <c r="E2112" s="78" t="str">
        <f>IF(C2112="","",IFERROR(VLOOKUP(C2112,parametros!$A$11:$E$15,5,0),""))</f>
        <v/>
      </c>
      <c r="F2112" s="79" t="str">
        <f t="shared" si="162"/>
        <v/>
      </c>
      <c r="G2112" s="395"/>
      <c r="H2112" s="91">
        <f t="shared" si="163"/>
        <v>0</v>
      </c>
      <c r="I2112" s="91" t="str">
        <f t="shared" si="164"/>
        <v/>
      </c>
      <c r="J2112" s="91" t="str">
        <f t="shared" si="165"/>
        <v/>
      </c>
      <c r="K2112" s="92" t="str">
        <f>IF(AND(A2112="",B2112="",D2112="",G2112=""),"",IF(AND(A2112&lt;&gt;"",COUNTIF($A$2:$A$5001,A2112)&gt;1),"NUMERO_PC duplicado",IF(B2112="","DATA_PC vazia",IF(NOT(ISNUMBER(B2112)),"DATA_PC invalida",IF(OR(C2112="",C2112="Fora dos ciclos"),"CICLO_PC nao identificado",IF(OR(D2112="",D2112=0),"VALOR_PC vazio ou zero",IF(AND(G2112&lt;&gt;"Sim",G2112&lt;&gt;"Nao",G2112&lt;&gt;""),"PC_PAGO_A_CONTRATADA invalido",IF(AND(C2112&lt;&gt;"C0",IFERROR(INDEX(parametros!$A$2:$A$6,MATCH(C2112,parametros!$B$2:$B$6,0)),"")="Sim",IFERROR(INDEX(parametros!$H$2:$H$6,MATCH(C2112,parametros!$B$2:$B$6,0)),"")=""),"INICIO_EFEITO ausente: PC "&amp;A2112&amp;" - "&amp;C2112,IF(L2112="","EFEITO_PC nao calculado: PC "&amp;A2112&amp;" - "&amp;C2112,"OK")))))))))</f>
        <v/>
      </c>
      <c r="L2112" s="92" t="str">
        <f>IF(AND(A2112="",B2112="",D2112="",G2112=""),"",IF(OR(B2112="",NOT(ISNUMBER(B2112)),C2112="",C2112="Fora dos ciclos"),"",IF(C2112="C0","Nao",IF(IFERROR(INDEX(parametros!$A$2:$A$6,MATCH(C2112,parametros!$B$2:$B$6,0)),"")&lt;&gt;"Sim","Nao",IF(IFERROR(INDEX(parametros!$H$2:$H$6,MATCH(C2112,parametros!$B$2:$B$6,0)),"")="","",IF(B2112&gt;=IFERROR(INDEX(parametros!$H$2:$H$6,MATCH(C2112,parametros!$B$2:$B$6,0)),""),"Sim","Nao"))))))</f>
        <v/>
      </c>
      <c r="T2112" s="156"/>
      <c r="U2112" s="214" t="str">
        <f t="shared" si="166"/>
        <v/>
      </c>
      <c r="V2112" s="212" t="s">
        <v>50</v>
      </c>
      <c r="W2112" s="100" t="s">
        <v>168</v>
      </c>
      <c r="X2112" s="100" t="s">
        <v>169</v>
      </c>
      <c r="Y2112" s="101" t="s">
        <v>170</v>
      </c>
      <c r="Z2112" s="101" t="s">
        <v>171</v>
      </c>
      <c r="AA2112" s="101" t="s">
        <v>50</v>
      </c>
      <c r="AB2112" s="101" t="s">
        <v>172</v>
      </c>
      <c r="AC2112" s="102" t="s">
        <v>173</v>
      </c>
    </row>
    <row r="2113" spans="1:29" ht="25.5" customHeight="1" x14ac:dyDescent="0.35">
      <c r="A2113" s="392"/>
      <c r="B2113" s="393"/>
      <c r="C2113" s="99" t="str">
        <f>IF(B2113="","",IF(NOT(ISNUMBER(B2113)),"DATA_PC invalida",IF(NOT(ISNUMBER(parametros!$C$2)),"Fora dos ciclos",IF(OR(B2113&lt;parametros!$C$2,(YEAR(B2113)-YEAR(parametros!$C$2))*12+MONTH(B2113)-MONTH(parametros!$C$2)&gt;59),"Fora dos ciclos","C"&amp;INT(((YEAR(B2113)-YEAR(parametros!$C$2))*12+MONTH(B2113)-MONTH(parametros!$C$2))/12)))))</f>
        <v/>
      </c>
      <c r="D2113" s="394"/>
      <c r="E2113" s="78" t="str">
        <f>IF(C2113="","",IFERROR(VLOOKUP(C2113,parametros!$A$11:$E$15,5,0),""))</f>
        <v/>
      </c>
      <c r="F2113" s="79" t="str">
        <f t="shared" si="162"/>
        <v/>
      </c>
      <c r="G2113" s="395"/>
      <c r="H2113" s="91">
        <f t="shared" si="163"/>
        <v>0</v>
      </c>
      <c r="I2113" s="91" t="str">
        <f t="shared" si="164"/>
        <v/>
      </c>
      <c r="J2113" s="91" t="str">
        <f t="shared" si="165"/>
        <v/>
      </c>
      <c r="K2113" s="92" t="str">
        <f>IF(AND(A2113="",B2113="",D2113="",G2113=""),"",IF(AND(A2113&lt;&gt;"",COUNTIF($A$2:$A$5001,A2113)&gt;1),"NUMERO_PC duplicado",IF(B2113="","DATA_PC vazia",IF(NOT(ISNUMBER(B2113)),"DATA_PC invalida",IF(OR(C2113="",C2113="Fora dos ciclos"),"CICLO_PC nao identificado",IF(OR(D2113="",D2113=0),"VALOR_PC vazio ou zero",IF(AND(G2113&lt;&gt;"Sim",G2113&lt;&gt;"Nao",G2113&lt;&gt;""),"PC_PAGO_A_CONTRATADA invalido",IF(AND(C2113&lt;&gt;"C0",IFERROR(INDEX(parametros!$A$2:$A$6,MATCH(C2113,parametros!$B$2:$B$6,0)),"")="Sim",IFERROR(INDEX(parametros!$H$2:$H$6,MATCH(C2113,parametros!$B$2:$B$6,0)),"")=""),"INICIO_EFEITO ausente: PC "&amp;A2113&amp;" - "&amp;C2113,IF(L2113="","EFEITO_PC nao calculado: PC "&amp;A2113&amp;" - "&amp;C2113,"OK")))))))))</f>
        <v/>
      </c>
      <c r="L2113" s="92" t="str">
        <f>IF(AND(A2113="",B2113="",D2113="",G2113=""),"",IF(OR(B2113="",NOT(ISNUMBER(B2113)),C2113="",C2113="Fora dos ciclos"),"",IF(C2113="C0","Nao",IF(IFERROR(INDEX(parametros!$A$2:$A$6,MATCH(C2113,parametros!$B$2:$B$6,0)),"")&lt;&gt;"Sim","Nao",IF(IFERROR(INDEX(parametros!$H$2:$H$6,MATCH(C2113,parametros!$B$2:$B$6,0)),"")="","",IF(B2113&gt;=IFERROR(INDEX(parametros!$H$2:$H$6,MATCH(C2113,parametros!$B$2:$B$6,0)),""),"Sim","Nao"))))))</f>
        <v/>
      </c>
      <c r="T2113" s="156"/>
      <c r="U2113" s="214" t="str">
        <f t="shared" si="166"/>
        <v/>
      </c>
      <c r="V2113" s="212" t="s">
        <v>50</v>
      </c>
      <c r="W2113" s="100" t="s">
        <v>168</v>
      </c>
      <c r="X2113" s="100" t="s">
        <v>169</v>
      </c>
      <c r="Y2113" s="101" t="s">
        <v>170</v>
      </c>
      <c r="Z2113" s="101" t="s">
        <v>171</v>
      </c>
      <c r="AA2113" s="101" t="s">
        <v>50</v>
      </c>
      <c r="AB2113" s="101" t="s">
        <v>172</v>
      </c>
      <c r="AC2113" s="102" t="s">
        <v>173</v>
      </c>
    </row>
    <row r="2114" spans="1:29" ht="25.5" customHeight="1" x14ac:dyDescent="0.35">
      <c r="A2114" s="392"/>
      <c r="B2114" s="393"/>
      <c r="C2114" s="99" t="str">
        <f>IF(B2114="","",IF(NOT(ISNUMBER(B2114)),"DATA_PC invalida",IF(NOT(ISNUMBER(parametros!$C$2)),"Fora dos ciclos",IF(OR(B2114&lt;parametros!$C$2,(YEAR(B2114)-YEAR(parametros!$C$2))*12+MONTH(B2114)-MONTH(parametros!$C$2)&gt;59),"Fora dos ciclos","C"&amp;INT(((YEAR(B2114)-YEAR(parametros!$C$2))*12+MONTH(B2114)-MONTH(parametros!$C$2))/12)))))</f>
        <v/>
      </c>
      <c r="D2114" s="394"/>
      <c r="E2114" s="78" t="str">
        <f>IF(C2114="","",IFERROR(VLOOKUP(C2114,parametros!$A$11:$E$15,5,0),""))</f>
        <v/>
      </c>
      <c r="F2114" s="79" t="str">
        <f t="shared" ref="F2114:F2177" si="167">IF(OR(D2114="",E2114=""),"",ROUND(D2114*E2114,2))</f>
        <v/>
      </c>
      <c r="G2114" s="395"/>
      <c r="H2114" s="91">
        <f t="shared" ref="H2114:H2177" si="168">IF(G2114="Sim",IF(OR(F2114="",D2114="",L2114=""),"",IF(L2114="Sim",ROUND(F2114-D2114,2),0)),0)</f>
        <v>0</v>
      </c>
      <c r="I2114" s="91" t="str">
        <f t="shared" ref="I2114:I2177" si="169">IF(G2114="Sim",0,IF(OR(F2114="",L2114=""),"",F2114))</f>
        <v/>
      </c>
      <c r="J2114" s="91" t="str">
        <f t="shared" ref="J2114:J2177" si="170">IF(G2114="Sim",0,IF(OR(F2114="",D2114="",L2114=""),"",IF(L2114="Sim",ROUND(F2114-D2114,2),0)))</f>
        <v/>
      </c>
      <c r="K2114" s="92" t="str">
        <f>IF(AND(A2114="",B2114="",D2114="",G2114=""),"",IF(AND(A2114&lt;&gt;"",COUNTIF($A$2:$A$5001,A2114)&gt;1),"NUMERO_PC duplicado",IF(B2114="","DATA_PC vazia",IF(NOT(ISNUMBER(B2114)),"DATA_PC invalida",IF(OR(C2114="",C2114="Fora dos ciclos"),"CICLO_PC nao identificado",IF(OR(D2114="",D2114=0),"VALOR_PC vazio ou zero",IF(AND(G2114&lt;&gt;"Sim",G2114&lt;&gt;"Nao",G2114&lt;&gt;""),"PC_PAGO_A_CONTRATADA invalido",IF(AND(C2114&lt;&gt;"C0",IFERROR(INDEX(parametros!$A$2:$A$6,MATCH(C2114,parametros!$B$2:$B$6,0)),"")="Sim",IFERROR(INDEX(parametros!$H$2:$H$6,MATCH(C2114,parametros!$B$2:$B$6,0)),"")=""),"INICIO_EFEITO ausente: PC "&amp;A2114&amp;" - "&amp;C2114,IF(L2114="","EFEITO_PC nao calculado: PC "&amp;A2114&amp;" - "&amp;C2114,"OK")))))))))</f>
        <v/>
      </c>
      <c r="L2114" s="92" t="str">
        <f>IF(AND(A2114="",B2114="",D2114="",G2114=""),"",IF(OR(B2114="",NOT(ISNUMBER(B2114)),C2114="",C2114="Fora dos ciclos"),"",IF(C2114="C0","Nao",IF(IFERROR(INDEX(parametros!$A$2:$A$6,MATCH(C2114,parametros!$B$2:$B$6,0)),"")&lt;&gt;"Sim","Nao",IF(IFERROR(INDEX(parametros!$H$2:$H$6,MATCH(C2114,parametros!$B$2:$B$6,0)),"")="","",IF(B2114&gt;=IFERROR(INDEX(parametros!$H$2:$H$6,MATCH(C2114,parametros!$B$2:$B$6,0)),""),"Sim","Nao"))))))</f>
        <v/>
      </c>
      <c r="T2114" s="156"/>
      <c r="U2114" s="214" t="str">
        <f t="shared" ref="U2114:U2177" si="171">IF(OR($D2114="",$H2114=""),"",ROUND($D2114+$H2114,2))</f>
        <v/>
      </c>
      <c r="V2114" s="212" t="s">
        <v>50</v>
      </c>
      <c r="W2114" s="100" t="s">
        <v>168</v>
      </c>
      <c r="X2114" s="100" t="s">
        <v>169</v>
      </c>
      <c r="Y2114" s="101" t="s">
        <v>170</v>
      </c>
      <c r="Z2114" s="101" t="s">
        <v>171</v>
      </c>
      <c r="AA2114" s="101" t="s">
        <v>50</v>
      </c>
      <c r="AB2114" s="101" t="s">
        <v>172</v>
      </c>
      <c r="AC2114" s="102" t="s">
        <v>173</v>
      </c>
    </row>
    <row r="2115" spans="1:29" ht="25.5" customHeight="1" x14ac:dyDescent="0.35">
      <c r="A2115" s="392"/>
      <c r="B2115" s="393"/>
      <c r="C2115" s="99" t="str">
        <f>IF(B2115="","",IF(NOT(ISNUMBER(B2115)),"DATA_PC invalida",IF(NOT(ISNUMBER(parametros!$C$2)),"Fora dos ciclos",IF(OR(B2115&lt;parametros!$C$2,(YEAR(B2115)-YEAR(parametros!$C$2))*12+MONTH(B2115)-MONTH(parametros!$C$2)&gt;59),"Fora dos ciclos","C"&amp;INT(((YEAR(B2115)-YEAR(parametros!$C$2))*12+MONTH(B2115)-MONTH(parametros!$C$2))/12)))))</f>
        <v/>
      </c>
      <c r="D2115" s="394"/>
      <c r="E2115" s="78" t="str">
        <f>IF(C2115="","",IFERROR(VLOOKUP(C2115,parametros!$A$11:$E$15,5,0),""))</f>
        <v/>
      </c>
      <c r="F2115" s="79" t="str">
        <f t="shared" si="167"/>
        <v/>
      </c>
      <c r="G2115" s="395"/>
      <c r="H2115" s="91">
        <f t="shared" si="168"/>
        <v>0</v>
      </c>
      <c r="I2115" s="91" t="str">
        <f t="shared" si="169"/>
        <v/>
      </c>
      <c r="J2115" s="91" t="str">
        <f t="shared" si="170"/>
        <v/>
      </c>
      <c r="K2115" s="92" t="str">
        <f>IF(AND(A2115="",B2115="",D2115="",G2115=""),"",IF(AND(A2115&lt;&gt;"",COUNTIF($A$2:$A$5001,A2115)&gt;1),"NUMERO_PC duplicado",IF(B2115="","DATA_PC vazia",IF(NOT(ISNUMBER(B2115)),"DATA_PC invalida",IF(OR(C2115="",C2115="Fora dos ciclos"),"CICLO_PC nao identificado",IF(OR(D2115="",D2115=0),"VALOR_PC vazio ou zero",IF(AND(G2115&lt;&gt;"Sim",G2115&lt;&gt;"Nao",G2115&lt;&gt;""),"PC_PAGO_A_CONTRATADA invalido",IF(AND(C2115&lt;&gt;"C0",IFERROR(INDEX(parametros!$A$2:$A$6,MATCH(C2115,parametros!$B$2:$B$6,0)),"")="Sim",IFERROR(INDEX(parametros!$H$2:$H$6,MATCH(C2115,parametros!$B$2:$B$6,0)),"")=""),"INICIO_EFEITO ausente: PC "&amp;A2115&amp;" - "&amp;C2115,IF(L2115="","EFEITO_PC nao calculado: PC "&amp;A2115&amp;" - "&amp;C2115,"OK")))))))))</f>
        <v/>
      </c>
      <c r="L2115" s="92" t="str">
        <f>IF(AND(A2115="",B2115="",D2115="",G2115=""),"",IF(OR(B2115="",NOT(ISNUMBER(B2115)),C2115="",C2115="Fora dos ciclos"),"",IF(C2115="C0","Nao",IF(IFERROR(INDEX(parametros!$A$2:$A$6,MATCH(C2115,parametros!$B$2:$B$6,0)),"")&lt;&gt;"Sim","Nao",IF(IFERROR(INDEX(parametros!$H$2:$H$6,MATCH(C2115,parametros!$B$2:$B$6,0)),"")="","",IF(B2115&gt;=IFERROR(INDEX(parametros!$H$2:$H$6,MATCH(C2115,parametros!$B$2:$B$6,0)),""),"Sim","Nao"))))))</f>
        <v/>
      </c>
      <c r="T2115" s="156"/>
      <c r="U2115" s="214" t="str">
        <f t="shared" si="171"/>
        <v/>
      </c>
      <c r="V2115" s="212" t="s">
        <v>50</v>
      </c>
      <c r="W2115" s="100" t="s">
        <v>168</v>
      </c>
      <c r="X2115" s="100" t="s">
        <v>169</v>
      </c>
      <c r="Y2115" s="101" t="s">
        <v>170</v>
      </c>
      <c r="Z2115" s="101" t="s">
        <v>171</v>
      </c>
      <c r="AA2115" s="101" t="s">
        <v>50</v>
      </c>
      <c r="AB2115" s="101" t="s">
        <v>172</v>
      </c>
      <c r="AC2115" s="102" t="s">
        <v>173</v>
      </c>
    </row>
    <row r="2116" spans="1:29" ht="25.5" customHeight="1" x14ac:dyDescent="0.35">
      <c r="A2116" s="392"/>
      <c r="B2116" s="393"/>
      <c r="C2116" s="99" t="str">
        <f>IF(B2116="","",IF(NOT(ISNUMBER(B2116)),"DATA_PC invalida",IF(NOT(ISNUMBER(parametros!$C$2)),"Fora dos ciclos",IF(OR(B2116&lt;parametros!$C$2,(YEAR(B2116)-YEAR(parametros!$C$2))*12+MONTH(B2116)-MONTH(parametros!$C$2)&gt;59),"Fora dos ciclos","C"&amp;INT(((YEAR(B2116)-YEAR(parametros!$C$2))*12+MONTH(B2116)-MONTH(parametros!$C$2))/12)))))</f>
        <v/>
      </c>
      <c r="D2116" s="394"/>
      <c r="E2116" s="78" t="str">
        <f>IF(C2116="","",IFERROR(VLOOKUP(C2116,parametros!$A$11:$E$15,5,0),""))</f>
        <v/>
      </c>
      <c r="F2116" s="79" t="str">
        <f t="shared" si="167"/>
        <v/>
      </c>
      <c r="G2116" s="395"/>
      <c r="H2116" s="91">
        <f t="shared" si="168"/>
        <v>0</v>
      </c>
      <c r="I2116" s="91" t="str">
        <f t="shared" si="169"/>
        <v/>
      </c>
      <c r="J2116" s="91" t="str">
        <f t="shared" si="170"/>
        <v/>
      </c>
      <c r="K2116" s="92" t="str">
        <f>IF(AND(A2116="",B2116="",D2116="",G2116=""),"",IF(AND(A2116&lt;&gt;"",COUNTIF($A$2:$A$5001,A2116)&gt;1),"NUMERO_PC duplicado",IF(B2116="","DATA_PC vazia",IF(NOT(ISNUMBER(B2116)),"DATA_PC invalida",IF(OR(C2116="",C2116="Fora dos ciclos"),"CICLO_PC nao identificado",IF(OR(D2116="",D2116=0),"VALOR_PC vazio ou zero",IF(AND(G2116&lt;&gt;"Sim",G2116&lt;&gt;"Nao",G2116&lt;&gt;""),"PC_PAGO_A_CONTRATADA invalido",IF(AND(C2116&lt;&gt;"C0",IFERROR(INDEX(parametros!$A$2:$A$6,MATCH(C2116,parametros!$B$2:$B$6,0)),"")="Sim",IFERROR(INDEX(parametros!$H$2:$H$6,MATCH(C2116,parametros!$B$2:$B$6,0)),"")=""),"INICIO_EFEITO ausente: PC "&amp;A2116&amp;" - "&amp;C2116,IF(L2116="","EFEITO_PC nao calculado: PC "&amp;A2116&amp;" - "&amp;C2116,"OK")))))))))</f>
        <v/>
      </c>
      <c r="L2116" s="92" t="str">
        <f>IF(AND(A2116="",B2116="",D2116="",G2116=""),"",IF(OR(B2116="",NOT(ISNUMBER(B2116)),C2116="",C2116="Fora dos ciclos"),"",IF(C2116="C0","Nao",IF(IFERROR(INDEX(parametros!$A$2:$A$6,MATCH(C2116,parametros!$B$2:$B$6,0)),"")&lt;&gt;"Sim","Nao",IF(IFERROR(INDEX(parametros!$H$2:$H$6,MATCH(C2116,parametros!$B$2:$B$6,0)),"")="","",IF(B2116&gt;=IFERROR(INDEX(parametros!$H$2:$H$6,MATCH(C2116,parametros!$B$2:$B$6,0)),""),"Sim","Nao"))))))</f>
        <v/>
      </c>
      <c r="T2116" s="156"/>
      <c r="U2116" s="214" t="str">
        <f t="shared" si="171"/>
        <v/>
      </c>
      <c r="V2116" s="212" t="s">
        <v>50</v>
      </c>
      <c r="W2116" s="100" t="s">
        <v>168</v>
      </c>
      <c r="X2116" s="100" t="s">
        <v>169</v>
      </c>
      <c r="Y2116" s="101" t="s">
        <v>170</v>
      </c>
      <c r="Z2116" s="101" t="s">
        <v>171</v>
      </c>
      <c r="AA2116" s="101" t="s">
        <v>50</v>
      </c>
      <c r="AB2116" s="101" t="s">
        <v>172</v>
      </c>
      <c r="AC2116" s="102" t="s">
        <v>173</v>
      </c>
    </row>
    <row r="2117" spans="1:29" ht="25.5" customHeight="1" x14ac:dyDescent="0.35">
      <c r="A2117" s="392"/>
      <c r="B2117" s="393"/>
      <c r="C2117" s="99" t="str">
        <f>IF(B2117="","",IF(NOT(ISNUMBER(B2117)),"DATA_PC invalida",IF(NOT(ISNUMBER(parametros!$C$2)),"Fora dos ciclos",IF(OR(B2117&lt;parametros!$C$2,(YEAR(B2117)-YEAR(parametros!$C$2))*12+MONTH(B2117)-MONTH(parametros!$C$2)&gt;59),"Fora dos ciclos","C"&amp;INT(((YEAR(B2117)-YEAR(parametros!$C$2))*12+MONTH(B2117)-MONTH(parametros!$C$2))/12)))))</f>
        <v/>
      </c>
      <c r="D2117" s="394"/>
      <c r="E2117" s="78" t="str">
        <f>IF(C2117="","",IFERROR(VLOOKUP(C2117,parametros!$A$11:$E$15,5,0),""))</f>
        <v/>
      </c>
      <c r="F2117" s="79" t="str">
        <f t="shared" si="167"/>
        <v/>
      </c>
      <c r="G2117" s="395"/>
      <c r="H2117" s="91">
        <f t="shared" si="168"/>
        <v>0</v>
      </c>
      <c r="I2117" s="91" t="str">
        <f t="shared" si="169"/>
        <v/>
      </c>
      <c r="J2117" s="91" t="str">
        <f t="shared" si="170"/>
        <v/>
      </c>
      <c r="K2117" s="92" t="str">
        <f>IF(AND(A2117="",B2117="",D2117="",G2117=""),"",IF(AND(A2117&lt;&gt;"",COUNTIF($A$2:$A$5001,A2117)&gt;1),"NUMERO_PC duplicado",IF(B2117="","DATA_PC vazia",IF(NOT(ISNUMBER(B2117)),"DATA_PC invalida",IF(OR(C2117="",C2117="Fora dos ciclos"),"CICLO_PC nao identificado",IF(OR(D2117="",D2117=0),"VALOR_PC vazio ou zero",IF(AND(G2117&lt;&gt;"Sim",G2117&lt;&gt;"Nao",G2117&lt;&gt;""),"PC_PAGO_A_CONTRATADA invalido",IF(AND(C2117&lt;&gt;"C0",IFERROR(INDEX(parametros!$A$2:$A$6,MATCH(C2117,parametros!$B$2:$B$6,0)),"")="Sim",IFERROR(INDEX(parametros!$H$2:$H$6,MATCH(C2117,parametros!$B$2:$B$6,0)),"")=""),"INICIO_EFEITO ausente: PC "&amp;A2117&amp;" - "&amp;C2117,IF(L2117="","EFEITO_PC nao calculado: PC "&amp;A2117&amp;" - "&amp;C2117,"OK")))))))))</f>
        <v/>
      </c>
      <c r="L2117" s="92" t="str">
        <f>IF(AND(A2117="",B2117="",D2117="",G2117=""),"",IF(OR(B2117="",NOT(ISNUMBER(B2117)),C2117="",C2117="Fora dos ciclos"),"",IF(C2117="C0","Nao",IF(IFERROR(INDEX(parametros!$A$2:$A$6,MATCH(C2117,parametros!$B$2:$B$6,0)),"")&lt;&gt;"Sim","Nao",IF(IFERROR(INDEX(parametros!$H$2:$H$6,MATCH(C2117,parametros!$B$2:$B$6,0)),"")="","",IF(B2117&gt;=IFERROR(INDEX(parametros!$H$2:$H$6,MATCH(C2117,parametros!$B$2:$B$6,0)),""),"Sim","Nao"))))))</f>
        <v/>
      </c>
      <c r="T2117" s="156"/>
      <c r="U2117" s="214" t="str">
        <f t="shared" si="171"/>
        <v/>
      </c>
      <c r="V2117" s="212" t="s">
        <v>50</v>
      </c>
      <c r="W2117" s="100" t="s">
        <v>168</v>
      </c>
      <c r="X2117" s="100" t="s">
        <v>169</v>
      </c>
      <c r="Y2117" s="101" t="s">
        <v>170</v>
      </c>
      <c r="Z2117" s="101" t="s">
        <v>171</v>
      </c>
      <c r="AA2117" s="101" t="s">
        <v>50</v>
      </c>
      <c r="AB2117" s="101" t="s">
        <v>172</v>
      </c>
      <c r="AC2117" s="102" t="s">
        <v>173</v>
      </c>
    </row>
    <row r="2118" spans="1:29" ht="25.5" customHeight="1" x14ac:dyDescent="0.35">
      <c r="A2118" s="392"/>
      <c r="B2118" s="393"/>
      <c r="C2118" s="99" t="str">
        <f>IF(B2118="","",IF(NOT(ISNUMBER(B2118)),"DATA_PC invalida",IF(NOT(ISNUMBER(parametros!$C$2)),"Fora dos ciclos",IF(OR(B2118&lt;parametros!$C$2,(YEAR(B2118)-YEAR(parametros!$C$2))*12+MONTH(B2118)-MONTH(parametros!$C$2)&gt;59),"Fora dos ciclos","C"&amp;INT(((YEAR(B2118)-YEAR(parametros!$C$2))*12+MONTH(B2118)-MONTH(parametros!$C$2))/12)))))</f>
        <v/>
      </c>
      <c r="D2118" s="394"/>
      <c r="E2118" s="78" t="str">
        <f>IF(C2118="","",IFERROR(VLOOKUP(C2118,parametros!$A$11:$E$15,5,0),""))</f>
        <v/>
      </c>
      <c r="F2118" s="79" t="str">
        <f t="shared" si="167"/>
        <v/>
      </c>
      <c r="G2118" s="395"/>
      <c r="H2118" s="91">
        <f t="shared" si="168"/>
        <v>0</v>
      </c>
      <c r="I2118" s="91" t="str">
        <f t="shared" si="169"/>
        <v/>
      </c>
      <c r="J2118" s="91" t="str">
        <f t="shared" si="170"/>
        <v/>
      </c>
      <c r="K2118" s="92" t="str">
        <f>IF(AND(A2118="",B2118="",D2118="",G2118=""),"",IF(AND(A2118&lt;&gt;"",COUNTIF($A$2:$A$5001,A2118)&gt;1),"NUMERO_PC duplicado",IF(B2118="","DATA_PC vazia",IF(NOT(ISNUMBER(B2118)),"DATA_PC invalida",IF(OR(C2118="",C2118="Fora dos ciclos"),"CICLO_PC nao identificado",IF(OR(D2118="",D2118=0),"VALOR_PC vazio ou zero",IF(AND(G2118&lt;&gt;"Sim",G2118&lt;&gt;"Nao",G2118&lt;&gt;""),"PC_PAGO_A_CONTRATADA invalido",IF(AND(C2118&lt;&gt;"C0",IFERROR(INDEX(parametros!$A$2:$A$6,MATCH(C2118,parametros!$B$2:$B$6,0)),"")="Sim",IFERROR(INDEX(parametros!$H$2:$H$6,MATCH(C2118,parametros!$B$2:$B$6,0)),"")=""),"INICIO_EFEITO ausente: PC "&amp;A2118&amp;" - "&amp;C2118,IF(L2118="","EFEITO_PC nao calculado: PC "&amp;A2118&amp;" - "&amp;C2118,"OK")))))))))</f>
        <v/>
      </c>
      <c r="L2118" s="92" t="str">
        <f>IF(AND(A2118="",B2118="",D2118="",G2118=""),"",IF(OR(B2118="",NOT(ISNUMBER(B2118)),C2118="",C2118="Fora dos ciclos"),"",IF(C2118="C0","Nao",IF(IFERROR(INDEX(parametros!$A$2:$A$6,MATCH(C2118,parametros!$B$2:$B$6,0)),"")&lt;&gt;"Sim","Nao",IF(IFERROR(INDEX(parametros!$H$2:$H$6,MATCH(C2118,parametros!$B$2:$B$6,0)),"")="","",IF(B2118&gt;=IFERROR(INDEX(parametros!$H$2:$H$6,MATCH(C2118,parametros!$B$2:$B$6,0)),""),"Sim","Nao"))))))</f>
        <v/>
      </c>
      <c r="T2118" s="156"/>
      <c r="U2118" s="214" t="str">
        <f t="shared" si="171"/>
        <v/>
      </c>
      <c r="V2118" s="212" t="s">
        <v>50</v>
      </c>
      <c r="W2118" s="100" t="s">
        <v>168</v>
      </c>
      <c r="X2118" s="100" t="s">
        <v>169</v>
      </c>
      <c r="Y2118" s="101" t="s">
        <v>170</v>
      </c>
      <c r="Z2118" s="101" t="s">
        <v>171</v>
      </c>
      <c r="AA2118" s="101" t="s">
        <v>50</v>
      </c>
      <c r="AB2118" s="101" t="s">
        <v>172</v>
      </c>
      <c r="AC2118" s="102" t="s">
        <v>173</v>
      </c>
    </row>
    <row r="2119" spans="1:29" ht="25.5" customHeight="1" x14ac:dyDescent="0.35">
      <c r="A2119" s="392"/>
      <c r="B2119" s="393"/>
      <c r="C2119" s="99" t="str">
        <f>IF(B2119="","",IF(NOT(ISNUMBER(B2119)),"DATA_PC invalida",IF(NOT(ISNUMBER(parametros!$C$2)),"Fora dos ciclos",IF(OR(B2119&lt;parametros!$C$2,(YEAR(B2119)-YEAR(parametros!$C$2))*12+MONTH(B2119)-MONTH(parametros!$C$2)&gt;59),"Fora dos ciclos","C"&amp;INT(((YEAR(B2119)-YEAR(parametros!$C$2))*12+MONTH(B2119)-MONTH(parametros!$C$2))/12)))))</f>
        <v/>
      </c>
      <c r="D2119" s="394"/>
      <c r="E2119" s="78" t="str">
        <f>IF(C2119="","",IFERROR(VLOOKUP(C2119,parametros!$A$11:$E$15,5,0),""))</f>
        <v/>
      </c>
      <c r="F2119" s="79" t="str">
        <f t="shared" si="167"/>
        <v/>
      </c>
      <c r="G2119" s="395"/>
      <c r="H2119" s="91">
        <f t="shared" si="168"/>
        <v>0</v>
      </c>
      <c r="I2119" s="91" t="str">
        <f t="shared" si="169"/>
        <v/>
      </c>
      <c r="J2119" s="91" t="str">
        <f t="shared" si="170"/>
        <v/>
      </c>
      <c r="K2119" s="92" t="str">
        <f>IF(AND(A2119="",B2119="",D2119="",G2119=""),"",IF(AND(A2119&lt;&gt;"",COUNTIF($A$2:$A$5001,A2119)&gt;1),"NUMERO_PC duplicado",IF(B2119="","DATA_PC vazia",IF(NOT(ISNUMBER(B2119)),"DATA_PC invalida",IF(OR(C2119="",C2119="Fora dos ciclos"),"CICLO_PC nao identificado",IF(OR(D2119="",D2119=0),"VALOR_PC vazio ou zero",IF(AND(G2119&lt;&gt;"Sim",G2119&lt;&gt;"Nao",G2119&lt;&gt;""),"PC_PAGO_A_CONTRATADA invalido",IF(AND(C2119&lt;&gt;"C0",IFERROR(INDEX(parametros!$A$2:$A$6,MATCH(C2119,parametros!$B$2:$B$6,0)),"")="Sim",IFERROR(INDEX(parametros!$H$2:$H$6,MATCH(C2119,parametros!$B$2:$B$6,0)),"")=""),"INICIO_EFEITO ausente: PC "&amp;A2119&amp;" - "&amp;C2119,IF(L2119="","EFEITO_PC nao calculado: PC "&amp;A2119&amp;" - "&amp;C2119,"OK")))))))))</f>
        <v/>
      </c>
      <c r="L2119" s="92" t="str">
        <f>IF(AND(A2119="",B2119="",D2119="",G2119=""),"",IF(OR(B2119="",NOT(ISNUMBER(B2119)),C2119="",C2119="Fora dos ciclos"),"",IF(C2119="C0","Nao",IF(IFERROR(INDEX(parametros!$A$2:$A$6,MATCH(C2119,parametros!$B$2:$B$6,0)),"")&lt;&gt;"Sim","Nao",IF(IFERROR(INDEX(parametros!$H$2:$H$6,MATCH(C2119,parametros!$B$2:$B$6,0)),"")="","",IF(B2119&gt;=IFERROR(INDEX(parametros!$H$2:$H$6,MATCH(C2119,parametros!$B$2:$B$6,0)),""),"Sim","Nao"))))))</f>
        <v/>
      </c>
      <c r="T2119" s="156"/>
      <c r="U2119" s="214" t="str">
        <f t="shared" si="171"/>
        <v/>
      </c>
      <c r="V2119" s="212" t="s">
        <v>50</v>
      </c>
      <c r="W2119" s="100" t="s">
        <v>168</v>
      </c>
      <c r="X2119" s="100" t="s">
        <v>169</v>
      </c>
      <c r="Y2119" s="101" t="s">
        <v>170</v>
      </c>
      <c r="Z2119" s="101" t="s">
        <v>171</v>
      </c>
      <c r="AA2119" s="101" t="s">
        <v>50</v>
      </c>
      <c r="AB2119" s="101" t="s">
        <v>172</v>
      </c>
      <c r="AC2119" s="102" t="s">
        <v>173</v>
      </c>
    </row>
    <row r="2120" spans="1:29" ht="25.5" customHeight="1" x14ac:dyDescent="0.35">
      <c r="A2120" s="392"/>
      <c r="B2120" s="393"/>
      <c r="C2120" s="99" t="str">
        <f>IF(B2120="","",IF(NOT(ISNUMBER(B2120)),"DATA_PC invalida",IF(NOT(ISNUMBER(parametros!$C$2)),"Fora dos ciclos",IF(OR(B2120&lt;parametros!$C$2,(YEAR(B2120)-YEAR(parametros!$C$2))*12+MONTH(B2120)-MONTH(parametros!$C$2)&gt;59),"Fora dos ciclos","C"&amp;INT(((YEAR(B2120)-YEAR(parametros!$C$2))*12+MONTH(B2120)-MONTH(parametros!$C$2))/12)))))</f>
        <v/>
      </c>
      <c r="D2120" s="394"/>
      <c r="E2120" s="78" t="str">
        <f>IF(C2120="","",IFERROR(VLOOKUP(C2120,parametros!$A$11:$E$15,5,0),""))</f>
        <v/>
      </c>
      <c r="F2120" s="79" t="str">
        <f t="shared" si="167"/>
        <v/>
      </c>
      <c r="G2120" s="395"/>
      <c r="H2120" s="91">
        <f t="shared" si="168"/>
        <v>0</v>
      </c>
      <c r="I2120" s="91" t="str">
        <f t="shared" si="169"/>
        <v/>
      </c>
      <c r="J2120" s="91" t="str">
        <f t="shared" si="170"/>
        <v/>
      </c>
      <c r="K2120" s="92" t="str">
        <f>IF(AND(A2120="",B2120="",D2120="",G2120=""),"",IF(AND(A2120&lt;&gt;"",COUNTIF($A$2:$A$5001,A2120)&gt;1),"NUMERO_PC duplicado",IF(B2120="","DATA_PC vazia",IF(NOT(ISNUMBER(B2120)),"DATA_PC invalida",IF(OR(C2120="",C2120="Fora dos ciclos"),"CICLO_PC nao identificado",IF(OR(D2120="",D2120=0),"VALOR_PC vazio ou zero",IF(AND(G2120&lt;&gt;"Sim",G2120&lt;&gt;"Nao",G2120&lt;&gt;""),"PC_PAGO_A_CONTRATADA invalido",IF(AND(C2120&lt;&gt;"C0",IFERROR(INDEX(parametros!$A$2:$A$6,MATCH(C2120,parametros!$B$2:$B$6,0)),"")="Sim",IFERROR(INDEX(parametros!$H$2:$H$6,MATCH(C2120,parametros!$B$2:$B$6,0)),"")=""),"INICIO_EFEITO ausente: PC "&amp;A2120&amp;" - "&amp;C2120,IF(L2120="","EFEITO_PC nao calculado: PC "&amp;A2120&amp;" - "&amp;C2120,"OK")))))))))</f>
        <v/>
      </c>
      <c r="L2120" s="92" t="str">
        <f>IF(AND(A2120="",B2120="",D2120="",G2120=""),"",IF(OR(B2120="",NOT(ISNUMBER(B2120)),C2120="",C2120="Fora dos ciclos"),"",IF(C2120="C0","Nao",IF(IFERROR(INDEX(parametros!$A$2:$A$6,MATCH(C2120,parametros!$B$2:$B$6,0)),"")&lt;&gt;"Sim","Nao",IF(IFERROR(INDEX(parametros!$H$2:$H$6,MATCH(C2120,parametros!$B$2:$B$6,0)),"")="","",IF(B2120&gt;=IFERROR(INDEX(parametros!$H$2:$H$6,MATCH(C2120,parametros!$B$2:$B$6,0)),""),"Sim","Nao"))))))</f>
        <v/>
      </c>
      <c r="T2120" s="156"/>
      <c r="U2120" s="214" t="str">
        <f t="shared" si="171"/>
        <v/>
      </c>
      <c r="V2120" s="212" t="s">
        <v>50</v>
      </c>
      <c r="W2120" s="100" t="s">
        <v>168</v>
      </c>
      <c r="X2120" s="100" t="s">
        <v>169</v>
      </c>
      <c r="Y2120" s="101" t="s">
        <v>170</v>
      </c>
      <c r="Z2120" s="101" t="s">
        <v>171</v>
      </c>
      <c r="AA2120" s="101" t="s">
        <v>50</v>
      </c>
      <c r="AB2120" s="101" t="s">
        <v>172</v>
      </c>
      <c r="AC2120" s="102" t="s">
        <v>173</v>
      </c>
    </row>
    <row r="2121" spans="1:29" ht="25.5" customHeight="1" x14ac:dyDescent="0.35">
      <c r="A2121" s="392"/>
      <c r="B2121" s="393"/>
      <c r="C2121" s="99" t="str">
        <f>IF(B2121="","",IF(NOT(ISNUMBER(B2121)),"DATA_PC invalida",IF(NOT(ISNUMBER(parametros!$C$2)),"Fora dos ciclos",IF(OR(B2121&lt;parametros!$C$2,(YEAR(B2121)-YEAR(parametros!$C$2))*12+MONTH(B2121)-MONTH(parametros!$C$2)&gt;59),"Fora dos ciclos","C"&amp;INT(((YEAR(B2121)-YEAR(parametros!$C$2))*12+MONTH(B2121)-MONTH(parametros!$C$2))/12)))))</f>
        <v/>
      </c>
      <c r="D2121" s="394"/>
      <c r="E2121" s="78" t="str">
        <f>IF(C2121="","",IFERROR(VLOOKUP(C2121,parametros!$A$11:$E$15,5,0),""))</f>
        <v/>
      </c>
      <c r="F2121" s="79" t="str">
        <f t="shared" si="167"/>
        <v/>
      </c>
      <c r="G2121" s="395"/>
      <c r="H2121" s="91">
        <f t="shared" si="168"/>
        <v>0</v>
      </c>
      <c r="I2121" s="91" t="str">
        <f t="shared" si="169"/>
        <v/>
      </c>
      <c r="J2121" s="91" t="str">
        <f t="shared" si="170"/>
        <v/>
      </c>
      <c r="K2121" s="92" t="str">
        <f>IF(AND(A2121="",B2121="",D2121="",G2121=""),"",IF(AND(A2121&lt;&gt;"",COUNTIF($A$2:$A$5001,A2121)&gt;1),"NUMERO_PC duplicado",IF(B2121="","DATA_PC vazia",IF(NOT(ISNUMBER(B2121)),"DATA_PC invalida",IF(OR(C2121="",C2121="Fora dos ciclos"),"CICLO_PC nao identificado",IF(OR(D2121="",D2121=0),"VALOR_PC vazio ou zero",IF(AND(G2121&lt;&gt;"Sim",G2121&lt;&gt;"Nao",G2121&lt;&gt;""),"PC_PAGO_A_CONTRATADA invalido",IF(AND(C2121&lt;&gt;"C0",IFERROR(INDEX(parametros!$A$2:$A$6,MATCH(C2121,parametros!$B$2:$B$6,0)),"")="Sim",IFERROR(INDEX(parametros!$H$2:$H$6,MATCH(C2121,parametros!$B$2:$B$6,0)),"")=""),"INICIO_EFEITO ausente: PC "&amp;A2121&amp;" - "&amp;C2121,IF(L2121="","EFEITO_PC nao calculado: PC "&amp;A2121&amp;" - "&amp;C2121,"OK")))))))))</f>
        <v/>
      </c>
      <c r="L2121" s="92" t="str">
        <f>IF(AND(A2121="",B2121="",D2121="",G2121=""),"",IF(OR(B2121="",NOT(ISNUMBER(B2121)),C2121="",C2121="Fora dos ciclos"),"",IF(C2121="C0","Nao",IF(IFERROR(INDEX(parametros!$A$2:$A$6,MATCH(C2121,parametros!$B$2:$B$6,0)),"")&lt;&gt;"Sim","Nao",IF(IFERROR(INDEX(parametros!$H$2:$H$6,MATCH(C2121,parametros!$B$2:$B$6,0)),"")="","",IF(B2121&gt;=IFERROR(INDEX(parametros!$H$2:$H$6,MATCH(C2121,parametros!$B$2:$B$6,0)),""),"Sim","Nao"))))))</f>
        <v/>
      </c>
      <c r="T2121" s="156"/>
      <c r="U2121" s="214" t="str">
        <f t="shared" si="171"/>
        <v/>
      </c>
      <c r="V2121" s="212" t="s">
        <v>50</v>
      </c>
      <c r="W2121" s="100" t="s">
        <v>168</v>
      </c>
      <c r="X2121" s="100" t="s">
        <v>169</v>
      </c>
      <c r="Y2121" s="101" t="s">
        <v>170</v>
      </c>
      <c r="Z2121" s="101" t="s">
        <v>171</v>
      </c>
      <c r="AA2121" s="101" t="s">
        <v>50</v>
      </c>
      <c r="AB2121" s="101" t="s">
        <v>172</v>
      </c>
      <c r="AC2121" s="102" t="s">
        <v>173</v>
      </c>
    </row>
    <row r="2122" spans="1:29" ht="25.5" customHeight="1" x14ac:dyDescent="0.35">
      <c r="A2122" s="392"/>
      <c r="B2122" s="393"/>
      <c r="C2122" s="99" t="str">
        <f>IF(B2122="","",IF(NOT(ISNUMBER(B2122)),"DATA_PC invalida",IF(NOT(ISNUMBER(parametros!$C$2)),"Fora dos ciclos",IF(OR(B2122&lt;parametros!$C$2,(YEAR(B2122)-YEAR(parametros!$C$2))*12+MONTH(B2122)-MONTH(parametros!$C$2)&gt;59),"Fora dos ciclos","C"&amp;INT(((YEAR(B2122)-YEAR(parametros!$C$2))*12+MONTH(B2122)-MONTH(parametros!$C$2))/12)))))</f>
        <v/>
      </c>
      <c r="D2122" s="394"/>
      <c r="E2122" s="78" t="str">
        <f>IF(C2122="","",IFERROR(VLOOKUP(C2122,parametros!$A$11:$E$15,5,0),""))</f>
        <v/>
      </c>
      <c r="F2122" s="79" t="str">
        <f t="shared" si="167"/>
        <v/>
      </c>
      <c r="G2122" s="395"/>
      <c r="H2122" s="91">
        <f t="shared" si="168"/>
        <v>0</v>
      </c>
      <c r="I2122" s="91" t="str">
        <f t="shared" si="169"/>
        <v/>
      </c>
      <c r="J2122" s="91" t="str">
        <f t="shared" si="170"/>
        <v/>
      </c>
      <c r="K2122" s="92" t="str">
        <f>IF(AND(A2122="",B2122="",D2122="",G2122=""),"",IF(AND(A2122&lt;&gt;"",COUNTIF($A$2:$A$5001,A2122)&gt;1),"NUMERO_PC duplicado",IF(B2122="","DATA_PC vazia",IF(NOT(ISNUMBER(B2122)),"DATA_PC invalida",IF(OR(C2122="",C2122="Fora dos ciclos"),"CICLO_PC nao identificado",IF(OR(D2122="",D2122=0),"VALOR_PC vazio ou zero",IF(AND(G2122&lt;&gt;"Sim",G2122&lt;&gt;"Nao",G2122&lt;&gt;""),"PC_PAGO_A_CONTRATADA invalido",IF(AND(C2122&lt;&gt;"C0",IFERROR(INDEX(parametros!$A$2:$A$6,MATCH(C2122,parametros!$B$2:$B$6,0)),"")="Sim",IFERROR(INDEX(parametros!$H$2:$H$6,MATCH(C2122,parametros!$B$2:$B$6,0)),"")=""),"INICIO_EFEITO ausente: PC "&amp;A2122&amp;" - "&amp;C2122,IF(L2122="","EFEITO_PC nao calculado: PC "&amp;A2122&amp;" - "&amp;C2122,"OK")))))))))</f>
        <v/>
      </c>
      <c r="L2122" s="92" t="str">
        <f>IF(AND(A2122="",B2122="",D2122="",G2122=""),"",IF(OR(B2122="",NOT(ISNUMBER(B2122)),C2122="",C2122="Fora dos ciclos"),"",IF(C2122="C0","Nao",IF(IFERROR(INDEX(parametros!$A$2:$A$6,MATCH(C2122,parametros!$B$2:$B$6,0)),"")&lt;&gt;"Sim","Nao",IF(IFERROR(INDEX(parametros!$H$2:$H$6,MATCH(C2122,parametros!$B$2:$B$6,0)),"")="","",IF(B2122&gt;=IFERROR(INDEX(parametros!$H$2:$H$6,MATCH(C2122,parametros!$B$2:$B$6,0)),""),"Sim","Nao"))))))</f>
        <v/>
      </c>
      <c r="T2122" s="156"/>
      <c r="U2122" s="214" t="str">
        <f t="shared" si="171"/>
        <v/>
      </c>
      <c r="V2122" s="212" t="s">
        <v>50</v>
      </c>
      <c r="W2122" s="100" t="s">
        <v>168</v>
      </c>
      <c r="X2122" s="100" t="s">
        <v>169</v>
      </c>
      <c r="Y2122" s="101" t="s">
        <v>170</v>
      </c>
      <c r="Z2122" s="101" t="s">
        <v>171</v>
      </c>
      <c r="AA2122" s="101" t="s">
        <v>50</v>
      </c>
      <c r="AB2122" s="101" t="s">
        <v>172</v>
      </c>
      <c r="AC2122" s="102" t="s">
        <v>173</v>
      </c>
    </row>
    <row r="2123" spans="1:29" ht="25.5" customHeight="1" x14ac:dyDescent="0.35">
      <c r="A2123" s="392"/>
      <c r="B2123" s="393"/>
      <c r="C2123" s="99" t="str">
        <f>IF(B2123="","",IF(NOT(ISNUMBER(B2123)),"DATA_PC invalida",IF(NOT(ISNUMBER(parametros!$C$2)),"Fora dos ciclos",IF(OR(B2123&lt;parametros!$C$2,(YEAR(B2123)-YEAR(parametros!$C$2))*12+MONTH(B2123)-MONTH(parametros!$C$2)&gt;59),"Fora dos ciclos","C"&amp;INT(((YEAR(B2123)-YEAR(parametros!$C$2))*12+MONTH(B2123)-MONTH(parametros!$C$2))/12)))))</f>
        <v/>
      </c>
      <c r="D2123" s="394"/>
      <c r="E2123" s="78" t="str">
        <f>IF(C2123="","",IFERROR(VLOOKUP(C2123,parametros!$A$11:$E$15,5,0),""))</f>
        <v/>
      </c>
      <c r="F2123" s="79" t="str">
        <f t="shared" si="167"/>
        <v/>
      </c>
      <c r="G2123" s="395"/>
      <c r="H2123" s="91">
        <f t="shared" si="168"/>
        <v>0</v>
      </c>
      <c r="I2123" s="91" t="str">
        <f t="shared" si="169"/>
        <v/>
      </c>
      <c r="J2123" s="91" t="str">
        <f t="shared" si="170"/>
        <v/>
      </c>
      <c r="K2123" s="92" t="str">
        <f>IF(AND(A2123="",B2123="",D2123="",G2123=""),"",IF(AND(A2123&lt;&gt;"",COUNTIF($A$2:$A$5001,A2123)&gt;1),"NUMERO_PC duplicado",IF(B2123="","DATA_PC vazia",IF(NOT(ISNUMBER(B2123)),"DATA_PC invalida",IF(OR(C2123="",C2123="Fora dos ciclos"),"CICLO_PC nao identificado",IF(OR(D2123="",D2123=0),"VALOR_PC vazio ou zero",IF(AND(G2123&lt;&gt;"Sim",G2123&lt;&gt;"Nao",G2123&lt;&gt;""),"PC_PAGO_A_CONTRATADA invalido",IF(AND(C2123&lt;&gt;"C0",IFERROR(INDEX(parametros!$A$2:$A$6,MATCH(C2123,parametros!$B$2:$B$6,0)),"")="Sim",IFERROR(INDEX(parametros!$H$2:$H$6,MATCH(C2123,parametros!$B$2:$B$6,0)),"")=""),"INICIO_EFEITO ausente: PC "&amp;A2123&amp;" - "&amp;C2123,IF(L2123="","EFEITO_PC nao calculado: PC "&amp;A2123&amp;" - "&amp;C2123,"OK")))))))))</f>
        <v/>
      </c>
      <c r="L2123" s="92" t="str">
        <f>IF(AND(A2123="",B2123="",D2123="",G2123=""),"",IF(OR(B2123="",NOT(ISNUMBER(B2123)),C2123="",C2123="Fora dos ciclos"),"",IF(C2123="C0","Nao",IF(IFERROR(INDEX(parametros!$A$2:$A$6,MATCH(C2123,parametros!$B$2:$B$6,0)),"")&lt;&gt;"Sim","Nao",IF(IFERROR(INDEX(parametros!$H$2:$H$6,MATCH(C2123,parametros!$B$2:$B$6,0)),"")="","",IF(B2123&gt;=IFERROR(INDEX(parametros!$H$2:$H$6,MATCH(C2123,parametros!$B$2:$B$6,0)),""),"Sim","Nao"))))))</f>
        <v/>
      </c>
      <c r="T2123" s="156"/>
      <c r="U2123" s="214" t="str">
        <f t="shared" si="171"/>
        <v/>
      </c>
      <c r="V2123" s="212" t="s">
        <v>50</v>
      </c>
      <c r="W2123" s="100" t="s">
        <v>168</v>
      </c>
      <c r="X2123" s="100" t="s">
        <v>169</v>
      </c>
      <c r="Y2123" s="101" t="s">
        <v>170</v>
      </c>
      <c r="Z2123" s="101" t="s">
        <v>171</v>
      </c>
      <c r="AA2123" s="101" t="s">
        <v>50</v>
      </c>
      <c r="AB2123" s="101" t="s">
        <v>172</v>
      </c>
      <c r="AC2123" s="102" t="s">
        <v>173</v>
      </c>
    </row>
    <row r="2124" spans="1:29" ht="25.5" customHeight="1" x14ac:dyDescent="0.35">
      <c r="A2124" s="392"/>
      <c r="B2124" s="393"/>
      <c r="C2124" s="99" t="str">
        <f>IF(B2124="","",IF(NOT(ISNUMBER(B2124)),"DATA_PC invalida",IF(NOT(ISNUMBER(parametros!$C$2)),"Fora dos ciclos",IF(OR(B2124&lt;parametros!$C$2,(YEAR(B2124)-YEAR(parametros!$C$2))*12+MONTH(B2124)-MONTH(parametros!$C$2)&gt;59),"Fora dos ciclos","C"&amp;INT(((YEAR(B2124)-YEAR(parametros!$C$2))*12+MONTH(B2124)-MONTH(parametros!$C$2))/12)))))</f>
        <v/>
      </c>
      <c r="D2124" s="394"/>
      <c r="E2124" s="78" t="str">
        <f>IF(C2124="","",IFERROR(VLOOKUP(C2124,parametros!$A$11:$E$15,5,0),""))</f>
        <v/>
      </c>
      <c r="F2124" s="79" t="str">
        <f t="shared" si="167"/>
        <v/>
      </c>
      <c r="G2124" s="395"/>
      <c r="H2124" s="91">
        <f t="shared" si="168"/>
        <v>0</v>
      </c>
      <c r="I2124" s="91" t="str">
        <f t="shared" si="169"/>
        <v/>
      </c>
      <c r="J2124" s="91" t="str">
        <f t="shared" si="170"/>
        <v/>
      </c>
      <c r="K2124" s="92" t="str">
        <f>IF(AND(A2124="",B2124="",D2124="",G2124=""),"",IF(AND(A2124&lt;&gt;"",COUNTIF($A$2:$A$5001,A2124)&gt;1),"NUMERO_PC duplicado",IF(B2124="","DATA_PC vazia",IF(NOT(ISNUMBER(B2124)),"DATA_PC invalida",IF(OR(C2124="",C2124="Fora dos ciclos"),"CICLO_PC nao identificado",IF(OR(D2124="",D2124=0),"VALOR_PC vazio ou zero",IF(AND(G2124&lt;&gt;"Sim",G2124&lt;&gt;"Nao",G2124&lt;&gt;""),"PC_PAGO_A_CONTRATADA invalido",IF(AND(C2124&lt;&gt;"C0",IFERROR(INDEX(parametros!$A$2:$A$6,MATCH(C2124,parametros!$B$2:$B$6,0)),"")="Sim",IFERROR(INDEX(parametros!$H$2:$H$6,MATCH(C2124,parametros!$B$2:$B$6,0)),"")=""),"INICIO_EFEITO ausente: PC "&amp;A2124&amp;" - "&amp;C2124,IF(L2124="","EFEITO_PC nao calculado: PC "&amp;A2124&amp;" - "&amp;C2124,"OK")))))))))</f>
        <v/>
      </c>
      <c r="L2124" s="92" t="str">
        <f>IF(AND(A2124="",B2124="",D2124="",G2124=""),"",IF(OR(B2124="",NOT(ISNUMBER(B2124)),C2124="",C2124="Fora dos ciclos"),"",IF(C2124="C0","Nao",IF(IFERROR(INDEX(parametros!$A$2:$A$6,MATCH(C2124,parametros!$B$2:$B$6,0)),"")&lt;&gt;"Sim","Nao",IF(IFERROR(INDEX(parametros!$H$2:$H$6,MATCH(C2124,parametros!$B$2:$B$6,0)),"")="","",IF(B2124&gt;=IFERROR(INDEX(parametros!$H$2:$H$6,MATCH(C2124,parametros!$B$2:$B$6,0)),""),"Sim","Nao"))))))</f>
        <v/>
      </c>
      <c r="T2124" s="156"/>
      <c r="U2124" s="214" t="str">
        <f t="shared" si="171"/>
        <v/>
      </c>
      <c r="V2124" s="212" t="s">
        <v>50</v>
      </c>
      <c r="W2124" s="100" t="s">
        <v>168</v>
      </c>
      <c r="X2124" s="100" t="s">
        <v>169</v>
      </c>
      <c r="Y2124" s="101" t="s">
        <v>170</v>
      </c>
      <c r="Z2124" s="101" t="s">
        <v>171</v>
      </c>
      <c r="AA2124" s="101" t="s">
        <v>50</v>
      </c>
      <c r="AB2124" s="101" t="s">
        <v>172</v>
      </c>
      <c r="AC2124" s="102" t="s">
        <v>173</v>
      </c>
    </row>
    <row r="2125" spans="1:29" ht="25.5" customHeight="1" x14ac:dyDescent="0.35">
      <c r="A2125" s="392"/>
      <c r="B2125" s="393"/>
      <c r="C2125" s="99" t="str">
        <f>IF(B2125="","",IF(NOT(ISNUMBER(B2125)),"DATA_PC invalida",IF(NOT(ISNUMBER(parametros!$C$2)),"Fora dos ciclos",IF(OR(B2125&lt;parametros!$C$2,(YEAR(B2125)-YEAR(parametros!$C$2))*12+MONTH(B2125)-MONTH(parametros!$C$2)&gt;59),"Fora dos ciclos","C"&amp;INT(((YEAR(B2125)-YEAR(parametros!$C$2))*12+MONTH(B2125)-MONTH(parametros!$C$2))/12)))))</f>
        <v/>
      </c>
      <c r="D2125" s="394"/>
      <c r="E2125" s="78" t="str">
        <f>IF(C2125="","",IFERROR(VLOOKUP(C2125,parametros!$A$11:$E$15,5,0),""))</f>
        <v/>
      </c>
      <c r="F2125" s="79" t="str">
        <f t="shared" si="167"/>
        <v/>
      </c>
      <c r="G2125" s="395"/>
      <c r="H2125" s="91">
        <f t="shared" si="168"/>
        <v>0</v>
      </c>
      <c r="I2125" s="91" t="str">
        <f t="shared" si="169"/>
        <v/>
      </c>
      <c r="J2125" s="91" t="str">
        <f t="shared" si="170"/>
        <v/>
      </c>
      <c r="K2125" s="92" t="str">
        <f>IF(AND(A2125="",B2125="",D2125="",G2125=""),"",IF(AND(A2125&lt;&gt;"",COUNTIF($A$2:$A$5001,A2125)&gt;1),"NUMERO_PC duplicado",IF(B2125="","DATA_PC vazia",IF(NOT(ISNUMBER(B2125)),"DATA_PC invalida",IF(OR(C2125="",C2125="Fora dos ciclos"),"CICLO_PC nao identificado",IF(OR(D2125="",D2125=0),"VALOR_PC vazio ou zero",IF(AND(G2125&lt;&gt;"Sim",G2125&lt;&gt;"Nao",G2125&lt;&gt;""),"PC_PAGO_A_CONTRATADA invalido",IF(AND(C2125&lt;&gt;"C0",IFERROR(INDEX(parametros!$A$2:$A$6,MATCH(C2125,parametros!$B$2:$B$6,0)),"")="Sim",IFERROR(INDEX(parametros!$H$2:$H$6,MATCH(C2125,parametros!$B$2:$B$6,0)),"")=""),"INICIO_EFEITO ausente: PC "&amp;A2125&amp;" - "&amp;C2125,IF(L2125="","EFEITO_PC nao calculado: PC "&amp;A2125&amp;" - "&amp;C2125,"OK")))))))))</f>
        <v/>
      </c>
      <c r="L2125" s="92" t="str">
        <f>IF(AND(A2125="",B2125="",D2125="",G2125=""),"",IF(OR(B2125="",NOT(ISNUMBER(B2125)),C2125="",C2125="Fora dos ciclos"),"",IF(C2125="C0","Nao",IF(IFERROR(INDEX(parametros!$A$2:$A$6,MATCH(C2125,parametros!$B$2:$B$6,0)),"")&lt;&gt;"Sim","Nao",IF(IFERROR(INDEX(parametros!$H$2:$H$6,MATCH(C2125,parametros!$B$2:$B$6,0)),"")="","",IF(B2125&gt;=IFERROR(INDEX(parametros!$H$2:$H$6,MATCH(C2125,parametros!$B$2:$B$6,0)),""),"Sim","Nao"))))))</f>
        <v/>
      </c>
      <c r="T2125" s="156"/>
      <c r="U2125" s="214" t="str">
        <f t="shared" si="171"/>
        <v/>
      </c>
      <c r="V2125" s="212" t="s">
        <v>50</v>
      </c>
      <c r="W2125" s="100" t="s">
        <v>168</v>
      </c>
      <c r="X2125" s="100" t="s">
        <v>169</v>
      </c>
      <c r="Y2125" s="101" t="s">
        <v>170</v>
      </c>
      <c r="Z2125" s="101" t="s">
        <v>171</v>
      </c>
      <c r="AA2125" s="101" t="s">
        <v>50</v>
      </c>
      <c r="AB2125" s="101" t="s">
        <v>172</v>
      </c>
      <c r="AC2125" s="102" t="s">
        <v>173</v>
      </c>
    </row>
    <row r="2126" spans="1:29" ht="25.5" customHeight="1" x14ac:dyDescent="0.35">
      <c r="A2126" s="392"/>
      <c r="B2126" s="393"/>
      <c r="C2126" s="99" t="str">
        <f>IF(B2126="","",IF(NOT(ISNUMBER(B2126)),"DATA_PC invalida",IF(NOT(ISNUMBER(parametros!$C$2)),"Fora dos ciclos",IF(OR(B2126&lt;parametros!$C$2,(YEAR(B2126)-YEAR(parametros!$C$2))*12+MONTH(B2126)-MONTH(parametros!$C$2)&gt;59),"Fora dos ciclos","C"&amp;INT(((YEAR(B2126)-YEAR(parametros!$C$2))*12+MONTH(B2126)-MONTH(parametros!$C$2))/12)))))</f>
        <v/>
      </c>
      <c r="D2126" s="394"/>
      <c r="E2126" s="78" t="str">
        <f>IF(C2126="","",IFERROR(VLOOKUP(C2126,parametros!$A$11:$E$15,5,0),""))</f>
        <v/>
      </c>
      <c r="F2126" s="79" t="str">
        <f t="shared" si="167"/>
        <v/>
      </c>
      <c r="G2126" s="395"/>
      <c r="H2126" s="91">
        <f t="shared" si="168"/>
        <v>0</v>
      </c>
      <c r="I2126" s="91" t="str">
        <f t="shared" si="169"/>
        <v/>
      </c>
      <c r="J2126" s="91" t="str">
        <f t="shared" si="170"/>
        <v/>
      </c>
      <c r="K2126" s="92" t="str">
        <f>IF(AND(A2126="",B2126="",D2126="",G2126=""),"",IF(AND(A2126&lt;&gt;"",COUNTIF($A$2:$A$5001,A2126)&gt;1),"NUMERO_PC duplicado",IF(B2126="","DATA_PC vazia",IF(NOT(ISNUMBER(B2126)),"DATA_PC invalida",IF(OR(C2126="",C2126="Fora dos ciclos"),"CICLO_PC nao identificado",IF(OR(D2126="",D2126=0),"VALOR_PC vazio ou zero",IF(AND(G2126&lt;&gt;"Sim",G2126&lt;&gt;"Nao",G2126&lt;&gt;""),"PC_PAGO_A_CONTRATADA invalido",IF(AND(C2126&lt;&gt;"C0",IFERROR(INDEX(parametros!$A$2:$A$6,MATCH(C2126,parametros!$B$2:$B$6,0)),"")="Sim",IFERROR(INDEX(parametros!$H$2:$H$6,MATCH(C2126,parametros!$B$2:$B$6,0)),"")=""),"INICIO_EFEITO ausente: PC "&amp;A2126&amp;" - "&amp;C2126,IF(L2126="","EFEITO_PC nao calculado: PC "&amp;A2126&amp;" - "&amp;C2126,"OK")))))))))</f>
        <v/>
      </c>
      <c r="L2126" s="92" t="str">
        <f>IF(AND(A2126="",B2126="",D2126="",G2126=""),"",IF(OR(B2126="",NOT(ISNUMBER(B2126)),C2126="",C2126="Fora dos ciclos"),"",IF(C2126="C0","Nao",IF(IFERROR(INDEX(parametros!$A$2:$A$6,MATCH(C2126,parametros!$B$2:$B$6,0)),"")&lt;&gt;"Sim","Nao",IF(IFERROR(INDEX(parametros!$H$2:$H$6,MATCH(C2126,parametros!$B$2:$B$6,0)),"")="","",IF(B2126&gt;=IFERROR(INDEX(parametros!$H$2:$H$6,MATCH(C2126,parametros!$B$2:$B$6,0)),""),"Sim","Nao"))))))</f>
        <v/>
      </c>
      <c r="T2126" s="156"/>
      <c r="U2126" s="214" t="str">
        <f t="shared" si="171"/>
        <v/>
      </c>
      <c r="V2126" s="212" t="s">
        <v>50</v>
      </c>
      <c r="W2126" s="100" t="s">
        <v>168</v>
      </c>
      <c r="X2126" s="100" t="s">
        <v>169</v>
      </c>
      <c r="Y2126" s="101" t="s">
        <v>170</v>
      </c>
      <c r="Z2126" s="101" t="s">
        <v>171</v>
      </c>
      <c r="AA2126" s="101" t="s">
        <v>50</v>
      </c>
      <c r="AB2126" s="101" t="s">
        <v>172</v>
      </c>
      <c r="AC2126" s="102" t="s">
        <v>173</v>
      </c>
    </row>
    <row r="2127" spans="1:29" ht="25.5" customHeight="1" x14ac:dyDescent="0.35">
      <c r="A2127" s="392"/>
      <c r="B2127" s="393"/>
      <c r="C2127" s="99" t="str">
        <f>IF(B2127="","",IF(NOT(ISNUMBER(B2127)),"DATA_PC invalida",IF(NOT(ISNUMBER(parametros!$C$2)),"Fora dos ciclos",IF(OR(B2127&lt;parametros!$C$2,(YEAR(B2127)-YEAR(parametros!$C$2))*12+MONTH(B2127)-MONTH(parametros!$C$2)&gt;59),"Fora dos ciclos","C"&amp;INT(((YEAR(B2127)-YEAR(parametros!$C$2))*12+MONTH(B2127)-MONTH(parametros!$C$2))/12)))))</f>
        <v/>
      </c>
      <c r="D2127" s="394"/>
      <c r="E2127" s="78" t="str">
        <f>IF(C2127="","",IFERROR(VLOOKUP(C2127,parametros!$A$11:$E$15,5,0),""))</f>
        <v/>
      </c>
      <c r="F2127" s="79" t="str">
        <f t="shared" si="167"/>
        <v/>
      </c>
      <c r="G2127" s="395"/>
      <c r="H2127" s="91">
        <f t="shared" si="168"/>
        <v>0</v>
      </c>
      <c r="I2127" s="91" t="str">
        <f t="shared" si="169"/>
        <v/>
      </c>
      <c r="J2127" s="91" t="str">
        <f t="shared" si="170"/>
        <v/>
      </c>
      <c r="K2127" s="92" t="str">
        <f>IF(AND(A2127="",B2127="",D2127="",G2127=""),"",IF(AND(A2127&lt;&gt;"",COUNTIF($A$2:$A$5001,A2127)&gt;1),"NUMERO_PC duplicado",IF(B2127="","DATA_PC vazia",IF(NOT(ISNUMBER(B2127)),"DATA_PC invalida",IF(OR(C2127="",C2127="Fora dos ciclos"),"CICLO_PC nao identificado",IF(OR(D2127="",D2127=0),"VALOR_PC vazio ou zero",IF(AND(G2127&lt;&gt;"Sim",G2127&lt;&gt;"Nao",G2127&lt;&gt;""),"PC_PAGO_A_CONTRATADA invalido",IF(AND(C2127&lt;&gt;"C0",IFERROR(INDEX(parametros!$A$2:$A$6,MATCH(C2127,parametros!$B$2:$B$6,0)),"")="Sim",IFERROR(INDEX(parametros!$H$2:$H$6,MATCH(C2127,parametros!$B$2:$B$6,0)),"")=""),"INICIO_EFEITO ausente: PC "&amp;A2127&amp;" - "&amp;C2127,IF(L2127="","EFEITO_PC nao calculado: PC "&amp;A2127&amp;" - "&amp;C2127,"OK")))))))))</f>
        <v/>
      </c>
      <c r="L2127" s="92" t="str">
        <f>IF(AND(A2127="",B2127="",D2127="",G2127=""),"",IF(OR(B2127="",NOT(ISNUMBER(B2127)),C2127="",C2127="Fora dos ciclos"),"",IF(C2127="C0","Nao",IF(IFERROR(INDEX(parametros!$A$2:$A$6,MATCH(C2127,parametros!$B$2:$B$6,0)),"")&lt;&gt;"Sim","Nao",IF(IFERROR(INDEX(parametros!$H$2:$H$6,MATCH(C2127,parametros!$B$2:$B$6,0)),"")="","",IF(B2127&gt;=IFERROR(INDEX(parametros!$H$2:$H$6,MATCH(C2127,parametros!$B$2:$B$6,0)),""),"Sim","Nao"))))))</f>
        <v/>
      </c>
      <c r="T2127" s="156"/>
      <c r="U2127" s="214" t="str">
        <f t="shared" si="171"/>
        <v/>
      </c>
      <c r="V2127" s="212" t="s">
        <v>50</v>
      </c>
      <c r="W2127" s="100" t="s">
        <v>168</v>
      </c>
      <c r="X2127" s="100" t="s">
        <v>169</v>
      </c>
      <c r="Y2127" s="101" t="s">
        <v>170</v>
      </c>
      <c r="Z2127" s="101" t="s">
        <v>171</v>
      </c>
      <c r="AA2127" s="101" t="s">
        <v>50</v>
      </c>
      <c r="AB2127" s="101" t="s">
        <v>172</v>
      </c>
      <c r="AC2127" s="102" t="s">
        <v>173</v>
      </c>
    </row>
    <row r="2128" spans="1:29" ht="25.5" customHeight="1" x14ac:dyDescent="0.35">
      <c r="A2128" s="392"/>
      <c r="B2128" s="393"/>
      <c r="C2128" s="99" t="str">
        <f>IF(B2128="","",IF(NOT(ISNUMBER(B2128)),"DATA_PC invalida",IF(NOT(ISNUMBER(parametros!$C$2)),"Fora dos ciclos",IF(OR(B2128&lt;parametros!$C$2,(YEAR(B2128)-YEAR(parametros!$C$2))*12+MONTH(B2128)-MONTH(parametros!$C$2)&gt;59),"Fora dos ciclos","C"&amp;INT(((YEAR(B2128)-YEAR(parametros!$C$2))*12+MONTH(B2128)-MONTH(parametros!$C$2))/12)))))</f>
        <v/>
      </c>
      <c r="D2128" s="394"/>
      <c r="E2128" s="78" t="str">
        <f>IF(C2128="","",IFERROR(VLOOKUP(C2128,parametros!$A$11:$E$15,5,0),""))</f>
        <v/>
      </c>
      <c r="F2128" s="79" t="str">
        <f t="shared" si="167"/>
        <v/>
      </c>
      <c r="G2128" s="395"/>
      <c r="H2128" s="91">
        <f t="shared" si="168"/>
        <v>0</v>
      </c>
      <c r="I2128" s="91" t="str">
        <f t="shared" si="169"/>
        <v/>
      </c>
      <c r="J2128" s="91" t="str">
        <f t="shared" si="170"/>
        <v/>
      </c>
      <c r="K2128" s="92" t="str">
        <f>IF(AND(A2128="",B2128="",D2128="",G2128=""),"",IF(AND(A2128&lt;&gt;"",COUNTIF($A$2:$A$5001,A2128)&gt;1),"NUMERO_PC duplicado",IF(B2128="","DATA_PC vazia",IF(NOT(ISNUMBER(B2128)),"DATA_PC invalida",IF(OR(C2128="",C2128="Fora dos ciclos"),"CICLO_PC nao identificado",IF(OR(D2128="",D2128=0),"VALOR_PC vazio ou zero",IF(AND(G2128&lt;&gt;"Sim",G2128&lt;&gt;"Nao",G2128&lt;&gt;""),"PC_PAGO_A_CONTRATADA invalido",IF(AND(C2128&lt;&gt;"C0",IFERROR(INDEX(parametros!$A$2:$A$6,MATCH(C2128,parametros!$B$2:$B$6,0)),"")="Sim",IFERROR(INDEX(parametros!$H$2:$H$6,MATCH(C2128,parametros!$B$2:$B$6,0)),"")=""),"INICIO_EFEITO ausente: PC "&amp;A2128&amp;" - "&amp;C2128,IF(L2128="","EFEITO_PC nao calculado: PC "&amp;A2128&amp;" - "&amp;C2128,"OK")))))))))</f>
        <v/>
      </c>
      <c r="L2128" s="92" t="str">
        <f>IF(AND(A2128="",B2128="",D2128="",G2128=""),"",IF(OR(B2128="",NOT(ISNUMBER(B2128)),C2128="",C2128="Fora dos ciclos"),"",IF(C2128="C0","Nao",IF(IFERROR(INDEX(parametros!$A$2:$A$6,MATCH(C2128,parametros!$B$2:$B$6,0)),"")&lt;&gt;"Sim","Nao",IF(IFERROR(INDEX(parametros!$H$2:$H$6,MATCH(C2128,parametros!$B$2:$B$6,0)),"")="","",IF(B2128&gt;=IFERROR(INDEX(parametros!$H$2:$H$6,MATCH(C2128,parametros!$B$2:$B$6,0)),""),"Sim","Nao"))))))</f>
        <v/>
      </c>
      <c r="T2128" s="156"/>
      <c r="U2128" s="214" t="str">
        <f t="shared" si="171"/>
        <v/>
      </c>
      <c r="V2128" s="212" t="s">
        <v>50</v>
      </c>
      <c r="W2128" s="100" t="s">
        <v>168</v>
      </c>
      <c r="X2128" s="100" t="s">
        <v>169</v>
      </c>
      <c r="Y2128" s="101" t="s">
        <v>170</v>
      </c>
      <c r="Z2128" s="101" t="s">
        <v>171</v>
      </c>
      <c r="AA2128" s="101" t="s">
        <v>50</v>
      </c>
      <c r="AB2128" s="101" t="s">
        <v>172</v>
      </c>
      <c r="AC2128" s="102" t="s">
        <v>173</v>
      </c>
    </row>
    <row r="2129" spans="1:29" ht="25.5" customHeight="1" x14ac:dyDescent="0.35">
      <c r="A2129" s="392"/>
      <c r="B2129" s="393"/>
      <c r="C2129" s="99" t="str">
        <f>IF(B2129="","",IF(NOT(ISNUMBER(B2129)),"DATA_PC invalida",IF(NOT(ISNUMBER(parametros!$C$2)),"Fora dos ciclos",IF(OR(B2129&lt;parametros!$C$2,(YEAR(B2129)-YEAR(parametros!$C$2))*12+MONTH(B2129)-MONTH(parametros!$C$2)&gt;59),"Fora dos ciclos","C"&amp;INT(((YEAR(B2129)-YEAR(parametros!$C$2))*12+MONTH(B2129)-MONTH(parametros!$C$2))/12)))))</f>
        <v/>
      </c>
      <c r="D2129" s="394"/>
      <c r="E2129" s="78" t="str">
        <f>IF(C2129="","",IFERROR(VLOOKUP(C2129,parametros!$A$11:$E$15,5,0),""))</f>
        <v/>
      </c>
      <c r="F2129" s="79" t="str">
        <f t="shared" si="167"/>
        <v/>
      </c>
      <c r="G2129" s="395"/>
      <c r="H2129" s="91">
        <f t="shared" si="168"/>
        <v>0</v>
      </c>
      <c r="I2129" s="91" t="str">
        <f t="shared" si="169"/>
        <v/>
      </c>
      <c r="J2129" s="91" t="str">
        <f t="shared" si="170"/>
        <v/>
      </c>
      <c r="K2129" s="92" t="str">
        <f>IF(AND(A2129="",B2129="",D2129="",G2129=""),"",IF(AND(A2129&lt;&gt;"",COUNTIF($A$2:$A$5001,A2129)&gt;1),"NUMERO_PC duplicado",IF(B2129="","DATA_PC vazia",IF(NOT(ISNUMBER(B2129)),"DATA_PC invalida",IF(OR(C2129="",C2129="Fora dos ciclos"),"CICLO_PC nao identificado",IF(OR(D2129="",D2129=0),"VALOR_PC vazio ou zero",IF(AND(G2129&lt;&gt;"Sim",G2129&lt;&gt;"Nao",G2129&lt;&gt;""),"PC_PAGO_A_CONTRATADA invalido",IF(AND(C2129&lt;&gt;"C0",IFERROR(INDEX(parametros!$A$2:$A$6,MATCH(C2129,parametros!$B$2:$B$6,0)),"")="Sim",IFERROR(INDEX(parametros!$H$2:$H$6,MATCH(C2129,parametros!$B$2:$B$6,0)),"")=""),"INICIO_EFEITO ausente: PC "&amp;A2129&amp;" - "&amp;C2129,IF(L2129="","EFEITO_PC nao calculado: PC "&amp;A2129&amp;" - "&amp;C2129,"OK")))))))))</f>
        <v/>
      </c>
      <c r="L2129" s="92" t="str">
        <f>IF(AND(A2129="",B2129="",D2129="",G2129=""),"",IF(OR(B2129="",NOT(ISNUMBER(B2129)),C2129="",C2129="Fora dos ciclos"),"",IF(C2129="C0","Nao",IF(IFERROR(INDEX(parametros!$A$2:$A$6,MATCH(C2129,parametros!$B$2:$B$6,0)),"")&lt;&gt;"Sim","Nao",IF(IFERROR(INDEX(parametros!$H$2:$H$6,MATCH(C2129,parametros!$B$2:$B$6,0)),"")="","",IF(B2129&gt;=IFERROR(INDEX(parametros!$H$2:$H$6,MATCH(C2129,parametros!$B$2:$B$6,0)),""),"Sim","Nao"))))))</f>
        <v/>
      </c>
      <c r="T2129" s="156"/>
      <c r="U2129" s="214" t="str">
        <f t="shared" si="171"/>
        <v/>
      </c>
      <c r="V2129" s="212" t="s">
        <v>50</v>
      </c>
      <c r="W2129" s="100" t="s">
        <v>168</v>
      </c>
      <c r="X2129" s="100" t="s">
        <v>169</v>
      </c>
      <c r="Y2129" s="101" t="s">
        <v>170</v>
      </c>
      <c r="Z2129" s="101" t="s">
        <v>171</v>
      </c>
      <c r="AA2129" s="101" t="s">
        <v>50</v>
      </c>
      <c r="AB2129" s="101" t="s">
        <v>172</v>
      </c>
      <c r="AC2129" s="102" t="s">
        <v>173</v>
      </c>
    </row>
    <row r="2130" spans="1:29" ht="25.5" customHeight="1" x14ac:dyDescent="0.35">
      <c r="A2130" s="392"/>
      <c r="B2130" s="393"/>
      <c r="C2130" s="99" t="str">
        <f>IF(B2130="","",IF(NOT(ISNUMBER(B2130)),"DATA_PC invalida",IF(NOT(ISNUMBER(parametros!$C$2)),"Fora dos ciclos",IF(OR(B2130&lt;parametros!$C$2,(YEAR(B2130)-YEAR(parametros!$C$2))*12+MONTH(B2130)-MONTH(parametros!$C$2)&gt;59),"Fora dos ciclos","C"&amp;INT(((YEAR(B2130)-YEAR(parametros!$C$2))*12+MONTH(B2130)-MONTH(parametros!$C$2))/12)))))</f>
        <v/>
      </c>
      <c r="D2130" s="394"/>
      <c r="E2130" s="78" t="str">
        <f>IF(C2130="","",IFERROR(VLOOKUP(C2130,parametros!$A$11:$E$15,5,0),""))</f>
        <v/>
      </c>
      <c r="F2130" s="79" t="str">
        <f t="shared" si="167"/>
        <v/>
      </c>
      <c r="G2130" s="395"/>
      <c r="H2130" s="91">
        <f t="shared" si="168"/>
        <v>0</v>
      </c>
      <c r="I2130" s="91" t="str">
        <f t="shared" si="169"/>
        <v/>
      </c>
      <c r="J2130" s="91" t="str">
        <f t="shared" si="170"/>
        <v/>
      </c>
      <c r="K2130" s="92" t="str">
        <f>IF(AND(A2130="",B2130="",D2130="",G2130=""),"",IF(AND(A2130&lt;&gt;"",COUNTIF($A$2:$A$5001,A2130)&gt;1),"NUMERO_PC duplicado",IF(B2130="","DATA_PC vazia",IF(NOT(ISNUMBER(B2130)),"DATA_PC invalida",IF(OR(C2130="",C2130="Fora dos ciclos"),"CICLO_PC nao identificado",IF(OR(D2130="",D2130=0),"VALOR_PC vazio ou zero",IF(AND(G2130&lt;&gt;"Sim",G2130&lt;&gt;"Nao",G2130&lt;&gt;""),"PC_PAGO_A_CONTRATADA invalido",IF(AND(C2130&lt;&gt;"C0",IFERROR(INDEX(parametros!$A$2:$A$6,MATCH(C2130,parametros!$B$2:$B$6,0)),"")="Sim",IFERROR(INDEX(parametros!$H$2:$H$6,MATCH(C2130,parametros!$B$2:$B$6,0)),"")=""),"INICIO_EFEITO ausente: PC "&amp;A2130&amp;" - "&amp;C2130,IF(L2130="","EFEITO_PC nao calculado: PC "&amp;A2130&amp;" - "&amp;C2130,"OK")))))))))</f>
        <v/>
      </c>
      <c r="L2130" s="92" t="str">
        <f>IF(AND(A2130="",B2130="",D2130="",G2130=""),"",IF(OR(B2130="",NOT(ISNUMBER(B2130)),C2130="",C2130="Fora dos ciclos"),"",IF(C2130="C0","Nao",IF(IFERROR(INDEX(parametros!$A$2:$A$6,MATCH(C2130,parametros!$B$2:$B$6,0)),"")&lt;&gt;"Sim","Nao",IF(IFERROR(INDEX(parametros!$H$2:$H$6,MATCH(C2130,parametros!$B$2:$B$6,0)),"")="","",IF(B2130&gt;=IFERROR(INDEX(parametros!$H$2:$H$6,MATCH(C2130,parametros!$B$2:$B$6,0)),""),"Sim","Nao"))))))</f>
        <v/>
      </c>
      <c r="T2130" s="156"/>
      <c r="U2130" s="214" t="str">
        <f t="shared" si="171"/>
        <v/>
      </c>
      <c r="V2130" s="212" t="s">
        <v>50</v>
      </c>
      <c r="W2130" s="100" t="s">
        <v>168</v>
      </c>
      <c r="X2130" s="100" t="s">
        <v>169</v>
      </c>
      <c r="Y2130" s="101" t="s">
        <v>170</v>
      </c>
      <c r="Z2130" s="101" t="s">
        <v>171</v>
      </c>
      <c r="AA2130" s="101" t="s">
        <v>50</v>
      </c>
      <c r="AB2130" s="101" t="s">
        <v>172</v>
      </c>
      <c r="AC2130" s="102" t="s">
        <v>173</v>
      </c>
    </row>
    <row r="2131" spans="1:29" ht="25.5" customHeight="1" x14ac:dyDescent="0.35">
      <c r="A2131" s="392"/>
      <c r="B2131" s="393"/>
      <c r="C2131" s="99" t="str">
        <f>IF(B2131="","",IF(NOT(ISNUMBER(B2131)),"DATA_PC invalida",IF(NOT(ISNUMBER(parametros!$C$2)),"Fora dos ciclos",IF(OR(B2131&lt;parametros!$C$2,(YEAR(B2131)-YEAR(parametros!$C$2))*12+MONTH(B2131)-MONTH(parametros!$C$2)&gt;59),"Fora dos ciclos","C"&amp;INT(((YEAR(B2131)-YEAR(parametros!$C$2))*12+MONTH(B2131)-MONTH(parametros!$C$2))/12)))))</f>
        <v/>
      </c>
      <c r="D2131" s="394"/>
      <c r="E2131" s="78" t="str">
        <f>IF(C2131="","",IFERROR(VLOOKUP(C2131,parametros!$A$11:$E$15,5,0),""))</f>
        <v/>
      </c>
      <c r="F2131" s="79" t="str">
        <f t="shared" si="167"/>
        <v/>
      </c>
      <c r="G2131" s="395"/>
      <c r="H2131" s="91">
        <f t="shared" si="168"/>
        <v>0</v>
      </c>
      <c r="I2131" s="91" t="str">
        <f t="shared" si="169"/>
        <v/>
      </c>
      <c r="J2131" s="91" t="str">
        <f t="shared" si="170"/>
        <v/>
      </c>
      <c r="K2131" s="92" t="str">
        <f>IF(AND(A2131="",B2131="",D2131="",G2131=""),"",IF(AND(A2131&lt;&gt;"",COUNTIF($A$2:$A$5001,A2131)&gt;1),"NUMERO_PC duplicado",IF(B2131="","DATA_PC vazia",IF(NOT(ISNUMBER(B2131)),"DATA_PC invalida",IF(OR(C2131="",C2131="Fora dos ciclos"),"CICLO_PC nao identificado",IF(OR(D2131="",D2131=0),"VALOR_PC vazio ou zero",IF(AND(G2131&lt;&gt;"Sim",G2131&lt;&gt;"Nao",G2131&lt;&gt;""),"PC_PAGO_A_CONTRATADA invalido",IF(AND(C2131&lt;&gt;"C0",IFERROR(INDEX(parametros!$A$2:$A$6,MATCH(C2131,parametros!$B$2:$B$6,0)),"")="Sim",IFERROR(INDEX(parametros!$H$2:$H$6,MATCH(C2131,parametros!$B$2:$B$6,0)),"")=""),"INICIO_EFEITO ausente: PC "&amp;A2131&amp;" - "&amp;C2131,IF(L2131="","EFEITO_PC nao calculado: PC "&amp;A2131&amp;" - "&amp;C2131,"OK")))))))))</f>
        <v/>
      </c>
      <c r="L2131" s="92" t="str">
        <f>IF(AND(A2131="",B2131="",D2131="",G2131=""),"",IF(OR(B2131="",NOT(ISNUMBER(B2131)),C2131="",C2131="Fora dos ciclos"),"",IF(C2131="C0","Nao",IF(IFERROR(INDEX(parametros!$A$2:$A$6,MATCH(C2131,parametros!$B$2:$B$6,0)),"")&lt;&gt;"Sim","Nao",IF(IFERROR(INDEX(parametros!$H$2:$H$6,MATCH(C2131,parametros!$B$2:$B$6,0)),"")="","",IF(B2131&gt;=IFERROR(INDEX(parametros!$H$2:$H$6,MATCH(C2131,parametros!$B$2:$B$6,0)),""),"Sim","Nao"))))))</f>
        <v/>
      </c>
      <c r="T2131" s="156"/>
      <c r="U2131" s="214" t="str">
        <f t="shared" si="171"/>
        <v/>
      </c>
      <c r="V2131" s="212" t="s">
        <v>50</v>
      </c>
      <c r="W2131" s="100" t="s">
        <v>168</v>
      </c>
      <c r="X2131" s="100" t="s">
        <v>169</v>
      </c>
      <c r="Y2131" s="101" t="s">
        <v>170</v>
      </c>
      <c r="Z2131" s="101" t="s">
        <v>171</v>
      </c>
      <c r="AA2131" s="101" t="s">
        <v>50</v>
      </c>
      <c r="AB2131" s="101" t="s">
        <v>172</v>
      </c>
      <c r="AC2131" s="102" t="s">
        <v>173</v>
      </c>
    </row>
    <row r="2132" spans="1:29" ht="25.5" customHeight="1" x14ac:dyDescent="0.35">
      <c r="A2132" s="392"/>
      <c r="B2132" s="393"/>
      <c r="C2132" s="99" t="str">
        <f>IF(B2132="","",IF(NOT(ISNUMBER(B2132)),"DATA_PC invalida",IF(NOT(ISNUMBER(parametros!$C$2)),"Fora dos ciclos",IF(OR(B2132&lt;parametros!$C$2,(YEAR(B2132)-YEAR(parametros!$C$2))*12+MONTH(B2132)-MONTH(parametros!$C$2)&gt;59),"Fora dos ciclos","C"&amp;INT(((YEAR(B2132)-YEAR(parametros!$C$2))*12+MONTH(B2132)-MONTH(parametros!$C$2))/12)))))</f>
        <v/>
      </c>
      <c r="D2132" s="394"/>
      <c r="E2132" s="78" t="str">
        <f>IF(C2132="","",IFERROR(VLOOKUP(C2132,parametros!$A$11:$E$15,5,0),""))</f>
        <v/>
      </c>
      <c r="F2132" s="79" t="str">
        <f t="shared" si="167"/>
        <v/>
      </c>
      <c r="G2132" s="395"/>
      <c r="H2132" s="91">
        <f t="shared" si="168"/>
        <v>0</v>
      </c>
      <c r="I2132" s="91" t="str">
        <f t="shared" si="169"/>
        <v/>
      </c>
      <c r="J2132" s="91" t="str">
        <f t="shared" si="170"/>
        <v/>
      </c>
      <c r="K2132" s="92" t="str">
        <f>IF(AND(A2132="",B2132="",D2132="",G2132=""),"",IF(AND(A2132&lt;&gt;"",COUNTIF($A$2:$A$5001,A2132)&gt;1),"NUMERO_PC duplicado",IF(B2132="","DATA_PC vazia",IF(NOT(ISNUMBER(B2132)),"DATA_PC invalida",IF(OR(C2132="",C2132="Fora dos ciclos"),"CICLO_PC nao identificado",IF(OR(D2132="",D2132=0),"VALOR_PC vazio ou zero",IF(AND(G2132&lt;&gt;"Sim",G2132&lt;&gt;"Nao",G2132&lt;&gt;""),"PC_PAGO_A_CONTRATADA invalido",IF(AND(C2132&lt;&gt;"C0",IFERROR(INDEX(parametros!$A$2:$A$6,MATCH(C2132,parametros!$B$2:$B$6,0)),"")="Sim",IFERROR(INDEX(parametros!$H$2:$H$6,MATCH(C2132,parametros!$B$2:$B$6,0)),"")=""),"INICIO_EFEITO ausente: PC "&amp;A2132&amp;" - "&amp;C2132,IF(L2132="","EFEITO_PC nao calculado: PC "&amp;A2132&amp;" - "&amp;C2132,"OK")))))))))</f>
        <v/>
      </c>
      <c r="L2132" s="92" t="str">
        <f>IF(AND(A2132="",B2132="",D2132="",G2132=""),"",IF(OR(B2132="",NOT(ISNUMBER(B2132)),C2132="",C2132="Fora dos ciclos"),"",IF(C2132="C0","Nao",IF(IFERROR(INDEX(parametros!$A$2:$A$6,MATCH(C2132,parametros!$B$2:$B$6,0)),"")&lt;&gt;"Sim","Nao",IF(IFERROR(INDEX(parametros!$H$2:$H$6,MATCH(C2132,parametros!$B$2:$B$6,0)),"")="","",IF(B2132&gt;=IFERROR(INDEX(parametros!$H$2:$H$6,MATCH(C2132,parametros!$B$2:$B$6,0)),""),"Sim","Nao"))))))</f>
        <v/>
      </c>
      <c r="T2132" s="156"/>
      <c r="U2132" s="214" t="str">
        <f t="shared" si="171"/>
        <v/>
      </c>
      <c r="V2132" s="212" t="s">
        <v>50</v>
      </c>
      <c r="W2132" s="100" t="s">
        <v>168</v>
      </c>
      <c r="X2132" s="100" t="s">
        <v>169</v>
      </c>
      <c r="Y2132" s="101" t="s">
        <v>170</v>
      </c>
      <c r="Z2132" s="101" t="s">
        <v>171</v>
      </c>
      <c r="AA2132" s="101" t="s">
        <v>50</v>
      </c>
      <c r="AB2132" s="101" t="s">
        <v>172</v>
      </c>
      <c r="AC2132" s="102" t="s">
        <v>173</v>
      </c>
    </row>
    <row r="2133" spans="1:29" ht="25.5" customHeight="1" x14ac:dyDescent="0.35">
      <c r="A2133" s="392"/>
      <c r="B2133" s="393"/>
      <c r="C2133" s="99" t="str">
        <f>IF(B2133="","",IF(NOT(ISNUMBER(B2133)),"DATA_PC invalida",IF(NOT(ISNUMBER(parametros!$C$2)),"Fora dos ciclos",IF(OR(B2133&lt;parametros!$C$2,(YEAR(B2133)-YEAR(parametros!$C$2))*12+MONTH(B2133)-MONTH(parametros!$C$2)&gt;59),"Fora dos ciclos","C"&amp;INT(((YEAR(B2133)-YEAR(parametros!$C$2))*12+MONTH(B2133)-MONTH(parametros!$C$2))/12)))))</f>
        <v/>
      </c>
      <c r="D2133" s="394"/>
      <c r="E2133" s="78" t="str">
        <f>IF(C2133="","",IFERROR(VLOOKUP(C2133,parametros!$A$11:$E$15,5,0),""))</f>
        <v/>
      </c>
      <c r="F2133" s="79" t="str">
        <f t="shared" si="167"/>
        <v/>
      </c>
      <c r="G2133" s="395"/>
      <c r="H2133" s="91">
        <f t="shared" si="168"/>
        <v>0</v>
      </c>
      <c r="I2133" s="91" t="str">
        <f t="shared" si="169"/>
        <v/>
      </c>
      <c r="J2133" s="91" t="str">
        <f t="shared" si="170"/>
        <v/>
      </c>
      <c r="K2133" s="92" t="str">
        <f>IF(AND(A2133="",B2133="",D2133="",G2133=""),"",IF(AND(A2133&lt;&gt;"",COUNTIF($A$2:$A$5001,A2133)&gt;1),"NUMERO_PC duplicado",IF(B2133="","DATA_PC vazia",IF(NOT(ISNUMBER(B2133)),"DATA_PC invalida",IF(OR(C2133="",C2133="Fora dos ciclos"),"CICLO_PC nao identificado",IF(OR(D2133="",D2133=0),"VALOR_PC vazio ou zero",IF(AND(G2133&lt;&gt;"Sim",G2133&lt;&gt;"Nao",G2133&lt;&gt;""),"PC_PAGO_A_CONTRATADA invalido",IF(AND(C2133&lt;&gt;"C0",IFERROR(INDEX(parametros!$A$2:$A$6,MATCH(C2133,parametros!$B$2:$B$6,0)),"")="Sim",IFERROR(INDEX(parametros!$H$2:$H$6,MATCH(C2133,parametros!$B$2:$B$6,0)),"")=""),"INICIO_EFEITO ausente: PC "&amp;A2133&amp;" - "&amp;C2133,IF(L2133="","EFEITO_PC nao calculado: PC "&amp;A2133&amp;" - "&amp;C2133,"OK")))))))))</f>
        <v/>
      </c>
      <c r="L2133" s="92" t="str">
        <f>IF(AND(A2133="",B2133="",D2133="",G2133=""),"",IF(OR(B2133="",NOT(ISNUMBER(B2133)),C2133="",C2133="Fora dos ciclos"),"",IF(C2133="C0","Nao",IF(IFERROR(INDEX(parametros!$A$2:$A$6,MATCH(C2133,parametros!$B$2:$B$6,0)),"")&lt;&gt;"Sim","Nao",IF(IFERROR(INDEX(parametros!$H$2:$H$6,MATCH(C2133,parametros!$B$2:$B$6,0)),"")="","",IF(B2133&gt;=IFERROR(INDEX(parametros!$H$2:$H$6,MATCH(C2133,parametros!$B$2:$B$6,0)),""),"Sim","Nao"))))))</f>
        <v/>
      </c>
      <c r="T2133" s="156"/>
      <c r="U2133" s="214" t="str">
        <f t="shared" si="171"/>
        <v/>
      </c>
      <c r="V2133" s="212" t="s">
        <v>50</v>
      </c>
      <c r="W2133" s="100" t="s">
        <v>168</v>
      </c>
      <c r="X2133" s="100" t="s">
        <v>169</v>
      </c>
      <c r="Y2133" s="101" t="s">
        <v>170</v>
      </c>
      <c r="Z2133" s="101" t="s">
        <v>171</v>
      </c>
      <c r="AA2133" s="101" t="s">
        <v>50</v>
      </c>
      <c r="AB2133" s="101" t="s">
        <v>172</v>
      </c>
      <c r="AC2133" s="102" t="s">
        <v>173</v>
      </c>
    </row>
    <row r="2134" spans="1:29" ht="25.5" customHeight="1" x14ac:dyDescent="0.35">
      <c r="A2134" s="392"/>
      <c r="B2134" s="393"/>
      <c r="C2134" s="99" t="str">
        <f>IF(B2134="","",IF(NOT(ISNUMBER(B2134)),"DATA_PC invalida",IF(NOT(ISNUMBER(parametros!$C$2)),"Fora dos ciclos",IF(OR(B2134&lt;parametros!$C$2,(YEAR(B2134)-YEAR(parametros!$C$2))*12+MONTH(B2134)-MONTH(parametros!$C$2)&gt;59),"Fora dos ciclos","C"&amp;INT(((YEAR(B2134)-YEAR(parametros!$C$2))*12+MONTH(B2134)-MONTH(parametros!$C$2))/12)))))</f>
        <v/>
      </c>
      <c r="D2134" s="394"/>
      <c r="E2134" s="78" t="str">
        <f>IF(C2134="","",IFERROR(VLOOKUP(C2134,parametros!$A$11:$E$15,5,0),""))</f>
        <v/>
      </c>
      <c r="F2134" s="79" t="str">
        <f t="shared" si="167"/>
        <v/>
      </c>
      <c r="G2134" s="395"/>
      <c r="H2134" s="91">
        <f t="shared" si="168"/>
        <v>0</v>
      </c>
      <c r="I2134" s="91" t="str">
        <f t="shared" si="169"/>
        <v/>
      </c>
      <c r="J2134" s="91" t="str">
        <f t="shared" si="170"/>
        <v/>
      </c>
      <c r="K2134" s="92" t="str">
        <f>IF(AND(A2134="",B2134="",D2134="",G2134=""),"",IF(AND(A2134&lt;&gt;"",COUNTIF($A$2:$A$5001,A2134)&gt;1),"NUMERO_PC duplicado",IF(B2134="","DATA_PC vazia",IF(NOT(ISNUMBER(B2134)),"DATA_PC invalida",IF(OR(C2134="",C2134="Fora dos ciclos"),"CICLO_PC nao identificado",IF(OR(D2134="",D2134=0),"VALOR_PC vazio ou zero",IF(AND(G2134&lt;&gt;"Sim",G2134&lt;&gt;"Nao",G2134&lt;&gt;""),"PC_PAGO_A_CONTRATADA invalido",IF(AND(C2134&lt;&gt;"C0",IFERROR(INDEX(parametros!$A$2:$A$6,MATCH(C2134,parametros!$B$2:$B$6,0)),"")="Sim",IFERROR(INDEX(parametros!$H$2:$H$6,MATCH(C2134,parametros!$B$2:$B$6,0)),"")=""),"INICIO_EFEITO ausente: PC "&amp;A2134&amp;" - "&amp;C2134,IF(L2134="","EFEITO_PC nao calculado: PC "&amp;A2134&amp;" - "&amp;C2134,"OK")))))))))</f>
        <v/>
      </c>
      <c r="L2134" s="92" t="str">
        <f>IF(AND(A2134="",B2134="",D2134="",G2134=""),"",IF(OR(B2134="",NOT(ISNUMBER(B2134)),C2134="",C2134="Fora dos ciclos"),"",IF(C2134="C0","Nao",IF(IFERROR(INDEX(parametros!$A$2:$A$6,MATCH(C2134,parametros!$B$2:$B$6,0)),"")&lt;&gt;"Sim","Nao",IF(IFERROR(INDEX(parametros!$H$2:$H$6,MATCH(C2134,parametros!$B$2:$B$6,0)),"")="","",IF(B2134&gt;=IFERROR(INDEX(parametros!$H$2:$H$6,MATCH(C2134,parametros!$B$2:$B$6,0)),""),"Sim","Nao"))))))</f>
        <v/>
      </c>
      <c r="T2134" s="156"/>
      <c r="U2134" s="214" t="str">
        <f t="shared" si="171"/>
        <v/>
      </c>
      <c r="V2134" s="212" t="s">
        <v>50</v>
      </c>
      <c r="W2134" s="100" t="s">
        <v>168</v>
      </c>
      <c r="X2134" s="100" t="s">
        <v>169</v>
      </c>
      <c r="Y2134" s="101" t="s">
        <v>170</v>
      </c>
      <c r="Z2134" s="101" t="s">
        <v>171</v>
      </c>
      <c r="AA2134" s="101" t="s">
        <v>50</v>
      </c>
      <c r="AB2134" s="101" t="s">
        <v>172</v>
      </c>
      <c r="AC2134" s="102" t="s">
        <v>173</v>
      </c>
    </row>
    <row r="2135" spans="1:29" ht="25.5" customHeight="1" x14ac:dyDescent="0.35">
      <c r="A2135" s="392"/>
      <c r="B2135" s="393"/>
      <c r="C2135" s="99" t="str">
        <f>IF(B2135="","",IF(NOT(ISNUMBER(B2135)),"DATA_PC invalida",IF(NOT(ISNUMBER(parametros!$C$2)),"Fora dos ciclos",IF(OR(B2135&lt;parametros!$C$2,(YEAR(B2135)-YEAR(parametros!$C$2))*12+MONTH(B2135)-MONTH(parametros!$C$2)&gt;59),"Fora dos ciclos","C"&amp;INT(((YEAR(B2135)-YEAR(parametros!$C$2))*12+MONTH(B2135)-MONTH(parametros!$C$2))/12)))))</f>
        <v/>
      </c>
      <c r="D2135" s="394"/>
      <c r="E2135" s="78" t="str">
        <f>IF(C2135="","",IFERROR(VLOOKUP(C2135,parametros!$A$11:$E$15,5,0),""))</f>
        <v/>
      </c>
      <c r="F2135" s="79" t="str">
        <f t="shared" si="167"/>
        <v/>
      </c>
      <c r="G2135" s="395"/>
      <c r="H2135" s="91">
        <f t="shared" si="168"/>
        <v>0</v>
      </c>
      <c r="I2135" s="91" t="str">
        <f t="shared" si="169"/>
        <v/>
      </c>
      <c r="J2135" s="91" t="str">
        <f t="shared" si="170"/>
        <v/>
      </c>
      <c r="K2135" s="92" t="str">
        <f>IF(AND(A2135="",B2135="",D2135="",G2135=""),"",IF(AND(A2135&lt;&gt;"",COUNTIF($A$2:$A$5001,A2135)&gt;1),"NUMERO_PC duplicado",IF(B2135="","DATA_PC vazia",IF(NOT(ISNUMBER(B2135)),"DATA_PC invalida",IF(OR(C2135="",C2135="Fora dos ciclos"),"CICLO_PC nao identificado",IF(OR(D2135="",D2135=0),"VALOR_PC vazio ou zero",IF(AND(G2135&lt;&gt;"Sim",G2135&lt;&gt;"Nao",G2135&lt;&gt;""),"PC_PAGO_A_CONTRATADA invalido",IF(AND(C2135&lt;&gt;"C0",IFERROR(INDEX(parametros!$A$2:$A$6,MATCH(C2135,parametros!$B$2:$B$6,0)),"")="Sim",IFERROR(INDEX(parametros!$H$2:$H$6,MATCH(C2135,parametros!$B$2:$B$6,0)),"")=""),"INICIO_EFEITO ausente: PC "&amp;A2135&amp;" - "&amp;C2135,IF(L2135="","EFEITO_PC nao calculado: PC "&amp;A2135&amp;" - "&amp;C2135,"OK")))))))))</f>
        <v/>
      </c>
      <c r="L2135" s="92" t="str">
        <f>IF(AND(A2135="",B2135="",D2135="",G2135=""),"",IF(OR(B2135="",NOT(ISNUMBER(B2135)),C2135="",C2135="Fora dos ciclos"),"",IF(C2135="C0","Nao",IF(IFERROR(INDEX(parametros!$A$2:$A$6,MATCH(C2135,parametros!$B$2:$B$6,0)),"")&lt;&gt;"Sim","Nao",IF(IFERROR(INDEX(parametros!$H$2:$H$6,MATCH(C2135,parametros!$B$2:$B$6,0)),"")="","",IF(B2135&gt;=IFERROR(INDEX(parametros!$H$2:$H$6,MATCH(C2135,parametros!$B$2:$B$6,0)),""),"Sim","Nao"))))))</f>
        <v/>
      </c>
      <c r="T2135" s="156"/>
      <c r="U2135" s="214" t="str">
        <f t="shared" si="171"/>
        <v/>
      </c>
      <c r="V2135" s="212" t="s">
        <v>50</v>
      </c>
      <c r="W2135" s="100" t="s">
        <v>168</v>
      </c>
      <c r="X2135" s="100" t="s">
        <v>169</v>
      </c>
      <c r="Y2135" s="101" t="s">
        <v>170</v>
      </c>
      <c r="Z2135" s="101" t="s">
        <v>171</v>
      </c>
      <c r="AA2135" s="101" t="s">
        <v>50</v>
      </c>
      <c r="AB2135" s="101" t="s">
        <v>172</v>
      </c>
      <c r="AC2135" s="102" t="s">
        <v>173</v>
      </c>
    </row>
    <row r="2136" spans="1:29" ht="25.5" customHeight="1" x14ac:dyDescent="0.35">
      <c r="A2136" s="392"/>
      <c r="B2136" s="393"/>
      <c r="C2136" s="99" t="str">
        <f>IF(B2136="","",IF(NOT(ISNUMBER(B2136)),"DATA_PC invalida",IF(NOT(ISNUMBER(parametros!$C$2)),"Fora dos ciclos",IF(OR(B2136&lt;parametros!$C$2,(YEAR(B2136)-YEAR(parametros!$C$2))*12+MONTH(B2136)-MONTH(parametros!$C$2)&gt;59),"Fora dos ciclos","C"&amp;INT(((YEAR(B2136)-YEAR(parametros!$C$2))*12+MONTH(B2136)-MONTH(parametros!$C$2))/12)))))</f>
        <v/>
      </c>
      <c r="D2136" s="394"/>
      <c r="E2136" s="78" t="str">
        <f>IF(C2136="","",IFERROR(VLOOKUP(C2136,parametros!$A$11:$E$15,5,0),""))</f>
        <v/>
      </c>
      <c r="F2136" s="79" t="str">
        <f t="shared" si="167"/>
        <v/>
      </c>
      <c r="G2136" s="395"/>
      <c r="H2136" s="91">
        <f t="shared" si="168"/>
        <v>0</v>
      </c>
      <c r="I2136" s="91" t="str">
        <f t="shared" si="169"/>
        <v/>
      </c>
      <c r="J2136" s="91" t="str">
        <f t="shared" si="170"/>
        <v/>
      </c>
      <c r="K2136" s="92" t="str">
        <f>IF(AND(A2136="",B2136="",D2136="",G2136=""),"",IF(AND(A2136&lt;&gt;"",COUNTIF($A$2:$A$5001,A2136)&gt;1),"NUMERO_PC duplicado",IF(B2136="","DATA_PC vazia",IF(NOT(ISNUMBER(B2136)),"DATA_PC invalida",IF(OR(C2136="",C2136="Fora dos ciclos"),"CICLO_PC nao identificado",IF(OR(D2136="",D2136=0),"VALOR_PC vazio ou zero",IF(AND(G2136&lt;&gt;"Sim",G2136&lt;&gt;"Nao",G2136&lt;&gt;""),"PC_PAGO_A_CONTRATADA invalido",IF(AND(C2136&lt;&gt;"C0",IFERROR(INDEX(parametros!$A$2:$A$6,MATCH(C2136,parametros!$B$2:$B$6,0)),"")="Sim",IFERROR(INDEX(parametros!$H$2:$H$6,MATCH(C2136,parametros!$B$2:$B$6,0)),"")=""),"INICIO_EFEITO ausente: PC "&amp;A2136&amp;" - "&amp;C2136,IF(L2136="","EFEITO_PC nao calculado: PC "&amp;A2136&amp;" - "&amp;C2136,"OK")))))))))</f>
        <v/>
      </c>
      <c r="L2136" s="92" t="str">
        <f>IF(AND(A2136="",B2136="",D2136="",G2136=""),"",IF(OR(B2136="",NOT(ISNUMBER(B2136)),C2136="",C2136="Fora dos ciclos"),"",IF(C2136="C0","Nao",IF(IFERROR(INDEX(parametros!$A$2:$A$6,MATCH(C2136,parametros!$B$2:$B$6,0)),"")&lt;&gt;"Sim","Nao",IF(IFERROR(INDEX(parametros!$H$2:$H$6,MATCH(C2136,parametros!$B$2:$B$6,0)),"")="","",IF(B2136&gt;=IFERROR(INDEX(parametros!$H$2:$H$6,MATCH(C2136,parametros!$B$2:$B$6,0)),""),"Sim","Nao"))))))</f>
        <v/>
      </c>
      <c r="T2136" s="156"/>
      <c r="U2136" s="214" t="str">
        <f t="shared" si="171"/>
        <v/>
      </c>
      <c r="V2136" s="212" t="s">
        <v>50</v>
      </c>
      <c r="W2136" s="100" t="s">
        <v>168</v>
      </c>
      <c r="X2136" s="100" t="s">
        <v>169</v>
      </c>
      <c r="Y2136" s="101" t="s">
        <v>170</v>
      </c>
      <c r="Z2136" s="101" t="s">
        <v>171</v>
      </c>
      <c r="AA2136" s="101" t="s">
        <v>50</v>
      </c>
      <c r="AB2136" s="101" t="s">
        <v>172</v>
      </c>
      <c r="AC2136" s="102" t="s">
        <v>173</v>
      </c>
    </row>
    <row r="2137" spans="1:29" ht="25.5" customHeight="1" x14ac:dyDescent="0.35">
      <c r="A2137" s="392"/>
      <c r="B2137" s="393"/>
      <c r="C2137" s="99" t="str">
        <f>IF(B2137="","",IF(NOT(ISNUMBER(B2137)),"DATA_PC invalida",IF(NOT(ISNUMBER(parametros!$C$2)),"Fora dos ciclos",IF(OR(B2137&lt;parametros!$C$2,(YEAR(B2137)-YEAR(parametros!$C$2))*12+MONTH(B2137)-MONTH(parametros!$C$2)&gt;59),"Fora dos ciclos","C"&amp;INT(((YEAR(B2137)-YEAR(parametros!$C$2))*12+MONTH(B2137)-MONTH(parametros!$C$2))/12)))))</f>
        <v/>
      </c>
      <c r="D2137" s="394"/>
      <c r="E2137" s="78" t="str">
        <f>IF(C2137="","",IFERROR(VLOOKUP(C2137,parametros!$A$11:$E$15,5,0),""))</f>
        <v/>
      </c>
      <c r="F2137" s="79" t="str">
        <f t="shared" si="167"/>
        <v/>
      </c>
      <c r="G2137" s="395"/>
      <c r="H2137" s="91">
        <f t="shared" si="168"/>
        <v>0</v>
      </c>
      <c r="I2137" s="91" t="str">
        <f t="shared" si="169"/>
        <v/>
      </c>
      <c r="J2137" s="91" t="str">
        <f t="shared" si="170"/>
        <v/>
      </c>
      <c r="K2137" s="92" t="str">
        <f>IF(AND(A2137="",B2137="",D2137="",G2137=""),"",IF(AND(A2137&lt;&gt;"",COUNTIF($A$2:$A$5001,A2137)&gt;1),"NUMERO_PC duplicado",IF(B2137="","DATA_PC vazia",IF(NOT(ISNUMBER(B2137)),"DATA_PC invalida",IF(OR(C2137="",C2137="Fora dos ciclos"),"CICLO_PC nao identificado",IF(OR(D2137="",D2137=0),"VALOR_PC vazio ou zero",IF(AND(G2137&lt;&gt;"Sim",G2137&lt;&gt;"Nao",G2137&lt;&gt;""),"PC_PAGO_A_CONTRATADA invalido",IF(AND(C2137&lt;&gt;"C0",IFERROR(INDEX(parametros!$A$2:$A$6,MATCH(C2137,parametros!$B$2:$B$6,0)),"")="Sim",IFERROR(INDEX(parametros!$H$2:$H$6,MATCH(C2137,parametros!$B$2:$B$6,0)),"")=""),"INICIO_EFEITO ausente: PC "&amp;A2137&amp;" - "&amp;C2137,IF(L2137="","EFEITO_PC nao calculado: PC "&amp;A2137&amp;" - "&amp;C2137,"OK")))))))))</f>
        <v/>
      </c>
      <c r="L2137" s="92" t="str">
        <f>IF(AND(A2137="",B2137="",D2137="",G2137=""),"",IF(OR(B2137="",NOT(ISNUMBER(B2137)),C2137="",C2137="Fora dos ciclos"),"",IF(C2137="C0","Nao",IF(IFERROR(INDEX(parametros!$A$2:$A$6,MATCH(C2137,parametros!$B$2:$B$6,0)),"")&lt;&gt;"Sim","Nao",IF(IFERROR(INDEX(parametros!$H$2:$H$6,MATCH(C2137,parametros!$B$2:$B$6,0)),"")="","",IF(B2137&gt;=IFERROR(INDEX(parametros!$H$2:$H$6,MATCH(C2137,parametros!$B$2:$B$6,0)),""),"Sim","Nao"))))))</f>
        <v/>
      </c>
      <c r="T2137" s="156"/>
      <c r="U2137" s="214" t="str">
        <f t="shared" si="171"/>
        <v/>
      </c>
      <c r="V2137" s="212" t="s">
        <v>50</v>
      </c>
      <c r="W2137" s="100" t="s">
        <v>168</v>
      </c>
      <c r="X2137" s="100" t="s">
        <v>169</v>
      </c>
      <c r="Y2137" s="101" t="s">
        <v>170</v>
      </c>
      <c r="Z2137" s="101" t="s">
        <v>171</v>
      </c>
      <c r="AA2137" s="101" t="s">
        <v>50</v>
      </c>
      <c r="AB2137" s="101" t="s">
        <v>172</v>
      </c>
      <c r="AC2137" s="102" t="s">
        <v>173</v>
      </c>
    </row>
    <row r="2138" spans="1:29" ht="25.5" customHeight="1" x14ac:dyDescent="0.35">
      <c r="A2138" s="392"/>
      <c r="B2138" s="393"/>
      <c r="C2138" s="99" t="str">
        <f>IF(B2138="","",IF(NOT(ISNUMBER(B2138)),"DATA_PC invalida",IF(NOT(ISNUMBER(parametros!$C$2)),"Fora dos ciclos",IF(OR(B2138&lt;parametros!$C$2,(YEAR(B2138)-YEAR(parametros!$C$2))*12+MONTH(B2138)-MONTH(parametros!$C$2)&gt;59),"Fora dos ciclos","C"&amp;INT(((YEAR(B2138)-YEAR(parametros!$C$2))*12+MONTH(B2138)-MONTH(parametros!$C$2))/12)))))</f>
        <v/>
      </c>
      <c r="D2138" s="394"/>
      <c r="E2138" s="78" t="str">
        <f>IF(C2138="","",IFERROR(VLOOKUP(C2138,parametros!$A$11:$E$15,5,0),""))</f>
        <v/>
      </c>
      <c r="F2138" s="79" t="str">
        <f t="shared" si="167"/>
        <v/>
      </c>
      <c r="G2138" s="395"/>
      <c r="H2138" s="91">
        <f t="shared" si="168"/>
        <v>0</v>
      </c>
      <c r="I2138" s="91" t="str">
        <f t="shared" si="169"/>
        <v/>
      </c>
      <c r="J2138" s="91" t="str">
        <f t="shared" si="170"/>
        <v/>
      </c>
      <c r="K2138" s="92" t="str">
        <f>IF(AND(A2138="",B2138="",D2138="",G2138=""),"",IF(AND(A2138&lt;&gt;"",COUNTIF($A$2:$A$5001,A2138)&gt;1),"NUMERO_PC duplicado",IF(B2138="","DATA_PC vazia",IF(NOT(ISNUMBER(B2138)),"DATA_PC invalida",IF(OR(C2138="",C2138="Fora dos ciclos"),"CICLO_PC nao identificado",IF(OR(D2138="",D2138=0),"VALOR_PC vazio ou zero",IF(AND(G2138&lt;&gt;"Sim",G2138&lt;&gt;"Nao",G2138&lt;&gt;""),"PC_PAGO_A_CONTRATADA invalido",IF(AND(C2138&lt;&gt;"C0",IFERROR(INDEX(parametros!$A$2:$A$6,MATCH(C2138,parametros!$B$2:$B$6,0)),"")="Sim",IFERROR(INDEX(parametros!$H$2:$H$6,MATCH(C2138,parametros!$B$2:$B$6,0)),"")=""),"INICIO_EFEITO ausente: PC "&amp;A2138&amp;" - "&amp;C2138,IF(L2138="","EFEITO_PC nao calculado: PC "&amp;A2138&amp;" - "&amp;C2138,"OK")))))))))</f>
        <v/>
      </c>
      <c r="L2138" s="92" t="str">
        <f>IF(AND(A2138="",B2138="",D2138="",G2138=""),"",IF(OR(B2138="",NOT(ISNUMBER(B2138)),C2138="",C2138="Fora dos ciclos"),"",IF(C2138="C0","Nao",IF(IFERROR(INDEX(parametros!$A$2:$A$6,MATCH(C2138,parametros!$B$2:$B$6,0)),"")&lt;&gt;"Sim","Nao",IF(IFERROR(INDEX(parametros!$H$2:$H$6,MATCH(C2138,parametros!$B$2:$B$6,0)),"")="","",IF(B2138&gt;=IFERROR(INDEX(parametros!$H$2:$H$6,MATCH(C2138,parametros!$B$2:$B$6,0)),""),"Sim","Nao"))))))</f>
        <v/>
      </c>
      <c r="T2138" s="156"/>
      <c r="U2138" s="214" t="str">
        <f t="shared" si="171"/>
        <v/>
      </c>
      <c r="V2138" s="212" t="s">
        <v>50</v>
      </c>
      <c r="W2138" s="100" t="s">
        <v>168</v>
      </c>
      <c r="X2138" s="100" t="s">
        <v>169</v>
      </c>
      <c r="Y2138" s="101" t="s">
        <v>170</v>
      </c>
      <c r="Z2138" s="101" t="s">
        <v>171</v>
      </c>
      <c r="AA2138" s="101" t="s">
        <v>50</v>
      </c>
      <c r="AB2138" s="101" t="s">
        <v>172</v>
      </c>
      <c r="AC2138" s="102" t="s">
        <v>173</v>
      </c>
    </row>
    <row r="2139" spans="1:29" ht="25.5" customHeight="1" x14ac:dyDescent="0.35">
      <c r="A2139" s="392"/>
      <c r="B2139" s="393"/>
      <c r="C2139" s="99" t="str">
        <f>IF(B2139="","",IF(NOT(ISNUMBER(B2139)),"DATA_PC invalida",IF(NOT(ISNUMBER(parametros!$C$2)),"Fora dos ciclos",IF(OR(B2139&lt;parametros!$C$2,(YEAR(B2139)-YEAR(parametros!$C$2))*12+MONTH(B2139)-MONTH(parametros!$C$2)&gt;59),"Fora dos ciclos","C"&amp;INT(((YEAR(B2139)-YEAR(parametros!$C$2))*12+MONTH(B2139)-MONTH(parametros!$C$2))/12)))))</f>
        <v/>
      </c>
      <c r="D2139" s="394"/>
      <c r="E2139" s="78" t="str">
        <f>IF(C2139="","",IFERROR(VLOOKUP(C2139,parametros!$A$11:$E$15,5,0),""))</f>
        <v/>
      </c>
      <c r="F2139" s="79" t="str">
        <f t="shared" si="167"/>
        <v/>
      </c>
      <c r="G2139" s="395"/>
      <c r="H2139" s="91">
        <f t="shared" si="168"/>
        <v>0</v>
      </c>
      <c r="I2139" s="91" t="str">
        <f t="shared" si="169"/>
        <v/>
      </c>
      <c r="J2139" s="91" t="str">
        <f t="shared" si="170"/>
        <v/>
      </c>
      <c r="K2139" s="92" t="str">
        <f>IF(AND(A2139="",B2139="",D2139="",G2139=""),"",IF(AND(A2139&lt;&gt;"",COUNTIF($A$2:$A$5001,A2139)&gt;1),"NUMERO_PC duplicado",IF(B2139="","DATA_PC vazia",IF(NOT(ISNUMBER(B2139)),"DATA_PC invalida",IF(OR(C2139="",C2139="Fora dos ciclos"),"CICLO_PC nao identificado",IF(OR(D2139="",D2139=0),"VALOR_PC vazio ou zero",IF(AND(G2139&lt;&gt;"Sim",G2139&lt;&gt;"Nao",G2139&lt;&gt;""),"PC_PAGO_A_CONTRATADA invalido",IF(AND(C2139&lt;&gt;"C0",IFERROR(INDEX(parametros!$A$2:$A$6,MATCH(C2139,parametros!$B$2:$B$6,0)),"")="Sim",IFERROR(INDEX(parametros!$H$2:$H$6,MATCH(C2139,parametros!$B$2:$B$6,0)),"")=""),"INICIO_EFEITO ausente: PC "&amp;A2139&amp;" - "&amp;C2139,IF(L2139="","EFEITO_PC nao calculado: PC "&amp;A2139&amp;" - "&amp;C2139,"OK")))))))))</f>
        <v/>
      </c>
      <c r="L2139" s="92" t="str">
        <f>IF(AND(A2139="",B2139="",D2139="",G2139=""),"",IF(OR(B2139="",NOT(ISNUMBER(B2139)),C2139="",C2139="Fora dos ciclos"),"",IF(C2139="C0","Nao",IF(IFERROR(INDEX(parametros!$A$2:$A$6,MATCH(C2139,parametros!$B$2:$B$6,0)),"")&lt;&gt;"Sim","Nao",IF(IFERROR(INDEX(parametros!$H$2:$H$6,MATCH(C2139,parametros!$B$2:$B$6,0)),"")="","",IF(B2139&gt;=IFERROR(INDEX(parametros!$H$2:$H$6,MATCH(C2139,parametros!$B$2:$B$6,0)),""),"Sim","Nao"))))))</f>
        <v/>
      </c>
      <c r="T2139" s="156"/>
      <c r="U2139" s="214" t="str">
        <f t="shared" si="171"/>
        <v/>
      </c>
      <c r="V2139" s="212" t="s">
        <v>50</v>
      </c>
      <c r="W2139" s="100" t="s">
        <v>168</v>
      </c>
      <c r="X2139" s="100" t="s">
        <v>169</v>
      </c>
      <c r="Y2139" s="101" t="s">
        <v>170</v>
      </c>
      <c r="Z2139" s="101" t="s">
        <v>171</v>
      </c>
      <c r="AA2139" s="101" t="s">
        <v>50</v>
      </c>
      <c r="AB2139" s="101" t="s">
        <v>172</v>
      </c>
      <c r="AC2139" s="102" t="s">
        <v>173</v>
      </c>
    </row>
    <row r="2140" spans="1:29" ht="25.5" customHeight="1" x14ac:dyDescent="0.35">
      <c r="A2140" s="392"/>
      <c r="B2140" s="393"/>
      <c r="C2140" s="99" t="str">
        <f>IF(B2140="","",IF(NOT(ISNUMBER(B2140)),"DATA_PC invalida",IF(NOT(ISNUMBER(parametros!$C$2)),"Fora dos ciclos",IF(OR(B2140&lt;parametros!$C$2,(YEAR(B2140)-YEAR(parametros!$C$2))*12+MONTH(B2140)-MONTH(parametros!$C$2)&gt;59),"Fora dos ciclos","C"&amp;INT(((YEAR(B2140)-YEAR(parametros!$C$2))*12+MONTH(B2140)-MONTH(parametros!$C$2))/12)))))</f>
        <v/>
      </c>
      <c r="D2140" s="394"/>
      <c r="E2140" s="78" t="str">
        <f>IF(C2140="","",IFERROR(VLOOKUP(C2140,parametros!$A$11:$E$15,5,0),""))</f>
        <v/>
      </c>
      <c r="F2140" s="79" t="str">
        <f t="shared" si="167"/>
        <v/>
      </c>
      <c r="G2140" s="395"/>
      <c r="H2140" s="91">
        <f t="shared" si="168"/>
        <v>0</v>
      </c>
      <c r="I2140" s="91" t="str">
        <f t="shared" si="169"/>
        <v/>
      </c>
      <c r="J2140" s="91" t="str">
        <f t="shared" si="170"/>
        <v/>
      </c>
      <c r="K2140" s="92" t="str">
        <f>IF(AND(A2140="",B2140="",D2140="",G2140=""),"",IF(AND(A2140&lt;&gt;"",COUNTIF($A$2:$A$5001,A2140)&gt;1),"NUMERO_PC duplicado",IF(B2140="","DATA_PC vazia",IF(NOT(ISNUMBER(B2140)),"DATA_PC invalida",IF(OR(C2140="",C2140="Fora dos ciclos"),"CICLO_PC nao identificado",IF(OR(D2140="",D2140=0),"VALOR_PC vazio ou zero",IF(AND(G2140&lt;&gt;"Sim",G2140&lt;&gt;"Nao",G2140&lt;&gt;""),"PC_PAGO_A_CONTRATADA invalido",IF(AND(C2140&lt;&gt;"C0",IFERROR(INDEX(parametros!$A$2:$A$6,MATCH(C2140,parametros!$B$2:$B$6,0)),"")="Sim",IFERROR(INDEX(parametros!$H$2:$H$6,MATCH(C2140,parametros!$B$2:$B$6,0)),"")=""),"INICIO_EFEITO ausente: PC "&amp;A2140&amp;" - "&amp;C2140,IF(L2140="","EFEITO_PC nao calculado: PC "&amp;A2140&amp;" - "&amp;C2140,"OK")))))))))</f>
        <v/>
      </c>
      <c r="L2140" s="92" t="str">
        <f>IF(AND(A2140="",B2140="",D2140="",G2140=""),"",IF(OR(B2140="",NOT(ISNUMBER(B2140)),C2140="",C2140="Fora dos ciclos"),"",IF(C2140="C0","Nao",IF(IFERROR(INDEX(parametros!$A$2:$A$6,MATCH(C2140,parametros!$B$2:$B$6,0)),"")&lt;&gt;"Sim","Nao",IF(IFERROR(INDEX(parametros!$H$2:$H$6,MATCH(C2140,parametros!$B$2:$B$6,0)),"")="","",IF(B2140&gt;=IFERROR(INDEX(parametros!$H$2:$H$6,MATCH(C2140,parametros!$B$2:$B$6,0)),""),"Sim","Nao"))))))</f>
        <v/>
      </c>
      <c r="T2140" s="156"/>
      <c r="U2140" s="214" t="str">
        <f t="shared" si="171"/>
        <v/>
      </c>
      <c r="V2140" s="212" t="s">
        <v>50</v>
      </c>
      <c r="W2140" s="100" t="s">
        <v>168</v>
      </c>
      <c r="X2140" s="100" t="s">
        <v>169</v>
      </c>
      <c r="Y2140" s="101" t="s">
        <v>170</v>
      </c>
      <c r="Z2140" s="101" t="s">
        <v>171</v>
      </c>
      <c r="AA2140" s="101" t="s">
        <v>50</v>
      </c>
      <c r="AB2140" s="101" t="s">
        <v>172</v>
      </c>
      <c r="AC2140" s="102" t="s">
        <v>173</v>
      </c>
    </row>
    <row r="2141" spans="1:29" ht="25.5" customHeight="1" x14ac:dyDescent="0.35">
      <c r="A2141" s="392"/>
      <c r="B2141" s="393"/>
      <c r="C2141" s="99" t="str">
        <f>IF(B2141="","",IF(NOT(ISNUMBER(B2141)),"DATA_PC invalida",IF(NOT(ISNUMBER(parametros!$C$2)),"Fora dos ciclos",IF(OR(B2141&lt;parametros!$C$2,(YEAR(B2141)-YEAR(parametros!$C$2))*12+MONTH(B2141)-MONTH(parametros!$C$2)&gt;59),"Fora dos ciclos","C"&amp;INT(((YEAR(B2141)-YEAR(parametros!$C$2))*12+MONTH(B2141)-MONTH(parametros!$C$2))/12)))))</f>
        <v/>
      </c>
      <c r="D2141" s="394"/>
      <c r="E2141" s="78" t="str">
        <f>IF(C2141="","",IFERROR(VLOOKUP(C2141,parametros!$A$11:$E$15,5,0),""))</f>
        <v/>
      </c>
      <c r="F2141" s="79" t="str">
        <f t="shared" si="167"/>
        <v/>
      </c>
      <c r="G2141" s="395"/>
      <c r="H2141" s="91">
        <f t="shared" si="168"/>
        <v>0</v>
      </c>
      <c r="I2141" s="91" t="str">
        <f t="shared" si="169"/>
        <v/>
      </c>
      <c r="J2141" s="91" t="str">
        <f t="shared" si="170"/>
        <v/>
      </c>
      <c r="K2141" s="92" t="str">
        <f>IF(AND(A2141="",B2141="",D2141="",G2141=""),"",IF(AND(A2141&lt;&gt;"",COUNTIF($A$2:$A$5001,A2141)&gt;1),"NUMERO_PC duplicado",IF(B2141="","DATA_PC vazia",IF(NOT(ISNUMBER(B2141)),"DATA_PC invalida",IF(OR(C2141="",C2141="Fora dos ciclos"),"CICLO_PC nao identificado",IF(OR(D2141="",D2141=0),"VALOR_PC vazio ou zero",IF(AND(G2141&lt;&gt;"Sim",G2141&lt;&gt;"Nao",G2141&lt;&gt;""),"PC_PAGO_A_CONTRATADA invalido",IF(AND(C2141&lt;&gt;"C0",IFERROR(INDEX(parametros!$A$2:$A$6,MATCH(C2141,parametros!$B$2:$B$6,0)),"")="Sim",IFERROR(INDEX(parametros!$H$2:$H$6,MATCH(C2141,parametros!$B$2:$B$6,0)),"")=""),"INICIO_EFEITO ausente: PC "&amp;A2141&amp;" - "&amp;C2141,IF(L2141="","EFEITO_PC nao calculado: PC "&amp;A2141&amp;" - "&amp;C2141,"OK")))))))))</f>
        <v/>
      </c>
      <c r="L2141" s="92" t="str">
        <f>IF(AND(A2141="",B2141="",D2141="",G2141=""),"",IF(OR(B2141="",NOT(ISNUMBER(B2141)),C2141="",C2141="Fora dos ciclos"),"",IF(C2141="C0","Nao",IF(IFERROR(INDEX(parametros!$A$2:$A$6,MATCH(C2141,parametros!$B$2:$B$6,0)),"")&lt;&gt;"Sim","Nao",IF(IFERROR(INDEX(parametros!$H$2:$H$6,MATCH(C2141,parametros!$B$2:$B$6,0)),"")="","",IF(B2141&gt;=IFERROR(INDEX(parametros!$H$2:$H$6,MATCH(C2141,parametros!$B$2:$B$6,0)),""),"Sim","Nao"))))))</f>
        <v/>
      </c>
      <c r="T2141" s="156"/>
      <c r="U2141" s="214" t="str">
        <f t="shared" si="171"/>
        <v/>
      </c>
      <c r="V2141" s="212" t="s">
        <v>50</v>
      </c>
      <c r="W2141" s="100" t="s">
        <v>168</v>
      </c>
      <c r="X2141" s="100" t="s">
        <v>169</v>
      </c>
      <c r="Y2141" s="101" t="s">
        <v>170</v>
      </c>
      <c r="Z2141" s="101" t="s">
        <v>171</v>
      </c>
      <c r="AA2141" s="101" t="s">
        <v>50</v>
      </c>
      <c r="AB2141" s="101" t="s">
        <v>172</v>
      </c>
      <c r="AC2141" s="102" t="s">
        <v>173</v>
      </c>
    </row>
    <row r="2142" spans="1:29" ht="25.5" customHeight="1" x14ac:dyDescent="0.35">
      <c r="A2142" s="392"/>
      <c r="B2142" s="393"/>
      <c r="C2142" s="99" t="str">
        <f>IF(B2142="","",IF(NOT(ISNUMBER(B2142)),"DATA_PC invalida",IF(NOT(ISNUMBER(parametros!$C$2)),"Fora dos ciclos",IF(OR(B2142&lt;parametros!$C$2,(YEAR(B2142)-YEAR(parametros!$C$2))*12+MONTH(B2142)-MONTH(parametros!$C$2)&gt;59),"Fora dos ciclos","C"&amp;INT(((YEAR(B2142)-YEAR(parametros!$C$2))*12+MONTH(B2142)-MONTH(parametros!$C$2))/12)))))</f>
        <v/>
      </c>
      <c r="D2142" s="394"/>
      <c r="E2142" s="78" t="str">
        <f>IF(C2142="","",IFERROR(VLOOKUP(C2142,parametros!$A$11:$E$15,5,0),""))</f>
        <v/>
      </c>
      <c r="F2142" s="79" t="str">
        <f t="shared" si="167"/>
        <v/>
      </c>
      <c r="G2142" s="395"/>
      <c r="H2142" s="91">
        <f t="shared" si="168"/>
        <v>0</v>
      </c>
      <c r="I2142" s="91" t="str">
        <f t="shared" si="169"/>
        <v/>
      </c>
      <c r="J2142" s="91" t="str">
        <f t="shared" si="170"/>
        <v/>
      </c>
      <c r="K2142" s="92" t="str">
        <f>IF(AND(A2142="",B2142="",D2142="",G2142=""),"",IF(AND(A2142&lt;&gt;"",COUNTIF($A$2:$A$5001,A2142)&gt;1),"NUMERO_PC duplicado",IF(B2142="","DATA_PC vazia",IF(NOT(ISNUMBER(B2142)),"DATA_PC invalida",IF(OR(C2142="",C2142="Fora dos ciclos"),"CICLO_PC nao identificado",IF(OR(D2142="",D2142=0),"VALOR_PC vazio ou zero",IF(AND(G2142&lt;&gt;"Sim",G2142&lt;&gt;"Nao",G2142&lt;&gt;""),"PC_PAGO_A_CONTRATADA invalido",IF(AND(C2142&lt;&gt;"C0",IFERROR(INDEX(parametros!$A$2:$A$6,MATCH(C2142,parametros!$B$2:$B$6,0)),"")="Sim",IFERROR(INDEX(parametros!$H$2:$H$6,MATCH(C2142,parametros!$B$2:$B$6,0)),"")=""),"INICIO_EFEITO ausente: PC "&amp;A2142&amp;" - "&amp;C2142,IF(L2142="","EFEITO_PC nao calculado: PC "&amp;A2142&amp;" - "&amp;C2142,"OK")))))))))</f>
        <v/>
      </c>
      <c r="L2142" s="92" t="str">
        <f>IF(AND(A2142="",B2142="",D2142="",G2142=""),"",IF(OR(B2142="",NOT(ISNUMBER(B2142)),C2142="",C2142="Fora dos ciclos"),"",IF(C2142="C0","Nao",IF(IFERROR(INDEX(parametros!$A$2:$A$6,MATCH(C2142,parametros!$B$2:$B$6,0)),"")&lt;&gt;"Sim","Nao",IF(IFERROR(INDEX(parametros!$H$2:$H$6,MATCH(C2142,parametros!$B$2:$B$6,0)),"")="","",IF(B2142&gt;=IFERROR(INDEX(parametros!$H$2:$H$6,MATCH(C2142,parametros!$B$2:$B$6,0)),""),"Sim","Nao"))))))</f>
        <v/>
      </c>
      <c r="T2142" s="156"/>
      <c r="U2142" s="214" t="str">
        <f t="shared" si="171"/>
        <v/>
      </c>
      <c r="V2142" s="212" t="s">
        <v>50</v>
      </c>
      <c r="W2142" s="100" t="s">
        <v>168</v>
      </c>
      <c r="X2142" s="100" t="s">
        <v>169</v>
      </c>
      <c r="Y2142" s="101" t="s">
        <v>170</v>
      </c>
      <c r="Z2142" s="101" t="s">
        <v>171</v>
      </c>
      <c r="AA2142" s="101" t="s">
        <v>50</v>
      </c>
      <c r="AB2142" s="101" t="s">
        <v>172</v>
      </c>
      <c r="AC2142" s="102" t="s">
        <v>173</v>
      </c>
    </row>
    <row r="2143" spans="1:29" ht="25.5" customHeight="1" x14ac:dyDescent="0.35">
      <c r="A2143" s="392"/>
      <c r="B2143" s="393"/>
      <c r="C2143" s="99" t="str">
        <f>IF(B2143="","",IF(NOT(ISNUMBER(B2143)),"DATA_PC invalida",IF(NOT(ISNUMBER(parametros!$C$2)),"Fora dos ciclos",IF(OR(B2143&lt;parametros!$C$2,(YEAR(B2143)-YEAR(parametros!$C$2))*12+MONTH(B2143)-MONTH(parametros!$C$2)&gt;59),"Fora dos ciclos","C"&amp;INT(((YEAR(B2143)-YEAR(parametros!$C$2))*12+MONTH(B2143)-MONTH(parametros!$C$2))/12)))))</f>
        <v/>
      </c>
      <c r="D2143" s="394"/>
      <c r="E2143" s="78" t="str">
        <f>IF(C2143="","",IFERROR(VLOOKUP(C2143,parametros!$A$11:$E$15,5,0),""))</f>
        <v/>
      </c>
      <c r="F2143" s="79" t="str">
        <f t="shared" si="167"/>
        <v/>
      </c>
      <c r="G2143" s="395"/>
      <c r="H2143" s="91">
        <f t="shared" si="168"/>
        <v>0</v>
      </c>
      <c r="I2143" s="91" t="str">
        <f t="shared" si="169"/>
        <v/>
      </c>
      <c r="J2143" s="91" t="str">
        <f t="shared" si="170"/>
        <v/>
      </c>
      <c r="K2143" s="92" t="str">
        <f>IF(AND(A2143="",B2143="",D2143="",G2143=""),"",IF(AND(A2143&lt;&gt;"",COUNTIF($A$2:$A$5001,A2143)&gt;1),"NUMERO_PC duplicado",IF(B2143="","DATA_PC vazia",IF(NOT(ISNUMBER(B2143)),"DATA_PC invalida",IF(OR(C2143="",C2143="Fora dos ciclos"),"CICLO_PC nao identificado",IF(OR(D2143="",D2143=0),"VALOR_PC vazio ou zero",IF(AND(G2143&lt;&gt;"Sim",G2143&lt;&gt;"Nao",G2143&lt;&gt;""),"PC_PAGO_A_CONTRATADA invalido",IF(AND(C2143&lt;&gt;"C0",IFERROR(INDEX(parametros!$A$2:$A$6,MATCH(C2143,parametros!$B$2:$B$6,0)),"")="Sim",IFERROR(INDEX(parametros!$H$2:$H$6,MATCH(C2143,parametros!$B$2:$B$6,0)),"")=""),"INICIO_EFEITO ausente: PC "&amp;A2143&amp;" - "&amp;C2143,IF(L2143="","EFEITO_PC nao calculado: PC "&amp;A2143&amp;" - "&amp;C2143,"OK")))))))))</f>
        <v/>
      </c>
      <c r="L2143" s="92" t="str">
        <f>IF(AND(A2143="",B2143="",D2143="",G2143=""),"",IF(OR(B2143="",NOT(ISNUMBER(B2143)),C2143="",C2143="Fora dos ciclos"),"",IF(C2143="C0","Nao",IF(IFERROR(INDEX(parametros!$A$2:$A$6,MATCH(C2143,parametros!$B$2:$B$6,0)),"")&lt;&gt;"Sim","Nao",IF(IFERROR(INDEX(parametros!$H$2:$H$6,MATCH(C2143,parametros!$B$2:$B$6,0)),"")="","",IF(B2143&gt;=IFERROR(INDEX(parametros!$H$2:$H$6,MATCH(C2143,parametros!$B$2:$B$6,0)),""),"Sim","Nao"))))))</f>
        <v/>
      </c>
      <c r="T2143" s="156"/>
      <c r="U2143" s="214" t="str">
        <f t="shared" si="171"/>
        <v/>
      </c>
      <c r="V2143" s="212" t="s">
        <v>50</v>
      </c>
      <c r="W2143" s="100" t="s">
        <v>168</v>
      </c>
      <c r="X2143" s="100" t="s">
        <v>169</v>
      </c>
      <c r="Y2143" s="101" t="s">
        <v>170</v>
      </c>
      <c r="Z2143" s="101" t="s">
        <v>171</v>
      </c>
      <c r="AA2143" s="101" t="s">
        <v>50</v>
      </c>
      <c r="AB2143" s="101" t="s">
        <v>172</v>
      </c>
      <c r="AC2143" s="102" t="s">
        <v>173</v>
      </c>
    </row>
    <row r="2144" spans="1:29" ht="25.5" customHeight="1" x14ac:dyDescent="0.35">
      <c r="A2144" s="392"/>
      <c r="B2144" s="393"/>
      <c r="C2144" s="99" t="str">
        <f>IF(B2144="","",IF(NOT(ISNUMBER(B2144)),"DATA_PC invalida",IF(NOT(ISNUMBER(parametros!$C$2)),"Fora dos ciclos",IF(OR(B2144&lt;parametros!$C$2,(YEAR(B2144)-YEAR(parametros!$C$2))*12+MONTH(B2144)-MONTH(parametros!$C$2)&gt;59),"Fora dos ciclos","C"&amp;INT(((YEAR(B2144)-YEAR(parametros!$C$2))*12+MONTH(B2144)-MONTH(parametros!$C$2))/12)))))</f>
        <v/>
      </c>
      <c r="D2144" s="394"/>
      <c r="E2144" s="78" t="str">
        <f>IF(C2144="","",IFERROR(VLOOKUP(C2144,parametros!$A$11:$E$15,5,0),""))</f>
        <v/>
      </c>
      <c r="F2144" s="79" t="str">
        <f t="shared" si="167"/>
        <v/>
      </c>
      <c r="G2144" s="395"/>
      <c r="H2144" s="91">
        <f t="shared" si="168"/>
        <v>0</v>
      </c>
      <c r="I2144" s="91" t="str">
        <f t="shared" si="169"/>
        <v/>
      </c>
      <c r="J2144" s="91" t="str">
        <f t="shared" si="170"/>
        <v/>
      </c>
      <c r="K2144" s="92" t="str">
        <f>IF(AND(A2144="",B2144="",D2144="",G2144=""),"",IF(AND(A2144&lt;&gt;"",COUNTIF($A$2:$A$5001,A2144)&gt;1),"NUMERO_PC duplicado",IF(B2144="","DATA_PC vazia",IF(NOT(ISNUMBER(B2144)),"DATA_PC invalida",IF(OR(C2144="",C2144="Fora dos ciclos"),"CICLO_PC nao identificado",IF(OR(D2144="",D2144=0),"VALOR_PC vazio ou zero",IF(AND(G2144&lt;&gt;"Sim",G2144&lt;&gt;"Nao",G2144&lt;&gt;""),"PC_PAGO_A_CONTRATADA invalido",IF(AND(C2144&lt;&gt;"C0",IFERROR(INDEX(parametros!$A$2:$A$6,MATCH(C2144,parametros!$B$2:$B$6,0)),"")="Sim",IFERROR(INDEX(parametros!$H$2:$H$6,MATCH(C2144,parametros!$B$2:$B$6,0)),"")=""),"INICIO_EFEITO ausente: PC "&amp;A2144&amp;" - "&amp;C2144,IF(L2144="","EFEITO_PC nao calculado: PC "&amp;A2144&amp;" - "&amp;C2144,"OK")))))))))</f>
        <v/>
      </c>
      <c r="L2144" s="92" t="str">
        <f>IF(AND(A2144="",B2144="",D2144="",G2144=""),"",IF(OR(B2144="",NOT(ISNUMBER(B2144)),C2144="",C2144="Fora dos ciclos"),"",IF(C2144="C0","Nao",IF(IFERROR(INDEX(parametros!$A$2:$A$6,MATCH(C2144,parametros!$B$2:$B$6,0)),"")&lt;&gt;"Sim","Nao",IF(IFERROR(INDEX(parametros!$H$2:$H$6,MATCH(C2144,parametros!$B$2:$B$6,0)),"")="","",IF(B2144&gt;=IFERROR(INDEX(parametros!$H$2:$H$6,MATCH(C2144,parametros!$B$2:$B$6,0)),""),"Sim","Nao"))))))</f>
        <v/>
      </c>
      <c r="T2144" s="156"/>
      <c r="U2144" s="214" t="str">
        <f t="shared" si="171"/>
        <v/>
      </c>
      <c r="V2144" s="212" t="s">
        <v>50</v>
      </c>
      <c r="W2144" s="100" t="s">
        <v>168</v>
      </c>
      <c r="X2144" s="100" t="s">
        <v>169</v>
      </c>
      <c r="Y2144" s="101" t="s">
        <v>170</v>
      </c>
      <c r="Z2144" s="101" t="s">
        <v>171</v>
      </c>
      <c r="AA2144" s="101" t="s">
        <v>50</v>
      </c>
      <c r="AB2144" s="101" t="s">
        <v>172</v>
      </c>
      <c r="AC2144" s="102" t="s">
        <v>173</v>
      </c>
    </row>
    <row r="2145" spans="1:29" ht="25.5" customHeight="1" x14ac:dyDescent="0.35">
      <c r="A2145" s="392"/>
      <c r="B2145" s="393"/>
      <c r="C2145" s="99" t="str">
        <f>IF(B2145="","",IF(NOT(ISNUMBER(B2145)),"DATA_PC invalida",IF(NOT(ISNUMBER(parametros!$C$2)),"Fora dos ciclos",IF(OR(B2145&lt;parametros!$C$2,(YEAR(B2145)-YEAR(parametros!$C$2))*12+MONTH(B2145)-MONTH(parametros!$C$2)&gt;59),"Fora dos ciclos","C"&amp;INT(((YEAR(B2145)-YEAR(parametros!$C$2))*12+MONTH(B2145)-MONTH(parametros!$C$2))/12)))))</f>
        <v/>
      </c>
      <c r="D2145" s="394"/>
      <c r="E2145" s="78" t="str">
        <f>IF(C2145="","",IFERROR(VLOOKUP(C2145,parametros!$A$11:$E$15,5,0),""))</f>
        <v/>
      </c>
      <c r="F2145" s="79" t="str">
        <f t="shared" si="167"/>
        <v/>
      </c>
      <c r="G2145" s="395"/>
      <c r="H2145" s="91">
        <f t="shared" si="168"/>
        <v>0</v>
      </c>
      <c r="I2145" s="91" t="str">
        <f t="shared" si="169"/>
        <v/>
      </c>
      <c r="J2145" s="91" t="str">
        <f t="shared" si="170"/>
        <v/>
      </c>
      <c r="K2145" s="92" t="str">
        <f>IF(AND(A2145="",B2145="",D2145="",G2145=""),"",IF(AND(A2145&lt;&gt;"",COUNTIF($A$2:$A$5001,A2145)&gt;1),"NUMERO_PC duplicado",IF(B2145="","DATA_PC vazia",IF(NOT(ISNUMBER(B2145)),"DATA_PC invalida",IF(OR(C2145="",C2145="Fora dos ciclos"),"CICLO_PC nao identificado",IF(OR(D2145="",D2145=0),"VALOR_PC vazio ou zero",IF(AND(G2145&lt;&gt;"Sim",G2145&lt;&gt;"Nao",G2145&lt;&gt;""),"PC_PAGO_A_CONTRATADA invalido",IF(AND(C2145&lt;&gt;"C0",IFERROR(INDEX(parametros!$A$2:$A$6,MATCH(C2145,parametros!$B$2:$B$6,0)),"")="Sim",IFERROR(INDEX(parametros!$H$2:$H$6,MATCH(C2145,parametros!$B$2:$B$6,0)),"")=""),"INICIO_EFEITO ausente: PC "&amp;A2145&amp;" - "&amp;C2145,IF(L2145="","EFEITO_PC nao calculado: PC "&amp;A2145&amp;" - "&amp;C2145,"OK")))))))))</f>
        <v/>
      </c>
      <c r="L2145" s="92" t="str">
        <f>IF(AND(A2145="",B2145="",D2145="",G2145=""),"",IF(OR(B2145="",NOT(ISNUMBER(B2145)),C2145="",C2145="Fora dos ciclos"),"",IF(C2145="C0","Nao",IF(IFERROR(INDEX(parametros!$A$2:$A$6,MATCH(C2145,parametros!$B$2:$B$6,0)),"")&lt;&gt;"Sim","Nao",IF(IFERROR(INDEX(parametros!$H$2:$H$6,MATCH(C2145,parametros!$B$2:$B$6,0)),"")="","",IF(B2145&gt;=IFERROR(INDEX(parametros!$H$2:$H$6,MATCH(C2145,parametros!$B$2:$B$6,0)),""),"Sim","Nao"))))))</f>
        <v/>
      </c>
      <c r="T2145" s="156"/>
      <c r="U2145" s="214" t="str">
        <f t="shared" si="171"/>
        <v/>
      </c>
      <c r="V2145" s="212" t="s">
        <v>50</v>
      </c>
      <c r="W2145" s="100" t="s">
        <v>168</v>
      </c>
      <c r="X2145" s="100" t="s">
        <v>169</v>
      </c>
      <c r="Y2145" s="101" t="s">
        <v>170</v>
      </c>
      <c r="Z2145" s="101" t="s">
        <v>171</v>
      </c>
      <c r="AA2145" s="101" t="s">
        <v>50</v>
      </c>
      <c r="AB2145" s="101" t="s">
        <v>172</v>
      </c>
      <c r="AC2145" s="102" t="s">
        <v>173</v>
      </c>
    </row>
    <row r="2146" spans="1:29" ht="25.5" customHeight="1" x14ac:dyDescent="0.35">
      <c r="A2146" s="392"/>
      <c r="B2146" s="393"/>
      <c r="C2146" s="99" t="str">
        <f>IF(B2146="","",IF(NOT(ISNUMBER(B2146)),"DATA_PC invalida",IF(NOT(ISNUMBER(parametros!$C$2)),"Fora dos ciclos",IF(OR(B2146&lt;parametros!$C$2,(YEAR(B2146)-YEAR(parametros!$C$2))*12+MONTH(B2146)-MONTH(parametros!$C$2)&gt;59),"Fora dos ciclos","C"&amp;INT(((YEAR(B2146)-YEAR(parametros!$C$2))*12+MONTH(B2146)-MONTH(parametros!$C$2))/12)))))</f>
        <v/>
      </c>
      <c r="D2146" s="394"/>
      <c r="E2146" s="78" t="str">
        <f>IF(C2146="","",IFERROR(VLOOKUP(C2146,parametros!$A$11:$E$15,5,0),""))</f>
        <v/>
      </c>
      <c r="F2146" s="79" t="str">
        <f t="shared" si="167"/>
        <v/>
      </c>
      <c r="G2146" s="395"/>
      <c r="H2146" s="91">
        <f t="shared" si="168"/>
        <v>0</v>
      </c>
      <c r="I2146" s="91" t="str">
        <f t="shared" si="169"/>
        <v/>
      </c>
      <c r="J2146" s="91" t="str">
        <f t="shared" si="170"/>
        <v/>
      </c>
      <c r="K2146" s="92" t="str">
        <f>IF(AND(A2146="",B2146="",D2146="",G2146=""),"",IF(AND(A2146&lt;&gt;"",COUNTIF($A$2:$A$5001,A2146)&gt;1),"NUMERO_PC duplicado",IF(B2146="","DATA_PC vazia",IF(NOT(ISNUMBER(B2146)),"DATA_PC invalida",IF(OR(C2146="",C2146="Fora dos ciclos"),"CICLO_PC nao identificado",IF(OR(D2146="",D2146=0),"VALOR_PC vazio ou zero",IF(AND(G2146&lt;&gt;"Sim",G2146&lt;&gt;"Nao",G2146&lt;&gt;""),"PC_PAGO_A_CONTRATADA invalido",IF(AND(C2146&lt;&gt;"C0",IFERROR(INDEX(parametros!$A$2:$A$6,MATCH(C2146,parametros!$B$2:$B$6,0)),"")="Sim",IFERROR(INDEX(parametros!$H$2:$H$6,MATCH(C2146,parametros!$B$2:$B$6,0)),"")=""),"INICIO_EFEITO ausente: PC "&amp;A2146&amp;" - "&amp;C2146,IF(L2146="","EFEITO_PC nao calculado: PC "&amp;A2146&amp;" - "&amp;C2146,"OK")))))))))</f>
        <v/>
      </c>
      <c r="L2146" s="92" t="str">
        <f>IF(AND(A2146="",B2146="",D2146="",G2146=""),"",IF(OR(B2146="",NOT(ISNUMBER(B2146)),C2146="",C2146="Fora dos ciclos"),"",IF(C2146="C0","Nao",IF(IFERROR(INDEX(parametros!$A$2:$A$6,MATCH(C2146,parametros!$B$2:$B$6,0)),"")&lt;&gt;"Sim","Nao",IF(IFERROR(INDEX(parametros!$H$2:$H$6,MATCH(C2146,parametros!$B$2:$B$6,0)),"")="","",IF(B2146&gt;=IFERROR(INDEX(parametros!$H$2:$H$6,MATCH(C2146,parametros!$B$2:$B$6,0)),""),"Sim","Nao"))))))</f>
        <v/>
      </c>
      <c r="T2146" s="156"/>
      <c r="U2146" s="214" t="str">
        <f t="shared" si="171"/>
        <v/>
      </c>
      <c r="V2146" s="212" t="s">
        <v>50</v>
      </c>
      <c r="W2146" s="100" t="s">
        <v>168</v>
      </c>
      <c r="X2146" s="100" t="s">
        <v>169</v>
      </c>
      <c r="Y2146" s="101" t="s">
        <v>170</v>
      </c>
      <c r="Z2146" s="101" t="s">
        <v>171</v>
      </c>
      <c r="AA2146" s="101" t="s">
        <v>50</v>
      </c>
      <c r="AB2146" s="101" t="s">
        <v>172</v>
      </c>
      <c r="AC2146" s="102" t="s">
        <v>173</v>
      </c>
    </row>
    <row r="2147" spans="1:29" ht="25.5" customHeight="1" x14ac:dyDescent="0.35">
      <c r="A2147" s="392"/>
      <c r="B2147" s="393"/>
      <c r="C2147" s="99" t="str">
        <f>IF(B2147="","",IF(NOT(ISNUMBER(B2147)),"DATA_PC invalida",IF(NOT(ISNUMBER(parametros!$C$2)),"Fora dos ciclos",IF(OR(B2147&lt;parametros!$C$2,(YEAR(B2147)-YEAR(parametros!$C$2))*12+MONTH(B2147)-MONTH(parametros!$C$2)&gt;59),"Fora dos ciclos","C"&amp;INT(((YEAR(B2147)-YEAR(parametros!$C$2))*12+MONTH(B2147)-MONTH(parametros!$C$2))/12)))))</f>
        <v/>
      </c>
      <c r="D2147" s="394"/>
      <c r="E2147" s="78" t="str">
        <f>IF(C2147="","",IFERROR(VLOOKUP(C2147,parametros!$A$11:$E$15,5,0),""))</f>
        <v/>
      </c>
      <c r="F2147" s="79" t="str">
        <f t="shared" si="167"/>
        <v/>
      </c>
      <c r="G2147" s="395"/>
      <c r="H2147" s="91">
        <f t="shared" si="168"/>
        <v>0</v>
      </c>
      <c r="I2147" s="91" t="str">
        <f t="shared" si="169"/>
        <v/>
      </c>
      <c r="J2147" s="91" t="str">
        <f t="shared" si="170"/>
        <v/>
      </c>
      <c r="K2147" s="92" t="str">
        <f>IF(AND(A2147="",B2147="",D2147="",G2147=""),"",IF(AND(A2147&lt;&gt;"",COUNTIF($A$2:$A$5001,A2147)&gt;1),"NUMERO_PC duplicado",IF(B2147="","DATA_PC vazia",IF(NOT(ISNUMBER(B2147)),"DATA_PC invalida",IF(OR(C2147="",C2147="Fora dos ciclos"),"CICLO_PC nao identificado",IF(OR(D2147="",D2147=0),"VALOR_PC vazio ou zero",IF(AND(G2147&lt;&gt;"Sim",G2147&lt;&gt;"Nao",G2147&lt;&gt;""),"PC_PAGO_A_CONTRATADA invalido",IF(AND(C2147&lt;&gt;"C0",IFERROR(INDEX(parametros!$A$2:$A$6,MATCH(C2147,parametros!$B$2:$B$6,0)),"")="Sim",IFERROR(INDEX(parametros!$H$2:$H$6,MATCH(C2147,parametros!$B$2:$B$6,0)),"")=""),"INICIO_EFEITO ausente: PC "&amp;A2147&amp;" - "&amp;C2147,IF(L2147="","EFEITO_PC nao calculado: PC "&amp;A2147&amp;" - "&amp;C2147,"OK")))))))))</f>
        <v/>
      </c>
      <c r="L2147" s="92" t="str">
        <f>IF(AND(A2147="",B2147="",D2147="",G2147=""),"",IF(OR(B2147="",NOT(ISNUMBER(B2147)),C2147="",C2147="Fora dos ciclos"),"",IF(C2147="C0","Nao",IF(IFERROR(INDEX(parametros!$A$2:$A$6,MATCH(C2147,parametros!$B$2:$B$6,0)),"")&lt;&gt;"Sim","Nao",IF(IFERROR(INDEX(parametros!$H$2:$H$6,MATCH(C2147,parametros!$B$2:$B$6,0)),"")="","",IF(B2147&gt;=IFERROR(INDEX(parametros!$H$2:$H$6,MATCH(C2147,parametros!$B$2:$B$6,0)),""),"Sim","Nao"))))))</f>
        <v/>
      </c>
      <c r="T2147" s="156"/>
      <c r="U2147" s="214" t="str">
        <f t="shared" si="171"/>
        <v/>
      </c>
      <c r="V2147" s="212" t="s">
        <v>50</v>
      </c>
      <c r="W2147" s="100" t="s">
        <v>168</v>
      </c>
      <c r="X2147" s="100" t="s">
        <v>169</v>
      </c>
      <c r="Y2147" s="101" t="s">
        <v>170</v>
      </c>
      <c r="Z2147" s="101" t="s">
        <v>171</v>
      </c>
      <c r="AA2147" s="101" t="s">
        <v>50</v>
      </c>
      <c r="AB2147" s="101" t="s">
        <v>172</v>
      </c>
      <c r="AC2147" s="102" t="s">
        <v>173</v>
      </c>
    </row>
    <row r="2148" spans="1:29" ht="25.5" customHeight="1" x14ac:dyDescent="0.35">
      <c r="A2148" s="392"/>
      <c r="B2148" s="393"/>
      <c r="C2148" s="99" t="str">
        <f>IF(B2148="","",IF(NOT(ISNUMBER(B2148)),"DATA_PC invalida",IF(NOT(ISNUMBER(parametros!$C$2)),"Fora dos ciclos",IF(OR(B2148&lt;parametros!$C$2,(YEAR(B2148)-YEAR(parametros!$C$2))*12+MONTH(B2148)-MONTH(parametros!$C$2)&gt;59),"Fora dos ciclos","C"&amp;INT(((YEAR(B2148)-YEAR(parametros!$C$2))*12+MONTH(B2148)-MONTH(parametros!$C$2))/12)))))</f>
        <v/>
      </c>
      <c r="D2148" s="394"/>
      <c r="E2148" s="78" t="str">
        <f>IF(C2148="","",IFERROR(VLOOKUP(C2148,parametros!$A$11:$E$15,5,0),""))</f>
        <v/>
      </c>
      <c r="F2148" s="79" t="str">
        <f t="shared" si="167"/>
        <v/>
      </c>
      <c r="G2148" s="395"/>
      <c r="H2148" s="91">
        <f t="shared" si="168"/>
        <v>0</v>
      </c>
      <c r="I2148" s="91" t="str">
        <f t="shared" si="169"/>
        <v/>
      </c>
      <c r="J2148" s="91" t="str">
        <f t="shared" si="170"/>
        <v/>
      </c>
      <c r="K2148" s="92" t="str">
        <f>IF(AND(A2148="",B2148="",D2148="",G2148=""),"",IF(AND(A2148&lt;&gt;"",COUNTIF($A$2:$A$5001,A2148)&gt;1),"NUMERO_PC duplicado",IF(B2148="","DATA_PC vazia",IF(NOT(ISNUMBER(B2148)),"DATA_PC invalida",IF(OR(C2148="",C2148="Fora dos ciclos"),"CICLO_PC nao identificado",IF(OR(D2148="",D2148=0),"VALOR_PC vazio ou zero",IF(AND(G2148&lt;&gt;"Sim",G2148&lt;&gt;"Nao",G2148&lt;&gt;""),"PC_PAGO_A_CONTRATADA invalido",IF(AND(C2148&lt;&gt;"C0",IFERROR(INDEX(parametros!$A$2:$A$6,MATCH(C2148,parametros!$B$2:$B$6,0)),"")="Sim",IFERROR(INDEX(parametros!$H$2:$H$6,MATCH(C2148,parametros!$B$2:$B$6,0)),"")=""),"INICIO_EFEITO ausente: PC "&amp;A2148&amp;" - "&amp;C2148,IF(L2148="","EFEITO_PC nao calculado: PC "&amp;A2148&amp;" - "&amp;C2148,"OK")))))))))</f>
        <v/>
      </c>
      <c r="L2148" s="92" t="str">
        <f>IF(AND(A2148="",B2148="",D2148="",G2148=""),"",IF(OR(B2148="",NOT(ISNUMBER(B2148)),C2148="",C2148="Fora dos ciclos"),"",IF(C2148="C0","Nao",IF(IFERROR(INDEX(parametros!$A$2:$A$6,MATCH(C2148,parametros!$B$2:$B$6,0)),"")&lt;&gt;"Sim","Nao",IF(IFERROR(INDEX(parametros!$H$2:$H$6,MATCH(C2148,parametros!$B$2:$B$6,0)),"")="","",IF(B2148&gt;=IFERROR(INDEX(parametros!$H$2:$H$6,MATCH(C2148,parametros!$B$2:$B$6,0)),""),"Sim","Nao"))))))</f>
        <v/>
      </c>
      <c r="T2148" s="156"/>
      <c r="U2148" s="214" t="str">
        <f t="shared" si="171"/>
        <v/>
      </c>
      <c r="V2148" s="212" t="s">
        <v>50</v>
      </c>
      <c r="W2148" s="100" t="s">
        <v>168</v>
      </c>
      <c r="X2148" s="100" t="s">
        <v>169</v>
      </c>
      <c r="Y2148" s="101" t="s">
        <v>170</v>
      </c>
      <c r="Z2148" s="101" t="s">
        <v>171</v>
      </c>
      <c r="AA2148" s="101" t="s">
        <v>50</v>
      </c>
      <c r="AB2148" s="101" t="s">
        <v>172</v>
      </c>
      <c r="AC2148" s="102" t="s">
        <v>173</v>
      </c>
    </row>
    <row r="2149" spans="1:29" ht="25.5" customHeight="1" x14ac:dyDescent="0.35">
      <c r="A2149" s="392"/>
      <c r="B2149" s="393"/>
      <c r="C2149" s="99" t="str">
        <f>IF(B2149="","",IF(NOT(ISNUMBER(B2149)),"DATA_PC invalida",IF(NOT(ISNUMBER(parametros!$C$2)),"Fora dos ciclos",IF(OR(B2149&lt;parametros!$C$2,(YEAR(B2149)-YEAR(parametros!$C$2))*12+MONTH(B2149)-MONTH(parametros!$C$2)&gt;59),"Fora dos ciclos","C"&amp;INT(((YEAR(B2149)-YEAR(parametros!$C$2))*12+MONTH(B2149)-MONTH(parametros!$C$2))/12)))))</f>
        <v/>
      </c>
      <c r="D2149" s="394"/>
      <c r="E2149" s="78" t="str">
        <f>IF(C2149="","",IFERROR(VLOOKUP(C2149,parametros!$A$11:$E$15,5,0),""))</f>
        <v/>
      </c>
      <c r="F2149" s="79" t="str">
        <f t="shared" si="167"/>
        <v/>
      </c>
      <c r="G2149" s="395"/>
      <c r="H2149" s="91">
        <f t="shared" si="168"/>
        <v>0</v>
      </c>
      <c r="I2149" s="91" t="str">
        <f t="shared" si="169"/>
        <v/>
      </c>
      <c r="J2149" s="91" t="str">
        <f t="shared" si="170"/>
        <v/>
      </c>
      <c r="K2149" s="92" t="str">
        <f>IF(AND(A2149="",B2149="",D2149="",G2149=""),"",IF(AND(A2149&lt;&gt;"",COUNTIF($A$2:$A$5001,A2149)&gt;1),"NUMERO_PC duplicado",IF(B2149="","DATA_PC vazia",IF(NOT(ISNUMBER(B2149)),"DATA_PC invalida",IF(OR(C2149="",C2149="Fora dos ciclos"),"CICLO_PC nao identificado",IF(OR(D2149="",D2149=0),"VALOR_PC vazio ou zero",IF(AND(G2149&lt;&gt;"Sim",G2149&lt;&gt;"Nao",G2149&lt;&gt;""),"PC_PAGO_A_CONTRATADA invalido",IF(AND(C2149&lt;&gt;"C0",IFERROR(INDEX(parametros!$A$2:$A$6,MATCH(C2149,parametros!$B$2:$B$6,0)),"")="Sim",IFERROR(INDEX(parametros!$H$2:$H$6,MATCH(C2149,parametros!$B$2:$B$6,0)),"")=""),"INICIO_EFEITO ausente: PC "&amp;A2149&amp;" - "&amp;C2149,IF(L2149="","EFEITO_PC nao calculado: PC "&amp;A2149&amp;" - "&amp;C2149,"OK")))))))))</f>
        <v/>
      </c>
      <c r="L2149" s="92" t="str">
        <f>IF(AND(A2149="",B2149="",D2149="",G2149=""),"",IF(OR(B2149="",NOT(ISNUMBER(B2149)),C2149="",C2149="Fora dos ciclos"),"",IF(C2149="C0","Nao",IF(IFERROR(INDEX(parametros!$A$2:$A$6,MATCH(C2149,parametros!$B$2:$B$6,0)),"")&lt;&gt;"Sim","Nao",IF(IFERROR(INDEX(parametros!$H$2:$H$6,MATCH(C2149,parametros!$B$2:$B$6,0)),"")="","",IF(B2149&gt;=IFERROR(INDEX(parametros!$H$2:$H$6,MATCH(C2149,parametros!$B$2:$B$6,0)),""),"Sim","Nao"))))))</f>
        <v/>
      </c>
      <c r="T2149" s="156"/>
      <c r="U2149" s="214" t="str">
        <f t="shared" si="171"/>
        <v/>
      </c>
      <c r="V2149" s="212" t="s">
        <v>50</v>
      </c>
      <c r="W2149" s="100" t="s">
        <v>168</v>
      </c>
      <c r="X2149" s="100" t="s">
        <v>169</v>
      </c>
      <c r="Y2149" s="101" t="s">
        <v>170</v>
      </c>
      <c r="Z2149" s="101" t="s">
        <v>171</v>
      </c>
      <c r="AA2149" s="101" t="s">
        <v>50</v>
      </c>
      <c r="AB2149" s="101" t="s">
        <v>172</v>
      </c>
      <c r="AC2149" s="102" t="s">
        <v>173</v>
      </c>
    </row>
    <row r="2150" spans="1:29" ht="25.5" customHeight="1" x14ac:dyDescent="0.35">
      <c r="A2150" s="392"/>
      <c r="B2150" s="393"/>
      <c r="C2150" s="99" t="str">
        <f>IF(B2150="","",IF(NOT(ISNUMBER(B2150)),"DATA_PC invalida",IF(NOT(ISNUMBER(parametros!$C$2)),"Fora dos ciclos",IF(OR(B2150&lt;parametros!$C$2,(YEAR(B2150)-YEAR(parametros!$C$2))*12+MONTH(B2150)-MONTH(parametros!$C$2)&gt;59),"Fora dos ciclos","C"&amp;INT(((YEAR(B2150)-YEAR(parametros!$C$2))*12+MONTH(B2150)-MONTH(parametros!$C$2))/12)))))</f>
        <v/>
      </c>
      <c r="D2150" s="394"/>
      <c r="E2150" s="78" t="str">
        <f>IF(C2150="","",IFERROR(VLOOKUP(C2150,parametros!$A$11:$E$15,5,0),""))</f>
        <v/>
      </c>
      <c r="F2150" s="79" t="str">
        <f t="shared" si="167"/>
        <v/>
      </c>
      <c r="G2150" s="395"/>
      <c r="H2150" s="91">
        <f t="shared" si="168"/>
        <v>0</v>
      </c>
      <c r="I2150" s="91" t="str">
        <f t="shared" si="169"/>
        <v/>
      </c>
      <c r="J2150" s="91" t="str">
        <f t="shared" si="170"/>
        <v/>
      </c>
      <c r="K2150" s="92" t="str">
        <f>IF(AND(A2150="",B2150="",D2150="",G2150=""),"",IF(AND(A2150&lt;&gt;"",COUNTIF($A$2:$A$5001,A2150)&gt;1),"NUMERO_PC duplicado",IF(B2150="","DATA_PC vazia",IF(NOT(ISNUMBER(B2150)),"DATA_PC invalida",IF(OR(C2150="",C2150="Fora dos ciclos"),"CICLO_PC nao identificado",IF(OR(D2150="",D2150=0),"VALOR_PC vazio ou zero",IF(AND(G2150&lt;&gt;"Sim",G2150&lt;&gt;"Nao",G2150&lt;&gt;""),"PC_PAGO_A_CONTRATADA invalido",IF(AND(C2150&lt;&gt;"C0",IFERROR(INDEX(parametros!$A$2:$A$6,MATCH(C2150,parametros!$B$2:$B$6,0)),"")="Sim",IFERROR(INDEX(parametros!$H$2:$H$6,MATCH(C2150,parametros!$B$2:$B$6,0)),"")=""),"INICIO_EFEITO ausente: PC "&amp;A2150&amp;" - "&amp;C2150,IF(L2150="","EFEITO_PC nao calculado: PC "&amp;A2150&amp;" - "&amp;C2150,"OK")))))))))</f>
        <v/>
      </c>
      <c r="L2150" s="92" t="str">
        <f>IF(AND(A2150="",B2150="",D2150="",G2150=""),"",IF(OR(B2150="",NOT(ISNUMBER(B2150)),C2150="",C2150="Fora dos ciclos"),"",IF(C2150="C0","Nao",IF(IFERROR(INDEX(parametros!$A$2:$A$6,MATCH(C2150,parametros!$B$2:$B$6,0)),"")&lt;&gt;"Sim","Nao",IF(IFERROR(INDEX(parametros!$H$2:$H$6,MATCH(C2150,parametros!$B$2:$B$6,0)),"")="","",IF(B2150&gt;=IFERROR(INDEX(parametros!$H$2:$H$6,MATCH(C2150,parametros!$B$2:$B$6,0)),""),"Sim","Nao"))))))</f>
        <v/>
      </c>
      <c r="T2150" s="156"/>
      <c r="U2150" s="214" t="str">
        <f t="shared" si="171"/>
        <v/>
      </c>
      <c r="V2150" s="212" t="s">
        <v>50</v>
      </c>
      <c r="W2150" s="100" t="s">
        <v>168</v>
      </c>
      <c r="X2150" s="100" t="s">
        <v>169</v>
      </c>
      <c r="Y2150" s="101" t="s">
        <v>170</v>
      </c>
      <c r="Z2150" s="101" t="s">
        <v>171</v>
      </c>
      <c r="AA2150" s="101" t="s">
        <v>50</v>
      </c>
      <c r="AB2150" s="101" t="s">
        <v>172</v>
      </c>
      <c r="AC2150" s="102" t="s">
        <v>173</v>
      </c>
    </row>
    <row r="2151" spans="1:29" ht="25.5" customHeight="1" x14ac:dyDescent="0.35">
      <c r="A2151" s="392"/>
      <c r="B2151" s="393"/>
      <c r="C2151" s="99" t="str">
        <f>IF(B2151="","",IF(NOT(ISNUMBER(B2151)),"DATA_PC invalida",IF(NOT(ISNUMBER(parametros!$C$2)),"Fora dos ciclos",IF(OR(B2151&lt;parametros!$C$2,(YEAR(B2151)-YEAR(parametros!$C$2))*12+MONTH(B2151)-MONTH(parametros!$C$2)&gt;59),"Fora dos ciclos","C"&amp;INT(((YEAR(B2151)-YEAR(parametros!$C$2))*12+MONTH(B2151)-MONTH(parametros!$C$2))/12)))))</f>
        <v/>
      </c>
      <c r="D2151" s="394"/>
      <c r="E2151" s="78" t="str">
        <f>IF(C2151="","",IFERROR(VLOOKUP(C2151,parametros!$A$11:$E$15,5,0),""))</f>
        <v/>
      </c>
      <c r="F2151" s="79" t="str">
        <f t="shared" si="167"/>
        <v/>
      </c>
      <c r="G2151" s="395"/>
      <c r="H2151" s="91">
        <f t="shared" si="168"/>
        <v>0</v>
      </c>
      <c r="I2151" s="91" t="str">
        <f t="shared" si="169"/>
        <v/>
      </c>
      <c r="J2151" s="91" t="str">
        <f t="shared" si="170"/>
        <v/>
      </c>
      <c r="K2151" s="92" t="str">
        <f>IF(AND(A2151="",B2151="",D2151="",G2151=""),"",IF(AND(A2151&lt;&gt;"",COUNTIF($A$2:$A$5001,A2151)&gt;1),"NUMERO_PC duplicado",IF(B2151="","DATA_PC vazia",IF(NOT(ISNUMBER(B2151)),"DATA_PC invalida",IF(OR(C2151="",C2151="Fora dos ciclos"),"CICLO_PC nao identificado",IF(OR(D2151="",D2151=0),"VALOR_PC vazio ou zero",IF(AND(G2151&lt;&gt;"Sim",G2151&lt;&gt;"Nao",G2151&lt;&gt;""),"PC_PAGO_A_CONTRATADA invalido",IF(AND(C2151&lt;&gt;"C0",IFERROR(INDEX(parametros!$A$2:$A$6,MATCH(C2151,parametros!$B$2:$B$6,0)),"")="Sim",IFERROR(INDEX(parametros!$H$2:$H$6,MATCH(C2151,parametros!$B$2:$B$6,0)),"")=""),"INICIO_EFEITO ausente: PC "&amp;A2151&amp;" - "&amp;C2151,IF(L2151="","EFEITO_PC nao calculado: PC "&amp;A2151&amp;" - "&amp;C2151,"OK")))))))))</f>
        <v/>
      </c>
      <c r="L2151" s="92" t="str">
        <f>IF(AND(A2151="",B2151="",D2151="",G2151=""),"",IF(OR(B2151="",NOT(ISNUMBER(B2151)),C2151="",C2151="Fora dos ciclos"),"",IF(C2151="C0","Nao",IF(IFERROR(INDEX(parametros!$A$2:$A$6,MATCH(C2151,parametros!$B$2:$B$6,0)),"")&lt;&gt;"Sim","Nao",IF(IFERROR(INDEX(parametros!$H$2:$H$6,MATCH(C2151,parametros!$B$2:$B$6,0)),"")="","",IF(B2151&gt;=IFERROR(INDEX(parametros!$H$2:$H$6,MATCH(C2151,parametros!$B$2:$B$6,0)),""),"Sim","Nao"))))))</f>
        <v/>
      </c>
      <c r="T2151" s="156"/>
      <c r="U2151" s="214" t="str">
        <f t="shared" si="171"/>
        <v/>
      </c>
      <c r="V2151" s="212" t="s">
        <v>50</v>
      </c>
      <c r="W2151" s="100" t="s">
        <v>168</v>
      </c>
      <c r="X2151" s="100" t="s">
        <v>169</v>
      </c>
      <c r="Y2151" s="101" t="s">
        <v>170</v>
      </c>
      <c r="Z2151" s="101" t="s">
        <v>171</v>
      </c>
      <c r="AA2151" s="101" t="s">
        <v>50</v>
      </c>
      <c r="AB2151" s="101" t="s">
        <v>172</v>
      </c>
      <c r="AC2151" s="102" t="s">
        <v>173</v>
      </c>
    </row>
    <row r="2152" spans="1:29" ht="25.5" customHeight="1" x14ac:dyDescent="0.35">
      <c r="A2152" s="392"/>
      <c r="B2152" s="393"/>
      <c r="C2152" s="99" t="str">
        <f>IF(B2152="","",IF(NOT(ISNUMBER(B2152)),"DATA_PC invalida",IF(NOT(ISNUMBER(parametros!$C$2)),"Fora dos ciclos",IF(OR(B2152&lt;parametros!$C$2,(YEAR(B2152)-YEAR(parametros!$C$2))*12+MONTH(B2152)-MONTH(parametros!$C$2)&gt;59),"Fora dos ciclos","C"&amp;INT(((YEAR(B2152)-YEAR(parametros!$C$2))*12+MONTH(B2152)-MONTH(parametros!$C$2))/12)))))</f>
        <v/>
      </c>
      <c r="D2152" s="394"/>
      <c r="E2152" s="78" t="str">
        <f>IF(C2152="","",IFERROR(VLOOKUP(C2152,parametros!$A$11:$E$15,5,0),""))</f>
        <v/>
      </c>
      <c r="F2152" s="79" t="str">
        <f t="shared" si="167"/>
        <v/>
      </c>
      <c r="G2152" s="395"/>
      <c r="H2152" s="91">
        <f t="shared" si="168"/>
        <v>0</v>
      </c>
      <c r="I2152" s="91" t="str">
        <f t="shared" si="169"/>
        <v/>
      </c>
      <c r="J2152" s="91" t="str">
        <f t="shared" si="170"/>
        <v/>
      </c>
      <c r="K2152" s="92" t="str">
        <f>IF(AND(A2152="",B2152="",D2152="",G2152=""),"",IF(AND(A2152&lt;&gt;"",COUNTIF($A$2:$A$5001,A2152)&gt;1),"NUMERO_PC duplicado",IF(B2152="","DATA_PC vazia",IF(NOT(ISNUMBER(B2152)),"DATA_PC invalida",IF(OR(C2152="",C2152="Fora dos ciclos"),"CICLO_PC nao identificado",IF(OR(D2152="",D2152=0),"VALOR_PC vazio ou zero",IF(AND(G2152&lt;&gt;"Sim",G2152&lt;&gt;"Nao",G2152&lt;&gt;""),"PC_PAGO_A_CONTRATADA invalido",IF(AND(C2152&lt;&gt;"C0",IFERROR(INDEX(parametros!$A$2:$A$6,MATCH(C2152,parametros!$B$2:$B$6,0)),"")="Sim",IFERROR(INDEX(parametros!$H$2:$H$6,MATCH(C2152,parametros!$B$2:$B$6,0)),"")=""),"INICIO_EFEITO ausente: PC "&amp;A2152&amp;" - "&amp;C2152,IF(L2152="","EFEITO_PC nao calculado: PC "&amp;A2152&amp;" - "&amp;C2152,"OK")))))))))</f>
        <v/>
      </c>
      <c r="L2152" s="92" t="str">
        <f>IF(AND(A2152="",B2152="",D2152="",G2152=""),"",IF(OR(B2152="",NOT(ISNUMBER(B2152)),C2152="",C2152="Fora dos ciclos"),"",IF(C2152="C0","Nao",IF(IFERROR(INDEX(parametros!$A$2:$A$6,MATCH(C2152,parametros!$B$2:$B$6,0)),"")&lt;&gt;"Sim","Nao",IF(IFERROR(INDEX(parametros!$H$2:$H$6,MATCH(C2152,parametros!$B$2:$B$6,0)),"")="","",IF(B2152&gt;=IFERROR(INDEX(parametros!$H$2:$H$6,MATCH(C2152,parametros!$B$2:$B$6,0)),""),"Sim","Nao"))))))</f>
        <v/>
      </c>
      <c r="T2152" s="156"/>
      <c r="U2152" s="214" t="str">
        <f t="shared" si="171"/>
        <v/>
      </c>
      <c r="V2152" s="212" t="s">
        <v>50</v>
      </c>
      <c r="W2152" s="100" t="s">
        <v>168</v>
      </c>
      <c r="X2152" s="100" t="s">
        <v>169</v>
      </c>
      <c r="Y2152" s="101" t="s">
        <v>170</v>
      </c>
      <c r="Z2152" s="101" t="s">
        <v>171</v>
      </c>
      <c r="AA2152" s="101" t="s">
        <v>50</v>
      </c>
      <c r="AB2152" s="101" t="s">
        <v>172</v>
      </c>
      <c r="AC2152" s="102" t="s">
        <v>173</v>
      </c>
    </row>
    <row r="2153" spans="1:29" ht="25.5" customHeight="1" x14ac:dyDescent="0.35">
      <c r="A2153" s="392"/>
      <c r="B2153" s="393"/>
      <c r="C2153" s="99" t="str">
        <f>IF(B2153="","",IF(NOT(ISNUMBER(B2153)),"DATA_PC invalida",IF(NOT(ISNUMBER(parametros!$C$2)),"Fora dos ciclos",IF(OR(B2153&lt;parametros!$C$2,(YEAR(B2153)-YEAR(parametros!$C$2))*12+MONTH(B2153)-MONTH(parametros!$C$2)&gt;59),"Fora dos ciclos","C"&amp;INT(((YEAR(B2153)-YEAR(parametros!$C$2))*12+MONTH(B2153)-MONTH(parametros!$C$2))/12)))))</f>
        <v/>
      </c>
      <c r="D2153" s="394"/>
      <c r="E2153" s="78" t="str">
        <f>IF(C2153="","",IFERROR(VLOOKUP(C2153,parametros!$A$11:$E$15,5,0),""))</f>
        <v/>
      </c>
      <c r="F2153" s="79" t="str">
        <f t="shared" si="167"/>
        <v/>
      </c>
      <c r="G2153" s="395"/>
      <c r="H2153" s="91">
        <f t="shared" si="168"/>
        <v>0</v>
      </c>
      <c r="I2153" s="91" t="str">
        <f t="shared" si="169"/>
        <v/>
      </c>
      <c r="J2153" s="91" t="str">
        <f t="shared" si="170"/>
        <v/>
      </c>
      <c r="K2153" s="92" t="str">
        <f>IF(AND(A2153="",B2153="",D2153="",G2153=""),"",IF(AND(A2153&lt;&gt;"",COUNTIF($A$2:$A$5001,A2153)&gt;1),"NUMERO_PC duplicado",IF(B2153="","DATA_PC vazia",IF(NOT(ISNUMBER(B2153)),"DATA_PC invalida",IF(OR(C2153="",C2153="Fora dos ciclos"),"CICLO_PC nao identificado",IF(OR(D2153="",D2153=0),"VALOR_PC vazio ou zero",IF(AND(G2153&lt;&gt;"Sim",G2153&lt;&gt;"Nao",G2153&lt;&gt;""),"PC_PAGO_A_CONTRATADA invalido",IF(AND(C2153&lt;&gt;"C0",IFERROR(INDEX(parametros!$A$2:$A$6,MATCH(C2153,parametros!$B$2:$B$6,0)),"")="Sim",IFERROR(INDEX(parametros!$H$2:$H$6,MATCH(C2153,parametros!$B$2:$B$6,0)),"")=""),"INICIO_EFEITO ausente: PC "&amp;A2153&amp;" - "&amp;C2153,IF(L2153="","EFEITO_PC nao calculado: PC "&amp;A2153&amp;" - "&amp;C2153,"OK")))))))))</f>
        <v/>
      </c>
      <c r="L2153" s="92" t="str">
        <f>IF(AND(A2153="",B2153="",D2153="",G2153=""),"",IF(OR(B2153="",NOT(ISNUMBER(B2153)),C2153="",C2153="Fora dos ciclos"),"",IF(C2153="C0","Nao",IF(IFERROR(INDEX(parametros!$A$2:$A$6,MATCH(C2153,parametros!$B$2:$B$6,0)),"")&lt;&gt;"Sim","Nao",IF(IFERROR(INDEX(parametros!$H$2:$H$6,MATCH(C2153,parametros!$B$2:$B$6,0)),"")="","",IF(B2153&gt;=IFERROR(INDEX(parametros!$H$2:$H$6,MATCH(C2153,parametros!$B$2:$B$6,0)),""),"Sim","Nao"))))))</f>
        <v/>
      </c>
      <c r="T2153" s="156"/>
      <c r="U2153" s="214" t="str">
        <f t="shared" si="171"/>
        <v/>
      </c>
      <c r="V2153" s="212" t="s">
        <v>50</v>
      </c>
      <c r="W2153" s="100" t="s">
        <v>168</v>
      </c>
      <c r="X2153" s="100" t="s">
        <v>169</v>
      </c>
      <c r="Y2153" s="101" t="s">
        <v>170</v>
      </c>
      <c r="Z2153" s="101" t="s">
        <v>171</v>
      </c>
      <c r="AA2153" s="101" t="s">
        <v>50</v>
      </c>
      <c r="AB2153" s="101" t="s">
        <v>172</v>
      </c>
      <c r="AC2153" s="102" t="s">
        <v>173</v>
      </c>
    </row>
    <row r="2154" spans="1:29" ht="25.5" customHeight="1" x14ac:dyDescent="0.35">
      <c r="A2154" s="392"/>
      <c r="B2154" s="393"/>
      <c r="C2154" s="99" t="str">
        <f>IF(B2154="","",IF(NOT(ISNUMBER(B2154)),"DATA_PC invalida",IF(NOT(ISNUMBER(parametros!$C$2)),"Fora dos ciclos",IF(OR(B2154&lt;parametros!$C$2,(YEAR(B2154)-YEAR(parametros!$C$2))*12+MONTH(B2154)-MONTH(parametros!$C$2)&gt;59),"Fora dos ciclos","C"&amp;INT(((YEAR(B2154)-YEAR(parametros!$C$2))*12+MONTH(B2154)-MONTH(parametros!$C$2))/12)))))</f>
        <v/>
      </c>
      <c r="D2154" s="394"/>
      <c r="E2154" s="78" t="str">
        <f>IF(C2154="","",IFERROR(VLOOKUP(C2154,parametros!$A$11:$E$15,5,0),""))</f>
        <v/>
      </c>
      <c r="F2154" s="79" t="str">
        <f t="shared" si="167"/>
        <v/>
      </c>
      <c r="G2154" s="395"/>
      <c r="H2154" s="91">
        <f t="shared" si="168"/>
        <v>0</v>
      </c>
      <c r="I2154" s="91" t="str">
        <f t="shared" si="169"/>
        <v/>
      </c>
      <c r="J2154" s="91" t="str">
        <f t="shared" si="170"/>
        <v/>
      </c>
      <c r="K2154" s="92" t="str">
        <f>IF(AND(A2154="",B2154="",D2154="",G2154=""),"",IF(AND(A2154&lt;&gt;"",COUNTIF($A$2:$A$5001,A2154)&gt;1),"NUMERO_PC duplicado",IF(B2154="","DATA_PC vazia",IF(NOT(ISNUMBER(B2154)),"DATA_PC invalida",IF(OR(C2154="",C2154="Fora dos ciclos"),"CICLO_PC nao identificado",IF(OR(D2154="",D2154=0),"VALOR_PC vazio ou zero",IF(AND(G2154&lt;&gt;"Sim",G2154&lt;&gt;"Nao",G2154&lt;&gt;""),"PC_PAGO_A_CONTRATADA invalido",IF(AND(C2154&lt;&gt;"C0",IFERROR(INDEX(parametros!$A$2:$A$6,MATCH(C2154,parametros!$B$2:$B$6,0)),"")="Sim",IFERROR(INDEX(parametros!$H$2:$H$6,MATCH(C2154,parametros!$B$2:$B$6,0)),"")=""),"INICIO_EFEITO ausente: PC "&amp;A2154&amp;" - "&amp;C2154,IF(L2154="","EFEITO_PC nao calculado: PC "&amp;A2154&amp;" - "&amp;C2154,"OK")))))))))</f>
        <v/>
      </c>
      <c r="L2154" s="92" t="str">
        <f>IF(AND(A2154="",B2154="",D2154="",G2154=""),"",IF(OR(B2154="",NOT(ISNUMBER(B2154)),C2154="",C2154="Fora dos ciclos"),"",IF(C2154="C0","Nao",IF(IFERROR(INDEX(parametros!$A$2:$A$6,MATCH(C2154,parametros!$B$2:$B$6,0)),"")&lt;&gt;"Sim","Nao",IF(IFERROR(INDEX(parametros!$H$2:$H$6,MATCH(C2154,parametros!$B$2:$B$6,0)),"")="","",IF(B2154&gt;=IFERROR(INDEX(parametros!$H$2:$H$6,MATCH(C2154,parametros!$B$2:$B$6,0)),""),"Sim","Nao"))))))</f>
        <v/>
      </c>
      <c r="T2154" s="156"/>
      <c r="U2154" s="214" t="str">
        <f t="shared" si="171"/>
        <v/>
      </c>
      <c r="V2154" s="212" t="s">
        <v>50</v>
      </c>
      <c r="W2154" s="100" t="s">
        <v>168</v>
      </c>
      <c r="X2154" s="100" t="s">
        <v>169</v>
      </c>
      <c r="Y2154" s="101" t="s">
        <v>170</v>
      </c>
      <c r="Z2154" s="101" t="s">
        <v>171</v>
      </c>
      <c r="AA2154" s="101" t="s">
        <v>50</v>
      </c>
      <c r="AB2154" s="101" t="s">
        <v>172</v>
      </c>
      <c r="AC2154" s="102" t="s">
        <v>173</v>
      </c>
    </row>
    <row r="2155" spans="1:29" ht="25.5" customHeight="1" x14ac:dyDescent="0.35">
      <c r="A2155" s="392"/>
      <c r="B2155" s="393"/>
      <c r="C2155" s="99" t="str">
        <f>IF(B2155="","",IF(NOT(ISNUMBER(B2155)),"DATA_PC invalida",IF(NOT(ISNUMBER(parametros!$C$2)),"Fora dos ciclos",IF(OR(B2155&lt;parametros!$C$2,(YEAR(B2155)-YEAR(parametros!$C$2))*12+MONTH(B2155)-MONTH(parametros!$C$2)&gt;59),"Fora dos ciclos","C"&amp;INT(((YEAR(B2155)-YEAR(parametros!$C$2))*12+MONTH(B2155)-MONTH(parametros!$C$2))/12)))))</f>
        <v/>
      </c>
      <c r="D2155" s="394"/>
      <c r="E2155" s="78" t="str">
        <f>IF(C2155="","",IFERROR(VLOOKUP(C2155,parametros!$A$11:$E$15,5,0),""))</f>
        <v/>
      </c>
      <c r="F2155" s="79" t="str">
        <f t="shared" si="167"/>
        <v/>
      </c>
      <c r="G2155" s="395"/>
      <c r="H2155" s="91">
        <f t="shared" si="168"/>
        <v>0</v>
      </c>
      <c r="I2155" s="91" t="str">
        <f t="shared" si="169"/>
        <v/>
      </c>
      <c r="J2155" s="91" t="str">
        <f t="shared" si="170"/>
        <v/>
      </c>
      <c r="K2155" s="92" t="str">
        <f>IF(AND(A2155="",B2155="",D2155="",G2155=""),"",IF(AND(A2155&lt;&gt;"",COUNTIF($A$2:$A$5001,A2155)&gt;1),"NUMERO_PC duplicado",IF(B2155="","DATA_PC vazia",IF(NOT(ISNUMBER(B2155)),"DATA_PC invalida",IF(OR(C2155="",C2155="Fora dos ciclos"),"CICLO_PC nao identificado",IF(OR(D2155="",D2155=0),"VALOR_PC vazio ou zero",IF(AND(G2155&lt;&gt;"Sim",G2155&lt;&gt;"Nao",G2155&lt;&gt;""),"PC_PAGO_A_CONTRATADA invalido",IF(AND(C2155&lt;&gt;"C0",IFERROR(INDEX(parametros!$A$2:$A$6,MATCH(C2155,parametros!$B$2:$B$6,0)),"")="Sim",IFERROR(INDEX(parametros!$H$2:$H$6,MATCH(C2155,parametros!$B$2:$B$6,0)),"")=""),"INICIO_EFEITO ausente: PC "&amp;A2155&amp;" - "&amp;C2155,IF(L2155="","EFEITO_PC nao calculado: PC "&amp;A2155&amp;" - "&amp;C2155,"OK")))))))))</f>
        <v/>
      </c>
      <c r="L2155" s="92" t="str">
        <f>IF(AND(A2155="",B2155="",D2155="",G2155=""),"",IF(OR(B2155="",NOT(ISNUMBER(B2155)),C2155="",C2155="Fora dos ciclos"),"",IF(C2155="C0","Nao",IF(IFERROR(INDEX(parametros!$A$2:$A$6,MATCH(C2155,parametros!$B$2:$B$6,0)),"")&lt;&gt;"Sim","Nao",IF(IFERROR(INDEX(parametros!$H$2:$H$6,MATCH(C2155,parametros!$B$2:$B$6,0)),"")="","",IF(B2155&gt;=IFERROR(INDEX(parametros!$H$2:$H$6,MATCH(C2155,parametros!$B$2:$B$6,0)),""),"Sim","Nao"))))))</f>
        <v/>
      </c>
      <c r="T2155" s="156"/>
      <c r="U2155" s="214" t="str">
        <f t="shared" si="171"/>
        <v/>
      </c>
      <c r="V2155" s="212" t="s">
        <v>50</v>
      </c>
      <c r="W2155" s="100" t="s">
        <v>168</v>
      </c>
      <c r="X2155" s="100" t="s">
        <v>169</v>
      </c>
      <c r="Y2155" s="101" t="s">
        <v>170</v>
      </c>
      <c r="Z2155" s="101" t="s">
        <v>171</v>
      </c>
      <c r="AA2155" s="101" t="s">
        <v>50</v>
      </c>
      <c r="AB2155" s="101" t="s">
        <v>172</v>
      </c>
      <c r="AC2155" s="102" t="s">
        <v>173</v>
      </c>
    </row>
    <row r="2156" spans="1:29" ht="25.5" customHeight="1" x14ac:dyDescent="0.35">
      <c r="A2156" s="392"/>
      <c r="B2156" s="393"/>
      <c r="C2156" s="99" t="str">
        <f>IF(B2156="","",IF(NOT(ISNUMBER(B2156)),"DATA_PC invalida",IF(NOT(ISNUMBER(parametros!$C$2)),"Fora dos ciclos",IF(OR(B2156&lt;parametros!$C$2,(YEAR(B2156)-YEAR(parametros!$C$2))*12+MONTH(B2156)-MONTH(parametros!$C$2)&gt;59),"Fora dos ciclos","C"&amp;INT(((YEAR(B2156)-YEAR(parametros!$C$2))*12+MONTH(B2156)-MONTH(parametros!$C$2))/12)))))</f>
        <v/>
      </c>
      <c r="D2156" s="394"/>
      <c r="E2156" s="78" t="str">
        <f>IF(C2156="","",IFERROR(VLOOKUP(C2156,parametros!$A$11:$E$15,5,0),""))</f>
        <v/>
      </c>
      <c r="F2156" s="79" t="str">
        <f t="shared" si="167"/>
        <v/>
      </c>
      <c r="G2156" s="395"/>
      <c r="H2156" s="91">
        <f t="shared" si="168"/>
        <v>0</v>
      </c>
      <c r="I2156" s="91" t="str">
        <f t="shared" si="169"/>
        <v/>
      </c>
      <c r="J2156" s="91" t="str">
        <f t="shared" si="170"/>
        <v/>
      </c>
      <c r="K2156" s="92" t="str">
        <f>IF(AND(A2156="",B2156="",D2156="",G2156=""),"",IF(AND(A2156&lt;&gt;"",COUNTIF($A$2:$A$5001,A2156)&gt;1),"NUMERO_PC duplicado",IF(B2156="","DATA_PC vazia",IF(NOT(ISNUMBER(B2156)),"DATA_PC invalida",IF(OR(C2156="",C2156="Fora dos ciclos"),"CICLO_PC nao identificado",IF(OR(D2156="",D2156=0),"VALOR_PC vazio ou zero",IF(AND(G2156&lt;&gt;"Sim",G2156&lt;&gt;"Nao",G2156&lt;&gt;""),"PC_PAGO_A_CONTRATADA invalido",IF(AND(C2156&lt;&gt;"C0",IFERROR(INDEX(parametros!$A$2:$A$6,MATCH(C2156,parametros!$B$2:$B$6,0)),"")="Sim",IFERROR(INDEX(parametros!$H$2:$H$6,MATCH(C2156,parametros!$B$2:$B$6,0)),"")=""),"INICIO_EFEITO ausente: PC "&amp;A2156&amp;" - "&amp;C2156,IF(L2156="","EFEITO_PC nao calculado: PC "&amp;A2156&amp;" - "&amp;C2156,"OK")))))))))</f>
        <v/>
      </c>
      <c r="L2156" s="92" t="str">
        <f>IF(AND(A2156="",B2156="",D2156="",G2156=""),"",IF(OR(B2156="",NOT(ISNUMBER(B2156)),C2156="",C2156="Fora dos ciclos"),"",IF(C2156="C0","Nao",IF(IFERROR(INDEX(parametros!$A$2:$A$6,MATCH(C2156,parametros!$B$2:$B$6,0)),"")&lt;&gt;"Sim","Nao",IF(IFERROR(INDEX(parametros!$H$2:$H$6,MATCH(C2156,parametros!$B$2:$B$6,0)),"")="","",IF(B2156&gt;=IFERROR(INDEX(parametros!$H$2:$H$6,MATCH(C2156,parametros!$B$2:$B$6,0)),""),"Sim","Nao"))))))</f>
        <v/>
      </c>
      <c r="T2156" s="156"/>
      <c r="U2156" s="214" t="str">
        <f t="shared" si="171"/>
        <v/>
      </c>
      <c r="V2156" s="212" t="s">
        <v>50</v>
      </c>
      <c r="W2156" s="100" t="s">
        <v>168</v>
      </c>
      <c r="X2156" s="100" t="s">
        <v>169</v>
      </c>
      <c r="Y2156" s="101" t="s">
        <v>170</v>
      </c>
      <c r="Z2156" s="101" t="s">
        <v>171</v>
      </c>
      <c r="AA2156" s="101" t="s">
        <v>50</v>
      </c>
      <c r="AB2156" s="101" t="s">
        <v>172</v>
      </c>
      <c r="AC2156" s="102" t="s">
        <v>173</v>
      </c>
    </row>
    <row r="2157" spans="1:29" ht="25.5" customHeight="1" x14ac:dyDescent="0.35">
      <c r="A2157" s="392"/>
      <c r="B2157" s="393"/>
      <c r="C2157" s="99" t="str">
        <f>IF(B2157="","",IF(NOT(ISNUMBER(B2157)),"DATA_PC invalida",IF(NOT(ISNUMBER(parametros!$C$2)),"Fora dos ciclos",IF(OR(B2157&lt;parametros!$C$2,(YEAR(B2157)-YEAR(parametros!$C$2))*12+MONTH(B2157)-MONTH(parametros!$C$2)&gt;59),"Fora dos ciclos","C"&amp;INT(((YEAR(B2157)-YEAR(parametros!$C$2))*12+MONTH(B2157)-MONTH(parametros!$C$2))/12)))))</f>
        <v/>
      </c>
      <c r="D2157" s="394"/>
      <c r="E2157" s="78" t="str">
        <f>IF(C2157="","",IFERROR(VLOOKUP(C2157,parametros!$A$11:$E$15,5,0),""))</f>
        <v/>
      </c>
      <c r="F2157" s="79" t="str">
        <f t="shared" si="167"/>
        <v/>
      </c>
      <c r="G2157" s="395"/>
      <c r="H2157" s="91">
        <f t="shared" si="168"/>
        <v>0</v>
      </c>
      <c r="I2157" s="91" t="str">
        <f t="shared" si="169"/>
        <v/>
      </c>
      <c r="J2157" s="91" t="str">
        <f t="shared" si="170"/>
        <v/>
      </c>
      <c r="K2157" s="92" t="str">
        <f>IF(AND(A2157="",B2157="",D2157="",G2157=""),"",IF(AND(A2157&lt;&gt;"",COUNTIF($A$2:$A$5001,A2157)&gt;1),"NUMERO_PC duplicado",IF(B2157="","DATA_PC vazia",IF(NOT(ISNUMBER(B2157)),"DATA_PC invalida",IF(OR(C2157="",C2157="Fora dos ciclos"),"CICLO_PC nao identificado",IF(OR(D2157="",D2157=0),"VALOR_PC vazio ou zero",IF(AND(G2157&lt;&gt;"Sim",G2157&lt;&gt;"Nao",G2157&lt;&gt;""),"PC_PAGO_A_CONTRATADA invalido",IF(AND(C2157&lt;&gt;"C0",IFERROR(INDEX(parametros!$A$2:$A$6,MATCH(C2157,parametros!$B$2:$B$6,0)),"")="Sim",IFERROR(INDEX(parametros!$H$2:$H$6,MATCH(C2157,parametros!$B$2:$B$6,0)),"")=""),"INICIO_EFEITO ausente: PC "&amp;A2157&amp;" - "&amp;C2157,IF(L2157="","EFEITO_PC nao calculado: PC "&amp;A2157&amp;" - "&amp;C2157,"OK")))))))))</f>
        <v/>
      </c>
      <c r="L2157" s="92" t="str">
        <f>IF(AND(A2157="",B2157="",D2157="",G2157=""),"",IF(OR(B2157="",NOT(ISNUMBER(B2157)),C2157="",C2157="Fora dos ciclos"),"",IF(C2157="C0","Nao",IF(IFERROR(INDEX(parametros!$A$2:$A$6,MATCH(C2157,parametros!$B$2:$B$6,0)),"")&lt;&gt;"Sim","Nao",IF(IFERROR(INDEX(parametros!$H$2:$H$6,MATCH(C2157,parametros!$B$2:$B$6,0)),"")="","",IF(B2157&gt;=IFERROR(INDEX(parametros!$H$2:$H$6,MATCH(C2157,parametros!$B$2:$B$6,0)),""),"Sim","Nao"))))))</f>
        <v/>
      </c>
      <c r="T2157" s="156"/>
      <c r="U2157" s="214" t="str">
        <f t="shared" si="171"/>
        <v/>
      </c>
      <c r="V2157" s="212" t="s">
        <v>50</v>
      </c>
      <c r="W2157" s="100" t="s">
        <v>168</v>
      </c>
      <c r="X2157" s="100" t="s">
        <v>169</v>
      </c>
      <c r="Y2157" s="101" t="s">
        <v>170</v>
      </c>
      <c r="Z2157" s="101" t="s">
        <v>171</v>
      </c>
      <c r="AA2157" s="101" t="s">
        <v>50</v>
      </c>
      <c r="AB2157" s="101" t="s">
        <v>172</v>
      </c>
      <c r="AC2157" s="102" t="s">
        <v>173</v>
      </c>
    </row>
    <row r="2158" spans="1:29" ht="25.5" customHeight="1" x14ac:dyDescent="0.35">
      <c r="A2158" s="392"/>
      <c r="B2158" s="393"/>
      <c r="C2158" s="99" t="str">
        <f>IF(B2158="","",IF(NOT(ISNUMBER(B2158)),"DATA_PC invalida",IF(NOT(ISNUMBER(parametros!$C$2)),"Fora dos ciclos",IF(OR(B2158&lt;parametros!$C$2,(YEAR(B2158)-YEAR(parametros!$C$2))*12+MONTH(B2158)-MONTH(parametros!$C$2)&gt;59),"Fora dos ciclos","C"&amp;INT(((YEAR(B2158)-YEAR(parametros!$C$2))*12+MONTH(B2158)-MONTH(parametros!$C$2))/12)))))</f>
        <v/>
      </c>
      <c r="D2158" s="394"/>
      <c r="E2158" s="78" t="str">
        <f>IF(C2158="","",IFERROR(VLOOKUP(C2158,parametros!$A$11:$E$15,5,0),""))</f>
        <v/>
      </c>
      <c r="F2158" s="79" t="str">
        <f t="shared" si="167"/>
        <v/>
      </c>
      <c r="G2158" s="395"/>
      <c r="H2158" s="91">
        <f t="shared" si="168"/>
        <v>0</v>
      </c>
      <c r="I2158" s="91" t="str">
        <f t="shared" si="169"/>
        <v/>
      </c>
      <c r="J2158" s="91" t="str">
        <f t="shared" si="170"/>
        <v/>
      </c>
      <c r="K2158" s="92" t="str">
        <f>IF(AND(A2158="",B2158="",D2158="",G2158=""),"",IF(AND(A2158&lt;&gt;"",COUNTIF($A$2:$A$5001,A2158)&gt;1),"NUMERO_PC duplicado",IF(B2158="","DATA_PC vazia",IF(NOT(ISNUMBER(B2158)),"DATA_PC invalida",IF(OR(C2158="",C2158="Fora dos ciclos"),"CICLO_PC nao identificado",IF(OR(D2158="",D2158=0),"VALOR_PC vazio ou zero",IF(AND(G2158&lt;&gt;"Sim",G2158&lt;&gt;"Nao",G2158&lt;&gt;""),"PC_PAGO_A_CONTRATADA invalido",IF(AND(C2158&lt;&gt;"C0",IFERROR(INDEX(parametros!$A$2:$A$6,MATCH(C2158,parametros!$B$2:$B$6,0)),"")="Sim",IFERROR(INDEX(parametros!$H$2:$H$6,MATCH(C2158,parametros!$B$2:$B$6,0)),"")=""),"INICIO_EFEITO ausente: PC "&amp;A2158&amp;" - "&amp;C2158,IF(L2158="","EFEITO_PC nao calculado: PC "&amp;A2158&amp;" - "&amp;C2158,"OK")))))))))</f>
        <v/>
      </c>
      <c r="L2158" s="92" t="str">
        <f>IF(AND(A2158="",B2158="",D2158="",G2158=""),"",IF(OR(B2158="",NOT(ISNUMBER(B2158)),C2158="",C2158="Fora dos ciclos"),"",IF(C2158="C0","Nao",IF(IFERROR(INDEX(parametros!$A$2:$A$6,MATCH(C2158,parametros!$B$2:$B$6,0)),"")&lt;&gt;"Sim","Nao",IF(IFERROR(INDEX(parametros!$H$2:$H$6,MATCH(C2158,parametros!$B$2:$B$6,0)),"")="","",IF(B2158&gt;=IFERROR(INDEX(parametros!$H$2:$H$6,MATCH(C2158,parametros!$B$2:$B$6,0)),""),"Sim","Nao"))))))</f>
        <v/>
      </c>
      <c r="T2158" s="156"/>
      <c r="U2158" s="214" t="str">
        <f t="shared" si="171"/>
        <v/>
      </c>
      <c r="V2158" s="212" t="s">
        <v>50</v>
      </c>
      <c r="W2158" s="100" t="s">
        <v>168</v>
      </c>
      <c r="X2158" s="100" t="s">
        <v>169</v>
      </c>
      <c r="Y2158" s="101" t="s">
        <v>170</v>
      </c>
      <c r="Z2158" s="101" t="s">
        <v>171</v>
      </c>
      <c r="AA2158" s="101" t="s">
        <v>50</v>
      </c>
      <c r="AB2158" s="101" t="s">
        <v>172</v>
      </c>
      <c r="AC2158" s="102" t="s">
        <v>173</v>
      </c>
    </row>
    <row r="2159" spans="1:29" ht="25.5" customHeight="1" x14ac:dyDescent="0.35">
      <c r="A2159" s="392"/>
      <c r="B2159" s="393"/>
      <c r="C2159" s="99" t="str">
        <f>IF(B2159="","",IF(NOT(ISNUMBER(B2159)),"DATA_PC invalida",IF(NOT(ISNUMBER(parametros!$C$2)),"Fora dos ciclos",IF(OR(B2159&lt;parametros!$C$2,(YEAR(B2159)-YEAR(parametros!$C$2))*12+MONTH(B2159)-MONTH(parametros!$C$2)&gt;59),"Fora dos ciclos","C"&amp;INT(((YEAR(B2159)-YEAR(parametros!$C$2))*12+MONTH(B2159)-MONTH(parametros!$C$2))/12)))))</f>
        <v/>
      </c>
      <c r="D2159" s="394"/>
      <c r="E2159" s="78" t="str">
        <f>IF(C2159="","",IFERROR(VLOOKUP(C2159,parametros!$A$11:$E$15,5,0),""))</f>
        <v/>
      </c>
      <c r="F2159" s="79" t="str">
        <f t="shared" si="167"/>
        <v/>
      </c>
      <c r="G2159" s="395"/>
      <c r="H2159" s="91">
        <f t="shared" si="168"/>
        <v>0</v>
      </c>
      <c r="I2159" s="91" t="str">
        <f t="shared" si="169"/>
        <v/>
      </c>
      <c r="J2159" s="91" t="str">
        <f t="shared" si="170"/>
        <v/>
      </c>
      <c r="K2159" s="92" t="str">
        <f>IF(AND(A2159="",B2159="",D2159="",G2159=""),"",IF(AND(A2159&lt;&gt;"",COUNTIF($A$2:$A$5001,A2159)&gt;1),"NUMERO_PC duplicado",IF(B2159="","DATA_PC vazia",IF(NOT(ISNUMBER(B2159)),"DATA_PC invalida",IF(OR(C2159="",C2159="Fora dos ciclos"),"CICLO_PC nao identificado",IF(OR(D2159="",D2159=0),"VALOR_PC vazio ou zero",IF(AND(G2159&lt;&gt;"Sim",G2159&lt;&gt;"Nao",G2159&lt;&gt;""),"PC_PAGO_A_CONTRATADA invalido",IF(AND(C2159&lt;&gt;"C0",IFERROR(INDEX(parametros!$A$2:$A$6,MATCH(C2159,parametros!$B$2:$B$6,0)),"")="Sim",IFERROR(INDEX(parametros!$H$2:$H$6,MATCH(C2159,parametros!$B$2:$B$6,0)),"")=""),"INICIO_EFEITO ausente: PC "&amp;A2159&amp;" - "&amp;C2159,IF(L2159="","EFEITO_PC nao calculado: PC "&amp;A2159&amp;" - "&amp;C2159,"OK")))))))))</f>
        <v/>
      </c>
      <c r="L2159" s="92" t="str">
        <f>IF(AND(A2159="",B2159="",D2159="",G2159=""),"",IF(OR(B2159="",NOT(ISNUMBER(B2159)),C2159="",C2159="Fora dos ciclos"),"",IF(C2159="C0","Nao",IF(IFERROR(INDEX(parametros!$A$2:$A$6,MATCH(C2159,parametros!$B$2:$B$6,0)),"")&lt;&gt;"Sim","Nao",IF(IFERROR(INDEX(parametros!$H$2:$H$6,MATCH(C2159,parametros!$B$2:$B$6,0)),"")="","",IF(B2159&gt;=IFERROR(INDEX(parametros!$H$2:$H$6,MATCH(C2159,parametros!$B$2:$B$6,0)),""),"Sim","Nao"))))))</f>
        <v/>
      </c>
      <c r="T2159" s="156"/>
      <c r="U2159" s="214" t="str">
        <f t="shared" si="171"/>
        <v/>
      </c>
      <c r="V2159" s="212" t="s">
        <v>50</v>
      </c>
      <c r="W2159" s="100" t="s">
        <v>168</v>
      </c>
      <c r="X2159" s="100" t="s">
        <v>169</v>
      </c>
      <c r="Y2159" s="101" t="s">
        <v>170</v>
      </c>
      <c r="Z2159" s="101" t="s">
        <v>171</v>
      </c>
      <c r="AA2159" s="101" t="s">
        <v>50</v>
      </c>
      <c r="AB2159" s="101" t="s">
        <v>172</v>
      </c>
      <c r="AC2159" s="102" t="s">
        <v>173</v>
      </c>
    </row>
    <row r="2160" spans="1:29" ht="25.5" customHeight="1" x14ac:dyDescent="0.35">
      <c r="A2160" s="392"/>
      <c r="B2160" s="393"/>
      <c r="C2160" s="99" t="str">
        <f>IF(B2160="","",IF(NOT(ISNUMBER(B2160)),"DATA_PC invalida",IF(NOT(ISNUMBER(parametros!$C$2)),"Fora dos ciclos",IF(OR(B2160&lt;parametros!$C$2,(YEAR(B2160)-YEAR(parametros!$C$2))*12+MONTH(B2160)-MONTH(parametros!$C$2)&gt;59),"Fora dos ciclos","C"&amp;INT(((YEAR(B2160)-YEAR(parametros!$C$2))*12+MONTH(B2160)-MONTH(parametros!$C$2))/12)))))</f>
        <v/>
      </c>
      <c r="D2160" s="394"/>
      <c r="E2160" s="78" t="str">
        <f>IF(C2160="","",IFERROR(VLOOKUP(C2160,parametros!$A$11:$E$15,5,0),""))</f>
        <v/>
      </c>
      <c r="F2160" s="79" t="str">
        <f t="shared" si="167"/>
        <v/>
      </c>
      <c r="G2160" s="395"/>
      <c r="H2160" s="91">
        <f t="shared" si="168"/>
        <v>0</v>
      </c>
      <c r="I2160" s="91" t="str">
        <f t="shared" si="169"/>
        <v/>
      </c>
      <c r="J2160" s="91" t="str">
        <f t="shared" si="170"/>
        <v/>
      </c>
      <c r="K2160" s="92" t="str">
        <f>IF(AND(A2160="",B2160="",D2160="",G2160=""),"",IF(AND(A2160&lt;&gt;"",COUNTIF($A$2:$A$5001,A2160)&gt;1),"NUMERO_PC duplicado",IF(B2160="","DATA_PC vazia",IF(NOT(ISNUMBER(B2160)),"DATA_PC invalida",IF(OR(C2160="",C2160="Fora dos ciclos"),"CICLO_PC nao identificado",IF(OR(D2160="",D2160=0),"VALOR_PC vazio ou zero",IF(AND(G2160&lt;&gt;"Sim",G2160&lt;&gt;"Nao",G2160&lt;&gt;""),"PC_PAGO_A_CONTRATADA invalido",IF(AND(C2160&lt;&gt;"C0",IFERROR(INDEX(parametros!$A$2:$A$6,MATCH(C2160,parametros!$B$2:$B$6,0)),"")="Sim",IFERROR(INDEX(parametros!$H$2:$H$6,MATCH(C2160,parametros!$B$2:$B$6,0)),"")=""),"INICIO_EFEITO ausente: PC "&amp;A2160&amp;" - "&amp;C2160,IF(L2160="","EFEITO_PC nao calculado: PC "&amp;A2160&amp;" - "&amp;C2160,"OK")))))))))</f>
        <v/>
      </c>
      <c r="L2160" s="92" t="str">
        <f>IF(AND(A2160="",B2160="",D2160="",G2160=""),"",IF(OR(B2160="",NOT(ISNUMBER(B2160)),C2160="",C2160="Fora dos ciclos"),"",IF(C2160="C0","Nao",IF(IFERROR(INDEX(parametros!$A$2:$A$6,MATCH(C2160,parametros!$B$2:$B$6,0)),"")&lt;&gt;"Sim","Nao",IF(IFERROR(INDEX(parametros!$H$2:$H$6,MATCH(C2160,parametros!$B$2:$B$6,0)),"")="","",IF(B2160&gt;=IFERROR(INDEX(parametros!$H$2:$H$6,MATCH(C2160,parametros!$B$2:$B$6,0)),""),"Sim","Nao"))))))</f>
        <v/>
      </c>
      <c r="T2160" s="156"/>
      <c r="U2160" s="214" t="str">
        <f t="shared" si="171"/>
        <v/>
      </c>
      <c r="V2160" s="212" t="s">
        <v>50</v>
      </c>
      <c r="W2160" s="100" t="s">
        <v>168</v>
      </c>
      <c r="X2160" s="100" t="s">
        <v>169</v>
      </c>
      <c r="Y2160" s="101" t="s">
        <v>170</v>
      </c>
      <c r="Z2160" s="101" t="s">
        <v>171</v>
      </c>
      <c r="AA2160" s="101" t="s">
        <v>50</v>
      </c>
      <c r="AB2160" s="101" t="s">
        <v>172</v>
      </c>
      <c r="AC2160" s="102" t="s">
        <v>173</v>
      </c>
    </row>
    <row r="2161" spans="1:29" ht="25.5" customHeight="1" x14ac:dyDescent="0.35">
      <c r="A2161" s="392"/>
      <c r="B2161" s="393"/>
      <c r="C2161" s="99" t="str">
        <f>IF(B2161="","",IF(NOT(ISNUMBER(B2161)),"DATA_PC invalida",IF(NOT(ISNUMBER(parametros!$C$2)),"Fora dos ciclos",IF(OR(B2161&lt;parametros!$C$2,(YEAR(B2161)-YEAR(parametros!$C$2))*12+MONTH(B2161)-MONTH(parametros!$C$2)&gt;59),"Fora dos ciclos","C"&amp;INT(((YEAR(B2161)-YEAR(parametros!$C$2))*12+MONTH(B2161)-MONTH(parametros!$C$2))/12)))))</f>
        <v/>
      </c>
      <c r="D2161" s="394"/>
      <c r="E2161" s="78" t="str">
        <f>IF(C2161="","",IFERROR(VLOOKUP(C2161,parametros!$A$11:$E$15,5,0),""))</f>
        <v/>
      </c>
      <c r="F2161" s="79" t="str">
        <f t="shared" si="167"/>
        <v/>
      </c>
      <c r="G2161" s="395"/>
      <c r="H2161" s="91">
        <f t="shared" si="168"/>
        <v>0</v>
      </c>
      <c r="I2161" s="91" t="str">
        <f t="shared" si="169"/>
        <v/>
      </c>
      <c r="J2161" s="91" t="str">
        <f t="shared" si="170"/>
        <v/>
      </c>
      <c r="K2161" s="92" t="str">
        <f>IF(AND(A2161="",B2161="",D2161="",G2161=""),"",IF(AND(A2161&lt;&gt;"",COUNTIF($A$2:$A$5001,A2161)&gt;1),"NUMERO_PC duplicado",IF(B2161="","DATA_PC vazia",IF(NOT(ISNUMBER(B2161)),"DATA_PC invalida",IF(OR(C2161="",C2161="Fora dos ciclos"),"CICLO_PC nao identificado",IF(OR(D2161="",D2161=0),"VALOR_PC vazio ou zero",IF(AND(G2161&lt;&gt;"Sim",G2161&lt;&gt;"Nao",G2161&lt;&gt;""),"PC_PAGO_A_CONTRATADA invalido",IF(AND(C2161&lt;&gt;"C0",IFERROR(INDEX(parametros!$A$2:$A$6,MATCH(C2161,parametros!$B$2:$B$6,0)),"")="Sim",IFERROR(INDEX(parametros!$H$2:$H$6,MATCH(C2161,parametros!$B$2:$B$6,0)),"")=""),"INICIO_EFEITO ausente: PC "&amp;A2161&amp;" - "&amp;C2161,IF(L2161="","EFEITO_PC nao calculado: PC "&amp;A2161&amp;" - "&amp;C2161,"OK")))))))))</f>
        <v/>
      </c>
      <c r="L2161" s="92" t="str">
        <f>IF(AND(A2161="",B2161="",D2161="",G2161=""),"",IF(OR(B2161="",NOT(ISNUMBER(B2161)),C2161="",C2161="Fora dos ciclos"),"",IF(C2161="C0","Nao",IF(IFERROR(INDEX(parametros!$A$2:$A$6,MATCH(C2161,parametros!$B$2:$B$6,0)),"")&lt;&gt;"Sim","Nao",IF(IFERROR(INDEX(parametros!$H$2:$H$6,MATCH(C2161,parametros!$B$2:$B$6,0)),"")="","",IF(B2161&gt;=IFERROR(INDEX(parametros!$H$2:$H$6,MATCH(C2161,parametros!$B$2:$B$6,0)),""),"Sim","Nao"))))))</f>
        <v/>
      </c>
      <c r="T2161" s="156"/>
      <c r="U2161" s="214" t="str">
        <f t="shared" si="171"/>
        <v/>
      </c>
      <c r="V2161" s="212" t="s">
        <v>50</v>
      </c>
      <c r="W2161" s="100" t="s">
        <v>168</v>
      </c>
      <c r="X2161" s="100" t="s">
        <v>169</v>
      </c>
      <c r="Y2161" s="101" t="s">
        <v>170</v>
      </c>
      <c r="Z2161" s="101" t="s">
        <v>171</v>
      </c>
      <c r="AA2161" s="101" t="s">
        <v>50</v>
      </c>
      <c r="AB2161" s="101" t="s">
        <v>172</v>
      </c>
      <c r="AC2161" s="102" t="s">
        <v>173</v>
      </c>
    </row>
    <row r="2162" spans="1:29" ht="25.5" customHeight="1" x14ac:dyDescent="0.35">
      <c r="A2162" s="392"/>
      <c r="B2162" s="393"/>
      <c r="C2162" s="99" t="str">
        <f>IF(B2162="","",IF(NOT(ISNUMBER(B2162)),"DATA_PC invalida",IF(NOT(ISNUMBER(parametros!$C$2)),"Fora dos ciclos",IF(OR(B2162&lt;parametros!$C$2,(YEAR(B2162)-YEAR(parametros!$C$2))*12+MONTH(B2162)-MONTH(parametros!$C$2)&gt;59),"Fora dos ciclos","C"&amp;INT(((YEAR(B2162)-YEAR(parametros!$C$2))*12+MONTH(B2162)-MONTH(parametros!$C$2))/12)))))</f>
        <v/>
      </c>
      <c r="D2162" s="394"/>
      <c r="E2162" s="78" t="str">
        <f>IF(C2162="","",IFERROR(VLOOKUP(C2162,parametros!$A$11:$E$15,5,0),""))</f>
        <v/>
      </c>
      <c r="F2162" s="79" t="str">
        <f t="shared" si="167"/>
        <v/>
      </c>
      <c r="G2162" s="395"/>
      <c r="H2162" s="91">
        <f t="shared" si="168"/>
        <v>0</v>
      </c>
      <c r="I2162" s="91" t="str">
        <f t="shared" si="169"/>
        <v/>
      </c>
      <c r="J2162" s="91" t="str">
        <f t="shared" si="170"/>
        <v/>
      </c>
      <c r="K2162" s="92" t="str">
        <f>IF(AND(A2162="",B2162="",D2162="",G2162=""),"",IF(AND(A2162&lt;&gt;"",COUNTIF($A$2:$A$5001,A2162)&gt;1),"NUMERO_PC duplicado",IF(B2162="","DATA_PC vazia",IF(NOT(ISNUMBER(B2162)),"DATA_PC invalida",IF(OR(C2162="",C2162="Fora dos ciclos"),"CICLO_PC nao identificado",IF(OR(D2162="",D2162=0),"VALOR_PC vazio ou zero",IF(AND(G2162&lt;&gt;"Sim",G2162&lt;&gt;"Nao",G2162&lt;&gt;""),"PC_PAGO_A_CONTRATADA invalido",IF(AND(C2162&lt;&gt;"C0",IFERROR(INDEX(parametros!$A$2:$A$6,MATCH(C2162,parametros!$B$2:$B$6,0)),"")="Sim",IFERROR(INDEX(parametros!$H$2:$H$6,MATCH(C2162,parametros!$B$2:$B$6,0)),"")=""),"INICIO_EFEITO ausente: PC "&amp;A2162&amp;" - "&amp;C2162,IF(L2162="","EFEITO_PC nao calculado: PC "&amp;A2162&amp;" - "&amp;C2162,"OK")))))))))</f>
        <v/>
      </c>
      <c r="L2162" s="92" t="str">
        <f>IF(AND(A2162="",B2162="",D2162="",G2162=""),"",IF(OR(B2162="",NOT(ISNUMBER(B2162)),C2162="",C2162="Fora dos ciclos"),"",IF(C2162="C0","Nao",IF(IFERROR(INDEX(parametros!$A$2:$A$6,MATCH(C2162,parametros!$B$2:$B$6,0)),"")&lt;&gt;"Sim","Nao",IF(IFERROR(INDEX(parametros!$H$2:$H$6,MATCH(C2162,parametros!$B$2:$B$6,0)),"")="","",IF(B2162&gt;=IFERROR(INDEX(parametros!$H$2:$H$6,MATCH(C2162,parametros!$B$2:$B$6,0)),""),"Sim","Nao"))))))</f>
        <v/>
      </c>
      <c r="T2162" s="156"/>
      <c r="U2162" s="214" t="str">
        <f t="shared" si="171"/>
        <v/>
      </c>
      <c r="V2162" s="212" t="s">
        <v>50</v>
      </c>
      <c r="W2162" s="100" t="s">
        <v>168</v>
      </c>
      <c r="X2162" s="100" t="s">
        <v>169</v>
      </c>
      <c r="Y2162" s="101" t="s">
        <v>170</v>
      </c>
      <c r="Z2162" s="101" t="s">
        <v>171</v>
      </c>
      <c r="AA2162" s="101" t="s">
        <v>50</v>
      </c>
      <c r="AB2162" s="101" t="s">
        <v>172</v>
      </c>
      <c r="AC2162" s="102" t="s">
        <v>173</v>
      </c>
    </row>
    <row r="2163" spans="1:29" ht="25.5" customHeight="1" x14ac:dyDescent="0.35">
      <c r="A2163" s="392"/>
      <c r="B2163" s="393"/>
      <c r="C2163" s="99" t="str">
        <f>IF(B2163="","",IF(NOT(ISNUMBER(B2163)),"DATA_PC invalida",IF(NOT(ISNUMBER(parametros!$C$2)),"Fora dos ciclos",IF(OR(B2163&lt;parametros!$C$2,(YEAR(B2163)-YEAR(parametros!$C$2))*12+MONTH(B2163)-MONTH(parametros!$C$2)&gt;59),"Fora dos ciclos","C"&amp;INT(((YEAR(B2163)-YEAR(parametros!$C$2))*12+MONTH(B2163)-MONTH(parametros!$C$2))/12)))))</f>
        <v/>
      </c>
      <c r="D2163" s="394"/>
      <c r="E2163" s="78" t="str">
        <f>IF(C2163="","",IFERROR(VLOOKUP(C2163,parametros!$A$11:$E$15,5,0),""))</f>
        <v/>
      </c>
      <c r="F2163" s="79" t="str">
        <f t="shared" si="167"/>
        <v/>
      </c>
      <c r="G2163" s="395"/>
      <c r="H2163" s="91">
        <f t="shared" si="168"/>
        <v>0</v>
      </c>
      <c r="I2163" s="91" t="str">
        <f t="shared" si="169"/>
        <v/>
      </c>
      <c r="J2163" s="91" t="str">
        <f t="shared" si="170"/>
        <v/>
      </c>
      <c r="K2163" s="92" t="str">
        <f>IF(AND(A2163="",B2163="",D2163="",G2163=""),"",IF(AND(A2163&lt;&gt;"",COUNTIF($A$2:$A$5001,A2163)&gt;1),"NUMERO_PC duplicado",IF(B2163="","DATA_PC vazia",IF(NOT(ISNUMBER(B2163)),"DATA_PC invalida",IF(OR(C2163="",C2163="Fora dos ciclos"),"CICLO_PC nao identificado",IF(OR(D2163="",D2163=0),"VALOR_PC vazio ou zero",IF(AND(G2163&lt;&gt;"Sim",G2163&lt;&gt;"Nao",G2163&lt;&gt;""),"PC_PAGO_A_CONTRATADA invalido",IF(AND(C2163&lt;&gt;"C0",IFERROR(INDEX(parametros!$A$2:$A$6,MATCH(C2163,parametros!$B$2:$B$6,0)),"")="Sim",IFERROR(INDEX(parametros!$H$2:$H$6,MATCH(C2163,parametros!$B$2:$B$6,0)),"")=""),"INICIO_EFEITO ausente: PC "&amp;A2163&amp;" - "&amp;C2163,IF(L2163="","EFEITO_PC nao calculado: PC "&amp;A2163&amp;" - "&amp;C2163,"OK")))))))))</f>
        <v/>
      </c>
      <c r="L2163" s="92" t="str">
        <f>IF(AND(A2163="",B2163="",D2163="",G2163=""),"",IF(OR(B2163="",NOT(ISNUMBER(B2163)),C2163="",C2163="Fora dos ciclos"),"",IF(C2163="C0","Nao",IF(IFERROR(INDEX(parametros!$A$2:$A$6,MATCH(C2163,parametros!$B$2:$B$6,0)),"")&lt;&gt;"Sim","Nao",IF(IFERROR(INDEX(parametros!$H$2:$H$6,MATCH(C2163,parametros!$B$2:$B$6,0)),"")="","",IF(B2163&gt;=IFERROR(INDEX(parametros!$H$2:$H$6,MATCH(C2163,parametros!$B$2:$B$6,0)),""),"Sim","Nao"))))))</f>
        <v/>
      </c>
      <c r="T2163" s="156"/>
      <c r="U2163" s="214" t="str">
        <f t="shared" si="171"/>
        <v/>
      </c>
      <c r="V2163" s="212" t="s">
        <v>50</v>
      </c>
      <c r="W2163" s="100" t="s">
        <v>168</v>
      </c>
      <c r="X2163" s="100" t="s">
        <v>169</v>
      </c>
      <c r="Y2163" s="101" t="s">
        <v>170</v>
      </c>
      <c r="Z2163" s="101" t="s">
        <v>171</v>
      </c>
      <c r="AA2163" s="101" t="s">
        <v>50</v>
      </c>
      <c r="AB2163" s="101" t="s">
        <v>172</v>
      </c>
      <c r="AC2163" s="102" t="s">
        <v>173</v>
      </c>
    </row>
    <row r="2164" spans="1:29" ht="25.5" customHeight="1" x14ac:dyDescent="0.35">
      <c r="A2164" s="392"/>
      <c r="B2164" s="393"/>
      <c r="C2164" s="99" t="str">
        <f>IF(B2164="","",IF(NOT(ISNUMBER(B2164)),"DATA_PC invalida",IF(NOT(ISNUMBER(parametros!$C$2)),"Fora dos ciclos",IF(OR(B2164&lt;parametros!$C$2,(YEAR(B2164)-YEAR(parametros!$C$2))*12+MONTH(B2164)-MONTH(parametros!$C$2)&gt;59),"Fora dos ciclos","C"&amp;INT(((YEAR(B2164)-YEAR(parametros!$C$2))*12+MONTH(B2164)-MONTH(parametros!$C$2))/12)))))</f>
        <v/>
      </c>
      <c r="D2164" s="394"/>
      <c r="E2164" s="78" t="str">
        <f>IF(C2164="","",IFERROR(VLOOKUP(C2164,parametros!$A$11:$E$15,5,0),""))</f>
        <v/>
      </c>
      <c r="F2164" s="79" t="str">
        <f t="shared" si="167"/>
        <v/>
      </c>
      <c r="G2164" s="395"/>
      <c r="H2164" s="91">
        <f t="shared" si="168"/>
        <v>0</v>
      </c>
      <c r="I2164" s="91" t="str">
        <f t="shared" si="169"/>
        <v/>
      </c>
      <c r="J2164" s="91" t="str">
        <f t="shared" si="170"/>
        <v/>
      </c>
      <c r="K2164" s="92" t="str">
        <f>IF(AND(A2164="",B2164="",D2164="",G2164=""),"",IF(AND(A2164&lt;&gt;"",COUNTIF($A$2:$A$5001,A2164)&gt;1),"NUMERO_PC duplicado",IF(B2164="","DATA_PC vazia",IF(NOT(ISNUMBER(B2164)),"DATA_PC invalida",IF(OR(C2164="",C2164="Fora dos ciclos"),"CICLO_PC nao identificado",IF(OR(D2164="",D2164=0),"VALOR_PC vazio ou zero",IF(AND(G2164&lt;&gt;"Sim",G2164&lt;&gt;"Nao",G2164&lt;&gt;""),"PC_PAGO_A_CONTRATADA invalido",IF(AND(C2164&lt;&gt;"C0",IFERROR(INDEX(parametros!$A$2:$A$6,MATCH(C2164,parametros!$B$2:$B$6,0)),"")="Sim",IFERROR(INDEX(parametros!$H$2:$H$6,MATCH(C2164,parametros!$B$2:$B$6,0)),"")=""),"INICIO_EFEITO ausente: PC "&amp;A2164&amp;" - "&amp;C2164,IF(L2164="","EFEITO_PC nao calculado: PC "&amp;A2164&amp;" - "&amp;C2164,"OK")))))))))</f>
        <v/>
      </c>
      <c r="L2164" s="92" t="str">
        <f>IF(AND(A2164="",B2164="",D2164="",G2164=""),"",IF(OR(B2164="",NOT(ISNUMBER(B2164)),C2164="",C2164="Fora dos ciclos"),"",IF(C2164="C0","Nao",IF(IFERROR(INDEX(parametros!$A$2:$A$6,MATCH(C2164,parametros!$B$2:$B$6,0)),"")&lt;&gt;"Sim","Nao",IF(IFERROR(INDEX(parametros!$H$2:$H$6,MATCH(C2164,parametros!$B$2:$B$6,0)),"")="","",IF(B2164&gt;=IFERROR(INDEX(parametros!$H$2:$H$6,MATCH(C2164,parametros!$B$2:$B$6,0)),""),"Sim","Nao"))))))</f>
        <v/>
      </c>
      <c r="T2164" s="156"/>
      <c r="U2164" s="214" t="str">
        <f t="shared" si="171"/>
        <v/>
      </c>
      <c r="V2164" s="212" t="s">
        <v>50</v>
      </c>
      <c r="W2164" s="100" t="s">
        <v>168</v>
      </c>
      <c r="X2164" s="100" t="s">
        <v>169</v>
      </c>
      <c r="Y2164" s="101" t="s">
        <v>170</v>
      </c>
      <c r="Z2164" s="101" t="s">
        <v>171</v>
      </c>
      <c r="AA2164" s="101" t="s">
        <v>50</v>
      </c>
      <c r="AB2164" s="101" t="s">
        <v>172</v>
      </c>
      <c r="AC2164" s="102" t="s">
        <v>173</v>
      </c>
    </row>
    <row r="2165" spans="1:29" ht="25.5" customHeight="1" x14ac:dyDescent="0.35">
      <c r="A2165" s="392"/>
      <c r="B2165" s="393"/>
      <c r="C2165" s="99" t="str">
        <f>IF(B2165="","",IF(NOT(ISNUMBER(B2165)),"DATA_PC invalida",IF(NOT(ISNUMBER(parametros!$C$2)),"Fora dos ciclos",IF(OR(B2165&lt;parametros!$C$2,(YEAR(B2165)-YEAR(parametros!$C$2))*12+MONTH(B2165)-MONTH(parametros!$C$2)&gt;59),"Fora dos ciclos","C"&amp;INT(((YEAR(B2165)-YEAR(parametros!$C$2))*12+MONTH(B2165)-MONTH(parametros!$C$2))/12)))))</f>
        <v/>
      </c>
      <c r="D2165" s="394"/>
      <c r="E2165" s="78" t="str">
        <f>IF(C2165="","",IFERROR(VLOOKUP(C2165,parametros!$A$11:$E$15,5,0),""))</f>
        <v/>
      </c>
      <c r="F2165" s="79" t="str">
        <f t="shared" si="167"/>
        <v/>
      </c>
      <c r="G2165" s="395"/>
      <c r="H2165" s="91">
        <f t="shared" si="168"/>
        <v>0</v>
      </c>
      <c r="I2165" s="91" t="str">
        <f t="shared" si="169"/>
        <v/>
      </c>
      <c r="J2165" s="91" t="str">
        <f t="shared" si="170"/>
        <v/>
      </c>
      <c r="K2165" s="92" t="str">
        <f>IF(AND(A2165="",B2165="",D2165="",G2165=""),"",IF(AND(A2165&lt;&gt;"",COUNTIF($A$2:$A$5001,A2165)&gt;1),"NUMERO_PC duplicado",IF(B2165="","DATA_PC vazia",IF(NOT(ISNUMBER(B2165)),"DATA_PC invalida",IF(OR(C2165="",C2165="Fora dos ciclos"),"CICLO_PC nao identificado",IF(OR(D2165="",D2165=0),"VALOR_PC vazio ou zero",IF(AND(G2165&lt;&gt;"Sim",G2165&lt;&gt;"Nao",G2165&lt;&gt;""),"PC_PAGO_A_CONTRATADA invalido",IF(AND(C2165&lt;&gt;"C0",IFERROR(INDEX(parametros!$A$2:$A$6,MATCH(C2165,parametros!$B$2:$B$6,0)),"")="Sim",IFERROR(INDEX(parametros!$H$2:$H$6,MATCH(C2165,parametros!$B$2:$B$6,0)),"")=""),"INICIO_EFEITO ausente: PC "&amp;A2165&amp;" - "&amp;C2165,IF(L2165="","EFEITO_PC nao calculado: PC "&amp;A2165&amp;" - "&amp;C2165,"OK")))))))))</f>
        <v/>
      </c>
      <c r="L2165" s="92" t="str">
        <f>IF(AND(A2165="",B2165="",D2165="",G2165=""),"",IF(OR(B2165="",NOT(ISNUMBER(B2165)),C2165="",C2165="Fora dos ciclos"),"",IF(C2165="C0","Nao",IF(IFERROR(INDEX(parametros!$A$2:$A$6,MATCH(C2165,parametros!$B$2:$B$6,0)),"")&lt;&gt;"Sim","Nao",IF(IFERROR(INDEX(parametros!$H$2:$H$6,MATCH(C2165,parametros!$B$2:$B$6,0)),"")="","",IF(B2165&gt;=IFERROR(INDEX(parametros!$H$2:$H$6,MATCH(C2165,parametros!$B$2:$B$6,0)),""),"Sim","Nao"))))))</f>
        <v/>
      </c>
      <c r="T2165" s="156"/>
      <c r="U2165" s="214" t="str">
        <f t="shared" si="171"/>
        <v/>
      </c>
      <c r="V2165" s="212" t="s">
        <v>50</v>
      </c>
      <c r="W2165" s="100" t="s">
        <v>168</v>
      </c>
      <c r="X2165" s="100" t="s">
        <v>169</v>
      </c>
      <c r="Y2165" s="101" t="s">
        <v>170</v>
      </c>
      <c r="Z2165" s="101" t="s">
        <v>171</v>
      </c>
      <c r="AA2165" s="101" t="s">
        <v>50</v>
      </c>
      <c r="AB2165" s="101" t="s">
        <v>172</v>
      </c>
      <c r="AC2165" s="102" t="s">
        <v>173</v>
      </c>
    </row>
    <row r="2166" spans="1:29" ht="25.5" customHeight="1" x14ac:dyDescent="0.35">
      <c r="A2166" s="392"/>
      <c r="B2166" s="393"/>
      <c r="C2166" s="99" t="str">
        <f>IF(B2166="","",IF(NOT(ISNUMBER(B2166)),"DATA_PC invalida",IF(NOT(ISNUMBER(parametros!$C$2)),"Fora dos ciclos",IF(OR(B2166&lt;parametros!$C$2,(YEAR(B2166)-YEAR(parametros!$C$2))*12+MONTH(B2166)-MONTH(parametros!$C$2)&gt;59),"Fora dos ciclos","C"&amp;INT(((YEAR(B2166)-YEAR(parametros!$C$2))*12+MONTH(B2166)-MONTH(parametros!$C$2))/12)))))</f>
        <v/>
      </c>
      <c r="D2166" s="394"/>
      <c r="E2166" s="78" t="str">
        <f>IF(C2166="","",IFERROR(VLOOKUP(C2166,parametros!$A$11:$E$15,5,0),""))</f>
        <v/>
      </c>
      <c r="F2166" s="79" t="str">
        <f t="shared" si="167"/>
        <v/>
      </c>
      <c r="G2166" s="395"/>
      <c r="H2166" s="91">
        <f t="shared" si="168"/>
        <v>0</v>
      </c>
      <c r="I2166" s="91" t="str">
        <f t="shared" si="169"/>
        <v/>
      </c>
      <c r="J2166" s="91" t="str">
        <f t="shared" si="170"/>
        <v/>
      </c>
      <c r="K2166" s="92" t="str">
        <f>IF(AND(A2166="",B2166="",D2166="",G2166=""),"",IF(AND(A2166&lt;&gt;"",COUNTIF($A$2:$A$5001,A2166)&gt;1),"NUMERO_PC duplicado",IF(B2166="","DATA_PC vazia",IF(NOT(ISNUMBER(B2166)),"DATA_PC invalida",IF(OR(C2166="",C2166="Fora dos ciclos"),"CICLO_PC nao identificado",IF(OR(D2166="",D2166=0),"VALOR_PC vazio ou zero",IF(AND(G2166&lt;&gt;"Sim",G2166&lt;&gt;"Nao",G2166&lt;&gt;""),"PC_PAGO_A_CONTRATADA invalido",IF(AND(C2166&lt;&gt;"C0",IFERROR(INDEX(parametros!$A$2:$A$6,MATCH(C2166,parametros!$B$2:$B$6,0)),"")="Sim",IFERROR(INDEX(parametros!$H$2:$H$6,MATCH(C2166,parametros!$B$2:$B$6,0)),"")=""),"INICIO_EFEITO ausente: PC "&amp;A2166&amp;" - "&amp;C2166,IF(L2166="","EFEITO_PC nao calculado: PC "&amp;A2166&amp;" - "&amp;C2166,"OK")))))))))</f>
        <v/>
      </c>
      <c r="L2166" s="92" t="str">
        <f>IF(AND(A2166="",B2166="",D2166="",G2166=""),"",IF(OR(B2166="",NOT(ISNUMBER(B2166)),C2166="",C2166="Fora dos ciclos"),"",IF(C2166="C0","Nao",IF(IFERROR(INDEX(parametros!$A$2:$A$6,MATCH(C2166,parametros!$B$2:$B$6,0)),"")&lt;&gt;"Sim","Nao",IF(IFERROR(INDEX(parametros!$H$2:$H$6,MATCH(C2166,parametros!$B$2:$B$6,0)),"")="","",IF(B2166&gt;=IFERROR(INDEX(parametros!$H$2:$H$6,MATCH(C2166,parametros!$B$2:$B$6,0)),""),"Sim","Nao"))))))</f>
        <v/>
      </c>
      <c r="T2166" s="156"/>
      <c r="U2166" s="214" t="str">
        <f t="shared" si="171"/>
        <v/>
      </c>
      <c r="V2166" s="212" t="s">
        <v>50</v>
      </c>
      <c r="W2166" s="100" t="s">
        <v>168</v>
      </c>
      <c r="X2166" s="100" t="s">
        <v>169</v>
      </c>
      <c r="Y2166" s="101" t="s">
        <v>170</v>
      </c>
      <c r="Z2166" s="101" t="s">
        <v>171</v>
      </c>
      <c r="AA2166" s="101" t="s">
        <v>50</v>
      </c>
      <c r="AB2166" s="101" t="s">
        <v>172</v>
      </c>
      <c r="AC2166" s="102" t="s">
        <v>173</v>
      </c>
    </row>
    <row r="2167" spans="1:29" ht="25.5" customHeight="1" x14ac:dyDescent="0.35">
      <c r="A2167" s="392"/>
      <c r="B2167" s="393"/>
      <c r="C2167" s="99" t="str">
        <f>IF(B2167="","",IF(NOT(ISNUMBER(B2167)),"DATA_PC invalida",IF(NOT(ISNUMBER(parametros!$C$2)),"Fora dos ciclos",IF(OR(B2167&lt;parametros!$C$2,(YEAR(B2167)-YEAR(parametros!$C$2))*12+MONTH(B2167)-MONTH(parametros!$C$2)&gt;59),"Fora dos ciclos","C"&amp;INT(((YEAR(B2167)-YEAR(parametros!$C$2))*12+MONTH(B2167)-MONTH(parametros!$C$2))/12)))))</f>
        <v/>
      </c>
      <c r="D2167" s="394"/>
      <c r="E2167" s="78" t="str">
        <f>IF(C2167="","",IFERROR(VLOOKUP(C2167,parametros!$A$11:$E$15,5,0),""))</f>
        <v/>
      </c>
      <c r="F2167" s="79" t="str">
        <f t="shared" si="167"/>
        <v/>
      </c>
      <c r="G2167" s="395"/>
      <c r="H2167" s="91">
        <f t="shared" si="168"/>
        <v>0</v>
      </c>
      <c r="I2167" s="91" t="str">
        <f t="shared" si="169"/>
        <v/>
      </c>
      <c r="J2167" s="91" t="str">
        <f t="shared" si="170"/>
        <v/>
      </c>
      <c r="K2167" s="92" t="str">
        <f>IF(AND(A2167="",B2167="",D2167="",G2167=""),"",IF(AND(A2167&lt;&gt;"",COUNTIF($A$2:$A$5001,A2167)&gt;1),"NUMERO_PC duplicado",IF(B2167="","DATA_PC vazia",IF(NOT(ISNUMBER(B2167)),"DATA_PC invalida",IF(OR(C2167="",C2167="Fora dos ciclos"),"CICLO_PC nao identificado",IF(OR(D2167="",D2167=0),"VALOR_PC vazio ou zero",IF(AND(G2167&lt;&gt;"Sim",G2167&lt;&gt;"Nao",G2167&lt;&gt;""),"PC_PAGO_A_CONTRATADA invalido",IF(AND(C2167&lt;&gt;"C0",IFERROR(INDEX(parametros!$A$2:$A$6,MATCH(C2167,parametros!$B$2:$B$6,0)),"")="Sim",IFERROR(INDEX(parametros!$H$2:$H$6,MATCH(C2167,parametros!$B$2:$B$6,0)),"")=""),"INICIO_EFEITO ausente: PC "&amp;A2167&amp;" - "&amp;C2167,IF(L2167="","EFEITO_PC nao calculado: PC "&amp;A2167&amp;" - "&amp;C2167,"OK")))))))))</f>
        <v/>
      </c>
      <c r="L2167" s="92" t="str">
        <f>IF(AND(A2167="",B2167="",D2167="",G2167=""),"",IF(OR(B2167="",NOT(ISNUMBER(B2167)),C2167="",C2167="Fora dos ciclos"),"",IF(C2167="C0","Nao",IF(IFERROR(INDEX(parametros!$A$2:$A$6,MATCH(C2167,parametros!$B$2:$B$6,0)),"")&lt;&gt;"Sim","Nao",IF(IFERROR(INDEX(parametros!$H$2:$H$6,MATCH(C2167,parametros!$B$2:$B$6,0)),"")="","",IF(B2167&gt;=IFERROR(INDEX(parametros!$H$2:$H$6,MATCH(C2167,parametros!$B$2:$B$6,0)),""),"Sim","Nao"))))))</f>
        <v/>
      </c>
      <c r="T2167" s="156"/>
      <c r="U2167" s="214" t="str">
        <f t="shared" si="171"/>
        <v/>
      </c>
      <c r="V2167" s="212" t="s">
        <v>50</v>
      </c>
      <c r="W2167" s="100" t="s">
        <v>168</v>
      </c>
      <c r="X2167" s="100" t="s">
        <v>169</v>
      </c>
      <c r="Y2167" s="101" t="s">
        <v>170</v>
      </c>
      <c r="Z2167" s="101" t="s">
        <v>171</v>
      </c>
      <c r="AA2167" s="101" t="s">
        <v>50</v>
      </c>
      <c r="AB2167" s="101" t="s">
        <v>172</v>
      </c>
      <c r="AC2167" s="102" t="s">
        <v>173</v>
      </c>
    </row>
    <row r="2168" spans="1:29" ht="25.5" customHeight="1" x14ac:dyDescent="0.35">
      <c r="A2168" s="392"/>
      <c r="B2168" s="393"/>
      <c r="C2168" s="99" t="str">
        <f>IF(B2168="","",IF(NOT(ISNUMBER(B2168)),"DATA_PC invalida",IF(NOT(ISNUMBER(parametros!$C$2)),"Fora dos ciclos",IF(OR(B2168&lt;parametros!$C$2,(YEAR(B2168)-YEAR(parametros!$C$2))*12+MONTH(B2168)-MONTH(parametros!$C$2)&gt;59),"Fora dos ciclos","C"&amp;INT(((YEAR(B2168)-YEAR(parametros!$C$2))*12+MONTH(B2168)-MONTH(parametros!$C$2))/12)))))</f>
        <v/>
      </c>
      <c r="D2168" s="394"/>
      <c r="E2168" s="78" t="str">
        <f>IF(C2168="","",IFERROR(VLOOKUP(C2168,parametros!$A$11:$E$15,5,0),""))</f>
        <v/>
      </c>
      <c r="F2168" s="79" t="str">
        <f t="shared" si="167"/>
        <v/>
      </c>
      <c r="G2168" s="395"/>
      <c r="H2168" s="91">
        <f t="shared" si="168"/>
        <v>0</v>
      </c>
      <c r="I2168" s="91" t="str">
        <f t="shared" si="169"/>
        <v/>
      </c>
      <c r="J2168" s="91" t="str">
        <f t="shared" si="170"/>
        <v/>
      </c>
      <c r="K2168" s="92" t="str">
        <f>IF(AND(A2168="",B2168="",D2168="",G2168=""),"",IF(AND(A2168&lt;&gt;"",COUNTIF($A$2:$A$5001,A2168)&gt;1),"NUMERO_PC duplicado",IF(B2168="","DATA_PC vazia",IF(NOT(ISNUMBER(B2168)),"DATA_PC invalida",IF(OR(C2168="",C2168="Fora dos ciclos"),"CICLO_PC nao identificado",IF(OR(D2168="",D2168=0),"VALOR_PC vazio ou zero",IF(AND(G2168&lt;&gt;"Sim",G2168&lt;&gt;"Nao",G2168&lt;&gt;""),"PC_PAGO_A_CONTRATADA invalido",IF(AND(C2168&lt;&gt;"C0",IFERROR(INDEX(parametros!$A$2:$A$6,MATCH(C2168,parametros!$B$2:$B$6,0)),"")="Sim",IFERROR(INDEX(parametros!$H$2:$H$6,MATCH(C2168,parametros!$B$2:$B$6,0)),"")=""),"INICIO_EFEITO ausente: PC "&amp;A2168&amp;" - "&amp;C2168,IF(L2168="","EFEITO_PC nao calculado: PC "&amp;A2168&amp;" - "&amp;C2168,"OK")))))))))</f>
        <v/>
      </c>
      <c r="L2168" s="92" t="str">
        <f>IF(AND(A2168="",B2168="",D2168="",G2168=""),"",IF(OR(B2168="",NOT(ISNUMBER(B2168)),C2168="",C2168="Fora dos ciclos"),"",IF(C2168="C0","Nao",IF(IFERROR(INDEX(parametros!$A$2:$A$6,MATCH(C2168,parametros!$B$2:$B$6,0)),"")&lt;&gt;"Sim","Nao",IF(IFERROR(INDEX(parametros!$H$2:$H$6,MATCH(C2168,parametros!$B$2:$B$6,0)),"")="","",IF(B2168&gt;=IFERROR(INDEX(parametros!$H$2:$H$6,MATCH(C2168,parametros!$B$2:$B$6,0)),""),"Sim","Nao"))))))</f>
        <v/>
      </c>
      <c r="T2168" s="156"/>
      <c r="U2168" s="214" t="str">
        <f t="shared" si="171"/>
        <v/>
      </c>
      <c r="V2168" s="212" t="s">
        <v>50</v>
      </c>
      <c r="W2168" s="100" t="s">
        <v>168</v>
      </c>
      <c r="X2168" s="100" t="s">
        <v>169</v>
      </c>
      <c r="Y2168" s="101" t="s">
        <v>170</v>
      </c>
      <c r="Z2168" s="101" t="s">
        <v>171</v>
      </c>
      <c r="AA2168" s="101" t="s">
        <v>50</v>
      </c>
      <c r="AB2168" s="101" t="s">
        <v>172</v>
      </c>
      <c r="AC2168" s="102" t="s">
        <v>173</v>
      </c>
    </row>
    <row r="2169" spans="1:29" ht="25.5" customHeight="1" x14ac:dyDescent="0.35">
      <c r="A2169" s="392"/>
      <c r="B2169" s="393"/>
      <c r="C2169" s="99" t="str">
        <f>IF(B2169="","",IF(NOT(ISNUMBER(B2169)),"DATA_PC invalida",IF(NOT(ISNUMBER(parametros!$C$2)),"Fora dos ciclos",IF(OR(B2169&lt;parametros!$C$2,(YEAR(B2169)-YEAR(parametros!$C$2))*12+MONTH(B2169)-MONTH(parametros!$C$2)&gt;59),"Fora dos ciclos","C"&amp;INT(((YEAR(B2169)-YEAR(parametros!$C$2))*12+MONTH(B2169)-MONTH(parametros!$C$2))/12)))))</f>
        <v/>
      </c>
      <c r="D2169" s="394"/>
      <c r="E2169" s="78" t="str">
        <f>IF(C2169="","",IFERROR(VLOOKUP(C2169,parametros!$A$11:$E$15,5,0),""))</f>
        <v/>
      </c>
      <c r="F2169" s="79" t="str">
        <f t="shared" si="167"/>
        <v/>
      </c>
      <c r="G2169" s="395"/>
      <c r="H2169" s="91">
        <f t="shared" si="168"/>
        <v>0</v>
      </c>
      <c r="I2169" s="91" t="str">
        <f t="shared" si="169"/>
        <v/>
      </c>
      <c r="J2169" s="91" t="str">
        <f t="shared" si="170"/>
        <v/>
      </c>
      <c r="K2169" s="92" t="str">
        <f>IF(AND(A2169="",B2169="",D2169="",G2169=""),"",IF(AND(A2169&lt;&gt;"",COUNTIF($A$2:$A$5001,A2169)&gt;1),"NUMERO_PC duplicado",IF(B2169="","DATA_PC vazia",IF(NOT(ISNUMBER(B2169)),"DATA_PC invalida",IF(OR(C2169="",C2169="Fora dos ciclos"),"CICLO_PC nao identificado",IF(OR(D2169="",D2169=0),"VALOR_PC vazio ou zero",IF(AND(G2169&lt;&gt;"Sim",G2169&lt;&gt;"Nao",G2169&lt;&gt;""),"PC_PAGO_A_CONTRATADA invalido",IF(AND(C2169&lt;&gt;"C0",IFERROR(INDEX(parametros!$A$2:$A$6,MATCH(C2169,parametros!$B$2:$B$6,0)),"")="Sim",IFERROR(INDEX(parametros!$H$2:$H$6,MATCH(C2169,parametros!$B$2:$B$6,0)),"")=""),"INICIO_EFEITO ausente: PC "&amp;A2169&amp;" - "&amp;C2169,IF(L2169="","EFEITO_PC nao calculado: PC "&amp;A2169&amp;" - "&amp;C2169,"OK")))))))))</f>
        <v/>
      </c>
      <c r="L2169" s="92" t="str">
        <f>IF(AND(A2169="",B2169="",D2169="",G2169=""),"",IF(OR(B2169="",NOT(ISNUMBER(B2169)),C2169="",C2169="Fora dos ciclos"),"",IF(C2169="C0","Nao",IF(IFERROR(INDEX(parametros!$A$2:$A$6,MATCH(C2169,parametros!$B$2:$B$6,0)),"")&lt;&gt;"Sim","Nao",IF(IFERROR(INDEX(parametros!$H$2:$H$6,MATCH(C2169,parametros!$B$2:$B$6,0)),"")="","",IF(B2169&gt;=IFERROR(INDEX(parametros!$H$2:$H$6,MATCH(C2169,parametros!$B$2:$B$6,0)),""),"Sim","Nao"))))))</f>
        <v/>
      </c>
      <c r="T2169" s="156"/>
      <c r="U2169" s="214" t="str">
        <f t="shared" si="171"/>
        <v/>
      </c>
      <c r="V2169" s="212" t="s">
        <v>50</v>
      </c>
      <c r="W2169" s="100" t="s">
        <v>168</v>
      </c>
      <c r="X2169" s="100" t="s">
        <v>169</v>
      </c>
      <c r="Y2169" s="101" t="s">
        <v>170</v>
      </c>
      <c r="Z2169" s="101" t="s">
        <v>171</v>
      </c>
      <c r="AA2169" s="101" t="s">
        <v>50</v>
      </c>
      <c r="AB2169" s="101" t="s">
        <v>172</v>
      </c>
      <c r="AC2169" s="102" t="s">
        <v>173</v>
      </c>
    </row>
    <row r="2170" spans="1:29" ht="25.5" customHeight="1" x14ac:dyDescent="0.35">
      <c r="A2170" s="392"/>
      <c r="B2170" s="393"/>
      <c r="C2170" s="99" t="str">
        <f>IF(B2170="","",IF(NOT(ISNUMBER(B2170)),"DATA_PC invalida",IF(NOT(ISNUMBER(parametros!$C$2)),"Fora dos ciclos",IF(OR(B2170&lt;parametros!$C$2,(YEAR(B2170)-YEAR(parametros!$C$2))*12+MONTH(B2170)-MONTH(parametros!$C$2)&gt;59),"Fora dos ciclos","C"&amp;INT(((YEAR(B2170)-YEAR(parametros!$C$2))*12+MONTH(B2170)-MONTH(parametros!$C$2))/12)))))</f>
        <v/>
      </c>
      <c r="D2170" s="394"/>
      <c r="E2170" s="78" t="str">
        <f>IF(C2170="","",IFERROR(VLOOKUP(C2170,parametros!$A$11:$E$15,5,0),""))</f>
        <v/>
      </c>
      <c r="F2170" s="79" t="str">
        <f t="shared" si="167"/>
        <v/>
      </c>
      <c r="G2170" s="395"/>
      <c r="H2170" s="91">
        <f t="shared" si="168"/>
        <v>0</v>
      </c>
      <c r="I2170" s="91" t="str">
        <f t="shared" si="169"/>
        <v/>
      </c>
      <c r="J2170" s="91" t="str">
        <f t="shared" si="170"/>
        <v/>
      </c>
      <c r="K2170" s="92" t="str">
        <f>IF(AND(A2170="",B2170="",D2170="",G2170=""),"",IF(AND(A2170&lt;&gt;"",COUNTIF($A$2:$A$5001,A2170)&gt;1),"NUMERO_PC duplicado",IF(B2170="","DATA_PC vazia",IF(NOT(ISNUMBER(B2170)),"DATA_PC invalida",IF(OR(C2170="",C2170="Fora dos ciclos"),"CICLO_PC nao identificado",IF(OR(D2170="",D2170=0),"VALOR_PC vazio ou zero",IF(AND(G2170&lt;&gt;"Sim",G2170&lt;&gt;"Nao",G2170&lt;&gt;""),"PC_PAGO_A_CONTRATADA invalido",IF(AND(C2170&lt;&gt;"C0",IFERROR(INDEX(parametros!$A$2:$A$6,MATCH(C2170,parametros!$B$2:$B$6,0)),"")="Sim",IFERROR(INDEX(parametros!$H$2:$H$6,MATCH(C2170,parametros!$B$2:$B$6,0)),"")=""),"INICIO_EFEITO ausente: PC "&amp;A2170&amp;" - "&amp;C2170,IF(L2170="","EFEITO_PC nao calculado: PC "&amp;A2170&amp;" - "&amp;C2170,"OK")))))))))</f>
        <v/>
      </c>
      <c r="L2170" s="92" t="str">
        <f>IF(AND(A2170="",B2170="",D2170="",G2170=""),"",IF(OR(B2170="",NOT(ISNUMBER(B2170)),C2170="",C2170="Fora dos ciclos"),"",IF(C2170="C0","Nao",IF(IFERROR(INDEX(parametros!$A$2:$A$6,MATCH(C2170,parametros!$B$2:$B$6,0)),"")&lt;&gt;"Sim","Nao",IF(IFERROR(INDEX(parametros!$H$2:$H$6,MATCH(C2170,parametros!$B$2:$B$6,0)),"")="","",IF(B2170&gt;=IFERROR(INDEX(parametros!$H$2:$H$6,MATCH(C2170,parametros!$B$2:$B$6,0)),""),"Sim","Nao"))))))</f>
        <v/>
      </c>
      <c r="T2170" s="156"/>
      <c r="U2170" s="214" t="str">
        <f t="shared" si="171"/>
        <v/>
      </c>
      <c r="V2170" s="212" t="s">
        <v>50</v>
      </c>
      <c r="W2170" s="100" t="s">
        <v>168</v>
      </c>
      <c r="X2170" s="100" t="s">
        <v>169</v>
      </c>
      <c r="Y2170" s="101" t="s">
        <v>170</v>
      </c>
      <c r="Z2170" s="101" t="s">
        <v>171</v>
      </c>
      <c r="AA2170" s="101" t="s">
        <v>50</v>
      </c>
      <c r="AB2170" s="101" t="s">
        <v>172</v>
      </c>
      <c r="AC2170" s="102" t="s">
        <v>173</v>
      </c>
    </row>
    <row r="2171" spans="1:29" ht="25.5" customHeight="1" x14ac:dyDescent="0.35">
      <c r="A2171" s="392"/>
      <c r="B2171" s="393"/>
      <c r="C2171" s="99" t="str">
        <f>IF(B2171="","",IF(NOT(ISNUMBER(B2171)),"DATA_PC invalida",IF(NOT(ISNUMBER(parametros!$C$2)),"Fora dos ciclos",IF(OR(B2171&lt;parametros!$C$2,(YEAR(B2171)-YEAR(parametros!$C$2))*12+MONTH(B2171)-MONTH(parametros!$C$2)&gt;59),"Fora dos ciclos","C"&amp;INT(((YEAR(B2171)-YEAR(parametros!$C$2))*12+MONTH(B2171)-MONTH(parametros!$C$2))/12)))))</f>
        <v/>
      </c>
      <c r="D2171" s="394"/>
      <c r="E2171" s="78" t="str">
        <f>IF(C2171="","",IFERROR(VLOOKUP(C2171,parametros!$A$11:$E$15,5,0),""))</f>
        <v/>
      </c>
      <c r="F2171" s="79" t="str">
        <f t="shared" si="167"/>
        <v/>
      </c>
      <c r="G2171" s="395"/>
      <c r="H2171" s="91">
        <f t="shared" si="168"/>
        <v>0</v>
      </c>
      <c r="I2171" s="91" t="str">
        <f t="shared" si="169"/>
        <v/>
      </c>
      <c r="J2171" s="91" t="str">
        <f t="shared" si="170"/>
        <v/>
      </c>
      <c r="K2171" s="92" t="str">
        <f>IF(AND(A2171="",B2171="",D2171="",G2171=""),"",IF(AND(A2171&lt;&gt;"",COUNTIF($A$2:$A$5001,A2171)&gt;1),"NUMERO_PC duplicado",IF(B2171="","DATA_PC vazia",IF(NOT(ISNUMBER(B2171)),"DATA_PC invalida",IF(OR(C2171="",C2171="Fora dos ciclos"),"CICLO_PC nao identificado",IF(OR(D2171="",D2171=0),"VALOR_PC vazio ou zero",IF(AND(G2171&lt;&gt;"Sim",G2171&lt;&gt;"Nao",G2171&lt;&gt;""),"PC_PAGO_A_CONTRATADA invalido",IF(AND(C2171&lt;&gt;"C0",IFERROR(INDEX(parametros!$A$2:$A$6,MATCH(C2171,parametros!$B$2:$B$6,0)),"")="Sim",IFERROR(INDEX(parametros!$H$2:$H$6,MATCH(C2171,parametros!$B$2:$B$6,0)),"")=""),"INICIO_EFEITO ausente: PC "&amp;A2171&amp;" - "&amp;C2171,IF(L2171="","EFEITO_PC nao calculado: PC "&amp;A2171&amp;" - "&amp;C2171,"OK")))))))))</f>
        <v/>
      </c>
      <c r="L2171" s="92" t="str">
        <f>IF(AND(A2171="",B2171="",D2171="",G2171=""),"",IF(OR(B2171="",NOT(ISNUMBER(B2171)),C2171="",C2171="Fora dos ciclos"),"",IF(C2171="C0","Nao",IF(IFERROR(INDEX(parametros!$A$2:$A$6,MATCH(C2171,parametros!$B$2:$B$6,0)),"")&lt;&gt;"Sim","Nao",IF(IFERROR(INDEX(parametros!$H$2:$H$6,MATCH(C2171,parametros!$B$2:$B$6,0)),"")="","",IF(B2171&gt;=IFERROR(INDEX(parametros!$H$2:$H$6,MATCH(C2171,parametros!$B$2:$B$6,0)),""),"Sim","Nao"))))))</f>
        <v/>
      </c>
      <c r="T2171" s="156"/>
      <c r="U2171" s="214" t="str">
        <f t="shared" si="171"/>
        <v/>
      </c>
      <c r="V2171" s="212" t="s">
        <v>50</v>
      </c>
      <c r="W2171" s="100" t="s">
        <v>168</v>
      </c>
      <c r="X2171" s="100" t="s">
        <v>169</v>
      </c>
      <c r="Y2171" s="101" t="s">
        <v>170</v>
      </c>
      <c r="Z2171" s="101" t="s">
        <v>171</v>
      </c>
      <c r="AA2171" s="101" t="s">
        <v>50</v>
      </c>
      <c r="AB2171" s="101" t="s">
        <v>172</v>
      </c>
      <c r="AC2171" s="102" t="s">
        <v>173</v>
      </c>
    </row>
    <row r="2172" spans="1:29" ht="25.5" customHeight="1" x14ac:dyDescent="0.35">
      <c r="A2172" s="392"/>
      <c r="B2172" s="393"/>
      <c r="C2172" s="99" t="str">
        <f>IF(B2172="","",IF(NOT(ISNUMBER(B2172)),"DATA_PC invalida",IF(NOT(ISNUMBER(parametros!$C$2)),"Fora dos ciclos",IF(OR(B2172&lt;parametros!$C$2,(YEAR(B2172)-YEAR(parametros!$C$2))*12+MONTH(B2172)-MONTH(parametros!$C$2)&gt;59),"Fora dos ciclos","C"&amp;INT(((YEAR(B2172)-YEAR(parametros!$C$2))*12+MONTH(B2172)-MONTH(parametros!$C$2))/12)))))</f>
        <v/>
      </c>
      <c r="D2172" s="394"/>
      <c r="E2172" s="78" t="str">
        <f>IF(C2172="","",IFERROR(VLOOKUP(C2172,parametros!$A$11:$E$15,5,0),""))</f>
        <v/>
      </c>
      <c r="F2172" s="79" t="str">
        <f t="shared" si="167"/>
        <v/>
      </c>
      <c r="G2172" s="395"/>
      <c r="H2172" s="91">
        <f t="shared" si="168"/>
        <v>0</v>
      </c>
      <c r="I2172" s="91" t="str">
        <f t="shared" si="169"/>
        <v/>
      </c>
      <c r="J2172" s="91" t="str">
        <f t="shared" si="170"/>
        <v/>
      </c>
      <c r="K2172" s="92" t="str">
        <f>IF(AND(A2172="",B2172="",D2172="",G2172=""),"",IF(AND(A2172&lt;&gt;"",COUNTIF($A$2:$A$5001,A2172)&gt;1),"NUMERO_PC duplicado",IF(B2172="","DATA_PC vazia",IF(NOT(ISNUMBER(B2172)),"DATA_PC invalida",IF(OR(C2172="",C2172="Fora dos ciclos"),"CICLO_PC nao identificado",IF(OR(D2172="",D2172=0),"VALOR_PC vazio ou zero",IF(AND(G2172&lt;&gt;"Sim",G2172&lt;&gt;"Nao",G2172&lt;&gt;""),"PC_PAGO_A_CONTRATADA invalido",IF(AND(C2172&lt;&gt;"C0",IFERROR(INDEX(parametros!$A$2:$A$6,MATCH(C2172,parametros!$B$2:$B$6,0)),"")="Sim",IFERROR(INDEX(parametros!$H$2:$H$6,MATCH(C2172,parametros!$B$2:$B$6,0)),"")=""),"INICIO_EFEITO ausente: PC "&amp;A2172&amp;" - "&amp;C2172,IF(L2172="","EFEITO_PC nao calculado: PC "&amp;A2172&amp;" - "&amp;C2172,"OK")))))))))</f>
        <v/>
      </c>
      <c r="L2172" s="92" t="str">
        <f>IF(AND(A2172="",B2172="",D2172="",G2172=""),"",IF(OR(B2172="",NOT(ISNUMBER(B2172)),C2172="",C2172="Fora dos ciclos"),"",IF(C2172="C0","Nao",IF(IFERROR(INDEX(parametros!$A$2:$A$6,MATCH(C2172,parametros!$B$2:$B$6,0)),"")&lt;&gt;"Sim","Nao",IF(IFERROR(INDEX(parametros!$H$2:$H$6,MATCH(C2172,parametros!$B$2:$B$6,0)),"")="","",IF(B2172&gt;=IFERROR(INDEX(parametros!$H$2:$H$6,MATCH(C2172,parametros!$B$2:$B$6,0)),""),"Sim","Nao"))))))</f>
        <v/>
      </c>
      <c r="T2172" s="156"/>
      <c r="U2172" s="214" t="str">
        <f t="shared" si="171"/>
        <v/>
      </c>
      <c r="V2172" s="212" t="s">
        <v>50</v>
      </c>
      <c r="W2172" s="100" t="s">
        <v>168</v>
      </c>
      <c r="X2172" s="100" t="s">
        <v>169</v>
      </c>
      <c r="Y2172" s="101" t="s">
        <v>170</v>
      </c>
      <c r="Z2172" s="101" t="s">
        <v>171</v>
      </c>
      <c r="AA2172" s="101" t="s">
        <v>50</v>
      </c>
      <c r="AB2172" s="101" t="s">
        <v>172</v>
      </c>
      <c r="AC2172" s="102" t="s">
        <v>173</v>
      </c>
    </row>
    <row r="2173" spans="1:29" ht="25.5" customHeight="1" x14ac:dyDescent="0.35">
      <c r="A2173" s="392"/>
      <c r="B2173" s="393"/>
      <c r="C2173" s="99" t="str">
        <f>IF(B2173="","",IF(NOT(ISNUMBER(B2173)),"DATA_PC invalida",IF(NOT(ISNUMBER(parametros!$C$2)),"Fora dos ciclos",IF(OR(B2173&lt;parametros!$C$2,(YEAR(B2173)-YEAR(parametros!$C$2))*12+MONTH(B2173)-MONTH(parametros!$C$2)&gt;59),"Fora dos ciclos","C"&amp;INT(((YEAR(B2173)-YEAR(parametros!$C$2))*12+MONTH(B2173)-MONTH(parametros!$C$2))/12)))))</f>
        <v/>
      </c>
      <c r="D2173" s="394"/>
      <c r="E2173" s="78" t="str">
        <f>IF(C2173="","",IFERROR(VLOOKUP(C2173,parametros!$A$11:$E$15,5,0),""))</f>
        <v/>
      </c>
      <c r="F2173" s="79" t="str">
        <f t="shared" si="167"/>
        <v/>
      </c>
      <c r="G2173" s="395"/>
      <c r="H2173" s="91">
        <f t="shared" si="168"/>
        <v>0</v>
      </c>
      <c r="I2173" s="91" t="str">
        <f t="shared" si="169"/>
        <v/>
      </c>
      <c r="J2173" s="91" t="str">
        <f t="shared" si="170"/>
        <v/>
      </c>
      <c r="K2173" s="92" t="str">
        <f>IF(AND(A2173="",B2173="",D2173="",G2173=""),"",IF(AND(A2173&lt;&gt;"",COUNTIF($A$2:$A$5001,A2173)&gt;1),"NUMERO_PC duplicado",IF(B2173="","DATA_PC vazia",IF(NOT(ISNUMBER(B2173)),"DATA_PC invalida",IF(OR(C2173="",C2173="Fora dos ciclos"),"CICLO_PC nao identificado",IF(OR(D2173="",D2173=0),"VALOR_PC vazio ou zero",IF(AND(G2173&lt;&gt;"Sim",G2173&lt;&gt;"Nao",G2173&lt;&gt;""),"PC_PAGO_A_CONTRATADA invalido",IF(AND(C2173&lt;&gt;"C0",IFERROR(INDEX(parametros!$A$2:$A$6,MATCH(C2173,parametros!$B$2:$B$6,0)),"")="Sim",IFERROR(INDEX(parametros!$H$2:$H$6,MATCH(C2173,parametros!$B$2:$B$6,0)),"")=""),"INICIO_EFEITO ausente: PC "&amp;A2173&amp;" - "&amp;C2173,IF(L2173="","EFEITO_PC nao calculado: PC "&amp;A2173&amp;" - "&amp;C2173,"OK")))))))))</f>
        <v/>
      </c>
      <c r="L2173" s="92" t="str">
        <f>IF(AND(A2173="",B2173="",D2173="",G2173=""),"",IF(OR(B2173="",NOT(ISNUMBER(B2173)),C2173="",C2173="Fora dos ciclos"),"",IF(C2173="C0","Nao",IF(IFERROR(INDEX(parametros!$A$2:$A$6,MATCH(C2173,parametros!$B$2:$B$6,0)),"")&lt;&gt;"Sim","Nao",IF(IFERROR(INDEX(parametros!$H$2:$H$6,MATCH(C2173,parametros!$B$2:$B$6,0)),"")="","",IF(B2173&gt;=IFERROR(INDEX(parametros!$H$2:$H$6,MATCH(C2173,parametros!$B$2:$B$6,0)),""),"Sim","Nao"))))))</f>
        <v/>
      </c>
      <c r="T2173" s="156"/>
      <c r="U2173" s="214" t="str">
        <f t="shared" si="171"/>
        <v/>
      </c>
      <c r="V2173" s="212" t="s">
        <v>50</v>
      </c>
      <c r="W2173" s="100" t="s">
        <v>168</v>
      </c>
      <c r="X2173" s="100" t="s">
        <v>169</v>
      </c>
      <c r="Y2173" s="101" t="s">
        <v>170</v>
      </c>
      <c r="Z2173" s="101" t="s">
        <v>171</v>
      </c>
      <c r="AA2173" s="101" t="s">
        <v>50</v>
      </c>
      <c r="AB2173" s="101" t="s">
        <v>172</v>
      </c>
      <c r="AC2173" s="102" t="s">
        <v>173</v>
      </c>
    </row>
    <row r="2174" spans="1:29" ht="25.5" customHeight="1" x14ac:dyDescent="0.35">
      <c r="A2174" s="392"/>
      <c r="B2174" s="393"/>
      <c r="C2174" s="99" t="str">
        <f>IF(B2174="","",IF(NOT(ISNUMBER(B2174)),"DATA_PC invalida",IF(NOT(ISNUMBER(parametros!$C$2)),"Fora dos ciclos",IF(OR(B2174&lt;parametros!$C$2,(YEAR(B2174)-YEAR(parametros!$C$2))*12+MONTH(B2174)-MONTH(parametros!$C$2)&gt;59),"Fora dos ciclos","C"&amp;INT(((YEAR(B2174)-YEAR(parametros!$C$2))*12+MONTH(B2174)-MONTH(parametros!$C$2))/12)))))</f>
        <v/>
      </c>
      <c r="D2174" s="394"/>
      <c r="E2174" s="78" t="str">
        <f>IF(C2174="","",IFERROR(VLOOKUP(C2174,parametros!$A$11:$E$15,5,0),""))</f>
        <v/>
      </c>
      <c r="F2174" s="79" t="str">
        <f t="shared" si="167"/>
        <v/>
      </c>
      <c r="G2174" s="395"/>
      <c r="H2174" s="91">
        <f t="shared" si="168"/>
        <v>0</v>
      </c>
      <c r="I2174" s="91" t="str">
        <f t="shared" si="169"/>
        <v/>
      </c>
      <c r="J2174" s="91" t="str">
        <f t="shared" si="170"/>
        <v/>
      </c>
      <c r="K2174" s="92" t="str">
        <f>IF(AND(A2174="",B2174="",D2174="",G2174=""),"",IF(AND(A2174&lt;&gt;"",COUNTIF($A$2:$A$5001,A2174)&gt;1),"NUMERO_PC duplicado",IF(B2174="","DATA_PC vazia",IF(NOT(ISNUMBER(B2174)),"DATA_PC invalida",IF(OR(C2174="",C2174="Fora dos ciclos"),"CICLO_PC nao identificado",IF(OR(D2174="",D2174=0),"VALOR_PC vazio ou zero",IF(AND(G2174&lt;&gt;"Sim",G2174&lt;&gt;"Nao",G2174&lt;&gt;""),"PC_PAGO_A_CONTRATADA invalido",IF(AND(C2174&lt;&gt;"C0",IFERROR(INDEX(parametros!$A$2:$A$6,MATCH(C2174,parametros!$B$2:$B$6,0)),"")="Sim",IFERROR(INDEX(parametros!$H$2:$H$6,MATCH(C2174,parametros!$B$2:$B$6,0)),"")=""),"INICIO_EFEITO ausente: PC "&amp;A2174&amp;" - "&amp;C2174,IF(L2174="","EFEITO_PC nao calculado: PC "&amp;A2174&amp;" - "&amp;C2174,"OK")))))))))</f>
        <v/>
      </c>
      <c r="L2174" s="92" t="str">
        <f>IF(AND(A2174="",B2174="",D2174="",G2174=""),"",IF(OR(B2174="",NOT(ISNUMBER(B2174)),C2174="",C2174="Fora dos ciclos"),"",IF(C2174="C0","Nao",IF(IFERROR(INDEX(parametros!$A$2:$A$6,MATCH(C2174,parametros!$B$2:$B$6,0)),"")&lt;&gt;"Sim","Nao",IF(IFERROR(INDEX(parametros!$H$2:$H$6,MATCH(C2174,parametros!$B$2:$B$6,0)),"")="","",IF(B2174&gt;=IFERROR(INDEX(parametros!$H$2:$H$6,MATCH(C2174,parametros!$B$2:$B$6,0)),""),"Sim","Nao"))))))</f>
        <v/>
      </c>
      <c r="T2174" s="156"/>
      <c r="U2174" s="214" t="str">
        <f t="shared" si="171"/>
        <v/>
      </c>
      <c r="V2174" s="212" t="s">
        <v>50</v>
      </c>
      <c r="W2174" s="100" t="s">
        <v>168</v>
      </c>
      <c r="X2174" s="100" t="s">
        <v>169</v>
      </c>
      <c r="Y2174" s="101" t="s">
        <v>170</v>
      </c>
      <c r="Z2174" s="101" t="s">
        <v>171</v>
      </c>
      <c r="AA2174" s="101" t="s">
        <v>50</v>
      </c>
      <c r="AB2174" s="101" t="s">
        <v>172</v>
      </c>
      <c r="AC2174" s="102" t="s">
        <v>173</v>
      </c>
    </row>
    <row r="2175" spans="1:29" ht="25.5" customHeight="1" x14ac:dyDescent="0.35">
      <c r="A2175" s="392"/>
      <c r="B2175" s="393"/>
      <c r="C2175" s="99" t="str">
        <f>IF(B2175="","",IF(NOT(ISNUMBER(B2175)),"DATA_PC invalida",IF(NOT(ISNUMBER(parametros!$C$2)),"Fora dos ciclos",IF(OR(B2175&lt;parametros!$C$2,(YEAR(B2175)-YEAR(parametros!$C$2))*12+MONTH(B2175)-MONTH(parametros!$C$2)&gt;59),"Fora dos ciclos","C"&amp;INT(((YEAR(B2175)-YEAR(parametros!$C$2))*12+MONTH(B2175)-MONTH(parametros!$C$2))/12)))))</f>
        <v/>
      </c>
      <c r="D2175" s="394"/>
      <c r="E2175" s="78" t="str">
        <f>IF(C2175="","",IFERROR(VLOOKUP(C2175,parametros!$A$11:$E$15,5,0),""))</f>
        <v/>
      </c>
      <c r="F2175" s="79" t="str">
        <f t="shared" si="167"/>
        <v/>
      </c>
      <c r="G2175" s="395"/>
      <c r="H2175" s="91">
        <f t="shared" si="168"/>
        <v>0</v>
      </c>
      <c r="I2175" s="91" t="str">
        <f t="shared" si="169"/>
        <v/>
      </c>
      <c r="J2175" s="91" t="str">
        <f t="shared" si="170"/>
        <v/>
      </c>
      <c r="K2175" s="92" t="str">
        <f>IF(AND(A2175="",B2175="",D2175="",G2175=""),"",IF(AND(A2175&lt;&gt;"",COUNTIF($A$2:$A$5001,A2175)&gt;1),"NUMERO_PC duplicado",IF(B2175="","DATA_PC vazia",IF(NOT(ISNUMBER(B2175)),"DATA_PC invalida",IF(OR(C2175="",C2175="Fora dos ciclos"),"CICLO_PC nao identificado",IF(OR(D2175="",D2175=0),"VALOR_PC vazio ou zero",IF(AND(G2175&lt;&gt;"Sim",G2175&lt;&gt;"Nao",G2175&lt;&gt;""),"PC_PAGO_A_CONTRATADA invalido",IF(AND(C2175&lt;&gt;"C0",IFERROR(INDEX(parametros!$A$2:$A$6,MATCH(C2175,parametros!$B$2:$B$6,0)),"")="Sim",IFERROR(INDEX(parametros!$H$2:$H$6,MATCH(C2175,parametros!$B$2:$B$6,0)),"")=""),"INICIO_EFEITO ausente: PC "&amp;A2175&amp;" - "&amp;C2175,IF(L2175="","EFEITO_PC nao calculado: PC "&amp;A2175&amp;" - "&amp;C2175,"OK")))))))))</f>
        <v/>
      </c>
      <c r="L2175" s="92" t="str">
        <f>IF(AND(A2175="",B2175="",D2175="",G2175=""),"",IF(OR(B2175="",NOT(ISNUMBER(B2175)),C2175="",C2175="Fora dos ciclos"),"",IF(C2175="C0","Nao",IF(IFERROR(INDEX(parametros!$A$2:$A$6,MATCH(C2175,parametros!$B$2:$B$6,0)),"")&lt;&gt;"Sim","Nao",IF(IFERROR(INDEX(parametros!$H$2:$H$6,MATCH(C2175,parametros!$B$2:$B$6,0)),"")="","",IF(B2175&gt;=IFERROR(INDEX(parametros!$H$2:$H$6,MATCH(C2175,parametros!$B$2:$B$6,0)),""),"Sim","Nao"))))))</f>
        <v/>
      </c>
      <c r="T2175" s="156"/>
      <c r="U2175" s="214" t="str">
        <f t="shared" si="171"/>
        <v/>
      </c>
      <c r="V2175" s="212" t="s">
        <v>50</v>
      </c>
      <c r="W2175" s="100" t="s">
        <v>168</v>
      </c>
      <c r="X2175" s="100" t="s">
        <v>169</v>
      </c>
      <c r="Y2175" s="101" t="s">
        <v>170</v>
      </c>
      <c r="Z2175" s="101" t="s">
        <v>171</v>
      </c>
      <c r="AA2175" s="101" t="s">
        <v>50</v>
      </c>
      <c r="AB2175" s="101" t="s">
        <v>172</v>
      </c>
      <c r="AC2175" s="102" t="s">
        <v>173</v>
      </c>
    </row>
    <row r="2176" spans="1:29" ht="25.5" customHeight="1" x14ac:dyDescent="0.35">
      <c r="A2176" s="392"/>
      <c r="B2176" s="393"/>
      <c r="C2176" s="99" t="str">
        <f>IF(B2176="","",IF(NOT(ISNUMBER(B2176)),"DATA_PC invalida",IF(NOT(ISNUMBER(parametros!$C$2)),"Fora dos ciclos",IF(OR(B2176&lt;parametros!$C$2,(YEAR(B2176)-YEAR(parametros!$C$2))*12+MONTH(B2176)-MONTH(parametros!$C$2)&gt;59),"Fora dos ciclos","C"&amp;INT(((YEAR(B2176)-YEAR(parametros!$C$2))*12+MONTH(B2176)-MONTH(parametros!$C$2))/12)))))</f>
        <v/>
      </c>
      <c r="D2176" s="394"/>
      <c r="E2176" s="78" t="str">
        <f>IF(C2176="","",IFERROR(VLOOKUP(C2176,parametros!$A$11:$E$15,5,0),""))</f>
        <v/>
      </c>
      <c r="F2176" s="79" t="str">
        <f t="shared" si="167"/>
        <v/>
      </c>
      <c r="G2176" s="395"/>
      <c r="H2176" s="91">
        <f t="shared" si="168"/>
        <v>0</v>
      </c>
      <c r="I2176" s="91" t="str">
        <f t="shared" si="169"/>
        <v/>
      </c>
      <c r="J2176" s="91" t="str">
        <f t="shared" si="170"/>
        <v/>
      </c>
      <c r="K2176" s="92" t="str">
        <f>IF(AND(A2176="",B2176="",D2176="",G2176=""),"",IF(AND(A2176&lt;&gt;"",COUNTIF($A$2:$A$5001,A2176)&gt;1),"NUMERO_PC duplicado",IF(B2176="","DATA_PC vazia",IF(NOT(ISNUMBER(B2176)),"DATA_PC invalida",IF(OR(C2176="",C2176="Fora dos ciclos"),"CICLO_PC nao identificado",IF(OR(D2176="",D2176=0),"VALOR_PC vazio ou zero",IF(AND(G2176&lt;&gt;"Sim",G2176&lt;&gt;"Nao",G2176&lt;&gt;""),"PC_PAGO_A_CONTRATADA invalido",IF(AND(C2176&lt;&gt;"C0",IFERROR(INDEX(parametros!$A$2:$A$6,MATCH(C2176,parametros!$B$2:$B$6,0)),"")="Sim",IFERROR(INDEX(parametros!$H$2:$H$6,MATCH(C2176,parametros!$B$2:$B$6,0)),"")=""),"INICIO_EFEITO ausente: PC "&amp;A2176&amp;" - "&amp;C2176,IF(L2176="","EFEITO_PC nao calculado: PC "&amp;A2176&amp;" - "&amp;C2176,"OK")))))))))</f>
        <v/>
      </c>
      <c r="L2176" s="92" t="str">
        <f>IF(AND(A2176="",B2176="",D2176="",G2176=""),"",IF(OR(B2176="",NOT(ISNUMBER(B2176)),C2176="",C2176="Fora dos ciclos"),"",IF(C2176="C0","Nao",IF(IFERROR(INDEX(parametros!$A$2:$A$6,MATCH(C2176,parametros!$B$2:$B$6,0)),"")&lt;&gt;"Sim","Nao",IF(IFERROR(INDEX(parametros!$H$2:$H$6,MATCH(C2176,parametros!$B$2:$B$6,0)),"")="","",IF(B2176&gt;=IFERROR(INDEX(parametros!$H$2:$H$6,MATCH(C2176,parametros!$B$2:$B$6,0)),""),"Sim","Nao"))))))</f>
        <v/>
      </c>
      <c r="T2176" s="156"/>
      <c r="U2176" s="214" t="str">
        <f t="shared" si="171"/>
        <v/>
      </c>
      <c r="V2176" s="212" t="s">
        <v>50</v>
      </c>
      <c r="W2176" s="100" t="s">
        <v>168</v>
      </c>
      <c r="X2176" s="100" t="s">
        <v>169</v>
      </c>
      <c r="Y2176" s="101" t="s">
        <v>170</v>
      </c>
      <c r="Z2176" s="101" t="s">
        <v>171</v>
      </c>
      <c r="AA2176" s="101" t="s">
        <v>50</v>
      </c>
      <c r="AB2176" s="101" t="s">
        <v>172</v>
      </c>
      <c r="AC2176" s="102" t="s">
        <v>173</v>
      </c>
    </row>
    <row r="2177" spans="1:29" ht="25.5" customHeight="1" x14ac:dyDescent="0.35">
      <c r="A2177" s="392"/>
      <c r="B2177" s="393"/>
      <c r="C2177" s="99" t="str">
        <f>IF(B2177="","",IF(NOT(ISNUMBER(B2177)),"DATA_PC invalida",IF(NOT(ISNUMBER(parametros!$C$2)),"Fora dos ciclos",IF(OR(B2177&lt;parametros!$C$2,(YEAR(B2177)-YEAR(parametros!$C$2))*12+MONTH(B2177)-MONTH(parametros!$C$2)&gt;59),"Fora dos ciclos","C"&amp;INT(((YEAR(B2177)-YEAR(parametros!$C$2))*12+MONTH(B2177)-MONTH(parametros!$C$2))/12)))))</f>
        <v/>
      </c>
      <c r="D2177" s="394"/>
      <c r="E2177" s="78" t="str">
        <f>IF(C2177="","",IFERROR(VLOOKUP(C2177,parametros!$A$11:$E$15,5,0),""))</f>
        <v/>
      </c>
      <c r="F2177" s="79" t="str">
        <f t="shared" si="167"/>
        <v/>
      </c>
      <c r="G2177" s="395"/>
      <c r="H2177" s="91">
        <f t="shared" si="168"/>
        <v>0</v>
      </c>
      <c r="I2177" s="91" t="str">
        <f t="shared" si="169"/>
        <v/>
      </c>
      <c r="J2177" s="91" t="str">
        <f t="shared" si="170"/>
        <v/>
      </c>
      <c r="K2177" s="92" t="str">
        <f>IF(AND(A2177="",B2177="",D2177="",G2177=""),"",IF(AND(A2177&lt;&gt;"",COUNTIF($A$2:$A$5001,A2177)&gt;1),"NUMERO_PC duplicado",IF(B2177="","DATA_PC vazia",IF(NOT(ISNUMBER(B2177)),"DATA_PC invalida",IF(OR(C2177="",C2177="Fora dos ciclos"),"CICLO_PC nao identificado",IF(OR(D2177="",D2177=0),"VALOR_PC vazio ou zero",IF(AND(G2177&lt;&gt;"Sim",G2177&lt;&gt;"Nao",G2177&lt;&gt;""),"PC_PAGO_A_CONTRATADA invalido",IF(AND(C2177&lt;&gt;"C0",IFERROR(INDEX(parametros!$A$2:$A$6,MATCH(C2177,parametros!$B$2:$B$6,0)),"")="Sim",IFERROR(INDEX(parametros!$H$2:$H$6,MATCH(C2177,parametros!$B$2:$B$6,0)),"")=""),"INICIO_EFEITO ausente: PC "&amp;A2177&amp;" - "&amp;C2177,IF(L2177="","EFEITO_PC nao calculado: PC "&amp;A2177&amp;" - "&amp;C2177,"OK")))))))))</f>
        <v/>
      </c>
      <c r="L2177" s="92" t="str">
        <f>IF(AND(A2177="",B2177="",D2177="",G2177=""),"",IF(OR(B2177="",NOT(ISNUMBER(B2177)),C2177="",C2177="Fora dos ciclos"),"",IF(C2177="C0","Nao",IF(IFERROR(INDEX(parametros!$A$2:$A$6,MATCH(C2177,parametros!$B$2:$B$6,0)),"")&lt;&gt;"Sim","Nao",IF(IFERROR(INDEX(parametros!$H$2:$H$6,MATCH(C2177,parametros!$B$2:$B$6,0)),"")="","",IF(B2177&gt;=IFERROR(INDEX(parametros!$H$2:$H$6,MATCH(C2177,parametros!$B$2:$B$6,0)),""),"Sim","Nao"))))))</f>
        <v/>
      </c>
      <c r="T2177" s="156"/>
      <c r="U2177" s="214" t="str">
        <f t="shared" si="171"/>
        <v/>
      </c>
      <c r="V2177" s="212" t="s">
        <v>50</v>
      </c>
      <c r="W2177" s="100" t="s">
        <v>168</v>
      </c>
      <c r="X2177" s="100" t="s">
        <v>169</v>
      </c>
      <c r="Y2177" s="101" t="s">
        <v>170</v>
      </c>
      <c r="Z2177" s="101" t="s">
        <v>171</v>
      </c>
      <c r="AA2177" s="101" t="s">
        <v>50</v>
      </c>
      <c r="AB2177" s="101" t="s">
        <v>172</v>
      </c>
      <c r="AC2177" s="102" t="s">
        <v>173</v>
      </c>
    </row>
    <row r="2178" spans="1:29" ht="25.5" customHeight="1" x14ac:dyDescent="0.35">
      <c r="A2178" s="392"/>
      <c r="B2178" s="393"/>
      <c r="C2178" s="99" t="str">
        <f>IF(B2178="","",IF(NOT(ISNUMBER(B2178)),"DATA_PC invalida",IF(NOT(ISNUMBER(parametros!$C$2)),"Fora dos ciclos",IF(OR(B2178&lt;parametros!$C$2,(YEAR(B2178)-YEAR(parametros!$C$2))*12+MONTH(B2178)-MONTH(parametros!$C$2)&gt;59),"Fora dos ciclos","C"&amp;INT(((YEAR(B2178)-YEAR(parametros!$C$2))*12+MONTH(B2178)-MONTH(parametros!$C$2))/12)))))</f>
        <v/>
      </c>
      <c r="D2178" s="394"/>
      <c r="E2178" s="78" t="str">
        <f>IF(C2178="","",IFERROR(VLOOKUP(C2178,parametros!$A$11:$E$15,5,0),""))</f>
        <v/>
      </c>
      <c r="F2178" s="79" t="str">
        <f t="shared" ref="F2178:F2241" si="172">IF(OR(D2178="",E2178=""),"",ROUND(D2178*E2178,2))</f>
        <v/>
      </c>
      <c r="G2178" s="395"/>
      <c r="H2178" s="91">
        <f t="shared" ref="H2178:H2241" si="173">IF(G2178="Sim",IF(OR(F2178="",D2178="",L2178=""),"",IF(L2178="Sim",ROUND(F2178-D2178,2),0)),0)</f>
        <v>0</v>
      </c>
      <c r="I2178" s="91" t="str">
        <f t="shared" ref="I2178:I2241" si="174">IF(G2178="Sim",0,IF(OR(F2178="",L2178=""),"",F2178))</f>
        <v/>
      </c>
      <c r="J2178" s="91" t="str">
        <f t="shared" ref="J2178:J2241" si="175">IF(G2178="Sim",0,IF(OR(F2178="",D2178="",L2178=""),"",IF(L2178="Sim",ROUND(F2178-D2178,2),0)))</f>
        <v/>
      </c>
      <c r="K2178" s="92" t="str">
        <f>IF(AND(A2178="",B2178="",D2178="",G2178=""),"",IF(AND(A2178&lt;&gt;"",COUNTIF($A$2:$A$5001,A2178)&gt;1),"NUMERO_PC duplicado",IF(B2178="","DATA_PC vazia",IF(NOT(ISNUMBER(B2178)),"DATA_PC invalida",IF(OR(C2178="",C2178="Fora dos ciclos"),"CICLO_PC nao identificado",IF(OR(D2178="",D2178=0),"VALOR_PC vazio ou zero",IF(AND(G2178&lt;&gt;"Sim",G2178&lt;&gt;"Nao",G2178&lt;&gt;""),"PC_PAGO_A_CONTRATADA invalido",IF(AND(C2178&lt;&gt;"C0",IFERROR(INDEX(parametros!$A$2:$A$6,MATCH(C2178,parametros!$B$2:$B$6,0)),"")="Sim",IFERROR(INDEX(parametros!$H$2:$H$6,MATCH(C2178,parametros!$B$2:$B$6,0)),"")=""),"INICIO_EFEITO ausente: PC "&amp;A2178&amp;" - "&amp;C2178,IF(L2178="","EFEITO_PC nao calculado: PC "&amp;A2178&amp;" - "&amp;C2178,"OK")))))))))</f>
        <v/>
      </c>
      <c r="L2178" s="92" t="str">
        <f>IF(AND(A2178="",B2178="",D2178="",G2178=""),"",IF(OR(B2178="",NOT(ISNUMBER(B2178)),C2178="",C2178="Fora dos ciclos"),"",IF(C2178="C0","Nao",IF(IFERROR(INDEX(parametros!$A$2:$A$6,MATCH(C2178,parametros!$B$2:$B$6,0)),"")&lt;&gt;"Sim","Nao",IF(IFERROR(INDEX(parametros!$H$2:$H$6,MATCH(C2178,parametros!$B$2:$B$6,0)),"")="","",IF(B2178&gt;=IFERROR(INDEX(parametros!$H$2:$H$6,MATCH(C2178,parametros!$B$2:$B$6,0)),""),"Sim","Nao"))))))</f>
        <v/>
      </c>
      <c r="T2178" s="156"/>
      <c r="U2178" s="214" t="str">
        <f t="shared" ref="U2178:U2241" si="176">IF(OR($D2178="",$H2178=""),"",ROUND($D2178+$H2178,2))</f>
        <v/>
      </c>
      <c r="V2178" s="212" t="s">
        <v>50</v>
      </c>
      <c r="W2178" s="100" t="s">
        <v>168</v>
      </c>
      <c r="X2178" s="100" t="s">
        <v>169</v>
      </c>
      <c r="Y2178" s="101" t="s">
        <v>170</v>
      </c>
      <c r="Z2178" s="101" t="s">
        <v>171</v>
      </c>
      <c r="AA2178" s="101" t="s">
        <v>50</v>
      </c>
      <c r="AB2178" s="101" t="s">
        <v>172</v>
      </c>
      <c r="AC2178" s="102" t="s">
        <v>173</v>
      </c>
    </row>
    <row r="2179" spans="1:29" ht="25.5" customHeight="1" x14ac:dyDescent="0.35">
      <c r="A2179" s="392"/>
      <c r="B2179" s="393"/>
      <c r="C2179" s="99" t="str">
        <f>IF(B2179="","",IF(NOT(ISNUMBER(B2179)),"DATA_PC invalida",IF(NOT(ISNUMBER(parametros!$C$2)),"Fora dos ciclos",IF(OR(B2179&lt;parametros!$C$2,(YEAR(B2179)-YEAR(parametros!$C$2))*12+MONTH(B2179)-MONTH(parametros!$C$2)&gt;59),"Fora dos ciclos","C"&amp;INT(((YEAR(B2179)-YEAR(parametros!$C$2))*12+MONTH(B2179)-MONTH(parametros!$C$2))/12)))))</f>
        <v/>
      </c>
      <c r="D2179" s="394"/>
      <c r="E2179" s="78" t="str">
        <f>IF(C2179="","",IFERROR(VLOOKUP(C2179,parametros!$A$11:$E$15,5,0),""))</f>
        <v/>
      </c>
      <c r="F2179" s="79" t="str">
        <f t="shared" si="172"/>
        <v/>
      </c>
      <c r="G2179" s="395"/>
      <c r="H2179" s="91">
        <f t="shared" si="173"/>
        <v>0</v>
      </c>
      <c r="I2179" s="91" t="str">
        <f t="shared" si="174"/>
        <v/>
      </c>
      <c r="J2179" s="91" t="str">
        <f t="shared" si="175"/>
        <v/>
      </c>
      <c r="K2179" s="92" t="str">
        <f>IF(AND(A2179="",B2179="",D2179="",G2179=""),"",IF(AND(A2179&lt;&gt;"",COUNTIF($A$2:$A$5001,A2179)&gt;1),"NUMERO_PC duplicado",IF(B2179="","DATA_PC vazia",IF(NOT(ISNUMBER(B2179)),"DATA_PC invalida",IF(OR(C2179="",C2179="Fora dos ciclos"),"CICLO_PC nao identificado",IF(OR(D2179="",D2179=0),"VALOR_PC vazio ou zero",IF(AND(G2179&lt;&gt;"Sim",G2179&lt;&gt;"Nao",G2179&lt;&gt;""),"PC_PAGO_A_CONTRATADA invalido",IF(AND(C2179&lt;&gt;"C0",IFERROR(INDEX(parametros!$A$2:$A$6,MATCH(C2179,parametros!$B$2:$B$6,0)),"")="Sim",IFERROR(INDEX(parametros!$H$2:$H$6,MATCH(C2179,parametros!$B$2:$B$6,0)),"")=""),"INICIO_EFEITO ausente: PC "&amp;A2179&amp;" - "&amp;C2179,IF(L2179="","EFEITO_PC nao calculado: PC "&amp;A2179&amp;" - "&amp;C2179,"OK")))))))))</f>
        <v/>
      </c>
      <c r="L2179" s="92" t="str">
        <f>IF(AND(A2179="",B2179="",D2179="",G2179=""),"",IF(OR(B2179="",NOT(ISNUMBER(B2179)),C2179="",C2179="Fora dos ciclos"),"",IF(C2179="C0","Nao",IF(IFERROR(INDEX(parametros!$A$2:$A$6,MATCH(C2179,parametros!$B$2:$B$6,0)),"")&lt;&gt;"Sim","Nao",IF(IFERROR(INDEX(parametros!$H$2:$H$6,MATCH(C2179,parametros!$B$2:$B$6,0)),"")="","",IF(B2179&gt;=IFERROR(INDEX(parametros!$H$2:$H$6,MATCH(C2179,parametros!$B$2:$B$6,0)),""),"Sim","Nao"))))))</f>
        <v/>
      </c>
      <c r="T2179" s="156"/>
      <c r="U2179" s="214" t="str">
        <f t="shared" si="176"/>
        <v/>
      </c>
      <c r="V2179" s="212" t="s">
        <v>50</v>
      </c>
      <c r="W2179" s="100" t="s">
        <v>168</v>
      </c>
      <c r="X2179" s="100" t="s">
        <v>169</v>
      </c>
      <c r="Y2179" s="101" t="s">
        <v>170</v>
      </c>
      <c r="Z2179" s="101" t="s">
        <v>171</v>
      </c>
      <c r="AA2179" s="101" t="s">
        <v>50</v>
      </c>
      <c r="AB2179" s="101" t="s">
        <v>172</v>
      </c>
      <c r="AC2179" s="102" t="s">
        <v>173</v>
      </c>
    </row>
    <row r="2180" spans="1:29" ht="25.5" customHeight="1" x14ac:dyDescent="0.35">
      <c r="A2180" s="392"/>
      <c r="B2180" s="393"/>
      <c r="C2180" s="99" t="str">
        <f>IF(B2180="","",IF(NOT(ISNUMBER(B2180)),"DATA_PC invalida",IF(NOT(ISNUMBER(parametros!$C$2)),"Fora dos ciclos",IF(OR(B2180&lt;parametros!$C$2,(YEAR(B2180)-YEAR(parametros!$C$2))*12+MONTH(B2180)-MONTH(parametros!$C$2)&gt;59),"Fora dos ciclos","C"&amp;INT(((YEAR(B2180)-YEAR(parametros!$C$2))*12+MONTH(B2180)-MONTH(parametros!$C$2))/12)))))</f>
        <v/>
      </c>
      <c r="D2180" s="394"/>
      <c r="E2180" s="78" t="str">
        <f>IF(C2180="","",IFERROR(VLOOKUP(C2180,parametros!$A$11:$E$15,5,0),""))</f>
        <v/>
      </c>
      <c r="F2180" s="79" t="str">
        <f t="shared" si="172"/>
        <v/>
      </c>
      <c r="G2180" s="395"/>
      <c r="H2180" s="91">
        <f t="shared" si="173"/>
        <v>0</v>
      </c>
      <c r="I2180" s="91" t="str">
        <f t="shared" si="174"/>
        <v/>
      </c>
      <c r="J2180" s="91" t="str">
        <f t="shared" si="175"/>
        <v/>
      </c>
      <c r="K2180" s="92" t="str">
        <f>IF(AND(A2180="",B2180="",D2180="",G2180=""),"",IF(AND(A2180&lt;&gt;"",COUNTIF($A$2:$A$5001,A2180)&gt;1),"NUMERO_PC duplicado",IF(B2180="","DATA_PC vazia",IF(NOT(ISNUMBER(B2180)),"DATA_PC invalida",IF(OR(C2180="",C2180="Fora dos ciclos"),"CICLO_PC nao identificado",IF(OR(D2180="",D2180=0),"VALOR_PC vazio ou zero",IF(AND(G2180&lt;&gt;"Sim",G2180&lt;&gt;"Nao",G2180&lt;&gt;""),"PC_PAGO_A_CONTRATADA invalido",IF(AND(C2180&lt;&gt;"C0",IFERROR(INDEX(parametros!$A$2:$A$6,MATCH(C2180,parametros!$B$2:$B$6,0)),"")="Sim",IFERROR(INDEX(parametros!$H$2:$H$6,MATCH(C2180,parametros!$B$2:$B$6,0)),"")=""),"INICIO_EFEITO ausente: PC "&amp;A2180&amp;" - "&amp;C2180,IF(L2180="","EFEITO_PC nao calculado: PC "&amp;A2180&amp;" - "&amp;C2180,"OK")))))))))</f>
        <v/>
      </c>
      <c r="L2180" s="92" t="str">
        <f>IF(AND(A2180="",B2180="",D2180="",G2180=""),"",IF(OR(B2180="",NOT(ISNUMBER(B2180)),C2180="",C2180="Fora dos ciclos"),"",IF(C2180="C0","Nao",IF(IFERROR(INDEX(parametros!$A$2:$A$6,MATCH(C2180,parametros!$B$2:$B$6,0)),"")&lt;&gt;"Sim","Nao",IF(IFERROR(INDEX(parametros!$H$2:$H$6,MATCH(C2180,parametros!$B$2:$B$6,0)),"")="","",IF(B2180&gt;=IFERROR(INDEX(parametros!$H$2:$H$6,MATCH(C2180,parametros!$B$2:$B$6,0)),""),"Sim","Nao"))))))</f>
        <v/>
      </c>
      <c r="T2180" s="156"/>
      <c r="U2180" s="214" t="str">
        <f t="shared" si="176"/>
        <v/>
      </c>
      <c r="V2180" s="212" t="s">
        <v>50</v>
      </c>
      <c r="W2180" s="100" t="s">
        <v>168</v>
      </c>
      <c r="X2180" s="100" t="s">
        <v>169</v>
      </c>
      <c r="Y2180" s="101" t="s">
        <v>170</v>
      </c>
      <c r="Z2180" s="101" t="s">
        <v>171</v>
      </c>
      <c r="AA2180" s="101" t="s">
        <v>50</v>
      </c>
      <c r="AB2180" s="101" t="s">
        <v>172</v>
      </c>
      <c r="AC2180" s="102" t="s">
        <v>173</v>
      </c>
    </row>
    <row r="2181" spans="1:29" ht="25.5" customHeight="1" x14ac:dyDescent="0.35">
      <c r="A2181" s="392"/>
      <c r="B2181" s="393"/>
      <c r="C2181" s="99" t="str">
        <f>IF(B2181="","",IF(NOT(ISNUMBER(B2181)),"DATA_PC invalida",IF(NOT(ISNUMBER(parametros!$C$2)),"Fora dos ciclos",IF(OR(B2181&lt;parametros!$C$2,(YEAR(B2181)-YEAR(parametros!$C$2))*12+MONTH(B2181)-MONTH(parametros!$C$2)&gt;59),"Fora dos ciclos","C"&amp;INT(((YEAR(B2181)-YEAR(parametros!$C$2))*12+MONTH(B2181)-MONTH(parametros!$C$2))/12)))))</f>
        <v/>
      </c>
      <c r="D2181" s="394"/>
      <c r="E2181" s="78" t="str">
        <f>IF(C2181="","",IFERROR(VLOOKUP(C2181,parametros!$A$11:$E$15,5,0),""))</f>
        <v/>
      </c>
      <c r="F2181" s="79" t="str">
        <f t="shared" si="172"/>
        <v/>
      </c>
      <c r="G2181" s="395"/>
      <c r="H2181" s="91">
        <f t="shared" si="173"/>
        <v>0</v>
      </c>
      <c r="I2181" s="91" t="str">
        <f t="shared" si="174"/>
        <v/>
      </c>
      <c r="J2181" s="91" t="str">
        <f t="shared" si="175"/>
        <v/>
      </c>
      <c r="K2181" s="92" t="str">
        <f>IF(AND(A2181="",B2181="",D2181="",G2181=""),"",IF(AND(A2181&lt;&gt;"",COUNTIF($A$2:$A$5001,A2181)&gt;1),"NUMERO_PC duplicado",IF(B2181="","DATA_PC vazia",IF(NOT(ISNUMBER(B2181)),"DATA_PC invalida",IF(OR(C2181="",C2181="Fora dos ciclos"),"CICLO_PC nao identificado",IF(OR(D2181="",D2181=0),"VALOR_PC vazio ou zero",IF(AND(G2181&lt;&gt;"Sim",G2181&lt;&gt;"Nao",G2181&lt;&gt;""),"PC_PAGO_A_CONTRATADA invalido",IF(AND(C2181&lt;&gt;"C0",IFERROR(INDEX(parametros!$A$2:$A$6,MATCH(C2181,parametros!$B$2:$B$6,0)),"")="Sim",IFERROR(INDEX(parametros!$H$2:$H$6,MATCH(C2181,parametros!$B$2:$B$6,0)),"")=""),"INICIO_EFEITO ausente: PC "&amp;A2181&amp;" - "&amp;C2181,IF(L2181="","EFEITO_PC nao calculado: PC "&amp;A2181&amp;" - "&amp;C2181,"OK")))))))))</f>
        <v/>
      </c>
      <c r="L2181" s="92" t="str">
        <f>IF(AND(A2181="",B2181="",D2181="",G2181=""),"",IF(OR(B2181="",NOT(ISNUMBER(B2181)),C2181="",C2181="Fora dos ciclos"),"",IF(C2181="C0","Nao",IF(IFERROR(INDEX(parametros!$A$2:$A$6,MATCH(C2181,parametros!$B$2:$B$6,0)),"")&lt;&gt;"Sim","Nao",IF(IFERROR(INDEX(parametros!$H$2:$H$6,MATCH(C2181,parametros!$B$2:$B$6,0)),"")="","",IF(B2181&gt;=IFERROR(INDEX(parametros!$H$2:$H$6,MATCH(C2181,parametros!$B$2:$B$6,0)),""),"Sim","Nao"))))))</f>
        <v/>
      </c>
      <c r="T2181" s="156"/>
      <c r="U2181" s="214" t="str">
        <f t="shared" si="176"/>
        <v/>
      </c>
      <c r="V2181" s="212" t="s">
        <v>50</v>
      </c>
      <c r="W2181" s="100" t="s">
        <v>168</v>
      </c>
      <c r="X2181" s="100" t="s">
        <v>169</v>
      </c>
      <c r="Y2181" s="101" t="s">
        <v>170</v>
      </c>
      <c r="Z2181" s="101" t="s">
        <v>171</v>
      </c>
      <c r="AA2181" s="101" t="s">
        <v>50</v>
      </c>
      <c r="AB2181" s="101" t="s">
        <v>172</v>
      </c>
      <c r="AC2181" s="102" t="s">
        <v>173</v>
      </c>
    </row>
    <row r="2182" spans="1:29" ht="25.5" customHeight="1" x14ac:dyDescent="0.35">
      <c r="A2182" s="392"/>
      <c r="B2182" s="393"/>
      <c r="C2182" s="99" t="str">
        <f>IF(B2182="","",IF(NOT(ISNUMBER(B2182)),"DATA_PC invalida",IF(NOT(ISNUMBER(parametros!$C$2)),"Fora dos ciclos",IF(OR(B2182&lt;parametros!$C$2,(YEAR(B2182)-YEAR(parametros!$C$2))*12+MONTH(B2182)-MONTH(parametros!$C$2)&gt;59),"Fora dos ciclos","C"&amp;INT(((YEAR(B2182)-YEAR(parametros!$C$2))*12+MONTH(B2182)-MONTH(parametros!$C$2))/12)))))</f>
        <v/>
      </c>
      <c r="D2182" s="394"/>
      <c r="E2182" s="78" t="str">
        <f>IF(C2182="","",IFERROR(VLOOKUP(C2182,parametros!$A$11:$E$15,5,0),""))</f>
        <v/>
      </c>
      <c r="F2182" s="79" t="str">
        <f t="shared" si="172"/>
        <v/>
      </c>
      <c r="G2182" s="395"/>
      <c r="H2182" s="91">
        <f t="shared" si="173"/>
        <v>0</v>
      </c>
      <c r="I2182" s="91" t="str">
        <f t="shared" si="174"/>
        <v/>
      </c>
      <c r="J2182" s="91" t="str">
        <f t="shared" si="175"/>
        <v/>
      </c>
      <c r="K2182" s="92" t="str">
        <f>IF(AND(A2182="",B2182="",D2182="",G2182=""),"",IF(AND(A2182&lt;&gt;"",COUNTIF($A$2:$A$5001,A2182)&gt;1),"NUMERO_PC duplicado",IF(B2182="","DATA_PC vazia",IF(NOT(ISNUMBER(B2182)),"DATA_PC invalida",IF(OR(C2182="",C2182="Fora dos ciclos"),"CICLO_PC nao identificado",IF(OR(D2182="",D2182=0),"VALOR_PC vazio ou zero",IF(AND(G2182&lt;&gt;"Sim",G2182&lt;&gt;"Nao",G2182&lt;&gt;""),"PC_PAGO_A_CONTRATADA invalido",IF(AND(C2182&lt;&gt;"C0",IFERROR(INDEX(parametros!$A$2:$A$6,MATCH(C2182,parametros!$B$2:$B$6,0)),"")="Sim",IFERROR(INDEX(parametros!$H$2:$H$6,MATCH(C2182,parametros!$B$2:$B$6,0)),"")=""),"INICIO_EFEITO ausente: PC "&amp;A2182&amp;" - "&amp;C2182,IF(L2182="","EFEITO_PC nao calculado: PC "&amp;A2182&amp;" - "&amp;C2182,"OK")))))))))</f>
        <v/>
      </c>
      <c r="L2182" s="92" t="str">
        <f>IF(AND(A2182="",B2182="",D2182="",G2182=""),"",IF(OR(B2182="",NOT(ISNUMBER(B2182)),C2182="",C2182="Fora dos ciclos"),"",IF(C2182="C0","Nao",IF(IFERROR(INDEX(parametros!$A$2:$A$6,MATCH(C2182,parametros!$B$2:$B$6,0)),"")&lt;&gt;"Sim","Nao",IF(IFERROR(INDEX(parametros!$H$2:$H$6,MATCH(C2182,parametros!$B$2:$B$6,0)),"")="","",IF(B2182&gt;=IFERROR(INDEX(parametros!$H$2:$H$6,MATCH(C2182,parametros!$B$2:$B$6,0)),""),"Sim","Nao"))))))</f>
        <v/>
      </c>
      <c r="T2182" s="156"/>
      <c r="U2182" s="214" t="str">
        <f t="shared" si="176"/>
        <v/>
      </c>
      <c r="V2182" s="212" t="s">
        <v>50</v>
      </c>
      <c r="W2182" s="100" t="s">
        <v>168</v>
      </c>
      <c r="X2182" s="100" t="s">
        <v>169</v>
      </c>
      <c r="Y2182" s="101" t="s">
        <v>170</v>
      </c>
      <c r="Z2182" s="101" t="s">
        <v>171</v>
      </c>
      <c r="AA2182" s="101" t="s">
        <v>50</v>
      </c>
      <c r="AB2182" s="101" t="s">
        <v>172</v>
      </c>
      <c r="AC2182" s="102" t="s">
        <v>173</v>
      </c>
    </row>
    <row r="2183" spans="1:29" ht="25.5" customHeight="1" x14ac:dyDescent="0.35">
      <c r="A2183" s="392"/>
      <c r="B2183" s="393"/>
      <c r="C2183" s="99" t="str">
        <f>IF(B2183="","",IF(NOT(ISNUMBER(B2183)),"DATA_PC invalida",IF(NOT(ISNUMBER(parametros!$C$2)),"Fora dos ciclos",IF(OR(B2183&lt;parametros!$C$2,(YEAR(B2183)-YEAR(parametros!$C$2))*12+MONTH(B2183)-MONTH(parametros!$C$2)&gt;59),"Fora dos ciclos","C"&amp;INT(((YEAR(B2183)-YEAR(parametros!$C$2))*12+MONTH(B2183)-MONTH(parametros!$C$2))/12)))))</f>
        <v/>
      </c>
      <c r="D2183" s="394"/>
      <c r="E2183" s="78" t="str">
        <f>IF(C2183="","",IFERROR(VLOOKUP(C2183,parametros!$A$11:$E$15,5,0),""))</f>
        <v/>
      </c>
      <c r="F2183" s="79" t="str">
        <f t="shared" si="172"/>
        <v/>
      </c>
      <c r="G2183" s="395"/>
      <c r="H2183" s="91">
        <f t="shared" si="173"/>
        <v>0</v>
      </c>
      <c r="I2183" s="91" t="str">
        <f t="shared" si="174"/>
        <v/>
      </c>
      <c r="J2183" s="91" t="str">
        <f t="shared" si="175"/>
        <v/>
      </c>
      <c r="K2183" s="92" t="str">
        <f>IF(AND(A2183="",B2183="",D2183="",G2183=""),"",IF(AND(A2183&lt;&gt;"",COUNTIF($A$2:$A$5001,A2183)&gt;1),"NUMERO_PC duplicado",IF(B2183="","DATA_PC vazia",IF(NOT(ISNUMBER(B2183)),"DATA_PC invalida",IF(OR(C2183="",C2183="Fora dos ciclos"),"CICLO_PC nao identificado",IF(OR(D2183="",D2183=0),"VALOR_PC vazio ou zero",IF(AND(G2183&lt;&gt;"Sim",G2183&lt;&gt;"Nao",G2183&lt;&gt;""),"PC_PAGO_A_CONTRATADA invalido",IF(AND(C2183&lt;&gt;"C0",IFERROR(INDEX(parametros!$A$2:$A$6,MATCH(C2183,parametros!$B$2:$B$6,0)),"")="Sim",IFERROR(INDEX(parametros!$H$2:$H$6,MATCH(C2183,parametros!$B$2:$B$6,0)),"")=""),"INICIO_EFEITO ausente: PC "&amp;A2183&amp;" - "&amp;C2183,IF(L2183="","EFEITO_PC nao calculado: PC "&amp;A2183&amp;" - "&amp;C2183,"OK")))))))))</f>
        <v/>
      </c>
      <c r="L2183" s="92" t="str">
        <f>IF(AND(A2183="",B2183="",D2183="",G2183=""),"",IF(OR(B2183="",NOT(ISNUMBER(B2183)),C2183="",C2183="Fora dos ciclos"),"",IF(C2183="C0","Nao",IF(IFERROR(INDEX(parametros!$A$2:$A$6,MATCH(C2183,parametros!$B$2:$B$6,0)),"")&lt;&gt;"Sim","Nao",IF(IFERROR(INDEX(parametros!$H$2:$H$6,MATCH(C2183,parametros!$B$2:$B$6,0)),"")="","",IF(B2183&gt;=IFERROR(INDEX(parametros!$H$2:$H$6,MATCH(C2183,parametros!$B$2:$B$6,0)),""),"Sim","Nao"))))))</f>
        <v/>
      </c>
      <c r="T2183" s="156"/>
      <c r="U2183" s="214" t="str">
        <f t="shared" si="176"/>
        <v/>
      </c>
      <c r="V2183" s="212" t="s">
        <v>50</v>
      </c>
      <c r="W2183" s="100" t="s">
        <v>168</v>
      </c>
      <c r="X2183" s="100" t="s">
        <v>169</v>
      </c>
      <c r="Y2183" s="101" t="s">
        <v>170</v>
      </c>
      <c r="Z2183" s="101" t="s">
        <v>171</v>
      </c>
      <c r="AA2183" s="101" t="s">
        <v>50</v>
      </c>
      <c r="AB2183" s="101" t="s">
        <v>172</v>
      </c>
      <c r="AC2183" s="102" t="s">
        <v>173</v>
      </c>
    </row>
    <row r="2184" spans="1:29" ht="25.5" customHeight="1" x14ac:dyDescent="0.35">
      <c r="A2184" s="392"/>
      <c r="B2184" s="393"/>
      <c r="C2184" s="99" t="str">
        <f>IF(B2184="","",IF(NOT(ISNUMBER(B2184)),"DATA_PC invalida",IF(NOT(ISNUMBER(parametros!$C$2)),"Fora dos ciclos",IF(OR(B2184&lt;parametros!$C$2,(YEAR(B2184)-YEAR(parametros!$C$2))*12+MONTH(B2184)-MONTH(parametros!$C$2)&gt;59),"Fora dos ciclos","C"&amp;INT(((YEAR(B2184)-YEAR(parametros!$C$2))*12+MONTH(B2184)-MONTH(parametros!$C$2))/12)))))</f>
        <v/>
      </c>
      <c r="D2184" s="394"/>
      <c r="E2184" s="78" t="str">
        <f>IF(C2184="","",IFERROR(VLOOKUP(C2184,parametros!$A$11:$E$15,5,0),""))</f>
        <v/>
      </c>
      <c r="F2184" s="79" t="str">
        <f t="shared" si="172"/>
        <v/>
      </c>
      <c r="G2184" s="395"/>
      <c r="H2184" s="91">
        <f t="shared" si="173"/>
        <v>0</v>
      </c>
      <c r="I2184" s="91" t="str">
        <f t="shared" si="174"/>
        <v/>
      </c>
      <c r="J2184" s="91" t="str">
        <f t="shared" si="175"/>
        <v/>
      </c>
      <c r="K2184" s="92" t="str">
        <f>IF(AND(A2184="",B2184="",D2184="",G2184=""),"",IF(AND(A2184&lt;&gt;"",COUNTIF($A$2:$A$5001,A2184)&gt;1),"NUMERO_PC duplicado",IF(B2184="","DATA_PC vazia",IF(NOT(ISNUMBER(B2184)),"DATA_PC invalida",IF(OR(C2184="",C2184="Fora dos ciclos"),"CICLO_PC nao identificado",IF(OR(D2184="",D2184=0),"VALOR_PC vazio ou zero",IF(AND(G2184&lt;&gt;"Sim",G2184&lt;&gt;"Nao",G2184&lt;&gt;""),"PC_PAGO_A_CONTRATADA invalido",IF(AND(C2184&lt;&gt;"C0",IFERROR(INDEX(parametros!$A$2:$A$6,MATCH(C2184,parametros!$B$2:$B$6,0)),"")="Sim",IFERROR(INDEX(parametros!$H$2:$H$6,MATCH(C2184,parametros!$B$2:$B$6,0)),"")=""),"INICIO_EFEITO ausente: PC "&amp;A2184&amp;" - "&amp;C2184,IF(L2184="","EFEITO_PC nao calculado: PC "&amp;A2184&amp;" - "&amp;C2184,"OK")))))))))</f>
        <v/>
      </c>
      <c r="L2184" s="92" t="str">
        <f>IF(AND(A2184="",B2184="",D2184="",G2184=""),"",IF(OR(B2184="",NOT(ISNUMBER(B2184)),C2184="",C2184="Fora dos ciclos"),"",IF(C2184="C0","Nao",IF(IFERROR(INDEX(parametros!$A$2:$A$6,MATCH(C2184,parametros!$B$2:$B$6,0)),"")&lt;&gt;"Sim","Nao",IF(IFERROR(INDEX(parametros!$H$2:$H$6,MATCH(C2184,parametros!$B$2:$B$6,0)),"")="","",IF(B2184&gt;=IFERROR(INDEX(parametros!$H$2:$H$6,MATCH(C2184,parametros!$B$2:$B$6,0)),""),"Sim","Nao"))))))</f>
        <v/>
      </c>
      <c r="T2184" s="156"/>
      <c r="U2184" s="214" t="str">
        <f t="shared" si="176"/>
        <v/>
      </c>
      <c r="V2184" s="212" t="s">
        <v>50</v>
      </c>
      <c r="W2184" s="100" t="s">
        <v>168</v>
      </c>
      <c r="X2184" s="100" t="s">
        <v>169</v>
      </c>
      <c r="Y2184" s="101" t="s">
        <v>170</v>
      </c>
      <c r="Z2184" s="101" t="s">
        <v>171</v>
      </c>
      <c r="AA2184" s="101" t="s">
        <v>50</v>
      </c>
      <c r="AB2184" s="101" t="s">
        <v>172</v>
      </c>
      <c r="AC2184" s="102" t="s">
        <v>173</v>
      </c>
    </row>
    <row r="2185" spans="1:29" ht="25.5" customHeight="1" x14ac:dyDescent="0.35">
      <c r="A2185" s="392"/>
      <c r="B2185" s="393"/>
      <c r="C2185" s="99" t="str">
        <f>IF(B2185="","",IF(NOT(ISNUMBER(B2185)),"DATA_PC invalida",IF(NOT(ISNUMBER(parametros!$C$2)),"Fora dos ciclos",IF(OR(B2185&lt;parametros!$C$2,(YEAR(B2185)-YEAR(parametros!$C$2))*12+MONTH(B2185)-MONTH(parametros!$C$2)&gt;59),"Fora dos ciclos","C"&amp;INT(((YEAR(B2185)-YEAR(parametros!$C$2))*12+MONTH(B2185)-MONTH(parametros!$C$2))/12)))))</f>
        <v/>
      </c>
      <c r="D2185" s="394"/>
      <c r="E2185" s="78" t="str">
        <f>IF(C2185="","",IFERROR(VLOOKUP(C2185,parametros!$A$11:$E$15,5,0),""))</f>
        <v/>
      </c>
      <c r="F2185" s="79" t="str">
        <f t="shared" si="172"/>
        <v/>
      </c>
      <c r="G2185" s="395"/>
      <c r="H2185" s="91">
        <f t="shared" si="173"/>
        <v>0</v>
      </c>
      <c r="I2185" s="91" t="str">
        <f t="shared" si="174"/>
        <v/>
      </c>
      <c r="J2185" s="91" t="str">
        <f t="shared" si="175"/>
        <v/>
      </c>
      <c r="K2185" s="92" t="str">
        <f>IF(AND(A2185="",B2185="",D2185="",G2185=""),"",IF(AND(A2185&lt;&gt;"",COUNTIF($A$2:$A$5001,A2185)&gt;1),"NUMERO_PC duplicado",IF(B2185="","DATA_PC vazia",IF(NOT(ISNUMBER(B2185)),"DATA_PC invalida",IF(OR(C2185="",C2185="Fora dos ciclos"),"CICLO_PC nao identificado",IF(OR(D2185="",D2185=0),"VALOR_PC vazio ou zero",IF(AND(G2185&lt;&gt;"Sim",G2185&lt;&gt;"Nao",G2185&lt;&gt;""),"PC_PAGO_A_CONTRATADA invalido",IF(AND(C2185&lt;&gt;"C0",IFERROR(INDEX(parametros!$A$2:$A$6,MATCH(C2185,parametros!$B$2:$B$6,0)),"")="Sim",IFERROR(INDEX(parametros!$H$2:$H$6,MATCH(C2185,parametros!$B$2:$B$6,0)),"")=""),"INICIO_EFEITO ausente: PC "&amp;A2185&amp;" - "&amp;C2185,IF(L2185="","EFEITO_PC nao calculado: PC "&amp;A2185&amp;" - "&amp;C2185,"OK")))))))))</f>
        <v/>
      </c>
      <c r="L2185" s="92" t="str">
        <f>IF(AND(A2185="",B2185="",D2185="",G2185=""),"",IF(OR(B2185="",NOT(ISNUMBER(B2185)),C2185="",C2185="Fora dos ciclos"),"",IF(C2185="C0","Nao",IF(IFERROR(INDEX(parametros!$A$2:$A$6,MATCH(C2185,parametros!$B$2:$B$6,0)),"")&lt;&gt;"Sim","Nao",IF(IFERROR(INDEX(parametros!$H$2:$H$6,MATCH(C2185,parametros!$B$2:$B$6,0)),"")="","",IF(B2185&gt;=IFERROR(INDEX(parametros!$H$2:$H$6,MATCH(C2185,parametros!$B$2:$B$6,0)),""),"Sim","Nao"))))))</f>
        <v/>
      </c>
      <c r="T2185" s="156"/>
      <c r="U2185" s="214" t="str">
        <f t="shared" si="176"/>
        <v/>
      </c>
      <c r="V2185" s="212" t="s">
        <v>50</v>
      </c>
      <c r="W2185" s="100" t="s">
        <v>168</v>
      </c>
      <c r="X2185" s="100" t="s">
        <v>169</v>
      </c>
      <c r="Y2185" s="101" t="s">
        <v>170</v>
      </c>
      <c r="Z2185" s="101" t="s">
        <v>171</v>
      </c>
      <c r="AA2185" s="101" t="s">
        <v>50</v>
      </c>
      <c r="AB2185" s="101" t="s">
        <v>172</v>
      </c>
      <c r="AC2185" s="102" t="s">
        <v>173</v>
      </c>
    </row>
    <row r="2186" spans="1:29" ht="25.5" customHeight="1" x14ac:dyDescent="0.35">
      <c r="A2186" s="392"/>
      <c r="B2186" s="393"/>
      <c r="C2186" s="99" t="str">
        <f>IF(B2186="","",IF(NOT(ISNUMBER(B2186)),"DATA_PC invalida",IF(NOT(ISNUMBER(parametros!$C$2)),"Fora dos ciclos",IF(OR(B2186&lt;parametros!$C$2,(YEAR(B2186)-YEAR(parametros!$C$2))*12+MONTH(B2186)-MONTH(parametros!$C$2)&gt;59),"Fora dos ciclos","C"&amp;INT(((YEAR(B2186)-YEAR(parametros!$C$2))*12+MONTH(B2186)-MONTH(parametros!$C$2))/12)))))</f>
        <v/>
      </c>
      <c r="D2186" s="394"/>
      <c r="E2186" s="78" t="str">
        <f>IF(C2186="","",IFERROR(VLOOKUP(C2186,parametros!$A$11:$E$15,5,0),""))</f>
        <v/>
      </c>
      <c r="F2186" s="79" t="str">
        <f t="shared" si="172"/>
        <v/>
      </c>
      <c r="G2186" s="395"/>
      <c r="H2186" s="91">
        <f t="shared" si="173"/>
        <v>0</v>
      </c>
      <c r="I2186" s="91" t="str">
        <f t="shared" si="174"/>
        <v/>
      </c>
      <c r="J2186" s="91" t="str">
        <f t="shared" si="175"/>
        <v/>
      </c>
      <c r="K2186" s="92" t="str">
        <f>IF(AND(A2186="",B2186="",D2186="",G2186=""),"",IF(AND(A2186&lt;&gt;"",COUNTIF($A$2:$A$5001,A2186)&gt;1),"NUMERO_PC duplicado",IF(B2186="","DATA_PC vazia",IF(NOT(ISNUMBER(B2186)),"DATA_PC invalida",IF(OR(C2186="",C2186="Fora dos ciclos"),"CICLO_PC nao identificado",IF(OR(D2186="",D2186=0),"VALOR_PC vazio ou zero",IF(AND(G2186&lt;&gt;"Sim",G2186&lt;&gt;"Nao",G2186&lt;&gt;""),"PC_PAGO_A_CONTRATADA invalido",IF(AND(C2186&lt;&gt;"C0",IFERROR(INDEX(parametros!$A$2:$A$6,MATCH(C2186,parametros!$B$2:$B$6,0)),"")="Sim",IFERROR(INDEX(parametros!$H$2:$H$6,MATCH(C2186,parametros!$B$2:$B$6,0)),"")=""),"INICIO_EFEITO ausente: PC "&amp;A2186&amp;" - "&amp;C2186,IF(L2186="","EFEITO_PC nao calculado: PC "&amp;A2186&amp;" - "&amp;C2186,"OK")))))))))</f>
        <v/>
      </c>
      <c r="L2186" s="92" t="str">
        <f>IF(AND(A2186="",B2186="",D2186="",G2186=""),"",IF(OR(B2186="",NOT(ISNUMBER(B2186)),C2186="",C2186="Fora dos ciclos"),"",IF(C2186="C0","Nao",IF(IFERROR(INDEX(parametros!$A$2:$A$6,MATCH(C2186,parametros!$B$2:$B$6,0)),"")&lt;&gt;"Sim","Nao",IF(IFERROR(INDEX(parametros!$H$2:$H$6,MATCH(C2186,parametros!$B$2:$B$6,0)),"")="","",IF(B2186&gt;=IFERROR(INDEX(parametros!$H$2:$H$6,MATCH(C2186,parametros!$B$2:$B$6,0)),""),"Sim","Nao"))))))</f>
        <v/>
      </c>
      <c r="T2186" s="156"/>
      <c r="U2186" s="214" t="str">
        <f t="shared" si="176"/>
        <v/>
      </c>
      <c r="V2186" s="212" t="s">
        <v>50</v>
      </c>
      <c r="W2186" s="100" t="s">
        <v>168</v>
      </c>
      <c r="X2186" s="100" t="s">
        <v>169</v>
      </c>
      <c r="Y2186" s="101" t="s">
        <v>170</v>
      </c>
      <c r="Z2186" s="101" t="s">
        <v>171</v>
      </c>
      <c r="AA2186" s="101" t="s">
        <v>50</v>
      </c>
      <c r="AB2186" s="101" t="s">
        <v>172</v>
      </c>
      <c r="AC2186" s="102" t="s">
        <v>173</v>
      </c>
    </row>
    <row r="2187" spans="1:29" ht="25.5" customHeight="1" x14ac:dyDescent="0.35">
      <c r="A2187" s="392"/>
      <c r="B2187" s="393"/>
      <c r="C2187" s="99" t="str">
        <f>IF(B2187="","",IF(NOT(ISNUMBER(B2187)),"DATA_PC invalida",IF(NOT(ISNUMBER(parametros!$C$2)),"Fora dos ciclos",IF(OR(B2187&lt;parametros!$C$2,(YEAR(B2187)-YEAR(parametros!$C$2))*12+MONTH(B2187)-MONTH(parametros!$C$2)&gt;59),"Fora dos ciclos","C"&amp;INT(((YEAR(B2187)-YEAR(parametros!$C$2))*12+MONTH(B2187)-MONTH(parametros!$C$2))/12)))))</f>
        <v/>
      </c>
      <c r="D2187" s="394"/>
      <c r="E2187" s="78" t="str">
        <f>IF(C2187="","",IFERROR(VLOOKUP(C2187,parametros!$A$11:$E$15,5,0),""))</f>
        <v/>
      </c>
      <c r="F2187" s="79" t="str">
        <f t="shared" si="172"/>
        <v/>
      </c>
      <c r="G2187" s="395"/>
      <c r="H2187" s="91">
        <f t="shared" si="173"/>
        <v>0</v>
      </c>
      <c r="I2187" s="91" t="str">
        <f t="shared" si="174"/>
        <v/>
      </c>
      <c r="J2187" s="91" t="str">
        <f t="shared" si="175"/>
        <v/>
      </c>
      <c r="K2187" s="92" t="str">
        <f>IF(AND(A2187="",B2187="",D2187="",G2187=""),"",IF(AND(A2187&lt;&gt;"",COUNTIF($A$2:$A$5001,A2187)&gt;1),"NUMERO_PC duplicado",IF(B2187="","DATA_PC vazia",IF(NOT(ISNUMBER(B2187)),"DATA_PC invalida",IF(OR(C2187="",C2187="Fora dos ciclos"),"CICLO_PC nao identificado",IF(OR(D2187="",D2187=0),"VALOR_PC vazio ou zero",IF(AND(G2187&lt;&gt;"Sim",G2187&lt;&gt;"Nao",G2187&lt;&gt;""),"PC_PAGO_A_CONTRATADA invalido",IF(AND(C2187&lt;&gt;"C0",IFERROR(INDEX(parametros!$A$2:$A$6,MATCH(C2187,parametros!$B$2:$B$6,0)),"")="Sim",IFERROR(INDEX(parametros!$H$2:$H$6,MATCH(C2187,parametros!$B$2:$B$6,0)),"")=""),"INICIO_EFEITO ausente: PC "&amp;A2187&amp;" - "&amp;C2187,IF(L2187="","EFEITO_PC nao calculado: PC "&amp;A2187&amp;" - "&amp;C2187,"OK")))))))))</f>
        <v/>
      </c>
      <c r="L2187" s="92" t="str">
        <f>IF(AND(A2187="",B2187="",D2187="",G2187=""),"",IF(OR(B2187="",NOT(ISNUMBER(B2187)),C2187="",C2187="Fora dos ciclos"),"",IF(C2187="C0","Nao",IF(IFERROR(INDEX(parametros!$A$2:$A$6,MATCH(C2187,parametros!$B$2:$B$6,0)),"")&lt;&gt;"Sim","Nao",IF(IFERROR(INDEX(parametros!$H$2:$H$6,MATCH(C2187,parametros!$B$2:$B$6,0)),"")="","",IF(B2187&gt;=IFERROR(INDEX(parametros!$H$2:$H$6,MATCH(C2187,parametros!$B$2:$B$6,0)),""),"Sim","Nao"))))))</f>
        <v/>
      </c>
      <c r="T2187" s="156"/>
      <c r="U2187" s="214" t="str">
        <f t="shared" si="176"/>
        <v/>
      </c>
      <c r="V2187" s="212" t="s">
        <v>50</v>
      </c>
      <c r="W2187" s="100" t="s">
        <v>168</v>
      </c>
      <c r="X2187" s="100" t="s">
        <v>169</v>
      </c>
      <c r="Y2187" s="101" t="s">
        <v>170</v>
      </c>
      <c r="Z2187" s="101" t="s">
        <v>171</v>
      </c>
      <c r="AA2187" s="101" t="s">
        <v>50</v>
      </c>
      <c r="AB2187" s="101" t="s">
        <v>172</v>
      </c>
      <c r="AC2187" s="102" t="s">
        <v>173</v>
      </c>
    </row>
    <row r="2188" spans="1:29" ht="25.5" customHeight="1" x14ac:dyDescent="0.35">
      <c r="A2188" s="392"/>
      <c r="B2188" s="393"/>
      <c r="C2188" s="99" t="str">
        <f>IF(B2188="","",IF(NOT(ISNUMBER(B2188)),"DATA_PC invalida",IF(NOT(ISNUMBER(parametros!$C$2)),"Fora dos ciclos",IF(OR(B2188&lt;parametros!$C$2,(YEAR(B2188)-YEAR(parametros!$C$2))*12+MONTH(B2188)-MONTH(parametros!$C$2)&gt;59),"Fora dos ciclos","C"&amp;INT(((YEAR(B2188)-YEAR(parametros!$C$2))*12+MONTH(B2188)-MONTH(parametros!$C$2))/12)))))</f>
        <v/>
      </c>
      <c r="D2188" s="394"/>
      <c r="E2188" s="78" t="str">
        <f>IF(C2188="","",IFERROR(VLOOKUP(C2188,parametros!$A$11:$E$15,5,0),""))</f>
        <v/>
      </c>
      <c r="F2188" s="79" t="str">
        <f t="shared" si="172"/>
        <v/>
      </c>
      <c r="G2188" s="395"/>
      <c r="H2188" s="91">
        <f t="shared" si="173"/>
        <v>0</v>
      </c>
      <c r="I2188" s="91" t="str">
        <f t="shared" si="174"/>
        <v/>
      </c>
      <c r="J2188" s="91" t="str">
        <f t="shared" si="175"/>
        <v/>
      </c>
      <c r="K2188" s="92" t="str">
        <f>IF(AND(A2188="",B2188="",D2188="",G2188=""),"",IF(AND(A2188&lt;&gt;"",COUNTIF($A$2:$A$5001,A2188)&gt;1),"NUMERO_PC duplicado",IF(B2188="","DATA_PC vazia",IF(NOT(ISNUMBER(B2188)),"DATA_PC invalida",IF(OR(C2188="",C2188="Fora dos ciclos"),"CICLO_PC nao identificado",IF(OR(D2188="",D2188=0),"VALOR_PC vazio ou zero",IF(AND(G2188&lt;&gt;"Sim",G2188&lt;&gt;"Nao",G2188&lt;&gt;""),"PC_PAGO_A_CONTRATADA invalido",IF(AND(C2188&lt;&gt;"C0",IFERROR(INDEX(parametros!$A$2:$A$6,MATCH(C2188,parametros!$B$2:$B$6,0)),"")="Sim",IFERROR(INDEX(parametros!$H$2:$H$6,MATCH(C2188,parametros!$B$2:$B$6,0)),"")=""),"INICIO_EFEITO ausente: PC "&amp;A2188&amp;" - "&amp;C2188,IF(L2188="","EFEITO_PC nao calculado: PC "&amp;A2188&amp;" - "&amp;C2188,"OK")))))))))</f>
        <v/>
      </c>
      <c r="L2188" s="92" t="str">
        <f>IF(AND(A2188="",B2188="",D2188="",G2188=""),"",IF(OR(B2188="",NOT(ISNUMBER(B2188)),C2188="",C2188="Fora dos ciclos"),"",IF(C2188="C0","Nao",IF(IFERROR(INDEX(parametros!$A$2:$A$6,MATCH(C2188,parametros!$B$2:$B$6,0)),"")&lt;&gt;"Sim","Nao",IF(IFERROR(INDEX(parametros!$H$2:$H$6,MATCH(C2188,parametros!$B$2:$B$6,0)),"")="","",IF(B2188&gt;=IFERROR(INDEX(parametros!$H$2:$H$6,MATCH(C2188,parametros!$B$2:$B$6,0)),""),"Sim","Nao"))))))</f>
        <v/>
      </c>
      <c r="T2188" s="156"/>
      <c r="U2188" s="214" t="str">
        <f t="shared" si="176"/>
        <v/>
      </c>
      <c r="V2188" s="212" t="s">
        <v>50</v>
      </c>
      <c r="W2188" s="100" t="s">
        <v>168</v>
      </c>
      <c r="X2188" s="100" t="s">
        <v>169</v>
      </c>
      <c r="Y2188" s="101" t="s">
        <v>170</v>
      </c>
      <c r="Z2188" s="101" t="s">
        <v>171</v>
      </c>
      <c r="AA2188" s="101" t="s">
        <v>50</v>
      </c>
      <c r="AB2188" s="101" t="s">
        <v>172</v>
      </c>
      <c r="AC2188" s="102" t="s">
        <v>173</v>
      </c>
    </row>
    <row r="2189" spans="1:29" ht="25.5" customHeight="1" x14ac:dyDescent="0.35">
      <c r="A2189" s="392"/>
      <c r="B2189" s="393"/>
      <c r="C2189" s="99" t="str">
        <f>IF(B2189="","",IF(NOT(ISNUMBER(B2189)),"DATA_PC invalida",IF(NOT(ISNUMBER(parametros!$C$2)),"Fora dos ciclos",IF(OR(B2189&lt;parametros!$C$2,(YEAR(B2189)-YEAR(parametros!$C$2))*12+MONTH(B2189)-MONTH(parametros!$C$2)&gt;59),"Fora dos ciclos","C"&amp;INT(((YEAR(B2189)-YEAR(parametros!$C$2))*12+MONTH(B2189)-MONTH(parametros!$C$2))/12)))))</f>
        <v/>
      </c>
      <c r="D2189" s="394"/>
      <c r="E2189" s="78" t="str">
        <f>IF(C2189="","",IFERROR(VLOOKUP(C2189,parametros!$A$11:$E$15,5,0),""))</f>
        <v/>
      </c>
      <c r="F2189" s="79" t="str">
        <f t="shared" si="172"/>
        <v/>
      </c>
      <c r="G2189" s="395"/>
      <c r="H2189" s="91">
        <f t="shared" si="173"/>
        <v>0</v>
      </c>
      <c r="I2189" s="91" t="str">
        <f t="shared" si="174"/>
        <v/>
      </c>
      <c r="J2189" s="91" t="str">
        <f t="shared" si="175"/>
        <v/>
      </c>
      <c r="K2189" s="92" t="str">
        <f>IF(AND(A2189="",B2189="",D2189="",G2189=""),"",IF(AND(A2189&lt;&gt;"",COUNTIF($A$2:$A$5001,A2189)&gt;1),"NUMERO_PC duplicado",IF(B2189="","DATA_PC vazia",IF(NOT(ISNUMBER(B2189)),"DATA_PC invalida",IF(OR(C2189="",C2189="Fora dos ciclos"),"CICLO_PC nao identificado",IF(OR(D2189="",D2189=0),"VALOR_PC vazio ou zero",IF(AND(G2189&lt;&gt;"Sim",G2189&lt;&gt;"Nao",G2189&lt;&gt;""),"PC_PAGO_A_CONTRATADA invalido",IF(AND(C2189&lt;&gt;"C0",IFERROR(INDEX(parametros!$A$2:$A$6,MATCH(C2189,parametros!$B$2:$B$6,0)),"")="Sim",IFERROR(INDEX(parametros!$H$2:$H$6,MATCH(C2189,parametros!$B$2:$B$6,0)),"")=""),"INICIO_EFEITO ausente: PC "&amp;A2189&amp;" - "&amp;C2189,IF(L2189="","EFEITO_PC nao calculado: PC "&amp;A2189&amp;" - "&amp;C2189,"OK")))))))))</f>
        <v/>
      </c>
      <c r="L2189" s="92" t="str">
        <f>IF(AND(A2189="",B2189="",D2189="",G2189=""),"",IF(OR(B2189="",NOT(ISNUMBER(B2189)),C2189="",C2189="Fora dos ciclos"),"",IF(C2189="C0","Nao",IF(IFERROR(INDEX(parametros!$A$2:$A$6,MATCH(C2189,parametros!$B$2:$B$6,0)),"")&lt;&gt;"Sim","Nao",IF(IFERROR(INDEX(parametros!$H$2:$H$6,MATCH(C2189,parametros!$B$2:$B$6,0)),"")="","",IF(B2189&gt;=IFERROR(INDEX(parametros!$H$2:$H$6,MATCH(C2189,parametros!$B$2:$B$6,0)),""),"Sim","Nao"))))))</f>
        <v/>
      </c>
      <c r="T2189" s="156"/>
      <c r="U2189" s="214" t="str">
        <f t="shared" si="176"/>
        <v/>
      </c>
      <c r="V2189" s="212" t="s">
        <v>50</v>
      </c>
      <c r="W2189" s="100" t="s">
        <v>168</v>
      </c>
      <c r="X2189" s="100" t="s">
        <v>169</v>
      </c>
      <c r="Y2189" s="101" t="s">
        <v>170</v>
      </c>
      <c r="Z2189" s="101" t="s">
        <v>171</v>
      </c>
      <c r="AA2189" s="101" t="s">
        <v>50</v>
      </c>
      <c r="AB2189" s="101" t="s">
        <v>172</v>
      </c>
      <c r="AC2189" s="102" t="s">
        <v>173</v>
      </c>
    </row>
    <row r="2190" spans="1:29" ht="25.5" customHeight="1" x14ac:dyDescent="0.35">
      <c r="A2190" s="392"/>
      <c r="B2190" s="393"/>
      <c r="C2190" s="99" t="str">
        <f>IF(B2190="","",IF(NOT(ISNUMBER(B2190)),"DATA_PC invalida",IF(NOT(ISNUMBER(parametros!$C$2)),"Fora dos ciclos",IF(OR(B2190&lt;parametros!$C$2,(YEAR(B2190)-YEAR(parametros!$C$2))*12+MONTH(B2190)-MONTH(parametros!$C$2)&gt;59),"Fora dos ciclos","C"&amp;INT(((YEAR(B2190)-YEAR(parametros!$C$2))*12+MONTH(B2190)-MONTH(parametros!$C$2))/12)))))</f>
        <v/>
      </c>
      <c r="D2190" s="394"/>
      <c r="E2190" s="78" t="str">
        <f>IF(C2190="","",IFERROR(VLOOKUP(C2190,parametros!$A$11:$E$15,5,0),""))</f>
        <v/>
      </c>
      <c r="F2190" s="79" t="str">
        <f t="shared" si="172"/>
        <v/>
      </c>
      <c r="G2190" s="395"/>
      <c r="H2190" s="91">
        <f t="shared" si="173"/>
        <v>0</v>
      </c>
      <c r="I2190" s="91" t="str">
        <f t="shared" si="174"/>
        <v/>
      </c>
      <c r="J2190" s="91" t="str">
        <f t="shared" si="175"/>
        <v/>
      </c>
      <c r="K2190" s="92" t="str">
        <f>IF(AND(A2190="",B2190="",D2190="",G2190=""),"",IF(AND(A2190&lt;&gt;"",COUNTIF($A$2:$A$5001,A2190)&gt;1),"NUMERO_PC duplicado",IF(B2190="","DATA_PC vazia",IF(NOT(ISNUMBER(B2190)),"DATA_PC invalida",IF(OR(C2190="",C2190="Fora dos ciclos"),"CICLO_PC nao identificado",IF(OR(D2190="",D2190=0),"VALOR_PC vazio ou zero",IF(AND(G2190&lt;&gt;"Sim",G2190&lt;&gt;"Nao",G2190&lt;&gt;""),"PC_PAGO_A_CONTRATADA invalido",IF(AND(C2190&lt;&gt;"C0",IFERROR(INDEX(parametros!$A$2:$A$6,MATCH(C2190,parametros!$B$2:$B$6,0)),"")="Sim",IFERROR(INDEX(parametros!$H$2:$H$6,MATCH(C2190,parametros!$B$2:$B$6,0)),"")=""),"INICIO_EFEITO ausente: PC "&amp;A2190&amp;" - "&amp;C2190,IF(L2190="","EFEITO_PC nao calculado: PC "&amp;A2190&amp;" - "&amp;C2190,"OK")))))))))</f>
        <v/>
      </c>
      <c r="L2190" s="92" t="str">
        <f>IF(AND(A2190="",B2190="",D2190="",G2190=""),"",IF(OR(B2190="",NOT(ISNUMBER(B2190)),C2190="",C2190="Fora dos ciclos"),"",IF(C2190="C0","Nao",IF(IFERROR(INDEX(parametros!$A$2:$A$6,MATCH(C2190,parametros!$B$2:$B$6,0)),"")&lt;&gt;"Sim","Nao",IF(IFERROR(INDEX(parametros!$H$2:$H$6,MATCH(C2190,parametros!$B$2:$B$6,0)),"")="","",IF(B2190&gt;=IFERROR(INDEX(parametros!$H$2:$H$6,MATCH(C2190,parametros!$B$2:$B$6,0)),""),"Sim","Nao"))))))</f>
        <v/>
      </c>
      <c r="T2190" s="156"/>
      <c r="U2190" s="214" t="str">
        <f t="shared" si="176"/>
        <v/>
      </c>
      <c r="V2190" s="212" t="s">
        <v>50</v>
      </c>
      <c r="W2190" s="100" t="s">
        <v>168</v>
      </c>
      <c r="X2190" s="100" t="s">
        <v>169</v>
      </c>
      <c r="Y2190" s="101" t="s">
        <v>170</v>
      </c>
      <c r="Z2190" s="101" t="s">
        <v>171</v>
      </c>
      <c r="AA2190" s="101" t="s">
        <v>50</v>
      </c>
      <c r="AB2190" s="101" t="s">
        <v>172</v>
      </c>
      <c r="AC2190" s="102" t="s">
        <v>173</v>
      </c>
    </row>
    <row r="2191" spans="1:29" ht="25.5" customHeight="1" x14ac:dyDescent="0.35">
      <c r="A2191" s="392"/>
      <c r="B2191" s="393"/>
      <c r="C2191" s="99" t="str">
        <f>IF(B2191="","",IF(NOT(ISNUMBER(B2191)),"DATA_PC invalida",IF(NOT(ISNUMBER(parametros!$C$2)),"Fora dos ciclos",IF(OR(B2191&lt;parametros!$C$2,(YEAR(B2191)-YEAR(parametros!$C$2))*12+MONTH(B2191)-MONTH(parametros!$C$2)&gt;59),"Fora dos ciclos","C"&amp;INT(((YEAR(B2191)-YEAR(parametros!$C$2))*12+MONTH(B2191)-MONTH(parametros!$C$2))/12)))))</f>
        <v/>
      </c>
      <c r="D2191" s="394"/>
      <c r="E2191" s="78" t="str">
        <f>IF(C2191="","",IFERROR(VLOOKUP(C2191,parametros!$A$11:$E$15,5,0),""))</f>
        <v/>
      </c>
      <c r="F2191" s="79" t="str">
        <f t="shared" si="172"/>
        <v/>
      </c>
      <c r="G2191" s="395"/>
      <c r="H2191" s="91">
        <f t="shared" si="173"/>
        <v>0</v>
      </c>
      <c r="I2191" s="91" t="str">
        <f t="shared" si="174"/>
        <v/>
      </c>
      <c r="J2191" s="91" t="str">
        <f t="shared" si="175"/>
        <v/>
      </c>
      <c r="K2191" s="92" t="str">
        <f>IF(AND(A2191="",B2191="",D2191="",G2191=""),"",IF(AND(A2191&lt;&gt;"",COUNTIF($A$2:$A$5001,A2191)&gt;1),"NUMERO_PC duplicado",IF(B2191="","DATA_PC vazia",IF(NOT(ISNUMBER(B2191)),"DATA_PC invalida",IF(OR(C2191="",C2191="Fora dos ciclos"),"CICLO_PC nao identificado",IF(OR(D2191="",D2191=0),"VALOR_PC vazio ou zero",IF(AND(G2191&lt;&gt;"Sim",G2191&lt;&gt;"Nao",G2191&lt;&gt;""),"PC_PAGO_A_CONTRATADA invalido",IF(AND(C2191&lt;&gt;"C0",IFERROR(INDEX(parametros!$A$2:$A$6,MATCH(C2191,parametros!$B$2:$B$6,0)),"")="Sim",IFERROR(INDEX(parametros!$H$2:$H$6,MATCH(C2191,parametros!$B$2:$B$6,0)),"")=""),"INICIO_EFEITO ausente: PC "&amp;A2191&amp;" - "&amp;C2191,IF(L2191="","EFEITO_PC nao calculado: PC "&amp;A2191&amp;" - "&amp;C2191,"OK")))))))))</f>
        <v/>
      </c>
      <c r="L2191" s="92" t="str">
        <f>IF(AND(A2191="",B2191="",D2191="",G2191=""),"",IF(OR(B2191="",NOT(ISNUMBER(B2191)),C2191="",C2191="Fora dos ciclos"),"",IF(C2191="C0","Nao",IF(IFERROR(INDEX(parametros!$A$2:$A$6,MATCH(C2191,parametros!$B$2:$B$6,0)),"")&lt;&gt;"Sim","Nao",IF(IFERROR(INDEX(parametros!$H$2:$H$6,MATCH(C2191,parametros!$B$2:$B$6,0)),"")="","",IF(B2191&gt;=IFERROR(INDEX(parametros!$H$2:$H$6,MATCH(C2191,parametros!$B$2:$B$6,0)),""),"Sim","Nao"))))))</f>
        <v/>
      </c>
      <c r="T2191" s="156"/>
      <c r="U2191" s="214" t="str">
        <f t="shared" si="176"/>
        <v/>
      </c>
      <c r="V2191" s="212" t="s">
        <v>50</v>
      </c>
      <c r="W2191" s="100" t="s">
        <v>168</v>
      </c>
      <c r="X2191" s="100" t="s">
        <v>169</v>
      </c>
      <c r="Y2191" s="101" t="s">
        <v>170</v>
      </c>
      <c r="Z2191" s="101" t="s">
        <v>171</v>
      </c>
      <c r="AA2191" s="101" t="s">
        <v>50</v>
      </c>
      <c r="AB2191" s="101" t="s">
        <v>172</v>
      </c>
      <c r="AC2191" s="102" t="s">
        <v>173</v>
      </c>
    </row>
    <row r="2192" spans="1:29" ht="25.5" customHeight="1" x14ac:dyDescent="0.35">
      <c r="A2192" s="392"/>
      <c r="B2192" s="393"/>
      <c r="C2192" s="99" t="str">
        <f>IF(B2192="","",IF(NOT(ISNUMBER(B2192)),"DATA_PC invalida",IF(NOT(ISNUMBER(parametros!$C$2)),"Fora dos ciclos",IF(OR(B2192&lt;parametros!$C$2,(YEAR(B2192)-YEAR(parametros!$C$2))*12+MONTH(B2192)-MONTH(parametros!$C$2)&gt;59),"Fora dos ciclos","C"&amp;INT(((YEAR(B2192)-YEAR(parametros!$C$2))*12+MONTH(B2192)-MONTH(parametros!$C$2))/12)))))</f>
        <v/>
      </c>
      <c r="D2192" s="394"/>
      <c r="E2192" s="78" t="str">
        <f>IF(C2192="","",IFERROR(VLOOKUP(C2192,parametros!$A$11:$E$15,5,0),""))</f>
        <v/>
      </c>
      <c r="F2192" s="79" t="str">
        <f t="shared" si="172"/>
        <v/>
      </c>
      <c r="G2192" s="395"/>
      <c r="H2192" s="91">
        <f t="shared" si="173"/>
        <v>0</v>
      </c>
      <c r="I2192" s="91" t="str">
        <f t="shared" si="174"/>
        <v/>
      </c>
      <c r="J2192" s="91" t="str">
        <f t="shared" si="175"/>
        <v/>
      </c>
      <c r="K2192" s="92" t="str">
        <f>IF(AND(A2192="",B2192="",D2192="",G2192=""),"",IF(AND(A2192&lt;&gt;"",COUNTIF($A$2:$A$5001,A2192)&gt;1),"NUMERO_PC duplicado",IF(B2192="","DATA_PC vazia",IF(NOT(ISNUMBER(B2192)),"DATA_PC invalida",IF(OR(C2192="",C2192="Fora dos ciclos"),"CICLO_PC nao identificado",IF(OR(D2192="",D2192=0),"VALOR_PC vazio ou zero",IF(AND(G2192&lt;&gt;"Sim",G2192&lt;&gt;"Nao",G2192&lt;&gt;""),"PC_PAGO_A_CONTRATADA invalido",IF(AND(C2192&lt;&gt;"C0",IFERROR(INDEX(parametros!$A$2:$A$6,MATCH(C2192,parametros!$B$2:$B$6,0)),"")="Sim",IFERROR(INDEX(parametros!$H$2:$H$6,MATCH(C2192,parametros!$B$2:$B$6,0)),"")=""),"INICIO_EFEITO ausente: PC "&amp;A2192&amp;" - "&amp;C2192,IF(L2192="","EFEITO_PC nao calculado: PC "&amp;A2192&amp;" - "&amp;C2192,"OK")))))))))</f>
        <v/>
      </c>
      <c r="L2192" s="92" t="str">
        <f>IF(AND(A2192="",B2192="",D2192="",G2192=""),"",IF(OR(B2192="",NOT(ISNUMBER(B2192)),C2192="",C2192="Fora dos ciclos"),"",IF(C2192="C0","Nao",IF(IFERROR(INDEX(parametros!$A$2:$A$6,MATCH(C2192,parametros!$B$2:$B$6,0)),"")&lt;&gt;"Sim","Nao",IF(IFERROR(INDEX(parametros!$H$2:$H$6,MATCH(C2192,parametros!$B$2:$B$6,0)),"")="","",IF(B2192&gt;=IFERROR(INDEX(parametros!$H$2:$H$6,MATCH(C2192,parametros!$B$2:$B$6,0)),""),"Sim","Nao"))))))</f>
        <v/>
      </c>
      <c r="T2192" s="156"/>
      <c r="U2192" s="214" t="str">
        <f t="shared" si="176"/>
        <v/>
      </c>
      <c r="V2192" s="212" t="s">
        <v>50</v>
      </c>
      <c r="W2192" s="100" t="s">
        <v>168</v>
      </c>
      <c r="X2192" s="100" t="s">
        <v>169</v>
      </c>
      <c r="Y2192" s="101" t="s">
        <v>170</v>
      </c>
      <c r="Z2192" s="101" t="s">
        <v>171</v>
      </c>
      <c r="AA2192" s="101" t="s">
        <v>50</v>
      </c>
      <c r="AB2192" s="101" t="s">
        <v>172</v>
      </c>
      <c r="AC2192" s="102" t="s">
        <v>173</v>
      </c>
    </row>
    <row r="2193" spans="1:29" ht="25.5" customHeight="1" x14ac:dyDescent="0.35">
      <c r="A2193" s="392"/>
      <c r="B2193" s="393"/>
      <c r="C2193" s="99" t="str">
        <f>IF(B2193="","",IF(NOT(ISNUMBER(B2193)),"DATA_PC invalida",IF(NOT(ISNUMBER(parametros!$C$2)),"Fora dos ciclos",IF(OR(B2193&lt;parametros!$C$2,(YEAR(B2193)-YEAR(parametros!$C$2))*12+MONTH(B2193)-MONTH(parametros!$C$2)&gt;59),"Fora dos ciclos","C"&amp;INT(((YEAR(B2193)-YEAR(parametros!$C$2))*12+MONTH(B2193)-MONTH(parametros!$C$2))/12)))))</f>
        <v/>
      </c>
      <c r="D2193" s="394"/>
      <c r="E2193" s="78" t="str">
        <f>IF(C2193="","",IFERROR(VLOOKUP(C2193,parametros!$A$11:$E$15,5,0),""))</f>
        <v/>
      </c>
      <c r="F2193" s="79" t="str">
        <f t="shared" si="172"/>
        <v/>
      </c>
      <c r="G2193" s="395"/>
      <c r="H2193" s="91">
        <f t="shared" si="173"/>
        <v>0</v>
      </c>
      <c r="I2193" s="91" t="str">
        <f t="shared" si="174"/>
        <v/>
      </c>
      <c r="J2193" s="91" t="str">
        <f t="shared" si="175"/>
        <v/>
      </c>
      <c r="K2193" s="92" t="str">
        <f>IF(AND(A2193="",B2193="",D2193="",G2193=""),"",IF(AND(A2193&lt;&gt;"",COUNTIF($A$2:$A$5001,A2193)&gt;1),"NUMERO_PC duplicado",IF(B2193="","DATA_PC vazia",IF(NOT(ISNUMBER(B2193)),"DATA_PC invalida",IF(OR(C2193="",C2193="Fora dos ciclos"),"CICLO_PC nao identificado",IF(OR(D2193="",D2193=0),"VALOR_PC vazio ou zero",IF(AND(G2193&lt;&gt;"Sim",G2193&lt;&gt;"Nao",G2193&lt;&gt;""),"PC_PAGO_A_CONTRATADA invalido",IF(AND(C2193&lt;&gt;"C0",IFERROR(INDEX(parametros!$A$2:$A$6,MATCH(C2193,parametros!$B$2:$B$6,0)),"")="Sim",IFERROR(INDEX(parametros!$H$2:$H$6,MATCH(C2193,parametros!$B$2:$B$6,0)),"")=""),"INICIO_EFEITO ausente: PC "&amp;A2193&amp;" - "&amp;C2193,IF(L2193="","EFEITO_PC nao calculado: PC "&amp;A2193&amp;" - "&amp;C2193,"OK")))))))))</f>
        <v/>
      </c>
      <c r="L2193" s="92" t="str">
        <f>IF(AND(A2193="",B2193="",D2193="",G2193=""),"",IF(OR(B2193="",NOT(ISNUMBER(B2193)),C2193="",C2193="Fora dos ciclos"),"",IF(C2193="C0","Nao",IF(IFERROR(INDEX(parametros!$A$2:$A$6,MATCH(C2193,parametros!$B$2:$B$6,0)),"")&lt;&gt;"Sim","Nao",IF(IFERROR(INDEX(parametros!$H$2:$H$6,MATCH(C2193,parametros!$B$2:$B$6,0)),"")="","",IF(B2193&gt;=IFERROR(INDEX(parametros!$H$2:$H$6,MATCH(C2193,parametros!$B$2:$B$6,0)),""),"Sim","Nao"))))))</f>
        <v/>
      </c>
      <c r="T2193" s="156"/>
      <c r="U2193" s="214" t="str">
        <f t="shared" si="176"/>
        <v/>
      </c>
      <c r="V2193" s="212" t="s">
        <v>50</v>
      </c>
      <c r="W2193" s="100" t="s">
        <v>168</v>
      </c>
      <c r="X2193" s="100" t="s">
        <v>169</v>
      </c>
      <c r="Y2193" s="101" t="s">
        <v>170</v>
      </c>
      <c r="Z2193" s="101" t="s">
        <v>171</v>
      </c>
      <c r="AA2193" s="101" t="s">
        <v>50</v>
      </c>
      <c r="AB2193" s="101" t="s">
        <v>172</v>
      </c>
      <c r="AC2193" s="102" t="s">
        <v>173</v>
      </c>
    </row>
    <row r="2194" spans="1:29" ht="25.5" customHeight="1" x14ac:dyDescent="0.35">
      <c r="A2194" s="392"/>
      <c r="B2194" s="393"/>
      <c r="C2194" s="99" t="str">
        <f>IF(B2194="","",IF(NOT(ISNUMBER(B2194)),"DATA_PC invalida",IF(NOT(ISNUMBER(parametros!$C$2)),"Fora dos ciclos",IF(OR(B2194&lt;parametros!$C$2,(YEAR(B2194)-YEAR(parametros!$C$2))*12+MONTH(B2194)-MONTH(parametros!$C$2)&gt;59),"Fora dos ciclos","C"&amp;INT(((YEAR(B2194)-YEAR(parametros!$C$2))*12+MONTH(B2194)-MONTH(parametros!$C$2))/12)))))</f>
        <v/>
      </c>
      <c r="D2194" s="394"/>
      <c r="E2194" s="78" t="str">
        <f>IF(C2194="","",IFERROR(VLOOKUP(C2194,parametros!$A$11:$E$15,5,0),""))</f>
        <v/>
      </c>
      <c r="F2194" s="79" t="str">
        <f t="shared" si="172"/>
        <v/>
      </c>
      <c r="G2194" s="395"/>
      <c r="H2194" s="91">
        <f t="shared" si="173"/>
        <v>0</v>
      </c>
      <c r="I2194" s="91" t="str">
        <f t="shared" si="174"/>
        <v/>
      </c>
      <c r="J2194" s="91" t="str">
        <f t="shared" si="175"/>
        <v/>
      </c>
      <c r="K2194" s="92" t="str">
        <f>IF(AND(A2194="",B2194="",D2194="",G2194=""),"",IF(AND(A2194&lt;&gt;"",COUNTIF($A$2:$A$5001,A2194)&gt;1),"NUMERO_PC duplicado",IF(B2194="","DATA_PC vazia",IF(NOT(ISNUMBER(B2194)),"DATA_PC invalida",IF(OR(C2194="",C2194="Fora dos ciclos"),"CICLO_PC nao identificado",IF(OR(D2194="",D2194=0),"VALOR_PC vazio ou zero",IF(AND(G2194&lt;&gt;"Sim",G2194&lt;&gt;"Nao",G2194&lt;&gt;""),"PC_PAGO_A_CONTRATADA invalido",IF(AND(C2194&lt;&gt;"C0",IFERROR(INDEX(parametros!$A$2:$A$6,MATCH(C2194,parametros!$B$2:$B$6,0)),"")="Sim",IFERROR(INDEX(parametros!$H$2:$H$6,MATCH(C2194,parametros!$B$2:$B$6,0)),"")=""),"INICIO_EFEITO ausente: PC "&amp;A2194&amp;" - "&amp;C2194,IF(L2194="","EFEITO_PC nao calculado: PC "&amp;A2194&amp;" - "&amp;C2194,"OK")))))))))</f>
        <v/>
      </c>
      <c r="L2194" s="92" t="str">
        <f>IF(AND(A2194="",B2194="",D2194="",G2194=""),"",IF(OR(B2194="",NOT(ISNUMBER(B2194)),C2194="",C2194="Fora dos ciclos"),"",IF(C2194="C0","Nao",IF(IFERROR(INDEX(parametros!$A$2:$A$6,MATCH(C2194,parametros!$B$2:$B$6,0)),"")&lt;&gt;"Sim","Nao",IF(IFERROR(INDEX(parametros!$H$2:$H$6,MATCH(C2194,parametros!$B$2:$B$6,0)),"")="","",IF(B2194&gt;=IFERROR(INDEX(parametros!$H$2:$H$6,MATCH(C2194,parametros!$B$2:$B$6,0)),""),"Sim","Nao"))))))</f>
        <v/>
      </c>
      <c r="T2194" s="156"/>
      <c r="U2194" s="214" t="str">
        <f t="shared" si="176"/>
        <v/>
      </c>
      <c r="V2194" s="212" t="s">
        <v>50</v>
      </c>
      <c r="W2194" s="100" t="s">
        <v>168</v>
      </c>
      <c r="X2194" s="100" t="s">
        <v>169</v>
      </c>
      <c r="Y2194" s="101" t="s">
        <v>170</v>
      </c>
      <c r="Z2194" s="101" t="s">
        <v>171</v>
      </c>
      <c r="AA2194" s="101" t="s">
        <v>50</v>
      </c>
      <c r="AB2194" s="101" t="s">
        <v>172</v>
      </c>
      <c r="AC2194" s="102" t="s">
        <v>173</v>
      </c>
    </row>
    <row r="2195" spans="1:29" ht="25.5" customHeight="1" x14ac:dyDescent="0.35">
      <c r="A2195" s="392"/>
      <c r="B2195" s="393"/>
      <c r="C2195" s="99" t="str">
        <f>IF(B2195="","",IF(NOT(ISNUMBER(B2195)),"DATA_PC invalida",IF(NOT(ISNUMBER(parametros!$C$2)),"Fora dos ciclos",IF(OR(B2195&lt;parametros!$C$2,(YEAR(B2195)-YEAR(parametros!$C$2))*12+MONTH(B2195)-MONTH(parametros!$C$2)&gt;59),"Fora dos ciclos","C"&amp;INT(((YEAR(B2195)-YEAR(parametros!$C$2))*12+MONTH(B2195)-MONTH(parametros!$C$2))/12)))))</f>
        <v/>
      </c>
      <c r="D2195" s="394"/>
      <c r="E2195" s="78" t="str">
        <f>IF(C2195="","",IFERROR(VLOOKUP(C2195,parametros!$A$11:$E$15,5,0),""))</f>
        <v/>
      </c>
      <c r="F2195" s="79" t="str">
        <f t="shared" si="172"/>
        <v/>
      </c>
      <c r="G2195" s="395"/>
      <c r="H2195" s="91">
        <f t="shared" si="173"/>
        <v>0</v>
      </c>
      <c r="I2195" s="91" t="str">
        <f t="shared" si="174"/>
        <v/>
      </c>
      <c r="J2195" s="91" t="str">
        <f t="shared" si="175"/>
        <v/>
      </c>
      <c r="K2195" s="92" t="str">
        <f>IF(AND(A2195="",B2195="",D2195="",G2195=""),"",IF(AND(A2195&lt;&gt;"",COUNTIF($A$2:$A$5001,A2195)&gt;1),"NUMERO_PC duplicado",IF(B2195="","DATA_PC vazia",IF(NOT(ISNUMBER(B2195)),"DATA_PC invalida",IF(OR(C2195="",C2195="Fora dos ciclos"),"CICLO_PC nao identificado",IF(OR(D2195="",D2195=0),"VALOR_PC vazio ou zero",IF(AND(G2195&lt;&gt;"Sim",G2195&lt;&gt;"Nao",G2195&lt;&gt;""),"PC_PAGO_A_CONTRATADA invalido",IF(AND(C2195&lt;&gt;"C0",IFERROR(INDEX(parametros!$A$2:$A$6,MATCH(C2195,parametros!$B$2:$B$6,0)),"")="Sim",IFERROR(INDEX(parametros!$H$2:$H$6,MATCH(C2195,parametros!$B$2:$B$6,0)),"")=""),"INICIO_EFEITO ausente: PC "&amp;A2195&amp;" - "&amp;C2195,IF(L2195="","EFEITO_PC nao calculado: PC "&amp;A2195&amp;" - "&amp;C2195,"OK")))))))))</f>
        <v/>
      </c>
      <c r="L2195" s="92" t="str">
        <f>IF(AND(A2195="",B2195="",D2195="",G2195=""),"",IF(OR(B2195="",NOT(ISNUMBER(B2195)),C2195="",C2195="Fora dos ciclos"),"",IF(C2195="C0","Nao",IF(IFERROR(INDEX(parametros!$A$2:$A$6,MATCH(C2195,parametros!$B$2:$B$6,0)),"")&lt;&gt;"Sim","Nao",IF(IFERROR(INDEX(parametros!$H$2:$H$6,MATCH(C2195,parametros!$B$2:$B$6,0)),"")="","",IF(B2195&gt;=IFERROR(INDEX(parametros!$H$2:$H$6,MATCH(C2195,parametros!$B$2:$B$6,0)),""),"Sim","Nao"))))))</f>
        <v/>
      </c>
      <c r="T2195" s="156"/>
      <c r="U2195" s="214" t="str">
        <f t="shared" si="176"/>
        <v/>
      </c>
      <c r="V2195" s="212" t="s">
        <v>50</v>
      </c>
      <c r="W2195" s="100" t="s">
        <v>168</v>
      </c>
      <c r="X2195" s="100" t="s">
        <v>169</v>
      </c>
      <c r="Y2195" s="101" t="s">
        <v>170</v>
      </c>
      <c r="Z2195" s="101" t="s">
        <v>171</v>
      </c>
      <c r="AA2195" s="101" t="s">
        <v>50</v>
      </c>
      <c r="AB2195" s="101" t="s">
        <v>172</v>
      </c>
      <c r="AC2195" s="102" t="s">
        <v>173</v>
      </c>
    </row>
    <row r="2196" spans="1:29" ht="25.5" customHeight="1" x14ac:dyDescent="0.35">
      <c r="A2196" s="392"/>
      <c r="B2196" s="393"/>
      <c r="C2196" s="99" t="str">
        <f>IF(B2196="","",IF(NOT(ISNUMBER(B2196)),"DATA_PC invalida",IF(NOT(ISNUMBER(parametros!$C$2)),"Fora dos ciclos",IF(OR(B2196&lt;parametros!$C$2,(YEAR(B2196)-YEAR(parametros!$C$2))*12+MONTH(B2196)-MONTH(parametros!$C$2)&gt;59),"Fora dos ciclos","C"&amp;INT(((YEAR(B2196)-YEAR(parametros!$C$2))*12+MONTH(B2196)-MONTH(parametros!$C$2))/12)))))</f>
        <v/>
      </c>
      <c r="D2196" s="394"/>
      <c r="E2196" s="78" t="str">
        <f>IF(C2196="","",IFERROR(VLOOKUP(C2196,parametros!$A$11:$E$15,5,0),""))</f>
        <v/>
      </c>
      <c r="F2196" s="79" t="str">
        <f t="shared" si="172"/>
        <v/>
      </c>
      <c r="G2196" s="395"/>
      <c r="H2196" s="91">
        <f t="shared" si="173"/>
        <v>0</v>
      </c>
      <c r="I2196" s="91" t="str">
        <f t="shared" si="174"/>
        <v/>
      </c>
      <c r="J2196" s="91" t="str">
        <f t="shared" si="175"/>
        <v/>
      </c>
      <c r="K2196" s="92" t="str">
        <f>IF(AND(A2196="",B2196="",D2196="",G2196=""),"",IF(AND(A2196&lt;&gt;"",COUNTIF($A$2:$A$5001,A2196)&gt;1),"NUMERO_PC duplicado",IF(B2196="","DATA_PC vazia",IF(NOT(ISNUMBER(B2196)),"DATA_PC invalida",IF(OR(C2196="",C2196="Fora dos ciclos"),"CICLO_PC nao identificado",IF(OR(D2196="",D2196=0),"VALOR_PC vazio ou zero",IF(AND(G2196&lt;&gt;"Sim",G2196&lt;&gt;"Nao",G2196&lt;&gt;""),"PC_PAGO_A_CONTRATADA invalido",IF(AND(C2196&lt;&gt;"C0",IFERROR(INDEX(parametros!$A$2:$A$6,MATCH(C2196,parametros!$B$2:$B$6,0)),"")="Sim",IFERROR(INDEX(parametros!$H$2:$H$6,MATCH(C2196,parametros!$B$2:$B$6,0)),"")=""),"INICIO_EFEITO ausente: PC "&amp;A2196&amp;" - "&amp;C2196,IF(L2196="","EFEITO_PC nao calculado: PC "&amp;A2196&amp;" - "&amp;C2196,"OK")))))))))</f>
        <v/>
      </c>
      <c r="L2196" s="92" t="str">
        <f>IF(AND(A2196="",B2196="",D2196="",G2196=""),"",IF(OR(B2196="",NOT(ISNUMBER(B2196)),C2196="",C2196="Fora dos ciclos"),"",IF(C2196="C0","Nao",IF(IFERROR(INDEX(parametros!$A$2:$A$6,MATCH(C2196,parametros!$B$2:$B$6,0)),"")&lt;&gt;"Sim","Nao",IF(IFERROR(INDEX(parametros!$H$2:$H$6,MATCH(C2196,parametros!$B$2:$B$6,0)),"")="","",IF(B2196&gt;=IFERROR(INDEX(parametros!$H$2:$H$6,MATCH(C2196,parametros!$B$2:$B$6,0)),""),"Sim","Nao"))))))</f>
        <v/>
      </c>
      <c r="T2196" s="156"/>
      <c r="U2196" s="214" t="str">
        <f t="shared" si="176"/>
        <v/>
      </c>
      <c r="V2196" s="212" t="s">
        <v>50</v>
      </c>
      <c r="W2196" s="100" t="s">
        <v>168</v>
      </c>
      <c r="X2196" s="100" t="s">
        <v>169</v>
      </c>
      <c r="Y2196" s="101" t="s">
        <v>170</v>
      </c>
      <c r="Z2196" s="101" t="s">
        <v>171</v>
      </c>
      <c r="AA2196" s="101" t="s">
        <v>50</v>
      </c>
      <c r="AB2196" s="101" t="s">
        <v>172</v>
      </c>
      <c r="AC2196" s="102" t="s">
        <v>173</v>
      </c>
    </row>
    <row r="2197" spans="1:29" ht="25.5" customHeight="1" x14ac:dyDescent="0.35">
      <c r="A2197" s="392"/>
      <c r="B2197" s="393"/>
      <c r="C2197" s="99" t="str">
        <f>IF(B2197="","",IF(NOT(ISNUMBER(B2197)),"DATA_PC invalida",IF(NOT(ISNUMBER(parametros!$C$2)),"Fora dos ciclos",IF(OR(B2197&lt;parametros!$C$2,(YEAR(B2197)-YEAR(parametros!$C$2))*12+MONTH(B2197)-MONTH(parametros!$C$2)&gt;59),"Fora dos ciclos","C"&amp;INT(((YEAR(B2197)-YEAR(parametros!$C$2))*12+MONTH(B2197)-MONTH(parametros!$C$2))/12)))))</f>
        <v/>
      </c>
      <c r="D2197" s="394"/>
      <c r="E2197" s="78" t="str">
        <f>IF(C2197="","",IFERROR(VLOOKUP(C2197,parametros!$A$11:$E$15,5,0),""))</f>
        <v/>
      </c>
      <c r="F2197" s="79" t="str">
        <f t="shared" si="172"/>
        <v/>
      </c>
      <c r="G2197" s="395"/>
      <c r="H2197" s="91">
        <f t="shared" si="173"/>
        <v>0</v>
      </c>
      <c r="I2197" s="91" t="str">
        <f t="shared" si="174"/>
        <v/>
      </c>
      <c r="J2197" s="91" t="str">
        <f t="shared" si="175"/>
        <v/>
      </c>
      <c r="K2197" s="92" t="str">
        <f>IF(AND(A2197="",B2197="",D2197="",G2197=""),"",IF(AND(A2197&lt;&gt;"",COUNTIF($A$2:$A$5001,A2197)&gt;1),"NUMERO_PC duplicado",IF(B2197="","DATA_PC vazia",IF(NOT(ISNUMBER(B2197)),"DATA_PC invalida",IF(OR(C2197="",C2197="Fora dos ciclos"),"CICLO_PC nao identificado",IF(OR(D2197="",D2197=0),"VALOR_PC vazio ou zero",IF(AND(G2197&lt;&gt;"Sim",G2197&lt;&gt;"Nao",G2197&lt;&gt;""),"PC_PAGO_A_CONTRATADA invalido",IF(AND(C2197&lt;&gt;"C0",IFERROR(INDEX(parametros!$A$2:$A$6,MATCH(C2197,parametros!$B$2:$B$6,0)),"")="Sim",IFERROR(INDEX(parametros!$H$2:$H$6,MATCH(C2197,parametros!$B$2:$B$6,0)),"")=""),"INICIO_EFEITO ausente: PC "&amp;A2197&amp;" - "&amp;C2197,IF(L2197="","EFEITO_PC nao calculado: PC "&amp;A2197&amp;" - "&amp;C2197,"OK")))))))))</f>
        <v/>
      </c>
      <c r="L2197" s="92" t="str">
        <f>IF(AND(A2197="",B2197="",D2197="",G2197=""),"",IF(OR(B2197="",NOT(ISNUMBER(B2197)),C2197="",C2197="Fora dos ciclos"),"",IF(C2197="C0","Nao",IF(IFERROR(INDEX(parametros!$A$2:$A$6,MATCH(C2197,parametros!$B$2:$B$6,0)),"")&lt;&gt;"Sim","Nao",IF(IFERROR(INDEX(parametros!$H$2:$H$6,MATCH(C2197,parametros!$B$2:$B$6,0)),"")="","",IF(B2197&gt;=IFERROR(INDEX(parametros!$H$2:$H$6,MATCH(C2197,parametros!$B$2:$B$6,0)),""),"Sim","Nao"))))))</f>
        <v/>
      </c>
      <c r="T2197" s="156"/>
      <c r="U2197" s="214" t="str">
        <f t="shared" si="176"/>
        <v/>
      </c>
      <c r="V2197" s="212" t="s">
        <v>50</v>
      </c>
      <c r="W2197" s="100" t="s">
        <v>168</v>
      </c>
      <c r="X2197" s="100" t="s">
        <v>169</v>
      </c>
      <c r="Y2197" s="101" t="s">
        <v>170</v>
      </c>
      <c r="Z2197" s="101" t="s">
        <v>171</v>
      </c>
      <c r="AA2197" s="101" t="s">
        <v>50</v>
      </c>
      <c r="AB2197" s="101" t="s">
        <v>172</v>
      </c>
      <c r="AC2197" s="102" t="s">
        <v>173</v>
      </c>
    </row>
    <row r="2198" spans="1:29" ht="25.5" customHeight="1" x14ac:dyDescent="0.35">
      <c r="A2198" s="392"/>
      <c r="B2198" s="393"/>
      <c r="C2198" s="99" t="str">
        <f>IF(B2198="","",IF(NOT(ISNUMBER(B2198)),"DATA_PC invalida",IF(NOT(ISNUMBER(parametros!$C$2)),"Fora dos ciclos",IF(OR(B2198&lt;parametros!$C$2,(YEAR(B2198)-YEAR(parametros!$C$2))*12+MONTH(B2198)-MONTH(parametros!$C$2)&gt;59),"Fora dos ciclos","C"&amp;INT(((YEAR(B2198)-YEAR(parametros!$C$2))*12+MONTH(B2198)-MONTH(parametros!$C$2))/12)))))</f>
        <v/>
      </c>
      <c r="D2198" s="394"/>
      <c r="E2198" s="78" t="str">
        <f>IF(C2198="","",IFERROR(VLOOKUP(C2198,parametros!$A$11:$E$15,5,0),""))</f>
        <v/>
      </c>
      <c r="F2198" s="79" t="str">
        <f t="shared" si="172"/>
        <v/>
      </c>
      <c r="G2198" s="395"/>
      <c r="H2198" s="91">
        <f t="shared" si="173"/>
        <v>0</v>
      </c>
      <c r="I2198" s="91" t="str">
        <f t="shared" si="174"/>
        <v/>
      </c>
      <c r="J2198" s="91" t="str">
        <f t="shared" si="175"/>
        <v/>
      </c>
      <c r="K2198" s="92" t="str">
        <f>IF(AND(A2198="",B2198="",D2198="",G2198=""),"",IF(AND(A2198&lt;&gt;"",COUNTIF($A$2:$A$5001,A2198)&gt;1),"NUMERO_PC duplicado",IF(B2198="","DATA_PC vazia",IF(NOT(ISNUMBER(B2198)),"DATA_PC invalida",IF(OR(C2198="",C2198="Fora dos ciclos"),"CICLO_PC nao identificado",IF(OR(D2198="",D2198=0),"VALOR_PC vazio ou zero",IF(AND(G2198&lt;&gt;"Sim",G2198&lt;&gt;"Nao",G2198&lt;&gt;""),"PC_PAGO_A_CONTRATADA invalido",IF(AND(C2198&lt;&gt;"C0",IFERROR(INDEX(parametros!$A$2:$A$6,MATCH(C2198,parametros!$B$2:$B$6,0)),"")="Sim",IFERROR(INDEX(parametros!$H$2:$H$6,MATCH(C2198,parametros!$B$2:$B$6,0)),"")=""),"INICIO_EFEITO ausente: PC "&amp;A2198&amp;" - "&amp;C2198,IF(L2198="","EFEITO_PC nao calculado: PC "&amp;A2198&amp;" - "&amp;C2198,"OK")))))))))</f>
        <v/>
      </c>
      <c r="L2198" s="92" t="str">
        <f>IF(AND(A2198="",B2198="",D2198="",G2198=""),"",IF(OR(B2198="",NOT(ISNUMBER(B2198)),C2198="",C2198="Fora dos ciclos"),"",IF(C2198="C0","Nao",IF(IFERROR(INDEX(parametros!$A$2:$A$6,MATCH(C2198,parametros!$B$2:$B$6,0)),"")&lt;&gt;"Sim","Nao",IF(IFERROR(INDEX(parametros!$H$2:$H$6,MATCH(C2198,parametros!$B$2:$B$6,0)),"")="","",IF(B2198&gt;=IFERROR(INDEX(parametros!$H$2:$H$6,MATCH(C2198,parametros!$B$2:$B$6,0)),""),"Sim","Nao"))))))</f>
        <v/>
      </c>
      <c r="T2198" s="156"/>
      <c r="U2198" s="214" t="str">
        <f t="shared" si="176"/>
        <v/>
      </c>
      <c r="V2198" s="212" t="s">
        <v>50</v>
      </c>
      <c r="W2198" s="100" t="s">
        <v>168</v>
      </c>
      <c r="X2198" s="100" t="s">
        <v>169</v>
      </c>
      <c r="Y2198" s="101" t="s">
        <v>170</v>
      </c>
      <c r="Z2198" s="101" t="s">
        <v>171</v>
      </c>
      <c r="AA2198" s="101" t="s">
        <v>50</v>
      </c>
      <c r="AB2198" s="101" t="s">
        <v>172</v>
      </c>
      <c r="AC2198" s="102" t="s">
        <v>173</v>
      </c>
    </row>
    <row r="2199" spans="1:29" ht="25.5" customHeight="1" x14ac:dyDescent="0.35">
      <c r="A2199" s="392"/>
      <c r="B2199" s="393"/>
      <c r="C2199" s="99" t="str">
        <f>IF(B2199="","",IF(NOT(ISNUMBER(B2199)),"DATA_PC invalida",IF(NOT(ISNUMBER(parametros!$C$2)),"Fora dos ciclos",IF(OR(B2199&lt;parametros!$C$2,(YEAR(B2199)-YEAR(parametros!$C$2))*12+MONTH(B2199)-MONTH(parametros!$C$2)&gt;59),"Fora dos ciclos","C"&amp;INT(((YEAR(B2199)-YEAR(parametros!$C$2))*12+MONTH(B2199)-MONTH(parametros!$C$2))/12)))))</f>
        <v/>
      </c>
      <c r="D2199" s="394"/>
      <c r="E2199" s="78" t="str">
        <f>IF(C2199="","",IFERROR(VLOOKUP(C2199,parametros!$A$11:$E$15,5,0),""))</f>
        <v/>
      </c>
      <c r="F2199" s="79" t="str">
        <f t="shared" si="172"/>
        <v/>
      </c>
      <c r="G2199" s="395"/>
      <c r="H2199" s="91">
        <f t="shared" si="173"/>
        <v>0</v>
      </c>
      <c r="I2199" s="91" t="str">
        <f t="shared" si="174"/>
        <v/>
      </c>
      <c r="J2199" s="91" t="str">
        <f t="shared" si="175"/>
        <v/>
      </c>
      <c r="K2199" s="92" t="str">
        <f>IF(AND(A2199="",B2199="",D2199="",G2199=""),"",IF(AND(A2199&lt;&gt;"",COUNTIF($A$2:$A$5001,A2199)&gt;1),"NUMERO_PC duplicado",IF(B2199="","DATA_PC vazia",IF(NOT(ISNUMBER(B2199)),"DATA_PC invalida",IF(OR(C2199="",C2199="Fora dos ciclos"),"CICLO_PC nao identificado",IF(OR(D2199="",D2199=0),"VALOR_PC vazio ou zero",IF(AND(G2199&lt;&gt;"Sim",G2199&lt;&gt;"Nao",G2199&lt;&gt;""),"PC_PAGO_A_CONTRATADA invalido",IF(AND(C2199&lt;&gt;"C0",IFERROR(INDEX(parametros!$A$2:$A$6,MATCH(C2199,parametros!$B$2:$B$6,0)),"")="Sim",IFERROR(INDEX(parametros!$H$2:$H$6,MATCH(C2199,parametros!$B$2:$B$6,0)),"")=""),"INICIO_EFEITO ausente: PC "&amp;A2199&amp;" - "&amp;C2199,IF(L2199="","EFEITO_PC nao calculado: PC "&amp;A2199&amp;" - "&amp;C2199,"OK")))))))))</f>
        <v/>
      </c>
      <c r="L2199" s="92" t="str">
        <f>IF(AND(A2199="",B2199="",D2199="",G2199=""),"",IF(OR(B2199="",NOT(ISNUMBER(B2199)),C2199="",C2199="Fora dos ciclos"),"",IF(C2199="C0","Nao",IF(IFERROR(INDEX(parametros!$A$2:$A$6,MATCH(C2199,parametros!$B$2:$B$6,0)),"")&lt;&gt;"Sim","Nao",IF(IFERROR(INDEX(parametros!$H$2:$H$6,MATCH(C2199,parametros!$B$2:$B$6,0)),"")="","",IF(B2199&gt;=IFERROR(INDEX(parametros!$H$2:$H$6,MATCH(C2199,parametros!$B$2:$B$6,0)),""),"Sim","Nao"))))))</f>
        <v/>
      </c>
      <c r="T2199" s="156"/>
      <c r="U2199" s="214" t="str">
        <f t="shared" si="176"/>
        <v/>
      </c>
      <c r="V2199" s="212" t="s">
        <v>50</v>
      </c>
      <c r="W2199" s="100" t="s">
        <v>168</v>
      </c>
      <c r="X2199" s="100" t="s">
        <v>169</v>
      </c>
      <c r="Y2199" s="101" t="s">
        <v>170</v>
      </c>
      <c r="Z2199" s="101" t="s">
        <v>171</v>
      </c>
      <c r="AA2199" s="101" t="s">
        <v>50</v>
      </c>
      <c r="AB2199" s="101" t="s">
        <v>172</v>
      </c>
      <c r="AC2199" s="102" t="s">
        <v>173</v>
      </c>
    </row>
    <row r="2200" spans="1:29" ht="25.5" customHeight="1" x14ac:dyDescent="0.35">
      <c r="A2200" s="392"/>
      <c r="B2200" s="393"/>
      <c r="C2200" s="99" t="str">
        <f>IF(B2200="","",IF(NOT(ISNUMBER(B2200)),"DATA_PC invalida",IF(NOT(ISNUMBER(parametros!$C$2)),"Fora dos ciclos",IF(OR(B2200&lt;parametros!$C$2,(YEAR(B2200)-YEAR(parametros!$C$2))*12+MONTH(B2200)-MONTH(parametros!$C$2)&gt;59),"Fora dos ciclos","C"&amp;INT(((YEAR(B2200)-YEAR(parametros!$C$2))*12+MONTH(B2200)-MONTH(parametros!$C$2))/12)))))</f>
        <v/>
      </c>
      <c r="D2200" s="394"/>
      <c r="E2200" s="78" t="str">
        <f>IF(C2200="","",IFERROR(VLOOKUP(C2200,parametros!$A$11:$E$15,5,0),""))</f>
        <v/>
      </c>
      <c r="F2200" s="79" t="str">
        <f t="shared" si="172"/>
        <v/>
      </c>
      <c r="G2200" s="395"/>
      <c r="H2200" s="91">
        <f t="shared" si="173"/>
        <v>0</v>
      </c>
      <c r="I2200" s="91" t="str">
        <f t="shared" si="174"/>
        <v/>
      </c>
      <c r="J2200" s="91" t="str">
        <f t="shared" si="175"/>
        <v/>
      </c>
      <c r="K2200" s="92" t="str">
        <f>IF(AND(A2200="",B2200="",D2200="",G2200=""),"",IF(AND(A2200&lt;&gt;"",COUNTIF($A$2:$A$5001,A2200)&gt;1),"NUMERO_PC duplicado",IF(B2200="","DATA_PC vazia",IF(NOT(ISNUMBER(B2200)),"DATA_PC invalida",IF(OR(C2200="",C2200="Fora dos ciclos"),"CICLO_PC nao identificado",IF(OR(D2200="",D2200=0),"VALOR_PC vazio ou zero",IF(AND(G2200&lt;&gt;"Sim",G2200&lt;&gt;"Nao",G2200&lt;&gt;""),"PC_PAGO_A_CONTRATADA invalido",IF(AND(C2200&lt;&gt;"C0",IFERROR(INDEX(parametros!$A$2:$A$6,MATCH(C2200,parametros!$B$2:$B$6,0)),"")="Sim",IFERROR(INDEX(parametros!$H$2:$H$6,MATCH(C2200,parametros!$B$2:$B$6,0)),"")=""),"INICIO_EFEITO ausente: PC "&amp;A2200&amp;" - "&amp;C2200,IF(L2200="","EFEITO_PC nao calculado: PC "&amp;A2200&amp;" - "&amp;C2200,"OK")))))))))</f>
        <v/>
      </c>
      <c r="L2200" s="92" t="str">
        <f>IF(AND(A2200="",B2200="",D2200="",G2200=""),"",IF(OR(B2200="",NOT(ISNUMBER(B2200)),C2200="",C2200="Fora dos ciclos"),"",IF(C2200="C0","Nao",IF(IFERROR(INDEX(parametros!$A$2:$A$6,MATCH(C2200,parametros!$B$2:$B$6,0)),"")&lt;&gt;"Sim","Nao",IF(IFERROR(INDEX(parametros!$H$2:$H$6,MATCH(C2200,parametros!$B$2:$B$6,0)),"")="","",IF(B2200&gt;=IFERROR(INDEX(parametros!$H$2:$H$6,MATCH(C2200,parametros!$B$2:$B$6,0)),""),"Sim","Nao"))))))</f>
        <v/>
      </c>
      <c r="T2200" s="156"/>
      <c r="U2200" s="214" t="str">
        <f t="shared" si="176"/>
        <v/>
      </c>
      <c r="V2200" s="212" t="s">
        <v>50</v>
      </c>
      <c r="W2200" s="100" t="s">
        <v>168</v>
      </c>
      <c r="X2200" s="100" t="s">
        <v>169</v>
      </c>
      <c r="Y2200" s="101" t="s">
        <v>170</v>
      </c>
      <c r="Z2200" s="101" t="s">
        <v>171</v>
      </c>
      <c r="AA2200" s="101" t="s">
        <v>50</v>
      </c>
      <c r="AB2200" s="101" t="s">
        <v>172</v>
      </c>
      <c r="AC2200" s="102" t="s">
        <v>173</v>
      </c>
    </row>
    <row r="2201" spans="1:29" ht="25.5" customHeight="1" x14ac:dyDescent="0.35">
      <c r="A2201" s="392"/>
      <c r="B2201" s="393"/>
      <c r="C2201" s="99" t="str">
        <f>IF(B2201="","",IF(NOT(ISNUMBER(B2201)),"DATA_PC invalida",IF(NOT(ISNUMBER(parametros!$C$2)),"Fora dos ciclos",IF(OR(B2201&lt;parametros!$C$2,(YEAR(B2201)-YEAR(parametros!$C$2))*12+MONTH(B2201)-MONTH(parametros!$C$2)&gt;59),"Fora dos ciclos","C"&amp;INT(((YEAR(B2201)-YEAR(parametros!$C$2))*12+MONTH(B2201)-MONTH(parametros!$C$2))/12)))))</f>
        <v/>
      </c>
      <c r="D2201" s="394"/>
      <c r="E2201" s="78" t="str">
        <f>IF(C2201="","",IFERROR(VLOOKUP(C2201,parametros!$A$11:$E$15,5,0),""))</f>
        <v/>
      </c>
      <c r="F2201" s="79" t="str">
        <f t="shared" si="172"/>
        <v/>
      </c>
      <c r="G2201" s="395"/>
      <c r="H2201" s="91">
        <f t="shared" si="173"/>
        <v>0</v>
      </c>
      <c r="I2201" s="91" t="str">
        <f t="shared" si="174"/>
        <v/>
      </c>
      <c r="J2201" s="91" t="str">
        <f t="shared" si="175"/>
        <v/>
      </c>
      <c r="K2201" s="92" t="str">
        <f>IF(AND(A2201="",B2201="",D2201="",G2201=""),"",IF(AND(A2201&lt;&gt;"",COUNTIF($A$2:$A$5001,A2201)&gt;1),"NUMERO_PC duplicado",IF(B2201="","DATA_PC vazia",IF(NOT(ISNUMBER(B2201)),"DATA_PC invalida",IF(OR(C2201="",C2201="Fora dos ciclos"),"CICLO_PC nao identificado",IF(OR(D2201="",D2201=0),"VALOR_PC vazio ou zero",IF(AND(G2201&lt;&gt;"Sim",G2201&lt;&gt;"Nao",G2201&lt;&gt;""),"PC_PAGO_A_CONTRATADA invalido",IF(AND(C2201&lt;&gt;"C0",IFERROR(INDEX(parametros!$A$2:$A$6,MATCH(C2201,parametros!$B$2:$B$6,0)),"")="Sim",IFERROR(INDEX(parametros!$H$2:$H$6,MATCH(C2201,parametros!$B$2:$B$6,0)),"")=""),"INICIO_EFEITO ausente: PC "&amp;A2201&amp;" - "&amp;C2201,IF(L2201="","EFEITO_PC nao calculado: PC "&amp;A2201&amp;" - "&amp;C2201,"OK")))))))))</f>
        <v/>
      </c>
      <c r="L2201" s="92" t="str">
        <f>IF(AND(A2201="",B2201="",D2201="",G2201=""),"",IF(OR(B2201="",NOT(ISNUMBER(B2201)),C2201="",C2201="Fora dos ciclos"),"",IF(C2201="C0","Nao",IF(IFERROR(INDEX(parametros!$A$2:$A$6,MATCH(C2201,parametros!$B$2:$B$6,0)),"")&lt;&gt;"Sim","Nao",IF(IFERROR(INDEX(parametros!$H$2:$H$6,MATCH(C2201,parametros!$B$2:$B$6,0)),"")="","",IF(B2201&gt;=IFERROR(INDEX(parametros!$H$2:$H$6,MATCH(C2201,parametros!$B$2:$B$6,0)),""),"Sim","Nao"))))))</f>
        <v/>
      </c>
      <c r="T2201" s="156"/>
      <c r="U2201" s="214" t="str">
        <f t="shared" si="176"/>
        <v/>
      </c>
      <c r="V2201" s="212" t="s">
        <v>50</v>
      </c>
      <c r="W2201" s="100" t="s">
        <v>168</v>
      </c>
      <c r="X2201" s="100" t="s">
        <v>169</v>
      </c>
      <c r="Y2201" s="101" t="s">
        <v>170</v>
      </c>
      <c r="Z2201" s="101" t="s">
        <v>171</v>
      </c>
      <c r="AA2201" s="101" t="s">
        <v>50</v>
      </c>
      <c r="AB2201" s="101" t="s">
        <v>172</v>
      </c>
      <c r="AC2201" s="102" t="s">
        <v>173</v>
      </c>
    </row>
    <row r="2202" spans="1:29" ht="25.5" customHeight="1" x14ac:dyDescent="0.35">
      <c r="A2202" s="392"/>
      <c r="B2202" s="393"/>
      <c r="C2202" s="99" t="str">
        <f>IF(B2202="","",IF(NOT(ISNUMBER(B2202)),"DATA_PC invalida",IF(NOT(ISNUMBER(parametros!$C$2)),"Fora dos ciclos",IF(OR(B2202&lt;parametros!$C$2,(YEAR(B2202)-YEAR(parametros!$C$2))*12+MONTH(B2202)-MONTH(parametros!$C$2)&gt;59),"Fora dos ciclos","C"&amp;INT(((YEAR(B2202)-YEAR(parametros!$C$2))*12+MONTH(B2202)-MONTH(parametros!$C$2))/12)))))</f>
        <v/>
      </c>
      <c r="D2202" s="394"/>
      <c r="E2202" s="78" t="str">
        <f>IF(C2202="","",IFERROR(VLOOKUP(C2202,parametros!$A$11:$E$15,5,0),""))</f>
        <v/>
      </c>
      <c r="F2202" s="79" t="str">
        <f t="shared" si="172"/>
        <v/>
      </c>
      <c r="G2202" s="395"/>
      <c r="H2202" s="91">
        <f t="shared" si="173"/>
        <v>0</v>
      </c>
      <c r="I2202" s="91" t="str">
        <f t="shared" si="174"/>
        <v/>
      </c>
      <c r="J2202" s="91" t="str">
        <f t="shared" si="175"/>
        <v/>
      </c>
      <c r="K2202" s="92" t="str">
        <f>IF(AND(A2202="",B2202="",D2202="",G2202=""),"",IF(AND(A2202&lt;&gt;"",COUNTIF($A$2:$A$5001,A2202)&gt;1),"NUMERO_PC duplicado",IF(B2202="","DATA_PC vazia",IF(NOT(ISNUMBER(B2202)),"DATA_PC invalida",IF(OR(C2202="",C2202="Fora dos ciclos"),"CICLO_PC nao identificado",IF(OR(D2202="",D2202=0),"VALOR_PC vazio ou zero",IF(AND(G2202&lt;&gt;"Sim",G2202&lt;&gt;"Nao",G2202&lt;&gt;""),"PC_PAGO_A_CONTRATADA invalido",IF(AND(C2202&lt;&gt;"C0",IFERROR(INDEX(parametros!$A$2:$A$6,MATCH(C2202,parametros!$B$2:$B$6,0)),"")="Sim",IFERROR(INDEX(parametros!$H$2:$H$6,MATCH(C2202,parametros!$B$2:$B$6,0)),"")=""),"INICIO_EFEITO ausente: PC "&amp;A2202&amp;" - "&amp;C2202,IF(L2202="","EFEITO_PC nao calculado: PC "&amp;A2202&amp;" - "&amp;C2202,"OK")))))))))</f>
        <v/>
      </c>
      <c r="L2202" s="92" t="str">
        <f>IF(AND(A2202="",B2202="",D2202="",G2202=""),"",IF(OR(B2202="",NOT(ISNUMBER(B2202)),C2202="",C2202="Fora dos ciclos"),"",IF(C2202="C0","Nao",IF(IFERROR(INDEX(parametros!$A$2:$A$6,MATCH(C2202,parametros!$B$2:$B$6,0)),"")&lt;&gt;"Sim","Nao",IF(IFERROR(INDEX(parametros!$H$2:$H$6,MATCH(C2202,parametros!$B$2:$B$6,0)),"")="","",IF(B2202&gt;=IFERROR(INDEX(parametros!$H$2:$H$6,MATCH(C2202,parametros!$B$2:$B$6,0)),""),"Sim","Nao"))))))</f>
        <v/>
      </c>
      <c r="T2202" s="156"/>
      <c r="U2202" s="214" t="str">
        <f t="shared" si="176"/>
        <v/>
      </c>
      <c r="V2202" s="212" t="s">
        <v>50</v>
      </c>
      <c r="W2202" s="100" t="s">
        <v>168</v>
      </c>
      <c r="X2202" s="100" t="s">
        <v>169</v>
      </c>
      <c r="Y2202" s="101" t="s">
        <v>170</v>
      </c>
      <c r="Z2202" s="101" t="s">
        <v>171</v>
      </c>
      <c r="AA2202" s="101" t="s">
        <v>50</v>
      </c>
      <c r="AB2202" s="101" t="s">
        <v>172</v>
      </c>
      <c r="AC2202" s="102" t="s">
        <v>173</v>
      </c>
    </row>
    <row r="2203" spans="1:29" ht="25.5" customHeight="1" x14ac:dyDescent="0.35">
      <c r="A2203" s="392"/>
      <c r="B2203" s="393"/>
      <c r="C2203" s="99" t="str">
        <f>IF(B2203="","",IF(NOT(ISNUMBER(B2203)),"DATA_PC invalida",IF(NOT(ISNUMBER(parametros!$C$2)),"Fora dos ciclos",IF(OR(B2203&lt;parametros!$C$2,(YEAR(B2203)-YEAR(parametros!$C$2))*12+MONTH(B2203)-MONTH(parametros!$C$2)&gt;59),"Fora dos ciclos","C"&amp;INT(((YEAR(B2203)-YEAR(parametros!$C$2))*12+MONTH(B2203)-MONTH(parametros!$C$2))/12)))))</f>
        <v/>
      </c>
      <c r="D2203" s="394"/>
      <c r="E2203" s="78" t="str">
        <f>IF(C2203="","",IFERROR(VLOOKUP(C2203,parametros!$A$11:$E$15,5,0),""))</f>
        <v/>
      </c>
      <c r="F2203" s="79" t="str">
        <f t="shared" si="172"/>
        <v/>
      </c>
      <c r="G2203" s="395"/>
      <c r="H2203" s="91">
        <f t="shared" si="173"/>
        <v>0</v>
      </c>
      <c r="I2203" s="91" t="str">
        <f t="shared" si="174"/>
        <v/>
      </c>
      <c r="J2203" s="91" t="str">
        <f t="shared" si="175"/>
        <v/>
      </c>
      <c r="K2203" s="92" t="str">
        <f>IF(AND(A2203="",B2203="",D2203="",G2203=""),"",IF(AND(A2203&lt;&gt;"",COUNTIF($A$2:$A$5001,A2203)&gt;1),"NUMERO_PC duplicado",IF(B2203="","DATA_PC vazia",IF(NOT(ISNUMBER(B2203)),"DATA_PC invalida",IF(OR(C2203="",C2203="Fora dos ciclos"),"CICLO_PC nao identificado",IF(OR(D2203="",D2203=0),"VALOR_PC vazio ou zero",IF(AND(G2203&lt;&gt;"Sim",G2203&lt;&gt;"Nao",G2203&lt;&gt;""),"PC_PAGO_A_CONTRATADA invalido",IF(AND(C2203&lt;&gt;"C0",IFERROR(INDEX(parametros!$A$2:$A$6,MATCH(C2203,parametros!$B$2:$B$6,0)),"")="Sim",IFERROR(INDEX(parametros!$H$2:$H$6,MATCH(C2203,parametros!$B$2:$B$6,0)),"")=""),"INICIO_EFEITO ausente: PC "&amp;A2203&amp;" - "&amp;C2203,IF(L2203="","EFEITO_PC nao calculado: PC "&amp;A2203&amp;" - "&amp;C2203,"OK")))))))))</f>
        <v/>
      </c>
      <c r="L2203" s="92" t="str">
        <f>IF(AND(A2203="",B2203="",D2203="",G2203=""),"",IF(OR(B2203="",NOT(ISNUMBER(B2203)),C2203="",C2203="Fora dos ciclos"),"",IF(C2203="C0","Nao",IF(IFERROR(INDEX(parametros!$A$2:$A$6,MATCH(C2203,parametros!$B$2:$B$6,0)),"")&lt;&gt;"Sim","Nao",IF(IFERROR(INDEX(parametros!$H$2:$H$6,MATCH(C2203,parametros!$B$2:$B$6,0)),"")="","",IF(B2203&gt;=IFERROR(INDEX(parametros!$H$2:$H$6,MATCH(C2203,parametros!$B$2:$B$6,0)),""),"Sim","Nao"))))))</f>
        <v/>
      </c>
      <c r="T2203" s="156"/>
      <c r="U2203" s="214" t="str">
        <f t="shared" si="176"/>
        <v/>
      </c>
      <c r="V2203" s="212" t="s">
        <v>50</v>
      </c>
      <c r="W2203" s="100" t="s">
        <v>168</v>
      </c>
      <c r="X2203" s="100" t="s">
        <v>169</v>
      </c>
      <c r="Y2203" s="101" t="s">
        <v>170</v>
      </c>
      <c r="Z2203" s="101" t="s">
        <v>171</v>
      </c>
      <c r="AA2203" s="101" t="s">
        <v>50</v>
      </c>
      <c r="AB2203" s="101" t="s">
        <v>172</v>
      </c>
      <c r="AC2203" s="102" t="s">
        <v>173</v>
      </c>
    </row>
    <row r="2204" spans="1:29" ht="25.5" customHeight="1" x14ac:dyDescent="0.35">
      <c r="A2204" s="392"/>
      <c r="B2204" s="393"/>
      <c r="C2204" s="99" t="str">
        <f>IF(B2204="","",IF(NOT(ISNUMBER(B2204)),"DATA_PC invalida",IF(NOT(ISNUMBER(parametros!$C$2)),"Fora dos ciclos",IF(OR(B2204&lt;parametros!$C$2,(YEAR(B2204)-YEAR(parametros!$C$2))*12+MONTH(B2204)-MONTH(parametros!$C$2)&gt;59),"Fora dos ciclos","C"&amp;INT(((YEAR(B2204)-YEAR(parametros!$C$2))*12+MONTH(B2204)-MONTH(parametros!$C$2))/12)))))</f>
        <v/>
      </c>
      <c r="D2204" s="394"/>
      <c r="E2204" s="78" t="str">
        <f>IF(C2204="","",IFERROR(VLOOKUP(C2204,parametros!$A$11:$E$15,5,0),""))</f>
        <v/>
      </c>
      <c r="F2204" s="79" t="str">
        <f t="shared" si="172"/>
        <v/>
      </c>
      <c r="G2204" s="395"/>
      <c r="H2204" s="91">
        <f t="shared" si="173"/>
        <v>0</v>
      </c>
      <c r="I2204" s="91" t="str">
        <f t="shared" si="174"/>
        <v/>
      </c>
      <c r="J2204" s="91" t="str">
        <f t="shared" si="175"/>
        <v/>
      </c>
      <c r="K2204" s="92" t="str">
        <f>IF(AND(A2204="",B2204="",D2204="",G2204=""),"",IF(AND(A2204&lt;&gt;"",COUNTIF($A$2:$A$5001,A2204)&gt;1),"NUMERO_PC duplicado",IF(B2204="","DATA_PC vazia",IF(NOT(ISNUMBER(B2204)),"DATA_PC invalida",IF(OR(C2204="",C2204="Fora dos ciclos"),"CICLO_PC nao identificado",IF(OR(D2204="",D2204=0),"VALOR_PC vazio ou zero",IF(AND(G2204&lt;&gt;"Sim",G2204&lt;&gt;"Nao",G2204&lt;&gt;""),"PC_PAGO_A_CONTRATADA invalido",IF(AND(C2204&lt;&gt;"C0",IFERROR(INDEX(parametros!$A$2:$A$6,MATCH(C2204,parametros!$B$2:$B$6,0)),"")="Sim",IFERROR(INDEX(parametros!$H$2:$H$6,MATCH(C2204,parametros!$B$2:$B$6,0)),"")=""),"INICIO_EFEITO ausente: PC "&amp;A2204&amp;" - "&amp;C2204,IF(L2204="","EFEITO_PC nao calculado: PC "&amp;A2204&amp;" - "&amp;C2204,"OK")))))))))</f>
        <v/>
      </c>
      <c r="L2204" s="92" t="str">
        <f>IF(AND(A2204="",B2204="",D2204="",G2204=""),"",IF(OR(B2204="",NOT(ISNUMBER(B2204)),C2204="",C2204="Fora dos ciclos"),"",IF(C2204="C0","Nao",IF(IFERROR(INDEX(parametros!$A$2:$A$6,MATCH(C2204,parametros!$B$2:$B$6,0)),"")&lt;&gt;"Sim","Nao",IF(IFERROR(INDEX(parametros!$H$2:$H$6,MATCH(C2204,parametros!$B$2:$B$6,0)),"")="","",IF(B2204&gt;=IFERROR(INDEX(parametros!$H$2:$H$6,MATCH(C2204,parametros!$B$2:$B$6,0)),""),"Sim","Nao"))))))</f>
        <v/>
      </c>
      <c r="T2204" s="156"/>
      <c r="U2204" s="214" t="str">
        <f t="shared" si="176"/>
        <v/>
      </c>
      <c r="V2204" s="212" t="s">
        <v>50</v>
      </c>
      <c r="W2204" s="100" t="s">
        <v>168</v>
      </c>
      <c r="X2204" s="100" t="s">
        <v>169</v>
      </c>
      <c r="Y2204" s="101" t="s">
        <v>170</v>
      </c>
      <c r="Z2204" s="101" t="s">
        <v>171</v>
      </c>
      <c r="AA2204" s="101" t="s">
        <v>50</v>
      </c>
      <c r="AB2204" s="101" t="s">
        <v>172</v>
      </c>
      <c r="AC2204" s="102" t="s">
        <v>173</v>
      </c>
    </row>
    <row r="2205" spans="1:29" ht="25.5" customHeight="1" x14ac:dyDescent="0.35">
      <c r="A2205" s="392"/>
      <c r="B2205" s="393"/>
      <c r="C2205" s="99" t="str">
        <f>IF(B2205="","",IF(NOT(ISNUMBER(B2205)),"DATA_PC invalida",IF(NOT(ISNUMBER(parametros!$C$2)),"Fora dos ciclos",IF(OR(B2205&lt;parametros!$C$2,(YEAR(B2205)-YEAR(parametros!$C$2))*12+MONTH(B2205)-MONTH(parametros!$C$2)&gt;59),"Fora dos ciclos","C"&amp;INT(((YEAR(B2205)-YEAR(parametros!$C$2))*12+MONTH(B2205)-MONTH(parametros!$C$2))/12)))))</f>
        <v/>
      </c>
      <c r="D2205" s="394"/>
      <c r="E2205" s="78" t="str">
        <f>IF(C2205="","",IFERROR(VLOOKUP(C2205,parametros!$A$11:$E$15,5,0),""))</f>
        <v/>
      </c>
      <c r="F2205" s="79" t="str">
        <f t="shared" si="172"/>
        <v/>
      </c>
      <c r="G2205" s="395"/>
      <c r="H2205" s="91">
        <f t="shared" si="173"/>
        <v>0</v>
      </c>
      <c r="I2205" s="91" t="str">
        <f t="shared" si="174"/>
        <v/>
      </c>
      <c r="J2205" s="91" t="str">
        <f t="shared" si="175"/>
        <v/>
      </c>
      <c r="K2205" s="92" t="str">
        <f>IF(AND(A2205="",B2205="",D2205="",G2205=""),"",IF(AND(A2205&lt;&gt;"",COUNTIF($A$2:$A$5001,A2205)&gt;1),"NUMERO_PC duplicado",IF(B2205="","DATA_PC vazia",IF(NOT(ISNUMBER(B2205)),"DATA_PC invalida",IF(OR(C2205="",C2205="Fora dos ciclos"),"CICLO_PC nao identificado",IF(OR(D2205="",D2205=0),"VALOR_PC vazio ou zero",IF(AND(G2205&lt;&gt;"Sim",G2205&lt;&gt;"Nao",G2205&lt;&gt;""),"PC_PAGO_A_CONTRATADA invalido",IF(AND(C2205&lt;&gt;"C0",IFERROR(INDEX(parametros!$A$2:$A$6,MATCH(C2205,parametros!$B$2:$B$6,0)),"")="Sim",IFERROR(INDEX(parametros!$H$2:$H$6,MATCH(C2205,parametros!$B$2:$B$6,0)),"")=""),"INICIO_EFEITO ausente: PC "&amp;A2205&amp;" - "&amp;C2205,IF(L2205="","EFEITO_PC nao calculado: PC "&amp;A2205&amp;" - "&amp;C2205,"OK")))))))))</f>
        <v/>
      </c>
      <c r="L2205" s="92" t="str">
        <f>IF(AND(A2205="",B2205="",D2205="",G2205=""),"",IF(OR(B2205="",NOT(ISNUMBER(B2205)),C2205="",C2205="Fora dos ciclos"),"",IF(C2205="C0","Nao",IF(IFERROR(INDEX(parametros!$A$2:$A$6,MATCH(C2205,parametros!$B$2:$B$6,0)),"")&lt;&gt;"Sim","Nao",IF(IFERROR(INDEX(parametros!$H$2:$H$6,MATCH(C2205,parametros!$B$2:$B$6,0)),"")="","",IF(B2205&gt;=IFERROR(INDEX(parametros!$H$2:$H$6,MATCH(C2205,parametros!$B$2:$B$6,0)),""),"Sim","Nao"))))))</f>
        <v/>
      </c>
      <c r="T2205" s="156"/>
      <c r="U2205" s="214" t="str">
        <f t="shared" si="176"/>
        <v/>
      </c>
      <c r="V2205" s="212" t="s">
        <v>50</v>
      </c>
      <c r="W2205" s="100" t="s">
        <v>168</v>
      </c>
      <c r="X2205" s="100" t="s">
        <v>169</v>
      </c>
      <c r="Y2205" s="101" t="s">
        <v>170</v>
      </c>
      <c r="Z2205" s="101" t="s">
        <v>171</v>
      </c>
      <c r="AA2205" s="101" t="s">
        <v>50</v>
      </c>
      <c r="AB2205" s="101" t="s">
        <v>172</v>
      </c>
      <c r="AC2205" s="102" t="s">
        <v>173</v>
      </c>
    </row>
    <row r="2206" spans="1:29" ht="25.5" customHeight="1" x14ac:dyDescent="0.35">
      <c r="A2206" s="392"/>
      <c r="B2206" s="393"/>
      <c r="C2206" s="99" t="str">
        <f>IF(B2206="","",IF(NOT(ISNUMBER(B2206)),"DATA_PC invalida",IF(NOT(ISNUMBER(parametros!$C$2)),"Fora dos ciclos",IF(OR(B2206&lt;parametros!$C$2,(YEAR(B2206)-YEAR(parametros!$C$2))*12+MONTH(B2206)-MONTH(parametros!$C$2)&gt;59),"Fora dos ciclos","C"&amp;INT(((YEAR(B2206)-YEAR(parametros!$C$2))*12+MONTH(B2206)-MONTH(parametros!$C$2))/12)))))</f>
        <v/>
      </c>
      <c r="D2206" s="394"/>
      <c r="E2206" s="78" t="str">
        <f>IF(C2206="","",IFERROR(VLOOKUP(C2206,parametros!$A$11:$E$15,5,0),""))</f>
        <v/>
      </c>
      <c r="F2206" s="79" t="str">
        <f t="shared" si="172"/>
        <v/>
      </c>
      <c r="G2206" s="395"/>
      <c r="H2206" s="91">
        <f t="shared" si="173"/>
        <v>0</v>
      </c>
      <c r="I2206" s="91" t="str">
        <f t="shared" si="174"/>
        <v/>
      </c>
      <c r="J2206" s="91" t="str">
        <f t="shared" si="175"/>
        <v/>
      </c>
      <c r="K2206" s="92" t="str">
        <f>IF(AND(A2206="",B2206="",D2206="",G2206=""),"",IF(AND(A2206&lt;&gt;"",COUNTIF($A$2:$A$5001,A2206)&gt;1),"NUMERO_PC duplicado",IF(B2206="","DATA_PC vazia",IF(NOT(ISNUMBER(B2206)),"DATA_PC invalida",IF(OR(C2206="",C2206="Fora dos ciclos"),"CICLO_PC nao identificado",IF(OR(D2206="",D2206=0),"VALOR_PC vazio ou zero",IF(AND(G2206&lt;&gt;"Sim",G2206&lt;&gt;"Nao",G2206&lt;&gt;""),"PC_PAGO_A_CONTRATADA invalido",IF(AND(C2206&lt;&gt;"C0",IFERROR(INDEX(parametros!$A$2:$A$6,MATCH(C2206,parametros!$B$2:$B$6,0)),"")="Sim",IFERROR(INDEX(parametros!$H$2:$H$6,MATCH(C2206,parametros!$B$2:$B$6,0)),"")=""),"INICIO_EFEITO ausente: PC "&amp;A2206&amp;" - "&amp;C2206,IF(L2206="","EFEITO_PC nao calculado: PC "&amp;A2206&amp;" - "&amp;C2206,"OK")))))))))</f>
        <v/>
      </c>
      <c r="L2206" s="92" t="str">
        <f>IF(AND(A2206="",B2206="",D2206="",G2206=""),"",IF(OR(B2206="",NOT(ISNUMBER(B2206)),C2206="",C2206="Fora dos ciclos"),"",IF(C2206="C0","Nao",IF(IFERROR(INDEX(parametros!$A$2:$A$6,MATCH(C2206,parametros!$B$2:$B$6,0)),"")&lt;&gt;"Sim","Nao",IF(IFERROR(INDEX(parametros!$H$2:$H$6,MATCH(C2206,parametros!$B$2:$B$6,0)),"")="","",IF(B2206&gt;=IFERROR(INDEX(parametros!$H$2:$H$6,MATCH(C2206,parametros!$B$2:$B$6,0)),""),"Sim","Nao"))))))</f>
        <v/>
      </c>
      <c r="T2206" s="156"/>
      <c r="U2206" s="214" t="str">
        <f t="shared" si="176"/>
        <v/>
      </c>
      <c r="V2206" s="212" t="s">
        <v>50</v>
      </c>
      <c r="W2206" s="100" t="s">
        <v>168</v>
      </c>
      <c r="X2206" s="100" t="s">
        <v>169</v>
      </c>
      <c r="Y2206" s="101" t="s">
        <v>170</v>
      </c>
      <c r="Z2206" s="101" t="s">
        <v>171</v>
      </c>
      <c r="AA2206" s="101" t="s">
        <v>50</v>
      </c>
      <c r="AB2206" s="101" t="s">
        <v>172</v>
      </c>
      <c r="AC2206" s="102" t="s">
        <v>173</v>
      </c>
    </row>
    <row r="2207" spans="1:29" ht="25.5" customHeight="1" x14ac:dyDescent="0.35">
      <c r="A2207" s="392"/>
      <c r="B2207" s="393"/>
      <c r="C2207" s="99" t="str">
        <f>IF(B2207="","",IF(NOT(ISNUMBER(B2207)),"DATA_PC invalida",IF(NOT(ISNUMBER(parametros!$C$2)),"Fora dos ciclos",IF(OR(B2207&lt;parametros!$C$2,(YEAR(B2207)-YEAR(parametros!$C$2))*12+MONTH(B2207)-MONTH(parametros!$C$2)&gt;59),"Fora dos ciclos","C"&amp;INT(((YEAR(B2207)-YEAR(parametros!$C$2))*12+MONTH(B2207)-MONTH(parametros!$C$2))/12)))))</f>
        <v/>
      </c>
      <c r="D2207" s="394"/>
      <c r="E2207" s="78" t="str">
        <f>IF(C2207="","",IFERROR(VLOOKUP(C2207,parametros!$A$11:$E$15,5,0),""))</f>
        <v/>
      </c>
      <c r="F2207" s="79" t="str">
        <f t="shared" si="172"/>
        <v/>
      </c>
      <c r="G2207" s="395"/>
      <c r="H2207" s="91">
        <f t="shared" si="173"/>
        <v>0</v>
      </c>
      <c r="I2207" s="91" t="str">
        <f t="shared" si="174"/>
        <v/>
      </c>
      <c r="J2207" s="91" t="str">
        <f t="shared" si="175"/>
        <v/>
      </c>
      <c r="K2207" s="92" t="str">
        <f>IF(AND(A2207="",B2207="",D2207="",G2207=""),"",IF(AND(A2207&lt;&gt;"",COUNTIF($A$2:$A$5001,A2207)&gt;1),"NUMERO_PC duplicado",IF(B2207="","DATA_PC vazia",IF(NOT(ISNUMBER(B2207)),"DATA_PC invalida",IF(OR(C2207="",C2207="Fora dos ciclos"),"CICLO_PC nao identificado",IF(OR(D2207="",D2207=0),"VALOR_PC vazio ou zero",IF(AND(G2207&lt;&gt;"Sim",G2207&lt;&gt;"Nao",G2207&lt;&gt;""),"PC_PAGO_A_CONTRATADA invalido",IF(AND(C2207&lt;&gt;"C0",IFERROR(INDEX(parametros!$A$2:$A$6,MATCH(C2207,parametros!$B$2:$B$6,0)),"")="Sim",IFERROR(INDEX(parametros!$H$2:$H$6,MATCH(C2207,parametros!$B$2:$B$6,0)),"")=""),"INICIO_EFEITO ausente: PC "&amp;A2207&amp;" - "&amp;C2207,IF(L2207="","EFEITO_PC nao calculado: PC "&amp;A2207&amp;" - "&amp;C2207,"OK")))))))))</f>
        <v/>
      </c>
      <c r="L2207" s="92" t="str">
        <f>IF(AND(A2207="",B2207="",D2207="",G2207=""),"",IF(OR(B2207="",NOT(ISNUMBER(B2207)),C2207="",C2207="Fora dos ciclos"),"",IF(C2207="C0","Nao",IF(IFERROR(INDEX(parametros!$A$2:$A$6,MATCH(C2207,parametros!$B$2:$B$6,0)),"")&lt;&gt;"Sim","Nao",IF(IFERROR(INDEX(parametros!$H$2:$H$6,MATCH(C2207,parametros!$B$2:$B$6,0)),"")="","",IF(B2207&gt;=IFERROR(INDEX(parametros!$H$2:$H$6,MATCH(C2207,parametros!$B$2:$B$6,0)),""),"Sim","Nao"))))))</f>
        <v/>
      </c>
      <c r="T2207" s="156"/>
      <c r="U2207" s="214" t="str">
        <f t="shared" si="176"/>
        <v/>
      </c>
      <c r="V2207" s="212" t="s">
        <v>50</v>
      </c>
      <c r="W2207" s="100" t="s">
        <v>168</v>
      </c>
      <c r="X2207" s="100" t="s">
        <v>169</v>
      </c>
      <c r="Y2207" s="101" t="s">
        <v>170</v>
      </c>
      <c r="Z2207" s="101" t="s">
        <v>171</v>
      </c>
      <c r="AA2207" s="101" t="s">
        <v>50</v>
      </c>
      <c r="AB2207" s="101" t="s">
        <v>172</v>
      </c>
      <c r="AC2207" s="102" t="s">
        <v>173</v>
      </c>
    </row>
    <row r="2208" spans="1:29" ht="25.5" customHeight="1" x14ac:dyDescent="0.35">
      <c r="A2208" s="392"/>
      <c r="B2208" s="393"/>
      <c r="C2208" s="99" t="str">
        <f>IF(B2208="","",IF(NOT(ISNUMBER(B2208)),"DATA_PC invalida",IF(NOT(ISNUMBER(parametros!$C$2)),"Fora dos ciclos",IF(OR(B2208&lt;parametros!$C$2,(YEAR(B2208)-YEAR(parametros!$C$2))*12+MONTH(B2208)-MONTH(parametros!$C$2)&gt;59),"Fora dos ciclos","C"&amp;INT(((YEAR(B2208)-YEAR(parametros!$C$2))*12+MONTH(B2208)-MONTH(parametros!$C$2))/12)))))</f>
        <v/>
      </c>
      <c r="D2208" s="394"/>
      <c r="E2208" s="78" t="str">
        <f>IF(C2208="","",IFERROR(VLOOKUP(C2208,parametros!$A$11:$E$15,5,0),""))</f>
        <v/>
      </c>
      <c r="F2208" s="79" t="str">
        <f t="shared" si="172"/>
        <v/>
      </c>
      <c r="G2208" s="395"/>
      <c r="H2208" s="91">
        <f t="shared" si="173"/>
        <v>0</v>
      </c>
      <c r="I2208" s="91" t="str">
        <f t="shared" si="174"/>
        <v/>
      </c>
      <c r="J2208" s="91" t="str">
        <f t="shared" si="175"/>
        <v/>
      </c>
      <c r="K2208" s="92" t="str">
        <f>IF(AND(A2208="",B2208="",D2208="",G2208=""),"",IF(AND(A2208&lt;&gt;"",COUNTIF($A$2:$A$5001,A2208)&gt;1),"NUMERO_PC duplicado",IF(B2208="","DATA_PC vazia",IF(NOT(ISNUMBER(B2208)),"DATA_PC invalida",IF(OR(C2208="",C2208="Fora dos ciclos"),"CICLO_PC nao identificado",IF(OR(D2208="",D2208=0),"VALOR_PC vazio ou zero",IF(AND(G2208&lt;&gt;"Sim",G2208&lt;&gt;"Nao",G2208&lt;&gt;""),"PC_PAGO_A_CONTRATADA invalido",IF(AND(C2208&lt;&gt;"C0",IFERROR(INDEX(parametros!$A$2:$A$6,MATCH(C2208,parametros!$B$2:$B$6,0)),"")="Sim",IFERROR(INDEX(parametros!$H$2:$H$6,MATCH(C2208,parametros!$B$2:$B$6,0)),"")=""),"INICIO_EFEITO ausente: PC "&amp;A2208&amp;" - "&amp;C2208,IF(L2208="","EFEITO_PC nao calculado: PC "&amp;A2208&amp;" - "&amp;C2208,"OK")))))))))</f>
        <v/>
      </c>
      <c r="L2208" s="92" t="str">
        <f>IF(AND(A2208="",B2208="",D2208="",G2208=""),"",IF(OR(B2208="",NOT(ISNUMBER(B2208)),C2208="",C2208="Fora dos ciclos"),"",IF(C2208="C0","Nao",IF(IFERROR(INDEX(parametros!$A$2:$A$6,MATCH(C2208,parametros!$B$2:$B$6,0)),"")&lt;&gt;"Sim","Nao",IF(IFERROR(INDEX(parametros!$H$2:$H$6,MATCH(C2208,parametros!$B$2:$B$6,0)),"")="","",IF(B2208&gt;=IFERROR(INDEX(parametros!$H$2:$H$6,MATCH(C2208,parametros!$B$2:$B$6,0)),""),"Sim","Nao"))))))</f>
        <v/>
      </c>
      <c r="T2208" s="156"/>
      <c r="U2208" s="214" t="str">
        <f t="shared" si="176"/>
        <v/>
      </c>
      <c r="V2208" s="212" t="s">
        <v>50</v>
      </c>
      <c r="W2208" s="100" t="s">
        <v>168</v>
      </c>
      <c r="X2208" s="100" t="s">
        <v>169</v>
      </c>
      <c r="Y2208" s="101" t="s">
        <v>170</v>
      </c>
      <c r="Z2208" s="101" t="s">
        <v>171</v>
      </c>
      <c r="AA2208" s="101" t="s">
        <v>50</v>
      </c>
      <c r="AB2208" s="101" t="s">
        <v>172</v>
      </c>
      <c r="AC2208" s="102" t="s">
        <v>173</v>
      </c>
    </row>
    <row r="2209" spans="1:29" ht="25.5" customHeight="1" x14ac:dyDescent="0.35">
      <c r="A2209" s="392"/>
      <c r="B2209" s="393"/>
      <c r="C2209" s="99" t="str">
        <f>IF(B2209="","",IF(NOT(ISNUMBER(B2209)),"DATA_PC invalida",IF(NOT(ISNUMBER(parametros!$C$2)),"Fora dos ciclos",IF(OR(B2209&lt;parametros!$C$2,(YEAR(B2209)-YEAR(parametros!$C$2))*12+MONTH(B2209)-MONTH(parametros!$C$2)&gt;59),"Fora dos ciclos","C"&amp;INT(((YEAR(B2209)-YEAR(parametros!$C$2))*12+MONTH(B2209)-MONTH(parametros!$C$2))/12)))))</f>
        <v/>
      </c>
      <c r="D2209" s="394"/>
      <c r="E2209" s="78" t="str">
        <f>IF(C2209="","",IFERROR(VLOOKUP(C2209,parametros!$A$11:$E$15,5,0),""))</f>
        <v/>
      </c>
      <c r="F2209" s="79" t="str">
        <f t="shared" si="172"/>
        <v/>
      </c>
      <c r="G2209" s="395"/>
      <c r="H2209" s="91">
        <f t="shared" si="173"/>
        <v>0</v>
      </c>
      <c r="I2209" s="91" t="str">
        <f t="shared" si="174"/>
        <v/>
      </c>
      <c r="J2209" s="91" t="str">
        <f t="shared" si="175"/>
        <v/>
      </c>
      <c r="K2209" s="92" t="str">
        <f>IF(AND(A2209="",B2209="",D2209="",G2209=""),"",IF(AND(A2209&lt;&gt;"",COUNTIF($A$2:$A$5001,A2209)&gt;1),"NUMERO_PC duplicado",IF(B2209="","DATA_PC vazia",IF(NOT(ISNUMBER(B2209)),"DATA_PC invalida",IF(OR(C2209="",C2209="Fora dos ciclos"),"CICLO_PC nao identificado",IF(OR(D2209="",D2209=0),"VALOR_PC vazio ou zero",IF(AND(G2209&lt;&gt;"Sim",G2209&lt;&gt;"Nao",G2209&lt;&gt;""),"PC_PAGO_A_CONTRATADA invalido",IF(AND(C2209&lt;&gt;"C0",IFERROR(INDEX(parametros!$A$2:$A$6,MATCH(C2209,parametros!$B$2:$B$6,0)),"")="Sim",IFERROR(INDEX(parametros!$H$2:$H$6,MATCH(C2209,parametros!$B$2:$B$6,0)),"")=""),"INICIO_EFEITO ausente: PC "&amp;A2209&amp;" - "&amp;C2209,IF(L2209="","EFEITO_PC nao calculado: PC "&amp;A2209&amp;" - "&amp;C2209,"OK")))))))))</f>
        <v/>
      </c>
      <c r="L2209" s="92" t="str">
        <f>IF(AND(A2209="",B2209="",D2209="",G2209=""),"",IF(OR(B2209="",NOT(ISNUMBER(B2209)),C2209="",C2209="Fora dos ciclos"),"",IF(C2209="C0","Nao",IF(IFERROR(INDEX(parametros!$A$2:$A$6,MATCH(C2209,parametros!$B$2:$B$6,0)),"")&lt;&gt;"Sim","Nao",IF(IFERROR(INDEX(parametros!$H$2:$H$6,MATCH(C2209,parametros!$B$2:$B$6,0)),"")="","",IF(B2209&gt;=IFERROR(INDEX(parametros!$H$2:$H$6,MATCH(C2209,parametros!$B$2:$B$6,0)),""),"Sim","Nao"))))))</f>
        <v/>
      </c>
      <c r="T2209" s="156"/>
      <c r="U2209" s="214" t="str">
        <f t="shared" si="176"/>
        <v/>
      </c>
      <c r="V2209" s="212" t="s">
        <v>50</v>
      </c>
      <c r="W2209" s="100" t="s">
        <v>168</v>
      </c>
      <c r="X2209" s="100" t="s">
        <v>169</v>
      </c>
      <c r="Y2209" s="101" t="s">
        <v>170</v>
      </c>
      <c r="Z2209" s="101" t="s">
        <v>171</v>
      </c>
      <c r="AA2209" s="101" t="s">
        <v>50</v>
      </c>
      <c r="AB2209" s="101" t="s">
        <v>172</v>
      </c>
      <c r="AC2209" s="102" t="s">
        <v>173</v>
      </c>
    </row>
    <row r="2210" spans="1:29" ht="25.5" customHeight="1" x14ac:dyDescent="0.35">
      <c r="A2210" s="392"/>
      <c r="B2210" s="393"/>
      <c r="C2210" s="99" t="str">
        <f>IF(B2210="","",IF(NOT(ISNUMBER(B2210)),"DATA_PC invalida",IF(NOT(ISNUMBER(parametros!$C$2)),"Fora dos ciclos",IF(OR(B2210&lt;parametros!$C$2,(YEAR(B2210)-YEAR(parametros!$C$2))*12+MONTH(B2210)-MONTH(parametros!$C$2)&gt;59),"Fora dos ciclos","C"&amp;INT(((YEAR(B2210)-YEAR(parametros!$C$2))*12+MONTH(B2210)-MONTH(parametros!$C$2))/12)))))</f>
        <v/>
      </c>
      <c r="D2210" s="394"/>
      <c r="E2210" s="78" t="str">
        <f>IF(C2210="","",IFERROR(VLOOKUP(C2210,parametros!$A$11:$E$15,5,0),""))</f>
        <v/>
      </c>
      <c r="F2210" s="79" t="str">
        <f t="shared" si="172"/>
        <v/>
      </c>
      <c r="G2210" s="395"/>
      <c r="H2210" s="91">
        <f t="shared" si="173"/>
        <v>0</v>
      </c>
      <c r="I2210" s="91" t="str">
        <f t="shared" si="174"/>
        <v/>
      </c>
      <c r="J2210" s="91" t="str">
        <f t="shared" si="175"/>
        <v/>
      </c>
      <c r="K2210" s="92" t="str">
        <f>IF(AND(A2210="",B2210="",D2210="",G2210=""),"",IF(AND(A2210&lt;&gt;"",COUNTIF($A$2:$A$5001,A2210)&gt;1),"NUMERO_PC duplicado",IF(B2210="","DATA_PC vazia",IF(NOT(ISNUMBER(B2210)),"DATA_PC invalida",IF(OR(C2210="",C2210="Fora dos ciclos"),"CICLO_PC nao identificado",IF(OR(D2210="",D2210=0),"VALOR_PC vazio ou zero",IF(AND(G2210&lt;&gt;"Sim",G2210&lt;&gt;"Nao",G2210&lt;&gt;""),"PC_PAGO_A_CONTRATADA invalido",IF(AND(C2210&lt;&gt;"C0",IFERROR(INDEX(parametros!$A$2:$A$6,MATCH(C2210,parametros!$B$2:$B$6,0)),"")="Sim",IFERROR(INDEX(parametros!$H$2:$H$6,MATCH(C2210,parametros!$B$2:$B$6,0)),"")=""),"INICIO_EFEITO ausente: PC "&amp;A2210&amp;" - "&amp;C2210,IF(L2210="","EFEITO_PC nao calculado: PC "&amp;A2210&amp;" - "&amp;C2210,"OK")))))))))</f>
        <v/>
      </c>
      <c r="L2210" s="92" t="str">
        <f>IF(AND(A2210="",B2210="",D2210="",G2210=""),"",IF(OR(B2210="",NOT(ISNUMBER(B2210)),C2210="",C2210="Fora dos ciclos"),"",IF(C2210="C0","Nao",IF(IFERROR(INDEX(parametros!$A$2:$A$6,MATCH(C2210,parametros!$B$2:$B$6,0)),"")&lt;&gt;"Sim","Nao",IF(IFERROR(INDEX(parametros!$H$2:$H$6,MATCH(C2210,parametros!$B$2:$B$6,0)),"")="","",IF(B2210&gt;=IFERROR(INDEX(parametros!$H$2:$H$6,MATCH(C2210,parametros!$B$2:$B$6,0)),""),"Sim","Nao"))))))</f>
        <v/>
      </c>
      <c r="T2210" s="156"/>
      <c r="U2210" s="214" t="str">
        <f t="shared" si="176"/>
        <v/>
      </c>
      <c r="V2210" s="212" t="s">
        <v>50</v>
      </c>
      <c r="W2210" s="100" t="s">
        <v>168</v>
      </c>
      <c r="X2210" s="100" t="s">
        <v>169</v>
      </c>
      <c r="Y2210" s="101" t="s">
        <v>170</v>
      </c>
      <c r="Z2210" s="101" t="s">
        <v>171</v>
      </c>
      <c r="AA2210" s="101" t="s">
        <v>50</v>
      </c>
      <c r="AB2210" s="101" t="s">
        <v>172</v>
      </c>
      <c r="AC2210" s="102" t="s">
        <v>173</v>
      </c>
    </row>
    <row r="2211" spans="1:29" ht="25.5" customHeight="1" x14ac:dyDescent="0.35">
      <c r="A2211" s="392"/>
      <c r="B2211" s="393"/>
      <c r="C2211" s="99" t="str">
        <f>IF(B2211="","",IF(NOT(ISNUMBER(B2211)),"DATA_PC invalida",IF(NOT(ISNUMBER(parametros!$C$2)),"Fora dos ciclos",IF(OR(B2211&lt;parametros!$C$2,(YEAR(B2211)-YEAR(parametros!$C$2))*12+MONTH(B2211)-MONTH(parametros!$C$2)&gt;59),"Fora dos ciclos","C"&amp;INT(((YEAR(B2211)-YEAR(parametros!$C$2))*12+MONTH(B2211)-MONTH(parametros!$C$2))/12)))))</f>
        <v/>
      </c>
      <c r="D2211" s="394"/>
      <c r="E2211" s="78" t="str">
        <f>IF(C2211="","",IFERROR(VLOOKUP(C2211,parametros!$A$11:$E$15,5,0),""))</f>
        <v/>
      </c>
      <c r="F2211" s="79" t="str">
        <f t="shared" si="172"/>
        <v/>
      </c>
      <c r="G2211" s="395"/>
      <c r="H2211" s="91">
        <f t="shared" si="173"/>
        <v>0</v>
      </c>
      <c r="I2211" s="91" t="str">
        <f t="shared" si="174"/>
        <v/>
      </c>
      <c r="J2211" s="91" t="str">
        <f t="shared" si="175"/>
        <v/>
      </c>
      <c r="K2211" s="92" t="str">
        <f>IF(AND(A2211="",B2211="",D2211="",G2211=""),"",IF(AND(A2211&lt;&gt;"",COUNTIF($A$2:$A$5001,A2211)&gt;1),"NUMERO_PC duplicado",IF(B2211="","DATA_PC vazia",IF(NOT(ISNUMBER(B2211)),"DATA_PC invalida",IF(OR(C2211="",C2211="Fora dos ciclos"),"CICLO_PC nao identificado",IF(OR(D2211="",D2211=0),"VALOR_PC vazio ou zero",IF(AND(G2211&lt;&gt;"Sim",G2211&lt;&gt;"Nao",G2211&lt;&gt;""),"PC_PAGO_A_CONTRATADA invalido",IF(AND(C2211&lt;&gt;"C0",IFERROR(INDEX(parametros!$A$2:$A$6,MATCH(C2211,parametros!$B$2:$B$6,0)),"")="Sim",IFERROR(INDEX(parametros!$H$2:$H$6,MATCH(C2211,parametros!$B$2:$B$6,0)),"")=""),"INICIO_EFEITO ausente: PC "&amp;A2211&amp;" - "&amp;C2211,IF(L2211="","EFEITO_PC nao calculado: PC "&amp;A2211&amp;" - "&amp;C2211,"OK")))))))))</f>
        <v/>
      </c>
      <c r="L2211" s="92" t="str">
        <f>IF(AND(A2211="",B2211="",D2211="",G2211=""),"",IF(OR(B2211="",NOT(ISNUMBER(B2211)),C2211="",C2211="Fora dos ciclos"),"",IF(C2211="C0","Nao",IF(IFERROR(INDEX(parametros!$A$2:$A$6,MATCH(C2211,parametros!$B$2:$B$6,0)),"")&lt;&gt;"Sim","Nao",IF(IFERROR(INDEX(parametros!$H$2:$H$6,MATCH(C2211,parametros!$B$2:$B$6,0)),"")="","",IF(B2211&gt;=IFERROR(INDEX(parametros!$H$2:$H$6,MATCH(C2211,parametros!$B$2:$B$6,0)),""),"Sim","Nao"))))))</f>
        <v/>
      </c>
      <c r="T2211" s="156"/>
      <c r="U2211" s="214" t="str">
        <f t="shared" si="176"/>
        <v/>
      </c>
      <c r="V2211" s="212" t="s">
        <v>50</v>
      </c>
      <c r="W2211" s="100" t="s">
        <v>168</v>
      </c>
      <c r="X2211" s="100" t="s">
        <v>169</v>
      </c>
      <c r="Y2211" s="101" t="s">
        <v>170</v>
      </c>
      <c r="Z2211" s="101" t="s">
        <v>171</v>
      </c>
      <c r="AA2211" s="101" t="s">
        <v>50</v>
      </c>
      <c r="AB2211" s="101" t="s">
        <v>172</v>
      </c>
      <c r="AC2211" s="102" t="s">
        <v>173</v>
      </c>
    </row>
    <row r="2212" spans="1:29" ht="25.5" customHeight="1" x14ac:dyDescent="0.35">
      <c r="A2212" s="392"/>
      <c r="B2212" s="393"/>
      <c r="C2212" s="99" t="str">
        <f>IF(B2212="","",IF(NOT(ISNUMBER(B2212)),"DATA_PC invalida",IF(NOT(ISNUMBER(parametros!$C$2)),"Fora dos ciclos",IF(OR(B2212&lt;parametros!$C$2,(YEAR(B2212)-YEAR(parametros!$C$2))*12+MONTH(B2212)-MONTH(parametros!$C$2)&gt;59),"Fora dos ciclos","C"&amp;INT(((YEAR(B2212)-YEAR(parametros!$C$2))*12+MONTH(B2212)-MONTH(parametros!$C$2))/12)))))</f>
        <v/>
      </c>
      <c r="D2212" s="394"/>
      <c r="E2212" s="78" t="str">
        <f>IF(C2212="","",IFERROR(VLOOKUP(C2212,parametros!$A$11:$E$15,5,0),""))</f>
        <v/>
      </c>
      <c r="F2212" s="79" t="str">
        <f t="shared" si="172"/>
        <v/>
      </c>
      <c r="G2212" s="395"/>
      <c r="H2212" s="91">
        <f t="shared" si="173"/>
        <v>0</v>
      </c>
      <c r="I2212" s="91" t="str">
        <f t="shared" si="174"/>
        <v/>
      </c>
      <c r="J2212" s="91" t="str">
        <f t="shared" si="175"/>
        <v/>
      </c>
      <c r="K2212" s="92" t="str">
        <f>IF(AND(A2212="",B2212="",D2212="",G2212=""),"",IF(AND(A2212&lt;&gt;"",COUNTIF($A$2:$A$5001,A2212)&gt;1),"NUMERO_PC duplicado",IF(B2212="","DATA_PC vazia",IF(NOT(ISNUMBER(B2212)),"DATA_PC invalida",IF(OR(C2212="",C2212="Fora dos ciclos"),"CICLO_PC nao identificado",IF(OR(D2212="",D2212=0),"VALOR_PC vazio ou zero",IF(AND(G2212&lt;&gt;"Sim",G2212&lt;&gt;"Nao",G2212&lt;&gt;""),"PC_PAGO_A_CONTRATADA invalido",IF(AND(C2212&lt;&gt;"C0",IFERROR(INDEX(parametros!$A$2:$A$6,MATCH(C2212,parametros!$B$2:$B$6,0)),"")="Sim",IFERROR(INDEX(parametros!$H$2:$H$6,MATCH(C2212,parametros!$B$2:$B$6,0)),"")=""),"INICIO_EFEITO ausente: PC "&amp;A2212&amp;" - "&amp;C2212,IF(L2212="","EFEITO_PC nao calculado: PC "&amp;A2212&amp;" - "&amp;C2212,"OK")))))))))</f>
        <v/>
      </c>
      <c r="L2212" s="92" t="str">
        <f>IF(AND(A2212="",B2212="",D2212="",G2212=""),"",IF(OR(B2212="",NOT(ISNUMBER(B2212)),C2212="",C2212="Fora dos ciclos"),"",IF(C2212="C0","Nao",IF(IFERROR(INDEX(parametros!$A$2:$A$6,MATCH(C2212,parametros!$B$2:$B$6,0)),"")&lt;&gt;"Sim","Nao",IF(IFERROR(INDEX(parametros!$H$2:$H$6,MATCH(C2212,parametros!$B$2:$B$6,0)),"")="","",IF(B2212&gt;=IFERROR(INDEX(parametros!$H$2:$H$6,MATCH(C2212,parametros!$B$2:$B$6,0)),""),"Sim","Nao"))))))</f>
        <v/>
      </c>
      <c r="T2212" s="156"/>
      <c r="U2212" s="214" t="str">
        <f t="shared" si="176"/>
        <v/>
      </c>
      <c r="V2212" s="212" t="s">
        <v>50</v>
      </c>
      <c r="W2212" s="100" t="s">
        <v>168</v>
      </c>
      <c r="X2212" s="100" t="s">
        <v>169</v>
      </c>
      <c r="Y2212" s="101" t="s">
        <v>170</v>
      </c>
      <c r="Z2212" s="101" t="s">
        <v>171</v>
      </c>
      <c r="AA2212" s="101" t="s">
        <v>50</v>
      </c>
      <c r="AB2212" s="101" t="s">
        <v>172</v>
      </c>
      <c r="AC2212" s="102" t="s">
        <v>173</v>
      </c>
    </row>
    <row r="2213" spans="1:29" ht="25.5" customHeight="1" x14ac:dyDescent="0.35">
      <c r="A2213" s="392"/>
      <c r="B2213" s="393"/>
      <c r="C2213" s="99" t="str">
        <f>IF(B2213="","",IF(NOT(ISNUMBER(B2213)),"DATA_PC invalida",IF(NOT(ISNUMBER(parametros!$C$2)),"Fora dos ciclos",IF(OR(B2213&lt;parametros!$C$2,(YEAR(B2213)-YEAR(parametros!$C$2))*12+MONTH(B2213)-MONTH(parametros!$C$2)&gt;59),"Fora dos ciclos","C"&amp;INT(((YEAR(B2213)-YEAR(parametros!$C$2))*12+MONTH(B2213)-MONTH(parametros!$C$2))/12)))))</f>
        <v/>
      </c>
      <c r="D2213" s="394"/>
      <c r="E2213" s="78" t="str">
        <f>IF(C2213="","",IFERROR(VLOOKUP(C2213,parametros!$A$11:$E$15,5,0),""))</f>
        <v/>
      </c>
      <c r="F2213" s="79" t="str">
        <f t="shared" si="172"/>
        <v/>
      </c>
      <c r="G2213" s="395"/>
      <c r="H2213" s="91">
        <f t="shared" si="173"/>
        <v>0</v>
      </c>
      <c r="I2213" s="91" t="str">
        <f t="shared" si="174"/>
        <v/>
      </c>
      <c r="J2213" s="91" t="str">
        <f t="shared" si="175"/>
        <v/>
      </c>
      <c r="K2213" s="92" t="str">
        <f>IF(AND(A2213="",B2213="",D2213="",G2213=""),"",IF(AND(A2213&lt;&gt;"",COUNTIF($A$2:$A$5001,A2213)&gt;1),"NUMERO_PC duplicado",IF(B2213="","DATA_PC vazia",IF(NOT(ISNUMBER(B2213)),"DATA_PC invalida",IF(OR(C2213="",C2213="Fora dos ciclos"),"CICLO_PC nao identificado",IF(OR(D2213="",D2213=0),"VALOR_PC vazio ou zero",IF(AND(G2213&lt;&gt;"Sim",G2213&lt;&gt;"Nao",G2213&lt;&gt;""),"PC_PAGO_A_CONTRATADA invalido",IF(AND(C2213&lt;&gt;"C0",IFERROR(INDEX(parametros!$A$2:$A$6,MATCH(C2213,parametros!$B$2:$B$6,0)),"")="Sim",IFERROR(INDEX(parametros!$H$2:$H$6,MATCH(C2213,parametros!$B$2:$B$6,0)),"")=""),"INICIO_EFEITO ausente: PC "&amp;A2213&amp;" - "&amp;C2213,IF(L2213="","EFEITO_PC nao calculado: PC "&amp;A2213&amp;" - "&amp;C2213,"OK")))))))))</f>
        <v/>
      </c>
      <c r="L2213" s="92" t="str">
        <f>IF(AND(A2213="",B2213="",D2213="",G2213=""),"",IF(OR(B2213="",NOT(ISNUMBER(B2213)),C2213="",C2213="Fora dos ciclos"),"",IF(C2213="C0","Nao",IF(IFERROR(INDEX(parametros!$A$2:$A$6,MATCH(C2213,parametros!$B$2:$B$6,0)),"")&lt;&gt;"Sim","Nao",IF(IFERROR(INDEX(parametros!$H$2:$H$6,MATCH(C2213,parametros!$B$2:$B$6,0)),"")="","",IF(B2213&gt;=IFERROR(INDEX(parametros!$H$2:$H$6,MATCH(C2213,parametros!$B$2:$B$6,0)),""),"Sim","Nao"))))))</f>
        <v/>
      </c>
      <c r="T2213" s="156"/>
      <c r="U2213" s="214" t="str">
        <f t="shared" si="176"/>
        <v/>
      </c>
      <c r="V2213" s="212" t="s">
        <v>50</v>
      </c>
      <c r="W2213" s="100" t="s">
        <v>168</v>
      </c>
      <c r="X2213" s="100" t="s">
        <v>169</v>
      </c>
      <c r="Y2213" s="101" t="s">
        <v>170</v>
      </c>
      <c r="Z2213" s="101" t="s">
        <v>171</v>
      </c>
      <c r="AA2213" s="101" t="s">
        <v>50</v>
      </c>
      <c r="AB2213" s="101" t="s">
        <v>172</v>
      </c>
      <c r="AC2213" s="102" t="s">
        <v>173</v>
      </c>
    </row>
    <row r="2214" spans="1:29" ht="25.5" customHeight="1" x14ac:dyDescent="0.35">
      <c r="A2214" s="392"/>
      <c r="B2214" s="393"/>
      <c r="C2214" s="99" t="str">
        <f>IF(B2214="","",IF(NOT(ISNUMBER(B2214)),"DATA_PC invalida",IF(NOT(ISNUMBER(parametros!$C$2)),"Fora dos ciclos",IF(OR(B2214&lt;parametros!$C$2,(YEAR(B2214)-YEAR(parametros!$C$2))*12+MONTH(B2214)-MONTH(parametros!$C$2)&gt;59),"Fora dos ciclos","C"&amp;INT(((YEAR(B2214)-YEAR(parametros!$C$2))*12+MONTH(B2214)-MONTH(parametros!$C$2))/12)))))</f>
        <v/>
      </c>
      <c r="D2214" s="394"/>
      <c r="E2214" s="78" t="str">
        <f>IF(C2214="","",IFERROR(VLOOKUP(C2214,parametros!$A$11:$E$15,5,0),""))</f>
        <v/>
      </c>
      <c r="F2214" s="79" t="str">
        <f t="shared" si="172"/>
        <v/>
      </c>
      <c r="G2214" s="395"/>
      <c r="H2214" s="91">
        <f t="shared" si="173"/>
        <v>0</v>
      </c>
      <c r="I2214" s="91" t="str">
        <f t="shared" si="174"/>
        <v/>
      </c>
      <c r="J2214" s="91" t="str">
        <f t="shared" si="175"/>
        <v/>
      </c>
      <c r="K2214" s="92" t="str">
        <f>IF(AND(A2214="",B2214="",D2214="",G2214=""),"",IF(AND(A2214&lt;&gt;"",COUNTIF($A$2:$A$5001,A2214)&gt;1),"NUMERO_PC duplicado",IF(B2214="","DATA_PC vazia",IF(NOT(ISNUMBER(B2214)),"DATA_PC invalida",IF(OR(C2214="",C2214="Fora dos ciclos"),"CICLO_PC nao identificado",IF(OR(D2214="",D2214=0),"VALOR_PC vazio ou zero",IF(AND(G2214&lt;&gt;"Sim",G2214&lt;&gt;"Nao",G2214&lt;&gt;""),"PC_PAGO_A_CONTRATADA invalido",IF(AND(C2214&lt;&gt;"C0",IFERROR(INDEX(parametros!$A$2:$A$6,MATCH(C2214,parametros!$B$2:$B$6,0)),"")="Sim",IFERROR(INDEX(parametros!$H$2:$H$6,MATCH(C2214,parametros!$B$2:$B$6,0)),"")=""),"INICIO_EFEITO ausente: PC "&amp;A2214&amp;" - "&amp;C2214,IF(L2214="","EFEITO_PC nao calculado: PC "&amp;A2214&amp;" - "&amp;C2214,"OK")))))))))</f>
        <v/>
      </c>
      <c r="L2214" s="92" t="str">
        <f>IF(AND(A2214="",B2214="",D2214="",G2214=""),"",IF(OR(B2214="",NOT(ISNUMBER(B2214)),C2214="",C2214="Fora dos ciclos"),"",IF(C2214="C0","Nao",IF(IFERROR(INDEX(parametros!$A$2:$A$6,MATCH(C2214,parametros!$B$2:$B$6,0)),"")&lt;&gt;"Sim","Nao",IF(IFERROR(INDEX(parametros!$H$2:$H$6,MATCH(C2214,parametros!$B$2:$B$6,0)),"")="","",IF(B2214&gt;=IFERROR(INDEX(parametros!$H$2:$H$6,MATCH(C2214,parametros!$B$2:$B$6,0)),""),"Sim","Nao"))))))</f>
        <v/>
      </c>
      <c r="T2214" s="156"/>
      <c r="U2214" s="214" t="str">
        <f t="shared" si="176"/>
        <v/>
      </c>
      <c r="V2214" s="212" t="s">
        <v>50</v>
      </c>
      <c r="W2214" s="100" t="s">
        <v>168</v>
      </c>
      <c r="X2214" s="100" t="s">
        <v>169</v>
      </c>
      <c r="Y2214" s="101" t="s">
        <v>170</v>
      </c>
      <c r="Z2214" s="101" t="s">
        <v>171</v>
      </c>
      <c r="AA2214" s="101" t="s">
        <v>50</v>
      </c>
      <c r="AB2214" s="101" t="s">
        <v>172</v>
      </c>
      <c r="AC2214" s="102" t="s">
        <v>173</v>
      </c>
    </row>
    <row r="2215" spans="1:29" ht="25.5" customHeight="1" x14ac:dyDescent="0.35">
      <c r="A2215" s="392"/>
      <c r="B2215" s="393"/>
      <c r="C2215" s="99" t="str">
        <f>IF(B2215="","",IF(NOT(ISNUMBER(B2215)),"DATA_PC invalida",IF(NOT(ISNUMBER(parametros!$C$2)),"Fora dos ciclos",IF(OR(B2215&lt;parametros!$C$2,(YEAR(B2215)-YEAR(parametros!$C$2))*12+MONTH(B2215)-MONTH(parametros!$C$2)&gt;59),"Fora dos ciclos","C"&amp;INT(((YEAR(B2215)-YEAR(parametros!$C$2))*12+MONTH(B2215)-MONTH(parametros!$C$2))/12)))))</f>
        <v/>
      </c>
      <c r="D2215" s="394"/>
      <c r="E2215" s="78" t="str">
        <f>IF(C2215="","",IFERROR(VLOOKUP(C2215,parametros!$A$11:$E$15,5,0),""))</f>
        <v/>
      </c>
      <c r="F2215" s="79" t="str">
        <f t="shared" si="172"/>
        <v/>
      </c>
      <c r="G2215" s="395"/>
      <c r="H2215" s="91">
        <f t="shared" si="173"/>
        <v>0</v>
      </c>
      <c r="I2215" s="91" t="str">
        <f t="shared" si="174"/>
        <v/>
      </c>
      <c r="J2215" s="91" t="str">
        <f t="shared" si="175"/>
        <v/>
      </c>
      <c r="K2215" s="92" t="str">
        <f>IF(AND(A2215="",B2215="",D2215="",G2215=""),"",IF(AND(A2215&lt;&gt;"",COUNTIF($A$2:$A$5001,A2215)&gt;1),"NUMERO_PC duplicado",IF(B2215="","DATA_PC vazia",IF(NOT(ISNUMBER(B2215)),"DATA_PC invalida",IF(OR(C2215="",C2215="Fora dos ciclos"),"CICLO_PC nao identificado",IF(OR(D2215="",D2215=0),"VALOR_PC vazio ou zero",IF(AND(G2215&lt;&gt;"Sim",G2215&lt;&gt;"Nao",G2215&lt;&gt;""),"PC_PAGO_A_CONTRATADA invalido",IF(AND(C2215&lt;&gt;"C0",IFERROR(INDEX(parametros!$A$2:$A$6,MATCH(C2215,parametros!$B$2:$B$6,0)),"")="Sim",IFERROR(INDEX(parametros!$H$2:$H$6,MATCH(C2215,parametros!$B$2:$B$6,0)),"")=""),"INICIO_EFEITO ausente: PC "&amp;A2215&amp;" - "&amp;C2215,IF(L2215="","EFEITO_PC nao calculado: PC "&amp;A2215&amp;" - "&amp;C2215,"OK")))))))))</f>
        <v/>
      </c>
      <c r="L2215" s="92" t="str">
        <f>IF(AND(A2215="",B2215="",D2215="",G2215=""),"",IF(OR(B2215="",NOT(ISNUMBER(B2215)),C2215="",C2215="Fora dos ciclos"),"",IF(C2215="C0","Nao",IF(IFERROR(INDEX(parametros!$A$2:$A$6,MATCH(C2215,parametros!$B$2:$B$6,0)),"")&lt;&gt;"Sim","Nao",IF(IFERROR(INDEX(parametros!$H$2:$H$6,MATCH(C2215,parametros!$B$2:$B$6,0)),"")="","",IF(B2215&gt;=IFERROR(INDEX(parametros!$H$2:$H$6,MATCH(C2215,parametros!$B$2:$B$6,0)),""),"Sim","Nao"))))))</f>
        <v/>
      </c>
      <c r="T2215" s="156"/>
      <c r="U2215" s="214" t="str">
        <f t="shared" si="176"/>
        <v/>
      </c>
      <c r="V2215" s="212" t="s">
        <v>50</v>
      </c>
      <c r="W2215" s="100" t="s">
        <v>168</v>
      </c>
      <c r="X2215" s="100" t="s">
        <v>169</v>
      </c>
      <c r="Y2215" s="101" t="s">
        <v>170</v>
      </c>
      <c r="Z2215" s="101" t="s">
        <v>171</v>
      </c>
      <c r="AA2215" s="101" t="s">
        <v>50</v>
      </c>
      <c r="AB2215" s="101" t="s">
        <v>172</v>
      </c>
      <c r="AC2215" s="102" t="s">
        <v>173</v>
      </c>
    </row>
    <row r="2216" spans="1:29" ht="25.5" customHeight="1" x14ac:dyDescent="0.35">
      <c r="A2216" s="392"/>
      <c r="B2216" s="393"/>
      <c r="C2216" s="99" t="str">
        <f>IF(B2216="","",IF(NOT(ISNUMBER(B2216)),"DATA_PC invalida",IF(NOT(ISNUMBER(parametros!$C$2)),"Fora dos ciclos",IF(OR(B2216&lt;parametros!$C$2,(YEAR(B2216)-YEAR(parametros!$C$2))*12+MONTH(B2216)-MONTH(parametros!$C$2)&gt;59),"Fora dos ciclos","C"&amp;INT(((YEAR(B2216)-YEAR(parametros!$C$2))*12+MONTH(B2216)-MONTH(parametros!$C$2))/12)))))</f>
        <v/>
      </c>
      <c r="D2216" s="394"/>
      <c r="E2216" s="78" t="str">
        <f>IF(C2216="","",IFERROR(VLOOKUP(C2216,parametros!$A$11:$E$15,5,0),""))</f>
        <v/>
      </c>
      <c r="F2216" s="79" t="str">
        <f t="shared" si="172"/>
        <v/>
      </c>
      <c r="G2216" s="395"/>
      <c r="H2216" s="91">
        <f t="shared" si="173"/>
        <v>0</v>
      </c>
      <c r="I2216" s="91" t="str">
        <f t="shared" si="174"/>
        <v/>
      </c>
      <c r="J2216" s="91" t="str">
        <f t="shared" si="175"/>
        <v/>
      </c>
      <c r="K2216" s="92" t="str">
        <f>IF(AND(A2216="",B2216="",D2216="",G2216=""),"",IF(AND(A2216&lt;&gt;"",COUNTIF($A$2:$A$5001,A2216)&gt;1),"NUMERO_PC duplicado",IF(B2216="","DATA_PC vazia",IF(NOT(ISNUMBER(B2216)),"DATA_PC invalida",IF(OR(C2216="",C2216="Fora dos ciclos"),"CICLO_PC nao identificado",IF(OR(D2216="",D2216=0),"VALOR_PC vazio ou zero",IF(AND(G2216&lt;&gt;"Sim",G2216&lt;&gt;"Nao",G2216&lt;&gt;""),"PC_PAGO_A_CONTRATADA invalido",IF(AND(C2216&lt;&gt;"C0",IFERROR(INDEX(parametros!$A$2:$A$6,MATCH(C2216,parametros!$B$2:$B$6,0)),"")="Sim",IFERROR(INDEX(parametros!$H$2:$H$6,MATCH(C2216,parametros!$B$2:$B$6,0)),"")=""),"INICIO_EFEITO ausente: PC "&amp;A2216&amp;" - "&amp;C2216,IF(L2216="","EFEITO_PC nao calculado: PC "&amp;A2216&amp;" - "&amp;C2216,"OK")))))))))</f>
        <v/>
      </c>
      <c r="L2216" s="92" t="str">
        <f>IF(AND(A2216="",B2216="",D2216="",G2216=""),"",IF(OR(B2216="",NOT(ISNUMBER(B2216)),C2216="",C2216="Fora dos ciclos"),"",IF(C2216="C0","Nao",IF(IFERROR(INDEX(parametros!$A$2:$A$6,MATCH(C2216,parametros!$B$2:$B$6,0)),"")&lt;&gt;"Sim","Nao",IF(IFERROR(INDEX(parametros!$H$2:$H$6,MATCH(C2216,parametros!$B$2:$B$6,0)),"")="","",IF(B2216&gt;=IFERROR(INDEX(parametros!$H$2:$H$6,MATCH(C2216,parametros!$B$2:$B$6,0)),""),"Sim","Nao"))))))</f>
        <v/>
      </c>
      <c r="T2216" s="156"/>
      <c r="U2216" s="214" t="str">
        <f t="shared" si="176"/>
        <v/>
      </c>
      <c r="V2216" s="212" t="s">
        <v>50</v>
      </c>
      <c r="W2216" s="100" t="s">
        <v>168</v>
      </c>
      <c r="X2216" s="100" t="s">
        <v>169</v>
      </c>
      <c r="Y2216" s="101" t="s">
        <v>170</v>
      </c>
      <c r="Z2216" s="101" t="s">
        <v>171</v>
      </c>
      <c r="AA2216" s="101" t="s">
        <v>50</v>
      </c>
      <c r="AB2216" s="101" t="s">
        <v>172</v>
      </c>
      <c r="AC2216" s="102" t="s">
        <v>173</v>
      </c>
    </row>
    <row r="2217" spans="1:29" ht="25.5" customHeight="1" x14ac:dyDescent="0.35">
      <c r="A2217" s="392"/>
      <c r="B2217" s="393"/>
      <c r="C2217" s="99" t="str">
        <f>IF(B2217="","",IF(NOT(ISNUMBER(B2217)),"DATA_PC invalida",IF(NOT(ISNUMBER(parametros!$C$2)),"Fora dos ciclos",IF(OR(B2217&lt;parametros!$C$2,(YEAR(B2217)-YEAR(parametros!$C$2))*12+MONTH(B2217)-MONTH(parametros!$C$2)&gt;59),"Fora dos ciclos","C"&amp;INT(((YEAR(B2217)-YEAR(parametros!$C$2))*12+MONTH(B2217)-MONTH(parametros!$C$2))/12)))))</f>
        <v/>
      </c>
      <c r="D2217" s="394"/>
      <c r="E2217" s="78" t="str">
        <f>IF(C2217="","",IFERROR(VLOOKUP(C2217,parametros!$A$11:$E$15,5,0),""))</f>
        <v/>
      </c>
      <c r="F2217" s="79" t="str">
        <f t="shared" si="172"/>
        <v/>
      </c>
      <c r="G2217" s="395"/>
      <c r="H2217" s="91">
        <f t="shared" si="173"/>
        <v>0</v>
      </c>
      <c r="I2217" s="91" t="str">
        <f t="shared" si="174"/>
        <v/>
      </c>
      <c r="J2217" s="91" t="str">
        <f t="shared" si="175"/>
        <v/>
      </c>
      <c r="K2217" s="92" t="str">
        <f>IF(AND(A2217="",B2217="",D2217="",G2217=""),"",IF(AND(A2217&lt;&gt;"",COUNTIF($A$2:$A$5001,A2217)&gt;1),"NUMERO_PC duplicado",IF(B2217="","DATA_PC vazia",IF(NOT(ISNUMBER(B2217)),"DATA_PC invalida",IF(OR(C2217="",C2217="Fora dos ciclos"),"CICLO_PC nao identificado",IF(OR(D2217="",D2217=0),"VALOR_PC vazio ou zero",IF(AND(G2217&lt;&gt;"Sim",G2217&lt;&gt;"Nao",G2217&lt;&gt;""),"PC_PAGO_A_CONTRATADA invalido",IF(AND(C2217&lt;&gt;"C0",IFERROR(INDEX(parametros!$A$2:$A$6,MATCH(C2217,parametros!$B$2:$B$6,0)),"")="Sim",IFERROR(INDEX(parametros!$H$2:$H$6,MATCH(C2217,parametros!$B$2:$B$6,0)),"")=""),"INICIO_EFEITO ausente: PC "&amp;A2217&amp;" - "&amp;C2217,IF(L2217="","EFEITO_PC nao calculado: PC "&amp;A2217&amp;" - "&amp;C2217,"OK")))))))))</f>
        <v/>
      </c>
      <c r="L2217" s="92" t="str">
        <f>IF(AND(A2217="",B2217="",D2217="",G2217=""),"",IF(OR(B2217="",NOT(ISNUMBER(B2217)),C2217="",C2217="Fora dos ciclos"),"",IF(C2217="C0","Nao",IF(IFERROR(INDEX(parametros!$A$2:$A$6,MATCH(C2217,parametros!$B$2:$B$6,0)),"")&lt;&gt;"Sim","Nao",IF(IFERROR(INDEX(parametros!$H$2:$H$6,MATCH(C2217,parametros!$B$2:$B$6,0)),"")="","",IF(B2217&gt;=IFERROR(INDEX(parametros!$H$2:$H$6,MATCH(C2217,parametros!$B$2:$B$6,0)),""),"Sim","Nao"))))))</f>
        <v/>
      </c>
      <c r="T2217" s="156"/>
      <c r="U2217" s="214" t="str">
        <f t="shared" si="176"/>
        <v/>
      </c>
      <c r="V2217" s="212" t="s">
        <v>50</v>
      </c>
      <c r="W2217" s="100" t="s">
        <v>168</v>
      </c>
      <c r="X2217" s="100" t="s">
        <v>169</v>
      </c>
      <c r="Y2217" s="101" t="s">
        <v>170</v>
      </c>
      <c r="Z2217" s="101" t="s">
        <v>171</v>
      </c>
      <c r="AA2217" s="101" t="s">
        <v>50</v>
      </c>
      <c r="AB2217" s="101" t="s">
        <v>172</v>
      </c>
      <c r="AC2217" s="102" t="s">
        <v>173</v>
      </c>
    </row>
    <row r="2218" spans="1:29" ht="25.5" customHeight="1" x14ac:dyDescent="0.35">
      <c r="A2218" s="392"/>
      <c r="B2218" s="393"/>
      <c r="C2218" s="99" t="str">
        <f>IF(B2218="","",IF(NOT(ISNUMBER(B2218)),"DATA_PC invalida",IF(NOT(ISNUMBER(parametros!$C$2)),"Fora dos ciclos",IF(OR(B2218&lt;parametros!$C$2,(YEAR(B2218)-YEAR(parametros!$C$2))*12+MONTH(B2218)-MONTH(parametros!$C$2)&gt;59),"Fora dos ciclos","C"&amp;INT(((YEAR(B2218)-YEAR(parametros!$C$2))*12+MONTH(B2218)-MONTH(parametros!$C$2))/12)))))</f>
        <v/>
      </c>
      <c r="D2218" s="394"/>
      <c r="E2218" s="78" t="str">
        <f>IF(C2218="","",IFERROR(VLOOKUP(C2218,parametros!$A$11:$E$15,5,0),""))</f>
        <v/>
      </c>
      <c r="F2218" s="79" t="str">
        <f t="shared" si="172"/>
        <v/>
      </c>
      <c r="G2218" s="395"/>
      <c r="H2218" s="91">
        <f t="shared" si="173"/>
        <v>0</v>
      </c>
      <c r="I2218" s="91" t="str">
        <f t="shared" si="174"/>
        <v/>
      </c>
      <c r="J2218" s="91" t="str">
        <f t="shared" si="175"/>
        <v/>
      </c>
      <c r="K2218" s="92" t="str">
        <f>IF(AND(A2218="",B2218="",D2218="",G2218=""),"",IF(AND(A2218&lt;&gt;"",COUNTIF($A$2:$A$5001,A2218)&gt;1),"NUMERO_PC duplicado",IF(B2218="","DATA_PC vazia",IF(NOT(ISNUMBER(B2218)),"DATA_PC invalida",IF(OR(C2218="",C2218="Fora dos ciclos"),"CICLO_PC nao identificado",IF(OR(D2218="",D2218=0),"VALOR_PC vazio ou zero",IF(AND(G2218&lt;&gt;"Sim",G2218&lt;&gt;"Nao",G2218&lt;&gt;""),"PC_PAGO_A_CONTRATADA invalido",IF(AND(C2218&lt;&gt;"C0",IFERROR(INDEX(parametros!$A$2:$A$6,MATCH(C2218,parametros!$B$2:$B$6,0)),"")="Sim",IFERROR(INDEX(parametros!$H$2:$H$6,MATCH(C2218,parametros!$B$2:$B$6,0)),"")=""),"INICIO_EFEITO ausente: PC "&amp;A2218&amp;" - "&amp;C2218,IF(L2218="","EFEITO_PC nao calculado: PC "&amp;A2218&amp;" - "&amp;C2218,"OK")))))))))</f>
        <v/>
      </c>
      <c r="L2218" s="92" t="str">
        <f>IF(AND(A2218="",B2218="",D2218="",G2218=""),"",IF(OR(B2218="",NOT(ISNUMBER(B2218)),C2218="",C2218="Fora dos ciclos"),"",IF(C2218="C0","Nao",IF(IFERROR(INDEX(parametros!$A$2:$A$6,MATCH(C2218,parametros!$B$2:$B$6,0)),"")&lt;&gt;"Sim","Nao",IF(IFERROR(INDEX(parametros!$H$2:$H$6,MATCH(C2218,parametros!$B$2:$B$6,0)),"")="","",IF(B2218&gt;=IFERROR(INDEX(parametros!$H$2:$H$6,MATCH(C2218,parametros!$B$2:$B$6,0)),""),"Sim","Nao"))))))</f>
        <v/>
      </c>
      <c r="T2218" s="156"/>
      <c r="U2218" s="214" t="str">
        <f t="shared" si="176"/>
        <v/>
      </c>
      <c r="V2218" s="212" t="s">
        <v>50</v>
      </c>
      <c r="W2218" s="100" t="s">
        <v>168</v>
      </c>
      <c r="X2218" s="100" t="s">
        <v>169</v>
      </c>
      <c r="Y2218" s="101" t="s">
        <v>170</v>
      </c>
      <c r="Z2218" s="101" t="s">
        <v>171</v>
      </c>
      <c r="AA2218" s="101" t="s">
        <v>50</v>
      </c>
      <c r="AB2218" s="101" t="s">
        <v>172</v>
      </c>
      <c r="AC2218" s="102" t="s">
        <v>173</v>
      </c>
    </row>
    <row r="2219" spans="1:29" ht="25.5" customHeight="1" x14ac:dyDescent="0.35">
      <c r="A2219" s="392"/>
      <c r="B2219" s="393"/>
      <c r="C2219" s="99" t="str">
        <f>IF(B2219="","",IF(NOT(ISNUMBER(B2219)),"DATA_PC invalida",IF(NOT(ISNUMBER(parametros!$C$2)),"Fora dos ciclos",IF(OR(B2219&lt;parametros!$C$2,(YEAR(B2219)-YEAR(parametros!$C$2))*12+MONTH(B2219)-MONTH(parametros!$C$2)&gt;59),"Fora dos ciclos","C"&amp;INT(((YEAR(B2219)-YEAR(parametros!$C$2))*12+MONTH(B2219)-MONTH(parametros!$C$2))/12)))))</f>
        <v/>
      </c>
      <c r="D2219" s="394"/>
      <c r="E2219" s="78" t="str">
        <f>IF(C2219="","",IFERROR(VLOOKUP(C2219,parametros!$A$11:$E$15,5,0),""))</f>
        <v/>
      </c>
      <c r="F2219" s="79" t="str">
        <f t="shared" si="172"/>
        <v/>
      </c>
      <c r="G2219" s="395"/>
      <c r="H2219" s="91">
        <f t="shared" si="173"/>
        <v>0</v>
      </c>
      <c r="I2219" s="91" t="str">
        <f t="shared" si="174"/>
        <v/>
      </c>
      <c r="J2219" s="91" t="str">
        <f t="shared" si="175"/>
        <v/>
      </c>
      <c r="K2219" s="92" t="str">
        <f>IF(AND(A2219="",B2219="",D2219="",G2219=""),"",IF(AND(A2219&lt;&gt;"",COUNTIF($A$2:$A$5001,A2219)&gt;1),"NUMERO_PC duplicado",IF(B2219="","DATA_PC vazia",IF(NOT(ISNUMBER(B2219)),"DATA_PC invalida",IF(OR(C2219="",C2219="Fora dos ciclos"),"CICLO_PC nao identificado",IF(OR(D2219="",D2219=0),"VALOR_PC vazio ou zero",IF(AND(G2219&lt;&gt;"Sim",G2219&lt;&gt;"Nao",G2219&lt;&gt;""),"PC_PAGO_A_CONTRATADA invalido",IF(AND(C2219&lt;&gt;"C0",IFERROR(INDEX(parametros!$A$2:$A$6,MATCH(C2219,parametros!$B$2:$B$6,0)),"")="Sim",IFERROR(INDEX(parametros!$H$2:$H$6,MATCH(C2219,parametros!$B$2:$B$6,0)),"")=""),"INICIO_EFEITO ausente: PC "&amp;A2219&amp;" - "&amp;C2219,IF(L2219="","EFEITO_PC nao calculado: PC "&amp;A2219&amp;" - "&amp;C2219,"OK")))))))))</f>
        <v/>
      </c>
      <c r="L2219" s="92" t="str">
        <f>IF(AND(A2219="",B2219="",D2219="",G2219=""),"",IF(OR(B2219="",NOT(ISNUMBER(B2219)),C2219="",C2219="Fora dos ciclos"),"",IF(C2219="C0","Nao",IF(IFERROR(INDEX(parametros!$A$2:$A$6,MATCH(C2219,parametros!$B$2:$B$6,0)),"")&lt;&gt;"Sim","Nao",IF(IFERROR(INDEX(parametros!$H$2:$H$6,MATCH(C2219,parametros!$B$2:$B$6,0)),"")="","",IF(B2219&gt;=IFERROR(INDEX(parametros!$H$2:$H$6,MATCH(C2219,parametros!$B$2:$B$6,0)),""),"Sim","Nao"))))))</f>
        <v/>
      </c>
      <c r="T2219" s="156"/>
      <c r="U2219" s="214" t="str">
        <f t="shared" si="176"/>
        <v/>
      </c>
      <c r="V2219" s="212" t="s">
        <v>50</v>
      </c>
      <c r="W2219" s="100" t="s">
        <v>168</v>
      </c>
      <c r="X2219" s="100" t="s">
        <v>169</v>
      </c>
      <c r="Y2219" s="101" t="s">
        <v>170</v>
      </c>
      <c r="Z2219" s="101" t="s">
        <v>171</v>
      </c>
      <c r="AA2219" s="101" t="s">
        <v>50</v>
      </c>
      <c r="AB2219" s="101" t="s">
        <v>172</v>
      </c>
      <c r="AC2219" s="102" t="s">
        <v>173</v>
      </c>
    </row>
    <row r="2220" spans="1:29" ht="25.5" customHeight="1" x14ac:dyDescent="0.35">
      <c r="A2220" s="392"/>
      <c r="B2220" s="393"/>
      <c r="C2220" s="99" t="str">
        <f>IF(B2220="","",IF(NOT(ISNUMBER(B2220)),"DATA_PC invalida",IF(NOT(ISNUMBER(parametros!$C$2)),"Fora dos ciclos",IF(OR(B2220&lt;parametros!$C$2,(YEAR(B2220)-YEAR(parametros!$C$2))*12+MONTH(B2220)-MONTH(parametros!$C$2)&gt;59),"Fora dos ciclos","C"&amp;INT(((YEAR(B2220)-YEAR(parametros!$C$2))*12+MONTH(B2220)-MONTH(parametros!$C$2))/12)))))</f>
        <v/>
      </c>
      <c r="D2220" s="394"/>
      <c r="E2220" s="78" t="str">
        <f>IF(C2220="","",IFERROR(VLOOKUP(C2220,parametros!$A$11:$E$15,5,0),""))</f>
        <v/>
      </c>
      <c r="F2220" s="79" t="str">
        <f t="shared" si="172"/>
        <v/>
      </c>
      <c r="G2220" s="395"/>
      <c r="H2220" s="91">
        <f t="shared" si="173"/>
        <v>0</v>
      </c>
      <c r="I2220" s="91" t="str">
        <f t="shared" si="174"/>
        <v/>
      </c>
      <c r="J2220" s="91" t="str">
        <f t="shared" si="175"/>
        <v/>
      </c>
      <c r="K2220" s="92" t="str">
        <f>IF(AND(A2220="",B2220="",D2220="",G2220=""),"",IF(AND(A2220&lt;&gt;"",COUNTIF($A$2:$A$5001,A2220)&gt;1),"NUMERO_PC duplicado",IF(B2220="","DATA_PC vazia",IF(NOT(ISNUMBER(B2220)),"DATA_PC invalida",IF(OR(C2220="",C2220="Fora dos ciclos"),"CICLO_PC nao identificado",IF(OR(D2220="",D2220=0),"VALOR_PC vazio ou zero",IF(AND(G2220&lt;&gt;"Sim",G2220&lt;&gt;"Nao",G2220&lt;&gt;""),"PC_PAGO_A_CONTRATADA invalido",IF(AND(C2220&lt;&gt;"C0",IFERROR(INDEX(parametros!$A$2:$A$6,MATCH(C2220,parametros!$B$2:$B$6,0)),"")="Sim",IFERROR(INDEX(parametros!$H$2:$H$6,MATCH(C2220,parametros!$B$2:$B$6,0)),"")=""),"INICIO_EFEITO ausente: PC "&amp;A2220&amp;" - "&amp;C2220,IF(L2220="","EFEITO_PC nao calculado: PC "&amp;A2220&amp;" - "&amp;C2220,"OK")))))))))</f>
        <v/>
      </c>
      <c r="L2220" s="92" t="str">
        <f>IF(AND(A2220="",B2220="",D2220="",G2220=""),"",IF(OR(B2220="",NOT(ISNUMBER(B2220)),C2220="",C2220="Fora dos ciclos"),"",IF(C2220="C0","Nao",IF(IFERROR(INDEX(parametros!$A$2:$A$6,MATCH(C2220,parametros!$B$2:$B$6,0)),"")&lt;&gt;"Sim","Nao",IF(IFERROR(INDEX(parametros!$H$2:$H$6,MATCH(C2220,parametros!$B$2:$B$6,0)),"")="","",IF(B2220&gt;=IFERROR(INDEX(parametros!$H$2:$H$6,MATCH(C2220,parametros!$B$2:$B$6,0)),""),"Sim","Nao"))))))</f>
        <v/>
      </c>
      <c r="T2220" s="156"/>
      <c r="U2220" s="214" t="str">
        <f t="shared" si="176"/>
        <v/>
      </c>
      <c r="V2220" s="212" t="s">
        <v>50</v>
      </c>
      <c r="W2220" s="100" t="s">
        <v>168</v>
      </c>
      <c r="X2220" s="100" t="s">
        <v>169</v>
      </c>
      <c r="Y2220" s="101" t="s">
        <v>170</v>
      </c>
      <c r="Z2220" s="101" t="s">
        <v>171</v>
      </c>
      <c r="AA2220" s="101" t="s">
        <v>50</v>
      </c>
      <c r="AB2220" s="101" t="s">
        <v>172</v>
      </c>
      <c r="AC2220" s="102" t="s">
        <v>173</v>
      </c>
    </row>
    <row r="2221" spans="1:29" ht="25.5" customHeight="1" x14ac:dyDescent="0.35">
      <c r="A2221" s="392"/>
      <c r="B2221" s="393"/>
      <c r="C2221" s="99" t="str">
        <f>IF(B2221="","",IF(NOT(ISNUMBER(B2221)),"DATA_PC invalida",IF(NOT(ISNUMBER(parametros!$C$2)),"Fora dos ciclos",IF(OR(B2221&lt;parametros!$C$2,(YEAR(B2221)-YEAR(parametros!$C$2))*12+MONTH(B2221)-MONTH(parametros!$C$2)&gt;59),"Fora dos ciclos","C"&amp;INT(((YEAR(B2221)-YEAR(parametros!$C$2))*12+MONTH(B2221)-MONTH(parametros!$C$2))/12)))))</f>
        <v/>
      </c>
      <c r="D2221" s="394"/>
      <c r="E2221" s="78" t="str">
        <f>IF(C2221="","",IFERROR(VLOOKUP(C2221,parametros!$A$11:$E$15,5,0),""))</f>
        <v/>
      </c>
      <c r="F2221" s="79" t="str">
        <f t="shared" si="172"/>
        <v/>
      </c>
      <c r="G2221" s="395"/>
      <c r="H2221" s="91">
        <f t="shared" si="173"/>
        <v>0</v>
      </c>
      <c r="I2221" s="91" t="str">
        <f t="shared" si="174"/>
        <v/>
      </c>
      <c r="J2221" s="91" t="str">
        <f t="shared" si="175"/>
        <v/>
      </c>
      <c r="K2221" s="92" t="str">
        <f>IF(AND(A2221="",B2221="",D2221="",G2221=""),"",IF(AND(A2221&lt;&gt;"",COUNTIF($A$2:$A$5001,A2221)&gt;1),"NUMERO_PC duplicado",IF(B2221="","DATA_PC vazia",IF(NOT(ISNUMBER(B2221)),"DATA_PC invalida",IF(OR(C2221="",C2221="Fora dos ciclos"),"CICLO_PC nao identificado",IF(OR(D2221="",D2221=0),"VALOR_PC vazio ou zero",IF(AND(G2221&lt;&gt;"Sim",G2221&lt;&gt;"Nao",G2221&lt;&gt;""),"PC_PAGO_A_CONTRATADA invalido",IF(AND(C2221&lt;&gt;"C0",IFERROR(INDEX(parametros!$A$2:$A$6,MATCH(C2221,parametros!$B$2:$B$6,0)),"")="Sim",IFERROR(INDEX(parametros!$H$2:$H$6,MATCH(C2221,parametros!$B$2:$B$6,0)),"")=""),"INICIO_EFEITO ausente: PC "&amp;A2221&amp;" - "&amp;C2221,IF(L2221="","EFEITO_PC nao calculado: PC "&amp;A2221&amp;" - "&amp;C2221,"OK")))))))))</f>
        <v/>
      </c>
      <c r="L2221" s="92" t="str">
        <f>IF(AND(A2221="",B2221="",D2221="",G2221=""),"",IF(OR(B2221="",NOT(ISNUMBER(B2221)),C2221="",C2221="Fora dos ciclos"),"",IF(C2221="C0","Nao",IF(IFERROR(INDEX(parametros!$A$2:$A$6,MATCH(C2221,parametros!$B$2:$B$6,0)),"")&lt;&gt;"Sim","Nao",IF(IFERROR(INDEX(parametros!$H$2:$H$6,MATCH(C2221,parametros!$B$2:$B$6,0)),"")="","",IF(B2221&gt;=IFERROR(INDEX(parametros!$H$2:$H$6,MATCH(C2221,parametros!$B$2:$B$6,0)),""),"Sim","Nao"))))))</f>
        <v/>
      </c>
      <c r="T2221" s="156"/>
      <c r="U2221" s="214" t="str">
        <f t="shared" si="176"/>
        <v/>
      </c>
      <c r="V2221" s="212" t="s">
        <v>50</v>
      </c>
      <c r="W2221" s="100" t="s">
        <v>168</v>
      </c>
      <c r="X2221" s="100" t="s">
        <v>169</v>
      </c>
      <c r="Y2221" s="101" t="s">
        <v>170</v>
      </c>
      <c r="Z2221" s="101" t="s">
        <v>171</v>
      </c>
      <c r="AA2221" s="101" t="s">
        <v>50</v>
      </c>
      <c r="AB2221" s="101" t="s">
        <v>172</v>
      </c>
      <c r="AC2221" s="102" t="s">
        <v>173</v>
      </c>
    </row>
    <row r="2222" spans="1:29" ht="25.5" customHeight="1" x14ac:dyDescent="0.35">
      <c r="A2222" s="392"/>
      <c r="B2222" s="393"/>
      <c r="C2222" s="99" t="str">
        <f>IF(B2222="","",IF(NOT(ISNUMBER(B2222)),"DATA_PC invalida",IF(NOT(ISNUMBER(parametros!$C$2)),"Fora dos ciclos",IF(OR(B2222&lt;parametros!$C$2,(YEAR(B2222)-YEAR(parametros!$C$2))*12+MONTH(B2222)-MONTH(parametros!$C$2)&gt;59),"Fora dos ciclos","C"&amp;INT(((YEAR(B2222)-YEAR(parametros!$C$2))*12+MONTH(B2222)-MONTH(parametros!$C$2))/12)))))</f>
        <v/>
      </c>
      <c r="D2222" s="394"/>
      <c r="E2222" s="78" t="str">
        <f>IF(C2222="","",IFERROR(VLOOKUP(C2222,parametros!$A$11:$E$15,5,0),""))</f>
        <v/>
      </c>
      <c r="F2222" s="79" t="str">
        <f t="shared" si="172"/>
        <v/>
      </c>
      <c r="G2222" s="395"/>
      <c r="H2222" s="91">
        <f t="shared" si="173"/>
        <v>0</v>
      </c>
      <c r="I2222" s="91" t="str">
        <f t="shared" si="174"/>
        <v/>
      </c>
      <c r="J2222" s="91" t="str">
        <f t="shared" si="175"/>
        <v/>
      </c>
      <c r="K2222" s="92" t="str">
        <f>IF(AND(A2222="",B2222="",D2222="",G2222=""),"",IF(AND(A2222&lt;&gt;"",COUNTIF($A$2:$A$5001,A2222)&gt;1),"NUMERO_PC duplicado",IF(B2222="","DATA_PC vazia",IF(NOT(ISNUMBER(B2222)),"DATA_PC invalida",IF(OR(C2222="",C2222="Fora dos ciclos"),"CICLO_PC nao identificado",IF(OR(D2222="",D2222=0),"VALOR_PC vazio ou zero",IF(AND(G2222&lt;&gt;"Sim",G2222&lt;&gt;"Nao",G2222&lt;&gt;""),"PC_PAGO_A_CONTRATADA invalido",IF(AND(C2222&lt;&gt;"C0",IFERROR(INDEX(parametros!$A$2:$A$6,MATCH(C2222,parametros!$B$2:$B$6,0)),"")="Sim",IFERROR(INDEX(parametros!$H$2:$H$6,MATCH(C2222,parametros!$B$2:$B$6,0)),"")=""),"INICIO_EFEITO ausente: PC "&amp;A2222&amp;" - "&amp;C2222,IF(L2222="","EFEITO_PC nao calculado: PC "&amp;A2222&amp;" - "&amp;C2222,"OK")))))))))</f>
        <v/>
      </c>
      <c r="L2222" s="92" t="str">
        <f>IF(AND(A2222="",B2222="",D2222="",G2222=""),"",IF(OR(B2222="",NOT(ISNUMBER(B2222)),C2222="",C2222="Fora dos ciclos"),"",IF(C2222="C0","Nao",IF(IFERROR(INDEX(parametros!$A$2:$A$6,MATCH(C2222,parametros!$B$2:$B$6,0)),"")&lt;&gt;"Sim","Nao",IF(IFERROR(INDEX(parametros!$H$2:$H$6,MATCH(C2222,parametros!$B$2:$B$6,0)),"")="","",IF(B2222&gt;=IFERROR(INDEX(parametros!$H$2:$H$6,MATCH(C2222,parametros!$B$2:$B$6,0)),""),"Sim","Nao"))))))</f>
        <v/>
      </c>
      <c r="T2222" s="156"/>
      <c r="U2222" s="214" t="str">
        <f t="shared" si="176"/>
        <v/>
      </c>
      <c r="V2222" s="212" t="s">
        <v>50</v>
      </c>
      <c r="W2222" s="100" t="s">
        <v>168</v>
      </c>
      <c r="X2222" s="100" t="s">
        <v>169</v>
      </c>
      <c r="Y2222" s="101" t="s">
        <v>170</v>
      </c>
      <c r="Z2222" s="101" t="s">
        <v>171</v>
      </c>
      <c r="AA2222" s="101" t="s">
        <v>50</v>
      </c>
      <c r="AB2222" s="101" t="s">
        <v>172</v>
      </c>
      <c r="AC2222" s="102" t="s">
        <v>173</v>
      </c>
    </row>
    <row r="2223" spans="1:29" ht="25.5" customHeight="1" x14ac:dyDescent="0.35">
      <c r="A2223" s="392"/>
      <c r="B2223" s="393"/>
      <c r="C2223" s="99" t="str">
        <f>IF(B2223="","",IF(NOT(ISNUMBER(B2223)),"DATA_PC invalida",IF(NOT(ISNUMBER(parametros!$C$2)),"Fora dos ciclos",IF(OR(B2223&lt;parametros!$C$2,(YEAR(B2223)-YEAR(parametros!$C$2))*12+MONTH(B2223)-MONTH(parametros!$C$2)&gt;59),"Fora dos ciclos","C"&amp;INT(((YEAR(B2223)-YEAR(parametros!$C$2))*12+MONTH(B2223)-MONTH(parametros!$C$2))/12)))))</f>
        <v/>
      </c>
      <c r="D2223" s="394"/>
      <c r="E2223" s="78" t="str">
        <f>IF(C2223="","",IFERROR(VLOOKUP(C2223,parametros!$A$11:$E$15,5,0),""))</f>
        <v/>
      </c>
      <c r="F2223" s="79" t="str">
        <f t="shared" si="172"/>
        <v/>
      </c>
      <c r="G2223" s="395"/>
      <c r="H2223" s="91">
        <f t="shared" si="173"/>
        <v>0</v>
      </c>
      <c r="I2223" s="91" t="str">
        <f t="shared" si="174"/>
        <v/>
      </c>
      <c r="J2223" s="91" t="str">
        <f t="shared" si="175"/>
        <v/>
      </c>
      <c r="K2223" s="92" t="str">
        <f>IF(AND(A2223="",B2223="",D2223="",G2223=""),"",IF(AND(A2223&lt;&gt;"",COUNTIF($A$2:$A$5001,A2223)&gt;1),"NUMERO_PC duplicado",IF(B2223="","DATA_PC vazia",IF(NOT(ISNUMBER(B2223)),"DATA_PC invalida",IF(OR(C2223="",C2223="Fora dos ciclos"),"CICLO_PC nao identificado",IF(OR(D2223="",D2223=0),"VALOR_PC vazio ou zero",IF(AND(G2223&lt;&gt;"Sim",G2223&lt;&gt;"Nao",G2223&lt;&gt;""),"PC_PAGO_A_CONTRATADA invalido",IF(AND(C2223&lt;&gt;"C0",IFERROR(INDEX(parametros!$A$2:$A$6,MATCH(C2223,parametros!$B$2:$B$6,0)),"")="Sim",IFERROR(INDEX(parametros!$H$2:$H$6,MATCH(C2223,parametros!$B$2:$B$6,0)),"")=""),"INICIO_EFEITO ausente: PC "&amp;A2223&amp;" - "&amp;C2223,IF(L2223="","EFEITO_PC nao calculado: PC "&amp;A2223&amp;" - "&amp;C2223,"OK")))))))))</f>
        <v/>
      </c>
      <c r="L2223" s="92" t="str">
        <f>IF(AND(A2223="",B2223="",D2223="",G2223=""),"",IF(OR(B2223="",NOT(ISNUMBER(B2223)),C2223="",C2223="Fora dos ciclos"),"",IF(C2223="C0","Nao",IF(IFERROR(INDEX(parametros!$A$2:$A$6,MATCH(C2223,parametros!$B$2:$B$6,0)),"")&lt;&gt;"Sim","Nao",IF(IFERROR(INDEX(parametros!$H$2:$H$6,MATCH(C2223,parametros!$B$2:$B$6,0)),"")="","",IF(B2223&gt;=IFERROR(INDEX(parametros!$H$2:$H$6,MATCH(C2223,parametros!$B$2:$B$6,0)),""),"Sim","Nao"))))))</f>
        <v/>
      </c>
      <c r="T2223" s="156"/>
      <c r="U2223" s="214" t="str">
        <f t="shared" si="176"/>
        <v/>
      </c>
      <c r="V2223" s="212" t="s">
        <v>50</v>
      </c>
      <c r="W2223" s="100" t="s">
        <v>168</v>
      </c>
      <c r="X2223" s="100" t="s">
        <v>169</v>
      </c>
      <c r="Y2223" s="101" t="s">
        <v>170</v>
      </c>
      <c r="Z2223" s="101" t="s">
        <v>171</v>
      </c>
      <c r="AA2223" s="101" t="s">
        <v>50</v>
      </c>
      <c r="AB2223" s="101" t="s">
        <v>172</v>
      </c>
      <c r="AC2223" s="102" t="s">
        <v>173</v>
      </c>
    </row>
    <row r="2224" spans="1:29" ht="25.5" customHeight="1" x14ac:dyDescent="0.35">
      <c r="A2224" s="392"/>
      <c r="B2224" s="393"/>
      <c r="C2224" s="99" t="str">
        <f>IF(B2224="","",IF(NOT(ISNUMBER(B2224)),"DATA_PC invalida",IF(NOT(ISNUMBER(parametros!$C$2)),"Fora dos ciclos",IF(OR(B2224&lt;parametros!$C$2,(YEAR(B2224)-YEAR(parametros!$C$2))*12+MONTH(B2224)-MONTH(parametros!$C$2)&gt;59),"Fora dos ciclos","C"&amp;INT(((YEAR(B2224)-YEAR(parametros!$C$2))*12+MONTH(B2224)-MONTH(parametros!$C$2))/12)))))</f>
        <v/>
      </c>
      <c r="D2224" s="394"/>
      <c r="E2224" s="78" t="str">
        <f>IF(C2224="","",IFERROR(VLOOKUP(C2224,parametros!$A$11:$E$15,5,0),""))</f>
        <v/>
      </c>
      <c r="F2224" s="79" t="str">
        <f t="shared" si="172"/>
        <v/>
      </c>
      <c r="G2224" s="395"/>
      <c r="H2224" s="91">
        <f t="shared" si="173"/>
        <v>0</v>
      </c>
      <c r="I2224" s="91" t="str">
        <f t="shared" si="174"/>
        <v/>
      </c>
      <c r="J2224" s="91" t="str">
        <f t="shared" si="175"/>
        <v/>
      </c>
      <c r="K2224" s="92" t="str">
        <f>IF(AND(A2224="",B2224="",D2224="",G2224=""),"",IF(AND(A2224&lt;&gt;"",COUNTIF($A$2:$A$5001,A2224)&gt;1),"NUMERO_PC duplicado",IF(B2224="","DATA_PC vazia",IF(NOT(ISNUMBER(B2224)),"DATA_PC invalida",IF(OR(C2224="",C2224="Fora dos ciclos"),"CICLO_PC nao identificado",IF(OR(D2224="",D2224=0),"VALOR_PC vazio ou zero",IF(AND(G2224&lt;&gt;"Sim",G2224&lt;&gt;"Nao",G2224&lt;&gt;""),"PC_PAGO_A_CONTRATADA invalido",IF(AND(C2224&lt;&gt;"C0",IFERROR(INDEX(parametros!$A$2:$A$6,MATCH(C2224,parametros!$B$2:$B$6,0)),"")="Sim",IFERROR(INDEX(parametros!$H$2:$H$6,MATCH(C2224,parametros!$B$2:$B$6,0)),"")=""),"INICIO_EFEITO ausente: PC "&amp;A2224&amp;" - "&amp;C2224,IF(L2224="","EFEITO_PC nao calculado: PC "&amp;A2224&amp;" - "&amp;C2224,"OK")))))))))</f>
        <v/>
      </c>
      <c r="L2224" s="92" t="str">
        <f>IF(AND(A2224="",B2224="",D2224="",G2224=""),"",IF(OR(B2224="",NOT(ISNUMBER(B2224)),C2224="",C2224="Fora dos ciclos"),"",IF(C2224="C0","Nao",IF(IFERROR(INDEX(parametros!$A$2:$A$6,MATCH(C2224,parametros!$B$2:$B$6,0)),"")&lt;&gt;"Sim","Nao",IF(IFERROR(INDEX(parametros!$H$2:$H$6,MATCH(C2224,parametros!$B$2:$B$6,0)),"")="","",IF(B2224&gt;=IFERROR(INDEX(parametros!$H$2:$H$6,MATCH(C2224,parametros!$B$2:$B$6,0)),""),"Sim","Nao"))))))</f>
        <v/>
      </c>
      <c r="T2224" s="156"/>
      <c r="U2224" s="214" t="str">
        <f t="shared" si="176"/>
        <v/>
      </c>
      <c r="V2224" s="212" t="s">
        <v>50</v>
      </c>
      <c r="W2224" s="100" t="s">
        <v>168</v>
      </c>
      <c r="X2224" s="100" t="s">
        <v>169</v>
      </c>
      <c r="Y2224" s="101" t="s">
        <v>170</v>
      </c>
      <c r="Z2224" s="101" t="s">
        <v>171</v>
      </c>
      <c r="AA2224" s="101" t="s">
        <v>50</v>
      </c>
      <c r="AB2224" s="101" t="s">
        <v>172</v>
      </c>
      <c r="AC2224" s="102" t="s">
        <v>173</v>
      </c>
    </row>
    <row r="2225" spans="1:29" ht="25.5" customHeight="1" x14ac:dyDescent="0.35">
      <c r="A2225" s="392"/>
      <c r="B2225" s="393"/>
      <c r="C2225" s="99" t="str">
        <f>IF(B2225="","",IF(NOT(ISNUMBER(B2225)),"DATA_PC invalida",IF(NOT(ISNUMBER(parametros!$C$2)),"Fora dos ciclos",IF(OR(B2225&lt;parametros!$C$2,(YEAR(B2225)-YEAR(parametros!$C$2))*12+MONTH(B2225)-MONTH(parametros!$C$2)&gt;59),"Fora dos ciclos","C"&amp;INT(((YEAR(B2225)-YEAR(parametros!$C$2))*12+MONTH(B2225)-MONTH(parametros!$C$2))/12)))))</f>
        <v/>
      </c>
      <c r="D2225" s="394"/>
      <c r="E2225" s="78" t="str">
        <f>IF(C2225="","",IFERROR(VLOOKUP(C2225,parametros!$A$11:$E$15,5,0),""))</f>
        <v/>
      </c>
      <c r="F2225" s="79" t="str">
        <f t="shared" si="172"/>
        <v/>
      </c>
      <c r="G2225" s="395"/>
      <c r="H2225" s="91">
        <f t="shared" si="173"/>
        <v>0</v>
      </c>
      <c r="I2225" s="91" t="str">
        <f t="shared" si="174"/>
        <v/>
      </c>
      <c r="J2225" s="91" t="str">
        <f t="shared" si="175"/>
        <v/>
      </c>
      <c r="K2225" s="92" t="str">
        <f>IF(AND(A2225="",B2225="",D2225="",G2225=""),"",IF(AND(A2225&lt;&gt;"",COUNTIF($A$2:$A$5001,A2225)&gt;1),"NUMERO_PC duplicado",IF(B2225="","DATA_PC vazia",IF(NOT(ISNUMBER(B2225)),"DATA_PC invalida",IF(OR(C2225="",C2225="Fora dos ciclos"),"CICLO_PC nao identificado",IF(OR(D2225="",D2225=0),"VALOR_PC vazio ou zero",IF(AND(G2225&lt;&gt;"Sim",G2225&lt;&gt;"Nao",G2225&lt;&gt;""),"PC_PAGO_A_CONTRATADA invalido",IF(AND(C2225&lt;&gt;"C0",IFERROR(INDEX(parametros!$A$2:$A$6,MATCH(C2225,parametros!$B$2:$B$6,0)),"")="Sim",IFERROR(INDEX(parametros!$H$2:$H$6,MATCH(C2225,parametros!$B$2:$B$6,0)),"")=""),"INICIO_EFEITO ausente: PC "&amp;A2225&amp;" - "&amp;C2225,IF(L2225="","EFEITO_PC nao calculado: PC "&amp;A2225&amp;" - "&amp;C2225,"OK")))))))))</f>
        <v/>
      </c>
      <c r="L2225" s="92" t="str">
        <f>IF(AND(A2225="",B2225="",D2225="",G2225=""),"",IF(OR(B2225="",NOT(ISNUMBER(B2225)),C2225="",C2225="Fora dos ciclos"),"",IF(C2225="C0","Nao",IF(IFERROR(INDEX(parametros!$A$2:$A$6,MATCH(C2225,parametros!$B$2:$B$6,0)),"")&lt;&gt;"Sim","Nao",IF(IFERROR(INDEX(parametros!$H$2:$H$6,MATCH(C2225,parametros!$B$2:$B$6,0)),"")="","",IF(B2225&gt;=IFERROR(INDEX(parametros!$H$2:$H$6,MATCH(C2225,parametros!$B$2:$B$6,0)),""),"Sim","Nao"))))))</f>
        <v/>
      </c>
      <c r="T2225" s="156"/>
      <c r="U2225" s="214" t="str">
        <f t="shared" si="176"/>
        <v/>
      </c>
      <c r="V2225" s="212" t="s">
        <v>50</v>
      </c>
      <c r="W2225" s="100" t="s">
        <v>168</v>
      </c>
      <c r="X2225" s="100" t="s">
        <v>169</v>
      </c>
      <c r="Y2225" s="101" t="s">
        <v>170</v>
      </c>
      <c r="Z2225" s="101" t="s">
        <v>171</v>
      </c>
      <c r="AA2225" s="101" t="s">
        <v>50</v>
      </c>
      <c r="AB2225" s="101" t="s">
        <v>172</v>
      </c>
      <c r="AC2225" s="102" t="s">
        <v>173</v>
      </c>
    </row>
    <row r="2226" spans="1:29" ht="25.5" customHeight="1" x14ac:dyDescent="0.35">
      <c r="A2226" s="392"/>
      <c r="B2226" s="393"/>
      <c r="C2226" s="99" t="str">
        <f>IF(B2226="","",IF(NOT(ISNUMBER(B2226)),"DATA_PC invalida",IF(NOT(ISNUMBER(parametros!$C$2)),"Fora dos ciclos",IF(OR(B2226&lt;parametros!$C$2,(YEAR(B2226)-YEAR(parametros!$C$2))*12+MONTH(B2226)-MONTH(parametros!$C$2)&gt;59),"Fora dos ciclos","C"&amp;INT(((YEAR(B2226)-YEAR(parametros!$C$2))*12+MONTH(B2226)-MONTH(parametros!$C$2))/12)))))</f>
        <v/>
      </c>
      <c r="D2226" s="394"/>
      <c r="E2226" s="78" t="str">
        <f>IF(C2226="","",IFERROR(VLOOKUP(C2226,parametros!$A$11:$E$15,5,0),""))</f>
        <v/>
      </c>
      <c r="F2226" s="79" t="str">
        <f t="shared" si="172"/>
        <v/>
      </c>
      <c r="G2226" s="395"/>
      <c r="H2226" s="91">
        <f t="shared" si="173"/>
        <v>0</v>
      </c>
      <c r="I2226" s="91" t="str">
        <f t="shared" si="174"/>
        <v/>
      </c>
      <c r="J2226" s="91" t="str">
        <f t="shared" si="175"/>
        <v/>
      </c>
      <c r="K2226" s="92" t="str">
        <f>IF(AND(A2226="",B2226="",D2226="",G2226=""),"",IF(AND(A2226&lt;&gt;"",COUNTIF($A$2:$A$5001,A2226)&gt;1),"NUMERO_PC duplicado",IF(B2226="","DATA_PC vazia",IF(NOT(ISNUMBER(B2226)),"DATA_PC invalida",IF(OR(C2226="",C2226="Fora dos ciclos"),"CICLO_PC nao identificado",IF(OR(D2226="",D2226=0),"VALOR_PC vazio ou zero",IF(AND(G2226&lt;&gt;"Sim",G2226&lt;&gt;"Nao",G2226&lt;&gt;""),"PC_PAGO_A_CONTRATADA invalido",IF(AND(C2226&lt;&gt;"C0",IFERROR(INDEX(parametros!$A$2:$A$6,MATCH(C2226,parametros!$B$2:$B$6,0)),"")="Sim",IFERROR(INDEX(parametros!$H$2:$H$6,MATCH(C2226,parametros!$B$2:$B$6,0)),"")=""),"INICIO_EFEITO ausente: PC "&amp;A2226&amp;" - "&amp;C2226,IF(L2226="","EFEITO_PC nao calculado: PC "&amp;A2226&amp;" - "&amp;C2226,"OK")))))))))</f>
        <v/>
      </c>
      <c r="L2226" s="92" t="str">
        <f>IF(AND(A2226="",B2226="",D2226="",G2226=""),"",IF(OR(B2226="",NOT(ISNUMBER(B2226)),C2226="",C2226="Fora dos ciclos"),"",IF(C2226="C0","Nao",IF(IFERROR(INDEX(parametros!$A$2:$A$6,MATCH(C2226,parametros!$B$2:$B$6,0)),"")&lt;&gt;"Sim","Nao",IF(IFERROR(INDEX(parametros!$H$2:$H$6,MATCH(C2226,parametros!$B$2:$B$6,0)),"")="","",IF(B2226&gt;=IFERROR(INDEX(parametros!$H$2:$H$6,MATCH(C2226,parametros!$B$2:$B$6,0)),""),"Sim","Nao"))))))</f>
        <v/>
      </c>
      <c r="T2226" s="156"/>
      <c r="U2226" s="214" t="str">
        <f t="shared" si="176"/>
        <v/>
      </c>
      <c r="V2226" s="212" t="s">
        <v>50</v>
      </c>
      <c r="W2226" s="100" t="s">
        <v>168</v>
      </c>
      <c r="X2226" s="100" t="s">
        <v>169</v>
      </c>
      <c r="Y2226" s="101" t="s">
        <v>170</v>
      </c>
      <c r="Z2226" s="101" t="s">
        <v>171</v>
      </c>
      <c r="AA2226" s="101" t="s">
        <v>50</v>
      </c>
      <c r="AB2226" s="101" t="s">
        <v>172</v>
      </c>
      <c r="AC2226" s="102" t="s">
        <v>173</v>
      </c>
    </row>
    <row r="2227" spans="1:29" ht="25.5" customHeight="1" x14ac:dyDescent="0.35">
      <c r="A2227" s="392"/>
      <c r="B2227" s="393"/>
      <c r="C2227" s="99" t="str">
        <f>IF(B2227="","",IF(NOT(ISNUMBER(B2227)),"DATA_PC invalida",IF(NOT(ISNUMBER(parametros!$C$2)),"Fora dos ciclos",IF(OR(B2227&lt;parametros!$C$2,(YEAR(B2227)-YEAR(parametros!$C$2))*12+MONTH(B2227)-MONTH(parametros!$C$2)&gt;59),"Fora dos ciclos","C"&amp;INT(((YEAR(B2227)-YEAR(parametros!$C$2))*12+MONTH(B2227)-MONTH(parametros!$C$2))/12)))))</f>
        <v/>
      </c>
      <c r="D2227" s="394"/>
      <c r="E2227" s="78" t="str">
        <f>IF(C2227="","",IFERROR(VLOOKUP(C2227,parametros!$A$11:$E$15,5,0),""))</f>
        <v/>
      </c>
      <c r="F2227" s="79" t="str">
        <f t="shared" si="172"/>
        <v/>
      </c>
      <c r="G2227" s="395"/>
      <c r="H2227" s="91">
        <f t="shared" si="173"/>
        <v>0</v>
      </c>
      <c r="I2227" s="91" t="str">
        <f t="shared" si="174"/>
        <v/>
      </c>
      <c r="J2227" s="91" t="str">
        <f t="shared" si="175"/>
        <v/>
      </c>
      <c r="K2227" s="92" t="str">
        <f>IF(AND(A2227="",B2227="",D2227="",G2227=""),"",IF(AND(A2227&lt;&gt;"",COUNTIF($A$2:$A$5001,A2227)&gt;1),"NUMERO_PC duplicado",IF(B2227="","DATA_PC vazia",IF(NOT(ISNUMBER(B2227)),"DATA_PC invalida",IF(OR(C2227="",C2227="Fora dos ciclos"),"CICLO_PC nao identificado",IF(OR(D2227="",D2227=0),"VALOR_PC vazio ou zero",IF(AND(G2227&lt;&gt;"Sim",G2227&lt;&gt;"Nao",G2227&lt;&gt;""),"PC_PAGO_A_CONTRATADA invalido",IF(AND(C2227&lt;&gt;"C0",IFERROR(INDEX(parametros!$A$2:$A$6,MATCH(C2227,parametros!$B$2:$B$6,0)),"")="Sim",IFERROR(INDEX(parametros!$H$2:$H$6,MATCH(C2227,parametros!$B$2:$B$6,0)),"")=""),"INICIO_EFEITO ausente: PC "&amp;A2227&amp;" - "&amp;C2227,IF(L2227="","EFEITO_PC nao calculado: PC "&amp;A2227&amp;" - "&amp;C2227,"OK")))))))))</f>
        <v/>
      </c>
      <c r="L2227" s="92" t="str">
        <f>IF(AND(A2227="",B2227="",D2227="",G2227=""),"",IF(OR(B2227="",NOT(ISNUMBER(B2227)),C2227="",C2227="Fora dos ciclos"),"",IF(C2227="C0","Nao",IF(IFERROR(INDEX(parametros!$A$2:$A$6,MATCH(C2227,parametros!$B$2:$B$6,0)),"")&lt;&gt;"Sim","Nao",IF(IFERROR(INDEX(parametros!$H$2:$H$6,MATCH(C2227,parametros!$B$2:$B$6,0)),"")="","",IF(B2227&gt;=IFERROR(INDEX(parametros!$H$2:$H$6,MATCH(C2227,parametros!$B$2:$B$6,0)),""),"Sim","Nao"))))))</f>
        <v/>
      </c>
      <c r="T2227" s="156"/>
      <c r="U2227" s="214" t="str">
        <f t="shared" si="176"/>
        <v/>
      </c>
      <c r="V2227" s="212" t="s">
        <v>50</v>
      </c>
      <c r="W2227" s="100" t="s">
        <v>168</v>
      </c>
      <c r="X2227" s="100" t="s">
        <v>169</v>
      </c>
      <c r="Y2227" s="101" t="s">
        <v>170</v>
      </c>
      <c r="Z2227" s="101" t="s">
        <v>171</v>
      </c>
      <c r="AA2227" s="101" t="s">
        <v>50</v>
      </c>
      <c r="AB2227" s="101" t="s">
        <v>172</v>
      </c>
      <c r="AC2227" s="102" t="s">
        <v>173</v>
      </c>
    </row>
    <row r="2228" spans="1:29" ht="25.5" customHeight="1" x14ac:dyDescent="0.35">
      <c r="A2228" s="392"/>
      <c r="B2228" s="393"/>
      <c r="C2228" s="99" t="str">
        <f>IF(B2228="","",IF(NOT(ISNUMBER(B2228)),"DATA_PC invalida",IF(NOT(ISNUMBER(parametros!$C$2)),"Fora dos ciclos",IF(OR(B2228&lt;parametros!$C$2,(YEAR(B2228)-YEAR(parametros!$C$2))*12+MONTH(B2228)-MONTH(parametros!$C$2)&gt;59),"Fora dos ciclos","C"&amp;INT(((YEAR(B2228)-YEAR(parametros!$C$2))*12+MONTH(B2228)-MONTH(parametros!$C$2))/12)))))</f>
        <v/>
      </c>
      <c r="D2228" s="394"/>
      <c r="E2228" s="78" t="str">
        <f>IF(C2228="","",IFERROR(VLOOKUP(C2228,parametros!$A$11:$E$15,5,0),""))</f>
        <v/>
      </c>
      <c r="F2228" s="79" t="str">
        <f t="shared" si="172"/>
        <v/>
      </c>
      <c r="G2228" s="395"/>
      <c r="H2228" s="91">
        <f t="shared" si="173"/>
        <v>0</v>
      </c>
      <c r="I2228" s="91" t="str">
        <f t="shared" si="174"/>
        <v/>
      </c>
      <c r="J2228" s="91" t="str">
        <f t="shared" si="175"/>
        <v/>
      </c>
      <c r="K2228" s="92" t="str">
        <f>IF(AND(A2228="",B2228="",D2228="",G2228=""),"",IF(AND(A2228&lt;&gt;"",COUNTIF($A$2:$A$5001,A2228)&gt;1),"NUMERO_PC duplicado",IF(B2228="","DATA_PC vazia",IF(NOT(ISNUMBER(B2228)),"DATA_PC invalida",IF(OR(C2228="",C2228="Fora dos ciclos"),"CICLO_PC nao identificado",IF(OR(D2228="",D2228=0),"VALOR_PC vazio ou zero",IF(AND(G2228&lt;&gt;"Sim",G2228&lt;&gt;"Nao",G2228&lt;&gt;""),"PC_PAGO_A_CONTRATADA invalido",IF(AND(C2228&lt;&gt;"C0",IFERROR(INDEX(parametros!$A$2:$A$6,MATCH(C2228,parametros!$B$2:$B$6,0)),"")="Sim",IFERROR(INDEX(parametros!$H$2:$H$6,MATCH(C2228,parametros!$B$2:$B$6,0)),"")=""),"INICIO_EFEITO ausente: PC "&amp;A2228&amp;" - "&amp;C2228,IF(L2228="","EFEITO_PC nao calculado: PC "&amp;A2228&amp;" - "&amp;C2228,"OK")))))))))</f>
        <v/>
      </c>
      <c r="L2228" s="92" t="str">
        <f>IF(AND(A2228="",B2228="",D2228="",G2228=""),"",IF(OR(B2228="",NOT(ISNUMBER(B2228)),C2228="",C2228="Fora dos ciclos"),"",IF(C2228="C0","Nao",IF(IFERROR(INDEX(parametros!$A$2:$A$6,MATCH(C2228,parametros!$B$2:$B$6,0)),"")&lt;&gt;"Sim","Nao",IF(IFERROR(INDEX(parametros!$H$2:$H$6,MATCH(C2228,parametros!$B$2:$B$6,0)),"")="","",IF(B2228&gt;=IFERROR(INDEX(parametros!$H$2:$H$6,MATCH(C2228,parametros!$B$2:$B$6,0)),""),"Sim","Nao"))))))</f>
        <v/>
      </c>
      <c r="T2228" s="156"/>
      <c r="U2228" s="214" t="str">
        <f t="shared" si="176"/>
        <v/>
      </c>
      <c r="V2228" s="212" t="s">
        <v>50</v>
      </c>
      <c r="W2228" s="100" t="s">
        <v>168</v>
      </c>
      <c r="X2228" s="100" t="s">
        <v>169</v>
      </c>
      <c r="Y2228" s="101" t="s">
        <v>170</v>
      </c>
      <c r="Z2228" s="101" t="s">
        <v>171</v>
      </c>
      <c r="AA2228" s="101" t="s">
        <v>50</v>
      </c>
      <c r="AB2228" s="101" t="s">
        <v>172</v>
      </c>
      <c r="AC2228" s="102" t="s">
        <v>173</v>
      </c>
    </row>
    <row r="2229" spans="1:29" ht="25.5" customHeight="1" x14ac:dyDescent="0.35">
      <c r="A2229" s="392"/>
      <c r="B2229" s="393"/>
      <c r="C2229" s="99" t="str">
        <f>IF(B2229="","",IF(NOT(ISNUMBER(B2229)),"DATA_PC invalida",IF(NOT(ISNUMBER(parametros!$C$2)),"Fora dos ciclos",IF(OR(B2229&lt;parametros!$C$2,(YEAR(B2229)-YEAR(parametros!$C$2))*12+MONTH(B2229)-MONTH(parametros!$C$2)&gt;59),"Fora dos ciclos","C"&amp;INT(((YEAR(B2229)-YEAR(parametros!$C$2))*12+MONTH(B2229)-MONTH(parametros!$C$2))/12)))))</f>
        <v/>
      </c>
      <c r="D2229" s="394"/>
      <c r="E2229" s="78" t="str">
        <f>IF(C2229="","",IFERROR(VLOOKUP(C2229,parametros!$A$11:$E$15,5,0),""))</f>
        <v/>
      </c>
      <c r="F2229" s="79" t="str">
        <f t="shared" si="172"/>
        <v/>
      </c>
      <c r="G2229" s="395"/>
      <c r="H2229" s="91">
        <f t="shared" si="173"/>
        <v>0</v>
      </c>
      <c r="I2229" s="91" t="str">
        <f t="shared" si="174"/>
        <v/>
      </c>
      <c r="J2229" s="91" t="str">
        <f t="shared" si="175"/>
        <v/>
      </c>
      <c r="K2229" s="92" t="str">
        <f>IF(AND(A2229="",B2229="",D2229="",G2229=""),"",IF(AND(A2229&lt;&gt;"",COUNTIF($A$2:$A$5001,A2229)&gt;1),"NUMERO_PC duplicado",IF(B2229="","DATA_PC vazia",IF(NOT(ISNUMBER(B2229)),"DATA_PC invalida",IF(OR(C2229="",C2229="Fora dos ciclos"),"CICLO_PC nao identificado",IF(OR(D2229="",D2229=0),"VALOR_PC vazio ou zero",IF(AND(G2229&lt;&gt;"Sim",G2229&lt;&gt;"Nao",G2229&lt;&gt;""),"PC_PAGO_A_CONTRATADA invalido",IF(AND(C2229&lt;&gt;"C0",IFERROR(INDEX(parametros!$A$2:$A$6,MATCH(C2229,parametros!$B$2:$B$6,0)),"")="Sim",IFERROR(INDEX(parametros!$H$2:$H$6,MATCH(C2229,parametros!$B$2:$B$6,0)),"")=""),"INICIO_EFEITO ausente: PC "&amp;A2229&amp;" - "&amp;C2229,IF(L2229="","EFEITO_PC nao calculado: PC "&amp;A2229&amp;" - "&amp;C2229,"OK")))))))))</f>
        <v/>
      </c>
      <c r="L2229" s="92" t="str">
        <f>IF(AND(A2229="",B2229="",D2229="",G2229=""),"",IF(OR(B2229="",NOT(ISNUMBER(B2229)),C2229="",C2229="Fora dos ciclos"),"",IF(C2229="C0","Nao",IF(IFERROR(INDEX(parametros!$A$2:$A$6,MATCH(C2229,parametros!$B$2:$B$6,0)),"")&lt;&gt;"Sim","Nao",IF(IFERROR(INDEX(parametros!$H$2:$H$6,MATCH(C2229,parametros!$B$2:$B$6,0)),"")="","",IF(B2229&gt;=IFERROR(INDEX(parametros!$H$2:$H$6,MATCH(C2229,parametros!$B$2:$B$6,0)),""),"Sim","Nao"))))))</f>
        <v/>
      </c>
      <c r="T2229" s="156"/>
      <c r="U2229" s="214" t="str">
        <f t="shared" si="176"/>
        <v/>
      </c>
      <c r="V2229" s="212" t="s">
        <v>50</v>
      </c>
      <c r="W2229" s="100" t="s">
        <v>168</v>
      </c>
      <c r="X2229" s="100" t="s">
        <v>169</v>
      </c>
      <c r="Y2229" s="101" t="s">
        <v>170</v>
      </c>
      <c r="Z2229" s="101" t="s">
        <v>171</v>
      </c>
      <c r="AA2229" s="101" t="s">
        <v>50</v>
      </c>
      <c r="AB2229" s="101" t="s">
        <v>172</v>
      </c>
      <c r="AC2229" s="102" t="s">
        <v>173</v>
      </c>
    </row>
    <row r="2230" spans="1:29" ht="25.5" customHeight="1" x14ac:dyDescent="0.35">
      <c r="A2230" s="392"/>
      <c r="B2230" s="393"/>
      <c r="C2230" s="99" t="str">
        <f>IF(B2230="","",IF(NOT(ISNUMBER(B2230)),"DATA_PC invalida",IF(NOT(ISNUMBER(parametros!$C$2)),"Fora dos ciclos",IF(OR(B2230&lt;parametros!$C$2,(YEAR(B2230)-YEAR(parametros!$C$2))*12+MONTH(B2230)-MONTH(parametros!$C$2)&gt;59),"Fora dos ciclos","C"&amp;INT(((YEAR(B2230)-YEAR(parametros!$C$2))*12+MONTH(B2230)-MONTH(parametros!$C$2))/12)))))</f>
        <v/>
      </c>
      <c r="D2230" s="394"/>
      <c r="E2230" s="78" t="str">
        <f>IF(C2230="","",IFERROR(VLOOKUP(C2230,parametros!$A$11:$E$15,5,0),""))</f>
        <v/>
      </c>
      <c r="F2230" s="79" t="str">
        <f t="shared" si="172"/>
        <v/>
      </c>
      <c r="G2230" s="395"/>
      <c r="H2230" s="91">
        <f t="shared" si="173"/>
        <v>0</v>
      </c>
      <c r="I2230" s="91" t="str">
        <f t="shared" si="174"/>
        <v/>
      </c>
      <c r="J2230" s="91" t="str">
        <f t="shared" si="175"/>
        <v/>
      </c>
      <c r="K2230" s="92" t="str">
        <f>IF(AND(A2230="",B2230="",D2230="",G2230=""),"",IF(AND(A2230&lt;&gt;"",COUNTIF($A$2:$A$5001,A2230)&gt;1),"NUMERO_PC duplicado",IF(B2230="","DATA_PC vazia",IF(NOT(ISNUMBER(B2230)),"DATA_PC invalida",IF(OR(C2230="",C2230="Fora dos ciclos"),"CICLO_PC nao identificado",IF(OR(D2230="",D2230=0),"VALOR_PC vazio ou zero",IF(AND(G2230&lt;&gt;"Sim",G2230&lt;&gt;"Nao",G2230&lt;&gt;""),"PC_PAGO_A_CONTRATADA invalido",IF(AND(C2230&lt;&gt;"C0",IFERROR(INDEX(parametros!$A$2:$A$6,MATCH(C2230,parametros!$B$2:$B$6,0)),"")="Sim",IFERROR(INDEX(parametros!$H$2:$H$6,MATCH(C2230,parametros!$B$2:$B$6,0)),"")=""),"INICIO_EFEITO ausente: PC "&amp;A2230&amp;" - "&amp;C2230,IF(L2230="","EFEITO_PC nao calculado: PC "&amp;A2230&amp;" - "&amp;C2230,"OK")))))))))</f>
        <v/>
      </c>
      <c r="L2230" s="92" t="str">
        <f>IF(AND(A2230="",B2230="",D2230="",G2230=""),"",IF(OR(B2230="",NOT(ISNUMBER(B2230)),C2230="",C2230="Fora dos ciclos"),"",IF(C2230="C0","Nao",IF(IFERROR(INDEX(parametros!$A$2:$A$6,MATCH(C2230,parametros!$B$2:$B$6,0)),"")&lt;&gt;"Sim","Nao",IF(IFERROR(INDEX(parametros!$H$2:$H$6,MATCH(C2230,parametros!$B$2:$B$6,0)),"")="","",IF(B2230&gt;=IFERROR(INDEX(parametros!$H$2:$H$6,MATCH(C2230,parametros!$B$2:$B$6,0)),""),"Sim","Nao"))))))</f>
        <v/>
      </c>
      <c r="T2230" s="156"/>
      <c r="U2230" s="214" t="str">
        <f t="shared" si="176"/>
        <v/>
      </c>
      <c r="V2230" s="212" t="s">
        <v>50</v>
      </c>
      <c r="W2230" s="100" t="s">
        <v>168</v>
      </c>
      <c r="X2230" s="100" t="s">
        <v>169</v>
      </c>
      <c r="Y2230" s="101" t="s">
        <v>170</v>
      </c>
      <c r="Z2230" s="101" t="s">
        <v>171</v>
      </c>
      <c r="AA2230" s="101" t="s">
        <v>50</v>
      </c>
      <c r="AB2230" s="101" t="s">
        <v>172</v>
      </c>
      <c r="AC2230" s="102" t="s">
        <v>173</v>
      </c>
    </row>
    <row r="2231" spans="1:29" ht="25.5" customHeight="1" x14ac:dyDescent="0.35">
      <c r="A2231" s="392"/>
      <c r="B2231" s="393"/>
      <c r="C2231" s="99" t="str">
        <f>IF(B2231="","",IF(NOT(ISNUMBER(B2231)),"DATA_PC invalida",IF(NOT(ISNUMBER(parametros!$C$2)),"Fora dos ciclos",IF(OR(B2231&lt;parametros!$C$2,(YEAR(B2231)-YEAR(parametros!$C$2))*12+MONTH(B2231)-MONTH(parametros!$C$2)&gt;59),"Fora dos ciclos","C"&amp;INT(((YEAR(B2231)-YEAR(parametros!$C$2))*12+MONTH(B2231)-MONTH(parametros!$C$2))/12)))))</f>
        <v/>
      </c>
      <c r="D2231" s="394"/>
      <c r="E2231" s="78" t="str">
        <f>IF(C2231="","",IFERROR(VLOOKUP(C2231,parametros!$A$11:$E$15,5,0),""))</f>
        <v/>
      </c>
      <c r="F2231" s="79" t="str">
        <f t="shared" si="172"/>
        <v/>
      </c>
      <c r="G2231" s="395"/>
      <c r="H2231" s="91">
        <f t="shared" si="173"/>
        <v>0</v>
      </c>
      <c r="I2231" s="91" t="str">
        <f t="shared" si="174"/>
        <v/>
      </c>
      <c r="J2231" s="91" t="str">
        <f t="shared" si="175"/>
        <v/>
      </c>
      <c r="K2231" s="92" t="str">
        <f>IF(AND(A2231="",B2231="",D2231="",G2231=""),"",IF(AND(A2231&lt;&gt;"",COUNTIF($A$2:$A$5001,A2231)&gt;1),"NUMERO_PC duplicado",IF(B2231="","DATA_PC vazia",IF(NOT(ISNUMBER(B2231)),"DATA_PC invalida",IF(OR(C2231="",C2231="Fora dos ciclos"),"CICLO_PC nao identificado",IF(OR(D2231="",D2231=0),"VALOR_PC vazio ou zero",IF(AND(G2231&lt;&gt;"Sim",G2231&lt;&gt;"Nao",G2231&lt;&gt;""),"PC_PAGO_A_CONTRATADA invalido",IF(AND(C2231&lt;&gt;"C0",IFERROR(INDEX(parametros!$A$2:$A$6,MATCH(C2231,parametros!$B$2:$B$6,0)),"")="Sim",IFERROR(INDEX(parametros!$H$2:$H$6,MATCH(C2231,parametros!$B$2:$B$6,0)),"")=""),"INICIO_EFEITO ausente: PC "&amp;A2231&amp;" - "&amp;C2231,IF(L2231="","EFEITO_PC nao calculado: PC "&amp;A2231&amp;" - "&amp;C2231,"OK")))))))))</f>
        <v/>
      </c>
      <c r="L2231" s="92" t="str">
        <f>IF(AND(A2231="",B2231="",D2231="",G2231=""),"",IF(OR(B2231="",NOT(ISNUMBER(B2231)),C2231="",C2231="Fora dos ciclos"),"",IF(C2231="C0","Nao",IF(IFERROR(INDEX(parametros!$A$2:$A$6,MATCH(C2231,parametros!$B$2:$B$6,0)),"")&lt;&gt;"Sim","Nao",IF(IFERROR(INDEX(parametros!$H$2:$H$6,MATCH(C2231,parametros!$B$2:$B$6,0)),"")="","",IF(B2231&gt;=IFERROR(INDEX(parametros!$H$2:$H$6,MATCH(C2231,parametros!$B$2:$B$6,0)),""),"Sim","Nao"))))))</f>
        <v/>
      </c>
      <c r="T2231" s="156"/>
      <c r="U2231" s="214" t="str">
        <f t="shared" si="176"/>
        <v/>
      </c>
      <c r="V2231" s="212" t="s">
        <v>50</v>
      </c>
      <c r="W2231" s="100" t="s">
        <v>168</v>
      </c>
      <c r="X2231" s="100" t="s">
        <v>169</v>
      </c>
      <c r="Y2231" s="101" t="s">
        <v>170</v>
      </c>
      <c r="Z2231" s="101" t="s">
        <v>171</v>
      </c>
      <c r="AA2231" s="101" t="s">
        <v>50</v>
      </c>
      <c r="AB2231" s="101" t="s">
        <v>172</v>
      </c>
      <c r="AC2231" s="102" t="s">
        <v>173</v>
      </c>
    </row>
    <row r="2232" spans="1:29" ht="25.5" customHeight="1" x14ac:dyDescent="0.35">
      <c r="A2232" s="392"/>
      <c r="B2232" s="393"/>
      <c r="C2232" s="99" t="str">
        <f>IF(B2232="","",IF(NOT(ISNUMBER(B2232)),"DATA_PC invalida",IF(NOT(ISNUMBER(parametros!$C$2)),"Fora dos ciclos",IF(OR(B2232&lt;parametros!$C$2,(YEAR(B2232)-YEAR(parametros!$C$2))*12+MONTH(B2232)-MONTH(parametros!$C$2)&gt;59),"Fora dos ciclos","C"&amp;INT(((YEAR(B2232)-YEAR(parametros!$C$2))*12+MONTH(B2232)-MONTH(parametros!$C$2))/12)))))</f>
        <v/>
      </c>
      <c r="D2232" s="394"/>
      <c r="E2232" s="78" t="str">
        <f>IF(C2232="","",IFERROR(VLOOKUP(C2232,parametros!$A$11:$E$15,5,0),""))</f>
        <v/>
      </c>
      <c r="F2232" s="79" t="str">
        <f t="shared" si="172"/>
        <v/>
      </c>
      <c r="G2232" s="395"/>
      <c r="H2232" s="91">
        <f t="shared" si="173"/>
        <v>0</v>
      </c>
      <c r="I2232" s="91" t="str">
        <f t="shared" si="174"/>
        <v/>
      </c>
      <c r="J2232" s="91" t="str">
        <f t="shared" si="175"/>
        <v/>
      </c>
      <c r="K2232" s="92" t="str">
        <f>IF(AND(A2232="",B2232="",D2232="",G2232=""),"",IF(AND(A2232&lt;&gt;"",COUNTIF($A$2:$A$5001,A2232)&gt;1),"NUMERO_PC duplicado",IF(B2232="","DATA_PC vazia",IF(NOT(ISNUMBER(B2232)),"DATA_PC invalida",IF(OR(C2232="",C2232="Fora dos ciclos"),"CICLO_PC nao identificado",IF(OR(D2232="",D2232=0),"VALOR_PC vazio ou zero",IF(AND(G2232&lt;&gt;"Sim",G2232&lt;&gt;"Nao",G2232&lt;&gt;""),"PC_PAGO_A_CONTRATADA invalido",IF(AND(C2232&lt;&gt;"C0",IFERROR(INDEX(parametros!$A$2:$A$6,MATCH(C2232,parametros!$B$2:$B$6,0)),"")="Sim",IFERROR(INDEX(parametros!$H$2:$H$6,MATCH(C2232,parametros!$B$2:$B$6,0)),"")=""),"INICIO_EFEITO ausente: PC "&amp;A2232&amp;" - "&amp;C2232,IF(L2232="","EFEITO_PC nao calculado: PC "&amp;A2232&amp;" - "&amp;C2232,"OK")))))))))</f>
        <v/>
      </c>
      <c r="L2232" s="92" t="str">
        <f>IF(AND(A2232="",B2232="",D2232="",G2232=""),"",IF(OR(B2232="",NOT(ISNUMBER(B2232)),C2232="",C2232="Fora dos ciclos"),"",IF(C2232="C0","Nao",IF(IFERROR(INDEX(parametros!$A$2:$A$6,MATCH(C2232,parametros!$B$2:$B$6,0)),"")&lt;&gt;"Sim","Nao",IF(IFERROR(INDEX(parametros!$H$2:$H$6,MATCH(C2232,parametros!$B$2:$B$6,0)),"")="","",IF(B2232&gt;=IFERROR(INDEX(parametros!$H$2:$H$6,MATCH(C2232,parametros!$B$2:$B$6,0)),""),"Sim","Nao"))))))</f>
        <v/>
      </c>
      <c r="T2232" s="156"/>
      <c r="U2232" s="214" t="str">
        <f t="shared" si="176"/>
        <v/>
      </c>
      <c r="V2232" s="212" t="s">
        <v>50</v>
      </c>
      <c r="W2232" s="100" t="s">
        <v>168</v>
      </c>
      <c r="X2232" s="100" t="s">
        <v>169</v>
      </c>
      <c r="Y2232" s="101" t="s">
        <v>170</v>
      </c>
      <c r="Z2232" s="101" t="s">
        <v>171</v>
      </c>
      <c r="AA2232" s="101" t="s">
        <v>50</v>
      </c>
      <c r="AB2232" s="101" t="s">
        <v>172</v>
      </c>
      <c r="AC2232" s="102" t="s">
        <v>173</v>
      </c>
    </row>
    <row r="2233" spans="1:29" ht="25.5" customHeight="1" x14ac:dyDescent="0.35">
      <c r="A2233" s="392"/>
      <c r="B2233" s="393"/>
      <c r="C2233" s="99" t="str">
        <f>IF(B2233="","",IF(NOT(ISNUMBER(B2233)),"DATA_PC invalida",IF(NOT(ISNUMBER(parametros!$C$2)),"Fora dos ciclos",IF(OR(B2233&lt;parametros!$C$2,(YEAR(B2233)-YEAR(parametros!$C$2))*12+MONTH(B2233)-MONTH(parametros!$C$2)&gt;59),"Fora dos ciclos","C"&amp;INT(((YEAR(B2233)-YEAR(parametros!$C$2))*12+MONTH(B2233)-MONTH(parametros!$C$2))/12)))))</f>
        <v/>
      </c>
      <c r="D2233" s="394"/>
      <c r="E2233" s="78" t="str">
        <f>IF(C2233="","",IFERROR(VLOOKUP(C2233,parametros!$A$11:$E$15,5,0),""))</f>
        <v/>
      </c>
      <c r="F2233" s="79" t="str">
        <f t="shared" si="172"/>
        <v/>
      </c>
      <c r="G2233" s="395"/>
      <c r="H2233" s="91">
        <f t="shared" si="173"/>
        <v>0</v>
      </c>
      <c r="I2233" s="91" t="str">
        <f t="shared" si="174"/>
        <v/>
      </c>
      <c r="J2233" s="91" t="str">
        <f t="shared" si="175"/>
        <v/>
      </c>
      <c r="K2233" s="92" t="str">
        <f>IF(AND(A2233="",B2233="",D2233="",G2233=""),"",IF(AND(A2233&lt;&gt;"",COUNTIF($A$2:$A$5001,A2233)&gt;1),"NUMERO_PC duplicado",IF(B2233="","DATA_PC vazia",IF(NOT(ISNUMBER(B2233)),"DATA_PC invalida",IF(OR(C2233="",C2233="Fora dos ciclos"),"CICLO_PC nao identificado",IF(OR(D2233="",D2233=0),"VALOR_PC vazio ou zero",IF(AND(G2233&lt;&gt;"Sim",G2233&lt;&gt;"Nao",G2233&lt;&gt;""),"PC_PAGO_A_CONTRATADA invalido",IF(AND(C2233&lt;&gt;"C0",IFERROR(INDEX(parametros!$A$2:$A$6,MATCH(C2233,parametros!$B$2:$B$6,0)),"")="Sim",IFERROR(INDEX(parametros!$H$2:$H$6,MATCH(C2233,parametros!$B$2:$B$6,0)),"")=""),"INICIO_EFEITO ausente: PC "&amp;A2233&amp;" - "&amp;C2233,IF(L2233="","EFEITO_PC nao calculado: PC "&amp;A2233&amp;" - "&amp;C2233,"OK")))))))))</f>
        <v/>
      </c>
      <c r="L2233" s="92" t="str">
        <f>IF(AND(A2233="",B2233="",D2233="",G2233=""),"",IF(OR(B2233="",NOT(ISNUMBER(B2233)),C2233="",C2233="Fora dos ciclos"),"",IF(C2233="C0","Nao",IF(IFERROR(INDEX(parametros!$A$2:$A$6,MATCH(C2233,parametros!$B$2:$B$6,0)),"")&lt;&gt;"Sim","Nao",IF(IFERROR(INDEX(parametros!$H$2:$H$6,MATCH(C2233,parametros!$B$2:$B$6,0)),"")="","",IF(B2233&gt;=IFERROR(INDEX(parametros!$H$2:$H$6,MATCH(C2233,parametros!$B$2:$B$6,0)),""),"Sim","Nao"))))))</f>
        <v/>
      </c>
      <c r="T2233" s="156"/>
      <c r="U2233" s="214" t="str">
        <f t="shared" si="176"/>
        <v/>
      </c>
      <c r="V2233" s="212" t="s">
        <v>50</v>
      </c>
      <c r="W2233" s="100" t="s">
        <v>168</v>
      </c>
      <c r="X2233" s="100" t="s">
        <v>169</v>
      </c>
      <c r="Y2233" s="101" t="s">
        <v>170</v>
      </c>
      <c r="Z2233" s="101" t="s">
        <v>171</v>
      </c>
      <c r="AA2233" s="101" t="s">
        <v>50</v>
      </c>
      <c r="AB2233" s="101" t="s">
        <v>172</v>
      </c>
      <c r="AC2233" s="102" t="s">
        <v>173</v>
      </c>
    </row>
    <row r="2234" spans="1:29" ht="25.5" customHeight="1" x14ac:dyDescent="0.35">
      <c r="A2234" s="392"/>
      <c r="B2234" s="393"/>
      <c r="C2234" s="99" t="str">
        <f>IF(B2234="","",IF(NOT(ISNUMBER(B2234)),"DATA_PC invalida",IF(NOT(ISNUMBER(parametros!$C$2)),"Fora dos ciclos",IF(OR(B2234&lt;parametros!$C$2,(YEAR(B2234)-YEAR(parametros!$C$2))*12+MONTH(B2234)-MONTH(parametros!$C$2)&gt;59),"Fora dos ciclos","C"&amp;INT(((YEAR(B2234)-YEAR(parametros!$C$2))*12+MONTH(B2234)-MONTH(parametros!$C$2))/12)))))</f>
        <v/>
      </c>
      <c r="D2234" s="394"/>
      <c r="E2234" s="78" t="str">
        <f>IF(C2234="","",IFERROR(VLOOKUP(C2234,parametros!$A$11:$E$15,5,0),""))</f>
        <v/>
      </c>
      <c r="F2234" s="79" t="str">
        <f t="shared" si="172"/>
        <v/>
      </c>
      <c r="G2234" s="395"/>
      <c r="H2234" s="91">
        <f t="shared" si="173"/>
        <v>0</v>
      </c>
      <c r="I2234" s="91" t="str">
        <f t="shared" si="174"/>
        <v/>
      </c>
      <c r="J2234" s="91" t="str">
        <f t="shared" si="175"/>
        <v/>
      </c>
      <c r="K2234" s="92" t="str">
        <f>IF(AND(A2234="",B2234="",D2234="",G2234=""),"",IF(AND(A2234&lt;&gt;"",COUNTIF($A$2:$A$5001,A2234)&gt;1),"NUMERO_PC duplicado",IF(B2234="","DATA_PC vazia",IF(NOT(ISNUMBER(B2234)),"DATA_PC invalida",IF(OR(C2234="",C2234="Fora dos ciclos"),"CICLO_PC nao identificado",IF(OR(D2234="",D2234=0),"VALOR_PC vazio ou zero",IF(AND(G2234&lt;&gt;"Sim",G2234&lt;&gt;"Nao",G2234&lt;&gt;""),"PC_PAGO_A_CONTRATADA invalido",IF(AND(C2234&lt;&gt;"C0",IFERROR(INDEX(parametros!$A$2:$A$6,MATCH(C2234,parametros!$B$2:$B$6,0)),"")="Sim",IFERROR(INDEX(parametros!$H$2:$H$6,MATCH(C2234,parametros!$B$2:$B$6,0)),"")=""),"INICIO_EFEITO ausente: PC "&amp;A2234&amp;" - "&amp;C2234,IF(L2234="","EFEITO_PC nao calculado: PC "&amp;A2234&amp;" - "&amp;C2234,"OK")))))))))</f>
        <v/>
      </c>
      <c r="L2234" s="92" t="str">
        <f>IF(AND(A2234="",B2234="",D2234="",G2234=""),"",IF(OR(B2234="",NOT(ISNUMBER(B2234)),C2234="",C2234="Fora dos ciclos"),"",IF(C2234="C0","Nao",IF(IFERROR(INDEX(parametros!$A$2:$A$6,MATCH(C2234,parametros!$B$2:$B$6,0)),"")&lt;&gt;"Sim","Nao",IF(IFERROR(INDEX(parametros!$H$2:$H$6,MATCH(C2234,parametros!$B$2:$B$6,0)),"")="","",IF(B2234&gt;=IFERROR(INDEX(parametros!$H$2:$H$6,MATCH(C2234,parametros!$B$2:$B$6,0)),""),"Sim","Nao"))))))</f>
        <v/>
      </c>
      <c r="T2234" s="156"/>
      <c r="U2234" s="214" t="str">
        <f t="shared" si="176"/>
        <v/>
      </c>
      <c r="V2234" s="212" t="s">
        <v>50</v>
      </c>
      <c r="W2234" s="100" t="s">
        <v>168</v>
      </c>
      <c r="X2234" s="100" t="s">
        <v>169</v>
      </c>
      <c r="Y2234" s="101" t="s">
        <v>170</v>
      </c>
      <c r="Z2234" s="101" t="s">
        <v>171</v>
      </c>
      <c r="AA2234" s="101" t="s">
        <v>50</v>
      </c>
      <c r="AB2234" s="101" t="s">
        <v>172</v>
      </c>
      <c r="AC2234" s="102" t="s">
        <v>173</v>
      </c>
    </row>
    <row r="2235" spans="1:29" ht="25.5" customHeight="1" x14ac:dyDescent="0.35">
      <c r="A2235" s="392"/>
      <c r="B2235" s="393"/>
      <c r="C2235" s="99" t="str">
        <f>IF(B2235="","",IF(NOT(ISNUMBER(B2235)),"DATA_PC invalida",IF(NOT(ISNUMBER(parametros!$C$2)),"Fora dos ciclos",IF(OR(B2235&lt;parametros!$C$2,(YEAR(B2235)-YEAR(parametros!$C$2))*12+MONTH(B2235)-MONTH(parametros!$C$2)&gt;59),"Fora dos ciclos","C"&amp;INT(((YEAR(B2235)-YEAR(parametros!$C$2))*12+MONTH(B2235)-MONTH(parametros!$C$2))/12)))))</f>
        <v/>
      </c>
      <c r="D2235" s="394"/>
      <c r="E2235" s="78" t="str">
        <f>IF(C2235="","",IFERROR(VLOOKUP(C2235,parametros!$A$11:$E$15,5,0),""))</f>
        <v/>
      </c>
      <c r="F2235" s="79" t="str">
        <f t="shared" si="172"/>
        <v/>
      </c>
      <c r="G2235" s="395"/>
      <c r="H2235" s="91">
        <f t="shared" si="173"/>
        <v>0</v>
      </c>
      <c r="I2235" s="91" t="str">
        <f t="shared" si="174"/>
        <v/>
      </c>
      <c r="J2235" s="91" t="str">
        <f t="shared" si="175"/>
        <v/>
      </c>
      <c r="K2235" s="92" t="str">
        <f>IF(AND(A2235="",B2235="",D2235="",G2235=""),"",IF(AND(A2235&lt;&gt;"",COUNTIF($A$2:$A$5001,A2235)&gt;1),"NUMERO_PC duplicado",IF(B2235="","DATA_PC vazia",IF(NOT(ISNUMBER(B2235)),"DATA_PC invalida",IF(OR(C2235="",C2235="Fora dos ciclos"),"CICLO_PC nao identificado",IF(OR(D2235="",D2235=0),"VALOR_PC vazio ou zero",IF(AND(G2235&lt;&gt;"Sim",G2235&lt;&gt;"Nao",G2235&lt;&gt;""),"PC_PAGO_A_CONTRATADA invalido",IF(AND(C2235&lt;&gt;"C0",IFERROR(INDEX(parametros!$A$2:$A$6,MATCH(C2235,parametros!$B$2:$B$6,0)),"")="Sim",IFERROR(INDEX(parametros!$H$2:$H$6,MATCH(C2235,parametros!$B$2:$B$6,0)),"")=""),"INICIO_EFEITO ausente: PC "&amp;A2235&amp;" - "&amp;C2235,IF(L2235="","EFEITO_PC nao calculado: PC "&amp;A2235&amp;" - "&amp;C2235,"OK")))))))))</f>
        <v/>
      </c>
      <c r="L2235" s="92" t="str">
        <f>IF(AND(A2235="",B2235="",D2235="",G2235=""),"",IF(OR(B2235="",NOT(ISNUMBER(B2235)),C2235="",C2235="Fora dos ciclos"),"",IF(C2235="C0","Nao",IF(IFERROR(INDEX(parametros!$A$2:$A$6,MATCH(C2235,parametros!$B$2:$B$6,0)),"")&lt;&gt;"Sim","Nao",IF(IFERROR(INDEX(parametros!$H$2:$H$6,MATCH(C2235,parametros!$B$2:$B$6,0)),"")="","",IF(B2235&gt;=IFERROR(INDEX(parametros!$H$2:$H$6,MATCH(C2235,parametros!$B$2:$B$6,0)),""),"Sim","Nao"))))))</f>
        <v/>
      </c>
      <c r="T2235" s="156"/>
      <c r="U2235" s="214" t="str">
        <f t="shared" si="176"/>
        <v/>
      </c>
      <c r="V2235" s="212" t="s">
        <v>50</v>
      </c>
      <c r="W2235" s="100" t="s">
        <v>168</v>
      </c>
      <c r="X2235" s="100" t="s">
        <v>169</v>
      </c>
      <c r="Y2235" s="101" t="s">
        <v>170</v>
      </c>
      <c r="Z2235" s="101" t="s">
        <v>171</v>
      </c>
      <c r="AA2235" s="101" t="s">
        <v>50</v>
      </c>
      <c r="AB2235" s="101" t="s">
        <v>172</v>
      </c>
      <c r="AC2235" s="102" t="s">
        <v>173</v>
      </c>
    </row>
    <row r="2236" spans="1:29" ht="25.5" customHeight="1" x14ac:dyDescent="0.35">
      <c r="A2236" s="392"/>
      <c r="B2236" s="393"/>
      <c r="C2236" s="99" t="str">
        <f>IF(B2236="","",IF(NOT(ISNUMBER(B2236)),"DATA_PC invalida",IF(NOT(ISNUMBER(parametros!$C$2)),"Fora dos ciclos",IF(OR(B2236&lt;parametros!$C$2,(YEAR(B2236)-YEAR(parametros!$C$2))*12+MONTH(B2236)-MONTH(parametros!$C$2)&gt;59),"Fora dos ciclos","C"&amp;INT(((YEAR(B2236)-YEAR(parametros!$C$2))*12+MONTH(B2236)-MONTH(parametros!$C$2))/12)))))</f>
        <v/>
      </c>
      <c r="D2236" s="394"/>
      <c r="E2236" s="78" t="str">
        <f>IF(C2236="","",IFERROR(VLOOKUP(C2236,parametros!$A$11:$E$15,5,0),""))</f>
        <v/>
      </c>
      <c r="F2236" s="79" t="str">
        <f t="shared" si="172"/>
        <v/>
      </c>
      <c r="G2236" s="395"/>
      <c r="H2236" s="91">
        <f t="shared" si="173"/>
        <v>0</v>
      </c>
      <c r="I2236" s="91" t="str">
        <f t="shared" si="174"/>
        <v/>
      </c>
      <c r="J2236" s="91" t="str">
        <f t="shared" si="175"/>
        <v/>
      </c>
      <c r="K2236" s="92" t="str">
        <f>IF(AND(A2236="",B2236="",D2236="",G2236=""),"",IF(AND(A2236&lt;&gt;"",COUNTIF($A$2:$A$5001,A2236)&gt;1),"NUMERO_PC duplicado",IF(B2236="","DATA_PC vazia",IF(NOT(ISNUMBER(B2236)),"DATA_PC invalida",IF(OR(C2236="",C2236="Fora dos ciclos"),"CICLO_PC nao identificado",IF(OR(D2236="",D2236=0),"VALOR_PC vazio ou zero",IF(AND(G2236&lt;&gt;"Sim",G2236&lt;&gt;"Nao",G2236&lt;&gt;""),"PC_PAGO_A_CONTRATADA invalido",IF(AND(C2236&lt;&gt;"C0",IFERROR(INDEX(parametros!$A$2:$A$6,MATCH(C2236,parametros!$B$2:$B$6,0)),"")="Sim",IFERROR(INDEX(parametros!$H$2:$H$6,MATCH(C2236,parametros!$B$2:$B$6,0)),"")=""),"INICIO_EFEITO ausente: PC "&amp;A2236&amp;" - "&amp;C2236,IF(L2236="","EFEITO_PC nao calculado: PC "&amp;A2236&amp;" - "&amp;C2236,"OK")))))))))</f>
        <v/>
      </c>
      <c r="L2236" s="92" t="str">
        <f>IF(AND(A2236="",B2236="",D2236="",G2236=""),"",IF(OR(B2236="",NOT(ISNUMBER(B2236)),C2236="",C2236="Fora dos ciclos"),"",IF(C2236="C0","Nao",IF(IFERROR(INDEX(parametros!$A$2:$A$6,MATCH(C2236,parametros!$B$2:$B$6,0)),"")&lt;&gt;"Sim","Nao",IF(IFERROR(INDEX(parametros!$H$2:$H$6,MATCH(C2236,parametros!$B$2:$B$6,0)),"")="","",IF(B2236&gt;=IFERROR(INDEX(parametros!$H$2:$H$6,MATCH(C2236,parametros!$B$2:$B$6,0)),""),"Sim","Nao"))))))</f>
        <v/>
      </c>
      <c r="T2236" s="156"/>
      <c r="U2236" s="214" t="str">
        <f t="shared" si="176"/>
        <v/>
      </c>
      <c r="V2236" s="212" t="s">
        <v>50</v>
      </c>
      <c r="W2236" s="100" t="s">
        <v>168</v>
      </c>
      <c r="X2236" s="100" t="s">
        <v>169</v>
      </c>
      <c r="Y2236" s="101" t="s">
        <v>170</v>
      </c>
      <c r="Z2236" s="101" t="s">
        <v>171</v>
      </c>
      <c r="AA2236" s="101" t="s">
        <v>50</v>
      </c>
      <c r="AB2236" s="101" t="s">
        <v>172</v>
      </c>
      <c r="AC2236" s="102" t="s">
        <v>173</v>
      </c>
    </row>
    <row r="2237" spans="1:29" ht="25.5" customHeight="1" x14ac:dyDescent="0.35">
      <c r="A2237" s="392"/>
      <c r="B2237" s="393"/>
      <c r="C2237" s="99" t="str">
        <f>IF(B2237="","",IF(NOT(ISNUMBER(B2237)),"DATA_PC invalida",IF(NOT(ISNUMBER(parametros!$C$2)),"Fora dos ciclos",IF(OR(B2237&lt;parametros!$C$2,(YEAR(B2237)-YEAR(parametros!$C$2))*12+MONTH(B2237)-MONTH(parametros!$C$2)&gt;59),"Fora dos ciclos","C"&amp;INT(((YEAR(B2237)-YEAR(parametros!$C$2))*12+MONTH(B2237)-MONTH(parametros!$C$2))/12)))))</f>
        <v/>
      </c>
      <c r="D2237" s="394"/>
      <c r="E2237" s="78" t="str">
        <f>IF(C2237="","",IFERROR(VLOOKUP(C2237,parametros!$A$11:$E$15,5,0),""))</f>
        <v/>
      </c>
      <c r="F2237" s="79" t="str">
        <f t="shared" si="172"/>
        <v/>
      </c>
      <c r="G2237" s="395"/>
      <c r="H2237" s="91">
        <f t="shared" si="173"/>
        <v>0</v>
      </c>
      <c r="I2237" s="91" t="str">
        <f t="shared" si="174"/>
        <v/>
      </c>
      <c r="J2237" s="91" t="str">
        <f t="shared" si="175"/>
        <v/>
      </c>
      <c r="K2237" s="92" t="str">
        <f>IF(AND(A2237="",B2237="",D2237="",G2237=""),"",IF(AND(A2237&lt;&gt;"",COUNTIF($A$2:$A$5001,A2237)&gt;1),"NUMERO_PC duplicado",IF(B2237="","DATA_PC vazia",IF(NOT(ISNUMBER(B2237)),"DATA_PC invalida",IF(OR(C2237="",C2237="Fora dos ciclos"),"CICLO_PC nao identificado",IF(OR(D2237="",D2237=0),"VALOR_PC vazio ou zero",IF(AND(G2237&lt;&gt;"Sim",G2237&lt;&gt;"Nao",G2237&lt;&gt;""),"PC_PAGO_A_CONTRATADA invalido",IF(AND(C2237&lt;&gt;"C0",IFERROR(INDEX(parametros!$A$2:$A$6,MATCH(C2237,parametros!$B$2:$B$6,0)),"")="Sim",IFERROR(INDEX(parametros!$H$2:$H$6,MATCH(C2237,parametros!$B$2:$B$6,0)),"")=""),"INICIO_EFEITO ausente: PC "&amp;A2237&amp;" - "&amp;C2237,IF(L2237="","EFEITO_PC nao calculado: PC "&amp;A2237&amp;" - "&amp;C2237,"OK")))))))))</f>
        <v/>
      </c>
      <c r="L2237" s="92" t="str">
        <f>IF(AND(A2237="",B2237="",D2237="",G2237=""),"",IF(OR(B2237="",NOT(ISNUMBER(B2237)),C2237="",C2237="Fora dos ciclos"),"",IF(C2237="C0","Nao",IF(IFERROR(INDEX(parametros!$A$2:$A$6,MATCH(C2237,parametros!$B$2:$B$6,0)),"")&lt;&gt;"Sim","Nao",IF(IFERROR(INDEX(parametros!$H$2:$H$6,MATCH(C2237,parametros!$B$2:$B$6,0)),"")="","",IF(B2237&gt;=IFERROR(INDEX(parametros!$H$2:$H$6,MATCH(C2237,parametros!$B$2:$B$6,0)),""),"Sim","Nao"))))))</f>
        <v/>
      </c>
      <c r="T2237" s="156"/>
      <c r="U2237" s="214" t="str">
        <f t="shared" si="176"/>
        <v/>
      </c>
      <c r="V2237" s="212" t="s">
        <v>50</v>
      </c>
      <c r="W2237" s="100" t="s">
        <v>168</v>
      </c>
      <c r="X2237" s="100" t="s">
        <v>169</v>
      </c>
      <c r="Y2237" s="101" t="s">
        <v>170</v>
      </c>
      <c r="Z2237" s="101" t="s">
        <v>171</v>
      </c>
      <c r="AA2237" s="101" t="s">
        <v>50</v>
      </c>
      <c r="AB2237" s="101" t="s">
        <v>172</v>
      </c>
      <c r="AC2237" s="102" t="s">
        <v>173</v>
      </c>
    </row>
    <row r="2238" spans="1:29" ht="25.5" customHeight="1" x14ac:dyDescent="0.35">
      <c r="A2238" s="392"/>
      <c r="B2238" s="393"/>
      <c r="C2238" s="99" t="str">
        <f>IF(B2238="","",IF(NOT(ISNUMBER(B2238)),"DATA_PC invalida",IF(NOT(ISNUMBER(parametros!$C$2)),"Fora dos ciclos",IF(OR(B2238&lt;parametros!$C$2,(YEAR(B2238)-YEAR(parametros!$C$2))*12+MONTH(B2238)-MONTH(parametros!$C$2)&gt;59),"Fora dos ciclos","C"&amp;INT(((YEAR(B2238)-YEAR(parametros!$C$2))*12+MONTH(B2238)-MONTH(parametros!$C$2))/12)))))</f>
        <v/>
      </c>
      <c r="D2238" s="394"/>
      <c r="E2238" s="78" t="str">
        <f>IF(C2238="","",IFERROR(VLOOKUP(C2238,parametros!$A$11:$E$15,5,0),""))</f>
        <v/>
      </c>
      <c r="F2238" s="79" t="str">
        <f t="shared" si="172"/>
        <v/>
      </c>
      <c r="G2238" s="395"/>
      <c r="H2238" s="91">
        <f t="shared" si="173"/>
        <v>0</v>
      </c>
      <c r="I2238" s="91" t="str">
        <f t="shared" si="174"/>
        <v/>
      </c>
      <c r="J2238" s="91" t="str">
        <f t="shared" si="175"/>
        <v/>
      </c>
      <c r="K2238" s="92" t="str">
        <f>IF(AND(A2238="",B2238="",D2238="",G2238=""),"",IF(AND(A2238&lt;&gt;"",COUNTIF($A$2:$A$5001,A2238)&gt;1),"NUMERO_PC duplicado",IF(B2238="","DATA_PC vazia",IF(NOT(ISNUMBER(B2238)),"DATA_PC invalida",IF(OR(C2238="",C2238="Fora dos ciclos"),"CICLO_PC nao identificado",IF(OR(D2238="",D2238=0),"VALOR_PC vazio ou zero",IF(AND(G2238&lt;&gt;"Sim",G2238&lt;&gt;"Nao",G2238&lt;&gt;""),"PC_PAGO_A_CONTRATADA invalido",IF(AND(C2238&lt;&gt;"C0",IFERROR(INDEX(parametros!$A$2:$A$6,MATCH(C2238,parametros!$B$2:$B$6,0)),"")="Sim",IFERROR(INDEX(parametros!$H$2:$H$6,MATCH(C2238,parametros!$B$2:$B$6,0)),"")=""),"INICIO_EFEITO ausente: PC "&amp;A2238&amp;" - "&amp;C2238,IF(L2238="","EFEITO_PC nao calculado: PC "&amp;A2238&amp;" - "&amp;C2238,"OK")))))))))</f>
        <v/>
      </c>
      <c r="L2238" s="92" t="str">
        <f>IF(AND(A2238="",B2238="",D2238="",G2238=""),"",IF(OR(B2238="",NOT(ISNUMBER(B2238)),C2238="",C2238="Fora dos ciclos"),"",IF(C2238="C0","Nao",IF(IFERROR(INDEX(parametros!$A$2:$A$6,MATCH(C2238,parametros!$B$2:$B$6,0)),"")&lt;&gt;"Sim","Nao",IF(IFERROR(INDEX(parametros!$H$2:$H$6,MATCH(C2238,parametros!$B$2:$B$6,0)),"")="","",IF(B2238&gt;=IFERROR(INDEX(parametros!$H$2:$H$6,MATCH(C2238,parametros!$B$2:$B$6,0)),""),"Sim","Nao"))))))</f>
        <v/>
      </c>
      <c r="T2238" s="156"/>
      <c r="U2238" s="214" t="str">
        <f t="shared" si="176"/>
        <v/>
      </c>
      <c r="V2238" s="212" t="s">
        <v>50</v>
      </c>
      <c r="W2238" s="100" t="s">
        <v>168</v>
      </c>
      <c r="X2238" s="100" t="s">
        <v>169</v>
      </c>
      <c r="Y2238" s="101" t="s">
        <v>170</v>
      </c>
      <c r="Z2238" s="101" t="s">
        <v>171</v>
      </c>
      <c r="AA2238" s="101" t="s">
        <v>50</v>
      </c>
      <c r="AB2238" s="101" t="s">
        <v>172</v>
      </c>
      <c r="AC2238" s="102" t="s">
        <v>173</v>
      </c>
    </row>
    <row r="2239" spans="1:29" ht="25.5" customHeight="1" x14ac:dyDescent="0.35">
      <c r="A2239" s="392"/>
      <c r="B2239" s="393"/>
      <c r="C2239" s="99" t="str">
        <f>IF(B2239="","",IF(NOT(ISNUMBER(B2239)),"DATA_PC invalida",IF(NOT(ISNUMBER(parametros!$C$2)),"Fora dos ciclos",IF(OR(B2239&lt;parametros!$C$2,(YEAR(B2239)-YEAR(parametros!$C$2))*12+MONTH(B2239)-MONTH(parametros!$C$2)&gt;59),"Fora dos ciclos","C"&amp;INT(((YEAR(B2239)-YEAR(parametros!$C$2))*12+MONTH(B2239)-MONTH(parametros!$C$2))/12)))))</f>
        <v/>
      </c>
      <c r="D2239" s="394"/>
      <c r="E2239" s="78" t="str">
        <f>IF(C2239="","",IFERROR(VLOOKUP(C2239,parametros!$A$11:$E$15,5,0),""))</f>
        <v/>
      </c>
      <c r="F2239" s="79" t="str">
        <f t="shared" si="172"/>
        <v/>
      </c>
      <c r="G2239" s="395"/>
      <c r="H2239" s="91">
        <f t="shared" si="173"/>
        <v>0</v>
      </c>
      <c r="I2239" s="91" t="str">
        <f t="shared" si="174"/>
        <v/>
      </c>
      <c r="J2239" s="91" t="str">
        <f t="shared" si="175"/>
        <v/>
      </c>
      <c r="K2239" s="92" t="str">
        <f>IF(AND(A2239="",B2239="",D2239="",G2239=""),"",IF(AND(A2239&lt;&gt;"",COUNTIF($A$2:$A$5001,A2239)&gt;1),"NUMERO_PC duplicado",IF(B2239="","DATA_PC vazia",IF(NOT(ISNUMBER(B2239)),"DATA_PC invalida",IF(OR(C2239="",C2239="Fora dos ciclos"),"CICLO_PC nao identificado",IF(OR(D2239="",D2239=0),"VALOR_PC vazio ou zero",IF(AND(G2239&lt;&gt;"Sim",G2239&lt;&gt;"Nao",G2239&lt;&gt;""),"PC_PAGO_A_CONTRATADA invalido",IF(AND(C2239&lt;&gt;"C0",IFERROR(INDEX(parametros!$A$2:$A$6,MATCH(C2239,parametros!$B$2:$B$6,0)),"")="Sim",IFERROR(INDEX(parametros!$H$2:$H$6,MATCH(C2239,parametros!$B$2:$B$6,0)),"")=""),"INICIO_EFEITO ausente: PC "&amp;A2239&amp;" - "&amp;C2239,IF(L2239="","EFEITO_PC nao calculado: PC "&amp;A2239&amp;" - "&amp;C2239,"OK")))))))))</f>
        <v/>
      </c>
      <c r="L2239" s="92" t="str">
        <f>IF(AND(A2239="",B2239="",D2239="",G2239=""),"",IF(OR(B2239="",NOT(ISNUMBER(B2239)),C2239="",C2239="Fora dos ciclos"),"",IF(C2239="C0","Nao",IF(IFERROR(INDEX(parametros!$A$2:$A$6,MATCH(C2239,parametros!$B$2:$B$6,0)),"")&lt;&gt;"Sim","Nao",IF(IFERROR(INDEX(parametros!$H$2:$H$6,MATCH(C2239,parametros!$B$2:$B$6,0)),"")="","",IF(B2239&gt;=IFERROR(INDEX(parametros!$H$2:$H$6,MATCH(C2239,parametros!$B$2:$B$6,0)),""),"Sim","Nao"))))))</f>
        <v/>
      </c>
      <c r="T2239" s="156"/>
      <c r="U2239" s="214" t="str">
        <f t="shared" si="176"/>
        <v/>
      </c>
      <c r="V2239" s="212" t="s">
        <v>50</v>
      </c>
      <c r="W2239" s="100" t="s">
        <v>168</v>
      </c>
      <c r="X2239" s="100" t="s">
        <v>169</v>
      </c>
      <c r="Y2239" s="101" t="s">
        <v>170</v>
      </c>
      <c r="Z2239" s="101" t="s">
        <v>171</v>
      </c>
      <c r="AA2239" s="101" t="s">
        <v>50</v>
      </c>
      <c r="AB2239" s="101" t="s">
        <v>172</v>
      </c>
      <c r="AC2239" s="102" t="s">
        <v>173</v>
      </c>
    </row>
    <row r="2240" spans="1:29" ht="25.5" customHeight="1" x14ac:dyDescent="0.35">
      <c r="A2240" s="392"/>
      <c r="B2240" s="393"/>
      <c r="C2240" s="99" t="str">
        <f>IF(B2240="","",IF(NOT(ISNUMBER(B2240)),"DATA_PC invalida",IF(NOT(ISNUMBER(parametros!$C$2)),"Fora dos ciclos",IF(OR(B2240&lt;parametros!$C$2,(YEAR(B2240)-YEAR(parametros!$C$2))*12+MONTH(B2240)-MONTH(parametros!$C$2)&gt;59),"Fora dos ciclos","C"&amp;INT(((YEAR(B2240)-YEAR(parametros!$C$2))*12+MONTH(B2240)-MONTH(parametros!$C$2))/12)))))</f>
        <v/>
      </c>
      <c r="D2240" s="394"/>
      <c r="E2240" s="78" t="str">
        <f>IF(C2240="","",IFERROR(VLOOKUP(C2240,parametros!$A$11:$E$15,5,0),""))</f>
        <v/>
      </c>
      <c r="F2240" s="79" t="str">
        <f t="shared" si="172"/>
        <v/>
      </c>
      <c r="G2240" s="395"/>
      <c r="H2240" s="91">
        <f t="shared" si="173"/>
        <v>0</v>
      </c>
      <c r="I2240" s="91" t="str">
        <f t="shared" si="174"/>
        <v/>
      </c>
      <c r="J2240" s="91" t="str">
        <f t="shared" si="175"/>
        <v/>
      </c>
      <c r="K2240" s="92" t="str">
        <f>IF(AND(A2240="",B2240="",D2240="",G2240=""),"",IF(AND(A2240&lt;&gt;"",COUNTIF($A$2:$A$5001,A2240)&gt;1),"NUMERO_PC duplicado",IF(B2240="","DATA_PC vazia",IF(NOT(ISNUMBER(B2240)),"DATA_PC invalida",IF(OR(C2240="",C2240="Fora dos ciclos"),"CICLO_PC nao identificado",IF(OR(D2240="",D2240=0),"VALOR_PC vazio ou zero",IF(AND(G2240&lt;&gt;"Sim",G2240&lt;&gt;"Nao",G2240&lt;&gt;""),"PC_PAGO_A_CONTRATADA invalido",IF(AND(C2240&lt;&gt;"C0",IFERROR(INDEX(parametros!$A$2:$A$6,MATCH(C2240,parametros!$B$2:$B$6,0)),"")="Sim",IFERROR(INDEX(parametros!$H$2:$H$6,MATCH(C2240,parametros!$B$2:$B$6,0)),"")=""),"INICIO_EFEITO ausente: PC "&amp;A2240&amp;" - "&amp;C2240,IF(L2240="","EFEITO_PC nao calculado: PC "&amp;A2240&amp;" - "&amp;C2240,"OK")))))))))</f>
        <v/>
      </c>
      <c r="L2240" s="92" t="str">
        <f>IF(AND(A2240="",B2240="",D2240="",G2240=""),"",IF(OR(B2240="",NOT(ISNUMBER(B2240)),C2240="",C2240="Fora dos ciclos"),"",IF(C2240="C0","Nao",IF(IFERROR(INDEX(parametros!$A$2:$A$6,MATCH(C2240,parametros!$B$2:$B$6,0)),"")&lt;&gt;"Sim","Nao",IF(IFERROR(INDEX(parametros!$H$2:$H$6,MATCH(C2240,parametros!$B$2:$B$6,0)),"")="","",IF(B2240&gt;=IFERROR(INDEX(parametros!$H$2:$H$6,MATCH(C2240,parametros!$B$2:$B$6,0)),""),"Sim","Nao"))))))</f>
        <v/>
      </c>
      <c r="T2240" s="156"/>
      <c r="U2240" s="214" t="str">
        <f t="shared" si="176"/>
        <v/>
      </c>
      <c r="V2240" s="212" t="s">
        <v>50</v>
      </c>
      <c r="W2240" s="100" t="s">
        <v>168</v>
      </c>
      <c r="X2240" s="100" t="s">
        <v>169</v>
      </c>
      <c r="Y2240" s="101" t="s">
        <v>170</v>
      </c>
      <c r="Z2240" s="101" t="s">
        <v>171</v>
      </c>
      <c r="AA2240" s="101" t="s">
        <v>50</v>
      </c>
      <c r="AB2240" s="101" t="s">
        <v>172</v>
      </c>
      <c r="AC2240" s="102" t="s">
        <v>173</v>
      </c>
    </row>
    <row r="2241" spans="1:29" ht="25.5" customHeight="1" x14ac:dyDescent="0.35">
      <c r="A2241" s="392"/>
      <c r="B2241" s="393"/>
      <c r="C2241" s="99" t="str">
        <f>IF(B2241="","",IF(NOT(ISNUMBER(B2241)),"DATA_PC invalida",IF(NOT(ISNUMBER(parametros!$C$2)),"Fora dos ciclos",IF(OR(B2241&lt;parametros!$C$2,(YEAR(B2241)-YEAR(parametros!$C$2))*12+MONTH(B2241)-MONTH(parametros!$C$2)&gt;59),"Fora dos ciclos","C"&amp;INT(((YEAR(B2241)-YEAR(parametros!$C$2))*12+MONTH(B2241)-MONTH(parametros!$C$2))/12)))))</f>
        <v/>
      </c>
      <c r="D2241" s="394"/>
      <c r="E2241" s="78" t="str">
        <f>IF(C2241="","",IFERROR(VLOOKUP(C2241,parametros!$A$11:$E$15,5,0),""))</f>
        <v/>
      </c>
      <c r="F2241" s="79" t="str">
        <f t="shared" si="172"/>
        <v/>
      </c>
      <c r="G2241" s="395"/>
      <c r="H2241" s="91">
        <f t="shared" si="173"/>
        <v>0</v>
      </c>
      <c r="I2241" s="91" t="str">
        <f t="shared" si="174"/>
        <v/>
      </c>
      <c r="J2241" s="91" t="str">
        <f t="shared" si="175"/>
        <v/>
      </c>
      <c r="K2241" s="92" t="str">
        <f>IF(AND(A2241="",B2241="",D2241="",G2241=""),"",IF(AND(A2241&lt;&gt;"",COUNTIF($A$2:$A$5001,A2241)&gt;1),"NUMERO_PC duplicado",IF(B2241="","DATA_PC vazia",IF(NOT(ISNUMBER(B2241)),"DATA_PC invalida",IF(OR(C2241="",C2241="Fora dos ciclos"),"CICLO_PC nao identificado",IF(OR(D2241="",D2241=0),"VALOR_PC vazio ou zero",IF(AND(G2241&lt;&gt;"Sim",G2241&lt;&gt;"Nao",G2241&lt;&gt;""),"PC_PAGO_A_CONTRATADA invalido",IF(AND(C2241&lt;&gt;"C0",IFERROR(INDEX(parametros!$A$2:$A$6,MATCH(C2241,parametros!$B$2:$B$6,0)),"")="Sim",IFERROR(INDEX(parametros!$H$2:$H$6,MATCH(C2241,parametros!$B$2:$B$6,0)),"")=""),"INICIO_EFEITO ausente: PC "&amp;A2241&amp;" - "&amp;C2241,IF(L2241="","EFEITO_PC nao calculado: PC "&amp;A2241&amp;" - "&amp;C2241,"OK")))))))))</f>
        <v/>
      </c>
      <c r="L2241" s="92" t="str">
        <f>IF(AND(A2241="",B2241="",D2241="",G2241=""),"",IF(OR(B2241="",NOT(ISNUMBER(B2241)),C2241="",C2241="Fora dos ciclos"),"",IF(C2241="C0","Nao",IF(IFERROR(INDEX(parametros!$A$2:$A$6,MATCH(C2241,parametros!$B$2:$B$6,0)),"")&lt;&gt;"Sim","Nao",IF(IFERROR(INDEX(parametros!$H$2:$H$6,MATCH(C2241,parametros!$B$2:$B$6,0)),"")="","",IF(B2241&gt;=IFERROR(INDEX(parametros!$H$2:$H$6,MATCH(C2241,parametros!$B$2:$B$6,0)),""),"Sim","Nao"))))))</f>
        <v/>
      </c>
      <c r="T2241" s="156"/>
      <c r="U2241" s="214" t="str">
        <f t="shared" si="176"/>
        <v/>
      </c>
      <c r="V2241" s="212" t="s">
        <v>50</v>
      </c>
      <c r="W2241" s="100" t="s">
        <v>168</v>
      </c>
      <c r="X2241" s="100" t="s">
        <v>169</v>
      </c>
      <c r="Y2241" s="101" t="s">
        <v>170</v>
      </c>
      <c r="Z2241" s="101" t="s">
        <v>171</v>
      </c>
      <c r="AA2241" s="101" t="s">
        <v>50</v>
      </c>
      <c r="AB2241" s="101" t="s">
        <v>172</v>
      </c>
      <c r="AC2241" s="102" t="s">
        <v>173</v>
      </c>
    </row>
    <row r="2242" spans="1:29" ht="25.5" customHeight="1" x14ac:dyDescent="0.35">
      <c r="A2242" s="392"/>
      <c r="B2242" s="393"/>
      <c r="C2242" s="99" t="str">
        <f>IF(B2242="","",IF(NOT(ISNUMBER(B2242)),"DATA_PC invalida",IF(NOT(ISNUMBER(parametros!$C$2)),"Fora dos ciclos",IF(OR(B2242&lt;parametros!$C$2,(YEAR(B2242)-YEAR(parametros!$C$2))*12+MONTH(B2242)-MONTH(parametros!$C$2)&gt;59),"Fora dos ciclos","C"&amp;INT(((YEAR(B2242)-YEAR(parametros!$C$2))*12+MONTH(B2242)-MONTH(parametros!$C$2))/12)))))</f>
        <v/>
      </c>
      <c r="D2242" s="394"/>
      <c r="E2242" s="78" t="str">
        <f>IF(C2242="","",IFERROR(VLOOKUP(C2242,parametros!$A$11:$E$15,5,0),""))</f>
        <v/>
      </c>
      <c r="F2242" s="79" t="str">
        <f t="shared" ref="F2242:F2305" si="177">IF(OR(D2242="",E2242=""),"",ROUND(D2242*E2242,2))</f>
        <v/>
      </c>
      <c r="G2242" s="395"/>
      <c r="H2242" s="91">
        <f t="shared" ref="H2242:H2305" si="178">IF(G2242="Sim",IF(OR(F2242="",D2242="",L2242=""),"",IF(L2242="Sim",ROUND(F2242-D2242,2),0)),0)</f>
        <v>0</v>
      </c>
      <c r="I2242" s="91" t="str">
        <f t="shared" ref="I2242:I2305" si="179">IF(G2242="Sim",0,IF(OR(F2242="",L2242=""),"",F2242))</f>
        <v/>
      </c>
      <c r="J2242" s="91" t="str">
        <f t="shared" ref="J2242:J2305" si="180">IF(G2242="Sim",0,IF(OR(F2242="",D2242="",L2242=""),"",IF(L2242="Sim",ROUND(F2242-D2242,2),0)))</f>
        <v/>
      </c>
      <c r="K2242" s="92" t="str">
        <f>IF(AND(A2242="",B2242="",D2242="",G2242=""),"",IF(AND(A2242&lt;&gt;"",COUNTIF($A$2:$A$5001,A2242)&gt;1),"NUMERO_PC duplicado",IF(B2242="","DATA_PC vazia",IF(NOT(ISNUMBER(B2242)),"DATA_PC invalida",IF(OR(C2242="",C2242="Fora dos ciclos"),"CICLO_PC nao identificado",IF(OR(D2242="",D2242=0),"VALOR_PC vazio ou zero",IF(AND(G2242&lt;&gt;"Sim",G2242&lt;&gt;"Nao",G2242&lt;&gt;""),"PC_PAGO_A_CONTRATADA invalido",IF(AND(C2242&lt;&gt;"C0",IFERROR(INDEX(parametros!$A$2:$A$6,MATCH(C2242,parametros!$B$2:$B$6,0)),"")="Sim",IFERROR(INDEX(parametros!$H$2:$H$6,MATCH(C2242,parametros!$B$2:$B$6,0)),"")=""),"INICIO_EFEITO ausente: PC "&amp;A2242&amp;" - "&amp;C2242,IF(L2242="","EFEITO_PC nao calculado: PC "&amp;A2242&amp;" - "&amp;C2242,"OK")))))))))</f>
        <v/>
      </c>
      <c r="L2242" s="92" t="str">
        <f>IF(AND(A2242="",B2242="",D2242="",G2242=""),"",IF(OR(B2242="",NOT(ISNUMBER(B2242)),C2242="",C2242="Fora dos ciclos"),"",IF(C2242="C0","Nao",IF(IFERROR(INDEX(parametros!$A$2:$A$6,MATCH(C2242,parametros!$B$2:$B$6,0)),"")&lt;&gt;"Sim","Nao",IF(IFERROR(INDEX(parametros!$H$2:$H$6,MATCH(C2242,parametros!$B$2:$B$6,0)),"")="","",IF(B2242&gt;=IFERROR(INDEX(parametros!$H$2:$H$6,MATCH(C2242,parametros!$B$2:$B$6,0)),""),"Sim","Nao"))))))</f>
        <v/>
      </c>
      <c r="T2242" s="156"/>
      <c r="U2242" s="214" t="str">
        <f t="shared" ref="U2242:U2305" si="181">IF(OR($D2242="",$H2242=""),"",ROUND($D2242+$H2242,2))</f>
        <v/>
      </c>
      <c r="V2242" s="212" t="s">
        <v>50</v>
      </c>
      <c r="W2242" s="100" t="s">
        <v>168</v>
      </c>
      <c r="X2242" s="100" t="s">
        <v>169</v>
      </c>
      <c r="Y2242" s="101" t="s">
        <v>170</v>
      </c>
      <c r="Z2242" s="101" t="s">
        <v>171</v>
      </c>
      <c r="AA2242" s="101" t="s">
        <v>50</v>
      </c>
      <c r="AB2242" s="101" t="s">
        <v>172</v>
      </c>
      <c r="AC2242" s="102" t="s">
        <v>173</v>
      </c>
    </row>
    <row r="2243" spans="1:29" ht="25.5" customHeight="1" x14ac:dyDescent="0.35">
      <c r="A2243" s="392"/>
      <c r="B2243" s="393"/>
      <c r="C2243" s="99" t="str">
        <f>IF(B2243="","",IF(NOT(ISNUMBER(B2243)),"DATA_PC invalida",IF(NOT(ISNUMBER(parametros!$C$2)),"Fora dos ciclos",IF(OR(B2243&lt;parametros!$C$2,(YEAR(B2243)-YEAR(parametros!$C$2))*12+MONTH(B2243)-MONTH(parametros!$C$2)&gt;59),"Fora dos ciclos","C"&amp;INT(((YEAR(B2243)-YEAR(parametros!$C$2))*12+MONTH(B2243)-MONTH(parametros!$C$2))/12)))))</f>
        <v/>
      </c>
      <c r="D2243" s="394"/>
      <c r="E2243" s="78" t="str">
        <f>IF(C2243="","",IFERROR(VLOOKUP(C2243,parametros!$A$11:$E$15,5,0),""))</f>
        <v/>
      </c>
      <c r="F2243" s="79" t="str">
        <f t="shared" si="177"/>
        <v/>
      </c>
      <c r="G2243" s="395"/>
      <c r="H2243" s="91">
        <f t="shared" si="178"/>
        <v>0</v>
      </c>
      <c r="I2243" s="91" t="str">
        <f t="shared" si="179"/>
        <v/>
      </c>
      <c r="J2243" s="91" t="str">
        <f t="shared" si="180"/>
        <v/>
      </c>
      <c r="K2243" s="92" t="str">
        <f>IF(AND(A2243="",B2243="",D2243="",G2243=""),"",IF(AND(A2243&lt;&gt;"",COUNTIF($A$2:$A$5001,A2243)&gt;1),"NUMERO_PC duplicado",IF(B2243="","DATA_PC vazia",IF(NOT(ISNUMBER(B2243)),"DATA_PC invalida",IF(OR(C2243="",C2243="Fora dos ciclos"),"CICLO_PC nao identificado",IF(OR(D2243="",D2243=0),"VALOR_PC vazio ou zero",IF(AND(G2243&lt;&gt;"Sim",G2243&lt;&gt;"Nao",G2243&lt;&gt;""),"PC_PAGO_A_CONTRATADA invalido",IF(AND(C2243&lt;&gt;"C0",IFERROR(INDEX(parametros!$A$2:$A$6,MATCH(C2243,parametros!$B$2:$B$6,0)),"")="Sim",IFERROR(INDEX(parametros!$H$2:$H$6,MATCH(C2243,parametros!$B$2:$B$6,0)),"")=""),"INICIO_EFEITO ausente: PC "&amp;A2243&amp;" - "&amp;C2243,IF(L2243="","EFEITO_PC nao calculado: PC "&amp;A2243&amp;" - "&amp;C2243,"OK")))))))))</f>
        <v/>
      </c>
      <c r="L2243" s="92" t="str">
        <f>IF(AND(A2243="",B2243="",D2243="",G2243=""),"",IF(OR(B2243="",NOT(ISNUMBER(B2243)),C2243="",C2243="Fora dos ciclos"),"",IF(C2243="C0","Nao",IF(IFERROR(INDEX(parametros!$A$2:$A$6,MATCH(C2243,parametros!$B$2:$B$6,0)),"")&lt;&gt;"Sim","Nao",IF(IFERROR(INDEX(parametros!$H$2:$H$6,MATCH(C2243,parametros!$B$2:$B$6,0)),"")="","",IF(B2243&gt;=IFERROR(INDEX(parametros!$H$2:$H$6,MATCH(C2243,parametros!$B$2:$B$6,0)),""),"Sim","Nao"))))))</f>
        <v/>
      </c>
      <c r="T2243" s="156"/>
      <c r="U2243" s="214" t="str">
        <f t="shared" si="181"/>
        <v/>
      </c>
      <c r="V2243" s="212" t="s">
        <v>50</v>
      </c>
      <c r="W2243" s="100" t="s">
        <v>168</v>
      </c>
      <c r="X2243" s="100" t="s">
        <v>169</v>
      </c>
      <c r="Y2243" s="101" t="s">
        <v>170</v>
      </c>
      <c r="Z2243" s="101" t="s">
        <v>171</v>
      </c>
      <c r="AA2243" s="101" t="s">
        <v>50</v>
      </c>
      <c r="AB2243" s="101" t="s">
        <v>172</v>
      </c>
      <c r="AC2243" s="102" t="s">
        <v>173</v>
      </c>
    </row>
    <row r="2244" spans="1:29" ht="25.5" customHeight="1" x14ac:dyDescent="0.35">
      <c r="A2244" s="392"/>
      <c r="B2244" s="393"/>
      <c r="C2244" s="99" t="str">
        <f>IF(B2244="","",IF(NOT(ISNUMBER(B2244)),"DATA_PC invalida",IF(NOT(ISNUMBER(parametros!$C$2)),"Fora dos ciclos",IF(OR(B2244&lt;parametros!$C$2,(YEAR(B2244)-YEAR(parametros!$C$2))*12+MONTH(B2244)-MONTH(parametros!$C$2)&gt;59),"Fora dos ciclos","C"&amp;INT(((YEAR(B2244)-YEAR(parametros!$C$2))*12+MONTH(B2244)-MONTH(parametros!$C$2))/12)))))</f>
        <v/>
      </c>
      <c r="D2244" s="394"/>
      <c r="E2244" s="78" t="str">
        <f>IF(C2244="","",IFERROR(VLOOKUP(C2244,parametros!$A$11:$E$15,5,0),""))</f>
        <v/>
      </c>
      <c r="F2244" s="79" t="str">
        <f t="shared" si="177"/>
        <v/>
      </c>
      <c r="G2244" s="395"/>
      <c r="H2244" s="91">
        <f t="shared" si="178"/>
        <v>0</v>
      </c>
      <c r="I2244" s="91" t="str">
        <f t="shared" si="179"/>
        <v/>
      </c>
      <c r="J2244" s="91" t="str">
        <f t="shared" si="180"/>
        <v/>
      </c>
      <c r="K2244" s="92" t="str">
        <f>IF(AND(A2244="",B2244="",D2244="",G2244=""),"",IF(AND(A2244&lt;&gt;"",COUNTIF($A$2:$A$5001,A2244)&gt;1),"NUMERO_PC duplicado",IF(B2244="","DATA_PC vazia",IF(NOT(ISNUMBER(B2244)),"DATA_PC invalida",IF(OR(C2244="",C2244="Fora dos ciclos"),"CICLO_PC nao identificado",IF(OR(D2244="",D2244=0),"VALOR_PC vazio ou zero",IF(AND(G2244&lt;&gt;"Sim",G2244&lt;&gt;"Nao",G2244&lt;&gt;""),"PC_PAGO_A_CONTRATADA invalido",IF(AND(C2244&lt;&gt;"C0",IFERROR(INDEX(parametros!$A$2:$A$6,MATCH(C2244,parametros!$B$2:$B$6,0)),"")="Sim",IFERROR(INDEX(parametros!$H$2:$H$6,MATCH(C2244,parametros!$B$2:$B$6,0)),"")=""),"INICIO_EFEITO ausente: PC "&amp;A2244&amp;" - "&amp;C2244,IF(L2244="","EFEITO_PC nao calculado: PC "&amp;A2244&amp;" - "&amp;C2244,"OK")))))))))</f>
        <v/>
      </c>
      <c r="L2244" s="92" t="str">
        <f>IF(AND(A2244="",B2244="",D2244="",G2244=""),"",IF(OR(B2244="",NOT(ISNUMBER(B2244)),C2244="",C2244="Fora dos ciclos"),"",IF(C2244="C0","Nao",IF(IFERROR(INDEX(parametros!$A$2:$A$6,MATCH(C2244,parametros!$B$2:$B$6,0)),"")&lt;&gt;"Sim","Nao",IF(IFERROR(INDEX(parametros!$H$2:$H$6,MATCH(C2244,parametros!$B$2:$B$6,0)),"")="","",IF(B2244&gt;=IFERROR(INDEX(parametros!$H$2:$H$6,MATCH(C2244,parametros!$B$2:$B$6,0)),""),"Sim","Nao"))))))</f>
        <v/>
      </c>
      <c r="T2244" s="156"/>
      <c r="U2244" s="214" t="str">
        <f t="shared" si="181"/>
        <v/>
      </c>
      <c r="V2244" s="212" t="s">
        <v>50</v>
      </c>
      <c r="W2244" s="100" t="s">
        <v>168</v>
      </c>
      <c r="X2244" s="100" t="s">
        <v>169</v>
      </c>
      <c r="Y2244" s="101" t="s">
        <v>170</v>
      </c>
      <c r="Z2244" s="101" t="s">
        <v>171</v>
      </c>
      <c r="AA2244" s="101" t="s">
        <v>50</v>
      </c>
      <c r="AB2244" s="101" t="s">
        <v>172</v>
      </c>
      <c r="AC2244" s="102" t="s">
        <v>173</v>
      </c>
    </row>
    <row r="2245" spans="1:29" ht="25.5" customHeight="1" x14ac:dyDescent="0.35">
      <c r="A2245" s="392"/>
      <c r="B2245" s="393"/>
      <c r="C2245" s="99" t="str">
        <f>IF(B2245="","",IF(NOT(ISNUMBER(B2245)),"DATA_PC invalida",IF(NOT(ISNUMBER(parametros!$C$2)),"Fora dos ciclos",IF(OR(B2245&lt;parametros!$C$2,(YEAR(B2245)-YEAR(parametros!$C$2))*12+MONTH(B2245)-MONTH(parametros!$C$2)&gt;59),"Fora dos ciclos","C"&amp;INT(((YEAR(B2245)-YEAR(parametros!$C$2))*12+MONTH(B2245)-MONTH(parametros!$C$2))/12)))))</f>
        <v/>
      </c>
      <c r="D2245" s="394"/>
      <c r="E2245" s="78" t="str">
        <f>IF(C2245="","",IFERROR(VLOOKUP(C2245,parametros!$A$11:$E$15,5,0),""))</f>
        <v/>
      </c>
      <c r="F2245" s="79" t="str">
        <f t="shared" si="177"/>
        <v/>
      </c>
      <c r="G2245" s="395"/>
      <c r="H2245" s="91">
        <f t="shared" si="178"/>
        <v>0</v>
      </c>
      <c r="I2245" s="91" t="str">
        <f t="shared" si="179"/>
        <v/>
      </c>
      <c r="J2245" s="91" t="str">
        <f t="shared" si="180"/>
        <v/>
      </c>
      <c r="K2245" s="92" t="str">
        <f>IF(AND(A2245="",B2245="",D2245="",G2245=""),"",IF(AND(A2245&lt;&gt;"",COUNTIF($A$2:$A$5001,A2245)&gt;1),"NUMERO_PC duplicado",IF(B2245="","DATA_PC vazia",IF(NOT(ISNUMBER(B2245)),"DATA_PC invalida",IF(OR(C2245="",C2245="Fora dos ciclos"),"CICLO_PC nao identificado",IF(OR(D2245="",D2245=0),"VALOR_PC vazio ou zero",IF(AND(G2245&lt;&gt;"Sim",G2245&lt;&gt;"Nao",G2245&lt;&gt;""),"PC_PAGO_A_CONTRATADA invalido",IF(AND(C2245&lt;&gt;"C0",IFERROR(INDEX(parametros!$A$2:$A$6,MATCH(C2245,parametros!$B$2:$B$6,0)),"")="Sim",IFERROR(INDEX(parametros!$H$2:$H$6,MATCH(C2245,parametros!$B$2:$B$6,0)),"")=""),"INICIO_EFEITO ausente: PC "&amp;A2245&amp;" - "&amp;C2245,IF(L2245="","EFEITO_PC nao calculado: PC "&amp;A2245&amp;" - "&amp;C2245,"OK")))))))))</f>
        <v/>
      </c>
      <c r="L2245" s="92" t="str">
        <f>IF(AND(A2245="",B2245="",D2245="",G2245=""),"",IF(OR(B2245="",NOT(ISNUMBER(B2245)),C2245="",C2245="Fora dos ciclos"),"",IF(C2245="C0","Nao",IF(IFERROR(INDEX(parametros!$A$2:$A$6,MATCH(C2245,parametros!$B$2:$B$6,0)),"")&lt;&gt;"Sim","Nao",IF(IFERROR(INDEX(parametros!$H$2:$H$6,MATCH(C2245,parametros!$B$2:$B$6,0)),"")="","",IF(B2245&gt;=IFERROR(INDEX(parametros!$H$2:$H$6,MATCH(C2245,parametros!$B$2:$B$6,0)),""),"Sim","Nao"))))))</f>
        <v/>
      </c>
      <c r="T2245" s="156"/>
      <c r="U2245" s="214" t="str">
        <f t="shared" si="181"/>
        <v/>
      </c>
      <c r="V2245" s="212" t="s">
        <v>50</v>
      </c>
      <c r="W2245" s="100" t="s">
        <v>168</v>
      </c>
      <c r="X2245" s="100" t="s">
        <v>169</v>
      </c>
      <c r="Y2245" s="101" t="s">
        <v>170</v>
      </c>
      <c r="Z2245" s="101" t="s">
        <v>171</v>
      </c>
      <c r="AA2245" s="101" t="s">
        <v>50</v>
      </c>
      <c r="AB2245" s="101" t="s">
        <v>172</v>
      </c>
      <c r="AC2245" s="102" t="s">
        <v>173</v>
      </c>
    </row>
    <row r="2246" spans="1:29" ht="25.5" customHeight="1" x14ac:dyDescent="0.35">
      <c r="A2246" s="392"/>
      <c r="B2246" s="393"/>
      <c r="C2246" s="99" t="str">
        <f>IF(B2246="","",IF(NOT(ISNUMBER(B2246)),"DATA_PC invalida",IF(NOT(ISNUMBER(parametros!$C$2)),"Fora dos ciclos",IF(OR(B2246&lt;parametros!$C$2,(YEAR(B2246)-YEAR(parametros!$C$2))*12+MONTH(B2246)-MONTH(parametros!$C$2)&gt;59),"Fora dos ciclos","C"&amp;INT(((YEAR(B2246)-YEAR(parametros!$C$2))*12+MONTH(B2246)-MONTH(parametros!$C$2))/12)))))</f>
        <v/>
      </c>
      <c r="D2246" s="394"/>
      <c r="E2246" s="78" t="str">
        <f>IF(C2246="","",IFERROR(VLOOKUP(C2246,parametros!$A$11:$E$15,5,0),""))</f>
        <v/>
      </c>
      <c r="F2246" s="79" t="str">
        <f t="shared" si="177"/>
        <v/>
      </c>
      <c r="G2246" s="395"/>
      <c r="H2246" s="91">
        <f t="shared" si="178"/>
        <v>0</v>
      </c>
      <c r="I2246" s="91" t="str">
        <f t="shared" si="179"/>
        <v/>
      </c>
      <c r="J2246" s="91" t="str">
        <f t="shared" si="180"/>
        <v/>
      </c>
      <c r="K2246" s="92" t="str">
        <f>IF(AND(A2246="",B2246="",D2246="",G2246=""),"",IF(AND(A2246&lt;&gt;"",COUNTIF($A$2:$A$5001,A2246)&gt;1),"NUMERO_PC duplicado",IF(B2246="","DATA_PC vazia",IF(NOT(ISNUMBER(B2246)),"DATA_PC invalida",IF(OR(C2246="",C2246="Fora dos ciclos"),"CICLO_PC nao identificado",IF(OR(D2246="",D2246=0),"VALOR_PC vazio ou zero",IF(AND(G2246&lt;&gt;"Sim",G2246&lt;&gt;"Nao",G2246&lt;&gt;""),"PC_PAGO_A_CONTRATADA invalido",IF(AND(C2246&lt;&gt;"C0",IFERROR(INDEX(parametros!$A$2:$A$6,MATCH(C2246,parametros!$B$2:$B$6,0)),"")="Sim",IFERROR(INDEX(parametros!$H$2:$H$6,MATCH(C2246,parametros!$B$2:$B$6,0)),"")=""),"INICIO_EFEITO ausente: PC "&amp;A2246&amp;" - "&amp;C2246,IF(L2246="","EFEITO_PC nao calculado: PC "&amp;A2246&amp;" - "&amp;C2246,"OK")))))))))</f>
        <v/>
      </c>
      <c r="L2246" s="92" t="str">
        <f>IF(AND(A2246="",B2246="",D2246="",G2246=""),"",IF(OR(B2246="",NOT(ISNUMBER(B2246)),C2246="",C2246="Fora dos ciclos"),"",IF(C2246="C0","Nao",IF(IFERROR(INDEX(parametros!$A$2:$A$6,MATCH(C2246,parametros!$B$2:$B$6,0)),"")&lt;&gt;"Sim","Nao",IF(IFERROR(INDEX(parametros!$H$2:$H$6,MATCH(C2246,parametros!$B$2:$B$6,0)),"")="","",IF(B2246&gt;=IFERROR(INDEX(parametros!$H$2:$H$6,MATCH(C2246,parametros!$B$2:$B$6,0)),""),"Sim","Nao"))))))</f>
        <v/>
      </c>
      <c r="T2246" s="156"/>
      <c r="U2246" s="214" t="str">
        <f t="shared" si="181"/>
        <v/>
      </c>
      <c r="V2246" s="212" t="s">
        <v>50</v>
      </c>
      <c r="W2246" s="100" t="s">
        <v>168</v>
      </c>
      <c r="X2246" s="100" t="s">
        <v>169</v>
      </c>
      <c r="Y2246" s="101" t="s">
        <v>170</v>
      </c>
      <c r="Z2246" s="101" t="s">
        <v>171</v>
      </c>
      <c r="AA2246" s="101" t="s">
        <v>50</v>
      </c>
      <c r="AB2246" s="101" t="s">
        <v>172</v>
      </c>
      <c r="AC2246" s="102" t="s">
        <v>173</v>
      </c>
    </row>
    <row r="2247" spans="1:29" ht="25.5" customHeight="1" x14ac:dyDescent="0.35">
      <c r="A2247" s="392"/>
      <c r="B2247" s="393"/>
      <c r="C2247" s="99" t="str">
        <f>IF(B2247="","",IF(NOT(ISNUMBER(B2247)),"DATA_PC invalida",IF(NOT(ISNUMBER(parametros!$C$2)),"Fora dos ciclos",IF(OR(B2247&lt;parametros!$C$2,(YEAR(B2247)-YEAR(parametros!$C$2))*12+MONTH(B2247)-MONTH(parametros!$C$2)&gt;59),"Fora dos ciclos","C"&amp;INT(((YEAR(B2247)-YEAR(parametros!$C$2))*12+MONTH(B2247)-MONTH(parametros!$C$2))/12)))))</f>
        <v/>
      </c>
      <c r="D2247" s="394"/>
      <c r="E2247" s="78" t="str">
        <f>IF(C2247="","",IFERROR(VLOOKUP(C2247,parametros!$A$11:$E$15,5,0),""))</f>
        <v/>
      </c>
      <c r="F2247" s="79" t="str">
        <f t="shared" si="177"/>
        <v/>
      </c>
      <c r="G2247" s="395"/>
      <c r="H2247" s="91">
        <f t="shared" si="178"/>
        <v>0</v>
      </c>
      <c r="I2247" s="91" t="str">
        <f t="shared" si="179"/>
        <v/>
      </c>
      <c r="J2247" s="91" t="str">
        <f t="shared" si="180"/>
        <v/>
      </c>
      <c r="K2247" s="92" t="str">
        <f>IF(AND(A2247="",B2247="",D2247="",G2247=""),"",IF(AND(A2247&lt;&gt;"",COUNTIF($A$2:$A$5001,A2247)&gt;1),"NUMERO_PC duplicado",IF(B2247="","DATA_PC vazia",IF(NOT(ISNUMBER(B2247)),"DATA_PC invalida",IF(OR(C2247="",C2247="Fora dos ciclos"),"CICLO_PC nao identificado",IF(OR(D2247="",D2247=0),"VALOR_PC vazio ou zero",IF(AND(G2247&lt;&gt;"Sim",G2247&lt;&gt;"Nao",G2247&lt;&gt;""),"PC_PAGO_A_CONTRATADA invalido",IF(AND(C2247&lt;&gt;"C0",IFERROR(INDEX(parametros!$A$2:$A$6,MATCH(C2247,parametros!$B$2:$B$6,0)),"")="Sim",IFERROR(INDEX(parametros!$H$2:$H$6,MATCH(C2247,parametros!$B$2:$B$6,0)),"")=""),"INICIO_EFEITO ausente: PC "&amp;A2247&amp;" - "&amp;C2247,IF(L2247="","EFEITO_PC nao calculado: PC "&amp;A2247&amp;" - "&amp;C2247,"OK")))))))))</f>
        <v/>
      </c>
      <c r="L2247" s="92" t="str">
        <f>IF(AND(A2247="",B2247="",D2247="",G2247=""),"",IF(OR(B2247="",NOT(ISNUMBER(B2247)),C2247="",C2247="Fora dos ciclos"),"",IF(C2247="C0","Nao",IF(IFERROR(INDEX(parametros!$A$2:$A$6,MATCH(C2247,parametros!$B$2:$B$6,0)),"")&lt;&gt;"Sim","Nao",IF(IFERROR(INDEX(parametros!$H$2:$H$6,MATCH(C2247,parametros!$B$2:$B$6,0)),"")="","",IF(B2247&gt;=IFERROR(INDEX(parametros!$H$2:$H$6,MATCH(C2247,parametros!$B$2:$B$6,0)),""),"Sim","Nao"))))))</f>
        <v/>
      </c>
      <c r="T2247" s="156"/>
      <c r="U2247" s="214" t="str">
        <f t="shared" si="181"/>
        <v/>
      </c>
      <c r="V2247" s="212" t="s">
        <v>50</v>
      </c>
      <c r="W2247" s="100" t="s">
        <v>168</v>
      </c>
      <c r="X2247" s="100" t="s">
        <v>169</v>
      </c>
      <c r="Y2247" s="101" t="s">
        <v>170</v>
      </c>
      <c r="Z2247" s="101" t="s">
        <v>171</v>
      </c>
      <c r="AA2247" s="101" t="s">
        <v>50</v>
      </c>
      <c r="AB2247" s="101" t="s">
        <v>172</v>
      </c>
      <c r="AC2247" s="102" t="s">
        <v>173</v>
      </c>
    </row>
    <row r="2248" spans="1:29" ht="25.5" customHeight="1" x14ac:dyDescent="0.35">
      <c r="A2248" s="392"/>
      <c r="B2248" s="393"/>
      <c r="C2248" s="99" t="str">
        <f>IF(B2248="","",IF(NOT(ISNUMBER(B2248)),"DATA_PC invalida",IF(NOT(ISNUMBER(parametros!$C$2)),"Fora dos ciclos",IF(OR(B2248&lt;parametros!$C$2,(YEAR(B2248)-YEAR(parametros!$C$2))*12+MONTH(B2248)-MONTH(parametros!$C$2)&gt;59),"Fora dos ciclos","C"&amp;INT(((YEAR(B2248)-YEAR(parametros!$C$2))*12+MONTH(B2248)-MONTH(parametros!$C$2))/12)))))</f>
        <v/>
      </c>
      <c r="D2248" s="394"/>
      <c r="E2248" s="78" t="str">
        <f>IF(C2248="","",IFERROR(VLOOKUP(C2248,parametros!$A$11:$E$15,5,0),""))</f>
        <v/>
      </c>
      <c r="F2248" s="79" t="str">
        <f t="shared" si="177"/>
        <v/>
      </c>
      <c r="G2248" s="395"/>
      <c r="H2248" s="91">
        <f t="shared" si="178"/>
        <v>0</v>
      </c>
      <c r="I2248" s="91" t="str">
        <f t="shared" si="179"/>
        <v/>
      </c>
      <c r="J2248" s="91" t="str">
        <f t="shared" si="180"/>
        <v/>
      </c>
      <c r="K2248" s="92" t="str">
        <f>IF(AND(A2248="",B2248="",D2248="",G2248=""),"",IF(AND(A2248&lt;&gt;"",COUNTIF($A$2:$A$5001,A2248)&gt;1),"NUMERO_PC duplicado",IF(B2248="","DATA_PC vazia",IF(NOT(ISNUMBER(B2248)),"DATA_PC invalida",IF(OR(C2248="",C2248="Fora dos ciclos"),"CICLO_PC nao identificado",IF(OR(D2248="",D2248=0),"VALOR_PC vazio ou zero",IF(AND(G2248&lt;&gt;"Sim",G2248&lt;&gt;"Nao",G2248&lt;&gt;""),"PC_PAGO_A_CONTRATADA invalido",IF(AND(C2248&lt;&gt;"C0",IFERROR(INDEX(parametros!$A$2:$A$6,MATCH(C2248,parametros!$B$2:$B$6,0)),"")="Sim",IFERROR(INDEX(parametros!$H$2:$H$6,MATCH(C2248,parametros!$B$2:$B$6,0)),"")=""),"INICIO_EFEITO ausente: PC "&amp;A2248&amp;" - "&amp;C2248,IF(L2248="","EFEITO_PC nao calculado: PC "&amp;A2248&amp;" - "&amp;C2248,"OK")))))))))</f>
        <v/>
      </c>
      <c r="L2248" s="92" t="str">
        <f>IF(AND(A2248="",B2248="",D2248="",G2248=""),"",IF(OR(B2248="",NOT(ISNUMBER(B2248)),C2248="",C2248="Fora dos ciclos"),"",IF(C2248="C0","Nao",IF(IFERROR(INDEX(parametros!$A$2:$A$6,MATCH(C2248,parametros!$B$2:$B$6,0)),"")&lt;&gt;"Sim","Nao",IF(IFERROR(INDEX(parametros!$H$2:$H$6,MATCH(C2248,parametros!$B$2:$B$6,0)),"")="","",IF(B2248&gt;=IFERROR(INDEX(parametros!$H$2:$H$6,MATCH(C2248,parametros!$B$2:$B$6,0)),""),"Sim","Nao"))))))</f>
        <v/>
      </c>
      <c r="T2248" s="156"/>
      <c r="U2248" s="214" t="str">
        <f t="shared" si="181"/>
        <v/>
      </c>
      <c r="V2248" s="212" t="s">
        <v>50</v>
      </c>
      <c r="W2248" s="100" t="s">
        <v>168</v>
      </c>
      <c r="X2248" s="100" t="s">
        <v>169</v>
      </c>
      <c r="Y2248" s="101" t="s">
        <v>170</v>
      </c>
      <c r="Z2248" s="101" t="s">
        <v>171</v>
      </c>
      <c r="AA2248" s="101" t="s">
        <v>50</v>
      </c>
      <c r="AB2248" s="101" t="s">
        <v>172</v>
      </c>
      <c r="AC2248" s="102" t="s">
        <v>173</v>
      </c>
    </row>
    <row r="2249" spans="1:29" ht="25.5" customHeight="1" x14ac:dyDescent="0.35">
      <c r="A2249" s="392"/>
      <c r="B2249" s="393"/>
      <c r="C2249" s="99" t="str">
        <f>IF(B2249="","",IF(NOT(ISNUMBER(B2249)),"DATA_PC invalida",IF(NOT(ISNUMBER(parametros!$C$2)),"Fora dos ciclos",IF(OR(B2249&lt;parametros!$C$2,(YEAR(B2249)-YEAR(parametros!$C$2))*12+MONTH(B2249)-MONTH(parametros!$C$2)&gt;59),"Fora dos ciclos","C"&amp;INT(((YEAR(B2249)-YEAR(parametros!$C$2))*12+MONTH(B2249)-MONTH(parametros!$C$2))/12)))))</f>
        <v/>
      </c>
      <c r="D2249" s="394"/>
      <c r="E2249" s="78" t="str">
        <f>IF(C2249="","",IFERROR(VLOOKUP(C2249,parametros!$A$11:$E$15,5,0),""))</f>
        <v/>
      </c>
      <c r="F2249" s="79" t="str">
        <f t="shared" si="177"/>
        <v/>
      </c>
      <c r="G2249" s="395"/>
      <c r="H2249" s="91">
        <f t="shared" si="178"/>
        <v>0</v>
      </c>
      <c r="I2249" s="91" t="str">
        <f t="shared" si="179"/>
        <v/>
      </c>
      <c r="J2249" s="91" t="str">
        <f t="shared" si="180"/>
        <v/>
      </c>
      <c r="K2249" s="92" t="str">
        <f>IF(AND(A2249="",B2249="",D2249="",G2249=""),"",IF(AND(A2249&lt;&gt;"",COUNTIF($A$2:$A$5001,A2249)&gt;1),"NUMERO_PC duplicado",IF(B2249="","DATA_PC vazia",IF(NOT(ISNUMBER(B2249)),"DATA_PC invalida",IF(OR(C2249="",C2249="Fora dos ciclos"),"CICLO_PC nao identificado",IF(OR(D2249="",D2249=0),"VALOR_PC vazio ou zero",IF(AND(G2249&lt;&gt;"Sim",G2249&lt;&gt;"Nao",G2249&lt;&gt;""),"PC_PAGO_A_CONTRATADA invalido",IF(AND(C2249&lt;&gt;"C0",IFERROR(INDEX(parametros!$A$2:$A$6,MATCH(C2249,parametros!$B$2:$B$6,0)),"")="Sim",IFERROR(INDEX(parametros!$H$2:$H$6,MATCH(C2249,parametros!$B$2:$B$6,0)),"")=""),"INICIO_EFEITO ausente: PC "&amp;A2249&amp;" - "&amp;C2249,IF(L2249="","EFEITO_PC nao calculado: PC "&amp;A2249&amp;" - "&amp;C2249,"OK")))))))))</f>
        <v/>
      </c>
      <c r="L2249" s="92" t="str">
        <f>IF(AND(A2249="",B2249="",D2249="",G2249=""),"",IF(OR(B2249="",NOT(ISNUMBER(B2249)),C2249="",C2249="Fora dos ciclos"),"",IF(C2249="C0","Nao",IF(IFERROR(INDEX(parametros!$A$2:$A$6,MATCH(C2249,parametros!$B$2:$B$6,0)),"")&lt;&gt;"Sim","Nao",IF(IFERROR(INDEX(parametros!$H$2:$H$6,MATCH(C2249,parametros!$B$2:$B$6,0)),"")="","",IF(B2249&gt;=IFERROR(INDEX(parametros!$H$2:$H$6,MATCH(C2249,parametros!$B$2:$B$6,0)),""),"Sim","Nao"))))))</f>
        <v/>
      </c>
      <c r="T2249" s="156"/>
      <c r="U2249" s="214" t="str">
        <f t="shared" si="181"/>
        <v/>
      </c>
      <c r="V2249" s="212" t="s">
        <v>50</v>
      </c>
      <c r="W2249" s="100" t="s">
        <v>168</v>
      </c>
      <c r="X2249" s="100" t="s">
        <v>169</v>
      </c>
      <c r="Y2249" s="101" t="s">
        <v>170</v>
      </c>
      <c r="Z2249" s="101" t="s">
        <v>171</v>
      </c>
      <c r="AA2249" s="101" t="s">
        <v>50</v>
      </c>
      <c r="AB2249" s="101" t="s">
        <v>172</v>
      </c>
      <c r="AC2249" s="102" t="s">
        <v>173</v>
      </c>
    </row>
    <row r="2250" spans="1:29" ht="25.5" customHeight="1" x14ac:dyDescent="0.35">
      <c r="A2250" s="392"/>
      <c r="B2250" s="393"/>
      <c r="C2250" s="99" t="str">
        <f>IF(B2250="","",IF(NOT(ISNUMBER(B2250)),"DATA_PC invalida",IF(NOT(ISNUMBER(parametros!$C$2)),"Fora dos ciclos",IF(OR(B2250&lt;parametros!$C$2,(YEAR(B2250)-YEAR(parametros!$C$2))*12+MONTH(B2250)-MONTH(parametros!$C$2)&gt;59),"Fora dos ciclos","C"&amp;INT(((YEAR(B2250)-YEAR(parametros!$C$2))*12+MONTH(B2250)-MONTH(parametros!$C$2))/12)))))</f>
        <v/>
      </c>
      <c r="D2250" s="394"/>
      <c r="E2250" s="78" t="str">
        <f>IF(C2250="","",IFERROR(VLOOKUP(C2250,parametros!$A$11:$E$15,5,0),""))</f>
        <v/>
      </c>
      <c r="F2250" s="79" t="str">
        <f t="shared" si="177"/>
        <v/>
      </c>
      <c r="G2250" s="395"/>
      <c r="H2250" s="91">
        <f t="shared" si="178"/>
        <v>0</v>
      </c>
      <c r="I2250" s="91" t="str">
        <f t="shared" si="179"/>
        <v/>
      </c>
      <c r="J2250" s="91" t="str">
        <f t="shared" si="180"/>
        <v/>
      </c>
      <c r="K2250" s="92" t="str">
        <f>IF(AND(A2250="",B2250="",D2250="",G2250=""),"",IF(AND(A2250&lt;&gt;"",COUNTIF($A$2:$A$5001,A2250)&gt;1),"NUMERO_PC duplicado",IF(B2250="","DATA_PC vazia",IF(NOT(ISNUMBER(B2250)),"DATA_PC invalida",IF(OR(C2250="",C2250="Fora dos ciclos"),"CICLO_PC nao identificado",IF(OR(D2250="",D2250=0),"VALOR_PC vazio ou zero",IF(AND(G2250&lt;&gt;"Sim",G2250&lt;&gt;"Nao",G2250&lt;&gt;""),"PC_PAGO_A_CONTRATADA invalido",IF(AND(C2250&lt;&gt;"C0",IFERROR(INDEX(parametros!$A$2:$A$6,MATCH(C2250,parametros!$B$2:$B$6,0)),"")="Sim",IFERROR(INDEX(parametros!$H$2:$H$6,MATCH(C2250,parametros!$B$2:$B$6,0)),"")=""),"INICIO_EFEITO ausente: PC "&amp;A2250&amp;" - "&amp;C2250,IF(L2250="","EFEITO_PC nao calculado: PC "&amp;A2250&amp;" - "&amp;C2250,"OK")))))))))</f>
        <v/>
      </c>
      <c r="L2250" s="92" t="str">
        <f>IF(AND(A2250="",B2250="",D2250="",G2250=""),"",IF(OR(B2250="",NOT(ISNUMBER(B2250)),C2250="",C2250="Fora dos ciclos"),"",IF(C2250="C0","Nao",IF(IFERROR(INDEX(parametros!$A$2:$A$6,MATCH(C2250,parametros!$B$2:$B$6,0)),"")&lt;&gt;"Sim","Nao",IF(IFERROR(INDEX(parametros!$H$2:$H$6,MATCH(C2250,parametros!$B$2:$B$6,0)),"")="","",IF(B2250&gt;=IFERROR(INDEX(parametros!$H$2:$H$6,MATCH(C2250,parametros!$B$2:$B$6,0)),""),"Sim","Nao"))))))</f>
        <v/>
      </c>
      <c r="T2250" s="156"/>
      <c r="U2250" s="214" t="str">
        <f t="shared" si="181"/>
        <v/>
      </c>
      <c r="V2250" s="212" t="s">
        <v>50</v>
      </c>
      <c r="W2250" s="100" t="s">
        <v>168</v>
      </c>
      <c r="X2250" s="100" t="s">
        <v>169</v>
      </c>
      <c r="Y2250" s="101" t="s">
        <v>170</v>
      </c>
      <c r="Z2250" s="101" t="s">
        <v>171</v>
      </c>
      <c r="AA2250" s="101" t="s">
        <v>50</v>
      </c>
      <c r="AB2250" s="101" t="s">
        <v>172</v>
      </c>
      <c r="AC2250" s="102" t="s">
        <v>173</v>
      </c>
    </row>
    <row r="2251" spans="1:29" ht="25.5" customHeight="1" x14ac:dyDescent="0.35">
      <c r="A2251" s="392"/>
      <c r="B2251" s="393"/>
      <c r="C2251" s="99" t="str">
        <f>IF(B2251="","",IF(NOT(ISNUMBER(B2251)),"DATA_PC invalida",IF(NOT(ISNUMBER(parametros!$C$2)),"Fora dos ciclos",IF(OR(B2251&lt;parametros!$C$2,(YEAR(B2251)-YEAR(parametros!$C$2))*12+MONTH(B2251)-MONTH(parametros!$C$2)&gt;59),"Fora dos ciclos","C"&amp;INT(((YEAR(B2251)-YEAR(parametros!$C$2))*12+MONTH(B2251)-MONTH(parametros!$C$2))/12)))))</f>
        <v/>
      </c>
      <c r="D2251" s="394"/>
      <c r="E2251" s="78" t="str">
        <f>IF(C2251="","",IFERROR(VLOOKUP(C2251,parametros!$A$11:$E$15,5,0),""))</f>
        <v/>
      </c>
      <c r="F2251" s="79" t="str">
        <f t="shared" si="177"/>
        <v/>
      </c>
      <c r="G2251" s="395"/>
      <c r="H2251" s="91">
        <f t="shared" si="178"/>
        <v>0</v>
      </c>
      <c r="I2251" s="91" t="str">
        <f t="shared" si="179"/>
        <v/>
      </c>
      <c r="J2251" s="91" t="str">
        <f t="shared" si="180"/>
        <v/>
      </c>
      <c r="K2251" s="92" t="str">
        <f>IF(AND(A2251="",B2251="",D2251="",G2251=""),"",IF(AND(A2251&lt;&gt;"",COUNTIF($A$2:$A$5001,A2251)&gt;1),"NUMERO_PC duplicado",IF(B2251="","DATA_PC vazia",IF(NOT(ISNUMBER(B2251)),"DATA_PC invalida",IF(OR(C2251="",C2251="Fora dos ciclos"),"CICLO_PC nao identificado",IF(OR(D2251="",D2251=0),"VALOR_PC vazio ou zero",IF(AND(G2251&lt;&gt;"Sim",G2251&lt;&gt;"Nao",G2251&lt;&gt;""),"PC_PAGO_A_CONTRATADA invalido",IF(AND(C2251&lt;&gt;"C0",IFERROR(INDEX(parametros!$A$2:$A$6,MATCH(C2251,parametros!$B$2:$B$6,0)),"")="Sim",IFERROR(INDEX(parametros!$H$2:$H$6,MATCH(C2251,parametros!$B$2:$B$6,0)),"")=""),"INICIO_EFEITO ausente: PC "&amp;A2251&amp;" - "&amp;C2251,IF(L2251="","EFEITO_PC nao calculado: PC "&amp;A2251&amp;" - "&amp;C2251,"OK")))))))))</f>
        <v/>
      </c>
      <c r="L2251" s="92" t="str">
        <f>IF(AND(A2251="",B2251="",D2251="",G2251=""),"",IF(OR(B2251="",NOT(ISNUMBER(B2251)),C2251="",C2251="Fora dos ciclos"),"",IF(C2251="C0","Nao",IF(IFERROR(INDEX(parametros!$A$2:$A$6,MATCH(C2251,parametros!$B$2:$B$6,0)),"")&lt;&gt;"Sim","Nao",IF(IFERROR(INDEX(parametros!$H$2:$H$6,MATCH(C2251,parametros!$B$2:$B$6,0)),"")="","",IF(B2251&gt;=IFERROR(INDEX(parametros!$H$2:$H$6,MATCH(C2251,parametros!$B$2:$B$6,0)),""),"Sim","Nao"))))))</f>
        <v/>
      </c>
      <c r="T2251" s="156"/>
      <c r="U2251" s="214" t="str">
        <f t="shared" si="181"/>
        <v/>
      </c>
      <c r="V2251" s="212" t="s">
        <v>50</v>
      </c>
      <c r="W2251" s="100" t="s">
        <v>168</v>
      </c>
      <c r="X2251" s="100" t="s">
        <v>169</v>
      </c>
      <c r="Y2251" s="101" t="s">
        <v>170</v>
      </c>
      <c r="Z2251" s="101" t="s">
        <v>171</v>
      </c>
      <c r="AA2251" s="101" t="s">
        <v>50</v>
      </c>
      <c r="AB2251" s="101" t="s">
        <v>172</v>
      </c>
      <c r="AC2251" s="102" t="s">
        <v>173</v>
      </c>
    </row>
    <row r="2252" spans="1:29" ht="25.5" customHeight="1" x14ac:dyDescent="0.35">
      <c r="A2252" s="392"/>
      <c r="B2252" s="393"/>
      <c r="C2252" s="99" t="str">
        <f>IF(B2252="","",IF(NOT(ISNUMBER(B2252)),"DATA_PC invalida",IF(NOT(ISNUMBER(parametros!$C$2)),"Fora dos ciclos",IF(OR(B2252&lt;parametros!$C$2,(YEAR(B2252)-YEAR(parametros!$C$2))*12+MONTH(B2252)-MONTH(parametros!$C$2)&gt;59),"Fora dos ciclos","C"&amp;INT(((YEAR(B2252)-YEAR(parametros!$C$2))*12+MONTH(B2252)-MONTH(parametros!$C$2))/12)))))</f>
        <v/>
      </c>
      <c r="D2252" s="394"/>
      <c r="E2252" s="78" t="str">
        <f>IF(C2252="","",IFERROR(VLOOKUP(C2252,parametros!$A$11:$E$15,5,0),""))</f>
        <v/>
      </c>
      <c r="F2252" s="79" t="str">
        <f t="shared" si="177"/>
        <v/>
      </c>
      <c r="G2252" s="395"/>
      <c r="H2252" s="91">
        <f t="shared" si="178"/>
        <v>0</v>
      </c>
      <c r="I2252" s="91" t="str">
        <f t="shared" si="179"/>
        <v/>
      </c>
      <c r="J2252" s="91" t="str">
        <f t="shared" si="180"/>
        <v/>
      </c>
      <c r="K2252" s="92" t="str">
        <f>IF(AND(A2252="",B2252="",D2252="",G2252=""),"",IF(AND(A2252&lt;&gt;"",COUNTIF($A$2:$A$5001,A2252)&gt;1),"NUMERO_PC duplicado",IF(B2252="","DATA_PC vazia",IF(NOT(ISNUMBER(B2252)),"DATA_PC invalida",IF(OR(C2252="",C2252="Fora dos ciclos"),"CICLO_PC nao identificado",IF(OR(D2252="",D2252=0),"VALOR_PC vazio ou zero",IF(AND(G2252&lt;&gt;"Sim",G2252&lt;&gt;"Nao",G2252&lt;&gt;""),"PC_PAGO_A_CONTRATADA invalido",IF(AND(C2252&lt;&gt;"C0",IFERROR(INDEX(parametros!$A$2:$A$6,MATCH(C2252,parametros!$B$2:$B$6,0)),"")="Sim",IFERROR(INDEX(parametros!$H$2:$H$6,MATCH(C2252,parametros!$B$2:$B$6,0)),"")=""),"INICIO_EFEITO ausente: PC "&amp;A2252&amp;" - "&amp;C2252,IF(L2252="","EFEITO_PC nao calculado: PC "&amp;A2252&amp;" - "&amp;C2252,"OK")))))))))</f>
        <v/>
      </c>
      <c r="L2252" s="92" t="str">
        <f>IF(AND(A2252="",B2252="",D2252="",G2252=""),"",IF(OR(B2252="",NOT(ISNUMBER(B2252)),C2252="",C2252="Fora dos ciclos"),"",IF(C2252="C0","Nao",IF(IFERROR(INDEX(parametros!$A$2:$A$6,MATCH(C2252,parametros!$B$2:$B$6,0)),"")&lt;&gt;"Sim","Nao",IF(IFERROR(INDEX(parametros!$H$2:$H$6,MATCH(C2252,parametros!$B$2:$B$6,0)),"")="","",IF(B2252&gt;=IFERROR(INDEX(parametros!$H$2:$H$6,MATCH(C2252,parametros!$B$2:$B$6,0)),""),"Sim","Nao"))))))</f>
        <v/>
      </c>
      <c r="T2252" s="156"/>
      <c r="U2252" s="214" t="str">
        <f t="shared" si="181"/>
        <v/>
      </c>
      <c r="V2252" s="212" t="s">
        <v>50</v>
      </c>
      <c r="W2252" s="100" t="s">
        <v>168</v>
      </c>
      <c r="X2252" s="100" t="s">
        <v>169</v>
      </c>
      <c r="Y2252" s="101" t="s">
        <v>170</v>
      </c>
      <c r="Z2252" s="101" t="s">
        <v>171</v>
      </c>
      <c r="AA2252" s="101" t="s">
        <v>50</v>
      </c>
      <c r="AB2252" s="101" t="s">
        <v>172</v>
      </c>
      <c r="AC2252" s="102" t="s">
        <v>173</v>
      </c>
    </row>
    <row r="2253" spans="1:29" ht="25.5" customHeight="1" x14ac:dyDescent="0.35">
      <c r="A2253" s="392"/>
      <c r="B2253" s="393"/>
      <c r="C2253" s="99" t="str">
        <f>IF(B2253="","",IF(NOT(ISNUMBER(B2253)),"DATA_PC invalida",IF(NOT(ISNUMBER(parametros!$C$2)),"Fora dos ciclos",IF(OR(B2253&lt;parametros!$C$2,(YEAR(B2253)-YEAR(parametros!$C$2))*12+MONTH(B2253)-MONTH(parametros!$C$2)&gt;59),"Fora dos ciclos","C"&amp;INT(((YEAR(B2253)-YEAR(parametros!$C$2))*12+MONTH(B2253)-MONTH(parametros!$C$2))/12)))))</f>
        <v/>
      </c>
      <c r="D2253" s="394"/>
      <c r="E2253" s="78" t="str">
        <f>IF(C2253="","",IFERROR(VLOOKUP(C2253,parametros!$A$11:$E$15,5,0),""))</f>
        <v/>
      </c>
      <c r="F2253" s="79" t="str">
        <f t="shared" si="177"/>
        <v/>
      </c>
      <c r="G2253" s="395"/>
      <c r="H2253" s="91">
        <f t="shared" si="178"/>
        <v>0</v>
      </c>
      <c r="I2253" s="91" t="str">
        <f t="shared" si="179"/>
        <v/>
      </c>
      <c r="J2253" s="91" t="str">
        <f t="shared" si="180"/>
        <v/>
      </c>
      <c r="K2253" s="92" t="str">
        <f>IF(AND(A2253="",B2253="",D2253="",G2253=""),"",IF(AND(A2253&lt;&gt;"",COUNTIF($A$2:$A$5001,A2253)&gt;1),"NUMERO_PC duplicado",IF(B2253="","DATA_PC vazia",IF(NOT(ISNUMBER(B2253)),"DATA_PC invalida",IF(OR(C2253="",C2253="Fora dos ciclos"),"CICLO_PC nao identificado",IF(OR(D2253="",D2253=0),"VALOR_PC vazio ou zero",IF(AND(G2253&lt;&gt;"Sim",G2253&lt;&gt;"Nao",G2253&lt;&gt;""),"PC_PAGO_A_CONTRATADA invalido",IF(AND(C2253&lt;&gt;"C0",IFERROR(INDEX(parametros!$A$2:$A$6,MATCH(C2253,parametros!$B$2:$B$6,0)),"")="Sim",IFERROR(INDEX(parametros!$H$2:$H$6,MATCH(C2253,parametros!$B$2:$B$6,0)),"")=""),"INICIO_EFEITO ausente: PC "&amp;A2253&amp;" - "&amp;C2253,IF(L2253="","EFEITO_PC nao calculado: PC "&amp;A2253&amp;" - "&amp;C2253,"OK")))))))))</f>
        <v/>
      </c>
      <c r="L2253" s="92" t="str">
        <f>IF(AND(A2253="",B2253="",D2253="",G2253=""),"",IF(OR(B2253="",NOT(ISNUMBER(B2253)),C2253="",C2253="Fora dos ciclos"),"",IF(C2253="C0","Nao",IF(IFERROR(INDEX(parametros!$A$2:$A$6,MATCH(C2253,parametros!$B$2:$B$6,0)),"")&lt;&gt;"Sim","Nao",IF(IFERROR(INDEX(parametros!$H$2:$H$6,MATCH(C2253,parametros!$B$2:$B$6,0)),"")="","",IF(B2253&gt;=IFERROR(INDEX(parametros!$H$2:$H$6,MATCH(C2253,parametros!$B$2:$B$6,0)),""),"Sim","Nao"))))))</f>
        <v/>
      </c>
      <c r="T2253" s="156"/>
      <c r="U2253" s="214" t="str">
        <f t="shared" si="181"/>
        <v/>
      </c>
      <c r="V2253" s="212" t="s">
        <v>50</v>
      </c>
      <c r="W2253" s="100" t="s">
        <v>168</v>
      </c>
      <c r="X2253" s="100" t="s">
        <v>169</v>
      </c>
      <c r="Y2253" s="101" t="s">
        <v>170</v>
      </c>
      <c r="Z2253" s="101" t="s">
        <v>171</v>
      </c>
      <c r="AA2253" s="101" t="s">
        <v>50</v>
      </c>
      <c r="AB2253" s="101" t="s">
        <v>172</v>
      </c>
      <c r="AC2253" s="102" t="s">
        <v>173</v>
      </c>
    </row>
    <row r="2254" spans="1:29" ht="25.5" customHeight="1" x14ac:dyDescent="0.35">
      <c r="A2254" s="392"/>
      <c r="B2254" s="393"/>
      <c r="C2254" s="99" t="str">
        <f>IF(B2254="","",IF(NOT(ISNUMBER(B2254)),"DATA_PC invalida",IF(NOT(ISNUMBER(parametros!$C$2)),"Fora dos ciclos",IF(OR(B2254&lt;parametros!$C$2,(YEAR(B2254)-YEAR(parametros!$C$2))*12+MONTH(B2254)-MONTH(parametros!$C$2)&gt;59),"Fora dos ciclos","C"&amp;INT(((YEAR(B2254)-YEAR(parametros!$C$2))*12+MONTH(B2254)-MONTH(parametros!$C$2))/12)))))</f>
        <v/>
      </c>
      <c r="D2254" s="394"/>
      <c r="E2254" s="78" t="str">
        <f>IF(C2254="","",IFERROR(VLOOKUP(C2254,parametros!$A$11:$E$15,5,0),""))</f>
        <v/>
      </c>
      <c r="F2254" s="79" t="str">
        <f t="shared" si="177"/>
        <v/>
      </c>
      <c r="G2254" s="395"/>
      <c r="H2254" s="91">
        <f t="shared" si="178"/>
        <v>0</v>
      </c>
      <c r="I2254" s="91" t="str">
        <f t="shared" si="179"/>
        <v/>
      </c>
      <c r="J2254" s="91" t="str">
        <f t="shared" si="180"/>
        <v/>
      </c>
      <c r="K2254" s="92" t="str">
        <f>IF(AND(A2254="",B2254="",D2254="",G2254=""),"",IF(AND(A2254&lt;&gt;"",COUNTIF($A$2:$A$5001,A2254)&gt;1),"NUMERO_PC duplicado",IF(B2254="","DATA_PC vazia",IF(NOT(ISNUMBER(B2254)),"DATA_PC invalida",IF(OR(C2254="",C2254="Fora dos ciclos"),"CICLO_PC nao identificado",IF(OR(D2254="",D2254=0),"VALOR_PC vazio ou zero",IF(AND(G2254&lt;&gt;"Sim",G2254&lt;&gt;"Nao",G2254&lt;&gt;""),"PC_PAGO_A_CONTRATADA invalido",IF(AND(C2254&lt;&gt;"C0",IFERROR(INDEX(parametros!$A$2:$A$6,MATCH(C2254,parametros!$B$2:$B$6,0)),"")="Sim",IFERROR(INDEX(parametros!$H$2:$H$6,MATCH(C2254,parametros!$B$2:$B$6,0)),"")=""),"INICIO_EFEITO ausente: PC "&amp;A2254&amp;" - "&amp;C2254,IF(L2254="","EFEITO_PC nao calculado: PC "&amp;A2254&amp;" - "&amp;C2254,"OK")))))))))</f>
        <v/>
      </c>
      <c r="L2254" s="92" t="str">
        <f>IF(AND(A2254="",B2254="",D2254="",G2254=""),"",IF(OR(B2254="",NOT(ISNUMBER(B2254)),C2254="",C2254="Fora dos ciclos"),"",IF(C2254="C0","Nao",IF(IFERROR(INDEX(parametros!$A$2:$A$6,MATCH(C2254,parametros!$B$2:$B$6,0)),"")&lt;&gt;"Sim","Nao",IF(IFERROR(INDEX(parametros!$H$2:$H$6,MATCH(C2254,parametros!$B$2:$B$6,0)),"")="","",IF(B2254&gt;=IFERROR(INDEX(parametros!$H$2:$H$6,MATCH(C2254,parametros!$B$2:$B$6,0)),""),"Sim","Nao"))))))</f>
        <v/>
      </c>
      <c r="T2254" s="156"/>
      <c r="U2254" s="214" t="str">
        <f t="shared" si="181"/>
        <v/>
      </c>
      <c r="V2254" s="212" t="s">
        <v>50</v>
      </c>
      <c r="W2254" s="100" t="s">
        <v>168</v>
      </c>
      <c r="X2254" s="100" t="s">
        <v>169</v>
      </c>
      <c r="Y2254" s="101" t="s">
        <v>170</v>
      </c>
      <c r="Z2254" s="101" t="s">
        <v>171</v>
      </c>
      <c r="AA2254" s="101" t="s">
        <v>50</v>
      </c>
      <c r="AB2254" s="101" t="s">
        <v>172</v>
      </c>
      <c r="AC2254" s="102" t="s">
        <v>173</v>
      </c>
    </row>
    <row r="2255" spans="1:29" ht="25.5" customHeight="1" x14ac:dyDescent="0.35">
      <c r="A2255" s="392"/>
      <c r="B2255" s="393"/>
      <c r="C2255" s="99" t="str">
        <f>IF(B2255="","",IF(NOT(ISNUMBER(B2255)),"DATA_PC invalida",IF(NOT(ISNUMBER(parametros!$C$2)),"Fora dos ciclos",IF(OR(B2255&lt;parametros!$C$2,(YEAR(B2255)-YEAR(parametros!$C$2))*12+MONTH(B2255)-MONTH(parametros!$C$2)&gt;59),"Fora dos ciclos","C"&amp;INT(((YEAR(B2255)-YEAR(parametros!$C$2))*12+MONTH(B2255)-MONTH(parametros!$C$2))/12)))))</f>
        <v/>
      </c>
      <c r="D2255" s="394"/>
      <c r="E2255" s="78" t="str">
        <f>IF(C2255="","",IFERROR(VLOOKUP(C2255,parametros!$A$11:$E$15,5,0),""))</f>
        <v/>
      </c>
      <c r="F2255" s="79" t="str">
        <f t="shared" si="177"/>
        <v/>
      </c>
      <c r="G2255" s="395"/>
      <c r="H2255" s="91">
        <f t="shared" si="178"/>
        <v>0</v>
      </c>
      <c r="I2255" s="91" t="str">
        <f t="shared" si="179"/>
        <v/>
      </c>
      <c r="J2255" s="91" t="str">
        <f t="shared" si="180"/>
        <v/>
      </c>
      <c r="K2255" s="92" t="str">
        <f>IF(AND(A2255="",B2255="",D2255="",G2255=""),"",IF(AND(A2255&lt;&gt;"",COUNTIF($A$2:$A$5001,A2255)&gt;1),"NUMERO_PC duplicado",IF(B2255="","DATA_PC vazia",IF(NOT(ISNUMBER(B2255)),"DATA_PC invalida",IF(OR(C2255="",C2255="Fora dos ciclos"),"CICLO_PC nao identificado",IF(OR(D2255="",D2255=0),"VALOR_PC vazio ou zero",IF(AND(G2255&lt;&gt;"Sim",G2255&lt;&gt;"Nao",G2255&lt;&gt;""),"PC_PAGO_A_CONTRATADA invalido",IF(AND(C2255&lt;&gt;"C0",IFERROR(INDEX(parametros!$A$2:$A$6,MATCH(C2255,parametros!$B$2:$B$6,0)),"")="Sim",IFERROR(INDEX(parametros!$H$2:$H$6,MATCH(C2255,parametros!$B$2:$B$6,0)),"")=""),"INICIO_EFEITO ausente: PC "&amp;A2255&amp;" - "&amp;C2255,IF(L2255="","EFEITO_PC nao calculado: PC "&amp;A2255&amp;" - "&amp;C2255,"OK")))))))))</f>
        <v/>
      </c>
      <c r="L2255" s="92" t="str">
        <f>IF(AND(A2255="",B2255="",D2255="",G2255=""),"",IF(OR(B2255="",NOT(ISNUMBER(B2255)),C2255="",C2255="Fora dos ciclos"),"",IF(C2255="C0","Nao",IF(IFERROR(INDEX(parametros!$A$2:$A$6,MATCH(C2255,parametros!$B$2:$B$6,0)),"")&lt;&gt;"Sim","Nao",IF(IFERROR(INDEX(parametros!$H$2:$H$6,MATCH(C2255,parametros!$B$2:$B$6,0)),"")="","",IF(B2255&gt;=IFERROR(INDEX(parametros!$H$2:$H$6,MATCH(C2255,parametros!$B$2:$B$6,0)),""),"Sim","Nao"))))))</f>
        <v/>
      </c>
      <c r="T2255" s="156"/>
      <c r="U2255" s="214" t="str">
        <f t="shared" si="181"/>
        <v/>
      </c>
      <c r="V2255" s="212" t="s">
        <v>50</v>
      </c>
      <c r="W2255" s="100" t="s">
        <v>168</v>
      </c>
      <c r="X2255" s="100" t="s">
        <v>169</v>
      </c>
      <c r="Y2255" s="101" t="s">
        <v>170</v>
      </c>
      <c r="Z2255" s="101" t="s">
        <v>171</v>
      </c>
      <c r="AA2255" s="101" t="s">
        <v>50</v>
      </c>
      <c r="AB2255" s="101" t="s">
        <v>172</v>
      </c>
      <c r="AC2255" s="102" t="s">
        <v>173</v>
      </c>
    </row>
    <row r="2256" spans="1:29" ht="25.5" customHeight="1" x14ac:dyDescent="0.35">
      <c r="A2256" s="392"/>
      <c r="B2256" s="393"/>
      <c r="C2256" s="99" t="str">
        <f>IF(B2256="","",IF(NOT(ISNUMBER(B2256)),"DATA_PC invalida",IF(NOT(ISNUMBER(parametros!$C$2)),"Fora dos ciclos",IF(OR(B2256&lt;parametros!$C$2,(YEAR(B2256)-YEAR(parametros!$C$2))*12+MONTH(B2256)-MONTH(parametros!$C$2)&gt;59),"Fora dos ciclos","C"&amp;INT(((YEAR(B2256)-YEAR(parametros!$C$2))*12+MONTH(B2256)-MONTH(parametros!$C$2))/12)))))</f>
        <v/>
      </c>
      <c r="D2256" s="394"/>
      <c r="E2256" s="78" t="str">
        <f>IF(C2256="","",IFERROR(VLOOKUP(C2256,parametros!$A$11:$E$15,5,0),""))</f>
        <v/>
      </c>
      <c r="F2256" s="79" t="str">
        <f t="shared" si="177"/>
        <v/>
      </c>
      <c r="G2256" s="395"/>
      <c r="H2256" s="91">
        <f t="shared" si="178"/>
        <v>0</v>
      </c>
      <c r="I2256" s="91" t="str">
        <f t="shared" si="179"/>
        <v/>
      </c>
      <c r="J2256" s="91" t="str">
        <f t="shared" si="180"/>
        <v/>
      </c>
      <c r="K2256" s="92" t="str">
        <f>IF(AND(A2256="",B2256="",D2256="",G2256=""),"",IF(AND(A2256&lt;&gt;"",COUNTIF($A$2:$A$5001,A2256)&gt;1),"NUMERO_PC duplicado",IF(B2256="","DATA_PC vazia",IF(NOT(ISNUMBER(B2256)),"DATA_PC invalida",IF(OR(C2256="",C2256="Fora dos ciclos"),"CICLO_PC nao identificado",IF(OR(D2256="",D2256=0),"VALOR_PC vazio ou zero",IF(AND(G2256&lt;&gt;"Sim",G2256&lt;&gt;"Nao",G2256&lt;&gt;""),"PC_PAGO_A_CONTRATADA invalido",IF(AND(C2256&lt;&gt;"C0",IFERROR(INDEX(parametros!$A$2:$A$6,MATCH(C2256,parametros!$B$2:$B$6,0)),"")="Sim",IFERROR(INDEX(parametros!$H$2:$H$6,MATCH(C2256,parametros!$B$2:$B$6,0)),"")=""),"INICIO_EFEITO ausente: PC "&amp;A2256&amp;" - "&amp;C2256,IF(L2256="","EFEITO_PC nao calculado: PC "&amp;A2256&amp;" - "&amp;C2256,"OK")))))))))</f>
        <v/>
      </c>
      <c r="L2256" s="92" t="str">
        <f>IF(AND(A2256="",B2256="",D2256="",G2256=""),"",IF(OR(B2256="",NOT(ISNUMBER(B2256)),C2256="",C2256="Fora dos ciclos"),"",IF(C2256="C0","Nao",IF(IFERROR(INDEX(parametros!$A$2:$A$6,MATCH(C2256,parametros!$B$2:$B$6,0)),"")&lt;&gt;"Sim","Nao",IF(IFERROR(INDEX(parametros!$H$2:$H$6,MATCH(C2256,parametros!$B$2:$B$6,0)),"")="","",IF(B2256&gt;=IFERROR(INDEX(parametros!$H$2:$H$6,MATCH(C2256,parametros!$B$2:$B$6,0)),""),"Sim","Nao"))))))</f>
        <v/>
      </c>
      <c r="T2256" s="156"/>
      <c r="U2256" s="214" t="str">
        <f t="shared" si="181"/>
        <v/>
      </c>
      <c r="V2256" s="212" t="s">
        <v>50</v>
      </c>
      <c r="W2256" s="100" t="s">
        <v>168</v>
      </c>
      <c r="X2256" s="100" t="s">
        <v>169</v>
      </c>
      <c r="Y2256" s="101" t="s">
        <v>170</v>
      </c>
      <c r="Z2256" s="101" t="s">
        <v>171</v>
      </c>
      <c r="AA2256" s="101" t="s">
        <v>50</v>
      </c>
      <c r="AB2256" s="101" t="s">
        <v>172</v>
      </c>
      <c r="AC2256" s="102" t="s">
        <v>173</v>
      </c>
    </row>
    <row r="2257" spans="1:29" ht="25.5" customHeight="1" x14ac:dyDescent="0.35">
      <c r="A2257" s="392"/>
      <c r="B2257" s="393"/>
      <c r="C2257" s="99" t="str">
        <f>IF(B2257="","",IF(NOT(ISNUMBER(B2257)),"DATA_PC invalida",IF(NOT(ISNUMBER(parametros!$C$2)),"Fora dos ciclos",IF(OR(B2257&lt;parametros!$C$2,(YEAR(B2257)-YEAR(parametros!$C$2))*12+MONTH(B2257)-MONTH(parametros!$C$2)&gt;59),"Fora dos ciclos","C"&amp;INT(((YEAR(B2257)-YEAR(parametros!$C$2))*12+MONTH(B2257)-MONTH(parametros!$C$2))/12)))))</f>
        <v/>
      </c>
      <c r="D2257" s="394"/>
      <c r="E2257" s="78" t="str">
        <f>IF(C2257="","",IFERROR(VLOOKUP(C2257,parametros!$A$11:$E$15,5,0),""))</f>
        <v/>
      </c>
      <c r="F2257" s="79" t="str">
        <f t="shared" si="177"/>
        <v/>
      </c>
      <c r="G2257" s="395"/>
      <c r="H2257" s="91">
        <f t="shared" si="178"/>
        <v>0</v>
      </c>
      <c r="I2257" s="91" t="str">
        <f t="shared" si="179"/>
        <v/>
      </c>
      <c r="J2257" s="91" t="str">
        <f t="shared" si="180"/>
        <v/>
      </c>
      <c r="K2257" s="92" t="str">
        <f>IF(AND(A2257="",B2257="",D2257="",G2257=""),"",IF(AND(A2257&lt;&gt;"",COUNTIF($A$2:$A$5001,A2257)&gt;1),"NUMERO_PC duplicado",IF(B2257="","DATA_PC vazia",IF(NOT(ISNUMBER(B2257)),"DATA_PC invalida",IF(OR(C2257="",C2257="Fora dos ciclos"),"CICLO_PC nao identificado",IF(OR(D2257="",D2257=0),"VALOR_PC vazio ou zero",IF(AND(G2257&lt;&gt;"Sim",G2257&lt;&gt;"Nao",G2257&lt;&gt;""),"PC_PAGO_A_CONTRATADA invalido",IF(AND(C2257&lt;&gt;"C0",IFERROR(INDEX(parametros!$A$2:$A$6,MATCH(C2257,parametros!$B$2:$B$6,0)),"")="Sim",IFERROR(INDEX(parametros!$H$2:$H$6,MATCH(C2257,parametros!$B$2:$B$6,0)),"")=""),"INICIO_EFEITO ausente: PC "&amp;A2257&amp;" - "&amp;C2257,IF(L2257="","EFEITO_PC nao calculado: PC "&amp;A2257&amp;" - "&amp;C2257,"OK")))))))))</f>
        <v/>
      </c>
      <c r="L2257" s="92" t="str">
        <f>IF(AND(A2257="",B2257="",D2257="",G2257=""),"",IF(OR(B2257="",NOT(ISNUMBER(B2257)),C2257="",C2257="Fora dos ciclos"),"",IF(C2257="C0","Nao",IF(IFERROR(INDEX(parametros!$A$2:$A$6,MATCH(C2257,parametros!$B$2:$B$6,0)),"")&lt;&gt;"Sim","Nao",IF(IFERROR(INDEX(parametros!$H$2:$H$6,MATCH(C2257,parametros!$B$2:$B$6,0)),"")="","",IF(B2257&gt;=IFERROR(INDEX(parametros!$H$2:$H$6,MATCH(C2257,parametros!$B$2:$B$6,0)),""),"Sim","Nao"))))))</f>
        <v/>
      </c>
      <c r="T2257" s="156"/>
      <c r="U2257" s="214" t="str">
        <f t="shared" si="181"/>
        <v/>
      </c>
      <c r="V2257" s="212" t="s">
        <v>50</v>
      </c>
      <c r="W2257" s="100" t="s">
        <v>168</v>
      </c>
      <c r="X2257" s="100" t="s">
        <v>169</v>
      </c>
      <c r="Y2257" s="101" t="s">
        <v>170</v>
      </c>
      <c r="Z2257" s="101" t="s">
        <v>171</v>
      </c>
      <c r="AA2257" s="101" t="s">
        <v>50</v>
      </c>
      <c r="AB2257" s="101" t="s">
        <v>172</v>
      </c>
      <c r="AC2257" s="102" t="s">
        <v>173</v>
      </c>
    </row>
    <row r="2258" spans="1:29" ht="25.5" customHeight="1" x14ac:dyDescent="0.35">
      <c r="A2258" s="392"/>
      <c r="B2258" s="393"/>
      <c r="C2258" s="99" t="str">
        <f>IF(B2258="","",IF(NOT(ISNUMBER(B2258)),"DATA_PC invalida",IF(NOT(ISNUMBER(parametros!$C$2)),"Fora dos ciclos",IF(OR(B2258&lt;parametros!$C$2,(YEAR(B2258)-YEAR(parametros!$C$2))*12+MONTH(B2258)-MONTH(parametros!$C$2)&gt;59),"Fora dos ciclos","C"&amp;INT(((YEAR(B2258)-YEAR(parametros!$C$2))*12+MONTH(B2258)-MONTH(parametros!$C$2))/12)))))</f>
        <v/>
      </c>
      <c r="D2258" s="394"/>
      <c r="E2258" s="78" t="str">
        <f>IF(C2258="","",IFERROR(VLOOKUP(C2258,parametros!$A$11:$E$15,5,0),""))</f>
        <v/>
      </c>
      <c r="F2258" s="79" t="str">
        <f t="shared" si="177"/>
        <v/>
      </c>
      <c r="G2258" s="395"/>
      <c r="H2258" s="91">
        <f t="shared" si="178"/>
        <v>0</v>
      </c>
      <c r="I2258" s="91" t="str">
        <f t="shared" si="179"/>
        <v/>
      </c>
      <c r="J2258" s="91" t="str">
        <f t="shared" si="180"/>
        <v/>
      </c>
      <c r="K2258" s="92" t="str">
        <f>IF(AND(A2258="",B2258="",D2258="",G2258=""),"",IF(AND(A2258&lt;&gt;"",COUNTIF($A$2:$A$5001,A2258)&gt;1),"NUMERO_PC duplicado",IF(B2258="","DATA_PC vazia",IF(NOT(ISNUMBER(B2258)),"DATA_PC invalida",IF(OR(C2258="",C2258="Fora dos ciclos"),"CICLO_PC nao identificado",IF(OR(D2258="",D2258=0),"VALOR_PC vazio ou zero",IF(AND(G2258&lt;&gt;"Sim",G2258&lt;&gt;"Nao",G2258&lt;&gt;""),"PC_PAGO_A_CONTRATADA invalido",IF(AND(C2258&lt;&gt;"C0",IFERROR(INDEX(parametros!$A$2:$A$6,MATCH(C2258,parametros!$B$2:$B$6,0)),"")="Sim",IFERROR(INDEX(parametros!$H$2:$H$6,MATCH(C2258,parametros!$B$2:$B$6,0)),"")=""),"INICIO_EFEITO ausente: PC "&amp;A2258&amp;" - "&amp;C2258,IF(L2258="","EFEITO_PC nao calculado: PC "&amp;A2258&amp;" - "&amp;C2258,"OK")))))))))</f>
        <v/>
      </c>
      <c r="L2258" s="92" t="str">
        <f>IF(AND(A2258="",B2258="",D2258="",G2258=""),"",IF(OR(B2258="",NOT(ISNUMBER(B2258)),C2258="",C2258="Fora dos ciclos"),"",IF(C2258="C0","Nao",IF(IFERROR(INDEX(parametros!$A$2:$A$6,MATCH(C2258,parametros!$B$2:$B$6,0)),"")&lt;&gt;"Sim","Nao",IF(IFERROR(INDEX(parametros!$H$2:$H$6,MATCH(C2258,parametros!$B$2:$B$6,0)),"")="","",IF(B2258&gt;=IFERROR(INDEX(parametros!$H$2:$H$6,MATCH(C2258,parametros!$B$2:$B$6,0)),""),"Sim","Nao"))))))</f>
        <v/>
      </c>
      <c r="T2258" s="156"/>
      <c r="U2258" s="214" t="str">
        <f t="shared" si="181"/>
        <v/>
      </c>
      <c r="V2258" s="212" t="s">
        <v>50</v>
      </c>
      <c r="W2258" s="100" t="s">
        <v>168</v>
      </c>
      <c r="X2258" s="100" t="s">
        <v>169</v>
      </c>
      <c r="Y2258" s="101" t="s">
        <v>170</v>
      </c>
      <c r="Z2258" s="101" t="s">
        <v>171</v>
      </c>
      <c r="AA2258" s="101" t="s">
        <v>50</v>
      </c>
      <c r="AB2258" s="101" t="s">
        <v>172</v>
      </c>
      <c r="AC2258" s="102" t="s">
        <v>173</v>
      </c>
    </row>
    <row r="2259" spans="1:29" ht="25.5" customHeight="1" x14ac:dyDescent="0.35">
      <c r="A2259" s="392"/>
      <c r="B2259" s="393"/>
      <c r="C2259" s="99" t="str">
        <f>IF(B2259="","",IF(NOT(ISNUMBER(B2259)),"DATA_PC invalida",IF(NOT(ISNUMBER(parametros!$C$2)),"Fora dos ciclos",IF(OR(B2259&lt;parametros!$C$2,(YEAR(B2259)-YEAR(parametros!$C$2))*12+MONTH(B2259)-MONTH(parametros!$C$2)&gt;59),"Fora dos ciclos","C"&amp;INT(((YEAR(B2259)-YEAR(parametros!$C$2))*12+MONTH(B2259)-MONTH(parametros!$C$2))/12)))))</f>
        <v/>
      </c>
      <c r="D2259" s="394"/>
      <c r="E2259" s="78" t="str">
        <f>IF(C2259="","",IFERROR(VLOOKUP(C2259,parametros!$A$11:$E$15,5,0),""))</f>
        <v/>
      </c>
      <c r="F2259" s="79" t="str">
        <f t="shared" si="177"/>
        <v/>
      </c>
      <c r="G2259" s="395"/>
      <c r="H2259" s="91">
        <f t="shared" si="178"/>
        <v>0</v>
      </c>
      <c r="I2259" s="91" t="str">
        <f t="shared" si="179"/>
        <v/>
      </c>
      <c r="J2259" s="91" t="str">
        <f t="shared" si="180"/>
        <v/>
      </c>
      <c r="K2259" s="92" t="str">
        <f>IF(AND(A2259="",B2259="",D2259="",G2259=""),"",IF(AND(A2259&lt;&gt;"",COUNTIF($A$2:$A$5001,A2259)&gt;1),"NUMERO_PC duplicado",IF(B2259="","DATA_PC vazia",IF(NOT(ISNUMBER(B2259)),"DATA_PC invalida",IF(OR(C2259="",C2259="Fora dos ciclos"),"CICLO_PC nao identificado",IF(OR(D2259="",D2259=0),"VALOR_PC vazio ou zero",IF(AND(G2259&lt;&gt;"Sim",G2259&lt;&gt;"Nao",G2259&lt;&gt;""),"PC_PAGO_A_CONTRATADA invalido",IF(AND(C2259&lt;&gt;"C0",IFERROR(INDEX(parametros!$A$2:$A$6,MATCH(C2259,parametros!$B$2:$B$6,0)),"")="Sim",IFERROR(INDEX(parametros!$H$2:$H$6,MATCH(C2259,parametros!$B$2:$B$6,0)),"")=""),"INICIO_EFEITO ausente: PC "&amp;A2259&amp;" - "&amp;C2259,IF(L2259="","EFEITO_PC nao calculado: PC "&amp;A2259&amp;" - "&amp;C2259,"OK")))))))))</f>
        <v/>
      </c>
      <c r="L2259" s="92" t="str">
        <f>IF(AND(A2259="",B2259="",D2259="",G2259=""),"",IF(OR(B2259="",NOT(ISNUMBER(B2259)),C2259="",C2259="Fora dos ciclos"),"",IF(C2259="C0","Nao",IF(IFERROR(INDEX(parametros!$A$2:$A$6,MATCH(C2259,parametros!$B$2:$B$6,0)),"")&lt;&gt;"Sim","Nao",IF(IFERROR(INDEX(parametros!$H$2:$H$6,MATCH(C2259,parametros!$B$2:$B$6,0)),"")="","",IF(B2259&gt;=IFERROR(INDEX(parametros!$H$2:$H$6,MATCH(C2259,parametros!$B$2:$B$6,0)),""),"Sim","Nao"))))))</f>
        <v/>
      </c>
      <c r="T2259" s="156"/>
      <c r="U2259" s="214" t="str">
        <f t="shared" si="181"/>
        <v/>
      </c>
      <c r="V2259" s="212" t="s">
        <v>50</v>
      </c>
      <c r="W2259" s="100" t="s">
        <v>168</v>
      </c>
      <c r="X2259" s="100" t="s">
        <v>169</v>
      </c>
      <c r="Y2259" s="101" t="s">
        <v>170</v>
      </c>
      <c r="Z2259" s="101" t="s">
        <v>171</v>
      </c>
      <c r="AA2259" s="101" t="s">
        <v>50</v>
      </c>
      <c r="AB2259" s="101" t="s">
        <v>172</v>
      </c>
      <c r="AC2259" s="102" t="s">
        <v>173</v>
      </c>
    </row>
    <row r="2260" spans="1:29" ht="25.5" customHeight="1" x14ac:dyDescent="0.35">
      <c r="A2260" s="392"/>
      <c r="B2260" s="393"/>
      <c r="C2260" s="99" t="str">
        <f>IF(B2260="","",IF(NOT(ISNUMBER(B2260)),"DATA_PC invalida",IF(NOT(ISNUMBER(parametros!$C$2)),"Fora dos ciclos",IF(OR(B2260&lt;parametros!$C$2,(YEAR(B2260)-YEAR(parametros!$C$2))*12+MONTH(B2260)-MONTH(parametros!$C$2)&gt;59),"Fora dos ciclos","C"&amp;INT(((YEAR(B2260)-YEAR(parametros!$C$2))*12+MONTH(B2260)-MONTH(parametros!$C$2))/12)))))</f>
        <v/>
      </c>
      <c r="D2260" s="394"/>
      <c r="E2260" s="78" t="str">
        <f>IF(C2260="","",IFERROR(VLOOKUP(C2260,parametros!$A$11:$E$15,5,0),""))</f>
        <v/>
      </c>
      <c r="F2260" s="79" t="str">
        <f t="shared" si="177"/>
        <v/>
      </c>
      <c r="G2260" s="395"/>
      <c r="H2260" s="91">
        <f t="shared" si="178"/>
        <v>0</v>
      </c>
      <c r="I2260" s="91" t="str">
        <f t="shared" si="179"/>
        <v/>
      </c>
      <c r="J2260" s="91" t="str">
        <f t="shared" si="180"/>
        <v/>
      </c>
      <c r="K2260" s="92" t="str">
        <f>IF(AND(A2260="",B2260="",D2260="",G2260=""),"",IF(AND(A2260&lt;&gt;"",COUNTIF($A$2:$A$5001,A2260)&gt;1),"NUMERO_PC duplicado",IF(B2260="","DATA_PC vazia",IF(NOT(ISNUMBER(B2260)),"DATA_PC invalida",IF(OR(C2260="",C2260="Fora dos ciclos"),"CICLO_PC nao identificado",IF(OR(D2260="",D2260=0),"VALOR_PC vazio ou zero",IF(AND(G2260&lt;&gt;"Sim",G2260&lt;&gt;"Nao",G2260&lt;&gt;""),"PC_PAGO_A_CONTRATADA invalido",IF(AND(C2260&lt;&gt;"C0",IFERROR(INDEX(parametros!$A$2:$A$6,MATCH(C2260,parametros!$B$2:$B$6,0)),"")="Sim",IFERROR(INDEX(parametros!$H$2:$H$6,MATCH(C2260,parametros!$B$2:$B$6,0)),"")=""),"INICIO_EFEITO ausente: PC "&amp;A2260&amp;" - "&amp;C2260,IF(L2260="","EFEITO_PC nao calculado: PC "&amp;A2260&amp;" - "&amp;C2260,"OK")))))))))</f>
        <v/>
      </c>
      <c r="L2260" s="92" t="str">
        <f>IF(AND(A2260="",B2260="",D2260="",G2260=""),"",IF(OR(B2260="",NOT(ISNUMBER(B2260)),C2260="",C2260="Fora dos ciclos"),"",IF(C2260="C0","Nao",IF(IFERROR(INDEX(parametros!$A$2:$A$6,MATCH(C2260,parametros!$B$2:$B$6,0)),"")&lt;&gt;"Sim","Nao",IF(IFERROR(INDEX(parametros!$H$2:$H$6,MATCH(C2260,parametros!$B$2:$B$6,0)),"")="","",IF(B2260&gt;=IFERROR(INDEX(parametros!$H$2:$H$6,MATCH(C2260,parametros!$B$2:$B$6,0)),""),"Sim","Nao"))))))</f>
        <v/>
      </c>
      <c r="T2260" s="156"/>
      <c r="U2260" s="214" t="str">
        <f t="shared" si="181"/>
        <v/>
      </c>
      <c r="V2260" s="212" t="s">
        <v>50</v>
      </c>
      <c r="W2260" s="100" t="s">
        <v>168</v>
      </c>
      <c r="X2260" s="100" t="s">
        <v>169</v>
      </c>
      <c r="Y2260" s="101" t="s">
        <v>170</v>
      </c>
      <c r="Z2260" s="101" t="s">
        <v>171</v>
      </c>
      <c r="AA2260" s="101" t="s">
        <v>50</v>
      </c>
      <c r="AB2260" s="101" t="s">
        <v>172</v>
      </c>
      <c r="AC2260" s="102" t="s">
        <v>173</v>
      </c>
    </row>
    <row r="2261" spans="1:29" ht="25.5" customHeight="1" x14ac:dyDescent="0.35">
      <c r="A2261" s="392"/>
      <c r="B2261" s="393"/>
      <c r="C2261" s="99" t="str">
        <f>IF(B2261="","",IF(NOT(ISNUMBER(B2261)),"DATA_PC invalida",IF(NOT(ISNUMBER(parametros!$C$2)),"Fora dos ciclos",IF(OR(B2261&lt;parametros!$C$2,(YEAR(B2261)-YEAR(parametros!$C$2))*12+MONTH(B2261)-MONTH(parametros!$C$2)&gt;59),"Fora dos ciclos","C"&amp;INT(((YEAR(B2261)-YEAR(parametros!$C$2))*12+MONTH(B2261)-MONTH(parametros!$C$2))/12)))))</f>
        <v/>
      </c>
      <c r="D2261" s="394"/>
      <c r="E2261" s="78" t="str">
        <f>IF(C2261="","",IFERROR(VLOOKUP(C2261,parametros!$A$11:$E$15,5,0),""))</f>
        <v/>
      </c>
      <c r="F2261" s="79" t="str">
        <f t="shared" si="177"/>
        <v/>
      </c>
      <c r="G2261" s="395"/>
      <c r="H2261" s="91">
        <f t="shared" si="178"/>
        <v>0</v>
      </c>
      <c r="I2261" s="91" t="str">
        <f t="shared" si="179"/>
        <v/>
      </c>
      <c r="J2261" s="91" t="str">
        <f t="shared" si="180"/>
        <v/>
      </c>
      <c r="K2261" s="92" t="str">
        <f>IF(AND(A2261="",B2261="",D2261="",G2261=""),"",IF(AND(A2261&lt;&gt;"",COUNTIF($A$2:$A$5001,A2261)&gt;1),"NUMERO_PC duplicado",IF(B2261="","DATA_PC vazia",IF(NOT(ISNUMBER(B2261)),"DATA_PC invalida",IF(OR(C2261="",C2261="Fora dos ciclos"),"CICLO_PC nao identificado",IF(OR(D2261="",D2261=0),"VALOR_PC vazio ou zero",IF(AND(G2261&lt;&gt;"Sim",G2261&lt;&gt;"Nao",G2261&lt;&gt;""),"PC_PAGO_A_CONTRATADA invalido",IF(AND(C2261&lt;&gt;"C0",IFERROR(INDEX(parametros!$A$2:$A$6,MATCH(C2261,parametros!$B$2:$B$6,0)),"")="Sim",IFERROR(INDEX(parametros!$H$2:$H$6,MATCH(C2261,parametros!$B$2:$B$6,0)),"")=""),"INICIO_EFEITO ausente: PC "&amp;A2261&amp;" - "&amp;C2261,IF(L2261="","EFEITO_PC nao calculado: PC "&amp;A2261&amp;" - "&amp;C2261,"OK")))))))))</f>
        <v/>
      </c>
      <c r="L2261" s="92" t="str">
        <f>IF(AND(A2261="",B2261="",D2261="",G2261=""),"",IF(OR(B2261="",NOT(ISNUMBER(B2261)),C2261="",C2261="Fora dos ciclos"),"",IF(C2261="C0","Nao",IF(IFERROR(INDEX(parametros!$A$2:$A$6,MATCH(C2261,parametros!$B$2:$B$6,0)),"")&lt;&gt;"Sim","Nao",IF(IFERROR(INDEX(parametros!$H$2:$H$6,MATCH(C2261,parametros!$B$2:$B$6,0)),"")="","",IF(B2261&gt;=IFERROR(INDEX(parametros!$H$2:$H$6,MATCH(C2261,parametros!$B$2:$B$6,0)),""),"Sim","Nao"))))))</f>
        <v/>
      </c>
      <c r="T2261" s="156"/>
      <c r="U2261" s="214" t="str">
        <f t="shared" si="181"/>
        <v/>
      </c>
      <c r="V2261" s="212" t="s">
        <v>50</v>
      </c>
      <c r="W2261" s="100" t="s">
        <v>168</v>
      </c>
      <c r="X2261" s="100" t="s">
        <v>169</v>
      </c>
      <c r="Y2261" s="101" t="s">
        <v>170</v>
      </c>
      <c r="Z2261" s="101" t="s">
        <v>171</v>
      </c>
      <c r="AA2261" s="101" t="s">
        <v>50</v>
      </c>
      <c r="AB2261" s="101" t="s">
        <v>172</v>
      </c>
      <c r="AC2261" s="102" t="s">
        <v>173</v>
      </c>
    </row>
    <row r="2262" spans="1:29" ht="25.5" customHeight="1" x14ac:dyDescent="0.35">
      <c r="A2262" s="392"/>
      <c r="B2262" s="393"/>
      <c r="C2262" s="99" t="str">
        <f>IF(B2262="","",IF(NOT(ISNUMBER(B2262)),"DATA_PC invalida",IF(NOT(ISNUMBER(parametros!$C$2)),"Fora dos ciclos",IF(OR(B2262&lt;parametros!$C$2,(YEAR(B2262)-YEAR(parametros!$C$2))*12+MONTH(B2262)-MONTH(parametros!$C$2)&gt;59),"Fora dos ciclos","C"&amp;INT(((YEAR(B2262)-YEAR(parametros!$C$2))*12+MONTH(B2262)-MONTH(parametros!$C$2))/12)))))</f>
        <v/>
      </c>
      <c r="D2262" s="394"/>
      <c r="E2262" s="78" t="str">
        <f>IF(C2262="","",IFERROR(VLOOKUP(C2262,parametros!$A$11:$E$15,5,0),""))</f>
        <v/>
      </c>
      <c r="F2262" s="79" t="str">
        <f t="shared" si="177"/>
        <v/>
      </c>
      <c r="G2262" s="395"/>
      <c r="H2262" s="91">
        <f t="shared" si="178"/>
        <v>0</v>
      </c>
      <c r="I2262" s="91" t="str">
        <f t="shared" si="179"/>
        <v/>
      </c>
      <c r="J2262" s="91" t="str">
        <f t="shared" si="180"/>
        <v/>
      </c>
      <c r="K2262" s="92" t="str">
        <f>IF(AND(A2262="",B2262="",D2262="",G2262=""),"",IF(AND(A2262&lt;&gt;"",COUNTIF($A$2:$A$5001,A2262)&gt;1),"NUMERO_PC duplicado",IF(B2262="","DATA_PC vazia",IF(NOT(ISNUMBER(B2262)),"DATA_PC invalida",IF(OR(C2262="",C2262="Fora dos ciclos"),"CICLO_PC nao identificado",IF(OR(D2262="",D2262=0),"VALOR_PC vazio ou zero",IF(AND(G2262&lt;&gt;"Sim",G2262&lt;&gt;"Nao",G2262&lt;&gt;""),"PC_PAGO_A_CONTRATADA invalido",IF(AND(C2262&lt;&gt;"C0",IFERROR(INDEX(parametros!$A$2:$A$6,MATCH(C2262,parametros!$B$2:$B$6,0)),"")="Sim",IFERROR(INDEX(parametros!$H$2:$H$6,MATCH(C2262,parametros!$B$2:$B$6,0)),"")=""),"INICIO_EFEITO ausente: PC "&amp;A2262&amp;" - "&amp;C2262,IF(L2262="","EFEITO_PC nao calculado: PC "&amp;A2262&amp;" - "&amp;C2262,"OK")))))))))</f>
        <v/>
      </c>
      <c r="L2262" s="92" t="str">
        <f>IF(AND(A2262="",B2262="",D2262="",G2262=""),"",IF(OR(B2262="",NOT(ISNUMBER(B2262)),C2262="",C2262="Fora dos ciclos"),"",IF(C2262="C0","Nao",IF(IFERROR(INDEX(parametros!$A$2:$A$6,MATCH(C2262,parametros!$B$2:$B$6,0)),"")&lt;&gt;"Sim","Nao",IF(IFERROR(INDEX(parametros!$H$2:$H$6,MATCH(C2262,parametros!$B$2:$B$6,0)),"")="","",IF(B2262&gt;=IFERROR(INDEX(parametros!$H$2:$H$6,MATCH(C2262,parametros!$B$2:$B$6,0)),""),"Sim","Nao"))))))</f>
        <v/>
      </c>
      <c r="T2262" s="156"/>
      <c r="U2262" s="214" t="str">
        <f t="shared" si="181"/>
        <v/>
      </c>
      <c r="V2262" s="212" t="s">
        <v>50</v>
      </c>
      <c r="W2262" s="100" t="s">
        <v>168</v>
      </c>
      <c r="X2262" s="100" t="s">
        <v>169</v>
      </c>
      <c r="Y2262" s="101" t="s">
        <v>170</v>
      </c>
      <c r="Z2262" s="101" t="s">
        <v>171</v>
      </c>
      <c r="AA2262" s="101" t="s">
        <v>50</v>
      </c>
      <c r="AB2262" s="101" t="s">
        <v>172</v>
      </c>
      <c r="AC2262" s="102" t="s">
        <v>173</v>
      </c>
    </row>
    <row r="2263" spans="1:29" ht="25.5" customHeight="1" x14ac:dyDescent="0.35">
      <c r="A2263" s="392"/>
      <c r="B2263" s="393"/>
      <c r="C2263" s="99" t="str">
        <f>IF(B2263="","",IF(NOT(ISNUMBER(B2263)),"DATA_PC invalida",IF(NOT(ISNUMBER(parametros!$C$2)),"Fora dos ciclos",IF(OR(B2263&lt;parametros!$C$2,(YEAR(B2263)-YEAR(parametros!$C$2))*12+MONTH(B2263)-MONTH(parametros!$C$2)&gt;59),"Fora dos ciclos","C"&amp;INT(((YEAR(B2263)-YEAR(parametros!$C$2))*12+MONTH(B2263)-MONTH(parametros!$C$2))/12)))))</f>
        <v/>
      </c>
      <c r="D2263" s="394"/>
      <c r="E2263" s="78" t="str">
        <f>IF(C2263="","",IFERROR(VLOOKUP(C2263,parametros!$A$11:$E$15,5,0),""))</f>
        <v/>
      </c>
      <c r="F2263" s="79" t="str">
        <f t="shared" si="177"/>
        <v/>
      </c>
      <c r="G2263" s="395"/>
      <c r="H2263" s="91">
        <f t="shared" si="178"/>
        <v>0</v>
      </c>
      <c r="I2263" s="91" t="str">
        <f t="shared" si="179"/>
        <v/>
      </c>
      <c r="J2263" s="91" t="str">
        <f t="shared" si="180"/>
        <v/>
      </c>
      <c r="K2263" s="92" t="str">
        <f>IF(AND(A2263="",B2263="",D2263="",G2263=""),"",IF(AND(A2263&lt;&gt;"",COUNTIF($A$2:$A$5001,A2263)&gt;1),"NUMERO_PC duplicado",IF(B2263="","DATA_PC vazia",IF(NOT(ISNUMBER(B2263)),"DATA_PC invalida",IF(OR(C2263="",C2263="Fora dos ciclos"),"CICLO_PC nao identificado",IF(OR(D2263="",D2263=0),"VALOR_PC vazio ou zero",IF(AND(G2263&lt;&gt;"Sim",G2263&lt;&gt;"Nao",G2263&lt;&gt;""),"PC_PAGO_A_CONTRATADA invalido",IF(AND(C2263&lt;&gt;"C0",IFERROR(INDEX(parametros!$A$2:$A$6,MATCH(C2263,parametros!$B$2:$B$6,0)),"")="Sim",IFERROR(INDEX(parametros!$H$2:$H$6,MATCH(C2263,parametros!$B$2:$B$6,0)),"")=""),"INICIO_EFEITO ausente: PC "&amp;A2263&amp;" - "&amp;C2263,IF(L2263="","EFEITO_PC nao calculado: PC "&amp;A2263&amp;" - "&amp;C2263,"OK")))))))))</f>
        <v/>
      </c>
      <c r="L2263" s="92" t="str">
        <f>IF(AND(A2263="",B2263="",D2263="",G2263=""),"",IF(OR(B2263="",NOT(ISNUMBER(B2263)),C2263="",C2263="Fora dos ciclos"),"",IF(C2263="C0","Nao",IF(IFERROR(INDEX(parametros!$A$2:$A$6,MATCH(C2263,parametros!$B$2:$B$6,0)),"")&lt;&gt;"Sim","Nao",IF(IFERROR(INDEX(parametros!$H$2:$H$6,MATCH(C2263,parametros!$B$2:$B$6,0)),"")="","",IF(B2263&gt;=IFERROR(INDEX(parametros!$H$2:$H$6,MATCH(C2263,parametros!$B$2:$B$6,0)),""),"Sim","Nao"))))))</f>
        <v/>
      </c>
      <c r="T2263" s="156"/>
      <c r="U2263" s="214" t="str">
        <f t="shared" si="181"/>
        <v/>
      </c>
      <c r="V2263" s="212" t="s">
        <v>50</v>
      </c>
      <c r="W2263" s="100" t="s">
        <v>168</v>
      </c>
      <c r="X2263" s="100" t="s">
        <v>169</v>
      </c>
      <c r="Y2263" s="101" t="s">
        <v>170</v>
      </c>
      <c r="Z2263" s="101" t="s">
        <v>171</v>
      </c>
      <c r="AA2263" s="101" t="s">
        <v>50</v>
      </c>
      <c r="AB2263" s="101" t="s">
        <v>172</v>
      </c>
      <c r="AC2263" s="102" t="s">
        <v>173</v>
      </c>
    </row>
    <row r="2264" spans="1:29" ht="25.5" customHeight="1" x14ac:dyDescent="0.35">
      <c r="A2264" s="392"/>
      <c r="B2264" s="393"/>
      <c r="C2264" s="99" t="str">
        <f>IF(B2264="","",IF(NOT(ISNUMBER(B2264)),"DATA_PC invalida",IF(NOT(ISNUMBER(parametros!$C$2)),"Fora dos ciclos",IF(OR(B2264&lt;parametros!$C$2,(YEAR(B2264)-YEAR(parametros!$C$2))*12+MONTH(B2264)-MONTH(parametros!$C$2)&gt;59),"Fora dos ciclos","C"&amp;INT(((YEAR(B2264)-YEAR(parametros!$C$2))*12+MONTH(B2264)-MONTH(parametros!$C$2))/12)))))</f>
        <v/>
      </c>
      <c r="D2264" s="394"/>
      <c r="E2264" s="78" t="str">
        <f>IF(C2264="","",IFERROR(VLOOKUP(C2264,parametros!$A$11:$E$15,5,0),""))</f>
        <v/>
      </c>
      <c r="F2264" s="79" t="str">
        <f t="shared" si="177"/>
        <v/>
      </c>
      <c r="G2264" s="395"/>
      <c r="H2264" s="91">
        <f t="shared" si="178"/>
        <v>0</v>
      </c>
      <c r="I2264" s="91" t="str">
        <f t="shared" si="179"/>
        <v/>
      </c>
      <c r="J2264" s="91" t="str">
        <f t="shared" si="180"/>
        <v/>
      </c>
      <c r="K2264" s="92" t="str">
        <f>IF(AND(A2264="",B2264="",D2264="",G2264=""),"",IF(AND(A2264&lt;&gt;"",COUNTIF($A$2:$A$5001,A2264)&gt;1),"NUMERO_PC duplicado",IF(B2264="","DATA_PC vazia",IF(NOT(ISNUMBER(B2264)),"DATA_PC invalida",IF(OR(C2264="",C2264="Fora dos ciclos"),"CICLO_PC nao identificado",IF(OR(D2264="",D2264=0),"VALOR_PC vazio ou zero",IF(AND(G2264&lt;&gt;"Sim",G2264&lt;&gt;"Nao",G2264&lt;&gt;""),"PC_PAGO_A_CONTRATADA invalido",IF(AND(C2264&lt;&gt;"C0",IFERROR(INDEX(parametros!$A$2:$A$6,MATCH(C2264,parametros!$B$2:$B$6,0)),"")="Sim",IFERROR(INDEX(parametros!$H$2:$H$6,MATCH(C2264,parametros!$B$2:$B$6,0)),"")=""),"INICIO_EFEITO ausente: PC "&amp;A2264&amp;" - "&amp;C2264,IF(L2264="","EFEITO_PC nao calculado: PC "&amp;A2264&amp;" - "&amp;C2264,"OK")))))))))</f>
        <v/>
      </c>
      <c r="L2264" s="92" t="str">
        <f>IF(AND(A2264="",B2264="",D2264="",G2264=""),"",IF(OR(B2264="",NOT(ISNUMBER(B2264)),C2264="",C2264="Fora dos ciclos"),"",IF(C2264="C0","Nao",IF(IFERROR(INDEX(parametros!$A$2:$A$6,MATCH(C2264,parametros!$B$2:$B$6,0)),"")&lt;&gt;"Sim","Nao",IF(IFERROR(INDEX(parametros!$H$2:$H$6,MATCH(C2264,parametros!$B$2:$B$6,0)),"")="","",IF(B2264&gt;=IFERROR(INDEX(parametros!$H$2:$H$6,MATCH(C2264,parametros!$B$2:$B$6,0)),""),"Sim","Nao"))))))</f>
        <v/>
      </c>
      <c r="T2264" s="156"/>
      <c r="U2264" s="214" t="str">
        <f t="shared" si="181"/>
        <v/>
      </c>
      <c r="V2264" s="212" t="s">
        <v>50</v>
      </c>
      <c r="W2264" s="100" t="s">
        <v>168</v>
      </c>
      <c r="X2264" s="100" t="s">
        <v>169</v>
      </c>
      <c r="Y2264" s="101" t="s">
        <v>170</v>
      </c>
      <c r="Z2264" s="101" t="s">
        <v>171</v>
      </c>
      <c r="AA2264" s="101" t="s">
        <v>50</v>
      </c>
      <c r="AB2264" s="101" t="s">
        <v>172</v>
      </c>
      <c r="AC2264" s="102" t="s">
        <v>173</v>
      </c>
    </row>
    <row r="2265" spans="1:29" ht="25.5" customHeight="1" x14ac:dyDescent="0.35">
      <c r="A2265" s="392"/>
      <c r="B2265" s="393"/>
      <c r="C2265" s="99" t="str">
        <f>IF(B2265="","",IF(NOT(ISNUMBER(B2265)),"DATA_PC invalida",IF(NOT(ISNUMBER(parametros!$C$2)),"Fora dos ciclos",IF(OR(B2265&lt;parametros!$C$2,(YEAR(B2265)-YEAR(parametros!$C$2))*12+MONTH(B2265)-MONTH(parametros!$C$2)&gt;59),"Fora dos ciclos","C"&amp;INT(((YEAR(B2265)-YEAR(parametros!$C$2))*12+MONTH(B2265)-MONTH(parametros!$C$2))/12)))))</f>
        <v/>
      </c>
      <c r="D2265" s="394"/>
      <c r="E2265" s="78" t="str">
        <f>IF(C2265="","",IFERROR(VLOOKUP(C2265,parametros!$A$11:$E$15,5,0),""))</f>
        <v/>
      </c>
      <c r="F2265" s="79" t="str">
        <f t="shared" si="177"/>
        <v/>
      </c>
      <c r="G2265" s="395"/>
      <c r="H2265" s="91">
        <f t="shared" si="178"/>
        <v>0</v>
      </c>
      <c r="I2265" s="91" t="str">
        <f t="shared" si="179"/>
        <v/>
      </c>
      <c r="J2265" s="91" t="str">
        <f t="shared" si="180"/>
        <v/>
      </c>
      <c r="K2265" s="92" t="str">
        <f>IF(AND(A2265="",B2265="",D2265="",G2265=""),"",IF(AND(A2265&lt;&gt;"",COUNTIF($A$2:$A$5001,A2265)&gt;1),"NUMERO_PC duplicado",IF(B2265="","DATA_PC vazia",IF(NOT(ISNUMBER(B2265)),"DATA_PC invalida",IF(OR(C2265="",C2265="Fora dos ciclos"),"CICLO_PC nao identificado",IF(OR(D2265="",D2265=0),"VALOR_PC vazio ou zero",IF(AND(G2265&lt;&gt;"Sim",G2265&lt;&gt;"Nao",G2265&lt;&gt;""),"PC_PAGO_A_CONTRATADA invalido",IF(AND(C2265&lt;&gt;"C0",IFERROR(INDEX(parametros!$A$2:$A$6,MATCH(C2265,parametros!$B$2:$B$6,0)),"")="Sim",IFERROR(INDEX(parametros!$H$2:$H$6,MATCH(C2265,parametros!$B$2:$B$6,0)),"")=""),"INICIO_EFEITO ausente: PC "&amp;A2265&amp;" - "&amp;C2265,IF(L2265="","EFEITO_PC nao calculado: PC "&amp;A2265&amp;" - "&amp;C2265,"OK")))))))))</f>
        <v/>
      </c>
      <c r="L2265" s="92" t="str">
        <f>IF(AND(A2265="",B2265="",D2265="",G2265=""),"",IF(OR(B2265="",NOT(ISNUMBER(B2265)),C2265="",C2265="Fora dos ciclos"),"",IF(C2265="C0","Nao",IF(IFERROR(INDEX(parametros!$A$2:$A$6,MATCH(C2265,parametros!$B$2:$B$6,0)),"")&lt;&gt;"Sim","Nao",IF(IFERROR(INDEX(parametros!$H$2:$H$6,MATCH(C2265,parametros!$B$2:$B$6,0)),"")="","",IF(B2265&gt;=IFERROR(INDEX(parametros!$H$2:$H$6,MATCH(C2265,parametros!$B$2:$B$6,0)),""),"Sim","Nao"))))))</f>
        <v/>
      </c>
      <c r="T2265" s="156"/>
      <c r="U2265" s="214" t="str">
        <f t="shared" si="181"/>
        <v/>
      </c>
      <c r="V2265" s="212" t="s">
        <v>50</v>
      </c>
      <c r="W2265" s="100" t="s">
        <v>168</v>
      </c>
      <c r="X2265" s="100" t="s">
        <v>169</v>
      </c>
      <c r="Y2265" s="101" t="s">
        <v>170</v>
      </c>
      <c r="Z2265" s="101" t="s">
        <v>171</v>
      </c>
      <c r="AA2265" s="101" t="s">
        <v>50</v>
      </c>
      <c r="AB2265" s="101" t="s">
        <v>172</v>
      </c>
      <c r="AC2265" s="102" t="s">
        <v>173</v>
      </c>
    </row>
    <row r="2266" spans="1:29" ht="25.5" customHeight="1" x14ac:dyDescent="0.35">
      <c r="A2266" s="392"/>
      <c r="B2266" s="393"/>
      <c r="C2266" s="99" t="str">
        <f>IF(B2266="","",IF(NOT(ISNUMBER(B2266)),"DATA_PC invalida",IF(NOT(ISNUMBER(parametros!$C$2)),"Fora dos ciclos",IF(OR(B2266&lt;parametros!$C$2,(YEAR(B2266)-YEAR(parametros!$C$2))*12+MONTH(B2266)-MONTH(parametros!$C$2)&gt;59),"Fora dos ciclos","C"&amp;INT(((YEAR(B2266)-YEAR(parametros!$C$2))*12+MONTH(B2266)-MONTH(parametros!$C$2))/12)))))</f>
        <v/>
      </c>
      <c r="D2266" s="394"/>
      <c r="E2266" s="78" t="str">
        <f>IF(C2266="","",IFERROR(VLOOKUP(C2266,parametros!$A$11:$E$15,5,0),""))</f>
        <v/>
      </c>
      <c r="F2266" s="79" t="str">
        <f t="shared" si="177"/>
        <v/>
      </c>
      <c r="G2266" s="395"/>
      <c r="H2266" s="91">
        <f t="shared" si="178"/>
        <v>0</v>
      </c>
      <c r="I2266" s="91" t="str">
        <f t="shared" si="179"/>
        <v/>
      </c>
      <c r="J2266" s="91" t="str">
        <f t="shared" si="180"/>
        <v/>
      </c>
      <c r="K2266" s="92" t="str">
        <f>IF(AND(A2266="",B2266="",D2266="",G2266=""),"",IF(AND(A2266&lt;&gt;"",COUNTIF($A$2:$A$5001,A2266)&gt;1),"NUMERO_PC duplicado",IF(B2266="","DATA_PC vazia",IF(NOT(ISNUMBER(B2266)),"DATA_PC invalida",IF(OR(C2266="",C2266="Fora dos ciclos"),"CICLO_PC nao identificado",IF(OR(D2266="",D2266=0),"VALOR_PC vazio ou zero",IF(AND(G2266&lt;&gt;"Sim",G2266&lt;&gt;"Nao",G2266&lt;&gt;""),"PC_PAGO_A_CONTRATADA invalido",IF(AND(C2266&lt;&gt;"C0",IFERROR(INDEX(parametros!$A$2:$A$6,MATCH(C2266,parametros!$B$2:$B$6,0)),"")="Sim",IFERROR(INDEX(parametros!$H$2:$H$6,MATCH(C2266,parametros!$B$2:$B$6,0)),"")=""),"INICIO_EFEITO ausente: PC "&amp;A2266&amp;" - "&amp;C2266,IF(L2266="","EFEITO_PC nao calculado: PC "&amp;A2266&amp;" - "&amp;C2266,"OK")))))))))</f>
        <v/>
      </c>
      <c r="L2266" s="92" t="str">
        <f>IF(AND(A2266="",B2266="",D2266="",G2266=""),"",IF(OR(B2266="",NOT(ISNUMBER(B2266)),C2266="",C2266="Fora dos ciclos"),"",IF(C2266="C0","Nao",IF(IFERROR(INDEX(parametros!$A$2:$A$6,MATCH(C2266,parametros!$B$2:$B$6,0)),"")&lt;&gt;"Sim","Nao",IF(IFERROR(INDEX(parametros!$H$2:$H$6,MATCH(C2266,parametros!$B$2:$B$6,0)),"")="","",IF(B2266&gt;=IFERROR(INDEX(parametros!$H$2:$H$6,MATCH(C2266,parametros!$B$2:$B$6,0)),""),"Sim","Nao"))))))</f>
        <v/>
      </c>
      <c r="T2266" s="156"/>
      <c r="U2266" s="214" t="str">
        <f t="shared" si="181"/>
        <v/>
      </c>
      <c r="V2266" s="212" t="s">
        <v>50</v>
      </c>
      <c r="W2266" s="100" t="s">
        <v>168</v>
      </c>
      <c r="X2266" s="100" t="s">
        <v>169</v>
      </c>
      <c r="Y2266" s="101" t="s">
        <v>170</v>
      </c>
      <c r="Z2266" s="101" t="s">
        <v>171</v>
      </c>
      <c r="AA2266" s="101" t="s">
        <v>50</v>
      </c>
      <c r="AB2266" s="101" t="s">
        <v>172</v>
      </c>
      <c r="AC2266" s="102" t="s">
        <v>173</v>
      </c>
    </row>
    <row r="2267" spans="1:29" ht="25.5" customHeight="1" x14ac:dyDescent="0.35">
      <c r="A2267" s="392"/>
      <c r="B2267" s="393"/>
      <c r="C2267" s="99" t="str">
        <f>IF(B2267="","",IF(NOT(ISNUMBER(B2267)),"DATA_PC invalida",IF(NOT(ISNUMBER(parametros!$C$2)),"Fora dos ciclos",IF(OR(B2267&lt;parametros!$C$2,(YEAR(B2267)-YEAR(parametros!$C$2))*12+MONTH(B2267)-MONTH(parametros!$C$2)&gt;59),"Fora dos ciclos","C"&amp;INT(((YEAR(B2267)-YEAR(parametros!$C$2))*12+MONTH(B2267)-MONTH(parametros!$C$2))/12)))))</f>
        <v/>
      </c>
      <c r="D2267" s="394"/>
      <c r="E2267" s="78" t="str">
        <f>IF(C2267="","",IFERROR(VLOOKUP(C2267,parametros!$A$11:$E$15,5,0),""))</f>
        <v/>
      </c>
      <c r="F2267" s="79" t="str">
        <f t="shared" si="177"/>
        <v/>
      </c>
      <c r="G2267" s="395"/>
      <c r="H2267" s="91">
        <f t="shared" si="178"/>
        <v>0</v>
      </c>
      <c r="I2267" s="91" t="str">
        <f t="shared" si="179"/>
        <v/>
      </c>
      <c r="J2267" s="91" t="str">
        <f t="shared" si="180"/>
        <v/>
      </c>
      <c r="K2267" s="92" t="str">
        <f>IF(AND(A2267="",B2267="",D2267="",G2267=""),"",IF(AND(A2267&lt;&gt;"",COUNTIF($A$2:$A$5001,A2267)&gt;1),"NUMERO_PC duplicado",IF(B2267="","DATA_PC vazia",IF(NOT(ISNUMBER(B2267)),"DATA_PC invalida",IF(OR(C2267="",C2267="Fora dos ciclos"),"CICLO_PC nao identificado",IF(OR(D2267="",D2267=0),"VALOR_PC vazio ou zero",IF(AND(G2267&lt;&gt;"Sim",G2267&lt;&gt;"Nao",G2267&lt;&gt;""),"PC_PAGO_A_CONTRATADA invalido",IF(AND(C2267&lt;&gt;"C0",IFERROR(INDEX(parametros!$A$2:$A$6,MATCH(C2267,parametros!$B$2:$B$6,0)),"")="Sim",IFERROR(INDEX(parametros!$H$2:$H$6,MATCH(C2267,parametros!$B$2:$B$6,0)),"")=""),"INICIO_EFEITO ausente: PC "&amp;A2267&amp;" - "&amp;C2267,IF(L2267="","EFEITO_PC nao calculado: PC "&amp;A2267&amp;" - "&amp;C2267,"OK")))))))))</f>
        <v/>
      </c>
      <c r="L2267" s="92" t="str">
        <f>IF(AND(A2267="",B2267="",D2267="",G2267=""),"",IF(OR(B2267="",NOT(ISNUMBER(B2267)),C2267="",C2267="Fora dos ciclos"),"",IF(C2267="C0","Nao",IF(IFERROR(INDEX(parametros!$A$2:$A$6,MATCH(C2267,parametros!$B$2:$B$6,0)),"")&lt;&gt;"Sim","Nao",IF(IFERROR(INDEX(parametros!$H$2:$H$6,MATCH(C2267,parametros!$B$2:$B$6,0)),"")="","",IF(B2267&gt;=IFERROR(INDEX(parametros!$H$2:$H$6,MATCH(C2267,parametros!$B$2:$B$6,0)),""),"Sim","Nao"))))))</f>
        <v/>
      </c>
      <c r="T2267" s="156"/>
      <c r="U2267" s="214" t="str">
        <f t="shared" si="181"/>
        <v/>
      </c>
      <c r="V2267" s="212" t="s">
        <v>50</v>
      </c>
      <c r="W2267" s="100" t="s">
        <v>168</v>
      </c>
      <c r="X2267" s="100" t="s">
        <v>169</v>
      </c>
      <c r="Y2267" s="101" t="s">
        <v>170</v>
      </c>
      <c r="Z2267" s="101" t="s">
        <v>171</v>
      </c>
      <c r="AA2267" s="101" t="s">
        <v>50</v>
      </c>
      <c r="AB2267" s="101" t="s">
        <v>172</v>
      </c>
      <c r="AC2267" s="102" t="s">
        <v>173</v>
      </c>
    </row>
    <row r="2268" spans="1:29" ht="25.5" customHeight="1" x14ac:dyDescent="0.35">
      <c r="A2268" s="392"/>
      <c r="B2268" s="393"/>
      <c r="C2268" s="99" t="str">
        <f>IF(B2268="","",IF(NOT(ISNUMBER(B2268)),"DATA_PC invalida",IF(NOT(ISNUMBER(parametros!$C$2)),"Fora dos ciclos",IF(OR(B2268&lt;parametros!$C$2,(YEAR(B2268)-YEAR(parametros!$C$2))*12+MONTH(B2268)-MONTH(parametros!$C$2)&gt;59),"Fora dos ciclos","C"&amp;INT(((YEAR(B2268)-YEAR(parametros!$C$2))*12+MONTH(B2268)-MONTH(parametros!$C$2))/12)))))</f>
        <v/>
      </c>
      <c r="D2268" s="394"/>
      <c r="E2268" s="78" t="str">
        <f>IF(C2268="","",IFERROR(VLOOKUP(C2268,parametros!$A$11:$E$15,5,0),""))</f>
        <v/>
      </c>
      <c r="F2268" s="79" t="str">
        <f t="shared" si="177"/>
        <v/>
      </c>
      <c r="G2268" s="395"/>
      <c r="H2268" s="91">
        <f t="shared" si="178"/>
        <v>0</v>
      </c>
      <c r="I2268" s="91" t="str">
        <f t="shared" si="179"/>
        <v/>
      </c>
      <c r="J2268" s="91" t="str">
        <f t="shared" si="180"/>
        <v/>
      </c>
      <c r="K2268" s="92" t="str">
        <f>IF(AND(A2268="",B2268="",D2268="",G2268=""),"",IF(AND(A2268&lt;&gt;"",COUNTIF($A$2:$A$5001,A2268)&gt;1),"NUMERO_PC duplicado",IF(B2268="","DATA_PC vazia",IF(NOT(ISNUMBER(B2268)),"DATA_PC invalida",IF(OR(C2268="",C2268="Fora dos ciclos"),"CICLO_PC nao identificado",IF(OR(D2268="",D2268=0),"VALOR_PC vazio ou zero",IF(AND(G2268&lt;&gt;"Sim",G2268&lt;&gt;"Nao",G2268&lt;&gt;""),"PC_PAGO_A_CONTRATADA invalido",IF(AND(C2268&lt;&gt;"C0",IFERROR(INDEX(parametros!$A$2:$A$6,MATCH(C2268,parametros!$B$2:$B$6,0)),"")="Sim",IFERROR(INDEX(parametros!$H$2:$H$6,MATCH(C2268,parametros!$B$2:$B$6,0)),"")=""),"INICIO_EFEITO ausente: PC "&amp;A2268&amp;" - "&amp;C2268,IF(L2268="","EFEITO_PC nao calculado: PC "&amp;A2268&amp;" - "&amp;C2268,"OK")))))))))</f>
        <v/>
      </c>
      <c r="L2268" s="92" t="str">
        <f>IF(AND(A2268="",B2268="",D2268="",G2268=""),"",IF(OR(B2268="",NOT(ISNUMBER(B2268)),C2268="",C2268="Fora dos ciclos"),"",IF(C2268="C0","Nao",IF(IFERROR(INDEX(parametros!$A$2:$A$6,MATCH(C2268,parametros!$B$2:$B$6,0)),"")&lt;&gt;"Sim","Nao",IF(IFERROR(INDEX(parametros!$H$2:$H$6,MATCH(C2268,parametros!$B$2:$B$6,0)),"")="","",IF(B2268&gt;=IFERROR(INDEX(parametros!$H$2:$H$6,MATCH(C2268,parametros!$B$2:$B$6,0)),""),"Sim","Nao"))))))</f>
        <v/>
      </c>
      <c r="T2268" s="156"/>
      <c r="U2268" s="214" t="str">
        <f t="shared" si="181"/>
        <v/>
      </c>
      <c r="V2268" s="212" t="s">
        <v>50</v>
      </c>
      <c r="W2268" s="100" t="s">
        <v>168</v>
      </c>
      <c r="X2268" s="100" t="s">
        <v>169</v>
      </c>
      <c r="Y2268" s="101" t="s">
        <v>170</v>
      </c>
      <c r="Z2268" s="101" t="s">
        <v>171</v>
      </c>
      <c r="AA2268" s="101" t="s">
        <v>50</v>
      </c>
      <c r="AB2268" s="101" t="s">
        <v>172</v>
      </c>
      <c r="AC2268" s="102" t="s">
        <v>173</v>
      </c>
    </row>
    <row r="2269" spans="1:29" ht="25.5" customHeight="1" x14ac:dyDescent="0.35">
      <c r="A2269" s="392"/>
      <c r="B2269" s="393"/>
      <c r="C2269" s="99" t="str">
        <f>IF(B2269="","",IF(NOT(ISNUMBER(B2269)),"DATA_PC invalida",IF(NOT(ISNUMBER(parametros!$C$2)),"Fora dos ciclos",IF(OR(B2269&lt;parametros!$C$2,(YEAR(B2269)-YEAR(parametros!$C$2))*12+MONTH(B2269)-MONTH(parametros!$C$2)&gt;59),"Fora dos ciclos","C"&amp;INT(((YEAR(B2269)-YEAR(parametros!$C$2))*12+MONTH(B2269)-MONTH(parametros!$C$2))/12)))))</f>
        <v/>
      </c>
      <c r="D2269" s="394"/>
      <c r="E2269" s="78" t="str">
        <f>IF(C2269="","",IFERROR(VLOOKUP(C2269,parametros!$A$11:$E$15,5,0),""))</f>
        <v/>
      </c>
      <c r="F2269" s="79" t="str">
        <f t="shared" si="177"/>
        <v/>
      </c>
      <c r="G2269" s="395"/>
      <c r="H2269" s="91">
        <f t="shared" si="178"/>
        <v>0</v>
      </c>
      <c r="I2269" s="91" t="str">
        <f t="shared" si="179"/>
        <v/>
      </c>
      <c r="J2269" s="91" t="str">
        <f t="shared" si="180"/>
        <v/>
      </c>
      <c r="K2269" s="92" t="str">
        <f>IF(AND(A2269="",B2269="",D2269="",G2269=""),"",IF(AND(A2269&lt;&gt;"",COUNTIF($A$2:$A$5001,A2269)&gt;1),"NUMERO_PC duplicado",IF(B2269="","DATA_PC vazia",IF(NOT(ISNUMBER(B2269)),"DATA_PC invalida",IF(OR(C2269="",C2269="Fora dos ciclos"),"CICLO_PC nao identificado",IF(OR(D2269="",D2269=0),"VALOR_PC vazio ou zero",IF(AND(G2269&lt;&gt;"Sim",G2269&lt;&gt;"Nao",G2269&lt;&gt;""),"PC_PAGO_A_CONTRATADA invalido",IF(AND(C2269&lt;&gt;"C0",IFERROR(INDEX(parametros!$A$2:$A$6,MATCH(C2269,parametros!$B$2:$B$6,0)),"")="Sim",IFERROR(INDEX(parametros!$H$2:$H$6,MATCH(C2269,parametros!$B$2:$B$6,0)),"")=""),"INICIO_EFEITO ausente: PC "&amp;A2269&amp;" - "&amp;C2269,IF(L2269="","EFEITO_PC nao calculado: PC "&amp;A2269&amp;" - "&amp;C2269,"OK")))))))))</f>
        <v/>
      </c>
      <c r="L2269" s="92" t="str">
        <f>IF(AND(A2269="",B2269="",D2269="",G2269=""),"",IF(OR(B2269="",NOT(ISNUMBER(B2269)),C2269="",C2269="Fora dos ciclos"),"",IF(C2269="C0","Nao",IF(IFERROR(INDEX(parametros!$A$2:$A$6,MATCH(C2269,parametros!$B$2:$B$6,0)),"")&lt;&gt;"Sim","Nao",IF(IFERROR(INDEX(parametros!$H$2:$H$6,MATCH(C2269,parametros!$B$2:$B$6,0)),"")="","",IF(B2269&gt;=IFERROR(INDEX(parametros!$H$2:$H$6,MATCH(C2269,parametros!$B$2:$B$6,0)),""),"Sim","Nao"))))))</f>
        <v/>
      </c>
      <c r="T2269" s="156"/>
      <c r="U2269" s="214" t="str">
        <f t="shared" si="181"/>
        <v/>
      </c>
      <c r="V2269" s="212" t="s">
        <v>50</v>
      </c>
      <c r="W2269" s="100" t="s">
        <v>168</v>
      </c>
      <c r="X2269" s="100" t="s">
        <v>169</v>
      </c>
      <c r="Y2269" s="101" t="s">
        <v>170</v>
      </c>
      <c r="Z2269" s="101" t="s">
        <v>171</v>
      </c>
      <c r="AA2269" s="101" t="s">
        <v>50</v>
      </c>
      <c r="AB2269" s="101" t="s">
        <v>172</v>
      </c>
      <c r="AC2269" s="102" t="s">
        <v>173</v>
      </c>
    </row>
    <row r="2270" spans="1:29" ht="25.5" customHeight="1" x14ac:dyDescent="0.35">
      <c r="A2270" s="392"/>
      <c r="B2270" s="393"/>
      <c r="C2270" s="99" t="str">
        <f>IF(B2270="","",IF(NOT(ISNUMBER(B2270)),"DATA_PC invalida",IF(NOT(ISNUMBER(parametros!$C$2)),"Fora dos ciclos",IF(OR(B2270&lt;parametros!$C$2,(YEAR(B2270)-YEAR(parametros!$C$2))*12+MONTH(B2270)-MONTH(parametros!$C$2)&gt;59),"Fora dos ciclos","C"&amp;INT(((YEAR(B2270)-YEAR(parametros!$C$2))*12+MONTH(B2270)-MONTH(parametros!$C$2))/12)))))</f>
        <v/>
      </c>
      <c r="D2270" s="394"/>
      <c r="E2270" s="78" t="str">
        <f>IF(C2270="","",IFERROR(VLOOKUP(C2270,parametros!$A$11:$E$15,5,0),""))</f>
        <v/>
      </c>
      <c r="F2270" s="79" t="str">
        <f t="shared" si="177"/>
        <v/>
      </c>
      <c r="G2270" s="395"/>
      <c r="H2270" s="91">
        <f t="shared" si="178"/>
        <v>0</v>
      </c>
      <c r="I2270" s="91" t="str">
        <f t="shared" si="179"/>
        <v/>
      </c>
      <c r="J2270" s="91" t="str">
        <f t="shared" si="180"/>
        <v/>
      </c>
      <c r="K2270" s="92" t="str">
        <f>IF(AND(A2270="",B2270="",D2270="",G2270=""),"",IF(AND(A2270&lt;&gt;"",COUNTIF($A$2:$A$5001,A2270)&gt;1),"NUMERO_PC duplicado",IF(B2270="","DATA_PC vazia",IF(NOT(ISNUMBER(B2270)),"DATA_PC invalida",IF(OR(C2270="",C2270="Fora dos ciclos"),"CICLO_PC nao identificado",IF(OR(D2270="",D2270=0),"VALOR_PC vazio ou zero",IF(AND(G2270&lt;&gt;"Sim",G2270&lt;&gt;"Nao",G2270&lt;&gt;""),"PC_PAGO_A_CONTRATADA invalido",IF(AND(C2270&lt;&gt;"C0",IFERROR(INDEX(parametros!$A$2:$A$6,MATCH(C2270,parametros!$B$2:$B$6,0)),"")="Sim",IFERROR(INDEX(parametros!$H$2:$H$6,MATCH(C2270,parametros!$B$2:$B$6,0)),"")=""),"INICIO_EFEITO ausente: PC "&amp;A2270&amp;" - "&amp;C2270,IF(L2270="","EFEITO_PC nao calculado: PC "&amp;A2270&amp;" - "&amp;C2270,"OK")))))))))</f>
        <v/>
      </c>
      <c r="L2270" s="92" t="str">
        <f>IF(AND(A2270="",B2270="",D2270="",G2270=""),"",IF(OR(B2270="",NOT(ISNUMBER(B2270)),C2270="",C2270="Fora dos ciclos"),"",IF(C2270="C0","Nao",IF(IFERROR(INDEX(parametros!$A$2:$A$6,MATCH(C2270,parametros!$B$2:$B$6,0)),"")&lt;&gt;"Sim","Nao",IF(IFERROR(INDEX(parametros!$H$2:$H$6,MATCH(C2270,parametros!$B$2:$B$6,0)),"")="","",IF(B2270&gt;=IFERROR(INDEX(parametros!$H$2:$H$6,MATCH(C2270,parametros!$B$2:$B$6,0)),""),"Sim","Nao"))))))</f>
        <v/>
      </c>
      <c r="T2270" s="156"/>
      <c r="U2270" s="214" t="str">
        <f t="shared" si="181"/>
        <v/>
      </c>
      <c r="V2270" s="212" t="s">
        <v>50</v>
      </c>
      <c r="W2270" s="100" t="s">
        <v>168</v>
      </c>
      <c r="X2270" s="100" t="s">
        <v>169</v>
      </c>
      <c r="Y2270" s="101" t="s">
        <v>170</v>
      </c>
      <c r="Z2270" s="101" t="s">
        <v>171</v>
      </c>
      <c r="AA2270" s="101" t="s">
        <v>50</v>
      </c>
      <c r="AB2270" s="101" t="s">
        <v>172</v>
      </c>
      <c r="AC2270" s="102" t="s">
        <v>173</v>
      </c>
    </row>
    <row r="2271" spans="1:29" ht="25.5" customHeight="1" x14ac:dyDescent="0.35">
      <c r="A2271" s="392"/>
      <c r="B2271" s="393"/>
      <c r="C2271" s="99" t="str">
        <f>IF(B2271="","",IF(NOT(ISNUMBER(B2271)),"DATA_PC invalida",IF(NOT(ISNUMBER(parametros!$C$2)),"Fora dos ciclos",IF(OR(B2271&lt;parametros!$C$2,(YEAR(B2271)-YEAR(parametros!$C$2))*12+MONTH(B2271)-MONTH(parametros!$C$2)&gt;59),"Fora dos ciclos","C"&amp;INT(((YEAR(B2271)-YEAR(parametros!$C$2))*12+MONTH(B2271)-MONTH(parametros!$C$2))/12)))))</f>
        <v/>
      </c>
      <c r="D2271" s="394"/>
      <c r="E2271" s="78" t="str">
        <f>IF(C2271="","",IFERROR(VLOOKUP(C2271,parametros!$A$11:$E$15,5,0),""))</f>
        <v/>
      </c>
      <c r="F2271" s="79" t="str">
        <f t="shared" si="177"/>
        <v/>
      </c>
      <c r="G2271" s="395"/>
      <c r="H2271" s="91">
        <f t="shared" si="178"/>
        <v>0</v>
      </c>
      <c r="I2271" s="91" t="str">
        <f t="shared" si="179"/>
        <v/>
      </c>
      <c r="J2271" s="91" t="str">
        <f t="shared" si="180"/>
        <v/>
      </c>
      <c r="K2271" s="92" t="str">
        <f>IF(AND(A2271="",B2271="",D2271="",G2271=""),"",IF(AND(A2271&lt;&gt;"",COUNTIF($A$2:$A$5001,A2271)&gt;1),"NUMERO_PC duplicado",IF(B2271="","DATA_PC vazia",IF(NOT(ISNUMBER(B2271)),"DATA_PC invalida",IF(OR(C2271="",C2271="Fora dos ciclos"),"CICLO_PC nao identificado",IF(OR(D2271="",D2271=0),"VALOR_PC vazio ou zero",IF(AND(G2271&lt;&gt;"Sim",G2271&lt;&gt;"Nao",G2271&lt;&gt;""),"PC_PAGO_A_CONTRATADA invalido",IF(AND(C2271&lt;&gt;"C0",IFERROR(INDEX(parametros!$A$2:$A$6,MATCH(C2271,parametros!$B$2:$B$6,0)),"")="Sim",IFERROR(INDEX(parametros!$H$2:$H$6,MATCH(C2271,parametros!$B$2:$B$6,0)),"")=""),"INICIO_EFEITO ausente: PC "&amp;A2271&amp;" - "&amp;C2271,IF(L2271="","EFEITO_PC nao calculado: PC "&amp;A2271&amp;" - "&amp;C2271,"OK")))))))))</f>
        <v/>
      </c>
      <c r="L2271" s="92" t="str">
        <f>IF(AND(A2271="",B2271="",D2271="",G2271=""),"",IF(OR(B2271="",NOT(ISNUMBER(B2271)),C2271="",C2271="Fora dos ciclos"),"",IF(C2271="C0","Nao",IF(IFERROR(INDEX(parametros!$A$2:$A$6,MATCH(C2271,parametros!$B$2:$B$6,0)),"")&lt;&gt;"Sim","Nao",IF(IFERROR(INDEX(parametros!$H$2:$H$6,MATCH(C2271,parametros!$B$2:$B$6,0)),"")="","",IF(B2271&gt;=IFERROR(INDEX(parametros!$H$2:$H$6,MATCH(C2271,parametros!$B$2:$B$6,0)),""),"Sim","Nao"))))))</f>
        <v/>
      </c>
      <c r="T2271" s="156"/>
      <c r="U2271" s="214" t="str">
        <f t="shared" si="181"/>
        <v/>
      </c>
      <c r="V2271" s="212" t="s">
        <v>50</v>
      </c>
      <c r="W2271" s="100" t="s">
        <v>168</v>
      </c>
      <c r="X2271" s="100" t="s">
        <v>169</v>
      </c>
      <c r="Y2271" s="101" t="s">
        <v>170</v>
      </c>
      <c r="Z2271" s="101" t="s">
        <v>171</v>
      </c>
      <c r="AA2271" s="101" t="s">
        <v>50</v>
      </c>
      <c r="AB2271" s="101" t="s">
        <v>172</v>
      </c>
      <c r="AC2271" s="102" t="s">
        <v>173</v>
      </c>
    </row>
    <row r="2272" spans="1:29" ht="25.5" customHeight="1" x14ac:dyDescent="0.35">
      <c r="A2272" s="392"/>
      <c r="B2272" s="393"/>
      <c r="C2272" s="99" t="str">
        <f>IF(B2272="","",IF(NOT(ISNUMBER(B2272)),"DATA_PC invalida",IF(NOT(ISNUMBER(parametros!$C$2)),"Fora dos ciclos",IF(OR(B2272&lt;parametros!$C$2,(YEAR(B2272)-YEAR(parametros!$C$2))*12+MONTH(B2272)-MONTH(parametros!$C$2)&gt;59),"Fora dos ciclos","C"&amp;INT(((YEAR(B2272)-YEAR(parametros!$C$2))*12+MONTH(B2272)-MONTH(parametros!$C$2))/12)))))</f>
        <v/>
      </c>
      <c r="D2272" s="394"/>
      <c r="E2272" s="78" t="str">
        <f>IF(C2272="","",IFERROR(VLOOKUP(C2272,parametros!$A$11:$E$15,5,0),""))</f>
        <v/>
      </c>
      <c r="F2272" s="79" t="str">
        <f t="shared" si="177"/>
        <v/>
      </c>
      <c r="G2272" s="395"/>
      <c r="H2272" s="91">
        <f t="shared" si="178"/>
        <v>0</v>
      </c>
      <c r="I2272" s="91" t="str">
        <f t="shared" si="179"/>
        <v/>
      </c>
      <c r="J2272" s="91" t="str">
        <f t="shared" si="180"/>
        <v/>
      </c>
      <c r="K2272" s="92" t="str">
        <f>IF(AND(A2272="",B2272="",D2272="",G2272=""),"",IF(AND(A2272&lt;&gt;"",COUNTIF($A$2:$A$5001,A2272)&gt;1),"NUMERO_PC duplicado",IF(B2272="","DATA_PC vazia",IF(NOT(ISNUMBER(B2272)),"DATA_PC invalida",IF(OR(C2272="",C2272="Fora dos ciclos"),"CICLO_PC nao identificado",IF(OR(D2272="",D2272=0),"VALOR_PC vazio ou zero",IF(AND(G2272&lt;&gt;"Sim",G2272&lt;&gt;"Nao",G2272&lt;&gt;""),"PC_PAGO_A_CONTRATADA invalido",IF(AND(C2272&lt;&gt;"C0",IFERROR(INDEX(parametros!$A$2:$A$6,MATCH(C2272,parametros!$B$2:$B$6,0)),"")="Sim",IFERROR(INDEX(parametros!$H$2:$H$6,MATCH(C2272,parametros!$B$2:$B$6,0)),"")=""),"INICIO_EFEITO ausente: PC "&amp;A2272&amp;" - "&amp;C2272,IF(L2272="","EFEITO_PC nao calculado: PC "&amp;A2272&amp;" - "&amp;C2272,"OK")))))))))</f>
        <v/>
      </c>
      <c r="L2272" s="92" t="str">
        <f>IF(AND(A2272="",B2272="",D2272="",G2272=""),"",IF(OR(B2272="",NOT(ISNUMBER(B2272)),C2272="",C2272="Fora dos ciclos"),"",IF(C2272="C0","Nao",IF(IFERROR(INDEX(parametros!$A$2:$A$6,MATCH(C2272,parametros!$B$2:$B$6,0)),"")&lt;&gt;"Sim","Nao",IF(IFERROR(INDEX(parametros!$H$2:$H$6,MATCH(C2272,parametros!$B$2:$B$6,0)),"")="","",IF(B2272&gt;=IFERROR(INDEX(parametros!$H$2:$H$6,MATCH(C2272,parametros!$B$2:$B$6,0)),""),"Sim","Nao"))))))</f>
        <v/>
      </c>
      <c r="T2272" s="156"/>
      <c r="U2272" s="214" t="str">
        <f t="shared" si="181"/>
        <v/>
      </c>
      <c r="V2272" s="212" t="s">
        <v>50</v>
      </c>
      <c r="W2272" s="100" t="s">
        <v>168</v>
      </c>
      <c r="X2272" s="100" t="s">
        <v>169</v>
      </c>
      <c r="Y2272" s="101" t="s">
        <v>170</v>
      </c>
      <c r="Z2272" s="101" t="s">
        <v>171</v>
      </c>
      <c r="AA2272" s="101" t="s">
        <v>50</v>
      </c>
      <c r="AB2272" s="101" t="s">
        <v>172</v>
      </c>
      <c r="AC2272" s="102" t="s">
        <v>173</v>
      </c>
    </row>
    <row r="2273" spans="1:29" ht="25.5" customHeight="1" x14ac:dyDescent="0.35">
      <c r="A2273" s="392"/>
      <c r="B2273" s="393"/>
      <c r="C2273" s="99" t="str">
        <f>IF(B2273="","",IF(NOT(ISNUMBER(B2273)),"DATA_PC invalida",IF(NOT(ISNUMBER(parametros!$C$2)),"Fora dos ciclos",IF(OR(B2273&lt;parametros!$C$2,(YEAR(B2273)-YEAR(parametros!$C$2))*12+MONTH(B2273)-MONTH(parametros!$C$2)&gt;59),"Fora dos ciclos","C"&amp;INT(((YEAR(B2273)-YEAR(parametros!$C$2))*12+MONTH(B2273)-MONTH(parametros!$C$2))/12)))))</f>
        <v/>
      </c>
      <c r="D2273" s="394"/>
      <c r="E2273" s="78" t="str">
        <f>IF(C2273="","",IFERROR(VLOOKUP(C2273,parametros!$A$11:$E$15,5,0),""))</f>
        <v/>
      </c>
      <c r="F2273" s="79" t="str">
        <f t="shared" si="177"/>
        <v/>
      </c>
      <c r="G2273" s="395"/>
      <c r="H2273" s="91">
        <f t="shared" si="178"/>
        <v>0</v>
      </c>
      <c r="I2273" s="91" t="str">
        <f t="shared" si="179"/>
        <v/>
      </c>
      <c r="J2273" s="91" t="str">
        <f t="shared" si="180"/>
        <v/>
      </c>
      <c r="K2273" s="92" t="str">
        <f>IF(AND(A2273="",B2273="",D2273="",G2273=""),"",IF(AND(A2273&lt;&gt;"",COUNTIF($A$2:$A$5001,A2273)&gt;1),"NUMERO_PC duplicado",IF(B2273="","DATA_PC vazia",IF(NOT(ISNUMBER(B2273)),"DATA_PC invalida",IF(OR(C2273="",C2273="Fora dos ciclos"),"CICLO_PC nao identificado",IF(OR(D2273="",D2273=0),"VALOR_PC vazio ou zero",IF(AND(G2273&lt;&gt;"Sim",G2273&lt;&gt;"Nao",G2273&lt;&gt;""),"PC_PAGO_A_CONTRATADA invalido",IF(AND(C2273&lt;&gt;"C0",IFERROR(INDEX(parametros!$A$2:$A$6,MATCH(C2273,parametros!$B$2:$B$6,0)),"")="Sim",IFERROR(INDEX(parametros!$H$2:$H$6,MATCH(C2273,parametros!$B$2:$B$6,0)),"")=""),"INICIO_EFEITO ausente: PC "&amp;A2273&amp;" - "&amp;C2273,IF(L2273="","EFEITO_PC nao calculado: PC "&amp;A2273&amp;" - "&amp;C2273,"OK")))))))))</f>
        <v/>
      </c>
      <c r="L2273" s="92" t="str">
        <f>IF(AND(A2273="",B2273="",D2273="",G2273=""),"",IF(OR(B2273="",NOT(ISNUMBER(B2273)),C2273="",C2273="Fora dos ciclos"),"",IF(C2273="C0","Nao",IF(IFERROR(INDEX(parametros!$A$2:$A$6,MATCH(C2273,parametros!$B$2:$B$6,0)),"")&lt;&gt;"Sim","Nao",IF(IFERROR(INDEX(parametros!$H$2:$H$6,MATCH(C2273,parametros!$B$2:$B$6,0)),"")="","",IF(B2273&gt;=IFERROR(INDEX(parametros!$H$2:$H$6,MATCH(C2273,parametros!$B$2:$B$6,0)),""),"Sim","Nao"))))))</f>
        <v/>
      </c>
      <c r="T2273" s="156"/>
      <c r="U2273" s="214" t="str">
        <f t="shared" si="181"/>
        <v/>
      </c>
      <c r="V2273" s="212" t="s">
        <v>50</v>
      </c>
      <c r="W2273" s="100" t="s">
        <v>168</v>
      </c>
      <c r="X2273" s="100" t="s">
        <v>169</v>
      </c>
      <c r="Y2273" s="101" t="s">
        <v>170</v>
      </c>
      <c r="Z2273" s="101" t="s">
        <v>171</v>
      </c>
      <c r="AA2273" s="101" t="s">
        <v>50</v>
      </c>
      <c r="AB2273" s="101" t="s">
        <v>172</v>
      </c>
      <c r="AC2273" s="102" t="s">
        <v>173</v>
      </c>
    </row>
    <row r="2274" spans="1:29" ht="25.5" customHeight="1" x14ac:dyDescent="0.35">
      <c r="A2274" s="392"/>
      <c r="B2274" s="393"/>
      <c r="C2274" s="99" t="str">
        <f>IF(B2274="","",IF(NOT(ISNUMBER(B2274)),"DATA_PC invalida",IF(NOT(ISNUMBER(parametros!$C$2)),"Fora dos ciclos",IF(OR(B2274&lt;parametros!$C$2,(YEAR(B2274)-YEAR(parametros!$C$2))*12+MONTH(B2274)-MONTH(parametros!$C$2)&gt;59),"Fora dos ciclos","C"&amp;INT(((YEAR(B2274)-YEAR(parametros!$C$2))*12+MONTH(B2274)-MONTH(parametros!$C$2))/12)))))</f>
        <v/>
      </c>
      <c r="D2274" s="394"/>
      <c r="E2274" s="78" t="str">
        <f>IF(C2274="","",IFERROR(VLOOKUP(C2274,parametros!$A$11:$E$15,5,0),""))</f>
        <v/>
      </c>
      <c r="F2274" s="79" t="str">
        <f t="shared" si="177"/>
        <v/>
      </c>
      <c r="G2274" s="395"/>
      <c r="H2274" s="91">
        <f t="shared" si="178"/>
        <v>0</v>
      </c>
      <c r="I2274" s="91" t="str">
        <f t="shared" si="179"/>
        <v/>
      </c>
      <c r="J2274" s="91" t="str">
        <f t="shared" si="180"/>
        <v/>
      </c>
      <c r="K2274" s="92" t="str">
        <f>IF(AND(A2274="",B2274="",D2274="",G2274=""),"",IF(AND(A2274&lt;&gt;"",COUNTIF($A$2:$A$5001,A2274)&gt;1),"NUMERO_PC duplicado",IF(B2274="","DATA_PC vazia",IF(NOT(ISNUMBER(B2274)),"DATA_PC invalida",IF(OR(C2274="",C2274="Fora dos ciclos"),"CICLO_PC nao identificado",IF(OR(D2274="",D2274=0),"VALOR_PC vazio ou zero",IF(AND(G2274&lt;&gt;"Sim",G2274&lt;&gt;"Nao",G2274&lt;&gt;""),"PC_PAGO_A_CONTRATADA invalido",IF(AND(C2274&lt;&gt;"C0",IFERROR(INDEX(parametros!$A$2:$A$6,MATCH(C2274,parametros!$B$2:$B$6,0)),"")="Sim",IFERROR(INDEX(parametros!$H$2:$H$6,MATCH(C2274,parametros!$B$2:$B$6,0)),"")=""),"INICIO_EFEITO ausente: PC "&amp;A2274&amp;" - "&amp;C2274,IF(L2274="","EFEITO_PC nao calculado: PC "&amp;A2274&amp;" - "&amp;C2274,"OK")))))))))</f>
        <v/>
      </c>
      <c r="L2274" s="92" t="str">
        <f>IF(AND(A2274="",B2274="",D2274="",G2274=""),"",IF(OR(B2274="",NOT(ISNUMBER(B2274)),C2274="",C2274="Fora dos ciclos"),"",IF(C2274="C0","Nao",IF(IFERROR(INDEX(parametros!$A$2:$A$6,MATCH(C2274,parametros!$B$2:$B$6,0)),"")&lt;&gt;"Sim","Nao",IF(IFERROR(INDEX(parametros!$H$2:$H$6,MATCH(C2274,parametros!$B$2:$B$6,0)),"")="","",IF(B2274&gt;=IFERROR(INDEX(parametros!$H$2:$H$6,MATCH(C2274,parametros!$B$2:$B$6,0)),""),"Sim","Nao"))))))</f>
        <v/>
      </c>
      <c r="T2274" s="156"/>
      <c r="U2274" s="214" t="str">
        <f t="shared" si="181"/>
        <v/>
      </c>
      <c r="V2274" s="212" t="s">
        <v>50</v>
      </c>
      <c r="W2274" s="100" t="s">
        <v>168</v>
      </c>
      <c r="X2274" s="100" t="s">
        <v>169</v>
      </c>
      <c r="Y2274" s="101" t="s">
        <v>170</v>
      </c>
      <c r="Z2274" s="101" t="s">
        <v>171</v>
      </c>
      <c r="AA2274" s="101" t="s">
        <v>50</v>
      </c>
      <c r="AB2274" s="101" t="s">
        <v>172</v>
      </c>
      <c r="AC2274" s="102" t="s">
        <v>173</v>
      </c>
    </row>
    <row r="2275" spans="1:29" ht="25.5" customHeight="1" x14ac:dyDescent="0.35">
      <c r="A2275" s="392"/>
      <c r="B2275" s="393"/>
      <c r="C2275" s="99" t="str">
        <f>IF(B2275="","",IF(NOT(ISNUMBER(B2275)),"DATA_PC invalida",IF(NOT(ISNUMBER(parametros!$C$2)),"Fora dos ciclos",IF(OR(B2275&lt;parametros!$C$2,(YEAR(B2275)-YEAR(parametros!$C$2))*12+MONTH(B2275)-MONTH(parametros!$C$2)&gt;59),"Fora dos ciclos","C"&amp;INT(((YEAR(B2275)-YEAR(parametros!$C$2))*12+MONTH(B2275)-MONTH(parametros!$C$2))/12)))))</f>
        <v/>
      </c>
      <c r="D2275" s="394"/>
      <c r="E2275" s="78" t="str">
        <f>IF(C2275="","",IFERROR(VLOOKUP(C2275,parametros!$A$11:$E$15,5,0),""))</f>
        <v/>
      </c>
      <c r="F2275" s="79" t="str">
        <f t="shared" si="177"/>
        <v/>
      </c>
      <c r="G2275" s="395"/>
      <c r="H2275" s="91">
        <f t="shared" si="178"/>
        <v>0</v>
      </c>
      <c r="I2275" s="91" t="str">
        <f t="shared" si="179"/>
        <v/>
      </c>
      <c r="J2275" s="91" t="str">
        <f t="shared" si="180"/>
        <v/>
      </c>
      <c r="K2275" s="92" t="str">
        <f>IF(AND(A2275="",B2275="",D2275="",G2275=""),"",IF(AND(A2275&lt;&gt;"",COUNTIF($A$2:$A$5001,A2275)&gt;1),"NUMERO_PC duplicado",IF(B2275="","DATA_PC vazia",IF(NOT(ISNUMBER(B2275)),"DATA_PC invalida",IF(OR(C2275="",C2275="Fora dos ciclos"),"CICLO_PC nao identificado",IF(OR(D2275="",D2275=0),"VALOR_PC vazio ou zero",IF(AND(G2275&lt;&gt;"Sim",G2275&lt;&gt;"Nao",G2275&lt;&gt;""),"PC_PAGO_A_CONTRATADA invalido",IF(AND(C2275&lt;&gt;"C0",IFERROR(INDEX(parametros!$A$2:$A$6,MATCH(C2275,parametros!$B$2:$B$6,0)),"")="Sim",IFERROR(INDEX(parametros!$H$2:$H$6,MATCH(C2275,parametros!$B$2:$B$6,0)),"")=""),"INICIO_EFEITO ausente: PC "&amp;A2275&amp;" - "&amp;C2275,IF(L2275="","EFEITO_PC nao calculado: PC "&amp;A2275&amp;" - "&amp;C2275,"OK")))))))))</f>
        <v/>
      </c>
      <c r="L2275" s="92" t="str">
        <f>IF(AND(A2275="",B2275="",D2275="",G2275=""),"",IF(OR(B2275="",NOT(ISNUMBER(B2275)),C2275="",C2275="Fora dos ciclos"),"",IF(C2275="C0","Nao",IF(IFERROR(INDEX(parametros!$A$2:$A$6,MATCH(C2275,parametros!$B$2:$B$6,0)),"")&lt;&gt;"Sim","Nao",IF(IFERROR(INDEX(parametros!$H$2:$H$6,MATCH(C2275,parametros!$B$2:$B$6,0)),"")="","",IF(B2275&gt;=IFERROR(INDEX(parametros!$H$2:$H$6,MATCH(C2275,parametros!$B$2:$B$6,0)),""),"Sim","Nao"))))))</f>
        <v/>
      </c>
      <c r="T2275" s="156"/>
      <c r="U2275" s="214" t="str">
        <f t="shared" si="181"/>
        <v/>
      </c>
      <c r="V2275" s="212" t="s">
        <v>50</v>
      </c>
      <c r="W2275" s="100" t="s">
        <v>168</v>
      </c>
      <c r="X2275" s="100" t="s">
        <v>169</v>
      </c>
      <c r="Y2275" s="101" t="s">
        <v>170</v>
      </c>
      <c r="Z2275" s="101" t="s">
        <v>171</v>
      </c>
      <c r="AA2275" s="101" t="s">
        <v>50</v>
      </c>
      <c r="AB2275" s="101" t="s">
        <v>172</v>
      </c>
      <c r="AC2275" s="102" t="s">
        <v>173</v>
      </c>
    </row>
    <row r="2276" spans="1:29" ht="25.5" customHeight="1" x14ac:dyDescent="0.35">
      <c r="A2276" s="392"/>
      <c r="B2276" s="393"/>
      <c r="C2276" s="99" t="str">
        <f>IF(B2276="","",IF(NOT(ISNUMBER(B2276)),"DATA_PC invalida",IF(NOT(ISNUMBER(parametros!$C$2)),"Fora dos ciclos",IF(OR(B2276&lt;parametros!$C$2,(YEAR(B2276)-YEAR(parametros!$C$2))*12+MONTH(B2276)-MONTH(parametros!$C$2)&gt;59),"Fora dos ciclos","C"&amp;INT(((YEAR(B2276)-YEAR(parametros!$C$2))*12+MONTH(B2276)-MONTH(parametros!$C$2))/12)))))</f>
        <v/>
      </c>
      <c r="D2276" s="394"/>
      <c r="E2276" s="78" t="str">
        <f>IF(C2276="","",IFERROR(VLOOKUP(C2276,parametros!$A$11:$E$15,5,0),""))</f>
        <v/>
      </c>
      <c r="F2276" s="79" t="str">
        <f t="shared" si="177"/>
        <v/>
      </c>
      <c r="G2276" s="395"/>
      <c r="H2276" s="91">
        <f t="shared" si="178"/>
        <v>0</v>
      </c>
      <c r="I2276" s="91" t="str">
        <f t="shared" si="179"/>
        <v/>
      </c>
      <c r="J2276" s="91" t="str">
        <f t="shared" si="180"/>
        <v/>
      </c>
      <c r="K2276" s="92" t="str">
        <f>IF(AND(A2276="",B2276="",D2276="",G2276=""),"",IF(AND(A2276&lt;&gt;"",COUNTIF($A$2:$A$5001,A2276)&gt;1),"NUMERO_PC duplicado",IF(B2276="","DATA_PC vazia",IF(NOT(ISNUMBER(B2276)),"DATA_PC invalida",IF(OR(C2276="",C2276="Fora dos ciclos"),"CICLO_PC nao identificado",IF(OR(D2276="",D2276=0),"VALOR_PC vazio ou zero",IF(AND(G2276&lt;&gt;"Sim",G2276&lt;&gt;"Nao",G2276&lt;&gt;""),"PC_PAGO_A_CONTRATADA invalido",IF(AND(C2276&lt;&gt;"C0",IFERROR(INDEX(parametros!$A$2:$A$6,MATCH(C2276,parametros!$B$2:$B$6,0)),"")="Sim",IFERROR(INDEX(parametros!$H$2:$H$6,MATCH(C2276,parametros!$B$2:$B$6,0)),"")=""),"INICIO_EFEITO ausente: PC "&amp;A2276&amp;" - "&amp;C2276,IF(L2276="","EFEITO_PC nao calculado: PC "&amp;A2276&amp;" - "&amp;C2276,"OK")))))))))</f>
        <v/>
      </c>
      <c r="L2276" s="92" t="str">
        <f>IF(AND(A2276="",B2276="",D2276="",G2276=""),"",IF(OR(B2276="",NOT(ISNUMBER(B2276)),C2276="",C2276="Fora dos ciclos"),"",IF(C2276="C0","Nao",IF(IFERROR(INDEX(parametros!$A$2:$A$6,MATCH(C2276,parametros!$B$2:$B$6,0)),"")&lt;&gt;"Sim","Nao",IF(IFERROR(INDEX(parametros!$H$2:$H$6,MATCH(C2276,parametros!$B$2:$B$6,0)),"")="","",IF(B2276&gt;=IFERROR(INDEX(parametros!$H$2:$H$6,MATCH(C2276,parametros!$B$2:$B$6,0)),""),"Sim","Nao"))))))</f>
        <v/>
      </c>
      <c r="T2276" s="156"/>
      <c r="U2276" s="214" t="str">
        <f t="shared" si="181"/>
        <v/>
      </c>
      <c r="V2276" s="212" t="s">
        <v>50</v>
      </c>
      <c r="W2276" s="100" t="s">
        <v>168</v>
      </c>
      <c r="X2276" s="100" t="s">
        <v>169</v>
      </c>
      <c r="Y2276" s="101" t="s">
        <v>170</v>
      </c>
      <c r="Z2276" s="101" t="s">
        <v>171</v>
      </c>
      <c r="AA2276" s="101" t="s">
        <v>50</v>
      </c>
      <c r="AB2276" s="101" t="s">
        <v>172</v>
      </c>
      <c r="AC2276" s="102" t="s">
        <v>173</v>
      </c>
    </row>
    <row r="2277" spans="1:29" ht="25.5" customHeight="1" x14ac:dyDescent="0.35">
      <c r="A2277" s="392"/>
      <c r="B2277" s="393"/>
      <c r="C2277" s="99" t="str">
        <f>IF(B2277="","",IF(NOT(ISNUMBER(B2277)),"DATA_PC invalida",IF(NOT(ISNUMBER(parametros!$C$2)),"Fora dos ciclos",IF(OR(B2277&lt;parametros!$C$2,(YEAR(B2277)-YEAR(parametros!$C$2))*12+MONTH(B2277)-MONTH(parametros!$C$2)&gt;59),"Fora dos ciclos","C"&amp;INT(((YEAR(B2277)-YEAR(parametros!$C$2))*12+MONTH(B2277)-MONTH(parametros!$C$2))/12)))))</f>
        <v/>
      </c>
      <c r="D2277" s="394"/>
      <c r="E2277" s="78" t="str">
        <f>IF(C2277="","",IFERROR(VLOOKUP(C2277,parametros!$A$11:$E$15,5,0),""))</f>
        <v/>
      </c>
      <c r="F2277" s="79" t="str">
        <f t="shared" si="177"/>
        <v/>
      </c>
      <c r="G2277" s="395"/>
      <c r="H2277" s="91">
        <f t="shared" si="178"/>
        <v>0</v>
      </c>
      <c r="I2277" s="91" t="str">
        <f t="shared" si="179"/>
        <v/>
      </c>
      <c r="J2277" s="91" t="str">
        <f t="shared" si="180"/>
        <v/>
      </c>
      <c r="K2277" s="92" t="str">
        <f>IF(AND(A2277="",B2277="",D2277="",G2277=""),"",IF(AND(A2277&lt;&gt;"",COUNTIF($A$2:$A$5001,A2277)&gt;1),"NUMERO_PC duplicado",IF(B2277="","DATA_PC vazia",IF(NOT(ISNUMBER(B2277)),"DATA_PC invalida",IF(OR(C2277="",C2277="Fora dos ciclos"),"CICLO_PC nao identificado",IF(OR(D2277="",D2277=0),"VALOR_PC vazio ou zero",IF(AND(G2277&lt;&gt;"Sim",G2277&lt;&gt;"Nao",G2277&lt;&gt;""),"PC_PAGO_A_CONTRATADA invalido",IF(AND(C2277&lt;&gt;"C0",IFERROR(INDEX(parametros!$A$2:$A$6,MATCH(C2277,parametros!$B$2:$B$6,0)),"")="Sim",IFERROR(INDEX(parametros!$H$2:$H$6,MATCH(C2277,parametros!$B$2:$B$6,0)),"")=""),"INICIO_EFEITO ausente: PC "&amp;A2277&amp;" - "&amp;C2277,IF(L2277="","EFEITO_PC nao calculado: PC "&amp;A2277&amp;" - "&amp;C2277,"OK")))))))))</f>
        <v/>
      </c>
      <c r="L2277" s="92" t="str">
        <f>IF(AND(A2277="",B2277="",D2277="",G2277=""),"",IF(OR(B2277="",NOT(ISNUMBER(B2277)),C2277="",C2277="Fora dos ciclos"),"",IF(C2277="C0","Nao",IF(IFERROR(INDEX(parametros!$A$2:$A$6,MATCH(C2277,parametros!$B$2:$B$6,0)),"")&lt;&gt;"Sim","Nao",IF(IFERROR(INDEX(parametros!$H$2:$H$6,MATCH(C2277,parametros!$B$2:$B$6,0)),"")="","",IF(B2277&gt;=IFERROR(INDEX(parametros!$H$2:$H$6,MATCH(C2277,parametros!$B$2:$B$6,0)),""),"Sim","Nao"))))))</f>
        <v/>
      </c>
      <c r="T2277" s="156"/>
      <c r="U2277" s="214" t="str">
        <f t="shared" si="181"/>
        <v/>
      </c>
      <c r="V2277" s="212" t="s">
        <v>50</v>
      </c>
      <c r="W2277" s="100" t="s">
        <v>168</v>
      </c>
      <c r="X2277" s="100" t="s">
        <v>169</v>
      </c>
      <c r="Y2277" s="101" t="s">
        <v>170</v>
      </c>
      <c r="Z2277" s="101" t="s">
        <v>171</v>
      </c>
      <c r="AA2277" s="101" t="s">
        <v>50</v>
      </c>
      <c r="AB2277" s="101" t="s">
        <v>172</v>
      </c>
      <c r="AC2277" s="102" t="s">
        <v>173</v>
      </c>
    </row>
    <row r="2278" spans="1:29" ht="25.5" customHeight="1" x14ac:dyDescent="0.35">
      <c r="A2278" s="392"/>
      <c r="B2278" s="393"/>
      <c r="C2278" s="99" t="str">
        <f>IF(B2278="","",IF(NOT(ISNUMBER(B2278)),"DATA_PC invalida",IF(NOT(ISNUMBER(parametros!$C$2)),"Fora dos ciclos",IF(OR(B2278&lt;parametros!$C$2,(YEAR(B2278)-YEAR(parametros!$C$2))*12+MONTH(B2278)-MONTH(parametros!$C$2)&gt;59),"Fora dos ciclos","C"&amp;INT(((YEAR(B2278)-YEAR(parametros!$C$2))*12+MONTH(B2278)-MONTH(parametros!$C$2))/12)))))</f>
        <v/>
      </c>
      <c r="D2278" s="394"/>
      <c r="E2278" s="78" t="str">
        <f>IF(C2278="","",IFERROR(VLOOKUP(C2278,parametros!$A$11:$E$15,5,0),""))</f>
        <v/>
      </c>
      <c r="F2278" s="79" t="str">
        <f t="shared" si="177"/>
        <v/>
      </c>
      <c r="G2278" s="395"/>
      <c r="H2278" s="91">
        <f t="shared" si="178"/>
        <v>0</v>
      </c>
      <c r="I2278" s="91" t="str">
        <f t="shared" si="179"/>
        <v/>
      </c>
      <c r="J2278" s="91" t="str">
        <f t="shared" si="180"/>
        <v/>
      </c>
      <c r="K2278" s="92" t="str">
        <f>IF(AND(A2278="",B2278="",D2278="",G2278=""),"",IF(AND(A2278&lt;&gt;"",COUNTIF($A$2:$A$5001,A2278)&gt;1),"NUMERO_PC duplicado",IF(B2278="","DATA_PC vazia",IF(NOT(ISNUMBER(B2278)),"DATA_PC invalida",IF(OR(C2278="",C2278="Fora dos ciclos"),"CICLO_PC nao identificado",IF(OR(D2278="",D2278=0),"VALOR_PC vazio ou zero",IF(AND(G2278&lt;&gt;"Sim",G2278&lt;&gt;"Nao",G2278&lt;&gt;""),"PC_PAGO_A_CONTRATADA invalido",IF(AND(C2278&lt;&gt;"C0",IFERROR(INDEX(parametros!$A$2:$A$6,MATCH(C2278,parametros!$B$2:$B$6,0)),"")="Sim",IFERROR(INDEX(parametros!$H$2:$H$6,MATCH(C2278,parametros!$B$2:$B$6,0)),"")=""),"INICIO_EFEITO ausente: PC "&amp;A2278&amp;" - "&amp;C2278,IF(L2278="","EFEITO_PC nao calculado: PC "&amp;A2278&amp;" - "&amp;C2278,"OK")))))))))</f>
        <v/>
      </c>
      <c r="L2278" s="92" t="str">
        <f>IF(AND(A2278="",B2278="",D2278="",G2278=""),"",IF(OR(B2278="",NOT(ISNUMBER(B2278)),C2278="",C2278="Fora dos ciclos"),"",IF(C2278="C0","Nao",IF(IFERROR(INDEX(parametros!$A$2:$A$6,MATCH(C2278,parametros!$B$2:$B$6,0)),"")&lt;&gt;"Sim","Nao",IF(IFERROR(INDEX(parametros!$H$2:$H$6,MATCH(C2278,parametros!$B$2:$B$6,0)),"")="","",IF(B2278&gt;=IFERROR(INDEX(parametros!$H$2:$H$6,MATCH(C2278,parametros!$B$2:$B$6,0)),""),"Sim","Nao"))))))</f>
        <v/>
      </c>
      <c r="T2278" s="156"/>
      <c r="U2278" s="214" t="str">
        <f t="shared" si="181"/>
        <v/>
      </c>
      <c r="V2278" s="212" t="s">
        <v>50</v>
      </c>
      <c r="W2278" s="100" t="s">
        <v>168</v>
      </c>
      <c r="X2278" s="100" t="s">
        <v>169</v>
      </c>
      <c r="Y2278" s="101" t="s">
        <v>170</v>
      </c>
      <c r="Z2278" s="101" t="s">
        <v>171</v>
      </c>
      <c r="AA2278" s="101" t="s">
        <v>50</v>
      </c>
      <c r="AB2278" s="101" t="s">
        <v>172</v>
      </c>
      <c r="AC2278" s="102" t="s">
        <v>173</v>
      </c>
    </row>
    <row r="2279" spans="1:29" ht="25.5" customHeight="1" x14ac:dyDescent="0.35">
      <c r="A2279" s="392"/>
      <c r="B2279" s="393"/>
      <c r="C2279" s="99" t="str">
        <f>IF(B2279="","",IF(NOT(ISNUMBER(B2279)),"DATA_PC invalida",IF(NOT(ISNUMBER(parametros!$C$2)),"Fora dos ciclos",IF(OR(B2279&lt;parametros!$C$2,(YEAR(B2279)-YEAR(parametros!$C$2))*12+MONTH(B2279)-MONTH(parametros!$C$2)&gt;59),"Fora dos ciclos","C"&amp;INT(((YEAR(B2279)-YEAR(parametros!$C$2))*12+MONTH(B2279)-MONTH(parametros!$C$2))/12)))))</f>
        <v/>
      </c>
      <c r="D2279" s="394"/>
      <c r="E2279" s="78" t="str">
        <f>IF(C2279="","",IFERROR(VLOOKUP(C2279,parametros!$A$11:$E$15,5,0),""))</f>
        <v/>
      </c>
      <c r="F2279" s="79" t="str">
        <f t="shared" si="177"/>
        <v/>
      </c>
      <c r="G2279" s="395"/>
      <c r="H2279" s="91">
        <f t="shared" si="178"/>
        <v>0</v>
      </c>
      <c r="I2279" s="91" t="str">
        <f t="shared" si="179"/>
        <v/>
      </c>
      <c r="J2279" s="91" t="str">
        <f t="shared" si="180"/>
        <v/>
      </c>
      <c r="K2279" s="92" t="str">
        <f>IF(AND(A2279="",B2279="",D2279="",G2279=""),"",IF(AND(A2279&lt;&gt;"",COUNTIF($A$2:$A$5001,A2279)&gt;1),"NUMERO_PC duplicado",IF(B2279="","DATA_PC vazia",IF(NOT(ISNUMBER(B2279)),"DATA_PC invalida",IF(OR(C2279="",C2279="Fora dos ciclos"),"CICLO_PC nao identificado",IF(OR(D2279="",D2279=0),"VALOR_PC vazio ou zero",IF(AND(G2279&lt;&gt;"Sim",G2279&lt;&gt;"Nao",G2279&lt;&gt;""),"PC_PAGO_A_CONTRATADA invalido",IF(AND(C2279&lt;&gt;"C0",IFERROR(INDEX(parametros!$A$2:$A$6,MATCH(C2279,parametros!$B$2:$B$6,0)),"")="Sim",IFERROR(INDEX(parametros!$H$2:$H$6,MATCH(C2279,parametros!$B$2:$B$6,0)),"")=""),"INICIO_EFEITO ausente: PC "&amp;A2279&amp;" - "&amp;C2279,IF(L2279="","EFEITO_PC nao calculado: PC "&amp;A2279&amp;" - "&amp;C2279,"OK")))))))))</f>
        <v/>
      </c>
      <c r="L2279" s="92" t="str">
        <f>IF(AND(A2279="",B2279="",D2279="",G2279=""),"",IF(OR(B2279="",NOT(ISNUMBER(B2279)),C2279="",C2279="Fora dos ciclos"),"",IF(C2279="C0","Nao",IF(IFERROR(INDEX(parametros!$A$2:$A$6,MATCH(C2279,parametros!$B$2:$B$6,0)),"")&lt;&gt;"Sim","Nao",IF(IFERROR(INDEX(parametros!$H$2:$H$6,MATCH(C2279,parametros!$B$2:$B$6,0)),"")="","",IF(B2279&gt;=IFERROR(INDEX(parametros!$H$2:$H$6,MATCH(C2279,parametros!$B$2:$B$6,0)),""),"Sim","Nao"))))))</f>
        <v/>
      </c>
      <c r="T2279" s="156"/>
      <c r="U2279" s="214" t="str">
        <f t="shared" si="181"/>
        <v/>
      </c>
      <c r="V2279" s="212" t="s">
        <v>50</v>
      </c>
      <c r="W2279" s="100" t="s">
        <v>168</v>
      </c>
      <c r="X2279" s="100" t="s">
        <v>169</v>
      </c>
      <c r="Y2279" s="101" t="s">
        <v>170</v>
      </c>
      <c r="Z2279" s="101" t="s">
        <v>171</v>
      </c>
      <c r="AA2279" s="101" t="s">
        <v>50</v>
      </c>
      <c r="AB2279" s="101" t="s">
        <v>172</v>
      </c>
      <c r="AC2279" s="102" t="s">
        <v>173</v>
      </c>
    </row>
    <row r="2280" spans="1:29" ht="25.5" customHeight="1" x14ac:dyDescent="0.35">
      <c r="A2280" s="392"/>
      <c r="B2280" s="393"/>
      <c r="C2280" s="99" t="str">
        <f>IF(B2280="","",IF(NOT(ISNUMBER(B2280)),"DATA_PC invalida",IF(NOT(ISNUMBER(parametros!$C$2)),"Fora dos ciclos",IF(OR(B2280&lt;parametros!$C$2,(YEAR(B2280)-YEAR(parametros!$C$2))*12+MONTH(B2280)-MONTH(parametros!$C$2)&gt;59),"Fora dos ciclos","C"&amp;INT(((YEAR(B2280)-YEAR(parametros!$C$2))*12+MONTH(B2280)-MONTH(parametros!$C$2))/12)))))</f>
        <v/>
      </c>
      <c r="D2280" s="394"/>
      <c r="E2280" s="78" t="str">
        <f>IF(C2280="","",IFERROR(VLOOKUP(C2280,parametros!$A$11:$E$15,5,0),""))</f>
        <v/>
      </c>
      <c r="F2280" s="79" t="str">
        <f t="shared" si="177"/>
        <v/>
      </c>
      <c r="G2280" s="395"/>
      <c r="H2280" s="91">
        <f t="shared" si="178"/>
        <v>0</v>
      </c>
      <c r="I2280" s="91" t="str">
        <f t="shared" si="179"/>
        <v/>
      </c>
      <c r="J2280" s="91" t="str">
        <f t="shared" si="180"/>
        <v/>
      </c>
      <c r="K2280" s="92" t="str">
        <f>IF(AND(A2280="",B2280="",D2280="",G2280=""),"",IF(AND(A2280&lt;&gt;"",COUNTIF($A$2:$A$5001,A2280)&gt;1),"NUMERO_PC duplicado",IF(B2280="","DATA_PC vazia",IF(NOT(ISNUMBER(B2280)),"DATA_PC invalida",IF(OR(C2280="",C2280="Fora dos ciclos"),"CICLO_PC nao identificado",IF(OR(D2280="",D2280=0),"VALOR_PC vazio ou zero",IF(AND(G2280&lt;&gt;"Sim",G2280&lt;&gt;"Nao",G2280&lt;&gt;""),"PC_PAGO_A_CONTRATADA invalido",IF(AND(C2280&lt;&gt;"C0",IFERROR(INDEX(parametros!$A$2:$A$6,MATCH(C2280,parametros!$B$2:$B$6,0)),"")="Sim",IFERROR(INDEX(parametros!$H$2:$H$6,MATCH(C2280,parametros!$B$2:$B$6,0)),"")=""),"INICIO_EFEITO ausente: PC "&amp;A2280&amp;" - "&amp;C2280,IF(L2280="","EFEITO_PC nao calculado: PC "&amp;A2280&amp;" - "&amp;C2280,"OK")))))))))</f>
        <v/>
      </c>
      <c r="L2280" s="92" t="str">
        <f>IF(AND(A2280="",B2280="",D2280="",G2280=""),"",IF(OR(B2280="",NOT(ISNUMBER(B2280)),C2280="",C2280="Fora dos ciclos"),"",IF(C2280="C0","Nao",IF(IFERROR(INDEX(parametros!$A$2:$A$6,MATCH(C2280,parametros!$B$2:$B$6,0)),"")&lt;&gt;"Sim","Nao",IF(IFERROR(INDEX(parametros!$H$2:$H$6,MATCH(C2280,parametros!$B$2:$B$6,0)),"")="","",IF(B2280&gt;=IFERROR(INDEX(parametros!$H$2:$H$6,MATCH(C2280,parametros!$B$2:$B$6,0)),""),"Sim","Nao"))))))</f>
        <v/>
      </c>
      <c r="T2280" s="156"/>
      <c r="U2280" s="214" t="str">
        <f t="shared" si="181"/>
        <v/>
      </c>
      <c r="V2280" s="212" t="s">
        <v>50</v>
      </c>
      <c r="W2280" s="100" t="s">
        <v>168</v>
      </c>
      <c r="X2280" s="100" t="s">
        <v>169</v>
      </c>
      <c r="Y2280" s="101" t="s">
        <v>170</v>
      </c>
      <c r="Z2280" s="101" t="s">
        <v>171</v>
      </c>
      <c r="AA2280" s="101" t="s">
        <v>50</v>
      </c>
      <c r="AB2280" s="101" t="s">
        <v>172</v>
      </c>
      <c r="AC2280" s="102" t="s">
        <v>173</v>
      </c>
    </row>
    <row r="2281" spans="1:29" ht="25.5" customHeight="1" x14ac:dyDescent="0.35">
      <c r="A2281" s="392"/>
      <c r="B2281" s="393"/>
      <c r="C2281" s="99" t="str">
        <f>IF(B2281="","",IF(NOT(ISNUMBER(B2281)),"DATA_PC invalida",IF(NOT(ISNUMBER(parametros!$C$2)),"Fora dos ciclos",IF(OR(B2281&lt;parametros!$C$2,(YEAR(B2281)-YEAR(parametros!$C$2))*12+MONTH(B2281)-MONTH(parametros!$C$2)&gt;59),"Fora dos ciclos","C"&amp;INT(((YEAR(B2281)-YEAR(parametros!$C$2))*12+MONTH(B2281)-MONTH(parametros!$C$2))/12)))))</f>
        <v/>
      </c>
      <c r="D2281" s="394"/>
      <c r="E2281" s="78" t="str">
        <f>IF(C2281="","",IFERROR(VLOOKUP(C2281,parametros!$A$11:$E$15,5,0),""))</f>
        <v/>
      </c>
      <c r="F2281" s="79" t="str">
        <f t="shared" si="177"/>
        <v/>
      </c>
      <c r="G2281" s="395"/>
      <c r="H2281" s="91">
        <f t="shared" si="178"/>
        <v>0</v>
      </c>
      <c r="I2281" s="91" t="str">
        <f t="shared" si="179"/>
        <v/>
      </c>
      <c r="J2281" s="91" t="str">
        <f t="shared" si="180"/>
        <v/>
      </c>
      <c r="K2281" s="92" t="str">
        <f>IF(AND(A2281="",B2281="",D2281="",G2281=""),"",IF(AND(A2281&lt;&gt;"",COUNTIF($A$2:$A$5001,A2281)&gt;1),"NUMERO_PC duplicado",IF(B2281="","DATA_PC vazia",IF(NOT(ISNUMBER(B2281)),"DATA_PC invalida",IF(OR(C2281="",C2281="Fora dos ciclos"),"CICLO_PC nao identificado",IF(OR(D2281="",D2281=0),"VALOR_PC vazio ou zero",IF(AND(G2281&lt;&gt;"Sim",G2281&lt;&gt;"Nao",G2281&lt;&gt;""),"PC_PAGO_A_CONTRATADA invalido",IF(AND(C2281&lt;&gt;"C0",IFERROR(INDEX(parametros!$A$2:$A$6,MATCH(C2281,parametros!$B$2:$B$6,0)),"")="Sim",IFERROR(INDEX(parametros!$H$2:$H$6,MATCH(C2281,parametros!$B$2:$B$6,0)),"")=""),"INICIO_EFEITO ausente: PC "&amp;A2281&amp;" - "&amp;C2281,IF(L2281="","EFEITO_PC nao calculado: PC "&amp;A2281&amp;" - "&amp;C2281,"OK")))))))))</f>
        <v/>
      </c>
      <c r="L2281" s="92" t="str">
        <f>IF(AND(A2281="",B2281="",D2281="",G2281=""),"",IF(OR(B2281="",NOT(ISNUMBER(B2281)),C2281="",C2281="Fora dos ciclos"),"",IF(C2281="C0","Nao",IF(IFERROR(INDEX(parametros!$A$2:$A$6,MATCH(C2281,parametros!$B$2:$B$6,0)),"")&lt;&gt;"Sim","Nao",IF(IFERROR(INDEX(parametros!$H$2:$H$6,MATCH(C2281,parametros!$B$2:$B$6,0)),"")="","",IF(B2281&gt;=IFERROR(INDEX(parametros!$H$2:$H$6,MATCH(C2281,parametros!$B$2:$B$6,0)),""),"Sim","Nao"))))))</f>
        <v/>
      </c>
      <c r="T2281" s="156"/>
      <c r="U2281" s="214" t="str">
        <f t="shared" si="181"/>
        <v/>
      </c>
      <c r="V2281" s="212" t="s">
        <v>50</v>
      </c>
      <c r="W2281" s="100" t="s">
        <v>168</v>
      </c>
      <c r="X2281" s="100" t="s">
        <v>169</v>
      </c>
      <c r="Y2281" s="101" t="s">
        <v>170</v>
      </c>
      <c r="Z2281" s="101" t="s">
        <v>171</v>
      </c>
      <c r="AA2281" s="101" t="s">
        <v>50</v>
      </c>
      <c r="AB2281" s="101" t="s">
        <v>172</v>
      </c>
      <c r="AC2281" s="102" t="s">
        <v>173</v>
      </c>
    </row>
    <row r="2282" spans="1:29" ht="25.5" customHeight="1" x14ac:dyDescent="0.35">
      <c r="A2282" s="392"/>
      <c r="B2282" s="393"/>
      <c r="C2282" s="99" t="str">
        <f>IF(B2282="","",IF(NOT(ISNUMBER(B2282)),"DATA_PC invalida",IF(NOT(ISNUMBER(parametros!$C$2)),"Fora dos ciclos",IF(OR(B2282&lt;parametros!$C$2,(YEAR(B2282)-YEAR(parametros!$C$2))*12+MONTH(B2282)-MONTH(parametros!$C$2)&gt;59),"Fora dos ciclos","C"&amp;INT(((YEAR(B2282)-YEAR(parametros!$C$2))*12+MONTH(B2282)-MONTH(parametros!$C$2))/12)))))</f>
        <v/>
      </c>
      <c r="D2282" s="394"/>
      <c r="E2282" s="78" t="str">
        <f>IF(C2282="","",IFERROR(VLOOKUP(C2282,parametros!$A$11:$E$15,5,0),""))</f>
        <v/>
      </c>
      <c r="F2282" s="79" t="str">
        <f t="shared" si="177"/>
        <v/>
      </c>
      <c r="G2282" s="395"/>
      <c r="H2282" s="91">
        <f t="shared" si="178"/>
        <v>0</v>
      </c>
      <c r="I2282" s="91" t="str">
        <f t="shared" si="179"/>
        <v/>
      </c>
      <c r="J2282" s="91" t="str">
        <f t="shared" si="180"/>
        <v/>
      </c>
      <c r="K2282" s="92" t="str">
        <f>IF(AND(A2282="",B2282="",D2282="",G2282=""),"",IF(AND(A2282&lt;&gt;"",COUNTIF($A$2:$A$5001,A2282)&gt;1),"NUMERO_PC duplicado",IF(B2282="","DATA_PC vazia",IF(NOT(ISNUMBER(B2282)),"DATA_PC invalida",IF(OR(C2282="",C2282="Fora dos ciclos"),"CICLO_PC nao identificado",IF(OR(D2282="",D2282=0),"VALOR_PC vazio ou zero",IF(AND(G2282&lt;&gt;"Sim",G2282&lt;&gt;"Nao",G2282&lt;&gt;""),"PC_PAGO_A_CONTRATADA invalido",IF(AND(C2282&lt;&gt;"C0",IFERROR(INDEX(parametros!$A$2:$A$6,MATCH(C2282,parametros!$B$2:$B$6,0)),"")="Sim",IFERROR(INDEX(parametros!$H$2:$H$6,MATCH(C2282,parametros!$B$2:$B$6,0)),"")=""),"INICIO_EFEITO ausente: PC "&amp;A2282&amp;" - "&amp;C2282,IF(L2282="","EFEITO_PC nao calculado: PC "&amp;A2282&amp;" - "&amp;C2282,"OK")))))))))</f>
        <v/>
      </c>
      <c r="L2282" s="92" t="str">
        <f>IF(AND(A2282="",B2282="",D2282="",G2282=""),"",IF(OR(B2282="",NOT(ISNUMBER(B2282)),C2282="",C2282="Fora dos ciclos"),"",IF(C2282="C0","Nao",IF(IFERROR(INDEX(parametros!$A$2:$A$6,MATCH(C2282,parametros!$B$2:$B$6,0)),"")&lt;&gt;"Sim","Nao",IF(IFERROR(INDEX(parametros!$H$2:$H$6,MATCH(C2282,parametros!$B$2:$B$6,0)),"")="","",IF(B2282&gt;=IFERROR(INDEX(parametros!$H$2:$H$6,MATCH(C2282,parametros!$B$2:$B$6,0)),""),"Sim","Nao"))))))</f>
        <v/>
      </c>
      <c r="T2282" s="156"/>
      <c r="U2282" s="214" t="str">
        <f t="shared" si="181"/>
        <v/>
      </c>
      <c r="V2282" s="212" t="s">
        <v>50</v>
      </c>
      <c r="W2282" s="100" t="s">
        <v>168</v>
      </c>
      <c r="X2282" s="100" t="s">
        <v>169</v>
      </c>
      <c r="Y2282" s="101" t="s">
        <v>170</v>
      </c>
      <c r="Z2282" s="101" t="s">
        <v>171</v>
      </c>
      <c r="AA2282" s="101" t="s">
        <v>50</v>
      </c>
      <c r="AB2282" s="101" t="s">
        <v>172</v>
      </c>
      <c r="AC2282" s="102" t="s">
        <v>173</v>
      </c>
    </row>
    <row r="2283" spans="1:29" ht="25.5" customHeight="1" x14ac:dyDescent="0.35">
      <c r="A2283" s="392"/>
      <c r="B2283" s="393"/>
      <c r="C2283" s="99" t="str">
        <f>IF(B2283="","",IF(NOT(ISNUMBER(B2283)),"DATA_PC invalida",IF(NOT(ISNUMBER(parametros!$C$2)),"Fora dos ciclos",IF(OR(B2283&lt;parametros!$C$2,(YEAR(B2283)-YEAR(parametros!$C$2))*12+MONTH(B2283)-MONTH(parametros!$C$2)&gt;59),"Fora dos ciclos","C"&amp;INT(((YEAR(B2283)-YEAR(parametros!$C$2))*12+MONTH(B2283)-MONTH(parametros!$C$2))/12)))))</f>
        <v/>
      </c>
      <c r="D2283" s="394"/>
      <c r="E2283" s="78" t="str">
        <f>IF(C2283="","",IFERROR(VLOOKUP(C2283,parametros!$A$11:$E$15,5,0),""))</f>
        <v/>
      </c>
      <c r="F2283" s="79" t="str">
        <f t="shared" si="177"/>
        <v/>
      </c>
      <c r="G2283" s="395"/>
      <c r="H2283" s="91">
        <f t="shared" si="178"/>
        <v>0</v>
      </c>
      <c r="I2283" s="91" t="str">
        <f t="shared" si="179"/>
        <v/>
      </c>
      <c r="J2283" s="91" t="str">
        <f t="shared" si="180"/>
        <v/>
      </c>
      <c r="K2283" s="92" t="str">
        <f>IF(AND(A2283="",B2283="",D2283="",G2283=""),"",IF(AND(A2283&lt;&gt;"",COUNTIF($A$2:$A$5001,A2283)&gt;1),"NUMERO_PC duplicado",IF(B2283="","DATA_PC vazia",IF(NOT(ISNUMBER(B2283)),"DATA_PC invalida",IF(OR(C2283="",C2283="Fora dos ciclos"),"CICLO_PC nao identificado",IF(OR(D2283="",D2283=0),"VALOR_PC vazio ou zero",IF(AND(G2283&lt;&gt;"Sim",G2283&lt;&gt;"Nao",G2283&lt;&gt;""),"PC_PAGO_A_CONTRATADA invalido",IF(AND(C2283&lt;&gt;"C0",IFERROR(INDEX(parametros!$A$2:$A$6,MATCH(C2283,parametros!$B$2:$B$6,0)),"")="Sim",IFERROR(INDEX(parametros!$H$2:$H$6,MATCH(C2283,parametros!$B$2:$B$6,0)),"")=""),"INICIO_EFEITO ausente: PC "&amp;A2283&amp;" - "&amp;C2283,IF(L2283="","EFEITO_PC nao calculado: PC "&amp;A2283&amp;" - "&amp;C2283,"OK")))))))))</f>
        <v/>
      </c>
      <c r="L2283" s="92" t="str">
        <f>IF(AND(A2283="",B2283="",D2283="",G2283=""),"",IF(OR(B2283="",NOT(ISNUMBER(B2283)),C2283="",C2283="Fora dos ciclos"),"",IF(C2283="C0","Nao",IF(IFERROR(INDEX(parametros!$A$2:$A$6,MATCH(C2283,parametros!$B$2:$B$6,0)),"")&lt;&gt;"Sim","Nao",IF(IFERROR(INDEX(parametros!$H$2:$H$6,MATCH(C2283,parametros!$B$2:$B$6,0)),"")="","",IF(B2283&gt;=IFERROR(INDEX(parametros!$H$2:$H$6,MATCH(C2283,parametros!$B$2:$B$6,0)),""),"Sim","Nao"))))))</f>
        <v/>
      </c>
      <c r="T2283" s="156"/>
      <c r="U2283" s="214" t="str">
        <f t="shared" si="181"/>
        <v/>
      </c>
      <c r="V2283" s="212" t="s">
        <v>50</v>
      </c>
      <c r="W2283" s="100" t="s">
        <v>168</v>
      </c>
      <c r="X2283" s="100" t="s">
        <v>169</v>
      </c>
      <c r="Y2283" s="101" t="s">
        <v>170</v>
      </c>
      <c r="Z2283" s="101" t="s">
        <v>171</v>
      </c>
      <c r="AA2283" s="101" t="s">
        <v>50</v>
      </c>
      <c r="AB2283" s="101" t="s">
        <v>172</v>
      </c>
      <c r="AC2283" s="102" t="s">
        <v>173</v>
      </c>
    </row>
    <row r="2284" spans="1:29" ht="25.5" customHeight="1" x14ac:dyDescent="0.35">
      <c r="A2284" s="392"/>
      <c r="B2284" s="393"/>
      <c r="C2284" s="99" t="str">
        <f>IF(B2284="","",IF(NOT(ISNUMBER(B2284)),"DATA_PC invalida",IF(NOT(ISNUMBER(parametros!$C$2)),"Fora dos ciclos",IF(OR(B2284&lt;parametros!$C$2,(YEAR(B2284)-YEAR(parametros!$C$2))*12+MONTH(B2284)-MONTH(parametros!$C$2)&gt;59),"Fora dos ciclos","C"&amp;INT(((YEAR(B2284)-YEAR(parametros!$C$2))*12+MONTH(B2284)-MONTH(parametros!$C$2))/12)))))</f>
        <v/>
      </c>
      <c r="D2284" s="394"/>
      <c r="E2284" s="78" t="str">
        <f>IF(C2284="","",IFERROR(VLOOKUP(C2284,parametros!$A$11:$E$15,5,0),""))</f>
        <v/>
      </c>
      <c r="F2284" s="79" t="str">
        <f t="shared" si="177"/>
        <v/>
      </c>
      <c r="G2284" s="395"/>
      <c r="H2284" s="91">
        <f t="shared" si="178"/>
        <v>0</v>
      </c>
      <c r="I2284" s="91" t="str">
        <f t="shared" si="179"/>
        <v/>
      </c>
      <c r="J2284" s="91" t="str">
        <f t="shared" si="180"/>
        <v/>
      </c>
      <c r="K2284" s="92" t="str">
        <f>IF(AND(A2284="",B2284="",D2284="",G2284=""),"",IF(AND(A2284&lt;&gt;"",COUNTIF($A$2:$A$5001,A2284)&gt;1),"NUMERO_PC duplicado",IF(B2284="","DATA_PC vazia",IF(NOT(ISNUMBER(B2284)),"DATA_PC invalida",IF(OR(C2284="",C2284="Fora dos ciclos"),"CICLO_PC nao identificado",IF(OR(D2284="",D2284=0),"VALOR_PC vazio ou zero",IF(AND(G2284&lt;&gt;"Sim",G2284&lt;&gt;"Nao",G2284&lt;&gt;""),"PC_PAGO_A_CONTRATADA invalido",IF(AND(C2284&lt;&gt;"C0",IFERROR(INDEX(parametros!$A$2:$A$6,MATCH(C2284,parametros!$B$2:$B$6,0)),"")="Sim",IFERROR(INDEX(parametros!$H$2:$H$6,MATCH(C2284,parametros!$B$2:$B$6,0)),"")=""),"INICIO_EFEITO ausente: PC "&amp;A2284&amp;" - "&amp;C2284,IF(L2284="","EFEITO_PC nao calculado: PC "&amp;A2284&amp;" - "&amp;C2284,"OK")))))))))</f>
        <v/>
      </c>
      <c r="L2284" s="92" t="str">
        <f>IF(AND(A2284="",B2284="",D2284="",G2284=""),"",IF(OR(B2284="",NOT(ISNUMBER(B2284)),C2284="",C2284="Fora dos ciclos"),"",IF(C2284="C0","Nao",IF(IFERROR(INDEX(parametros!$A$2:$A$6,MATCH(C2284,parametros!$B$2:$B$6,0)),"")&lt;&gt;"Sim","Nao",IF(IFERROR(INDEX(parametros!$H$2:$H$6,MATCH(C2284,parametros!$B$2:$B$6,0)),"")="","",IF(B2284&gt;=IFERROR(INDEX(parametros!$H$2:$H$6,MATCH(C2284,parametros!$B$2:$B$6,0)),""),"Sim","Nao"))))))</f>
        <v/>
      </c>
      <c r="T2284" s="156"/>
      <c r="U2284" s="214" t="str">
        <f t="shared" si="181"/>
        <v/>
      </c>
      <c r="V2284" s="212" t="s">
        <v>50</v>
      </c>
      <c r="W2284" s="100" t="s">
        <v>168</v>
      </c>
      <c r="X2284" s="100" t="s">
        <v>169</v>
      </c>
      <c r="Y2284" s="101" t="s">
        <v>170</v>
      </c>
      <c r="Z2284" s="101" t="s">
        <v>171</v>
      </c>
      <c r="AA2284" s="101" t="s">
        <v>50</v>
      </c>
      <c r="AB2284" s="101" t="s">
        <v>172</v>
      </c>
      <c r="AC2284" s="102" t="s">
        <v>173</v>
      </c>
    </row>
    <row r="2285" spans="1:29" ht="25.5" customHeight="1" x14ac:dyDescent="0.35">
      <c r="A2285" s="392"/>
      <c r="B2285" s="393"/>
      <c r="C2285" s="99" t="str">
        <f>IF(B2285="","",IF(NOT(ISNUMBER(B2285)),"DATA_PC invalida",IF(NOT(ISNUMBER(parametros!$C$2)),"Fora dos ciclos",IF(OR(B2285&lt;parametros!$C$2,(YEAR(B2285)-YEAR(parametros!$C$2))*12+MONTH(B2285)-MONTH(parametros!$C$2)&gt;59),"Fora dos ciclos","C"&amp;INT(((YEAR(B2285)-YEAR(parametros!$C$2))*12+MONTH(B2285)-MONTH(parametros!$C$2))/12)))))</f>
        <v/>
      </c>
      <c r="D2285" s="394"/>
      <c r="E2285" s="78" t="str">
        <f>IF(C2285="","",IFERROR(VLOOKUP(C2285,parametros!$A$11:$E$15,5,0),""))</f>
        <v/>
      </c>
      <c r="F2285" s="79" t="str">
        <f t="shared" si="177"/>
        <v/>
      </c>
      <c r="G2285" s="395"/>
      <c r="H2285" s="91">
        <f t="shared" si="178"/>
        <v>0</v>
      </c>
      <c r="I2285" s="91" t="str">
        <f t="shared" si="179"/>
        <v/>
      </c>
      <c r="J2285" s="91" t="str">
        <f t="shared" si="180"/>
        <v/>
      </c>
      <c r="K2285" s="92" t="str">
        <f>IF(AND(A2285="",B2285="",D2285="",G2285=""),"",IF(AND(A2285&lt;&gt;"",COUNTIF($A$2:$A$5001,A2285)&gt;1),"NUMERO_PC duplicado",IF(B2285="","DATA_PC vazia",IF(NOT(ISNUMBER(B2285)),"DATA_PC invalida",IF(OR(C2285="",C2285="Fora dos ciclos"),"CICLO_PC nao identificado",IF(OR(D2285="",D2285=0),"VALOR_PC vazio ou zero",IF(AND(G2285&lt;&gt;"Sim",G2285&lt;&gt;"Nao",G2285&lt;&gt;""),"PC_PAGO_A_CONTRATADA invalido",IF(AND(C2285&lt;&gt;"C0",IFERROR(INDEX(parametros!$A$2:$A$6,MATCH(C2285,parametros!$B$2:$B$6,0)),"")="Sim",IFERROR(INDEX(parametros!$H$2:$H$6,MATCH(C2285,parametros!$B$2:$B$6,0)),"")=""),"INICIO_EFEITO ausente: PC "&amp;A2285&amp;" - "&amp;C2285,IF(L2285="","EFEITO_PC nao calculado: PC "&amp;A2285&amp;" - "&amp;C2285,"OK")))))))))</f>
        <v/>
      </c>
      <c r="L2285" s="92" t="str">
        <f>IF(AND(A2285="",B2285="",D2285="",G2285=""),"",IF(OR(B2285="",NOT(ISNUMBER(B2285)),C2285="",C2285="Fora dos ciclos"),"",IF(C2285="C0","Nao",IF(IFERROR(INDEX(parametros!$A$2:$A$6,MATCH(C2285,parametros!$B$2:$B$6,0)),"")&lt;&gt;"Sim","Nao",IF(IFERROR(INDEX(parametros!$H$2:$H$6,MATCH(C2285,parametros!$B$2:$B$6,0)),"")="","",IF(B2285&gt;=IFERROR(INDEX(parametros!$H$2:$H$6,MATCH(C2285,parametros!$B$2:$B$6,0)),""),"Sim","Nao"))))))</f>
        <v/>
      </c>
      <c r="T2285" s="156"/>
      <c r="U2285" s="214" t="str">
        <f t="shared" si="181"/>
        <v/>
      </c>
      <c r="V2285" s="212" t="s">
        <v>50</v>
      </c>
      <c r="W2285" s="100" t="s">
        <v>168</v>
      </c>
      <c r="X2285" s="100" t="s">
        <v>169</v>
      </c>
      <c r="Y2285" s="101" t="s">
        <v>170</v>
      </c>
      <c r="Z2285" s="101" t="s">
        <v>171</v>
      </c>
      <c r="AA2285" s="101" t="s">
        <v>50</v>
      </c>
      <c r="AB2285" s="101" t="s">
        <v>172</v>
      </c>
      <c r="AC2285" s="102" t="s">
        <v>173</v>
      </c>
    </row>
    <row r="2286" spans="1:29" ht="25.5" customHeight="1" x14ac:dyDescent="0.35">
      <c r="A2286" s="392"/>
      <c r="B2286" s="393"/>
      <c r="C2286" s="99" t="str">
        <f>IF(B2286="","",IF(NOT(ISNUMBER(B2286)),"DATA_PC invalida",IF(NOT(ISNUMBER(parametros!$C$2)),"Fora dos ciclos",IF(OR(B2286&lt;parametros!$C$2,(YEAR(B2286)-YEAR(parametros!$C$2))*12+MONTH(B2286)-MONTH(parametros!$C$2)&gt;59),"Fora dos ciclos","C"&amp;INT(((YEAR(B2286)-YEAR(parametros!$C$2))*12+MONTH(B2286)-MONTH(parametros!$C$2))/12)))))</f>
        <v/>
      </c>
      <c r="D2286" s="394"/>
      <c r="E2286" s="78" t="str">
        <f>IF(C2286="","",IFERROR(VLOOKUP(C2286,parametros!$A$11:$E$15,5,0),""))</f>
        <v/>
      </c>
      <c r="F2286" s="79" t="str">
        <f t="shared" si="177"/>
        <v/>
      </c>
      <c r="G2286" s="395"/>
      <c r="H2286" s="91">
        <f t="shared" si="178"/>
        <v>0</v>
      </c>
      <c r="I2286" s="91" t="str">
        <f t="shared" si="179"/>
        <v/>
      </c>
      <c r="J2286" s="91" t="str">
        <f t="shared" si="180"/>
        <v/>
      </c>
      <c r="K2286" s="92" t="str">
        <f>IF(AND(A2286="",B2286="",D2286="",G2286=""),"",IF(AND(A2286&lt;&gt;"",COUNTIF($A$2:$A$5001,A2286)&gt;1),"NUMERO_PC duplicado",IF(B2286="","DATA_PC vazia",IF(NOT(ISNUMBER(B2286)),"DATA_PC invalida",IF(OR(C2286="",C2286="Fora dos ciclos"),"CICLO_PC nao identificado",IF(OR(D2286="",D2286=0),"VALOR_PC vazio ou zero",IF(AND(G2286&lt;&gt;"Sim",G2286&lt;&gt;"Nao",G2286&lt;&gt;""),"PC_PAGO_A_CONTRATADA invalido",IF(AND(C2286&lt;&gt;"C0",IFERROR(INDEX(parametros!$A$2:$A$6,MATCH(C2286,parametros!$B$2:$B$6,0)),"")="Sim",IFERROR(INDEX(parametros!$H$2:$H$6,MATCH(C2286,parametros!$B$2:$B$6,0)),"")=""),"INICIO_EFEITO ausente: PC "&amp;A2286&amp;" - "&amp;C2286,IF(L2286="","EFEITO_PC nao calculado: PC "&amp;A2286&amp;" - "&amp;C2286,"OK")))))))))</f>
        <v/>
      </c>
      <c r="L2286" s="92" t="str">
        <f>IF(AND(A2286="",B2286="",D2286="",G2286=""),"",IF(OR(B2286="",NOT(ISNUMBER(B2286)),C2286="",C2286="Fora dos ciclos"),"",IF(C2286="C0","Nao",IF(IFERROR(INDEX(parametros!$A$2:$A$6,MATCH(C2286,parametros!$B$2:$B$6,0)),"")&lt;&gt;"Sim","Nao",IF(IFERROR(INDEX(parametros!$H$2:$H$6,MATCH(C2286,parametros!$B$2:$B$6,0)),"")="","",IF(B2286&gt;=IFERROR(INDEX(parametros!$H$2:$H$6,MATCH(C2286,parametros!$B$2:$B$6,0)),""),"Sim","Nao"))))))</f>
        <v/>
      </c>
      <c r="T2286" s="156"/>
      <c r="U2286" s="214" t="str">
        <f t="shared" si="181"/>
        <v/>
      </c>
      <c r="V2286" s="212" t="s">
        <v>50</v>
      </c>
      <c r="W2286" s="100" t="s">
        <v>168</v>
      </c>
      <c r="X2286" s="100" t="s">
        <v>169</v>
      </c>
      <c r="Y2286" s="101" t="s">
        <v>170</v>
      </c>
      <c r="Z2286" s="101" t="s">
        <v>171</v>
      </c>
      <c r="AA2286" s="101" t="s">
        <v>50</v>
      </c>
      <c r="AB2286" s="101" t="s">
        <v>172</v>
      </c>
      <c r="AC2286" s="102" t="s">
        <v>173</v>
      </c>
    </row>
    <row r="2287" spans="1:29" ht="25.5" customHeight="1" x14ac:dyDescent="0.35">
      <c r="A2287" s="392"/>
      <c r="B2287" s="393"/>
      <c r="C2287" s="99" t="str">
        <f>IF(B2287="","",IF(NOT(ISNUMBER(B2287)),"DATA_PC invalida",IF(NOT(ISNUMBER(parametros!$C$2)),"Fora dos ciclos",IF(OR(B2287&lt;parametros!$C$2,(YEAR(B2287)-YEAR(parametros!$C$2))*12+MONTH(B2287)-MONTH(parametros!$C$2)&gt;59),"Fora dos ciclos","C"&amp;INT(((YEAR(B2287)-YEAR(parametros!$C$2))*12+MONTH(B2287)-MONTH(parametros!$C$2))/12)))))</f>
        <v/>
      </c>
      <c r="D2287" s="394"/>
      <c r="E2287" s="78" t="str">
        <f>IF(C2287="","",IFERROR(VLOOKUP(C2287,parametros!$A$11:$E$15,5,0),""))</f>
        <v/>
      </c>
      <c r="F2287" s="79" t="str">
        <f t="shared" si="177"/>
        <v/>
      </c>
      <c r="G2287" s="395"/>
      <c r="H2287" s="91">
        <f t="shared" si="178"/>
        <v>0</v>
      </c>
      <c r="I2287" s="91" t="str">
        <f t="shared" si="179"/>
        <v/>
      </c>
      <c r="J2287" s="91" t="str">
        <f t="shared" si="180"/>
        <v/>
      </c>
      <c r="K2287" s="92" t="str">
        <f>IF(AND(A2287="",B2287="",D2287="",G2287=""),"",IF(AND(A2287&lt;&gt;"",COUNTIF($A$2:$A$5001,A2287)&gt;1),"NUMERO_PC duplicado",IF(B2287="","DATA_PC vazia",IF(NOT(ISNUMBER(B2287)),"DATA_PC invalida",IF(OR(C2287="",C2287="Fora dos ciclos"),"CICLO_PC nao identificado",IF(OR(D2287="",D2287=0),"VALOR_PC vazio ou zero",IF(AND(G2287&lt;&gt;"Sim",G2287&lt;&gt;"Nao",G2287&lt;&gt;""),"PC_PAGO_A_CONTRATADA invalido",IF(AND(C2287&lt;&gt;"C0",IFERROR(INDEX(parametros!$A$2:$A$6,MATCH(C2287,parametros!$B$2:$B$6,0)),"")="Sim",IFERROR(INDEX(parametros!$H$2:$H$6,MATCH(C2287,parametros!$B$2:$B$6,0)),"")=""),"INICIO_EFEITO ausente: PC "&amp;A2287&amp;" - "&amp;C2287,IF(L2287="","EFEITO_PC nao calculado: PC "&amp;A2287&amp;" - "&amp;C2287,"OK")))))))))</f>
        <v/>
      </c>
      <c r="L2287" s="92" t="str">
        <f>IF(AND(A2287="",B2287="",D2287="",G2287=""),"",IF(OR(B2287="",NOT(ISNUMBER(B2287)),C2287="",C2287="Fora dos ciclos"),"",IF(C2287="C0","Nao",IF(IFERROR(INDEX(parametros!$A$2:$A$6,MATCH(C2287,parametros!$B$2:$B$6,0)),"")&lt;&gt;"Sim","Nao",IF(IFERROR(INDEX(parametros!$H$2:$H$6,MATCH(C2287,parametros!$B$2:$B$6,0)),"")="","",IF(B2287&gt;=IFERROR(INDEX(parametros!$H$2:$H$6,MATCH(C2287,parametros!$B$2:$B$6,0)),""),"Sim","Nao"))))))</f>
        <v/>
      </c>
      <c r="T2287" s="156"/>
      <c r="U2287" s="214" t="str">
        <f t="shared" si="181"/>
        <v/>
      </c>
      <c r="V2287" s="212" t="s">
        <v>50</v>
      </c>
      <c r="W2287" s="100" t="s">
        <v>168</v>
      </c>
      <c r="X2287" s="100" t="s">
        <v>169</v>
      </c>
      <c r="Y2287" s="101" t="s">
        <v>170</v>
      </c>
      <c r="Z2287" s="101" t="s">
        <v>171</v>
      </c>
      <c r="AA2287" s="101" t="s">
        <v>50</v>
      </c>
      <c r="AB2287" s="101" t="s">
        <v>172</v>
      </c>
      <c r="AC2287" s="102" t="s">
        <v>173</v>
      </c>
    </row>
    <row r="2288" spans="1:29" ht="25.5" customHeight="1" x14ac:dyDescent="0.35">
      <c r="A2288" s="392"/>
      <c r="B2288" s="393"/>
      <c r="C2288" s="99" t="str">
        <f>IF(B2288="","",IF(NOT(ISNUMBER(B2288)),"DATA_PC invalida",IF(NOT(ISNUMBER(parametros!$C$2)),"Fora dos ciclos",IF(OR(B2288&lt;parametros!$C$2,(YEAR(B2288)-YEAR(parametros!$C$2))*12+MONTH(B2288)-MONTH(parametros!$C$2)&gt;59),"Fora dos ciclos","C"&amp;INT(((YEAR(B2288)-YEAR(parametros!$C$2))*12+MONTH(B2288)-MONTH(parametros!$C$2))/12)))))</f>
        <v/>
      </c>
      <c r="D2288" s="394"/>
      <c r="E2288" s="78" t="str">
        <f>IF(C2288="","",IFERROR(VLOOKUP(C2288,parametros!$A$11:$E$15,5,0),""))</f>
        <v/>
      </c>
      <c r="F2288" s="79" t="str">
        <f t="shared" si="177"/>
        <v/>
      </c>
      <c r="G2288" s="395"/>
      <c r="H2288" s="91">
        <f t="shared" si="178"/>
        <v>0</v>
      </c>
      <c r="I2288" s="91" t="str">
        <f t="shared" si="179"/>
        <v/>
      </c>
      <c r="J2288" s="91" t="str">
        <f t="shared" si="180"/>
        <v/>
      </c>
      <c r="K2288" s="92" t="str">
        <f>IF(AND(A2288="",B2288="",D2288="",G2288=""),"",IF(AND(A2288&lt;&gt;"",COUNTIF($A$2:$A$5001,A2288)&gt;1),"NUMERO_PC duplicado",IF(B2288="","DATA_PC vazia",IF(NOT(ISNUMBER(B2288)),"DATA_PC invalida",IF(OR(C2288="",C2288="Fora dos ciclos"),"CICLO_PC nao identificado",IF(OR(D2288="",D2288=0),"VALOR_PC vazio ou zero",IF(AND(G2288&lt;&gt;"Sim",G2288&lt;&gt;"Nao",G2288&lt;&gt;""),"PC_PAGO_A_CONTRATADA invalido",IF(AND(C2288&lt;&gt;"C0",IFERROR(INDEX(parametros!$A$2:$A$6,MATCH(C2288,parametros!$B$2:$B$6,0)),"")="Sim",IFERROR(INDEX(parametros!$H$2:$H$6,MATCH(C2288,parametros!$B$2:$B$6,0)),"")=""),"INICIO_EFEITO ausente: PC "&amp;A2288&amp;" - "&amp;C2288,IF(L2288="","EFEITO_PC nao calculado: PC "&amp;A2288&amp;" - "&amp;C2288,"OK")))))))))</f>
        <v/>
      </c>
      <c r="L2288" s="92" t="str">
        <f>IF(AND(A2288="",B2288="",D2288="",G2288=""),"",IF(OR(B2288="",NOT(ISNUMBER(B2288)),C2288="",C2288="Fora dos ciclos"),"",IF(C2288="C0","Nao",IF(IFERROR(INDEX(parametros!$A$2:$A$6,MATCH(C2288,parametros!$B$2:$B$6,0)),"")&lt;&gt;"Sim","Nao",IF(IFERROR(INDEX(parametros!$H$2:$H$6,MATCH(C2288,parametros!$B$2:$B$6,0)),"")="","",IF(B2288&gt;=IFERROR(INDEX(parametros!$H$2:$H$6,MATCH(C2288,parametros!$B$2:$B$6,0)),""),"Sim","Nao"))))))</f>
        <v/>
      </c>
      <c r="T2288" s="156"/>
      <c r="U2288" s="214" t="str">
        <f t="shared" si="181"/>
        <v/>
      </c>
      <c r="V2288" s="212" t="s">
        <v>50</v>
      </c>
      <c r="W2288" s="100" t="s">
        <v>168</v>
      </c>
      <c r="X2288" s="100" t="s">
        <v>169</v>
      </c>
      <c r="Y2288" s="101" t="s">
        <v>170</v>
      </c>
      <c r="Z2288" s="101" t="s">
        <v>171</v>
      </c>
      <c r="AA2288" s="101" t="s">
        <v>50</v>
      </c>
      <c r="AB2288" s="101" t="s">
        <v>172</v>
      </c>
      <c r="AC2288" s="102" t="s">
        <v>173</v>
      </c>
    </row>
    <row r="2289" spans="1:29" ht="25.5" customHeight="1" x14ac:dyDescent="0.35">
      <c r="A2289" s="392"/>
      <c r="B2289" s="393"/>
      <c r="C2289" s="99" t="str">
        <f>IF(B2289="","",IF(NOT(ISNUMBER(B2289)),"DATA_PC invalida",IF(NOT(ISNUMBER(parametros!$C$2)),"Fora dos ciclos",IF(OR(B2289&lt;parametros!$C$2,(YEAR(B2289)-YEAR(parametros!$C$2))*12+MONTH(B2289)-MONTH(parametros!$C$2)&gt;59),"Fora dos ciclos","C"&amp;INT(((YEAR(B2289)-YEAR(parametros!$C$2))*12+MONTH(B2289)-MONTH(parametros!$C$2))/12)))))</f>
        <v/>
      </c>
      <c r="D2289" s="394"/>
      <c r="E2289" s="78" t="str">
        <f>IF(C2289="","",IFERROR(VLOOKUP(C2289,parametros!$A$11:$E$15,5,0),""))</f>
        <v/>
      </c>
      <c r="F2289" s="79" t="str">
        <f t="shared" si="177"/>
        <v/>
      </c>
      <c r="G2289" s="395"/>
      <c r="H2289" s="91">
        <f t="shared" si="178"/>
        <v>0</v>
      </c>
      <c r="I2289" s="91" t="str">
        <f t="shared" si="179"/>
        <v/>
      </c>
      <c r="J2289" s="91" t="str">
        <f t="shared" si="180"/>
        <v/>
      </c>
      <c r="K2289" s="92" t="str">
        <f>IF(AND(A2289="",B2289="",D2289="",G2289=""),"",IF(AND(A2289&lt;&gt;"",COUNTIF($A$2:$A$5001,A2289)&gt;1),"NUMERO_PC duplicado",IF(B2289="","DATA_PC vazia",IF(NOT(ISNUMBER(B2289)),"DATA_PC invalida",IF(OR(C2289="",C2289="Fora dos ciclos"),"CICLO_PC nao identificado",IF(OR(D2289="",D2289=0),"VALOR_PC vazio ou zero",IF(AND(G2289&lt;&gt;"Sim",G2289&lt;&gt;"Nao",G2289&lt;&gt;""),"PC_PAGO_A_CONTRATADA invalido",IF(AND(C2289&lt;&gt;"C0",IFERROR(INDEX(parametros!$A$2:$A$6,MATCH(C2289,parametros!$B$2:$B$6,0)),"")="Sim",IFERROR(INDEX(parametros!$H$2:$H$6,MATCH(C2289,parametros!$B$2:$B$6,0)),"")=""),"INICIO_EFEITO ausente: PC "&amp;A2289&amp;" - "&amp;C2289,IF(L2289="","EFEITO_PC nao calculado: PC "&amp;A2289&amp;" - "&amp;C2289,"OK")))))))))</f>
        <v/>
      </c>
      <c r="L2289" s="92" t="str">
        <f>IF(AND(A2289="",B2289="",D2289="",G2289=""),"",IF(OR(B2289="",NOT(ISNUMBER(B2289)),C2289="",C2289="Fora dos ciclos"),"",IF(C2289="C0","Nao",IF(IFERROR(INDEX(parametros!$A$2:$A$6,MATCH(C2289,parametros!$B$2:$B$6,0)),"")&lt;&gt;"Sim","Nao",IF(IFERROR(INDEX(parametros!$H$2:$H$6,MATCH(C2289,parametros!$B$2:$B$6,0)),"")="","",IF(B2289&gt;=IFERROR(INDEX(parametros!$H$2:$H$6,MATCH(C2289,parametros!$B$2:$B$6,0)),""),"Sim","Nao"))))))</f>
        <v/>
      </c>
      <c r="T2289" s="156"/>
      <c r="U2289" s="214" t="str">
        <f t="shared" si="181"/>
        <v/>
      </c>
      <c r="V2289" s="212" t="s">
        <v>50</v>
      </c>
      <c r="W2289" s="100" t="s">
        <v>168</v>
      </c>
      <c r="X2289" s="100" t="s">
        <v>169</v>
      </c>
      <c r="Y2289" s="101" t="s">
        <v>170</v>
      </c>
      <c r="Z2289" s="101" t="s">
        <v>171</v>
      </c>
      <c r="AA2289" s="101" t="s">
        <v>50</v>
      </c>
      <c r="AB2289" s="101" t="s">
        <v>172</v>
      </c>
      <c r="AC2289" s="102" t="s">
        <v>173</v>
      </c>
    </row>
    <row r="2290" spans="1:29" ht="25.5" customHeight="1" x14ac:dyDescent="0.35">
      <c r="A2290" s="392"/>
      <c r="B2290" s="393"/>
      <c r="C2290" s="99" t="str">
        <f>IF(B2290="","",IF(NOT(ISNUMBER(B2290)),"DATA_PC invalida",IF(NOT(ISNUMBER(parametros!$C$2)),"Fora dos ciclos",IF(OR(B2290&lt;parametros!$C$2,(YEAR(B2290)-YEAR(parametros!$C$2))*12+MONTH(B2290)-MONTH(parametros!$C$2)&gt;59),"Fora dos ciclos","C"&amp;INT(((YEAR(B2290)-YEAR(parametros!$C$2))*12+MONTH(B2290)-MONTH(parametros!$C$2))/12)))))</f>
        <v/>
      </c>
      <c r="D2290" s="394"/>
      <c r="E2290" s="78" t="str">
        <f>IF(C2290="","",IFERROR(VLOOKUP(C2290,parametros!$A$11:$E$15,5,0),""))</f>
        <v/>
      </c>
      <c r="F2290" s="79" t="str">
        <f t="shared" si="177"/>
        <v/>
      </c>
      <c r="G2290" s="395"/>
      <c r="H2290" s="91">
        <f t="shared" si="178"/>
        <v>0</v>
      </c>
      <c r="I2290" s="91" t="str">
        <f t="shared" si="179"/>
        <v/>
      </c>
      <c r="J2290" s="91" t="str">
        <f t="shared" si="180"/>
        <v/>
      </c>
      <c r="K2290" s="92" t="str">
        <f>IF(AND(A2290="",B2290="",D2290="",G2290=""),"",IF(AND(A2290&lt;&gt;"",COUNTIF($A$2:$A$5001,A2290)&gt;1),"NUMERO_PC duplicado",IF(B2290="","DATA_PC vazia",IF(NOT(ISNUMBER(B2290)),"DATA_PC invalida",IF(OR(C2290="",C2290="Fora dos ciclos"),"CICLO_PC nao identificado",IF(OR(D2290="",D2290=0),"VALOR_PC vazio ou zero",IF(AND(G2290&lt;&gt;"Sim",G2290&lt;&gt;"Nao",G2290&lt;&gt;""),"PC_PAGO_A_CONTRATADA invalido",IF(AND(C2290&lt;&gt;"C0",IFERROR(INDEX(parametros!$A$2:$A$6,MATCH(C2290,parametros!$B$2:$B$6,0)),"")="Sim",IFERROR(INDEX(parametros!$H$2:$H$6,MATCH(C2290,parametros!$B$2:$B$6,0)),"")=""),"INICIO_EFEITO ausente: PC "&amp;A2290&amp;" - "&amp;C2290,IF(L2290="","EFEITO_PC nao calculado: PC "&amp;A2290&amp;" - "&amp;C2290,"OK")))))))))</f>
        <v/>
      </c>
      <c r="L2290" s="92" t="str">
        <f>IF(AND(A2290="",B2290="",D2290="",G2290=""),"",IF(OR(B2290="",NOT(ISNUMBER(B2290)),C2290="",C2290="Fora dos ciclos"),"",IF(C2290="C0","Nao",IF(IFERROR(INDEX(parametros!$A$2:$A$6,MATCH(C2290,parametros!$B$2:$B$6,0)),"")&lt;&gt;"Sim","Nao",IF(IFERROR(INDEX(parametros!$H$2:$H$6,MATCH(C2290,parametros!$B$2:$B$6,0)),"")="","",IF(B2290&gt;=IFERROR(INDEX(parametros!$H$2:$H$6,MATCH(C2290,parametros!$B$2:$B$6,0)),""),"Sim","Nao"))))))</f>
        <v/>
      </c>
      <c r="T2290" s="156"/>
      <c r="U2290" s="214" t="str">
        <f t="shared" si="181"/>
        <v/>
      </c>
      <c r="V2290" s="212" t="s">
        <v>50</v>
      </c>
      <c r="W2290" s="100" t="s">
        <v>168</v>
      </c>
      <c r="X2290" s="100" t="s">
        <v>169</v>
      </c>
      <c r="Y2290" s="101" t="s">
        <v>170</v>
      </c>
      <c r="Z2290" s="101" t="s">
        <v>171</v>
      </c>
      <c r="AA2290" s="101" t="s">
        <v>50</v>
      </c>
      <c r="AB2290" s="101" t="s">
        <v>172</v>
      </c>
      <c r="AC2290" s="102" t="s">
        <v>173</v>
      </c>
    </row>
    <row r="2291" spans="1:29" ht="25.5" customHeight="1" x14ac:dyDescent="0.35">
      <c r="A2291" s="392"/>
      <c r="B2291" s="393"/>
      <c r="C2291" s="99" t="str">
        <f>IF(B2291="","",IF(NOT(ISNUMBER(B2291)),"DATA_PC invalida",IF(NOT(ISNUMBER(parametros!$C$2)),"Fora dos ciclos",IF(OR(B2291&lt;parametros!$C$2,(YEAR(B2291)-YEAR(parametros!$C$2))*12+MONTH(B2291)-MONTH(parametros!$C$2)&gt;59),"Fora dos ciclos","C"&amp;INT(((YEAR(B2291)-YEAR(parametros!$C$2))*12+MONTH(B2291)-MONTH(parametros!$C$2))/12)))))</f>
        <v/>
      </c>
      <c r="D2291" s="394"/>
      <c r="E2291" s="78" t="str">
        <f>IF(C2291="","",IFERROR(VLOOKUP(C2291,parametros!$A$11:$E$15,5,0),""))</f>
        <v/>
      </c>
      <c r="F2291" s="79" t="str">
        <f t="shared" si="177"/>
        <v/>
      </c>
      <c r="G2291" s="395"/>
      <c r="H2291" s="91">
        <f t="shared" si="178"/>
        <v>0</v>
      </c>
      <c r="I2291" s="91" t="str">
        <f t="shared" si="179"/>
        <v/>
      </c>
      <c r="J2291" s="91" t="str">
        <f t="shared" si="180"/>
        <v/>
      </c>
      <c r="K2291" s="92" t="str">
        <f>IF(AND(A2291="",B2291="",D2291="",G2291=""),"",IF(AND(A2291&lt;&gt;"",COUNTIF($A$2:$A$5001,A2291)&gt;1),"NUMERO_PC duplicado",IF(B2291="","DATA_PC vazia",IF(NOT(ISNUMBER(B2291)),"DATA_PC invalida",IF(OR(C2291="",C2291="Fora dos ciclos"),"CICLO_PC nao identificado",IF(OR(D2291="",D2291=0),"VALOR_PC vazio ou zero",IF(AND(G2291&lt;&gt;"Sim",G2291&lt;&gt;"Nao",G2291&lt;&gt;""),"PC_PAGO_A_CONTRATADA invalido",IF(AND(C2291&lt;&gt;"C0",IFERROR(INDEX(parametros!$A$2:$A$6,MATCH(C2291,parametros!$B$2:$B$6,0)),"")="Sim",IFERROR(INDEX(parametros!$H$2:$H$6,MATCH(C2291,parametros!$B$2:$B$6,0)),"")=""),"INICIO_EFEITO ausente: PC "&amp;A2291&amp;" - "&amp;C2291,IF(L2291="","EFEITO_PC nao calculado: PC "&amp;A2291&amp;" - "&amp;C2291,"OK")))))))))</f>
        <v/>
      </c>
      <c r="L2291" s="92" t="str">
        <f>IF(AND(A2291="",B2291="",D2291="",G2291=""),"",IF(OR(B2291="",NOT(ISNUMBER(B2291)),C2291="",C2291="Fora dos ciclos"),"",IF(C2291="C0","Nao",IF(IFERROR(INDEX(parametros!$A$2:$A$6,MATCH(C2291,parametros!$B$2:$B$6,0)),"")&lt;&gt;"Sim","Nao",IF(IFERROR(INDEX(parametros!$H$2:$H$6,MATCH(C2291,parametros!$B$2:$B$6,0)),"")="","",IF(B2291&gt;=IFERROR(INDEX(parametros!$H$2:$H$6,MATCH(C2291,parametros!$B$2:$B$6,0)),""),"Sim","Nao"))))))</f>
        <v/>
      </c>
      <c r="T2291" s="156"/>
      <c r="U2291" s="214" t="str">
        <f t="shared" si="181"/>
        <v/>
      </c>
      <c r="V2291" s="212" t="s">
        <v>50</v>
      </c>
      <c r="W2291" s="100" t="s">
        <v>168</v>
      </c>
      <c r="X2291" s="100" t="s">
        <v>169</v>
      </c>
      <c r="Y2291" s="101" t="s">
        <v>170</v>
      </c>
      <c r="Z2291" s="101" t="s">
        <v>171</v>
      </c>
      <c r="AA2291" s="101" t="s">
        <v>50</v>
      </c>
      <c r="AB2291" s="101" t="s">
        <v>172</v>
      </c>
      <c r="AC2291" s="102" t="s">
        <v>173</v>
      </c>
    </row>
    <row r="2292" spans="1:29" ht="25.5" customHeight="1" x14ac:dyDescent="0.35">
      <c r="A2292" s="392"/>
      <c r="B2292" s="393"/>
      <c r="C2292" s="99" t="str">
        <f>IF(B2292="","",IF(NOT(ISNUMBER(B2292)),"DATA_PC invalida",IF(NOT(ISNUMBER(parametros!$C$2)),"Fora dos ciclos",IF(OR(B2292&lt;parametros!$C$2,(YEAR(B2292)-YEAR(parametros!$C$2))*12+MONTH(B2292)-MONTH(parametros!$C$2)&gt;59),"Fora dos ciclos","C"&amp;INT(((YEAR(B2292)-YEAR(parametros!$C$2))*12+MONTH(B2292)-MONTH(parametros!$C$2))/12)))))</f>
        <v/>
      </c>
      <c r="D2292" s="394"/>
      <c r="E2292" s="78" t="str">
        <f>IF(C2292="","",IFERROR(VLOOKUP(C2292,parametros!$A$11:$E$15,5,0),""))</f>
        <v/>
      </c>
      <c r="F2292" s="79" t="str">
        <f t="shared" si="177"/>
        <v/>
      </c>
      <c r="G2292" s="395"/>
      <c r="H2292" s="91">
        <f t="shared" si="178"/>
        <v>0</v>
      </c>
      <c r="I2292" s="91" t="str">
        <f t="shared" si="179"/>
        <v/>
      </c>
      <c r="J2292" s="91" t="str">
        <f t="shared" si="180"/>
        <v/>
      </c>
      <c r="K2292" s="92" t="str">
        <f>IF(AND(A2292="",B2292="",D2292="",G2292=""),"",IF(AND(A2292&lt;&gt;"",COUNTIF($A$2:$A$5001,A2292)&gt;1),"NUMERO_PC duplicado",IF(B2292="","DATA_PC vazia",IF(NOT(ISNUMBER(B2292)),"DATA_PC invalida",IF(OR(C2292="",C2292="Fora dos ciclos"),"CICLO_PC nao identificado",IF(OR(D2292="",D2292=0),"VALOR_PC vazio ou zero",IF(AND(G2292&lt;&gt;"Sim",G2292&lt;&gt;"Nao",G2292&lt;&gt;""),"PC_PAGO_A_CONTRATADA invalido",IF(AND(C2292&lt;&gt;"C0",IFERROR(INDEX(parametros!$A$2:$A$6,MATCH(C2292,parametros!$B$2:$B$6,0)),"")="Sim",IFERROR(INDEX(parametros!$H$2:$H$6,MATCH(C2292,parametros!$B$2:$B$6,0)),"")=""),"INICIO_EFEITO ausente: PC "&amp;A2292&amp;" - "&amp;C2292,IF(L2292="","EFEITO_PC nao calculado: PC "&amp;A2292&amp;" - "&amp;C2292,"OK")))))))))</f>
        <v/>
      </c>
      <c r="L2292" s="92" t="str">
        <f>IF(AND(A2292="",B2292="",D2292="",G2292=""),"",IF(OR(B2292="",NOT(ISNUMBER(B2292)),C2292="",C2292="Fora dos ciclos"),"",IF(C2292="C0","Nao",IF(IFERROR(INDEX(parametros!$A$2:$A$6,MATCH(C2292,parametros!$B$2:$B$6,0)),"")&lt;&gt;"Sim","Nao",IF(IFERROR(INDEX(parametros!$H$2:$H$6,MATCH(C2292,parametros!$B$2:$B$6,0)),"")="","",IF(B2292&gt;=IFERROR(INDEX(parametros!$H$2:$H$6,MATCH(C2292,parametros!$B$2:$B$6,0)),""),"Sim","Nao"))))))</f>
        <v/>
      </c>
      <c r="T2292" s="156"/>
      <c r="U2292" s="214" t="str">
        <f t="shared" si="181"/>
        <v/>
      </c>
      <c r="V2292" s="212" t="s">
        <v>50</v>
      </c>
      <c r="W2292" s="100" t="s">
        <v>168</v>
      </c>
      <c r="X2292" s="100" t="s">
        <v>169</v>
      </c>
      <c r="Y2292" s="101" t="s">
        <v>170</v>
      </c>
      <c r="Z2292" s="101" t="s">
        <v>171</v>
      </c>
      <c r="AA2292" s="101" t="s">
        <v>50</v>
      </c>
      <c r="AB2292" s="101" t="s">
        <v>172</v>
      </c>
      <c r="AC2292" s="102" t="s">
        <v>173</v>
      </c>
    </row>
    <row r="2293" spans="1:29" ht="25.5" customHeight="1" x14ac:dyDescent="0.35">
      <c r="A2293" s="392"/>
      <c r="B2293" s="393"/>
      <c r="C2293" s="99" t="str">
        <f>IF(B2293="","",IF(NOT(ISNUMBER(B2293)),"DATA_PC invalida",IF(NOT(ISNUMBER(parametros!$C$2)),"Fora dos ciclos",IF(OR(B2293&lt;parametros!$C$2,(YEAR(B2293)-YEAR(parametros!$C$2))*12+MONTH(B2293)-MONTH(parametros!$C$2)&gt;59),"Fora dos ciclos","C"&amp;INT(((YEAR(B2293)-YEAR(parametros!$C$2))*12+MONTH(B2293)-MONTH(parametros!$C$2))/12)))))</f>
        <v/>
      </c>
      <c r="D2293" s="394"/>
      <c r="E2293" s="78" t="str">
        <f>IF(C2293="","",IFERROR(VLOOKUP(C2293,parametros!$A$11:$E$15,5,0),""))</f>
        <v/>
      </c>
      <c r="F2293" s="79" t="str">
        <f t="shared" si="177"/>
        <v/>
      </c>
      <c r="G2293" s="395"/>
      <c r="H2293" s="91">
        <f t="shared" si="178"/>
        <v>0</v>
      </c>
      <c r="I2293" s="91" t="str">
        <f t="shared" si="179"/>
        <v/>
      </c>
      <c r="J2293" s="91" t="str">
        <f t="shared" si="180"/>
        <v/>
      </c>
      <c r="K2293" s="92" t="str">
        <f>IF(AND(A2293="",B2293="",D2293="",G2293=""),"",IF(AND(A2293&lt;&gt;"",COUNTIF($A$2:$A$5001,A2293)&gt;1),"NUMERO_PC duplicado",IF(B2293="","DATA_PC vazia",IF(NOT(ISNUMBER(B2293)),"DATA_PC invalida",IF(OR(C2293="",C2293="Fora dos ciclos"),"CICLO_PC nao identificado",IF(OR(D2293="",D2293=0),"VALOR_PC vazio ou zero",IF(AND(G2293&lt;&gt;"Sim",G2293&lt;&gt;"Nao",G2293&lt;&gt;""),"PC_PAGO_A_CONTRATADA invalido",IF(AND(C2293&lt;&gt;"C0",IFERROR(INDEX(parametros!$A$2:$A$6,MATCH(C2293,parametros!$B$2:$B$6,0)),"")="Sim",IFERROR(INDEX(parametros!$H$2:$H$6,MATCH(C2293,parametros!$B$2:$B$6,0)),"")=""),"INICIO_EFEITO ausente: PC "&amp;A2293&amp;" - "&amp;C2293,IF(L2293="","EFEITO_PC nao calculado: PC "&amp;A2293&amp;" - "&amp;C2293,"OK")))))))))</f>
        <v/>
      </c>
      <c r="L2293" s="92" t="str">
        <f>IF(AND(A2293="",B2293="",D2293="",G2293=""),"",IF(OR(B2293="",NOT(ISNUMBER(B2293)),C2293="",C2293="Fora dos ciclos"),"",IF(C2293="C0","Nao",IF(IFERROR(INDEX(parametros!$A$2:$A$6,MATCH(C2293,parametros!$B$2:$B$6,0)),"")&lt;&gt;"Sim","Nao",IF(IFERROR(INDEX(parametros!$H$2:$H$6,MATCH(C2293,parametros!$B$2:$B$6,0)),"")="","",IF(B2293&gt;=IFERROR(INDEX(parametros!$H$2:$H$6,MATCH(C2293,parametros!$B$2:$B$6,0)),""),"Sim","Nao"))))))</f>
        <v/>
      </c>
      <c r="T2293" s="156"/>
      <c r="U2293" s="214" t="str">
        <f t="shared" si="181"/>
        <v/>
      </c>
      <c r="V2293" s="212" t="s">
        <v>50</v>
      </c>
      <c r="W2293" s="100" t="s">
        <v>168</v>
      </c>
      <c r="X2293" s="100" t="s">
        <v>169</v>
      </c>
      <c r="Y2293" s="101" t="s">
        <v>170</v>
      </c>
      <c r="Z2293" s="101" t="s">
        <v>171</v>
      </c>
      <c r="AA2293" s="101" t="s">
        <v>50</v>
      </c>
      <c r="AB2293" s="101" t="s">
        <v>172</v>
      </c>
      <c r="AC2293" s="102" t="s">
        <v>173</v>
      </c>
    </row>
    <row r="2294" spans="1:29" ht="25.5" customHeight="1" x14ac:dyDescent="0.35">
      <c r="A2294" s="392"/>
      <c r="B2294" s="393"/>
      <c r="C2294" s="99" t="str">
        <f>IF(B2294="","",IF(NOT(ISNUMBER(B2294)),"DATA_PC invalida",IF(NOT(ISNUMBER(parametros!$C$2)),"Fora dos ciclos",IF(OR(B2294&lt;parametros!$C$2,(YEAR(B2294)-YEAR(parametros!$C$2))*12+MONTH(B2294)-MONTH(parametros!$C$2)&gt;59),"Fora dos ciclos","C"&amp;INT(((YEAR(B2294)-YEAR(parametros!$C$2))*12+MONTH(B2294)-MONTH(parametros!$C$2))/12)))))</f>
        <v/>
      </c>
      <c r="D2294" s="394"/>
      <c r="E2294" s="78" t="str">
        <f>IF(C2294="","",IFERROR(VLOOKUP(C2294,parametros!$A$11:$E$15,5,0),""))</f>
        <v/>
      </c>
      <c r="F2294" s="79" t="str">
        <f t="shared" si="177"/>
        <v/>
      </c>
      <c r="G2294" s="395"/>
      <c r="H2294" s="91">
        <f t="shared" si="178"/>
        <v>0</v>
      </c>
      <c r="I2294" s="91" t="str">
        <f t="shared" si="179"/>
        <v/>
      </c>
      <c r="J2294" s="91" t="str">
        <f t="shared" si="180"/>
        <v/>
      </c>
      <c r="K2294" s="92" t="str">
        <f>IF(AND(A2294="",B2294="",D2294="",G2294=""),"",IF(AND(A2294&lt;&gt;"",COUNTIF($A$2:$A$5001,A2294)&gt;1),"NUMERO_PC duplicado",IF(B2294="","DATA_PC vazia",IF(NOT(ISNUMBER(B2294)),"DATA_PC invalida",IF(OR(C2294="",C2294="Fora dos ciclos"),"CICLO_PC nao identificado",IF(OR(D2294="",D2294=0),"VALOR_PC vazio ou zero",IF(AND(G2294&lt;&gt;"Sim",G2294&lt;&gt;"Nao",G2294&lt;&gt;""),"PC_PAGO_A_CONTRATADA invalido",IF(AND(C2294&lt;&gt;"C0",IFERROR(INDEX(parametros!$A$2:$A$6,MATCH(C2294,parametros!$B$2:$B$6,0)),"")="Sim",IFERROR(INDEX(parametros!$H$2:$H$6,MATCH(C2294,parametros!$B$2:$B$6,0)),"")=""),"INICIO_EFEITO ausente: PC "&amp;A2294&amp;" - "&amp;C2294,IF(L2294="","EFEITO_PC nao calculado: PC "&amp;A2294&amp;" - "&amp;C2294,"OK")))))))))</f>
        <v/>
      </c>
      <c r="L2294" s="92" t="str">
        <f>IF(AND(A2294="",B2294="",D2294="",G2294=""),"",IF(OR(B2294="",NOT(ISNUMBER(B2294)),C2294="",C2294="Fora dos ciclos"),"",IF(C2294="C0","Nao",IF(IFERROR(INDEX(parametros!$A$2:$A$6,MATCH(C2294,parametros!$B$2:$B$6,0)),"")&lt;&gt;"Sim","Nao",IF(IFERROR(INDEX(parametros!$H$2:$H$6,MATCH(C2294,parametros!$B$2:$B$6,0)),"")="","",IF(B2294&gt;=IFERROR(INDEX(parametros!$H$2:$H$6,MATCH(C2294,parametros!$B$2:$B$6,0)),""),"Sim","Nao"))))))</f>
        <v/>
      </c>
      <c r="T2294" s="156"/>
      <c r="U2294" s="214" t="str">
        <f t="shared" si="181"/>
        <v/>
      </c>
      <c r="V2294" s="212" t="s">
        <v>50</v>
      </c>
      <c r="W2294" s="100" t="s">
        <v>168</v>
      </c>
      <c r="X2294" s="100" t="s">
        <v>169</v>
      </c>
      <c r="Y2294" s="101" t="s">
        <v>170</v>
      </c>
      <c r="Z2294" s="101" t="s">
        <v>171</v>
      </c>
      <c r="AA2294" s="101" t="s">
        <v>50</v>
      </c>
      <c r="AB2294" s="101" t="s">
        <v>172</v>
      </c>
      <c r="AC2294" s="102" t="s">
        <v>173</v>
      </c>
    </row>
    <row r="2295" spans="1:29" ht="25.5" customHeight="1" x14ac:dyDescent="0.35">
      <c r="A2295" s="392"/>
      <c r="B2295" s="393"/>
      <c r="C2295" s="99" t="str">
        <f>IF(B2295="","",IF(NOT(ISNUMBER(B2295)),"DATA_PC invalida",IF(NOT(ISNUMBER(parametros!$C$2)),"Fora dos ciclos",IF(OR(B2295&lt;parametros!$C$2,(YEAR(B2295)-YEAR(parametros!$C$2))*12+MONTH(B2295)-MONTH(parametros!$C$2)&gt;59),"Fora dos ciclos","C"&amp;INT(((YEAR(B2295)-YEAR(parametros!$C$2))*12+MONTH(B2295)-MONTH(parametros!$C$2))/12)))))</f>
        <v/>
      </c>
      <c r="D2295" s="394"/>
      <c r="E2295" s="78" t="str">
        <f>IF(C2295="","",IFERROR(VLOOKUP(C2295,parametros!$A$11:$E$15,5,0),""))</f>
        <v/>
      </c>
      <c r="F2295" s="79" t="str">
        <f t="shared" si="177"/>
        <v/>
      </c>
      <c r="G2295" s="395"/>
      <c r="H2295" s="91">
        <f t="shared" si="178"/>
        <v>0</v>
      </c>
      <c r="I2295" s="91" t="str">
        <f t="shared" si="179"/>
        <v/>
      </c>
      <c r="J2295" s="91" t="str">
        <f t="shared" si="180"/>
        <v/>
      </c>
      <c r="K2295" s="92" t="str">
        <f>IF(AND(A2295="",B2295="",D2295="",G2295=""),"",IF(AND(A2295&lt;&gt;"",COUNTIF($A$2:$A$5001,A2295)&gt;1),"NUMERO_PC duplicado",IF(B2295="","DATA_PC vazia",IF(NOT(ISNUMBER(B2295)),"DATA_PC invalida",IF(OR(C2295="",C2295="Fora dos ciclos"),"CICLO_PC nao identificado",IF(OR(D2295="",D2295=0),"VALOR_PC vazio ou zero",IF(AND(G2295&lt;&gt;"Sim",G2295&lt;&gt;"Nao",G2295&lt;&gt;""),"PC_PAGO_A_CONTRATADA invalido",IF(AND(C2295&lt;&gt;"C0",IFERROR(INDEX(parametros!$A$2:$A$6,MATCH(C2295,parametros!$B$2:$B$6,0)),"")="Sim",IFERROR(INDEX(parametros!$H$2:$H$6,MATCH(C2295,parametros!$B$2:$B$6,0)),"")=""),"INICIO_EFEITO ausente: PC "&amp;A2295&amp;" - "&amp;C2295,IF(L2295="","EFEITO_PC nao calculado: PC "&amp;A2295&amp;" - "&amp;C2295,"OK")))))))))</f>
        <v/>
      </c>
      <c r="L2295" s="92" t="str">
        <f>IF(AND(A2295="",B2295="",D2295="",G2295=""),"",IF(OR(B2295="",NOT(ISNUMBER(B2295)),C2295="",C2295="Fora dos ciclos"),"",IF(C2295="C0","Nao",IF(IFERROR(INDEX(parametros!$A$2:$A$6,MATCH(C2295,parametros!$B$2:$B$6,0)),"")&lt;&gt;"Sim","Nao",IF(IFERROR(INDEX(parametros!$H$2:$H$6,MATCH(C2295,parametros!$B$2:$B$6,0)),"")="","",IF(B2295&gt;=IFERROR(INDEX(parametros!$H$2:$H$6,MATCH(C2295,parametros!$B$2:$B$6,0)),""),"Sim","Nao"))))))</f>
        <v/>
      </c>
      <c r="T2295" s="156"/>
      <c r="U2295" s="214" t="str">
        <f t="shared" si="181"/>
        <v/>
      </c>
      <c r="V2295" s="212" t="s">
        <v>50</v>
      </c>
      <c r="W2295" s="100" t="s">
        <v>168</v>
      </c>
      <c r="X2295" s="100" t="s">
        <v>169</v>
      </c>
      <c r="Y2295" s="101" t="s">
        <v>170</v>
      </c>
      <c r="Z2295" s="101" t="s">
        <v>171</v>
      </c>
      <c r="AA2295" s="101" t="s">
        <v>50</v>
      </c>
      <c r="AB2295" s="101" t="s">
        <v>172</v>
      </c>
      <c r="AC2295" s="102" t="s">
        <v>173</v>
      </c>
    </row>
    <row r="2296" spans="1:29" ht="25.5" customHeight="1" x14ac:dyDescent="0.35">
      <c r="A2296" s="392"/>
      <c r="B2296" s="393"/>
      <c r="C2296" s="99" t="str">
        <f>IF(B2296="","",IF(NOT(ISNUMBER(B2296)),"DATA_PC invalida",IF(NOT(ISNUMBER(parametros!$C$2)),"Fora dos ciclos",IF(OR(B2296&lt;parametros!$C$2,(YEAR(B2296)-YEAR(parametros!$C$2))*12+MONTH(B2296)-MONTH(parametros!$C$2)&gt;59),"Fora dos ciclos","C"&amp;INT(((YEAR(B2296)-YEAR(parametros!$C$2))*12+MONTH(B2296)-MONTH(parametros!$C$2))/12)))))</f>
        <v/>
      </c>
      <c r="D2296" s="394"/>
      <c r="E2296" s="78" t="str">
        <f>IF(C2296="","",IFERROR(VLOOKUP(C2296,parametros!$A$11:$E$15,5,0),""))</f>
        <v/>
      </c>
      <c r="F2296" s="79" t="str">
        <f t="shared" si="177"/>
        <v/>
      </c>
      <c r="G2296" s="395"/>
      <c r="H2296" s="91">
        <f t="shared" si="178"/>
        <v>0</v>
      </c>
      <c r="I2296" s="91" t="str">
        <f t="shared" si="179"/>
        <v/>
      </c>
      <c r="J2296" s="91" t="str">
        <f t="shared" si="180"/>
        <v/>
      </c>
      <c r="K2296" s="92" t="str">
        <f>IF(AND(A2296="",B2296="",D2296="",G2296=""),"",IF(AND(A2296&lt;&gt;"",COUNTIF($A$2:$A$5001,A2296)&gt;1),"NUMERO_PC duplicado",IF(B2296="","DATA_PC vazia",IF(NOT(ISNUMBER(B2296)),"DATA_PC invalida",IF(OR(C2296="",C2296="Fora dos ciclos"),"CICLO_PC nao identificado",IF(OR(D2296="",D2296=0),"VALOR_PC vazio ou zero",IF(AND(G2296&lt;&gt;"Sim",G2296&lt;&gt;"Nao",G2296&lt;&gt;""),"PC_PAGO_A_CONTRATADA invalido",IF(AND(C2296&lt;&gt;"C0",IFERROR(INDEX(parametros!$A$2:$A$6,MATCH(C2296,parametros!$B$2:$B$6,0)),"")="Sim",IFERROR(INDEX(parametros!$H$2:$H$6,MATCH(C2296,parametros!$B$2:$B$6,0)),"")=""),"INICIO_EFEITO ausente: PC "&amp;A2296&amp;" - "&amp;C2296,IF(L2296="","EFEITO_PC nao calculado: PC "&amp;A2296&amp;" - "&amp;C2296,"OK")))))))))</f>
        <v/>
      </c>
      <c r="L2296" s="92" t="str">
        <f>IF(AND(A2296="",B2296="",D2296="",G2296=""),"",IF(OR(B2296="",NOT(ISNUMBER(B2296)),C2296="",C2296="Fora dos ciclos"),"",IF(C2296="C0","Nao",IF(IFERROR(INDEX(parametros!$A$2:$A$6,MATCH(C2296,parametros!$B$2:$B$6,0)),"")&lt;&gt;"Sim","Nao",IF(IFERROR(INDEX(parametros!$H$2:$H$6,MATCH(C2296,parametros!$B$2:$B$6,0)),"")="","",IF(B2296&gt;=IFERROR(INDEX(parametros!$H$2:$H$6,MATCH(C2296,parametros!$B$2:$B$6,0)),""),"Sim","Nao"))))))</f>
        <v/>
      </c>
      <c r="T2296" s="156"/>
      <c r="U2296" s="214" t="str">
        <f t="shared" si="181"/>
        <v/>
      </c>
      <c r="V2296" s="212" t="s">
        <v>50</v>
      </c>
      <c r="W2296" s="100" t="s">
        <v>168</v>
      </c>
      <c r="X2296" s="100" t="s">
        <v>169</v>
      </c>
      <c r="Y2296" s="101" t="s">
        <v>170</v>
      </c>
      <c r="Z2296" s="101" t="s">
        <v>171</v>
      </c>
      <c r="AA2296" s="101" t="s">
        <v>50</v>
      </c>
      <c r="AB2296" s="101" t="s">
        <v>172</v>
      </c>
      <c r="AC2296" s="102" t="s">
        <v>173</v>
      </c>
    </row>
    <row r="2297" spans="1:29" ht="25.5" customHeight="1" x14ac:dyDescent="0.35">
      <c r="A2297" s="392"/>
      <c r="B2297" s="393"/>
      <c r="C2297" s="99" t="str">
        <f>IF(B2297="","",IF(NOT(ISNUMBER(B2297)),"DATA_PC invalida",IF(NOT(ISNUMBER(parametros!$C$2)),"Fora dos ciclos",IF(OR(B2297&lt;parametros!$C$2,(YEAR(B2297)-YEAR(parametros!$C$2))*12+MONTH(B2297)-MONTH(parametros!$C$2)&gt;59),"Fora dos ciclos","C"&amp;INT(((YEAR(B2297)-YEAR(parametros!$C$2))*12+MONTH(B2297)-MONTH(parametros!$C$2))/12)))))</f>
        <v/>
      </c>
      <c r="D2297" s="394"/>
      <c r="E2297" s="78" t="str">
        <f>IF(C2297="","",IFERROR(VLOOKUP(C2297,parametros!$A$11:$E$15,5,0),""))</f>
        <v/>
      </c>
      <c r="F2297" s="79" t="str">
        <f t="shared" si="177"/>
        <v/>
      </c>
      <c r="G2297" s="395"/>
      <c r="H2297" s="91">
        <f t="shared" si="178"/>
        <v>0</v>
      </c>
      <c r="I2297" s="91" t="str">
        <f t="shared" si="179"/>
        <v/>
      </c>
      <c r="J2297" s="91" t="str">
        <f t="shared" si="180"/>
        <v/>
      </c>
      <c r="K2297" s="92" t="str">
        <f>IF(AND(A2297="",B2297="",D2297="",G2297=""),"",IF(AND(A2297&lt;&gt;"",COUNTIF($A$2:$A$5001,A2297)&gt;1),"NUMERO_PC duplicado",IF(B2297="","DATA_PC vazia",IF(NOT(ISNUMBER(B2297)),"DATA_PC invalida",IF(OR(C2297="",C2297="Fora dos ciclos"),"CICLO_PC nao identificado",IF(OR(D2297="",D2297=0),"VALOR_PC vazio ou zero",IF(AND(G2297&lt;&gt;"Sim",G2297&lt;&gt;"Nao",G2297&lt;&gt;""),"PC_PAGO_A_CONTRATADA invalido",IF(AND(C2297&lt;&gt;"C0",IFERROR(INDEX(parametros!$A$2:$A$6,MATCH(C2297,parametros!$B$2:$B$6,0)),"")="Sim",IFERROR(INDEX(parametros!$H$2:$H$6,MATCH(C2297,parametros!$B$2:$B$6,0)),"")=""),"INICIO_EFEITO ausente: PC "&amp;A2297&amp;" - "&amp;C2297,IF(L2297="","EFEITO_PC nao calculado: PC "&amp;A2297&amp;" - "&amp;C2297,"OK")))))))))</f>
        <v/>
      </c>
      <c r="L2297" s="92" t="str">
        <f>IF(AND(A2297="",B2297="",D2297="",G2297=""),"",IF(OR(B2297="",NOT(ISNUMBER(B2297)),C2297="",C2297="Fora dos ciclos"),"",IF(C2297="C0","Nao",IF(IFERROR(INDEX(parametros!$A$2:$A$6,MATCH(C2297,parametros!$B$2:$B$6,0)),"")&lt;&gt;"Sim","Nao",IF(IFERROR(INDEX(parametros!$H$2:$H$6,MATCH(C2297,parametros!$B$2:$B$6,0)),"")="","",IF(B2297&gt;=IFERROR(INDEX(parametros!$H$2:$H$6,MATCH(C2297,parametros!$B$2:$B$6,0)),""),"Sim","Nao"))))))</f>
        <v/>
      </c>
      <c r="T2297" s="156"/>
      <c r="U2297" s="214" t="str">
        <f t="shared" si="181"/>
        <v/>
      </c>
      <c r="V2297" s="212" t="s">
        <v>50</v>
      </c>
      <c r="W2297" s="100" t="s">
        <v>168</v>
      </c>
      <c r="X2297" s="100" t="s">
        <v>169</v>
      </c>
      <c r="Y2297" s="101" t="s">
        <v>170</v>
      </c>
      <c r="Z2297" s="101" t="s">
        <v>171</v>
      </c>
      <c r="AA2297" s="101" t="s">
        <v>50</v>
      </c>
      <c r="AB2297" s="101" t="s">
        <v>172</v>
      </c>
      <c r="AC2297" s="102" t="s">
        <v>173</v>
      </c>
    </row>
    <row r="2298" spans="1:29" ht="25.5" customHeight="1" x14ac:dyDescent="0.35">
      <c r="A2298" s="392"/>
      <c r="B2298" s="393"/>
      <c r="C2298" s="99" t="str">
        <f>IF(B2298="","",IF(NOT(ISNUMBER(B2298)),"DATA_PC invalida",IF(NOT(ISNUMBER(parametros!$C$2)),"Fora dos ciclos",IF(OR(B2298&lt;parametros!$C$2,(YEAR(B2298)-YEAR(parametros!$C$2))*12+MONTH(B2298)-MONTH(parametros!$C$2)&gt;59),"Fora dos ciclos","C"&amp;INT(((YEAR(B2298)-YEAR(parametros!$C$2))*12+MONTH(B2298)-MONTH(parametros!$C$2))/12)))))</f>
        <v/>
      </c>
      <c r="D2298" s="394"/>
      <c r="E2298" s="78" t="str">
        <f>IF(C2298="","",IFERROR(VLOOKUP(C2298,parametros!$A$11:$E$15,5,0),""))</f>
        <v/>
      </c>
      <c r="F2298" s="79" t="str">
        <f t="shared" si="177"/>
        <v/>
      </c>
      <c r="G2298" s="395"/>
      <c r="H2298" s="91">
        <f t="shared" si="178"/>
        <v>0</v>
      </c>
      <c r="I2298" s="91" t="str">
        <f t="shared" si="179"/>
        <v/>
      </c>
      <c r="J2298" s="91" t="str">
        <f t="shared" si="180"/>
        <v/>
      </c>
      <c r="K2298" s="92" t="str">
        <f>IF(AND(A2298="",B2298="",D2298="",G2298=""),"",IF(AND(A2298&lt;&gt;"",COUNTIF($A$2:$A$5001,A2298)&gt;1),"NUMERO_PC duplicado",IF(B2298="","DATA_PC vazia",IF(NOT(ISNUMBER(B2298)),"DATA_PC invalida",IF(OR(C2298="",C2298="Fora dos ciclos"),"CICLO_PC nao identificado",IF(OR(D2298="",D2298=0),"VALOR_PC vazio ou zero",IF(AND(G2298&lt;&gt;"Sim",G2298&lt;&gt;"Nao",G2298&lt;&gt;""),"PC_PAGO_A_CONTRATADA invalido",IF(AND(C2298&lt;&gt;"C0",IFERROR(INDEX(parametros!$A$2:$A$6,MATCH(C2298,parametros!$B$2:$B$6,0)),"")="Sim",IFERROR(INDEX(parametros!$H$2:$H$6,MATCH(C2298,parametros!$B$2:$B$6,0)),"")=""),"INICIO_EFEITO ausente: PC "&amp;A2298&amp;" - "&amp;C2298,IF(L2298="","EFEITO_PC nao calculado: PC "&amp;A2298&amp;" - "&amp;C2298,"OK")))))))))</f>
        <v/>
      </c>
      <c r="L2298" s="92" t="str">
        <f>IF(AND(A2298="",B2298="",D2298="",G2298=""),"",IF(OR(B2298="",NOT(ISNUMBER(B2298)),C2298="",C2298="Fora dos ciclos"),"",IF(C2298="C0","Nao",IF(IFERROR(INDEX(parametros!$A$2:$A$6,MATCH(C2298,parametros!$B$2:$B$6,0)),"")&lt;&gt;"Sim","Nao",IF(IFERROR(INDEX(parametros!$H$2:$H$6,MATCH(C2298,parametros!$B$2:$B$6,0)),"")="","",IF(B2298&gt;=IFERROR(INDEX(parametros!$H$2:$H$6,MATCH(C2298,parametros!$B$2:$B$6,0)),""),"Sim","Nao"))))))</f>
        <v/>
      </c>
      <c r="T2298" s="156"/>
      <c r="U2298" s="214" t="str">
        <f t="shared" si="181"/>
        <v/>
      </c>
      <c r="V2298" s="212" t="s">
        <v>50</v>
      </c>
      <c r="W2298" s="100" t="s">
        <v>168</v>
      </c>
      <c r="X2298" s="100" t="s">
        <v>169</v>
      </c>
      <c r="Y2298" s="101" t="s">
        <v>170</v>
      </c>
      <c r="Z2298" s="101" t="s">
        <v>171</v>
      </c>
      <c r="AA2298" s="101" t="s">
        <v>50</v>
      </c>
      <c r="AB2298" s="101" t="s">
        <v>172</v>
      </c>
      <c r="AC2298" s="102" t="s">
        <v>173</v>
      </c>
    </row>
    <row r="2299" spans="1:29" ht="25.5" customHeight="1" x14ac:dyDescent="0.35">
      <c r="A2299" s="392"/>
      <c r="B2299" s="393"/>
      <c r="C2299" s="99" t="str">
        <f>IF(B2299="","",IF(NOT(ISNUMBER(B2299)),"DATA_PC invalida",IF(NOT(ISNUMBER(parametros!$C$2)),"Fora dos ciclos",IF(OR(B2299&lt;parametros!$C$2,(YEAR(B2299)-YEAR(parametros!$C$2))*12+MONTH(B2299)-MONTH(parametros!$C$2)&gt;59),"Fora dos ciclos","C"&amp;INT(((YEAR(B2299)-YEAR(parametros!$C$2))*12+MONTH(B2299)-MONTH(parametros!$C$2))/12)))))</f>
        <v/>
      </c>
      <c r="D2299" s="394"/>
      <c r="E2299" s="78" t="str">
        <f>IF(C2299="","",IFERROR(VLOOKUP(C2299,parametros!$A$11:$E$15,5,0),""))</f>
        <v/>
      </c>
      <c r="F2299" s="79" t="str">
        <f t="shared" si="177"/>
        <v/>
      </c>
      <c r="G2299" s="395"/>
      <c r="H2299" s="91">
        <f t="shared" si="178"/>
        <v>0</v>
      </c>
      <c r="I2299" s="91" t="str">
        <f t="shared" si="179"/>
        <v/>
      </c>
      <c r="J2299" s="91" t="str">
        <f t="shared" si="180"/>
        <v/>
      </c>
      <c r="K2299" s="92" t="str">
        <f>IF(AND(A2299="",B2299="",D2299="",G2299=""),"",IF(AND(A2299&lt;&gt;"",COUNTIF($A$2:$A$5001,A2299)&gt;1),"NUMERO_PC duplicado",IF(B2299="","DATA_PC vazia",IF(NOT(ISNUMBER(B2299)),"DATA_PC invalida",IF(OR(C2299="",C2299="Fora dos ciclos"),"CICLO_PC nao identificado",IF(OR(D2299="",D2299=0),"VALOR_PC vazio ou zero",IF(AND(G2299&lt;&gt;"Sim",G2299&lt;&gt;"Nao",G2299&lt;&gt;""),"PC_PAGO_A_CONTRATADA invalido",IF(AND(C2299&lt;&gt;"C0",IFERROR(INDEX(parametros!$A$2:$A$6,MATCH(C2299,parametros!$B$2:$B$6,0)),"")="Sim",IFERROR(INDEX(parametros!$H$2:$H$6,MATCH(C2299,parametros!$B$2:$B$6,0)),"")=""),"INICIO_EFEITO ausente: PC "&amp;A2299&amp;" - "&amp;C2299,IF(L2299="","EFEITO_PC nao calculado: PC "&amp;A2299&amp;" - "&amp;C2299,"OK")))))))))</f>
        <v/>
      </c>
      <c r="L2299" s="92" t="str">
        <f>IF(AND(A2299="",B2299="",D2299="",G2299=""),"",IF(OR(B2299="",NOT(ISNUMBER(B2299)),C2299="",C2299="Fora dos ciclos"),"",IF(C2299="C0","Nao",IF(IFERROR(INDEX(parametros!$A$2:$A$6,MATCH(C2299,parametros!$B$2:$B$6,0)),"")&lt;&gt;"Sim","Nao",IF(IFERROR(INDEX(parametros!$H$2:$H$6,MATCH(C2299,parametros!$B$2:$B$6,0)),"")="","",IF(B2299&gt;=IFERROR(INDEX(parametros!$H$2:$H$6,MATCH(C2299,parametros!$B$2:$B$6,0)),""),"Sim","Nao"))))))</f>
        <v/>
      </c>
      <c r="T2299" s="156"/>
      <c r="U2299" s="214" t="str">
        <f t="shared" si="181"/>
        <v/>
      </c>
      <c r="V2299" s="212" t="s">
        <v>50</v>
      </c>
      <c r="W2299" s="100" t="s">
        <v>168</v>
      </c>
      <c r="X2299" s="100" t="s">
        <v>169</v>
      </c>
      <c r="Y2299" s="101" t="s">
        <v>170</v>
      </c>
      <c r="Z2299" s="101" t="s">
        <v>171</v>
      </c>
      <c r="AA2299" s="101" t="s">
        <v>50</v>
      </c>
      <c r="AB2299" s="101" t="s">
        <v>172</v>
      </c>
      <c r="AC2299" s="102" t="s">
        <v>173</v>
      </c>
    </row>
    <row r="2300" spans="1:29" ht="25.5" customHeight="1" x14ac:dyDescent="0.35">
      <c r="A2300" s="392"/>
      <c r="B2300" s="393"/>
      <c r="C2300" s="99" t="str">
        <f>IF(B2300="","",IF(NOT(ISNUMBER(B2300)),"DATA_PC invalida",IF(NOT(ISNUMBER(parametros!$C$2)),"Fora dos ciclos",IF(OR(B2300&lt;parametros!$C$2,(YEAR(B2300)-YEAR(parametros!$C$2))*12+MONTH(B2300)-MONTH(parametros!$C$2)&gt;59),"Fora dos ciclos","C"&amp;INT(((YEAR(B2300)-YEAR(parametros!$C$2))*12+MONTH(B2300)-MONTH(parametros!$C$2))/12)))))</f>
        <v/>
      </c>
      <c r="D2300" s="394"/>
      <c r="E2300" s="78" t="str">
        <f>IF(C2300="","",IFERROR(VLOOKUP(C2300,parametros!$A$11:$E$15,5,0),""))</f>
        <v/>
      </c>
      <c r="F2300" s="79" t="str">
        <f t="shared" si="177"/>
        <v/>
      </c>
      <c r="G2300" s="395"/>
      <c r="H2300" s="91">
        <f t="shared" si="178"/>
        <v>0</v>
      </c>
      <c r="I2300" s="91" t="str">
        <f t="shared" si="179"/>
        <v/>
      </c>
      <c r="J2300" s="91" t="str">
        <f t="shared" si="180"/>
        <v/>
      </c>
      <c r="K2300" s="92" t="str">
        <f>IF(AND(A2300="",B2300="",D2300="",G2300=""),"",IF(AND(A2300&lt;&gt;"",COUNTIF($A$2:$A$5001,A2300)&gt;1),"NUMERO_PC duplicado",IF(B2300="","DATA_PC vazia",IF(NOT(ISNUMBER(B2300)),"DATA_PC invalida",IF(OR(C2300="",C2300="Fora dos ciclos"),"CICLO_PC nao identificado",IF(OR(D2300="",D2300=0),"VALOR_PC vazio ou zero",IF(AND(G2300&lt;&gt;"Sim",G2300&lt;&gt;"Nao",G2300&lt;&gt;""),"PC_PAGO_A_CONTRATADA invalido",IF(AND(C2300&lt;&gt;"C0",IFERROR(INDEX(parametros!$A$2:$A$6,MATCH(C2300,parametros!$B$2:$B$6,0)),"")="Sim",IFERROR(INDEX(parametros!$H$2:$H$6,MATCH(C2300,parametros!$B$2:$B$6,0)),"")=""),"INICIO_EFEITO ausente: PC "&amp;A2300&amp;" - "&amp;C2300,IF(L2300="","EFEITO_PC nao calculado: PC "&amp;A2300&amp;" - "&amp;C2300,"OK")))))))))</f>
        <v/>
      </c>
      <c r="L2300" s="92" t="str">
        <f>IF(AND(A2300="",B2300="",D2300="",G2300=""),"",IF(OR(B2300="",NOT(ISNUMBER(B2300)),C2300="",C2300="Fora dos ciclos"),"",IF(C2300="C0","Nao",IF(IFERROR(INDEX(parametros!$A$2:$A$6,MATCH(C2300,parametros!$B$2:$B$6,0)),"")&lt;&gt;"Sim","Nao",IF(IFERROR(INDEX(parametros!$H$2:$H$6,MATCH(C2300,parametros!$B$2:$B$6,0)),"")="","",IF(B2300&gt;=IFERROR(INDEX(parametros!$H$2:$H$6,MATCH(C2300,parametros!$B$2:$B$6,0)),""),"Sim","Nao"))))))</f>
        <v/>
      </c>
      <c r="T2300" s="156"/>
      <c r="U2300" s="214" t="str">
        <f t="shared" si="181"/>
        <v/>
      </c>
      <c r="V2300" s="212" t="s">
        <v>50</v>
      </c>
      <c r="W2300" s="100" t="s">
        <v>168</v>
      </c>
      <c r="X2300" s="100" t="s">
        <v>169</v>
      </c>
      <c r="Y2300" s="101" t="s">
        <v>170</v>
      </c>
      <c r="Z2300" s="101" t="s">
        <v>171</v>
      </c>
      <c r="AA2300" s="101" t="s">
        <v>50</v>
      </c>
      <c r="AB2300" s="101" t="s">
        <v>172</v>
      </c>
      <c r="AC2300" s="102" t="s">
        <v>173</v>
      </c>
    </row>
    <row r="2301" spans="1:29" ht="25.5" customHeight="1" x14ac:dyDescent="0.35">
      <c r="A2301" s="392"/>
      <c r="B2301" s="393"/>
      <c r="C2301" s="99" t="str">
        <f>IF(B2301="","",IF(NOT(ISNUMBER(B2301)),"DATA_PC invalida",IF(NOT(ISNUMBER(parametros!$C$2)),"Fora dos ciclos",IF(OR(B2301&lt;parametros!$C$2,(YEAR(B2301)-YEAR(parametros!$C$2))*12+MONTH(B2301)-MONTH(parametros!$C$2)&gt;59),"Fora dos ciclos","C"&amp;INT(((YEAR(B2301)-YEAR(parametros!$C$2))*12+MONTH(B2301)-MONTH(parametros!$C$2))/12)))))</f>
        <v/>
      </c>
      <c r="D2301" s="394"/>
      <c r="E2301" s="78" t="str">
        <f>IF(C2301="","",IFERROR(VLOOKUP(C2301,parametros!$A$11:$E$15,5,0),""))</f>
        <v/>
      </c>
      <c r="F2301" s="79" t="str">
        <f t="shared" si="177"/>
        <v/>
      </c>
      <c r="G2301" s="395"/>
      <c r="H2301" s="91">
        <f t="shared" si="178"/>
        <v>0</v>
      </c>
      <c r="I2301" s="91" t="str">
        <f t="shared" si="179"/>
        <v/>
      </c>
      <c r="J2301" s="91" t="str">
        <f t="shared" si="180"/>
        <v/>
      </c>
      <c r="K2301" s="92" t="str">
        <f>IF(AND(A2301="",B2301="",D2301="",G2301=""),"",IF(AND(A2301&lt;&gt;"",COUNTIF($A$2:$A$5001,A2301)&gt;1),"NUMERO_PC duplicado",IF(B2301="","DATA_PC vazia",IF(NOT(ISNUMBER(B2301)),"DATA_PC invalida",IF(OR(C2301="",C2301="Fora dos ciclos"),"CICLO_PC nao identificado",IF(OR(D2301="",D2301=0),"VALOR_PC vazio ou zero",IF(AND(G2301&lt;&gt;"Sim",G2301&lt;&gt;"Nao",G2301&lt;&gt;""),"PC_PAGO_A_CONTRATADA invalido",IF(AND(C2301&lt;&gt;"C0",IFERROR(INDEX(parametros!$A$2:$A$6,MATCH(C2301,parametros!$B$2:$B$6,0)),"")="Sim",IFERROR(INDEX(parametros!$H$2:$H$6,MATCH(C2301,parametros!$B$2:$B$6,0)),"")=""),"INICIO_EFEITO ausente: PC "&amp;A2301&amp;" - "&amp;C2301,IF(L2301="","EFEITO_PC nao calculado: PC "&amp;A2301&amp;" - "&amp;C2301,"OK")))))))))</f>
        <v/>
      </c>
      <c r="L2301" s="92" t="str">
        <f>IF(AND(A2301="",B2301="",D2301="",G2301=""),"",IF(OR(B2301="",NOT(ISNUMBER(B2301)),C2301="",C2301="Fora dos ciclos"),"",IF(C2301="C0","Nao",IF(IFERROR(INDEX(parametros!$A$2:$A$6,MATCH(C2301,parametros!$B$2:$B$6,0)),"")&lt;&gt;"Sim","Nao",IF(IFERROR(INDEX(parametros!$H$2:$H$6,MATCH(C2301,parametros!$B$2:$B$6,0)),"")="","",IF(B2301&gt;=IFERROR(INDEX(parametros!$H$2:$H$6,MATCH(C2301,parametros!$B$2:$B$6,0)),""),"Sim","Nao"))))))</f>
        <v/>
      </c>
      <c r="T2301" s="156"/>
      <c r="U2301" s="214" t="str">
        <f t="shared" si="181"/>
        <v/>
      </c>
      <c r="V2301" s="212" t="s">
        <v>50</v>
      </c>
      <c r="W2301" s="100" t="s">
        <v>168</v>
      </c>
      <c r="X2301" s="100" t="s">
        <v>169</v>
      </c>
      <c r="Y2301" s="101" t="s">
        <v>170</v>
      </c>
      <c r="Z2301" s="101" t="s">
        <v>171</v>
      </c>
      <c r="AA2301" s="101" t="s">
        <v>50</v>
      </c>
      <c r="AB2301" s="101" t="s">
        <v>172</v>
      </c>
      <c r="AC2301" s="102" t="s">
        <v>173</v>
      </c>
    </row>
    <row r="2302" spans="1:29" ht="25.5" customHeight="1" x14ac:dyDescent="0.35">
      <c r="A2302" s="392"/>
      <c r="B2302" s="393"/>
      <c r="C2302" s="99" t="str">
        <f>IF(B2302="","",IF(NOT(ISNUMBER(B2302)),"DATA_PC invalida",IF(NOT(ISNUMBER(parametros!$C$2)),"Fora dos ciclos",IF(OR(B2302&lt;parametros!$C$2,(YEAR(B2302)-YEAR(parametros!$C$2))*12+MONTH(B2302)-MONTH(parametros!$C$2)&gt;59),"Fora dos ciclos","C"&amp;INT(((YEAR(B2302)-YEAR(parametros!$C$2))*12+MONTH(B2302)-MONTH(parametros!$C$2))/12)))))</f>
        <v/>
      </c>
      <c r="D2302" s="394"/>
      <c r="E2302" s="78" t="str">
        <f>IF(C2302="","",IFERROR(VLOOKUP(C2302,parametros!$A$11:$E$15,5,0),""))</f>
        <v/>
      </c>
      <c r="F2302" s="79" t="str">
        <f t="shared" si="177"/>
        <v/>
      </c>
      <c r="G2302" s="395"/>
      <c r="H2302" s="91">
        <f t="shared" si="178"/>
        <v>0</v>
      </c>
      <c r="I2302" s="91" t="str">
        <f t="shared" si="179"/>
        <v/>
      </c>
      <c r="J2302" s="91" t="str">
        <f t="shared" si="180"/>
        <v/>
      </c>
      <c r="K2302" s="92" t="str">
        <f>IF(AND(A2302="",B2302="",D2302="",G2302=""),"",IF(AND(A2302&lt;&gt;"",COUNTIF($A$2:$A$5001,A2302)&gt;1),"NUMERO_PC duplicado",IF(B2302="","DATA_PC vazia",IF(NOT(ISNUMBER(B2302)),"DATA_PC invalida",IF(OR(C2302="",C2302="Fora dos ciclos"),"CICLO_PC nao identificado",IF(OR(D2302="",D2302=0),"VALOR_PC vazio ou zero",IF(AND(G2302&lt;&gt;"Sim",G2302&lt;&gt;"Nao",G2302&lt;&gt;""),"PC_PAGO_A_CONTRATADA invalido",IF(AND(C2302&lt;&gt;"C0",IFERROR(INDEX(parametros!$A$2:$A$6,MATCH(C2302,parametros!$B$2:$B$6,0)),"")="Sim",IFERROR(INDEX(parametros!$H$2:$H$6,MATCH(C2302,parametros!$B$2:$B$6,0)),"")=""),"INICIO_EFEITO ausente: PC "&amp;A2302&amp;" - "&amp;C2302,IF(L2302="","EFEITO_PC nao calculado: PC "&amp;A2302&amp;" - "&amp;C2302,"OK")))))))))</f>
        <v/>
      </c>
      <c r="L2302" s="92" t="str">
        <f>IF(AND(A2302="",B2302="",D2302="",G2302=""),"",IF(OR(B2302="",NOT(ISNUMBER(B2302)),C2302="",C2302="Fora dos ciclos"),"",IF(C2302="C0","Nao",IF(IFERROR(INDEX(parametros!$A$2:$A$6,MATCH(C2302,parametros!$B$2:$B$6,0)),"")&lt;&gt;"Sim","Nao",IF(IFERROR(INDEX(parametros!$H$2:$H$6,MATCH(C2302,parametros!$B$2:$B$6,0)),"")="","",IF(B2302&gt;=IFERROR(INDEX(parametros!$H$2:$H$6,MATCH(C2302,parametros!$B$2:$B$6,0)),""),"Sim","Nao"))))))</f>
        <v/>
      </c>
      <c r="T2302" s="156"/>
      <c r="U2302" s="214" t="str">
        <f t="shared" si="181"/>
        <v/>
      </c>
      <c r="V2302" s="212" t="s">
        <v>50</v>
      </c>
      <c r="W2302" s="100" t="s">
        <v>168</v>
      </c>
      <c r="X2302" s="100" t="s">
        <v>169</v>
      </c>
      <c r="Y2302" s="101" t="s">
        <v>170</v>
      </c>
      <c r="Z2302" s="101" t="s">
        <v>171</v>
      </c>
      <c r="AA2302" s="101" t="s">
        <v>50</v>
      </c>
      <c r="AB2302" s="101" t="s">
        <v>172</v>
      </c>
      <c r="AC2302" s="102" t="s">
        <v>173</v>
      </c>
    </row>
    <row r="2303" spans="1:29" ht="25.5" customHeight="1" x14ac:dyDescent="0.35">
      <c r="A2303" s="392"/>
      <c r="B2303" s="393"/>
      <c r="C2303" s="99" t="str">
        <f>IF(B2303="","",IF(NOT(ISNUMBER(B2303)),"DATA_PC invalida",IF(NOT(ISNUMBER(parametros!$C$2)),"Fora dos ciclos",IF(OR(B2303&lt;parametros!$C$2,(YEAR(B2303)-YEAR(parametros!$C$2))*12+MONTH(B2303)-MONTH(parametros!$C$2)&gt;59),"Fora dos ciclos","C"&amp;INT(((YEAR(B2303)-YEAR(parametros!$C$2))*12+MONTH(B2303)-MONTH(parametros!$C$2))/12)))))</f>
        <v/>
      </c>
      <c r="D2303" s="394"/>
      <c r="E2303" s="78" t="str">
        <f>IF(C2303="","",IFERROR(VLOOKUP(C2303,parametros!$A$11:$E$15,5,0),""))</f>
        <v/>
      </c>
      <c r="F2303" s="79" t="str">
        <f t="shared" si="177"/>
        <v/>
      </c>
      <c r="G2303" s="395"/>
      <c r="H2303" s="91">
        <f t="shared" si="178"/>
        <v>0</v>
      </c>
      <c r="I2303" s="91" t="str">
        <f t="shared" si="179"/>
        <v/>
      </c>
      <c r="J2303" s="91" t="str">
        <f t="shared" si="180"/>
        <v/>
      </c>
      <c r="K2303" s="92" t="str">
        <f>IF(AND(A2303="",B2303="",D2303="",G2303=""),"",IF(AND(A2303&lt;&gt;"",COUNTIF($A$2:$A$5001,A2303)&gt;1),"NUMERO_PC duplicado",IF(B2303="","DATA_PC vazia",IF(NOT(ISNUMBER(B2303)),"DATA_PC invalida",IF(OR(C2303="",C2303="Fora dos ciclos"),"CICLO_PC nao identificado",IF(OR(D2303="",D2303=0),"VALOR_PC vazio ou zero",IF(AND(G2303&lt;&gt;"Sim",G2303&lt;&gt;"Nao",G2303&lt;&gt;""),"PC_PAGO_A_CONTRATADA invalido",IF(AND(C2303&lt;&gt;"C0",IFERROR(INDEX(parametros!$A$2:$A$6,MATCH(C2303,parametros!$B$2:$B$6,0)),"")="Sim",IFERROR(INDEX(parametros!$H$2:$H$6,MATCH(C2303,parametros!$B$2:$B$6,0)),"")=""),"INICIO_EFEITO ausente: PC "&amp;A2303&amp;" - "&amp;C2303,IF(L2303="","EFEITO_PC nao calculado: PC "&amp;A2303&amp;" - "&amp;C2303,"OK")))))))))</f>
        <v/>
      </c>
      <c r="L2303" s="92" t="str">
        <f>IF(AND(A2303="",B2303="",D2303="",G2303=""),"",IF(OR(B2303="",NOT(ISNUMBER(B2303)),C2303="",C2303="Fora dos ciclos"),"",IF(C2303="C0","Nao",IF(IFERROR(INDEX(parametros!$A$2:$A$6,MATCH(C2303,parametros!$B$2:$B$6,0)),"")&lt;&gt;"Sim","Nao",IF(IFERROR(INDEX(parametros!$H$2:$H$6,MATCH(C2303,parametros!$B$2:$B$6,0)),"")="","",IF(B2303&gt;=IFERROR(INDEX(parametros!$H$2:$H$6,MATCH(C2303,parametros!$B$2:$B$6,0)),""),"Sim","Nao"))))))</f>
        <v/>
      </c>
      <c r="T2303" s="156"/>
      <c r="U2303" s="214" t="str">
        <f t="shared" si="181"/>
        <v/>
      </c>
      <c r="V2303" s="212" t="s">
        <v>50</v>
      </c>
      <c r="W2303" s="100" t="s">
        <v>168</v>
      </c>
      <c r="X2303" s="100" t="s">
        <v>169</v>
      </c>
      <c r="Y2303" s="101" t="s">
        <v>170</v>
      </c>
      <c r="Z2303" s="101" t="s">
        <v>171</v>
      </c>
      <c r="AA2303" s="101" t="s">
        <v>50</v>
      </c>
      <c r="AB2303" s="101" t="s">
        <v>172</v>
      </c>
      <c r="AC2303" s="102" t="s">
        <v>173</v>
      </c>
    </row>
    <row r="2304" spans="1:29" ht="25.5" customHeight="1" x14ac:dyDescent="0.35">
      <c r="A2304" s="392"/>
      <c r="B2304" s="393"/>
      <c r="C2304" s="99" t="str">
        <f>IF(B2304="","",IF(NOT(ISNUMBER(B2304)),"DATA_PC invalida",IF(NOT(ISNUMBER(parametros!$C$2)),"Fora dos ciclos",IF(OR(B2304&lt;parametros!$C$2,(YEAR(B2304)-YEAR(parametros!$C$2))*12+MONTH(B2304)-MONTH(parametros!$C$2)&gt;59),"Fora dos ciclos","C"&amp;INT(((YEAR(B2304)-YEAR(parametros!$C$2))*12+MONTH(B2304)-MONTH(parametros!$C$2))/12)))))</f>
        <v/>
      </c>
      <c r="D2304" s="394"/>
      <c r="E2304" s="78" t="str">
        <f>IF(C2304="","",IFERROR(VLOOKUP(C2304,parametros!$A$11:$E$15,5,0),""))</f>
        <v/>
      </c>
      <c r="F2304" s="79" t="str">
        <f t="shared" si="177"/>
        <v/>
      </c>
      <c r="G2304" s="395"/>
      <c r="H2304" s="91">
        <f t="shared" si="178"/>
        <v>0</v>
      </c>
      <c r="I2304" s="91" t="str">
        <f t="shared" si="179"/>
        <v/>
      </c>
      <c r="J2304" s="91" t="str">
        <f t="shared" si="180"/>
        <v/>
      </c>
      <c r="K2304" s="92" t="str">
        <f>IF(AND(A2304="",B2304="",D2304="",G2304=""),"",IF(AND(A2304&lt;&gt;"",COUNTIF($A$2:$A$5001,A2304)&gt;1),"NUMERO_PC duplicado",IF(B2304="","DATA_PC vazia",IF(NOT(ISNUMBER(B2304)),"DATA_PC invalida",IF(OR(C2304="",C2304="Fora dos ciclos"),"CICLO_PC nao identificado",IF(OR(D2304="",D2304=0),"VALOR_PC vazio ou zero",IF(AND(G2304&lt;&gt;"Sim",G2304&lt;&gt;"Nao",G2304&lt;&gt;""),"PC_PAGO_A_CONTRATADA invalido",IF(AND(C2304&lt;&gt;"C0",IFERROR(INDEX(parametros!$A$2:$A$6,MATCH(C2304,parametros!$B$2:$B$6,0)),"")="Sim",IFERROR(INDEX(parametros!$H$2:$H$6,MATCH(C2304,parametros!$B$2:$B$6,0)),"")=""),"INICIO_EFEITO ausente: PC "&amp;A2304&amp;" - "&amp;C2304,IF(L2304="","EFEITO_PC nao calculado: PC "&amp;A2304&amp;" - "&amp;C2304,"OK")))))))))</f>
        <v/>
      </c>
      <c r="L2304" s="92" t="str">
        <f>IF(AND(A2304="",B2304="",D2304="",G2304=""),"",IF(OR(B2304="",NOT(ISNUMBER(B2304)),C2304="",C2304="Fora dos ciclos"),"",IF(C2304="C0","Nao",IF(IFERROR(INDEX(parametros!$A$2:$A$6,MATCH(C2304,parametros!$B$2:$B$6,0)),"")&lt;&gt;"Sim","Nao",IF(IFERROR(INDEX(parametros!$H$2:$H$6,MATCH(C2304,parametros!$B$2:$B$6,0)),"")="","",IF(B2304&gt;=IFERROR(INDEX(parametros!$H$2:$H$6,MATCH(C2304,parametros!$B$2:$B$6,0)),""),"Sim","Nao"))))))</f>
        <v/>
      </c>
      <c r="T2304" s="156"/>
      <c r="U2304" s="214" t="str">
        <f t="shared" si="181"/>
        <v/>
      </c>
      <c r="V2304" s="212" t="s">
        <v>50</v>
      </c>
      <c r="W2304" s="100" t="s">
        <v>168</v>
      </c>
      <c r="X2304" s="100" t="s">
        <v>169</v>
      </c>
      <c r="Y2304" s="101" t="s">
        <v>170</v>
      </c>
      <c r="Z2304" s="101" t="s">
        <v>171</v>
      </c>
      <c r="AA2304" s="101" t="s">
        <v>50</v>
      </c>
      <c r="AB2304" s="101" t="s">
        <v>172</v>
      </c>
      <c r="AC2304" s="102" t="s">
        <v>173</v>
      </c>
    </row>
    <row r="2305" spans="1:29" ht="25.5" customHeight="1" x14ac:dyDescent="0.35">
      <c r="A2305" s="392"/>
      <c r="B2305" s="393"/>
      <c r="C2305" s="99" t="str">
        <f>IF(B2305="","",IF(NOT(ISNUMBER(B2305)),"DATA_PC invalida",IF(NOT(ISNUMBER(parametros!$C$2)),"Fora dos ciclos",IF(OR(B2305&lt;parametros!$C$2,(YEAR(B2305)-YEAR(parametros!$C$2))*12+MONTH(B2305)-MONTH(parametros!$C$2)&gt;59),"Fora dos ciclos","C"&amp;INT(((YEAR(B2305)-YEAR(parametros!$C$2))*12+MONTH(B2305)-MONTH(parametros!$C$2))/12)))))</f>
        <v/>
      </c>
      <c r="D2305" s="394"/>
      <c r="E2305" s="78" t="str">
        <f>IF(C2305="","",IFERROR(VLOOKUP(C2305,parametros!$A$11:$E$15,5,0),""))</f>
        <v/>
      </c>
      <c r="F2305" s="79" t="str">
        <f t="shared" si="177"/>
        <v/>
      </c>
      <c r="G2305" s="395"/>
      <c r="H2305" s="91">
        <f t="shared" si="178"/>
        <v>0</v>
      </c>
      <c r="I2305" s="91" t="str">
        <f t="shared" si="179"/>
        <v/>
      </c>
      <c r="J2305" s="91" t="str">
        <f t="shared" si="180"/>
        <v/>
      </c>
      <c r="K2305" s="92" t="str">
        <f>IF(AND(A2305="",B2305="",D2305="",G2305=""),"",IF(AND(A2305&lt;&gt;"",COUNTIF($A$2:$A$5001,A2305)&gt;1),"NUMERO_PC duplicado",IF(B2305="","DATA_PC vazia",IF(NOT(ISNUMBER(B2305)),"DATA_PC invalida",IF(OR(C2305="",C2305="Fora dos ciclos"),"CICLO_PC nao identificado",IF(OR(D2305="",D2305=0),"VALOR_PC vazio ou zero",IF(AND(G2305&lt;&gt;"Sim",G2305&lt;&gt;"Nao",G2305&lt;&gt;""),"PC_PAGO_A_CONTRATADA invalido",IF(AND(C2305&lt;&gt;"C0",IFERROR(INDEX(parametros!$A$2:$A$6,MATCH(C2305,parametros!$B$2:$B$6,0)),"")="Sim",IFERROR(INDEX(parametros!$H$2:$H$6,MATCH(C2305,parametros!$B$2:$B$6,0)),"")=""),"INICIO_EFEITO ausente: PC "&amp;A2305&amp;" - "&amp;C2305,IF(L2305="","EFEITO_PC nao calculado: PC "&amp;A2305&amp;" - "&amp;C2305,"OK")))))))))</f>
        <v/>
      </c>
      <c r="L2305" s="92" t="str">
        <f>IF(AND(A2305="",B2305="",D2305="",G2305=""),"",IF(OR(B2305="",NOT(ISNUMBER(B2305)),C2305="",C2305="Fora dos ciclos"),"",IF(C2305="C0","Nao",IF(IFERROR(INDEX(parametros!$A$2:$A$6,MATCH(C2305,parametros!$B$2:$B$6,0)),"")&lt;&gt;"Sim","Nao",IF(IFERROR(INDEX(parametros!$H$2:$H$6,MATCH(C2305,parametros!$B$2:$B$6,0)),"")="","",IF(B2305&gt;=IFERROR(INDEX(parametros!$H$2:$H$6,MATCH(C2305,parametros!$B$2:$B$6,0)),""),"Sim","Nao"))))))</f>
        <v/>
      </c>
      <c r="T2305" s="156"/>
      <c r="U2305" s="214" t="str">
        <f t="shared" si="181"/>
        <v/>
      </c>
      <c r="V2305" s="212" t="s">
        <v>50</v>
      </c>
      <c r="W2305" s="100" t="s">
        <v>168</v>
      </c>
      <c r="X2305" s="100" t="s">
        <v>169</v>
      </c>
      <c r="Y2305" s="101" t="s">
        <v>170</v>
      </c>
      <c r="Z2305" s="101" t="s">
        <v>171</v>
      </c>
      <c r="AA2305" s="101" t="s">
        <v>50</v>
      </c>
      <c r="AB2305" s="101" t="s">
        <v>172</v>
      </c>
      <c r="AC2305" s="102" t="s">
        <v>173</v>
      </c>
    </row>
    <row r="2306" spans="1:29" ht="25.5" customHeight="1" x14ac:dyDescent="0.35">
      <c r="A2306" s="392"/>
      <c r="B2306" s="393"/>
      <c r="C2306" s="99" t="str">
        <f>IF(B2306="","",IF(NOT(ISNUMBER(B2306)),"DATA_PC invalida",IF(NOT(ISNUMBER(parametros!$C$2)),"Fora dos ciclos",IF(OR(B2306&lt;parametros!$C$2,(YEAR(B2306)-YEAR(parametros!$C$2))*12+MONTH(B2306)-MONTH(parametros!$C$2)&gt;59),"Fora dos ciclos","C"&amp;INT(((YEAR(B2306)-YEAR(parametros!$C$2))*12+MONTH(B2306)-MONTH(parametros!$C$2))/12)))))</f>
        <v/>
      </c>
      <c r="D2306" s="394"/>
      <c r="E2306" s="78" t="str">
        <f>IF(C2306="","",IFERROR(VLOOKUP(C2306,parametros!$A$11:$E$15,5,0),""))</f>
        <v/>
      </c>
      <c r="F2306" s="79" t="str">
        <f t="shared" ref="F2306:F2369" si="182">IF(OR(D2306="",E2306=""),"",ROUND(D2306*E2306,2))</f>
        <v/>
      </c>
      <c r="G2306" s="395"/>
      <c r="H2306" s="91">
        <f t="shared" ref="H2306:H2369" si="183">IF(G2306="Sim",IF(OR(F2306="",D2306="",L2306=""),"",IF(L2306="Sim",ROUND(F2306-D2306,2),0)),0)</f>
        <v>0</v>
      </c>
      <c r="I2306" s="91" t="str">
        <f t="shared" ref="I2306:I2369" si="184">IF(G2306="Sim",0,IF(OR(F2306="",L2306=""),"",F2306))</f>
        <v/>
      </c>
      <c r="J2306" s="91" t="str">
        <f t="shared" ref="J2306:J2369" si="185">IF(G2306="Sim",0,IF(OR(F2306="",D2306="",L2306=""),"",IF(L2306="Sim",ROUND(F2306-D2306,2),0)))</f>
        <v/>
      </c>
      <c r="K2306" s="92" t="str">
        <f>IF(AND(A2306="",B2306="",D2306="",G2306=""),"",IF(AND(A2306&lt;&gt;"",COUNTIF($A$2:$A$5001,A2306)&gt;1),"NUMERO_PC duplicado",IF(B2306="","DATA_PC vazia",IF(NOT(ISNUMBER(B2306)),"DATA_PC invalida",IF(OR(C2306="",C2306="Fora dos ciclos"),"CICLO_PC nao identificado",IF(OR(D2306="",D2306=0),"VALOR_PC vazio ou zero",IF(AND(G2306&lt;&gt;"Sim",G2306&lt;&gt;"Nao",G2306&lt;&gt;""),"PC_PAGO_A_CONTRATADA invalido",IF(AND(C2306&lt;&gt;"C0",IFERROR(INDEX(parametros!$A$2:$A$6,MATCH(C2306,parametros!$B$2:$B$6,0)),"")="Sim",IFERROR(INDEX(parametros!$H$2:$H$6,MATCH(C2306,parametros!$B$2:$B$6,0)),"")=""),"INICIO_EFEITO ausente: PC "&amp;A2306&amp;" - "&amp;C2306,IF(L2306="","EFEITO_PC nao calculado: PC "&amp;A2306&amp;" - "&amp;C2306,"OK")))))))))</f>
        <v/>
      </c>
      <c r="L2306" s="92" t="str">
        <f>IF(AND(A2306="",B2306="",D2306="",G2306=""),"",IF(OR(B2306="",NOT(ISNUMBER(B2306)),C2306="",C2306="Fora dos ciclos"),"",IF(C2306="C0","Nao",IF(IFERROR(INDEX(parametros!$A$2:$A$6,MATCH(C2306,parametros!$B$2:$B$6,0)),"")&lt;&gt;"Sim","Nao",IF(IFERROR(INDEX(parametros!$H$2:$H$6,MATCH(C2306,parametros!$B$2:$B$6,0)),"")="","",IF(B2306&gt;=IFERROR(INDEX(parametros!$H$2:$H$6,MATCH(C2306,parametros!$B$2:$B$6,0)),""),"Sim","Nao"))))))</f>
        <v/>
      </c>
      <c r="T2306" s="156"/>
      <c r="U2306" s="214" t="str">
        <f t="shared" ref="U2306:U2369" si="186">IF(OR($D2306="",$H2306=""),"",ROUND($D2306+$H2306,2))</f>
        <v/>
      </c>
      <c r="V2306" s="212" t="s">
        <v>50</v>
      </c>
      <c r="W2306" s="100" t="s">
        <v>168</v>
      </c>
      <c r="X2306" s="100" t="s">
        <v>169</v>
      </c>
      <c r="Y2306" s="101" t="s">
        <v>170</v>
      </c>
      <c r="Z2306" s="101" t="s">
        <v>171</v>
      </c>
      <c r="AA2306" s="101" t="s">
        <v>50</v>
      </c>
      <c r="AB2306" s="101" t="s">
        <v>172</v>
      </c>
      <c r="AC2306" s="102" t="s">
        <v>173</v>
      </c>
    </row>
    <row r="2307" spans="1:29" ht="25.5" customHeight="1" x14ac:dyDescent="0.35">
      <c r="A2307" s="392"/>
      <c r="B2307" s="393"/>
      <c r="C2307" s="99" t="str">
        <f>IF(B2307="","",IF(NOT(ISNUMBER(B2307)),"DATA_PC invalida",IF(NOT(ISNUMBER(parametros!$C$2)),"Fora dos ciclos",IF(OR(B2307&lt;parametros!$C$2,(YEAR(B2307)-YEAR(parametros!$C$2))*12+MONTH(B2307)-MONTH(parametros!$C$2)&gt;59),"Fora dos ciclos","C"&amp;INT(((YEAR(B2307)-YEAR(parametros!$C$2))*12+MONTH(B2307)-MONTH(parametros!$C$2))/12)))))</f>
        <v/>
      </c>
      <c r="D2307" s="394"/>
      <c r="E2307" s="78" t="str">
        <f>IF(C2307="","",IFERROR(VLOOKUP(C2307,parametros!$A$11:$E$15,5,0),""))</f>
        <v/>
      </c>
      <c r="F2307" s="79" t="str">
        <f t="shared" si="182"/>
        <v/>
      </c>
      <c r="G2307" s="395"/>
      <c r="H2307" s="91">
        <f t="shared" si="183"/>
        <v>0</v>
      </c>
      <c r="I2307" s="91" t="str">
        <f t="shared" si="184"/>
        <v/>
      </c>
      <c r="J2307" s="91" t="str">
        <f t="shared" si="185"/>
        <v/>
      </c>
      <c r="K2307" s="92" t="str">
        <f>IF(AND(A2307="",B2307="",D2307="",G2307=""),"",IF(AND(A2307&lt;&gt;"",COUNTIF($A$2:$A$5001,A2307)&gt;1),"NUMERO_PC duplicado",IF(B2307="","DATA_PC vazia",IF(NOT(ISNUMBER(B2307)),"DATA_PC invalida",IF(OR(C2307="",C2307="Fora dos ciclos"),"CICLO_PC nao identificado",IF(OR(D2307="",D2307=0),"VALOR_PC vazio ou zero",IF(AND(G2307&lt;&gt;"Sim",G2307&lt;&gt;"Nao",G2307&lt;&gt;""),"PC_PAGO_A_CONTRATADA invalido",IF(AND(C2307&lt;&gt;"C0",IFERROR(INDEX(parametros!$A$2:$A$6,MATCH(C2307,parametros!$B$2:$B$6,0)),"")="Sim",IFERROR(INDEX(parametros!$H$2:$H$6,MATCH(C2307,parametros!$B$2:$B$6,0)),"")=""),"INICIO_EFEITO ausente: PC "&amp;A2307&amp;" - "&amp;C2307,IF(L2307="","EFEITO_PC nao calculado: PC "&amp;A2307&amp;" - "&amp;C2307,"OK")))))))))</f>
        <v/>
      </c>
      <c r="L2307" s="92" t="str">
        <f>IF(AND(A2307="",B2307="",D2307="",G2307=""),"",IF(OR(B2307="",NOT(ISNUMBER(B2307)),C2307="",C2307="Fora dos ciclos"),"",IF(C2307="C0","Nao",IF(IFERROR(INDEX(parametros!$A$2:$A$6,MATCH(C2307,parametros!$B$2:$B$6,0)),"")&lt;&gt;"Sim","Nao",IF(IFERROR(INDEX(parametros!$H$2:$H$6,MATCH(C2307,parametros!$B$2:$B$6,0)),"")="","",IF(B2307&gt;=IFERROR(INDEX(parametros!$H$2:$H$6,MATCH(C2307,parametros!$B$2:$B$6,0)),""),"Sim","Nao"))))))</f>
        <v/>
      </c>
      <c r="T2307" s="156"/>
      <c r="U2307" s="214" t="str">
        <f t="shared" si="186"/>
        <v/>
      </c>
      <c r="V2307" s="212" t="s">
        <v>50</v>
      </c>
      <c r="W2307" s="100" t="s">
        <v>168</v>
      </c>
      <c r="X2307" s="100" t="s">
        <v>169</v>
      </c>
      <c r="Y2307" s="101" t="s">
        <v>170</v>
      </c>
      <c r="Z2307" s="101" t="s">
        <v>171</v>
      </c>
      <c r="AA2307" s="101" t="s">
        <v>50</v>
      </c>
      <c r="AB2307" s="101" t="s">
        <v>172</v>
      </c>
      <c r="AC2307" s="102" t="s">
        <v>173</v>
      </c>
    </row>
    <row r="2308" spans="1:29" ht="25.5" customHeight="1" x14ac:dyDescent="0.35">
      <c r="A2308" s="392"/>
      <c r="B2308" s="393"/>
      <c r="C2308" s="99" t="str">
        <f>IF(B2308="","",IF(NOT(ISNUMBER(B2308)),"DATA_PC invalida",IF(NOT(ISNUMBER(parametros!$C$2)),"Fora dos ciclos",IF(OR(B2308&lt;parametros!$C$2,(YEAR(B2308)-YEAR(parametros!$C$2))*12+MONTH(B2308)-MONTH(parametros!$C$2)&gt;59),"Fora dos ciclos","C"&amp;INT(((YEAR(B2308)-YEAR(parametros!$C$2))*12+MONTH(B2308)-MONTH(parametros!$C$2))/12)))))</f>
        <v/>
      </c>
      <c r="D2308" s="394"/>
      <c r="E2308" s="78" t="str">
        <f>IF(C2308="","",IFERROR(VLOOKUP(C2308,parametros!$A$11:$E$15,5,0),""))</f>
        <v/>
      </c>
      <c r="F2308" s="79" t="str">
        <f t="shared" si="182"/>
        <v/>
      </c>
      <c r="G2308" s="395"/>
      <c r="H2308" s="91">
        <f t="shared" si="183"/>
        <v>0</v>
      </c>
      <c r="I2308" s="91" t="str">
        <f t="shared" si="184"/>
        <v/>
      </c>
      <c r="J2308" s="91" t="str">
        <f t="shared" si="185"/>
        <v/>
      </c>
      <c r="K2308" s="92" t="str">
        <f>IF(AND(A2308="",B2308="",D2308="",G2308=""),"",IF(AND(A2308&lt;&gt;"",COUNTIF($A$2:$A$5001,A2308)&gt;1),"NUMERO_PC duplicado",IF(B2308="","DATA_PC vazia",IF(NOT(ISNUMBER(B2308)),"DATA_PC invalida",IF(OR(C2308="",C2308="Fora dos ciclos"),"CICLO_PC nao identificado",IF(OR(D2308="",D2308=0),"VALOR_PC vazio ou zero",IF(AND(G2308&lt;&gt;"Sim",G2308&lt;&gt;"Nao",G2308&lt;&gt;""),"PC_PAGO_A_CONTRATADA invalido",IF(AND(C2308&lt;&gt;"C0",IFERROR(INDEX(parametros!$A$2:$A$6,MATCH(C2308,parametros!$B$2:$B$6,0)),"")="Sim",IFERROR(INDEX(parametros!$H$2:$H$6,MATCH(C2308,parametros!$B$2:$B$6,0)),"")=""),"INICIO_EFEITO ausente: PC "&amp;A2308&amp;" - "&amp;C2308,IF(L2308="","EFEITO_PC nao calculado: PC "&amp;A2308&amp;" - "&amp;C2308,"OK")))))))))</f>
        <v/>
      </c>
      <c r="L2308" s="92" t="str">
        <f>IF(AND(A2308="",B2308="",D2308="",G2308=""),"",IF(OR(B2308="",NOT(ISNUMBER(B2308)),C2308="",C2308="Fora dos ciclos"),"",IF(C2308="C0","Nao",IF(IFERROR(INDEX(parametros!$A$2:$A$6,MATCH(C2308,parametros!$B$2:$B$6,0)),"")&lt;&gt;"Sim","Nao",IF(IFERROR(INDEX(parametros!$H$2:$H$6,MATCH(C2308,parametros!$B$2:$B$6,0)),"")="","",IF(B2308&gt;=IFERROR(INDEX(parametros!$H$2:$H$6,MATCH(C2308,parametros!$B$2:$B$6,0)),""),"Sim","Nao"))))))</f>
        <v/>
      </c>
      <c r="T2308" s="156"/>
      <c r="U2308" s="214" t="str">
        <f t="shared" si="186"/>
        <v/>
      </c>
      <c r="V2308" s="212" t="s">
        <v>50</v>
      </c>
      <c r="W2308" s="100" t="s">
        <v>168</v>
      </c>
      <c r="X2308" s="100" t="s">
        <v>169</v>
      </c>
      <c r="Y2308" s="101" t="s">
        <v>170</v>
      </c>
      <c r="Z2308" s="101" t="s">
        <v>171</v>
      </c>
      <c r="AA2308" s="101" t="s">
        <v>50</v>
      </c>
      <c r="AB2308" s="101" t="s">
        <v>172</v>
      </c>
      <c r="AC2308" s="102" t="s">
        <v>173</v>
      </c>
    </row>
    <row r="2309" spans="1:29" ht="25.5" customHeight="1" x14ac:dyDescent="0.35">
      <c r="A2309" s="392"/>
      <c r="B2309" s="393"/>
      <c r="C2309" s="99" t="str">
        <f>IF(B2309="","",IF(NOT(ISNUMBER(B2309)),"DATA_PC invalida",IF(NOT(ISNUMBER(parametros!$C$2)),"Fora dos ciclos",IF(OR(B2309&lt;parametros!$C$2,(YEAR(B2309)-YEAR(parametros!$C$2))*12+MONTH(B2309)-MONTH(parametros!$C$2)&gt;59),"Fora dos ciclos","C"&amp;INT(((YEAR(B2309)-YEAR(parametros!$C$2))*12+MONTH(B2309)-MONTH(parametros!$C$2))/12)))))</f>
        <v/>
      </c>
      <c r="D2309" s="394"/>
      <c r="E2309" s="78" t="str">
        <f>IF(C2309="","",IFERROR(VLOOKUP(C2309,parametros!$A$11:$E$15,5,0),""))</f>
        <v/>
      </c>
      <c r="F2309" s="79" t="str">
        <f t="shared" si="182"/>
        <v/>
      </c>
      <c r="G2309" s="395"/>
      <c r="H2309" s="91">
        <f t="shared" si="183"/>
        <v>0</v>
      </c>
      <c r="I2309" s="91" t="str">
        <f t="shared" si="184"/>
        <v/>
      </c>
      <c r="J2309" s="91" t="str">
        <f t="shared" si="185"/>
        <v/>
      </c>
      <c r="K2309" s="92" t="str">
        <f>IF(AND(A2309="",B2309="",D2309="",G2309=""),"",IF(AND(A2309&lt;&gt;"",COUNTIF($A$2:$A$5001,A2309)&gt;1),"NUMERO_PC duplicado",IF(B2309="","DATA_PC vazia",IF(NOT(ISNUMBER(B2309)),"DATA_PC invalida",IF(OR(C2309="",C2309="Fora dos ciclos"),"CICLO_PC nao identificado",IF(OR(D2309="",D2309=0),"VALOR_PC vazio ou zero",IF(AND(G2309&lt;&gt;"Sim",G2309&lt;&gt;"Nao",G2309&lt;&gt;""),"PC_PAGO_A_CONTRATADA invalido",IF(AND(C2309&lt;&gt;"C0",IFERROR(INDEX(parametros!$A$2:$A$6,MATCH(C2309,parametros!$B$2:$B$6,0)),"")="Sim",IFERROR(INDEX(parametros!$H$2:$H$6,MATCH(C2309,parametros!$B$2:$B$6,0)),"")=""),"INICIO_EFEITO ausente: PC "&amp;A2309&amp;" - "&amp;C2309,IF(L2309="","EFEITO_PC nao calculado: PC "&amp;A2309&amp;" - "&amp;C2309,"OK")))))))))</f>
        <v/>
      </c>
      <c r="L2309" s="92" t="str">
        <f>IF(AND(A2309="",B2309="",D2309="",G2309=""),"",IF(OR(B2309="",NOT(ISNUMBER(B2309)),C2309="",C2309="Fora dos ciclos"),"",IF(C2309="C0","Nao",IF(IFERROR(INDEX(parametros!$A$2:$A$6,MATCH(C2309,parametros!$B$2:$B$6,0)),"")&lt;&gt;"Sim","Nao",IF(IFERROR(INDEX(parametros!$H$2:$H$6,MATCH(C2309,parametros!$B$2:$B$6,0)),"")="","",IF(B2309&gt;=IFERROR(INDEX(parametros!$H$2:$H$6,MATCH(C2309,parametros!$B$2:$B$6,0)),""),"Sim","Nao"))))))</f>
        <v/>
      </c>
      <c r="T2309" s="156"/>
      <c r="U2309" s="214" t="str">
        <f t="shared" si="186"/>
        <v/>
      </c>
      <c r="V2309" s="212" t="s">
        <v>50</v>
      </c>
      <c r="W2309" s="100" t="s">
        <v>168</v>
      </c>
      <c r="X2309" s="100" t="s">
        <v>169</v>
      </c>
      <c r="Y2309" s="101" t="s">
        <v>170</v>
      </c>
      <c r="Z2309" s="101" t="s">
        <v>171</v>
      </c>
      <c r="AA2309" s="101" t="s">
        <v>50</v>
      </c>
      <c r="AB2309" s="101" t="s">
        <v>172</v>
      </c>
      <c r="AC2309" s="102" t="s">
        <v>173</v>
      </c>
    </row>
    <row r="2310" spans="1:29" ht="25.5" customHeight="1" x14ac:dyDescent="0.35">
      <c r="A2310" s="392"/>
      <c r="B2310" s="393"/>
      <c r="C2310" s="99" t="str">
        <f>IF(B2310="","",IF(NOT(ISNUMBER(B2310)),"DATA_PC invalida",IF(NOT(ISNUMBER(parametros!$C$2)),"Fora dos ciclos",IF(OR(B2310&lt;parametros!$C$2,(YEAR(B2310)-YEAR(parametros!$C$2))*12+MONTH(B2310)-MONTH(parametros!$C$2)&gt;59),"Fora dos ciclos","C"&amp;INT(((YEAR(B2310)-YEAR(parametros!$C$2))*12+MONTH(B2310)-MONTH(parametros!$C$2))/12)))))</f>
        <v/>
      </c>
      <c r="D2310" s="394"/>
      <c r="E2310" s="78" t="str">
        <f>IF(C2310="","",IFERROR(VLOOKUP(C2310,parametros!$A$11:$E$15,5,0),""))</f>
        <v/>
      </c>
      <c r="F2310" s="79" t="str">
        <f t="shared" si="182"/>
        <v/>
      </c>
      <c r="G2310" s="395"/>
      <c r="H2310" s="91">
        <f t="shared" si="183"/>
        <v>0</v>
      </c>
      <c r="I2310" s="91" t="str">
        <f t="shared" si="184"/>
        <v/>
      </c>
      <c r="J2310" s="91" t="str">
        <f t="shared" si="185"/>
        <v/>
      </c>
      <c r="K2310" s="92" t="str">
        <f>IF(AND(A2310="",B2310="",D2310="",G2310=""),"",IF(AND(A2310&lt;&gt;"",COUNTIF($A$2:$A$5001,A2310)&gt;1),"NUMERO_PC duplicado",IF(B2310="","DATA_PC vazia",IF(NOT(ISNUMBER(B2310)),"DATA_PC invalida",IF(OR(C2310="",C2310="Fora dos ciclos"),"CICLO_PC nao identificado",IF(OR(D2310="",D2310=0),"VALOR_PC vazio ou zero",IF(AND(G2310&lt;&gt;"Sim",G2310&lt;&gt;"Nao",G2310&lt;&gt;""),"PC_PAGO_A_CONTRATADA invalido",IF(AND(C2310&lt;&gt;"C0",IFERROR(INDEX(parametros!$A$2:$A$6,MATCH(C2310,parametros!$B$2:$B$6,0)),"")="Sim",IFERROR(INDEX(parametros!$H$2:$H$6,MATCH(C2310,parametros!$B$2:$B$6,0)),"")=""),"INICIO_EFEITO ausente: PC "&amp;A2310&amp;" - "&amp;C2310,IF(L2310="","EFEITO_PC nao calculado: PC "&amp;A2310&amp;" - "&amp;C2310,"OK")))))))))</f>
        <v/>
      </c>
      <c r="L2310" s="92" t="str">
        <f>IF(AND(A2310="",B2310="",D2310="",G2310=""),"",IF(OR(B2310="",NOT(ISNUMBER(B2310)),C2310="",C2310="Fora dos ciclos"),"",IF(C2310="C0","Nao",IF(IFERROR(INDEX(parametros!$A$2:$A$6,MATCH(C2310,parametros!$B$2:$B$6,0)),"")&lt;&gt;"Sim","Nao",IF(IFERROR(INDEX(parametros!$H$2:$H$6,MATCH(C2310,parametros!$B$2:$B$6,0)),"")="","",IF(B2310&gt;=IFERROR(INDEX(parametros!$H$2:$H$6,MATCH(C2310,parametros!$B$2:$B$6,0)),""),"Sim","Nao"))))))</f>
        <v/>
      </c>
      <c r="T2310" s="156"/>
      <c r="U2310" s="214" t="str">
        <f t="shared" si="186"/>
        <v/>
      </c>
      <c r="V2310" s="212" t="s">
        <v>50</v>
      </c>
      <c r="W2310" s="100" t="s">
        <v>168</v>
      </c>
      <c r="X2310" s="100" t="s">
        <v>169</v>
      </c>
      <c r="Y2310" s="101" t="s">
        <v>170</v>
      </c>
      <c r="Z2310" s="101" t="s">
        <v>171</v>
      </c>
      <c r="AA2310" s="101" t="s">
        <v>50</v>
      </c>
      <c r="AB2310" s="101" t="s">
        <v>172</v>
      </c>
      <c r="AC2310" s="102" t="s">
        <v>173</v>
      </c>
    </row>
    <row r="2311" spans="1:29" ht="25.5" customHeight="1" x14ac:dyDescent="0.35">
      <c r="A2311" s="392"/>
      <c r="B2311" s="393"/>
      <c r="C2311" s="99" t="str">
        <f>IF(B2311="","",IF(NOT(ISNUMBER(B2311)),"DATA_PC invalida",IF(NOT(ISNUMBER(parametros!$C$2)),"Fora dos ciclos",IF(OR(B2311&lt;parametros!$C$2,(YEAR(B2311)-YEAR(parametros!$C$2))*12+MONTH(B2311)-MONTH(parametros!$C$2)&gt;59),"Fora dos ciclos","C"&amp;INT(((YEAR(B2311)-YEAR(parametros!$C$2))*12+MONTH(B2311)-MONTH(parametros!$C$2))/12)))))</f>
        <v/>
      </c>
      <c r="D2311" s="394"/>
      <c r="E2311" s="78" t="str">
        <f>IF(C2311="","",IFERROR(VLOOKUP(C2311,parametros!$A$11:$E$15,5,0),""))</f>
        <v/>
      </c>
      <c r="F2311" s="79" t="str">
        <f t="shared" si="182"/>
        <v/>
      </c>
      <c r="G2311" s="395"/>
      <c r="H2311" s="91">
        <f t="shared" si="183"/>
        <v>0</v>
      </c>
      <c r="I2311" s="91" t="str">
        <f t="shared" si="184"/>
        <v/>
      </c>
      <c r="J2311" s="91" t="str">
        <f t="shared" si="185"/>
        <v/>
      </c>
      <c r="K2311" s="92" t="str">
        <f>IF(AND(A2311="",B2311="",D2311="",G2311=""),"",IF(AND(A2311&lt;&gt;"",COUNTIF($A$2:$A$5001,A2311)&gt;1),"NUMERO_PC duplicado",IF(B2311="","DATA_PC vazia",IF(NOT(ISNUMBER(B2311)),"DATA_PC invalida",IF(OR(C2311="",C2311="Fora dos ciclos"),"CICLO_PC nao identificado",IF(OR(D2311="",D2311=0),"VALOR_PC vazio ou zero",IF(AND(G2311&lt;&gt;"Sim",G2311&lt;&gt;"Nao",G2311&lt;&gt;""),"PC_PAGO_A_CONTRATADA invalido",IF(AND(C2311&lt;&gt;"C0",IFERROR(INDEX(parametros!$A$2:$A$6,MATCH(C2311,parametros!$B$2:$B$6,0)),"")="Sim",IFERROR(INDEX(parametros!$H$2:$H$6,MATCH(C2311,parametros!$B$2:$B$6,0)),"")=""),"INICIO_EFEITO ausente: PC "&amp;A2311&amp;" - "&amp;C2311,IF(L2311="","EFEITO_PC nao calculado: PC "&amp;A2311&amp;" - "&amp;C2311,"OK")))))))))</f>
        <v/>
      </c>
      <c r="L2311" s="92" t="str">
        <f>IF(AND(A2311="",B2311="",D2311="",G2311=""),"",IF(OR(B2311="",NOT(ISNUMBER(B2311)),C2311="",C2311="Fora dos ciclos"),"",IF(C2311="C0","Nao",IF(IFERROR(INDEX(parametros!$A$2:$A$6,MATCH(C2311,parametros!$B$2:$B$6,0)),"")&lt;&gt;"Sim","Nao",IF(IFERROR(INDEX(parametros!$H$2:$H$6,MATCH(C2311,parametros!$B$2:$B$6,0)),"")="","",IF(B2311&gt;=IFERROR(INDEX(parametros!$H$2:$H$6,MATCH(C2311,parametros!$B$2:$B$6,0)),""),"Sim","Nao"))))))</f>
        <v/>
      </c>
      <c r="T2311" s="156"/>
      <c r="U2311" s="214" t="str">
        <f t="shared" si="186"/>
        <v/>
      </c>
      <c r="V2311" s="212" t="s">
        <v>50</v>
      </c>
      <c r="W2311" s="100" t="s">
        <v>168</v>
      </c>
      <c r="X2311" s="100" t="s">
        <v>169</v>
      </c>
      <c r="Y2311" s="101" t="s">
        <v>170</v>
      </c>
      <c r="Z2311" s="101" t="s">
        <v>171</v>
      </c>
      <c r="AA2311" s="101" t="s">
        <v>50</v>
      </c>
      <c r="AB2311" s="101" t="s">
        <v>172</v>
      </c>
      <c r="AC2311" s="102" t="s">
        <v>173</v>
      </c>
    </row>
    <row r="2312" spans="1:29" ht="25.5" customHeight="1" x14ac:dyDescent="0.35">
      <c r="A2312" s="392"/>
      <c r="B2312" s="393"/>
      <c r="C2312" s="99" t="str">
        <f>IF(B2312="","",IF(NOT(ISNUMBER(B2312)),"DATA_PC invalida",IF(NOT(ISNUMBER(parametros!$C$2)),"Fora dos ciclos",IF(OR(B2312&lt;parametros!$C$2,(YEAR(B2312)-YEAR(parametros!$C$2))*12+MONTH(B2312)-MONTH(parametros!$C$2)&gt;59),"Fora dos ciclos","C"&amp;INT(((YEAR(B2312)-YEAR(parametros!$C$2))*12+MONTH(B2312)-MONTH(parametros!$C$2))/12)))))</f>
        <v/>
      </c>
      <c r="D2312" s="394"/>
      <c r="E2312" s="78" t="str">
        <f>IF(C2312="","",IFERROR(VLOOKUP(C2312,parametros!$A$11:$E$15,5,0),""))</f>
        <v/>
      </c>
      <c r="F2312" s="79" t="str">
        <f t="shared" si="182"/>
        <v/>
      </c>
      <c r="G2312" s="395"/>
      <c r="H2312" s="91">
        <f t="shared" si="183"/>
        <v>0</v>
      </c>
      <c r="I2312" s="91" t="str">
        <f t="shared" si="184"/>
        <v/>
      </c>
      <c r="J2312" s="91" t="str">
        <f t="shared" si="185"/>
        <v/>
      </c>
      <c r="K2312" s="92" t="str">
        <f>IF(AND(A2312="",B2312="",D2312="",G2312=""),"",IF(AND(A2312&lt;&gt;"",COUNTIF($A$2:$A$5001,A2312)&gt;1),"NUMERO_PC duplicado",IF(B2312="","DATA_PC vazia",IF(NOT(ISNUMBER(B2312)),"DATA_PC invalida",IF(OR(C2312="",C2312="Fora dos ciclos"),"CICLO_PC nao identificado",IF(OR(D2312="",D2312=0),"VALOR_PC vazio ou zero",IF(AND(G2312&lt;&gt;"Sim",G2312&lt;&gt;"Nao",G2312&lt;&gt;""),"PC_PAGO_A_CONTRATADA invalido",IF(AND(C2312&lt;&gt;"C0",IFERROR(INDEX(parametros!$A$2:$A$6,MATCH(C2312,parametros!$B$2:$B$6,0)),"")="Sim",IFERROR(INDEX(parametros!$H$2:$H$6,MATCH(C2312,parametros!$B$2:$B$6,0)),"")=""),"INICIO_EFEITO ausente: PC "&amp;A2312&amp;" - "&amp;C2312,IF(L2312="","EFEITO_PC nao calculado: PC "&amp;A2312&amp;" - "&amp;C2312,"OK")))))))))</f>
        <v/>
      </c>
      <c r="L2312" s="92" t="str">
        <f>IF(AND(A2312="",B2312="",D2312="",G2312=""),"",IF(OR(B2312="",NOT(ISNUMBER(B2312)),C2312="",C2312="Fora dos ciclos"),"",IF(C2312="C0","Nao",IF(IFERROR(INDEX(parametros!$A$2:$A$6,MATCH(C2312,parametros!$B$2:$B$6,0)),"")&lt;&gt;"Sim","Nao",IF(IFERROR(INDEX(parametros!$H$2:$H$6,MATCH(C2312,parametros!$B$2:$B$6,0)),"")="","",IF(B2312&gt;=IFERROR(INDEX(parametros!$H$2:$H$6,MATCH(C2312,parametros!$B$2:$B$6,0)),""),"Sim","Nao"))))))</f>
        <v/>
      </c>
      <c r="T2312" s="156"/>
      <c r="U2312" s="214" t="str">
        <f t="shared" si="186"/>
        <v/>
      </c>
      <c r="V2312" s="212" t="s">
        <v>50</v>
      </c>
      <c r="W2312" s="100" t="s">
        <v>168</v>
      </c>
      <c r="X2312" s="100" t="s">
        <v>169</v>
      </c>
      <c r="Y2312" s="101" t="s">
        <v>170</v>
      </c>
      <c r="Z2312" s="101" t="s">
        <v>171</v>
      </c>
      <c r="AA2312" s="101" t="s">
        <v>50</v>
      </c>
      <c r="AB2312" s="101" t="s">
        <v>172</v>
      </c>
      <c r="AC2312" s="102" t="s">
        <v>173</v>
      </c>
    </row>
    <row r="2313" spans="1:29" ht="25.5" customHeight="1" x14ac:dyDescent="0.35">
      <c r="A2313" s="392"/>
      <c r="B2313" s="393"/>
      <c r="C2313" s="99" t="str">
        <f>IF(B2313="","",IF(NOT(ISNUMBER(B2313)),"DATA_PC invalida",IF(NOT(ISNUMBER(parametros!$C$2)),"Fora dos ciclos",IF(OR(B2313&lt;parametros!$C$2,(YEAR(B2313)-YEAR(parametros!$C$2))*12+MONTH(B2313)-MONTH(parametros!$C$2)&gt;59),"Fora dos ciclos","C"&amp;INT(((YEAR(B2313)-YEAR(parametros!$C$2))*12+MONTH(B2313)-MONTH(parametros!$C$2))/12)))))</f>
        <v/>
      </c>
      <c r="D2313" s="394"/>
      <c r="E2313" s="78" t="str">
        <f>IF(C2313="","",IFERROR(VLOOKUP(C2313,parametros!$A$11:$E$15,5,0),""))</f>
        <v/>
      </c>
      <c r="F2313" s="79" t="str">
        <f t="shared" si="182"/>
        <v/>
      </c>
      <c r="G2313" s="395"/>
      <c r="H2313" s="91">
        <f t="shared" si="183"/>
        <v>0</v>
      </c>
      <c r="I2313" s="91" t="str">
        <f t="shared" si="184"/>
        <v/>
      </c>
      <c r="J2313" s="91" t="str">
        <f t="shared" si="185"/>
        <v/>
      </c>
      <c r="K2313" s="92" t="str">
        <f>IF(AND(A2313="",B2313="",D2313="",G2313=""),"",IF(AND(A2313&lt;&gt;"",COUNTIF($A$2:$A$5001,A2313)&gt;1),"NUMERO_PC duplicado",IF(B2313="","DATA_PC vazia",IF(NOT(ISNUMBER(B2313)),"DATA_PC invalida",IF(OR(C2313="",C2313="Fora dos ciclos"),"CICLO_PC nao identificado",IF(OR(D2313="",D2313=0),"VALOR_PC vazio ou zero",IF(AND(G2313&lt;&gt;"Sim",G2313&lt;&gt;"Nao",G2313&lt;&gt;""),"PC_PAGO_A_CONTRATADA invalido",IF(AND(C2313&lt;&gt;"C0",IFERROR(INDEX(parametros!$A$2:$A$6,MATCH(C2313,parametros!$B$2:$B$6,0)),"")="Sim",IFERROR(INDEX(parametros!$H$2:$H$6,MATCH(C2313,parametros!$B$2:$B$6,0)),"")=""),"INICIO_EFEITO ausente: PC "&amp;A2313&amp;" - "&amp;C2313,IF(L2313="","EFEITO_PC nao calculado: PC "&amp;A2313&amp;" - "&amp;C2313,"OK")))))))))</f>
        <v/>
      </c>
      <c r="L2313" s="92" t="str">
        <f>IF(AND(A2313="",B2313="",D2313="",G2313=""),"",IF(OR(B2313="",NOT(ISNUMBER(B2313)),C2313="",C2313="Fora dos ciclos"),"",IF(C2313="C0","Nao",IF(IFERROR(INDEX(parametros!$A$2:$A$6,MATCH(C2313,parametros!$B$2:$B$6,0)),"")&lt;&gt;"Sim","Nao",IF(IFERROR(INDEX(parametros!$H$2:$H$6,MATCH(C2313,parametros!$B$2:$B$6,0)),"")="","",IF(B2313&gt;=IFERROR(INDEX(parametros!$H$2:$H$6,MATCH(C2313,parametros!$B$2:$B$6,0)),""),"Sim","Nao"))))))</f>
        <v/>
      </c>
      <c r="T2313" s="156"/>
      <c r="U2313" s="214" t="str">
        <f t="shared" si="186"/>
        <v/>
      </c>
      <c r="V2313" s="212" t="s">
        <v>50</v>
      </c>
      <c r="W2313" s="100" t="s">
        <v>168</v>
      </c>
      <c r="X2313" s="100" t="s">
        <v>169</v>
      </c>
      <c r="Y2313" s="101" t="s">
        <v>170</v>
      </c>
      <c r="Z2313" s="101" t="s">
        <v>171</v>
      </c>
      <c r="AA2313" s="101" t="s">
        <v>50</v>
      </c>
      <c r="AB2313" s="101" t="s">
        <v>172</v>
      </c>
      <c r="AC2313" s="102" t="s">
        <v>173</v>
      </c>
    </row>
    <row r="2314" spans="1:29" ht="25.5" customHeight="1" x14ac:dyDescent="0.35">
      <c r="A2314" s="392"/>
      <c r="B2314" s="393"/>
      <c r="C2314" s="99" t="str">
        <f>IF(B2314="","",IF(NOT(ISNUMBER(B2314)),"DATA_PC invalida",IF(NOT(ISNUMBER(parametros!$C$2)),"Fora dos ciclos",IF(OR(B2314&lt;parametros!$C$2,(YEAR(B2314)-YEAR(parametros!$C$2))*12+MONTH(B2314)-MONTH(parametros!$C$2)&gt;59),"Fora dos ciclos","C"&amp;INT(((YEAR(B2314)-YEAR(parametros!$C$2))*12+MONTH(B2314)-MONTH(parametros!$C$2))/12)))))</f>
        <v/>
      </c>
      <c r="D2314" s="394"/>
      <c r="E2314" s="78" t="str">
        <f>IF(C2314="","",IFERROR(VLOOKUP(C2314,parametros!$A$11:$E$15,5,0),""))</f>
        <v/>
      </c>
      <c r="F2314" s="79" t="str">
        <f t="shared" si="182"/>
        <v/>
      </c>
      <c r="G2314" s="395"/>
      <c r="H2314" s="91">
        <f t="shared" si="183"/>
        <v>0</v>
      </c>
      <c r="I2314" s="91" t="str">
        <f t="shared" si="184"/>
        <v/>
      </c>
      <c r="J2314" s="91" t="str">
        <f t="shared" si="185"/>
        <v/>
      </c>
      <c r="K2314" s="92" t="str">
        <f>IF(AND(A2314="",B2314="",D2314="",G2314=""),"",IF(AND(A2314&lt;&gt;"",COUNTIF($A$2:$A$5001,A2314)&gt;1),"NUMERO_PC duplicado",IF(B2314="","DATA_PC vazia",IF(NOT(ISNUMBER(B2314)),"DATA_PC invalida",IF(OR(C2314="",C2314="Fora dos ciclos"),"CICLO_PC nao identificado",IF(OR(D2314="",D2314=0),"VALOR_PC vazio ou zero",IF(AND(G2314&lt;&gt;"Sim",G2314&lt;&gt;"Nao",G2314&lt;&gt;""),"PC_PAGO_A_CONTRATADA invalido",IF(AND(C2314&lt;&gt;"C0",IFERROR(INDEX(parametros!$A$2:$A$6,MATCH(C2314,parametros!$B$2:$B$6,0)),"")="Sim",IFERROR(INDEX(parametros!$H$2:$H$6,MATCH(C2314,parametros!$B$2:$B$6,0)),"")=""),"INICIO_EFEITO ausente: PC "&amp;A2314&amp;" - "&amp;C2314,IF(L2314="","EFEITO_PC nao calculado: PC "&amp;A2314&amp;" - "&amp;C2314,"OK")))))))))</f>
        <v/>
      </c>
      <c r="L2314" s="92" t="str">
        <f>IF(AND(A2314="",B2314="",D2314="",G2314=""),"",IF(OR(B2314="",NOT(ISNUMBER(B2314)),C2314="",C2314="Fora dos ciclos"),"",IF(C2314="C0","Nao",IF(IFERROR(INDEX(parametros!$A$2:$A$6,MATCH(C2314,parametros!$B$2:$B$6,0)),"")&lt;&gt;"Sim","Nao",IF(IFERROR(INDEX(parametros!$H$2:$H$6,MATCH(C2314,parametros!$B$2:$B$6,0)),"")="","",IF(B2314&gt;=IFERROR(INDEX(parametros!$H$2:$H$6,MATCH(C2314,parametros!$B$2:$B$6,0)),""),"Sim","Nao"))))))</f>
        <v/>
      </c>
      <c r="T2314" s="156"/>
      <c r="U2314" s="214" t="str">
        <f t="shared" si="186"/>
        <v/>
      </c>
      <c r="V2314" s="212" t="s">
        <v>50</v>
      </c>
      <c r="W2314" s="100" t="s">
        <v>168</v>
      </c>
      <c r="X2314" s="100" t="s">
        <v>169</v>
      </c>
      <c r="Y2314" s="101" t="s">
        <v>170</v>
      </c>
      <c r="Z2314" s="101" t="s">
        <v>171</v>
      </c>
      <c r="AA2314" s="101" t="s">
        <v>50</v>
      </c>
      <c r="AB2314" s="101" t="s">
        <v>172</v>
      </c>
      <c r="AC2314" s="102" t="s">
        <v>173</v>
      </c>
    </row>
    <row r="2315" spans="1:29" ht="25.5" customHeight="1" x14ac:dyDescent="0.35">
      <c r="A2315" s="392"/>
      <c r="B2315" s="393"/>
      <c r="C2315" s="99" t="str">
        <f>IF(B2315="","",IF(NOT(ISNUMBER(B2315)),"DATA_PC invalida",IF(NOT(ISNUMBER(parametros!$C$2)),"Fora dos ciclos",IF(OR(B2315&lt;parametros!$C$2,(YEAR(B2315)-YEAR(parametros!$C$2))*12+MONTH(B2315)-MONTH(parametros!$C$2)&gt;59),"Fora dos ciclos","C"&amp;INT(((YEAR(B2315)-YEAR(parametros!$C$2))*12+MONTH(B2315)-MONTH(parametros!$C$2))/12)))))</f>
        <v/>
      </c>
      <c r="D2315" s="394"/>
      <c r="E2315" s="78" t="str">
        <f>IF(C2315="","",IFERROR(VLOOKUP(C2315,parametros!$A$11:$E$15,5,0),""))</f>
        <v/>
      </c>
      <c r="F2315" s="79" t="str">
        <f t="shared" si="182"/>
        <v/>
      </c>
      <c r="G2315" s="395"/>
      <c r="H2315" s="91">
        <f t="shared" si="183"/>
        <v>0</v>
      </c>
      <c r="I2315" s="91" t="str">
        <f t="shared" si="184"/>
        <v/>
      </c>
      <c r="J2315" s="91" t="str">
        <f t="shared" si="185"/>
        <v/>
      </c>
      <c r="K2315" s="92" t="str">
        <f>IF(AND(A2315="",B2315="",D2315="",G2315=""),"",IF(AND(A2315&lt;&gt;"",COUNTIF($A$2:$A$5001,A2315)&gt;1),"NUMERO_PC duplicado",IF(B2315="","DATA_PC vazia",IF(NOT(ISNUMBER(B2315)),"DATA_PC invalida",IF(OR(C2315="",C2315="Fora dos ciclos"),"CICLO_PC nao identificado",IF(OR(D2315="",D2315=0),"VALOR_PC vazio ou zero",IF(AND(G2315&lt;&gt;"Sim",G2315&lt;&gt;"Nao",G2315&lt;&gt;""),"PC_PAGO_A_CONTRATADA invalido",IF(AND(C2315&lt;&gt;"C0",IFERROR(INDEX(parametros!$A$2:$A$6,MATCH(C2315,parametros!$B$2:$B$6,0)),"")="Sim",IFERROR(INDEX(parametros!$H$2:$H$6,MATCH(C2315,parametros!$B$2:$B$6,0)),"")=""),"INICIO_EFEITO ausente: PC "&amp;A2315&amp;" - "&amp;C2315,IF(L2315="","EFEITO_PC nao calculado: PC "&amp;A2315&amp;" - "&amp;C2315,"OK")))))))))</f>
        <v/>
      </c>
      <c r="L2315" s="92" t="str">
        <f>IF(AND(A2315="",B2315="",D2315="",G2315=""),"",IF(OR(B2315="",NOT(ISNUMBER(B2315)),C2315="",C2315="Fora dos ciclos"),"",IF(C2315="C0","Nao",IF(IFERROR(INDEX(parametros!$A$2:$A$6,MATCH(C2315,parametros!$B$2:$B$6,0)),"")&lt;&gt;"Sim","Nao",IF(IFERROR(INDEX(parametros!$H$2:$H$6,MATCH(C2315,parametros!$B$2:$B$6,0)),"")="","",IF(B2315&gt;=IFERROR(INDEX(parametros!$H$2:$H$6,MATCH(C2315,parametros!$B$2:$B$6,0)),""),"Sim","Nao"))))))</f>
        <v/>
      </c>
      <c r="T2315" s="156"/>
      <c r="U2315" s="214" t="str">
        <f t="shared" si="186"/>
        <v/>
      </c>
      <c r="V2315" s="212" t="s">
        <v>50</v>
      </c>
      <c r="W2315" s="100" t="s">
        <v>168</v>
      </c>
      <c r="X2315" s="100" t="s">
        <v>169</v>
      </c>
      <c r="Y2315" s="101" t="s">
        <v>170</v>
      </c>
      <c r="Z2315" s="101" t="s">
        <v>171</v>
      </c>
      <c r="AA2315" s="101" t="s">
        <v>50</v>
      </c>
      <c r="AB2315" s="101" t="s">
        <v>172</v>
      </c>
      <c r="AC2315" s="102" t="s">
        <v>173</v>
      </c>
    </row>
    <row r="2316" spans="1:29" ht="25.5" customHeight="1" x14ac:dyDescent="0.35">
      <c r="A2316" s="392"/>
      <c r="B2316" s="393"/>
      <c r="C2316" s="99" t="str">
        <f>IF(B2316="","",IF(NOT(ISNUMBER(B2316)),"DATA_PC invalida",IF(NOT(ISNUMBER(parametros!$C$2)),"Fora dos ciclos",IF(OR(B2316&lt;parametros!$C$2,(YEAR(B2316)-YEAR(parametros!$C$2))*12+MONTH(B2316)-MONTH(parametros!$C$2)&gt;59),"Fora dos ciclos","C"&amp;INT(((YEAR(B2316)-YEAR(parametros!$C$2))*12+MONTH(B2316)-MONTH(parametros!$C$2))/12)))))</f>
        <v/>
      </c>
      <c r="D2316" s="394"/>
      <c r="E2316" s="78" t="str">
        <f>IF(C2316="","",IFERROR(VLOOKUP(C2316,parametros!$A$11:$E$15,5,0),""))</f>
        <v/>
      </c>
      <c r="F2316" s="79" t="str">
        <f t="shared" si="182"/>
        <v/>
      </c>
      <c r="G2316" s="395"/>
      <c r="H2316" s="91">
        <f t="shared" si="183"/>
        <v>0</v>
      </c>
      <c r="I2316" s="91" t="str">
        <f t="shared" si="184"/>
        <v/>
      </c>
      <c r="J2316" s="91" t="str">
        <f t="shared" si="185"/>
        <v/>
      </c>
      <c r="K2316" s="92" t="str">
        <f>IF(AND(A2316="",B2316="",D2316="",G2316=""),"",IF(AND(A2316&lt;&gt;"",COUNTIF($A$2:$A$5001,A2316)&gt;1),"NUMERO_PC duplicado",IF(B2316="","DATA_PC vazia",IF(NOT(ISNUMBER(B2316)),"DATA_PC invalida",IF(OR(C2316="",C2316="Fora dos ciclos"),"CICLO_PC nao identificado",IF(OR(D2316="",D2316=0),"VALOR_PC vazio ou zero",IF(AND(G2316&lt;&gt;"Sim",G2316&lt;&gt;"Nao",G2316&lt;&gt;""),"PC_PAGO_A_CONTRATADA invalido",IF(AND(C2316&lt;&gt;"C0",IFERROR(INDEX(parametros!$A$2:$A$6,MATCH(C2316,parametros!$B$2:$B$6,0)),"")="Sim",IFERROR(INDEX(parametros!$H$2:$H$6,MATCH(C2316,parametros!$B$2:$B$6,0)),"")=""),"INICIO_EFEITO ausente: PC "&amp;A2316&amp;" - "&amp;C2316,IF(L2316="","EFEITO_PC nao calculado: PC "&amp;A2316&amp;" - "&amp;C2316,"OK")))))))))</f>
        <v/>
      </c>
      <c r="L2316" s="92" t="str">
        <f>IF(AND(A2316="",B2316="",D2316="",G2316=""),"",IF(OR(B2316="",NOT(ISNUMBER(B2316)),C2316="",C2316="Fora dos ciclos"),"",IF(C2316="C0","Nao",IF(IFERROR(INDEX(parametros!$A$2:$A$6,MATCH(C2316,parametros!$B$2:$B$6,0)),"")&lt;&gt;"Sim","Nao",IF(IFERROR(INDEX(parametros!$H$2:$H$6,MATCH(C2316,parametros!$B$2:$B$6,0)),"")="","",IF(B2316&gt;=IFERROR(INDEX(parametros!$H$2:$H$6,MATCH(C2316,parametros!$B$2:$B$6,0)),""),"Sim","Nao"))))))</f>
        <v/>
      </c>
      <c r="T2316" s="156"/>
      <c r="U2316" s="214" t="str">
        <f t="shared" si="186"/>
        <v/>
      </c>
      <c r="V2316" s="212" t="s">
        <v>50</v>
      </c>
      <c r="W2316" s="100" t="s">
        <v>168</v>
      </c>
      <c r="X2316" s="100" t="s">
        <v>169</v>
      </c>
      <c r="Y2316" s="101" t="s">
        <v>170</v>
      </c>
      <c r="Z2316" s="101" t="s">
        <v>171</v>
      </c>
      <c r="AA2316" s="101" t="s">
        <v>50</v>
      </c>
      <c r="AB2316" s="101" t="s">
        <v>172</v>
      </c>
      <c r="AC2316" s="102" t="s">
        <v>173</v>
      </c>
    </row>
    <row r="2317" spans="1:29" ht="25.5" customHeight="1" x14ac:dyDescent="0.35">
      <c r="A2317" s="392"/>
      <c r="B2317" s="393"/>
      <c r="C2317" s="99" t="str">
        <f>IF(B2317="","",IF(NOT(ISNUMBER(B2317)),"DATA_PC invalida",IF(NOT(ISNUMBER(parametros!$C$2)),"Fora dos ciclos",IF(OR(B2317&lt;parametros!$C$2,(YEAR(B2317)-YEAR(parametros!$C$2))*12+MONTH(B2317)-MONTH(parametros!$C$2)&gt;59),"Fora dos ciclos","C"&amp;INT(((YEAR(B2317)-YEAR(parametros!$C$2))*12+MONTH(B2317)-MONTH(parametros!$C$2))/12)))))</f>
        <v/>
      </c>
      <c r="D2317" s="394"/>
      <c r="E2317" s="78" t="str">
        <f>IF(C2317="","",IFERROR(VLOOKUP(C2317,parametros!$A$11:$E$15,5,0),""))</f>
        <v/>
      </c>
      <c r="F2317" s="79" t="str">
        <f t="shared" si="182"/>
        <v/>
      </c>
      <c r="G2317" s="395"/>
      <c r="H2317" s="91">
        <f t="shared" si="183"/>
        <v>0</v>
      </c>
      <c r="I2317" s="91" t="str">
        <f t="shared" si="184"/>
        <v/>
      </c>
      <c r="J2317" s="91" t="str">
        <f t="shared" si="185"/>
        <v/>
      </c>
      <c r="K2317" s="92" t="str">
        <f>IF(AND(A2317="",B2317="",D2317="",G2317=""),"",IF(AND(A2317&lt;&gt;"",COUNTIF($A$2:$A$5001,A2317)&gt;1),"NUMERO_PC duplicado",IF(B2317="","DATA_PC vazia",IF(NOT(ISNUMBER(B2317)),"DATA_PC invalida",IF(OR(C2317="",C2317="Fora dos ciclos"),"CICLO_PC nao identificado",IF(OR(D2317="",D2317=0),"VALOR_PC vazio ou zero",IF(AND(G2317&lt;&gt;"Sim",G2317&lt;&gt;"Nao",G2317&lt;&gt;""),"PC_PAGO_A_CONTRATADA invalido",IF(AND(C2317&lt;&gt;"C0",IFERROR(INDEX(parametros!$A$2:$A$6,MATCH(C2317,parametros!$B$2:$B$6,0)),"")="Sim",IFERROR(INDEX(parametros!$H$2:$H$6,MATCH(C2317,parametros!$B$2:$B$6,0)),"")=""),"INICIO_EFEITO ausente: PC "&amp;A2317&amp;" - "&amp;C2317,IF(L2317="","EFEITO_PC nao calculado: PC "&amp;A2317&amp;" - "&amp;C2317,"OK")))))))))</f>
        <v/>
      </c>
      <c r="L2317" s="92" t="str">
        <f>IF(AND(A2317="",B2317="",D2317="",G2317=""),"",IF(OR(B2317="",NOT(ISNUMBER(B2317)),C2317="",C2317="Fora dos ciclos"),"",IF(C2317="C0","Nao",IF(IFERROR(INDEX(parametros!$A$2:$A$6,MATCH(C2317,parametros!$B$2:$B$6,0)),"")&lt;&gt;"Sim","Nao",IF(IFERROR(INDEX(parametros!$H$2:$H$6,MATCH(C2317,parametros!$B$2:$B$6,0)),"")="","",IF(B2317&gt;=IFERROR(INDEX(parametros!$H$2:$H$6,MATCH(C2317,parametros!$B$2:$B$6,0)),""),"Sim","Nao"))))))</f>
        <v/>
      </c>
      <c r="T2317" s="156"/>
      <c r="U2317" s="214" t="str">
        <f t="shared" si="186"/>
        <v/>
      </c>
      <c r="V2317" s="212" t="s">
        <v>50</v>
      </c>
      <c r="W2317" s="100" t="s">
        <v>168</v>
      </c>
      <c r="X2317" s="100" t="s">
        <v>169</v>
      </c>
      <c r="Y2317" s="101" t="s">
        <v>170</v>
      </c>
      <c r="Z2317" s="101" t="s">
        <v>171</v>
      </c>
      <c r="AA2317" s="101" t="s">
        <v>50</v>
      </c>
      <c r="AB2317" s="101" t="s">
        <v>172</v>
      </c>
      <c r="AC2317" s="102" t="s">
        <v>173</v>
      </c>
    </row>
    <row r="2318" spans="1:29" ht="25.5" customHeight="1" x14ac:dyDescent="0.35">
      <c r="A2318" s="392"/>
      <c r="B2318" s="393"/>
      <c r="C2318" s="99" t="str">
        <f>IF(B2318="","",IF(NOT(ISNUMBER(B2318)),"DATA_PC invalida",IF(NOT(ISNUMBER(parametros!$C$2)),"Fora dos ciclos",IF(OR(B2318&lt;parametros!$C$2,(YEAR(B2318)-YEAR(parametros!$C$2))*12+MONTH(B2318)-MONTH(parametros!$C$2)&gt;59),"Fora dos ciclos","C"&amp;INT(((YEAR(B2318)-YEAR(parametros!$C$2))*12+MONTH(B2318)-MONTH(parametros!$C$2))/12)))))</f>
        <v/>
      </c>
      <c r="D2318" s="394"/>
      <c r="E2318" s="78" t="str">
        <f>IF(C2318="","",IFERROR(VLOOKUP(C2318,parametros!$A$11:$E$15,5,0),""))</f>
        <v/>
      </c>
      <c r="F2318" s="79" t="str">
        <f t="shared" si="182"/>
        <v/>
      </c>
      <c r="G2318" s="395"/>
      <c r="H2318" s="91">
        <f t="shared" si="183"/>
        <v>0</v>
      </c>
      <c r="I2318" s="91" t="str">
        <f t="shared" si="184"/>
        <v/>
      </c>
      <c r="J2318" s="91" t="str">
        <f t="shared" si="185"/>
        <v/>
      </c>
      <c r="K2318" s="92" t="str">
        <f>IF(AND(A2318="",B2318="",D2318="",G2318=""),"",IF(AND(A2318&lt;&gt;"",COUNTIF($A$2:$A$5001,A2318)&gt;1),"NUMERO_PC duplicado",IF(B2318="","DATA_PC vazia",IF(NOT(ISNUMBER(B2318)),"DATA_PC invalida",IF(OR(C2318="",C2318="Fora dos ciclos"),"CICLO_PC nao identificado",IF(OR(D2318="",D2318=0),"VALOR_PC vazio ou zero",IF(AND(G2318&lt;&gt;"Sim",G2318&lt;&gt;"Nao",G2318&lt;&gt;""),"PC_PAGO_A_CONTRATADA invalido",IF(AND(C2318&lt;&gt;"C0",IFERROR(INDEX(parametros!$A$2:$A$6,MATCH(C2318,parametros!$B$2:$B$6,0)),"")="Sim",IFERROR(INDEX(parametros!$H$2:$H$6,MATCH(C2318,parametros!$B$2:$B$6,0)),"")=""),"INICIO_EFEITO ausente: PC "&amp;A2318&amp;" - "&amp;C2318,IF(L2318="","EFEITO_PC nao calculado: PC "&amp;A2318&amp;" - "&amp;C2318,"OK")))))))))</f>
        <v/>
      </c>
      <c r="L2318" s="92" t="str">
        <f>IF(AND(A2318="",B2318="",D2318="",G2318=""),"",IF(OR(B2318="",NOT(ISNUMBER(B2318)),C2318="",C2318="Fora dos ciclos"),"",IF(C2318="C0","Nao",IF(IFERROR(INDEX(parametros!$A$2:$A$6,MATCH(C2318,parametros!$B$2:$B$6,0)),"")&lt;&gt;"Sim","Nao",IF(IFERROR(INDEX(parametros!$H$2:$H$6,MATCH(C2318,parametros!$B$2:$B$6,0)),"")="","",IF(B2318&gt;=IFERROR(INDEX(parametros!$H$2:$H$6,MATCH(C2318,parametros!$B$2:$B$6,0)),""),"Sim","Nao"))))))</f>
        <v/>
      </c>
      <c r="T2318" s="156"/>
      <c r="U2318" s="214" t="str">
        <f t="shared" si="186"/>
        <v/>
      </c>
      <c r="V2318" s="212" t="s">
        <v>50</v>
      </c>
      <c r="W2318" s="100" t="s">
        <v>168</v>
      </c>
      <c r="X2318" s="100" t="s">
        <v>169</v>
      </c>
      <c r="Y2318" s="101" t="s">
        <v>170</v>
      </c>
      <c r="Z2318" s="101" t="s">
        <v>171</v>
      </c>
      <c r="AA2318" s="101" t="s">
        <v>50</v>
      </c>
      <c r="AB2318" s="101" t="s">
        <v>172</v>
      </c>
      <c r="AC2318" s="102" t="s">
        <v>173</v>
      </c>
    </row>
    <row r="2319" spans="1:29" ht="25.5" customHeight="1" x14ac:dyDescent="0.35">
      <c r="A2319" s="392"/>
      <c r="B2319" s="393"/>
      <c r="C2319" s="99" t="str">
        <f>IF(B2319="","",IF(NOT(ISNUMBER(B2319)),"DATA_PC invalida",IF(NOT(ISNUMBER(parametros!$C$2)),"Fora dos ciclos",IF(OR(B2319&lt;parametros!$C$2,(YEAR(B2319)-YEAR(parametros!$C$2))*12+MONTH(B2319)-MONTH(parametros!$C$2)&gt;59),"Fora dos ciclos","C"&amp;INT(((YEAR(B2319)-YEAR(parametros!$C$2))*12+MONTH(B2319)-MONTH(parametros!$C$2))/12)))))</f>
        <v/>
      </c>
      <c r="D2319" s="394"/>
      <c r="E2319" s="78" t="str">
        <f>IF(C2319="","",IFERROR(VLOOKUP(C2319,parametros!$A$11:$E$15,5,0),""))</f>
        <v/>
      </c>
      <c r="F2319" s="79" t="str">
        <f t="shared" si="182"/>
        <v/>
      </c>
      <c r="G2319" s="395"/>
      <c r="H2319" s="91">
        <f t="shared" si="183"/>
        <v>0</v>
      </c>
      <c r="I2319" s="91" t="str">
        <f t="shared" si="184"/>
        <v/>
      </c>
      <c r="J2319" s="91" t="str">
        <f t="shared" si="185"/>
        <v/>
      </c>
      <c r="K2319" s="92" t="str">
        <f>IF(AND(A2319="",B2319="",D2319="",G2319=""),"",IF(AND(A2319&lt;&gt;"",COUNTIF($A$2:$A$5001,A2319)&gt;1),"NUMERO_PC duplicado",IF(B2319="","DATA_PC vazia",IF(NOT(ISNUMBER(B2319)),"DATA_PC invalida",IF(OR(C2319="",C2319="Fora dos ciclos"),"CICLO_PC nao identificado",IF(OR(D2319="",D2319=0),"VALOR_PC vazio ou zero",IF(AND(G2319&lt;&gt;"Sim",G2319&lt;&gt;"Nao",G2319&lt;&gt;""),"PC_PAGO_A_CONTRATADA invalido",IF(AND(C2319&lt;&gt;"C0",IFERROR(INDEX(parametros!$A$2:$A$6,MATCH(C2319,parametros!$B$2:$B$6,0)),"")="Sim",IFERROR(INDEX(parametros!$H$2:$H$6,MATCH(C2319,parametros!$B$2:$B$6,0)),"")=""),"INICIO_EFEITO ausente: PC "&amp;A2319&amp;" - "&amp;C2319,IF(L2319="","EFEITO_PC nao calculado: PC "&amp;A2319&amp;" - "&amp;C2319,"OK")))))))))</f>
        <v/>
      </c>
      <c r="L2319" s="92" t="str">
        <f>IF(AND(A2319="",B2319="",D2319="",G2319=""),"",IF(OR(B2319="",NOT(ISNUMBER(B2319)),C2319="",C2319="Fora dos ciclos"),"",IF(C2319="C0","Nao",IF(IFERROR(INDEX(parametros!$A$2:$A$6,MATCH(C2319,parametros!$B$2:$B$6,0)),"")&lt;&gt;"Sim","Nao",IF(IFERROR(INDEX(parametros!$H$2:$H$6,MATCH(C2319,parametros!$B$2:$B$6,0)),"")="","",IF(B2319&gt;=IFERROR(INDEX(parametros!$H$2:$H$6,MATCH(C2319,parametros!$B$2:$B$6,0)),""),"Sim","Nao"))))))</f>
        <v/>
      </c>
      <c r="T2319" s="156"/>
      <c r="U2319" s="214" t="str">
        <f t="shared" si="186"/>
        <v/>
      </c>
      <c r="V2319" s="212" t="s">
        <v>50</v>
      </c>
      <c r="W2319" s="100" t="s">
        <v>168</v>
      </c>
      <c r="X2319" s="100" t="s">
        <v>169</v>
      </c>
      <c r="Y2319" s="101" t="s">
        <v>170</v>
      </c>
      <c r="Z2319" s="101" t="s">
        <v>171</v>
      </c>
      <c r="AA2319" s="101" t="s">
        <v>50</v>
      </c>
      <c r="AB2319" s="101" t="s">
        <v>172</v>
      </c>
      <c r="AC2319" s="102" t="s">
        <v>173</v>
      </c>
    </row>
    <row r="2320" spans="1:29" ht="25.5" customHeight="1" x14ac:dyDescent="0.35">
      <c r="A2320" s="392"/>
      <c r="B2320" s="393"/>
      <c r="C2320" s="99" t="str">
        <f>IF(B2320="","",IF(NOT(ISNUMBER(B2320)),"DATA_PC invalida",IF(NOT(ISNUMBER(parametros!$C$2)),"Fora dos ciclos",IF(OR(B2320&lt;parametros!$C$2,(YEAR(B2320)-YEAR(parametros!$C$2))*12+MONTH(B2320)-MONTH(parametros!$C$2)&gt;59),"Fora dos ciclos","C"&amp;INT(((YEAR(B2320)-YEAR(parametros!$C$2))*12+MONTH(B2320)-MONTH(parametros!$C$2))/12)))))</f>
        <v/>
      </c>
      <c r="D2320" s="394"/>
      <c r="E2320" s="78" t="str">
        <f>IF(C2320="","",IFERROR(VLOOKUP(C2320,parametros!$A$11:$E$15,5,0),""))</f>
        <v/>
      </c>
      <c r="F2320" s="79" t="str">
        <f t="shared" si="182"/>
        <v/>
      </c>
      <c r="G2320" s="395"/>
      <c r="H2320" s="91">
        <f t="shared" si="183"/>
        <v>0</v>
      </c>
      <c r="I2320" s="91" t="str">
        <f t="shared" si="184"/>
        <v/>
      </c>
      <c r="J2320" s="91" t="str">
        <f t="shared" si="185"/>
        <v/>
      </c>
      <c r="K2320" s="92" t="str">
        <f>IF(AND(A2320="",B2320="",D2320="",G2320=""),"",IF(AND(A2320&lt;&gt;"",COUNTIF($A$2:$A$5001,A2320)&gt;1),"NUMERO_PC duplicado",IF(B2320="","DATA_PC vazia",IF(NOT(ISNUMBER(B2320)),"DATA_PC invalida",IF(OR(C2320="",C2320="Fora dos ciclos"),"CICLO_PC nao identificado",IF(OR(D2320="",D2320=0),"VALOR_PC vazio ou zero",IF(AND(G2320&lt;&gt;"Sim",G2320&lt;&gt;"Nao",G2320&lt;&gt;""),"PC_PAGO_A_CONTRATADA invalido",IF(AND(C2320&lt;&gt;"C0",IFERROR(INDEX(parametros!$A$2:$A$6,MATCH(C2320,parametros!$B$2:$B$6,0)),"")="Sim",IFERROR(INDEX(parametros!$H$2:$H$6,MATCH(C2320,parametros!$B$2:$B$6,0)),"")=""),"INICIO_EFEITO ausente: PC "&amp;A2320&amp;" - "&amp;C2320,IF(L2320="","EFEITO_PC nao calculado: PC "&amp;A2320&amp;" - "&amp;C2320,"OK")))))))))</f>
        <v/>
      </c>
      <c r="L2320" s="92" t="str">
        <f>IF(AND(A2320="",B2320="",D2320="",G2320=""),"",IF(OR(B2320="",NOT(ISNUMBER(B2320)),C2320="",C2320="Fora dos ciclos"),"",IF(C2320="C0","Nao",IF(IFERROR(INDEX(parametros!$A$2:$A$6,MATCH(C2320,parametros!$B$2:$B$6,0)),"")&lt;&gt;"Sim","Nao",IF(IFERROR(INDEX(parametros!$H$2:$H$6,MATCH(C2320,parametros!$B$2:$B$6,0)),"")="","",IF(B2320&gt;=IFERROR(INDEX(parametros!$H$2:$H$6,MATCH(C2320,parametros!$B$2:$B$6,0)),""),"Sim","Nao"))))))</f>
        <v/>
      </c>
      <c r="T2320" s="156"/>
      <c r="U2320" s="214" t="str">
        <f t="shared" si="186"/>
        <v/>
      </c>
      <c r="V2320" s="212" t="s">
        <v>50</v>
      </c>
      <c r="W2320" s="100" t="s">
        <v>168</v>
      </c>
      <c r="X2320" s="100" t="s">
        <v>169</v>
      </c>
      <c r="Y2320" s="101" t="s">
        <v>170</v>
      </c>
      <c r="Z2320" s="101" t="s">
        <v>171</v>
      </c>
      <c r="AA2320" s="101" t="s">
        <v>50</v>
      </c>
      <c r="AB2320" s="101" t="s">
        <v>172</v>
      </c>
      <c r="AC2320" s="102" t="s">
        <v>173</v>
      </c>
    </row>
    <row r="2321" spans="1:29" ht="25.5" customHeight="1" x14ac:dyDescent="0.35">
      <c r="A2321" s="392"/>
      <c r="B2321" s="393"/>
      <c r="C2321" s="99" t="str">
        <f>IF(B2321="","",IF(NOT(ISNUMBER(B2321)),"DATA_PC invalida",IF(NOT(ISNUMBER(parametros!$C$2)),"Fora dos ciclos",IF(OR(B2321&lt;parametros!$C$2,(YEAR(B2321)-YEAR(parametros!$C$2))*12+MONTH(B2321)-MONTH(parametros!$C$2)&gt;59),"Fora dos ciclos","C"&amp;INT(((YEAR(B2321)-YEAR(parametros!$C$2))*12+MONTH(B2321)-MONTH(parametros!$C$2))/12)))))</f>
        <v/>
      </c>
      <c r="D2321" s="394"/>
      <c r="E2321" s="78" t="str">
        <f>IF(C2321="","",IFERROR(VLOOKUP(C2321,parametros!$A$11:$E$15,5,0),""))</f>
        <v/>
      </c>
      <c r="F2321" s="79" t="str">
        <f t="shared" si="182"/>
        <v/>
      </c>
      <c r="G2321" s="395"/>
      <c r="H2321" s="91">
        <f t="shared" si="183"/>
        <v>0</v>
      </c>
      <c r="I2321" s="91" t="str">
        <f t="shared" si="184"/>
        <v/>
      </c>
      <c r="J2321" s="91" t="str">
        <f t="shared" si="185"/>
        <v/>
      </c>
      <c r="K2321" s="92" t="str">
        <f>IF(AND(A2321="",B2321="",D2321="",G2321=""),"",IF(AND(A2321&lt;&gt;"",COUNTIF($A$2:$A$5001,A2321)&gt;1),"NUMERO_PC duplicado",IF(B2321="","DATA_PC vazia",IF(NOT(ISNUMBER(B2321)),"DATA_PC invalida",IF(OR(C2321="",C2321="Fora dos ciclos"),"CICLO_PC nao identificado",IF(OR(D2321="",D2321=0),"VALOR_PC vazio ou zero",IF(AND(G2321&lt;&gt;"Sim",G2321&lt;&gt;"Nao",G2321&lt;&gt;""),"PC_PAGO_A_CONTRATADA invalido",IF(AND(C2321&lt;&gt;"C0",IFERROR(INDEX(parametros!$A$2:$A$6,MATCH(C2321,parametros!$B$2:$B$6,0)),"")="Sim",IFERROR(INDEX(parametros!$H$2:$H$6,MATCH(C2321,parametros!$B$2:$B$6,0)),"")=""),"INICIO_EFEITO ausente: PC "&amp;A2321&amp;" - "&amp;C2321,IF(L2321="","EFEITO_PC nao calculado: PC "&amp;A2321&amp;" - "&amp;C2321,"OK")))))))))</f>
        <v/>
      </c>
      <c r="L2321" s="92" t="str">
        <f>IF(AND(A2321="",B2321="",D2321="",G2321=""),"",IF(OR(B2321="",NOT(ISNUMBER(B2321)),C2321="",C2321="Fora dos ciclos"),"",IF(C2321="C0","Nao",IF(IFERROR(INDEX(parametros!$A$2:$A$6,MATCH(C2321,parametros!$B$2:$B$6,0)),"")&lt;&gt;"Sim","Nao",IF(IFERROR(INDEX(parametros!$H$2:$H$6,MATCH(C2321,parametros!$B$2:$B$6,0)),"")="","",IF(B2321&gt;=IFERROR(INDEX(parametros!$H$2:$H$6,MATCH(C2321,parametros!$B$2:$B$6,0)),""),"Sim","Nao"))))))</f>
        <v/>
      </c>
      <c r="T2321" s="156"/>
      <c r="U2321" s="214" t="str">
        <f t="shared" si="186"/>
        <v/>
      </c>
      <c r="V2321" s="212" t="s">
        <v>50</v>
      </c>
      <c r="W2321" s="100" t="s">
        <v>168</v>
      </c>
      <c r="X2321" s="100" t="s">
        <v>169</v>
      </c>
      <c r="Y2321" s="101" t="s">
        <v>170</v>
      </c>
      <c r="Z2321" s="101" t="s">
        <v>171</v>
      </c>
      <c r="AA2321" s="101" t="s">
        <v>50</v>
      </c>
      <c r="AB2321" s="101" t="s">
        <v>172</v>
      </c>
      <c r="AC2321" s="102" t="s">
        <v>173</v>
      </c>
    </row>
    <row r="2322" spans="1:29" ht="25.5" customHeight="1" x14ac:dyDescent="0.35">
      <c r="A2322" s="392"/>
      <c r="B2322" s="393"/>
      <c r="C2322" s="99" t="str">
        <f>IF(B2322="","",IF(NOT(ISNUMBER(B2322)),"DATA_PC invalida",IF(NOT(ISNUMBER(parametros!$C$2)),"Fora dos ciclos",IF(OR(B2322&lt;parametros!$C$2,(YEAR(B2322)-YEAR(parametros!$C$2))*12+MONTH(B2322)-MONTH(parametros!$C$2)&gt;59),"Fora dos ciclos","C"&amp;INT(((YEAR(B2322)-YEAR(parametros!$C$2))*12+MONTH(B2322)-MONTH(parametros!$C$2))/12)))))</f>
        <v/>
      </c>
      <c r="D2322" s="394"/>
      <c r="E2322" s="78" t="str">
        <f>IF(C2322="","",IFERROR(VLOOKUP(C2322,parametros!$A$11:$E$15,5,0),""))</f>
        <v/>
      </c>
      <c r="F2322" s="79" t="str">
        <f t="shared" si="182"/>
        <v/>
      </c>
      <c r="G2322" s="395"/>
      <c r="H2322" s="91">
        <f t="shared" si="183"/>
        <v>0</v>
      </c>
      <c r="I2322" s="91" t="str">
        <f t="shared" si="184"/>
        <v/>
      </c>
      <c r="J2322" s="91" t="str">
        <f t="shared" si="185"/>
        <v/>
      </c>
      <c r="K2322" s="92" t="str">
        <f>IF(AND(A2322="",B2322="",D2322="",G2322=""),"",IF(AND(A2322&lt;&gt;"",COUNTIF($A$2:$A$5001,A2322)&gt;1),"NUMERO_PC duplicado",IF(B2322="","DATA_PC vazia",IF(NOT(ISNUMBER(B2322)),"DATA_PC invalida",IF(OR(C2322="",C2322="Fora dos ciclos"),"CICLO_PC nao identificado",IF(OR(D2322="",D2322=0),"VALOR_PC vazio ou zero",IF(AND(G2322&lt;&gt;"Sim",G2322&lt;&gt;"Nao",G2322&lt;&gt;""),"PC_PAGO_A_CONTRATADA invalido",IF(AND(C2322&lt;&gt;"C0",IFERROR(INDEX(parametros!$A$2:$A$6,MATCH(C2322,parametros!$B$2:$B$6,0)),"")="Sim",IFERROR(INDEX(parametros!$H$2:$H$6,MATCH(C2322,parametros!$B$2:$B$6,0)),"")=""),"INICIO_EFEITO ausente: PC "&amp;A2322&amp;" - "&amp;C2322,IF(L2322="","EFEITO_PC nao calculado: PC "&amp;A2322&amp;" - "&amp;C2322,"OK")))))))))</f>
        <v/>
      </c>
      <c r="L2322" s="92" t="str">
        <f>IF(AND(A2322="",B2322="",D2322="",G2322=""),"",IF(OR(B2322="",NOT(ISNUMBER(B2322)),C2322="",C2322="Fora dos ciclos"),"",IF(C2322="C0","Nao",IF(IFERROR(INDEX(parametros!$A$2:$A$6,MATCH(C2322,parametros!$B$2:$B$6,0)),"")&lt;&gt;"Sim","Nao",IF(IFERROR(INDEX(parametros!$H$2:$H$6,MATCH(C2322,parametros!$B$2:$B$6,0)),"")="","",IF(B2322&gt;=IFERROR(INDEX(parametros!$H$2:$H$6,MATCH(C2322,parametros!$B$2:$B$6,0)),""),"Sim","Nao"))))))</f>
        <v/>
      </c>
      <c r="T2322" s="156"/>
      <c r="U2322" s="214" t="str">
        <f t="shared" si="186"/>
        <v/>
      </c>
      <c r="V2322" s="212" t="s">
        <v>50</v>
      </c>
      <c r="W2322" s="100" t="s">
        <v>168</v>
      </c>
      <c r="X2322" s="100" t="s">
        <v>169</v>
      </c>
      <c r="Y2322" s="101" t="s">
        <v>170</v>
      </c>
      <c r="Z2322" s="101" t="s">
        <v>171</v>
      </c>
      <c r="AA2322" s="101" t="s">
        <v>50</v>
      </c>
      <c r="AB2322" s="101" t="s">
        <v>172</v>
      </c>
      <c r="AC2322" s="102" t="s">
        <v>173</v>
      </c>
    </row>
    <row r="2323" spans="1:29" ht="25.5" customHeight="1" x14ac:dyDescent="0.35">
      <c r="A2323" s="392"/>
      <c r="B2323" s="393"/>
      <c r="C2323" s="99" t="str">
        <f>IF(B2323="","",IF(NOT(ISNUMBER(B2323)),"DATA_PC invalida",IF(NOT(ISNUMBER(parametros!$C$2)),"Fora dos ciclos",IF(OR(B2323&lt;parametros!$C$2,(YEAR(B2323)-YEAR(parametros!$C$2))*12+MONTH(B2323)-MONTH(parametros!$C$2)&gt;59),"Fora dos ciclos","C"&amp;INT(((YEAR(B2323)-YEAR(parametros!$C$2))*12+MONTH(B2323)-MONTH(parametros!$C$2))/12)))))</f>
        <v/>
      </c>
      <c r="D2323" s="394"/>
      <c r="E2323" s="78" t="str">
        <f>IF(C2323="","",IFERROR(VLOOKUP(C2323,parametros!$A$11:$E$15,5,0),""))</f>
        <v/>
      </c>
      <c r="F2323" s="79" t="str">
        <f t="shared" si="182"/>
        <v/>
      </c>
      <c r="G2323" s="395"/>
      <c r="H2323" s="91">
        <f t="shared" si="183"/>
        <v>0</v>
      </c>
      <c r="I2323" s="91" t="str">
        <f t="shared" si="184"/>
        <v/>
      </c>
      <c r="J2323" s="91" t="str">
        <f t="shared" si="185"/>
        <v/>
      </c>
      <c r="K2323" s="92" t="str">
        <f>IF(AND(A2323="",B2323="",D2323="",G2323=""),"",IF(AND(A2323&lt;&gt;"",COUNTIF($A$2:$A$5001,A2323)&gt;1),"NUMERO_PC duplicado",IF(B2323="","DATA_PC vazia",IF(NOT(ISNUMBER(B2323)),"DATA_PC invalida",IF(OR(C2323="",C2323="Fora dos ciclos"),"CICLO_PC nao identificado",IF(OR(D2323="",D2323=0),"VALOR_PC vazio ou zero",IF(AND(G2323&lt;&gt;"Sim",G2323&lt;&gt;"Nao",G2323&lt;&gt;""),"PC_PAGO_A_CONTRATADA invalido",IF(AND(C2323&lt;&gt;"C0",IFERROR(INDEX(parametros!$A$2:$A$6,MATCH(C2323,parametros!$B$2:$B$6,0)),"")="Sim",IFERROR(INDEX(parametros!$H$2:$H$6,MATCH(C2323,parametros!$B$2:$B$6,0)),"")=""),"INICIO_EFEITO ausente: PC "&amp;A2323&amp;" - "&amp;C2323,IF(L2323="","EFEITO_PC nao calculado: PC "&amp;A2323&amp;" - "&amp;C2323,"OK")))))))))</f>
        <v/>
      </c>
      <c r="L2323" s="92" t="str">
        <f>IF(AND(A2323="",B2323="",D2323="",G2323=""),"",IF(OR(B2323="",NOT(ISNUMBER(B2323)),C2323="",C2323="Fora dos ciclos"),"",IF(C2323="C0","Nao",IF(IFERROR(INDEX(parametros!$A$2:$A$6,MATCH(C2323,parametros!$B$2:$B$6,0)),"")&lt;&gt;"Sim","Nao",IF(IFERROR(INDEX(parametros!$H$2:$H$6,MATCH(C2323,parametros!$B$2:$B$6,0)),"")="","",IF(B2323&gt;=IFERROR(INDEX(parametros!$H$2:$H$6,MATCH(C2323,parametros!$B$2:$B$6,0)),""),"Sim","Nao"))))))</f>
        <v/>
      </c>
      <c r="T2323" s="156"/>
      <c r="U2323" s="214" t="str">
        <f t="shared" si="186"/>
        <v/>
      </c>
      <c r="V2323" s="212" t="s">
        <v>50</v>
      </c>
      <c r="W2323" s="100" t="s">
        <v>168</v>
      </c>
      <c r="X2323" s="100" t="s">
        <v>169</v>
      </c>
      <c r="Y2323" s="101" t="s">
        <v>170</v>
      </c>
      <c r="Z2323" s="101" t="s">
        <v>171</v>
      </c>
      <c r="AA2323" s="101" t="s">
        <v>50</v>
      </c>
      <c r="AB2323" s="101" t="s">
        <v>172</v>
      </c>
      <c r="AC2323" s="102" t="s">
        <v>173</v>
      </c>
    </row>
    <row r="2324" spans="1:29" ht="25.5" customHeight="1" x14ac:dyDescent="0.35">
      <c r="A2324" s="392"/>
      <c r="B2324" s="393"/>
      <c r="C2324" s="99" t="str">
        <f>IF(B2324="","",IF(NOT(ISNUMBER(B2324)),"DATA_PC invalida",IF(NOT(ISNUMBER(parametros!$C$2)),"Fora dos ciclos",IF(OR(B2324&lt;parametros!$C$2,(YEAR(B2324)-YEAR(parametros!$C$2))*12+MONTH(B2324)-MONTH(parametros!$C$2)&gt;59),"Fora dos ciclos","C"&amp;INT(((YEAR(B2324)-YEAR(parametros!$C$2))*12+MONTH(B2324)-MONTH(parametros!$C$2))/12)))))</f>
        <v/>
      </c>
      <c r="D2324" s="394"/>
      <c r="E2324" s="78" t="str">
        <f>IF(C2324="","",IFERROR(VLOOKUP(C2324,parametros!$A$11:$E$15,5,0),""))</f>
        <v/>
      </c>
      <c r="F2324" s="79" t="str">
        <f t="shared" si="182"/>
        <v/>
      </c>
      <c r="G2324" s="395"/>
      <c r="H2324" s="91">
        <f t="shared" si="183"/>
        <v>0</v>
      </c>
      <c r="I2324" s="91" t="str">
        <f t="shared" si="184"/>
        <v/>
      </c>
      <c r="J2324" s="91" t="str">
        <f t="shared" si="185"/>
        <v/>
      </c>
      <c r="K2324" s="92" t="str">
        <f>IF(AND(A2324="",B2324="",D2324="",G2324=""),"",IF(AND(A2324&lt;&gt;"",COUNTIF($A$2:$A$5001,A2324)&gt;1),"NUMERO_PC duplicado",IF(B2324="","DATA_PC vazia",IF(NOT(ISNUMBER(B2324)),"DATA_PC invalida",IF(OR(C2324="",C2324="Fora dos ciclos"),"CICLO_PC nao identificado",IF(OR(D2324="",D2324=0),"VALOR_PC vazio ou zero",IF(AND(G2324&lt;&gt;"Sim",G2324&lt;&gt;"Nao",G2324&lt;&gt;""),"PC_PAGO_A_CONTRATADA invalido",IF(AND(C2324&lt;&gt;"C0",IFERROR(INDEX(parametros!$A$2:$A$6,MATCH(C2324,parametros!$B$2:$B$6,0)),"")="Sim",IFERROR(INDEX(parametros!$H$2:$H$6,MATCH(C2324,parametros!$B$2:$B$6,0)),"")=""),"INICIO_EFEITO ausente: PC "&amp;A2324&amp;" - "&amp;C2324,IF(L2324="","EFEITO_PC nao calculado: PC "&amp;A2324&amp;" - "&amp;C2324,"OK")))))))))</f>
        <v/>
      </c>
      <c r="L2324" s="92" t="str">
        <f>IF(AND(A2324="",B2324="",D2324="",G2324=""),"",IF(OR(B2324="",NOT(ISNUMBER(B2324)),C2324="",C2324="Fora dos ciclos"),"",IF(C2324="C0","Nao",IF(IFERROR(INDEX(parametros!$A$2:$A$6,MATCH(C2324,parametros!$B$2:$B$6,0)),"")&lt;&gt;"Sim","Nao",IF(IFERROR(INDEX(parametros!$H$2:$H$6,MATCH(C2324,parametros!$B$2:$B$6,0)),"")="","",IF(B2324&gt;=IFERROR(INDEX(parametros!$H$2:$H$6,MATCH(C2324,parametros!$B$2:$B$6,0)),""),"Sim","Nao"))))))</f>
        <v/>
      </c>
      <c r="T2324" s="156"/>
      <c r="U2324" s="214" t="str">
        <f t="shared" si="186"/>
        <v/>
      </c>
      <c r="V2324" s="212" t="s">
        <v>50</v>
      </c>
      <c r="W2324" s="100" t="s">
        <v>168</v>
      </c>
      <c r="X2324" s="100" t="s">
        <v>169</v>
      </c>
      <c r="Y2324" s="101" t="s">
        <v>170</v>
      </c>
      <c r="Z2324" s="101" t="s">
        <v>171</v>
      </c>
      <c r="AA2324" s="101" t="s">
        <v>50</v>
      </c>
      <c r="AB2324" s="101" t="s">
        <v>172</v>
      </c>
      <c r="AC2324" s="102" t="s">
        <v>173</v>
      </c>
    </row>
    <row r="2325" spans="1:29" ht="25.5" customHeight="1" x14ac:dyDescent="0.35">
      <c r="A2325" s="392"/>
      <c r="B2325" s="393"/>
      <c r="C2325" s="99" t="str">
        <f>IF(B2325="","",IF(NOT(ISNUMBER(B2325)),"DATA_PC invalida",IF(NOT(ISNUMBER(parametros!$C$2)),"Fora dos ciclos",IF(OR(B2325&lt;parametros!$C$2,(YEAR(B2325)-YEAR(parametros!$C$2))*12+MONTH(B2325)-MONTH(parametros!$C$2)&gt;59),"Fora dos ciclos","C"&amp;INT(((YEAR(B2325)-YEAR(parametros!$C$2))*12+MONTH(B2325)-MONTH(parametros!$C$2))/12)))))</f>
        <v/>
      </c>
      <c r="D2325" s="394"/>
      <c r="E2325" s="78" t="str">
        <f>IF(C2325="","",IFERROR(VLOOKUP(C2325,parametros!$A$11:$E$15,5,0),""))</f>
        <v/>
      </c>
      <c r="F2325" s="79" t="str">
        <f t="shared" si="182"/>
        <v/>
      </c>
      <c r="G2325" s="395"/>
      <c r="H2325" s="91">
        <f t="shared" si="183"/>
        <v>0</v>
      </c>
      <c r="I2325" s="91" t="str">
        <f t="shared" si="184"/>
        <v/>
      </c>
      <c r="J2325" s="91" t="str">
        <f t="shared" si="185"/>
        <v/>
      </c>
      <c r="K2325" s="92" t="str">
        <f>IF(AND(A2325="",B2325="",D2325="",G2325=""),"",IF(AND(A2325&lt;&gt;"",COUNTIF($A$2:$A$5001,A2325)&gt;1),"NUMERO_PC duplicado",IF(B2325="","DATA_PC vazia",IF(NOT(ISNUMBER(B2325)),"DATA_PC invalida",IF(OR(C2325="",C2325="Fora dos ciclos"),"CICLO_PC nao identificado",IF(OR(D2325="",D2325=0),"VALOR_PC vazio ou zero",IF(AND(G2325&lt;&gt;"Sim",G2325&lt;&gt;"Nao",G2325&lt;&gt;""),"PC_PAGO_A_CONTRATADA invalido",IF(AND(C2325&lt;&gt;"C0",IFERROR(INDEX(parametros!$A$2:$A$6,MATCH(C2325,parametros!$B$2:$B$6,0)),"")="Sim",IFERROR(INDEX(parametros!$H$2:$H$6,MATCH(C2325,parametros!$B$2:$B$6,0)),"")=""),"INICIO_EFEITO ausente: PC "&amp;A2325&amp;" - "&amp;C2325,IF(L2325="","EFEITO_PC nao calculado: PC "&amp;A2325&amp;" - "&amp;C2325,"OK")))))))))</f>
        <v/>
      </c>
      <c r="L2325" s="92" t="str">
        <f>IF(AND(A2325="",B2325="",D2325="",G2325=""),"",IF(OR(B2325="",NOT(ISNUMBER(B2325)),C2325="",C2325="Fora dos ciclos"),"",IF(C2325="C0","Nao",IF(IFERROR(INDEX(parametros!$A$2:$A$6,MATCH(C2325,parametros!$B$2:$B$6,0)),"")&lt;&gt;"Sim","Nao",IF(IFERROR(INDEX(parametros!$H$2:$H$6,MATCH(C2325,parametros!$B$2:$B$6,0)),"")="","",IF(B2325&gt;=IFERROR(INDEX(parametros!$H$2:$H$6,MATCH(C2325,parametros!$B$2:$B$6,0)),""),"Sim","Nao"))))))</f>
        <v/>
      </c>
      <c r="T2325" s="156"/>
      <c r="U2325" s="214" t="str">
        <f t="shared" si="186"/>
        <v/>
      </c>
      <c r="V2325" s="212" t="s">
        <v>50</v>
      </c>
      <c r="W2325" s="100" t="s">
        <v>168</v>
      </c>
      <c r="X2325" s="100" t="s">
        <v>169</v>
      </c>
      <c r="Y2325" s="101" t="s">
        <v>170</v>
      </c>
      <c r="Z2325" s="101" t="s">
        <v>171</v>
      </c>
      <c r="AA2325" s="101" t="s">
        <v>50</v>
      </c>
      <c r="AB2325" s="101" t="s">
        <v>172</v>
      </c>
      <c r="AC2325" s="102" t="s">
        <v>173</v>
      </c>
    </row>
    <row r="2326" spans="1:29" ht="25.5" customHeight="1" x14ac:dyDescent="0.35">
      <c r="A2326" s="392"/>
      <c r="B2326" s="393"/>
      <c r="C2326" s="99" t="str">
        <f>IF(B2326="","",IF(NOT(ISNUMBER(B2326)),"DATA_PC invalida",IF(NOT(ISNUMBER(parametros!$C$2)),"Fora dos ciclos",IF(OR(B2326&lt;parametros!$C$2,(YEAR(B2326)-YEAR(parametros!$C$2))*12+MONTH(B2326)-MONTH(parametros!$C$2)&gt;59),"Fora dos ciclos","C"&amp;INT(((YEAR(B2326)-YEAR(parametros!$C$2))*12+MONTH(B2326)-MONTH(parametros!$C$2))/12)))))</f>
        <v/>
      </c>
      <c r="D2326" s="394"/>
      <c r="E2326" s="78" t="str">
        <f>IF(C2326="","",IFERROR(VLOOKUP(C2326,parametros!$A$11:$E$15,5,0),""))</f>
        <v/>
      </c>
      <c r="F2326" s="79" t="str">
        <f t="shared" si="182"/>
        <v/>
      </c>
      <c r="G2326" s="395"/>
      <c r="H2326" s="91">
        <f t="shared" si="183"/>
        <v>0</v>
      </c>
      <c r="I2326" s="91" t="str">
        <f t="shared" si="184"/>
        <v/>
      </c>
      <c r="J2326" s="91" t="str">
        <f t="shared" si="185"/>
        <v/>
      </c>
      <c r="K2326" s="92" t="str">
        <f>IF(AND(A2326="",B2326="",D2326="",G2326=""),"",IF(AND(A2326&lt;&gt;"",COUNTIF($A$2:$A$5001,A2326)&gt;1),"NUMERO_PC duplicado",IF(B2326="","DATA_PC vazia",IF(NOT(ISNUMBER(B2326)),"DATA_PC invalida",IF(OR(C2326="",C2326="Fora dos ciclos"),"CICLO_PC nao identificado",IF(OR(D2326="",D2326=0),"VALOR_PC vazio ou zero",IF(AND(G2326&lt;&gt;"Sim",G2326&lt;&gt;"Nao",G2326&lt;&gt;""),"PC_PAGO_A_CONTRATADA invalido",IF(AND(C2326&lt;&gt;"C0",IFERROR(INDEX(parametros!$A$2:$A$6,MATCH(C2326,parametros!$B$2:$B$6,0)),"")="Sim",IFERROR(INDEX(parametros!$H$2:$H$6,MATCH(C2326,parametros!$B$2:$B$6,0)),"")=""),"INICIO_EFEITO ausente: PC "&amp;A2326&amp;" - "&amp;C2326,IF(L2326="","EFEITO_PC nao calculado: PC "&amp;A2326&amp;" - "&amp;C2326,"OK")))))))))</f>
        <v/>
      </c>
      <c r="L2326" s="92" t="str">
        <f>IF(AND(A2326="",B2326="",D2326="",G2326=""),"",IF(OR(B2326="",NOT(ISNUMBER(B2326)),C2326="",C2326="Fora dos ciclos"),"",IF(C2326="C0","Nao",IF(IFERROR(INDEX(parametros!$A$2:$A$6,MATCH(C2326,parametros!$B$2:$B$6,0)),"")&lt;&gt;"Sim","Nao",IF(IFERROR(INDEX(parametros!$H$2:$H$6,MATCH(C2326,parametros!$B$2:$B$6,0)),"")="","",IF(B2326&gt;=IFERROR(INDEX(parametros!$H$2:$H$6,MATCH(C2326,parametros!$B$2:$B$6,0)),""),"Sim","Nao"))))))</f>
        <v/>
      </c>
      <c r="T2326" s="156"/>
      <c r="U2326" s="214" t="str">
        <f t="shared" si="186"/>
        <v/>
      </c>
      <c r="V2326" s="212" t="s">
        <v>50</v>
      </c>
      <c r="W2326" s="100" t="s">
        <v>168</v>
      </c>
      <c r="X2326" s="100" t="s">
        <v>169</v>
      </c>
      <c r="Y2326" s="101" t="s">
        <v>170</v>
      </c>
      <c r="Z2326" s="101" t="s">
        <v>171</v>
      </c>
      <c r="AA2326" s="101" t="s">
        <v>50</v>
      </c>
      <c r="AB2326" s="101" t="s">
        <v>172</v>
      </c>
      <c r="AC2326" s="102" t="s">
        <v>173</v>
      </c>
    </row>
    <row r="2327" spans="1:29" ht="25.5" customHeight="1" x14ac:dyDescent="0.35">
      <c r="A2327" s="392"/>
      <c r="B2327" s="393"/>
      <c r="C2327" s="99" t="str">
        <f>IF(B2327="","",IF(NOT(ISNUMBER(B2327)),"DATA_PC invalida",IF(NOT(ISNUMBER(parametros!$C$2)),"Fora dos ciclos",IF(OR(B2327&lt;parametros!$C$2,(YEAR(B2327)-YEAR(parametros!$C$2))*12+MONTH(B2327)-MONTH(parametros!$C$2)&gt;59),"Fora dos ciclos","C"&amp;INT(((YEAR(B2327)-YEAR(parametros!$C$2))*12+MONTH(B2327)-MONTH(parametros!$C$2))/12)))))</f>
        <v/>
      </c>
      <c r="D2327" s="394"/>
      <c r="E2327" s="78" t="str">
        <f>IF(C2327="","",IFERROR(VLOOKUP(C2327,parametros!$A$11:$E$15,5,0),""))</f>
        <v/>
      </c>
      <c r="F2327" s="79" t="str">
        <f t="shared" si="182"/>
        <v/>
      </c>
      <c r="G2327" s="395"/>
      <c r="H2327" s="91">
        <f t="shared" si="183"/>
        <v>0</v>
      </c>
      <c r="I2327" s="91" t="str">
        <f t="shared" si="184"/>
        <v/>
      </c>
      <c r="J2327" s="91" t="str">
        <f t="shared" si="185"/>
        <v/>
      </c>
      <c r="K2327" s="92" t="str">
        <f>IF(AND(A2327="",B2327="",D2327="",G2327=""),"",IF(AND(A2327&lt;&gt;"",COUNTIF($A$2:$A$5001,A2327)&gt;1),"NUMERO_PC duplicado",IF(B2327="","DATA_PC vazia",IF(NOT(ISNUMBER(B2327)),"DATA_PC invalida",IF(OR(C2327="",C2327="Fora dos ciclos"),"CICLO_PC nao identificado",IF(OR(D2327="",D2327=0),"VALOR_PC vazio ou zero",IF(AND(G2327&lt;&gt;"Sim",G2327&lt;&gt;"Nao",G2327&lt;&gt;""),"PC_PAGO_A_CONTRATADA invalido",IF(AND(C2327&lt;&gt;"C0",IFERROR(INDEX(parametros!$A$2:$A$6,MATCH(C2327,parametros!$B$2:$B$6,0)),"")="Sim",IFERROR(INDEX(parametros!$H$2:$H$6,MATCH(C2327,parametros!$B$2:$B$6,0)),"")=""),"INICIO_EFEITO ausente: PC "&amp;A2327&amp;" - "&amp;C2327,IF(L2327="","EFEITO_PC nao calculado: PC "&amp;A2327&amp;" - "&amp;C2327,"OK")))))))))</f>
        <v/>
      </c>
      <c r="L2327" s="92" t="str">
        <f>IF(AND(A2327="",B2327="",D2327="",G2327=""),"",IF(OR(B2327="",NOT(ISNUMBER(B2327)),C2327="",C2327="Fora dos ciclos"),"",IF(C2327="C0","Nao",IF(IFERROR(INDEX(parametros!$A$2:$A$6,MATCH(C2327,parametros!$B$2:$B$6,0)),"")&lt;&gt;"Sim","Nao",IF(IFERROR(INDEX(parametros!$H$2:$H$6,MATCH(C2327,parametros!$B$2:$B$6,0)),"")="","",IF(B2327&gt;=IFERROR(INDEX(parametros!$H$2:$H$6,MATCH(C2327,parametros!$B$2:$B$6,0)),""),"Sim","Nao"))))))</f>
        <v/>
      </c>
      <c r="T2327" s="156"/>
      <c r="U2327" s="214" t="str">
        <f t="shared" si="186"/>
        <v/>
      </c>
      <c r="V2327" s="212" t="s">
        <v>50</v>
      </c>
      <c r="W2327" s="100" t="s">
        <v>168</v>
      </c>
      <c r="X2327" s="100" t="s">
        <v>169</v>
      </c>
      <c r="Y2327" s="101" t="s">
        <v>170</v>
      </c>
      <c r="Z2327" s="101" t="s">
        <v>171</v>
      </c>
      <c r="AA2327" s="101" t="s">
        <v>50</v>
      </c>
      <c r="AB2327" s="101" t="s">
        <v>172</v>
      </c>
      <c r="AC2327" s="102" t="s">
        <v>173</v>
      </c>
    </row>
    <row r="2328" spans="1:29" ht="25.5" customHeight="1" x14ac:dyDescent="0.35">
      <c r="A2328" s="392"/>
      <c r="B2328" s="393"/>
      <c r="C2328" s="99" t="str">
        <f>IF(B2328="","",IF(NOT(ISNUMBER(B2328)),"DATA_PC invalida",IF(NOT(ISNUMBER(parametros!$C$2)),"Fora dos ciclos",IF(OR(B2328&lt;parametros!$C$2,(YEAR(B2328)-YEAR(parametros!$C$2))*12+MONTH(B2328)-MONTH(parametros!$C$2)&gt;59),"Fora dos ciclos","C"&amp;INT(((YEAR(B2328)-YEAR(parametros!$C$2))*12+MONTH(B2328)-MONTH(parametros!$C$2))/12)))))</f>
        <v/>
      </c>
      <c r="D2328" s="394"/>
      <c r="E2328" s="78" t="str">
        <f>IF(C2328="","",IFERROR(VLOOKUP(C2328,parametros!$A$11:$E$15,5,0),""))</f>
        <v/>
      </c>
      <c r="F2328" s="79" t="str">
        <f t="shared" si="182"/>
        <v/>
      </c>
      <c r="G2328" s="395"/>
      <c r="H2328" s="91">
        <f t="shared" si="183"/>
        <v>0</v>
      </c>
      <c r="I2328" s="91" t="str">
        <f t="shared" si="184"/>
        <v/>
      </c>
      <c r="J2328" s="91" t="str">
        <f t="shared" si="185"/>
        <v/>
      </c>
      <c r="K2328" s="92" t="str">
        <f>IF(AND(A2328="",B2328="",D2328="",G2328=""),"",IF(AND(A2328&lt;&gt;"",COUNTIF($A$2:$A$5001,A2328)&gt;1),"NUMERO_PC duplicado",IF(B2328="","DATA_PC vazia",IF(NOT(ISNUMBER(B2328)),"DATA_PC invalida",IF(OR(C2328="",C2328="Fora dos ciclos"),"CICLO_PC nao identificado",IF(OR(D2328="",D2328=0),"VALOR_PC vazio ou zero",IF(AND(G2328&lt;&gt;"Sim",G2328&lt;&gt;"Nao",G2328&lt;&gt;""),"PC_PAGO_A_CONTRATADA invalido",IF(AND(C2328&lt;&gt;"C0",IFERROR(INDEX(parametros!$A$2:$A$6,MATCH(C2328,parametros!$B$2:$B$6,0)),"")="Sim",IFERROR(INDEX(parametros!$H$2:$H$6,MATCH(C2328,parametros!$B$2:$B$6,0)),"")=""),"INICIO_EFEITO ausente: PC "&amp;A2328&amp;" - "&amp;C2328,IF(L2328="","EFEITO_PC nao calculado: PC "&amp;A2328&amp;" - "&amp;C2328,"OK")))))))))</f>
        <v/>
      </c>
      <c r="L2328" s="92" t="str">
        <f>IF(AND(A2328="",B2328="",D2328="",G2328=""),"",IF(OR(B2328="",NOT(ISNUMBER(B2328)),C2328="",C2328="Fora dos ciclos"),"",IF(C2328="C0","Nao",IF(IFERROR(INDEX(parametros!$A$2:$A$6,MATCH(C2328,parametros!$B$2:$B$6,0)),"")&lt;&gt;"Sim","Nao",IF(IFERROR(INDEX(parametros!$H$2:$H$6,MATCH(C2328,parametros!$B$2:$B$6,0)),"")="","",IF(B2328&gt;=IFERROR(INDEX(parametros!$H$2:$H$6,MATCH(C2328,parametros!$B$2:$B$6,0)),""),"Sim","Nao"))))))</f>
        <v/>
      </c>
      <c r="T2328" s="156"/>
      <c r="U2328" s="214" t="str">
        <f t="shared" si="186"/>
        <v/>
      </c>
      <c r="V2328" s="212" t="s">
        <v>50</v>
      </c>
      <c r="W2328" s="100" t="s">
        <v>168</v>
      </c>
      <c r="X2328" s="100" t="s">
        <v>169</v>
      </c>
      <c r="Y2328" s="101" t="s">
        <v>170</v>
      </c>
      <c r="Z2328" s="101" t="s">
        <v>171</v>
      </c>
      <c r="AA2328" s="101" t="s">
        <v>50</v>
      </c>
      <c r="AB2328" s="101" t="s">
        <v>172</v>
      </c>
      <c r="AC2328" s="102" t="s">
        <v>173</v>
      </c>
    </row>
    <row r="2329" spans="1:29" ht="25.5" customHeight="1" x14ac:dyDescent="0.35">
      <c r="A2329" s="392"/>
      <c r="B2329" s="393"/>
      <c r="C2329" s="99" t="str">
        <f>IF(B2329="","",IF(NOT(ISNUMBER(B2329)),"DATA_PC invalida",IF(NOT(ISNUMBER(parametros!$C$2)),"Fora dos ciclos",IF(OR(B2329&lt;parametros!$C$2,(YEAR(B2329)-YEAR(parametros!$C$2))*12+MONTH(B2329)-MONTH(parametros!$C$2)&gt;59),"Fora dos ciclos","C"&amp;INT(((YEAR(B2329)-YEAR(parametros!$C$2))*12+MONTH(B2329)-MONTH(parametros!$C$2))/12)))))</f>
        <v/>
      </c>
      <c r="D2329" s="394"/>
      <c r="E2329" s="78" t="str">
        <f>IF(C2329="","",IFERROR(VLOOKUP(C2329,parametros!$A$11:$E$15,5,0),""))</f>
        <v/>
      </c>
      <c r="F2329" s="79" t="str">
        <f t="shared" si="182"/>
        <v/>
      </c>
      <c r="G2329" s="395"/>
      <c r="H2329" s="91">
        <f t="shared" si="183"/>
        <v>0</v>
      </c>
      <c r="I2329" s="91" t="str">
        <f t="shared" si="184"/>
        <v/>
      </c>
      <c r="J2329" s="91" t="str">
        <f t="shared" si="185"/>
        <v/>
      </c>
      <c r="K2329" s="92" t="str">
        <f>IF(AND(A2329="",B2329="",D2329="",G2329=""),"",IF(AND(A2329&lt;&gt;"",COUNTIF($A$2:$A$5001,A2329)&gt;1),"NUMERO_PC duplicado",IF(B2329="","DATA_PC vazia",IF(NOT(ISNUMBER(B2329)),"DATA_PC invalida",IF(OR(C2329="",C2329="Fora dos ciclos"),"CICLO_PC nao identificado",IF(OR(D2329="",D2329=0),"VALOR_PC vazio ou zero",IF(AND(G2329&lt;&gt;"Sim",G2329&lt;&gt;"Nao",G2329&lt;&gt;""),"PC_PAGO_A_CONTRATADA invalido",IF(AND(C2329&lt;&gt;"C0",IFERROR(INDEX(parametros!$A$2:$A$6,MATCH(C2329,parametros!$B$2:$B$6,0)),"")="Sim",IFERROR(INDEX(parametros!$H$2:$H$6,MATCH(C2329,parametros!$B$2:$B$6,0)),"")=""),"INICIO_EFEITO ausente: PC "&amp;A2329&amp;" - "&amp;C2329,IF(L2329="","EFEITO_PC nao calculado: PC "&amp;A2329&amp;" - "&amp;C2329,"OK")))))))))</f>
        <v/>
      </c>
      <c r="L2329" s="92" t="str">
        <f>IF(AND(A2329="",B2329="",D2329="",G2329=""),"",IF(OR(B2329="",NOT(ISNUMBER(B2329)),C2329="",C2329="Fora dos ciclos"),"",IF(C2329="C0","Nao",IF(IFERROR(INDEX(parametros!$A$2:$A$6,MATCH(C2329,parametros!$B$2:$B$6,0)),"")&lt;&gt;"Sim","Nao",IF(IFERROR(INDEX(parametros!$H$2:$H$6,MATCH(C2329,parametros!$B$2:$B$6,0)),"")="","",IF(B2329&gt;=IFERROR(INDEX(parametros!$H$2:$H$6,MATCH(C2329,parametros!$B$2:$B$6,0)),""),"Sim","Nao"))))))</f>
        <v/>
      </c>
      <c r="T2329" s="156"/>
      <c r="U2329" s="214" t="str">
        <f t="shared" si="186"/>
        <v/>
      </c>
      <c r="V2329" s="212" t="s">
        <v>50</v>
      </c>
      <c r="W2329" s="100" t="s">
        <v>168</v>
      </c>
      <c r="X2329" s="100" t="s">
        <v>169</v>
      </c>
      <c r="Y2329" s="101" t="s">
        <v>170</v>
      </c>
      <c r="Z2329" s="101" t="s">
        <v>171</v>
      </c>
      <c r="AA2329" s="101" t="s">
        <v>50</v>
      </c>
      <c r="AB2329" s="101" t="s">
        <v>172</v>
      </c>
      <c r="AC2329" s="102" t="s">
        <v>173</v>
      </c>
    </row>
    <row r="2330" spans="1:29" ht="25.5" customHeight="1" x14ac:dyDescent="0.35">
      <c r="A2330" s="392"/>
      <c r="B2330" s="393"/>
      <c r="C2330" s="99" t="str">
        <f>IF(B2330="","",IF(NOT(ISNUMBER(B2330)),"DATA_PC invalida",IF(NOT(ISNUMBER(parametros!$C$2)),"Fora dos ciclos",IF(OR(B2330&lt;parametros!$C$2,(YEAR(B2330)-YEAR(parametros!$C$2))*12+MONTH(B2330)-MONTH(parametros!$C$2)&gt;59),"Fora dos ciclos","C"&amp;INT(((YEAR(B2330)-YEAR(parametros!$C$2))*12+MONTH(B2330)-MONTH(parametros!$C$2))/12)))))</f>
        <v/>
      </c>
      <c r="D2330" s="394"/>
      <c r="E2330" s="78" t="str">
        <f>IF(C2330="","",IFERROR(VLOOKUP(C2330,parametros!$A$11:$E$15,5,0),""))</f>
        <v/>
      </c>
      <c r="F2330" s="79" t="str">
        <f t="shared" si="182"/>
        <v/>
      </c>
      <c r="G2330" s="395"/>
      <c r="H2330" s="91">
        <f t="shared" si="183"/>
        <v>0</v>
      </c>
      <c r="I2330" s="91" t="str">
        <f t="shared" si="184"/>
        <v/>
      </c>
      <c r="J2330" s="91" t="str">
        <f t="shared" si="185"/>
        <v/>
      </c>
      <c r="K2330" s="92" t="str">
        <f>IF(AND(A2330="",B2330="",D2330="",G2330=""),"",IF(AND(A2330&lt;&gt;"",COUNTIF($A$2:$A$5001,A2330)&gt;1),"NUMERO_PC duplicado",IF(B2330="","DATA_PC vazia",IF(NOT(ISNUMBER(B2330)),"DATA_PC invalida",IF(OR(C2330="",C2330="Fora dos ciclos"),"CICLO_PC nao identificado",IF(OR(D2330="",D2330=0),"VALOR_PC vazio ou zero",IF(AND(G2330&lt;&gt;"Sim",G2330&lt;&gt;"Nao",G2330&lt;&gt;""),"PC_PAGO_A_CONTRATADA invalido",IF(AND(C2330&lt;&gt;"C0",IFERROR(INDEX(parametros!$A$2:$A$6,MATCH(C2330,parametros!$B$2:$B$6,0)),"")="Sim",IFERROR(INDEX(parametros!$H$2:$H$6,MATCH(C2330,parametros!$B$2:$B$6,0)),"")=""),"INICIO_EFEITO ausente: PC "&amp;A2330&amp;" - "&amp;C2330,IF(L2330="","EFEITO_PC nao calculado: PC "&amp;A2330&amp;" - "&amp;C2330,"OK")))))))))</f>
        <v/>
      </c>
      <c r="L2330" s="92" t="str">
        <f>IF(AND(A2330="",B2330="",D2330="",G2330=""),"",IF(OR(B2330="",NOT(ISNUMBER(B2330)),C2330="",C2330="Fora dos ciclos"),"",IF(C2330="C0","Nao",IF(IFERROR(INDEX(parametros!$A$2:$A$6,MATCH(C2330,parametros!$B$2:$B$6,0)),"")&lt;&gt;"Sim","Nao",IF(IFERROR(INDEX(parametros!$H$2:$H$6,MATCH(C2330,parametros!$B$2:$B$6,0)),"")="","",IF(B2330&gt;=IFERROR(INDEX(parametros!$H$2:$H$6,MATCH(C2330,parametros!$B$2:$B$6,0)),""),"Sim","Nao"))))))</f>
        <v/>
      </c>
      <c r="T2330" s="156"/>
      <c r="U2330" s="214" t="str">
        <f t="shared" si="186"/>
        <v/>
      </c>
      <c r="V2330" s="212" t="s">
        <v>50</v>
      </c>
      <c r="W2330" s="100" t="s">
        <v>168</v>
      </c>
      <c r="X2330" s="100" t="s">
        <v>169</v>
      </c>
      <c r="Y2330" s="101" t="s">
        <v>170</v>
      </c>
      <c r="Z2330" s="101" t="s">
        <v>171</v>
      </c>
      <c r="AA2330" s="101" t="s">
        <v>50</v>
      </c>
      <c r="AB2330" s="101" t="s">
        <v>172</v>
      </c>
      <c r="AC2330" s="102" t="s">
        <v>173</v>
      </c>
    </row>
    <row r="2331" spans="1:29" ht="25.5" customHeight="1" x14ac:dyDescent="0.35">
      <c r="A2331" s="392"/>
      <c r="B2331" s="393"/>
      <c r="C2331" s="99" t="str">
        <f>IF(B2331="","",IF(NOT(ISNUMBER(B2331)),"DATA_PC invalida",IF(NOT(ISNUMBER(parametros!$C$2)),"Fora dos ciclos",IF(OR(B2331&lt;parametros!$C$2,(YEAR(B2331)-YEAR(parametros!$C$2))*12+MONTH(B2331)-MONTH(parametros!$C$2)&gt;59),"Fora dos ciclos","C"&amp;INT(((YEAR(B2331)-YEAR(parametros!$C$2))*12+MONTH(B2331)-MONTH(parametros!$C$2))/12)))))</f>
        <v/>
      </c>
      <c r="D2331" s="394"/>
      <c r="E2331" s="78" t="str">
        <f>IF(C2331="","",IFERROR(VLOOKUP(C2331,parametros!$A$11:$E$15,5,0),""))</f>
        <v/>
      </c>
      <c r="F2331" s="79" t="str">
        <f t="shared" si="182"/>
        <v/>
      </c>
      <c r="G2331" s="395"/>
      <c r="H2331" s="91">
        <f t="shared" si="183"/>
        <v>0</v>
      </c>
      <c r="I2331" s="91" t="str">
        <f t="shared" si="184"/>
        <v/>
      </c>
      <c r="J2331" s="91" t="str">
        <f t="shared" si="185"/>
        <v/>
      </c>
      <c r="K2331" s="92" t="str">
        <f>IF(AND(A2331="",B2331="",D2331="",G2331=""),"",IF(AND(A2331&lt;&gt;"",COUNTIF($A$2:$A$5001,A2331)&gt;1),"NUMERO_PC duplicado",IF(B2331="","DATA_PC vazia",IF(NOT(ISNUMBER(B2331)),"DATA_PC invalida",IF(OR(C2331="",C2331="Fora dos ciclos"),"CICLO_PC nao identificado",IF(OR(D2331="",D2331=0),"VALOR_PC vazio ou zero",IF(AND(G2331&lt;&gt;"Sim",G2331&lt;&gt;"Nao",G2331&lt;&gt;""),"PC_PAGO_A_CONTRATADA invalido",IF(AND(C2331&lt;&gt;"C0",IFERROR(INDEX(parametros!$A$2:$A$6,MATCH(C2331,parametros!$B$2:$B$6,0)),"")="Sim",IFERROR(INDEX(parametros!$H$2:$H$6,MATCH(C2331,parametros!$B$2:$B$6,0)),"")=""),"INICIO_EFEITO ausente: PC "&amp;A2331&amp;" - "&amp;C2331,IF(L2331="","EFEITO_PC nao calculado: PC "&amp;A2331&amp;" - "&amp;C2331,"OK")))))))))</f>
        <v/>
      </c>
      <c r="L2331" s="92" t="str">
        <f>IF(AND(A2331="",B2331="",D2331="",G2331=""),"",IF(OR(B2331="",NOT(ISNUMBER(B2331)),C2331="",C2331="Fora dos ciclos"),"",IF(C2331="C0","Nao",IF(IFERROR(INDEX(parametros!$A$2:$A$6,MATCH(C2331,parametros!$B$2:$B$6,0)),"")&lt;&gt;"Sim","Nao",IF(IFERROR(INDEX(parametros!$H$2:$H$6,MATCH(C2331,parametros!$B$2:$B$6,0)),"")="","",IF(B2331&gt;=IFERROR(INDEX(parametros!$H$2:$H$6,MATCH(C2331,parametros!$B$2:$B$6,0)),""),"Sim","Nao"))))))</f>
        <v/>
      </c>
      <c r="T2331" s="156"/>
      <c r="U2331" s="214" t="str">
        <f t="shared" si="186"/>
        <v/>
      </c>
      <c r="V2331" s="212" t="s">
        <v>50</v>
      </c>
      <c r="W2331" s="100" t="s">
        <v>168</v>
      </c>
      <c r="X2331" s="100" t="s">
        <v>169</v>
      </c>
      <c r="Y2331" s="101" t="s">
        <v>170</v>
      </c>
      <c r="Z2331" s="101" t="s">
        <v>171</v>
      </c>
      <c r="AA2331" s="101" t="s">
        <v>50</v>
      </c>
      <c r="AB2331" s="101" t="s">
        <v>172</v>
      </c>
      <c r="AC2331" s="102" t="s">
        <v>173</v>
      </c>
    </row>
    <row r="2332" spans="1:29" ht="25.5" customHeight="1" x14ac:dyDescent="0.35">
      <c r="A2332" s="392"/>
      <c r="B2332" s="393"/>
      <c r="C2332" s="99" t="str">
        <f>IF(B2332="","",IF(NOT(ISNUMBER(B2332)),"DATA_PC invalida",IF(NOT(ISNUMBER(parametros!$C$2)),"Fora dos ciclos",IF(OR(B2332&lt;parametros!$C$2,(YEAR(B2332)-YEAR(parametros!$C$2))*12+MONTH(B2332)-MONTH(parametros!$C$2)&gt;59),"Fora dos ciclos","C"&amp;INT(((YEAR(B2332)-YEAR(parametros!$C$2))*12+MONTH(B2332)-MONTH(parametros!$C$2))/12)))))</f>
        <v/>
      </c>
      <c r="D2332" s="394"/>
      <c r="E2332" s="78" t="str">
        <f>IF(C2332="","",IFERROR(VLOOKUP(C2332,parametros!$A$11:$E$15,5,0),""))</f>
        <v/>
      </c>
      <c r="F2332" s="79" t="str">
        <f t="shared" si="182"/>
        <v/>
      </c>
      <c r="G2332" s="395"/>
      <c r="H2332" s="91">
        <f t="shared" si="183"/>
        <v>0</v>
      </c>
      <c r="I2332" s="91" t="str">
        <f t="shared" si="184"/>
        <v/>
      </c>
      <c r="J2332" s="91" t="str">
        <f t="shared" si="185"/>
        <v/>
      </c>
      <c r="K2332" s="92" t="str">
        <f>IF(AND(A2332="",B2332="",D2332="",G2332=""),"",IF(AND(A2332&lt;&gt;"",COUNTIF($A$2:$A$5001,A2332)&gt;1),"NUMERO_PC duplicado",IF(B2332="","DATA_PC vazia",IF(NOT(ISNUMBER(B2332)),"DATA_PC invalida",IF(OR(C2332="",C2332="Fora dos ciclos"),"CICLO_PC nao identificado",IF(OR(D2332="",D2332=0),"VALOR_PC vazio ou zero",IF(AND(G2332&lt;&gt;"Sim",G2332&lt;&gt;"Nao",G2332&lt;&gt;""),"PC_PAGO_A_CONTRATADA invalido",IF(AND(C2332&lt;&gt;"C0",IFERROR(INDEX(parametros!$A$2:$A$6,MATCH(C2332,parametros!$B$2:$B$6,0)),"")="Sim",IFERROR(INDEX(parametros!$H$2:$H$6,MATCH(C2332,parametros!$B$2:$B$6,0)),"")=""),"INICIO_EFEITO ausente: PC "&amp;A2332&amp;" - "&amp;C2332,IF(L2332="","EFEITO_PC nao calculado: PC "&amp;A2332&amp;" - "&amp;C2332,"OK")))))))))</f>
        <v/>
      </c>
      <c r="L2332" s="92" t="str">
        <f>IF(AND(A2332="",B2332="",D2332="",G2332=""),"",IF(OR(B2332="",NOT(ISNUMBER(B2332)),C2332="",C2332="Fora dos ciclos"),"",IF(C2332="C0","Nao",IF(IFERROR(INDEX(parametros!$A$2:$A$6,MATCH(C2332,parametros!$B$2:$B$6,0)),"")&lt;&gt;"Sim","Nao",IF(IFERROR(INDEX(parametros!$H$2:$H$6,MATCH(C2332,parametros!$B$2:$B$6,0)),"")="","",IF(B2332&gt;=IFERROR(INDEX(parametros!$H$2:$H$6,MATCH(C2332,parametros!$B$2:$B$6,0)),""),"Sim","Nao"))))))</f>
        <v/>
      </c>
      <c r="T2332" s="156"/>
      <c r="U2332" s="214" t="str">
        <f t="shared" si="186"/>
        <v/>
      </c>
      <c r="V2332" s="212" t="s">
        <v>50</v>
      </c>
      <c r="W2332" s="100" t="s">
        <v>168</v>
      </c>
      <c r="X2332" s="100" t="s">
        <v>169</v>
      </c>
      <c r="Y2332" s="101" t="s">
        <v>170</v>
      </c>
      <c r="Z2332" s="101" t="s">
        <v>171</v>
      </c>
      <c r="AA2332" s="101" t="s">
        <v>50</v>
      </c>
      <c r="AB2332" s="101" t="s">
        <v>172</v>
      </c>
      <c r="AC2332" s="102" t="s">
        <v>173</v>
      </c>
    </row>
    <row r="2333" spans="1:29" ht="25.5" customHeight="1" x14ac:dyDescent="0.35">
      <c r="A2333" s="392"/>
      <c r="B2333" s="393"/>
      <c r="C2333" s="99" t="str">
        <f>IF(B2333="","",IF(NOT(ISNUMBER(B2333)),"DATA_PC invalida",IF(NOT(ISNUMBER(parametros!$C$2)),"Fora dos ciclos",IF(OR(B2333&lt;parametros!$C$2,(YEAR(B2333)-YEAR(parametros!$C$2))*12+MONTH(B2333)-MONTH(parametros!$C$2)&gt;59),"Fora dos ciclos","C"&amp;INT(((YEAR(B2333)-YEAR(parametros!$C$2))*12+MONTH(B2333)-MONTH(parametros!$C$2))/12)))))</f>
        <v/>
      </c>
      <c r="D2333" s="394"/>
      <c r="E2333" s="78" t="str">
        <f>IF(C2333="","",IFERROR(VLOOKUP(C2333,parametros!$A$11:$E$15,5,0),""))</f>
        <v/>
      </c>
      <c r="F2333" s="79" t="str">
        <f t="shared" si="182"/>
        <v/>
      </c>
      <c r="G2333" s="395"/>
      <c r="H2333" s="91">
        <f t="shared" si="183"/>
        <v>0</v>
      </c>
      <c r="I2333" s="91" t="str">
        <f t="shared" si="184"/>
        <v/>
      </c>
      <c r="J2333" s="91" t="str">
        <f t="shared" si="185"/>
        <v/>
      </c>
      <c r="K2333" s="92" t="str">
        <f>IF(AND(A2333="",B2333="",D2333="",G2333=""),"",IF(AND(A2333&lt;&gt;"",COUNTIF($A$2:$A$5001,A2333)&gt;1),"NUMERO_PC duplicado",IF(B2333="","DATA_PC vazia",IF(NOT(ISNUMBER(B2333)),"DATA_PC invalida",IF(OR(C2333="",C2333="Fora dos ciclos"),"CICLO_PC nao identificado",IF(OR(D2333="",D2333=0),"VALOR_PC vazio ou zero",IF(AND(G2333&lt;&gt;"Sim",G2333&lt;&gt;"Nao",G2333&lt;&gt;""),"PC_PAGO_A_CONTRATADA invalido",IF(AND(C2333&lt;&gt;"C0",IFERROR(INDEX(parametros!$A$2:$A$6,MATCH(C2333,parametros!$B$2:$B$6,0)),"")="Sim",IFERROR(INDEX(parametros!$H$2:$H$6,MATCH(C2333,parametros!$B$2:$B$6,0)),"")=""),"INICIO_EFEITO ausente: PC "&amp;A2333&amp;" - "&amp;C2333,IF(L2333="","EFEITO_PC nao calculado: PC "&amp;A2333&amp;" - "&amp;C2333,"OK")))))))))</f>
        <v/>
      </c>
      <c r="L2333" s="92" t="str">
        <f>IF(AND(A2333="",B2333="",D2333="",G2333=""),"",IF(OR(B2333="",NOT(ISNUMBER(B2333)),C2333="",C2333="Fora dos ciclos"),"",IF(C2333="C0","Nao",IF(IFERROR(INDEX(parametros!$A$2:$A$6,MATCH(C2333,parametros!$B$2:$B$6,0)),"")&lt;&gt;"Sim","Nao",IF(IFERROR(INDEX(parametros!$H$2:$H$6,MATCH(C2333,parametros!$B$2:$B$6,0)),"")="","",IF(B2333&gt;=IFERROR(INDEX(parametros!$H$2:$H$6,MATCH(C2333,parametros!$B$2:$B$6,0)),""),"Sim","Nao"))))))</f>
        <v/>
      </c>
      <c r="T2333" s="156"/>
      <c r="U2333" s="214" t="str">
        <f t="shared" si="186"/>
        <v/>
      </c>
      <c r="V2333" s="212" t="s">
        <v>50</v>
      </c>
      <c r="W2333" s="100" t="s">
        <v>168</v>
      </c>
      <c r="X2333" s="100" t="s">
        <v>169</v>
      </c>
      <c r="Y2333" s="101" t="s">
        <v>170</v>
      </c>
      <c r="Z2333" s="101" t="s">
        <v>171</v>
      </c>
      <c r="AA2333" s="101" t="s">
        <v>50</v>
      </c>
      <c r="AB2333" s="101" t="s">
        <v>172</v>
      </c>
      <c r="AC2333" s="102" t="s">
        <v>173</v>
      </c>
    </row>
    <row r="2334" spans="1:29" ht="25.5" customHeight="1" x14ac:dyDescent="0.35">
      <c r="A2334" s="392"/>
      <c r="B2334" s="393"/>
      <c r="C2334" s="99" t="str">
        <f>IF(B2334="","",IF(NOT(ISNUMBER(B2334)),"DATA_PC invalida",IF(NOT(ISNUMBER(parametros!$C$2)),"Fora dos ciclos",IF(OR(B2334&lt;parametros!$C$2,(YEAR(B2334)-YEAR(parametros!$C$2))*12+MONTH(B2334)-MONTH(parametros!$C$2)&gt;59),"Fora dos ciclos","C"&amp;INT(((YEAR(B2334)-YEAR(parametros!$C$2))*12+MONTH(B2334)-MONTH(parametros!$C$2))/12)))))</f>
        <v/>
      </c>
      <c r="D2334" s="394"/>
      <c r="E2334" s="78" t="str">
        <f>IF(C2334="","",IFERROR(VLOOKUP(C2334,parametros!$A$11:$E$15,5,0),""))</f>
        <v/>
      </c>
      <c r="F2334" s="79" t="str">
        <f t="shared" si="182"/>
        <v/>
      </c>
      <c r="G2334" s="395"/>
      <c r="H2334" s="91">
        <f t="shared" si="183"/>
        <v>0</v>
      </c>
      <c r="I2334" s="91" t="str">
        <f t="shared" si="184"/>
        <v/>
      </c>
      <c r="J2334" s="91" t="str">
        <f t="shared" si="185"/>
        <v/>
      </c>
      <c r="K2334" s="92" t="str">
        <f>IF(AND(A2334="",B2334="",D2334="",G2334=""),"",IF(AND(A2334&lt;&gt;"",COUNTIF($A$2:$A$5001,A2334)&gt;1),"NUMERO_PC duplicado",IF(B2334="","DATA_PC vazia",IF(NOT(ISNUMBER(B2334)),"DATA_PC invalida",IF(OR(C2334="",C2334="Fora dos ciclos"),"CICLO_PC nao identificado",IF(OR(D2334="",D2334=0),"VALOR_PC vazio ou zero",IF(AND(G2334&lt;&gt;"Sim",G2334&lt;&gt;"Nao",G2334&lt;&gt;""),"PC_PAGO_A_CONTRATADA invalido",IF(AND(C2334&lt;&gt;"C0",IFERROR(INDEX(parametros!$A$2:$A$6,MATCH(C2334,parametros!$B$2:$B$6,0)),"")="Sim",IFERROR(INDEX(parametros!$H$2:$H$6,MATCH(C2334,parametros!$B$2:$B$6,0)),"")=""),"INICIO_EFEITO ausente: PC "&amp;A2334&amp;" - "&amp;C2334,IF(L2334="","EFEITO_PC nao calculado: PC "&amp;A2334&amp;" - "&amp;C2334,"OK")))))))))</f>
        <v/>
      </c>
      <c r="L2334" s="92" t="str">
        <f>IF(AND(A2334="",B2334="",D2334="",G2334=""),"",IF(OR(B2334="",NOT(ISNUMBER(B2334)),C2334="",C2334="Fora dos ciclos"),"",IF(C2334="C0","Nao",IF(IFERROR(INDEX(parametros!$A$2:$A$6,MATCH(C2334,parametros!$B$2:$B$6,0)),"")&lt;&gt;"Sim","Nao",IF(IFERROR(INDEX(parametros!$H$2:$H$6,MATCH(C2334,parametros!$B$2:$B$6,0)),"")="","",IF(B2334&gt;=IFERROR(INDEX(parametros!$H$2:$H$6,MATCH(C2334,parametros!$B$2:$B$6,0)),""),"Sim","Nao"))))))</f>
        <v/>
      </c>
      <c r="T2334" s="156"/>
      <c r="U2334" s="214" t="str">
        <f t="shared" si="186"/>
        <v/>
      </c>
      <c r="V2334" s="212" t="s">
        <v>50</v>
      </c>
      <c r="W2334" s="100" t="s">
        <v>168</v>
      </c>
      <c r="X2334" s="100" t="s">
        <v>169</v>
      </c>
      <c r="Y2334" s="101" t="s">
        <v>170</v>
      </c>
      <c r="Z2334" s="101" t="s">
        <v>171</v>
      </c>
      <c r="AA2334" s="101" t="s">
        <v>50</v>
      </c>
      <c r="AB2334" s="101" t="s">
        <v>172</v>
      </c>
      <c r="AC2334" s="102" t="s">
        <v>173</v>
      </c>
    </row>
    <row r="2335" spans="1:29" ht="25.5" customHeight="1" x14ac:dyDescent="0.35">
      <c r="A2335" s="392"/>
      <c r="B2335" s="393"/>
      <c r="C2335" s="99" t="str">
        <f>IF(B2335="","",IF(NOT(ISNUMBER(B2335)),"DATA_PC invalida",IF(NOT(ISNUMBER(parametros!$C$2)),"Fora dos ciclos",IF(OR(B2335&lt;parametros!$C$2,(YEAR(B2335)-YEAR(parametros!$C$2))*12+MONTH(B2335)-MONTH(parametros!$C$2)&gt;59),"Fora dos ciclos","C"&amp;INT(((YEAR(B2335)-YEAR(parametros!$C$2))*12+MONTH(B2335)-MONTH(parametros!$C$2))/12)))))</f>
        <v/>
      </c>
      <c r="D2335" s="394"/>
      <c r="E2335" s="78" t="str">
        <f>IF(C2335="","",IFERROR(VLOOKUP(C2335,parametros!$A$11:$E$15,5,0),""))</f>
        <v/>
      </c>
      <c r="F2335" s="79" t="str">
        <f t="shared" si="182"/>
        <v/>
      </c>
      <c r="G2335" s="395"/>
      <c r="H2335" s="91">
        <f t="shared" si="183"/>
        <v>0</v>
      </c>
      <c r="I2335" s="91" t="str">
        <f t="shared" si="184"/>
        <v/>
      </c>
      <c r="J2335" s="91" t="str">
        <f t="shared" si="185"/>
        <v/>
      </c>
      <c r="K2335" s="92" t="str">
        <f>IF(AND(A2335="",B2335="",D2335="",G2335=""),"",IF(AND(A2335&lt;&gt;"",COUNTIF($A$2:$A$5001,A2335)&gt;1),"NUMERO_PC duplicado",IF(B2335="","DATA_PC vazia",IF(NOT(ISNUMBER(B2335)),"DATA_PC invalida",IF(OR(C2335="",C2335="Fora dos ciclos"),"CICLO_PC nao identificado",IF(OR(D2335="",D2335=0),"VALOR_PC vazio ou zero",IF(AND(G2335&lt;&gt;"Sim",G2335&lt;&gt;"Nao",G2335&lt;&gt;""),"PC_PAGO_A_CONTRATADA invalido",IF(AND(C2335&lt;&gt;"C0",IFERROR(INDEX(parametros!$A$2:$A$6,MATCH(C2335,parametros!$B$2:$B$6,0)),"")="Sim",IFERROR(INDEX(parametros!$H$2:$H$6,MATCH(C2335,parametros!$B$2:$B$6,0)),"")=""),"INICIO_EFEITO ausente: PC "&amp;A2335&amp;" - "&amp;C2335,IF(L2335="","EFEITO_PC nao calculado: PC "&amp;A2335&amp;" - "&amp;C2335,"OK")))))))))</f>
        <v/>
      </c>
      <c r="L2335" s="92" t="str">
        <f>IF(AND(A2335="",B2335="",D2335="",G2335=""),"",IF(OR(B2335="",NOT(ISNUMBER(B2335)),C2335="",C2335="Fora dos ciclos"),"",IF(C2335="C0","Nao",IF(IFERROR(INDEX(parametros!$A$2:$A$6,MATCH(C2335,parametros!$B$2:$B$6,0)),"")&lt;&gt;"Sim","Nao",IF(IFERROR(INDEX(parametros!$H$2:$H$6,MATCH(C2335,parametros!$B$2:$B$6,0)),"")="","",IF(B2335&gt;=IFERROR(INDEX(parametros!$H$2:$H$6,MATCH(C2335,parametros!$B$2:$B$6,0)),""),"Sim","Nao"))))))</f>
        <v/>
      </c>
      <c r="T2335" s="156"/>
      <c r="U2335" s="214" t="str">
        <f t="shared" si="186"/>
        <v/>
      </c>
      <c r="V2335" s="212" t="s">
        <v>50</v>
      </c>
      <c r="W2335" s="100" t="s">
        <v>168</v>
      </c>
      <c r="X2335" s="100" t="s">
        <v>169</v>
      </c>
      <c r="Y2335" s="101" t="s">
        <v>170</v>
      </c>
      <c r="Z2335" s="101" t="s">
        <v>171</v>
      </c>
      <c r="AA2335" s="101" t="s">
        <v>50</v>
      </c>
      <c r="AB2335" s="101" t="s">
        <v>172</v>
      </c>
      <c r="AC2335" s="102" t="s">
        <v>173</v>
      </c>
    </row>
    <row r="2336" spans="1:29" ht="25.5" customHeight="1" x14ac:dyDescent="0.35">
      <c r="A2336" s="392"/>
      <c r="B2336" s="393"/>
      <c r="C2336" s="99" t="str">
        <f>IF(B2336="","",IF(NOT(ISNUMBER(B2336)),"DATA_PC invalida",IF(NOT(ISNUMBER(parametros!$C$2)),"Fora dos ciclos",IF(OR(B2336&lt;parametros!$C$2,(YEAR(B2336)-YEAR(parametros!$C$2))*12+MONTH(B2336)-MONTH(parametros!$C$2)&gt;59),"Fora dos ciclos","C"&amp;INT(((YEAR(B2336)-YEAR(parametros!$C$2))*12+MONTH(B2336)-MONTH(parametros!$C$2))/12)))))</f>
        <v/>
      </c>
      <c r="D2336" s="394"/>
      <c r="E2336" s="78" t="str">
        <f>IF(C2336="","",IFERROR(VLOOKUP(C2336,parametros!$A$11:$E$15,5,0),""))</f>
        <v/>
      </c>
      <c r="F2336" s="79" t="str">
        <f t="shared" si="182"/>
        <v/>
      </c>
      <c r="G2336" s="395"/>
      <c r="H2336" s="91">
        <f t="shared" si="183"/>
        <v>0</v>
      </c>
      <c r="I2336" s="91" t="str">
        <f t="shared" si="184"/>
        <v/>
      </c>
      <c r="J2336" s="91" t="str">
        <f t="shared" si="185"/>
        <v/>
      </c>
      <c r="K2336" s="92" t="str">
        <f>IF(AND(A2336="",B2336="",D2336="",G2336=""),"",IF(AND(A2336&lt;&gt;"",COUNTIF($A$2:$A$5001,A2336)&gt;1),"NUMERO_PC duplicado",IF(B2336="","DATA_PC vazia",IF(NOT(ISNUMBER(B2336)),"DATA_PC invalida",IF(OR(C2336="",C2336="Fora dos ciclos"),"CICLO_PC nao identificado",IF(OR(D2336="",D2336=0),"VALOR_PC vazio ou zero",IF(AND(G2336&lt;&gt;"Sim",G2336&lt;&gt;"Nao",G2336&lt;&gt;""),"PC_PAGO_A_CONTRATADA invalido",IF(AND(C2336&lt;&gt;"C0",IFERROR(INDEX(parametros!$A$2:$A$6,MATCH(C2336,parametros!$B$2:$B$6,0)),"")="Sim",IFERROR(INDEX(parametros!$H$2:$H$6,MATCH(C2336,parametros!$B$2:$B$6,0)),"")=""),"INICIO_EFEITO ausente: PC "&amp;A2336&amp;" - "&amp;C2336,IF(L2336="","EFEITO_PC nao calculado: PC "&amp;A2336&amp;" - "&amp;C2336,"OK")))))))))</f>
        <v/>
      </c>
      <c r="L2336" s="92" t="str">
        <f>IF(AND(A2336="",B2336="",D2336="",G2336=""),"",IF(OR(B2336="",NOT(ISNUMBER(B2336)),C2336="",C2336="Fora dos ciclos"),"",IF(C2336="C0","Nao",IF(IFERROR(INDEX(parametros!$A$2:$A$6,MATCH(C2336,parametros!$B$2:$B$6,0)),"")&lt;&gt;"Sim","Nao",IF(IFERROR(INDEX(parametros!$H$2:$H$6,MATCH(C2336,parametros!$B$2:$B$6,0)),"")="","",IF(B2336&gt;=IFERROR(INDEX(parametros!$H$2:$H$6,MATCH(C2336,parametros!$B$2:$B$6,0)),""),"Sim","Nao"))))))</f>
        <v/>
      </c>
      <c r="T2336" s="156"/>
      <c r="U2336" s="214" t="str">
        <f t="shared" si="186"/>
        <v/>
      </c>
      <c r="V2336" s="212" t="s">
        <v>50</v>
      </c>
      <c r="W2336" s="100" t="s">
        <v>168</v>
      </c>
      <c r="X2336" s="100" t="s">
        <v>169</v>
      </c>
      <c r="Y2336" s="101" t="s">
        <v>170</v>
      </c>
      <c r="Z2336" s="101" t="s">
        <v>171</v>
      </c>
      <c r="AA2336" s="101" t="s">
        <v>50</v>
      </c>
      <c r="AB2336" s="101" t="s">
        <v>172</v>
      </c>
      <c r="AC2336" s="102" t="s">
        <v>173</v>
      </c>
    </row>
    <row r="2337" spans="1:29" ht="25.5" customHeight="1" x14ac:dyDescent="0.35">
      <c r="A2337" s="392"/>
      <c r="B2337" s="393"/>
      <c r="C2337" s="99" t="str">
        <f>IF(B2337="","",IF(NOT(ISNUMBER(B2337)),"DATA_PC invalida",IF(NOT(ISNUMBER(parametros!$C$2)),"Fora dos ciclos",IF(OR(B2337&lt;parametros!$C$2,(YEAR(B2337)-YEAR(parametros!$C$2))*12+MONTH(B2337)-MONTH(parametros!$C$2)&gt;59),"Fora dos ciclos","C"&amp;INT(((YEAR(B2337)-YEAR(parametros!$C$2))*12+MONTH(B2337)-MONTH(parametros!$C$2))/12)))))</f>
        <v/>
      </c>
      <c r="D2337" s="394"/>
      <c r="E2337" s="78" t="str">
        <f>IF(C2337="","",IFERROR(VLOOKUP(C2337,parametros!$A$11:$E$15,5,0),""))</f>
        <v/>
      </c>
      <c r="F2337" s="79" t="str">
        <f t="shared" si="182"/>
        <v/>
      </c>
      <c r="G2337" s="395"/>
      <c r="H2337" s="91">
        <f t="shared" si="183"/>
        <v>0</v>
      </c>
      <c r="I2337" s="91" t="str">
        <f t="shared" si="184"/>
        <v/>
      </c>
      <c r="J2337" s="91" t="str">
        <f t="shared" si="185"/>
        <v/>
      </c>
      <c r="K2337" s="92" t="str">
        <f>IF(AND(A2337="",B2337="",D2337="",G2337=""),"",IF(AND(A2337&lt;&gt;"",COUNTIF($A$2:$A$5001,A2337)&gt;1),"NUMERO_PC duplicado",IF(B2337="","DATA_PC vazia",IF(NOT(ISNUMBER(B2337)),"DATA_PC invalida",IF(OR(C2337="",C2337="Fora dos ciclos"),"CICLO_PC nao identificado",IF(OR(D2337="",D2337=0),"VALOR_PC vazio ou zero",IF(AND(G2337&lt;&gt;"Sim",G2337&lt;&gt;"Nao",G2337&lt;&gt;""),"PC_PAGO_A_CONTRATADA invalido",IF(AND(C2337&lt;&gt;"C0",IFERROR(INDEX(parametros!$A$2:$A$6,MATCH(C2337,parametros!$B$2:$B$6,0)),"")="Sim",IFERROR(INDEX(parametros!$H$2:$H$6,MATCH(C2337,parametros!$B$2:$B$6,0)),"")=""),"INICIO_EFEITO ausente: PC "&amp;A2337&amp;" - "&amp;C2337,IF(L2337="","EFEITO_PC nao calculado: PC "&amp;A2337&amp;" - "&amp;C2337,"OK")))))))))</f>
        <v/>
      </c>
      <c r="L2337" s="92" t="str">
        <f>IF(AND(A2337="",B2337="",D2337="",G2337=""),"",IF(OR(B2337="",NOT(ISNUMBER(B2337)),C2337="",C2337="Fora dos ciclos"),"",IF(C2337="C0","Nao",IF(IFERROR(INDEX(parametros!$A$2:$A$6,MATCH(C2337,parametros!$B$2:$B$6,0)),"")&lt;&gt;"Sim","Nao",IF(IFERROR(INDEX(parametros!$H$2:$H$6,MATCH(C2337,parametros!$B$2:$B$6,0)),"")="","",IF(B2337&gt;=IFERROR(INDEX(parametros!$H$2:$H$6,MATCH(C2337,parametros!$B$2:$B$6,0)),""),"Sim","Nao"))))))</f>
        <v/>
      </c>
      <c r="T2337" s="156"/>
      <c r="U2337" s="214" t="str">
        <f t="shared" si="186"/>
        <v/>
      </c>
      <c r="V2337" s="212" t="s">
        <v>50</v>
      </c>
      <c r="W2337" s="100" t="s">
        <v>168</v>
      </c>
      <c r="X2337" s="100" t="s">
        <v>169</v>
      </c>
      <c r="Y2337" s="101" t="s">
        <v>170</v>
      </c>
      <c r="Z2337" s="101" t="s">
        <v>171</v>
      </c>
      <c r="AA2337" s="101" t="s">
        <v>50</v>
      </c>
      <c r="AB2337" s="101" t="s">
        <v>172</v>
      </c>
      <c r="AC2337" s="102" t="s">
        <v>173</v>
      </c>
    </row>
    <row r="2338" spans="1:29" ht="25.5" customHeight="1" x14ac:dyDescent="0.35">
      <c r="A2338" s="392"/>
      <c r="B2338" s="393"/>
      <c r="C2338" s="99" t="str">
        <f>IF(B2338="","",IF(NOT(ISNUMBER(B2338)),"DATA_PC invalida",IF(NOT(ISNUMBER(parametros!$C$2)),"Fora dos ciclos",IF(OR(B2338&lt;parametros!$C$2,(YEAR(B2338)-YEAR(parametros!$C$2))*12+MONTH(B2338)-MONTH(parametros!$C$2)&gt;59),"Fora dos ciclos","C"&amp;INT(((YEAR(B2338)-YEAR(parametros!$C$2))*12+MONTH(B2338)-MONTH(parametros!$C$2))/12)))))</f>
        <v/>
      </c>
      <c r="D2338" s="394"/>
      <c r="E2338" s="78" t="str">
        <f>IF(C2338="","",IFERROR(VLOOKUP(C2338,parametros!$A$11:$E$15,5,0),""))</f>
        <v/>
      </c>
      <c r="F2338" s="79" t="str">
        <f t="shared" si="182"/>
        <v/>
      </c>
      <c r="G2338" s="395"/>
      <c r="H2338" s="91">
        <f t="shared" si="183"/>
        <v>0</v>
      </c>
      <c r="I2338" s="91" t="str">
        <f t="shared" si="184"/>
        <v/>
      </c>
      <c r="J2338" s="91" t="str">
        <f t="shared" si="185"/>
        <v/>
      </c>
      <c r="K2338" s="92" t="str">
        <f>IF(AND(A2338="",B2338="",D2338="",G2338=""),"",IF(AND(A2338&lt;&gt;"",COUNTIF($A$2:$A$5001,A2338)&gt;1),"NUMERO_PC duplicado",IF(B2338="","DATA_PC vazia",IF(NOT(ISNUMBER(B2338)),"DATA_PC invalida",IF(OR(C2338="",C2338="Fora dos ciclos"),"CICLO_PC nao identificado",IF(OR(D2338="",D2338=0),"VALOR_PC vazio ou zero",IF(AND(G2338&lt;&gt;"Sim",G2338&lt;&gt;"Nao",G2338&lt;&gt;""),"PC_PAGO_A_CONTRATADA invalido",IF(AND(C2338&lt;&gt;"C0",IFERROR(INDEX(parametros!$A$2:$A$6,MATCH(C2338,parametros!$B$2:$B$6,0)),"")="Sim",IFERROR(INDEX(parametros!$H$2:$H$6,MATCH(C2338,parametros!$B$2:$B$6,0)),"")=""),"INICIO_EFEITO ausente: PC "&amp;A2338&amp;" - "&amp;C2338,IF(L2338="","EFEITO_PC nao calculado: PC "&amp;A2338&amp;" - "&amp;C2338,"OK")))))))))</f>
        <v/>
      </c>
      <c r="L2338" s="92" t="str">
        <f>IF(AND(A2338="",B2338="",D2338="",G2338=""),"",IF(OR(B2338="",NOT(ISNUMBER(B2338)),C2338="",C2338="Fora dos ciclos"),"",IF(C2338="C0","Nao",IF(IFERROR(INDEX(parametros!$A$2:$A$6,MATCH(C2338,parametros!$B$2:$B$6,0)),"")&lt;&gt;"Sim","Nao",IF(IFERROR(INDEX(parametros!$H$2:$H$6,MATCH(C2338,parametros!$B$2:$B$6,0)),"")="","",IF(B2338&gt;=IFERROR(INDEX(parametros!$H$2:$H$6,MATCH(C2338,parametros!$B$2:$B$6,0)),""),"Sim","Nao"))))))</f>
        <v/>
      </c>
      <c r="T2338" s="156"/>
      <c r="U2338" s="214" t="str">
        <f t="shared" si="186"/>
        <v/>
      </c>
      <c r="V2338" s="212" t="s">
        <v>50</v>
      </c>
      <c r="W2338" s="100" t="s">
        <v>168</v>
      </c>
      <c r="X2338" s="100" t="s">
        <v>169</v>
      </c>
      <c r="Y2338" s="101" t="s">
        <v>170</v>
      </c>
      <c r="Z2338" s="101" t="s">
        <v>171</v>
      </c>
      <c r="AA2338" s="101" t="s">
        <v>50</v>
      </c>
      <c r="AB2338" s="101" t="s">
        <v>172</v>
      </c>
      <c r="AC2338" s="102" t="s">
        <v>173</v>
      </c>
    </row>
    <row r="2339" spans="1:29" ht="25.5" customHeight="1" x14ac:dyDescent="0.35">
      <c r="A2339" s="392"/>
      <c r="B2339" s="393"/>
      <c r="C2339" s="99" t="str">
        <f>IF(B2339="","",IF(NOT(ISNUMBER(B2339)),"DATA_PC invalida",IF(NOT(ISNUMBER(parametros!$C$2)),"Fora dos ciclos",IF(OR(B2339&lt;parametros!$C$2,(YEAR(B2339)-YEAR(parametros!$C$2))*12+MONTH(B2339)-MONTH(parametros!$C$2)&gt;59),"Fora dos ciclos","C"&amp;INT(((YEAR(B2339)-YEAR(parametros!$C$2))*12+MONTH(B2339)-MONTH(parametros!$C$2))/12)))))</f>
        <v/>
      </c>
      <c r="D2339" s="394"/>
      <c r="E2339" s="78" t="str">
        <f>IF(C2339="","",IFERROR(VLOOKUP(C2339,parametros!$A$11:$E$15,5,0),""))</f>
        <v/>
      </c>
      <c r="F2339" s="79" t="str">
        <f t="shared" si="182"/>
        <v/>
      </c>
      <c r="G2339" s="395"/>
      <c r="H2339" s="91">
        <f t="shared" si="183"/>
        <v>0</v>
      </c>
      <c r="I2339" s="91" t="str">
        <f t="shared" si="184"/>
        <v/>
      </c>
      <c r="J2339" s="91" t="str">
        <f t="shared" si="185"/>
        <v/>
      </c>
      <c r="K2339" s="92" t="str">
        <f>IF(AND(A2339="",B2339="",D2339="",G2339=""),"",IF(AND(A2339&lt;&gt;"",COUNTIF($A$2:$A$5001,A2339)&gt;1),"NUMERO_PC duplicado",IF(B2339="","DATA_PC vazia",IF(NOT(ISNUMBER(B2339)),"DATA_PC invalida",IF(OR(C2339="",C2339="Fora dos ciclos"),"CICLO_PC nao identificado",IF(OR(D2339="",D2339=0),"VALOR_PC vazio ou zero",IF(AND(G2339&lt;&gt;"Sim",G2339&lt;&gt;"Nao",G2339&lt;&gt;""),"PC_PAGO_A_CONTRATADA invalido",IF(AND(C2339&lt;&gt;"C0",IFERROR(INDEX(parametros!$A$2:$A$6,MATCH(C2339,parametros!$B$2:$B$6,0)),"")="Sim",IFERROR(INDEX(parametros!$H$2:$H$6,MATCH(C2339,parametros!$B$2:$B$6,0)),"")=""),"INICIO_EFEITO ausente: PC "&amp;A2339&amp;" - "&amp;C2339,IF(L2339="","EFEITO_PC nao calculado: PC "&amp;A2339&amp;" - "&amp;C2339,"OK")))))))))</f>
        <v/>
      </c>
      <c r="L2339" s="92" t="str">
        <f>IF(AND(A2339="",B2339="",D2339="",G2339=""),"",IF(OR(B2339="",NOT(ISNUMBER(B2339)),C2339="",C2339="Fora dos ciclos"),"",IF(C2339="C0","Nao",IF(IFERROR(INDEX(parametros!$A$2:$A$6,MATCH(C2339,parametros!$B$2:$B$6,0)),"")&lt;&gt;"Sim","Nao",IF(IFERROR(INDEX(parametros!$H$2:$H$6,MATCH(C2339,parametros!$B$2:$B$6,0)),"")="","",IF(B2339&gt;=IFERROR(INDEX(parametros!$H$2:$H$6,MATCH(C2339,parametros!$B$2:$B$6,0)),""),"Sim","Nao"))))))</f>
        <v/>
      </c>
      <c r="T2339" s="156"/>
      <c r="U2339" s="214" t="str">
        <f t="shared" si="186"/>
        <v/>
      </c>
      <c r="V2339" s="212" t="s">
        <v>50</v>
      </c>
      <c r="W2339" s="100" t="s">
        <v>168</v>
      </c>
      <c r="X2339" s="100" t="s">
        <v>169</v>
      </c>
      <c r="Y2339" s="101" t="s">
        <v>170</v>
      </c>
      <c r="Z2339" s="101" t="s">
        <v>171</v>
      </c>
      <c r="AA2339" s="101" t="s">
        <v>50</v>
      </c>
      <c r="AB2339" s="101" t="s">
        <v>172</v>
      </c>
      <c r="AC2339" s="102" t="s">
        <v>173</v>
      </c>
    </row>
    <row r="2340" spans="1:29" ht="25.5" customHeight="1" x14ac:dyDescent="0.35">
      <c r="A2340" s="392"/>
      <c r="B2340" s="393"/>
      <c r="C2340" s="99" t="str">
        <f>IF(B2340="","",IF(NOT(ISNUMBER(B2340)),"DATA_PC invalida",IF(NOT(ISNUMBER(parametros!$C$2)),"Fora dos ciclos",IF(OR(B2340&lt;parametros!$C$2,(YEAR(B2340)-YEAR(parametros!$C$2))*12+MONTH(B2340)-MONTH(parametros!$C$2)&gt;59),"Fora dos ciclos","C"&amp;INT(((YEAR(B2340)-YEAR(parametros!$C$2))*12+MONTH(B2340)-MONTH(parametros!$C$2))/12)))))</f>
        <v/>
      </c>
      <c r="D2340" s="394"/>
      <c r="E2340" s="78" t="str">
        <f>IF(C2340="","",IFERROR(VLOOKUP(C2340,parametros!$A$11:$E$15,5,0),""))</f>
        <v/>
      </c>
      <c r="F2340" s="79" t="str">
        <f t="shared" si="182"/>
        <v/>
      </c>
      <c r="G2340" s="395"/>
      <c r="H2340" s="91">
        <f t="shared" si="183"/>
        <v>0</v>
      </c>
      <c r="I2340" s="91" t="str">
        <f t="shared" si="184"/>
        <v/>
      </c>
      <c r="J2340" s="91" t="str">
        <f t="shared" si="185"/>
        <v/>
      </c>
      <c r="K2340" s="92" t="str">
        <f>IF(AND(A2340="",B2340="",D2340="",G2340=""),"",IF(AND(A2340&lt;&gt;"",COUNTIF($A$2:$A$5001,A2340)&gt;1),"NUMERO_PC duplicado",IF(B2340="","DATA_PC vazia",IF(NOT(ISNUMBER(B2340)),"DATA_PC invalida",IF(OR(C2340="",C2340="Fora dos ciclos"),"CICLO_PC nao identificado",IF(OR(D2340="",D2340=0),"VALOR_PC vazio ou zero",IF(AND(G2340&lt;&gt;"Sim",G2340&lt;&gt;"Nao",G2340&lt;&gt;""),"PC_PAGO_A_CONTRATADA invalido",IF(AND(C2340&lt;&gt;"C0",IFERROR(INDEX(parametros!$A$2:$A$6,MATCH(C2340,parametros!$B$2:$B$6,0)),"")="Sim",IFERROR(INDEX(parametros!$H$2:$H$6,MATCH(C2340,parametros!$B$2:$B$6,0)),"")=""),"INICIO_EFEITO ausente: PC "&amp;A2340&amp;" - "&amp;C2340,IF(L2340="","EFEITO_PC nao calculado: PC "&amp;A2340&amp;" - "&amp;C2340,"OK")))))))))</f>
        <v/>
      </c>
      <c r="L2340" s="92" t="str">
        <f>IF(AND(A2340="",B2340="",D2340="",G2340=""),"",IF(OR(B2340="",NOT(ISNUMBER(B2340)),C2340="",C2340="Fora dos ciclos"),"",IF(C2340="C0","Nao",IF(IFERROR(INDEX(parametros!$A$2:$A$6,MATCH(C2340,parametros!$B$2:$B$6,0)),"")&lt;&gt;"Sim","Nao",IF(IFERROR(INDEX(parametros!$H$2:$H$6,MATCH(C2340,parametros!$B$2:$B$6,0)),"")="","",IF(B2340&gt;=IFERROR(INDEX(parametros!$H$2:$H$6,MATCH(C2340,parametros!$B$2:$B$6,0)),""),"Sim","Nao"))))))</f>
        <v/>
      </c>
      <c r="T2340" s="156"/>
      <c r="U2340" s="214" t="str">
        <f t="shared" si="186"/>
        <v/>
      </c>
      <c r="V2340" s="212" t="s">
        <v>50</v>
      </c>
      <c r="W2340" s="100" t="s">
        <v>168</v>
      </c>
      <c r="X2340" s="100" t="s">
        <v>169</v>
      </c>
      <c r="Y2340" s="101" t="s">
        <v>170</v>
      </c>
      <c r="Z2340" s="101" t="s">
        <v>171</v>
      </c>
      <c r="AA2340" s="101" t="s">
        <v>50</v>
      </c>
      <c r="AB2340" s="101" t="s">
        <v>172</v>
      </c>
      <c r="AC2340" s="102" t="s">
        <v>173</v>
      </c>
    </row>
    <row r="2341" spans="1:29" ht="25.5" customHeight="1" x14ac:dyDescent="0.35">
      <c r="A2341" s="392"/>
      <c r="B2341" s="393"/>
      <c r="C2341" s="99" t="str">
        <f>IF(B2341="","",IF(NOT(ISNUMBER(B2341)),"DATA_PC invalida",IF(NOT(ISNUMBER(parametros!$C$2)),"Fora dos ciclos",IF(OR(B2341&lt;parametros!$C$2,(YEAR(B2341)-YEAR(parametros!$C$2))*12+MONTH(B2341)-MONTH(parametros!$C$2)&gt;59),"Fora dos ciclos","C"&amp;INT(((YEAR(B2341)-YEAR(parametros!$C$2))*12+MONTH(B2341)-MONTH(parametros!$C$2))/12)))))</f>
        <v/>
      </c>
      <c r="D2341" s="394"/>
      <c r="E2341" s="78" t="str">
        <f>IF(C2341="","",IFERROR(VLOOKUP(C2341,parametros!$A$11:$E$15,5,0),""))</f>
        <v/>
      </c>
      <c r="F2341" s="79" t="str">
        <f t="shared" si="182"/>
        <v/>
      </c>
      <c r="G2341" s="395"/>
      <c r="H2341" s="91">
        <f t="shared" si="183"/>
        <v>0</v>
      </c>
      <c r="I2341" s="91" t="str">
        <f t="shared" si="184"/>
        <v/>
      </c>
      <c r="J2341" s="91" t="str">
        <f t="shared" si="185"/>
        <v/>
      </c>
      <c r="K2341" s="92" t="str">
        <f>IF(AND(A2341="",B2341="",D2341="",G2341=""),"",IF(AND(A2341&lt;&gt;"",COUNTIF($A$2:$A$5001,A2341)&gt;1),"NUMERO_PC duplicado",IF(B2341="","DATA_PC vazia",IF(NOT(ISNUMBER(B2341)),"DATA_PC invalida",IF(OR(C2341="",C2341="Fora dos ciclos"),"CICLO_PC nao identificado",IF(OR(D2341="",D2341=0),"VALOR_PC vazio ou zero",IF(AND(G2341&lt;&gt;"Sim",G2341&lt;&gt;"Nao",G2341&lt;&gt;""),"PC_PAGO_A_CONTRATADA invalido",IF(AND(C2341&lt;&gt;"C0",IFERROR(INDEX(parametros!$A$2:$A$6,MATCH(C2341,parametros!$B$2:$B$6,0)),"")="Sim",IFERROR(INDEX(parametros!$H$2:$H$6,MATCH(C2341,parametros!$B$2:$B$6,0)),"")=""),"INICIO_EFEITO ausente: PC "&amp;A2341&amp;" - "&amp;C2341,IF(L2341="","EFEITO_PC nao calculado: PC "&amp;A2341&amp;" - "&amp;C2341,"OK")))))))))</f>
        <v/>
      </c>
      <c r="L2341" s="92" t="str">
        <f>IF(AND(A2341="",B2341="",D2341="",G2341=""),"",IF(OR(B2341="",NOT(ISNUMBER(B2341)),C2341="",C2341="Fora dos ciclos"),"",IF(C2341="C0","Nao",IF(IFERROR(INDEX(parametros!$A$2:$A$6,MATCH(C2341,parametros!$B$2:$B$6,0)),"")&lt;&gt;"Sim","Nao",IF(IFERROR(INDEX(parametros!$H$2:$H$6,MATCH(C2341,parametros!$B$2:$B$6,0)),"")="","",IF(B2341&gt;=IFERROR(INDEX(parametros!$H$2:$H$6,MATCH(C2341,parametros!$B$2:$B$6,0)),""),"Sim","Nao"))))))</f>
        <v/>
      </c>
      <c r="T2341" s="156"/>
      <c r="U2341" s="214" t="str">
        <f t="shared" si="186"/>
        <v/>
      </c>
      <c r="V2341" s="212" t="s">
        <v>50</v>
      </c>
      <c r="W2341" s="100" t="s">
        <v>168</v>
      </c>
      <c r="X2341" s="100" t="s">
        <v>169</v>
      </c>
      <c r="Y2341" s="101" t="s">
        <v>170</v>
      </c>
      <c r="Z2341" s="101" t="s">
        <v>171</v>
      </c>
      <c r="AA2341" s="101" t="s">
        <v>50</v>
      </c>
      <c r="AB2341" s="101" t="s">
        <v>172</v>
      </c>
      <c r="AC2341" s="102" t="s">
        <v>173</v>
      </c>
    </row>
    <row r="2342" spans="1:29" ht="25.5" customHeight="1" x14ac:dyDescent="0.35">
      <c r="A2342" s="392"/>
      <c r="B2342" s="393"/>
      <c r="C2342" s="99" t="str">
        <f>IF(B2342="","",IF(NOT(ISNUMBER(B2342)),"DATA_PC invalida",IF(NOT(ISNUMBER(parametros!$C$2)),"Fora dos ciclos",IF(OR(B2342&lt;parametros!$C$2,(YEAR(B2342)-YEAR(parametros!$C$2))*12+MONTH(B2342)-MONTH(parametros!$C$2)&gt;59),"Fora dos ciclos","C"&amp;INT(((YEAR(B2342)-YEAR(parametros!$C$2))*12+MONTH(B2342)-MONTH(parametros!$C$2))/12)))))</f>
        <v/>
      </c>
      <c r="D2342" s="394"/>
      <c r="E2342" s="78" t="str">
        <f>IF(C2342="","",IFERROR(VLOOKUP(C2342,parametros!$A$11:$E$15,5,0),""))</f>
        <v/>
      </c>
      <c r="F2342" s="79" t="str">
        <f t="shared" si="182"/>
        <v/>
      </c>
      <c r="G2342" s="395"/>
      <c r="H2342" s="91">
        <f t="shared" si="183"/>
        <v>0</v>
      </c>
      <c r="I2342" s="91" t="str">
        <f t="shared" si="184"/>
        <v/>
      </c>
      <c r="J2342" s="91" t="str">
        <f t="shared" si="185"/>
        <v/>
      </c>
      <c r="K2342" s="92" t="str">
        <f>IF(AND(A2342="",B2342="",D2342="",G2342=""),"",IF(AND(A2342&lt;&gt;"",COUNTIF($A$2:$A$5001,A2342)&gt;1),"NUMERO_PC duplicado",IF(B2342="","DATA_PC vazia",IF(NOT(ISNUMBER(B2342)),"DATA_PC invalida",IF(OR(C2342="",C2342="Fora dos ciclos"),"CICLO_PC nao identificado",IF(OR(D2342="",D2342=0),"VALOR_PC vazio ou zero",IF(AND(G2342&lt;&gt;"Sim",G2342&lt;&gt;"Nao",G2342&lt;&gt;""),"PC_PAGO_A_CONTRATADA invalido",IF(AND(C2342&lt;&gt;"C0",IFERROR(INDEX(parametros!$A$2:$A$6,MATCH(C2342,parametros!$B$2:$B$6,0)),"")="Sim",IFERROR(INDEX(parametros!$H$2:$H$6,MATCH(C2342,parametros!$B$2:$B$6,0)),"")=""),"INICIO_EFEITO ausente: PC "&amp;A2342&amp;" - "&amp;C2342,IF(L2342="","EFEITO_PC nao calculado: PC "&amp;A2342&amp;" - "&amp;C2342,"OK")))))))))</f>
        <v/>
      </c>
      <c r="L2342" s="92" t="str">
        <f>IF(AND(A2342="",B2342="",D2342="",G2342=""),"",IF(OR(B2342="",NOT(ISNUMBER(B2342)),C2342="",C2342="Fora dos ciclos"),"",IF(C2342="C0","Nao",IF(IFERROR(INDEX(parametros!$A$2:$A$6,MATCH(C2342,parametros!$B$2:$B$6,0)),"")&lt;&gt;"Sim","Nao",IF(IFERROR(INDEX(parametros!$H$2:$H$6,MATCH(C2342,parametros!$B$2:$B$6,0)),"")="","",IF(B2342&gt;=IFERROR(INDEX(parametros!$H$2:$H$6,MATCH(C2342,parametros!$B$2:$B$6,0)),""),"Sim","Nao"))))))</f>
        <v/>
      </c>
      <c r="T2342" s="156"/>
      <c r="U2342" s="214" t="str">
        <f t="shared" si="186"/>
        <v/>
      </c>
      <c r="V2342" s="212" t="s">
        <v>50</v>
      </c>
      <c r="W2342" s="100" t="s">
        <v>168</v>
      </c>
      <c r="X2342" s="100" t="s">
        <v>169</v>
      </c>
      <c r="Y2342" s="101" t="s">
        <v>170</v>
      </c>
      <c r="Z2342" s="101" t="s">
        <v>171</v>
      </c>
      <c r="AA2342" s="101" t="s">
        <v>50</v>
      </c>
      <c r="AB2342" s="101" t="s">
        <v>172</v>
      </c>
      <c r="AC2342" s="102" t="s">
        <v>173</v>
      </c>
    </row>
    <row r="2343" spans="1:29" ht="25.5" customHeight="1" x14ac:dyDescent="0.35">
      <c r="A2343" s="392"/>
      <c r="B2343" s="393"/>
      <c r="C2343" s="99" t="str">
        <f>IF(B2343="","",IF(NOT(ISNUMBER(B2343)),"DATA_PC invalida",IF(NOT(ISNUMBER(parametros!$C$2)),"Fora dos ciclos",IF(OR(B2343&lt;parametros!$C$2,(YEAR(B2343)-YEAR(parametros!$C$2))*12+MONTH(B2343)-MONTH(parametros!$C$2)&gt;59),"Fora dos ciclos","C"&amp;INT(((YEAR(B2343)-YEAR(parametros!$C$2))*12+MONTH(B2343)-MONTH(parametros!$C$2))/12)))))</f>
        <v/>
      </c>
      <c r="D2343" s="394"/>
      <c r="E2343" s="78" t="str">
        <f>IF(C2343="","",IFERROR(VLOOKUP(C2343,parametros!$A$11:$E$15,5,0),""))</f>
        <v/>
      </c>
      <c r="F2343" s="79" t="str">
        <f t="shared" si="182"/>
        <v/>
      </c>
      <c r="G2343" s="395"/>
      <c r="H2343" s="91">
        <f t="shared" si="183"/>
        <v>0</v>
      </c>
      <c r="I2343" s="91" t="str">
        <f t="shared" si="184"/>
        <v/>
      </c>
      <c r="J2343" s="91" t="str">
        <f t="shared" si="185"/>
        <v/>
      </c>
      <c r="K2343" s="92" t="str">
        <f>IF(AND(A2343="",B2343="",D2343="",G2343=""),"",IF(AND(A2343&lt;&gt;"",COUNTIF($A$2:$A$5001,A2343)&gt;1),"NUMERO_PC duplicado",IF(B2343="","DATA_PC vazia",IF(NOT(ISNUMBER(B2343)),"DATA_PC invalida",IF(OR(C2343="",C2343="Fora dos ciclos"),"CICLO_PC nao identificado",IF(OR(D2343="",D2343=0),"VALOR_PC vazio ou zero",IF(AND(G2343&lt;&gt;"Sim",G2343&lt;&gt;"Nao",G2343&lt;&gt;""),"PC_PAGO_A_CONTRATADA invalido",IF(AND(C2343&lt;&gt;"C0",IFERROR(INDEX(parametros!$A$2:$A$6,MATCH(C2343,parametros!$B$2:$B$6,0)),"")="Sim",IFERROR(INDEX(parametros!$H$2:$H$6,MATCH(C2343,parametros!$B$2:$B$6,0)),"")=""),"INICIO_EFEITO ausente: PC "&amp;A2343&amp;" - "&amp;C2343,IF(L2343="","EFEITO_PC nao calculado: PC "&amp;A2343&amp;" - "&amp;C2343,"OK")))))))))</f>
        <v/>
      </c>
      <c r="L2343" s="92" t="str">
        <f>IF(AND(A2343="",B2343="",D2343="",G2343=""),"",IF(OR(B2343="",NOT(ISNUMBER(B2343)),C2343="",C2343="Fora dos ciclos"),"",IF(C2343="C0","Nao",IF(IFERROR(INDEX(parametros!$A$2:$A$6,MATCH(C2343,parametros!$B$2:$B$6,0)),"")&lt;&gt;"Sim","Nao",IF(IFERROR(INDEX(parametros!$H$2:$H$6,MATCH(C2343,parametros!$B$2:$B$6,0)),"")="","",IF(B2343&gt;=IFERROR(INDEX(parametros!$H$2:$H$6,MATCH(C2343,parametros!$B$2:$B$6,0)),""),"Sim","Nao"))))))</f>
        <v/>
      </c>
      <c r="T2343" s="156"/>
      <c r="U2343" s="214" t="str">
        <f t="shared" si="186"/>
        <v/>
      </c>
      <c r="V2343" s="212" t="s">
        <v>50</v>
      </c>
      <c r="W2343" s="100" t="s">
        <v>168</v>
      </c>
      <c r="X2343" s="100" t="s">
        <v>169</v>
      </c>
      <c r="Y2343" s="101" t="s">
        <v>170</v>
      </c>
      <c r="Z2343" s="101" t="s">
        <v>171</v>
      </c>
      <c r="AA2343" s="101" t="s">
        <v>50</v>
      </c>
      <c r="AB2343" s="101" t="s">
        <v>172</v>
      </c>
      <c r="AC2343" s="102" t="s">
        <v>173</v>
      </c>
    </row>
    <row r="2344" spans="1:29" ht="25.5" customHeight="1" x14ac:dyDescent="0.35">
      <c r="A2344" s="392"/>
      <c r="B2344" s="393"/>
      <c r="C2344" s="99" t="str">
        <f>IF(B2344="","",IF(NOT(ISNUMBER(B2344)),"DATA_PC invalida",IF(NOT(ISNUMBER(parametros!$C$2)),"Fora dos ciclos",IF(OR(B2344&lt;parametros!$C$2,(YEAR(B2344)-YEAR(parametros!$C$2))*12+MONTH(B2344)-MONTH(parametros!$C$2)&gt;59),"Fora dos ciclos","C"&amp;INT(((YEAR(B2344)-YEAR(parametros!$C$2))*12+MONTH(B2344)-MONTH(parametros!$C$2))/12)))))</f>
        <v/>
      </c>
      <c r="D2344" s="394"/>
      <c r="E2344" s="78" t="str">
        <f>IF(C2344="","",IFERROR(VLOOKUP(C2344,parametros!$A$11:$E$15,5,0),""))</f>
        <v/>
      </c>
      <c r="F2344" s="79" t="str">
        <f t="shared" si="182"/>
        <v/>
      </c>
      <c r="G2344" s="395"/>
      <c r="H2344" s="91">
        <f t="shared" si="183"/>
        <v>0</v>
      </c>
      <c r="I2344" s="91" t="str">
        <f t="shared" si="184"/>
        <v/>
      </c>
      <c r="J2344" s="91" t="str">
        <f t="shared" si="185"/>
        <v/>
      </c>
      <c r="K2344" s="92" t="str">
        <f>IF(AND(A2344="",B2344="",D2344="",G2344=""),"",IF(AND(A2344&lt;&gt;"",COUNTIF($A$2:$A$5001,A2344)&gt;1),"NUMERO_PC duplicado",IF(B2344="","DATA_PC vazia",IF(NOT(ISNUMBER(B2344)),"DATA_PC invalida",IF(OR(C2344="",C2344="Fora dos ciclos"),"CICLO_PC nao identificado",IF(OR(D2344="",D2344=0),"VALOR_PC vazio ou zero",IF(AND(G2344&lt;&gt;"Sim",G2344&lt;&gt;"Nao",G2344&lt;&gt;""),"PC_PAGO_A_CONTRATADA invalido",IF(AND(C2344&lt;&gt;"C0",IFERROR(INDEX(parametros!$A$2:$A$6,MATCH(C2344,parametros!$B$2:$B$6,0)),"")="Sim",IFERROR(INDEX(parametros!$H$2:$H$6,MATCH(C2344,parametros!$B$2:$B$6,0)),"")=""),"INICIO_EFEITO ausente: PC "&amp;A2344&amp;" - "&amp;C2344,IF(L2344="","EFEITO_PC nao calculado: PC "&amp;A2344&amp;" - "&amp;C2344,"OK")))))))))</f>
        <v/>
      </c>
      <c r="L2344" s="92" t="str">
        <f>IF(AND(A2344="",B2344="",D2344="",G2344=""),"",IF(OR(B2344="",NOT(ISNUMBER(B2344)),C2344="",C2344="Fora dos ciclos"),"",IF(C2344="C0","Nao",IF(IFERROR(INDEX(parametros!$A$2:$A$6,MATCH(C2344,parametros!$B$2:$B$6,0)),"")&lt;&gt;"Sim","Nao",IF(IFERROR(INDEX(parametros!$H$2:$H$6,MATCH(C2344,parametros!$B$2:$B$6,0)),"")="","",IF(B2344&gt;=IFERROR(INDEX(parametros!$H$2:$H$6,MATCH(C2344,parametros!$B$2:$B$6,0)),""),"Sim","Nao"))))))</f>
        <v/>
      </c>
      <c r="T2344" s="156"/>
      <c r="U2344" s="214" t="str">
        <f t="shared" si="186"/>
        <v/>
      </c>
      <c r="V2344" s="212" t="s">
        <v>50</v>
      </c>
      <c r="W2344" s="100" t="s">
        <v>168</v>
      </c>
      <c r="X2344" s="100" t="s">
        <v>169</v>
      </c>
      <c r="Y2344" s="101" t="s">
        <v>170</v>
      </c>
      <c r="Z2344" s="101" t="s">
        <v>171</v>
      </c>
      <c r="AA2344" s="101" t="s">
        <v>50</v>
      </c>
      <c r="AB2344" s="101" t="s">
        <v>172</v>
      </c>
      <c r="AC2344" s="102" t="s">
        <v>173</v>
      </c>
    </row>
    <row r="2345" spans="1:29" ht="25.5" customHeight="1" x14ac:dyDescent="0.35">
      <c r="A2345" s="392"/>
      <c r="B2345" s="393"/>
      <c r="C2345" s="99" t="str">
        <f>IF(B2345="","",IF(NOT(ISNUMBER(B2345)),"DATA_PC invalida",IF(NOT(ISNUMBER(parametros!$C$2)),"Fora dos ciclos",IF(OR(B2345&lt;parametros!$C$2,(YEAR(B2345)-YEAR(parametros!$C$2))*12+MONTH(B2345)-MONTH(parametros!$C$2)&gt;59),"Fora dos ciclos","C"&amp;INT(((YEAR(B2345)-YEAR(parametros!$C$2))*12+MONTH(B2345)-MONTH(parametros!$C$2))/12)))))</f>
        <v/>
      </c>
      <c r="D2345" s="394"/>
      <c r="E2345" s="78" t="str">
        <f>IF(C2345="","",IFERROR(VLOOKUP(C2345,parametros!$A$11:$E$15,5,0),""))</f>
        <v/>
      </c>
      <c r="F2345" s="79" t="str">
        <f t="shared" si="182"/>
        <v/>
      </c>
      <c r="G2345" s="395"/>
      <c r="H2345" s="91">
        <f t="shared" si="183"/>
        <v>0</v>
      </c>
      <c r="I2345" s="91" t="str">
        <f t="shared" si="184"/>
        <v/>
      </c>
      <c r="J2345" s="91" t="str">
        <f t="shared" si="185"/>
        <v/>
      </c>
      <c r="K2345" s="92" t="str">
        <f>IF(AND(A2345="",B2345="",D2345="",G2345=""),"",IF(AND(A2345&lt;&gt;"",COUNTIF($A$2:$A$5001,A2345)&gt;1),"NUMERO_PC duplicado",IF(B2345="","DATA_PC vazia",IF(NOT(ISNUMBER(B2345)),"DATA_PC invalida",IF(OR(C2345="",C2345="Fora dos ciclos"),"CICLO_PC nao identificado",IF(OR(D2345="",D2345=0),"VALOR_PC vazio ou zero",IF(AND(G2345&lt;&gt;"Sim",G2345&lt;&gt;"Nao",G2345&lt;&gt;""),"PC_PAGO_A_CONTRATADA invalido",IF(AND(C2345&lt;&gt;"C0",IFERROR(INDEX(parametros!$A$2:$A$6,MATCH(C2345,parametros!$B$2:$B$6,0)),"")="Sim",IFERROR(INDEX(parametros!$H$2:$H$6,MATCH(C2345,parametros!$B$2:$B$6,0)),"")=""),"INICIO_EFEITO ausente: PC "&amp;A2345&amp;" - "&amp;C2345,IF(L2345="","EFEITO_PC nao calculado: PC "&amp;A2345&amp;" - "&amp;C2345,"OK")))))))))</f>
        <v/>
      </c>
      <c r="L2345" s="92" t="str">
        <f>IF(AND(A2345="",B2345="",D2345="",G2345=""),"",IF(OR(B2345="",NOT(ISNUMBER(B2345)),C2345="",C2345="Fora dos ciclos"),"",IF(C2345="C0","Nao",IF(IFERROR(INDEX(parametros!$A$2:$A$6,MATCH(C2345,parametros!$B$2:$B$6,0)),"")&lt;&gt;"Sim","Nao",IF(IFERROR(INDEX(parametros!$H$2:$H$6,MATCH(C2345,parametros!$B$2:$B$6,0)),"")="","",IF(B2345&gt;=IFERROR(INDEX(parametros!$H$2:$H$6,MATCH(C2345,parametros!$B$2:$B$6,0)),""),"Sim","Nao"))))))</f>
        <v/>
      </c>
      <c r="T2345" s="156"/>
      <c r="U2345" s="214" t="str">
        <f t="shared" si="186"/>
        <v/>
      </c>
      <c r="V2345" s="212" t="s">
        <v>50</v>
      </c>
      <c r="W2345" s="100" t="s">
        <v>168</v>
      </c>
      <c r="X2345" s="100" t="s">
        <v>169</v>
      </c>
      <c r="Y2345" s="101" t="s">
        <v>170</v>
      </c>
      <c r="Z2345" s="101" t="s">
        <v>171</v>
      </c>
      <c r="AA2345" s="101" t="s">
        <v>50</v>
      </c>
      <c r="AB2345" s="101" t="s">
        <v>172</v>
      </c>
      <c r="AC2345" s="102" t="s">
        <v>173</v>
      </c>
    </row>
    <row r="2346" spans="1:29" ht="25.5" customHeight="1" x14ac:dyDescent="0.35">
      <c r="A2346" s="392"/>
      <c r="B2346" s="393"/>
      <c r="C2346" s="99" t="str">
        <f>IF(B2346="","",IF(NOT(ISNUMBER(B2346)),"DATA_PC invalida",IF(NOT(ISNUMBER(parametros!$C$2)),"Fora dos ciclos",IF(OR(B2346&lt;parametros!$C$2,(YEAR(B2346)-YEAR(parametros!$C$2))*12+MONTH(B2346)-MONTH(parametros!$C$2)&gt;59),"Fora dos ciclos","C"&amp;INT(((YEAR(B2346)-YEAR(parametros!$C$2))*12+MONTH(B2346)-MONTH(parametros!$C$2))/12)))))</f>
        <v/>
      </c>
      <c r="D2346" s="394"/>
      <c r="E2346" s="78" t="str">
        <f>IF(C2346="","",IFERROR(VLOOKUP(C2346,parametros!$A$11:$E$15,5,0),""))</f>
        <v/>
      </c>
      <c r="F2346" s="79" t="str">
        <f t="shared" si="182"/>
        <v/>
      </c>
      <c r="G2346" s="395"/>
      <c r="H2346" s="91">
        <f t="shared" si="183"/>
        <v>0</v>
      </c>
      <c r="I2346" s="91" t="str">
        <f t="shared" si="184"/>
        <v/>
      </c>
      <c r="J2346" s="91" t="str">
        <f t="shared" si="185"/>
        <v/>
      </c>
      <c r="K2346" s="92" t="str">
        <f>IF(AND(A2346="",B2346="",D2346="",G2346=""),"",IF(AND(A2346&lt;&gt;"",COUNTIF($A$2:$A$5001,A2346)&gt;1),"NUMERO_PC duplicado",IF(B2346="","DATA_PC vazia",IF(NOT(ISNUMBER(B2346)),"DATA_PC invalida",IF(OR(C2346="",C2346="Fora dos ciclos"),"CICLO_PC nao identificado",IF(OR(D2346="",D2346=0),"VALOR_PC vazio ou zero",IF(AND(G2346&lt;&gt;"Sim",G2346&lt;&gt;"Nao",G2346&lt;&gt;""),"PC_PAGO_A_CONTRATADA invalido",IF(AND(C2346&lt;&gt;"C0",IFERROR(INDEX(parametros!$A$2:$A$6,MATCH(C2346,parametros!$B$2:$B$6,0)),"")="Sim",IFERROR(INDEX(parametros!$H$2:$H$6,MATCH(C2346,parametros!$B$2:$B$6,0)),"")=""),"INICIO_EFEITO ausente: PC "&amp;A2346&amp;" - "&amp;C2346,IF(L2346="","EFEITO_PC nao calculado: PC "&amp;A2346&amp;" - "&amp;C2346,"OK")))))))))</f>
        <v/>
      </c>
      <c r="L2346" s="92" t="str">
        <f>IF(AND(A2346="",B2346="",D2346="",G2346=""),"",IF(OR(B2346="",NOT(ISNUMBER(B2346)),C2346="",C2346="Fora dos ciclos"),"",IF(C2346="C0","Nao",IF(IFERROR(INDEX(parametros!$A$2:$A$6,MATCH(C2346,parametros!$B$2:$B$6,0)),"")&lt;&gt;"Sim","Nao",IF(IFERROR(INDEX(parametros!$H$2:$H$6,MATCH(C2346,parametros!$B$2:$B$6,0)),"")="","",IF(B2346&gt;=IFERROR(INDEX(parametros!$H$2:$H$6,MATCH(C2346,parametros!$B$2:$B$6,0)),""),"Sim","Nao"))))))</f>
        <v/>
      </c>
      <c r="T2346" s="156"/>
      <c r="U2346" s="214" t="str">
        <f t="shared" si="186"/>
        <v/>
      </c>
      <c r="V2346" s="212" t="s">
        <v>50</v>
      </c>
      <c r="W2346" s="100" t="s">
        <v>168</v>
      </c>
      <c r="X2346" s="100" t="s">
        <v>169</v>
      </c>
      <c r="Y2346" s="101" t="s">
        <v>170</v>
      </c>
      <c r="Z2346" s="101" t="s">
        <v>171</v>
      </c>
      <c r="AA2346" s="101" t="s">
        <v>50</v>
      </c>
      <c r="AB2346" s="101" t="s">
        <v>172</v>
      </c>
      <c r="AC2346" s="102" t="s">
        <v>173</v>
      </c>
    </row>
    <row r="2347" spans="1:29" ht="25.5" customHeight="1" x14ac:dyDescent="0.35">
      <c r="A2347" s="392"/>
      <c r="B2347" s="393"/>
      <c r="C2347" s="99" t="str">
        <f>IF(B2347="","",IF(NOT(ISNUMBER(B2347)),"DATA_PC invalida",IF(NOT(ISNUMBER(parametros!$C$2)),"Fora dos ciclos",IF(OR(B2347&lt;parametros!$C$2,(YEAR(B2347)-YEAR(parametros!$C$2))*12+MONTH(B2347)-MONTH(parametros!$C$2)&gt;59),"Fora dos ciclos","C"&amp;INT(((YEAR(B2347)-YEAR(parametros!$C$2))*12+MONTH(B2347)-MONTH(parametros!$C$2))/12)))))</f>
        <v/>
      </c>
      <c r="D2347" s="394"/>
      <c r="E2347" s="78" t="str">
        <f>IF(C2347="","",IFERROR(VLOOKUP(C2347,parametros!$A$11:$E$15,5,0),""))</f>
        <v/>
      </c>
      <c r="F2347" s="79" t="str">
        <f t="shared" si="182"/>
        <v/>
      </c>
      <c r="G2347" s="395"/>
      <c r="H2347" s="91">
        <f t="shared" si="183"/>
        <v>0</v>
      </c>
      <c r="I2347" s="91" t="str">
        <f t="shared" si="184"/>
        <v/>
      </c>
      <c r="J2347" s="91" t="str">
        <f t="shared" si="185"/>
        <v/>
      </c>
      <c r="K2347" s="92" t="str">
        <f>IF(AND(A2347="",B2347="",D2347="",G2347=""),"",IF(AND(A2347&lt;&gt;"",COUNTIF($A$2:$A$5001,A2347)&gt;1),"NUMERO_PC duplicado",IF(B2347="","DATA_PC vazia",IF(NOT(ISNUMBER(B2347)),"DATA_PC invalida",IF(OR(C2347="",C2347="Fora dos ciclos"),"CICLO_PC nao identificado",IF(OR(D2347="",D2347=0),"VALOR_PC vazio ou zero",IF(AND(G2347&lt;&gt;"Sim",G2347&lt;&gt;"Nao",G2347&lt;&gt;""),"PC_PAGO_A_CONTRATADA invalido",IF(AND(C2347&lt;&gt;"C0",IFERROR(INDEX(parametros!$A$2:$A$6,MATCH(C2347,parametros!$B$2:$B$6,0)),"")="Sim",IFERROR(INDEX(parametros!$H$2:$H$6,MATCH(C2347,parametros!$B$2:$B$6,0)),"")=""),"INICIO_EFEITO ausente: PC "&amp;A2347&amp;" - "&amp;C2347,IF(L2347="","EFEITO_PC nao calculado: PC "&amp;A2347&amp;" - "&amp;C2347,"OK")))))))))</f>
        <v/>
      </c>
      <c r="L2347" s="92" t="str">
        <f>IF(AND(A2347="",B2347="",D2347="",G2347=""),"",IF(OR(B2347="",NOT(ISNUMBER(B2347)),C2347="",C2347="Fora dos ciclos"),"",IF(C2347="C0","Nao",IF(IFERROR(INDEX(parametros!$A$2:$A$6,MATCH(C2347,parametros!$B$2:$B$6,0)),"")&lt;&gt;"Sim","Nao",IF(IFERROR(INDEX(parametros!$H$2:$H$6,MATCH(C2347,parametros!$B$2:$B$6,0)),"")="","",IF(B2347&gt;=IFERROR(INDEX(parametros!$H$2:$H$6,MATCH(C2347,parametros!$B$2:$B$6,0)),""),"Sim","Nao"))))))</f>
        <v/>
      </c>
      <c r="T2347" s="156"/>
      <c r="U2347" s="214" t="str">
        <f t="shared" si="186"/>
        <v/>
      </c>
      <c r="V2347" s="212" t="s">
        <v>50</v>
      </c>
      <c r="W2347" s="100" t="s">
        <v>168</v>
      </c>
      <c r="X2347" s="100" t="s">
        <v>169</v>
      </c>
      <c r="Y2347" s="101" t="s">
        <v>170</v>
      </c>
      <c r="Z2347" s="101" t="s">
        <v>171</v>
      </c>
      <c r="AA2347" s="101" t="s">
        <v>50</v>
      </c>
      <c r="AB2347" s="101" t="s">
        <v>172</v>
      </c>
      <c r="AC2347" s="102" t="s">
        <v>173</v>
      </c>
    </row>
    <row r="2348" spans="1:29" ht="25.5" customHeight="1" x14ac:dyDescent="0.35">
      <c r="A2348" s="392"/>
      <c r="B2348" s="393"/>
      <c r="C2348" s="99" t="str">
        <f>IF(B2348="","",IF(NOT(ISNUMBER(B2348)),"DATA_PC invalida",IF(NOT(ISNUMBER(parametros!$C$2)),"Fora dos ciclos",IF(OR(B2348&lt;parametros!$C$2,(YEAR(B2348)-YEAR(parametros!$C$2))*12+MONTH(B2348)-MONTH(parametros!$C$2)&gt;59),"Fora dos ciclos","C"&amp;INT(((YEAR(B2348)-YEAR(parametros!$C$2))*12+MONTH(B2348)-MONTH(parametros!$C$2))/12)))))</f>
        <v/>
      </c>
      <c r="D2348" s="394"/>
      <c r="E2348" s="78" t="str">
        <f>IF(C2348="","",IFERROR(VLOOKUP(C2348,parametros!$A$11:$E$15,5,0),""))</f>
        <v/>
      </c>
      <c r="F2348" s="79" t="str">
        <f t="shared" si="182"/>
        <v/>
      </c>
      <c r="G2348" s="395"/>
      <c r="H2348" s="91">
        <f t="shared" si="183"/>
        <v>0</v>
      </c>
      <c r="I2348" s="91" t="str">
        <f t="shared" si="184"/>
        <v/>
      </c>
      <c r="J2348" s="91" t="str">
        <f t="shared" si="185"/>
        <v/>
      </c>
      <c r="K2348" s="92" t="str">
        <f>IF(AND(A2348="",B2348="",D2348="",G2348=""),"",IF(AND(A2348&lt;&gt;"",COUNTIF($A$2:$A$5001,A2348)&gt;1),"NUMERO_PC duplicado",IF(B2348="","DATA_PC vazia",IF(NOT(ISNUMBER(B2348)),"DATA_PC invalida",IF(OR(C2348="",C2348="Fora dos ciclos"),"CICLO_PC nao identificado",IF(OR(D2348="",D2348=0),"VALOR_PC vazio ou zero",IF(AND(G2348&lt;&gt;"Sim",G2348&lt;&gt;"Nao",G2348&lt;&gt;""),"PC_PAGO_A_CONTRATADA invalido",IF(AND(C2348&lt;&gt;"C0",IFERROR(INDEX(parametros!$A$2:$A$6,MATCH(C2348,parametros!$B$2:$B$6,0)),"")="Sim",IFERROR(INDEX(parametros!$H$2:$H$6,MATCH(C2348,parametros!$B$2:$B$6,0)),"")=""),"INICIO_EFEITO ausente: PC "&amp;A2348&amp;" - "&amp;C2348,IF(L2348="","EFEITO_PC nao calculado: PC "&amp;A2348&amp;" - "&amp;C2348,"OK")))))))))</f>
        <v/>
      </c>
      <c r="L2348" s="92" t="str">
        <f>IF(AND(A2348="",B2348="",D2348="",G2348=""),"",IF(OR(B2348="",NOT(ISNUMBER(B2348)),C2348="",C2348="Fora dos ciclos"),"",IF(C2348="C0","Nao",IF(IFERROR(INDEX(parametros!$A$2:$A$6,MATCH(C2348,parametros!$B$2:$B$6,0)),"")&lt;&gt;"Sim","Nao",IF(IFERROR(INDEX(parametros!$H$2:$H$6,MATCH(C2348,parametros!$B$2:$B$6,0)),"")="","",IF(B2348&gt;=IFERROR(INDEX(parametros!$H$2:$H$6,MATCH(C2348,parametros!$B$2:$B$6,0)),""),"Sim","Nao"))))))</f>
        <v/>
      </c>
      <c r="T2348" s="156"/>
      <c r="U2348" s="214" t="str">
        <f t="shared" si="186"/>
        <v/>
      </c>
      <c r="V2348" s="212" t="s">
        <v>50</v>
      </c>
      <c r="W2348" s="100" t="s">
        <v>168</v>
      </c>
      <c r="X2348" s="100" t="s">
        <v>169</v>
      </c>
      <c r="Y2348" s="101" t="s">
        <v>170</v>
      </c>
      <c r="Z2348" s="101" t="s">
        <v>171</v>
      </c>
      <c r="AA2348" s="101" t="s">
        <v>50</v>
      </c>
      <c r="AB2348" s="101" t="s">
        <v>172</v>
      </c>
      <c r="AC2348" s="102" t="s">
        <v>173</v>
      </c>
    </row>
    <row r="2349" spans="1:29" ht="25.5" customHeight="1" x14ac:dyDescent="0.35">
      <c r="A2349" s="392"/>
      <c r="B2349" s="393"/>
      <c r="C2349" s="99" t="str">
        <f>IF(B2349="","",IF(NOT(ISNUMBER(B2349)),"DATA_PC invalida",IF(NOT(ISNUMBER(parametros!$C$2)),"Fora dos ciclos",IF(OR(B2349&lt;parametros!$C$2,(YEAR(B2349)-YEAR(parametros!$C$2))*12+MONTH(B2349)-MONTH(parametros!$C$2)&gt;59),"Fora dos ciclos","C"&amp;INT(((YEAR(B2349)-YEAR(parametros!$C$2))*12+MONTH(B2349)-MONTH(parametros!$C$2))/12)))))</f>
        <v/>
      </c>
      <c r="D2349" s="394"/>
      <c r="E2349" s="78" t="str">
        <f>IF(C2349="","",IFERROR(VLOOKUP(C2349,parametros!$A$11:$E$15,5,0),""))</f>
        <v/>
      </c>
      <c r="F2349" s="79" t="str">
        <f t="shared" si="182"/>
        <v/>
      </c>
      <c r="G2349" s="395"/>
      <c r="H2349" s="91">
        <f t="shared" si="183"/>
        <v>0</v>
      </c>
      <c r="I2349" s="91" t="str">
        <f t="shared" si="184"/>
        <v/>
      </c>
      <c r="J2349" s="91" t="str">
        <f t="shared" si="185"/>
        <v/>
      </c>
      <c r="K2349" s="92" t="str">
        <f>IF(AND(A2349="",B2349="",D2349="",G2349=""),"",IF(AND(A2349&lt;&gt;"",COUNTIF($A$2:$A$5001,A2349)&gt;1),"NUMERO_PC duplicado",IF(B2349="","DATA_PC vazia",IF(NOT(ISNUMBER(B2349)),"DATA_PC invalida",IF(OR(C2349="",C2349="Fora dos ciclos"),"CICLO_PC nao identificado",IF(OR(D2349="",D2349=0),"VALOR_PC vazio ou zero",IF(AND(G2349&lt;&gt;"Sim",G2349&lt;&gt;"Nao",G2349&lt;&gt;""),"PC_PAGO_A_CONTRATADA invalido",IF(AND(C2349&lt;&gt;"C0",IFERROR(INDEX(parametros!$A$2:$A$6,MATCH(C2349,parametros!$B$2:$B$6,0)),"")="Sim",IFERROR(INDEX(parametros!$H$2:$H$6,MATCH(C2349,parametros!$B$2:$B$6,0)),"")=""),"INICIO_EFEITO ausente: PC "&amp;A2349&amp;" - "&amp;C2349,IF(L2349="","EFEITO_PC nao calculado: PC "&amp;A2349&amp;" - "&amp;C2349,"OK")))))))))</f>
        <v/>
      </c>
      <c r="L2349" s="92" t="str">
        <f>IF(AND(A2349="",B2349="",D2349="",G2349=""),"",IF(OR(B2349="",NOT(ISNUMBER(B2349)),C2349="",C2349="Fora dos ciclos"),"",IF(C2349="C0","Nao",IF(IFERROR(INDEX(parametros!$A$2:$A$6,MATCH(C2349,parametros!$B$2:$B$6,0)),"")&lt;&gt;"Sim","Nao",IF(IFERROR(INDEX(parametros!$H$2:$H$6,MATCH(C2349,parametros!$B$2:$B$6,0)),"")="","",IF(B2349&gt;=IFERROR(INDEX(parametros!$H$2:$H$6,MATCH(C2349,parametros!$B$2:$B$6,0)),""),"Sim","Nao"))))))</f>
        <v/>
      </c>
      <c r="T2349" s="156"/>
      <c r="U2349" s="214" t="str">
        <f t="shared" si="186"/>
        <v/>
      </c>
      <c r="V2349" s="212" t="s">
        <v>50</v>
      </c>
      <c r="W2349" s="100" t="s">
        <v>168</v>
      </c>
      <c r="X2349" s="100" t="s">
        <v>169</v>
      </c>
      <c r="Y2349" s="101" t="s">
        <v>170</v>
      </c>
      <c r="Z2349" s="101" t="s">
        <v>171</v>
      </c>
      <c r="AA2349" s="101" t="s">
        <v>50</v>
      </c>
      <c r="AB2349" s="101" t="s">
        <v>172</v>
      </c>
      <c r="AC2349" s="102" t="s">
        <v>173</v>
      </c>
    </row>
    <row r="2350" spans="1:29" ht="25.5" customHeight="1" x14ac:dyDescent="0.35">
      <c r="A2350" s="392"/>
      <c r="B2350" s="393"/>
      <c r="C2350" s="99" t="str">
        <f>IF(B2350="","",IF(NOT(ISNUMBER(B2350)),"DATA_PC invalida",IF(NOT(ISNUMBER(parametros!$C$2)),"Fora dos ciclos",IF(OR(B2350&lt;parametros!$C$2,(YEAR(B2350)-YEAR(parametros!$C$2))*12+MONTH(B2350)-MONTH(parametros!$C$2)&gt;59),"Fora dos ciclos","C"&amp;INT(((YEAR(B2350)-YEAR(parametros!$C$2))*12+MONTH(B2350)-MONTH(parametros!$C$2))/12)))))</f>
        <v/>
      </c>
      <c r="D2350" s="394"/>
      <c r="E2350" s="78" t="str">
        <f>IF(C2350="","",IFERROR(VLOOKUP(C2350,parametros!$A$11:$E$15,5,0),""))</f>
        <v/>
      </c>
      <c r="F2350" s="79" t="str">
        <f t="shared" si="182"/>
        <v/>
      </c>
      <c r="G2350" s="395"/>
      <c r="H2350" s="91">
        <f t="shared" si="183"/>
        <v>0</v>
      </c>
      <c r="I2350" s="91" t="str">
        <f t="shared" si="184"/>
        <v/>
      </c>
      <c r="J2350" s="91" t="str">
        <f t="shared" si="185"/>
        <v/>
      </c>
      <c r="K2350" s="92" t="str">
        <f>IF(AND(A2350="",B2350="",D2350="",G2350=""),"",IF(AND(A2350&lt;&gt;"",COUNTIF($A$2:$A$5001,A2350)&gt;1),"NUMERO_PC duplicado",IF(B2350="","DATA_PC vazia",IF(NOT(ISNUMBER(B2350)),"DATA_PC invalida",IF(OR(C2350="",C2350="Fora dos ciclos"),"CICLO_PC nao identificado",IF(OR(D2350="",D2350=0),"VALOR_PC vazio ou zero",IF(AND(G2350&lt;&gt;"Sim",G2350&lt;&gt;"Nao",G2350&lt;&gt;""),"PC_PAGO_A_CONTRATADA invalido",IF(AND(C2350&lt;&gt;"C0",IFERROR(INDEX(parametros!$A$2:$A$6,MATCH(C2350,parametros!$B$2:$B$6,0)),"")="Sim",IFERROR(INDEX(parametros!$H$2:$H$6,MATCH(C2350,parametros!$B$2:$B$6,0)),"")=""),"INICIO_EFEITO ausente: PC "&amp;A2350&amp;" - "&amp;C2350,IF(L2350="","EFEITO_PC nao calculado: PC "&amp;A2350&amp;" - "&amp;C2350,"OK")))))))))</f>
        <v/>
      </c>
      <c r="L2350" s="92" t="str">
        <f>IF(AND(A2350="",B2350="",D2350="",G2350=""),"",IF(OR(B2350="",NOT(ISNUMBER(B2350)),C2350="",C2350="Fora dos ciclos"),"",IF(C2350="C0","Nao",IF(IFERROR(INDEX(parametros!$A$2:$A$6,MATCH(C2350,parametros!$B$2:$B$6,0)),"")&lt;&gt;"Sim","Nao",IF(IFERROR(INDEX(parametros!$H$2:$H$6,MATCH(C2350,parametros!$B$2:$B$6,0)),"")="","",IF(B2350&gt;=IFERROR(INDEX(parametros!$H$2:$H$6,MATCH(C2350,parametros!$B$2:$B$6,0)),""),"Sim","Nao"))))))</f>
        <v/>
      </c>
      <c r="T2350" s="156"/>
      <c r="U2350" s="214" t="str">
        <f t="shared" si="186"/>
        <v/>
      </c>
      <c r="V2350" s="212" t="s">
        <v>50</v>
      </c>
      <c r="W2350" s="100" t="s">
        <v>168</v>
      </c>
      <c r="X2350" s="100" t="s">
        <v>169</v>
      </c>
      <c r="Y2350" s="101" t="s">
        <v>170</v>
      </c>
      <c r="Z2350" s="101" t="s">
        <v>171</v>
      </c>
      <c r="AA2350" s="101" t="s">
        <v>50</v>
      </c>
      <c r="AB2350" s="101" t="s">
        <v>172</v>
      </c>
      <c r="AC2350" s="102" t="s">
        <v>173</v>
      </c>
    </row>
    <row r="2351" spans="1:29" ht="25.5" customHeight="1" x14ac:dyDescent="0.35">
      <c r="A2351" s="392"/>
      <c r="B2351" s="393"/>
      <c r="C2351" s="99" t="str">
        <f>IF(B2351="","",IF(NOT(ISNUMBER(B2351)),"DATA_PC invalida",IF(NOT(ISNUMBER(parametros!$C$2)),"Fora dos ciclos",IF(OR(B2351&lt;parametros!$C$2,(YEAR(B2351)-YEAR(parametros!$C$2))*12+MONTH(B2351)-MONTH(parametros!$C$2)&gt;59),"Fora dos ciclos","C"&amp;INT(((YEAR(B2351)-YEAR(parametros!$C$2))*12+MONTH(B2351)-MONTH(parametros!$C$2))/12)))))</f>
        <v/>
      </c>
      <c r="D2351" s="394"/>
      <c r="E2351" s="78" t="str">
        <f>IF(C2351="","",IFERROR(VLOOKUP(C2351,parametros!$A$11:$E$15,5,0),""))</f>
        <v/>
      </c>
      <c r="F2351" s="79" t="str">
        <f t="shared" si="182"/>
        <v/>
      </c>
      <c r="G2351" s="395"/>
      <c r="H2351" s="91">
        <f t="shared" si="183"/>
        <v>0</v>
      </c>
      <c r="I2351" s="91" t="str">
        <f t="shared" si="184"/>
        <v/>
      </c>
      <c r="J2351" s="91" t="str">
        <f t="shared" si="185"/>
        <v/>
      </c>
      <c r="K2351" s="92" t="str">
        <f>IF(AND(A2351="",B2351="",D2351="",G2351=""),"",IF(AND(A2351&lt;&gt;"",COUNTIF($A$2:$A$5001,A2351)&gt;1),"NUMERO_PC duplicado",IF(B2351="","DATA_PC vazia",IF(NOT(ISNUMBER(B2351)),"DATA_PC invalida",IF(OR(C2351="",C2351="Fora dos ciclos"),"CICLO_PC nao identificado",IF(OR(D2351="",D2351=0),"VALOR_PC vazio ou zero",IF(AND(G2351&lt;&gt;"Sim",G2351&lt;&gt;"Nao",G2351&lt;&gt;""),"PC_PAGO_A_CONTRATADA invalido",IF(AND(C2351&lt;&gt;"C0",IFERROR(INDEX(parametros!$A$2:$A$6,MATCH(C2351,parametros!$B$2:$B$6,0)),"")="Sim",IFERROR(INDEX(parametros!$H$2:$H$6,MATCH(C2351,parametros!$B$2:$B$6,0)),"")=""),"INICIO_EFEITO ausente: PC "&amp;A2351&amp;" - "&amp;C2351,IF(L2351="","EFEITO_PC nao calculado: PC "&amp;A2351&amp;" - "&amp;C2351,"OK")))))))))</f>
        <v/>
      </c>
      <c r="L2351" s="92" t="str">
        <f>IF(AND(A2351="",B2351="",D2351="",G2351=""),"",IF(OR(B2351="",NOT(ISNUMBER(B2351)),C2351="",C2351="Fora dos ciclos"),"",IF(C2351="C0","Nao",IF(IFERROR(INDEX(parametros!$A$2:$A$6,MATCH(C2351,parametros!$B$2:$B$6,0)),"")&lt;&gt;"Sim","Nao",IF(IFERROR(INDEX(parametros!$H$2:$H$6,MATCH(C2351,parametros!$B$2:$B$6,0)),"")="","",IF(B2351&gt;=IFERROR(INDEX(parametros!$H$2:$H$6,MATCH(C2351,parametros!$B$2:$B$6,0)),""),"Sim","Nao"))))))</f>
        <v/>
      </c>
      <c r="T2351" s="156"/>
      <c r="U2351" s="214" t="str">
        <f t="shared" si="186"/>
        <v/>
      </c>
      <c r="V2351" s="212" t="s">
        <v>50</v>
      </c>
      <c r="W2351" s="100" t="s">
        <v>168</v>
      </c>
      <c r="X2351" s="100" t="s">
        <v>169</v>
      </c>
      <c r="Y2351" s="101" t="s">
        <v>170</v>
      </c>
      <c r="Z2351" s="101" t="s">
        <v>171</v>
      </c>
      <c r="AA2351" s="101" t="s">
        <v>50</v>
      </c>
      <c r="AB2351" s="101" t="s">
        <v>172</v>
      </c>
      <c r="AC2351" s="102" t="s">
        <v>173</v>
      </c>
    </row>
    <row r="2352" spans="1:29" ht="25.5" customHeight="1" x14ac:dyDescent="0.35">
      <c r="A2352" s="392"/>
      <c r="B2352" s="393"/>
      <c r="C2352" s="99" t="str">
        <f>IF(B2352="","",IF(NOT(ISNUMBER(B2352)),"DATA_PC invalida",IF(NOT(ISNUMBER(parametros!$C$2)),"Fora dos ciclos",IF(OR(B2352&lt;parametros!$C$2,(YEAR(B2352)-YEAR(parametros!$C$2))*12+MONTH(B2352)-MONTH(parametros!$C$2)&gt;59),"Fora dos ciclos","C"&amp;INT(((YEAR(B2352)-YEAR(parametros!$C$2))*12+MONTH(B2352)-MONTH(parametros!$C$2))/12)))))</f>
        <v/>
      </c>
      <c r="D2352" s="394"/>
      <c r="E2352" s="78" t="str">
        <f>IF(C2352="","",IFERROR(VLOOKUP(C2352,parametros!$A$11:$E$15,5,0),""))</f>
        <v/>
      </c>
      <c r="F2352" s="79" t="str">
        <f t="shared" si="182"/>
        <v/>
      </c>
      <c r="G2352" s="395"/>
      <c r="H2352" s="91">
        <f t="shared" si="183"/>
        <v>0</v>
      </c>
      <c r="I2352" s="91" t="str">
        <f t="shared" si="184"/>
        <v/>
      </c>
      <c r="J2352" s="91" t="str">
        <f t="shared" si="185"/>
        <v/>
      </c>
      <c r="K2352" s="92" t="str">
        <f>IF(AND(A2352="",B2352="",D2352="",G2352=""),"",IF(AND(A2352&lt;&gt;"",COUNTIF($A$2:$A$5001,A2352)&gt;1),"NUMERO_PC duplicado",IF(B2352="","DATA_PC vazia",IF(NOT(ISNUMBER(B2352)),"DATA_PC invalida",IF(OR(C2352="",C2352="Fora dos ciclos"),"CICLO_PC nao identificado",IF(OR(D2352="",D2352=0),"VALOR_PC vazio ou zero",IF(AND(G2352&lt;&gt;"Sim",G2352&lt;&gt;"Nao",G2352&lt;&gt;""),"PC_PAGO_A_CONTRATADA invalido",IF(AND(C2352&lt;&gt;"C0",IFERROR(INDEX(parametros!$A$2:$A$6,MATCH(C2352,parametros!$B$2:$B$6,0)),"")="Sim",IFERROR(INDEX(parametros!$H$2:$H$6,MATCH(C2352,parametros!$B$2:$B$6,0)),"")=""),"INICIO_EFEITO ausente: PC "&amp;A2352&amp;" - "&amp;C2352,IF(L2352="","EFEITO_PC nao calculado: PC "&amp;A2352&amp;" - "&amp;C2352,"OK")))))))))</f>
        <v/>
      </c>
      <c r="L2352" s="92" t="str">
        <f>IF(AND(A2352="",B2352="",D2352="",G2352=""),"",IF(OR(B2352="",NOT(ISNUMBER(B2352)),C2352="",C2352="Fora dos ciclos"),"",IF(C2352="C0","Nao",IF(IFERROR(INDEX(parametros!$A$2:$A$6,MATCH(C2352,parametros!$B$2:$B$6,0)),"")&lt;&gt;"Sim","Nao",IF(IFERROR(INDEX(parametros!$H$2:$H$6,MATCH(C2352,parametros!$B$2:$B$6,0)),"")="","",IF(B2352&gt;=IFERROR(INDEX(parametros!$H$2:$H$6,MATCH(C2352,parametros!$B$2:$B$6,0)),""),"Sim","Nao"))))))</f>
        <v/>
      </c>
      <c r="T2352" s="156"/>
      <c r="U2352" s="214" t="str">
        <f t="shared" si="186"/>
        <v/>
      </c>
      <c r="V2352" s="212" t="s">
        <v>50</v>
      </c>
      <c r="W2352" s="100" t="s">
        <v>168</v>
      </c>
      <c r="X2352" s="100" t="s">
        <v>169</v>
      </c>
      <c r="Y2352" s="101" t="s">
        <v>170</v>
      </c>
      <c r="Z2352" s="101" t="s">
        <v>171</v>
      </c>
      <c r="AA2352" s="101" t="s">
        <v>50</v>
      </c>
      <c r="AB2352" s="101" t="s">
        <v>172</v>
      </c>
      <c r="AC2352" s="102" t="s">
        <v>173</v>
      </c>
    </row>
    <row r="2353" spans="1:29" ht="25.5" customHeight="1" x14ac:dyDescent="0.35">
      <c r="A2353" s="392"/>
      <c r="B2353" s="393"/>
      <c r="C2353" s="99" t="str">
        <f>IF(B2353="","",IF(NOT(ISNUMBER(B2353)),"DATA_PC invalida",IF(NOT(ISNUMBER(parametros!$C$2)),"Fora dos ciclos",IF(OR(B2353&lt;parametros!$C$2,(YEAR(B2353)-YEAR(parametros!$C$2))*12+MONTH(B2353)-MONTH(parametros!$C$2)&gt;59),"Fora dos ciclos","C"&amp;INT(((YEAR(B2353)-YEAR(parametros!$C$2))*12+MONTH(B2353)-MONTH(parametros!$C$2))/12)))))</f>
        <v/>
      </c>
      <c r="D2353" s="394"/>
      <c r="E2353" s="78" t="str">
        <f>IF(C2353="","",IFERROR(VLOOKUP(C2353,parametros!$A$11:$E$15,5,0),""))</f>
        <v/>
      </c>
      <c r="F2353" s="79" t="str">
        <f t="shared" si="182"/>
        <v/>
      </c>
      <c r="G2353" s="395"/>
      <c r="H2353" s="91">
        <f t="shared" si="183"/>
        <v>0</v>
      </c>
      <c r="I2353" s="91" t="str">
        <f t="shared" si="184"/>
        <v/>
      </c>
      <c r="J2353" s="91" t="str">
        <f t="shared" si="185"/>
        <v/>
      </c>
      <c r="K2353" s="92" t="str">
        <f>IF(AND(A2353="",B2353="",D2353="",G2353=""),"",IF(AND(A2353&lt;&gt;"",COUNTIF($A$2:$A$5001,A2353)&gt;1),"NUMERO_PC duplicado",IF(B2353="","DATA_PC vazia",IF(NOT(ISNUMBER(B2353)),"DATA_PC invalida",IF(OR(C2353="",C2353="Fora dos ciclos"),"CICLO_PC nao identificado",IF(OR(D2353="",D2353=0),"VALOR_PC vazio ou zero",IF(AND(G2353&lt;&gt;"Sim",G2353&lt;&gt;"Nao",G2353&lt;&gt;""),"PC_PAGO_A_CONTRATADA invalido",IF(AND(C2353&lt;&gt;"C0",IFERROR(INDEX(parametros!$A$2:$A$6,MATCH(C2353,parametros!$B$2:$B$6,0)),"")="Sim",IFERROR(INDEX(parametros!$H$2:$H$6,MATCH(C2353,parametros!$B$2:$B$6,0)),"")=""),"INICIO_EFEITO ausente: PC "&amp;A2353&amp;" - "&amp;C2353,IF(L2353="","EFEITO_PC nao calculado: PC "&amp;A2353&amp;" - "&amp;C2353,"OK")))))))))</f>
        <v/>
      </c>
      <c r="L2353" s="92" t="str">
        <f>IF(AND(A2353="",B2353="",D2353="",G2353=""),"",IF(OR(B2353="",NOT(ISNUMBER(B2353)),C2353="",C2353="Fora dos ciclos"),"",IF(C2353="C0","Nao",IF(IFERROR(INDEX(parametros!$A$2:$A$6,MATCH(C2353,parametros!$B$2:$B$6,0)),"")&lt;&gt;"Sim","Nao",IF(IFERROR(INDEX(parametros!$H$2:$H$6,MATCH(C2353,parametros!$B$2:$B$6,0)),"")="","",IF(B2353&gt;=IFERROR(INDEX(parametros!$H$2:$H$6,MATCH(C2353,parametros!$B$2:$B$6,0)),""),"Sim","Nao"))))))</f>
        <v/>
      </c>
      <c r="T2353" s="156"/>
      <c r="U2353" s="214" t="str">
        <f t="shared" si="186"/>
        <v/>
      </c>
      <c r="V2353" s="212" t="s">
        <v>50</v>
      </c>
      <c r="W2353" s="100" t="s">
        <v>168</v>
      </c>
      <c r="X2353" s="100" t="s">
        <v>169</v>
      </c>
      <c r="Y2353" s="101" t="s">
        <v>170</v>
      </c>
      <c r="Z2353" s="101" t="s">
        <v>171</v>
      </c>
      <c r="AA2353" s="101" t="s">
        <v>50</v>
      </c>
      <c r="AB2353" s="101" t="s">
        <v>172</v>
      </c>
      <c r="AC2353" s="102" t="s">
        <v>173</v>
      </c>
    </row>
    <row r="2354" spans="1:29" ht="25.5" customHeight="1" x14ac:dyDescent="0.35">
      <c r="A2354" s="392"/>
      <c r="B2354" s="393"/>
      <c r="C2354" s="99" t="str">
        <f>IF(B2354="","",IF(NOT(ISNUMBER(B2354)),"DATA_PC invalida",IF(NOT(ISNUMBER(parametros!$C$2)),"Fora dos ciclos",IF(OR(B2354&lt;parametros!$C$2,(YEAR(B2354)-YEAR(parametros!$C$2))*12+MONTH(B2354)-MONTH(parametros!$C$2)&gt;59),"Fora dos ciclos","C"&amp;INT(((YEAR(B2354)-YEAR(parametros!$C$2))*12+MONTH(B2354)-MONTH(parametros!$C$2))/12)))))</f>
        <v/>
      </c>
      <c r="D2354" s="394"/>
      <c r="E2354" s="78" t="str">
        <f>IF(C2354="","",IFERROR(VLOOKUP(C2354,parametros!$A$11:$E$15,5,0),""))</f>
        <v/>
      </c>
      <c r="F2354" s="79" t="str">
        <f t="shared" si="182"/>
        <v/>
      </c>
      <c r="G2354" s="395"/>
      <c r="H2354" s="91">
        <f t="shared" si="183"/>
        <v>0</v>
      </c>
      <c r="I2354" s="91" t="str">
        <f t="shared" si="184"/>
        <v/>
      </c>
      <c r="J2354" s="91" t="str">
        <f t="shared" si="185"/>
        <v/>
      </c>
      <c r="K2354" s="92" t="str">
        <f>IF(AND(A2354="",B2354="",D2354="",G2354=""),"",IF(AND(A2354&lt;&gt;"",COUNTIF($A$2:$A$5001,A2354)&gt;1),"NUMERO_PC duplicado",IF(B2354="","DATA_PC vazia",IF(NOT(ISNUMBER(B2354)),"DATA_PC invalida",IF(OR(C2354="",C2354="Fora dos ciclos"),"CICLO_PC nao identificado",IF(OR(D2354="",D2354=0),"VALOR_PC vazio ou zero",IF(AND(G2354&lt;&gt;"Sim",G2354&lt;&gt;"Nao",G2354&lt;&gt;""),"PC_PAGO_A_CONTRATADA invalido",IF(AND(C2354&lt;&gt;"C0",IFERROR(INDEX(parametros!$A$2:$A$6,MATCH(C2354,parametros!$B$2:$B$6,0)),"")="Sim",IFERROR(INDEX(parametros!$H$2:$H$6,MATCH(C2354,parametros!$B$2:$B$6,0)),"")=""),"INICIO_EFEITO ausente: PC "&amp;A2354&amp;" - "&amp;C2354,IF(L2354="","EFEITO_PC nao calculado: PC "&amp;A2354&amp;" - "&amp;C2354,"OK")))))))))</f>
        <v/>
      </c>
      <c r="L2354" s="92" t="str">
        <f>IF(AND(A2354="",B2354="",D2354="",G2354=""),"",IF(OR(B2354="",NOT(ISNUMBER(B2354)),C2354="",C2354="Fora dos ciclos"),"",IF(C2354="C0","Nao",IF(IFERROR(INDEX(parametros!$A$2:$A$6,MATCH(C2354,parametros!$B$2:$B$6,0)),"")&lt;&gt;"Sim","Nao",IF(IFERROR(INDEX(parametros!$H$2:$H$6,MATCH(C2354,parametros!$B$2:$B$6,0)),"")="","",IF(B2354&gt;=IFERROR(INDEX(parametros!$H$2:$H$6,MATCH(C2354,parametros!$B$2:$B$6,0)),""),"Sim","Nao"))))))</f>
        <v/>
      </c>
      <c r="T2354" s="156"/>
      <c r="U2354" s="214" t="str">
        <f t="shared" si="186"/>
        <v/>
      </c>
      <c r="V2354" s="212" t="s">
        <v>50</v>
      </c>
      <c r="W2354" s="100" t="s">
        <v>168</v>
      </c>
      <c r="X2354" s="100" t="s">
        <v>169</v>
      </c>
      <c r="Y2354" s="101" t="s">
        <v>170</v>
      </c>
      <c r="Z2354" s="101" t="s">
        <v>171</v>
      </c>
      <c r="AA2354" s="101" t="s">
        <v>50</v>
      </c>
      <c r="AB2354" s="101" t="s">
        <v>172</v>
      </c>
      <c r="AC2354" s="102" t="s">
        <v>173</v>
      </c>
    </row>
    <row r="2355" spans="1:29" ht="25.5" customHeight="1" x14ac:dyDescent="0.35">
      <c r="A2355" s="392"/>
      <c r="B2355" s="393"/>
      <c r="C2355" s="99" t="str">
        <f>IF(B2355="","",IF(NOT(ISNUMBER(B2355)),"DATA_PC invalida",IF(NOT(ISNUMBER(parametros!$C$2)),"Fora dos ciclos",IF(OR(B2355&lt;parametros!$C$2,(YEAR(B2355)-YEAR(parametros!$C$2))*12+MONTH(B2355)-MONTH(parametros!$C$2)&gt;59),"Fora dos ciclos","C"&amp;INT(((YEAR(B2355)-YEAR(parametros!$C$2))*12+MONTH(B2355)-MONTH(parametros!$C$2))/12)))))</f>
        <v/>
      </c>
      <c r="D2355" s="394"/>
      <c r="E2355" s="78" t="str">
        <f>IF(C2355="","",IFERROR(VLOOKUP(C2355,parametros!$A$11:$E$15,5,0),""))</f>
        <v/>
      </c>
      <c r="F2355" s="79" t="str">
        <f t="shared" si="182"/>
        <v/>
      </c>
      <c r="G2355" s="395"/>
      <c r="H2355" s="91">
        <f t="shared" si="183"/>
        <v>0</v>
      </c>
      <c r="I2355" s="91" t="str">
        <f t="shared" si="184"/>
        <v/>
      </c>
      <c r="J2355" s="91" t="str">
        <f t="shared" si="185"/>
        <v/>
      </c>
      <c r="K2355" s="92" t="str">
        <f>IF(AND(A2355="",B2355="",D2355="",G2355=""),"",IF(AND(A2355&lt;&gt;"",COUNTIF($A$2:$A$5001,A2355)&gt;1),"NUMERO_PC duplicado",IF(B2355="","DATA_PC vazia",IF(NOT(ISNUMBER(B2355)),"DATA_PC invalida",IF(OR(C2355="",C2355="Fora dos ciclos"),"CICLO_PC nao identificado",IF(OR(D2355="",D2355=0),"VALOR_PC vazio ou zero",IF(AND(G2355&lt;&gt;"Sim",G2355&lt;&gt;"Nao",G2355&lt;&gt;""),"PC_PAGO_A_CONTRATADA invalido",IF(AND(C2355&lt;&gt;"C0",IFERROR(INDEX(parametros!$A$2:$A$6,MATCH(C2355,parametros!$B$2:$B$6,0)),"")="Sim",IFERROR(INDEX(parametros!$H$2:$H$6,MATCH(C2355,parametros!$B$2:$B$6,0)),"")=""),"INICIO_EFEITO ausente: PC "&amp;A2355&amp;" - "&amp;C2355,IF(L2355="","EFEITO_PC nao calculado: PC "&amp;A2355&amp;" - "&amp;C2355,"OK")))))))))</f>
        <v/>
      </c>
      <c r="L2355" s="92" t="str">
        <f>IF(AND(A2355="",B2355="",D2355="",G2355=""),"",IF(OR(B2355="",NOT(ISNUMBER(B2355)),C2355="",C2355="Fora dos ciclos"),"",IF(C2355="C0","Nao",IF(IFERROR(INDEX(parametros!$A$2:$A$6,MATCH(C2355,parametros!$B$2:$B$6,0)),"")&lt;&gt;"Sim","Nao",IF(IFERROR(INDEX(parametros!$H$2:$H$6,MATCH(C2355,parametros!$B$2:$B$6,0)),"")="","",IF(B2355&gt;=IFERROR(INDEX(parametros!$H$2:$H$6,MATCH(C2355,parametros!$B$2:$B$6,0)),""),"Sim","Nao"))))))</f>
        <v/>
      </c>
      <c r="T2355" s="156"/>
      <c r="U2355" s="214" t="str">
        <f t="shared" si="186"/>
        <v/>
      </c>
      <c r="V2355" s="212" t="s">
        <v>50</v>
      </c>
      <c r="W2355" s="100" t="s">
        <v>168</v>
      </c>
      <c r="X2355" s="100" t="s">
        <v>169</v>
      </c>
      <c r="Y2355" s="101" t="s">
        <v>170</v>
      </c>
      <c r="Z2355" s="101" t="s">
        <v>171</v>
      </c>
      <c r="AA2355" s="101" t="s">
        <v>50</v>
      </c>
      <c r="AB2355" s="101" t="s">
        <v>172</v>
      </c>
      <c r="AC2355" s="102" t="s">
        <v>173</v>
      </c>
    </row>
    <row r="2356" spans="1:29" ht="25.5" customHeight="1" x14ac:dyDescent="0.35">
      <c r="A2356" s="392"/>
      <c r="B2356" s="393"/>
      <c r="C2356" s="99" t="str">
        <f>IF(B2356="","",IF(NOT(ISNUMBER(B2356)),"DATA_PC invalida",IF(NOT(ISNUMBER(parametros!$C$2)),"Fora dos ciclos",IF(OR(B2356&lt;parametros!$C$2,(YEAR(B2356)-YEAR(parametros!$C$2))*12+MONTH(B2356)-MONTH(parametros!$C$2)&gt;59),"Fora dos ciclos","C"&amp;INT(((YEAR(B2356)-YEAR(parametros!$C$2))*12+MONTH(B2356)-MONTH(parametros!$C$2))/12)))))</f>
        <v/>
      </c>
      <c r="D2356" s="394"/>
      <c r="E2356" s="78" t="str">
        <f>IF(C2356="","",IFERROR(VLOOKUP(C2356,parametros!$A$11:$E$15,5,0),""))</f>
        <v/>
      </c>
      <c r="F2356" s="79" t="str">
        <f t="shared" si="182"/>
        <v/>
      </c>
      <c r="G2356" s="395"/>
      <c r="H2356" s="91">
        <f t="shared" si="183"/>
        <v>0</v>
      </c>
      <c r="I2356" s="91" t="str">
        <f t="shared" si="184"/>
        <v/>
      </c>
      <c r="J2356" s="91" t="str">
        <f t="shared" si="185"/>
        <v/>
      </c>
      <c r="K2356" s="92" t="str">
        <f>IF(AND(A2356="",B2356="",D2356="",G2356=""),"",IF(AND(A2356&lt;&gt;"",COUNTIF($A$2:$A$5001,A2356)&gt;1),"NUMERO_PC duplicado",IF(B2356="","DATA_PC vazia",IF(NOT(ISNUMBER(B2356)),"DATA_PC invalida",IF(OR(C2356="",C2356="Fora dos ciclos"),"CICLO_PC nao identificado",IF(OR(D2356="",D2356=0),"VALOR_PC vazio ou zero",IF(AND(G2356&lt;&gt;"Sim",G2356&lt;&gt;"Nao",G2356&lt;&gt;""),"PC_PAGO_A_CONTRATADA invalido",IF(AND(C2356&lt;&gt;"C0",IFERROR(INDEX(parametros!$A$2:$A$6,MATCH(C2356,parametros!$B$2:$B$6,0)),"")="Sim",IFERROR(INDEX(parametros!$H$2:$H$6,MATCH(C2356,parametros!$B$2:$B$6,0)),"")=""),"INICIO_EFEITO ausente: PC "&amp;A2356&amp;" - "&amp;C2356,IF(L2356="","EFEITO_PC nao calculado: PC "&amp;A2356&amp;" - "&amp;C2356,"OK")))))))))</f>
        <v/>
      </c>
      <c r="L2356" s="92" t="str">
        <f>IF(AND(A2356="",B2356="",D2356="",G2356=""),"",IF(OR(B2356="",NOT(ISNUMBER(B2356)),C2356="",C2356="Fora dos ciclos"),"",IF(C2356="C0","Nao",IF(IFERROR(INDEX(parametros!$A$2:$A$6,MATCH(C2356,parametros!$B$2:$B$6,0)),"")&lt;&gt;"Sim","Nao",IF(IFERROR(INDEX(parametros!$H$2:$H$6,MATCH(C2356,parametros!$B$2:$B$6,0)),"")="","",IF(B2356&gt;=IFERROR(INDEX(parametros!$H$2:$H$6,MATCH(C2356,parametros!$B$2:$B$6,0)),""),"Sim","Nao"))))))</f>
        <v/>
      </c>
      <c r="T2356" s="156"/>
      <c r="U2356" s="214" t="str">
        <f t="shared" si="186"/>
        <v/>
      </c>
      <c r="V2356" s="212" t="s">
        <v>50</v>
      </c>
      <c r="W2356" s="100" t="s">
        <v>168</v>
      </c>
      <c r="X2356" s="100" t="s">
        <v>169</v>
      </c>
      <c r="Y2356" s="101" t="s">
        <v>170</v>
      </c>
      <c r="Z2356" s="101" t="s">
        <v>171</v>
      </c>
      <c r="AA2356" s="101" t="s">
        <v>50</v>
      </c>
      <c r="AB2356" s="101" t="s">
        <v>172</v>
      </c>
      <c r="AC2356" s="102" t="s">
        <v>173</v>
      </c>
    </row>
    <row r="2357" spans="1:29" ht="25.5" customHeight="1" x14ac:dyDescent="0.35">
      <c r="A2357" s="392"/>
      <c r="B2357" s="393"/>
      <c r="C2357" s="99" t="str">
        <f>IF(B2357="","",IF(NOT(ISNUMBER(B2357)),"DATA_PC invalida",IF(NOT(ISNUMBER(parametros!$C$2)),"Fora dos ciclos",IF(OR(B2357&lt;parametros!$C$2,(YEAR(B2357)-YEAR(parametros!$C$2))*12+MONTH(B2357)-MONTH(parametros!$C$2)&gt;59),"Fora dos ciclos","C"&amp;INT(((YEAR(B2357)-YEAR(parametros!$C$2))*12+MONTH(B2357)-MONTH(parametros!$C$2))/12)))))</f>
        <v/>
      </c>
      <c r="D2357" s="394"/>
      <c r="E2357" s="78" t="str">
        <f>IF(C2357="","",IFERROR(VLOOKUP(C2357,parametros!$A$11:$E$15,5,0),""))</f>
        <v/>
      </c>
      <c r="F2357" s="79" t="str">
        <f t="shared" si="182"/>
        <v/>
      </c>
      <c r="G2357" s="395"/>
      <c r="H2357" s="91">
        <f t="shared" si="183"/>
        <v>0</v>
      </c>
      <c r="I2357" s="91" t="str">
        <f t="shared" si="184"/>
        <v/>
      </c>
      <c r="J2357" s="91" t="str">
        <f t="shared" si="185"/>
        <v/>
      </c>
      <c r="K2357" s="92" t="str">
        <f>IF(AND(A2357="",B2357="",D2357="",G2357=""),"",IF(AND(A2357&lt;&gt;"",COUNTIF($A$2:$A$5001,A2357)&gt;1),"NUMERO_PC duplicado",IF(B2357="","DATA_PC vazia",IF(NOT(ISNUMBER(B2357)),"DATA_PC invalida",IF(OR(C2357="",C2357="Fora dos ciclos"),"CICLO_PC nao identificado",IF(OR(D2357="",D2357=0),"VALOR_PC vazio ou zero",IF(AND(G2357&lt;&gt;"Sim",G2357&lt;&gt;"Nao",G2357&lt;&gt;""),"PC_PAGO_A_CONTRATADA invalido",IF(AND(C2357&lt;&gt;"C0",IFERROR(INDEX(parametros!$A$2:$A$6,MATCH(C2357,parametros!$B$2:$B$6,0)),"")="Sim",IFERROR(INDEX(parametros!$H$2:$H$6,MATCH(C2357,parametros!$B$2:$B$6,0)),"")=""),"INICIO_EFEITO ausente: PC "&amp;A2357&amp;" - "&amp;C2357,IF(L2357="","EFEITO_PC nao calculado: PC "&amp;A2357&amp;" - "&amp;C2357,"OK")))))))))</f>
        <v/>
      </c>
      <c r="L2357" s="92" t="str">
        <f>IF(AND(A2357="",B2357="",D2357="",G2357=""),"",IF(OR(B2357="",NOT(ISNUMBER(B2357)),C2357="",C2357="Fora dos ciclos"),"",IF(C2357="C0","Nao",IF(IFERROR(INDEX(parametros!$A$2:$A$6,MATCH(C2357,parametros!$B$2:$B$6,0)),"")&lt;&gt;"Sim","Nao",IF(IFERROR(INDEX(parametros!$H$2:$H$6,MATCH(C2357,parametros!$B$2:$B$6,0)),"")="","",IF(B2357&gt;=IFERROR(INDEX(parametros!$H$2:$H$6,MATCH(C2357,parametros!$B$2:$B$6,0)),""),"Sim","Nao"))))))</f>
        <v/>
      </c>
      <c r="T2357" s="156"/>
      <c r="U2357" s="214" t="str">
        <f t="shared" si="186"/>
        <v/>
      </c>
      <c r="V2357" s="212" t="s">
        <v>50</v>
      </c>
      <c r="W2357" s="100" t="s">
        <v>168</v>
      </c>
      <c r="X2357" s="100" t="s">
        <v>169</v>
      </c>
      <c r="Y2357" s="101" t="s">
        <v>170</v>
      </c>
      <c r="Z2357" s="101" t="s">
        <v>171</v>
      </c>
      <c r="AA2357" s="101" t="s">
        <v>50</v>
      </c>
      <c r="AB2357" s="101" t="s">
        <v>172</v>
      </c>
      <c r="AC2357" s="102" t="s">
        <v>173</v>
      </c>
    </row>
    <row r="2358" spans="1:29" ht="25.5" customHeight="1" x14ac:dyDescent="0.35">
      <c r="A2358" s="392"/>
      <c r="B2358" s="393"/>
      <c r="C2358" s="99" t="str">
        <f>IF(B2358="","",IF(NOT(ISNUMBER(B2358)),"DATA_PC invalida",IF(NOT(ISNUMBER(parametros!$C$2)),"Fora dos ciclos",IF(OR(B2358&lt;parametros!$C$2,(YEAR(B2358)-YEAR(parametros!$C$2))*12+MONTH(B2358)-MONTH(parametros!$C$2)&gt;59),"Fora dos ciclos","C"&amp;INT(((YEAR(B2358)-YEAR(parametros!$C$2))*12+MONTH(B2358)-MONTH(parametros!$C$2))/12)))))</f>
        <v/>
      </c>
      <c r="D2358" s="394"/>
      <c r="E2358" s="78" t="str">
        <f>IF(C2358="","",IFERROR(VLOOKUP(C2358,parametros!$A$11:$E$15,5,0),""))</f>
        <v/>
      </c>
      <c r="F2358" s="79" t="str">
        <f t="shared" si="182"/>
        <v/>
      </c>
      <c r="G2358" s="395"/>
      <c r="H2358" s="91">
        <f t="shared" si="183"/>
        <v>0</v>
      </c>
      <c r="I2358" s="91" t="str">
        <f t="shared" si="184"/>
        <v/>
      </c>
      <c r="J2358" s="91" t="str">
        <f t="shared" si="185"/>
        <v/>
      </c>
      <c r="K2358" s="92" t="str">
        <f>IF(AND(A2358="",B2358="",D2358="",G2358=""),"",IF(AND(A2358&lt;&gt;"",COUNTIF($A$2:$A$5001,A2358)&gt;1),"NUMERO_PC duplicado",IF(B2358="","DATA_PC vazia",IF(NOT(ISNUMBER(B2358)),"DATA_PC invalida",IF(OR(C2358="",C2358="Fora dos ciclos"),"CICLO_PC nao identificado",IF(OR(D2358="",D2358=0),"VALOR_PC vazio ou zero",IF(AND(G2358&lt;&gt;"Sim",G2358&lt;&gt;"Nao",G2358&lt;&gt;""),"PC_PAGO_A_CONTRATADA invalido",IF(AND(C2358&lt;&gt;"C0",IFERROR(INDEX(parametros!$A$2:$A$6,MATCH(C2358,parametros!$B$2:$B$6,0)),"")="Sim",IFERROR(INDEX(parametros!$H$2:$H$6,MATCH(C2358,parametros!$B$2:$B$6,0)),"")=""),"INICIO_EFEITO ausente: PC "&amp;A2358&amp;" - "&amp;C2358,IF(L2358="","EFEITO_PC nao calculado: PC "&amp;A2358&amp;" - "&amp;C2358,"OK")))))))))</f>
        <v/>
      </c>
      <c r="L2358" s="92" t="str">
        <f>IF(AND(A2358="",B2358="",D2358="",G2358=""),"",IF(OR(B2358="",NOT(ISNUMBER(B2358)),C2358="",C2358="Fora dos ciclos"),"",IF(C2358="C0","Nao",IF(IFERROR(INDEX(parametros!$A$2:$A$6,MATCH(C2358,parametros!$B$2:$B$6,0)),"")&lt;&gt;"Sim","Nao",IF(IFERROR(INDEX(parametros!$H$2:$H$6,MATCH(C2358,parametros!$B$2:$B$6,0)),"")="","",IF(B2358&gt;=IFERROR(INDEX(parametros!$H$2:$H$6,MATCH(C2358,parametros!$B$2:$B$6,0)),""),"Sim","Nao"))))))</f>
        <v/>
      </c>
      <c r="T2358" s="156"/>
      <c r="U2358" s="214" t="str">
        <f t="shared" si="186"/>
        <v/>
      </c>
      <c r="V2358" s="212" t="s">
        <v>50</v>
      </c>
      <c r="W2358" s="100" t="s">
        <v>168</v>
      </c>
      <c r="X2358" s="100" t="s">
        <v>169</v>
      </c>
      <c r="Y2358" s="101" t="s">
        <v>170</v>
      </c>
      <c r="Z2358" s="101" t="s">
        <v>171</v>
      </c>
      <c r="AA2358" s="101" t="s">
        <v>50</v>
      </c>
      <c r="AB2358" s="101" t="s">
        <v>172</v>
      </c>
      <c r="AC2358" s="102" t="s">
        <v>173</v>
      </c>
    </row>
    <row r="2359" spans="1:29" ht="25.5" customHeight="1" x14ac:dyDescent="0.35">
      <c r="A2359" s="392"/>
      <c r="B2359" s="393"/>
      <c r="C2359" s="99" t="str">
        <f>IF(B2359="","",IF(NOT(ISNUMBER(B2359)),"DATA_PC invalida",IF(NOT(ISNUMBER(parametros!$C$2)),"Fora dos ciclos",IF(OR(B2359&lt;parametros!$C$2,(YEAR(B2359)-YEAR(parametros!$C$2))*12+MONTH(B2359)-MONTH(parametros!$C$2)&gt;59),"Fora dos ciclos","C"&amp;INT(((YEAR(B2359)-YEAR(parametros!$C$2))*12+MONTH(B2359)-MONTH(parametros!$C$2))/12)))))</f>
        <v/>
      </c>
      <c r="D2359" s="394"/>
      <c r="E2359" s="78" t="str">
        <f>IF(C2359="","",IFERROR(VLOOKUP(C2359,parametros!$A$11:$E$15,5,0),""))</f>
        <v/>
      </c>
      <c r="F2359" s="79" t="str">
        <f t="shared" si="182"/>
        <v/>
      </c>
      <c r="G2359" s="395"/>
      <c r="H2359" s="91">
        <f t="shared" si="183"/>
        <v>0</v>
      </c>
      <c r="I2359" s="91" t="str">
        <f t="shared" si="184"/>
        <v/>
      </c>
      <c r="J2359" s="91" t="str">
        <f t="shared" si="185"/>
        <v/>
      </c>
      <c r="K2359" s="92" t="str">
        <f>IF(AND(A2359="",B2359="",D2359="",G2359=""),"",IF(AND(A2359&lt;&gt;"",COUNTIF($A$2:$A$5001,A2359)&gt;1),"NUMERO_PC duplicado",IF(B2359="","DATA_PC vazia",IF(NOT(ISNUMBER(B2359)),"DATA_PC invalida",IF(OR(C2359="",C2359="Fora dos ciclos"),"CICLO_PC nao identificado",IF(OR(D2359="",D2359=0),"VALOR_PC vazio ou zero",IF(AND(G2359&lt;&gt;"Sim",G2359&lt;&gt;"Nao",G2359&lt;&gt;""),"PC_PAGO_A_CONTRATADA invalido",IF(AND(C2359&lt;&gt;"C0",IFERROR(INDEX(parametros!$A$2:$A$6,MATCH(C2359,parametros!$B$2:$B$6,0)),"")="Sim",IFERROR(INDEX(parametros!$H$2:$H$6,MATCH(C2359,parametros!$B$2:$B$6,0)),"")=""),"INICIO_EFEITO ausente: PC "&amp;A2359&amp;" - "&amp;C2359,IF(L2359="","EFEITO_PC nao calculado: PC "&amp;A2359&amp;" - "&amp;C2359,"OK")))))))))</f>
        <v/>
      </c>
      <c r="L2359" s="92" t="str">
        <f>IF(AND(A2359="",B2359="",D2359="",G2359=""),"",IF(OR(B2359="",NOT(ISNUMBER(B2359)),C2359="",C2359="Fora dos ciclos"),"",IF(C2359="C0","Nao",IF(IFERROR(INDEX(parametros!$A$2:$A$6,MATCH(C2359,parametros!$B$2:$B$6,0)),"")&lt;&gt;"Sim","Nao",IF(IFERROR(INDEX(parametros!$H$2:$H$6,MATCH(C2359,parametros!$B$2:$B$6,0)),"")="","",IF(B2359&gt;=IFERROR(INDEX(parametros!$H$2:$H$6,MATCH(C2359,parametros!$B$2:$B$6,0)),""),"Sim","Nao"))))))</f>
        <v/>
      </c>
      <c r="T2359" s="156"/>
      <c r="U2359" s="214" t="str">
        <f t="shared" si="186"/>
        <v/>
      </c>
      <c r="V2359" s="212" t="s">
        <v>50</v>
      </c>
      <c r="W2359" s="100" t="s">
        <v>168</v>
      </c>
      <c r="X2359" s="100" t="s">
        <v>169</v>
      </c>
      <c r="Y2359" s="101" t="s">
        <v>170</v>
      </c>
      <c r="Z2359" s="101" t="s">
        <v>171</v>
      </c>
      <c r="AA2359" s="101" t="s">
        <v>50</v>
      </c>
      <c r="AB2359" s="101" t="s">
        <v>172</v>
      </c>
      <c r="AC2359" s="102" t="s">
        <v>173</v>
      </c>
    </row>
    <row r="2360" spans="1:29" ht="25.5" customHeight="1" x14ac:dyDescent="0.35">
      <c r="A2360" s="392"/>
      <c r="B2360" s="393"/>
      <c r="C2360" s="99" t="str">
        <f>IF(B2360="","",IF(NOT(ISNUMBER(B2360)),"DATA_PC invalida",IF(NOT(ISNUMBER(parametros!$C$2)),"Fora dos ciclos",IF(OR(B2360&lt;parametros!$C$2,(YEAR(B2360)-YEAR(parametros!$C$2))*12+MONTH(B2360)-MONTH(parametros!$C$2)&gt;59),"Fora dos ciclos","C"&amp;INT(((YEAR(B2360)-YEAR(parametros!$C$2))*12+MONTH(B2360)-MONTH(parametros!$C$2))/12)))))</f>
        <v/>
      </c>
      <c r="D2360" s="394"/>
      <c r="E2360" s="78" t="str">
        <f>IF(C2360="","",IFERROR(VLOOKUP(C2360,parametros!$A$11:$E$15,5,0),""))</f>
        <v/>
      </c>
      <c r="F2360" s="79" t="str">
        <f t="shared" si="182"/>
        <v/>
      </c>
      <c r="G2360" s="395"/>
      <c r="H2360" s="91">
        <f t="shared" si="183"/>
        <v>0</v>
      </c>
      <c r="I2360" s="91" t="str">
        <f t="shared" si="184"/>
        <v/>
      </c>
      <c r="J2360" s="91" t="str">
        <f t="shared" si="185"/>
        <v/>
      </c>
      <c r="K2360" s="92" t="str">
        <f>IF(AND(A2360="",B2360="",D2360="",G2360=""),"",IF(AND(A2360&lt;&gt;"",COUNTIF($A$2:$A$5001,A2360)&gt;1),"NUMERO_PC duplicado",IF(B2360="","DATA_PC vazia",IF(NOT(ISNUMBER(B2360)),"DATA_PC invalida",IF(OR(C2360="",C2360="Fora dos ciclos"),"CICLO_PC nao identificado",IF(OR(D2360="",D2360=0),"VALOR_PC vazio ou zero",IF(AND(G2360&lt;&gt;"Sim",G2360&lt;&gt;"Nao",G2360&lt;&gt;""),"PC_PAGO_A_CONTRATADA invalido",IF(AND(C2360&lt;&gt;"C0",IFERROR(INDEX(parametros!$A$2:$A$6,MATCH(C2360,parametros!$B$2:$B$6,0)),"")="Sim",IFERROR(INDEX(parametros!$H$2:$H$6,MATCH(C2360,parametros!$B$2:$B$6,0)),"")=""),"INICIO_EFEITO ausente: PC "&amp;A2360&amp;" - "&amp;C2360,IF(L2360="","EFEITO_PC nao calculado: PC "&amp;A2360&amp;" - "&amp;C2360,"OK")))))))))</f>
        <v/>
      </c>
      <c r="L2360" s="92" t="str">
        <f>IF(AND(A2360="",B2360="",D2360="",G2360=""),"",IF(OR(B2360="",NOT(ISNUMBER(B2360)),C2360="",C2360="Fora dos ciclos"),"",IF(C2360="C0","Nao",IF(IFERROR(INDEX(parametros!$A$2:$A$6,MATCH(C2360,parametros!$B$2:$B$6,0)),"")&lt;&gt;"Sim","Nao",IF(IFERROR(INDEX(parametros!$H$2:$H$6,MATCH(C2360,parametros!$B$2:$B$6,0)),"")="","",IF(B2360&gt;=IFERROR(INDEX(parametros!$H$2:$H$6,MATCH(C2360,parametros!$B$2:$B$6,0)),""),"Sim","Nao"))))))</f>
        <v/>
      </c>
      <c r="T2360" s="156"/>
      <c r="U2360" s="214" t="str">
        <f t="shared" si="186"/>
        <v/>
      </c>
      <c r="V2360" s="212" t="s">
        <v>50</v>
      </c>
      <c r="W2360" s="100" t="s">
        <v>168</v>
      </c>
      <c r="X2360" s="100" t="s">
        <v>169</v>
      </c>
      <c r="Y2360" s="101" t="s">
        <v>170</v>
      </c>
      <c r="Z2360" s="101" t="s">
        <v>171</v>
      </c>
      <c r="AA2360" s="101" t="s">
        <v>50</v>
      </c>
      <c r="AB2360" s="101" t="s">
        <v>172</v>
      </c>
      <c r="AC2360" s="102" t="s">
        <v>173</v>
      </c>
    </row>
    <row r="2361" spans="1:29" ht="25.5" customHeight="1" x14ac:dyDescent="0.35">
      <c r="A2361" s="392"/>
      <c r="B2361" s="393"/>
      <c r="C2361" s="99" t="str">
        <f>IF(B2361="","",IF(NOT(ISNUMBER(B2361)),"DATA_PC invalida",IF(NOT(ISNUMBER(parametros!$C$2)),"Fora dos ciclos",IF(OR(B2361&lt;parametros!$C$2,(YEAR(B2361)-YEAR(parametros!$C$2))*12+MONTH(B2361)-MONTH(parametros!$C$2)&gt;59),"Fora dos ciclos","C"&amp;INT(((YEAR(B2361)-YEAR(parametros!$C$2))*12+MONTH(B2361)-MONTH(parametros!$C$2))/12)))))</f>
        <v/>
      </c>
      <c r="D2361" s="394"/>
      <c r="E2361" s="78" t="str">
        <f>IF(C2361="","",IFERROR(VLOOKUP(C2361,parametros!$A$11:$E$15,5,0),""))</f>
        <v/>
      </c>
      <c r="F2361" s="79" t="str">
        <f t="shared" si="182"/>
        <v/>
      </c>
      <c r="G2361" s="395"/>
      <c r="H2361" s="91">
        <f t="shared" si="183"/>
        <v>0</v>
      </c>
      <c r="I2361" s="91" t="str">
        <f t="shared" si="184"/>
        <v/>
      </c>
      <c r="J2361" s="91" t="str">
        <f t="shared" si="185"/>
        <v/>
      </c>
      <c r="K2361" s="92" t="str">
        <f>IF(AND(A2361="",B2361="",D2361="",G2361=""),"",IF(AND(A2361&lt;&gt;"",COUNTIF($A$2:$A$5001,A2361)&gt;1),"NUMERO_PC duplicado",IF(B2361="","DATA_PC vazia",IF(NOT(ISNUMBER(B2361)),"DATA_PC invalida",IF(OR(C2361="",C2361="Fora dos ciclos"),"CICLO_PC nao identificado",IF(OR(D2361="",D2361=0),"VALOR_PC vazio ou zero",IF(AND(G2361&lt;&gt;"Sim",G2361&lt;&gt;"Nao",G2361&lt;&gt;""),"PC_PAGO_A_CONTRATADA invalido",IF(AND(C2361&lt;&gt;"C0",IFERROR(INDEX(parametros!$A$2:$A$6,MATCH(C2361,parametros!$B$2:$B$6,0)),"")="Sim",IFERROR(INDEX(parametros!$H$2:$H$6,MATCH(C2361,parametros!$B$2:$B$6,0)),"")=""),"INICIO_EFEITO ausente: PC "&amp;A2361&amp;" - "&amp;C2361,IF(L2361="","EFEITO_PC nao calculado: PC "&amp;A2361&amp;" - "&amp;C2361,"OK")))))))))</f>
        <v/>
      </c>
      <c r="L2361" s="92" t="str">
        <f>IF(AND(A2361="",B2361="",D2361="",G2361=""),"",IF(OR(B2361="",NOT(ISNUMBER(B2361)),C2361="",C2361="Fora dos ciclos"),"",IF(C2361="C0","Nao",IF(IFERROR(INDEX(parametros!$A$2:$A$6,MATCH(C2361,parametros!$B$2:$B$6,0)),"")&lt;&gt;"Sim","Nao",IF(IFERROR(INDEX(parametros!$H$2:$H$6,MATCH(C2361,parametros!$B$2:$B$6,0)),"")="","",IF(B2361&gt;=IFERROR(INDEX(parametros!$H$2:$H$6,MATCH(C2361,parametros!$B$2:$B$6,0)),""),"Sim","Nao"))))))</f>
        <v/>
      </c>
      <c r="T2361" s="156"/>
      <c r="U2361" s="214" t="str">
        <f t="shared" si="186"/>
        <v/>
      </c>
      <c r="V2361" s="212" t="s">
        <v>50</v>
      </c>
      <c r="W2361" s="100" t="s">
        <v>168</v>
      </c>
      <c r="X2361" s="100" t="s">
        <v>169</v>
      </c>
      <c r="Y2361" s="101" t="s">
        <v>170</v>
      </c>
      <c r="Z2361" s="101" t="s">
        <v>171</v>
      </c>
      <c r="AA2361" s="101" t="s">
        <v>50</v>
      </c>
      <c r="AB2361" s="101" t="s">
        <v>172</v>
      </c>
      <c r="AC2361" s="102" t="s">
        <v>173</v>
      </c>
    </row>
    <row r="2362" spans="1:29" ht="25.5" customHeight="1" x14ac:dyDescent="0.35">
      <c r="A2362" s="392"/>
      <c r="B2362" s="393"/>
      <c r="C2362" s="99" t="str">
        <f>IF(B2362="","",IF(NOT(ISNUMBER(B2362)),"DATA_PC invalida",IF(NOT(ISNUMBER(parametros!$C$2)),"Fora dos ciclos",IF(OR(B2362&lt;parametros!$C$2,(YEAR(B2362)-YEAR(parametros!$C$2))*12+MONTH(B2362)-MONTH(parametros!$C$2)&gt;59),"Fora dos ciclos","C"&amp;INT(((YEAR(B2362)-YEAR(parametros!$C$2))*12+MONTH(B2362)-MONTH(parametros!$C$2))/12)))))</f>
        <v/>
      </c>
      <c r="D2362" s="394"/>
      <c r="E2362" s="78" t="str">
        <f>IF(C2362="","",IFERROR(VLOOKUP(C2362,parametros!$A$11:$E$15,5,0),""))</f>
        <v/>
      </c>
      <c r="F2362" s="79" t="str">
        <f t="shared" si="182"/>
        <v/>
      </c>
      <c r="G2362" s="395"/>
      <c r="H2362" s="91">
        <f t="shared" si="183"/>
        <v>0</v>
      </c>
      <c r="I2362" s="91" t="str">
        <f t="shared" si="184"/>
        <v/>
      </c>
      <c r="J2362" s="91" t="str">
        <f t="shared" si="185"/>
        <v/>
      </c>
      <c r="K2362" s="92" t="str">
        <f>IF(AND(A2362="",B2362="",D2362="",G2362=""),"",IF(AND(A2362&lt;&gt;"",COUNTIF($A$2:$A$5001,A2362)&gt;1),"NUMERO_PC duplicado",IF(B2362="","DATA_PC vazia",IF(NOT(ISNUMBER(B2362)),"DATA_PC invalida",IF(OR(C2362="",C2362="Fora dos ciclos"),"CICLO_PC nao identificado",IF(OR(D2362="",D2362=0),"VALOR_PC vazio ou zero",IF(AND(G2362&lt;&gt;"Sim",G2362&lt;&gt;"Nao",G2362&lt;&gt;""),"PC_PAGO_A_CONTRATADA invalido",IF(AND(C2362&lt;&gt;"C0",IFERROR(INDEX(parametros!$A$2:$A$6,MATCH(C2362,parametros!$B$2:$B$6,0)),"")="Sim",IFERROR(INDEX(parametros!$H$2:$H$6,MATCH(C2362,parametros!$B$2:$B$6,0)),"")=""),"INICIO_EFEITO ausente: PC "&amp;A2362&amp;" - "&amp;C2362,IF(L2362="","EFEITO_PC nao calculado: PC "&amp;A2362&amp;" - "&amp;C2362,"OK")))))))))</f>
        <v/>
      </c>
      <c r="L2362" s="92" t="str">
        <f>IF(AND(A2362="",B2362="",D2362="",G2362=""),"",IF(OR(B2362="",NOT(ISNUMBER(B2362)),C2362="",C2362="Fora dos ciclos"),"",IF(C2362="C0","Nao",IF(IFERROR(INDEX(parametros!$A$2:$A$6,MATCH(C2362,parametros!$B$2:$B$6,0)),"")&lt;&gt;"Sim","Nao",IF(IFERROR(INDEX(parametros!$H$2:$H$6,MATCH(C2362,parametros!$B$2:$B$6,0)),"")="","",IF(B2362&gt;=IFERROR(INDEX(parametros!$H$2:$H$6,MATCH(C2362,parametros!$B$2:$B$6,0)),""),"Sim","Nao"))))))</f>
        <v/>
      </c>
      <c r="T2362" s="156"/>
      <c r="U2362" s="214" t="str">
        <f t="shared" si="186"/>
        <v/>
      </c>
      <c r="V2362" s="212" t="s">
        <v>50</v>
      </c>
      <c r="W2362" s="100" t="s">
        <v>168</v>
      </c>
      <c r="X2362" s="100" t="s">
        <v>169</v>
      </c>
      <c r="Y2362" s="101" t="s">
        <v>170</v>
      </c>
      <c r="Z2362" s="101" t="s">
        <v>171</v>
      </c>
      <c r="AA2362" s="101" t="s">
        <v>50</v>
      </c>
      <c r="AB2362" s="101" t="s">
        <v>172</v>
      </c>
      <c r="AC2362" s="102" t="s">
        <v>173</v>
      </c>
    </row>
    <row r="2363" spans="1:29" ht="25.5" customHeight="1" x14ac:dyDescent="0.35">
      <c r="A2363" s="392"/>
      <c r="B2363" s="393"/>
      <c r="C2363" s="99" t="str">
        <f>IF(B2363="","",IF(NOT(ISNUMBER(B2363)),"DATA_PC invalida",IF(NOT(ISNUMBER(parametros!$C$2)),"Fora dos ciclos",IF(OR(B2363&lt;parametros!$C$2,(YEAR(B2363)-YEAR(parametros!$C$2))*12+MONTH(B2363)-MONTH(parametros!$C$2)&gt;59),"Fora dos ciclos","C"&amp;INT(((YEAR(B2363)-YEAR(parametros!$C$2))*12+MONTH(B2363)-MONTH(parametros!$C$2))/12)))))</f>
        <v/>
      </c>
      <c r="D2363" s="394"/>
      <c r="E2363" s="78" t="str">
        <f>IF(C2363="","",IFERROR(VLOOKUP(C2363,parametros!$A$11:$E$15,5,0),""))</f>
        <v/>
      </c>
      <c r="F2363" s="79" t="str">
        <f t="shared" si="182"/>
        <v/>
      </c>
      <c r="G2363" s="395"/>
      <c r="H2363" s="91">
        <f t="shared" si="183"/>
        <v>0</v>
      </c>
      <c r="I2363" s="91" t="str">
        <f t="shared" si="184"/>
        <v/>
      </c>
      <c r="J2363" s="91" t="str">
        <f t="shared" si="185"/>
        <v/>
      </c>
      <c r="K2363" s="92" t="str">
        <f>IF(AND(A2363="",B2363="",D2363="",G2363=""),"",IF(AND(A2363&lt;&gt;"",COUNTIF($A$2:$A$5001,A2363)&gt;1),"NUMERO_PC duplicado",IF(B2363="","DATA_PC vazia",IF(NOT(ISNUMBER(B2363)),"DATA_PC invalida",IF(OR(C2363="",C2363="Fora dos ciclos"),"CICLO_PC nao identificado",IF(OR(D2363="",D2363=0),"VALOR_PC vazio ou zero",IF(AND(G2363&lt;&gt;"Sim",G2363&lt;&gt;"Nao",G2363&lt;&gt;""),"PC_PAGO_A_CONTRATADA invalido",IF(AND(C2363&lt;&gt;"C0",IFERROR(INDEX(parametros!$A$2:$A$6,MATCH(C2363,parametros!$B$2:$B$6,0)),"")="Sim",IFERROR(INDEX(parametros!$H$2:$H$6,MATCH(C2363,parametros!$B$2:$B$6,0)),"")=""),"INICIO_EFEITO ausente: PC "&amp;A2363&amp;" - "&amp;C2363,IF(L2363="","EFEITO_PC nao calculado: PC "&amp;A2363&amp;" - "&amp;C2363,"OK")))))))))</f>
        <v/>
      </c>
      <c r="L2363" s="92" t="str">
        <f>IF(AND(A2363="",B2363="",D2363="",G2363=""),"",IF(OR(B2363="",NOT(ISNUMBER(B2363)),C2363="",C2363="Fora dos ciclos"),"",IF(C2363="C0","Nao",IF(IFERROR(INDEX(parametros!$A$2:$A$6,MATCH(C2363,parametros!$B$2:$B$6,0)),"")&lt;&gt;"Sim","Nao",IF(IFERROR(INDEX(parametros!$H$2:$H$6,MATCH(C2363,parametros!$B$2:$B$6,0)),"")="","",IF(B2363&gt;=IFERROR(INDEX(parametros!$H$2:$H$6,MATCH(C2363,parametros!$B$2:$B$6,0)),""),"Sim","Nao"))))))</f>
        <v/>
      </c>
      <c r="T2363" s="156"/>
      <c r="U2363" s="214" t="str">
        <f t="shared" si="186"/>
        <v/>
      </c>
      <c r="V2363" s="212" t="s">
        <v>50</v>
      </c>
      <c r="W2363" s="100" t="s">
        <v>168</v>
      </c>
      <c r="X2363" s="100" t="s">
        <v>169</v>
      </c>
      <c r="Y2363" s="101" t="s">
        <v>170</v>
      </c>
      <c r="Z2363" s="101" t="s">
        <v>171</v>
      </c>
      <c r="AA2363" s="101" t="s">
        <v>50</v>
      </c>
      <c r="AB2363" s="101" t="s">
        <v>172</v>
      </c>
      <c r="AC2363" s="102" t="s">
        <v>173</v>
      </c>
    </row>
    <row r="2364" spans="1:29" ht="25.5" customHeight="1" x14ac:dyDescent="0.35">
      <c r="A2364" s="392"/>
      <c r="B2364" s="393"/>
      <c r="C2364" s="99" t="str">
        <f>IF(B2364="","",IF(NOT(ISNUMBER(B2364)),"DATA_PC invalida",IF(NOT(ISNUMBER(parametros!$C$2)),"Fora dos ciclos",IF(OR(B2364&lt;parametros!$C$2,(YEAR(B2364)-YEAR(parametros!$C$2))*12+MONTH(B2364)-MONTH(parametros!$C$2)&gt;59),"Fora dos ciclos","C"&amp;INT(((YEAR(B2364)-YEAR(parametros!$C$2))*12+MONTH(B2364)-MONTH(parametros!$C$2))/12)))))</f>
        <v/>
      </c>
      <c r="D2364" s="394"/>
      <c r="E2364" s="78" t="str">
        <f>IF(C2364="","",IFERROR(VLOOKUP(C2364,parametros!$A$11:$E$15,5,0),""))</f>
        <v/>
      </c>
      <c r="F2364" s="79" t="str">
        <f t="shared" si="182"/>
        <v/>
      </c>
      <c r="G2364" s="395"/>
      <c r="H2364" s="91">
        <f t="shared" si="183"/>
        <v>0</v>
      </c>
      <c r="I2364" s="91" t="str">
        <f t="shared" si="184"/>
        <v/>
      </c>
      <c r="J2364" s="91" t="str">
        <f t="shared" si="185"/>
        <v/>
      </c>
      <c r="K2364" s="92" t="str">
        <f>IF(AND(A2364="",B2364="",D2364="",G2364=""),"",IF(AND(A2364&lt;&gt;"",COUNTIF($A$2:$A$5001,A2364)&gt;1),"NUMERO_PC duplicado",IF(B2364="","DATA_PC vazia",IF(NOT(ISNUMBER(B2364)),"DATA_PC invalida",IF(OR(C2364="",C2364="Fora dos ciclos"),"CICLO_PC nao identificado",IF(OR(D2364="",D2364=0),"VALOR_PC vazio ou zero",IF(AND(G2364&lt;&gt;"Sim",G2364&lt;&gt;"Nao",G2364&lt;&gt;""),"PC_PAGO_A_CONTRATADA invalido",IF(AND(C2364&lt;&gt;"C0",IFERROR(INDEX(parametros!$A$2:$A$6,MATCH(C2364,parametros!$B$2:$B$6,0)),"")="Sim",IFERROR(INDEX(parametros!$H$2:$H$6,MATCH(C2364,parametros!$B$2:$B$6,0)),"")=""),"INICIO_EFEITO ausente: PC "&amp;A2364&amp;" - "&amp;C2364,IF(L2364="","EFEITO_PC nao calculado: PC "&amp;A2364&amp;" - "&amp;C2364,"OK")))))))))</f>
        <v/>
      </c>
      <c r="L2364" s="92" t="str">
        <f>IF(AND(A2364="",B2364="",D2364="",G2364=""),"",IF(OR(B2364="",NOT(ISNUMBER(B2364)),C2364="",C2364="Fora dos ciclos"),"",IF(C2364="C0","Nao",IF(IFERROR(INDEX(parametros!$A$2:$A$6,MATCH(C2364,parametros!$B$2:$B$6,0)),"")&lt;&gt;"Sim","Nao",IF(IFERROR(INDEX(parametros!$H$2:$H$6,MATCH(C2364,parametros!$B$2:$B$6,0)),"")="","",IF(B2364&gt;=IFERROR(INDEX(parametros!$H$2:$H$6,MATCH(C2364,parametros!$B$2:$B$6,0)),""),"Sim","Nao"))))))</f>
        <v/>
      </c>
      <c r="T2364" s="156"/>
      <c r="U2364" s="214" t="str">
        <f t="shared" si="186"/>
        <v/>
      </c>
      <c r="V2364" s="212" t="s">
        <v>50</v>
      </c>
      <c r="W2364" s="100" t="s">
        <v>168</v>
      </c>
      <c r="X2364" s="100" t="s">
        <v>169</v>
      </c>
      <c r="Y2364" s="101" t="s">
        <v>170</v>
      </c>
      <c r="Z2364" s="101" t="s">
        <v>171</v>
      </c>
      <c r="AA2364" s="101" t="s">
        <v>50</v>
      </c>
      <c r="AB2364" s="101" t="s">
        <v>172</v>
      </c>
      <c r="AC2364" s="102" t="s">
        <v>173</v>
      </c>
    </row>
    <row r="2365" spans="1:29" ht="25.5" customHeight="1" x14ac:dyDescent="0.35">
      <c r="A2365" s="392"/>
      <c r="B2365" s="393"/>
      <c r="C2365" s="99" t="str">
        <f>IF(B2365="","",IF(NOT(ISNUMBER(B2365)),"DATA_PC invalida",IF(NOT(ISNUMBER(parametros!$C$2)),"Fora dos ciclos",IF(OR(B2365&lt;parametros!$C$2,(YEAR(B2365)-YEAR(parametros!$C$2))*12+MONTH(B2365)-MONTH(parametros!$C$2)&gt;59),"Fora dos ciclos","C"&amp;INT(((YEAR(B2365)-YEAR(parametros!$C$2))*12+MONTH(B2365)-MONTH(parametros!$C$2))/12)))))</f>
        <v/>
      </c>
      <c r="D2365" s="394"/>
      <c r="E2365" s="78" t="str">
        <f>IF(C2365="","",IFERROR(VLOOKUP(C2365,parametros!$A$11:$E$15,5,0),""))</f>
        <v/>
      </c>
      <c r="F2365" s="79" t="str">
        <f t="shared" si="182"/>
        <v/>
      </c>
      <c r="G2365" s="395"/>
      <c r="H2365" s="91">
        <f t="shared" si="183"/>
        <v>0</v>
      </c>
      <c r="I2365" s="91" t="str">
        <f t="shared" si="184"/>
        <v/>
      </c>
      <c r="J2365" s="91" t="str">
        <f t="shared" si="185"/>
        <v/>
      </c>
      <c r="K2365" s="92" t="str">
        <f>IF(AND(A2365="",B2365="",D2365="",G2365=""),"",IF(AND(A2365&lt;&gt;"",COUNTIF($A$2:$A$5001,A2365)&gt;1),"NUMERO_PC duplicado",IF(B2365="","DATA_PC vazia",IF(NOT(ISNUMBER(B2365)),"DATA_PC invalida",IF(OR(C2365="",C2365="Fora dos ciclos"),"CICLO_PC nao identificado",IF(OR(D2365="",D2365=0),"VALOR_PC vazio ou zero",IF(AND(G2365&lt;&gt;"Sim",G2365&lt;&gt;"Nao",G2365&lt;&gt;""),"PC_PAGO_A_CONTRATADA invalido",IF(AND(C2365&lt;&gt;"C0",IFERROR(INDEX(parametros!$A$2:$A$6,MATCH(C2365,parametros!$B$2:$B$6,0)),"")="Sim",IFERROR(INDEX(parametros!$H$2:$H$6,MATCH(C2365,parametros!$B$2:$B$6,0)),"")=""),"INICIO_EFEITO ausente: PC "&amp;A2365&amp;" - "&amp;C2365,IF(L2365="","EFEITO_PC nao calculado: PC "&amp;A2365&amp;" - "&amp;C2365,"OK")))))))))</f>
        <v/>
      </c>
      <c r="L2365" s="92" t="str">
        <f>IF(AND(A2365="",B2365="",D2365="",G2365=""),"",IF(OR(B2365="",NOT(ISNUMBER(B2365)),C2365="",C2365="Fora dos ciclos"),"",IF(C2365="C0","Nao",IF(IFERROR(INDEX(parametros!$A$2:$A$6,MATCH(C2365,parametros!$B$2:$B$6,0)),"")&lt;&gt;"Sim","Nao",IF(IFERROR(INDEX(parametros!$H$2:$H$6,MATCH(C2365,parametros!$B$2:$B$6,0)),"")="","",IF(B2365&gt;=IFERROR(INDEX(parametros!$H$2:$H$6,MATCH(C2365,parametros!$B$2:$B$6,0)),""),"Sim","Nao"))))))</f>
        <v/>
      </c>
      <c r="T2365" s="156"/>
      <c r="U2365" s="214" t="str">
        <f t="shared" si="186"/>
        <v/>
      </c>
      <c r="V2365" s="212" t="s">
        <v>50</v>
      </c>
      <c r="W2365" s="100" t="s">
        <v>168</v>
      </c>
      <c r="X2365" s="100" t="s">
        <v>169</v>
      </c>
      <c r="Y2365" s="101" t="s">
        <v>170</v>
      </c>
      <c r="Z2365" s="101" t="s">
        <v>171</v>
      </c>
      <c r="AA2365" s="101" t="s">
        <v>50</v>
      </c>
      <c r="AB2365" s="101" t="s">
        <v>172</v>
      </c>
      <c r="AC2365" s="102" t="s">
        <v>173</v>
      </c>
    </row>
    <row r="2366" spans="1:29" ht="25.5" customHeight="1" x14ac:dyDescent="0.35">
      <c r="A2366" s="392"/>
      <c r="B2366" s="393"/>
      <c r="C2366" s="99" t="str">
        <f>IF(B2366="","",IF(NOT(ISNUMBER(B2366)),"DATA_PC invalida",IF(NOT(ISNUMBER(parametros!$C$2)),"Fora dos ciclos",IF(OR(B2366&lt;parametros!$C$2,(YEAR(B2366)-YEAR(parametros!$C$2))*12+MONTH(B2366)-MONTH(parametros!$C$2)&gt;59),"Fora dos ciclos","C"&amp;INT(((YEAR(B2366)-YEAR(parametros!$C$2))*12+MONTH(B2366)-MONTH(parametros!$C$2))/12)))))</f>
        <v/>
      </c>
      <c r="D2366" s="394"/>
      <c r="E2366" s="78" t="str">
        <f>IF(C2366="","",IFERROR(VLOOKUP(C2366,parametros!$A$11:$E$15,5,0),""))</f>
        <v/>
      </c>
      <c r="F2366" s="79" t="str">
        <f t="shared" si="182"/>
        <v/>
      </c>
      <c r="G2366" s="395"/>
      <c r="H2366" s="91">
        <f t="shared" si="183"/>
        <v>0</v>
      </c>
      <c r="I2366" s="91" t="str">
        <f t="shared" si="184"/>
        <v/>
      </c>
      <c r="J2366" s="91" t="str">
        <f t="shared" si="185"/>
        <v/>
      </c>
      <c r="K2366" s="92" t="str">
        <f>IF(AND(A2366="",B2366="",D2366="",G2366=""),"",IF(AND(A2366&lt;&gt;"",COUNTIF($A$2:$A$5001,A2366)&gt;1),"NUMERO_PC duplicado",IF(B2366="","DATA_PC vazia",IF(NOT(ISNUMBER(B2366)),"DATA_PC invalida",IF(OR(C2366="",C2366="Fora dos ciclos"),"CICLO_PC nao identificado",IF(OR(D2366="",D2366=0),"VALOR_PC vazio ou zero",IF(AND(G2366&lt;&gt;"Sim",G2366&lt;&gt;"Nao",G2366&lt;&gt;""),"PC_PAGO_A_CONTRATADA invalido",IF(AND(C2366&lt;&gt;"C0",IFERROR(INDEX(parametros!$A$2:$A$6,MATCH(C2366,parametros!$B$2:$B$6,0)),"")="Sim",IFERROR(INDEX(parametros!$H$2:$H$6,MATCH(C2366,parametros!$B$2:$B$6,0)),"")=""),"INICIO_EFEITO ausente: PC "&amp;A2366&amp;" - "&amp;C2366,IF(L2366="","EFEITO_PC nao calculado: PC "&amp;A2366&amp;" - "&amp;C2366,"OK")))))))))</f>
        <v/>
      </c>
      <c r="L2366" s="92" t="str">
        <f>IF(AND(A2366="",B2366="",D2366="",G2366=""),"",IF(OR(B2366="",NOT(ISNUMBER(B2366)),C2366="",C2366="Fora dos ciclos"),"",IF(C2366="C0","Nao",IF(IFERROR(INDEX(parametros!$A$2:$A$6,MATCH(C2366,parametros!$B$2:$B$6,0)),"")&lt;&gt;"Sim","Nao",IF(IFERROR(INDEX(parametros!$H$2:$H$6,MATCH(C2366,parametros!$B$2:$B$6,0)),"")="","",IF(B2366&gt;=IFERROR(INDEX(parametros!$H$2:$H$6,MATCH(C2366,parametros!$B$2:$B$6,0)),""),"Sim","Nao"))))))</f>
        <v/>
      </c>
      <c r="T2366" s="156"/>
      <c r="U2366" s="214" t="str">
        <f t="shared" si="186"/>
        <v/>
      </c>
      <c r="V2366" s="212" t="s">
        <v>50</v>
      </c>
      <c r="W2366" s="100" t="s">
        <v>168</v>
      </c>
      <c r="X2366" s="100" t="s">
        <v>169</v>
      </c>
      <c r="Y2366" s="101" t="s">
        <v>170</v>
      </c>
      <c r="Z2366" s="101" t="s">
        <v>171</v>
      </c>
      <c r="AA2366" s="101" t="s">
        <v>50</v>
      </c>
      <c r="AB2366" s="101" t="s">
        <v>172</v>
      </c>
      <c r="AC2366" s="102" t="s">
        <v>173</v>
      </c>
    </row>
    <row r="2367" spans="1:29" ht="25.5" customHeight="1" x14ac:dyDescent="0.35">
      <c r="A2367" s="392"/>
      <c r="B2367" s="393"/>
      <c r="C2367" s="99" t="str">
        <f>IF(B2367="","",IF(NOT(ISNUMBER(B2367)),"DATA_PC invalida",IF(NOT(ISNUMBER(parametros!$C$2)),"Fora dos ciclos",IF(OR(B2367&lt;parametros!$C$2,(YEAR(B2367)-YEAR(parametros!$C$2))*12+MONTH(B2367)-MONTH(parametros!$C$2)&gt;59),"Fora dos ciclos","C"&amp;INT(((YEAR(B2367)-YEAR(parametros!$C$2))*12+MONTH(B2367)-MONTH(parametros!$C$2))/12)))))</f>
        <v/>
      </c>
      <c r="D2367" s="394"/>
      <c r="E2367" s="78" t="str">
        <f>IF(C2367="","",IFERROR(VLOOKUP(C2367,parametros!$A$11:$E$15,5,0),""))</f>
        <v/>
      </c>
      <c r="F2367" s="79" t="str">
        <f t="shared" si="182"/>
        <v/>
      </c>
      <c r="G2367" s="395"/>
      <c r="H2367" s="91">
        <f t="shared" si="183"/>
        <v>0</v>
      </c>
      <c r="I2367" s="91" t="str">
        <f t="shared" si="184"/>
        <v/>
      </c>
      <c r="J2367" s="91" t="str">
        <f t="shared" si="185"/>
        <v/>
      </c>
      <c r="K2367" s="92" t="str">
        <f>IF(AND(A2367="",B2367="",D2367="",G2367=""),"",IF(AND(A2367&lt;&gt;"",COUNTIF($A$2:$A$5001,A2367)&gt;1),"NUMERO_PC duplicado",IF(B2367="","DATA_PC vazia",IF(NOT(ISNUMBER(B2367)),"DATA_PC invalida",IF(OR(C2367="",C2367="Fora dos ciclos"),"CICLO_PC nao identificado",IF(OR(D2367="",D2367=0),"VALOR_PC vazio ou zero",IF(AND(G2367&lt;&gt;"Sim",G2367&lt;&gt;"Nao",G2367&lt;&gt;""),"PC_PAGO_A_CONTRATADA invalido",IF(AND(C2367&lt;&gt;"C0",IFERROR(INDEX(parametros!$A$2:$A$6,MATCH(C2367,parametros!$B$2:$B$6,0)),"")="Sim",IFERROR(INDEX(parametros!$H$2:$H$6,MATCH(C2367,parametros!$B$2:$B$6,0)),"")=""),"INICIO_EFEITO ausente: PC "&amp;A2367&amp;" - "&amp;C2367,IF(L2367="","EFEITO_PC nao calculado: PC "&amp;A2367&amp;" - "&amp;C2367,"OK")))))))))</f>
        <v/>
      </c>
      <c r="L2367" s="92" t="str">
        <f>IF(AND(A2367="",B2367="",D2367="",G2367=""),"",IF(OR(B2367="",NOT(ISNUMBER(B2367)),C2367="",C2367="Fora dos ciclos"),"",IF(C2367="C0","Nao",IF(IFERROR(INDEX(parametros!$A$2:$A$6,MATCH(C2367,parametros!$B$2:$B$6,0)),"")&lt;&gt;"Sim","Nao",IF(IFERROR(INDEX(parametros!$H$2:$H$6,MATCH(C2367,parametros!$B$2:$B$6,0)),"")="","",IF(B2367&gt;=IFERROR(INDEX(parametros!$H$2:$H$6,MATCH(C2367,parametros!$B$2:$B$6,0)),""),"Sim","Nao"))))))</f>
        <v/>
      </c>
      <c r="T2367" s="156"/>
      <c r="U2367" s="214" t="str">
        <f t="shared" si="186"/>
        <v/>
      </c>
      <c r="V2367" s="212" t="s">
        <v>50</v>
      </c>
      <c r="W2367" s="100" t="s">
        <v>168</v>
      </c>
      <c r="X2367" s="100" t="s">
        <v>169</v>
      </c>
      <c r="Y2367" s="101" t="s">
        <v>170</v>
      </c>
      <c r="Z2367" s="101" t="s">
        <v>171</v>
      </c>
      <c r="AA2367" s="101" t="s">
        <v>50</v>
      </c>
      <c r="AB2367" s="101" t="s">
        <v>172</v>
      </c>
      <c r="AC2367" s="102" t="s">
        <v>173</v>
      </c>
    </row>
    <row r="2368" spans="1:29" ht="25.5" customHeight="1" x14ac:dyDescent="0.35">
      <c r="A2368" s="392"/>
      <c r="B2368" s="393"/>
      <c r="C2368" s="99" t="str">
        <f>IF(B2368="","",IF(NOT(ISNUMBER(B2368)),"DATA_PC invalida",IF(NOT(ISNUMBER(parametros!$C$2)),"Fora dos ciclos",IF(OR(B2368&lt;parametros!$C$2,(YEAR(B2368)-YEAR(parametros!$C$2))*12+MONTH(B2368)-MONTH(parametros!$C$2)&gt;59),"Fora dos ciclos","C"&amp;INT(((YEAR(B2368)-YEAR(parametros!$C$2))*12+MONTH(B2368)-MONTH(parametros!$C$2))/12)))))</f>
        <v/>
      </c>
      <c r="D2368" s="394"/>
      <c r="E2368" s="78" t="str">
        <f>IF(C2368="","",IFERROR(VLOOKUP(C2368,parametros!$A$11:$E$15,5,0),""))</f>
        <v/>
      </c>
      <c r="F2368" s="79" t="str">
        <f t="shared" si="182"/>
        <v/>
      </c>
      <c r="G2368" s="395"/>
      <c r="H2368" s="91">
        <f t="shared" si="183"/>
        <v>0</v>
      </c>
      <c r="I2368" s="91" t="str">
        <f t="shared" si="184"/>
        <v/>
      </c>
      <c r="J2368" s="91" t="str">
        <f t="shared" si="185"/>
        <v/>
      </c>
      <c r="K2368" s="92" t="str">
        <f>IF(AND(A2368="",B2368="",D2368="",G2368=""),"",IF(AND(A2368&lt;&gt;"",COUNTIF($A$2:$A$5001,A2368)&gt;1),"NUMERO_PC duplicado",IF(B2368="","DATA_PC vazia",IF(NOT(ISNUMBER(B2368)),"DATA_PC invalida",IF(OR(C2368="",C2368="Fora dos ciclos"),"CICLO_PC nao identificado",IF(OR(D2368="",D2368=0),"VALOR_PC vazio ou zero",IF(AND(G2368&lt;&gt;"Sim",G2368&lt;&gt;"Nao",G2368&lt;&gt;""),"PC_PAGO_A_CONTRATADA invalido",IF(AND(C2368&lt;&gt;"C0",IFERROR(INDEX(parametros!$A$2:$A$6,MATCH(C2368,parametros!$B$2:$B$6,0)),"")="Sim",IFERROR(INDEX(parametros!$H$2:$H$6,MATCH(C2368,parametros!$B$2:$B$6,0)),"")=""),"INICIO_EFEITO ausente: PC "&amp;A2368&amp;" - "&amp;C2368,IF(L2368="","EFEITO_PC nao calculado: PC "&amp;A2368&amp;" - "&amp;C2368,"OK")))))))))</f>
        <v/>
      </c>
      <c r="L2368" s="92" t="str">
        <f>IF(AND(A2368="",B2368="",D2368="",G2368=""),"",IF(OR(B2368="",NOT(ISNUMBER(B2368)),C2368="",C2368="Fora dos ciclos"),"",IF(C2368="C0","Nao",IF(IFERROR(INDEX(parametros!$A$2:$A$6,MATCH(C2368,parametros!$B$2:$B$6,0)),"")&lt;&gt;"Sim","Nao",IF(IFERROR(INDEX(parametros!$H$2:$H$6,MATCH(C2368,parametros!$B$2:$B$6,0)),"")="","",IF(B2368&gt;=IFERROR(INDEX(parametros!$H$2:$H$6,MATCH(C2368,parametros!$B$2:$B$6,0)),""),"Sim","Nao"))))))</f>
        <v/>
      </c>
      <c r="T2368" s="156"/>
      <c r="U2368" s="214" t="str">
        <f t="shared" si="186"/>
        <v/>
      </c>
      <c r="V2368" s="212" t="s">
        <v>50</v>
      </c>
      <c r="W2368" s="100" t="s">
        <v>168</v>
      </c>
      <c r="X2368" s="100" t="s">
        <v>169</v>
      </c>
      <c r="Y2368" s="101" t="s">
        <v>170</v>
      </c>
      <c r="Z2368" s="101" t="s">
        <v>171</v>
      </c>
      <c r="AA2368" s="101" t="s">
        <v>50</v>
      </c>
      <c r="AB2368" s="101" t="s">
        <v>172</v>
      </c>
      <c r="AC2368" s="102" t="s">
        <v>173</v>
      </c>
    </row>
    <row r="2369" spans="1:29" ht="25.5" customHeight="1" x14ac:dyDescent="0.35">
      <c r="A2369" s="392"/>
      <c r="B2369" s="393"/>
      <c r="C2369" s="99" t="str">
        <f>IF(B2369="","",IF(NOT(ISNUMBER(B2369)),"DATA_PC invalida",IF(NOT(ISNUMBER(parametros!$C$2)),"Fora dos ciclos",IF(OR(B2369&lt;parametros!$C$2,(YEAR(B2369)-YEAR(parametros!$C$2))*12+MONTH(B2369)-MONTH(parametros!$C$2)&gt;59),"Fora dos ciclos","C"&amp;INT(((YEAR(B2369)-YEAR(parametros!$C$2))*12+MONTH(B2369)-MONTH(parametros!$C$2))/12)))))</f>
        <v/>
      </c>
      <c r="D2369" s="394"/>
      <c r="E2369" s="78" t="str">
        <f>IF(C2369="","",IFERROR(VLOOKUP(C2369,parametros!$A$11:$E$15,5,0),""))</f>
        <v/>
      </c>
      <c r="F2369" s="79" t="str">
        <f t="shared" si="182"/>
        <v/>
      </c>
      <c r="G2369" s="395"/>
      <c r="H2369" s="91">
        <f t="shared" si="183"/>
        <v>0</v>
      </c>
      <c r="I2369" s="91" t="str">
        <f t="shared" si="184"/>
        <v/>
      </c>
      <c r="J2369" s="91" t="str">
        <f t="shared" si="185"/>
        <v/>
      </c>
      <c r="K2369" s="92" t="str">
        <f>IF(AND(A2369="",B2369="",D2369="",G2369=""),"",IF(AND(A2369&lt;&gt;"",COUNTIF($A$2:$A$5001,A2369)&gt;1),"NUMERO_PC duplicado",IF(B2369="","DATA_PC vazia",IF(NOT(ISNUMBER(B2369)),"DATA_PC invalida",IF(OR(C2369="",C2369="Fora dos ciclos"),"CICLO_PC nao identificado",IF(OR(D2369="",D2369=0),"VALOR_PC vazio ou zero",IF(AND(G2369&lt;&gt;"Sim",G2369&lt;&gt;"Nao",G2369&lt;&gt;""),"PC_PAGO_A_CONTRATADA invalido",IF(AND(C2369&lt;&gt;"C0",IFERROR(INDEX(parametros!$A$2:$A$6,MATCH(C2369,parametros!$B$2:$B$6,0)),"")="Sim",IFERROR(INDEX(parametros!$H$2:$H$6,MATCH(C2369,parametros!$B$2:$B$6,0)),"")=""),"INICIO_EFEITO ausente: PC "&amp;A2369&amp;" - "&amp;C2369,IF(L2369="","EFEITO_PC nao calculado: PC "&amp;A2369&amp;" - "&amp;C2369,"OK")))))))))</f>
        <v/>
      </c>
      <c r="L2369" s="92" t="str">
        <f>IF(AND(A2369="",B2369="",D2369="",G2369=""),"",IF(OR(B2369="",NOT(ISNUMBER(B2369)),C2369="",C2369="Fora dos ciclos"),"",IF(C2369="C0","Nao",IF(IFERROR(INDEX(parametros!$A$2:$A$6,MATCH(C2369,parametros!$B$2:$B$6,0)),"")&lt;&gt;"Sim","Nao",IF(IFERROR(INDEX(parametros!$H$2:$H$6,MATCH(C2369,parametros!$B$2:$B$6,0)),"")="","",IF(B2369&gt;=IFERROR(INDEX(parametros!$H$2:$H$6,MATCH(C2369,parametros!$B$2:$B$6,0)),""),"Sim","Nao"))))))</f>
        <v/>
      </c>
      <c r="T2369" s="156"/>
      <c r="U2369" s="214" t="str">
        <f t="shared" si="186"/>
        <v/>
      </c>
      <c r="V2369" s="212" t="s">
        <v>50</v>
      </c>
      <c r="W2369" s="100" t="s">
        <v>168</v>
      </c>
      <c r="X2369" s="100" t="s">
        <v>169</v>
      </c>
      <c r="Y2369" s="101" t="s">
        <v>170</v>
      </c>
      <c r="Z2369" s="101" t="s">
        <v>171</v>
      </c>
      <c r="AA2369" s="101" t="s">
        <v>50</v>
      </c>
      <c r="AB2369" s="101" t="s">
        <v>172</v>
      </c>
      <c r="AC2369" s="102" t="s">
        <v>173</v>
      </c>
    </row>
    <row r="2370" spans="1:29" ht="25.5" customHeight="1" x14ac:dyDescent="0.35">
      <c r="A2370" s="392"/>
      <c r="B2370" s="393"/>
      <c r="C2370" s="99" t="str">
        <f>IF(B2370="","",IF(NOT(ISNUMBER(B2370)),"DATA_PC invalida",IF(NOT(ISNUMBER(parametros!$C$2)),"Fora dos ciclos",IF(OR(B2370&lt;parametros!$C$2,(YEAR(B2370)-YEAR(parametros!$C$2))*12+MONTH(B2370)-MONTH(parametros!$C$2)&gt;59),"Fora dos ciclos","C"&amp;INT(((YEAR(B2370)-YEAR(parametros!$C$2))*12+MONTH(B2370)-MONTH(parametros!$C$2))/12)))))</f>
        <v/>
      </c>
      <c r="D2370" s="394"/>
      <c r="E2370" s="78" t="str">
        <f>IF(C2370="","",IFERROR(VLOOKUP(C2370,parametros!$A$11:$E$15,5,0),""))</f>
        <v/>
      </c>
      <c r="F2370" s="79" t="str">
        <f t="shared" ref="F2370:F2433" si="187">IF(OR(D2370="",E2370=""),"",ROUND(D2370*E2370,2))</f>
        <v/>
      </c>
      <c r="G2370" s="395"/>
      <c r="H2370" s="91">
        <f t="shared" ref="H2370:H2433" si="188">IF(G2370="Sim",IF(OR(F2370="",D2370="",L2370=""),"",IF(L2370="Sim",ROUND(F2370-D2370,2),0)),0)</f>
        <v>0</v>
      </c>
      <c r="I2370" s="91" t="str">
        <f t="shared" ref="I2370:I2433" si="189">IF(G2370="Sim",0,IF(OR(F2370="",L2370=""),"",F2370))</f>
        <v/>
      </c>
      <c r="J2370" s="91" t="str">
        <f t="shared" ref="J2370:J2433" si="190">IF(G2370="Sim",0,IF(OR(F2370="",D2370="",L2370=""),"",IF(L2370="Sim",ROUND(F2370-D2370,2),0)))</f>
        <v/>
      </c>
      <c r="K2370" s="92" t="str">
        <f>IF(AND(A2370="",B2370="",D2370="",G2370=""),"",IF(AND(A2370&lt;&gt;"",COUNTIF($A$2:$A$5001,A2370)&gt;1),"NUMERO_PC duplicado",IF(B2370="","DATA_PC vazia",IF(NOT(ISNUMBER(B2370)),"DATA_PC invalida",IF(OR(C2370="",C2370="Fora dos ciclos"),"CICLO_PC nao identificado",IF(OR(D2370="",D2370=0),"VALOR_PC vazio ou zero",IF(AND(G2370&lt;&gt;"Sim",G2370&lt;&gt;"Nao",G2370&lt;&gt;""),"PC_PAGO_A_CONTRATADA invalido",IF(AND(C2370&lt;&gt;"C0",IFERROR(INDEX(parametros!$A$2:$A$6,MATCH(C2370,parametros!$B$2:$B$6,0)),"")="Sim",IFERROR(INDEX(parametros!$H$2:$H$6,MATCH(C2370,parametros!$B$2:$B$6,0)),"")=""),"INICIO_EFEITO ausente: PC "&amp;A2370&amp;" - "&amp;C2370,IF(L2370="","EFEITO_PC nao calculado: PC "&amp;A2370&amp;" - "&amp;C2370,"OK")))))))))</f>
        <v/>
      </c>
      <c r="L2370" s="92" t="str">
        <f>IF(AND(A2370="",B2370="",D2370="",G2370=""),"",IF(OR(B2370="",NOT(ISNUMBER(B2370)),C2370="",C2370="Fora dos ciclos"),"",IF(C2370="C0","Nao",IF(IFERROR(INDEX(parametros!$A$2:$A$6,MATCH(C2370,parametros!$B$2:$B$6,0)),"")&lt;&gt;"Sim","Nao",IF(IFERROR(INDEX(parametros!$H$2:$H$6,MATCH(C2370,parametros!$B$2:$B$6,0)),"")="","",IF(B2370&gt;=IFERROR(INDEX(parametros!$H$2:$H$6,MATCH(C2370,parametros!$B$2:$B$6,0)),""),"Sim","Nao"))))))</f>
        <v/>
      </c>
      <c r="T2370" s="156"/>
      <c r="U2370" s="214" t="str">
        <f t="shared" ref="U2370:U2433" si="191">IF(OR($D2370="",$H2370=""),"",ROUND($D2370+$H2370,2))</f>
        <v/>
      </c>
      <c r="V2370" s="212" t="s">
        <v>50</v>
      </c>
      <c r="W2370" s="100" t="s">
        <v>168</v>
      </c>
      <c r="X2370" s="100" t="s">
        <v>169</v>
      </c>
      <c r="Y2370" s="101" t="s">
        <v>170</v>
      </c>
      <c r="Z2370" s="101" t="s">
        <v>171</v>
      </c>
      <c r="AA2370" s="101" t="s">
        <v>50</v>
      </c>
      <c r="AB2370" s="101" t="s">
        <v>172</v>
      </c>
      <c r="AC2370" s="102" t="s">
        <v>173</v>
      </c>
    </row>
    <row r="2371" spans="1:29" ht="25.5" customHeight="1" x14ac:dyDescent="0.35">
      <c r="A2371" s="392"/>
      <c r="B2371" s="393"/>
      <c r="C2371" s="99" t="str">
        <f>IF(B2371="","",IF(NOT(ISNUMBER(B2371)),"DATA_PC invalida",IF(NOT(ISNUMBER(parametros!$C$2)),"Fora dos ciclos",IF(OR(B2371&lt;parametros!$C$2,(YEAR(B2371)-YEAR(parametros!$C$2))*12+MONTH(B2371)-MONTH(parametros!$C$2)&gt;59),"Fora dos ciclos","C"&amp;INT(((YEAR(B2371)-YEAR(parametros!$C$2))*12+MONTH(B2371)-MONTH(parametros!$C$2))/12)))))</f>
        <v/>
      </c>
      <c r="D2371" s="394"/>
      <c r="E2371" s="78" t="str">
        <f>IF(C2371="","",IFERROR(VLOOKUP(C2371,parametros!$A$11:$E$15,5,0),""))</f>
        <v/>
      </c>
      <c r="F2371" s="79" t="str">
        <f t="shared" si="187"/>
        <v/>
      </c>
      <c r="G2371" s="395"/>
      <c r="H2371" s="91">
        <f t="shared" si="188"/>
        <v>0</v>
      </c>
      <c r="I2371" s="91" t="str">
        <f t="shared" si="189"/>
        <v/>
      </c>
      <c r="J2371" s="91" t="str">
        <f t="shared" si="190"/>
        <v/>
      </c>
      <c r="K2371" s="92" t="str">
        <f>IF(AND(A2371="",B2371="",D2371="",G2371=""),"",IF(AND(A2371&lt;&gt;"",COUNTIF($A$2:$A$5001,A2371)&gt;1),"NUMERO_PC duplicado",IF(B2371="","DATA_PC vazia",IF(NOT(ISNUMBER(B2371)),"DATA_PC invalida",IF(OR(C2371="",C2371="Fora dos ciclos"),"CICLO_PC nao identificado",IF(OR(D2371="",D2371=0),"VALOR_PC vazio ou zero",IF(AND(G2371&lt;&gt;"Sim",G2371&lt;&gt;"Nao",G2371&lt;&gt;""),"PC_PAGO_A_CONTRATADA invalido",IF(AND(C2371&lt;&gt;"C0",IFERROR(INDEX(parametros!$A$2:$A$6,MATCH(C2371,parametros!$B$2:$B$6,0)),"")="Sim",IFERROR(INDEX(parametros!$H$2:$H$6,MATCH(C2371,parametros!$B$2:$B$6,0)),"")=""),"INICIO_EFEITO ausente: PC "&amp;A2371&amp;" - "&amp;C2371,IF(L2371="","EFEITO_PC nao calculado: PC "&amp;A2371&amp;" - "&amp;C2371,"OK")))))))))</f>
        <v/>
      </c>
      <c r="L2371" s="92" t="str">
        <f>IF(AND(A2371="",B2371="",D2371="",G2371=""),"",IF(OR(B2371="",NOT(ISNUMBER(B2371)),C2371="",C2371="Fora dos ciclos"),"",IF(C2371="C0","Nao",IF(IFERROR(INDEX(parametros!$A$2:$A$6,MATCH(C2371,parametros!$B$2:$B$6,0)),"")&lt;&gt;"Sim","Nao",IF(IFERROR(INDEX(parametros!$H$2:$H$6,MATCH(C2371,parametros!$B$2:$B$6,0)),"")="","",IF(B2371&gt;=IFERROR(INDEX(parametros!$H$2:$H$6,MATCH(C2371,parametros!$B$2:$B$6,0)),""),"Sim","Nao"))))))</f>
        <v/>
      </c>
      <c r="T2371" s="156"/>
      <c r="U2371" s="214" t="str">
        <f t="shared" si="191"/>
        <v/>
      </c>
      <c r="V2371" s="212" t="s">
        <v>50</v>
      </c>
      <c r="W2371" s="100" t="s">
        <v>168</v>
      </c>
      <c r="X2371" s="100" t="s">
        <v>169</v>
      </c>
      <c r="Y2371" s="101" t="s">
        <v>170</v>
      </c>
      <c r="Z2371" s="101" t="s">
        <v>171</v>
      </c>
      <c r="AA2371" s="101" t="s">
        <v>50</v>
      </c>
      <c r="AB2371" s="101" t="s">
        <v>172</v>
      </c>
      <c r="AC2371" s="102" t="s">
        <v>173</v>
      </c>
    </row>
    <row r="2372" spans="1:29" ht="25.5" customHeight="1" x14ac:dyDescent="0.35">
      <c r="A2372" s="392"/>
      <c r="B2372" s="393"/>
      <c r="C2372" s="99" t="str">
        <f>IF(B2372="","",IF(NOT(ISNUMBER(B2372)),"DATA_PC invalida",IF(NOT(ISNUMBER(parametros!$C$2)),"Fora dos ciclos",IF(OR(B2372&lt;parametros!$C$2,(YEAR(B2372)-YEAR(parametros!$C$2))*12+MONTH(B2372)-MONTH(parametros!$C$2)&gt;59),"Fora dos ciclos","C"&amp;INT(((YEAR(B2372)-YEAR(parametros!$C$2))*12+MONTH(B2372)-MONTH(parametros!$C$2))/12)))))</f>
        <v/>
      </c>
      <c r="D2372" s="394"/>
      <c r="E2372" s="78" t="str">
        <f>IF(C2372="","",IFERROR(VLOOKUP(C2372,parametros!$A$11:$E$15,5,0),""))</f>
        <v/>
      </c>
      <c r="F2372" s="79" t="str">
        <f t="shared" si="187"/>
        <v/>
      </c>
      <c r="G2372" s="395"/>
      <c r="H2372" s="91">
        <f t="shared" si="188"/>
        <v>0</v>
      </c>
      <c r="I2372" s="91" t="str">
        <f t="shared" si="189"/>
        <v/>
      </c>
      <c r="J2372" s="91" t="str">
        <f t="shared" si="190"/>
        <v/>
      </c>
      <c r="K2372" s="92" t="str">
        <f>IF(AND(A2372="",B2372="",D2372="",G2372=""),"",IF(AND(A2372&lt;&gt;"",COUNTIF($A$2:$A$5001,A2372)&gt;1),"NUMERO_PC duplicado",IF(B2372="","DATA_PC vazia",IF(NOT(ISNUMBER(B2372)),"DATA_PC invalida",IF(OR(C2372="",C2372="Fora dos ciclos"),"CICLO_PC nao identificado",IF(OR(D2372="",D2372=0),"VALOR_PC vazio ou zero",IF(AND(G2372&lt;&gt;"Sim",G2372&lt;&gt;"Nao",G2372&lt;&gt;""),"PC_PAGO_A_CONTRATADA invalido",IF(AND(C2372&lt;&gt;"C0",IFERROR(INDEX(parametros!$A$2:$A$6,MATCH(C2372,parametros!$B$2:$B$6,0)),"")="Sim",IFERROR(INDEX(parametros!$H$2:$H$6,MATCH(C2372,parametros!$B$2:$B$6,0)),"")=""),"INICIO_EFEITO ausente: PC "&amp;A2372&amp;" - "&amp;C2372,IF(L2372="","EFEITO_PC nao calculado: PC "&amp;A2372&amp;" - "&amp;C2372,"OK")))))))))</f>
        <v/>
      </c>
      <c r="L2372" s="92" t="str">
        <f>IF(AND(A2372="",B2372="",D2372="",G2372=""),"",IF(OR(B2372="",NOT(ISNUMBER(B2372)),C2372="",C2372="Fora dos ciclos"),"",IF(C2372="C0","Nao",IF(IFERROR(INDEX(parametros!$A$2:$A$6,MATCH(C2372,parametros!$B$2:$B$6,0)),"")&lt;&gt;"Sim","Nao",IF(IFERROR(INDEX(parametros!$H$2:$H$6,MATCH(C2372,parametros!$B$2:$B$6,0)),"")="","",IF(B2372&gt;=IFERROR(INDEX(parametros!$H$2:$H$6,MATCH(C2372,parametros!$B$2:$B$6,0)),""),"Sim","Nao"))))))</f>
        <v/>
      </c>
      <c r="T2372" s="156"/>
      <c r="U2372" s="214" t="str">
        <f t="shared" si="191"/>
        <v/>
      </c>
      <c r="V2372" s="212" t="s">
        <v>50</v>
      </c>
      <c r="W2372" s="100" t="s">
        <v>168</v>
      </c>
      <c r="X2372" s="100" t="s">
        <v>169</v>
      </c>
      <c r="Y2372" s="101" t="s">
        <v>170</v>
      </c>
      <c r="Z2372" s="101" t="s">
        <v>171</v>
      </c>
      <c r="AA2372" s="101" t="s">
        <v>50</v>
      </c>
      <c r="AB2372" s="101" t="s">
        <v>172</v>
      </c>
      <c r="AC2372" s="102" t="s">
        <v>173</v>
      </c>
    </row>
    <row r="2373" spans="1:29" ht="25.5" customHeight="1" x14ac:dyDescent="0.35">
      <c r="A2373" s="392"/>
      <c r="B2373" s="393"/>
      <c r="C2373" s="99" t="str">
        <f>IF(B2373="","",IF(NOT(ISNUMBER(B2373)),"DATA_PC invalida",IF(NOT(ISNUMBER(parametros!$C$2)),"Fora dos ciclos",IF(OR(B2373&lt;parametros!$C$2,(YEAR(B2373)-YEAR(parametros!$C$2))*12+MONTH(B2373)-MONTH(parametros!$C$2)&gt;59),"Fora dos ciclos","C"&amp;INT(((YEAR(B2373)-YEAR(parametros!$C$2))*12+MONTH(B2373)-MONTH(parametros!$C$2))/12)))))</f>
        <v/>
      </c>
      <c r="D2373" s="394"/>
      <c r="E2373" s="78" t="str">
        <f>IF(C2373="","",IFERROR(VLOOKUP(C2373,parametros!$A$11:$E$15,5,0),""))</f>
        <v/>
      </c>
      <c r="F2373" s="79" t="str">
        <f t="shared" si="187"/>
        <v/>
      </c>
      <c r="G2373" s="395"/>
      <c r="H2373" s="91">
        <f t="shared" si="188"/>
        <v>0</v>
      </c>
      <c r="I2373" s="91" t="str">
        <f t="shared" si="189"/>
        <v/>
      </c>
      <c r="J2373" s="91" t="str">
        <f t="shared" si="190"/>
        <v/>
      </c>
      <c r="K2373" s="92" t="str">
        <f>IF(AND(A2373="",B2373="",D2373="",G2373=""),"",IF(AND(A2373&lt;&gt;"",COUNTIF($A$2:$A$5001,A2373)&gt;1),"NUMERO_PC duplicado",IF(B2373="","DATA_PC vazia",IF(NOT(ISNUMBER(B2373)),"DATA_PC invalida",IF(OR(C2373="",C2373="Fora dos ciclos"),"CICLO_PC nao identificado",IF(OR(D2373="",D2373=0),"VALOR_PC vazio ou zero",IF(AND(G2373&lt;&gt;"Sim",G2373&lt;&gt;"Nao",G2373&lt;&gt;""),"PC_PAGO_A_CONTRATADA invalido",IF(AND(C2373&lt;&gt;"C0",IFERROR(INDEX(parametros!$A$2:$A$6,MATCH(C2373,parametros!$B$2:$B$6,0)),"")="Sim",IFERROR(INDEX(parametros!$H$2:$H$6,MATCH(C2373,parametros!$B$2:$B$6,0)),"")=""),"INICIO_EFEITO ausente: PC "&amp;A2373&amp;" - "&amp;C2373,IF(L2373="","EFEITO_PC nao calculado: PC "&amp;A2373&amp;" - "&amp;C2373,"OK")))))))))</f>
        <v/>
      </c>
      <c r="L2373" s="92" t="str">
        <f>IF(AND(A2373="",B2373="",D2373="",G2373=""),"",IF(OR(B2373="",NOT(ISNUMBER(B2373)),C2373="",C2373="Fora dos ciclos"),"",IF(C2373="C0","Nao",IF(IFERROR(INDEX(parametros!$A$2:$A$6,MATCH(C2373,parametros!$B$2:$B$6,0)),"")&lt;&gt;"Sim","Nao",IF(IFERROR(INDEX(parametros!$H$2:$H$6,MATCH(C2373,parametros!$B$2:$B$6,0)),"")="","",IF(B2373&gt;=IFERROR(INDEX(parametros!$H$2:$H$6,MATCH(C2373,parametros!$B$2:$B$6,0)),""),"Sim","Nao"))))))</f>
        <v/>
      </c>
      <c r="T2373" s="156"/>
      <c r="U2373" s="214" t="str">
        <f t="shared" si="191"/>
        <v/>
      </c>
      <c r="V2373" s="212" t="s">
        <v>50</v>
      </c>
      <c r="W2373" s="100" t="s">
        <v>168</v>
      </c>
      <c r="X2373" s="100" t="s">
        <v>169</v>
      </c>
      <c r="Y2373" s="101" t="s">
        <v>170</v>
      </c>
      <c r="Z2373" s="101" t="s">
        <v>171</v>
      </c>
      <c r="AA2373" s="101" t="s">
        <v>50</v>
      </c>
      <c r="AB2373" s="101" t="s">
        <v>172</v>
      </c>
      <c r="AC2373" s="102" t="s">
        <v>173</v>
      </c>
    </row>
    <row r="2374" spans="1:29" ht="25.5" customHeight="1" x14ac:dyDescent="0.35">
      <c r="A2374" s="392"/>
      <c r="B2374" s="393"/>
      <c r="C2374" s="99" t="str">
        <f>IF(B2374="","",IF(NOT(ISNUMBER(B2374)),"DATA_PC invalida",IF(NOT(ISNUMBER(parametros!$C$2)),"Fora dos ciclos",IF(OR(B2374&lt;parametros!$C$2,(YEAR(B2374)-YEAR(parametros!$C$2))*12+MONTH(B2374)-MONTH(parametros!$C$2)&gt;59),"Fora dos ciclos","C"&amp;INT(((YEAR(B2374)-YEAR(parametros!$C$2))*12+MONTH(B2374)-MONTH(parametros!$C$2))/12)))))</f>
        <v/>
      </c>
      <c r="D2374" s="394"/>
      <c r="E2374" s="78" t="str">
        <f>IF(C2374="","",IFERROR(VLOOKUP(C2374,parametros!$A$11:$E$15,5,0),""))</f>
        <v/>
      </c>
      <c r="F2374" s="79" t="str">
        <f t="shared" si="187"/>
        <v/>
      </c>
      <c r="G2374" s="395"/>
      <c r="H2374" s="91">
        <f t="shared" si="188"/>
        <v>0</v>
      </c>
      <c r="I2374" s="91" t="str">
        <f t="shared" si="189"/>
        <v/>
      </c>
      <c r="J2374" s="91" t="str">
        <f t="shared" si="190"/>
        <v/>
      </c>
      <c r="K2374" s="92" t="str">
        <f>IF(AND(A2374="",B2374="",D2374="",G2374=""),"",IF(AND(A2374&lt;&gt;"",COUNTIF($A$2:$A$5001,A2374)&gt;1),"NUMERO_PC duplicado",IF(B2374="","DATA_PC vazia",IF(NOT(ISNUMBER(B2374)),"DATA_PC invalida",IF(OR(C2374="",C2374="Fora dos ciclos"),"CICLO_PC nao identificado",IF(OR(D2374="",D2374=0),"VALOR_PC vazio ou zero",IF(AND(G2374&lt;&gt;"Sim",G2374&lt;&gt;"Nao",G2374&lt;&gt;""),"PC_PAGO_A_CONTRATADA invalido",IF(AND(C2374&lt;&gt;"C0",IFERROR(INDEX(parametros!$A$2:$A$6,MATCH(C2374,parametros!$B$2:$B$6,0)),"")="Sim",IFERROR(INDEX(parametros!$H$2:$H$6,MATCH(C2374,parametros!$B$2:$B$6,0)),"")=""),"INICIO_EFEITO ausente: PC "&amp;A2374&amp;" - "&amp;C2374,IF(L2374="","EFEITO_PC nao calculado: PC "&amp;A2374&amp;" - "&amp;C2374,"OK")))))))))</f>
        <v/>
      </c>
      <c r="L2374" s="92" t="str">
        <f>IF(AND(A2374="",B2374="",D2374="",G2374=""),"",IF(OR(B2374="",NOT(ISNUMBER(B2374)),C2374="",C2374="Fora dos ciclos"),"",IF(C2374="C0","Nao",IF(IFERROR(INDEX(parametros!$A$2:$A$6,MATCH(C2374,parametros!$B$2:$B$6,0)),"")&lt;&gt;"Sim","Nao",IF(IFERROR(INDEX(parametros!$H$2:$H$6,MATCH(C2374,parametros!$B$2:$B$6,0)),"")="","",IF(B2374&gt;=IFERROR(INDEX(parametros!$H$2:$H$6,MATCH(C2374,parametros!$B$2:$B$6,0)),""),"Sim","Nao"))))))</f>
        <v/>
      </c>
      <c r="T2374" s="156"/>
      <c r="U2374" s="214" t="str">
        <f t="shared" si="191"/>
        <v/>
      </c>
      <c r="V2374" s="212" t="s">
        <v>50</v>
      </c>
      <c r="W2374" s="100" t="s">
        <v>168</v>
      </c>
      <c r="X2374" s="100" t="s">
        <v>169</v>
      </c>
      <c r="Y2374" s="101" t="s">
        <v>170</v>
      </c>
      <c r="Z2374" s="101" t="s">
        <v>171</v>
      </c>
      <c r="AA2374" s="101" t="s">
        <v>50</v>
      </c>
      <c r="AB2374" s="101" t="s">
        <v>172</v>
      </c>
      <c r="AC2374" s="102" t="s">
        <v>173</v>
      </c>
    </row>
    <row r="2375" spans="1:29" ht="25.5" customHeight="1" x14ac:dyDescent="0.35">
      <c r="A2375" s="392"/>
      <c r="B2375" s="393"/>
      <c r="C2375" s="99" t="str">
        <f>IF(B2375="","",IF(NOT(ISNUMBER(B2375)),"DATA_PC invalida",IF(NOT(ISNUMBER(parametros!$C$2)),"Fora dos ciclos",IF(OR(B2375&lt;parametros!$C$2,(YEAR(B2375)-YEAR(parametros!$C$2))*12+MONTH(B2375)-MONTH(parametros!$C$2)&gt;59),"Fora dos ciclos","C"&amp;INT(((YEAR(B2375)-YEAR(parametros!$C$2))*12+MONTH(B2375)-MONTH(parametros!$C$2))/12)))))</f>
        <v/>
      </c>
      <c r="D2375" s="394"/>
      <c r="E2375" s="78" t="str">
        <f>IF(C2375="","",IFERROR(VLOOKUP(C2375,parametros!$A$11:$E$15,5,0),""))</f>
        <v/>
      </c>
      <c r="F2375" s="79" t="str">
        <f t="shared" si="187"/>
        <v/>
      </c>
      <c r="G2375" s="395"/>
      <c r="H2375" s="91">
        <f t="shared" si="188"/>
        <v>0</v>
      </c>
      <c r="I2375" s="91" t="str">
        <f t="shared" si="189"/>
        <v/>
      </c>
      <c r="J2375" s="91" t="str">
        <f t="shared" si="190"/>
        <v/>
      </c>
      <c r="K2375" s="92" t="str">
        <f>IF(AND(A2375="",B2375="",D2375="",G2375=""),"",IF(AND(A2375&lt;&gt;"",COUNTIF($A$2:$A$5001,A2375)&gt;1),"NUMERO_PC duplicado",IF(B2375="","DATA_PC vazia",IF(NOT(ISNUMBER(B2375)),"DATA_PC invalida",IF(OR(C2375="",C2375="Fora dos ciclos"),"CICLO_PC nao identificado",IF(OR(D2375="",D2375=0),"VALOR_PC vazio ou zero",IF(AND(G2375&lt;&gt;"Sim",G2375&lt;&gt;"Nao",G2375&lt;&gt;""),"PC_PAGO_A_CONTRATADA invalido",IF(AND(C2375&lt;&gt;"C0",IFERROR(INDEX(parametros!$A$2:$A$6,MATCH(C2375,parametros!$B$2:$B$6,0)),"")="Sim",IFERROR(INDEX(parametros!$H$2:$H$6,MATCH(C2375,parametros!$B$2:$B$6,0)),"")=""),"INICIO_EFEITO ausente: PC "&amp;A2375&amp;" - "&amp;C2375,IF(L2375="","EFEITO_PC nao calculado: PC "&amp;A2375&amp;" - "&amp;C2375,"OK")))))))))</f>
        <v/>
      </c>
      <c r="L2375" s="92" t="str">
        <f>IF(AND(A2375="",B2375="",D2375="",G2375=""),"",IF(OR(B2375="",NOT(ISNUMBER(B2375)),C2375="",C2375="Fora dos ciclos"),"",IF(C2375="C0","Nao",IF(IFERROR(INDEX(parametros!$A$2:$A$6,MATCH(C2375,parametros!$B$2:$B$6,0)),"")&lt;&gt;"Sim","Nao",IF(IFERROR(INDEX(parametros!$H$2:$H$6,MATCH(C2375,parametros!$B$2:$B$6,0)),"")="","",IF(B2375&gt;=IFERROR(INDEX(parametros!$H$2:$H$6,MATCH(C2375,parametros!$B$2:$B$6,0)),""),"Sim","Nao"))))))</f>
        <v/>
      </c>
      <c r="T2375" s="156"/>
      <c r="U2375" s="214" t="str">
        <f t="shared" si="191"/>
        <v/>
      </c>
      <c r="V2375" s="212" t="s">
        <v>50</v>
      </c>
      <c r="W2375" s="100" t="s">
        <v>168</v>
      </c>
      <c r="X2375" s="100" t="s">
        <v>169</v>
      </c>
      <c r="Y2375" s="101" t="s">
        <v>170</v>
      </c>
      <c r="Z2375" s="101" t="s">
        <v>171</v>
      </c>
      <c r="AA2375" s="101" t="s">
        <v>50</v>
      </c>
      <c r="AB2375" s="101" t="s">
        <v>172</v>
      </c>
      <c r="AC2375" s="102" t="s">
        <v>173</v>
      </c>
    </row>
    <row r="2376" spans="1:29" ht="25.5" customHeight="1" x14ac:dyDescent="0.35">
      <c r="A2376" s="392"/>
      <c r="B2376" s="393"/>
      <c r="C2376" s="99" t="str">
        <f>IF(B2376="","",IF(NOT(ISNUMBER(B2376)),"DATA_PC invalida",IF(NOT(ISNUMBER(parametros!$C$2)),"Fora dos ciclos",IF(OR(B2376&lt;parametros!$C$2,(YEAR(B2376)-YEAR(parametros!$C$2))*12+MONTH(B2376)-MONTH(parametros!$C$2)&gt;59),"Fora dos ciclos","C"&amp;INT(((YEAR(B2376)-YEAR(parametros!$C$2))*12+MONTH(B2376)-MONTH(parametros!$C$2))/12)))))</f>
        <v/>
      </c>
      <c r="D2376" s="394"/>
      <c r="E2376" s="78" t="str">
        <f>IF(C2376="","",IFERROR(VLOOKUP(C2376,parametros!$A$11:$E$15,5,0),""))</f>
        <v/>
      </c>
      <c r="F2376" s="79" t="str">
        <f t="shared" si="187"/>
        <v/>
      </c>
      <c r="G2376" s="395"/>
      <c r="H2376" s="91">
        <f t="shared" si="188"/>
        <v>0</v>
      </c>
      <c r="I2376" s="91" t="str">
        <f t="shared" si="189"/>
        <v/>
      </c>
      <c r="J2376" s="91" t="str">
        <f t="shared" si="190"/>
        <v/>
      </c>
      <c r="K2376" s="92" t="str">
        <f>IF(AND(A2376="",B2376="",D2376="",G2376=""),"",IF(AND(A2376&lt;&gt;"",COUNTIF($A$2:$A$5001,A2376)&gt;1),"NUMERO_PC duplicado",IF(B2376="","DATA_PC vazia",IF(NOT(ISNUMBER(B2376)),"DATA_PC invalida",IF(OR(C2376="",C2376="Fora dos ciclos"),"CICLO_PC nao identificado",IF(OR(D2376="",D2376=0),"VALOR_PC vazio ou zero",IF(AND(G2376&lt;&gt;"Sim",G2376&lt;&gt;"Nao",G2376&lt;&gt;""),"PC_PAGO_A_CONTRATADA invalido",IF(AND(C2376&lt;&gt;"C0",IFERROR(INDEX(parametros!$A$2:$A$6,MATCH(C2376,parametros!$B$2:$B$6,0)),"")="Sim",IFERROR(INDEX(parametros!$H$2:$H$6,MATCH(C2376,parametros!$B$2:$B$6,0)),"")=""),"INICIO_EFEITO ausente: PC "&amp;A2376&amp;" - "&amp;C2376,IF(L2376="","EFEITO_PC nao calculado: PC "&amp;A2376&amp;" - "&amp;C2376,"OK")))))))))</f>
        <v/>
      </c>
      <c r="L2376" s="92" t="str">
        <f>IF(AND(A2376="",B2376="",D2376="",G2376=""),"",IF(OR(B2376="",NOT(ISNUMBER(B2376)),C2376="",C2376="Fora dos ciclos"),"",IF(C2376="C0","Nao",IF(IFERROR(INDEX(parametros!$A$2:$A$6,MATCH(C2376,parametros!$B$2:$B$6,0)),"")&lt;&gt;"Sim","Nao",IF(IFERROR(INDEX(parametros!$H$2:$H$6,MATCH(C2376,parametros!$B$2:$B$6,0)),"")="","",IF(B2376&gt;=IFERROR(INDEX(parametros!$H$2:$H$6,MATCH(C2376,parametros!$B$2:$B$6,0)),""),"Sim","Nao"))))))</f>
        <v/>
      </c>
      <c r="T2376" s="156"/>
      <c r="U2376" s="214" t="str">
        <f t="shared" si="191"/>
        <v/>
      </c>
      <c r="V2376" s="212" t="s">
        <v>50</v>
      </c>
      <c r="W2376" s="100" t="s">
        <v>168</v>
      </c>
      <c r="X2376" s="100" t="s">
        <v>169</v>
      </c>
      <c r="Y2376" s="101" t="s">
        <v>170</v>
      </c>
      <c r="Z2376" s="101" t="s">
        <v>171</v>
      </c>
      <c r="AA2376" s="101" t="s">
        <v>50</v>
      </c>
      <c r="AB2376" s="101" t="s">
        <v>172</v>
      </c>
      <c r="AC2376" s="102" t="s">
        <v>173</v>
      </c>
    </row>
    <row r="2377" spans="1:29" ht="25.5" customHeight="1" x14ac:dyDescent="0.35">
      <c r="A2377" s="392"/>
      <c r="B2377" s="393"/>
      <c r="C2377" s="99" t="str">
        <f>IF(B2377="","",IF(NOT(ISNUMBER(B2377)),"DATA_PC invalida",IF(NOT(ISNUMBER(parametros!$C$2)),"Fora dos ciclos",IF(OR(B2377&lt;parametros!$C$2,(YEAR(B2377)-YEAR(parametros!$C$2))*12+MONTH(B2377)-MONTH(parametros!$C$2)&gt;59),"Fora dos ciclos","C"&amp;INT(((YEAR(B2377)-YEAR(parametros!$C$2))*12+MONTH(B2377)-MONTH(parametros!$C$2))/12)))))</f>
        <v/>
      </c>
      <c r="D2377" s="394"/>
      <c r="E2377" s="78" t="str">
        <f>IF(C2377="","",IFERROR(VLOOKUP(C2377,parametros!$A$11:$E$15,5,0),""))</f>
        <v/>
      </c>
      <c r="F2377" s="79" t="str">
        <f t="shared" si="187"/>
        <v/>
      </c>
      <c r="G2377" s="395"/>
      <c r="H2377" s="91">
        <f t="shared" si="188"/>
        <v>0</v>
      </c>
      <c r="I2377" s="91" t="str">
        <f t="shared" si="189"/>
        <v/>
      </c>
      <c r="J2377" s="91" t="str">
        <f t="shared" si="190"/>
        <v/>
      </c>
      <c r="K2377" s="92" t="str">
        <f>IF(AND(A2377="",B2377="",D2377="",G2377=""),"",IF(AND(A2377&lt;&gt;"",COUNTIF($A$2:$A$5001,A2377)&gt;1),"NUMERO_PC duplicado",IF(B2377="","DATA_PC vazia",IF(NOT(ISNUMBER(B2377)),"DATA_PC invalida",IF(OR(C2377="",C2377="Fora dos ciclos"),"CICLO_PC nao identificado",IF(OR(D2377="",D2377=0),"VALOR_PC vazio ou zero",IF(AND(G2377&lt;&gt;"Sim",G2377&lt;&gt;"Nao",G2377&lt;&gt;""),"PC_PAGO_A_CONTRATADA invalido",IF(AND(C2377&lt;&gt;"C0",IFERROR(INDEX(parametros!$A$2:$A$6,MATCH(C2377,parametros!$B$2:$B$6,0)),"")="Sim",IFERROR(INDEX(parametros!$H$2:$H$6,MATCH(C2377,parametros!$B$2:$B$6,0)),"")=""),"INICIO_EFEITO ausente: PC "&amp;A2377&amp;" - "&amp;C2377,IF(L2377="","EFEITO_PC nao calculado: PC "&amp;A2377&amp;" - "&amp;C2377,"OK")))))))))</f>
        <v/>
      </c>
      <c r="L2377" s="92" t="str">
        <f>IF(AND(A2377="",B2377="",D2377="",G2377=""),"",IF(OR(B2377="",NOT(ISNUMBER(B2377)),C2377="",C2377="Fora dos ciclos"),"",IF(C2377="C0","Nao",IF(IFERROR(INDEX(parametros!$A$2:$A$6,MATCH(C2377,parametros!$B$2:$B$6,0)),"")&lt;&gt;"Sim","Nao",IF(IFERROR(INDEX(parametros!$H$2:$H$6,MATCH(C2377,parametros!$B$2:$B$6,0)),"")="","",IF(B2377&gt;=IFERROR(INDEX(parametros!$H$2:$H$6,MATCH(C2377,parametros!$B$2:$B$6,0)),""),"Sim","Nao"))))))</f>
        <v/>
      </c>
      <c r="T2377" s="156"/>
      <c r="U2377" s="214" t="str">
        <f t="shared" si="191"/>
        <v/>
      </c>
      <c r="V2377" s="212" t="s">
        <v>50</v>
      </c>
      <c r="W2377" s="100" t="s">
        <v>168</v>
      </c>
      <c r="X2377" s="100" t="s">
        <v>169</v>
      </c>
      <c r="Y2377" s="101" t="s">
        <v>170</v>
      </c>
      <c r="Z2377" s="101" t="s">
        <v>171</v>
      </c>
      <c r="AA2377" s="101" t="s">
        <v>50</v>
      </c>
      <c r="AB2377" s="101" t="s">
        <v>172</v>
      </c>
      <c r="AC2377" s="102" t="s">
        <v>173</v>
      </c>
    </row>
    <row r="2378" spans="1:29" ht="25.5" customHeight="1" x14ac:dyDescent="0.35">
      <c r="A2378" s="392"/>
      <c r="B2378" s="393"/>
      <c r="C2378" s="99" t="str">
        <f>IF(B2378="","",IF(NOT(ISNUMBER(B2378)),"DATA_PC invalida",IF(NOT(ISNUMBER(parametros!$C$2)),"Fora dos ciclos",IF(OR(B2378&lt;parametros!$C$2,(YEAR(B2378)-YEAR(parametros!$C$2))*12+MONTH(B2378)-MONTH(parametros!$C$2)&gt;59),"Fora dos ciclos","C"&amp;INT(((YEAR(B2378)-YEAR(parametros!$C$2))*12+MONTH(B2378)-MONTH(parametros!$C$2))/12)))))</f>
        <v/>
      </c>
      <c r="D2378" s="394"/>
      <c r="E2378" s="78" t="str">
        <f>IF(C2378="","",IFERROR(VLOOKUP(C2378,parametros!$A$11:$E$15,5,0),""))</f>
        <v/>
      </c>
      <c r="F2378" s="79" t="str">
        <f t="shared" si="187"/>
        <v/>
      </c>
      <c r="G2378" s="395"/>
      <c r="H2378" s="91">
        <f t="shared" si="188"/>
        <v>0</v>
      </c>
      <c r="I2378" s="91" t="str">
        <f t="shared" si="189"/>
        <v/>
      </c>
      <c r="J2378" s="91" t="str">
        <f t="shared" si="190"/>
        <v/>
      </c>
      <c r="K2378" s="92" t="str">
        <f>IF(AND(A2378="",B2378="",D2378="",G2378=""),"",IF(AND(A2378&lt;&gt;"",COUNTIF($A$2:$A$5001,A2378)&gt;1),"NUMERO_PC duplicado",IF(B2378="","DATA_PC vazia",IF(NOT(ISNUMBER(B2378)),"DATA_PC invalida",IF(OR(C2378="",C2378="Fora dos ciclos"),"CICLO_PC nao identificado",IF(OR(D2378="",D2378=0),"VALOR_PC vazio ou zero",IF(AND(G2378&lt;&gt;"Sim",G2378&lt;&gt;"Nao",G2378&lt;&gt;""),"PC_PAGO_A_CONTRATADA invalido",IF(AND(C2378&lt;&gt;"C0",IFERROR(INDEX(parametros!$A$2:$A$6,MATCH(C2378,parametros!$B$2:$B$6,0)),"")="Sim",IFERROR(INDEX(parametros!$H$2:$H$6,MATCH(C2378,parametros!$B$2:$B$6,0)),"")=""),"INICIO_EFEITO ausente: PC "&amp;A2378&amp;" - "&amp;C2378,IF(L2378="","EFEITO_PC nao calculado: PC "&amp;A2378&amp;" - "&amp;C2378,"OK")))))))))</f>
        <v/>
      </c>
      <c r="L2378" s="92" t="str">
        <f>IF(AND(A2378="",B2378="",D2378="",G2378=""),"",IF(OR(B2378="",NOT(ISNUMBER(B2378)),C2378="",C2378="Fora dos ciclos"),"",IF(C2378="C0","Nao",IF(IFERROR(INDEX(parametros!$A$2:$A$6,MATCH(C2378,parametros!$B$2:$B$6,0)),"")&lt;&gt;"Sim","Nao",IF(IFERROR(INDEX(parametros!$H$2:$H$6,MATCH(C2378,parametros!$B$2:$B$6,0)),"")="","",IF(B2378&gt;=IFERROR(INDEX(parametros!$H$2:$H$6,MATCH(C2378,parametros!$B$2:$B$6,0)),""),"Sim","Nao"))))))</f>
        <v/>
      </c>
      <c r="T2378" s="156"/>
      <c r="U2378" s="214" t="str">
        <f t="shared" si="191"/>
        <v/>
      </c>
      <c r="V2378" s="212" t="s">
        <v>50</v>
      </c>
      <c r="W2378" s="100" t="s">
        <v>168</v>
      </c>
      <c r="X2378" s="100" t="s">
        <v>169</v>
      </c>
      <c r="Y2378" s="101" t="s">
        <v>170</v>
      </c>
      <c r="Z2378" s="101" t="s">
        <v>171</v>
      </c>
      <c r="AA2378" s="101" t="s">
        <v>50</v>
      </c>
      <c r="AB2378" s="101" t="s">
        <v>172</v>
      </c>
      <c r="AC2378" s="102" t="s">
        <v>173</v>
      </c>
    </row>
    <row r="2379" spans="1:29" ht="25.5" customHeight="1" x14ac:dyDescent="0.35">
      <c r="A2379" s="392"/>
      <c r="B2379" s="393"/>
      <c r="C2379" s="99" t="str">
        <f>IF(B2379="","",IF(NOT(ISNUMBER(B2379)),"DATA_PC invalida",IF(NOT(ISNUMBER(parametros!$C$2)),"Fora dos ciclos",IF(OR(B2379&lt;parametros!$C$2,(YEAR(B2379)-YEAR(parametros!$C$2))*12+MONTH(B2379)-MONTH(parametros!$C$2)&gt;59),"Fora dos ciclos","C"&amp;INT(((YEAR(B2379)-YEAR(parametros!$C$2))*12+MONTH(B2379)-MONTH(parametros!$C$2))/12)))))</f>
        <v/>
      </c>
      <c r="D2379" s="394"/>
      <c r="E2379" s="78" t="str">
        <f>IF(C2379="","",IFERROR(VLOOKUP(C2379,parametros!$A$11:$E$15,5,0),""))</f>
        <v/>
      </c>
      <c r="F2379" s="79" t="str">
        <f t="shared" si="187"/>
        <v/>
      </c>
      <c r="G2379" s="395"/>
      <c r="H2379" s="91">
        <f t="shared" si="188"/>
        <v>0</v>
      </c>
      <c r="I2379" s="91" t="str">
        <f t="shared" si="189"/>
        <v/>
      </c>
      <c r="J2379" s="91" t="str">
        <f t="shared" si="190"/>
        <v/>
      </c>
      <c r="K2379" s="92" t="str">
        <f>IF(AND(A2379="",B2379="",D2379="",G2379=""),"",IF(AND(A2379&lt;&gt;"",COUNTIF($A$2:$A$5001,A2379)&gt;1),"NUMERO_PC duplicado",IF(B2379="","DATA_PC vazia",IF(NOT(ISNUMBER(B2379)),"DATA_PC invalida",IF(OR(C2379="",C2379="Fora dos ciclos"),"CICLO_PC nao identificado",IF(OR(D2379="",D2379=0),"VALOR_PC vazio ou zero",IF(AND(G2379&lt;&gt;"Sim",G2379&lt;&gt;"Nao",G2379&lt;&gt;""),"PC_PAGO_A_CONTRATADA invalido",IF(AND(C2379&lt;&gt;"C0",IFERROR(INDEX(parametros!$A$2:$A$6,MATCH(C2379,parametros!$B$2:$B$6,0)),"")="Sim",IFERROR(INDEX(parametros!$H$2:$H$6,MATCH(C2379,parametros!$B$2:$B$6,0)),"")=""),"INICIO_EFEITO ausente: PC "&amp;A2379&amp;" - "&amp;C2379,IF(L2379="","EFEITO_PC nao calculado: PC "&amp;A2379&amp;" - "&amp;C2379,"OK")))))))))</f>
        <v/>
      </c>
      <c r="L2379" s="92" t="str">
        <f>IF(AND(A2379="",B2379="",D2379="",G2379=""),"",IF(OR(B2379="",NOT(ISNUMBER(B2379)),C2379="",C2379="Fora dos ciclos"),"",IF(C2379="C0","Nao",IF(IFERROR(INDEX(parametros!$A$2:$A$6,MATCH(C2379,parametros!$B$2:$B$6,0)),"")&lt;&gt;"Sim","Nao",IF(IFERROR(INDEX(parametros!$H$2:$H$6,MATCH(C2379,parametros!$B$2:$B$6,0)),"")="","",IF(B2379&gt;=IFERROR(INDEX(parametros!$H$2:$H$6,MATCH(C2379,parametros!$B$2:$B$6,0)),""),"Sim","Nao"))))))</f>
        <v/>
      </c>
      <c r="T2379" s="156"/>
      <c r="U2379" s="214" t="str">
        <f t="shared" si="191"/>
        <v/>
      </c>
      <c r="V2379" s="212" t="s">
        <v>50</v>
      </c>
      <c r="W2379" s="100" t="s">
        <v>168</v>
      </c>
      <c r="X2379" s="100" t="s">
        <v>169</v>
      </c>
      <c r="Y2379" s="101" t="s">
        <v>170</v>
      </c>
      <c r="Z2379" s="101" t="s">
        <v>171</v>
      </c>
      <c r="AA2379" s="101" t="s">
        <v>50</v>
      </c>
      <c r="AB2379" s="101" t="s">
        <v>172</v>
      </c>
      <c r="AC2379" s="102" t="s">
        <v>173</v>
      </c>
    </row>
    <row r="2380" spans="1:29" ht="25.5" customHeight="1" x14ac:dyDescent="0.35">
      <c r="A2380" s="392"/>
      <c r="B2380" s="393"/>
      <c r="C2380" s="99" t="str">
        <f>IF(B2380="","",IF(NOT(ISNUMBER(B2380)),"DATA_PC invalida",IF(NOT(ISNUMBER(parametros!$C$2)),"Fora dos ciclos",IF(OR(B2380&lt;parametros!$C$2,(YEAR(B2380)-YEAR(parametros!$C$2))*12+MONTH(B2380)-MONTH(parametros!$C$2)&gt;59),"Fora dos ciclos","C"&amp;INT(((YEAR(B2380)-YEAR(parametros!$C$2))*12+MONTH(B2380)-MONTH(parametros!$C$2))/12)))))</f>
        <v/>
      </c>
      <c r="D2380" s="394"/>
      <c r="E2380" s="78" t="str">
        <f>IF(C2380="","",IFERROR(VLOOKUP(C2380,parametros!$A$11:$E$15,5,0),""))</f>
        <v/>
      </c>
      <c r="F2380" s="79" t="str">
        <f t="shared" si="187"/>
        <v/>
      </c>
      <c r="G2380" s="395"/>
      <c r="H2380" s="91">
        <f t="shared" si="188"/>
        <v>0</v>
      </c>
      <c r="I2380" s="91" t="str">
        <f t="shared" si="189"/>
        <v/>
      </c>
      <c r="J2380" s="91" t="str">
        <f t="shared" si="190"/>
        <v/>
      </c>
      <c r="K2380" s="92" t="str">
        <f>IF(AND(A2380="",B2380="",D2380="",G2380=""),"",IF(AND(A2380&lt;&gt;"",COUNTIF($A$2:$A$5001,A2380)&gt;1),"NUMERO_PC duplicado",IF(B2380="","DATA_PC vazia",IF(NOT(ISNUMBER(B2380)),"DATA_PC invalida",IF(OR(C2380="",C2380="Fora dos ciclos"),"CICLO_PC nao identificado",IF(OR(D2380="",D2380=0),"VALOR_PC vazio ou zero",IF(AND(G2380&lt;&gt;"Sim",G2380&lt;&gt;"Nao",G2380&lt;&gt;""),"PC_PAGO_A_CONTRATADA invalido",IF(AND(C2380&lt;&gt;"C0",IFERROR(INDEX(parametros!$A$2:$A$6,MATCH(C2380,parametros!$B$2:$B$6,0)),"")="Sim",IFERROR(INDEX(parametros!$H$2:$H$6,MATCH(C2380,parametros!$B$2:$B$6,0)),"")=""),"INICIO_EFEITO ausente: PC "&amp;A2380&amp;" - "&amp;C2380,IF(L2380="","EFEITO_PC nao calculado: PC "&amp;A2380&amp;" - "&amp;C2380,"OK")))))))))</f>
        <v/>
      </c>
      <c r="L2380" s="92" t="str">
        <f>IF(AND(A2380="",B2380="",D2380="",G2380=""),"",IF(OR(B2380="",NOT(ISNUMBER(B2380)),C2380="",C2380="Fora dos ciclos"),"",IF(C2380="C0","Nao",IF(IFERROR(INDEX(parametros!$A$2:$A$6,MATCH(C2380,parametros!$B$2:$B$6,0)),"")&lt;&gt;"Sim","Nao",IF(IFERROR(INDEX(parametros!$H$2:$H$6,MATCH(C2380,parametros!$B$2:$B$6,0)),"")="","",IF(B2380&gt;=IFERROR(INDEX(parametros!$H$2:$H$6,MATCH(C2380,parametros!$B$2:$B$6,0)),""),"Sim","Nao"))))))</f>
        <v/>
      </c>
      <c r="T2380" s="156"/>
      <c r="U2380" s="214" t="str">
        <f t="shared" si="191"/>
        <v/>
      </c>
      <c r="V2380" s="212" t="s">
        <v>50</v>
      </c>
      <c r="W2380" s="100" t="s">
        <v>168</v>
      </c>
      <c r="X2380" s="100" t="s">
        <v>169</v>
      </c>
      <c r="Y2380" s="101" t="s">
        <v>170</v>
      </c>
      <c r="Z2380" s="101" t="s">
        <v>171</v>
      </c>
      <c r="AA2380" s="101" t="s">
        <v>50</v>
      </c>
      <c r="AB2380" s="101" t="s">
        <v>172</v>
      </c>
      <c r="AC2380" s="102" t="s">
        <v>173</v>
      </c>
    </row>
    <row r="2381" spans="1:29" ht="25.5" customHeight="1" x14ac:dyDescent="0.35">
      <c r="A2381" s="392"/>
      <c r="B2381" s="393"/>
      <c r="C2381" s="99" t="str">
        <f>IF(B2381="","",IF(NOT(ISNUMBER(B2381)),"DATA_PC invalida",IF(NOT(ISNUMBER(parametros!$C$2)),"Fora dos ciclos",IF(OR(B2381&lt;parametros!$C$2,(YEAR(B2381)-YEAR(parametros!$C$2))*12+MONTH(B2381)-MONTH(parametros!$C$2)&gt;59),"Fora dos ciclos","C"&amp;INT(((YEAR(B2381)-YEAR(parametros!$C$2))*12+MONTH(B2381)-MONTH(parametros!$C$2))/12)))))</f>
        <v/>
      </c>
      <c r="D2381" s="394"/>
      <c r="E2381" s="78" t="str">
        <f>IF(C2381="","",IFERROR(VLOOKUP(C2381,parametros!$A$11:$E$15,5,0),""))</f>
        <v/>
      </c>
      <c r="F2381" s="79" t="str">
        <f t="shared" si="187"/>
        <v/>
      </c>
      <c r="G2381" s="395"/>
      <c r="H2381" s="91">
        <f t="shared" si="188"/>
        <v>0</v>
      </c>
      <c r="I2381" s="91" t="str">
        <f t="shared" si="189"/>
        <v/>
      </c>
      <c r="J2381" s="91" t="str">
        <f t="shared" si="190"/>
        <v/>
      </c>
      <c r="K2381" s="92" t="str">
        <f>IF(AND(A2381="",B2381="",D2381="",G2381=""),"",IF(AND(A2381&lt;&gt;"",COUNTIF($A$2:$A$5001,A2381)&gt;1),"NUMERO_PC duplicado",IF(B2381="","DATA_PC vazia",IF(NOT(ISNUMBER(B2381)),"DATA_PC invalida",IF(OR(C2381="",C2381="Fora dos ciclos"),"CICLO_PC nao identificado",IF(OR(D2381="",D2381=0),"VALOR_PC vazio ou zero",IF(AND(G2381&lt;&gt;"Sim",G2381&lt;&gt;"Nao",G2381&lt;&gt;""),"PC_PAGO_A_CONTRATADA invalido",IF(AND(C2381&lt;&gt;"C0",IFERROR(INDEX(parametros!$A$2:$A$6,MATCH(C2381,parametros!$B$2:$B$6,0)),"")="Sim",IFERROR(INDEX(parametros!$H$2:$H$6,MATCH(C2381,parametros!$B$2:$B$6,0)),"")=""),"INICIO_EFEITO ausente: PC "&amp;A2381&amp;" - "&amp;C2381,IF(L2381="","EFEITO_PC nao calculado: PC "&amp;A2381&amp;" - "&amp;C2381,"OK")))))))))</f>
        <v/>
      </c>
      <c r="L2381" s="92" t="str">
        <f>IF(AND(A2381="",B2381="",D2381="",G2381=""),"",IF(OR(B2381="",NOT(ISNUMBER(B2381)),C2381="",C2381="Fora dos ciclos"),"",IF(C2381="C0","Nao",IF(IFERROR(INDEX(parametros!$A$2:$A$6,MATCH(C2381,parametros!$B$2:$B$6,0)),"")&lt;&gt;"Sim","Nao",IF(IFERROR(INDEX(parametros!$H$2:$H$6,MATCH(C2381,parametros!$B$2:$B$6,0)),"")="","",IF(B2381&gt;=IFERROR(INDEX(parametros!$H$2:$H$6,MATCH(C2381,parametros!$B$2:$B$6,0)),""),"Sim","Nao"))))))</f>
        <v/>
      </c>
      <c r="T2381" s="156"/>
      <c r="U2381" s="214" t="str">
        <f t="shared" si="191"/>
        <v/>
      </c>
      <c r="V2381" s="212" t="s">
        <v>50</v>
      </c>
      <c r="W2381" s="100" t="s">
        <v>168</v>
      </c>
      <c r="X2381" s="100" t="s">
        <v>169</v>
      </c>
      <c r="Y2381" s="101" t="s">
        <v>170</v>
      </c>
      <c r="Z2381" s="101" t="s">
        <v>171</v>
      </c>
      <c r="AA2381" s="101" t="s">
        <v>50</v>
      </c>
      <c r="AB2381" s="101" t="s">
        <v>172</v>
      </c>
      <c r="AC2381" s="102" t="s">
        <v>173</v>
      </c>
    </row>
    <row r="2382" spans="1:29" ht="25.5" customHeight="1" x14ac:dyDescent="0.35">
      <c r="A2382" s="392"/>
      <c r="B2382" s="393"/>
      <c r="C2382" s="99" t="str">
        <f>IF(B2382="","",IF(NOT(ISNUMBER(B2382)),"DATA_PC invalida",IF(NOT(ISNUMBER(parametros!$C$2)),"Fora dos ciclos",IF(OR(B2382&lt;parametros!$C$2,(YEAR(B2382)-YEAR(parametros!$C$2))*12+MONTH(B2382)-MONTH(parametros!$C$2)&gt;59),"Fora dos ciclos","C"&amp;INT(((YEAR(B2382)-YEAR(parametros!$C$2))*12+MONTH(B2382)-MONTH(parametros!$C$2))/12)))))</f>
        <v/>
      </c>
      <c r="D2382" s="394"/>
      <c r="E2382" s="78" t="str">
        <f>IF(C2382="","",IFERROR(VLOOKUP(C2382,parametros!$A$11:$E$15,5,0),""))</f>
        <v/>
      </c>
      <c r="F2382" s="79" t="str">
        <f t="shared" si="187"/>
        <v/>
      </c>
      <c r="G2382" s="395"/>
      <c r="H2382" s="91">
        <f t="shared" si="188"/>
        <v>0</v>
      </c>
      <c r="I2382" s="91" t="str">
        <f t="shared" si="189"/>
        <v/>
      </c>
      <c r="J2382" s="91" t="str">
        <f t="shared" si="190"/>
        <v/>
      </c>
      <c r="K2382" s="92" t="str">
        <f>IF(AND(A2382="",B2382="",D2382="",G2382=""),"",IF(AND(A2382&lt;&gt;"",COUNTIF($A$2:$A$5001,A2382)&gt;1),"NUMERO_PC duplicado",IF(B2382="","DATA_PC vazia",IF(NOT(ISNUMBER(B2382)),"DATA_PC invalida",IF(OR(C2382="",C2382="Fora dos ciclos"),"CICLO_PC nao identificado",IF(OR(D2382="",D2382=0),"VALOR_PC vazio ou zero",IF(AND(G2382&lt;&gt;"Sim",G2382&lt;&gt;"Nao",G2382&lt;&gt;""),"PC_PAGO_A_CONTRATADA invalido",IF(AND(C2382&lt;&gt;"C0",IFERROR(INDEX(parametros!$A$2:$A$6,MATCH(C2382,parametros!$B$2:$B$6,0)),"")="Sim",IFERROR(INDEX(parametros!$H$2:$H$6,MATCH(C2382,parametros!$B$2:$B$6,0)),"")=""),"INICIO_EFEITO ausente: PC "&amp;A2382&amp;" - "&amp;C2382,IF(L2382="","EFEITO_PC nao calculado: PC "&amp;A2382&amp;" - "&amp;C2382,"OK")))))))))</f>
        <v/>
      </c>
      <c r="L2382" s="92" t="str">
        <f>IF(AND(A2382="",B2382="",D2382="",G2382=""),"",IF(OR(B2382="",NOT(ISNUMBER(B2382)),C2382="",C2382="Fora dos ciclos"),"",IF(C2382="C0","Nao",IF(IFERROR(INDEX(parametros!$A$2:$A$6,MATCH(C2382,parametros!$B$2:$B$6,0)),"")&lt;&gt;"Sim","Nao",IF(IFERROR(INDEX(parametros!$H$2:$H$6,MATCH(C2382,parametros!$B$2:$B$6,0)),"")="","",IF(B2382&gt;=IFERROR(INDEX(parametros!$H$2:$H$6,MATCH(C2382,parametros!$B$2:$B$6,0)),""),"Sim","Nao"))))))</f>
        <v/>
      </c>
      <c r="T2382" s="156"/>
      <c r="U2382" s="214" t="str">
        <f t="shared" si="191"/>
        <v/>
      </c>
      <c r="V2382" s="212" t="s">
        <v>50</v>
      </c>
      <c r="W2382" s="100" t="s">
        <v>168</v>
      </c>
      <c r="X2382" s="100" t="s">
        <v>169</v>
      </c>
      <c r="Y2382" s="101" t="s">
        <v>170</v>
      </c>
      <c r="Z2382" s="101" t="s">
        <v>171</v>
      </c>
      <c r="AA2382" s="101" t="s">
        <v>50</v>
      </c>
      <c r="AB2382" s="101" t="s">
        <v>172</v>
      </c>
      <c r="AC2382" s="102" t="s">
        <v>173</v>
      </c>
    </row>
    <row r="2383" spans="1:29" ht="25.5" customHeight="1" x14ac:dyDescent="0.35">
      <c r="A2383" s="392"/>
      <c r="B2383" s="393"/>
      <c r="C2383" s="99" t="str">
        <f>IF(B2383="","",IF(NOT(ISNUMBER(B2383)),"DATA_PC invalida",IF(NOT(ISNUMBER(parametros!$C$2)),"Fora dos ciclos",IF(OR(B2383&lt;parametros!$C$2,(YEAR(B2383)-YEAR(parametros!$C$2))*12+MONTH(B2383)-MONTH(parametros!$C$2)&gt;59),"Fora dos ciclos","C"&amp;INT(((YEAR(B2383)-YEAR(parametros!$C$2))*12+MONTH(B2383)-MONTH(parametros!$C$2))/12)))))</f>
        <v/>
      </c>
      <c r="D2383" s="394"/>
      <c r="E2383" s="78" t="str">
        <f>IF(C2383="","",IFERROR(VLOOKUP(C2383,parametros!$A$11:$E$15,5,0),""))</f>
        <v/>
      </c>
      <c r="F2383" s="79" t="str">
        <f t="shared" si="187"/>
        <v/>
      </c>
      <c r="G2383" s="395"/>
      <c r="H2383" s="91">
        <f t="shared" si="188"/>
        <v>0</v>
      </c>
      <c r="I2383" s="91" t="str">
        <f t="shared" si="189"/>
        <v/>
      </c>
      <c r="J2383" s="91" t="str">
        <f t="shared" si="190"/>
        <v/>
      </c>
      <c r="K2383" s="92" t="str">
        <f>IF(AND(A2383="",B2383="",D2383="",G2383=""),"",IF(AND(A2383&lt;&gt;"",COUNTIF($A$2:$A$5001,A2383)&gt;1),"NUMERO_PC duplicado",IF(B2383="","DATA_PC vazia",IF(NOT(ISNUMBER(B2383)),"DATA_PC invalida",IF(OR(C2383="",C2383="Fora dos ciclos"),"CICLO_PC nao identificado",IF(OR(D2383="",D2383=0),"VALOR_PC vazio ou zero",IF(AND(G2383&lt;&gt;"Sim",G2383&lt;&gt;"Nao",G2383&lt;&gt;""),"PC_PAGO_A_CONTRATADA invalido",IF(AND(C2383&lt;&gt;"C0",IFERROR(INDEX(parametros!$A$2:$A$6,MATCH(C2383,parametros!$B$2:$B$6,0)),"")="Sim",IFERROR(INDEX(parametros!$H$2:$H$6,MATCH(C2383,parametros!$B$2:$B$6,0)),"")=""),"INICIO_EFEITO ausente: PC "&amp;A2383&amp;" - "&amp;C2383,IF(L2383="","EFEITO_PC nao calculado: PC "&amp;A2383&amp;" - "&amp;C2383,"OK")))))))))</f>
        <v/>
      </c>
      <c r="L2383" s="92" t="str">
        <f>IF(AND(A2383="",B2383="",D2383="",G2383=""),"",IF(OR(B2383="",NOT(ISNUMBER(B2383)),C2383="",C2383="Fora dos ciclos"),"",IF(C2383="C0","Nao",IF(IFERROR(INDEX(parametros!$A$2:$A$6,MATCH(C2383,parametros!$B$2:$B$6,0)),"")&lt;&gt;"Sim","Nao",IF(IFERROR(INDEX(parametros!$H$2:$H$6,MATCH(C2383,parametros!$B$2:$B$6,0)),"")="","",IF(B2383&gt;=IFERROR(INDEX(parametros!$H$2:$H$6,MATCH(C2383,parametros!$B$2:$B$6,0)),""),"Sim","Nao"))))))</f>
        <v/>
      </c>
      <c r="T2383" s="156"/>
      <c r="U2383" s="214" t="str">
        <f t="shared" si="191"/>
        <v/>
      </c>
      <c r="V2383" s="212" t="s">
        <v>50</v>
      </c>
      <c r="W2383" s="100" t="s">
        <v>168</v>
      </c>
      <c r="X2383" s="100" t="s">
        <v>169</v>
      </c>
      <c r="Y2383" s="101" t="s">
        <v>170</v>
      </c>
      <c r="Z2383" s="101" t="s">
        <v>171</v>
      </c>
      <c r="AA2383" s="101" t="s">
        <v>50</v>
      </c>
      <c r="AB2383" s="101" t="s">
        <v>172</v>
      </c>
      <c r="AC2383" s="102" t="s">
        <v>173</v>
      </c>
    </row>
    <row r="2384" spans="1:29" ht="25.5" customHeight="1" x14ac:dyDescent="0.35">
      <c r="A2384" s="392"/>
      <c r="B2384" s="393"/>
      <c r="C2384" s="99" t="str">
        <f>IF(B2384="","",IF(NOT(ISNUMBER(B2384)),"DATA_PC invalida",IF(NOT(ISNUMBER(parametros!$C$2)),"Fora dos ciclos",IF(OR(B2384&lt;parametros!$C$2,(YEAR(B2384)-YEAR(parametros!$C$2))*12+MONTH(B2384)-MONTH(parametros!$C$2)&gt;59),"Fora dos ciclos","C"&amp;INT(((YEAR(B2384)-YEAR(parametros!$C$2))*12+MONTH(B2384)-MONTH(parametros!$C$2))/12)))))</f>
        <v/>
      </c>
      <c r="D2384" s="394"/>
      <c r="E2384" s="78" t="str">
        <f>IF(C2384="","",IFERROR(VLOOKUP(C2384,parametros!$A$11:$E$15,5,0),""))</f>
        <v/>
      </c>
      <c r="F2384" s="79" t="str">
        <f t="shared" si="187"/>
        <v/>
      </c>
      <c r="G2384" s="395"/>
      <c r="H2384" s="91">
        <f t="shared" si="188"/>
        <v>0</v>
      </c>
      <c r="I2384" s="91" t="str">
        <f t="shared" si="189"/>
        <v/>
      </c>
      <c r="J2384" s="91" t="str">
        <f t="shared" si="190"/>
        <v/>
      </c>
      <c r="K2384" s="92" t="str">
        <f>IF(AND(A2384="",B2384="",D2384="",G2384=""),"",IF(AND(A2384&lt;&gt;"",COUNTIF($A$2:$A$5001,A2384)&gt;1),"NUMERO_PC duplicado",IF(B2384="","DATA_PC vazia",IF(NOT(ISNUMBER(B2384)),"DATA_PC invalida",IF(OR(C2384="",C2384="Fora dos ciclos"),"CICLO_PC nao identificado",IF(OR(D2384="",D2384=0),"VALOR_PC vazio ou zero",IF(AND(G2384&lt;&gt;"Sim",G2384&lt;&gt;"Nao",G2384&lt;&gt;""),"PC_PAGO_A_CONTRATADA invalido",IF(AND(C2384&lt;&gt;"C0",IFERROR(INDEX(parametros!$A$2:$A$6,MATCH(C2384,parametros!$B$2:$B$6,0)),"")="Sim",IFERROR(INDEX(parametros!$H$2:$H$6,MATCH(C2384,parametros!$B$2:$B$6,0)),"")=""),"INICIO_EFEITO ausente: PC "&amp;A2384&amp;" - "&amp;C2384,IF(L2384="","EFEITO_PC nao calculado: PC "&amp;A2384&amp;" - "&amp;C2384,"OK")))))))))</f>
        <v/>
      </c>
      <c r="L2384" s="92" t="str">
        <f>IF(AND(A2384="",B2384="",D2384="",G2384=""),"",IF(OR(B2384="",NOT(ISNUMBER(B2384)),C2384="",C2384="Fora dos ciclos"),"",IF(C2384="C0","Nao",IF(IFERROR(INDEX(parametros!$A$2:$A$6,MATCH(C2384,parametros!$B$2:$B$6,0)),"")&lt;&gt;"Sim","Nao",IF(IFERROR(INDEX(parametros!$H$2:$H$6,MATCH(C2384,parametros!$B$2:$B$6,0)),"")="","",IF(B2384&gt;=IFERROR(INDEX(parametros!$H$2:$H$6,MATCH(C2384,parametros!$B$2:$B$6,0)),""),"Sim","Nao"))))))</f>
        <v/>
      </c>
      <c r="T2384" s="156"/>
      <c r="U2384" s="214" t="str">
        <f t="shared" si="191"/>
        <v/>
      </c>
      <c r="V2384" s="212" t="s">
        <v>50</v>
      </c>
      <c r="W2384" s="100" t="s">
        <v>168</v>
      </c>
      <c r="X2384" s="100" t="s">
        <v>169</v>
      </c>
      <c r="Y2384" s="101" t="s">
        <v>170</v>
      </c>
      <c r="Z2384" s="101" t="s">
        <v>171</v>
      </c>
      <c r="AA2384" s="101" t="s">
        <v>50</v>
      </c>
      <c r="AB2384" s="101" t="s">
        <v>172</v>
      </c>
      <c r="AC2384" s="102" t="s">
        <v>173</v>
      </c>
    </row>
    <row r="2385" spans="1:29" ht="25.5" customHeight="1" x14ac:dyDescent="0.35">
      <c r="A2385" s="392"/>
      <c r="B2385" s="393"/>
      <c r="C2385" s="99" t="str">
        <f>IF(B2385="","",IF(NOT(ISNUMBER(B2385)),"DATA_PC invalida",IF(NOT(ISNUMBER(parametros!$C$2)),"Fora dos ciclos",IF(OR(B2385&lt;parametros!$C$2,(YEAR(B2385)-YEAR(parametros!$C$2))*12+MONTH(B2385)-MONTH(parametros!$C$2)&gt;59),"Fora dos ciclos","C"&amp;INT(((YEAR(B2385)-YEAR(parametros!$C$2))*12+MONTH(B2385)-MONTH(parametros!$C$2))/12)))))</f>
        <v/>
      </c>
      <c r="D2385" s="394"/>
      <c r="E2385" s="78" t="str">
        <f>IF(C2385="","",IFERROR(VLOOKUP(C2385,parametros!$A$11:$E$15,5,0),""))</f>
        <v/>
      </c>
      <c r="F2385" s="79" t="str">
        <f t="shared" si="187"/>
        <v/>
      </c>
      <c r="G2385" s="395"/>
      <c r="H2385" s="91">
        <f t="shared" si="188"/>
        <v>0</v>
      </c>
      <c r="I2385" s="91" t="str">
        <f t="shared" si="189"/>
        <v/>
      </c>
      <c r="J2385" s="91" t="str">
        <f t="shared" si="190"/>
        <v/>
      </c>
      <c r="K2385" s="92" t="str">
        <f>IF(AND(A2385="",B2385="",D2385="",G2385=""),"",IF(AND(A2385&lt;&gt;"",COUNTIF($A$2:$A$5001,A2385)&gt;1),"NUMERO_PC duplicado",IF(B2385="","DATA_PC vazia",IF(NOT(ISNUMBER(B2385)),"DATA_PC invalida",IF(OR(C2385="",C2385="Fora dos ciclos"),"CICLO_PC nao identificado",IF(OR(D2385="",D2385=0),"VALOR_PC vazio ou zero",IF(AND(G2385&lt;&gt;"Sim",G2385&lt;&gt;"Nao",G2385&lt;&gt;""),"PC_PAGO_A_CONTRATADA invalido",IF(AND(C2385&lt;&gt;"C0",IFERROR(INDEX(parametros!$A$2:$A$6,MATCH(C2385,parametros!$B$2:$B$6,0)),"")="Sim",IFERROR(INDEX(parametros!$H$2:$H$6,MATCH(C2385,parametros!$B$2:$B$6,0)),"")=""),"INICIO_EFEITO ausente: PC "&amp;A2385&amp;" - "&amp;C2385,IF(L2385="","EFEITO_PC nao calculado: PC "&amp;A2385&amp;" - "&amp;C2385,"OK")))))))))</f>
        <v/>
      </c>
      <c r="L2385" s="92" t="str">
        <f>IF(AND(A2385="",B2385="",D2385="",G2385=""),"",IF(OR(B2385="",NOT(ISNUMBER(B2385)),C2385="",C2385="Fora dos ciclos"),"",IF(C2385="C0","Nao",IF(IFERROR(INDEX(parametros!$A$2:$A$6,MATCH(C2385,parametros!$B$2:$B$6,0)),"")&lt;&gt;"Sim","Nao",IF(IFERROR(INDEX(parametros!$H$2:$H$6,MATCH(C2385,parametros!$B$2:$B$6,0)),"")="","",IF(B2385&gt;=IFERROR(INDEX(parametros!$H$2:$H$6,MATCH(C2385,parametros!$B$2:$B$6,0)),""),"Sim","Nao"))))))</f>
        <v/>
      </c>
      <c r="T2385" s="156"/>
      <c r="U2385" s="214" t="str">
        <f t="shared" si="191"/>
        <v/>
      </c>
      <c r="V2385" s="212" t="s">
        <v>50</v>
      </c>
      <c r="W2385" s="100" t="s">
        <v>168</v>
      </c>
      <c r="X2385" s="100" t="s">
        <v>169</v>
      </c>
      <c r="Y2385" s="101" t="s">
        <v>170</v>
      </c>
      <c r="Z2385" s="101" t="s">
        <v>171</v>
      </c>
      <c r="AA2385" s="101" t="s">
        <v>50</v>
      </c>
      <c r="AB2385" s="101" t="s">
        <v>172</v>
      </c>
      <c r="AC2385" s="102" t="s">
        <v>173</v>
      </c>
    </row>
    <row r="2386" spans="1:29" ht="25.5" customHeight="1" x14ac:dyDescent="0.35">
      <c r="A2386" s="392"/>
      <c r="B2386" s="393"/>
      <c r="C2386" s="99" t="str">
        <f>IF(B2386="","",IF(NOT(ISNUMBER(B2386)),"DATA_PC invalida",IF(NOT(ISNUMBER(parametros!$C$2)),"Fora dos ciclos",IF(OR(B2386&lt;parametros!$C$2,(YEAR(B2386)-YEAR(parametros!$C$2))*12+MONTH(B2386)-MONTH(parametros!$C$2)&gt;59),"Fora dos ciclos","C"&amp;INT(((YEAR(B2386)-YEAR(parametros!$C$2))*12+MONTH(B2386)-MONTH(parametros!$C$2))/12)))))</f>
        <v/>
      </c>
      <c r="D2386" s="394"/>
      <c r="E2386" s="78" t="str">
        <f>IF(C2386="","",IFERROR(VLOOKUP(C2386,parametros!$A$11:$E$15,5,0),""))</f>
        <v/>
      </c>
      <c r="F2386" s="79" t="str">
        <f t="shared" si="187"/>
        <v/>
      </c>
      <c r="G2386" s="395"/>
      <c r="H2386" s="91">
        <f t="shared" si="188"/>
        <v>0</v>
      </c>
      <c r="I2386" s="91" t="str">
        <f t="shared" si="189"/>
        <v/>
      </c>
      <c r="J2386" s="91" t="str">
        <f t="shared" si="190"/>
        <v/>
      </c>
      <c r="K2386" s="92" t="str">
        <f>IF(AND(A2386="",B2386="",D2386="",G2386=""),"",IF(AND(A2386&lt;&gt;"",COUNTIF($A$2:$A$5001,A2386)&gt;1),"NUMERO_PC duplicado",IF(B2386="","DATA_PC vazia",IF(NOT(ISNUMBER(B2386)),"DATA_PC invalida",IF(OR(C2386="",C2386="Fora dos ciclos"),"CICLO_PC nao identificado",IF(OR(D2386="",D2386=0),"VALOR_PC vazio ou zero",IF(AND(G2386&lt;&gt;"Sim",G2386&lt;&gt;"Nao",G2386&lt;&gt;""),"PC_PAGO_A_CONTRATADA invalido",IF(AND(C2386&lt;&gt;"C0",IFERROR(INDEX(parametros!$A$2:$A$6,MATCH(C2386,parametros!$B$2:$B$6,0)),"")="Sim",IFERROR(INDEX(parametros!$H$2:$H$6,MATCH(C2386,parametros!$B$2:$B$6,0)),"")=""),"INICIO_EFEITO ausente: PC "&amp;A2386&amp;" - "&amp;C2386,IF(L2386="","EFEITO_PC nao calculado: PC "&amp;A2386&amp;" - "&amp;C2386,"OK")))))))))</f>
        <v/>
      </c>
      <c r="L2386" s="92" t="str">
        <f>IF(AND(A2386="",B2386="",D2386="",G2386=""),"",IF(OR(B2386="",NOT(ISNUMBER(B2386)),C2386="",C2386="Fora dos ciclos"),"",IF(C2386="C0","Nao",IF(IFERROR(INDEX(parametros!$A$2:$A$6,MATCH(C2386,parametros!$B$2:$B$6,0)),"")&lt;&gt;"Sim","Nao",IF(IFERROR(INDEX(parametros!$H$2:$H$6,MATCH(C2386,parametros!$B$2:$B$6,0)),"")="","",IF(B2386&gt;=IFERROR(INDEX(parametros!$H$2:$H$6,MATCH(C2386,parametros!$B$2:$B$6,0)),""),"Sim","Nao"))))))</f>
        <v/>
      </c>
      <c r="T2386" s="156"/>
      <c r="U2386" s="214" t="str">
        <f t="shared" si="191"/>
        <v/>
      </c>
      <c r="V2386" s="212" t="s">
        <v>50</v>
      </c>
      <c r="W2386" s="100" t="s">
        <v>168</v>
      </c>
      <c r="X2386" s="100" t="s">
        <v>169</v>
      </c>
      <c r="Y2386" s="101" t="s">
        <v>170</v>
      </c>
      <c r="Z2386" s="101" t="s">
        <v>171</v>
      </c>
      <c r="AA2386" s="101" t="s">
        <v>50</v>
      </c>
      <c r="AB2386" s="101" t="s">
        <v>172</v>
      </c>
      <c r="AC2386" s="102" t="s">
        <v>173</v>
      </c>
    </row>
    <row r="2387" spans="1:29" ht="25.5" customHeight="1" x14ac:dyDescent="0.35">
      <c r="A2387" s="392"/>
      <c r="B2387" s="393"/>
      <c r="C2387" s="99" t="str">
        <f>IF(B2387="","",IF(NOT(ISNUMBER(B2387)),"DATA_PC invalida",IF(NOT(ISNUMBER(parametros!$C$2)),"Fora dos ciclos",IF(OR(B2387&lt;parametros!$C$2,(YEAR(B2387)-YEAR(parametros!$C$2))*12+MONTH(B2387)-MONTH(parametros!$C$2)&gt;59),"Fora dos ciclos","C"&amp;INT(((YEAR(B2387)-YEAR(parametros!$C$2))*12+MONTH(B2387)-MONTH(parametros!$C$2))/12)))))</f>
        <v/>
      </c>
      <c r="D2387" s="394"/>
      <c r="E2387" s="78" t="str">
        <f>IF(C2387="","",IFERROR(VLOOKUP(C2387,parametros!$A$11:$E$15,5,0),""))</f>
        <v/>
      </c>
      <c r="F2387" s="79" t="str">
        <f t="shared" si="187"/>
        <v/>
      </c>
      <c r="G2387" s="395"/>
      <c r="H2387" s="91">
        <f t="shared" si="188"/>
        <v>0</v>
      </c>
      <c r="I2387" s="91" t="str">
        <f t="shared" si="189"/>
        <v/>
      </c>
      <c r="J2387" s="91" t="str">
        <f t="shared" si="190"/>
        <v/>
      </c>
      <c r="K2387" s="92" t="str">
        <f>IF(AND(A2387="",B2387="",D2387="",G2387=""),"",IF(AND(A2387&lt;&gt;"",COUNTIF($A$2:$A$5001,A2387)&gt;1),"NUMERO_PC duplicado",IF(B2387="","DATA_PC vazia",IF(NOT(ISNUMBER(B2387)),"DATA_PC invalida",IF(OR(C2387="",C2387="Fora dos ciclos"),"CICLO_PC nao identificado",IF(OR(D2387="",D2387=0),"VALOR_PC vazio ou zero",IF(AND(G2387&lt;&gt;"Sim",G2387&lt;&gt;"Nao",G2387&lt;&gt;""),"PC_PAGO_A_CONTRATADA invalido",IF(AND(C2387&lt;&gt;"C0",IFERROR(INDEX(parametros!$A$2:$A$6,MATCH(C2387,parametros!$B$2:$B$6,0)),"")="Sim",IFERROR(INDEX(parametros!$H$2:$H$6,MATCH(C2387,parametros!$B$2:$B$6,0)),"")=""),"INICIO_EFEITO ausente: PC "&amp;A2387&amp;" - "&amp;C2387,IF(L2387="","EFEITO_PC nao calculado: PC "&amp;A2387&amp;" - "&amp;C2387,"OK")))))))))</f>
        <v/>
      </c>
      <c r="L2387" s="92" t="str">
        <f>IF(AND(A2387="",B2387="",D2387="",G2387=""),"",IF(OR(B2387="",NOT(ISNUMBER(B2387)),C2387="",C2387="Fora dos ciclos"),"",IF(C2387="C0","Nao",IF(IFERROR(INDEX(parametros!$A$2:$A$6,MATCH(C2387,parametros!$B$2:$B$6,0)),"")&lt;&gt;"Sim","Nao",IF(IFERROR(INDEX(parametros!$H$2:$H$6,MATCH(C2387,parametros!$B$2:$B$6,0)),"")="","",IF(B2387&gt;=IFERROR(INDEX(parametros!$H$2:$H$6,MATCH(C2387,parametros!$B$2:$B$6,0)),""),"Sim","Nao"))))))</f>
        <v/>
      </c>
      <c r="T2387" s="156"/>
      <c r="U2387" s="214" t="str">
        <f t="shared" si="191"/>
        <v/>
      </c>
      <c r="V2387" s="212" t="s">
        <v>50</v>
      </c>
      <c r="W2387" s="100" t="s">
        <v>168</v>
      </c>
      <c r="X2387" s="100" t="s">
        <v>169</v>
      </c>
      <c r="Y2387" s="101" t="s">
        <v>170</v>
      </c>
      <c r="Z2387" s="101" t="s">
        <v>171</v>
      </c>
      <c r="AA2387" s="101" t="s">
        <v>50</v>
      </c>
      <c r="AB2387" s="101" t="s">
        <v>172</v>
      </c>
      <c r="AC2387" s="102" t="s">
        <v>173</v>
      </c>
    </row>
    <row r="2388" spans="1:29" ht="25.5" customHeight="1" x14ac:dyDescent="0.35">
      <c r="A2388" s="392"/>
      <c r="B2388" s="393"/>
      <c r="C2388" s="99" t="str">
        <f>IF(B2388="","",IF(NOT(ISNUMBER(B2388)),"DATA_PC invalida",IF(NOT(ISNUMBER(parametros!$C$2)),"Fora dos ciclos",IF(OR(B2388&lt;parametros!$C$2,(YEAR(B2388)-YEAR(parametros!$C$2))*12+MONTH(B2388)-MONTH(parametros!$C$2)&gt;59),"Fora dos ciclos","C"&amp;INT(((YEAR(B2388)-YEAR(parametros!$C$2))*12+MONTH(B2388)-MONTH(parametros!$C$2))/12)))))</f>
        <v/>
      </c>
      <c r="D2388" s="394"/>
      <c r="E2388" s="78" t="str">
        <f>IF(C2388="","",IFERROR(VLOOKUP(C2388,parametros!$A$11:$E$15,5,0),""))</f>
        <v/>
      </c>
      <c r="F2388" s="79" t="str">
        <f t="shared" si="187"/>
        <v/>
      </c>
      <c r="G2388" s="395"/>
      <c r="H2388" s="91">
        <f t="shared" si="188"/>
        <v>0</v>
      </c>
      <c r="I2388" s="91" t="str">
        <f t="shared" si="189"/>
        <v/>
      </c>
      <c r="J2388" s="91" t="str">
        <f t="shared" si="190"/>
        <v/>
      </c>
      <c r="K2388" s="92" t="str">
        <f>IF(AND(A2388="",B2388="",D2388="",G2388=""),"",IF(AND(A2388&lt;&gt;"",COUNTIF($A$2:$A$5001,A2388)&gt;1),"NUMERO_PC duplicado",IF(B2388="","DATA_PC vazia",IF(NOT(ISNUMBER(B2388)),"DATA_PC invalida",IF(OR(C2388="",C2388="Fora dos ciclos"),"CICLO_PC nao identificado",IF(OR(D2388="",D2388=0),"VALOR_PC vazio ou zero",IF(AND(G2388&lt;&gt;"Sim",G2388&lt;&gt;"Nao",G2388&lt;&gt;""),"PC_PAGO_A_CONTRATADA invalido",IF(AND(C2388&lt;&gt;"C0",IFERROR(INDEX(parametros!$A$2:$A$6,MATCH(C2388,parametros!$B$2:$B$6,0)),"")="Sim",IFERROR(INDEX(parametros!$H$2:$H$6,MATCH(C2388,parametros!$B$2:$B$6,0)),"")=""),"INICIO_EFEITO ausente: PC "&amp;A2388&amp;" - "&amp;C2388,IF(L2388="","EFEITO_PC nao calculado: PC "&amp;A2388&amp;" - "&amp;C2388,"OK")))))))))</f>
        <v/>
      </c>
      <c r="L2388" s="92" t="str">
        <f>IF(AND(A2388="",B2388="",D2388="",G2388=""),"",IF(OR(B2388="",NOT(ISNUMBER(B2388)),C2388="",C2388="Fora dos ciclos"),"",IF(C2388="C0","Nao",IF(IFERROR(INDEX(parametros!$A$2:$A$6,MATCH(C2388,parametros!$B$2:$B$6,0)),"")&lt;&gt;"Sim","Nao",IF(IFERROR(INDEX(parametros!$H$2:$H$6,MATCH(C2388,parametros!$B$2:$B$6,0)),"")="","",IF(B2388&gt;=IFERROR(INDEX(parametros!$H$2:$H$6,MATCH(C2388,parametros!$B$2:$B$6,0)),""),"Sim","Nao"))))))</f>
        <v/>
      </c>
      <c r="T2388" s="156"/>
      <c r="U2388" s="214" t="str">
        <f t="shared" si="191"/>
        <v/>
      </c>
      <c r="V2388" s="212" t="s">
        <v>50</v>
      </c>
      <c r="W2388" s="100" t="s">
        <v>168</v>
      </c>
      <c r="X2388" s="100" t="s">
        <v>169</v>
      </c>
      <c r="Y2388" s="101" t="s">
        <v>170</v>
      </c>
      <c r="Z2388" s="101" t="s">
        <v>171</v>
      </c>
      <c r="AA2388" s="101" t="s">
        <v>50</v>
      </c>
      <c r="AB2388" s="101" t="s">
        <v>172</v>
      </c>
      <c r="AC2388" s="102" t="s">
        <v>173</v>
      </c>
    </row>
    <row r="2389" spans="1:29" ht="25.5" customHeight="1" x14ac:dyDescent="0.35">
      <c r="A2389" s="392"/>
      <c r="B2389" s="393"/>
      <c r="C2389" s="99" t="str">
        <f>IF(B2389="","",IF(NOT(ISNUMBER(B2389)),"DATA_PC invalida",IF(NOT(ISNUMBER(parametros!$C$2)),"Fora dos ciclos",IF(OR(B2389&lt;parametros!$C$2,(YEAR(B2389)-YEAR(parametros!$C$2))*12+MONTH(B2389)-MONTH(parametros!$C$2)&gt;59),"Fora dos ciclos","C"&amp;INT(((YEAR(B2389)-YEAR(parametros!$C$2))*12+MONTH(B2389)-MONTH(parametros!$C$2))/12)))))</f>
        <v/>
      </c>
      <c r="D2389" s="394"/>
      <c r="E2389" s="78" t="str">
        <f>IF(C2389="","",IFERROR(VLOOKUP(C2389,parametros!$A$11:$E$15,5,0),""))</f>
        <v/>
      </c>
      <c r="F2389" s="79" t="str">
        <f t="shared" si="187"/>
        <v/>
      </c>
      <c r="G2389" s="395"/>
      <c r="H2389" s="91">
        <f t="shared" si="188"/>
        <v>0</v>
      </c>
      <c r="I2389" s="91" t="str">
        <f t="shared" si="189"/>
        <v/>
      </c>
      <c r="J2389" s="91" t="str">
        <f t="shared" si="190"/>
        <v/>
      </c>
      <c r="K2389" s="92" t="str">
        <f>IF(AND(A2389="",B2389="",D2389="",G2389=""),"",IF(AND(A2389&lt;&gt;"",COUNTIF($A$2:$A$5001,A2389)&gt;1),"NUMERO_PC duplicado",IF(B2389="","DATA_PC vazia",IF(NOT(ISNUMBER(B2389)),"DATA_PC invalida",IF(OR(C2389="",C2389="Fora dos ciclos"),"CICLO_PC nao identificado",IF(OR(D2389="",D2389=0),"VALOR_PC vazio ou zero",IF(AND(G2389&lt;&gt;"Sim",G2389&lt;&gt;"Nao",G2389&lt;&gt;""),"PC_PAGO_A_CONTRATADA invalido",IF(AND(C2389&lt;&gt;"C0",IFERROR(INDEX(parametros!$A$2:$A$6,MATCH(C2389,parametros!$B$2:$B$6,0)),"")="Sim",IFERROR(INDEX(parametros!$H$2:$H$6,MATCH(C2389,parametros!$B$2:$B$6,0)),"")=""),"INICIO_EFEITO ausente: PC "&amp;A2389&amp;" - "&amp;C2389,IF(L2389="","EFEITO_PC nao calculado: PC "&amp;A2389&amp;" - "&amp;C2389,"OK")))))))))</f>
        <v/>
      </c>
      <c r="L2389" s="92" t="str">
        <f>IF(AND(A2389="",B2389="",D2389="",G2389=""),"",IF(OR(B2389="",NOT(ISNUMBER(B2389)),C2389="",C2389="Fora dos ciclos"),"",IF(C2389="C0","Nao",IF(IFERROR(INDEX(parametros!$A$2:$A$6,MATCH(C2389,parametros!$B$2:$B$6,0)),"")&lt;&gt;"Sim","Nao",IF(IFERROR(INDEX(parametros!$H$2:$H$6,MATCH(C2389,parametros!$B$2:$B$6,0)),"")="","",IF(B2389&gt;=IFERROR(INDEX(parametros!$H$2:$H$6,MATCH(C2389,parametros!$B$2:$B$6,0)),""),"Sim","Nao"))))))</f>
        <v/>
      </c>
      <c r="T2389" s="156"/>
      <c r="U2389" s="214" t="str">
        <f t="shared" si="191"/>
        <v/>
      </c>
      <c r="V2389" s="212" t="s">
        <v>50</v>
      </c>
      <c r="W2389" s="100" t="s">
        <v>168</v>
      </c>
      <c r="X2389" s="100" t="s">
        <v>169</v>
      </c>
      <c r="Y2389" s="101" t="s">
        <v>170</v>
      </c>
      <c r="Z2389" s="101" t="s">
        <v>171</v>
      </c>
      <c r="AA2389" s="101" t="s">
        <v>50</v>
      </c>
      <c r="AB2389" s="101" t="s">
        <v>172</v>
      </c>
      <c r="AC2389" s="102" t="s">
        <v>173</v>
      </c>
    </row>
    <row r="2390" spans="1:29" ht="25.5" customHeight="1" x14ac:dyDescent="0.35">
      <c r="A2390" s="392"/>
      <c r="B2390" s="393"/>
      <c r="C2390" s="99" t="str">
        <f>IF(B2390="","",IF(NOT(ISNUMBER(B2390)),"DATA_PC invalida",IF(NOT(ISNUMBER(parametros!$C$2)),"Fora dos ciclos",IF(OR(B2390&lt;parametros!$C$2,(YEAR(B2390)-YEAR(parametros!$C$2))*12+MONTH(B2390)-MONTH(parametros!$C$2)&gt;59),"Fora dos ciclos","C"&amp;INT(((YEAR(B2390)-YEAR(parametros!$C$2))*12+MONTH(B2390)-MONTH(parametros!$C$2))/12)))))</f>
        <v/>
      </c>
      <c r="D2390" s="394"/>
      <c r="E2390" s="78" t="str">
        <f>IF(C2390="","",IFERROR(VLOOKUP(C2390,parametros!$A$11:$E$15,5,0),""))</f>
        <v/>
      </c>
      <c r="F2390" s="79" t="str">
        <f t="shared" si="187"/>
        <v/>
      </c>
      <c r="G2390" s="395"/>
      <c r="H2390" s="91">
        <f t="shared" si="188"/>
        <v>0</v>
      </c>
      <c r="I2390" s="91" t="str">
        <f t="shared" si="189"/>
        <v/>
      </c>
      <c r="J2390" s="91" t="str">
        <f t="shared" si="190"/>
        <v/>
      </c>
      <c r="K2390" s="92" t="str">
        <f>IF(AND(A2390="",B2390="",D2390="",G2390=""),"",IF(AND(A2390&lt;&gt;"",COUNTIF($A$2:$A$5001,A2390)&gt;1),"NUMERO_PC duplicado",IF(B2390="","DATA_PC vazia",IF(NOT(ISNUMBER(B2390)),"DATA_PC invalida",IF(OR(C2390="",C2390="Fora dos ciclos"),"CICLO_PC nao identificado",IF(OR(D2390="",D2390=0),"VALOR_PC vazio ou zero",IF(AND(G2390&lt;&gt;"Sim",G2390&lt;&gt;"Nao",G2390&lt;&gt;""),"PC_PAGO_A_CONTRATADA invalido",IF(AND(C2390&lt;&gt;"C0",IFERROR(INDEX(parametros!$A$2:$A$6,MATCH(C2390,parametros!$B$2:$B$6,0)),"")="Sim",IFERROR(INDEX(parametros!$H$2:$H$6,MATCH(C2390,parametros!$B$2:$B$6,0)),"")=""),"INICIO_EFEITO ausente: PC "&amp;A2390&amp;" - "&amp;C2390,IF(L2390="","EFEITO_PC nao calculado: PC "&amp;A2390&amp;" - "&amp;C2390,"OK")))))))))</f>
        <v/>
      </c>
      <c r="L2390" s="92" t="str">
        <f>IF(AND(A2390="",B2390="",D2390="",G2390=""),"",IF(OR(B2390="",NOT(ISNUMBER(B2390)),C2390="",C2390="Fora dos ciclos"),"",IF(C2390="C0","Nao",IF(IFERROR(INDEX(parametros!$A$2:$A$6,MATCH(C2390,parametros!$B$2:$B$6,0)),"")&lt;&gt;"Sim","Nao",IF(IFERROR(INDEX(parametros!$H$2:$H$6,MATCH(C2390,parametros!$B$2:$B$6,0)),"")="","",IF(B2390&gt;=IFERROR(INDEX(parametros!$H$2:$H$6,MATCH(C2390,parametros!$B$2:$B$6,0)),""),"Sim","Nao"))))))</f>
        <v/>
      </c>
      <c r="T2390" s="156"/>
      <c r="U2390" s="214" t="str">
        <f t="shared" si="191"/>
        <v/>
      </c>
      <c r="V2390" s="212" t="s">
        <v>50</v>
      </c>
      <c r="W2390" s="100" t="s">
        <v>168</v>
      </c>
      <c r="X2390" s="100" t="s">
        <v>169</v>
      </c>
      <c r="Y2390" s="101" t="s">
        <v>170</v>
      </c>
      <c r="Z2390" s="101" t="s">
        <v>171</v>
      </c>
      <c r="AA2390" s="101" t="s">
        <v>50</v>
      </c>
      <c r="AB2390" s="101" t="s">
        <v>172</v>
      </c>
      <c r="AC2390" s="102" t="s">
        <v>173</v>
      </c>
    </row>
    <row r="2391" spans="1:29" ht="25.5" customHeight="1" x14ac:dyDescent="0.35">
      <c r="A2391" s="392"/>
      <c r="B2391" s="393"/>
      <c r="C2391" s="99" t="str">
        <f>IF(B2391="","",IF(NOT(ISNUMBER(B2391)),"DATA_PC invalida",IF(NOT(ISNUMBER(parametros!$C$2)),"Fora dos ciclos",IF(OR(B2391&lt;parametros!$C$2,(YEAR(B2391)-YEAR(parametros!$C$2))*12+MONTH(B2391)-MONTH(parametros!$C$2)&gt;59),"Fora dos ciclos","C"&amp;INT(((YEAR(B2391)-YEAR(parametros!$C$2))*12+MONTH(B2391)-MONTH(parametros!$C$2))/12)))))</f>
        <v/>
      </c>
      <c r="D2391" s="394"/>
      <c r="E2391" s="78" t="str">
        <f>IF(C2391="","",IFERROR(VLOOKUP(C2391,parametros!$A$11:$E$15,5,0),""))</f>
        <v/>
      </c>
      <c r="F2391" s="79" t="str">
        <f t="shared" si="187"/>
        <v/>
      </c>
      <c r="G2391" s="395"/>
      <c r="H2391" s="91">
        <f t="shared" si="188"/>
        <v>0</v>
      </c>
      <c r="I2391" s="91" t="str">
        <f t="shared" si="189"/>
        <v/>
      </c>
      <c r="J2391" s="91" t="str">
        <f t="shared" si="190"/>
        <v/>
      </c>
      <c r="K2391" s="92" t="str">
        <f>IF(AND(A2391="",B2391="",D2391="",G2391=""),"",IF(AND(A2391&lt;&gt;"",COUNTIF($A$2:$A$5001,A2391)&gt;1),"NUMERO_PC duplicado",IF(B2391="","DATA_PC vazia",IF(NOT(ISNUMBER(B2391)),"DATA_PC invalida",IF(OR(C2391="",C2391="Fora dos ciclos"),"CICLO_PC nao identificado",IF(OR(D2391="",D2391=0),"VALOR_PC vazio ou zero",IF(AND(G2391&lt;&gt;"Sim",G2391&lt;&gt;"Nao",G2391&lt;&gt;""),"PC_PAGO_A_CONTRATADA invalido",IF(AND(C2391&lt;&gt;"C0",IFERROR(INDEX(parametros!$A$2:$A$6,MATCH(C2391,parametros!$B$2:$B$6,0)),"")="Sim",IFERROR(INDEX(parametros!$H$2:$H$6,MATCH(C2391,parametros!$B$2:$B$6,0)),"")=""),"INICIO_EFEITO ausente: PC "&amp;A2391&amp;" - "&amp;C2391,IF(L2391="","EFEITO_PC nao calculado: PC "&amp;A2391&amp;" - "&amp;C2391,"OK")))))))))</f>
        <v/>
      </c>
      <c r="L2391" s="92" t="str">
        <f>IF(AND(A2391="",B2391="",D2391="",G2391=""),"",IF(OR(B2391="",NOT(ISNUMBER(B2391)),C2391="",C2391="Fora dos ciclos"),"",IF(C2391="C0","Nao",IF(IFERROR(INDEX(parametros!$A$2:$A$6,MATCH(C2391,parametros!$B$2:$B$6,0)),"")&lt;&gt;"Sim","Nao",IF(IFERROR(INDEX(parametros!$H$2:$H$6,MATCH(C2391,parametros!$B$2:$B$6,0)),"")="","",IF(B2391&gt;=IFERROR(INDEX(parametros!$H$2:$H$6,MATCH(C2391,parametros!$B$2:$B$6,0)),""),"Sim","Nao"))))))</f>
        <v/>
      </c>
      <c r="T2391" s="156"/>
      <c r="U2391" s="214" t="str">
        <f t="shared" si="191"/>
        <v/>
      </c>
      <c r="V2391" s="212" t="s">
        <v>50</v>
      </c>
      <c r="W2391" s="100" t="s">
        <v>168</v>
      </c>
      <c r="X2391" s="100" t="s">
        <v>169</v>
      </c>
      <c r="Y2391" s="101" t="s">
        <v>170</v>
      </c>
      <c r="Z2391" s="101" t="s">
        <v>171</v>
      </c>
      <c r="AA2391" s="101" t="s">
        <v>50</v>
      </c>
      <c r="AB2391" s="101" t="s">
        <v>172</v>
      </c>
      <c r="AC2391" s="102" t="s">
        <v>173</v>
      </c>
    </row>
    <row r="2392" spans="1:29" ht="25.5" customHeight="1" x14ac:dyDescent="0.35">
      <c r="A2392" s="392"/>
      <c r="B2392" s="393"/>
      <c r="C2392" s="99" t="str">
        <f>IF(B2392="","",IF(NOT(ISNUMBER(B2392)),"DATA_PC invalida",IF(NOT(ISNUMBER(parametros!$C$2)),"Fora dos ciclos",IF(OR(B2392&lt;parametros!$C$2,(YEAR(B2392)-YEAR(parametros!$C$2))*12+MONTH(B2392)-MONTH(parametros!$C$2)&gt;59),"Fora dos ciclos","C"&amp;INT(((YEAR(B2392)-YEAR(parametros!$C$2))*12+MONTH(B2392)-MONTH(parametros!$C$2))/12)))))</f>
        <v/>
      </c>
      <c r="D2392" s="394"/>
      <c r="E2392" s="78" t="str">
        <f>IF(C2392="","",IFERROR(VLOOKUP(C2392,parametros!$A$11:$E$15,5,0),""))</f>
        <v/>
      </c>
      <c r="F2392" s="79" t="str">
        <f t="shared" si="187"/>
        <v/>
      </c>
      <c r="G2392" s="395"/>
      <c r="H2392" s="91">
        <f t="shared" si="188"/>
        <v>0</v>
      </c>
      <c r="I2392" s="91" t="str">
        <f t="shared" si="189"/>
        <v/>
      </c>
      <c r="J2392" s="91" t="str">
        <f t="shared" si="190"/>
        <v/>
      </c>
      <c r="K2392" s="92" t="str">
        <f>IF(AND(A2392="",B2392="",D2392="",G2392=""),"",IF(AND(A2392&lt;&gt;"",COUNTIF($A$2:$A$5001,A2392)&gt;1),"NUMERO_PC duplicado",IF(B2392="","DATA_PC vazia",IF(NOT(ISNUMBER(B2392)),"DATA_PC invalida",IF(OR(C2392="",C2392="Fora dos ciclos"),"CICLO_PC nao identificado",IF(OR(D2392="",D2392=0),"VALOR_PC vazio ou zero",IF(AND(G2392&lt;&gt;"Sim",G2392&lt;&gt;"Nao",G2392&lt;&gt;""),"PC_PAGO_A_CONTRATADA invalido",IF(AND(C2392&lt;&gt;"C0",IFERROR(INDEX(parametros!$A$2:$A$6,MATCH(C2392,parametros!$B$2:$B$6,0)),"")="Sim",IFERROR(INDEX(parametros!$H$2:$H$6,MATCH(C2392,parametros!$B$2:$B$6,0)),"")=""),"INICIO_EFEITO ausente: PC "&amp;A2392&amp;" - "&amp;C2392,IF(L2392="","EFEITO_PC nao calculado: PC "&amp;A2392&amp;" - "&amp;C2392,"OK")))))))))</f>
        <v/>
      </c>
      <c r="L2392" s="92" t="str">
        <f>IF(AND(A2392="",B2392="",D2392="",G2392=""),"",IF(OR(B2392="",NOT(ISNUMBER(B2392)),C2392="",C2392="Fora dos ciclos"),"",IF(C2392="C0","Nao",IF(IFERROR(INDEX(parametros!$A$2:$A$6,MATCH(C2392,parametros!$B$2:$B$6,0)),"")&lt;&gt;"Sim","Nao",IF(IFERROR(INDEX(parametros!$H$2:$H$6,MATCH(C2392,parametros!$B$2:$B$6,0)),"")="","",IF(B2392&gt;=IFERROR(INDEX(parametros!$H$2:$H$6,MATCH(C2392,parametros!$B$2:$B$6,0)),""),"Sim","Nao"))))))</f>
        <v/>
      </c>
      <c r="T2392" s="156"/>
      <c r="U2392" s="214" t="str">
        <f t="shared" si="191"/>
        <v/>
      </c>
      <c r="V2392" s="212" t="s">
        <v>50</v>
      </c>
      <c r="W2392" s="100" t="s">
        <v>168</v>
      </c>
      <c r="X2392" s="100" t="s">
        <v>169</v>
      </c>
      <c r="Y2392" s="101" t="s">
        <v>170</v>
      </c>
      <c r="Z2392" s="101" t="s">
        <v>171</v>
      </c>
      <c r="AA2392" s="101" t="s">
        <v>50</v>
      </c>
      <c r="AB2392" s="101" t="s">
        <v>172</v>
      </c>
      <c r="AC2392" s="102" t="s">
        <v>173</v>
      </c>
    </row>
    <row r="2393" spans="1:29" ht="25.5" customHeight="1" x14ac:dyDescent="0.35">
      <c r="A2393" s="392"/>
      <c r="B2393" s="393"/>
      <c r="C2393" s="99" t="str">
        <f>IF(B2393="","",IF(NOT(ISNUMBER(B2393)),"DATA_PC invalida",IF(NOT(ISNUMBER(parametros!$C$2)),"Fora dos ciclos",IF(OR(B2393&lt;parametros!$C$2,(YEAR(B2393)-YEAR(parametros!$C$2))*12+MONTH(B2393)-MONTH(parametros!$C$2)&gt;59),"Fora dos ciclos","C"&amp;INT(((YEAR(B2393)-YEAR(parametros!$C$2))*12+MONTH(B2393)-MONTH(parametros!$C$2))/12)))))</f>
        <v/>
      </c>
      <c r="D2393" s="394"/>
      <c r="E2393" s="78" t="str">
        <f>IF(C2393="","",IFERROR(VLOOKUP(C2393,parametros!$A$11:$E$15,5,0),""))</f>
        <v/>
      </c>
      <c r="F2393" s="79" t="str">
        <f t="shared" si="187"/>
        <v/>
      </c>
      <c r="G2393" s="395"/>
      <c r="H2393" s="91">
        <f t="shared" si="188"/>
        <v>0</v>
      </c>
      <c r="I2393" s="91" t="str">
        <f t="shared" si="189"/>
        <v/>
      </c>
      <c r="J2393" s="91" t="str">
        <f t="shared" si="190"/>
        <v/>
      </c>
      <c r="K2393" s="92" t="str">
        <f>IF(AND(A2393="",B2393="",D2393="",G2393=""),"",IF(AND(A2393&lt;&gt;"",COUNTIF($A$2:$A$5001,A2393)&gt;1),"NUMERO_PC duplicado",IF(B2393="","DATA_PC vazia",IF(NOT(ISNUMBER(B2393)),"DATA_PC invalida",IF(OR(C2393="",C2393="Fora dos ciclos"),"CICLO_PC nao identificado",IF(OR(D2393="",D2393=0),"VALOR_PC vazio ou zero",IF(AND(G2393&lt;&gt;"Sim",G2393&lt;&gt;"Nao",G2393&lt;&gt;""),"PC_PAGO_A_CONTRATADA invalido",IF(AND(C2393&lt;&gt;"C0",IFERROR(INDEX(parametros!$A$2:$A$6,MATCH(C2393,parametros!$B$2:$B$6,0)),"")="Sim",IFERROR(INDEX(parametros!$H$2:$H$6,MATCH(C2393,parametros!$B$2:$B$6,0)),"")=""),"INICIO_EFEITO ausente: PC "&amp;A2393&amp;" - "&amp;C2393,IF(L2393="","EFEITO_PC nao calculado: PC "&amp;A2393&amp;" - "&amp;C2393,"OK")))))))))</f>
        <v/>
      </c>
      <c r="L2393" s="92" t="str">
        <f>IF(AND(A2393="",B2393="",D2393="",G2393=""),"",IF(OR(B2393="",NOT(ISNUMBER(B2393)),C2393="",C2393="Fora dos ciclos"),"",IF(C2393="C0","Nao",IF(IFERROR(INDEX(parametros!$A$2:$A$6,MATCH(C2393,parametros!$B$2:$B$6,0)),"")&lt;&gt;"Sim","Nao",IF(IFERROR(INDEX(parametros!$H$2:$H$6,MATCH(C2393,parametros!$B$2:$B$6,0)),"")="","",IF(B2393&gt;=IFERROR(INDEX(parametros!$H$2:$H$6,MATCH(C2393,parametros!$B$2:$B$6,0)),""),"Sim","Nao"))))))</f>
        <v/>
      </c>
      <c r="T2393" s="156"/>
      <c r="U2393" s="214" t="str">
        <f t="shared" si="191"/>
        <v/>
      </c>
      <c r="V2393" s="212" t="s">
        <v>50</v>
      </c>
      <c r="W2393" s="100" t="s">
        <v>168</v>
      </c>
      <c r="X2393" s="100" t="s">
        <v>169</v>
      </c>
      <c r="Y2393" s="101" t="s">
        <v>170</v>
      </c>
      <c r="Z2393" s="101" t="s">
        <v>171</v>
      </c>
      <c r="AA2393" s="101" t="s">
        <v>50</v>
      </c>
      <c r="AB2393" s="101" t="s">
        <v>172</v>
      </c>
      <c r="AC2393" s="102" t="s">
        <v>173</v>
      </c>
    </row>
    <row r="2394" spans="1:29" ht="25.5" customHeight="1" x14ac:dyDescent="0.35">
      <c r="A2394" s="392"/>
      <c r="B2394" s="393"/>
      <c r="C2394" s="99" t="str">
        <f>IF(B2394="","",IF(NOT(ISNUMBER(B2394)),"DATA_PC invalida",IF(NOT(ISNUMBER(parametros!$C$2)),"Fora dos ciclos",IF(OR(B2394&lt;parametros!$C$2,(YEAR(B2394)-YEAR(parametros!$C$2))*12+MONTH(B2394)-MONTH(parametros!$C$2)&gt;59),"Fora dos ciclos","C"&amp;INT(((YEAR(B2394)-YEAR(parametros!$C$2))*12+MONTH(B2394)-MONTH(parametros!$C$2))/12)))))</f>
        <v/>
      </c>
      <c r="D2394" s="394"/>
      <c r="E2394" s="78" t="str">
        <f>IF(C2394="","",IFERROR(VLOOKUP(C2394,parametros!$A$11:$E$15,5,0),""))</f>
        <v/>
      </c>
      <c r="F2394" s="79" t="str">
        <f t="shared" si="187"/>
        <v/>
      </c>
      <c r="G2394" s="395"/>
      <c r="H2394" s="91">
        <f t="shared" si="188"/>
        <v>0</v>
      </c>
      <c r="I2394" s="91" t="str">
        <f t="shared" si="189"/>
        <v/>
      </c>
      <c r="J2394" s="91" t="str">
        <f t="shared" si="190"/>
        <v/>
      </c>
      <c r="K2394" s="92" t="str">
        <f>IF(AND(A2394="",B2394="",D2394="",G2394=""),"",IF(AND(A2394&lt;&gt;"",COUNTIF($A$2:$A$5001,A2394)&gt;1),"NUMERO_PC duplicado",IF(B2394="","DATA_PC vazia",IF(NOT(ISNUMBER(B2394)),"DATA_PC invalida",IF(OR(C2394="",C2394="Fora dos ciclos"),"CICLO_PC nao identificado",IF(OR(D2394="",D2394=0),"VALOR_PC vazio ou zero",IF(AND(G2394&lt;&gt;"Sim",G2394&lt;&gt;"Nao",G2394&lt;&gt;""),"PC_PAGO_A_CONTRATADA invalido",IF(AND(C2394&lt;&gt;"C0",IFERROR(INDEX(parametros!$A$2:$A$6,MATCH(C2394,parametros!$B$2:$B$6,0)),"")="Sim",IFERROR(INDEX(parametros!$H$2:$H$6,MATCH(C2394,parametros!$B$2:$B$6,0)),"")=""),"INICIO_EFEITO ausente: PC "&amp;A2394&amp;" - "&amp;C2394,IF(L2394="","EFEITO_PC nao calculado: PC "&amp;A2394&amp;" - "&amp;C2394,"OK")))))))))</f>
        <v/>
      </c>
      <c r="L2394" s="92" t="str">
        <f>IF(AND(A2394="",B2394="",D2394="",G2394=""),"",IF(OR(B2394="",NOT(ISNUMBER(B2394)),C2394="",C2394="Fora dos ciclos"),"",IF(C2394="C0","Nao",IF(IFERROR(INDEX(parametros!$A$2:$A$6,MATCH(C2394,parametros!$B$2:$B$6,0)),"")&lt;&gt;"Sim","Nao",IF(IFERROR(INDEX(parametros!$H$2:$H$6,MATCH(C2394,parametros!$B$2:$B$6,0)),"")="","",IF(B2394&gt;=IFERROR(INDEX(parametros!$H$2:$H$6,MATCH(C2394,parametros!$B$2:$B$6,0)),""),"Sim","Nao"))))))</f>
        <v/>
      </c>
      <c r="T2394" s="156"/>
      <c r="U2394" s="214" t="str">
        <f t="shared" si="191"/>
        <v/>
      </c>
      <c r="V2394" s="212" t="s">
        <v>50</v>
      </c>
      <c r="W2394" s="100" t="s">
        <v>168</v>
      </c>
      <c r="X2394" s="100" t="s">
        <v>169</v>
      </c>
      <c r="Y2394" s="101" t="s">
        <v>170</v>
      </c>
      <c r="Z2394" s="101" t="s">
        <v>171</v>
      </c>
      <c r="AA2394" s="101" t="s">
        <v>50</v>
      </c>
      <c r="AB2394" s="101" t="s">
        <v>172</v>
      </c>
      <c r="AC2394" s="102" t="s">
        <v>173</v>
      </c>
    </row>
    <row r="2395" spans="1:29" ht="25.5" customHeight="1" x14ac:dyDescent="0.35">
      <c r="A2395" s="392"/>
      <c r="B2395" s="393"/>
      <c r="C2395" s="99" t="str">
        <f>IF(B2395="","",IF(NOT(ISNUMBER(B2395)),"DATA_PC invalida",IF(NOT(ISNUMBER(parametros!$C$2)),"Fora dos ciclos",IF(OR(B2395&lt;parametros!$C$2,(YEAR(B2395)-YEAR(parametros!$C$2))*12+MONTH(B2395)-MONTH(parametros!$C$2)&gt;59),"Fora dos ciclos","C"&amp;INT(((YEAR(B2395)-YEAR(parametros!$C$2))*12+MONTH(B2395)-MONTH(parametros!$C$2))/12)))))</f>
        <v/>
      </c>
      <c r="D2395" s="394"/>
      <c r="E2395" s="78" t="str">
        <f>IF(C2395="","",IFERROR(VLOOKUP(C2395,parametros!$A$11:$E$15,5,0),""))</f>
        <v/>
      </c>
      <c r="F2395" s="79" t="str">
        <f t="shared" si="187"/>
        <v/>
      </c>
      <c r="G2395" s="395"/>
      <c r="H2395" s="91">
        <f t="shared" si="188"/>
        <v>0</v>
      </c>
      <c r="I2395" s="91" t="str">
        <f t="shared" si="189"/>
        <v/>
      </c>
      <c r="J2395" s="91" t="str">
        <f t="shared" si="190"/>
        <v/>
      </c>
      <c r="K2395" s="92" t="str">
        <f>IF(AND(A2395="",B2395="",D2395="",G2395=""),"",IF(AND(A2395&lt;&gt;"",COUNTIF($A$2:$A$5001,A2395)&gt;1),"NUMERO_PC duplicado",IF(B2395="","DATA_PC vazia",IF(NOT(ISNUMBER(B2395)),"DATA_PC invalida",IF(OR(C2395="",C2395="Fora dos ciclos"),"CICLO_PC nao identificado",IF(OR(D2395="",D2395=0),"VALOR_PC vazio ou zero",IF(AND(G2395&lt;&gt;"Sim",G2395&lt;&gt;"Nao",G2395&lt;&gt;""),"PC_PAGO_A_CONTRATADA invalido",IF(AND(C2395&lt;&gt;"C0",IFERROR(INDEX(parametros!$A$2:$A$6,MATCH(C2395,parametros!$B$2:$B$6,0)),"")="Sim",IFERROR(INDEX(parametros!$H$2:$H$6,MATCH(C2395,parametros!$B$2:$B$6,0)),"")=""),"INICIO_EFEITO ausente: PC "&amp;A2395&amp;" - "&amp;C2395,IF(L2395="","EFEITO_PC nao calculado: PC "&amp;A2395&amp;" - "&amp;C2395,"OK")))))))))</f>
        <v/>
      </c>
      <c r="L2395" s="92" t="str">
        <f>IF(AND(A2395="",B2395="",D2395="",G2395=""),"",IF(OR(B2395="",NOT(ISNUMBER(B2395)),C2395="",C2395="Fora dos ciclos"),"",IF(C2395="C0","Nao",IF(IFERROR(INDEX(parametros!$A$2:$A$6,MATCH(C2395,parametros!$B$2:$B$6,0)),"")&lt;&gt;"Sim","Nao",IF(IFERROR(INDEX(parametros!$H$2:$H$6,MATCH(C2395,parametros!$B$2:$B$6,0)),"")="","",IF(B2395&gt;=IFERROR(INDEX(parametros!$H$2:$H$6,MATCH(C2395,parametros!$B$2:$B$6,0)),""),"Sim","Nao"))))))</f>
        <v/>
      </c>
      <c r="T2395" s="156"/>
      <c r="U2395" s="214" t="str">
        <f t="shared" si="191"/>
        <v/>
      </c>
      <c r="V2395" s="212" t="s">
        <v>50</v>
      </c>
      <c r="W2395" s="100" t="s">
        <v>168</v>
      </c>
      <c r="X2395" s="100" t="s">
        <v>169</v>
      </c>
      <c r="Y2395" s="101" t="s">
        <v>170</v>
      </c>
      <c r="Z2395" s="101" t="s">
        <v>171</v>
      </c>
      <c r="AA2395" s="101" t="s">
        <v>50</v>
      </c>
      <c r="AB2395" s="101" t="s">
        <v>172</v>
      </c>
      <c r="AC2395" s="102" t="s">
        <v>173</v>
      </c>
    </row>
    <row r="2396" spans="1:29" ht="25.5" customHeight="1" x14ac:dyDescent="0.35">
      <c r="A2396" s="392"/>
      <c r="B2396" s="393"/>
      <c r="C2396" s="99" t="str">
        <f>IF(B2396="","",IF(NOT(ISNUMBER(B2396)),"DATA_PC invalida",IF(NOT(ISNUMBER(parametros!$C$2)),"Fora dos ciclos",IF(OR(B2396&lt;parametros!$C$2,(YEAR(B2396)-YEAR(parametros!$C$2))*12+MONTH(B2396)-MONTH(parametros!$C$2)&gt;59),"Fora dos ciclos","C"&amp;INT(((YEAR(B2396)-YEAR(parametros!$C$2))*12+MONTH(B2396)-MONTH(parametros!$C$2))/12)))))</f>
        <v/>
      </c>
      <c r="D2396" s="394"/>
      <c r="E2396" s="78" t="str">
        <f>IF(C2396="","",IFERROR(VLOOKUP(C2396,parametros!$A$11:$E$15,5,0),""))</f>
        <v/>
      </c>
      <c r="F2396" s="79" t="str">
        <f t="shared" si="187"/>
        <v/>
      </c>
      <c r="G2396" s="395"/>
      <c r="H2396" s="91">
        <f t="shared" si="188"/>
        <v>0</v>
      </c>
      <c r="I2396" s="91" t="str">
        <f t="shared" si="189"/>
        <v/>
      </c>
      <c r="J2396" s="91" t="str">
        <f t="shared" si="190"/>
        <v/>
      </c>
      <c r="K2396" s="92" t="str">
        <f>IF(AND(A2396="",B2396="",D2396="",G2396=""),"",IF(AND(A2396&lt;&gt;"",COUNTIF($A$2:$A$5001,A2396)&gt;1),"NUMERO_PC duplicado",IF(B2396="","DATA_PC vazia",IF(NOT(ISNUMBER(B2396)),"DATA_PC invalida",IF(OR(C2396="",C2396="Fora dos ciclos"),"CICLO_PC nao identificado",IF(OR(D2396="",D2396=0),"VALOR_PC vazio ou zero",IF(AND(G2396&lt;&gt;"Sim",G2396&lt;&gt;"Nao",G2396&lt;&gt;""),"PC_PAGO_A_CONTRATADA invalido",IF(AND(C2396&lt;&gt;"C0",IFERROR(INDEX(parametros!$A$2:$A$6,MATCH(C2396,parametros!$B$2:$B$6,0)),"")="Sim",IFERROR(INDEX(parametros!$H$2:$H$6,MATCH(C2396,parametros!$B$2:$B$6,0)),"")=""),"INICIO_EFEITO ausente: PC "&amp;A2396&amp;" - "&amp;C2396,IF(L2396="","EFEITO_PC nao calculado: PC "&amp;A2396&amp;" - "&amp;C2396,"OK")))))))))</f>
        <v/>
      </c>
      <c r="L2396" s="92" t="str">
        <f>IF(AND(A2396="",B2396="",D2396="",G2396=""),"",IF(OR(B2396="",NOT(ISNUMBER(B2396)),C2396="",C2396="Fora dos ciclos"),"",IF(C2396="C0","Nao",IF(IFERROR(INDEX(parametros!$A$2:$A$6,MATCH(C2396,parametros!$B$2:$B$6,0)),"")&lt;&gt;"Sim","Nao",IF(IFERROR(INDEX(parametros!$H$2:$H$6,MATCH(C2396,parametros!$B$2:$B$6,0)),"")="","",IF(B2396&gt;=IFERROR(INDEX(parametros!$H$2:$H$6,MATCH(C2396,parametros!$B$2:$B$6,0)),""),"Sim","Nao"))))))</f>
        <v/>
      </c>
      <c r="T2396" s="156"/>
      <c r="U2396" s="214" t="str">
        <f t="shared" si="191"/>
        <v/>
      </c>
      <c r="V2396" s="212" t="s">
        <v>50</v>
      </c>
      <c r="W2396" s="100" t="s">
        <v>168</v>
      </c>
      <c r="X2396" s="100" t="s">
        <v>169</v>
      </c>
      <c r="Y2396" s="101" t="s">
        <v>170</v>
      </c>
      <c r="Z2396" s="101" t="s">
        <v>171</v>
      </c>
      <c r="AA2396" s="101" t="s">
        <v>50</v>
      </c>
      <c r="AB2396" s="101" t="s">
        <v>172</v>
      </c>
      <c r="AC2396" s="102" t="s">
        <v>173</v>
      </c>
    </row>
    <row r="2397" spans="1:29" ht="25.5" customHeight="1" x14ac:dyDescent="0.35">
      <c r="A2397" s="392"/>
      <c r="B2397" s="393"/>
      <c r="C2397" s="99" t="str">
        <f>IF(B2397="","",IF(NOT(ISNUMBER(B2397)),"DATA_PC invalida",IF(NOT(ISNUMBER(parametros!$C$2)),"Fora dos ciclos",IF(OR(B2397&lt;parametros!$C$2,(YEAR(B2397)-YEAR(parametros!$C$2))*12+MONTH(B2397)-MONTH(parametros!$C$2)&gt;59),"Fora dos ciclos","C"&amp;INT(((YEAR(B2397)-YEAR(parametros!$C$2))*12+MONTH(B2397)-MONTH(parametros!$C$2))/12)))))</f>
        <v/>
      </c>
      <c r="D2397" s="394"/>
      <c r="E2397" s="78" t="str">
        <f>IF(C2397="","",IFERROR(VLOOKUP(C2397,parametros!$A$11:$E$15,5,0),""))</f>
        <v/>
      </c>
      <c r="F2397" s="79" t="str">
        <f t="shared" si="187"/>
        <v/>
      </c>
      <c r="G2397" s="395"/>
      <c r="H2397" s="91">
        <f t="shared" si="188"/>
        <v>0</v>
      </c>
      <c r="I2397" s="91" t="str">
        <f t="shared" si="189"/>
        <v/>
      </c>
      <c r="J2397" s="91" t="str">
        <f t="shared" si="190"/>
        <v/>
      </c>
      <c r="K2397" s="92" t="str">
        <f>IF(AND(A2397="",B2397="",D2397="",G2397=""),"",IF(AND(A2397&lt;&gt;"",COUNTIF($A$2:$A$5001,A2397)&gt;1),"NUMERO_PC duplicado",IF(B2397="","DATA_PC vazia",IF(NOT(ISNUMBER(B2397)),"DATA_PC invalida",IF(OR(C2397="",C2397="Fora dos ciclos"),"CICLO_PC nao identificado",IF(OR(D2397="",D2397=0),"VALOR_PC vazio ou zero",IF(AND(G2397&lt;&gt;"Sim",G2397&lt;&gt;"Nao",G2397&lt;&gt;""),"PC_PAGO_A_CONTRATADA invalido",IF(AND(C2397&lt;&gt;"C0",IFERROR(INDEX(parametros!$A$2:$A$6,MATCH(C2397,parametros!$B$2:$B$6,0)),"")="Sim",IFERROR(INDEX(parametros!$H$2:$H$6,MATCH(C2397,parametros!$B$2:$B$6,0)),"")=""),"INICIO_EFEITO ausente: PC "&amp;A2397&amp;" - "&amp;C2397,IF(L2397="","EFEITO_PC nao calculado: PC "&amp;A2397&amp;" - "&amp;C2397,"OK")))))))))</f>
        <v/>
      </c>
      <c r="L2397" s="92" t="str">
        <f>IF(AND(A2397="",B2397="",D2397="",G2397=""),"",IF(OR(B2397="",NOT(ISNUMBER(B2397)),C2397="",C2397="Fora dos ciclos"),"",IF(C2397="C0","Nao",IF(IFERROR(INDEX(parametros!$A$2:$A$6,MATCH(C2397,parametros!$B$2:$B$6,0)),"")&lt;&gt;"Sim","Nao",IF(IFERROR(INDEX(parametros!$H$2:$H$6,MATCH(C2397,parametros!$B$2:$B$6,0)),"")="","",IF(B2397&gt;=IFERROR(INDEX(parametros!$H$2:$H$6,MATCH(C2397,parametros!$B$2:$B$6,0)),""),"Sim","Nao"))))))</f>
        <v/>
      </c>
      <c r="T2397" s="156"/>
      <c r="U2397" s="214" t="str">
        <f t="shared" si="191"/>
        <v/>
      </c>
      <c r="V2397" s="212" t="s">
        <v>50</v>
      </c>
      <c r="W2397" s="100" t="s">
        <v>168</v>
      </c>
      <c r="X2397" s="100" t="s">
        <v>169</v>
      </c>
      <c r="Y2397" s="101" t="s">
        <v>170</v>
      </c>
      <c r="Z2397" s="101" t="s">
        <v>171</v>
      </c>
      <c r="AA2397" s="101" t="s">
        <v>50</v>
      </c>
      <c r="AB2397" s="101" t="s">
        <v>172</v>
      </c>
      <c r="AC2397" s="102" t="s">
        <v>173</v>
      </c>
    </row>
    <row r="2398" spans="1:29" ht="25.5" customHeight="1" x14ac:dyDescent="0.35">
      <c r="A2398" s="392"/>
      <c r="B2398" s="393"/>
      <c r="C2398" s="99" t="str">
        <f>IF(B2398="","",IF(NOT(ISNUMBER(B2398)),"DATA_PC invalida",IF(NOT(ISNUMBER(parametros!$C$2)),"Fora dos ciclos",IF(OR(B2398&lt;parametros!$C$2,(YEAR(B2398)-YEAR(parametros!$C$2))*12+MONTH(B2398)-MONTH(parametros!$C$2)&gt;59),"Fora dos ciclos","C"&amp;INT(((YEAR(B2398)-YEAR(parametros!$C$2))*12+MONTH(B2398)-MONTH(parametros!$C$2))/12)))))</f>
        <v/>
      </c>
      <c r="D2398" s="394"/>
      <c r="E2398" s="78" t="str">
        <f>IF(C2398="","",IFERROR(VLOOKUP(C2398,parametros!$A$11:$E$15,5,0),""))</f>
        <v/>
      </c>
      <c r="F2398" s="79" t="str">
        <f t="shared" si="187"/>
        <v/>
      </c>
      <c r="G2398" s="395"/>
      <c r="H2398" s="91">
        <f t="shared" si="188"/>
        <v>0</v>
      </c>
      <c r="I2398" s="91" t="str">
        <f t="shared" si="189"/>
        <v/>
      </c>
      <c r="J2398" s="91" t="str">
        <f t="shared" si="190"/>
        <v/>
      </c>
      <c r="K2398" s="92" t="str">
        <f>IF(AND(A2398="",B2398="",D2398="",G2398=""),"",IF(AND(A2398&lt;&gt;"",COUNTIF($A$2:$A$5001,A2398)&gt;1),"NUMERO_PC duplicado",IF(B2398="","DATA_PC vazia",IF(NOT(ISNUMBER(B2398)),"DATA_PC invalida",IF(OR(C2398="",C2398="Fora dos ciclos"),"CICLO_PC nao identificado",IF(OR(D2398="",D2398=0),"VALOR_PC vazio ou zero",IF(AND(G2398&lt;&gt;"Sim",G2398&lt;&gt;"Nao",G2398&lt;&gt;""),"PC_PAGO_A_CONTRATADA invalido",IF(AND(C2398&lt;&gt;"C0",IFERROR(INDEX(parametros!$A$2:$A$6,MATCH(C2398,parametros!$B$2:$B$6,0)),"")="Sim",IFERROR(INDEX(parametros!$H$2:$H$6,MATCH(C2398,parametros!$B$2:$B$6,0)),"")=""),"INICIO_EFEITO ausente: PC "&amp;A2398&amp;" - "&amp;C2398,IF(L2398="","EFEITO_PC nao calculado: PC "&amp;A2398&amp;" - "&amp;C2398,"OK")))))))))</f>
        <v/>
      </c>
      <c r="L2398" s="92" t="str">
        <f>IF(AND(A2398="",B2398="",D2398="",G2398=""),"",IF(OR(B2398="",NOT(ISNUMBER(B2398)),C2398="",C2398="Fora dos ciclos"),"",IF(C2398="C0","Nao",IF(IFERROR(INDEX(parametros!$A$2:$A$6,MATCH(C2398,parametros!$B$2:$B$6,0)),"")&lt;&gt;"Sim","Nao",IF(IFERROR(INDEX(parametros!$H$2:$H$6,MATCH(C2398,parametros!$B$2:$B$6,0)),"")="","",IF(B2398&gt;=IFERROR(INDEX(parametros!$H$2:$H$6,MATCH(C2398,parametros!$B$2:$B$6,0)),""),"Sim","Nao"))))))</f>
        <v/>
      </c>
      <c r="T2398" s="156"/>
      <c r="U2398" s="214" t="str">
        <f t="shared" si="191"/>
        <v/>
      </c>
      <c r="V2398" s="212" t="s">
        <v>50</v>
      </c>
      <c r="W2398" s="100" t="s">
        <v>168</v>
      </c>
      <c r="X2398" s="100" t="s">
        <v>169</v>
      </c>
      <c r="Y2398" s="101" t="s">
        <v>170</v>
      </c>
      <c r="Z2398" s="101" t="s">
        <v>171</v>
      </c>
      <c r="AA2398" s="101" t="s">
        <v>50</v>
      </c>
      <c r="AB2398" s="101" t="s">
        <v>172</v>
      </c>
      <c r="AC2398" s="102" t="s">
        <v>173</v>
      </c>
    </row>
    <row r="2399" spans="1:29" ht="25.5" customHeight="1" x14ac:dyDescent="0.35">
      <c r="A2399" s="392"/>
      <c r="B2399" s="393"/>
      <c r="C2399" s="99" t="str">
        <f>IF(B2399="","",IF(NOT(ISNUMBER(B2399)),"DATA_PC invalida",IF(NOT(ISNUMBER(parametros!$C$2)),"Fora dos ciclos",IF(OR(B2399&lt;parametros!$C$2,(YEAR(B2399)-YEAR(parametros!$C$2))*12+MONTH(B2399)-MONTH(parametros!$C$2)&gt;59),"Fora dos ciclos","C"&amp;INT(((YEAR(B2399)-YEAR(parametros!$C$2))*12+MONTH(B2399)-MONTH(parametros!$C$2))/12)))))</f>
        <v/>
      </c>
      <c r="D2399" s="394"/>
      <c r="E2399" s="78" t="str">
        <f>IF(C2399="","",IFERROR(VLOOKUP(C2399,parametros!$A$11:$E$15,5,0),""))</f>
        <v/>
      </c>
      <c r="F2399" s="79" t="str">
        <f t="shared" si="187"/>
        <v/>
      </c>
      <c r="G2399" s="395"/>
      <c r="H2399" s="91">
        <f t="shared" si="188"/>
        <v>0</v>
      </c>
      <c r="I2399" s="91" t="str">
        <f t="shared" si="189"/>
        <v/>
      </c>
      <c r="J2399" s="91" t="str">
        <f t="shared" si="190"/>
        <v/>
      </c>
      <c r="K2399" s="92" t="str">
        <f>IF(AND(A2399="",B2399="",D2399="",G2399=""),"",IF(AND(A2399&lt;&gt;"",COUNTIF($A$2:$A$5001,A2399)&gt;1),"NUMERO_PC duplicado",IF(B2399="","DATA_PC vazia",IF(NOT(ISNUMBER(B2399)),"DATA_PC invalida",IF(OR(C2399="",C2399="Fora dos ciclos"),"CICLO_PC nao identificado",IF(OR(D2399="",D2399=0),"VALOR_PC vazio ou zero",IF(AND(G2399&lt;&gt;"Sim",G2399&lt;&gt;"Nao",G2399&lt;&gt;""),"PC_PAGO_A_CONTRATADA invalido",IF(AND(C2399&lt;&gt;"C0",IFERROR(INDEX(parametros!$A$2:$A$6,MATCH(C2399,parametros!$B$2:$B$6,0)),"")="Sim",IFERROR(INDEX(parametros!$H$2:$H$6,MATCH(C2399,parametros!$B$2:$B$6,0)),"")=""),"INICIO_EFEITO ausente: PC "&amp;A2399&amp;" - "&amp;C2399,IF(L2399="","EFEITO_PC nao calculado: PC "&amp;A2399&amp;" - "&amp;C2399,"OK")))))))))</f>
        <v/>
      </c>
      <c r="L2399" s="92" t="str">
        <f>IF(AND(A2399="",B2399="",D2399="",G2399=""),"",IF(OR(B2399="",NOT(ISNUMBER(B2399)),C2399="",C2399="Fora dos ciclos"),"",IF(C2399="C0","Nao",IF(IFERROR(INDEX(parametros!$A$2:$A$6,MATCH(C2399,parametros!$B$2:$B$6,0)),"")&lt;&gt;"Sim","Nao",IF(IFERROR(INDEX(parametros!$H$2:$H$6,MATCH(C2399,parametros!$B$2:$B$6,0)),"")="","",IF(B2399&gt;=IFERROR(INDEX(parametros!$H$2:$H$6,MATCH(C2399,parametros!$B$2:$B$6,0)),""),"Sim","Nao"))))))</f>
        <v/>
      </c>
      <c r="T2399" s="156"/>
      <c r="U2399" s="214" t="str">
        <f t="shared" si="191"/>
        <v/>
      </c>
      <c r="V2399" s="212" t="s">
        <v>50</v>
      </c>
      <c r="W2399" s="100" t="s">
        <v>168</v>
      </c>
      <c r="X2399" s="100" t="s">
        <v>169</v>
      </c>
      <c r="Y2399" s="101" t="s">
        <v>170</v>
      </c>
      <c r="Z2399" s="101" t="s">
        <v>171</v>
      </c>
      <c r="AA2399" s="101" t="s">
        <v>50</v>
      </c>
      <c r="AB2399" s="101" t="s">
        <v>172</v>
      </c>
      <c r="AC2399" s="102" t="s">
        <v>173</v>
      </c>
    </row>
    <row r="2400" spans="1:29" ht="25.5" customHeight="1" x14ac:dyDescent="0.35">
      <c r="A2400" s="392"/>
      <c r="B2400" s="393"/>
      <c r="C2400" s="99" t="str">
        <f>IF(B2400="","",IF(NOT(ISNUMBER(B2400)),"DATA_PC invalida",IF(NOT(ISNUMBER(parametros!$C$2)),"Fora dos ciclos",IF(OR(B2400&lt;parametros!$C$2,(YEAR(B2400)-YEAR(parametros!$C$2))*12+MONTH(B2400)-MONTH(parametros!$C$2)&gt;59),"Fora dos ciclos","C"&amp;INT(((YEAR(B2400)-YEAR(parametros!$C$2))*12+MONTH(B2400)-MONTH(parametros!$C$2))/12)))))</f>
        <v/>
      </c>
      <c r="D2400" s="394"/>
      <c r="E2400" s="78" t="str">
        <f>IF(C2400="","",IFERROR(VLOOKUP(C2400,parametros!$A$11:$E$15,5,0),""))</f>
        <v/>
      </c>
      <c r="F2400" s="79" t="str">
        <f t="shared" si="187"/>
        <v/>
      </c>
      <c r="G2400" s="395"/>
      <c r="H2400" s="91">
        <f t="shared" si="188"/>
        <v>0</v>
      </c>
      <c r="I2400" s="91" t="str">
        <f t="shared" si="189"/>
        <v/>
      </c>
      <c r="J2400" s="91" t="str">
        <f t="shared" si="190"/>
        <v/>
      </c>
      <c r="K2400" s="92" t="str">
        <f>IF(AND(A2400="",B2400="",D2400="",G2400=""),"",IF(AND(A2400&lt;&gt;"",COUNTIF($A$2:$A$5001,A2400)&gt;1),"NUMERO_PC duplicado",IF(B2400="","DATA_PC vazia",IF(NOT(ISNUMBER(B2400)),"DATA_PC invalida",IF(OR(C2400="",C2400="Fora dos ciclos"),"CICLO_PC nao identificado",IF(OR(D2400="",D2400=0),"VALOR_PC vazio ou zero",IF(AND(G2400&lt;&gt;"Sim",G2400&lt;&gt;"Nao",G2400&lt;&gt;""),"PC_PAGO_A_CONTRATADA invalido",IF(AND(C2400&lt;&gt;"C0",IFERROR(INDEX(parametros!$A$2:$A$6,MATCH(C2400,parametros!$B$2:$B$6,0)),"")="Sim",IFERROR(INDEX(parametros!$H$2:$H$6,MATCH(C2400,parametros!$B$2:$B$6,0)),"")=""),"INICIO_EFEITO ausente: PC "&amp;A2400&amp;" - "&amp;C2400,IF(L2400="","EFEITO_PC nao calculado: PC "&amp;A2400&amp;" - "&amp;C2400,"OK")))))))))</f>
        <v/>
      </c>
      <c r="L2400" s="92" t="str">
        <f>IF(AND(A2400="",B2400="",D2400="",G2400=""),"",IF(OR(B2400="",NOT(ISNUMBER(B2400)),C2400="",C2400="Fora dos ciclos"),"",IF(C2400="C0","Nao",IF(IFERROR(INDEX(parametros!$A$2:$A$6,MATCH(C2400,parametros!$B$2:$B$6,0)),"")&lt;&gt;"Sim","Nao",IF(IFERROR(INDEX(parametros!$H$2:$H$6,MATCH(C2400,parametros!$B$2:$B$6,0)),"")="","",IF(B2400&gt;=IFERROR(INDEX(parametros!$H$2:$H$6,MATCH(C2400,parametros!$B$2:$B$6,0)),""),"Sim","Nao"))))))</f>
        <v/>
      </c>
      <c r="T2400" s="156"/>
      <c r="U2400" s="214" t="str">
        <f t="shared" si="191"/>
        <v/>
      </c>
      <c r="V2400" s="212" t="s">
        <v>50</v>
      </c>
      <c r="W2400" s="100" t="s">
        <v>168</v>
      </c>
      <c r="X2400" s="100" t="s">
        <v>169</v>
      </c>
      <c r="Y2400" s="101" t="s">
        <v>170</v>
      </c>
      <c r="Z2400" s="101" t="s">
        <v>171</v>
      </c>
      <c r="AA2400" s="101" t="s">
        <v>50</v>
      </c>
      <c r="AB2400" s="101" t="s">
        <v>172</v>
      </c>
      <c r="AC2400" s="102" t="s">
        <v>173</v>
      </c>
    </row>
    <row r="2401" spans="1:29" ht="25.5" customHeight="1" x14ac:dyDescent="0.35">
      <c r="A2401" s="392"/>
      <c r="B2401" s="393"/>
      <c r="C2401" s="99" t="str">
        <f>IF(B2401="","",IF(NOT(ISNUMBER(B2401)),"DATA_PC invalida",IF(NOT(ISNUMBER(parametros!$C$2)),"Fora dos ciclos",IF(OR(B2401&lt;parametros!$C$2,(YEAR(B2401)-YEAR(parametros!$C$2))*12+MONTH(B2401)-MONTH(parametros!$C$2)&gt;59),"Fora dos ciclos","C"&amp;INT(((YEAR(B2401)-YEAR(parametros!$C$2))*12+MONTH(B2401)-MONTH(parametros!$C$2))/12)))))</f>
        <v/>
      </c>
      <c r="D2401" s="394"/>
      <c r="E2401" s="78" t="str">
        <f>IF(C2401="","",IFERROR(VLOOKUP(C2401,parametros!$A$11:$E$15,5,0),""))</f>
        <v/>
      </c>
      <c r="F2401" s="79" t="str">
        <f t="shared" si="187"/>
        <v/>
      </c>
      <c r="G2401" s="395"/>
      <c r="H2401" s="91">
        <f t="shared" si="188"/>
        <v>0</v>
      </c>
      <c r="I2401" s="91" t="str">
        <f t="shared" si="189"/>
        <v/>
      </c>
      <c r="J2401" s="91" t="str">
        <f t="shared" si="190"/>
        <v/>
      </c>
      <c r="K2401" s="92" t="str">
        <f>IF(AND(A2401="",B2401="",D2401="",G2401=""),"",IF(AND(A2401&lt;&gt;"",COUNTIF($A$2:$A$5001,A2401)&gt;1),"NUMERO_PC duplicado",IF(B2401="","DATA_PC vazia",IF(NOT(ISNUMBER(B2401)),"DATA_PC invalida",IF(OR(C2401="",C2401="Fora dos ciclos"),"CICLO_PC nao identificado",IF(OR(D2401="",D2401=0),"VALOR_PC vazio ou zero",IF(AND(G2401&lt;&gt;"Sim",G2401&lt;&gt;"Nao",G2401&lt;&gt;""),"PC_PAGO_A_CONTRATADA invalido",IF(AND(C2401&lt;&gt;"C0",IFERROR(INDEX(parametros!$A$2:$A$6,MATCH(C2401,parametros!$B$2:$B$6,0)),"")="Sim",IFERROR(INDEX(parametros!$H$2:$H$6,MATCH(C2401,parametros!$B$2:$B$6,0)),"")=""),"INICIO_EFEITO ausente: PC "&amp;A2401&amp;" - "&amp;C2401,IF(L2401="","EFEITO_PC nao calculado: PC "&amp;A2401&amp;" - "&amp;C2401,"OK")))))))))</f>
        <v/>
      </c>
      <c r="L2401" s="92" t="str">
        <f>IF(AND(A2401="",B2401="",D2401="",G2401=""),"",IF(OR(B2401="",NOT(ISNUMBER(B2401)),C2401="",C2401="Fora dos ciclos"),"",IF(C2401="C0","Nao",IF(IFERROR(INDEX(parametros!$A$2:$A$6,MATCH(C2401,parametros!$B$2:$B$6,0)),"")&lt;&gt;"Sim","Nao",IF(IFERROR(INDEX(parametros!$H$2:$H$6,MATCH(C2401,parametros!$B$2:$B$6,0)),"")="","",IF(B2401&gt;=IFERROR(INDEX(parametros!$H$2:$H$6,MATCH(C2401,parametros!$B$2:$B$6,0)),""),"Sim","Nao"))))))</f>
        <v/>
      </c>
      <c r="T2401" s="156"/>
      <c r="U2401" s="214" t="str">
        <f t="shared" si="191"/>
        <v/>
      </c>
      <c r="V2401" s="212" t="s">
        <v>50</v>
      </c>
      <c r="W2401" s="100" t="s">
        <v>168</v>
      </c>
      <c r="X2401" s="100" t="s">
        <v>169</v>
      </c>
      <c r="Y2401" s="101" t="s">
        <v>170</v>
      </c>
      <c r="Z2401" s="101" t="s">
        <v>171</v>
      </c>
      <c r="AA2401" s="101" t="s">
        <v>50</v>
      </c>
      <c r="AB2401" s="101" t="s">
        <v>172</v>
      </c>
      <c r="AC2401" s="102" t="s">
        <v>173</v>
      </c>
    </row>
    <row r="2402" spans="1:29" ht="25.5" customHeight="1" x14ac:dyDescent="0.35">
      <c r="A2402" s="392"/>
      <c r="B2402" s="393"/>
      <c r="C2402" s="99" t="str">
        <f>IF(B2402="","",IF(NOT(ISNUMBER(B2402)),"DATA_PC invalida",IF(NOT(ISNUMBER(parametros!$C$2)),"Fora dos ciclos",IF(OR(B2402&lt;parametros!$C$2,(YEAR(B2402)-YEAR(parametros!$C$2))*12+MONTH(B2402)-MONTH(parametros!$C$2)&gt;59),"Fora dos ciclos","C"&amp;INT(((YEAR(B2402)-YEAR(parametros!$C$2))*12+MONTH(B2402)-MONTH(parametros!$C$2))/12)))))</f>
        <v/>
      </c>
      <c r="D2402" s="394"/>
      <c r="E2402" s="78" t="str">
        <f>IF(C2402="","",IFERROR(VLOOKUP(C2402,parametros!$A$11:$E$15,5,0),""))</f>
        <v/>
      </c>
      <c r="F2402" s="79" t="str">
        <f t="shared" si="187"/>
        <v/>
      </c>
      <c r="G2402" s="395"/>
      <c r="H2402" s="91">
        <f t="shared" si="188"/>
        <v>0</v>
      </c>
      <c r="I2402" s="91" t="str">
        <f t="shared" si="189"/>
        <v/>
      </c>
      <c r="J2402" s="91" t="str">
        <f t="shared" si="190"/>
        <v/>
      </c>
      <c r="K2402" s="92" t="str">
        <f>IF(AND(A2402="",B2402="",D2402="",G2402=""),"",IF(AND(A2402&lt;&gt;"",COUNTIF($A$2:$A$5001,A2402)&gt;1),"NUMERO_PC duplicado",IF(B2402="","DATA_PC vazia",IF(NOT(ISNUMBER(B2402)),"DATA_PC invalida",IF(OR(C2402="",C2402="Fora dos ciclos"),"CICLO_PC nao identificado",IF(OR(D2402="",D2402=0),"VALOR_PC vazio ou zero",IF(AND(G2402&lt;&gt;"Sim",G2402&lt;&gt;"Nao",G2402&lt;&gt;""),"PC_PAGO_A_CONTRATADA invalido",IF(AND(C2402&lt;&gt;"C0",IFERROR(INDEX(parametros!$A$2:$A$6,MATCH(C2402,parametros!$B$2:$B$6,0)),"")="Sim",IFERROR(INDEX(parametros!$H$2:$H$6,MATCH(C2402,parametros!$B$2:$B$6,0)),"")=""),"INICIO_EFEITO ausente: PC "&amp;A2402&amp;" - "&amp;C2402,IF(L2402="","EFEITO_PC nao calculado: PC "&amp;A2402&amp;" - "&amp;C2402,"OK")))))))))</f>
        <v/>
      </c>
      <c r="L2402" s="92" t="str">
        <f>IF(AND(A2402="",B2402="",D2402="",G2402=""),"",IF(OR(B2402="",NOT(ISNUMBER(B2402)),C2402="",C2402="Fora dos ciclos"),"",IF(C2402="C0","Nao",IF(IFERROR(INDEX(parametros!$A$2:$A$6,MATCH(C2402,parametros!$B$2:$B$6,0)),"")&lt;&gt;"Sim","Nao",IF(IFERROR(INDEX(parametros!$H$2:$H$6,MATCH(C2402,parametros!$B$2:$B$6,0)),"")="","",IF(B2402&gt;=IFERROR(INDEX(parametros!$H$2:$H$6,MATCH(C2402,parametros!$B$2:$B$6,0)),""),"Sim","Nao"))))))</f>
        <v/>
      </c>
      <c r="T2402" s="156"/>
      <c r="U2402" s="214" t="str">
        <f t="shared" si="191"/>
        <v/>
      </c>
      <c r="V2402" s="212" t="s">
        <v>50</v>
      </c>
      <c r="W2402" s="100" t="s">
        <v>168</v>
      </c>
      <c r="X2402" s="100" t="s">
        <v>169</v>
      </c>
      <c r="Y2402" s="101" t="s">
        <v>170</v>
      </c>
      <c r="Z2402" s="101" t="s">
        <v>171</v>
      </c>
      <c r="AA2402" s="101" t="s">
        <v>50</v>
      </c>
      <c r="AB2402" s="101" t="s">
        <v>172</v>
      </c>
      <c r="AC2402" s="102" t="s">
        <v>173</v>
      </c>
    </row>
    <row r="2403" spans="1:29" ht="25.5" customHeight="1" x14ac:dyDescent="0.35">
      <c r="A2403" s="392"/>
      <c r="B2403" s="393"/>
      <c r="C2403" s="99" t="str">
        <f>IF(B2403="","",IF(NOT(ISNUMBER(B2403)),"DATA_PC invalida",IF(NOT(ISNUMBER(parametros!$C$2)),"Fora dos ciclos",IF(OR(B2403&lt;parametros!$C$2,(YEAR(B2403)-YEAR(parametros!$C$2))*12+MONTH(B2403)-MONTH(parametros!$C$2)&gt;59),"Fora dos ciclos","C"&amp;INT(((YEAR(B2403)-YEAR(parametros!$C$2))*12+MONTH(B2403)-MONTH(parametros!$C$2))/12)))))</f>
        <v/>
      </c>
      <c r="D2403" s="394"/>
      <c r="E2403" s="78" t="str">
        <f>IF(C2403="","",IFERROR(VLOOKUP(C2403,parametros!$A$11:$E$15,5,0),""))</f>
        <v/>
      </c>
      <c r="F2403" s="79" t="str">
        <f t="shared" si="187"/>
        <v/>
      </c>
      <c r="G2403" s="395"/>
      <c r="H2403" s="91">
        <f t="shared" si="188"/>
        <v>0</v>
      </c>
      <c r="I2403" s="91" t="str">
        <f t="shared" si="189"/>
        <v/>
      </c>
      <c r="J2403" s="91" t="str">
        <f t="shared" si="190"/>
        <v/>
      </c>
      <c r="K2403" s="92" t="str">
        <f>IF(AND(A2403="",B2403="",D2403="",G2403=""),"",IF(AND(A2403&lt;&gt;"",COUNTIF($A$2:$A$5001,A2403)&gt;1),"NUMERO_PC duplicado",IF(B2403="","DATA_PC vazia",IF(NOT(ISNUMBER(B2403)),"DATA_PC invalida",IF(OR(C2403="",C2403="Fora dos ciclos"),"CICLO_PC nao identificado",IF(OR(D2403="",D2403=0),"VALOR_PC vazio ou zero",IF(AND(G2403&lt;&gt;"Sim",G2403&lt;&gt;"Nao",G2403&lt;&gt;""),"PC_PAGO_A_CONTRATADA invalido",IF(AND(C2403&lt;&gt;"C0",IFERROR(INDEX(parametros!$A$2:$A$6,MATCH(C2403,parametros!$B$2:$B$6,0)),"")="Sim",IFERROR(INDEX(parametros!$H$2:$H$6,MATCH(C2403,parametros!$B$2:$B$6,0)),"")=""),"INICIO_EFEITO ausente: PC "&amp;A2403&amp;" - "&amp;C2403,IF(L2403="","EFEITO_PC nao calculado: PC "&amp;A2403&amp;" - "&amp;C2403,"OK")))))))))</f>
        <v/>
      </c>
      <c r="L2403" s="92" t="str">
        <f>IF(AND(A2403="",B2403="",D2403="",G2403=""),"",IF(OR(B2403="",NOT(ISNUMBER(B2403)),C2403="",C2403="Fora dos ciclos"),"",IF(C2403="C0","Nao",IF(IFERROR(INDEX(parametros!$A$2:$A$6,MATCH(C2403,parametros!$B$2:$B$6,0)),"")&lt;&gt;"Sim","Nao",IF(IFERROR(INDEX(parametros!$H$2:$H$6,MATCH(C2403,parametros!$B$2:$B$6,0)),"")="","",IF(B2403&gt;=IFERROR(INDEX(parametros!$H$2:$H$6,MATCH(C2403,parametros!$B$2:$B$6,0)),""),"Sim","Nao"))))))</f>
        <v/>
      </c>
      <c r="T2403" s="156"/>
      <c r="U2403" s="214" t="str">
        <f t="shared" si="191"/>
        <v/>
      </c>
      <c r="V2403" s="212" t="s">
        <v>50</v>
      </c>
      <c r="W2403" s="100" t="s">
        <v>168</v>
      </c>
      <c r="X2403" s="100" t="s">
        <v>169</v>
      </c>
      <c r="Y2403" s="101" t="s">
        <v>170</v>
      </c>
      <c r="Z2403" s="101" t="s">
        <v>171</v>
      </c>
      <c r="AA2403" s="101" t="s">
        <v>50</v>
      </c>
      <c r="AB2403" s="101" t="s">
        <v>172</v>
      </c>
      <c r="AC2403" s="102" t="s">
        <v>173</v>
      </c>
    </row>
    <row r="2404" spans="1:29" ht="25.5" customHeight="1" x14ac:dyDescent="0.35">
      <c r="A2404" s="392"/>
      <c r="B2404" s="393"/>
      <c r="C2404" s="99" t="str">
        <f>IF(B2404="","",IF(NOT(ISNUMBER(B2404)),"DATA_PC invalida",IF(NOT(ISNUMBER(parametros!$C$2)),"Fora dos ciclos",IF(OR(B2404&lt;parametros!$C$2,(YEAR(B2404)-YEAR(parametros!$C$2))*12+MONTH(B2404)-MONTH(parametros!$C$2)&gt;59),"Fora dos ciclos","C"&amp;INT(((YEAR(B2404)-YEAR(parametros!$C$2))*12+MONTH(B2404)-MONTH(parametros!$C$2))/12)))))</f>
        <v/>
      </c>
      <c r="D2404" s="394"/>
      <c r="E2404" s="78" t="str">
        <f>IF(C2404="","",IFERROR(VLOOKUP(C2404,parametros!$A$11:$E$15,5,0),""))</f>
        <v/>
      </c>
      <c r="F2404" s="79" t="str">
        <f t="shared" si="187"/>
        <v/>
      </c>
      <c r="G2404" s="395"/>
      <c r="H2404" s="91">
        <f t="shared" si="188"/>
        <v>0</v>
      </c>
      <c r="I2404" s="91" t="str">
        <f t="shared" si="189"/>
        <v/>
      </c>
      <c r="J2404" s="91" t="str">
        <f t="shared" si="190"/>
        <v/>
      </c>
      <c r="K2404" s="92" t="str">
        <f>IF(AND(A2404="",B2404="",D2404="",G2404=""),"",IF(AND(A2404&lt;&gt;"",COUNTIF($A$2:$A$5001,A2404)&gt;1),"NUMERO_PC duplicado",IF(B2404="","DATA_PC vazia",IF(NOT(ISNUMBER(B2404)),"DATA_PC invalida",IF(OR(C2404="",C2404="Fora dos ciclos"),"CICLO_PC nao identificado",IF(OR(D2404="",D2404=0),"VALOR_PC vazio ou zero",IF(AND(G2404&lt;&gt;"Sim",G2404&lt;&gt;"Nao",G2404&lt;&gt;""),"PC_PAGO_A_CONTRATADA invalido",IF(AND(C2404&lt;&gt;"C0",IFERROR(INDEX(parametros!$A$2:$A$6,MATCH(C2404,parametros!$B$2:$B$6,0)),"")="Sim",IFERROR(INDEX(parametros!$H$2:$H$6,MATCH(C2404,parametros!$B$2:$B$6,0)),"")=""),"INICIO_EFEITO ausente: PC "&amp;A2404&amp;" - "&amp;C2404,IF(L2404="","EFEITO_PC nao calculado: PC "&amp;A2404&amp;" - "&amp;C2404,"OK")))))))))</f>
        <v/>
      </c>
      <c r="L2404" s="92" t="str">
        <f>IF(AND(A2404="",B2404="",D2404="",G2404=""),"",IF(OR(B2404="",NOT(ISNUMBER(B2404)),C2404="",C2404="Fora dos ciclos"),"",IF(C2404="C0","Nao",IF(IFERROR(INDEX(parametros!$A$2:$A$6,MATCH(C2404,parametros!$B$2:$B$6,0)),"")&lt;&gt;"Sim","Nao",IF(IFERROR(INDEX(parametros!$H$2:$H$6,MATCH(C2404,parametros!$B$2:$B$6,0)),"")="","",IF(B2404&gt;=IFERROR(INDEX(parametros!$H$2:$H$6,MATCH(C2404,parametros!$B$2:$B$6,0)),""),"Sim","Nao"))))))</f>
        <v/>
      </c>
      <c r="T2404" s="156"/>
      <c r="U2404" s="214" t="str">
        <f t="shared" si="191"/>
        <v/>
      </c>
      <c r="V2404" s="212" t="s">
        <v>50</v>
      </c>
      <c r="W2404" s="100" t="s">
        <v>168</v>
      </c>
      <c r="X2404" s="100" t="s">
        <v>169</v>
      </c>
      <c r="Y2404" s="101" t="s">
        <v>170</v>
      </c>
      <c r="Z2404" s="101" t="s">
        <v>171</v>
      </c>
      <c r="AA2404" s="101" t="s">
        <v>50</v>
      </c>
      <c r="AB2404" s="101" t="s">
        <v>172</v>
      </c>
      <c r="AC2404" s="102" t="s">
        <v>173</v>
      </c>
    </row>
    <row r="2405" spans="1:29" ht="25.5" customHeight="1" x14ac:dyDescent="0.35">
      <c r="A2405" s="392"/>
      <c r="B2405" s="393"/>
      <c r="C2405" s="99" t="str">
        <f>IF(B2405="","",IF(NOT(ISNUMBER(B2405)),"DATA_PC invalida",IF(NOT(ISNUMBER(parametros!$C$2)),"Fora dos ciclos",IF(OR(B2405&lt;parametros!$C$2,(YEAR(B2405)-YEAR(parametros!$C$2))*12+MONTH(B2405)-MONTH(parametros!$C$2)&gt;59),"Fora dos ciclos","C"&amp;INT(((YEAR(B2405)-YEAR(parametros!$C$2))*12+MONTH(B2405)-MONTH(parametros!$C$2))/12)))))</f>
        <v/>
      </c>
      <c r="D2405" s="394"/>
      <c r="E2405" s="78" t="str">
        <f>IF(C2405="","",IFERROR(VLOOKUP(C2405,parametros!$A$11:$E$15,5,0),""))</f>
        <v/>
      </c>
      <c r="F2405" s="79" t="str">
        <f t="shared" si="187"/>
        <v/>
      </c>
      <c r="G2405" s="395"/>
      <c r="H2405" s="91">
        <f t="shared" si="188"/>
        <v>0</v>
      </c>
      <c r="I2405" s="91" t="str">
        <f t="shared" si="189"/>
        <v/>
      </c>
      <c r="J2405" s="91" t="str">
        <f t="shared" si="190"/>
        <v/>
      </c>
      <c r="K2405" s="92" t="str">
        <f>IF(AND(A2405="",B2405="",D2405="",G2405=""),"",IF(AND(A2405&lt;&gt;"",COUNTIF($A$2:$A$5001,A2405)&gt;1),"NUMERO_PC duplicado",IF(B2405="","DATA_PC vazia",IF(NOT(ISNUMBER(B2405)),"DATA_PC invalida",IF(OR(C2405="",C2405="Fora dos ciclos"),"CICLO_PC nao identificado",IF(OR(D2405="",D2405=0),"VALOR_PC vazio ou zero",IF(AND(G2405&lt;&gt;"Sim",G2405&lt;&gt;"Nao",G2405&lt;&gt;""),"PC_PAGO_A_CONTRATADA invalido",IF(AND(C2405&lt;&gt;"C0",IFERROR(INDEX(parametros!$A$2:$A$6,MATCH(C2405,parametros!$B$2:$B$6,0)),"")="Sim",IFERROR(INDEX(parametros!$H$2:$H$6,MATCH(C2405,parametros!$B$2:$B$6,0)),"")=""),"INICIO_EFEITO ausente: PC "&amp;A2405&amp;" - "&amp;C2405,IF(L2405="","EFEITO_PC nao calculado: PC "&amp;A2405&amp;" - "&amp;C2405,"OK")))))))))</f>
        <v/>
      </c>
      <c r="L2405" s="92" t="str">
        <f>IF(AND(A2405="",B2405="",D2405="",G2405=""),"",IF(OR(B2405="",NOT(ISNUMBER(B2405)),C2405="",C2405="Fora dos ciclos"),"",IF(C2405="C0","Nao",IF(IFERROR(INDEX(parametros!$A$2:$A$6,MATCH(C2405,parametros!$B$2:$B$6,0)),"")&lt;&gt;"Sim","Nao",IF(IFERROR(INDEX(parametros!$H$2:$H$6,MATCH(C2405,parametros!$B$2:$B$6,0)),"")="","",IF(B2405&gt;=IFERROR(INDEX(parametros!$H$2:$H$6,MATCH(C2405,parametros!$B$2:$B$6,0)),""),"Sim","Nao"))))))</f>
        <v/>
      </c>
      <c r="T2405" s="156"/>
      <c r="U2405" s="214" t="str">
        <f t="shared" si="191"/>
        <v/>
      </c>
      <c r="V2405" s="212" t="s">
        <v>50</v>
      </c>
      <c r="W2405" s="100" t="s">
        <v>168</v>
      </c>
      <c r="X2405" s="100" t="s">
        <v>169</v>
      </c>
      <c r="Y2405" s="101" t="s">
        <v>170</v>
      </c>
      <c r="Z2405" s="101" t="s">
        <v>171</v>
      </c>
      <c r="AA2405" s="101" t="s">
        <v>50</v>
      </c>
      <c r="AB2405" s="101" t="s">
        <v>172</v>
      </c>
      <c r="AC2405" s="102" t="s">
        <v>173</v>
      </c>
    </row>
    <row r="2406" spans="1:29" ht="25.5" customHeight="1" x14ac:dyDescent="0.35">
      <c r="A2406" s="392"/>
      <c r="B2406" s="393"/>
      <c r="C2406" s="99" t="str">
        <f>IF(B2406="","",IF(NOT(ISNUMBER(B2406)),"DATA_PC invalida",IF(NOT(ISNUMBER(parametros!$C$2)),"Fora dos ciclos",IF(OR(B2406&lt;parametros!$C$2,(YEAR(B2406)-YEAR(parametros!$C$2))*12+MONTH(B2406)-MONTH(parametros!$C$2)&gt;59),"Fora dos ciclos","C"&amp;INT(((YEAR(B2406)-YEAR(parametros!$C$2))*12+MONTH(B2406)-MONTH(parametros!$C$2))/12)))))</f>
        <v/>
      </c>
      <c r="D2406" s="394"/>
      <c r="E2406" s="78" t="str">
        <f>IF(C2406="","",IFERROR(VLOOKUP(C2406,parametros!$A$11:$E$15,5,0),""))</f>
        <v/>
      </c>
      <c r="F2406" s="79" t="str">
        <f t="shared" si="187"/>
        <v/>
      </c>
      <c r="G2406" s="395"/>
      <c r="H2406" s="91">
        <f t="shared" si="188"/>
        <v>0</v>
      </c>
      <c r="I2406" s="91" t="str">
        <f t="shared" si="189"/>
        <v/>
      </c>
      <c r="J2406" s="91" t="str">
        <f t="shared" si="190"/>
        <v/>
      </c>
      <c r="K2406" s="92" t="str">
        <f>IF(AND(A2406="",B2406="",D2406="",G2406=""),"",IF(AND(A2406&lt;&gt;"",COUNTIF($A$2:$A$5001,A2406)&gt;1),"NUMERO_PC duplicado",IF(B2406="","DATA_PC vazia",IF(NOT(ISNUMBER(B2406)),"DATA_PC invalida",IF(OR(C2406="",C2406="Fora dos ciclos"),"CICLO_PC nao identificado",IF(OR(D2406="",D2406=0),"VALOR_PC vazio ou zero",IF(AND(G2406&lt;&gt;"Sim",G2406&lt;&gt;"Nao",G2406&lt;&gt;""),"PC_PAGO_A_CONTRATADA invalido",IF(AND(C2406&lt;&gt;"C0",IFERROR(INDEX(parametros!$A$2:$A$6,MATCH(C2406,parametros!$B$2:$B$6,0)),"")="Sim",IFERROR(INDEX(parametros!$H$2:$H$6,MATCH(C2406,parametros!$B$2:$B$6,0)),"")=""),"INICIO_EFEITO ausente: PC "&amp;A2406&amp;" - "&amp;C2406,IF(L2406="","EFEITO_PC nao calculado: PC "&amp;A2406&amp;" - "&amp;C2406,"OK")))))))))</f>
        <v/>
      </c>
      <c r="L2406" s="92" t="str">
        <f>IF(AND(A2406="",B2406="",D2406="",G2406=""),"",IF(OR(B2406="",NOT(ISNUMBER(B2406)),C2406="",C2406="Fora dos ciclos"),"",IF(C2406="C0","Nao",IF(IFERROR(INDEX(parametros!$A$2:$A$6,MATCH(C2406,parametros!$B$2:$B$6,0)),"")&lt;&gt;"Sim","Nao",IF(IFERROR(INDEX(parametros!$H$2:$H$6,MATCH(C2406,parametros!$B$2:$B$6,0)),"")="","",IF(B2406&gt;=IFERROR(INDEX(parametros!$H$2:$H$6,MATCH(C2406,parametros!$B$2:$B$6,0)),""),"Sim","Nao"))))))</f>
        <v/>
      </c>
      <c r="T2406" s="156"/>
      <c r="U2406" s="214" t="str">
        <f t="shared" si="191"/>
        <v/>
      </c>
      <c r="V2406" s="212" t="s">
        <v>50</v>
      </c>
      <c r="W2406" s="100" t="s">
        <v>168</v>
      </c>
      <c r="X2406" s="100" t="s">
        <v>169</v>
      </c>
      <c r="Y2406" s="101" t="s">
        <v>170</v>
      </c>
      <c r="Z2406" s="101" t="s">
        <v>171</v>
      </c>
      <c r="AA2406" s="101" t="s">
        <v>50</v>
      </c>
      <c r="AB2406" s="101" t="s">
        <v>172</v>
      </c>
      <c r="AC2406" s="102" t="s">
        <v>173</v>
      </c>
    </row>
    <row r="2407" spans="1:29" ht="25.5" customHeight="1" x14ac:dyDescent="0.35">
      <c r="A2407" s="392"/>
      <c r="B2407" s="393"/>
      <c r="C2407" s="99" t="str">
        <f>IF(B2407="","",IF(NOT(ISNUMBER(B2407)),"DATA_PC invalida",IF(NOT(ISNUMBER(parametros!$C$2)),"Fora dos ciclos",IF(OR(B2407&lt;parametros!$C$2,(YEAR(B2407)-YEAR(parametros!$C$2))*12+MONTH(B2407)-MONTH(parametros!$C$2)&gt;59),"Fora dos ciclos","C"&amp;INT(((YEAR(B2407)-YEAR(parametros!$C$2))*12+MONTH(B2407)-MONTH(parametros!$C$2))/12)))))</f>
        <v/>
      </c>
      <c r="D2407" s="394"/>
      <c r="E2407" s="78" t="str">
        <f>IF(C2407="","",IFERROR(VLOOKUP(C2407,parametros!$A$11:$E$15,5,0),""))</f>
        <v/>
      </c>
      <c r="F2407" s="79" t="str">
        <f t="shared" si="187"/>
        <v/>
      </c>
      <c r="G2407" s="395"/>
      <c r="H2407" s="91">
        <f t="shared" si="188"/>
        <v>0</v>
      </c>
      <c r="I2407" s="91" t="str">
        <f t="shared" si="189"/>
        <v/>
      </c>
      <c r="J2407" s="91" t="str">
        <f t="shared" si="190"/>
        <v/>
      </c>
      <c r="K2407" s="92" t="str">
        <f>IF(AND(A2407="",B2407="",D2407="",G2407=""),"",IF(AND(A2407&lt;&gt;"",COUNTIF($A$2:$A$5001,A2407)&gt;1),"NUMERO_PC duplicado",IF(B2407="","DATA_PC vazia",IF(NOT(ISNUMBER(B2407)),"DATA_PC invalida",IF(OR(C2407="",C2407="Fora dos ciclos"),"CICLO_PC nao identificado",IF(OR(D2407="",D2407=0),"VALOR_PC vazio ou zero",IF(AND(G2407&lt;&gt;"Sim",G2407&lt;&gt;"Nao",G2407&lt;&gt;""),"PC_PAGO_A_CONTRATADA invalido",IF(AND(C2407&lt;&gt;"C0",IFERROR(INDEX(parametros!$A$2:$A$6,MATCH(C2407,parametros!$B$2:$B$6,0)),"")="Sim",IFERROR(INDEX(parametros!$H$2:$H$6,MATCH(C2407,parametros!$B$2:$B$6,0)),"")=""),"INICIO_EFEITO ausente: PC "&amp;A2407&amp;" - "&amp;C2407,IF(L2407="","EFEITO_PC nao calculado: PC "&amp;A2407&amp;" - "&amp;C2407,"OK")))))))))</f>
        <v/>
      </c>
      <c r="L2407" s="92" t="str">
        <f>IF(AND(A2407="",B2407="",D2407="",G2407=""),"",IF(OR(B2407="",NOT(ISNUMBER(B2407)),C2407="",C2407="Fora dos ciclos"),"",IF(C2407="C0","Nao",IF(IFERROR(INDEX(parametros!$A$2:$A$6,MATCH(C2407,parametros!$B$2:$B$6,0)),"")&lt;&gt;"Sim","Nao",IF(IFERROR(INDEX(parametros!$H$2:$H$6,MATCH(C2407,parametros!$B$2:$B$6,0)),"")="","",IF(B2407&gt;=IFERROR(INDEX(parametros!$H$2:$H$6,MATCH(C2407,parametros!$B$2:$B$6,0)),""),"Sim","Nao"))))))</f>
        <v/>
      </c>
      <c r="T2407" s="156"/>
      <c r="U2407" s="214" t="str">
        <f t="shared" si="191"/>
        <v/>
      </c>
      <c r="V2407" s="212" t="s">
        <v>50</v>
      </c>
      <c r="W2407" s="100" t="s">
        <v>168</v>
      </c>
      <c r="X2407" s="100" t="s">
        <v>169</v>
      </c>
      <c r="Y2407" s="101" t="s">
        <v>170</v>
      </c>
      <c r="Z2407" s="101" t="s">
        <v>171</v>
      </c>
      <c r="AA2407" s="101" t="s">
        <v>50</v>
      </c>
      <c r="AB2407" s="101" t="s">
        <v>172</v>
      </c>
      <c r="AC2407" s="102" t="s">
        <v>173</v>
      </c>
    </row>
    <row r="2408" spans="1:29" ht="25.5" customHeight="1" x14ac:dyDescent="0.35">
      <c r="A2408" s="392"/>
      <c r="B2408" s="393"/>
      <c r="C2408" s="99" t="str">
        <f>IF(B2408="","",IF(NOT(ISNUMBER(B2408)),"DATA_PC invalida",IF(NOT(ISNUMBER(parametros!$C$2)),"Fora dos ciclos",IF(OR(B2408&lt;parametros!$C$2,(YEAR(B2408)-YEAR(parametros!$C$2))*12+MONTH(B2408)-MONTH(parametros!$C$2)&gt;59),"Fora dos ciclos","C"&amp;INT(((YEAR(B2408)-YEAR(parametros!$C$2))*12+MONTH(B2408)-MONTH(parametros!$C$2))/12)))))</f>
        <v/>
      </c>
      <c r="D2408" s="394"/>
      <c r="E2408" s="78" t="str">
        <f>IF(C2408="","",IFERROR(VLOOKUP(C2408,parametros!$A$11:$E$15,5,0),""))</f>
        <v/>
      </c>
      <c r="F2408" s="79" t="str">
        <f t="shared" si="187"/>
        <v/>
      </c>
      <c r="G2408" s="395"/>
      <c r="H2408" s="91">
        <f t="shared" si="188"/>
        <v>0</v>
      </c>
      <c r="I2408" s="91" t="str">
        <f t="shared" si="189"/>
        <v/>
      </c>
      <c r="J2408" s="91" t="str">
        <f t="shared" si="190"/>
        <v/>
      </c>
      <c r="K2408" s="92" t="str">
        <f>IF(AND(A2408="",B2408="",D2408="",G2408=""),"",IF(AND(A2408&lt;&gt;"",COUNTIF($A$2:$A$5001,A2408)&gt;1),"NUMERO_PC duplicado",IF(B2408="","DATA_PC vazia",IF(NOT(ISNUMBER(B2408)),"DATA_PC invalida",IF(OR(C2408="",C2408="Fora dos ciclos"),"CICLO_PC nao identificado",IF(OR(D2408="",D2408=0),"VALOR_PC vazio ou zero",IF(AND(G2408&lt;&gt;"Sim",G2408&lt;&gt;"Nao",G2408&lt;&gt;""),"PC_PAGO_A_CONTRATADA invalido",IF(AND(C2408&lt;&gt;"C0",IFERROR(INDEX(parametros!$A$2:$A$6,MATCH(C2408,parametros!$B$2:$B$6,0)),"")="Sim",IFERROR(INDEX(parametros!$H$2:$H$6,MATCH(C2408,parametros!$B$2:$B$6,0)),"")=""),"INICIO_EFEITO ausente: PC "&amp;A2408&amp;" - "&amp;C2408,IF(L2408="","EFEITO_PC nao calculado: PC "&amp;A2408&amp;" - "&amp;C2408,"OK")))))))))</f>
        <v/>
      </c>
      <c r="L2408" s="92" t="str">
        <f>IF(AND(A2408="",B2408="",D2408="",G2408=""),"",IF(OR(B2408="",NOT(ISNUMBER(B2408)),C2408="",C2408="Fora dos ciclos"),"",IF(C2408="C0","Nao",IF(IFERROR(INDEX(parametros!$A$2:$A$6,MATCH(C2408,parametros!$B$2:$B$6,0)),"")&lt;&gt;"Sim","Nao",IF(IFERROR(INDEX(parametros!$H$2:$H$6,MATCH(C2408,parametros!$B$2:$B$6,0)),"")="","",IF(B2408&gt;=IFERROR(INDEX(parametros!$H$2:$H$6,MATCH(C2408,parametros!$B$2:$B$6,0)),""),"Sim","Nao"))))))</f>
        <v/>
      </c>
      <c r="T2408" s="156"/>
      <c r="U2408" s="214" t="str">
        <f t="shared" si="191"/>
        <v/>
      </c>
      <c r="V2408" s="212" t="s">
        <v>50</v>
      </c>
      <c r="W2408" s="100" t="s">
        <v>168</v>
      </c>
      <c r="X2408" s="100" t="s">
        <v>169</v>
      </c>
      <c r="Y2408" s="101" t="s">
        <v>170</v>
      </c>
      <c r="Z2408" s="101" t="s">
        <v>171</v>
      </c>
      <c r="AA2408" s="101" t="s">
        <v>50</v>
      </c>
      <c r="AB2408" s="101" t="s">
        <v>172</v>
      </c>
      <c r="AC2408" s="102" t="s">
        <v>173</v>
      </c>
    </row>
    <row r="2409" spans="1:29" ht="25.5" customHeight="1" x14ac:dyDescent="0.35">
      <c r="A2409" s="392"/>
      <c r="B2409" s="393"/>
      <c r="C2409" s="99" t="str">
        <f>IF(B2409="","",IF(NOT(ISNUMBER(B2409)),"DATA_PC invalida",IF(NOT(ISNUMBER(parametros!$C$2)),"Fora dos ciclos",IF(OR(B2409&lt;parametros!$C$2,(YEAR(B2409)-YEAR(parametros!$C$2))*12+MONTH(B2409)-MONTH(parametros!$C$2)&gt;59),"Fora dos ciclos","C"&amp;INT(((YEAR(B2409)-YEAR(parametros!$C$2))*12+MONTH(B2409)-MONTH(parametros!$C$2))/12)))))</f>
        <v/>
      </c>
      <c r="D2409" s="394"/>
      <c r="E2409" s="78" t="str">
        <f>IF(C2409="","",IFERROR(VLOOKUP(C2409,parametros!$A$11:$E$15,5,0),""))</f>
        <v/>
      </c>
      <c r="F2409" s="79" t="str">
        <f t="shared" si="187"/>
        <v/>
      </c>
      <c r="G2409" s="395"/>
      <c r="H2409" s="91">
        <f t="shared" si="188"/>
        <v>0</v>
      </c>
      <c r="I2409" s="91" t="str">
        <f t="shared" si="189"/>
        <v/>
      </c>
      <c r="J2409" s="91" t="str">
        <f t="shared" si="190"/>
        <v/>
      </c>
      <c r="K2409" s="92" t="str">
        <f>IF(AND(A2409="",B2409="",D2409="",G2409=""),"",IF(AND(A2409&lt;&gt;"",COUNTIF($A$2:$A$5001,A2409)&gt;1),"NUMERO_PC duplicado",IF(B2409="","DATA_PC vazia",IF(NOT(ISNUMBER(B2409)),"DATA_PC invalida",IF(OR(C2409="",C2409="Fora dos ciclos"),"CICLO_PC nao identificado",IF(OR(D2409="",D2409=0),"VALOR_PC vazio ou zero",IF(AND(G2409&lt;&gt;"Sim",G2409&lt;&gt;"Nao",G2409&lt;&gt;""),"PC_PAGO_A_CONTRATADA invalido",IF(AND(C2409&lt;&gt;"C0",IFERROR(INDEX(parametros!$A$2:$A$6,MATCH(C2409,parametros!$B$2:$B$6,0)),"")="Sim",IFERROR(INDEX(parametros!$H$2:$H$6,MATCH(C2409,parametros!$B$2:$B$6,0)),"")=""),"INICIO_EFEITO ausente: PC "&amp;A2409&amp;" - "&amp;C2409,IF(L2409="","EFEITO_PC nao calculado: PC "&amp;A2409&amp;" - "&amp;C2409,"OK")))))))))</f>
        <v/>
      </c>
      <c r="L2409" s="92" t="str">
        <f>IF(AND(A2409="",B2409="",D2409="",G2409=""),"",IF(OR(B2409="",NOT(ISNUMBER(B2409)),C2409="",C2409="Fora dos ciclos"),"",IF(C2409="C0","Nao",IF(IFERROR(INDEX(parametros!$A$2:$A$6,MATCH(C2409,parametros!$B$2:$B$6,0)),"")&lt;&gt;"Sim","Nao",IF(IFERROR(INDEX(parametros!$H$2:$H$6,MATCH(C2409,parametros!$B$2:$B$6,0)),"")="","",IF(B2409&gt;=IFERROR(INDEX(parametros!$H$2:$H$6,MATCH(C2409,parametros!$B$2:$B$6,0)),""),"Sim","Nao"))))))</f>
        <v/>
      </c>
      <c r="T2409" s="156"/>
      <c r="U2409" s="214" t="str">
        <f t="shared" si="191"/>
        <v/>
      </c>
      <c r="V2409" s="212" t="s">
        <v>50</v>
      </c>
      <c r="W2409" s="100" t="s">
        <v>168</v>
      </c>
      <c r="X2409" s="100" t="s">
        <v>169</v>
      </c>
      <c r="Y2409" s="101" t="s">
        <v>170</v>
      </c>
      <c r="Z2409" s="101" t="s">
        <v>171</v>
      </c>
      <c r="AA2409" s="101" t="s">
        <v>50</v>
      </c>
      <c r="AB2409" s="101" t="s">
        <v>172</v>
      </c>
      <c r="AC2409" s="102" t="s">
        <v>173</v>
      </c>
    </row>
    <row r="2410" spans="1:29" ht="25.5" customHeight="1" x14ac:dyDescent="0.35">
      <c r="A2410" s="392"/>
      <c r="B2410" s="393"/>
      <c r="C2410" s="99" t="str">
        <f>IF(B2410="","",IF(NOT(ISNUMBER(B2410)),"DATA_PC invalida",IF(NOT(ISNUMBER(parametros!$C$2)),"Fora dos ciclos",IF(OR(B2410&lt;parametros!$C$2,(YEAR(B2410)-YEAR(parametros!$C$2))*12+MONTH(B2410)-MONTH(parametros!$C$2)&gt;59),"Fora dos ciclos","C"&amp;INT(((YEAR(B2410)-YEAR(parametros!$C$2))*12+MONTH(B2410)-MONTH(parametros!$C$2))/12)))))</f>
        <v/>
      </c>
      <c r="D2410" s="394"/>
      <c r="E2410" s="78" t="str">
        <f>IF(C2410="","",IFERROR(VLOOKUP(C2410,parametros!$A$11:$E$15,5,0),""))</f>
        <v/>
      </c>
      <c r="F2410" s="79" t="str">
        <f t="shared" si="187"/>
        <v/>
      </c>
      <c r="G2410" s="395"/>
      <c r="H2410" s="91">
        <f t="shared" si="188"/>
        <v>0</v>
      </c>
      <c r="I2410" s="91" t="str">
        <f t="shared" si="189"/>
        <v/>
      </c>
      <c r="J2410" s="91" t="str">
        <f t="shared" si="190"/>
        <v/>
      </c>
      <c r="K2410" s="92" t="str">
        <f>IF(AND(A2410="",B2410="",D2410="",G2410=""),"",IF(AND(A2410&lt;&gt;"",COUNTIF($A$2:$A$5001,A2410)&gt;1),"NUMERO_PC duplicado",IF(B2410="","DATA_PC vazia",IF(NOT(ISNUMBER(B2410)),"DATA_PC invalida",IF(OR(C2410="",C2410="Fora dos ciclos"),"CICLO_PC nao identificado",IF(OR(D2410="",D2410=0),"VALOR_PC vazio ou zero",IF(AND(G2410&lt;&gt;"Sim",G2410&lt;&gt;"Nao",G2410&lt;&gt;""),"PC_PAGO_A_CONTRATADA invalido",IF(AND(C2410&lt;&gt;"C0",IFERROR(INDEX(parametros!$A$2:$A$6,MATCH(C2410,parametros!$B$2:$B$6,0)),"")="Sim",IFERROR(INDEX(parametros!$H$2:$H$6,MATCH(C2410,parametros!$B$2:$B$6,0)),"")=""),"INICIO_EFEITO ausente: PC "&amp;A2410&amp;" - "&amp;C2410,IF(L2410="","EFEITO_PC nao calculado: PC "&amp;A2410&amp;" - "&amp;C2410,"OK")))))))))</f>
        <v/>
      </c>
      <c r="L2410" s="92" t="str">
        <f>IF(AND(A2410="",B2410="",D2410="",G2410=""),"",IF(OR(B2410="",NOT(ISNUMBER(B2410)),C2410="",C2410="Fora dos ciclos"),"",IF(C2410="C0","Nao",IF(IFERROR(INDEX(parametros!$A$2:$A$6,MATCH(C2410,parametros!$B$2:$B$6,0)),"")&lt;&gt;"Sim","Nao",IF(IFERROR(INDEX(parametros!$H$2:$H$6,MATCH(C2410,parametros!$B$2:$B$6,0)),"")="","",IF(B2410&gt;=IFERROR(INDEX(parametros!$H$2:$H$6,MATCH(C2410,parametros!$B$2:$B$6,0)),""),"Sim","Nao"))))))</f>
        <v/>
      </c>
      <c r="T2410" s="156"/>
      <c r="U2410" s="214" t="str">
        <f t="shared" si="191"/>
        <v/>
      </c>
      <c r="V2410" s="212" t="s">
        <v>50</v>
      </c>
      <c r="W2410" s="100" t="s">
        <v>168</v>
      </c>
      <c r="X2410" s="100" t="s">
        <v>169</v>
      </c>
      <c r="Y2410" s="101" t="s">
        <v>170</v>
      </c>
      <c r="Z2410" s="101" t="s">
        <v>171</v>
      </c>
      <c r="AA2410" s="101" t="s">
        <v>50</v>
      </c>
      <c r="AB2410" s="101" t="s">
        <v>172</v>
      </c>
      <c r="AC2410" s="102" t="s">
        <v>173</v>
      </c>
    </row>
    <row r="2411" spans="1:29" ht="25.5" customHeight="1" x14ac:dyDescent="0.35">
      <c r="A2411" s="392"/>
      <c r="B2411" s="393"/>
      <c r="C2411" s="99" t="str">
        <f>IF(B2411="","",IF(NOT(ISNUMBER(B2411)),"DATA_PC invalida",IF(NOT(ISNUMBER(parametros!$C$2)),"Fora dos ciclos",IF(OR(B2411&lt;parametros!$C$2,(YEAR(B2411)-YEAR(parametros!$C$2))*12+MONTH(B2411)-MONTH(parametros!$C$2)&gt;59),"Fora dos ciclos","C"&amp;INT(((YEAR(B2411)-YEAR(parametros!$C$2))*12+MONTH(B2411)-MONTH(parametros!$C$2))/12)))))</f>
        <v/>
      </c>
      <c r="D2411" s="394"/>
      <c r="E2411" s="78" t="str">
        <f>IF(C2411="","",IFERROR(VLOOKUP(C2411,parametros!$A$11:$E$15,5,0),""))</f>
        <v/>
      </c>
      <c r="F2411" s="79" t="str">
        <f t="shared" si="187"/>
        <v/>
      </c>
      <c r="G2411" s="395"/>
      <c r="H2411" s="91">
        <f t="shared" si="188"/>
        <v>0</v>
      </c>
      <c r="I2411" s="91" t="str">
        <f t="shared" si="189"/>
        <v/>
      </c>
      <c r="J2411" s="91" t="str">
        <f t="shared" si="190"/>
        <v/>
      </c>
      <c r="K2411" s="92" t="str">
        <f>IF(AND(A2411="",B2411="",D2411="",G2411=""),"",IF(AND(A2411&lt;&gt;"",COUNTIF($A$2:$A$5001,A2411)&gt;1),"NUMERO_PC duplicado",IF(B2411="","DATA_PC vazia",IF(NOT(ISNUMBER(B2411)),"DATA_PC invalida",IF(OR(C2411="",C2411="Fora dos ciclos"),"CICLO_PC nao identificado",IF(OR(D2411="",D2411=0),"VALOR_PC vazio ou zero",IF(AND(G2411&lt;&gt;"Sim",G2411&lt;&gt;"Nao",G2411&lt;&gt;""),"PC_PAGO_A_CONTRATADA invalido",IF(AND(C2411&lt;&gt;"C0",IFERROR(INDEX(parametros!$A$2:$A$6,MATCH(C2411,parametros!$B$2:$B$6,0)),"")="Sim",IFERROR(INDEX(parametros!$H$2:$H$6,MATCH(C2411,parametros!$B$2:$B$6,0)),"")=""),"INICIO_EFEITO ausente: PC "&amp;A2411&amp;" - "&amp;C2411,IF(L2411="","EFEITO_PC nao calculado: PC "&amp;A2411&amp;" - "&amp;C2411,"OK")))))))))</f>
        <v/>
      </c>
      <c r="L2411" s="92" t="str">
        <f>IF(AND(A2411="",B2411="",D2411="",G2411=""),"",IF(OR(B2411="",NOT(ISNUMBER(B2411)),C2411="",C2411="Fora dos ciclos"),"",IF(C2411="C0","Nao",IF(IFERROR(INDEX(parametros!$A$2:$A$6,MATCH(C2411,parametros!$B$2:$B$6,0)),"")&lt;&gt;"Sim","Nao",IF(IFERROR(INDEX(parametros!$H$2:$H$6,MATCH(C2411,parametros!$B$2:$B$6,0)),"")="","",IF(B2411&gt;=IFERROR(INDEX(parametros!$H$2:$H$6,MATCH(C2411,parametros!$B$2:$B$6,0)),""),"Sim","Nao"))))))</f>
        <v/>
      </c>
      <c r="T2411" s="156"/>
      <c r="U2411" s="214" t="str">
        <f t="shared" si="191"/>
        <v/>
      </c>
      <c r="V2411" s="212" t="s">
        <v>50</v>
      </c>
      <c r="W2411" s="100" t="s">
        <v>168</v>
      </c>
      <c r="X2411" s="100" t="s">
        <v>169</v>
      </c>
      <c r="Y2411" s="101" t="s">
        <v>170</v>
      </c>
      <c r="Z2411" s="101" t="s">
        <v>171</v>
      </c>
      <c r="AA2411" s="101" t="s">
        <v>50</v>
      </c>
      <c r="AB2411" s="101" t="s">
        <v>172</v>
      </c>
      <c r="AC2411" s="102" t="s">
        <v>173</v>
      </c>
    </row>
    <row r="2412" spans="1:29" ht="25.5" customHeight="1" x14ac:dyDescent="0.35">
      <c r="A2412" s="392"/>
      <c r="B2412" s="393"/>
      <c r="C2412" s="99" t="str">
        <f>IF(B2412="","",IF(NOT(ISNUMBER(B2412)),"DATA_PC invalida",IF(NOT(ISNUMBER(parametros!$C$2)),"Fora dos ciclos",IF(OR(B2412&lt;parametros!$C$2,(YEAR(B2412)-YEAR(parametros!$C$2))*12+MONTH(B2412)-MONTH(parametros!$C$2)&gt;59),"Fora dos ciclos","C"&amp;INT(((YEAR(B2412)-YEAR(parametros!$C$2))*12+MONTH(B2412)-MONTH(parametros!$C$2))/12)))))</f>
        <v/>
      </c>
      <c r="D2412" s="394"/>
      <c r="E2412" s="78" t="str">
        <f>IF(C2412="","",IFERROR(VLOOKUP(C2412,parametros!$A$11:$E$15,5,0),""))</f>
        <v/>
      </c>
      <c r="F2412" s="79" t="str">
        <f t="shared" si="187"/>
        <v/>
      </c>
      <c r="G2412" s="395"/>
      <c r="H2412" s="91">
        <f t="shared" si="188"/>
        <v>0</v>
      </c>
      <c r="I2412" s="91" t="str">
        <f t="shared" si="189"/>
        <v/>
      </c>
      <c r="J2412" s="91" t="str">
        <f t="shared" si="190"/>
        <v/>
      </c>
      <c r="K2412" s="92" t="str">
        <f>IF(AND(A2412="",B2412="",D2412="",G2412=""),"",IF(AND(A2412&lt;&gt;"",COUNTIF($A$2:$A$5001,A2412)&gt;1),"NUMERO_PC duplicado",IF(B2412="","DATA_PC vazia",IF(NOT(ISNUMBER(B2412)),"DATA_PC invalida",IF(OR(C2412="",C2412="Fora dos ciclos"),"CICLO_PC nao identificado",IF(OR(D2412="",D2412=0),"VALOR_PC vazio ou zero",IF(AND(G2412&lt;&gt;"Sim",G2412&lt;&gt;"Nao",G2412&lt;&gt;""),"PC_PAGO_A_CONTRATADA invalido",IF(AND(C2412&lt;&gt;"C0",IFERROR(INDEX(parametros!$A$2:$A$6,MATCH(C2412,parametros!$B$2:$B$6,0)),"")="Sim",IFERROR(INDEX(parametros!$H$2:$H$6,MATCH(C2412,parametros!$B$2:$B$6,0)),"")=""),"INICIO_EFEITO ausente: PC "&amp;A2412&amp;" - "&amp;C2412,IF(L2412="","EFEITO_PC nao calculado: PC "&amp;A2412&amp;" - "&amp;C2412,"OK")))))))))</f>
        <v/>
      </c>
      <c r="L2412" s="92" t="str">
        <f>IF(AND(A2412="",B2412="",D2412="",G2412=""),"",IF(OR(B2412="",NOT(ISNUMBER(B2412)),C2412="",C2412="Fora dos ciclos"),"",IF(C2412="C0","Nao",IF(IFERROR(INDEX(parametros!$A$2:$A$6,MATCH(C2412,parametros!$B$2:$B$6,0)),"")&lt;&gt;"Sim","Nao",IF(IFERROR(INDEX(parametros!$H$2:$H$6,MATCH(C2412,parametros!$B$2:$B$6,0)),"")="","",IF(B2412&gt;=IFERROR(INDEX(parametros!$H$2:$H$6,MATCH(C2412,parametros!$B$2:$B$6,0)),""),"Sim","Nao"))))))</f>
        <v/>
      </c>
      <c r="T2412" s="156"/>
      <c r="U2412" s="214" t="str">
        <f t="shared" si="191"/>
        <v/>
      </c>
      <c r="V2412" s="212" t="s">
        <v>50</v>
      </c>
      <c r="W2412" s="100" t="s">
        <v>168</v>
      </c>
      <c r="X2412" s="100" t="s">
        <v>169</v>
      </c>
      <c r="Y2412" s="101" t="s">
        <v>170</v>
      </c>
      <c r="Z2412" s="101" t="s">
        <v>171</v>
      </c>
      <c r="AA2412" s="101" t="s">
        <v>50</v>
      </c>
      <c r="AB2412" s="101" t="s">
        <v>172</v>
      </c>
      <c r="AC2412" s="102" t="s">
        <v>173</v>
      </c>
    </row>
    <row r="2413" spans="1:29" ht="25.5" customHeight="1" x14ac:dyDescent="0.35">
      <c r="A2413" s="392"/>
      <c r="B2413" s="393"/>
      <c r="C2413" s="99" t="str">
        <f>IF(B2413="","",IF(NOT(ISNUMBER(B2413)),"DATA_PC invalida",IF(NOT(ISNUMBER(parametros!$C$2)),"Fora dos ciclos",IF(OR(B2413&lt;parametros!$C$2,(YEAR(B2413)-YEAR(parametros!$C$2))*12+MONTH(B2413)-MONTH(parametros!$C$2)&gt;59),"Fora dos ciclos","C"&amp;INT(((YEAR(B2413)-YEAR(parametros!$C$2))*12+MONTH(B2413)-MONTH(parametros!$C$2))/12)))))</f>
        <v/>
      </c>
      <c r="D2413" s="394"/>
      <c r="E2413" s="78" t="str">
        <f>IF(C2413="","",IFERROR(VLOOKUP(C2413,parametros!$A$11:$E$15,5,0),""))</f>
        <v/>
      </c>
      <c r="F2413" s="79" t="str">
        <f t="shared" si="187"/>
        <v/>
      </c>
      <c r="G2413" s="395"/>
      <c r="H2413" s="91">
        <f t="shared" si="188"/>
        <v>0</v>
      </c>
      <c r="I2413" s="91" t="str">
        <f t="shared" si="189"/>
        <v/>
      </c>
      <c r="J2413" s="91" t="str">
        <f t="shared" si="190"/>
        <v/>
      </c>
      <c r="K2413" s="92" t="str">
        <f>IF(AND(A2413="",B2413="",D2413="",G2413=""),"",IF(AND(A2413&lt;&gt;"",COUNTIF($A$2:$A$5001,A2413)&gt;1),"NUMERO_PC duplicado",IF(B2413="","DATA_PC vazia",IF(NOT(ISNUMBER(B2413)),"DATA_PC invalida",IF(OR(C2413="",C2413="Fora dos ciclos"),"CICLO_PC nao identificado",IF(OR(D2413="",D2413=0),"VALOR_PC vazio ou zero",IF(AND(G2413&lt;&gt;"Sim",G2413&lt;&gt;"Nao",G2413&lt;&gt;""),"PC_PAGO_A_CONTRATADA invalido",IF(AND(C2413&lt;&gt;"C0",IFERROR(INDEX(parametros!$A$2:$A$6,MATCH(C2413,parametros!$B$2:$B$6,0)),"")="Sim",IFERROR(INDEX(parametros!$H$2:$H$6,MATCH(C2413,parametros!$B$2:$B$6,0)),"")=""),"INICIO_EFEITO ausente: PC "&amp;A2413&amp;" - "&amp;C2413,IF(L2413="","EFEITO_PC nao calculado: PC "&amp;A2413&amp;" - "&amp;C2413,"OK")))))))))</f>
        <v/>
      </c>
      <c r="L2413" s="92" t="str">
        <f>IF(AND(A2413="",B2413="",D2413="",G2413=""),"",IF(OR(B2413="",NOT(ISNUMBER(B2413)),C2413="",C2413="Fora dos ciclos"),"",IF(C2413="C0","Nao",IF(IFERROR(INDEX(parametros!$A$2:$A$6,MATCH(C2413,parametros!$B$2:$B$6,0)),"")&lt;&gt;"Sim","Nao",IF(IFERROR(INDEX(parametros!$H$2:$H$6,MATCH(C2413,parametros!$B$2:$B$6,0)),"")="","",IF(B2413&gt;=IFERROR(INDEX(parametros!$H$2:$H$6,MATCH(C2413,parametros!$B$2:$B$6,0)),""),"Sim","Nao"))))))</f>
        <v/>
      </c>
      <c r="T2413" s="156"/>
      <c r="U2413" s="214" t="str">
        <f t="shared" si="191"/>
        <v/>
      </c>
      <c r="V2413" s="212" t="s">
        <v>50</v>
      </c>
      <c r="W2413" s="100" t="s">
        <v>168</v>
      </c>
      <c r="X2413" s="100" t="s">
        <v>169</v>
      </c>
      <c r="Y2413" s="101" t="s">
        <v>170</v>
      </c>
      <c r="Z2413" s="101" t="s">
        <v>171</v>
      </c>
      <c r="AA2413" s="101" t="s">
        <v>50</v>
      </c>
      <c r="AB2413" s="101" t="s">
        <v>172</v>
      </c>
      <c r="AC2413" s="102" t="s">
        <v>173</v>
      </c>
    </row>
    <row r="2414" spans="1:29" ht="25.5" customHeight="1" x14ac:dyDescent="0.35">
      <c r="A2414" s="392"/>
      <c r="B2414" s="393"/>
      <c r="C2414" s="99" t="str">
        <f>IF(B2414="","",IF(NOT(ISNUMBER(B2414)),"DATA_PC invalida",IF(NOT(ISNUMBER(parametros!$C$2)),"Fora dos ciclos",IF(OR(B2414&lt;parametros!$C$2,(YEAR(B2414)-YEAR(parametros!$C$2))*12+MONTH(B2414)-MONTH(parametros!$C$2)&gt;59),"Fora dos ciclos","C"&amp;INT(((YEAR(B2414)-YEAR(parametros!$C$2))*12+MONTH(B2414)-MONTH(parametros!$C$2))/12)))))</f>
        <v/>
      </c>
      <c r="D2414" s="394"/>
      <c r="E2414" s="78" t="str">
        <f>IF(C2414="","",IFERROR(VLOOKUP(C2414,parametros!$A$11:$E$15,5,0),""))</f>
        <v/>
      </c>
      <c r="F2414" s="79" t="str">
        <f t="shared" si="187"/>
        <v/>
      </c>
      <c r="G2414" s="395"/>
      <c r="H2414" s="91">
        <f t="shared" si="188"/>
        <v>0</v>
      </c>
      <c r="I2414" s="91" t="str">
        <f t="shared" si="189"/>
        <v/>
      </c>
      <c r="J2414" s="91" t="str">
        <f t="shared" si="190"/>
        <v/>
      </c>
      <c r="K2414" s="92" t="str">
        <f>IF(AND(A2414="",B2414="",D2414="",G2414=""),"",IF(AND(A2414&lt;&gt;"",COUNTIF($A$2:$A$5001,A2414)&gt;1),"NUMERO_PC duplicado",IF(B2414="","DATA_PC vazia",IF(NOT(ISNUMBER(B2414)),"DATA_PC invalida",IF(OR(C2414="",C2414="Fora dos ciclos"),"CICLO_PC nao identificado",IF(OR(D2414="",D2414=0),"VALOR_PC vazio ou zero",IF(AND(G2414&lt;&gt;"Sim",G2414&lt;&gt;"Nao",G2414&lt;&gt;""),"PC_PAGO_A_CONTRATADA invalido",IF(AND(C2414&lt;&gt;"C0",IFERROR(INDEX(parametros!$A$2:$A$6,MATCH(C2414,parametros!$B$2:$B$6,0)),"")="Sim",IFERROR(INDEX(parametros!$H$2:$H$6,MATCH(C2414,parametros!$B$2:$B$6,0)),"")=""),"INICIO_EFEITO ausente: PC "&amp;A2414&amp;" - "&amp;C2414,IF(L2414="","EFEITO_PC nao calculado: PC "&amp;A2414&amp;" - "&amp;C2414,"OK")))))))))</f>
        <v/>
      </c>
      <c r="L2414" s="92" t="str">
        <f>IF(AND(A2414="",B2414="",D2414="",G2414=""),"",IF(OR(B2414="",NOT(ISNUMBER(B2414)),C2414="",C2414="Fora dos ciclos"),"",IF(C2414="C0","Nao",IF(IFERROR(INDEX(parametros!$A$2:$A$6,MATCH(C2414,parametros!$B$2:$B$6,0)),"")&lt;&gt;"Sim","Nao",IF(IFERROR(INDEX(parametros!$H$2:$H$6,MATCH(C2414,parametros!$B$2:$B$6,0)),"")="","",IF(B2414&gt;=IFERROR(INDEX(parametros!$H$2:$H$6,MATCH(C2414,parametros!$B$2:$B$6,0)),""),"Sim","Nao"))))))</f>
        <v/>
      </c>
      <c r="T2414" s="156"/>
      <c r="U2414" s="214" t="str">
        <f t="shared" si="191"/>
        <v/>
      </c>
      <c r="V2414" s="212" t="s">
        <v>50</v>
      </c>
      <c r="W2414" s="100" t="s">
        <v>168</v>
      </c>
      <c r="X2414" s="100" t="s">
        <v>169</v>
      </c>
      <c r="Y2414" s="101" t="s">
        <v>170</v>
      </c>
      <c r="Z2414" s="101" t="s">
        <v>171</v>
      </c>
      <c r="AA2414" s="101" t="s">
        <v>50</v>
      </c>
      <c r="AB2414" s="101" t="s">
        <v>172</v>
      </c>
      <c r="AC2414" s="102" t="s">
        <v>173</v>
      </c>
    </row>
    <row r="2415" spans="1:29" ht="25.5" customHeight="1" x14ac:dyDescent="0.35">
      <c r="A2415" s="392"/>
      <c r="B2415" s="393"/>
      <c r="C2415" s="99" t="str">
        <f>IF(B2415="","",IF(NOT(ISNUMBER(B2415)),"DATA_PC invalida",IF(NOT(ISNUMBER(parametros!$C$2)),"Fora dos ciclos",IF(OR(B2415&lt;parametros!$C$2,(YEAR(B2415)-YEAR(parametros!$C$2))*12+MONTH(B2415)-MONTH(parametros!$C$2)&gt;59),"Fora dos ciclos","C"&amp;INT(((YEAR(B2415)-YEAR(parametros!$C$2))*12+MONTH(B2415)-MONTH(parametros!$C$2))/12)))))</f>
        <v/>
      </c>
      <c r="D2415" s="394"/>
      <c r="E2415" s="78" t="str">
        <f>IF(C2415="","",IFERROR(VLOOKUP(C2415,parametros!$A$11:$E$15,5,0),""))</f>
        <v/>
      </c>
      <c r="F2415" s="79" t="str">
        <f t="shared" si="187"/>
        <v/>
      </c>
      <c r="G2415" s="395"/>
      <c r="H2415" s="91">
        <f t="shared" si="188"/>
        <v>0</v>
      </c>
      <c r="I2415" s="91" t="str">
        <f t="shared" si="189"/>
        <v/>
      </c>
      <c r="J2415" s="91" t="str">
        <f t="shared" si="190"/>
        <v/>
      </c>
      <c r="K2415" s="92" t="str">
        <f>IF(AND(A2415="",B2415="",D2415="",G2415=""),"",IF(AND(A2415&lt;&gt;"",COUNTIF($A$2:$A$5001,A2415)&gt;1),"NUMERO_PC duplicado",IF(B2415="","DATA_PC vazia",IF(NOT(ISNUMBER(B2415)),"DATA_PC invalida",IF(OR(C2415="",C2415="Fora dos ciclos"),"CICLO_PC nao identificado",IF(OR(D2415="",D2415=0),"VALOR_PC vazio ou zero",IF(AND(G2415&lt;&gt;"Sim",G2415&lt;&gt;"Nao",G2415&lt;&gt;""),"PC_PAGO_A_CONTRATADA invalido",IF(AND(C2415&lt;&gt;"C0",IFERROR(INDEX(parametros!$A$2:$A$6,MATCH(C2415,parametros!$B$2:$B$6,0)),"")="Sim",IFERROR(INDEX(parametros!$H$2:$H$6,MATCH(C2415,parametros!$B$2:$B$6,0)),"")=""),"INICIO_EFEITO ausente: PC "&amp;A2415&amp;" - "&amp;C2415,IF(L2415="","EFEITO_PC nao calculado: PC "&amp;A2415&amp;" - "&amp;C2415,"OK")))))))))</f>
        <v/>
      </c>
      <c r="L2415" s="92" t="str">
        <f>IF(AND(A2415="",B2415="",D2415="",G2415=""),"",IF(OR(B2415="",NOT(ISNUMBER(B2415)),C2415="",C2415="Fora dos ciclos"),"",IF(C2415="C0","Nao",IF(IFERROR(INDEX(parametros!$A$2:$A$6,MATCH(C2415,parametros!$B$2:$B$6,0)),"")&lt;&gt;"Sim","Nao",IF(IFERROR(INDEX(parametros!$H$2:$H$6,MATCH(C2415,parametros!$B$2:$B$6,0)),"")="","",IF(B2415&gt;=IFERROR(INDEX(parametros!$H$2:$H$6,MATCH(C2415,parametros!$B$2:$B$6,0)),""),"Sim","Nao"))))))</f>
        <v/>
      </c>
      <c r="T2415" s="156"/>
      <c r="U2415" s="214" t="str">
        <f t="shared" si="191"/>
        <v/>
      </c>
      <c r="V2415" s="212" t="s">
        <v>50</v>
      </c>
      <c r="W2415" s="100" t="s">
        <v>168</v>
      </c>
      <c r="X2415" s="100" t="s">
        <v>169</v>
      </c>
      <c r="Y2415" s="101" t="s">
        <v>170</v>
      </c>
      <c r="Z2415" s="101" t="s">
        <v>171</v>
      </c>
      <c r="AA2415" s="101" t="s">
        <v>50</v>
      </c>
      <c r="AB2415" s="101" t="s">
        <v>172</v>
      </c>
      <c r="AC2415" s="102" t="s">
        <v>173</v>
      </c>
    </row>
    <row r="2416" spans="1:29" ht="25.5" customHeight="1" x14ac:dyDescent="0.35">
      <c r="A2416" s="392"/>
      <c r="B2416" s="393"/>
      <c r="C2416" s="99" t="str">
        <f>IF(B2416="","",IF(NOT(ISNUMBER(B2416)),"DATA_PC invalida",IF(NOT(ISNUMBER(parametros!$C$2)),"Fora dos ciclos",IF(OR(B2416&lt;parametros!$C$2,(YEAR(B2416)-YEAR(parametros!$C$2))*12+MONTH(B2416)-MONTH(parametros!$C$2)&gt;59),"Fora dos ciclos","C"&amp;INT(((YEAR(B2416)-YEAR(parametros!$C$2))*12+MONTH(B2416)-MONTH(parametros!$C$2))/12)))))</f>
        <v/>
      </c>
      <c r="D2416" s="394"/>
      <c r="E2416" s="78" t="str">
        <f>IF(C2416="","",IFERROR(VLOOKUP(C2416,parametros!$A$11:$E$15,5,0),""))</f>
        <v/>
      </c>
      <c r="F2416" s="79" t="str">
        <f t="shared" si="187"/>
        <v/>
      </c>
      <c r="G2416" s="395"/>
      <c r="H2416" s="91">
        <f t="shared" si="188"/>
        <v>0</v>
      </c>
      <c r="I2416" s="91" t="str">
        <f t="shared" si="189"/>
        <v/>
      </c>
      <c r="J2416" s="91" t="str">
        <f t="shared" si="190"/>
        <v/>
      </c>
      <c r="K2416" s="92" t="str">
        <f>IF(AND(A2416="",B2416="",D2416="",G2416=""),"",IF(AND(A2416&lt;&gt;"",COUNTIF($A$2:$A$5001,A2416)&gt;1),"NUMERO_PC duplicado",IF(B2416="","DATA_PC vazia",IF(NOT(ISNUMBER(B2416)),"DATA_PC invalida",IF(OR(C2416="",C2416="Fora dos ciclos"),"CICLO_PC nao identificado",IF(OR(D2416="",D2416=0),"VALOR_PC vazio ou zero",IF(AND(G2416&lt;&gt;"Sim",G2416&lt;&gt;"Nao",G2416&lt;&gt;""),"PC_PAGO_A_CONTRATADA invalido",IF(AND(C2416&lt;&gt;"C0",IFERROR(INDEX(parametros!$A$2:$A$6,MATCH(C2416,parametros!$B$2:$B$6,0)),"")="Sim",IFERROR(INDEX(parametros!$H$2:$H$6,MATCH(C2416,parametros!$B$2:$B$6,0)),"")=""),"INICIO_EFEITO ausente: PC "&amp;A2416&amp;" - "&amp;C2416,IF(L2416="","EFEITO_PC nao calculado: PC "&amp;A2416&amp;" - "&amp;C2416,"OK")))))))))</f>
        <v/>
      </c>
      <c r="L2416" s="92" t="str">
        <f>IF(AND(A2416="",B2416="",D2416="",G2416=""),"",IF(OR(B2416="",NOT(ISNUMBER(B2416)),C2416="",C2416="Fora dos ciclos"),"",IF(C2416="C0","Nao",IF(IFERROR(INDEX(parametros!$A$2:$A$6,MATCH(C2416,parametros!$B$2:$B$6,0)),"")&lt;&gt;"Sim","Nao",IF(IFERROR(INDEX(parametros!$H$2:$H$6,MATCH(C2416,parametros!$B$2:$B$6,0)),"")="","",IF(B2416&gt;=IFERROR(INDEX(parametros!$H$2:$H$6,MATCH(C2416,parametros!$B$2:$B$6,0)),""),"Sim","Nao"))))))</f>
        <v/>
      </c>
      <c r="T2416" s="156"/>
      <c r="U2416" s="214" t="str">
        <f t="shared" si="191"/>
        <v/>
      </c>
      <c r="V2416" s="212" t="s">
        <v>50</v>
      </c>
      <c r="W2416" s="100" t="s">
        <v>168</v>
      </c>
      <c r="X2416" s="100" t="s">
        <v>169</v>
      </c>
      <c r="Y2416" s="101" t="s">
        <v>170</v>
      </c>
      <c r="Z2416" s="101" t="s">
        <v>171</v>
      </c>
      <c r="AA2416" s="101" t="s">
        <v>50</v>
      </c>
      <c r="AB2416" s="101" t="s">
        <v>172</v>
      </c>
      <c r="AC2416" s="102" t="s">
        <v>173</v>
      </c>
    </row>
    <row r="2417" spans="1:29" ht="25.5" customHeight="1" x14ac:dyDescent="0.35">
      <c r="A2417" s="392"/>
      <c r="B2417" s="393"/>
      <c r="C2417" s="99" t="str">
        <f>IF(B2417="","",IF(NOT(ISNUMBER(B2417)),"DATA_PC invalida",IF(NOT(ISNUMBER(parametros!$C$2)),"Fora dos ciclos",IF(OR(B2417&lt;parametros!$C$2,(YEAR(B2417)-YEAR(parametros!$C$2))*12+MONTH(B2417)-MONTH(parametros!$C$2)&gt;59),"Fora dos ciclos","C"&amp;INT(((YEAR(B2417)-YEAR(parametros!$C$2))*12+MONTH(B2417)-MONTH(parametros!$C$2))/12)))))</f>
        <v/>
      </c>
      <c r="D2417" s="394"/>
      <c r="E2417" s="78" t="str">
        <f>IF(C2417="","",IFERROR(VLOOKUP(C2417,parametros!$A$11:$E$15,5,0),""))</f>
        <v/>
      </c>
      <c r="F2417" s="79" t="str">
        <f t="shared" si="187"/>
        <v/>
      </c>
      <c r="G2417" s="395"/>
      <c r="H2417" s="91">
        <f t="shared" si="188"/>
        <v>0</v>
      </c>
      <c r="I2417" s="91" t="str">
        <f t="shared" si="189"/>
        <v/>
      </c>
      <c r="J2417" s="91" t="str">
        <f t="shared" si="190"/>
        <v/>
      </c>
      <c r="K2417" s="92" t="str">
        <f>IF(AND(A2417="",B2417="",D2417="",G2417=""),"",IF(AND(A2417&lt;&gt;"",COUNTIF($A$2:$A$5001,A2417)&gt;1),"NUMERO_PC duplicado",IF(B2417="","DATA_PC vazia",IF(NOT(ISNUMBER(B2417)),"DATA_PC invalida",IF(OR(C2417="",C2417="Fora dos ciclos"),"CICLO_PC nao identificado",IF(OR(D2417="",D2417=0),"VALOR_PC vazio ou zero",IF(AND(G2417&lt;&gt;"Sim",G2417&lt;&gt;"Nao",G2417&lt;&gt;""),"PC_PAGO_A_CONTRATADA invalido",IF(AND(C2417&lt;&gt;"C0",IFERROR(INDEX(parametros!$A$2:$A$6,MATCH(C2417,parametros!$B$2:$B$6,0)),"")="Sim",IFERROR(INDEX(parametros!$H$2:$H$6,MATCH(C2417,parametros!$B$2:$B$6,0)),"")=""),"INICIO_EFEITO ausente: PC "&amp;A2417&amp;" - "&amp;C2417,IF(L2417="","EFEITO_PC nao calculado: PC "&amp;A2417&amp;" - "&amp;C2417,"OK")))))))))</f>
        <v/>
      </c>
      <c r="L2417" s="92" t="str">
        <f>IF(AND(A2417="",B2417="",D2417="",G2417=""),"",IF(OR(B2417="",NOT(ISNUMBER(B2417)),C2417="",C2417="Fora dos ciclos"),"",IF(C2417="C0","Nao",IF(IFERROR(INDEX(parametros!$A$2:$A$6,MATCH(C2417,parametros!$B$2:$B$6,0)),"")&lt;&gt;"Sim","Nao",IF(IFERROR(INDEX(parametros!$H$2:$H$6,MATCH(C2417,parametros!$B$2:$B$6,0)),"")="","",IF(B2417&gt;=IFERROR(INDEX(parametros!$H$2:$H$6,MATCH(C2417,parametros!$B$2:$B$6,0)),""),"Sim","Nao"))))))</f>
        <v/>
      </c>
      <c r="T2417" s="156"/>
      <c r="U2417" s="214" t="str">
        <f t="shared" si="191"/>
        <v/>
      </c>
      <c r="V2417" s="212" t="s">
        <v>50</v>
      </c>
      <c r="W2417" s="100" t="s">
        <v>168</v>
      </c>
      <c r="X2417" s="100" t="s">
        <v>169</v>
      </c>
      <c r="Y2417" s="101" t="s">
        <v>170</v>
      </c>
      <c r="Z2417" s="101" t="s">
        <v>171</v>
      </c>
      <c r="AA2417" s="101" t="s">
        <v>50</v>
      </c>
      <c r="AB2417" s="101" t="s">
        <v>172</v>
      </c>
      <c r="AC2417" s="102" t="s">
        <v>173</v>
      </c>
    </row>
    <row r="2418" spans="1:29" ht="25.5" customHeight="1" x14ac:dyDescent="0.35">
      <c r="A2418" s="392"/>
      <c r="B2418" s="393"/>
      <c r="C2418" s="99" t="str">
        <f>IF(B2418="","",IF(NOT(ISNUMBER(B2418)),"DATA_PC invalida",IF(NOT(ISNUMBER(parametros!$C$2)),"Fora dos ciclos",IF(OR(B2418&lt;parametros!$C$2,(YEAR(B2418)-YEAR(parametros!$C$2))*12+MONTH(B2418)-MONTH(parametros!$C$2)&gt;59),"Fora dos ciclos","C"&amp;INT(((YEAR(B2418)-YEAR(parametros!$C$2))*12+MONTH(B2418)-MONTH(parametros!$C$2))/12)))))</f>
        <v/>
      </c>
      <c r="D2418" s="394"/>
      <c r="E2418" s="78" t="str">
        <f>IF(C2418="","",IFERROR(VLOOKUP(C2418,parametros!$A$11:$E$15,5,0),""))</f>
        <v/>
      </c>
      <c r="F2418" s="79" t="str">
        <f t="shared" si="187"/>
        <v/>
      </c>
      <c r="G2418" s="395"/>
      <c r="H2418" s="91">
        <f t="shared" si="188"/>
        <v>0</v>
      </c>
      <c r="I2418" s="91" t="str">
        <f t="shared" si="189"/>
        <v/>
      </c>
      <c r="J2418" s="91" t="str">
        <f t="shared" si="190"/>
        <v/>
      </c>
      <c r="K2418" s="92" t="str">
        <f>IF(AND(A2418="",B2418="",D2418="",G2418=""),"",IF(AND(A2418&lt;&gt;"",COUNTIF($A$2:$A$5001,A2418)&gt;1),"NUMERO_PC duplicado",IF(B2418="","DATA_PC vazia",IF(NOT(ISNUMBER(B2418)),"DATA_PC invalida",IF(OR(C2418="",C2418="Fora dos ciclos"),"CICLO_PC nao identificado",IF(OR(D2418="",D2418=0),"VALOR_PC vazio ou zero",IF(AND(G2418&lt;&gt;"Sim",G2418&lt;&gt;"Nao",G2418&lt;&gt;""),"PC_PAGO_A_CONTRATADA invalido",IF(AND(C2418&lt;&gt;"C0",IFERROR(INDEX(parametros!$A$2:$A$6,MATCH(C2418,parametros!$B$2:$B$6,0)),"")="Sim",IFERROR(INDEX(parametros!$H$2:$H$6,MATCH(C2418,parametros!$B$2:$B$6,0)),"")=""),"INICIO_EFEITO ausente: PC "&amp;A2418&amp;" - "&amp;C2418,IF(L2418="","EFEITO_PC nao calculado: PC "&amp;A2418&amp;" - "&amp;C2418,"OK")))))))))</f>
        <v/>
      </c>
      <c r="L2418" s="92" t="str">
        <f>IF(AND(A2418="",B2418="",D2418="",G2418=""),"",IF(OR(B2418="",NOT(ISNUMBER(B2418)),C2418="",C2418="Fora dos ciclos"),"",IF(C2418="C0","Nao",IF(IFERROR(INDEX(parametros!$A$2:$A$6,MATCH(C2418,parametros!$B$2:$B$6,0)),"")&lt;&gt;"Sim","Nao",IF(IFERROR(INDEX(parametros!$H$2:$H$6,MATCH(C2418,parametros!$B$2:$B$6,0)),"")="","",IF(B2418&gt;=IFERROR(INDEX(parametros!$H$2:$H$6,MATCH(C2418,parametros!$B$2:$B$6,0)),""),"Sim","Nao"))))))</f>
        <v/>
      </c>
      <c r="T2418" s="156"/>
      <c r="U2418" s="214" t="str">
        <f t="shared" si="191"/>
        <v/>
      </c>
      <c r="V2418" s="212" t="s">
        <v>50</v>
      </c>
      <c r="W2418" s="100" t="s">
        <v>168</v>
      </c>
      <c r="X2418" s="100" t="s">
        <v>169</v>
      </c>
      <c r="Y2418" s="101" t="s">
        <v>170</v>
      </c>
      <c r="Z2418" s="101" t="s">
        <v>171</v>
      </c>
      <c r="AA2418" s="101" t="s">
        <v>50</v>
      </c>
      <c r="AB2418" s="101" t="s">
        <v>172</v>
      </c>
      <c r="AC2418" s="102" t="s">
        <v>173</v>
      </c>
    </row>
    <row r="2419" spans="1:29" ht="25.5" customHeight="1" x14ac:dyDescent="0.35">
      <c r="A2419" s="392"/>
      <c r="B2419" s="393"/>
      <c r="C2419" s="99" t="str">
        <f>IF(B2419="","",IF(NOT(ISNUMBER(B2419)),"DATA_PC invalida",IF(NOT(ISNUMBER(parametros!$C$2)),"Fora dos ciclos",IF(OR(B2419&lt;parametros!$C$2,(YEAR(B2419)-YEAR(parametros!$C$2))*12+MONTH(B2419)-MONTH(parametros!$C$2)&gt;59),"Fora dos ciclos","C"&amp;INT(((YEAR(B2419)-YEAR(parametros!$C$2))*12+MONTH(B2419)-MONTH(parametros!$C$2))/12)))))</f>
        <v/>
      </c>
      <c r="D2419" s="394"/>
      <c r="E2419" s="78" t="str">
        <f>IF(C2419="","",IFERROR(VLOOKUP(C2419,parametros!$A$11:$E$15,5,0),""))</f>
        <v/>
      </c>
      <c r="F2419" s="79" t="str">
        <f t="shared" si="187"/>
        <v/>
      </c>
      <c r="G2419" s="395"/>
      <c r="H2419" s="91">
        <f t="shared" si="188"/>
        <v>0</v>
      </c>
      <c r="I2419" s="91" t="str">
        <f t="shared" si="189"/>
        <v/>
      </c>
      <c r="J2419" s="91" t="str">
        <f t="shared" si="190"/>
        <v/>
      </c>
      <c r="K2419" s="92" t="str">
        <f>IF(AND(A2419="",B2419="",D2419="",G2419=""),"",IF(AND(A2419&lt;&gt;"",COUNTIF($A$2:$A$5001,A2419)&gt;1),"NUMERO_PC duplicado",IF(B2419="","DATA_PC vazia",IF(NOT(ISNUMBER(B2419)),"DATA_PC invalida",IF(OR(C2419="",C2419="Fora dos ciclos"),"CICLO_PC nao identificado",IF(OR(D2419="",D2419=0),"VALOR_PC vazio ou zero",IF(AND(G2419&lt;&gt;"Sim",G2419&lt;&gt;"Nao",G2419&lt;&gt;""),"PC_PAGO_A_CONTRATADA invalido",IF(AND(C2419&lt;&gt;"C0",IFERROR(INDEX(parametros!$A$2:$A$6,MATCH(C2419,parametros!$B$2:$B$6,0)),"")="Sim",IFERROR(INDEX(parametros!$H$2:$H$6,MATCH(C2419,parametros!$B$2:$B$6,0)),"")=""),"INICIO_EFEITO ausente: PC "&amp;A2419&amp;" - "&amp;C2419,IF(L2419="","EFEITO_PC nao calculado: PC "&amp;A2419&amp;" - "&amp;C2419,"OK")))))))))</f>
        <v/>
      </c>
      <c r="L2419" s="92" t="str">
        <f>IF(AND(A2419="",B2419="",D2419="",G2419=""),"",IF(OR(B2419="",NOT(ISNUMBER(B2419)),C2419="",C2419="Fora dos ciclos"),"",IF(C2419="C0","Nao",IF(IFERROR(INDEX(parametros!$A$2:$A$6,MATCH(C2419,parametros!$B$2:$B$6,0)),"")&lt;&gt;"Sim","Nao",IF(IFERROR(INDEX(parametros!$H$2:$H$6,MATCH(C2419,parametros!$B$2:$B$6,0)),"")="","",IF(B2419&gt;=IFERROR(INDEX(parametros!$H$2:$H$6,MATCH(C2419,parametros!$B$2:$B$6,0)),""),"Sim","Nao"))))))</f>
        <v/>
      </c>
      <c r="T2419" s="156"/>
      <c r="U2419" s="214" t="str">
        <f t="shared" si="191"/>
        <v/>
      </c>
      <c r="V2419" s="212" t="s">
        <v>50</v>
      </c>
      <c r="W2419" s="100" t="s">
        <v>168</v>
      </c>
      <c r="X2419" s="100" t="s">
        <v>169</v>
      </c>
      <c r="Y2419" s="101" t="s">
        <v>170</v>
      </c>
      <c r="Z2419" s="101" t="s">
        <v>171</v>
      </c>
      <c r="AA2419" s="101" t="s">
        <v>50</v>
      </c>
      <c r="AB2419" s="101" t="s">
        <v>172</v>
      </c>
      <c r="AC2419" s="102" t="s">
        <v>173</v>
      </c>
    </row>
    <row r="2420" spans="1:29" ht="25.5" customHeight="1" x14ac:dyDescent="0.35">
      <c r="A2420" s="392"/>
      <c r="B2420" s="393"/>
      <c r="C2420" s="99" t="str">
        <f>IF(B2420="","",IF(NOT(ISNUMBER(B2420)),"DATA_PC invalida",IF(NOT(ISNUMBER(parametros!$C$2)),"Fora dos ciclos",IF(OR(B2420&lt;parametros!$C$2,(YEAR(B2420)-YEAR(parametros!$C$2))*12+MONTH(B2420)-MONTH(parametros!$C$2)&gt;59),"Fora dos ciclos","C"&amp;INT(((YEAR(B2420)-YEAR(parametros!$C$2))*12+MONTH(B2420)-MONTH(parametros!$C$2))/12)))))</f>
        <v/>
      </c>
      <c r="D2420" s="394"/>
      <c r="E2420" s="78" t="str">
        <f>IF(C2420="","",IFERROR(VLOOKUP(C2420,parametros!$A$11:$E$15,5,0),""))</f>
        <v/>
      </c>
      <c r="F2420" s="79" t="str">
        <f t="shared" si="187"/>
        <v/>
      </c>
      <c r="G2420" s="395"/>
      <c r="H2420" s="91">
        <f t="shared" si="188"/>
        <v>0</v>
      </c>
      <c r="I2420" s="91" t="str">
        <f t="shared" si="189"/>
        <v/>
      </c>
      <c r="J2420" s="91" t="str">
        <f t="shared" si="190"/>
        <v/>
      </c>
      <c r="K2420" s="92" t="str">
        <f>IF(AND(A2420="",B2420="",D2420="",G2420=""),"",IF(AND(A2420&lt;&gt;"",COUNTIF($A$2:$A$5001,A2420)&gt;1),"NUMERO_PC duplicado",IF(B2420="","DATA_PC vazia",IF(NOT(ISNUMBER(B2420)),"DATA_PC invalida",IF(OR(C2420="",C2420="Fora dos ciclos"),"CICLO_PC nao identificado",IF(OR(D2420="",D2420=0),"VALOR_PC vazio ou zero",IF(AND(G2420&lt;&gt;"Sim",G2420&lt;&gt;"Nao",G2420&lt;&gt;""),"PC_PAGO_A_CONTRATADA invalido",IF(AND(C2420&lt;&gt;"C0",IFERROR(INDEX(parametros!$A$2:$A$6,MATCH(C2420,parametros!$B$2:$B$6,0)),"")="Sim",IFERROR(INDEX(parametros!$H$2:$H$6,MATCH(C2420,parametros!$B$2:$B$6,0)),"")=""),"INICIO_EFEITO ausente: PC "&amp;A2420&amp;" - "&amp;C2420,IF(L2420="","EFEITO_PC nao calculado: PC "&amp;A2420&amp;" - "&amp;C2420,"OK")))))))))</f>
        <v/>
      </c>
      <c r="L2420" s="92" t="str">
        <f>IF(AND(A2420="",B2420="",D2420="",G2420=""),"",IF(OR(B2420="",NOT(ISNUMBER(B2420)),C2420="",C2420="Fora dos ciclos"),"",IF(C2420="C0","Nao",IF(IFERROR(INDEX(parametros!$A$2:$A$6,MATCH(C2420,parametros!$B$2:$B$6,0)),"")&lt;&gt;"Sim","Nao",IF(IFERROR(INDEX(parametros!$H$2:$H$6,MATCH(C2420,parametros!$B$2:$B$6,0)),"")="","",IF(B2420&gt;=IFERROR(INDEX(parametros!$H$2:$H$6,MATCH(C2420,parametros!$B$2:$B$6,0)),""),"Sim","Nao"))))))</f>
        <v/>
      </c>
      <c r="T2420" s="156"/>
      <c r="U2420" s="214" t="str">
        <f t="shared" si="191"/>
        <v/>
      </c>
      <c r="V2420" s="212" t="s">
        <v>50</v>
      </c>
      <c r="W2420" s="100" t="s">
        <v>168</v>
      </c>
      <c r="X2420" s="100" t="s">
        <v>169</v>
      </c>
      <c r="Y2420" s="101" t="s">
        <v>170</v>
      </c>
      <c r="Z2420" s="101" t="s">
        <v>171</v>
      </c>
      <c r="AA2420" s="101" t="s">
        <v>50</v>
      </c>
      <c r="AB2420" s="101" t="s">
        <v>172</v>
      </c>
      <c r="AC2420" s="102" t="s">
        <v>173</v>
      </c>
    </row>
    <row r="2421" spans="1:29" ht="25.5" customHeight="1" x14ac:dyDescent="0.35">
      <c r="A2421" s="392"/>
      <c r="B2421" s="393"/>
      <c r="C2421" s="99" t="str">
        <f>IF(B2421="","",IF(NOT(ISNUMBER(B2421)),"DATA_PC invalida",IF(NOT(ISNUMBER(parametros!$C$2)),"Fora dos ciclos",IF(OR(B2421&lt;parametros!$C$2,(YEAR(B2421)-YEAR(parametros!$C$2))*12+MONTH(B2421)-MONTH(parametros!$C$2)&gt;59),"Fora dos ciclos","C"&amp;INT(((YEAR(B2421)-YEAR(parametros!$C$2))*12+MONTH(B2421)-MONTH(parametros!$C$2))/12)))))</f>
        <v/>
      </c>
      <c r="D2421" s="394"/>
      <c r="E2421" s="78" t="str">
        <f>IF(C2421="","",IFERROR(VLOOKUP(C2421,parametros!$A$11:$E$15,5,0),""))</f>
        <v/>
      </c>
      <c r="F2421" s="79" t="str">
        <f t="shared" si="187"/>
        <v/>
      </c>
      <c r="G2421" s="395"/>
      <c r="H2421" s="91">
        <f t="shared" si="188"/>
        <v>0</v>
      </c>
      <c r="I2421" s="91" t="str">
        <f t="shared" si="189"/>
        <v/>
      </c>
      <c r="J2421" s="91" t="str">
        <f t="shared" si="190"/>
        <v/>
      </c>
      <c r="K2421" s="92" t="str">
        <f>IF(AND(A2421="",B2421="",D2421="",G2421=""),"",IF(AND(A2421&lt;&gt;"",COUNTIF($A$2:$A$5001,A2421)&gt;1),"NUMERO_PC duplicado",IF(B2421="","DATA_PC vazia",IF(NOT(ISNUMBER(B2421)),"DATA_PC invalida",IF(OR(C2421="",C2421="Fora dos ciclos"),"CICLO_PC nao identificado",IF(OR(D2421="",D2421=0),"VALOR_PC vazio ou zero",IF(AND(G2421&lt;&gt;"Sim",G2421&lt;&gt;"Nao",G2421&lt;&gt;""),"PC_PAGO_A_CONTRATADA invalido",IF(AND(C2421&lt;&gt;"C0",IFERROR(INDEX(parametros!$A$2:$A$6,MATCH(C2421,parametros!$B$2:$B$6,0)),"")="Sim",IFERROR(INDEX(parametros!$H$2:$H$6,MATCH(C2421,parametros!$B$2:$B$6,0)),"")=""),"INICIO_EFEITO ausente: PC "&amp;A2421&amp;" - "&amp;C2421,IF(L2421="","EFEITO_PC nao calculado: PC "&amp;A2421&amp;" - "&amp;C2421,"OK")))))))))</f>
        <v/>
      </c>
      <c r="L2421" s="92" t="str">
        <f>IF(AND(A2421="",B2421="",D2421="",G2421=""),"",IF(OR(B2421="",NOT(ISNUMBER(B2421)),C2421="",C2421="Fora dos ciclos"),"",IF(C2421="C0","Nao",IF(IFERROR(INDEX(parametros!$A$2:$A$6,MATCH(C2421,parametros!$B$2:$B$6,0)),"")&lt;&gt;"Sim","Nao",IF(IFERROR(INDEX(parametros!$H$2:$H$6,MATCH(C2421,parametros!$B$2:$B$6,0)),"")="","",IF(B2421&gt;=IFERROR(INDEX(parametros!$H$2:$H$6,MATCH(C2421,parametros!$B$2:$B$6,0)),""),"Sim","Nao"))))))</f>
        <v/>
      </c>
      <c r="T2421" s="156"/>
      <c r="U2421" s="214" t="str">
        <f t="shared" si="191"/>
        <v/>
      </c>
      <c r="V2421" s="212" t="s">
        <v>50</v>
      </c>
      <c r="W2421" s="100" t="s">
        <v>168</v>
      </c>
      <c r="X2421" s="100" t="s">
        <v>169</v>
      </c>
      <c r="Y2421" s="101" t="s">
        <v>170</v>
      </c>
      <c r="Z2421" s="101" t="s">
        <v>171</v>
      </c>
      <c r="AA2421" s="101" t="s">
        <v>50</v>
      </c>
      <c r="AB2421" s="101" t="s">
        <v>172</v>
      </c>
      <c r="AC2421" s="102" t="s">
        <v>173</v>
      </c>
    </row>
    <row r="2422" spans="1:29" ht="25.5" customHeight="1" x14ac:dyDescent="0.35">
      <c r="A2422" s="392"/>
      <c r="B2422" s="393"/>
      <c r="C2422" s="99" t="str">
        <f>IF(B2422="","",IF(NOT(ISNUMBER(B2422)),"DATA_PC invalida",IF(NOT(ISNUMBER(parametros!$C$2)),"Fora dos ciclos",IF(OR(B2422&lt;parametros!$C$2,(YEAR(B2422)-YEAR(parametros!$C$2))*12+MONTH(B2422)-MONTH(parametros!$C$2)&gt;59),"Fora dos ciclos","C"&amp;INT(((YEAR(B2422)-YEAR(parametros!$C$2))*12+MONTH(B2422)-MONTH(parametros!$C$2))/12)))))</f>
        <v/>
      </c>
      <c r="D2422" s="394"/>
      <c r="E2422" s="78" t="str">
        <f>IF(C2422="","",IFERROR(VLOOKUP(C2422,parametros!$A$11:$E$15,5,0),""))</f>
        <v/>
      </c>
      <c r="F2422" s="79" t="str">
        <f t="shared" si="187"/>
        <v/>
      </c>
      <c r="G2422" s="395"/>
      <c r="H2422" s="91">
        <f t="shared" si="188"/>
        <v>0</v>
      </c>
      <c r="I2422" s="91" t="str">
        <f t="shared" si="189"/>
        <v/>
      </c>
      <c r="J2422" s="91" t="str">
        <f t="shared" si="190"/>
        <v/>
      </c>
      <c r="K2422" s="92" t="str">
        <f>IF(AND(A2422="",B2422="",D2422="",G2422=""),"",IF(AND(A2422&lt;&gt;"",COUNTIF($A$2:$A$5001,A2422)&gt;1),"NUMERO_PC duplicado",IF(B2422="","DATA_PC vazia",IF(NOT(ISNUMBER(B2422)),"DATA_PC invalida",IF(OR(C2422="",C2422="Fora dos ciclos"),"CICLO_PC nao identificado",IF(OR(D2422="",D2422=0),"VALOR_PC vazio ou zero",IF(AND(G2422&lt;&gt;"Sim",G2422&lt;&gt;"Nao",G2422&lt;&gt;""),"PC_PAGO_A_CONTRATADA invalido",IF(AND(C2422&lt;&gt;"C0",IFERROR(INDEX(parametros!$A$2:$A$6,MATCH(C2422,parametros!$B$2:$B$6,0)),"")="Sim",IFERROR(INDEX(parametros!$H$2:$H$6,MATCH(C2422,parametros!$B$2:$B$6,0)),"")=""),"INICIO_EFEITO ausente: PC "&amp;A2422&amp;" - "&amp;C2422,IF(L2422="","EFEITO_PC nao calculado: PC "&amp;A2422&amp;" - "&amp;C2422,"OK")))))))))</f>
        <v/>
      </c>
      <c r="L2422" s="92" t="str">
        <f>IF(AND(A2422="",B2422="",D2422="",G2422=""),"",IF(OR(B2422="",NOT(ISNUMBER(B2422)),C2422="",C2422="Fora dos ciclos"),"",IF(C2422="C0","Nao",IF(IFERROR(INDEX(parametros!$A$2:$A$6,MATCH(C2422,parametros!$B$2:$B$6,0)),"")&lt;&gt;"Sim","Nao",IF(IFERROR(INDEX(parametros!$H$2:$H$6,MATCH(C2422,parametros!$B$2:$B$6,0)),"")="","",IF(B2422&gt;=IFERROR(INDEX(parametros!$H$2:$H$6,MATCH(C2422,parametros!$B$2:$B$6,0)),""),"Sim","Nao"))))))</f>
        <v/>
      </c>
      <c r="T2422" s="156"/>
      <c r="U2422" s="214" t="str">
        <f t="shared" si="191"/>
        <v/>
      </c>
      <c r="V2422" s="212" t="s">
        <v>50</v>
      </c>
      <c r="W2422" s="100" t="s">
        <v>168</v>
      </c>
      <c r="X2422" s="100" t="s">
        <v>169</v>
      </c>
      <c r="Y2422" s="101" t="s">
        <v>170</v>
      </c>
      <c r="Z2422" s="101" t="s">
        <v>171</v>
      </c>
      <c r="AA2422" s="101" t="s">
        <v>50</v>
      </c>
      <c r="AB2422" s="101" t="s">
        <v>172</v>
      </c>
      <c r="AC2422" s="102" t="s">
        <v>173</v>
      </c>
    </row>
    <row r="2423" spans="1:29" ht="25.5" customHeight="1" x14ac:dyDescent="0.35">
      <c r="A2423" s="392"/>
      <c r="B2423" s="393"/>
      <c r="C2423" s="99" t="str">
        <f>IF(B2423="","",IF(NOT(ISNUMBER(B2423)),"DATA_PC invalida",IF(NOT(ISNUMBER(parametros!$C$2)),"Fora dos ciclos",IF(OR(B2423&lt;parametros!$C$2,(YEAR(B2423)-YEAR(parametros!$C$2))*12+MONTH(B2423)-MONTH(parametros!$C$2)&gt;59),"Fora dos ciclos","C"&amp;INT(((YEAR(B2423)-YEAR(parametros!$C$2))*12+MONTH(B2423)-MONTH(parametros!$C$2))/12)))))</f>
        <v/>
      </c>
      <c r="D2423" s="394"/>
      <c r="E2423" s="78" t="str">
        <f>IF(C2423="","",IFERROR(VLOOKUP(C2423,parametros!$A$11:$E$15,5,0),""))</f>
        <v/>
      </c>
      <c r="F2423" s="79" t="str">
        <f t="shared" si="187"/>
        <v/>
      </c>
      <c r="G2423" s="395"/>
      <c r="H2423" s="91">
        <f t="shared" si="188"/>
        <v>0</v>
      </c>
      <c r="I2423" s="91" t="str">
        <f t="shared" si="189"/>
        <v/>
      </c>
      <c r="J2423" s="91" t="str">
        <f t="shared" si="190"/>
        <v/>
      </c>
      <c r="K2423" s="92" t="str">
        <f>IF(AND(A2423="",B2423="",D2423="",G2423=""),"",IF(AND(A2423&lt;&gt;"",COUNTIF($A$2:$A$5001,A2423)&gt;1),"NUMERO_PC duplicado",IF(B2423="","DATA_PC vazia",IF(NOT(ISNUMBER(B2423)),"DATA_PC invalida",IF(OR(C2423="",C2423="Fora dos ciclos"),"CICLO_PC nao identificado",IF(OR(D2423="",D2423=0),"VALOR_PC vazio ou zero",IF(AND(G2423&lt;&gt;"Sim",G2423&lt;&gt;"Nao",G2423&lt;&gt;""),"PC_PAGO_A_CONTRATADA invalido",IF(AND(C2423&lt;&gt;"C0",IFERROR(INDEX(parametros!$A$2:$A$6,MATCH(C2423,parametros!$B$2:$B$6,0)),"")="Sim",IFERROR(INDEX(parametros!$H$2:$H$6,MATCH(C2423,parametros!$B$2:$B$6,0)),"")=""),"INICIO_EFEITO ausente: PC "&amp;A2423&amp;" - "&amp;C2423,IF(L2423="","EFEITO_PC nao calculado: PC "&amp;A2423&amp;" - "&amp;C2423,"OK")))))))))</f>
        <v/>
      </c>
      <c r="L2423" s="92" t="str">
        <f>IF(AND(A2423="",B2423="",D2423="",G2423=""),"",IF(OR(B2423="",NOT(ISNUMBER(B2423)),C2423="",C2423="Fora dos ciclos"),"",IF(C2423="C0","Nao",IF(IFERROR(INDEX(parametros!$A$2:$A$6,MATCH(C2423,parametros!$B$2:$B$6,0)),"")&lt;&gt;"Sim","Nao",IF(IFERROR(INDEX(parametros!$H$2:$H$6,MATCH(C2423,parametros!$B$2:$B$6,0)),"")="","",IF(B2423&gt;=IFERROR(INDEX(parametros!$H$2:$H$6,MATCH(C2423,parametros!$B$2:$B$6,0)),""),"Sim","Nao"))))))</f>
        <v/>
      </c>
      <c r="T2423" s="156"/>
      <c r="U2423" s="214" t="str">
        <f t="shared" si="191"/>
        <v/>
      </c>
      <c r="V2423" s="212" t="s">
        <v>50</v>
      </c>
      <c r="W2423" s="100" t="s">
        <v>168</v>
      </c>
      <c r="X2423" s="100" t="s">
        <v>169</v>
      </c>
      <c r="Y2423" s="101" t="s">
        <v>170</v>
      </c>
      <c r="Z2423" s="101" t="s">
        <v>171</v>
      </c>
      <c r="AA2423" s="101" t="s">
        <v>50</v>
      </c>
      <c r="AB2423" s="101" t="s">
        <v>172</v>
      </c>
      <c r="AC2423" s="102" t="s">
        <v>173</v>
      </c>
    </row>
    <row r="2424" spans="1:29" ht="25.5" customHeight="1" x14ac:dyDescent="0.35">
      <c r="A2424" s="392"/>
      <c r="B2424" s="393"/>
      <c r="C2424" s="99" t="str">
        <f>IF(B2424="","",IF(NOT(ISNUMBER(B2424)),"DATA_PC invalida",IF(NOT(ISNUMBER(parametros!$C$2)),"Fora dos ciclos",IF(OR(B2424&lt;parametros!$C$2,(YEAR(B2424)-YEAR(parametros!$C$2))*12+MONTH(B2424)-MONTH(parametros!$C$2)&gt;59),"Fora dos ciclos","C"&amp;INT(((YEAR(B2424)-YEAR(parametros!$C$2))*12+MONTH(B2424)-MONTH(parametros!$C$2))/12)))))</f>
        <v/>
      </c>
      <c r="D2424" s="394"/>
      <c r="E2424" s="78" t="str">
        <f>IF(C2424="","",IFERROR(VLOOKUP(C2424,parametros!$A$11:$E$15,5,0),""))</f>
        <v/>
      </c>
      <c r="F2424" s="79" t="str">
        <f t="shared" si="187"/>
        <v/>
      </c>
      <c r="G2424" s="395"/>
      <c r="H2424" s="91">
        <f t="shared" si="188"/>
        <v>0</v>
      </c>
      <c r="I2424" s="91" t="str">
        <f t="shared" si="189"/>
        <v/>
      </c>
      <c r="J2424" s="91" t="str">
        <f t="shared" si="190"/>
        <v/>
      </c>
      <c r="K2424" s="92" t="str">
        <f>IF(AND(A2424="",B2424="",D2424="",G2424=""),"",IF(AND(A2424&lt;&gt;"",COUNTIF($A$2:$A$5001,A2424)&gt;1),"NUMERO_PC duplicado",IF(B2424="","DATA_PC vazia",IF(NOT(ISNUMBER(B2424)),"DATA_PC invalida",IF(OR(C2424="",C2424="Fora dos ciclos"),"CICLO_PC nao identificado",IF(OR(D2424="",D2424=0),"VALOR_PC vazio ou zero",IF(AND(G2424&lt;&gt;"Sim",G2424&lt;&gt;"Nao",G2424&lt;&gt;""),"PC_PAGO_A_CONTRATADA invalido",IF(AND(C2424&lt;&gt;"C0",IFERROR(INDEX(parametros!$A$2:$A$6,MATCH(C2424,parametros!$B$2:$B$6,0)),"")="Sim",IFERROR(INDEX(parametros!$H$2:$H$6,MATCH(C2424,parametros!$B$2:$B$6,0)),"")=""),"INICIO_EFEITO ausente: PC "&amp;A2424&amp;" - "&amp;C2424,IF(L2424="","EFEITO_PC nao calculado: PC "&amp;A2424&amp;" - "&amp;C2424,"OK")))))))))</f>
        <v/>
      </c>
      <c r="L2424" s="92" t="str">
        <f>IF(AND(A2424="",B2424="",D2424="",G2424=""),"",IF(OR(B2424="",NOT(ISNUMBER(B2424)),C2424="",C2424="Fora dos ciclos"),"",IF(C2424="C0","Nao",IF(IFERROR(INDEX(parametros!$A$2:$A$6,MATCH(C2424,parametros!$B$2:$B$6,0)),"")&lt;&gt;"Sim","Nao",IF(IFERROR(INDEX(parametros!$H$2:$H$6,MATCH(C2424,parametros!$B$2:$B$6,0)),"")="","",IF(B2424&gt;=IFERROR(INDEX(parametros!$H$2:$H$6,MATCH(C2424,parametros!$B$2:$B$6,0)),""),"Sim","Nao"))))))</f>
        <v/>
      </c>
      <c r="T2424" s="156"/>
      <c r="U2424" s="214" t="str">
        <f t="shared" si="191"/>
        <v/>
      </c>
      <c r="V2424" s="212" t="s">
        <v>50</v>
      </c>
      <c r="W2424" s="100" t="s">
        <v>168</v>
      </c>
      <c r="X2424" s="100" t="s">
        <v>169</v>
      </c>
      <c r="Y2424" s="101" t="s">
        <v>170</v>
      </c>
      <c r="Z2424" s="101" t="s">
        <v>171</v>
      </c>
      <c r="AA2424" s="101" t="s">
        <v>50</v>
      </c>
      <c r="AB2424" s="101" t="s">
        <v>172</v>
      </c>
      <c r="AC2424" s="102" t="s">
        <v>173</v>
      </c>
    </row>
    <row r="2425" spans="1:29" ht="25.5" customHeight="1" x14ac:dyDescent="0.35">
      <c r="A2425" s="392"/>
      <c r="B2425" s="393"/>
      <c r="C2425" s="99" t="str">
        <f>IF(B2425="","",IF(NOT(ISNUMBER(B2425)),"DATA_PC invalida",IF(NOT(ISNUMBER(parametros!$C$2)),"Fora dos ciclos",IF(OR(B2425&lt;parametros!$C$2,(YEAR(B2425)-YEAR(parametros!$C$2))*12+MONTH(B2425)-MONTH(parametros!$C$2)&gt;59),"Fora dos ciclos","C"&amp;INT(((YEAR(B2425)-YEAR(parametros!$C$2))*12+MONTH(B2425)-MONTH(parametros!$C$2))/12)))))</f>
        <v/>
      </c>
      <c r="D2425" s="394"/>
      <c r="E2425" s="78" t="str">
        <f>IF(C2425="","",IFERROR(VLOOKUP(C2425,parametros!$A$11:$E$15,5,0),""))</f>
        <v/>
      </c>
      <c r="F2425" s="79" t="str">
        <f t="shared" si="187"/>
        <v/>
      </c>
      <c r="G2425" s="395"/>
      <c r="H2425" s="91">
        <f t="shared" si="188"/>
        <v>0</v>
      </c>
      <c r="I2425" s="91" t="str">
        <f t="shared" si="189"/>
        <v/>
      </c>
      <c r="J2425" s="91" t="str">
        <f t="shared" si="190"/>
        <v/>
      </c>
      <c r="K2425" s="92" t="str">
        <f>IF(AND(A2425="",B2425="",D2425="",G2425=""),"",IF(AND(A2425&lt;&gt;"",COUNTIF($A$2:$A$5001,A2425)&gt;1),"NUMERO_PC duplicado",IF(B2425="","DATA_PC vazia",IF(NOT(ISNUMBER(B2425)),"DATA_PC invalida",IF(OR(C2425="",C2425="Fora dos ciclos"),"CICLO_PC nao identificado",IF(OR(D2425="",D2425=0),"VALOR_PC vazio ou zero",IF(AND(G2425&lt;&gt;"Sim",G2425&lt;&gt;"Nao",G2425&lt;&gt;""),"PC_PAGO_A_CONTRATADA invalido",IF(AND(C2425&lt;&gt;"C0",IFERROR(INDEX(parametros!$A$2:$A$6,MATCH(C2425,parametros!$B$2:$B$6,0)),"")="Sim",IFERROR(INDEX(parametros!$H$2:$H$6,MATCH(C2425,parametros!$B$2:$B$6,0)),"")=""),"INICIO_EFEITO ausente: PC "&amp;A2425&amp;" - "&amp;C2425,IF(L2425="","EFEITO_PC nao calculado: PC "&amp;A2425&amp;" - "&amp;C2425,"OK")))))))))</f>
        <v/>
      </c>
      <c r="L2425" s="92" t="str">
        <f>IF(AND(A2425="",B2425="",D2425="",G2425=""),"",IF(OR(B2425="",NOT(ISNUMBER(B2425)),C2425="",C2425="Fora dos ciclos"),"",IF(C2425="C0","Nao",IF(IFERROR(INDEX(parametros!$A$2:$A$6,MATCH(C2425,parametros!$B$2:$B$6,0)),"")&lt;&gt;"Sim","Nao",IF(IFERROR(INDEX(parametros!$H$2:$H$6,MATCH(C2425,parametros!$B$2:$B$6,0)),"")="","",IF(B2425&gt;=IFERROR(INDEX(parametros!$H$2:$H$6,MATCH(C2425,parametros!$B$2:$B$6,0)),""),"Sim","Nao"))))))</f>
        <v/>
      </c>
      <c r="T2425" s="156"/>
      <c r="U2425" s="214" t="str">
        <f t="shared" si="191"/>
        <v/>
      </c>
      <c r="V2425" s="212" t="s">
        <v>50</v>
      </c>
      <c r="W2425" s="100" t="s">
        <v>168</v>
      </c>
      <c r="X2425" s="100" t="s">
        <v>169</v>
      </c>
      <c r="Y2425" s="101" t="s">
        <v>170</v>
      </c>
      <c r="Z2425" s="101" t="s">
        <v>171</v>
      </c>
      <c r="AA2425" s="101" t="s">
        <v>50</v>
      </c>
      <c r="AB2425" s="101" t="s">
        <v>172</v>
      </c>
      <c r="AC2425" s="102" t="s">
        <v>173</v>
      </c>
    </row>
    <row r="2426" spans="1:29" ht="25.5" customHeight="1" x14ac:dyDescent="0.35">
      <c r="A2426" s="392"/>
      <c r="B2426" s="393"/>
      <c r="C2426" s="99" t="str">
        <f>IF(B2426="","",IF(NOT(ISNUMBER(B2426)),"DATA_PC invalida",IF(NOT(ISNUMBER(parametros!$C$2)),"Fora dos ciclos",IF(OR(B2426&lt;parametros!$C$2,(YEAR(B2426)-YEAR(parametros!$C$2))*12+MONTH(B2426)-MONTH(parametros!$C$2)&gt;59),"Fora dos ciclos","C"&amp;INT(((YEAR(B2426)-YEAR(parametros!$C$2))*12+MONTH(B2426)-MONTH(parametros!$C$2))/12)))))</f>
        <v/>
      </c>
      <c r="D2426" s="394"/>
      <c r="E2426" s="78" t="str">
        <f>IF(C2426="","",IFERROR(VLOOKUP(C2426,parametros!$A$11:$E$15,5,0),""))</f>
        <v/>
      </c>
      <c r="F2426" s="79" t="str">
        <f t="shared" si="187"/>
        <v/>
      </c>
      <c r="G2426" s="395"/>
      <c r="H2426" s="91">
        <f t="shared" si="188"/>
        <v>0</v>
      </c>
      <c r="I2426" s="91" t="str">
        <f t="shared" si="189"/>
        <v/>
      </c>
      <c r="J2426" s="91" t="str">
        <f t="shared" si="190"/>
        <v/>
      </c>
      <c r="K2426" s="92" t="str">
        <f>IF(AND(A2426="",B2426="",D2426="",G2426=""),"",IF(AND(A2426&lt;&gt;"",COUNTIF($A$2:$A$5001,A2426)&gt;1),"NUMERO_PC duplicado",IF(B2426="","DATA_PC vazia",IF(NOT(ISNUMBER(B2426)),"DATA_PC invalida",IF(OR(C2426="",C2426="Fora dos ciclos"),"CICLO_PC nao identificado",IF(OR(D2426="",D2426=0),"VALOR_PC vazio ou zero",IF(AND(G2426&lt;&gt;"Sim",G2426&lt;&gt;"Nao",G2426&lt;&gt;""),"PC_PAGO_A_CONTRATADA invalido",IF(AND(C2426&lt;&gt;"C0",IFERROR(INDEX(parametros!$A$2:$A$6,MATCH(C2426,parametros!$B$2:$B$6,0)),"")="Sim",IFERROR(INDEX(parametros!$H$2:$H$6,MATCH(C2426,parametros!$B$2:$B$6,0)),"")=""),"INICIO_EFEITO ausente: PC "&amp;A2426&amp;" - "&amp;C2426,IF(L2426="","EFEITO_PC nao calculado: PC "&amp;A2426&amp;" - "&amp;C2426,"OK")))))))))</f>
        <v/>
      </c>
      <c r="L2426" s="92" t="str">
        <f>IF(AND(A2426="",B2426="",D2426="",G2426=""),"",IF(OR(B2426="",NOT(ISNUMBER(B2426)),C2426="",C2426="Fora dos ciclos"),"",IF(C2426="C0","Nao",IF(IFERROR(INDEX(parametros!$A$2:$A$6,MATCH(C2426,parametros!$B$2:$B$6,0)),"")&lt;&gt;"Sim","Nao",IF(IFERROR(INDEX(parametros!$H$2:$H$6,MATCH(C2426,parametros!$B$2:$B$6,0)),"")="","",IF(B2426&gt;=IFERROR(INDEX(parametros!$H$2:$H$6,MATCH(C2426,parametros!$B$2:$B$6,0)),""),"Sim","Nao"))))))</f>
        <v/>
      </c>
      <c r="T2426" s="156"/>
      <c r="U2426" s="214" t="str">
        <f t="shared" si="191"/>
        <v/>
      </c>
      <c r="V2426" s="212" t="s">
        <v>50</v>
      </c>
      <c r="W2426" s="100" t="s">
        <v>168</v>
      </c>
      <c r="X2426" s="100" t="s">
        <v>169</v>
      </c>
      <c r="Y2426" s="101" t="s">
        <v>170</v>
      </c>
      <c r="Z2426" s="101" t="s">
        <v>171</v>
      </c>
      <c r="AA2426" s="101" t="s">
        <v>50</v>
      </c>
      <c r="AB2426" s="101" t="s">
        <v>172</v>
      </c>
      <c r="AC2426" s="102" t="s">
        <v>173</v>
      </c>
    </row>
    <row r="2427" spans="1:29" ht="25.5" customHeight="1" x14ac:dyDescent="0.35">
      <c r="A2427" s="392"/>
      <c r="B2427" s="393"/>
      <c r="C2427" s="99" t="str">
        <f>IF(B2427="","",IF(NOT(ISNUMBER(B2427)),"DATA_PC invalida",IF(NOT(ISNUMBER(parametros!$C$2)),"Fora dos ciclos",IF(OR(B2427&lt;parametros!$C$2,(YEAR(B2427)-YEAR(parametros!$C$2))*12+MONTH(B2427)-MONTH(parametros!$C$2)&gt;59),"Fora dos ciclos","C"&amp;INT(((YEAR(B2427)-YEAR(parametros!$C$2))*12+MONTH(B2427)-MONTH(parametros!$C$2))/12)))))</f>
        <v/>
      </c>
      <c r="D2427" s="394"/>
      <c r="E2427" s="78" t="str">
        <f>IF(C2427="","",IFERROR(VLOOKUP(C2427,parametros!$A$11:$E$15,5,0),""))</f>
        <v/>
      </c>
      <c r="F2427" s="79" t="str">
        <f t="shared" si="187"/>
        <v/>
      </c>
      <c r="G2427" s="395"/>
      <c r="H2427" s="91">
        <f t="shared" si="188"/>
        <v>0</v>
      </c>
      <c r="I2427" s="91" t="str">
        <f t="shared" si="189"/>
        <v/>
      </c>
      <c r="J2427" s="91" t="str">
        <f t="shared" si="190"/>
        <v/>
      </c>
      <c r="K2427" s="92" t="str">
        <f>IF(AND(A2427="",B2427="",D2427="",G2427=""),"",IF(AND(A2427&lt;&gt;"",COUNTIF($A$2:$A$5001,A2427)&gt;1),"NUMERO_PC duplicado",IF(B2427="","DATA_PC vazia",IF(NOT(ISNUMBER(B2427)),"DATA_PC invalida",IF(OR(C2427="",C2427="Fora dos ciclos"),"CICLO_PC nao identificado",IF(OR(D2427="",D2427=0),"VALOR_PC vazio ou zero",IF(AND(G2427&lt;&gt;"Sim",G2427&lt;&gt;"Nao",G2427&lt;&gt;""),"PC_PAGO_A_CONTRATADA invalido",IF(AND(C2427&lt;&gt;"C0",IFERROR(INDEX(parametros!$A$2:$A$6,MATCH(C2427,parametros!$B$2:$B$6,0)),"")="Sim",IFERROR(INDEX(parametros!$H$2:$H$6,MATCH(C2427,parametros!$B$2:$B$6,0)),"")=""),"INICIO_EFEITO ausente: PC "&amp;A2427&amp;" - "&amp;C2427,IF(L2427="","EFEITO_PC nao calculado: PC "&amp;A2427&amp;" - "&amp;C2427,"OK")))))))))</f>
        <v/>
      </c>
      <c r="L2427" s="92" t="str">
        <f>IF(AND(A2427="",B2427="",D2427="",G2427=""),"",IF(OR(B2427="",NOT(ISNUMBER(B2427)),C2427="",C2427="Fora dos ciclos"),"",IF(C2427="C0","Nao",IF(IFERROR(INDEX(parametros!$A$2:$A$6,MATCH(C2427,parametros!$B$2:$B$6,0)),"")&lt;&gt;"Sim","Nao",IF(IFERROR(INDEX(parametros!$H$2:$H$6,MATCH(C2427,parametros!$B$2:$B$6,0)),"")="","",IF(B2427&gt;=IFERROR(INDEX(parametros!$H$2:$H$6,MATCH(C2427,parametros!$B$2:$B$6,0)),""),"Sim","Nao"))))))</f>
        <v/>
      </c>
      <c r="T2427" s="156"/>
      <c r="U2427" s="214" t="str">
        <f t="shared" si="191"/>
        <v/>
      </c>
      <c r="V2427" s="212" t="s">
        <v>50</v>
      </c>
      <c r="W2427" s="100" t="s">
        <v>168</v>
      </c>
      <c r="X2427" s="100" t="s">
        <v>169</v>
      </c>
      <c r="Y2427" s="101" t="s">
        <v>170</v>
      </c>
      <c r="Z2427" s="101" t="s">
        <v>171</v>
      </c>
      <c r="AA2427" s="101" t="s">
        <v>50</v>
      </c>
      <c r="AB2427" s="101" t="s">
        <v>172</v>
      </c>
      <c r="AC2427" s="102" t="s">
        <v>173</v>
      </c>
    </row>
    <row r="2428" spans="1:29" ht="25.5" customHeight="1" x14ac:dyDescent="0.35">
      <c r="A2428" s="392"/>
      <c r="B2428" s="393"/>
      <c r="C2428" s="99" t="str">
        <f>IF(B2428="","",IF(NOT(ISNUMBER(B2428)),"DATA_PC invalida",IF(NOT(ISNUMBER(parametros!$C$2)),"Fora dos ciclos",IF(OR(B2428&lt;parametros!$C$2,(YEAR(B2428)-YEAR(parametros!$C$2))*12+MONTH(B2428)-MONTH(parametros!$C$2)&gt;59),"Fora dos ciclos","C"&amp;INT(((YEAR(B2428)-YEAR(parametros!$C$2))*12+MONTH(B2428)-MONTH(parametros!$C$2))/12)))))</f>
        <v/>
      </c>
      <c r="D2428" s="394"/>
      <c r="E2428" s="78" t="str">
        <f>IF(C2428="","",IFERROR(VLOOKUP(C2428,parametros!$A$11:$E$15,5,0),""))</f>
        <v/>
      </c>
      <c r="F2428" s="79" t="str">
        <f t="shared" si="187"/>
        <v/>
      </c>
      <c r="G2428" s="395"/>
      <c r="H2428" s="91">
        <f t="shared" si="188"/>
        <v>0</v>
      </c>
      <c r="I2428" s="91" t="str">
        <f t="shared" si="189"/>
        <v/>
      </c>
      <c r="J2428" s="91" t="str">
        <f t="shared" si="190"/>
        <v/>
      </c>
      <c r="K2428" s="92" t="str">
        <f>IF(AND(A2428="",B2428="",D2428="",G2428=""),"",IF(AND(A2428&lt;&gt;"",COUNTIF($A$2:$A$5001,A2428)&gt;1),"NUMERO_PC duplicado",IF(B2428="","DATA_PC vazia",IF(NOT(ISNUMBER(B2428)),"DATA_PC invalida",IF(OR(C2428="",C2428="Fora dos ciclos"),"CICLO_PC nao identificado",IF(OR(D2428="",D2428=0),"VALOR_PC vazio ou zero",IF(AND(G2428&lt;&gt;"Sim",G2428&lt;&gt;"Nao",G2428&lt;&gt;""),"PC_PAGO_A_CONTRATADA invalido",IF(AND(C2428&lt;&gt;"C0",IFERROR(INDEX(parametros!$A$2:$A$6,MATCH(C2428,parametros!$B$2:$B$6,0)),"")="Sim",IFERROR(INDEX(parametros!$H$2:$H$6,MATCH(C2428,parametros!$B$2:$B$6,0)),"")=""),"INICIO_EFEITO ausente: PC "&amp;A2428&amp;" - "&amp;C2428,IF(L2428="","EFEITO_PC nao calculado: PC "&amp;A2428&amp;" - "&amp;C2428,"OK")))))))))</f>
        <v/>
      </c>
      <c r="L2428" s="92" t="str">
        <f>IF(AND(A2428="",B2428="",D2428="",G2428=""),"",IF(OR(B2428="",NOT(ISNUMBER(B2428)),C2428="",C2428="Fora dos ciclos"),"",IF(C2428="C0","Nao",IF(IFERROR(INDEX(parametros!$A$2:$A$6,MATCH(C2428,parametros!$B$2:$B$6,0)),"")&lt;&gt;"Sim","Nao",IF(IFERROR(INDEX(parametros!$H$2:$H$6,MATCH(C2428,parametros!$B$2:$B$6,0)),"")="","",IF(B2428&gt;=IFERROR(INDEX(parametros!$H$2:$H$6,MATCH(C2428,parametros!$B$2:$B$6,0)),""),"Sim","Nao"))))))</f>
        <v/>
      </c>
      <c r="T2428" s="156"/>
      <c r="U2428" s="214" t="str">
        <f t="shared" si="191"/>
        <v/>
      </c>
      <c r="V2428" s="212" t="s">
        <v>50</v>
      </c>
      <c r="W2428" s="100" t="s">
        <v>168</v>
      </c>
      <c r="X2428" s="100" t="s">
        <v>169</v>
      </c>
      <c r="Y2428" s="101" t="s">
        <v>170</v>
      </c>
      <c r="Z2428" s="101" t="s">
        <v>171</v>
      </c>
      <c r="AA2428" s="101" t="s">
        <v>50</v>
      </c>
      <c r="AB2428" s="101" t="s">
        <v>172</v>
      </c>
      <c r="AC2428" s="102" t="s">
        <v>173</v>
      </c>
    </row>
    <row r="2429" spans="1:29" ht="25.5" customHeight="1" x14ac:dyDescent="0.35">
      <c r="A2429" s="392"/>
      <c r="B2429" s="393"/>
      <c r="C2429" s="99" t="str">
        <f>IF(B2429="","",IF(NOT(ISNUMBER(B2429)),"DATA_PC invalida",IF(NOT(ISNUMBER(parametros!$C$2)),"Fora dos ciclos",IF(OR(B2429&lt;parametros!$C$2,(YEAR(B2429)-YEAR(parametros!$C$2))*12+MONTH(B2429)-MONTH(parametros!$C$2)&gt;59),"Fora dos ciclos","C"&amp;INT(((YEAR(B2429)-YEAR(parametros!$C$2))*12+MONTH(B2429)-MONTH(parametros!$C$2))/12)))))</f>
        <v/>
      </c>
      <c r="D2429" s="394"/>
      <c r="E2429" s="78" t="str">
        <f>IF(C2429="","",IFERROR(VLOOKUP(C2429,parametros!$A$11:$E$15,5,0),""))</f>
        <v/>
      </c>
      <c r="F2429" s="79" t="str">
        <f t="shared" si="187"/>
        <v/>
      </c>
      <c r="G2429" s="395"/>
      <c r="H2429" s="91">
        <f t="shared" si="188"/>
        <v>0</v>
      </c>
      <c r="I2429" s="91" t="str">
        <f t="shared" si="189"/>
        <v/>
      </c>
      <c r="J2429" s="91" t="str">
        <f t="shared" si="190"/>
        <v/>
      </c>
      <c r="K2429" s="92" t="str">
        <f>IF(AND(A2429="",B2429="",D2429="",G2429=""),"",IF(AND(A2429&lt;&gt;"",COUNTIF($A$2:$A$5001,A2429)&gt;1),"NUMERO_PC duplicado",IF(B2429="","DATA_PC vazia",IF(NOT(ISNUMBER(B2429)),"DATA_PC invalida",IF(OR(C2429="",C2429="Fora dos ciclos"),"CICLO_PC nao identificado",IF(OR(D2429="",D2429=0),"VALOR_PC vazio ou zero",IF(AND(G2429&lt;&gt;"Sim",G2429&lt;&gt;"Nao",G2429&lt;&gt;""),"PC_PAGO_A_CONTRATADA invalido",IF(AND(C2429&lt;&gt;"C0",IFERROR(INDEX(parametros!$A$2:$A$6,MATCH(C2429,parametros!$B$2:$B$6,0)),"")="Sim",IFERROR(INDEX(parametros!$H$2:$H$6,MATCH(C2429,parametros!$B$2:$B$6,0)),"")=""),"INICIO_EFEITO ausente: PC "&amp;A2429&amp;" - "&amp;C2429,IF(L2429="","EFEITO_PC nao calculado: PC "&amp;A2429&amp;" - "&amp;C2429,"OK")))))))))</f>
        <v/>
      </c>
      <c r="L2429" s="92" t="str">
        <f>IF(AND(A2429="",B2429="",D2429="",G2429=""),"",IF(OR(B2429="",NOT(ISNUMBER(B2429)),C2429="",C2429="Fora dos ciclos"),"",IF(C2429="C0","Nao",IF(IFERROR(INDEX(parametros!$A$2:$A$6,MATCH(C2429,parametros!$B$2:$B$6,0)),"")&lt;&gt;"Sim","Nao",IF(IFERROR(INDEX(parametros!$H$2:$H$6,MATCH(C2429,parametros!$B$2:$B$6,0)),"")="","",IF(B2429&gt;=IFERROR(INDEX(parametros!$H$2:$H$6,MATCH(C2429,parametros!$B$2:$B$6,0)),""),"Sim","Nao"))))))</f>
        <v/>
      </c>
      <c r="T2429" s="156"/>
      <c r="U2429" s="214" t="str">
        <f t="shared" si="191"/>
        <v/>
      </c>
      <c r="V2429" s="212" t="s">
        <v>50</v>
      </c>
      <c r="W2429" s="100" t="s">
        <v>168</v>
      </c>
      <c r="X2429" s="100" t="s">
        <v>169</v>
      </c>
      <c r="Y2429" s="101" t="s">
        <v>170</v>
      </c>
      <c r="Z2429" s="101" t="s">
        <v>171</v>
      </c>
      <c r="AA2429" s="101" t="s">
        <v>50</v>
      </c>
      <c r="AB2429" s="101" t="s">
        <v>172</v>
      </c>
      <c r="AC2429" s="102" t="s">
        <v>173</v>
      </c>
    </row>
    <row r="2430" spans="1:29" ht="25.5" customHeight="1" x14ac:dyDescent="0.35">
      <c r="A2430" s="392"/>
      <c r="B2430" s="393"/>
      <c r="C2430" s="99" t="str">
        <f>IF(B2430="","",IF(NOT(ISNUMBER(B2430)),"DATA_PC invalida",IF(NOT(ISNUMBER(parametros!$C$2)),"Fora dos ciclos",IF(OR(B2430&lt;parametros!$C$2,(YEAR(B2430)-YEAR(parametros!$C$2))*12+MONTH(B2430)-MONTH(parametros!$C$2)&gt;59),"Fora dos ciclos","C"&amp;INT(((YEAR(B2430)-YEAR(parametros!$C$2))*12+MONTH(B2430)-MONTH(parametros!$C$2))/12)))))</f>
        <v/>
      </c>
      <c r="D2430" s="394"/>
      <c r="E2430" s="78" t="str">
        <f>IF(C2430="","",IFERROR(VLOOKUP(C2430,parametros!$A$11:$E$15,5,0),""))</f>
        <v/>
      </c>
      <c r="F2430" s="79" t="str">
        <f t="shared" si="187"/>
        <v/>
      </c>
      <c r="G2430" s="395"/>
      <c r="H2430" s="91">
        <f t="shared" si="188"/>
        <v>0</v>
      </c>
      <c r="I2430" s="91" t="str">
        <f t="shared" si="189"/>
        <v/>
      </c>
      <c r="J2430" s="91" t="str">
        <f t="shared" si="190"/>
        <v/>
      </c>
      <c r="K2430" s="92" t="str">
        <f>IF(AND(A2430="",B2430="",D2430="",G2430=""),"",IF(AND(A2430&lt;&gt;"",COUNTIF($A$2:$A$5001,A2430)&gt;1),"NUMERO_PC duplicado",IF(B2430="","DATA_PC vazia",IF(NOT(ISNUMBER(B2430)),"DATA_PC invalida",IF(OR(C2430="",C2430="Fora dos ciclos"),"CICLO_PC nao identificado",IF(OR(D2430="",D2430=0),"VALOR_PC vazio ou zero",IF(AND(G2430&lt;&gt;"Sim",G2430&lt;&gt;"Nao",G2430&lt;&gt;""),"PC_PAGO_A_CONTRATADA invalido",IF(AND(C2430&lt;&gt;"C0",IFERROR(INDEX(parametros!$A$2:$A$6,MATCH(C2430,parametros!$B$2:$B$6,0)),"")="Sim",IFERROR(INDEX(parametros!$H$2:$H$6,MATCH(C2430,parametros!$B$2:$B$6,0)),"")=""),"INICIO_EFEITO ausente: PC "&amp;A2430&amp;" - "&amp;C2430,IF(L2430="","EFEITO_PC nao calculado: PC "&amp;A2430&amp;" - "&amp;C2430,"OK")))))))))</f>
        <v/>
      </c>
      <c r="L2430" s="92" t="str">
        <f>IF(AND(A2430="",B2430="",D2430="",G2430=""),"",IF(OR(B2430="",NOT(ISNUMBER(B2430)),C2430="",C2430="Fora dos ciclos"),"",IF(C2430="C0","Nao",IF(IFERROR(INDEX(parametros!$A$2:$A$6,MATCH(C2430,parametros!$B$2:$B$6,0)),"")&lt;&gt;"Sim","Nao",IF(IFERROR(INDEX(parametros!$H$2:$H$6,MATCH(C2430,parametros!$B$2:$B$6,0)),"")="","",IF(B2430&gt;=IFERROR(INDEX(parametros!$H$2:$H$6,MATCH(C2430,parametros!$B$2:$B$6,0)),""),"Sim","Nao"))))))</f>
        <v/>
      </c>
      <c r="T2430" s="156"/>
      <c r="U2430" s="214" t="str">
        <f t="shared" si="191"/>
        <v/>
      </c>
      <c r="V2430" s="212" t="s">
        <v>50</v>
      </c>
      <c r="W2430" s="100" t="s">
        <v>168</v>
      </c>
      <c r="X2430" s="100" t="s">
        <v>169</v>
      </c>
      <c r="Y2430" s="101" t="s">
        <v>170</v>
      </c>
      <c r="Z2430" s="101" t="s">
        <v>171</v>
      </c>
      <c r="AA2430" s="101" t="s">
        <v>50</v>
      </c>
      <c r="AB2430" s="101" t="s">
        <v>172</v>
      </c>
      <c r="AC2430" s="102" t="s">
        <v>173</v>
      </c>
    </row>
    <row r="2431" spans="1:29" ht="25.5" customHeight="1" x14ac:dyDescent="0.35">
      <c r="A2431" s="392"/>
      <c r="B2431" s="393"/>
      <c r="C2431" s="99" t="str">
        <f>IF(B2431="","",IF(NOT(ISNUMBER(B2431)),"DATA_PC invalida",IF(NOT(ISNUMBER(parametros!$C$2)),"Fora dos ciclos",IF(OR(B2431&lt;parametros!$C$2,(YEAR(B2431)-YEAR(parametros!$C$2))*12+MONTH(B2431)-MONTH(parametros!$C$2)&gt;59),"Fora dos ciclos","C"&amp;INT(((YEAR(B2431)-YEAR(parametros!$C$2))*12+MONTH(B2431)-MONTH(parametros!$C$2))/12)))))</f>
        <v/>
      </c>
      <c r="D2431" s="394"/>
      <c r="E2431" s="78" t="str">
        <f>IF(C2431="","",IFERROR(VLOOKUP(C2431,parametros!$A$11:$E$15,5,0),""))</f>
        <v/>
      </c>
      <c r="F2431" s="79" t="str">
        <f t="shared" si="187"/>
        <v/>
      </c>
      <c r="G2431" s="395"/>
      <c r="H2431" s="91">
        <f t="shared" si="188"/>
        <v>0</v>
      </c>
      <c r="I2431" s="91" t="str">
        <f t="shared" si="189"/>
        <v/>
      </c>
      <c r="J2431" s="91" t="str">
        <f t="shared" si="190"/>
        <v/>
      </c>
      <c r="K2431" s="92" t="str">
        <f>IF(AND(A2431="",B2431="",D2431="",G2431=""),"",IF(AND(A2431&lt;&gt;"",COUNTIF($A$2:$A$5001,A2431)&gt;1),"NUMERO_PC duplicado",IF(B2431="","DATA_PC vazia",IF(NOT(ISNUMBER(B2431)),"DATA_PC invalida",IF(OR(C2431="",C2431="Fora dos ciclos"),"CICLO_PC nao identificado",IF(OR(D2431="",D2431=0),"VALOR_PC vazio ou zero",IF(AND(G2431&lt;&gt;"Sim",G2431&lt;&gt;"Nao",G2431&lt;&gt;""),"PC_PAGO_A_CONTRATADA invalido",IF(AND(C2431&lt;&gt;"C0",IFERROR(INDEX(parametros!$A$2:$A$6,MATCH(C2431,parametros!$B$2:$B$6,0)),"")="Sim",IFERROR(INDEX(parametros!$H$2:$H$6,MATCH(C2431,parametros!$B$2:$B$6,0)),"")=""),"INICIO_EFEITO ausente: PC "&amp;A2431&amp;" - "&amp;C2431,IF(L2431="","EFEITO_PC nao calculado: PC "&amp;A2431&amp;" - "&amp;C2431,"OK")))))))))</f>
        <v/>
      </c>
      <c r="L2431" s="92" t="str">
        <f>IF(AND(A2431="",B2431="",D2431="",G2431=""),"",IF(OR(B2431="",NOT(ISNUMBER(B2431)),C2431="",C2431="Fora dos ciclos"),"",IF(C2431="C0","Nao",IF(IFERROR(INDEX(parametros!$A$2:$A$6,MATCH(C2431,parametros!$B$2:$B$6,0)),"")&lt;&gt;"Sim","Nao",IF(IFERROR(INDEX(parametros!$H$2:$H$6,MATCH(C2431,parametros!$B$2:$B$6,0)),"")="","",IF(B2431&gt;=IFERROR(INDEX(parametros!$H$2:$H$6,MATCH(C2431,parametros!$B$2:$B$6,0)),""),"Sim","Nao"))))))</f>
        <v/>
      </c>
      <c r="T2431" s="156"/>
      <c r="U2431" s="214" t="str">
        <f t="shared" si="191"/>
        <v/>
      </c>
      <c r="V2431" s="212" t="s">
        <v>50</v>
      </c>
      <c r="W2431" s="100" t="s">
        <v>168</v>
      </c>
      <c r="X2431" s="100" t="s">
        <v>169</v>
      </c>
      <c r="Y2431" s="101" t="s">
        <v>170</v>
      </c>
      <c r="Z2431" s="101" t="s">
        <v>171</v>
      </c>
      <c r="AA2431" s="101" t="s">
        <v>50</v>
      </c>
      <c r="AB2431" s="101" t="s">
        <v>172</v>
      </c>
      <c r="AC2431" s="102" t="s">
        <v>173</v>
      </c>
    </row>
    <row r="2432" spans="1:29" ht="25.5" customHeight="1" x14ac:dyDescent="0.35">
      <c r="A2432" s="392"/>
      <c r="B2432" s="393"/>
      <c r="C2432" s="99" t="str">
        <f>IF(B2432="","",IF(NOT(ISNUMBER(B2432)),"DATA_PC invalida",IF(NOT(ISNUMBER(parametros!$C$2)),"Fora dos ciclos",IF(OR(B2432&lt;parametros!$C$2,(YEAR(B2432)-YEAR(parametros!$C$2))*12+MONTH(B2432)-MONTH(parametros!$C$2)&gt;59),"Fora dos ciclos","C"&amp;INT(((YEAR(B2432)-YEAR(parametros!$C$2))*12+MONTH(B2432)-MONTH(parametros!$C$2))/12)))))</f>
        <v/>
      </c>
      <c r="D2432" s="394"/>
      <c r="E2432" s="78" t="str">
        <f>IF(C2432="","",IFERROR(VLOOKUP(C2432,parametros!$A$11:$E$15,5,0),""))</f>
        <v/>
      </c>
      <c r="F2432" s="79" t="str">
        <f t="shared" si="187"/>
        <v/>
      </c>
      <c r="G2432" s="395"/>
      <c r="H2432" s="91">
        <f t="shared" si="188"/>
        <v>0</v>
      </c>
      <c r="I2432" s="91" t="str">
        <f t="shared" si="189"/>
        <v/>
      </c>
      <c r="J2432" s="91" t="str">
        <f t="shared" si="190"/>
        <v/>
      </c>
      <c r="K2432" s="92" t="str">
        <f>IF(AND(A2432="",B2432="",D2432="",G2432=""),"",IF(AND(A2432&lt;&gt;"",COUNTIF($A$2:$A$5001,A2432)&gt;1),"NUMERO_PC duplicado",IF(B2432="","DATA_PC vazia",IF(NOT(ISNUMBER(B2432)),"DATA_PC invalida",IF(OR(C2432="",C2432="Fora dos ciclos"),"CICLO_PC nao identificado",IF(OR(D2432="",D2432=0),"VALOR_PC vazio ou zero",IF(AND(G2432&lt;&gt;"Sim",G2432&lt;&gt;"Nao",G2432&lt;&gt;""),"PC_PAGO_A_CONTRATADA invalido",IF(AND(C2432&lt;&gt;"C0",IFERROR(INDEX(parametros!$A$2:$A$6,MATCH(C2432,parametros!$B$2:$B$6,0)),"")="Sim",IFERROR(INDEX(parametros!$H$2:$H$6,MATCH(C2432,parametros!$B$2:$B$6,0)),"")=""),"INICIO_EFEITO ausente: PC "&amp;A2432&amp;" - "&amp;C2432,IF(L2432="","EFEITO_PC nao calculado: PC "&amp;A2432&amp;" - "&amp;C2432,"OK")))))))))</f>
        <v/>
      </c>
      <c r="L2432" s="92" t="str">
        <f>IF(AND(A2432="",B2432="",D2432="",G2432=""),"",IF(OR(B2432="",NOT(ISNUMBER(B2432)),C2432="",C2432="Fora dos ciclos"),"",IF(C2432="C0","Nao",IF(IFERROR(INDEX(parametros!$A$2:$A$6,MATCH(C2432,parametros!$B$2:$B$6,0)),"")&lt;&gt;"Sim","Nao",IF(IFERROR(INDEX(parametros!$H$2:$H$6,MATCH(C2432,parametros!$B$2:$B$6,0)),"")="","",IF(B2432&gt;=IFERROR(INDEX(parametros!$H$2:$H$6,MATCH(C2432,parametros!$B$2:$B$6,0)),""),"Sim","Nao"))))))</f>
        <v/>
      </c>
      <c r="T2432" s="156"/>
      <c r="U2432" s="214" t="str">
        <f t="shared" si="191"/>
        <v/>
      </c>
      <c r="V2432" s="212" t="s">
        <v>50</v>
      </c>
      <c r="W2432" s="100" t="s">
        <v>168</v>
      </c>
      <c r="X2432" s="100" t="s">
        <v>169</v>
      </c>
      <c r="Y2432" s="101" t="s">
        <v>170</v>
      </c>
      <c r="Z2432" s="101" t="s">
        <v>171</v>
      </c>
      <c r="AA2432" s="101" t="s">
        <v>50</v>
      </c>
      <c r="AB2432" s="101" t="s">
        <v>172</v>
      </c>
      <c r="AC2432" s="102" t="s">
        <v>173</v>
      </c>
    </row>
    <row r="2433" spans="1:29" ht="25.5" customHeight="1" x14ac:dyDescent="0.35">
      <c r="A2433" s="392"/>
      <c r="B2433" s="393"/>
      <c r="C2433" s="99" t="str">
        <f>IF(B2433="","",IF(NOT(ISNUMBER(B2433)),"DATA_PC invalida",IF(NOT(ISNUMBER(parametros!$C$2)),"Fora dos ciclos",IF(OR(B2433&lt;parametros!$C$2,(YEAR(B2433)-YEAR(parametros!$C$2))*12+MONTH(B2433)-MONTH(parametros!$C$2)&gt;59),"Fora dos ciclos","C"&amp;INT(((YEAR(B2433)-YEAR(parametros!$C$2))*12+MONTH(B2433)-MONTH(parametros!$C$2))/12)))))</f>
        <v/>
      </c>
      <c r="D2433" s="394"/>
      <c r="E2433" s="78" t="str">
        <f>IF(C2433="","",IFERROR(VLOOKUP(C2433,parametros!$A$11:$E$15,5,0),""))</f>
        <v/>
      </c>
      <c r="F2433" s="79" t="str">
        <f t="shared" si="187"/>
        <v/>
      </c>
      <c r="G2433" s="395"/>
      <c r="H2433" s="91">
        <f t="shared" si="188"/>
        <v>0</v>
      </c>
      <c r="I2433" s="91" t="str">
        <f t="shared" si="189"/>
        <v/>
      </c>
      <c r="J2433" s="91" t="str">
        <f t="shared" si="190"/>
        <v/>
      </c>
      <c r="K2433" s="92" t="str">
        <f>IF(AND(A2433="",B2433="",D2433="",G2433=""),"",IF(AND(A2433&lt;&gt;"",COUNTIF($A$2:$A$5001,A2433)&gt;1),"NUMERO_PC duplicado",IF(B2433="","DATA_PC vazia",IF(NOT(ISNUMBER(B2433)),"DATA_PC invalida",IF(OR(C2433="",C2433="Fora dos ciclos"),"CICLO_PC nao identificado",IF(OR(D2433="",D2433=0),"VALOR_PC vazio ou zero",IF(AND(G2433&lt;&gt;"Sim",G2433&lt;&gt;"Nao",G2433&lt;&gt;""),"PC_PAGO_A_CONTRATADA invalido",IF(AND(C2433&lt;&gt;"C0",IFERROR(INDEX(parametros!$A$2:$A$6,MATCH(C2433,parametros!$B$2:$B$6,0)),"")="Sim",IFERROR(INDEX(parametros!$H$2:$H$6,MATCH(C2433,parametros!$B$2:$B$6,0)),"")=""),"INICIO_EFEITO ausente: PC "&amp;A2433&amp;" - "&amp;C2433,IF(L2433="","EFEITO_PC nao calculado: PC "&amp;A2433&amp;" - "&amp;C2433,"OK")))))))))</f>
        <v/>
      </c>
      <c r="L2433" s="92" t="str">
        <f>IF(AND(A2433="",B2433="",D2433="",G2433=""),"",IF(OR(B2433="",NOT(ISNUMBER(B2433)),C2433="",C2433="Fora dos ciclos"),"",IF(C2433="C0","Nao",IF(IFERROR(INDEX(parametros!$A$2:$A$6,MATCH(C2433,parametros!$B$2:$B$6,0)),"")&lt;&gt;"Sim","Nao",IF(IFERROR(INDEX(parametros!$H$2:$H$6,MATCH(C2433,parametros!$B$2:$B$6,0)),"")="","",IF(B2433&gt;=IFERROR(INDEX(parametros!$H$2:$H$6,MATCH(C2433,parametros!$B$2:$B$6,0)),""),"Sim","Nao"))))))</f>
        <v/>
      </c>
      <c r="T2433" s="156"/>
      <c r="U2433" s="214" t="str">
        <f t="shared" si="191"/>
        <v/>
      </c>
      <c r="V2433" s="212" t="s">
        <v>50</v>
      </c>
      <c r="W2433" s="100" t="s">
        <v>168</v>
      </c>
      <c r="X2433" s="100" t="s">
        <v>169</v>
      </c>
      <c r="Y2433" s="101" t="s">
        <v>170</v>
      </c>
      <c r="Z2433" s="101" t="s">
        <v>171</v>
      </c>
      <c r="AA2433" s="101" t="s">
        <v>50</v>
      </c>
      <c r="AB2433" s="101" t="s">
        <v>172</v>
      </c>
      <c r="AC2433" s="102" t="s">
        <v>173</v>
      </c>
    </row>
    <row r="2434" spans="1:29" ht="25.5" customHeight="1" x14ac:dyDescent="0.35">
      <c r="A2434" s="392"/>
      <c r="B2434" s="393"/>
      <c r="C2434" s="99" t="str">
        <f>IF(B2434="","",IF(NOT(ISNUMBER(B2434)),"DATA_PC invalida",IF(NOT(ISNUMBER(parametros!$C$2)),"Fora dos ciclos",IF(OR(B2434&lt;parametros!$C$2,(YEAR(B2434)-YEAR(parametros!$C$2))*12+MONTH(B2434)-MONTH(parametros!$C$2)&gt;59),"Fora dos ciclos","C"&amp;INT(((YEAR(B2434)-YEAR(parametros!$C$2))*12+MONTH(B2434)-MONTH(parametros!$C$2))/12)))))</f>
        <v/>
      </c>
      <c r="D2434" s="394"/>
      <c r="E2434" s="78" t="str">
        <f>IF(C2434="","",IFERROR(VLOOKUP(C2434,parametros!$A$11:$E$15,5,0),""))</f>
        <v/>
      </c>
      <c r="F2434" s="79" t="str">
        <f t="shared" ref="F2434:F2497" si="192">IF(OR(D2434="",E2434=""),"",ROUND(D2434*E2434,2))</f>
        <v/>
      </c>
      <c r="G2434" s="395"/>
      <c r="H2434" s="91">
        <f t="shared" ref="H2434:H2497" si="193">IF(G2434="Sim",IF(OR(F2434="",D2434="",L2434=""),"",IF(L2434="Sim",ROUND(F2434-D2434,2),0)),0)</f>
        <v>0</v>
      </c>
      <c r="I2434" s="91" t="str">
        <f t="shared" ref="I2434:I2497" si="194">IF(G2434="Sim",0,IF(OR(F2434="",L2434=""),"",F2434))</f>
        <v/>
      </c>
      <c r="J2434" s="91" t="str">
        <f t="shared" ref="J2434:J2497" si="195">IF(G2434="Sim",0,IF(OR(F2434="",D2434="",L2434=""),"",IF(L2434="Sim",ROUND(F2434-D2434,2),0)))</f>
        <v/>
      </c>
      <c r="K2434" s="92" t="str">
        <f>IF(AND(A2434="",B2434="",D2434="",G2434=""),"",IF(AND(A2434&lt;&gt;"",COUNTIF($A$2:$A$5001,A2434)&gt;1),"NUMERO_PC duplicado",IF(B2434="","DATA_PC vazia",IF(NOT(ISNUMBER(B2434)),"DATA_PC invalida",IF(OR(C2434="",C2434="Fora dos ciclos"),"CICLO_PC nao identificado",IF(OR(D2434="",D2434=0),"VALOR_PC vazio ou zero",IF(AND(G2434&lt;&gt;"Sim",G2434&lt;&gt;"Nao",G2434&lt;&gt;""),"PC_PAGO_A_CONTRATADA invalido",IF(AND(C2434&lt;&gt;"C0",IFERROR(INDEX(parametros!$A$2:$A$6,MATCH(C2434,parametros!$B$2:$B$6,0)),"")="Sim",IFERROR(INDEX(parametros!$H$2:$H$6,MATCH(C2434,parametros!$B$2:$B$6,0)),"")=""),"INICIO_EFEITO ausente: PC "&amp;A2434&amp;" - "&amp;C2434,IF(L2434="","EFEITO_PC nao calculado: PC "&amp;A2434&amp;" - "&amp;C2434,"OK")))))))))</f>
        <v/>
      </c>
      <c r="L2434" s="92" t="str">
        <f>IF(AND(A2434="",B2434="",D2434="",G2434=""),"",IF(OR(B2434="",NOT(ISNUMBER(B2434)),C2434="",C2434="Fora dos ciclos"),"",IF(C2434="C0","Nao",IF(IFERROR(INDEX(parametros!$A$2:$A$6,MATCH(C2434,parametros!$B$2:$B$6,0)),"")&lt;&gt;"Sim","Nao",IF(IFERROR(INDEX(parametros!$H$2:$H$6,MATCH(C2434,parametros!$B$2:$B$6,0)),"")="","",IF(B2434&gt;=IFERROR(INDEX(parametros!$H$2:$H$6,MATCH(C2434,parametros!$B$2:$B$6,0)),""),"Sim","Nao"))))))</f>
        <v/>
      </c>
      <c r="T2434" s="156"/>
      <c r="U2434" s="214" t="str">
        <f t="shared" ref="U2434:U2497" si="196">IF(OR($D2434="",$H2434=""),"",ROUND($D2434+$H2434,2))</f>
        <v/>
      </c>
      <c r="V2434" s="212" t="s">
        <v>50</v>
      </c>
      <c r="W2434" s="100" t="s">
        <v>168</v>
      </c>
      <c r="X2434" s="100" t="s">
        <v>169</v>
      </c>
      <c r="Y2434" s="101" t="s">
        <v>170</v>
      </c>
      <c r="Z2434" s="101" t="s">
        <v>171</v>
      </c>
      <c r="AA2434" s="101" t="s">
        <v>50</v>
      </c>
      <c r="AB2434" s="101" t="s">
        <v>172</v>
      </c>
      <c r="AC2434" s="102" t="s">
        <v>173</v>
      </c>
    </row>
    <row r="2435" spans="1:29" ht="25.5" customHeight="1" x14ac:dyDescent="0.35">
      <c r="A2435" s="392"/>
      <c r="B2435" s="393"/>
      <c r="C2435" s="99" t="str">
        <f>IF(B2435="","",IF(NOT(ISNUMBER(B2435)),"DATA_PC invalida",IF(NOT(ISNUMBER(parametros!$C$2)),"Fora dos ciclos",IF(OR(B2435&lt;parametros!$C$2,(YEAR(B2435)-YEAR(parametros!$C$2))*12+MONTH(B2435)-MONTH(parametros!$C$2)&gt;59),"Fora dos ciclos","C"&amp;INT(((YEAR(B2435)-YEAR(parametros!$C$2))*12+MONTH(B2435)-MONTH(parametros!$C$2))/12)))))</f>
        <v/>
      </c>
      <c r="D2435" s="394"/>
      <c r="E2435" s="78" t="str">
        <f>IF(C2435="","",IFERROR(VLOOKUP(C2435,parametros!$A$11:$E$15,5,0),""))</f>
        <v/>
      </c>
      <c r="F2435" s="79" t="str">
        <f t="shared" si="192"/>
        <v/>
      </c>
      <c r="G2435" s="395"/>
      <c r="H2435" s="91">
        <f t="shared" si="193"/>
        <v>0</v>
      </c>
      <c r="I2435" s="91" t="str">
        <f t="shared" si="194"/>
        <v/>
      </c>
      <c r="J2435" s="91" t="str">
        <f t="shared" si="195"/>
        <v/>
      </c>
      <c r="K2435" s="92" t="str">
        <f>IF(AND(A2435="",B2435="",D2435="",G2435=""),"",IF(AND(A2435&lt;&gt;"",COUNTIF($A$2:$A$5001,A2435)&gt;1),"NUMERO_PC duplicado",IF(B2435="","DATA_PC vazia",IF(NOT(ISNUMBER(B2435)),"DATA_PC invalida",IF(OR(C2435="",C2435="Fora dos ciclos"),"CICLO_PC nao identificado",IF(OR(D2435="",D2435=0),"VALOR_PC vazio ou zero",IF(AND(G2435&lt;&gt;"Sim",G2435&lt;&gt;"Nao",G2435&lt;&gt;""),"PC_PAGO_A_CONTRATADA invalido",IF(AND(C2435&lt;&gt;"C0",IFERROR(INDEX(parametros!$A$2:$A$6,MATCH(C2435,parametros!$B$2:$B$6,0)),"")="Sim",IFERROR(INDEX(parametros!$H$2:$H$6,MATCH(C2435,parametros!$B$2:$B$6,0)),"")=""),"INICIO_EFEITO ausente: PC "&amp;A2435&amp;" - "&amp;C2435,IF(L2435="","EFEITO_PC nao calculado: PC "&amp;A2435&amp;" - "&amp;C2435,"OK")))))))))</f>
        <v/>
      </c>
      <c r="L2435" s="92" t="str">
        <f>IF(AND(A2435="",B2435="",D2435="",G2435=""),"",IF(OR(B2435="",NOT(ISNUMBER(B2435)),C2435="",C2435="Fora dos ciclos"),"",IF(C2435="C0","Nao",IF(IFERROR(INDEX(parametros!$A$2:$A$6,MATCH(C2435,parametros!$B$2:$B$6,0)),"")&lt;&gt;"Sim","Nao",IF(IFERROR(INDEX(parametros!$H$2:$H$6,MATCH(C2435,parametros!$B$2:$B$6,0)),"")="","",IF(B2435&gt;=IFERROR(INDEX(parametros!$H$2:$H$6,MATCH(C2435,parametros!$B$2:$B$6,0)),""),"Sim","Nao"))))))</f>
        <v/>
      </c>
      <c r="T2435" s="156"/>
      <c r="U2435" s="214" t="str">
        <f t="shared" si="196"/>
        <v/>
      </c>
      <c r="V2435" s="212" t="s">
        <v>50</v>
      </c>
      <c r="W2435" s="100" t="s">
        <v>168</v>
      </c>
      <c r="X2435" s="100" t="s">
        <v>169</v>
      </c>
      <c r="Y2435" s="101" t="s">
        <v>170</v>
      </c>
      <c r="Z2435" s="101" t="s">
        <v>171</v>
      </c>
      <c r="AA2435" s="101" t="s">
        <v>50</v>
      </c>
      <c r="AB2435" s="101" t="s">
        <v>172</v>
      </c>
      <c r="AC2435" s="102" t="s">
        <v>173</v>
      </c>
    </row>
    <row r="2436" spans="1:29" ht="25.5" customHeight="1" x14ac:dyDescent="0.35">
      <c r="A2436" s="392"/>
      <c r="B2436" s="393"/>
      <c r="C2436" s="99" t="str">
        <f>IF(B2436="","",IF(NOT(ISNUMBER(B2436)),"DATA_PC invalida",IF(NOT(ISNUMBER(parametros!$C$2)),"Fora dos ciclos",IF(OR(B2436&lt;parametros!$C$2,(YEAR(B2436)-YEAR(parametros!$C$2))*12+MONTH(B2436)-MONTH(parametros!$C$2)&gt;59),"Fora dos ciclos","C"&amp;INT(((YEAR(B2436)-YEAR(parametros!$C$2))*12+MONTH(B2436)-MONTH(parametros!$C$2))/12)))))</f>
        <v/>
      </c>
      <c r="D2436" s="394"/>
      <c r="E2436" s="78" t="str">
        <f>IF(C2436="","",IFERROR(VLOOKUP(C2436,parametros!$A$11:$E$15,5,0),""))</f>
        <v/>
      </c>
      <c r="F2436" s="79" t="str">
        <f t="shared" si="192"/>
        <v/>
      </c>
      <c r="G2436" s="395"/>
      <c r="H2436" s="91">
        <f t="shared" si="193"/>
        <v>0</v>
      </c>
      <c r="I2436" s="91" t="str">
        <f t="shared" si="194"/>
        <v/>
      </c>
      <c r="J2436" s="91" t="str">
        <f t="shared" si="195"/>
        <v/>
      </c>
      <c r="K2436" s="92" t="str">
        <f>IF(AND(A2436="",B2436="",D2436="",G2436=""),"",IF(AND(A2436&lt;&gt;"",COUNTIF($A$2:$A$5001,A2436)&gt;1),"NUMERO_PC duplicado",IF(B2436="","DATA_PC vazia",IF(NOT(ISNUMBER(B2436)),"DATA_PC invalida",IF(OR(C2436="",C2436="Fora dos ciclos"),"CICLO_PC nao identificado",IF(OR(D2436="",D2436=0),"VALOR_PC vazio ou zero",IF(AND(G2436&lt;&gt;"Sim",G2436&lt;&gt;"Nao",G2436&lt;&gt;""),"PC_PAGO_A_CONTRATADA invalido",IF(AND(C2436&lt;&gt;"C0",IFERROR(INDEX(parametros!$A$2:$A$6,MATCH(C2436,parametros!$B$2:$B$6,0)),"")="Sim",IFERROR(INDEX(parametros!$H$2:$H$6,MATCH(C2436,parametros!$B$2:$B$6,0)),"")=""),"INICIO_EFEITO ausente: PC "&amp;A2436&amp;" - "&amp;C2436,IF(L2436="","EFEITO_PC nao calculado: PC "&amp;A2436&amp;" - "&amp;C2436,"OK")))))))))</f>
        <v/>
      </c>
      <c r="L2436" s="92" t="str">
        <f>IF(AND(A2436="",B2436="",D2436="",G2436=""),"",IF(OR(B2436="",NOT(ISNUMBER(B2436)),C2436="",C2436="Fora dos ciclos"),"",IF(C2436="C0","Nao",IF(IFERROR(INDEX(parametros!$A$2:$A$6,MATCH(C2436,parametros!$B$2:$B$6,0)),"")&lt;&gt;"Sim","Nao",IF(IFERROR(INDEX(parametros!$H$2:$H$6,MATCH(C2436,parametros!$B$2:$B$6,0)),"")="","",IF(B2436&gt;=IFERROR(INDEX(parametros!$H$2:$H$6,MATCH(C2436,parametros!$B$2:$B$6,0)),""),"Sim","Nao"))))))</f>
        <v/>
      </c>
      <c r="T2436" s="156"/>
      <c r="U2436" s="214" t="str">
        <f t="shared" si="196"/>
        <v/>
      </c>
      <c r="V2436" s="212" t="s">
        <v>50</v>
      </c>
      <c r="W2436" s="100" t="s">
        <v>168</v>
      </c>
      <c r="X2436" s="100" t="s">
        <v>169</v>
      </c>
      <c r="Y2436" s="101" t="s">
        <v>170</v>
      </c>
      <c r="Z2436" s="101" t="s">
        <v>171</v>
      </c>
      <c r="AA2436" s="101" t="s">
        <v>50</v>
      </c>
      <c r="AB2436" s="101" t="s">
        <v>172</v>
      </c>
      <c r="AC2436" s="102" t="s">
        <v>173</v>
      </c>
    </row>
    <row r="2437" spans="1:29" ht="25.5" customHeight="1" x14ac:dyDescent="0.35">
      <c r="A2437" s="392"/>
      <c r="B2437" s="393"/>
      <c r="C2437" s="99" t="str">
        <f>IF(B2437="","",IF(NOT(ISNUMBER(B2437)),"DATA_PC invalida",IF(NOT(ISNUMBER(parametros!$C$2)),"Fora dos ciclos",IF(OR(B2437&lt;parametros!$C$2,(YEAR(B2437)-YEAR(parametros!$C$2))*12+MONTH(B2437)-MONTH(parametros!$C$2)&gt;59),"Fora dos ciclos","C"&amp;INT(((YEAR(B2437)-YEAR(parametros!$C$2))*12+MONTH(B2437)-MONTH(parametros!$C$2))/12)))))</f>
        <v/>
      </c>
      <c r="D2437" s="394"/>
      <c r="E2437" s="78" t="str">
        <f>IF(C2437="","",IFERROR(VLOOKUP(C2437,parametros!$A$11:$E$15,5,0),""))</f>
        <v/>
      </c>
      <c r="F2437" s="79" t="str">
        <f t="shared" si="192"/>
        <v/>
      </c>
      <c r="G2437" s="395"/>
      <c r="H2437" s="91">
        <f t="shared" si="193"/>
        <v>0</v>
      </c>
      <c r="I2437" s="91" t="str">
        <f t="shared" si="194"/>
        <v/>
      </c>
      <c r="J2437" s="91" t="str">
        <f t="shared" si="195"/>
        <v/>
      </c>
      <c r="K2437" s="92" t="str">
        <f>IF(AND(A2437="",B2437="",D2437="",G2437=""),"",IF(AND(A2437&lt;&gt;"",COUNTIF($A$2:$A$5001,A2437)&gt;1),"NUMERO_PC duplicado",IF(B2437="","DATA_PC vazia",IF(NOT(ISNUMBER(B2437)),"DATA_PC invalida",IF(OR(C2437="",C2437="Fora dos ciclos"),"CICLO_PC nao identificado",IF(OR(D2437="",D2437=0),"VALOR_PC vazio ou zero",IF(AND(G2437&lt;&gt;"Sim",G2437&lt;&gt;"Nao",G2437&lt;&gt;""),"PC_PAGO_A_CONTRATADA invalido",IF(AND(C2437&lt;&gt;"C0",IFERROR(INDEX(parametros!$A$2:$A$6,MATCH(C2437,parametros!$B$2:$B$6,0)),"")="Sim",IFERROR(INDEX(parametros!$H$2:$H$6,MATCH(C2437,parametros!$B$2:$B$6,0)),"")=""),"INICIO_EFEITO ausente: PC "&amp;A2437&amp;" - "&amp;C2437,IF(L2437="","EFEITO_PC nao calculado: PC "&amp;A2437&amp;" - "&amp;C2437,"OK")))))))))</f>
        <v/>
      </c>
      <c r="L2437" s="92" t="str">
        <f>IF(AND(A2437="",B2437="",D2437="",G2437=""),"",IF(OR(B2437="",NOT(ISNUMBER(B2437)),C2437="",C2437="Fora dos ciclos"),"",IF(C2437="C0","Nao",IF(IFERROR(INDEX(parametros!$A$2:$A$6,MATCH(C2437,parametros!$B$2:$B$6,0)),"")&lt;&gt;"Sim","Nao",IF(IFERROR(INDEX(parametros!$H$2:$H$6,MATCH(C2437,parametros!$B$2:$B$6,0)),"")="","",IF(B2437&gt;=IFERROR(INDEX(parametros!$H$2:$H$6,MATCH(C2437,parametros!$B$2:$B$6,0)),""),"Sim","Nao"))))))</f>
        <v/>
      </c>
      <c r="T2437" s="156"/>
      <c r="U2437" s="214" t="str">
        <f t="shared" si="196"/>
        <v/>
      </c>
      <c r="V2437" s="212" t="s">
        <v>50</v>
      </c>
      <c r="W2437" s="100" t="s">
        <v>168</v>
      </c>
      <c r="X2437" s="100" t="s">
        <v>169</v>
      </c>
      <c r="Y2437" s="101" t="s">
        <v>170</v>
      </c>
      <c r="Z2437" s="101" t="s">
        <v>171</v>
      </c>
      <c r="AA2437" s="101" t="s">
        <v>50</v>
      </c>
      <c r="AB2437" s="101" t="s">
        <v>172</v>
      </c>
      <c r="AC2437" s="102" t="s">
        <v>173</v>
      </c>
    </row>
    <row r="2438" spans="1:29" ht="25.5" customHeight="1" x14ac:dyDescent="0.35">
      <c r="A2438" s="392"/>
      <c r="B2438" s="393"/>
      <c r="C2438" s="99" t="str">
        <f>IF(B2438="","",IF(NOT(ISNUMBER(B2438)),"DATA_PC invalida",IF(NOT(ISNUMBER(parametros!$C$2)),"Fora dos ciclos",IF(OR(B2438&lt;parametros!$C$2,(YEAR(B2438)-YEAR(parametros!$C$2))*12+MONTH(B2438)-MONTH(parametros!$C$2)&gt;59),"Fora dos ciclos","C"&amp;INT(((YEAR(B2438)-YEAR(parametros!$C$2))*12+MONTH(B2438)-MONTH(parametros!$C$2))/12)))))</f>
        <v/>
      </c>
      <c r="D2438" s="394"/>
      <c r="E2438" s="78" t="str">
        <f>IF(C2438="","",IFERROR(VLOOKUP(C2438,parametros!$A$11:$E$15,5,0),""))</f>
        <v/>
      </c>
      <c r="F2438" s="79" t="str">
        <f t="shared" si="192"/>
        <v/>
      </c>
      <c r="G2438" s="395"/>
      <c r="H2438" s="91">
        <f t="shared" si="193"/>
        <v>0</v>
      </c>
      <c r="I2438" s="91" t="str">
        <f t="shared" si="194"/>
        <v/>
      </c>
      <c r="J2438" s="91" t="str">
        <f t="shared" si="195"/>
        <v/>
      </c>
      <c r="K2438" s="92" t="str">
        <f>IF(AND(A2438="",B2438="",D2438="",G2438=""),"",IF(AND(A2438&lt;&gt;"",COUNTIF($A$2:$A$5001,A2438)&gt;1),"NUMERO_PC duplicado",IF(B2438="","DATA_PC vazia",IF(NOT(ISNUMBER(B2438)),"DATA_PC invalida",IF(OR(C2438="",C2438="Fora dos ciclos"),"CICLO_PC nao identificado",IF(OR(D2438="",D2438=0),"VALOR_PC vazio ou zero",IF(AND(G2438&lt;&gt;"Sim",G2438&lt;&gt;"Nao",G2438&lt;&gt;""),"PC_PAGO_A_CONTRATADA invalido",IF(AND(C2438&lt;&gt;"C0",IFERROR(INDEX(parametros!$A$2:$A$6,MATCH(C2438,parametros!$B$2:$B$6,0)),"")="Sim",IFERROR(INDEX(parametros!$H$2:$H$6,MATCH(C2438,parametros!$B$2:$B$6,0)),"")=""),"INICIO_EFEITO ausente: PC "&amp;A2438&amp;" - "&amp;C2438,IF(L2438="","EFEITO_PC nao calculado: PC "&amp;A2438&amp;" - "&amp;C2438,"OK")))))))))</f>
        <v/>
      </c>
      <c r="L2438" s="92" t="str">
        <f>IF(AND(A2438="",B2438="",D2438="",G2438=""),"",IF(OR(B2438="",NOT(ISNUMBER(B2438)),C2438="",C2438="Fora dos ciclos"),"",IF(C2438="C0","Nao",IF(IFERROR(INDEX(parametros!$A$2:$A$6,MATCH(C2438,parametros!$B$2:$B$6,0)),"")&lt;&gt;"Sim","Nao",IF(IFERROR(INDEX(parametros!$H$2:$H$6,MATCH(C2438,parametros!$B$2:$B$6,0)),"")="","",IF(B2438&gt;=IFERROR(INDEX(parametros!$H$2:$H$6,MATCH(C2438,parametros!$B$2:$B$6,0)),""),"Sim","Nao"))))))</f>
        <v/>
      </c>
      <c r="T2438" s="156"/>
      <c r="U2438" s="214" t="str">
        <f t="shared" si="196"/>
        <v/>
      </c>
      <c r="V2438" s="212" t="s">
        <v>50</v>
      </c>
      <c r="W2438" s="100" t="s">
        <v>168</v>
      </c>
      <c r="X2438" s="100" t="s">
        <v>169</v>
      </c>
      <c r="Y2438" s="101" t="s">
        <v>170</v>
      </c>
      <c r="Z2438" s="101" t="s">
        <v>171</v>
      </c>
      <c r="AA2438" s="101" t="s">
        <v>50</v>
      </c>
      <c r="AB2438" s="101" t="s">
        <v>172</v>
      </c>
      <c r="AC2438" s="102" t="s">
        <v>173</v>
      </c>
    </row>
    <row r="2439" spans="1:29" ht="25.5" customHeight="1" x14ac:dyDescent="0.35">
      <c r="A2439" s="392"/>
      <c r="B2439" s="393"/>
      <c r="C2439" s="99" t="str">
        <f>IF(B2439="","",IF(NOT(ISNUMBER(B2439)),"DATA_PC invalida",IF(NOT(ISNUMBER(parametros!$C$2)),"Fora dos ciclos",IF(OR(B2439&lt;parametros!$C$2,(YEAR(B2439)-YEAR(parametros!$C$2))*12+MONTH(B2439)-MONTH(parametros!$C$2)&gt;59),"Fora dos ciclos","C"&amp;INT(((YEAR(B2439)-YEAR(parametros!$C$2))*12+MONTH(B2439)-MONTH(parametros!$C$2))/12)))))</f>
        <v/>
      </c>
      <c r="D2439" s="394"/>
      <c r="E2439" s="78" t="str">
        <f>IF(C2439="","",IFERROR(VLOOKUP(C2439,parametros!$A$11:$E$15,5,0),""))</f>
        <v/>
      </c>
      <c r="F2439" s="79" t="str">
        <f t="shared" si="192"/>
        <v/>
      </c>
      <c r="G2439" s="395"/>
      <c r="H2439" s="91">
        <f t="shared" si="193"/>
        <v>0</v>
      </c>
      <c r="I2439" s="91" t="str">
        <f t="shared" si="194"/>
        <v/>
      </c>
      <c r="J2439" s="91" t="str">
        <f t="shared" si="195"/>
        <v/>
      </c>
      <c r="K2439" s="92" t="str">
        <f>IF(AND(A2439="",B2439="",D2439="",G2439=""),"",IF(AND(A2439&lt;&gt;"",COUNTIF($A$2:$A$5001,A2439)&gt;1),"NUMERO_PC duplicado",IF(B2439="","DATA_PC vazia",IF(NOT(ISNUMBER(B2439)),"DATA_PC invalida",IF(OR(C2439="",C2439="Fora dos ciclos"),"CICLO_PC nao identificado",IF(OR(D2439="",D2439=0),"VALOR_PC vazio ou zero",IF(AND(G2439&lt;&gt;"Sim",G2439&lt;&gt;"Nao",G2439&lt;&gt;""),"PC_PAGO_A_CONTRATADA invalido",IF(AND(C2439&lt;&gt;"C0",IFERROR(INDEX(parametros!$A$2:$A$6,MATCH(C2439,parametros!$B$2:$B$6,0)),"")="Sim",IFERROR(INDEX(parametros!$H$2:$H$6,MATCH(C2439,parametros!$B$2:$B$6,0)),"")=""),"INICIO_EFEITO ausente: PC "&amp;A2439&amp;" - "&amp;C2439,IF(L2439="","EFEITO_PC nao calculado: PC "&amp;A2439&amp;" - "&amp;C2439,"OK")))))))))</f>
        <v/>
      </c>
      <c r="L2439" s="92" t="str">
        <f>IF(AND(A2439="",B2439="",D2439="",G2439=""),"",IF(OR(B2439="",NOT(ISNUMBER(B2439)),C2439="",C2439="Fora dos ciclos"),"",IF(C2439="C0","Nao",IF(IFERROR(INDEX(parametros!$A$2:$A$6,MATCH(C2439,parametros!$B$2:$B$6,0)),"")&lt;&gt;"Sim","Nao",IF(IFERROR(INDEX(parametros!$H$2:$H$6,MATCH(C2439,parametros!$B$2:$B$6,0)),"")="","",IF(B2439&gt;=IFERROR(INDEX(parametros!$H$2:$H$6,MATCH(C2439,parametros!$B$2:$B$6,0)),""),"Sim","Nao"))))))</f>
        <v/>
      </c>
      <c r="T2439" s="156"/>
      <c r="U2439" s="214" t="str">
        <f t="shared" si="196"/>
        <v/>
      </c>
      <c r="V2439" s="212" t="s">
        <v>50</v>
      </c>
      <c r="W2439" s="100" t="s">
        <v>168</v>
      </c>
      <c r="X2439" s="100" t="s">
        <v>169</v>
      </c>
      <c r="Y2439" s="101" t="s">
        <v>170</v>
      </c>
      <c r="Z2439" s="101" t="s">
        <v>171</v>
      </c>
      <c r="AA2439" s="101" t="s">
        <v>50</v>
      </c>
      <c r="AB2439" s="101" t="s">
        <v>172</v>
      </c>
      <c r="AC2439" s="102" t="s">
        <v>173</v>
      </c>
    </row>
    <row r="2440" spans="1:29" ht="25.5" customHeight="1" x14ac:dyDescent="0.35">
      <c r="A2440" s="392"/>
      <c r="B2440" s="393"/>
      <c r="C2440" s="99" t="str">
        <f>IF(B2440="","",IF(NOT(ISNUMBER(B2440)),"DATA_PC invalida",IF(NOT(ISNUMBER(parametros!$C$2)),"Fora dos ciclos",IF(OR(B2440&lt;parametros!$C$2,(YEAR(B2440)-YEAR(parametros!$C$2))*12+MONTH(B2440)-MONTH(parametros!$C$2)&gt;59),"Fora dos ciclos","C"&amp;INT(((YEAR(B2440)-YEAR(parametros!$C$2))*12+MONTH(B2440)-MONTH(parametros!$C$2))/12)))))</f>
        <v/>
      </c>
      <c r="D2440" s="394"/>
      <c r="E2440" s="78" t="str">
        <f>IF(C2440="","",IFERROR(VLOOKUP(C2440,parametros!$A$11:$E$15,5,0),""))</f>
        <v/>
      </c>
      <c r="F2440" s="79" t="str">
        <f t="shared" si="192"/>
        <v/>
      </c>
      <c r="G2440" s="395"/>
      <c r="H2440" s="91">
        <f t="shared" si="193"/>
        <v>0</v>
      </c>
      <c r="I2440" s="91" t="str">
        <f t="shared" si="194"/>
        <v/>
      </c>
      <c r="J2440" s="91" t="str">
        <f t="shared" si="195"/>
        <v/>
      </c>
      <c r="K2440" s="92" t="str">
        <f>IF(AND(A2440="",B2440="",D2440="",G2440=""),"",IF(AND(A2440&lt;&gt;"",COUNTIF($A$2:$A$5001,A2440)&gt;1),"NUMERO_PC duplicado",IF(B2440="","DATA_PC vazia",IF(NOT(ISNUMBER(B2440)),"DATA_PC invalida",IF(OR(C2440="",C2440="Fora dos ciclos"),"CICLO_PC nao identificado",IF(OR(D2440="",D2440=0),"VALOR_PC vazio ou zero",IF(AND(G2440&lt;&gt;"Sim",G2440&lt;&gt;"Nao",G2440&lt;&gt;""),"PC_PAGO_A_CONTRATADA invalido",IF(AND(C2440&lt;&gt;"C0",IFERROR(INDEX(parametros!$A$2:$A$6,MATCH(C2440,parametros!$B$2:$B$6,0)),"")="Sim",IFERROR(INDEX(parametros!$H$2:$H$6,MATCH(C2440,parametros!$B$2:$B$6,0)),"")=""),"INICIO_EFEITO ausente: PC "&amp;A2440&amp;" - "&amp;C2440,IF(L2440="","EFEITO_PC nao calculado: PC "&amp;A2440&amp;" - "&amp;C2440,"OK")))))))))</f>
        <v/>
      </c>
      <c r="L2440" s="92" t="str">
        <f>IF(AND(A2440="",B2440="",D2440="",G2440=""),"",IF(OR(B2440="",NOT(ISNUMBER(B2440)),C2440="",C2440="Fora dos ciclos"),"",IF(C2440="C0","Nao",IF(IFERROR(INDEX(parametros!$A$2:$A$6,MATCH(C2440,parametros!$B$2:$B$6,0)),"")&lt;&gt;"Sim","Nao",IF(IFERROR(INDEX(parametros!$H$2:$H$6,MATCH(C2440,parametros!$B$2:$B$6,0)),"")="","",IF(B2440&gt;=IFERROR(INDEX(parametros!$H$2:$H$6,MATCH(C2440,parametros!$B$2:$B$6,0)),""),"Sim","Nao"))))))</f>
        <v/>
      </c>
      <c r="T2440" s="156"/>
      <c r="U2440" s="214" t="str">
        <f t="shared" si="196"/>
        <v/>
      </c>
      <c r="V2440" s="212" t="s">
        <v>50</v>
      </c>
      <c r="W2440" s="100" t="s">
        <v>168</v>
      </c>
      <c r="X2440" s="100" t="s">
        <v>169</v>
      </c>
      <c r="Y2440" s="101" t="s">
        <v>170</v>
      </c>
      <c r="Z2440" s="101" t="s">
        <v>171</v>
      </c>
      <c r="AA2440" s="101" t="s">
        <v>50</v>
      </c>
      <c r="AB2440" s="101" t="s">
        <v>172</v>
      </c>
      <c r="AC2440" s="102" t="s">
        <v>173</v>
      </c>
    </row>
    <row r="2441" spans="1:29" ht="25.5" customHeight="1" x14ac:dyDescent="0.35">
      <c r="A2441" s="392"/>
      <c r="B2441" s="393"/>
      <c r="C2441" s="99" t="str">
        <f>IF(B2441="","",IF(NOT(ISNUMBER(B2441)),"DATA_PC invalida",IF(NOT(ISNUMBER(parametros!$C$2)),"Fora dos ciclos",IF(OR(B2441&lt;parametros!$C$2,(YEAR(B2441)-YEAR(parametros!$C$2))*12+MONTH(B2441)-MONTH(parametros!$C$2)&gt;59),"Fora dos ciclos","C"&amp;INT(((YEAR(B2441)-YEAR(parametros!$C$2))*12+MONTH(B2441)-MONTH(parametros!$C$2))/12)))))</f>
        <v/>
      </c>
      <c r="D2441" s="394"/>
      <c r="E2441" s="78" t="str">
        <f>IF(C2441="","",IFERROR(VLOOKUP(C2441,parametros!$A$11:$E$15,5,0),""))</f>
        <v/>
      </c>
      <c r="F2441" s="79" t="str">
        <f t="shared" si="192"/>
        <v/>
      </c>
      <c r="G2441" s="395"/>
      <c r="H2441" s="91">
        <f t="shared" si="193"/>
        <v>0</v>
      </c>
      <c r="I2441" s="91" t="str">
        <f t="shared" si="194"/>
        <v/>
      </c>
      <c r="J2441" s="91" t="str">
        <f t="shared" si="195"/>
        <v/>
      </c>
      <c r="K2441" s="92" t="str">
        <f>IF(AND(A2441="",B2441="",D2441="",G2441=""),"",IF(AND(A2441&lt;&gt;"",COUNTIF($A$2:$A$5001,A2441)&gt;1),"NUMERO_PC duplicado",IF(B2441="","DATA_PC vazia",IF(NOT(ISNUMBER(B2441)),"DATA_PC invalida",IF(OR(C2441="",C2441="Fora dos ciclos"),"CICLO_PC nao identificado",IF(OR(D2441="",D2441=0),"VALOR_PC vazio ou zero",IF(AND(G2441&lt;&gt;"Sim",G2441&lt;&gt;"Nao",G2441&lt;&gt;""),"PC_PAGO_A_CONTRATADA invalido",IF(AND(C2441&lt;&gt;"C0",IFERROR(INDEX(parametros!$A$2:$A$6,MATCH(C2441,parametros!$B$2:$B$6,0)),"")="Sim",IFERROR(INDEX(parametros!$H$2:$H$6,MATCH(C2441,parametros!$B$2:$B$6,0)),"")=""),"INICIO_EFEITO ausente: PC "&amp;A2441&amp;" - "&amp;C2441,IF(L2441="","EFEITO_PC nao calculado: PC "&amp;A2441&amp;" - "&amp;C2441,"OK")))))))))</f>
        <v/>
      </c>
      <c r="L2441" s="92" t="str">
        <f>IF(AND(A2441="",B2441="",D2441="",G2441=""),"",IF(OR(B2441="",NOT(ISNUMBER(B2441)),C2441="",C2441="Fora dos ciclos"),"",IF(C2441="C0","Nao",IF(IFERROR(INDEX(parametros!$A$2:$A$6,MATCH(C2441,parametros!$B$2:$B$6,0)),"")&lt;&gt;"Sim","Nao",IF(IFERROR(INDEX(parametros!$H$2:$H$6,MATCH(C2441,parametros!$B$2:$B$6,0)),"")="","",IF(B2441&gt;=IFERROR(INDEX(parametros!$H$2:$H$6,MATCH(C2441,parametros!$B$2:$B$6,0)),""),"Sim","Nao"))))))</f>
        <v/>
      </c>
      <c r="T2441" s="156"/>
      <c r="U2441" s="214" t="str">
        <f t="shared" si="196"/>
        <v/>
      </c>
      <c r="V2441" s="212" t="s">
        <v>50</v>
      </c>
      <c r="W2441" s="100" t="s">
        <v>168</v>
      </c>
      <c r="X2441" s="100" t="s">
        <v>169</v>
      </c>
      <c r="Y2441" s="101" t="s">
        <v>170</v>
      </c>
      <c r="Z2441" s="101" t="s">
        <v>171</v>
      </c>
      <c r="AA2441" s="101" t="s">
        <v>50</v>
      </c>
      <c r="AB2441" s="101" t="s">
        <v>172</v>
      </c>
      <c r="AC2441" s="102" t="s">
        <v>173</v>
      </c>
    </row>
    <row r="2442" spans="1:29" ht="25.5" customHeight="1" x14ac:dyDescent="0.35">
      <c r="A2442" s="392"/>
      <c r="B2442" s="393"/>
      <c r="C2442" s="99" t="str">
        <f>IF(B2442="","",IF(NOT(ISNUMBER(B2442)),"DATA_PC invalida",IF(NOT(ISNUMBER(parametros!$C$2)),"Fora dos ciclos",IF(OR(B2442&lt;parametros!$C$2,(YEAR(B2442)-YEAR(parametros!$C$2))*12+MONTH(B2442)-MONTH(parametros!$C$2)&gt;59),"Fora dos ciclos","C"&amp;INT(((YEAR(B2442)-YEAR(parametros!$C$2))*12+MONTH(B2442)-MONTH(parametros!$C$2))/12)))))</f>
        <v/>
      </c>
      <c r="D2442" s="394"/>
      <c r="E2442" s="78" t="str">
        <f>IF(C2442="","",IFERROR(VLOOKUP(C2442,parametros!$A$11:$E$15,5,0),""))</f>
        <v/>
      </c>
      <c r="F2442" s="79" t="str">
        <f t="shared" si="192"/>
        <v/>
      </c>
      <c r="G2442" s="395"/>
      <c r="H2442" s="91">
        <f t="shared" si="193"/>
        <v>0</v>
      </c>
      <c r="I2442" s="91" t="str">
        <f t="shared" si="194"/>
        <v/>
      </c>
      <c r="J2442" s="91" t="str">
        <f t="shared" si="195"/>
        <v/>
      </c>
      <c r="K2442" s="92" t="str">
        <f>IF(AND(A2442="",B2442="",D2442="",G2442=""),"",IF(AND(A2442&lt;&gt;"",COUNTIF($A$2:$A$5001,A2442)&gt;1),"NUMERO_PC duplicado",IF(B2442="","DATA_PC vazia",IF(NOT(ISNUMBER(B2442)),"DATA_PC invalida",IF(OR(C2442="",C2442="Fora dos ciclos"),"CICLO_PC nao identificado",IF(OR(D2442="",D2442=0),"VALOR_PC vazio ou zero",IF(AND(G2442&lt;&gt;"Sim",G2442&lt;&gt;"Nao",G2442&lt;&gt;""),"PC_PAGO_A_CONTRATADA invalido",IF(AND(C2442&lt;&gt;"C0",IFERROR(INDEX(parametros!$A$2:$A$6,MATCH(C2442,parametros!$B$2:$B$6,0)),"")="Sim",IFERROR(INDEX(parametros!$H$2:$H$6,MATCH(C2442,parametros!$B$2:$B$6,0)),"")=""),"INICIO_EFEITO ausente: PC "&amp;A2442&amp;" - "&amp;C2442,IF(L2442="","EFEITO_PC nao calculado: PC "&amp;A2442&amp;" - "&amp;C2442,"OK")))))))))</f>
        <v/>
      </c>
      <c r="L2442" s="92" t="str">
        <f>IF(AND(A2442="",B2442="",D2442="",G2442=""),"",IF(OR(B2442="",NOT(ISNUMBER(B2442)),C2442="",C2442="Fora dos ciclos"),"",IF(C2442="C0","Nao",IF(IFERROR(INDEX(parametros!$A$2:$A$6,MATCH(C2442,parametros!$B$2:$B$6,0)),"")&lt;&gt;"Sim","Nao",IF(IFERROR(INDEX(parametros!$H$2:$H$6,MATCH(C2442,parametros!$B$2:$B$6,0)),"")="","",IF(B2442&gt;=IFERROR(INDEX(parametros!$H$2:$H$6,MATCH(C2442,parametros!$B$2:$B$6,0)),""),"Sim","Nao"))))))</f>
        <v/>
      </c>
      <c r="T2442" s="156"/>
      <c r="U2442" s="214" t="str">
        <f t="shared" si="196"/>
        <v/>
      </c>
      <c r="V2442" s="212" t="s">
        <v>50</v>
      </c>
      <c r="W2442" s="100" t="s">
        <v>168</v>
      </c>
      <c r="X2442" s="100" t="s">
        <v>169</v>
      </c>
      <c r="Y2442" s="101" t="s">
        <v>170</v>
      </c>
      <c r="Z2442" s="101" t="s">
        <v>171</v>
      </c>
      <c r="AA2442" s="101" t="s">
        <v>50</v>
      </c>
      <c r="AB2442" s="101" t="s">
        <v>172</v>
      </c>
      <c r="AC2442" s="102" t="s">
        <v>173</v>
      </c>
    </row>
    <row r="2443" spans="1:29" ht="25.5" customHeight="1" x14ac:dyDescent="0.35">
      <c r="A2443" s="392"/>
      <c r="B2443" s="393"/>
      <c r="C2443" s="99" t="str">
        <f>IF(B2443="","",IF(NOT(ISNUMBER(B2443)),"DATA_PC invalida",IF(NOT(ISNUMBER(parametros!$C$2)),"Fora dos ciclos",IF(OR(B2443&lt;parametros!$C$2,(YEAR(B2443)-YEAR(parametros!$C$2))*12+MONTH(B2443)-MONTH(parametros!$C$2)&gt;59),"Fora dos ciclos","C"&amp;INT(((YEAR(B2443)-YEAR(parametros!$C$2))*12+MONTH(B2443)-MONTH(parametros!$C$2))/12)))))</f>
        <v/>
      </c>
      <c r="D2443" s="394"/>
      <c r="E2443" s="78" t="str">
        <f>IF(C2443="","",IFERROR(VLOOKUP(C2443,parametros!$A$11:$E$15,5,0),""))</f>
        <v/>
      </c>
      <c r="F2443" s="79" t="str">
        <f t="shared" si="192"/>
        <v/>
      </c>
      <c r="G2443" s="395"/>
      <c r="H2443" s="91">
        <f t="shared" si="193"/>
        <v>0</v>
      </c>
      <c r="I2443" s="91" t="str">
        <f t="shared" si="194"/>
        <v/>
      </c>
      <c r="J2443" s="91" t="str">
        <f t="shared" si="195"/>
        <v/>
      </c>
      <c r="K2443" s="92" t="str">
        <f>IF(AND(A2443="",B2443="",D2443="",G2443=""),"",IF(AND(A2443&lt;&gt;"",COUNTIF($A$2:$A$5001,A2443)&gt;1),"NUMERO_PC duplicado",IF(B2443="","DATA_PC vazia",IF(NOT(ISNUMBER(B2443)),"DATA_PC invalida",IF(OR(C2443="",C2443="Fora dos ciclos"),"CICLO_PC nao identificado",IF(OR(D2443="",D2443=0),"VALOR_PC vazio ou zero",IF(AND(G2443&lt;&gt;"Sim",G2443&lt;&gt;"Nao",G2443&lt;&gt;""),"PC_PAGO_A_CONTRATADA invalido",IF(AND(C2443&lt;&gt;"C0",IFERROR(INDEX(parametros!$A$2:$A$6,MATCH(C2443,parametros!$B$2:$B$6,0)),"")="Sim",IFERROR(INDEX(parametros!$H$2:$H$6,MATCH(C2443,parametros!$B$2:$B$6,0)),"")=""),"INICIO_EFEITO ausente: PC "&amp;A2443&amp;" - "&amp;C2443,IF(L2443="","EFEITO_PC nao calculado: PC "&amp;A2443&amp;" - "&amp;C2443,"OK")))))))))</f>
        <v/>
      </c>
      <c r="L2443" s="92" t="str">
        <f>IF(AND(A2443="",B2443="",D2443="",G2443=""),"",IF(OR(B2443="",NOT(ISNUMBER(B2443)),C2443="",C2443="Fora dos ciclos"),"",IF(C2443="C0","Nao",IF(IFERROR(INDEX(parametros!$A$2:$A$6,MATCH(C2443,parametros!$B$2:$B$6,0)),"")&lt;&gt;"Sim","Nao",IF(IFERROR(INDEX(parametros!$H$2:$H$6,MATCH(C2443,parametros!$B$2:$B$6,0)),"")="","",IF(B2443&gt;=IFERROR(INDEX(parametros!$H$2:$H$6,MATCH(C2443,parametros!$B$2:$B$6,0)),""),"Sim","Nao"))))))</f>
        <v/>
      </c>
      <c r="T2443" s="156"/>
      <c r="U2443" s="214" t="str">
        <f t="shared" si="196"/>
        <v/>
      </c>
      <c r="V2443" s="212" t="s">
        <v>50</v>
      </c>
      <c r="W2443" s="100" t="s">
        <v>168</v>
      </c>
      <c r="X2443" s="100" t="s">
        <v>169</v>
      </c>
      <c r="Y2443" s="101" t="s">
        <v>170</v>
      </c>
      <c r="Z2443" s="101" t="s">
        <v>171</v>
      </c>
      <c r="AA2443" s="101" t="s">
        <v>50</v>
      </c>
      <c r="AB2443" s="101" t="s">
        <v>172</v>
      </c>
      <c r="AC2443" s="102" t="s">
        <v>173</v>
      </c>
    </row>
    <row r="2444" spans="1:29" ht="25.5" customHeight="1" x14ac:dyDescent="0.35">
      <c r="A2444" s="392"/>
      <c r="B2444" s="393"/>
      <c r="C2444" s="99" t="str">
        <f>IF(B2444="","",IF(NOT(ISNUMBER(B2444)),"DATA_PC invalida",IF(NOT(ISNUMBER(parametros!$C$2)),"Fora dos ciclos",IF(OR(B2444&lt;parametros!$C$2,(YEAR(B2444)-YEAR(parametros!$C$2))*12+MONTH(B2444)-MONTH(parametros!$C$2)&gt;59),"Fora dos ciclos","C"&amp;INT(((YEAR(B2444)-YEAR(parametros!$C$2))*12+MONTH(B2444)-MONTH(parametros!$C$2))/12)))))</f>
        <v/>
      </c>
      <c r="D2444" s="394"/>
      <c r="E2444" s="78" t="str">
        <f>IF(C2444="","",IFERROR(VLOOKUP(C2444,parametros!$A$11:$E$15,5,0),""))</f>
        <v/>
      </c>
      <c r="F2444" s="79" t="str">
        <f t="shared" si="192"/>
        <v/>
      </c>
      <c r="G2444" s="395"/>
      <c r="H2444" s="91">
        <f t="shared" si="193"/>
        <v>0</v>
      </c>
      <c r="I2444" s="91" t="str">
        <f t="shared" si="194"/>
        <v/>
      </c>
      <c r="J2444" s="91" t="str">
        <f t="shared" si="195"/>
        <v/>
      </c>
      <c r="K2444" s="92" t="str">
        <f>IF(AND(A2444="",B2444="",D2444="",G2444=""),"",IF(AND(A2444&lt;&gt;"",COUNTIF($A$2:$A$5001,A2444)&gt;1),"NUMERO_PC duplicado",IF(B2444="","DATA_PC vazia",IF(NOT(ISNUMBER(B2444)),"DATA_PC invalida",IF(OR(C2444="",C2444="Fora dos ciclos"),"CICLO_PC nao identificado",IF(OR(D2444="",D2444=0),"VALOR_PC vazio ou zero",IF(AND(G2444&lt;&gt;"Sim",G2444&lt;&gt;"Nao",G2444&lt;&gt;""),"PC_PAGO_A_CONTRATADA invalido",IF(AND(C2444&lt;&gt;"C0",IFERROR(INDEX(parametros!$A$2:$A$6,MATCH(C2444,parametros!$B$2:$B$6,0)),"")="Sim",IFERROR(INDEX(parametros!$H$2:$H$6,MATCH(C2444,parametros!$B$2:$B$6,0)),"")=""),"INICIO_EFEITO ausente: PC "&amp;A2444&amp;" - "&amp;C2444,IF(L2444="","EFEITO_PC nao calculado: PC "&amp;A2444&amp;" - "&amp;C2444,"OK")))))))))</f>
        <v/>
      </c>
      <c r="L2444" s="92" t="str">
        <f>IF(AND(A2444="",B2444="",D2444="",G2444=""),"",IF(OR(B2444="",NOT(ISNUMBER(B2444)),C2444="",C2444="Fora dos ciclos"),"",IF(C2444="C0","Nao",IF(IFERROR(INDEX(parametros!$A$2:$A$6,MATCH(C2444,parametros!$B$2:$B$6,0)),"")&lt;&gt;"Sim","Nao",IF(IFERROR(INDEX(parametros!$H$2:$H$6,MATCH(C2444,parametros!$B$2:$B$6,0)),"")="","",IF(B2444&gt;=IFERROR(INDEX(parametros!$H$2:$H$6,MATCH(C2444,parametros!$B$2:$B$6,0)),""),"Sim","Nao"))))))</f>
        <v/>
      </c>
      <c r="T2444" s="156"/>
      <c r="U2444" s="214" t="str">
        <f t="shared" si="196"/>
        <v/>
      </c>
      <c r="V2444" s="212" t="s">
        <v>50</v>
      </c>
      <c r="W2444" s="100" t="s">
        <v>168</v>
      </c>
      <c r="X2444" s="100" t="s">
        <v>169</v>
      </c>
      <c r="Y2444" s="101" t="s">
        <v>170</v>
      </c>
      <c r="Z2444" s="101" t="s">
        <v>171</v>
      </c>
      <c r="AA2444" s="101" t="s">
        <v>50</v>
      </c>
      <c r="AB2444" s="101" t="s">
        <v>172</v>
      </c>
      <c r="AC2444" s="102" t="s">
        <v>173</v>
      </c>
    </row>
    <row r="2445" spans="1:29" ht="25.5" customHeight="1" x14ac:dyDescent="0.35">
      <c r="A2445" s="392"/>
      <c r="B2445" s="393"/>
      <c r="C2445" s="99" t="str">
        <f>IF(B2445="","",IF(NOT(ISNUMBER(B2445)),"DATA_PC invalida",IF(NOT(ISNUMBER(parametros!$C$2)),"Fora dos ciclos",IF(OR(B2445&lt;parametros!$C$2,(YEAR(B2445)-YEAR(parametros!$C$2))*12+MONTH(B2445)-MONTH(parametros!$C$2)&gt;59),"Fora dos ciclos","C"&amp;INT(((YEAR(B2445)-YEAR(parametros!$C$2))*12+MONTH(B2445)-MONTH(parametros!$C$2))/12)))))</f>
        <v/>
      </c>
      <c r="D2445" s="394"/>
      <c r="E2445" s="78" t="str">
        <f>IF(C2445="","",IFERROR(VLOOKUP(C2445,parametros!$A$11:$E$15,5,0),""))</f>
        <v/>
      </c>
      <c r="F2445" s="79" t="str">
        <f t="shared" si="192"/>
        <v/>
      </c>
      <c r="G2445" s="395"/>
      <c r="H2445" s="91">
        <f t="shared" si="193"/>
        <v>0</v>
      </c>
      <c r="I2445" s="91" t="str">
        <f t="shared" si="194"/>
        <v/>
      </c>
      <c r="J2445" s="91" t="str">
        <f t="shared" si="195"/>
        <v/>
      </c>
      <c r="K2445" s="92" t="str">
        <f>IF(AND(A2445="",B2445="",D2445="",G2445=""),"",IF(AND(A2445&lt;&gt;"",COUNTIF($A$2:$A$5001,A2445)&gt;1),"NUMERO_PC duplicado",IF(B2445="","DATA_PC vazia",IF(NOT(ISNUMBER(B2445)),"DATA_PC invalida",IF(OR(C2445="",C2445="Fora dos ciclos"),"CICLO_PC nao identificado",IF(OR(D2445="",D2445=0),"VALOR_PC vazio ou zero",IF(AND(G2445&lt;&gt;"Sim",G2445&lt;&gt;"Nao",G2445&lt;&gt;""),"PC_PAGO_A_CONTRATADA invalido",IF(AND(C2445&lt;&gt;"C0",IFERROR(INDEX(parametros!$A$2:$A$6,MATCH(C2445,parametros!$B$2:$B$6,0)),"")="Sim",IFERROR(INDEX(parametros!$H$2:$H$6,MATCH(C2445,parametros!$B$2:$B$6,0)),"")=""),"INICIO_EFEITO ausente: PC "&amp;A2445&amp;" - "&amp;C2445,IF(L2445="","EFEITO_PC nao calculado: PC "&amp;A2445&amp;" - "&amp;C2445,"OK")))))))))</f>
        <v/>
      </c>
      <c r="L2445" s="92" t="str">
        <f>IF(AND(A2445="",B2445="",D2445="",G2445=""),"",IF(OR(B2445="",NOT(ISNUMBER(B2445)),C2445="",C2445="Fora dos ciclos"),"",IF(C2445="C0","Nao",IF(IFERROR(INDEX(parametros!$A$2:$A$6,MATCH(C2445,parametros!$B$2:$B$6,0)),"")&lt;&gt;"Sim","Nao",IF(IFERROR(INDEX(parametros!$H$2:$H$6,MATCH(C2445,parametros!$B$2:$B$6,0)),"")="","",IF(B2445&gt;=IFERROR(INDEX(parametros!$H$2:$H$6,MATCH(C2445,parametros!$B$2:$B$6,0)),""),"Sim","Nao"))))))</f>
        <v/>
      </c>
      <c r="T2445" s="156"/>
      <c r="U2445" s="214" t="str">
        <f t="shared" si="196"/>
        <v/>
      </c>
      <c r="V2445" s="212" t="s">
        <v>50</v>
      </c>
      <c r="W2445" s="100" t="s">
        <v>168</v>
      </c>
      <c r="X2445" s="100" t="s">
        <v>169</v>
      </c>
      <c r="Y2445" s="101" t="s">
        <v>170</v>
      </c>
      <c r="Z2445" s="101" t="s">
        <v>171</v>
      </c>
      <c r="AA2445" s="101" t="s">
        <v>50</v>
      </c>
      <c r="AB2445" s="101" t="s">
        <v>172</v>
      </c>
      <c r="AC2445" s="102" t="s">
        <v>173</v>
      </c>
    </row>
    <row r="2446" spans="1:29" ht="25.5" customHeight="1" x14ac:dyDescent="0.35">
      <c r="A2446" s="392"/>
      <c r="B2446" s="393"/>
      <c r="C2446" s="99" t="str">
        <f>IF(B2446="","",IF(NOT(ISNUMBER(B2446)),"DATA_PC invalida",IF(NOT(ISNUMBER(parametros!$C$2)),"Fora dos ciclos",IF(OR(B2446&lt;parametros!$C$2,(YEAR(B2446)-YEAR(parametros!$C$2))*12+MONTH(B2446)-MONTH(parametros!$C$2)&gt;59),"Fora dos ciclos","C"&amp;INT(((YEAR(B2446)-YEAR(parametros!$C$2))*12+MONTH(B2446)-MONTH(parametros!$C$2))/12)))))</f>
        <v/>
      </c>
      <c r="D2446" s="394"/>
      <c r="E2446" s="78" t="str">
        <f>IF(C2446="","",IFERROR(VLOOKUP(C2446,parametros!$A$11:$E$15,5,0),""))</f>
        <v/>
      </c>
      <c r="F2446" s="79" t="str">
        <f t="shared" si="192"/>
        <v/>
      </c>
      <c r="G2446" s="395"/>
      <c r="H2446" s="91">
        <f t="shared" si="193"/>
        <v>0</v>
      </c>
      <c r="I2446" s="91" t="str">
        <f t="shared" si="194"/>
        <v/>
      </c>
      <c r="J2446" s="91" t="str">
        <f t="shared" si="195"/>
        <v/>
      </c>
      <c r="K2446" s="92" t="str">
        <f>IF(AND(A2446="",B2446="",D2446="",G2446=""),"",IF(AND(A2446&lt;&gt;"",COUNTIF($A$2:$A$5001,A2446)&gt;1),"NUMERO_PC duplicado",IF(B2446="","DATA_PC vazia",IF(NOT(ISNUMBER(B2446)),"DATA_PC invalida",IF(OR(C2446="",C2446="Fora dos ciclos"),"CICLO_PC nao identificado",IF(OR(D2446="",D2446=0),"VALOR_PC vazio ou zero",IF(AND(G2446&lt;&gt;"Sim",G2446&lt;&gt;"Nao",G2446&lt;&gt;""),"PC_PAGO_A_CONTRATADA invalido",IF(AND(C2446&lt;&gt;"C0",IFERROR(INDEX(parametros!$A$2:$A$6,MATCH(C2446,parametros!$B$2:$B$6,0)),"")="Sim",IFERROR(INDEX(parametros!$H$2:$H$6,MATCH(C2446,parametros!$B$2:$B$6,0)),"")=""),"INICIO_EFEITO ausente: PC "&amp;A2446&amp;" - "&amp;C2446,IF(L2446="","EFEITO_PC nao calculado: PC "&amp;A2446&amp;" - "&amp;C2446,"OK")))))))))</f>
        <v/>
      </c>
      <c r="L2446" s="92" t="str">
        <f>IF(AND(A2446="",B2446="",D2446="",G2446=""),"",IF(OR(B2446="",NOT(ISNUMBER(B2446)),C2446="",C2446="Fora dos ciclos"),"",IF(C2446="C0","Nao",IF(IFERROR(INDEX(parametros!$A$2:$A$6,MATCH(C2446,parametros!$B$2:$B$6,0)),"")&lt;&gt;"Sim","Nao",IF(IFERROR(INDEX(parametros!$H$2:$H$6,MATCH(C2446,parametros!$B$2:$B$6,0)),"")="","",IF(B2446&gt;=IFERROR(INDEX(parametros!$H$2:$H$6,MATCH(C2446,parametros!$B$2:$B$6,0)),""),"Sim","Nao"))))))</f>
        <v/>
      </c>
      <c r="T2446" s="156"/>
      <c r="U2446" s="214" t="str">
        <f t="shared" si="196"/>
        <v/>
      </c>
      <c r="V2446" s="212" t="s">
        <v>50</v>
      </c>
      <c r="W2446" s="100" t="s">
        <v>168</v>
      </c>
      <c r="X2446" s="100" t="s">
        <v>169</v>
      </c>
      <c r="Y2446" s="101" t="s">
        <v>170</v>
      </c>
      <c r="Z2446" s="101" t="s">
        <v>171</v>
      </c>
      <c r="AA2446" s="101" t="s">
        <v>50</v>
      </c>
      <c r="AB2446" s="101" t="s">
        <v>172</v>
      </c>
      <c r="AC2446" s="102" t="s">
        <v>173</v>
      </c>
    </row>
    <row r="2447" spans="1:29" ht="25.5" customHeight="1" x14ac:dyDescent="0.35">
      <c r="A2447" s="392"/>
      <c r="B2447" s="393"/>
      <c r="C2447" s="99" t="str">
        <f>IF(B2447="","",IF(NOT(ISNUMBER(B2447)),"DATA_PC invalida",IF(NOT(ISNUMBER(parametros!$C$2)),"Fora dos ciclos",IF(OR(B2447&lt;parametros!$C$2,(YEAR(B2447)-YEAR(parametros!$C$2))*12+MONTH(B2447)-MONTH(parametros!$C$2)&gt;59),"Fora dos ciclos","C"&amp;INT(((YEAR(B2447)-YEAR(parametros!$C$2))*12+MONTH(B2447)-MONTH(parametros!$C$2))/12)))))</f>
        <v/>
      </c>
      <c r="D2447" s="394"/>
      <c r="E2447" s="78" t="str">
        <f>IF(C2447="","",IFERROR(VLOOKUP(C2447,parametros!$A$11:$E$15,5,0),""))</f>
        <v/>
      </c>
      <c r="F2447" s="79" t="str">
        <f t="shared" si="192"/>
        <v/>
      </c>
      <c r="G2447" s="395"/>
      <c r="H2447" s="91">
        <f t="shared" si="193"/>
        <v>0</v>
      </c>
      <c r="I2447" s="91" t="str">
        <f t="shared" si="194"/>
        <v/>
      </c>
      <c r="J2447" s="91" t="str">
        <f t="shared" si="195"/>
        <v/>
      </c>
      <c r="K2447" s="92" t="str">
        <f>IF(AND(A2447="",B2447="",D2447="",G2447=""),"",IF(AND(A2447&lt;&gt;"",COUNTIF($A$2:$A$5001,A2447)&gt;1),"NUMERO_PC duplicado",IF(B2447="","DATA_PC vazia",IF(NOT(ISNUMBER(B2447)),"DATA_PC invalida",IF(OR(C2447="",C2447="Fora dos ciclos"),"CICLO_PC nao identificado",IF(OR(D2447="",D2447=0),"VALOR_PC vazio ou zero",IF(AND(G2447&lt;&gt;"Sim",G2447&lt;&gt;"Nao",G2447&lt;&gt;""),"PC_PAGO_A_CONTRATADA invalido",IF(AND(C2447&lt;&gt;"C0",IFERROR(INDEX(parametros!$A$2:$A$6,MATCH(C2447,parametros!$B$2:$B$6,0)),"")="Sim",IFERROR(INDEX(parametros!$H$2:$H$6,MATCH(C2447,parametros!$B$2:$B$6,0)),"")=""),"INICIO_EFEITO ausente: PC "&amp;A2447&amp;" - "&amp;C2447,IF(L2447="","EFEITO_PC nao calculado: PC "&amp;A2447&amp;" - "&amp;C2447,"OK")))))))))</f>
        <v/>
      </c>
      <c r="L2447" s="92" t="str">
        <f>IF(AND(A2447="",B2447="",D2447="",G2447=""),"",IF(OR(B2447="",NOT(ISNUMBER(B2447)),C2447="",C2447="Fora dos ciclos"),"",IF(C2447="C0","Nao",IF(IFERROR(INDEX(parametros!$A$2:$A$6,MATCH(C2447,parametros!$B$2:$B$6,0)),"")&lt;&gt;"Sim","Nao",IF(IFERROR(INDEX(parametros!$H$2:$H$6,MATCH(C2447,parametros!$B$2:$B$6,0)),"")="","",IF(B2447&gt;=IFERROR(INDEX(parametros!$H$2:$H$6,MATCH(C2447,parametros!$B$2:$B$6,0)),""),"Sim","Nao"))))))</f>
        <v/>
      </c>
      <c r="T2447" s="156"/>
      <c r="U2447" s="214" t="str">
        <f t="shared" si="196"/>
        <v/>
      </c>
      <c r="V2447" s="212" t="s">
        <v>50</v>
      </c>
      <c r="W2447" s="100" t="s">
        <v>168</v>
      </c>
      <c r="X2447" s="100" t="s">
        <v>169</v>
      </c>
      <c r="Y2447" s="101" t="s">
        <v>170</v>
      </c>
      <c r="Z2447" s="101" t="s">
        <v>171</v>
      </c>
      <c r="AA2447" s="101" t="s">
        <v>50</v>
      </c>
      <c r="AB2447" s="101" t="s">
        <v>172</v>
      </c>
      <c r="AC2447" s="102" t="s">
        <v>173</v>
      </c>
    </row>
    <row r="2448" spans="1:29" ht="25.5" customHeight="1" x14ac:dyDescent="0.35">
      <c r="A2448" s="392"/>
      <c r="B2448" s="393"/>
      <c r="C2448" s="99" t="str">
        <f>IF(B2448="","",IF(NOT(ISNUMBER(B2448)),"DATA_PC invalida",IF(NOT(ISNUMBER(parametros!$C$2)),"Fora dos ciclos",IF(OR(B2448&lt;parametros!$C$2,(YEAR(B2448)-YEAR(parametros!$C$2))*12+MONTH(B2448)-MONTH(parametros!$C$2)&gt;59),"Fora dos ciclos","C"&amp;INT(((YEAR(B2448)-YEAR(parametros!$C$2))*12+MONTH(B2448)-MONTH(parametros!$C$2))/12)))))</f>
        <v/>
      </c>
      <c r="D2448" s="394"/>
      <c r="E2448" s="78" t="str">
        <f>IF(C2448="","",IFERROR(VLOOKUP(C2448,parametros!$A$11:$E$15,5,0),""))</f>
        <v/>
      </c>
      <c r="F2448" s="79" t="str">
        <f t="shared" si="192"/>
        <v/>
      </c>
      <c r="G2448" s="395"/>
      <c r="H2448" s="91">
        <f t="shared" si="193"/>
        <v>0</v>
      </c>
      <c r="I2448" s="91" t="str">
        <f t="shared" si="194"/>
        <v/>
      </c>
      <c r="J2448" s="91" t="str">
        <f t="shared" si="195"/>
        <v/>
      </c>
      <c r="K2448" s="92" t="str">
        <f>IF(AND(A2448="",B2448="",D2448="",G2448=""),"",IF(AND(A2448&lt;&gt;"",COUNTIF($A$2:$A$5001,A2448)&gt;1),"NUMERO_PC duplicado",IF(B2448="","DATA_PC vazia",IF(NOT(ISNUMBER(B2448)),"DATA_PC invalida",IF(OR(C2448="",C2448="Fora dos ciclos"),"CICLO_PC nao identificado",IF(OR(D2448="",D2448=0),"VALOR_PC vazio ou zero",IF(AND(G2448&lt;&gt;"Sim",G2448&lt;&gt;"Nao",G2448&lt;&gt;""),"PC_PAGO_A_CONTRATADA invalido",IF(AND(C2448&lt;&gt;"C0",IFERROR(INDEX(parametros!$A$2:$A$6,MATCH(C2448,parametros!$B$2:$B$6,0)),"")="Sim",IFERROR(INDEX(parametros!$H$2:$H$6,MATCH(C2448,parametros!$B$2:$B$6,0)),"")=""),"INICIO_EFEITO ausente: PC "&amp;A2448&amp;" - "&amp;C2448,IF(L2448="","EFEITO_PC nao calculado: PC "&amp;A2448&amp;" - "&amp;C2448,"OK")))))))))</f>
        <v/>
      </c>
      <c r="L2448" s="92" t="str">
        <f>IF(AND(A2448="",B2448="",D2448="",G2448=""),"",IF(OR(B2448="",NOT(ISNUMBER(B2448)),C2448="",C2448="Fora dos ciclos"),"",IF(C2448="C0","Nao",IF(IFERROR(INDEX(parametros!$A$2:$A$6,MATCH(C2448,parametros!$B$2:$B$6,0)),"")&lt;&gt;"Sim","Nao",IF(IFERROR(INDEX(parametros!$H$2:$H$6,MATCH(C2448,parametros!$B$2:$B$6,0)),"")="","",IF(B2448&gt;=IFERROR(INDEX(parametros!$H$2:$H$6,MATCH(C2448,parametros!$B$2:$B$6,0)),""),"Sim","Nao"))))))</f>
        <v/>
      </c>
      <c r="T2448" s="156"/>
      <c r="U2448" s="214" t="str">
        <f t="shared" si="196"/>
        <v/>
      </c>
      <c r="V2448" s="212" t="s">
        <v>50</v>
      </c>
      <c r="W2448" s="100" t="s">
        <v>168</v>
      </c>
      <c r="X2448" s="100" t="s">
        <v>169</v>
      </c>
      <c r="Y2448" s="101" t="s">
        <v>170</v>
      </c>
      <c r="Z2448" s="101" t="s">
        <v>171</v>
      </c>
      <c r="AA2448" s="101" t="s">
        <v>50</v>
      </c>
      <c r="AB2448" s="101" t="s">
        <v>172</v>
      </c>
      <c r="AC2448" s="102" t="s">
        <v>173</v>
      </c>
    </row>
    <row r="2449" spans="1:29" ht="25.5" customHeight="1" x14ac:dyDescent="0.35">
      <c r="A2449" s="392"/>
      <c r="B2449" s="393"/>
      <c r="C2449" s="99" t="str">
        <f>IF(B2449="","",IF(NOT(ISNUMBER(B2449)),"DATA_PC invalida",IF(NOT(ISNUMBER(parametros!$C$2)),"Fora dos ciclos",IF(OR(B2449&lt;parametros!$C$2,(YEAR(B2449)-YEAR(parametros!$C$2))*12+MONTH(B2449)-MONTH(parametros!$C$2)&gt;59),"Fora dos ciclos","C"&amp;INT(((YEAR(B2449)-YEAR(parametros!$C$2))*12+MONTH(B2449)-MONTH(parametros!$C$2))/12)))))</f>
        <v/>
      </c>
      <c r="D2449" s="394"/>
      <c r="E2449" s="78" t="str">
        <f>IF(C2449="","",IFERROR(VLOOKUP(C2449,parametros!$A$11:$E$15,5,0),""))</f>
        <v/>
      </c>
      <c r="F2449" s="79" t="str">
        <f t="shared" si="192"/>
        <v/>
      </c>
      <c r="G2449" s="395"/>
      <c r="H2449" s="91">
        <f t="shared" si="193"/>
        <v>0</v>
      </c>
      <c r="I2449" s="91" t="str">
        <f t="shared" si="194"/>
        <v/>
      </c>
      <c r="J2449" s="91" t="str">
        <f t="shared" si="195"/>
        <v/>
      </c>
      <c r="K2449" s="92" t="str">
        <f>IF(AND(A2449="",B2449="",D2449="",G2449=""),"",IF(AND(A2449&lt;&gt;"",COUNTIF($A$2:$A$5001,A2449)&gt;1),"NUMERO_PC duplicado",IF(B2449="","DATA_PC vazia",IF(NOT(ISNUMBER(B2449)),"DATA_PC invalida",IF(OR(C2449="",C2449="Fora dos ciclos"),"CICLO_PC nao identificado",IF(OR(D2449="",D2449=0),"VALOR_PC vazio ou zero",IF(AND(G2449&lt;&gt;"Sim",G2449&lt;&gt;"Nao",G2449&lt;&gt;""),"PC_PAGO_A_CONTRATADA invalido",IF(AND(C2449&lt;&gt;"C0",IFERROR(INDEX(parametros!$A$2:$A$6,MATCH(C2449,parametros!$B$2:$B$6,0)),"")="Sim",IFERROR(INDEX(parametros!$H$2:$H$6,MATCH(C2449,parametros!$B$2:$B$6,0)),"")=""),"INICIO_EFEITO ausente: PC "&amp;A2449&amp;" - "&amp;C2449,IF(L2449="","EFEITO_PC nao calculado: PC "&amp;A2449&amp;" - "&amp;C2449,"OK")))))))))</f>
        <v/>
      </c>
      <c r="L2449" s="92" t="str">
        <f>IF(AND(A2449="",B2449="",D2449="",G2449=""),"",IF(OR(B2449="",NOT(ISNUMBER(B2449)),C2449="",C2449="Fora dos ciclos"),"",IF(C2449="C0","Nao",IF(IFERROR(INDEX(parametros!$A$2:$A$6,MATCH(C2449,parametros!$B$2:$B$6,0)),"")&lt;&gt;"Sim","Nao",IF(IFERROR(INDEX(parametros!$H$2:$H$6,MATCH(C2449,parametros!$B$2:$B$6,0)),"")="","",IF(B2449&gt;=IFERROR(INDEX(parametros!$H$2:$H$6,MATCH(C2449,parametros!$B$2:$B$6,0)),""),"Sim","Nao"))))))</f>
        <v/>
      </c>
      <c r="T2449" s="156"/>
      <c r="U2449" s="214" t="str">
        <f t="shared" si="196"/>
        <v/>
      </c>
      <c r="V2449" s="212" t="s">
        <v>50</v>
      </c>
      <c r="W2449" s="100" t="s">
        <v>168</v>
      </c>
      <c r="X2449" s="100" t="s">
        <v>169</v>
      </c>
      <c r="Y2449" s="101" t="s">
        <v>170</v>
      </c>
      <c r="Z2449" s="101" t="s">
        <v>171</v>
      </c>
      <c r="AA2449" s="101" t="s">
        <v>50</v>
      </c>
      <c r="AB2449" s="101" t="s">
        <v>172</v>
      </c>
      <c r="AC2449" s="102" t="s">
        <v>173</v>
      </c>
    </row>
    <row r="2450" spans="1:29" ht="25.5" customHeight="1" x14ac:dyDescent="0.35">
      <c r="A2450" s="392"/>
      <c r="B2450" s="393"/>
      <c r="C2450" s="99" t="str">
        <f>IF(B2450="","",IF(NOT(ISNUMBER(B2450)),"DATA_PC invalida",IF(NOT(ISNUMBER(parametros!$C$2)),"Fora dos ciclos",IF(OR(B2450&lt;parametros!$C$2,(YEAR(B2450)-YEAR(parametros!$C$2))*12+MONTH(B2450)-MONTH(parametros!$C$2)&gt;59),"Fora dos ciclos","C"&amp;INT(((YEAR(B2450)-YEAR(parametros!$C$2))*12+MONTH(B2450)-MONTH(parametros!$C$2))/12)))))</f>
        <v/>
      </c>
      <c r="D2450" s="394"/>
      <c r="E2450" s="78" t="str">
        <f>IF(C2450="","",IFERROR(VLOOKUP(C2450,parametros!$A$11:$E$15,5,0),""))</f>
        <v/>
      </c>
      <c r="F2450" s="79" t="str">
        <f t="shared" si="192"/>
        <v/>
      </c>
      <c r="G2450" s="395"/>
      <c r="H2450" s="91">
        <f t="shared" si="193"/>
        <v>0</v>
      </c>
      <c r="I2450" s="91" t="str">
        <f t="shared" si="194"/>
        <v/>
      </c>
      <c r="J2450" s="91" t="str">
        <f t="shared" si="195"/>
        <v/>
      </c>
      <c r="K2450" s="92" t="str">
        <f>IF(AND(A2450="",B2450="",D2450="",G2450=""),"",IF(AND(A2450&lt;&gt;"",COUNTIF($A$2:$A$5001,A2450)&gt;1),"NUMERO_PC duplicado",IF(B2450="","DATA_PC vazia",IF(NOT(ISNUMBER(B2450)),"DATA_PC invalida",IF(OR(C2450="",C2450="Fora dos ciclos"),"CICLO_PC nao identificado",IF(OR(D2450="",D2450=0),"VALOR_PC vazio ou zero",IF(AND(G2450&lt;&gt;"Sim",G2450&lt;&gt;"Nao",G2450&lt;&gt;""),"PC_PAGO_A_CONTRATADA invalido",IF(AND(C2450&lt;&gt;"C0",IFERROR(INDEX(parametros!$A$2:$A$6,MATCH(C2450,parametros!$B$2:$B$6,0)),"")="Sim",IFERROR(INDEX(parametros!$H$2:$H$6,MATCH(C2450,parametros!$B$2:$B$6,0)),"")=""),"INICIO_EFEITO ausente: PC "&amp;A2450&amp;" - "&amp;C2450,IF(L2450="","EFEITO_PC nao calculado: PC "&amp;A2450&amp;" - "&amp;C2450,"OK")))))))))</f>
        <v/>
      </c>
      <c r="L2450" s="92" t="str">
        <f>IF(AND(A2450="",B2450="",D2450="",G2450=""),"",IF(OR(B2450="",NOT(ISNUMBER(B2450)),C2450="",C2450="Fora dos ciclos"),"",IF(C2450="C0","Nao",IF(IFERROR(INDEX(parametros!$A$2:$A$6,MATCH(C2450,parametros!$B$2:$B$6,0)),"")&lt;&gt;"Sim","Nao",IF(IFERROR(INDEX(parametros!$H$2:$H$6,MATCH(C2450,parametros!$B$2:$B$6,0)),"")="","",IF(B2450&gt;=IFERROR(INDEX(parametros!$H$2:$H$6,MATCH(C2450,parametros!$B$2:$B$6,0)),""),"Sim","Nao"))))))</f>
        <v/>
      </c>
      <c r="T2450" s="156"/>
      <c r="U2450" s="214" t="str">
        <f t="shared" si="196"/>
        <v/>
      </c>
      <c r="V2450" s="212" t="s">
        <v>50</v>
      </c>
      <c r="W2450" s="100" t="s">
        <v>168</v>
      </c>
      <c r="X2450" s="100" t="s">
        <v>169</v>
      </c>
      <c r="Y2450" s="101" t="s">
        <v>170</v>
      </c>
      <c r="Z2450" s="101" t="s">
        <v>171</v>
      </c>
      <c r="AA2450" s="101" t="s">
        <v>50</v>
      </c>
      <c r="AB2450" s="101" t="s">
        <v>172</v>
      </c>
      <c r="AC2450" s="102" t="s">
        <v>173</v>
      </c>
    </row>
    <row r="2451" spans="1:29" ht="25.5" customHeight="1" x14ac:dyDescent="0.35">
      <c r="A2451" s="392"/>
      <c r="B2451" s="393"/>
      <c r="C2451" s="99" t="str">
        <f>IF(B2451="","",IF(NOT(ISNUMBER(B2451)),"DATA_PC invalida",IF(NOT(ISNUMBER(parametros!$C$2)),"Fora dos ciclos",IF(OR(B2451&lt;parametros!$C$2,(YEAR(B2451)-YEAR(parametros!$C$2))*12+MONTH(B2451)-MONTH(parametros!$C$2)&gt;59),"Fora dos ciclos","C"&amp;INT(((YEAR(B2451)-YEAR(parametros!$C$2))*12+MONTH(B2451)-MONTH(parametros!$C$2))/12)))))</f>
        <v/>
      </c>
      <c r="D2451" s="394"/>
      <c r="E2451" s="78" t="str">
        <f>IF(C2451="","",IFERROR(VLOOKUP(C2451,parametros!$A$11:$E$15,5,0),""))</f>
        <v/>
      </c>
      <c r="F2451" s="79" t="str">
        <f t="shared" si="192"/>
        <v/>
      </c>
      <c r="G2451" s="395"/>
      <c r="H2451" s="91">
        <f t="shared" si="193"/>
        <v>0</v>
      </c>
      <c r="I2451" s="91" t="str">
        <f t="shared" si="194"/>
        <v/>
      </c>
      <c r="J2451" s="91" t="str">
        <f t="shared" si="195"/>
        <v/>
      </c>
      <c r="K2451" s="92" t="str">
        <f>IF(AND(A2451="",B2451="",D2451="",G2451=""),"",IF(AND(A2451&lt;&gt;"",COUNTIF($A$2:$A$5001,A2451)&gt;1),"NUMERO_PC duplicado",IF(B2451="","DATA_PC vazia",IF(NOT(ISNUMBER(B2451)),"DATA_PC invalida",IF(OR(C2451="",C2451="Fora dos ciclos"),"CICLO_PC nao identificado",IF(OR(D2451="",D2451=0),"VALOR_PC vazio ou zero",IF(AND(G2451&lt;&gt;"Sim",G2451&lt;&gt;"Nao",G2451&lt;&gt;""),"PC_PAGO_A_CONTRATADA invalido",IF(AND(C2451&lt;&gt;"C0",IFERROR(INDEX(parametros!$A$2:$A$6,MATCH(C2451,parametros!$B$2:$B$6,0)),"")="Sim",IFERROR(INDEX(parametros!$H$2:$H$6,MATCH(C2451,parametros!$B$2:$B$6,0)),"")=""),"INICIO_EFEITO ausente: PC "&amp;A2451&amp;" - "&amp;C2451,IF(L2451="","EFEITO_PC nao calculado: PC "&amp;A2451&amp;" - "&amp;C2451,"OK")))))))))</f>
        <v/>
      </c>
      <c r="L2451" s="92" t="str">
        <f>IF(AND(A2451="",B2451="",D2451="",G2451=""),"",IF(OR(B2451="",NOT(ISNUMBER(B2451)),C2451="",C2451="Fora dos ciclos"),"",IF(C2451="C0","Nao",IF(IFERROR(INDEX(parametros!$A$2:$A$6,MATCH(C2451,parametros!$B$2:$B$6,0)),"")&lt;&gt;"Sim","Nao",IF(IFERROR(INDEX(parametros!$H$2:$H$6,MATCH(C2451,parametros!$B$2:$B$6,0)),"")="","",IF(B2451&gt;=IFERROR(INDEX(parametros!$H$2:$H$6,MATCH(C2451,parametros!$B$2:$B$6,0)),""),"Sim","Nao"))))))</f>
        <v/>
      </c>
      <c r="T2451" s="156"/>
      <c r="U2451" s="214" t="str">
        <f t="shared" si="196"/>
        <v/>
      </c>
      <c r="V2451" s="212" t="s">
        <v>50</v>
      </c>
      <c r="W2451" s="100" t="s">
        <v>168</v>
      </c>
      <c r="X2451" s="100" t="s">
        <v>169</v>
      </c>
      <c r="Y2451" s="101" t="s">
        <v>170</v>
      </c>
      <c r="Z2451" s="101" t="s">
        <v>171</v>
      </c>
      <c r="AA2451" s="101" t="s">
        <v>50</v>
      </c>
      <c r="AB2451" s="101" t="s">
        <v>172</v>
      </c>
      <c r="AC2451" s="102" t="s">
        <v>173</v>
      </c>
    </row>
    <row r="2452" spans="1:29" ht="25.5" customHeight="1" x14ac:dyDescent="0.35">
      <c r="A2452" s="392"/>
      <c r="B2452" s="393"/>
      <c r="C2452" s="99" t="str">
        <f>IF(B2452="","",IF(NOT(ISNUMBER(B2452)),"DATA_PC invalida",IF(NOT(ISNUMBER(parametros!$C$2)),"Fora dos ciclos",IF(OR(B2452&lt;parametros!$C$2,(YEAR(B2452)-YEAR(parametros!$C$2))*12+MONTH(B2452)-MONTH(parametros!$C$2)&gt;59),"Fora dos ciclos","C"&amp;INT(((YEAR(B2452)-YEAR(parametros!$C$2))*12+MONTH(B2452)-MONTH(parametros!$C$2))/12)))))</f>
        <v/>
      </c>
      <c r="D2452" s="394"/>
      <c r="E2452" s="78" t="str">
        <f>IF(C2452="","",IFERROR(VLOOKUP(C2452,parametros!$A$11:$E$15,5,0),""))</f>
        <v/>
      </c>
      <c r="F2452" s="79" t="str">
        <f t="shared" si="192"/>
        <v/>
      </c>
      <c r="G2452" s="395"/>
      <c r="H2452" s="91">
        <f t="shared" si="193"/>
        <v>0</v>
      </c>
      <c r="I2452" s="91" t="str">
        <f t="shared" si="194"/>
        <v/>
      </c>
      <c r="J2452" s="91" t="str">
        <f t="shared" si="195"/>
        <v/>
      </c>
      <c r="K2452" s="92" t="str">
        <f>IF(AND(A2452="",B2452="",D2452="",G2452=""),"",IF(AND(A2452&lt;&gt;"",COUNTIF($A$2:$A$5001,A2452)&gt;1),"NUMERO_PC duplicado",IF(B2452="","DATA_PC vazia",IF(NOT(ISNUMBER(B2452)),"DATA_PC invalida",IF(OR(C2452="",C2452="Fora dos ciclos"),"CICLO_PC nao identificado",IF(OR(D2452="",D2452=0),"VALOR_PC vazio ou zero",IF(AND(G2452&lt;&gt;"Sim",G2452&lt;&gt;"Nao",G2452&lt;&gt;""),"PC_PAGO_A_CONTRATADA invalido",IF(AND(C2452&lt;&gt;"C0",IFERROR(INDEX(parametros!$A$2:$A$6,MATCH(C2452,parametros!$B$2:$B$6,0)),"")="Sim",IFERROR(INDEX(parametros!$H$2:$H$6,MATCH(C2452,parametros!$B$2:$B$6,0)),"")=""),"INICIO_EFEITO ausente: PC "&amp;A2452&amp;" - "&amp;C2452,IF(L2452="","EFEITO_PC nao calculado: PC "&amp;A2452&amp;" - "&amp;C2452,"OK")))))))))</f>
        <v/>
      </c>
      <c r="L2452" s="92" t="str">
        <f>IF(AND(A2452="",B2452="",D2452="",G2452=""),"",IF(OR(B2452="",NOT(ISNUMBER(B2452)),C2452="",C2452="Fora dos ciclos"),"",IF(C2452="C0","Nao",IF(IFERROR(INDEX(parametros!$A$2:$A$6,MATCH(C2452,parametros!$B$2:$B$6,0)),"")&lt;&gt;"Sim","Nao",IF(IFERROR(INDEX(parametros!$H$2:$H$6,MATCH(C2452,parametros!$B$2:$B$6,0)),"")="","",IF(B2452&gt;=IFERROR(INDEX(parametros!$H$2:$H$6,MATCH(C2452,parametros!$B$2:$B$6,0)),""),"Sim","Nao"))))))</f>
        <v/>
      </c>
      <c r="T2452" s="156"/>
      <c r="U2452" s="214" t="str">
        <f t="shared" si="196"/>
        <v/>
      </c>
      <c r="V2452" s="212" t="s">
        <v>50</v>
      </c>
      <c r="W2452" s="100" t="s">
        <v>168</v>
      </c>
      <c r="X2452" s="100" t="s">
        <v>169</v>
      </c>
      <c r="Y2452" s="101" t="s">
        <v>170</v>
      </c>
      <c r="Z2452" s="101" t="s">
        <v>171</v>
      </c>
      <c r="AA2452" s="101" t="s">
        <v>50</v>
      </c>
      <c r="AB2452" s="101" t="s">
        <v>172</v>
      </c>
      <c r="AC2452" s="102" t="s">
        <v>173</v>
      </c>
    </row>
    <row r="2453" spans="1:29" ht="25.5" customHeight="1" x14ac:dyDescent="0.35">
      <c r="A2453" s="392"/>
      <c r="B2453" s="393"/>
      <c r="C2453" s="99" t="str">
        <f>IF(B2453="","",IF(NOT(ISNUMBER(B2453)),"DATA_PC invalida",IF(NOT(ISNUMBER(parametros!$C$2)),"Fora dos ciclos",IF(OR(B2453&lt;parametros!$C$2,(YEAR(B2453)-YEAR(parametros!$C$2))*12+MONTH(B2453)-MONTH(parametros!$C$2)&gt;59),"Fora dos ciclos","C"&amp;INT(((YEAR(B2453)-YEAR(parametros!$C$2))*12+MONTH(B2453)-MONTH(parametros!$C$2))/12)))))</f>
        <v/>
      </c>
      <c r="D2453" s="394"/>
      <c r="E2453" s="78" t="str">
        <f>IF(C2453="","",IFERROR(VLOOKUP(C2453,parametros!$A$11:$E$15,5,0),""))</f>
        <v/>
      </c>
      <c r="F2453" s="79" t="str">
        <f t="shared" si="192"/>
        <v/>
      </c>
      <c r="G2453" s="395"/>
      <c r="H2453" s="91">
        <f t="shared" si="193"/>
        <v>0</v>
      </c>
      <c r="I2453" s="91" t="str">
        <f t="shared" si="194"/>
        <v/>
      </c>
      <c r="J2453" s="91" t="str">
        <f t="shared" si="195"/>
        <v/>
      </c>
      <c r="K2453" s="92" t="str">
        <f>IF(AND(A2453="",B2453="",D2453="",G2453=""),"",IF(AND(A2453&lt;&gt;"",COUNTIF($A$2:$A$5001,A2453)&gt;1),"NUMERO_PC duplicado",IF(B2453="","DATA_PC vazia",IF(NOT(ISNUMBER(B2453)),"DATA_PC invalida",IF(OR(C2453="",C2453="Fora dos ciclos"),"CICLO_PC nao identificado",IF(OR(D2453="",D2453=0),"VALOR_PC vazio ou zero",IF(AND(G2453&lt;&gt;"Sim",G2453&lt;&gt;"Nao",G2453&lt;&gt;""),"PC_PAGO_A_CONTRATADA invalido",IF(AND(C2453&lt;&gt;"C0",IFERROR(INDEX(parametros!$A$2:$A$6,MATCH(C2453,parametros!$B$2:$B$6,0)),"")="Sim",IFERROR(INDEX(parametros!$H$2:$H$6,MATCH(C2453,parametros!$B$2:$B$6,0)),"")=""),"INICIO_EFEITO ausente: PC "&amp;A2453&amp;" - "&amp;C2453,IF(L2453="","EFEITO_PC nao calculado: PC "&amp;A2453&amp;" - "&amp;C2453,"OK")))))))))</f>
        <v/>
      </c>
      <c r="L2453" s="92" t="str">
        <f>IF(AND(A2453="",B2453="",D2453="",G2453=""),"",IF(OR(B2453="",NOT(ISNUMBER(B2453)),C2453="",C2453="Fora dos ciclos"),"",IF(C2453="C0","Nao",IF(IFERROR(INDEX(parametros!$A$2:$A$6,MATCH(C2453,parametros!$B$2:$B$6,0)),"")&lt;&gt;"Sim","Nao",IF(IFERROR(INDEX(parametros!$H$2:$H$6,MATCH(C2453,parametros!$B$2:$B$6,0)),"")="","",IF(B2453&gt;=IFERROR(INDEX(parametros!$H$2:$H$6,MATCH(C2453,parametros!$B$2:$B$6,0)),""),"Sim","Nao"))))))</f>
        <v/>
      </c>
      <c r="T2453" s="156"/>
      <c r="U2453" s="214" t="str">
        <f t="shared" si="196"/>
        <v/>
      </c>
      <c r="V2453" s="212" t="s">
        <v>50</v>
      </c>
      <c r="W2453" s="100" t="s">
        <v>168</v>
      </c>
      <c r="X2453" s="100" t="s">
        <v>169</v>
      </c>
      <c r="Y2453" s="101" t="s">
        <v>170</v>
      </c>
      <c r="Z2453" s="101" t="s">
        <v>171</v>
      </c>
      <c r="AA2453" s="101" t="s">
        <v>50</v>
      </c>
      <c r="AB2453" s="101" t="s">
        <v>172</v>
      </c>
      <c r="AC2453" s="102" t="s">
        <v>173</v>
      </c>
    </row>
    <row r="2454" spans="1:29" ht="25.5" customHeight="1" x14ac:dyDescent="0.35">
      <c r="A2454" s="392"/>
      <c r="B2454" s="393"/>
      <c r="C2454" s="99" t="str">
        <f>IF(B2454="","",IF(NOT(ISNUMBER(B2454)),"DATA_PC invalida",IF(NOT(ISNUMBER(parametros!$C$2)),"Fora dos ciclos",IF(OR(B2454&lt;parametros!$C$2,(YEAR(B2454)-YEAR(parametros!$C$2))*12+MONTH(B2454)-MONTH(parametros!$C$2)&gt;59),"Fora dos ciclos","C"&amp;INT(((YEAR(B2454)-YEAR(parametros!$C$2))*12+MONTH(B2454)-MONTH(parametros!$C$2))/12)))))</f>
        <v/>
      </c>
      <c r="D2454" s="394"/>
      <c r="E2454" s="78" t="str">
        <f>IF(C2454="","",IFERROR(VLOOKUP(C2454,parametros!$A$11:$E$15,5,0),""))</f>
        <v/>
      </c>
      <c r="F2454" s="79" t="str">
        <f t="shared" si="192"/>
        <v/>
      </c>
      <c r="G2454" s="395"/>
      <c r="H2454" s="91">
        <f t="shared" si="193"/>
        <v>0</v>
      </c>
      <c r="I2454" s="91" t="str">
        <f t="shared" si="194"/>
        <v/>
      </c>
      <c r="J2454" s="91" t="str">
        <f t="shared" si="195"/>
        <v/>
      </c>
      <c r="K2454" s="92" t="str">
        <f>IF(AND(A2454="",B2454="",D2454="",G2454=""),"",IF(AND(A2454&lt;&gt;"",COUNTIF($A$2:$A$5001,A2454)&gt;1),"NUMERO_PC duplicado",IF(B2454="","DATA_PC vazia",IF(NOT(ISNUMBER(B2454)),"DATA_PC invalida",IF(OR(C2454="",C2454="Fora dos ciclos"),"CICLO_PC nao identificado",IF(OR(D2454="",D2454=0),"VALOR_PC vazio ou zero",IF(AND(G2454&lt;&gt;"Sim",G2454&lt;&gt;"Nao",G2454&lt;&gt;""),"PC_PAGO_A_CONTRATADA invalido",IF(AND(C2454&lt;&gt;"C0",IFERROR(INDEX(parametros!$A$2:$A$6,MATCH(C2454,parametros!$B$2:$B$6,0)),"")="Sim",IFERROR(INDEX(parametros!$H$2:$H$6,MATCH(C2454,parametros!$B$2:$B$6,0)),"")=""),"INICIO_EFEITO ausente: PC "&amp;A2454&amp;" - "&amp;C2454,IF(L2454="","EFEITO_PC nao calculado: PC "&amp;A2454&amp;" - "&amp;C2454,"OK")))))))))</f>
        <v/>
      </c>
      <c r="L2454" s="92" t="str">
        <f>IF(AND(A2454="",B2454="",D2454="",G2454=""),"",IF(OR(B2454="",NOT(ISNUMBER(B2454)),C2454="",C2454="Fora dos ciclos"),"",IF(C2454="C0","Nao",IF(IFERROR(INDEX(parametros!$A$2:$A$6,MATCH(C2454,parametros!$B$2:$B$6,0)),"")&lt;&gt;"Sim","Nao",IF(IFERROR(INDEX(parametros!$H$2:$H$6,MATCH(C2454,parametros!$B$2:$B$6,0)),"")="","",IF(B2454&gt;=IFERROR(INDEX(parametros!$H$2:$H$6,MATCH(C2454,parametros!$B$2:$B$6,0)),""),"Sim","Nao"))))))</f>
        <v/>
      </c>
      <c r="T2454" s="156"/>
      <c r="U2454" s="214" t="str">
        <f t="shared" si="196"/>
        <v/>
      </c>
      <c r="V2454" s="212" t="s">
        <v>50</v>
      </c>
      <c r="W2454" s="100" t="s">
        <v>168</v>
      </c>
      <c r="X2454" s="100" t="s">
        <v>169</v>
      </c>
      <c r="Y2454" s="101" t="s">
        <v>170</v>
      </c>
      <c r="Z2454" s="101" t="s">
        <v>171</v>
      </c>
      <c r="AA2454" s="101" t="s">
        <v>50</v>
      </c>
      <c r="AB2454" s="101" t="s">
        <v>172</v>
      </c>
      <c r="AC2454" s="102" t="s">
        <v>173</v>
      </c>
    </row>
    <row r="2455" spans="1:29" ht="25.5" customHeight="1" x14ac:dyDescent="0.35">
      <c r="A2455" s="392"/>
      <c r="B2455" s="393"/>
      <c r="C2455" s="99" t="str">
        <f>IF(B2455="","",IF(NOT(ISNUMBER(B2455)),"DATA_PC invalida",IF(NOT(ISNUMBER(parametros!$C$2)),"Fora dos ciclos",IF(OR(B2455&lt;parametros!$C$2,(YEAR(B2455)-YEAR(parametros!$C$2))*12+MONTH(B2455)-MONTH(parametros!$C$2)&gt;59),"Fora dos ciclos","C"&amp;INT(((YEAR(B2455)-YEAR(parametros!$C$2))*12+MONTH(B2455)-MONTH(parametros!$C$2))/12)))))</f>
        <v/>
      </c>
      <c r="D2455" s="394"/>
      <c r="E2455" s="78" t="str">
        <f>IF(C2455="","",IFERROR(VLOOKUP(C2455,parametros!$A$11:$E$15,5,0),""))</f>
        <v/>
      </c>
      <c r="F2455" s="79" t="str">
        <f t="shared" si="192"/>
        <v/>
      </c>
      <c r="G2455" s="395"/>
      <c r="H2455" s="91">
        <f t="shared" si="193"/>
        <v>0</v>
      </c>
      <c r="I2455" s="91" t="str">
        <f t="shared" si="194"/>
        <v/>
      </c>
      <c r="J2455" s="91" t="str">
        <f t="shared" si="195"/>
        <v/>
      </c>
      <c r="K2455" s="92" t="str">
        <f>IF(AND(A2455="",B2455="",D2455="",G2455=""),"",IF(AND(A2455&lt;&gt;"",COUNTIF($A$2:$A$5001,A2455)&gt;1),"NUMERO_PC duplicado",IF(B2455="","DATA_PC vazia",IF(NOT(ISNUMBER(B2455)),"DATA_PC invalida",IF(OR(C2455="",C2455="Fora dos ciclos"),"CICLO_PC nao identificado",IF(OR(D2455="",D2455=0),"VALOR_PC vazio ou zero",IF(AND(G2455&lt;&gt;"Sim",G2455&lt;&gt;"Nao",G2455&lt;&gt;""),"PC_PAGO_A_CONTRATADA invalido",IF(AND(C2455&lt;&gt;"C0",IFERROR(INDEX(parametros!$A$2:$A$6,MATCH(C2455,parametros!$B$2:$B$6,0)),"")="Sim",IFERROR(INDEX(parametros!$H$2:$H$6,MATCH(C2455,parametros!$B$2:$B$6,0)),"")=""),"INICIO_EFEITO ausente: PC "&amp;A2455&amp;" - "&amp;C2455,IF(L2455="","EFEITO_PC nao calculado: PC "&amp;A2455&amp;" - "&amp;C2455,"OK")))))))))</f>
        <v/>
      </c>
      <c r="L2455" s="92" t="str">
        <f>IF(AND(A2455="",B2455="",D2455="",G2455=""),"",IF(OR(B2455="",NOT(ISNUMBER(B2455)),C2455="",C2455="Fora dos ciclos"),"",IF(C2455="C0","Nao",IF(IFERROR(INDEX(parametros!$A$2:$A$6,MATCH(C2455,parametros!$B$2:$B$6,0)),"")&lt;&gt;"Sim","Nao",IF(IFERROR(INDEX(parametros!$H$2:$H$6,MATCH(C2455,parametros!$B$2:$B$6,0)),"")="","",IF(B2455&gt;=IFERROR(INDEX(parametros!$H$2:$H$6,MATCH(C2455,parametros!$B$2:$B$6,0)),""),"Sim","Nao"))))))</f>
        <v/>
      </c>
      <c r="T2455" s="156"/>
      <c r="U2455" s="214" t="str">
        <f t="shared" si="196"/>
        <v/>
      </c>
      <c r="V2455" s="212" t="s">
        <v>50</v>
      </c>
      <c r="W2455" s="100" t="s">
        <v>168</v>
      </c>
      <c r="X2455" s="100" t="s">
        <v>169</v>
      </c>
      <c r="Y2455" s="101" t="s">
        <v>170</v>
      </c>
      <c r="Z2455" s="101" t="s">
        <v>171</v>
      </c>
      <c r="AA2455" s="101" t="s">
        <v>50</v>
      </c>
      <c r="AB2455" s="101" t="s">
        <v>172</v>
      </c>
      <c r="AC2455" s="102" t="s">
        <v>173</v>
      </c>
    </row>
    <row r="2456" spans="1:29" ht="25.5" customHeight="1" x14ac:dyDescent="0.35">
      <c r="A2456" s="392"/>
      <c r="B2456" s="393"/>
      <c r="C2456" s="99" t="str">
        <f>IF(B2456="","",IF(NOT(ISNUMBER(B2456)),"DATA_PC invalida",IF(NOT(ISNUMBER(parametros!$C$2)),"Fora dos ciclos",IF(OR(B2456&lt;parametros!$C$2,(YEAR(B2456)-YEAR(parametros!$C$2))*12+MONTH(B2456)-MONTH(parametros!$C$2)&gt;59),"Fora dos ciclos","C"&amp;INT(((YEAR(B2456)-YEAR(parametros!$C$2))*12+MONTH(B2456)-MONTH(parametros!$C$2))/12)))))</f>
        <v/>
      </c>
      <c r="D2456" s="394"/>
      <c r="E2456" s="78" t="str">
        <f>IF(C2456="","",IFERROR(VLOOKUP(C2456,parametros!$A$11:$E$15,5,0),""))</f>
        <v/>
      </c>
      <c r="F2456" s="79" t="str">
        <f t="shared" si="192"/>
        <v/>
      </c>
      <c r="G2456" s="395"/>
      <c r="H2456" s="91">
        <f t="shared" si="193"/>
        <v>0</v>
      </c>
      <c r="I2456" s="91" t="str">
        <f t="shared" si="194"/>
        <v/>
      </c>
      <c r="J2456" s="91" t="str">
        <f t="shared" si="195"/>
        <v/>
      </c>
      <c r="K2456" s="92" t="str">
        <f>IF(AND(A2456="",B2456="",D2456="",G2456=""),"",IF(AND(A2456&lt;&gt;"",COUNTIF($A$2:$A$5001,A2456)&gt;1),"NUMERO_PC duplicado",IF(B2456="","DATA_PC vazia",IF(NOT(ISNUMBER(B2456)),"DATA_PC invalida",IF(OR(C2456="",C2456="Fora dos ciclos"),"CICLO_PC nao identificado",IF(OR(D2456="",D2456=0),"VALOR_PC vazio ou zero",IF(AND(G2456&lt;&gt;"Sim",G2456&lt;&gt;"Nao",G2456&lt;&gt;""),"PC_PAGO_A_CONTRATADA invalido",IF(AND(C2456&lt;&gt;"C0",IFERROR(INDEX(parametros!$A$2:$A$6,MATCH(C2456,parametros!$B$2:$B$6,0)),"")="Sim",IFERROR(INDEX(parametros!$H$2:$H$6,MATCH(C2456,parametros!$B$2:$B$6,0)),"")=""),"INICIO_EFEITO ausente: PC "&amp;A2456&amp;" - "&amp;C2456,IF(L2456="","EFEITO_PC nao calculado: PC "&amp;A2456&amp;" - "&amp;C2456,"OK")))))))))</f>
        <v/>
      </c>
      <c r="L2456" s="92" t="str">
        <f>IF(AND(A2456="",B2456="",D2456="",G2456=""),"",IF(OR(B2456="",NOT(ISNUMBER(B2456)),C2456="",C2456="Fora dos ciclos"),"",IF(C2456="C0","Nao",IF(IFERROR(INDEX(parametros!$A$2:$A$6,MATCH(C2456,parametros!$B$2:$B$6,0)),"")&lt;&gt;"Sim","Nao",IF(IFERROR(INDEX(parametros!$H$2:$H$6,MATCH(C2456,parametros!$B$2:$B$6,0)),"")="","",IF(B2456&gt;=IFERROR(INDEX(parametros!$H$2:$H$6,MATCH(C2456,parametros!$B$2:$B$6,0)),""),"Sim","Nao"))))))</f>
        <v/>
      </c>
      <c r="T2456" s="156"/>
      <c r="U2456" s="214" t="str">
        <f t="shared" si="196"/>
        <v/>
      </c>
      <c r="V2456" s="212" t="s">
        <v>50</v>
      </c>
      <c r="W2456" s="100" t="s">
        <v>168</v>
      </c>
      <c r="X2456" s="100" t="s">
        <v>169</v>
      </c>
      <c r="Y2456" s="101" t="s">
        <v>170</v>
      </c>
      <c r="Z2456" s="101" t="s">
        <v>171</v>
      </c>
      <c r="AA2456" s="101" t="s">
        <v>50</v>
      </c>
      <c r="AB2456" s="101" t="s">
        <v>172</v>
      </c>
      <c r="AC2456" s="102" t="s">
        <v>173</v>
      </c>
    </row>
    <row r="2457" spans="1:29" ht="25.5" customHeight="1" x14ac:dyDescent="0.35">
      <c r="A2457" s="392"/>
      <c r="B2457" s="393"/>
      <c r="C2457" s="99" t="str">
        <f>IF(B2457="","",IF(NOT(ISNUMBER(B2457)),"DATA_PC invalida",IF(NOT(ISNUMBER(parametros!$C$2)),"Fora dos ciclos",IF(OR(B2457&lt;parametros!$C$2,(YEAR(B2457)-YEAR(parametros!$C$2))*12+MONTH(B2457)-MONTH(parametros!$C$2)&gt;59),"Fora dos ciclos","C"&amp;INT(((YEAR(B2457)-YEAR(parametros!$C$2))*12+MONTH(B2457)-MONTH(parametros!$C$2))/12)))))</f>
        <v/>
      </c>
      <c r="D2457" s="394"/>
      <c r="E2457" s="78" t="str">
        <f>IF(C2457="","",IFERROR(VLOOKUP(C2457,parametros!$A$11:$E$15,5,0),""))</f>
        <v/>
      </c>
      <c r="F2457" s="79" t="str">
        <f t="shared" si="192"/>
        <v/>
      </c>
      <c r="G2457" s="395"/>
      <c r="H2457" s="91">
        <f t="shared" si="193"/>
        <v>0</v>
      </c>
      <c r="I2457" s="91" t="str">
        <f t="shared" si="194"/>
        <v/>
      </c>
      <c r="J2457" s="91" t="str">
        <f t="shared" si="195"/>
        <v/>
      </c>
      <c r="K2457" s="92" t="str">
        <f>IF(AND(A2457="",B2457="",D2457="",G2457=""),"",IF(AND(A2457&lt;&gt;"",COUNTIF($A$2:$A$5001,A2457)&gt;1),"NUMERO_PC duplicado",IF(B2457="","DATA_PC vazia",IF(NOT(ISNUMBER(B2457)),"DATA_PC invalida",IF(OR(C2457="",C2457="Fora dos ciclos"),"CICLO_PC nao identificado",IF(OR(D2457="",D2457=0),"VALOR_PC vazio ou zero",IF(AND(G2457&lt;&gt;"Sim",G2457&lt;&gt;"Nao",G2457&lt;&gt;""),"PC_PAGO_A_CONTRATADA invalido",IF(AND(C2457&lt;&gt;"C0",IFERROR(INDEX(parametros!$A$2:$A$6,MATCH(C2457,parametros!$B$2:$B$6,0)),"")="Sim",IFERROR(INDEX(parametros!$H$2:$H$6,MATCH(C2457,parametros!$B$2:$B$6,0)),"")=""),"INICIO_EFEITO ausente: PC "&amp;A2457&amp;" - "&amp;C2457,IF(L2457="","EFEITO_PC nao calculado: PC "&amp;A2457&amp;" - "&amp;C2457,"OK")))))))))</f>
        <v/>
      </c>
      <c r="L2457" s="92" t="str">
        <f>IF(AND(A2457="",B2457="",D2457="",G2457=""),"",IF(OR(B2457="",NOT(ISNUMBER(B2457)),C2457="",C2457="Fora dos ciclos"),"",IF(C2457="C0","Nao",IF(IFERROR(INDEX(parametros!$A$2:$A$6,MATCH(C2457,parametros!$B$2:$B$6,0)),"")&lt;&gt;"Sim","Nao",IF(IFERROR(INDEX(parametros!$H$2:$H$6,MATCH(C2457,parametros!$B$2:$B$6,0)),"")="","",IF(B2457&gt;=IFERROR(INDEX(parametros!$H$2:$H$6,MATCH(C2457,parametros!$B$2:$B$6,0)),""),"Sim","Nao"))))))</f>
        <v/>
      </c>
      <c r="T2457" s="156"/>
      <c r="U2457" s="214" t="str">
        <f t="shared" si="196"/>
        <v/>
      </c>
      <c r="V2457" s="212" t="s">
        <v>50</v>
      </c>
      <c r="W2457" s="100" t="s">
        <v>168</v>
      </c>
      <c r="X2457" s="100" t="s">
        <v>169</v>
      </c>
      <c r="Y2457" s="101" t="s">
        <v>170</v>
      </c>
      <c r="Z2457" s="101" t="s">
        <v>171</v>
      </c>
      <c r="AA2457" s="101" t="s">
        <v>50</v>
      </c>
      <c r="AB2457" s="101" t="s">
        <v>172</v>
      </c>
      <c r="AC2457" s="102" t="s">
        <v>173</v>
      </c>
    </row>
    <row r="2458" spans="1:29" ht="25.5" customHeight="1" x14ac:dyDescent="0.35">
      <c r="A2458" s="392"/>
      <c r="B2458" s="393"/>
      <c r="C2458" s="99" t="str">
        <f>IF(B2458="","",IF(NOT(ISNUMBER(B2458)),"DATA_PC invalida",IF(NOT(ISNUMBER(parametros!$C$2)),"Fora dos ciclos",IF(OR(B2458&lt;parametros!$C$2,(YEAR(B2458)-YEAR(parametros!$C$2))*12+MONTH(B2458)-MONTH(parametros!$C$2)&gt;59),"Fora dos ciclos","C"&amp;INT(((YEAR(B2458)-YEAR(parametros!$C$2))*12+MONTH(B2458)-MONTH(parametros!$C$2))/12)))))</f>
        <v/>
      </c>
      <c r="D2458" s="394"/>
      <c r="E2458" s="78" t="str">
        <f>IF(C2458="","",IFERROR(VLOOKUP(C2458,parametros!$A$11:$E$15,5,0),""))</f>
        <v/>
      </c>
      <c r="F2458" s="79" t="str">
        <f t="shared" si="192"/>
        <v/>
      </c>
      <c r="G2458" s="395"/>
      <c r="H2458" s="91">
        <f t="shared" si="193"/>
        <v>0</v>
      </c>
      <c r="I2458" s="91" t="str">
        <f t="shared" si="194"/>
        <v/>
      </c>
      <c r="J2458" s="91" t="str">
        <f t="shared" si="195"/>
        <v/>
      </c>
      <c r="K2458" s="92" t="str">
        <f>IF(AND(A2458="",B2458="",D2458="",G2458=""),"",IF(AND(A2458&lt;&gt;"",COUNTIF($A$2:$A$5001,A2458)&gt;1),"NUMERO_PC duplicado",IF(B2458="","DATA_PC vazia",IF(NOT(ISNUMBER(B2458)),"DATA_PC invalida",IF(OR(C2458="",C2458="Fora dos ciclos"),"CICLO_PC nao identificado",IF(OR(D2458="",D2458=0),"VALOR_PC vazio ou zero",IF(AND(G2458&lt;&gt;"Sim",G2458&lt;&gt;"Nao",G2458&lt;&gt;""),"PC_PAGO_A_CONTRATADA invalido",IF(AND(C2458&lt;&gt;"C0",IFERROR(INDEX(parametros!$A$2:$A$6,MATCH(C2458,parametros!$B$2:$B$6,0)),"")="Sim",IFERROR(INDEX(parametros!$H$2:$H$6,MATCH(C2458,parametros!$B$2:$B$6,0)),"")=""),"INICIO_EFEITO ausente: PC "&amp;A2458&amp;" - "&amp;C2458,IF(L2458="","EFEITO_PC nao calculado: PC "&amp;A2458&amp;" - "&amp;C2458,"OK")))))))))</f>
        <v/>
      </c>
      <c r="L2458" s="92" t="str">
        <f>IF(AND(A2458="",B2458="",D2458="",G2458=""),"",IF(OR(B2458="",NOT(ISNUMBER(B2458)),C2458="",C2458="Fora dos ciclos"),"",IF(C2458="C0","Nao",IF(IFERROR(INDEX(parametros!$A$2:$A$6,MATCH(C2458,parametros!$B$2:$B$6,0)),"")&lt;&gt;"Sim","Nao",IF(IFERROR(INDEX(parametros!$H$2:$H$6,MATCH(C2458,parametros!$B$2:$B$6,0)),"")="","",IF(B2458&gt;=IFERROR(INDEX(parametros!$H$2:$H$6,MATCH(C2458,parametros!$B$2:$B$6,0)),""),"Sim","Nao"))))))</f>
        <v/>
      </c>
      <c r="T2458" s="156"/>
      <c r="U2458" s="214" t="str">
        <f t="shared" si="196"/>
        <v/>
      </c>
      <c r="V2458" s="212" t="s">
        <v>50</v>
      </c>
      <c r="W2458" s="100" t="s">
        <v>168</v>
      </c>
      <c r="X2458" s="100" t="s">
        <v>169</v>
      </c>
      <c r="Y2458" s="101" t="s">
        <v>170</v>
      </c>
      <c r="Z2458" s="101" t="s">
        <v>171</v>
      </c>
      <c r="AA2458" s="101" t="s">
        <v>50</v>
      </c>
      <c r="AB2458" s="101" t="s">
        <v>172</v>
      </c>
      <c r="AC2458" s="102" t="s">
        <v>173</v>
      </c>
    </row>
    <row r="2459" spans="1:29" ht="25.5" customHeight="1" x14ac:dyDescent="0.35">
      <c r="A2459" s="392"/>
      <c r="B2459" s="393"/>
      <c r="C2459" s="99" t="str">
        <f>IF(B2459="","",IF(NOT(ISNUMBER(B2459)),"DATA_PC invalida",IF(NOT(ISNUMBER(parametros!$C$2)),"Fora dos ciclos",IF(OR(B2459&lt;parametros!$C$2,(YEAR(B2459)-YEAR(parametros!$C$2))*12+MONTH(B2459)-MONTH(parametros!$C$2)&gt;59),"Fora dos ciclos","C"&amp;INT(((YEAR(B2459)-YEAR(parametros!$C$2))*12+MONTH(B2459)-MONTH(parametros!$C$2))/12)))))</f>
        <v/>
      </c>
      <c r="D2459" s="394"/>
      <c r="E2459" s="78" t="str">
        <f>IF(C2459="","",IFERROR(VLOOKUP(C2459,parametros!$A$11:$E$15,5,0),""))</f>
        <v/>
      </c>
      <c r="F2459" s="79" t="str">
        <f t="shared" si="192"/>
        <v/>
      </c>
      <c r="G2459" s="395"/>
      <c r="H2459" s="91">
        <f t="shared" si="193"/>
        <v>0</v>
      </c>
      <c r="I2459" s="91" t="str">
        <f t="shared" si="194"/>
        <v/>
      </c>
      <c r="J2459" s="91" t="str">
        <f t="shared" si="195"/>
        <v/>
      </c>
      <c r="K2459" s="92" t="str">
        <f>IF(AND(A2459="",B2459="",D2459="",G2459=""),"",IF(AND(A2459&lt;&gt;"",COUNTIF($A$2:$A$5001,A2459)&gt;1),"NUMERO_PC duplicado",IF(B2459="","DATA_PC vazia",IF(NOT(ISNUMBER(B2459)),"DATA_PC invalida",IF(OR(C2459="",C2459="Fora dos ciclos"),"CICLO_PC nao identificado",IF(OR(D2459="",D2459=0),"VALOR_PC vazio ou zero",IF(AND(G2459&lt;&gt;"Sim",G2459&lt;&gt;"Nao",G2459&lt;&gt;""),"PC_PAGO_A_CONTRATADA invalido",IF(AND(C2459&lt;&gt;"C0",IFERROR(INDEX(parametros!$A$2:$A$6,MATCH(C2459,parametros!$B$2:$B$6,0)),"")="Sim",IFERROR(INDEX(parametros!$H$2:$H$6,MATCH(C2459,parametros!$B$2:$B$6,0)),"")=""),"INICIO_EFEITO ausente: PC "&amp;A2459&amp;" - "&amp;C2459,IF(L2459="","EFEITO_PC nao calculado: PC "&amp;A2459&amp;" - "&amp;C2459,"OK")))))))))</f>
        <v/>
      </c>
      <c r="L2459" s="92" t="str">
        <f>IF(AND(A2459="",B2459="",D2459="",G2459=""),"",IF(OR(B2459="",NOT(ISNUMBER(B2459)),C2459="",C2459="Fora dos ciclos"),"",IF(C2459="C0","Nao",IF(IFERROR(INDEX(parametros!$A$2:$A$6,MATCH(C2459,parametros!$B$2:$B$6,0)),"")&lt;&gt;"Sim","Nao",IF(IFERROR(INDEX(parametros!$H$2:$H$6,MATCH(C2459,parametros!$B$2:$B$6,0)),"")="","",IF(B2459&gt;=IFERROR(INDEX(parametros!$H$2:$H$6,MATCH(C2459,parametros!$B$2:$B$6,0)),""),"Sim","Nao"))))))</f>
        <v/>
      </c>
      <c r="T2459" s="156"/>
      <c r="U2459" s="214" t="str">
        <f t="shared" si="196"/>
        <v/>
      </c>
      <c r="V2459" s="212" t="s">
        <v>50</v>
      </c>
      <c r="W2459" s="100" t="s">
        <v>168</v>
      </c>
      <c r="X2459" s="100" t="s">
        <v>169</v>
      </c>
      <c r="Y2459" s="101" t="s">
        <v>170</v>
      </c>
      <c r="Z2459" s="101" t="s">
        <v>171</v>
      </c>
      <c r="AA2459" s="101" t="s">
        <v>50</v>
      </c>
      <c r="AB2459" s="101" t="s">
        <v>172</v>
      </c>
      <c r="AC2459" s="102" t="s">
        <v>173</v>
      </c>
    </row>
    <row r="2460" spans="1:29" ht="25.5" customHeight="1" x14ac:dyDescent="0.35">
      <c r="A2460" s="392"/>
      <c r="B2460" s="393"/>
      <c r="C2460" s="99" t="str">
        <f>IF(B2460="","",IF(NOT(ISNUMBER(B2460)),"DATA_PC invalida",IF(NOT(ISNUMBER(parametros!$C$2)),"Fora dos ciclos",IF(OR(B2460&lt;parametros!$C$2,(YEAR(B2460)-YEAR(parametros!$C$2))*12+MONTH(B2460)-MONTH(parametros!$C$2)&gt;59),"Fora dos ciclos","C"&amp;INT(((YEAR(B2460)-YEAR(parametros!$C$2))*12+MONTH(B2460)-MONTH(parametros!$C$2))/12)))))</f>
        <v/>
      </c>
      <c r="D2460" s="394"/>
      <c r="E2460" s="78" t="str">
        <f>IF(C2460="","",IFERROR(VLOOKUP(C2460,parametros!$A$11:$E$15,5,0),""))</f>
        <v/>
      </c>
      <c r="F2460" s="79" t="str">
        <f t="shared" si="192"/>
        <v/>
      </c>
      <c r="G2460" s="395"/>
      <c r="H2460" s="91">
        <f t="shared" si="193"/>
        <v>0</v>
      </c>
      <c r="I2460" s="91" t="str">
        <f t="shared" si="194"/>
        <v/>
      </c>
      <c r="J2460" s="91" t="str">
        <f t="shared" si="195"/>
        <v/>
      </c>
      <c r="K2460" s="92" t="str">
        <f>IF(AND(A2460="",B2460="",D2460="",G2460=""),"",IF(AND(A2460&lt;&gt;"",COUNTIF($A$2:$A$5001,A2460)&gt;1),"NUMERO_PC duplicado",IF(B2460="","DATA_PC vazia",IF(NOT(ISNUMBER(B2460)),"DATA_PC invalida",IF(OR(C2460="",C2460="Fora dos ciclos"),"CICLO_PC nao identificado",IF(OR(D2460="",D2460=0),"VALOR_PC vazio ou zero",IF(AND(G2460&lt;&gt;"Sim",G2460&lt;&gt;"Nao",G2460&lt;&gt;""),"PC_PAGO_A_CONTRATADA invalido",IF(AND(C2460&lt;&gt;"C0",IFERROR(INDEX(parametros!$A$2:$A$6,MATCH(C2460,parametros!$B$2:$B$6,0)),"")="Sim",IFERROR(INDEX(parametros!$H$2:$H$6,MATCH(C2460,parametros!$B$2:$B$6,0)),"")=""),"INICIO_EFEITO ausente: PC "&amp;A2460&amp;" - "&amp;C2460,IF(L2460="","EFEITO_PC nao calculado: PC "&amp;A2460&amp;" - "&amp;C2460,"OK")))))))))</f>
        <v/>
      </c>
      <c r="L2460" s="92" t="str">
        <f>IF(AND(A2460="",B2460="",D2460="",G2460=""),"",IF(OR(B2460="",NOT(ISNUMBER(B2460)),C2460="",C2460="Fora dos ciclos"),"",IF(C2460="C0","Nao",IF(IFERROR(INDEX(parametros!$A$2:$A$6,MATCH(C2460,parametros!$B$2:$B$6,0)),"")&lt;&gt;"Sim","Nao",IF(IFERROR(INDEX(parametros!$H$2:$H$6,MATCH(C2460,parametros!$B$2:$B$6,0)),"")="","",IF(B2460&gt;=IFERROR(INDEX(parametros!$H$2:$H$6,MATCH(C2460,parametros!$B$2:$B$6,0)),""),"Sim","Nao"))))))</f>
        <v/>
      </c>
      <c r="T2460" s="156"/>
      <c r="U2460" s="214" t="str">
        <f t="shared" si="196"/>
        <v/>
      </c>
      <c r="V2460" s="212" t="s">
        <v>50</v>
      </c>
      <c r="W2460" s="100" t="s">
        <v>168</v>
      </c>
      <c r="X2460" s="100" t="s">
        <v>169</v>
      </c>
      <c r="Y2460" s="101" t="s">
        <v>170</v>
      </c>
      <c r="Z2460" s="101" t="s">
        <v>171</v>
      </c>
      <c r="AA2460" s="101" t="s">
        <v>50</v>
      </c>
      <c r="AB2460" s="101" t="s">
        <v>172</v>
      </c>
      <c r="AC2460" s="102" t="s">
        <v>173</v>
      </c>
    </row>
    <row r="2461" spans="1:29" ht="25.5" customHeight="1" x14ac:dyDescent="0.35">
      <c r="A2461" s="392"/>
      <c r="B2461" s="393"/>
      <c r="C2461" s="99" t="str">
        <f>IF(B2461="","",IF(NOT(ISNUMBER(B2461)),"DATA_PC invalida",IF(NOT(ISNUMBER(parametros!$C$2)),"Fora dos ciclos",IF(OR(B2461&lt;parametros!$C$2,(YEAR(B2461)-YEAR(parametros!$C$2))*12+MONTH(B2461)-MONTH(parametros!$C$2)&gt;59),"Fora dos ciclos","C"&amp;INT(((YEAR(B2461)-YEAR(parametros!$C$2))*12+MONTH(B2461)-MONTH(parametros!$C$2))/12)))))</f>
        <v/>
      </c>
      <c r="D2461" s="394"/>
      <c r="E2461" s="78" t="str">
        <f>IF(C2461="","",IFERROR(VLOOKUP(C2461,parametros!$A$11:$E$15,5,0),""))</f>
        <v/>
      </c>
      <c r="F2461" s="79" t="str">
        <f t="shared" si="192"/>
        <v/>
      </c>
      <c r="G2461" s="395"/>
      <c r="H2461" s="91">
        <f t="shared" si="193"/>
        <v>0</v>
      </c>
      <c r="I2461" s="91" t="str">
        <f t="shared" si="194"/>
        <v/>
      </c>
      <c r="J2461" s="91" t="str">
        <f t="shared" si="195"/>
        <v/>
      </c>
      <c r="K2461" s="92" t="str">
        <f>IF(AND(A2461="",B2461="",D2461="",G2461=""),"",IF(AND(A2461&lt;&gt;"",COUNTIF($A$2:$A$5001,A2461)&gt;1),"NUMERO_PC duplicado",IF(B2461="","DATA_PC vazia",IF(NOT(ISNUMBER(B2461)),"DATA_PC invalida",IF(OR(C2461="",C2461="Fora dos ciclos"),"CICLO_PC nao identificado",IF(OR(D2461="",D2461=0),"VALOR_PC vazio ou zero",IF(AND(G2461&lt;&gt;"Sim",G2461&lt;&gt;"Nao",G2461&lt;&gt;""),"PC_PAGO_A_CONTRATADA invalido",IF(AND(C2461&lt;&gt;"C0",IFERROR(INDEX(parametros!$A$2:$A$6,MATCH(C2461,parametros!$B$2:$B$6,0)),"")="Sim",IFERROR(INDEX(parametros!$H$2:$H$6,MATCH(C2461,parametros!$B$2:$B$6,0)),"")=""),"INICIO_EFEITO ausente: PC "&amp;A2461&amp;" - "&amp;C2461,IF(L2461="","EFEITO_PC nao calculado: PC "&amp;A2461&amp;" - "&amp;C2461,"OK")))))))))</f>
        <v/>
      </c>
      <c r="L2461" s="92" t="str">
        <f>IF(AND(A2461="",B2461="",D2461="",G2461=""),"",IF(OR(B2461="",NOT(ISNUMBER(B2461)),C2461="",C2461="Fora dos ciclos"),"",IF(C2461="C0","Nao",IF(IFERROR(INDEX(parametros!$A$2:$A$6,MATCH(C2461,parametros!$B$2:$B$6,0)),"")&lt;&gt;"Sim","Nao",IF(IFERROR(INDEX(parametros!$H$2:$H$6,MATCH(C2461,parametros!$B$2:$B$6,0)),"")="","",IF(B2461&gt;=IFERROR(INDEX(parametros!$H$2:$H$6,MATCH(C2461,parametros!$B$2:$B$6,0)),""),"Sim","Nao"))))))</f>
        <v/>
      </c>
      <c r="T2461" s="156"/>
      <c r="U2461" s="214" t="str">
        <f t="shared" si="196"/>
        <v/>
      </c>
      <c r="V2461" s="212" t="s">
        <v>50</v>
      </c>
      <c r="W2461" s="100" t="s">
        <v>168</v>
      </c>
      <c r="X2461" s="100" t="s">
        <v>169</v>
      </c>
      <c r="Y2461" s="101" t="s">
        <v>170</v>
      </c>
      <c r="Z2461" s="101" t="s">
        <v>171</v>
      </c>
      <c r="AA2461" s="101" t="s">
        <v>50</v>
      </c>
      <c r="AB2461" s="101" t="s">
        <v>172</v>
      </c>
      <c r="AC2461" s="102" t="s">
        <v>173</v>
      </c>
    </row>
    <row r="2462" spans="1:29" ht="25.5" customHeight="1" x14ac:dyDescent="0.35">
      <c r="A2462" s="392"/>
      <c r="B2462" s="393"/>
      <c r="C2462" s="99" t="str">
        <f>IF(B2462="","",IF(NOT(ISNUMBER(B2462)),"DATA_PC invalida",IF(NOT(ISNUMBER(parametros!$C$2)),"Fora dos ciclos",IF(OR(B2462&lt;parametros!$C$2,(YEAR(B2462)-YEAR(parametros!$C$2))*12+MONTH(B2462)-MONTH(parametros!$C$2)&gt;59),"Fora dos ciclos","C"&amp;INT(((YEAR(B2462)-YEAR(parametros!$C$2))*12+MONTH(B2462)-MONTH(parametros!$C$2))/12)))))</f>
        <v/>
      </c>
      <c r="D2462" s="394"/>
      <c r="E2462" s="78" t="str">
        <f>IF(C2462="","",IFERROR(VLOOKUP(C2462,parametros!$A$11:$E$15,5,0),""))</f>
        <v/>
      </c>
      <c r="F2462" s="79" t="str">
        <f t="shared" si="192"/>
        <v/>
      </c>
      <c r="G2462" s="395"/>
      <c r="H2462" s="91">
        <f t="shared" si="193"/>
        <v>0</v>
      </c>
      <c r="I2462" s="91" t="str">
        <f t="shared" si="194"/>
        <v/>
      </c>
      <c r="J2462" s="91" t="str">
        <f t="shared" si="195"/>
        <v/>
      </c>
      <c r="K2462" s="92" t="str">
        <f>IF(AND(A2462="",B2462="",D2462="",G2462=""),"",IF(AND(A2462&lt;&gt;"",COUNTIF($A$2:$A$5001,A2462)&gt;1),"NUMERO_PC duplicado",IF(B2462="","DATA_PC vazia",IF(NOT(ISNUMBER(B2462)),"DATA_PC invalida",IF(OR(C2462="",C2462="Fora dos ciclos"),"CICLO_PC nao identificado",IF(OR(D2462="",D2462=0),"VALOR_PC vazio ou zero",IF(AND(G2462&lt;&gt;"Sim",G2462&lt;&gt;"Nao",G2462&lt;&gt;""),"PC_PAGO_A_CONTRATADA invalido",IF(AND(C2462&lt;&gt;"C0",IFERROR(INDEX(parametros!$A$2:$A$6,MATCH(C2462,parametros!$B$2:$B$6,0)),"")="Sim",IFERROR(INDEX(parametros!$H$2:$H$6,MATCH(C2462,parametros!$B$2:$B$6,0)),"")=""),"INICIO_EFEITO ausente: PC "&amp;A2462&amp;" - "&amp;C2462,IF(L2462="","EFEITO_PC nao calculado: PC "&amp;A2462&amp;" - "&amp;C2462,"OK")))))))))</f>
        <v/>
      </c>
      <c r="L2462" s="92" t="str">
        <f>IF(AND(A2462="",B2462="",D2462="",G2462=""),"",IF(OR(B2462="",NOT(ISNUMBER(B2462)),C2462="",C2462="Fora dos ciclos"),"",IF(C2462="C0","Nao",IF(IFERROR(INDEX(parametros!$A$2:$A$6,MATCH(C2462,parametros!$B$2:$B$6,0)),"")&lt;&gt;"Sim","Nao",IF(IFERROR(INDEX(parametros!$H$2:$H$6,MATCH(C2462,parametros!$B$2:$B$6,0)),"")="","",IF(B2462&gt;=IFERROR(INDEX(parametros!$H$2:$H$6,MATCH(C2462,parametros!$B$2:$B$6,0)),""),"Sim","Nao"))))))</f>
        <v/>
      </c>
      <c r="T2462" s="156"/>
      <c r="U2462" s="214" t="str">
        <f t="shared" si="196"/>
        <v/>
      </c>
      <c r="V2462" s="212" t="s">
        <v>50</v>
      </c>
      <c r="W2462" s="100" t="s">
        <v>168</v>
      </c>
      <c r="X2462" s="100" t="s">
        <v>169</v>
      </c>
      <c r="Y2462" s="101" t="s">
        <v>170</v>
      </c>
      <c r="Z2462" s="101" t="s">
        <v>171</v>
      </c>
      <c r="AA2462" s="101" t="s">
        <v>50</v>
      </c>
      <c r="AB2462" s="101" t="s">
        <v>172</v>
      </c>
      <c r="AC2462" s="102" t="s">
        <v>173</v>
      </c>
    </row>
    <row r="2463" spans="1:29" ht="25.5" customHeight="1" x14ac:dyDescent="0.35">
      <c r="A2463" s="392"/>
      <c r="B2463" s="393"/>
      <c r="C2463" s="99" t="str">
        <f>IF(B2463="","",IF(NOT(ISNUMBER(B2463)),"DATA_PC invalida",IF(NOT(ISNUMBER(parametros!$C$2)),"Fora dos ciclos",IF(OR(B2463&lt;parametros!$C$2,(YEAR(B2463)-YEAR(parametros!$C$2))*12+MONTH(B2463)-MONTH(parametros!$C$2)&gt;59),"Fora dos ciclos","C"&amp;INT(((YEAR(B2463)-YEAR(parametros!$C$2))*12+MONTH(B2463)-MONTH(parametros!$C$2))/12)))))</f>
        <v/>
      </c>
      <c r="D2463" s="394"/>
      <c r="E2463" s="78" t="str">
        <f>IF(C2463="","",IFERROR(VLOOKUP(C2463,parametros!$A$11:$E$15,5,0),""))</f>
        <v/>
      </c>
      <c r="F2463" s="79" t="str">
        <f t="shared" si="192"/>
        <v/>
      </c>
      <c r="G2463" s="395"/>
      <c r="H2463" s="91">
        <f t="shared" si="193"/>
        <v>0</v>
      </c>
      <c r="I2463" s="91" t="str">
        <f t="shared" si="194"/>
        <v/>
      </c>
      <c r="J2463" s="91" t="str">
        <f t="shared" si="195"/>
        <v/>
      </c>
      <c r="K2463" s="92" t="str">
        <f>IF(AND(A2463="",B2463="",D2463="",G2463=""),"",IF(AND(A2463&lt;&gt;"",COUNTIF($A$2:$A$5001,A2463)&gt;1),"NUMERO_PC duplicado",IF(B2463="","DATA_PC vazia",IF(NOT(ISNUMBER(B2463)),"DATA_PC invalida",IF(OR(C2463="",C2463="Fora dos ciclos"),"CICLO_PC nao identificado",IF(OR(D2463="",D2463=0),"VALOR_PC vazio ou zero",IF(AND(G2463&lt;&gt;"Sim",G2463&lt;&gt;"Nao",G2463&lt;&gt;""),"PC_PAGO_A_CONTRATADA invalido",IF(AND(C2463&lt;&gt;"C0",IFERROR(INDEX(parametros!$A$2:$A$6,MATCH(C2463,parametros!$B$2:$B$6,0)),"")="Sim",IFERROR(INDEX(parametros!$H$2:$H$6,MATCH(C2463,parametros!$B$2:$B$6,0)),"")=""),"INICIO_EFEITO ausente: PC "&amp;A2463&amp;" - "&amp;C2463,IF(L2463="","EFEITO_PC nao calculado: PC "&amp;A2463&amp;" - "&amp;C2463,"OK")))))))))</f>
        <v/>
      </c>
      <c r="L2463" s="92" t="str">
        <f>IF(AND(A2463="",B2463="",D2463="",G2463=""),"",IF(OR(B2463="",NOT(ISNUMBER(B2463)),C2463="",C2463="Fora dos ciclos"),"",IF(C2463="C0","Nao",IF(IFERROR(INDEX(parametros!$A$2:$A$6,MATCH(C2463,parametros!$B$2:$B$6,0)),"")&lt;&gt;"Sim","Nao",IF(IFERROR(INDEX(parametros!$H$2:$H$6,MATCH(C2463,parametros!$B$2:$B$6,0)),"")="","",IF(B2463&gt;=IFERROR(INDEX(parametros!$H$2:$H$6,MATCH(C2463,parametros!$B$2:$B$6,0)),""),"Sim","Nao"))))))</f>
        <v/>
      </c>
      <c r="T2463" s="156"/>
      <c r="U2463" s="214" t="str">
        <f t="shared" si="196"/>
        <v/>
      </c>
      <c r="V2463" s="212" t="s">
        <v>50</v>
      </c>
      <c r="W2463" s="100" t="s">
        <v>168</v>
      </c>
      <c r="X2463" s="100" t="s">
        <v>169</v>
      </c>
      <c r="Y2463" s="101" t="s">
        <v>170</v>
      </c>
      <c r="Z2463" s="101" t="s">
        <v>171</v>
      </c>
      <c r="AA2463" s="101" t="s">
        <v>50</v>
      </c>
      <c r="AB2463" s="101" t="s">
        <v>172</v>
      </c>
      <c r="AC2463" s="102" t="s">
        <v>173</v>
      </c>
    </row>
    <row r="2464" spans="1:29" ht="25.5" customHeight="1" x14ac:dyDescent="0.35">
      <c r="A2464" s="392"/>
      <c r="B2464" s="393"/>
      <c r="C2464" s="99" t="str">
        <f>IF(B2464="","",IF(NOT(ISNUMBER(B2464)),"DATA_PC invalida",IF(NOT(ISNUMBER(parametros!$C$2)),"Fora dos ciclos",IF(OR(B2464&lt;parametros!$C$2,(YEAR(B2464)-YEAR(parametros!$C$2))*12+MONTH(B2464)-MONTH(parametros!$C$2)&gt;59),"Fora dos ciclos","C"&amp;INT(((YEAR(B2464)-YEAR(parametros!$C$2))*12+MONTH(B2464)-MONTH(parametros!$C$2))/12)))))</f>
        <v/>
      </c>
      <c r="D2464" s="394"/>
      <c r="E2464" s="78" t="str">
        <f>IF(C2464="","",IFERROR(VLOOKUP(C2464,parametros!$A$11:$E$15,5,0),""))</f>
        <v/>
      </c>
      <c r="F2464" s="79" t="str">
        <f t="shared" si="192"/>
        <v/>
      </c>
      <c r="G2464" s="395"/>
      <c r="H2464" s="91">
        <f t="shared" si="193"/>
        <v>0</v>
      </c>
      <c r="I2464" s="91" t="str">
        <f t="shared" si="194"/>
        <v/>
      </c>
      <c r="J2464" s="91" t="str">
        <f t="shared" si="195"/>
        <v/>
      </c>
      <c r="K2464" s="92" t="str">
        <f>IF(AND(A2464="",B2464="",D2464="",G2464=""),"",IF(AND(A2464&lt;&gt;"",COUNTIF($A$2:$A$5001,A2464)&gt;1),"NUMERO_PC duplicado",IF(B2464="","DATA_PC vazia",IF(NOT(ISNUMBER(B2464)),"DATA_PC invalida",IF(OR(C2464="",C2464="Fora dos ciclos"),"CICLO_PC nao identificado",IF(OR(D2464="",D2464=0),"VALOR_PC vazio ou zero",IF(AND(G2464&lt;&gt;"Sim",G2464&lt;&gt;"Nao",G2464&lt;&gt;""),"PC_PAGO_A_CONTRATADA invalido",IF(AND(C2464&lt;&gt;"C0",IFERROR(INDEX(parametros!$A$2:$A$6,MATCH(C2464,parametros!$B$2:$B$6,0)),"")="Sim",IFERROR(INDEX(parametros!$H$2:$H$6,MATCH(C2464,parametros!$B$2:$B$6,0)),"")=""),"INICIO_EFEITO ausente: PC "&amp;A2464&amp;" - "&amp;C2464,IF(L2464="","EFEITO_PC nao calculado: PC "&amp;A2464&amp;" - "&amp;C2464,"OK")))))))))</f>
        <v/>
      </c>
      <c r="L2464" s="92" t="str">
        <f>IF(AND(A2464="",B2464="",D2464="",G2464=""),"",IF(OR(B2464="",NOT(ISNUMBER(B2464)),C2464="",C2464="Fora dos ciclos"),"",IF(C2464="C0","Nao",IF(IFERROR(INDEX(parametros!$A$2:$A$6,MATCH(C2464,parametros!$B$2:$B$6,0)),"")&lt;&gt;"Sim","Nao",IF(IFERROR(INDEX(parametros!$H$2:$H$6,MATCH(C2464,parametros!$B$2:$B$6,0)),"")="","",IF(B2464&gt;=IFERROR(INDEX(parametros!$H$2:$H$6,MATCH(C2464,parametros!$B$2:$B$6,0)),""),"Sim","Nao"))))))</f>
        <v/>
      </c>
      <c r="T2464" s="156"/>
      <c r="U2464" s="214" t="str">
        <f t="shared" si="196"/>
        <v/>
      </c>
      <c r="V2464" s="212" t="s">
        <v>50</v>
      </c>
      <c r="W2464" s="100" t="s">
        <v>168</v>
      </c>
      <c r="X2464" s="100" t="s">
        <v>169</v>
      </c>
      <c r="Y2464" s="101" t="s">
        <v>170</v>
      </c>
      <c r="Z2464" s="101" t="s">
        <v>171</v>
      </c>
      <c r="AA2464" s="101" t="s">
        <v>50</v>
      </c>
      <c r="AB2464" s="101" t="s">
        <v>172</v>
      </c>
      <c r="AC2464" s="102" t="s">
        <v>173</v>
      </c>
    </row>
    <row r="2465" spans="1:29" ht="25.5" customHeight="1" x14ac:dyDescent="0.35">
      <c r="A2465" s="392"/>
      <c r="B2465" s="393"/>
      <c r="C2465" s="99" t="str">
        <f>IF(B2465="","",IF(NOT(ISNUMBER(B2465)),"DATA_PC invalida",IF(NOT(ISNUMBER(parametros!$C$2)),"Fora dos ciclos",IF(OR(B2465&lt;parametros!$C$2,(YEAR(B2465)-YEAR(parametros!$C$2))*12+MONTH(B2465)-MONTH(parametros!$C$2)&gt;59),"Fora dos ciclos","C"&amp;INT(((YEAR(B2465)-YEAR(parametros!$C$2))*12+MONTH(B2465)-MONTH(parametros!$C$2))/12)))))</f>
        <v/>
      </c>
      <c r="D2465" s="394"/>
      <c r="E2465" s="78" t="str">
        <f>IF(C2465="","",IFERROR(VLOOKUP(C2465,parametros!$A$11:$E$15,5,0),""))</f>
        <v/>
      </c>
      <c r="F2465" s="79" t="str">
        <f t="shared" si="192"/>
        <v/>
      </c>
      <c r="G2465" s="395"/>
      <c r="H2465" s="91">
        <f t="shared" si="193"/>
        <v>0</v>
      </c>
      <c r="I2465" s="91" t="str">
        <f t="shared" si="194"/>
        <v/>
      </c>
      <c r="J2465" s="91" t="str">
        <f t="shared" si="195"/>
        <v/>
      </c>
      <c r="K2465" s="92" t="str">
        <f>IF(AND(A2465="",B2465="",D2465="",G2465=""),"",IF(AND(A2465&lt;&gt;"",COUNTIF($A$2:$A$5001,A2465)&gt;1),"NUMERO_PC duplicado",IF(B2465="","DATA_PC vazia",IF(NOT(ISNUMBER(B2465)),"DATA_PC invalida",IF(OR(C2465="",C2465="Fora dos ciclos"),"CICLO_PC nao identificado",IF(OR(D2465="",D2465=0),"VALOR_PC vazio ou zero",IF(AND(G2465&lt;&gt;"Sim",G2465&lt;&gt;"Nao",G2465&lt;&gt;""),"PC_PAGO_A_CONTRATADA invalido",IF(AND(C2465&lt;&gt;"C0",IFERROR(INDEX(parametros!$A$2:$A$6,MATCH(C2465,parametros!$B$2:$B$6,0)),"")="Sim",IFERROR(INDEX(parametros!$H$2:$H$6,MATCH(C2465,parametros!$B$2:$B$6,0)),"")=""),"INICIO_EFEITO ausente: PC "&amp;A2465&amp;" - "&amp;C2465,IF(L2465="","EFEITO_PC nao calculado: PC "&amp;A2465&amp;" - "&amp;C2465,"OK")))))))))</f>
        <v/>
      </c>
      <c r="L2465" s="92" t="str">
        <f>IF(AND(A2465="",B2465="",D2465="",G2465=""),"",IF(OR(B2465="",NOT(ISNUMBER(B2465)),C2465="",C2465="Fora dos ciclos"),"",IF(C2465="C0","Nao",IF(IFERROR(INDEX(parametros!$A$2:$A$6,MATCH(C2465,parametros!$B$2:$B$6,0)),"")&lt;&gt;"Sim","Nao",IF(IFERROR(INDEX(parametros!$H$2:$H$6,MATCH(C2465,parametros!$B$2:$B$6,0)),"")="","",IF(B2465&gt;=IFERROR(INDEX(parametros!$H$2:$H$6,MATCH(C2465,parametros!$B$2:$B$6,0)),""),"Sim","Nao"))))))</f>
        <v/>
      </c>
      <c r="T2465" s="156"/>
      <c r="U2465" s="214" t="str">
        <f t="shared" si="196"/>
        <v/>
      </c>
      <c r="V2465" s="212" t="s">
        <v>50</v>
      </c>
      <c r="W2465" s="100" t="s">
        <v>168</v>
      </c>
      <c r="X2465" s="100" t="s">
        <v>169</v>
      </c>
      <c r="Y2465" s="101" t="s">
        <v>170</v>
      </c>
      <c r="Z2465" s="101" t="s">
        <v>171</v>
      </c>
      <c r="AA2465" s="101" t="s">
        <v>50</v>
      </c>
      <c r="AB2465" s="101" t="s">
        <v>172</v>
      </c>
      <c r="AC2465" s="102" t="s">
        <v>173</v>
      </c>
    </row>
    <row r="2466" spans="1:29" ht="25.5" customHeight="1" x14ac:dyDescent="0.35">
      <c r="A2466" s="392"/>
      <c r="B2466" s="393"/>
      <c r="C2466" s="99" t="str">
        <f>IF(B2466="","",IF(NOT(ISNUMBER(B2466)),"DATA_PC invalida",IF(NOT(ISNUMBER(parametros!$C$2)),"Fora dos ciclos",IF(OR(B2466&lt;parametros!$C$2,(YEAR(B2466)-YEAR(parametros!$C$2))*12+MONTH(B2466)-MONTH(parametros!$C$2)&gt;59),"Fora dos ciclos","C"&amp;INT(((YEAR(B2466)-YEAR(parametros!$C$2))*12+MONTH(B2466)-MONTH(parametros!$C$2))/12)))))</f>
        <v/>
      </c>
      <c r="D2466" s="394"/>
      <c r="E2466" s="78" t="str">
        <f>IF(C2466="","",IFERROR(VLOOKUP(C2466,parametros!$A$11:$E$15,5,0),""))</f>
        <v/>
      </c>
      <c r="F2466" s="79" t="str">
        <f t="shared" si="192"/>
        <v/>
      </c>
      <c r="G2466" s="395"/>
      <c r="H2466" s="91">
        <f t="shared" si="193"/>
        <v>0</v>
      </c>
      <c r="I2466" s="91" t="str">
        <f t="shared" si="194"/>
        <v/>
      </c>
      <c r="J2466" s="91" t="str">
        <f t="shared" si="195"/>
        <v/>
      </c>
      <c r="K2466" s="92" t="str">
        <f>IF(AND(A2466="",B2466="",D2466="",G2466=""),"",IF(AND(A2466&lt;&gt;"",COUNTIF($A$2:$A$5001,A2466)&gt;1),"NUMERO_PC duplicado",IF(B2466="","DATA_PC vazia",IF(NOT(ISNUMBER(B2466)),"DATA_PC invalida",IF(OR(C2466="",C2466="Fora dos ciclos"),"CICLO_PC nao identificado",IF(OR(D2466="",D2466=0),"VALOR_PC vazio ou zero",IF(AND(G2466&lt;&gt;"Sim",G2466&lt;&gt;"Nao",G2466&lt;&gt;""),"PC_PAGO_A_CONTRATADA invalido",IF(AND(C2466&lt;&gt;"C0",IFERROR(INDEX(parametros!$A$2:$A$6,MATCH(C2466,parametros!$B$2:$B$6,0)),"")="Sim",IFERROR(INDEX(parametros!$H$2:$H$6,MATCH(C2466,parametros!$B$2:$B$6,0)),"")=""),"INICIO_EFEITO ausente: PC "&amp;A2466&amp;" - "&amp;C2466,IF(L2466="","EFEITO_PC nao calculado: PC "&amp;A2466&amp;" - "&amp;C2466,"OK")))))))))</f>
        <v/>
      </c>
      <c r="L2466" s="92" t="str">
        <f>IF(AND(A2466="",B2466="",D2466="",G2466=""),"",IF(OR(B2466="",NOT(ISNUMBER(B2466)),C2466="",C2466="Fora dos ciclos"),"",IF(C2466="C0","Nao",IF(IFERROR(INDEX(parametros!$A$2:$A$6,MATCH(C2466,parametros!$B$2:$B$6,0)),"")&lt;&gt;"Sim","Nao",IF(IFERROR(INDEX(parametros!$H$2:$H$6,MATCH(C2466,parametros!$B$2:$B$6,0)),"")="","",IF(B2466&gt;=IFERROR(INDEX(parametros!$H$2:$H$6,MATCH(C2466,parametros!$B$2:$B$6,0)),""),"Sim","Nao"))))))</f>
        <v/>
      </c>
      <c r="T2466" s="156"/>
      <c r="U2466" s="214" t="str">
        <f t="shared" si="196"/>
        <v/>
      </c>
      <c r="V2466" s="212" t="s">
        <v>50</v>
      </c>
      <c r="W2466" s="100" t="s">
        <v>168</v>
      </c>
      <c r="X2466" s="100" t="s">
        <v>169</v>
      </c>
      <c r="Y2466" s="101" t="s">
        <v>170</v>
      </c>
      <c r="Z2466" s="101" t="s">
        <v>171</v>
      </c>
      <c r="AA2466" s="101" t="s">
        <v>50</v>
      </c>
      <c r="AB2466" s="101" t="s">
        <v>172</v>
      </c>
      <c r="AC2466" s="102" t="s">
        <v>173</v>
      </c>
    </row>
    <row r="2467" spans="1:29" ht="25.5" customHeight="1" x14ac:dyDescent="0.35">
      <c r="A2467" s="392"/>
      <c r="B2467" s="393"/>
      <c r="C2467" s="99" t="str">
        <f>IF(B2467="","",IF(NOT(ISNUMBER(B2467)),"DATA_PC invalida",IF(NOT(ISNUMBER(parametros!$C$2)),"Fora dos ciclos",IF(OR(B2467&lt;parametros!$C$2,(YEAR(B2467)-YEAR(parametros!$C$2))*12+MONTH(B2467)-MONTH(parametros!$C$2)&gt;59),"Fora dos ciclos","C"&amp;INT(((YEAR(B2467)-YEAR(parametros!$C$2))*12+MONTH(B2467)-MONTH(parametros!$C$2))/12)))))</f>
        <v/>
      </c>
      <c r="D2467" s="394"/>
      <c r="E2467" s="78" t="str">
        <f>IF(C2467="","",IFERROR(VLOOKUP(C2467,parametros!$A$11:$E$15,5,0),""))</f>
        <v/>
      </c>
      <c r="F2467" s="79" t="str">
        <f t="shared" si="192"/>
        <v/>
      </c>
      <c r="G2467" s="395"/>
      <c r="H2467" s="91">
        <f t="shared" si="193"/>
        <v>0</v>
      </c>
      <c r="I2467" s="91" t="str">
        <f t="shared" si="194"/>
        <v/>
      </c>
      <c r="J2467" s="91" t="str">
        <f t="shared" si="195"/>
        <v/>
      </c>
      <c r="K2467" s="92" t="str">
        <f>IF(AND(A2467="",B2467="",D2467="",G2467=""),"",IF(AND(A2467&lt;&gt;"",COUNTIF($A$2:$A$5001,A2467)&gt;1),"NUMERO_PC duplicado",IF(B2467="","DATA_PC vazia",IF(NOT(ISNUMBER(B2467)),"DATA_PC invalida",IF(OR(C2467="",C2467="Fora dos ciclos"),"CICLO_PC nao identificado",IF(OR(D2467="",D2467=0),"VALOR_PC vazio ou zero",IF(AND(G2467&lt;&gt;"Sim",G2467&lt;&gt;"Nao",G2467&lt;&gt;""),"PC_PAGO_A_CONTRATADA invalido",IF(AND(C2467&lt;&gt;"C0",IFERROR(INDEX(parametros!$A$2:$A$6,MATCH(C2467,parametros!$B$2:$B$6,0)),"")="Sim",IFERROR(INDEX(parametros!$H$2:$H$6,MATCH(C2467,parametros!$B$2:$B$6,0)),"")=""),"INICIO_EFEITO ausente: PC "&amp;A2467&amp;" - "&amp;C2467,IF(L2467="","EFEITO_PC nao calculado: PC "&amp;A2467&amp;" - "&amp;C2467,"OK")))))))))</f>
        <v/>
      </c>
      <c r="L2467" s="92" t="str">
        <f>IF(AND(A2467="",B2467="",D2467="",G2467=""),"",IF(OR(B2467="",NOT(ISNUMBER(B2467)),C2467="",C2467="Fora dos ciclos"),"",IF(C2467="C0","Nao",IF(IFERROR(INDEX(parametros!$A$2:$A$6,MATCH(C2467,parametros!$B$2:$B$6,0)),"")&lt;&gt;"Sim","Nao",IF(IFERROR(INDEX(parametros!$H$2:$H$6,MATCH(C2467,parametros!$B$2:$B$6,0)),"")="","",IF(B2467&gt;=IFERROR(INDEX(parametros!$H$2:$H$6,MATCH(C2467,parametros!$B$2:$B$6,0)),""),"Sim","Nao"))))))</f>
        <v/>
      </c>
      <c r="T2467" s="156"/>
      <c r="U2467" s="214" t="str">
        <f t="shared" si="196"/>
        <v/>
      </c>
      <c r="V2467" s="212" t="s">
        <v>50</v>
      </c>
      <c r="W2467" s="100" t="s">
        <v>168</v>
      </c>
      <c r="X2467" s="100" t="s">
        <v>169</v>
      </c>
      <c r="Y2467" s="101" t="s">
        <v>170</v>
      </c>
      <c r="Z2467" s="101" t="s">
        <v>171</v>
      </c>
      <c r="AA2467" s="101" t="s">
        <v>50</v>
      </c>
      <c r="AB2467" s="101" t="s">
        <v>172</v>
      </c>
      <c r="AC2467" s="102" t="s">
        <v>173</v>
      </c>
    </row>
    <row r="2468" spans="1:29" ht="25.5" customHeight="1" x14ac:dyDescent="0.35">
      <c r="A2468" s="392"/>
      <c r="B2468" s="393"/>
      <c r="C2468" s="99" t="str">
        <f>IF(B2468="","",IF(NOT(ISNUMBER(B2468)),"DATA_PC invalida",IF(NOT(ISNUMBER(parametros!$C$2)),"Fora dos ciclos",IF(OR(B2468&lt;parametros!$C$2,(YEAR(B2468)-YEAR(parametros!$C$2))*12+MONTH(B2468)-MONTH(parametros!$C$2)&gt;59),"Fora dos ciclos","C"&amp;INT(((YEAR(B2468)-YEAR(parametros!$C$2))*12+MONTH(B2468)-MONTH(parametros!$C$2))/12)))))</f>
        <v/>
      </c>
      <c r="D2468" s="394"/>
      <c r="E2468" s="78" t="str">
        <f>IF(C2468="","",IFERROR(VLOOKUP(C2468,parametros!$A$11:$E$15,5,0),""))</f>
        <v/>
      </c>
      <c r="F2468" s="79" t="str">
        <f t="shared" si="192"/>
        <v/>
      </c>
      <c r="G2468" s="395"/>
      <c r="H2468" s="91">
        <f t="shared" si="193"/>
        <v>0</v>
      </c>
      <c r="I2468" s="91" t="str">
        <f t="shared" si="194"/>
        <v/>
      </c>
      <c r="J2468" s="91" t="str">
        <f t="shared" si="195"/>
        <v/>
      </c>
      <c r="K2468" s="92" t="str">
        <f>IF(AND(A2468="",B2468="",D2468="",G2468=""),"",IF(AND(A2468&lt;&gt;"",COUNTIF($A$2:$A$5001,A2468)&gt;1),"NUMERO_PC duplicado",IF(B2468="","DATA_PC vazia",IF(NOT(ISNUMBER(B2468)),"DATA_PC invalida",IF(OR(C2468="",C2468="Fora dos ciclos"),"CICLO_PC nao identificado",IF(OR(D2468="",D2468=0),"VALOR_PC vazio ou zero",IF(AND(G2468&lt;&gt;"Sim",G2468&lt;&gt;"Nao",G2468&lt;&gt;""),"PC_PAGO_A_CONTRATADA invalido",IF(AND(C2468&lt;&gt;"C0",IFERROR(INDEX(parametros!$A$2:$A$6,MATCH(C2468,parametros!$B$2:$B$6,0)),"")="Sim",IFERROR(INDEX(parametros!$H$2:$H$6,MATCH(C2468,parametros!$B$2:$B$6,0)),"")=""),"INICIO_EFEITO ausente: PC "&amp;A2468&amp;" - "&amp;C2468,IF(L2468="","EFEITO_PC nao calculado: PC "&amp;A2468&amp;" - "&amp;C2468,"OK")))))))))</f>
        <v/>
      </c>
      <c r="L2468" s="92" t="str">
        <f>IF(AND(A2468="",B2468="",D2468="",G2468=""),"",IF(OR(B2468="",NOT(ISNUMBER(B2468)),C2468="",C2468="Fora dos ciclos"),"",IF(C2468="C0","Nao",IF(IFERROR(INDEX(parametros!$A$2:$A$6,MATCH(C2468,parametros!$B$2:$B$6,0)),"")&lt;&gt;"Sim","Nao",IF(IFERROR(INDEX(parametros!$H$2:$H$6,MATCH(C2468,parametros!$B$2:$B$6,0)),"")="","",IF(B2468&gt;=IFERROR(INDEX(parametros!$H$2:$H$6,MATCH(C2468,parametros!$B$2:$B$6,0)),""),"Sim","Nao"))))))</f>
        <v/>
      </c>
      <c r="T2468" s="156"/>
      <c r="U2468" s="214" t="str">
        <f t="shared" si="196"/>
        <v/>
      </c>
      <c r="V2468" s="212" t="s">
        <v>50</v>
      </c>
      <c r="W2468" s="100" t="s">
        <v>168</v>
      </c>
      <c r="X2468" s="100" t="s">
        <v>169</v>
      </c>
      <c r="Y2468" s="101" t="s">
        <v>170</v>
      </c>
      <c r="Z2468" s="101" t="s">
        <v>171</v>
      </c>
      <c r="AA2468" s="101" t="s">
        <v>50</v>
      </c>
      <c r="AB2468" s="101" t="s">
        <v>172</v>
      </c>
      <c r="AC2468" s="102" t="s">
        <v>173</v>
      </c>
    </row>
    <row r="2469" spans="1:29" ht="25.5" customHeight="1" x14ac:dyDescent="0.35">
      <c r="A2469" s="392"/>
      <c r="B2469" s="393"/>
      <c r="C2469" s="99" t="str">
        <f>IF(B2469="","",IF(NOT(ISNUMBER(B2469)),"DATA_PC invalida",IF(NOT(ISNUMBER(parametros!$C$2)),"Fora dos ciclos",IF(OR(B2469&lt;parametros!$C$2,(YEAR(B2469)-YEAR(parametros!$C$2))*12+MONTH(B2469)-MONTH(parametros!$C$2)&gt;59),"Fora dos ciclos","C"&amp;INT(((YEAR(B2469)-YEAR(parametros!$C$2))*12+MONTH(B2469)-MONTH(parametros!$C$2))/12)))))</f>
        <v/>
      </c>
      <c r="D2469" s="394"/>
      <c r="E2469" s="78" t="str">
        <f>IF(C2469="","",IFERROR(VLOOKUP(C2469,parametros!$A$11:$E$15,5,0),""))</f>
        <v/>
      </c>
      <c r="F2469" s="79" t="str">
        <f t="shared" si="192"/>
        <v/>
      </c>
      <c r="G2469" s="395"/>
      <c r="H2469" s="91">
        <f t="shared" si="193"/>
        <v>0</v>
      </c>
      <c r="I2469" s="91" t="str">
        <f t="shared" si="194"/>
        <v/>
      </c>
      <c r="J2469" s="91" t="str">
        <f t="shared" si="195"/>
        <v/>
      </c>
      <c r="K2469" s="92" t="str">
        <f>IF(AND(A2469="",B2469="",D2469="",G2469=""),"",IF(AND(A2469&lt;&gt;"",COUNTIF($A$2:$A$5001,A2469)&gt;1),"NUMERO_PC duplicado",IF(B2469="","DATA_PC vazia",IF(NOT(ISNUMBER(B2469)),"DATA_PC invalida",IF(OR(C2469="",C2469="Fora dos ciclos"),"CICLO_PC nao identificado",IF(OR(D2469="",D2469=0),"VALOR_PC vazio ou zero",IF(AND(G2469&lt;&gt;"Sim",G2469&lt;&gt;"Nao",G2469&lt;&gt;""),"PC_PAGO_A_CONTRATADA invalido",IF(AND(C2469&lt;&gt;"C0",IFERROR(INDEX(parametros!$A$2:$A$6,MATCH(C2469,parametros!$B$2:$B$6,0)),"")="Sim",IFERROR(INDEX(parametros!$H$2:$H$6,MATCH(C2469,parametros!$B$2:$B$6,0)),"")=""),"INICIO_EFEITO ausente: PC "&amp;A2469&amp;" - "&amp;C2469,IF(L2469="","EFEITO_PC nao calculado: PC "&amp;A2469&amp;" - "&amp;C2469,"OK")))))))))</f>
        <v/>
      </c>
      <c r="L2469" s="92" t="str">
        <f>IF(AND(A2469="",B2469="",D2469="",G2469=""),"",IF(OR(B2469="",NOT(ISNUMBER(B2469)),C2469="",C2469="Fora dos ciclos"),"",IF(C2469="C0","Nao",IF(IFERROR(INDEX(parametros!$A$2:$A$6,MATCH(C2469,parametros!$B$2:$B$6,0)),"")&lt;&gt;"Sim","Nao",IF(IFERROR(INDEX(parametros!$H$2:$H$6,MATCH(C2469,parametros!$B$2:$B$6,0)),"")="","",IF(B2469&gt;=IFERROR(INDEX(parametros!$H$2:$H$6,MATCH(C2469,parametros!$B$2:$B$6,0)),""),"Sim","Nao"))))))</f>
        <v/>
      </c>
      <c r="T2469" s="156"/>
      <c r="U2469" s="214" t="str">
        <f t="shared" si="196"/>
        <v/>
      </c>
      <c r="V2469" s="212" t="s">
        <v>50</v>
      </c>
      <c r="W2469" s="100" t="s">
        <v>168</v>
      </c>
      <c r="X2469" s="100" t="s">
        <v>169</v>
      </c>
      <c r="Y2469" s="101" t="s">
        <v>170</v>
      </c>
      <c r="Z2469" s="101" t="s">
        <v>171</v>
      </c>
      <c r="AA2469" s="101" t="s">
        <v>50</v>
      </c>
      <c r="AB2469" s="101" t="s">
        <v>172</v>
      </c>
      <c r="AC2469" s="102" t="s">
        <v>173</v>
      </c>
    </row>
    <row r="2470" spans="1:29" ht="25.5" customHeight="1" x14ac:dyDescent="0.35">
      <c r="A2470" s="392"/>
      <c r="B2470" s="393"/>
      <c r="C2470" s="99" t="str">
        <f>IF(B2470="","",IF(NOT(ISNUMBER(B2470)),"DATA_PC invalida",IF(NOT(ISNUMBER(parametros!$C$2)),"Fora dos ciclos",IF(OR(B2470&lt;parametros!$C$2,(YEAR(B2470)-YEAR(parametros!$C$2))*12+MONTH(B2470)-MONTH(parametros!$C$2)&gt;59),"Fora dos ciclos","C"&amp;INT(((YEAR(B2470)-YEAR(parametros!$C$2))*12+MONTH(B2470)-MONTH(parametros!$C$2))/12)))))</f>
        <v/>
      </c>
      <c r="D2470" s="394"/>
      <c r="E2470" s="78" t="str">
        <f>IF(C2470="","",IFERROR(VLOOKUP(C2470,parametros!$A$11:$E$15,5,0),""))</f>
        <v/>
      </c>
      <c r="F2470" s="79" t="str">
        <f t="shared" si="192"/>
        <v/>
      </c>
      <c r="G2470" s="395"/>
      <c r="H2470" s="91">
        <f t="shared" si="193"/>
        <v>0</v>
      </c>
      <c r="I2470" s="91" t="str">
        <f t="shared" si="194"/>
        <v/>
      </c>
      <c r="J2470" s="91" t="str">
        <f t="shared" si="195"/>
        <v/>
      </c>
      <c r="K2470" s="92" t="str">
        <f>IF(AND(A2470="",B2470="",D2470="",G2470=""),"",IF(AND(A2470&lt;&gt;"",COUNTIF($A$2:$A$5001,A2470)&gt;1),"NUMERO_PC duplicado",IF(B2470="","DATA_PC vazia",IF(NOT(ISNUMBER(B2470)),"DATA_PC invalida",IF(OR(C2470="",C2470="Fora dos ciclos"),"CICLO_PC nao identificado",IF(OR(D2470="",D2470=0),"VALOR_PC vazio ou zero",IF(AND(G2470&lt;&gt;"Sim",G2470&lt;&gt;"Nao",G2470&lt;&gt;""),"PC_PAGO_A_CONTRATADA invalido",IF(AND(C2470&lt;&gt;"C0",IFERROR(INDEX(parametros!$A$2:$A$6,MATCH(C2470,parametros!$B$2:$B$6,0)),"")="Sim",IFERROR(INDEX(parametros!$H$2:$H$6,MATCH(C2470,parametros!$B$2:$B$6,0)),"")=""),"INICIO_EFEITO ausente: PC "&amp;A2470&amp;" - "&amp;C2470,IF(L2470="","EFEITO_PC nao calculado: PC "&amp;A2470&amp;" - "&amp;C2470,"OK")))))))))</f>
        <v/>
      </c>
      <c r="L2470" s="92" t="str">
        <f>IF(AND(A2470="",B2470="",D2470="",G2470=""),"",IF(OR(B2470="",NOT(ISNUMBER(B2470)),C2470="",C2470="Fora dos ciclos"),"",IF(C2470="C0","Nao",IF(IFERROR(INDEX(parametros!$A$2:$A$6,MATCH(C2470,parametros!$B$2:$B$6,0)),"")&lt;&gt;"Sim","Nao",IF(IFERROR(INDEX(parametros!$H$2:$H$6,MATCH(C2470,parametros!$B$2:$B$6,0)),"")="","",IF(B2470&gt;=IFERROR(INDEX(parametros!$H$2:$H$6,MATCH(C2470,parametros!$B$2:$B$6,0)),""),"Sim","Nao"))))))</f>
        <v/>
      </c>
      <c r="T2470" s="156"/>
      <c r="U2470" s="214" t="str">
        <f t="shared" si="196"/>
        <v/>
      </c>
      <c r="V2470" s="212" t="s">
        <v>50</v>
      </c>
      <c r="W2470" s="100" t="s">
        <v>168</v>
      </c>
      <c r="X2470" s="100" t="s">
        <v>169</v>
      </c>
      <c r="Y2470" s="101" t="s">
        <v>170</v>
      </c>
      <c r="Z2470" s="101" t="s">
        <v>171</v>
      </c>
      <c r="AA2470" s="101" t="s">
        <v>50</v>
      </c>
      <c r="AB2470" s="101" t="s">
        <v>172</v>
      </c>
      <c r="AC2470" s="102" t="s">
        <v>173</v>
      </c>
    </row>
    <row r="2471" spans="1:29" ht="25.5" customHeight="1" x14ac:dyDescent="0.35">
      <c r="A2471" s="392"/>
      <c r="B2471" s="393"/>
      <c r="C2471" s="99" t="str">
        <f>IF(B2471="","",IF(NOT(ISNUMBER(B2471)),"DATA_PC invalida",IF(NOT(ISNUMBER(parametros!$C$2)),"Fora dos ciclos",IF(OR(B2471&lt;parametros!$C$2,(YEAR(B2471)-YEAR(parametros!$C$2))*12+MONTH(B2471)-MONTH(parametros!$C$2)&gt;59),"Fora dos ciclos","C"&amp;INT(((YEAR(B2471)-YEAR(parametros!$C$2))*12+MONTH(B2471)-MONTH(parametros!$C$2))/12)))))</f>
        <v/>
      </c>
      <c r="D2471" s="394"/>
      <c r="E2471" s="78" t="str">
        <f>IF(C2471="","",IFERROR(VLOOKUP(C2471,parametros!$A$11:$E$15,5,0),""))</f>
        <v/>
      </c>
      <c r="F2471" s="79" t="str">
        <f t="shared" si="192"/>
        <v/>
      </c>
      <c r="G2471" s="395"/>
      <c r="H2471" s="91">
        <f t="shared" si="193"/>
        <v>0</v>
      </c>
      <c r="I2471" s="91" t="str">
        <f t="shared" si="194"/>
        <v/>
      </c>
      <c r="J2471" s="91" t="str">
        <f t="shared" si="195"/>
        <v/>
      </c>
      <c r="K2471" s="92" t="str">
        <f>IF(AND(A2471="",B2471="",D2471="",G2471=""),"",IF(AND(A2471&lt;&gt;"",COUNTIF($A$2:$A$5001,A2471)&gt;1),"NUMERO_PC duplicado",IF(B2471="","DATA_PC vazia",IF(NOT(ISNUMBER(B2471)),"DATA_PC invalida",IF(OR(C2471="",C2471="Fora dos ciclos"),"CICLO_PC nao identificado",IF(OR(D2471="",D2471=0),"VALOR_PC vazio ou zero",IF(AND(G2471&lt;&gt;"Sim",G2471&lt;&gt;"Nao",G2471&lt;&gt;""),"PC_PAGO_A_CONTRATADA invalido",IF(AND(C2471&lt;&gt;"C0",IFERROR(INDEX(parametros!$A$2:$A$6,MATCH(C2471,parametros!$B$2:$B$6,0)),"")="Sim",IFERROR(INDEX(parametros!$H$2:$H$6,MATCH(C2471,parametros!$B$2:$B$6,0)),"")=""),"INICIO_EFEITO ausente: PC "&amp;A2471&amp;" - "&amp;C2471,IF(L2471="","EFEITO_PC nao calculado: PC "&amp;A2471&amp;" - "&amp;C2471,"OK")))))))))</f>
        <v/>
      </c>
      <c r="L2471" s="92" t="str">
        <f>IF(AND(A2471="",B2471="",D2471="",G2471=""),"",IF(OR(B2471="",NOT(ISNUMBER(B2471)),C2471="",C2471="Fora dos ciclos"),"",IF(C2471="C0","Nao",IF(IFERROR(INDEX(parametros!$A$2:$A$6,MATCH(C2471,parametros!$B$2:$B$6,0)),"")&lt;&gt;"Sim","Nao",IF(IFERROR(INDEX(parametros!$H$2:$H$6,MATCH(C2471,parametros!$B$2:$B$6,0)),"")="","",IF(B2471&gt;=IFERROR(INDEX(parametros!$H$2:$H$6,MATCH(C2471,parametros!$B$2:$B$6,0)),""),"Sim","Nao"))))))</f>
        <v/>
      </c>
      <c r="T2471" s="156"/>
      <c r="U2471" s="214" t="str">
        <f t="shared" si="196"/>
        <v/>
      </c>
      <c r="V2471" s="212" t="s">
        <v>50</v>
      </c>
      <c r="W2471" s="100" t="s">
        <v>168</v>
      </c>
      <c r="X2471" s="100" t="s">
        <v>169</v>
      </c>
      <c r="Y2471" s="101" t="s">
        <v>170</v>
      </c>
      <c r="Z2471" s="101" t="s">
        <v>171</v>
      </c>
      <c r="AA2471" s="101" t="s">
        <v>50</v>
      </c>
      <c r="AB2471" s="101" t="s">
        <v>172</v>
      </c>
      <c r="AC2471" s="102" t="s">
        <v>173</v>
      </c>
    </row>
    <row r="2472" spans="1:29" ht="25.5" customHeight="1" x14ac:dyDescent="0.35">
      <c r="A2472" s="392"/>
      <c r="B2472" s="393"/>
      <c r="C2472" s="99" t="str">
        <f>IF(B2472="","",IF(NOT(ISNUMBER(B2472)),"DATA_PC invalida",IF(NOT(ISNUMBER(parametros!$C$2)),"Fora dos ciclos",IF(OR(B2472&lt;parametros!$C$2,(YEAR(B2472)-YEAR(parametros!$C$2))*12+MONTH(B2472)-MONTH(parametros!$C$2)&gt;59),"Fora dos ciclos","C"&amp;INT(((YEAR(B2472)-YEAR(parametros!$C$2))*12+MONTH(B2472)-MONTH(parametros!$C$2))/12)))))</f>
        <v/>
      </c>
      <c r="D2472" s="394"/>
      <c r="E2472" s="78" t="str">
        <f>IF(C2472="","",IFERROR(VLOOKUP(C2472,parametros!$A$11:$E$15,5,0),""))</f>
        <v/>
      </c>
      <c r="F2472" s="79" t="str">
        <f t="shared" si="192"/>
        <v/>
      </c>
      <c r="G2472" s="395"/>
      <c r="H2472" s="91">
        <f t="shared" si="193"/>
        <v>0</v>
      </c>
      <c r="I2472" s="91" t="str">
        <f t="shared" si="194"/>
        <v/>
      </c>
      <c r="J2472" s="91" t="str">
        <f t="shared" si="195"/>
        <v/>
      </c>
      <c r="K2472" s="92" t="str">
        <f>IF(AND(A2472="",B2472="",D2472="",G2472=""),"",IF(AND(A2472&lt;&gt;"",COUNTIF($A$2:$A$5001,A2472)&gt;1),"NUMERO_PC duplicado",IF(B2472="","DATA_PC vazia",IF(NOT(ISNUMBER(B2472)),"DATA_PC invalida",IF(OR(C2472="",C2472="Fora dos ciclos"),"CICLO_PC nao identificado",IF(OR(D2472="",D2472=0),"VALOR_PC vazio ou zero",IF(AND(G2472&lt;&gt;"Sim",G2472&lt;&gt;"Nao",G2472&lt;&gt;""),"PC_PAGO_A_CONTRATADA invalido",IF(AND(C2472&lt;&gt;"C0",IFERROR(INDEX(parametros!$A$2:$A$6,MATCH(C2472,parametros!$B$2:$B$6,0)),"")="Sim",IFERROR(INDEX(parametros!$H$2:$H$6,MATCH(C2472,parametros!$B$2:$B$6,0)),"")=""),"INICIO_EFEITO ausente: PC "&amp;A2472&amp;" - "&amp;C2472,IF(L2472="","EFEITO_PC nao calculado: PC "&amp;A2472&amp;" - "&amp;C2472,"OK")))))))))</f>
        <v/>
      </c>
      <c r="L2472" s="92" t="str">
        <f>IF(AND(A2472="",B2472="",D2472="",G2472=""),"",IF(OR(B2472="",NOT(ISNUMBER(B2472)),C2472="",C2472="Fora dos ciclos"),"",IF(C2472="C0","Nao",IF(IFERROR(INDEX(parametros!$A$2:$A$6,MATCH(C2472,parametros!$B$2:$B$6,0)),"")&lt;&gt;"Sim","Nao",IF(IFERROR(INDEX(parametros!$H$2:$H$6,MATCH(C2472,parametros!$B$2:$B$6,0)),"")="","",IF(B2472&gt;=IFERROR(INDEX(parametros!$H$2:$H$6,MATCH(C2472,parametros!$B$2:$B$6,0)),""),"Sim","Nao"))))))</f>
        <v/>
      </c>
      <c r="T2472" s="156"/>
      <c r="U2472" s="214" t="str">
        <f t="shared" si="196"/>
        <v/>
      </c>
      <c r="V2472" s="212" t="s">
        <v>50</v>
      </c>
      <c r="W2472" s="100" t="s">
        <v>168</v>
      </c>
      <c r="X2472" s="100" t="s">
        <v>169</v>
      </c>
      <c r="Y2472" s="101" t="s">
        <v>170</v>
      </c>
      <c r="Z2472" s="101" t="s">
        <v>171</v>
      </c>
      <c r="AA2472" s="101" t="s">
        <v>50</v>
      </c>
      <c r="AB2472" s="101" t="s">
        <v>172</v>
      </c>
      <c r="AC2472" s="102" t="s">
        <v>173</v>
      </c>
    </row>
    <row r="2473" spans="1:29" ht="25.5" customHeight="1" x14ac:dyDescent="0.35">
      <c r="A2473" s="392"/>
      <c r="B2473" s="393"/>
      <c r="C2473" s="99" t="str">
        <f>IF(B2473="","",IF(NOT(ISNUMBER(B2473)),"DATA_PC invalida",IF(NOT(ISNUMBER(parametros!$C$2)),"Fora dos ciclos",IF(OR(B2473&lt;parametros!$C$2,(YEAR(B2473)-YEAR(parametros!$C$2))*12+MONTH(B2473)-MONTH(parametros!$C$2)&gt;59),"Fora dos ciclos","C"&amp;INT(((YEAR(B2473)-YEAR(parametros!$C$2))*12+MONTH(B2473)-MONTH(parametros!$C$2))/12)))))</f>
        <v/>
      </c>
      <c r="D2473" s="394"/>
      <c r="E2473" s="78" t="str">
        <f>IF(C2473="","",IFERROR(VLOOKUP(C2473,parametros!$A$11:$E$15,5,0),""))</f>
        <v/>
      </c>
      <c r="F2473" s="79" t="str">
        <f t="shared" si="192"/>
        <v/>
      </c>
      <c r="G2473" s="395"/>
      <c r="H2473" s="91">
        <f t="shared" si="193"/>
        <v>0</v>
      </c>
      <c r="I2473" s="91" t="str">
        <f t="shared" si="194"/>
        <v/>
      </c>
      <c r="J2473" s="91" t="str">
        <f t="shared" si="195"/>
        <v/>
      </c>
      <c r="K2473" s="92" t="str">
        <f>IF(AND(A2473="",B2473="",D2473="",G2473=""),"",IF(AND(A2473&lt;&gt;"",COUNTIF($A$2:$A$5001,A2473)&gt;1),"NUMERO_PC duplicado",IF(B2473="","DATA_PC vazia",IF(NOT(ISNUMBER(B2473)),"DATA_PC invalida",IF(OR(C2473="",C2473="Fora dos ciclos"),"CICLO_PC nao identificado",IF(OR(D2473="",D2473=0),"VALOR_PC vazio ou zero",IF(AND(G2473&lt;&gt;"Sim",G2473&lt;&gt;"Nao",G2473&lt;&gt;""),"PC_PAGO_A_CONTRATADA invalido",IF(AND(C2473&lt;&gt;"C0",IFERROR(INDEX(parametros!$A$2:$A$6,MATCH(C2473,parametros!$B$2:$B$6,0)),"")="Sim",IFERROR(INDEX(parametros!$H$2:$H$6,MATCH(C2473,parametros!$B$2:$B$6,0)),"")=""),"INICIO_EFEITO ausente: PC "&amp;A2473&amp;" - "&amp;C2473,IF(L2473="","EFEITO_PC nao calculado: PC "&amp;A2473&amp;" - "&amp;C2473,"OK")))))))))</f>
        <v/>
      </c>
      <c r="L2473" s="92" t="str">
        <f>IF(AND(A2473="",B2473="",D2473="",G2473=""),"",IF(OR(B2473="",NOT(ISNUMBER(B2473)),C2473="",C2473="Fora dos ciclos"),"",IF(C2473="C0","Nao",IF(IFERROR(INDEX(parametros!$A$2:$A$6,MATCH(C2473,parametros!$B$2:$B$6,0)),"")&lt;&gt;"Sim","Nao",IF(IFERROR(INDEX(parametros!$H$2:$H$6,MATCH(C2473,parametros!$B$2:$B$6,0)),"")="","",IF(B2473&gt;=IFERROR(INDEX(parametros!$H$2:$H$6,MATCH(C2473,parametros!$B$2:$B$6,0)),""),"Sim","Nao"))))))</f>
        <v/>
      </c>
      <c r="T2473" s="156"/>
      <c r="U2473" s="214" t="str">
        <f t="shared" si="196"/>
        <v/>
      </c>
      <c r="V2473" s="212" t="s">
        <v>50</v>
      </c>
      <c r="W2473" s="100" t="s">
        <v>168</v>
      </c>
      <c r="X2473" s="100" t="s">
        <v>169</v>
      </c>
      <c r="Y2473" s="101" t="s">
        <v>170</v>
      </c>
      <c r="Z2473" s="101" t="s">
        <v>171</v>
      </c>
      <c r="AA2473" s="101" t="s">
        <v>50</v>
      </c>
      <c r="AB2473" s="101" t="s">
        <v>172</v>
      </c>
      <c r="AC2473" s="102" t="s">
        <v>173</v>
      </c>
    </row>
    <row r="2474" spans="1:29" ht="25.5" customHeight="1" x14ac:dyDescent="0.35">
      <c r="A2474" s="392"/>
      <c r="B2474" s="393"/>
      <c r="C2474" s="99" t="str">
        <f>IF(B2474="","",IF(NOT(ISNUMBER(B2474)),"DATA_PC invalida",IF(NOT(ISNUMBER(parametros!$C$2)),"Fora dos ciclos",IF(OR(B2474&lt;parametros!$C$2,(YEAR(B2474)-YEAR(parametros!$C$2))*12+MONTH(B2474)-MONTH(parametros!$C$2)&gt;59),"Fora dos ciclos","C"&amp;INT(((YEAR(B2474)-YEAR(parametros!$C$2))*12+MONTH(B2474)-MONTH(parametros!$C$2))/12)))))</f>
        <v/>
      </c>
      <c r="D2474" s="394"/>
      <c r="E2474" s="78" t="str">
        <f>IF(C2474="","",IFERROR(VLOOKUP(C2474,parametros!$A$11:$E$15,5,0),""))</f>
        <v/>
      </c>
      <c r="F2474" s="79" t="str">
        <f t="shared" si="192"/>
        <v/>
      </c>
      <c r="G2474" s="395"/>
      <c r="H2474" s="91">
        <f t="shared" si="193"/>
        <v>0</v>
      </c>
      <c r="I2474" s="91" t="str">
        <f t="shared" si="194"/>
        <v/>
      </c>
      <c r="J2474" s="91" t="str">
        <f t="shared" si="195"/>
        <v/>
      </c>
      <c r="K2474" s="92" t="str">
        <f>IF(AND(A2474="",B2474="",D2474="",G2474=""),"",IF(AND(A2474&lt;&gt;"",COUNTIF($A$2:$A$5001,A2474)&gt;1),"NUMERO_PC duplicado",IF(B2474="","DATA_PC vazia",IF(NOT(ISNUMBER(B2474)),"DATA_PC invalida",IF(OR(C2474="",C2474="Fora dos ciclos"),"CICLO_PC nao identificado",IF(OR(D2474="",D2474=0),"VALOR_PC vazio ou zero",IF(AND(G2474&lt;&gt;"Sim",G2474&lt;&gt;"Nao",G2474&lt;&gt;""),"PC_PAGO_A_CONTRATADA invalido",IF(AND(C2474&lt;&gt;"C0",IFERROR(INDEX(parametros!$A$2:$A$6,MATCH(C2474,parametros!$B$2:$B$6,0)),"")="Sim",IFERROR(INDEX(parametros!$H$2:$H$6,MATCH(C2474,parametros!$B$2:$B$6,0)),"")=""),"INICIO_EFEITO ausente: PC "&amp;A2474&amp;" - "&amp;C2474,IF(L2474="","EFEITO_PC nao calculado: PC "&amp;A2474&amp;" - "&amp;C2474,"OK")))))))))</f>
        <v/>
      </c>
      <c r="L2474" s="92" t="str">
        <f>IF(AND(A2474="",B2474="",D2474="",G2474=""),"",IF(OR(B2474="",NOT(ISNUMBER(B2474)),C2474="",C2474="Fora dos ciclos"),"",IF(C2474="C0","Nao",IF(IFERROR(INDEX(parametros!$A$2:$A$6,MATCH(C2474,parametros!$B$2:$B$6,0)),"")&lt;&gt;"Sim","Nao",IF(IFERROR(INDEX(parametros!$H$2:$H$6,MATCH(C2474,parametros!$B$2:$B$6,0)),"")="","",IF(B2474&gt;=IFERROR(INDEX(parametros!$H$2:$H$6,MATCH(C2474,parametros!$B$2:$B$6,0)),""),"Sim","Nao"))))))</f>
        <v/>
      </c>
      <c r="T2474" s="156"/>
      <c r="U2474" s="214" t="str">
        <f t="shared" si="196"/>
        <v/>
      </c>
      <c r="V2474" s="212" t="s">
        <v>50</v>
      </c>
      <c r="W2474" s="100" t="s">
        <v>168</v>
      </c>
      <c r="X2474" s="100" t="s">
        <v>169</v>
      </c>
      <c r="Y2474" s="101" t="s">
        <v>170</v>
      </c>
      <c r="Z2474" s="101" t="s">
        <v>171</v>
      </c>
      <c r="AA2474" s="101" t="s">
        <v>50</v>
      </c>
      <c r="AB2474" s="101" t="s">
        <v>172</v>
      </c>
      <c r="AC2474" s="102" t="s">
        <v>173</v>
      </c>
    </row>
    <row r="2475" spans="1:29" ht="25.5" customHeight="1" x14ac:dyDescent="0.35">
      <c r="A2475" s="392"/>
      <c r="B2475" s="393"/>
      <c r="C2475" s="99" t="str">
        <f>IF(B2475="","",IF(NOT(ISNUMBER(B2475)),"DATA_PC invalida",IF(NOT(ISNUMBER(parametros!$C$2)),"Fora dos ciclos",IF(OR(B2475&lt;parametros!$C$2,(YEAR(B2475)-YEAR(parametros!$C$2))*12+MONTH(B2475)-MONTH(parametros!$C$2)&gt;59),"Fora dos ciclos","C"&amp;INT(((YEAR(B2475)-YEAR(parametros!$C$2))*12+MONTH(B2475)-MONTH(parametros!$C$2))/12)))))</f>
        <v/>
      </c>
      <c r="D2475" s="394"/>
      <c r="E2475" s="78" t="str">
        <f>IF(C2475="","",IFERROR(VLOOKUP(C2475,parametros!$A$11:$E$15,5,0),""))</f>
        <v/>
      </c>
      <c r="F2475" s="79" t="str">
        <f t="shared" si="192"/>
        <v/>
      </c>
      <c r="G2475" s="395"/>
      <c r="H2475" s="91">
        <f t="shared" si="193"/>
        <v>0</v>
      </c>
      <c r="I2475" s="91" t="str">
        <f t="shared" si="194"/>
        <v/>
      </c>
      <c r="J2475" s="91" t="str">
        <f t="shared" si="195"/>
        <v/>
      </c>
      <c r="K2475" s="92" t="str">
        <f>IF(AND(A2475="",B2475="",D2475="",G2475=""),"",IF(AND(A2475&lt;&gt;"",COUNTIF($A$2:$A$5001,A2475)&gt;1),"NUMERO_PC duplicado",IF(B2475="","DATA_PC vazia",IF(NOT(ISNUMBER(B2475)),"DATA_PC invalida",IF(OR(C2475="",C2475="Fora dos ciclos"),"CICLO_PC nao identificado",IF(OR(D2475="",D2475=0),"VALOR_PC vazio ou zero",IF(AND(G2475&lt;&gt;"Sim",G2475&lt;&gt;"Nao",G2475&lt;&gt;""),"PC_PAGO_A_CONTRATADA invalido",IF(AND(C2475&lt;&gt;"C0",IFERROR(INDEX(parametros!$A$2:$A$6,MATCH(C2475,parametros!$B$2:$B$6,0)),"")="Sim",IFERROR(INDEX(parametros!$H$2:$H$6,MATCH(C2475,parametros!$B$2:$B$6,0)),"")=""),"INICIO_EFEITO ausente: PC "&amp;A2475&amp;" - "&amp;C2475,IF(L2475="","EFEITO_PC nao calculado: PC "&amp;A2475&amp;" - "&amp;C2475,"OK")))))))))</f>
        <v/>
      </c>
      <c r="L2475" s="92" t="str">
        <f>IF(AND(A2475="",B2475="",D2475="",G2475=""),"",IF(OR(B2475="",NOT(ISNUMBER(B2475)),C2475="",C2475="Fora dos ciclos"),"",IF(C2475="C0","Nao",IF(IFERROR(INDEX(parametros!$A$2:$A$6,MATCH(C2475,parametros!$B$2:$B$6,0)),"")&lt;&gt;"Sim","Nao",IF(IFERROR(INDEX(parametros!$H$2:$H$6,MATCH(C2475,parametros!$B$2:$B$6,0)),"")="","",IF(B2475&gt;=IFERROR(INDEX(parametros!$H$2:$H$6,MATCH(C2475,parametros!$B$2:$B$6,0)),""),"Sim","Nao"))))))</f>
        <v/>
      </c>
      <c r="T2475" s="156"/>
      <c r="U2475" s="214" t="str">
        <f t="shared" si="196"/>
        <v/>
      </c>
      <c r="V2475" s="212" t="s">
        <v>50</v>
      </c>
      <c r="W2475" s="100" t="s">
        <v>168</v>
      </c>
      <c r="X2475" s="100" t="s">
        <v>169</v>
      </c>
      <c r="Y2475" s="101" t="s">
        <v>170</v>
      </c>
      <c r="Z2475" s="101" t="s">
        <v>171</v>
      </c>
      <c r="AA2475" s="101" t="s">
        <v>50</v>
      </c>
      <c r="AB2475" s="101" t="s">
        <v>172</v>
      </c>
      <c r="AC2475" s="102" t="s">
        <v>173</v>
      </c>
    </row>
    <row r="2476" spans="1:29" ht="25.5" customHeight="1" x14ac:dyDescent="0.35">
      <c r="A2476" s="392"/>
      <c r="B2476" s="393"/>
      <c r="C2476" s="99" t="str">
        <f>IF(B2476="","",IF(NOT(ISNUMBER(B2476)),"DATA_PC invalida",IF(NOT(ISNUMBER(parametros!$C$2)),"Fora dos ciclos",IF(OR(B2476&lt;parametros!$C$2,(YEAR(B2476)-YEAR(parametros!$C$2))*12+MONTH(B2476)-MONTH(parametros!$C$2)&gt;59),"Fora dos ciclos","C"&amp;INT(((YEAR(B2476)-YEAR(parametros!$C$2))*12+MONTH(B2476)-MONTH(parametros!$C$2))/12)))))</f>
        <v/>
      </c>
      <c r="D2476" s="394"/>
      <c r="E2476" s="78" t="str">
        <f>IF(C2476="","",IFERROR(VLOOKUP(C2476,parametros!$A$11:$E$15,5,0),""))</f>
        <v/>
      </c>
      <c r="F2476" s="79" t="str">
        <f t="shared" si="192"/>
        <v/>
      </c>
      <c r="G2476" s="395"/>
      <c r="H2476" s="91">
        <f t="shared" si="193"/>
        <v>0</v>
      </c>
      <c r="I2476" s="91" t="str">
        <f t="shared" si="194"/>
        <v/>
      </c>
      <c r="J2476" s="91" t="str">
        <f t="shared" si="195"/>
        <v/>
      </c>
      <c r="K2476" s="92" t="str">
        <f>IF(AND(A2476="",B2476="",D2476="",G2476=""),"",IF(AND(A2476&lt;&gt;"",COUNTIF($A$2:$A$5001,A2476)&gt;1),"NUMERO_PC duplicado",IF(B2476="","DATA_PC vazia",IF(NOT(ISNUMBER(B2476)),"DATA_PC invalida",IF(OR(C2476="",C2476="Fora dos ciclos"),"CICLO_PC nao identificado",IF(OR(D2476="",D2476=0),"VALOR_PC vazio ou zero",IF(AND(G2476&lt;&gt;"Sim",G2476&lt;&gt;"Nao",G2476&lt;&gt;""),"PC_PAGO_A_CONTRATADA invalido",IF(AND(C2476&lt;&gt;"C0",IFERROR(INDEX(parametros!$A$2:$A$6,MATCH(C2476,parametros!$B$2:$B$6,0)),"")="Sim",IFERROR(INDEX(parametros!$H$2:$H$6,MATCH(C2476,parametros!$B$2:$B$6,0)),"")=""),"INICIO_EFEITO ausente: PC "&amp;A2476&amp;" - "&amp;C2476,IF(L2476="","EFEITO_PC nao calculado: PC "&amp;A2476&amp;" - "&amp;C2476,"OK")))))))))</f>
        <v/>
      </c>
      <c r="L2476" s="92" t="str">
        <f>IF(AND(A2476="",B2476="",D2476="",G2476=""),"",IF(OR(B2476="",NOT(ISNUMBER(B2476)),C2476="",C2476="Fora dos ciclos"),"",IF(C2476="C0","Nao",IF(IFERROR(INDEX(parametros!$A$2:$A$6,MATCH(C2476,parametros!$B$2:$B$6,0)),"")&lt;&gt;"Sim","Nao",IF(IFERROR(INDEX(parametros!$H$2:$H$6,MATCH(C2476,parametros!$B$2:$B$6,0)),"")="","",IF(B2476&gt;=IFERROR(INDEX(parametros!$H$2:$H$6,MATCH(C2476,parametros!$B$2:$B$6,0)),""),"Sim","Nao"))))))</f>
        <v/>
      </c>
      <c r="T2476" s="156"/>
      <c r="U2476" s="214" t="str">
        <f t="shared" si="196"/>
        <v/>
      </c>
      <c r="V2476" s="212" t="s">
        <v>50</v>
      </c>
      <c r="W2476" s="100" t="s">
        <v>168</v>
      </c>
      <c r="X2476" s="100" t="s">
        <v>169</v>
      </c>
      <c r="Y2476" s="101" t="s">
        <v>170</v>
      </c>
      <c r="Z2476" s="101" t="s">
        <v>171</v>
      </c>
      <c r="AA2476" s="101" t="s">
        <v>50</v>
      </c>
      <c r="AB2476" s="101" t="s">
        <v>172</v>
      </c>
      <c r="AC2476" s="102" t="s">
        <v>173</v>
      </c>
    </row>
    <row r="2477" spans="1:29" ht="25.5" customHeight="1" x14ac:dyDescent="0.35">
      <c r="A2477" s="392"/>
      <c r="B2477" s="393"/>
      <c r="C2477" s="99" t="str">
        <f>IF(B2477="","",IF(NOT(ISNUMBER(B2477)),"DATA_PC invalida",IF(NOT(ISNUMBER(parametros!$C$2)),"Fora dos ciclos",IF(OR(B2477&lt;parametros!$C$2,(YEAR(B2477)-YEAR(parametros!$C$2))*12+MONTH(B2477)-MONTH(parametros!$C$2)&gt;59),"Fora dos ciclos","C"&amp;INT(((YEAR(B2477)-YEAR(parametros!$C$2))*12+MONTH(B2477)-MONTH(parametros!$C$2))/12)))))</f>
        <v/>
      </c>
      <c r="D2477" s="394"/>
      <c r="E2477" s="78" t="str">
        <f>IF(C2477="","",IFERROR(VLOOKUP(C2477,parametros!$A$11:$E$15,5,0),""))</f>
        <v/>
      </c>
      <c r="F2477" s="79" t="str">
        <f t="shared" si="192"/>
        <v/>
      </c>
      <c r="G2477" s="395"/>
      <c r="H2477" s="91">
        <f t="shared" si="193"/>
        <v>0</v>
      </c>
      <c r="I2477" s="91" t="str">
        <f t="shared" si="194"/>
        <v/>
      </c>
      <c r="J2477" s="91" t="str">
        <f t="shared" si="195"/>
        <v/>
      </c>
      <c r="K2477" s="92" t="str">
        <f>IF(AND(A2477="",B2477="",D2477="",G2477=""),"",IF(AND(A2477&lt;&gt;"",COUNTIF($A$2:$A$5001,A2477)&gt;1),"NUMERO_PC duplicado",IF(B2477="","DATA_PC vazia",IF(NOT(ISNUMBER(B2477)),"DATA_PC invalida",IF(OR(C2477="",C2477="Fora dos ciclos"),"CICLO_PC nao identificado",IF(OR(D2477="",D2477=0),"VALOR_PC vazio ou zero",IF(AND(G2477&lt;&gt;"Sim",G2477&lt;&gt;"Nao",G2477&lt;&gt;""),"PC_PAGO_A_CONTRATADA invalido",IF(AND(C2477&lt;&gt;"C0",IFERROR(INDEX(parametros!$A$2:$A$6,MATCH(C2477,parametros!$B$2:$B$6,0)),"")="Sim",IFERROR(INDEX(parametros!$H$2:$H$6,MATCH(C2477,parametros!$B$2:$B$6,0)),"")=""),"INICIO_EFEITO ausente: PC "&amp;A2477&amp;" - "&amp;C2477,IF(L2477="","EFEITO_PC nao calculado: PC "&amp;A2477&amp;" - "&amp;C2477,"OK")))))))))</f>
        <v/>
      </c>
      <c r="L2477" s="92" t="str">
        <f>IF(AND(A2477="",B2477="",D2477="",G2477=""),"",IF(OR(B2477="",NOT(ISNUMBER(B2477)),C2477="",C2477="Fora dos ciclos"),"",IF(C2477="C0","Nao",IF(IFERROR(INDEX(parametros!$A$2:$A$6,MATCH(C2477,parametros!$B$2:$B$6,0)),"")&lt;&gt;"Sim","Nao",IF(IFERROR(INDEX(parametros!$H$2:$H$6,MATCH(C2477,parametros!$B$2:$B$6,0)),"")="","",IF(B2477&gt;=IFERROR(INDEX(parametros!$H$2:$H$6,MATCH(C2477,parametros!$B$2:$B$6,0)),""),"Sim","Nao"))))))</f>
        <v/>
      </c>
      <c r="T2477" s="156"/>
      <c r="U2477" s="214" t="str">
        <f t="shared" si="196"/>
        <v/>
      </c>
      <c r="V2477" s="212" t="s">
        <v>50</v>
      </c>
      <c r="W2477" s="100" t="s">
        <v>168</v>
      </c>
      <c r="X2477" s="100" t="s">
        <v>169</v>
      </c>
      <c r="Y2477" s="101" t="s">
        <v>170</v>
      </c>
      <c r="Z2477" s="101" t="s">
        <v>171</v>
      </c>
      <c r="AA2477" s="101" t="s">
        <v>50</v>
      </c>
      <c r="AB2477" s="101" t="s">
        <v>172</v>
      </c>
      <c r="AC2477" s="102" t="s">
        <v>173</v>
      </c>
    </row>
    <row r="2478" spans="1:29" ht="25.5" customHeight="1" x14ac:dyDescent="0.35">
      <c r="A2478" s="392"/>
      <c r="B2478" s="393"/>
      <c r="C2478" s="99" t="str">
        <f>IF(B2478="","",IF(NOT(ISNUMBER(B2478)),"DATA_PC invalida",IF(NOT(ISNUMBER(parametros!$C$2)),"Fora dos ciclos",IF(OR(B2478&lt;parametros!$C$2,(YEAR(B2478)-YEAR(parametros!$C$2))*12+MONTH(B2478)-MONTH(parametros!$C$2)&gt;59),"Fora dos ciclos","C"&amp;INT(((YEAR(B2478)-YEAR(parametros!$C$2))*12+MONTH(B2478)-MONTH(parametros!$C$2))/12)))))</f>
        <v/>
      </c>
      <c r="D2478" s="394"/>
      <c r="E2478" s="78" t="str">
        <f>IF(C2478="","",IFERROR(VLOOKUP(C2478,parametros!$A$11:$E$15,5,0),""))</f>
        <v/>
      </c>
      <c r="F2478" s="79" t="str">
        <f t="shared" si="192"/>
        <v/>
      </c>
      <c r="G2478" s="395"/>
      <c r="H2478" s="91">
        <f t="shared" si="193"/>
        <v>0</v>
      </c>
      <c r="I2478" s="91" t="str">
        <f t="shared" si="194"/>
        <v/>
      </c>
      <c r="J2478" s="91" t="str">
        <f t="shared" si="195"/>
        <v/>
      </c>
      <c r="K2478" s="92" t="str">
        <f>IF(AND(A2478="",B2478="",D2478="",G2478=""),"",IF(AND(A2478&lt;&gt;"",COUNTIF($A$2:$A$5001,A2478)&gt;1),"NUMERO_PC duplicado",IF(B2478="","DATA_PC vazia",IF(NOT(ISNUMBER(B2478)),"DATA_PC invalida",IF(OR(C2478="",C2478="Fora dos ciclos"),"CICLO_PC nao identificado",IF(OR(D2478="",D2478=0),"VALOR_PC vazio ou zero",IF(AND(G2478&lt;&gt;"Sim",G2478&lt;&gt;"Nao",G2478&lt;&gt;""),"PC_PAGO_A_CONTRATADA invalido",IF(AND(C2478&lt;&gt;"C0",IFERROR(INDEX(parametros!$A$2:$A$6,MATCH(C2478,parametros!$B$2:$B$6,0)),"")="Sim",IFERROR(INDEX(parametros!$H$2:$H$6,MATCH(C2478,parametros!$B$2:$B$6,0)),"")=""),"INICIO_EFEITO ausente: PC "&amp;A2478&amp;" - "&amp;C2478,IF(L2478="","EFEITO_PC nao calculado: PC "&amp;A2478&amp;" - "&amp;C2478,"OK")))))))))</f>
        <v/>
      </c>
      <c r="L2478" s="92" t="str">
        <f>IF(AND(A2478="",B2478="",D2478="",G2478=""),"",IF(OR(B2478="",NOT(ISNUMBER(B2478)),C2478="",C2478="Fora dos ciclos"),"",IF(C2478="C0","Nao",IF(IFERROR(INDEX(parametros!$A$2:$A$6,MATCH(C2478,parametros!$B$2:$B$6,0)),"")&lt;&gt;"Sim","Nao",IF(IFERROR(INDEX(parametros!$H$2:$H$6,MATCH(C2478,parametros!$B$2:$B$6,0)),"")="","",IF(B2478&gt;=IFERROR(INDEX(parametros!$H$2:$H$6,MATCH(C2478,parametros!$B$2:$B$6,0)),""),"Sim","Nao"))))))</f>
        <v/>
      </c>
      <c r="T2478" s="156"/>
      <c r="U2478" s="214" t="str">
        <f t="shared" si="196"/>
        <v/>
      </c>
      <c r="V2478" s="212" t="s">
        <v>50</v>
      </c>
      <c r="W2478" s="100" t="s">
        <v>168</v>
      </c>
      <c r="X2478" s="100" t="s">
        <v>169</v>
      </c>
      <c r="Y2478" s="101" t="s">
        <v>170</v>
      </c>
      <c r="Z2478" s="101" t="s">
        <v>171</v>
      </c>
      <c r="AA2478" s="101" t="s">
        <v>50</v>
      </c>
      <c r="AB2478" s="101" t="s">
        <v>172</v>
      </c>
      <c r="AC2478" s="102" t="s">
        <v>173</v>
      </c>
    </row>
    <row r="2479" spans="1:29" ht="25.5" customHeight="1" x14ac:dyDescent="0.35">
      <c r="A2479" s="392"/>
      <c r="B2479" s="393"/>
      <c r="C2479" s="99" t="str">
        <f>IF(B2479="","",IF(NOT(ISNUMBER(B2479)),"DATA_PC invalida",IF(NOT(ISNUMBER(parametros!$C$2)),"Fora dos ciclos",IF(OR(B2479&lt;parametros!$C$2,(YEAR(B2479)-YEAR(parametros!$C$2))*12+MONTH(B2479)-MONTH(parametros!$C$2)&gt;59),"Fora dos ciclos","C"&amp;INT(((YEAR(B2479)-YEAR(parametros!$C$2))*12+MONTH(B2479)-MONTH(parametros!$C$2))/12)))))</f>
        <v/>
      </c>
      <c r="D2479" s="394"/>
      <c r="E2479" s="78" t="str">
        <f>IF(C2479="","",IFERROR(VLOOKUP(C2479,parametros!$A$11:$E$15,5,0),""))</f>
        <v/>
      </c>
      <c r="F2479" s="79" t="str">
        <f t="shared" si="192"/>
        <v/>
      </c>
      <c r="G2479" s="395"/>
      <c r="H2479" s="91">
        <f t="shared" si="193"/>
        <v>0</v>
      </c>
      <c r="I2479" s="91" t="str">
        <f t="shared" si="194"/>
        <v/>
      </c>
      <c r="J2479" s="91" t="str">
        <f t="shared" si="195"/>
        <v/>
      </c>
      <c r="K2479" s="92" t="str">
        <f>IF(AND(A2479="",B2479="",D2479="",G2479=""),"",IF(AND(A2479&lt;&gt;"",COUNTIF($A$2:$A$5001,A2479)&gt;1),"NUMERO_PC duplicado",IF(B2479="","DATA_PC vazia",IF(NOT(ISNUMBER(B2479)),"DATA_PC invalida",IF(OR(C2479="",C2479="Fora dos ciclos"),"CICLO_PC nao identificado",IF(OR(D2479="",D2479=0),"VALOR_PC vazio ou zero",IF(AND(G2479&lt;&gt;"Sim",G2479&lt;&gt;"Nao",G2479&lt;&gt;""),"PC_PAGO_A_CONTRATADA invalido",IF(AND(C2479&lt;&gt;"C0",IFERROR(INDEX(parametros!$A$2:$A$6,MATCH(C2479,parametros!$B$2:$B$6,0)),"")="Sim",IFERROR(INDEX(parametros!$H$2:$H$6,MATCH(C2479,parametros!$B$2:$B$6,0)),"")=""),"INICIO_EFEITO ausente: PC "&amp;A2479&amp;" - "&amp;C2479,IF(L2479="","EFEITO_PC nao calculado: PC "&amp;A2479&amp;" - "&amp;C2479,"OK")))))))))</f>
        <v/>
      </c>
      <c r="L2479" s="92" t="str">
        <f>IF(AND(A2479="",B2479="",D2479="",G2479=""),"",IF(OR(B2479="",NOT(ISNUMBER(B2479)),C2479="",C2479="Fora dos ciclos"),"",IF(C2479="C0","Nao",IF(IFERROR(INDEX(parametros!$A$2:$A$6,MATCH(C2479,parametros!$B$2:$B$6,0)),"")&lt;&gt;"Sim","Nao",IF(IFERROR(INDEX(parametros!$H$2:$H$6,MATCH(C2479,parametros!$B$2:$B$6,0)),"")="","",IF(B2479&gt;=IFERROR(INDEX(parametros!$H$2:$H$6,MATCH(C2479,parametros!$B$2:$B$6,0)),""),"Sim","Nao"))))))</f>
        <v/>
      </c>
      <c r="T2479" s="156"/>
      <c r="U2479" s="214" t="str">
        <f t="shared" si="196"/>
        <v/>
      </c>
      <c r="V2479" s="212" t="s">
        <v>50</v>
      </c>
      <c r="W2479" s="100" t="s">
        <v>168</v>
      </c>
      <c r="X2479" s="100" t="s">
        <v>169</v>
      </c>
      <c r="Y2479" s="101" t="s">
        <v>170</v>
      </c>
      <c r="Z2479" s="101" t="s">
        <v>171</v>
      </c>
      <c r="AA2479" s="101" t="s">
        <v>50</v>
      </c>
      <c r="AB2479" s="101" t="s">
        <v>172</v>
      </c>
      <c r="AC2479" s="102" t="s">
        <v>173</v>
      </c>
    </row>
    <row r="2480" spans="1:29" ht="25.5" customHeight="1" x14ac:dyDescent="0.35">
      <c r="A2480" s="392"/>
      <c r="B2480" s="393"/>
      <c r="C2480" s="99" t="str">
        <f>IF(B2480="","",IF(NOT(ISNUMBER(B2480)),"DATA_PC invalida",IF(NOT(ISNUMBER(parametros!$C$2)),"Fora dos ciclos",IF(OR(B2480&lt;parametros!$C$2,(YEAR(B2480)-YEAR(parametros!$C$2))*12+MONTH(B2480)-MONTH(parametros!$C$2)&gt;59),"Fora dos ciclos","C"&amp;INT(((YEAR(B2480)-YEAR(parametros!$C$2))*12+MONTH(B2480)-MONTH(parametros!$C$2))/12)))))</f>
        <v/>
      </c>
      <c r="D2480" s="394"/>
      <c r="E2480" s="78" t="str">
        <f>IF(C2480="","",IFERROR(VLOOKUP(C2480,parametros!$A$11:$E$15,5,0),""))</f>
        <v/>
      </c>
      <c r="F2480" s="79" t="str">
        <f t="shared" si="192"/>
        <v/>
      </c>
      <c r="G2480" s="395"/>
      <c r="H2480" s="91">
        <f t="shared" si="193"/>
        <v>0</v>
      </c>
      <c r="I2480" s="91" t="str">
        <f t="shared" si="194"/>
        <v/>
      </c>
      <c r="J2480" s="91" t="str">
        <f t="shared" si="195"/>
        <v/>
      </c>
      <c r="K2480" s="92" t="str">
        <f>IF(AND(A2480="",B2480="",D2480="",G2480=""),"",IF(AND(A2480&lt;&gt;"",COUNTIF($A$2:$A$5001,A2480)&gt;1),"NUMERO_PC duplicado",IF(B2480="","DATA_PC vazia",IF(NOT(ISNUMBER(B2480)),"DATA_PC invalida",IF(OR(C2480="",C2480="Fora dos ciclos"),"CICLO_PC nao identificado",IF(OR(D2480="",D2480=0),"VALOR_PC vazio ou zero",IF(AND(G2480&lt;&gt;"Sim",G2480&lt;&gt;"Nao",G2480&lt;&gt;""),"PC_PAGO_A_CONTRATADA invalido",IF(AND(C2480&lt;&gt;"C0",IFERROR(INDEX(parametros!$A$2:$A$6,MATCH(C2480,parametros!$B$2:$B$6,0)),"")="Sim",IFERROR(INDEX(parametros!$H$2:$H$6,MATCH(C2480,parametros!$B$2:$B$6,0)),"")=""),"INICIO_EFEITO ausente: PC "&amp;A2480&amp;" - "&amp;C2480,IF(L2480="","EFEITO_PC nao calculado: PC "&amp;A2480&amp;" - "&amp;C2480,"OK")))))))))</f>
        <v/>
      </c>
      <c r="L2480" s="92" t="str">
        <f>IF(AND(A2480="",B2480="",D2480="",G2480=""),"",IF(OR(B2480="",NOT(ISNUMBER(B2480)),C2480="",C2480="Fora dos ciclos"),"",IF(C2480="C0","Nao",IF(IFERROR(INDEX(parametros!$A$2:$A$6,MATCH(C2480,parametros!$B$2:$B$6,0)),"")&lt;&gt;"Sim","Nao",IF(IFERROR(INDEX(parametros!$H$2:$H$6,MATCH(C2480,parametros!$B$2:$B$6,0)),"")="","",IF(B2480&gt;=IFERROR(INDEX(parametros!$H$2:$H$6,MATCH(C2480,parametros!$B$2:$B$6,0)),""),"Sim","Nao"))))))</f>
        <v/>
      </c>
      <c r="T2480" s="156"/>
      <c r="U2480" s="214" t="str">
        <f t="shared" si="196"/>
        <v/>
      </c>
      <c r="V2480" s="212" t="s">
        <v>50</v>
      </c>
      <c r="W2480" s="100" t="s">
        <v>168</v>
      </c>
      <c r="X2480" s="100" t="s">
        <v>169</v>
      </c>
      <c r="Y2480" s="101" t="s">
        <v>170</v>
      </c>
      <c r="Z2480" s="101" t="s">
        <v>171</v>
      </c>
      <c r="AA2480" s="101" t="s">
        <v>50</v>
      </c>
      <c r="AB2480" s="101" t="s">
        <v>172</v>
      </c>
      <c r="AC2480" s="102" t="s">
        <v>173</v>
      </c>
    </row>
    <row r="2481" spans="1:29" ht="25.5" customHeight="1" x14ac:dyDescent="0.35">
      <c r="A2481" s="392"/>
      <c r="B2481" s="393"/>
      <c r="C2481" s="99" t="str">
        <f>IF(B2481="","",IF(NOT(ISNUMBER(B2481)),"DATA_PC invalida",IF(NOT(ISNUMBER(parametros!$C$2)),"Fora dos ciclos",IF(OR(B2481&lt;parametros!$C$2,(YEAR(B2481)-YEAR(parametros!$C$2))*12+MONTH(B2481)-MONTH(parametros!$C$2)&gt;59),"Fora dos ciclos","C"&amp;INT(((YEAR(B2481)-YEAR(parametros!$C$2))*12+MONTH(B2481)-MONTH(parametros!$C$2))/12)))))</f>
        <v/>
      </c>
      <c r="D2481" s="394"/>
      <c r="E2481" s="78" t="str">
        <f>IF(C2481="","",IFERROR(VLOOKUP(C2481,parametros!$A$11:$E$15,5,0),""))</f>
        <v/>
      </c>
      <c r="F2481" s="79" t="str">
        <f t="shared" si="192"/>
        <v/>
      </c>
      <c r="G2481" s="395"/>
      <c r="H2481" s="91">
        <f t="shared" si="193"/>
        <v>0</v>
      </c>
      <c r="I2481" s="91" t="str">
        <f t="shared" si="194"/>
        <v/>
      </c>
      <c r="J2481" s="91" t="str">
        <f t="shared" si="195"/>
        <v/>
      </c>
      <c r="K2481" s="92" t="str">
        <f>IF(AND(A2481="",B2481="",D2481="",G2481=""),"",IF(AND(A2481&lt;&gt;"",COUNTIF($A$2:$A$5001,A2481)&gt;1),"NUMERO_PC duplicado",IF(B2481="","DATA_PC vazia",IF(NOT(ISNUMBER(B2481)),"DATA_PC invalida",IF(OR(C2481="",C2481="Fora dos ciclos"),"CICLO_PC nao identificado",IF(OR(D2481="",D2481=0),"VALOR_PC vazio ou zero",IF(AND(G2481&lt;&gt;"Sim",G2481&lt;&gt;"Nao",G2481&lt;&gt;""),"PC_PAGO_A_CONTRATADA invalido",IF(AND(C2481&lt;&gt;"C0",IFERROR(INDEX(parametros!$A$2:$A$6,MATCH(C2481,parametros!$B$2:$B$6,0)),"")="Sim",IFERROR(INDEX(parametros!$H$2:$H$6,MATCH(C2481,parametros!$B$2:$B$6,0)),"")=""),"INICIO_EFEITO ausente: PC "&amp;A2481&amp;" - "&amp;C2481,IF(L2481="","EFEITO_PC nao calculado: PC "&amp;A2481&amp;" - "&amp;C2481,"OK")))))))))</f>
        <v/>
      </c>
      <c r="L2481" s="92" t="str">
        <f>IF(AND(A2481="",B2481="",D2481="",G2481=""),"",IF(OR(B2481="",NOT(ISNUMBER(B2481)),C2481="",C2481="Fora dos ciclos"),"",IF(C2481="C0","Nao",IF(IFERROR(INDEX(parametros!$A$2:$A$6,MATCH(C2481,parametros!$B$2:$B$6,0)),"")&lt;&gt;"Sim","Nao",IF(IFERROR(INDEX(parametros!$H$2:$H$6,MATCH(C2481,parametros!$B$2:$B$6,0)),"")="","",IF(B2481&gt;=IFERROR(INDEX(parametros!$H$2:$H$6,MATCH(C2481,parametros!$B$2:$B$6,0)),""),"Sim","Nao"))))))</f>
        <v/>
      </c>
      <c r="T2481" s="156"/>
      <c r="U2481" s="214" t="str">
        <f t="shared" si="196"/>
        <v/>
      </c>
      <c r="V2481" s="212" t="s">
        <v>50</v>
      </c>
      <c r="W2481" s="100" t="s">
        <v>168</v>
      </c>
      <c r="X2481" s="100" t="s">
        <v>169</v>
      </c>
      <c r="Y2481" s="101" t="s">
        <v>170</v>
      </c>
      <c r="Z2481" s="101" t="s">
        <v>171</v>
      </c>
      <c r="AA2481" s="101" t="s">
        <v>50</v>
      </c>
      <c r="AB2481" s="101" t="s">
        <v>172</v>
      </c>
      <c r="AC2481" s="102" t="s">
        <v>173</v>
      </c>
    </row>
    <row r="2482" spans="1:29" ht="25.5" customHeight="1" x14ac:dyDescent="0.35">
      <c r="A2482" s="392"/>
      <c r="B2482" s="393"/>
      <c r="C2482" s="99" t="str">
        <f>IF(B2482="","",IF(NOT(ISNUMBER(B2482)),"DATA_PC invalida",IF(NOT(ISNUMBER(parametros!$C$2)),"Fora dos ciclos",IF(OR(B2482&lt;parametros!$C$2,(YEAR(B2482)-YEAR(parametros!$C$2))*12+MONTH(B2482)-MONTH(parametros!$C$2)&gt;59),"Fora dos ciclos","C"&amp;INT(((YEAR(B2482)-YEAR(parametros!$C$2))*12+MONTH(B2482)-MONTH(parametros!$C$2))/12)))))</f>
        <v/>
      </c>
      <c r="D2482" s="394"/>
      <c r="E2482" s="78" t="str">
        <f>IF(C2482="","",IFERROR(VLOOKUP(C2482,parametros!$A$11:$E$15,5,0),""))</f>
        <v/>
      </c>
      <c r="F2482" s="79" t="str">
        <f t="shared" si="192"/>
        <v/>
      </c>
      <c r="G2482" s="395"/>
      <c r="H2482" s="91">
        <f t="shared" si="193"/>
        <v>0</v>
      </c>
      <c r="I2482" s="91" t="str">
        <f t="shared" si="194"/>
        <v/>
      </c>
      <c r="J2482" s="91" t="str">
        <f t="shared" si="195"/>
        <v/>
      </c>
      <c r="K2482" s="92" t="str">
        <f>IF(AND(A2482="",B2482="",D2482="",G2482=""),"",IF(AND(A2482&lt;&gt;"",COUNTIF($A$2:$A$5001,A2482)&gt;1),"NUMERO_PC duplicado",IF(B2482="","DATA_PC vazia",IF(NOT(ISNUMBER(B2482)),"DATA_PC invalida",IF(OR(C2482="",C2482="Fora dos ciclos"),"CICLO_PC nao identificado",IF(OR(D2482="",D2482=0),"VALOR_PC vazio ou zero",IF(AND(G2482&lt;&gt;"Sim",G2482&lt;&gt;"Nao",G2482&lt;&gt;""),"PC_PAGO_A_CONTRATADA invalido",IF(AND(C2482&lt;&gt;"C0",IFERROR(INDEX(parametros!$A$2:$A$6,MATCH(C2482,parametros!$B$2:$B$6,0)),"")="Sim",IFERROR(INDEX(parametros!$H$2:$H$6,MATCH(C2482,parametros!$B$2:$B$6,0)),"")=""),"INICIO_EFEITO ausente: PC "&amp;A2482&amp;" - "&amp;C2482,IF(L2482="","EFEITO_PC nao calculado: PC "&amp;A2482&amp;" - "&amp;C2482,"OK")))))))))</f>
        <v/>
      </c>
      <c r="L2482" s="92" t="str">
        <f>IF(AND(A2482="",B2482="",D2482="",G2482=""),"",IF(OR(B2482="",NOT(ISNUMBER(B2482)),C2482="",C2482="Fora dos ciclos"),"",IF(C2482="C0","Nao",IF(IFERROR(INDEX(parametros!$A$2:$A$6,MATCH(C2482,parametros!$B$2:$B$6,0)),"")&lt;&gt;"Sim","Nao",IF(IFERROR(INDEX(parametros!$H$2:$H$6,MATCH(C2482,parametros!$B$2:$B$6,0)),"")="","",IF(B2482&gt;=IFERROR(INDEX(parametros!$H$2:$H$6,MATCH(C2482,parametros!$B$2:$B$6,0)),""),"Sim","Nao"))))))</f>
        <v/>
      </c>
      <c r="T2482" s="156"/>
      <c r="U2482" s="214" t="str">
        <f t="shared" si="196"/>
        <v/>
      </c>
      <c r="V2482" s="212" t="s">
        <v>50</v>
      </c>
      <c r="W2482" s="100" t="s">
        <v>168</v>
      </c>
      <c r="X2482" s="100" t="s">
        <v>169</v>
      </c>
      <c r="Y2482" s="101" t="s">
        <v>170</v>
      </c>
      <c r="Z2482" s="101" t="s">
        <v>171</v>
      </c>
      <c r="AA2482" s="101" t="s">
        <v>50</v>
      </c>
      <c r="AB2482" s="101" t="s">
        <v>172</v>
      </c>
      <c r="AC2482" s="102" t="s">
        <v>173</v>
      </c>
    </row>
    <row r="2483" spans="1:29" ht="25.5" customHeight="1" x14ac:dyDescent="0.35">
      <c r="A2483" s="392"/>
      <c r="B2483" s="393"/>
      <c r="C2483" s="99" t="str">
        <f>IF(B2483="","",IF(NOT(ISNUMBER(B2483)),"DATA_PC invalida",IF(NOT(ISNUMBER(parametros!$C$2)),"Fora dos ciclos",IF(OR(B2483&lt;parametros!$C$2,(YEAR(B2483)-YEAR(parametros!$C$2))*12+MONTH(B2483)-MONTH(parametros!$C$2)&gt;59),"Fora dos ciclos","C"&amp;INT(((YEAR(B2483)-YEAR(parametros!$C$2))*12+MONTH(B2483)-MONTH(parametros!$C$2))/12)))))</f>
        <v/>
      </c>
      <c r="D2483" s="394"/>
      <c r="E2483" s="78" t="str">
        <f>IF(C2483="","",IFERROR(VLOOKUP(C2483,parametros!$A$11:$E$15,5,0),""))</f>
        <v/>
      </c>
      <c r="F2483" s="79" t="str">
        <f t="shared" si="192"/>
        <v/>
      </c>
      <c r="G2483" s="395"/>
      <c r="H2483" s="91">
        <f t="shared" si="193"/>
        <v>0</v>
      </c>
      <c r="I2483" s="91" t="str">
        <f t="shared" si="194"/>
        <v/>
      </c>
      <c r="J2483" s="91" t="str">
        <f t="shared" si="195"/>
        <v/>
      </c>
      <c r="K2483" s="92" t="str">
        <f>IF(AND(A2483="",B2483="",D2483="",G2483=""),"",IF(AND(A2483&lt;&gt;"",COUNTIF($A$2:$A$5001,A2483)&gt;1),"NUMERO_PC duplicado",IF(B2483="","DATA_PC vazia",IF(NOT(ISNUMBER(B2483)),"DATA_PC invalida",IF(OR(C2483="",C2483="Fora dos ciclos"),"CICLO_PC nao identificado",IF(OR(D2483="",D2483=0),"VALOR_PC vazio ou zero",IF(AND(G2483&lt;&gt;"Sim",G2483&lt;&gt;"Nao",G2483&lt;&gt;""),"PC_PAGO_A_CONTRATADA invalido",IF(AND(C2483&lt;&gt;"C0",IFERROR(INDEX(parametros!$A$2:$A$6,MATCH(C2483,parametros!$B$2:$B$6,0)),"")="Sim",IFERROR(INDEX(parametros!$H$2:$H$6,MATCH(C2483,parametros!$B$2:$B$6,0)),"")=""),"INICIO_EFEITO ausente: PC "&amp;A2483&amp;" - "&amp;C2483,IF(L2483="","EFEITO_PC nao calculado: PC "&amp;A2483&amp;" - "&amp;C2483,"OK")))))))))</f>
        <v/>
      </c>
      <c r="L2483" s="92" t="str">
        <f>IF(AND(A2483="",B2483="",D2483="",G2483=""),"",IF(OR(B2483="",NOT(ISNUMBER(B2483)),C2483="",C2483="Fora dos ciclos"),"",IF(C2483="C0","Nao",IF(IFERROR(INDEX(parametros!$A$2:$A$6,MATCH(C2483,parametros!$B$2:$B$6,0)),"")&lt;&gt;"Sim","Nao",IF(IFERROR(INDEX(parametros!$H$2:$H$6,MATCH(C2483,parametros!$B$2:$B$6,0)),"")="","",IF(B2483&gt;=IFERROR(INDEX(parametros!$H$2:$H$6,MATCH(C2483,parametros!$B$2:$B$6,0)),""),"Sim","Nao"))))))</f>
        <v/>
      </c>
      <c r="T2483" s="156"/>
      <c r="U2483" s="214" t="str">
        <f t="shared" si="196"/>
        <v/>
      </c>
      <c r="V2483" s="212" t="s">
        <v>50</v>
      </c>
      <c r="W2483" s="100" t="s">
        <v>168</v>
      </c>
      <c r="X2483" s="100" t="s">
        <v>169</v>
      </c>
      <c r="Y2483" s="101" t="s">
        <v>170</v>
      </c>
      <c r="Z2483" s="101" t="s">
        <v>171</v>
      </c>
      <c r="AA2483" s="101" t="s">
        <v>50</v>
      </c>
      <c r="AB2483" s="101" t="s">
        <v>172</v>
      </c>
      <c r="AC2483" s="102" t="s">
        <v>173</v>
      </c>
    </row>
    <row r="2484" spans="1:29" ht="25.5" customHeight="1" x14ac:dyDescent="0.35">
      <c r="A2484" s="392"/>
      <c r="B2484" s="393"/>
      <c r="C2484" s="99" t="str">
        <f>IF(B2484="","",IF(NOT(ISNUMBER(B2484)),"DATA_PC invalida",IF(NOT(ISNUMBER(parametros!$C$2)),"Fora dos ciclos",IF(OR(B2484&lt;parametros!$C$2,(YEAR(B2484)-YEAR(parametros!$C$2))*12+MONTH(B2484)-MONTH(parametros!$C$2)&gt;59),"Fora dos ciclos","C"&amp;INT(((YEAR(B2484)-YEAR(parametros!$C$2))*12+MONTH(B2484)-MONTH(parametros!$C$2))/12)))))</f>
        <v/>
      </c>
      <c r="D2484" s="394"/>
      <c r="E2484" s="78" t="str">
        <f>IF(C2484="","",IFERROR(VLOOKUP(C2484,parametros!$A$11:$E$15,5,0),""))</f>
        <v/>
      </c>
      <c r="F2484" s="79" t="str">
        <f t="shared" si="192"/>
        <v/>
      </c>
      <c r="G2484" s="395"/>
      <c r="H2484" s="91">
        <f t="shared" si="193"/>
        <v>0</v>
      </c>
      <c r="I2484" s="91" t="str">
        <f t="shared" si="194"/>
        <v/>
      </c>
      <c r="J2484" s="91" t="str">
        <f t="shared" si="195"/>
        <v/>
      </c>
      <c r="K2484" s="92" t="str">
        <f>IF(AND(A2484="",B2484="",D2484="",G2484=""),"",IF(AND(A2484&lt;&gt;"",COUNTIF($A$2:$A$5001,A2484)&gt;1),"NUMERO_PC duplicado",IF(B2484="","DATA_PC vazia",IF(NOT(ISNUMBER(B2484)),"DATA_PC invalida",IF(OR(C2484="",C2484="Fora dos ciclos"),"CICLO_PC nao identificado",IF(OR(D2484="",D2484=0),"VALOR_PC vazio ou zero",IF(AND(G2484&lt;&gt;"Sim",G2484&lt;&gt;"Nao",G2484&lt;&gt;""),"PC_PAGO_A_CONTRATADA invalido",IF(AND(C2484&lt;&gt;"C0",IFERROR(INDEX(parametros!$A$2:$A$6,MATCH(C2484,parametros!$B$2:$B$6,0)),"")="Sim",IFERROR(INDEX(parametros!$H$2:$H$6,MATCH(C2484,parametros!$B$2:$B$6,0)),"")=""),"INICIO_EFEITO ausente: PC "&amp;A2484&amp;" - "&amp;C2484,IF(L2484="","EFEITO_PC nao calculado: PC "&amp;A2484&amp;" - "&amp;C2484,"OK")))))))))</f>
        <v/>
      </c>
      <c r="L2484" s="92" t="str">
        <f>IF(AND(A2484="",B2484="",D2484="",G2484=""),"",IF(OR(B2484="",NOT(ISNUMBER(B2484)),C2484="",C2484="Fora dos ciclos"),"",IF(C2484="C0","Nao",IF(IFERROR(INDEX(parametros!$A$2:$A$6,MATCH(C2484,parametros!$B$2:$B$6,0)),"")&lt;&gt;"Sim","Nao",IF(IFERROR(INDEX(parametros!$H$2:$H$6,MATCH(C2484,parametros!$B$2:$B$6,0)),"")="","",IF(B2484&gt;=IFERROR(INDEX(parametros!$H$2:$H$6,MATCH(C2484,parametros!$B$2:$B$6,0)),""),"Sim","Nao"))))))</f>
        <v/>
      </c>
      <c r="T2484" s="156"/>
      <c r="U2484" s="214" t="str">
        <f t="shared" si="196"/>
        <v/>
      </c>
      <c r="V2484" s="212" t="s">
        <v>50</v>
      </c>
      <c r="W2484" s="100" t="s">
        <v>168</v>
      </c>
      <c r="X2484" s="100" t="s">
        <v>169</v>
      </c>
      <c r="Y2484" s="101" t="s">
        <v>170</v>
      </c>
      <c r="Z2484" s="101" t="s">
        <v>171</v>
      </c>
      <c r="AA2484" s="101" t="s">
        <v>50</v>
      </c>
      <c r="AB2484" s="101" t="s">
        <v>172</v>
      </c>
      <c r="AC2484" s="102" t="s">
        <v>173</v>
      </c>
    </row>
    <row r="2485" spans="1:29" ht="25.5" customHeight="1" x14ac:dyDescent="0.35">
      <c r="A2485" s="392"/>
      <c r="B2485" s="393"/>
      <c r="C2485" s="99" t="str">
        <f>IF(B2485="","",IF(NOT(ISNUMBER(B2485)),"DATA_PC invalida",IF(NOT(ISNUMBER(parametros!$C$2)),"Fora dos ciclos",IF(OR(B2485&lt;parametros!$C$2,(YEAR(B2485)-YEAR(parametros!$C$2))*12+MONTH(B2485)-MONTH(parametros!$C$2)&gt;59),"Fora dos ciclos","C"&amp;INT(((YEAR(B2485)-YEAR(parametros!$C$2))*12+MONTH(B2485)-MONTH(parametros!$C$2))/12)))))</f>
        <v/>
      </c>
      <c r="D2485" s="394"/>
      <c r="E2485" s="78" t="str">
        <f>IF(C2485="","",IFERROR(VLOOKUP(C2485,parametros!$A$11:$E$15,5,0),""))</f>
        <v/>
      </c>
      <c r="F2485" s="79" t="str">
        <f t="shared" si="192"/>
        <v/>
      </c>
      <c r="G2485" s="395"/>
      <c r="H2485" s="91">
        <f t="shared" si="193"/>
        <v>0</v>
      </c>
      <c r="I2485" s="91" t="str">
        <f t="shared" si="194"/>
        <v/>
      </c>
      <c r="J2485" s="91" t="str">
        <f t="shared" si="195"/>
        <v/>
      </c>
      <c r="K2485" s="92" t="str">
        <f>IF(AND(A2485="",B2485="",D2485="",G2485=""),"",IF(AND(A2485&lt;&gt;"",COUNTIF($A$2:$A$5001,A2485)&gt;1),"NUMERO_PC duplicado",IF(B2485="","DATA_PC vazia",IF(NOT(ISNUMBER(B2485)),"DATA_PC invalida",IF(OR(C2485="",C2485="Fora dos ciclos"),"CICLO_PC nao identificado",IF(OR(D2485="",D2485=0),"VALOR_PC vazio ou zero",IF(AND(G2485&lt;&gt;"Sim",G2485&lt;&gt;"Nao",G2485&lt;&gt;""),"PC_PAGO_A_CONTRATADA invalido",IF(AND(C2485&lt;&gt;"C0",IFERROR(INDEX(parametros!$A$2:$A$6,MATCH(C2485,parametros!$B$2:$B$6,0)),"")="Sim",IFERROR(INDEX(parametros!$H$2:$H$6,MATCH(C2485,parametros!$B$2:$B$6,0)),"")=""),"INICIO_EFEITO ausente: PC "&amp;A2485&amp;" - "&amp;C2485,IF(L2485="","EFEITO_PC nao calculado: PC "&amp;A2485&amp;" - "&amp;C2485,"OK")))))))))</f>
        <v/>
      </c>
      <c r="L2485" s="92" t="str">
        <f>IF(AND(A2485="",B2485="",D2485="",G2485=""),"",IF(OR(B2485="",NOT(ISNUMBER(B2485)),C2485="",C2485="Fora dos ciclos"),"",IF(C2485="C0","Nao",IF(IFERROR(INDEX(parametros!$A$2:$A$6,MATCH(C2485,parametros!$B$2:$B$6,0)),"")&lt;&gt;"Sim","Nao",IF(IFERROR(INDEX(parametros!$H$2:$H$6,MATCH(C2485,parametros!$B$2:$B$6,0)),"")="","",IF(B2485&gt;=IFERROR(INDEX(parametros!$H$2:$H$6,MATCH(C2485,parametros!$B$2:$B$6,0)),""),"Sim","Nao"))))))</f>
        <v/>
      </c>
      <c r="T2485" s="156"/>
      <c r="U2485" s="214" t="str">
        <f t="shared" si="196"/>
        <v/>
      </c>
      <c r="V2485" s="212" t="s">
        <v>50</v>
      </c>
      <c r="W2485" s="100" t="s">
        <v>168</v>
      </c>
      <c r="X2485" s="100" t="s">
        <v>169</v>
      </c>
      <c r="Y2485" s="101" t="s">
        <v>170</v>
      </c>
      <c r="Z2485" s="101" t="s">
        <v>171</v>
      </c>
      <c r="AA2485" s="101" t="s">
        <v>50</v>
      </c>
      <c r="AB2485" s="101" t="s">
        <v>172</v>
      </c>
      <c r="AC2485" s="102" t="s">
        <v>173</v>
      </c>
    </row>
    <row r="2486" spans="1:29" ht="25.5" customHeight="1" x14ac:dyDescent="0.35">
      <c r="A2486" s="392"/>
      <c r="B2486" s="393"/>
      <c r="C2486" s="99" t="str">
        <f>IF(B2486="","",IF(NOT(ISNUMBER(B2486)),"DATA_PC invalida",IF(NOT(ISNUMBER(parametros!$C$2)),"Fora dos ciclos",IF(OR(B2486&lt;parametros!$C$2,(YEAR(B2486)-YEAR(parametros!$C$2))*12+MONTH(B2486)-MONTH(parametros!$C$2)&gt;59),"Fora dos ciclos","C"&amp;INT(((YEAR(B2486)-YEAR(parametros!$C$2))*12+MONTH(B2486)-MONTH(parametros!$C$2))/12)))))</f>
        <v/>
      </c>
      <c r="D2486" s="394"/>
      <c r="E2486" s="78" t="str">
        <f>IF(C2486="","",IFERROR(VLOOKUP(C2486,parametros!$A$11:$E$15,5,0),""))</f>
        <v/>
      </c>
      <c r="F2486" s="79" t="str">
        <f t="shared" si="192"/>
        <v/>
      </c>
      <c r="G2486" s="395"/>
      <c r="H2486" s="91">
        <f t="shared" si="193"/>
        <v>0</v>
      </c>
      <c r="I2486" s="91" t="str">
        <f t="shared" si="194"/>
        <v/>
      </c>
      <c r="J2486" s="91" t="str">
        <f t="shared" si="195"/>
        <v/>
      </c>
      <c r="K2486" s="92" t="str">
        <f>IF(AND(A2486="",B2486="",D2486="",G2486=""),"",IF(AND(A2486&lt;&gt;"",COUNTIF($A$2:$A$5001,A2486)&gt;1),"NUMERO_PC duplicado",IF(B2486="","DATA_PC vazia",IF(NOT(ISNUMBER(B2486)),"DATA_PC invalida",IF(OR(C2486="",C2486="Fora dos ciclos"),"CICLO_PC nao identificado",IF(OR(D2486="",D2486=0),"VALOR_PC vazio ou zero",IF(AND(G2486&lt;&gt;"Sim",G2486&lt;&gt;"Nao",G2486&lt;&gt;""),"PC_PAGO_A_CONTRATADA invalido",IF(AND(C2486&lt;&gt;"C0",IFERROR(INDEX(parametros!$A$2:$A$6,MATCH(C2486,parametros!$B$2:$B$6,0)),"")="Sim",IFERROR(INDEX(parametros!$H$2:$H$6,MATCH(C2486,parametros!$B$2:$B$6,0)),"")=""),"INICIO_EFEITO ausente: PC "&amp;A2486&amp;" - "&amp;C2486,IF(L2486="","EFEITO_PC nao calculado: PC "&amp;A2486&amp;" - "&amp;C2486,"OK")))))))))</f>
        <v/>
      </c>
      <c r="L2486" s="92" t="str">
        <f>IF(AND(A2486="",B2486="",D2486="",G2486=""),"",IF(OR(B2486="",NOT(ISNUMBER(B2486)),C2486="",C2486="Fora dos ciclos"),"",IF(C2486="C0","Nao",IF(IFERROR(INDEX(parametros!$A$2:$A$6,MATCH(C2486,parametros!$B$2:$B$6,0)),"")&lt;&gt;"Sim","Nao",IF(IFERROR(INDEX(parametros!$H$2:$H$6,MATCH(C2486,parametros!$B$2:$B$6,0)),"")="","",IF(B2486&gt;=IFERROR(INDEX(parametros!$H$2:$H$6,MATCH(C2486,parametros!$B$2:$B$6,0)),""),"Sim","Nao"))))))</f>
        <v/>
      </c>
      <c r="T2486" s="156"/>
      <c r="U2486" s="214" t="str">
        <f t="shared" si="196"/>
        <v/>
      </c>
      <c r="V2486" s="212" t="s">
        <v>50</v>
      </c>
      <c r="W2486" s="100" t="s">
        <v>168</v>
      </c>
      <c r="X2486" s="100" t="s">
        <v>169</v>
      </c>
      <c r="Y2486" s="101" t="s">
        <v>170</v>
      </c>
      <c r="Z2486" s="101" t="s">
        <v>171</v>
      </c>
      <c r="AA2486" s="101" t="s">
        <v>50</v>
      </c>
      <c r="AB2486" s="101" t="s">
        <v>172</v>
      </c>
      <c r="AC2486" s="102" t="s">
        <v>173</v>
      </c>
    </row>
    <row r="2487" spans="1:29" ht="25.5" customHeight="1" x14ac:dyDescent="0.35">
      <c r="A2487" s="392"/>
      <c r="B2487" s="393"/>
      <c r="C2487" s="99" t="str">
        <f>IF(B2487="","",IF(NOT(ISNUMBER(B2487)),"DATA_PC invalida",IF(NOT(ISNUMBER(parametros!$C$2)),"Fora dos ciclos",IF(OR(B2487&lt;parametros!$C$2,(YEAR(B2487)-YEAR(parametros!$C$2))*12+MONTH(B2487)-MONTH(parametros!$C$2)&gt;59),"Fora dos ciclos","C"&amp;INT(((YEAR(B2487)-YEAR(parametros!$C$2))*12+MONTH(B2487)-MONTH(parametros!$C$2))/12)))))</f>
        <v/>
      </c>
      <c r="D2487" s="394"/>
      <c r="E2487" s="78" t="str">
        <f>IF(C2487="","",IFERROR(VLOOKUP(C2487,parametros!$A$11:$E$15,5,0),""))</f>
        <v/>
      </c>
      <c r="F2487" s="79" t="str">
        <f t="shared" si="192"/>
        <v/>
      </c>
      <c r="G2487" s="395"/>
      <c r="H2487" s="91">
        <f t="shared" si="193"/>
        <v>0</v>
      </c>
      <c r="I2487" s="91" t="str">
        <f t="shared" si="194"/>
        <v/>
      </c>
      <c r="J2487" s="91" t="str">
        <f t="shared" si="195"/>
        <v/>
      </c>
      <c r="K2487" s="92" t="str">
        <f>IF(AND(A2487="",B2487="",D2487="",G2487=""),"",IF(AND(A2487&lt;&gt;"",COUNTIF($A$2:$A$5001,A2487)&gt;1),"NUMERO_PC duplicado",IF(B2487="","DATA_PC vazia",IF(NOT(ISNUMBER(B2487)),"DATA_PC invalida",IF(OR(C2487="",C2487="Fora dos ciclos"),"CICLO_PC nao identificado",IF(OR(D2487="",D2487=0),"VALOR_PC vazio ou zero",IF(AND(G2487&lt;&gt;"Sim",G2487&lt;&gt;"Nao",G2487&lt;&gt;""),"PC_PAGO_A_CONTRATADA invalido",IF(AND(C2487&lt;&gt;"C0",IFERROR(INDEX(parametros!$A$2:$A$6,MATCH(C2487,parametros!$B$2:$B$6,0)),"")="Sim",IFERROR(INDEX(parametros!$H$2:$H$6,MATCH(C2487,parametros!$B$2:$B$6,0)),"")=""),"INICIO_EFEITO ausente: PC "&amp;A2487&amp;" - "&amp;C2487,IF(L2487="","EFEITO_PC nao calculado: PC "&amp;A2487&amp;" - "&amp;C2487,"OK")))))))))</f>
        <v/>
      </c>
      <c r="L2487" s="92" t="str">
        <f>IF(AND(A2487="",B2487="",D2487="",G2487=""),"",IF(OR(B2487="",NOT(ISNUMBER(B2487)),C2487="",C2487="Fora dos ciclos"),"",IF(C2487="C0","Nao",IF(IFERROR(INDEX(parametros!$A$2:$A$6,MATCH(C2487,parametros!$B$2:$B$6,0)),"")&lt;&gt;"Sim","Nao",IF(IFERROR(INDEX(parametros!$H$2:$H$6,MATCH(C2487,parametros!$B$2:$B$6,0)),"")="","",IF(B2487&gt;=IFERROR(INDEX(parametros!$H$2:$H$6,MATCH(C2487,parametros!$B$2:$B$6,0)),""),"Sim","Nao"))))))</f>
        <v/>
      </c>
      <c r="T2487" s="156"/>
      <c r="U2487" s="214" t="str">
        <f t="shared" si="196"/>
        <v/>
      </c>
      <c r="V2487" s="212" t="s">
        <v>50</v>
      </c>
      <c r="W2487" s="100" t="s">
        <v>168</v>
      </c>
      <c r="X2487" s="100" t="s">
        <v>169</v>
      </c>
      <c r="Y2487" s="101" t="s">
        <v>170</v>
      </c>
      <c r="Z2487" s="101" t="s">
        <v>171</v>
      </c>
      <c r="AA2487" s="101" t="s">
        <v>50</v>
      </c>
      <c r="AB2487" s="101" t="s">
        <v>172</v>
      </c>
      <c r="AC2487" s="102" t="s">
        <v>173</v>
      </c>
    </row>
    <row r="2488" spans="1:29" ht="25.5" customHeight="1" x14ac:dyDescent="0.35">
      <c r="A2488" s="392"/>
      <c r="B2488" s="393"/>
      <c r="C2488" s="99" t="str">
        <f>IF(B2488="","",IF(NOT(ISNUMBER(B2488)),"DATA_PC invalida",IF(NOT(ISNUMBER(parametros!$C$2)),"Fora dos ciclos",IF(OR(B2488&lt;parametros!$C$2,(YEAR(B2488)-YEAR(parametros!$C$2))*12+MONTH(B2488)-MONTH(parametros!$C$2)&gt;59),"Fora dos ciclos","C"&amp;INT(((YEAR(B2488)-YEAR(parametros!$C$2))*12+MONTH(B2488)-MONTH(parametros!$C$2))/12)))))</f>
        <v/>
      </c>
      <c r="D2488" s="394"/>
      <c r="E2488" s="78" t="str">
        <f>IF(C2488="","",IFERROR(VLOOKUP(C2488,parametros!$A$11:$E$15,5,0),""))</f>
        <v/>
      </c>
      <c r="F2488" s="79" t="str">
        <f t="shared" si="192"/>
        <v/>
      </c>
      <c r="G2488" s="395"/>
      <c r="H2488" s="91">
        <f t="shared" si="193"/>
        <v>0</v>
      </c>
      <c r="I2488" s="91" t="str">
        <f t="shared" si="194"/>
        <v/>
      </c>
      <c r="J2488" s="91" t="str">
        <f t="shared" si="195"/>
        <v/>
      </c>
      <c r="K2488" s="92" t="str">
        <f>IF(AND(A2488="",B2488="",D2488="",G2488=""),"",IF(AND(A2488&lt;&gt;"",COUNTIF($A$2:$A$5001,A2488)&gt;1),"NUMERO_PC duplicado",IF(B2488="","DATA_PC vazia",IF(NOT(ISNUMBER(B2488)),"DATA_PC invalida",IF(OR(C2488="",C2488="Fora dos ciclos"),"CICLO_PC nao identificado",IF(OR(D2488="",D2488=0),"VALOR_PC vazio ou zero",IF(AND(G2488&lt;&gt;"Sim",G2488&lt;&gt;"Nao",G2488&lt;&gt;""),"PC_PAGO_A_CONTRATADA invalido",IF(AND(C2488&lt;&gt;"C0",IFERROR(INDEX(parametros!$A$2:$A$6,MATCH(C2488,parametros!$B$2:$B$6,0)),"")="Sim",IFERROR(INDEX(parametros!$H$2:$H$6,MATCH(C2488,parametros!$B$2:$B$6,0)),"")=""),"INICIO_EFEITO ausente: PC "&amp;A2488&amp;" - "&amp;C2488,IF(L2488="","EFEITO_PC nao calculado: PC "&amp;A2488&amp;" - "&amp;C2488,"OK")))))))))</f>
        <v/>
      </c>
      <c r="L2488" s="92" t="str">
        <f>IF(AND(A2488="",B2488="",D2488="",G2488=""),"",IF(OR(B2488="",NOT(ISNUMBER(B2488)),C2488="",C2488="Fora dos ciclos"),"",IF(C2488="C0","Nao",IF(IFERROR(INDEX(parametros!$A$2:$A$6,MATCH(C2488,parametros!$B$2:$B$6,0)),"")&lt;&gt;"Sim","Nao",IF(IFERROR(INDEX(parametros!$H$2:$H$6,MATCH(C2488,parametros!$B$2:$B$6,0)),"")="","",IF(B2488&gt;=IFERROR(INDEX(parametros!$H$2:$H$6,MATCH(C2488,parametros!$B$2:$B$6,0)),""),"Sim","Nao"))))))</f>
        <v/>
      </c>
      <c r="T2488" s="156"/>
      <c r="U2488" s="214" t="str">
        <f t="shared" si="196"/>
        <v/>
      </c>
      <c r="V2488" s="212" t="s">
        <v>50</v>
      </c>
      <c r="W2488" s="100" t="s">
        <v>168</v>
      </c>
      <c r="X2488" s="100" t="s">
        <v>169</v>
      </c>
      <c r="Y2488" s="101" t="s">
        <v>170</v>
      </c>
      <c r="Z2488" s="101" t="s">
        <v>171</v>
      </c>
      <c r="AA2488" s="101" t="s">
        <v>50</v>
      </c>
      <c r="AB2488" s="101" t="s">
        <v>172</v>
      </c>
      <c r="AC2488" s="102" t="s">
        <v>173</v>
      </c>
    </row>
    <row r="2489" spans="1:29" ht="25.5" customHeight="1" x14ac:dyDescent="0.35">
      <c r="A2489" s="392"/>
      <c r="B2489" s="393"/>
      <c r="C2489" s="99" t="str">
        <f>IF(B2489="","",IF(NOT(ISNUMBER(B2489)),"DATA_PC invalida",IF(NOT(ISNUMBER(parametros!$C$2)),"Fora dos ciclos",IF(OR(B2489&lt;parametros!$C$2,(YEAR(B2489)-YEAR(parametros!$C$2))*12+MONTH(B2489)-MONTH(parametros!$C$2)&gt;59),"Fora dos ciclos","C"&amp;INT(((YEAR(B2489)-YEAR(parametros!$C$2))*12+MONTH(B2489)-MONTH(parametros!$C$2))/12)))))</f>
        <v/>
      </c>
      <c r="D2489" s="394"/>
      <c r="E2489" s="78" t="str">
        <f>IF(C2489="","",IFERROR(VLOOKUP(C2489,parametros!$A$11:$E$15,5,0),""))</f>
        <v/>
      </c>
      <c r="F2489" s="79" t="str">
        <f t="shared" si="192"/>
        <v/>
      </c>
      <c r="G2489" s="395"/>
      <c r="H2489" s="91">
        <f t="shared" si="193"/>
        <v>0</v>
      </c>
      <c r="I2489" s="91" t="str">
        <f t="shared" si="194"/>
        <v/>
      </c>
      <c r="J2489" s="91" t="str">
        <f t="shared" si="195"/>
        <v/>
      </c>
      <c r="K2489" s="92" t="str">
        <f>IF(AND(A2489="",B2489="",D2489="",G2489=""),"",IF(AND(A2489&lt;&gt;"",COUNTIF($A$2:$A$5001,A2489)&gt;1),"NUMERO_PC duplicado",IF(B2489="","DATA_PC vazia",IF(NOT(ISNUMBER(B2489)),"DATA_PC invalida",IF(OR(C2489="",C2489="Fora dos ciclos"),"CICLO_PC nao identificado",IF(OR(D2489="",D2489=0),"VALOR_PC vazio ou zero",IF(AND(G2489&lt;&gt;"Sim",G2489&lt;&gt;"Nao",G2489&lt;&gt;""),"PC_PAGO_A_CONTRATADA invalido",IF(AND(C2489&lt;&gt;"C0",IFERROR(INDEX(parametros!$A$2:$A$6,MATCH(C2489,parametros!$B$2:$B$6,0)),"")="Sim",IFERROR(INDEX(parametros!$H$2:$H$6,MATCH(C2489,parametros!$B$2:$B$6,0)),"")=""),"INICIO_EFEITO ausente: PC "&amp;A2489&amp;" - "&amp;C2489,IF(L2489="","EFEITO_PC nao calculado: PC "&amp;A2489&amp;" - "&amp;C2489,"OK")))))))))</f>
        <v/>
      </c>
      <c r="L2489" s="92" t="str">
        <f>IF(AND(A2489="",B2489="",D2489="",G2489=""),"",IF(OR(B2489="",NOT(ISNUMBER(B2489)),C2489="",C2489="Fora dos ciclos"),"",IF(C2489="C0","Nao",IF(IFERROR(INDEX(parametros!$A$2:$A$6,MATCH(C2489,parametros!$B$2:$B$6,0)),"")&lt;&gt;"Sim","Nao",IF(IFERROR(INDEX(parametros!$H$2:$H$6,MATCH(C2489,parametros!$B$2:$B$6,0)),"")="","",IF(B2489&gt;=IFERROR(INDEX(parametros!$H$2:$H$6,MATCH(C2489,parametros!$B$2:$B$6,0)),""),"Sim","Nao"))))))</f>
        <v/>
      </c>
      <c r="T2489" s="156"/>
      <c r="U2489" s="214" t="str">
        <f t="shared" si="196"/>
        <v/>
      </c>
      <c r="V2489" s="212" t="s">
        <v>50</v>
      </c>
      <c r="W2489" s="100" t="s">
        <v>168</v>
      </c>
      <c r="X2489" s="100" t="s">
        <v>169</v>
      </c>
      <c r="Y2489" s="101" t="s">
        <v>170</v>
      </c>
      <c r="Z2489" s="101" t="s">
        <v>171</v>
      </c>
      <c r="AA2489" s="101" t="s">
        <v>50</v>
      </c>
      <c r="AB2489" s="101" t="s">
        <v>172</v>
      </c>
      <c r="AC2489" s="102" t="s">
        <v>173</v>
      </c>
    </row>
    <row r="2490" spans="1:29" ht="25.5" customHeight="1" x14ac:dyDescent="0.35">
      <c r="A2490" s="392"/>
      <c r="B2490" s="393"/>
      <c r="C2490" s="99" t="str">
        <f>IF(B2490="","",IF(NOT(ISNUMBER(B2490)),"DATA_PC invalida",IF(NOT(ISNUMBER(parametros!$C$2)),"Fora dos ciclos",IF(OR(B2490&lt;parametros!$C$2,(YEAR(B2490)-YEAR(parametros!$C$2))*12+MONTH(B2490)-MONTH(parametros!$C$2)&gt;59),"Fora dos ciclos","C"&amp;INT(((YEAR(B2490)-YEAR(parametros!$C$2))*12+MONTH(B2490)-MONTH(parametros!$C$2))/12)))))</f>
        <v/>
      </c>
      <c r="D2490" s="394"/>
      <c r="E2490" s="78" t="str">
        <f>IF(C2490="","",IFERROR(VLOOKUP(C2490,parametros!$A$11:$E$15,5,0),""))</f>
        <v/>
      </c>
      <c r="F2490" s="79" t="str">
        <f t="shared" si="192"/>
        <v/>
      </c>
      <c r="G2490" s="395"/>
      <c r="H2490" s="91">
        <f t="shared" si="193"/>
        <v>0</v>
      </c>
      <c r="I2490" s="91" t="str">
        <f t="shared" si="194"/>
        <v/>
      </c>
      <c r="J2490" s="91" t="str">
        <f t="shared" si="195"/>
        <v/>
      </c>
      <c r="K2490" s="92" t="str">
        <f>IF(AND(A2490="",B2490="",D2490="",G2490=""),"",IF(AND(A2490&lt;&gt;"",COUNTIF($A$2:$A$5001,A2490)&gt;1),"NUMERO_PC duplicado",IF(B2490="","DATA_PC vazia",IF(NOT(ISNUMBER(B2490)),"DATA_PC invalida",IF(OR(C2490="",C2490="Fora dos ciclos"),"CICLO_PC nao identificado",IF(OR(D2490="",D2490=0),"VALOR_PC vazio ou zero",IF(AND(G2490&lt;&gt;"Sim",G2490&lt;&gt;"Nao",G2490&lt;&gt;""),"PC_PAGO_A_CONTRATADA invalido",IF(AND(C2490&lt;&gt;"C0",IFERROR(INDEX(parametros!$A$2:$A$6,MATCH(C2490,parametros!$B$2:$B$6,0)),"")="Sim",IFERROR(INDEX(parametros!$H$2:$H$6,MATCH(C2490,parametros!$B$2:$B$6,0)),"")=""),"INICIO_EFEITO ausente: PC "&amp;A2490&amp;" - "&amp;C2490,IF(L2490="","EFEITO_PC nao calculado: PC "&amp;A2490&amp;" - "&amp;C2490,"OK")))))))))</f>
        <v/>
      </c>
      <c r="L2490" s="92" t="str">
        <f>IF(AND(A2490="",B2490="",D2490="",G2490=""),"",IF(OR(B2490="",NOT(ISNUMBER(B2490)),C2490="",C2490="Fora dos ciclos"),"",IF(C2490="C0","Nao",IF(IFERROR(INDEX(parametros!$A$2:$A$6,MATCH(C2490,parametros!$B$2:$B$6,0)),"")&lt;&gt;"Sim","Nao",IF(IFERROR(INDEX(parametros!$H$2:$H$6,MATCH(C2490,parametros!$B$2:$B$6,0)),"")="","",IF(B2490&gt;=IFERROR(INDEX(parametros!$H$2:$H$6,MATCH(C2490,parametros!$B$2:$B$6,0)),""),"Sim","Nao"))))))</f>
        <v/>
      </c>
      <c r="T2490" s="156"/>
      <c r="U2490" s="214" t="str">
        <f t="shared" si="196"/>
        <v/>
      </c>
      <c r="V2490" s="212" t="s">
        <v>50</v>
      </c>
      <c r="W2490" s="100" t="s">
        <v>168</v>
      </c>
      <c r="X2490" s="100" t="s">
        <v>169</v>
      </c>
      <c r="Y2490" s="101" t="s">
        <v>170</v>
      </c>
      <c r="Z2490" s="101" t="s">
        <v>171</v>
      </c>
      <c r="AA2490" s="101" t="s">
        <v>50</v>
      </c>
      <c r="AB2490" s="101" t="s">
        <v>172</v>
      </c>
      <c r="AC2490" s="102" t="s">
        <v>173</v>
      </c>
    </row>
    <row r="2491" spans="1:29" ht="25.5" customHeight="1" x14ac:dyDescent="0.35">
      <c r="A2491" s="392"/>
      <c r="B2491" s="393"/>
      <c r="C2491" s="99" t="str">
        <f>IF(B2491="","",IF(NOT(ISNUMBER(B2491)),"DATA_PC invalida",IF(NOT(ISNUMBER(parametros!$C$2)),"Fora dos ciclos",IF(OR(B2491&lt;parametros!$C$2,(YEAR(B2491)-YEAR(parametros!$C$2))*12+MONTH(B2491)-MONTH(parametros!$C$2)&gt;59),"Fora dos ciclos","C"&amp;INT(((YEAR(B2491)-YEAR(parametros!$C$2))*12+MONTH(B2491)-MONTH(parametros!$C$2))/12)))))</f>
        <v/>
      </c>
      <c r="D2491" s="394"/>
      <c r="E2491" s="78" t="str">
        <f>IF(C2491="","",IFERROR(VLOOKUP(C2491,parametros!$A$11:$E$15,5,0),""))</f>
        <v/>
      </c>
      <c r="F2491" s="79" t="str">
        <f t="shared" si="192"/>
        <v/>
      </c>
      <c r="G2491" s="395"/>
      <c r="H2491" s="91">
        <f t="shared" si="193"/>
        <v>0</v>
      </c>
      <c r="I2491" s="91" t="str">
        <f t="shared" si="194"/>
        <v/>
      </c>
      <c r="J2491" s="91" t="str">
        <f t="shared" si="195"/>
        <v/>
      </c>
      <c r="K2491" s="92" t="str">
        <f>IF(AND(A2491="",B2491="",D2491="",G2491=""),"",IF(AND(A2491&lt;&gt;"",COUNTIF($A$2:$A$5001,A2491)&gt;1),"NUMERO_PC duplicado",IF(B2491="","DATA_PC vazia",IF(NOT(ISNUMBER(B2491)),"DATA_PC invalida",IF(OR(C2491="",C2491="Fora dos ciclos"),"CICLO_PC nao identificado",IF(OR(D2491="",D2491=0),"VALOR_PC vazio ou zero",IF(AND(G2491&lt;&gt;"Sim",G2491&lt;&gt;"Nao",G2491&lt;&gt;""),"PC_PAGO_A_CONTRATADA invalido",IF(AND(C2491&lt;&gt;"C0",IFERROR(INDEX(parametros!$A$2:$A$6,MATCH(C2491,parametros!$B$2:$B$6,0)),"")="Sim",IFERROR(INDEX(parametros!$H$2:$H$6,MATCH(C2491,parametros!$B$2:$B$6,0)),"")=""),"INICIO_EFEITO ausente: PC "&amp;A2491&amp;" - "&amp;C2491,IF(L2491="","EFEITO_PC nao calculado: PC "&amp;A2491&amp;" - "&amp;C2491,"OK")))))))))</f>
        <v/>
      </c>
      <c r="L2491" s="92" t="str">
        <f>IF(AND(A2491="",B2491="",D2491="",G2491=""),"",IF(OR(B2491="",NOT(ISNUMBER(B2491)),C2491="",C2491="Fora dos ciclos"),"",IF(C2491="C0","Nao",IF(IFERROR(INDEX(parametros!$A$2:$A$6,MATCH(C2491,parametros!$B$2:$B$6,0)),"")&lt;&gt;"Sim","Nao",IF(IFERROR(INDEX(parametros!$H$2:$H$6,MATCH(C2491,parametros!$B$2:$B$6,0)),"")="","",IF(B2491&gt;=IFERROR(INDEX(parametros!$H$2:$H$6,MATCH(C2491,parametros!$B$2:$B$6,0)),""),"Sim","Nao"))))))</f>
        <v/>
      </c>
      <c r="T2491" s="156"/>
      <c r="U2491" s="214" t="str">
        <f t="shared" si="196"/>
        <v/>
      </c>
      <c r="V2491" s="212" t="s">
        <v>50</v>
      </c>
      <c r="W2491" s="100" t="s">
        <v>168</v>
      </c>
      <c r="X2491" s="100" t="s">
        <v>169</v>
      </c>
      <c r="Y2491" s="101" t="s">
        <v>170</v>
      </c>
      <c r="Z2491" s="101" t="s">
        <v>171</v>
      </c>
      <c r="AA2491" s="101" t="s">
        <v>50</v>
      </c>
      <c r="AB2491" s="101" t="s">
        <v>172</v>
      </c>
      <c r="AC2491" s="102" t="s">
        <v>173</v>
      </c>
    </row>
    <row r="2492" spans="1:29" ht="25.5" customHeight="1" x14ac:dyDescent="0.35">
      <c r="A2492" s="392"/>
      <c r="B2492" s="393"/>
      <c r="C2492" s="99" t="str">
        <f>IF(B2492="","",IF(NOT(ISNUMBER(B2492)),"DATA_PC invalida",IF(NOT(ISNUMBER(parametros!$C$2)),"Fora dos ciclos",IF(OR(B2492&lt;parametros!$C$2,(YEAR(B2492)-YEAR(parametros!$C$2))*12+MONTH(B2492)-MONTH(parametros!$C$2)&gt;59),"Fora dos ciclos","C"&amp;INT(((YEAR(B2492)-YEAR(parametros!$C$2))*12+MONTH(B2492)-MONTH(parametros!$C$2))/12)))))</f>
        <v/>
      </c>
      <c r="D2492" s="394"/>
      <c r="E2492" s="78" t="str">
        <f>IF(C2492="","",IFERROR(VLOOKUP(C2492,parametros!$A$11:$E$15,5,0),""))</f>
        <v/>
      </c>
      <c r="F2492" s="79" t="str">
        <f t="shared" si="192"/>
        <v/>
      </c>
      <c r="G2492" s="395"/>
      <c r="H2492" s="91">
        <f t="shared" si="193"/>
        <v>0</v>
      </c>
      <c r="I2492" s="91" t="str">
        <f t="shared" si="194"/>
        <v/>
      </c>
      <c r="J2492" s="91" t="str">
        <f t="shared" si="195"/>
        <v/>
      </c>
      <c r="K2492" s="92" t="str">
        <f>IF(AND(A2492="",B2492="",D2492="",G2492=""),"",IF(AND(A2492&lt;&gt;"",COUNTIF($A$2:$A$5001,A2492)&gt;1),"NUMERO_PC duplicado",IF(B2492="","DATA_PC vazia",IF(NOT(ISNUMBER(B2492)),"DATA_PC invalida",IF(OR(C2492="",C2492="Fora dos ciclos"),"CICLO_PC nao identificado",IF(OR(D2492="",D2492=0),"VALOR_PC vazio ou zero",IF(AND(G2492&lt;&gt;"Sim",G2492&lt;&gt;"Nao",G2492&lt;&gt;""),"PC_PAGO_A_CONTRATADA invalido",IF(AND(C2492&lt;&gt;"C0",IFERROR(INDEX(parametros!$A$2:$A$6,MATCH(C2492,parametros!$B$2:$B$6,0)),"")="Sim",IFERROR(INDEX(parametros!$H$2:$H$6,MATCH(C2492,parametros!$B$2:$B$6,0)),"")=""),"INICIO_EFEITO ausente: PC "&amp;A2492&amp;" - "&amp;C2492,IF(L2492="","EFEITO_PC nao calculado: PC "&amp;A2492&amp;" - "&amp;C2492,"OK")))))))))</f>
        <v/>
      </c>
      <c r="L2492" s="92" t="str">
        <f>IF(AND(A2492="",B2492="",D2492="",G2492=""),"",IF(OR(B2492="",NOT(ISNUMBER(B2492)),C2492="",C2492="Fora dos ciclos"),"",IF(C2492="C0","Nao",IF(IFERROR(INDEX(parametros!$A$2:$A$6,MATCH(C2492,parametros!$B$2:$B$6,0)),"")&lt;&gt;"Sim","Nao",IF(IFERROR(INDEX(parametros!$H$2:$H$6,MATCH(C2492,parametros!$B$2:$B$6,0)),"")="","",IF(B2492&gt;=IFERROR(INDEX(parametros!$H$2:$H$6,MATCH(C2492,parametros!$B$2:$B$6,0)),""),"Sim","Nao"))))))</f>
        <v/>
      </c>
      <c r="T2492" s="156"/>
      <c r="U2492" s="214" t="str">
        <f t="shared" si="196"/>
        <v/>
      </c>
      <c r="V2492" s="212" t="s">
        <v>50</v>
      </c>
      <c r="W2492" s="100" t="s">
        <v>168</v>
      </c>
      <c r="X2492" s="100" t="s">
        <v>169</v>
      </c>
      <c r="Y2492" s="101" t="s">
        <v>170</v>
      </c>
      <c r="Z2492" s="101" t="s">
        <v>171</v>
      </c>
      <c r="AA2492" s="101" t="s">
        <v>50</v>
      </c>
      <c r="AB2492" s="101" t="s">
        <v>172</v>
      </c>
      <c r="AC2492" s="102" t="s">
        <v>173</v>
      </c>
    </row>
    <row r="2493" spans="1:29" ht="25.5" customHeight="1" x14ac:dyDescent="0.35">
      <c r="A2493" s="392"/>
      <c r="B2493" s="393"/>
      <c r="C2493" s="99" t="str">
        <f>IF(B2493="","",IF(NOT(ISNUMBER(B2493)),"DATA_PC invalida",IF(NOT(ISNUMBER(parametros!$C$2)),"Fora dos ciclos",IF(OR(B2493&lt;parametros!$C$2,(YEAR(B2493)-YEAR(parametros!$C$2))*12+MONTH(B2493)-MONTH(parametros!$C$2)&gt;59),"Fora dos ciclos","C"&amp;INT(((YEAR(B2493)-YEAR(parametros!$C$2))*12+MONTH(B2493)-MONTH(parametros!$C$2))/12)))))</f>
        <v/>
      </c>
      <c r="D2493" s="394"/>
      <c r="E2493" s="78" t="str">
        <f>IF(C2493="","",IFERROR(VLOOKUP(C2493,parametros!$A$11:$E$15,5,0),""))</f>
        <v/>
      </c>
      <c r="F2493" s="79" t="str">
        <f t="shared" si="192"/>
        <v/>
      </c>
      <c r="G2493" s="395"/>
      <c r="H2493" s="91">
        <f t="shared" si="193"/>
        <v>0</v>
      </c>
      <c r="I2493" s="91" t="str">
        <f t="shared" si="194"/>
        <v/>
      </c>
      <c r="J2493" s="91" t="str">
        <f t="shared" si="195"/>
        <v/>
      </c>
      <c r="K2493" s="92" t="str">
        <f>IF(AND(A2493="",B2493="",D2493="",G2493=""),"",IF(AND(A2493&lt;&gt;"",COUNTIF($A$2:$A$5001,A2493)&gt;1),"NUMERO_PC duplicado",IF(B2493="","DATA_PC vazia",IF(NOT(ISNUMBER(B2493)),"DATA_PC invalida",IF(OR(C2493="",C2493="Fora dos ciclos"),"CICLO_PC nao identificado",IF(OR(D2493="",D2493=0),"VALOR_PC vazio ou zero",IF(AND(G2493&lt;&gt;"Sim",G2493&lt;&gt;"Nao",G2493&lt;&gt;""),"PC_PAGO_A_CONTRATADA invalido",IF(AND(C2493&lt;&gt;"C0",IFERROR(INDEX(parametros!$A$2:$A$6,MATCH(C2493,parametros!$B$2:$B$6,0)),"")="Sim",IFERROR(INDEX(parametros!$H$2:$H$6,MATCH(C2493,parametros!$B$2:$B$6,0)),"")=""),"INICIO_EFEITO ausente: PC "&amp;A2493&amp;" - "&amp;C2493,IF(L2493="","EFEITO_PC nao calculado: PC "&amp;A2493&amp;" - "&amp;C2493,"OK")))))))))</f>
        <v/>
      </c>
      <c r="L2493" s="92" t="str">
        <f>IF(AND(A2493="",B2493="",D2493="",G2493=""),"",IF(OR(B2493="",NOT(ISNUMBER(B2493)),C2493="",C2493="Fora dos ciclos"),"",IF(C2493="C0","Nao",IF(IFERROR(INDEX(parametros!$A$2:$A$6,MATCH(C2493,parametros!$B$2:$B$6,0)),"")&lt;&gt;"Sim","Nao",IF(IFERROR(INDEX(parametros!$H$2:$H$6,MATCH(C2493,parametros!$B$2:$B$6,0)),"")="","",IF(B2493&gt;=IFERROR(INDEX(parametros!$H$2:$H$6,MATCH(C2493,parametros!$B$2:$B$6,0)),""),"Sim","Nao"))))))</f>
        <v/>
      </c>
      <c r="T2493" s="156"/>
      <c r="U2493" s="214" t="str">
        <f t="shared" si="196"/>
        <v/>
      </c>
      <c r="V2493" s="212" t="s">
        <v>50</v>
      </c>
      <c r="W2493" s="100" t="s">
        <v>168</v>
      </c>
      <c r="X2493" s="100" t="s">
        <v>169</v>
      </c>
      <c r="Y2493" s="101" t="s">
        <v>170</v>
      </c>
      <c r="Z2493" s="101" t="s">
        <v>171</v>
      </c>
      <c r="AA2493" s="101" t="s">
        <v>50</v>
      </c>
      <c r="AB2493" s="101" t="s">
        <v>172</v>
      </c>
      <c r="AC2493" s="102" t="s">
        <v>173</v>
      </c>
    </row>
    <row r="2494" spans="1:29" ht="25.5" customHeight="1" x14ac:dyDescent="0.35">
      <c r="A2494" s="392"/>
      <c r="B2494" s="393"/>
      <c r="C2494" s="99" t="str">
        <f>IF(B2494="","",IF(NOT(ISNUMBER(B2494)),"DATA_PC invalida",IF(NOT(ISNUMBER(parametros!$C$2)),"Fora dos ciclos",IF(OR(B2494&lt;parametros!$C$2,(YEAR(B2494)-YEAR(parametros!$C$2))*12+MONTH(B2494)-MONTH(parametros!$C$2)&gt;59),"Fora dos ciclos","C"&amp;INT(((YEAR(B2494)-YEAR(parametros!$C$2))*12+MONTH(B2494)-MONTH(parametros!$C$2))/12)))))</f>
        <v/>
      </c>
      <c r="D2494" s="394"/>
      <c r="E2494" s="78" t="str">
        <f>IF(C2494="","",IFERROR(VLOOKUP(C2494,parametros!$A$11:$E$15,5,0),""))</f>
        <v/>
      </c>
      <c r="F2494" s="79" t="str">
        <f t="shared" si="192"/>
        <v/>
      </c>
      <c r="G2494" s="395"/>
      <c r="H2494" s="91">
        <f t="shared" si="193"/>
        <v>0</v>
      </c>
      <c r="I2494" s="91" t="str">
        <f t="shared" si="194"/>
        <v/>
      </c>
      <c r="J2494" s="91" t="str">
        <f t="shared" si="195"/>
        <v/>
      </c>
      <c r="K2494" s="92" t="str">
        <f>IF(AND(A2494="",B2494="",D2494="",G2494=""),"",IF(AND(A2494&lt;&gt;"",COUNTIF($A$2:$A$5001,A2494)&gt;1),"NUMERO_PC duplicado",IF(B2494="","DATA_PC vazia",IF(NOT(ISNUMBER(B2494)),"DATA_PC invalida",IF(OR(C2494="",C2494="Fora dos ciclos"),"CICLO_PC nao identificado",IF(OR(D2494="",D2494=0),"VALOR_PC vazio ou zero",IF(AND(G2494&lt;&gt;"Sim",G2494&lt;&gt;"Nao",G2494&lt;&gt;""),"PC_PAGO_A_CONTRATADA invalido",IF(AND(C2494&lt;&gt;"C0",IFERROR(INDEX(parametros!$A$2:$A$6,MATCH(C2494,parametros!$B$2:$B$6,0)),"")="Sim",IFERROR(INDEX(parametros!$H$2:$H$6,MATCH(C2494,parametros!$B$2:$B$6,0)),"")=""),"INICIO_EFEITO ausente: PC "&amp;A2494&amp;" - "&amp;C2494,IF(L2494="","EFEITO_PC nao calculado: PC "&amp;A2494&amp;" - "&amp;C2494,"OK")))))))))</f>
        <v/>
      </c>
      <c r="L2494" s="92" t="str">
        <f>IF(AND(A2494="",B2494="",D2494="",G2494=""),"",IF(OR(B2494="",NOT(ISNUMBER(B2494)),C2494="",C2494="Fora dos ciclos"),"",IF(C2494="C0","Nao",IF(IFERROR(INDEX(parametros!$A$2:$A$6,MATCH(C2494,parametros!$B$2:$B$6,0)),"")&lt;&gt;"Sim","Nao",IF(IFERROR(INDEX(parametros!$H$2:$H$6,MATCH(C2494,parametros!$B$2:$B$6,0)),"")="","",IF(B2494&gt;=IFERROR(INDEX(parametros!$H$2:$H$6,MATCH(C2494,parametros!$B$2:$B$6,0)),""),"Sim","Nao"))))))</f>
        <v/>
      </c>
      <c r="T2494" s="156"/>
      <c r="U2494" s="214" t="str">
        <f t="shared" si="196"/>
        <v/>
      </c>
      <c r="V2494" s="212" t="s">
        <v>50</v>
      </c>
      <c r="W2494" s="100" t="s">
        <v>168</v>
      </c>
      <c r="X2494" s="100" t="s">
        <v>169</v>
      </c>
      <c r="Y2494" s="101" t="s">
        <v>170</v>
      </c>
      <c r="Z2494" s="101" t="s">
        <v>171</v>
      </c>
      <c r="AA2494" s="101" t="s">
        <v>50</v>
      </c>
      <c r="AB2494" s="101" t="s">
        <v>172</v>
      </c>
      <c r="AC2494" s="102" t="s">
        <v>173</v>
      </c>
    </row>
    <row r="2495" spans="1:29" ht="25.5" customHeight="1" x14ac:dyDescent="0.35">
      <c r="A2495" s="392"/>
      <c r="B2495" s="393"/>
      <c r="C2495" s="99" t="str">
        <f>IF(B2495="","",IF(NOT(ISNUMBER(B2495)),"DATA_PC invalida",IF(NOT(ISNUMBER(parametros!$C$2)),"Fora dos ciclos",IF(OR(B2495&lt;parametros!$C$2,(YEAR(B2495)-YEAR(parametros!$C$2))*12+MONTH(B2495)-MONTH(parametros!$C$2)&gt;59),"Fora dos ciclos","C"&amp;INT(((YEAR(B2495)-YEAR(parametros!$C$2))*12+MONTH(B2495)-MONTH(parametros!$C$2))/12)))))</f>
        <v/>
      </c>
      <c r="D2495" s="394"/>
      <c r="E2495" s="78" t="str">
        <f>IF(C2495="","",IFERROR(VLOOKUP(C2495,parametros!$A$11:$E$15,5,0),""))</f>
        <v/>
      </c>
      <c r="F2495" s="79" t="str">
        <f t="shared" si="192"/>
        <v/>
      </c>
      <c r="G2495" s="395"/>
      <c r="H2495" s="91">
        <f t="shared" si="193"/>
        <v>0</v>
      </c>
      <c r="I2495" s="91" t="str">
        <f t="shared" si="194"/>
        <v/>
      </c>
      <c r="J2495" s="91" t="str">
        <f t="shared" si="195"/>
        <v/>
      </c>
      <c r="K2495" s="92" t="str">
        <f>IF(AND(A2495="",B2495="",D2495="",G2495=""),"",IF(AND(A2495&lt;&gt;"",COUNTIF($A$2:$A$5001,A2495)&gt;1),"NUMERO_PC duplicado",IF(B2495="","DATA_PC vazia",IF(NOT(ISNUMBER(B2495)),"DATA_PC invalida",IF(OR(C2495="",C2495="Fora dos ciclos"),"CICLO_PC nao identificado",IF(OR(D2495="",D2495=0),"VALOR_PC vazio ou zero",IF(AND(G2495&lt;&gt;"Sim",G2495&lt;&gt;"Nao",G2495&lt;&gt;""),"PC_PAGO_A_CONTRATADA invalido",IF(AND(C2495&lt;&gt;"C0",IFERROR(INDEX(parametros!$A$2:$A$6,MATCH(C2495,parametros!$B$2:$B$6,0)),"")="Sim",IFERROR(INDEX(parametros!$H$2:$H$6,MATCH(C2495,parametros!$B$2:$B$6,0)),"")=""),"INICIO_EFEITO ausente: PC "&amp;A2495&amp;" - "&amp;C2495,IF(L2495="","EFEITO_PC nao calculado: PC "&amp;A2495&amp;" - "&amp;C2495,"OK")))))))))</f>
        <v/>
      </c>
      <c r="L2495" s="92" t="str">
        <f>IF(AND(A2495="",B2495="",D2495="",G2495=""),"",IF(OR(B2495="",NOT(ISNUMBER(B2495)),C2495="",C2495="Fora dos ciclos"),"",IF(C2495="C0","Nao",IF(IFERROR(INDEX(parametros!$A$2:$A$6,MATCH(C2495,parametros!$B$2:$B$6,0)),"")&lt;&gt;"Sim","Nao",IF(IFERROR(INDEX(parametros!$H$2:$H$6,MATCH(C2495,parametros!$B$2:$B$6,0)),"")="","",IF(B2495&gt;=IFERROR(INDEX(parametros!$H$2:$H$6,MATCH(C2495,parametros!$B$2:$B$6,0)),""),"Sim","Nao"))))))</f>
        <v/>
      </c>
      <c r="T2495" s="156"/>
      <c r="U2495" s="214" t="str">
        <f t="shared" si="196"/>
        <v/>
      </c>
      <c r="V2495" s="212" t="s">
        <v>50</v>
      </c>
      <c r="W2495" s="100" t="s">
        <v>168</v>
      </c>
      <c r="X2495" s="100" t="s">
        <v>169</v>
      </c>
      <c r="Y2495" s="101" t="s">
        <v>170</v>
      </c>
      <c r="Z2495" s="101" t="s">
        <v>171</v>
      </c>
      <c r="AA2495" s="101" t="s">
        <v>50</v>
      </c>
      <c r="AB2495" s="101" t="s">
        <v>172</v>
      </c>
      <c r="AC2495" s="102" t="s">
        <v>173</v>
      </c>
    </row>
    <row r="2496" spans="1:29" ht="25.5" customHeight="1" x14ac:dyDescent="0.35">
      <c r="A2496" s="392"/>
      <c r="B2496" s="393"/>
      <c r="C2496" s="99" t="str">
        <f>IF(B2496="","",IF(NOT(ISNUMBER(B2496)),"DATA_PC invalida",IF(NOT(ISNUMBER(parametros!$C$2)),"Fora dos ciclos",IF(OR(B2496&lt;parametros!$C$2,(YEAR(B2496)-YEAR(parametros!$C$2))*12+MONTH(B2496)-MONTH(parametros!$C$2)&gt;59),"Fora dos ciclos","C"&amp;INT(((YEAR(B2496)-YEAR(parametros!$C$2))*12+MONTH(B2496)-MONTH(parametros!$C$2))/12)))))</f>
        <v/>
      </c>
      <c r="D2496" s="394"/>
      <c r="E2496" s="78" t="str">
        <f>IF(C2496="","",IFERROR(VLOOKUP(C2496,parametros!$A$11:$E$15,5,0),""))</f>
        <v/>
      </c>
      <c r="F2496" s="79" t="str">
        <f t="shared" si="192"/>
        <v/>
      </c>
      <c r="G2496" s="395"/>
      <c r="H2496" s="91">
        <f t="shared" si="193"/>
        <v>0</v>
      </c>
      <c r="I2496" s="91" t="str">
        <f t="shared" si="194"/>
        <v/>
      </c>
      <c r="J2496" s="91" t="str">
        <f t="shared" si="195"/>
        <v/>
      </c>
      <c r="K2496" s="92" t="str">
        <f>IF(AND(A2496="",B2496="",D2496="",G2496=""),"",IF(AND(A2496&lt;&gt;"",COUNTIF($A$2:$A$5001,A2496)&gt;1),"NUMERO_PC duplicado",IF(B2496="","DATA_PC vazia",IF(NOT(ISNUMBER(B2496)),"DATA_PC invalida",IF(OR(C2496="",C2496="Fora dos ciclos"),"CICLO_PC nao identificado",IF(OR(D2496="",D2496=0),"VALOR_PC vazio ou zero",IF(AND(G2496&lt;&gt;"Sim",G2496&lt;&gt;"Nao",G2496&lt;&gt;""),"PC_PAGO_A_CONTRATADA invalido",IF(AND(C2496&lt;&gt;"C0",IFERROR(INDEX(parametros!$A$2:$A$6,MATCH(C2496,parametros!$B$2:$B$6,0)),"")="Sim",IFERROR(INDEX(parametros!$H$2:$H$6,MATCH(C2496,parametros!$B$2:$B$6,0)),"")=""),"INICIO_EFEITO ausente: PC "&amp;A2496&amp;" - "&amp;C2496,IF(L2496="","EFEITO_PC nao calculado: PC "&amp;A2496&amp;" - "&amp;C2496,"OK")))))))))</f>
        <v/>
      </c>
      <c r="L2496" s="92" t="str">
        <f>IF(AND(A2496="",B2496="",D2496="",G2496=""),"",IF(OR(B2496="",NOT(ISNUMBER(B2496)),C2496="",C2496="Fora dos ciclos"),"",IF(C2496="C0","Nao",IF(IFERROR(INDEX(parametros!$A$2:$A$6,MATCH(C2496,parametros!$B$2:$B$6,0)),"")&lt;&gt;"Sim","Nao",IF(IFERROR(INDEX(parametros!$H$2:$H$6,MATCH(C2496,parametros!$B$2:$B$6,0)),"")="","",IF(B2496&gt;=IFERROR(INDEX(parametros!$H$2:$H$6,MATCH(C2496,parametros!$B$2:$B$6,0)),""),"Sim","Nao"))))))</f>
        <v/>
      </c>
      <c r="T2496" s="156"/>
      <c r="U2496" s="214" t="str">
        <f t="shared" si="196"/>
        <v/>
      </c>
      <c r="V2496" s="212" t="s">
        <v>50</v>
      </c>
      <c r="W2496" s="100" t="s">
        <v>168</v>
      </c>
      <c r="X2496" s="100" t="s">
        <v>169</v>
      </c>
      <c r="Y2496" s="101" t="s">
        <v>170</v>
      </c>
      <c r="Z2496" s="101" t="s">
        <v>171</v>
      </c>
      <c r="AA2496" s="101" t="s">
        <v>50</v>
      </c>
      <c r="AB2496" s="101" t="s">
        <v>172</v>
      </c>
      <c r="AC2496" s="102" t="s">
        <v>173</v>
      </c>
    </row>
    <row r="2497" spans="1:29" ht="25.5" customHeight="1" x14ac:dyDescent="0.35">
      <c r="A2497" s="392"/>
      <c r="B2497" s="393"/>
      <c r="C2497" s="99" t="str">
        <f>IF(B2497="","",IF(NOT(ISNUMBER(B2497)),"DATA_PC invalida",IF(NOT(ISNUMBER(parametros!$C$2)),"Fora dos ciclos",IF(OR(B2497&lt;parametros!$C$2,(YEAR(B2497)-YEAR(parametros!$C$2))*12+MONTH(B2497)-MONTH(parametros!$C$2)&gt;59),"Fora dos ciclos","C"&amp;INT(((YEAR(B2497)-YEAR(parametros!$C$2))*12+MONTH(B2497)-MONTH(parametros!$C$2))/12)))))</f>
        <v/>
      </c>
      <c r="D2497" s="394"/>
      <c r="E2497" s="78" t="str">
        <f>IF(C2497="","",IFERROR(VLOOKUP(C2497,parametros!$A$11:$E$15,5,0),""))</f>
        <v/>
      </c>
      <c r="F2497" s="79" t="str">
        <f t="shared" si="192"/>
        <v/>
      </c>
      <c r="G2497" s="395"/>
      <c r="H2497" s="91">
        <f t="shared" si="193"/>
        <v>0</v>
      </c>
      <c r="I2497" s="91" t="str">
        <f t="shared" si="194"/>
        <v/>
      </c>
      <c r="J2497" s="91" t="str">
        <f t="shared" si="195"/>
        <v/>
      </c>
      <c r="K2497" s="92" t="str">
        <f>IF(AND(A2497="",B2497="",D2497="",G2497=""),"",IF(AND(A2497&lt;&gt;"",COUNTIF($A$2:$A$5001,A2497)&gt;1),"NUMERO_PC duplicado",IF(B2497="","DATA_PC vazia",IF(NOT(ISNUMBER(B2497)),"DATA_PC invalida",IF(OR(C2497="",C2497="Fora dos ciclos"),"CICLO_PC nao identificado",IF(OR(D2497="",D2497=0),"VALOR_PC vazio ou zero",IF(AND(G2497&lt;&gt;"Sim",G2497&lt;&gt;"Nao",G2497&lt;&gt;""),"PC_PAGO_A_CONTRATADA invalido",IF(AND(C2497&lt;&gt;"C0",IFERROR(INDEX(parametros!$A$2:$A$6,MATCH(C2497,parametros!$B$2:$B$6,0)),"")="Sim",IFERROR(INDEX(parametros!$H$2:$H$6,MATCH(C2497,parametros!$B$2:$B$6,0)),"")=""),"INICIO_EFEITO ausente: PC "&amp;A2497&amp;" - "&amp;C2497,IF(L2497="","EFEITO_PC nao calculado: PC "&amp;A2497&amp;" - "&amp;C2497,"OK")))))))))</f>
        <v/>
      </c>
      <c r="L2497" s="92" t="str">
        <f>IF(AND(A2497="",B2497="",D2497="",G2497=""),"",IF(OR(B2497="",NOT(ISNUMBER(B2497)),C2497="",C2497="Fora dos ciclos"),"",IF(C2497="C0","Nao",IF(IFERROR(INDEX(parametros!$A$2:$A$6,MATCH(C2497,parametros!$B$2:$B$6,0)),"")&lt;&gt;"Sim","Nao",IF(IFERROR(INDEX(parametros!$H$2:$H$6,MATCH(C2497,parametros!$B$2:$B$6,0)),"")="","",IF(B2497&gt;=IFERROR(INDEX(parametros!$H$2:$H$6,MATCH(C2497,parametros!$B$2:$B$6,0)),""),"Sim","Nao"))))))</f>
        <v/>
      </c>
      <c r="T2497" s="156"/>
      <c r="U2497" s="214" t="str">
        <f t="shared" si="196"/>
        <v/>
      </c>
      <c r="V2497" s="212" t="s">
        <v>50</v>
      </c>
      <c r="W2497" s="100" t="s">
        <v>168</v>
      </c>
      <c r="X2497" s="100" t="s">
        <v>169</v>
      </c>
      <c r="Y2497" s="101" t="s">
        <v>170</v>
      </c>
      <c r="Z2497" s="101" t="s">
        <v>171</v>
      </c>
      <c r="AA2497" s="101" t="s">
        <v>50</v>
      </c>
      <c r="AB2497" s="101" t="s">
        <v>172</v>
      </c>
      <c r="AC2497" s="102" t="s">
        <v>173</v>
      </c>
    </row>
    <row r="2498" spans="1:29" ht="25.5" customHeight="1" x14ac:dyDescent="0.35">
      <c r="A2498" s="392"/>
      <c r="B2498" s="393"/>
      <c r="C2498" s="99" t="str">
        <f>IF(B2498="","",IF(NOT(ISNUMBER(B2498)),"DATA_PC invalida",IF(NOT(ISNUMBER(parametros!$C$2)),"Fora dos ciclos",IF(OR(B2498&lt;parametros!$C$2,(YEAR(B2498)-YEAR(parametros!$C$2))*12+MONTH(B2498)-MONTH(parametros!$C$2)&gt;59),"Fora dos ciclos","C"&amp;INT(((YEAR(B2498)-YEAR(parametros!$C$2))*12+MONTH(B2498)-MONTH(parametros!$C$2))/12)))))</f>
        <v/>
      </c>
      <c r="D2498" s="394"/>
      <c r="E2498" s="78" t="str">
        <f>IF(C2498="","",IFERROR(VLOOKUP(C2498,parametros!$A$11:$E$15,5,0),""))</f>
        <v/>
      </c>
      <c r="F2498" s="79" t="str">
        <f t="shared" ref="F2498:F2561" si="197">IF(OR(D2498="",E2498=""),"",ROUND(D2498*E2498,2))</f>
        <v/>
      </c>
      <c r="G2498" s="395"/>
      <c r="H2498" s="91">
        <f t="shared" ref="H2498:H2561" si="198">IF(G2498="Sim",IF(OR(F2498="",D2498="",L2498=""),"",IF(L2498="Sim",ROUND(F2498-D2498,2),0)),0)</f>
        <v>0</v>
      </c>
      <c r="I2498" s="91" t="str">
        <f t="shared" ref="I2498:I2561" si="199">IF(G2498="Sim",0,IF(OR(F2498="",L2498=""),"",F2498))</f>
        <v/>
      </c>
      <c r="J2498" s="91" t="str">
        <f t="shared" ref="J2498:J2561" si="200">IF(G2498="Sim",0,IF(OR(F2498="",D2498="",L2498=""),"",IF(L2498="Sim",ROUND(F2498-D2498,2),0)))</f>
        <v/>
      </c>
      <c r="K2498" s="92" t="str">
        <f>IF(AND(A2498="",B2498="",D2498="",G2498=""),"",IF(AND(A2498&lt;&gt;"",COUNTIF($A$2:$A$5001,A2498)&gt;1),"NUMERO_PC duplicado",IF(B2498="","DATA_PC vazia",IF(NOT(ISNUMBER(B2498)),"DATA_PC invalida",IF(OR(C2498="",C2498="Fora dos ciclos"),"CICLO_PC nao identificado",IF(OR(D2498="",D2498=0),"VALOR_PC vazio ou zero",IF(AND(G2498&lt;&gt;"Sim",G2498&lt;&gt;"Nao",G2498&lt;&gt;""),"PC_PAGO_A_CONTRATADA invalido",IF(AND(C2498&lt;&gt;"C0",IFERROR(INDEX(parametros!$A$2:$A$6,MATCH(C2498,parametros!$B$2:$B$6,0)),"")="Sim",IFERROR(INDEX(parametros!$H$2:$H$6,MATCH(C2498,parametros!$B$2:$B$6,0)),"")=""),"INICIO_EFEITO ausente: PC "&amp;A2498&amp;" - "&amp;C2498,IF(L2498="","EFEITO_PC nao calculado: PC "&amp;A2498&amp;" - "&amp;C2498,"OK")))))))))</f>
        <v/>
      </c>
      <c r="L2498" s="92" t="str">
        <f>IF(AND(A2498="",B2498="",D2498="",G2498=""),"",IF(OR(B2498="",NOT(ISNUMBER(B2498)),C2498="",C2498="Fora dos ciclos"),"",IF(C2498="C0","Nao",IF(IFERROR(INDEX(parametros!$A$2:$A$6,MATCH(C2498,parametros!$B$2:$B$6,0)),"")&lt;&gt;"Sim","Nao",IF(IFERROR(INDEX(parametros!$H$2:$H$6,MATCH(C2498,parametros!$B$2:$B$6,0)),"")="","",IF(B2498&gt;=IFERROR(INDEX(parametros!$H$2:$H$6,MATCH(C2498,parametros!$B$2:$B$6,0)),""),"Sim","Nao"))))))</f>
        <v/>
      </c>
      <c r="T2498" s="156"/>
      <c r="U2498" s="214" t="str">
        <f t="shared" ref="U2498:U2561" si="201">IF(OR($D2498="",$H2498=""),"",ROUND($D2498+$H2498,2))</f>
        <v/>
      </c>
      <c r="V2498" s="212" t="s">
        <v>50</v>
      </c>
      <c r="W2498" s="100" t="s">
        <v>168</v>
      </c>
      <c r="X2498" s="100" t="s">
        <v>169</v>
      </c>
      <c r="Y2498" s="101" t="s">
        <v>170</v>
      </c>
      <c r="Z2498" s="101" t="s">
        <v>171</v>
      </c>
      <c r="AA2498" s="101" t="s">
        <v>50</v>
      </c>
      <c r="AB2498" s="101" t="s">
        <v>172</v>
      </c>
      <c r="AC2498" s="102" t="s">
        <v>173</v>
      </c>
    </row>
    <row r="2499" spans="1:29" ht="25.5" customHeight="1" x14ac:dyDescent="0.35">
      <c r="A2499" s="392"/>
      <c r="B2499" s="393"/>
      <c r="C2499" s="99" t="str">
        <f>IF(B2499="","",IF(NOT(ISNUMBER(B2499)),"DATA_PC invalida",IF(NOT(ISNUMBER(parametros!$C$2)),"Fora dos ciclos",IF(OR(B2499&lt;parametros!$C$2,(YEAR(B2499)-YEAR(parametros!$C$2))*12+MONTH(B2499)-MONTH(parametros!$C$2)&gt;59),"Fora dos ciclos","C"&amp;INT(((YEAR(B2499)-YEAR(parametros!$C$2))*12+MONTH(B2499)-MONTH(parametros!$C$2))/12)))))</f>
        <v/>
      </c>
      <c r="D2499" s="394"/>
      <c r="E2499" s="78" t="str">
        <f>IF(C2499="","",IFERROR(VLOOKUP(C2499,parametros!$A$11:$E$15,5,0),""))</f>
        <v/>
      </c>
      <c r="F2499" s="79" t="str">
        <f t="shared" si="197"/>
        <v/>
      </c>
      <c r="G2499" s="395"/>
      <c r="H2499" s="91">
        <f t="shared" si="198"/>
        <v>0</v>
      </c>
      <c r="I2499" s="91" t="str">
        <f t="shared" si="199"/>
        <v/>
      </c>
      <c r="J2499" s="91" t="str">
        <f t="shared" si="200"/>
        <v/>
      </c>
      <c r="K2499" s="92" t="str">
        <f>IF(AND(A2499="",B2499="",D2499="",G2499=""),"",IF(AND(A2499&lt;&gt;"",COUNTIF($A$2:$A$5001,A2499)&gt;1),"NUMERO_PC duplicado",IF(B2499="","DATA_PC vazia",IF(NOT(ISNUMBER(B2499)),"DATA_PC invalida",IF(OR(C2499="",C2499="Fora dos ciclos"),"CICLO_PC nao identificado",IF(OR(D2499="",D2499=0),"VALOR_PC vazio ou zero",IF(AND(G2499&lt;&gt;"Sim",G2499&lt;&gt;"Nao",G2499&lt;&gt;""),"PC_PAGO_A_CONTRATADA invalido",IF(AND(C2499&lt;&gt;"C0",IFERROR(INDEX(parametros!$A$2:$A$6,MATCH(C2499,parametros!$B$2:$B$6,0)),"")="Sim",IFERROR(INDEX(parametros!$H$2:$H$6,MATCH(C2499,parametros!$B$2:$B$6,0)),"")=""),"INICIO_EFEITO ausente: PC "&amp;A2499&amp;" - "&amp;C2499,IF(L2499="","EFEITO_PC nao calculado: PC "&amp;A2499&amp;" - "&amp;C2499,"OK")))))))))</f>
        <v/>
      </c>
      <c r="L2499" s="92" t="str">
        <f>IF(AND(A2499="",B2499="",D2499="",G2499=""),"",IF(OR(B2499="",NOT(ISNUMBER(B2499)),C2499="",C2499="Fora dos ciclos"),"",IF(C2499="C0","Nao",IF(IFERROR(INDEX(parametros!$A$2:$A$6,MATCH(C2499,parametros!$B$2:$B$6,0)),"")&lt;&gt;"Sim","Nao",IF(IFERROR(INDEX(parametros!$H$2:$H$6,MATCH(C2499,parametros!$B$2:$B$6,0)),"")="","",IF(B2499&gt;=IFERROR(INDEX(parametros!$H$2:$H$6,MATCH(C2499,parametros!$B$2:$B$6,0)),""),"Sim","Nao"))))))</f>
        <v/>
      </c>
      <c r="T2499" s="156"/>
      <c r="U2499" s="214" t="str">
        <f t="shared" si="201"/>
        <v/>
      </c>
      <c r="V2499" s="212" t="s">
        <v>50</v>
      </c>
      <c r="W2499" s="100" t="s">
        <v>168</v>
      </c>
      <c r="X2499" s="100" t="s">
        <v>169</v>
      </c>
      <c r="Y2499" s="101" t="s">
        <v>170</v>
      </c>
      <c r="Z2499" s="101" t="s">
        <v>171</v>
      </c>
      <c r="AA2499" s="101" t="s">
        <v>50</v>
      </c>
      <c r="AB2499" s="101" t="s">
        <v>172</v>
      </c>
      <c r="AC2499" s="102" t="s">
        <v>173</v>
      </c>
    </row>
    <row r="2500" spans="1:29" ht="25.5" customHeight="1" x14ac:dyDescent="0.35">
      <c r="A2500" s="392"/>
      <c r="B2500" s="393"/>
      <c r="C2500" s="99" t="str">
        <f>IF(B2500="","",IF(NOT(ISNUMBER(B2500)),"DATA_PC invalida",IF(NOT(ISNUMBER(parametros!$C$2)),"Fora dos ciclos",IF(OR(B2500&lt;parametros!$C$2,(YEAR(B2500)-YEAR(parametros!$C$2))*12+MONTH(B2500)-MONTH(parametros!$C$2)&gt;59),"Fora dos ciclos","C"&amp;INT(((YEAR(B2500)-YEAR(parametros!$C$2))*12+MONTH(B2500)-MONTH(parametros!$C$2))/12)))))</f>
        <v/>
      </c>
      <c r="D2500" s="394"/>
      <c r="E2500" s="78" t="str">
        <f>IF(C2500="","",IFERROR(VLOOKUP(C2500,parametros!$A$11:$E$15,5,0),""))</f>
        <v/>
      </c>
      <c r="F2500" s="79" t="str">
        <f t="shared" si="197"/>
        <v/>
      </c>
      <c r="G2500" s="395"/>
      <c r="H2500" s="91">
        <f t="shared" si="198"/>
        <v>0</v>
      </c>
      <c r="I2500" s="91" t="str">
        <f t="shared" si="199"/>
        <v/>
      </c>
      <c r="J2500" s="91" t="str">
        <f t="shared" si="200"/>
        <v/>
      </c>
      <c r="K2500" s="92" t="str">
        <f>IF(AND(A2500="",B2500="",D2500="",G2500=""),"",IF(AND(A2500&lt;&gt;"",COUNTIF($A$2:$A$5001,A2500)&gt;1),"NUMERO_PC duplicado",IF(B2500="","DATA_PC vazia",IF(NOT(ISNUMBER(B2500)),"DATA_PC invalida",IF(OR(C2500="",C2500="Fora dos ciclos"),"CICLO_PC nao identificado",IF(OR(D2500="",D2500=0),"VALOR_PC vazio ou zero",IF(AND(G2500&lt;&gt;"Sim",G2500&lt;&gt;"Nao",G2500&lt;&gt;""),"PC_PAGO_A_CONTRATADA invalido",IF(AND(C2500&lt;&gt;"C0",IFERROR(INDEX(parametros!$A$2:$A$6,MATCH(C2500,parametros!$B$2:$B$6,0)),"")="Sim",IFERROR(INDEX(parametros!$H$2:$H$6,MATCH(C2500,parametros!$B$2:$B$6,0)),"")=""),"INICIO_EFEITO ausente: PC "&amp;A2500&amp;" - "&amp;C2500,IF(L2500="","EFEITO_PC nao calculado: PC "&amp;A2500&amp;" - "&amp;C2500,"OK")))))))))</f>
        <v/>
      </c>
      <c r="L2500" s="92" t="str">
        <f>IF(AND(A2500="",B2500="",D2500="",G2500=""),"",IF(OR(B2500="",NOT(ISNUMBER(B2500)),C2500="",C2500="Fora dos ciclos"),"",IF(C2500="C0","Nao",IF(IFERROR(INDEX(parametros!$A$2:$A$6,MATCH(C2500,parametros!$B$2:$B$6,0)),"")&lt;&gt;"Sim","Nao",IF(IFERROR(INDEX(parametros!$H$2:$H$6,MATCH(C2500,parametros!$B$2:$B$6,0)),"")="","",IF(B2500&gt;=IFERROR(INDEX(parametros!$H$2:$H$6,MATCH(C2500,parametros!$B$2:$B$6,0)),""),"Sim","Nao"))))))</f>
        <v/>
      </c>
      <c r="T2500" s="156"/>
      <c r="U2500" s="214" t="str">
        <f t="shared" si="201"/>
        <v/>
      </c>
      <c r="V2500" s="212" t="s">
        <v>50</v>
      </c>
      <c r="W2500" s="100" t="s">
        <v>168</v>
      </c>
      <c r="X2500" s="100" t="s">
        <v>169</v>
      </c>
      <c r="Y2500" s="101" t="s">
        <v>170</v>
      </c>
      <c r="Z2500" s="101" t="s">
        <v>171</v>
      </c>
      <c r="AA2500" s="101" t="s">
        <v>50</v>
      </c>
      <c r="AB2500" s="101" t="s">
        <v>172</v>
      </c>
      <c r="AC2500" s="102" t="s">
        <v>173</v>
      </c>
    </row>
    <row r="2501" spans="1:29" ht="25.5" customHeight="1" x14ac:dyDescent="0.35">
      <c r="A2501" s="392"/>
      <c r="B2501" s="393"/>
      <c r="C2501" s="99" t="str">
        <f>IF(B2501="","",IF(NOT(ISNUMBER(B2501)),"DATA_PC invalida",IF(NOT(ISNUMBER(parametros!$C$2)),"Fora dos ciclos",IF(OR(B2501&lt;parametros!$C$2,(YEAR(B2501)-YEAR(parametros!$C$2))*12+MONTH(B2501)-MONTH(parametros!$C$2)&gt;59),"Fora dos ciclos","C"&amp;INT(((YEAR(B2501)-YEAR(parametros!$C$2))*12+MONTH(B2501)-MONTH(parametros!$C$2))/12)))))</f>
        <v/>
      </c>
      <c r="D2501" s="394"/>
      <c r="E2501" s="78" t="str">
        <f>IF(C2501="","",IFERROR(VLOOKUP(C2501,parametros!$A$11:$E$15,5,0),""))</f>
        <v/>
      </c>
      <c r="F2501" s="79" t="str">
        <f t="shared" si="197"/>
        <v/>
      </c>
      <c r="G2501" s="395"/>
      <c r="H2501" s="91">
        <f t="shared" si="198"/>
        <v>0</v>
      </c>
      <c r="I2501" s="91" t="str">
        <f t="shared" si="199"/>
        <v/>
      </c>
      <c r="J2501" s="91" t="str">
        <f t="shared" si="200"/>
        <v/>
      </c>
      <c r="K2501" s="92" t="str">
        <f>IF(AND(A2501="",B2501="",D2501="",G2501=""),"",IF(AND(A2501&lt;&gt;"",COUNTIF($A$2:$A$5001,A2501)&gt;1),"NUMERO_PC duplicado",IF(B2501="","DATA_PC vazia",IF(NOT(ISNUMBER(B2501)),"DATA_PC invalida",IF(OR(C2501="",C2501="Fora dos ciclos"),"CICLO_PC nao identificado",IF(OR(D2501="",D2501=0),"VALOR_PC vazio ou zero",IF(AND(G2501&lt;&gt;"Sim",G2501&lt;&gt;"Nao",G2501&lt;&gt;""),"PC_PAGO_A_CONTRATADA invalido",IF(AND(C2501&lt;&gt;"C0",IFERROR(INDEX(parametros!$A$2:$A$6,MATCH(C2501,parametros!$B$2:$B$6,0)),"")="Sim",IFERROR(INDEX(parametros!$H$2:$H$6,MATCH(C2501,parametros!$B$2:$B$6,0)),"")=""),"INICIO_EFEITO ausente: PC "&amp;A2501&amp;" - "&amp;C2501,IF(L2501="","EFEITO_PC nao calculado: PC "&amp;A2501&amp;" - "&amp;C2501,"OK")))))))))</f>
        <v/>
      </c>
      <c r="L2501" s="92" t="str">
        <f>IF(AND(A2501="",B2501="",D2501="",G2501=""),"",IF(OR(B2501="",NOT(ISNUMBER(B2501)),C2501="",C2501="Fora dos ciclos"),"",IF(C2501="C0","Nao",IF(IFERROR(INDEX(parametros!$A$2:$A$6,MATCH(C2501,parametros!$B$2:$B$6,0)),"")&lt;&gt;"Sim","Nao",IF(IFERROR(INDEX(parametros!$H$2:$H$6,MATCH(C2501,parametros!$B$2:$B$6,0)),"")="","",IF(B2501&gt;=IFERROR(INDEX(parametros!$H$2:$H$6,MATCH(C2501,parametros!$B$2:$B$6,0)),""),"Sim","Nao"))))))</f>
        <v/>
      </c>
      <c r="T2501" s="156"/>
      <c r="U2501" s="214" t="str">
        <f t="shared" si="201"/>
        <v/>
      </c>
      <c r="V2501" s="212" t="s">
        <v>50</v>
      </c>
      <c r="W2501" s="100" t="s">
        <v>168</v>
      </c>
      <c r="X2501" s="100" t="s">
        <v>169</v>
      </c>
      <c r="Y2501" s="101" t="s">
        <v>170</v>
      </c>
      <c r="Z2501" s="101" t="s">
        <v>171</v>
      </c>
      <c r="AA2501" s="101" t="s">
        <v>50</v>
      </c>
      <c r="AB2501" s="101" t="s">
        <v>172</v>
      </c>
      <c r="AC2501" s="102" t="s">
        <v>173</v>
      </c>
    </row>
    <row r="2502" spans="1:29" ht="25.5" customHeight="1" x14ac:dyDescent="0.35">
      <c r="A2502" s="392"/>
      <c r="B2502" s="393"/>
      <c r="C2502" s="99" t="str">
        <f>IF(B2502="","",IF(NOT(ISNUMBER(B2502)),"DATA_PC invalida",IF(NOT(ISNUMBER(parametros!$C$2)),"Fora dos ciclos",IF(OR(B2502&lt;parametros!$C$2,(YEAR(B2502)-YEAR(parametros!$C$2))*12+MONTH(B2502)-MONTH(parametros!$C$2)&gt;59),"Fora dos ciclos","C"&amp;INT(((YEAR(B2502)-YEAR(parametros!$C$2))*12+MONTH(B2502)-MONTH(parametros!$C$2))/12)))))</f>
        <v/>
      </c>
      <c r="D2502" s="394"/>
      <c r="E2502" s="78" t="str">
        <f>IF(C2502="","",IFERROR(VLOOKUP(C2502,parametros!$A$11:$E$15,5,0),""))</f>
        <v/>
      </c>
      <c r="F2502" s="79" t="str">
        <f t="shared" si="197"/>
        <v/>
      </c>
      <c r="G2502" s="395"/>
      <c r="H2502" s="91">
        <f t="shared" si="198"/>
        <v>0</v>
      </c>
      <c r="I2502" s="91" t="str">
        <f t="shared" si="199"/>
        <v/>
      </c>
      <c r="J2502" s="91" t="str">
        <f t="shared" si="200"/>
        <v/>
      </c>
      <c r="K2502" s="92" t="str">
        <f>IF(AND(A2502="",B2502="",D2502="",G2502=""),"",IF(AND(A2502&lt;&gt;"",COUNTIF($A$2:$A$5001,A2502)&gt;1),"NUMERO_PC duplicado",IF(B2502="","DATA_PC vazia",IF(NOT(ISNUMBER(B2502)),"DATA_PC invalida",IF(OR(C2502="",C2502="Fora dos ciclos"),"CICLO_PC nao identificado",IF(OR(D2502="",D2502=0),"VALOR_PC vazio ou zero",IF(AND(G2502&lt;&gt;"Sim",G2502&lt;&gt;"Nao",G2502&lt;&gt;""),"PC_PAGO_A_CONTRATADA invalido",IF(AND(C2502&lt;&gt;"C0",IFERROR(INDEX(parametros!$A$2:$A$6,MATCH(C2502,parametros!$B$2:$B$6,0)),"")="Sim",IFERROR(INDEX(parametros!$H$2:$H$6,MATCH(C2502,parametros!$B$2:$B$6,0)),"")=""),"INICIO_EFEITO ausente: PC "&amp;A2502&amp;" - "&amp;C2502,IF(L2502="","EFEITO_PC nao calculado: PC "&amp;A2502&amp;" - "&amp;C2502,"OK")))))))))</f>
        <v/>
      </c>
      <c r="L2502" s="92" t="str">
        <f>IF(AND(A2502="",B2502="",D2502="",G2502=""),"",IF(OR(B2502="",NOT(ISNUMBER(B2502)),C2502="",C2502="Fora dos ciclos"),"",IF(C2502="C0","Nao",IF(IFERROR(INDEX(parametros!$A$2:$A$6,MATCH(C2502,parametros!$B$2:$B$6,0)),"")&lt;&gt;"Sim","Nao",IF(IFERROR(INDEX(parametros!$H$2:$H$6,MATCH(C2502,parametros!$B$2:$B$6,0)),"")="","",IF(B2502&gt;=IFERROR(INDEX(parametros!$H$2:$H$6,MATCH(C2502,parametros!$B$2:$B$6,0)),""),"Sim","Nao"))))))</f>
        <v/>
      </c>
      <c r="T2502" s="156"/>
      <c r="U2502" s="214" t="str">
        <f t="shared" si="201"/>
        <v/>
      </c>
      <c r="V2502" s="212" t="s">
        <v>50</v>
      </c>
      <c r="W2502" s="100" t="s">
        <v>168</v>
      </c>
      <c r="X2502" s="100" t="s">
        <v>169</v>
      </c>
      <c r="Y2502" s="101" t="s">
        <v>170</v>
      </c>
      <c r="Z2502" s="101" t="s">
        <v>171</v>
      </c>
      <c r="AA2502" s="101" t="s">
        <v>50</v>
      </c>
      <c r="AB2502" s="101" t="s">
        <v>172</v>
      </c>
      <c r="AC2502" s="102" t="s">
        <v>173</v>
      </c>
    </row>
    <row r="2503" spans="1:29" ht="25.5" customHeight="1" x14ac:dyDescent="0.35">
      <c r="A2503" s="392"/>
      <c r="B2503" s="393"/>
      <c r="C2503" s="99" t="str">
        <f>IF(B2503="","",IF(NOT(ISNUMBER(B2503)),"DATA_PC invalida",IF(NOT(ISNUMBER(parametros!$C$2)),"Fora dos ciclos",IF(OR(B2503&lt;parametros!$C$2,(YEAR(B2503)-YEAR(parametros!$C$2))*12+MONTH(B2503)-MONTH(parametros!$C$2)&gt;59),"Fora dos ciclos","C"&amp;INT(((YEAR(B2503)-YEAR(parametros!$C$2))*12+MONTH(B2503)-MONTH(parametros!$C$2))/12)))))</f>
        <v/>
      </c>
      <c r="D2503" s="394"/>
      <c r="E2503" s="78" t="str">
        <f>IF(C2503="","",IFERROR(VLOOKUP(C2503,parametros!$A$11:$E$15,5,0),""))</f>
        <v/>
      </c>
      <c r="F2503" s="79" t="str">
        <f t="shared" si="197"/>
        <v/>
      </c>
      <c r="G2503" s="395"/>
      <c r="H2503" s="91">
        <f t="shared" si="198"/>
        <v>0</v>
      </c>
      <c r="I2503" s="91" t="str">
        <f t="shared" si="199"/>
        <v/>
      </c>
      <c r="J2503" s="91" t="str">
        <f t="shared" si="200"/>
        <v/>
      </c>
      <c r="K2503" s="92" t="str">
        <f>IF(AND(A2503="",B2503="",D2503="",G2503=""),"",IF(AND(A2503&lt;&gt;"",COUNTIF($A$2:$A$5001,A2503)&gt;1),"NUMERO_PC duplicado",IF(B2503="","DATA_PC vazia",IF(NOT(ISNUMBER(B2503)),"DATA_PC invalida",IF(OR(C2503="",C2503="Fora dos ciclos"),"CICLO_PC nao identificado",IF(OR(D2503="",D2503=0),"VALOR_PC vazio ou zero",IF(AND(G2503&lt;&gt;"Sim",G2503&lt;&gt;"Nao",G2503&lt;&gt;""),"PC_PAGO_A_CONTRATADA invalido",IF(AND(C2503&lt;&gt;"C0",IFERROR(INDEX(parametros!$A$2:$A$6,MATCH(C2503,parametros!$B$2:$B$6,0)),"")="Sim",IFERROR(INDEX(parametros!$H$2:$H$6,MATCH(C2503,parametros!$B$2:$B$6,0)),"")=""),"INICIO_EFEITO ausente: PC "&amp;A2503&amp;" - "&amp;C2503,IF(L2503="","EFEITO_PC nao calculado: PC "&amp;A2503&amp;" - "&amp;C2503,"OK")))))))))</f>
        <v/>
      </c>
      <c r="L2503" s="92" t="str">
        <f>IF(AND(A2503="",B2503="",D2503="",G2503=""),"",IF(OR(B2503="",NOT(ISNUMBER(B2503)),C2503="",C2503="Fora dos ciclos"),"",IF(C2503="C0","Nao",IF(IFERROR(INDEX(parametros!$A$2:$A$6,MATCH(C2503,parametros!$B$2:$B$6,0)),"")&lt;&gt;"Sim","Nao",IF(IFERROR(INDEX(parametros!$H$2:$H$6,MATCH(C2503,parametros!$B$2:$B$6,0)),"")="","",IF(B2503&gt;=IFERROR(INDEX(parametros!$H$2:$H$6,MATCH(C2503,parametros!$B$2:$B$6,0)),""),"Sim","Nao"))))))</f>
        <v/>
      </c>
      <c r="T2503" s="156"/>
      <c r="U2503" s="214" t="str">
        <f t="shared" si="201"/>
        <v/>
      </c>
      <c r="V2503" s="212" t="s">
        <v>50</v>
      </c>
      <c r="W2503" s="100" t="s">
        <v>168</v>
      </c>
      <c r="X2503" s="100" t="s">
        <v>169</v>
      </c>
      <c r="Y2503" s="101" t="s">
        <v>170</v>
      </c>
      <c r="Z2503" s="101" t="s">
        <v>171</v>
      </c>
      <c r="AA2503" s="101" t="s">
        <v>50</v>
      </c>
      <c r="AB2503" s="101" t="s">
        <v>172</v>
      </c>
      <c r="AC2503" s="102" t="s">
        <v>173</v>
      </c>
    </row>
    <row r="2504" spans="1:29" ht="25.5" customHeight="1" x14ac:dyDescent="0.35">
      <c r="A2504" s="392"/>
      <c r="B2504" s="393"/>
      <c r="C2504" s="99" t="str">
        <f>IF(B2504="","",IF(NOT(ISNUMBER(B2504)),"DATA_PC invalida",IF(NOT(ISNUMBER(parametros!$C$2)),"Fora dos ciclos",IF(OR(B2504&lt;parametros!$C$2,(YEAR(B2504)-YEAR(parametros!$C$2))*12+MONTH(B2504)-MONTH(parametros!$C$2)&gt;59),"Fora dos ciclos","C"&amp;INT(((YEAR(B2504)-YEAR(parametros!$C$2))*12+MONTH(B2504)-MONTH(parametros!$C$2))/12)))))</f>
        <v/>
      </c>
      <c r="D2504" s="394"/>
      <c r="E2504" s="78" t="str">
        <f>IF(C2504="","",IFERROR(VLOOKUP(C2504,parametros!$A$11:$E$15,5,0),""))</f>
        <v/>
      </c>
      <c r="F2504" s="79" t="str">
        <f t="shared" si="197"/>
        <v/>
      </c>
      <c r="G2504" s="395"/>
      <c r="H2504" s="91">
        <f t="shared" si="198"/>
        <v>0</v>
      </c>
      <c r="I2504" s="91" t="str">
        <f t="shared" si="199"/>
        <v/>
      </c>
      <c r="J2504" s="91" t="str">
        <f t="shared" si="200"/>
        <v/>
      </c>
      <c r="K2504" s="92" t="str">
        <f>IF(AND(A2504="",B2504="",D2504="",G2504=""),"",IF(AND(A2504&lt;&gt;"",COUNTIF($A$2:$A$5001,A2504)&gt;1),"NUMERO_PC duplicado",IF(B2504="","DATA_PC vazia",IF(NOT(ISNUMBER(B2504)),"DATA_PC invalida",IF(OR(C2504="",C2504="Fora dos ciclos"),"CICLO_PC nao identificado",IF(OR(D2504="",D2504=0),"VALOR_PC vazio ou zero",IF(AND(G2504&lt;&gt;"Sim",G2504&lt;&gt;"Nao",G2504&lt;&gt;""),"PC_PAGO_A_CONTRATADA invalido",IF(AND(C2504&lt;&gt;"C0",IFERROR(INDEX(parametros!$A$2:$A$6,MATCH(C2504,parametros!$B$2:$B$6,0)),"")="Sim",IFERROR(INDEX(parametros!$H$2:$H$6,MATCH(C2504,parametros!$B$2:$B$6,0)),"")=""),"INICIO_EFEITO ausente: PC "&amp;A2504&amp;" - "&amp;C2504,IF(L2504="","EFEITO_PC nao calculado: PC "&amp;A2504&amp;" - "&amp;C2504,"OK")))))))))</f>
        <v/>
      </c>
      <c r="L2504" s="92" t="str">
        <f>IF(AND(A2504="",B2504="",D2504="",G2504=""),"",IF(OR(B2504="",NOT(ISNUMBER(B2504)),C2504="",C2504="Fora dos ciclos"),"",IF(C2504="C0","Nao",IF(IFERROR(INDEX(parametros!$A$2:$A$6,MATCH(C2504,parametros!$B$2:$B$6,0)),"")&lt;&gt;"Sim","Nao",IF(IFERROR(INDEX(parametros!$H$2:$H$6,MATCH(C2504,parametros!$B$2:$B$6,0)),"")="","",IF(B2504&gt;=IFERROR(INDEX(parametros!$H$2:$H$6,MATCH(C2504,parametros!$B$2:$B$6,0)),""),"Sim","Nao"))))))</f>
        <v/>
      </c>
      <c r="T2504" s="156"/>
      <c r="U2504" s="214" t="str">
        <f t="shared" si="201"/>
        <v/>
      </c>
      <c r="V2504" s="212" t="s">
        <v>50</v>
      </c>
      <c r="W2504" s="100" t="s">
        <v>168</v>
      </c>
      <c r="X2504" s="100" t="s">
        <v>169</v>
      </c>
      <c r="Y2504" s="101" t="s">
        <v>170</v>
      </c>
      <c r="Z2504" s="101" t="s">
        <v>171</v>
      </c>
      <c r="AA2504" s="101" t="s">
        <v>50</v>
      </c>
      <c r="AB2504" s="101" t="s">
        <v>172</v>
      </c>
      <c r="AC2504" s="102" t="s">
        <v>173</v>
      </c>
    </row>
    <row r="2505" spans="1:29" ht="25.5" customHeight="1" x14ac:dyDescent="0.35">
      <c r="A2505" s="392"/>
      <c r="B2505" s="393"/>
      <c r="C2505" s="99" t="str">
        <f>IF(B2505="","",IF(NOT(ISNUMBER(B2505)),"DATA_PC invalida",IF(NOT(ISNUMBER(parametros!$C$2)),"Fora dos ciclos",IF(OR(B2505&lt;parametros!$C$2,(YEAR(B2505)-YEAR(parametros!$C$2))*12+MONTH(B2505)-MONTH(parametros!$C$2)&gt;59),"Fora dos ciclos","C"&amp;INT(((YEAR(B2505)-YEAR(parametros!$C$2))*12+MONTH(B2505)-MONTH(parametros!$C$2))/12)))))</f>
        <v/>
      </c>
      <c r="D2505" s="394"/>
      <c r="E2505" s="78" t="str">
        <f>IF(C2505="","",IFERROR(VLOOKUP(C2505,parametros!$A$11:$E$15,5,0),""))</f>
        <v/>
      </c>
      <c r="F2505" s="79" t="str">
        <f t="shared" si="197"/>
        <v/>
      </c>
      <c r="G2505" s="395"/>
      <c r="H2505" s="91">
        <f t="shared" si="198"/>
        <v>0</v>
      </c>
      <c r="I2505" s="91" t="str">
        <f t="shared" si="199"/>
        <v/>
      </c>
      <c r="J2505" s="91" t="str">
        <f t="shared" si="200"/>
        <v/>
      </c>
      <c r="K2505" s="92" t="str">
        <f>IF(AND(A2505="",B2505="",D2505="",G2505=""),"",IF(AND(A2505&lt;&gt;"",COUNTIF($A$2:$A$5001,A2505)&gt;1),"NUMERO_PC duplicado",IF(B2505="","DATA_PC vazia",IF(NOT(ISNUMBER(B2505)),"DATA_PC invalida",IF(OR(C2505="",C2505="Fora dos ciclos"),"CICLO_PC nao identificado",IF(OR(D2505="",D2505=0),"VALOR_PC vazio ou zero",IF(AND(G2505&lt;&gt;"Sim",G2505&lt;&gt;"Nao",G2505&lt;&gt;""),"PC_PAGO_A_CONTRATADA invalido",IF(AND(C2505&lt;&gt;"C0",IFERROR(INDEX(parametros!$A$2:$A$6,MATCH(C2505,parametros!$B$2:$B$6,0)),"")="Sim",IFERROR(INDEX(parametros!$H$2:$H$6,MATCH(C2505,parametros!$B$2:$B$6,0)),"")=""),"INICIO_EFEITO ausente: PC "&amp;A2505&amp;" - "&amp;C2505,IF(L2505="","EFEITO_PC nao calculado: PC "&amp;A2505&amp;" - "&amp;C2505,"OK")))))))))</f>
        <v/>
      </c>
      <c r="L2505" s="92" t="str">
        <f>IF(AND(A2505="",B2505="",D2505="",G2505=""),"",IF(OR(B2505="",NOT(ISNUMBER(B2505)),C2505="",C2505="Fora dos ciclos"),"",IF(C2505="C0","Nao",IF(IFERROR(INDEX(parametros!$A$2:$A$6,MATCH(C2505,parametros!$B$2:$B$6,0)),"")&lt;&gt;"Sim","Nao",IF(IFERROR(INDEX(parametros!$H$2:$H$6,MATCH(C2505,parametros!$B$2:$B$6,0)),"")="","",IF(B2505&gt;=IFERROR(INDEX(parametros!$H$2:$H$6,MATCH(C2505,parametros!$B$2:$B$6,0)),""),"Sim","Nao"))))))</f>
        <v/>
      </c>
      <c r="T2505" s="156"/>
      <c r="U2505" s="214" t="str">
        <f t="shared" si="201"/>
        <v/>
      </c>
      <c r="V2505" s="212" t="s">
        <v>50</v>
      </c>
      <c r="W2505" s="100" t="s">
        <v>168</v>
      </c>
      <c r="X2505" s="100" t="s">
        <v>169</v>
      </c>
      <c r="Y2505" s="101" t="s">
        <v>170</v>
      </c>
      <c r="Z2505" s="101" t="s">
        <v>171</v>
      </c>
      <c r="AA2505" s="101" t="s">
        <v>50</v>
      </c>
      <c r="AB2505" s="101" t="s">
        <v>172</v>
      </c>
      <c r="AC2505" s="102" t="s">
        <v>173</v>
      </c>
    </row>
    <row r="2506" spans="1:29" ht="25.5" customHeight="1" x14ac:dyDescent="0.35">
      <c r="A2506" s="392"/>
      <c r="B2506" s="393"/>
      <c r="C2506" s="99" t="str">
        <f>IF(B2506="","",IF(NOT(ISNUMBER(B2506)),"DATA_PC invalida",IF(NOT(ISNUMBER(parametros!$C$2)),"Fora dos ciclos",IF(OR(B2506&lt;parametros!$C$2,(YEAR(B2506)-YEAR(parametros!$C$2))*12+MONTH(B2506)-MONTH(parametros!$C$2)&gt;59),"Fora dos ciclos","C"&amp;INT(((YEAR(B2506)-YEAR(parametros!$C$2))*12+MONTH(B2506)-MONTH(parametros!$C$2))/12)))))</f>
        <v/>
      </c>
      <c r="D2506" s="394"/>
      <c r="E2506" s="78" t="str">
        <f>IF(C2506="","",IFERROR(VLOOKUP(C2506,parametros!$A$11:$E$15,5,0),""))</f>
        <v/>
      </c>
      <c r="F2506" s="79" t="str">
        <f t="shared" si="197"/>
        <v/>
      </c>
      <c r="G2506" s="395"/>
      <c r="H2506" s="91">
        <f t="shared" si="198"/>
        <v>0</v>
      </c>
      <c r="I2506" s="91" t="str">
        <f t="shared" si="199"/>
        <v/>
      </c>
      <c r="J2506" s="91" t="str">
        <f t="shared" si="200"/>
        <v/>
      </c>
      <c r="K2506" s="92" t="str">
        <f>IF(AND(A2506="",B2506="",D2506="",G2506=""),"",IF(AND(A2506&lt;&gt;"",COUNTIF($A$2:$A$5001,A2506)&gt;1),"NUMERO_PC duplicado",IF(B2506="","DATA_PC vazia",IF(NOT(ISNUMBER(B2506)),"DATA_PC invalida",IF(OR(C2506="",C2506="Fora dos ciclos"),"CICLO_PC nao identificado",IF(OR(D2506="",D2506=0),"VALOR_PC vazio ou zero",IF(AND(G2506&lt;&gt;"Sim",G2506&lt;&gt;"Nao",G2506&lt;&gt;""),"PC_PAGO_A_CONTRATADA invalido",IF(AND(C2506&lt;&gt;"C0",IFERROR(INDEX(parametros!$A$2:$A$6,MATCH(C2506,parametros!$B$2:$B$6,0)),"")="Sim",IFERROR(INDEX(parametros!$H$2:$H$6,MATCH(C2506,parametros!$B$2:$B$6,0)),"")=""),"INICIO_EFEITO ausente: PC "&amp;A2506&amp;" - "&amp;C2506,IF(L2506="","EFEITO_PC nao calculado: PC "&amp;A2506&amp;" - "&amp;C2506,"OK")))))))))</f>
        <v/>
      </c>
      <c r="L2506" s="92" t="str">
        <f>IF(AND(A2506="",B2506="",D2506="",G2506=""),"",IF(OR(B2506="",NOT(ISNUMBER(B2506)),C2506="",C2506="Fora dos ciclos"),"",IF(C2506="C0","Nao",IF(IFERROR(INDEX(parametros!$A$2:$A$6,MATCH(C2506,parametros!$B$2:$B$6,0)),"")&lt;&gt;"Sim","Nao",IF(IFERROR(INDEX(parametros!$H$2:$H$6,MATCH(C2506,parametros!$B$2:$B$6,0)),"")="","",IF(B2506&gt;=IFERROR(INDEX(parametros!$H$2:$H$6,MATCH(C2506,parametros!$B$2:$B$6,0)),""),"Sim","Nao"))))))</f>
        <v/>
      </c>
      <c r="T2506" s="156"/>
      <c r="U2506" s="214" t="str">
        <f t="shared" si="201"/>
        <v/>
      </c>
      <c r="V2506" s="212" t="s">
        <v>50</v>
      </c>
      <c r="W2506" s="100" t="s">
        <v>168</v>
      </c>
      <c r="X2506" s="100" t="s">
        <v>169</v>
      </c>
      <c r="Y2506" s="101" t="s">
        <v>170</v>
      </c>
      <c r="Z2506" s="101" t="s">
        <v>171</v>
      </c>
      <c r="AA2506" s="101" t="s">
        <v>50</v>
      </c>
      <c r="AB2506" s="101" t="s">
        <v>172</v>
      </c>
      <c r="AC2506" s="102" t="s">
        <v>173</v>
      </c>
    </row>
    <row r="2507" spans="1:29" ht="25.5" customHeight="1" x14ac:dyDescent="0.35">
      <c r="A2507" s="392"/>
      <c r="B2507" s="393"/>
      <c r="C2507" s="99" t="str">
        <f>IF(B2507="","",IF(NOT(ISNUMBER(B2507)),"DATA_PC invalida",IF(NOT(ISNUMBER(parametros!$C$2)),"Fora dos ciclos",IF(OR(B2507&lt;parametros!$C$2,(YEAR(B2507)-YEAR(parametros!$C$2))*12+MONTH(B2507)-MONTH(parametros!$C$2)&gt;59),"Fora dos ciclos","C"&amp;INT(((YEAR(B2507)-YEAR(parametros!$C$2))*12+MONTH(B2507)-MONTH(parametros!$C$2))/12)))))</f>
        <v/>
      </c>
      <c r="D2507" s="394"/>
      <c r="E2507" s="78" t="str">
        <f>IF(C2507="","",IFERROR(VLOOKUP(C2507,parametros!$A$11:$E$15,5,0),""))</f>
        <v/>
      </c>
      <c r="F2507" s="79" t="str">
        <f t="shared" si="197"/>
        <v/>
      </c>
      <c r="G2507" s="395"/>
      <c r="H2507" s="91">
        <f t="shared" si="198"/>
        <v>0</v>
      </c>
      <c r="I2507" s="91" t="str">
        <f t="shared" si="199"/>
        <v/>
      </c>
      <c r="J2507" s="91" t="str">
        <f t="shared" si="200"/>
        <v/>
      </c>
      <c r="K2507" s="92" t="str">
        <f>IF(AND(A2507="",B2507="",D2507="",G2507=""),"",IF(AND(A2507&lt;&gt;"",COUNTIF($A$2:$A$5001,A2507)&gt;1),"NUMERO_PC duplicado",IF(B2507="","DATA_PC vazia",IF(NOT(ISNUMBER(B2507)),"DATA_PC invalida",IF(OR(C2507="",C2507="Fora dos ciclos"),"CICLO_PC nao identificado",IF(OR(D2507="",D2507=0),"VALOR_PC vazio ou zero",IF(AND(G2507&lt;&gt;"Sim",G2507&lt;&gt;"Nao",G2507&lt;&gt;""),"PC_PAGO_A_CONTRATADA invalido",IF(AND(C2507&lt;&gt;"C0",IFERROR(INDEX(parametros!$A$2:$A$6,MATCH(C2507,parametros!$B$2:$B$6,0)),"")="Sim",IFERROR(INDEX(parametros!$H$2:$H$6,MATCH(C2507,parametros!$B$2:$B$6,0)),"")=""),"INICIO_EFEITO ausente: PC "&amp;A2507&amp;" - "&amp;C2507,IF(L2507="","EFEITO_PC nao calculado: PC "&amp;A2507&amp;" - "&amp;C2507,"OK")))))))))</f>
        <v/>
      </c>
      <c r="L2507" s="92" t="str">
        <f>IF(AND(A2507="",B2507="",D2507="",G2507=""),"",IF(OR(B2507="",NOT(ISNUMBER(B2507)),C2507="",C2507="Fora dos ciclos"),"",IF(C2507="C0","Nao",IF(IFERROR(INDEX(parametros!$A$2:$A$6,MATCH(C2507,parametros!$B$2:$B$6,0)),"")&lt;&gt;"Sim","Nao",IF(IFERROR(INDEX(parametros!$H$2:$H$6,MATCH(C2507,parametros!$B$2:$B$6,0)),"")="","",IF(B2507&gt;=IFERROR(INDEX(parametros!$H$2:$H$6,MATCH(C2507,parametros!$B$2:$B$6,0)),""),"Sim","Nao"))))))</f>
        <v/>
      </c>
      <c r="T2507" s="156"/>
      <c r="U2507" s="214" t="str">
        <f t="shared" si="201"/>
        <v/>
      </c>
      <c r="V2507" s="212" t="s">
        <v>50</v>
      </c>
      <c r="W2507" s="100" t="s">
        <v>168</v>
      </c>
      <c r="X2507" s="100" t="s">
        <v>169</v>
      </c>
      <c r="Y2507" s="101" t="s">
        <v>170</v>
      </c>
      <c r="Z2507" s="101" t="s">
        <v>171</v>
      </c>
      <c r="AA2507" s="101" t="s">
        <v>50</v>
      </c>
      <c r="AB2507" s="101" t="s">
        <v>172</v>
      </c>
      <c r="AC2507" s="102" t="s">
        <v>173</v>
      </c>
    </row>
    <row r="2508" spans="1:29" ht="25.5" customHeight="1" x14ac:dyDescent="0.35">
      <c r="A2508" s="392"/>
      <c r="B2508" s="393"/>
      <c r="C2508" s="99" t="str">
        <f>IF(B2508="","",IF(NOT(ISNUMBER(B2508)),"DATA_PC invalida",IF(NOT(ISNUMBER(parametros!$C$2)),"Fora dos ciclos",IF(OR(B2508&lt;parametros!$C$2,(YEAR(B2508)-YEAR(parametros!$C$2))*12+MONTH(B2508)-MONTH(parametros!$C$2)&gt;59),"Fora dos ciclos","C"&amp;INT(((YEAR(B2508)-YEAR(parametros!$C$2))*12+MONTH(B2508)-MONTH(parametros!$C$2))/12)))))</f>
        <v/>
      </c>
      <c r="D2508" s="394"/>
      <c r="E2508" s="78" t="str">
        <f>IF(C2508="","",IFERROR(VLOOKUP(C2508,parametros!$A$11:$E$15,5,0),""))</f>
        <v/>
      </c>
      <c r="F2508" s="79" t="str">
        <f t="shared" si="197"/>
        <v/>
      </c>
      <c r="G2508" s="395"/>
      <c r="H2508" s="91">
        <f t="shared" si="198"/>
        <v>0</v>
      </c>
      <c r="I2508" s="91" t="str">
        <f t="shared" si="199"/>
        <v/>
      </c>
      <c r="J2508" s="91" t="str">
        <f t="shared" si="200"/>
        <v/>
      </c>
      <c r="K2508" s="92" t="str">
        <f>IF(AND(A2508="",B2508="",D2508="",G2508=""),"",IF(AND(A2508&lt;&gt;"",COUNTIF($A$2:$A$5001,A2508)&gt;1),"NUMERO_PC duplicado",IF(B2508="","DATA_PC vazia",IF(NOT(ISNUMBER(B2508)),"DATA_PC invalida",IF(OR(C2508="",C2508="Fora dos ciclos"),"CICLO_PC nao identificado",IF(OR(D2508="",D2508=0),"VALOR_PC vazio ou zero",IF(AND(G2508&lt;&gt;"Sim",G2508&lt;&gt;"Nao",G2508&lt;&gt;""),"PC_PAGO_A_CONTRATADA invalido",IF(AND(C2508&lt;&gt;"C0",IFERROR(INDEX(parametros!$A$2:$A$6,MATCH(C2508,parametros!$B$2:$B$6,0)),"")="Sim",IFERROR(INDEX(parametros!$H$2:$H$6,MATCH(C2508,parametros!$B$2:$B$6,0)),"")=""),"INICIO_EFEITO ausente: PC "&amp;A2508&amp;" - "&amp;C2508,IF(L2508="","EFEITO_PC nao calculado: PC "&amp;A2508&amp;" - "&amp;C2508,"OK")))))))))</f>
        <v/>
      </c>
      <c r="L2508" s="92" t="str">
        <f>IF(AND(A2508="",B2508="",D2508="",G2508=""),"",IF(OR(B2508="",NOT(ISNUMBER(B2508)),C2508="",C2508="Fora dos ciclos"),"",IF(C2508="C0","Nao",IF(IFERROR(INDEX(parametros!$A$2:$A$6,MATCH(C2508,parametros!$B$2:$B$6,0)),"")&lt;&gt;"Sim","Nao",IF(IFERROR(INDEX(parametros!$H$2:$H$6,MATCH(C2508,parametros!$B$2:$B$6,0)),"")="","",IF(B2508&gt;=IFERROR(INDEX(parametros!$H$2:$H$6,MATCH(C2508,parametros!$B$2:$B$6,0)),""),"Sim","Nao"))))))</f>
        <v/>
      </c>
      <c r="T2508" s="156"/>
      <c r="U2508" s="214" t="str">
        <f t="shared" si="201"/>
        <v/>
      </c>
      <c r="V2508" s="212" t="s">
        <v>50</v>
      </c>
      <c r="W2508" s="100" t="s">
        <v>168</v>
      </c>
      <c r="X2508" s="100" t="s">
        <v>169</v>
      </c>
      <c r="Y2508" s="101" t="s">
        <v>170</v>
      </c>
      <c r="Z2508" s="101" t="s">
        <v>171</v>
      </c>
      <c r="AA2508" s="101" t="s">
        <v>50</v>
      </c>
      <c r="AB2508" s="101" t="s">
        <v>172</v>
      </c>
      <c r="AC2508" s="102" t="s">
        <v>173</v>
      </c>
    </row>
    <row r="2509" spans="1:29" ht="25.5" customHeight="1" x14ac:dyDescent="0.35">
      <c r="A2509" s="392"/>
      <c r="B2509" s="393"/>
      <c r="C2509" s="99" t="str">
        <f>IF(B2509="","",IF(NOT(ISNUMBER(B2509)),"DATA_PC invalida",IF(NOT(ISNUMBER(parametros!$C$2)),"Fora dos ciclos",IF(OR(B2509&lt;parametros!$C$2,(YEAR(B2509)-YEAR(parametros!$C$2))*12+MONTH(B2509)-MONTH(parametros!$C$2)&gt;59),"Fora dos ciclos","C"&amp;INT(((YEAR(B2509)-YEAR(parametros!$C$2))*12+MONTH(B2509)-MONTH(parametros!$C$2))/12)))))</f>
        <v/>
      </c>
      <c r="D2509" s="394"/>
      <c r="E2509" s="78" t="str">
        <f>IF(C2509="","",IFERROR(VLOOKUP(C2509,parametros!$A$11:$E$15,5,0),""))</f>
        <v/>
      </c>
      <c r="F2509" s="79" t="str">
        <f t="shared" si="197"/>
        <v/>
      </c>
      <c r="G2509" s="395"/>
      <c r="H2509" s="91">
        <f t="shared" si="198"/>
        <v>0</v>
      </c>
      <c r="I2509" s="91" t="str">
        <f t="shared" si="199"/>
        <v/>
      </c>
      <c r="J2509" s="91" t="str">
        <f t="shared" si="200"/>
        <v/>
      </c>
      <c r="K2509" s="92" t="str">
        <f>IF(AND(A2509="",B2509="",D2509="",G2509=""),"",IF(AND(A2509&lt;&gt;"",COUNTIF($A$2:$A$5001,A2509)&gt;1),"NUMERO_PC duplicado",IF(B2509="","DATA_PC vazia",IF(NOT(ISNUMBER(B2509)),"DATA_PC invalida",IF(OR(C2509="",C2509="Fora dos ciclos"),"CICLO_PC nao identificado",IF(OR(D2509="",D2509=0),"VALOR_PC vazio ou zero",IF(AND(G2509&lt;&gt;"Sim",G2509&lt;&gt;"Nao",G2509&lt;&gt;""),"PC_PAGO_A_CONTRATADA invalido",IF(AND(C2509&lt;&gt;"C0",IFERROR(INDEX(parametros!$A$2:$A$6,MATCH(C2509,parametros!$B$2:$B$6,0)),"")="Sim",IFERROR(INDEX(parametros!$H$2:$H$6,MATCH(C2509,parametros!$B$2:$B$6,0)),"")=""),"INICIO_EFEITO ausente: PC "&amp;A2509&amp;" - "&amp;C2509,IF(L2509="","EFEITO_PC nao calculado: PC "&amp;A2509&amp;" - "&amp;C2509,"OK")))))))))</f>
        <v/>
      </c>
      <c r="L2509" s="92" t="str">
        <f>IF(AND(A2509="",B2509="",D2509="",G2509=""),"",IF(OR(B2509="",NOT(ISNUMBER(B2509)),C2509="",C2509="Fora dos ciclos"),"",IF(C2509="C0","Nao",IF(IFERROR(INDEX(parametros!$A$2:$A$6,MATCH(C2509,parametros!$B$2:$B$6,0)),"")&lt;&gt;"Sim","Nao",IF(IFERROR(INDEX(parametros!$H$2:$H$6,MATCH(C2509,parametros!$B$2:$B$6,0)),"")="","",IF(B2509&gt;=IFERROR(INDEX(parametros!$H$2:$H$6,MATCH(C2509,parametros!$B$2:$B$6,0)),""),"Sim","Nao"))))))</f>
        <v/>
      </c>
      <c r="T2509" s="156"/>
      <c r="U2509" s="214" t="str">
        <f t="shared" si="201"/>
        <v/>
      </c>
      <c r="V2509" s="212" t="s">
        <v>50</v>
      </c>
      <c r="W2509" s="100" t="s">
        <v>168</v>
      </c>
      <c r="X2509" s="100" t="s">
        <v>169</v>
      </c>
      <c r="Y2509" s="101" t="s">
        <v>170</v>
      </c>
      <c r="Z2509" s="101" t="s">
        <v>171</v>
      </c>
      <c r="AA2509" s="101" t="s">
        <v>50</v>
      </c>
      <c r="AB2509" s="101" t="s">
        <v>172</v>
      </c>
      <c r="AC2509" s="102" t="s">
        <v>173</v>
      </c>
    </row>
    <row r="2510" spans="1:29" ht="25.5" customHeight="1" x14ac:dyDescent="0.35">
      <c r="A2510" s="392"/>
      <c r="B2510" s="393"/>
      <c r="C2510" s="99" t="str">
        <f>IF(B2510="","",IF(NOT(ISNUMBER(B2510)),"DATA_PC invalida",IF(NOT(ISNUMBER(parametros!$C$2)),"Fora dos ciclos",IF(OR(B2510&lt;parametros!$C$2,(YEAR(B2510)-YEAR(parametros!$C$2))*12+MONTH(B2510)-MONTH(parametros!$C$2)&gt;59),"Fora dos ciclos","C"&amp;INT(((YEAR(B2510)-YEAR(parametros!$C$2))*12+MONTH(B2510)-MONTH(parametros!$C$2))/12)))))</f>
        <v/>
      </c>
      <c r="D2510" s="394"/>
      <c r="E2510" s="78" t="str">
        <f>IF(C2510="","",IFERROR(VLOOKUP(C2510,parametros!$A$11:$E$15,5,0),""))</f>
        <v/>
      </c>
      <c r="F2510" s="79" t="str">
        <f t="shared" si="197"/>
        <v/>
      </c>
      <c r="G2510" s="395"/>
      <c r="H2510" s="91">
        <f t="shared" si="198"/>
        <v>0</v>
      </c>
      <c r="I2510" s="91" t="str">
        <f t="shared" si="199"/>
        <v/>
      </c>
      <c r="J2510" s="91" t="str">
        <f t="shared" si="200"/>
        <v/>
      </c>
      <c r="K2510" s="92" t="str">
        <f>IF(AND(A2510="",B2510="",D2510="",G2510=""),"",IF(AND(A2510&lt;&gt;"",COUNTIF($A$2:$A$5001,A2510)&gt;1),"NUMERO_PC duplicado",IF(B2510="","DATA_PC vazia",IF(NOT(ISNUMBER(B2510)),"DATA_PC invalida",IF(OR(C2510="",C2510="Fora dos ciclos"),"CICLO_PC nao identificado",IF(OR(D2510="",D2510=0),"VALOR_PC vazio ou zero",IF(AND(G2510&lt;&gt;"Sim",G2510&lt;&gt;"Nao",G2510&lt;&gt;""),"PC_PAGO_A_CONTRATADA invalido",IF(AND(C2510&lt;&gt;"C0",IFERROR(INDEX(parametros!$A$2:$A$6,MATCH(C2510,parametros!$B$2:$B$6,0)),"")="Sim",IFERROR(INDEX(parametros!$H$2:$H$6,MATCH(C2510,parametros!$B$2:$B$6,0)),"")=""),"INICIO_EFEITO ausente: PC "&amp;A2510&amp;" - "&amp;C2510,IF(L2510="","EFEITO_PC nao calculado: PC "&amp;A2510&amp;" - "&amp;C2510,"OK")))))))))</f>
        <v/>
      </c>
      <c r="L2510" s="92" t="str">
        <f>IF(AND(A2510="",B2510="",D2510="",G2510=""),"",IF(OR(B2510="",NOT(ISNUMBER(B2510)),C2510="",C2510="Fora dos ciclos"),"",IF(C2510="C0","Nao",IF(IFERROR(INDEX(parametros!$A$2:$A$6,MATCH(C2510,parametros!$B$2:$B$6,0)),"")&lt;&gt;"Sim","Nao",IF(IFERROR(INDEX(parametros!$H$2:$H$6,MATCH(C2510,parametros!$B$2:$B$6,0)),"")="","",IF(B2510&gt;=IFERROR(INDEX(parametros!$H$2:$H$6,MATCH(C2510,parametros!$B$2:$B$6,0)),""),"Sim","Nao"))))))</f>
        <v/>
      </c>
      <c r="T2510" s="156"/>
      <c r="U2510" s="214" t="str">
        <f t="shared" si="201"/>
        <v/>
      </c>
      <c r="V2510" s="212" t="s">
        <v>50</v>
      </c>
      <c r="W2510" s="100" t="s">
        <v>168</v>
      </c>
      <c r="X2510" s="100" t="s">
        <v>169</v>
      </c>
      <c r="Y2510" s="101" t="s">
        <v>170</v>
      </c>
      <c r="Z2510" s="101" t="s">
        <v>171</v>
      </c>
      <c r="AA2510" s="101" t="s">
        <v>50</v>
      </c>
      <c r="AB2510" s="101" t="s">
        <v>172</v>
      </c>
      <c r="AC2510" s="102" t="s">
        <v>173</v>
      </c>
    </row>
    <row r="2511" spans="1:29" ht="25.5" customHeight="1" x14ac:dyDescent="0.35">
      <c r="A2511" s="392"/>
      <c r="B2511" s="393"/>
      <c r="C2511" s="99" t="str">
        <f>IF(B2511="","",IF(NOT(ISNUMBER(B2511)),"DATA_PC invalida",IF(NOT(ISNUMBER(parametros!$C$2)),"Fora dos ciclos",IF(OR(B2511&lt;parametros!$C$2,(YEAR(B2511)-YEAR(parametros!$C$2))*12+MONTH(B2511)-MONTH(parametros!$C$2)&gt;59),"Fora dos ciclos","C"&amp;INT(((YEAR(B2511)-YEAR(parametros!$C$2))*12+MONTH(B2511)-MONTH(parametros!$C$2))/12)))))</f>
        <v/>
      </c>
      <c r="D2511" s="394"/>
      <c r="E2511" s="78" t="str">
        <f>IF(C2511="","",IFERROR(VLOOKUP(C2511,parametros!$A$11:$E$15,5,0),""))</f>
        <v/>
      </c>
      <c r="F2511" s="79" t="str">
        <f t="shared" si="197"/>
        <v/>
      </c>
      <c r="G2511" s="395"/>
      <c r="H2511" s="91">
        <f t="shared" si="198"/>
        <v>0</v>
      </c>
      <c r="I2511" s="91" t="str">
        <f t="shared" si="199"/>
        <v/>
      </c>
      <c r="J2511" s="91" t="str">
        <f t="shared" si="200"/>
        <v/>
      </c>
      <c r="K2511" s="92" t="str">
        <f>IF(AND(A2511="",B2511="",D2511="",G2511=""),"",IF(AND(A2511&lt;&gt;"",COUNTIF($A$2:$A$5001,A2511)&gt;1),"NUMERO_PC duplicado",IF(B2511="","DATA_PC vazia",IF(NOT(ISNUMBER(B2511)),"DATA_PC invalida",IF(OR(C2511="",C2511="Fora dos ciclos"),"CICLO_PC nao identificado",IF(OR(D2511="",D2511=0),"VALOR_PC vazio ou zero",IF(AND(G2511&lt;&gt;"Sim",G2511&lt;&gt;"Nao",G2511&lt;&gt;""),"PC_PAGO_A_CONTRATADA invalido",IF(AND(C2511&lt;&gt;"C0",IFERROR(INDEX(parametros!$A$2:$A$6,MATCH(C2511,parametros!$B$2:$B$6,0)),"")="Sim",IFERROR(INDEX(parametros!$H$2:$H$6,MATCH(C2511,parametros!$B$2:$B$6,0)),"")=""),"INICIO_EFEITO ausente: PC "&amp;A2511&amp;" - "&amp;C2511,IF(L2511="","EFEITO_PC nao calculado: PC "&amp;A2511&amp;" - "&amp;C2511,"OK")))))))))</f>
        <v/>
      </c>
      <c r="L2511" s="92" t="str">
        <f>IF(AND(A2511="",B2511="",D2511="",G2511=""),"",IF(OR(B2511="",NOT(ISNUMBER(B2511)),C2511="",C2511="Fora dos ciclos"),"",IF(C2511="C0","Nao",IF(IFERROR(INDEX(parametros!$A$2:$A$6,MATCH(C2511,parametros!$B$2:$B$6,0)),"")&lt;&gt;"Sim","Nao",IF(IFERROR(INDEX(parametros!$H$2:$H$6,MATCH(C2511,parametros!$B$2:$B$6,0)),"")="","",IF(B2511&gt;=IFERROR(INDEX(parametros!$H$2:$H$6,MATCH(C2511,parametros!$B$2:$B$6,0)),""),"Sim","Nao"))))))</f>
        <v/>
      </c>
      <c r="T2511" s="156"/>
      <c r="U2511" s="214" t="str">
        <f t="shared" si="201"/>
        <v/>
      </c>
      <c r="V2511" s="212" t="s">
        <v>50</v>
      </c>
      <c r="W2511" s="100" t="s">
        <v>168</v>
      </c>
      <c r="X2511" s="100" t="s">
        <v>169</v>
      </c>
      <c r="Y2511" s="101" t="s">
        <v>170</v>
      </c>
      <c r="Z2511" s="101" t="s">
        <v>171</v>
      </c>
      <c r="AA2511" s="101" t="s">
        <v>50</v>
      </c>
      <c r="AB2511" s="101" t="s">
        <v>172</v>
      </c>
      <c r="AC2511" s="102" t="s">
        <v>173</v>
      </c>
    </row>
    <row r="2512" spans="1:29" ht="25.5" customHeight="1" x14ac:dyDescent="0.35">
      <c r="A2512" s="392"/>
      <c r="B2512" s="393"/>
      <c r="C2512" s="99" t="str">
        <f>IF(B2512="","",IF(NOT(ISNUMBER(B2512)),"DATA_PC invalida",IF(NOT(ISNUMBER(parametros!$C$2)),"Fora dos ciclos",IF(OR(B2512&lt;parametros!$C$2,(YEAR(B2512)-YEAR(parametros!$C$2))*12+MONTH(B2512)-MONTH(parametros!$C$2)&gt;59),"Fora dos ciclos","C"&amp;INT(((YEAR(B2512)-YEAR(parametros!$C$2))*12+MONTH(B2512)-MONTH(parametros!$C$2))/12)))))</f>
        <v/>
      </c>
      <c r="D2512" s="394"/>
      <c r="E2512" s="78" t="str">
        <f>IF(C2512="","",IFERROR(VLOOKUP(C2512,parametros!$A$11:$E$15,5,0),""))</f>
        <v/>
      </c>
      <c r="F2512" s="79" t="str">
        <f t="shared" si="197"/>
        <v/>
      </c>
      <c r="G2512" s="395"/>
      <c r="H2512" s="91">
        <f t="shared" si="198"/>
        <v>0</v>
      </c>
      <c r="I2512" s="91" t="str">
        <f t="shared" si="199"/>
        <v/>
      </c>
      <c r="J2512" s="91" t="str">
        <f t="shared" si="200"/>
        <v/>
      </c>
      <c r="K2512" s="92" t="str">
        <f>IF(AND(A2512="",B2512="",D2512="",G2512=""),"",IF(AND(A2512&lt;&gt;"",COUNTIF($A$2:$A$5001,A2512)&gt;1),"NUMERO_PC duplicado",IF(B2512="","DATA_PC vazia",IF(NOT(ISNUMBER(B2512)),"DATA_PC invalida",IF(OR(C2512="",C2512="Fora dos ciclos"),"CICLO_PC nao identificado",IF(OR(D2512="",D2512=0),"VALOR_PC vazio ou zero",IF(AND(G2512&lt;&gt;"Sim",G2512&lt;&gt;"Nao",G2512&lt;&gt;""),"PC_PAGO_A_CONTRATADA invalido",IF(AND(C2512&lt;&gt;"C0",IFERROR(INDEX(parametros!$A$2:$A$6,MATCH(C2512,parametros!$B$2:$B$6,0)),"")="Sim",IFERROR(INDEX(parametros!$H$2:$H$6,MATCH(C2512,parametros!$B$2:$B$6,0)),"")=""),"INICIO_EFEITO ausente: PC "&amp;A2512&amp;" - "&amp;C2512,IF(L2512="","EFEITO_PC nao calculado: PC "&amp;A2512&amp;" - "&amp;C2512,"OK")))))))))</f>
        <v/>
      </c>
      <c r="L2512" s="92" t="str">
        <f>IF(AND(A2512="",B2512="",D2512="",G2512=""),"",IF(OR(B2512="",NOT(ISNUMBER(B2512)),C2512="",C2512="Fora dos ciclos"),"",IF(C2512="C0","Nao",IF(IFERROR(INDEX(parametros!$A$2:$A$6,MATCH(C2512,parametros!$B$2:$B$6,0)),"")&lt;&gt;"Sim","Nao",IF(IFERROR(INDEX(parametros!$H$2:$H$6,MATCH(C2512,parametros!$B$2:$B$6,0)),"")="","",IF(B2512&gt;=IFERROR(INDEX(parametros!$H$2:$H$6,MATCH(C2512,parametros!$B$2:$B$6,0)),""),"Sim","Nao"))))))</f>
        <v/>
      </c>
      <c r="T2512" s="156"/>
      <c r="U2512" s="214" t="str">
        <f t="shared" si="201"/>
        <v/>
      </c>
      <c r="V2512" s="212" t="s">
        <v>50</v>
      </c>
      <c r="W2512" s="100" t="s">
        <v>168</v>
      </c>
      <c r="X2512" s="100" t="s">
        <v>169</v>
      </c>
      <c r="Y2512" s="101" t="s">
        <v>170</v>
      </c>
      <c r="Z2512" s="101" t="s">
        <v>171</v>
      </c>
      <c r="AA2512" s="101" t="s">
        <v>50</v>
      </c>
      <c r="AB2512" s="101" t="s">
        <v>172</v>
      </c>
      <c r="AC2512" s="102" t="s">
        <v>173</v>
      </c>
    </row>
    <row r="2513" spans="1:29" ht="25.5" customHeight="1" x14ac:dyDescent="0.35">
      <c r="A2513" s="392"/>
      <c r="B2513" s="393"/>
      <c r="C2513" s="99" t="str">
        <f>IF(B2513="","",IF(NOT(ISNUMBER(B2513)),"DATA_PC invalida",IF(NOT(ISNUMBER(parametros!$C$2)),"Fora dos ciclos",IF(OR(B2513&lt;parametros!$C$2,(YEAR(B2513)-YEAR(parametros!$C$2))*12+MONTH(B2513)-MONTH(parametros!$C$2)&gt;59),"Fora dos ciclos","C"&amp;INT(((YEAR(B2513)-YEAR(parametros!$C$2))*12+MONTH(B2513)-MONTH(parametros!$C$2))/12)))))</f>
        <v/>
      </c>
      <c r="D2513" s="394"/>
      <c r="E2513" s="78" t="str">
        <f>IF(C2513="","",IFERROR(VLOOKUP(C2513,parametros!$A$11:$E$15,5,0),""))</f>
        <v/>
      </c>
      <c r="F2513" s="79" t="str">
        <f t="shared" si="197"/>
        <v/>
      </c>
      <c r="G2513" s="395"/>
      <c r="H2513" s="91">
        <f t="shared" si="198"/>
        <v>0</v>
      </c>
      <c r="I2513" s="91" t="str">
        <f t="shared" si="199"/>
        <v/>
      </c>
      <c r="J2513" s="91" t="str">
        <f t="shared" si="200"/>
        <v/>
      </c>
      <c r="K2513" s="92" t="str">
        <f>IF(AND(A2513="",B2513="",D2513="",G2513=""),"",IF(AND(A2513&lt;&gt;"",COUNTIF($A$2:$A$5001,A2513)&gt;1),"NUMERO_PC duplicado",IF(B2513="","DATA_PC vazia",IF(NOT(ISNUMBER(B2513)),"DATA_PC invalida",IF(OR(C2513="",C2513="Fora dos ciclos"),"CICLO_PC nao identificado",IF(OR(D2513="",D2513=0),"VALOR_PC vazio ou zero",IF(AND(G2513&lt;&gt;"Sim",G2513&lt;&gt;"Nao",G2513&lt;&gt;""),"PC_PAGO_A_CONTRATADA invalido",IF(AND(C2513&lt;&gt;"C0",IFERROR(INDEX(parametros!$A$2:$A$6,MATCH(C2513,parametros!$B$2:$B$6,0)),"")="Sim",IFERROR(INDEX(parametros!$H$2:$H$6,MATCH(C2513,parametros!$B$2:$B$6,0)),"")=""),"INICIO_EFEITO ausente: PC "&amp;A2513&amp;" - "&amp;C2513,IF(L2513="","EFEITO_PC nao calculado: PC "&amp;A2513&amp;" - "&amp;C2513,"OK")))))))))</f>
        <v/>
      </c>
      <c r="L2513" s="92" t="str">
        <f>IF(AND(A2513="",B2513="",D2513="",G2513=""),"",IF(OR(B2513="",NOT(ISNUMBER(B2513)),C2513="",C2513="Fora dos ciclos"),"",IF(C2513="C0","Nao",IF(IFERROR(INDEX(parametros!$A$2:$A$6,MATCH(C2513,parametros!$B$2:$B$6,0)),"")&lt;&gt;"Sim","Nao",IF(IFERROR(INDEX(parametros!$H$2:$H$6,MATCH(C2513,parametros!$B$2:$B$6,0)),"")="","",IF(B2513&gt;=IFERROR(INDEX(parametros!$H$2:$H$6,MATCH(C2513,parametros!$B$2:$B$6,0)),""),"Sim","Nao"))))))</f>
        <v/>
      </c>
      <c r="T2513" s="156"/>
      <c r="U2513" s="214" t="str">
        <f t="shared" si="201"/>
        <v/>
      </c>
      <c r="V2513" s="212" t="s">
        <v>50</v>
      </c>
      <c r="W2513" s="100" t="s">
        <v>168</v>
      </c>
      <c r="X2513" s="100" t="s">
        <v>169</v>
      </c>
      <c r="Y2513" s="101" t="s">
        <v>170</v>
      </c>
      <c r="Z2513" s="101" t="s">
        <v>171</v>
      </c>
      <c r="AA2513" s="101" t="s">
        <v>50</v>
      </c>
      <c r="AB2513" s="101" t="s">
        <v>172</v>
      </c>
      <c r="AC2513" s="102" t="s">
        <v>173</v>
      </c>
    </row>
    <row r="2514" spans="1:29" ht="25.5" customHeight="1" x14ac:dyDescent="0.35">
      <c r="A2514" s="392"/>
      <c r="B2514" s="393"/>
      <c r="C2514" s="99" t="str">
        <f>IF(B2514="","",IF(NOT(ISNUMBER(B2514)),"DATA_PC invalida",IF(NOT(ISNUMBER(parametros!$C$2)),"Fora dos ciclos",IF(OR(B2514&lt;parametros!$C$2,(YEAR(B2514)-YEAR(parametros!$C$2))*12+MONTH(B2514)-MONTH(parametros!$C$2)&gt;59),"Fora dos ciclos","C"&amp;INT(((YEAR(B2514)-YEAR(parametros!$C$2))*12+MONTH(B2514)-MONTH(parametros!$C$2))/12)))))</f>
        <v/>
      </c>
      <c r="D2514" s="394"/>
      <c r="E2514" s="78" t="str">
        <f>IF(C2514="","",IFERROR(VLOOKUP(C2514,parametros!$A$11:$E$15,5,0),""))</f>
        <v/>
      </c>
      <c r="F2514" s="79" t="str">
        <f t="shared" si="197"/>
        <v/>
      </c>
      <c r="G2514" s="395"/>
      <c r="H2514" s="91">
        <f t="shared" si="198"/>
        <v>0</v>
      </c>
      <c r="I2514" s="91" t="str">
        <f t="shared" si="199"/>
        <v/>
      </c>
      <c r="J2514" s="91" t="str">
        <f t="shared" si="200"/>
        <v/>
      </c>
      <c r="K2514" s="92" t="str">
        <f>IF(AND(A2514="",B2514="",D2514="",G2514=""),"",IF(AND(A2514&lt;&gt;"",COUNTIF($A$2:$A$5001,A2514)&gt;1),"NUMERO_PC duplicado",IF(B2514="","DATA_PC vazia",IF(NOT(ISNUMBER(B2514)),"DATA_PC invalida",IF(OR(C2514="",C2514="Fora dos ciclos"),"CICLO_PC nao identificado",IF(OR(D2514="",D2514=0),"VALOR_PC vazio ou zero",IF(AND(G2514&lt;&gt;"Sim",G2514&lt;&gt;"Nao",G2514&lt;&gt;""),"PC_PAGO_A_CONTRATADA invalido",IF(AND(C2514&lt;&gt;"C0",IFERROR(INDEX(parametros!$A$2:$A$6,MATCH(C2514,parametros!$B$2:$B$6,0)),"")="Sim",IFERROR(INDEX(parametros!$H$2:$H$6,MATCH(C2514,parametros!$B$2:$B$6,0)),"")=""),"INICIO_EFEITO ausente: PC "&amp;A2514&amp;" - "&amp;C2514,IF(L2514="","EFEITO_PC nao calculado: PC "&amp;A2514&amp;" - "&amp;C2514,"OK")))))))))</f>
        <v/>
      </c>
      <c r="L2514" s="92" t="str">
        <f>IF(AND(A2514="",B2514="",D2514="",G2514=""),"",IF(OR(B2514="",NOT(ISNUMBER(B2514)),C2514="",C2514="Fora dos ciclos"),"",IF(C2514="C0","Nao",IF(IFERROR(INDEX(parametros!$A$2:$A$6,MATCH(C2514,parametros!$B$2:$B$6,0)),"")&lt;&gt;"Sim","Nao",IF(IFERROR(INDEX(parametros!$H$2:$H$6,MATCH(C2514,parametros!$B$2:$B$6,0)),"")="","",IF(B2514&gt;=IFERROR(INDEX(parametros!$H$2:$H$6,MATCH(C2514,parametros!$B$2:$B$6,0)),""),"Sim","Nao"))))))</f>
        <v/>
      </c>
      <c r="T2514" s="156"/>
      <c r="U2514" s="214" t="str">
        <f t="shared" si="201"/>
        <v/>
      </c>
      <c r="V2514" s="212" t="s">
        <v>50</v>
      </c>
      <c r="W2514" s="100" t="s">
        <v>168</v>
      </c>
      <c r="X2514" s="100" t="s">
        <v>169</v>
      </c>
      <c r="Y2514" s="101" t="s">
        <v>170</v>
      </c>
      <c r="Z2514" s="101" t="s">
        <v>171</v>
      </c>
      <c r="AA2514" s="101" t="s">
        <v>50</v>
      </c>
      <c r="AB2514" s="101" t="s">
        <v>172</v>
      </c>
      <c r="AC2514" s="102" t="s">
        <v>173</v>
      </c>
    </row>
    <row r="2515" spans="1:29" ht="25.5" customHeight="1" x14ac:dyDescent="0.35">
      <c r="A2515" s="392"/>
      <c r="B2515" s="393"/>
      <c r="C2515" s="99" t="str">
        <f>IF(B2515="","",IF(NOT(ISNUMBER(B2515)),"DATA_PC invalida",IF(NOT(ISNUMBER(parametros!$C$2)),"Fora dos ciclos",IF(OR(B2515&lt;parametros!$C$2,(YEAR(B2515)-YEAR(parametros!$C$2))*12+MONTH(B2515)-MONTH(parametros!$C$2)&gt;59),"Fora dos ciclos","C"&amp;INT(((YEAR(B2515)-YEAR(parametros!$C$2))*12+MONTH(B2515)-MONTH(parametros!$C$2))/12)))))</f>
        <v/>
      </c>
      <c r="D2515" s="394"/>
      <c r="E2515" s="78" t="str">
        <f>IF(C2515="","",IFERROR(VLOOKUP(C2515,parametros!$A$11:$E$15,5,0),""))</f>
        <v/>
      </c>
      <c r="F2515" s="79" t="str">
        <f t="shared" si="197"/>
        <v/>
      </c>
      <c r="G2515" s="395"/>
      <c r="H2515" s="91">
        <f t="shared" si="198"/>
        <v>0</v>
      </c>
      <c r="I2515" s="91" t="str">
        <f t="shared" si="199"/>
        <v/>
      </c>
      <c r="J2515" s="91" t="str">
        <f t="shared" si="200"/>
        <v/>
      </c>
      <c r="K2515" s="92" t="str">
        <f>IF(AND(A2515="",B2515="",D2515="",G2515=""),"",IF(AND(A2515&lt;&gt;"",COUNTIF($A$2:$A$5001,A2515)&gt;1),"NUMERO_PC duplicado",IF(B2515="","DATA_PC vazia",IF(NOT(ISNUMBER(B2515)),"DATA_PC invalida",IF(OR(C2515="",C2515="Fora dos ciclos"),"CICLO_PC nao identificado",IF(OR(D2515="",D2515=0),"VALOR_PC vazio ou zero",IF(AND(G2515&lt;&gt;"Sim",G2515&lt;&gt;"Nao",G2515&lt;&gt;""),"PC_PAGO_A_CONTRATADA invalido",IF(AND(C2515&lt;&gt;"C0",IFERROR(INDEX(parametros!$A$2:$A$6,MATCH(C2515,parametros!$B$2:$B$6,0)),"")="Sim",IFERROR(INDEX(parametros!$H$2:$H$6,MATCH(C2515,parametros!$B$2:$B$6,0)),"")=""),"INICIO_EFEITO ausente: PC "&amp;A2515&amp;" - "&amp;C2515,IF(L2515="","EFEITO_PC nao calculado: PC "&amp;A2515&amp;" - "&amp;C2515,"OK")))))))))</f>
        <v/>
      </c>
      <c r="L2515" s="92" t="str">
        <f>IF(AND(A2515="",B2515="",D2515="",G2515=""),"",IF(OR(B2515="",NOT(ISNUMBER(B2515)),C2515="",C2515="Fora dos ciclos"),"",IF(C2515="C0","Nao",IF(IFERROR(INDEX(parametros!$A$2:$A$6,MATCH(C2515,parametros!$B$2:$B$6,0)),"")&lt;&gt;"Sim","Nao",IF(IFERROR(INDEX(parametros!$H$2:$H$6,MATCH(C2515,parametros!$B$2:$B$6,0)),"")="","",IF(B2515&gt;=IFERROR(INDEX(parametros!$H$2:$H$6,MATCH(C2515,parametros!$B$2:$B$6,0)),""),"Sim","Nao"))))))</f>
        <v/>
      </c>
      <c r="T2515" s="156"/>
      <c r="U2515" s="214" t="str">
        <f t="shared" si="201"/>
        <v/>
      </c>
      <c r="V2515" s="212" t="s">
        <v>50</v>
      </c>
      <c r="W2515" s="100" t="s">
        <v>168</v>
      </c>
      <c r="X2515" s="100" t="s">
        <v>169</v>
      </c>
      <c r="Y2515" s="101" t="s">
        <v>170</v>
      </c>
      <c r="Z2515" s="101" t="s">
        <v>171</v>
      </c>
      <c r="AA2515" s="101" t="s">
        <v>50</v>
      </c>
      <c r="AB2515" s="101" t="s">
        <v>172</v>
      </c>
      <c r="AC2515" s="102" t="s">
        <v>173</v>
      </c>
    </row>
    <row r="2516" spans="1:29" ht="25.5" customHeight="1" x14ac:dyDescent="0.35">
      <c r="A2516" s="392"/>
      <c r="B2516" s="393"/>
      <c r="C2516" s="99" t="str">
        <f>IF(B2516="","",IF(NOT(ISNUMBER(B2516)),"DATA_PC invalida",IF(NOT(ISNUMBER(parametros!$C$2)),"Fora dos ciclos",IF(OR(B2516&lt;parametros!$C$2,(YEAR(B2516)-YEAR(parametros!$C$2))*12+MONTH(B2516)-MONTH(parametros!$C$2)&gt;59),"Fora dos ciclos","C"&amp;INT(((YEAR(B2516)-YEAR(parametros!$C$2))*12+MONTH(B2516)-MONTH(parametros!$C$2))/12)))))</f>
        <v/>
      </c>
      <c r="D2516" s="394"/>
      <c r="E2516" s="78" t="str">
        <f>IF(C2516="","",IFERROR(VLOOKUP(C2516,parametros!$A$11:$E$15,5,0),""))</f>
        <v/>
      </c>
      <c r="F2516" s="79" t="str">
        <f t="shared" si="197"/>
        <v/>
      </c>
      <c r="G2516" s="395"/>
      <c r="H2516" s="91">
        <f t="shared" si="198"/>
        <v>0</v>
      </c>
      <c r="I2516" s="91" t="str">
        <f t="shared" si="199"/>
        <v/>
      </c>
      <c r="J2516" s="91" t="str">
        <f t="shared" si="200"/>
        <v/>
      </c>
      <c r="K2516" s="92" t="str">
        <f>IF(AND(A2516="",B2516="",D2516="",G2516=""),"",IF(AND(A2516&lt;&gt;"",COUNTIF($A$2:$A$5001,A2516)&gt;1),"NUMERO_PC duplicado",IF(B2516="","DATA_PC vazia",IF(NOT(ISNUMBER(B2516)),"DATA_PC invalida",IF(OR(C2516="",C2516="Fora dos ciclos"),"CICLO_PC nao identificado",IF(OR(D2516="",D2516=0),"VALOR_PC vazio ou zero",IF(AND(G2516&lt;&gt;"Sim",G2516&lt;&gt;"Nao",G2516&lt;&gt;""),"PC_PAGO_A_CONTRATADA invalido",IF(AND(C2516&lt;&gt;"C0",IFERROR(INDEX(parametros!$A$2:$A$6,MATCH(C2516,parametros!$B$2:$B$6,0)),"")="Sim",IFERROR(INDEX(parametros!$H$2:$H$6,MATCH(C2516,parametros!$B$2:$B$6,0)),"")=""),"INICIO_EFEITO ausente: PC "&amp;A2516&amp;" - "&amp;C2516,IF(L2516="","EFEITO_PC nao calculado: PC "&amp;A2516&amp;" - "&amp;C2516,"OK")))))))))</f>
        <v/>
      </c>
      <c r="L2516" s="92" t="str">
        <f>IF(AND(A2516="",B2516="",D2516="",G2516=""),"",IF(OR(B2516="",NOT(ISNUMBER(B2516)),C2516="",C2516="Fora dos ciclos"),"",IF(C2516="C0","Nao",IF(IFERROR(INDEX(parametros!$A$2:$A$6,MATCH(C2516,parametros!$B$2:$B$6,0)),"")&lt;&gt;"Sim","Nao",IF(IFERROR(INDEX(parametros!$H$2:$H$6,MATCH(C2516,parametros!$B$2:$B$6,0)),"")="","",IF(B2516&gt;=IFERROR(INDEX(parametros!$H$2:$H$6,MATCH(C2516,parametros!$B$2:$B$6,0)),""),"Sim","Nao"))))))</f>
        <v/>
      </c>
      <c r="T2516" s="156"/>
      <c r="U2516" s="214" t="str">
        <f t="shared" si="201"/>
        <v/>
      </c>
      <c r="V2516" s="212" t="s">
        <v>50</v>
      </c>
      <c r="W2516" s="100" t="s">
        <v>168</v>
      </c>
      <c r="X2516" s="100" t="s">
        <v>169</v>
      </c>
      <c r="Y2516" s="101" t="s">
        <v>170</v>
      </c>
      <c r="Z2516" s="101" t="s">
        <v>171</v>
      </c>
      <c r="AA2516" s="101" t="s">
        <v>50</v>
      </c>
      <c r="AB2516" s="101" t="s">
        <v>172</v>
      </c>
      <c r="AC2516" s="102" t="s">
        <v>173</v>
      </c>
    </row>
    <row r="2517" spans="1:29" ht="25.5" customHeight="1" x14ac:dyDescent="0.35">
      <c r="A2517" s="392"/>
      <c r="B2517" s="393"/>
      <c r="C2517" s="99" t="str">
        <f>IF(B2517="","",IF(NOT(ISNUMBER(B2517)),"DATA_PC invalida",IF(NOT(ISNUMBER(parametros!$C$2)),"Fora dos ciclos",IF(OR(B2517&lt;parametros!$C$2,(YEAR(B2517)-YEAR(parametros!$C$2))*12+MONTH(B2517)-MONTH(parametros!$C$2)&gt;59),"Fora dos ciclos","C"&amp;INT(((YEAR(B2517)-YEAR(parametros!$C$2))*12+MONTH(B2517)-MONTH(parametros!$C$2))/12)))))</f>
        <v/>
      </c>
      <c r="D2517" s="394"/>
      <c r="E2517" s="78" t="str">
        <f>IF(C2517="","",IFERROR(VLOOKUP(C2517,parametros!$A$11:$E$15,5,0),""))</f>
        <v/>
      </c>
      <c r="F2517" s="79" t="str">
        <f t="shared" si="197"/>
        <v/>
      </c>
      <c r="G2517" s="395"/>
      <c r="H2517" s="91">
        <f t="shared" si="198"/>
        <v>0</v>
      </c>
      <c r="I2517" s="91" t="str">
        <f t="shared" si="199"/>
        <v/>
      </c>
      <c r="J2517" s="91" t="str">
        <f t="shared" si="200"/>
        <v/>
      </c>
      <c r="K2517" s="92" t="str">
        <f>IF(AND(A2517="",B2517="",D2517="",G2517=""),"",IF(AND(A2517&lt;&gt;"",COUNTIF($A$2:$A$5001,A2517)&gt;1),"NUMERO_PC duplicado",IF(B2517="","DATA_PC vazia",IF(NOT(ISNUMBER(B2517)),"DATA_PC invalida",IF(OR(C2517="",C2517="Fora dos ciclos"),"CICLO_PC nao identificado",IF(OR(D2517="",D2517=0),"VALOR_PC vazio ou zero",IF(AND(G2517&lt;&gt;"Sim",G2517&lt;&gt;"Nao",G2517&lt;&gt;""),"PC_PAGO_A_CONTRATADA invalido",IF(AND(C2517&lt;&gt;"C0",IFERROR(INDEX(parametros!$A$2:$A$6,MATCH(C2517,parametros!$B$2:$B$6,0)),"")="Sim",IFERROR(INDEX(parametros!$H$2:$H$6,MATCH(C2517,parametros!$B$2:$B$6,0)),"")=""),"INICIO_EFEITO ausente: PC "&amp;A2517&amp;" - "&amp;C2517,IF(L2517="","EFEITO_PC nao calculado: PC "&amp;A2517&amp;" - "&amp;C2517,"OK")))))))))</f>
        <v/>
      </c>
      <c r="L2517" s="92" t="str">
        <f>IF(AND(A2517="",B2517="",D2517="",G2517=""),"",IF(OR(B2517="",NOT(ISNUMBER(B2517)),C2517="",C2517="Fora dos ciclos"),"",IF(C2517="C0","Nao",IF(IFERROR(INDEX(parametros!$A$2:$A$6,MATCH(C2517,parametros!$B$2:$B$6,0)),"")&lt;&gt;"Sim","Nao",IF(IFERROR(INDEX(parametros!$H$2:$H$6,MATCH(C2517,parametros!$B$2:$B$6,0)),"")="","",IF(B2517&gt;=IFERROR(INDEX(parametros!$H$2:$H$6,MATCH(C2517,parametros!$B$2:$B$6,0)),""),"Sim","Nao"))))))</f>
        <v/>
      </c>
      <c r="T2517" s="156"/>
      <c r="U2517" s="214" t="str">
        <f t="shared" si="201"/>
        <v/>
      </c>
      <c r="V2517" s="212" t="s">
        <v>50</v>
      </c>
      <c r="W2517" s="100" t="s">
        <v>168</v>
      </c>
      <c r="X2517" s="100" t="s">
        <v>169</v>
      </c>
      <c r="Y2517" s="101" t="s">
        <v>170</v>
      </c>
      <c r="Z2517" s="101" t="s">
        <v>171</v>
      </c>
      <c r="AA2517" s="101" t="s">
        <v>50</v>
      </c>
      <c r="AB2517" s="101" t="s">
        <v>172</v>
      </c>
      <c r="AC2517" s="102" t="s">
        <v>173</v>
      </c>
    </row>
    <row r="2518" spans="1:29" ht="25.5" customHeight="1" x14ac:dyDescent="0.35">
      <c r="A2518" s="392"/>
      <c r="B2518" s="393"/>
      <c r="C2518" s="99" t="str">
        <f>IF(B2518="","",IF(NOT(ISNUMBER(B2518)),"DATA_PC invalida",IF(NOT(ISNUMBER(parametros!$C$2)),"Fora dos ciclos",IF(OR(B2518&lt;parametros!$C$2,(YEAR(B2518)-YEAR(parametros!$C$2))*12+MONTH(B2518)-MONTH(parametros!$C$2)&gt;59),"Fora dos ciclos","C"&amp;INT(((YEAR(B2518)-YEAR(parametros!$C$2))*12+MONTH(B2518)-MONTH(parametros!$C$2))/12)))))</f>
        <v/>
      </c>
      <c r="D2518" s="394"/>
      <c r="E2518" s="78" t="str">
        <f>IF(C2518="","",IFERROR(VLOOKUP(C2518,parametros!$A$11:$E$15,5,0),""))</f>
        <v/>
      </c>
      <c r="F2518" s="79" t="str">
        <f t="shared" si="197"/>
        <v/>
      </c>
      <c r="G2518" s="395"/>
      <c r="H2518" s="91">
        <f t="shared" si="198"/>
        <v>0</v>
      </c>
      <c r="I2518" s="91" t="str">
        <f t="shared" si="199"/>
        <v/>
      </c>
      <c r="J2518" s="91" t="str">
        <f t="shared" si="200"/>
        <v/>
      </c>
      <c r="K2518" s="92" t="str">
        <f>IF(AND(A2518="",B2518="",D2518="",G2518=""),"",IF(AND(A2518&lt;&gt;"",COUNTIF($A$2:$A$5001,A2518)&gt;1),"NUMERO_PC duplicado",IF(B2518="","DATA_PC vazia",IF(NOT(ISNUMBER(B2518)),"DATA_PC invalida",IF(OR(C2518="",C2518="Fora dos ciclos"),"CICLO_PC nao identificado",IF(OR(D2518="",D2518=0),"VALOR_PC vazio ou zero",IF(AND(G2518&lt;&gt;"Sim",G2518&lt;&gt;"Nao",G2518&lt;&gt;""),"PC_PAGO_A_CONTRATADA invalido",IF(AND(C2518&lt;&gt;"C0",IFERROR(INDEX(parametros!$A$2:$A$6,MATCH(C2518,parametros!$B$2:$B$6,0)),"")="Sim",IFERROR(INDEX(parametros!$H$2:$H$6,MATCH(C2518,parametros!$B$2:$B$6,0)),"")=""),"INICIO_EFEITO ausente: PC "&amp;A2518&amp;" - "&amp;C2518,IF(L2518="","EFEITO_PC nao calculado: PC "&amp;A2518&amp;" - "&amp;C2518,"OK")))))))))</f>
        <v/>
      </c>
      <c r="L2518" s="92" t="str">
        <f>IF(AND(A2518="",B2518="",D2518="",G2518=""),"",IF(OR(B2518="",NOT(ISNUMBER(B2518)),C2518="",C2518="Fora dos ciclos"),"",IF(C2518="C0","Nao",IF(IFERROR(INDEX(parametros!$A$2:$A$6,MATCH(C2518,parametros!$B$2:$B$6,0)),"")&lt;&gt;"Sim","Nao",IF(IFERROR(INDEX(parametros!$H$2:$H$6,MATCH(C2518,parametros!$B$2:$B$6,0)),"")="","",IF(B2518&gt;=IFERROR(INDEX(parametros!$H$2:$H$6,MATCH(C2518,parametros!$B$2:$B$6,0)),""),"Sim","Nao"))))))</f>
        <v/>
      </c>
      <c r="T2518" s="156"/>
      <c r="U2518" s="214" t="str">
        <f t="shared" si="201"/>
        <v/>
      </c>
      <c r="V2518" s="212" t="s">
        <v>50</v>
      </c>
      <c r="W2518" s="100" t="s">
        <v>168</v>
      </c>
      <c r="X2518" s="100" t="s">
        <v>169</v>
      </c>
      <c r="Y2518" s="101" t="s">
        <v>170</v>
      </c>
      <c r="Z2518" s="101" t="s">
        <v>171</v>
      </c>
      <c r="AA2518" s="101" t="s">
        <v>50</v>
      </c>
      <c r="AB2518" s="101" t="s">
        <v>172</v>
      </c>
      <c r="AC2518" s="102" t="s">
        <v>173</v>
      </c>
    </row>
    <row r="2519" spans="1:29" ht="25.5" customHeight="1" x14ac:dyDescent="0.35">
      <c r="A2519" s="392"/>
      <c r="B2519" s="393"/>
      <c r="C2519" s="99" t="str">
        <f>IF(B2519="","",IF(NOT(ISNUMBER(B2519)),"DATA_PC invalida",IF(NOT(ISNUMBER(parametros!$C$2)),"Fora dos ciclos",IF(OR(B2519&lt;parametros!$C$2,(YEAR(B2519)-YEAR(parametros!$C$2))*12+MONTH(B2519)-MONTH(parametros!$C$2)&gt;59),"Fora dos ciclos","C"&amp;INT(((YEAR(B2519)-YEAR(parametros!$C$2))*12+MONTH(B2519)-MONTH(parametros!$C$2))/12)))))</f>
        <v/>
      </c>
      <c r="D2519" s="394"/>
      <c r="E2519" s="78" t="str">
        <f>IF(C2519="","",IFERROR(VLOOKUP(C2519,parametros!$A$11:$E$15,5,0),""))</f>
        <v/>
      </c>
      <c r="F2519" s="79" t="str">
        <f t="shared" si="197"/>
        <v/>
      </c>
      <c r="G2519" s="395"/>
      <c r="H2519" s="91">
        <f t="shared" si="198"/>
        <v>0</v>
      </c>
      <c r="I2519" s="91" t="str">
        <f t="shared" si="199"/>
        <v/>
      </c>
      <c r="J2519" s="91" t="str">
        <f t="shared" si="200"/>
        <v/>
      </c>
      <c r="K2519" s="92" t="str">
        <f>IF(AND(A2519="",B2519="",D2519="",G2519=""),"",IF(AND(A2519&lt;&gt;"",COUNTIF($A$2:$A$5001,A2519)&gt;1),"NUMERO_PC duplicado",IF(B2519="","DATA_PC vazia",IF(NOT(ISNUMBER(B2519)),"DATA_PC invalida",IF(OR(C2519="",C2519="Fora dos ciclos"),"CICLO_PC nao identificado",IF(OR(D2519="",D2519=0),"VALOR_PC vazio ou zero",IF(AND(G2519&lt;&gt;"Sim",G2519&lt;&gt;"Nao",G2519&lt;&gt;""),"PC_PAGO_A_CONTRATADA invalido",IF(AND(C2519&lt;&gt;"C0",IFERROR(INDEX(parametros!$A$2:$A$6,MATCH(C2519,parametros!$B$2:$B$6,0)),"")="Sim",IFERROR(INDEX(parametros!$H$2:$H$6,MATCH(C2519,parametros!$B$2:$B$6,0)),"")=""),"INICIO_EFEITO ausente: PC "&amp;A2519&amp;" - "&amp;C2519,IF(L2519="","EFEITO_PC nao calculado: PC "&amp;A2519&amp;" - "&amp;C2519,"OK")))))))))</f>
        <v/>
      </c>
      <c r="L2519" s="92" t="str">
        <f>IF(AND(A2519="",B2519="",D2519="",G2519=""),"",IF(OR(B2519="",NOT(ISNUMBER(B2519)),C2519="",C2519="Fora dos ciclos"),"",IF(C2519="C0","Nao",IF(IFERROR(INDEX(parametros!$A$2:$A$6,MATCH(C2519,parametros!$B$2:$B$6,0)),"")&lt;&gt;"Sim","Nao",IF(IFERROR(INDEX(parametros!$H$2:$H$6,MATCH(C2519,parametros!$B$2:$B$6,0)),"")="","",IF(B2519&gt;=IFERROR(INDEX(parametros!$H$2:$H$6,MATCH(C2519,parametros!$B$2:$B$6,0)),""),"Sim","Nao"))))))</f>
        <v/>
      </c>
      <c r="T2519" s="156"/>
      <c r="U2519" s="214" t="str">
        <f t="shared" si="201"/>
        <v/>
      </c>
      <c r="V2519" s="212" t="s">
        <v>50</v>
      </c>
      <c r="W2519" s="100" t="s">
        <v>168</v>
      </c>
      <c r="X2519" s="100" t="s">
        <v>169</v>
      </c>
      <c r="Y2519" s="101" t="s">
        <v>170</v>
      </c>
      <c r="Z2519" s="101" t="s">
        <v>171</v>
      </c>
      <c r="AA2519" s="101" t="s">
        <v>50</v>
      </c>
      <c r="AB2519" s="101" t="s">
        <v>172</v>
      </c>
      <c r="AC2519" s="102" t="s">
        <v>173</v>
      </c>
    </row>
    <row r="2520" spans="1:29" ht="25.5" customHeight="1" x14ac:dyDescent="0.35">
      <c r="A2520" s="392"/>
      <c r="B2520" s="393"/>
      <c r="C2520" s="99" t="str">
        <f>IF(B2520="","",IF(NOT(ISNUMBER(B2520)),"DATA_PC invalida",IF(NOT(ISNUMBER(parametros!$C$2)),"Fora dos ciclos",IF(OR(B2520&lt;parametros!$C$2,(YEAR(B2520)-YEAR(parametros!$C$2))*12+MONTH(B2520)-MONTH(parametros!$C$2)&gt;59),"Fora dos ciclos","C"&amp;INT(((YEAR(B2520)-YEAR(parametros!$C$2))*12+MONTH(B2520)-MONTH(parametros!$C$2))/12)))))</f>
        <v/>
      </c>
      <c r="D2520" s="394"/>
      <c r="E2520" s="78" t="str">
        <f>IF(C2520="","",IFERROR(VLOOKUP(C2520,parametros!$A$11:$E$15,5,0),""))</f>
        <v/>
      </c>
      <c r="F2520" s="79" t="str">
        <f t="shared" si="197"/>
        <v/>
      </c>
      <c r="G2520" s="395"/>
      <c r="H2520" s="91">
        <f t="shared" si="198"/>
        <v>0</v>
      </c>
      <c r="I2520" s="91" t="str">
        <f t="shared" si="199"/>
        <v/>
      </c>
      <c r="J2520" s="91" t="str">
        <f t="shared" si="200"/>
        <v/>
      </c>
      <c r="K2520" s="92" t="str">
        <f>IF(AND(A2520="",B2520="",D2520="",G2520=""),"",IF(AND(A2520&lt;&gt;"",COUNTIF($A$2:$A$5001,A2520)&gt;1),"NUMERO_PC duplicado",IF(B2520="","DATA_PC vazia",IF(NOT(ISNUMBER(B2520)),"DATA_PC invalida",IF(OR(C2520="",C2520="Fora dos ciclos"),"CICLO_PC nao identificado",IF(OR(D2520="",D2520=0),"VALOR_PC vazio ou zero",IF(AND(G2520&lt;&gt;"Sim",G2520&lt;&gt;"Nao",G2520&lt;&gt;""),"PC_PAGO_A_CONTRATADA invalido",IF(AND(C2520&lt;&gt;"C0",IFERROR(INDEX(parametros!$A$2:$A$6,MATCH(C2520,parametros!$B$2:$B$6,0)),"")="Sim",IFERROR(INDEX(parametros!$H$2:$H$6,MATCH(C2520,parametros!$B$2:$B$6,0)),"")=""),"INICIO_EFEITO ausente: PC "&amp;A2520&amp;" - "&amp;C2520,IF(L2520="","EFEITO_PC nao calculado: PC "&amp;A2520&amp;" - "&amp;C2520,"OK")))))))))</f>
        <v/>
      </c>
      <c r="L2520" s="92" t="str">
        <f>IF(AND(A2520="",B2520="",D2520="",G2520=""),"",IF(OR(B2520="",NOT(ISNUMBER(B2520)),C2520="",C2520="Fora dos ciclos"),"",IF(C2520="C0","Nao",IF(IFERROR(INDEX(parametros!$A$2:$A$6,MATCH(C2520,parametros!$B$2:$B$6,0)),"")&lt;&gt;"Sim","Nao",IF(IFERROR(INDEX(parametros!$H$2:$H$6,MATCH(C2520,parametros!$B$2:$B$6,0)),"")="","",IF(B2520&gt;=IFERROR(INDEX(parametros!$H$2:$H$6,MATCH(C2520,parametros!$B$2:$B$6,0)),""),"Sim","Nao"))))))</f>
        <v/>
      </c>
      <c r="T2520" s="156"/>
      <c r="U2520" s="214" t="str">
        <f t="shared" si="201"/>
        <v/>
      </c>
      <c r="V2520" s="212" t="s">
        <v>50</v>
      </c>
      <c r="W2520" s="100" t="s">
        <v>168</v>
      </c>
      <c r="X2520" s="100" t="s">
        <v>169</v>
      </c>
      <c r="Y2520" s="101" t="s">
        <v>170</v>
      </c>
      <c r="Z2520" s="101" t="s">
        <v>171</v>
      </c>
      <c r="AA2520" s="101" t="s">
        <v>50</v>
      </c>
      <c r="AB2520" s="101" t="s">
        <v>172</v>
      </c>
      <c r="AC2520" s="102" t="s">
        <v>173</v>
      </c>
    </row>
    <row r="2521" spans="1:29" ht="25.5" customHeight="1" x14ac:dyDescent="0.35">
      <c r="A2521" s="392"/>
      <c r="B2521" s="393"/>
      <c r="C2521" s="99" t="str">
        <f>IF(B2521="","",IF(NOT(ISNUMBER(B2521)),"DATA_PC invalida",IF(NOT(ISNUMBER(parametros!$C$2)),"Fora dos ciclos",IF(OR(B2521&lt;parametros!$C$2,(YEAR(B2521)-YEAR(parametros!$C$2))*12+MONTH(B2521)-MONTH(parametros!$C$2)&gt;59),"Fora dos ciclos","C"&amp;INT(((YEAR(B2521)-YEAR(parametros!$C$2))*12+MONTH(B2521)-MONTH(parametros!$C$2))/12)))))</f>
        <v/>
      </c>
      <c r="D2521" s="394"/>
      <c r="E2521" s="78" t="str">
        <f>IF(C2521="","",IFERROR(VLOOKUP(C2521,parametros!$A$11:$E$15,5,0),""))</f>
        <v/>
      </c>
      <c r="F2521" s="79" t="str">
        <f t="shared" si="197"/>
        <v/>
      </c>
      <c r="G2521" s="395"/>
      <c r="H2521" s="91">
        <f t="shared" si="198"/>
        <v>0</v>
      </c>
      <c r="I2521" s="91" t="str">
        <f t="shared" si="199"/>
        <v/>
      </c>
      <c r="J2521" s="91" t="str">
        <f t="shared" si="200"/>
        <v/>
      </c>
      <c r="K2521" s="92" t="str">
        <f>IF(AND(A2521="",B2521="",D2521="",G2521=""),"",IF(AND(A2521&lt;&gt;"",COUNTIF($A$2:$A$5001,A2521)&gt;1),"NUMERO_PC duplicado",IF(B2521="","DATA_PC vazia",IF(NOT(ISNUMBER(B2521)),"DATA_PC invalida",IF(OR(C2521="",C2521="Fora dos ciclos"),"CICLO_PC nao identificado",IF(OR(D2521="",D2521=0),"VALOR_PC vazio ou zero",IF(AND(G2521&lt;&gt;"Sim",G2521&lt;&gt;"Nao",G2521&lt;&gt;""),"PC_PAGO_A_CONTRATADA invalido",IF(AND(C2521&lt;&gt;"C0",IFERROR(INDEX(parametros!$A$2:$A$6,MATCH(C2521,parametros!$B$2:$B$6,0)),"")="Sim",IFERROR(INDEX(parametros!$H$2:$H$6,MATCH(C2521,parametros!$B$2:$B$6,0)),"")=""),"INICIO_EFEITO ausente: PC "&amp;A2521&amp;" - "&amp;C2521,IF(L2521="","EFEITO_PC nao calculado: PC "&amp;A2521&amp;" - "&amp;C2521,"OK")))))))))</f>
        <v/>
      </c>
      <c r="L2521" s="92" t="str">
        <f>IF(AND(A2521="",B2521="",D2521="",G2521=""),"",IF(OR(B2521="",NOT(ISNUMBER(B2521)),C2521="",C2521="Fora dos ciclos"),"",IF(C2521="C0","Nao",IF(IFERROR(INDEX(parametros!$A$2:$A$6,MATCH(C2521,parametros!$B$2:$B$6,0)),"")&lt;&gt;"Sim","Nao",IF(IFERROR(INDEX(parametros!$H$2:$H$6,MATCH(C2521,parametros!$B$2:$B$6,0)),"")="","",IF(B2521&gt;=IFERROR(INDEX(parametros!$H$2:$H$6,MATCH(C2521,parametros!$B$2:$B$6,0)),""),"Sim","Nao"))))))</f>
        <v/>
      </c>
      <c r="T2521" s="156"/>
      <c r="U2521" s="214" t="str">
        <f t="shared" si="201"/>
        <v/>
      </c>
      <c r="V2521" s="212" t="s">
        <v>50</v>
      </c>
      <c r="W2521" s="100" t="s">
        <v>168</v>
      </c>
      <c r="X2521" s="100" t="s">
        <v>169</v>
      </c>
      <c r="Y2521" s="101" t="s">
        <v>170</v>
      </c>
      <c r="Z2521" s="101" t="s">
        <v>171</v>
      </c>
      <c r="AA2521" s="101" t="s">
        <v>50</v>
      </c>
      <c r="AB2521" s="101" t="s">
        <v>172</v>
      </c>
      <c r="AC2521" s="102" t="s">
        <v>173</v>
      </c>
    </row>
    <row r="2522" spans="1:29" ht="25.5" customHeight="1" x14ac:dyDescent="0.35">
      <c r="A2522" s="392"/>
      <c r="B2522" s="393"/>
      <c r="C2522" s="99" t="str">
        <f>IF(B2522="","",IF(NOT(ISNUMBER(B2522)),"DATA_PC invalida",IF(NOT(ISNUMBER(parametros!$C$2)),"Fora dos ciclos",IF(OR(B2522&lt;parametros!$C$2,(YEAR(B2522)-YEAR(parametros!$C$2))*12+MONTH(B2522)-MONTH(parametros!$C$2)&gt;59),"Fora dos ciclos","C"&amp;INT(((YEAR(B2522)-YEAR(parametros!$C$2))*12+MONTH(B2522)-MONTH(parametros!$C$2))/12)))))</f>
        <v/>
      </c>
      <c r="D2522" s="394"/>
      <c r="E2522" s="78" t="str">
        <f>IF(C2522="","",IFERROR(VLOOKUP(C2522,parametros!$A$11:$E$15,5,0),""))</f>
        <v/>
      </c>
      <c r="F2522" s="79" t="str">
        <f t="shared" si="197"/>
        <v/>
      </c>
      <c r="G2522" s="395"/>
      <c r="H2522" s="91">
        <f t="shared" si="198"/>
        <v>0</v>
      </c>
      <c r="I2522" s="91" t="str">
        <f t="shared" si="199"/>
        <v/>
      </c>
      <c r="J2522" s="91" t="str">
        <f t="shared" si="200"/>
        <v/>
      </c>
      <c r="K2522" s="92" t="str">
        <f>IF(AND(A2522="",B2522="",D2522="",G2522=""),"",IF(AND(A2522&lt;&gt;"",COUNTIF($A$2:$A$5001,A2522)&gt;1),"NUMERO_PC duplicado",IF(B2522="","DATA_PC vazia",IF(NOT(ISNUMBER(B2522)),"DATA_PC invalida",IF(OR(C2522="",C2522="Fora dos ciclos"),"CICLO_PC nao identificado",IF(OR(D2522="",D2522=0),"VALOR_PC vazio ou zero",IF(AND(G2522&lt;&gt;"Sim",G2522&lt;&gt;"Nao",G2522&lt;&gt;""),"PC_PAGO_A_CONTRATADA invalido",IF(AND(C2522&lt;&gt;"C0",IFERROR(INDEX(parametros!$A$2:$A$6,MATCH(C2522,parametros!$B$2:$B$6,0)),"")="Sim",IFERROR(INDEX(parametros!$H$2:$H$6,MATCH(C2522,parametros!$B$2:$B$6,0)),"")=""),"INICIO_EFEITO ausente: PC "&amp;A2522&amp;" - "&amp;C2522,IF(L2522="","EFEITO_PC nao calculado: PC "&amp;A2522&amp;" - "&amp;C2522,"OK")))))))))</f>
        <v/>
      </c>
      <c r="L2522" s="92" t="str">
        <f>IF(AND(A2522="",B2522="",D2522="",G2522=""),"",IF(OR(B2522="",NOT(ISNUMBER(B2522)),C2522="",C2522="Fora dos ciclos"),"",IF(C2522="C0","Nao",IF(IFERROR(INDEX(parametros!$A$2:$A$6,MATCH(C2522,parametros!$B$2:$B$6,0)),"")&lt;&gt;"Sim","Nao",IF(IFERROR(INDEX(parametros!$H$2:$H$6,MATCH(C2522,parametros!$B$2:$B$6,0)),"")="","",IF(B2522&gt;=IFERROR(INDEX(parametros!$H$2:$H$6,MATCH(C2522,parametros!$B$2:$B$6,0)),""),"Sim","Nao"))))))</f>
        <v/>
      </c>
      <c r="T2522" s="156"/>
      <c r="U2522" s="214" t="str">
        <f t="shared" si="201"/>
        <v/>
      </c>
      <c r="V2522" s="212" t="s">
        <v>50</v>
      </c>
      <c r="W2522" s="100" t="s">
        <v>168</v>
      </c>
      <c r="X2522" s="100" t="s">
        <v>169</v>
      </c>
      <c r="Y2522" s="101" t="s">
        <v>170</v>
      </c>
      <c r="Z2522" s="101" t="s">
        <v>171</v>
      </c>
      <c r="AA2522" s="101" t="s">
        <v>50</v>
      </c>
      <c r="AB2522" s="101" t="s">
        <v>172</v>
      </c>
      <c r="AC2522" s="102" t="s">
        <v>173</v>
      </c>
    </row>
    <row r="2523" spans="1:29" ht="25.5" customHeight="1" x14ac:dyDescent="0.35">
      <c r="A2523" s="392"/>
      <c r="B2523" s="393"/>
      <c r="C2523" s="99" t="str">
        <f>IF(B2523="","",IF(NOT(ISNUMBER(B2523)),"DATA_PC invalida",IF(NOT(ISNUMBER(parametros!$C$2)),"Fora dos ciclos",IF(OR(B2523&lt;parametros!$C$2,(YEAR(B2523)-YEAR(parametros!$C$2))*12+MONTH(B2523)-MONTH(parametros!$C$2)&gt;59),"Fora dos ciclos","C"&amp;INT(((YEAR(B2523)-YEAR(parametros!$C$2))*12+MONTH(B2523)-MONTH(parametros!$C$2))/12)))))</f>
        <v/>
      </c>
      <c r="D2523" s="394"/>
      <c r="E2523" s="78" t="str">
        <f>IF(C2523="","",IFERROR(VLOOKUP(C2523,parametros!$A$11:$E$15,5,0),""))</f>
        <v/>
      </c>
      <c r="F2523" s="79" t="str">
        <f t="shared" si="197"/>
        <v/>
      </c>
      <c r="G2523" s="395"/>
      <c r="H2523" s="91">
        <f t="shared" si="198"/>
        <v>0</v>
      </c>
      <c r="I2523" s="91" t="str">
        <f t="shared" si="199"/>
        <v/>
      </c>
      <c r="J2523" s="91" t="str">
        <f t="shared" si="200"/>
        <v/>
      </c>
      <c r="K2523" s="92" t="str">
        <f>IF(AND(A2523="",B2523="",D2523="",G2523=""),"",IF(AND(A2523&lt;&gt;"",COUNTIF($A$2:$A$5001,A2523)&gt;1),"NUMERO_PC duplicado",IF(B2523="","DATA_PC vazia",IF(NOT(ISNUMBER(B2523)),"DATA_PC invalida",IF(OR(C2523="",C2523="Fora dos ciclos"),"CICLO_PC nao identificado",IF(OR(D2523="",D2523=0),"VALOR_PC vazio ou zero",IF(AND(G2523&lt;&gt;"Sim",G2523&lt;&gt;"Nao",G2523&lt;&gt;""),"PC_PAGO_A_CONTRATADA invalido",IF(AND(C2523&lt;&gt;"C0",IFERROR(INDEX(parametros!$A$2:$A$6,MATCH(C2523,parametros!$B$2:$B$6,0)),"")="Sim",IFERROR(INDEX(parametros!$H$2:$H$6,MATCH(C2523,parametros!$B$2:$B$6,0)),"")=""),"INICIO_EFEITO ausente: PC "&amp;A2523&amp;" - "&amp;C2523,IF(L2523="","EFEITO_PC nao calculado: PC "&amp;A2523&amp;" - "&amp;C2523,"OK")))))))))</f>
        <v/>
      </c>
      <c r="L2523" s="92" t="str">
        <f>IF(AND(A2523="",B2523="",D2523="",G2523=""),"",IF(OR(B2523="",NOT(ISNUMBER(B2523)),C2523="",C2523="Fora dos ciclos"),"",IF(C2523="C0","Nao",IF(IFERROR(INDEX(parametros!$A$2:$A$6,MATCH(C2523,parametros!$B$2:$B$6,0)),"")&lt;&gt;"Sim","Nao",IF(IFERROR(INDEX(parametros!$H$2:$H$6,MATCH(C2523,parametros!$B$2:$B$6,0)),"")="","",IF(B2523&gt;=IFERROR(INDEX(parametros!$H$2:$H$6,MATCH(C2523,parametros!$B$2:$B$6,0)),""),"Sim","Nao"))))))</f>
        <v/>
      </c>
      <c r="T2523" s="156"/>
      <c r="U2523" s="214" t="str">
        <f t="shared" si="201"/>
        <v/>
      </c>
      <c r="V2523" s="212" t="s">
        <v>50</v>
      </c>
      <c r="W2523" s="100" t="s">
        <v>168</v>
      </c>
      <c r="X2523" s="100" t="s">
        <v>169</v>
      </c>
      <c r="Y2523" s="101" t="s">
        <v>170</v>
      </c>
      <c r="Z2523" s="101" t="s">
        <v>171</v>
      </c>
      <c r="AA2523" s="101" t="s">
        <v>50</v>
      </c>
      <c r="AB2523" s="101" t="s">
        <v>172</v>
      </c>
      <c r="AC2523" s="102" t="s">
        <v>173</v>
      </c>
    </row>
    <row r="2524" spans="1:29" ht="25.5" customHeight="1" x14ac:dyDescent="0.35">
      <c r="A2524" s="392"/>
      <c r="B2524" s="393"/>
      <c r="C2524" s="99" t="str">
        <f>IF(B2524="","",IF(NOT(ISNUMBER(B2524)),"DATA_PC invalida",IF(NOT(ISNUMBER(parametros!$C$2)),"Fora dos ciclos",IF(OR(B2524&lt;parametros!$C$2,(YEAR(B2524)-YEAR(parametros!$C$2))*12+MONTH(B2524)-MONTH(parametros!$C$2)&gt;59),"Fora dos ciclos","C"&amp;INT(((YEAR(B2524)-YEAR(parametros!$C$2))*12+MONTH(B2524)-MONTH(parametros!$C$2))/12)))))</f>
        <v/>
      </c>
      <c r="D2524" s="394"/>
      <c r="E2524" s="78" t="str">
        <f>IF(C2524="","",IFERROR(VLOOKUP(C2524,parametros!$A$11:$E$15,5,0),""))</f>
        <v/>
      </c>
      <c r="F2524" s="79" t="str">
        <f t="shared" si="197"/>
        <v/>
      </c>
      <c r="G2524" s="395"/>
      <c r="H2524" s="91">
        <f t="shared" si="198"/>
        <v>0</v>
      </c>
      <c r="I2524" s="91" t="str">
        <f t="shared" si="199"/>
        <v/>
      </c>
      <c r="J2524" s="91" t="str">
        <f t="shared" si="200"/>
        <v/>
      </c>
      <c r="K2524" s="92" t="str">
        <f>IF(AND(A2524="",B2524="",D2524="",G2524=""),"",IF(AND(A2524&lt;&gt;"",COUNTIF($A$2:$A$5001,A2524)&gt;1),"NUMERO_PC duplicado",IF(B2524="","DATA_PC vazia",IF(NOT(ISNUMBER(B2524)),"DATA_PC invalida",IF(OR(C2524="",C2524="Fora dos ciclos"),"CICLO_PC nao identificado",IF(OR(D2524="",D2524=0),"VALOR_PC vazio ou zero",IF(AND(G2524&lt;&gt;"Sim",G2524&lt;&gt;"Nao",G2524&lt;&gt;""),"PC_PAGO_A_CONTRATADA invalido",IF(AND(C2524&lt;&gt;"C0",IFERROR(INDEX(parametros!$A$2:$A$6,MATCH(C2524,parametros!$B$2:$B$6,0)),"")="Sim",IFERROR(INDEX(parametros!$H$2:$H$6,MATCH(C2524,parametros!$B$2:$B$6,0)),"")=""),"INICIO_EFEITO ausente: PC "&amp;A2524&amp;" - "&amp;C2524,IF(L2524="","EFEITO_PC nao calculado: PC "&amp;A2524&amp;" - "&amp;C2524,"OK")))))))))</f>
        <v/>
      </c>
      <c r="L2524" s="92" t="str">
        <f>IF(AND(A2524="",B2524="",D2524="",G2524=""),"",IF(OR(B2524="",NOT(ISNUMBER(B2524)),C2524="",C2524="Fora dos ciclos"),"",IF(C2524="C0","Nao",IF(IFERROR(INDEX(parametros!$A$2:$A$6,MATCH(C2524,parametros!$B$2:$B$6,0)),"")&lt;&gt;"Sim","Nao",IF(IFERROR(INDEX(parametros!$H$2:$H$6,MATCH(C2524,parametros!$B$2:$B$6,0)),"")="","",IF(B2524&gt;=IFERROR(INDEX(parametros!$H$2:$H$6,MATCH(C2524,parametros!$B$2:$B$6,0)),""),"Sim","Nao"))))))</f>
        <v/>
      </c>
      <c r="T2524" s="156"/>
      <c r="U2524" s="214" t="str">
        <f t="shared" si="201"/>
        <v/>
      </c>
      <c r="V2524" s="212" t="s">
        <v>50</v>
      </c>
      <c r="W2524" s="100" t="s">
        <v>168</v>
      </c>
      <c r="X2524" s="100" t="s">
        <v>169</v>
      </c>
      <c r="Y2524" s="101" t="s">
        <v>170</v>
      </c>
      <c r="Z2524" s="101" t="s">
        <v>171</v>
      </c>
      <c r="AA2524" s="101" t="s">
        <v>50</v>
      </c>
      <c r="AB2524" s="101" t="s">
        <v>172</v>
      </c>
      <c r="AC2524" s="102" t="s">
        <v>173</v>
      </c>
    </row>
    <row r="2525" spans="1:29" ht="25.5" customHeight="1" x14ac:dyDescent="0.35">
      <c r="A2525" s="392"/>
      <c r="B2525" s="393"/>
      <c r="C2525" s="99" t="str">
        <f>IF(B2525="","",IF(NOT(ISNUMBER(B2525)),"DATA_PC invalida",IF(NOT(ISNUMBER(parametros!$C$2)),"Fora dos ciclos",IF(OR(B2525&lt;parametros!$C$2,(YEAR(B2525)-YEAR(parametros!$C$2))*12+MONTH(B2525)-MONTH(parametros!$C$2)&gt;59),"Fora dos ciclos","C"&amp;INT(((YEAR(B2525)-YEAR(parametros!$C$2))*12+MONTH(B2525)-MONTH(parametros!$C$2))/12)))))</f>
        <v/>
      </c>
      <c r="D2525" s="394"/>
      <c r="E2525" s="78" t="str">
        <f>IF(C2525="","",IFERROR(VLOOKUP(C2525,parametros!$A$11:$E$15,5,0),""))</f>
        <v/>
      </c>
      <c r="F2525" s="79" t="str">
        <f t="shared" si="197"/>
        <v/>
      </c>
      <c r="G2525" s="395"/>
      <c r="H2525" s="91">
        <f t="shared" si="198"/>
        <v>0</v>
      </c>
      <c r="I2525" s="91" t="str">
        <f t="shared" si="199"/>
        <v/>
      </c>
      <c r="J2525" s="91" t="str">
        <f t="shared" si="200"/>
        <v/>
      </c>
      <c r="K2525" s="92" t="str">
        <f>IF(AND(A2525="",B2525="",D2525="",G2525=""),"",IF(AND(A2525&lt;&gt;"",COUNTIF($A$2:$A$5001,A2525)&gt;1),"NUMERO_PC duplicado",IF(B2525="","DATA_PC vazia",IF(NOT(ISNUMBER(B2525)),"DATA_PC invalida",IF(OR(C2525="",C2525="Fora dos ciclos"),"CICLO_PC nao identificado",IF(OR(D2525="",D2525=0),"VALOR_PC vazio ou zero",IF(AND(G2525&lt;&gt;"Sim",G2525&lt;&gt;"Nao",G2525&lt;&gt;""),"PC_PAGO_A_CONTRATADA invalido",IF(AND(C2525&lt;&gt;"C0",IFERROR(INDEX(parametros!$A$2:$A$6,MATCH(C2525,parametros!$B$2:$B$6,0)),"")="Sim",IFERROR(INDEX(parametros!$H$2:$H$6,MATCH(C2525,parametros!$B$2:$B$6,0)),"")=""),"INICIO_EFEITO ausente: PC "&amp;A2525&amp;" - "&amp;C2525,IF(L2525="","EFEITO_PC nao calculado: PC "&amp;A2525&amp;" - "&amp;C2525,"OK")))))))))</f>
        <v/>
      </c>
      <c r="L2525" s="92" t="str">
        <f>IF(AND(A2525="",B2525="",D2525="",G2525=""),"",IF(OR(B2525="",NOT(ISNUMBER(B2525)),C2525="",C2525="Fora dos ciclos"),"",IF(C2525="C0","Nao",IF(IFERROR(INDEX(parametros!$A$2:$A$6,MATCH(C2525,parametros!$B$2:$B$6,0)),"")&lt;&gt;"Sim","Nao",IF(IFERROR(INDEX(parametros!$H$2:$H$6,MATCH(C2525,parametros!$B$2:$B$6,0)),"")="","",IF(B2525&gt;=IFERROR(INDEX(parametros!$H$2:$H$6,MATCH(C2525,parametros!$B$2:$B$6,0)),""),"Sim","Nao"))))))</f>
        <v/>
      </c>
      <c r="T2525" s="156"/>
      <c r="U2525" s="214" t="str">
        <f t="shared" si="201"/>
        <v/>
      </c>
      <c r="V2525" s="212" t="s">
        <v>50</v>
      </c>
      <c r="W2525" s="100" t="s">
        <v>168</v>
      </c>
      <c r="X2525" s="100" t="s">
        <v>169</v>
      </c>
      <c r="Y2525" s="101" t="s">
        <v>170</v>
      </c>
      <c r="Z2525" s="101" t="s">
        <v>171</v>
      </c>
      <c r="AA2525" s="101" t="s">
        <v>50</v>
      </c>
      <c r="AB2525" s="101" t="s">
        <v>172</v>
      </c>
      <c r="AC2525" s="102" t="s">
        <v>173</v>
      </c>
    </row>
    <row r="2526" spans="1:29" ht="25.5" customHeight="1" x14ac:dyDescent="0.35">
      <c r="A2526" s="392"/>
      <c r="B2526" s="393"/>
      <c r="C2526" s="99" t="str">
        <f>IF(B2526="","",IF(NOT(ISNUMBER(B2526)),"DATA_PC invalida",IF(NOT(ISNUMBER(parametros!$C$2)),"Fora dos ciclos",IF(OR(B2526&lt;parametros!$C$2,(YEAR(B2526)-YEAR(parametros!$C$2))*12+MONTH(B2526)-MONTH(parametros!$C$2)&gt;59),"Fora dos ciclos","C"&amp;INT(((YEAR(B2526)-YEAR(parametros!$C$2))*12+MONTH(B2526)-MONTH(parametros!$C$2))/12)))))</f>
        <v/>
      </c>
      <c r="D2526" s="394"/>
      <c r="E2526" s="78" t="str">
        <f>IF(C2526="","",IFERROR(VLOOKUP(C2526,parametros!$A$11:$E$15,5,0),""))</f>
        <v/>
      </c>
      <c r="F2526" s="79" t="str">
        <f t="shared" si="197"/>
        <v/>
      </c>
      <c r="G2526" s="395"/>
      <c r="H2526" s="91">
        <f t="shared" si="198"/>
        <v>0</v>
      </c>
      <c r="I2526" s="91" t="str">
        <f t="shared" si="199"/>
        <v/>
      </c>
      <c r="J2526" s="91" t="str">
        <f t="shared" si="200"/>
        <v/>
      </c>
      <c r="K2526" s="92" t="str">
        <f>IF(AND(A2526="",B2526="",D2526="",G2526=""),"",IF(AND(A2526&lt;&gt;"",COUNTIF($A$2:$A$5001,A2526)&gt;1),"NUMERO_PC duplicado",IF(B2526="","DATA_PC vazia",IF(NOT(ISNUMBER(B2526)),"DATA_PC invalida",IF(OR(C2526="",C2526="Fora dos ciclos"),"CICLO_PC nao identificado",IF(OR(D2526="",D2526=0),"VALOR_PC vazio ou zero",IF(AND(G2526&lt;&gt;"Sim",G2526&lt;&gt;"Nao",G2526&lt;&gt;""),"PC_PAGO_A_CONTRATADA invalido",IF(AND(C2526&lt;&gt;"C0",IFERROR(INDEX(parametros!$A$2:$A$6,MATCH(C2526,parametros!$B$2:$B$6,0)),"")="Sim",IFERROR(INDEX(parametros!$H$2:$H$6,MATCH(C2526,parametros!$B$2:$B$6,0)),"")=""),"INICIO_EFEITO ausente: PC "&amp;A2526&amp;" - "&amp;C2526,IF(L2526="","EFEITO_PC nao calculado: PC "&amp;A2526&amp;" - "&amp;C2526,"OK")))))))))</f>
        <v/>
      </c>
      <c r="L2526" s="92" t="str">
        <f>IF(AND(A2526="",B2526="",D2526="",G2526=""),"",IF(OR(B2526="",NOT(ISNUMBER(B2526)),C2526="",C2526="Fora dos ciclos"),"",IF(C2526="C0","Nao",IF(IFERROR(INDEX(parametros!$A$2:$A$6,MATCH(C2526,parametros!$B$2:$B$6,0)),"")&lt;&gt;"Sim","Nao",IF(IFERROR(INDEX(parametros!$H$2:$H$6,MATCH(C2526,parametros!$B$2:$B$6,0)),"")="","",IF(B2526&gt;=IFERROR(INDEX(parametros!$H$2:$H$6,MATCH(C2526,parametros!$B$2:$B$6,0)),""),"Sim","Nao"))))))</f>
        <v/>
      </c>
      <c r="T2526" s="156"/>
      <c r="U2526" s="214" t="str">
        <f t="shared" si="201"/>
        <v/>
      </c>
      <c r="V2526" s="212" t="s">
        <v>50</v>
      </c>
      <c r="W2526" s="100" t="s">
        <v>168</v>
      </c>
      <c r="X2526" s="100" t="s">
        <v>169</v>
      </c>
      <c r="Y2526" s="101" t="s">
        <v>170</v>
      </c>
      <c r="Z2526" s="101" t="s">
        <v>171</v>
      </c>
      <c r="AA2526" s="101" t="s">
        <v>50</v>
      </c>
      <c r="AB2526" s="101" t="s">
        <v>172</v>
      </c>
      <c r="AC2526" s="102" t="s">
        <v>173</v>
      </c>
    </row>
    <row r="2527" spans="1:29" ht="25.5" customHeight="1" x14ac:dyDescent="0.35">
      <c r="A2527" s="392"/>
      <c r="B2527" s="393"/>
      <c r="C2527" s="99" t="str">
        <f>IF(B2527="","",IF(NOT(ISNUMBER(B2527)),"DATA_PC invalida",IF(NOT(ISNUMBER(parametros!$C$2)),"Fora dos ciclos",IF(OR(B2527&lt;parametros!$C$2,(YEAR(B2527)-YEAR(parametros!$C$2))*12+MONTH(B2527)-MONTH(parametros!$C$2)&gt;59),"Fora dos ciclos","C"&amp;INT(((YEAR(B2527)-YEAR(parametros!$C$2))*12+MONTH(B2527)-MONTH(parametros!$C$2))/12)))))</f>
        <v/>
      </c>
      <c r="D2527" s="394"/>
      <c r="E2527" s="78" t="str">
        <f>IF(C2527="","",IFERROR(VLOOKUP(C2527,parametros!$A$11:$E$15,5,0),""))</f>
        <v/>
      </c>
      <c r="F2527" s="79" t="str">
        <f t="shared" si="197"/>
        <v/>
      </c>
      <c r="G2527" s="395"/>
      <c r="H2527" s="91">
        <f t="shared" si="198"/>
        <v>0</v>
      </c>
      <c r="I2527" s="91" t="str">
        <f t="shared" si="199"/>
        <v/>
      </c>
      <c r="J2527" s="91" t="str">
        <f t="shared" si="200"/>
        <v/>
      </c>
      <c r="K2527" s="92" t="str">
        <f>IF(AND(A2527="",B2527="",D2527="",G2527=""),"",IF(AND(A2527&lt;&gt;"",COUNTIF($A$2:$A$5001,A2527)&gt;1),"NUMERO_PC duplicado",IF(B2527="","DATA_PC vazia",IF(NOT(ISNUMBER(B2527)),"DATA_PC invalida",IF(OR(C2527="",C2527="Fora dos ciclos"),"CICLO_PC nao identificado",IF(OR(D2527="",D2527=0),"VALOR_PC vazio ou zero",IF(AND(G2527&lt;&gt;"Sim",G2527&lt;&gt;"Nao",G2527&lt;&gt;""),"PC_PAGO_A_CONTRATADA invalido",IF(AND(C2527&lt;&gt;"C0",IFERROR(INDEX(parametros!$A$2:$A$6,MATCH(C2527,parametros!$B$2:$B$6,0)),"")="Sim",IFERROR(INDEX(parametros!$H$2:$H$6,MATCH(C2527,parametros!$B$2:$B$6,0)),"")=""),"INICIO_EFEITO ausente: PC "&amp;A2527&amp;" - "&amp;C2527,IF(L2527="","EFEITO_PC nao calculado: PC "&amp;A2527&amp;" - "&amp;C2527,"OK")))))))))</f>
        <v/>
      </c>
      <c r="L2527" s="92" t="str">
        <f>IF(AND(A2527="",B2527="",D2527="",G2527=""),"",IF(OR(B2527="",NOT(ISNUMBER(B2527)),C2527="",C2527="Fora dos ciclos"),"",IF(C2527="C0","Nao",IF(IFERROR(INDEX(parametros!$A$2:$A$6,MATCH(C2527,parametros!$B$2:$B$6,0)),"")&lt;&gt;"Sim","Nao",IF(IFERROR(INDEX(parametros!$H$2:$H$6,MATCH(C2527,parametros!$B$2:$B$6,0)),"")="","",IF(B2527&gt;=IFERROR(INDEX(parametros!$H$2:$H$6,MATCH(C2527,parametros!$B$2:$B$6,0)),""),"Sim","Nao"))))))</f>
        <v/>
      </c>
      <c r="T2527" s="156"/>
      <c r="U2527" s="214" t="str">
        <f t="shared" si="201"/>
        <v/>
      </c>
      <c r="V2527" s="212" t="s">
        <v>50</v>
      </c>
      <c r="W2527" s="100" t="s">
        <v>168</v>
      </c>
      <c r="X2527" s="100" t="s">
        <v>169</v>
      </c>
      <c r="Y2527" s="101" t="s">
        <v>170</v>
      </c>
      <c r="Z2527" s="101" t="s">
        <v>171</v>
      </c>
      <c r="AA2527" s="101" t="s">
        <v>50</v>
      </c>
      <c r="AB2527" s="101" t="s">
        <v>172</v>
      </c>
      <c r="AC2527" s="102" t="s">
        <v>173</v>
      </c>
    </row>
    <row r="2528" spans="1:29" ht="25.5" customHeight="1" x14ac:dyDescent="0.35">
      <c r="A2528" s="392"/>
      <c r="B2528" s="393"/>
      <c r="C2528" s="99" t="str">
        <f>IF(B2528="","",IF(NOT(ISNUMBER(B2528)),"DATA_PC invalida",IF(NOT(ISNUMBER(parametros!$C$2)),"Fora dos ciclos",IF(OR(B2528&lt;parametros!$C$2,(YEAR(B2528)-YEAR(parametros!$C$2))*12+MONTH(B2528)-MONTH(parametros!$C$2)&gt;59),"Fora dos ciclos","C"&amp;INT(((YEAR(B2528)-YEAR(parametros!$C$2))*12+MONTH(B2528)-MONTH(parametros!$C$2))/12)))))</f>
        <v/>
      </c>
      <c r="D2528" s="394"/>
      <c r="E2528" s="78" t="str">
        <f>IF(C2528="","",IFERROR(VLOOKUP(C2528,parametros!$A$11:$E$15,5,0),""))</f>
        <v/>
      </c>
      <c r="F2528" s="79" t="str">
        <f t="shared" si="197"/>
        <v/>
      </c>
      <c r="G2528" s="395"/>
      <c r="H2528" s="91">
        <f t="shared" si="198"/>
        <v>0</v>
      </c>
      <c r="I2528" s="91" t="str">
        <f t="shared" si="199"/>
        <v/>
      </c>
      <c r="J2528" s="91" t="str">
        <f t="shared" si="200"/>
        <v/>
      </c>
      <c r="K2528" s="92" t="str">
        <f>IF(AND(A2528="",B2528="",D2528="",G2528=""),"",IF(AND(A2528&lt;&gt;"",COUNTIF($A$2:$A$5001,A2528)&gt;1),"NUMERO_PC duplicado",IF(B2528="","DATA_PC vazia",IF(NOT(ISNUMBER(B2528)),"DATA_PC invalida",IF(OR(C2528="",C2528="Fora dos ciclos"),"CICLO_PC nao identificado",IF(OR(D2528="",D2528=0),"VALOR_PC vazio ou zero",IF(AND(G2528&lt;&gt;"Sim",G2528&lt;&gt;"Nao",G2528&lt;&gt;""),"PC_PAGO_A_CONTRATADA invalido",IF(AND(C2528&lt;&gt;"C0",IFERROR(INDEX(parametros!$A$2:$A$6,MATCH(C2528,parametros!$B$2:$B$6,0)),"")="Sim",IFERROR(INDEX(parametros!$H$2:$H$6,MATCH(C2528,parametros!$B$2:$B$6,0)),"")=""),"INICIO_EFEITO ausente: PC "&amp;A2528&amp;" - "&amp;C2528,IF(L2528="","EFEITO_PC nao calculado: PC "&amp;A2528&amp;" - "&amp;C2528,"OK")))))))))</f>
        <v/>
      </c>
      <c r="L2528" s="92" t="str">
        <f>IF(AND(A2528="",B2528="",D2528="",G2528=""),"",IF(OR(B2528="",NOT(ISNUMBER(B2528)),C2528="",C2528="Fora dos ciclos"),"",IF(C2528="C0","Nao",IF(IFERROR(INDEX(parametros!$A$2:$A$6,MATCH(C2528,parametros!$B$2:$B$6,0)),"")&lt;&gt;"Sim","Nao",IF(IFERROR(INDEX(parametros!$H$2:$H$6,MATCH(C2528,parametros!$B$2:$B$6,0)),"")="","",IF(B2528&gt;=IFERROR(INDEX(parametros!$H$2:$H$6,MATCH(C2528,parametros!$B$2:$B$6,0)),""),"Sim","Nao"))))))</f>
        <v/>
      </c>
      <c r="T2528" s="156"/>
      <c r="U2528" s="214" t="str">
        <f t="shared" si="201"/>
        <v/>
      </c>
      <c r="V2528" s="212" t="s">
        <v>50</v>
      </c>
      <c r="W2528" s="100" t="s">
        <v>168</v>
      </c>
      <c r="X2528" s="100" t="s">
        <v>169</v>
      </c>
      <c r="Y2528" s="101" t="s">
        <v>170</v>
      </c>
      <c r="Z2528" s="101" t="s">
        <v>171</v>
      </c>
      <c r="AA2528" s="101" t="s">
        <v>50</v>
      </c>
      <c r="AB2528" s="101" t="s">
        <v>172</v>
      </c>
      <c r="AC2528" s="102" t="s">
        <v>173</v>
      </c>
    </row>
    <row r="2529" spans="1:29" ht="25.5" customHeight="1" x14ac:dyDescent="0.35">
      <c r="A2529" s="392"/>
      <c r="B2529" s="393"/>
      <c r="C2529" s="99" t="str">
        <f>IF(B2529="","",IF(NOT(ISNUMBER(B2529)),"DATA_PC invalida",IF(NOT(ISNUMBER(parametros!$C$2)),"Fora dos ciclos",IF(OR(B2529&lt;parametros!$C$2,(YEAR(B2529)-YEAR(parametros!$C$2))*12+MONTH(B2529)-MONTH(parametros!$C$2)&gt;59),"Fora dos ciclos","C"&amp;INT(((YEAR(B2529)-YEAR(parametros!$C$2))*12+MONTH(B2529)-MONTH(parametros!$C$2))/12)))))</f>
        <v/>
      </c>
      <c r="D2529" s="394"/>
      <c r="E2529" s="78" t="str">
        <f>IF(C2529="","",IFERROR(VLOOKUP(C2529,parametros!$A$11:$E$15,5,0),""))</f>
        <v/>
      </c>
      <c r="F2529" s="79" t="str">
        <f t="shared" si="197"/>
        <v/>
      </c>
      <c r="G2529" s="395"/>
      <c r="H2529" s="91">
        <f t="shared" si="198"/>
        <v>0</v>
      </c>
      <c r="I2529" s="91" t="str">
        <f t="shared" si="199"/>
        <v/>
      </c>
      <c r="J2529" s="91" t="str">
        <f t="shared" si="200"/>
        <v/>
      </c>
      <c r="K2529" s="92" t="str">
        <f>IF(AND(A2529="",B2529="",D2529="",G2529=""),"",IF(AND(A2529&lt;&gt;"",COUNTIF($A$2:$A$5001,A2529)&gt;1),"NUMERO_PC duplicado",IF(B2529="","DATA_PC vazia",IF(NOT(ISNUMBER(B2529)),"DATA_PC invalida",IF(OR(C2529="",C2529="Fora dos ciclos"),"CICLO_PC nao identificado",IF(OR(D2529="",D2529=0),"VALOR_PC vazio ou zero",IF(AND(G2529&lt;&gt;"Sim",G2529&lt;&gt;"Nao",G2529&lt;&gt;""),"PC_PAGO_A_CONTRATADA invalido",IF(AND(C2529&lt;&gt;"C0",IFERROR(INDEX(parametros!$A$2:$A$6,MATCH(C2529,parametros!$B$2:$B$6,0)),"")="Sim",IFERROR(INDEX(parametros!$H$2:$H$6,MATCH(C2529,parametros!$B$2:$B$6,0)),"")=""),"INICIO_EFEITO ausente: PC "&amp;A2529&amp;" - "&amp;C2529,IF(L2529="","EFEITO_PC nao calculado: PC "&amp;A2529&amp;" - "&amp;C2529,"OK")))))))))</f>
        <v/>
      </c>
      <c r="L2529" s="92" t="str">
        <f>IF(AND(A2529="",B2529="",D2529="",G2529=""),"",IF(OR(B2529="",NOT(ISNUMBER(B2529)),C2529="",C2529="Fora dos ciclos"),"",IF(C2529="C0","Nao",IF(IFERROR(INDEX(parametros!$A$2:$A$6,MATCH(C2529,parametros!$B$2:$B$6,0)),"")&lt;&gt;"Sim","Nao",IF(IFERROR(INDEX(parametros!$H$2:$H$6,MATCH(C2529,parametros!$B$2:$B$6,0)),"")="","",IF(B2529&gt;=IFERROR(INDEX(parametros!$H$2:$H$6,MATCH(C2529,parametros!$B$2:$B$6,0)),""),"Sim","Nao"))))))</f>
        <v/>
      </c>
      <c r="T2529" s="156"/>
      <c r="U2529" s="214" t="str">
        <f t="shared" si="201"/>
        <v/>
      </c>
      <c r="V2529" s="212" t="s">
        <v>50</v>
      </c>
      <c r="W2529" s="100" t="s">
        <v>168</v>
      </c>
      <c r="X2529" s="100" t="s">
        <v>169</v>
      </c>
      <c r="Y2529" s="101" t="s">
        <v>170</v>
      </c>
      <c r="Z2529" s="101" t="s">
        <v>171</v>
      </c>
      <c r="AA2529" s="101" t="s">
        <v>50</v>
      </c>
      <c r="AB2529" s="101" t="s">
        <v>172</v>
      </c>
      <c r="AC2529" s="102" t="s">
        <v>173</v>
      </c>
    </row>
    <row r="2530" spans="1:29" ht="25.5" customHeight="1" x14ac:dyDescent="0.35">
      <c r="A2530" s="392"/>
      <c r="B2530" s="393"/>
      <c r="C2530" s="99" t="str">
        <f>IF(B2530="","",IF(NOT(ISNUMBER(B2530)),"DATA_PC invalida",IF(NOT(ISNUMBER(parametros!$C$2)),"Fora dos ciclos",IF(OR(B2530&lt;parametros!$C$2,(YEAR(B2530)-YEAR(parametros!$C$2))*12+MONTH(B2530)-MONTH(parametros!$C$2)&gt;59),"Fora dos ciclos","C"&amp;INT(((YEAR(B2530)-YEAR(parametros!$C$2))*12+MONTH(B2530)-MONTH(parametros!$C$2))/12)))))</f>
        <v/>
      </c>
      <c r="D2530" s="394"/>
      <c r="E2530" s="78" t="str">
        <f>IF(C2530="","",IFERROR(VLOOKUP(C2530,parametros!$A$11:$E$15,5,0),""))</f>
        <v/>
      </c>
      <c r="F2530" s="79" t="str">
        <f t="shared" si="197"/>
        <v/>
      </c>
      <c r="G2530" s="395"/>
      <c r="H2530" s="91">
        <f t="shared" si="198"/>
        <v>0</v>
      </c>
      <c r="I2530" s="91" t="str">
        <f t="shared" si="199"/>
        <v/>
      </c>
      <c r="J2530" s="91" t="str">
        <f t="shared" si="200"/>
        <v/>
      </c>
      <c r="K2530" s="92" t="str">
        <f>IF(AND(A2530="",B2530="",D2530="",G2530=""),"",IF(AND(A2530&lt;&gt;"",COUNTIF($A$2:$A$5001,A2530)&gt;1),"NUMERO_PC duplicado",IF(B2530="","DATA_PC vazia",IF(NOT(ISNUMBER(B2530)),"DATA_PC invalida",IF(OR(C2530="",C2530="Fora dos ciclos"),"CICLO_PC nao identificado",IF(OR(D2530="",D2530=0),"VALOR_PC vazio ou zero",IF(AND(G2530&lt;&gt;"Sim",G2530&lt;&gt;"Nao",G2530&lt;&gt;""),"PC_PAGO_A_CONTRATADA invalido",IF(AND(C2530&lt;&gt;"C0",IFERROR(INDEX(parametros!$A$2:$A$6,MATCH(C2530,parametros!$B$2:$B$6,0)),"")="Sim",IFERROR(INDEX(parametros!$H$2:$H$6,MATCH(C2530,parametros!$B$2:$B$6,0)),"")=""),"INICIO_EFEITO ausente: PC "&amp;A2530&amp;" - "&amp;C2530,IF(L2530="","EFEITO_PC nao calculado: PC "&amp;A2530&amp;" - "&amp;C2530,"OK")))))))))</f>
        <v/>
      </c>
      <c r="L2530" s="92" t="str">
        <f>IF(AND(A2530="",B2530="",D2530="",G2530=""),"",IF(OR(B2530="",NOT(ISNUMBER(B2530)),C2530="",C2530="Fora dos ciclos"),"",IF(C2530="C0","Nao",IF(IFERROR(INDEX(parametros!$A$2:$A$6,MATCH(C2530,parametros!$B$2:$B$6,0)),"")&lt;&gt;"Sim","Nao",IF(IFERROR(INDEX(parametros!$H$2:$H$6,MATCH(C2530,parametros!$B$2:$B$6,0)),"")="","",IF(B2530&gt;=IFERROR(INDEX(parametros!$H$2:$H$6,MATCH(C2530,parametros!$B$2:$B$6,0)),""),"Sim","Nao"))))))</f>
        <v/>
      </c>
      <c r="T2530" s="156"/>
      <c r="U2530" s="214" t="str">
        <f t="shared" si="201"/>
        <v/>
      </c>
      <c r="V2530" s="212" t="s">
        <v>50</v>
      </c>
      <c r="W2530" s="100" t="s">
        <v>168</v>
      </c>
      <c r="X2530" s="100" t="s">
        <v>169</v>
      </c>
      <c r="Y2530" s="101" t="s">
        <v>170</v>
      </c>
      <c r="Z2530" s="101" t="s">
        <v>171</v>
      </c>
      <c r="AA2530" s="101" t="s">
        <v>50</v>
      </c>
      <c r="AB2530" s="101" t="s">
        <v>172</v>
      </c>
      <c r="AC2530" s="102" t="s">
        <v>173</v>
      </c>
    </row>
    <row r="2531" spans="1:29" ht="25.5" customHeight="1" x14ac:dyDescent="0.35">
      <c r="A2531" s="392"/>
      <c r="B2531" s="393"/>
      <c r="C2531" s="99" t="str">
        <f>IF(B2531="","",IF(NOT(ISNUMBER(B2531)),"DATA_PC invalida",IF(NOT(ISNUMBER(parametros!$C$2)),"Fora dos ciclos",IF(OR(B2531&lt;parametros!$C$2,(YEAR(B2531)-YEAR(parametros!$C$2))*12+MONTH(B2531)-MONTH(parametros!$C$2)&gt;59),"Fora dos ciclos","C"&amp;INT(((YEAR(B2531)-YEAR(parametros!$C$2))*12+MONTH(B2531)-MONTH(parametros!$C$2))/12)))))</f>
        <v/>
      </c>
      <c r="D2531" s="394"/>
      <c r="E2531" s="78" t="str">
        <f>IF(C2531="","",IFERROR(VLOOKUP(C2531,parametros!$A$11:$E$15,5,0),""))</f>
        <v/>
      </c>
      <c r="F2531" s="79" t="str">
        <f t="shared" si="197"/>
        <v/>
      </c>
      <c r="G2531" s="395"/>
      <c r="H2531" s="91">
        <f t="shared" si="198"/>
        <v>0</v>
      </c>
      <c r="I2531" s="91" t="str">
        <f t="shared" si="199"/>
        <v/>
      </c>
      <c r="J2531" s="91" t="str">
        <f t="shared" si="200"/>
        <v/>
      </c>
      <c r="K2531" s="92" t="str">
        <f>IF(AND(A2531="",B2531="",D2531="",G2531=""),"",IF(AND(A2531&lt;&gt;"",COUNTIF($A$2:$A$5001,A2531)&gt;1),"NUMERO_PC duplicado",IF(B2531="","DATA_PC vazia",IF(NOT(ISNUMBER(B2531)),"DATA_PC invalida",IF(OR(C2531="",C2531="Fora dos ciclos"),"CICLO_PC nao identificado",IF(OR(D2531="",D2531=0),"VALOR_PC vazio ou zero",IF(AND(G2531&lt;&gt;"Sim",G2531&lt;&gt;"Nao",G2531&lt;&gt;""),"PC_PAGO_A_CONTRATADA invalido",IF(AND(C2531&lt;&gt;"C0",IFERROR(INDEX(parametros!$A$2:$A$6,MATCH(C2531,parametros!$B$2:$B$6,0)),"")="Sim",IFERROR(INDEX(parametros!$H$2:$H$6,MATCH(C2531,parametros!$B$2:$B$6,0)),"")=""),"INICIO_EFEITO ausente: PC "&amp;A2531&amp;" - "&amp;C2531,IF(L2531="","EFEITO_PC nao calculado: PC "&amp;A2531&amp;" - "&amp;C2531,"OK")))))))))</f>
        <v/>
      </c>
      <c r="L2531" s="92" t="str">
        <f>IF(AND(A2531="",B2531="",D2531="",G2531=""),"",IF(OR(B2531="",NOT(ISNUMBER(B2531)),C2531="",C2531="Fora dos ciclos"),"",IF(C2531="C0","Nao",IF(IFERROR(INDEX(parametros!$A$2:$A$6,MATCH(C2531,parametros!$B$2:$B$6,0)),"")&lt;&gt;"Sim","Nao",IF(IFERROR(INDEX(parametros!$H$2:$H$6,MATCH(C2531,parametros!$B$2:$B$6,0)),"")="","",IF(B2531&gt;=IFERROR(INDEX(parametros!$H$2:$H$6,MATCH(C2531,parametros!$B$2:$B$6,0)),""),"Sim","Nao"))))))</f>
        <v/>
      </c>
      <c r="T2531" s="156"/>
      <c r="U2531" s="214" t="str">
        <f t="shared" si="201"/>
        <v/>
      </c>
      <c r="V2531" s="212" t="s">
        <v>50</v>
      </c>
      <c r="W2531" s="100" t="s">
        <v>168</v>
      </c>
      <c r="X2531" s="100" t="s">
        <v>169</v>
      </c>
      <c r="Y2531" s="101" t="s">
        <v>170</v>
      </c>
      <c r="Z2531" s="101" t="s">
        <v>171</v>
      </c>
      <c r="AA2531" s="101" t="s">
        <v>50</v>
      </c>
      <c r="AB2531" s="101" t="s">
        <v>172</v>
      </c>
      <c r="AC2531" s="102" t="s">
        <v>173</v>
      </c>
    </row>
    <row r="2532" spans="1:29" ht="25.5" customHeight="1" x14ac:dyDescent="0.35">
      <c r="A2532" s="392"/>
      <c r="B2532" s="393"/>
      <c r="C2532" s="99" t="str">
        <f>IF(B2532="","",IF(NOT(ISNUMBER(B2532)),"DATA_PC invalida",IF(NOT(ISNUMBER(parametros!$C$2)),"Fora dos ciclos",IF(OR(B2532&lt;parametros!$C$2,(YEAR(B2532)-YEAR(parametros!$C$2))*12+MONTH(B2532)-MONTH(parametros!$C$2)&gt;59),"Fora dos ciclos","C"&amp;INT(((YEAR(B2532)-YEAR(parametros!$C$2))*12+MONTH(B2532)-MONTH(parametros!$C$2))/12)))))</f>
        <v/>
      </c>
      <c r="D2532" s="394"/>
      <c r="E2532" s="78" t="str">
        <f>IF(C2532="","",IFERROR(VLOOKUP(C2532,parametros!$A$11:$E$15,5,0),""))</f>
        <v/>
      </c>
      <c r="F2532" s="79" t="str">
        <f t="shared" si="197"/>
        <v/>
      </c>
      <c r="G2532" s="395"/>
      <c r="H2532" s="91">
        <f t="shared" si="198"/>
        <v>0</v>
      </c>
      <c r="I2532" s="91" t="str">
        <f t="shared" si="199"/>
        <v/>
      </c>
      <c r="J2532" s="91" t="str">
        <f t="shared" si="200"/>
        <v/>
      </c>
      <c r="K2532" s="92" t="str">
        <f>IF(AND(A2532="",B2532="",D2532="",G2532=""),"",IF(AND(A2532&lt;&gt;"",COUNTIF($A$2:$A$5001,A2532)&gt;1),"NUMERO_PC duplicado",IF(B2532="","DATA_PC vazia",IF(NOT(ISNUMBER(B2532)),"DATA_PC invalida",IF(OR(C2532="",C2532="Fora dos ciclos"),"CICLO_PC nao identificado",IF(OR(D2532="",D2532=0),"VALOR_PC vazio ou zero",IF(AND(G2532&lt;&gt;"Sim",G2532&lt;&gt;"Nao",G2532&lt;&gt;""),"PC_PAGO_A_CONTRATADA invalido",IF(AND(C2532&lt;&gt;"C0",IFERROR(INDEX(parametros!$A$2:$A$6,MATCH(C2532,parametros!$B$2:$B$6,0)),"")="Sim",IFERROR(INDEX(parametros!$H$2:$H$6,MATCH(C2532,parametros!$B$2:$B$6,0)),"")=""),"INICIO_EFEITO ausente: PC "&amp;A2532&amp;" - "&amp;C2532,IF(L2532="","EFEITO_PC nao calculado: PC "&amp;A2532&amp;" - "&amp;C2532,"OK")))))))))</f>
        <v/>
      </c>
      <c r="L2532" s="92" t="str">
        <f>IF(AND(A2532="",B2532="",D2532="",G2532=""),"",IF(OR(B2532="",NOT(ISNUMBER(B2532)),C2532="",C2532="Fora dos ciclos"),"",IF(C2532="C0","Nao",IF(IFERROR(INDEX(parametros!$A$2:$A$6,MATCH(C2532,parametros!$B$2:$B$6,0)),"")&lt;&gt;"Sim","Nao",IF(IFERROR(INDEX(parametros!$H$2:$H$6,MATCH(C2532,parametros!$B$2:$B$6,0)),"")="","",IF(B2532&gt;=IFERROR(INDEX(parametros!$H$2:$H$6,MATCH(C2532,parametros!$B$2:$B$6,0)),""),"Sim","Nao"))))))</f>
        <v/>
      </c>
      <c r="T2532" s="156"/>
      <c r="U2532" s="214" t="str">
        <f t="shared" si="201"/>
        <v/>
      </c>
      <c r="V2532" s="212" t="s">
        <v>50</v>
      </c>
      <c r="W2532" s="100" t="s">
        <v>168</v>
      </c>
      <c r="X2532" s="100" t="s">
        <v>169</v>
      </c>
      <c r="Y2532" s="101" t="s">
        <v>170</v>
      </c>
      <c r="Z2532" s="101" t="s">
        <v>171</v>
      </c>
      <c r="AA2532" s="101" t="s">
        <v>50</v>
      </c>
      <c r="AB2532" s="101" t="s">
        <v>172</v>
      </c>
      <c r="AC2532" s="102" t="s">
        <v>173</v>
      </c>
    </row>
    <row r="2533" spans="1:29" ht="25.5" customHeight="1" x14ac:dyDescent="0.35">
      <c r="A2533" s="392"/>
      <c r="B2533" s="393"/>
      <c r="C2533" s="99" t="str">
        <f>IF(B2533="","",IF(NOT(ISNUMBER(B2533)),"DATA_PC invalida",IF(NOT(ISNUMBER(parametros!$C$2)),"Fora dos ciclos",IF(OR(B2533&lt;parametros!$C$2,(YEAR(B2533)-YEAR(parametros!$C$2))*12+MONTH(B2533)-MONTH(parametros!$C$2)&gt;59),"Fora dos ciclos","C"&amp;INT(((YEAR(B2533)-YEAR(parametros!$C$2))*12+MONTH(B2533)-MONTH(parametros!$C$2))/12)))))</f>
        <v/>
      </c>
      <c r="D2533" s="394"/>
      <c r="E2533" s="78" t="str">
        <f>IF(C2533="","",IFERROR(VLOOKUP(C2533,parametros!$A$11:$E$15,5,0),""))</f>
        <v/>
      </c>
      <c r="F2533" s="79" t="str">
        <f t="shared" si="197"/>
        <v/>
      </c>
      <c r="G2533" s="395"/>
      <c r="H2533" s="91">
        <f t="shared" si="198"/>
        <v>0</v>
      </c>
      <c r="I2533" s="91" t="str">
        <f t="shared" si="199"/>
        <v/>
      </c>
      <c r="J2533" s="91" t="str">
        <f t="shared" si="200"/>
        <v/>
      </c>
      <c r="K2533" s="92" t="str">
        <f>IF(AND(A2533="",B2533="",D2533="",G2533=""),"",IF(AND(A2533&lt;&gt;"",COUNTIF($A$2:$A$5001,A2533)&gt;1),"NUMERO_PC duplicado",IF(B2533="","DATA_PC vazia",IF(NOT(ISNUMBER(B2533)),"DATA_PC invalida",IF(OR(C2533="",C2533="Fora dos ciclos"),"CICLO_PC nao identificado",IF(OR(D2533="",D2533=0),"VALOR_PC vazio ou zero",IF(AND(G2533&lt;&gt;"Sim",G2533&lt;&gt;"Nao",G2533&lt;&gt;""),"PC_PAGO_A_CONTRATADA invalido",IF(AND(C2533&lt;&gt;"C0",IFERROR(INDEX(parametros!$A$2:$A$6,MATCH(C2533,parametros!$B$2:$B$6,0)),"")="Sim",IFERROR(INDEX(parametros!$H$2:$H$6,MATCH(C2533,parametros!$B$2:$B$6,0)),"")=""),"INICIO_EFEITO ausente: PC "&amp;A2533&amp;" - "&amp;C2533,IF(L2533="","EFEITO_PC nao calculado: PC "&amp;A2533&amp;" - "&amp;C2533,"OK")))))))))</f>
        <v/>
      </c>
      <c r="L2533" s="92" t="str">
        <f>IF(AND(A2533="",B2533="",D2533="",G2533=""),"",IF(OR(B2533="",NOT(ISNUMBER(B2533)),C2533="",C2533="Fora dos ciclos"),"",IF(C2533="C0","Nao",IF(IFERROR(INDEX(parametros!$A$2:$A$6,MATCH(C2533,parametros!$B$2:$B$6,0)),"")&lt;&gt;"Sim","Nao",IF(IFERROR(INDEX(parametros!$H$2:$H$6,MATCH(C2533,parametros!$B$2:$B$6,0)),"")="","",IF(B2533&gt;=IFERROR(INDEX(parametros!$H$2:$H$6,MATCH(C2533,parametros!$B$2:$B$6,0)),""),"Sim","Nao"))))))</f>
        <v/>
      </c>
      <c r="T2533" s="156"/>
      <c r="U2533" s="214" t="str">
        <f t="shared" si="201"/>
        <v/>
      </c>
      <c r="V2533" s="212" t="s">
        <v>50</v>
      </c>
      <c r="W2533" s="100" t="s">
        <v>168</v>
      </c>
      <c r="X2533" s="100" t="s">
        <v>169</v>
      </c>
      <c r="Y2533" s="101" t="s">
        <v>170</v>
      </c>
      <c r="Z2533" s="101" t="s">
        <v>171</v>
      </c>
      <c r="AA2533" s="101" t="s">
        <v>50</v>
      </c>
      <c r="AB2533" s="101" t="s">
        <v>172</v>
      </c>
      <c r="AC2533" s="102" t="s">
        <v>173</v>
      </c>
    </row>
    <row r="2534" spans="1:29" ht="25.5" customHeight="1" x14ac:dyDescent="0.35">
      <c r="A2534" s="392"/>
      <c r="B2534" s="393"/>
      <c r="C2534" s="99" t="str">
        <f>IF(B2534="","",IF(NOT(ISNUMBER(B2534)),"DATA_PC invalida",IF(NOT(ISNUMBER(parametros!$C$2)),"Fora dos ciclos",IF(OR(B2534&lt;parametros!$C$2,(YEAR(B2534)-YEAR(parametros!$C$2))*12+MONTH(B2534)-MONTH(parametros!$C$2)&gt;59),"Fora dos ciclos","C"&amp;INT(((YEAR(B2534)-YEAR(parametros!$C$2))*12+MONTH(B2534)-MONTH(parametros!$C$2))/12)))))</f>
        <v/>
      </c>
      <c r="D2534" s="394"/>
      <c r="E2534" s="78" t="str">
        <f>IF(C2534="","",IFERROR(VLOOKUP(C2534,parametros!$A$11:$E$15,5,0),""))</f>
        <v/>
      </c>
      <c r="F2534" s="79" t="str">
        <f t="shared" si="197"/>
        <v/>
      </c>
      <c r="G2534" s="395"/>
      <c r="H2534" s="91">
        <f t="shared" si="198"/>
        <v>0</v>
      </c>
      <c r="I2534" s="91" t="str">
        <f t="shared" si="199"/>
        <v/>
      </c>
      <c r="J2534" s="91" t="str">
        <f t="shared" si="200"/>
        <v/>
      </c>
      <c r="K2534" s="92" t="str">
        <f>IF(AND(A2534="",B2534="",D2534="",G2534=""),"",IF(AND(A2534&lt;&gt;"",COUNTIF($A$2:$A$5001,A2534)&gt;1),"NUMERO_PC duplicado",IF(B2534="","DATA_PC vazia",IF(NOT(ISNUMBER(B2534)),"DATA_PC invalida",IF(OR(C2534="",C2534="Fora dos ciclos"),"CICLO_PC nao identificado",IF(OR(D2534="",D2534=0),"VALOR_PC vazio ou zero",IF(AND(G2534&lt;&gt;"Sim",G2534&lt;&gt;"Nao",G2534&lt;&gt;""),"PC_PAGO_A_CONTRATADA invalido",IF(AND(C2534&lt;&gt;"C0",IFERROR(INDEX(parametros!$A$2:$A$6,MATCH(C2534,parametros!$B$2:$B$6,0)),"")="Sim",IFERROR(INDEX(parametros!$H$2:$H$6,MATCH(C2534,parametros!$B$2:$B$6,0)),"")=""),"INICIO_EFEITO ausente: PC "&amp;A2534&amp;" - "&amp;C2534,IF(L2534="","EFEITO_PC nao calculado: PC "&amp;A2534&amp;" - "&amp;C2534,"OK")))))))))</f>
        <v/>
      </c>
      <c r="L2534" s="92" t="str">
        <f>IF(AND(A2534="",B2534="",D2534="",G2534=""),"",IF(OR(B2534="",NOT(ISNUMBER(B2534)),C2534="",C2534="Fora dos ciclos"),"",IF(C2534="C0","Nao",IF(IFERROR(INDEX(parametros!$A$2:$A$6,MATCH(C2534,parametros!$B$2:$B$6,0)),"")&lt;&gt;"Sim","Nao",IF(IFERROR(INDEX(parametros!$H$2:$H$6,MATCH(C2534,parametros!$B$2:$B$6,0)),"")="","",IF(B2534&gt;=IFERROR(INDEX(parametros!$H$2:$H$6,MATCH(C2534,parametros!$B$2:$B$6,0)),""),"Sim","Nao"))))))</f>
        <v/>
      </c>
      <c r="T2534" s="156"/>
      <c r="U2534" s="214" t="str">
        <f t="shared" si="201"/>
        <v/>
      </c>
      <c r="V2534" s="212" t="s">
        <v>50</v>
      </c>
      <c r="W2534" s="100" t="s">
        <v>168</v>
      </c>
      <c r="X2534" s="100" t="s">
        <v>169</v>
      </c>
      <c r="Y2534" s="101" t="s">
        <v>170</v>
      </c>
      <c r="Z2534" s="101" t="s">
        <v>171</v>
      </c>
      <c r="AA2534" s="101" t="s">
        <v>50</v>
      </c>
      <c r="AB2534" s="101" t="s">
        <v>172</v>
      </c>
      <c r="AC2534" s="102" t="s">
        <v>173</v>
      </c>
    </row>
    <row r="2535" spans="1:29" ht="25.5" customHeight="1" x14ac:dyDescent="0.35">
      <c r="A2535" s="392"/>
      <c r="B2535" s="393"/>
      <c r="C2535" s="99" t="str">
        <f>IF(B2535="","",IF(NOT(ISNUMBER(B2535)),"DATA_PC invalida",IF(NOT(ISNUMBER(parametros!$C$2)),"Fora dos ciclos",IF(OR(B2535&lt;parametros!$C$2,(YEAR(B2535)-YEAR(parametros!$C$2))*12+MONTH(B2535)-MONTH(parametros!$C$2)&gt;59),"Fora dos ciclos","C"&amp;INT(((YEAR(B2535)-YEAR(parametros!$C$2))*12+MONTH(B2535)-MONTH(parametros!$C$2))/12)))))</f>
        <v/>
      </c>
      <c r="D2535" s="394"/>
      <c r="E2535" s="78" t="str">
        <f>IF(C2535="","",IFERROR(VLOOKUP(C2535,parametros!$A$11:$E$15,5,0),""))</f>
        <v/>
      </c>
      <c r="F2535" s="79" t="str">
        <f t="shared" si="197"/>
        <v/>
      </c>
      <c r="G2535" s="395"/>
      <c r="H2535" s="91">
        <f t="shared" si="198"/>
        <v>0</v>
      </c>
      <c r="I2535" s="91" t="str">
        <f t="shared" si="199"/>
        <v/>
      </c>
      <c r="J2535" s="91" t="str">
        <f t="shared" si="200"/>
        <v/>
      </c>
      <c r="K2535" s="92" t="str">
        <f>IF(AND(A2535="",B2535="",D2535="",G2535=""),"",IF(AND(A2535&lt;&gt;"",COUNTIF($A$2:$A$5001,A2535)&gt;1),"NUMERO_PC duplicado",IF(B2535="","DATA_PC vazia",IF(NOT(ISNUMBER(B2535)),"DATA_PC invalida",IF(OR(C2535="",C2535="Fora dos ciclos"),"CICLO_PC nao identificado",IF(OR(D2535="",D2535=0),"VALOR_PC vazio ou zero",IF(AND(G2535&lt;&gt;"Sim",G2535&lt;&gt;"Nao",G2535&lt;&gt;""),"PC_PAGO_A_CONTRATADA invalido",IF(AND(C2535&lt;&gt;"C0",IFERROR(INDEX(parametros!$A$2:$A$6,MATCH(C2535,parametros!$B$2:$B$6,0)),"")="Sim",IFERROR(INDEX(parametros!$H$2:$H$6,MATCH(C2535,parametros!$B$2:$B$6,0)),"")=""),"INICIO_EFEITO ausente: PC "&amp;A2535&amp;" - "&amp;C2535,IF(L2535="","EFEITO_PC nao calculado: PC "&amp;A2535&amp;" - "&amp;C2535,"OK")))))))))</f>
        <v/>
      </c>
      <c r="L2535" s="92" t="str">
        <f>IF(AND(A2535="",B2535="",D2535="",G2535=""),"",IF(OR(B2535="",NOT(ISNUMBER(B2535)),C2535="",C2535="Fora dos ciclos"),"",IF(C2535="C0","Nao",IF(IFERROR(INDEX(parametros!$A$2:$A$6,MATCH(C2535,parametros!$B$2:$B$6,0)),"")&lt;&gt;"Sim","Nao",IF(IFERROR(INDEX(parametros!$H$2:$H$6,MATCH(C2535,parametros!$B$2:$B$6,0)),"")="","",IF(B2535&gt;=IFERROR(INDEX(parametros!$H$2:$H$6,MATCH(C2535,parametros!$B$2:$B$6,0)),""),"Sim","Nao"))))))</f>
        <v/>
      </c>
      <c r="T2535" s="156"/>
      <c r="U2535" s="214" t="str">
        <f t="shared" si="201"/>
        <v/>
      </c>
      <c r="V2535" s="212" t="s">
        <v>50</v>
      </c>
      <c r="W2535" s="100" t="s">
        <v>168</v>
      </c>
      <c r="X2535" s="100" t="s">
        <v>169</v>
      </c>
      <c r="Y2535" s="101" t="s">
        <v>170</v>
      </c>
      <c r="Z2535" s="101" t="s">
        <v>171</v>
      </c>
      <c r="AA2535" s="101" t="s">
        <v>50</v>
      </c>
      <c r="AB2535" s="101" t="s">
        <v>172</v>
      </c>
      <c r="AC2535" s="102" t="s">
        <v>173</v>
      </c>
    </row>
    <row r="2536" spans="1:29" ht="25.5" customHeight="1" x14ac:dyDescent="0.35">
      <c r="A2536" s="392"/>
      <c r="B2536" s="393"/>
      <c r="C2536" s="99" t="str">
        <f>IF(B2536="","",IF(NOT(ISNUMBER(B2536)),"DATA_PC invalida",IF(NOT(ISNUMBER(parametros!$C$2)),"Fora dos ciclos",IF(OR(B2536&lt;parametros!$C$2,(YEAR(B2536)-YEAR(parametros!$C$2))*12+MONTH(B2536)-MONTH(parametros!$C$2)&gt;59),"Fora dos ciclos","C"&amp;INT(((YEAR(B2536)-YEAR(parametros!$C$2))*12+MONTH(B2536)-MONTH(parametros!$C$2))/12)))))</f>
        <v/>
      </c>
      <c r="D2536" s="394"/>
      <c r="E2536" s="78" t="str">
        <f>IF(C2536="","",IFERROR(VLOOKUP(C2536,parametros!$A$11:$E$15,5,0),""))</f>
        <v/>
      </c>
      <c r="F2536" s="79" t="str">
        <f t="shared" si="197"/>
        <v/>
      </c>
      <c r="G2536" s="395"/>
      <c r="H2536" s="91">
        <f t="shared" si="198"/>
        <v>0</v>
      </c>
      <c r="I2536" s="91" t="str">
        <f t="shared" si="199"/>
        <v/>
      </c>
      <c r="J2536" s="91" t="str">
        <f t="shared" si="200"/>
        <v/>
      </c>
      <c r="K2536" s="92" t="str">
        <f>IF(AND(A2536="",B2536="",D2536="",G2536=""),"",IF(AND(A2536&lt;&gt;"",COUNTIF($A$2:$A$5001,A2536)&gt;1),"NUMERO_PC duplicado",IF(B2536="","DATA_PC vazia",IF(NOT(ISNUMBER(B2536)),"DATA_PC invalida",IF(OR(C2536="",C2536="Fora dos ciclos"),"CICLO_PC nao identificado",IF(OR(D2536="",D2536=0),"VALOR_PC vazio ou zero",IF(AND(G2536&lt;&gt;"Sim",G2536&lt;&gt;"Nao",G2536&lt;&gt;""),"PC_PAGO_A_CONTRATADA invalido",IF(AND(C2536&lt;&gt;"C0",IFERROR(INDEX(parametros!$A$2:$A$6,MATCH(C2536,parametros!$B$2:$B$6,0)),"")="Sim",IFERROR(INDEX(parametros!$H$2:$H$6,MATCH(C2536,parametros!$B$2:$B$6,0)),"")=""),"INICIO_EFEITO ausente: PC "&amp;A2536&amp;" - "&amp;C2536,IF(L2536="","EFEITO_PC nao calculado: PC "&amp;A2536&amp;" - "&amp;C2536,"OK")))))))))</f>
        <v/>
      </c>
      <c r="L2536" s="92" t="str">
        <f>IF(AND(A2536="",B2536="",D2536="",G2536=""),"",IF(OR(B2536="",NOT(ISNUMBER(B2536)),C2536="",C2536="Fora dos ciclos"),"",IF(C2536="C0","Nao",IF(IFERROR(INDEX(parametros!$A$2:$A$6,MATCH(C2536,parametros!$B$2:$B$6,0)),"")&lt;&gt;"Sim","Nao",IF(IFERROR(INDEX(parametros!$H$2:$H$6,MATCH(C2536,parametros!$B$2:$B$6,0)),"")="","",IF(B2536&gt;=IFERROR(INDEX(parametros!$H$2:$H$6,MATCH(C2536,parametros!$B$2:$B$6,0)),""),"Sim","Nao"))))))</f>
        <v/>
      </c>
      <c r="T2536" s="156"/>
      <c r="U2536" s="214" t="str">
        <f t="shared" si="201"/>
        <v/>
      </c>
      <c r="V2536" s="212" t="s">
        <v>50</v>
      </c>
      <c r="W2536" s="100" t="s">
        <v>168</v>
      </c>
      <c r="X2536" s="100" t="s">
        <v>169</v>
      </c>
      <c r="Y2536" s="101" t="s">
        <v>170</v>
      </c>
      <c r="Z2536" s="101" t="s">
        <v>171</v>
      </c>
      <c r="AA2536" s="101" t="s">
        <v>50</v>
      </c>
      <c r="AB2536" s="101" t="s">
        <v>172</v>
      </c>
      <c r="AC2536" s="102" t="s">
        <v>173</v>
      </c>
    </row>
    <row r="2537" spans="1:29" ht="25.5" customHeight="1" x14ac:dyDescent="0.35">
      <c r="A2537" s="392"/>
      <c r="B2537" s="393"/>
      <c r="C2537" s="99" t="str">
        <f>IF(B2537="","",IF(NOT(ISNUMBER(B2537)),"DATA_PC invalida",IF(NOT(ISNUMBER(parametros!$C$2)),"Fora dos ciclos",IF(OR(B2537&lt;parametros!$C$2,(YEAR(B2537)-YEAR(parametros!$C$2))*12+MONTH(B2537)-MONTH(parametros!$C$2)&gt;59),"Fora dos ciclos","C"&amp;INT(((YEAR(B2537)-YEAR(parametros!$C$2))*12+MONTH(B2537)-MONTH(parametros!$C$2))/12)))))</f>
        <v/>
      </c>
      <c r="D2537" s="394"/>
      <c r="E2537" s="78" t="str">
        <f>IF(C2537="","",IFERROR(VLOOKUP(C2537,parametros!$A$11:$E$15,5,0),""))</f>
        <v/>
      </c>
      <c r="F2537" s="79" t="str">
        <f t="shared" si="197"/>
        <v/>
      </c>
      <c r="G2537" s="395"/>
      <c r="H2537" s="91">
        <f t="shared" si="198"/>
        <v>0</v>
      </c>
      <c r="I2537" s="91" t="str">
        <f t="shared" si="199"/>
        <v/>
      </c>
      <c r="J2537" s="91" t="str">
        <f t="shared" si="200"/>
        <v/>
      </c>
      <c r="K2537" s="92" t="str">
        <f>IF(AND(A2537="",B2537="",D2537="",G2537=""),"",IF(AND(A2537&lt;&gt;"",COUNTIF($A$2:$A$5001,A2537)&gt;1),"NUMERO_PC duplicado",IF(B2537="","DATA_PC vazia",IF(NOT(ISNUMBER(B2537)),"DATA_PC invalida",IF(OR(C2537="",C2537="Fora dos ciclos"),"CICLO_PC nao identificado",IF(OR(D2537="",D2537=0),"VALOR_PC vazio ou zero",IF(AND(G2537&lt;&gt;"Sim",G2537&lt;&gt;"Nao",G2537&lt;&gt;""),"PC_PAGO_A_CONTRATADA invalido",IF(AND(C2537&lt;&gt;"C0",IFERROR(INDEX(parametros!$A$2:$A$6,MATCH(C2537,parametros!$B$2:$B$6,0)),"")="Sim",IFERROR(INDEX(parametros!$H$2:$H$6,MATCH(C2537,parametros!$B$2:$B$6,0)),"")=""),"INICIO_EFEITO ausente: PC "&amp;A2537&amp;" - "&amp;C2537,IF(L2537="","EFEITO_PC nao calculado: PC "&amp;A2537&amp;" - "&amp;C2537,"OK")))))))))</f>
        <v/>
      </c>
      <c r="L2537" s="92" t="str">
        <f>IF(AND(A2537="",B2537="",D2537="",G2537=""),"",IF(OR(B2537="",NOT(ISNUMBER(B2537)),C2537="",C2537="Fora dos ciclos"),"",IF(C2537="C0","Nao",IF(IFERROR(INDEX(parametros!$A$2:$A$6,MATCH(C2537,parametros!$B$2:$B$6,0)),"")&lt;&gt;"Sim","Nao",IF(IFERROR(INDEX(parametros!$H$2:$H$6,MATCH(C2537,parametros!$B$2:$B$6,0)),"")="","",IF(B2537&gt;=IFERROR(INDEX(parametros!$H$2:$H$6,MATCH(C2537,parametros!$B$2:$B$6,0)),""),"Sim","Nao"))))))</f>
        <v/>
      </c>
      <c r="T2537" s="156"/>
      <c r="U2537" s="214" t="str">
        <f t="shared" si="201"/>
        <v/>
      </c>
      <c r="V2537" s="212" t="s">
        <v>50</v>
      </c>
      <c r="W2537" s="100" t="s">
        <v>168</v>
      </c>
      <c r="X2537" s="100" t="s">
        <v>169</v>
      </c>
      <c r="Y2537" s="101" t="s">
        <v>170</v>
      </c>
      <c r="Z2537" s="101" t="s">
        <v>171</v>
      </c>
      <c r="AA2537" s="101" t="s">
        <v>50</v>
      </c>
      <c r="AB2537" s="101" t="s">
        <v>172</v>
      </c>
      <c r="AC2537" s="102" t="s">
        <v>173</v>
      </c>
    </row>
    <row r="2538" spans="1:29" ht="25.5" customHeight="1" x14ac:dyDescent="0.35">
      <c r="A2538" s="392"/>
      <c r="B2538" s="393"/>
      <c r="C2538" s="99" t="str">
        <f>IF(B2538="","",IF(NOT(ISNUMBER(B2538)),"DATA_PC invalida",IF(NOT(ISNUMBER(parametros!$C$2)),"Fora dos ciclos",IF(OR(B2538&lt;parametros!$C$2,(YEAR(B2538)-YEAR(parametros!$C$2))*12+MONTH(B2538)-MONTH(parametros!$C$2)&gt;59),"Fora dos ciclos","C"&amp;INT(((YEAR(B2538)-YEAR(parametros!$C$2))*12+MONTH(B2538)-MONTH(parametros!$C$2))/12)))))</f>
        <v/>
      </c>
      <c r="D2538" s="394"/>
      <c r="E2538" s="78" t="str">
        <f>IF(C2538="","",IFERROR(VLOOKUP(C2538,parametros!$A$11:$E$15,5,0),""))</f>
        <v/>
      </c>
      <c r="F2538" s="79" t="str">
        <f t="shared" si="197"/>
        <v/>
      </c>
      <c r="G2538" s="395"/>
      <c r="H2538" s="91">
        <f t="shared" si="198"/>
        <v>0</v>
      </c>
      <c r="I2538" s="91" t="str">
        <f t="shared" si="199"/>
        <v/>
      </c>
      <c r="J2538" s="91" t="str">
        <f t="shared" si="200"/>
        <v/>
      </c>
      <c r="K2538" s="92" t="str">
        <f>IF(AND(A2538="",B2538="",D2538="",G2538=""),"",IF(AND(A2538&lt;&gt;"",COUNTIF($A$2:$A$5001,A2538)&gt;1),"NUMERO_PC duplicado",IF(B2538="","DATA_PC vazia",IF(NOT(ISNUMBER(B2538)),"DATA_PC invalida",IF(OR(C2538="",C2538="Fora dos ciclos"),"CICLO_PC nao identificado",IF(OR(D2538="",D2538=0),"VALOR_PC vazio ou zero",IF(AND(G2538&lt;&gt;"Sim",G2538&lt;&gt;"Nao",G2538&lt;&gt;""),"PC_PAGO_A_CONTRATADA invalido",IF(AND(C2538&lt;&gt;"C0",IFERROR(INDEX(parametros!$A$2:$A$6,MATCH(C2538,parametros!$B$2:$B$6,0)),"")="Sim",IFERROR(INDEX(parametros!$H$2:$H$6,MATCH(C2538,parametros!$B$2:$B$6,0)),"")=""),"INICIO_EFEITO ausente: PC "&amp;A2538&amp;" - "&amp;C2538,IF(L2538="","EFEITO_PC nao calculado: PC "&amp;A2538&amp;" - "&amp;C2538,"OK")))))))))</f>
        <v/>
      </c>
      <c r="L2538" s="92" t="str">
        <f>IF(AND(A2538="",B2538="",D2538="",G2538=""),"",IF(OR(B2538="",NOT(ISNUMBER(B2538)),C2538="",C2538="Fora dos ciclos"),"",IF(C2538="C0","Nao",IF(IFERROR(INDEX(parametros!$A$2:$A$6,MATCH(C2538,parametros!$B$2:$B$6,0)),"")&lt;&gt;"Sim","Nao",IF(IFERROR(INDEX(parametros!$H$2:$H$6,MATCH(C2538,parametros!$B$2:$B$6,0)),"")="","",IF(B2538&gt;=IFERROR(INDEX(parametros!$H$2:$H$6,MATCH(C2538,parametros!$B$2:$B$6,0)),""),"Sim","Nao"))))))</f>
        <v/>
      </c>
      <c r="T2538" s="156"/>
      <c r="U2538" s="214" t="str">
        <f t="shared" si="201"/>
        <v/>
      </c>
      <c r="V2538" s="212" t="s">
        <v>50</v>
      </c>
      <c r="W2538" s="100" t="s">
        <v>168</v>
      </c>
      <c r="X2538" s="100" t="s">
        <v>169</v>
      </c>
      <c r="Y2538" s="101" t="s">
        <v>170</v>
      </c>
      <c r="Z2538" s="101" t="s">
        <v>171</v>
      </c>
      <c r="AA2538" s="101" t="s">
        <v>50</v>
      </c>
      <c r="AB2538" s="101" t="s">
        <v>172</v>
      </c>
      <c r="AC2538" s="102" t="s">
        <v>173</v>
      </c>
    </row>
    <row r="2539" spans="1:29" ht="25.5" customHeight="1" x14ac:dyDescent="0.35">
      <c r="A2539" s="392"/>
      <c r="B2539" s="393"/>
      <c r="C2539" s="99" t="str">
        <f>IF(B2539="","",IF(NOT(ISNUMBER(B2539)),"DATA_PC invalida",IF(NOT(ISNUMBER(parametros!$C$2)),"Fora dos ciclos",IF(OR(B2539&lt;parametros!$C$2,(YEAR(B2539)-YEAR(parametros!$C$2))*12+MONTH(B2539)-MONTH(parametros!$C$2)&gt;59),"Fora dos ciclos","C"&amp;INT(((YEAR(B2539)-YEAR(parametros!$C$2))*12+MONTH(B2539)-MONTH(parametros!$C$2))/12)))))</f>
        <v/>
      </c>
      <c r="D2539" s="394"/>
      <c r="E2539" s="78" t="str">
        <f>IF(C2539="","",IFERROR(VLOOKUP(C2539,parametros!$A$11:$E$15,5,0),""))</f>
        <v/>
      </c>
      <c r="F2539" s="79" t="str">
        <f t="shared" si="197"/>
        <v/>
      </c>
      <c r="G2539" s="395"/>
      <c r="H2539" s="91">
        <f t="shared" si="198"/>
        <v>0</v>
      </c>
      <c r="I2539" s="91" t="str">
        <f t="shared" si="199"/>
        <v/>
      </c>
      <c r="J2539" s="91" t="str">
        <f t="shared" si="200"/>
        <v/>
      </c>
      <c r="K2539" s="92" t="str">
        <f>IF(AND(A2539="",B2539="",D2539="",G2539=""),"",IF(AND(A2539&lt;&gt;"",COUNTIF($A$2:$A$5001,A2539)&gt;1),"NUMERO_PC duplicado",IF(B2539="","DATA_PC vazia",IF(NOT(ISNUMBER(B2539)),"DATA_PC invalida",IF(OR(C2539="",C2539="Fora dos ciclos"),"CICLO_PC nao identificado",IF(OR(D2539="",D2539=0),"VALOR_PC vazio ou zero",IF(AND(G2539&lt;&gt;"Sim",G2539&lt;&gt;"Nao",G2539&lt;&gt;""),"PC_PAGO_A_CONTRATADA invalido",IF(AND(C2539&lt;&gt;"C0",IFERROR(INDEX(parametros!$A$2:$A$6,MATCH(C2539,parametros!$B$2:$B$6,0)),"")="Sim",IFERROR(INDEX(parametros!$H$2:$H$6,MATCH(C2539,parametros!$B$2:$B$6,0)),"")=""),"INICIO_EFEITO ausente: PC "&amp;A2539&amp;" - "&amp;C2539,IF(L2539="","EFEITO_PC nao calculado: PC "&amp;A2539&amp;" - "&amp;C2539,"OK")))))))))</f>
        <v/>
      </c>
      <c r="L2539" s="92" t="str">
        <f>IF(AND(A2539="",B2539="",D2539="",G2539=""),"",IF(OR(B2539="",NOT(ISNUMBER(B2539)),C2539="",C2539="Fora dos ciclos"),"",IF(C2539="C0","Nao",IF(IFERROR(INDEX(parametros!$A$2:$A$6,MATCH(C2539,parametros!$B$2:$B$6,0)),"")&lt;&gt;"Sim","Nao",IF(IFERROR(INDEX(parametros!$H$2:$H$6,MATCH(C2539,parametros!$B$2:$B$6,0)),"")="","",IF(B2539&gt;=IFERROR(INDEX(parametros!$H$2:$H$6,MATCH(C2539,parametros!$B$2:$B$6,0)),""),"Sim","Nao"))))))</f>
        <v/>
      </c>
      <c r="T2539" s="156"/>
      <c r="U2539" s="214" t="str">
        <f t="shared" si="201"/>
        <v/>
      </c>
      <c r="V2539" s="212" t="s">
        <v>50</v>
      </c>
      <c r="W2539" s="100" t="s">
        <v>168</v>
      </c>
      <c r="X2539" s="100" t="s">
        <v>169</v>
      </c>
      <c r="Y2539" s="101" t="s">
        <v>170</v>
      </c>
      <c r="Z2539" s="101" t="s">
        <v>171</v>
      </c>
      <c r="AA2539" s="101" t="s">
        <v>50</v>
      </c>
      <c r="AB2539" s="101" t="s">
        <v>172</v>
      </c>
      <c r="AC2539" s="102" t="s">
        <v>173</v>
      </c>
    </row>
    <row r="2540" spans="1:29" ht="25.5" customHeight="1" x14ac:dyDescent="0.35">
      <c r="A2540" s="392"/>
      <c r="B2540" s="393"/>
      <c r="C2540" s="99" t="str">
        <f>IF(B2540="","",IF(NOT(ISNUMBER(B2540)),"DATA_PC invalida",IF(NOT(ISNUMBER(parametros!$C$2)),"Fora dos ciclos",IF(OR(B2540&lt;parametros!$C$2,(YEAR(B2540)-YEAR(parametros!$C$2))*12+MONTH(B2540)-MONTH(parametros!$C$2)&gt;59),"Fora dos ciclos","C"&amp;INT(((YEAR(B2540)-YEAR(parametros!$C$2))*12+MONTH(B2540)-MONTH(parametros!$C$2))/12)))))</f>
        <v/>
      </c>
      <c r="D2540" s="394"/>
      <c r="E2540" s="78" t="str">
        <f>IF(C2540="","",IFERROR(VLOOKUP(C2540,parametros!$A$11:$E$15,5,0),""))</f>
        <v/>
      </c>
      <c r="F2540" s="79" t="str">
        <f t="shared" si="197"/>
        <v/>
      </c>
      <c r="G2540" s="395"/>
      <c r="H2540" s="91">
        <f t="shared" si="198"/>
        <v>0</v>
      </c>
      <c r="I2540" s="91" t="str">
        <f t="shared" si="199"/>
        <v/>
      </c>
      <c r="J2540" s="91" t="str">
        <f t="shared" si="200"/>
        <v/>
      </c>
      <c r="K2540" s="92" t="str">
        <f>IF(AND(A2540="",B2540="",D2540="",G2540=""),"",IF(AND(A2540&lt;&gt;"",COUNTIF($A$2:$A$5001,A2540)&gt;1),"NUMERO_PC duplicado",IF(B2540="","DATA_PC vazia",IF(NOT(ISNUMBER(B2540)),"DATA_PC invalida",IF(OR(C2540="",C2540="Fora dos ciclos"),"CICLO_PC nao identificado",IF(OR(D2540="",D2540=0),"VALOR_PC vazio ou zero",IF(AND(G2540&lt;&gt;"Sim",G2540&lt;&gt;"Nao",G2540&lt;&gt;""),"PC_PAGO_A_CONTRATADA invalido",IF(AND(C2540&lt;&gt;"C0",IFERROR(INDEX(parametros!$A$2:$A$6,MATCH(C2540,parametros!$B$2:$B$6,0)),"")="Sim",IFERROR(INDEX(parametros!$H$2:$H$6,MATCH(C2540,parametros!$B$2:$B$6,0)),"")=""),"INICIO_EFEITO ausente: PC "&amp;A2540&amp;" - "&amp;C2540,IF(L2540="","EFEITO_PC nao calculado: PC "&amp;A2540&amp;" - "&amp;C2540,"OK")))))))))</f>
        <v/>
      </c>
      <c r="L2540" s="92" t="str">
        <f>IF(AND(A2540="",B2540="",D2540="",G2540=""),"",IF(OR(B2540="",NOT(ISNUMBER(B2540)),C2540="",C2540="Fora dos ciclos"),"",IF(C2540="C0","Nao",IF(IFERROR(INDEX(parametros!$A$2:$A$6,MATCH(C2540,parametros!$B$2:$B$6,0)),"")&lt;&gt;"Sim","Nao",IF(IFERROR(INDEX(parametros!$H$2:$H$6,MATCH(C2540,parametros!$B$2:$B$6,0)),"")="","",IF(B2540&gt;=IFERROR(INDEX(parametros!$H$2:$H$6,MATCH(C2540,parametros!$B$2:$B$6,0)),""),"Sim","Nao"))))))</f>
        <v/>
      </c>
      <c r="T2540" s="156"/>
      <c r="U2540" s="214" t="str">
        <f t="shared" si="201"/>
        <v/>
      </c>
      <c r="V2540" s="212" t="s">
        <v>50</v>
      </c>
      <c r="W2540" s="100" t="s">
        <v>168</v>
      </c>
      <c r="X2540" s="100" t="s">
        <v>169</v>
      </c>
      <c r="Y2540" s="101" t="s">
        <v>170</v>
      </c>
      <c r="Z2540" s="101" t="s">
        <v>171</v>
      </c>
      <c r="AA2540" s="101" t="s">
        <v>50</v>
      </c>
      <c r="AB2540" s="101" t="s">
        <v>172</v>
      </c>
      <c r="AC2540" s="102" t="s">
        <v>173</v>
      </c>
    </row>
    <row r="2541" spans="1:29" ht="25.5" customHeight="1" x14ac:dyDescent="0.35">
      <c r="A2541" s="392"/>
      <c r="B2541" s="393"/>
      <c r="C2541" s="99" t="str">
        <f>IF(B2541="","",IF(NOT(ISNUMBER(B2541)),"DATA_PC invalida",IF(NOT(ISNUMBER(parametros!$C$2)),"Fora dos ciclos",IF(OR(B2541&lt;parametros!$C$2,(YEAR(B2541)-YEAR(parametros!$C$2))*12+MONTH(B2541)-MONTH(parametros!$C$2)&gt;59),"Fora dos ciclos","C"&amp;INT(((YEAR(B2541)-YEAR(parametros!$C$2))*12+MONTH(B2541)-MONTH(parametros!$C$2))/12)))))</f>
        <v/>
      </c>
      <c r="D2541" s="394"/>
      <c r="E2541" s="78" t="str">
        <f>IF(C2541="","",IFERROR(VLOOKUP(C2541,parametros!$A$11:$E$15,5,0),""))</f>
        <v/>
      </c>
      <c r="F2541" s="79" t="str">
        <f t="shared" si="197"/>
        <v/>
      </c>
      <c r="G2541" s="395"/>
      <c r="H2541" s="91">
        <f t="shared" si="198"/>
        <v>0</v>
      </c>
      <c r="I2541" s="91" t="str">
        <f t="shared" si="199"/>
        <v/>
      </c>
      <c r="J2541" s="91" t="str">
        <f t="shared" si="200"/>
        <v/>
      </c>
      <c r="K2541" s="92" t="str">
        <f>IF(AND(A2541="",B2541="",D2541="",G2541=""),"",IF(AND(A2541&lt;&gt;"",COUNTIF($A$2:$A$5001,A2541)&gt;1),"NUMERO_PC duplicado",IF(B2541="","DATA_PC vazia",IF(NOT(ISNUMBER(B2541)),"DATA_PC invalida",IF(OR(C2541="",C2541="Fora dos ciclos"),"CICLO_PC nao identificado",IF(OR(D2541="",D2541=0),"VALOR_PC vazio ou zero",IF(AND(G2541&lt;&gt;"Sim",G2541&lt;&gt;"Nao",G2541&lt;&gt;""),"PC_PAGO_A_CONTRATADA invalido",IF(AND(C2541&lt;&gt;"C0",IFERROR(INDEX(parametros!$A$2:$A$6,MATCH(C2541,parametros!$B$2:$B$6,0)),"")="Sim",IFERROR(INDEX(parametros!$H$2:$H$6,MATCH(C2541,parametros!$B$2:$B$6,0)),"")=""),"INICIO_EFEITO ausente: PC "&amp;A2541&amp;" - "&amp;C2541,IF(L2541="","EFEITO_PC nao calculado: PC "&amp;A2541&amp;" - "&amp;C2541,"OK")))))))))</f>
        <v/>
      </c>
      <c r="L2541" s="92" t="str">
        <f>IF(AND(A2541="",B2541="",D2541="",G2541=""),"",IF(OR(B2541="",NOT(ISNUMBER(B2541)),C2541="",C2541="Fora dos ciclos"),"",IF(C2541="C0","Nao",IF(IFERROR(INDEX(parametros!$A$2:$A$6,MATCH(C2541,parametros!$B$2:$B$6,0)),"")&lt;&gt;"Sim","Nao",IF(IFERROR(INDEX(parametros!$H$2:$H$6,MATCH(C2541,parametros!$B$2:$B$6,0)),"")="","",IF(B2541&gt;=IFERROR(INDEX(parametros!$H$2:$H$6,MATCH(C2541,parametros!$B$2:$B$6,0)),""),"Sim","Nao"))))))</f>
        <v/>
      </c>
      <c r="T2541" s="156"/>
      <c r="U2541" s="214" t="str">
        <f t="shared" si="201"/>
        <v/>
      </c>
      <c r="V2541" s="212" t="s">
        <v>50</v>
      </c>
      <c r="W2541" s="100" t="s">
        <v>168</v>
      </c>
      <c r="X2541" s="100" t="s">
        <v>169</v>
      </c>
      <c r="Y2541" s="101" t="s">
        <v>170</v>
      </c>
      <c r="Z2541" s="101" t="s">
        <v>171</v>
      </c>
      <c r="AA2541" s="101" t="s">
        <v>50</v>
      </c>
      <c r="AB2541" s="101" t="s">
        <v>172</v>
      </c>
      <c r="AC2541" s="102" t="s">
        <v>173</v>
      </c>
    </row>
    <row r="2542" spans="1:29" ht="25.5" customHeight="1" x14ac:dyDescent="0.35">
      <c r="A2542" s="392"/>
      <c r="B2542" s="393"/>
      <c r="C2542" s="99" t="str">
        <f>IF(B2542="","",IF(NOT(ISNUMBER(B2542)),"DATA_PC invalida",IF(NOT(ISNUMBER(parametros!$C$2)),"Fora dos ciclos",IF(OR(B2542&lt;parametros!$C$2,(YEAR(B2542)-YEAR(parametros!$C$2))*12+MONTH(B2542)-MONTH(parametros!$C$2)&gt;59),"Fora dos ciclos","C"&amp;INT(((YEAR(B2542)-YEAR(parametros!$C$2))*12+MONTH(B2542)-MONTH(parametros!$C$2))/12)))))</f>
        <v/>
      </c>
      <c r="D2542" s="394"/>
      <c r="E2542" s="78" t="str">
        <f>IF(C2542="","",IFERROR(VLOOKUP(C2542,parametros!$A$11:$E$15,5,0),""))</f>
        <v/>
      </c>
      <c r="F2542" s="79" t="str">
        <f t="shared" si="197"/>
        <v/>
      </c>
      <c r="G2542" s="395"/>
      <c r="H2542" s="91">
        <f t="shared" si="198"/>
        <v>0</v>
      </c>
      <c r="I2542" s="91" t="str">
        <f t="shared" si="199"/>
        <v/>
      </c>
      <c r="J2542" s="91" t="str">
        <f t="shared" si="200"/>
        <v/>
      </c>
      <c r="K2542" s="92" t="str">
        <f>IF(AND(A2542="",B2542="",D2542="",G2542=""),"",IF(AND(A2542&lt;&gt;"",COUNTIF($A$2:$A$5001,A2542)&gt;1),"NUMERO_PC duplicado",IF(B2542="","DATA_PC vazia",IF(NOT(ISNUMBER(B2542)),"DATA_PC invalida",IF(OR(C2542="",C2542="Fora dos ciclos"),"CICLO_PC nao identificado",IF(OR(D2542="",D2542=0),"VALOR_PC vazio ou zero",IF(AND(G2542&lt;&gt;"Sim",G2542&lt;&gt;"Nao",G2542&lt;&gt;""),"PC_PAGO_A_CONTRATADA invalido",IF(AND(C2542&lt;&gt;"C0",IFERROR(INDEX(parametros!$A$2:$A$6,MATCH(C2542,parametros!$B$2:$B$6,0)),"")="Sim",IFERROR(INDEX(parametros!$H$2:$H$6,MATCH(C2542,parametros!$B$2:$B$6,0)),"")=""),"INICIO_EFEITO ausente: PC "&amp;A2542&amp;" - "&amp;C2542,IF(L2542="","EFEITO_PC nao calculado: PC "&amp;A2542&amp;" - "&amp;C2542,"OK")))))))))</f>
        <v/>
      </c>
      <c r="L2542" s="92" t="str">
        <f>IF(AND(A2542="",B2542="",D2542="",G2542=""),"",IF(OR(B2542="",NOT(ISNUMBER(B2542)),C2542="",C2542="Fora dos ciclos"),"",IF(C2542="C0","Nao",IF(IFERROR(INDEX(parametros!$A$2:$A$6,MATCH(C2542,parametros!$B$2:$B$6,0)),"")&lt;&gt;"Sim","Nao",IF(IFERROR(INDEX(parametros!$H$2:$H$6,MATCH(C2542,parametros!$B$2:$B$6,0)),"")="","",IF(B2542&gt;=IFERROR(INDEX(parametros!$H$2:$H$6,MATCH(C2542,parametros!$B$2:$B$6,0)),""),"Sim","Nao"))))))</f>
        <v/>
      </c>
      <c r="T2542" s="156"/>
      <c r="U2542" s="214" t="str">
        <f t="shared" si="201"/>
        <v/>
      </c>
      <c r="V2542" s="212" t="s">
        <v>50</v>
      </c>
      <c r="W2542" s="100" t="s">
        <v>168</v>
      </c>
      <c r="X2542" s="100" t="s">
        <v>169</v>
      </c>
      <c r="Y2542" s="101" t="s">
        <v>170</v>
      </c>
      <c r="Z2542" s="101" t="s">
        <v>171</v>
      </c>
      <c r="AA2542" s="101" t="s">
        <v>50</v>
      </c>
      <c r="AB2542" s="101" t="s">
        <v>172</v>
      </c>
      <c r="AC2542" s="102" t="s">
        <v>173</v>
      </c>
    </row>
    <row r="2543" spans="1:29" ht="25.5" customHeight="1" x14ac:dyDescent="0.35">
      <c r="A2543" s="392"/>
      <c r="B2543" s="393"/>
      <c r="C2543" s="99" t="str">
        <f>IF(B2543="","",IF(NOT(ISNUMBER(B2543)),"DATA_PC invalida",IF(NOT(ISNUMBER(parametros!$C$2)),"Fora dos ciclos",IF(OR(B2543&lt;parametros!$C$2,(YEAR(B2543)-YEAR(parametros!$C$2))*12+MONTH(B2543)-MONTH(parametros!$C$2)&gt;59),"Fora dos ciclos","C"&amp;INT(((YEAR(B2543)-YEAR(parametros!$C$2))*12+MONTH(B2543)-MONTH(parametros!$C$2))/12)))))</f>
        <v/>
      </c>
      <c r="D2543" s="394"/>
      <c r="E2543" s="78" t="str">
        <f>IF(C2543="","",IFERROR(VLOOKUP(C2543,parametros!$A$11:$E$15,5,0),""))</f>
        <v/>
      </c>
      <c r="F2543" s="79" t="str">
        <f t="shared" si="197"/>
        <v/>
      </c>
      <c r="G2543" s="395"/>
      <c r="H2543" s="91">
        <f t="shared" si="198"/>
        <v>0</v>
      </c>
      <c r="I2543" s="91" t="str">
        <f t="shared" si="199"/>
        <v/>
      </c>
      <c r="J2543" s="91" t="str">
        <f t="shared" si="200"/>
        <v/>
      </c>
      <c r="K2543" s="92" t="str">
        <f>IF(AND(A2543="",B2543="",D2543="",G2543=""),"",IF(AND(A2543&lt;&gt;"",COUNTIF($A$2:$A$5001,A2543)&gt;1),"NUMERO_PC duplicado",IF(B2543="","DATA_PC vazia",IF(NOT(ISNUMBER(B2543)),"DATA_PC invalida",IF(OR(C2543="",C2543="Fora dos ciclos"),"CICLO_PC nao identificado",IF(OR(D2543="",D2543=0),"VALOR_PC vazio ou zero",IF(AND(G2543&lt;&gt;"Sim",G2543&lt;&gt;"Nao",G2543&lt;&gt;""),"PC_PAGO_A_CONTRATADA invalido",IF(AND(C2543&lt;&gt;"C0",IFERROR(INDEX(parametros!$A$2:$A$6,MATCH(C2543,parametros!$B$2:$B$6,0)),"")="Sim",IFERROR(INDEX(parametros!$H$2:$H$6,MATCH(C2543,parametros!$B$2:$B$6,0)),"")=""),"INICIO_EFEITO ausente: PC "&amp;A2543&amp;" - "&amp;C2543,IF(L2543="","EFEITO_PC nao calculado: PC "&amp;A2543&amp;" - "&amp;C2543,"OK")))))))))</f>
        <v/>
      </c>
      <c r="L2543" s="92" t="str">
        <f>IF(AND(A2543="",B2543="",D2543="",G2543=""),"",IF(OR(B2543="",NOT(ISNUMBER(B2543)),C2543="",C2543="Fora dos ciclos"),"",IF(C2543="C0","Nao",IF(IFERROR(INDEX(parametros!$A$2:$A$6,MATCH(C2543,parametros!$B$2:$B$6,0)),"")&lt;&gt;"Sim","Nao",IF(IFERROR(INDEX(parametros!$H$2:$H$6,MATCH(C2543,parametros!$B$2:$B$6,0)),"")="","",IF(B2543&gt;=IFERROR(INDEX(parametros!$H$2:$H$6,MATCH(C2543,parametros!$B$2:$B$6,0)),""),"Sim","Nao"))))))</f>
        <v/>
      </c>
      <c r="T2543" s="156"/>
      <c r="U2543" s="214" t="str">
        <f t="shared" si="201"/>
        <v/>
      </c>
      <c r="V2543" s="212" t="s">
        <v>50</v>
      </c>
      <c r="W2543" s="100" t="s">
        <v>168</v>
      </c>
      <c r="X2543" s="100" t="s">
        <v>169</v>
      </c>
      <c r="Y2543" s="101" t="s">
        <v>170</v>
      </c>
      <c r="Z2543" s="101" t="s">
        <v>171</v>
      </c>
      <c r="AA2543" s="101" t="s">
        <v>50</v>
      </c>
      <c r="AB2543" s="101" t="s">
        <v>172</v>
      </c>
      <c r="AC2543" s="102" t="s">
        <v>173</v>
      </c>
    </row>
    <row r="2544" spans="1:29" ht="25.5" customHeight="1" x14ac:dyDescent="0.35">
      <c r="A2544" s="392"/>
      <c r="B2544" s="393"/>
      <c r="C2544" s="99" t="str">
        <f>IF(B2544="","",IF(NOT(ISNUMBER(B2544)),"DATA_PC invalida",IF(NOT(ISNUMBER(parametros!$C$2)),"Fora dos ciclos",IF(OR(B2544&lt;parametros!$C$2,(YEAR(B2544)-YEAR(parametros!$C$2))*12+MONTH(B2544)-MONTH(parametros!$C$2)&gt;59),"Fora dos ciclos","C"&amp;INT(((YEAR(B2544)-YEAR(parametros!$C$2))*12+MONTH(B2544)-MONTH(parametros!$C$2))/12)))))</f>
        <v/>
      </c>
      <c r="D2544" s="394"/>
      <c r="E2544" s="78" t="str">
        <f>IF(C2544="","",IFERROR(VLOOKUP(C2544,parametros!$A$11:$E$15,5,0),""))</f>
        <v/>
      </c>
      <c r="F2544" s="79" t="str">
        <f t="shared" si="197"/>
        <v/>
      </c>
      <c r="G2544" s="395"/>
      <c r="H2544" s="91">
        <f t="shared" si="198"/>
        <v>0</v>
      </c>
      <c r="I2544" s="91" t="str">
        <f t="shared" si="199"/>
        <v/>
      </c>
      <c r="J2544" s="91" t="str">
        <f t="shared" si="200"/>
        <v/>
      </c>
      <c r="K2544" s="92" t="str">
        <f>IF(AND(A2544="",B2544="",D2544="",G2544=""),"",IF(AND(A2544&lt;&gt;"",COUNTIF($A$2:$A$5001,A2544)&gt;1),"NUMERO_PC duplicado",IF(B2544="","DATA_PC vazia",IF(NOT(ISNUMBER(B2544)),"DATA_PC invalida",IF(OR(C2544="",C2544="Fora dos ciclos"),"CICLO_PC nao identificado",IF(OR(D2544="",D2544=0),"VALOR_PC vazio ou zero",IF(AND(G2544&lt;&gt;"Sim",G2544&lt;&gt;"Nao",G2544&lt;&gt;""),"PC_PAGO_A_CONTRATADA invalido",IF(AND(C2544&lt;&gt;"C0",IFERROR(INDEX(parametros!$A$2:$A$6,MATCH(C2544,parametros!$B$2:$B$6,0)),"")="Sim",IFERROR(INDEX(parametros!$H$2:$H$6,MATCH(C2544,parametros!$B$2:$B$6,0)),"")=""),"INICIO_EFEITO ausente: PC "&amp;A2544&amp;" - "&amp;C2544,IF(L2544="","EFEITO_PC nao calculado: PC "&amp;A2544&amp;" - "&amp;C2544,"OK")))))))))</f>
        <v/>
      </c>
      <c r="L2544" s="92" t="str">
        <f>IF(AND(A2544="",B2544="",D2544="",G2544=""),"",IF(OR(B2544="",NOT(ISNUMBER(B2544)),C2544="",C2544="Fora dos ciclos"),"",IF(C2544="C0","Nao",IF(IFERROR(INDEX(parametros!$A$2:$A$6,MATCH(C2544,parametros!$B$2:$B$6,0)),"")&lt;&gt;"Sim","Nao",IF(IFERROR(INDEX(parametros!$H$2:$H$6,MATCH(C2544,parametros!$B$2:$B$6,0)),"")="","",IF(B2544&gt;=IFERROR(INDEX(parametros!$H$2:$H$6,MATCH(C2544,parametros!$B$2:$B$6,0)),""),"Sim","Nao"))))))</f>
        <v/>
      </c>
      <c r="T2544" s="156"/>
      <c r="U2544" s="214" t="str">
        <f t="shared" si="201"/>
        <v/>
      </c>
      <c r="V2544" s="212" t="s">
        <v>50</v>
      </c>
      <c r="W2544" s="100" t="s">
        <v>168</v>
      </c>
      <c r="X2544" s="100" t="s">
        <v>169</v>
      </c>
      <c r="Y2544" s="101" t="s">
        <v>170</v>
      </c>
      <c r="Z2544" s="101" t="s">
        <v>171</v>
      </c>
      <c r="AA2544" s="101" t="s">
        <v>50</v>
      </c>
      <c r="AB2544" s="101" t="s">
        <v>172</v>
      </c>
      <c r="AC2544" s="102" t="s">
        <v>173</v>
      </c>
    </row>
    <row r="2545" spans="1:29" ht="25.5" customHeight="1" x14ac:dyDescent="0.35">
      <c r="A2545" s="392"/>
      <c r="B2545" s="393"/>
      <c r="C2545" s="99" t="str">
        <f>IF(B2545="","",IF(NOT(ISNUMBER(B2545)),"DATA_PC invalida",IF(NOT(ISNUMBER(parametros!$C$2)),"Fora dos ciclos",IF(OR(B2545&lt;parametros!$C$2,(YEAR(B2545)-YEAR(parametros!$C$2))*12+MONTH(B2545)-MONTH(parametros!$C$2)&gt;59),"Fora dos ciclos","C"&amp;INT(((YEAR(B2545)-YEAR(parametros!$C$2))*12+MONTH(B2545)-MONTH(parametros!$C$2))/12)))))</f>
        <v/>
      </c>
      <c r="D2545" s="394"/>
      <c r="E2545" s="78" t="str">
        <f>IF(C2545="","",IFERROR(VLOOKUP(C2545,parametros!$A$11:$E$15,5,0),""))</f>
        <v/>
      </c>
      <c r="F2545" s="79" t="str">
        <f t="shared" si="197"/>
        <v/>
      </c>
      <c r="G2545" s="395"/>
      <c r="H2545" s="91">
        <f t="shared" si="198"/>
        <v>0</v>
      </c>
      <c r="I2545" s="91" t="str">
        <f t="shared" si="199"/>
        <v/>
      </c>
      <c r="J2545" s="91" t="str">
        <f t="shared" si="200"/>
        <v/>
      </c>
      <c r="K2545" s="92" t="str">
        <f>IF(AND(A2545="",B2545="",D2545="",G2545=""),"",IF(AND(A2545&lt;&gt;"",COUNTIF($A$2:$A$5001,A2545)&gt;1),"NUMERO_PC duplicado",IF(B2545="","DATA_PC vazia",IF(NOT(ISNUMBER(B2545)),"DATA_PC invalida",IF(OR(C2545="",C2545="Fora dos ciclos"),"CICLO_PC nao identificado",IF(OR(D2545="",D2545=0),"VALOR_PC vazio ou zero",IF(AND(G2545&lt;&gt;"Sim",G2545&lt;&gt;"Nao",G2545&lt;&gt;""),"PC_PAGO_A_CONTRATADA invalido",IF(AND(C2545&lt;&gt;"C0",IFERROR(INDEX(parametros!$A$2:$A$6,MATCH(C2545,parametros!$B$2:$B$6,0)),"")="Sim",IFERROR(INDEX(parametros!$H$2:$H$6,MATCH(C2545,parametros!$B$2:$B$6,0)),"")=""),"INICIO_EFEITO ausente: PC "&amp;A2545&amp;" - "&amp;C2545,IF(L2545="","EFEITO_PC nao calculado: PC "&amp;A2545&amp;" - "&amp;C2545,"OK")))))))))</f>
        <v/>
      </c>
      <c r="L2545" s="92" t="str">
        <f>IF(AND(A2545="",B2545="",D2545="",G2545=""),"",IF(OR(B2545="",NOT(ISNUMBER(B2545)),C2545="",C2545="Fora dos ciclos"),"",IF(C2545="C0","Nao",IF(IFERROR(INDEX(parametros!$A$2:$A$6,MATCH(C2545,parametros!$B$2:$B$6,0)),"")&lt;&gt;"Sim","Nao",IF(IFERROR(INDEX(parametros!$H$2:$H$6,MATCH(C2545,parametros!$B$2:$B$6,0)),"")="","",IF(B2545&gt;=IFERROR(INDEX(parametros!$H$2:$H$6,MATCH(C2545,parametros!$B$2:$B$6,0)),""),"Sim","Nao"))))))</f>
        <v/>
      </c>
      <c r="T2545" s="156"/>
      <c r="U2545" s="214" t="str">
        <f t="shared" si="201"/>
        <v/>
      </c>
      <c r="V2545" s="212" t="s">
        <v>50</v>
      </c>
      <c r="W2545" s="100" t="s">
        <v>168</v>
      </c>
      <c r="X2545" s="100" t="s">
        <v>169</v>
      </c>
      <c r="Y2545" s="101" t="s">
        <v>170</v>
      </c>
      <c r="Z2545" s="101" t="s">
        <v>171</v>
      </c>
      <c r="AA2545" s="101" t="s">
        <v>50</v>
      </c>
      <c r="AB2545" s="101" t="s">
        <v>172</v>
      </c>
      <c r="AC2545" s="102" t="s">
        <v>173</v>
      </c>
    </row>
    <row r="2546" spans="1:29" ht="25.5" customHeight="1" x14ac:dyDescent="0.35">
      <c r="A2546" s="392"/>
      <c r="B2546" s="393"/>
      <c r="C2546" s="99" t="str">
        <f>IF(B2546="","",IF(NOT(ISNUMBER(B2546)),"DATA_PC invalida",IF(NOT(ISNUMBER(parametros!$C$2)),"Fora dos ciclos",IF(OR(B2546&lt;parametros!$C$2,(YEAR(B2546)-YEAR(parametros!$C$2))*12+MONTH(B2546)-MONTH(parametros!$C$2)&gt;59),"Fora dos ciclos","C"&amp;INT(((YEAR(B2546)-YEAR(parametros!$C$2))*12+MONTH(B2546)-MONTH(parametros!$C$2))/12)))))</f>
        <v/>
      </c>
      <c r="D2546" s="394"/>
      <c r="E2546" s="78" t="str">
        <f>IF(C2546="","",IFERROR(VLOOKUP(C2546,parametros!$A$11:$E$15,5,0),""))</f>
        <v/>
      </c>
      <c r="F2546" s="79" t="str">
        <f t="shared" si="197"/>
        <v/>
      </c>
      <c r="G2546" s="395"/>
      <c r="H2546" s="91">
        <f t="shared" si="198"/>
        <v>0</v>
      </c>
      <c r="I2546" s="91" t="str">
        <f t="shared" si="199"/>
        <v/>
      </c>
      <c r="J2546" s="91" t="str">
        <f t="shared" si="200"/>
        <v/>
      </c>
      <c r="K2546" s="92" t="str">
        <f>IF(AND(A2546="",B2546="",D2546="",G2546=""),"",IF(AND(A2546&lt;&gt;"",COUNTIF($A$2:$A$5001,A2546)&gt;1),"NUMERO_PC duplicado",IF(B2546="","DATA_PC vazia",IF(NOT(ISNUMBER(B2546)),"DATA_PC invalida",IF(OR(C2546="",C2546="Fora dos ciclos"),"CICLO_PC nao identificado",IF(OR(D2546="",D2546=0),"VALOR_PC vazio ou zero",IF(AND(G2546&lt;&gt;"Sim",G2546&lt;&gt;"Nao",G2546&lt;&gt;""),"PC_PAGO_A_CONTRATADA invalido",IF(AND(C2546&lt;&gt;"C0",IFERROR(INDEX(parametros!$A$2:$A$6,MATCH(C2546,parametros!$B$2:$B$6,0)),"")="Sim",IFERROR(INDEX(parametros!$H$2:$H$6,MATCH(C2546,parametros!$B$2:$B$6,0)),"")=""),"INICIO_EFEITO ausente: PC "&amp;A2546&amp;" - "&amp;C2546,IF(L2546="","EFEITO_PC nao calculado: PC "&amp;A2546&amp;" - "&amp;C2546,"OK")))))))))</f>
        <v/>
      </c>
      <c r="L2546" s="92" t="str">
        <f>IF(AND(A2546="",B2546="",D2546="",G2546=""),"",IF(OR(B2546="",NOT(ISNUMBER(B2546)),C2546="",C2546="Fora dos ciclos"),"",IF(C2546="C0","Nao",IF(IFERROR(INDEX(parametros!$A$2:$A$6,MATCH(C2546,parametros!$B$2:$B$6,0)),"")&lt;&gt;"Sim","Nao",IF(IFERROR(INDEX(parametros!$H$2:$H$6,MATCH(C2546,parametros!$B$2:$B$6,0)),"")="","",IF(B2546&gt;=IFERROR(INDEX(parametros!$H$2:$H$6,MATCH(C2546,parametros!$B$2:$B$6,0)),""),"Sim","Nao"))))))</f>
        <v/>
      </c>
      <c r="T2546" s="156"/>
      <c r="U2546" s="214" t="str">
        <f t="shared" si="201"/>
        <v/>
      </c>
      <c r="V2546" s="212" t="s">
        <v>50</v>
      </c>
      <c r="W2546" s="100" t="s">
        <v>168</v>
      </c>
      <c r="X2546" s="100" t="s">
        <v>169</v>
      </c>
      <c r="Y2546" s="101" t="s">
        <v>170</v>
      </c>
      <c r="Z2546" s="101" t="s">
        <v>171</v>
      </c>
      <c r="AA2546" s="101" t="s">
        <v>50</v>
      </c>
      <c r="AB2546" s="101" t="s">
        <v>172</v>
      </c>
      <c r="AC2546" s="102" t="s">
        <v>173</v>
      </c>
    </row>
    <row r="2547" spans="1:29" ht="25.5" customHeight="1" x14ac:dyDescent="0.35">
      <c r="A2547" s="392"/>
      <c r="B2547" s="393"/>
      <c r="C2547" s="99" t="str">
        <f>IF(B2547="","",IF(NOT(ISNUMBER(B2547)),"DATA_PC invalida",IF(NOT(ISNUMBER(parametros!$C$2)),"Fora dos ciclos",IF(OR(B2547&lt;parametros!$C$2,(YEAR(B2547)-YEAR(parametros!$C$2))*12+MONTH(B2547)-MONTH(parametros!$C$2)&gt;59),"Fora dos ciclos","C"&amp;INT(((YEAR(B2547)-YEAR(parametros!$C$2))*12+MONTH(B2547)-MONTH(parametros!$C$2))/12)))))</f>
        <v/>
      </c>
      <c r="D2547" s="394"/>
      <c r="E2547" s="78" t="str">
        <f>IF(C2547="","",IFERROR(VLOOKUP(C2547,parametros!$A$11:$E$15,5,0),""))</f>
        <v/>
      </c>
      <c r="F2547" s="79" t="str">
        <f t="shared" si="197"/>
        <v/>
      </c>
      <c r="G2547" s="395"/>
      <c r="H2547" s="91">
        <f t="shared" si="198"/>
        <v>0</v>
      </c>
      <c r="I2547" s="91" t="str">
        <f t="shared" si="199"/>
        <v/>
      </c>
      <c r="J2547" s="91" t="str">
        <f t="shared" si="200"/>
        <v/>
      </c>
      <c r="K2547" s="92" t="str">
        <f>IF(AND(A2547="",B2547="",D2547="",G2547=""),"",IF(AND(A2547&lt;&gt;"",COUNTIF($A$2:$A$5001,A2547)&gt;1),"NUMERO_PC duplicado",IF(B2547="","DATA_PC vazia",IF(NOT(ISNUMBER(B2547)),"DATA_PC invalida",IF(OR(C2547="",C2547="Fora dos ciclos"),"CICLO_PC nao identificado",IF(OR(D2547="",D2547=0),"VALOR_PC vazio ou zero",IF(AND(G2547&lt;&gt;"Sim",G2547&lt;&gt;"Nao",G2547&lt;&gt;""),"PC_PAGO_A_CONTRATADA invalido",IF(AND(C2547&lt;&gt;"C0",IFERROR(INDEX(parametros!$A$2:$A$6,MATCH(C2547,parametros!$B$2:$B$6,0)),"")="Sim",IFERROR(INDEX(parametros!$H$2:$H$6,MATCH(C2547,parametros!$B$2:$B$6,0)),"")=""),"INICIO_EFEITO ausente: PC "&amp;A2547&amp;" - "&amp;C2547,IF(L2547="","EFEITO_PC nao calculado: PC "&amp;A2547&amp;" - "&amp;C2547,"OK")))))))))</f>
        <v/>
      </c>
      <c r="L2547" s="92" t="str">
        <f>IF(AND(A2547="",B2547="",D2547="",G2547=""),"",IF(OR(B2547="",NOT(ISNUMBER(B2547)),C2547="",C2547="Fora dos ciclos"),"",IF(C2547="C0","Nao",IF(IFERROR(INDEX(parametros!$A$2:$A$6,MATCH(C2547,parametros!$B$2:$B$6,0)),"")&lt;&gt;"Sim","Nao",IF(IFERROR(INDEX(parametros!$H$2:$H$6,MATCH(C2547,parametros!$B$2:$B$6,0)),"")="","",IF(B2547&gt;=IFERROR(INDEX(parametros!$H$2:$H$6,MATCH(C2547,parametros!$B$2:$B$6,0)),""),"Sim","Nao"))))))</f>
        <v/>
      </c>
      <c r="T2547" s="156"/>
      <c r="U2547" s="214" t="str">
        <f t="shared" si="201"/>
        <v/>
      </c>
      <c r="V2547" s="212" t="s">
        <v>50</v>
      </c>
      <c r="W2547" s="100" t="s">
        <v>168</v>
      </c>
      <c r="X2547" s="100" t="s">
        <v>169</v>
      </c>
      <c r="Y2547" s="101" t="s">
        <v>170</v>
      </c>
      <c r="Z2547" s="101" t="s">
        <v>171</v>
      </c>
      <c r="AA2547" s="101" t="s">
        <v>50</v>
      </c>
      <c r="AB2547" s="101" t="s">
        <v>172</v>
      </c>
      <c r="AC2547" s="102" t="s">
        <v>173</v>
      </c>
    </row>
    <row r="2548" spans="1:29" ht="25.5" customHeight="1" x14ac:dyDescent="0.35">
      <c r="A2548" s="392"/>
      <c r="B2548" s="393"/>
      <c r="C2548" s="99" t="str">
        <f>IF(B2548="","",IF(NOT(ISNUMBER(B2548)),"DATA_PC invalida",IF(NOT(ISNUMBER(parametros!$C$2)),"Fora dos ciclos",IF(OR(B2548&lt;parametros!$C$2,(YEAR(B2548)-YEAR(parametros!$C$2))*12+MONTH(B2548)-MONTH(parametros!$C$2)&gt;59),"Fora dos ciclos","C"&amp;INT(((YEAR(B2548)-YEAR(parametros!$C$2))*12+MONTH(B2548)-MONTH(parametros!$C$2))/12)))))</f>
        <v/>
      </c>
      <c r="D2548" s="394"/>
      <c r="E2548" s="78" t="str">
        <f>IF(C2548="","",IFERROR(VLOOKUP(C2548,parametros!$A$11:$E$15,5,0),""))</f>
        <v/>
      </c>
      <c r="F2548" s="79" t="str">
        <f t="shared" si="197"/>
        <v/>
      </c>
      <c r="G2548" s="395"/>
      <c r="H2548" s="91">
        <f t="shared" si="198"/>
        <v>0</v>
      </c>
      <c r="I2548" s="91" t="str">
        <f t="shared" si="199"/>
        <v/>
      </c>
      <c r="J2548" s="91" t="str">
        <f t="shared" si="200"/>
        <v/>
      </c>
      <c r="K2548" s="92" t="str">
        <f>IF(AND(A2548="",B2548="",D2548="",G2548=""),"",IF(AND(A2548&lt;&gt;"",COUNTIF($A$2:$A$5001,A2548)&gt;1),"NUMERO_PC duplicado",IF(B2548="","DATA_PC vazia",IF(NOT(ISNUMBER(B2548)),"DATA_PC invalida",IF(OR(C2548="",C2548="Fora dos ciclos"),"CICLO_PC nao identificado",IF(OR(D2548="",D2548=0),"VALOR_PC vazio ou zero",IF(AND(G2548&lt;&gt;"Sim",G2548&lt;&gt;"Nao",G2548&lt;&gt;""),"PC_PAGO_A_CONTRATADA invalido",IF(AND(C2548&lt;&gt;"C0",IFERROR(INDEX(parametros!$A$2:$A$6,MATCH(C2548,parametros!$B$2:$B$6,0)),"")="Sim",IFERROR(INDEX(parametros!$H$2:$H$6,MATCH(C2548,parametros!$B$2:$B$6,0)),"")=""),"INICIO_EFEITO ausente: PC "&amp;A2548&amp;" - "&amp;C2548,IF(L2548="","EFEITO_PC nao calculado: PC "&amp;A2548&amp;" - "&amp;C2548,"OK")))))))))</f>
        <v/>
      </c>
      <c r="L2548" s="92" t="str">
        <f>IF(AND(A2548="",B2548="",D2548="",G2548=""),"",IF(OR(B2548="",NOT(ISNUMBER(B2548)),C2548="",C2548="Fora dos ciclos"),"",IF(C2548="C0","Nao",IF(IFERROR(INDEX(parametros!$A$2:$A$6,MATCH(C2548,parametros!$B$2:$B$6,0)),"")&lt;&gt;"Sim","Nao",IF(IFERROR(INDEX(parametros!$H$2:$H$6,MATCH(C2548,parametros!$B$2:$B$6,0)),"")="","",IF(B2548&gt;=IFERROR(INDEX(parametros!$H$2:$H$6,MATCH(C2548,parametros!$B$2:$B$6,0)),""),"Sim","Nao"))))))</f>
        <v/>
      </c>
      <c r="T2548" s="156"/>
      <c r="U2548" s="214" t="str">
        <f t="shared" si="201"/>
        <v/>
      </c>
      <c r="V2548" s="212" t="s">
        <v>50</v>
      </c>
      <c r="W2548" s="100" t="s">
        <v>168</v>
      </c>
      <c r="X2548" s="100" t="s">
        <v>169</v>
      </c>
      <c r="Y2548" s="101" t="s">
        <v>170</v>
      </c>
      <c r="Z2548" s="101" t="s">
        <v>171</v>
      </c>
      <c r="AA2548" s="101" t="s">
        <v>50</v>
      </c>
      <c r="AB2548" s="101" t="s">
        <v>172</v>
      </c>
      <c r="AC2548" s="102" t="s">
        <v>173</v>
      </c>
    </row>
    <row r="2549" spans="1:29" ht="25.5" customHeight="1" x14ac:dyDescent="0.35">
      <c r="A2549" s="392"/>
      <c r="B2549" s="393"/>
      <c r="C2549" s="99" t="str">
        <f>IF(B2549="","",IF(NOT(ISNUMBER(B2549)),"DATA_PC invalida",IF(NOT(ISNUMBER(parametros!$C$2)),"Fora dos ciclos",IF(OR(B2549&lt;parametros!$C$2,(YEAR(B2549)-YEAR(parametros!$C$2))*12+MONTH(B2549)-MONTH(parametros!$C$2)&gt;59),"Fora dos ciclos","C"&amp;INT(((YEAR(B2549)-YEAR(parametros!$C$2))*12+MONTH(B2549)-MONTH(parametros!$C$2))/12)))))</f>
        <v/>
      </c>
      <c r="D2549" s="394"/>
      <c r="E2549" s="78" t="str">
        <f>IF(C2549="","",IFERROR(VLOOKUP(C2549,parametros!$A$11:$E$15,5,0),""))</f>
        <v/>
      </c>
      <c r="F2549" s="79" t="str">
        <f t="shared" si="197"/>
        <v/>
      </c>
      <c r="G2549" s="395"/>
      <c r="H2549" s="91">
        <f t="shared" si="198"/>
        <v>0</v>
      </c>
      <c r="I2549" s="91" t="str">
        <f t="shared" si="199"/>
        <v/>
      </c>
      <c r="J2549" s="91" t="str">
        <f t="shared" si="200"/>
        <v/>
      </c>
      <c r="K2549" s="92" t="str">
        <f>IF(AND(A2549="",B2549="",D2549="",G2549=""),"",IF(AND(A2549&lt;&gt;"",COUNTIF($A$2:$A$5001,A2549)&gt;1),"NUMERO_PC duplicado",IF(B2549="","DATA_PC vazia",IF(NOT(ISNUMBER(B2549)),"DATA_PC invalida",IF(OR(C2549="",C2549="Fora dos ciclos"),"CICLO_PC nao identificado",IF(OR(D2549="",D2549=0),"VALOR_PC vazio ou zero",IF(AND(G2549&lt;&gt;"Sim",G2549&lt;&gt;"Nao",G2549&lt;&gt;""),"PC_PAGO_A_CONTRATADA invalido",IF(AND(C2549&lt;&gt;"C0",IFERROR(INDEX(parametros!$A$2:$A$6,MATCH(C2549,parametros!$B$2:$B$6,0)),"")="Sim",IFERROR(INDEX(parametros!$H$2:$H$6,MATCH(C2549,parametros!$B$2:$B$6,0)),"")=""),"INICIO_EFEITO ausente: PC "&amp;A2549&amp;" - "&amp;C2549,IF(L2549="","EFEITO_PC nao calculado: PC "&amp;A2549&amp;" - "&amp;C2549,"OK")))))))))</f>
        <v/>
      </c>
      <c r="L2549" s="92" t="str">
        <f>IF(AND(A2549="",B2549="",D2549="",G2549=""),"",IF(OR(B2549="",NOT(ISNUMBER(B2549)),C2549="",C2549="Fora dos ciclos"),"",IF(C2549="C0","Nao",IF(IFERROR(INDEX(parametros!$A$2:$A$6,MATCH(C2549,parametros!$B$2:$B$6,0)),"")&lt;&gt;"Sim","Nao",IF(IFERROR(INDEX(parametros!$H$2:$H$6,MATCH(C2549,parametros!$B$2:$B$6,0)),"")="","",IF(B2549&gt;=IFERROR(INDEX(parametros!$H$2:$H$6,MATCH(C2549,parametros!$B$2:$B$6,0)),""),"Sim","Nao"))))))</f>
        <v/>
      </c>
      <c r="T2549" s="156"/>
      <c r="U2549" s="214" t="str">
        <f t="shared" si="201"/>
        <v/>
      </c>
      <c r="V2549" s="212" t="s">
        <v>50</v>
      </c>
      <c r="W2549" s="100" t="s">
        <v>168</v>
      </c>
      <c r="X2549" s="100" t="s">
        <v>169</v>
      </c>
      <c r="Y2549" s="101" t="s">
        <v>170</v>
      </c>
      <c r="Z2549" s="101" t="s">
        <v>171</v>
      </c>
      <c r="AA2549" s="101" t="s">
        <v>50</v>
      </c>
      <c r="AB2549" s="101" t="s">
        <v>172</v>
      </c>
      <c r="AC2549" s="102" t="s">
        <v>173</v>
      </c>
    </row>
    <row r="2550" spans="1:29" ht="25.5" customHeight="1" x14ac:dyDescent="0.35">
      <c r="A2550" s="392"/>
      <c r="B2550" s="393"/>
      <c r="C2550" s="99" t="str">
        <f>IF(B2550="","",IF(NOT(ISNUMBER(B2550)),"DATA_PC invalida",IF(NOT(ISNUMBER(parametros!$C$2)),"Fora dos ciclos",IF(OR(B2550&lt;parametros!$C$2,(YEAR(B2550)-YEAR(parametros!$C$2))*12+MONTH(B2550)-MONTH(parametros!$C$2)&gt;59),"Fora dos ciclos","C"&amp;INT(((YEAR(B2550)-YEAR(parametros!$C$2))*12+MONTH(B2550)-MONTH(parametros!$C$2))/12)))))</f>
        <v/>
      </c>
      <c r="D2550" s="394"/>
      <c r="E2550" s="78" t="str">
        <f>IF(C2550="","",IFERROR(VLOOKUP(C2550,parametros!$A$11:$E$15,5,0),""))</f>
        <v/>
      </c>
      <c r="F2550" s="79" t="str">
        <f t="shared" si="197"/>
        <v/>
      </c>
      <c r="G2550" s="395"/>
      <c r="H2550" s="91">
        <f t="shared" si="198"/>
        <v>0</v>
      </c>
      <c r="I2550" s="91" t="str">
        <f t="shared" si="199"/>
        <v/>
      </c>
      <c r="J2550" s="91" t="str">
        <f t="shared" si="200"/>
        <v/>
      </c>
      <c r="K2550" s="92" t="str">
        <f>IF(AND(A2550="",B2550="",D2550="",G2550=""),"",IF(AND(A2550&lt;&gt;"",COUNTIF($A$2:$A$5001,A2550)&gt;1),"NUMERO_PC duplicado",IF(B2550="","DATA_PC vazia",IF(NOT(ISNUMBER(B2550)),"DATA_PC invalida",IF(OR(C2550="",C2550="Fora dos ciclos"),"CICLO_PC nao identificado",IF(OR(D2550="",D2550=0),"VALOR_PC vazio ou zero",IF(AND(G2550&lt;&gt;"Sim",G2550&lt;&gt;"Nao",G2550&lt;&gt;""),"PC_PAGO_A_CONTRATADA invalido",IF(AND(C2550&lt;&gt;"C0",IFERROR(INDEX(parametros!$A$2:$A$6,MATCH(C2550,parametros!$B$2:$B$6,0)),"")="Sim",IFERROR(INDEX(parametros!$H$2:$H$6,MATCH(C2550,parametros!$B$2:$B$6,0)),"")=""),"INICIO_EFEITO ausente: PC "&amp;A2550&amp;" - "&amp;C2550,IF(L2550="","EFEITO_PC nao calculado: PC "&amp;A2550&amp;" - "&amp;C2550,"OK")))))))))</f>
        <v/>
      </c>
      <c r="L2550" s="92" t="str">
        <f>IF(AND(A2550="",B2550="",D2550="",G2550=""),"",IF(OR(B2550="",NOT(ISNUMBER(B2550)),C2550="",C2550="Fora dos ciclos"),"",IF(C2550="C0","Nao",IF(IFERROR(INDEX(parametros!$A$2:$A$6,MATCH(C2550,parametros!$B$2:$B$6,0)),"")&lt;&gt;"Sim","Nao",IF(IFERROR(INDEX(parametros!$H$2:$H$6,MATCH(C2550,parametros!$B$2:$B$6,0)),"")="","",IF(B2550&gt;=IFERROR(INDEX(parametros!$H$2:$H$6,MATCH(C2550,parametros!$B$2:$B$6,0)),""),"Sim","Nao"))))))</f>
        <v/>
      </c>
      <c r="T2550" s="156"/>
      <c r="U2550" s="214" t="str">
        <f t="shared" si="201"/>
        <v/>
      </c>
      <c r="V2550" s="212" t="s">
        <v>50</v>
      </c>
      <c r="W2550" s="100" t="s">
        <v>168</v>
      </c>
      <c r="X2550" s="100" t="s">
        <v>169</v>
      </c>
      <c r="Y2550" s="101" t="s">
        <v>170</v>
      </c>
      <c r="Z2550" s="101" t="s">
        <v>171</v>
      </c>
      <c r="AA2550" s="101" t="s">
        <v>50</v>
      </c>
      <c r="AB2550" s="101" t="s">
        <v>172</v>
      </c>
      <c r="AC2550" s="102" t="s">
        <v>173</v>
      </c>
    </row>
    <row r="2551" spans="1:29" ht="25.5" customHeight="1" x14ac:dyDescent="0.35">
      <c r="A2551" s="392"/>
      <c r="B2551" s="393"/>
      <c r="C2551" s="99" t="str">
        <f>IF(B2551="","",IF(NOT(ISNUMBER(B2551)),"DATA_PC invalida",IF(NOT(ISNUMBER(parametros!$C$2)),"Fora dos ciclos",IF(OR(B2551&lt;parametros!$C$2,(YEAR(B2551)-YEAR(parametros!$C$2))*12+MONTH(B2551)-MONTH(parametros!$C$2)&gt;59),"Fora dos ciclos","C"&amp;INT(((YEAR(B2551)-YEAR(parametros!$C$2))*12+MONTH(B2551)-MONTH(parametros!$C$2))/12)))))</f>
        <v/>
      </c>
      <c r="D2551" s="394"/>
      <c r="E2551" s="78" t="str">
        <f>IF(C2551="","",IFERROR(VLOOKUP(C2551,parametros!$A$11:$E$15,5,0),""))</f>
        <v/>
      </c>
      <c r="F2551" s="79" t="str">
        <f t="shared" si="197"/>
        <v/>
      </c>
      <c r="G2551" s="395"/>
      <c r="H2551" s="91">
        <f t="shared" si="198"/>
        <v>0</v>
      </c>
      <c r="I2551" s="91" t="str">
        <f t="shared" si="199"/>
        <v/>
      </c>
      <c r="J2551" s="91" t="str">
        <f t="shared" si="200"/>
        <v/>
      </c>
      <c r="K2551" s="92" t="str">
        <f>IF(AND(A2551="",B2551="",D2551="",G2551=""),"",IF(AND(A2551&lt;&gt;"",COUNTIF($A$2:$A$5001,A2551)&gt;1),"NUMERO_PC duplicado",IF(B2551="","DATA_PC vazia",IF(NOT(ISNUMBER(B2551)),"DATA_PC invalida",IF(OR(C2551="",C2551="Fora dos ciclos"),"CICLO_PC nao identificado",IF(OR(D2551="",D2551=0),"VALOR_PC vazio ou zero",IF(AND(G2551&lt;&gt;"Sim",G2551&lt;&gt;"Nao",G2551&lt;&gt;""),"PC_PAGO_A_CONTRATADA invalido",IF(AND(C2551&lt;&gt;"C0",IFERROR(INDEX(parametros!$A$2:$A$6,MATCH(C2551,parametros!$B$2:$B$6,0)),"")="Sim",IFERROR(INDEX(parametros!$H$2:$H$6,MATCH(C2551,parametros!$B$2:$B$6,0)),"")=""),"INICIO_EFEITO ausente: PC "&amp;A2551&amp;" - "&amp;C2551,IF(L2551="","EFEITO_PC nao calculado: PC "&amp;A2551&amp;" - "&amp;C2551,"OK")))))))))</f>
        <v/>
      </c>
      <c r="L2551" s="92" t="str">
        <f>IF(AND(A2551="",B2551="",D2551="",G2551=""),"",IF(OR(B2551="",NOT(ISNUMBER(B2551)),C2551="",C2551="Fora dos ciclos"),"",IF(C2551="C0","Nao",IF(IFERROR(INDEX(parametros!$A$2:$A$6,MATCH(C2551,parametros!$B$2:$B$6,0)),"")&lt;&gt;"Sim","Nao",IF(IFERROR(INDEX(parametros!$H$2:$H$6,MATCH(C2551,parametros!$B$2:$B$6,0)),"")="","",IF(B2551&gt;=IFERROR(INDEX(parametros!$H$2:$H$6,MATCH(C2551,parametros!$B$2:$B$6,0)),""),"Sim","Nao"))))))</f>
        <v/>
      </c>
      <c r="T2551" s="156"/>
      <c r="U2551" s="214" t="str">
        <f t="shared" si="201"/>
        <v/>
      </c>
      <c r="V2551" s="212" t="s">
        <v>50</v>
      </c>
      <c r="W2551" s="100" t="s">
        <v>168</v>
      </c>
      <c r="X2551" s="100" t="s">
        <v>169</v>
      </c>
      <c r="Y2551" s="101" t="s">
        <v>170</v>
      </c>
      <c r="Z2551" s="101" t="s">
        <v>171</v>
      </c>
      <c r="AA2551" s="101" t="s">
        <v>50</v>
      </c>
      <c r="AB2551" s="101" t="s">
        <v>172</v>
      </c>
      <c r="AC2551" s="102" t="s">
        <v>173</v>
      </c>
    </row>
    <row r="2552" spans="1:29" ht="25.5" customHeight="1" x14ac:dyDescent="0.35">
      <c r="A2552" s="392"/>
      <c r="B2552" s="393"/>
      <c r="C2552" s="99" t="str">
        <f>IF(B2552="","",IF(NOT(ISNUMBER(B2552)),"DATA_PC invalida",IF(NOT(ISNUMBER(parametros!$C$2)),"Fora dos ciclos",IF(OR(B2552&lt;parametros!$C$2,(YEAR(B2552)-YEAR(parametros!$C$2))*12+MONTH(B2552)-MONTH(parametros!$C$2)&gt;59),"Fora dos ciclos","C"&amp;INT(((YEAR(B2552)-YEAR(parametros!$C$2))*12+MONTH(B2552)-MONTH(parametros!$C$2))/12)))))</f>
        <v/>
      </c>
      <c r="D2552" s="394"/>
      <c r="E2552" s="78" t="str">
        <f>IF(C2552="","",IFERROR(VLOOKUP(C2552,parametros!$A$11:$E$15,5,0),""))</f>
        <v/>
      </c>
      <c r="F2552" s="79" t="str">
        <f t="shared" si="197"/>
        <v/>
      </c>
      <c r="G2552" s="395"/>
      <c r="H2552" s="91">
        <f t="shared" si="198"/>
        <v>0</v>
      </c>
      <c r="I2552" s="91" t="str">
        <f t="shared" si="199"/>
        <v/>
      </c>
      <c r="J2552" s="91" t="str">
        <f t="shared" si="200"/>
        <v/>
      </c>
      <c r="K2552" s="92" t="str">
        <f>IF(AND(A2552="",B2552="",D2552="",G2552=""),"",IF(AND(A2552&lt;&gt;"",COUNTIF($A$2:$A$5001,A2552)&gt;1),"NUMERO_PC duplicado",IF(B2552="","DATA_PC vazia",IF(NOT(ISNUMBER(B2552)),"DATA_PC invalida",IF(OR(C2552="",C2552="Fora dos ciclos"),"CICLO_PC nao identificado",IF(OR(D2552="",D2552=0),"VALOR_PC vazio ou zero",IF(AND(G2552&lt;&gt;"Sim",G2552&lt;&gt;"Nao",G2552&lt;&gt;""),"PC_PAGO_A_CONTRATADA invalido",IF(AND(C2552&lt;&gt;"C0",IFERROR(INDEX(parametros!$A$2:$A$6,MATCH(C2552,parametros!$B$2:$B$6,0)),"")="Sim",IFERROR(INDEX(parametros!$H$2:$H$6,MATCH(C2552,parametros!$B$2:$B$6,0)),"")=""),"INICIO_EFEITO ausente: PC "&amp;A2552&amp;" - "&amp;C2552,IF(L2552="","EFEITO_PC nao calculado: PC "&amp;A2552&amp;" - "&amp;C2552,"OK")))))))))</f>
        <v/>
      </c>
      <c r="L2552" s="92" t="str">
        <f>IF(AND(A2552="",B2552="",D2552="",G2552=""),"",IF(OR(B2552="",NOT(ISNUMBER(B2552)),C2552="",C2552="Fora dos ciclos"),"",IF(C2552="C0","Nao",IF(IFERROR(INDEX(parametros!$A$2:$A$6,MATCH(C2552,parametros!$B$2:$B$6,0)),"")&lt;&gt;"Sim","Nao",IF(IFERROR(INDEX(parametros!$H$2:$H$6,MATCH(C2552,parametros!$B$2:$B$6,0)),"")="","",IF(B2552&gt;=IFERROR(INDEX(parametros!$H$2:$H$6,MATCH(C2552,parametros!$B$2:$B$6,0)),""),"Sim","Nao"))))))</f>
        <v/>
      </c>
      <c r="T2552" s="156"/>
      <c r="U2552" s="214" t="str">
        <f t="shared" si="201"/>
        <v/>
      </c>
      <c r="V2552" s="212" t="s">
        <v>50</v>
      </c>
      <c r="W2552" s="100" t="s">
        <v>168</v>
      </c>
      <c r="X2552" s="100" t="s">
        <v>169</v>
      </c>
      <c r="Y2552" s="101" t="s">
        <v>170</v>
      </c>
      <c r="Z2552" s="101" t="s">
        <v>171</v>
      </c>
      <c r="AA2552" s="101" t="s">
        <v>50</v>
      </c>
      <c r="AB2552" s="101" t="s">
        <v>172</v>
      </c>
      <c r="AC2552" s="102" t="s">
        <v>173</v>
      </c>
    </row>
    <row r="2553" spans="1:29" ht="25.5" customHeight="1" x14ac:dyDescent="0.35">
      <c r="A2553" s="392"/>
      <c r="B2553" s="393"/>
      <c r="C2553" s="99" t="str">
        <f>IF(B2553="","",IF(NOT(ISNUMBER(B2553)),"DATA_PC invalida",IF(NOT(ISNUMBER(parametros!$C$2)),"Fora dos ciclos",IF(OR(B2553&lt;parametros!$C$2,(YEAR(B2553)-YEAR(parametros!$C$2))*12+MONTH(B2553)-MONTH(parametros!$C$2)&gt;59),"Fora dos ciclos","C"&amp;INT(((YEAR(B2553)-YEAR(parametros!$C$2))*12+MONTH(B2553)-MONTH(parametros!$C$2))/12)))))</f>
        <v/>
      </c>
      <c r="D2553" s="394"/>
      <c r="E2553" s="78" t="str">
        <f>IF(C2553="","",IFERROR(VLOOKUP(C2553,parametros!$A$11:$E$15,5,0),""))</f>
        <v/>
      </c>
      <c r="F2553" s="79" t="str">
        <f t="shared" si="197"/>
        <v/>
      </c>
      <c r="G2553" s="395"/>
      <c r="H2553" s="91">
        <f t="shared" si="198"/>
        <v>0</v>
      </c>
      <c r="I2553" s="91" t="str">
        <f t="shared" si="199"/>
        <v/>
      </c>
      <c r="J2553" s="91" t="str">
        <f t="shared" si="200"/>
        <v/>
      </c>
      <c r="K2553" s="92" t="str">
        <f>IF(AND(A2553="",B2553="",D2553="",G2553=""),"",IF(AND(A2553&lt;&gt;"",COUNTIF($A$2:$A$5001,A2553)&gt;1),"NUMERO_PC duplicado",IF(B2553="","DATA_PC vazia",IF(NOT(ISNUMBER(B2553)),"DATA_PC invalida",IF(OR(C2553="",C2553="Fora dos ciclos"),"CICLO_PC nao identificado",IF(OR(D2553="",D2553=0),"VALOR_PC vazio ou zero",IF(AND(G2553&lt;&gt;"Sim",G2553&lt;&gt;"Nao",G2553&lt;&gt;""),"PC_PAGO_A_CONTRATADA invalido",IF(AND(C2553&lt;&gt;"C0",IFERROR(INDEX(parametros!$A$2:$A$6,MATCH(C2553,parametros!$B$2:$B$6,0)),"")="Sim",IFERROR(INDEX(parametros!$H$2:$H$6,MATCH(C2553,parametros!$B$2:$B$6,0)),"")=""),"INICIO_EFEITO ausente: PC "&amp;A2553&amp;" - "&amp;C2553,IF(L2553="","EFEITO_PC nao calculado: PC "&amp;A2553&amp;" - "&amp;C2553,"OK")))))))))</f>
        <v/>
      </c>
      <c r="L2553" s="92" t="str">
        <f>IF(AND(A2553="",B2553="",D2553="",G2553=""),"",IF(OR(B2553="",NOT(ISNUMBER(B2553)),C2553="",C2553="Fora dos ciclos"),"",IF(C2553="C0","Nao",IF(IFERROR(INDEX(parametros!$A$2:$A$6,MATCH(C2553,parametros!$B$2:$B$6,0)),"")&lt;&gt;"Sim","Nao",IF(IFERROR(INDEX(parametros!$H$2:$H$6,MATCH(C2553,parametros!$B$2:$B$6,0)),"")="","",IF(B2553&gt;=IFERROR(INDEX(parametros!$H$2:$H$6,MATCH(C2553,parametros!$B$2:$B$6,0)),""),"Sim","Nao"))))))</f>
        <v/>
      </c>
      <c r="T2553" s="156"/>
      <c r="U2553" s="214" t="str">
        <f t="shared" si="201"/>
        <v/>
      </c>
      <c r="V2553" s="212" t="s">
        <v>50</v>
      </c>
      <c r="W2553" s="100" t="s">
        <v>168</v>
      </c>
      <c r="X2553" s="100" t="s">
        <v>169</v>
      </c>
      <c r="Y2553" s="101" t="s">
        <v>170</v>
      </c>
      <c r="Z2553" s="101" t="s">
        <v>171</v>
      </c>
      <c r="AA2553" s="101" t="s">
        <v>50</v>
      </c>
      <c r="AB2553" s="101" t="s">
        <v>172</v>
      </c>
      <c r="AC2553" s="102" t="s">
        <v>173</v>
      </c>
    </row>
    <row r="2554" spans="1:29" ht="25.5" customHeight="1" x14ac:dyDescent="0.35">
      <c r="A2554" s="392"/>
      <c r="B2554" s="393"/>
      <c r="C2554" s="99" t="str">
        <f>IF(B2554="","",IF(NOT(ISNUMBER(B2554)),"DATA_PC invalida",IF(NOT(ISNUMBER(parametros!$C$2)),"Fora dos ciclos",IF(OR(B2554&lt;parametros!$C$2,(YEAR(B2554)-YEAR(parametros!$C$2))*12+MONTH(B2554)-MONTH(parametros!$C$2)&gt;59),"Fora dos ciclos","C"&amp;INT(((YEAR(B2554)-YEAR(parametros!$C$2))*12+MONTH(B2554)-MONTH(parametros!$C$2))/12)))))</f>
        <v/>
      </c>
      <c r="D2554" s="394"/>
      <c r="E2554" s="78" t="str">
        <f>IF(C2554="","",IFERROR(VLOOKUP(C2554,parametros!$A$11:$E$15,5,0),""))</f>
        <v/>
      </c>
      <c r="F2554" s="79" t="str">
        <f t="shared" si="197"/>
        <v/>
      </c>
      <c r="G2554" s="395"/>
      <c r="H2554" s="91">
        <f t="shared" si="198"/>
        <v>0</v>
      </c>
      <c r="I2554" s="91" t="str">
        <f t="shared" si="199"/>
        <v/>
      </c>
      <c r="J2554" s="91" t="str">
        <f t="shared" si="200"/>
        <v/>
      </c>
      <c r="K2554" s="92" t="str">
        <f>IF(AND(A2554="",B2554="",D2554="",G2554=""),"",IF(AND(A2554&lt;&gt;"",COUNTIF($A$2:$A$5001,A2554)&gt;1),"NUMERO_PC duplicado",IF(B2554="","DATA_PC vazia",IF(NOT(ISNUMBER(B2554)),"DATA_PC invalida",IF(OR(C2554="",C2554="Fora dos ciclos"),"CICLO_PC nao identificado",IF(OR(D2554="",D2554=0),"VALOR_PC vazio ou zero",IF(AND(G2554&lt;&gt;"Sim",G2554&lt;&gt;"Nao",G2554&lt;&gt;""),"PC_PAGO_A_CONTRATADA invalido",IF(AND(C2554&lt;&gt;"C0",IFERROR(INDEX(parametros!$A$2:$A$6,MATCH(C2554,parametros!$B$2:$B$6,0)),"")="Sim",IFERROR(INDEX(parametros!$H$2:$H$6,MATCH(C2554,parametros!$B$2:$B$6,0)),"")=""),"INICIO_EFEITO ausente: PC "&amp;A2554&amp;" - "&amp;C2554,IF(L2554="","EFEITO_PC nao calculado: PC "&amp;A2554&amp;" - "&amp;C2554,"OK")))))))))</f>
        <v/>
      </c>
      <c r="L2554" s="92" t="str">
        <f>IF(AND(A2554="",B2554="",D2554="",G2554=""),"",IF(OR(B2554="",NOT(ISNUMBER(B2554)),C2554="",C2554="Fora dos ciclos"),"",IF(C2554="C0","Nao",IF(IFERROR(INDEX(parametros!$A$2:$A$6,MATCH(C2554,parametros!$B$2:$B$6,0)),"")&lt;&gt;"Sim","Nao",IF(IFERROR(INDEX(parametros!$H$2:$H$6,MATCH(C2554,parametros!$B$2:$B$6,0)),"")="","",IF(B2554&gt;=IFERROR(INDEX(parametros!$H$2:$H$6,MATCH(C2554,parametros!$B$2:$B$6,0)),""),"Sim","Nao"))))))</f>
        <v/>
      </c>
      <c r="T2554" s="156"/>
      <c r="U2554" s="214" t="str">
        <f t="shared" si="201"/>
        <v/>
      </c>
      <c r="V2554" s="212" t="s">
        <v>50</v>
      </c>
      <c r="W2554" s="100" t="s">
        <v>168</v>
      </c>
      <c r="X2554" s="100" t="s">
        <v>169</v>
      </c>
      <c r="Y2554" s="101" t="s">
        <v>170</v>
      </c>
      <c r="Z2554" s="101" t="s">
        <v>171</v>
      </c>
      <c r="AA2554" s="101" t="s">
        <v>50</v>
      </c>
      <c r="AB2554" s="101" t="s">
        <v>172</v>
      </c>
      <c r="AC2554" s="102" t="s">
        <v>173</v>
      </c>
    </row>
    <row r="2555" spans="1:29" ht="25.5" customHeight="1" x14ac:dyDescent="0.35">
      <c r="A2555" s="392"/>
      <c r="B2555" s="393"/>
      <c r="C2555" s="99" t="str">
        <f>IF(B2555="","",IF(NOT(ISNUMBER(B2555)),"DATA_PC invalida",IF(NOT(ISNUMBER(parametros!$C$2)),"Fora dos ciclos",IF(OR(B2555&lt;parametros!$C$2,(YEAR(B2555)-YEAR(parametros!$C$2))*12+MONTH(B2555)-MONTH(parametros!$C$2)&gt;59),"Fora dos ciclos","C"&amp;INT(((YEAR(B2555)-YEAR(parametros!$C$2))*12+MONTH(B2555)-MONTH(parametros!$C$2))/12)))))</f>
        <v/>
      </c>
      <c r="D2555" s="394"/>
      <c r="E2555" s="78" t="str">
        <f>IF(C2555="","",IFERROR(VLOOKUP(C2555,parametros!$A$11:$E$15,5,0),""))</f>
        <v/>
      </c>
      <c r="F2555" s="79" t="str">
        <f t="shared" si="197"/>
        <v/>
      </c>
      <c r="G2555" s="395"/>
      <c r="H2555" s="91">
        <f t="shared" si="198"/>
        <v>0</v>
      </c>
      <c r="I2555" s="91" t="str">
        <f t="shared" si="199"/>
        <v/>
      </c>
      <c r="J2555" s="91" t="str">
        <f t="shared" si="200"/>
        <v/>
      </c>
      <c r="K2555" s="92" t="str">
        <f>IF(AND(A2555="",B2555="",D2555="",G2555=""),"",IF(AND(A2555&lt;&gt;"",COUNTIF($A$2:$A$5001,A2555)&gt;1),"NUMERO_PC duplicado",IF(B2555="","DATA_PC vazia",IF(NOT(ISNUMBER(B2555)),"DATA_PC invalida",IF(OR(C2555="",C2555="Fora dos ciclos"),"CICLO_PC nao identificado",IF(OR(D2555="",D2555=0),"VALOR_PC vazio ou zero",IF(AND(G2555&lt;&gt;"Sim",G2555&lt;&gt;"Nao",G2555&lt;&gt;""),"PC_PAGO_A_CONTRATADA invalido",IF(AND(C2555&lt;&gt;"C0",IFERROR(INDEX(parametros!$A$2:$A$6,MATCH(C2555,parametros!$B$2:$B$6,0)),"")="Sim",IFERROR(INDEX(parametros!$H$2:$H$6,MATCH(C2555,parametros!$B$2:$B$6,0)),"")=""),"INICIO_EFEITO ausente: PC "&amp;A2555&amp;" - "&amp;C2555,IF(L2555="","EFEITO_PC nao calculado: PC "&amp;A2555&amp;" - "&amp;C2555,"OK")))))))))</f>
        <v/>
      </c>
      <c r="L2555" s="92" t="str">
        <f>IF(AND(A2555="",B2555="",D2555="",G2555=""),"",IF(OR(B2555="",NOT(ISNUMBER(B2555)),C2555="",C2555="Fora dos ciclos"),"",IF(C2555="C0","Nao",IF(IFERROR(INDEX(parametros!$A$2:$A$6,MATCH(C2555,parametros!$B$2:$B$6,0)),"")&lt;&gt;"Sim","Nao",IF(IFERROR(INDEX(parametros!$H$2:$H$6,MATCH(C2555,parametros!$B$2:$B$6,0)),"")="","",IF(B2555&gt;=IFERROR(INDEX(parametros!$H$2:$H$6,MATCH(C2555,parametros!$B$2:$B$6,0)),""),"Sim","Nao"))))))</f>
        <v/>
      </c>
      <c r="T2555" s="156"/>
      <c r="U2555" s="214" t="str">
        <f t="shared" si="201"/>
        <v/>
      </c>
      <c r="V2555" s="212" t="s">
        <v>50</v>
      </c>
      <c r="W2555" s="100" t="s">
        <v>168</v>
      </c>
      <c r="X2555" s="100" t="s">
        <v>169</v>
      </c>
      <c r="Y2555" s="101" t="s">
        <v>170</v>
      </c>
      <c r="Z2555" s="101" t="s">
        <v>171</v>
      </c>
      <c r="AA2555" s="101" t="s">
        <v>50</v>
      </c>
      <c r="AB2555" s="101" t="s">
        <v>172</v>
      </c>
      <c r="AC2555" s="102" t="s">
        <v>173</v>
      </c>
    </row>
    <row r="2556" spans="1:29" ht="25.5" customHeight="1" x14ac:dyDescent="0.35">
      <c r="A2556" s="392"/>
      <c r="B2556" s="393"/>
      <c r="C2556" s="99" t="str">
        <f>IF(B2556="","",IF(NOT(ISNUMBER(B2556)),"DATA_PC invalida",IF(NOT(ISNUMBER(parametros!$C$2)),"Fora dos ciclos",IF(OR(B2556&lt;parametros!$C$2,(YEAR(B2556)-YEAR(parametros!$C$2))*12+MONTH(B2556)-MONTH(parametros!$C$2)&gt;59),"Fora dos ciclos","C"&amp;INT(((YEAR(B2556)-YEAR(parametros!$C$2))*12+MONTH(B2556)-MONTH(parametros!$C$2))/12)))))</f>
        <v/>
      </c>
      <c r="D2556" s="394"/>
      <c r="E2556" s="78" t="str">
        <f>IF(C2556="","",IFERROR(VLOOKUP(C2556,parametros!$A$11:$E$15,5,0),""))</f>
        <v/>
      </c>
      <c r="F2556" s="79" t="str">
        <f t="shared" si="197"/>
        <v/>
      </c>
      <c r="G2556" s="395"/>
      <c r="H2556" s="91">
        <f t="shared" si="198"/>
        <v>0</v>
      </c>
      <c r="I2556" s="91" t="str">
        <f t="shared" si="199"/>
        <v/>
      </c>
      <c r="J2556" s="91" t="str">
        <f t="shared" si="200"/>
        <v/>
      </c>
      <c r="K2556" s="92" t="str">
        <f>IF(AND(A2556="",B2556="",D2556="",G2556=""),"",IF(AND(A2556&lt;&gt;"",COUNTIF($A$2:$A$5001,A2556)&gt;1),"NUMERO_PC duplicado",IF(B2556="","DATA_PC vazia",IF(NOT(ISNUMBER(B2556)),"DATA_PC invalida",IF(OR(C2556="",C2556="Fora dos ciclos"),"CICLO_PC nao identificado",IF(OR(D2556="",D2556=0),"VALOR_PC vazio ou zero",IF(AND(G2556&lt;&gt;"Sim",G2556&lt;&gt;"Nao",G2556&lt;&gt;""),"PC_PAGO_A_CONTRATADA invalido",IF(AND(C2556&lt;&gt;"C0",IFERROR(INDEX(parametros!$A$2:$A$6,MATCH(C2556,parametros!$B$2:$B$6,0)),"")="Sim",IFERROR(INDEX(parametros!$H$2:$H$6,MATCH(C2556,parametros!$B$2:$B$6,0)),"")=""),"INICIO_EFEITO ausente: PC "&amp;A2556&amp;" - "&amp;C2556,IF(L2556="","EFEITO_PC nao calculado: PC "&amp;A2556&amp;" - "&amp;C2556,"OK")))))))))</f>
        <v/>
      </c>
      <c r="L2556" s="92" t="str">
        <f>IF(AND(A2556="",B2556="",D2556="",G2556=""),"",IF(OR(B2556="",NOT(ISNUMBER(B2556)),C2556="",C2556="Fora dos ciclos"),"",IF(C2556="C0","Nao",IF(IFERROR(INDEX(parametros!$A$2:$A$6,MATCH(C2556,parametros!$B$2:$B$6,0)),"")&lt;&gt;"Sim","Nao",IF(IFERROR(INDEX(parametros!$H$2:$H$6,MATCH(C2556,parametros!$B$2:$B$6,0)),"")="","",IF(B2556&gt;=IFERROR(INDEX(parametros!$H$2:$H$6,MATCH(C2556,parametros!$B$2:$B$6,0)),""),"Sim","Nao"))))))</f>
        <v/>
      </c>
      <c r="T2556" s="156"/>
      <c r="U2556" s="214" t="str">
        <f t="shared" si="201"/>
        <v/>
      </c>
      <c r="V2556" s="212" t="s">
        <v>50</v>
      </c>
      <c r="W2556" s="100" t="s">
        <v>168</v>
      </c>
      <c r="X2556" s="100" t="s">
        <v>169</v>
      </c>
      <c r="Y2556" s="101" t="s">
        <v>170</v>
      </c>
      <c r="Z2556" s="101" t="s">
        <v>171</v>
      </c>
      <c r="AA2556" s="101" t="s">
        <v>50</v>
      </c>
      <c r="AB2556" s="101" t="s">
        <v>172</v>
      </c>
      <c r="AC2556" s="102" t="s">
        <v>173</v>
      </c>
    </row>
    <row r="2557" spans="1:29" ht="25.5" customHeight="1" x14ac:dyDescent="0.35">
      <c r="A2557" s="392"/>
      <c r="B2557" s="393"/>
      <c r="C2557" s="99" t="str">
        <f>IF(B2557="","",IF(NOT(ISNUMBER(B2557)),"DATA_PC invalida",IF(NOT(ISNUMBER(parametros!$C$2)),"Fora dos ciclos",IF(OR(B2557&lt;parametros!$C$2,(YEAR(B2557)-YEAR(parametros!$C$2))*12+MONTH(B2557)-MONTH(parametros!$C$2)&gt;59),"Fora dos ciclos","C"&amp;INT(((YEAR(B2557)-YEAR(parametros!$C$2))*12+MONTH(B2557)-MONTH(parametros!$C$2))/12)))))</f>
        <v/>
      </c>
      <c r="D2557" s="394"/>
      <c r="E2557" s="78" t="str">
        <f>IF(C2557="","",IFERROR(VLOOKUP(C2557,parametros!$A$11:$E$15,5,0),""))</f>
        <v/>
      </c>
      <c r="F2557" s="79" t="str">
        <f t="shared" si="197"/>
        <v/>
      </c>
      <c r="G2557" s="395"/>
      <c r="H2557" s="91">
        <f t="shared" si="198"/>
        <v>0</v>
      </c>
      <c r="I2557" s="91" t="str">
        <f t="shared" si="199"/>
        <v/>
      </c>
      <c r="J2557" s="91" t="str">
        <f t="shared" si="200"/>
        <v/>
      </c>
      <c r="K2557" s="92" t="str">
        <f>IF(AND(A2557="",B2557="",D2557="",G2557=""),"",IF(AND(A2557&lt;&gt;"",COUNTIF($A$2:$A$5001,A2557)&gt;1),"NUMERO_PC duplicado",IF(B2557="","DATA_PC vazia",IF(NOT(ISNUMBER(B2557)),"DATA_PC invalida",IF(OR(C2557="",C2557="Fora dos ciclos"),"CICLO_PC nao identificado",IF(OR(D2557="",D2557=0),"VALOR_PC vazio ou zero",IF(AND(G2557&lt;&gt;"Sim",G2557&lt;&gt;"Nao",G2557&lt;&gt;""),"PC_PAGO_A_CONTRATADA invalido",IF(AND(C2557&lt;&gt;"C0",IFERROR(INDEX(parametros!$A$2:$A$6,MATCH(C2557,parametros!$B$2:$B$6,0)),"")="Sim",IFERROR(INDEX(parametros!$H$2:$H$6,MATCH(C2557,parametros!$B$2:$B$6,0)),"")=""),"INICIO_EFEITO ausente: PC "&amp;A2557&amp;" - "&amp;C2557,IF(L2557="","EFEITO_PC nao calculado: PC "&amp;A2557&amp;" - "&amp;C2557,"OK")))))))))</f>
        <v/>
      </c>
      <c r="L2557" s="92" t="str">
        <f>IF(AND(A2557="",B2557="",D2557="",G2557=""),"",IF(OR(B2557="",NOT(ISNUMBER(B2557)),C2557="",C2557="Fora dos ciclos"),"",IF(C2557="C0","Nao",IF(IFERROR(INDEX(parametros!$A$2:$A$6,MATCH(C2557,parametros!$B$2:$B$6,0)),"")&lt;&gt;"Sim","Nao",IF(IFERROR(INDEX(parametros!$H$2:$H$6,MATCH(C2557,parametros!$B$2:$B$6,0)),"")="","",IF(B2557&gt;=IFERROR(INDEX(parametros!$H$2:$H$6,MATCH(C2557,parametros!$B$2:$B$6,0)),""),"Sim","Nao"))))))</f>
        <v/>
      </c>
      <c r="T2557" s="156"/>
      <c r="U2557" s="214" t="str">
        <f t="shared" si="201"/>
        <v/>
      </c>
      <c r="V2557" s="212" t="s">
        <v>50</v>
      </c>
      <c r="W2557" s="100" t="s">
        <v>168</v>
      </c>
      <c r="X2557" s="100" t="s">
        <v>169</v>
      </c>
      <c r="Y2557" s="101" t="s">
        <v>170</v>
      </c>
      <c r="Z2557" s="101" t="s">
        <v>171</v>
      </c>
      <c r="AA2557" s="101" t="s">
        <v>50</v>
      </c>
      <c r="AB2557" s="101" t="s">
        <v>172</v>
      </c>
      <c r="AC2557" s="102" t="s">
        <v>173</v>
      </c>
    </row>
    <row r="2558" spans="1:29" ht="25.5" customHeight="1" x14ac:dyDescent="0.35">
      <c r="A2558" s="392"/>
      <c r="B2558" s="393"/>
      <c r="C2558" s="99" t="str">
        <f>IF(B2558="","",IF(NOT(ISNUMBER(B2558)),"DATA_PC invalida",IF(NOT(ISNUMBER(parametros!$C$2)),"Fora dos ciclos",IF(OR(B2558&lt;parametros!$C$2,(YEAR(B2558)-YEAR(parametros!$C$2))*12+MONTH(B2558)-MONTH(parametros!$C$2)&gt;59),"Fora dos ciclos","C"&amp;INT(((YEAR(B2558)-YEAR(parametros!$C$2))*12+MONTH(B2558)-MONTH(parametros!$C$2))/12)))))</f>
        <v/>
      </c>
      <c r="D2558" s="394"/>
      <c r="E2558" s="78" t="str">
        <f>IF(C2558="","",IFERROR(VLOOKUP(C2558,parametros!$A$11:$E$15,5,0),""))</f>
        <v/>
      </c>
      <c r="F2558" s="79" t="str">
        <f t="shared" si="197"/>
        <v/>
      </c>
      <c r="G2558" s="395"/>
      <c r="H2558" s="91">
        <f t="shared" si="198"/>
        <v>0</v>
      </c>
      <c r="I2558" s="91" t="str">
        <f t="shared" si="199"/>
        <v/>
      </c>
      <c r="J2558" s="91" t="str">
        <f t="shared" si="200"/>
        <v/>
      </c>
      <c r="K2558" s="92" t="str">
        <f>IF(AND(A2558="",B2558="",D2558="",G2558=""),"",IF(AND(A2558&lt;&gt;"",COUNTIF($A$2:$A$5001,A2558)&gt;1),"NUMERO_PC duplicado",IF(B2558="","DATA_PC vazia",IF(NOT(ISNUMBER(B2558)),"DATA_PC invalida",IF(OR(C2558="",C2558="Fora dos ciclos"),"CICLO_PC nao identificado",IF(OR(D2558="",D2558=0),"VALOR_PC vazio ou zero",IF(AND(G2558&lt;&gt;"Sim",G2558&lt;&gt;"Nao",G2558&lt;&gt;""),"PC_PAGO_A_CONTRATADA invalido",IF(AND(C2558&lt;&gt;"C0",IFERROR(INDEX(parametros!$A$2:$A$6,MATCH(C2558,parametros!$B$2:$B$6,0)),"")="Sim",IFERROR(INDEX(parametros!$H$2:$H$6,MATCH(C2558,parametros!$B$2:$B$6,0)),"")=""),"INICIO_EFEITO ausente: PC "&amp;A2558&amp;" - "&amp;C2558,IF(L2558="","EFEITO_PC nao calculado: PC "&amp;A2558&amp;" - "&amp;C2558,"OK")))))))))</f>
        <v/>
      </c>
      <c r="L2558" s="92" t="str">
        <f>IF(AND(A2558="",B2558="",D2558="",G2558=""),"",IF(OR(B2558="",NOT(ISNUMBER(B2558)),C2558="",C2558="Fora dos ciclos"),"",IF(C2558="C0","Nao",IF(IFERROR(INDEX(parametros!$A$2:$A$6,MATCH(C2558,parametros!$B$2:$B$6,0)),"")&lt;&gt;"Sim","Nao",IF(IFERROR(INDEX(parametros!$H$2:$H$6,MATCH(C2558,parametros!$B$2:$B$6,0)),"")="","",IF(B2558&gt;=IFERROR(INDEX(parametros!$H$2:$H$6,MATCH(C2558,parametros!$B$2:$B$6,0)),""),"Sim","Nao"))))))</f>
        <v/>
      </c>
      <c r="T2558" s="156"/>
      <c r="U2558" s="214" t="str">
        <f t="shared" si="201"/>
        <v/>
      </c>
      <c r="V2558" s="212" t="s">
        <v>50</v>
      </c>
      <c r="W2558" s="100" t="s">
        <v>168</v>
      </c>
      <c r="X2558" s="100" t="s">
        <v>169</v>
      </c>
      <c r="Y2558" s="101" t="s">
        <v>170</v>
      </c>
      <c r="Z2558" s="101" t="s">
        <v>171</v>
      </c>
      <c r="AA2558" s="101" t="s">
        <v>50</v>
      </c>
      <c r="AB2558" s="101" t="s">
        <v>172</v>
      </c>
      <c r="AC2558" s="102" t="s">
        <v>173</v>
      </c>
    </row>
    <row r="2559" spans="1:29" ht="25.5" customHeight="1" x14ac:dyDescent="0.35">
      <c r="A2559" s="392"/>
      <c r="B2559" s="393"/>
      <c r="C2559" s="99" t="str">
        <f>IF(B2559="","",IF(NOT(ISNUMBER(B2559)),"DATA_PC invalida",IF(NOT(ISNUMBER(parametros!$C$2)),"Fora dos ciclos",IF(OR(B2559&lt;parametros!$C$2,(YEAR(B2559)-YEAR(parametros!$C$2))*12+MONTH(B2559)-MONTH(parametros!$C$2)&gt;59),"Fora dos ciclos","C"&amp;INT(((YEAR(B2559)-YEAR(parametros!$C$2))*12+MONTH(B2559)-MONTH(parametros!$C$2))/12)))))</f>
        <v/>
      </c>
      <c r="D2559" s="394"/>
      <c r="E2559" s="78" t="str">
        <f>IF(C2559="","",IFERROR(VLOOKUP(C2559,parametros!$A$11:$E$15,5,0),""))</f>
        <v/>
      </c>
      <c r="F2559" s="79" t="str">
        <f t="shared" si="197"/>
        <v/>
      </c>
      <c r="G2559" s="395"/>
      <c r="H2559" s="91">
        <f t="shared" si="198"/>
        <v>0</v>
      </c>
      <c r="I2559" s="91" t="str">
        <f t="shared" si="199"/>
        <v/>
      </c>
      <c r="J2559" s="91" t="str">
        <f t="shared" si="200"/>
        <v/>
      </c>
      <c r="K2559" s="92" t="str">
        <f>IF(AND(A2559="",B2559="",D2559="",G2559=""),"",IF(AND(A2559&lt;&gt;"",COUNTIF($A$2:$A$5001,A2559)&gt;1),"NUMERO_PC duplicado",IF(B2559="","DATA_PC vazia",IF(NOT(ISNUMBER(B2559)),"DATA_PC invalida",IF(OR(C2559="",C2559="Fora dos ciclos"),"CICLO_PC nao identificado",IF(OR(D2559="",D2559=0),"VALOR_PC vazio ou zero",IF(AND(G2559&lt;&gt;"Sim",G2559&lt;&gt;"Nao",G2559&lt;&gt;""),"PC_PAGO_A_CONTRATADA invalido",IF(AND(C2559&lt;&gt;"C0",IFERROR(INDEX(parametros!$A$2:$A$6,MATCH(C2559,parametros!$B$2:$B$6,0)),"")="Sim",IFERROR(INDEX(parametros!$H$2:$H$6,MATCH(C2559,parametros!$B$2:$B$6,0)),"")=""),"INICIO_EFEITO ausente: PC "&amp;A2559&amp;" - "&amp;C2559,IF(L2559="","EFEITO_PC nao calculado: PC "&amp;A2559&amp;" - "&amp;C2559,"OK")))))))))</f>
        <v/>
      </c>
      <c r="L2559" s="92" t="str">
        <f>IF(AND(A2559="",B2559="",D2559="",G2559=""),"",IF(OR(B2559="",NOT(ISNUMBER(B2559)),C2559="",C2559="Fora dos ciclos"),"",IF(C2559="C0","Nao",IF(IFERROR(INDEX(parametros!$A$2:$A$6,MATCH(C2559,parametros!$B$2:$B$6,0)),"")&lt;&gt;"Sim","Nao",IF(IFERROR(INDEX(parametros!$H$2:$H$6,MATCH(C2559,parametros!$B$2:$B$6,0)),"")="","",IF(B2559&gt;=IFERROR(INDEX(parametros!$H$2:$H$6,MATCH(C2559,parametros!$B$2:$B$6,0)),""),"Sim","Nao"))))))</f>
        <v/>
      </c>
      <c r="T2559" s="156"/>
      <c r="U2559" s="214" t="str">
        <f t="shared" si="201"/>
        <v/>
      </c>
      <c r="V2559" s="212" t="s">
        <v>50</v>
      </c>
      <c r="W2559" s="100" t="s">
        <v>168</v>
      </c>
      <c r="X2559" s="100" t="s">
        <v>169</v>
      </c>
      <c r="Y2559" s="101" t="s">
        <v>170</v>
      </c>
      <c r="Z2559" s="101" t="s">
        <v>171</v>
      </c>
      <c r="AA2559" s="101" t="s">
        <v>50</v>
      </c>
      <c r="AB2559" s="101" t="s">
        <v>172</v>
      </c>
      <c r="AC2559" s="102" t="s">
        <v>173</v>
      </c>
    </row>
    <row r="2560" spans="1:29" ht="25.5" customHeight="1" x14ac:dyDescent="0.35">
      <c r="A2560" s="392"/>
      <c r="B2560" s="393"/>
      <c r="C2560" s="99" t="str">
        <f>IF(B2560="","",IF(NOT(ISNUMBER(B2560)),"DATA_PC invalida",IF(NOT(ISNUMBER(parametros!$C$2)),"Fora dos ciclos",IF(OR(B2560&lt;parametros!$C$2,(YEAR(B2560)-YEAR(parametros!$C$2))*12+MONTH(B2560)-MONTH(parametros!$C$2)&gt;59),"Fora dos ciclos","C"&amp;INT(((YEAR(B2560)-YEAR(parametros!$C$2))*12+MONTH(B2560)-MONTH(parametros!$C$2))/12)))))</f>
        <v/>
      </c>
      <c r="D2560" s="394"/>
      <c r="E2560" s="78" t="str">
        <f>IF(C2560="","",IFERROR(VLOOKUP(C2560,parametros!$A$11:$E$15,5,0),""))</f>
        <v/>
      </c>
      <c r="F2560" s="79" t="str">
        <f t="shared" si="197"/>
        <v/>
      </c>
      <c r="G2560" s="395"/>
      <c r="H2560" s="91">
        <f t="shared" si="198"/>
        <v>0</v>
      </c>
      <c r="I2560" s="91" t="str">
        <f t="shared" si="199"/>
        <v/>
      </c>
      <c r="J2560" s="91" t="str">
        <f t="shared" si="200"/>
        <v/>
      </c>
      <c r="K2560" s="92" t="str">
        <f>IF(AND(A2560="",B2560="",D2560="",G2560=""),"",IF(AND(A2560&lt;&gt;"",COUNTIF($A$2:$A$5001,A2560)&gt;1),"NUMERO_PC duplicado",IF(B2560="","DATA_PC vazia",IF(NOT(ISNUMBER(B2560)),"DATA_PC invalida",IF(OR(C2560="",C2560="Fora dos ciclos"),"CICLO_PC nao identificado",IF(OR(D2560="",D2560=0),"VALOR_PC vazio ou zero",IF(AND(G2560&lt;&gt;"Sim",G2560&lt;&gt;"Nao",G2560&lt;&gt;""),"PC_PAGO_A_CONTRATADA invalido",IF(AND(C2560&lt;&gt;"C0",IFERROR(INDEX(parametros!$A$2:$A$6,MATCH(C2560,parametros!$B$2:$B$6,0)),"")="Sim",IFERROR(INDEX(parametros!$H$2:$H$6,MATCH(C2560,parametros!$B$2:$B$6,0)),"")=""),"INICIO_EFEITO ausente: PC "&amp;A2560&amp;" - "&amp;C2560,IF(L2560="","EFEITO_PC nao calculado: PC "&amp;A2560&amp;" - "&amp;C2560,"OK")))))))))</f>
        <v/>
      </c>
      <c r="L2560" s="92" t="str">
        <f>IF(AND(A2560="",B2560="",D2560="",G2560=""),"",IF(OR(B2560="",NOT(ISNUMBER(B2560)),C2560="",C2560="Fora dos ciclos"),"",IF(C2560="C0","Nao",IF(IFERROR(INDEX(parametros!$A$2:$A$6,MATCH(C2560,parametros!$B$2:$B$6,0)),"")&lt;&gt;"Sim","Nao",IF(IFERROR(INDEX(parametros!$H$2:$H$6,MATCH(C2560,parametros!$B$2:$B$6,0)),"")="","",IF(B2560&gt;=IFERROR(INDEX(parametros!$H$2:$H$6,MATCH(C2560,parametros!$B$2:$B$6,0)),""),"Sim","Nao"))))))</f>
        <v/>
      </c>
      <c r="T2560" s="156"/>
      <c r="U2560" s="214" t="str">
        <f t="shared" si="201"/>
        <v/>
      </c>
      <c r="V2560" s="212" t="s">
        <v>50</v>
      </c>
      <c r="W2560" s="100" t="s">
        <v>168</v>
      </c>
      <c r="X2560" s="100" t="s">
        <v>169</v>
      </c>
      <c r="Y2560" s="101" t="s">
        <v>170</v>
      </c>
      <c r="Z2560" s="101" t="s">
        <v>171</v>
      </c>
      <c r="AA2560" s="101" t="s">
        <v>50</v>
      </c>
      <c r="AB2560" s="101" t="s">
        <v>172</v>
      </c>
      <c r="AC2560" s="102" t="s">
        <v>173</v>
      </c>
    </row>
    <row r="2561" spans="1:29" ht="25.5" customHeight="1" x14ac:dyDescent="0.35">
      <c r="A2561" s="392"/>
      <c r="B2561" s="393"/>
      <c r="C2561" s="99" t="str">
        <f>IF(B2561="","",IF(NOT(ISNUMBER(B2561)),"DATA_PC invalida",IF(NOT(ISNUMBER(parametros!$C$2)),"Fora dos ciclos",IF(OR(B2561&lt;parametros!$C$2,(YEAR(B2561)-YEAR(parametros!$C$2))*12+MONTH(B2561)-MONTH(parametros!$C$2)&gt;59),"Fora dos ciclos","C"&amp;INT(((YEAR(B2561)-YEAR(parametros!$C$2))*12+MONTH(B2561)-MONTH(parametros!$C$2))/12)))))</f>
        <v/>
      </c>
      <c r="D2561" s="394"/>
      <c r="E2561" s="78" t="str">
        <f>IF(C2561="","",IFERROR(VLOOKUP(C2561,parametros!$A$11:$E$15,5,0),""))</f>
        <v/>
      </c>
      <c r="F2561" s="79" t="str">
        <f t="shared" si="197"/>
        <v/>
      </c>
      <c r="G2561" s="395"/>
      <c r="H2561" s="91">
        <f t="shared" si="198"/>
        <v>0</v>
      </c>
      <c r="I2561" s="91" t="str">
        <f t="shared" si="199"/>
        <v/>
      </c>
      <c r="J2561" s="91" t="str">
        <f t="shared" si="200"/>
        <v/>
      </c>
      <c r="K2561" s="92" t="str">
        <f>IF(AND(A2561="",B2561="",D2561="",G2561=""),"",IF(AND(A2561&lt;&gt;"",COUNTIF($A$2:$A$5001,A2561)&gt;1),"NUMERO_PC duplicado",IF(B2561="","DATA_PC vazia",IF(NOT(ISNUMBER(B2561)),"DATA_PC invalida",IF(OR(C2561="",C2561="Fora dos ciclos"),"CICLO_PC nao identificado",IF(OR(D2561="",D2561=0),"VALOR_PC vazio ou zero",IF(AND(G2561&lt;&gt;"Sim",G2561&lt;&gt;"Nao",G2561&lt;&gt;""),"PC_PAGO_A_CONTRATADA invalido",IF(AND(C2561&lt;&gt;"C0",IFERROR(INDEX(parametros!$A$2:$A$6,MATCH(C2561,parametros!$B$2:$B$6,0)),"")="Sim",IFERROR(INDEX(parametros!$H$2:$H$6,MATCH(C2561,parametros!$B$2:$B$6,0)),"")=""),"INICIO_EFEITO ausente: PC "&amp;A2561&amp;" - "&amp;C2561,IF(L2561="","EFEITO_PC nao calculado: PC "&amp;A2561&amp;" - "&amp;C2561,"OK")))))))))</f>
        <v/>
      </c>
      <c r="L2561" s="92" t="str">
        <f>IF(AND(A2561="",B2561="",D2561="",G2561=""),"",IF(OR(B2561="",NOT(ISNUMBER(B2561)),C2561="",C2561="Fora dos ciclos"),"",IF(C2561="C0","Nao",IF(IFERROR(INDEX(parametros!$A$2:$A$6,MATCH(C2561,parametros!$B$2:$B$6,0)),"")&lt;&gt;"Sim","Nao",IF(IFERROR(INDEX(parametros!$H$2:$H$6,MATCH(C2561,parametros!$B$2:$B$6,0)),"")="","",IF(B2561&gt;=IFERROR(INDEX(parametros!$H$2:$H$6,MATCH(C2561,parametros!$B$2:$B$6,0)),""),"Sim","Nao"))))))</f>
        <v/>
      </c>
      <c r="T2561" s="156"/>
      <c r="U2561" s="214" t="str">
        <f t="shared" si="201"/>
        <v/>
      </c>
      <c r="V2561" s="212" t="s">
        <v>50</v>
      </c>
      <c r="W2561" s="100" t="s">
        <v>168</v>
      </c>
      <c r="X2561" s="100" t="s">
        <v>169</v>
      </c>
      <c r="Y2561" s="101" t="s">
        <v>170</v>
      </c>
      <c r="Z2561" s="101" t="s">
        <v>171</v>
      </c>
      <c r="AA2561" s="101" t="s">
        <v>50</v>
      </c>
      <c r="AB2561" s="101" t="s">
        <v>172</v>
      </c>
      <c r="AC2561" s="102" t="s">
        <v>173</v>
      </c>
    </row>
    <row r="2562" spans="1:29" ht="25.5" customHeight="1" x14ac:dyDescent="0.35">
      <c r="A2562" s="392"/>
      <c r="B2562" s="393"/>
      <c r="C2562" s="99" t="str">
        <f>IF(B2562="","",IF(NOT(ISNUMBER(B2562)),"DATA_PC invalida",IF(NOT(ISNUMBER(parametros!$C$2)),"Fora dos ciclos",IF(OR(B2562&lt;parametros!$C$2,(YEAR(B2562)-YEAR(parametros!$C$2))*12+MONTH(B2562)-MONTH(parametros!$C$2)&gt;59),"Fora dos ciclos","C"&amp;INT(((YEAR(B2562)-YEAR(parametros!$C$2))*12+MONTH(B2562)-MONTH(parametros!$C$2))/12)))))</f>
        <v/>
      </c>
      <c r="D2562" s="394"/>
      <c r="E2562" s="78" t="str">
        <f>IF(C2562="","",IFERROR(VLOOKUP(C2562,parametros!$A$11:$E$15,5,0),""))</f>
        <v/>
      </c>
      <c r="F2562" s="79" t="str">
        <f t="shared" ref="F2562:F2625" si="202">IF(OR(D2562="",E2562=""),"",ROUND(D2562*E2562,2))</f>
        <v/>
      </c>
      <c r="G2562" s="395"/>
      <c r="H2562" s="91">
        <f t="shared" ref="H2562:H2625" si="203">IF(G2562="Sim",IF(OR(F2562="",D2562="",L2562=""),"",IF(L2562="Sim",ROUND(F2562-D2562,2),0)),0)</f>
        <v>0</v>
      </c>
      <c r="I2562" s="91" t="str">
        <f t="shared" ref="I2562:I2625" si="204">IF(G2562="Sim",0,IF(OR(F2562="",L2562=""),"",F2562))</f>
        <v/>
      </c>
      <c r="J2562" s="91" t="str">
        <f t="shared" ref="J2562:J2625" si="205">IF(G2562="Sim",0,IF(OR(F2562="",D2562="",L2562=""),"",IF(L2562="Sim",ROUND(F2562-D2562,2),0)))</f>
        <v/>
      </c>
      <c r="K2562" s="92" t="str">
        <f>IF(AND(A2562="",B2562="",D2562="",G2562=""),"",IF(AND(A2562&lt;&gt;"",COUNTIF($A$2:$A$5001,A2562)&gt;1),"NUMERO_PC duplicado",IF(B2562="","DATA_PC vazia",IF(NOT(ISNUMBER(B2562)),"DATA_PC invalida",IF(OR(C2562="",C2562="Fora dos ciclos"),"CICLO_PC nao identificado",IF(OR(D2562="",D2562=0),"VALOR_PC vazio ou zero",IF(AND(G2562&lt;&gt;"Sim",G2562&lt;&gt;"Nao",G2562&lt;&gt;""),"PC_PAGO_A_CONTRATADA invalido",IF(AND(C2562&lt;&gt;"C0",IFERROR(INDEX(parametros!$A$2:$A$6,MATCH(C2562,parametros!$B$2:$B$6,0)),"")="Sim",IFERROR(INDEX(parametros!$H$2:$H$6,MATCH(C2562,parametros!$B$2:$B$6,0)),"")=""),"INICIO_EFEITO ausente: PC "&amp;A2562&amp;" - "&amp;C2562,IF(L2562="","EFEITO_PC nao calculado: PC "&amp;A2562&amp;" - "&amp;C2562,"OK")))))))))</f>
        <v/>
      </c>
      <c r="L2562" s="92" t="str">
        <f>IF(AND(A2562="",B2562="",D2562="",G2562=""),"",IF(OR(B2562="",NOT(ISNUMBER(B2562)),C2562="",C2562="Fora dos ciclos"),"",IF(C2562="C0","Nao",IF(IFERROR(INDEX(parametros!$A$2:$A$6,MATCH(C2562,parametros!$B$2:$B$6,0)),"")&lt;&gt;"Sim","Nao",IF(IFERROR(INDEX(parametros!$H$2:$H$6,MATCH(C2562,parametros!$B$2:$B$6,0)),"")="","",IF(B2562&gt;=IFERROR(INDEX(parametros!$H$2:$H$6,MATCH(C2562,parametros!$B$2:$B$6,0)),""),"Sim","Nao"))))))</f>
        <v/>
      </c>
      <c r="T2562" s="156"/>
      <c r="U2562" s="214" t="str">
        <f t="shared" ref="U2562:U2625" si="206">IF(OR($D2562="",$H2562=""),"",ROUND($D2562+$H2562,2))</f>
        <v/>
      </c>
      <c r="V2562" s="212" t="s">
        <v>50</v>
      </c>
      <c r="W2562" s="100" t="s">
        <v>168</v>
      </c>
      <c r="X2562" s="100" t="s">
        <v>169</v>
      </c>
      <c r="Y2562" s="101" t="s">
        <v>170</v>
      </c>
      <c r="Z2562" s="101" t="s">
        <v>171</v>
      </c>
      <c r="AA2562" s="101" t="s">
        <v>50</v>
      </c>
      <c r="AB2562" s="101" t="s">
        <v>172</v>
      </c>
      <c r="AC2562" s="102" t="s">
        <v>173</v>
      </c>
    </row>
    <row r="2563" spans="1:29" ht="25.5" customHeight="1" x14ac:dyDescent="0.35">
      <c r="A2563" s="392"/>
      <c r="B2563" s="393"/>
      <c r="C2563" s="99" t="str">
        <f>IF(B2563="","",IF(NOT(ISNUMBER(B2563)),"DATA_PC invalida",IF(NOT(ISNUMBER(parametros!$C$2)),"Fora dos ciclos",IF(OR(B2563&lt;parametros!$C$2,(YEAR(B2563)-YEAR(parametros!$C$2))*12+MONTH(B2563)-MONTH(parametros!$C$2)&gt;59),"Fora dos ciclos","C"&amp;INT(((YEAR(B2563)-YEAR(parametros!$C$2))*12+MONTH(B2563)-MONTH(parametros!$C$2))/12)))))</f>
        <v/>
      </c>
      <c r="D2563" s="394"/>
      <c r="E2563" s="78" t="str">
        <f>IF(C2563="","",IFERROR(VLOOKUP(C2563,parametros!$A$11:$E$15,5,0),""))</f>
        <v/>
      </c>
      <c r="F2563" s="79" t="str">
        <f t="shared" si="202"/>
        <v/>
      </c>
      <c r="G2563" s="395"/>
      <c r="H2563" s="91">
        <f t="shared" si="203"/>
        <v>0</v>
      </c>
      <c r="I2563" s="91" t="str">
        <f t="shared" si="204"/>
        <v/>
      </c>
      <c r="J2563" s="91" t="str">
        <f t="shared" si="205"/>
        <v/>
      </c>
      <c r="K2563" s="92" t="str">
        <f>IF(AND(A2563="",B2563="",D2563="",G2563=""),"",IF(AND(A2563&lt;&gt;"",COUNTIF($A$2:$A$5001,A2563)&gt;1),"NUMERO_PC duplicado",IF(B2563="","DATA_PC vazia",IF(NOT(ISNUMBER(B2563)),"DATA_PC invalida",IF(OR(C2563="",C2563="Fora dos ciclos"),"CICLO_PC nao identificado",IF(OR(D2563="",D2563=0),"VALOR_PC vazio ou zero",IF(AND(G2563&lt;&gt;"Sim",G2563&lt;&gt;"Nao",G2563&lt;&gt;""),"PC_PAGO_A_CONTRATADA invalido",IF(AND(C2563&lt;&gt;"C0",IFERROR(INDEX(parametros!$A$2:$A$6,MATCH(C2563,parametros!$B$2:$B$6,0)),"")="Sim",IFERROR(INDEX(parametros!$H$2:$H$6,MATCH(C2563,parametros!$B$2:$B$6,0)),"")=""),"INICIO_EFEITO ausente: PC "&amp;A2563&amp;" - "&amp;C2563,IF(L2563="","EFEITO_PC nao calculado: PC "&amp;A2563&amp;" - "&amp;C2563,"OK")))))))))</f>
        <v/>
      </c>
      <c r="L2563" s="92" t="str">
        <f>IF(AND(A2563="",B2563="",D2563="",G2563=""),"",IF(OR(B2563="",NOT(ISNUMBER(B2563)),C2563="",C2563="Fora dos ciclos"),"",IF(C2563="C0","Nao",IF(IFERROR(INDEX(parametros!$A$2:$A$6,MATCH(C2563,parametros!$B$2:$B$6,0)),"")&lt;&gt;"Sim","Nao",IF(IFERROR(INDEX(parametros!$H$2:$H$6,MATCH(C2563,parametros!$B$2:$B$6,0)),"")="","",IF(B2563&gt;=IFERROR(INDEX(parametros!$H$2:$H$6,MATCH(C2563,parametros!$B$2:$B$6,0)),""),"Sim","Nao"))))))</f>
        <v/>
      </c>
      <c r="T2563" s="156"/>
      <c r="U2563" s="214" t="str">
        <f t="shared" si="206"/>
        <v/>
      </c>
      <c r="V2563" s="212" t="s">
        <v>50</v>
      </c>
      <c r="W2563" s="100" t="s">
        <v>168</v>
      </c>
      <c r="X2563" s="100" t="s">
        <v>169</v>
      </c>
      <c r="Y2563" s="101" t="s">
        <v>170</v>
      </c>
      <c r="Z2563" s="101" t="s">
        <v>171</v>
      </c>
      <c r="AA2563" s="101" t="s">
        <v>50</v>
      </c>
      <c r="AB2563" s="101" t="s">
        <v>172</v>
      </c>
      <c r="AC2563" s="102" t="s">
        <v>173</v>
      </c>
    </row>
    <row r="2564" spans="1:29" ht="25.5" customHeight="1" x14ac:dyDescent="0.35">
      <c r="A2564" s="392"/>
      <c r="B2564" s="393"/>
      <c r="C2564" s="99" t="str">
        <f>IF(B2564="","",IF(NOT(ISNUMBER(B2564)),"DATA_PC invalida",IF(NOT(ISNUMBER(parametros!$C$2)),"Fora dos ciclos",IF(OR(B2564&lt;parametros!$C$2,(YEAR(B2564)-YEAR(parametros!$C$2))*12+MONTH(B2564)-MONTH(parametros!$C$2)&gt;59),"Fora dos ciclos","C"&amp;INT(((YEAR(B2564)-YEAR(parametros!$C$2))*12+MONTH(B2564)-MONTH(parametros!$C$2))/12)))))</f>
        <v/>
      </c>
      <c r="D2564" s="394"/>
      <c r="E2564" s="78" t="str">
        <f>IF(C2564="","",IFERROR(VLOOKUP(C2564,parametros!$A$11:$E$15,5,0),""))</f>
        <v/>
      </c>
      <c r="F2564" s="79" t="str">
        <f t="shared" si="202"/>
        <v/>
      </c>
      <c r="G2564" s="395"/>
      <c r="H2564" s="91">
        <f t="shared" si="203"/>
        <v>0</v>
      </c>
      <c r="I2564" s="91" t="str">
        <f t="shared" si="204"/>
        <v/>
      </c>
      <c r="J2564" s="91" t="str">
        <f t="shared" si="205"/>
        <v/>
      </c>
      <c r="K2564" s="92" t="str">
        <f>IF(AND(A2564="",B2564="",D2564="",G2564=""),"",IF(AND(A2564&lt;&gt;"",COUNTIF($A$2:$A$5001,A2564)&gt;1),"NUMERO_PC duplicado",IF(B2564="","DATA_PC vazia",IF(NOT(ISNUMBER(B2564)),"DATA_PC invalida",IF(OR(C2564="",C2564="Fora dos ciclos"),"CICLO_PC nao identificado",IF(OR(D2564="",D2564=0),"VALOR_PC vazio ou zero",IF(AND(G2564&lt;&gt;"Sim",G2564&lt;&gt;"Nao",G2564&lt;&gt;""),"PC_PAGO_A_CONTRATADA invalido",IF(AND(C2564&lt;&gt;"C0",IFERROR(INDEX(parametros!$A$2:$A$6,MATCH(C2564,parametros!$B$2:$B$6,0)),"")="Sim",IFERROR(INDEX(parametros!$H$2:$H$6,MATCH(C2564,parametros!$B$2:$B$6,0)),"")=""),"INICIO_EFEITO ausente: PC "&amp;A2564&amp;" - "&amp;C2564,IF(L2564="","EFEITO_PC nao calculado: PC "&amp;A2564&amp;" - "&amp;C2564,"OK")))))))))</f>
        <v/>
      </c>
      <c r="L2564" s="92" t="str">
        <f>IF(AND(A2564="",B2564="",D2564="",G2564=""),"",IF(OR(B2564="",NOT(ISNUMBER(B2564)),C2564="",C2564="Fora dos ciclos"),"",IF(C2564="C0","Nao",IF(IFERROR(INDEX(parametros!$A$2:$A$6,MATCH(C2564,parametros!$B$2:$B$6,0)),"")&lt;&gt;"Sim","Nao",IF(IFERROR(INDEX(parametros!$H$2:$H$6,MATCH(C2564,parametros!$B$2:$B$6,0)),"")="","",IF(B2564&gt;=IFERROR(INDEX(parametros!$H$2:$H$6,MATCH(C2564,parametros!$B$2:$B$6,0)),""),"Sim","Nao"))))))</f>
        <v/>
      </c>
      <c r="T2564" s="156"/>
      <c r="U2564" s="214" t="str">
        <f t="shared" si="206"/>
        <v/>
      </c>
      <c r="V2564" s="212" t="s">
        <v>50</v>
      </c>
      <c r="W2564" s="100" t="s">
        <v>168</v>
      </c>
      <c r="X2564" s="100" t="s">
        <v>169</v>
      </c>
      <c r="Y2564" s="101" t="s">
        <v>170</v>
      </c>
      <c r="Z2564" s="101" t="s">
        <v>171</v>
      </c>
      <c r="AA2564" s="101" t="s">
        <v>50</v>
      </c>
      <c r="AB2564" s="101" t="s">
        <v>172</v>
      </c>
      <c r="AC2564" s="102" t="s">
        <v>173</v>
      </c>
    </row>
    <row r="2565" spans="1:29" ht="25.5" customHeight="1" x14ac:dyDescent="0.35">
      <c r="A2565" s="392"/>
      <c r="B2565" s="393"/>
      <c r="C2565" s="99" t="str">
        <f>IF(B2565="","",IF(NOT(ISNUMBER(B2565)),"DATA_PC invalida",IF(NOT(ISNUMBER(parametros!$C$2)),"Fora dos ciclos",IF(OR(B2565&lt;parametros!$C$2,(YEAR(B2565)-YEAR(parametros!$C$2))*12+MONTH(B2565)-MONTH(parametros!$C$2)&gt;59),"Fora dos ciclos","C"&amp;INT(((YEAR(B2565)-YEAR(parametros!$C$2))*12+MONTH(B2565)-MONTH(parametros!$C$2))/12)))))</f>
        <v/>
      </c>
      <c r="D2565" s="394"/>
      <c r="E2565" s="78" t="str">
        <f>IF(C2565="","",IFERROR(VLOOKUP(C2565,parametros!$A$11:$E$15,5,0),""))</f>
        <v/>
      </c>
      <c r="F2565" s="79" t="str">
        <f t="shared" si="202"/>
        <v/>
      </c>
      <c r="G2565" s="395"/>
      <c r="H2565" s="91">
        <f t="shared" si="203"/>
        <v>0</v>
      </c>
      <c r="I2565" s="91" t="str">
        <f t="shared" si="204"/>
        <v/>
      </c>
      <c r="J2565" s="91" t="str">
        <f t="shared" si="205"/>
        <v/>
      </c>
      <c r="K2565" s="92" t="str">
        <f>IF(AND(A2565="",B2565="",D2565="",G2565=""),"",IF(AND(A2565&lt;&gt;"",COUNTIF($A$2:$A$5001,A2565)&gt;1),"NUMERO_PC duplicado",IF(B2565="","DATA_PC vazia",IF(NOT(ISNUMBER(B2565)),"DATA_PC invalida",IF(OR(C2565="",C2565="Fora dos ciclos"),"CICLO_PC nao identificado",IF(OR(D2565="",D2565=0),"VALOR_PC vazio ou zero",IF(AND(G2565&lt;&gt;"Sim",G2565&lt;&gt;"Nao",G2565&lt;&gt;""),"PC_PAGO_A_CONTRATADA invalido",IF(AND(C2565&lt;&gt;"C0",IFERROR(INDEX(parametros!$A$2:$A$6,MATCH(C2565,parametros!$B$2:$B$6,0)),"")="Sim",IFERROR(INDEX(parametros!$H$2:$H$6,MATCH(C2565,parametros!$B$2:$B$6,0)),"")=""),"INICIO_EFEITO ausente: PC "&amp;A2565&amp;" - "&amp;C2565,IF(L2565="","EFEITO_PC nao calculado: PC "&amp;A2565&amp;" - "&amp;C2565,"OK")))))))))</f>
        <v/>
      </c>
      <c r="L2565" s="92" t="str">
        <f>IF(AND(A2565="",B2565="",D2565="",G2565=""),"",IF(OR(B2565="",NOT(ISNUMBER(B2565)),C2565="",C2565="Fora dos ciclos"),"",IF(C2565="C0","Nao",IF(IFERROR(INDEX(parametros!$A$2:$A$6,MATCH(C2565,parametros!$B$2:$B$6,0)),"")&lt;&gt;"Sim","Nao",IF(IFERROR(INDEX(parametros!$H$2:$H$6,MATCH(C2565,parametros!$B$2:$B$6,0)),"")="","",IF(B2565&gt;=IFERROR(INDEX(parametros!$H$2:$H$6,MATCH(C2565,parametros!$B$2:$B$6,0)),""),"Sim","Nao"))))))</f>
        <v/>
      </c>
      <c r="T2565" s="156"/>
      <c r="U2565" s="214" t="str">
        <f t="shared" si="206"/>
        <v/>
      </c>
      <c r="V2565" s="212" t="s">
        <v>50</v>
      </c>
      <c r="W2565" s="100" t="s">
        <v>168</v>
      </c>
      <c r="X2565" s="100" t="s">
        <v>169</v>
      </c>
      <c r="Y2565" s="101" t="s">
        <v>170</v>
      </c>
      <c r="Z2565" s="101" t="s">
        <v>171</v>
      </c>
      <c r="AA2565" s="101" t="s">
        <v>50</v>
      </c>
      <c r="AB2565" s="101" t="s">
        <v>172</v>
      </c>
      <c r="AC2565" s="102" t="s">
        <v>173</v>
      </c>
    </row>
    <row r="2566" spans="1:29" ht="25.5" customHeight="1" x14ac:dyDescent="0.35">
      <c r="A2566" s="392"/>
      <c r="B2566" s="393"/>
      <c r="C2566" s="99" t="str">
        <f>IF(B2566="","",IF(NOT(ISNUMBER(B2566)),"DATA_PC invalida",IF(NOT(ISNUMBER(parametros!$C$2)),"Fora dos ciclos",IF(OR(B2566&lt;parametros!$C$2,(YEAR(B2566)-YEAR(parametros!$C$2))*12+MONTH(B2566)-MONTH(parametros!$C$2)&gt;59),"Fora dos ciclos","C"&amp;INT(((YEAR(B2566)-YEAR(parametros!$C$2))*12+MONTH(B2566)-MONTH(parametros!$C$2))/12)))))</f>
        <v/>
      </c>
      <c r="D2566" s="394"/>
      <c r="E2566" s="78" t="str">
        <f>IF(C2566="","",IFERROR(VLOOKUP(C2566,parametros!$A$11:$E$15,5,0),""))</f>
        <v/>
      </c>
      <c r="F2566" s="79" t="str">
        <f t="shared" si="202"/>
        <v/>
      </c>
      <c r="G2566" s="395"/>
      <c r="H2566" s="91">
        <f t="shared" si="203"/>
        <v>0</v>
      </c>
      <c r="I2566" s="91" t="str">
        <f t="shared" si="204"/>
        <v/>
      </c>
      <c r="J2566" s="91" t="str">
        <f t="shared" si="205"/>
        <v/>
      </c>
      <c r="K2566" s="92" t="str">
        <f>IF(AND(A2566="",B2566="",D2566="",G2566=""),"",IF(AND(A2566&lt;&gt;"",COUNTIF($A$2:$A$5001,A2566)&gt;1),"NUMERO_PC duplicado",IF(B2566="","DATA_PC vazia",IF(NOT(ISNUMBER(B2566)),"DATA_PC invalida",IF(OR(C2566="",C2566="Fora dos ciclos"),"CICLO_PC nao identificado",IF(OR(D2566="",D2566=0),"VALOR_PC vazio ou zero",IF(AND(G2566&lt;&gt;"Sim",G2566&lt;&gt;"Nao",G2566&lt;&gt;""),"PC_PAGO_A_CONTRATADA invalido",IF(AND(C2566&lt;&gt;"C0",IFERROR(INDEX(parametros!$A$2:$A$6,MATCH(C2566,parametros!$B$2:$B$6,0)),"")="Sim",IFERROR(INDEX(parametros!$H$2:$H$6,MATCH(C2566,parametros!$B$2:$B$6,0)),"")=""),"INICIO_EFEITO ausente: PC "&amp;A2566&amp;" - "&amp;C2566,IF(L2566="","EFEITO_PC nao calculado: PC "&amp;A2566&amp;" - "&amp;C2566,"OK")))))))))</f>
        <v/>
      </c>
      <c r="L2566" s="92" t="str">
        <f>IF(AND(A2566="",B2566="",D2566="",G2566=""),"",IF(OR(B2566="",NOT(ISNUMBER(B2566)),C2566="",C2566="Fora dos ciclos"),"",IF(C2566="C0","Nao",IF(IFERROR(INDEX(parametros!$A$2:$A$6,MATCH(C2566,parametros!$B$2:$B$6,0)),"")&lt;&gt;"Sim","Nao",IF(IFERROR(INDEX(parametros!$H$2:$H$6,MATCH(C2566,parametros!$B$2:$B$6,0)),"")="","",IF(B2566&gt;=IFERROR(INDEX(parametros!$H$2:$H$6,MATCH(C2566,parametros!$B$2:$B$6,0)),""),"Sim","Nao"))))))</f>
        <v/>
      </c>
      <c r="T2566" s="156"/>
      <c r="U2566" s="214" t="str">
        <f t="shared" si="206"/>
        <v/>
      </c>
      <c r="V2566" s="212" t="s">
        <v>50</v>
      </c>
      <c r="W2566" s="100" t="s">
        <v>168</v>
      </c>
      <c r="X2566" s="100" t="s">
        <v>169</v>
      </c>
      <c r="Y2566" s="101" t="s">
        <v>170</v>
      </c>
      <c r="Z2566" s="101" t="s">
        <v>171</v>
      </c>
      <c r="AA2566" s="101" t="s">
        <v>50</v>
      </c>
      <c r="AB2566" s="101" t="s">
        <v>172</v>
      </c>
      <c r="AC2566" s="102" t="s">
        <v>173</v>
      </c>
    </row>
    <row r="2567" spans="1:29" ht="25.5" customHeight="1" x14ac:dyDescent="0.35">
      <c r="A2567" s="392"/>
      <c r="B2567" s="393"/>
      <c r="C2567" s="99" t="str">
        <f>IF(B2567="","",IF(NOT(ISNUMBER(B2567)),"DATA_PC invalida",IF(NOT(ISNUMBER(parametros!$C$2)),"Fora dos ciclos",IF(OR(B2567&lt;parametros!$C$2,(YEAR(B2567)-YEAR(parametros!$C$2))*12+MONTH(B2567)-MONTH(parametros!$C$2)&gt;59),"Fora dos ciclos","C"&amp;INT(((YEAR(B2567)-YEAR(parametros!$C$2))*12+MONTH(B2567)-MONTH(parametros!$C$2))/12)))))</f>
        <v/>
      </c>
      <c r="D2567" s="394"/>
      <c r="E2567" s="78" t="str">
        <f>IF(C2567="","",IFERROR(VLOOKUP(C2567,parametros!$A$11:$E$15,5,0),""))</f>
        <v/>
      </c>
      <c r="F2567" s="79" t="str">
        <f t="shared" si="202"/>
        <v/>
      </c>
      <c r="G2567" s="395"/>
      <c r="H2567" s="91">
        <f t="shared" si="203"/>
        <v>0</v>
      </c>
      <c r="I2567" s="91" t="str">
        <f t="shared" si="204"/>
        <v/>
      </c>
      <c r="J2567" s="91" t="str">
        <f t="shared" si="205"/>
        <v/>
      </c>
      <c r="K2567" s="92" t="str">
        <f>IF(AND(A2567="",B2567="",D2567="",G2567=""),"",IF(AND(A2567&lt;&gt;"",COUNTIF($A$2:$A$5001,A2567)&gt;1),"NUMERO_PC duplicado",IF(B2567="","DATA_PC vazia",IF(NOT(ISNUMBER(B2567)),"DATA_PC invalida",IF(OR(C2567="",C2567="Fora dos ciclos"),"CICLO_PC nao identificado",IF(OR(D2567="",D2567=0),"VALOR_PC vazio ou zero",IF(AND(G2567&lt;&gt;"Sim",G2567&lt;&gt;"Nao",G2567&lt;&gt;""),"PC_PAGO_A_CONTRATADA invalido",IF(AND(C2567&lt;&gt;"C0",IFERROR(INDEX(parametros!$A$2:$A$6,MATCH(C2567,parametros!$B$2:$B$6,0)),"")="Sim",IFERROR(INDEX(parametros!$H$2:$H$6,MATCH(C2567,parametros!$B$2:$B$6,0)),"")=""),"INICIO_EFEITO ausente: PC "&amp;A2567&amp;" - "&amp;C2567,IF(L2567="","EFEITO_PC nao calculado: PC "&amp;A2567&amp;" - "&amp;C2567,"OK")))))))))</f>
        <v/>
      </c>
      <c r="L2567" s="92" t="str">
        <f>IF(AND(A2567="",B2567="",D2567="",G2567=""),"",IF(OR(B2567="",NOT(ISNUMBER(B2567)),C2567="",C2567="Fora dos ciclos"),"",IF(C2567="C0","Nao",IF(IFERROR(INDEX(parametros!$A$2:$A$6,MATCH(C2567,parametros!$B$2:$B$6,0)),"")&lt;&gt;"Sim","Nao",IF(IFERROR(INDEX(parametros!$H$2:$H$6,MATCH(C2567,parametros!$B$2:$B$6,0)),"")="","",IF(B2567&gt;=IFERROR(INDEX(parametros!$H$2:$H$6,MATCH(C2567,parametros!$B$2:$B$6,0)),""),"Sim","Nao"))))))</f>
        <v/>
      </c>
      <c r="T2567" s="156"/>
      <c r="U2567" s="214" t="str">
        <f t="shared" si="206"/>
        <v/>
      </c>
      <c r="V2567" s="212" t="s">
        <v>50</v>
      </c>
      <c r="W2567" s="100" t="s">
        <v>168</v>
      </c>
      <c r="X2567" s="100" t="s">
        <v>169</v>
      </c>
      <c r="Y2567" s="101" t="s">
        <v>170</v>
      </c>
      <c r="Z2567" s="101" t="s">
        <v>171</v>
      </c>
      <c r="AA2567" s="101" t="s">
        <v>50</v>
      </c>
      <c r="AB2567" s="101" t="s">
        <v>172</v>
      </c>
      <c r="AC2567" s="102" t="s">
        <v>173</v>
      </c>
    </row>
    <row r="2568" spans="1:29" ht="25.5" customHeight="1" x14ac:dyDescent="0.35">
      <c r="A2568" s="392"/>
      <c r="B2568" s="393"/>
      <c r="C2568" s="99" t="str">
        <f>IF(B2568="","",IF(NOT(ISNUMBER(B2568)),"DATA_PC invalida",IF(NOT(ISNUMBER(parametros!$C$2)),"Fora dos ciclos",IF(OR(B2568&lt;parametros!$C$2,(YEAR(B2568)-YEAR(parametros!$C$2))*12+MONTH(B2568)-MONTH(parametros!$C$2)&gt;59),"Fora dos ciclos","C"&amp;INT(((YEAR(B2568)-YEAR(parametros!$C$2))*12+MONTH(B2568)-MONTH(parametros!$C$2))/12)))))</f>
        <v/>
      </c>
      <c r="D2568" s="394"/>
      <c r="E2568" s="78" t="str">
        <f>IF(C2568="","",IFERROR(VLOOKUP(C2568,parametros!$A$11:$E$15,5,0),""))</f>
        <v/>
      </c>
      <c r="F2568" s="79" t="str">
        <f t="shared" si="202"/>
        <v/>
      </c>
      <c r="G2568" s="395"/>
      <c r="H2568" s="91">
        <f t="shared" si="203"/>
        <v>0</v>
      </c>
      <c r="I2568" s="91" t="str">
        <f t="shared" si="204"/>
        <v/>
      </c>
      <c r="J2568" s="91" t="str">
        <f t="shared" si="205"/>
        <v/>
      </c>
      <c r="K2568" s="92" t="str">
        <f>IF(AND(A2568="",B2568="",D2568="",G2568=""),"",IF(AND(A2568&lt;&gt;"",COUNTIF($A$2:$A$5001,A2568)&gt;1),"NUMERO_PC duplicado",IF(B2568="","DATA_PC vazia",IF(NOT(ISNUMBER(B2568)),"DATA_PC invalida",IF(OR(C2568="",C2568="Fora dos ciclos"),"CICLO_PC nao identificado",IF(OR(D2568="",D2568=0),"VALOR_PC vazio ou zero",IF(AND(G2568&lt;&gt;"Sim",G2568&lt;&gt;"Nao",G2568&lt;&gt;""),"PC_PAGO_A_CONTRATADA invalido",IF(AND(C2568&lt;&gt;"C0",IFERROR(INDEX(parametros!$A$2:$A$6,MATCH(C2568,parametros!$B$2:$B$6,0)),"")="Sim",IFERROR(INDEX(parametros!$H$2:$H$6,MATCH(C2568,parametros!$B$2:$B$6,0)),"")=""),"INICIO_EFEITO ausente: PC "&amp;A2568&amp;" - "&amp;C2568,IF(L2568="","EFEITO_PC nao calculado: PC "&amp;A2568&amp;" - "&amp;C2568,"OK")))))))))</f>
        <v/>
      </c>
      <c r="L2568" s="92" t="str">
        <f>IF(AND(A2568="",B2568="",D2568="",G2568=""),"",IF(OR(B2568="",NOT(ISNUMBER(B2568)),C2568="",C2568="Fora dos ciclos"),"",IF(C2568="C0","Nao",IF(IFERROR(INDEX(parametros!$A$2:$A$6,MATCH(C2568,parametros!$B$2:$B$6,0)),"")&lt;&gt;"Sim","Nao",IF(IFERROR(INDEX(parametros!$H$2:$H$6,MATCH(C2568,parametros!$B$2:$B$6,0)),"")="","",IF(B2568&gt;=IFERROR(INDEX(parametros!$H$2:$H$6,MATCH(C2568,parametros!$B$2:$B$6,0)),""),"Sim","Nao"))))))</f>
        <v/>
      </c>
      <c r="T2568" s="156"/>
      <c r="U2568" s="214" t="str">
        <f t="shared" si="206"/>
        <v/>
      </c>
      <c r="V2568" s="212" t="s">
        <v>50</v>
      </c>
      <c r="W2568" s="100" t="s">
        <v>168</v>
      </c>
      <c r="X2568" s="100" t="s">
        <v>169</v>
      </c>
      <c r="Y2568" s="101" t="s">
        <v>170</v>
      </c>
      <c r="Z2568" s="101" t="s">
        <v>171</v>
      </c>
      <c r="AA2568" s="101" t="s">
        <v>50</v>
      </c>
      <c r="AB2568" s="101" t="s">
        <v>172</v>
      </c>
      <c r="AC2568" s="102" t="s">
        <v>173</v>
      </c>
    </row>
    <row r="2569" spans="1:29" ht="25.5" customHeight="1" x14ac:dyDescent="0.35">
      <c r="A2569" s="392"/>
      <c r="B2569" s="393"/>
      <c r="C2569" s="99" t="str">
        <f>IF(B2569="","",IF(NOT(ISNUMBER(B2569)),"DATA_PC invalida",IF(NOT(ISNUMBER(parametros!$C$2)),"Fora dos ciclos",IF(OR(B2569&lt;parametros!$C$2,(YEAR(B2569)-YEAR(parametros!$C$2))*12+MONTH(B2569)-MONTH(parametros!$C$2)&gt;59),"Fora dos ciclos","C"&amp;INT(((YEAR(B2569)-YEAR(parametros!$C$2))*12+MONTH(B2569)-MONTH(parametros!$C$2))/12)))))</f>
        <v/>
      </c>
      <c r="D2569" s="394"/>
      <c r="E2569" s="78" t="str">
        <f>IF(C2569="","",IFERROR(VLOOKUP(C2569,parametros!$A$11:$E$15,5,0),""))</f>
        <v/>
      </c>
      <c r="F2569" s="79" t="str">
        <f t="shared" si="202"/>
        <v/>
      </c>
      <c r="G2569" s="395"/>
      <c r="H2569" s="91">
        <f t="shared" si="203"/>
        <v>0</v>
      </c>
      <c r="I2569" s="91" t="str">
        <f t="shared" si="204"/>
        <v/>
      </c>
      <c r="J2569" s="91" t="str">
        <f t="shared" si="205"/>
        <v/>
      </c>
      <c r="K2569" s="92" t="str">
        <f>IF(AND(A2569="",B2569="",D2569="",G2569=""),"",IF(AND(A2569&lt;&gt;"",COUNTIF($A$2:$A$5001,A2569)&gt;1),"NUMERO_PC duplicado",IF(B2569="","DATA_PC vazia",IF(NOT(ISNUMBER(B2569)),"DATA_PC invalida",IF(OR(C2569="",C2569="Fora dos ciclos"),"CICLO_PC nao identificado",IF(OR(D2569="",D2569=0),"VALOR_PC vazio ou zero",IF(AND(G2569&lt;&gt;"Sim",G2569&lt;&gt;"Nao",G2569&lt;&gt;""),"PC_PAGO_A_CONTRATADA invalido",IF(AND(C2569&lt;&gt;"C0",IFERROR(INDEX(parametros!$A$2:$A$6,MATCH(C2569,parametros!$B$2:$B$6,0)),"")="Sim",IFERROR(INDEX(parametros!$H$2:$H$6,MATCH(C2569,parametros!$B$2:$B$6,0)),"")=""),"INICIO_EFEITO ausente: PC "&amp;A2569&amp;" - "&amp;C2569,IF(L2569="","EFEITO_PC nao calculado: PC "&amp;A2569&amp;" - "&amp;C2569,"OK")))))))))</f>
        <v/>
      </c>
      <c r="L2569" s="92" t="str">
        <f>IF(AND(A2569="",B2569="",D2569="",G2569=""),"",IF(OR(B2569="",NOT(ISNUMBER(B2569)),C2569="",C2569="Fora dos ciclos"),"",IF(C2569="C0","Nao",IF(IFERROR(INDEX(parametros!$A$2:$A$6,MATCH(C2569,parametros!$B$2:$B$6,0)),"")&lt;&gt;"Sim","Nao",IF(IFERROR(INDEX(parametros!$H$2:$H$6,MATCH(C2569,parametros!$B$2:$B$6,0)),"")="","",IF(B2569&gt;=IFERROR(INDEX(parametros!$H$2:$H$6,MATCH(C2569,parametros!$B$2:$B$6,0)),""),"Sim","Nao"))))))</f>
        <v/>
      </c>
      <c r="T2569" s="156"/>
      <c r="U2569" s="214" t="str">
        <f t="shared" si="206"/>
        <v/>
      </c>
      <c r="V2569" s="212" t="s">
        <v>50</v>
      </c>
      <c r="W2569" s="100" t="s">
        <v>168</v>
      </c>
      <c r="X2569" s="100" t="s">
        <v>169</v>
      </c>
      <c r="Y2569" s="101" t="s">
        <v>170</v>
      </c>
      <c r="Z2569" s="101" t="s">
        <v>171</v>
      </c>
      <c r="AA2569" s="101" t="s">
        <v>50</v>
      </c>
      <c r="AB2569" s="101" t="s">
        <v>172</v>
      </c>
      <c r="AC2569" s="102" t="s">
        <v>173</v>
      </c>
    </row>
    <row r="2570" spans="1:29" ht="25.5" customHeight="1" x14ac:dyDescent="0.35">
      <c r="A2570" s="392"/>
      <c r="B2570" s="393"/>
      <c r="C2570" s="99" t="str">
        <f>IF(B2570="","",IF(NOT(ISNUMBER(B2570)),"DATA_PC invalida",IF(NOT(ISNUMBER(parametros!$C$2)),"Fora dos ciclos",IF(OR(B2570&lt;parametros!$C$2,(YEAR(B2570)-YEAR(parametros!$C$2))*12+MONTH(B2570)-MONTH(parametros!$C$2)&gt;59),"Fora dos ciclos","C"&amp;INT(((YEAR(B2570)-YEAR(parametros!$C$2))*12+MONTH(B2570)-MONTH(parametros!$C$2))/12)))))</f>
        <v/>
      </c>
      <c r="D2570" s="394"/>
      <c r="E2570" s="78" t="str">
        <f>IF(C2570="","",IFERROR(VLOOKUP(C2570,parametros!$A$11:$E$15,5,0),""))</f>
        <v/>
      </c>
      <c r="F2570" s="79" t="str">
        <f t="shared" si="202"/>
        <v/>
      </c>
      <c r="G2570" s="395"/>
      <c r="H2570" s="91">
        <f t="shared" si="203"/>
        <v>0</v>
      </c>
      <c r="I2570" s="91" t="str">
        <f t="shared" si="204"/>
        <v/>
      </c>
      <c r="J2570" s="91" t="str">
        <f t="shared" si="205"/>
        <v/>
      </c>
      <c r="K2570" s="92" t="str">
        <f>IF(AND(A2570="",B2570="",D2570="",G2570=""),"",IF(AND(A2570&lt;&gt;"",COUNTIF($A$2:$A$5001,A2570)&gt;1),"NUMERO_PC duplicado",IF(B2570="","DATA_PC vazia",IF(NOT(ISNUMBER(B2570)),"DATA_PC invalida",IF(OR(C2570="",C2570="Fora dos ciclos"),"CICLO_PC nao identificado",IF(OR(D2570="",D2570=0),"VALOR_PC vazio ou zero",IF(AND(G2570&lt;&gt;"Sim",G2570&lt;&gt;"Nao",G2570&lt;&gt;""),"PC_PAGO_A_CONTRATADA invalido",IF(AND(C2570&lt;&gt;"C0",IFERROR(INDEX(parametros!$A$2:$A$6,MATCH(C2570,parametros!$B$2:$B$6,0)),"")="Sim",IFERROR(INDEX(parametros!$H$2:$H$6,MATCH(C2570,parametros!$B$2:$B$6,0)),"")=""),"INICIO_EFEITO ausente: PC "&amp;A2570&amp;" - "&amp;C2570,IF(L2570="","EFEITO_PC nao calculado: PC "&amp;A2570&amp;" - "&amp;C2570,"OK")))))))))</f>
        <v/>
      </c>
      <c r="L2570" s="92" t="str">
        <f>IF(AND(A2570="",B2570="",D2570="",G2570=""),"",IF(OR(B2570="",NOT(ISNUMBER(B2570)),C2570="",C2570="Fora dos ciclos"),"",IF(C2570="C0","Nao",IF(IFERROR(INDEX(parametros!$A$2:$A$6,MATCH(C2570,parametros!$B$2:$B$6,0)),"")&lt;&gt;"Sim","Nao",IF(IFERROR(INDEX(parametros!$H$2:$H$6,MATCH(C2570,parametros!$B$2:$B$6,0)),"")="","",IF(B2570&gt;=IFERROR(INDEX(parametros!$H$2:$H$6,MATCH(C2570,parametros!$B$2:$B$6,0)),""),"Sim","Nao"))))))</f>
        <v/>
      </c>
      <c r="T2570" s="156"/>
      <c r="U2570" s="214" t="str">
        <f t="shared" si="206"/>
        <v/>
      </c>
      <c r="V2570" s="212" t="s">
        <v>50</v>
      </c>
      <c r="W2570" s="100" t="s">
        <v>168</v>
      </c>
      <c r="X2570" s="100" t="s">
        <v>169</v>
      </c>
      <c r="Y2570" s="101" t="s">
        <v>170</v>
      </c>
      <c r="Z2570" s="101" t="s">
        <v>171</v>
      </c>
      <c r="AA2570" s="101" t="s">
        <v>50</v>
      </c>
      <c r="AB2570" s="101" t="s">
        <v>172</v>
      </c>
      <c r="AC2570" s="102" t="s">
        <v>173</v>
      </c>
    </row>
    <row r="2571" spans="1:29" ht="25.5" customHeight="1" x14ac:dyDescent="0.35">
      <c r="A2571" s="392"/>
      <c r="B2571" s="393"/>
      <c r="C2571" s="99" t="str">
        <f>IF(B2571="","",IF(NOT(ISNUMBER(B2571)),"DATA_PC invalida",IF(NOT(ISNUMBER(parametros!$C$2)),"Fora dos ciclos",IF(OR(B2571&lt;parametros!$C$2,(YEAR(B2571)-YEAR(parametros!$C$2))*12+MONTH(B2571)-MONTH(parametros!$C$2)&gt;59),"Fora dos ciclos","C"&amp;INT(((YEAR(B2571)-YEAR(parametros!$C$2))*12+MONTH(B2571)-MONTH(parametros!$C$2))/12)))))</f>
        <v/>
      </c>
      <c r="D2571" s="394"/>
      <c r="E2571" s="78" t="str">
        <f>IF(C2571="","",IFERROR(VLOOKUP(C2571,parametros!$A$11:$E$15,5,0),""))</f>
        <v/>
      </c>
      <c r="F2571" s="79" t="str">
        <f t="shared" si="202"/>
        <v/>
      </c>
      <c r="G2571" s="395"/>
      <c r="H2571" s="91">
        <f t="shared" si="203"/>
        <v>0</v>
      </c>
      <c r="I2571" s="91" t="str">
        <f t="shared" si="204"/>
        <v/>
      </c>
      <c r="J2571" s="91" t="str">
        <f t="shared" si="205"/>
        <v/>
      </c>
      <c r="K2571" s="92" t="str">
        <f>IF(AND(A2571="",B2571="",D2571="",G2571=""),"",IF(AND(A2571&lt;&gt;"",COUNTIF($A$2:$A$5001,A2571)&gt;1),"NUMERO_PC duplicado",IF(B2571="","DATA_PC vazia",IF(NOT(ISNUMBER(B2571)),"DATA_PC invalida",IF(OR(C2571="",C2571="Fora dos ciclos"),"CICLO_PC nao identificado",IF(OR(D2571="",D2571=0),"VALOR_PC vazio ou zero",IF(AND(G2571&lt;&gt;"Sim",G2571&lt;&gt;"Nao",G2571&lt;&gt;""),"PC_PAGO_A_CONTRATADA invalido",IF(AND(C2571&lt;&gt;"C0",IFERROR(INDEX(parametros!$A$2:$A$6,MATCH(C2571,parametros!$B$2:$B$6,0)),"")="Sim",IFERROR(INDEX(parametros!$H$2:$H$6,MATCH(C2571,parametros!$B$2:$B$6,0)),"")=""),"INICIO_EFEITO ausente: PC "&amp;A2571&amp;" - "&amp;C2571,IF(L2571="","EFEITO_PC nao calculado: PC "&amp;A2571&amp;" - "&amp;C2571,"OK")))))))))</f>
        <v/>
      </c>
      <c r="L2571" s="92" t="str">
        <f>IF(AND(A2571="",B2571="",D2571="",G2571=""),"",IF(OR(B2571="",NOT(ISNUMBER(B2571)),C2571="",C2571="Fora dos ciclos"),"",IF(C2571="C0","Nao",IF(IFERROR(INDEX(parametros!$A$2:$A$6,MATCH(C2571,parametros!$B$2:$B$6,0)),"")&lt;&gt;"Sim","Nao",IF(IFERROR(INDEX(parametros!$H$2:$H$6,MATCH(C2571,parametros!$B$2:$B$6,0)),"")="","",IF(B2571&gt;=IFERROR(INDEX(parametros!$H$2:$H$6,MATCH(C2571,parametros!$B$2:$B$6,0)),""),"Sim","Nao"))))))</f>
        <v/>
      </c>
      <c r="T2571" s="156"/>
      <c r="U2571" s="214" t="str">
        <f t="shared" si="206"/>
        <v/>
      </c>
      <c r="V2571" s="212" t="s">
        <v>50</v>
      </c>
      <c r="W2571" s="100" t="s">
        <v>168</v>
      </c>
      <c r="X2571" s="100" t="s">
        <v>169</v>
      </c>
      <c r="Y2571" s="101" t="s">
        <v>170</v>
      </c>
      <c r="Z2571" s="101" t="s">
        <v>171</v>
      </c>
      <c r="AA2571" s="101" t="s">
        <v>50</v>
      </c>
      <c r="AB2571" s="101" t="s">
        <v>172</v>
      </c>
      <c r="AC2571" s="102" t="s">
        <v>173</v>
      </c>
    </row>
    <row r="2572" spans="1:29" ht="25.5" customHeight="1" x14ac:dyDescent="0.35">
      <c r="A2572" s="392"/>
      <c r="B2572" s="393"/>
      <c r="C2572" s="99" t="str">
        <f>IF(B2572="","",IF(NOT(ISNUMBER(B2572)),"DATA_PC invalida",IF(NOT(ISNUMBER(parametros!$C$2)),"Fora dos ciclos",IF(OR(B2572&lt;parametros!$C$2,(YEAR(B2572)-YEAR(parametros!$C$2))*12+MONTH(B2572)-MONTH(parametros!$C$2)&gt;59),"Fora dos ciclos","C"&amp;INT(((YEAR(B2572)-YEAR(parametros!$C$2))*12+MONTH(B2572)-MONTH(parametros!$C$2))/12)))))</f>
        <v/>
      </c>
      <c r="D2572" s="394"/>
      <c r="E2572" s="78" t="str">
        <f>IF(C2572="","",IFERROR(VLOOKUP(C2572,parametros!$A$11:$E$15,5,0),""))</f>
        <v/>
      </c>
      <c r="F2572" s="79" t="str">
        <f t="shared" si="202"/>
        <v/>
      </c>
      <c r="G2572" s="395"/>
      <c r="H2572" s="91">
        <f t="shared" si="203"/>
        <v>0</v>
      </c>
      <c r="I2572" s="91" t="str">
        <f t="shared" si="204"/>
        <v/>
      </c>
      <c r="J2572" s="91" t="str">
        <f t="shared" si="205"/>
        <v/>
      </c>
      <c r="K2572" s="92" t="str">
        <f>IF(AND(A2572="",B2572="",D2572="",G2572=""),"",IF(AND(A2572&lt;&gt;"",COUNTIF($A$2:$A$5001,A2572)&gt;1),"NUMERO_PC duplicado",IF(B2572="","DATA_PC vazia",IF(NOT(ISNUMBER(B2572)),"DATA_PC invalida",IF(OR(C2572="",C2572="Fora dos ciclos"),"CICLO_PC nao identificado",IF(OR(D2572="",D2572=0),"VALOR_PC vazio ou zero",IF(AND(G2572&lt;&gt;"Sim",G2572&lt;&gt;"Nao",G2572&lt;&gt;""),"PC_PAGO_A_CONTRATADA invalido",IF(AND(C2572&lt;&gt;"C0",IFERROR(INDEX(parametros!$A$2:$A$6,MATCH(C2572,parametros!$B$2:$B$6,0)),"")="Sim",IFERROR(INDEX(parametros!$H$2:$H$6,MATCH(C2572,parametros!$B$2:$B$6,0)),"")=""),"INICIO_EFEITO ausente: PC "&amp;A2572&amp;" - "&amp;C2572,IF(L2572="","EFEITO_PC nao calculado: PC "&amp;A2572&amp;" - "&amp;C2572,"OK")))))))))</f>
        <v/>
      </c>
      <c r="L2572" s="92" t="str">
        <f>IF(AND(A2572="",B2572="",D2572="",G2572=""),"",IF(OR(B2572="",NOT(ISNUMBER(B2572)),C2572="",C2572="Fora dos ciclos"),"",IF(C2572="C0","Nao",IF(IFERROR(INDEX(parametros!$A$2:$A$6,MATCH(C2572,parametros!$B$2:$B$6,0)),"")&lt;&gt;"Sim","Nao",IF(IFERROR(INDEX(parametros!$H$2:$H$6,MATCH(C2572,parametros!$B$2:$B$6,0)),"")="","",IF(B2572&gt;=IFERROR(INDEX(parametros!$H$2:$H$6,MATCH(C2572,parametros!$B$2:$B$6,0)),""),"Sim","Nao"))))))</f>
        <v/>
      </c>
      <c r="T2572" s="156"/>
      <c r="U2572" s="214" t="str">
        <f t="shared" si="206"/>
        <v/>
      </c>
      <c r="V2572" s="212" t="s">
        <v>50</v>
      </c>
      <c r="W2572" s="100" t="s">
        <v>168</v>
      </c>
      <c r="X2572" s="100" t="s">
        <v>169</v>
      </c>
      <c r="Y2572" s="101" t="s">
        <v>170</v>
      </c>
      <c r="Z2572" s="101" t="s">
        <v>171</v>
      </c>
      <c r="AA2572" s="101" t="s">
        <v>50</v>
      </c>
      <c r="AB2572" s="101" t="s">
        <v>172</v>
      </c>
      <c r="AC2572" s="102" t="s">
        <v>173</v>
      </c>
    </row>
    <row r="2573" spans="1:29" ht="25.5" customHeight="1" x14ac:dyDescent="0.35">
      <c r="A2573" s="392"/>
      <c r="B2573" s="393"/>
      <c r="C2573" s="99" t="str">
        <f>IF(B2573="","",IF(NOT(ISNUMBER(B2573)),"DATA_PC invalida",IF(NOT(ISNUMBER(parametros!$C$2)),"Fora dos ciclos",IF(OR(B2573&lt;parametros!$C$2,(YEAR(B2573)-YEAR(parametros!$C$2))*12+MONTH(B2573)-MONTH(parametros!$C$2)&gt;59),"Fora dos ciclos","C"&amp;INT(((YEAR(B2573)-YEAR(parametros!$C$2))*12+MONTH(B2573)-MONTH(parametros!$C$2))/12)))))</f>
        <v/>
      </c>
      <c r="D2573" s="394"/>
      <c r="E2573" s="78" t="str">
        <f>IF(C2573="","",IFERROR(VLOOKUP(C2573,parametros!$A$11:$E$15,5,0),""))</f>
        <v/>
      </c>
      <c r="F2573" s="79" t="str">
        <f t="shared" si="202"/>
        <v/>
      </c>
      <c r="G2573" s="395"/>
      <c r="H2573" s="91">
        <f t="shared" si="203"/>
        <v>0</v>
      </c>
      <c r="I2573" s="91" t="str">
        <f t="shared" si="204"/>
        <v/>
      </c>
      <c r="J2573" s="91" t="str">
        <f t="shared" si="205"/>
        <v/>
      </c>
      <c r="K2573" s="92" t="str">
        <f>IF(AND(A2573="",B2573="",D2573="",G2573=""),"",IF(AND(A2573&lt;&gt;"",COUNTIF($A$2:$A$5001,A2573)&gt;1),"NUMERO_PC duplicado",IF(B2573="","DATA_PC vazia",IF(NOT(ISNUMBER(B2573)),"DATA_PC invalida",IF(OR(C2573="",C2573="Fora dos ciclos"),"CICLO_PC nao identificado",IF(OR(D2573="",D2573=0),"VALOR_PC vazio ou zero",IF(AND(G2573&lt;&gt;"Sim",G2573&lt;&gt;"Nao",G2573&lt;&gt;""),"PC_PAGO_A_CONTRATADA invalido",IF(AND(C2573&lt;&gt;"C0",IFERROR(INDEX(parametros!$A$2:$A$6,MATCH(C2573,parametros!$B$2:$B$6,0)),"")="Sim",IFERROR(INDEX(parametros!$H$2:$H$6,MATCH(C2573,parametros!$B$2:$B$6,0)),"")=""),"INICIO_EFEITO ausente: PC "&amp;A2573&amp;" - "&amp;C2573,IF(L2573="","EFEITO_PC nao calculado: PC "&amp;A2573&amp;" - "&amp;C2573,"OK")))))))))</f>
        <v/>
      </c>
      <c r="L2573" s="92" t="str">
        <f>IF(AND(A2573="",B2573="",D2573="",G2573=""),"",IF(OR(B2573="",NOT(ISNUMBER(B2573)),C2573="",C2573="Fora dos ciclos"),"",IF(C2573="C0","Nao",IF(IFERROR(INDEX(parametros!$A$2:$A$6,MATCH(C2573,parametros!$B$2:$B$6,0)),"")&lt;&gt;"Sim","Nao",IF(IFERROR(INDEX(parametros!$H$2:$H$6,MATCH(C2573,parametros!$B$2:$B$6,0)),"")="","",IF(B2573&gt;=IFERROR(INDEX(parametros!$H$2:$H$6,MATCH(C2573,parametros!$B$2:$B$6,0)),""),"Sim","Nao"))))))</f>
        <v/>
      </c>
      <c r="T2573" s="156"/>
      <c r="U2573" s="214" t="str">
        <f t="shared" si="206"/>
        <v/>
      </c>
      <c r="V2573" s="212" t="s">
        <v>50</v>
      </c>
      <c r="W2573" s="100" t="s">
        <v>168</v>
      </c>
      <c r="X2573" s="100" t="s">
        <v>169</v>
      </c>
      <c r="Y2573" s="101" t="s">
        <v>170</v>
      </c>
      <c r="Z2573" s="101" t="s">
        <v>171</v>
      </c>
      <c r="AA2573" s="101" t="s">
        <v>50</v>
      </c>
      <c r="AB2573" s="101" t="s">
        <v>172</v>
      </c>
      <c r="AC2573" s="102" t="s">
        <v>173</v>
      </c>
    </row>
    <row r="2574" spans="1:29" ht="25.5" customHeight="1" x14ac:dyDescent="0.35">
      <c r="A2574" s="392"/>
      <c r="B2574" s="393"/>
      <c r="C2574" s="99" t="str">
        <f>IF(B2574="","",IF(NOT(ISNUMBER(B2574)),"DATA_PC invalida",IF(NOT(ISNUMBER(parametros!$C$2)),"Fora dos ciclos",IF(OR(B2574&lt;parametros!$C$2,(YEAR(B2574)-YEAR(parametros!$C$2))*12+MONTH(B2574)-MONTH(parametros!$C$2)&gt;59),"Fora dos ciclos","C"&amp;INT(((YEAR(B2574)-YEAR(parametros!$C$2))*12+MONTH(B2574)-MONTH(parametros!$C$2))/12)))))</f>
        <v/>
      </c>
      <c r="D2574" s="394"/>
      <c r="E2574" s="78" t="str">
        <f>IF(C2574="","",IFERROR(VLOOKUP(C2574,parametros!$A$11:$E$15,5,0),""))</f>
        <v/>
      </c>
      <c r="F2574" s="79" t="str">
        <f t="shared" si="202"/>
        <v/>
      </c>
      <c r="G2574" s="395"/>
      <c r="H2574" s="91">
        <f t="shared" si="203"/>
        <v>0</v>
      </c>
      <c r="I2574" s="91" t="str">
        <f t="shared" si="204"/>
        <v/>
      </c>
      <c r="J2574" s="91" t="str">
        <f t="shared" si="205"/>
        <v/>
      </c>
      <c r="K2574" s="92" t="str">
        <f>IF(AND(A2574="",B2574="",D2574="",G2574=""),"",IF(AND(A2574&lt;&gt;"",COUNTIF($A$2:$A$5001,A2574)&gt;1),"NUMERO_PC duplicado",IF(B2574="","DATA_PC vazia",IF(NOT(ISNUMBER(B2574)),"DATA_PC invalida",IF(OR(C2574="",C2574="Fora dos ciclos"),"CICLO_PC nao identificado",IF(OR(D2574="",D2574=0),"VALOR_PC vazio ou zero",IF(AND(G2574&lt;&gt;"Sim",G2574&lt;&gt;"Nao",G2574&lt;&gt;""),"PC_PAGO_A_CONTRATADA invalido",IF(AND(C2574&lt;&gt;"C0",IFERROR(INDEX(parametros!$A$2:$A$6,MATCH(C2574,parametros!$B$2:$B$6,0)),"")="Sim",IFERROR(INDEX(parametros!$H$2:$H$6,MATCH(C2574,parametros!$B$2:$B$6,0)),"")=""),"INICIO_EFEITO ausente: PC "&amp;A2574&amp;" - "&amp;C2574,IF(L2574="","EFEITO_PC nao calculado: PC "&amp;A2574&amp;" - "&amp;C2574,"OK")))))))))</f>
        <v/>
      </c>
      <c r="L2574" s="92" t="str">
        <f>IF(AND(A2574="",B2574="",D2574="",G2574=""),"",IF(OR(B2574="",NOT(ISNUMBER(B2574)),C2574="",C2574="Fora dos ciclos"),"",IF(C2574="C0","Nao",IF(IFERROR(INDEX(parametros!$A$2:$A$6,MATCH(C2574,parametros!$B$2:$B$6,0)),"")&lt;&gt;"Sim","Nao",IF(IFERROR(INDEX(parametros!$H$2:$H$6,MATCH(C2574,parametros!$B$2:$B$6,0)),"")="","",IF(B2574&gt;=IFERROR(INDEX(parametros!$H$2:$H$6,MATCH(C2574,parametros!$B$2:$B$6,0)),""),"Sim","Nao"))))))</f>
        <v/>
      </c>
      <c r="T2574" s="156"/>
      <c r="U2574" s="214" t="str">
        <f t="shared" si="206"/>
        <v/>
      </c>
      <c r="V2574" s="212" t="s">
        <v>50</v>
      </c>
      <c r="W2574" s="100" t="s">
        <v>168</v>
      </c>
      <c r="X2574" s="100" t="s">
        <v>169</v>
      </c>
      <c r="Y2574" s="101" t="s">
        <v>170</v>
      </c>
      <c r="Z2574" s="101" t="s">
        <v>171</v>
      </c>
      <c r="AA2574" s="101" t="s">
        <v>50</v>
      </c>
      <c r="AB2574" s="101" t="s">
        <v>172</v>
      </c>
      <c r="AC2574" s="102" t="s">
        <v>173</v>
      </c>
    </row>
    <row r="2575" spans="1:29" ht="25.5" customHeight="1" x14ac:dyDescent="0.35">
      <c r="A2575" s="392"/>
      <c r="B2575" s="393"/>
      <c r="C2575" s="99" t="str">
        <f>IF(B2575="","",IF(NOT(ISNUMBER(B2575)),"DATA_PC invalida",IF(NOT(ISNUMBER(parametros!$C$2)),"Fora dos ciclos",IF(OR(B2575&lt;parametros!$C$2,(YEAR(B2575)-YEAR(parametros!$C$2))*12+MONTH(B2575)-MONTH(parametros!$C$2)&gt;59),"Fora dos ciclos","C"&amp;INT(((YEAR(B2575)-YEAR(parametros!$C$2))*12+MONTH(B2575)-MONTH(parametros!$C$2))/12)))))</f>
        <v/>
      </c>
      <c r="D2575" s="394"/>
      <c r="E2575" s="78" t="str">
        <f>IF(C2575="","",IFERROR(VLOOKUP(C2575,parametros!$A$11:$E$15,5,0),""))</f>
        <v/>
      </c>
      <c r="F2575" s="79" t="str">
        <f t="shared" si="202"/>
        <v/>
      </c>
      <c r="G2575" s="395"/>
      <c r="H2575" s="91">
        <f t="shared" si="203"/>
        <v>0</v>
      </c>
      <c r="I2575" s="91" t="str">
        <f t="shared" si="204"/>
        <v/>
      </c>
      <c r="J2575" s="91" t="str">
        <f t="shared" si="205"/>
        <v/>
      </c>
      <c r="K2575" s="92" t="str">
        <f>IF(AND(A2575="",B2575="",D2575="",G2575=""),"",IF(AND(A2575&lt;&gt;"",COUNTIF($A$2:$A$5001,A2575)&gt;1),"NUMERO_PC duplicado",IF(B2575="","DATA_PC vazia",IF(NOT(ISNUMBER(B2575)),"DATA_PC invalida",IF(OR(C2575="",C2575="Fora dos ciclos"),"CICLO_PC nao identificado",IF(OR(D2575="",D2575=0),"VALOR_PC vazio ou zero",IF(AND(G2575&lt;&gt;"Sim",G2575&lt;&gt;"Nao",G2575&lt;&gt;""),"PC_PAGO_A_CONTRATADA invalido",IF(AND(C2575&lt;&gt;"C0",IFERROR(INDEX(parametros!$A$2:$A$6,MATCH(C2575,parametros!$B$2:$B$6,0)),"")="Sim",IFERROR(INDEX(parametros!$H$2:$H$6,MATCH(C2575,parametros!$B$2:$B$6,0)),"")=""),"INICIO_EFEITO ausente: PC "&amp;A2575&amp;" - "&amp;C2575,IF(L2575="","EFEITO_PC nao calculado: PC "&amp;A2575&amp;" - "&amp;C2575,"OK")))))))))</f>
        <v/>
      </c>
      <c r="L2575" s="92" t="str">
        <f>IF(AND(A2575="",B2575="",D2575="",G2575=""),"",IF(OR(B2575="",NOT(ISNUMBER(B2575)),C2575="",C2575="Fora dos ciclos"),"",IF(C2575="C0","Nao",IF(IFERROR(INDEX(parametros!$A$2:$A$6,MATCH(C2575,parametros!$B$2:$B$6,0)),"")&lt;&gt;"Sim","Nao",IF(IFERROR(INDEX(parametros!$H$2:$H$6,MATCH(C2575,parametros!$B$2:$B$6,0)),"")="","",IF(B2575&gt;=IFERROR(INDEX(parametros!$H$2:$H$6,MATCH(C2575,parametros!$B$2:$B$6,0)),""),"Sim","Nao"))))))</f>
        <v/>
      </c>
      <c r="T2575" s="156"/>
      <c r="U2575" s="214" t="str">
        <f t="shared" si="206"/>
        <v/>
      </c>
      <c r="V2575" s="212" t="s">
        <v>50</v>
      </c>
      <c r="W2575" s="100" t="s">
        <v>168</v>
      </c>
      <c r="X2575" s="100" t="s">
        <v>169</v>
      </c>
      <c r="Y2575" s="101" t="s">
        <v>170</v>
      </c>
      <c r="Z2575" s="101" t="s">
        <v>171</v>
      </c>
      <c r="AA2575" s="101" t="s">
        <v>50</v>
      </c>
      <c r="AB2575" s="101" t="s">
        <v>172</v>
      </c>
      <c r="AC2575" s="102" t="s">
        <v>173</v>
      </c>
    </row>
    <row r="2576" spans="1:29" ht="25.5" customHeight="1" x14ac:dyDescent="0.35">
      <c r="A2576" s="392"/>
      <c r="B2576" s="393"/>
      <c r="C2576" s="99" t="str">
        <f>IF(B2576="","",IF(NOT(ISNUMBER(B2576)),"DATA_PC invalida",IF(NOT(ISNUMBER(parametros!$C$2)),"Fora dos ciclos",IF(OR(B2576&lt;parametros!$C$2,(YEAR(B2576)-YEAR(parametros!$C$2))*12+MONTH(B2576)-MONTH(parametros!$C$2)&gt;59),"Fora dos ciclos","C"&amp;INT(((YEAR(B2576)-YEAR(parametros!$C$2))*12+MONTH(B2576)-MONTH(parametros!$C$2))/12)))))</f>
        <v/>
      </c>
      <c r="D2576" s="394"/>
      <c r="E2576" s="78" t="str">
        <f>IF(C2576="","",IFERROR(VLOOKUP(C2576,parametros!$A$11:$E$15,5,0),""))</f>
        <v/>
      </c>
      <c r="F2576" s="79" t="str">
        <f t="shared" si="202"/>
        <v/>
      </c>
      <c r="G2576" s="395"/>
      <c r="H2576" s="91">
        <f t="shared" si="203"/>
        <v>0</v>
      </c>
      <c r="I2576" s="91" t="str">
        <f t="shared" si="204"/>
        <v/>
      </c>
      <c r="J2576" s="91" t="str">
        <f t="shared" si="205"/>
        <v/>
      </c>
      <c r="K2576" s="92" t="str">
        <f>IF(AND(A2576="",B2576="",D2576="",G2576=""),"",IF(AND(A2576&lt;&gt;"",COUNTIF($A$2:$A$5001,A2576)&gt;1),"NUMERO_PC duplicado",IF(B2576="","DATA_PC vazia",IF(NOT(ISNUMBER(B2576)),"DATA_PC invalida",IF(OR(C2576="",C2576="Fora dos ciclos"),"CICLO_PC nao identificado",IF(OR(D2576="",D2576=0),"VALOR_PC vazio ou zero",IF(AND(G2576&lt;&gt;"Sim",G2576&lt;&gt;"Nao",G2576&lt;&gt;""),"PC_PAGO_A_CONTRATADA invalido",IF(AND(C2576&lt;&gt;"C0",IFERROR(INDEX(parametros!$A$2:$A$6,MATCH(C2576,parametros!$B$2:$B$6,0)),"")="Sim",IFERROR(INDEX(parametros!$H$2:$H$6,MATCH(C2576,parametros!$B$2:$B$6,0)),"")=""),"INICIO_EFEITO ausente: PC "&amp;A2576&amp;" - "&amp;C2576,IF(L2576="","EFEITO_PC nao calculado: PC "&amp;A2576&amp;" - "&amp;C2576,"OK")))))))))</f>
        <v/>
      </c>
      <c r="L2576" s="92" t="str">
        <f>IF(AND(A2576="",B2576="",D2576="",G2576=""),"",IF(OR(B2576="",NOT(ISNUMBER(B2576)),C2576="",C2576="Fora dos ciclos"),"",IF(C2576="C0","Nao",IF(IFERROR(INDEX(parametros!$A$2:$A$6,MATCH(C2576,parametros!$B$2:$B$6,0)),"")&lt;&gt;"Sim","Nao",IF(IFERROR(INDEX(parametros!$H$2:$H$6,MATCH(C2576,parametros!$B$2:$B$6,0)),"")="","",IF(B2576&gt;=IFERROR(INDEX(parametros!$H$2:$H$6,MATCH(C2576,parametros!$B$2:$B$6,0)),""),"Sim","Nao"))))))</f>
        <v/>
      </c>
      <c r="T2576" s="156"/>
      <c r="U2576" s="214" t="str">
        <f t="shared" si="206"/>
        <v/>
      </c>
      <c r="V2576" s="212" t="s">
        <v>50</v>
      </c>
      <c r="W2576" s="100" t="s">
        <v>168</v>
      </c>
      <c r="X2576" s="100" t="s">
        <v>169</v>
      </c>
      <c r="Y2576" s="101" t="s">
        <v>170</v>
      </c>
      <c r="Z2576" s="101" t="s">
        <v>171</v>
      </c>
      <c r="AA2576" s="101" t="s">
        <v>50</v>
      </c>
      <c r="AB2576" s="101" t="s">
        <v>172</v>
      </c>
      <c r="AC2576" s="102" t="s">
        <v>173</v>
      </c>
    </row>
    <row r="2577" spans="1:29" ht="25.5" customHeight="1" x14ac:dyDescent="0.35">
      <c r="A2577" s="392"/>
      <c r="B2577" s="393"/>
      <c r="C2577" s="99" t="str">
        <f>IF(B2577="","",IF(NOT(ISNUMBER(B2577)),"DATA_PC invalida",IF(NOT(ISNUMBER(parametros!$C$2)),"Fora dos ciclos",IF(OR(B2577&lt;parametros!$C$2,(YEAR(B2577)-YEAR(parametros!$C$2))*12+MONTH(B2577)-MONTH(parametros!$C$2)&gt;59),"Fora dos ciclos","C"&amp;INT(((YEAR(B2577)-YEAR(parametros!$C$2))*12+MONTH(B2577)-MONTH(parametros!$C$2))/12)))))</f>
        <v/>
      </c>
      <c r="D2577" s="394"/>
      <c r="E2577" s="78" t="str">
        <f>IF(C2577="","",IFERROR(VLOOKUP(C2577,parametros!$A$11:$E$15,5,0),""))</f>
        <v/>
      </c>
      <c r="F2577" s="79" t="str">
        <f t="shared" si="202"/>
        <v/>
      </c>
      <c r="G2577" s="395"/>
      <c r="H2577" s="91">
        <f t="shared" si="203"/>
        <v>0</v>
      </c>
      <c r="I2577" s="91" t="str">
        <f t="shared" si="204"/>
        <v/>
      </c>
      <c r="J2577" s="91" t="str">
        <f t="shared" si="205"/>
        <v/>
      </c>
      <c r="K2577" s="92" t="str">
        <f>IF(AND(A2577="",B2577="",D2577="",G2577=""),"",IF(AND(A2577&lt;&gt;"",COUNTIF($A$2:$A$5001,A2577)&gt;1),"NUMERO_PC duplicado",IF(B2577="","DATA_PC vazia",IF(NOT(ISNUMBER(B2577)),"DATA_PC invalida",IF(OR(C2577="",C2577="Fora dos ciclos"),"CICLO_PC nao identificado",IF(OR(D2577="",D2577=0),"VALOR_PC vazio ou zero",IF(AND(G2577&lt;&gt;"Sim",G2577&lt;&gt;"Nao",G2577&lt;&gt;""),"PC_PAGO_A_CONTRATADA invalido",IF(AND(C2577&lt;&gt;"C0",IFERROR(INDEX(parametros!$A$2:$A$6,MATCH(C2577,parametros!$B$2:$B$6,0)),"")="Sim",IFERROR(INDEX(parametros!$H$2:$H$6,MATCH(C2577,parametros!$B$2:$B$6,0)),"")=""),"INICIO_EFEITO ausente: PC "&amp;A2577&amp;" - "&amp;C2577,IF(L2577="","EFEITO_PC nao calculado: PC "&amp;A2577&amp;" - "&amp;C2577,"OK")))))))))</f>
        <v/>
      </c>
      <c r="L2577" s="92" t="str">
        <f>IF(AND(A2577="",B2577="",D2577="",G2577=""),"",IF(OR(B2577="",NOT(ISNUMBER(B2577)),C2577="",C2577="Fora dos ciclos"),"",IF(C2577="C0","Nao",IF(IFERROR(INDEX(parametros!$A$2:$A$6,MATCH(C2577,parametros!$B$2:$B$6,0)),"")&lt;&gt;"Sim","Nao",IF(IFERROR(INDEX(parametros!$H$2:$H$6,MATCH(C2577,parametros!$B$2:$B$6,0)),"")="","",IF(B2577&gt;=IFERROR(INDEX(parametros!$H$2:$H$6,MATCH(C2577,parametros!$B$2:$B$6,0)),""),"Sim","Nao"))))))</f>
        <v/>
      </c>
      <c r="T2577" s="156"/>
      <c r="U2577" s="214" t="str">
        <f t="shared" si="206"/>
        <v/>
      </c>
      <c r="V2577" s="212" t="s">
        <v>50</v>
      </c>
      <c r="W2577" s="100" t="s">
        <v>168</v>
      </c>
      <c r="X2577" s="100" t="s">
        <v>169</v>
      </c>
      <c r="Y2577" s="101" t="s">
        <v>170</v>
      </c>
      <c r="Z2577" s="101" t="s">
        <v>171</v>
      </c>
      <c r="AA2577" s="101" t="s">
        <v>50</v>
      </c>
      <c r="AB2577" s="101" t="s">
        <v>172</v>
      </c>
      <c r="AC2577" s="102" t="s">
        <v>173</v>
      </c>
    </row>
    <row r="2578" spans="1:29" ht="25.5" customHeight="1" x14ac:dyDescent="0.35">
      <c r="A2578" s="392"/>
      <c r="B2578" s="393"/>
      <c r="C2578" s="99" t="str">
        <f>IF(B2578="","",IF(NOT(ISNUMBER(B2578)),"DATA_PC invalida",IF(NOT(ISNUMBER(parametros!$C$2)),"Fora dos ciclos",IF(OR(B2578&lt;parametros!$C$2,(YEAR(B2578)-YEAR(parametros!$C$2))*12+MONTH(B2578)-MONTH(parametros!$C$2)&gt;59),"Fora dos ciclos","C"&amp;INT(((YEAR(B2578)-YEAR(parametros!$C$2))*12+MONTH(B2578)-MONTH(parametros!$C$2))/12)))))</f>
        <v/>
      </c>
      <c r="D2578" s="394"/>
      <c r="E2578" s="78" t="str">
        <f>IF(C2578="","",IFERROR(VLOOKUP(C2578,parametros!$A$11:$E$15,5,0),""))</f>
        <v/>
      </c>
      <c r="F2578" s="79" t="str">
        <f t="shared" si="202"/>
        <v/>
      </c>
      <c r="G2578" s="395"/>
      <c r="H2578" s="91">
        <f t="shared" si="203"/>
        <v>0</v>
      </c>
      <c r="I2578" s="91" t="str">
        <f t="shared" si="204"/>
        <v/>
      </c>
      <c r="J2578" s="91" t="str">
        <f t="shared" si="205"/>
        <v/>
      </c>
      <c r="K2578" s="92" t="str">
        <f>IF(AND(A2578="",B2578="",D2578="",G2578=""),"",IF(AND(A2578&lt;&gt;"",COUNTIF($A$2:$A$5001,A2578)&gt;1),"NUMERO_PC duplicado",IF(B2578="","DATA_PC vazia",IF(NOT(ISNUMBER(B2578)),"DATA_PC invalida",IF(OR(C2578="",C2578="Fora dos ciclos"),"CICLO_PC nao identificado",IF(OR(D2578="",D2578=0),"VALOR_PC vazio ou zero",IF(AND(G2578&lt;&gt;"Sim",G2578&lt;&gt;"Nao",G2578&lt;&gt;""),"PC_PAGO_A_CONTRATADA invalido",IF(AND(C2578&lt;&gt;"C0",IFERROR(INDEX(parametros!$A$2:$A$6,MATCH(C2578,parametros!$B$2:$B$6,0)),"")="Sim",IFERROR(INDEX(parametros!$H$2:$H$6,MATCH(C2578,parametros!$B$2:$B$6,0)),"")=""),"INICIO_EFEITO ausente: PC "&amp;A2578&amp;" - "&amp;C2578,IF(L2578="","EFEITO_PC nao calculado: PC "&amp;A2578&amp;" - "&amp;C2578,"OK")))))))))</f>
        <v/>
      </c>
      <c r="L2578" s="92" t="str">
        <f>IF(AND(A2578="",B2578="",D2578="",G2578=""),"",IF(OR(B2578="",NOT(ISNUMBER(B2578)),C2578="",C2578="Fora dos ciclos"),"",IF(C2578="C0","Nao",IF(IFERROR(INDEX(parametros!$A$2:$A$6,MATCH(C2578,parametros!$B$2:$B$6,0)),"")&lt;&gt;"Sim","Nao",IF(IFERROR(INDEX(parametros!$H$2:$H$6,MATCH(C2578,parametros!$B$2:$B$6,0)),"")="","",IF(B2578&gt;=IFERROR(INDEX(parametros!$H$2:$H$6,MATCH(C2578,parametros!$B$2:$B$6,0)),""),"Sim","Nao"))))))</f>
        <v/>
      </c>
      <c r="T2578" s="156"/>
      <c r="U2578" s="214" t="str">
        <f t="shared" si="206"/>
        <v/>
      </c>
      <c r="V2578" s="212" t="s">
        <v>50</v>
      </c>
      <c r="W2578" s="100" t="s">
        <v>168</v>
      </c>
      <c r="X2578" s="100" t="s">
        <v>169</v>
      </c>
      <c r="Y2578" s="101" t="s">
        <v>170</v>
      </c>
      <c r="Z2578" s="101" t="s">
        <v>171</v>
      </c>
      <c r="AA2578" s="101" t="s">
        <v>50</v>
      </c>
      <c r="AB2578" s="101" t="s">
        <v>172</v>
      </c>
      <c r="AC2578" s="102" t="s">
        <v>173</v>
      </c>
    </row>
    <row r="2579" spans="1:29" ht="25.5" customHeight="1" x14ac:dyDescent="0.35">
      <c r="A2579" s="392"/>
      <c r="B2579" s="393"/>
      <c r="C2579" s="99" t="str">
        <f>IF(B2579="","",IF(NOT(ISNUMBER(B2579)),"DATA_PC invalida",IF(NOT(ISNUMBER(parametros!$C$2)),"Fora dos ciclos",IF(OR(B2579&lt;parametros!$C$2,(YEAR(B2579)-YEAR(parametros!$C$2))*12+MONTH(B2579)-MONTH(parametros!$C$2)&gt;59),"Fora dos ciclos","C"&amp;INT(((YEAR(B2579)-YEAR(parametros!$C$2))*12+MONTH(B2579)-MONTH(parametros!$C$2))/12)))))</f>
        <v/>
      </c>
      <c r="D2579" s="394"/>
      <c r="E2579" s="78" t="str">
        <f>IF(C2579="","",IFERROR(VLOOKUP(C2579,parametros!$A$11:$E$15,5,0),""))</f>
        <v/>
      </c>
      <c r="F2579" s="79" t="str">
        <f t="shared" si="202"/>
        <v/>
      </c>
      <c r="G2579" s="395"/>
      <c r="H2579" s="91">
        <f t="shared" si="203"/>
        <v>0</v>
      </c>
      <c r="I2579" s="91" t="str">
        <f t="shared" si="204"/>
        <v/>
      </c>
      <c r="J2579" s="91" t="str">
        <f t="shared" si="205"/>
        <v/>
      </c>
      <c r="K2579" s="92" t="str">
        <f>IF(AND(A2579="",B2579="",D2579="",G2579=""),"",IF(AND(A2579&lt;&gt;"",COUNTIF($A$2:$A$5001,A2579)&gt;1),"NUMERO_PC duplicado",IF(B2579="","DATA_PC vazia",IF(NOT(ISNUMBER(B2579)),"DATA_PC invalida",IF(OR(C2579="",C2579="Fora dos ciclos"),"CICLO_PC nao identificado",IF(OR(D2579="",D2579=0),"VALOR_PC vazio ou zero",IF(AND(G2579&lt;&gt;"Sim",G2579&lt;&gt;"Nao",G2579&lt;&gt;""),"PC_PAGO_A_CONTRATADA invalido",IF(AND(C2579&lt;&gt;"C0",IFERROR(INDEX(parametros!$A$2:$A$6,MATCH(C2579,parametros!$B$2:$B$6,0)),"")="Sim",IFERROR(INDEX(parametros!$H$2:$H$6,MATCH(C2579,parametros!$B$2:$B$6,0)),"")=""),"INICIO_EFEITO ausente: PC "&amp;A2579&amp;" - "&amp;C2579,IF(L2579="","EFEITO_PC nao calculado: PC "&amp;A2579&amp;" - "&amp;C2579,"OK")))))))))</f>
        <v/>
      </c>
      <c r="L2579" s="92" t="str">
        <f>IF(AND(A2579="",B2579="",D2579="",G2579=""),"",IF(OR(B2579="",NOT(ISNUMBER(B2579)),C2579="",C2579="Fora dos ciclos"),"",IF(C2579="C0","Nao",IF(IFERROR(INDEX(parametros!$A$2:$A$6,MATCH(C2579,parametros!$B$2:$B$6,0)),"")&lt;&gt;"Sim","Nao",IF(IFERROR(INDEX(parametros!$H$2:$H$6,MATCH(C2579,parametros!$B$2:$B$6,0)),"")="","",IF(B2579&gt;=IFERROR(INDEX(parametros!$H$2:$H$6,MATCH(C2579,parametros!$B$2:$B$6,0)),""),"Sim","Nao"))))))</f>
        <v/>
      </c>
      <c r="T2579" s="156"/>
      <c r="U2579" s="214" t="str">
        <f t="shared" si="206"/>
        <v/>
      </c>
      <c r="V2579" s="212" t="s">
        <v>50</v>
      </c>
      <c r="W2579" s="100" t="s">
        <v>168</v>
      </c>
      <c r="X2579" s="100" t="s">
        <v>169</v>
      </c>
      <c r="Y2579" s="101" t="s">
        <v>170</v>
      </c>
      <c r="Z2579" s="101" t="s">
        <v>171</v>
      </c>
      <c r="AA2579" s="101" t="s">
        <v>50</v>
      </c>
      <c r="AB2579" s="101" t="s">
        <v>172</v>
      </c>
      <c r="AC2579" s="102" t="s">
        <v>173</v>
      </c>
    </row>
    <row r="2580" spans="1:29" ht="25.5" customHeight="1" x14ac:dyDescent="0.35">
      <c r="A2580" s="392"/>
      <c r="B2580" s="393"/>
      <c r="C2580" s="99" t="str">
        <f>IF(B2580="","",IF(NOT(ISNUMBER(B2580)),"DATA_PC invalida",IF(NOT(ISNUMBER(parametros!$C$2)),"Fora dos ciclos",IF(OR(B2580&lt;parametros!$C$2,(YEAR(B2580)-YEAR(parametros!$C$2))*12+MONTH(B2580)-MONTH(parametros!$C$2)&gt;59),"Fora dos ciclos","C"&amp;INT(((YEAR(B2580)-YEAR(parametros!$C$2))*12+MONTH(B2580)-MONTH(parametros!$C$2))/12)))))</f>
        <v/>
      </c>
      <c r="D2580" s="394"/>
      <c r="E2580" s="78" t="str">
        <f>IF(C2580="","",IFERROR(VLOOKUP(C2580,parametros!$A$11:$E$15,5,0),""))</f>
        <v/>
      </c>
      <c r="F2580" s="79" t="str">
        <f t="shared" si="202"/>
        <v/>
      </c>
      <c r="G2580" s="395"/>
      <c r="H2580" s="91">
        <f t="shared" si="203"/>
        <v>0</v>
      </c>
      <c r="I2580" s="91" t="str">
        <f t="shared" si="204"/>
        <v/>
      </c>
      <c r="J2580" s="91" t="str">
        <f t="shared" si="205"/>
        <v/>
      </c>
      <c r="K2580" s="92" t="str">
        <f>IF(AND(A2580="",B2580="",D2580="",G2580=""),"",IF(AND(A2580&lt;&gt;"",COUNTIF($A$2:$A$5001,A2580)&gt;1),"NUMERO_PC duplicado",IF(B2580="","DATA_PC vazia",IF(NOT(ISNUMBER(B2580)),"DATA_PC invalida",IF(OR(C2580="",C2580="Fora dos ciclos"),"CICLO_PC nao identificado",IF(OR(D2580="",D2580=0),"VALOR_PC vazio ou zero",IF(AND(G2580&lt;&gt;"Sim",G2580&lt;&gt;"Nao",G2580&lt;&gt;""),"PC_PAGO_A_CONTRATADA invalido",IF(AND(C2580&lt;&gt;"C0",IFERROR(INDEX(parametros!$A$2:$A$6,MATCH(C2580,parametros!$B$2:$B$6,0)),"")="Sim",IFERROR(INDEX(parametros!$H$2:$H$6,MATCH(C2580,parametros!$B$2:$B$6,0)),"")=""),"INICIO_EFEITO ausente: PC "&amp;A2580&amp;" - "&amp;C2580,IF(L2580="","EFEITO_PC nao calculado: PC "&amp;A2580&amp;" - "&amp;C2580,"OK")))))))))</f>
        <v/>
      </c>
      <c r="L2580" s="92" t="str">
        <f>IF(AND(A2580="",B2580="",D2580="",G2580=""),"",IF(OR(B2580="",NOT(ISNUMBER(B2580)),C2580="",C2580="Fora dos ciclos"),"",IF(C2580="C0","Nao",IF(IFERROR(INDEX(parametros!$A$2:$A$6,MATCH(C2580,parametros!$B$2:$B$6,0)),"")&lt;&gt;"Sim","Nao",IF(IFERROR(INDEX(parametros!$H$2:$H$6,MATCH(C2580,parametros!$B$2:$B$6,0)),"")="","",IF(B2580&gt;=IFERROR(INDEX(parametros!$H$2:$H$6,MATCH(C2580,parametros!$B$2:$B$6,0)),""),"Sim","Nao"))))))</f>
        <v/>
      </c>
      <c r="T2580" s="156"/>
      <c r="U2580" s="214" t="str">
        <f t="shared" si="206"/>
        <v/>
      </c>
      <c r="V2580" s="212" t="s">
        <v>50</v>
      </c>
      <c r="W2580" s="100" t="s">
        <v>168</v>
      </c>
      <c r="X2580" s="100" t="s">
        <v>169</v>
      </c>
      <c r="Y2580" s="101" t="s">
        <v>170</v>
      </c>
      <c r="Z2580" s="101" t="s">
        <v>171</v>
      </c>
      <c r="AA2580" s="101" t="s">
        <v>50</v>
      </c>
      <c r="AB2580" s="101" t="s">
        <v>172</v>
      </c>
      <c r="AC2580" s="102" t="s">
        <v>173</v>
      </c>
    </row>
    <row r="2581" spans="1:29" ht="25.5" customHeight="1" x14ac:dyDescent="0.35">
      <c r="A2581" s="392"/>
      <c r="B2581" s="393"/>
      <c r="C2581" s="99" t="str">
        <f>IF(B2581="","",IF(NOT(ISNUMBER(B2581)),"DATA_PC invalida",IF(NOT(ISNUMBER(parametros!$C$2)),"Fora dos ciclos",IF(OR(B2581&lt;parametros!$C$2,(YEAR(B2581)-YEAR(parametros!$C$2))*12+MONTH(B2581)-MONTH(parametros!$C$2)&gt;59),"Fora dos ciclos","C"&amp;INT(((YEAR(B2581)-YEAR(parametros!$C$2))*12+MONTH(B2581)-MONTH(parametros!$C$2))/12)))))</f>
        <v/>
      </c>
      <c r="D2581" s="394"/>
      <c r="E2581" s="78" t="str">
        <f>IF(C2581="","",IFERROR(VLOOKUP(C2581,parametros!$A$11:$E$15,5,0),""))</f>
        <v/>
      </c>
      <c r="F2581" s="79" t="str">
        <f t="shared" si="202"/>
        <v/>
      </c>
      <c r="G2581" s="395"/>
      <c r="H2581" s="91">
        <f t="shared" si="203"/>
        <v>0</v>
      </c>
      <c r="I2581" s="91" t="str">
        <f t="shared" si="204"/>
        <v/>
      </c>
      <c r="J2581" s="91" t="str">
        <f t="shared" si="205"/>
        <v/>
      </c>
      <c r="K2581" s="92" t="str">
        <f>IF(AND(A2581="",B2581="",D2581="",G2581=""),"",IF(AND(A2581&lt;&gt;"",COUNTIF($A$2:$A$5001,A2581)&gt;1),"NUMERO_PC duplicado",IF(B2581="","DATA_PC vazia",IF(NOT(ISNUMBER(B2581)),"DATA_PC invalida",IF(OR(C2581="",C2581="Fora dos ciclos"),"CICLO_PC nao identificado",IF(OR(D2581="",D2581=0),"VALOR_PC vazio ou zero",IF(AND(G2581&lt;&gt;"Sim",G2581&lt;&gt;"Nao",G2581&lt;&gt;""),"PC_PAGO_A_CONTRATADA invalido",IF(AND(C2581&lt;&gt;"C0",IFERROR(INDEX(parametros!$A$2:$A$6,MATCH(C2581,parametros!$B$2:$B$6,0)),"")="Sim",IFERROR(INDEX(parametros!$H$2:$H$6,MATCH(C2581,parametros!$B$2:$B$6,0)),"")=""),"INICIO_EFEITO ausente: PC "&amp;A2581&amp;" - "&amp;C2581,IF(L2581="","EFEITO_PC nao calculado: PC "&amp;A2581&amp;" - "&amp;C2581,"OK")))))))))</f>
        <v/>
      </c>
      <c r="L2581" s="92" t="str">
        <f>IF(AND(A2581="",B2581="",D2581="",G2581=""),"",IF(OR(B2581="",NOT(ISNUMBER(B2581)),C2581="",C2581="Fora dos ciclos"),"",IF(C2581="C0","Nao",IF(IFERROR(INDEX(parametros!$A$2:$A$6,MATCH(C2581,parametros!$B$2:$B$6,0)),"")&lt;&gt;"Sim","Nao",IF(IFERROR(INDEX(parametros!$H$2:$H$6,MATCH(C2581,parametros!$B$2:$B$6,0)),"")="","",IF(B2581&gt;=IFERROR(INDEX(parametros!$H$2:$H$6,MATCH(C2581,parametros!$B$2:$B$6,0)),""),"Sim","Nao"))))))</f>
        <v/>
      </c>
      <c r="T2581" s="156"/>
      <c r="U2581" s="214" t="str">
        <f t="shared" si="206"/>
        <v/>
      </c>
      <c r="V2581" s="212" t="s">
        <v>50</v>
      </c>
      <c r="W2581" s="100" t="s">
        <v>168</v>
      </c>
      <c r="X2581" s="100" t="s">
        <v>169</v>
      </c>
      <c r="Y2581" s="101" t="s">
        <v>170</v>
      </c>
      <c r="Z2581" s="101" t="s">
        <v>171</v>
      </c>
      <c r="AA2581" s="101" t="s">
        <v>50</v>
      </c>
      <c r="AB2581" s="101" t="s">
        <v>172</v>
      </c>
      <c r="AC2581" s="102" t="s">
        <v>173</v>
      </c>
    </row>
    <row r="2582" spans="1:29" ht="25.5" customHeight="1" x14ac:dyDescent="0.35">
      <c r="A2582" s="392"/>
      <c r="B2582" s="393"/>
      <c r="C2582" s="99" t="str">
        <f>IF(B2582="","",IF(NOT(ISNUMBER(B2582)),"DATA_PC invalida",IF(NOT(ISNUMBER(parametros!$C$2)),"Fora dos ciclos",IF(OR(B2582&lt;parametros!$C$2,(YEAR(B2582)-YEAR(parametros!$C$2))*12+MONTH(B2582)-MONTH(parametros!$C$2)&gt;59),"Fora dos ciclos","C"&amp;INT(((YEAR(B2582)-YEAR(parametros!$C$2))*12+MONTH(B2582)-MONTH(parametros!$C$2))/12)))))</f>
        <v/>
      </c>
      <c r="D2582" s="394"/>
      <c r="E2582" s="78" t="str">
        <f>IF(C2582="","",IFERROR(VLOOKUP(C2582,parametros!$A$11:$E$15,5,0),""))</f>
        <v/>
      </c>
      <c r="F2582" s="79" t="str">
        <f t="shared" si="202"/>
        <v/>
      </c>
      <c r="G2582" s="395"/>
      <c r="H2582" s="91">
        <f t="shared" si="203"/>
        <v>0</v>
      </c>
      <c r="I2582" s="91" t="str">
        <f t="shared" si="204"/>
        <v/>
      </c>
      <c r="J2582" s="91" t="str">
        <f t="shared" si="205"/>
        <v/>
      </c>
      <c r="K2582" s="92" t="str">
        <f>IF(AND(A2582="",B2582="",D2582="",G2582=""),"",IF(AND(A2582&lt;&gt;"",COUNTIF($A$2:$A$5001,A2582)&gt;1),"NUMERO_PC duplicado",IF(B2582="","DATA_PC vazia",IF(NOT(ISNUMBER(B2582)),"DATA_PC invalida",IF(OR(C2582="",C2582="Fora dos ciclos"),"CICLO_PC nao identificado",IF(OR(D2582="",D2582=0),"VALOR_PC vazio ou zero",IF(AND(G2582&lt;&gt;"Sim",G2582&lt;&gt;"Nao",G2582&lt;&gt;""),"PC_PAGO_A_CONTRATADA invalido",IF(AND(C2582&lt;&gt;"C0",IFERROR(INDEX(parametros!$A$2:$A$6,MATCH(C2582,parametros!$B$2:$B$6,0)),"")="Sim",IFERROR(INDEX(parametros!$H$2:$H$6,MATCH(C2582,parametros!$B$2:$B$6,0)),"")=""),"INICIO_EFEITO ausente: PC "&amp;A2582&amp;" - "&amp;C2582,IF(L2582="","EFEITO_PC nao calculado: PC "&amp;A2582&amp;" - "&amp;C2582,"OK")))))))))</f>
        <v/>
      </c>
      <c r="L2582" s="92" t="str">
        <f>IF(AND(A2582="",B2582="",D2582="",G2582=""),"",IF(OR(B2582="",NOT(ISNUMBER(B2582)),C2582="",C2582="Fora dos ciclos"),"",IF(C2582="C0","Nao",IF(IFERROR(INDEX(parametros!$A$2:$A$6,MATCH(C2582,parametros!$B$2:$B$6,0)),"")&lt;&gt;"Sim","Nao",IF(IFERROR(INDEX(parametros!$H$2:$H$6,MATCH(C2582,parametros!$B$2:$B$6,0)),"")="","",IF(B2582&gt;=IFERROR(INDEX(parametros!$H$2:$H$6,MATCH(C2582,parametros!$B$2:$B$6,0)),""),"Sim","Nao"))))))</f>
        <v/>
      </c>
      <c r="T2582" s="156"/>
      <c r="U2582" s="214" t="str">
        <f t="shared" si="206"/>
        <v/>
      </c>
      <c r="V2582" s="212" t="s">
        <v>50</v>
      </c>
      <c r="W2582" s="100" t="s">
        <v>168</v>
      </c>
      <c r="X2582" s="100" t="s">
        <v>169</v>
      </c>
      <c r="Y2582" s="101" t="s">
        <v>170</v>
      </c>
      <c r="Z2582" s="101" t="s">
        <v>171</v>
      </c>
      <c r="AA2582" s="101" t="s">
        <v>50</v>
      </c>
      <c r="AB2582" s="101" t="s">
        <v>172</v>
      </c>
      <c r="AC2582" s="102" t="s">
        <v>173</v>
      </c>
    </row>
    <row r="2583" spans="1:29" ht="25.5" customHeight="1" x14ac:dyDescent="0.35">
      <c r="A2583" s="392"/>
      <c r="B2583" s="393"/>
      <c r="C2583" s="99" t="str">
        <f>IF(B2583="","",IF(NOT(ISNUMBER(B2583)),"DATA_PC invalida",IF(NOT(ISNUMBER(parametros!$C$2)),"Fora dos ciclos",IF(OR(B2583&lt;parametros!$C$2,(YEAR(B2583)-YEAR(parametros!$C$2))*12+MONTH(B2583)-MONTH(parametros!$C$2)&gt;59),"Fora dos ciclos","C"&amp;INT(((YEAR(B2583)-YEAR(parametros!$C$2))*12+MONTH(B2583)-MONTH(parametros!$C$2))/12)))))</f>
        <v/>
      </c>
      <c r="D2583" s="394"/>
      <c r="E2583" s="78" t="str">
        <f>IF(C2583="","",IFERROR(VLOOKUP(C2583,parametros!$A$11:$E$15,5,0),""))</f>
        <v/>
      </c>
      <c r="F2583" s="79" t="str">
        <f t="shared" si="202"/>
        <v/>
      </c>
      <c r="G2583" s="395"/>
      <c r="H2583" s="91">
        <f t="shared" si="203"/>
        <v>0</v>
      </c>
      <c r="I2583" s="91" t="str">
        <f t="shared" si="204"/>
        <v/>
      </c>
      <c r="J2583" s="91" t="str">
        <f t="shared" si="205"/>
        <v/>
      </c>
      <c r="K2583" s="92" t="str">
        <f>IF(AND(A2583="",B2583="",D2583="",G2583=""),"",IF(AND(A2583&lt;&gt;"",COUNTIF($A$2:$A$5001,A2583)&gt;1),"NUMERO_PC duplicado",IF(B2583="","DATA_PC vazia",IF(NOT(ISNUMBER(B2583)),"DATA_PC invalida",IF(OR(C2583="",C2583="Fora dos ciclos"),"CICLO_PC nao identificado",IF(OR(D2583="",D2583=0),"VALOR_PC vazio ou zero",IF(AND(G2583&lt;&gt;"Sim",G2583&lt;&gt;"Nao",G2583&lt;&gt;""),"PC_PAGO_A_CONTRATADA invalido",IF(AND(C2583&lt;&gt;"C0",IFERROR(INDEX(parametros!$A$2:$A$6,MATCH(C2583,parametros!$B$2:$B$6,0)),"")="Sim",IFERROR(INDEX(parametros!$H$2:$H$6,MATCH(C2583,parametros!$B$2:$B$6,0)),"")=""),"INICIO_EFEITO ausente: PC "&amp;A2583&amp;" - "&amp;C2583,IF(L2583="","EFEITO_PC nao calculado: PC "&amp;A2583&amp;" - "&amp;C2583,"OK")))))))))</f>
        <v/>
      </c>
      <c r="L2583" s="92" t="str">
        <f>IF(AND(A2583="",B2583="",D2583="",G2583=""),"",IF(OR(B2583="",NOT(ISNUMBER(B2583)),C2583="",C2583="Fora dos ciclos"),"",IF(C2583="C0","Nao",IF(IFERROR(INDEX(parametros!$A$2:$A$6,MATCH(C2583,parametros!$B$2:$B$6,0)),"")&lt;&gt;"Sim","Nao",IF(IFERROR(INDEX(parametros!$H$2:$H$6,MATCH(C2583,parametros!$B$2:$B$6,0)),"")="","",IF(B2583&gt;=IFERROR(INDEX(parametros!$H$2:$H$6,MATCH(C2583,parametros!$B$2:$B$6,0)),""),"Sim","Nao"))))))</f>
        <v/>
      </c>
      <c r="T2583" s="156"/>
      <c r="U2583" s="214" t="str">
        <f t="shared" si="206"/>
        <v/>
      </c>
      <c r="V2583" s="212" t="s">
        <v>50</v>
      </c>
      <c r="W2583" s="100" t="s">
        <v>168</v>
      </c>
      <c r="X2583" s="100" t="s">
        <v>169</v>
      </c>
      <c r="Y2583" s="101" t="s">
        <v>170</v>
      </c>
      <c r="Z2583" s="101" t="s">
        <v>171</v>
      </c>
      <c r="AA2583" s="101" t="s">
        <v>50</v>
      </c>
      <c r="AB2583" s="101" t="s">
        <v>172</v>
      </c>
      <c r="AC2583" s="102" t="s">
        <v>173</v>
      </c>
    </row>
    <row r="2584" spans="1:29" ht="25.5" customHeight="1" x14ac:dyDescent="0.35">
      <c r="A2584" s="392"/>
      <c r="B2584" s="393"/>
      <c r="C2584" s="99" t="str">
        <f>IF(B2584="","",IF(NOT(ISNUMBER(B2584)),"DATA_PC invalida",IF(NOT(ISNUMBER(parametros!$C$2)),"Fora dos ciclos",IF(OR(B2584&lt;parametros!$C$2,(YEAR(B2584)-YEAR(parametros!$C$2))*12+MONTH(B2584)-MONTH(parametros!$C$2)&gt;59),"Fora dos ciclos","C"&amp;INT(((YEAR(B2584)-YEAR(parametros!$C$2))*12+MONTH(B2584)-MONTH(parametros!$C$2))/12)))))</f>
        <v/>
      </c>
      <c r="D2584" s="394"/>
      <c r="E2584" s="78" t="str">
        <f>IF(C2584="","",IFERROR(VLOOKUP(C2584,parametros!$A$11:$E$15,5,0),""))</f>
        <v/>
      </c>
      <c r="F2584" s="79" t="str">
        <f t="shared" si="202"/>
        <v/>
      </c>
      <c r="G2584" s="395"/>
      <c r="H2584" s="91">
        <f t="shared" si="203"/>
        <v>0</v>
      </c>
      <c r="I2584" s="91" t="str">
        <f t="shared" si="204"/>
        <v/>
      </c>
      <c r="J2584" s="91" t="str">
        <f t="shared" si="205"/>
        <v/>
      </c>
      <c r="K2584" s="92" t="str">
        <f>IF(AND(A2584="",B2584="",D2584="",G2584=""),"",IF(AND(A2584&lt;&gt;"",COUNTIF($A$2:$A$5001,A2584)&gt;1),"NUMERO_PC duplicado",IF(B2584="","DATA_PC vazia",IF(NOT(ISNUMBER(B2584)),"DATA_PC invalida",IF(OR(C2584="",C2584="Fora dos ciclos"),"CICLO_PC nao identificado",IF(OR(D2584="",D2584=0),"VALOR_PC vazio ou zero",IF(AND(G2584&lt;&gt;"Sim",G2584&lt;&gt;"Nao",G2584&lt;&gt;""),"PC_PAGO_A_CONTRATADA invalido",IF(AND(C2584&lt;&gt;"C0",IFERROR(INDEX(parametros!$A$2:$A$6,MATCH(C2584,parametros!$B$2:$B$6,0)),"")="Sim",IFERROR(INDEX(parametros!$H$2:$H$6,MATCH(C2584,parametros!$B$2:$B$6,0)),"")=""),"INICIO_EFEITO ausente: PC "&amp;A2584&amp;" - "&amp;C2584,IF(L2584="","EFEITO_PC nao calculado: PC "&amp;A2584&amp;" - "&amp;C2584,"OK")))))))))</f>
        <v/>
      </c>
      <c r="L2584" s="92" t="str">
        <f>IF(AND(A2584="",B2584="",D2584="",G2584=""),"",IF(OR(B2584="",NOT(ISNUMBER(B2584)),C2584="",C2584="Fora dos ciclos"),"",IF(C2584="C0","Nao",IF(IFERROR(INDEX(parametros!$A$2:$A$6,MATCH(C2584,parametros!$B$2:$B$6,0)),"")&lt;&gt;"Sim","Nao",IF(IFERROR(INDEX(parametros!$H$2:$H$6,MATCH(C2584,parametros!$B$2:$B$6,0)),"")="","",IF(B2584&gt;=IFERROR(INDEX(parametros!$H$2:$H$6,MATCH(C2584,parametros!$B$2:$B$6,0)),""),"Sim","Nao"))))))</f>
        <v/>
      </c>
      <c r="T2584" s="156"/>
      <c r="U2584" s="214" t="str">
        <f t="shared" si="206"/>
        <v/>
      </c>
      <c r="V2584" s="212" t="s">
        <v>50</v>
      </c>
      <c r="W2584" s="100" t="s">
        <v>168</v>
      </c>
      <c r="X2584" s="100" t="s">
        <v>169</v>
      </c>
      <c r="Y2584" s="101" t="s">
        <v>170</v>
      </c>
      <c r="Z2584" s="101" t="s">
        <v>171</v>
      </c>
      <c r="AA2584" s="101" t="s">
        <v>50</v>
      </c>
      <c r="AB2584" s="101" t="s">
        <v>172</v>
      </c>
      <c r="AC2584" s="102" t="s">
        <v>173</v>
      </c>
    </row>
    <row r="2585" spans="1:29" ht="25.5" customHeight="1" x14ac:dyDescent="0.35">
      <c r="A2585" s="392"/>
      <c r="B2585" s="393"/>
      <c r="C2585" s="99" t="str">
        <f>IF(B2585="","",IF(NOT(ISNUMBER(B2585)),"DATA_PC invalida",IF(NOT(ISNUMBER(parametros!$C$2)),"Fora dos ciclos",IF(OR(B2585&lt;parametros!$C$2,(YEAR(B2585)-YEAR(parametros!$C$2))*12+MONTH(B2585)-MONTH(parametros!$C$2)&gt;59),"Fora dos ciclos","C"&amp;INT(((YEAR(B2585)-YEAR(parametros!$C$2))*12+MONTH(B2585)-MONTH(parametros!$C$2))/12)))))</f>
        <v/>
      </c>
      <c r="D2585" s="394"/>
      <c r="E2585" s="78" t="str">
        <f>IF(C2585="","",IFERROR(VLOOKUP(C2585,parametros!$A$11:$E$15,5,0),""))</f>
        <v/>
      </c>
      <c r="F2585" s="79" t="str">
        <f t="shared" si="202"/>
        <v/>
      </c>
      <c r="G2585" s="395"/>
      <c r="H2585" s="91">
        <f t="shared" si="203"/>
        <v>0</v>
      </c>
      <c r="I2585" s="91" t="str">
        <f t="shared" si="204"/>
        <v/>
      </c>
      <c r="J2585" s="91" t="str">
        <f t="shared" si="205"/>
        <v/>
      </c>
      <c r="K2585" s="92" t="str">
        <f>IF(AND(A2585="",B2585="",D2585="",G2585=""),"",IF(AND(A2585&lt;&gt;"",COUNTIF($A$2:$A$5001,A2585)&gt;1),"NUMERO_PC duplicado",IF(B2585="","DATA_PC vazia",IF(NOT(ISNUMBER(B2585)),"DATA_PC invalida",IF(OR(C2585="",C2585="Fora dos ciclos"),"CICLO_PC nao identificado",IF(OR(D2585="",D2585=0),"VALOR_PC vazio ou zero",IF(AND(G2585&lt;&gt;"Sim",G2585&lt;&gt;"Nao",G2585&lt;&gt;""),"PC_PAGO_A_CONTRATADA invalido",IF(AND(C2585&lt;&gt;"C0",IFERROR(INDEX(parametros!$A$2:$A$6,MATCH(C2585,parametros!$B$2:$B$6,0)),"")="Sim",IFERROR(INDEX(parametros!$H$2:$H$6,MATCH(C2585,parametros!$B$2:$B$6,0)),"")=""),"INICIO_EFEITO ausente: PC "&amp;A2585&amp;" - "&amp;C2585,IF(L2585="","EFEITO_PC nao calculado: PC "&amp;A2585&amp;" - "&amp;C2585,"OK")))))))))</f>
        <v/>
      </c>
      <c r="L2585" s="92" t="str">
        <f>IF(AND(A2585="",B2585="",D2585="",G2585=""),"",IF(OR(B2585="",NOT(ISNUMBER(B2585)),C2585="",C2585="Fora dos ciclos"),"",IF(C2585="C0","Nao",IF(IFERROR(INDEX(parametros!$A$2:$A$6,MATCH(C2585,parametros!$B$2:$B$6,0)),"")&lt;&gt;"Sim","Nao",IF(IFERROR(INDEX(parametros!$H$2:$H$6,MATCH(C2585,parametros!$B$2:$B$6,0)),"")="","",IF(B2585&gt;=IFERROR(INDEX(parametros!$H$2:$H$6,MATCH(C2585,parametros!$B$2:$B$6,0)),""),"Sim","Nao"))))))</f>
        <v/>
      </c>
      <c r="T2585" s="156"/>
      <c r="U2585" s="214" t="str">
        <f t="shared" si="206"/>
        <v/>
      </c>
      <c r="V2585" s="212" t="s">
        <v>50</v>
      </c>
      <c r="W2585" s="100" t="s">
        <v>168</v>
      </c>
      <c r="X2585" s="100" t="s">
        <v>169</v>
      </c>
      <c r="Y2585" s="101" t="s">
        <v>170</v>
      </c>
      <c r="Z2585" s="101" t="s">
        <v>171</v>
      </c>
      <c r="AA2585" s="101" t="s">
        <v>50</v>
      </c>
      <c r="AB2585" s="101" t="s">
        <v>172</v>
      </c>
      <c r="AC2585" s="102" t="s">
        <v>173</v>
      </c>
    </row>
    <row r="2586" spans="1:29" ht="25.5" customHeight="1" x14ac:dyDescent="0.35">
      <c r="A2586" s="392"/>
      <c r="B2586" s="393"/>
      <c r="C2586" s="99" t="str">
        <f>IF(B2586="","",IF(NOT(ISNUMBER(B2586)),"DATA_PC invalida",IF(NOT(ISNUMBER(parametros!$C$2)),"Fora dos ciclos",IF(OR(B2586&lt;parametros!$C$2,(YEAR(B2586)-YEAR(parametros!$C$2))*12+MONTH(B2586)-MONTH(parametros!$C$2)&gt;59),"Fora dos ciclos","C"&amp;INT(((YEAR(B2586)-YEAR(parametros!$C$2))*12+MONTH(B2586)-MONTH(parametros!$C$2))/12)))))</f>
        <v/>
      </c>
      <c r="D2586" s="394"/>
      <c r="E2586" s="78" t="str">
        <f>IF(C2586="","",IFERROR(VLOOKUP(C2586,parametros!$A$11:$E$15,5,0),""))</f>
        <v/>
      </c>
      <c r="F2586" s="79" t="str">
        <f t="shared" si="202"/>
        <v/>
      </c>
      <c r="G2586" s="395"/>
      <c r="H2586" s="91">
        <f t="shared" si="203"/>
        <v>0</v>
      </c>
      <c r="I2586" s="91" t="str">
        <f t="shared" si="204"/>
        <v/>
      </c>
      <c r="J2586" s="91" t="str">
        <f t="shared" si="205"/>
        <v/>
      </c>
      <c r="K2586" s="92" t="str">
        <f>IF(AND(A2586="",B2586="",D2586="",G2586=""),"",IF(AND(A2586&lt;&gt;"",COUNTIF($A$2:$A$5001,A2586)&gt;1),"NUMERO_PC duplicado",IF(B2586="","DATA_PC vazia",IF(NOT(ISNUMBER(B2586)),"DATA_PC invalida",IF(OR(C2586="",C2586="Fora dos ciclos"),"CICLO_PC nao identificado",IF(OR(D2586="",D2586=0),"VALOR_PC vazio ou zero",IF(AND(G2586&lt;&gt;"Sim",G2586&lt;&gt;"Nao",G2586&lt;&gt;""),"PC_PAGO_A_CONTRATADA invalido",IF(AND(C2586&lt;&gt;"C0",IFERROR(INDEX(parametros!$A$2:$A$6,MATCH(C2586,parametros!$B$2:$B$6,0)),"")="Sim",IFERROR(INDEX(parametros!$H$2:$H$6,MATCH(C2586,parametros!$B$2:$B$6,0)),"")=""),"INICIO_EFEITO ausente: PC "&amp;A2586&amp;" - "&amp;C2586,IF(L2586="","EFEITO_PC nao calculado: PC "&amp;A2586&amp;" - "&amp;C2586,"OK")))))))))</f>
        <v/>
      </c>
      <c r="L2586" s="92" t="str">
        <f>IF(AND(A2586="",B2586="",D2586="",G2586=""),"",IF(OR(B2586="",NOT(ISNUMBER(B2586)),C2586="",C2586="Fora dos ciclos"),"",IF(C2586="C0","Nao",IF(IFERROR(INDEX(parametros!$A$2:$A$6,MATCH(C2586,parametros!$B$2:$B$6,0)),"")&lt;&gt;"Sim","Nao",IF(IFERROR(INDEX(parametros!$H$2:$H$6,MATCH(C2586,parametros!$B$2:$B$6,0)),"")="","",IF(B2586&gt;=IFERROR(INDEX(parametros!$H$2:$H$6,MATCH(C2586,parametros!$B$2:$B$6,0)),""),"Sim","Nao"))))))</f>
        <v/>
      </c>
      <c r="T2586" s="156"/>
      <c r="U2586" s="214" t="str">
        <f t="shared" si="206"/>
        <v/>
      </c>
      <c r="V2586" s="212" t="s">
        <v>50</v>
      </c>
      <c r="W2586" s="100" t="s">
        <v>168</v>
      </c>
      <c r="X2586" s="100" t="s">
        <v>169</v>
      </c>
      <c r="Y2586" s="101" t="s">
        <v>170</v>
      </c>
      <c r="Z2586" s="101" t="s">
        <v>171</v>
      </c>
      <c r="AA2586" s="101" t="s">
        <v>50</v>
      </c>
      <c r="AB2586" s="101" t="s">
        <v>172</v>
      </c>
      <c r="AC2586" s="102" t="s">
        <v>173</v>
      </c>
    </row>
    <row r="2587" spans="1:29" ht="25.5" customHeight="1" x14ac:dyDescent="0.35">
      <c r="A2587" s="392"/>
      <c r="B2587" s="393"/>
      <c r="C2587" s="99" t="str">
        <f>IF(B2587="","",IF(NOT(ISNUMBER(B2587)),"DATA_PC invalida",IF(NOT(ISNUMBER(parametros!$C$2)),"Fora dos ciclos",IF(OR(B2587&lt;parametros!$C$2,(YEAR(B2587)-YEAR(parametros!$C$2))*12+MONTH(B2587)-MONTH(parametros!$C$2)&gt;59),"Fora dos ciclos","C"&amp;INT(((YEAR(B2587)-YEAR(parametros!$C$2))*12+MONTH(B2587)-MONTH(parametros!$C$2))/12)))))</f>
        <v/>
      </c>
      <c r="D2587" s="394"/>
      <c r="E2587" s="78" t="str">
        <f>IF(C2587="","",IFERROR(VLOOKUP(C2587,parametros!$A$11:$E$15,5,0),""))</f>
        <v/>
      </c>
      <c r="F2587" s="79" t="str">
        <f t="shared" si="202"/>
        <v/>
      </c>
      <c r="G2587" s="395"/>
      <c r="H2587" s="91">
        <f t="shared" si="203"/>
        <v>0</v>
      </c>
      <c r="I2587" s="91" t="str">
        <f t="shared" si="204"/>
        <v/>
      </c>
      <c r="J2587" s="91" t="str">
        <f t="shared" si="205"/>
        <v/>
      </c>
      <c r="K2587" s="92" t="str">
        <f>IF(AND(A2587="",B2587="",D2587="",G2587=""),"",IF(AND(A2587&lt;&gt;"",COUNTIF($A$2:$A$5001,A2587)&gt;1),"NUMERO_PC duplicado",IF(B2587="","DATA_PC vazia",IF(NOT(ISNUMBER(B2587)),"DATA_PC invalida",IF(OR(C2587="",C2587="Fora dos ciclos"),"CICLO_PC nao identificado",IF(OR(D2587="",D2587=0),"VALOR_PC vazio ou zero",IF(AND(G2587&lt;&gt;"Sim",G2587&lt;&gt;"Nao",G2587&lt;&gt;""),"PC_PAGO_A_CONTRATADA invalido",IF(AND(C2587&lt;&gt;"C0",IFERROR(INDEX(parametros!$A$2:$A$6,MATCH(C2587,parametros!$B$2:$B$6,0)),"")="Sim",IFERROR(INDEX(parametros!$H$2:$H$6,MATCH(C2587,parametros!$B$2:$B$6,0)),"")=""),"INICIO_EFEITO ausente: PC "&amp;A2587&amp;" - "&amp;C2587,IF(L2587="","EFEITO_PC nao calculado: PC "&amp;A2587&amp;" - "&amp;C2587,"OK")))))))))</f>
        <v/>
      </c>
      <c r="L2587" s="92" t="str">
        <f>IF(AND(A2587="",B2587="",D2587="",G2587=""),"",IF(OR(B2587="",NOT(ISNUMBER(B2587)),C2587="",C2587="Fora dos ciclos"),"",IF(C2587="C0","Nao",IF(IFERROR(INDEX(parametros!$A$2:$A$6,MATCH(C2587,parametros!$B$2:$B$6,0)),"")&lt;&gt;"Sim","Nao",IF(IFERROR(INDEX(parametros!$H$2:$H$6,MATCH(C2587,parametros!$B$2:$B$6,0)),"")="","",IF(B2587&gt;=IFERROR(INDEX(parametros!$H$2:$H$6,MATCH(C2587,parametros!$B$2:$B$6,0)),""),"Sim","Nao"))))))</f>
        <v/>
      </c>
      <c r="T2587" s="156"/>
      <c r="U2587" s="214" t="str">
        <f t="shared" si="206"/>
        <v/>
      </c>
      <c r="V2587" s="212" t="s">
        <v>50</v>
      </c>
      <c r="W2587" s="100" t="s">
        <v>168</v>
      </c>
      <c r="X2587" s="100" t="s">
        <v>169</v>
      </c>
      <c r="Y2587" s="101" t="s">
        <v>170</v>
      </c>
      <c r="Z2587" s="101" t="s">
        <v>171</v>
      </c>
      <c r="AA2587" s="101" t="s">
        <v>50</v>
      </c>
      <c r="AB2587" s="101" t="s">
        <v>172</v>
      </c>
      <c r="AC2587" s="102" t="s">
        <v>173</v>
      </c>
    </row>
    <row r="2588" spans="1:29" ht="25.5" customHeight="1" x14ac:dyDescent="0.35">
      <c r="A2588" s="392"/>
      <c r="B2588" s="393"/>
      <c r="C2588" s="99" t="str">
        <f>IF(B2588="","",IF(NOT(ISNUMBER(B2588)),"DATA_PC invalida",IF(NOT(ISNUMBER(parametros!$C$2)),"Fora dos ciclos",IF(OR(B2588&lt;parametros!$C$2,(YEAR(B2588)-YEAR(parametros!$C$2))*12+MONTH(B2588)-MONTH(parametros!$C$2)&gt;59),"Fora dos ciclos","C"&amp;INT(((YEAR(B2588)-YEAR(parametros!$C$2))*12+MONTH(B2588)-MONTH(parametros!$C$2))/12)))))</f>
        <v/>
      </c>
      <c r="D2588" s="394"/>
      <c r="E2588" s="78" t="str">
        <f>IF(C2588="","",IFERROR(VLOOKUP(C2588,parametros!$A$11:$E$15,5,0),""))</f>
        <v/>
      </c>
      <c r="F2588" s="79" t="str">
        <f t="shared" si="202"/>
        <v/>
      </c>
      <c r="G2588" s="395"/>
      <c r="H2588" s="91">
        <f t="shared" si="203"/>
        <v>0</v>
      </c>
      <c r="I2588" s="91" t="str">
        <f t="shared" si="204"/>
        <v/>
      </c>
      <c r="J2588" s="91" t="str">
        <f t="shared" si="205"/>
        <v/>
      </c>
      <c r="K2588" s="92" t="str">
        <f>IF(AND(A2588="",B2588="",D2588="",G2588=""),"",IF(AND(A2588&lt;&gt;"",COUNTIF($A$2:$A$5001,A2588)&gt;1),"NUMERO_PC duplicado",IF(B2588="","DATA_PC vazia",IF(NOT(ISNUMBER(B2588)),"DATA_PC invalida",IF(OR(C2588="",C2588="Fora dos ciclos"),"CICLO_PC nao identificado",IF(OR(D2588="",D2588=0),"VALOR_PC vazio ou zero",IF(AND(G2588&lt;&gt;"Sim",G2588&lt;&gt;"Nao",G2588&lt;&gt;""),"PC_PAGO_A_CONTRATADA invalido",IF(AND(C2588&lt;&gt;"C0",IFERROR(INDEX(parametros!$A$2:$A$6,MATCH(C2588,parametros!$B$2:$B$6,0)),"")="Sim",IFERROR(INDEX(parametros!$H$2:$H$6,MATCH(C2588,parametros!$B$2:$B$6,0)),"")=""),"INICIO_EFEITO ausente: PC "&amp;A2588&amp;" - "&amp;C2588,IF(L2588="","EFEITO_PC nao calculado: PC "&amp;A2588&amp;" - "&amp;C2588,"OK")))))))))</f>
        <v/>
      </c>
      <c r="L2588" s="92" t="str">
        <f>IF(AND(A2588="",B2588="",D2588="",G2588=""),"",IF(OR(B2588="",NOT(ISNUMBER(B2588)),C2588="",C2588="Fora dos ciclos"),"",IF(C2588="C0","Nao",IF(IFERROR(INDEX(parametros!$A$2:$A$6,MATCH(C2588,parametros!$B$2:$B$6,0)),"")&lt;&gt;"Sim","Nao",IF(IFERROR(INDEX(parametros!$H$2:$H$6,MATCH(C2588,parametros!$B$2:$B$6,0)),"")="","",IF(B2588&gt;=IFERROR(INDEX(parametros!$H$2:$H$6,MATCH(C2588,parametros!$B$2:$B$6,0)),""),"Sim","Nao"))))))</f>
        <v/>
      </c>
      <c r="T2588" s="156"/>
      <c r="U2588" s="214" t="str">
        <f t="shared" si="206"/>
        <v/>
      </c>
      <c r="V2588" s="212" t="s">
        <v>50</v>
      </c>
      <c r="W2588" s="100" t="s">
        <v>168</v>
      </c>
      <c r="X2588" s="100" t="s">
        <v>169</v>
      </c>
      <c r="Y2588" s="101" t="s">
        <v>170</v>
      </c>
      <c r="Z2588" s="101" t="s">
        <v>171</v>
      </c>
      <c r="AA2588" s="101" t="s">
        <v>50</v>
      </c>
      <c r="AB2588" s="101" t="s">
        <v>172</v>
      </c>
      <c r="AC2588" s="102" t="s">
        <v>173</v>
      </c>
    </row>
    <row r="2589" spans="1:29" ht="25.5" customHeight="1" x14ac:dyDescent="0.35">
      <c r="A2589" s="392"/>
      <c r="B2589" s="393"/>
      <c r="C2589" s="99" t="str">
        <f>IF(B2589="","",IF(NOT(ISNUMBER(B2589)),"DATA_PC invalida",IF(NOT(ISNUMBER(parametros!$C$2)),"Fora dos ciclos",IF(OR(B2589&lt;parametros!$C$2,(YEAR(B2589)-YEAR(parametros!$C$2))*12+MONTH(B2589)-MONTH(parametros!$C$2)&gt;59),"Fora dos ciclos","C"&amp;INT(((YEAR(B2589)-YEAR(parametros!$C$2))*12+MONTH(B2589)-MONTH(parametros!$C$2))/12)))))</f>
        <v/>
      </c>
      <c r="D2589" s="394"/>
      <c r="E2589" s="78" t="str">
        <f>IF(C2589="","",IFERROR(VLOOKUP(C2589,parametros!$A$11:$E$15,5,0),""))</f>
        <v/>
      </c>
      <c r="F2589" s="79" t="str">
        <f t="shared" si="202"/>
        <v/>
      </c>
      <c r="G2589" s="395"/>
      <c r="H2589" s="91">
        <f t="shared" si="203"/>
        <v>0</v>
      </c>
      <c r="I2589" s="91" t="str">
        <f t="shared" si="204"/>
        <v/>
      </c>
      <c r="J2589" s="91" t="str">
        <f t="shared" si="205"/>
        <v/>
      </c>
      <c r="K2589" s="92" t="str">
        <f>IF(AND(A2589="",B2589="",D2589="",G2589=""),"",IF(AND(A2589&lt;&gt;"",COUNTIF($A$2:$A$5001,A2589)&gt;1),"NUMERO_PC duplicado",IF(B2589="","DATA_PC vazia",IF(NOT(ISNUMBER(B2589)),"DATA_PC invalida",IF(OR(C2589="",C2589="Fora dos ciclos"),"CICLO_PC nao identificado",IF(OR(D2589="",D2589=0),"VALOR_PC vazio ou zero",IF(AND(G2589&lt;&gt;"Sim",G2589&lt;&gt;"Nao",G2589&lt;&gt;""),"PC_PAGO_A_CONTRATADA invalido",IF(AND(C2589&lt;&gt;"C0",IFERROR(INDEX(parametros!$A$2:$A$6,MATCH(C2589,parametros!$B$2:$B$6,0)),"")="Sim",IFERROR(INDEX(parametros!$H$2:$H$6,MATCH(C2589,parametros!$B$2:$B$6,0)),"")=""),"INICIO_EFEITO ausente: PC "&amp;A2589&amp;" - "&amp;C2589,IF(L2589="","EFEITO_PC nao calculado: PC "&amp;A2589&amp;" - "&amp;C2589,"OK")))))))))</f>
        <v/>
      </c>
      <c r="L2589" s="92" t="str">
        <f>IF(AND(A2589="",B2589="",D2589="",G2589=""),"",IF(OR(B2589="",NOT(ISNUMBER(B2589)),C2589="",C2589="Fora dos ciclos"),"",IF(C2589="C0","Nao",IF(IFERROR(INDEX(parametros!$A$2:$A$6,MATCH(C2589,parametros!$B$2:$B$6,0)),"")&lt;&gt;"Sim","Nao",IF(IFERROR(INDEX(parametros!$H$2:$H$6,MATCH(C2589,parametros!$B$2:$B$6,0)),"")="","",IF(B2589&gt;=IFERROR(INDEX(parametros!$H$2:$H$6,MATCH(C2589,parametros!$B$2:$B$6,0)),""),"Sim","Nao"))))))</f>
        <v/>
      </c>
      <c r="T2589" s="156"/>
      <c r="U2589" s="214" t="str">
        <f t="shared" si="206"/>
        <v/>
      </c>
      <c r="V2589" s="212" t="s">
        <v>50</v>
      </c>
      <c r="W2589" s="100" t="s">
        <v>168</v>
      </c>
      <c r="X2589" s="100" t="s">
        <v>169</v>
      </c>
      <c r="Y2589" s="101" t="s">
        <v>170</v>
      </c>
      <c r="Z2589" s="101" t="s">
        <v>171</v>
      </c>
      <c r="AA2589" s="101" t="s">
        <v>50</v>
      </c>
      <c r="AB2589" s="101" t="s">
        <v>172</v>
      </c>
      <c r="AC2589" s="102" t="s">
        <v>173</v>
      </c>
    </row>
    <row r="2590" spans="1:29" ht="25.5" customHeight="1" x14ac:dyDescent="0.35">
      <c r="A2590" s="392"/>
      <c r="B2590" s="393"/>
      <c r="C2590" s="99" t="str">
        <f>IF(B2590="","",IF(NOT(ISNUMBER(B2590)),"DATA_PC invalida",IF(NOT(ISNUMBER(parametros!$C$2)),"Fora dos ciclos",IF(OR(B2590&lt;parametros!$C$2,(YEAR(B2590)-YEAR(parametros!$C$2))*12+MONTH(B2590)-MONTH(parametros!$C$2)&gt;59),"Fora dos ciclos","C"&amp;INT(((YEAR(B2590)-YEAR(parametros!$C$2))*12+MONTH(B2590)-MONTH(parametros!$C$2))/12)))))</f>
        <v/>
      </c>
      <c r="D2590" s="394"/>
      <c r="E2590" s="78" t="str">
        <f>IF(C2590="","",IFERROR(VLOOKUP(C2590,parametros!$A$11:$E$15,5,0),""))</f>
        <v/>
      </c>
      <c r="F2590" s="79" t="str">
        <f t="shared" si="202"/>
        <v/>
      </c>
      <c r="G2590" s="395"/>
      <c r="H2590" s="91">
        <f t="shared" si="203"/>
        <v>0</v>
      </c>
      <c r="I2590" s="91" t="str">
        <f t="shared" si="204"/>
        <v/>
      </c>
      <c r="J2590" s="91" t="str">
        <f t="shared" si="205"/>
        <v/>
      </c>
      <c r="K2590" s="92" t="str">
        <f>IF(AND(A2590="",B2590="",D2590="",G2590=""),"",IF(AND(A2590&lt;&gt;"",COUNTIF($A$2:$A$5001,A2590)&gt;1),"NUMERO_PC duplicado",IF(B2590="","DATA_PC vazia",IF(NOT(ISNUMBER(B2590)),"DATA_PC invalida",IF(OR(C2590="",C2590="Fora dos ciclos"),"CICLO_PC nao identificado",IF(OR(D2590="",D2590=0),"VALOR_PC vazio ou zero",IF(AND(G2590&lt;&gt;"Sim",G2590&lt;&gt;"Nao",G2590&lt;&gt;""),"PC_PAGO_A_CONTRATADA invalido",IF(AND(C2590&lt;&gt;"C0",IFERROR(INDEX(parametros!$A$2:$A$6,MATCH(C2590,parametros!$B$2:$B$6,0)),"")="Sim",IFERROR(INDEX(parametros!$H$2:$H$6,MATCH(C2590,parametros!$B$2:$B$6,0)),"")=""),"INICIO_EFEITO ausente: PC "&amp;A2590&amp;" - "&amp;C2590,IF(L2590="","EFEITO_PC nao calculado: PC "&amp;A2590&amp;" - "&amp;C2590,"OK")))))))))</f>
        <v/>
      </c>
      <c r="L2590" s="92" t="str">
        <f>IF(AND(A2590="",B2590="",D2590="",G2590=""),"",IF(OR(B2590="",NOT(ISNUMBER(B2590)),C2590="",C2590="Fora dos ciclos"),"",IF(C2590="C0","Nao",IF(IFERROR(INDEX(parametros!$A$2:$A$6,MATCH(C2590,parametros!$B$2:$B$6,0)),"")&lt;&gt;"Sim","Nao",IF(IFERROR(INDEX(parametros!$H$2:$H$6,MATCH(C2590,parametros!$B$2:$B$6,0)),"")="","",IF(B2590&gt;=IFERROR(INDEX(parametros!$H$2:$H$6,MATCH(C2590,parametros!$B$2:$B$6,0)),""),"Sim","Nao"))))))</f>
        <v/>
      </c>
      <c r="T2590" s="156"/>
      <c r="U2590" s="214" t="str">
        <f t="shared" si="206"/>
        <v/>
      </c>
      <c r="V2590" s="212" t="s">
        <v>50</v>
      </c>
      <c r="W2590" s="100" t="s">
        <v>168</v>
      </c>
      <c r="X2590" s="100" t="s">
        <v>169</v>
      </c>
      <c r="Y2590" s="101" t="s">
        <v>170</v>
      </c>
      <c r="Z2590" s="101" t="s">
        <v>171</v>
      </c>
      <c r="AA2590" s="101" t="s">
        <v>50</v>
      </c>
      <c r="AB2590" s="101" t="s">
        <v>172</v>
      </c>
      <c r="AC2590" s="102" t="s">
        <v>173</v>
      </c>
    </row>
    <row r="2591" spans="1:29" ht="25.5" customHeight="1" x14ac:dyDescent="0.35">
      <c r="A2591" s="392"/>
      <c r="B2591" s="393"/>
      <c r="C2591" s="99" t="str">
        <f>IF(B2591="","",IF(NOT(ISNUMBER(B2591)),"DATA_PC invalida",IF(NOT(ISNUMBER(parametros!$C$2)),"Fora dos ciclos",IF(OR(B2591&lt;parametros!$C$2,(YEAR(B2591)-YEAR(parametros!$C$2))*12+MONTH(B2591)-MONTH(parametros!$C$2)&gt;59),"Fora dos ciclos","C"&amp;INT(((YEAR(B2591)-YEAR(parametros!$C$2))*12+MONTH(B2591)-MONTH(parametros!$C$2))/12)))))</f>
        <v/>
      </c>
      <c r="D2591" s="394"/>
      <c r="E2591" s="78" t="str">
        <f>IF(C2591="","",IFERROR(VLOOKUP(C2591,parametros!$A$11:$E$15,5,0),""))</f>
        <v/>
      </c>
      <c r="F2591" s="79" t="str">
        <f t="shared" si="202"/>
        <v/>
      </c>
      <c r="G2591" s="395"/>
      <c r="H2591" s="91">
        <f t="shared" si="203"/>
        <v>0</v>
      </c>
      <c r="I2591" s="91" t="str">
        <f t="shared" si="204"/>
        <v/>
      </c>
      <c r="J2591" s="91" t="str">
        <f t="shared" si="205"/>
        <v/>
      </c>
      <c r="K2591" s="92" t="str">
        <f>IF(AND(A2591="",B2591="",D2591="",G2591=""),"",IF(AND(A2591&lt;&gt;"",COUNTIF($A$2:$A$5001,A2591)&gt;1),"NUMERO_PC duplicado",IF(B2591="","DATA_PC vazia",IF(NOT(ISNUMBER(B2591)),"DATA_PC invalida",IF(OR(C2591="",C2591="Fora dos ciclos"),"CICLO_PC nao identificado",IF(OR(D2591="",D2591=0),"VALOR_PC vazio ou zero",IF(AND(G2591&lt;&gt;"Sim",G2591&lt;&gt;"Nao",G2591&lt;&gt;""),"PC_PAGO_A_CONTRATADA invalido",IF(AND(C2591&lt;&gt;"C0",IFERROR(INDEX(parametros!$A$2:$A$6,MATCH(C2591,parametros!$B$2:$B$6,0)),"")="Sim",IFERROR(INDEX(parametros!$H$2:$H$6,MATCH(C2591,parametros!$B$2:$B$6,0)),"")=""),"INICIO_EFEITO ausente: PC "&amp;A2591&amp;" - "&amp;C2591,IF(L2591="","EFEITO_PC nao calculado: PC "&amp;A2591&amp;" - "&amp;C2591,"OK")))))))))</f>
        <v/>
      </c>
      <c r="L2591" s="92" t="str">
        <f>IF(AND(A2591="",B2591="",D2591="",G2591=""),"",IF(OR(B2591="",NOT(ISNUMBER(B2591)),C2591="",C2591="Fora dos ciclos"),"",IF(C2591="C0","Nao",IF(IFERROR(INDEX(parametros!$A$2:$A$6,MATCH(C2591,parametros!$B$2:$B$6,0)),"")&lt;&gt;"Sim","Nao",IF(IFERROR(INDEX(parametros!$H$2:$H$6,MATCH(C2591,parametros!$B$2:$B$6,0)),"")="","",IF(B2591&gt;=IFERROR(INDEX(parametros!$H$2:$H$6,MATCH(C2591,parametros!$B$2:$B$6,0)),""),"Sim","Nao"))))))</f>
        <v/>
      </c>
      <c r="T2591" s="156"/>
      <c r="U2591" s="214" t="str">
        <f t="shared" si="206"/>
        <v/>
      </c>
      <c r="V2591" s="212" t="s">
        <v>50</v>
      </c>
      <c r="W2591" s="100" t="s">
        <v>168</v>
      </c>
      <c r="X2591" s="100" t="s">
        <v>169</v>
      </c>
      <c r="Y2591" s="101" t="s">
        <v>170</v>
      </c>
      <c r="Z2591" s="101" t="s">
        <v>171</v>
      </c>
      <c r="AA2591" s="101" t="s">
        <v>50</v>
      </c>
      <c r="AB2591" s="101" t="s">
        <v>172</v>
      </c>
      <c r="AC2591" s="102" t="s">
        <v>173</v>
      </c>
    </row>
    <row r="2592" spans="1:29" ht="25.5" customHeight="1" x14ac:dyDescent="0.35">
      <c r="A2592" s="392"/>
      <c r="B2592" s="393"/>
      <c r="C2592" s="99" t="str">
        <f>IF(B2592="","",IF(NOT(ISNUMBER(B2592)),"DATA_PC invalida",IF(NOT(ISNUMBER(parametros!$C$2)),"Fora dos ciclos",IF(OR(B2592&lt;parametros!$C$2,(YEAR(B2592)-YEAR(parametros!$C$2))*12+MONTH(B2592)-MONTH(parametros!$C$2)&gt;59),"Fora dos ciclos","C"&amp;INT(((YEAR(B2592)-YEAR(parametros!$C$2))*12+MONTH(B2592)-MONTH(parametros!$C$2))/12)))))</f>
        <v/>
      </c>
      <c r="D2592" s="394"/>
      <c r="E2592" s="78" t="str">
        <f>IF(C2592="","",IFERROR(VLOOKUP(C2592,parametros!$A$11:$E$15,5,0),""))</f>
        <v/>
      </c>
      <c r="F2592" s="79" t="str">
        <f t="shared" si="202"/>
        <v/>
      </c>
      <c r="G2592" s="395"/>
      <c r="H2592" s="91">
        <f t="shared" si="203"/>
        <v>0</v>
      </c>
      <c r="I2592" s="91" t="str">
        <f t="shared" si="204"/>
        <v/>
      </c>
      <c r="J2592" s="91" t="str">
        <f t="shared" si="205"/>
        <v/>
      </c>
      <c r="K2592" s="92" t="str">
        <f>IF(AND(A2592="",B2592="",D2592="",G2592=""),"",IF(AND(A2592&lt;&gt;"",COUNTIF($A$2:$A$5001,A2592)&gt;1),"NUMERO_PC duplicado",IF(B2592="","DATA_PC vazia",IF(NOT(ISNUMBER(B2592)),"DATA_PC invalida",IF(OR(C2592="",C2592="Fora dos ciclos"),"CICLO_PC nao identificado",IF(OR(D2592="",D2592=0),"VALOR_PC vazio ou zero",IF(AND(G2592&lt;&gt;"Sim",G2592&lt;&gt;"Nao",G2592&lt;&gt;""),"PC_PAGO_A_CONTRATADA invalido",IF(AND(C2592&lt;&gt;"C0",IFERROR(INDEX(parametros!$A$2:$A$6,MATCH(C2592,parametros!$B$2:$B$6,0)),"")="Sim",IFERROR(INDEX(parametros!$H$2:$H$6,MATCH(C2592,parametros!$B$2:$B$6,0)),"")=""),"INICIO_EFEITO ausente: PC "&amp;A2592&amp;" - "&amp;C2592,IF(L2592="","EFEITO_PC nao calculado: PC "&amp;A2592&amp;" - "&amp;C2592,"OK")))))))))</f>
        <v/>
      </c>
      <c r="L2592" s="92" t="str">
        <f>IF(AND(A2592="",B2592="",D2592="",G2592=""),"",IF(OR(B2592="",NOT(ISNUMBER(B2592)),C2592="",C2592="Fora dos ciclos"),"",IF(C2592="C0","Nao",IF(IFERROR(INDEX(parametros!$A$2:$A$6,MATCH(C2592,parametros!$B$2:$B$6,0)),"")&lt;&gt;"Sim","Nao",IF(IFERROR(INDEX(parametros!$H$2:$H$6,MATCH(C2592,parametros!$B$2:$B$6,0)),"")="","",IF(B2592&gt;=IFERROR(INDEX(parametros!$H$2:$H$6,MATCH(C2592,parametros!$B$2:$B$6,0)),""),"Sim","Nao"))))))</f>
        <v/>
      </c>
      <c r="T2592" s="156"/>
      <c r="U2592" s="214" t="str">
        <f t="shared" si="206"/>
        <v/>
      </c>
      <c r="V2592" s="212" t="s">
        <v>50</v>
      </c>
      <c r="W2592" s="100" t="s">
        <v>168</v>
      </c>
      <c r="X2592" s="100" t="s">
        <v>169</v>
      </c>
      <c r="Y2592" s="101" t="s">
        <v>170</v>
      </c>
      <c r="Z2592" s="101" t="s">
        <v>171</v>
      </c>
      <c r="AA2592" s="101" t="s">
        <v>50</v>
      </c>
      <c r="AB2592" s="101" t="s">
        <v>172</v>
      </c>
      <c r="AC2592" s="102" t="s">
        <v>173</v>
      </c>
    </row>
    <row r="2593" spans="1:29" ht="25.5" customHeight="1" x14ac:dyDescent="0.35">
      <c r="A2593" s="392"/>
      <c r="B2593" s="393"/>
      <c r="C2593" s="99" t="str">
        <f>IF(B2593="","",IF(NOT(ISNUMBER(B2593)),"DATA_PC invalida",IF(NOT(ISNUMBER(parametros!$C$2)),"Fora dos ciclos",IF(OR(B2593&lt;parametros!$C$2,(YEAR(B2593)-YEAR(parametros!$C$2))*12+MONTH(B2593)-MONTH(parametros!$C$2)&gt;59),"Fora dos ciclos","C"&amp;INT(((YEAR(B2593)-YEAR(parametros!$C$2))*12+MONTH(B2593)-MONTH(parametros!$C$2))/12)))))</f>
        <v/>
      </c>
      <c r="D2593" s="394"/>
      <c r="E2593" s="78" t="str">
        <f>IF(C2593="","",IFERROR(VLOOKUP(C2593,parametros!$A$11:$E$15,5,0),""))</f>
        <v/>
      </c>
      <c r="F2593" s="79" t="str">
        <f t="shared" si="202"/>
        <v/>
      </c>
      <c r="G2593" s="395"/>
      <c r="H2593" s="91">
        <f t="shared" si="203"/>
        <v>0</v>
      </c>
      <c r="I2593" s="91" t="str">
        <f t="shared" si="204"/>
        <v/>
      </c>
      <c r="J2593" s="91" t="str">
        <f t="shared" si="205"/>
        <v/>
      </c>
      <c r="K2593" s="92" t="str">
        <f>IF(AND(A2593="",B2593="",D2593="",G2593=""),"",IF(AND(A2593&lt;&gt;"",COUNTIF($A$2:$A$5001,A2593)&gt;1),"NUMERO_PC duplicado",IF(B2593="","DATA_PC vazia",IF(NOT(ISNUMBER(B2593)),"DATA_PC invalida",IF(OR(C2593="",C2593="Fora dos ciclos"),"CICLO_PC nao identificado",IF(OR(D2593="",D2593=0),"VALOR_PC vazio ou zero",IF(AND(G2593&lt;&gt;"Sim",G2593&lt;&gt;"Nao",G2593&lt;&gt;""),"PC_PAGO_A_CONTRATADA invalido",IF(AND(C2593&lt;&gt;"C0",IFERROR(INDEX(parametros!$A$2:$A$6,MATCH(C2593,parametros!$B$2:$B$6,0)),"")="Sim",IFERROR(INDEX(parametros!$H$2:$H$6,MATCH(C2593,parametros!$B$2:$B$6,0)),"")=""),"INICIO_EFEITO ausente: PC "&amp;A2593&amp;" - "&amp;C2593,IF(L2593="","EFEITO_PC nao calculado: PC "&amp;A2593&amp;" - "&amp;C2593,"OK")))))))))</f>
        <v/>
      </c>
      <c r="L2593" s="92" t="str">
        <f>IF(AND(A2593="",B2593="",D2593="",G2593=""),"",IF(OR(B2593="",NOT(ISNUMBER(B2593)),C2593="",C2593="Fora dos ciclos"),"",IF(C2593="C0","Nao",IF(IFERROR(INDEX(parametros!$A$2:$A$6,MATCH(C2593,parametros!$B$2:$B$6,0)),"")&lt;&gt;"Sim","Nao",IF(IFERROR(INDEX(parametros!$H$2:$H$6,MATCH(C2593,parametros!$B$2:$B$6,0)),"")="","",IF(B2593&gt;=IFERROR(INDEX(parametros!$H$2:$H$6,MATCH(C2593,parametros!$B$2:$B$6,0)),""),"Sim","Nao"))))))</f>
        <v/>
      </c>
      <c r="T2593" s="156"/>
      <c r="U2593" s="214" t="str">
        <f t="shared" si="206"/>
        <v/>
      </c>
      <c r="V2593" s="212" t="s">
        <v>50</v>
      </c>
      <c r="W2593" s="100" t="s">
        <v>168</v>
      </c>
      <c r="X2593" s="100" t="s">
        <v>169</v>
      </c>
      <c r="Y2593" s="101" t="s">
        <v>170</v>
      </c>
      <c r="Z2593" s="101" t="s">
        <v>171</v>
      </c>
      <c r="AA2593" s="101" t="s">
        <v>50</v>
      </c>
      <c r="AB2593" s="101" t="s">
        <v>172</v>
      </c>
      <c r="AC2593" s="102" t="s">
        <v>173</v>
      </c>
    </row>
    <row r="2594" spans="1:29" ht="25.5" customHeight="1" x14ac:dyDescent="0.35">
      <c r="A2594" s="392"/>
      <c r="B2594" s="393"/>
      <c r="C2594" s="99" t="str">
        <f>IF(B2594="","",IF(NOT(ISNUMBER(B2594)),"DATA_PC invalida",IF(NOT(ISNUMBER(parametros!$C$2)),"Fora dos ciclos",IF(OR(B2594&lt;parametros!$C$2,(YEAR(B2594)-YEAR(parametros!$C$2))*12+MONTH(B2594)-MONTH(parametros!$C$2)&gt;59),"Fora dos ciclos","C"&amp;INT(((YEAR(B2594)-YEAR(parametros!$C$2))*12+MONTH(B2594)-MONTH(parametros!$C$2))/12)))))</f>
        <v/>
      </c>
      <c r="D2594" s="394"/>
      <c r="E2594" s="78" t="str">
        <f>IF(C2594="","",IFERROR(VLOOKUP(C2594,parametros!$A$11:$E$15,5,0),""))</f>
        <v/>
      </c>
      <c r="F2594" s="79" t="str">
        <f t="shared" si="202"/>
        <v/>
      </c>
      <c r="G2594" s="395"/>
      <c r="H2594" s="91">
        <f t="shared" si="203"/>
        <v>0</v>
      </c>
      <c r="I2594" s="91" t="str">
        <f t="shared" si="204"/>
        <v/>
      </c>
      <c r="J2594" s="91" t="str">
        <f t="shared" si="205"/>
        <v/>
      </c>
      <c r="K2594" s="92" t="str">
        <f>IF(AND(A2594="",B2594="",D2594="",G2594=""),"",IF(AND(A2594&lt;&gt;"",COUNTIF($A$2:$A$5001,A2594)&gt;1),"NUMERO_PC duplicado",IF(B2594="","DATA_PC vazia",IF(NOT(ISNUMBER(B2594)),"DATA_PC invalida",IF(OR(C2594="",C2594="Fora dos ciclos"),"CICLO_PC nao identificado",IF(OR(D2594="",D2594=0),"VALOR_PC vazio ou zero",IF(AND(G2594&lt;&gt;"Sim",G2594&lt;&gt;"Nao",G2594&lt;&gt;""),"PC_PAGO_A_CONTRATADA invalido",IF(AND(C2594&lt;&gt;"C0",IFERROR(INDEX(parametros!$A$2:$A$6,MATCH(C2594,parametros!$B$2:$B$6,0)),"")="Sim",IFERROR(INDEX(parametros!$H$2:$H$6,MATCH(C2594,parametros!$B$2:$B$6,0)),"")=""),"INICIO_EFEITO ausente: PC "&amp;A2594&amp;" - "&amp;C2594,IF(L2594="","EFEITO_PC nao calculado: PC "&amp;A2594&amp;" - "&amp;C2594,"OK")))))))))</f>
        <v/>
      </c>
      <c r="L2594" s="92" t="str">
        <f>IF(AND(A2594="",B2594="",D2594="",G2594=""),"",IF(OR(B2594="",NOT(ISNUMBER(B2594)),C2594="",C2594="Fora dos ciclos"),"",IF(C2594="C0","Nao",IF(IFERROR(INDEX(parametros!$A$2:$A$6,MATCH(C2594,parametros!$B$2:$B$6,0)),"")&lt;&gt;"Sim","Nao",IF(IFERROR(INDEX(parametros!$H$2:$H$6,MATCH(C2594,parametros!$B$2:$B$6,0)),"")="","",IF(B2594&gt;=IFERROR(INDEX(parametros!$H$2:$H$6,MATCH(C2594,parametros!$B$2:$B$6,0)),""),"Sim","Nao"))))))</f>
        <v/>
      </c>
      <c r="T2594" s="156"/>
      <c r="U2594" s="214" t="str">
        <f t="shared" si="206"/>
        <v/>
      </c>
      <c r="V2594" s="212" t="s">
        <v>50</v>
      </c>
      <c r="W2594" s="100" t="s">
        <v>168</v>
      </c>
      <c r="X2594" s="100" t="s">
        <v>169</v>
      </c>
      <c r="Y2594" s="101" t="s">
        <v>170</v>
      </c>
      <c r="Z2594" s="101" t="s">
        <v>171</v>
      </c>
      <c r="AA2594" s="101" t="s">
        <v>50</v>
      </c>
      <c r="AB2594" s="101" t="s">
        <v>172</v>
      </c>
      <c r="AC2594" s="102" t="s">
        <v>173</v>
      </c>
    </row>
    <row r="2595" spans="1:29" ht="25.5" customHeight="1" x14ac:dyDescent="0.35">
      <c r="A2595" s="392"/>
      <c r="B2595" s="393"/>
      <c r="C2595" s="99" t="str">
        <f>IF(B2595="","",IF(NOT(ISNUMBER(B2595)),"DATA_PC invalida",IF(NOT(ISNUMBER(parametros!$C$2)),"Fora dos ciclos",IF(OR(B2595&lt;parametros!$C$2,(YEAR(B2595)-YEAR(parametros!$C$2))*12+MONTH(B2595)-MONTH(parametros!$C$2)&gt;59),"Fora dos ciclos","C"&amp;INT(((YEAR(B2595)-YEAR(parametros!$C$2))*12+MONTH(B2595)-MONTH(parametros!$C$2))/12)))))</f>
        <v/>
      </c>
      <c r="D2595" s="394"/>
      <c r="E2595" s="78" t="str">
        <f>IF(C2595="","",IFERROR(VLOOKUP(C2595,parametros!$A$11:$E$15,5,0),""))</f>
        <v/>
      </c>
      <c r="F2595" s="79" t="str">
        <f t="shared" si="202"/>
        <v/>
      </c>
      <c r="G2595" s="395"/>
      <c r="H2595" s="91">
        <f t="shared" si="203"/>
        <v>0</v>
      </c>
      <c r="I2595" s="91" t="str">
        <f t="shared" si="204"/>
        <v/>
      </c>
      <c r="J2595" s="91" t="str">
        <f t="shared" si="205"/>
        <v/>
      </c>
      <c r="K2595" s="92" t="str">
        <f>IF(AND(A2595="",B2595="",D2595="",G2595=""),"",IF(AND(A2595&lt;&gt;"",COUNTIF($A$2:$A$5001,A2595)&gt;1),"NUMERO_PC duplicado",IF(B2595="","DATA_PC vazia",IF(NOT(ISNUMBER(B2595)),"DATA_PC invalida",IF(OR(C2595="",C2595="Fora dos ciclos"),"CICLO_PC nao identificado",IF(OR(D2595="",D2595=0),"VALOR_PC vazio ou zero",IF(AND(G2595&lt;&gt;"Sim",G2595&lt;&gt;"Nao",G2595&lt;&gt;""),"PC_PAGO_A_CONTRATADA invalido",IF(AND(C2595&lt;&gt;"C0",IFERROR(INDEX(parametros!$A$2:$A$6,MATCH(C2595,parametros!$B$2:$B$6,0)),"")="Sim",IFERROR(INDEX(parametros!$H$2:$H$6,MATCH(C2595,parametros!$B$2:$B$6,0)),"")=""),"INICIO_EFEITO ausente: PC "&amp;A2595&amp;" - "&amp;C2595,IF(L2595="","EFEITO_PC nao calculado: PC "&amp;A2595&amp;" - "&amp;C2595,"OK")))))))))</f>
        <v/>
      </c>
      <c r="L2595" s="92" t="str">
        <f>IF(AND(A2595="",B2595="",D2595="",G2595=""),"",IF(OR(B2595="",NOT(ISNUMBER(B2595)),C2595="",C2595="Fora dos ciclos"),"",IF(C2595="C0","Nao",IF(IFERROR(INDEX(parametros!$A$2:$A$6,MATCH(C2595,parametros!$B$2:$B$6,0)),"")&lt;&gt;"Sim","Nao",IF(IFERROR(INDEX(parametros!$H$2:$H$6,MATCH(C2595,parametros!$B$2:$B$6,0)),"")="","",IF(B2595&gt;=IFERROR(INDEX(parametros!$H$2:$H$6,MATCH(C2595,parametros!$B$2:$B$6,0)),""),"Sim","Nao"))))))</f>
        <v/>
      </c>
      <c r="T2595" s="156"/>
      <c r="U2595" s="214" t="str">
        <f t="shared" si="206"/>
        <v/>
      </c>
      <c r="V2595" s="212" t="s">
        <v>50</v>
      </c>
      <c r="W2595" s="100" t="s">
        <v>168</v>
      </c>
      <c r="X2595" s="100" t="s">
        <v>169</v>
      </c>
      <c r="Y2595" s="101" t="s">
        <v>170</v>
      </c>
      <c r="Z2595" s="101" t="s">
        <v>171</v>
      </c>
      <c r="AA2595" s="101" t="s">
        <v>50</v>
      </c>
      <c r="AB2595" s="101" t="s">
        <v>172</v>
      </c>
      <c r="AC2595" s="102" t="s">
        <v>173</v>
      </c>
    </row>
    <row r="2596" spans="1:29" ht="25.5" customHeight="1" x14ac:dyDescent="0.35">
      <c r="A2596" s="392"/>
      <c r="B2596" s="393"/>
      <c r="C2596" s="99" t="str">
        <f>IF(B2596="","",IF(NOT(ISNUMBER(B2596)),"DATA_PC invalida",IF(NOT(ISNUMBER(parametros!$C$2)),"Fora dos ciclos",IF(OR(B2596&lt;parametros!$C$2,(YEAR(B2596)-YEAR(parametros!$C$2))*12+MONTH(B2596)-MONTH(parametros!$C$2)&gt;59),"Fora dos ciclos","C"&amp;INT(((YEAR(B2596)-YEAR(parametros!$C$2))*12+MONTH(B2596)-MONTH(parametros!$C$2))/12)))))</f>
        <v/>
      </c>
      <c r="D2596" s="394"/>
      <c r="E2596" s="78" t="str">
        <f>IF(C2596="","",IFERROR(VLOOKUP(C2596,parametros!$A$11:$E$15,5,0),""))</f>
        <v/>
      </c>
      <c r="F2596" s="79" t="str">
        <f t="shared" si="202"/>
        <v/>
      </c>
      <c r="G2596" s="395"/>
      <c r="H2596" s="91">
        <f t="shared" si="203"/>
        <v>0</v>
      </c>
      <c r="I2596" s="91" t="str">
        <f t="shared" si="204"/>
        <v/>
      </c>
      <c r="J2596" s="91" t="str">
        <f t="shared" si="205"/>
        <v/>
      </c>
      <c r="K2596" s="92" t="str">
        <f>IF(AND(A2596="",B2596="",D2596="",G2596=""),"",IF(AND(A2596&lt;&gt;"",COUNTIF($A$2:$A$5001,A2596)&gt;1),"NUMERO_PC duplicado",IF(B2596="","DATA_PC vazia",IF(NOT(ISNUMBER(B2596)),"DATA_PC invalida",IF(OR(C2596="",C2596="Fora dos ciclos"),"CICLO_PC nao identificado",IF(OR(D2596="",D2596=0),"VALOR_PC vazio ou zero",IF(AND(G2596&lt;&gt;"Sim",G2596&lt;&gt;"Nao",G2596&lt;&gt;""),"PC_PAGO_A_CONTRATADA invalido",IF(AND(C2596&lt;&gt;"C0",IFERROR(INDEX(parametros!$A$2:$A$6,MATCH(C2596,parametros!$B$2:$B$6,0)),"")="Sim",IFERROR(INDEX(parametros!$H$2:$H$6,MATCH(C2596,parametros!$B$2:$B$6,0)),"")=""),"INICIO_EFEITO ausente: PC "&amp;A2596&amp;" - "&amp;C2596,IF(L2596="","EFEITO_PC nao calculado: PC "&amp;A2596&amp;" - "&amp;C2596,"OK")))))))))</f>
        <v/>
      </c>
      <c r="L2596" s="92" t="str">
        <f>IF(AND(A2596="",B2596="",D2596="",G2596=""),"",IF(OR(B2596="",NOT(ISNUMBER(B2596)),C2596="",C2596="Fora dos ciclos"),"",IF(C2596="C0","Nao",IF(IFERROR(INDEX(parametros!$A$2:$A$6,MATCH(C2596,parametros!$B$2:$B$6,0)),"")&lt;&gt;"Sim","Nao",IF(IFERROR(INDEX(parametros!$H$2:$H$6,MATCH(C2596,parametros!$B$2:$B$6,0)),"")="","",IF(B2596&gt;=IFERROR(INDEX(parametros!$H$2:$H$6,MATCH(C2596,parametros!$B$2:$B$6,0)),""),"Sim","Nao"))))))</f>
        <v/>
      </c>
      <c r="T2596" s="156"/>
      <c r="U2596" s="214" t="str">
        <f t="shared" si="206"/>
        <v/>
      </c>
      <c r="V2596" s="212" t="s">
        <v>50</v>
      </c>
      <c r="W2596" s="100" t="s">
        <v>168</v>
      </c>
      <c r="X2596" s="100" t="s">
        <v>169</v>
      </c>
      <c r="Y2596" s="101" t="s">
        <v>170</v>
      </c>
      <c r="Z2596" s="101" t="s">
        <v>171</v>
      </c>
      <c r="AA2596" s="101" t="s">
        <v>50</v>
      </c>
      <c r="AB2596" s="101" t="s">
        <v>172</v>
      </c>
      <c r="AC2596" s="102" t="s">
        <v>173</v>
      </c>
    </row>
    <row r="2597" spans="1:29" ht="25.5" customHeight="1" x14ac:dyDescent="0.35">
      <c r="A2597" s="392"/>
      <c r="B2597" s="393"/>
      <c r="C2597" s="99" t="str">
        <f>IF(B2597="","",IF(NOT(ISNUMBER(B2597)),"DATA_PC invalida",IF(NOT(ISNUMBER(parametros!$C$2)),"Fora dos ciclos",IF(OR(B2597&lt;parametros!$C$2,(YEAR(B2597)-YEAR(parametros!$C$2))*12+MONTH(B2597)-MONTH(parametros!$C$2)&gt;59),"Fora dos ciclos","C"&amp;INT(((YEAR(B2597)-YEAR(parametros!$C$2))*12+MONTH(B2597)-MONTH(parametros!$C$2))/12)))))</f>
        <v/>
      </c>
      <c r="D2597" s="394"/>
      <c r="E2597" s="78" t="str">
        <f>IF(C2597="","",IFERROR(VLOOKUP(C2597,parametros!$A$11:$E$15,5,0),""))</f>
        <v/>
      </c>
      <c r="F2597" s="79" t="str">
        <f t="shared" si="202"/>
        <v/>
      </c>
      <c r="G2597" s="395"/>
      <c r="H2597" s="91">
        <f t="shared" si="203"/>
        <v>0</v>
      </c>
      <c r="I2597" s="91" t="str">
        <f t="shared" si="204"/>
        <v/>
      </c>
      <c r="J2597" s="91" t="str">
        <f t="shared" si="205"/>
        <v/>
      </c>
      <c r="K2597" s="92" t="str">
        <f>IF(AND(A2597="",B2597="",D2597="",G2597=""),"",IF(AND(A2597&lt;&gt;"",COUNTIF($A$2:$A$5001,A2597)&gt;1),"NUMERO_PC duplicado",IF(B2597="","DATA_PC vazia",IF(NOT(ISNUMBER(B2597)),"DATA_PC invalida",IF(OR(C2597="",C2597="Fora dos ciclos"),"CICLO_PC nao identificado",IF(OR(D2597="",D2597=0),"VALOR_PC vazio ou zero",IF(AND(G2597&lt;&gt;"Sim",G2597&lt;&gt;"Nao",G2597&lt;&gt;""),"PC_PAGO_A_CONTRATADA invalido",IF(AND(C2597&lt;&gt;"C0",IFERROR(INDEX(parametros!$A$2:$A$6,MATCH(C2597,parametros!$B$2:$B$6,0)),"")="Sim",IFERROR(INDEX(parametros!$H$2:$H$6,MATCH(C2597,parametros!$B$2:$B$6,0)),"")=""),"INICIO_EFEITO ausente: PC "&amp;A2597&amp;" - "&amp;C2597,IF(L2597="","EFEITO_PC nao calculado: PC "&amp;A2597&amp;" - "&amp;C2597,"OK")))))))))</f>
        <v/>
      </c>
      <c r="L2597" s="92" t="str">
        <f>IF(AND(A2597="",B2597="",D2597="",G2597=""),"",IF(OR(B2597="",NOT(ISNUMBER(B2597)),C2597="",C2597="Fora dos ciclos"),"",IF(C2597="C0","Nao",IF(IFERROR(INDEX(parametros!$A$2:$A$6,MATCH(C2597,parametros!$B$2:$B$6,0)),"")&lt;&gt;"Sim","Nao",IF(IFERROR(INDEX(parametros!$H$2:$H$6,MATCH(C2597,parametros!$B$2:$B$6,0)),"")="","",IF(B2597&gt;=IFERROR(INDEX(parametros!$H$2:$H$6,MATCH(C2597,parametros!$B$2:$B$6,0)),""),"Sim","Nao"))))))</f>
        <v/>
      </c>
      <c r="T2597" s="156"/>
      <c r="U2597" s="214" t="str">
        <f t="shared" si="206"/>
        <v/>
      </c>
      <c r="V2597" s="212" t="s">
        <v>50</v>
      </c>
      <c r="W2597" s="100" t="s">
        <v>168</v>
      </c>
      <c r="X2597" s="100" t="s">
        <v>169</v>
      </c>
      <c r="Y2597" s="101" t="s">
        <v>170</v>
      </c>
      <c r="Z2597" s="101" t="s">
        <v>171</v>
      </c>
      <c r="AA2597" s="101" t="s">
        <v>50</v>
      </c>
      <c r="AB2597" s="101" t="s">
        <v>172</v>
      </c>
      <c r="AC2597" s="102" t="s">
        <v>173</v>
      </c>
    </row>
    <row r="2598" spans="1:29" ht="25.5" customHeight="1" x14ac:dyDescent="0.35">
      <c r="A2598" s="392"/>
      <c r="B2598" s="393"/>
      <c r="C2598" s="99" t="str">
        <f>IF(B2598="","",IF(NOT(ISNUMBER(B2598)),"DATA_PC invalida",IF(NOT(ISNUMBER(parametros!$C$2)),"Fora dos ciclos",IF(OR(B2598&lt;parametros!$C$2,(YEAR(B2598)-YEAR(parametros!$C$2))*12+MONTH(B2598)-MONTH(parametros!$C$2)&gt;59),"Fora dos ciclos","C"&amp;INT(((YEAR(B2598)-YEAR(parametros!$C$2))*12+MONTH(B2598)-MONTH(parametros!$C$2))/12)))))</f>
        <v/>
      </c>
      <c r="D2598" s="394"/>
      <c r="E2598" s="78" t="str">
        <f>IF(C2598="","",IFERROR(VLOOKUP(C2598,parametros!$A$11:$E$15,5,0),""))</f>
        <v/>
      </c>
      <c r="F2598" s="79" t="str">
        <f t="shared" si="202"/>
        <v/>
      </c>
      <c r="G2598" s="395"/>
      <c r="H2598" s="91">
        <f t="shared" si="203"/>
        <v>0</v>
      </c>
      <c r="I2598" s="91" t="str">
        <f t="shared" si="204"/>
        <v/>
      </c>
      <c r="J2598" s="91" t="str">
        <f t="shared" si="205"/>
        <v/>
      </c>
      <c r="K2598" s="92" t="str">
        <f>IF(AND(A2598="",B2598="",D2598="",G2598=""),"",IF(AND(A2598&lt;&gt;"",COUNTIF($A$2:$A$5001,A2598)&gt;1),"NUMERO_PC duplicado",IF(B2598="","DATA_PC vazia",IF(NOT(ISNUMBER(B2598)),"DATA_PC invalida",IF(OR(C2598="",C2598="Fora dos ciclos"),"CICLO_PC nao identificado",IF(OR(D2598="",D2598=0),"VALOR_PC vazio ou zero",IF(AND(G2598&lt;&gt;"Sim",G2598&lt;&gt;"Nao",G2598&lt;&gt;""),"PC_PAGO_A_CONTRATADA invalido",IF(AND(C2598&lt;&gt;"C0",IFERROR(INDEX(parametros!$A$2:$A$6,MATCH(C2598,parametros!$B$2:$B$6,0)),"")="Sim",IFERROR(INDEX(parametros!$H$2:$H$6,MATCH(C2598,parametros!$B$2:$B$6,0)),"")=""),"INICIO_EFEITO ausente: PC "&amp;A2598&amp;" - "&amp;C2598,IF(L2598="","EFEITO_PC nao calculado: PC "&amp;A2598&amp;" - "&amp;C2598,"OK")))))))))</f>
        <v/>
      </c>
      <c r="L2598" s="92" t="str">
        <f>IF(AND(A2598="",B2598="",D2598="",G2598=""),"",IF(OR(B2598="",NOT(ISNUMBER(B2598)),C2598="",C2598="Fora dos ciclos"),"",IF(C2598="C0","Nao",IF(IFERROR(INDEX(parametros!$A$2:$A$6,MATCH(C2598,parametros!$B$2:$B$6,0)),"")&lt;&gt;"Sim","Nao",IF(IFERROR(INDEX(parametros!$H$2:$H$6,MATCH(C2598,parametros!$B$2:$B$6,0)),"")="","",IF(B2598&gt;=IFERROR(INDEX(parametros!$H$2:$H$6,MATCH(C2598,parametros!$B$2:$B$6,0)),""),"Sim","Nao"))))))</f>
        <v/>
      </c>
      <c r="T2598" s="156"/>
      <c r="U2598" s="214" t="str">
        <f t="shared" si="206"/>
        <v/>
      </c>
      <c r="V2598" s="212" t="s">
        <v>50</v>
      </c>
      <c r="W2598" s="100" t="s">
        <v>168</v>
      </c>
      <c r="X2598" s="100" t="s">
        <v>169</v>
      </c>
      <c r="Y2598" s="101" t="s">
        <v>170</v>
      </c>
      <c r="Z2598" s="101" t="s">
        <v>171</v>
      </c>
      <c r="AA2598" s="101" t="s">
        <v>50</v>
      </c>
      <c r="AB2598" s="101" t="s">
        <v>172</v>
      </c>
      <c r="AC2598" s="102" t="s">
        <v>173</v>
      </c>
    </row>
    <row r="2599" spans="1:29" ht="25.5" customHeight="1" x14ac:dyDescent="0.35">
      <c r="A2599" s="392"/>
      <c r="B2599" s="393"/>
      <c r="C2599" s="99" t="str">
        <f>IF(B2599="","",IF(NOT(ISNUMBER(B2599)),"DATA_PC invalida",IF(NOT(ISNUMBER(parametros!$C$2)),"Fora dos ciclos",IF(OR(B2599&lt;parametros!$C$2,(YEAR(B2599)-YEAR(parametros!$C$2))*12+MONTH(B2599)-MONTH(parametros!$C$2)&gt;59),"Fora dos ciclos","C"&amp;INT(((YEAR(B2599)-YEAR(parametros!$C$2))*12+MONTH(B2599)-MONTH(parametros!$C$2))/12)))))</f>
        <v/>
      </c>
      <c r="D2599" s="394"/>
      <c r="E2599" s="78" t="str">
        <f>IF(C2599="","",IFERROR(VLOOKUP(C2599,parametros!$A$11:$E$15,5,0),""))</f>
        <v/>
      </c>
      <c r="F2599" s="79" t="str">
        <f t="shared" si="202"/>
        <v/>
      </c>
      <c r="G2599" s="395"/>
      <c r="H2599" s="91">
        <f t="shared" si="203"/>
        <v>0</v>
      </c>
      <c r="I2599" s="91" t="str">
        <f t="shared" si="204"/>
        <v/>
      </c>
      <c r="J2599" s="91" t="str">
        <f t="shared" si="205"/>
        <v/>
      </c>
      <c r="K2599" s="92" t="str">
        <f>IF(AND(A2599="",B2599="",D2599="",G2599=""),"",IF(AND(A2599&lt;&gt;"",COUNTIF($A$2:$A$5001,A2599)&gt;1),"NUMERO_PC duplicado",IF(B2599="","DATA_PC vazia",IF(NOT(ISNUMBER(B2599)),"DATA_PC invalida",IF(OR(C2599="",C2599="Fora dos ciclos"),"CICLO_PC nao identificado",IF(OR(D2599="",D2599=0),"VALOR_PC vazio ou zero",IF(AND(G2599&lt;&gt;"Sim",G2599&lt;&gt;"Nao",G2599&lt;&gt;""),"PC_PAGO_A_CONTRATADA invalido",IF(AND(C2599&lt;&gt;"C0",IFERROR(INDEX(parametros!$A$2:$A$6,MATCH(C2599,parametros!$B$2:$B$6,0)),"")="Sim",IFERROR(INDEX(parametros!$H$2:$H$6,MATCH(C2599,parametros!$B$2:$B$6,0)),"")=""),"INICIO_EFEITO ausente: PC "&amp;A2599&amp;" - "&amp;C2599,IF(L2599="","EFEITO_PC nao calculado: PC "&amp;A2599&amp;" - "&amp;C2599,"OK")))))))))</f>
        <v/>
      </c>
      <c r="L2599" s="92" t="str">
        <f>IF(AND(A2599="",B2599="",D2599="",G2599=""),"",IF(OR(B2599="",NOT(ISNUMBER(B2599)),C2599="",C2599="Fora dos ciclos"),"",IF(C2599="C0","Nao",IF(IFERROR(INDEX(parametros!$A$2:$A$6,MATCH(C2599,parametros!$B$2:$B$6,0)),"")&lt;&gt;"Sim","Nao",IF(IFERROR(INDEX(parametros!$H$2:$H$6,MATCH(C2599,parametros!$B$2:$B$6,0)),"")="","",IF(B2599&gt;=IFERROR(INDEX(parametros!$H$2:$H$6,MATCH(C2599,parametros!$B$2:$B$6,0)),""),"Sim","Nao"))))))</f>
        <v/>
      </c>
      <c r="T2599" s="156"/>
      <c r="U2599" s="214" t="str">
        <f t="shared" si="206"/>
        <v/>
      </c>
      <c r="V2599" s="212" t="s">
        <v>50</v>
      </c>
      <c r="W2599" s="100" t="s">
        <v>168</v>
      </c>
      <c r="X2599" s="100" t="s">
        <v>169</v>
      </c>
      <c r="Y2599" s="101" t="s">
        <v>170</v>
      </c>
      <c r="Z2599" s="101" t="s">
        <v>171</v>
      </c>
      <c r="AA2599" s="101" t="s">
        <v>50</v>
      </c>
      <c r="AB2599" s="101" t="s">
        <v>172</v>
      </c>
      <c r="AC2599" s="102" t="s">
        <v>173</v>
      </c>
    </row>
    <row r="2600" spans="1:29" ht="25.5" customHeight="1" x14ac:dyDescent="0.35">
      <c r="A2600" s="392"/>
      <c r="B2600" s="393"/>
      <c r="C2600" s="99" t="str">
        <f>IF(B2600="","",IF(NOT(ISNUMBER(B2600)),"DATA_PC invalida",IF(NOT(ISNUMBER(parametros!$C$2)),"Fora dos ciclos",IF(OR(B2600&lt;parametros!$C$2,(YEAR(B2600)-YEAR(parametros!$C$2))*12+MONTH(B2600)-MONTH(parametros!$C$2)&gt;59),"Fora dos ciclos","C"&amp;INT(((YEAR(B2600)-YEAR(parametros!$C$2))*12+MONTH(B2600)-MONTH(parametros!$C$2))/12)))))</f>
        <v/>
      </c>
      <c r="D2600" s="394"/>
      <c r="E2600" s="78" t="str">
        <f>IF(C2600="","",IFERROR(VLOOKUP(C2600,parametros!$A$11:$E$15,5,0),""))</f>
        <v/>
      </c>
      <c r="F2600" s="79" t="str">
        <f t="shared" si="202"/>
        <v/>
      </c>
      <c r="G2600" s="395"/>
      <c r="H2600" s="91">
        <f t="shared" si="203"/>
        <v>0</v>
      </c>
      <c r="I2600" s="91" t="str">
        <f t="shared" si="204"/>
        <v/>
      </c>
      <c r="J2600" s="91" t="str">
        <f t="shared" si="205"/>
        <v/>
      </c>
      <c r="K2600" s="92" t="str">
        <f>IF(AND(A2600="",B2600="",D2600="",G2600=""),"",IF(AND(A2600&lt;&gt;"",COUNTIF($A$2:$A$5001,A2600)&gt;1),"NUMERO_PC duplicado",IF(B2600="","DATA_PC vazia",IF(NOT(ISNUMBER(B2600)),"DATA_PC invalida",IF(OR(C2600="",C2600="Fora dos ciclos"),"CICLO_PC nao identificado",IF(OR(D2600="",D2600=0),"VALOR_PC vazio ou zero",IF(AND(G2600&lt;&gt;"Sim",G2600&lt;&gt;"Nao",G2600&lt;&gt;""),"PC_PAGO_A_CONTRATADA invalido",IF(AND(C2600&lt;&gt;"C0",IFERROR(INDEX(parametros!$A$2:$A$6,MATCH(C2600,parametros!$B$2:$B$6,0)),"")="Sim",IFERROR(INDEX(parametros!$H$2:$H$6,MATCH(C2600,parametros!$B$2:$B$6,0)),"")=""),"INICIO_EFEITO ausente: PC "&amp;A2600&amp;" - "&amp;C2600,IF(L2600="","EFEITO_PC nao calculado: PC "&amp;A2600&amp;" - "&amp;C2600,"OK")))))))))</f>
        <v/>
      </c>
      <c r="L2600" s="92" t="str">
        <f>IF(AND(A2600="",B2600="",D2600="",G2600=""),"",IF(OR(B2600="",NOT(ISNUMBER(B2600)),C2600="",C2600="Fora dos ciclos"),"",IF(C2600="C0","Nao",IF(IFERROR(INDEX(parametros!$A$2:$A$6,MATCH(C2600,parametros!$B$2:$B$6,0)),"")&lt;&gt;"Sim","Nao",IF(IFERROR(INDEX(parametros!$H$2:$H$6,MATCH(C2600,parametros!$B$2:$B$6,0)),"")="","",IF(B2600&gt;=IFERROR(INDEX(parametros!$H$2:$H$6,MATCH(C2600,parametros!$B$2:$B$6,0)),""),"Sim","Nao"))))))</f>
        <v/>
      </c>
      <c r="T2600" s="156"/>
      <c r="U2600" s="214" t="str">
        <f t="shared" si="206"/>
        <v/>
      </c>
      <c r="V2600" s="212" t="s">
        <v>50</v>
      </c>
      <c r="W2600" s="100" t="s">
        <v>168</v>
      </c>
      <c r="X2600" s="100" t="s">
        <v>169</v>
      </c>
      <c r="Y2600" s="101" t="s">
        <v>170</v>
      </c>
      <c r="Z2600" s="101" t="s">
        <v>171</v>
      </c>
      <c r="AA2600" s="101" t="s">
        <v>50</v>
      </c>
      <c r="AB2600" s="101" t="s">
        <v>172</v>
      </c>
      <c r="AC2600" s="102" t="s">
        <v>173</v>
      </c>
    </row>
    <row r="2601" spans="1:29" ht="25.5" customHeight="1" x14ac:dyDescent="0.35">
      <c r="A2601" s="392"/>
      <c r="B2601" s="393"/>
      <c r="C2601" s="99" t="str">
        <f>IF(B2601="","",IF(NOT(ISNUMBER(B2601)),"DATA_PC invalida",IF(NOT(ISNUMBER(parametros!$C$2)),"Fora dos ciclos",IF(OR(B2601&lt;parametros!$C$2,(YEAR(B2601)-YEAR(parametros!$C$2))*12+MONTH(B2601)-MONTH(parametros!$C$2)&gt;59),"Fora dos ciclos","C"&amp;INT(((YEAR(B2601)-YEAR(parametros!$C$2))*12+MONTH(B2601)-MONTH(parametros!$C$2))/12)))))</f>
        <v/>
      </c>
      <c r="D2601" s="394"/>
      <c r="E2601" s="78" t="str">
        <f>IF(C2601="","",IFERROR(VLOOKUP(C2601,parametros!$A$11:$E$15,5,0),""))</f>
        <v/>
      </c>
      <c r="F2601" s="79" t="str">
        <f t="shared" si="202"/>
        <v/>
      </c>
      <c r="G2601" s="395"/>
      <c r="H2601" s="91">
        <f t="shared" si="203"/>
        <v>0</v>
      </c>
      <c r="I2601" s="91" t="str">
        <f t="shared" si="204"/>
        <v/>
      </c>
      <c r="J2601" s="91" t="str">
        <f t="shared" si="205"/>
        <v/>
      </c>
      <c r="K2601" s="92" t="str">
        <f>IF(AND(A2601="",B2601="",D2601="",G2601=""),"",IF(AND(A2601&lt;&gt;"",COUNTIF($A$2:$A$5001,A2601)&gt;1),"NUMERO_PC duplicado",IF(B2601="","DATA_PC vazia",IF(NOT(ISNUMBER(B2601)),"DATA_PC invalida",IF(OR(C2601="",C2601="Fora dos ciclos"),"CICLO_PC nao identificado",IF(OR(D2601="",D2601=0),"VALOR_PC vazio ou zero",IF(AND(G2601&lt;&gt;"Sim",G2601&lt;&gt;"Nao",G2601&lt;&gt;""),"PC_PAGO_A_CONTRATADA invalido",IF(AND(C2601&lt;&gt;"C0",IFERROR(INDEX(parametros!$A$2:$A$6,MATCH(C2601,parametros!$B$2:$B$6,0)),"")="Sim",IFERROR(INDEX(parametros!$H$2:$H$6,MATCH(C2601,parametros!$B$2:$B$6,0)),"")=""),"INICIO_EFEITO ausente: PC "&amp;A2601&amp;" - "&amp;C2601,IF(L2601="","EFEITO_PC nao calculado: PC "&amp;A2601&amp;" - "&amp;C2601,"OK")))))))))</f>
        <v/>
      </c>
      <c r="L2601" s="92" t="str">
        <f>IF(AND(A2601="",B2601="",D2601="",G2601=""),"",IF(OR(B2601="",NOT(ISNUMBER(B2601)),C2601="",C2601="Fora dos ciclos"),"",IF(C2601="C0","Nao",IF(IFERROR(INDEX(parametros!$A$2:$A$6,MATCH(C2601,parametros!$B$2:$B$6,0)),"")&lt;&gt;"Sim","Nao",IF(IFERROR(INDEX(parametros!$H$2:$H$6,MATCH(C2601,parametros!$B$2:$B$6,0)),"")="","",IF(B2601&gt;=IFERROR(INDEX(parametros!$H$2:$H$6,MATCH(C2601,parametros!$B$2:$B$6,0)),""),"Sim","Nao"))))))</f>
        <v/>
      </c>
      <c r="T2601" s="156"/>
      <c r="U2601" s="214" t="str">
        <f t="shared" si="206"/>
        <v/>
      </c>
      <c r="V2601" s="212" t="s">
        <v>50</v>
      </c>
      <c r="W2601" s="100" t="s">
        <v>168</v>
      </c>
      <c r="X2601" s="100" t="s">
        <v>169</v>
      </c>
      <c r="Y2601" s="101" t="s">
        <v>170</v>
      </c>
      <c r="Z2601" s="101" t="s">
        <v>171</v>
      </c>
      <c r="AA2601" s="101" t="s">
        <v>50</v>
      </c>
      <c r="AB2601" s="101" t="s">
        <v>172</v>
      </c>
      <c r="AC2601" s="102" t="s">
        <v>173</v>
      </c>
    </row>
    <row r="2602" spans="1:29" ht="25.5" customHeight="1" x14ac:dyDescent="0.35">
      <c r="A2602" s="392"/>
      <c r="B2602" s="393"/>
      <c r="C2602" s="99" t="str">
        <f>IF(B2602="","",IF(NOT(ISNUMBER(B2602)),"DATA_PC invalida",IF(NOT(ISNUMBER(parametros!$C$2)),"Fora dos ciclos",IF(OR(B2602&lt;parametros!$C$2,(YEAR(B2602)-YEAR(parametros!$C$2))*12+MONTH(B2602)-MONTH(parametros!$C$2)&gt;59),"Fora dos ciclos","C"&amp;INT(((YEAR(B2602)-YEAR(parametros!$C$2))*12+MONTH(B2602)-MONTH(parametros!$C$2))/12)))))</f>
        <v/>
      </c>
      <c r="D2602" s="394"/>
      <c r="E2602" s="78" t="str">
        <f>IF(C2602="","",IFERROR(VLOOKUP(C2602,parametros!$A$11:$E$15,5,0),""))</f>
        <v/>
      </c>
      <c r="F2602" s="79" t="str">
        <f t="shared" si="202"/>
        <v/>
      </c>
      <c r="G2602" s="395"/>
      <c r="H2602" s="91">
        <f t="shared" si="203"/>
        <v>0</v>
      </c>
      <c r="I2602" s="91" t="str">
        <f t="shared" si="204"/>
        <v/>
      </c>
      <c r="J2602" s="91" t="str">
        <f t="shared" si="205"/>
        <v/>
      </c>
      <c r="K2602" s="92" t="str">
        <f>IF(AND(A2602="",B2602="",D2602="",G2602=""),"",IF(AND(A2602&lt;&gt;"",COUNTIF($A$2:$A$5001,A2602)&gt;1),"NUMERO_PC duplicado",IF(B2602="","DATA_PC vazia",IF(NOT(ISNUMBER(B2602)),"DATA_PC invalida",IF(OR(C2602="",C2602="Fora dos ciclos"),"CICLO_PC nao identificado",IF(OR(D2602="",D2602=0),"VALOR_PC vazio ou zero",IF(AND(G2602&lt;&gt;"Sim",G2602&lt;&gt;"Nao",G2602&lt;&gt;""),"PC_PAGO_A_CONTRATADA invalido",IF(AND(C2602&lt;&gt;"C0",IFERROR(INDEX(parametros!$A$2:$A$6,MATCH(C2602,parametros!$B$2:$B$6,0)),"")="Sim",IFERROR(INDEX(parametros!$H$2:$H$6,MATCH(C2602,parametros!$B$2:$B$6,0)),"")=""),"INICIO_EFEITO ausente: PC "&amp;A2602&amp;" - "&amp;C2602,IF(L2602="","EFEITO_PC nao calculado: PC "&amp;A2602&amp;" - "&amp;C2602,"OK")))))))))</f>
        <v/>
      </c>
      <c r="L2602" s="92" t="str">
        <f>IF(AND(A2602="",B2602="",D2602="",G2602=""),"",IF(OR(B2602="",NOT(ISNUMBER(B2602)),C2602="",C2602="Fora dos ciclos"),"",IF(C2602="C0","Nao",IF(IFERROR(INDEX(parametros!$A$2:$A$6,MATCH(C2602,parametros!$B$2:$B$6,0)),"")&lt;&gt;"Sim","Nao",IF(IFERROR(INDEX(parametros!$H$2:$H$6,MATCH(C2602,parametros!$B$2:$B$6,0)),"")="","",IF(B2602&gt;=IFERROR(INDEX(parametros!$H$2:$H$6,MATCH(C2602,parametros!$B$2:$B$6,0)),""),"Sim","Nao"))))))</f>
        <v/>
      </c>
      <c r="T2602" s="156"/>
      <c r="U2602" s="214" t="str">
        <f t="shared" si="206"/>
        <v/>
      </c>
      <c r="V2602" s="212" t="s">
        <v>50</v>
      </c>
      <c r="W2602" s="100" t="s">
        <v>168</v>
      </c>
      <c r="X2602" s="100" t="s">
        <v>169</v>
      </c>
      <c r="Y2602" s="101" t="s">
        <v>170</v>
      </c>
      <c r="Z2602" s="101" t="s">
        <v>171</v>
      </c>
      <c r="AA2602" s="101" t="s">
        <v>50</v>
      </c>
      <c r="AB2602" s="101" t="s">
        <v>172</v>
      </c>
      <c r="AC2602" s="102" t="s">
        <v>173</v>
      </c>
    </row>
    <row r="2603" spans="1:29" ht="25.5" customHeight="1" x14ac:dyDescent="0.35">
      <c r="A2603" s="392"/>
      <c r="B2603" s="393"/>
      <c r="C2603" s="99" t="str">
        <f>IF(B2603="","",IF(NOT(ISNUMBER(B2603)),"DATA_PC invalida",IF(NOT(ISNUMBER(parametros!$C$2)),"Fora dos ciclos",IF(OR(B2603&lt;parametros!$C$2,(YEAR(B2603)-YEAR(parametros!$C$2))*12+MONTH(B2603)-MONTH(parametros!$C$2)&gt;59),"Fora dos ciclos","C"&amp;INT(((YEAR(B2603)-YEAR(parametros!$C$2))*12+MONTH(B2603)-MONTH(parametros!$C$2))/12)))))</f>
        <v/>
      </c>
      <c r="D2603" s="394"/>
      <c r="E2603" s="78" t="str">
        <f>IF(C2603="","",IFERROR(VLOOKUP(C2603,parametros!$A$11:$E$15,5,0),""))</f>
        <v/>
      </c>
      <c r="F2603" s="79" t="str">
        <f t="shared" si="202"/>
        <v/>
      </c>
      <c r="G2603" s="395"/>
      <c r="H2603" s="91">
        <f t="shared" si="203"/>
        <v>0</v>
      </c>
      <c r="I2603" s="91" t="str">
        <f t="shared" si="204"/>
        <v/>
      </c>
      <c r="J2603" s="91" t="str">
        <f t="shared" si="205"/>
        <v/>
      </c>
      <c r="K2603" s="92" t="str">
        <f>IF(AND(A2603="",B2603="",D2603="",G2603=""),"",IF(AND(A2603&lt;&gt;"",COUNTIF($A$2:$A$5001,A2603)&gt;1),"NUMERO_PC duplicado",IF(B2603="","DATA_PC vazia",IF(NOT(ISNUMBER(B2603)),"DATA_PC invalida",IF(OR(C2603="",C2603="Fora dos ciclos"),"CICLO_PC nao identificado",IF(OR(D2603="",D2603=0),"VALOR_PC vazio ou zero",IF(AND(G2603&lt;&gt;"Sim",G2603&lt;&gt;"Nao",G2603&lt;&gt;""),"PC_PAGO_A_CONTRATADA invalido",IF(AND(C2603&lt;&gt;"C0",IFERROR(INDEX(parametros!$A$2:$A$6,MATCH(C2603,parametros!$B$2:$B$6,0)),"")="Sim",IFERROR(INDEX(parametros!$H$2:$H$6,MATCH(C2603,parametros!$B$2:$B$6,0)),"")=""),"INICIO_EFEITO ausente: PC "&amp;A2603&amp;" - "&amp;C2603,IF(L2603="","EFEITO_PC nao calculado: PC "&amp;A2603&amp;" - "&amp;C2603,"OK")))))))))</f>
        <v/>
      </c>
      <c r="L2603" s="92" t="str">
        <f>IF(AND(A2603="",B2603="",D2603="",G2603=""),"",IF(OR(B2603="",NOT(ISNUMBER(B2603)),C2603="",C2603="Fora dos ciclos"),"",IF(C2603="C0","Nao",IF(IFERROR(INDEX(parametros!$A$2:$A$6,MATCH(C2603,parametros!$B$2:$B$6,0)),"")&lt;&gt;"Sim","Nao",IF(IFERROR(INDEX(parametros!$H$2:$H$6,MATCH(C2603,parametros!$B$2:$B$6,0)),"")="","",IF(B2603&gt;=IFERROR(INDEX(parametros!$H$2:$H$6,MATCH(C2603,parametros!$B$2:$B$6,0)),""),"Sim","Nao"))))))</f>
        <v/>
      </c>
      <c r="T2603" s="156"/>
      <c r="U2603" s="214" t="str">
        <f t="shared" si="206"/>
        <v/>
      </c>
      <c r="V2603" s="212" t="s">
        <v>50</v>
      </c>
      <c r="W2603" s="100" t="s">
        <v>168</v>
      </c>
      <c r="X2603" s="100" t="s">
        <v>169</v>
      </c>
      <c r="Y2603" s="101" t="s">
        <v>170</v>
      </c>
      <c r="Z2603" s="101" t="s">
        <v>171</v>
      </c>
      <c r="AA2603" s="101" t="s">
        <v>50</v>
      </c>
      <c r="AB2603" s="101" t="s">
        <v>172</v>
      </c>
      <c r="AC2603" s="102" t="s">
        <v>173</v>
      </c>
    </row>
    <row r="2604" spans="1:29" ht="25.5" customHeight="1" x14ac:dyDescent="0.35">
      <c r="A2604" s="392"/>
      <c r="B2604" s="393"/>
      <c r="C2604" s="99" t="str">
        <f>IF(B2604="","",IF(NOT(ISNUMBER(B2604)),"DATA_PC invalida",IF(NOT(ISNUMBER(parametros!$C$2)),"Fora dos ciclos",IF(OR(B2604&lt;parametros!$C$2,(YEAR(B2604)-YEAR(parametros!$C$2))*12+MONTH(B2604)-MONTH(parametros!$C$2)&gt;59),"Fora dos ciclos","C"&amp;INT(((YEAR(B2604)-YEAR(parametros!$C$2))*12+MONTH(B2604)-MONTH(parametros!$C$2))/12)))))</f>
        <v/>
      </c>
      <c r="D2604" s="394"/>
      <c r="E2604" s="78" t="str">
        <f>IF(C2604="","",IFERROR(VLOOKUP(C2604,parametros!$A$11:$E$15,5,0),""))</f>
        <v/>
      </c>
      <c r="F2604" s="79" t="str">
        <f t="shared" si="202"/>
        <v/>
      </c>
      <c r="G2604" s="395"/>
      <c r="H2604" s="91">
        <f t="shared" si="203"/>
        <v>0</v>
      </c>
      <c r="I2604" s="91" t="str">
        <f t="shared" si="204"/>
        <v/>
      </c>
      <c r="J2604" s="91" t="str">
        <f t="shared" si="205"/>
        <v/>
      </c>
      <c r="K2604" s="92" t="str">
        <f>IF(AND(A2604="",B2604="",D2604="",G2604=""),"",IF(AND(A2604&lt;&gt;"",COUNTIF($A$2:$A$5001,A2604)&gt;1),"NUMERO_PC duplicado",IF(B2604="","DATA_PC vazia",IF(NOT(ISNUMBER(B2604)),"DATA_PC invalida",IF(OR(C2604="",C2604="Fora dos ciclos"),"CICLO_PC nao identificado",IF(OR(D2604="",D2604=0),"VALOR_PC vazio ou zero",IF(AND(G2604&lt;&gt;"Sim",G2604&lt;&gt;"Nao",G2604&lt;&gt;""),"PC_PAGO_A_CONTRATADA invalido",IF(AND(C2604&lt;&gt;"C0",IFERROR(INDEX(parametros!$A$2:$A$6,MATCH(C2604,parametros!$B$2:$B$6,0)),"")="Sim",IFERROR(INDEX(parametros!$H$2:$H$6,MATCH(C2604,parametros!$B$2:$B$6,0)),"")=""),"INICIO_EFEITO ausente: PC "&amp;A2604&amp;" - "&amp;C2604,IF(L2604="","EFEITO_PC nao calculado: PC "&amp;A2604&amp;" - "&amp;C2604,"OK")))))))))</f>
        <v/>
      </c>
      <c r="L2604" s="92" t="str">
        <f>IF(AND(A2604="",B2604="",D2604="",G2604=""),"",IF(OR(B2604="",NOT(ISNUMBER(B2604)),C2604="",C2604="Fora dos ciclos"),"",IF(C2604="C0","Nao",IF(IFERROR(INDEX(parametros!$A$2:$A$6,MATCH(C2604,parametros!$B$2:$B$6,0)),"")&lt;&gt;"Sim","Nao",IF(IFERROR(INDEX(parametros!$H$2:$H$6,MATCH(C2604,parametros!$B$2:$B$6,0)),"")="","",IF(B2604&gt;=IFERROR(INDEX(parametros!$H$2:$H$6,MATCH(C2604,parametros!$B$2:$B$6,0)),""),"Sim","Nao"))))))</f>
        <v/>
      </c>
      <c r="T2604" s="156"/>
      <c r="U2604" s="214" t="str">
        <f t="shared" si="206"/>
        <v/>
      </c>
      <c r="V2604" s="212" t="s">
        <v>50</v>
      </c>
      <c r="W2604" s="100" t="s">
        <v>168</v>
      </c>
      <c r="X2604" s="100" t="s">
        <v>169</v>
      </c>
      <c r="Y2604" s="101" t="s">
        <v>170</v>
      </c>
      <c r="Z2604" s="101" t="s">
        <v>171</v>
      </c>
      <c r="AA2604" s="101" t="s">
        <v>50</v>
      </c>
      <c r="AB2604" s="101" t="s">
        <v>172</v>
      </c>
      <c r="AC2604" s="102" t="s">
        <v>173</v>
      </c>
    </row>
    <row r="2605" spans="1:29" ht="25.5" customHeight="1" x14ac:dyDescent="0.35">
      <c r="A2605" s="392"/>
      <c r="B2605" s="393"/>
      <c r="C2605" s="99" t="str">
        <f>IF(B2605="","",IF(NOT(ISNUMBER(B2605)),"DATA_PC invalida",IF(NOT(ISNUMBER(parametros!$C$2)),"Fora dos ciclos",IF(OR(B2605&lt;parametros!$C$2,(YEAR(B2605)-YEAR(parametros!$C$2))*12+MONTH(B2605)-MONTH(parametros!$C$2)&gt;59),"Fora dos ciclos","C"&amp;INT(((YEAR(B2605)-YEAR(parametros!$C$2))*12+MONTH(B2605)-MONTH(parametros!$C$2))/12)))))</f>
        <v/>
      </c>
      <c r="D2605" s="394"/>
      <c r="E2605" s="78" t="str">
        <f>IF(C2605="","",IFERROR(VLOOKUP(C2605,parametros!$A$11:$E$15,5,0),""))</f>
        <v/>
      </c>
      <c r="F2605" s="79" t="str">
        <f t="shared" si="202"/>
        <v/>
      </c>
      <c r="G2605" s="395"/>
      <c r="H2605" s="91">
        <f t="shared" si="203"/>
        <v>0</v>
      </c>
      <c r="I2605" s="91" t="str">
        <f t="shared" si="204"/>
        <v/>
      </c>
      <c r="J2605" s="91" t="str">
        <f t="shared" si="205"/>
        <v/>
      </c>
      <c r="K2605" s="92" t="str">
        <f>IF(AND(A2605="",B2605="",D2605="",G2605=""),"",IF(AND(A2605&lt;&gt;"",COUNTIF($A$2:$A$5001,A2605)&gt;1),"NUMERO_PC duplicado",IF(B2605="","DATA_PC vazia",IF(NOT(ISNUMBER(B2605)),"DATA_PC invalida",IF(OR(C2605="",C2605="Fora dos ciclos"),"CICLO_PC nao identificado",IF(OR(D2605="",D2605=0),"VALOR_PC vazio ou zero",IF(AND(G2605&lt;&gt;"Sim",G2605&lt;&gt;"Nao",G2605&lt;&gt;""),"PC_PAGO_A_CONTRATADA invalido",IF(AND(C2605&lt;&gt;"C0",IFERROR(INDEX(parametros!$A$2:$A$6,MATCH(C2605,parametros!$B$2:$B$6,0)),"")="Sim",IFERROR(INDEX(parametros!$H$2:$H$6,MATCH(C2605,parametros!$B$2:$B$6,0)),"")=""),"INICIO_EFEITO ausente: PC "&amp;A2605&amp;" - "&amp;C2605,IF(L2605="","EFEITO_PC nao calculado: PC "&amp;A2605&amp;" - "&amp;C2605,"OK")))))))))</f>
        <v/>
      </c>
      <c r="L2605" s="92" t="str">
        <f>IF(AND(A2605="",B2605="",D2605="",G2605=""),"",IF(OR(B2605="",NOT(ISNUMBER(B2605)),C2605="",C2605="Fora dos ciclos"),"",IF(C2605="C0","Nao",IF(IFERROR(INDEX(parametros!$A$2:$A$6,MATCH(C2605,parametros!$B$2:$B$6,0)),"")&lt;&gt;"Sim","Nao",IF(IFERROR(INDEX(parametros!$H$2:$H$6,MATCH(C2605,parametros!$B$2:$B$6,0)),"")="","",IF(B2605&gt;=IFERROR(INDEX(parametros!$H$2:$H$6,MATCH(C2605,parametros!$B$2:$B$6,0)),""),"Sim","Nao"))))))</f>
        <v/>
      </c>
      <c r="T2605" s="156"/>
      <c r="U2605" s="214" t="str">
        <f t="shared" si="206"/>
        <v/>
      </c>
      <c r="V2605" s="212" t="s">
        <v>50</v>
      </c>
      <c r="W2605" s="100" t="s">
        <v>168</v>
      </c>
      <c r="X2605" s="100" t="s">
        <v>169</v>
      </c>
      <c r="Y2605" s="101" t="s">
        <v>170</v>
      </c>
      <c r="Z2605" s="101" t="s">
        <v>171</v>
      </c>
      <c r="AA2605" s="101" t="s">
        <v>50</v>
      </c>
      <c r="AB2605" s="101" t="s">
        <v>172</v>
      </c>
      <c r="AC2605" s="102" t="s">
        <v>173</v>
      </c>
    </row>
    <row r="2606" spans="1:29" ht="25.5" customHeight="1" x14ac:dyDescent="0.35">
      <c r="A2606" s="392"/>
      <c r="B2606" s="393"/>
      <c r="C2606" s="99" t="str">
        <f>IF(B2606="","",IF(NOT(ISNUMBER(B2606)),"DATA_PC invalida",IF(NOT(ISNUMBER(parametros!$C$2)),"Fora dos ciclos",IF(OR(B2606&lt;parametros!$C$2,(YEAR(B2606)-YEAR(parametros!$C$2))*12+MONTH(B2606)-MONTH(parametros!$C$2)&gt;59),"Fora dos ciclos","C"&amp;INT(((YEAR(B2606)-YEAR(parametros!$C$2))*12+MONTH(B2606)-MONTH(parametros!$C$2))/12)))))</f>
        <v/>
      </c>
      <c r="D2606" s="394"/>
      <c r="E2606" s="78" t="str">
        <f>IF(C2606="","",IFERROR(VLOOKUP(C2606,parametros!$A$11:$E$15,5,0),""))</f>
        <v/>
      </c>
      <c r="F2606" s="79" t="str">
        <f t="shared" si="202"/>
        <v/>
      </c>
      <c r="G2606" s="395"/>
      <c r="H2606" s="91">
        <f t="shared" si="203"/>
        <v>0</v>
      </c>
      <c r="I2606" s="91" t="str">
        <f t="shared" si="204"/>
        <v/>
      </c>
      <c r="J2606" s="91" t="str">
        <f t="shared" si="205"/>
        <v/>
      </c>
      <c r="K2606" s="92" t="str">
        <f>IF(AND(A2606="",B2606="",D2606="",G2606=""),"",IF(AND(A2606&lt;&gt;"",COUNTIF($A$2:$A$5001,A2606)&gt;1),"NUMERO_PC duplicado",IF(B2606="","DATA_PC vazia",IF(NOT(ISNUMBER(B2606)),"DATA_PC invalida",IF(OR(C2606="",C2606="Fora dos ciclos"),"CICLO_PC nao identificado",IF(OR(D2606="",D2606=0),"VALOR_PC vazio ou zero",IF(AND(G2606&lt;&gt;"Sim",G2606&lt;&gt;"Nao",G2606&lt;&gt;""),"PC_PAGO_A_CONTRATADA invalido",IF(AND(C2606&lt;&gt;"C0",IFERROR(INDEX(parametros!$A$2:$A$6,MATCH(C2606,parametros!$B$2:$B$6,0)),"")="Sim",IFERROR(INDEX(parametros!$H$2:$H$6,MATCH(C2606,parametros!$B$2:$B$6,0)),"")=""),"INICIO_EFEITO ausente: PC "&amp;A2606&amp;" - "&amp;C2606,IF(L2606="","EFEITO_PC nao calculado: PC "&amp;A2606&amp;" - "&amp;C2606,"OK")))))))))</f>
        <v/>
      </c>
      <c r="L2606" s="92" t="str">
        <f>IF(AND(A2606="",B2606="",D2606="",G2606=""),"",IF(OR(B2606="",NOT(ISNUMBER(B2606)),C2606="",C2606="Fora dos ciclos"),"",IF(C2606="C0","Nao",IF(IFERROR(INDEX(parametros!$A$2:$A$6,MATCH(C2606,parametros!$B$2:$B$6,0)),"")&lt;&gt;"Sim","Nao",IF(IFERROR(INDEX(parametros!$H$2:$H$6,MATCH(C2606,parametros!$B$2:$B$6,0)),"")="","",IF(B2606&gt;=IFERROR(INDEX(parametros!$H$2:$H$6,MATCH(C2606,parametros!$B$2:$B$6,0)),""),"Sim","Nao"))))))</f>
        <v/>
      </c>
      <c r="T2606" s="156"/>
      <c r="U2606" s="214" t="str">
        <f t="shared" si="206"/>
        <v/>
      </c>
      <c r="V2606" s="212" t="s">
        <v>50</v>
      </c>
      <c r="W2606" s="100" t="s">
        <v>168</v>
      </c>
      <c r="X2606" s="100" t="s">
        <v>169</v>
      </c>
      <c r="Y2606" s="101" t="s">
        <v>170</v>
      </c>
      <c r="Z2606" s="101" t="s">
        <v>171</v>
      </c>
      <c r="AA2606" s="101" t="s">
        <v>50</v>
      </c>
      <c r="AB2606" s="101" t="s">
        <v>172</v>
      </c>
      <c r="AC2606" s="102" t="s">
        <v>173</v>
      </c>
    </row>
    <row r="2607" spans="1:29" ht="25.5" customHeight="1" x14ac:dyDescent="0.35">
      <c r="A2607" s="392"/>
      <c r="B2607" s="393"/>
      <c r="C2607" s="99" t="str">
        <f>IF(B2607="","",IF(NOT(ISNUMBER(B2607)),"DATA_PC invalida",IF(NOT(ISNUMBER(parametros!$C$2)),"Fora dos ciclos",IF(OR(B2607&lt;parametros!$C$2,(YEAR(B2607)-YEAR(parametros!$C$2))*12+MONTH(B2607)-MONTH(parametros!$C$2)&gt;59),"Fora dos ciclos","C"&amp;INT(((YEAR(B2607)-YEAR(parametros!$C$2))*12+MONTH(B2607)-MONTH(parametros!$C$2))/12)))))</f>
        <v/>
      </c>
      <c r="D2607" s="394"/>
      <c r="E2607" s="78" t="str">
        <f>IF(C2607="","",IFERROR(VLOOKUP(C2607,parametros!$A$11:$E$15,5,0),""))</f>
        <v/>
      </c>
      <c r="F2607" s="79" t="str">
        <f t="shared" si="202"/>
        <v/>
      </c>
      <c r="G2607" s="395"/>
      <c r="H2607" s="91">
        <f t="shared" si="203"/>
        <v>0</v>
      </c>
      <c r="I2607" s="91" t="str">
        <f t="shared" si="204"/>
        <v/>
      </c>
      <c r="J2607" s="91" t="str">
        <f t="shared" si="205"/>
        <v/>
      </c>
      <c r="K2607" s="92" t="str">
        <f>IF(AND(A2607="",B2607="",D2607="",G2607=""),"",IF(AND(A2607&lt;&gt;"",COUNTIF($A$2:$A$5001,A2607)&gt;1),"NUMERO_PC duplicado",IF(B2607="","DATA_PC vazia",IF(NOT(ISNUMBER(B2607)),"DATA_PC invalida",IF(OR(C2607="",C2607="Fora dos ciclos"),"CICLO_PC nao identificado",IF(OR(D2607="",D2607=0),"VALOR_PC vazio ou zero",IF(AND(G2607&lt;&gt;"Sim",G2607&lt;&gt;"Nao",G2607&lt;&gt;""),"PC_PAGO_A_CONTRATADA invalido",IF(AND(C2607&lt;&gt;"C0",IFERROR(INDEX(parametros!$A$2:$A$6,MATCH(C2607,parametros!$B$2:$B$6,0)),"")="Sim",IFERROR(INDEX(parametros!$H$2:$H$6,MATCH(C2607,parametros!$B$2:$B$6,0)),"")=""),"INICIO_EFEITO ausente: PC "&amp;A2607&amp;" - "&amp;C2607,IF(L2607="","EFEITO_PC nao calculado: PC "&amp;A2607&amp;" - "&amp;C2607,"OK")))))))))</f>
        <v/>
      </c>
      <c r="L2607" s="92" t="str">
        <f>IF(AND(A2607="",B2607="",D2607="",G2607=""),"",IF(OR(B2607="",NOT(ISNUMBER(B2607)),C2607="",C2607="Fora dos ciclos"),"",IF(C2607="C0","Nao",IF(IFERROR(INDEX(parametros!$A$2:$A$6,MATCH(C2607,parametros!$B$2:$B$6,0)),"")&lt;&gt;"Sim","Nao",IF(IFERROR(INDEX(parametros!$H$2:$H$6,MATCH(C2607,parametros!$B$2:$B$6,0)),"")="","",IF(B2607&gt;=IFERROR(INDEX(parametros!$H$2:$H$6,MATCH(C2607,parametros!$B$2:$B$6,0)),""),"Sim","Nao"))))))</f>
        <v/>
      </c>
      <c r="T2607" s="156"/>
      <c r="U2607" s="214" t="str">
        <f t="shared" si="206"/>
        <v/>
      </c>
      <c r="V2607" s="212" t="s">
        <v>50</v>
      </c>
      <c r="W2607" s="100" t="s">
        <v>168</v>
      </c>
      <c r="X2607" s="100" t="s">
        <v>169</v>
      </c>
      <c r="Y2607" s="101" t="s">
        <v>170</v>
      </c>
      <c r="Z2607" s="101" t="s">
        <v>171</v>
      </c>
      <c r="AA2607" s="101" t="s">
        <v>50</v>
      </c>
      <c r="AB2607" s="101" t="s">
        <v>172</v>
      </c>
      <c r="AC2607" s="102" t="s">
        <v>173</v>
      </c>
    </row>
    <row r="2608" spans="1:29" ht="25.5" customHeight="1" x14ac:dyDescent="0.35">
      <c r="A2608" s="392"/>
      <c r="B2608" s="393"/>
      <c r="C2608" s="99" t="str">
        <f>IF(B2608="","",IF(NOT(ISNUMBER(B2608)),"DATA_PC invalida",IF(NOT(ISNUMBER(parametros!$C$2)),"Fora dos ciclos",IF(OR(B2608&lt;parametros!$C$2,(YEAR(B2608)-YEAR(parametros!$C$2))*12+MONTH(B2608)-MONTH(parametros!$C$2)&gt;59),"Fora dos ciclos","C"&amp;INT(((YEAR(B2608)-YEAR(parametros!$C$2))*12+MONTH(B2608)-MONTH(parametros!$C$2))/12)))))</f>
        <v/>
      </c>
      <c r="D2608" s="394"/>
      <c r="E2608" s="78" t="str">
        <f>IF(C2608="","",IFERROR(VLOOKUP(C2608,parametros!$A$11:$E$15,5,0),""))</f>
        <v/>
      </c>
      <c r="F2608" s="79" t="str">
        <f t="shared" si="202"/>
        <v/>
      </c>
      <c r="G2608" s="395"/>
      <c r="H2608" s="91">
        <f t="shared" si="203"/>
        <v>0</v>
      </c>
      <c r="I2608" s="91" t="str">
        <f t="shared" si="204"/>
        <v/>
      </c>
      <c r="J2608" s="91" t="str">
        <f t="shared" si="205"/>
        <v/>
      </c>
      <c r="K2608" s="92" t="str">
        <f>IF(AND(A2608="",B2608="",D2608="",G2608=""),"",IF(AND(A2608&lt;&gt;"",COUNTIF($A$2:$A$5001,A2608)&gt;1),"NUMERO_PC duplicado",IF(B2608="","DATA_PC vazia",IF(NOT(ISNUMBER(B2608)),"DATA_PC invalida",IF(OR(C2608="",C2608="Fora dos ciclos"),"CICLO_PC nao identificado",IF(OR(D2608="",D2608=0),"VALOR_PC vazio ou zero",IF(AND(G2608&lt;&gt;"Sim",G2608&lt;&gt;"Nao",G2608&lt;&gt;""),"PC_PAGO_A_CONTRATADA invalido",IF(AND(C2608&lt;&gt;"C0",IFERROR(INDEX(parametros!$A$2:$A$6,MATCH(C2608,parametros!$B$2:$B$6,0)),"")="Sim",IFERROR(INDEX(parametros!$H$2:$H$6,MATCH(C2608,parametros!$B$2:$B$6,0)),"")=""),"INICIO_EFEITO ausente: PC "&amp;A2608&amp;" - "&amp;C2608,IF(L2608="","EFEITO_PC nao calculado: PC "&amp;A2608&amp;" - "&amp;C2608,"OK")))))))))</f>
        <v/>
      </c>
      <c r="L2608" s="92" t="str">
        <f>IF(AND(A2608="",B2608="",D2608="",G2608=""),"",IF(OR(B2608="",NOT(ISNUMBER(B2608)),C2608="",C2608="Fora dos ciclos"),"",IF(C2608="C0","Nao",IF(IFERROR(INDEX(parametros!$A$2:$A$6,MATCH(C2608,parametros!$B$2:$B$6,0)),"")&lt;&gt;"Sim","Nao",IF(IFERROR(INDEX(parametros!$H$2:$H$6,MATCH(C2608,parametros!$B$2:$B$6,0)),"")="","",IF(B2608&gt;=IFERROR(INDEX(parametros!$H$2:$H$6,MATCH(C2608,parametros!$B$2:$B$6,0)),""),"Sim","Nao"))))))</f>
        <v/>
      </c>
      <c r="T2608" s="156"/>
      <c r="U2608" s="214" t="str">
        <f t="shared" si="206"/>
        <v/>
      </c>
      <c r="V2608" s="212" t="s">
        <v>50</v>
      </c>
      <c r="W2608" s="100" t="s">
        <v>168</v>
      </c>
      <c r="X2608" s="100" t="s">
        <v>169</v>
      </c>
      <c r="Y2608" s="101" t="s">
        <v>170</v>
      </c>
      <c r="Z2608" s="101" t="s">
        <v>171</v>
      </c>
      <c r="AA2608" s="101" t="s">
        <v>50</v>
      </c>
      <c r="AB2608" s="101" t="s">
        <v>172</v>
      </c>
      <c r="AC2608" s="102" t="s">
        <v>173</v>
      </c>
    </row>
    <row r="2609" spans="1:29" ht="25.5" customHeight="1" x14ac:dyDescent="0.35">
      <c r="A2609" s="392"/>
      <c r="B2609" s="393"/>
      <c r="C2609" s="99" t="str">
        <f>IF(B2609="","",IF(NOT(ISNUMBER(B2609)),"DATA_PC invalida",IF(NOT(ISNUMBER(parametros!$C$2)),"Fora dos ciclos",IF(OR(B2609&lt;parametros!$C$2,(YEAR(B2609)-YEAR(parametros!$C$2))*12+MONTH(B2609)-MONTH(parametros!$C$2)&gt;59),"Fora dos ciclos","C"&amp;INT(((YEAR(B2609)-YEAR(parametros!$C$2))*12+MONTH(B2609)-MONTH(parametros!$C$2))/12)))))</f>
        <v/>
      </c>
      <c r="D2609" s="394"/>
      <c r="E2609" s="78" t="str">
        <f>IF(C2609="","",IFERROR(VLOOKUP(C2609,parametros!$A$11:$E$15,5,0),""))</f>
        <v/>
      </c>
      <c r="F2609" s="79" t="str">
        <f t="shared" si="202"/>
        <v/>
      </c>
      <c r="G2609" s="395"/>
      <c r="H2609" s="91">
        <f t="shared" si="203"/>
        <v>0</v>
      </c>
      <c r="I2609" s="91" t="str">
        <f t="shared" si="204"/>
        <v/>
      </c>
      <c r="J2609" s="91" t="str">
        <f t="shared" si="205"/>
        <v/>
      </c>
      <c r="K2609" s="92" t="str">
        <f>IF(AND(A2609="",B2609="",D2609="",G2609=""),"",IF(AND(A2609&lt;&gt;"",COUNTIF($A$2:$A$5001,A2609)&gt;1),"NUMERO_PC duplicado",IF(B2609="","DATA_PC vazia",IF(NOT(ISNUMBER(B2609)),"DATA_PC invalida",IF(OR(C2609="",C2609="Fora dos ciclos"),"CICLO_PC nao identificado",IF(OR(D2609="",D2609=0),"VALOR_PC vazio ou zero",IF(AND(G2609&lt;&gt;"Sim",G2609&lt;&gt;"Nao",G2609&lt;&gt;""),"PC_PAGO_A_CONTRATADA invalido",IF(AND(C2609&lt;&gt;"C0",IFERROR(INDEX(parametros!$A$2:$A$6,MATCH(C2609,parametros!$B$2:$B$6,0)),"")="Sim",IFERROR(INDEX(parametros!$H$2:$H$6,MATCH(C2609,parametros!$B$2:$B$6,0)),"")=""),"INICIO_EFEITO ausente: PC "&amp;A2609&amp;" - "&amp;C2609,IF(L2609="","EFEITO_PC nao calculado: PC "&amp;A2609&amp;" - "&amp;C2609,"OK")))))))))</f>
        <v/>
      </c>
      <c r="L2609" s="92" t="str">
        <f>IF(AND(A2609="",B2609="",D2609="",G2609=""),"",IF(OR(B2609="",NOT(ISNUMBER(B2609)),C2609="",C2609="Fora dos ciclos"),"",IF(C2609="C0","Nao",IF(IFERROR(INDEX(parametros!$A$2:$A$6,MATCH(C2609,parametros!$B$2:$B$6,0)),"")&lt;&gt;"Sim","Nao",IF(IFERROR(INDEX(parametros!$H$2:$H$6,MATCH(C2609,parametros!$B$2:$B$6,0)),"")="","",IF(B2609&gt;=IFERROR(INDEX(parametros!$H$2:$H$6,MATCH(C2609,parametros!$B$2:$B$6,0)),""),"Sim","Nao"))))))</f>
        <v/>
      </c>
      <c r="T2609" s="156"/>
      <c r="U2609" s="214" t="str">
        <f t="shared" si="206"/>
        <v/>
      </c>
      <c r="V2609" s="212" t="s">
        <v>50</v>
      </c>
      <c r="W2609" s="100" t="s">
        <v>168</v>
      </c>
      <c r="X2609" s="100" t="s">
        <v>169</v>
      </c>
      <c r="Y2609" s="101" t="s">
        <v>170</v>
      </c>
      <c r="Z2609" s="101" t="s">
        <v>171</v>
      </c>
      <c r="AA2609" s="101" t="s">
        <v>50</v>
      </c>
      <c r="AB2609" s="101" t="s">
        <v>172</v>
      </c>
      <c r="AC2609" s="102" t="s">
        <v>173</v>
      </c>
    </row>
    <row r="2610" spans="1:29" ht="25.5" customHeight="1" x14ac:dyDescent="0.35">
      <c r="A2610" s="392"/>
      <c r="B2610" s="393"/>
      <c r="C2610" s="99" t="str">
        <f>IF(B2610="","",IF(NOT(ISNUMBER(B2610)),"DATA_PC invalida",IF(NOT(ISNUMBER(parametros!$C$2)),"Fora dos ciclos",IF(OR(B2610&lt;parametros!$C$2,(YEAR(B2610)-YEAR(parametros!$C$2))*12+MONTH(B2610)-MONTH(parametros!$C$2)&gt;59),"Fora dos ciclos","C"&amp;INT(((YEAR(B2610)-YEAR(parametros!$C$2))*12+MONTH(B2610)-MONTH(parametros!$C$2))/12)))))</f>
        <v/>
      </c>
      <c r="D2610" s="394"/>
      <c r="E2610" s="78" t="str">
        <f>IF(C2610="","",IFERROR(VLOOKUP(C2610,parametros!$A$11:$E$15,5,0),""))</f>
        <v/>
      </c>
      <c r="F2610" s="79" t="str">
        <f t="shared" si="202"/>
        <v/>
      </c>
      <c r="G2610" s="395"/>
      <c r="H2610" s="91">
        <f t="shared" si="203"/>
        <v>0</v>
      </c>
      <c r="I2610" s="91" t="str">
        <f t="shared" si="204"/>
        <v/>
      </c>
      <c r="J2610" s="91" t="str">
        <f t="shared" si="205"/>
        <v/>
      </c>
      <c r="K2610" s="92" t="str">
        <f>IF(AND(A2610="",B2610="",D2610="",G2610=""),"",IF(AND(A2610&lt;&gt;"",COUNTIF($A$2:$A$5001,A2610)&gt;1),"NUMERO_PC duplicado",IF(B2610="","DATA_PC vazia",IF(NOT(ISNUMBER(B2610)),"DATA_PC invalida",IF(OR(C2610="",C2610="Fora dos ciclos"),"CICLO_PC nao identificado",IF(OR(D2610="",D2610=0),"VALOR_PC vazio ou zero",IF(AND(G2610&lt;&gt;"Sim",G2610&lt;&gt;"Nao",G2610&lt;&gt;""),"PC_PAGO_A_CONTRATADA invalido",IF(AND(C2610&lt;&gt;"C0",IFERROR(INDEX(parametros!$A$2:$A$6,MATCH(C2610,parametros!$B$2:$B$6,0)),"")="Sim",IFERROR(INDEX(parametros!$H$2:$H$6,MATCH(C2610,parametros!$B$2:$B$6,0)),"")=""),"INICIO_EFEITO ausente: PC "&amp;A2610&amp;" - "&amp;C2610,IF(L2610="","EFEITO_PC nao calculado: PC "&amp;A2610&amp;" - "&amp;C2610,"OK")))))))))</f>
        <v/>
      </c>
      <c r="L2610" s="92" t="str">
        <f>IF(AND(A2610="",B2610="",D2610="",G2610=""),"",IF(OR(B2610="",NOT(ISNUMBER(B2610)),C2610="",C2610="Fora dos ciclos"),"",IF(C2610="C0","Nao",IF(IFERROR(INDEX(parametros!$A$2:$A$6,MATCH(C2610,parametros!$B$2:$B$6,0)),"")&lt;&gt;"Sim","Nao",IF(IFERROR(INDEX(parametros!$H$2:$H$6,MATCH(C2610,parametros!$B$2:$B$6,0)),"")="","",IF(B2610&gt;=IFERROR(INDEX(parametros!$H$2:$H$6,MATCH(C2610,parametros!$B$2:$B$6,0)),""),"Sim","Nao"))))))</f>
        <v/>
      </c>
      <c r="T2610" s="156"/>
      <c r="U2610" s="214" t="str">
        <f t="shared" si="206"/>
        <v/>
      </c>
      <c r="V2610" s="212" t="s">
        <v>50</v>
      </c>
      <c r="W2610" s="100" t="s">
        <v>168</v>
      </c>
      <c r="X2610" s="100" t="s">
        <v>169</v>
      </c>
      <c r="Y2610" s="101" t="s">
        <v>170</v>
      </c>
      <c r="Z2610" s="101" t="s">
        <v>171</v>
      </c>
      <c r="AA2610" s="101" t="s">
        <v>50</v>
      </c>
      <c r="AB2610" s="101" t="s">
        <v>172</v>
      </c>
      <c r="AC2610" s="102" t="s">
        <v>173</v>
      </c>
    </row>
    <row r="2611" spans="1:29" ht="25.5" customHeight="1" x14ac:dyDescent="0.35">
      <c r="A2611" s="392"/>
      <c r="B2611" s="393"/>
      <c r="C2611" s="99" t="str">
        <f>IF(B2611="","",IF(NOT(ISNUMBER(B2611)),"DATA_PC invalida",IF(NOT(ISNUMBER(parametros!$C$2)),"Fora dos ciclos",IF(OR(B2611&lt;parametros!$C$2,(YEAR(B2611)-YEAR(parametros!$C$2))*12+MONTH(B2611)-MONTH(parametros!$C$2)&gt;59),"Fora dos ciclos","C"&amp;INT(((YEAR(B2611)-YEAR(parametros!$C$2))*12+MONTH(B2611)-MONTH(parametros!$C$2))/12)))))</f>
        <v/>
      </c>
      <c r="D2611" s="394"/>
      <c r="E2611" s="78" t="str">
        <f>IF(C2611="","",IFERROR(VLOOKUP(C2611,parametros!$A$11:$E$15,5,0),""))</f>
        <v/>
      </c>
      <c r="F2611" s="79" t="str">
        <f t="shared" si="202"/>
        <v/>
      </c>
      <c r="G2611" s="395"/>
      <c r="H2611" s="91">
        <f t="shared" si="203"/>
        <v>0</v>
      </c>
      <c r="I2611" s="91" t="str">
        <f t="shared" si="204"/>
        <v/>
      </c>
      <c r="J2611" s="91" t="str">
        <f t="shared" si="205"/>
        <v/>
      </c>
      <c r="K2611" s="92" t="str">
        <f>IF(AND(A2611="",B2611="",D2611="",G2611=""),"",IF(AND(A2611&lt;&gt;"",COUNTIF($A$2:$A$5001,A2611)&gt;1),"NUMERO_PC duplicado",IF(B2611="","DATA_PC vazia",IF(NOT(ISNUMBER(B2611)),"DATA_PC invalida",IF(OR(C2611="",C2611="Fora dos ciclos"),"CICLO_PC nao identificado",IF(OR(D2611="",D2611=0),"VALOR_PC vazio ou zero",IF(AND(G2611&lt;&gt;"Sim",G2611&lt;&gt;"Nao",G2611&lt;&gt;""),"PC_PAGO_A_CONTRATADA invalido",IF(AND(C2611&lt;&gt;"C0",IFERROR(INDEX(parametros!$A$2:$A$6,MATCH(C2611,parametros!$B$2:$B$6,0)),"")="Sim",IFERROR(INDEX(parametros!$H$2:$H$6,MATCH(C2611,parametros!$B$2:$B$6,0)),"")=""),"INICIO_EFEITO ausente: PC "&amp;A2611&amp;" - "&amp;C2611,IF(L2611="","EFEITO_PC nao calculado: PC "&amp;A2611&amp;" - "&amp;C2611,"OK")))))))))</f>
        <v/>
      </c>
      <c r="L2611" s="92" t="str">
        <f>IF(AND(A2611="",B2611="",D2611="",G2611=""),"",IF(OR(B2611="",NOT(ISNUMBER(B2611)),C2611="",C2611="Fora dos ciclos"),"",IF(C2611="C0","Nao",IF(IFERROR(INDEX(parametros!$A$2:$A$6,MATCH(C2611,parametros!$B$2:$B$6,0)),"")&lt;&gt;"Sim","Nao",IF(IFERROR(INDEX(parametros!$H$2:$H$6,MATCH(C2611,parametros!$B$2:$B$6,0)),"")="","",IF(B2611&gt;=IFERROR(INDEX(parametros!$H$2:$H$6,MATCH(C2611,parametros!$B$2:$B$6,0)),""),"Sim","Nao"))))))</f>
        <v/>
      </c>
      <c r="T2611" s="156"/>
      <c r="U2611" s="214" t="str">
        <f t="shared" si="206"/>
        <v/>
      </c>
      <c r="V2611" s="212" t="s">
        <v>50</v>
      </c>
      <c r="W2611" s="100" t="s">
        <v>168</v>
      </c>
      <c r="X2611" s="100" t="s">
        <v>169</v>
      </c>
      <c r="Y2611" s="101" t="s">
        <v>170</v>
      </c>
      <c r="Z2611" s="101" t="s">
        <v>171</v>
      </c>
      <c r="AA2611" s="101" t="s">
        <v>50</v>
      </c>
      <c r="AB2611" s="101" t="s">
        <v>172</v>
      </c>
      <c r="AC2611" s="102" t="s">
        <v>173</v>
      </c>
    </row>
    <row r="2612" spans="1:29" ht="25.5" customHeight="1" x14ac:dyDescent="0.35">
      <c r="A2612" s="392"/>
      <c r="B2612" s="393"/>
      <c r="C2612" s="99" t="str">
        <f>IF(B2612="","",IF(NOT(ISNUMBER(B2612)),"DATA_PC invalida",IF(NOT(ISNUMBER(parametros!$C$2)),"Fora dos ciclos",IF(OR(B2612&lt;parametros!$C$2,(YEAR(B2612)-YEAR(parametros!$C$2))*12+MONTH(B2612)-MONTH(parametros!$C$2)&gt;59),"Fora dos ciclos","C"&amp;INT(((YEAR(B2612)-YEAR(parametros!$C$2))*12+MONTH(B2612)-MONTH(parametros!$C$2))/12)))))</f>
        <v/>
      </c>
      <c r="D2612" s="394"/>
      <c r="E2612" s="78" t="str">
        <f>IF(C2612="","",IFERROR(VLOOKUP(C2612,parametros!$A$11:$E$15,5,0),""))</f>
        <v/>
      </c>
      <c r="F2612" s="79" t="str">
        <f t="shared" si="202"/>
        <v/>
      </c>
      <c r="G2612" s="395"/>
      <c r="H2612" s="91">
        <f t="shared" si="203"/>
        <v>0</v>
      </c>
      <c r="I2612" s="91" t="str">
        <f t="shared" si="204"/>
        <v/>
      </c>
      <c r="J2612" s="91" t="str">
        <f t="shared" si="205"/>
        <v/>
      </c>
      <c r="K2612" s="92" t="str">
        <f>IF(AND(A2612="",B2612="",D2612="",G2612=""),"",IF(AND(A2612&lt;&gt;"",COUNTIF($A$2:$A$5001,A2612)&gt;1),"NUMERO_PC duplicado",IF(B2612="","DATA_PC vazia",IF(NOT(ISNUMBER(B2612)),"DATA_PC invalida",IF(OR(C2612="",C2612="Fora dos ciclos"),"CICLO_PC nao identificado",IF(OR(D2612="",D2612=0),"VALOR_PC vazio ou zero",IF(AND(G2612&lt;&gt;"Sim",G2612&lt;&gt;"Nao",G2612&lt;&gt;""),"PC_PAGO_A_CONTRATADA invalido",IF(AND(C2612&lt;&gt;"C0",IFERROR(INDEX(parametros!$A$2:$A$6,MATCH(C2612,parametros!$B$2:$B$6,0)),"")="Sim",IFERROR(INDEX(parametros!$H$2:$H$6,MATCH(C2612,parametros!$B$2:$B$6,0)),"")=""),"INICIO_EFEITO ausente: PC "&amp;A2612&amp;" - "&amp;C2612,IF(L2612="","EFEITO_PC nao calculado: PC "&amp;A2612&amp;" - "&amp;C2612,"OK")))))))))</f>
        <v/>
      </c>
      <c r="L2612" s="92" t="str">
        <f>IF(AND(A2612="",B2612="",D2612="",G2612=""),"",IF(OR(B2612="",NOT(ISNUMBER(B2612)),C2612="",C2612="Fora dos ciclos"),"",IF(C2612="C0","Nao",IF(IFERROR(INDEX(parametros!$A$2:$A$6,MATCH(C2612,parametros!$B$2:$B$6,0)),"")&lt;&gt;"Sim","Nao",IF(IFERROR(INDEX(parametros!$H$2:$H$6,MATCH(C2612,parametros!$B$2:$B$6,0)),"")="","",IF(B2612&gt;=IFERROR(INDEX(parametros!$H$2:$H$6,MATCH(C2612,parametros!$B$2:$B$6,0)),""),"Sim","Nao"))))))</f>
        <v/>
      </c>
      <c r="T2612" s="156"/>
      <c r="U2612" s="214" t="str">
        <f t="shared" si="206"/>
        <v/>
      </c>
      <c r="V2612" s="212" t="s">
        <v>50</v>
      </c>
      <c r="W2612" s="100" t="s">
        <v>168</v>
      </c>
      <c r="X2612" s="100" t="s">
        <v>169</v>
      </c>
      <c r="Y2612" s="101" t="s">
        <v>170</v>
      </c>
      <c r="Z2612" s="101" t="s">
        <v>171</v>
      </c>
      <c r="AA2612" s="101" t="s">
        <v>50</v>
      </c>
      <c r="AB2612" s="101" t="s">
        <v>172</v>
      </c>
      <c r="AC2612" s="102" t="s">
        <v>173</v>
      </c>
    </row>
    <row r="2613" spans="1:29" ht="25.5" customHeight="1" x14ac:dyDescent="0.35">
      <c r="A2613" s="392"/>
      <c r="B2613" s="393"/>
      <c r="C2613" s="99" t="str">
        <f>IF(B2613="","",IF(NOT(ISNUMBER(B2613)),"DATA_PC invalida",IF(NOT(ISNUMBER(parametros!$C$2)),"Fora dos ciclos",IF(OR(B2613&lt;parametros!$C$2,(YEAR(B2613)-YEAR(parametros!$C$2))*12+MONTH(B2613)-MONTH(parametros!$C$2)&gt;59),"Fora dos ciclos","C"&amp;INT(((YEAR(B2613)-YEAR(parametros!$C$2))*12+MONTH(B2613)-MONTH(parametros!$C$2))/12)))))</f>
        <v/>
      </c>
      <c r="D2613" s="394"/>
      <c r="E2613" s="78" t="str">
        <f>IF(C2613="","",IFERROR(VLOOKUP(C2613,parametros!$A$11:$E$15,5,0),""))</f>
        <v/>
      </c>
      <c r="F2613" s="79" t="str">
        <f t="shared" si="202"/>
        <v/>
      </c>
      <c r="G2613" s="395"/>
      <c r="H2613" s="91">
        <f t="shared" si="203"/>
        <v>0</v>
      </c>
      <c r="I2613" s="91" t="str">
        <f t="shared" si="204"/>
        <v/>
      </c>
      <c r="J2613" s="91" t="str">
        <f t="shared" si="205"/>
        <v/>
      </c>
      <c r="K2613" s="92" t="str">
        <f>IF(AND(A2613="",B2613="",D2613="",G2613=""),"",IF(AND(A2613&lt;&gt;"",COUNTIF($A$2:$A$5001,A2613)&gt;1),"NUMERO_PC duplicado",IF(B2613="","DATA_PC vazia",IF(NOT(ISNUMBER(B2613)),"DATA_PC invalida",IF(OR(C2613="",C2613="Fora dos ciclos"),"CICLO_PC nao identificado",IF(OR(D2613="",D2613=0),"VALOR_PC vazio ou zero",IF(AND(G2613&lt;&gt;"Sim",G2613&lt;&gt;"Nao",G2613&lt;&gt;""),"PC_PAGO_A_CONTRATADA invalido",IF(AND(C2613&lt;&gt;"C0",IFERROR(INDEX(parametros!$A$2:$A$6,MATCH(C2613,parametros!$B$2:$B$6,0)),"")="Sim",IFERROR(INDEX(parametros!$H$2:$H$6,MATCH(C2613,parametros!$B$2:$B$6,0)),"")=""),"INICIO_EFEITO ausente: PC "&amp;A2613&amp;" - "&amp;C2613,IF(L2613="","EFEITO_PC nao calculado: PC "&amp;A2613&amp;" - "&amp;C2613,"OK")))))))))</f>
        <v/>
      </c>
      <c r="L2613" s="92" t="str">
        <f>IF(AND(A2613="",B2613="",D2613="",G2613=""),"",IF(OR(B2613="",NOT(ISNUMBER(B2613)),C2613="",C2613="Fora dos ciclos"),"",IF(C2613="C0","Nao",IF(IFERROR(INDEX(parametros!$A$2:$A$6,MATCH(C2613,parametros!$B$2:$B$6,0)),"")&lt;&gt;"Sim","Nao",IF(IFERROR(INDEX(parametros!$H$2:$H$6,MATCH(C2613,parametros!$B$2:$B$6,0)),"")="","",IF(B2613&gt;=IFERROR(INDEX(parametros!$H$2:$H$6,MATCH(C2613,parametros!$B$2:$B$6,0)),""),"Sim","Nao"))))))</f>
        <v/>
      </c>
      <c r="T2613" s="156"/>
      <c r="U2613" s="214" t="str">
        <f t="shared" si="206"/>
        <v/>
      </c>
      <c r="V2613" s="212" t="s">
        <v>50</v>
      </c>
      <c r="W2613" s="100" t="s">
        <v>168</v>
      </c>
      <c r="X2613" s="100" t="s">
        <v>169</v>
      </c>
      <c r="Y2613" s="101" t="s">
        <v>170</v>
      </c>
      <c r="Z2613" s="101" t="s">
        <v>171</v>
      </c>
      <c r="AA2613" s="101" t="s">
        <v>50</v>
      </c>
      <c r="AB2613" s="101" t="s">
        <v>172</v>
      </c>
      <c r="AC2613" s="102" t="s">
        <v>173</v>
      </c>
    </row>
    <row r="2614" spans="1:29" ht="25.5" customHeight="1" x14ac:dyDescent="0.35">
      <c r="A2614" s="392"/>
      <c r="B2614" s="393"/>
      <c r="C2614" s="99" t="str">
        <f>IF(B2614="","",IF(NOT(ISNUMBER(B2614)),"DATA_PC invalida",IF(NOT(ISNUMBER(parametros!$C$2)),"Fora dos ciclos",IF(OR(B2614&lt;parametros!$C$2,(YEAR(B2614)-YEAR(parametros!$C$2))*12+MONTH(B2614)-MONTH(parametros!$C$2)&gt;59),"Fora dos ciclos","C"&amp;INT(((YEAR(B2614)-YEAR(parametros!$C$2))*12+MONTH(B2614)-MONTH(parametros!$C$2))/12)))))</f>
        <v/>
      </c>
      <c r="D2614" s="394"/>
      <c r="E2614" s="78" t="str">
        <f>IF(C2614="","",IFERROR(VLOOKUP(C2614,parametros!$A$11:$E$15,5,0),""))</f>
        <v/>
      </c>
      <c r="F2614" s="79" t="str">
        <f t="shared" si="202"/>
        <v/>
      </c>
      <c r="G2614" s="395"/>
      <c r="H2614" s="91">
        <f t="shared" si="203"/>
        <v>0</v>
      </c>
      <c r="I2614" s="91" t="str">
        <f t="shared" si="204"/>
        <v/>
      </c>
      <c r="J2614" s="91" t="str">
        <f t="shared" si="205"/>
        <v/>
      </c>
      <c r="K2614" s="92" t="str">
        <f>IF(AND(A2614="",B2614="",D2614="",G2614=""),"",IF(AND(A2614&lt;&gt;"",COUNTIF($A$2:$A$5001,A2614)&gt;1),"NUMERO_PC duplicado",IF(B2614="","DATA_PC vazia",IF(NOT(ISNUMBER(B2614)),"DATA_PC invalida",IF(OR(C2614="",C2614="Fora dos ciclos"),"CICLO_PC nao identificado",IF(OR(D2614="",D2614=0),"VALOR_PC vazio ou zero",IF(AND(G2614&lt;&gt;"Sim",G2614&lt;&gt;"Nao",G2614&lt;&gt;""),"PC_PAGO_A_CONTRATADA invalido",IF(AND(C2614&lt;&gt;"C0",IFERROR(INDEX(parametros!$A$2:$A$6,MATCH(C2614,parametros!$B$2:$B$6,0)),"")="Sim",IFERROR(INDEX(parametros!$H$2:$H$6,MATCH(C2614,parametros!$B$2:$B$6,0)),"")=""),"INICIO_EFEITO ausente: PC "&amp;A2614&amp;" - "&amp;C2614,IF(L2614="","EFEITO_PC nao calculado: PC "&amp;A2614&amp;" - "&amp;C2614,"OK")))))))))</f>
        <v/>
      </c>
      <c r="L2614" s="92" t="str">
        <f>IF(AND(A2614="",B2614="",D2614="",G2614=""),"",IF(OR(B2614="",NOT(ISNUMBER(B2614)),C2614="",C2614="Fora dos ciclos"),"",IF(C2614="C0","Nao",IF(IFERROR(INDEX(parametros!$A$2:$A$6,MATCH(C2614,parametros!$B$2:$B$6,0)),"")&lt;&gt;"Sim","Nao",IF(IFERROR(INDEX(parametros!$H$2:$H$6,MATCH(C2614,parametros!$B$2:$B$6,0)),"")="","",IF(B2614&gt;=IFERROR(INDEX(parametros!$H$2:$H$6,MATCH(C2614,parametros!$B$2:$B$6,0)),""),"Sim","Nao"))))))</f>
        <v/>
      </c>
      <c r="T2614" s="156"/>
      <c r="U2614" s="214" t="str">
        <f t="shared" si="206"/>
        <v/>
      </c>
      <c r="V2614" s="212" t="s">
        <v>50</v>
      </c>
      <c r="W2614" s="100" t="s">
        <v>168</v>
      </c>
      <c r="X2614" s="100" t="s">
        <v>169</v>
      </c>
      <c r="Y2614" s="101" t="s">
        <v>170</v>
      </c>
      <c r="Z2614" s="101" t="s">
        <v>171</v>
      </c>
      <c r="AA2614" s="101" t="s">
        <v>50</v>
      </c>
      <c r="AB2614" s="101" t="s">
        <v>172</v>
      </c>
      <c r="AC2614" s="102" t="s">
        <v>173</v>
      </c>
    </row>
    <row r="2615" spans="1:29" ht="25.5" customHeight="1" x14ac:dyDescent="0.35">
      <c r="A2615" s="392"/>
      <c r="B2615" s="393"/>
      <c r="C2615" s="99" t="str">
        <f>IF(B2615="","",IF(NOT(ISNUMBER(B2615)),"DATA_PC invalida",IF(NOT(ISNUMBER(parametros!$C$2)),"Fora dos ciclos",IF(OR(B2615&lt;parametros!$C$2,(YEAR(B2615)-YEAR(parametros!$C$2))*12+MONTH(B2615)-MONTH(parametros!$C$2)&gt;59),"Fora dos ciclos","C"&amp;INT(((YEAR(B2615)-YEAR(parametros!$C$2))*12+MONTH(B2615)-MONTH(parametros!$C$2))/12)))))</f>
        <v/>
      </c>
      <c r="D2615" s="394"/>
      <c r="E2615" s="78" t="str">
        <f>IF(C2615="","",IFERROR(VLOOKUP(C2615,parametros!$A$11:$E$15,5,0),""))</f>
        <v/>
      </c>
      <c r="F2615" s="79" t="str">
        <f t="shared" si="202"/>
        <v/>
      </c>
      <c r="G2615" s="395"/>
      <c r="H2615" s="91">
        <f t="shared" si="203"/>
        <v>0</v>
      </c>
      <c r="I2615" s="91" t="str">
        <f t="shared" si="204"/>
        <v/>
      </c>
      <c r="J2615" s="91" t="str">
        <f t="shared" si="205"/>
        <v/>
      </c>
      <c r="K2615" s="92" t="str">
        <f>IF(AND(A2615="",B2615="",D2615="",G2615=""),"",IF(AND(A2615&lt;&gt;"",COUNTIF($A$2:$A$5001,A2615)&gt;1),"NUMERO_PC duplicado",IF(B2615="","DATA_PC vazia",IF(NOT(ISNUMBER(B2615)),"DATA_PC invalida",IF(OR(C2615="",C2615="Fora dos ciclos"),"CICLO_PC nao identificado",IF(OR(D2615="",D2615=0),"VALOR_PC vazio ou zero",IF(AND(G2615&lt;&gt;"Sim",G2615&lt;&gt;"Nao",G2615&lt;&gt;""),"PC_PAGO_A_CONTRATADA invalido",IF(AND(C2615&lt;&gt;"C0",IFERROR(INDEX(parametros!$A$2:$A$6,MATCH(C2615,parametros!$B$2:$B$6,0)),"")="Sim",IFERROR(INDEX(parametros!$H$2:$H$6,MATCH(C2615,parametros!$B$2:$B$6,0)),"")=""),"INICIO_EFEITO ausente: PC "&amp;A2615&amp;" - "&amp;C2615,IF(L2615="","EFEITO_PC nao calculado: PC "&amp;A2615&amp;" - "&amp;C2615,"OK")))))))))</f>
        <v/>
      </c>
      <c r="L2615" s="92" t="str">
        <f>IF(AND(A2615="",B2615="",D2615="",G2615=""),"",IF(OR(B2615="",NOT(ISNUMBER(B2615)),C2615="",C2615="Fora dos ciclos"),"",IF(C2615="C0","Nao",IF(IFERROR(INDEX(parametros!$A$2:$A$6,MATCH(C2615,parametros!$B$2:$B$6,0)),"")&lt;&gt;"Sim","Nao",IF(IFERROR(INDEX(parametros!$H$2:$H$6,MATCH(C2615,parametros!$B$2:$B$6,0)),"")="","",IF(B2615&gt;=IFERROR(INDEX(parametros!$H$2:$H$6,MATCH(C2615,parametros!$B$2:$B$6,0)),""),"Sim","Nao"))))))</f>
        <v/>
      </c>
      <c r="T2615" s="156"/>
      <c r="U2615" s="214" t="str">
        <f t="shared" si="206"/>
        <v/>
      </c>
      <c r="V2615" s="212" t="s">
        <v>50</v>
      </c>
      <c r="W2615" s="100" t="s">
        <v>168</v>
      </c>
      <c r="X2615" s="100" t="s">
        <v>169</v>
      </c>
      <c r="Y2615" s="101" t="s">
        <v>170</v>
      </c>
      <c r="Z2615" s="101" t="s">
        <v>171</v>
      </c>
      <c r="AA2615" s="101" t="s">
        <v>50</v>
      </c>
      <c r="AB2615" s="101" t="s">
        <v>172</v>
      </c>
      <c r="AC2615" s="102" t="s">
        <v>173</v>
      </c>
    </row>
    <row r="2616" spans="1:29" ht="25.5" customHeight="1" x14ac:dyDescent="0.35">
      <c r="A2616" s="392"/>
      <c r="B2616" s="393"/>
      <c r="C2616" s="99" t="str">
        <f>IF(B2616="","",IF(NOT(ISNUMBER(B2616)),"DATA_PC invalida",IF(NOT(ISNUMBER(parametros!$C$2)),"Fora dos ciclos",IF(OR(B2616&lt;parametros!$C$2,(YEAR(B2616)-YEAR(parametros!$C$2))*12+MONTH(B2616)-MONTH(parametros!$C$2)&gt;59),"Fora dos ciclos","C"&amp;INT(((YEAR(B2616)-YEAR(parametros!$C$2))*12+MONTH(B2616)-MONTH(parametros!$C$2))/12)))))</f>
        <v/>
      </c>
      <c r="D2616" s="394"/>
      <c r="E2616" s="78" t="str">
        <f>IF(C2616="","",IFERROR(VLOOKUP(C2616,parametros!$A$11:$E$15,5,0),""))</f>
        <v/>
      </c>
      <c r="F2616" s="79" t="str">
        <f t="shared" si="202"/>
        <v/>
      </c>
      <c r="G2616" s="395"/>
      <c r="H2616" s="91">
        <f t="shared" si="203"/>
        <v>0</v>
      </c>
      <c r="I2616" s="91" t="str">
        <f t="shared" si="204"/>
        <v/>
      </c>
      <c r="J2616" s="91" t="str">
        <f t="shared" si="205"/>
        <v/>
      </c>
      <c r="K2616" s="92" t="str">
        <f>IF(AND(A2616="",B2616="",D2616="",G2616=""),"",IF(AND(A2616&lt;&gt;"",COUNTIF($A$2:$A$5001,A2616)&gt;1),"NUMERO_PC duplicado",IF(B2616="","DATA_PC vazia",IF(NOT(ISNUMBER(B2616)),"DATA_PC invalida",IF(OR(C2616="",C2616="Fora dos ciclos"),"CICLO_PC nao identificado",IF(OR(D2616="",D2616=0),"VALOR_PC vazio ou zero",IF(AND(G2616&lt;&gt;"Sim",G2616&lt;&gt;"Nao",G2616&lt;&gt;""),"PC_PAGO_A_CONTRATADA invalido",IF(AND(C2616&lt;&gt;"C0",IFERROR(INDEX(parametros!$A$2:$A$6,MATCH(C2616,parametros!$B$2:$B$6,0)),"")="Sim",IFERROR(INDEX(parametros!$H$2:$H$6,MATCH(C2616,parametros!$B$2:$B$6,0)),"")=""),"INICIO_EFEITO ausente: PC "&amp;A2616&amp;" - "&amp;C2616,IF(L2616="","EFEITO_PC nao calculado: PC "&amp;A2616&amp;" - "&amp;C2616,"OK")))))))))</f>
        <v/>
      </c>
      <c r="L2616" s="92" t="str">
        <f>IF(AND(A2616="",B2616="",D2616="",G2616=""),"",IF(OR(B2616="",NOT(ISNUMBER(B2616)),C2616="",C2616="Fora dos ciclos"),"",IF(C2616="C0","Nao",IF(IFERROR(INDEX(parametros!$A$2:$A$6,MATCH(C2616,parametros!$B$2:$B$6,0)),"")&lt;&gt;"Sim","Nao",IF(IFERROR(INDEX(parametros!$H$2:$H$6,MATCH(C2616,parametros!$B$2:$B$6,0)),"")="","",IF(B2616&gt;=IFERROR(INDEX(parametros!$H$2:$H$6,MATCH(C2616,parametros!$B$2:$B$6,0)),""),"Sim","Nao"))))))</f>
        <v/>
      </c>
      <c r="T2616" s="156"/>
      <c r="U2616" s="214" t="str">
        <f t="shared" si="206"/>
        <v/>
      </c>
      <c r="V2616" s="212" t="s">
        <v>50</v>
      </c>
      <c r="W2616" s="100" t="s">
        <v>168</v>
      </c>
      <c r="X2616" s="100" t="s">
        <v>169</v>
      </c>
      <c r="Y2616" s="101" t="s">
        <v>170</v>
      </c>
      <c r="Z2616" s="101" t="s">
        <v>171</v>
      </c>
      <c r="AA2616" s="101" t="s">
        <v>50</v>
      </c>
      <c r="AB2616" s="101" t="s">
        <v>172</v>
      </c>
      <c r="AC2616" s="102" t="s">
        <v>173</v>
      </c>
    </row>
    <row r="2617" spans="1:29" ht="25.5" customHeight="1" x14ac:dyDescent="0.35">
      <c r="A2617" s="392"/>
      <c r="B2617" s="393"/>
      <c r="C2617" s="99" t="str">
        <f>IF(B2617="","",IF(NOT(ISNUMBER(B2617)),"DATA_PC invalida",IF(NOT(ISNUMBER(parametros!$C$2)),"Fora dos ciclos",IF(OR(B2617&lt;parametros!$C$2,(YEAR(B2617)-YEAR(parametros!$C$2))*12+MONTH(B2617)-MONTH(parametros!$C$2)&gt;59),"Fora dos ciclos","C"&amp;INT(((YEAR(B2617)-YEAR(parametros!$C$2))*12+MONTH(B2617)-MONTH(parametros!$C$2))/12)))))</f>
        <v/>
      </c>
      <c r="D2617" s="394"/>
      <c r="E2617" s="78" t="str">
        <f>IF(C2617="","",IFERROR(VLOOKUP(C2617,parametros!$A$11:$E$15,5,0),""))</f>
        <v/>
      </c>
      <c r="F2617" s="79" t="str">
        <f t="shared" si="202"/>
        <v/>
      </c>
      <c r="G2617" s="395"/>
      <c r="H2617" s="91">
        <f t="shared" si="203"/>
        <v>0</v>
      </c>
      <c r="I2617" s="91" t="str">
        <f t="shared" si="204"/>
        <v/>
      </c>
      <c r="J2617" s="91" t="str">
        <f t="shared" si="205"/>
        <v/>
      </c>
      <c r="K2617" s="92" t="str">
        <f>IF(AND(A2617="",B2617="",D2617="",G2617=""),"",IF(AND(A2617&lt;&gt;"",COUNTIF($A$2:$A$5001,A2617)&gt;1),"NUMERO_PC duplicado",IF(B2617="","DATA_PC vazia",IF(NOT(ISNUMBER(B2617)),"DATA_PC invalida",IF(OR(C2617="",C2617="Fora dos ciclos"),"CICLO_PC nao identificado",IF(OR(D2617="",D2617=0),"VALOR_PC vazio ou zero",IF(AND(G2617&lt;&gt;"Sim",G2617&lt;&gt;"Nao",G2617&lt;&gt;""),"PC_PAGO_A_CONTRATADA invalido",IF(AND(C2617&lt;&gt;"C0",IFERROR(INDEX(parametros!$A$2:$A$6,MATCH(C2617,parametros!$B$2:$B$6,0)),"")="Sim",IFERROR(INDEX(parametros!$H$2:$H$6,MATCH(C2617,parametros!$B$2:$B$6,0)),"")=""),"INICIO_EFEITO ausente: PC "&amp;A2617&amp;" - "&amp;C2617,IF(L2617="","EFEITO_PC nao calculado: PC "&amp;A2617&amp;" - "&amp;C2617,"OK")))))))))</f>
        <v/>
      </c>
      <c r="L2617" s="92" t="str">
        <f>IF(AND(A2617="",B2617="",D2617="",G2617=""),"",IF(OR(B2617="",NOT(ISNUMBER(B2617)),C2617="",C2617="Fora dos ciclos"),"",IF(C2617="C0","Nao",IF(IFERROR(INDEX(parametros!$A$2:$A$6,MATCH(C2617,parametros!$B$2:$B$6,0)),"")&lt;&gt;"Sim","Nao",IF(IFERROR(INDEX(parametros!$H$2:$H$6,MATCH(C2617,parametros!$B$2:$B$6,0)),"")="","",IF(B2617&gt;=IFERROR(INDEX(parametros!$H$2:$H$6,MATCH(C2617,parametros!$B$2:$B$6,0)),""),"Sim","Nao"))))))</f>
        <v/>
      </c>
      <c r="T2617" s="156"/>
      <c r="U2617" s="214" t="str">
        <f t="shared" si="206"/>
        <v/>
      </c>
      <c r="V2617" s="212" t="s">
        <v>50</v>
      </c>
      <c r="W2617" s="100" t="s">
        <v>168</v>
      </c>
      <c r="X2617" s="100" t="s">
        <v>169</v>
      </c>
      <c r="Y2617" s="101" t="s">
        <v>170</v>
      </c>
      <c r="Z2617" s="101" t="s">
        <v>171</v>
      </c>
      <c r="AA2617" s="101" t="s">
        <v>50</v>
      </c>
      <c r="AB2617" s="101" t="s">
        <v>172</v>
      </c>
      <c r="AC2617" s="102" t="s">
        <v>173</v>
      </c>
    </row>
    <row r="2618" spans="1:29" ht="25.5" customHeight="1" x14ac:dyDescent="0.35">
      <c r="A2618" s="392"/>
      <c r="B2618" s="393"/>
      <c r="C2618" s="99" t="str">
        <f>IF(B2618="","",IF(NOT(ISNUMBER(B2618)),"DATA_PC invalida",IF(NOT(ISNUMBER(parametros!$C$2)),"Fora dos ciclos",IF(OR(B2618&lt;parametros!$C$2,(YEAR(B2618)-YEAR(parametros!$C$2))*12+MONTH(B2618)-MONTH(parametros!$C$2)&gt;59),"Fora dos ciclos","C"&amp;INT(((YEAR(B2618)-YEAR(parametros!$C$2))*12+MONTH(B2618)-MONTH(parametros!$C$2))/12)))))</f>
        <v/>
      </c>
      <c r="D2618" s="394"/>
      <c r="E2618" s="78" t="str">
        <f>IF(C2618="","",IFERROR(VLOOKUP(C2618,parametros!$A$11:$E$15,5,0),""))</f>
        <v/>
      </c>
      <c r="F2618" s="79" t="str">
        <f t="shared" si="202"/>
        <v/>
      </c>
      <c r="G2618" s="395"/>
      <c r="H2618" s="91">
        <f t="shared" si="203"/>
        <v>0</v>
      </c>
      <c r="I2618" s="91" t="str">
        <f t="shared" si="204"/>
        <v/>
      </c>
      <c r="J2618" s="91" t="str">
        <f t="shared" si="205"/>
        <v/>
      </c>
      <c r="K2618" s="92" t="str">
        <f>IF(AND(A2618="",B2618="",D2618="",G2618=""),"",IF(AND(A2618&lt;&gt;"",COUNTIF($A$2:$A$5001,A2618)&gt;1),"NUMERO_PC duplicado",IF(B2618="","DATA_PC vazia",IF(NOT(ISNUMBER(B2618)),"DATA_PC invalida",IF(OR(C2618="",C2618="Fora dos ciclos"),"CICLO_PC nao identificado",IF(OR(D2618="",D2618=0),"VALOR_PC vazio ou zero",IF(AND(G2618&lt;&gt;"Sim",G2618&lt;&gt;"Nao",G2618&lt;&gt;""),"PC_PAGO_A_CONTRATADA invalido",IF(AND(C2618&lt;&gt;"C0",IFERROR(INDEX(parametros!$A$2:$A$6,MATCH(C2618,parametros!$B$2:$B$6,0)),"")="Sim",IFERROR(INDEX(parametros!$H$2:$H$6,MATCH(C2618,parametros!$B$2:$B$6,0)),"")=""),"INICIO_EFEITO ausente: PC "&amp;A2618&amp;" - "&amp;C2618,IF(L2618="","EFEITO_PC nao calculado: PC "&amp;A2618&amp;" - "&amp;C2618,"OK")))))))))</f>
        <v/>
      </c>
      <c r="L2618" s="92" t="str">
        <f>IF(AND(A2618="",B2618="",D2618="",G2618=""),"",IF(OR(B2618="",NOT(ISNUMBER(B2618)),C2618="",C2618="Fora dos ciclos"),"",IF(C2618="C0","Nao",IF(IFERROR(INDEX(parametros!$A$2:$A$6,MATCH(C2618,parametros!$B$2:$B$6,0)),"")&lt;&gt;"Sim","Nao",IF(IFERROR(INDEX(parametros!$H$2:$H$6,MATCH(C2618,parametros!$B$2:$B$6,0)),"")="","",IF(B2618&gt;=IFERROR(INDEX(parametros!$H$2:$H$6,MATCH(C2618,parametros!$B$2:$B$6,0)),""),"Sim","Nao"))))))</f>
        <v/>
      </c>
      <c r="T2618" s="156"/>
      <c r="U2618" s="214" t="str">
        <f t="shared" si="206"/>
        <v/>
      </c>
      <c r="V2618" s="212" t="s">
        <v>50</v>
      </c>
      <c r="W2618" s="100" t="s">
        <v>168</v>
      </c>
      <c r="X2618" s="100" t="s">
        <v>169</v>
      </c>
      <c r="Y2618" s="101" t="s">
        <v>170</v>
      </c>
      <c r="Z2618" s="101" t="s">
        <v>171</v>
      </c>
      <c r="AA2618" s="101" t="s">
        <v>50</v>
      </c>
      <c r="AB2618" s="101" t="s">
        <v>172</v>
      </c>
      <c r="AC2618" s="102" t="s">
        <v>173</v>
      </c>
    </row>
    <row r="2619" spans="1:29" ht="25.5" customHeight="1" x14ac:dyDescent="0.35">
      <c r="A2619" s="392"/>
      <c r="B2619" s="393"/>
      <c r="C2619" s="99" t="str">
        <f>IF(B2619="","",IF(NOT(ISNUMBER(B2619)),"DATA_PC invalida",IF(NOT(ISNUMBER(parametros!$C$2)),"Fora dos ciclos",IF(OR(B2619&lt;parametros!$C$2,(YEAR(B2619)-YEAR(parametros!$C$2))*12+MONTH(B2619)-MONTH(parametros!$C$2)&gt;59),"Fora dos ciclos","C"&amp;INT(((YEAR(B2619)-YEAR(parametros!$C$2))*12+MONTH(B2619)-MONTH(parametros!$C$2))/12)))))</f>
        <v/>
      </c>
      <c r="D2619" s="394"/>
      <c r="E2619" s="78" t="str">
        <f>IF(C2619="","",IFERROR(VLOOKUP(C2619,parametros!$A$11:$E$15,5,0),""))</f>
        <v/>
      </c>
      <c r="F2619" s="79" t="str">
        <f t="shared" si="202"/>
        <v/>
      </c>
      <c r="G2619" s="395"/>
      <c r="H2619" s="91">
        <f t="shared" si="203"/>
        <v>0</v>
      </c>
      <c r="I2619" s="91" t="str">
        <f t="shared" si="204"/>
        <v/>
      </c>
      <c r="J2619" s="91" t="str">
        <f t="shared" si="205"/>
        <v/>
      </c>
      <c r="K2619" s="92" t="str">
        <f>IF(AND(A2619="",B2619="",D2619="",G2619=""),"",IF(AND(A2619&lt;&gt;"",COUNTIF($A$2:$A$5001,A2619)&gt;1),"NUMERO_PC duplicado",IF(B2619="","DATA_PC vazia",IF(NOT(ISNUMBER(B2619)),"DATA_PC invalida",IF(OR(C2619="",C2619="Fora dos ciclos"),"CICLO_PC nao identificado",IF(OR(D2619="",D2619=0),"VALOR_PC vazio ou zero",IF(AND(G2619&lt;&gt;"Sim",G2619&lt;&gt;"Nao",G2619&lt;&gt;""),"PC_PAGO_A_CONTRATADA invalido",IF(AND(C2619&lt;&gt;"C0",IFERROR(INDEX(parametros!$A$2:$A$6,MATCH(C2619,parametros!$B$2:$B$6,0)),"")="Sim",IFERROR(INDEX(parametros!$H$2:$H$6,MATCH(C2619,parametros!$B$2:$B$6,0)),"")=""),"INICIO_EFEITO ausente: PC "&amp;A2619&amp;" - "&amp;C2619,IF(L2619="","EFEITO_PC nao calculado: PC "&amp;A2619&amp;" - "&amp;C2619,"OK")))))))))</f>
        <v/>
      </c>
      <c r="L2619" s="92" t="str">
        <f>IF(AND(A2619="",B2619="",D2619="",G2619=""),"",IF(OR(B2619="",NOT(ISNUMBER(B2619)),C2619="",C2619="Fora dos ciclos"),"",IF(C2619="C0","Nao",IF(IFERROR(INDEX(parametros!$A$2:$A$6,MATCH(C2619,parametros!$B$2:$B$6,0)),"")&lt;&gt;"Sim","Nao",IF(IFERROR(INDEX(parametros!$H$2:$H$6,MATCH(C2619,parametros!$B$2:$B$6,0)),"")="","",IF(B2619&gt;=IFERROR(INDEX(parametros!$H$2:$H$6,MATCH(C2619,parametros!$B$2:$B$6,0)),""),"Sim","Nao"))))))</f>
        <v/>
      </c>
      <c r="T2619" s="156"/>
      <c r="U2619" s="214" t="str">
        <f t="shared" si="206"/>
        <v/>
      </c>
      <c r="V2619" s="212" t="s">
        <v>50</v>
      </c>
      <c r="W2619" s="100" t="s">
        <v>168</v>
      </c>
      <c r="X2619" s="100" t="s">
        <v>169</v>
      </c>
      <c r="Y2619" s="101" t="s">
        <v>170</v>
      </c>
      <c r="Z2619" s="101" t="s">
        <v>171</v>
      </c>
      <c r="AA2619" s="101" t="s">
        <v>50</v>
      </c>
      <c r="AB2619" s="101" t="s">
        <v>172</v>
      </c>
      <c r="AC2619" s="102" t="s">
        <v>173</v>
      </c>
    </row>
    <row r="2620" spans="1:29" ht="25.5" customHeight="1" x14ac:dyDescent="0.35">
      <c r="A2620" s="392"/>
      <c r="B2620" s="393"/>
      <c r="C2620" s="99" t="str">
        <f>IF(B2620="","",IF(NOT(ISNUMBER(B2620)),"DATA_PC invalida",IF(NOT(ISNUMBER(parametros!$C$2)),"Fora dos ciclos",IF(OR(B2620&lt;parametros!$C$2,(YEAR(B2620)-YEAR(parametros!$C$2))*12+MONTH(B2620)-MONTH(parametros!$C$2)&gt;59),"Fora dos ciclos","C"&amp;INT(((YEAR(B2620)-YEAR(parametros!$C$2))*12+MONTH(B2620)-MONTH(parametros!$C$2))/12)))))</f>
        <v/>
      </c>
      <c r="D2620" s="394"/>
      <c r="E2620" s="78" t="str">
        <f>IF(C2620="","",IFERROR(VLOOKUP(C2620,parametros!$A$11:$E$15,5,0),""))</f>
        <v/>
      </c>
      <c r="F2620" s="79" t="str">
        <f t="shared" si="202"/>
        <v/>
      </c>
      <c r="G2620" s="395"/>
      <c r="H2620" s="91">
        <f t="shared" si="203"/>
        <v>0</v>
      </c>
      <c r="I2620" s="91" t="str">
        <f t="shared" si="204"/>
        <v/>
      </c>
      <c r="J2620" s="91" t="str">
        <f t="shared" si="205"/>
        <v/>
      </c>
      <c r="K2620" s="92" t="str">
        <f>IF(AND(A2620="",B2620="",D2620="",G2620=""),"",IF(AND(A2620&lt;&gt;"",COUNTIF($A$2:$A$5001,A2620)&gt;1),"NUMERO_PC duplicado",IF(B2620="","DATA_PC vazia",IF(NOT(ISNUMBER(B2620)),"DATA_PC invalida",IF(OR(C2620="",C2620="Fora dos ciclos"),"CICLO_PC nao identificado",IF(OR(D2620="",D2620=0),"VALOR_PC vazio ou zero",IF(AND(G2620&lt;&gt;"Sim",G2620&lt;&gt;"Nao",G2620&lt;&gt;""),"PC_PAGO_A_CONTRATADA invalido",IF(AND(C2620&lt;&gt;"C0",IFERROR(INDEX(parametros!$A$2:$A$6,MATCH(C2620,parametros!$B$2:$B$6,0)),"")="Sim",IFERROR(INDEX(parametros!$H$2:$H$6,MATCH(C2620,parametros!$B$2:$B$6,0)),"")=""),"INICIO_EFEITO ausente: PC "&amp;A2620&amp;" - "&amp;C2620,IF(L2620="","EFEITO_PC nao calculado: PC "&amp;A2620&amp;" - "&amp;C2620,"OK")))))))))</f>
        <v/>
      </c>
      <c r="L2620" s="92" t="str">
        <f>IF(AND(A2620="",B2620="",D2620="",G2620=""),"",IF(OR(B2620="",NOT(ISNUMBER(B2620)),C2620="",C2620="Fora dos ciclos"),"",IF(C2620="C0","Nao",IF(IFERROR(INDEX(parametros!$A$2:$A$6,MATCH(C2620,parametros!$B$2:$B$6,0)),"")&lt;&gt;"Sim","Nao",IF(IFERROR(INDEX(parametros!$H$2:$H$6,MATCH(C2620,parametros!$B$2:$B$6,0)),"")="","",IF(B2620&gt;=IFERROR(INDEX(parametros!$H$2:$H$6,MATCH(C2620,parametros!$B$2:$B$6,0)),""),"Sim","Nao"))))))</f>
        <v/>
      </c>
      <c r="T2620" s="156"/>
      <c r="U2620" s="214" t="str">
        <f t="shared" si="206"/>
        <v/>
      </c>
      <c r="V2620" s="212" t="s">
        <v>50</v>
      </c>
      <c r="W2620" s="100" t="s">
        <v>168</v>
      </c>
      <c r="X2620" s="100" t="s">
        <v>169</v>
      </c>
      <c r="Y2620" s="101" t="s">
        <v>170</v>
      </c>
      <c r="Z2620" s="101" t="s">
        <v>171</v>
      </c>
      <c r="AA2620" s="101" t="s">
        <v>50</v>
      </c>
      <c r="AB2620" s="101" t="s">
        <v>172</v>
      </c>
      <c r="AC2620" s="102" t="s">
        <v>173</v>
      </c>
    </row>
    <row r="2621" spans="1:29" ht="25.5" customHeight="1" x14ac:dyDescent="0.35">
      <c r="A2621" s="392"/>
      <c r="B2621" s="393"/>
      <c r="C2621" s="99" t="str">
        <f>IF(B2621="","",IF(NOT(ISNUMBER(B2621)),"DATA_PC invalida",IF(NOT(ISNUMBER(parametros!$C$2)),"Fora dos ciclos",IF(OR(B2621&lt;parametros!$C$2,(YEAR(B2621)-YEAR(parametros!$C$2))*12+MONTH(B2621)-MONTH(parametros!$C$2)&gt;59),"Fora dos ciclos","C"&amp;INT(((YEAR(B2621)-YEAR(parametros!$C$2))*12+MONTH(B2621)-MONTH(parametros!$C$2))/12)))))</f>
        <v/>
      </c>
      <c r="D2621" s="394"/>
      <c r="E2621" s="78" t="str">
        <f>IF(C2621="","",IFERROR(VLOOKUP(C2621,parametros!$A$11:$E$15,5,0),""))</f>
        <v/>
      </c>
      <c r="F2621" s="79" t="str">
        <f t="shared" si="202"/>
        <v/>
      </c>
      <c r="G2621" s="395"/>
      <c r="H2621" s="91">
        <f t="shared" si="203"/>
        <v>0</v>
      </c>
      <c r="I2621" s="91" t="str">
        <f t="shared" si="204"/>
        <v/>
      </c>
      <c r="J2621" s="91" t="str">
        <f t="shared" si="205"/>
        <v/>
      </c>
      <c r="K2621" s="92" t="str">
        <f>IF(AND(A2621="",B2621="",D2621="",G2621=""),"",IF(AND(A2621&lt;&gt;"",COUNTIF($A$2:$A$5001,A2621)&gt;1),"NUMERO_PC duplicado",IF(B2621="","DATA_PC vazia",IF(NOT(ISNUMBER(B2621)),"DATA_PC invalida",IF(OR(C2621="",C2621="Fora dos ciclos"),"CICLO_PC nao identificado",IF(OR(D2621="",D2621=0),"VALOR_PC vazio ou zero",IF(AND(G2621&lt;&gt;"Sim",G2621&lt;&gt;"Nao",G2621&lt;&gt;""),"PC_PAGO_A_CONTRATADA invalido",IF(AND(C2621&lt;&gt;"C0",IFERROR(INDEX(parametros!$A$2:$A$6,MATCH(C2621,parametros!$B$2:$B$6,0)),"")="Sim",IFERROR(INDEX(parametros!$H$2:$H$6,MATCH(C2621,parametros!$B$2:$B$6,0)),"")=""),"INICIO_EFEITO ausente: PC "&amp;A2621&amp;" - "&amp;C2621,IF(L2621="","EFEITO_PC nao calculado: PC "&amp;A2621&amp;" - "&amp;C2621,"OK")))))))))</f>
        <v/>
      </c>
      <c r="L2621" s="92" t="str">
        <f>IF(AND(A2621="",B2621="",D2621="",G2621=""),"",IF(OR(B2621="",NOT(ISNUMBER(B2621)),C2621="",C2621="Fora dos ciclos"),"",IF(C2621="C0","Nao",IF(IFERROR(INDEX(parametros!$A$2:$A$6,MATCH(C2621,parametros!$B$2:$B$6,0)),"")&lt;&gt;"Sim","Nao",IF(IFERROR(INDEX(parametros!$H$2:$H$6,MATCH(C2621,parametros!$B$2:$B$6,0)),"")="","",IF(B2621&gt;=IFERROR(INDEX(parametros!$H$2:$H$6,MATCH(C2621,parametros!$B$2:$B$6,0)),""),"Sim","Nao"))))))</f>
        <v/>
      </c>
      <c r="T2621" s="156"/>
      <c r="U2621" s="214" t="str">
        <f t="shared" si="206"/>
        <v/>
      </c>
      <c r="V2621" s="212" t="s">
        <v>50</v>
      </c>
      <c r="W2621" s="100" t="s">
        <v>168</v>
      </c>
      <c r="X2621" s="100" t="s">
        <v>169</v>
      </c>
      <c r="Y2621" s="101" t="s">
        <v>170</v>
      </c>
      <c r="Z2621" s="101" t="s">
        <v>171</v>
      </c>
      <c r="AA2621" s="101" t="s">
        <v>50</v>
      </c>
      <c r="AB2621" s="101" t="s">
        <v>172</v>
      </c>
      <c r="AC2621" s="102" t="s">
        <v>173</v>
      </c>
    </row>
    <row r="2622" spans="1:29" ht="25.5" customHeight="1" x14ac:dyDescent="0.35">
      <c r="A2622" s="392"/>
      <c r="B2622" s="393"/>
      <c r="C2622" s="99" t="str">
        <f>IF(B2622="","",IF(NOT(ISNUMBER(B2622)),"DATA_PC invalida",IF(NOT(ISNUMBER(parametros!$C$2)),"Fora dos ciclos",IF(OR(B2622&lt;parametros!$C$2,(YEAR(B2622)-YEAR(parametros!$C$2))*12+MONTH(B2622)-MONTH(parametros!$C$2)&gt;59),"Fora dos ciclos","C"&amp;INT(((YEAR(B2622)-YEAR(parametros!$C$2))*12+MONTH(B2622)-MONTH(parametros!$C$2))/12)))))</f>
        <v/>
      </c>
      <c r="D2622" s="394"/>
      <c r="E2622" s="78" t="str">
        <f>IF(C2622="","",IFERROR(VLOOKUP(C2622,parametros!$A$11:$E$15,5,0),""))</f>
        <v/>
      </c>
      <c r="F2622" s="79" t="str">
        <f t="shared" si="202"/>
        <v/>
      </c>
      <c r="G2622" s="395"/>
      <c r="H2622" s="91">
        <f t="shared" si="203"/>
        <v>0</v>
      </c>
      <c r="I2622" s="91" t="str">
        <f t="shared" si="204"/>
        <v/>
      </c>
      <c r="J2622" s="91" t="str">
        <f t="shared" si="205"/>
        <v/>
      </c>
      <c r="K2622" s="92" t="str">
        <f>IF(AND(A2622="",B2622="",D2622="",G2622=""),"",IF(AND(A2622&lt;&gt;"",COUNTIF($A$2:$A$5001,A2622)&gt;1),"NUMERO_PC duplicado",IF(B2622="","DATA_PC vazia",IF(NOT(ISNUMBER(B2622)),"DATA_PC invalida",IF(OR(C2622="",C2622="Fora dos ciclos"),"CICLO_PC nao identificado",IF(OR(D2622="",D2622=0),"VALOR_PC vazio ou zero",IF(AND(G2622&lt;&gt;"Sim",G2622&lt;&gt;"Nao",G2622&lt;&gt;""),"PC_PAGO_A_CONTRATADA invalido",IF(AND(C2622&lt;&gt;"C0",IFERROR(INDEX(parametros!$A$2:$A$6,MATCH(C2622,parametros!$B$2:$B$6,0)),"")="Sim",IFERROR(INDEX(parametros!$H$2:$H$6,MATCH(C2622,parametros!$B$2:$B$6,0)),"")=""),"INICIO_EFEITO ausente: PC "&amp;A2622&amp;" - "&amp;C2622,IF(L2622="","EFEITO_PC nao calculado: PC "&amp;A2622&amp;" - "&amp;C2622,"OK")))))))))</f>
        <v/>
      </c>
      <c r="L2622" s="92" t="str">
        <f>IF(AND(A2622="",B2622="",D2622="",G2622=""),"",IF(OR(B2622="",NOT(ISNUMBER(B2622)),C2622="",C2622="Fora dos ciclos"),"",IF(C2622="C0","Nao",IF(IFERROR(INDEX(parametros!$A$2:$A$6,MATCH(C2622,parametros!$B$2:$B$6,0)),"")&lt;&gt;"Sim","Nao",IF(IFERROR(INDEX(parametros!$H$2:$H$6,MATCH(C2622,parametros!$B$2:$B$6,0)),"")="","",IF(B2622&gt;=IFERROR(INDEX(parametros!$H$2:$H$6,MATCH(C2622,parametros!$B$2:$B$6,0)),""),"Sim","Nao"))))))</f>
        <v/>
      </c>
      <c r="T2622" s="156"/>
      <c r="U2622" s="214" t="str">
        <f t="shared" si="206"/>
        <v/>
      </c>
      <c r="V2622" s="212" t="s">
        <v>50</v>
      </c>
      <c r="W2622" s="100" t="s">
        <v>168</v>
      </c>
      <c r="X2622" s="100" t="s">
        <v>169</v>
      </c>
      <c r="Y2622" s="101" t="s">
        <v>170</v>
      </c>
      <c r="Z2622" s="101" t="s">
        <v>171</v>
      </c>
      <c r="AA2622" s="101" t="s">
        <v>50</v>
      </c>
      <c r="AB2622" s="101" t="s">
        <v>172</v>
      </c>
      <c r="AC2622" s="102" t="s">
        <v>173</v>
      </c>
    </row>
    <row r="2623" spans="1:29" ht="25.5" customHeight="1" x14ac:dyDescent="0.35">
      <c r="A2623" s="392"/>
      <c r="B2623" s="393"/>
      <c r="C2623" s="99" t="str">
        <f>IF(B2623="","",IF(NOT(ISNUMBER(B2623)),"DATA_PC invalida",IF(NOT(ISNUMBER(parametros!$C$2)),"Fora dos ciclos",IF(OR(B2623&lt;parametros!$C$2,(YEAR(B2623)-YEAR(parametros!$C$2))*12+MONTH(B2623)-MONTH(parametros!$C$2)&gt;59),"Fora dos ciclos","C"&amp;INT(((YEAR(B2623)-YEAR(parametros!$C$2))*12+MONTH(B2623)-MONTH(parametros!$C$2))/12)))))</f>
        <v/>
      </c>
      <c r="D2623" s="394"/>
      <c r="E2623" s="78" t="str">
        <f>IF(C2623="","",IFERROR(VLOOKUP(C2623,parametros!$A$11:$E$15,5,0),""))</f>
        <v/>
      </c>
      <c r="F2623" s="79" t="str">
        <f t="shared" si="202"/>
        <v/>
      </c>
      <c r="G2623" s="395"/>
      <c r="H2623" s="91">
        <f t="shared" si="203"/>
        <v>0</v>
      </c>
      <c r="I2623" s="91" t="str">
        <f t="shared" si="204"/>
        <v/>
      </c>
      <c r="J2623" s="91" t="str">
        <f t="shared" si="205"/>
        <v/>
      </c>
      <c r="K2623" s="92" t="str">
        <f>IF(AND(A2623="",B2623="",D2623="",G2623=""),"",IF(AND(A2623&lt;&gt;"",COUNTIF($A$2:$A$5001,A2623)&gt;1),"NUMERO_PC duplicado",IF(B2623="","DATA_PC vazia",IF(NOT(ISNUMBER(B2623)),"DATA_PC invalida",IF(OR(C2623="",C2623="Fora dos ciclos"),"CICLO_PC nao identificado",IF(OR(D2623="",D2623=0),"VALOR_PC vazio ou zero",IF(AND(G2623&lt;&gt;"Sim",G2623&lt;&gt;"Nao",G2623&lt;&gt;""),"PC_PAGO_A_CONTRATADA invalido",IF(AND(C2623&lt;&gt;"C0",IFERROR(INDEX(parametros!$A$2:$A$6,MATCH(C2623,parametros!$B$2:$B$6,0)),"")="Sim",IFERROR(INDEX(parametros!$H$2:$H$6,MATCH(C2623,parametros!$B$2:$B$6,0)),"")=""),"INICIO_EFEITO ausente: PC "&amp;A2623&amp;" - "&amp;C2623,IF(L2623="","EFEITO_PC nao calculado: PC "&amp;A2623&amp;" - "&amp;C2623,"OK")))))))))</f>
        <v/>
      </c>
      <c r="L2623" s="92" t="str">
        <f>IF(AND(A2623="",B2623="",D2623="",G2623=""),"",IF(OR(B2623="",NOT(ISNUMBER(B2623)),C2623="",C2623="Fora dos ciclos"),"",IF(C2623="C0","Nao",IF(IFERROR(INDEX(parametros!$A$2:$A$6,MATCH(C2623,parametros!$B$2:$B$6,0)),"")&lt;&gt;"Sim","Nao",IF(IFERROR(INDEX(parametros!$H$2:$H$6,MATCH(C2623,parametros!$B$2:$B$6,0)),"")="","",IF(B2623&gt;=IFERROR(INDEX(parametros!$H$2:$H$6,MATCH(C2623,parametros!$B$2:$B$6,0)),""),"Sim","Nao"))))))</f>
        <v/>
      </c>
      <c r="T2623" s="156"/>
      <c r="U2623" s="214" t="str">
        <f t="shared" si="206"/>
        <v/>
      </c>
      <c r="V2623" s="212" t="s">
        <v>50</v>
      </c>
      <c r="W2623" s="100" t="s">
        <v>168</v>
      </c>
      <c r="X2623" s="100" t="s">
        <v>169</v>
      </c>
      <c r="Y2623" s="101" t="s">
        <v>170</v>
      </c>
      <c r="Z2623" s="101" t="s">
        <v>171</v>
      </c>
      <c r="AA2623" s="101" t="s">
        <v>50</v>
      </c>
      <c r="AB2623" s="101" t="s">
        <v>172</v>
      </c>
      <c r="AC2623" s="102" t="s">
        <v>173</v>
      </c>
    </row>
    <row r="2624" spans="1:29" ht="25.5" customHeight="1" x14ac:dyDescent="0.35">
      <c r="A2624" s="392"/>
      <c r="B2624" s="393"/>
      <c r="C2624" s="99" t="str">
        <f>IF(B2624="","",IF(NOT(ISNUMBER(B2624)),"DATA_PC invalida",IF(NOT(ISNUMBER(parametros!$C$2)),"Fora dos ciclos",IF(OR(B2624&lt;parametros!$C$2,(YEAR(B2624)-YEAR(parametros!$C$2))*12+MONTH(B2624)-MONTH(parametros!$C$2)&gt;59),"Fora dos ciclos","C"&amp;INT(((YEAR(B2624)-YEAR(parametros!$C$2))*12+MONTH(B2624)-MONTH(parametros!$C$2))/12)))))</f>
        <v/>
      </c>
      <c r="D2624" s="394"/>
      <c r="E2624" s="78" t="str">
        <f>IF(C2624="","",IFERROR(VLOOKUP(C2624,parametros!$A$11:$E$15,5,0),""))</f>
        <v/>
      </c>
      <c r="F2624" s="79" t="str">
        <f t="shared" si="202"/>
        <v/>
      </c>
      <c r="G2624" s="395"/>
      <c r="H2624" s="91">
        <f t="shared" si="203"/>
        <v>0</v>
      </c>
      <c r="I2624" s="91" t="str">
        <f t="shared" si="204"/>
        <v/>
      </c>
      <c r="J2624" s="91" t="str">
        <f t="shared" si="205"/>
        <v/>
      </c>
      <c r="K2624" s="92" t="str">
        <f>IF(AND(A2624="",B2624="",D2624="",G2624=""),"",IF(AND(A2624&lt;&gt;"",COUNTIF($A$2:$A$5001,A2624)&gt;1),"NUMERO_PC duplicado",IF(B2624="","DATA_PC vazia",IF(NOT(ISNUMBER(B2624)),"DATA_PC invalida",IF(OR(C2624="",C2624="Fora dos ciclos"),"CICLO_PC nao identificado",IF(OR(D2624="",D2624=0),"VALOR_PC vazio ou zero",IF(AND(G2624&lt;&gt;"Sim",G2624&lt;&gt;"Nao",G2624&lt;&gt;""),"PC_PAGO_A_CONTRATADA invalido",IF(AND(C2624&lt;&gt;"C0",IFERROR(INDEX(parametros!$A$2:$A$6,MATCH(C2624,parametros!$B$2:$B$6,0)),"")="Sim",IFERROR(INDEX(parametros!$H$2:$H$6,MATCH(C2624,parametros!$B$2:$B$6,0)),"")=""),"INICIO_EFEITO ausente: PC "&amp;A2624&amp;" - "&amp;C2624,IF(L2624="","EFEITO_PC nao calculado: PC "&amp;A2624&amp;" - "&amp;C2624,"OK")))))))))</f>
        <v/>
      </c>
      <c r="L2624" s="92" t="str">
        <f>IF(AND(A2624="",B2624="",D2624="",G2624=""),"",IF(OR(B2624="",NOT(ISNUMBER(B2624)),C2624="",C2624="Fora dos ciclos"),"",IF(C2624="C0","Nao",IF(IFERROR(INDEX(parametros!$A$2:$A$6,MATCH(C2624,parametros!$B$2:$B$6,0)),"")&lt;&gt;"Sim","Nao",IF(IFERROR(INDEX(parametros!$H$2:$H$6,MATCH(C2624,parametros!$B$2:$B$6,0)),"")="","",IF(B2624&gt;=IFERROR(INDEX(parametros!$H$2:$H$6,MATCH(C2624,parametros!$B$2:$B$6,0)),""),"Sim","Nao"))))))</f>
        <v/>
      </c>
      <c r="T2624" s="156"/>
      <c r="U2624" s="214" t="str">
        <f t="shared" si="206"/>
        <v/>
      </c>
      <c r="V2624" s="212" t="s">
        <v>50</v>
      </c>
      <c r="W2624" s="100" t="s">
        <v>168</v>
      </c>
      <c r="X2624" s="100" t="s">
        <v>169</v>
      </c>
      <c r="Y2624" s="101" t="s">
        <v>170</v>
      </c>
      <c r="Z2624" s="101" t="s">
        <v>171</v>
      </c>
      <c r="AA2624" s="101" t="s">
        <v>50</v>
      </c>
      <c r="AB2624" s="101" t="s">
        <v>172</v>
      </c>
      <c r="AC2624" s="102" t="s">
        <v>173</v>
      </c>
    </row>
    <row r="2625" spans="1:29" ht="25.5" customHeight="1" x14ac:dyDescent="0.35">
      <c r="A2625" s="392"/>
      <c r="B2625" s="393"/>
      <c r="C2625" s="99" t="str">
        <f>IF(B2625="","",IF(NOT(ISNUMBER(B2625)),"DATA_PC invalida",IF(NOT(ISNUMBER(parametros!$C$2)),"Fora dos ciclos",IF(OR(B2625&lt;parametros!$C$2,(YEAR(B2625)-YEAR(parametros!$C$2))*12+MONTH(B2625)-MONTH(parametros!$C$2)&gt;59),"Fora dos ciclos","C"&amp;INT(((YEAR(B2625)-YEAR(parametros!$C$2))*12+MONTH(B2625)-MONTH(parametros!$C$2))/12)))))</f>
        <v/>
      </c>
      <c r="D2625" s="394"/>
      <c r="E2625" s="78" t="str">
        <f>IF(C2625="","",IFERROR(VLOOKUP(C2625,parametros!$A$11:$E$15,5,0),""))</f>
        <v/>
      </c>
      <c r="F2625" s="79" t="str">
        <f t="shared" si="202"/>
        <v/>
      </c>
      <c r="G2625" s="395"/>
      <c r="H2625" s="91">
        <f t="shared" si="203"/>
        <v>0</v>
      </c>
      <c r="I2625" s="91" t="str">
        <f t="shared" si="204"/>
        <v/>
      </c>
      <c r="J2625" s="91" t="str">
        <f t="shared" si="205"/>
        <v/>
      </c>
      <c r="K2625" s="92" t="str">
        <f>IF(AND(A2625="",B2625="",D2625="",G2625=""),"",IF(AND(A2625&lt;&gt;"",COUNTIF($A$2:$A$5001,A2625)&gt;1),"NUMERO_PC duplicado",IF(B2625="","DATA_PC vazia",IF(NOT(ISNUMBER(B2625)),"DATA_PC invalida",IF(OR(C2625="",C2625="Fora dos ciclos"),"CICLO_PC nao identificado",IF(OR(D2625="",D2625=0),"VALOR_PC vazio ou zero",IF(AND(G2625&lt;&gt;"Sim",G2625&lt;&gt;"Nao",G2625&lt;&gt;""),"PC_PAGO_A_CONTRATADA invalido",IF(AND(C2625&lt;&gt;"C0",IFERROR(INDEX(parametros!$A$2:$A$6,MATCH(C2625,parametros!$B$2:$B$6,0)),"")="Sim",IFERROR(INDEX(parametros!$H$2:$H$6,MATCH(C2625,parametros!$B$2:$B$6,0)),"")=""),"INICIO_EFEITO ausente: PC "&amp;A2625&amp;" - "&amp;C2625,IF(L2625="","EFEITO_PC nao calculado: PC "&amp;A2625&amp;" - "&amp;C2625,"OK")))))))))</f>
        <v/>
      </c>
      <c r="L2625" s="92" t="str">
        <f>IF(AND(A2625="",B2625="",D2625="",G2625=""),"",IF(OR(B2625="",NOT(ISNUMBER(B2625)),C2625="",C2625="Fora dos ciclos"),"",IF(C2625="C0","Nao",IF(IFERROR(INDEX(parametros!$A$2:$A$6,MATCH(C2625,parametros!$B$2:$B$6,0)),"")&lt;&gt;"Sim","Nao",IF(IFERROR(INDEX(parametros!$H$2:$H$6,MATCH(C2625,parametros!$B$2:$B$6,0)),"")="","",IF(B2625&gt;=IFERROR(INDEX(parametros!$H$2:$H$6,MATCH(C2625,parametros!$B$2:$B$6,0)),""),"Sim","Nao"))))))</f>
        <v/>
      </c>
      <c r="T2625" s="156"/>
      <c r="U2625" s="214" t="str">
        <f t="shared" si="206"/>
        <v/>
      </c>
      <c r="V2625" s="212" t="s">
        <v>50</v>
      </c>
      <c r="W2625" s="100" t="s">
        <v>168</v>
      </c>
      <c r="X2625" s="100" t="s">
        <v>169</v>
      </c>
      <c r="Y2625" s="101" t="s">
        <v>170</v>
      </c>
      <c r="Z2625" s="101" t="s">
        <v>171</v>
      </c>
      <c r="AA2625" s="101" t="s">
        <v>50</v>
      </c>
      <c r="AB2625" s="101" t="s">
        <v>172</v>
      </c>
      <c r="AC2625" s="102" t="s">
        <v>173</v>
      </c>
    </row>
    <row r="2626" spans="1:29" ht="25.5" customHeight="1" x14ac:dyDescent="0.35">
      <c r="A2626" s="392"/>
      <c r="B2626" s="393"/>
      <c r="C2626" s="99" t="str">
        <f>IF(B2626="","",IF(NOT(ISNUMBER(B2626)),"DATA_PC invalida",IF(NOT(ISNUMBER(parametros!$C$2)),"Fora dos ciclos",IF(OR(B2626&lt;parametros!$C$2,(YEAR(B2626)-YEAR(parametros!$C$2))*12+MONTH(B2626)-MONTH(parametros!$C$2)&gt;59),"Fora dos ciclos","C"&amp;INT(((YEAR(B2626)-YEAR(parametros!$C$2))*12+MONTH(B2626)-MONTH(parametros!$C$2))/12)))))</f>
        <v/>
      </c>
      <c r="D2626" s="394"/>
      <c r="E2626" s="78" t="str">
        <f>IF(C2626="","",IFERROR(VLOOKUP(C2626,parametros!$A$11:$E$15,5,0),""))</f>
        <v/>
      </c>
      <c r="F2626" s="79" t="str">
        <f t="shared" ref="F2626:F2689" si="207">IF(OR(D2626="",E2626=""),"",ROUND(D2626*E2626,2))</f>
        <v/>
      </c>
      <c r="G2626" s="395"/>
      <c r="H2626" s="91">
        <f t="shared" ref="H2626:H2689" si="208">IF(G2626="Sim",IF(OR(F2626="",D2626="",L2626=""),"",IF(L2626="Sim",ROUND(F2626-D2626,2),0)),0)</f>
        <v>0</v>
      </c>
      <c r="I2626" s="91" t="str">
        <f t="shared" ref="I2626:I2689" si="209">IF(G2626="Sim",0,IF(OR(F2626="",L2626=""),"",F2626))</f>
        <v/>
      </c>
      <c r="J2626" s="91" t="str">
        <f t="shared" ref="J2626:J2689" si="210">IF(G2626="Sim",0,IF(OR(F2626="",D2626="",L2626=""),"",IF(L2626="Sim",ROUND(F2626-D2626,2),0)))</f>
        <v/>
      </c>
      <c r="K2626" s="92" t="str">
        <f>IF(AND(A2626="",B2626="",D2626="",G2626=""),"",IF(AND(A2626&lt;&gt;"",COUNTIF($A$2:$A$5001,A2626)&gt;1),"NUMERO_PC duplicado",IF(B2626="","DATA_PC vazia",IF(NOT(ISNUMBER(B2626)),"DATA_PC invalida",IF(OR(C2626="",C2626="Fora dos ciclos"),"CICLO_PC nao identificado",IF(OR(D2626="",D2626=0),"VALOR_PC vazio ou zero",IF(AND(G2626&lt;&gt;"Sim",G2626&lt;&gt;"Nao",G2626&lt;&gt;""),"PC_PAGO_A_CONTRATADA invalido",IF(AND(C2626&lt;&gt;"C0",IFERROR(INDEX(parametros!$A$2:$A$6,MATCH(C2626,parametros!$B$2:$B$6,0)),"")="Sim",IFERROR(INDEX(parametros!$H$2:$H$6,MATCH(C2626,parametros!$B$2:$B$6,0)),"")=""),"INICIO_EFEITO ausente: PC "&amp;A2626&amp;" - "&amp;C2626,IF(L2626="","EFEITO_PC nao calculado: PC "&amp;A2626&amp;" - "&amp;C2626,"OK")))))))))</f>
        <v/>
      </c>
      <c r="L2626" s="92" t="str">
        <f>IF(AND(A2626="",B2626="",D2626="",G2626=""),"",IF(OR(B2626="",NOT(ISNUMBER(B2626)),C2626="",C2626="Fora dos ciclos"),"",IF(C2626="C0","Nao",IF(IFERROR(INDEX(parametros!$A$2:$A$6,MATCH(C2626,parametros!$B$2:$B$6,0)),"")&lt;&gt;"Sim","Nao",IF(IFERROR(INDEX(parametros!$H$2:$H$6,MATCH(C2626,parametros!$B$2:$B$6,0)),"")="","",IF(B2626&gt;=IFERROR(INDEX(parametros!$H$2:$H$6,MATCH(C2626,parametros!$B$2:$B$6,0)),""),"Sim","Nao"))))))</f>
        <v/>
      </c>
      <c r="T2626" s="156"/>
      <c r="U2626" s="214" t="str">
        <f t="shared" ref="U2626:U2689" si="211">IF(OR($D2626="",$H2626=""),"",ROUND($D2626+$H2626,2))</f>
        <v/>
      </c>
      <c r="V2626" s="212" t="s">
        <v>50</v>
      </c>
      <c r="W2626" s="100" t="s">
        <v>168</v>
      </c>
      <c r="X2626" s="100" t="s">
        <v>169</v>
      </c>
      <c r="Y2626" s="101" t="s">
        <v>170</v>
      </c>
      <c r="Z2626" s="101" t="s">
        <v>171</v>
      </c>
      <c r="AA2626" s="101" t="s">
        <v>50</v>
      </c>
      <c r="AB2626" s="101" t="s">
        <v>172</v>
      </c>
      <c r="AC2626" s="102" t="s">
        <v>173</v>
      </c>
    </row>
    <row r="2627" spans="1:29" ht="25.5" customHeight="1" x14ac:dyDescent="0.35">
      <c r="A2627" s="392"/>
      <c r="B2627" s="393"/>
      <c r="C2627" s="99" t="str">
        <f>IF(B2627="","",IF(NOT(ISNUMBER(B2627)),"DATA_PC invalida",IF(NOT(ISNUMBER(parametros!$C$2)),"Fora dos ciclos",IF(OR(B2627&lt;parametros!$C$2,(YEAR(B2627)-YEAR(parametros!$C$2))*12+MONTH(B2627)-MONTH(parametros!$C$2)&gt;59),"Fora dos ciclos","C"&amp;INT(((YEAR(B2627)-YEAR(parametros!$C$2))*12+MONTH(B2627)-MONTH(parametros!$C$2))/12)))))</f>
        <v/>
      </c>
      <c r="D2627" s="394"/>
      <c r="E2627" s="78" t="str">
        <f>IF(C2627="","",IFERROR(VLOOKUP(C2627,parametros!$A$11:$E$15,5,0),""))</f>
        <v/>
      </c>
      <c r="F2627" s="79" t="str">
        <f t="shared" si="207"/>
        <v/>
      </c>
      <c r="G2627" s="395"/>
      <c r="H2627" s="91">
        <f t="shared" si="208"/>
        <v>0</v>
      </c>
      <c r="I2627" s="91" t="str">
        <f t="shared" si="209"/>
        <v/>
      </c>
      <c r="J2627" s="91" t="str">
        <f t="shared" si="210"/>
        <v/>
      </c>
      <c r="K2627" s="92" t="str">
        <f>IF(AND(A2627="",B2627="",D2627="",G2627=""),"",IF(AND(A2627&lt;&gt;"",COUNTIF($A$2:$A$5001,A2627)&gt;1),"NUMERO_PC duplicado",IF(B2627="","DATA_PC vazia",IF(NOT(ISNUMBER(B2627)),"DATA_PC invalida",IF(OR(C2627="",C2627="Fora dos ciclos"),"CICLO_PC nao identificado",IF(OR(D2627="",D2627=0),"VALOR_PC vazio ou zero",IF(AND(G2627&lt;&gt;"Sim",G2627&lt;&gt;"Nao",G2627&lt;&gt;""),"PC_PAGO_A_CONTRATADA invalido",IF(AND(C2627&lt;&gt;"C0",IFERROR(INDEX(parametros!$A$2:$A$6,MATCH(C2627,parametros!$B$2:$B$6,0)),"")="Sim",IFERROR(INDEX(parametros!$H$2:$H$6,MATCH(C2627,parametros!$B$2:$B$6,0)),"")=""),"INICIO_EFEITO ausente: PC "&amp;A2627&amp;" - "&amp;C2627,IF(L2627="","EFEITO_PC nao calculado: PC "&amp;A2627&amp;" - "&amp;C2627,"OK")))))))))</f>
        <v/>
      </c>
      <c r="L2627" s="92" t="str">
        <f>IF(AND(A2627="",B2627="",D2627="",G2627=""),"",IF(OR(B2627="",NOT(ISNUMBER(B2627)),C2627="",C2627="Fora dos ciclos"),"",IF(C2627="C0","Nao",IF(IFERROR(INDEX(parametros!$A$2:$A$6,MATCH(C2627,parametros!$B$2:$B$6,0)),"")&lt;&gt;"Sim","Nao",IF(IFERROR(INDEX(parametros!$H$2:$H$6,MATCH(C2627,parametros!$B$2:$B$6,0)),"")="","",IF(B2627&gt;=IFERROR(INDEX(parametros!$H$2:$H$6,MATCH(C2627,parametros!$B$2:$B$6,0)),""),"Sim","Nao"))))))</f>
        <v/>
      </c>
      <c r="T2627" s="156"/>
      <c r="U2627" s="214" t="str">
        <f t="shared" si="211"/>
        <v/>
      </c>
      <c r="V2627" s="212" t="s">
        <v>50</v>
      </c>
      <c r="W2627" s="100" t="s">
        <v>168</v>
      </c>
      <c r="X2627" s="100" t="s">
        <v>169</v>
      </c>
      <c r="Y2627" s="101" t="s">
        <v>170</v>
      </c>
      <c r="Z2627" s="101" t="s">
        <v>171</v>
      </c>
      <c r="AA2627" s="101" t="s">
        <v>50</v>
      </c>
      <c r="AB2627" s="101" t="s">
        <v>172</v>
      </c>
      <c r="AC2627" s="102" t="s">
        <v>173</v>
      </c>
    </row>
    <row r="2628" spans="1:29" ht="25.5" customHeight="1" x14ac:dyDescent="0.35">
      <c r="A2628" s="392"/>
      <c r="B2628" s="393"/>
      <c r="C2628" s="99" t="str">
        <f>IF(B2628="","",IF(NOT(ISNUMBER(B2628)),"DATA_PC invalida",IF(NOT(ISNUMBER(parametros!$C$2)),"Fora dos ciclos",IF(OR(B2628&lt;parametros!$C$2,(YEAR(B2628)-YEAR(parametros!$C$2))*12+MONTH(B2628)-MONTH(parametros!$C$2)&gt;59),"Fora dos ciclos","C"&amp;INT(((YEAR(B2628)-YEAR(parametros!$C$2))*12+MONTH(B2628)-MONTH(parametros!$C$2))/12)))))</f>
        <v/>
      </c>
      <c r="D2628" s="394"/>
      <c r="E2628" s="78" t="str">
        <f>IF(C2628="","",IFERROR(VLOOKUP(C2628,parametros!$A$11:$E$15,5,0),""))</f>
        <v/>
      </c>
      <c r="F2628" s="79" t="str">
        <f t="shared" si="207"/>
        <v/>
      </c>
      <c r="G2628" s="395"/>
      <c r="H2628" s="91">
        <f t="shared" si="208"/>
        <v>0</v>
      </c>
      <c r="I2628" s="91" t="str">
        <f t="shared" si="209"/>
        <v/>
      </c>
      <c r="J2628" s="91" t="str">
        <f t="shared" si="210"/>
        <v/>
      </c>
      <c r="K2628" s="92" t="str">
        <f>IF(AND(A2628="",B2628="",D2628="",G2628=""),"",IF(AND(A2628&lt;&gt;"",COUNTIF($A$2:$A$5001,A2628)&gt;1),"NUMERO_PC duplicado",IF(B2628="","DATA_PC vazia",IF(NOT(ISNUMBER(B2628)),"DATA_PC invalida",IF(OR(C2628="",C2628="Fora dos ciclos"),"CICLO_PC nao identificado",IF(OR(D2628="",D2628=0),"VALOR_PC vazio ou zero",IF(AND(G2628&lt;&gt;"Sim",G2628&lt;&gt;"Nao",G2628&lt;&gt;""),"PC_PAGO_A_CONTRATADA invalido",IF(AND(C2628&lt;&gt;"C0",IFERROR(INDEX(parametros!$A$2:$A$6,MATCH(C2628,parametros!$B$2:$B$6,0)),"")="Sim",IFERROR(INDEX(parametros!$H$2:$H$6,MATCH(C2628,parametros!$B$2:$B$6,0)),"")=""),"INICIO_EFEITO ausente: PC "&amp;A2628&amp;" - "&amp;C2628,IF(L2628="","EFEITO_PC nao calculado: PC "&amp;A2628&amp;" - "&amp;C2628,"OK")))))))))</f>
        <v/>
      </c>
      <c r="L2628" s="92" t="str">
        <f>IF(AND(A2628="",B2628="",D2628="",G2628=""),"",IF(OR(B2628="",NOT(ISNUMBER(B2628)),C2628="",C2628="Fora dos ciclos"),"",IF(C2628="C0","Nao",IF(IFERROR(INDEX(parametros!$A$2:$A$6,MATCH(C2628,parametros!$B$2:$B$6,0)),"")&lt;&gt;"Sim","Nao",IF(IFERROR(INDEX(parametros!$H$2:$H$6,MATCH(C2628,parametros!$B$2:$B$6,0)),"")="","",IF(B2628&gt;=IFERROR(INDEX(parametros!$H$2:$H$6,MATCH(C2628,parametros!$B$2:$B$6,0)),""),"Sim","Nao"))))))</f>
        <v/>
      </c>
      <c r="T2628" s="156"/>
      <c r="U2628" s="214" t="str">
        <f t="shared" si="211"/>
        <v/>
      </c>
      <c r="V2628" s="212" t="s">
        <v>50</v>
      </c>
      <c r="W2628" s="100" t="s">
        <v>168</v>
      </c>
      <c r="X2628" s="100" t="s">
        <v>169</v>
      </c>
      <c r="Y2628" s="101" t="s">
        <v>170</v>
      </c>
      <c r="Z2628" s="101" t="s">
        <v>171</v>
      </c>
      <c r="AA2628" s="101" t="s">
        <v>50</v>
      </c>
      <c r="AB2628" s="101" t="s">
        <v>172</v>
      </c>
      <c r="AC2628" s="102" t="s">
        <v>173</v>
      </c>
    </row>
    <row r="2629" spans="1:29" ht="25.5" customHeight="1" x14ac:dyDescent="0.35">
      <c r="A2629" s="392"/>
      <c r="B2629" s="393"/>
      <c r="C2629" s="99" t="str">
        <f>IF(B2629="","",IF(NOT(ISNUMBER(B2629)),"DATA_PC invalida",IF(NOT(ISNUMBER(parametros!$C$2)),"Fora dos ciclos",IF(OR(B2629&lt;parametros!$C$2,(YEAR(B2629)-YEAR(parametros!$C$2))*12+MONTH(B2629)-MONTH(parametros!$C$2)&gt;59),"Fora dos ciclos","C"&amp;INT(((YEAR(B2629)-YEAR(parametros!$C$2))*12+MONTH(B2629)-MONTH(parametros!$C$2))/12)))))</f>
        <v/>
      </c>
      <c r="D2629" s="394"/>
      <c r="E2629" s="78" t="str">
        <f>IF(C2629="","",IFERROR(VLOOKUP(C2629,parametros!$A$11:$E$15,5,0),""))</f>
        <v/>
      </c>
      <c r="F2629" s="79" t="str">
        <f t="shared" si="207"/>
        <v/>
      </c>
      <c r="G2629" s="395"/>
      <c r="H2629" s="91">
        <f t="shared" si="208"/>
        <v>0</v>
      </c>
      <c r="I2629" s="91" t="str">
        <f t="shared" si="209"/>
        <v/>
      </c>
      <c r="J2629" s="91" t="str">
        <f t="shared" si="210"/>
        <v/>
      </c>
      <c r="K2629" s="92" t="str">
        <f>IF(AND(A2629="",B2629="",D2629="",G2629=""),"",IF(AND(A2629&lt;&gt;"",COUNTIF($A$2:$A$5001,A2629)&gt;1),"NUMERO_PC duplicado",IF(B2629="","DATA_PC vazia",IF(NOT(ISNUMBER(B2629)),"DATA_PC invalida",IF(OR(C2629="",C2629="Fora dos ciclos"),"CICLO_PC nao identificado",IF(OR(D2629="",D2629=0),"VALOR_PC vazio ou zero",IF(AND(G2629&lt;&gt;"Sim",G2629&lt;&gt;"Nao",G2629&lt;&gt;""),"PC_PAGO_A_CONTRATADA invalido",IF(AND(C2629&lt;&gt;"C0",IFERROR(INDEX(parametros!$A$2:$A$6,MATCH(C2629,parametros!$B$2:$B$6,0)),"")="Sim",IFERROR(INDEX(parametros!$H$2:$H$6,MATCH(C2629,parametros!$B$2:$B$6,0)),"")=""),"INICIO_EFEITO ausente: PC "&amp;A2629&amp;" - "&amp;C2629,IF(L2629="","EFEITO_PC nao calculado: PC "&amp;A2629&amp;" - "&amp;C2629,"OK")))))))))</f>
        <v/>
      </c>
      <c r="L2629" s="92" t="str">
        <f>IF(AND(A2629="",B2629="",D2629="",G2629=""),"",IF(OR(B2629="",NOT(ISNUMBER(B2629)),C2629="",C2629="Fora dos ciclos"),"",IF(C2629="C0","Nao",IF(IFERROR(INDEX(parametros!$A$2:$A$6,MATCH(C2629,parametros!$B$2:$B$6,0)),"")&lt;&gt;"Sim","Nao",IF(IFERROR(INDEX(parametros!$H$2:$H$6,MATCH(C2629,parametros!$B$2:$B$6,0)),"")="","",IF(B2629&gt;=IFERROR(INDEX(parametros!$H$2:$H$6,MATCH(C2629,parametros!$B$2:$B$6,0)),""),"Sim","Nao"))))))</f>
        <v/>
      </c>
      <c r="T2629" s="156"/>
      <c r="U2629" s="214" t="str">
        <f t="shared" si="211"/>
        <v/>
      </c>
      <c r="V2629" s="212" t="s">
        <v>50</v>
      </c>
      <c r="W2629" s="100" t="s">
        <v>168</v>
      </c>
      <c r="X2629" s="100" t="s">
        <v>169</v>
      </c>
      <c r="Y2629" s="101" t="s">
        <v>170</v>
      </c>
      <c r="Z2629" s="101" t="s">
        <v>171</v>
      </c>
      <c r="AA2629" s="101" t="s">
        <v>50</v>
      </c>
      <c r="AB2629" s="101" t="s">
        <v>172</v>
      </c>
      <c r="AC2629" s="102" t="s">
        <v>173</v>
      </c>
    </row>
    <row r="2630" spans="1:29" ht="25.5" customHeight="1" x14ac:dyDescent="0.35">
      <c r="A2630" s="392"/>
      <c r="B2630" s="393"/>
      <c r="C2630" s="99" t="str">
        <f>IF(B2630="","",IF(NOT(ISNUMBER(B2630)),"DATA_PC invalida",IF(NOT(ISNUMBER(parametros!$C$2)),"Fora dos ciclos",IF(OR(B2630&lt;parametros!$C$2,(YEAR(B2630)-YEAR(parametros!$C$2))*12+MONTH(B2630)-MONTH(parametros!$C$2)&gt;59),"Fora dos ciclos","C"&amp;INT(((YEAR(B2630)-YEAR(parametros!$C$2))*12+MONTH(B2630)-MONTH(parametros!$C$2))/12)))))</f>
        <v/>
      </c>
      <c r="D2630" s="394"/>
      <c r="E2630" s="78" t="str">
        <f>IF(C2630="","",IFERROR(VLOOKUP(C2630,parametros!$A$11:$E$15,5,0),""))</f>
        <v/>
      </c>
      <c r="F2630" s="79" t="str">
        <f t="shared" si="207"/>
        <v/>
      </c>
      <c r="G2630" s="395"/>
      <c r="H2630" s="91">
        <f t="shared" si="208"/>
        <v>0</v>
      </c>
      <c r="I2630" s="91" t="str">
        <f t="shared" si="209"/>
        <v/>
      </c>
      <c r="J2630" s="91" t="str">
        <f t="shared" si="210"/>
        <v/>
      </c>
      <c r="K2630" s="92" t="str">
        <f>IF(AND(A2630="",B2630="",D2630="",G2630=""),"",IF(AND(A2630&lt;&gt;"",COUNTIF($A$2:$A$5001,A2630)&gt;1),"NUMERO_PC duplicado",IF(B2630="","DATA_PC vazia",IF(NOT(ISNUMBER(B2630)),"DATA_PC invalida",IF(OR(C2630="",C2630="Fora dos ciclos"),"CICLO_PC nao identificado",IF(OR(D2630="",D2630=0),"VALOR_PC vazio ou zero",IF(AND(G2630&lt;&gt;"Sim",G2630&lt;&gt;"Nao",G2630&lt;&gt;""),"PC_PAGO_A_CONTRATADA invalido",IF(AND(C2630&lt;&gt;"C0",IFERROR(INDEX(parametros!$A$2:$A$6,MATCH(C2630,parametros!$B$2:$B$6,0)),"")="Sim",IFERROR(INDEX(parametros!$H$2:$H$6,MATCH(C2630,parametros!$B$2:$B$6,0)),"")=""),"INICIO_EFEITO ausente: PC "&amp;A2630&amp;" - "&amp;C2630,IF(L2630="","EFEITO_PC nao calculado: PC "&amp;A2630&amp;" - "&amp;C2630,"OK")))))))))</f>
        <v/>
      </c>
      <c r="L2630" s="92" t="str">
        <f>IF(AND(A2630="",B2630="",D2630="",G2630=""),"",IF(OR(B2630="",NOT(ISNUMBER(B2630)),C2630="",C2630="Fora dos ciclos"),"",IF(C2630="C0","Nao",IF(IFERROR(INDEX(parametros!$A$2:$A$6,MATCH(C2630,parametros!$B$2:$B$6,0)),"")&lt;&gt;"Sim","Nao",IF(IFERROR(INDEX(parametros!$H$2:$H$6,MATCH(C2630,parametros!$B$2:$B$6,0)),"")="","",IF(B2630&gt;=IFERROR(INDEX(parametros!$H$2:$H$6,MATCH(C2630,parametros!$B$2:$B$6,0)),""),"Sim","Nao"))))))</f>
        <v/>
      </c>
      <c r="T2630" s="156"/>
      <c r="U2630" s="214" t="str">
        <f t="shared" si="211"/>
        <v/>
      </c>
      <c r="V2630" s="212" t="s">
        <v>50</v>
      </c>
      <c r="W2630" s="100" t="s">
        <v>168</v>
      </c>
      <c r="X2630" s="100" t="s">
        <v>169</v>
      </c>
      <c r="Y2630" s="101" t="s">
        <v>170</v>
      </c>
      <c r="Z2630" s="101" t="s">
        <v>171</v>
      </c>
      <c r="AA2630" s="101" t="s">
        <v>50</v>
      </c>
      <c r="AB2630" s="101" t="s">
        <v>172</v>
      </c>
      <c r="AC2630" s="102" t="s">
        <v>173</v>
      </c>
    </row>
    <row r="2631" spans="1:29" ht="25.5" customHeight="1" x14ac:dyDescent="0.35">
      <c r="A2631" s="392"/>
      <c r="B2631" s="393"/>
      <c r="C2631" s="99" t="str">
        <f>IF(B2631="","",IF(NOT(ISNUMBER(B2631)),"DATA_PC invalida",IF(NOT(ISNUMBER(parametros!$C$2)),"Fora dos ciclos",IF(OR(B2631&lt;parametros!$C$2,(YEAR(B2631)-YEAR(parametros!$C$2))*12+MONTH(B2631)-MONTH(parametros!$C$2)&gt;59),"Fora dos ciclos","C"&amp;INT(((YEAR(B2631)-YEAR(parametros!$C$2))*12+MONTH(B2631)-MONTH(parametros!$C$2))/12)))))</f>
        <v/>
      </c>
      <c r="D2631" s="394"/>
      <c r="E2631" s="78" t="str">
        <f>IF(C2631="","",IFERROR(VLOOKUP(C2631,parametros!$A$11:$E$15,5,0),""))</f>
        <v/>
      </c>
      <c r="F2631" s="79" t="str">
        <f t="shared" si="207"/>
        <v/>
      </c>
      <c r="G2631" s="395"/>
      <c r="H2631" s="91">
        <f t="shared" si="208"/>
        <v>0</v>
      </c>
      <c r="I2631" s="91" t="str">
        <f t="shared" si="209"/>
        <v/>
      </c>
      <c r="J2631" s="91" t="str">
        <f t="shared" si="210"/>
        <v/>
      </c>
      <c r="K2631" s="92" t="str">
        <f>IF(AND(A2631="",B2631="",D2631="",G2631=""),"",IF(AND(A2631&lt;&gt;"",COUNTIF($A$2:$A$5001,A2631)&gt;1),"NUMERO_PC duplicado",IF(B2631="","DATA_PC vazia",IF(NOT(ISNUMBER(B2631)),"DATA_PC invalida",IF(OR(C2631="",C2631="Fora dos ciclos"),"CICLO_PC nao identificado",IF(OR(D2631="",D2631=0),"VALOR_PC vazio ou zero",IF(AND(G2631&lt;&gt;"Sim",G2631&lt;&gt;"Nao",G2631&lt;&gt;""),"PC_PAGO_A_CONTRATADA invalido",IF(AND(C2631&lt;&gt;"C0",IFERROR(INDEX(parametros!$A$2:$A$6,MATCH(C2631,parametros!$B$2:$B$6,0)),"")="Sim",IFERROR(INDEX(parametros!$H$2:$H$6,MATCH(C2631,parametros!$B$2:$B$6,0)),"")=""),"INICIO_EFEITO ausente: PC "&amp;A2631&amp;" - "&amp;C2631,IF(L2631="","EFEITO_PC nao calculado: PC "&amp;A2631&amp;" - "&amp;C2631,"OK")))))))))</f>
        <v/>
      </c>
      <c r="L2631" s="92" t="str">
        <f>IF(AND(A2631="",B2631="",D2631="",G2631=""),"",IF(OR(B2631="",NOT(ISNUMBER(B2631)),C2631="",C2631="Fora dos ciclos"),"",IF(C2631="C0","Nao",IF(IFERROR(INDEX(parametros!$A$2:$A$6,MATCH(C2631,parametros!$B$2:$B$6,0)),"")&lt;&gt;"Sim","Nao",IF(IFERROR(INDEX(parametros!$H$2:$H$6,MATCH(C2631,parametros!$B$2:$B$6,0)),"")="","",IF(B2631&gt;=IFERROR(INDEX(parametros!$H$2:$H$6,MATCH(C2631,parametros!$B$2:$B$6,0)),""),"Sim","Nao"))))))</f>
        <v/>
      </c>
      <c r="T2631" s="156"/>
      <c r="U2631" s="214" t="str">
        <f t="shared" si="211"/>
        <v/>
      </c>
      <c r="V2631" s="212" t="s">
        <v>50</v>
      </c>
      <c r="W2631" s="100" t="s">
        <v>168</v>
      </c>
      <c r="X2631" s="100" t="s">
        <v>169</v>
      </c>
      <c r="Y2631" s="101" t="s">
        <v>170</v>
      </c>
      <c r="Z2631" s="101" t="s">
        <v>171</v>
      </c>
      <c r="AA2631" s="101" t="s">
        <v>50</v>
      </c>
      <c r="AB2631" s="101" t="s">
        <v>172</v>
      </c>
      <c r="AC2631" s="102" t="s">
        <v>173</v>
      </c>
    </row>
    <row r="2632" spans="1:29" ht="25.5" customHeight="1" x14ac:dyDescent="0.35">
      <c r="A2632" s="392"/>
      <c r="B2632" s="393"/>
      <c r="C2632" s="99" t="str">
        <f>IF(B2632="","",IF(NOT(ISNUMBER(B2632)),"DATA_PC invalida",IF(NOT(ISNUMBER(parametros!$C$2)),"Fora dos ciclos",IF(OR(B2632&lt;parametros!$C$2,(YEAR(B2632)-YEAR(parametros!$C$2))*12+MONTH(B2632)-MONTH(parametros!$C$2)&gt;59),"Fora dos ciclos","C"&amp;INT(((YEAR(B2632)-YEAR(parametros!$C$2))*12+MONTH(B2632)-MONTH(parametros!$C$2))/12)))))</f>
        <v/>
      </c>
      <c r="D2632" s="394"/>
      <c r="E2632" s="78" t="str">
        <f>IF(C2632="","",IFERROR(VLOOKUP(C2632,parametros!$A$11:$E$15,5,0),""))</f>
        <v/>
      </c>
      <c r="F2632" s="79" t="str">
        <f t="shared" si="207"/>
        <v/>
      </c>
      <c r="G2632" s="395"/>
      <c r="H2632" s="91">
        <f t="shared" si="208"/>
        <v>0</v>
      </c>
      <c r="I2632" s="91" t="str">
        <f t="shared" si="209"/>
        <v/>
      </c>
      <c r="J2632" s="91" t="str">
        <f t="shared" si="210"/>
        <v/>
      </c>
      <c r="K2632" s="92" t="str">
        <f>IF(AND(A2632="",B2632="",D2632="",G2632=""),"",IF(AND(A2632&lt;&gt;"",COUNTIF($A$2:$A$5001,A2632)&gt;1),"NUMERO_PC duplicado",IF(B2632="","DATA_PC vazia",IF(NOT(ISNUMBER(B2632)),"DATA_PC invalida",IF(OR(C2632="",C2632="Fora dos ciclos"),"CICLO_PC nao identificado",IF(OR(D2632="",D2632=0),"VALOR_PC vazio ou zero",IF(AND(G2632&lt;&gt;"Sim",G2632&lt;&gt;"Nao",G2632&lt;&gt;""),"PC_PAGO_A_CONTRATADA invalido",IF(AND(C2632&lt;&gt;"C0",IFERROR(INDEX(parametros!$A$2:$A$6,MATCH(C2632,parametros!$B$2:$B$6,0)),"")="Sim",IFERROR(INDEX(parametros!$H$2:$H$6,MATCH(C2632,parametros!$B$2:$B$6,0)),"")=""),"INICIO_EFEITO ausente: PC "&amp;A2632&amp;" - "&amp;C2632,IF(L2632="","EFEITO_PC nao calculado: PC "&amp;A2632&amp;" - "&amp;C2632,"OK")))))))))</f>
        <v/>
      </c>
      <c r="L2632" s="92" t="str">
        <f>IF(AND(A2632="",B2632="",D2632="",G2632=""),"",IF(OR(B2632="",NOT(ISNUMBER(B2632)),C2632="",C2632="Fora dos ciclos"),"",IF(C2632="C0","Nao",IF(IFERROR(INDEX(parametros!$A$2:$A$6,MATCH(C2632,parametros!$B$2:$B$6,0)),"")&lt;&gt;"Sim","Nao",IF(IFERROR(INDEX(parametros!$H$2:$H$6,MATCH(C2632,parametros!$B$2:$B$6,0)),"")="","",IF(B2632&gt;=IFERROR(INDEX(parametros!$H$2:$H$6,MATCH(C2632,parametros!$B$2:$B$6,0)),""),"Sim","Nao"))))))</f>
        <v/>
      </c>
      <c r="T2632" s="156"/>
      <c r="U2632" s="214" t="str">
        <f t="shared" si="211"/>
        <v/>
      </c>
      <c r="V2632" s="212" t="s">
        <v>50</v>
      </c>
      <c r="W2632" s="100" t="s">
        <v>168</v>
      </c>
      <c r="X2632" s="100" t="s">
        <v>169</v>
      </c>
      <c r="Y2632" s="101" t="s">
        <v>170</v>
      </c>
      <c r="Z2632" s="101" t="s">
        <v>171</v>
      </c>
      <c r="AA2632" s="101" t="s">
        <v>50</v>
      </c>
      <c r="AB2632" s="101" t="s">
        <v>172</v>
      </c>
      <c r="AC2632" s="102" t="s">
        <v>173</v>
      </c>
    </row>
    <row r="2633" spans="1:29" ht="25.5" customHeight="1" x14ac:dyDescent="0.35">
      <c r="A2633" s="392"/>
      <c r="B2633" s="393"/>
      <c r="C2633" s="99" t="str">
        <f>IF(B2633="","",IF(NOT(ISNUMBER(B2633)),"DATA_PC invalida",IF(NOT(ISNUMBER(parametros!$C$2)),"Fora dos ciclos",IF(OR(B2633&lt;parametros!$C$2,(YEAR(B2633)-YEAR(parametros!$C$2))*12+MONTH(B2633)-MONTH(parametros!$C$2)&gt;59),"Fora dos ciclos","C"&amp;INT(((YEAR(B2633)-YEAR(parametros!$C$2))*12+MONTH(B2633)-MONTH(parametros!$C$2))/12)))))</f>
        <v/>
      </c>
      <c r="D2633" s="394"/>
      <c r="E2633" s="78" t="str">
        <f>IF(C2633="","",IFERROR(VLOOKUP(C2633,parametros!$A$11:$E$15,5,0),""))</f>
        <v/>
      </c>
      <c r="F2633" s="79" t="str">
        <f t="shared" si="207"/>
        <v/>
      </c>
      <c r="G2633" s="395"/>
      <c r="H2633" s="91">
        <f t="shared" si="208"/>
        <v>0</v>
      </c>
      <c r="I2633" s="91" t="str">
        <f t="shared" si="209"/>
        <v/>
      </c>
      <c r="J2633" s="91" t="str">
        <f t="shared" si="210"/>
        <v/>
      </c>
      <c r="K2633" s="92" t="str">
        <f>IF(AND(A2633="",B2633="",D2633="",G2633=""),"",IF(AND(A2633&lt;&gt;"",COUNTIF($A$2:$A$5001,A2633)&gt;1),"NUMERO_PC duplicado",IF(B2633="","DATA_PC vazia",IF(NOT(ISNUMBER(B2633)),"DATA_PC invalida",IF(OR(C2633="",C2633="Fora dos ciclos"),"CICLO_PC nao identificado",IF(OR(D2633="",D2633=0),"VALOR_PC vazio ou zero",IF(AND(G2633&lt;&gt;"Sim",G2633&lt;&gt;"Nao",G2633&lt;&gt;""),"PC_PAGO_A_CONTRATADA invalido",IF(AND(C2633&lt;&gt;"C0",IFERROR(INDEX(parametros!$A$2:$A$6,MATCH(C2633,parametros!$B$2:$B$6,0)),"")="Sim",IFERROR(INDEX(parametros!$H$2:$H$6,MATCH(C2633,parametros!$B$2:$B$6,0)),"")=""),"INICIO_EFEITO ausente: PC "&amp;A2633&amp;" - "&amp;C2633,IF(L2633="","EFEITO_PC nao calculado: PC "&amp;A2633&amp;" - "&amp;C2633,"OK")))))))))</f>
        <v/>
      </c>
      <c r="L2633" s="92" t="str">
        <f>IF(AND(A2633="",B2633="",D2633="",G2633=""),"",IF(OR(B2633="",NOT(ISNUMBER(B2633)),C2633="",C2633="Fora dos ciclos"),"",IF(C2633="C0","Nao",IF(IFERROR(INDEX(parametros!$A$2:$A$6,MATCH(C2633,parametros!$B$2:$B$6,0)),"")&lt;&gt;"Sim","Nao",IF(IFERROR(INDEX(parametros!$H$2:$H$6,MATCH(C2633,parametros!$B$2:$B$6,0)),"")="","",IF(B2633&gt;=IFERROR(INDEX(parametros!$H$2:$H$6,MATCH(C2633,parametros!$B$2:$B$6,0)),""),"Sim","Nao"))))))</f>
        <v/>
      </c>
      <c r="T2633" s="156"/>
      <c r="U2633" s="214" t="str">
        <f t="shared" si="211"/>
        <v/>
      </c>
      <c r="V2633" s="212" t="s">
        <v>50</v>
      </c>
      <c r="W2633" s="100" t="s">
        <v>168</v>
      </c>
      <c r="X2633" s="100" t="s">
        <v>169</v>
      </c>
      <c r="Y2633" s="101" t="s">
        <v>170</v>
      </c>
      <c r="Z2633" s="101" t="s">
        <v>171</v>
      </c>
      <c r="AA2633" s="101" t="s">
        <v>50</v>
      </c>
      <c r="AB2633" s="101" t="s">
        <v>172</v>
      </c>
      <c r="AC2633" s="102" t="s">
        <v>173</v>
      </c>
    </row>
    <row r="2634" spans="1:29" ht="25.5" customHeight="1" x14ac:dyDescent="0.35">
      <c r="A2634" s="392"/>
      <c r="B2634" s="393"/>
      <c r="C2634" s="99" t="str">
        <f>IF(B2634="","",IF(NOT(ISNUMBER(B2634)),"DATA_PC invalida",IF(NOT(ISNUMBER(parametros!$C$2)),"Fora dos ciclos",IF(OR(B2634&lt;parametros!$C$2,(YEAR(B2634)-YEAR(parametros!$C$2))*12+MONTH(B2634)-MONTH(parametros!$C$2)&gt;59),"Fora dos ciclos","C"&amp;INT(((YEAR(B2634)-YEAR(parametros!$C$2))*12+MONTH(B2634)-MONTH(parametros!$C$2))/12)))))</f>
        <v/>
      </c>
      <c r="D2634" s="394"/>
      <c r="E2634" s="78" t="str">
        <f>IF(C2634="","",IFERROR(VLOOKUP(C2634,parametros!$A$11:$E$15,5,0),""))</f>
        <v/>
      </c>
      <c r="F2634" s="79" t="str">
        <f t="shared" si="207"/>
        <v/>
      </c>
      <c r="G2634" s="395"/>
      <c r="H2634" s="91">
        <f t="shared" si="208"/>
        <v>0</v>
      </c>
      <c r="I2634" s="91" t="str">
        <f t="shared" si="209"/>
        <v/>
      </c>
      <c r="J2634" s="91" t="str">
        <f t="shared" si="210"/>
        <v/>
      </c>
      <c r="K2634" s="92" t="str">
        <f>IF(AND(A2634="",B2634="",D2634="",G2634=""),"",IF(AND(A2634&lt;&gt;"",COUNTIF($A$2:$A$5001,A2634)&gt;1),"NUMERO_PC duplicado",IF(B2634="","DATA_PC vazia",IF(NOT(ISNUMBER(B2634)),"DATA_PC invalida",IF(OR(C2634="",C2634="Fora dos ciclos"),"CICLO_PC nao identificado",IF(OR(D2634="",D2634=0),"VALOR_PC vazio ou zero",IF(AND(G2634&lt;&gt;"Sim",G2634&lt;&gt;"Nao",G2634&lt;&gt;""),"PC_PAGO_A_CONTRATADA invalido",IF(AND(C2634&lt;&gt;"C0",IFERROR(INDEX(parametros!$A$2:$A$6,MATCH(C2634,parametros!$B$2:$B$6,0)),"")="Sim",IFERROR(INDEX(parametros!$H$2:$H$6,MATCH(C2634,parametros!$B$2:$B$6,0)),"")=""),"INICIO_EFEITO ausente: PC "&amp;A2634&amp;" - "&amp;C2634,IF(L2634="","EFEITO_PC nao calculado: PC "&amp;A2634&amp;" - "&amp;C2634,"OK")))))))))</f>
        <v/>
      </c>
      <c r="L2634" s="92" t="str">
        <f>IF(AND(A2634="",B2634="",D2634="",G2634=""),"",IF(OR(B2634="",NOT(ISNUMBER(B2634)),C2634="",C2634="Fora dos ciclos"),"",IF(C2634="C0","Nao",IF(IFERROR(INDEX(parametros!$A$2:$A$6,MATCH(C2634,parametros!$B$2:$B$6,0)),"")&lt;&gt;"Sim","Nao",IF(IFERROR(INDEX(parametros!$H$2:$H$6,MATCH(C2634,parametros!$B$2:$B$6,0)),"")="","",IF(B2634&gt;=IFERROR(INDEX(parametros!$H$2:$H$6,MATCH(C2634,parametros!$B$2:$B$6,0)),""),"Sim","Nao"))))))</f>
        <v/>
      </c>
      <c r="T2634" s="156"/>
      <c r="U2634" s="214" t="str">
        <f t="shared" si="211"/>
        <v/>
      </c>
      <c r="V2634" s="212" t="s">
        <v>50</v>
      </c>
      <c r="W2634" s="100" t="s">
        <v>168</v>
      </c>
      <c r="X2634" s="100" t="s">
        <v>169</v>
      </c>
      <c r="Y2634" s="101" t="s">
        <v>170</v>
      </c>
      <c r="Z2634" s="101" t="s">
        <v>171</v>
      </c>
      <c r="AA2634" s="101" t="s">
        <v>50</v>
      </c>
      <c r="AB2634" s="101" t="s">
        <v>172</v>
      </c>
      <c r="AC2634" s="102" t="s">
        <v>173</v>
      </c>
    </row>
    <row r="2635" spans="1:29" ht="25.5" customHeight="1" x14ac:dyDescent="0.35">
      <c r="A2635" s="392"/>
      <c r="B2635" s="393"/>
      <c r="C2635" s="99" t="str">
        <f>IF(B2635="","",IF(NOT(ISNUMBER(B2635)),"DATA_PC invalida",IF(NOT(ISNUMBER(parametros!$C$2)),"Fora dos ciclos",IF(OR(B2635&lt;parametros!$C$2,(YEAR(B2635)-YEAR(parametros!$C$2))*12+MONTH(B2635)-MONTH(parametros!$C$2)&gt;59),"Fora dos ciclos","C"&amp;INT(((YEAR(B2635)-YEAR(parametros!$C$2))*12+MONTH(B2635)-MONTH(parametros!$C$2))/12)))))</f>
        <v/>
      </c>
      <c r="D2635" s="394"/>
      <c r="E2635" s="78" t="str">
        <f>IF(C2635="","",IFERROR(VLOOKUP(C2635,parametros!$A$11:$E$15,5,0),""))</f>
        <v/>
      </c>
      <c r="F2635" s="79" t="str">
        <f t="shared" si="207"/>
        <v/>
      </c>
      <c r="G2635" s="395"/>
      <c r="H2635" s="91">
        <f t="shared" si="208"/>
        <v>0</v>
      </c>
      <c r="I2635" s="91" t="str">
        <f t="shared" si="209"/>
        <v/>
      </c>
      <c r="J2635" s="91" t="str">
        <f t="shared" si="210"/>
        <v/>
      </c>
      <c r="K2635" s="92" t="str">
        <f>IF(AND(A2635="",B2635="",D2635="",G2635=""),"",IF(AND(A2635&lt;&gt;"",COUNTIF($A$2:$A$5001,A2635)&gt;1),"NUMERO_PC duplicado",IF(B2635="","DATA_PC vazia",IF(NOT(ISNUMBER(B2635)),"DATA_PC invalida",IF(OR(C2635="",C2635="Fora dos ciclos"),"CICLO_PC nao identificado",IF(OR(D2635="",D2635=0),"VALOR_PC vazio ou zero",IF(AND(G2635&lt;&gt;"Sim",G2635&lt;&gt;"Nao",G2635&lt;&gt;""),"PC_PAGO_A_CONTRATADA invalido",IF(AND(C2635&lt;&gt;"C0",IFERROR(INDEX(parametros!$A$2:$A$6,MATCH(C2635,parametros!$B$2:$B$6,0)),"")="Sim",IFERROR(INDEX(parametros!$H$2:$H$6,MATCH(C2635,parametros!$B$2:$B$6,0)),"")=""),"INICIO_EFEITO ausente: PC "&amp;A2635&amp;" - "&amp;C2635,IF(L2635="","EFEITO_PC nao calculado: PC "&amp;A2635&amp;" - "&amp;C2635,"OK")))))))))</f>
        <v/>
      </c>
      <c r="L2635" s="92" t="str">
        <f>IF(AND(A2635="",B2635="",D2635="",G2635=""),"",IF(OR(B2635="",NOT(ISNUMBER(B2635)),C2635="",C2635="Fora dos ciclos"),"",IF(C2635="C0","Nao",IF(IFERROR(INDEX(parametros!$A$2:$A$6,MATCH(C2635,parametros!$B$2:$B$6,0)),"")&lt;&gt;"Sim","Nao",IF(IFERROR(INDEX(parametros!$H$2:$H$6,MATCH(C2635,parametros!$B$2:$B$6,0)),"")="","",IF(B2635&gt;=IFERROR(INDEX(parametros!$H$2:$H$6,MATCH(C2635,parametros!$B$2:$B$6,0)),""),"Sim","Nao"))))))</f>
        <v/>
      </c>
      <c r="T2635" s="156"/>
      <c r="U2635" s="214" t="str">
        <f t="shared" si="211"/>
        <v/>
      </c>
      <c r="V2635" s="212" t="s">
        <v>50</v>
      </c>
      <c r="W2635" s="100" t="s">
        <v>168</v>
      </c>
      <c r="X2635" s="100" t="s">
        <v>169</v>
      </c>
      <c r="Y2635" s="101" t="s">
        <v>170</v>
      </c>
      <c r="Z2635" s="101" t="s">
        <v>171</v>
      </c>
      <c r="AA2635" s="101" t="s">
        <v>50</v>
      </c>
      <c r="AB2635" s="101" t="s">
        <v>172</v>
      </c>
      <c r="AC2635" s="102" t="s">
        <v>173</v>
      </c>
    </row>
    <row r="2636" spans="1:29" ht="25.5" customHeight="1" x14ac:dyDescent="0.35">
      <c r="A2636" s="392"/>
      <c r="B2636" s="393"/>
      <c r="C2636" s="99" t="str">
        <f>IF(B2636="","",IF(NOT(ISNUMBER(B2636)),"DATA_PC invalida",IF(NOT(ISNUMBER(parametros!$C$2)),"Fora dos ciclos",IF(OR(B2636&lt;parametros!$C$2,(YEAR(B2636)-YEAR(parametros!$C$2))*12+MONTH(B2636)-MONTH(parametros!$C$2)&gt;59),"Fora dos ciclos","C"&amp;INT(((YEAR(B2636)-YEAR(parametros!$C$2))*12+MONTH(B2636)-MONTH(parametros!$C$2))/12)))))</f>
        <v/>
      </c>
      <c r="D2636" s="394"/>
      <c r="E2636" s="78" t="str">
        <f>IF(C2636="","",IFERROR(VLOOKUP(C2636,parametros!$A$11:$E$15,5,0),""))</f>
        <v/>
      </c>
      <c r="F2636" s="79" t="str">
        <f t="shared" si="207"/>
        <v/>
      </c>
      <c r="G2636" s="395"/>
      <c r="H2636" s="91">
        <f t="shared" si="208"/>
        <v>0</v>
      </c>
      <c r="I2636" s="91" t="str">
        <f t="shared" si="209"/>
        <v/>
      </c>
      <c r="J2636" s="91" t="str">
        <f t="shared" si="210"/>
        <v/>
      </c>
      <c r="K2636" s="92" t="str">
        <f>IF(AND(A2636="",B2636="",D2636="",G2636=""),"",IF(AND(A2636&lt;&gt;"",COUNTIF($A$2:$A$5001,A2636)&gt;1),"NUMERO_PC duplicado",IF(B2636="","DATA_PC vazia",IF(NOT(ISNUMBER(B2636)),"DATA_PC invalida",IF(OR(C2636="",C2636="Fora dos ciclos"),"CICLO_PC nao identificado",IF(OR(D2636="",D2636=0),"VALOR_PC vazio ou zero",IF(AND(G2636&lt;&gt;"Sim",G2636&lt;&gt;"Nao",G2636&lt;&gt;""),"PC_PAGO_A_CONTRATADA invalido",IF(AND(C2636&lt;&gt;"C0",IFERROR(INDEX(parametros!$A$2:$A$6,MATCH(C2636,parametros!$B$2:$B$6,0)),"")="Sim",IFERROR(INDEX(parametros!$H$2:$H$6,MATCH(C2636,parametros!$B$2:$B$6,0)),"")=""),"INICIO_EFEITO ausente: PC "&amp;A2636&amp;" - "&amp;C2636,IF(L2636="","EFEITO_PC nao calculado: PC "&amp;A2636&amp;" - "&amp;C2636,"OK")))))))))</f>
        <v/>
      </c>
      <c r="L2636" s="92" t="str">
        <f>IF(AND(A2636="",B2636="",D2636="",G2636=""),"",IF(OR(B2636="",NOT(ISNUMBER(B2636)),C2636="",C2636="Fora dos ciclos"),"",IF(C2636="C0","Nao",IF(IFERROR(INDEX(parametros!$A$2:$A$6,MATCH(C2636,parametros!$B$2:$B$6,0)),"")&lt;&gt;"Sim","Nao",IF(IFERROR(INDEX(parametros!$H$2:$H$6,MATCH(C2636,parametros!$B$2:$B$6,0)),"")="","",IF(B2636&gt;=IFERROR(INDEX(parametros!$H$2:$H$6,MATCH(C2636,parametros!$B$2:$B$6,0)),""),"Sim","Nao"))))))</f>
        <v/>
      </c>
      <c r="T2636" s="156"/>
      <c r="U2636" s="214" t="str">
        <f t="shared" si="211"/>
        <v/>
      </c>
      <c r="V2636" s="212" t="s">
        <v>50</v>
      </c>
      <c r="W2636" s="100" t="s">
        <v>168</v>
      </c>
      <c r="X2636" s="100" t="s">
        <v>169</v>
      </c>
      <c r="Y2636" s="101" t="s">
        <v>170</v>
      </c>
      <c r="Z2636" s="101" t="s">
        <v>171</v>
      </c>
      <c r="AA2636" s="101" t="s">
        <v>50</v>
      </c>
      <c r="AB2636" s="101" t="s">
        <v>172</v>
      </c>
      <c r="AC2636" s="102" t="s">
        <v>173</v>
      </c>
    </row>
    <row r="2637" spans="1:29" ht="25.5" customHeight="1" x14ac:dyDescent="0.35">
      <c r="A2637" s="392"/>
      <c r="B2637" s="393"/>
      <c r="C2637" s="99" t="str">
        <f>IF(B2637="","",IF(NOT(ISNUMBER(B2637)),"DATA_PC invalida",IF(NOT(ISNUMBER(parametros!$C$2)),"Fora dos ciclos",IF(OR(B2637&lt;parametros!$C$2,(YEAR(B2637)-YEAR(parametros!$C$2))*12+MONTH(B2637)-MONTH(parametros!$C$2)&gt;59),"Fora dos ciclos","C"&amp;INT(((YEAR(B2637)-YEAR(parametros!$C$2))*12+MONTH(B2637)-MONTH(parametros!$C$2))/12)))))</f>
        <v/>
      </c>
      <c r="D2637" s="394"/>
      <c r="E2637" s="78" t="str">
        <f>IF(C2637="","",IFERROR(VLOOKUP(C2637,parametros!$A$11:$E$15,5,0),""))</f>
        <v/>
      </c>
      <c r="F2637" s="79" t="str">
        <f t="shared" si="207"/>
        <v/>
      </c>
      <c r="G2637" s="395"/>
      <c r="H2637" s="91">
        <f t="shared" si="208"/>
        <v>0</v>
      </c>
      <c r="I2637" s="91" t="str">
        <f t="shared" si="209"/>
        <v/>
      </c>
      <c r="J2637" s="91" t="str">
        <f t="shared" si="210"/>
        <v/>
      </c>
      <c r="K2637" s="92" t="str">
        <f>IF(AND(A2637="",B2637="",D2637="",G2637=""),"",IF(AND(A2637&lt;&gt;"",COUNTIF($A$2:$A$5001,A2637)&gt;1),"NUMERO_PC duplicado",IF(B2637="","DATA_PC vazia",IF(NOT(ISNUMBER(B2637)),"DATA_PC invalida",IF(OR(C2637="",C2637="Fora dos ciclos"),"CICLO_PC nao identificado",IF(OR(D2637="",D2637=0),"VALOR_PC vazio ou zero",IF(AND(G2637&lt;&gt;"Sim",G2637&lt;&gt;"Nao",G2637&lt;&gt;""),"PC_PAGO_A_CONTRATADA invalido",IF(AND(C2637&lt;&gt;"C0",IFERROR(INDEX(parametros!$A$2:$A$6,MATCH(C2637,parametros!$B$2:$B$6,0)),"")="Sim",IFERROR(INDEX(parametros!$H$2:$H$6,MATCH(C2637,parametros!$B$2:$B$6,0)),"")=""),"INICIO_EFEITO ausente: PC "&amp;A2637&amp;" - "&amp;C2637,IF(L2637="","EFEITO_PC nao calculado: PC "&amp;A2637&amp;" - "&amp;C2637,"OK")))))))))</f>
        <v/>
      </c>
      <c r="L2637" s="92" t="str">
        <f>IF(AND(A2637="",B2637="",D2637="",G2637=""),"",IF(OR(B2637="",NOT(ISNUMBER(B2637)),C2637="",C2637="Fora dos ciclos"),"",IF(C2637="C0","Nao",IF(IFERROR(INDEX(parametros!$A$2:$A$6,MATCH(C2637,parametros!$B$2:$B$6,0)),"")&lt;&gt;"Sim","Nao",IF(IFERROR(INDEX(parametros!$H$2:$H$6,MATCH(C2637,parametros!$B$2:$B$6,0)),"")="","",IF(B2637&gt;=IFERROR(INDEX(parametros!$H$2:$H$6,MATCH(C2637,parametros!$B$2:$B$6,0)),""),"Sim","Nao"))))))</f>
        <v/>
      </c>
      <c r="T2637" s="156"/>
      <c r="U2637" s="214" t="str">
        <f t="shared" si="211"/>
        <v/>
      </c>
      <c r="V2637" s="212" t="s">
        <v>50</v>
      </c>
      <c r="W2637" s="100" t="s">
        <v>168</v>
      </c>
      <c r="X2637" s="100" t="s">
        <v>169</v>
      </c>
      <c r="Y2637" s="101" t="s">
        <v>170</v>
      </c>
      <c r="Z2637" s="101" t="s">
        <v>171</v>
      </c>
      <c r="AA2637" s="101" t="s">
        <v>50</v>
      </c>
      <c r="AB2637" s="101" t="s">
        <v>172</v>
      </c>
      <c r="AC2637" s="102" t="s">
        <v>173</v>
      </c>
    </row>
    <row r="2638" spans="1:29" ht="25.5" customHeight="1" x14ac:dyDescent="0.35">
      <c r="A2638" s="392"/>
      <c r="B2638" s="393"/>
      <c r="C2638" s="99" t="str">
        <f>IF(B2638="","",IF(NOT(ISNUMBER(B2638)),"DATA_PC invalida",IF(NOT(ISNUMBER(parametros!$C$2)),"Fora dos ciclos",IF(OR(B2638&lt;parametros!$C$2,(YEAR(B2638)-YEAR(parametros!$C$2))*12+MONTH(B2638)-MONTH(parametros!$C$2)&gt;59),"Fora dos ciclos","C"&amp;INT(((YEAR(B2638)-YEAR(parametros!$C$2))*12+MONTH(B2638)-MONTH(parametros!$C$2))/12)))))</f>
        <v/>
      </c>
      <c r="D2638" s="394"/>
      <c r="E2638" s="78" t="str">
        <f>IF(C2638="","",IFERROR(VLOOKUP(C2638,parametros!$A$11:$E$15,5,0),""))</f>
        <v/>
      </c>
      <c r="F2638" s="79" t="str">
        <f t="shared" si="207"/>
        <v/>
      </c>
      <c r="G2638" s="395"/>
      <c r="H2638" s="91">
        <f t="shared" si="208"/>
        <v>0</v>
      </c>
      <c r="I2638" s="91" t="str">
        <f t="shared" si="209"/>
        <v/>
      </c>
      <c r="J2638" s="91" t="str">
        <f t="shared" si="210"/>
        <v/>
      </c>
      <c r="K2638" s="92" t="str">
        <f>IF(AND(A2638="",B2638="",D2638="",G2638=""),"",IF(AND(A2638&lt;&gt;"",COUNTIF($A$2:$A$5001,A2638)&gt;1),"NUMERO_PC duplicado",IF(B2638="","DATA_PC vazia",IF(NOT(ISNUMBER(B2638)),"DATA_PC invalida",IF(OR(C2638="",C2638="Fora dos ciclos"),"CICLO_PC nao identificado",IF(OR(D2638="",D2638=0),"VALOR_PC vazio ou zero",IF(AND(G2638&lt;&gt;"Sim",G2638&lt;&gt;"Nao",G2638&lt;&gt;""),"PC_PAGO_A_CONTRATADA invalido",IF(AND(C2638&lt;&gt;"C0",IFERROR(INDEX(parametros!$A$2:$A$6,MATCH(C2638,parametros!$B$2:$B$6,0)),"")="Sim",IFERROR(INDEX(parametros!$H$2:$H$6,MATCH(C2638,parametros!$B$2:$B$6,0)),"")=""),"INICIO_EFEITO ausente: PC "&amp;A2638&amp;" - "&amp;C2638,IF(L2638="","EFEITO_PC nao calculado: PC "&amp;A2638&amp;" - "&amp;C2638,"OK")))))))))</f>
        <v/>
      </c>
      <c r="L2638" s="92" t="str">
        <f>IF(AND(A2638="",B2638="",D2638="",G2638=""),"",IF(OR(B2638="",NOT(ISNUMBER(B2638)),C2638="",C2638="Fora dos ciclos"),"",IF(C2638="C0","Nao",IF(IFERROR(INDEX(parametros!$A$2:$A$6,MATCH(C2638,parametros!$B$2:$B$6,0)),"")&lt;&gt;"Sim","Nao",IF(IFERROR(INDEX(parametros!$H$2:$H$6,MATCH(C2638,parametros!$B$2:$B$6,0)),"")="","",IF(B2638&gt;=IFERROR(INDEX(parametros!$H$2:$H$6,MATCH(C2638,parametros!$B$2:$B$6,0)),""),"Sim","Nao"))))))</f>
        <v/>
      </c>
      <c r="T2638" s="156"/>
      <c r="U2638" s="214" t="str">
        <f t="shared" si="211"/>
        <v/>
      </c>
      <c r="V2638" s="212" t="s">
        <v>50</v>
      </c>
      <c r="W2638" s="100" t="s">
        <v>168</v>
      </c>
      <c r="X2638" s="100" t="s">
        <v>169</v>
      </c>
      <c r="Y2638" s="101" t="s">
        <v>170</v>
      </c>
      <c r="Z2638" s="101" t="s">
        <v>171</v>
      </c>
      <c r="AA2638" s="101" t="s">
        <v>50</v>
      </c>
      <c r="AB2638" s="101" t="s">
        <v>172</v>
      </c>
      <c r="AC2638" s="102" t="s">
        <v>173</v>
      </c>
    </row>
    <row r="2639" spans="1:29" ht="25.5" customHeight="1" x14ac:dyDescent="0.35">
      <c r="A2639" s="392"/>
      <c r="B2639" s="393"/>
      <c r="C2639" s="99" t="str">
        <f>IF(B2639="","",IF(NOT(ISNUMBER(B2639)),"DATA_PC invalida",IF(NOT(ISNUMBER(parametros!$C$2)),"Fora dos ciclos",IF(OR(B2639&lt;parametros!$C$2,(YEAR(B2639)-YEAR(parametros!$C$2))*12+MONTH(B2639)-MONTH(parametros!$C$2)&gt;59),"Fora dos ciclos","C"&amp;INT(((YEAR(B2639)-YEAR(parametros!$C$2))*12+MONTH(B2639)-MONTH(parametros!$C$2))/12)))))</f>
        <v/>
      </c>
      <c r="D2639" s="394"/>
      <c r="E2639" s="78" t="str">
        <f>IF(C2639="","",IFERROR(VLOOKUP(C2639,parametros!$A$11:$E$15,5,0),""))</f>
        <v/>
      </c>
      <c r="F2639" s="79" t="str">
        <f t="shared" si="207"/>
        <v/>
      </c>
      <c r="G2639" s="395"/>
      <c r="H2639" s="91">
        <f t="shared" si="208"/>
        <v>0</v>
      </c>
      <c r="I2639" s="91" t="str">
        <f t="shared" si="209"/>
        <v/>
      </c>
      <c r="J2639" s="91" t="str">
        <f t="shared" si="210"/>
        <v/>
      </c>
      <c r="K2639" s="92" t="str">
        <f>IF(AND(A2639="",B2639="",D2639="",G2639=""),"",IF(AND(A2639&lt;&gt;"",COUNTIF($A$2:$A$5001,A2639)&gt;1),"NUMERO_PC duplicado",IF(B2639="","DATA_PC vazia",IF(NOT(ISNUMBER(B2639)),"DATA_PC invalida",IF(OR(C2639="",C2639="Fora dos ciclos"),"CICLO_PC nao identificado",IF(OR(D2639="",D2639=0),"VALOR_PC vazio ou zero",IF(AND(G2639&lt;&gt;"Sim",G2639&lt;&gt;"Nao",G2639&lt;&gt;""),"PC_PAGO_A_CONTRATADA invalido",IF(AND(C2639&lt;&gt;"C0",IFERROR(INDEX(parametros!$A$2:$A$6,MATCH(C2639,parametros!$B$2:$B$6,0)),"")="Sim",IFERROR(INDEX(parametros!$H$2:$H$6,MATCH(C2639,parametros!$B$2:$B$6,0)),"")=""),"INICIO_EFEITO ausente: PC "&amp;A2639&amp;" - "&amp;C2639,IF(L2639="","EFEITO_PC nao calculado: PC "&amp;A2639&amp;" - "&amp;C2639,"OK")))))))))</f>
        <v/>
      </c>
      <c r="L2639" s="92" t="str">
        <f>IF(AND(A2639="",B2639="",D2639="",G2639=""),"",IF(OR(B2639="",NOT(ISNUMBER(B2639)),C2639="",C2639="Fora dos ciclos"),"",IF(C2639="C0","Nao",IF(IFERROR(INDEX(parametros!$A$2:$A$6,MATCH(C2639,parametros!$B$2:$B$6,0)),"")&lt;&gt;"Sim","Nao",IF(IFERROR(INDEX(parametros!$H$2:$H$6,MATCH(C2639,parametros!$B$2:$B$6,0)),"")="","",IF(B2639&gt;=IFERROR(INDEX(parametros!$H$2:$H$6,MATCH(C2639,parametros!$B$2:$B$6,0)),""),"Sim","Nao"))))))</f>
        <v/>
      </c>
      <c r="T2639" s="156"/>
      <c r="U2639" s="214" t="str">
        <f t="shared" si="211"/>
        <v/>
      </c>
      <c r="V2639" s="212" t="s">
        <v>50</v>
      </c>
      <c r="W2639" s="100" t="s">
        <v>168</v>
      </c>
      <c r="X2639" s="100" t="s">
        <v>169</v>
      </c>
      <c r="Y2639" s="101" t="s">
        <v>170</v>
      </c>
      <c r="Z2639" s="101" t="s">
        <v>171</v>
      </c>
      <c r="AA2639" s="101" t="s">
        <v>50</v>
      </c>
      <c r="AB2639" s="101" t="s">
        <v>172</v>
      </c>
      <c r="AC2639" s="102" t="s">
        <v>173</v>
      </c>
    </row>
    <row r="2640" spans="1:29" ht="25.5" customHeight="1" x14ac:dyDescent="0.35">
      <c r="A2640" s="392"/>
      <c r="B2640" s="393"/>
      <c r="C2640" s="99" t="str">
        <f>IF(B2640="","",IF(NOT(ISNUMBER(B2640)),"DATA_PC invalida",IF(NOT(ISNUMBER(parametros!$C$2)),"Fora dos ciclos",IF(OR(B2640&lt;parametros!$C$2,(YEAR(B2640)-YEAR(parametros!$C$2))*12+MONTH(B2640)-MONTH(parametros!$C$2)&gt;59),"Fora dos ciclos","C"&amp;INT(((YEAR(B2640)-YEAR(parametros!$C$2))*12+MONTH(B2640)-MONTH(parametros!$C$2))/12)))))</f>
        <v/>
      </c>
      <c r="D2640" s="394"/>
      <c r="E2640" s="78" t="str">
        <f>IF(C2640="","",IFERROR(VLOOKUP(C2640,parametros!$A$11:$E$15,5,0),""))</f>
        <v/>
      </c>
      <c r="F2640" s="79" t="str">
        <f t="shared" si="207"/>
        <v/>
      </c>
      <c r="G2640" s="395"/>
      <c r="H2640" s="91">
        <f t="shared" si="208"/>
        <v>0</v>
      </c>
      <c r="I2640" s="91" t="str">
        <f t="shared" si="209"/>
        <v/>
      </c>
      <c r="J2640" s="91" t="str">
        <f t="shared" si="210"/>
        <v/>
      </c>
      <c r="K2640" s="92" t="str">
        <f>IF(AND(A2640="",B2640="",D2640="",G2640=""),"",IF(AND(A2640&lt;&gt;"",COUNTIF($A$2:$A$5001,A2640)&gt;1),"NUMERO_PC duplicado",IF(B2640="","DATA_PC vazia",IF(NOT(ISNUMBER(B2640)),"DATA_PC invalida",IF(OR(C2640="",C2640="Fora dos ciclos"),"CICLO_PC nao identificado",IF(OR(D2640="",D2640=0),"VALOR_PC vazio ou zero",IF(AND(G2640&lt;&gt;"Sim",G2640&lt;&gt;"Nao",G2640&lt;&gt;""),"PC_PAGO_A_CONTRATADA invalido",IF(AND(C2640&lt;&gt;"C0",IFERROR(INDEX(parametros!$A$2:$A$6,MATCH(C2640,parametros!$B$2:$B$6,0)),"")="Sim",IFERROR(INDEX(parametros!$H$2:$H$6,MATCH(C2640,parametros!$B$2:$B$6,0)),"")=""),"INICIO_EFEITO ausente: PC "&amp;A2640&amp;" - "&amp;C2640,IF(L2640="","EFEITO_PC nao calculado: PC "&amp;A2640&amp;" - "&amp;C2640,"OK")))))))))</f>
        <v/>
      </c>
      <c r="L2640" s="92" t="str">
        <f>IF(AND(A2640="",B2640="",D2640="",G2640=""),"",IF(OR(B2640="",NOT(ISNUMBER(B2640)),C2640="",C2640="Fora dos ciclos"),"",IF(C2640="C0","Nao",IF(IFERROR(INDEX(parametros!$A$2:$A$6,MATCH(C2640,parametros!$B$2:$B$6,0)),"")&lt;&gt;"Sim","Nao",IF(IFERROR(INDEX(parametros!$H$2:$H$6,MATCH(C2640,parametros!$B$2:$B$6,0)),"")="","",IF(B2640&gt;=IFERROR(INDEX(parametros!$H$2:$H$6,MATCH(C2640,parametros!$B$2:$B$6,0)),""),"Sim","Nao"))))))</f>
        <v/>
      </c>
      <c r="T2640" s="156"/>
      <c r="U2640" s="214" t="str">
        <f t="shared" si="211"/>
        <v/>
      </c>
      <c r="V2640" s="212" t="s">
        <v>50</v>
      </c>
      <c r="W2640" s="100" t="s">
        <v>168</v>
      </c>
      <c r="X2640" s="100" t="s">
        <v>169</v>
      </c>
      <c r="Y2640" s="101" t="s">
        <v>170</v>
      </c>
      <c r="Z2640" s="101" t="s">
        <v>171</v>
      </c>
      <c r="AA2640" s="101" t="s">
        <v>50</v>
      </c>
      <c r="AB2640" s="101" t="s">
        <v>172</v>
      </c>
      <c r="AC2640" s="102" t="s">
        <v>173</v>
      </c>
    </row>
    <row r="2641" spans="1:29" ht="25.5" customHeight="1" x14ac:dyDescent="0.35">
      <c r="A2641" s="392"/>
      <c r="B2641" s="393"/>
      <c r="C2641" s="99" t="str">
        <f>IF(B2641="","",IF(NOT(ISNUMBER(B2641)),"DATA_PC invalida",IF(NOT(ISNUMBER(parametros!$C$2)),"Fora dos ciclos",IF(OR(B2641&lt;parametros!$C$2,(YEAR(B2641)-YEAR(parametros!$C$2))*12+MONTH(B2641)-MONTH(parametros!$C$2)&gt;59),"Fora dos ciclos","C"&amp;INT(((YEAR(B2641)-YEAR(parametros!$C$2))*12+MONTH(B2641)-MONTH(parametros!$C$2))/12)))))</f>
        <v/>
      </c>
      <c r="D2641" s="394"/>
      <c r="E2641" s="78" t="str">
        <f>IF(C2641="","",IFERROR(VLOOKUP(C2641,parametros!$A$11:$E$15,5,0),""))</f>
        <v/>
      </c>
      <c r="F2641" s="79" t="str">
        <f t="shared" si="207"/>
        <v/>
      </c>
      <c r="G2641" s="395"/>
      <c r="H2641" s="91">
        <f t="shared" si="208"/>
        <v>0</v>
      </c>
      <c r="I2641" s="91" t="str">
        <f t="shared" si="209"/>
        <v/>
      </c>
      <c r="J2641" s="91" t="str">
        <f t="shared" si="210"/>
        <v/>
      </c>
      <c r="K2641" s="92" t="str">
        <f>IF(AND(A2641="",B2641="",D2641="",G2641=""),"",IF(AND(A2641&lt;&gt;"",COUNTIF($A$2:$A$5001,A2641)&gt;1),"NUMERO_PC duplicado",IF(B2641="","DATA_PC vazia",IF(NOT(ISNUMBER(B2641)),"DATA_PC invalida",IF(OR(C2641="",C2641="Fora dos ciclos"),"CICLO_PC nao identificado",IF(OR(D2641="",D2641=0),"VALOR_PC vazio ou zero",IF(AND(G2641&lt;&gt;"Sim",G2641&lt;&gt;"Nao",G2641&lt;&gt;""),"PC_PAGO_A_CONTRATADA invalido",IF(AND(C2641&lt;&gt;"C0",IFERROR(INDEX(parametros!$A$2:$A$6,MATCH(C2641,parametros!$B$2:$B$6,0)),"")="Sim",IFERROR(INDEX(parametros!$H$2:$H$6,MATCH(C2641,parametros!$B$2:$B$6,0)),"")=""),"INICIO_EFEITO ausente: PC "&amp;A2641&amp;" - "&amp;C2641,IF(L2641="","EFEITO_PC nao calculado: PC "&amp;A2641&amp;" - "&amp;C2641,"OK")))))))))</f>
        <v/>
      </c>
      <c r="L2641" s="92" t="str">
        <f>IF(AND(A2641="",B2641="",D2641="",G2641=""),"",IF(OR(B2641="",NOT(ISNUMBER(B2641)),C2641="",C2641="Fora dos ciclos"),"",IF(C2641="C0","Nao",IF(IFERROR(INDEX(parametros!$A$2:$A$6,MATCH(C2641,parametros!$B$2:$B$6,0)),"")&lt;&gt;"Sim","Nao",IF(IFERROR(INDEX(parametros!$H$2:$H$6,MATCH(C2641,parametros!$B$2:$B$6,0)),"")="","",IF(B2641&gt;=IFERROR(INDEX(parametros!$H$2:$H$6,MATCH(C2641,parametros!$B$2:$B$6,0)),""),"Sim","Nao"))))))</f>
        <v/>
      </c>
      <c r="T2641" s="156"/>
      <c r="U2641" s="214" t="str">
        <f t="shared" si="211"/>
        <v/>
      </c>
      <c r="V2641" s="212" t="s">
        <v>50</v>
      </c>
      <c r="W2641" s="100" t="s">
        <v>168</v>
      </c>
      <c r="X2641" s="100" t="s">
        <v>169</v>
      </c>
      <c r="Y2641" s="101" t="s">
        <v>170</v>
      </c>
      <c r="Z2641" s="101" t="s">
        <v>171</v>
      </c>
      <c r="AA2641" s="101" t="s">
        <v>50</v>
      </c>
      <c r="AB2641" s="101" t="s">
        <v>172</v>
      </c>
      <c r="AC2641" s="102" t="s">
        <v>173</v>
      </c>
    </row>
    <row r="2642" spans="1:29" ht="25.5" customHeight="1" x14ac:dyDescent="0.35">
      <c r="A2642" s="392"/>
      <c r="B2642" s="393"/>
      <c r="C2642" s="99" t="str">
        <f>IF(B2642="","",IF(NOT(ISNUMBER(B2642)),"DATA_PC invalida",IF(NOT(ISNUMBER(parametros!$C$2)),"Fora dos ciclos",IF(OR(B2642&lt;parametros!$C$2,(YEAR(B2642)-YEAR(parametros!$C$2))*12+MONTH(B2642)-MONTH(parametros!$C$2)&gt;59),"Fora dos ciclos","C"&amp;INT(((YEAR(B2642)-YEAR(parametros!$C$2))*12+MONTH(B2642)-MONTH(parametros!$C$2))/12)))))</f>
        <v/>
      </c>
      <c r="D2642" s="394"/>
      <c r="E2642" s="78" t="str">
        <f>IF(C2642="","",IFERROR(VLOOKUP(C2642,parametros!$A$11:$E$15,5,0),""))</f>
        <v/>
      </c>
      <c r="F2642" s="79" t="str">
        <f t="shared" si="207"/>
        <v/>
      </c>
      <c r="G2642" s="395"/>
      <c r="H2642" s="91">
        <f t="shared" si="208"/>
        <v>0</v>
      </c>
      <c r="I2642" s="91" t="str">
        <f t="shared" si="209"/>
        <v/>
      </c>
      <c r="J2642" s="91" t="str">
        <f t="shared" si="210"/>
        <v/>
      </c>
      <c r="K2642" s="92" t="str">
        <f>IF(AND(A2642="",B2642="",D2642="",G2642=""),"",IF(AND(A2642&lt;&gt;"",COUNTIF($A$2:$A$5001,A2642)&gt;1),"NUMERO_PC duplicado",IF(B2642="","DATA_PC vazia",IF(NOT(ISNUMBER(B2642)),"DATA_PC invalida",IF(OR(C2642="",C2642="Fora dos ciclos"),"CICLO_PC nao identificado",IF(OR(D2642="",D2642=0),"VALOR_PC vazio ou zero",IF(AND(G2642&lt;&gt;"Sim",G2642&lt;&gt;"Nao",G2642&lt;&gt;""),"PC_PAGO_A_CONTRATADA invalido",IF(AND(C2642&lt;&gt;"C0",IFERROR(INDEX(parametros!$A$2:$A$6,MATCH(C2642,parametros!$B$2:$B$6,0)),"")="Sim",IFERROR(INDEX(parametros!$H$2:$H$6,MATCH(C2642,parametros!$B$2:$B$6,0)),"")=""),"INICIO_EFEITO ausente: PC "&amp;A2642&amp;" - "&amp;C2642,IF(L2642="","EFEITO_PC nao calculado: PC "&amp;A2642&amp;" - "&amp;C2642,"OK")))))))))</f>
        <v/>
      </c>
      <c r="L2642" s="92" t="str">
        <f>IF(AND(A2642="",B2642="",D2642="",G2642=""),"",IF(OR(B2642="",NOT(ISNUMBER(B2642)),C2642="",C2642="Fora dos ciclos"),"",IF(C2642="C0","Nao",IF(IFERROR(INDEX(parametros!$A$2:$A$6,MATCH(C2642,parametros!$B$2:$B$6,0)),"")&lt;&gt;"Sim","Nao",IF(IFERROR(INDEX(parametros!$H$2:$H$6,MATCH(C2642,parametros!$B$2:$B$6,0)),"")="","",IF(B2642&gt;=IFERROR(INDEX(parametros!$H$2:$H$6,MATCH(C2642,parametros!$B$2:$B$6,0)),""),"Sim","Nao"))))))</f>
        <v/>
      </c>
      <c r="T2642" s="156"/>
      <c r="U2642" s="214" t="str">
        <f t="shared" si="211"/>
        <v/>
      </c>
      <c r="V2642" s="212" t="s">
        <v>50</v>
      </c>
      <c r="W2642" s="100" t="s">
        <v>168</v>
      </c>
      <c r="X2642" s="100" t="s">
        <v>169</v>
      </c>
      <c r="Y2642" s="101" t="s">
        <v>170</v>
      </c>
      <c r="Z2642" s="101" t="s">
        <v>171</v>
      </c>
      <c r="AA2642" s="101" t="s">
        <v>50</v>
      </c>
      <c r="AB2642" s="101" t="s">
        <v>172</v>
      </c>
      <c r="AC2642" s="102" t="s">
        <v>173</v>
      </c>
    </row>
    <row r="2643" spans="1:29" ht="25.5" customHeight="1" x14ac:dyDescent="0.35">
      <c r="A2643" s="392"/>
      <c r="B2643" s="393"/>
      <c r="C2643" s="99" t="str">
        <f>IF(B2643="","",IF(NOT(ISNUMBER(B2643)),"DATA_PC invalida",IF(NOT(ISNUMBER(parametros!$C$2)),"Fora dos ciclos",IF(OR(B2643&lt;parametros!$C$2,(YEAR(B2643)-YEAR(parametros!$C$2))*12+MONTH(B2643)-MONTH(parametros!$C$2)&gt;59),"Fora dos ciclos","C"&amp;INT(((YEAR(B2643)-YEAR(parametros!$C$2))*12+MONTH(B2643)-MONTH(parametros!$C$2))/12)))))</f>
        <v/>
      </c>
      <c r="D2643" s="394"/>
      <c r="E2643" s="78" t="str">
        <f>IF(C2643="","",IFERROR(VLOOKUP(C2643,parametros!$A$11:$E$15,5,0),""))</f>
        <v/>
      </c>
      <c r="F2643" s="79" t="str">
        <f t="shared" si="207"/>
        <v/>
      </c>
      <c r="G2643" s="395"/>
      <c r="H2643" s="91">
        <f t="shared" si="208"/>
        <v>0</v>
      </c>
      <c r="I2643" s="91" t="str">
        <f t="shared" si="209"/>
        <v/>
      </c>
      <c r="J2643" s="91" t="str">
        <f t="shared" si="210"/>
        <v/>
      </c>
      <c r="K2643" s="92" t="str">
        <f>IF(AND(A2643="",B2643="",D2643="",G2643=""),"",IF(AND(A2643&lt;&gt;"",COUNTIF($A$2:$A$5001,A2643)&gt;1),"NUMERO_PC duplicado",IF(B2643="","DATA_PC vazia",IF(NOT(ISNUMBER(B2643)),"DATA_PC invalida",IF(OR(C2643="",C2643="Fora dos ciclos"),"CICLO_PC nao identificado",IF(OR(D2643="",D2643=0),"VALOR_PC vazio ou zero",IF(AND(G2643&lt;&gt;"Sim",G2643&lt;&gt;"Nao",G2643&lt;&gt;""),"PC_PAGO_A_CONTRATADA invalido",IF(AND(C2643&lt;&gt;"C0",IFERROR(INDEX(parametros!$A$2:$A$6,MATCH(C2643,parametros!$B$2:$B$6,0)),"")="Sim",IFERROR(INDEX(parametros!$H$2:$H$6,MATCH(C2643,parametros!$B$2:$B$6,0)),"")=""),"INICIO_EFEITO ausente: PC "&amp;A2643&amp;" - "&amp;C2643,IF(L2643="","EFEITO_PC nao calculado: PC "&amp;A2643&amp;" - "&amp;C2643,"OK")))))))))</f>
        <v/>
      </c>
      <c r="L2643" s="92" t="str">
        <f>IF(AND(A2643="",B2643="",D2643="",G2643=""),"",IF(OR(B2643="",NOT(ISNUMBER(B2643)),C2643="",C2643="Fora dos ciclos"),"",IF(C2643="C0","Nao",IF(IFERROR(INDEX(parametros!$A$2:$A$6,MATCH(C2643,parametros!$B$2:$B$6,0)),"")&lt;&gt;"Sim","Nao",IF(IFERROR(INDEX(parametros!$H$2:$H$6,MATCH(C2643,parametros!$B$2:$B$6,0)),"")="","",IF(B2643&gt;=IFERROR(INDEX(parametros!$H$2:$H$6,MATCH(C2643,parametros!$B$2:$B$6,0)),""),"Sim","Nao"))))))</f>
        <v/>
      </c>
      <c r="T2643" s="156"/>
      <c r="U2643" s="214" t="str">
        <f t="shared" si="211"/>
        <v/>
      </c>
      <c r="V2643" s="212" t="s">
        <v>50</v>
      </c>
      <c r="W2643" s="100" t="s">
        <v>168</v>
      </c>
      <c r="X2643" s="100" t="s">
        <v>169</v>
      </c>
      <c r="Y2643" s="101" t="s">
        <v>170</v>
      </c>
      <c r="Z2643" s="101" t="s">
        <v>171</v>
      </c>
      <c r="AA2643" s="101" t="s">
        <v>50</v>
      </c>
      <c r="AB2643" s="101" t="s">
        <v>172</v>
      </c>
      <c r="AC2643" s="102" t="s">
        <v>173</v>
      </c>
    </row>
    <row r="2644" spans="1:29" ht="25.5" customHeight="1" x14ac:dyDescent="0.35">
      <c r="A2644" s="392"/>
      <c r="B2644" s="393"/>
      <c r="C2644" s="99" t="str">
        <f>IF(B2644="","",IF(NOT(ISNUMBER(B2644)),"DATA_PC invalida",IF(NOT(ISNUMBER(parametros!$C$2)),"Fora dos ciclos",IF(OR(B2644&lt;parametros!$C$2,(YEAR(B2644)-YEAR(parametros!$C$2))*12+MONTH(B2644)-MONTH(parametros!$C$2)&gt;59),"Fora dos ciclos","C"&amp;INT(((YEAR(B2644)-YEAR(parametros!$C$2))*12+MONTH(B2644)-MONTH(parametros!$C$2))/12)))))</f>
        <v/>
      </c>
      <c r="D2644" s="394"/>
      <c r="E2644" s="78" t="str">
        <f>IF(C2644="","",IFERROR(VLOOKUP(C2644,parametros!$A$11:$E$15,5,0),""))</f>
        <v/>
      </c>
      <c r="F2644" s="79" t="str">
        <f t="shared" si="207"/>
        <v/>
      </c>
      <c r="G2644" s="395"/>
      <c r="H2644" s="91">
        <f t="shared" si="208"/>
        <v>0</v>
      </c>
      <c r="I2644" s="91" t="str">
        <f t="shared" si="209"/>
        <v/>
      </c>
      <c r="J2644" s="91" t="str">
        <f t="shared" si="210"/>
        <v/>
      </c>
      <c r="K2644" s="92" t="str">
        <f>IF(AND(A2644="",B2644="",D2644="",G2644=""),"",IF(AND(A2644&lt;&gt;"",COUNTIF($A$2:$A$5001,A2644)&gt;1),"NUMERO_PC duplicado",IF(B2644="","DATA_PC vazia",IF(NOT(ISNUMBER(B2644)),"DATA_PC invalida",IF(OR(C2644="",C2644="Fora dos ciclos"),"CICLO_PC nao identificado",IF(OR(D2644="",D2644=0),"VALOR_PC vazio ou zero",IF(AND(G2644&lt;&gt;"Sim",G2644&lt;&gt;"Nao",G2644&lt;&gt;""),"PC_PAGO_A_CONTRATADA invalido",IF(AND(C2644&lt;&gt;"C0",IFERROR(INDEX(parametros!$A$2:$A$6,MATCH(C2644,parametros!$B$2:$B$6,0)),"")="Sim",IFERROR(INDEX(parametros!$H$2:$H$6,MATCH(C2644,parametros!$B$2:$B$6,0)),"")=""),"INICIO_EFEITO ausente: PC "&amp;A2644&amp;" - "&amp;C2644,IF(L2644="","EFEITO_PC nao calculado: PC "&amp;A2644&amp;" - "&amp;C2644,"OK")))))))))</f>
        <v/>
      </c>
      <c r="L2644" s="92" t="str">
        <f>IF(AND(A2644="",B2644="",D2644="",G2644=""),"",IF(OR(B2644="",NOT(ISNUMBER(B2644)),C2644="",C2644="Fora dos ciclos"),"",IF(C2644="C0","Nao",IF(IFERROR(INDEX(parametros!$A$2:$A$6,MATCH(C2644,parametros!$B$2:$B$6,0)),"")&lt;&gt;"Sim","Nao",IF(IFERROR(INDEX(parametros!$H$2:$H$6,MATCH(C2644,parametros!$B$2:$B$6,0)),"")="","",IF(B2644&gt;=IFERROR(INDEX(parametros!$H$2:$H$6,MATCH(C2644,parametros!$B$2:$B$6,0)),""),"Sim","Nao"))))))</f>
        <v/>
      </c>
      <c r="T2644" s="156"/>
      <c r="U2644" s="214" t="str">
        <f t="shared" si="211"/>
        <v/>
      </c>
      <c r="V2644" s="212" t="s">
        <v>50</v>
      </c>
      <c r="W2644" s="100" t="s">
        <v>168</v>
      </c>
      <c r="X2644" s="100" t="s">
        <v>169</v>
      </c>
      <c r="Y2644" s="101" t="s">
        <v>170</v>
      </c>
      <c r="Z2644" s="101" t="s">
        <v>171</v>
      </c>
      <c r="AA2644" s="101" t="s">
        <v>50</v>
      </c>
      <c r="AB2644" s="101" t="s">
        <v>172</v>
      </c>
      <c r="AC2644" s="102" t="s">
        <v>173</v>
      </c>
    </row>
    <row r="2645" spans="1:29" ht="25.5" customHeight="1" x14ac:dyDescent="0.35">
      <c r="A2645" s="392"/>
      <c r="B2645" s="393"/>
      <c r="C2645" s="99" t="str">
        <f>IF(B2645="","",IF(NOT(ISNUMBER(B2645)),"DATA_PC invalida",IF(NOT(ISNUMBER(parametros!$C$2)),"Fora dos ciclos",IF(OR(B2645&lt;parametros!$C$2,(YEAR(B2645)-YEAR(parametros!$C$2))*12+MONTH(B2645)-MONTH(parametros!$C$2)&gt;59),"Fora dos ciclos","C"&amp;INT(((YEAR(B2645)-YEAR(parametros!$C$2))*12+MONTH(B2645)-MONTH(parametros!$C$2))/12)))))</f>
        <v/>
      </c>
      <c r="D2645" s="394"/>
      <c r="E2645" s="78" t="str">
        <f>IF(C2645="","",IFERROR(VLOOKUP(C2645,parametros!$A$11:$E$15,5,0),""))</f>
        <v/>
      </c>
      <c r="F2645" s="79" t="str">
        <f t="shared" si="207"/>
        <v/>
      </c>
      <c r="G2645" s="395"/>
      <c r="H2645" s="91">
        <f t="shared" si="208"/>
        <v>0</v>
      </c>
      <c r="I2645" s="91" t="str">
        <f t="shared" si="209"/>
        <v/>
      </c>
      <c r="J2645" s="91" t="str">
        <f t="shared" si="210"/>
        <v/>
      </c>
      <c r="K2645" s="92" t="str">
        <f>IF(AND(A2645="",B2645="",D2645="",G2645=""),"",IF(AND(A2645&lt;&gt;"",COUNTIF($A$2:$A$5001,A2645)&gt;1),"NUMERO_PC duplicado",IF(B2645="","DATA_PC vazia",IF(NOT(ISNUMBER(B2645)),"DATA_PC invalida",IF(OR(C2645="",C2645="Fora dos ciclos"),"CICLO_PC nao identificado",IF(OR(D2645="",D2645=0),"VALOR_PC vazio ou zero",IF(AND(G2645&lt;&gt;"Sim",G2645&lt;&gt;"Nao",G2645&lt;&gt;""),"PC_PAGO_A_CONTRATADA invalido",IF(AND(C2645&lt;&gt;"C0",IFERROR(INDEX(parametros!$A$2:$A$6,MATCH(C2645,parametros!$B$2:$B$6,0)),"")="Sim",IFERROR(INDEX(parametros!$H$2:$H$6,MATCH(C2645,parametros!$B$2:$B$6,0)),"")=""),"INICIO_EFEITO ausente: PC "&amp;A2645&amp;" - "&amp;C2645,IF(L2645="","EFEITO_PC nao calculado: PC "&amp;A2645&amp;" - "&amp;C2645,"OK")))))))))</f>
        <v/>
      </c>
      <c r="L2645" s="92" t="str">
        <f>IF(AND(A2645="",B2645="",D2645="",G2645=""),"",IF(OR(B2645="",NOT(ISNUMBER(B2645)),C2645="",C2645="Fora dos ciclos"),"",IF(C2645="C0","Nao",IF(IFERROR(INDEX(parametros!$A$2:$A$6,MATCH(C2645,parametros!$B$2:$B$6,0)),"")&lt;&gt;"Sim","Nao",IF(IFERROR(INDEX(parametros!$H$2:$H$6,MATCH(C2645,parametros!$B$2:$B$6,0)),"")="","",IF(B2645&gt;=IFERROR(INDEX(parametros!$H$2:$H$6,MATCH(C2645,parametros!$B$2:$B$6,0)),""),"Sim","Nao"))))))</f>
        <v/>
      </c>
      <c r="T2645" s="156"/>
      <c r="U2645" s="214" t="str">
        <f t="shared" si="211"/>
        <v/>
      </c>
      <c r="V2645" s="212" t="s">
        <v>50</v>
      </c>
      <c r="W2645" s="100" t="s">
        <v>168</v>
      </c>
      <c r="X2645" s="100" t="s">
        <v>169</v>
      </c>
      <c r="Y2645" s="101" t="s">
        <v>170</v>
      </c>
      <c r="Z2645" s="101" t="s">
        <v>171</v>
      </c>
      <c r="AA2645" s="101" t="s">
        <v>50</v>
      </c>
      <c r="AB2645" s="101" t="s">
        <v>172</v>
      </c>
      <c r="AC2645" s="102" t="s">
        <v>173</v>
      </c>
    </row>
    <row r="2646" spans="1:29" ht="25.5" customHeight="1" x14ac:dyDescent="0.35">
      <c r="A2646" s="392"/>
      <c r="B2646" s="393"/>
      <c r="C2646" s="99" t="str">
        <f>IF(B2646="","",IF(NOT(ISNUMBER(B2646)),"DATA_PC invalida",IF(NOT(ISNUMBER(parametros!$C$2)),"Fora dos ciclos",IF(OR(B2646&lt;parametros!$C$2,(YEAR(B2646)-YEAR(parametros!$C$2))*12+MONTH(B2646)-MONTH(parametros!$C$2)&gt;59),"Fora dos ciclos","C"&amp;INT(((YEAR(B2646)-YEAR(parametros!$C$2))*12+MONTH(B2646)-MONTH(parametros!$C$2))/12)))))</f>
        <v/>
      </c>
      <c r="D2646" s="394"/>
      <c r="E2646" s="78" t="str">
        <f>IF(C2646="","",IFERROR(VLOOKUP(C2646,parametros!$A$11:$E$15,5,0),""))</f>
        <v/>
      </c>
      <c r="F2646" s="79" t="str">
        <f t="shared" si="207"/>
        <v/>
      </c>
      <c r="G2646" s="395"/>
      <c r="H2646" s="91">
        <f t="shared" si="208"/>
        <v>0</v>
      </c>
      <c r="I2646" s="91" t="str">
        <f t="shared" si="209"/>
        <v/>
      </c>
      <c r="J2646" s="91" t="str">
        <f t="shared" si="210"/>
        <v/>
      </c>
      <c r="K2646" s="92" t="str">
        <f>IF(AND(A2646="",B2646="",D2646="",G2646=""),"",IF(AND(A2646&lt;&gt;"",COUNTIF($A$2:$A$5001,A2646)&gt;1),"NUMERO_PC duplicado",IF(B2646="","DATA_PC vazia",IF(NOT(ISNUMBER(B2646)),"DATA_PC invalida",IF(OR(C2646="",C2646="Fora dos ciclos"),"CICLO_PC nao identificado",IF(OR(D2646="",D2646=0),"VALOR_PC vazio ou zero",IF(AND(G2646&lt;&gt;"Sim",G2646&lt;&gt;"Nao",G2646&lt;&gt;""),"PC_PAGO_A_CONTRATADA invalido",IF(AND(C2646&lt;&gt;"C0",IFERROR(INDEX(parametros!$A$2:$A$6,MATCH(C2646,parametros!$B$2:$B$6,0)),"")="Sim",IFERROR(INDEX(parametros!$H$2:$H$6,MATCH(C2646,parametros!$B$2:$B$6,0)),"")=""),"INICIO_EFEITO ausente: PC "&amp;A2646&amp;" - "&amp;C2646,IF(L2646="","EFEITO_PC nao calculado: PC "&amp;A2646&amp;" - "&amp;C2646,"OK")))))))))</f>
        <v/>
      </c>
      <c r="L2646" s="92" t="str">
        <f>IF(AND(A2646="",B2646="",D2646="",G2646=""),"",IF(OR(B2646="",NOT(ISNUMBER(B2646)),C2646="",C2646="Fora dos ciclos"),"",IF(C2646="C0","Nao",IF(IFERROR(INDEX(parametros!$A$2:$A$6,MATCH(C2646,parametros!$B$2:$B$6,0)),"")&lt;&gt;"Sim","Nao",IF(IFERROR(INDEX(parametros!$H$2:$H$6,MATCH(C2646,parametros!$B$2:$B$6,0)),"")="","",IF(B2646&gt;=IFERROR(INDEX(parametros!$H$2:$H$6,MATCH(C2646,parametros!$B$2:$B$6,0)),""),"Sim","Nao"))))))</f>
        <v/>
      </c>
      <c r="T2646" s="156"/>
      <c r="U2646" s="214" t="str">
        <f t="shared" si="211"/>
        <v/>
      </c>
      <c r="V2646" s="212" t="s">
        <v>50</v>
      </c>
      <c r="W2646" s="100" t="s">
        <v>168</v>
      </c>
      <c r="X2646" s="100" t="s">
        <v>169</v>
      </c>
      <c r="Y2646" s="101" t="s">
        <v>170</v>
      </c>
      <c r="Z2646" s="101" t="s">
        <v>171</v>
      </c>
      <c r="AA2646" s="101" t="s">
        <v>50</v>
      </c>
      <c r="AB2646" s="101" t="s">
        <v>172</v>
      </c>
      <c r="AC2646" s="102" t="s">
        <v>173</v>
      </c>
    </row>
    <row r="2647" spans="1:29" ht="25.5" customHeight="1" x14ac:dyDescent="0.35">
      <c r="A2647" s="392"/>
      <c r="B2647" s="393"/>
      <c r="C2647" s="99" t="str">
        <f>IF(B2647="","",IF(NOT(ISNUMBER(B2647)),"DATA_PC invalida",IF(NOT(ISNUMBER(parametros!$C$2)),"Fora dos ciclos",IF(OR(B2647&lt;parametros!$C$2,(YEAR(B2647)-YEAR(parametros!$C$2))*12+MONTH(B2647)-MONTH(parametros!$C$2)&gt;59),"Fora dos ciclos","C"&amp;INT(((YEAR(B2647)-YEAR(parametros!$C$2))*12+MONTH(B2647)-MONTH(parametros!$C$2))/12)))))</f>
        <v/>
      </c>
      <c r="D2647" s="394"/>
      <c r="E2647" s="78" t="str">
        <f>IF(C2647="","",IFERROR(VLOOKUP(C2647,parametros!$A$11:$E$15,5,0),""))</f>
        <v/>
      </c>
      <c r="F2647" s="79" t="str">
        <f t="shared" si="207"/>
        <v/>
      </c>
      <c r="G2647" s="395"/>
      <c r="H2647" s="91">
        <f t="shared" si="208"/>
        <v>0</v>
      </c>
      <c r="I2647" s="91" t="str">
        <f t="shared" si="209"/>
        <v/>
      </c>
      <c r="J2647" s="91" t="str">
        <f t="shared" si="210"/>
        <v/>
      </c>
      <c r="K2647" s="92" t="str">
        <f>IF(AND(A2647="",B2647="",D2647="",G2647=""),"",IF(AND(A2647&lt;&gt;"",COUNTIF($A$2:$A$5001,A2647)&gt;1),"NUMERO_PC duplicado",IF(B2647="","DATA_PC vazia",IF(NOT(ISNUMBER(B2647)),"DATA_PC invalida",IF(OR(C2647="",C2647="Fora dos ciclos"),"CICLO_PC nao identificado",IF(OR(D2647="",D2647=0),"VALOR_PC vazio ou zero",IF(AND(G2647&lt;&gt;"Sim",G2647&lt;&gt;"Nao",G2647&lt;&gt;""),"PC_PAGO_A_CONTRATADA invalido",IF(AND(C2647&lt;&gt;"C0",IFERROR(INDEX(parametros!$A$2:$A$6,MATCH(C2647,parametros!$B$2:$B$6,0)),"")="Sim",IFERROR(INDEX(parametros!$H$2:$H$6,MATCH(C2647,parametros!$B$2:$B$6,0)),"")=""),"INICIO_EFEITO ausente: PC "&amp;A2647&amp;" - "&amp;C2647,IF(L2647="","EFEITO_PC nao calculado: PC "&amp;A2647&amp;" - "&amp;C2647,"OK")))))))))</f>
        <v/>
      </c>
      <c r="L2647" s="92" t="str">
        <f>IF(AND(A2647="",B2647="",D2647="",G2647=""),"",IF(OR(B2647="",NOT(ISNUMBER(B2647)),C2647="",C2647="Fora dos ciclos"),"",IF(C2647="C0","Nao",IF(IFERROR(INDEX(parametros!$A$2:$A$6,MATCH(C2647,parametros!$B$2:$B$6,0)),"")&lt;&gt;"Sim","Nao",IF(IFERROR(INDEX(parametros!$H$2:$H$6,MATCH(C2647,parametros!$B$2:$B$6,0)),"")="","",IF(B2647&gt;=IFERROR(INDEX(parametros!$H$2:$H$6,MATCH(C2647,parametros!$B$2:$B$6,0)),""),"Sim","Nao"))))))</f>
        <v/>
      </c>
      <c r="T2647" s="156"/>
      <c r="U2647" s="214" t="str">
        <f t="shared" si="211"/>
        <v/>
      </c>
      <c r="V2647" s="212" t="s">
        <v>50</v>
      </c>
      <c r="W2647" s="100" t="s">
        <v>168</v>
      </c>
      <c r="X2647" s="100" t="s">
        <v>169</v>
      </c>
      <c r="Y2647" s="101" t="s">
        <v>170</v>
      </c>
      <c r="Z2647" s="101" t="s">
        <v>171</v>
      </c>
      <c r="AA2647" s="101" t="s">
        <v>50</v>
      </c>
      <c r="AB2647" s="101" t="s">
        <v>172</v>
      </c>
      <c r="AC2647" s="102" t="s">
        <v>173</v>
      </c>
    </row>
    <row r="2648" spans="1:29" ht="25.5" customHeight="1" x14ac:dyDescent="0.35">
      <c r="A2648" s="392"/>
      <c r="B2648" s="393"/>
      <c r="C2648" s="99" t="str">
        <f>IF(B2648="","",IF(NOT(ISNUMBER(B2648)),"DATA_PC invalida",IF(NOT(ISNUMBER(parametros!$C$2)),"Fora dos ciclos",IF(OR(B2648&lt;parametros!$C$2,(YEAR(B2648)-YEAR(parametros!$C$2))*12+MONTH(B2648)-MONTH(parametros!$C$2)&gt;59),"Fora dos ciclos","C"&amp;INT(((YEAR(B2648)-YEAR(parametros!$C$2))*12+MONTH(B2648)-MONTH(parametros!$C$2))/12)))))</f>
        <v/>
      </c>
      <c r="D2648" s="394"/>
      <c r="E2648" s="78" t="str">
        <f>IF(C2648="","",IFERROR(VLOOKUP(C2648,parametros!$A$11:$E$15,5,0),""))</f>
        <v/>
      </c>
      <c r="F2648" s="79" t="str">
        <f t="shared" si="207"/>
        <v/>
      </c>
      <c r="G2648" s="395"/>
      <c r="H2648" s="91">
        <f t="shared" si="208"/>
        <v>0</v>
      </c>
      <c r="I2648" s="91" t="str">
        <f t="shared" si="209"/>
        <v/>
      </c>
      <c r="J2648" s="91" t="str">
        <f t="shared" si="210"/>
        <v/>
      </c>
      <c r="K2648" s="92" t="str">
        <f>IF(AND(A2648="",B2648="",D2648="",G2648=""),"",IF(AND(A2648&lt;&gt;"",COUNTIF($A$2:$A$5001,A2648)&gt;1),"NUMERO_PC duplicado",IF(B2648="","DATA_PC vazia",IF(NOT(ISNUMBER(B2648)),"DATA_PC invalida",IF(OR(C2648="",C2648="Fora dos ciclos"),"CICLO_PC nao identificado",IF(OR(D2648="",D2648=0),"VALOR_PC vazio ou zero",IF(AND(G2648&lt;&gt;"Sim",G2648&lt;&gt;"Nao",G2648&lt;&gt;""),"PC_PAGO_A_CONTRATADA invalido",IF(AND(C2648&lt;&gt;"C0",IFERROR(INDEX(parametros!$A$2:$A$6,MATCH(C2648,parametros!$B$2:$B$6,0)),"")="Sim",IFERROR(INDEX(parametros!$H$2:$H$6,MATCH(C2648,parametros!$B$2:$B$6,0)),"")=""),"INICIO_EFEITO ausente: PC "&amp;A2648&amp;" - "&amp;C2648,IF(L2648="","EFEITO_PC nao calculado: PC "&amp;A2648&amp;" - "&amp;C2648,"OK")))))))))</f>
        <v/>
      </c>
      <c r="L2648" s="92" t="str">
        <f>IF(AND(A2648="",B2648="",D2648="",G2648=""),"",IF(OR(B2648="",NOT(ISNUMBER(B2648)),C2648="",C2648="Fora dos ciclos"),"",IF(C2648="C0","Nao",IF(IFERROR(INDEX(parametros!$A$2:$A$6,MATCH(C2648,parametros!$B$2:$B$6,0)),"")&lt;&gt;"Sim","Nao",IF(IFERROR(INDEX(parametros!$H$2:$H$6,MATCH(C2648,parametros!$B$2:$B$6,0)),"")="","",IF(B2648&gt;=IFERROR(INDEX(parametros!$H$2:$H$6,MATCH(C2648,parametros!$B$2:$B$6,0)),""),"Sim","Nao"))))))</f>
        <v/>
      </c>
      <c r="T2648" s="156"/>
      <c r="U2648" s="214" t="str">
        <f t="shared" si="211"/>
        <v/>
      </c>
      <c r="V2648" s="212" t="s">
        <v>50</v>
      </c>
      <c r="W2648" s="100" t="s">
        <v>168</v>
      </c>
      <c r="X2648" s="100" t="s">
        <v>169</v>
      </c>
      <c r="Y2648" s="101" t="s">
        <v>170</v>
      </c>
      <c r="Z2648" s="101" t="s">
        <v>171</v>
      </c>
      <c r="AA2648" s="101" t="s">
        <v>50</v>
      </c>
      <c r="AB2648" s="101" t="s">
        <v>172</v>
      </c>
      <c r="AC2648" s="102" t="s">
        <v>173</v>
      </c>
    </row>
    <row r="2649" spans="1:29" ht="25.5" customHeight="1" x14ac:dyDescent="0.35">
      <c r="A2649" s="392"/>
      <c r="B2649" s="393"/>
      <c r="C2649" s="99" t="str">
        <f>IF(B2649="","",IF(NOT(ISNUMBER(B2649)),"DATA_PC invalida",IF(NOT(ISNUMBER(parametros!$C$2)),"Fora dos ciclos",IF(OR(B2649&lt;parametros!$C$2,(YEAR(B2649)-YEAR(parametros!$C$2))*12+MONTH(B2649)-MONTH(parametros!$C$2)&gt;59),"Fora dos ciclos","C"&amp;INT(((YEAR(B2649)-YEAR(parametros!$C$2))*12+MONTH(B2649)-MONTH(parametros!$C$2))/12)))))</f>
        <v/>
      </c>
      <c r="D2649" s="394"/>
      <c r="E2649" s="78" t="str">
        <f>IF(C2649="","",IFERROR(VLOOKUP(C2649,parametros!$A$11:$E$15,5,0),""))</f>
        <v/>
      </c>
      <c r="F2649" s="79" t="str">
        <f t="shared" si="207"/>
        <v/>
      </c>
      <c r="G2649" s="395"/>
      <c r="H2649" s="91">
        <f t="shared" si="208"/>
        <v>0</v>
      </c>
      <c r="I2649" s="91" t="str">
        <f t="shared" si="209"/>
        <v/>
      </c>
      <c r="J2649" s="91" t="str">
        <f t="shared" si="210"/>
        <v/>
      </c>
      <c r="K2649" s="92" t="str">
        <f>IF(AND(A2649="",B2649="",D2649="",G2649=""),"",IF(AND(A2649&lt;&gt;"",COUNTIF($A$2:$A$5001,A2649)&gt;1),"NUMERO_PC duplicado",IF(B2649="","DATA_PC vazia",IF(NOT(ISNUMBER(B2649)),"DATA_PC invalida",IF(OR(C2649="",C2649="Fora dos ciclos"),"CICLO_PC nao identificado",IF(OR(D2649="",D2649=0),"VALOR_PC vazio ou zero",IF(AND(G2649&lt;&gt;"Sim",G2649&lt;&gt;"Nao",G2649&lt;&gt;""),"PC_PAGO_A_CONTRATADA invalido",IF(AND(C2649&lt;&gt;"C0",IFERROR(INDEX(parametros!$A$2:$A$6,MATCH(C2649,parametros!$B$2:$B$6,0)),"")="Sim",IFERROR(INDEX(parametros!$H$2:$H$6,MATCH(C2649,parametros!$B$2:$B$6,0)),"")=""),"INICIO_EFEITO ausente: PC "&amp;A2649&amp;" - "&amp;C2649,IF(L2649="","EFEITO_PC nao calculado: PC "&amp;A2649&amp;" - "&amp;C2649,"OK")))))))))</f>
        <v/>
      </c>
      <c r="L2649" s="92" t="str">
        <f>IF(AND(A2649="",B2649="",D2649="",G2649=""),"",IF(OR(B2649="",NOT(ISNUMBER(B2649)),C2649="",C2649="Fora dos ciclos"),"",IF(C2649="C0","Nao",IF(IFERROR(INDEX(parametros!$A$2:$A$6,MATCH(C2649,parametros!$B$2:$B$6,0)),"")&lt;&gt;"Sim","Nao",IF(IFERROR(INDEX(parametros!$H$2:$H$6,MATCH(C2649,parametros!$B$2:$B$6,0)),"")="","",IF(B2649&gt;=IFERROR(INDEX(parametros!$H$2:$H$6,MATCH(C2649,parametros!$B$2:$B$6,0)),""),"Sim","Nao"))))))</f>
        <v/>
      </c>
      <c r="T2649" s="156"/>
      <c r="U2649" s="214" t="str">
        <f t="shared" si="211"/>
        <v/>
      </c>
      <c r="V2649" s="212" t="s">
        <v>50</v>
      </c>
      <c r="W2649" s="100" t="s">
        <v>168</v>
      </c>
      <c r="X2649" s="100" t="s">
        <v>169</v>
      </c>
      <c r="Y2649" s="101" t="s">
        <v>170</v>
      </c>
      <c r="Z2649" s="101" t="s">
        <v>171</v>
      </c>
      <c r="AA2649" s="101" t="s">
        <v>50</v>
      </c>
      <c r="AB2649" s="101" t="s">
        <v>172</v>
      </c>
      <c r="AC2649" s="102" t="s">
        <v>173</v>
      </c>
    </row>
    <row r="2650" spans="1:29" ht="25.5" customHeight="1" x14ac:dyDescent="0.35">
      <c r="A2650" s="392"/>
      <c r="B2650" s="393"/>
      <c r="C2650" s="99" t="str">
        <f>IF(B2650="","",IF(NOT(ISNUMBER(B2650)),"DATA_PC invalida",IF(NOT(ISNUMBER(parametros!$C$2)),"Fora dos ciclos",IF(OR(B2650&lt;parametros!$C$2,(YEAR(B2650)-YEAR(parametros!$C$2))*12+MONTH(B2650)-MONTH(parametros!$C$2)&gt;59),"Fora dos ciclos","C"&amp;INT(((YEAR(B2650)-YEAR(parametros!$C$2))*12+MONTH(B2650)-MONTH(parametros!$C$2))/12)))))</f>
        <v/>
      </c>
      <c r="D2650" s="394"/>
      <c r="E2650" s="78" t="str">
        <f>IF(C2650="","",IFERROR(VLOOKUP(C2650,parametros!$A$11:$E$15,5,0),""))</f>
        <v/>
      </c>
      <c r="F2650" s="79" t="str">
        <f t="shared" si="207"/>
        <v/>
      </c>
      <c r="G2650" s="395"/>
      <c r="H2650" s="91">
        <f t="shared" si="208"/>
        <v>0</v>
      </c>
      <c r="I2650" s="91" t="str">
        <f t="shared" si="209"/>
        <v/>
      </c>
      <c r="J2650" s="91" t="str">
        <f t="shared" si="210"/>
        <v/>
      </c>
      <c r="K2650" s="92" t="str">
        <f>IF(AND(A2650="",B2650="",D2650="",G2650=""),"",IF(AND(A2650&lt;&gt;"",COUNTIF($A$2:$A$5001,A2650)&gt;1),"NUMERO_PC duplicado",IF(B2650="","DATA_PC vazia",IF(NOT(ISNUMBER(B2650)),"DATA_PC invalida",IF(OR(C2650="",C2650="Fora dos ciclos"),"CICLO_PC nao identificado",IF(OR(D2650="",D2650=0),"VALOR_PC vazio ou zero",IF(AND(G2650&lt;&gt;"Sim",G2650&lt;&gt;"Nao",G2650&lt;&gt;""),"PC_PAGO_A_CONTRATADA invalido",IF(AND(C2650&lt;&gt;"C0",IFERROR(INDEX(parametros!$A$2:$A$6,MATCH(C2650,parametros!$B$2:$B$6,0)),"")="Sim",IFERROR(INDEX(parametros!$H$2:$H$6,MATCH(C2650,parametros!$B$2:$B$6,0)),"")=""),"INICIO_EFEITO ausente: PC "&amp;A2650&amp;" - "&amp;C2650,IF(L2650="","EFEITO_PC nao calculado: PC "&amp;A2650&amp;" - "&amp;C2650,"OK")))))))))</f>
        <v/>
      </c>
      <c r="L2650" s="92" t="str">
        <f>IF(AND(A2650="",B2650="",D2650="",G2650=""),"",IF(OR(B2650="",NOT(ISNUMBER(B2650)),C2650="",C2650="Fora dos ciclos"),"",IF(C2650="C0","Nao",IF(IFERROR(INDEX(parametros!$A$2:$A$6,MATCH(C2650,parametros!$B$2:$B$6,0)),"")&lt;&gt;"Sim","Nao",IF(IFERROR(INDEX(parametros!$H$2:$H$6,MATCH(C2650,parametros!$B$2:$B$6,0)),"")="","",IF(B2650&gt;=IFERROR(INDEX(parametros!$H$2:$H$6,MATCH(C2650,parametros!$B$2:$B$6,0)),""),"Sim","Nao"))))))</f>
        <v/>
      </c>
      <c r="T2650" s="156"/>
      <c r="U2650" s="214" t="str">
        <f t="shared" si="211"/>
        <v/>
      </c>
      <c r="V2650" s="212" t="s">
        <v>50</v>
      </c>
      <c r="W2650" s="100" t="s">
        <v>168</v>
      </c>
      <c r="X2650" s="100" t="s">
        <v>169</v>
      </c>
      <c r="Y2650" s="101" t="s">
        <v>170</v>
      </c>
      <c r="Z2650" s="101" t="s">
        <v>171</v>
      </c>
      <c r="AA2650" s="101" t="s">
        <v>50</v>
      </c>
      <c r="AB2650" s="101" t="s">
        <v>172</v>
      </c>
      <c r="AC2650" s="102" t="s">
        <v>173</v>
      </c>
    </row>
    <row r="2651" spans="1:29" ht="25.5" customHeight="1" x14ac:dyDescent="0.35">
      <c r="A2651" s="392"/>
      <c r="B2651" s="393"/>
      <c r="C2651" s="99" t="str">
        <f>IF(B2651="","",IF(NOT(ISNUMBER(B2651)),"DATA_PC invalida",IF(NOT(ISNUMBER(parametros!$C$2)),"Fora dos ciclos",IF(OR(B2651&lt;parametros!$C$2,(YEAR(B2651)-YEAR(parametros!$C$2))*12+MONTH(B2651)-MONTH(parametros!$C$2)&gt;59),"Fora dos ciclos","C"&amp;INT(((YEAR(B2651)-YEAR(parametros!$C$2))*12+MONTH(B2651)-MONTH(parametros!$C$2))/12)))))</f>
        <v/>
      </c>
      <c r="D2651" s="394"/>
      <c r="E2651" s="78" t="str">
        <f>IF(C2651="","",IFERROR(VLOOKUP(C2651,parametros!$A$11:$E$15,5,0),""))</f>
        <v/>
      </c>
      <c r="F2651" s="79" t="str">
        <f t="shared" si="207"/>
        <v/>
      </c>
      <c r="G2651" s="395"/>
      <c r="H2651" s="91">
        <f t="shared" si="208"/>
        <v>0</v>
      </c>
      <c r="I2651" s="91" t="str">
        <f t="shared" si="209"/>
        <v/>
      </c>
      <c r="J2651" s="91" t="str">
        <f t="shared" si="210"/>
        <v/>
      </c>
      <c r="K2651" s="92" t="str">
        <f>IF(AND(A2651="",B2651="",D2651="",G2651=""),"",IF(AND(A2651&lt;&gt;"",COUNTIF($A$2:$A$5001,A2651)&gt;1),"NUMERO_PC duplicado",IF(B2651="","DATA_PC vazia",IF(NOT(ISNUMBER(B2651)),"DATA_PC invalida",IF(OR(C2651="",C2651="Fora dos ciclos"),"CICLO_PC nao identificado",IF(OR(D2651="",D2651=0),"VALOR_PC vazio ou zero",IF(AND(G2651&lt;&gt;"Sim",G2651&lt;&gt;"Nao",G2651&lt;&gt;""),"PC_PAGO_A_CONTRATADA invalido",IF(AND(C2651&lt;&gt;"C0",IFERROR(INDEX(parametros!$A$2:$A$6,MATCH(C2651,parametros!$B$2:$B$6,0)),"")="Sim",IFERROR(INDEX(parametros!$H$2:$H$6,MATCH(C2651,parametros!$B$2:$B$6,0)),"")=""),"INICIO_EFEITO ausente: PC "&amp;A2651&amp;" - "&amp;C2651,IF(L2651="","EFEITO_PC nao calculado: PC "&amp;A2651&amp;" - "&amp;C2651,"OK")))))))))</f>
        <v/>
      </c>
      <c r="L2651" s="92" t="str">
        <f>IF(AND(A2651="",B2651="",D2651="",G2651=""),"",IF(OR(B2651="",NOT(ISNUMBER(B2651)),C2651="",C2651="Fora dos ciclos"),"",IF(C2651="C0","Nao",IF(IFERROR(INDEX(parametros!$A$2:$A$6,MATCH(C2651,parametros!$B$2:$B$6,0)),"")&lt;&gt;"Sim","Nao",IF(IFERROR(INDEX(parametros!$H$2:$H$6,MATCH(C2651,parametros!$B$2:$B$6,0)),"")="","",IF(B2651&gt;=IFERROR(INDEX(parametros!$H$2:$H$6,MATCH(C2651,parametros!$B$2:$B$6,0)),""),"Sim","Nao"))))))</f>
        <v/>
      </c>
      <c r="T2651" s="156"/>
      <c r="U2651" s="214" t="str">
        <f t="shared" si="211"/>
        <v/>
      </c>
      <c r="V2651" s="212" t="s">
        <v>50</v>
      </c>
      <c r="W2651" s="100" t="s">
        <v>168</v>
      </c>
      <c r="X2651" s="100" t="s">
        <v>169</v>
      </c>
      <c r="Y2651" s="101" t="s">
        <v>170</v>
      </c>
      <c r="Z2651" s="101" t="s">
        <v>171</v>
      </c>
      <c r="AA2651" s="101" t="s">
        <v>50</v>
      </c>
      <c r="AB2651" s="101" t="s">
        <v>172</v>
      </c>
      <c r="AC2651" s="102" t="s">
        <v>173</v>
      </c>
    </row>
    <row r="2652" spans="1:29" ht="25.5" customHeight="1" x14ac:dyDescent="0.35">
      <c r="A2652" s="392"/>
      <c r="B2652" s="393"/>
      <c r="C2652" s="99" t="str">
        <f>IF(B2652="","",IF(NOT(ISNUMBER(B2652)),"DATA_PC invalida",IF(NOT(ISNUMBER(parametros!$C$2)),"Fora dos ciclos",IF(OR(B2652&lt;parametros!$C$2,(YEAR(B2652)-YEAR(parametros!$C$2))*12+MONTH(B2652)-MONTH(parametros!$C$2)&gt;59),"Fora dos ciclos","C"&amp;INT(((YEAR(B2652)-YEAR(parametros!$C$2))*12+MONTH(B2652)-MONTH(parametros!$C$2))/12)))))</f>
        <v/>
      </c>
      <c r="D2652" s="394"/>
      <c r="E2652" s="78" t="str">
        <f>IF(C2652="","",IFERROR(VLOOKUP(C2652,parametros!$A$11:$E$15,5,0),""))</f>
        <v/>
      </c>
      <c r="F2652" s="79" t="str">
        <f t="shared" si="207"/>
        <v/>
      </c>
      <c r="G2652" s="395"/>
      <c r="H2652" s="91">
        <f t="shared" si="208"/>
        <v>0</v>
      </c>
      <c r="I2652" s="91" t="str">
        <f t="shared" si="209"/>
        <v/>
      </c>
      <c r="J2652" s="91" t="str">
        <f t="shared" si="210"/>
        <v/>
      </c>
      <c r="K2652" s="92" t="str">
        <f>IF(AND(A2652="",B2652="",D2652="",G2652=""),"",IF(AND(A2652&lt;&gt;"",COUNTIF($A$2:$A$5001,A2652)&gt;1),"NUMERO_PC duplicado",IF(B2652="","DATA_PC vazia",IF(NOT(ISNUMBER(B2652)),"DATA_PC invalida",IF(OR(C2652="",C2652="Fora dos ciclos"),"CICLO_PC nao identificado",IF(OR(D2652="",D2652=0),"VALOR_PC vazio ou zero",IF(AND(G2652&lt;&gt;"Sim",G2652&lt;&gt;"Nao",G2652&lt;&gt;""),"PC_PAGO_A_CONTRATADA invalido",IF(AND(C2652&lt;&gt;"C0",IFERROR(INDEX(parametros!$A$2:$A$6,MATCH(C2652,parametros!$B$2:$B$6,0)),"")="Sim",IFERROR(INDEX(parametros!$H$2:$H$6,MATCH(C2652,parametros!$B$2:$B$6,0)),"")=""),"INICIO_EFEITO ausente: PC "&amp;A2652&amp;" - "&amp;C2652,IF(L2652="","EFEITO_PC nao calculado: PC "&amp;A2652&amp;" - "&amp;C2652,"OK")))))))))</f>
        <v/>
      </c>
      <c r="L2652" s="92" t="str">
        <f>IF(AND(A2652="",B2652="",D2652="",G2652=""),"",IF(OR(B2652="",NOT(ISNUMBER(B2652)),C2652="",C2652="Fora dos ciclos"),"",IF(C2652="C0","Nao",IF(IFERROR(INDEX(parametros!$A$2:$A$6,MATCH(C2652,parametros!$B$2:$B$6,0)),"")&lt;&gt;"Sim","Nao",IF(IFERROR(INDEX(parametros!$H$2:$H$6,MATCH(C2652,parametros!$B$2:$B$6,0)),"")="","",IF(B2652&gt;=IFERROR(INDEX(parametros!$H$2:$H$6,MATCH(C2652,parametros!$B$2:$B$6,0)),""),"Sim","Nao"))))))</f>
        <v/>
      </c>
      <c r="T2652" s="156"/>
      <c r="U2652" s="214" t="str">
        <f t="shared" si="211"/>
        <v/>
      </c>
      <c r="V2652" s="212" t="s">
        <v>50</v>
      </c>
      <c r="W2652" s="100" t="s">
        <v>168</v>
      </c>
      <c r="X2652" s="100" t="s">
        <v>169</v>
      </c>
      <c r="Y2652" s="101" t="s">
        <v>170</v>
      </c>
      <c r="Z2652" s="101" t="s">
        <v>171</v>
      </c>
      <c r="AA2652" s="101" t="s">
        <v>50</v>
      </c>
      <c r="AB2652" s="101" t="s">
        <v>172</v>
      </c>
      <c r="AC2652" s="102" t="s">
        <v>173</v>
      </c>
    </row>
    <row r="2653" spans="1:29" ht="25.5" customHeight="1" x14ac:dyDescent="0.35">
      <c r="A2653" s="392"/>
      <c r="B2653" s="393"/>
      <c r="C2653" s="99" t="str">
        <f>IF(B2653="","",IF(NOT(ISNUMBER(B2653)),"DATA_PC invalida",IF(NOT(ISNUMBER(parametros!$C$2)),"Fora dos ciclos",IF(OR(B2653&lt;parametros!$C$2,(YEAR(B2653)-YEAR(parametros!$C$2))*12+MONTH(B2653)-MONTH(parametros!$C$2)&gt;59),"Fora dos ciclos","C"&amp;INT(((YEAR(B2653)-YEAR(parametros!$C$2))*12+MONTH(B2653)-MONTH(parametros!$C$2))/12)))))</f>
        <v/>
      </c>
      <c r="D2653" s="394"/>
      <c r="E2653" s="78" t="str">
        <f>IF(C2653="","",IFERROR(VLOOKUP(C2653,parametros!$A$11:$E$15,5,0),""))</f>
        <v/>
      </c>
      <c r="F2653" s="79" t="str">
        <f t="shared" si="207"/>
        <v/>
      </c>
      <c r="G2653" s="395"/>
      <c r="H2653" s="91">
        <f t="shared" si="208"/>
        <v>0</v>
      </c>
      <c r="I2653" s="91" t="str">
        <f t="shared" si="209"/>
        <v/>
      </c>
      <c r="J2653" s="91" t="str">
        <f t="shared" si="210"/>
        <v/>
      </c>
      <c r="K2653" s="92" t="str">
        <f>IF(AND(A2653="",B2653="",D2653="",G2653=""),"",IF(AND(A2653&lt;&gt;"",COUNTIF($A$2:$A$5001,A2653)&gt;1),"NUMERO_PC duplicado",IF(B2653="","DATA_PC vazia",IF(NOT(ISNUMBER(B2653)),"DATA_PC invalida",IF(OR(C2653="",C2653="Fora dos ciclos"),"CICLO_PC nao identificado",IF(OR(D2653="",D2653=0),"VALOR_PC vazio ou zero",IF(AND(G2653&lt;&gt;"Sim",G2653&lt;&gt;"Nao",G2653&lt;&gt;""),"PC_PAGO_A_CONTRATADA invalido",IF(AND(C2653&lt;&gt;"C0",IFERROR(INDEX(parametros!$A$2:$A$6,MATCH(C2653,parametros!$B$2:$B$6,0)),"")="Sim",IFERROR(INDEX(parametros!$H$2:$H$6,MATCH(C2653,parametros!$B$2:$B$6,0)),"")=""),"INICIO_EFEITO ausente: PC "&amp;A2653&amp;" - "&amp;C2653,IF(L2653="","EFEITO_PC nao calculado: PC "&amp;A2653&amp;" - "&amp;C2653,"OK")))))))))</f>
        <v/>
      </c>
      <c r="L2653" s="92" t="str">
        <f>IF(AND(A2653="",B2653="",D2653="",G2653=""),"",IF(OR(B2653="",NOT(ISNUMBER(B2653)),C2653="",C2653="Fora dos ciclos"),"",IF(C2653="C0","Nao",IF(IFERROR(INDEX(parametros!$A$2:$A$6,MATCH(C2653,parametros!$B$2:$B$6,0)),"")&lt;&gt;"Sim","Nao",IF(IFERROR(INDEX(parametros!$H$2:$H$6,MATCH(C2653,parametros!$B$2:$B$6,0)),"")="","",IF(B2653&gt;=IFERROR(INDEX(parametros!$H$2:$H$6,MATCH(C2653,parametros!$B$2:$B$6,0)),""),"Sim","Nao"))))))</f>
        <v/>
      </c>
      <c r="T2653" s="156"/>
      <c r="U2653" s="214" t="str">
        <f t="shared" si="211"/>
        <v/>
      </c>
      <c r="V2653" s="212" t="s">
        <v>50</v>
      </c>
      <c r="W2653" s="100" t="s">
        <v>168</v>
      </c>
      <c r="X2653" s="100" t="s">
        <v>169</v>
      </c>
      <c r="Y2653" s="101" t="s">
        <v>170</v>
      </c>
      <c r="Z2653" s="101" t="s">
        <v>171</v>
      </c>
      <c r="AA2653" s="101" t="s">
        <v>50</v>
      </c>
      <c r="AB2653" s="101" t="s">
        <v>172</v>
      </c>
      <c r="AC2653" s="102" t="s">
        <v>173</v>
      </c>
    </row>
    <row r="2654" spans="1:29" ht="25.5" customHeight="1" x14ac:dyDescent="0.35">
      <c r="A2654" s="392"/>
      <c r="B2654" s="393"/>
      <c r="C2654" s="99" t="str">
        <f>IF(B2654="","",IF(NOT(ISNUMBER(B2654)),"DATA_PC invalida",IF(NOT(ISNUMBER(parametros!$C$2)),"Fora dos ciclos",IF(OR(B2654&lt;parametros!$C$2,(YEAR(B2654)-YEAR(parametros!$C$2))*12+MONTH(B2654)-MONTH(parametros!$C$2)&gt;59),"Fora dos ciclos","C"&amp;INT(((YEAR(B2654)-YEAR(parametros!$C$2))*12+MONTH(B2654)-MONTH(parametros!$C$2))/12)))))</f>
        <v/>
      </c>
      <c r="D2654" s="394"/>
      <c r="E2654" s="78" t="str">
        <f>IF(C2654="","",IFERROR(VLOOKUP(C2654,parametros!$A$11:$E$15,5,0),""))</f>
        <v/>
      </c>
      <c r="F2654" s="79" t="str">
        <f t="shared" si="207"/>
        <v/>
      </c>
      <c r="G2654" s="395"/>
      <c r="H2654" s="91">
        <f t="shared" si="208"/>
        <v>0</v>
      </c>
      <c r="I2654" s="91" t="str">
        <f t="shared" si="209"/>
        <v/>
      </c>
      <c r="J2654" s="91" t="str">
        <f t="shared" si="210"/>
        <v/>
      </c>
      <c r="K2654" s="92" t="str">
        <f>IF(AND(A2654="",B2654="",D2654="",G2654=""),"",IF(AND(A2654&lt;&gt;"",COUNTIF($A$2:$A$5001,A2654)&gt;1),"NUMERO_PC duplicado",IF(B2654="","DATA_PC vazia",IF(NOT(ISNUMBER(B2654)),"DATA_PC invalida",IF(OR(C2654="",C2654="Fora dos ciclos"),"CICLO_PC nao identificado",IF(OR(D2654="",D2654=0),"VALOR_PC vazio ou zero",IF(AND(G2654&lt;&gt;"Sim",G2654&lt;&gt;"Nao",G2654&lt;&gt;""),"PC_PAGO_A_CONTRATADA invalido",IF(AND(C2654&lt;&gt;"C0",IFERROR(INDEX(parametros!$A$2:$A$6,MATCH(C2654,parametros!$B$2:$B$6,0)),"")="Sim",IFERROR(INDEX(parametros!$H$2:$H$6,MATCH(C2654,parametros!$B$2:$B$6,0)),"")=""),"INICIO_EFEITO ausente: PC "&amp;A2654&amp;" - "&amp;C2654,IF(L2654="","EFEITO_PC nao calculado: PC "&amp;A2654&amp;" - "&amp;C2654,"OK")))))))))</f>
        <v/>
      </c>
      <c r="L2654" s="92" t="str">
        <f>IF(AND(A2654="",B2654="",D2654="",G2654=""),"",IF(OR(B2654="",NOT(ISNUMBER(B2654)),C2654="",C2654="Fora dos ciclos"),"",IF(C2654="C0","Nao",IF(IFERROR(INDEX(parametros!$A$2:$A$6,MATCH(C2654,parametros!$B$2:$B$6,0)),"")&lt;&gt;"Sim","Nao",IF(IFERROR(INDEX(parametros!$H$2:$H$6,MATCH(C2654,parametros!$B$2:$B$6,0)),"")="","",IF(B2654&gt;=IFERROR(INDEX(parametros!$H$2:$H$6,MATCH(C2654,parametros!$B$2:$B$6,0)),""),"Sim","Nao"))))))</f>
        <v/>
      </c>
      <c r="T2654" s="156"/>
      <c r="U2654" s="214" t="str">
        <f t="shared" si="211"/>
        <v/>
      </c>
      <c r="V2654" s="212" t="s">
        <v>50</v>
      </c>
      <c r="W2654" s="100" t="s">
        <v>168</v>
      </c>
      <c r="X2654" s="100" t="s">
        <v>169</v>
      </c>
      <c r="Y2654" s="101" t="s">
        <v>170</v>
      </c>
      <c r="Z2654" s="101" t="s">
        <v>171</v>
      </c>
      <c r="AA2654" s="101" t="s">
        <v>50</v>
      </c>
      <c r="AB2654" s="101" t="s">
        <v>172</v>
      </c>
      <c r="AC2654" s="102" t="s">
        <v>173</v>
      </c>
    </row>
    <row r="2655" spans="1:29" ht="25.5" customHeight="1" x14ac:dyDescent="0.35">
      <c r="A2655" s="392"/>
      <c r="B2655" s="393"/>
      <c r="C2655" s="99" t="str">
        <f>IF(B2655="","",IF(NOT(ISNUMBER(B2655)),"DATA_PC invalida",IF(NOT(ISNUMBER(parametros!$C$2)),"Fora dos ciclos",IF(OR(B2655&lt;parametros!$C$2,(YEAR(B2655)-YEAR(parametros!$C$2))*12+MONTH(B2655)-MONTH(parametros!$C$2)&gt;59),"Fora dos ciclos","C"&amp;INT(((YEAR(B2655)-YEAR(parametros!$C$2))*12+MONTH(B2655)-MONTH(parametros!$C$2))/12)))))</f>
        <v/>
      </c>
      <c r="D2655" s="394"/>
      <c r="E2655" s="78" t="str">
        <f>IF(C2655="","",IFERROR(VLOOKUP(C2655,parametros!$A$11:$E$15,5,0),""))</f>
        <v/>
      </c>
      <c r="F2655" s="79" t="str">
        <f t="shared" si="207"/>
        <v/>
      </c>
      <c r="G2655" s="395"/>
      <c r="H2655" s="91">
        <f t="shared" si="208"/>
        <v>0</v>
      </c>
      <c r="I2655" s="91" t="str">
        <f t="shared" si="209"/>
        <v/>
      </c>
      <c r="J2655" s="91" t="str">
        <f t="shared" si="210"/>
        <v/>
      </c>
      <c r="K2655" s="92" t="str">
        <f>IF(AND(A2655="",B2655="",D2655="",G2655=""),"",IF(AND(A2655&lt;&gt;"",COUNTIF($A$2:$A$5001,A2655)&gt;1),"NUMERO_PC duplicado",IF(B2655="","DATA_PC vazia",IF(NOT(ISNUMBER(B2655)),"DATA_PC invalida",IF(OR(C2655="",C2655="Fora dos ciclos"),"CICLO_PC nao identificado",IF(OR(D2655="",D2655=0),"VALOR_PC vazio ou zero",IF(AND(G2655&lt;&gt;"Sim",G2655&lt;&gt;"Nao",G2655&lt;&gt;""),"PC_PAGO_A_CONTRATADA invalido",IF(AND(C2655&lt;&gt;"C0",IFERROR(INDEX(parametros!$A$2:$A$6,MATCH(C2655,parametros!$B$2:$B$6,0)),"")="Sim",IFERROR(INDEX(parametros!$H$2:$H$6,MATCH(C2655,parametros!$B$2:$B$6,0)),"")=""),"INICIO_EFEITO ausente: PC "&amp;A2655&amp;" - "&amp;C2655,IF(L2655="","EFEITO_PC nao calculado: PC "&amp;A2655&amp;" - "&amp;C2655,"OK")))))))))</f>
        <v/>
      </c>
      <c r="L2655" s="92" t="str">
        <f>IF(AND(A2655="",B2655="",D2655="",G2655=""),"",IF(OR(B2655="",NOT(ISNUMBER(B2655)),C2655="",C2655="Fora dos ciclos"),"",IF(C2655="C0","Nao",IF(IFERROR(INDEX(parametros!$A$2:$A$6,MATCH(C2655,parametros!$B$2:$B$6,0)),"")&lt;&gt;"Sim","Nao",IF(IFERROR(INDEX(parametros!$H$2:$H$6,MATCH(C2655,parametros!$B$2:$B$6,0)),"")="","",IF(B2655&gt;=IFERROR(INDEX(parametros!$H$2:$H$6,MATCH(C2655,parametros!$B$2:$B$6,0)),""),"Sim","Nao"))))))</f>
        <v/>
      </c>
      <c r="T2655" s="156"/>
      <c r="U2655" s="214" t="str">
        <f t="shared" si="211"/>
        <v/>
      </c>
      <c r="V2655" s="212" t="s">
        <v>50</v>
      </c>
      <c r="W2655" s="100" t="s">
        <v>168</v>
      </c>
      <c r="X2655" s="100" t="s">
        <v>169</v>
      </c>
      <c r="Y2655" s="101" t="s">
        <v>170</v>
      </c>
      <c r="Z2655" s="101" t="s">
        <v>171</v>
      </c>
      <c r="AA2655" s="101" t="s">
        <v>50</v>
      </c>
      <c r="AB2655" s="101" t="s">
        <v>172</v>
      </c>
      <c r="AC2655" s="102" t="s">
        <v>173</v>
      </c>
    </row>
    <row r="2656" spans="1:29" ht="25.5" customHeight="1" x14ac:dyDescent="0.35">
      <c r="A2656" s="392"/>
      <c r="B2656" s="393"/>
      <c r="C2656" s="99" t="str">
        <f>IF(B2656="","",IF(NOT(ISNUMBER(B2656)),"DATA_PC invalida",IF(NOT(ISNUMBER(parametros!$C$2)),"Fora dos ciclos",IF(OR(B2656&lt;parametros!$C$2,(YEAR(B2656)-YEAR(parametros!$C$2))*12+MONTH(B2656)-MONTH(parametros!$C$2)&gt;59),"Fora dos ciclos","C"&amp;INT(((YEAR(B2656)-YEAR(parametros!$C$2))*12+MONTH(B2656)-MONTH(parametros!$C$2))/12)))))</f>
        <v/>
      </c>
      <c r="D2656" s="394"/>
      <c r="E2656" s="78" t="str">
        <f>IF(C2656="","",IFERROR(VLOOKUP(C2656,parametros!$A$11:$E$15,5,0),""))</f>
        <v/>
      </c>
      <c r="F2656" s="79" t="str">
        <f t="shared" si="207"/>
        <v/>
      </c>
      <c r="G2656" s="395"/>
      <c r="H2656" s="91">
        <f t="shared" si="208"/>
        <v>0</v>
      </c>
      <c r="I2656" s="91" t="str">
        <f t="shared" si="209"/>
        <v/>
      </c>
      <c r="J2656" s="91" t="str">
        <f t="shared" si="210"/>
        <v/>
      </c>
      <c r="K2656" s="92" t="str">
        <f>IF(AND(A2656="",B2656="",D2656="",G2656=""),"",IF(AND(A2656&lt;&gt;"",COUNTIF($A$2:$A$5001,A2656)&gt;1),"NUMERO_PC duplicado",IF(B2656="","DATA_PC vazia",IF(NOT(ISNUMBER(B2656)),"DATA_PC invalida",IF(OR(C2656="",C2656="Fora dos ciclos"),"CICLO_PC nao identificado",IF(OR(D2656="",D2656=0),"VALOR_PC vazio ou zero",IF(AND(G2656&lt;&gt;"Sim",G2656&lt;&gt;"Nao",G2656&lt;&gt;""),"PC_PAGO_A_CONTRATADA invalido",IF(AND(C2656&lt;&gt;"C0",IFERROR(INDEX(parametros!$A$2:$A$6,MATCH(C2656,parametros!$B$2:$B$6,0)),"")="Sim",IFERROR(INDEX(parametros!$H$2:$H$6,MATCH(C2656,parametros!$B$2:$B$6,0)),"")=""),"INICIO_EFEITO ausente: PC "&amp;A2656&amp;" - "&amp;C2656,IF(L2656="","EFEITO_PC nao calculado: PC "&amp;A2656&amp;" - "&amp;C2656,"OK")))))))))</f>
        <v/>
      </c>
      <c r="L2656" s="92" t="str">
        <f>IF(AND(A2656="",B2656="",D2656="",G2656=""),"",IF(OR(B2656="",NOT(ISNUMBER(B2656)),C2656="",C2656="Fora dos ciclos"),"",IF(C2656="C0","Nao",IF(IFERROR(INDEX(parametros!$A$2:$A$6,MATCH(C2656,parametros!$B$2:$B$6,0)),"")&lt;&gt;"Sim","Nao",IF(IFERROR(INDEX(parametros!$H$2:$H$6,MATCH(C2656,parametros!$B$2:$B$6,0)),"")="","",IF(B2656&gt;=IFERROR(INDEX(parametros!$H$2:$H$6,MATCH(C2656,parametros!$B$2:$B$6,0)),""),"Sim","Nao"))))))</f>
        <v/>
      </c>
      <c r="T2656" s="156"/>
      <c r="U2656" s="214" t="str">
        <f t="shared" si="211"/>
        <v/>
      </c>
      <c r="V2656" s="212" t="s">
        <v>50</v>
      </c>
      <c r="W2656" s="100" t="s">
        <v>168</v>
      </c>
      <c r="X2656" s="100" t="s">
        <v>169</v>
      </c>
      <c r="Y2656" s="101" t="s">
        <v>170</v>
      </c>
      <c r="Z2656" s="101" t="s">
        <v>171</v>
      </c>
      <c r="AA2656" s="101" t="s">
        <v>50</v>
      </c>
      <c r="AB2656" s="101" t="s">
        <v>172</v>
      </c>
      <c r="AC2656" s="102" t="s">
        <v>173</v>
      </c>
    </row>
    <row r="2657" spans="1:29" ht="25.5" customHeight="1" x14ac:dyDescent="0.35">
      <c r="A2657" s="392"/>
      <c r="B2657" s="393"/>
      <c r="C2657" s="99" t="str">
        <f>IF(B2657="","",IF(NOT(ISNUMBER(B2657)),"DATA_PC invalida",IF(NOT(ISNUMBER(parametros!$C$2)),"Fora dos ciclos",IF(OR(B2657&lt;parametros!$C$2,(YEAR(B2657)-YEAR(parametros!$C$2))*12+MONTH(B2657)-MONTH(parametros!$C$2)&gt;59),"Fora dos ciclos","C"&amp;INT(((YEAR(B2657)-YEAR(parametros!$C$2))*12+MONTH(B2657)-MONTH(parametros!$C$2))/12)))))</f>
        <v/>
      </c>
      <c r="D2657" s="394"/>
      <c r="E2657" s="78" t="str">
        <f>IF(C2657="","",IFERROR(VLOOKUP(C2657,parametros!$A$11:$E$15,5,0),""))</f>
        <v/>
      </c>
      <c r="F2657" s="79" t="str">
        <f t="shared" si="207"/>
        <v/>
      </c>
      <c r="G2657" s="395"/>
      <c r="H2657" s="91">
        <f t="shared" si="208"/>
        <v>0</v>
      </c>
      <c r="I2657" s="91" t="str">
        <f t="shared" si="209"/>
        <v/>
      </c>
      <c r="J2657" s="91" t="str">
        <f t="shared" si="210"/>
        <v/>
      </c>
      <c r="K2657" s="92" t="str">
        <f>IF(AND(A2657="",B2657="",D2657="",G2657=""),"",IF(AND(A2657&lt;&gt;"",COUNTIF($A$2:$A$5001,A2657)&gt;1),"NUMERO_PC duplicado",IF(B2657="","DATA_PC vazia",IF(NOT(ISNUMBER(B2657)),"DATA_PC invalida",IF(OR(C2657="",C2657="Fora dos ciclos"),"CICLO_PC nao identificado",IF(OR(D2657="",D2657=0),"VALOR_PC vazio ou zero",IF(AND(G2657&lt;&gt;"Sim",G2657&lt;&gt;"Nao",G2657&lt;&gt;""),"PC_PAGO_A_CONTRATADA invalido",IF(AND(C2657&lt;&gt;"C0",IFERROR(INDEX(parametros!$A$2:$A$6,MATCH(C2657,parametros!$B$2:$B$6,0)),"")="Sim",IFERROR(INDEX(parametros!$H$2:$H$6,MATCH(C2657,parametros!$B$2:$B$6,0)),"")=""),"INICIO_EFEITO ausente: PC "&amp;A2657&amp;" - "&amp;C2657,IF(L2657="","EFEITO_PC nao calculado: PC "&amp;A2657&amp;" - "&amp;C2657,"OK")))))))))</f>
        <v/>
      </c>
      <c r="L2657" s="92" t="str">
        <f>IF(AND(A2657="",B2657="",D2657="",G2657=""),"",IF(OR(B2657="",NOT(ISNUMBER(B2657)),C2657="",C2657="Fora dos ciclos"),"",IF(C2657="C0","Nao",IF(IFERROR(INDEX(parametros!$A$2:$A$6,MATCH(C2657,parametros!$B$2:$B$6,0)),"")&lt;&gt;"Sim","Nao",IF(IFERROR(INDEX(parametros!$H$2:$H$6,MATCH(C2657,parametros!$B$2:$B$6,0)),"")="","",IF(B2657&gt;=IFERROR(INDEX(parametros!$H$2:$H$6,MATCH(C2657,parametros!$B$2:$B$6,0)),""),"Sim","Nao"))))))</f>
        <v/>
      </c>
      <c r="T2657" s="156"/>
      <c r="U2657" s="214" t="str">
        <f t="shared" si="211"/>
        <v/>
      </c>
      <c r="V2657" s="212" t="s">
        <v>50</v>
      </c>
      <c r="W2657" s="100" t="s">
        <v>168</v>
      </c>
      <c r="X2657" s="100" t="s">
        <v>169</v>
      </c>
      <c r="Y2657" s="101" t="s">
        <v>170</v>
      </c>
      <c r="Z2657" s="101" t="s">
        <v>171</v>
      </c>
      <c r="AA2657" s="101" t="s">
        <v>50</v>
      </c>
      <c r="AB2657" s="101" t="s">
        <v>172</v>
      </c>
      <c r="AC2657" s="102" t="s">
        <v>173</v>
      </c>
    </row>
    <row r="2658" spans="1:29" ht="25.5" customHeight="1" x14ac:dyDescent="0.35">
      <c r="A2658" s="392"/>
      <c r="B2658" s="393"/>
      <c r="C2658" s="99" t="str">
        <f>IF(B2658="","",IF(NOT(ISNUMBER(B2658)),"DATA_PC invalida",IF(NOT(ISNUMBER(parametros!$C$2)),"Fora dos ciclos",IF(OR(B2658&lt;parametros!$C$2,(YEAR(B2658)-YEAR(parametros!$C$2))*12+MONTH(B2658)-MONTH(parametros!$C$2)&gt;59),"Fora dos ciclos","C"&amp;INT(((YEAR(B2658)-YEAR(parametros!$C$2))*12+MONTH(B2658)-MONTH(parametros!$C$2))/12)))))</f>
        <v/>
      </c>
      <c r="D2658" s="394"/>
      <c r="E2658" s="78" t="str">
        <f>IF(C2658="","",IFERROR(VLOOKUP(C2658,parametros!$A$11:$E$15,5,0),""))</f>
        <v/>
      </c>
      <c r="F2658" s="79" t="str">
        <f t="shared" si="207"/>
        <v/>
      </c>
      <c r="G2658" s="395"/>
      <c r="H2658" s="91">
        <f t="shared" si="208"/>
        <v>0</v>
      </c>
      <c r="I2658" s="91" t="str">
        <f t="shared" si="209"/>
        <v/>
      </c>
      <c r="J2658" s="91" t="str">
        <f t="shared" si="210"/>
        <v/>
      </c>
      <c r="K2658" s="92" t="str">
        <f>IF(AND(A2658="",B2658="",D2658="",G2658=""),"",IF(AND(A2658&lt;&gt;"",COUNTIF($A$2:$A$5001,A2658)&gt;1),"NUMERO_PC duplicado",IF(B2658="","DATA_PC vazia",IF(NOT(ISNUMBER(B2658)),"DATA_PC invalida",IF(OR(C2658="",C2658="Fora dos ciclos"),"CICLO_PC nao identificado",IF(OR(D2658="",D2658=0),"VALOR_PC vazio ou zero",IF(AND(G2658&lt;&gt;"Sim",G2658&lt;&gt;"Nao",G2658&lt;&gt;""),"PC_PAGO_A_CONTRATADA invalido",IF(AND(C2658&lt;&gt;"C0",IFERROR(INDEX(parametros!$A$2:$A$6,MATCH(C2658,parametros!$B$2:$B$6,0)),"")="Sim",IFERROR(INDEX(parametros!$H$2:$H$6,MATCH(C2658,parametros!$B$2:$B$6,0)),"")=""),"INICIO_EFEITO ausente: PC "&amp;A2658&amp;" - "&amp;C2658,IF(L2658="","EFEITO_PC nao calculado: PC "&amp;A2658&amp;" - "&amp;C2658,"OK")))))))))</f>
        <v/>
      </c>
      <c r="L2658" s="92" t="str">
        <f>IF(AND(A2658="",B2658="",D2658="",G2658=""),"",IF(OR(B2658="",NOT(ISNUMBER(B2658)),C2658="",C2658="Fora dos ciclos"),"",IF(C2658="C0","Nao",IF(IFERROR(INDEX(parametros!$A$2:$A$6,MATCH(C2658,parametros!$B$2:$B$6,0)),"")&lt;&gt;"Sim","Nao",IF(IFERROR(INDEX(parametros!$H$2:$H$6,MATCH(C2658,parametros!$B$2:$B$6,0)),"")="","",IF(B2658&gt;=IFERROR(INDEX(parametros!$H$2:$H$6,MATCH(C2658,parametros!$B$2:$B$6,0)),""),"Sim","Nao"))))))</f>
        <v/>
      </c>
      <c r="T2658" s="156"/>
      <c r="U2658" s="214" t="str">
        <f t="shared" si="211"/>
        <v/>
      </c>
      <c r="V2658" s="212" t="s">
        <v>50</v>
      </c>
      <c r="W2658" s="100" t="s">
        <v>168</v>
      </c>
      <c r="X2658" s="100" t="s">
        <v>169</v>
      </c>
      <c r="Y2658" s="101" t="s">
        <v>170</v>
      </c>
      <c r="Z2658" s="101" t="s">
        <v>171</v>
      </c>
      <c r="AA2658" s="101" t="s">
        <v>50</v>
      </c>
      <c r="AB2658" s="101" t="s">
        <v>172</v>
      </c>
      <c r="AC2658" s="102" t="s">
        <v>173</v>
      </c>
    </row>
    <row r="2659" spans="1:29" ht="25.5" customHeight="1" x14ac:dyDescent="0.35">
      <c r="A2659" s="392"/>
      <c r="B2659" s="393"/>
      <c r="C2659" s="99" t="str">
        <f>IF(B2659="","",IF(NOT(ISNUMBER(B2659)),"DATA_PC invalida",IF(NOT(ISNUMBER(parametros!$C$2)),"Fora dos ciclos",IF(OR(B2659&lt;parametros!$C$2,(YEAR(B2659)-YEAR(parametros!$C$2))*12+MONTH(B2659)-MONTH(parametros!$C$2)&gt;59),"Fora dos ciclos","C"&amp;INT(((YEAR(B2659)-YEAR(parametros!$C$2))*12+MONTH(B2659)-MONTH(parametros!$C$2))/12)))))</f>
        <v/>
      </c>
      <c r="D2659" s="394"/>
      <c r="E2659" s="78" t="str">
        <f>IF(C2659="","",IFERROR(VLOOKUP(C2659,parametros!$A$11:$E$15,5,0),""))</f>
        <v/>
      </c>
      <c r="F2659" s="79" t="str">
        <f t="shared" si="207"/>
        <v/>
      </c>
      <c r="G2659" s="395"/>
      <c r="H2659" s="91">
        <f t="shared" si="208"/>
        <v>0</v>
      </c>
      <c r="I2659" s="91" t="str">
        <f t="shared" si="209"/>
        <v/>
      </c>
      <c r="J2659" s="91" t="str">
        <f t="shared" si="210"/>
        <v/>
      </c>
      <c r="K2659" s="92" t="str">
        <f>IF(AND(A2659="",B2659="",D2659="",G2659=""),"",IF(AND(A2659&lt;&gt;"",COUNTIF($A$2:$A$5001,A2659)&gt;1),"NUMERO_PC duplicado",IF(B2659="","DATA_PC vazia",IF(NOT(ISNUMBER(B2659)),"DATA_PC invalida",IF(OR(C2659="",C2659="Fora dos ciclos"),"CICLO_PC nao identificado",IF(OR(D2659="",D2659=0),"VALOR_PC vazio ou zero",IF(AND(G2659&lt;&gt;"Sim",G2659&lt;&gt;"Nao",G2659&lt;&gt;""),"PC_PAGO_A_CONTRATADA invalido",IF(AND(C2659&lt;&gt;"C0",IFERROR(INDEX(parametros!$A$2:$A$6,MATCH(C2659,parametros!$B$2:$B$6,0)),"")="Sim",IFERROR(INDEX(parametros!$H$2:$H$6,MATCH(C2659,parametros!$B$2:$B$6,0)),"")=""),"INICIO_EFEITO ausente: PC "&amp;A2659&amp;" - "&amp;C2659,IF(L2659="","EFEITO_PC nao calculado: PC "&amp;A2659&amp;" - "&amp;C2659,"OK")))))))))</f>
        <v/>
      </c>
      <c r="L2659" s="92" t="str">
        <f>IF(AND(A2659="",B2659="",D2659="",G2659=""),"",IF(OR(B2659="",NOT(ISNUMBER(B2659)),C2659="",C2659="Fora dos ciclos"),"",IF(C2659="C0","Nao",IF(IFERROR(INDEX(parametros!$A$2:$A$6,MATCH(C2659,parametros!$B$2:$B$6,0)),"")&lt;&gt;"Sim","Nao",IF(IFERROR(INDEX(parametros!$H$2:$H$6,MATCH(C2659,parametros!$B$2:$B$6,0)),"")="","",IF(B2659&gt;=IFERROR(INDEX(parametros!$H$2:$H$6,MATCH(C2659,parametros!$B$2:$B$6,0)),""),"Sim","Nao"))))))</f>
        <v/>
      </c>
      <c r="T2659" s="156"/>
      <c r="U2659" s="214" t="str">
        <f t="shared" si="211"/>
        <v/>
      </c>
      <c r="V2659" s="212" t="s">
        <v>50</v>
      </c>
      <c r="W2659" s="100" t="s">
        <v>168</v>
      </c>
      <c r="X2659" s="100" t="s">
        <v>169</v>
      </c>
      <c r="Y2659" s="101" t="s">
        <v>170</v>
      </c>
      <c r="Z2659" s="101" t="s">
        <v>171</v>
      </c>
      <c r="AA2659" s="101" t="s">
        <v>50</v>
      </c>
      <c r="AB2659" s="101" t="s">
        <v>172</v>
      </c>
      <c r="AC2659" s="102" t="s">
        <v>173</v>
      </c>
    </row>
    <row r="2660" spans="1:29" ht="25.5" customHeight="1" x14ac:dyDescent="0.35">
      <c r="A2660" s="392"/>
      <c r="B2660" s="393"/>
      <c r="C2660" s="99" t="str">
        <f>IF(B2660="","",IF(NOT(ISNUMBER(B2660)),"DATA_PC invalida",IF(NOT(ISNUMBER(parametros!$C$2)),"Fora dos ciclos",IF(OR(B2660&lt;parametros!$C$2,(YEAR(B2660)-YEAR(parametros!$C$2))*12+MONTH(B2660)-MONTH(parametros!$C$2)&gt;59),"Fora dos ciclos","C"&amp;INT(((YEAR(B2660)-YEAR(parametros!$C$2))*12+MONTH(B2660)-MONTH(parametros!$C$2))/12)))))</f>
        <v/>
      </c>
      <c r="D2660" s="394"/>
      <c r="E2660" s="78" t="str">
        <f>IF(C2660="","",IFERROR(VLOOKUP(C2660,parametros!$A$11:$E$15,5,0),""))</f>
        <v/>
      </c>
      <c r="F2660" s="79" t="str">
        <f t="shared" si="207"/>
        <v/>
      </c>
      <c r="G2660" s="395"/>
      <c r="H2660" s="91">
        <f t="shared" si="208"/>
        <v>0</v>
      </c>
      <c r="I2660" s="91" t="str">
        <f t="shared" si="209"/>
        <v/>
      </c>
      <c r="J2660" s="91" t="str">
        <f t="shared" si="210"/>
        <v/>
      </c>
      <c r="K2660" s="92" t="str">
        <f>IF(AND(A2660="",B2660="",D2660="",G2660=""),"",IF(AND(A2660&lt;&gt;"",COUNTIF($A$2:$A$5001,A2660)&gt;1),"NUMERO_PC duplicado",IF(B2660="","DATA_PC vazia",IF(NOT(ISNUMBER(B2660)),"DATA_PC invalida",IF(OR(C2660="",C2660="Fora dos ciclos"),"CICLO_PC nao identificado",IF(OR(D2660="",D2660=0),"VALOR_PC vazio ou zero",IF(AND(G2660&lt;&gt;"Sim",G2660&lt;&gt;"Nao",G2660&lt;&gt;""),"PC_PAGO_A_CONTRATADA invalido",IF(AND(C2660&lt;&gt;"C0",IFERROR(INDEX(parametros!$A$2:$A$6,MATCH(C2660,parametros!$B$2:$B$6,0)),"")="Sim",IFERROR(INDEX(parametros!$H$2:$H$6,MATCH(C2660,parametros!$B$2:$B$6,0)),"")=""),"INICIO_EFEITO ausente: PC "&amp;A2660&amp;" - "&amp;C2660,IF(L2660="","EFEITO_PC nao calculado: PC "&amp;A2660&amp;" - "&amp;C2660,"OK")))))))))</f>
        <v/>
      </c>
      <c r="L2660" s="92" t="str">
        <f>IF(AND(A2660="",B2660="",D2660="",G2660=""),"",IF(OR(B2660="",NOT(ISNUMBER(B2660)),C2660="",C2660="Fora dos ciclos"),"",IF(C2660="C0","Nao",IF(IFERROR(INDEX(parametros!$A$2:$A$6,MATCH(C2660,parametros!$B$2:$B$6,0)),"")&lt;&gt;"Sim","Nao",IF(IFERROR(INDEX(parametros!$H$2:$H$6,MATCH(C2660,parametros!$B$2:$B$6,0)),"")="","",IF(B2660&gt;=IFERROR(INDEX(parametros!$H$2:$H$6,MATCH(C2660,parametros!$B$2:$B$6,0)),""),"Sim","Nao"))))))</f>
        <v/>
      </c>
      <c r="T2660" s="156"/>
      <c r="U2660" s="214" t="str">
        <f t="shared" si="211"/>
        <v/>
      </c>
      <c r="V2660" s="212" t="s">
        <v>50</v>
      </c>
      <c r="W2660" s="100" t="s">
        <v>168</v>
      </c>
      <c r="X2660" s="100" t="s">
        <v>169</v>
      </c>
      <c r="Y2660" s="101" t="s">
        <v>170</v>
      </c>
      <c r="Z2660" s="101" t="s">
        <v>171</v>
      </c>
      <c r="AA2660" s="101" t="s">
        <v>50</v>
      </c>
      <c r="AB2660" s="101" t="s">
        <v>172</v>
      </c>
      <c r="AC2660" s="102" t="s">
        <v>173</v>
      </c>
    </row>
    <row r="2661" spans="1:29" ht="25.5" customHeight="1" x14ac:dyDescent="0.35">
      <c r="A2661" s="392"/>
      <c r="B2661" s="393"/>
      <c r="C2661" s="99" t="str">
        <f>IF(B2661="","",IF(NOT(ISNUMBER(B2661)),"DATA_PC invalida",IF(NOT(ISNUMBER(parametros!$C$2)),"Fora dos ciclos",IF(OR(B2661&lt;parametros!$C$2,(YEAR(B2661)-YEAR(parametros!$C$2))*12+MONTH(B2661)-MONTH(parametros!$C$2)&gt;59),"Fora dos ciclos","C"&amp;INT(((YEAR(B2661)-YEAR(parametros!$C$2))*12+MONTH(B2661)-MONTH(parametros!$C$2))/12)))))</f>
        <v/>
      </c>
      <c r="D2661" s="394"/>
      <c r="E2661" s="78" t="str">
        <f>IF(C2661="","",IFERROR(VLOOKUP(C2661,parametros!$A$11:$E$15,5,0),""))</f>
        <v/>
      </c>
      <c r="F2661" s="79" t="str">
        <f t="shared" si="207"/>
        <v/>
      </c>
      <c r="G2661" s="395"/>
      <c r="H2661" s="91">
        <f t="shared" si="208"/>
        <v>0</v>
      </c>
      <c r="I2661" s="91" t="str">
        <f t="shared" si="209"/>
        <v/>
      </c>
      <c r="J2661" s="91" t="str">
        <f t="shared" si="210"/>
        <v/>
      </c>
      <c r="K2661" s="92" t="str">
        <f>IF(AND(A2661="",B2661="",D2661="",G2661=""),"",IF(AND(A2661&lt;&gt;"",COUNTIF($A$2:$A$5001,A2661)&gt;1),"NUMERO_PC duplicado",IF(B2661="","DATA_PC vazia",IF(NOT(ISNUMBER(B2661)),"DATA_PC invalida",IF(OR(C2661="",C2661="Fora dos ciclos"),"CICLO_PC nao identificado",IF(OR(D2661="",D2661=0),"VALOR_PC vazio ou zero",IF(AND(G2661&lt;&gt;"Sim",G2661&lt;&gt;"Nao",G2661&lt;&gt;""),"PC_PAGO_A_CONTRATADA invalido",IF(AND(C2661&lt;&gt;"C0",IFERROR(INDEX(parametros!$A$2:$A$6,MATCH(C2661,parametros!$B$2:$B$6,0)),"")="Sim",IFERROR(INDEX(parametros!$H$2:$H$6,MATCH(C2661,parametros!$B$2:$B$6,0)),"")=""),"INICIO_EFEITO ausente: PC "&amp;A2661&amp;" - "&amp;C2661,IF(L2661="","EFEITO_PC nao calculado: PC "&amp;A2661&amp;" - "&amp;C2661,"OK")))))))))</f>
        <v/>
      </c>
      <c r="L2661" s="92" t="str">
        <f>IF(AND(A2661="",B2661="",D2661="",G2661=""),"",IF(OR(B2661="",NOT(ISNUMBER(B2661)),C2661="",C2661="Fora dos ciclos"),"",IF(C2661="C0","Nao",IF(IFERROR(INDEX(parametros!$A$2:$A$6,MATCH(C2661,parametros!$B$2:$B$6,0)),"")&lt;&gt;"Sim","Nao",IF(IFERROR(INDEX(parametros!$H$2:$H$6,MATCH(C2661,parametros!$B$2:$B$6,0)),"")="","",IF(B2661&gt;=IFERROR(INDEX(parametros!$H$2:$H$6,MATCH(C2661,parametros!$B$2:$B$6,0)),""),"Sim","Nao"))))))</f>
        <v/>
      </c>
      <c r="T2661" s="156"/>
      <c r="U2661" s="214" t="str">
        <f t="shared" si="211"/>
        <v/>
      </c>
      <c r="V2661" s="212" t="s">
        <v>50</v>
      </c>
      <c r="W2661" s="100" t="s">
        <v>168</v>
      </c>
      <c r="X2661" s="100" t="s">
        <v>169</v>
      </c>
      <c r="Y2661" s="101" t="s">
        <v>170</v>
      </c>
      <c r="Z2661" s="101" t="s">
        <v>171</v>
      </c>
      <c r="AA2661" s="101" t="s">
        <v>50</v>
      </c>
      <c r="AB2661" s="101" t="s">
        <v>172</v>
      </c>
      <c r="AC2661" s="102" t="s">
        <v>173</v>
      </c>
    </row>
    <row r="2662" spans="1:29" ht="25.5" customHeight="1" x14ac:dyDescent="0.35">
      <c r="A2662" s="392"/>
      <c r="B2662" s="393"/>
      <c r="C2662" s="99" t="str">
        <f>IF(B2662="","",IF(NOT(ISNUMBER(B2662)),"DATA_PC invalida",IF(NOT(ISNUMBER(parametros!$C$2)),"Fora dos ciclos",IF(OR(B2662&lt;parametros!$C$2,(YEAR(B2662)-YEAR(parametros!$C$2))*12+MONTH(B2662)-MONTH(parametros!$C$2)&gt;59),"Fora dos ciclos","C"&amp;INT(((YEAR(B2662)-YEAR(parametros!$C$2))*12+MONTH(B2662)-MONTH(parametros!$C$2))/12)))))</f>
        <v/>
      </c>
      <c r="D2662" s="394"/>
      <c r="E2662" s="78" t="str">
        <f>IF(C2662="","",IFERROR(VLOOKUP(C2662,parametros!$A$11:$E$15,5,0),""))</f>
        <v/>
      </c>
      <c r="F2662" s="79" t="str">
        <f t="shared" si="207"/>
        <v/>
      </c>
      <c r="G2662" s="395"/>
      <c r="H2662" s="91">
        <f t="shared" si="208"/>
        <v>0</v>
      </c>
      <c r="I2662" s="91" t="str">
        <f t="shared" si="209"/>
        <v/>
      </c>
      <c r="J2662" s="91" t="str">
        <f t="shared" si="210"/>
        <v/>
      </c>
      <c r="K2662" s="92" t="str">
        <f>IF(AND(A2662="",B2662="",D2662="",G2662=""),"",IF(AND(A2662&lt;&gt;"",COUNTIF($A$2:$A$5001,A2662)&gt;1),"NUMERO_PC duplicado",IF(B2662="","DATA_PC vazia",IF(NOT(ISNUMBER(B2662)),"DATA_PC invalida",IF(OR(C2662="",C2662="Fora dos ciclos"),"CICLO_PC nao identificado",IF(OR(D2662="",D2662=0),"VALOR_PC vazio ou zero",IF(AND(G2662&lt;&gt;"Sim",G2662&lt;&gt;"Nao",G2662&lt;&gt;""),"PC_PAGO_A_CONTRATADA invalido",IF(AND(C2662&lt;&gt;"C0",IFERROR(INDEX(parametros!$A$2:$A$6,MATCH(C2662,parametros!$B$2:$B$6,0)),"")="Sim",IFERROR(INDEX(parametros!$H$2:$H$6,MATCH(C2662,parametros!$B$2:$B$6,0)),"")=""),"INICIO_EFEITO ausente: PC "&amp;A2662&amp;" - "&amp;C2662,IF(L2662="","EFEITO_PC nao calculado: PC "&amp;A2662&amp;" - "&amp;C2662,"OK")))))))))</f>
        <v/>
      </c>
      <c r="L2662" s="92" t="str">
        <f>IF(AND(A2662="",B2662="",D2662="",G2662=""),"",IF(OR(B2662="",NOT(ISNUMBER(B2662)),C2662="",C2662="Fora dos ciclos"),"",IF(C2662="C0","Nao",IF(IFERROR(INDEX(parametros!$A$2:$A$6,MATCH(C2662,parametros!$B$2:$B$6,0)),"")&lt;&gt;"Sim","Nao",IF(IFERROR(INDEX(parametros!$H$2:$H$6,MATCH(C2662,parametros!$B$2:$B$6,0)),"")="","",IF(B2662&gt;=IFERROR(INDEX(parametros!$H$2:$H$6,MATCH(C2662,parametros!$B$2:$B$6,0)),""),"Sim","Nao"))))))</f>
        <v/>
      </c>
      <c r="T2662" s="156"/>
      <c r="U2662" s="214" t="str">
        <f t="shared" si="211"/>
        <v/>
      </c>
      <c r="V2662" s="212" t="s">
        <v>50</v>
      </c>
      <c r="W2662" s="100" t="s">
        <v>168</v>
      </c>
      <c r="X2662" s="100" t="s">
        <v>169</v>
      </c>
      <c r="Y2662" s="101" t="s">
        <v>170</v>
      </c>
      <c r="Z2662" s="101" t="s">
        <v>171</v>
      </c>
      <c r="AA2662" s="101" t="s">
        <v>50</v>
      </c>
      <c r="AB2662" s="101" t="s">
        <v>172</v>
      </c>
      <c r="AC2662" s="102" t="s">
        <v>173</v>
      </c>
    </row>
    <row r="2663" spans="1:29" ht="25.5" customHeight="1" x14ac:dyDescent="0.35">
      <c r="A2663" s="392"/>
      <c r="B2663" s="393"/>
      <c r="C2663" s="99" t="str">
        <f>IF(B2663="","",IF(NOT(ISNUMBER(B2663)),"DATA_PC invalida",IF(NOT(ISNUMBER(parametros!$C$2)),"Fora dos ciclos",IF(OR(B2663&lt;parametros!$C$2,(YEAR(B2663)-YEAR(parametros!$C$2))*12+MONTH(B2663)-MONTH(parametros!$C$2)&gt;59),"Fora dos ciclos","C"&amp;INT(((YEAR(B2663)-YEAR(parametros!$C$2))*12+MONTH(B2663)-MONTH(parametros!$C$2))/12)))))</f>
        <v/>
      </c>
      <c r="D2663" s="394"/>
      <c r="E2663" s="78" t="str">
        <f>IF(C2663="","",IFERROR(VLOOKUP(C2663,parametros!$A$11:$E$15,5,0),""))</f>
        <v/>
      </c>
      <c r="F2663" s="79" t="str">
        <f t="shared" si="207"/>
        <v/>
      </c>
      <c r="G2663" s="395"/>
      <c r="H2663" s="91">
        <f t="shared" si="208"/>
        <v>0</v>
      </c>
      <c r="I2663" s="91" t="str">
        <f t="shared" si="209"/>
        <v/>
      </c>
      <c r="J2663" s="91" t="str">
        <f t="shared" si="210"/>
        <v/>
      </c>
      <c r="K2663" s="92" t="str">
        <f>IF(AND(A2663="",B2663="",D2663="",G2663=""),"",IF(AND(A2663&lt;&gt;"",COUNTIF($A$2:$A$5001,A2663)&gt;1),"NUMERO_PC duplicado",IF(B2663="","DATA_PC vazia",IF(NOT(ISNUMBER(B2663)),"DATA_PC invalida",IF(OR(C2663="",C2663="Fora dos ciclos"),"CICLO_PC nao identificado",IF(OR(D2663="",D2663=0),"VALOR_PC vazio ou zero",IF(AND(G2663&lt;&gt;"Sim",G2663&lt;&gt;"Nao",G2663&lt;&gt;""),"PC_PAGO_A_CONTRATADA invalido",IF(AND(C2663&lt;&gt;"C0",IFERROR(INDEX(parametros!$A$2:$A$6,MATCH(C2663,parametros!$B$2:$B$6,0)),"")="Sim",IFERROR(INDEX(parametros!$H$2:$H$6,MATCH(C2663,parametros!$B$2:$B$6,0)),"")=""),"INICIO_EFEITO ausente: PC "&amp;A2663&amp;" - "&amp;C2663,IF(L2663="","EFEITO_PC nao calculado: PC "&amp;A2663&amp;" - "&amp;C2663,"OK")))))))))</f>
        <v/>
      </c>
      <c r="L2663" s="92" t="str">
        <f>IF(AND(A2663="",B2663="",D2663="",G2663=""),"",IF(OR(B2663="",NOT(ISNUMBER(B2663)),C2663="",C2663="Fora dos ciclos"),"",IF(C2663="C0","Nao",IF(IFERROR(INDEX(parametros!$A$2:$A$6,MATCH(C2663,parametros!$B$2:$B$6,0)),"")&lt;&gt;"Sim","Nao",IF(IFERROR(INDEX(parametros!$H$2:$H$6,MATCH(C2663,parametros!$B$2:$B$6,0)),"")="","",IF(B2663&gt;=IFERROR(INDEX(parametros!$H$2:$H$6,MATCH(C2663,parametros!$B$2:$B$6,0)),""),"Sim","Nao"))))))</f>
        <v/>
      </c>
      <c r="T2663" s="156"/>
      <c r="U2663" s="214" t="str">
        <f t="shared" si="211"/>
        <v/>
      </c>
      <c r="V2663" s="212" t="s">
        <v>50</v>
      </c>
      <c r="W2663" s="100" t="s">
        <v>168</v>
      </c>
      <c r="X2663" s="100" t="s">
        <v>169</v>
      </c>
      <c r="Y2663" s="101" t="s">
        <v>170</v>
      </c>
      <c r="Z2663" s="101" t="s">
        <v>171</v>
      </c>
      <c r="AA2663" s="101" t="s">
        <v>50</v>
      </c>
      <c r="AB2663" s="101" t="s">
        <v>172</v>
      </c>
      <c r="AC2663" s="102" t="s">
        <v>173</v>
      </c>
    </row>
    <row r="2664" spans="1:29" ht="25.5" customHeight="1" x14ac:dyDescent="0.35">
      <c r="A2664" s="392"/>
      <c r="B2664" s="393"/>
      <c r="C2664" s="99" t="str">
        <f>IF(B2664="","",IF(NOT(ISNUMBER(B2664)),"DATA_PC invalida",IF(NOT(ISNUMBER(parametros!$C$2)),"Fora dos ciclos",IF(OR(B2664&lt;parametros!$C$2,(YEAR(B2664)-YEAR(parametros!$C$2))*12+MONTH(B2664)-MONTH(parametros!$C$2)&gt;59),"Fora dos ciclos","C"&amp;INT(((YEAR(B2664)-YEAR(parametros!$C$2))*12+MONTH(B2664)-MONTH(parametros!$C$2))/12)))))</f>
        <v/>
      </c>
      <c r="D2664" s="394"/>
      <c r="E2664" s="78" t="str">
        <f>IF(C2664="","",IFERROR(VLOOKUP(C2664,parametros!$A$11:$E$15,5,0),""))</f>
        <v/>
      </c>
      <c r="F2664" s="79" t="str">
        <f t="shared" si="207"/>
        <v/>
      </c>
      <c r="G2664" s="395"/>
      <c r="H2664" s="91">
        <f t="shared" si="208"/>
        <v>0</v>
      </c>
      <c r="I2664" s="91" t="str">
        <f t="shared" si="209"/>
        <v/>
      </c>
      <c r="J2664" s="91" t="str">
        <f t="shared" si="210"/>
        <v/>
      </c>
      <c r="K2664" s="92" t="str">
        <f>IF(AND(A2664="",B2664="",D2664="",G2664=""),"",IF(AND(A2664&lt;&gt;"",COUNTIF($A$2:$A$5001,A2664)&gt;1),"NUMERO_PC duplicado",IF(B2664="","DATA_PC vazia",IF(NOT(ISNUMBER(B2664)),"DATA_PC invalida",IF(OR(C2664="",C2664="Fora dos ciclos"),"CICLO_PC nao identificado",IF(OR(D2664="",D2664=0),"VALOR_PC vazio ou zero",IF(AND(G2664&lt;&gt;"Sim",G2664&lt;&gt;"Nao",G2664&lt;&gt;""),"PC_PAGO_A_CONTRATADA invalido",IF(AND(C2664&lt;&gt;"C0",IFERROR(INDEX(parametros!$A$2:$A$6,MATCH(C2664,parametros!$B$2:$B$6,0)),"")="Sim",IFERROR(INDEX(parametros!$H$2:$H$6,MATCH(C2664,parametros!$B$2:$B$6,0)),"")=""),"INICIO_EFEITO ausente: PC "&amp;A2664&amp;" - "&amp;C2664,IF(L2664="","EFEITO_PC nao calculado: PC "&amp;A2664&amp;" - "&amp;C2664,"OK")))))))))</f>
        <v/>
      </c>
      <c r="L2664" s="92" t="str">
        <f>IF(AND(A2664="",B2664="",D2664="",G2664=""),"",IF(OR(B2664="",NOT(ISNUMBER(B2664)),C2664="",C2664="Fora dos ciclos"),"",IF(C2664="C0","Nao",IF(IFERROR(INDEX(parametros!$A$2:$A$6,MATCH(C2664,parametros!$B$2:$B$6,0)),"")&lt;&gt;"Sim","Nao",IF(IFERROR(INDEX(parametros!$H$2:$H$6,MATCH(C2664,parametros!$B$2:$B$6,0)),"")="","",IF(B2664&gt;=IFERROR(INDEX(parametros!$H$2:$H$6,MATCH(C2664,parametros!$B$2:$B$6,0)),""),"Sim","Nao"))))))</f>
        <v/>
      </c>
      <c r="T2664" s="156"/>
      <c r="U2664" s="214" t="str">
        <f t="shared" si="211"/>
        <v/>
      </c>
      <c r="V2664" s="212" t="s">
        <v>50</v>
      </c>
      <c r="W2664" s="100" t="s">
        <v>168</v>
      </c>
      <c r="X2664" s="100" t="s">
        <v>169</v>
      </c>
      <c r="Y2664" s="101" t="s">
        <v>170</v>
      </c>
      <c r="Z2664" s="101" t="s">
        <v>171</v>
      </c>
      <c r="AA2664" s="101" t="s">
        <v>50</v>
      </c>
      <c r="AB2664" s="101" t="s">
        <v>172</v>
      </c>
      <c r="AC2664" s="102" t="s">
        <v>173</v>
      </c>
    </row>
    <row r="2665" spans="1:29" ht="25.5" customHeight="1" x14ac:dyDescent="0.35">
      <c r="A2665" s="392"/>
      <c r="B2665" s="393"/>
      <c r="C2665" s="99" t="str">
        <f>IF(B2665="","",IF(NOT(ISNUMBER(B2665)),"DATA_PC invalida",IF(NOT(ISNUMBER(parametros!$C$2)),"Fora dos ciclos",IF(OR(B2665&lt;parametros!$C$2,(YEAR(B2665)-YEAR(parametros!$C$2))*12+MONTH(B2665)-MONTH(parametros!$C$2)&gt;59),"Fora dos ciclos","C"&amp;INT(((YEAR(B2665)-YEAR(parametros!$C$2))*12+MONTH(B2665)-MONTH(parametros!$C$2))/12)))))</f>
        <v/>
      </c>
      <c r="D2665" s="394"/>
      <c r="E2665" s="78" t="str">
        <f>IF(C2665="","",IFERROR(VLOOKUP(C2665,parametros!$A$11:$E$15,5,0),""))</f>
        <v/>
      </c>
      <c r="F2665" s="79" t="str">
        <f t="shared" si="207"/>
        <v/>
      </c>
      <c r="G2665" s="395"/>
      <c r="H2665" s="91">
        <f t="shared" si="208"/>
        <v>0</v>
      </c>
      <c r="I2665" s="91" t="str">
        <f t="shared" si="209"/>
        <v/>
      </c>
      <c r="J2665" s="91" t="str">
        <f t="shared" si="210"/>
        <v/>
      </c>
      <c r="K2665" s="92" t="str">
        <f>IF(AND(A2665="",B2665="",D2665="",G2665=""),"",IF(AND(A2665&lt;&gt;"",COUNTIF($A$2:$A$5001,A2665)&gt;1),"NUMERO_PC duplicado",IF(B2665="","DATA_PC vazia",IF(NOT(ISNUMBER(B2665)),"DATA_PC invalida",IF(OR(C2665="",C2665="Fora dos ciclos"),"CICLO_PC nao identificado",IF(OR(D2665="",D2665=0),"VALOR_PC vazio ou zero",IF(AND(G2665&lt;&gt;"Sim",G2665&lt;&gt;"Nao",G2665&lt;&gt;""),"PC_PAGO_A_CONTRATADA invalido",IF(AND(C2665&lt;&gt;"C0",IFERROR(INDEX(parametros!$A$2:$A$6,MATCH(C2665,parametros!$B$2:$B$6,0)),"")="Sim",IFERROR(INDEX(parametros!$H$2:$H$6,MATCH(C2665,parametros!$B$2:$B$6,0)),"")=""),"INICIO_EFEITO ausente: PC "&amp;A2665&amp;" - "&amp;C2665,IF(L2665="","EFEITO_PC nao calculado: PC "&amp;A2665&amp;" - "&amp;C2665,"OK")))))))))</f>
        <v/>
      </c>
      <c r="L2665" s="92" t="str">
        <f>IF(AND(A2665="",B2665="",D2665="",G2665=""),"",IF(OR(B2665="",NOT(ISNUMBER(B2665)),C2665="",C2665="Fora dos ciclos"),"",IF(C2665="C0","Nao",IF(IFERROR(INDEX(parametros!$A$2:$A$6,MATCH(C2665,parametros!$B$2:$B$6,0)),"")&lt;&gt;"Sim","Nao",IF(IFERROR(INDEX(parametros!$H$2:$H$6,MATCH(C2665,parametros!$B$2:$B$6,0)),"")="","",IF(B2665&gt;=IFERROR(INDEX(parametros!$H$2:$H$6,MATCH(C2665,parametros!$B$2:$B$6,0)),""),"Sim","Nao"))))))</f>
        <v/>
      </c>
      <c r="T2665" s="156"/>
      <c r="U2665" s="214" t="str">
        <f t="shared" si="211"/>
        <v/>
      </c>
      <c r="V2665" s="212" t="s">
        <v>50</v>
      </c>
      <c r="W2665" s="100" t="s">
        <v>168</v>
      </c>
      <c r="X2665" s="100" t="s">
        <v>169</v>
      </c>
      <c r="Y2665" s="101" t="s">
        <v>170</v>
      </c>
      <c r="Z2665" s="101" t="s">
        <v>171</v>
      </c>
      <c r="AA2665" s="101" t="s">
        <v>50</v>
      </c>
      <c r="AB2665" s="101" t="s">
        <v>172</v>
      </c>
      <c r="AC2665" s="102" t="s">
        <v>173</v>
      </c>
    </row>
    <row r="2666" spans="1:29" ht="25.5" customHeight="1" x14ac:dyDescent="0.35">
      <c r="A2666" s="392"/>
      <c r="B2666" s="393"/>
      <c r="C2666" s="99" t="str">
        <f>IF(B2666="","",IF(NOT(ISNUMBER(B2666)),"DATA_PC invalida",IF(NOT(ISNUMBER(parametros!$C$2)),"Fora dos ciclos",IF(OR(B2666&lt;parametros!$C$2,(YEAR(B2666)-YEAR(parametros!$C$2))*12+MONTH(B2666)-MONTH(parametros!$C$2)&gt;59),"Fora dos ciclos","C"&amp;INT(((YEAR(B2666)-YEAR(parametros!$C$2))*12+MONTH(B2666)-MONTH(parametros!$C$2))/12)))))</f>
        <v/>
      </c>
      <c r="D2666" s="394"/>
      <c r="E2666" s="78" t="str">
        <f>IF(C2666="","",IFERROR(VLOOKUP(C2666,parametros!$A$11:$E$15,5,0),""))</f>
        <v/>
      </c>
      <c r="F2666" s="79" t="str">
        <f t="shared" si="207"/>
        <v/>
      </c>
      <c r="G2666" s="395"/>
      <c r="H2666" s="91">
        <f t="shared" si="208"/>
        <v>0</v>
      </c>
      <c r="I2666" s="91" t="str">
        <f t="shared" si="209"/>
        <v/>
      </c>
      <c r="J2666" s="91" t="str">
        <f t="shared" si="210"/>
        <v/>
      </c>
      <c r="K2666" s="92" t="str">
        <f>IF(AND(A2666="",B2666="",D2666="",G2666=""),"",IF(AND(A2666&lt;&gt;"",COUNTIF($A$2:$A$5001,A2666)&gt;1),"NUMERO_PC duplicado",IF(B2666="","DATA_PC vazia",IF(NOT(ISNUMBER(B2666)),"DATA_PC invalida",IF(OR(C2666="",C2666="Fora dos ciclos"),"CICLO_PC nao identificado",IF(OR(D2666="",D2666=0),"VALOR_PC vazio ou zero",IF(AND(G2666&lt;&gt;"Sim",G2666&lt;&gt;"Nao",G2666&lt;&gt;""),"PC_PAGO_A_CONTRATADA invalido",IF(AND(C2666&lt;&gt;"C0",IFERROR(INDEX(parametros!$A$2:$A$6,MATCH(C2666,parametros!$B$2:$B$6,0)),"")="Sim",IFERROR(INDEX(parametros!$H$2:$H$6,MATCH(C2666,parametros!$B$2:$B$6,0)),"")=""),"INICIO_EFEITO ausente: PC "&amp;A2666&amp;" - "&amp;C2666,IF(L2666="","EFEITO_PC nao calculado: PC "&amp;A2666&amp;" - "&amp;C2666,"OK")))))))))</f>
        <v/>
      </c>
      <c r="L2666" s="92" t="str">
        <f>IF(AND(A2666="",B2666="",D2666="",G2666=""),"",IF(OR(B2666="",NOT(ISNUMBER(B2666)),C2666="",C2666="Fora dos ciclos"),"",IF(C2666="C0","Nao",IF(IFERROR(INDEX(parametros!$A$2:$A$6,MATCH(C2666,parametros!$B$2:$B$6,0)),"")&lt;&gt;"Sim","Nao",IF(IFERROR(INDEX(parametros!$H$2:$H$6,MATCH(C2666,parametros!$B$2:$B$6,0)),"")="","",IF(B2666&gt;=IFERROR(INDEX(parametros!$H$2:$H$6,MATCH(C2666,parametros!$B$2:$B$6,0)),""),"Sim","Nao"))))))</f>
        <v/>
      </c>
      <c r="T2666" s="156"/>
      <c r="U2666" s="214" t="str">
        <f t="shared" si="211"/>
        <v/>
      </c>
      <c r="V2666" s="212" t="s">
        <v>50</v>
      </c>
      <c r="W2666" s="100" t="s">
        <v>168</v>
      </c>
      <c r="X2666" s="100" t="s">
        <v>169</v>
      </c>
      <c r="Y2666" s="101" t="s">
        <v>170</v>
      </c>
      <c r="Z2666" s="101" t="s">
        <v>171</v>
      </c>
      <c r="AA2666" s="101" t="s">
        <v>50</v>
      </c>
      <c r="AB2666" s="101" t="s">
        <v>172</v>
      </c>
      <c r="AC2666" s="102" t="s">
        <v>173</v>
      </c>
    </row>
    <row r="2667" spans="1:29" ht="25.5" customHeight="1" x14ac:dyDescent="0.35">
      <c r="A2667" s="392"/>
      <c r="B2667" s="393"/>
      <c r="C2667" s="99" t="str">
        <f>IF(B2667="","",IF(NOT(ISNUMBER(B2667)),"DATA_PC invalida",IF(NOT(ISNUMBER(parametros!$C$2)),"Fora dos ciclos",IF(OR(B2667&lt;parametros!$C$2,(YEAR(B2667)-YEAR(parametros!$C$2))*12+MONTH(B2667)-MONTH(parametros!$C$2)&gt;59),"Fora dos ciclos","C"&amp;INT(((YEAR(B2667)-YEAR(parametros!$C$2))*12+MONTH(B2667)-MONTH(parametros!$C$2))/12)))))</f>
        <v/>
      </c>
      <c r="D2667" s="394"/>
      <c r="E2667" s="78" t="str">
        <f>IF(C2667="","",IFERROR(VLOOKUP(C2667,parametros!$A$11:$E$15,5,0),""))</f>
        <v/>
      </c>
      <c r="F2667" s="79" t="str">
        <f t="shared" si="207"/>
        <v/>
      </c>
      <c r="G2667" s="395"/>
      <c r="H2667" s="91">
        <f t="shared" si="208"/>
        <v>0</v>
      </c>
      <c r="I2667" s="91" t="str">
        <f t="shared" si="209"/>
        <v/>
      </c>
      <c r="J2667" s="91" t="str">
        <f t="shared" si="210"/>
        <v/>
      </c>
      <c r="K2667" s="92" t="str">
        <f>IF(AND(A2667="",B2667="",D2667="",G2667=""),"",IF(AND(A2667&lt;&gt;"",COUNTIF($A$2:$A$5001,A2667)&gt;1),"NUMERO_PC duplicado",IF(B2667="","DATA_PC vazia",IF(NOT(ISNUMBER(B2667)),"DATA_PC invalida",IF(OR(C2667="",C2667="Fora dos ciclos"),"CICLO_PC nao identificado",IF(OR(D2667="",D2667=0),"VALOR_PC vazio ou zero",IF(AND(G2667&lt;&gt;"Sim",G2667&lt;&gt;"Nao",G2667&lt;&gt;""),"PC_PAGO_A_CONTRATADA invalido",IF(AND(C2667&lt;&gt;"C0",IFERROR(INDEX(parametros!$A$2:$A$6,MATCH(C2667,parametros!$B$2:$B$6,0)),"")="Sim",IFERROR(INDEX(parametros!$H$2:$H$6,MATCH(C2667,parametros!$B$2:$B$6,0)),"")=""),"INICIO_EFEITO ausente: PC "&amp;A2667&amp;" - "&amp;C2667,IF(L2667="","EFEITO_PC nao calculado: PC "&amp;A2667&amp;" - "&amp;C2667,"OK")))))))))</f>
        <v/>
      </c>
      <c r="L2667" s="92" t="str">
        <f>IF(AND(A2667="",B2667="",D2667="",G2667=""),"",IF(OR(B2667="",NOT(ISNUMBER(B2667)),C2667="",C2667="Fora dos ciclos"),"",IF(C2667="C0","Nao",IF(IFERROR(INDEX(parametros!$A$2:$A$6,MATCH(C2667,parametros!$B$2:$B$6,0)),"")&lt;&gt;"Sim","Nao",IF(IFERROR(INDEX(parametros!$H$2:$H$6,MATCH(C2667,parametros!$B$2:$B$6,0)),"")="","",IF(B2667&gt;=IFERROR(INDEX(parametros!$H$2:$H$6,MATCH(C2667,parametros!$B$2:$B$6,0)),""),"Sim","Nao"))))))</f>
        <v/>
      </c>
      <c r="T2667" s="156"/>
      <c r="U2667" s="214" t="str">
        <f t="shared" si="211"/>
        <v/>
      </c>
      <c r="V2667" s="212" t="s">
        <v>50</v>
      </c>
      <c r="W2667" s="100" t="s">
        <v>168</v>
      </c>
      <c r="X2667" s="100" t="s">
        <v>169</v>
      </c>
      <c r="Y2667" s="101" t="s">
        <v>170</v>
      </c>
      <c r="Z2667" s="101" t="s">
        <v>171</v>
      </c>
      <c r="AA2667" s="101" t="s">
        <v>50</v>
      </c>
      <c r="AB2667" s="101" t="s">
        <v>172</v>
      </c>
      <c r="AC2667" s="102" t="s">
        <v>173</v>
      </c>
    </row>
    <row r="2668" spans="1:29" ht="25.5" customHeight="1" x14ac:dyDescent="0.35">
      <c r="A2668" s="392"/>
      <c r="B2668" s="393"/>
      <c r="C2668" s="99" t="str">
        <f>IF(B2668="","",IF(NOT(ISNUMBER(B2668)),"DATA_PC invalida",IF(NOT(ISNUMBER(parametros!$C$2)),"Fora dos ciclos",IF(OR(B2668&lt;parametros!$C$2,(YEAR(B2668)-YEAR(parametros!$C$2))*12+MONTH(B2668)-MONTH(parametros!$C$2)&gt;59),"Fora dos ciclos","C"&amp;INT(((YEAR(B2668)-YEAR(parametros!$C$2))*12+MONTH(B2668)-MONTH(parametros!$C$2))/12)))))</f>
        <v/>
      </c>
      <c r="D2668" s="394"/>
      <c r="E2668" s="78" t="str">
        <f>IF(C2668="","",IFERROR(VLOOKUP(C2668,parametros!$A$11:$E$15,5,0),""))</f>
        <v/>
      </c>
      <c r="F2668" s="79" t="str">
        <f t="shared" si="207"/>
        <v/>
      </c>
      <c r="G2668" s="395"/>
      <c r="H2668" s="91">
        <f t="shared" si="208"/>
        <v>0</v>
      </c>
      <c r="I2668" s="91" t="str">
        <f t="shared" si="209"/>
        <v/>
      </c>
      <c r="J2668" s="91" t="str">
        <f t="shared" si="210"/>
        <v/>
      </c>
      <c r="K2668" s="92" t="str">
        <f>IF(AND(A2668="",B2668="",D2668="",G2668=""),"",IF(AND(A2668&lt;&gt;"",COUNTIF($A$2:$A$5001,A2668)&gt;1),"NUMERO_PC duplicado",IF(B2668="","DATA_PC vazia",IF(NOT(ISNUMBER(B2668)),"DATA_PC invalida",IF(OR(C2668="",C2668="Fora dos ciclos"),"CICLO_PC nao identificado",IF(OR(D2668="",D2668=0),"VALOR_PC vazio ou zero",IF(AND(G2668&lt;&gt;"Sim",G2668&lt;&gt;"Nao",G2668&lt;&gt;""),"PC_PAGO_A_CONTRATADA invalido",IF(AND(C2668&lt;&gt;"C0",IFERROR(INDEX(parametros!$A$2:$A$6,MATCH(C2668,parametros!$B$2:$B$6,0)),"")="Sim",IFERROR(INDEX(parametros!$H$2:$H$6,MATCH(C2668,parametros!$B$2:$B$6,0)),"")=""),"INICIO_EFEITO ausente: PC "&amp;A2668&amp;" - "&amp;C2668,IF(L2668="","EFEITO_PC nao calculado: PC "&amp;A2668&amp;" - "&amp;C2668,"OK")))))))))</f>
        <v/>
      </c>
      <c r="L2668" s="92" t="str">
        <f>IF(AND(A2668="",B2668="",D2668="",G2668=""),"",IF(OR(B2668="",NOT(ISNUMBER(B2668)),C2668="",C2668="Fora dos ciclos"),"",IF(C2668="C0","Nao",IF(IFERROR(INDEX(parametros!$A$2:$A$6,MATCH(C2668,parametros!$B$2:$B$6,0)),"")&lt;&gt;"Sim","Nao",IF(IFERROR(INDEX(parametros!$H$2:$H$6,MATCH(C2668,parametros!$B$2:$B$6,0)),"")="","",IF(B2668&gt;=IFERROR(INDEX(parametros!$H$2:$H$6,MATCH(C2668,parametros!$B$2:$B$6,0)),""),"Sim","Nao"))))))</f>
        <v/>
      </c>
      <c r="T2668" s="156"/>
      <c r="U2668" s="214" t="str">
        <f t="shared" si="211"/>
        <v/>
      </c>
      <c r="V2668" s="212" t="s">
        <v>50</v>
      </c>
      <c r="W2668" s="100" t="s">
        <v>168</v>
      </c>
      <c r="X2668" s="100" t="s">
        <v>169</v>
      </c>
      <c r="Y2668" s="101" t="s">
        <v>170</v>
      </c>
      <c r="Z2668" s="101" t="s">
        <v>171</v>
      </c>
      <c r="AA2668" s="101" t="s">
        <v>50</v>
      </c>
      <c r="AB2668" s="101" t="s">
        <v>172</v>
      </c>
      <c r="AC2668" s="102" t="s">
        <v>173</v>
      </c>
    </row>
    <row r="2669" spans="1:29" ht="25.5" customHeight="1" x14ac:dyDescent="0.35">
      <c r="A2669" s="392"/>
      <c r="B2669" s="393"/>
      <c r="C2669" s="99" t="str">
        <f>IF(B2669="","",IF(NOT(ISNUMBER(B2669)),"DATA_PC invalida",IF(NOT(ISNUMBER(parametros!$C$2)),"Fora dos ciclos",IF(OR(B2669&lt;parametros!$C$2,(YEAR(B2669)-YEAR(parametros!$C$2))*12+MONTH(B2669)-MONTH(parametros!$C$2)&gt;59),"Fora dos ciclos","C"&amp;INT(((YEAR(B2669)-YEAR(parametros!$C$2))*12+MONTH(B2669)-MONTH(parametros!$C$2))/12)))))</f>
        <v/>
      </c>
      <c r="D2669" s="394"/>
      <c r="E2669" s="78" t="str">
        <f>IF(C2669="","",IFERROR(VLOOKUP(C2669,parametros!$A$11:$E$15,5,0),""))</f>
        <v/>
      </c>
      <c r="F2669" s="79" t="str">
        <f t="shared" si="207"/>
        <v/>
      </c>
      <c r="G2669" s="395"/>
      <c r="H2669" s="91">
        <f t="shared" si="208"/>
        <v>0</v>
      </c>
      <c r="I2669" s="91" t="str">
        <f t="shared" si="209"/>
        <v/>
      </c>
      <c r="J2669" s="91" t="str">
        <f t="shared" si="210"/>
        <v/>
      </c>
      <c r="K2669" s="92" t="str">
        <f>IF(AND(A2669="",B2669="",D2669="",G2669=""),"",IF(AND(A2669&lt;&gt;"",COUNTIF($A$2:$A$5001,A2669)&gt;1),"NUMERO_PC duplicado",IF(B2669="","DATA_PC vazia",IF(NOT(ISNUMBER(B2669)),"DATA_PC invalida",IF(OR(C2669="",C2669="Fora dos ciclos"),"CICLO_PC nao identificado",IF(OR(D2669="",D2669=0),"VALOR_PC vazio ou zero",IF(AND(G2669&lt;&gt;"Sim",G2669&lt;&gt;"Nao",G2669&lt;&gt;""),"PC_PAGO_A_CONTRATADA invalido",IF(AND(C2669&lt;&gt;"C0",IFERROR(INDEX(parametros!$A$2:$A$6,MATCH(C2669,parametros!$B$2:$B$6,0)),"")="Sim",IFERROR(INDEX(parametros!$H$2:$H$6,MATCH(C2669,parametros!$B$2:$B$6,0)),"")=""),"INICIO_EFEITO ausente: PC "&amp;A2669&amp;" - "&amp;C2669,IF(L2669="","EFEITO_PC nao calculado: PC "&amp;A2669&amp;" - "&amp;C2669,"OK")))))))))</f>
        <v/>
      </c>
      <c r="L2669" s="92" t="str">
        <f>IF(AND(A2669="",B2669="",D2669="",G2669=""),"",IF(OR(B2669="",NOT(ISNUMBER(B2669)),C2669="",C2669="Fora dos ciclos"),"",IF(C2669="C0","Nao",IF(IFERROR(INDEX(parametros!$A$2:$A$6,MATCH(C2669,parametros!$B$2:$B$6,0)),"")&lt;&gt;"Sim","Nao",IF(IFERROR(INDEX(parametros!$H$2:$H$6,MATCH(C2669,parametros!$B$2:$B$6,0)),"")="","",IF(B2669&gt;=IFERROR(INDEX(parametros!$H$2:$H$6,MATCH(C2669,parametros!$B$2:$B$6,0)),""),"Sim","Nao"))))))</f>
        <v/>
      </c>
      <c r="T2669" s="156"/>
      <c r="U2669" s="214" t="str">
        <f t="shared" si="211"/>
        <v/>
      </c>
      <c r="V2669" s="212" t="s">
        <v>50</v>
      </c>
      <c r="W2669" s="100" t="s">
        <v>168</v>
      </c>
      <c r="X2669" s="100" t="s">
        <v>169</v>
      </c>
      <c r="Y2669" s="101" t="s">
        <v>170</v>
      </c>
      <c r="Z2669" s="101" t="s">
        <v>171</v>
      </c>
      <c r="AA2669" s="101" t="s">
        <v>50</v>
      </c>
      <c r="AB2669" s="101" t="s">
        <v>172</v>
      </c>
      <c r="AC2669" s="102" t="s">
        <v>173</v>
      </c>
    </row>
    <row r="2670" spans="1:29" ht="25.5" customHeight="1" x14ac:dyDescent="0.35">
      <c r="A2670" s="392"/>
      <c r="B2670" s="393"/>
      <c r="C2670" s="99" t="str">
        <f>IF(B2670="","",IF(NOT(ISNUMBER(B2670)),"DATA_PC invalida",IF(NOT(ISNUMBER(parametros!$C$2)),"Fora dos ciclos",IF(OR(B2670&lt;parametros!$C$2,(YEAR(B2670)-YEAR(parametros!$C$2))*12+MONTH(B2670)-MONTH(parametros!$C$2)&gt;59),"Fora dos ciclos","C"&amp;INT(((YEAR(B2670)-YEAR(parametros!$C$2))*12+MONTH(B2670)-MONTH(parametros!$C$2))/12)))))</f>
        <v/>
      </c>
      <c r="D2670" s="394"/>
      <c r="E2670" s="78" t="str">
        <f>IF(C2670="","",IFERROR(VLOOKUP(C2670,parametros!$A$11:$E$15,5,0),""))</f>
        <v/>
      </c>
      <c r="F2670" s="79" t="str">
        <f t="shared" si="207"/>
        <v/>
      </c>
      <c r="G2670" s="395"/>
      <c r="H2670" s="91">
        <f t="shared" si="208"/>
        <v>0</v>
      </c>
      <c r="I2670" s="91" t="str">
        <f t="shared" si="209"/>
        <v/>
      </c>
      <c r="J2670" s="91" t="str">
        <f t="shared" si="210"/>
        <v/>
      </c>
      <c r="K2670" s="92" t="str">
        <f>IF(AND(A2670="",B2670="",D2670="",G2670=""),"",IF(AND(A2670&lt;&gt;"",COUNTIF($A$2:$A$5001,A2670)&gt;1),"NUMERO_PC duplicado",IF(B2670="","DATA_PC vazia",IF(NOT(ISNUMBER(B2670)),"DATA_PC invalida",IF(OR(C2670="",C2670="Fora dos ciclos"),"CICLO_PC nao identificado",IF(OR(D2670="",D2670=0),"VALOR_PC vazio ou zero",IF(AND(G2670&lt;&gt;"Sim",G2670&lt;&gt;"Nao",G2670&lt;&gt;""),"PC_PAGO_A_CONTRATADA invalido",IF(AND(C2670&lt;&gt;"C0",IFERROR(INDEX(parametros!$A$2:$A$6,MATCH(C2670,parametros!$B$2:$B$6,0)),"")="Sim",IFERROR(INDEX(parametros!$H$2:$H$6,MATCH(C2670,parametros!$B$2:$B$6,0)),"")=""),"INICIO_EFEITO ausente: PC "&amp;A2670&amp;" - "&amp;C2670,IF(L2670="","EFEITO_PC nao calculado: PC "&amp;A2670&amp;" - "&amp;C2670,"OK")))))))))</f>
        <v/>
      </c>
      <c r="L2670" s="92" t="str">
        <f>IF(AND(A2670="",B2670="",D2670="",G2670=""),"",IF(OR(B2670="",NOT(ISNUMBER(B2670)),C2670="",C2670="Fora dos ciclos"),"",IF(C2670="C0","Nao",IF(IFERROR(INDEX(parametros!$A$2:$A$6,MATCH(C2670,parametros!$B$2:$B$6,0)),"")&lt;&gt;"Sim","Nao",IF(IFERROR(INDEX(parametros!$H$2:$H$6,MATCH(C2670,parametros!$B$2:$B$6,0)),"")="","",IF(B2670&gt;=IFERROR(INDEX(parametros!$H$2:$H$6,MATCH(C2670,parametros!$B$2:$B$6,0)),""),"Sim","Nao"))))))</f>
        <v/>
      </c>
      <c r="T2670" s="156"/>
      <c r="U2670" s="214" t="str">
        <f t="shared" si="211"/>
        <v/>
      </c>
      <c r="V2670" s="212" t="s">
        <v>50</v>
      </c>
      <c r="W2670" s="100" t="s">
        <v>168</v>
      </c>
      <c r="X2670" s="100" t="s">
        <v>169</v>
      </c>
      <c r="Y2670" s="101" t="s">
        <v>170</v>
      </c>
      <c r="Z2670" s="101" t="s">
        <v>171</v>
      </c>
      <c r="AA2670" s="101" t="s">
        <v>50</v>
      </c>
      <c r="AB2670" s="101" t="s">
        <v>172</v>
      </c>
      <c r="AC2670" s="102" t="s">
        <v>173</v>
      </c>
    </row>
    <row r="2671" spans="1:29" ht="25.5" customHeight="1" x14ac:dyDescent="0.35">
      <c r="A2671" s="392"/>
      <c r="B2671" s="393"/>
      <c r="C2671" s="99" t="str">
        <f>IF(B2671="","",IF(NOT(ISNUMBER(B2671)),"DATA_PC invalida",IF(NOT(ISNUMBER(parametros!$C$2)),"Fora dos ciclos",IF(OR(B2671&lt;parametros!$C$2,(YEAR(B2671)-YEAR(parametros!$C$2))*12+MONTH(B2671)-MONTH(parametros!$C$2)&gt;59),"Fora dos ciclos","C"&amp;INT(((YEAR(B2671)-YEAR(parametros!$C$2))*12+MONTH(B2671)-MONTH(parametros!$C$2))/12)))))</f>
        <v/>
      </c>
      <c r="D2671" s="394"/>
      <c r="E2671" s="78" t="str">
        <f>IF(C2671="","",IFERROR(VLOOKUP(C2671,parametros!$A$11:$E$15,5,0),""))</f>
        <v/>
      </c>
      <c r="F2671" s="79" t="str">
        <f t="shared" si="207"/>
        <v/>
      </c>
      <c r="G2671" s="395"/>
      <c r="H2671" s="91">
        <f t="shared" si="208"/>
        <v>0</v>
      </c>
      <c r="I2671" s="91" t="str">
        <f t="shared" si="209"/>
        <v/>
      </c>
      <c r="J2671" s="91" t="str">
        <f t="shared" si="210"/>
        <v/>
      </c>
      <c r="K2671" s="92" t="str">
        <f>IF(AND(A2671="",B2671="",D2671="",G2671=""),"",IF(AND(A2671&lt;&gt;"",COUNTIF($A$2:$A$5001,A2671)&gt;1),"NUMERO_PC duplicado",IF(B2671="","DATA_PC vazia",IF(NOT(ISNUMBER(B2671)),"DATA_PC invalida",IF(OR(C2671="",C2671="Fora dos ciclos"),"CICLO_PC nao identificado",IF(OR(D2671="",D2671=0),"VALOR_PC vazio ou zero",IF(AND(G2671&lt;&gt;"Sim",G2671&lt;&gt;"Nao",G2671&lt;&gt;""),"PC_PAGO_A_CONTRATADA invalido",IF(AND(C2671&lt;&gt;"C0",IFERROR(INDEX(parametros!$A$2:$A$6,MATCH(C2671,parametros!$B$2:$B$6,0)),"")="Sim",IFERROR(INDEX(parametros!$H$2:$H$6,MATCH(C2671,parametros!$B$2:$B$6,0)),"")=""),"INICIO_EFEITO ausente: PC "&amp;A2671&amp;" - "&amp;C2671,IF(L2671="","EFEITO_PC nao calculado: PC "&amp;A2671&amp;" - "&amp;C2671,"OK")))))))))</f>
        <v/>
      </c>
      <c r="L2671" s="92" t="str">
        <f>IF(AND(A2671="",B2671="",D2671="",G2671=""),"",IF(OR(B2671="",NOT(ISNUMBER(B2671)),C2671="",C2671="Fora dos ciclos"),"",IF(C2671="C0","Nao",IF(IFERROR(INDEX(parametros!$A$2:$A$6,MATCH(C2671,parametros!$B$2:$B$6,0)),"")&lt;&gt;"Sim","Nao",IF(IFERROR(INDEX(parametros!$H$2:$H$6,MATCH(C2671,parametros!$B$2:$B$6,0)),"")="","",IF(B2671&gt;=IFERROR(INDEX(parametros!$H$2:$H$6,MATCH(C2671,parametros!$B$2:$B$6,0)),""),"Sim","Nao"))))))</f>
        <v/>
      </c>
      <c r="T2671" s="156"/>
      <c r="U2671" s="214" t="str">
        <f t="shared" si="211"/>
        <v/>
      </c>
      <c r="V2671" s="212" t="s">
        <v>50</v>
      </c>
      <c r="W2671" s="100" t="s">
        <v>168</v>
      </c>
      <c r="X2671" s="100" t="s">
        <v>169</v>
      </c>
      <c r="Y2671" s="101" t="s">
        <v>170</v>
      </c>
      <c r="Z2671" s="101" t="s">
        <v>171</v>
      </c>
      <c r="AA2671" s="101" t="s">
        <v>50</v>
      </c>
      <c r="AB2671" s="101" t="s">
        <v>172</v>
      </c>
      <c r="AC2671" s="102" t="s">
        <v>173</v>
      </c>
    </row>
    <row r="2672" spans="1:29" ht="25.5" customHeight="1" x14ac:dyDescent="0.35">
      <c r="A2672" s="392"/>
      <c r="B2672" s="393"/>
      <c r="C2672" s="99" t="str">
        <f>IF(B2672="","",IF(NOT(ISNUMBER(B2672)),"DATA_PC invalida",IF(NOT(ISNUMBER(parametros!$C$2)),"Fora dos ciclos",IF(OR(B2672&lt;parametros!$C$2,(YEAR(B2672)-YEAR(parametros!$C$2))*12+MONTH(B2672)-MONTH(parametros!$C$2)&gt;59),"Fora dos ciclos","C"&amp;INT(((YEAR(B2672)-YEAR(parametros!$C$2))*12+MONTH(B2672)-MONTH(parametros!$C$2))/12)))))</f>
        <v/>
      </c>
      <c r="D2672" s="394"/>
      <c r="E2672" s="78" t="str">
        <f>IF(C2672="","",IFERROR(VLOOKUP(C2672,parametros!$A$11:$E$15,5,0),""))</f>
        <v/>
      </c>
      <c r="F2672" s="79" t="str">
        <f t="shared" si="207"/>
        <v/>
      </c>
      <c r="G2672" s="395"/>
      <c r="H2672" s="91">
        <f t="shared" si="208"/>
        <v>0</v>
      </c>
      <c r="I2672" s="91" t="str">
        <f t="shared" si="209"/>
        <v/>
      </c>
      <c r="J2672" s="91" t="str">
        <f t="shared" si="210"/>
        <v/>
      </c>
      <c r="K2672" s="92" t="str">
        <f>IF(AND(A2672="",B2672="",D2672="",G2672=""),"",IF(AND(A2672&lt;&gt;"",COUNTIF($A$2:$A$5001,A2672)&gt;1),"NUMERO_PC duplicado",IF(B2672="","DATA_PC vazia",IF(NOT(ISNUMBER(B2672)),"DATA_PC invalida",IF(OR(C2672="",C2672="Fora dos ciclos"),"CICLO_PC nao identificado",IF(OR(D2672="",D2672=0),"VALOR_PC vazio ou zero",IF(AND(G2672&lt;&gt;"Sim",G2672&lt;&gt;"Nao",G2672&lt;&gt;""),"PC_PAGO_A_CONTRATADA invalido",IF(AND(C2672&lt;&gt;"C0",IFERROR(INDEX(parametros!$A$2:$A$6,MATCH(C2672,parametros!$B$2:$B$6,0)),"")="Sim",IFERROR(INDEX(parametros!$H$2:$H$6,MATCH(C2672,parametros!$B$2:$B$6,0)),"")=""),"INICIO_EFEITO ausente: PC "&amp;A2672&amp;" - "&amp;C2672,IF(L2672="","EFEITO_PC nao calculado: PC "&amp;A2672&amp;" - "&amp;C2672,"OK")))))))))</f>
        <v/>
      </c>
      <c r="L2672" s="92" t="str">
        <f>IF(AND(A2672="",B2672="",D2672="",G2672=""),"",IF(OR(B2672="",NOT(ISNUMBER(B2672)),C2672="",C2672="Fora dos ciclos"),"",IF(C2672="C0","Nao",IF(IFERROR(INDEX(parametros!$A$2:$A$6,MATCH(C2672,parametros!$B$2:$B$6,0)),"")&lt;&gt;"Sim","Nao",IF(IFERROR(INDEX(parametros!$H$2:$H$6,MATCH(C2672,parametros!$B$2:$B$6,0)),"")="","",IF(B2672&gt;=IFERROR(INDEX(parametros!$H$2:$H$6,MATCH(C2672,parametros!$B$2:$B$6,0)),""),"Sim","Nao"))))))</f>
        <v/>
      </c>
      <c r="T2672" s="156"/>
      <c r="U2672" s="214" t="str">
        <f t="shared" si="211"/>
        <v/>
      </c>
      <c r="V2672" s="212" t="s">
        <v>50</v>
      </c>
      <c r="W2672" s="100" t="s">
        <v>168</v>
      </c>
      <c r="X2672" s="100" t="s">
        <v>169</v>
      </c>
      <c r="Y2672" s="101" t="s">
        <v>170</v>
      </c>
      <c r="Z2672" s="101" t="s">
        <v>171</v>
      </c>
      <c r="AA2672" s="101" t="s">
        <v>50</v>
      </c>
      <c r="AB2672" s="101" t="s">
        <v>172</v>
      </c>
      <c r="AC2672" s="102" t="s">
        <v>173</v>
      </c>
    </row>
    <row r="2673" spans="1:29" ht="25.5" customHeight="1" x14ac:dyDescent="0.35">
      <c r="A2673" s="392"/>
      <c r="B2673" s="393"/>
      <c r="C2673" s="99" t="str">
        <f>IF(B2673="","",IF(NOT(ISNUMBER(B2673)),"DATA_PC invalida",IF(NOT(ISNUMBER(parametros!$C$2)),"Fora dos ciclos",IF(OR(B2673&lt;parametros!$C$2,(YEAR(B2673)-YEAR(parametros!$C$2))*12+MONTH(B2673)-MONTH(parametros!$C$2)&gt;59),"Fora dos ciclos","C"&amp;INT(((YEAR(B2673)-YEAR(parametros!$C$2))*12+MONTH(B2673)-MONTH(parametros!$C$2))/12)))))</f>
        <v/>
      </c>
      <c r="D2673" s="394"/>
      <c r="E2673" s="78" t="str">
        <f>IF(C2673="","",IFERROR(VLOOKUP(C2673,parametros!$A$11:$E$15,5,0),""))</f>
        <v/>
      </c>
      <c r="F2673" s="79" t="str">
        <f t="shared" si="207"/>
        <v/>
      </c>
      <c r="G2673" s="395"/>
      <c r="H2673" s="91">
        <f t="shared" si="208"/>
        <v>0</v>
      </c>
      <c r="I2673" s="91" t="str">
        <f t="shared" si="209"/>
        <v/>
      </c>
      <c r="J2673" s="91" t="str">
        <f t="shared" si="210"/>
        <v/>
      </c>
      <c r="K2673" s="92" t="str">
        <f>IF(AND(A2673="",B2673="",D2673="",G2673=""),"",IF(AND(A2673&lt;&gt;"",COUNTIF($A$2:$A$5001,A2673)&gt;1),"NUMERO_PC duplicado",IF(B2673="","DATA_PC vazia",IF(NOT(ISNUMBER(B2673)),"DATA_PC invalida",IF(OR(C2673="",C2673="Fora dos ciclos"),"CICLO_PC nao identificado",IF(OR(D2673="",D2673=0),"VALOR_PC vazio ou zero",IF(AND(G2673&lt;&gt;"Sim",G2673&lt;&gt;"Nao",G2673&lt;&gt;""),"PC_PAGO_A_CONTRATADA invalido",IF(AND(C2673&lt;&gt;"C0",IFERROR(INDEX(parametros!$A$2:$A$6,MATCH(C2673,parametros!$B$2:$B$6,0)),"")="Sim",IFERROR(INDEX(parametros!$H$2:$H$6,MATCH(C2673,parametros!$B$2:$B$6,0)),"")=""),"INICIO_EFEITO ausente: PC "&amp;A2673&amp;" - "&amp;C2673,IF(L2673="","EFEITO_PC nao calculado: PC "&amp;A2673&amp;" - "&amp;C2673,"OK")))))))))</f>
        <v/>
      </c>
      <c r="L2673" s="92" t="str">
        <f>IF(AND(A2673="",B2673="",D2673="",G2673=""),"",IF(OR(B2673="",NOT(ISNUMBER(B2673)),C2673="",C2673="Fora dos ciclos"),"",IF(C2673="C0","Nao",IF(IFERROR(INDEX(parametros!$A$2:$A$6,MATCH(C2673,parametros!$B$2:$B$6,0)),"")&lt;&gt;"Sim","Nao",IF(IFERROR(INDEX(parametros!$H$2:$H$6,MATCH(C2673,parametros!$B$2:$B$6,0)),"")="","",IF(B2673&gt;=IFERROR(INDEX(parametros!$H$2:$H$6,MATCH(C2673,parametros!$B$2:$B$6,0)),""),"Sim","Nao"))))))</f>
        <v/>
      </c>
      <c r="T2673" s="156"/>
      <c r="U2673" s="214" t="str">
        <f t="shared" si="211"/>
        <v/>
      </c>
      <c r="V2673" s="212" t="s">
        <v>50</v>
      </c>
      <c r="W2673" s="100" t="s">
        <v>168</v>
      </c>
      <c r="X2673" s="100" t="s">
        <v>169</v>
      </c>
      <c r="Y2673" s="101" t="s">
        <v>170</v>
      </c>
      <c r="Z2673" s="101" t="s">
        <v>171</v>
      </c>
      <c r="AA2673" s="101" t="s">
        <v>50</v>
      </c>
      <c r="AB2673" s="101" t="s">
        <v>172</v>
      </c>
      <c r="AC2673" s="102" t="s">
        <v>173</v>
      </c>
    </row>
    <row r="2674" spans="1:29" ht="25.5" customHeight="1" x14ac:dyDescent="0.35">
      <c r="A2674" s="392"/>
      <c r="B2674" s="393"/>
      <c r="C2674" s="99" t="str">
        <f>IF(B2674="","",IF(NOT(ISNUMBER(B2674)),"DATA_PC invalida",IF(NOT(ISNUMBER(parametros!$C$2)),"Fora dos ciclos",IF(OR(B2674&lt;parametros!$C$2,(YEAR(B2674)-YEAR(parametros!$C$2))*12+MONTH(B2674)-MONTH(parametros!$C$2)&gt;59),"Fora dos ciclos","C"&amp;INT(((YEAR(B2674)-YEAR(parametros!$C$2))*12+MONTH(B2674)-MONTH(parametros!$C$2))/12)))))</f>
        <v/>
      </c>
      <c r="D2674" s="394"/>
      <c r="E2674" s="78" t="str">
        <f>IF(C2674="","",IFERROR(VLOOKUP(C2674,parametros!$A$11:$E$15,5,0),""))</f>
        <v/>
      </c>
      <c r="F2674" s="79" t="str">
        <f t="shared" si="207"/>
        <v/>
      </c>
      <c r="G2674" s="395"/>
      <c r="H2674" s="91">
        <f t="shared" si="208"/>
        <v>0</v>
      </c>
      <c r="I2674" s="91" t="str">
        <f t="shared" si="209"/>
        <v/>
      </c>
      <c r="J2674" s="91" t="str">
        <f t="shared" si="210"/>
        <v/>
      </c>
      <c r="K2674" s="92" t="str">
        <f>IF(AND(A2674="",B2674="",D2674="",G2674=""),"",IF(AND(A2674&lt;&gt;"",COUNTIF($A$2:$A$5001,A2674)&gt;1),"NUMERO_PC duplicado",IF(B2674="","DATA_PC vazia",IF(NOT(ISNUMBER(B2674)),"DATA_PC invalida",IF(OR(C2674="",C2674="Fora dos ciclos"),"CICLO_PC nao identificado",IF(OR(D2674="",D2674=0),"VALOR_PC vazio ou zero",IF(AND(G2674&lt;&gt;"Sim",G2674&lt;&gt;"Nao",G2674&lt;&gt;""),"PC_PAGO_A_CONTRATADA invalido",IF(AND(C2674&lt;&gt;"C0",IFERROR(INDEX(parametros!$A$2:$A$6,MATCH(C2674,parametros!$B$2:$B$6,0)),"")="Sim",IFERROR(INDEX(parametros!$H$2:$H$6,MATCH(C2674,parametros!$B$2:$B$6,0)),"")=""),"INICIO_EFEITO ausente: PC "&amp;A2674&amp;" - "&amp;C2674,IF(L2674="","EFEITO_PC nao calculado: PC "&amp;A2674&amp;" - "&amp;C2674,"OK")))))))))</f>
        <v/>
      </c>
      <c r="L2674" s="92" t="str">
        <f>IF(AND(A2674="",B2674="",D2674="",G2674=""),"",IF(OR(B2674="",NOT(ISNUMBER(B2674)),C2674="",C2674="Fora dos ciclos"),"",IF(C2674="C0","Nao",IF(IFERROR(INDEX(parametros!$A$2:$A$6,MATCH(C2674,parametros!$B$2:$B$6,0)),"")&lt;&gt;"Sim","Nao",IF(IFERROR(INDEX(parametros!$H$2:$H$6,MATCH(C2674,parametros!$B$2:$B$6,0)),"")="","",IF(B2674&gt;=IFERROR(INDEX(parametros!$H$2:$H$6,MATCH(C2674,parametros!$B$2:$B$6,0)),""),"Sim","Nao"))))))</f>
        <v/>
      </c>
      <c r="T2674" s="156"/>
      <c r="U2674" s="214" t="str">
        <f t="shared" si="211"/>
        <v/>
      </c>
      <c r="V2674" s="212" t="s">
        <v>50</v>
      </c>
      <c r="W2674" s="100" t="s">
        <v>168</v>
      </c>
      <c r="X2674" s="100" t="s">
        <v>169</v>
      </c>
      <c r="Y2674" s="101" t="s">
        <v>170</v>
      </c>
      <c r="Z2674" s="101" t="s">
        <v>171</v>
      </c>
      <c r="AA2674" s="101" t="s">
        <v>50</v>
      </c>
      <c r="AB2674" s="101" t="s">
        <v>172</v>
      </c>
      <c r="AC2674" s="102" t="s">
        <v>173</v>
      </c>
    </row>
    <row r="2675" spans="1:29" ht="25.5" customHeight="1" x14ac:dyDescent="0.35">
      <c r="A2675" s="392"/>
      <c r="B2675" s="393"/>
      <c r="C2675" s="99" t="str">
        <f>IF(B2675="","",IF(NOT(ISNUMBER(B2675)),"DATA_PC invalida",IF(NOT(ISNUMBER(parametros!$C$2)),"Fora dos ciclos",IF(OR(B2675&lt;parametros!$C$2,(YEAR(B2675)-YEAR(parametros!$C$2))*12+MONTH(B2675)-MONTH(parametros!$C$2)&gt;59),"Fora dos ciclos","C"&amp;INT(((YEAR(B2675)-YEAR(parametros!$C$2))*12+MONTH(B2675)-MONTH(parametros!$C$2))/12)))))</f>
        <v/>
      </c>
      <c r="D2675" s="394"/>
      <c r="E2675" s="78" t="str">
        <f>IF(C2675="","",IFERROR(VLOOKUP(C2675,parametros!$A$11:$E$15,5,0),""))</f>
        <v/>
      </c>
      <c r="F2675" s="79" t="str">
        <f t="shared" si="207"/>
        <v/>
      </c>
      <c r="G2675" s="395"/>
      <c r="H2675" s="91">
        <f t="shared" si="208"/>
        <v>0</v>
      </c>
      <c r="I2675" s="91" t="str">
        <f t="shared" si="209"/>
        <v/>
      </c>
      <c r="J2675" s="91" t="str">
        <f t="shared" si="210"/>
        <v/>
      </c>
      <c r="K2675" s="92" t="str">
        <f>IF(AND(A2675="",B2675="",D2675="",G2675=""),"",IF(AND(A2675&lt;&gt;"",COUNTIF($A$2:$A$5001,A2675)&gt;1),"NUMERO_PC duplicado",IF(B2675="","DATA_PC vazia",IF(NOT(ISNUMBER(B2675)),"DATA_PC invalida",IF(OR(C2675="",C2675="Fora dos ciclos"),"CICLO_PC nao identificado",IF(OR(D2675="",D2675=0),"VALOR_PC vazio ou zero",IF(AND(G2675&lt;&gt;"Sim",G2675&lt;&gt;"Nao",G2675&lt;&gt;""),"PC_PAGO_A_CONTRATADA invalido",IF(AND(C2675&lt;&gt;"C0",IFERROR(INDEX(parametros!$A$2:$A$6,MATCH(C2675,parametros!$B$2:$B$6,0)),"")="Sim",IFERROR(INDEX(parametros!$H$2:$H$6,MATCH(C2675,parametros!$B$2:$B$6,0)),"")=""),"INICIO_EFEITO ausente: PC "&amp;A2675&amp;" - "&amp;C2675,IF(L2675="","EFEITO_PC nao calculado: PC "&amp;A2675&amp;" - "&amp;C2675,"OK")))))))))</f>
        <v/>
      </c>
      <c r="L2675" s="92" t="str">
        <f>IF(AND(A2675="",B2675="",D2675="",G2675=""),"",IF(OR(B2675="",NOT(ISNUMBER(B2675)),C2675="",C2675="Fora dos ciclos"),"",IF(C2675="C0","Nao",IF(IFERROR(INDEX(parametros!$A$2:$A$6,MATCH(C2675,parametros!$B$2:$B$6,0)),"")&lt;&gt;"Sim","Nao",IF(IFERROR(INDEX(parametros!$H$2:$H$6,MATCH(C2675,parametros!$B$2:$B$6,0)),"")="","",IF(B2675&gt;=IFERROR(INDEX(parametros!$H$2:$H$6,MATCH(C2675,parametros!$B$2:$B$6,0)),""),"Sim","Nao"))))))</f>
        <v/>
      </c>
      <c r="T2675" s="156"/>
      <c r="U2675" s="214" t="str">
        <f t="shared" si="211"/>
        <v/>
      </c>
      <c r="V2675" s="212" t="s">
        <v>50</v>
      </c>
      <c r="W2675" s="100" t="s">
        <v>168</v>
      </c>
      <c r="X2675" s="100" t="s">
        <v>169</v>
      </c>
      <c r="Y2675" s="101" t="s">
        <v>170</v>
      </c>
      <c r="Z2675" s="101" t="s">
        <v>171</v>
      </c>
      <c r="AA2675" s="101" t="s">
        <v>50</v>
      </c>
      <c r="AB2675" s="101" t="s">
        <v>172</v>
      </c>
      <c r="AC2675" s="102" t="s">
        <v>173</v>
      </c>
    </row>
    <row r="2676" spans="1:29" ht="25.5" customHeight="1" x14ac:dyDescent="0.35">
      <c r="A2676" s="392"/>
      <c r="B2676" s="393"/>
      <c r="C2676" s="99" t="str">
        <f>IF(B2676="","",IF(NOT(ISNUMBER(B2676)),"DATA_PC invalida",IF(NOT(ISNUMBER(parametros!$C$2)),"Fora dos ciclos",IF(OR(B2676&lt;parametros!$C$2,(YEAR(B2676)-YEAR(parametros!$C$2))*12+MONTH(B2676)-MONTH(parametros!$C$2)&gt;59),"Fora dos ciclos","C"&amp;INT(((YEAR(B2676)-YEAR(parametros!$C$2))*12+MONTH(B2676)-MONTH(parametros!$C$2))/12)))))</f>
        <v/>
      </c>
      <c r="D2676" s="394"/>
      <c r="E2676" s="78" t="str">
        <f>IF(C2676="","",IFERROR(VLOOKUP(C2676,parametros!$A$11:$E$15,5,0),""))</f>
        <v/>
      </c>
      <c r="F2676" s="79" t="str">
        <f t="shared" si="207"/>
        <v/>
      </c>
      <c r="G2676" s="395"/>
      <c r="H2676" s="91">
        <f t="shared" si="208"/>
        <v>0</v>
      </c>
      <c r="I2676" s="91" t="str">
        <f t="shared" si="209"/>
        <v/>
      </c>
      <c r="J2676" s="91" t="str">
        <f t="shared" si="210"/>
        <v/>
      </c>
      <c r="K2676" s="92" t="str">
        <f>IF(AND(A2676="",B2676="",D2676="",G2676=""),"",IF(AND(A2676&lt;&gt;"",COUNTIF($A$2:$A$5001,A2676)&gt;1),"NUMERO_PC duplicado",IF(B2676="","DATA_PC vazia",IF(NOT(ISNUMBER(B2676)),"DATA_PC invalida",IF(OR(C2676="",C2676="Fora dos ciclos"),"CICLO_PC nao identificado",IF(OR(D2676="",D2676=0),"VALOR_PC vazio ou zero",IF(AND(G2676&lt;&gt;"Sim",G2676&lt;&gt;"Nao",G2676&lt;&gt;""),"PC_PAGO_A_CONTRATADA invalido",IF(AND(C2676&lt;&gt;"C0",IFERROR(INDEX(parametros!$A$2:$A$6,MATCH(C2676,parametros!$B$2:$B$6,0)),"")="Sim",IFERROR(INDEX(parametros!$H$2:$H$6,MATCH(C2676,parametros!$B$2:$B$6,0)),"")=""),"INICIO_EFEITO ausente: PC "&amp;A2676&amp;" - "&amp;C2676,IF(L2676="","EFEITO_PC nao calculado: PC "&amp;A2676&amp;" - "&amp;C2676,"OK")))))))))</f>
        <v/>
      </c>
      <c r="L2676" s="92" t="str">
        <f>IF(AND(A2676="",B2676="",D2676="",G2676=""),"",IF(OR(B2676="",NOT(ISNUMBER(B2676)),C2676="",C2676="Fora dos ciclos"),"",IF(C2676="C0","Nao",IF(IFERROR(INDEX(parametros!$A$2:$A$6,MATCH(C2676,parametros!$B$2:$B$6,0)),"")&lt;&gt;"Sim","Nao",IF(IFERROR(INDEX(parametros!$H$2:$H$6,MATCH(C2676,parametros!$B$2:$B$6,0)),"")="","",IF(B2676&gt;=IFERROR(INDEX(parametros!$H$2:$H$6,MATCH(C2676,parametros!$B$2:$B$6,0)),""),"Sim","Nao"))))))</f>
        <v/>
      </c>
      <c r="T2676" s="156"/>
      <c r="U2676" s="214" t="str">
        <f t="shared" si="211"/>
        <v/>
      </c>
      <c r="V2676" s="212" t="s">
        <v>50</v>
      </c>
      <c r="W2676" s="100" t="s">
        <v>168</v>
      </c>
      <c r="X2676" s="100" t="s">
        <v>169</v>
      </c>
      <c r="Y2676" s="101" t="s">
        <v>170</v>
      </c>
      <c r="Z2676" s="101" t="s">
        <v>171</v>
      </c>
      <c r="AA2676" s="101" t="s">
        <v>50</v>
      </c>
      <c r="AB2676" s="101" t="s">
        <v>172</v>
      </c>
      <c r="AC2676" s="102" t="s">
        <v>173</v>
      </c>
    </row>
    <row r="2677" spans="1:29" ht="25.5" customHeight="1" x14ac:dyDescent="0.35">
      <c r="A2677" s="392"/>
      <c r="B2677" s="393"/>
      <c r="C2677" s="99" t="str">
        <f>IF(B2677="","",IF(NOT(ISNUMBER(B2677)),"DATA_PC invalida",IF(NOT(ISNUMBER(parametros!$C$2)),"Fora dos ciclos",IF(OR(B2677&lt;parametros!$C$2,(YEAR(B2677)-YEAR(parametros!$C$2))*12+MONTH(B2677)-MONTH(parametros!$C$2)&gt;59),"Fora dos ciclos","C"&amp;INT(((YEAR(B2677)-YEAR(parametros!$C$2))*12+MONTH(B2677)-MONTH(parametros!$C$2))/12)))))</f>
        <v/>
      </c>
      <c r="D2677" s="394"/>
      <c r="E2677" s="78" t="str">
        <f>IF(C2677="","",IFERROR(VLOOKUP(C2677,parametros!$A$11:$E$15,5,0),""))</f>
        <v/>
      </c>
      <c r="F2677" s="79" t="str">
        <f t="shared" si="207"/>
        <v/>
      </c>
      <c r="G2677" s="395"/>
      <c r="H2677" s="91">
        <f t="shared" si="208"/>
        <v>0</v>
      </c>
      <c r="I2677" s="91" t="str">
        <f t="shared" si="209"/>
        <v/>
      </c>
      <c r="J2677" s="91" t="str">
        <f t="shared" si="210"/>
        <v/>
      </c>
      <c r="K2677" s="92" t="str">
        <f>IF(AND(A2677="",B2677="",D2677="",G2677=""),"",IF(AND(A2677&lt;&gt;"",COUNTIF($A$2:$A$5001,A2677)&gt;1),"NUMERO_PC duplicado",IF(B2677="","DATA_PC vazia",IF(NOT(ISNUMBER(B2677)),"DATA_PC invalida",IF(OR(C2677="",C2677="Fora dos ciclos"),"CICLO_PC nao identificado",IF(OR(D2677="",D2677=0),"VALOR_PC vazio ou zero",IF(AND(G2677&lt;&gt;"Sim",G2677&lt;&gt;"Nao",G2677&lt;&gt;""),"PC_PAGO_A_CONTRATADA invalido",IF(AND(C2677&lt;&gt;"C0",IFERROR(INDEX(parametros!$A$2:$A$6,MATCH(C2677,parametros!$B$2:$B$6,0)),"")="Sim",IFERROR(INDEX(parametros!$H$2:$H$6,MATCH(C2677,parametros!$B$2:$B$6,0)),"")=""),"INICIO_EFEITO ausente: PC "&amp;A2677&amp;" - "&amp;C2677,IF(L2677="","EFEITO_PC nao calculado: PC "&amp;A2677&amp;" - "&amp;C2677,"OK")))))))))</f>
        <v/>
      </c>
      <c r="L2677" s="92" t="str">
        <f>IF(AND(A2677="",B2677="",D2677="",G2677=""),"",IF(OR(B2677="",NOT(ISNUMBER(B2677)),C2677="",C2677="Fora dos ciclos"),"",IF(C2677="C0","Nao",IF(IFERROR(INDEX(parametros!$A$2:$A$6,MATCH(C2677,parametros!$B$2:$B$6,0)),"")&lt;&gt;"Sim","Nao",IF(IFERROR(INDEX(parametros!$H$2:$H$6,MATCH(C2677,parametros!$B$2:$B$6,0)),"")="","",IF(B2677&gt;=IFERROR(INDEX(parametros!$H$2:$H$6,MATCH(C2677,parametros!$B$2:$B$6,0)),""),"Sim","Nao"))))))</f>
        <v/>
      </c>
      <c r="T2677" s="156"/>
      <c r="U2677" s="214" t="str">
        <f t="shared" si="211"/>
        <v/>
      </c>
      <c r="V2677" s="212" t="s">
        <v>50</v>
      </c>
      <c r="W2677" s="100" t="s">
        <v>168</v>
      </c>
      <c r="X2677" s="100" t="s">
        <v>169</v>
      </c>
      <c r="Y2677" s="101" t="s">
        <v>170</v>
      </c>
      <c r="Z2677" s="101" t="s">
        <v>171</v>
      </c>
      <c r="AA2677" s="101" t="s">
        <v>50</v>
      </c>
      <c r="AB2677" s="101" t="s">
        <v>172</v>
      </c>
      <c r="AC2677" s="102" t="s">
        <v>173</v>
      </c>
    </row>
    <row r="2678" spans="1:29" ht="25.5" customHeight="1" x14ac:dyDescent="0.35">
      <c r="A2678" s="392"/>
      <c r="B2678" s="393"/>
      <c r="C2678" s="99" t="str">
        <f>IF(B2678="","",IF(NOT(ISNUMBER(B2678)),"DATA_PC invalida",IF(NOT(ISNUMBER(parametros!$C$2)),"Fora dos ciclos",IF(OR(B2678&lt;parametros!$C$2,(YEAR(B2678)-YEAR(parametros!$C$2))*12+MONTH(B2678)-MONTH(parametros!$C$2)&gt;59),"Fora dos ciclos","C"&amp;INT(((YEAR(B2678)-YEAR(parametros!$C$2))*12+MONTH(B2678)-MONTH(parametros!$C$2))/12)))))</f>
        <v/>
      </c>
      <c r="D2678" s="394"/>
      <c r="E2678" s="78" t="str">
        <f>IF(C2678="","",IFERROR(VLOOKUP(C2678,parametros!$A$11:$E$15,5,0),""))</f>
        <v/>
      </c>
      <c r="F2678" s="79" t="str">
        <f t="shared" si="207"/>
        <v/>
      </c>
      <c r="G2678" s="395"/>
      <c r="H2678" s="91">
        <f t="shared" si="208"/>
        <v>0</v>
      </c>
      <c r="I2678" s="91" t="str">
        <f t="shared" si="209"/>
        <v/>
      </c>
      <c r="J2678" s="91" t="str">
        <f t="shared" si="210"/>
        <v/>
      </c>
      <c r="K2678" s="92" t="str">
        <f>IF(AND(A2678="",B2678="",D2678="",G2678=""),"",IF(AND(A2678&lt;&gt;"",COUNTIF($A$2:$A$5001,A2678)&gt;1),"NUMERO_PC duplicado",IF(B2678="","DATA_PC vazia",IF(NOT(ISNUMBER(B2678)),"DATA_PC invalida",IF(OR(C2678="",C2678="Fora dos ciclos"),"CICLO_PC nao identificado",IF(OR(D2678="",D2678=0),"VALOR_PC vazio ou zero",IF(AND(G2678&lt;&gt;"Sim",G2678&lt;&gt;"Nao",G2678&lt;&gt;""),"PC_PAGO_A_CONTRATADA invalido",IF(AND(C2678&lt;&gt;"C0",IFERROR(INDEX(parametros!$A$2:$A$6,MATCH(C2678,parametros!$B$2:$B$6,0)),"")="Sim",IFERROR(INDEX(parametros!$H$2:$H$6,MATCH(C2678,parametros!$B$2:$B$6,0)),"")=""),"INICIO_EFEITO ausente: PC "&amp;A2678&amp;" - "&amp;C2678,IF(L2678="","EFEITO_PC nao calculado: PC "&amp;A2678&amp;" - "&amp;C2678,"OK")))))))))</f>
        <v/>
      </c>
      <c r="L2678" s="92" t="str">
        <f>IF(AND(A2678="",B2678="",D2678="",G2678=""),"",IF(OR(B2678="",NOT(ISNUMBER(B2678)),C2678="",C2678="Fora dos ciclos"),"",IF(C2678="C0","Nao",IF(IFERROR(INDEX(parametros!$A$2:$A$6,MATCH(C2678,parametros!$B$2:$B$6,0)),"")&lt;&gt;"Sim","Nao",IF(IFERROR(INDEX(parametros!$H$2:$H$6,MATCH(C2678,parametros!$B$2:$B$6,0)),"")="","",IF(B2678&gt;=IFERROR(INDEX(parametros!$H$2:$H$6,MATCH(C2678,parametros!$B$2:$B$6,0)),""),"Sim","Nao"))))))</f>
        <v/>
      </c>
      <c r="T2678" s="156"/>
      <c r="U2678" s="214" t="str">
        <f t="shared" si="211"/>
        <v/>
      </c>
      <c r="V2678" s="212" t="s">
        <v>50</v>
      </c>
      <c r="W2678" s="100" t="s">
        <v>168</v>
      </c>
      <c r="X2678" s="100" t="s">
        <v>169</v>
      </c>
      <c r="Y2678" s="101" t="s">
        <v>170</v>
      </c>
      <c r="Z2678" s="101" t="s">
        <v>171</v>
      </c>
      <c r="AA2678" s="101" t="s">
        <v>50</v>
      </c>
      <c r="AB2678" s="101" t="s">
        <v>172</v>
      </c>
      <c r="AC2678" s="102" t="s">
        <v>173</v>
      </c>
    </row>
    <row r="2679" spans="1:29" ht="25.5" customHeight="1" x14ac:dyDescent="0.35">
      <c r="A2679" s="392"/>
      <c r="B2679" s="393"/>
      <c r="C2679" s="99" t="str">
        <f>IF(B2679="","",IF(NOT(ISNUMBER(B2679)),"DATA_PC invalida",IF(NOT(ISNUMBER(parametros!$C$2)),"Fora dos ciclos",IF(OR(B2679&lt;parametros!$C$2,(YEAR(B2679)-YEAR(parametros!$C$2))*12+MONTH(B2679)-MONTH(parametros!$C$2)&gt;59),"Fora dos ciclos","C"&amp;INT(((YEAR(B2679)-YEAR(parametros!$C$2))*12+MONTH(B2679)-MONTH(parametros!$C$2))/12)))))</f>
        <v/>
      </c>
      <c r="D2679" s="394"/>
      <c r="E2679" s="78" t="str">
        <f>IF(C2679="","",IFERROR(VLOOKUP(C2679,parametros!$A$11:$E$15,5,0),""))</f>
        <v/>
      </c>
      <c r="F2679" s="79" t="str">
        <f t="shared" si="207"/>
        <v/>
      </c>
      <c r="G2679" s="395"/>
      <c r="H2679" s="91">
        <f t="shared" si="208"/>
        <v>0</v>
      </c>
      <c r="I2679" s="91" t="str">
        <f t="shared" si="209"/>
        <v/>
      </c>
      <c r="J2679" s="91" t="str">
        <f t="shared" si="210"/>
        <v/>
      </c>
      <c r="K2679" s="92" t="str">
        <f>IF(AND(A2679="",B2679="",D2679="",G2679=""),"",IF(AND(A2679&lt;&gt;"",COUNTIF($A$2:$A$5001,A2679)&gt;1),"NUMERO_PC duplicado",IF(B2679="","DATA_PC vazia",IF(NOT(ISNUMBER(B2679)),"DATA_PC invalida",IF(OR(C2679="",C2679="Fora dos ciclos"),"CICLO_PC nao identificado",IF(OR(D2679="",D2679=0),"VALOR_PC vazio ou zero",IF(AND(G2679&lt;&gt;"Sim",G2679&lt;&gt;"Nao",G2679&lt;&gt;""),"PC_PAGO_A_CONTRATADA invalido",IF(AND(C2679&lt;&gt;"C0",IFERROR(INDEX(parametros!$A$2:$A$6,MATCH(C2679,parametros!$B$2:$B$6,0)),"")="Sim",IFERROR(INDEX(parametros!$H$2:$H$6,MATCH(C2679,parametros!$B$2:$B$6,0)),"")=""),"INICIO_EFEITO ausente: PC "&amp;A2679&amp;" - "&amp;C2679,IF(L2679="","EFEITO_PC nao calculado: PC "&amp;A2679&amp;" - "&amp;C2679,"OK")))))))))</f>
        <v/>
      </c>
      <c r="L2679" s="92" t="str">
        <f>IF(AND(A2679="",B2679="",D2679="",G2679=""),"",IF(OR(B2679="",NOT(ISNUMBER(B2679)),C2679="",C2679="Fora dos ciclos"),"",IF(C2679="C0","Nao",IF(IFERROR(INDEX(parametros!$A$2:$A$6,MATCH(C2679,parametros!$B$2:$B$6,0)),"")&lt;&gt;"Sim","Nao",IF(IFERROR(INDEX(parametros!$H$2:$H$6,MATCH(C2679,parametros!$B$2:$B$6,0)),"")="","",IF(B2679&gt;=IFERROR(INDEX(parametros!$H$2:$H$6,MATCH(C2679,parametros!$B$2:$B$6,0)),""),"Sim","Nao"))))))</f>
        <v/>
      </c>
      <c r="T2679" s="156"/>
      <c r="U2679" s="214" t="str">
        <f t="shared" si="211"/>
        <v/>
      </c>
      <c r="V2679" s="212" t="s">
        <v>50</v>
      </c>
      <c r="W2679" s="100" t="s">
        <v>168</v>
      </c>
      <c r="X2679" s="100" t="s">
        <v>169</v>
      </c>
      <c r="Y2679" s="101" t="s">
        <v>170</v>
      </c>
      <c r="Z2679" s="101" t="s">
        <v>171</v>
      </c>
      <c r="AA2679" s="101" t="s">
        <v>50</v>
      </c>
      <c r="AB2679" s="101" t="s">
        <v>172</v>
      </c>
      <c r="AC2679" s="102" t="s">
        <v>173</v>
      </c>
    </row>
    <row r="2680" spans="1:29" ht="25.5" customHeight="1" x14ac:dyDescent="0.35">
      <c r="A2680" s="392"/>
      <c r="B2680" s="393"/>
      <c r="C2680" s="99" t="str">
        <f>IF(B2680="","",IF(NOT(ISNUMBER(B2680)),"DATA_PC invalida",IF(NOT(ISNUMBER(parametros!$C$2)),"Fora dos ciclos",IF(OR(B2680&lt;parametros!$C$2,(YEAR(B2680)-YEAR(parametros!$C$2))*12+MONTH(B2680)-MONTH(parametros!$C$2)&gt;59),"Fora dos ciclos","C"&amp;INT(((YEAR(B2680)-YEAR(parametros!$C$2))*12+MONTH(B2680)-MONTH(parametros!$C$2))/12)))))</f>
        <v/>
      </c>
      <c r="D2680" s="394"/>
      <c r="E2680" s="78" t="str">
        <f>IF(C2680="","",IFERROR(VLOOKUP(C2680,parametros!$A$11:$E$15,5,0),""))</f>
        <v/>
      </c>
      <c r="F2680" s="79" t="str">
        <f t="shared" si="207"/>
        <v/>
      </c>
      <c r="G2680" s="395"/>
      <c r="H2680" s="91">
        <f t="shared" si="208"/>
        <v>0</v>
      </c>
      <c r="I2680" s="91" t="str">
        <f t="shared" si="209"/>
        <v/>
      </c>
      <c r="J2680" s="91" t="str">
        <f t="shared" si="210"/>
        <v/>
      </c>
      <c r="K2680" s="92" t="str">
        <f>IF(AND(A2680="",B2680="",D2680="",G2680=""),"",IF(AND(A2680&lt;&gt;"",COUNTIF($A$2:$A$5001,A2680)&gt;1),"NUMERO_PC duplicado",IF(B2680="","DATA_PC vazia",IF(NOT(ISNUMBER(B2680)),"DATA_PC invalida",IF(OR(C2680="",C2680="Fora dos ciclos"),"CICLO_PC nao identificado",IF(OR(D2680="",D2680=0),"VALOR_PC vazio ou zero",IF(AND(G2680&lt;&gt;"Sim",G2680&lt;&gt;"Nao",G2680&lt;&gt;""),"PC_PAGO_A_CONTRATADA invalido",IF(AND(C2680&lt;&gt;"C0",IFERROR(INDEX(parametros!$A$2:$A$6,MATCH(C2680,parametros!$B$2:$B$6,0)),"")="Sim",IFERROR(INDEX(parametros!$H$2:$H$6,MATCH(C2680,parametros!$B$2:$B$6,0)),"")=""),"INICIO_EFEITO ausente: PC "&amp;A2680&amp;" - "&amp;C2680,IF(L2680="","EFEITO_PC nao calculado: PC "&amp;A2680&amp;" - "&amp;C2680,"OK")))))))))</f>
        <v/>
      </c>
      <c r="L2680" s="92" t="str">
        <f>IF(AND(A2680="",B2680="",D2680="",G2680=""),"",IF(OR(B2680="",NOT(ISNUMBER(B2680)),C2680="",C2680="Fora dos ciclos"),"",IF(C2680="C0","Nao",IF(IFERROR(INDEX(parametros!$A$2:$A$6,MATCH(C2680,parametros!$B$2:$B$6,0)),"")&lt;&gt;"Sim","Nao",IF(IFERROR(INDEX(parametros!$H$2:$H$6,MATCH(C2680,parametros!$B$2:$B$6,0)),"")="","",IF(B2680&gt;=IFERROR(INDEX(parametros!$H$2:$H$6,MATCH(C2680,parametros!$B$2:$B$6,0)),""),"Sim","Nao"))))))</f>
        <v/>
      </c>
      <c r="T2680" s="156"/>
      <c r="U2680" s="214" t="str">
        <f t="shared" si="211"/>
        <v/>
      </c>
      <c r="V2680" s="212" t="s">
        <v>50</v>
      </c>
      <c r="W2680" s="100" t="s">
        <v>168</v>
      </c>
      <c r="X2680" s="100" t="s">
        <v>169</v>
      </c>
      <c r="Y2680" s="101" t="s">
        <v>170</v>
      </c>
      <c r="Z2680" s="101" t="s">
        <v>171</v>
      </c>
      <c r="AA2680" s="101" t="s">
        <v>50</v>
      </c>
      <c r="AB2680" s="101" t="s">
        <v>172</v>
      </c>
      <c r="AC2680" s="102" t="s">
        <v>173</v>
      </c>
    </row>
    <row r="2681" spans="1:29" ht="25.5" customHeight="1" x14ac:dyDescent="0.35">
      <c r="A2681" s="392"/>
      <c r="B2681" s="393"/>
      <c r="C2681" s="99" t="str">
        <f>IF(B2681="","",IF(NOT(ISNUMBER(B2681)),"DATA_PC invalida",IF(NOT(ISNUMBER(parametros!$C$2)),"Fora dos ciclos",IF(OR(B2681&lt;parametros!$C$2,(YEAR(B2681)-YEAR(parametros!$C$2))*12+MONTH(B2681)-MONTH(parametros!$C$2)&gt;59),"Fora dos ciclos","C"&amp;INT(((YEAR(B2681)-YEAR(parametros!$C$2))*12+MONTH(B2681)-MONTH(parametros!$C$2))/12)))))</f>
        <v/>
      </c>
      <c r="D2681" s="394"/>
      <c r="E2681" s="78" t="str">
        <f>IF(C2681="","",IFERROR(VLOOKUP(C2681,parametros!$A$11:$E$15,5,0),""))</f>
        <v/>
      </c>
      <c r="F2681" s="79" t="str">
        <f t="shared" si="207"/>
        <v/>
      </c>
      <c r="G2681" s="395"/>
      <c r="H2681" s="91">
        <f t="shared" si="208"/>
        <v>0</v>
      </c>
      <c r="I2681" s="91" t="str">
        <f t="shared" si="209"/>
        <v/>
      </c>
      <c r="J2681" s="91" t="str">
        <f t="shared" si="210"/>
        <v/>
      </c>
      <c r="K2681" s="92" t="str">
        <f>IF(AND(A2681="",B2681="",D2681="",G2681=""),"",IF(AND(A2681&lt;&gt;"",COUNTIF($A$2:$A$5001,A2681)&gt;1),"NUMERO_PC duplicado",IF(B2681="","DATA_PC vazia",IF(NOT(ISNUMBER(B2681)),"DATA_PC invalida",IF(OR(C2681="",C2681="Fora dos ciclos"),"CICLO_PC nao identificado",IF(OR(D2681="",D2681=0),"VALOR_PC vazio ou zero",IF(AND(G2681&lt;&gt;"Sim",G2681&lt;&gt;"Nao",G2681&lt;&gt;""),"PC_PAGO_A_CONTRATADA invalido",IF(AND(C2681&lt;&gt;"C0",IFERROR(INDEX(parametros!$A$2:$A$6,MATCH(C2681,parametros!$B$2:$B$6,0)),"")="Sim",IFERROR(INDEX(parametros!$H$2:$H$6,MATCH(C2681,parametros!$B$2:$B$6,0)),"")=""),"INICIO_EFEITO ausente: PC "&amp;A2681&amp;" - "&amp;C2681,IF(L2681="","EFEITO_PC nao calculado: PC "&amp;A2681&amp;" - "&amp;C2681,"OK")))))))))</f>
        <v/>
      </c>
      <c r="L2681" s="92" t="str">
        <f>IF(AND(A2681="",B2681="",D2681="",G2681=""),"",IF(OR(B2681="",NOT(ISNUMBER(B2681)),C2681="",C2681="Fora dos ciclos"),"",IF(C2681="C0","Nao",IF(IFERROR(INDEX(parametros!$A$2:$A$6,MATCH(C2681,parametros!$B$2:$B$6,0)),"")&lt;&gt;"Sim","Nao",IF(IFERROR(INDEX(parametros!$H$2:$H$6,MATCH(C2681,parametros!$B$2:$B$6,0)),"")="","",IF(B2681&gt;=IFERROR(INDEX(parametros!$H$2:$H$6,MATCH(C2681,parametros!$B$2:$B$6,0)),""),"Sim","Nao"))))))</f>
        <v/>
      </c>
      <c r="T2681" s="156"/>
      <c r="U2681" s="214" t="str">
        <f t="shared" si="211"/>
        <v/>
      </c>
      <c r="V2681" s="212" t="s">
        <v>50</v>
      </c>
      <c r="W2681" s="100" t="s">
        <v>168</v>
      </c>
      <c r="X2681" s="100" t="s">
        <v>169</v>
      </c>
      <c r="Y2681" s="101" t="s">
        <v>170</v>
      </c>
      <c r="Z2681" s="101" t="s">
        <v>171</v>
      </c>
      <c r="AA2681" s="101" t="s">
        <v>50</v>
      </c>
      <c r="AB2681" s="101" t="s">
        <v>172</v>
      </c>
      <c r="AC2681" s="102" t="s">
        <v>173</v>
      </c>
    </row>
    <row r="2682" spans="1:29" ht="25.5" customHeight="1" x14ac:dyDescent="0.35">
      <c r="A2682" s="392"/>
      <c r="B2682" s="393"/>
      <c r="C2682" s="99" t="str">
        <f>IF(B2682="","",IF(NOT(ISNUMBER(B2682)),"DATA_PC invalida",IF(NOT(ISNUMBER(parametros!$C$2)),"Fora dos ciclos",IF(OR(B2682&lt;parametros!$C$2,(YEAR(B2682)-YEAR(parametros!$C$2))*12+MONTH(B2682)-MONTH(parametros!$C$2)&gt;59),"Fora dos ciclos","C"&amp;INT(((YEAR(B2682)-YEAR(parametros!$C$2))*12+MONTH(B2682)-MONTH(parametros!$C$2))/12)))))</f>
        <v/>
      </c>
      <c r="D2682" s="394"/>
      <c r="E2682" s="78" t="str">
        <f>IF(C2682="","",IFERROR(VLOOKUP(C2682,parametros!$A$11:$E$15,5,0),""))</f>
        <v/>
      </c>
      <c r="F2682" s="79" t="str">
        <f t="shared" si="207"/>
        <v/>
      </c>
      <c r="G2682" s="395"/>
      <c r="H2682" s="91">
        <f t="shared" si="208"/>
        <v>0</v>
      </c>
      <c r="I2682" s="91" t="str">
        <f t="shared" si="209"/>
        <v/>
      </c>
      <c r="J2682" s="91" t="str">
        <f t="shared" si="210"/>
        <v/>
      </c>
      <c r="K2682" s="92" t="str">
        <f>IF(AND(A2682="",B2682="",D2682="",G2682=""),"",IF(AND(A2682&lt;&gt;"",COUNTIF($A$2:$A$5001,A2682)&gt;1),"NUMERO_PC duplicado",IF(B2682="","DATA_PC vazia",IF(NOT(ISNUMBER(B2682)),"DATA_PC invalida",IF(OR(C2682="",C2682="Fora dos ciclos"),"CICLO_PC nao identificado",IF(OR(D2682="",D2682=0),"VALOR_PC vazio ou zero",IF(AND(G2682&lt;&gt;"Sim",G2682&lt;&gt;"Nao",G2682&lt;&gt;""),"PC_PAGO_A_CONTRATADA invalido",IF(AND(C2682&lt;&gt;"C0",IFERROR(INDEX(parametros!$A$2:$A$6,MATCH(C2682,parametros!$B$2:$B$6,0)),"")="Sim",IFERROR(INDEX(parametros!$H$2:$H$6,MATCH(C2682,parametros!$B$2:$B$6,0)),"")=""),"INICIO_EFEITO ausente: PC "&amp;A2682&amp;" - "&amp;C2682,IF(L2682="","EFEITO_PC nao calculado: PC "&amp;A2682&amp;" - "&amp;C2682,"OK")))))))))</f>
        <v/>
      </c>
      <c r="L2682" s="92" t="str">
        <f>IF(AND(A2682="",B2682="",D2682="",G2682=""),"",IF(OR(B2682="",NOT(ISNUMBER(B2682)),C2682="",C2682="Fora dos ciclos"),"",IF(C2682="C0","Nao",IF(IFERROR(INDEX(parametros!$A$2:$A$6,MATCH(C2682,parametros!$B$2:$B$6,0)),"")&lt;&gt;"Sim","Nao",IF(IFERROR(INDEX(parametros!$H$2:$H$6,MATCH(C2682,parametros!$B$2:$B$6,0)),"")="","",IF(B2682&gt;=IFERROR(INDEX(parametros!$H$2:$H$6,MATCH(C2682,parametros!$B$2:$B$6,0)),""),"Sim","Nao"))))))</f>
        <v/>
      </c>
      <c r="T2682" s="156"/>
      <c r="U2682" s="214" t="str">
        <f t="shared" si="211"/>
        <v/>
      </c>
      <c r="V2682" s="212" t="s">
        <v>50</v>
      </c>
      <c r="W2682" s="100" t="s">
        <v>168</v>
      </c>
      <c r="X2682" s="100" t="s">
        <v>169</v>
      </c>
      <c r="Y2682" s="101" t="s">
        <v>170</v>
      </c>
      <c r="Z2682" s="101" t="s">
        <v>171</v>
      </c>
      <c r="AA2682" s="101" t="s">
        <v>50</v>
      </c>
      <c r="AB2682" s="101" t="s">
        <v>172</v>
      </c>
      <c r="AC2682" s="102" t="s">
        <v>173</v>
      </c>
    </row>
    <row r="2683" spans="1:29" ht="25.5" customHeight="1" x14ac:dyDescent="0.35">
      <c r="A2683" s="392"/>
      <c r="B2683" s="393"/>
      <c r="C2683" s="99" t="str">
        <f>IF(B2683="","",IF(NOT(ISNUMBER(B2683)),"DATA_PC invalida",IF(NOT(ISNUMBER(parametros!$C$2)),"Fora dos ciclos",IF(OR(B2683&lt;parametros!$C$2,(YEAR(B2683)-YEAR(parametros!$C$2))*12+MONTH(B2683)-MONTH(parametros!$C$2)&gt;59),"Fora dos ciclos","C"&amp;INT(((YEAR(B2683)-YEAR(parametros!$C$2))*12+MONTH(B2683)-MONTH(parametros!$C$2))/12)))))</f>
        <v/>
      </c>
      <c r="D2683" s="394"/>
      <c r="E2683" s="78" t="str">
        <f>IF(C2683="","",IFERROR(VLOOKUP(C2683,parametros!$A$11:$E$15,5,0),""))</f>
        <v/>
      </c>
      <c r="F2683" s="79" t="str">
        <f t="shared" si="207"/>
        <v/>
      </c>
      <c r="G2683" s="395"/>
      <c r="H2683" s="91">
        <f t="shared" si="208"/>
        <v>0</v>
      </c>
      <c r="I2683" s="91" t="str">
        <f t="shared" si="209"/>
        <v/>
      </c>
      <c r="J2683" s="91" t="str">
        <f t="shared" si="210"/>
        <v/>
      </c>
      <c r="K2683" s="92" t="str">
        <f>IF(AND(A2683="",B2683="",D2683="",G2683=""),"",IF(AND(A2683&lt;&gt;"",COUNTIF($A$2:$A$5001,A2683)&gt;1),"NUMERO_PC duplicado",IF(B2683="","DATA_PC vazia",IF(NOT(ISNUMBER(B2683)),"DATA_PC invalida",IF(OR(C2683="",C2683="Fora dos ciclos"),"CICLO_PC nao identificado",IF(OR(D2683="",D2683=0),"VALOR_PC vazio ou zero",IF(AND(G2683&lt;&gt;"Sim",G2683&lt;&gt;"Nao",G2683&lt;&gt;""),"PC_PAGO_A_CONTRATADA invalido",IF(AND(C2683&lt;&gt;"C0",IFERROR(INDEX(parametros!$A$2:$A$6,MATCH(C2683,parametros!$B$2:$B$6,0)),"")="Sim",IFERROR(INDEX(parametros!$H$2:$H$6,MATCH(C2683,parametros!$B$2:$B$6,0)),"")=""),"INICIO_EFEITO ausente: PC "&amp;A2683&amp;" - "&amp;C2683,IF(L2683="","EFEITO_PC nao calculado: PC "&amp;A2683&amp;" - "&amp;C2683,"OK")))))))))</f>
        <v/>
      </c>
      <c r="L2683" s="92" t="str">
        <f>IF(AND(A2683="",B2683="",D2683="",G2683=""),"",IF(OR(B2683="",NOT(ISNUMBER(B2683)),C2683="",C2683="Fora dos ciclos"),"",IF(C2683="C0","Nao",IF(IFERROR(INDEX(parametros!$A$2:$A$6,MATCH(C2683,parametros!$B$2:$B$6,0)),"")&lt;&gt;"Sim","Nao",IF(IFERROR(INDEX(parametros!$H$2:$H$6,MATCH(C2683,parametros!$B$2:$B$6,0)),"")="","",IF(B2683&gt;=IFERROR(INDEX(parametros!$H$2:$H$6,MATCH(C2683,parametros!$B$2:$B$6,0)),""),"Sim","Nao"))))))</f>
        <v/>
      </c>
      <c r="T2683" s="156"/>
      <c r="U2683" s="214" t="str">
        <f t="shared" si="211"/>
        <v/>
      </c>
      <c r="V2683" s="212" t="s">
        <v>50</v>
      </c>
      <c r="W2683" s="100" t="s">
        <v>168</v>
      </c>
      <c r="X2683" s="100" t="s">
        <v>169</v>
      </c>
      <c r="Y2683" s="101" t="s">
        <v>170</v>
      </c>
      <c r="Z2683" s="101" t="s">
        <v>171</v>
      </c>
      <c r="AA2683" s="101" t="s">
        <v>50</v>
      </c>
      <c r="AB2683" s="101" t="s">
        <v>172</v>
      </c>
      <c r="AC2683" s="102" t="s">
        <v>173</v>
      </c>
    </row>
    <row r="2684" spans="1:29" ht="25.5" customHeight="1" x14ac:dyDescent="0.35">
      <c r="A2684" s="392"/>
      <c r="B2684" s="393"/>
      <c r="C2684" s="99" t="str">
        <f>IF(B2684="","",IF(NOT(ISNUMBER(B2684)),"DATA_PC invalida",IF(NOT(ISNUMBER(parametros!$C$2)),"Fora dos ciclos",IF(OR(B2684&lt;parametros!$C$2,(YEAR(B2684)-YEAR(parametros!$C$2))*12+MONTH(B2684)-MONTH(parametros!$C$2)&gt;59),"Fora dos ciclos","C"&amp;INT(((YEAR(B2684)-YEAR(parametros!$C$2))*12+MONTH(B2684)-MONTH(parametros!$C$2))/12)))))</f>
        <v/>
      </c>
      <c r="D2684" s="394"/>
      <c r="E2684" s="78" t="str">
        <f>IF(C2684="","",IFERROR(VLOOKUP(C2684,parametros!$A$11:$E$15,5,0),""))</f>
        <v/>
      </c>
      <c r="F2684" s="79" t="str">
        <f t="shared" si="207"/>
        <v/>
      </c>
      <c r="G2684" s="395"/>
      <c r="H2684" s="91">
        <f t="shared" si="208"/>
        <v>0</v>
      </c>
      <c r="I2684" s="91" t="str">
        <f t="shared" si="209"/>
        <v/>
      </c>
      <c r="J2684" s="91" t="str">
        <f t="shared" si="210"/>
        <v/>
      </c>
      <c r="K2684" s="92" t="str">
        <f>IF(AND(A2684="",B2684="",D2684="",G2684=""),"",IF(AND(A2684&lt;&gt;"",COUNTIF($A$2:$A$5001,A2684)&gt;1),"NUMERO_PC duplicado",IF(B2684="","DATA_PC vazia",IF(NOT(ISNUMBER(B2684)),"DATA_PC invalida",IF(OR(C2684="",C2684="Fora dos ciclos"),"CICLO_PC nao identificado",IF(OR(D2684="",D2684=0),"VALOR_PC vazio ou zero",IF(AND(G2684&lt;&gt;"Sim",G2684&lt;&gt;"Nao",G2684&lt;&gt;""),"PC_PAGO_A_CONTRATADA invalido",IF(AND(C2684&lt;&gt;"C0",IFERROR(INDEX(parametros!$A$2:$A$6,MATCH(C2684,parametros!$B$2:$B$6,0)),"")="Sim",IFERROR(INDEX(parametros!$H$2:$H$6,MATCH(C2684,parametros!$B$2:$B$6,0)),"")=""),"INICIO_EFEITO ausente: PC "&amp;A2684&amp;" - "&amp;C2684,IF(L2684="","EFEITO_PC nao calculado: PC "&amp;A2684&amp;" - "&amp;C2684,"OK")))))))))</f>
        <v/>
      </c>
      <c r="L2684" s="92" t="str">
        <f>IF(AND(A2684="",B2684="",D2684="",G2684=""),"",IF(OR(B2684="",NOT(ISNUMBER(B2684)),C2684="",C2684="Fora dos ciclos"),"",IF(C2684="C0","Nao",IF(IFERROR(INDEX(parametros!$A$2:$A$6,MATCH(C2684,parametros!$B$2:$B$6,0)),"")&lt;&gt;"Sim","Nao",IF(IFERROR(INDEX(parametros!$H$2:$H$6,MATCH(C2684,parametros!$B$2:$B$6,0)),"")="","",IF(B2684&gt;=IFERROR(INDEX(parametros!$H$2:$H$6,MATCH(C2684,parametros!$B$2:$B$6,0)),""),"Sim","Nao"))))))</f>
        <v/>
      </c>
      <c r="T2684" s="156"/>
      <c r="U2684" s="214" t="str">
        <f t="shared" si="211"/>
        <v/>
      </c>
      <c r="V2684" s="212" t="s">
        <v>50</v>
      </c>
      <c r="W2684" s="100" t="s">
        <v>168</v>
      </c>
      <c r="X2684" s="100" t="s">
        <v>169</v>
      </c>
      <c r="Y2684" s="101" t="s">
        <v>170</v>
      </c>
      <c r="Z2684" s="101" t="s">
        <v>171</v>
      </c>
      <c r="AA2684" s="101" t="s">
        <v>50</v>
      </c>
      <c r="AB2684" s="101" t="s">
        <v>172</v>
      </c>
      <c r="AC2684" s="102" t="s">
        <v>173</v>
      </c>
    </row>
    <row r="2685" spans="1:29" ht="25.5" customHeight="1" x14ac:dyDescent="0.35">
      <c r="A2685" s="392"/>
      <c r="B2685" s="393"/>
      <c r="C2685" s="99" t="str">
        <f>IF(B2685="","",IF(NOT(ISNUMBER(B2685)),"DATA_PC invalida",IF(NOT(ISNUMBER(parametros!$C$2)),"Fora dos ciclos",IF(OR(B2685&lt;parametros!$C$2,(YEAR(B2685)-YEAR(parametros!$C$2))*12+MONTH(B2685)-MONTH(parametros!$C$2)&gt;59),"Fora dos ciclos","C"&amp;INT(((YEAR(B2685)-YEAR(parametros!$C$2))*12+MONTH(B2685)-MONTH(parametros!$C$2))/12)))))</f>
        <v/>
      </c>
      <c r="D2685" s="394"/>
      <c r="E2685" s="78" t="str">
        <f>IF(C2685="","",IFERROR(VLOOKUP(C2685,parametros!$A$11:$E$15,5,0),""))</f>
        <v/>
      </c>
      <c r="F2685" s="79" t="str">
        <f t="shared" si="207"/>
        <v/>
      </c>
      <c r="G2685" s="395"/>
      <c r="H2685" s="91">
        <f t="shared" si="208"/>
        <v>0</v>
      </c>
      <c r="I2685" s="91" t="str">
        <f t="shared" si="209"/>
        <v/>
      </c>
      <c r="J2685" s="91" t="str">
        <f t="shared" si="210"/>
        <v/>
      </c>
      <c r="K2685" s="92" t="str">
        <f>IF(AND(A2685="",B2685="",D2685="",G2685=""),"",IF(AND(A2685&lt;&gt;"",COUNTIF($A$2:$A$5001,A2685)&gt;1),"NUMERO_PC duplicado",IF(B2685="","DATA_PC vazia",IF(NOT(ISNUMBER(B2685)),"DATA_PC invalida",IF(OR(C2685="",C2685="Fora dos ciclos"),"CICLO_PC nao identificado",IF(OR(D2685="",D2685=0),"VALOR_PC vazio ou zero",IF(AND(G2685&lt;&gt;"Sim",G2685&lt;&gt;"Nao",G2685&lt;&gt;""),"PC_PAGO_A_CONTRATADA invalido",IF(AND(C2685&lt;&gt;"C0",IFERROR(INDEX(parametros!$A$2:$A$6,MATCH(C2685,parametros!$B$2:$B$6,0)),"")="Sim",IFERROR(INDEX(parametros!$H$2:$H$6,MATCH(C2685,parametros!$B$2:$B$6,0)),"")=""),"INICIO_EFEITO ausente: PC "&amp;A2685&amp;" - "&amp;C2685,IF(L2685="","EFEITO_PC nao calculado: PC "&amp;A2685&amp;" - "&amp;C2685,"OK")))))))))</f>
        <v/>
      </c>
      <c r="L2685" s="92" t="str">
        <f>IF(AND(A2685="",B2685="",D2685="",G2685=""),"",IF(OR(B2685="",NOT(ISNUMBER(B2685)),C2685="",C2685="Fora dos ciclos"),"",IF(C2685="C0","Nao",IF(IFERROR(INDEX(parametros!$A$2:$A$6,MATCH(C2685,parametros!$B$2:$B$6,0)),"")&lt;&gt;"Sim","Nao",IF(IFERROR(INDEX(parametros!$H$2:$H$6,MATCH(C2685,parametros!$B$2:$B$6,0)),"")="","",IF(B2685&gt;=IFERROR(INDEX(parametros!$H$2:$H$6,MATCH(C2685,parametros!$B$2:$B$6,0)),""),"Sim","Nao"))))))</f>
        <v/>
      </c>
      <c r="T2685" s="156"/>
      <c r="U2685" s="214" t="str">
        <f t="shared" si="211"/>
        <v/>
      </c>
      <c r="V2685" s="212" t="s">
        <v>50</v>
      </c>
      <c r="W2685" s="100" t="s">
        <v>168</v>
      </c>
      <c r="X2685" s="100" t="s">
        <v>169</v>
      </c>
      <c r="Y2685" s="101" t="s">
        <v>170</v>
      </c>
      <c r="Z2685" s="101" t="s">
        <v>171</v>
      </c>
      <c r="AA2685" s="101" t="s">
        <v>50</v>
      </c>
      <c r="AB2685" s="101" t="s">
        <v>172</v>
      </c>
      <c r="AC2685" s="102" t="s">
        <v>173</v>
      </c>
    </row>
    <row r="2686" spans="1:29" ht="25.5" customHeight="1" x14ac:dyDescent="0.35">
      <c r="A2686" s="392"/>
      <c r="B2686" s="393"/>
      <c r="C2686" s="99" t="str">
        <f>IF(B2686="","",IF(NOT(ISNUMBER(B2686)),"DATA_PC invalida",IF(NOT(ISNUMBER(parametros!$C$2)),"Fora dos ciclos",IF(OR(B2686&lt;parametros!$C$2,(YEAR(B2686)-YEAR(parametros!$C$2))*12+MONTH(B2686)-MONTH(parametros!$C$2)&gt;59),"Fora dos ciclos","C"&amp;INT(((YEAR(B2686)-YEAR(parametros!$C$2))*12+MONTH(B2686)-MONTH(parametros!$C$2))/12)))))</f>
        <v/>
      </c>
      <c r="D2686" s="394"/>
      <c r="E2686" s="78" t="str">
        <f>IF(C2686="","",IFERROR(VLOOKUP(C2686,parametros!$A$11:$E$15,5,0),""))</f>
        <v/>
      </c>
      <c r="F2686" s="79" t="str">
        <f t="shared" si="207"/>
        <v/>
      </c>
      <c r="G2686" s="395"/>
      <c r="H2686" s="91">
        <f t="shared" si="208"/>
        <v>0</v>
      </c>
      <c r="I2686" s="91" t="str">
        <f t="shared" si="209"/>
        <v/>
      </c>
      <c r="J2686" s="91" t="str">
        <f t="shared" si="210"/>
        <v/>
      </c>
      <c r="K2686" s="92" t="str">
        <f>IF(AND(A2686="",B2686="",D2686="",G2686=""),"",IF(AND(A2686&lt;&gt;"",COUNTIF($A$2:$A$5001,A2686)&gt;1),"NUMERO_PC duplicado",IF(B2686="","DATA_PC vazia",IF(NOT(ISNUMBER(B2686)),"DATA_PC invalida",IF(OR(C2686="",C2686="Fora dos ciclos"),"CICLO_PC nao identificado",IF(OR(D2686="",D2686=0),"VALOR_PC vazio ou zero",IF(AND(G2686&lt;&gt;"Sim",G2686&lt;&gt;"Nao",G2686&lt;&gt;""),"PC_PAGO_A_CONTRATADA invalido",IF(AND(C2686&lt;&gt;"C0",IFERROR(INDEX(parametros!$A$2:$A$6,MATCH(C2686,parametros!$B$2:$B$6,0)),"")="Sim",IFERROR(INDEX(parametros!$H$2:$H$6,MATCH(C2686,parametros!$B$2:$B$6,0)),"")=""),"INICIO_EFEITO ausente: PC "&amp;A2686&amp;" - "&amp;C2686,IF(L2686="","EFEITO_PC nao calculado: PC "&amp;A2686&amp;" - "&amp;C2686,"OK")))))))))</f>
        <v/>
      </c>
      <c r="L2686" s="92" t="str">
        <f>IF(AND(A2686="",B2686="",D2686="",G2686=""),"",IF(OR(B2686="",NOT(ISNUMBER(B2686)),C2686="",C2686="Fora dos ciclos"),"",IF(C2686="C0","Nao",IF(IFERROR(INDEX(parametros!$A$2:$A$6,MATCH(C2686,parametros!$B$2:$B$6,0)),"")&lt;&gt;"Sim","Nao",IF(IFERROR(INDEX(parametros!$H$2:$H$6,MATCH(C2686,parametros!$B$2:$B$6,0)),"")="","",IF(B2686&gt;=IFERROR(INDEX(parametros!$H$2:$H$6,MATCH(C2686,parametros!$B$2:$B$6,0)),""),"Sim","Nao"))))))</f>
        <v/>
      </c>
      <c r="T2686" s="156"/>
      <c r="U2686" s="214" t="str">
        <f t="shared" si="211"/>
        <v/>
      </c>
      <c r="V2686" s="212" t="s">
        <v>50</v>
      </c>
      <c r="W2686" s="100" t="s">
        <v>168</v>
      </c>
      <c r="X2686" s="100" t="s">
        <v>169</v>
      </c>
      <c r="Y2686" s="101" t="s">
        <v>170</v>
      </c>
      <c r="Z2686" s="101" t="s">
        <v>171</v>
      </c>
      <c r="AA2686" s="101" t="s">
        <v>50</v>
      </c>
      <c r="AB2686" s="101" t="s">
        <v>172</v>
      </c>
      <c r="AC2686" s="102" t="s">
        <v>173</v>
      </c>
    </row>
    <row r="2687" spans="1:29" ht="25.5" customHeight="1" x14ac:dyDescent="0.35">
      <c r="A2687" s="392"/>
      <c r="B2687" s="393"/>
      <c r="C2687" s="99" t="str">
        <f>IF(B2687="","",IF(NOT(ISNUMBER(B2687)),"DATA_PC invalida",IF(NOT(ISNUMBER(parametros!$C$2)),"Fora dos ciclos",IF(OR(B2687&lt;parametros!$C$2,(YEAR(B2687)-YEAR(parametros!$C$2))*12+MONTH(B2687)-MONTH(parametros!$C$2)&gt;59),"Fora dos ciclos","C"&amp;INT(((YEAR(B2687)-YEAR(parametros!$C$2))*12+MONTH(B2687)-MONTH(parametros!$C$2))/12)))))</f>
        <v/>
      </c>
      <c r="D2687" s="394"/>
      <c r="E2687" s="78" t="str">
        <f>IF(C2687="","",IFERROR(VLOOKUP(C2687,parametros!$A$11:$E$15,5,0),""))</f>
        <v/>
      </c>
      <c r="F2687" s="79" t="str">
        <f t="shared" si="207"/>
        <v/>
      </c>
      <c r="G2687" s="395"/>
      <c r="H2687" s="91">
        <f t="shared" si="208"/>
        <v>0</v>
      </c>
      <c r="I2687" s="91" t="str">
        <f t="shared" si="209"/>
        <v/>
      </c>
      <c r="J2687" s="91" t="str">
        <f t="shared" si="210"/>
        <v/>
      </c>
      <c r="K2687" s="92" t="str">
        <f>IF(AND(A2687="",B2687="",D2687="",G2687=""),"",IF(AND(A2687&lt;&gt;"",COUNTIF($A$2:$A$5001,A2687)&gt;1),"NUMERO_PC duplicado",IF(B2687="","DATA_PC vazia",IF(NOT(ISNUMBER(B2687)),"DATA_PC invalida",IF(OR(C2687="",C2687="Fora dos ciclos"),"CICLO_PC nao identificado",IF(OR(D2687="",D2687=0),"VALOR_PC vazio ou zero",IF(AND(G2687&lt;&gt;"Sim",G2687&lt;&gt;"Nao",G2687&lt;&gt;""),"PC_PAGO_A_CONTRATADA invalido",IF(AND(C2687&lt;&gt;"C0",IFERROR(INDEX(parametros!$A$2:$A$6,MATCH(C2687,parametros!$B$2:$B$6,0)),"")="Sim",IFERROR(INDEX(parametros!$H$2:$H$6,MATCH(C2687,parametros!$B$2:$B$6,0)),"")=""),"INICIO_EFEITO ausente: PC "&amp;A2687&amp;" - "&amp;C2687,IF(L2687="","EFEITO_PC nao calculado: PC "&amp;A2687&amp;" - "&amp;C2687,"OK")))))))))</f>
        <v/>
      </c>
      <c r="L2687" s="92" t="str">
        <f>IF(AND(A2687="",B2687="",D2687="",G2687=""),"",IF(OR(B2687="",NOT(ISNUMBER(B2687)),C2687="",C2687="Fora dos ciclos"),"",IF(C2687="C0","Nao",IF(IFERROR(INDEX(parametros!$A$2:$A$6,MATCH(C2687,parametros!$B$2:$B$6,0)),"")&lt;&gt;"Sim","Nao",IF(IFERROR(INDEX(parametros!$H$2:$H$6,MATCH(C2687,parametros!$B$2:$B$6,0)),"")="","",IF(B2687&gt;=IFERROR(INDEX(parametros!$H$2:$H$6,MATCH(C2687,parametros!$B$2:$B$6,0)),""),"Sim","Nao"))))))</f>
        <v/>
      </c>
      <c r="T2687" s="156"/>
      <c r="U2687" s="214" t="str">
        <f t="shared" si="211"/>
        <v/>
      </c>
      <c r="V2687" s="212" t="s">
        <v>50</v>
      </c>
      <c r="W2687" s="100" t="s">
        <v>168</v>
      </c>
      <c r="X2687" s="100" t="s">
        <v>169</v>
      </c>
      <c r="Y2687" s="101" t="s">
        <v>170</v>
      </c>
      <c r="Z2687" s="101" t="s">
        <v>171</v>
      </c>
      <c r="AA2687" s="101" t="s">
        <v>50</v>
      </c>
      <c r="AB2687" s="101" t="s">
        <v>172</v>
      </c>
      <c r="AC2687" s="102" t="s">
        <v>173</v>
      </c>
    </row>
    <row r="2688" spans="1:29" ht="25.5" customHeight="1" x14ac:dyDescent="0.35">
      <c r="A2688" s="392"/>
      <c r="B2688" s="393"/>
      <c r="C2688" s="99" t="str">
        <f>IF(B2688="","",IF(NOT(ISNUMBER(B2688)),"DATA_PC invalida",IF(NOT(ISNUMBER(parametros!$C$2)),"Fora dos ciclos",IF(OR(B2688&lt;parametros!$C$2,(YEAR(B2688)-YEAR(parametros!$C$2))*12+MONTH(B2688)-MONTH(parametros!$C$2)&gt;59),"Fora dos ciclos","C"&amp;INT(((YEAR(B2688)-YEAR(parametros!$C$2))*12+MONTH(B2688)-MONTH(parametros!$C$2))/12)))))</f>
        <v/>
      </c>
      <c r="D2688" s="394"/>
      <c r="E2688" s="78" t="str">
        <f>IF(C2688="","",IFERROR(VLOOKUP(C2688,parametros!$A$11:$E$15,5,0),""))</f>
        <v/>
      </c>
      <c r="F2688" s="79" t="str">
        <f t="shared" si="207"/>
        <v/>
      </c>
      <c r="G2688" s="395"/>
      <c r="H2688" s="91">
        <f t="shared" si="208"/>
        <v>0</v>
      </c>
      <c r="I2688" s="91" t="str">
        <f t="shared" si="209"/>
        <v/>
      </c>
      <c r="J2688" s="91" t="str">
        <f t="shared" si="210"/>
        <v/>
      </c>
      <c r="K2688" s="92" t="str">
        <f>IF(AND(A2688="",B2688="",D2688="",G2688=""),"",IF(AND(A2688&lt;&gt;"",COUNTIF($A$2:$A$5001,A2688)&gt;1),"NUMERO_PC duplicado",IF(B2688="","DATA_PC vazia",IF(NOT(ISNUMBER(B2688)),"DATA_PC invalida",IF(OR(C2688="",C2688="Fora dos ciclos"),"CICLO_PC nao identificado",IF(OR(D2688="",D2688=0),"VALOR_PC vazio ou zero",IF(AND(G2688&lt;&gt;"Sim",G2688&lt;&gt;"Nao",G2688&lt;&gt;""),"PC_PAGO_A_CONTRATADA invalido",IF(AND(C2688&lt;&gt;"C0",IFERROR(INDEX(parametros!$A$2:$A$6,MATCH(C2688,parametros!$B$2:$B$6,0)),"")="Sim",IFERROR(INDEX(parametros!$H$2:$H$6,MATCH(C2688,parametros!$B$2:$B$6,0)),"")=""),"INICIO_EFEITO ausente: PC "&amp;A2688&amp;" - "&amp;C2688,IF(L2688="","EFEITO_PC nao calculado: PC "&amp;A2688&amp;" - "&amp;C2688,"OK")))))))))</f>
        <v/>
      </c>
      <c r="L2688" s="92" t="str">
        <f>IF(AND(A2688="",B2688="",D2688="",G2688=""),"",IF(OR(B2688="",NOT(ISNUMBER(B2688)),C2688="",C2688="Fora dos ciclos"),"",IF(C2688="C0","Nao",IF(IFERROR(INDEX(parametros!$A$2:$A$6,MATCH(C2688,parametros!$B$2:$B$6,0)),"")&lt;&gt;"Sim","Nao",IF(IFERROR(INDEX(parametros!$H$2:$H$6,MATCH(C2688,parametros!$B$2:$B$6,0)),"")="","",IF(B2688&gt;=IFERROR(INDEX(parametros!$H$2:$H$6,MATCH(C2688,parametros!$B$2:$B$6,0)),""),"Sim","Nao"))))))</f>
        <v/>
      </c>
      <c r="T2688" s="156"/>
      <c r="U2688" s="214" t="str">
        <f t="shared" si="211"/>
        <v/>
      </c>
      <c r="V2688" s="212" t="s">
        <v>50</v>
      </c>
      <c r="W2688" s="100" t="s">
        <v>168</v>
      </c>
      <c r="X2688" s="100" t="s">
        <v>169</v>
      </c>
      <c r="Y2688" s="101" t="s">
        <v>170</v>
      </c>
      <c r="Z2688" s="101" t="s">
        <v>171</v>
      </c>
      <c r="AA2688" s="101" t="s">
        <v>50</v>
      </c>
      <c r="AB2688" s="101" t="s">
        <v>172</v>
      </c>
      <c r="AC2688" s="102" t="s">
        <v>173</v>
      </c>
    </row>
    <row r="2689" spans="1:29" ht="25.5" customHeight="1" x14ac:dyDescent="0.35">
      <c r="A2689" s="392"/>
      <c r="B2689" s="393"/>
      <c r="C2689" s="99" t="str">
        <f>IF(B2689="","",IF(NOT(ISNUMBER(B2689)),"DATA_PC invalida",IF(NOT(ISNUMBER(parametros!$C$2)),"Fora dos ciclos",IF(OR(B2689&lt;parametros!$C$2,(YEAR(B2689)-YEAR(parametros!$C$2))*12+MONTH(B2689)-MONTH(parametros!$C$2)&gt;59),"Fora dos ciclos","C"&amp;INT(((YEAR(B2689)-YEAR(parametros!$C$2))*12+MONTH(B2689)-MONTH(parametros!$C$2))/12)))))</f>
        <v/>
      </c>
      <c r="D2689" s="394"/>
      <c r="E2689" s="78" t="str">
        <f>IF(C2689="","",IFERROR(VLOOKUP(C2689,parametros!$A$11:$E$15,5,0),""))</f>
        <v/>
      </c>
      <c r="F2689" s="79" t="str">
        <f t="shared" si="207"/>
        <v/>
      </c>
      <c r="G2689" s="395"/>
      <c r="H2689" s="91">
        <f t="shared" si="208"/>
        <v>0</v>
      </c>
      <c r="I2689" s="91" t="str">
        <f t="shared" si="209"/>
        <v/>
      </c>
      <c r="J2689" s="91" t="str">
        <f t="shared" si="210"/>
        <v/>
      </c>
      <c r="K2689" s="92" t="str">
        <f>IF(AND(A2689="",B2689="",D2689="",G2689=""),"",IF(AND(A2689&lt;&gt;"",COUNTIF($A$2:$A$5001,A2689)&gt;1),"NUMERO_PC duplicado",IF(B2689="","DATA_PC vazia",IF(NOT(ISNUMBER(B2689)),"DATA_PC invalida",IF(OR(C2689="",C2689="Fora dos ciclos"),"CICLO_PC nao identificado",IF(OR(D2689="",D2689=0),"VALOR_PC vazio ou zero",IF(AND(G2689&lt;&gt;"Sim",G2689&lt;&gt;"Nao",G2689&lt;&gt;""),"PC_PAGO_A_CONTRATADA invalido",IF(AND(C2689&lt;&gt;"C0",IFERROR(INDEX(parametros!$A$2:$A$6,MATCH(C2689,parametros!$B$2:$B$6,0)),"")="Sim",IFERROR(INDEX(parametros!$H$2:$H$6,MATCH(C2689,parametros!$B$2:$B$6,0)),"")=""),"INICIO_EFEITO ausente: PC "&amp;A2689&amp;" - "&amp;C2689,IF(L2689="","EFEITO_PC nao calculado: PC "&amp;A2689&amp;" - "&amp;C2689,"OK")))))))))</f>
        <v/>
      </c>
      <c r="L2689" s="92" t="str">
        <f>IF(AND(A2689="",B2689="",D2689="",G2689=""),"",IF(OR(B2689="",NOT(ISNUMBER(B2689)),C2689="",C2689="Fora dos ciclos"),"",IF(C2689="C0","Nao",IF(IFERROR(INDEX(parametros!$A$2:$A$6,MATCH(C2689,parametros!$B$2:$B$6,0)),"")&lt;&gt;"Sim","Nao",IF(IFERROR(INDEX(parametros!$H$2:$H$6,MATCH(C2689,parametros!$B$2:$B$6,0)),"")="","",IF(B2689&gt;=IFERROR(INDEX(parametros!$H$2:$H$6,MATCH(C2689,parametros!$B$2:$B$6,0)),""),"Sim","Nao"))))))</f>
        <v/>
      </c>
      <c r="T2689" s="156"/>
      <c r="U2689" s="214" t="str">
        <f t="shared" si="211"/>
        <v/>
      </c>
      <c r="V2689" s="212" t="s">
        <v>50</v>
      </c>
      <c r="W2689" s="100" t="s">
        <v>168</v>
      </c>
      <c r="X2689" s="100" t="s">
        <v>169</v>
      </c>
      <c r="Y2689" s="101" t="s">
        <v>170</v>
      </c>
      <c r="Z2689" s="101" t="s">
        <v>171</v>
      </c>
      <c r="AA2689" s="101" t="s">
        <v>50</v>
      </c>
      <c r="AB2689" s="101" t="s">
        <v>172</v>
      </c>
      <c r="AC2689" s="102" t="s">
        <v>173</v>
      </c>
    </row>
    <row r="2690" spans="1:29" ht="25.5" customHeight="1" x14ac:dyDescent="0.35">
      <c r="A2690" s="392"/>
      <c r="B2690" s="393"/>
      <c r="C2690" s="99" t="str">
        <f>IF(B2690="","",IF(NOT(ISNUMBER(B2690)),"DATA_PC invalida",IF(NOT(ISNUMBER(parametros!$C$2)),"Fora dos ciclos",IF(OR(B2690&lt;parametros!$C$2,(YEAR(B2690)-YEAR(parametros!$C$2))*12+MONTH(B2690)-MONTH(parametros!$C$2)&gt;59),"Fora dos ciclos","C"&amp;INT(((YEAR(B2690)-YEAR(parametros!$C$2))*12+MONTH(B2690)-MONTH(parametros!$C$2))/12)))))</f>
        <v/>
      </c>
      <c r="D2690" s="394"/>
      <c r="E2690" s="78" t="str">
        <f>IF(C2690="","",IFERROR(VLOOKUP(C2690,parametros!$A$11:$E$15,5,0),""))</f>
        <v/>
      </c>
      <c r="F2690" s="79" t="str">
        <f t="shared" ref="F2690:F2753" si="212">IF(OR(D2690="",E2690=""),"",ROUND(D2690*E2690,2))</f>
        <v/>
      </c>
      <c r="G2690" s="395"/>
      <c r="H2690" s="91">
        <f t="shared" ref="H2690:H2753" si="213">IF(G2690="Sim",IF(OR(F2690="",D2690="",L2690=""),"",IF(L2690="Sim",ROUND(F2690-D2690,2),0)),0)</f>
        <v>0</v>
      </c>
      <c r="I2690" s="91" t="str">
        <f t="shared" ref="I2690:I2753" si="214">IF(G2690="Sim",0,IF(OR(F2690="",L2690=""),"",F2690))</f>
        <v/>
      </c>
      <c r="J2690" s="91" t="str">
        <f t="shared" ref="J2690:J2753" si="215">IF(G2690="Sim",0,IF(OR(F2690="",D2690="",L2690=""),"",IF(L2690="Sim",ROUND(F2690-D2690,2),0)))</f>
        <v/>
      </c>
      <c r="K2690" s="92" t="str">
        <f>IF(AND(A2690="",B2690="",D2690="",G2690=""),"",IF(AND(A2690&lt;&gt;"",COUNTIF($A$2:$A$5001,A2690)&gt;1),"NUMERO_PC duplicado",IF(B2690="","DATA_PC vazia",IF(NOT(ISNUMBER(B2690)),"DATA_PC invalida",IF(OR(C2690="",C2690="Fora dos ciclos"),"CICLO_PC nao identificado",IF(OR(D2690="",D2690=0),"VALOR_PC vazio ou zero",IF(AND(G2690&lt;&gt;"Sim",G2690&lt;&gt;"Nao",G2690&lt;&gt;""),"PC_PAGO_A_CONTRATADA invalido",IF(AND(C2690&lt;&gt;"C0",IFERROR(INDEX(parametros!$A$2:$A$6,MATCH(C2690,parametros!$B$2:$B$6,0)),"")="Sim",IFERROR(INDEX(parametros!$H$2:$H$6,MATCH(C2690,parametros!$B$2:$B$6,0)),"")=""),"INICIO_EFEITO ausente: PC "&amp;A2690&amp;" - "&amp;C2690,IF(L2690="","EFEITO_PC nao calculado: PC "&amp;A2690&amp;" - "&amp;C2690,"OK")))))))))</f>
        <v/>
      </c>
      <c r="L2690" s="92" t="str">
        <f>IF(AND(A2690="",B2690="",D2690="",G2690=""),"",IF(OR(B2690="",NOT(ISNUMBER(B2690)),C2690="",C2690="Fora dos ciclos"),"",IF(C2690="C0","Nao",IF(IFERROR(INDEX(parametros!$A$2:$A$6,MATCH(C2690,parametros!$B$2:$B$6,0)),"")&lt;&gt;"Sim","Nao",IF(IFERROR(INDEX(parametros!$H$2:$H$6,MATCH(C2690,parametros!$B$2:$B$6,0)),"")="","",IF(B2690&gt;=IFERROR(INDEX(parametros!$H$2:$H$6,MATCH(C2690,parametros!$B$2:$B$6,0)),""),"Sim","Nao"))))))</f>
        <v/>
      </c>
      <c r="T2690" s="156"/>
      <c r="U2690" s="214" t="str">
        <f t="shared" ref="U2690:U2753" si="216">IF(OR($D2690="",$H2690=""),"",ROUND($D2690+$H2690,2))</f>
        <v/>
      </c>
      <c r="V2690" s="212" t="s">
        <v>50</v>
      </c>
      <c r="W2690" s="100" t="s">
        <v>168</v>
      </c>
      <c r="X2690" s="100" t="s">
        <v>169</v>
      </c>
      <c r="Y2690" s="101" t="s">
        <v>170</v>
      </c>
      <c r="Z2690" s="101" t="s">
        <v>171</v>
      </c>
      <c r="AA2690" s="101" t="s">
        <v>50</v>
      </c>
      <c r="AB2690" s="101" t="s">
        <v>172</v>
      </c>
      <c r="AC2690" s="102" t="s">
        <v>173</v>
      </c>
    </row>
    <row r="2691" spans="1:29" ht="25.5" customHeight="1" x14ac:dyDescent="0.35">
      <c r="A2691" s="392"/>
      <c r="B2691" s="393"/>
      <c r="C2691" s="99" t="str">
        <f>IF(B2691="","",IF(NOT(ISNUMBER(B2691)),"DATA_PC invalida",IF(NOT(ISNUMBER(parametros!$C$2)),"Fora dos ciclos",IF(OR(B2691&lt;parametros!$C$2,(YEAR(B2691)-YEAR(parametros!$C$2))*12+MONTH(B2691)-MONTH(parametros!$C$2)&gt;59),"Fora dos ciclos","C"&amp;INT(((YEAR(B2691)-YEAR(parametros!$C$2))*12+MONTH(B2691)-MONTH(parametros!$C$2))/12)))))</f>
        <v/>
      </c>
      <c r="D2691" s="394"/>
      <c r="E2691" s="78" t="str">
        <f>IF(C2691="","",IFERROR(VLOOKUP(C2691,parametros!$A$11:$E$15,5,0),""))</f>
        <v/>
      </c>
      <c r="F2691" s="79" t="str">
        <f t="shared" si="212"/>
        <v/>
      </c>
      <c r="G2691" s="395"/>
      <c r="H2691" s="91">
        <f t="shared" si="213"/>
        <v>0</v>
      </c>
      <c r="I2691" s="91" t="str">
        <f t="shared" si="214"/>
        <v/>
      </c>
      <c r="J2691" s="91" t="str">
        <f t="shared" si="215"/>
        <v/>
      </c>
      <c r="K2691" s="92" t="str">
        <f>IF(AND(A2691="",B2691="",D2691="",G2691=""),"",IF(AND(A2691&lt;&gt;"",COUNTIF($A$2:$A$5001,A2691)&gt;1),"NUMERO_PC duplicado",IF(B2691="","DATA_PC vazia",IF(NOT(ISNUMBER(B2691)),"DATA_PC invalida",IF(OR(C2691="",C2691="Fora dos ciclos"),"CICLO_PC nao identificado",IF(OR(D2691="",D2691=0),"VALOR_PC vazio ou zero",IF(AND(G2691&lt;&gt;"Sim",G2691&lt;&gt;"Nao",G2691&lt;&gt;""),"PC_PAGO_A_CONTRATADA invalido",IF(AND(C2691&lt;&gt;"C0",IFERROR(INDEX(parametros!$A$2:$A$6,MATCH(C2691,parametros!$B$2:$B$6,0)),"")="Sim",IFERROR(INDEX(parametros!$H$2:$H$6,MATCH(C2691,parametros!$B$2:$B$6,0)),"")=""),"INICIO_EFEITO ausente: PC "&amp;A2691&amp;" - "&amp;C2691,IF(L2691="","EFEITO_PC nao calculado: PC "&amp;A2691&amp;" - "&amp;C2691,"OK")))))))))</f>
        <v/>
      </c>
      <c r="L2691" s="92" t="str">
        <f>IF(AND(A2691="",B2691="",D2691="",G2691=""),"",IF(OR(B2691="",NOT(ISNUMBER(B2691)),C2691="",C2691="Fora dos ciclos"),"",IF(C2691="C0","Nao",IF(IFERROR(INDEX(parametros!$A$2:$A$6,MATCH(C2691,parametros!$B$2:$B$6,0)),"")&lt;&gt;"Sim","Nao",IF(IFERROR(INDEX(parametros!$H$2:$H$6,MATCH(C2691,parametros!$B$2:$B$6,0)),"")="","",IF(B2691&gt;=IFERROR(INDEX(parametros!$H$2:$H$6,MATCH(C2691,parametros!$B$2:$B$6,0)),""),"Sim","Nao"))))))</f>
        <v/>
      </c>
      <c r="T2691" s="156"/>
      <c r="U2691" s="214" t="str">
        <f t="shared" si="216"/>
        <v/>
      </c>
      <c r="V2691" s="212" t="s">
        <v>50</v>
      </c>
      <c r="W2691" s="100" t="s">
        <v>168</v>
      </c>
      <c r="X2691" s="100" t="s">
        <v>169</v>
      </c>
      <c r="Y2691" s="101" t="s">
        <v>170</v>
      </c>
      <c r="Z2691" s="101" t="s">
        <v>171</v>
      </c>
      <c r="AA2691" s="101" t="s">
        <v>50</v>
      </c>
      <c r="AB2691" s="101" t="s">
        <v>172</v>
      </c>
      <c r="AC2691" s="102" t="s">
        <v>173</v>
      </c>
    </row>
    <row r="2692" spans="1:29" ht="25.5" customHeight="1" x14ac:dyDescent="0.35">
      <c r="A2692" s="392"/>
      <c r="B2692" s="393"/>
      <c r="C2692" s="99" t="str">
        <f>IF(B2692="","",IF(NOT(ISNUMBER(B2692)),"DATA_PC invalida",IF(NOT(ISNUMBER(parametros!$C$2)),"Fora dos ciclos",IF(OR(B2692&lt;parametros!$C$2,(YEAR(B2692)-YEAR(parametros!$C$2))*12+MONTH(B2692)-MONTH(parametros!$C$2)&gt;59),"Fora dos ciclos","C"&amp;INT(((YEAR(B2692)-YEAR(parametros!$C$2))*12+MONTH(B2692)-MONTH(parametros!$C$2))/12)))))</f>
        <v/>
      </c>
      <c r="D2692" s="394"/>
      <c r="E2692" s="78" t="str">
        <f>IF(C2692="","",IFERROR(VLOOKUP(C2692,parametros!$A$11:$E$15,5,0),""))</f>
        <v/>
      </c>
      <c r="F2692" s="79" t="str">
        <f t="shared" si="212"/>
        <v/>
      </c>
      <c r="G2692" s="395"/>
      <c r="H2692" s="91">
        <f t="shared" si="213"/>
        <v>0</v>
      </c>
      <c r="I2692" s="91" t="str">
        <f t="shared" si="214"/>
        <v/>
      </c>
      <c r="J2692" s="91" t="str">
        <f t="shared" si="215"/>
        <v/>
      </c>
      <c r="K2692" s="92" t="str">
        <f>IF(AND(A2692="",B2692="",D2692="",G2692=""),"",IF(AND(A2692&lt;&gt;"",COUNTIF($A$2:$A$5001,A2692)&gt;1),"NUMERO_PC duplicado",IF(B2692="","DATA_PC vazia",IF(NOT(ISNUMBER(B2692)),"DATA_PC invalida",IF(OR(C2692="",C2692="Fora dos ciclos"),"CICLO_PC nao identificado",IF(OR(D2692="",D2692=0),"VALOR_PC vazio ou zero",IF(AND(G2692&lt;&gt;"Sim",G2692&lt;&gt;"Nao",G2692&lt;&gt;""),"PC_PAGO_A_CONTRATADA invalido",IF(AND(C2692&lt;&gt;"C0",IFERROR(INDEX(parametros!$A$2:$A$6,MATCH(C2692,parametros!$B$2:$B$6,0)),"")="Sim",IFERROR(INDEX(parametros!$H$2:$H$6,MATCH(C2692,parametros!$B$2:$B$6,0)),"")=""),"INICIO_EFEITO ausente: PC "&amp;A2692&amp;" - "&amp;C2692,IF(L2692="","EFEITO_PC nao calculado: PC "&amp;A2692&amp;" - "&amp;C2692,"OK")))))))))</f>
        <v/>
      </c>
      <c r="L2692" s="92" t="str">
        <f>IF(AND(A2692="",B2692="",D2692="",G2692=""),"",IF(OR(B2692="",NOT(ISNUMBER(B2692)),C2692="",C2692="Fora dos ciclos"),"",IF(C2692="C0","Nao",IF(IFERROR(INDEX(parametros!$A$2:$A$6,MATCH(C2692,parametros!$B$2:$B$6,0)),"")&lt;&gt;"Sim","Nao",IF(IFERROR(INDEX(parametros!$H$2:$H$6,MATCH(C2692,parametros!$B$2:$B$6,0)),"")="","",IF(B2692&gt;=IFERROR(INDEX(parametros!$H$2:$H$6,MATCH(C2692,parametros!$B$2:$B$6,0)),""),"Sim","Nao"))))))</f>
        <v/>
      </c>
      <c r="T2692" s="156"/>
      <c r="U2692" s="214" t="str">
        <f t="shared" si="216"/>
        <v/>
      </c>
      <c r="V2692" s="212" t="s">
        <v>50</v>
      </c>
      <c r="W2692" s="100" t="s">
        <v>168</v>
      </c>
      <c r="X2692" s="100" t="s">
        <v>169</v>
      </c>
      <c r="Y2692" s="101" t="s">
        <v>170</v>
      </c>
      <c r="Z2692" s="101" t="s">
        <v>171</v>
      </c>
      <c r="AA2692" s="101" t="s">
        <v>50</v>
      </c>
      <c r="AB2692" s="101" t="s">
        <v>172</v>
      </c>
      <c r="AC2692" s="102" t="s">
        <v>173</v>
      </c>
    </row>
    <row r="2693" spans="1:29" ht="25.5" customHeight="1" x14ac:dyDescent="0.35">
      <c r="A2693" s="392"/>
      <c r="B2693" s="393"/>
      <c r="C2693" s="99" t="str">
        <f>IF(B2693="","",IF(NOT(ISNUMBER(B2693)),"DATA_PC invalida",IF(NOT(ISNUMBER(parametros!$C$2)),"Fora dos ciclos",IF(OR(B2693&lt;parametros!$C$2,(YEAR(B2693)-YEAR(parametros!$C$2))*12+MONTH(B2693)-MONTH(parametros!$C$2)&gt;59),"Fora dos ciclos","C"&amp;INT(((YEAR(B2693)-YEAR(parametros!$C$2))*12+MONTH(B2693)-MONTH(parametros!$C$2))/12)))))</f>
        <v/>
      </c>
      <c r="D2693" s="394"/>
      <c r="E2693" s="78" t="str">
        <f>IF(C2693="","",IFERROR(VLOOKUP(C2693,parametros!$A$11:$E$15,5,0),""))</f>
        <v/>
      </c>
      <c r="F2693" s="79" t="str">
        <f t="shared" si="212"/>
        <v/>
      </c>
      <c r="G2693" s="395"/>
      <c r="H2693" s="91">
        <f t="shared" si="213"/>
        <v>0</v>
      </c>
      <c r="I2693" s="91" t="str">
        <f t="shared" si="214"/>
        <v/>
      </c>
      <c r="J2693" s="91" t="str">
        <f t="shared" si="215"/>
        <v/>
      </c>
      <c r="K2693" s="92" t="str">
        <f>IF(AND(A2693="",B2693="",D2693="",G2693=""),"",IF(AND(A2693&lt;&gt;"",COUNTIF($A$2:$A$5001,A2693)&gt;1),"NUMERO_PC duplicado",IF(B2693="","DATA_PC vazia",IF(NOT(ISNUMBER(B2693)),"DATA_PC invalida",IF(OR(C2693="",C2693="Fora dos ciclos"),"CICLO_PC nao identificado",IF(OR(D2693="",D2693=0),"VALOR_PC vazio ou zero",IF(AND(G2693&lt;&gt;"Sim",G2693&lt;&gt;"Nao",G2693&lt;&gt;""),"PC_PAGO_A_CONTRATADA invalido",IF(AND(C2693&lt;&gt;"C0",IFERROR(INDEX(parametros!$A$2:$A$6,MATCH(C2693,parametros!$B$2:$B$6,0)),"")="Sim",IFERROR(INDEX(parametros!$H$2:$H$6,MATCH(C2693,parametros!$B$2:$B$6,0)),"")=""),"INICIO_EFEITO ausente: PC "&amp;A2693&amp;" - "&amp;C2693,IF(L2693="","EFEITO_PC nao calculado: PC "&amp;A2693&amp;" - "&amp;C2693,"OK")))))))))</f>
        <v/>
      </c>
      <c r="L2693" s="92" t="str">
        <f>IF(AND(A2693="",B2693="",D2693="",G2693=""),"",IF(OR(B2693="",NOT(ISNUMBER(B2693)),C2693="",C2693="Fora dos ciclos"),"",IF(C2693="C0","Nao",IF(IFERROR(INDEX(parametros!$A$2:$A$6,MATCH(C2693,parametros!$B$2:$B$6,0)),"")&lt;&gt;"Sim","Nao",IF(IFERROR(INDEX(parametros!$H$2:$H$6,MATCH(C2693,parametros!$B$2:$B$6,0)),"")="","",IF(B2693&gt;=IFERROR(INDEX(parametros!$H$2:$H$6,MATCH(C2693,parametros!$B$2:$B$6,0)),""),"Sim","Nao"))))))</f>
        <v/>
      </c>
      <c r="T2693" s="156"/>
      <c r="U2693" s="214" t="str">
        <f t="shared" si="216"/>
        <v/>
      </c>
      <c r="V2693" s="212" t="s">
        <v>50</v>
      </c>
      <c r="W2693" s="100" t="s">
        <v>168</v>
      </c>
      <c r="X2693" s="100" t="s">
        <v>169</v>
      </c>
      <c r="Y2693" s="101" t="s">
        <v>170</v>
      </c>
      <c r="Z2693" s="101" t="s">
        <v>171</v>
      </c>
      <c r="AA2693" s="101" t="s">
        <v>50</v>
      </c>
      <c r="AB2693" s="101" t="s">
        <v>172</v>
      </c>
      <c r="AC2693" s="102" t="s">
        <v>173</v>
      </c>
    </row>
    <row r="2694" spans="1:29" ht="25.5" customHeight="1" x14ac:dyDescent="0.35">
      <c r="A2694" s="392"/>
      <c r="B2694" s="393"/>
      <c r="C2694" s="99" t="str">
        <f>IF(B2694="","",IF(NOT(ISNUMBER(B2694)),"DATA_PC invalida",IF(NOT(ISNUMBER(parametros!$C$2)),"Fora dos ciclos",IF(OR(B2694&lt;parametros!$C$2,(YEAR(B2694)-YEAR(parametros!$C$2))*12+MONTH(B2694)-MONTH(parametros!$C$2)&gt;59),"Fora dos ciclos","C"&amp;INT(((YEAR(B2694)-YEAR(parametros!$C$2))*12+MONTH(B2694)-MONTH(parametros!$C$2))/12)))))</f>
        <v/>
      </c>
      <c r="D2694" s="394"/>
      <c r="E2694" s="78" t="str">
        <f>IF(C2694="","",IFERROR(VLOOKUP(C2694,parametros!$A$11:$E$15,5,0),""))</f>
        <v/>
      </c>
      <c r="F2694" s="79" t="str">
        <f t="shared" si="212"/>
        <v/>
      </c>
      <c r="G2694" s="395"/>
      <c r="H2694" s="91">
        <f t="shared" si="213"/>
        <v>0</v>
      </c>
      <c r="I2694" s="91" t="str">
        <f t="shared" si="214"/>
        <v/>
      </c>
      <c r="J2694" s="91" t="str">
        <f t="shared" si="215"/>
        <v/>
      </c>
      <c r="K2694" s="92" t="str">
        <f>IF(AND(A2694="",B2694="",D2694="",G2694=""),"",IF(AND(A2694&lt;&gt;"",COUNTIF($A$2:$A$5001,A2694)&gt;1),"NUMERO_PC duplicado",IF(B2694="","DATA_PC vazia",IF(NOT(ISNUMBER(B2694)),"DATA_PC invalida",IF(OR(C2694="",C2694="Fora dos ciclos"),"CICLO_PC nao identificado",IF(OR(D2694="",D2694=0),"VALOR_PC vazio ou zero",IF(AND(G2694&lt;&gt;"Sim",G2694&lt;&gt;"Nao",G2694&lt;&gt;""),"PC_PAGO_A_CONTRATADA invalido",IF(AND(C2694&lt;&gt;"C0",IFERROR(INDEX(parametros!$A$2:$A$6,MATCH(C2694,parametros!$B$2:$B$6,0)),"")="Sim",IFERROR(INDEX(parametros!$H$2:$H$6,MATCH(C2694,parametros!$B$2:$B$6,0)),"")=""),"INICIO_EFEITO ausente: PC "&amp;A2694&amp;" - "&amp;C2694,IF(L2694="","EFEITO_PC nao calculado: PC "&amp;A2694&amp;" - "&amp;C2694,"OK")))))))))</f>
        <v/>
      </c>
      <c r="L2694" s="92" t="str">
        <f>IF(AND(A2694="",B2694="",D2694="",G2694=""),"",IF(OR(B2694="",NOT(ISNUMBER(B2694)),C2694="",C2694="Fora dos ciclos"),"",IF(C2694="C0","Nao",IF(IFERROR(INDEX(parametros!$A$2:$A$6,MATCH(C2694,parametros!$B$2:$B$6,0)),"")&lt;&gt;"Sim","Nao",IF(IFERROR(INDEX(parametros!$H$2:$H$6,MATCH(C2694,parametros!$B$2:$B$6,0)),"")="","",IF(B2694&gt;=IFERROR(INDEX(parametros!$H$2:$H$6,MATCH(C2694,parametros!$B$2:$B$6,0)),""),"Sim","Nao"))))))</f>
        <v/>
      </c>
      <c r="T2694" s="156"/>
      <c r="U2694" s="214" t="str">
        <f t="shared" si="216"/>
        <v/>
      </c>
      <c r="V2694" s="212" t="s">
        <v>50</v>
      </c>
      <c r="W2694" s="100" t="s">
        <v>168</v>
      </c>
      <c r="X2694" s="100" t="s">
        <v>169</v>
      </c>
      <c r="Y2694" s="101" t="s">
        <v>170</v>
      </c>
      <c r="Z2694" s="101" t="s">
        <v>171</v>
      </c>
      <c r="AA2694" s="101" t="s">
        <v>50</v>
      </c>
      <c r="AB2694" s="101" t="s">
        <v>172</v>
      </c>
      <c r="AC2694" s="102" t="s">
        <v>173</v>
      </c>
    </row>
    <row r="2695" spans="1:29" ht="25.5" customHeight="1" x14ac:dyDescent="0.35">
      <c r="A2695" s="392"/>
      <c r="B2695" s="393"/>
      <c r="C2695" s="99" t="str">
        <f>IF(B2695="","",IF(NOT(ISNUMBER(B2695)),"DATA_PC invalida",IF(NOT(ISNUMBER(parametros!$C$2)),"Fora dos ciclos",IF(OR(B2695&lt;parametros!$C$2,(YEAR(B2695)-YEAR(parametros!$C$2))*12+MONTH(B2695)-MONTH(parametros!$C$2)&gt;59),"Fora dos ciclos","C"&amp;INT(((YEAR(B2695)-YEAR(parametros!$C$2))*12+MONTH(B2695)-MONTH(parametros!$C$2))/12)))))</f>
        <v/>
      </c>
      <c r="D2695" s="394"/>
      <c r="E2695" s="78" t="str">
        <f>IF(C2695="","",IFERROR(VLOOKUP(C2695,parametros!$A$11:$E$15,5,0),""))</f>
        <v/>
      </c>
      <c r="F2695" s="79" t="str">
        <f t="shared" si="212"/>
        <v/>
      </c>
      <c r="G2695" s="395"/>
      <c r="H2695" s="91">
        <f t="shared" si="213"/>
        <v>0</v>
      </c>
      <c r="I2695" s="91" t="str">
        <f t="shared" si="214"/>
        <v/>
      </c>
      <c r="J2695" s="91" t="str">
        <f t="shared" si="215"/>
        <v/>
      </c>
      <c r="K2695" s="92" t="str">
        <f>IF(AND(A2695="",B2695="",D2695="",G2695=""),"",IF(AND(A2695&lt;&gt;"",COUNTIF($A$2:$A$5001,A2695)&gt;1),"NUMERO_PC duplicado",IF(B2695="","DATA_PC vazia",IF(NOT(ISNUMBER(B2695)),"DATA_PC invalida",IF(OR(C2695="",C2695="Fora dos ciclos"),"CICLO_PC nao identificado",IF(OR(D2695="",D2695=0),"VALOR_PC vazio ou zero",IF(AND(G2695&lt;&gt;"Sim",G2695&lt;&gt;"Nao",G2695&lt;&gt;""),"PC_PAGO_A_CONTRATADA invalido",IF(AND(C2695&lt;&gt;"C0",IFERROR(INDEX(parametros!$A$2:$A$6,MATCH(C2695,parametros!$B$2:$B$6,0)),"")="Sim",IFERROR(INDEX(parametros!$H$2:$H$6,MATCH(C2695,parametros!$B$2:$B$6,0)),"")=""),"INICIO_EFEITO ausente: PC "&amp;A2695&amp;" - "&amp;C2695,IF(L2695="","EFEITO_PC nao calculado: PC "&amp;A2695&amp;" - "&amp;C2695,"OK")))))))))</f>
        <v/>
      </c>
      <c r="L2695" s="92" t="str">
        <f>IF(AND(A2695="",B2695="",D2695="",G2695=""),"",IF(OR(B2695="",NOT(ISNUMBER(B2695)),C2695="",C2695="Fora dos ciclos"),"",IF(C2695="C0","Nao",IF(IFERROR(INDEX(parametros!$A$2:$A$6,MATCH(C2695,parametros!$B$2:$B$6,0)),"")&lt;&gt;"Sim","Nao",IF(IFERROR(INDEX(parametros!$H$2:$H$6,MATCH(C2695,parametros!$B$2:$B$6,0)),"")="","",IF(B2695&gt;=IFERROR(INDEX(parametros!$H$2:$H$6,MATCH(C2695,parametros!$B$2:$B$6,0)),""),"Sim","Nao"))))))</f>
        <v/>
      </c>
      <c r="T2695" s="156"/>
      <c r="U2695" s="214" t="str">
        <f t="shared" si="216"/>
        <v/>
      </c>
      <c r="V2695" s="212" t="s">
        <v>50</v>
      </c>
      <c r="W2695" s="100" t="s">
        <v>168</v>
      </c>
      <c r="X2695" s="100" t="s">
        <v>169</v>
      </c>
      <c r="Y2695" s="101" t="s">
        <v>170</v>
      </c>
      <c r="Z2695" s="101" t="s">
        <v>171</v>
      </c>
      <c r="AA2695" s="101" t="s">
        <v>50</v>
      </c>
      <c r="AB2695" s="101" t="s">
        <v>172</v>
      </c>
      <c r="AC2695" s="102" t="s">
        <v>173</v>
      </c>
    </row>
    <row r="2696" spans="1:29" ht="25.5" customHeight="1" x14ac:dyDescent="0.35">
      <c r="A2696" s="392"/>
      <c r="B2696" s="393"/>
      <c r="C2696" s="99" t="str">
        <f>IF(B2696="","",IF(NOT(ISNUMBER(B2696)),"DATA_PC invalida",IF(NOT(ISNUMBER(parametros!$C$2)),"Fora dos ciclos",IF(OR(B2696&lt;parametros!$C$2,(YEAR(B2696)-YEAR(parametros!$C$2))*12+MONTH(B2696)-MONTH(parametros!$C$2)&gt;59),"Fora dos ciclos","C"&amp;INT(((YEAR(B2696)-YEAR(parametros!$C$2))*12+MONTH(B2696)-MONTH(parametros!$C$2))/12)))))</f>
        <v/>
      </c>
      <c r="D2696" s="394"/>
      <c r="E2696" s="78" t="str">
        <f>IF(C2696="","",IFERROR(VLOOKUP(C2696,parametros!$A$11:$E$15,5,0),""))</f>
        <v/>
      </c>
      <c r="F2696" s="79" t="str">
        <f t="shared" si="212"/>
        <v/>
      </c>
      <c r="G2696" s="395"/>
      <c r="H2696" s="91">
        <f t="shared" si="213"/>
        <v>0</v>
      </c>
      <c r="I2696" s="91" t="str">
        <f t="shared" si="214"/>
        <v/>
      </c>
      <c r="J2696" s="91" t="str">
        <f t="shared" si="215"/>
        <v/>
      </c>
      <c r="K2696" s="92" t="str">
        <f>IF(AND(A2696="",B2696="",D2696="",G2696=""),"",IF(AND(A2696&lt;&gt;"",COUNTIF($A$2:$A$5001,A2696)&gt;1),"NUMERO_PC duplicado",IF(B2696="","DATA_PC vazia",IF(NOT(ISNUMBER(B2696)),"DATA_PC invalida",IF(OR(C2696="",C2696="Fora dos ciclos"),"CICLO_PC nao identificado",IF(OR(D2696="",D2696=0),"VALOR_PC vazio ou zero",IF(AND(G2696&lt;&gt;"Sim",G2696&lt;&gt;"Nao",G2696&lt;&gt;""),"PC_PAGO_A_CONTRATADA invalido",IF(AND(C2696&lt;&gt;"C0",IFERROR(INDEX(parametros!$A$2:$A$6,MATCH(C2696,parametros!$B$2:$B$6,0)),"")="Sim",IFERROR(INDEX(parametros!$H$2:$H$6,MATCH(C2696,parametros!$B$2:$B$6,0)),"")=""),"INICIO_EFEITO ausente: PC "&amp;A2696&amp;" - "&amp;C2696,IF(L2696="","EFEITO_PC nao calculado: PC "&amp;A2696&amp;" - "&amp;C2696,"OK")))))))))</f>
        <v/>
      </c>
      <c r="L2696" s="92" t="str">
        <f>IF(AND(A2696="",B2696="",D2696="",G2696=""),"",IF(OR(B2696="",NOT(ISNUMBER(B2696)),C2696="",C2696="Fora dos ciclos"),"",IF(C2696="C0","Nao",IF(IFERROR(INDEX(parametros!$A$2:$A$6,MATCH(C2696,parametros!$B$2:$B$6,0)),"")&lt;&gt;"Sim","Nao",IF(IFERROR(INDEX(parametros!$H$2:$H$6,MATCH(C2696,parametros!$B$2:$B$6,0)),"")="","",IF(B2696&gt;=IFERROR(INDEX(parametros!$H$2:$H$6,MATCH(C2696,parametros!$B$2:$B$6,0)),""),"Sim","Nao"))))))</f>
        <v/>
      </c>
      <c r="T2696" s="156"/>
      <c r="U2696" s="214" t="str">
        <f t="shared" si="216"/>
        <v/>
      </c>
      <c r="V2696" s="212" t="s">
        <v>50</v>
      </c>
      <c r="W2696" s="100" t="s">
        <v>168</v>
      </c>
      <c r="X2696" s="100" t="s">
        <v>169</v>
      </c>
      <c r="Y2696" s="101" t="s">
        <v>170</v>
      </c>
      <c r="Z2696" s="101" t="s">
        <v>171</v>
      </c>
      <c r="AA2696" s="101" t="s">
        <v>50</v>
      </c>
      <c r="AB2696" s="101" t="s">
        <v>172</v>
      </c>
      <c r="AC2696" s="102" t="s">
        <v>173</v>
      </c>
    </row>
    <row r="2697" spans="1:29" ht="25.5" customHeight="1" x14ac:dyDescent="0.35">
      <c r="A2697" s="392"/>
      <c r="B2697" s="393"/>
      <c r="C2697" s="99" t="str">
        <f>IF(B2697="","",IF(NOT(ISNUMBER(B2697)),"DATA_PC invalida",IF(NOT(ISNUMBER(parametros!$C$2)),"Fora dos ciclos",IF(OR(B2697&lt;parametros!$C$2,(YEAR(B2697)-YEAR(parametros!$C$2))*12+MONTH(B2697)-MONTH(parametros!$C$2)&gt;59),"Fora dos ciclos","C"&amp;INT(((YEAR(B2697)-YEAR(parametros!$C$2))*12+MONTH(B2697)-MONTH(parametros!$C$2))/12)))))</f>
        <v/>
      </c>
      <c r="D2697" s="394"/>
      <c r="E2697" s="78" t="str">
        <f>IF(C2697="","",IFERROR(VLOOKUP(C2697,parametros!$A$11:$E$15,5,0),""))</f>
        <v/>
      </c>
      <c r="F2697" s="79" t="str">
        <f t="shared" si="212"/>
        <v/>
      </c>
      <c r="G2697" s="395"/>
      <c r="H2697" s="91">
        <f t="shared" si="213"/>
        <v>0</v>
      </c>
      <c r="I2697" s="91" t="str">
        <f t="shared" si="214"/>
        <v/>
      </c>
      <c r="J2697" s="91" t="str">
        <f t="shared" si="215"/>
        <v/>
      </c>
      <c r="K2697" s="92" t="str">
        <f>IF(AND(A2697="",B2697="",D2697="",G2697=""),"",IF(AND(A2697&lt;&gt;"",COUNTIF($A$2:$A$5001,A2697)&gt;1),"NUMERO_PC duplicado",IF(B2697="","DATA_PC vazia",IF(NOT(ISNUMBER(B2697)),"DATA_PC invalida",IF(OR(C2697="",C2697="Fora dos ciclos"),"CICLO_PC nao identificado",IF(OR(D2697="",D2697=0),"VALOR_PC vazio ou zero",IF(AND(G2697&lt;&gt;"Sim",G2697&lt;&gt;"Nao",G2697&lt;&gt;""),"PC_PAGO_A_CONTRATADA invalido",IF(AND(C2697&lt;&gt;"C0",IFERROR(INDEX(parametros!$A$2:$A$6,MATCH(C2697,parametros!$B$2:$B$6,0)),"")="Sim",IFERROR(INDEX(parametros!$H$2:$H$6,MATCH(C2697,parametros!$B$2:$B$6,0)),"")=""),"INICIO_EFEITO ausente: PC "&amp;A2697&amp;" - "&amp;C2697,IF(L2697="","EFEITO_PC nao calculado: PC "&amp;A2697&amp;" - "&amp;C2697,"OK")))))))))</f>
        <v/>
      </c>
      <c r="L2697" s="92" t="str">
        <f>IF(AND(A2697="",B2697="",D2697="",G2697=""),"",IF(OR(B2697="",NOT(ISNUMBER(B2697)),C2697="",C2697="Fora dos ciclos"),"",IF(C2697="C0","Nao",IF(IFERROR(INDEX(parametros!$A$2:$A$6,MATCH(C2697,parametros!$B$2:$B$6,0)),"")&lt;&gt;"Sim","Nao",IF(IFERROR(INDEX(parametros!$H$2:$H$6,MATCH(C2697,parametros!$B$2:$B$6,0)),"")="","",IF(B2697&gt;=IFERROR(INDEX(parametros!$H$2:$H$6,MATCH(C2697,parametros!$B$2:$B$6,0)),""),"Sim","Nao"))))))</f>
        <v/>
      </c>
      <c r="T2697" s="156"/>
      <c r="U2697" s="214" t="str">
        <f t="shared" si="216"/>
        <v/>
      </c>
      <c r="V2697" s="212" t="s">
        <v>50</v>
      </c>
      <c r="W2697" s="100" t="s">
        <v>168</v>
      </c>
      <c r="X2697" s="100" t="s">
        <v>169</v>
      </c>
      <c r="Y2697" s="101" t="s">
        <v>170</v>
      </c>
      <c r="Z2697" s="101" t="s">
        <v>171</v>
      </c>
      <c r="AA2697" s="101" t="s">
        <v>50</v>
      </c>
      <c r="AB2697" s="101" t="s">
        <v>172</v>
      </c>
      <c r="AC2697" s="102" t="s">
        <v>173</v>
      </c>
    </row>
    <row r="2698" spans="1:29" ht="25.5" customHeight="1" x14ac:dyDescent="0.35">
      <c r="A2698" s="392"/>
      <c r="B2698" s="393"/>
      <c r="C2698" s="99" t="str">
        <f>IF(B2698="","",IF(NOT(ISNUMBER(B2698)),"DATA_PC invalida",IF(NOT(ISNUMBER(parametros!$C$2)),"Fora dos ciclos",IF(OR(B2698&lt;parametros!$C$2,(YEAR(B2698)-YEAR(parametros!$C$2))*12+MONTH(B2698)-MONTH(parametros!$C$2)&gt;59),"Fora dos ciclos","C"&amp;INT(((YEAR(B2698)-YEAR(parametros!$C$2))*12+MONTH(B2698)-MONTH(parametros!$C$2))/12)))))</f>
        <v/>
      </c>
      <c r="D2698" s="394"/>
      <c r="E2698" s="78" t="str">
        <f>IF(C2698="","",IFERROR(VLOOKUP(C2698,parametros!$A$11:$E$15,5,0),""))</f>
        <v/>
      </c>
      <c r="F2698" s="79" t="str">
        <f t="shared" si="212"/>
        <v/>
      </c>
      <c r="G2698" s="395"/>
      <c r="H2698" s="91">
        <f t="shared" si="213"/>
        <v>0</v>
      </c>
      <c r="I2698" s="91" t="str">
        <f t="shared" si="214"/>
        <v/>
      </c>
      <c r="J2698" s="91" t="str">
        <f t="shared" si="215"/>
        <v/>
      </c>
      <c r="K2698" s="92" t="str">
        <f>IF(AND(A2698="",B2698="",D2698="",G2698=""),"",IF(AND(A2698&lt;&gt;"",COUNTIF($A$2:$A$5001,A2698)&gt;1),"NUMERO_PC duplicado",IF(B2698="","DATA_PC vazia",IF(NOT(ISNUMBER(B2698)),"DATA_PC invalida",IF(OR(C2698="",C2698="Fora dos ciclos"),"CICLO_PC nao identificado",IF(OR(D2698="",D2698=0),"VALOR_PC vazio ou zero",IF(AND(G2698&lt;&gt;"Sim",G2698&lt;&gt;"Nao",G2698&lt;&gt;""),"PC_PAGO_A_CONTRATADA invalido",IF(AND(C2698&lt;&gt;"C0",IFERROR(INDEX(parametros!$A$2:$A$6,MATCH(C2698,parametros!$B$2:$B$6,0)),"")="Sim",IFERROR(INDEX(parametros!$H$2:$H$6,MATCH(C2698,parametros!$B$2:$B$6,0)),"")=""),"INICIO_EFEITO ausente: PC "&amp;A2698&amp;" - "&amp;C2698,IF(L2698="","EFEITO_PC nao calculado: PC "&amp;A2698&amp;" - "&amp;C2698,"OK")))))))))</f>
        <v/>
      </c>
      <c r="L2698" s="92" t="str">
        <f>IF(AND(A2698="",B2698="",D2698="",G2698=""),"",IF(OR(B2698="",NOT(ISNUMBER(B2698)),C2698="",C2698="Fora dos ciclos"),"",IF(C2698="C0","Nao",IF(IFERROR(INDEX(parametros!$A$2:$A$6,MATCH(C2698,parametros!$B$2:$B$6,0)),"")&lt;&gt;"Sim","Nao",IF(IFERROR(INDEX(parametros!$H$2:$H$6,MATCH(C2698,parametros!$B$2:$B$6,0)),"")="","",IF(B2698&gt;=IFERROR(INDEX(parametros!$H$2:$H$6,MATCH(C2698,parametros!$B$2:$B$6,0)),""),"Sim","Nao"))))))</f>
        <v/>
      </c>
      <c r="T2698" s="156"/>
      <c r="U2698" s="214" t="str">
        <f t="shared" si="216"/>
        <v/>
      </c>
      <c r="V2698" s="212" t="s">
        <v>50</v>
      </c>
      <c r="W2698" s="100" t="s">
        <v>168</v>
      </c>
      <c r="X2698" s="100" t="s">
        <v>169</v>
      </c>
      <c r="Y2698" s="101" t="s">
        <v>170</v>
      </c>
      <c r="Z2698" s="101" t="s">
        <v>171</v>
      </c>
      <c r="AA2698" s="101" t="s">
        <v>50</v>
      </c>
      <c r="AB2698" s="101" t="s">
        <v>172</v>
      </c>
      <c r="AC2698" s="102" t="s">
        <v>173</v>
      </c>
    </row>
    <row r="2699" spans="1:29" ht="25.5" customHeight="1" x14ac:dyDescent="0.35">
      <c r="A2699" s="392"/>
      <c r="B2699" s="393"/>
      <c r="C2699" s="99" t="str">
        <f>IF(B2699="","",IF(NOT(ISNUMBER(B2699)),"DATA_PC invalida",IF(NOT(ISNUMBER(parametros!$C$2)),"Fora dos ciclos",IF(OR(B2699&lt;parametros!$C$2,(YEAR(B2699)-YEAR(parametros!$C$2))*12+MONTH(B2699)-MONTH(parametros!$C$2)&gt;59),"Fora dos ciclos","C"&amp;INT(((YEAR(B2699)-YEAR(parametros!$C$2))*12+MONTH(B2699)-MONTH(parametros!$C$2))/12)))))</f>
        <v/>
      </c>
      <c r="D2699" s="394"/>
      <c r="E2699" s="78" t="str">
        <f>IF(C2699="","",IFERROR(VLOOKUP(C2699,parametros!$A$11:$E$15,5,0),""))</f>
        <v/>
      </c>
      <c r="F2699" s="79" t="str">
        <f t="shared" si="212"/>
        <v/>
      </c>
      <c r="G2699" s="395"/>
      <c r="H2699" s="91">
        <f t="shared" si="213"/>
        <v>0</v>
      </c>
      <c r="I2699" s="91" t="str">
        <f t="shared" si="214"/>
        <v/>
      </c>
      <c r="J2699" s="91" t="str">
        <f t="shared" si="215"/>
        <v/>
      </c>
      <c r="K2699" s="92" t="str">
        <f>IF(AND(A2699="",B2699="",D2699="",G2699=""),"",IF(AND(A2699&lt;&gt;"",COUNTIF($A$2:$A$5001,A2699)&gt;1),"NUMERO_PC duplicado",IF(B2699="","DATA_PC vazia",IF(NOT(ISNUMBER(B2699)),"DATA_PC invalida",IF(OR(C2699="",C2699="Fora dos ciclos"),"CICLO_PC nao identificado",IF(OR(D2699="",D2699=0),"VALOR_PC vazio ou zero",IF(AND(G2699&lt;&gt;"Sim",G2699&lt;&gt;"Nao",G2699&lt;&gt;""),"PC_PAGO_A_CONTRATADA invalido",IF(AND(C2699&lt;&gt;"C0",IFERROR(INDEX(parametros!$A$2:$A$6,MATCH(C2699,parametros!$B$2:$B$6,0)),"")="Sim",IFERROR(INDEX(parametros!$H$2:$H$6,MATCH(C2699,parametros!$B$2:$B$6,0)),"")=""),"INICIO_EFEITO ausente: PC "&amp;A2699&amp;" - "&amp;C2699,IF(L2699="","EFEITO_PC nao calculado: PC "&amp;A2699&amp;" - "&amp;C2699,"OK")))))))))</f>
        <v/>
      </c>
      <c r="L2699" s="92" t="str">
        <f>IF(AND(A2699="",B2699="",D2699="",G2699=""),"",IF(OR(B2699="",NOT(ISNUMBER(B2699)),C2699="",C2699="Fora dos ciclos"),"",IF(C2699="C0","Nao",IF(IFERROR(INDEX(parametros!$A$2:$A$6,MATCH(C2699,parametros!$B$2:$B$6,0)),"")&lt;&gt;"Sim","Nao",IF(IFERROR(INDEX(parametros!$H$2:$H$6,MATCH(C2699,parametros!$B$2:$B$6,0)),"")="","",IF(B2699&gt;=IFERROR(INDEX(parametros!$H$2:$H$6,MATCH(C2699,parametros!$B$2:$B$6,0)),""),"Sim","Nao"))))))</f>
        <v/>
      </c>
      <c r="T2699" s="156"/>
      <c r="U2699" s="214" t="str">
        <f t="shared" si="216"/>
        <v/>
      </c>
      <c r="V2699" s="212" t="s">
        <v>50</v>
      </c>
      <c r="W2699" s="100" t="s">
        <v>168</v>
      </c>
      <c r="X2699" s="100" t="s">
        <v>169</v>
      </c>
      <c r="Y2699" s="101" t="s">
        <v>170</v>
      </c>
      <c r="Z2699" s="101" t="s">
        <v>171</v>
      </c>
      <c r="AA2699" s="101" t="s">
        <v>50</v>
      </c>
      <c r="AB2699" s="101" t="s">
        <v>172</v>
      </c>
      <c r="AC2699" s="102" t="s">
        <v>173</v>
      </c>
    </row>
    <row r="2700" spans="1:29" ht="25.5" customHeight="1" x14ac:dyDescent="0.35">
      <c r="A2700" s="392"/>
      <c r="B2700" s="393"/>
      <c r="C2700" s="99" t="str">
        <f>IF(B2700="","",IF(NOT(ISNUMBER(B2700)),"DATA_PC invalida",IF(NOT(ISNUMBER(parametros!$C$2)),"Fora dos ciclos",IF(OR(B2700&lt;parametros!$C$2,(YEAR(B2700)-YEAR(parametros!$C$2))*12+MONTH(B2700)-MONTH(parametros!$C$2)&gt;59),"Fora dos ciclos","C"&amp;INT(((YEAR(B2700)-YEAR(parametros!$C$2))*12+MONTH(B2700)-MONTH(parametros!$C$2))/12)))))</f>
        <v/>
      </c>
      <c r="D2700" s="394"/>
      <c r="E2700" s="78" t="str">
        <f>IF(C2700="","",IFERROR(VLOOKUP(C2700,parametros!$A$11:$E$15,5,0),""))</f>
        <v/>
      </c>
      <c r="F2700" s="79" t="str">
        <f t="shared" si="212"/>
        <v/>
      </c>
      <c r="G2700" s="395"/>
      <c r="H2700" s="91">
        <f t="shared" si="213"/>
        <v>0</v>
      </c>
      <c r="I2700" s="91" t="str">
        <f t="shared" si="214"/>
        <v/>
      </c>
      <c r="J2700" s="91" t="str">
        <f t="shared" si="215"/>
        <v/>
      </c>
      <c r="K2700" s="92" t="str">
        <f>IF(AND(A2700="",B2700="",D2700="",G2700=""),"",IF(AND(A2700&lt;&gt;"",COUNTIF($A$2:$A$5001,A2700)&gt;1),"NUMERO_PC duplicado",IF(B2700="","DATA_PC vazia",IF(NOT(ISNUMBER(B2700)),"DATA_PC invalida",IF(OR(C2700="",C2700="Fora dos ciclos"),"CICLO_PC nao identificado",IF(OR(D2700="",D2700=0),"VALOR_PC vazio ou zero",IF(AND(G2700&lt;&gt;"Sim",G2700&lt;&gt;"Nao",G2700&lt;&gt;""),"PC_PAGO_A_CONTRATADA invalido",IF(AND(C2700&lt;&gt;"C0",IFERROR(INDEX(parametros!$A$2:$A$6,MATCH(C2700,parametros!$B$2:$B$6,0)),"")="Sim",IFERROR(INDEX(parametros!$H$2:$H$6,MATCH(C2700,parametros!$B$2:$B$6,0)),"")=""),"INICIO_EFEITO ausente: PC "&amp;A2700&amp;" - "&amp;C2700,IF(L2700="","EFEITO_PC nao calculado: PC "&amp;A2700&amp;" - "&amp;C2700,"OK")))))))))</f>
        <v/>
      </c>
      <c r="L2700" s="92" t="str">
        <f>IF(AND(A2700="",B2700="",D2700="",G2700=""),"",IF(OR(B2700="",NOT(ISNUMBER(B2700)),C2700="",C2700="Fora dos ciclos"),"",IF(C2700="C0","Nao",IF(IFERROR(INDEX(parametros!$A$2:$A$6,MATCH(C2700,parametros!$B$2:$B$6,0)),"")&lt;&gt;"Sim","Nao",IF(IFERROR(INDEX(parametros!$H$2:$H$6,MATCH(C2700,parametros!$B$2:$B$6,0)),"")="","",IF(B2700&gt;=IFERROR(INDEX(parametros!$H$2:$H$6,MATCH(C2700,parametros!$B$2:$B$6,0)),""),"Sim","Nao"))))))</f>
        <v/>
      </c>
      <c r="T2700" s="156"/>
      <c r="U2700" s="214" t="str">
        <f t="shared" si="216"/>
        <v/>
      </c>
      <c r="V2700" s="212" t="s">
        <v>50</v>
      </c>
      <c r="W2700" s="100" t="s">
        <v>168</v>
      </c>
      <c r="X2700" s="100" t="s">
        <v>169</v>
      </c>
      <c r="Y2700" s="101" t="s">
        <v>170</v>
      </c>
      <c r="Z2700" s="101" t="s">
        <v>171</v>
      </c>
      <c r="AA2700" s="101" t="s">
        <v>50</v>
      </c>
      <c r="AB2700" s="101" t="s">
        <v>172</v>
      </c>
      <c r="AC2700" s="102" t="s">
        <v>173</v>
      </c>
    </row>
    <row r="2701" spans="1:29" ht="25.5" customHeight="1" x14ac:dyDescent="0.35">
      <c r="A2701" s="392"/>
      <c r="B2701" s="393"/>
      <c r="C2701" s="99" t="str">
        <f>IF(B2701="","",IF(NOT(ISNUMBER(B2701)),"DATA_PC invalida",IF(NOT(ISNUMBER(parametros!$C$2)),"Fora dos ciclos",IF(OR(B2701&lt;parametros!$C$2,(YEAR(B2701)-YEAR(parametros!$C$2))*12+MONTH(B2701)-MONTH(parametros!$C$2)&gt;59),"Fora dos ciclos","C"&amp;INT(((YEAR(B2701)-YEAR(parametros!$C$2))*12+MONTH(B2701)-MONTH(parametros!$C$2))/12)))))</f>
        <v/>
      </c>
      <c r="D2701" s="394"/>
      <c r="E2701" s="78" t="str">
        <f>IF(C2701="","",IFERROR(VLOOKUP(C2701,parametros!$A$11:$E$15,5,0),""))</f>
        <v/>
      </c>
      <c r="F2701" s="79" t="str">
        <f t="shared" si="212"/>
        <v/>
      </c>
      <c r="G2701" s="395"/>
      <c r="H2701" s="91">
        <f t="shared" si="213"/>
        <v>0</v>
      </c>
      <c r="I2701" s="91" t="str">
        <f t="shared" si="214"/>
        <v/>
      </c>
      <c r="J2701" s="91" t="str">
        <f t="shared" si="215"/>
        <v/>
      </c>
      <c r="K2701" s="92" t="str">
        <f>IF(AND(A2701="",B2701="",D2701="",G2701=""),"",IF(AND(A2701&lt;&gt;"",COUNTIF($A$2:$A$5001,A2701)&gt;1),"NUMERO_PC duplicado",IF(B2701="","DATA_PC vazia",IF(NOT(ISNUMBER(B2701)),"DATA_PC invalida",IF(OR(C2701="",C2701="Fora dos ciclos"),"CICLO_PC nao identificado",IF(OR(D2701="",D2701=0),"VALOR_PC vazio ou zero",IF(AND(G2701&lt;&gt;"Sim",G2701&lt;&gt;"Nao",G2701&lt;&gt;""),"PC_PAGO_A_CONTRATADA invalido",IF(AND(C2701&lt;&gt;"C0",IFERROR(INDEX(parametros!$A$2:$A$6,MATCH(C2701,parametros!$B$2:$B$6,0)),"")="Sim",IFERROR(INDEX(parametros!$H$2:$H$6,MATCH(C2701,parametros!$B$2:$B$6,0)),"")=""),"INICIO_EFEITO ausente: PC "&amp;A2701&amp;" - "&amp;C2701,IF(L2701="","EFEITO_PC nao calculado: PC "&amp;A2701&amp;" - "&amp;C2701,"OK")))))))))</f>
        <v/>
      </c>
      <c r="L2701" s="92" t="str">
        <f>IF(AND(A2701="",B2701="",D2701="",G2701=""),"",IF(OR(B2701="",NOT(ISNUMBER(B2701)),C2701="",C2701="Fora dos ciclos"),"",IF(C2701="C0","Nao",IF(IFERROR(INDEX(parametros!$A$2:$A$6,MATCH(C2701,parametros!$B$2:$B$6,0)),"")&lt;&gt;"Sim","Nao",IF(IFERROR(INDEX(parametros!$H$2:$H$6,MATCH(C2701,parametros!$B$2:$B$6,0)),"")="","",IF(B2701&gt;=IFERROR(INDEX(parametros!$H$2:$H$6,MATCH(C2701,parametros!$B$2:$B$6,0)),""),"Sim","Nao"))))))</f>
        <v/>
      </c>
      <c r="T2701" s="156"/>
      <c r="U2701" s="214" t="str">
        <f t="shared" si="216"/>
        <v/>
      </c>
      <c r="V2701" s="212" t="s">
        <v>50</v>
      </c>
      <c r="W2701" s="100" t="s">
        <v>168</v>
      </c>
      <c r="X2701" s="100" t="s">
        <v>169</v>
      </c>
      <c r="Y2701" s="101" t="s">
        <v>170</v>
      </c>
      <c r="Z2701" s="101" t="s">
        <v>171</v>
      </c>
      <c r="AA2701" s="101" t="s">
        <v>50</v>
      </c>
      <c r="AB2701" s="101" t="s">
        <v>172</v>
      </c>
      <c r="AC2701" s="102" t="s">
        <v>173</v>
      </c>
    </row>
    <row r="2702" spans="1:29" ht="25.5" customHeight="1" x14ac:dyDescent="0.35">
      <c r="A2702" s="392"/>
      <c r="B2702" s="393"/>
      <c r="C2702" s="99" t="str">
        <f>IF(B2702="","",IF(NOT(ISNUMBER(B2702)),"DATA_PC invalida",IF(NOT(ISNUMBER(parametros!$C$2)),"Fora dos ciclos",IF(OR(B2702&lt;parametros!$C$2,(YEAR(B2702)-YEAR(parametros!$C$2))*12+MONTH(B2702)-MONTH(parametros!$C$2)&gt;59),"Fora dos ciclos","C"&amp;INT(((YEAR(B2702)-YEAR(parametros!$C$2))*12+MONTH(B2702)-MONTH(parametros!$C$2))/12)))))</f>
        <v/>
      </c>
      <c r="D2702" s="394"/>
      <c r="E2702" s="78" t="str">
        <f>IF(C2702="","",IFERROR(VLOOKUP(C2702,parametros!$A$11:$E$15,5,0),""))</f>
        <v/>
      </c>
      <c r="F2702" s="79" t="str">
        <f t="shared" si="212"/>
        <v/>
      </c>
      <c r="G2702" s="395"/>
      <c r="H2702" s="91">
        <f t="shared" si="213"/>
        <v>0</v>
      </c>
      <c r="I2702" s="91" t="str">
        <f t="shared" si="214"/>
        <v/>
      </c>
      <c r="J2702" s="91" t="str">
        <f t="shared" si="215"/>
        <v/>
      </c>
      <c r="K2702" s="92" t="str">
        <f>IF(AND(A2702="",B2702="",D2702="",G2702=""),"",IF(AND(A2702&lt;&gt;"",COUNTIF($A$2:$A$5001,A2702)&gt;1),"NUMERO_PC duplicado",IF(B2702="","DATA_PC vazia",IF(NOT(ISNUMBER(B2702)),"DATA_PC invalida",IF(OR(C2702="",C2702="Fora dos ciclos"),"CICLO_PC nao identificado",IF(OR(D2702="",D2702=0),"VALOR_PC vazio ou zero",IF(AND(G2702&lt;&gt;"Sim",G2702&lt;&gt;"Nao",G2702&lt;&gt;""),"PC_PAGO_A_CONTRATADA invalido",IF(AND(C2702&lt;&gt;"C0",IFERROR(INDEX(parametros!$A$2:$A$6,MATCH(C2702,parametros!$B$2:$B$6,0)),"")="Sim",IFERROR(INDEX(parametros!$H$2:$H$6,MATCH(C2702,parametros!$B$2:$B$6,0)),"")=""),"INICIO_EFEITO ausente: PC "&amp;A2702&amp;" - "&amp;C2702,IF(L2702="","EFEITO_PC nao calculado: PC "&amp;A2702&amp;" - "&amp;C2702,"OK")))))))))</f>
        <v/>
      </c>
      <c r="L2702" s="92" t="str">
        <f>IF(AND(A2702="",B2702="",D2702="",G2702=""),"",IF(OR(B2702="",NOT(ISNUMBER(B2702)),C2702="",C2702="Fora dos ciclos"),"",IF(C2702="C0","Nao",IF(IFERROR(INDEX(parametros!$A$2:$A$6,MATCH(C2702,parametros!$B$2:$B$6,0)),"")&lt;&gt;"Sim","Nao",IF(IFERROR(INDEX(parametros!$H$2:$H$6,MATCH(C2702,parametros!$B$2:$B$6,0)),"")="","",IF(B2702&gt;=IFERROR(INDEX(parametros!$H$2:$H$6,MATCH(C2702,parametros!$B$2:$B$6,0)),""),"Sim","Nao"))))))</f>
        <v/>
      </c>
      <c r="T2702" s="156"/>
      <c r="U2702" s="214" t="str">
        <f t="shared" si="216"/>
        <v/>
      </c>
      <c r="V2702" s="212" t="s">
        <v>50</v>
      </c>
      <c r="W2702" s="100" t="s">
        <v>168</v>
      </c>
      <c r="X2702" s="100" t="s">
        <v>169</v>
      </c>
      <c r="Y2702" s="101" t="s">
        <v>170</v>
      </c>
      <c r="Z2702" s="101" t="s">
        <v>171</v>
      </c>
      <c r="AA2702" s="101" t="s">
        <v>50</v>
      </c>
      <c r="AB2702" s="101" t="s">
        <v>172</v>
      </c>
      <c r="AC2702" s="102" t="s">
        <v>173</v>
      </c>
    </row>
    <row r="2703" spans="1:29" ht="25.5" customHeight="1" x14ac:dyDescent="0.35">
      <c r="A2703" s="392"/>
      <c r="B2703" s="393"/>
      <c r="C2703" s="99" t="str">
        <f>IF(B2703="","",IF(NOT(ISNUMBER(B2703)),"DATA_PC invalida",IF(NOT(ISNUMBER(parametros!$C$2)),"Fora dos ciclos",IF(OR(B2703&lt;parametros!$C$2,(YEAR(B2703)-YEAR(parametros!$C$2))*12+MONTH(B2703)-MONTH(parametros!$C$2)&gt;59),"Fora dos ciclos","C"&amp;INT(((YEAR(B2703)-YEAR(parametros!$C$2))*12+MONTH(B2703)-MONTH(parametros!$C$2))/12)))))</f>
        <v/>
      </c>
      <c r="D2703" s="394"/>
      <c r="E2703" s="78" t="str">
        <f>IF(C2703="","",IFERROR(VLOOKUP(C2703,parametros!$A$11:$E$15,5,0),""))</f>
        <v/>
      </c>
      <c r="F2703" s="79" t="str">
        <f t="shared" si="212"/>
        <v/>
      </c>
      <c r="G2703" s="395"/>
      <c r="H2703" s="91">
        <f t="shared" si="213"/>
        <v>0</v>
      </c>
      <c r="I2703" s="91" t="str">
        <f t="shared" si="214"/>
        <v/>
      </c>
      <c r="J2703" s="91" t="str">
        <f t="shared" si="215"/>
        <v/>
      </c>
      <c r="K2703" s="92" t="str">
        <f>IF(AND(A2703="",B2703="",D2703="",G2703=""),"",IF(AND(A2703&lt;&gt;"",COUNTIF($A$2:$A$5001,A2703)&gt;1),"NUMERO_PC duplicado",IF(B2703="","DATA_PC vazia",IF(NOT(ISNUMBER(B2703)),"DATA_PC invalida",IF(OR(C2703="",C2703="Fora dos ciclos"),"CICLO_PC nao identificado",IF(OR(D2703="",D2703=0),"VALOR_PC vazio ou zero",IF(AND(G2703&lt;&gt;"Sim",G2703&lt;&gt;"Nao",G2703&lt;&gt;""),"PC_PAGO_A_CONTRATADA invalido",IF(AND(C2703&lt;&gt;"C0",IFERROR(INDEX(parametros!$A$2:$A$6,MATCH(C2703,parametros!$B$2:$B$6,0)),"")="Sim",IFERROR(INDEX(parametros!$H$2:$H$6,MATCH(C2703,parametros!$B$2:$B$6,0)),"")=""),"INICIO_EFEITO ausente: PC "&amp;A2703&amp;" - "&amp;C2703,IF(L2703="","EFEITO_PC nao calculado: PC "&amp;A2703&amp;" - "&amp;C2703,"OK")))))))))</f>
        <v/>
      </c>
      <c r="L2703" s="92" t="str">
        <f>IF(AND(A2703="",B2703="",D2703="",G2703=""),"",IF(OR(B2703="",NOT(ISNUMBER(B2703)),C2703="",C2703="Fora dos ciclos"),"",IF(C2703="C0","Nao",IF(IFERROR(INDEX(parametros!$A$2:$A$6,MATCH(C2703,parametros!$B$2:$B$6,0)),"")&lt;&gt;"Sim","Nao",IF(IFERROR(INDEX(parametros!$H$2:$H$6,MATCH(C2703,parametros!$B$2:$B$6,0)),"")="","",IF(B2703&gt;=IFERROR(INDEX(parametros!$H$2:$H$6,MATCH(C2703,parametros!$B$2:$B$6,0)),""),"Sim","Nao"))))))</f>
        <v/>
      </c>
      <c r="T2703" s="156"/>
      <c r="U2703" s="214" t="str">
        <f t="shared" si="216"/>
        <v/>
      </c>
      <c r="V2703" s="212" t="s">
        <v>50</v>
      </c>
      <c r="W2703" s="100" t="s">
        <v>168</v>
      </c>
      <c r="X2703" s="100" t="s">
        <v>169</v>
      </c>
      <c r="Y2703" s="101" t="s">
        <v>170</v>
      </c>
      <c r="Z2703" s="101" t="s">
        <v>171</v>
      </c>
      <c r="AA2703" s="101" t="s">
        <v>50</v>
      </c>
      <c r="AB2703" s="101" t="s">
        <v>172</v>
      </c>
      <c r="AC2703" s="102" t="s">
        <v>173</v>
      </c>
    </row>
    <row r="2704" spans="1:29" ht="25.5" customHeight="1" x14ac:dyDescent="0.35">
      <c r="A2704" s="392"/>
      <c r="B2704" s="393"/>
      <c r="C2704" s="99" t="str">
        <f>IF(B2704="","",IF(NOT(ISNUMBER(B2704)),"DATA_PC invalida",IF(NOT(ISNUMBER(parametros!$C$2)),"Fora dos ciclos",IF(OR(B2704&lt;parametros!$C$2,(YEAR(B2704)-YEAR(parametros!$C$2))*12+MONTH(B2704)-MONTH(parametros!$C$2)&gt;59),"Fora dos ciclos","C"&amp;INT(((YEAR(B2704)-YEAR(parametros!$C$2))*12+MONTH(B2704)-MONTH(parametros!$C$2))/12)))))</f>
        <v/>
      </c>
      <c r="D2704" s="394"/>
      <c r="E2704" s="78" t="str">
        <f>IF(C2704="","",IFERROR(VLOOKUP(C2704,parametros!$A$11:$E$15,5,0),""))</f>
        <v/>
      </c>
      <c r="F2704" s="79" t="str">
        <f t="shared" si="212"/>
        <v/>
      </c>
      <c r="G2704" s="395"/>
      <c r="H2704" s="91">
        <f t="shared" si="213"/>
        <v>0</v>
      </c>
      <c r="I2704" s="91" t="str">
        <f t="shared" si="214"/>
        <v/>
      </c>
      <c r="J2704" s="91" t="str">
        <f t="shared" si="215"/>
        <v/>
      </c>
      <c r="K2704" s="92" t="str">
        <f>IF(AND(A2704="",B2704="",D2704="",G2704=""),"",IF(AND(A2704&lt;&gt;"",COUNTIF($A$2:$A$5001,A2704)&gt;1),"NUMERO_PC duplicado",IF(B2704="","DATA_PC vazia",IF(NOT(ISNUMBER(B2704)),"DATA_PC invalida",IF(OR(C2704="",C2704="Fora dos ciclos"),"CICLO_PC nao identificado",IF(OR(D2704="",D2704=0),"VALOR_PC vazio ou zero",IF(AND(G2704&lt;&gt;"Sim",G2704&lt;&gt;"Nao",G2704&lt;&gt;""),"PC_PAGO_A_CONTRATADA invalido",IF(AND(C2704&lt;&gt;"C0",IFERROR(INDEX(parametros!$A$2:$A$6,MATCH(C2704,parametros!$B$2:$B$6,0)),"")="Sim",IFERROR(INDEX(parametros!$H$2:$H$6,MATCH(C2704,parametros!$B$2:$B$6,0)),"")=""),"INICIO_EFEITO ausente: PC "&amp;A2704&amp;" - "&amp;C2704,IF(L2704="","EFEITO_PC nao calculado: PC "&amp;A2704&amp;" - "&amp;C2704,"OK")))))))))</f>
        <v/>
      </c>
      <c r="L2704" s="92" t="str">
        <f>IF(AND(A2704="",B2704="",D2704="",G2704=""),"",IF(OR(B2704="",NOT(ISNUMBER(B2704)),C2704="",C2704="Fora dos ciclos"),"",IF(C2704="C0","Nao",IF(IFERROR(INDEX(parametros!$A$2:$A$6,MATCH(C2704,parametros!$B$2:$B$6,0)),"")&lt;&gt;"Sim","Nao",IF(IFERROR(INDEX(parametros!$H$2:$H$6,MATCH(C2704,parametros!$B$2:$B$6,0)),"")="","",IF(B2704&gt;=IFERROR(INDEX(parametros!$H$2:$H$6,MATCH(C2704,parametros!$B$2:$B$6,0)),""),"Sim","Nao"))))))</f>
        <v/>
      </c>
      <c r="T2704" s="156"/>
      <c r="U2704" s="214" t="str">
        <f t="shared" si="216"/>
        <v/>
      </c>
      <c r="V2704" s="212" t="s">
        <v>50</v>
      </c>
      <c r="W2704" s="100" t="s">
        <v>168</v>
      </c>
      <c r="X2704" s="100" t="s">
        <v>169</v>
      </c>
      <c r="Y2704" s="101" t="s">
        <v>170</v>
      </c>
      <c r="Z2704" s="101" t="s">
        <v>171</v>
      </c>
      <c r="AA2704" s="101" t="s">
        <v>50</v>
      </c>
      <c r="AB2704" s="101" t="s">
        <v>172</v>
      </c>
      <c r="AC2704" s="102" t="s">
        <v>173</v>
      </c>
    </row>
    <row r="2705" spans="1:29" ht="25.5" customHeight="1" x14ac:dyDescent="0.35">
      <c r="A2705" s="392"/>
      <c r="B2705" s="393"/>
      <c r="C2705" s="99" t="str">
        <f>IF(B2705="","",IF(NOT(ISNUMBER(B2705)),"DATA_PC invalida",IF(NOT(ISNUMBER(parametros!$C$2)),"Fora dos ciclos",IF(OR(B2705&lt;parametros!$C$2,(YEAR(B2705)-YEAR(parametros!$C$2))*12+MONTH(B2705)-MONTH(parametros!$C$2)&gt;59),"Fora dos ciclos","C"&amp;INT(((YEAR(B2705)-YEAR(parametros!$C$2))*12+MONTH(B2705)-MONTH(parametros!$C$2))/12)))))</f>
        <v/>
      </c>
      <c r="D2705" s="394"/>
      <c r="E2705" s="78" t="str">
        <f>IF(C2705="","",IFERROR(VLOOKUP(C2705,parametros!$A$11:$E$15,5,0),""))</f>
        <v/>
      </c>
      <c r="F2705" s="79" t="str">
        <f t="shared" si="212"/>
        <v/>
      </c>
      <c r="G2705" s="395"/>
      <c r="H2705" s="91">
        <f t="shared" si="213"/>
        <v>0</v>
      </c>
      <c r="I2705" s="91" t="str">
        <f t="shared" si="214"/>
        <v/>
      </c>
      <c r="J2705" s="91" t="str">
        <f t="shared" si="215"/>
        <v/>
      </c>
      <c r="K2705" s="92" t="str">
        <f>IF(AND(A2705="",B2705="",D2705="",G2705=""),"",IF(AND(A2705&lt;&gt;"",COUNTIF($A$2:$A$5001,A2705)&gt;1),"NUMERO_PC duplicado",IF(B2705="","DATA_PC vazia",IF(NOT(ISNUMBER(B2705)),"DATA_PC invalida",IF(OR(C2705="",C2705="Fora dos ciclos"),"CICLO_PC nao identificado",IF(OR(D2705="",D2705=0),"VALOR_PC vazio ou zero",IF(AND(G2705&lt;&gt;"Sim",G2705&lt;&gt;"Nao",G2705&lt;&gt;""),"PC_PAGO_A_CONTRATADA invalido",IF(AND(C2705&lt;&gt;"C0",IFERROR(INDEX(parametros!$A$2:$A$6,MATCH(C2705,parametros!$B$2:$B$6,0)),"")="Sim",IFERROR(INDEX(parametros!$H$2:$H$6,MATCH(C2705,parametros!$B$2:$B$6,0)),"")=""),"INICIO_EFEITO ausente: PC "&amp;A2705&amp;" - "&amp;C2705,IF(L2705="","EFEITO_PC nao calculado: PC "&amp;A2705&amp;" - "&amp;C2705,"OK")))))))))</f>
        <v/>
      </c>
      <c r="L2705" s="92" t="str">
        <f>IF(AND(A2705="",B2705="",D2705="",G2705=""),"",IF(OR(B2705="",NOT(ISNUMBER(B2705)),C2705="",C2705="Fora dos ciclos"),"",IF(C2705="C0","Nao",IF(IFERROR(INDEX(parametros!$A$2:$A$6,MATCH(C2705,parametros!$B$2:$B$6,0)),"")&lt;&gt;"Sim","Nao",IF(IFERROR(INDEX(parametros!$H$2:$H$6,MATCH(C2705,parametros!$B$2:$B$6,0)),"")="","",IF(B2705&gt;=IFERROR(INDEX(parametros!$H$2:$H$6,MATCH(C2705,parametros!$B$2:$B$6,0)),""),"Sim","Nao"))))))</f>
        <v/>
      </c>
      <c r="T2705" s="156"/>
      <c r="U2705" s="214" t="str">
        <f t="shared" si="216"/>
        <v/>
      </c>
      <c r="V2705" s="212" t="s">
        <v>50</v>
      </c>
      <c r="W2705" s="100" t="s">
        <v>168</v>
      </c>
      <c r="X2705" s="100" t="s">
        <v>169</v>
      </c>
      <c r="Y2705" s="101" t="s">
        <v>170</v>
      </c>
      <c r="Z2705" s="101" t="s">
        <v>171</v>
      </c>
      <c r="AA2705" s="101" t="s">
        <v>50</v>
      </c>
      <c r="AB2705" s="101" t="s">
        <v>172</v>
      </c>
      <c r="AC2705" s="102" t="s">
        <v>173</v>
      </c>
    </row>
    <row r="2706" spans="1:29" ht="25.5" customHeight="1" x14ac:dyDescent="0.35">
      <c r="A2706" s="392"/>
      <c r="B2706" s="393"/>
      <c r="C2706" s="99" t="str">
        <f>IF(B2706="","",IF(NOT(ISNUMBER(B2706)),"DATA_PC invalida",IF(NOT(ISNUMBER(parametros!$C$2)),"Fora dos ciclos",IF(OR(B2706&lt;parametros!$C$2,(YEAR(B2706)-YEAR(parametros!$C$2))*12+MONTH(B2706)-MONTH(parametros!$C$2)&gt;59),"Fora dos ciclos","C"&amp;INT(((YEAR(B2706)-YEAR(parametros!$C$2))*12+MONTH(B2706)-MONTH(parametros!$C$2))/12)))))</f>
        <v/>
      </c>
      <c r="D2706" s="394"/>
      <c r="E2706" s="78" t="str">
        <f>IF(C2706="","",IFERROR(VLOOKUP(C2706,parametros!$A$11:$E$15,5,0),""))</f>
        <v/>
      </c>
      <c r="F2706" s="79" t="str">
        <f t="shared" si="212"/>
        <v/>
      </c>
      <c r="G2706" s="395"/>
      <c r="H2706" s="91">
        <f t="shared" si="213"/>
        <v>0</v>
      </c>
      <c r="I2706" s="91" t="str">
        <f t="shared" si="214"/>
        <v/>
      </c>
      <c r="J2706" s="91" t="str">
        <f t="shared" si="215"/>
        <v/>
      </c>
      <c r="K2706" s="92" t="str">
        <f>IF(AND(A2706="",B2706="",D2706="",G2706=""),"",IF(AND(A2706&lt;&gt;"",COUNTIF($A$2:$A$5001,A2706)&gt;1),"NUMERO_PC duplicado",IF(B2706="","DATA_PC vazia",IF(NOT(ISNUMBER(B2706)),"DATA_PC invalida",IF(OR(C2706="",C2706="Fora dos ciclos"),"CICLO_PC nao identificado",IF(OR(D2706="",D2706=0),"VALOR_PC vazio ou zero",IF(AND(G2706&lt;&gt;"Sim",G2706&lt;&gt;"Nao",G2706&lt;&gt;""),"PC_PAGO_A_CONTRATADA invalido",IF(AND(C2706&lt;&gt;"C0",IFERROR(INDEX(parametros!$A$2:$A$6,MATCH(C2706,parametros!$B$2:$B$6,0)),"")="Sim",IFERROR(INDEX(parametros!$H$2:$H$6,MATCH(C2706,parametros!$B$2:$B$6,0)),"")=""),"INICIO_EFEITO ausente: PC "&amp;A2706&amp;" - "&amp;C2706,IF(L2706="","EFEITO_PC nao calculado: PC "&amp;A2706&amp;" - "&amp;C2706,"OK")))))))))</f>
        <v/>
      </c>
      <c r="L2706" s="92" t="str">
        <f>IF(AND(A2706="",B2706="",D2706="",G2706=""),"",IF(OR(B2706="",NOT(ISNUMBER(B2706)),C2706="",C2706="Fora dos ciclos"),"",IF(C2706="C0","Nao",IF(IFERROR(INDEX(parametros!$A$2:$A$6,MATCH(C2706,parametros!$B$2:$B$6,0)),"")&lt;&gt;"Sim","Nao",IF(IFERROR(INDEX(parametros!$H$2:$H$6,MATCH(C2706,parametros!$B$2:$B$6,0)),"")="","",IF(B2706&gt;=IFERROR(INDEX(parametros!$H$2:$H$6,MATCH(C2706,parametros!$B$2:$B$6,0)),""),"Sim","Nao"))))))</f>
        <v/>
      </c>
      <c r="T2706" s="156"/>
      <c r="U2706" s="214" t="str">
        <f t="shared" si="216"/>
        <v/>
      </c>
      <c r="V2706" s="212" t="s">
        <v>50</v>
      </c>
      <c r="W2706" s="100" t="s">
        <v>168</v>
      </c>
      <c r="X2706" s="100" t="s">
        <v>169</v>
      </c>
      <c r="Y2706" s="101" t="s">
        <v>170</v>
      </c>
      <c r="Z2706" s="101" t="s">
        <v>171</v>
      </c>
      <c r="AA2706" s="101" t="s">
        <v>50</v>
      </c>
      <c r="AB2706" s="101" t="s">
        <v>172</v>
      </c>
      <c r="AC2706" s="102" t="s">
        <v>173</v>
      </c>
    </row>
    <row r="2707" spans="1:29" ht="25.5" customHeight="1" x14ac:dyDescent="0.35">
      <c r="A2707" s="392"/>
      <c r="B2707" s="393"/>
      <c r="C2707" s="99" t="str">
        <f>IF(B2707="","",IF(NOT(ISNUMBER(B2707)),"DATA_PC invalida",IF(NOT(ISNUMBER(parametros!$C$2)),"Fora dos ciclos",IF(OR(B2707&lt;parametros!$C$2,(YEAR(B2707)-YEAR(parametros!$C$2))*12+MONTH(B2707)-MONTH(parametros!$C$2)&gt;59),"Fora dos ciclos","C"&amp;INT(((YEAR(B2707)-YEAR(parametros!$C$2))*12+MONTH(B2707)-MONTH(parametros!$C$2))/12)))))</f>
        <v/>
      </c>
      <c r="D2707" s="394"/>
      <c r="E2707" s="78" t="str">
        <f>IF(C2707="","",IFERROR(VLOOKUP(C2707,parametros!$A$11:$E$15,5,0),""))</f>
        <v/>
      </c>
      <c r="F2707" s="79" t="str">
        <f t="shared" si="212"/>
        <v/>
      </c>
      <c r="G2707" s="395"/>
      <c r="H2707" s="91">
        <f t="shared" si="213"/>
        <v>0</v>
      </c>
      <c r="I2707" s="91" t="str">
        <f t="shared" si="214"/>
        <v/>
      </c>
      <c r="J2707" s="91" t="str">
        <f t="shared" si="215"/>
        <v/>
      </c>
      <c r="K2707" s="92" t="str">
        <f>IF(AND(A2707="",B2707="",D2707="",G2707=""),"",IF(AND(A2707&lt;&gt;"",COUNTIF($A$2:$A$5001,A2707)&gt;1),"NUMERO_PC duplicado",IF(B2707="","DATA_PC vazia",IF(NOT(ISNUMBER(B2707)),"DATA_PC invalida",IF(OR(C2707="",C2707="Fora dos ciclos"),"CICLO_PC nao identificado",IF(OR(D2707="",D2707=0),"VALOR_PC vazio ou zero",IF(AND(G2707&lt;&gt;"Sim",G2707&lt;&gt;"Nao",G2707&lt;&gt;""),"PC_PAGO_A_CONTRATADA invalido",IF(AND(C2707&lt;&gt;"C0",IFERROR(INDEX(parametros!$A$2:$A$6,MATCH(C2707,parametros!$B$2:$B$6,0)),"")="Sim",IFERROR(INDEX(parametros!$H$2:$H$6,MATCH(C2707,parametros!$B$2:$B$6,0)),"")=""),"INICIO_EFEITO ausente: PC "&amp;A2707&amp;" - "&amp;C2707,IF(L2707="","EFEITO_PC nao calculado: PC "&amp;A2707&amp;" - "&amp;C2707,"OK")))))))))</f>
        <v/>
      </c>
      <c r="L2707" s="92" t="str">
        <f>IF(AND(A2707="",B2707="",D2707="",G2707=""),"",IF(OR(B2707="",NOT(ISNUMBER(B2707)),C2707="",C2707="Fora dos ciclos"),"",IF(C2707="C0","Nao",IF(IFERROR(INDEX(parametros!$A$2:$A$6,MATCH(C2707,parametros!$B$2:$B$6,0)),"")&lt;&gt;"Sim","Nao",IF(IFERROR(INDEX(parametros!$H$2:$H$6,MATCH(C2707,parametros!$B$2:$B$6,0)),"")="","",IF(B2707&gt;=IFERROR(INDEX(parametros!$H$2:$H$6,MATCH(C2707,parametros!$B$2:$B$6,0)),""),"Sim","Nao"))))))</f>
        <v/>
      </c>
      <c r="T2707" s="156"/>
      <c r="U2707" s="214" t="str">
        <f t="shared" si="216"/>
        <v/>
      </c>
      <c r="V2707" s="212" t="s">
        <v>50</v>
      </c>
      <c r="W2707" s="100" t="s">
        <v>168</v>
      </c>
      <c r="X2707" s="100" t="s">
        <v>169</v>
      </c>
      <c r="Y2707" s="101" t="s">
        <v>170</v>
      </c>
      <c r="Z2707" s="101" t="s">
        <v>171</v>
      </c>
      <c r="AA2707" s="101" t="s">
        <v>50</v>
      </c>
      <c r="AB2707" s="101" t="s">
        <v>172</v>
      </c>
      <c r="AC2707" s="102" t="s">
        <v>173</v>
      </c>
    </row>
    <row r="2708" spans="1:29" ht="25.5" customHeight="1" x14ac:dyDescent="0.35">
      <c r="A2708" s="392"/>
      <c r="B2708" s="393"/>
      <c r="C2708" s="99" t="str">
        <f>IF(B2708="","",IF(NOT(ISNUMBER(B2708)),"DATA_PC invalida",IF(NOT(ISNUMBER(parametros!$C$2)),"Fora dos ciclos",IF(OR(B2708&lt;parametros!$C$2,(YEAR(B2708)-YEAR(parametros!$C$2))*12+MONTH(B2708)-MONTH(parametros!$C$2)&gt;59),"Fora dos ciclos","C"&amp;INT(((YEAR(B2708)-YEAR(parametros!$C$2))*12+MONTH(B2708)-MONTH(parametros!$C$2))/12)))))</f>
        <v/>
      </c>
      <c r="D2708" s="394"/>
      <c r="E2708" s="78" t="str">
        <f>IF(C2708="","",IFERROR(VLOOKUP(C2708,parametros!$A$11:$E$15,5,0),""))</f>
        <v/>
      </c>
      <c r="F2708" s="79" t="str">
        <f t="shared" si="212"/>
        <v/>
      </c>
      <c r="G2708" s="395"/>
      <c r="H2708" s="91">
        <f t="shared" si="213"/>
        <v>0</v>
      </c>
      <c r="I2708" s="91" t="str">
        <f t="shared" si="214"/>
        <v/>
      </c>
      <c r="J2708" s="91" t="str">
        <f t="shared" si="215"/>
        <v/>
      </c>
      <c r="K2708" s="92" t="str">
        <f>IF(AND(A2708="",B2708="",D2708="",G2708=""),"",IF(AND(A2708&lt;&gt;"",COUNTIF($A$2:$A$5001,A2708)&gt;1),"NUMERO_PC duplicado",IF(B2708="","DATA_PC vazia",IF(NOT(ISNUMBER(B2708)),"DATA_PC invalida",IF(OR(C2708="",C2708="Fora dos ciclos"),"CICLO_PC nao identificado",IF(OR(D2708="",D2708=0),"VALOR_PC vazio ou zero",IF(AND(G2708&lt;&gt;"Sim",G2708&lt;&gt;"Nao",G2708&lt;&gt;""),"PC_PAGO_A_CONTRATADA invalido",IF(AND(C2708&lt;&gt;"C0",IFERROR(INDEX(parametros!$A$2:$A$6,MATCH(C2708,parametros!$B$2:$B$6,0)),"")="Sim",IFERROR(INDEX(parametros!$H$2:$H$6,MATCH(C2708,parametros!$B$2:$B$6,0)),"")=""),"INICIO_EFEITO ausente: PC "&amp;A2708&amp;" - "&amp;C2708,IF(L2708="","EFEITO_PC nao calculado: PC "&amp;A2708&amp;" - "&amp;C2708,"OK")))))))))</f>
        <v/>
      </c>
      <c r="L2708" s="92" t="str">
        <f>IF(AND(A2708="",B2708="",D2708="",G2708=""),"",IF(OR(B2708="",NOT(ISNUMBER(B2708)),C2708="",C2708="Fora dos ciclos"),"",IF(C2708="C0","Nao",IF(IFERROR(INDEX(parametros!$A$2:$A$6,MATCH(C2708,parametros!$B$2:$B$6,0)),"")&lt;&gt;"Sim","Nao",IF(IFERROR(INDEX(parametros!$H$2:$H$6,MATCH(C2708,parametros!$B$2:$B$6,0)),"")="","",IF(B2708&gt;=IFERROR(INDEX(parametros!$H$2:$H$6,MATCH(C2708,parametros!$B$2:$B$6,0)),""),"Sim","Nao"))))))</f>
        <v/>
      </c>
      <c r="T2708" s="156"/>
      <c r="U2708" s="214" t="str">
        <f t="shared" si="216"/>
        <v/>
      </c>
      <c r="V2708" s="212" t="s">
        <v>50</v>
      </c>
      <c r="W2708" s="100" t="s">
        <v>168</v>
      </c>
      <c r="X2708" s="100" t="s">
        <v>169</v>
      </c>
      <c r="Y2708" s="101" t="s">
        <v>170</v>
      </c>
      <c r="Z2708" s="101" t="s">
        <v>171</v>
      </c>
      <c r="AA2708" s="101" t="s">
        <v>50</v>
      </c>
      <c r="AB2708" s="101" t="s">
        <v>172</v>
      </c>
      <c r="AC2708" s="102" t="s">
        <v>173</v>
      </c>
    </row>
    <row r="2709" spans="1:29" ht="25.5" customHeight="1" x14ac:dyDescent="0.35">
      <c r="A2709" s="392"/>
      <c r="B2709" s="393"/>
      <c r="C2709" s="99" t="str">
        <f>IF(B2709="","",IF(NOT(ISNUMBER(B2709)),"DATA_PC invalida",IF(NOT(ISNUMBER(parametros!$C$2)),"Fora dos ciclos",IF(OR(B2709&lt;parametros!$C$2,(YEAR(B2709)-YEAR(parametros!$C$2))*12+MONTH(B2709)-MONTH(parametros!$C$2)&gt;59),"Fora dos ciclos","C"&amp;INT(((YEAR(B2709)-YEAR(parametros!$C$2))*12+MONTH(B2709)-MONTH(parametros!$C$2))/12)))))</f>
        <v/>
      </c>
      <c r="D2709" s="394"/>
      <c r="E2709" s="78" t="str">
        <f>IF(C2709="","",IFERROR(VLOOKUP(C2709,parametros!$A$11:$E$15,5,0),""))</f>
        <v/>
      </c>
      <c r="F2709" s="79" t="str">
        <f t="shared" si="212"/>
        <v/>
      </c>
      <c r="G2709" s="395"/>
      <c r="H2709" s="91">
        <f t="shared" si="213"/>
        <v>0</v>
      </c>
      <c r="I2709" s="91" t="str">
        <f t="shared" si="214"/>
        <v/>
      </c>
      <c r="J2709" s="91" t="str">
        <f t="shared" si="215"/>
        <v/>
      </c>
      <c r="K2709" s="92" t="str">
        <f>IF(AND(A2709="",B2709="",D2709="",G2709=""),"",IF(AND(A2709&lt;&gt;"",COUNTIF($A$2:$A$5001,A2709)&gt;1),"NUMERO_PC duplicado",IF(B2709="","DATA_PC vazia",IF(NOT(ISNUMBER(B2709)),"DATA_PC invalida",IF(OR(C2709="",C2709="Fora dos ciclos"),"CICLO_PC nao identificado",IF(OR(D2709="",D2709=0),"VALOR_PC vazio ou zero",IF(AND(G2709&lt;&gt;"Sim",G2709&lt;&gt;"Nao",G2709&lt;&gt;""),"PC_PAGO_A_CONTRATADA invalido",IF(AND(C2709&lt;&gt;"C0",IFERROR(INDEX(parametros!$A$2:$A$6,MATCH(C2709,parametros!$B$2:$B$6,0)),"")="Sim",IFERROR(INDEX(parametros!$H$2:$H$6,MATCH(C2709,parametros!$B$2:$B$6,0)),"")=""),"INICIO_EFEITO ausente: PC "&amp;A2709&amp;" - "&amp;C2709,IF(L2709="","EFEITO_PC nao calculado: PC "&amp;A2709&amp;" - "&amp;C2709,"OK")))))))))</f>
        <v/>
      </c>
      <c r="L2709" s="92" t="str">
        <f>IF(AND(A2709="",B2709="",D2709="",G2709=""),"",IF(OR(B2709="",NOT(ISNUMBER(B2709)),C2709="",C2709="Fora dos ciclos"),"",IF(C2709="C0","Nao",IF(IFERROR(INDEX(parametros!$A$2:$A$6,MATCH(C2709,parametros!$B$2:$B$6,0)),"")&lt;&gt;"Sim","Nao",IF(IFERROR(INDEX(parametros!$H$2:$H$6,MATCH(C2709,parametros!$B$2:$B$6,0)),"")="","",IF(B2709&gt;=IFERROR(INDEX(parametros!$H$2:$H$6,MATCH(C2709,parametros!$B$2:$B$6,0)),""),"Sim","Nao"))))))</f>
        <v/>
      </c>
      <c r="T2709" s="156"/>
      <c r="U2709" s="214" t="str">
        <f t="shared" si="216"/>
        <v/>
      </c>
      <c r="V2709" s="212" t="s">
        <v>50</v>
      </c>
      <c r="W2709" s="100" t="s">
        <v>168</v>
      </c>
      <c r="X2709" s="100" t="s">
        <v>169</v>
      </c>
      <c r="Y2709" s="101" t="s">
        <v>170</v>
      </c>
      <c r="Z2709" s="101" t="s">
        <v>171</v>
      </c>
      <c r="AA2709" s="101" t="s">
        <v>50</v>
      </c>
      <c r="AB2709" s="101" t="s">
        <v>172</v>
      </c>
      <c r="AC2709" s="102" t="s">
        <v>173</v>
      </c>
    </row>
    <row r="2710" spans="1:29" ht="25.5" customHeight="1" x14ac:dyDescent="0.35">
      <c r="A2710" s="392"/>
      <c r="B2710" s="393"/>
      <c r="C2710" s="99" t="str">
        <f>IF(B2710="","",IF(NOT(ISNUMBER(B2710)),"DATA_PC invalida",IF(NOT(ISNUMBER(parametros!$C$2)),"Fora dos ciclos",IF(OR(B2710&lt;parametros!$C$2,(YEAR(B2710)-YEAR(parametros!$C$2))*12+MONTH(B2710)-MONTH(parametros!$C$2)&gt;59),"Fora dos ciclos","C"&amp;INT(((YEAR(B2710)-YEAR(parametros!$C$2))*12+MONTH(B2710)-MONTH(parametros!$C$2))/12)))))</f>
        <v/>
      </c>
      <c r="D2710" s="394"/>
      <c r="E2710" s="78" t="str">
        <f>IF(C2710="","",IFERROR(VLOOKUP(C2710,parametros!$A$11:$E$15,5,0),""))</f>
        <v/>
      </c>
      <c r="F2710" s="79" t="str">
        <f t="shared" si="212"/>
        <v/>
      </c>
      <c r="G2710" s="395"/>
      <c r="H2710" s="91">
        <f t="shared" si="213"/>
        <v>0</v>
      </c>
      <c r="I2710" s="91" t="str">
        <f t="shared" si="214"/>
        <v/>
      </c>
      <c r="J2710" s="91" t="str">
        <f t="shared" si="215"/>
        <v/>
      </c>
      <c r="K2710" s="92" t="str">
        <f>IF(AND(A2710="",B2710="",D2710="",G2710=""),"",IF(AND(A2710&lt;&gt;"",COUNTIF($A$2:$A$5001,A2710)&gt;1),"NUMERO_PC duplicado",IF(B2710="","DATA_PC vazia",IF(NOT(ISNUMBER(B2710)),"DATA_PC invalida",IF(OR(C2710="",C2710="Fora dos ciclos"),"CICLO_PC nao identificado",IF(OR(D2710="",D2710=0),"VALOR_PC vazio ou zero",IF(AND(G2710&lt;&gt;"Sim",G2710&lt;&gt;"Nao",G2710&lt;&gt;""),"PC_PAGO_A_CONTRATADA invalido",IF(AND(C2710&lt;&gt;"C0",IFERROR(INDEX(parametros!$A$2:$A$6,MATCH(C2710,parametros!$B$2:$B$6,0)),"")="Sim",IFERROR(INDEX(parametros!$H$2:$H$6,MATCH(C2710,parametros!$B$2:$B$6,0)),"")=""),"INICIO_EFEITO ausente: PC "&amp;A2710&amp;" - "&amp;C2710,IF(L2710="","EFEITO_PC nao calculado: PC "&amp;A2710&amp;" - "&amp;C2710,"OK")))))))))</f>
        <v/>
      </c>
      <c r="L2710" s="92" t="str">
        <f>IF(AND(A2710="",B2710="",D2710="",G2710=""),"",IF(OR(B2710="",NOT(ISNUMBER(B2710)),C2710="",C2710="Fora dos ciclos"),"",IF(C2710="C0","Nao",IF(IFERROR(INDEX(parametros!$A$2:$A$6,MATCH(C2710,parametros!$B$2:$B$6,0)),"")&lt;&gt;"Sim","Nao",IF(IFERROR(INDEX(parametros!$H$2:$H$6,MATCH(C2710,parametros!$B$2:$B$6,0)),"")="","",IF(B2710&gt;=IFERROR(INDEX(parametros!$H$2:$H$6,MATCH(C2710,parametros!$B$2:$B$6,0)),""),"Sim","Nao"))))))</f>
        <v/>
      </c>
      <c r="T2710" s="156"/>
      <c r="U2710" s="214" t="str">
        <f t="shared" si="216"/>
        <v/>
      </c>
      <c r="V2710" s="212" t="s">
        <v>50</v>
      </c>
      <c r="W2710" s="100" t="s">
        <v>168</v>
      </c>
      <c r="X2710" s="100" t="s">
        <v>169</v>
      </c>
      <c r="Y2710" s="101" t="s">
        <v>170</v>
      </c>
      <c r="Z2710" s="101" t="s">
        <v>171</v>
      </c>
      <c r="AA2710" s="101" t="s">
        <v>50</v>
      </c>
      <c r="AB2710" s="101" t="s">
        <v>172</v>
      </c>
      <c r="AC2710" s="102" t="s">
        <v>173</v>
      </c>
    </row>
    <row r="2711" spans="1:29" ht="25.5" customHeight="1" x14ac:dyDescent="0.35">
      <c r="A2711" s="392"/>
      <c r="B2711" s="393"/>
      <c r="C2711" s="99" t="str">
        <f>IF(B2711="","",IF(NOT(ISNUMBER(B2711)),"DATA_PC invalida",IF(NOT(ISNUMBER(parametros!$C$2)),"Fora dos ciclos",IF(OR(B2711&lt;parametros!$C$2,(YEAR(B2711)-YEAR(parametros!$C$2))*12+MONTH(B2711)-MONTH(parametros!$C$2)&gt;59),"Fora dos ciclos","C"&amp;INT(((YEAR(B2711)-YEAR(parametros!$C$2))*12+MONTH(B2711)-MONTH(parametros!$C$2))/12)))))</f>
        <v/>
      </c>
      <c r="D2711" s="394"/>
      <c r="E2711" s="78" t="str">
        <f>IF(C2711="","",IFERROR(VLOOKUP(C2711,parametros!$A$11:$E$15,5,0),""))</f>
        <v/>
      </c>
      <c r="F2711" s="79" t="str">
        <f t="shared" si="212"/>
        <v/>
      </c>
      <c r="G2711" s="395"/>
      <c r="H2711" s="91">
        <f t="shared" si="213"/>
        <v>0</v>
      </c>
      <c r="I2711" s="91" t="str">
        <f t="shared" si="214"/>
        <v/>
      </c>
      <c r="J2711" s="91" t="str">
        <f t="shared" si="215"/>
        <v/>
      </c>
      <c r="K2711" s="92" t="str">
        <f>IF(AND(A2711="",B2711="",D2711="",G2711=""),"",IF(AND(A2711&lt;&gt;"",COUNTIF($A$2:$A$5001,A2711)&gt;1),"NUMERO_PC duplicado",IF(B2711="","DATA_PC vazia",IF(NOT(ISNUMBER(B2711)),"DATA_PC invalida",IF(OR(C2711="",C2711="Fora dos ciclos"),"CICLO_PC nao identificado",IF(OR(D2711="",D2711=0),"VALOR_PC vazio ou zero",IF(AND(G2711&lt;&gt;"Sim",G2711&lt;&gt;"Nao",G2711&lt;&gt;""),"PC_PAGO_A_CONTRATADA invalido",IF(AND(C2711&lt;&gt;"C0",IFERROR(INDEX(parametros!$A$2:$A$6,MATCH(C2711,parametros!$B$2:$B$6,0)),"")="Sim",IFERROR(INDEX(parametros!$H$2:$H$6,MATCH(C2711,parametros!$B$2:$B$6,0)),"")=""),"INICIO_EFEITO ausente: PC "&amp;A2711&amp;" - "&amp;C2711,IF(L2711="","EFEITO_PC nao calculado: PC "&amp;A2711&amp;" - "&amp;C2711,"OK")))))))))</f>
        <v/>
      </c>
      <c r="L2711" s="92" t="str">
        <f>IF(AND(A2711="",B2711="",D2711="",G2711=""),"",IF(OR(B2711="",NOT(ISNUMBER(B2711)),C2711="",C2711="Fora dos ciclos"),"",IF(C2711="C0","Nao",IF(IFERROR(INDEX(parametros!$A$2:$A$6,MATCH(C2711,parametros!$B$2:$B$6,0)),"")&lt;&gt;"Sim","Nao",IF(IFERROR(INDEX(parametros!$H$2:$H$6,MATCH(C2711,parametros!$B$2:$B$6,0)),"")="","",IF(B2711&gt;=IFERROR(INDEX(parametros!$H$2:$H$6,MATCH(C2711,parametros!$B$2:$B$6,0)),""),"Sim","Nao"))))))</f>
        <v/>
      </c>
      <c r="T2711" s="156"/>
      <c r="U2711" s="214" t="str">
        <f t="shared" si="216"/>
        <v/>
      </c>
      <c r="V2711" s="212" t="s">
        <v>50</v>
      </c>
      <c r="W2711" s="100" t="s">
        <v>168</v>
      </c>
      <c r="X2711" s="100" t="s">
        <v>169</v>
      </c>
      <c r="Y2711" s="101" t="s">
        <v>170</v>
      </c>
      <c r="Z2711" s="101" t="s">
        <v>171</v>
      </c>
      <c r="AA2711" s="101" t="s">
        <v>50</v>
      </c>
      <c r="AB2711" s="101" t="s">
        <v>172</v>
      </c>
      <c r="AC2711" s="102" t="s">
        <v>173</v>
      </c>
    </row>
    <row r="2712" spans="1:29" ht="25.5" customHeight="1" x14ac:dyDescent="0.35">
      <c r="A2712" s="392"/>
      <c r="B2712" s="393"/>
      <c r="C2712" s="99" t="str">
        <f>IF(B2712="","",IF(NOT(ISNUMBER(B2712)),"DATA_PC invalida",IF(NOT(ISNUMBER(parametros!$C$2)),"Fora dos ciclos",IF(OR(B2712&lt;parametros!$C$2,(YEAR(B2712)-YEAR(parametros!$C$2))*12+MONTH(B2712)-MONTH(parametros!$C$2)&gt;59),"Fora dos ciclos","C"&amp;INT(((YEAR(B2712)-YEAR(parametros!$C$2))*12+MONTH(B2712)-MONTH(parametros!$C$2))/12)))))</f>
        <v/>
      </c>
      <c r="D2712" s="394"/>
      <c r="E2712" s="78" t="str">
        <f>IF(C2712="","",IFERROR(VLOOKUP(C2712,parametros!$A$11:$E$15,5,0),""))</f>
        <v/>
      </c>
      <c r="F2712" s="79" t="str">
        <f t="shared" si="212"/>
        <v/>
      </c>
      <c r="G2712" s="395"/>
      <c r="H2712" s="91">
        <f t="shared" si="213"/>
        <v>0</v>
      </c>
      <c r="I2712" s="91" t="str">
        <f t="shared" si="214"/>
        <v/>
      </c>
      <c r="J2712" s="91" t="str">
        <f t="shared" si="215"/>
        <v/>
      </c>
      <c r="K2712" s="92" t="str">
        <f>IF(AND(A2712="",B2712="",D2712="",G2712=""),"",IF(AND(A2712&lt;&gt;"",COUNTIF($A$2:$A$5001,A2712)&gt;1),"NUMERO_PC duplicado",IF(B2712="","DATA_PC vazia",IF(NOT(ISNUMBER(B2712)),"DATA_PC invalida",IF(OR(C2712="",C2712="Fora dos ciclos"),"CICLO_PC nao identificado",IF(OR(D2712="",D2712=0),"VALOR_PC vazio ou zero",IF(AND(G2712&lt;&gt;"Sim",G2712&lt;&gt;"Nao",G2712&lt;&gt;""),"PC_PAGO_A_CONTRATADA invalido",IF(AND(C2712&lt;&gt;"C0",IFERROR(INDEX(parametros!$A$2:$A$6,MATCH(C2712,parametros!$B$2:$B$6,0)),"")="Sim",IFERROR(INDEX(parametros!$H$2:$H$6,MATCH(C2712,parametros!$B$2:$B$6,0)),"")=""),"INICIO_EFEITO ausente: PC "&amp;A2712&amp;" - "&amp;C2712,IF(L2712="","EFEITO_PC nao calculado: PC "&amp;A2712&amp;" - "&amp;C2712,"OK")))))))))</f>
        <v/>
      </c>
      <c r="L2712" s="92" t="str">
        <f>IF(AND(A2712="",B2712="",D2712="",G2712=""),"",IF(OR(B2712="",NOT(ISNUMBER(B2712)),C2712="",C2712="Fora dos ciclos"),"",IF(C2712="C0","Nao",IF(IFERROR(INDEX(parametros!$A$2:$A$6,MATCH(C2712,parametros!$B$2:$B$6,0)),"")&lt;&gt;"Sim","Nao",IF(IFERROR(INDEX(parametros!$H$2:$H$6,MATCH(C2712,parametros!$B$2:$B$6,0)),"")="","",IF(B2712&gt;=IFERROR(INDEX(parametros!$H$2:$H$6,MATCH(C2712,parametros!$B$2:$B$6,0)),""),"Sim","Nao"))))))</f>
        <v/>
      </c>
      <c r="T2712" s="156"/>
      <c r="U2712" s="214" t="str">
        <f t="shared" si="216"/>
        <v/>
      </c>
      <c r="V2712" s="212" t="s">
        <v>50</v>
      </c>
      <c r="W2712" s="100" t="s">
        <v>168</v>
      </c>
      <c r="X2712" s="100" t="s">
        <v>169</v>
      </c>
      <c r="Y2712" s="101" t="s">
        <v>170</v>
      </c>
      <c r="Z2712" s="101" t="s">
        <v>171</v>
      </c>
      <c r="AA2712" s="101" t="s">
        <v>50</v>
      </c>
      <c r="AB2712" s="101" t="s">
        <v>172</v>
      </c>
      <c r="AC2712" s="102" t="s">
        <v>173</v>
      </c>
    </row>
    <row r="2713" spans="1:29" ht="25.5" customHeight="1" x14ac:dyDescent="0.35">
      <c r="A2713" s="392"/>
      <c r="B2713" s="393"/>
      <c r="C2713" s="99" t="str">
        <f>IF(B2713="","",IF(NOT(ISNUMBER(B2713)),"DATA_PC invalida",IF(NOT(ISNUMBER(parametros!$C$2)),"Fora dos ciclos",IF(OR(B2713&lt;parametros!$C$2,(YEAR(B2713)-YEAR(parametros!$C$2))*12+MONTH(B2713)-MONTH(parametros!$C$2)&gt;59),"Fora dos ciclos","C"&amp;INT(((YEAR(B2713)-YEAR(parametros!$C$2))*12+MONTH(B2713)-MONTH(parametros!$C$2))/12)))))</f>
        <v/>
      </c>
      <c r="D2713" s="394"/>
      <c r="E2713" s="78" t="str">
        <f>IF(C2713="","",IFERROR(VLOOKUP(C2713,parametros!$A$11:$E$15,5,0),""))</f>
        <v/>
      </c>
      <c r="F2713" s="79" t="str">
        <f t="shared" si="212"/>
        <v/>
      </c>
      <c r="G2713" s="395"/>
      <c r="H2713" s="91">
        <f t="shared" si="213"/>
        <v>0</v>
      </c>
      <c r="I2713" s="91" t="str">
        <f t="shared" si="214"/>
        <v/>
      </c>
      <c r="J2713" s="91" t="str">
        <f t="shared" si="215"/>
        <v/>
      </c>
      <c r="K2713" s="92" t="str">
        <f>IF(AND(A2713="",B2713="",D2713="",G2713=""),"",IF(AND(A2713&lt;&gt;"",COUNTIF($A$2:$A$5001,A2713)&gt;1),"NUMERO_PC duplicado",IF(B2713="","DATA_PC vazia",IF(NOT(ISNUMBER(B2713)),"DATA_PC invalida",IF(OR(C2713="",C2713="Fora dos ciclos"),"CICLO_PC nao identificado",IF(OR(D2713="",D2713=0),"VALOR_PC vazio ou zero",IF(AND(G2713&lt;&gt;"Sim",G2713&lt;&gt;"Nao",G2713&lt;&gt;""),"PC_PAGO_A_CONTRATADA invalido",IF(AND(C2713&lt;&gt;"C0",IFERROR(INDEX(parametros!$A$2:$A$6,MATCH(C2713,parametros!$B$2:$B$6,0)),"")="Sim",IFERROR(INDEX(parametros!$H$2:$H$6,MATCH(C2713,parametros!$B$2:$B$6,0)),"")=""),"INICIO_EFEITO ausente: PC "&amp;A2713&amp;" - "&amp;C2713,IF(L2713="","EFEITO_PC nao calculado: PC "&amp;A2713&amp;" - "&amp;C2713,"OK")))))))))</f>
        <v/>
      </c>
      <c r="L2713" s="92" t="str">
        <f>IF(AND(A2713="",B2713="",D2713="",G2713=""),"",IF(OR(B2713="",NOT(ISNUMBER(B2713)),C2713="",C2713="Fora dos ciclos"),"",IF(C2713="C0","Nao",IF(IFERROR(INDEX(parametros!$A$2:$A$6,MATCH(C2713,parametros!$B$2:$B$6,0)),"")&lt;&gt;"Sim","Nao",IF(IFERROR(INDEX(parametros!$H$2:$H$6,MATCH(C2713,parametros!$B$2:$B$6,0)),"")="","",IF(B2713&gt;=IFERROR(INDEX(parametros!$H$2:$H$6,MATCH(C2713,parametros!$B$2:$B$6,0)),""),"Sim","Nao"))))))</f>
        <v/>
      </c>
      <c r="T2713" s="156"/>
      <c r="U2713" s="214" t="str">
        <f t="shared" si="216"/>
        <v/>
      </c>
      <c r="V2713" s="212" t="s">
        <v>50</v>
      </c>
      <c r="W2713" s="100" t="s">
        <v>168</v>
      </c>
      <c r="X2713" s="100" t="s">
        <v>169</v>
      </c>
      <c r="Y2713" s="101" t="s">
        <v>170</v>
      </c>
      <c r="Z2713" s="101" t="s">
        <v>171</v>
      </c>
      <c r="AA2713" s="101" t="s">
        <v>50</v>
      </c>
      <c r="AB2713" s="101" t="s">
        <v>172</v>
      </c>
      <c r="AC2713" s="102" t="s">
        <v>173</v>
      </c>
    </row>
    <row r="2714" spans="1:29" ht="25.5" customHeight="1" x14ac:dyDescent="0.35">
      <c r="A2714" s="392"/>
      <c r="B2714" s="393"/>
      <c r="C2714" s="99" t="str">
        <f>IF(B2714="","",IF(NOT(ISNUMBER(B2714)),"DATA_PC invalida",IF(NOT(ISNUMBER(parametros!$C$2)),"Fora dos ciclos",IF(OR(B2714&lt;parametros!$C$2,(YEAR(B2714)-YEAR(parametros!$C$2))*12+MONTH(B2714)-MONTH(parametros!$C$2)&gt;59),"Fora dos ciclos","C"&amp;INT(((YEAR(B2714)-YEAR(parametros!$C$2))*12+MONTH(B2714)-MONTH(parametros!$C$2))/12)))))</f>
        <v/>
      </c>
      <c r="D2714" s="394"/>
      <c r="E2714" s="78" t="str">
        <f>IF(C2714="","",IFERROR(VLOOKUP(C2714,parametros!$A$11:$E$15,5,0),""))</f>
        <v/>
      </c>
      <c r="F2714" s="79" t="str">
        <f t="shared" si="212"/>
        <v/>
      </c>
      <c r="G2714" s="395"/>
      <c r="H2714" s="91">
        <f t="shared" si="213"/>
        <v>0</v>
      </c>
      <c r="I2714" s="91" t="str">
        <f t="shared" si="214"/>
        <v/>
      </c>
      <c r="J2714" s="91" t="str">
        <f t="shared" si="215"/>
        <v/>
      </c>
      <c r="K2714" s="92" t="str">
        <f>IF(AND(A2714="",B2714="",D2714="",G2714=""),"",IF(AND(A2714&lt;&gt;"",COUNTIF($A$2:$A$5001,A2714)&gt;1),"NUMERO_PC duplicado",IF(B2714="","DATA_PC vazia",IF(NOT(ISNUMBER(B2714)),"DATA_PC invalida",IF(OR(C2714="",C2714="Fora dos ciclos"),"CICLO_PC nao identificado",IF(OR(D2714="",D2714=0),"VALOR_PC vazio ou zero",IF(AND(G2714&lt;&gt;"Sim",G2714&lt;&gt;"Nao",G2714&lt;&gt;""),"PC_PAGO_A_CONTRATADA invalido",IF(AND(C2714&lt;&gt;"C0",IFERROR(INDEX(parametros!$A$2:$A$6,MATCH(C2714,parametros!$B$2:$B$6,0)),"")="Sim",IFERROR(INDEX(parametros!$H$2:$H$6,MATCH(C2714,parametros!$B$2:$B$6,0)),"")=""),"INICIO_EFEITO ausente: PC "&amp;A2714&amp;" - "&amp;C2714,IF(L2714="","EFEITO_PC nao calculado: PC "&amp;A2714&amp;" - "&amp;C2714,"OK")))))))))</f>
        <v/>
      </c>
      <c r="L2714" s="92" t="str">
        <f>IF(AND(A2714="",B2714="",D2714="",G2714=""),"",IF(OR(B2714="",NOT(ISNUMBER(B2714)),C2714="",C2714="Fora dos ciclos"),"",IF(C2714="C0","Nao",IF(IFERROR(INDEX(parametros!$A$2:$A$6,MATCH(C2714,parametros!$B$2:$B$6,0)),"")&lt;&gt;"Sim","Nao",IF(IFERROR(INDEX(parametros!$H$2:$H$6,MATCH(C2714,parametros!$B$2:$B$6,0)),"")="","",IF(B2714&gt;=IFERROR(INDEX(parametros!$H$2:$H$6,MATCH(C2714,parametros!$B$2:$B$6,0)),""),"Sim","Nao"))))))</f>
        <v/>
      </c>
      <c r="T2714" s="156"/>
      <c r="U2714" s="214" t="str">
        <f t="shared" si="216"/>
        <v/>
      </c>
      <c r="V2714" s="212" t="s">
        <v>50</v>
      </c>
      <c r="W2714" s="100" t="s">
        <v>168</v>
      </c>
      <c r="X2714" s="100" t="s">
        <v>169</v>
      </c>
      <c r="Y2714" s="101" t="s">
        <v>170</v>
      </c>
      <c r="Z2714" s="101" t="s">
        <v>171</v>
      </c>
      <c r="AA2714" s="101" t="s">
        <v>50</v>
      </c>
      <c r="AB2714" s="101" t="s">
        <v>172</v>
      </c>
      <c r="AC2714" s="102" t="s">
        <v>173</v>
      </c>
    </row>
    <row r="2715" spans="1:29" ht="25.5" customHeight="1" x14ac:dyDescent="0.35">
      <c r="A2715" s="392"/>
      <c r="B2715" s="393"/>
      <c r="C2715" s="99" t="str">
        <f>IF(B2715="","",IF(NOT(ISNUMBER(B2715)),"DATA_PC invalida",IF(NOT(ISNUMBER(parametros!$C$2)),"Fora dos ciclos",IF(OR(B2715&lt;parametros!$C$2,(YEAR(B2715)-YEAR(parametros!$C$2))*12+MONTH(B2715)-MONTH(parametros!$C$2)&gt;59),"Fora dos ciclos","C"&amp;INT(((YEAR(B2715)-YEAR(parametros!$C$2))*12+MONTH(B2715)-MONTH(parametros!$C$2))/12)))))</f>
        <v/>
      </c>
      <c r="D2715" s="394"/>
      <c r="E2715" s="78" t="str">
        <f>IF(C2715="","",IFERROR(VLOOKUP(C2715,parametros!$A$11:$E$15,5,0),""))</f>
        <v/>
      </c>
      <c r="F2715" s="79" t="str">
        <f t="shared" si="212"/>
        <v/>
      </c>
      <c r="G2715" s="395"/>
      <c r="H2715" s="91">
        <f t="shared" si="213"/>
        <v>0</v>
      </c>
      <c r="I2715" s="91" t="str">
        <f t="shared" si="214"/>
        <v/>
      </c>
      <c r="J2715" s="91" t="str">
        <f t="shared" si="215"/>
        <v/>
      </c>
      <c r="K2715" s="92" t="str">
        <f>IF(AND(A2715="",B2715="",D2715="",G2715=""),"",IF(AND(A2715&lt;&gt;"",COUNTIF($A$2:$A$5001,A2715)&gt;1),"NUMERO_PC duplicado",IF(B2715="","DATA_PC vazia",IF(NOT(ISNUMBER(B2715)),"DATA_PC invalida",IF(OR(C2715="",C2715="Fora dos ciclos"),"CICLO_PC nao identificado",IF(OR(D2715="",D2715=0),"VALOR_PC vazio ou zero",IF(AND(G2715&lt;&gt;"Sim",G2715&lt;&gt;"Nao",G2715&lt;&gt;""),"PC_PAGO_A_CONTRATADA invalido",IF(AND(C2715&lt;&gt;"C0",IFERROR(INDEX(parametros!$A$2:$A$6,MATCH(C2715,parametros!$B$2:$B$6,0)),"")="Sim",IFERROR(INDEX(parametros!$H$2:$H$6,MATCH(C2715,parametros!$B$2:$B$6,0)),"")=""),"INICIO_EFEITO ausente: PC "&amp;A2715&amp;" - "&amp;C2715,IF(L2715="","EFEITO_PC nao calculado: PC "&amp;A2715&amp;" - "&amp;C2715,"OK")))))))))</f>
        <v/>
      </c>
      <c r="L2715" s="92" t="str">
        <f>IF(AND(A2715="",B2715="",D2715="",G2715=""),"",IF(OR(B2715="",NOT(ISNUMBER(B2715)),C2715="",C2715="Fora dos ciclos"),"",IF(C2715="C0","Nao",IF(IFERROR(INDEX(parametros!$A$2:$A$6,MATCH(C2715,parametros!$B$2:$B$6,0)),"")&lt;&gt;"Sim","Nao",IF(IFERROR(INDEX(parametros!$H$2:$H$6,MATCH(C2715,parametros!$B$2:$B$6,0)),"")="","",IF(B2715&gt;=IFERROR(INDEX(parametros!$H$2:$H$6,MATCH(C2715,parametros!$B$2:$B$6,0)),""),"Sim","Nao"))))))</f>
        <v/>
      </c>
      <c r="T2715" s="156"/>
      <c r="U2715" s="214" t="str">
        <f t="shared" si="216"/>
        <v/>
      </c>
      <c r="V2715" s="212" t="s">
        <v>50</v>
      </c>
      <c r="W2715" s="100" t="s">
        <v>168</v>
      </c>
      <c r="X2715" s="100" t="s">
        <v>169</v>
      </c>
      <c r="Y2715" s="101" t="s">
        <v>170</v>
      </c>
      <c r="Z2715" s="101" t="s">
        <v>171</v>
      </c>
      <c r="AA2715" s="101" t="s">
        <v>50</v>
      </c>
      <c r="AB2715" s="101" t="s">
        <v>172</v>
      </c>
      <c r="AC2715" s="102" t="s">
        <v>173</v>
      </c>
    </row>
    <row r="2716" spans="1:29" ht="25.5" customHeight="1" x14ac:dyDescent="0.35">
      <c r="A2716" s="392"/>
      <c r="B2716" s="393"/>
      <c r="C2716" s="99" t="str">
        <f>IF(B2716="","",IF(NOT(ISNUMBER(B2716)),"DATA_PC invalida",IF(NOT(ISNUMBER(parametros!$C$2)),"Fora dos ciclos",IF(OR(B2716&lt;parametros!$C$2,(YEAR(B2716)-YEAR(parametros!$C$2))*12+MONTH(B2716)-MONTH(parametros!$C$2)&gt;59),"Fora dos ciclos","C"&amp;INT(((YEAR(B2716)-YEAR(parametros!$C$2))*12+MONTH(B2716)-MONTH(parametros!$C$2))/12)))))</f>
        <v/>
      </c>
      <c r="D2716" s="394"/>
      <c r="E2716" s="78" t="str">
        <f>IF(C2716="","",IFERROR(VLOOKUP(C2716,parametros!$A$11:$E$15,5,0),""))</f>
        <v/>
      </c>
      <c r="F2716" s="79" t="str">
        <f t="shared" si="212"/>
        <v/>
      </c>
      <c r="G2716" s="395"/>
      <c r="H2716" s="91">
        <f t="shared" si="213"/>
        <v>0</v>
      </c>
      <c r="I2716" s="91" t="str">
        <f t="shared" si="214"/>
        <v/>
      </c>
      <c r="J2716" s="91" t="str">
        <f t="shared" si="215"/>
        <v/>
      </c>
      <c r="K2716" s="92" t="str">
        <f>IF(AND(A2716="",B2716="",D2716="",G2716=""),"",IF(AND(A2716&lt;&gt;"",COUNTIF($A$2:$A$5001,A2716)&gt;1),"NUMERO_PC duplicado",IF(B2716="","DATA_PC vazia",IF(NOT(ISNUMBER(B2716)),"DATA_PC invalida",IF(OR(C2716="",C2716="Fora dos ciclos"),"CICLO_PC nao identificado",IF(OR(D2716="",D2716=0),"VALOR_PC vazio ou zero",IF(AND(G2716&lt;&gt;"Sim",G2716&lt;&gt;"Nao",G2716&lt;&gt;""),"PC_PAGO_A_CONTRATADA invalido",IF(AND(C2716&lt;&gt;"C0",IFERROR(INDEX(parametros!$A$2:$A$6,MATCH(C2716,parametros!$B$2:$B$6,0)),"")="Sim",IFERROR(INDEX(parametros!$H$2:$H$6,MATCH(C2716,parametros!$B$2:$B$6,0)),"")=""),"INICIO_EFEITO ausente: PC "&amp;A2716&amp;" - "&amp;C2716,IF(L2716="","EFEITO_PC nao calculado: PC "&amp;A2716&amp;" - "&amp;C2716,"OK")))))))))</f>
        <v/>
      </c>
      <c r="L2716" s="92" t="str">
        <f>IF(AND(A2716="",B2716="",D2716="",G2716=""),"",IF(OR(B2716="",NOT(ISNUMBER(B2716)),C2716="",C2716="Fora dos ciclos"),"",IF(C2716="C0","Nao",IF(IFERROR(INDEX(parametros!$A$2:$A$6,MATCH(C2716,parametros!$B$2:$B$6,0)),"")&lt;&gt;"Sim","Nao",IF(IFERROR(INDEX(parametros!$H$2:$H$6,MATCH(C2716,parametros!$B$2:$B$6,0)),"")="","",IF(B2716&gt;=IFERROR(INDEX(parametros!$H$2:$H$6,MATCH(C2716,parametros!$B$2:$B$6,0)),""),"Sim","Nao"))))))</f>
        <v/>
      </c>
      <c r="T2716" s="156"/>
      <c r="U2716" s="214" t="str">
        <f t="shared" si="216"/>
        <v/>
      </c>
      <c r="V2716" s="212" t="s">
        <v>50</v>
      </c>
      <c r="W2716" s="100" t="s">
        <v>168</v>
      </c>
      <c r="X2716" s="100" t="s">
        <v>169</v>
      </c>
      <c r="Y2716" s="101" t="s">
        <v>170</v>
      </c>
      <c r="Z2716" s="101" t="s">
        <v>171</v>
      </c>
      <c r="AA2716" s="101" t="s">
        <v>50</v>
      </c>
      <c r="AB2716" s="101" t="s">
        <v>172</v>
      </c>
      <c r="AC2716" s="102" t="s">
        <v>173</v>
      </c>
    </row>
    <row r="2717" spans="1:29" ht="25.5" customHeight="1" x14ac:dyDescent="0.35">
      <c r="A2717" s="392"/>
      <c r="B2717" s="393"/>
      <c r="C2717" s="99" t="str">
        <f>IF(B2717="","",IF(NOT(ISNUMBER(B2717)),"DATA_PC invalida",IF(NOT(ISNUMBER(parametros!$C$2)),"Fora dos ciclos",IF(OR(B2717&lt;parametros!$C$2,(YEAR(B2717)-YEAR(parametros!$C$2))*12+MONTH(B2717)-MONTH(parametros!$C$2)&gt;59),"Fora dos ciclos","C"&amp;INT(((YEAR(B2717)-YEAR(parametros!$C$2))*12+MONTH(B2717)-MONTH(parametros!$C$2))/12)))))</f>
        <v/>
      </c>
      <c r="D2717" s="394"/>
      <c r="E2717" s="78" t="str">
        <f>IF(C2717="","",IFERROR(VLOOKUP(C2717,parametros!$A$11:$E$15,5,0),""))</f>
        <v/>
      </c>
      <c r="F2717" s="79" t="str">
        <f t="shared" si="212"/>
        <v/>
      </c>
      <c r="G2717" s="395"/>
      <c r="H2717" s="91">
        <f t="shared" si="213"/>
        <v>0</v>
      </c>
      <c r="I2717" s="91" t="str">
        <f t="shared" si="214"/>
        <v/>
      </c>
      <c r="J2717" s="91" t="str">
        <f t="shared" si="215"/>
        <v/>
      </c>
      <c r="K2717" s="92" t="str">
        <f>IF(AND(A2717="",B2717="",D2717="",G2717=""),"",IF(AND(A2717&lt;&gt;"",COUNTIF($A$2:$A$5001,A2717)&gt;1),"NUMERO_PC duplicado",IF(B2717="","DATA_PC vazia",IF(NOT(ISNUMBER(B2717)),"DATA_PC invalida",IF(OR(C2717="",C2717="Fora dos ciclos"),"CICLO_PC nao identificado",IF(OR(D2717="",D2717=0),"VALOR_PC vazio ou zero",IF(AND(G2717&lt;&gt;"Sim",G2717&lt;&gt;"Nao",G2717&lt;&gt;""),"PC_PAGO_A_CONTRATADA invalido",IF(AND(C2717&lt;&gt;"C0",IFERROR(INDEX(parametros!$A$2:$A$6,MATCH(C2717,parametros!$B$2:$B$6,0)),"")="Sim",IFERROR(INDEX(parametros!$H$2:$H$6,MATCH(C2717,parametros!$B$2:$B$6,0)),"")=""),"INICIO_EFEITO ausente: PC "&amp;A2717&amp;" - "&amp;C2717,IF(L2717="","EFEITO_PC nao calculado: PC "&amp;A2717&amp;" - "&amp;C2717,"OK")))))))))</f>
        <v/>
      </c>
      <c r="L2717" s="92" t="str">
        <f>IF(AND(A2717="",B2717="",D2717="",G2717=""),"",IF(OR(B2717="",NOT(ISNUMBER(B2717)),C2717="",C2717="Fora dos ciclos"),"",IF(C2717="C0","Nao",IF(IFERROR(INDEX(parametros!$A$2:$A$6,MATCH(C2717,parametros!$B$2:$B$6,0)),"")&lt;&gt;"Sim","Nao",IF(IFERROR(INDEX(parametros!$H$2:$H$6,MATCH(C2717,parametros!$B$2:$B$6,0)),"")="","",IF(B2717&gt;=IFERROR(INDEX(parametros!$H$2:$H$6,MATCH(C2717,parametros!$B$2:$B$6,0)),""),"Sim","Nao"))))))</f>
        <v/>
      </c>
      <c r="T2717" s="156"/>
      <c r="U2717" s="214" t="str">
        <f t="shared" si="216"/>
        <v/>
      </c>
      <c r="V2717" s="212" t="s">
        <v>50</v>
      </c>
      <c r="W2717" s="100" t="s">
        <v>168</v>
      </c>
      <c r="X2717" s="100" t="s">
        <v>169</v>
      </c>
      <c r="Y2717" s="101" t="s">
        <v>170</v>
      </c>
      <c r="Z2717" s="101" t="s">
        <v>171</v>
      </c>
      <c r="AA2717" s="101" t="s">
        <v>50</v>
      </c>
      <c r="AB2717" s="101" t="s">
        <v>172</v>
      </c>
      <c r="AC2717" s="102" t="s">
        <v>173</v>
      </c>
    </row>
    <row r="2718" spans="1:29" ht="25.5" customHeight="1" x14ac:dyDescent="0.35">
      <c r="A2718" s="392"/>
      <c r="B2718" s="393"/>
      <c r="C2718" s="99" t="str">
        <f>IF(B2718="","",IF(NOT(ISNUMBER(B2718)),"DATA_PC invalida",IF(NOT(ISNUMBER(parametros!$C$2)),"Fora dos ciclos",IF(OR(B2718&lt;parametros!$C$2,(YEAR(B2718)-YEAR(parametros!$C$2))*12+MONTH(B2718)-MONTH(parametros!$C$2)&gt;59),"Fora dos ciclos","C"&amp;INT(((YEAR(B2718)-YEAR(parametros!$C$2))*12+MONTH(B2718)-MONTH(parametros!$C$2))/12)))))</f>
        <v/>
      </c>
      <c r="D2718" s="394"/>
      <c r="E2718" s="78" t="str">
        <f>IF(C2718="","",IFERROR(VLOOKUP(C2718,parametros!$A$11:$E$15,5,0),""))</f>
        <v/>
      </c>
      <c r="F2718" s="79" t="str">
        <f t="shared" si="212"/>
        <v/>
      </c>
      <c r="G2718" s="395"/>
      <c r="H2718" s="91">
        <f t="shared" si="213"/>
        <v>0</v>
      </c>
      <c r="I2718" s="91" t="str">
        <f t="shared" si="214"/>
        <v/>
      </c>
      <c r="J2718" s="91" t="str">
        <f t="shared" si="215"/>
        <v/>
      </c>
      <c r="K2718" s="92" t="str">
        <f>IF(AND(A2718="",B2718="",D2718="",G2718=""),"",IF(AND(A2718&lt;&gt;"",COUNTIF($A$2:$A$5001,A2718)&gt;1),"NUMERO_PC duplicado",IF(B2718="","DATA_PC vazia",IF(NOT(ISNUMBER(B2718)),"DATA_PC invalida",IF(OR(C2718="",C2718="Fora dos ciclos"),"CICLO_PC nao identificado",IF(OR(D2718="",D2718=0),"VALOR_PC vazio ou zero",IF(AND(G2718&lt;&gt;"Sim",G2718&lt;&gt;"Nao",G2718&lt;&gt;""),"PC_PAGO_A_CONTRATADA invalido",IF(AND(C2718&lt;&gt;"C0",IFERROR(INDEX(parametros!$A$2:$A$6,MATCH(C2718,parametros!$B$2:$B$6,0)),"")="Sim",IFERROR(INDEX(parametros!$H$2:$H$6,MATCH(C2718,parametros!$B$2:$B$6,0)),"")=""),"INICIO_EFEITO ausente: PC "&amp;A2718&amp;" - "&amp;C2718,IF(L2718="","EFEITO_PC nao calculado: PC "&amp;A2718&amp;" - "&amp;C2718,"OK")))))))))</f>
        <v/>
      </c>
      <c r="L2718" s="92" t="str">
        <f>IF(AND(A2718="",B2718="",D2718="",G2718=""),"",IF(OR(B2718="",NOT(ISNUMBER(B2718)),C2718="",C2718="Fora dos ciclos"),"",IF(C2718="C0","Nao",IF(IFERROR(INDEX(parametros!$A$2:$A$6,MATCH(C2718,parametros!$B$2:$B$6,0)),"")&lt;&gt;"Sim","Nao",IF(IFERROR(INDEX(parametros!$H$2:$H$6,MATCH(C2718,parametros!$B$2:$B$6,0)),"")="","",IF(B2718&gt;=IFERROR(INDEX(parametros!$H$2:$H$6,MATCH(C2718,parametros!$B$2:$B$6,0)),""),"Sim","Nao"))))))</f>
        <v/>
      </c>
      <c r="T2718" s="156"/>
      <c r="U2718" s="214" t="str">
        <f t="shared" si="216"/>
        <v/>
      </c>
      <c r="V2718" s="212" t="s">
        <v>50</v>
      </c>
      <c r="W2718" s="100" t="s">
        <v>168</v>
      </c>
      <c r="X2718" s="100" t="s">
        <v>169</v>
      </c>
      <c r="Y2718" s="101" t="s">
        <v>170</v>
      </c>
      <c r="Z2718" s="101" t="s">
        <v>171</v>
      </c>
      <c r="AA2718" s="101" t="s">
        <v>50</v>
      </c>
      <c r="AB2718" s="101" t="s">
        <v>172</v>
      </c>
      <c r="AC2718" s="102" t="s">
        <v>173</v>
      </c>
    </row>
    <row r="2719" spans="1:29" ht="25.5" customHeight="1" x14ac:dyDescent="0.35">
      <c r="A2719" s="392"/>
      <c r="B2719" s="393"/>
      <c r="C2719" s="99" t="str">
        <f>IF(B2719="","",IF(NOT(ISNUMBER(B2719)),"DATA_PC invalida",IF(NOT(ISNUMBER(parametros!$C$2)),"Fora dos ciclos",IF(OR(B2719&lt;parametros!$C$2,(YEAR(B2719)-YEAR(parametros!$C$2))*12+MONTH(B2719)-MONTH(parametros!$C$2)&gt;59),"Fora dos ciclos","C"&amp;INT(((YEAR(B2719)-YEAR(parametros!$C$2))*12+MONTH(B2719)-MONTH(parametros!$C$2))/12)))))</f>
        <v/>
      </c>
      <c r="D2719" s="394"/>
      <c r="E2719" s="78" t="str">
        <f>IF(C2719="","",IFERROR(VLOOKUP(C2719,parametros!$A$11:$E$15,5,0),""))</f>
        <v/>
      </c>
      <c r="F2719" s="79" t="str">
        <f t="shared" si="212"/>
        <v/>
      </c>
      <c r="G2719" s="395"/>
      <c r="H2719" s="91">
        <f t="shared" si="213"/>
        <v>0</v>
      </c>
      <c r="I2719" s="91" t="str">
        <f t="shared" si="214"/>
        <v/>
      </c>
      <c r="J2719" s="91" t="str">
        <f t="shared" si="215"/>
        <v/>
      </c>
      <c r="K2719" s="92" t="str">
        <f>IF(AND(A2719="",B2719="",D2719="",G2719=""),"",IF(AND(A2719&lt;&gt;"",COUNTIF($A$2:$A$5001,A2719)&gt;1),"NUMERO_PC duplicado",IF(B2719="","DATA_PC vazia",IF(NOT(ISNUMBER(B2719)),"DATA_PC invalida",IF(OR(C2719="",C2719="Fora dos ciclos"),"CICLO_PC nao identificado",IF(OR(D2719="",D2719=0),"VALOR_PC vazio ou zero",IF(AND(G2719&lt;&gt;"Sim",G2719&lt;&gt;"Nao",G2719&lt;&gt;""),"PC_PAGO_A_CONTRATADA invalido",IF(AND(C2719&lt;&gt;"C0",IFERROR(INDEX(parametros!$A$2:$A$6,MATCH(C2719,parametros!$B$2:$B$6,0)),"")="Sim",IFERROR(INDEX(parametros!$H$2:$H$6,MATCH(C2719,parametros!$B$2:$B$6,0)),"")=""),"INICIO_EFEITO ausente: PC "&amp;A2719&amp;" - "&amp;C2719,IF(L2719="","EFEITO_PC nao calculado: PC "&amp;A2719&amp;" - "&amp;C2719,"OK")))))))))</f>
        <v/>
      </c>
      <c r="L2719" s="92" t="str">
        <f>IF(AND(A2719="",B2719="",D2719="",G2719=""),"",IF(OR(B2719="",NOT(ISNUMBER(B2719)),C2719="",C2719="Fora dos ciclos"),"",IF(C2719="C0","Nao",IF(IFERROR(INDEX(parametros!$A$2:$A$6,MATCH(C2719,parametros!$B$2:$B$6,0)),"")&lt;&gt;"Sim","Nao",IF(IFERROR(INDEX(parametros!$H$2:$H$6,MATCH(C2719,parametros!$B$2:$B$6,0)),"")="","",IF(B2719&gt;=IFERROR(INDEX(parametros!$H$2:$H$6,MATCH(C2719,parametros!$B$2:$B$6,0)),""),"Sim","Nao"))))))</f>
        <v/>
      </c>
      <c r="T2719" s="156"/>
      <c r="U2719" s="214" t="str">
        <f t="shared" si="216"/>
        <v/>
      </c>
      <c r="V2719" s="212" t="s">
        <v>50</v>
      </c>
      <c r="W2719" s="100" t="s">
        <v>168</v>
      </c>
      <c r="X2719" s="100" t="s">
        <v>169</v>
      </c>
      <c r="Y2719" s="101" t="s">
        <v>170</v>
      </c>
      <c r="Z2719" s="101" t="s">
        <v>171</v>
      </c>
      <c r="AA2719" s="101" t="s">
        <v>50</v>
      </c>
      <c r="AB2719" s="101" t="s">
        <v>172</v>
      </c>
      <c r="AC2719" s="102" t="s">
        <v>173</v>
      </c>
    </row>
    <row r="2720" spans="1:29" ht="25.5" customHeight="1" x14ac:dyDescent="0.35">
      <c r="A2720" s="392"/>
      <c r="B2720" s="393"/>
      <c r="C2720" s="99" t="str">
        <f>IF(B2720="","",IF(NOT(ISNUMBER(B2720)),"DATA_PC invalida",IF(NOT(ISNUMBER(parametros!$C$2)),"Fora dos ciclos",IF(OR(B2720&lt;parametros!$C$2,(YEAR(B2720)-YEAR(parametros!$C$2))*12+MONTH(B2720)-MONTH(parametros!$C$2)&gt;59),"Fora dos ciclos","C"&amp;INT(((YEAR(B2720)-YEAR(parametros!$C$2))*12+MONTH(B2720)-MONTH(parametros!$C$2))/12)))))</f>
        <v/>
      </c>
      <c r="D2720" s="394"/>
      <c r="E2720" s="78" t="str">
        <f>IF(C2720="","",IFERROR(VLOOKUP(C2720,parametros!$A$11:$E$15,5,0),""))</f>
        <v/>
      </c>
      <c r="F2720" s="79" t="str">
        <f t="shared" si="212"/>
        <v/>
      </c>
      <c r="G2720" s="395"/>
      <c r="H2720" s="91">
        <f t="shared" si="213"/>
        <v>0</v>
      </c>
      <c r="I2720" s="91" t="str">
        <f t="shared" si="214"/>
        <v/>
      </c>
      <c r="J2720" s="91" t="str">
        <f t="shared" si="215"/>
        <v/>
      </c>
      <c r="K2720" s="92" t="str">
        <f>IF(AND(A2720="",B2720="",D2720="",G2720=""),"",IF(AND(A2720&lt;&gt;"",COUNTIF($A$2:$A$5001,A2720)&gt;1),"NUMERO_PC duplicado",IF(B2720="","DATA_PC vazia",IF(NOT(ISNUMBER(B2720)),"DATA_PC invalida",IF(OR(C2720="",C2720="Fora dos ciclos"),"CICLO_PC nao identificado",IF(OR(D2720="",D2720=0),"VALOR_PC vazio ou zero",IF(AND(G2720&lt;&gt;"Sim",G2720&lt;&gt;"Nao",G2720&lt;&gt;""),"PC_PAGO_A_CONTRATADA invalido",IF(AND(C2720&lt;&gt;"C0",IFERROR(INDEX(parametros!$A$2:$A$6,MATCH(C2720,parametros!$B$2:$B$6,0)),"")="Sim",IFERROR(INDEX(parametros!$H$2:$H$6,MATCH(C2720,parametros!$B$2:$B$6,0)),"")=""),"INICIO_EFEITO ausente: PC "&amp;A2720&amp;" - "&amp;C2720,IF(L2720="","EFEITO_PC nao calculado: PC "&amp;A2720&amp;" - "&amp;C2720,"OK")))))))))</f>
        <v/>
      </c>
      <c r="L2720" s="92" t="str">
        <f>IF(AND(A2720="",B2720="",D2720="",G2720=""),"",IF(OR(B2720="",NOT(ISNUMBER(B2720)),C2720="",C2720="Fora dos ciclos"),"",IF(C2720="C0","Nao",IF(IFERROR(INDEX(parametros!$A$2:$A$6,MATCH(C2720,parametros!$B$2:$B$6,0)),"")&lt;&gt;"Sim","Nao",IF(IFERROR(INDEX(parametros!$H$2:$H$6,MATCH(C2720,parametros!$B$2:$B$6,0)),"")="","",IF(B2720&gt;=IFERROR(INDEX(parametros!$H$2:$H$6,MATCH(C2720,parametros!$B$2:$B$6,0)),""),"Sim","Nao"))))))</f>
        <v/>
      </c>
      <c r="T2720" s="156"/>
      <c r="U2720" s="214" t="str">
        <f t="shared" si="216"/>
        <v/>
      </c>
      <c r="V2720" s="212" t="s">
        <v>50</v>
      </c>
      <c r="W2720" s="100" t="s">
        <v>168</v>
      </c>
      <c r="X2720" s="100" t="s">
        <v>169</v>
      </c>
      <c r="Y2720" s="101" t="s">
        <v>170</v>
      </c>
      <c r="Z2720" s="101" t="s">
        <v>171</v>
      </c>
      <c r="AA2720" s="101" t="s">
        <v>50</v>
      </c>
      <c r="AB2720" s="101" t="s">
        <v>172</v>
      </c>
      <c r="AC2720" s="102" t="s">
        <v>173</v>
      </c>
    </row>
    <row r="2721" spans="1:29" ht="25.5" customHeight="1" x14ac:dyDescent="0.35">
      <c r="A2721" s="392"/>
      <c r="B2721" s="393"/>
      <c r="C2721" s="99" t="str">
        <f>IF(B2721="","",IF(NOT(ISNUMBER(B2721)),"DATA_PC invalida",IF(NOT(ISNUMBER(parametros!$C$2)),"Fora dos ciclos",IF(OR(B2721&lt;parametros!$C$2,(YEAR(B2721)-YEAR(parametros!$C$2))*12+MONTH(B2721)-MONTH(parametros!$C$2)&gt;59),"Fora dos ciclos","C"&amp;INT(((YEAR(B2721)-YEAR(parametros!$C$2))*12+MONTH(B2721)-MONTH(parametros!$C$2))/12)))))</f>
        <v/>
      </c>
      <c r="D2721" s="394"/>
      <c r="E2721" s="78" t="str">
        <f>IF(C2721="","",IFERROR(VLOOKUP(C2721,parametros!$A$11:$E$15,5,0),""))</f>
        <v/>
      </c>
      <c r="F2721" s="79" t="str">
        <f t="shared" si="212"/>
        <v/>
      </c>
      <c r="G2721" s="395"/>
      <c r="H2721" s="91">
        <f t="shared" si="213"/>
        <v>0</v>
      </c>
      <c r="I2721" s="91" t="str">
        <f t="shared" si="214"/>
        <v/>
      </c>
      <c r="J2721" s="91" t="str">
        <f t="shared" si="215"/>
        <v/>
      </c>
      <c r="K2721" s="92" t="str">
        <f>IF(AND(A2721="",B2721="",D2721="",G2721=""),"",IF(AND(A2721&lt;&gt;"",COUNTIF($A$2:$A$5001,A2721)&gt;1),"NUMERO_PC duplicado",IF(B2721="","DATA_PC vazia",IF(NOT(ISNUMBER(B2721)),"DATA_PC invalida",IF(OR(C2721="",C2721="Fora dos ciclos"),"CICLO_PC nao identificado",IF(OR(D2721="",D2721=0),"VALOR_PC vazio ou zero",IF(AND(G2721&lt;&gt;"Sim",G2721&lt;&gt;"Nao",G2721&lt;&gt;""),"PC_PAGO_A_CONTRATADA invalido",IF(AND(C2721&lt;&gt;"C0",IFERROR(INDEX(parametros!$A$2:$A$6,MATCH(C2721,parametros!$B$2:$B$6,0)),"")="Sim",IFERROR(INDEX(parametros!$H$2:$H$6,MATCH(C2721,parametros!$B$2:$B$6,0)),"")=""),"INICIO_EFEITO ausente: PC "&amp;A2721&amp;" - "&amp;C2721,IF(L2721="","EFEITO_PC nao calculado: PC "&amp;A2721&amp;" - "&amp;C2721,"OK")))))))))</f>
        <v/>
      </c>
      <c r="L2721" s="92" t="str">
        <f>IF(AND(A2721="",B2721="",D2721="",G2721=""),"",IF(OR(B2721="",NOT(ISNUMBER(B2721)),C2721="",C2721="Fora dos ciclos"),"",IF(C2721="C0","Nao",IF(IFERROR(INDEX(parametros!$A$2:$A$6,MATCH(C2721,parametros!$B$2:$B$6,0)),"")&lt;&gt;"Sim","Nao",IF(IFERROR(INDEX(parametros!$H$2:$H$6,MATCH(C2721,parametros!$B$2:$B$6,0)),"")="","",IF(B2721&gt;=IFERROR(INDEX(parametros!$H$2:$H$6,MATCH(C2721,parametros!$B$2:$B$6,0)),""),"Sim","Nao"))))))</f>
        <v/>
      </c>
      <c r="T2721" s="156"/>
      <c r="U2721" s="214" t="str">
        <f t="shared" si="216"/>
        <v/>
      </c>
      <c r="V2721" s="212" t="s">
        <v>50</v>
      </c>
      <c r="W2721" s="100" t="s">
        <v>168</v>
      </c>
      <c r="X2721" s="100" t="s">
        <v>169</v>
      </c>
      <c r="Y2721" s="101" t="s">
        <v>170</v>
      </c>
      <c r="Z2721" s="101" t="s">
        <v>171</v>
      </c>
      <c r="AA2721" s="101" t="s">
        <v>50</v>
      </c>
      <c r="AB2721" s="101" t="s">
        <v>172</v>
      </c>
      <c r="AC2721" s="102" t="s">
        <v>173</v>
      </c>
    </row>
    <row r="2722" spans="1:29" ht="25.5" customHeight="1" x14ac:dyDescent="0.35">
      <c r="A2722" s="392"/>
      <c r="B2722" s="393"/>
      <c r="C2722" s="99" t="str">
        <f>IF(B2722="","",IF(NOT(ISNUMBER(B2722)),"DATA_PC invalida",IF(NOT(ISNUMBER(parametros!$C$2)),"Fora dos ciclos",IF(OR(B2722&lt;parametros!$C$2,(YEAR(B2722)-YEAR(parametros!$C$2))*12+MONTH(B2722)-MONTH(parametros!$C$2)&gt;59),"Fora dos ciclos","C"&amp;INT(((YEAR(B2722)-YEAR(parametros!$C$2))*12+MONTH(B2722)-MONTH(parametros!$C$2))/12)))))</f>
        <v/>
      </c>
      <c r="D2722" s="394"/>
      <c r="E2722" s="78" t="str">
        <f>IF(C2722="","",IFERROR(VLOOKUP(C2722,parametros!$A$11:$E$15,5,0),""))</f>
        <v/>
      </c>
      <c r="F2722" s="79" t="str">
        <f t="shared" si="212"/>
        <v/>
      </c>
      <c r="G2722" s="395"/>
      <c r="H2722" s="91">
        <f t="shared" si="213"/>
        <v>0</v>
      </c>
      <c r="I2722" s="91" t="str">
        <f t="shared" si="214"/>
        <v/>
      </c>
      <c r="J2722" s="91" t="str">
        <f t="shared" si="215"/>
        <v/>
      </c>
      <c r="K2722" s="92" t="str">
        <f>IF(AND(A2722="",B2722="",D2722="",G2722=""),"",IF(AND(A2722&lt;&gt;"",COUNTIF($A$2:$A$5001,A2722)&gt;1),"NUMERO_PC duplicado",IF(B2722="","DATA_PC vazia",IF(NOT(ISNUMBER(B2722)),"DATA_PC invalida",IF(OR(C2722="",C2722="Fora dos ciclos"),"CICLO_PC nao identificado",IF(OR(D2722="",D2722=0),"VALOR_PC vazio ou zero",IF(AND(G2722&lt;&gt;"Sim",G2722&lt;&gt;"Nao",G2722&lt;&gt;""),"PC_PAGO_A_CONTRATADA invalido",IF(AND(C2722&lt;&gt;"C0",IFERROR(INDEX(parametros!$A$2:$A$6,MATCH(C2722,parametros!$B$2:$B$6,0)),"")="Sim",IFERROR(INDEX(parametros!$H$2:$H$6,MATCH(C2722,parametros!$B$2:$B$6,0)),"")=""),"INICIO_EFEITO ausente: PC "&amp;A2722&amp;" - "&amp;C2722,IF(L2722="","EFEITO_PC nao calculado: PC "&amp;A2722&amp;" - "&amp;C2722,"OK")))))))))</f>
        <v/>
      </c>
      <c r="L2722" s="92" t="str">
        <f>IF(AND(A2722="",B2722="",D2722="",G2722=""),"",IF(OR(B2722="",NOT(ISNUMBER(B2722)),C2722="",C2722="Fora dos ciclos"),"",IF(C2722="C0","Nao",IF(IFERROR(INDEX(parametros!$A$2:$A$6,MATCH(C2722,parametros!$B$2:$B$6,0)),"")&lt;&gt;"Sim","Nao",IF(IFERROR(INDEX(parametros!$H$2:$H$6,MATCH(C2722,parametros!$B$2:$B$6,0)),"")="","",IF(B2722&gt;=IFERROR(INDEX(parametros!$H$2:$H$6,MATCH(C2722,parametros!$B$2:$B$6,0)),""),"Sim","Nao"))))))</f>
        <v/>
      </c>
      <c r="T2722" s="156"/>
      <c r="U2722" s="214" t="str">
        <f t="shared" si="216"/>
        <v/>
      </c>
      <c r="V2722" s="212" t="s">
        <v>50</v>
      </c>
      <c r="W2722" s="100" t="s">
        <v>168</v>
      </c>
      <c r="X2722" s="100" t="s">
        <v>169</v>
      </c>
      <c r="Y2722" s="101" t="s">
        <v>170</v>
      </c>
      <c r="Z2722" s="101" t="s">
        <v>171</v>
      </c>
      <c r="AA2722" s="101" t="s">
        <v>50</v>
      </c>
      <c r="AB2722" s="101" t="s">
        <v>172</v>
      </c>
      <c r="AC2722" s="102" t="s">
        <v>173</v>
      </c>
    </row>
    <row r="2723" spans="1:29" ht="25.5" customHeight="1" x14ac:dyDescent="0.35">
      <c r="A2723" s="392"/>
      <c r="B2723" s="393"/>
      <c r="C2723" s="99" t="str">
        <f>IF(B2723="","",IF(NOT(ISNUMBER(B2723)),"DATA_PC invalida",IF(NOT(ISNUMBER(parametros!$C$2)),"Fora dos ciclos",IF(OR(B2723&lt;parametros!$C$2,(YEAR(B2723)-YEAR(parametros!$C$2))*12+MONTH(B2723)-MONTH(parametros!$C$2)&gt;59),"Fora dos ciclos","C"&amp;INT(((YEAR(B2723)-YEAR(parametros!$C$2))*12+MONTH(B2723)-MONTH(parametros!$C$2))/12)))))</f>
        <v/>
      </c>
      <c r="D2723" s="394"/>
      <c r="E2723" s="78" t="str">
        <f>IF(C2723="","",IFERROR(VLOOKUP(C2723,parametros!$A$11:$E$15,5,0),""))</f>
        <v/>
      </c>
      <c r="F2723" s="79" t="str">
        <f t="shared" si="212"/>
        <v/>
      </c>
      <c r="G2723" s="395"/>
      <c r="H2723" s="91">
        <f t="shared" si="213"/>
        <v>0</v>
      </c>
      <c r="I2723" s="91" t="str">
        <f t="shared" si="214"/>
        <v/>
      </c>
      <c r="J2723" s="91" t="str">
        <f t="shared" si="215"/>
        <v/>
      </c>
      <c r="K2723" s="92" t="str">
        <f>IF(AND(A2723="",B2723="",D2723="",G2723=""),"",IF(AND(A2723&lt;&gt;"",COUNTIF($A$2:$A$5001,A2723)&gt;1),"NUMERO_PC duplicado",IF(B2723="","DATA_PC vazia",IF(NOT(ISNUMBER(B2723)),"DATA_PC invalida",IF(OR(C2723="",C2723="Fora dos ciclos"),"CICLO_PC nao identificado",IF(OR(D2723="",D2723=0),"VALOR_PC vazio ou zero",IF(AND(G2723&lt;&gt;"Sim",G2723&lt;&gt;"Nao",G2723&lt;&gt;""),"PC_PAGO_A_CONTRATADA invalido",IF(AND(C2723&lt;&gt;"C0",IFERROR(INDEX(parametros!$A$2:$A$6,MATCH(C2723,parametros!$B$2:$B$6,0)),"")="Sim",IFERROR(INDEX(parametros!$H$2:$H$6,MATCH(C2723,parametros!$B$2:$B$6,0)),"")=""),"INICIO_EFEITO ausente: PC "&amp;A2723&amp;" - "&amp;C2723,IF(L2723="","EFEITO_PC nao calculado: PC "&amp;A2723&amp;" - "&amp;C2723,"OK")))))))))</f>
        <v/>
      </c>
      <c r="L2723" s="92" t="str">
        <f>IF(AND(A2723="",B2723="",D2723="",G2723=""),"",IF(OR(B2723="",NOT(ISNUMBER(B2723)),C2723="",C2723="Fora dos ciclos"),"",IF(C2723="C0","Nao",IF(IFERROR(INDEX(parametros!$A$2:$A$6,MATCH(C2723,parametros!$B$2:$B$6,0)),"")&lt;&gt;"Sim","Nao",IF(IFERROR(INDEX(parametros!$H$2:$H$6,MATCH(C2723,parametros!$B$2:$B$6,0)),"")="","",IF(B2723&gt;=IFERROR(INDEX(parametros!$H$2:$H$6,MATCH(C2723,parametros!$B$2:$B$6,0)),""),"Sim","Nao"))))))</f>
        <v/>
      </c>
      <c r="T2723" s="156"/>
      <c r="U2723" s="214" t="str">
        <f t="shared" si="216"/>
        <v/>
      </c>
      <c r="V2723" s="212" t="s">
        <v>50</v>
      </c>
      <c r="W2723" s="100" t="s">
        <v>168</v>
      </c>
      <c r="X2723" s="100" t="s">
        <v>169</v>
      </c>
      <c r="Y2723" s="101" t="s">
        <v>170</v>
      </c>
      <c r="Z2723" s="101" t="s">
        <v>171</v>
      </c>
      <c r="AA2723" s="101" t="s">
        <v>50</v>
      </c>
      <c r="AB2723" s="101" t="s">
        <v>172</v>
      </c>
      <c r="AC2723" s="102" t="s">
        <v>173</v>
      </c>
    </row>
    <row r="2724" spans="1:29" ht="25.5" customHeight="1" x14ac:dyDescent="0.35">
      <c r="A2724" s="392"/>
      <c r="B2724" s="393"/>
      <c r="C2724" s="99" t="str">
        <f>IF(B2724="","",IF(NOT(ISNUMBER(B2724)),"DATA_PC invalida",IF(NOT(ISNUMBER(parametros!$C$2)),"Fora dos ciclos",IF(OR(B2724&lt;parametros!$C$2,(YEAR(B2724)-YEAR(parametros!$C$2))*12+MONTH(B2724)-MONTH(parametros!$C$2)&gt;59),"Fora dos ciclos","C"&amp;INT(((YEAR(B2724)-YEAR(parametros!$C$2))*12+MONTH(B2724)-MONTH(parametros!$C$2))/12)))))</f>
        <v/>
      </c>
      <c r="D2724" s="394"/>
      <c r="E2724" s="78" t="str">
        <f>IF(C2724="","",IFERROR(VLOOKUP(C2724,parametros!$A$11:$E$15,5,0),""))</f>
        <v/>
      </c>
      <c r="F2724" s="79" t="str">
        <f t="shared" si="212"/>
        <v/>
      </c>
      <c r="G2724" s="395"/>
      <c r="H2724" s="91">
        <f t="shared" si="213"/>
        <v>0</v>
      </c>
      <c r="I2724" s="91" t="str">
        <f t="shared" si="214"/>
        <v/>
      </c>
      <c r="J2724" s="91" t="str">
        <f t="shared" si="215"/>
        <v/>
      </c>
      <c r="K2724" s="92" t="str">
        <f>IF(AND(A2724="",B2724="",D2724="",G2724=""),"",IF(AND(A2724&lt;&gt;"",COUNTIF($A$2:$A$5001,A2724)&gt;1),"NUMERO_PC duplicado",IF(B2724="","DATA_PC vazia",IF(NOT(ISNUMBER(B2724)),"DATA_PC invalida",IF(OR(C2724="",C2724="Fora dos ciclos"),"CICLO_PC nao identificado",IF(OR(D2724="",D2724=0),"VALOR_PC vazio ou zero",IF(AND(G2724&lt;&gt;"Sim",G2724&lt;&gt;"Nao",G2724&lt;&gt;""),"PC_PAGO_A_CONTRATADA invalido",IF(AND(C2724&lt;&gt;"C0",IFERROR(INDEX(parametros!$A$2:$A$6,MATCH(C2724,parametros!$B$2:$B$6,0)),"")="Sim",IFERROR(INDEX(parametros!$H$2:$H$6,MATCH(C2724,parametros!$B$2:$B$6,0)),"")=""),"INICIO_EFEITO ausente: PC "&amp;A2724&amp;" - "&amp;C2724,IF(L2724="","EFEITO_PC nao calculado: PC "&amp;A2724&amp;" - "&amp;C2724,"OK")))))))))</f>
        <v/>
      </c>
      <c r="L2724" s="92" t="str">
        <f>IF(AND(A2724="",B2724="",D2724="",G2724=""),"",IF(OR(B2724="",NOT(ISNUMBER(B2724)),C2724="",C2724="Fora dos ciclos"),"",IF(C2724="C0","Nao",IF(IFERROR(INDEX(parametros!$A$2:$A$6,MATCH(C2724,parametros!$B$2:$B$6,0)),"")&lt;&gt;"Sim","Nao",IF(IFERROR(INDEX(parametros!$H$2:$H$6,MATCH(C2724,parametros!$B$2:$B$6,0)),"")="","",IF(B2724&gt;=IFERROR(INDEX(parametros!$H$2:$H$6,MATCH(C2724,parametros!$B$2:$B$6,0)),""),"Sim","Nao"))))))</f>
        <v/>
      </c>
      <c r="T2724" s="156"/>
      <c r="U2724" s="214" t="str">
        <f t="shared" si="216"/>
        <v/>
      </c>
      <c r="V2724" s="212" t="s">
        <v>50</v>
      </c>
      <c r="W2724" s="100" t="s">
        <v>168</v>
      </c>
      <c r="X2724" s="100" t="s">
        <v>169</v>
      </c>
      <c r="Y2724" s="101" t="s">
        <v>170</v>
      </c>
      <c r="Z2724" s="101" t="s">
        <v>171</v>
      </c>
      <c r="AA2724" s="101" t="s">
        <v>50</v>
      </c>
      <c r="AB2724" s="101" t="s">
        <v>172</v>
      </c>
      <c r="AC2724" s="102" t="s">
        <v>173</v>
      </c>
    </row>
    <row r="2725" spans="1:29" ht="25.5" customHeight="1" x14ac:dyDescent="0.35">
      <c r="A2725" s="392"/>
      <c r="B2725" s="393"/>
      <c r="C2725" s="99" t="str">
        <f>IF(B2725="","",IF(NOT(ISNUMBER(B2725)),"DATA_PC invalida",IF(NOT(ISNUMBER(parametros!$C$2)),"Fora dos ciclos",IF(OR(B2725&lt;parametros!$C$2,(YEAR(B2725)-YEAR(parametros!$C$2))*12+MONTH(B2725)-MONTH(parametros!$C$2)&gt;59),"Fora dos ciclos","C"&amp;INT(((YEAR(B2725)-YEAR(parametros!$C$2))*12+MONTH(B2725)-MONTH(parametros!$C$2))/12)))))</f>
        <v/>
      </c>
      <c r="D2725" s="394"/>
      <c r="E2725" s="78" t="str">
        <f>IF(C2725="","",IFERROR(VLOOKUP(C2725,parametros!$A$11:$E$15,5,0),""))</f>
        <v/>
      </c>
      <c r="F2725" s="79" t="str">
        <f t="shared" si="212"/>
        <v/>
      </c>
      <c r="G2725" s="395"/>
      <c r="H2725" s="91">
        <f t="shared" si="213"/>
        <v>0</v>
      </c>
      <c r="I2725" s="91" t="str">
        <f t="shared" si="214"/>
        <v/>
      </c>
      <c r="J2725" s="91" t="str">
        <f t="shared" si="215"/>
        <v/>
      </c>
      <c r="K2725" s="92" t="str">
        <f>IF(AND(A2725="",B2725="",D2725="",G2725=""),"",IF(AND(A2725&lt;&gt;"",COUNTIF($A$2:$A$5001,A2725)&gt;1),"NUMERO_PC duplicado",IF(B2725="","DATA_PC vazia",IF(NOT(ISNUMBER(B2725)),"DATA_PC invalida",IF(OR(C2725="",C2725="Fora dos ciclos"),"CICLO_PC nao identificado",IF(OR(D2725="",D2725=0),"VALOR_PC vazio ou zero",IF(AND(G2725&lt;&gt;"Sim",G2725&lt;&gt;"Nao",G2725&lt;&gt;""),"PC_PAGO_A_CONTRATADA invalido",IF(AND(C2725&lt;&gt;"C0",IFERROR(INDEX(parametros!$A$2:$A$6,MATCH(C2725,parametros!$B$2:$B$6,0)),"")="Sim",IFERROR(INDEX(parametros!$H$2:$H$6,MATCH(C2725,parametros!$B$2:$B$6,0)),"")=""),"INICIO_EFEITO ausente: PC "&amp;A2725&amp;" - "&amp;C2725,IF(L2725="","EFEITO_PC nao calculado: PC "&amp;A2725&amp;" - "&amp;C2725,"OK")))))))))</f>
        <v/>
      </c>
      <c r="L2725" s="92" t="str">
        <f>IF(AND(A2725="",B2725="",D2725="",G2725=""),"",IF(OR(B2725="",NOT(ISNUMBER(B2725)),C2725="",C2725="Fora dos ciclos"),"",IF(C2725="C0","Nao",IF(IFERROR(INDEX(parametros!$A$2:$A$6,MATCH(C2725,parametros!$B$2:$B$6,0)),"")&lt;&gt;"Sim","Nao",IF(IFERROR(INDEX(parametros!$H$2:$H$6,MATCH(C2725,parametros!$B$2:$B$6,0)),"")="","",IF(B2725&gt;=IFERROR(INDEX(parametros!$H$2:$H$6,MATCH(C2725,parametros!$B$2:$B$6,0)),""),"Sim","Nao"))))))</f>
        <v/>
      </c>
      <c r="T2725" s="156"/>
      <c r="U2725" s="214" t="str">
        <f t="shared" si="216"/>
        <v/>
      </c>
      <c r="V2725" s="212" t="s">
        <v>50</v>
      </c>
      <c r="W2725" s="100" t="s">
        <v>168</v>
      </c>
      <c r="X2725" s="100" t="s">
        <v>169</v>
      </c>
      <c r="Y2725" s="101" t="s">
        <v>170</v>
      </c>
      <c r="Z2725" s="101" t="s">
        <v>171</v>
      </c>
      <c r="AA2725" s="101" t="s">
        <v>50</v>
      </c>
      <c r="AB2725" s="101" t="s">
        <v>172</v>
      </c>
      <c r="AC2725" s="102" t="s">
        <v>173</v>
      </c>
    </row>
    <row r="2726" spans="1:29" ht="25.5" customHeight="1" x14ac:dyDescent="0.35">
      <c r="A2726" s="392"/>
      <c r="B2726" s="393"/>
      <c r="C2726" s="99" t="str">
        <f>IF(B2726="","",IF(NOT(ISNUMBER(B2726)),"DATA_PC invalida",IF(NOT(ISNUMBER(parametros!$C$2)),"Fora dos ciclos",IF(OR(B2726&lt;parametros!$C$2,(YEAR(B2726)-YEAR(parametros!$C$2))*12+MONTH(B2726)-MONTH(parametros!$C$2)&gt;59),"Fora dos ciclos","C"&amp;INT(((YEAR(B2726)-YEAR(parametros!$C$2))*12+MONTH(B2726)-MONTH(parametros!$C$2))/12)))))</f>
        <v/>
      </c>
      <c r="D2726" s="394"/>
      <c r="E2726" s="78" t="str">
        <f>IF(C2726="","",IFERROR(VLOOKUP(C2726,parametros!$A$11:$E$15,5,0),""))</f>
        <v/>
      </c>
      <c r="F2726" s="79" t="str">
        <f t="shared" si="212"/>
        <v/>
      </c>
      <c r="G2726" s="395"/>
      <c r="H2726" s="91">
        <f t="shared" si="213"/>
        <v>0</v>
      </c>
      <c r="I2726" s="91" t="str">
        <f t="shared" si="214"/>
        <v/>
      </c>
      <c r="J2726" s="91" t="str">
        <f t="shared" si="215"/>
        <v/>
      </c>
      <c r="K2726" s="92" t="str">
        <f>IF(AND(A2726="",B2726="",D2726="",G2726=""),"",IF(AND(A2726&lt;&gt;"",COUNTIF($A$2:$A$5001,A2726)&gt;1),"NUMERO_PC duplicado",IF(B2726="","DATA_PC vazia",IF(NOT(ISNUMBER(B2726)),"DATA_PC invalida",IF(OR(C2726="",C2726="Fora dos ciclos"),"CICLO_PC nao identificado",IF(OR(D2726="",D2726=0),"VALOR_PC vazio ou zero",IF(AND(G2726&lt;&gt;"Sim",G2726&lt;&gt;"Nao",G2726&lt;&gt;""),"PC_PAGO_A_CONTRATADA invalido",IF(AND(C2726&lt;&gt;"C0",IFERROR(INDEX(parametros!$A$2:$A$6,MATCH(C2726,parametros!$B$2:$B$6,0)),"")="Sim",IFERROR(INDEX(parametros!$H$2:$H$6,MATCH(C2726,parametros!$B$2:$B$6,0)),"")=""),"INICIO_EFEITO ausente: PC "&amp;A2726&amp;" - "&amp;C2726,IF(L2726="","EFEITO_PC nao calculado: PC "&amp;A2726&amp;" - "&amp;C2726,"OK")))))))))</f>
        <v/>
      </c>
      <c r="L2726" s="92" t="str">
        <f>IF(AND(A2726="",B2726="",D2726="",G2726=""),"",IF(OR(B2726="",NOT(ISNUMBER(B2726)),C2726="",C2726="Fora dos ciclos"),"",IF(C2726="C0","Nao",IF(IFERROR(INDEX(parametros!$A$2:$A$6,MATCH(C2726,parametros!$B$2:$B$6,0)),"")&lt;&gt;"Sim","Nao",IF(IFERROR(INDEX(parametros!$H$2:$H$6,MATCH(C2726,parametros!$B$2:$B$6,0)),"")="","",IF(B2726&gt;=IFERROR(INDEX(parametros!$H$2:$H$6,MATCH(C2726,parametros!$B$2:$B$6,0)),""),"Sim","Nao"))))))</f>
        <v/>
      </c>
      <c r="T2726" s="156"/>
      <c r="U2726" s="214" t="str">
        <f t="shared" si="216"/>
        <v/>
      </c>
      <c r="V2726" s="212" t="s">
        <v>50</v>
      </c>
      <c r="W2726" s="100" t="s">
        <v>168</v>
      </c>
      <c r="X2726" s="100" t="s">
        <v>169</v>
      </c>
      <c r="Y2726" s="101" t="s">
        <v>170</v>
      </c>
      <c r="Z2726" s="101" t="s">
        <v>171</v>
      </c>
      <c r="AA2726" s="101" t="s">
        <v>50</v>
      </c>
      <c r="AB2726" s="101" t="s">
        <v>172</v>
      </c>
      <c r="AC2726" s="102" t="s">
        <v>173</v>
      </c>
    </row>
    <row r="2727" spans="1:29" ht="25.5" customHeight="1" x14ac:dyDescent="0.35">
      <c r="A2727" s="392"/>
      <c r="B2727" s="393"/>
      <c r="C2727" s="99" t="str">
        <f>IF(B2727="","",IF(NOT(ISNUMBER(B2727)),"DATA_PC invalida",IF(NOT(ISNUMBER(parametros!$C$2)),"Fora dos ciclos",IF(OR(B2727&lt;parametros!$C$2,(YEAR(B2727)-YEAR(parametros!$C$2))*12+MONTH(B2727)-MONTH(parametros!$C$2)&gt;59),"Fora dos ciclos","C"&amp;INT(((YEAR(B2727)-YEAR(parametros!$C$2))*12+MONTH(B2727)-MONTH(parametros!$C$2))/12)))))</f>
        <v/>
      </c>
      <c r="D2727" s="394"/>
      <c r="E2727" s="78" t="str">
        <f>IF(C2727="","",IFERROR(VLOOKUP(C2727,parametros!$A$11:$E$15,5,0),""))</f>
        <v/>
      </c>
      <c r="F2727" s="79" t="str">
        <f t="shared" si="212"/>
        <v/>
      </c>
      <c r="G2727" s="395"/>
      <c r="H2727" s="91">
        <f t="shared" si="213"/>
        <v>0</v>
      </c>
      <c r="I2727" s="91" t="str">
        <f t="shared" si="214"/>
        <v/>
      </c>
      <c r="J2727" s="91" t="str">
        <f t="shared" si="215"/>
        <v/>
      </c>
      <c r="K2727" s="92" t="str">
        <f>IF(AND(A2727="",B2727="",D2727="",G2727=""),"",IF(AND(A2727&lt;&gt;"",COUNTIF($A$2:$A$5001,A2727)&gt;1),"NUMERO_PC duplicado",IF(B2727="","DATA_PC vazia",IF(NOT(ISNUMBER(B2727)),"DATA_PC invalida",IF(OR(C2727="",C2727="Fora dos ciclos"),"CICLO_PC nao identificado",IF(OR(D2727="",D2727=0),"VALOR_PC vazio ou zero",IF(AND(G2727&lt;&gt;"Sim",G2727&lt;&gt;"Nao",G2727&lt;&gt;""),"PC_PAGO_A_CONTRATADA invalido",IF(AND(C2727&lt;&gt;"C0",IFERROR(INDEX(parametros!$A$2:$A$6,MATCH(C2727,parametros!$B$2:$B$6,0)),"")="Sim",IFERROR(INDEX(parametros!$H$2:$H$6,MATCH(C2727,parametros!$B$2:$B$6,0)),"")=""),"INICIO_EFEITO ausente: PC "&amp;A2727&amp;" - "&amp;C2727,IF(L2727="","EFEITO_PC nao calculado: PC "&amp;A2727&amp;" - "&amp;C2727,"OK")))))))))</f>
        <v/>
      </c>
      <c r="L2727" s="92" t="str">
        <f>IF(AND(A2727="",B2727="",D2727="",G2727=""),"",IF(OR(B2727="",NOT(ISNUMBER(B2727)),C2727="",C2727="Fora dos ciclos"),"",IF(C2727="C0","Nao",IF(IFERROR(INDEX(parametros!$A$2:$A$6,MATCH(C2727,parametros!$B$2:$B$6,0)),"")&lt;&gt;"Sim","Nao",IF(IFERROR(INDEX(parametros!$H$2:$H$6,MATCH(C2727,parametros!$B$2:$B$6,0)),"")="","",IF(B2727&gt;=IFERROR(INDEX(parametros!$H$2:$H$6,MATCH(C2727,parametros!$B$2:$B$6,0)),""),"Sim","Nao"))))))</f>
        <v/>
      </c>
      <c r="T2727" s="156"/>
      <c r="U2727" s="214" t="str">
        <f t="shared" si="216"/>
        <v/>
      </c>
      <c r="V2727" s="212" t="s">
        <v>50</v>
      </c>
      <c r="W2727" s="100" t="s">
        <v>168</v>
      </c>
      <c r="X2727" s="100" t="s">
        <v>169</v>
      </c>
      <c r="Y2727" s="101" t="s">
        <v>170</v>
      </c>
      <c r="Z2727" s="101" t="s">
        <v>171</v>
      </c>
      <c r="AA2727" s="101" t="s">
        <v>50</v>
      </c>
      <c r="AB2727" s="101" t="s">
        <v>172</v>
      </c>
      <c r="AC2727" s="102" t="s">
        <v>173</v>
      </c>
    </row>
    <row r="2728" spans="1:29" ht="25.5" customHeight="1" x14ac:dyDescent="0.35">
      <c r="A2728" s="392"/>
      <c r="B2728" s="393"/>
      <c r="C2728" s="99" t="str">
        <f>IF(B2728="","",IF(NOT(ISNUMBER(B2728)),"DATA_PC invalida",IF(NOT(ISNUMBER(parametros!$C$2)),"Fora dos ciclos",IF(OR(B2728&lt;parametros!$C$2,(YEAR(B2728)-YEAR(parametros!$C$2))*12+MONTH(B2728)-MONTH(parametros!$C$2)&gt;59),"Fora dos ciclos","C"&amp;INT(((YEAR(B2728)-YEAR(parametros!$C$2))*12+MONTH(B2728)-MONTH(parametros!$C$2))/12)))))</f>
        <v/>
      </c>
      <c r="D2728" s="394"/>
      <c r="E2728" s="78" t="str">
        <f>IF(C2728="","",IFERROR(VLOOKUP(C2728,parametros!$A$11:$E$15,5,0),""))</f>
        <v/>
      </c>
      <c r="F2728" s="79" t="str">
        <f t="shared" si="212"/>
        <v/>
      </c>
      <c r="G2728" s="395"/>
      <c r="H2728" s="91">
        <f t="shared" si="213"/>
        <v>0</v>
      </c>
      <c r="I2728" s="91" t="str">
        <f t="shared" si="214"/>
        <v/>
      </c>
      <c r="J2728" s="91" t="str">
        <f t="shared" si="215"/>
        <v/>
      </c>
      <c r="K2728" s="92" t="str">
        <f>IF(AND(A2728="",B2728="",D2728="",G2728=""),"",IF(AND(A2728&lt;&gt;"",COUNTIF($A$2:$A$5001,A2728)&gt;1),"NUMERO_PC duplicado",IF(B2728="","DATA_PC vazia",IF(NOT(ISNUMBER(B2728)),"DATA_PC invalida",IF(OR(C2728="",C2728="Fora dos ciclos"),"CICLO_PC nao identificado",IF(OR(D2728="",D2728=0),"VALOR_PC vazio ou zero",IF(AND(G2728&lt;&gt;"Sim",G2728&lt;&gt;"Nao",G2728&lt;&gt;""),"PC_PAGO_A_CONTRATADA invalido",IF(AND(C2728&lt;&gt;"C0",IFERROR(INDEX(parametros!$A$2:$A$6,MATCH(C2728,parametros!$B$2:$B$6,0)),"")="Sim",IFERROR(INDEX(parametros!$H$2:$H$6,MATCH(C2728,parametros!$B$2:$B$6,0)),"")=""),"INICIO_EFEITO ausente: PC "&amp;A2728&amp;" - "&amp;C2728,IF(L2728="","EFEITO_PC nao calculado: PC "&amp;A2728&amp;" - "&amp;C2728,"OK")))))))))</f>
        <v/>
      </c>
      <c r="L2728" s="92" t="str">
        <f>IF(AND(A2728="",B2728="",D2728="",G2728=""),"",IF(OR(B2728="",NOT(ISNUMBER(B2728)),C2728="",C2728="Fora dos ciclos"),"",IF(C2728="C0","Nao",IF(IFERROR(INDEX(parametros!$A$2:$A$6,MATCH(C2728,parametros!$B$2:$B$6,0)),"")&lt;&gt;"Sim","Nao",IF(IFERROR(INDEX(parametros!$H$2:$H$6,MATCH(C2728,parametros!$B$2:$B$6,0)),"")="","",IF(B2728&gt;=IFERROR(INDEX(parametros!$H$2:$H$6,MATCH(C2728,parametros!$B$2:$B$6,0)),""),"Sim","Nao"))))))</f>
        <v/>
      </c>
      <c r="T2728" s="156"/>
      <c r="U2728" s="214" t="str">
        <f t="shared" si="216"/>
        <v/>
      </c>
      <c r="V2728" s="212" t="s">
        <v>50</v>
      </c>
      <c r="W2728" s="100" t="s">
        <v>168</v>
      </c>
      <c r="X2728" s="100" t="s">
        <v>169</v>
      </c>
      <c r="Y2728" s="101" t="s">
        <v>170</v>
      </c>
      <c r="Z2728" s="101" t="s">
        <v>171</v>
      </c>
      <c r="AA2728" s="101" t="s">
        <v>50</v>
      </c>
      <c r="AB2728" s="101" t="s">
        <v>172</v>
      </c>
      <c r="AC2728" s="102" t="s">
        <v>173</v>
      </c>
    </row>
    <row r="2729" spans="1:29" ht="25.5" customHeight="1" x14ac:dyDescent="0.35">
      <c r="A2729" s="392"/>
      <c r="B2729" s="393"/>
      <c r="C2729" s="99" t="str">
        <f>IF(B2729="","",IF(NOT(ISNUMBER(B2729)),"DATA_PC invalida",IF(NOT(ISNUMBER(parametros!$C$2)),"Fora dos ciclos",IF(OR(B2729&lt;parametros!$C$2,(YEAR(B2729)-YEAR(parametros!$C$2))*12+MONTH(B2729)-MONTH(parametros!$C$2)&gt;59),"Fora dos ciclos","C"&amp;INT(((YEAR(B2729)-YEAR(parametros!$C$2))*12+MONTH(B2729)-MONTH(parametros!$C$2))/12)))))</f>
        <v/>
      </c>
      <c r="D2729" s="394"/>
      <c r="E2729" s="78" t="str">
        <f>IF(C2729="","",IFERROR(VLOOKUP(C2729,parametros!$A$11:$E$15,5,0),""))</f>
        <v/>
      </c>
      <c r="F2729" s="79" t="str">
        <f t="shared" si="212"/>
        <v/>
      </c>
      <c r="G2729" s="395"/>
      <c r="H2729" s="91">
        <f t="shared" si="213"/>
        <v>0</v>
      </c>
      <c r="I2729" s="91" t="str">
        <f t="shared" si="214"/>
        <v/>
      </c>
      <c r="J2729" s="91" t="str">
        <f t="shared" si="215"/>
        <v/>
      </c>
      <c r="K2729" s="92" t="str">
        <f>IF(AND(A2729="",B2729="",D2729="",G2729=""),"",IF(AND(A2729&lt;&gt;"",COUNTIF($A$2:$A$5001,A2729)&gt;1),"NUMERO_PC duplicado",IF(B2729="","DATA_PC vazia",IF(NOT(ISNUMBER(B2729)),"DATA_PC invalida",IF(OR(C2729="",C2729="Fora dos ciclos"),"CICLO_PC nao identificado",IF(OR(D2729="",D2729=0),"VALOR_PC vazio ou zero",IF(AND(G2729&lt;&gt;"Sim",G2729&lt;&gt;"Nao",G2729&lt;&gt;""),"PC_PAGO_A_CONTRATADA invalido",IF(AND(C2729&lt;&gt;"C0",IFERROR(INDEX(parametros!$A$2:$A$6,MATCH(C2729,parametros!$B$2:$B$6,0)),"")="Sim",IFERROR(INDEX(parametros!$H$2:$H$6,MATCH(C2729,parametros!$B$2:$B$6,0)),"")=""),"INICIO_EFEITO ausente: PC "&amp;A2729&amp;" - "&amp;C2729,IF(L2729="","EFEITO_PC nao calculado: PC "&amp;A2729&amp;" - "&amp;C2729,"OK")))))))))</f>
        <v/>
      </c>
      <c r="L2729" s="92" t="str">
        <f>IF(AND(A2729="",B2729="",D2729="",G2729=""),"",IF(OR(B2729="",NOT(ISNUMBER(B2729)),C2729="",C2729="Fora dos ciclos"),"",IF(C2729="C0","Nao",IF(IFERROR(INDEX(parametros!$A$2:$A$6,MATCH(C2729,parametros!$B$2:$B$6,0)),"")&lt;&gt;"Sim","Nao",IF(IFERROR(INDEX(parametros!$H$2:$H$6,MATCH(C2729,parametros!$B$2:$B$6,0)),"")="","",IF(B2729&gt;=IFERROR(INDEX(parametros!$H$2:$H$6,MATCH(C2729,parametros!$B$2:$B$6,0)),""),"Sim","Nao"))))))</f>
        <v/>
      </c>
      <c r="T2729" s="156"/>
      <c r="U2729" s="214" t="str">
        <f t="shared" si="216"/>
        <v/>
      </c>
      <c r="V2729" s="212" t="s">
        <v>50</v>
      </c>
      <c r="W2729" s="100" t="s">
        <v>168</v>
      </c>
      <c r="X2729" s="100" t="s">
        <v>169</v>
      </c>
      <c r="Y2729" s="101" t="s">
        <v>170</v>
      </c>
      <c r="Z2729" s="101" t="s">
        <v>171</v>
      </c>
      <c r="AA2729" s="101" t="s">
        <v>50</v>
      </c>
      <c r="AB2729" s="101" t="s">
        <v>172</v>
      </c>
      <c r="AC2729" s="102" t="s">
        <v>173</v>
      </c>
    </row>
    <row r="2730" spans="1:29" ht="25.5" customHeight="1" x14ac:dyDescent="0.35">
      <c r="A2730" s="392"/>
      <c r="B2730" s="393"/>
      <c r="C2730" s="99" t="str">
        <f>IF(B2730="","",IF(NOT(ISNUMBER(B2730)),"DATA_PC invalida",IF(NOT(ISNUMBER(parametros!$C$2)),"Fora dos ciclos",IF(OR(B2730&lt;parametros!$C$2,(YEAR(B2730)-YEAR(parametros!$C$2))*12+MONTH(B2730)-MONTH(parametros!$C$2)&gt;59),"Fora dos ciclos","C"&amp;INT(((YEAR(B2730)-YEAR(parametros!$C$2))*12+MONTH(B2730)-MONTH(parametros!$C$2))/12)))))</f>
        <v/>
      </c>
      <c r="D2730" s="394"/>
      <c r="E2730" s="78" t="str">
        <f>IF(C2730="","",IFERROR(VLOOKUP(C2730,parametros!$A$11:$E$15,5,0),""))</f>
        <v/>
      </c>
      <c r="F2730" s="79" t="str">
        <f t="shared" si="212"/>
        <v/>
      </c>
      <c r="G2730" s="395"/>
      <c r="H2730" s="91">
        <f t="shared" si="213"/>
        <v>0</v>
      </c>
      <c r="I2730" s="91" t="str">
        <f t="shared" si="214"/>
        <v/>
      </c>
      <c r="J2730" s="91" t="str">
        <f t="shared" si="215"/>
        <v/>
      </c>
      <c r="K2730" s="92" t="str">
        <f>IF(AND(A2730="",B2730="",D2730="",G2730=""),"",IF(AND(A2730&lt;&gt;"",COUNTIF($A$2:$A$5001,A2730)&gt;1),"NUMERO_PC duplicado",IF(B2730="","DATA_PC vazia",IF(NOT(ISNUMBER(B2730)),"DATA_PC invalida",IF(OR(C2730="",C2730="Fora dos ciclos"),"CICLO_PC nao identificado",IF(OR(D2730="",D2730=0),"VALOR_PC vazio ou zero",IF(AND(G2730&lt;&gt;"Sim",G2730&lt;&gt;"Nao",G2730&lt;&gt;""),"PC_PAGO_A_CONTRATADA invalido",IF(AND(C2730&lt;&gt;"C0",IFERROR(INDEX(parametros!$A$2:$A$6,MATCH(C2730,parametros!$B$2:$B$6,0)),"")="Sim",IFERROR(INDEX(parametros!$H$2:$H$6,MATCH(C2730,parametros!$B$2:$B$6,0)),"")=""),"INICIO_EFEITO ausente: PC "&amp;A2730&amp;" - "&amp;C2730,IF(L2730="","EFEITO_PC nao calculado: PC "&amp;A2730&amp;" - "&amp;C2730,"OK")))))))))</f>
        <v/>
      </c>
      <c r="L2730" s="92" t="str">
        <f>IF(AND(A2730="",B2730="",D2730="",G2730=""),"",IF(OR(B2730="",NOT(ISNUMBER(B2730)),C2730="",C2730="Fora dos ciclos"),"",IF(C2730="C0","Nao",IF(IFERROR(INDEX(parametros!$A$2:$A$6,MATCH(C2730,parametros!$B$2:$B$6,0)),"")&lt;&gt;"Sim","Nao",IF(IFERROR(INDEX(parametros!$H$2:$H$6,MATCH(C2730,parametros!$B$2:$B$6,0)),"")="","",IF(B2730&gt;=IFERROR(INDEX(parametros!$H$2:$H$6,MATCH(C2730,parametros!$B$2:$B$6,0)),""),"Sim","Nao"))))))</f>
        <v/>
      </c>
      <c r="T2730" s="156"/>
      <c r="U2730" s="214" t="str">
        <f t="shared" si="216"/>
        <v/>
      </c>
      <c r="V2730" s="212" t="s">
        <v>50</v>
      </c>
      <c r="W2730" s="100" t="s">
        <v>168</v>
      </c>
      <c r="X2730" s="100" t="s">
        <v>169</v>
      </c>
      <c r="Y2730" s="101" t="s">
        <v>170</v>
      </c>
      <c r="Z2730" s="101" t="s">
        <v>171</v>
      </c>
      <c r="AA2730" s="101" t="s">
        <v>50</v>
      </c>
      <c r="AB2730" s="101" t="s">
        <v>172</v>
      </c>
      <c r="AC2730" s="102" t="s">
        <v>173</v>
      </c>
    </row>
    <row r="2731" spans="1:29" ht="25.5" customHeight="1" x14ac:dyDescent="0.35">
      <c r="A2731" s="392"/>
      <c r="B2731" s="393"/>
      <c r="C2731" s="99" t="str">
        <f>IF(B2731="","",IF(NOT(ISNUMBER(B2731)),"DATA_PC invalida",IF(NOT(ISNUMBER(parametros!$C$2)),"Fora dos ciclos",IF(OR(B2731&lt;parametros!$C$2,(YEAR(B2731)-YEAR(parametros!$C$2))*12+MONTH(B2731)-MONTH(parametros!$C$2)&gt;59),"Fora dos ciclos","C"&amp;INT(((YEAR(B2731)-YEAR(parametros!$C$2))*12+MONTH(B2731)-MONTH(parametros!$C$2))/12)))))</f>
        <v/>
      </c>
      <c r="D2731" s="394"/>
      <c r="E2731" s="78" t="str">
        <f>IF(C2731="","",IFERROR(VLOOKUP(C2731,parametros!$A$11:$E$15,5,0),""))</f>
        <v/>
      </c>
      <c r="F2731" s="79" t="str">
        <f t="shared" si="212"/>
        <v/>
      </c>
      <c r="G2731" s="395"/>
      <c r="H2731" s="91">
        <f t="shared" si="213"/>
        <v>0</v>
      </c>
      <c r="I2731" s="91" t="str">
        <f t="shared" si="214"/>
        <v/>
      </c>
      <c r="J2731" s="91" t="str">
        <f t="shared" si="215"/>
        <v/>
      </c>
      <c r="K2731" s="92" t="str">
        <f>IF(AND(A2731="",B2731="",D2731="",G2731=""),"",IF(AND(A2731&lt;&gt;"",COUNTIF($A$2:$A$5001,A2731)&gt;1),"NUMERO_PC duplicado",IF(B2731="","DATA_PC vazia",IF(NOT(ISNUMBER(B2731)),"DATA_PC invalida",IF(OR(C2731="",C2731="Fora dos ciclos"),"CICLO_PC nao identificado",IF(OR(D2731="",D2731=0),"VALOR_PC vazio ou zero",IF(AND(G2731&lt;&gt;"Sim",G2731&lt;&gt;"Nao",G2731&lt;&gt;""),"PC_PAGO_A_CONTRATADA invalido",IF(AND(C2731&lt;&gt;"C0",IFERROR(INDEX(parametros!$A$2:$A$6,MATCH(C2731,parametros!$B$2:$B$6,0)),"")="Sim",IFERROR(INDEX(parametros!$H$2:$H$6,MATCH(C2731,parametros!$B$2:$B$6,0)),"")=""),"INICIO_EFEITO ausente: PC "&amp;A2731&amp;" - "&amp;C2731,IF(L2731="","EFEITO_PC nao calculado: PC "&amp;A2731&amp;" - "&amp;C2731,"OK")))))))))</f>
        <v/>
      </c>
      <c r="L2731" s="92" t="str">
        <f>IF(AND(A2731="",B2731="",D2731="",G2731=""),"",IF(OR(B2731="",NOT(ISNUMBER(B2731)),C2731="",C2731="Fora dos ciclos"),"",IF(C2731="C0","Nao",IF(IFERROR(INDEX(parametros!$A$2:$A$6,MATCH(C2731,parametros!$B$2:$B$6,0)),"")&lt;&gt;"Sim","Nao",IF(IFERROR(INDEX(parametros!$H$2:$H$6,MATCH(C2731,parametros!$B$2:$B$6,0)),"")="","",IF(B2731&gt;=IFERROR(INDEX(parametros!$H$2:$H$6,MATCH(C2731,parametros!$B$2:$B$6,0)),""),"Sim","Nao"))))))</f>
        <v/>
      </c>
      <c r="T2731" s="156"/>
      <c r="U2731" s="214" t="str">
        <f t="shared" si="216"/>
        <v/>
      </c>
      <c r="V2731" s="212" t="s">
        <v>50</v>
      </c>
      <c r="W2731" s="100" t="s">
        <v>168</v>
      </c>
      <c r="X2731" s="100" t="s">
        <v>169</v>
      </c>
      <c r="Y2731" s="101" t="s">
        <v>170</v>
      </c>
      <c r="Z2731" s="101" t="s">
        <v>171</v>
      </c>
      <c r="AA2731" s="101" t="s">
        <v>50</v>
      </c>
      <c r="AB2731" s="101" t="s">
        <v>172</v>
      </c>
      <c r="AC2731" s="102" t="s">
        <v>173</v>
      </c>
    </row>
    <row r="2732" spans="1:29" ht="25.5" customHeight="1" x14ac:dyDescent="0.35">
      <c r="A2732" s="392"/>
      <c r="B2732" s="393"/>
      <c r="C2732" s="99" t="str">
        <f>IF(B2732="","",IF(NOT(ISNUMBER(B2732)),"DATA_PC invalida",IF(NOT(ISNUMBER(parametros!$C$2)),"Fora dos ciclos",IF(OR(B2732&lt;parametros!$C$2,(YEAR(B2732)-YEAR(parametros!$C$2))*12+MONTH(B2732)-MONTH(parametros!$C$2)&gt;59),"Fora dos ciclos","C"&amp;INT(((YEAR(B2732)-YEAR(parametros!$C$2))*12+MONTH(B2732)-MONTH(parametros!$C$2))/12)))))</f>
        <v/>
      </c>
      <c r="D2732" s="394"/>
      <c r="E2732" s="78" t="str">
        <f>IF(C2732="","",IFERROR(VLOOKUP(C2732,parametros!$A$11:$E$15,5,0),""))</f>
        <v/>
      </c>
      <c r="F2732" s="79" t="str">
        <f t="shared" si="212"/>
        <v/>
      </c>
      <c r="G2732" s="395"/>
      <c r="H2732" s="91">
        <f t="shared" si="213"/>
        <v>0</v>
      </c>
      <c r="I2732" s="91" t="str">
        <f t="shared" si="214"/>
        <v/>
      </c>
      <c r="J2732" s="91" t="str">
        <f t="shared" si="215"/>
        <v/>
      </c>
      <c r="K2732" s="92" t="str">
        <f>IF(AND(A2732="",B2732="",D2732="",G2732=""),"",IF(AND(A2732&lt;&gt;"",COUNTIF($A$2:$A$5001,A2732)&gt;1),"NUMERO_PC duplicado",IF(B2732="","DATA_PC vazia",IF(NOT(ISNUMBER(B2732)),"DATA_PC invalida",IF(OR(C2732="",C2732="Fora dos ciclos"),"CICLO_PC nao identificado",IF(OR(D2732="",D2732=0),"VALOR_PC vazio ou zero",IF(AND(G2732&lt;&gt;"Sim",G2732&lt;&gt;"Nao",G2732&lt;&gt;""),"PC_PAGO_A_CONTRATADA invalido",IF(AND(C2732&lt;&gt;"C0",IFERROR(INDEX(parametros!$A$2:$A$6,MATCH(C2732,parametros!$B$2:$B$6,0)),"")="Sim",IFERROR(INDEX(parametros!$H$2:$H$6,MATCH(C2732,parametros!$B$2:$B$6,0)),"")=""),"INICIO_EFEITO ausente: PC "&amp;A2732&amp;" - "&amp;C2732,IF(L2732="","EFEITO_PC nao calculado: PC "&amp;A2732&amp;" - "&amp;C2732,"OK")))))))))</f>
        <v/>
      </c>
      <c r="L2732" s="92" t="str">
        <f>IF(AND(A2732="",B2732="",D2732="",G2732=""),"",IF(OR(B2732="",NOT(ISNUMBER(B2732)),C2732="",C2732="Fora dos ciclos"),"",IF(C2732="C0","Nao",IF(IFERROR(INDEX(parametros!$A$2:$A$6,MATCH(C2732,parametros!$B$2:$B$6,0)),"")&lt;&gt;"Sim","Nao",IF(IFERROR(INDEX(parametros!$H$2:$H$6,MATCH(C2732,parametros!$B$2:$B$6,0)),"")="","",IF(B2732&gt;=IFERROR(INDEX(parametros!$H$2:$H$6,MATCH(C2732,parametros!$B$2:$B$6,0)),""),"Sim","Nao"))))))</f>
        <v/>
      </c>
      <c r="T2732" s="156"/>
      <c r="U2732" s="214" t="str">
        <f t="shared" si="216"/>
        <v/>
      </c>
      <c r="V2732" s="212" t="s">
        <v>50</v>
      </c>
      <c r="W2732" s="100" t="s">
        <v>168</v>
      </c>
      <c r="X2732" s="100" t="s">
        <v>169</v>
      </c>
      <c r="Y2732" s="101" t="s">
        <v>170</v>
      </c>
      <c r="Z2732" s="101" t="s">
        <v>171</v>
      </c>
      <c r="AA2732" s="101" t="s">
        <v>50</v>
      </c>
      <c r="AB2732" s="101" t="s">
        <v>172</v>
      </c>
      <c r="AC2732" s="102" t="s">
        <v>173</v>
      </c>
    </row>
    <row r="2733" spans="1:29" ht="25.5" customHeight="1" x14ac:dyDescent="0.35">
      <c r="A2733" s="392"/>
      <c r="B2733" s="393"/>
      <c r="C2733" s="99" t="str">
        <f>IF(B2733="","",IF(NOT(ISNUMBER(B2733)),"DATA_PC invalida",IF(NOT(ISNUMBER(parametros!$C$2)),"Fora dos ciclos",IF(OR(B2733&lt;parametros!$C$2,(YEAR(B2733)-YEAR(parametros!$C$2))*12+MONTH(B2733)-MONTH(parametros!$C$2)&gt;59),"Fora dos ciclos","C"&amp;INT(((YEAR(B2733)-YEAR(parametros!$C$2))*12+MONTH(B2733)-MONTH(parametros!$C$2))/12)))))</f>
        <v/>
      </c>
      <c r="D2733" s="394"/>
      <c r="E2733" s="78" t="str">
        <f>IF(C2733="","",IFERROR(VLOOKUP(C2733,parametros!$A$11:$E$15,5,0),""))</f>
        <v/>
      </c>
      <c r="F2733" s="79" t="str">
        <f t="shared" si="212"/>
        <v/>
      </c>
      <c r="G2733" s="395"/>
      <c r="H2733" s="91">
        <f t="shared" si="213"/>
        <v>0</v>
      </c>
      <c r="I2733" s="91" t="str">
        <f t="shared" si="214"/>
        <v/>
      </c>
      <c r="J2733" s="91" t="str">
        <f t="shared" si="215"/>
        <v/>
      </c>
      <c r="K2733" s="92" t="str">
        <f>IF(AND(A2733="",B2733="",D2733="",G2733=""),"",IF(AND(A2733&lt;&gt;"",COUNTIF($A$2:$A$5001,A2733)&gt;1),"NUMERO_PC duplicado",IF(B2733="","DATA_PC vazia",IF(NOT(ISNUMBER(B2733)),"DATA_PC invalida",IF(OR(C2733="",C2733="Fora dos ciclos"),"CICLO_PC nao identificado",IF(OR(D2733="",D2733=0),"VALOR_PC vazio ou zero",IF(AND(G2733&lt;&gt;"Sim",G2733&lt;&gt;"Nao",G2733&lt;&gt;""),"PC_PAGO_A_CONTRATADA invalido",IF(AND(C2733&lt;&gt;"C0",IFERROR(INDEX(parametros!$A$2:$A$6,MATCH(C2733,parametros!$B$2:$B$6,0)),"")="Sim",IFERROR(INDEX(parametros!$H$2:$H$6,MATCH(C2733,parametros!$B$2:$B$6,0)),"")=""),"INICIO_EFEITO ausente: PC "&amp;A2733&amp;" - "&amp;C2733,IF(L2733="","EFEITO_PC nao calculado: PC "&amp;A2733&amp;" - "&amp;C2733,"OK")))))))))</f>
        <v/>
      </c>
      <c r="L2733" s="92" t="str">
        <f>IF(AND(A2733="",B2733="",D2733="",G2733=""),"",IF(OR(B2733="",NOT(ISNUMBER(B2733)),C2733="",C2733="Fora dos ciclos"),"",IF(C2733="C0","Nao",IF(IFERROR(INDEX(parametros!$A$2:$A$6,MATCH(C2733,parametros!$B$2:$B$6,0)),"")&lt;&gt;"Sim","Nao",IF(IFERROR(INDEX(parametros!$H$2:$H$6,MATCH(C2733,parametros!$B$2:$B$6,0)),"")="","",IF(B2733&gt;=IFERROR(INDEX(parametros!$H$2:$H$6,MATCH(C2733,parametros!$B$2:$B$6,0)),""),"Sim","Nao"))))))</f>
        <v/>
      </c>
      <c r="T2733" s="156"/>
      <c r="U2733" s="214" t="str">
        <f t="shared" si="216"/>
        <v/>
      </c>
      <c r="V2733" s="212" t="s">
        <v>50</v>
      </c>
      <c r="W2733" s="100" t="s">
        <v>168</v>
      </c>
      <c r="X2733" s="100" t="s">
        <v>169</v>
      </c>
      <c r="Y2733" s="101" t="s">
        <v>170</v>
      </c>
      <c r="Z2733" s="101" t="s">
        <v>171</v>
      </c>
      <c r="AA2733" s="101" t="s">
        <v>50</v>
      </c>
      <c r="AB2733" s="101" t="s">
        <v>172</v>
      </c>
      <c r="AC2733" s="102" t="s">
        <v>173</v>
      </c>
    </row>
    <row r="2734" spans="1:29" ht="25.5" customHeight="1" x14ac:dyDescent="0.35">
      <c r="A2734" s="392"/>
      <c r="B2734" s="393"/>
      <c r="C2734" s="99" t="str">
        <f>IF(B2734="","",IF(NOT(ISNUMBER(B2734)),"DATA_PC invalida",IF(NOT(ISNUMBER(parametros!$C$2)),"Fora dos ciclos",IF(OR(B2734&lt;parametros!$C$2,(YEAR(B2734)-YEAR(parametros!$C$2))*12+MONTH(B2734)-MONTH(parametros!$C$2)&gt;59),"Fora dos ciclos","C"&amp;INT(((YEAR(B2734)-YEAR(parametros!$C$2))*12+MONTH(B2734)-MONTH(parametros!$C$2))/12)))))</f>
        <v/>
      </c>
      <c r="D2734" s="394"/>
      <c r="E2734" s="78" t="str">
        <f>IF(C2734="","",IFERROR(VLOOKUP(C2734,parametros!$A$11:$E$15,5,0),""))</f>
        <v/>
      </c>
      <c r="F2734" s="79" t="str">
        <f t="shared" si="212"/>
        <v/>
      </c>
      <c r="G2734" s="395"/>
      <c r="H2734" s="91">
        <f t="shared" si="213"/>
        <v>0</v>
      </c>
      <c r="I2734" s="91" t="str">
        <f t="shared" si="214"/>
        <v/>
      </c>
      <c r="J2734" s="91" t="str">
        <f t="shared" si="215"/>
        <v/>
      </c>
      <c r="K2734" s="92" t="str">
        <f>IF(AND(A2734="",B2734="",D2734="",G2734=""),"",IF(AND(A2734&lt;&gt;"",COUNTIF($A$2:$A$5001,A2734)&gt;1),"NUMERO_PC duplicado",IF(B2734="","DATA_PC vazia",IF(NOT(ISNUMBER(B2734)),"DATA_PC invalida",IF(OR(C2734="",C2734="Fora dos ciclos"),"CICLO_PC nao identificado",IF(OR(D2734="",D2734=0),"VALOR_PC vazio ou zero",IF(AND(G2734&lt;&gt;"Sim",G2734&lt;&gt;"Nao",G2734&lt;&gt;""),"PC_PAGO_A_CONTRATADA invalido",IF(AND(C2734&lt;&gt;"C0",IFERROR(INDEX(parametros!$A$2:$A$6,MATCH(C2734,parametros!$B$2:$B$6,0)),"")="Sim",IFERROR(INDEX(parametros!$H$2:$H$6,MATCH(C2734,parametros!$B$2:$B$6,0)),"")=""),"INICIO_EFEITO ausente: PC "&amp;A2734&amp;" - "&amp;C2734,IF(L2734="","EFEITO_PC nao calculado: PC "&amp;A2734&amp;" - "&amp;C2734,"OK")))))))))</f>
        <v/>
      </c>
      <c r="L2734" s="92" t="str">
        <f>IF(AND(A2734="",B2734="",D2734="",G2734=""),"",IF(OR(B2734="",NOT(ISNUMBER(B2734)),C2734="",C2734="Fora dos ciclos"),"",IF(C2734="C0","Nao",IF(IFERROR(INDEX(parametros!$A$2:$A$6,MATCH(C2734,parametros!$B$2:$B$6,0)),"")&lt;&gt;"Sim","Nao",IF(IFERROR(INDEX(parametros!$H$2:$H$6,MATCH(C2734,parametros!$B$2:$B$6,0)),"")="","",IF(B2734&gt;=IFERROR(INDEX(parametros!$H$2:$H$6,MATCH(C2734,parametros!$B$2:$B$6,0)),""),"Sim","Nao"))))))</f>
        <v/>
      </c>
      <c r="T2734" s="156"/>
      <c r="U2734" s="214" t="str">
        <f t="shared" si="216"/>
        <v/>
      </c>
      <c r="V2734" s="212" t="s">
        <v>50</v>
      </c>
      <c r="W2734" s="100" t="s">
        <v>168</v>
      </c>
      <c r="X2734" s="100" t="s">
        <v>169</v>
      </c>
      <c r="Y2734" s="101" t="s">
        <v>170</v>
      </c>
      <c r="Z2734" s="101" t="s">
        <v>171</v>
      </c>
      <c r="AA2734" s="101" t="s">
        <v>50</v>
      </c>
      <c r="AB2734" s="101" t="s">
        <v>172</v>
      </c>
      <c r="AC2734" s="102" t="s">
        <v>173</v>
      </c>
    </row>
    <row r="2735" spans="1:29" ht="25.5" customHeight="1" x14ac:dyDescent="0.35">
      <c r="A2735" s="392"/>
      <c r="B2735" s="393"/>
      <c r="C2735" s="99" t="str">
        <f>IF(B2735="","",IF(NOT(ISNUMBER(B2735)),"DATA_PC invalida",IF(NOT(ISNUMBER(parametros!$C$2)),"Fora dos ciclos",IF(OR(B2735&lt;parametros!$C$2,(YEAR(B2735)-YEAR(parametros!$C$2))*12+MONTH(B2735)-MONTH(parametros!$C$2)&gt;59),"Fora dos ciclos","C"&amp;INT(((YEAR(B2735)-YEAR(parametros!$C$2))*12+MONTH(B2735)-MONTH(parametros!$C$2))/12)))))</f>
        <v/>
      </c>
      <c r="D2735" s="394"/>
      <c r="E2735" s="78" t="str">
        <f>IF(C2735="","",IFERROR(VLOOKUP(C2735,parametros!$A$11:$E$15,5,0),""))</f>
        <v/>
      </c>
      <c r="F2735" s="79" t="str">
        <f t="shared" si="212"/>
        <v/>
      </c>
      <c r="G2735" s="395"/>
      <c r="H2735" s="91">
        <f t="shared" si="213"/>
        <v>0</v>
      </c>
      <c r="I2735" s="91" t="str">
        <f t="shared" si="214"/>
        <v/>
      </c>
      <c r="J2735" s="91" t="str">
        <f t="shared" si="215"/>
        <v/>
      </c>
      <c r="K2735" s="92" t="str">
        <f>IF(AND(A2735="",B2735="",D2735="",G2735=""),"",IF(AND(A2735&lt;&gt;"",COUNTIF($A$2:$A$5001,A2735)&gt;1),"NUMERO_PC duplicado",IF(B2735="","DATA_PC vazia",IF(NOT(ISNUMBER(B2735)),"DATA_PC invalida",IF(OR(C2735="",C2735="Fora dos ciclos"),"CICLO_PC nao identificado",IF(OR(D2735="",D2735=0),"VALOR_PC vazio ou zero",IF(AND(G2735&lt;&gt;"Sim",G2735&lt;&gt;"Nao",G2735&lt;&gt;""),"PC_PAGO_A_CONTRATADA invalido",IF(AND(C2735&lt;&gt;"C0",IFERROR(INDEX(parametros!$A$2:$A$6,MATCH(C2735,parametros!$B$2:$B$6,0)),"")="Sim",IFERROR(INDEX(parametros!$H$2:$H$6,MATCH(C2735,parametros!$B$2:$B$6,0)),"")=""),"INICIO_EFEITO ausente: PC "&amp;A2735&amp;" - "&amp;C2735,IF(L2735="","EFEITO_PC nao calculado: PC "&amp;A2735&amp;" - "&amp;C2735,"OK")))))))))</f>
        <v/>
      </c>
      <c r="L2735" s="92" t="str">
        <f>IF(AND(A2735="",B2735="",D2735="",G2735=""),"",IF(OR(B2735="",NOT(ISNUMBER(B2735)),C2735="",C2735="Fora dos ciclos"),"",IF(C2735="C0","Nao",IF(IFERROR(INDEX(parametros!$A$2:$A$6,MATCH(C2735,parametros!$B$2:$B$6,0)),"")&lt;&gt;"Sim","Nao",IF(IFERROR(INDEX(parametros!$H$2:$H$6,MATCH(C2735,parametros!$B$2:$B$6,0)),"")="","",IF(B2735&gt;=IFERROR(INDEX(parametros!$H$2:$H$6,MATCH(C2735,parametros!$B$2:$B$6,0)),""),"Sim","Nao"))))))</f>
        <v/>
      </c>
      <c r="T2735" s="156"/>
      <c r="U2735" s="214" t="str">
        <f t="shared" si="216"/>
        <v/>
      </c>
      <c r="V2735" s="212" t="s">
        <v>50</v>
      </c>
      <c r="W2735" s="100" t="s">
        <v>168</v>
      </c>
      <c r="X2735" s="100" t="s">
        <v>169</v>
      </c>
      <c r="Y2735" s="101" t="s">
        <v>170</v>
      </c>
      <c r="Z2735" s="101" t="s">
        <v>171</v>
      </c>
      <c r="AA2735" s="101" t="s">
        <v>50</v>
      </c>
      <c r="AB2735" s="101" t="s">
        <v>172</v>
      </c>
      <c r="AC2735" s="102" t="s">
        <v>173</v>
      </c>
    </row>
    <row r="2736" spans="1:29" ht="25.5" customHeight="1" x14ac:dyDescent="0.35">
      <c r="A2736" s="392"/>
      <c r="B2736" s="393"/>
      <c r="C2736" s="99" t="str">
        <f>IF(B2736="","",IF(NOT(ISNUMBER(B2736)),"DATA_PC invalida",IF(NOT(ISNUMBER(parametros!$C$2)),"Fora dos ciclos",IF(OR(B2736&lt;parametros!$C$2,(YEAR(B2736)-YEAR(parametros!$C$2))*12+MONTH(B2736)-MONTH(parametros!$C$2)&gt;59),"Fora dos ciclos","C"&amp;INT(((YEAR(B2736)-YEAR(parametros!$C$2))*12+MONTH(B2736)-MONTH(parametros!$C$2))/12)))))</f>
        <v/>
      </c>
      <c r="D2736" s="394"/>
      <c r="E2736" s="78" t="str">
        <f>IF(C2736="","",IFERROR(VLOOKUP(C2736,parametros!$A$11:$E$15,5,0),""))</f>
        <v/>
      </c>
      <c r="F2736" s="79" t="str">
        <f t="shared" si="212"/>
        <v/>
      </c>
      <c r="G2736" s="395"/>
      <c r="H2736" s="91">
        <f t="shared" si="213"/>
        <v>0</v>
      </c>
      <c r="I2736" s="91" t="str">
        <f t="shared" si="214"/>
        <v/>
      </c>
      <c r="J2736" s="91" t="str">
        <f t="shared" si="215"/>
        <v/>
      </c>
      <c r="K2736" s="92" t="str">
        <f>IF(AND(A2736="",B2736="",D2736="",G2736=""),"",IF(AND(A2736&lt;&gt;"",COUNTIF($A$2:$A$5001,A2736)&gt;1),"NUMERO_PC duplicado",IF(B2736="","DATA_PC vazia",IF(NOT(ISNUMBER(B2736)),"DATA_PC invalida",IF(OR(C2736="",C2736="Fora dos ciclos"),"CICLO_PC nao identificado",IF(OR(D2736="",D2736=0),"VALOR_PC vazio ou zero",IF(AND(G2736&lt;&gt;"Sim",G2736&lt;&gt;"Nao",G2736&lt;&gt;""),"PC_PAGO_A_CONTRATADA invalido",IF(AND(C2736&lt;&gt;"C0",IFERROR(INDEX(parametros!$A$2:$A$6,MATCH(C2736,parametros!$B$2:$B$6,0)),"")="Sim",IFERROR(INDEX(parametros!$H$2:$H$6,MATCH(C2736,parametros!$B$2:$B$6,0)),"")=""),"INICIO_EFEITO ausente: PC "&amp;A2736&amp;" - "&amp;C2736,IF(L2736="","EFEITO_PC nao calculado: PC "&amp;A2736&amp;" - "&amp;C2736,"OK")))))))))</f>
        <v/>
      </c>
      <c r="L2736" s="92" t="str">
        <f>IF(AND(A2736="",B2736="",D2736="",G2736=""),"",IF(OR(B2736="",NOT(ISNUMBER(B2736)),C2736="",C2736="Fora dos ciclos"),"",IF(C2736="C0","Nao",IF(IFERROR(INDEX(parametros!$A$2:$A$6,MATCH(C2736,parametros!$B$2:$B$6,0)),"")&lt;&gt;"Sim","Nao",IF(IFERROR(INDEX(parametros!$H$2:$H$6,MATCH(C2736,parametros!$B$2:$B$6,0)),"")="","",IF(B2736&gt;=IFERROR(INDEX(parametros!$H$2:$H$6,MATCH(C2736,parametros!$B$2:$B$6,0)),""),"Sim","Nao"))))))</f>
        <v/>
      </c>
      <c r="T2736" s="156"/>
      <c r="U2736" s="214" t="str">
        <f t="shared" si="216"/>
        <v/>
      </c>
      <c r="V2736" s="212" t="s">
        <v>50</v>
      </c>
      <c r="W2736" s="100" t="s">
        <v>168</v>
      </c>
      <c r="X2736" s="100" t="s">
        <v>169</v>
      </c>
      <c r="Y2736" s="101" t="s">
        <v>170</v>
      </c>
      <c r="Z2736" s="101" t="s">
        <v>171</v>
      </c>
      <c r="AA2736" s="101" t="s">
        <v>50</v>
      </c>
      <c r="AB2736" s="101" t="s">
        <v>172</v>
      </c>
      <c r="AC2736" s="102" t="s">
        <v>173</v>
      </c>
    </row>
    <row r="2737" spans="1:29" ht="25.5" customHeight="1" x14ac:dyDescent="0.35">
      <c r="A2737" s="392"/>
      <c r="B2737" s="393"/>
      <c r="C2737" s="99" t="str">
        <f>IF(B2737="","",IF(NOT(ISNUMBER(B2737)),"DATA_PC invalida",IF(NOT(ISNUMBER(parametros!$C$2)),"Fora dos ciclos",IF(OR(B2737&lt;parametros!$C$2,(YEAR(B2737)-YEAR(parametros!$C$2))*12+MONTH(B2737)-MONTH(parametros!$C$2)&gt;59),"Fora dos ciclos","C"&amp;INT(((YEAR(B2737)-YEAR(parametros!$C$2))*12+MONTH(B2737)-MONTH(parametros!$C$2))/12)))))</f>
        <v/>
      </c>
      <c r="D2737" s="394"/>
      <c r="E2737" s="78" t="str">
        <f>IF(C2737="","",IFERROR(VLOOKUP(C2737,parametros!$A$11:$E$15,5,0),""))</f>
        <v/>
      </c>
      <c r="F2737" s="79" t="str">
        <f t="shared" si="212"/>
        <v/>
      </c>
      <c r="G2737" s="395"/>
      <c r="H2737" s="91">
        <f t="shared" si="213"/>
        <v>0</v>
      </c>
      <c r="I2737" s="91" t="str">
        <f t="shared" si="214"/>
        <v/>
      </c>
      <c r="J2737" s="91" t="str">
        <f t="shared" si="215"/>
        <v/>
      </c>
      <c r="K2737" s="92" t="str">
        <f>IF(AND(A2737="",B2737="",D2737="",G2737=""),"",IF(AND(A2737&lt;&gt;"",COUNTIF($A$2:$A$5001,A2737)&gt;1),"NUMERO_PC duplicado",IF(B2737="","DATA_PC vazia",IF(NOT(ISNUMBER(B2737)),"DATA_PC invalida",IF(OR(C2737="",C2737="Fora dos ciclos"),"CICLO_PC nao identificado",IF(OR(D2737="",D2737=0),"VALOR_PC vazio ou zero",IF(AND(G2737&lt;&gt;"Sim",G2737&lt;&gt;"Nao",G2737&lt;&gt;""),"PC_PAGO_A_CONTRATADA invalido",IF(AND(C2737&lt;&gt;"C0",IFERROR(INDEX(parametros!$A$2:$A$6,MATCH(C2737,parametros!$B$2:$B$6,0)),"")="Sim",IFERROR(INDEX(parametros!$H$2:$H$6,MATCH(C2737,parametros!$B$2:$B$6,0)),"")=""),"INICIO_EFEITO ausente: PC "&amp;A2737&amp;" - "&amp;C2737,IF(L2737="","EFEITO_PC nao calculado: PC "&amp;A2737&amp;" - "&amp;C2737,"OK")))))))))</f>
        <v/>
      </c>
      <c r="L2737" s="92" t="str">
        <f>IF(AND(A2737="",B2737="",D2737="",G2737=""),"",IF(OR(B2737="",NOT(ISNUMBER(B2737)),C2737="",C2737="Fora dos ciclos"),"",IF(C2737="C0","Nao",IF(IFERROR(INDEX(parametros!$A$2:$A$6,MATCH(C2737,parametros!$B$2:$B$6,0)),"")&lt;&gt;"Sim","Nao",IF(IFERROR(INDEX(parametros!$H$2:$H$6,MATCH(C2737,parametros!$B$2:$B$6,0)),"")="","",IF(B2737&gt;=IFERROR(INDEX(parametros!$H$2:$H$6,MATCH(C2737,parametros!$B$2:$B$6,0)),""),"Sim","Nao"))))))</f>
        <v/>
      </c>
      <c r="T2737" s="156"/>
      <c r="U2737" s="214" t="str">
        <f t="shared" si="216"/>
        <v/>
      </c>
      <c r="V2737" s="212" t="s">
        <v>50</v>
      </c>
      <c r="W2737" s="100" t="s">
        <v>168</v>
      </c>
      <c r="X2737" s="100" t="s">
        <v>169</v>
      </c>
      <c r="Y2737" s="101" t="s">
        <v>170</v>
      </c>
      <c r="Z2737" s="101" t="s">
        <v>171</v>
      </c>
      <c r="AA2737" s="101" t="s">
        <v>50</v>
      </c>
      <c r="AB2737" s="101" t="s">
        <v>172</v>
      </c>
      <c r="AC2737" s="102" t="s">
        <v>173</v>
      </c>
    </row>
    <row r="2738" spans="1:29" ht="25.5" customHeight="1" x14ac:dyDescent="0.35">
      <c r="A2738" s="392"/>
      <c r="B2738" s="393"/>
      <c r="C2738" s="99" t="str">
        <f>IF(B2738="","",IF(NOT(ISNUMBER(B2738)),"DATA_PC invalida",IF(NOT(ISNUMBER(parametros!$C$2)),"Fora dos ciclos",IF(OR(B2738&lt;parametros!$C$2,(YEAR(B2738)-YEAR(parametros!$C$2))*12+MONTH(B2738)-MONTH(parametros!$C$2)&gt;59),"Fora dos ciclos","C"&amp;INT(((YEAR(B2738)-YEAR(parametros!$C$2))*12+MONTH(B2738)-MONTH(parametros!$C$2))/12)))))</f>
        <v/>
      </c>
      <c r="D2738" s="394"/>
      <c r="E2738" s="78" t="str">
        <f>IF(C2738="","",IFERROR(VLOOKUP(C2738,parametros!$A$11:$E$15,5,0),""))</f>
        <v/>
      </c>
      <c r="F2738" s="79" t="str">
        <f t="shared" si="212"/>
        <v/>
      </c>
      <c r="G2738" s="395"/>
      <c r="H2738" s="91">
        <f t="shared" si="213"/>
        <v>0</v>
      </c>
      <c r="I2738" s="91" t="str">
        <f t="shared" si="214"/>
        <v/>
      </c>
      <c r="J2738" s="91" t="str">
        <f t="shared" si="215"/>
        <v/>
      </c>
      <c r="K2738" s="92" t="str">
        <f>IF(AND(A2738="",B2738="",D2738="",G2738=""),"",IF(AND(A2738&lt;&gt;"",COUNTIF($A$2:$A$5001,A2738)&gt;1),"NUMERO_PC duplicado",IF(B2738="","DATA_PC vazia",IF(NOT(ISNUMBER(B2738)),"DATA_PC invalida",IF(OR(C2738="",C2738="Fora dos ciclos"),"CICLO_PC nao identificado",IF(OR(D2738="",D2738=0),"VALOR_PC vazio ou zero",IF(AND(G2738&lt;&gt;"Sim",G2738&lt;&gt;"Nao",G2738&lt;&gt;""),"PC_PAGO_A_CONTRATADA invalido",IF(AND(C2738&lt;&gt;"C0",IFERROR(INDEX(parametros!$A$2:$A$6,MATCH(C2738,parametros!$B$2:$B$6,0)),"")="Sim",IFERROR(INDEX(parametros!$H$2:$H$6,MATCH(C2738,parametros!$B$2:$B$6,0)),"")=""),"INICIO_EFEITO ausente: PC "&amp;A2738&amp;" - "&amp;C2738,IF(L2738="","EFEITO_PC nao calculado: PC "&amp;A2738&amp;" - "&amp;C2738,"OK")))))))))</f>
        <v/>
      </c>
      <c r="L2738" s="92" t="str">
        <f>IF(AND(A2738="",B2738="",D2738="",G2738=""),"",IF(OR(B2738="",NOT(ISNUMBER(B2738)),C2738="",C2738="Fora dos ciclos"),"",IF(C2738="C0","Nao",IF(IFERROR(INDEX(parametros!$A$2:$A$6,MATCH(C2738,parametros!$B$2:$B$6,0)),"")&lt;&gt;"Sim","Nao",IF(IFERROR(INDEX(parametros!$H$2:$H$6,MATCH(C2738,parametros!$B$2:$B$6,0)),"")="","",IF(B2738&gt;=IFERROR(INDEX(parametros!$H$2:$H$6,MATCH(C2738,parametros!$B$2:$B$6,0)),""),"Sim","Nao"))))))</f>
        <v/>
      </c>
      <c r="T2738" s="156"/>
      <c r="U2738" s="214" t="str">
        <f t="shared" si="216"/>
        <v/>
      </c>
      <c r="V2738" s="212" t="s">
        <v>50</v>
      </c>
      <c r="W2738" s="100" t="s">
        <v>168</v>
      </c>
      <c r="X2738" s="100" t="s">
        <v>169</v>
      </c>
      <c r="Y2738" s="101" t="s">
        <v>170</v>
      </c>
      <c r="Z2738" s="101" t="s">
        <v>171</v>
      </c>
      <c r="AA2738" s="101" t="s">
        <v>50</v>
      </c>
      <c r="AB2738" s="101" t="s">
        <v>172</v>
      </c>
      <c r="AC2738" s="102" t="s">
        <v>173</v>
      </c>
    </row>
    <row r="2739" spans="1:29" ht="25.5" customHeight="1" x14ac:dyDescent="0.35">
      <c r="A2739" s="392"/>
      <c r="B2739" s="393"/>
      <c r="C2739" s="99" t="str">
        <f>IF(B2739="","",IF(NOT(ISNUMBER(B2739)),"DATA_PC invalida",IF(NOT(ISNUMBER(parametros!$C$2)),"Fora dos ciclos",IF(OR(B2739&lt;parametros!$C$2,(YEAR(B2739)-YEAR(parametros!$C$2))*12+MONTH(B2739)-MONTH(parametros!$C$2)&gt;59),"Fora dos ciclos","C"&amp;INT(((YEAR(B2739)-YEAR(parametros!$C$2))*12+MONTH(B2739)-MONTH(parametros!$C$2))/12)))))</f>
        <v/>
      </c>
      <c r="D2739" s="394"/>
      <c r="E2739" s="78" t="str">
        <f>IF(C2739="","",IFERROR(VLOOKUP(C2739,parametros!$A$11:$E$15,5,0),""))</f>
        <v/>
      </c>
      <c r="F2739" s="79" t="str">
        <f t="shared" si="212"/>
        <v/>
      </c>
      <c r="G2739" s="395"/>
      <c r="H2739" s="91">
        <f t="shared" si="213"/>
        <v>0</v>
      </c>
      <c r="I2739" s="91" t="str">
        <f t="shared" si="214"/>
        <v/>
      </c>
      <c r="J2739" s="91" t="str">
        <f t="shared" si="215"/>
        <v/>
      </c>
      <c r="K2739" s="92" t="str">
        <f>IF(AND(A2739="",B2739="",D2739="",G2739=""),"",IF(AND(A2739&lt;&gt;"",COUNTIF($A$2:$A$5001,A2739)&gt;1),"NUMERO_PC duplicado",IF(B2739="","DATA_PC vazia",IF(NOT(ISNUMBER(B2739)),"DATA_PC invalida",IF(OR(C2739="",C2739="Fora dos ciclos"),"CICLO_PC nao identificado",IF(OR(D2739="",D2739=0),"VALOR_PC vazio ou zero",IF(AND(G2739&lt;&gt;"Sim",G2739&lt;&gt;"Nao",G2739&lt;&gt;""),"PC_PAGO_A_CONTRATADA invalido",IF(AND(C2739&lt;&gt;"C0",IFERROR(INDEX(parametros!$A$2:$A$6,MATCH(C2739,parametros!$B$2:$B$6,0)),"")="Sim",IFERROR(INDEX(parametros!$H$2:$H$6,MATCH(C2739,parametros!$B$2:$B$6,0)),"")=""),"INICIO_EFEITO ausente: PC "&amp;A2739&amp;" - "&amp;C2739,IF(L2739="","EFEITO_PC nao calculado: PC "&amp;A2739&amp;" - "&amp;C2739,"OK")))))))))</f>
        <v/>
      </c>
      <c r="L2739" s="92" t="str">
        <f>IF(AND(A2739="",B2739="",D2739="",G2739=""),"",IF(OR(B2739="",NOT(ISNUMBER(B2739)),C2739="",C2739="Fora dos ciclos"),"",IF(C2739="C0","Nao",IF(IFERROR(INDEX(parametros!$A$2:$A$6,MATCH(C2739,parametros!$B$2:$B$6,0)),"")&lt;&gt;"Sim","Nao",IF(IFERROR(INDEX(parametros!$H$2:$H$6,MATCH(C2739,parametros!$B$2:$B$6,0)),"")="","",IF(B2739&gt;=IFERROR(INDEX(parametros!$H$2:$H$6,MATCH(C2739,parametros!$B$2:$B$6,0)),""),"Sim","Nao"))))))</f>
        <v/>
      </c>
      <c r="T2739" s="156"/>
      <c r="U2739" s="214" t="str">
        <f t="shared" si="216"/>
        <v/>
      </c>
      <c r="V2739" s="212" t="s">
        <v>50</v>
      </c>
      <c r="W2739" s="100" t="s">
        <v>168</v>
      </c>
      <c r="X2739" s="100" t="s">
        <v>169</v>
      </c>
      <c r="Y2739" s="101" t="s">
        <v>170</v>
      </c>
      <c r="Z2739" s="101" t="s">
        <v>171</v>
      </c>
      <c r="AA2739" s="101" t="s">
        <v>50</v>
      </c>
      <c r="AB2739" s="101" t="s">
        <v>172</v>
      </c>
      <c r="AC2739" s="102" t="s">
        <v>173</v>
      </c>
    </row>
    <row r="2740" spans="1:29" ht="25.5" customHeight="1" x14ac:dyDescent="0.35">
      <c r="A2740" s="392"/>
      <c r="B2740" s="393"/>
      <c r="C2740" s="99" t="str">
        <f>IF(B2740="","",IF(NOT(ISNUMBER(B2740)),"DATA_PC invalida",IF(NOT(ISNUMBER(parametros!$C$2)),"Fora dos ciclos",IF(OR(B2740&lt;parametros!$C$2,(YEAR(B2740)-YEAR(parametros!$C$2))*12+MONTH(B2740)-MONTH(parametros!$C$2)&gt;59),"Fora dos ciclos","C"&amp;INT(((YEAR(B2740)-YEAR(parametros!$C$2))*12+MONTH(B2740)-MONTH(parametros!$C$2))/12)))))</f>
        <v/>
      </c>
      <c r="D2740" s="394"/>
      <c r="E2740" s="78" t="str">
        <f>IF(C2740="","",IFERROR(VLOOKUP(C2740,parametros!$A$11:$E$15,5,0),""))</f>
        <v/>
      </c>
      <c r="F2740" s="79" t="str">
        <f t="shared" si="212"/>
        <v/>
      </c>
      <c r="G2740" s="395"/>
      <c r="H2740" s="91">
        <f t="shared" si="213"/>
        <v>0</v>
      </c>
      <c r="I2740" s="91" t="str">
        <f t="shared" si="214"/>
        <v/>
      </c>
      <c r="J2740" s="91" t="str">
        <f t="shared" si="215"/>
        <v/>
      </c>
      <c r="K2740" s="92" t="str">
        <f>IF(AND(A2740="",B2740="",D2740="",G2740=""),"",IF(AND(A2740&lt;&gt;"",COUNTIF($A$2:$A$5001,A2740)&gt;1),"NUMERO_PC duplicado",IF(B2740="","DATA_PC vazia",IF(NOT(ISNUMBER(B2740)),"DATA_PC invalida",IF(OR(C2740="",C2740="Fora dos ciclos"),"CICLO_PC nao identificado",IF(OR(D2740="",D2740=0),"VALOR_PC vazio ou zero",IF(AND(G2740&lt;&gt;"Sim",G2740&lt;&gt;"Nao",G2740&lt;&gt;""),"PC_PAGO_A_CONTRATADA invalido",IF(AND(C2740&lt;&gt;"C0",IFERROR(INDEX(parametros!$A$2:$A$6,MATCH(C2740,parametros!$B$2:$B$6,0)),"")="Sim",IFERROR(INDEX(parametros!$H$2:$H$6,MATCH(C2740,parametros!$B$2:$B$6,0)),"")=""),"INICIO_EFEITO ausente: PC "&amp;A2740&amp;" - "&amp;C2740,IF(L2740="","EFEITO_PC nao calculado: PC "&amp;A2740&amp;" - "&amp;C2740,"OK")))))))))</f>
        <v/>
      </c>
      <c r="L2740" s="92" t="str">
        <f>IF(AND(A2740="",B2740="",D2740="",G2740=""),"",IF(OR(B2740="",NOT(ISNUMBER(B2740)),C2740="",C2740="Fora dos ciclos"),"",IF(C2740="C0","Nao",IF(IFERROR(INDEX(parametros!$A$2:$A$6,MATCH(C2740,parametros!$B$2:$B$6,0)),"")&lt;&gt;"Sim","Nao",IF(IFERROR(INDEX(parametros!$H$2:$H$6,MATCH(C2740,parametros!$B$2:$B$6,0)),"")="","",IF(B2740&gt;=IFERROR(INDEX(parametros!$H$2:$H$6,MATCH(C2740,parametros!$B$2:$B$6,0)),""),"Sim","Nao"))))))</f>
        <v/>
      </c>
      <c r="T2740" s="156"/>
      <c r="U2740" s="214" t="str">
        <f t="shared" si="216"/>
        <v/>
      </c>
      <c r="V2740" s="212" t="s">
        <v>50</v>
      </c>
      <c r="W2740" s="100" t="s">
        <v>168</v>
      </c>
      <c r="X2740" s="100" t="s">
        <v>169</v>
      </c>
      <c r="Y2740" s="101" t="s">
        <v>170</v>
      </c>
      <c r="Z2740" s="101" t="s">
        <v>171</v>
      </c>
      <c r="AA2740" s="101" t="s">
        <v>50</v>
      </c>
      <c r="AB2740" s="101" t="s">
        <v>172</v>
      </c>
      <c r="AC2740" s="102" t="s">
        <v>173</v>
      </c>
    </row>
    <row r="2741" spans="1:29" ht="25.5" customHeight="1" x14ac:dyDescent="0.35">
      <c r="A2741" s="392"/>
      <c r="B2741" s="393"/>
      <c r="C2741" s="99" t="str">
        <f>IF(B2741="","",IF(NOT(ISNUMBER(B2741)),"DATA_PC invalida",IF(NOT(ISNUMBER(parametros!$C$2)),"Fora dos ciclos",IF(OR(B2741&lt;parametros!$C$2,(YEAR(B2741)-YEAR(parametros!$C$2))*12+MONTH(B2741)-MONTH(parametros!$C$2)&gt;59),"Fora dos ciclos","C"&amp;INT(((YEAR(B2741)-YEAR(parametros!$C$2))*12+MONTH(B2741)-MONTH(parametros!$C$2))/12)))))</f>
        <v/>
      </c>
      <c r="D2741" s="394"/>
      <c r="E2741" s="78" t="str">
        <f>IF(C2741="","",IFERROR(VLOOKUP(C2741,parametros!$A$11:$E$15,5,0),""))</f>
        <v/>
      </c>
      <c r="F2741" s="79" t="str">
        <f t="shared" si="212"/>
        <v/>
      </c>
      <c r="G2741" s="395"/>
      <c r="H2741" s="91">
        <f t="shared" si="213"/>
        <v>0</v>
      </c>
      <c r="I2741" s="91" t="str">
        <f t="shared" si="214"/>
        <v/>
      </c>
      <c r="J2741" s="91" t="str">
        <f t="shared" si="215"/>
        <v/>
      </c>
      <c r="K2741" s="92" t="str">
        <f>IF(AND(A2741="",B2741="",D2741="",G2741=""),"",IF(AND(A2741&lt;&gt;"",COUNTIF($A$2:$A$5001,A2741)&gt;1),"NUMERO_PC duplicado",IF(B2741="","DATA_PC vazia",IF(NOT(ISNUMBER(B2741)),"DATA_PC invalida",IF(OR(C2741="",C2741="Fora dos ciclos"),"CICLO_PC nao identificado",IF(OR(D2741="",D2741=0),"VALOR_PC vazio ou zero",IF(AND(G2741&lt;&gt;"Sim",G2741&lt;&gt;"Nao",G2741&lt;&gt;""),"PC_PAGO_A_CONTRATADA invalido",IF(AND(C2741&lt;&gt;"C0",IFERROR(INDEX(parametros!$A$2:$A$6,MATCH(C2741,parametros!$B$2:$B$6,0)),"")="Sim",IFERROR(INDEX(parametros!$H$2:$H$6,MATCH(C2741,parametros!$B$2:$B$6,0)),"")=""),"INICIO_EFEITO ausente: PC "&amp;A2741&amp;" - "&amp;C2741,IF(L2741="","EFEITO_PC nao calculado: PC "&amp;A2741&amp;" - "&amp;C2741,"OK")))))))))</f>
        <v/>
      </c>
      <c r="L2741" s="92" t="str">
        <f>IF(AND(A2741="",B2741="",D2741="",G2741=""),"",IF(OR(B2741="",NOT(ISNUMBER(B2741)),C2741="",C2741="Fora dos ciclos"),"",IF(C2741="C0","Nao",IF(IFERROR(INDEX(parametros!$A$2:$A$6,MATCH(C2741,parametros!$B$2:$B$6,0)),"")&lt;&gt;"Sim","Nao",IF(IFERROR(INDEX(parametros!$H$2:$H$6,MATCH(C2741,parametros!$B$2:$B$6,0)),"")="","",IF(B2741&gt;=IFERROR(INDEX(parametros!$H$2:$H$6,MATCH(C2741,parametros!$B$2:$B$6,0)),""),"Sim","Nao"))))))</f>
        <v/>
      </c>
      <c r="T2741" s="156"/>
      <c r="U2741" s="214" t="str">
        <f t="shared" si="216"/>
        <v/>
      </c>
      <c r="V2741" s="212" t="s">
        <v>50</v>
      </c>
      <c r="W2741" s="100" t="s">
        <v>168</v>
      </c>
      <c r="X2741" s="100" t="s">
        <v>169</v>
      </c>
      <c r="Y2741" s="101" t="s">
        <v>170</v>
      </c>
      <c r="Z2741" s="101" t="s">
        <v>171</v>
      </c>
      <c r="AA2741" s="101" t="s">
        <v>50</v>
      </c>
      <c r="AB2741" s="101" t="s">
        <v>172</v>
      </c>
      <c r="AC2741" s="102" t="s">
        <v>173</v>
      </c>
    </row>
    <row r="2742" spans="1:29" ht="25.5" customHeight="1" x14ac:dyDescent="0.35">
      <c r="A2742" s="392"/>
      <c r="B2742" s="393"/>
      <c r="C2742" s="99" t="str">
        <f>IF(B2742="","",IF(NOT(ISNUMBER(B2742)),"DATA_PC invalida",IF(NOT(ISNUMBER(parametros!$C$2)),"Fora dos ciclos",IF(OR(B2742&lt;parametros!$C$2,(YEAR(B2742)-YEAR(parametros!$C$2))*12+MONTH(B2742)-MONTH(parametros!$C$2)&gt;59),"Fora dos ciclos","C"&amp;INT(((YEAR(B2742)-YEAR(parametros!$C$2))*12+MONTH(B2742)-MONTH(parametros!$C$2))/12)))))</f>
        <v/>
      </c>
      <c r="D2742" s="394"/>
      <c r="E2742" s="78" t="str">
        <f>IF(C2742="","",IFERROR(VLOOKUP(C2742,parametros!$A$11:$E$15,5,0),""))</f>
        <v/>
      </c>
      <c r="F2742" s="79" t="str">
        <f t="shared" si="212"/>
        <v/>
      </c>
      <c r="G2742" s="395"/>
      <c r="H2742" s="91">
        <f t="shared" si="213"/>
        <v>0</v>
      </c>
      <c r="I2742" s="91" t="str">
        <f t="shared" si="214"/>
        <v/>
      </c>
      <c r="J2742" s="91" t="str">
        <f t="shared" si="215"/>
        <v/>
      </c>
      <c r="K2742" s="92" t="str">
        <f>IF(AND(A2742="",B2742="",D2742="",G2742=""),"",IF(AND(A2742&lt;&gt;"",COUNTIF($A$2:$A$5001,A2742)&gt;1),"NUMERO_PC duplicado",IF(B2742="","DATA_PC vazia",IF(NOT(ISNUMBER(B2742)),"DATA_PC invalida",IF(OR(C2742="",C2742="Fora dos ciclos"),"CICLO_PC nao identificado",IF(OR(D2742="",D2742=0),"VALOR_PC vazio ou zero",IF(AND(G2742&lt;&gt;"Sim",G2742&lt;&gt;"Nao",G2742&lt;&gt;""),"PC_PAGO_A_CONTRATADA invalido",IF(AND(C2742&lt;&gt;"C0",IFERROR(INDEX(parametros!$A$2:$A$6,MATCH(C2742,parametros!$B$2:$B$6,0)),"")="Sim",IFERROR(INDEX(parametros!$H$2:$H$6,MATCH(C2742,parametros!$B$2:$B$6,0)),"")=""),"INICIO_EFEITO ausente: PC "&amp;A2742&amp;" - "&amp;C2742,IF(L2742="","EFEITO_PC nao calculado: PC "&amp;A2742&amp;" - "&amp;C2742,"OK")))))))))</f>
        <v/>
      </c>
      <c r="L2742" s="92" t="str">
        <f>IF(AND(A2742="",B2742="",D2742="",G2742=""),"",IF(OR(B2742="",NOT(ISNUMBER(B2742)),C2742="",C2742="Fora dos ciclos"),"",IF(C2742="C0","Nao",IF(IFERROR(INDEX(parametros!$A$2:$A$6,MATCH(C2742,parametros!$B$2:$B$6,0)),"")&lt;&gt;"Sim","Nao",IF(IFERROR(INDEX(parametros!$H$2:$H$6,MATCH(C2742,parametros!$B$2:$B$6,0)),"")="","",IF(B2742&gt;=IFERROR(INDEX(parametros!$H$2:$H$6,MATCH(C2742,parametros!$B$2:$B$6,0)),""),"Sim","Nao"))))))</f>
        <v/>
      </c>
      <c r="T2742" s="156"/>
      <c r="U2742" s="214" t="str">
        <f t="shared" si="216"/>
        <v/>
      </c>
      <c r="V2742" s="212" t="s">
        <v>50</v>
      </c>
      <c r="W2742" s="100" t="s">
        <v>168</v>
      </c>
      <c r="X2742" s="100" t="s">
        <v>169</v>
      </c>
      <c r="Y2742" s="101" t="s">
        <v>170</v>
      </c>
      <c r="Z2742" s="101" t="s">
        <v>171</v>
      </c>
      <c r="AA2742" s="101" t="s">
        <v>50</v>
      </c>
      <c r="AB2742" s="101" t="s">
        <v>172</v>
      </c>
      <c r="AC2742" s="102" t="s">
        <v>173</v>
      </c>
    </row>
    <row r="2743" spans="1:29" ht="25.5" customHeight="1" x14ac:dyDescent="0.35">
      <c r="A2743" s="392"/>
      <c r="B2743" s="393"/>
      <c r="C2743" s="99" t="str">
        <f>IF(B2743="","",IF(NOT(ISNUMBER(B2743)),"DATA_PC invalida",IF(NOT(ISNUMBER(parametros!$C$2)),"Fora dos ciclos",IF(OR(B2743&lt;parametros!$C$2,(YEAR(B2743)-YEAR(parametros!$C$2))*12+MONTH(B2743)-MONTH(parametros!$C$2)&gt;59),"Fora dos ciclos","C"&amp;INT(((YEAR(B2743)-YEAR(parametros!$C$2))*12+MONTH(B2743)-MONTH(parametros!$C$2))/12)))))</f>
        <v/>
      </c>
      <c r="D2743" s="394"/>
      <c r="E2743" s="78" t="str">
        <f>IF(C2743="","",IFERROR(VLOOKUP(C2743,parametros!$A$11:$E$15,5,0),""))</f>
        <v/>
      </c>
      <c r="F2743" s="79" t="str">
        <f t="shared" si="212"/>
        <v/>
      </c>
      <c r="G2743" s="395"/>
      <c r="H2743" s="91">
        <f t="shared" si="213"/>
        <v>0</v>
      </c>
      <c r="I2743" s="91" t="str">
        <f t="shared" si="214"/>
        <v/>
      </c>
      <c r="J2743" s="91" t="str">
        <f t="shared" si="215"/>
        <v/>
      </c>
      <c r="K2743" s="92" t="str">
        <f>IF(AND(A2743="",B2743="",D2743="",G2743=""),"",IF(AND(A2743&lt;&gt;"",COUNTIF($A$2:$A$5001,A2743)&gt;1),"NUMERO_PC duplicado",IF(B2743="","DATA_PC vazia",IF(NOT(ISNUMBER(B2743)),"DATA_PC invalida",IF(OR(C2743="",C2743="Fora dos ciclos"),"CICLO_PC nao identificado",IF(OR(D2743="",D2743=0),"VALOR_PC vazio ou zero",IF(AND(G2743&lt;&gt;"Sim",G2743&lt;&gt;"Nao",G2743&lt;&gt;""),"PC_PAGO_A_CONTRATADA invalido",IF(AND(C2743&lt;&gt;"C0",IFERROR(INDEX(parametros!$A$2:$A$6,MATCH(C2743,parametros!$B$2:$B$6,0)),"")="Sim",IFERROR(INDEX(parametros!$H$2:$H$6,MATCH(C2743,parametros!$B$2:$B$6,0)),"")=""),"INICIO_EFEITO ausente: PC "&amp;A2743&amp;" - "&amp;C2743,IF(L2743="","EFEITO_PC nao calculado: PC "&amp;A2743&amp;" - "&amp;C2743,"OK")))))))))</f>
        <v/>
      </c>
      <c r="L2743" s="92" t="str">
        <f>IF(AND(A2743="",B2743="",D2743="",G2743=""),"",IF(OR(B2743="",NOT(ISNUMBER(B2743)),C2743="",C2743="Fora dos ciclos"),"",IF(C2743="C0","Nao",IF(IFERROR(INDEX(parametros!$A$2:$A$6,MATCH(C2743,parametros!$B$2:$B$6,0)),"")&lt;&gt;"Sim","Nao",IF(IFERROR(INDEX(parametros!$H$2:$H$6,MATCH(C2743,parametros!$B$2:$B$6,0)),"")="","",IF(B2743&gt;=IFERROR(INDEX(parametros!$H$2:$H$6,MATCH(C2743,parametros!$B$2:$B$6,0)),""),"Sim","Nao"))))))</f>
        <v/>
      </c>
      <c r="T2743" s="156"/>
      <c r="U2743" s="214" t="str">
        <f t="shared" si="216"/>
        <v/>
      </c>
      <c r="V2743" s="212" t="s">
        <v>50</v>
      </c>
      <c r="W2743" s="100" t="s">
        <v>168</v>
      </c>
      <c r="X2743" s="100" t="s">
        <v>169</v>
      </c>
      <c r="Y2743" s="101" t="s">
        <v>170</v>
      </c>
      <c r="Z2743" s="101" t="s">
        <v>171</v>
      </c>
      <c r="AA2743" s="101" t="s">
        <v>50</v>
      </c>
      <c r="AB2743" s="101" t="s">
        <v>172</v>
      </c>
      <c r="AC2743" s="102" t="s">
        <v>173</v>
      </c>
    </row>
    <row r="2744" spans="1:29" ht="25.5" customHeight="1" x14ac:dyDescent="0.35">
      <c r="A2744" s="392"/>
      <c r="B2744" s="393"/>
      <c r="C2744" s="99" t="str">
        <f>IF(B2744="","",IF(NOT(ISNUMBER(B2744)),"DATA_PC invalida",IF(NOT(ISNUMBER(parametros!$C$2)),"Fora dos ciclos",IF(OR(B2744&lt;parametros!$C$2,(YEAR(B2744)-YEAR(parametros!$C$2))*12+MONTH(B2744)-MONTH(parametros!$C$2)&gt;59),"Fora dos ciclos","C"&amp;INT(((YEAR(B2744)-YEAR(parametros!$C$2))*12+MONTH(B2744)-MONTH(parametros!$C$2))/12)))))</f>
        <v/>
      </c>
      <c r="D2744" s="394"/>
      <c r="E2744" s="78" t="str">
        <f>IF(C2744="","",IFERROR(VLOOKUP(C2744,parametros!$A$11:$E$15,5,0),""))</f>
        <v/>
      </c>
      <c r="F2744" s="79" t="str">
        <f t="shared" si="212"/>
        <v/>
      </c>
      <c r="G2744" s="395"/>
      <c r="H2744" s="91">
        <f t="shared" si="213"/>
        <v>0</v>
      </c>
      <c r="I2744" s="91" t="str">
        <f t="shared" si="214"/>
        <v/>
      </c>
      <c r="J2744" s="91" t="str">
        <f t="shared" si="215"/>
        <v/>
      </c>
      <c r="K2744" s="92" t="str">
        <f>IF(AND(A2744="",B2744="",D2744="",G2744=""),"",IF(AND(A2744&lt;&gt;"",COUNTIF($A$2:$A$5001,A2744)&gt;1),"NUMERO_PC duplicado",IF(B2744="","DATA_PC vazia",IF(NOT(ISNUMBER(B2744)),"DATA_PC invalida",IF(OR(C2744="",C2744="Fora dos ciclos"),"CICLO_PC nao identificado",IF(OR(D2744="",D2744=0),"VALOR_PC vazio ou zero",IF(AND(G2744&lt;&gt;"Sim",G2744&lt;&gt;"Nao",G2744&lt;&gt;""),"PC_PAGO_A_CONTRATADA invalido",IF(AND(C2744&lt;&gt;"C0",IFERROR(INDEX(parametros!$A$2:$A$6,MATCH(C2744,parametros!$B$2:$B$6,0)),"")="Sim",IFERROR(INDEX(parametros!$H$2:$H$6,MATCH(C2744,parametros!$B$2:$B$6,0)),"")=""),"INICIO_EFEITO ausente: PC "&amp;A2744&amp;" - "&amp;C2744,IF(L2744="","EFEITO_PC nao calculado: PC "&amp;A2744&amp;" - "&amp;C2744,"OK")))))))))</f>
        <v/>
      </c>
      <c r="L2744" s="92" t="str">
        <f>IF(AND(A2744="",B2744="",D2744="",G2744=""),"",IF(OR(B2744="",NOT(ISNUMBER(B2744)),C2744="",C2744="Fora dos ciclos"),"",IF(C2744="C0","Nao",IF(IFERROR(INDEX(parametros!$A$2:$A$6,MATCH(C2744,parametros!$B$2:$B$6,0)),"")&lt;&gt;"Sim","Nao",IF(IFERROR(INDEX(parametros!$H$2:$H$6,MATCH(C2744,parametros!$B$2:$B$6,0)),"")="","",IF(B2744&gt;=IFERROR(INDEX(parametros!$H$2:$H$6,MATCH(C2744,parametros!$B$2:$B$6,0)),""),"Sim","Nao"))))))</f>
        <v/>
      </c>
      <c r="T2744" s="156"/>
      <c r="U2744" s="214" t="str">
        <f t="shared" si="216"/>
        <v/>
      </c>
      <c r="V2744" s="212" t="s">
        <v>50</v>
      </c>
      <c r="W2744" s="100" t="s">
        <v>168</v>
      </c>
      <c r="X2744" s="100" t="s">
        <v>169</v>
      </c>
      <c r="Y2744" s="101" t="s">
        <v>170</v>
      </c>
      <c r="Z2744" s="101" t="s">
        <v>171</v>
      </c>
      <c r="AA2744" s="101" t="s">
        <v>50</v>
      </c>
      <c r="AB2744" s="101" t="s">
        <v>172</v>
      </c>
      <c r="AC2744" s="102" t="s">
        <v>173</v>
      </c>
    </row>
    <row r="2745" spans="1:29" ht="25.5" customHeight="1" x14ac:dyDescent="0.35">
      <c r="A2745" s="392"/>
      <c r="B2745" s="393"/>
      <c r="C2745" s="99" t="str">
        <f>IF(B2745="","",IF(NOT(ISNUMBER(B2745)),"DATA_PC invalida",IF(NOT(ISNUMBER(parametros!$C$2)),"Fora dos ciclos",IF(OR(B2745&lt;parametros!$C$2,(YEAR(B2745)-YEAR(parametros!$C$2))*12+MONTH(B2745)-MONTH(parametros!$C$2)&gt;59),"Fora dos ciclos","C"&amp;INT(((YEAR(B2745)-YEAR(parametros!$C$2))*12+MONTH(B2745)-MONTH(parametros!$C$2))/12)))))</f>
        <v/>
      </c>
      <c r="D2745" s="394"/>
      <c r="E2745" s="78" t="str">
        <f>IF(C2745="","",IFERROR(VLOOKUP(C2745,parametros!$A$11:$E$15,5,0),""))</f>
        <v/>
      </c>
      <c r="F2745" s="79" t="str">
        <f t="shared" si="212"/>
        <v/>
      </c>
      <c r="G2745" s="395"/>
      <c r="H2745" s="91">
        <f t="shared" si="213"/>
        <v>0</v>
      </c>
      <c r="I2745" s="91" t="str">
        <f t="shared" si="214"/>
        <v/>
      </c>
      <c r="J2745" s="91" t="str">
        <f t="shared" si="215"/>
        <v/>
      </c>
      <c r="K2745" s="92" t="str">
        <f>IF(AND(A2745="",B2745="",D2745="",G2745=""),"",IF(AND(A2745&lt;&gt;"",COUNTIF($A$2:$A$5001,A2745)&gt;1),"NUMERO_PC duplicado",IF(B2745="","DATA_PC vazia",IF(NOT(ISNUMBER(B2745)),"DATA_PC invalida",IF(OR(C2745="",C2745="Fora dos ciclos"),"CICLO_PC nao identificado",IF(OR(D2745="",D2745=0),"VALOR_PC vazio ou zero",IF(AND(G2745&lt;&gt;"Sim",G2745&lt;&gt;"Nao",G2745&lt;&gt;""),"PC_PAGO_A_CONTRATADA invalido",IF(AND(C2745&lt;&gt;"C0",IFERROR(INDEX(parametros!$A$2:$A$6,MATCH(C2745,parametros!$B$2:$B$6,0)),"")="Sim",IFERROR(INDEX(parametros!$H$2:$H$6,MATCH(C2745,parametros!$B$2:$B$6,0)),"")=""),"INICIO_EFEITO ausente: PC "&amp;A2745&amp;" - "&amp;C2745,IF(L2745="","EFEITO_PC nao calculado: PC "&amp;A2745&amp;" - "&amp;C2745,"OK")))))))))</f>
        <v/>
      </c>
      <c r="L2745" s="92" t="str">
        <f>IF(AND(A2745="",B2745="",D2745="",G2745=""),"",IF(OR(B2745="",NOT(ISNUMBER(B2745)),C2745="",C2745="Fora dos ciclos"),"",IF(C2745="C0","Nao",IF(IFERROR(INDEX(parametros!$A$2:$A$6,MATCH(C2745,parametros!$B$2:$B$6,0)),"")&lt;&gt;"Sim","Nao",IF(IFERROR(INDEX(parametros!$H$2:$H$6,MATCH(C2745,parametros!$B$2:$B$6,0)),"")="","",IF(B2745&gt;=IFERROR(INDEX(parametros!$H$2:$H$6,MATCH(C2745,parametros!$B$2:$B$6,0)),""),"Sim","Nao"))))))</f>
        <v/>
      </c>
      <c r="T2745" s="156"/>
      <c r="U2745" s="214" t="str">
        <f t="shared" si="216"/>
        <v/>
      </c>
      <c r="V2745" s="212" t="s">
        <v>50</v>
      </c>
      <c r="W2745" s="100" t="s">
        <v>168</v>
      </c>
      <c r="X2745" s="100" t="s">
        <v>169</v>
      </c>
      <c r="Y2745" s="101" t="s">
        <v>170</v>
      </c>
      <c r="Z2745" s="101" t="s">
        <v>171</v>
      </c>
      <c r="AA2745" s="101" t="s">
        <v>50</v>
      </c>
      <c r="AB2745" s="101" t="s">
        <v>172</v>
      </c>
      <c r="AC2745" s="102" t="s">
        <v>173</v>
      </c>
    </row>
    <row r="2746" spans="1:29" ht="25.5" customHeight="1" x14ac:dyDescent="0.35">
      <c r="A2746" s="392"/>
      <c r="B2746" s="393"/>
      <c r="C2746" s="99" t="str">
        <f>IF(B2746="","",IF(NOT(ISNUMBER(B2746)),"DATA_PC invalida",IF(NOT(ISNUMBER(parametros!$C$2)),"Fora dos ciclos",IF(OR(B2746&lt;parametros!$C$2,(YEAR(B2746)-YEAR(parametros!$C$2))*12+MONTH(B2746)-MONTH(parametros!$C$2)&gt;59),"Fora dos ciclos","C"&amp;INT(((YEAR(B2746)-YEAR(parametros!$C$2))*12+MONTH(B2746)-MONTH(parametros!$C$2))/12)))))</f>
        <v/>
      </c>
      <c r="D2746" s="394"/>
      <c r="E2746" s="78" t="str">
        <f>IF(C2746="","",IFERROR(VLOOKUP(C2746,parametros!$A$11:$E$15,5,0),""))</f>
        <v/>
      </c>
      <c r="F2746" s="79" t="str">
        <f t="shared" si="212"/>
        <v/>
      </c>
      <c r="G2746" s="395"/>
      <c r="H2746" s="91">
        <f t="shared" si="213"/>
        <v>0</v>
      </c>
      <c r="I2746" s="91" t="str">
        <f t="shared" si="214"/>
        <v/>
      </c>
      <c r="J2746" s="91" t="str">
        <f t="shared" si="215"/>
        <v/>
      </c>
      <c r="K2746" s="92" t="str">
        <f>IF(AND(A2746="",B2746="",D2746="",G2746=""),"",IF(AND(A2746&lt;&gt;"",COUNTIF($A$2:$A$5001,A2746)&gt;1),"NUMERO_PC duplicado",IF(B2746="","DATA_PC vazia",IF(NOT(ISNUMBER(B2746)),"DATA_PC invalida",IF(OR(C2746="",C2746="Fora dos ciclos"),"CICLO_PC nao identificado",IF(OR(D2746="",D2746=0),"VALOR_PC vazio ou zero",IF(AND(G2746&lt;&gt;"Sim",G2746&lt;&gt;"Nao",G2746&lt;&gt;""),"PC_PAGO_A_CONTRATADA invalido",IF(AND(C2746&lt;&gt;"C0",IFERROR(INDEX(parametros!$A$2:$A$6,MATCH(C2746,parametros!$B$2:$B$6,0)),"")="Sim",IFERROR(INDEX(parametros!$H$2:$H$6,MATCH(C2746,parametros!$B$2:$B$6,0)),"")=""),"INICIO_EFEITO ausente: PC "&amp;A2746&amp;" - "&amp;C2746,IF(L2746="","EFEITO_PC nao calculado: PC "&amp;A2746&amp;" - "&amp;C2746,"OK")))))))))</f>
        <v/>
      </c>
      <c r="L2746" s="92" t="str">
        <f>IF(AND(A2746="",B2746="",D2746="",G2746=""),"",IF(OR(B2746="",NOT(ISNUMBER(B2746)),C2746="",C2746="Fora dos ciclos"),"",IF(C2746="C0","Nao",IF(IFERROR(INDEX(parametros!$A$2:$A$6,MATCH(C2746,parametros!$B$2:$B$6,0)),"")&lt;&gt;"Sim","Nao",IF(IFERROR(INDEX(parametros!$H$2:$H$6,MATCH(C2746,parametros!$B$2:$B$6,0)),"")="","",IF(B2746&gt;=IFERROR(INDEX(parametros!$H$2:$H$6,MATCH(C2746,parametros!$B$2:$B$6,0)),""),"Sim","Nao"))))))</f>
        <v/>
      </c>
      <c r="T2746" s="156"/>
      <c r="U2746" s="214" t="str">
        <f t="shared" si="216"/>
        <v/>
      </c>
      <c r="V2746" s="212" t="s">
        <v>50</v>
      </c>
      <c r="W2746" s="100" t="s">
        <v>168</v>
      </c>
      <c r="X2746" s="100" t="s">
        <v>169</v>
      </c>
      <c r="Y2746" s="101" t="s">
        <v>170</v>
      </c>
      <c r="Z2746" s="101" t="s">
        <v>171</v>
      </c>
      <c r="AA2746" s="101" t="s">
        <v>50</v>
      </c>
      <c r="AB2746" s="101" t="s">
        <v>172</v>
      </c>
      <c r="AC2746" s="102" t="s">
        <v>173</v>
      </c>
    </row>
    <row r="2747" spans="1:29" ht="25.5" customHeight="1" x14ac:dyDescent="0.35">
      <c r="A2747" s="392"/>
      <c r="B2747" s="393"/>
      <c r="C2747" s="99" t="str">
        <f>IF(B2747="","",IF(NOT(ISNUMBER(B2747)),"DATA_PC invalida",IF(NOT(ISNUMBER(parametros!$C$2)),"Fora dos ciclos",IF(OR(B2747&lt;parametros!$C$2,(YEAR(B2747)-YEAR(parametros!$C$2))*12+MONTH(B2747)-MONTH(parametros!$C$2)&gt;59),"Fora dos ciclos","C"&amp;INT(((YEAR(B2747)-YEAR(parametros!$C$2))*12+MONTH(B2747)-MONTH(parametros!$C$2))/12)))))</f>
        <v/>
      </c>
      <c r="D2747" s="394"/>
      <c r="E2747" s="78" t="str">
        <f>IF(C2747="","",IFERROR(VLOOKUP(C2747,parametros!$A$11:$E$15,5,0),""))</f>
        <v/>
      </c>
      <c r="F2747" s="79" t="str">
        <f t="shared" si="212"/>
        <v/>
      </c>
      <c r="G2747" s="395"/>
      <c r="H2747" s="91">
        <f t="shared" si="213"/>
        <v>0</v>
      </c>
      <c r="I2747" s="91" t="str">
        <f t="shared" si="214"/>
        <v/>
      </c>
      <c r="J2747" s="91" t="str">
        <f t="shared" si="215"/>
        <v/>
      </c>
      <c r="K2747" s="92" t="str">
        <f>IF(AND(A2747="",B2747="",D2747="",G2747=""),"",IF(AND(A2747&lt;&gt;"",COUNTIF($A$2:$A$5001,A2747)&gt;1),"NUMERO_PC duplicado",IF(B2747="","DATA_PC vazia",IF(NOT(ISNUMBER(B2747)),"DATA_PC invalida",IF(OR(C2747="",C2747="Fora dos ciclos"),"CICLO_PC nao identificado",IF(OR(D2747="",D2747=0),"VALOR_PC vazio ou zero",IF(AND(G2747&lt;&gt;"Sim",G2747&lt;&gt;"Nao",G2747&lt;&gt;""),"PC_PAGO_A_CONTRATADA invalido",IF(AND(C2747&lt;&gt;"C0",IFERROR(INDEX(parametros!$A$2:$A$6,MATCH(C2747,parametros!$B$2:$B$6,0)),"")="Sim",IFERROR(INDEX(parametros!$H$2:$H$6,MATCH(C2747,parametros!$B$2:$B$6,0)),"")=""),"INICIO_EFEITO ausente: PC "&amp;A2747&amp;" - "&amp;C2747,IF(L2747="","EFEITO_PC nao calculado: PC "&amp;A2747&amp;" - "&amp;C2747,"OK")))))))))</f>
        <v/>
      </c>
      <c r="L2747" s="92" t="str">
        <f>IF(AND(A2747="",B2747="",D2747="",G2747=""),"",IF(OR(B2747="",NOT(ISNUMBER(B2747)),C2747="",C2747="Fora dos ciclos"),"",IF(C2747="C0","Nao",IF(IFERROR(INDEX(parametros!$A$2:$A$6,MATCH(C2747,parametros!$B$2:$B$6,0)),"")&lt;&gt;"Sim","Nao",IF(IFERROR(INDEX(parametros!$H$2:$H$6,MATCH(C2747,parametros!$B$2:$B$6,0)),"")="","",IF(B2747&gt;=IFERROR(INDEX(parametros!$H$2:$H$6,MATCH(C2747,parametros!$B$2:$B$6,0)),""),"Sim","Nao"))))))</f>
        <v/>
      </c>
      <c r="T2747" s="156"/>
      <c r="U2747" s="214" t="str">
        <f t="shared" si="216"/>
        <v/>
      </c>
      <c r="V2747" s="212" t="s">
        <v>50</v>
      </c>
      <c r="W2747" s="100" t="s">
        <v>168</v>
      </c>
      <c r="X2747" s="100" t="s">
        <v>169</v>
      </c>
      <c r="Y2747" s="101" t="s">
        <v>170</v>
      </c>
      <c r="Z2747" s="101" t="s">
        <v>171</v>
      </c>
      <c r="AA2747" s="101" t="s">
        <v>50</v>
      </c>
      <c r="AB2747" s="101" t="s">
        <v>172</v>
      </c>
      <c r="AC2747" s="102" t="s">
        <v>173</v>
      </c>
    </row>
    <row r="2748" spans="1:29" ht="25.5" customHeight="1" x14ac:dyDescent="0.35">
      <c r="A2748" s="392"/>
      <c r="B2748" s="393"/>
      <c r="C2748" s="99" t="str">
        <f>IF(B2748="","",IF(NOT(ISNUMBER(B2748)),"DATA_PC invalida",IF(NOT(ISNUMBER(parametros!$C$2)),"Fora dos ciclos",IF(OR(B2748&lt;parametros!$C$2,(YEAR(B2748)-YEAR(parametros!$C$2))*12+MONTH(B2748)-MONTH(parametros!$C$2)&gt;59),"Fora dos ciclos","C"&amp;INT(((YEAR(B2748)-YEAR(parametros!$C$2))*12+MONTH(B2748)-MONTH(parametros!$C$2))/12)))))</f>
        <v/>
      </c>
      <c r="D2748" s="394"/>
      <c r="E2748" s="78" t="str">
        <f>IF(C2748="","",IFERROR(VLOOKUP(C2748,parametros!$A$11:$E$15,5,0),""))</f>
        <v/>
      </c>
      <c r="F2748" s="79" t="str">
        <f t="shared" si="212"/>
        <v/>
      </c>
      <c r="G2748" s="395"/>
      <c r="H2748" s="91">
        <f t="shared" si="213"/>
        <v>0</v>
      </c>
      <c r="I2748" s="91" t="str">
        <f t="shared" si="214"/>
        <v/>
      </c>
      <c r="J2748" s="91" t="str">
        <f t="shared" si="215"/>
        <v/>
      </c>
      <c r="K2748" s="92" t="str">
        <f>IF(AND(A2748="",B2748="",D2748="",G2748=""),"",IF(AND(A2748&lt;&gt;"",COUNTIF($A$2:$A$5001,A2748)&gt;1),"NUMERO_PC duplicado",IF(B2748="","DATA_PC vazia",IF(NOT(ISNUMBER(B2748)),"DATA_PC invalida",IF(OR(C2748="",C2748="Fora dos ciclos"),"CICLO_PC nao identificado",IF(OR(D2748="",D2748=0),"VALOR_PC vazio ou zero",IF(AND(G2748&lt;&gt;"Sim",G2748&lt;&gt;"Nao",G2748&lt;&gt;""),"PC_PAGO_A_CONTRATADA invalido",IF(AND(C2748&lt;&gt;"C0",IFERROR(INDEX(parametros!$A$2:$A$6,MATCH(C2748,parametros!$B$2:$B$6,0)),"")="Sim",IFERROR(INDEX(parametros!$H$2:$H$6,MATCH(C2748,parametros!$B$2:$B$6,0)),"")=""),"INICIO_EFEITO ausente: PC "&amp;A2748&amp;" - "&amp;C2748,IF(L2748="","EFEITO_PC nao calculado: PC "&amp;A2748&amp;" - "&amp;C2748,"OK")))))))))</f>
        <v/>
      </c>
      <c r="L2748" s="92" t="str">
        <f>IF(AND(A2748="",B2748="",D2748="",G2748=""),"",IF(OR(B2748="",NOT(ISNUMBER(B2748)),C2748="",C2748="Fora dos ciclos"),"",IF(C2748="C0","Nao",IF(IFERROR(INDEX(parametros!$A$2:$A$6,MATCH(C2748,parametros!$B$2:$B$6,0)),"")&lt;&gt;"Sim","Nao",IF(IFERROR(INDEX(parametros!$H$2:$H$6,MATCH(C2748,parametros!$B$2:$B$6,0)),"")="","",IF(B2748&gt;=IFERROR(INDEX(parametros!$H$2:$H$6,MATCH(C2748,parametros!$B$2:$B$6,0)),""),"Sim","Nao"))))))</f>
        <v/>
      </c>
      <c r="T2748" s="156"/>
      <c r="U2748" s="214" t="str">
        <f t="shared" si="216"/>
        <v/>
      </c>
      <c r="V2748" s="212" t="s">
        <v>50</v>
      </c>
      <c r="W2748" s="100" t="s">
        <v>168</v>
      </c>
      <c r="X2748" s="100" t="s">
        <v>169</v>
      </c>
      <c r="Y2748" s="101" t="s">
        <v>170</v>
      </c>
      <c r="Z2748" s="101" t="s">
        <v>171</v>
      </c>
      <c r="AA2748" s="101" t="s">
        <v>50</v>
      </c>
      <c r="AB2748" s="101" t="s">
        <v>172</v>
      </c>
      <c r="AC2748" s="102" t="s">
        <v>173</v>
      </c>
    </row>
    <row r="2749" spans="1:29" ht="25.5" customHeight="1" x14ac:dyDescent="0.35">
      <c r="A2749" s="392"/>
      <c r="B2749" s="393"/>
      <c r="C2749" s="99" t="str">
        <f>IF(B2749="","",IF(NOT(ISNUMBER(B2749)),"DATA_PC invalida",IF(NOT(ISNUMBER(parametros!$C$2)),"Fora dos ciclos",IF(OR(B2749&lt;parametros!$C$2,(YEAR(B2749)-YEAR(parametros!$C$2))*12+MONTH(B2749)-MONTH(parametros!$C$2)&gt;59),"Fora dos ciclos","C"&amp;INT(((YEAR(B2749)-YEAR(parametros!$C$2))*12+MONTH(B2749)-MONTH(parametros!$C$2))/12)))))</f>
        <v/>
      </c>
      <c r="D2749" s="394"/>
      <c r="E2749" s="78" t="str">
        <f>IF(C2749="","",IFERROR(VLOOKUP(C2749,parametros!$A$11:$E$15,5,0),""))</f>
        <v/>
      </c>
      <c r="F2749" s="79" t="str">
        <f t="shared" si="212"/>
        <v/>
      </c>
      <c r="G2749" s="395"/>
      <c r="H2749" s="91">
        <f t="shared" si="213"/>
        <v>0</v>
      </c>
      <c r="I2749" s="91" t="str">
        <f t="shared" si="214"/>
        <v/>
      </c>
      <c r="J2749" s="91" t="str">
        <f t="shared" si="215"/>
        <v/>
      </c>
      <c r="K2749" s="92" t="str">
        <f>IF(AND(A2749="",B2749="",D2749="",G2749=""),"",IF(AND(A2749&lt;&gt;"",COUNTIF($A$2:$A$5001,A2749)&gt;1),"NUMERO_PC duplicado",IF(B2749="","DATA_PC vazia",IF(NOT(ISNUMBER(B2749)),"DATA_PC invalida",IF(OR(C2749="",C2749="Fora dos ciclos"),"CICLO_PC nao identificado",IF(OR(D2749="",D2749=0),"VALOR_PC vazio ou zero",IF(AND(G2749&lt;&gt;"Sim",G2749&lt;&gt;"Nao",G2749&lt;&gt;""),"PC_PAGO_A_CONTRATADA invalido",IF(AND(C2749&lt;&gt;"C0",IFERROR(INDEX(parametros!$A$2:$A$6,MATCH(C2749,parametros!$B$2:$B$6,0)),"")="Sim",IFERROR(INDEX(parametros!$H$2:$H$6,MATCH(C2749,parametros!$B$2:$B$6,0)),"")=""),"INICIO_EFEITO ausente: PC "&amp;A2749&amp;" - "&amp;C2749,IF(L2749="","EFEITO_PC nao calculado: PC "&amp;A2749&amp;" - "&amp;C2749,"OK")))))))))</f>
        <v/>
      </c>
      <c r="L2749" s="92" t="str">
        <f>IF(AND(A2749="",B2749="",D2749="",G2749=""),"",IF(OR(B2749="",NOT(ISNUMBER(B2749)),C2749="",C2749="Fora dos ciclos"),"",IF(C2749="C0","Nao",IF(IFERROR(INDEX(parametros!$A$2:$A$6,MATCH(C2749,parametros!$B$2:$B$6,0)),"")&lt;&gt;"Sim","Nao",IF(IFERROR(INDEX(parametros!$H$2:$H$6,MATCH(C2749,parametros!$B$2:$B$6,0)),"")="","",IF(B2749&gt;=IFERROR(INDEX(parametros!$H$2:$H$6,MATCH(C2749,parametros!$B$2:$B$6,0)),""),"Sim","Nao"))))))</f>
        <v/>
      </c>
      <c r="T2749" s="156"/>
      <c r="U2749" s="214" t="str">
        <f t="shared" si="216"/>
        <v/>
      </c>
      <c r="V2749" s="212" t="s">
        <v>50</v>
      </c>
      <c r="W2749" s="100" t="s">
        <v>168</v>
      </c>
      <c r="X2749" s="100" t="s">
        <v>169</v>
      </c>
      <c r="Y2749" s="101" t="s">
        <v>170</v>
      </c>
      <c r="Z2749" s="101" t="s">
        <v>171</v>
      </c>
      <c r="AA2749" s="101" t="s">
        <v>50</v>
      </c>
      <c r="AB2749" s="101" t="s">
        <v>172</v>
      </c>
      <c r="AC2749" s="102" t="s">
        <v>173</v>
      </c>
    </row>
    <row r="2750" spans="1:29" ht="25.5" customHeight="1" x14ac:dyDescent="0.35">
      <c r="A2750" s="392"/>
      <c r="B2750" s="393"/>
      <c r="C2750" s="99" t="str">
        <f>IF(B2750="","",IF(NOT(ISNUMBER(B2750)),"DATA_PC invalida",IF(NOT(ISNUMBER(parametros!$C$2)),"Fora dos ciclos",IF(OR(B2750&lt;parametros!$C$2,(YEAR(B2750)-YEAR(parametros!$C$2))*12+MONTH(B2750)-MONTH(parametros!$C$2)&gt;59),"Fora dos ciclos","C"&amp;INT(((YEAR(B2750)-YEAR(parametros!$C$2))*12+MONTH(B2750)-MONTH(parametros!$C$2))/12)))))</f>
        <v/>
      </c>
      <c r="D2750" s="394"/>
      <c r="E2750" s="78" t="str">
        <f>IF(C2750="","",IFERROR(VLOOKUP(C2750,parametros!$A$11:$E$15,5,0),""))</f>
        <v/>
      </c>
      <c r="F2750" s="79" t="str">
        <f t="shared" si="212"/>
        <v/>
      </c>
      <c r="G2750" s="395"/>
      <c r="H2750" s="91">
        <f t="shared" si="213"/>
        <v>0</v>
      </c>
      <c r="I2750" s="91" t="str">
        <f t="shared" si="214"/>
        <v/>
      </c>
      <c r="J2750" s="91" t="str">
        <f t="shared" si="215"/>
        <v/>
      </c>
      <c r="K2750" s="92" t="str">
        <f>IF(AND(A2750="",B2750="",D2750="",G2750=""),"",IF(AND(A2750&lt;&gt;"",COUNTIF($A$2:$A$5001,A2750)&gt;1),"NUMERO_PC duplicado",IF(B2750="","DATA_PC vazia",IF(NOT(ISNUMBER(B2750)),"DATA_PC invalida",IF(OR(C2750="",C2750="Fora dos ciclos"),"CICLO_PC nao identificado",IF(OR(D2750="",D2750=0),"VALOR_PC vazio ou zero",IF(AND(G2750&lt;&gt;"Sim",G2750&lt;&gt;"Nao",G2750&lt;&gt;""),"PC_PAGO_A_CONTRATADA invalido",IF(AND(C2750&lt;&gt;"C0",IFERROR(INDEX(parametros!$A$2:$A$6,MATCH(C2750,parametros!$B$2:$B$6,0)),"")="Sim",IFERROR(INDEX(parametros!$H$2:$H$6,MATCH(C2750,parametros!$B$2:$B$6,0)),"")=""),"INICIO_EFEITO ausente: PC "&amp;A2750&amp;" - "&amp;C2750,IF(L2750="","EFEITO_PC nao calculado: PC "&amp;A2750&amp;" - "&amp;C2750,"OK")))))))))</f>
        <v/>
      </c>
      <c r="L2750" s="92" t="str">
        <f>IF(AND(A2750="",B2750="",D2750="",G2750=""),"",IF(OR(B2750="",NOT(ISNUMBER(B2750)),C2750="",C2750="Fora dos ciclos"),"",IF(C2750="C0","Nao",IF(IFERROR(INDEX(parametros!$A$2:$A$6,MATCH(C2750,parametros!$B$2:$B$6,0)),"")&lt;&gt;"Sim","Nao",IF(IFERROR(INDEX(parametros!$H$2:$H$6,MATCH(C2750,parametros!$B$2:$B$6,0)),"")="","",IF(B2750&gt;=IFERROR(INDEX(parametros!$H$2:$H$6,MATCH(C2750,parametros!$B$2:$B$6,0)),""),"Sim","Nao"))))))</f>
        <v/>
      </c>
      <c r="T2750" s="156"/>
      <c r="U2750" s="214" t="str">
        <f t="shared" si="216"/>
        <v/>
      </c>
      <c r="V2750" s="212" t="s">
        <v>50</v>
      </c>
      <c r="W2750" s="100" t="s">
        <v>168</v>
      </c>
      <c r="X2750" s="100" t="s">
        <v>169</v>
      </c>
      <c r="Y2750" s="101" t="s">
        <v>170</v>
      </c>
      <c r="Z2750" s="101" t="s">
        <v>171</v>
      </c>
      <c r="AA2750" s="101" t="s">
        <v>50</v>
      </c>
      <c r="AB2750" s="101" t="s">
        <v>172</v>
      </c>
      <c r="AC2750" s="102" t="s">
        <v>173</v>
      </c>
    </row>
    <row r="2751" spans="1:29" ht="25.5" customHeight="1" x14ac:dyDescent="0.35">
      <c r="A2751" s="392"/>
      <c r="B2751" s="393"/>
      <c r="C2751" s="99" t="str">
        <f>IF(B2751="","",IF(NOT(ISNUMBER(B2751)),"DATA_PC invalida",IF(NOT(ISNUMBER(parametros!$C$2)),"Fora dos ciclos",IF(OR(B2751&lt;parametros!$C$2,(YEAR(B2751)-YEAR(parametros!$C$2))*12+MONTH(B2751)-MONTH(parametros!$C$2)&gt;59),"Fora dos ciclos","C"&amp;INT(((YEAR(B2751)-YEAR(parametros!$C$2))*12+MONTH(B2751)-MONTH(parametros!$C$2))/12)))))</f>
        <v/>
      </c>
      <c r="D2751" s="394"/>
      <c r="E2751" s="78" t="str">
        <f>IF(C2751="","",IFERROR(VLOOKUP(C2751,parametros!$A$11:$E$15,5,0),""))</f>
        <v/>
      </c>
      <c r="F2751" s="79" t="str">
        <f t="shared" si="212"/>
        <v/>
      </c>
      <c r="G2751" s="395"/>
      <c r="H2751" s="91">
        <f t="shared" si="213"/>
        <v>0</v>
      </c>
      <c r="I2751" s="91" t="str">
        <f t="shared" si="214"/>
        <v/>
      </c>
      <c r="J2751" s="91" t="str">
        <f t="shared" si="215"/>
        <v/>
      </c>
      <c r="K2751" s="92" t="str">
        <f>IF(AND(A2751="",B2751="",D2751="",G2751=""),"",IF(AND(A2751&lt;&gt;"",COUNTIF($A$2:$A$5001,A2751)&gt;1),"NUMERO_PC duplicado",IF(B2751="","DATA_PC vazia",IF(NOT(ISNUMBER(B2751)),"DATA_PC invalida",IF(OR(C2751="",C2751="Fora dos ciclos"),"CICLO_PC nao identificado",IF(OR(D2751="",D2751=0),"VALOR_PC vazio ou zero",IF(AND(G2751&lt;&gt;"Sim",G2751&lt;&gt;"Nao",G2751&lt;&gt;""),"PC_PAGO_A_CONTRATADA invalido",IF(AND(C2751&lt;&gt;"C0",IFERROR(INDEX(parametros!$A$2:$A$6,MATCH(C2751,parametros!$B$2:$B$6,0)),"")="Sim",IFERROR(INDEX(parametros!$H$2:$H$6,MATCH(C2751,parametros!$B$2:$B$6,0)),"")=""),"INICIO_EFEITO ausente: PC "&amp;A2751&amp;" - "&amp;C2751,IF(L2751="","EFEITO_PC nao calculado: PC "&amp;A2751&amp;" - "&amp;C2751,"OK")))))))))</f>
        <v/>
      </c>
      <c r="L2751" s="92" t="str">
        <f>IF(AND(A2751="",B2751="",D2751="",G2751=""),"",IF(OR(B2751="",NOT(ISNUMBER(B2751)),C2751="",C2751="Fora dos ciclos"),"",IF(C2751="C0","Nao",IF(IFERROR(INDEX(parametros!$A$2:$A$6,MATCH(C2751,parametros!$B$2:$B$6,0)),"")&lt;&gt;"Sim","Nao",IF(IFERROR(INDEX(parametros!$H$2:$H$6,MATCH(C2751,parametros!$B$2:$B$6,0)),"")="","",IF(B2751&gt;=IFERROR(INDEX(parametros!$H$2:$H$6,MATCH(C2751,parametros!$B$2:$B$6,0)),""),"Sim","Nao"))))))</f>
        <v/>
      </c>
      <c r="T2751" s="156"/>
      <c r="U2751" s="214" t="str">
        <f t="shared" si="216"/>
        <v/>
      </c>
      <c r="V2751" s="212" t="s">
        <v>50</v>
      </c>
      <c r="W2751" s="100" t="s">
        <v>168</v>
      </c>
      <c r="X2751" s="100" t="s">
        <v>169</v>
      </c>
      <c r="Y2751" s="101" t="s">
        <v>170</v>
      </c>
      <c r="Z2751" s="101" t="s">
        <v>171</v>
      </c>
      <c r="AA2751" s="101" t="s">
        <v>50</v>
      </c>
      <c r="AB2751" s="101" t="s">
        <v>172</v>
      </c>
      <c r="AC2751" s="102" t="s">
        <v>173</v>
      </c>
    </row>
    <row r="2752" spans="1:29" ht="25.5" customHeight="1" x14ac:dyDescent="0.35">
      <c r="A2752" s="392"/>
      <c r="B2752" s="393"/>
      <c r="C2752" s="99" t="str">
        <f>IF(B2752="","",IF(NOT(ISNUMBER(B2752)),"DATA_PC invalida",IF(NOT(ISNUMBER(parametros!$C$2)),"Fora dos ciclos",IF(OR(B2752&lt;parametros!$C$2,(YEAR(B2752)-YEAR(parametros!$C$2))*12+MONTH(B2752)-MONTH(parametros!$C$2)&gt;59),"Fora dos ciclos","C"&amp;INT(((YEAR(B2752)-YEAR(parametros!$C$2))*12+MONTH(B2752)-MONTH(parametros!$C$2))/12)))))</f>
        <v/>
      </c>
      <c r="D2752" s="394"/>
      <c r="E2752" s="78" t="str">
        <f>IF(C2752="","",IFERROR(VLOOKUP(C2752,parametros!$A$11:$E$15,5,0),""))</f>
        <v/>
      </c>
      <c r="F2752" s="79" t="str">
        <f t="shared" si="212"/>
        <v/>
      </c>
      <c r="G2752" s="395"/>
      <c r="H2752" s="91">
        <f t="shared" si="213"/>
        <v>0</v>
      </c>
      <c r="I2752" s="91" t="str">
        <f t="shared" si="214"/>
        <v/>
      </c>
      <c r="J2752" s="91" t="str">
        <f t="shared" si="215"/>
        <v/>
      </c>
      <c r="K2752" s="92" t="str">
        <f>IF(AND(A2752="",B2752="",D2752="",G2752=""),"",IF(AND(A2752&lt;&gt;"",COUNTIF($A$2:$A$5001,A2752)&gt;1),"NUMERO_PC duplicado",IF(B2752="","DATA_PC vazia",IF(NOT(ISNUMBER(B2752)),"DATA_PC invalida",IF(OR(C2752="",C2752="Fora dos ciclos"),"CICLO_PC nao identificado",IF(OR(D2752="",D2752=0),"VALOR_PC vazio ou zero",IF(AND(G2752&lt;&gt;"Sim",G2752&lt;&gt;"Nao",G2752&lt;&gt;""),"PC_PAGO_A_CONTRATADA invalido",IF(AND(C2752&lt;&gt;"C0",IFERROR(INDEX(parametros!$A$2:$A$6,MATCH(C2752,parametros!$B$2:$B$6,0)),"")="Sim",IFERROR(INDEX(parametros!$H$2:$H$6,MATCH(C2752,parametros!$B$2:$B$6,0)),"")=""),"INICIO_EFEITO ausente: PC "&amp;A2752&amp;" - "&amp;C2752,IF(L2752="","EFEITO_PC nao calculado: PC "&amp;A2752&amp;" - "&amp;C2752,"OK")))))))))</f>
        <v/>
      </c>
      <c r="L2752" s="92" t="str">
        <f>IF(AND(A2752="",B2752="",D2752="",G2752=""),"",IF(OR(B2752="",NOT(ISNUMBER(B2752)),C2752="",C2752="Fora dos ciclos"),"",IF(C2752="C0","Nao",IF(IFERROR(INDEX(parametros!$A$2:$A$6,MATCH(C2752,parametros!$B$2:$B$6,0)),"")&lt;&gt;"Sim","Nao",IF(IFERROR(INDEX(parametros!$H$2:$H$6,MATCH(C2752,parametros!$B$2:$B$6,0)),"")="","",IF(B2752&gt;=IFERROR(INDEX(parametros!$H$2:$H$6,MATCH(C2752,parametros!$B$2:$B$6,0)),""),"Sim","Nao"))))))</f>
        <v/>
      </c>
      <c r="T2752" s="156"/>
      <c r="U2752" s="214" t="str">
        <f t="shared" si="216"/>
        <v/>
      </c>
      <c r="V2752" s="212" t="s">
        <v>50</v>
      </c>
      <c r="W2752" s="100" t="s">
        <v>168</v>
      </c>
      <c r="X2752" s="100" t="s">
        <v>169</v>
      </c>
      <c r="Y2752" s="101" t="s">
        <v>170</v>
      </c>
      <c r="Z2752" s="101" t="s">
        <v>171</v>
      </c>
      <c r="AA2752" s="101" t="s">
        <v>50</v>
      </c>
      <c r="AB2752" s="101" t="s">
        <v>172</v>
      </c>
      <c r="AC2752" s="102" t="s">
        <v>173</v>
      </c>
    </row>
    <row r="2753" spans="1:29" ht="25.5" customHeight="1" x14ac:dyDescent="0.35">
      <c r="A2753" s="392"/>
      <c r="B2753" s="393"/>
      <c r="C2753" s="99" t="str">
        <f>IF(B2753="","",IF(NOT(ISNUMBER(B2753)),"DATA_PC invalida",IF(NOT(ISNUMBER(parametros!$C$2)),"Fora dos ciclos",IF(OR(B2753&lt;parametros!$C$2,(YEAR(B2753)-YEAR(parametros!$C$2))*12+MONTH(B2753)-MONTH(parametros!$C$2)&gt;59),"Fora dos ciclos","C"&amp;INT(((YEAR(B2753)-YEAR(parametros!$C$2))*12+MONTH(B2753)-MONTH(parametros!$C$2))/12)))))</f>
        <v/>
      </c>
      <c r="D2753" s="394"/>
      <c r="E2753" s="78" t="str">
        <f>IF(C2753="","",IFERROR(VLOOKUP(C2753,parametros!$A$11:$E$15,5,0),""))</f>
        <v/>
      </c>
      <c r="F2753" s="79" t="str">
        <f t="shared" si="212"/>
        <v/>
      </c>
      <c r="G2753" s="395"/>
      <c r="H2753" s="91">
        <f t="shared" si="213"/>
        <v>0</v>
      </c>
      <c r="I2753" s="91" t="str">
        <f t="shared" si="214"/>
        <v/>
      </c>
      <c r="J2753" s="91" t="str">
        <f t="shared" si="215"/>
        <v/>
      </c>
      <c r="K2753" s="92" t="str">
        <f>IF(AND(A2753="",B2753="",D2753="",G2753=""),"",IF(AND(A2753&lt;&gt;"",COUNTIF($A$2:$A$5001,A2753)&gt;1),"NUMERO_PC duplicado",IF(B2753="","DATA_PC vazia",IF(NOT(ISNUMBER(B2753)),"DATA_PC invalida",IF(OR(C2753="",C2753="Fora dos ciclos"),"CICLO_PC nao identificado",IF(OR(D2753="",D2753=0),"VALOR_PC vazio ou zero",IF(AND(G2753&lt;&gt;"Sim",G2753&lt;&gt;"Nao",G2753&lt;&gt;""),"PC_PAGO_A_CONTRATADA invalido",IF(AND(C2753&lt;&gt;"C0",IFERROR(INDEX(parametros!$A$2:$A$6,MATCH(C2753,parametros!$B$2:$B$6,0)),"")="Sim",IFERROR(INDEX(parametros!$H$2:$H$6,MATCH(C2753,parametros!$B$2:$B$6,0)),"")=""),"INICIO_EFEITO ausente: PC "&amp;A2753&amp;" - "&amp;C2753,IF(L2753="","EFEITO_PC nao calculado: PC "&amp;A2753&amp;" - "&amp;C2753,"OK")))))))))</f>
        <v/>
      </c>
      <c r="L2753" s="92" t="str">
        <f>IF(AND(A2753="",B2753="",D2753="",G2753=""),"",IF(OR(B2753="",NOT(ISNUMBER(B2753)),C2753="",C2753="Fora dos ciclos"),"",IF(C2753="C0","Nao",IF(IFERROR(INDEX(parametros!$A$2:$A$6,MATCH(C2753,parametros!$B$2:$B$6,0)),"")&lt;&gt;"Sim","Nao",IF(IFERROR(INDEX(parametros!$H$2:$H$6,MATCH(C2753,parametros!$B$2:$B$6,0)),"")="","",IF(B2753&gt;=IFERROR(INDEX(parametros!$H$2:$H$6,MATCH(C2753,parametros!$B$2:$B$6,0)),""),"Sim","Nao"))))))</f>
        <v/>
      </c>
      <c r="T2753" s="156"/>
      <c r="U2753" s="214" t="str">
        <f t="shared" si="216"/>
        <v/>
      </c>
      <c r="V2753" s="212" t="s">
        <v>50</v>
      </c>
      <c r="W2753" s="100" t="s">
        <v>168</v>
      </c>
      <c r="X2753" s="100" t="s">
        <v>169</v>
      </c>
      <c r="Y2753" s="101" t="s">
        <v>170</v>
      </c>
      <c r="Z2753" s="101" t="s">
        <v>171</v>
      </c>
      <c r="AA2753" s="101" t="s">
        <v>50</v>
      </c>
      <c r="AB2753" s="101" t="s">
        <v>172</v>
      </c>
      <c r="AC2753" s="102" t="s">
        <v>173</v>
      </c>
    </row>
    <row r="2754" spans="1:29" ht="25.5" customHeight="1" x14ac:dyDescent="0.35">
      <c r="A2754" s="392"/>
      <c r="B2754" s="393"/>
      <c r="C2754" s="99" t="str">
        <f>IF(B2754="","",IF(NOT(ISNUMBER(B2754)),"DATA_PC invalida",IF(NOT(ISNUMBER(parametros!$C$2)),"Fora dos ciclos",IF(OR(B2754&lt;parametros!$C$2,(YEAR(B2754)-YEAR(parametros!$C$2))*12+MONTH(B2754)-MONTH(parametros!$C$2)&gt;59),"Fora dos ciclos","C"&amp;INT(((YEAR(B2754)-YEAR(parametros!$C$2))*12+MONTH(B2754)-MONTH(parametros!$C$2))/12)))))</f>
        <v/>
      </c>
      <c r="D2754" s="394"/>
      <c r="E2754" s="78" t="str">
        <f>IF(C2754="","",IFERROR(VLOOKUP(C2754,parametros!$A$11:$E$15,5,0),""))</f>
        <v/>
      </c>
      <c r="F2754" s="79" t="str">
        <f t="shared" ref="F2754:F2817" si="217">IF(OR(D2754="",E2754=""),"",ROUND(D2754*E2754,2))</f>
        <v/>
      </c>
      <c r="G2754" s="395"/>
      <c r="H2754" s="91">
        <f t="shared" ref="H2754:H2817" si="218">IF(G2754="Sim",IF(OR(F2754="",D2754="",L2754=""),"",IF(L2754="Sim",ROUND(F2754-D2754,2),0)),0)</f>
        <v>0</v>
      </c>
      <c r="I2754" s="91" t="str">
        <f t="shared" ref="I2754:I2817" si="219">IF(G2754="Sim",0,IF(OR(F2754="",L2754=""),"",F2754))</f>
        <v/>
      </c>
      <c r="J2754" s="91" t="str">
        <f t="shared" ref="J2754:J2817" si="220">IF(G2754="Sim",0,IF(OR(F2754="",D2754="",L2754=""),"",IF(L2754="Sim",ROUND(F2754-D2754,2),0)))</f>
        <v/>
      </c>
      <c r="K2754" s="92" t="str">
        <f>IF(AND(A2754="",B2754="",D2754="",G2754=""),"",IF(AND(A2754&lt;&gt;"",COUNTIF($A$2:$A$5001,A2754)&gt;1),"NUMERO_PC duplicado",IF(B2754="","DATA_PC vazia",IF(NOT(ISNUMBER(B2754)),"DATA_PC invalida",IF(OR(C2754="",C2754="Fora dos ciclos"),"CICLO_PC nao identificado",IF(OR(D2754="",D2754=0),"VALOR_PC vazio ou zero",IF(AND(G2754&lt;&gt;"Sim",G2754&lt;&gt;"Nao",G2754&lt;&gt;""),"PC_PAGO_A_CONTRATADA invalido",IF(AND(C2754&lt;&gt;"C0",IFERROR(INDEX(parametros!$A$2:$A$6,MATCH(C2754,parametros!$B$2:$B$6,0)),"")="Sim",IFERROR(INDEX(parametros!$H$2:$H$6,MATCH(C2754,parametros!$B$2:$B$6,0)),"")=""),"INICIO_EFEITO ausente: PC "&amp;A2754&amp;" - "&amp;C2754,IF(L2754="","EFEITO_PC nao calculado: PC "&amp;A2754&amp;" - "&amp;C2754,"OK")))))))))</f>
        <v/>
      </c>
      <c r="L2754" s="92" t="str">
        <f>IF(AND(A2754="",B2754="",D2754="",G2754=""),"",IF(OR(B2754="",NOT(ISNUMBER(B2754)),C2754="",C2754="Fora dos ciclos"),"",IF(C2754="C0","Nao",IF(IFERROR(INDEX(parametros!$A$2:$A$6,MATCH(C2754,parametros!$B$2:$B$6,0)),"")&lt;&gt;"Sim","Nao",IF(IFERROR(INDEX(parametros!$H$2:$H$6,MATCH(C2754,parametros!$B$2:$B$6,0)),"")="","",IF(B2754&gt;=IFERROR(INDEX(parametros!$H$2:$H$6,MATCH(C2754,parametros!$B$2:$B$6,0)),""),"Sim","Nao"))))))</f>
        <v/>
      </c>
      <c r="T2754" s="156"/>
      <c r="U2754" s="214" t="str">
        <f t="shared" ref="U2754:U2817" si="221">IF(OR($D2754="",$H2754=""),"",ROUND($D2754+$H2754,2))</f>
        <v/>
      </c>
      <c r="V2754" s="212" t="s">
        <v>50</v>
      </c>
      <c r="W2754" s="100" t="s">
        <v>168</v>
      </c>
      <c r="X2754" s="100" t="s">
        <v>169</v>
      </c>
      <c r="Y2754" s="101" t="s">
        <v>170</v>
      </c>
      <c r="Z2754" s="101" t="s">
        <v>171</v>
      </c>
      <c r="AA2754" s="101" t="s">
        <v>50</v>
      </c>
      <c r="AB2754" s="101" t="s">
        <v>172</v>
      </c>
      <c r="AC2754" s="102" t="s">
        <v>173</v>
      </c>
    </row>
    <row r="2755" spans="1:29" ht="25.5" customHeight="1" x14ac:dyDescent="0.35">
      <c r="A2755" s="392"/>
      <c r="B2755" s="393"/>
      <c r="C2755" s="99" t="str">
        <f>IF(B2755="","",IF(NOT(ISNUMBER(B2755)),"DATA_PC invalida",IF(NOT(ISNUMBER(parametros!$C$2)),"Fora dos ciclos",IF(OR(B2755&lt;parametros!$C$2,(YEAR(B2755)-YEAR(parametros!$C$2))*12+MONTH(B2755)-MONTH(parametros!$C$2)&gt;59),"Fora dos ciclos","C"&amp;INT(((YEAR(B2755)-YEAR(parametros!$C$2))*12+MONTH(B2755)-MONTH(parametros!$C$2))/12)))))</f>
        <v/>
      </c>
      <c r="D2755" s="394"/>
      <c r="E2755" s="78" t="str">
        <f>IF(C2755="","",IFERROR(VLOOKUP(C2755,parametros!$A$11:$E$15,5,0),""))</f>
        <v/>
      </c>
      <c r="F2755" s="79" t="str">
        <f t="shared" si="217"/>
        <v/>
      </c>
      <c r="G2755" s="395"/>
      <c r="H2755" s="91">
        <f t="shared" si="218"/>
        <v>0</v>
      </c>
      <c r="I2755" s="91" t="str">
        <f t="shared" si="219"/>
        <v/>
      </c>
      <c r="J2755" s="91" t="str">
        <f t="shared" si="220"/>
        <v/>
      </c>
      <c r="K2755" s="92" t="str">
        <f>IF(AND(A2755="",B2755="",D2755="",G2755=""),"",IF(AND(A2755&lt;&gt;"",COUNTIF($A$2:$A$5001,A2755)&gt;1),"NUMERO_PC duplicado",IF(B2755="","DATA_PC vazia",IF(NOT(ISNUMBER(B2755)),"DATA_PC invalida",IF(OR(C2755="",C2755="Fora dos ciclos"),"CICLO_PC nao identificado",IF(OR(D2755="",D2755=0),"VALOR_PC vazio ou zero",IF(AND(G2755&lt;&gt;"Sim",G2755&lt;&gt;"Nao",G2755&lt;&gt;""),"PC_PAGO_A_CONTRATADA invalido",IF(AND(C2755&lt;&gt;"C0",IFERROR(INDEX(parametros!$A$2:$A$6,MATCH(C2755,parametros!$B$2:$B$6,0)),"")="Sim",IFERROR(INDEX(parametros!$H$2:$H$6,MATCH(C2755,parametros!$B$2:$B$6,0)),"")=""),"INICIO_EFEITO ausente: PC "&amp;A2755&amp;" - "&amp;C2755,IF(L2755="","EFEITO_PC nao calculado: PC "&amp;A2755&amp;" - "&amp;C2755,"OK")))))))))</f>
        <v/>
      </c>
      <c r="L2755" s="92" t="str">
        <f>IF(AND(A2755="",B2755="",D2755="",G2755=""),"",IF(OR(B2755="",NOT(ISNUMBER(B2755)),C2755="",C2755="Fora dos ciclos"),"",IF(C2755="C0","Nao",IF(IFERROR(INDEX(parametros!$A$2:$A$6,MATCH(C2755,parametros!$B$2:$B$6,0)),"")&lt;&gt;"Sim","Nao",IF(IFERROR(INDEX(parametros!$H$2:$H$6,MATCH(C2755,parametros!$B$2:$B$6,0)),"")="","",IF(B2755&gt;=IFERROR(INDEX(parametros!$H$2:$H$6,MATCH(C2755,parametros!$B$2:$B$6,0)),""),"Sim","Nao"))))))</f>
        <v/>
      </c>
      <c r="T2755" s="156"/>
      <c r="U2755" s="214" t="str">
        <f t="shared" si="221"/>
        <v/>
      </c>
      <c r="V2755" s="212" t="s">
        <v>50</v>
      </c>
      <c r="W2755" s="100" t="s">
        <v>168</v>
      </c>
      <c r="X2755" s="100" t="s">
        <v>169</v>
      </c>
      <c r="Y2755" s="101" t="s">
        <v>170</v>
      </c>
      <c r="Z2755" s="101" t="s">
        <v>171</v>
      </c>
      <c r="AA2755" s="101" t="s">
        <v>50</v>
      </c>
      <c r="AB2755" s="101" t="s">
        <v>172</v>
      </c>
      <c r="AC2755" s="102" t="s">
        <v>173</v>
      </c>
    </row>
    <row r="2756" spans="1:29" ht="25.5" customHeight="1" x14ac:dyDescent="0.35">
      <c r="A2756" s="392"/>
      <c r="B2756" s="393"/>
      <c r="C2756" s="99" t="str">
        <f>IF(B2756="","",IF(NOT(ISNUMBER(B2756)),"DATA_PC invalida",IF(NOT(ISNUMBER(parametros!$C$2)),"Fora dos ciclos",IF(OR(B2756&lt;parametros!$C$2,(YEAR(B2756)-YEAR(parametros!$C$2))*12+MONTH(B2756)-MONTH(parametros!$C$2)&gt;59),"Fora dos ciclos","C"&amp;INT(((YEAR(B2756)-YEAR(parametros!$C$2))*12+MONTH(B2756)-MONTH(parametros!$C$2))/12)))))</f>
        <v/>
      </c>
      <c r="D2756" s="394"/>
      <c r="E2756" s="78" t="str">
        <f>IF(C2756="","",IFERROR(VLOOKUP(C2756,parametros!$A$11:$E$15,5,0),""))</f>
        <v/>
      </c>
      <c r="F2756" s="79" t="str">
        <f t="shared" si="217"/>
        <v/>
      </c>
      <c r="G2756" s="395"/>
      <c r="H2756" s="91">
        <f t="shared" si="218"/>
        <v>0</v>
      </c>
      <c r="I2756" s="91" t="str">
        <f t="shared" si="219"/>
        <v/>
      </c>
      <c r="J2756" s="91" t="str">
        <f t="shared" si="220"/>
        <v/>
      </c>
      <c r="K2756" s="92" t="str">
        <f>IF(AND(A2756="",B2756="",D2756="",G2756=""),"",IF(AND(A2756&lt;&gt;"",COUNTIF($A$2:$A$5001,A2756)&gt;1),"NUMERO_PC duplicado",IF(B2756="","DATA_PC vazia",IF(NOT(ISNUMBER(B2756)),"DATA_PC invalida",IF(OR(C2756="",C2756="Fora dos ciclos"),"CICLO_PC nao identificado",IF(OR(D2756="",D2756=0),"VALOR_PC vazio ou zero",IF(AND(G2756&lt;&gt;"Sim",G2756&lt;&gt;"Nao",G2756&lt;&gt;""),"PC_PAGO_A_CONTRATADA invalido",IF(AND(C2756&lt;&gt;"C0",IFERROR(INDEX(parametros!$A$2:$A$6,MATCH(C2756,parametros!$B$2:$B$6,0)),"")="Sim",IFERROR(INDEX(parametros!$H$2:$H$6,MATCH(C2756,parametros!$B$2:$B$6,0)),"")=""),"INICIO_EFEITO ausente: PC "&amp;A2756&amp;" - "&amp;C2756,IF(L2756="","EFEITO_PC nao calculado: PC "&amp;A2756&amp;" - "&amp;C2756,"OK")))))))))</f>
        <v/>
      </c>
      <c r="L2756" s="92" t="str">
        <f>IF(AND(A2756="",B2756="",D2756="",G2756=""),"",IF(OR(B2756="",NOT(ISNUMBER(B2756)),C2756="",C2756="Fora dos ciclos"),"",IF(C2756="C0","Nao",IF(IFERROR(INDEX(parametros!$A$2:$A$6,MATCH(C2756,parametros!$B$2:$B$6,0)),"")&lt;&gt;"Sim","Nao",IF(IFERROR(INDEX(parametros!$H$2:$H$6,MATCH(C2756,parametros!$B$2:$B$6,0)),"")="","",IF(B2756&gt;=IFERROR(INDEX(parametros!$H$2:$H$6,MATCH(C2756,parametros!$B$2:$B$6,0)),""),"Sim","Nao"))))))</f>
        <v/>
      </c>
      <c r="T2756" s="156"/>
      <c r="U2756" s="214" t="str">
        <f t="shared" si="221"/>
        <v/>
      </c>
      <c r="V2756" s="212" t="s">
        <v>50</v>
      </c>
      <c r="W2756" s="100" t="s">
        <v>168</v>
      </c>
      <c r="X2756" s="100" t="s">
        <v>169</v>
      </c>
      <c r="Y2756" s="101" t="s">
        <v>170</v>
      </c>
      <c r="Z2756" s="101" t="s">
        <v>171</v>
      </c>
      <c r="AA2756" s="101" t="s">
        <v>50</v>
      </c>
      <c r="AB2756" s="101" t="s">
        <v>172</v>
      </c>
      <c r="AC2756" s="102" t="s">
        <v>173</v>
      </c>
    </row>
    <row r="2757" spans="1:29" ht="25.5" customHeight="1" x14ac:dyDescent="0.35">
      <c r="A2757" s="392"/>
      <c r="B2757" s="393"/>
      <c r="C2757" s="99" t="str">
        <f>IF(B2757="","",IF(NOT(ISNUMBER(B2757)),"DATA_PC invalida",IF(NOT(ISNUMBER(parametros!$C$2)),"Fora dos ciclos",IF(OR(B2757&lt;parametros!$C$2,(YEAR(B2757)-YEAR(parametros!$C$2))*12+MONTH(B2757)-MONTH(parametros!$C$2)&gt;59),"Fora dos ciclos","C"&amp;INT(((YEAR(B2757)-YEAR(parametros!$C$2))*12+MONTH(B2757)-MONTH(parametros!$C$2))/12)))))</f>
        <v/>
      </c>
      <c r="D2757" s="394"/>
      <c r="E2757" s="78" t="str">
        <f>IF(C2757="","",IFERROR(VLOOKUP(C2757,parametros!$A$11:$E$15,5,0),""))</f>
        <v/>
      </c>
      <c r="F2757" s="79" t="str">
        <f t="shared" si="217"/>
        <v/>
      </c>
      <c r="G2757" s="395"/>
      <c r="H2757" s="91">
        <f t="shared" si="218"/>
        <v>0</v>
      </c>
      <c r="I2757" s="91" t="str">
        <f t="shared" si="219"/>
        <v/>
      </c>
      <c r="J2757" s="91" t="str">
        <f t="shared" si="220"/>
        <v/>
      </c>
      <c r="K2757" s="92" t="str">
        <f>IF(AND(A2757="",B2757="",D2757="",G2757=""),"",IF(AND(A2757&lt;&gt;"",COUNTIF($A$2:$A$5001,A2757)&gt;1),"NUMERO_PC duplicado",IF(B2757="","DATA_PC vazia",IF(NOT(ISNUMBER(B2757)),"DATA_PC invalida",IF(OR(C2757="",C2757="Fora dos ciclos"),"CICLO_PC nao identificado",IF(OR(D2757="",D2757=0),"VALOR_PC vazio ou zero",IF(AND(G2757&lt;&gt;"Sim",G2757&lt;&gt;"Nao",G2757&lt;&gt;""),"PC_PAGO_A_CONTRATADA invalido",IF(AND(C2757&lt;&gt;"C0",IFERROR(INDEX(parametros!$A$2:$A$6,MATCH(C2757,parametros!$B$2:$B$6,0)),"")="Sim",IFERROR(INDEX(parametros!$H$2:$H$6,MATCH(C2757,parametros!$B$2:$B$6,0)),"")=""),"INICIO_EFEITO ausente: PC "&amp;A2757&amp;" - "&amp;C2757,IF(L2757="","EFEITO_PC nao calculado: PC "&amp;A2757&amp;" - "&amp;C2757,"OK")))))))))</f>
        <v/>
      </c>
      <c r="L2757" s="92" t="str">
        <f>IF(AND(A2757="",B2757="",D2757="",G2757=""),"",IF(OR(B2757="",NOT(ISNUMBER(B2757)),C2757="",C2757="Fora dos ciclos"),"",IF(C2757="C0","Nao",IF(IFERROR(INDEX(parametros!$A$2:$A$6,MATCH(C2757,parametros!$B$2:$B$6,0)),"")&lt;&gt;"Sim","Nao",IF(IFERROR(INDEX(parametros!$H$2:$H$6,MATCH(C2757,parametros!$B$2:$B$6,0)),"")="","",IF(B2757&gt;=IFERROR(INDEX(parametros!$H$2:$H$6,MATCH(C2757,parametros!$B$2:$B$6,0)),""),"Sim","Nao"))))))</f>
        <v/>
      </c>
      <c r="T2757" s="156"/>
      <c r="U2757" s="214" t="str">
        <f t="shared" si="221"/>
        <v/>
      </c>
      <c r="V2757" s="212" t="s">
        <v>50</v>
      </c>
      <c r="W2757" s="100" t="s">
        <v>168</v>
      </c>
      <c r="X2757" s="100" t="s">
        <v>169</v>
      </c>
      <c r="Y2757" s="101" t="s">
        <v>170</v>
      </c>
      <c r="Z2757" s="101" t="s">
        <v>171</v>
      </c>
      <c r="AA2757" s="101" t="s">
        <v>50</v>
      </c>
      <c r="AB2757" s="101" t="s">
        <v>172</v>
      </c>
      <c r="AC2757" s="102" t="s">
        <v>173</v>
      </c>
    </row>
    <row r="2758" spans="1:29" ht="25.5" customHeight="1" x14ac:dyDescent="0.35">
      <c r="A2758" s="392"/>
      <c r="B2758" s="393"/>
      <c r="C2758" s="99" t="str">
        <f>IF(B2758="","",IF(NOT(ISNUMBER(B2758)),"DATA_PC invalida",IF(NOT(ISNUMBER(parametros!$C$2)),"Fora dos ciclos",IF(OR(B2758&lt;parametros!$C$2,(YEAR(B2758)-YEAR(parametros!$C$2))*12+MONTH(B2758)-MONTH(parametros!$C$2)&gt;59),"Fora dos ciclos","C"&amp;INT(((YEAR(B2758)-YEAR(parametros!$C$2))*12+MONTH(B2758)-MONTH(parametros!$C$2))/12)))))</f>
        <v/>
      </c>
      <c r="D2758" s="394"/>
      <c r="E2758" s="78" t="str">
        <f>IF(C2758="","",IFERROR(VLOOKUP(C2758,parametros!$A$11:$E$15,5,0),""))</f>
        <v/>
      </c>
      <c r="F2758" s="79" t="str">
        <f t="shared" si="217"/>
        <v/>
      </c>
      <c r="G2758" s="395"/>
      <c r="H2758" s="91">
        <f t="shared" si="218"/>
        <v>0</v>
      </c>
      <c r="I2758" s="91" t="str">
        <f t="shared" si="219"/>
        <v/>
      </c>
      <c r="J2758" s="91" t="str">
        <f t="shared" si="220"/>
        <v/>
      </c>
      <c r="K2758" s="92" t="str">
        <f>IF(AND(A2758="",B2758="",D2758="",G2758=""),"",IF(AND(A2758&lt;&gt;"",COUNTIF($A$2:$A$5001,A2758)&gt;1),"NUMERO_PC duplicado",IF(B2758="","DATA_PC vazia",IF(NOT(ISNUMBER(B2758)),"DATA_PC invalida",IF(OR(C2758="",C2758="Fora dos ciclos"),"CICLO_PC nao identificado",IF(OR(D2758="",D2758=0),"VALOR_PC vazio ou zero",IF(AND(G2758&lt;&gt;"Sim",G2758&lt;&gt;"Nao",G2758&lt;&gt;""),"PC_PAGO_A_CONTRATADA invalido",IF(AND(C2758&lt;&gt;"C0",IFERROR(INDEX(parametros!$A$2:$A$6,MATCH(C2758,parametros!$B$2:$B$6,0)),"")="Sim",IFERROR(INDEX(parametros!$H$2:$H$6,MATCH(C2758,parametros!$B$2:$B$6,0)),"")=""),"INICIO_EFEITO ausente: PC "&amp;A2758&amp;" - "&amp;C2758,IF(L2758="","EFEITO_PC nao calculado: PC "&amp;A2758&amp;" - "&amp;C2758,"OK")))))))))</f>
        <v/>
      </c>
      <c r="L2758" s="92" t="str">
        <f>IF(AND(A2758="",B2758="",D2758="",G2758=""),"",IF(OR(B2758="",NOT(ISNUMBER(B2758)),C2758="",C2758="Fora dos ciclos"),"",IF(C2758="C0","Nao",IF(IFERROR(INDEX(parametros!$A$2:$A$6,MATCH(C2758,parametros!$B$2:$B$6,0)),"")&lt;&gt;"Sim","Nao",IF(IFERROR(INDEX(parametros!$H$2:$H$6,MATCH(C2758,parametros!$B$2:$B$6,0)),"")="","",IF(B2758&gt;=IFERROR(INDEX(parametros!$H$2:$H$6,MATCH(C2758,parametros!$B$2:$B$6,0)),""),"Sim","Nao"))))))</f>
        <v/>
      </c>
      <c r="T2758" s="156"/>
      <c r="U2758" s="214" t="str">
        <f t="shared" si="221"/>
        <v/>
      </c>
      <c r="V2758" s="212" t="s">
        <v>50</v>
      </c>
      <c r="W2758" s="100" t="s">
        <v>168</v>
      </c>
      <c r="X2758" s="100" t="s">
        <v>169</v>
      </c>
      <c r="Y2758" s="101" t="s">
        <v>170</v>
      </c>
      <c r="Z2758" s="101" t="s">
        <v>171</v>
      </c>
      <c r="AA2758" s="101" t="s">
        <v>50</v>
      </c>
      <c r="AB2758" s="101" t="s">
        <v>172</v>
      </c>
      <c r="AC2758" s="102" t="s">
        <v>173</v>
      </c>
    </row>
    <row r="2759" spans="1:29" ht="25.5" customHeight="1" x14ac:dyDescent="0.35">
      <c r="A2759" s="392"/>
      <c r="B2759" s="393"/>
      <c r="C2759" s="99" t="str">
        <f>IF(B2759="","",IF(NOT(ISNUMBER(B2759)),"DATA_PC invalida",IF(NOT(ISNUMBER(parametros!$C$2)),"Fora dos ciclos",IF(OR(B2759&lt;parametros!$C$2,(YEAR(B2759)-YEAR(parametros!$C$2))*12+MONTH(B2759)-MONTH(parametros!$C$2)&gt;59),"Fora dos ciclos","C"&amp;INT(((YEAR(B2759)-YEAR(parametros!$C$2))*12+MONTH(B2759)-MONTH(parametros!$C$2))/12)))))</f>
        <v/>
      </c>
      <c r="D2759" s="394"/>
      <c r="E2759" s="78" t="str">
        <f>IF(C2759="","",IFERROR(VLOOKUP(C2759,parametros!$A$11:$E$15,5,0),""))</f>
        <v/>
      </c>
      <c r="F2759" s="79" t="str">
        <f t="shared" si="217"/>
        <v/>
      </c>
      <c r="G2759" s="395"/>
      <c r="H2759" s="91">
        <f t="shared" si="218"/>
        <v>0</v>
      </c>
      <c r="I2759" s="91" t="str">
        <f t="shared" si="219"/>
        <v/>
      </c>
      <c r="J2759" s="91" t="str">
        <f t="shared" si="220"/>
        <v/>
      </c>
      <c r="K2759" s="92" t="str">
        <f>IF(AND(A2759="",B2759="",D2759="",G2759=""),"",IF(AND(A2759&lt;&gt;"",COUNTIF($A$2:$A$5001,A2759)&gt;1),"NUMERO_PC duplicado",IF(B2759="","DATA_PC vazia",IF(NOT(ISNUMBER(B2759)),"DATA_PC invalida",IF(OR(C2759="",C2759="Fora dos ciclos"),"CICLO_PC nao identificado",IF(OR(D2759="",D2759=0),"VALOR_PC vazio ou zero",IF(AND(G2759&lt;&gt;"Sim",G2759&lt;&gt;"Nao",G2759&lt;&gt;""),"PC_PAGO_A_CONTRATADA invalido",IF(AND(C2759&lt;&gt;"C0",IFERROR(INDEX(parametros!$A$2:$A$6,MATCH(C2759,parametros!$B$2:$B$6,0)),"")="Sim",IFERROR(INDEX(parametros!$H$2:$H$6,MATCH(C2759,parametros!$B$2:$B$6,0)),"")=""),"INICIO_EFEITO ausente: PC "&amp;A2759&amp;" - "&amp;C2759,IF(L2759="","EFEITO_PC nao calculado: PC "&amp;A2759&amp;" - "&amp;C2759,"OK")))))))))</f>
        <v/>
      </c>
      <c r="L2759" s="92" t="str">
        <f>IF(AND(A2759="",B2759="",D2759="",G2759=""),"",IF(OR(B2759="",NOT(ISNUMBER(B2759)),C2759="",C2759="Fora dos ciclos"),"",IF(C2759="C0","Nao",IF(IFERROR(INDEX(parametros!$A$2:$A$6,MATCH(C2759,parametros!$B$2:$B$6,0)),"")&lt;&gt;"Sim","Nao",IF(IFERROR(INDEX(parametros!$H$2:$H$6,MATCH(C2759,parametros!$B$2:$B$6,0)),"")="","",IF(B2759&gt;=IFERROR(INDEX(parametros!$H$2:$H$6,MATCH(C2759,parametros!$B$2:$B$6,0)),""),"Sim","Nao"))))))</f>
        <v/>
      </c>
      <c r="T2759" s="156"/>
      <c r="U2759" s="214" t="str">
        <f t="shared" si="221"/>
        <v/>
      </c>
      <c r="V2759" s="212" t="s">
        <v>50</v>
      </c>
      <c r="W2759" s="100" t="s">
        <v>168</v>
      </c>
      <c r="X2759" s="100" t="s">
        <v>169</v>
      </c>
      <c r="Y2759" s="101" t="s">
        <v>170</v>
      </c>
      <c r="Z2759" s="101" t="s">
        <v>171</v>
      </c>
      <c r="AA2759" s="101" t="s">
        <v>50</v>
      </c>
      <c r="AB2759" s="101" t="s">
        <v>172</v>
      </c>
      <c r="AC2759" s="102" t="s">
        <v>173</v>
      </c>
    </row>
    <row r="2760" spans="1:29" ht="25.5" customHeight="1" x14ac:dyDescent="0.35">
      <c r="A2760" s="392"/>
      <c r="B2760" s="393"/>
      <c r="C2760" s="99" t="str">
        <f>IF(B2760="","",IF(NOT(ISNUMBER(B2760)),"DATA_PC invalida",IF(NOT(ISNUMBER(parametros!$C$2)),"Fora dos ciclos",IF(OR(B2760&lt;parametros!$C$2,(YEAR(B2760)-YEAR(parametros!$C$2))*12+MONTH(B2760)-MONTH(parametros!$C$2)&gt;59),"Fora dos ciclos","C"&amp;INT(((YEAR(B2760)-YEAR(parametros!$C$2))*12+MONTH(B2760)-MONTH(parametros!$C$2))/12)))))</f>
        <v/>
      </c>
      <c r="D2760" s="394"/>
      <c r="E2760" s="78" t="str">
        <f>IF(C2760="","",IFERROR(VLOOKUP(C2760,parametros!$A$11:$E$15,5,0),""))</f>
        <v/>
      </c>
      <c r="F2760" s="79" t="str">
        <f t="shared" si="217"/>
        <v/>
      </c>
      <c r="G2760" s="395"/>
      <c r="H2760" s="91">
        <f t="shared" si="218"/>
        <v>0</v>
      </c>
      <c r="I2760" s="91" t="str">
        <f t="shared" si="219"/>
        <v/>
      </c>
      <c r="J2760" s="91" t="str">
        <f t="shared" si="220"/>
        <v/>
      </c>
      <c r="K2760" s="92" t="str">
        <f>IF(AND(A2760="",B2760="",D2760="",G2760=""),"",IF(AND(A2760&lt;&gt;"",COUNTIF($A$2:$A$5001,A2760)&gt;1),"NUMERO_PC duplicado",IF(B2760="","DATA_PC vazia",IF(NOT(ISNUMBER(B2760)),"DATA_PC invalida",IF(OR(C2760="",C2760="Fora dos ciclos"),"CICLO_PC nao identificado",IF(OR(D2760="",D2760=0),"VALOR_PC vazio ou zero",IF(AND(G2760&lt;&gt;"Sim",G2760&lt;&gt;"Nao",G2760&lt;&gt;""),"PC_PAGO_A_CONTRATADA invalido",IF(AND(C2760&lt;&gt;"C0",IFERROR(INDEX(parametros!$A$2:$A$6,MATCH(C2760,parametros!$B$2:$B$6,0)),"")="Sim",IFERROR(INDEX(parametros!$H$2:$H$6,MATCH(C2760,parametros!$B$2:$B$6,0)),"")=""),"INICIO_EFEITO ausente: PC "&amp;A2760&amp;" - "&amp;C2760,IF(L2760="","EFEITO_PC nao calculado: PC "&amp;A2760&amp;" - "&amp;C2760,"OK")))))))))</f>
        <v/>
      </c>
      <c r="L2760" s="92" t="str">
        <f>IF(AND(A2760="",B2760="",D2760="",G2760=""),"",IF(OR(B2760="",NOT(ISNUMBER(B2760)),C2760="",C2760="Fora dos ciclos"),"",IF(C2760="C0","Nao",IF(IFERROR(INDEX(parametros!$A$2:$A$6,MATCH(C2760,parametros!$B$2:$B$6,0)),"")&lt;&gt;"Sim","Nao",IF(IFERROR(INDEX(parametros!$H$2:$H$6,MATCH(C2760,parametros!$B$2:$B$6,0)),"")="","",IF(B2760&gt;=IFERROR(INDEX(parametros!$H$2:$H$6,MATCH(C2760,parametros!$B$2:$B$6,0)),""),"Sim","Nao"))))))</f>
        <v/>
      </c>
      <c r="T2760" s="156"/>
      <c r="U2760" s="214" t="str">
        <f t="shared" si="221"/>
        <v/>
      </c>
      <c r="V2760" s="212" t="s">
        <v>50</v>
      </c>
      <c r="W2760" s="100" t="s">
        <v>168</v>
      </c>
      <c r="X2760" s="100" t="s">
        <v>169</v>
      </c>
      <c r="Y2760" s="101" t="s">
        <v>170</v>
      </c>
      <c r="Z2760" s="101" t="s">
        <v>171</v>
      </c>
      <c r="AA2760" s="101" t="s">
        <v>50</v>
      </c>
      <c r="AB2760" s="101" t="s">
        <v>172</v>
      </c>
      <c r="AC2760" s="102" t="s">
        <v>173</v>
      </c>
    </row>
    <row r="2761" spans="1:29" ht="25.5" customHeight="1" x14ac:dyDescent="0.35">
      <c r="A2761" s="392"/>
      <c r="B2761" s="393"/>
      <c r="C2761" s="99" t="str">
        <f>IF(B2761="","",IF(NOT(ISNUMBER(B2761)),"DATA_PC invalida",IF(NOT(ISNUMBER(parametros!$C$2)),"Fora dos ciclos",IF(OR(B2761&lt;parametros!$C$2,(YEAR(B2761)-YEAR(parametros!$C$2))*12+MONTH(B2761)-MONTH(parametros!$C$2)&gt;59),"Fora dos ciclos","C"&amp;INT(((YEAR(B2761)-YEAR(parametros!$C$2))*12+MONTH(B2761)-MONTH(parametros!$C$2))/12)))))</f>
        <v/>
      </c>
      <c r="D2761" s="394"/>
      <c r="E2761" s="78" t="str">
        <f>IF(C2761="","",IFERROR(VLOOKUP(C2761,parametros!$A$11:$E$15,5,0),""))</f>
        <v/>
      </c>
      <c r="F2761" s="79" t="str">
        <f t="shared" si="217"/>
        <v/>
      </c>
      <c r="G2761" s="395"/>
      <c r="H2761" s="91">
        <f t="shared" si="218"/>
        <v>0</v>
      </c>
      <c r="I2761" s="91" t="str">
        <f t="shared" si="219"/>
        <v/>
      </c>
      <c r="J2761" s="91" t="str">
        <f t="shared" si="220"/>
        <v/>
      </c>
      <c r="K2761" s="92" t="str">
        <f>IF(AND(A2761="",B2761="",D2761="",G2761=""),"",IF(AND(A2761&lt;&gt;"",COUNTIF($A$2:$A$5001,A2761)&gt;1),"NUMERO_PC duplicado",IF(B2761="","DATA_PC vazia",IF(NOT(ISNUMBER(B2761)),"DATA_PC invalida",IF(OR(C2761="",C2761="Fora dos ciclos"),"CICLO_PC nao identificado",IF(OR(D2761="",D2761=0),"VALOR_PC vazio ou zero",IF(AND(G2761&lt;&gt;"Sim",G2761&lt;&gt;"Nao",G2761&lt;&gt;""),"PC_PAGO_A_CONTRATADA invalido",IF(AND(C2761&lt;&gt;"C0",IFERROR(INDEX(parametros!$A$2:$A$6,MATCH(C2761,parametros!$B$2:$B$6,0)),"")="Sim",IFERROR(INDEX(parametros!$H$2:$H$6,MATCH(C2761,parametros!$B$2:$B$6,0)),"")=""),"INICIO_EFEITO ausente: PC "&amp;A2761&amp;" - "&amp;C2761,IF(L2761="","EFEITO_PC nao calculado: PC "&amp;A2761&amp;" - "&amp;C2761,"OK")))))))))</f>
        <v/>
      </c>
      <c r="L2761" s="92" t="str">
        <f>IF(AND(A2761="",B2761="",D2761="",G2761=""),"",IF(OR(B2761="",NOT(ISNUMBER(B2761)),C2761="",C2761="Fora dos ciclos"),"",IF(C2761="C0","Nao",IF(IFERROR(INDEX(parametros!$A$2:$A$6,MATCH(C2761,parametros!$B$2:$B$6,0)),"")&lt;&gt;"Sim","Nao",IF(IFERROR(INDEX(parametros!$H$2:$H$6,MATCH(C2761,parametros!$B$2:$B$6,0)),"")="","",IF(B2761&gt;=IFERROR(INDEX(parametros!$H$2:$H$6,MATCH(C2761,parametros!$B$2:$B$6,0)),""),"Sim","Nao"))))))</f>
        <v/>
      </c>
      <c r="T2761" s="156"/>
      <c r="U2761" s="214" t="str">
        <f t="shared" si="221"/>
        <v/>
      </c>
      <c r="V2761" s="212" t="s">
        <v>50</v>
      </c>
      <c r="W2761" s="100" t="s">
        <v>168</v>
      </c>
      <c r="X2761" s="100" t="s">
        <v>169</v>
      </c>
      <c r="Y2761" s="101" t="s">
        <v>170</v>
      </c>
      <c r="Z2761" s="101" t="s">
        <v>171</v>
      </c>
      <c r="AA2761" s="101" t="s">
        <v>50</v>
      </c>
      <c r="AB2761" s="101" t="s">
        <v>172</v>
      </c>
      <c r="AC2761" s="102" t="s">
        <v>173</v>
      </c>
    </row>
    <row r="2762" spans="1:29" ht="25.5" customHeight="1" x14ac:dyDescent="0.35">
      <c r="A2762" s="392"/>
      <c r="B2762" s="393"/>
      <c r="C2762" s="99" t="str">
        <f>IF(B2762="","",IF(NOT(ISNUMBER(B2762)),"DATA_PC invalida",IF(NOT(ISNUMBER(parametros!$C$2)),"Fora dos ciclos",IF(OR(B2762&lt;parametros!$C$2,(YEAR(B2762)-YEAR(parametros!$C$2))*12+MONTH(B2762)-MONTH(parametros!$C$2)&gt;59),"Fora dos ciclos","C"&amp;INT(((YEAR(B2762)-YEAR(parametros!$C$2))*12+MONTH(B2762)-MONTH(parametros!$C$2))/12)))))</f>
        <v/>
      </c>
      <c r="D2762" s="394"/>
      <c r="E2762" s="78" t="str">
        <f>IF(C2762="","",IFERROR(VLOOKUP(C2762,parametros!$A$11:$E$15,5,0),""))</f>
        <v/>
      </c>
      <c r="F2762" s="79" t="str">
        <f t="shared" si="217"/>
        <v/>
      </c>
      <c r="G2762" s="395"/>
      <c r="H2762" s="91">
        <f t="shared" si="218"/>
        <v>0</v>
      </c>
      <c r="I2762" s="91" t="str">
        <f t="shared" si="219"/>
        <v/>
      </c>
      <c r="J2762" s="91" t="str">
        <f t="shared" si="220"/>
        <v/>
      </c>
      <c r="K2762" s="92" t="str">
        <f>IF(AND(A2762="",B2762="",D2762="",G2762=""),"",IF(AND(A2762&lt;&gt;"",COUNTIF($A$2:$A$5001,A2762)&gt;1),"NUMERO_PC duplicado",IF(B2762="","DATA_PC vazia",IF(NOT(ISNUMBER(B2762)),"DATA_PC invalida",IF(OR(C2762="",C2762="Fora dos ciclos"),"CICLO_PC nao identificado",IF(OR(D2762="",D2762=0),"VALOR_PC vazio ou zero",IF(AND(G2762&lt;&gt;"Sim",G2762&lt;&gt;"Nao",G2762&lt;&gt;""),"PC_PAGO_A_CONTRATADA invalido",IF(AND(C2762&lt;&gt;"C0",IFERROR(INDEX(parametros!$A$2:$A$6,MATCH(C2762,parametros!$B$2:$B$6,0)),"")="Sim",IFERROR(INDEX(parametros!$H$2:$H$6,MATCH(C2762,parametros!$B$2:$B$6,0)),"")=""),"INICIO_EFEITO ausente: PC "&amp;A2762&amp;" - "&amp;C2762,IF(L2762="","EFEITO_PC nao calculado: PC "&amp;A2762&amp;" - "&amp;C2762,"OK")))))))))</f>
        <v/>
      </c>
      <c r="L2762" s="92" t="str">
        <f>IF(AND(A2762="",B2762="",D2762="",G2762=""),"",IF(OR(B2762="",NOT(ISNUMBER(B2762)),C2762="",C2762="Fora dos ciclos"),"",IF(C2762="C0","Nao",IF(IFERROR(INDEX(parametros!$A$2:$A$6,MATCH(C2762,parametros!$B$2:$B$6,0)),"")&lt;&gt;"Sim","Nao",IF(IFERROR(INDEX(parametros!$H$2:$H$6,MATCH(C2762,parametros!$B$2:$B$6,0)),"")="","",IF(B2762&gt;=IFERROR(INDEX(parametros!$H$2:$H$6,MATCH(C2762,parametros!$B$2:$B$6,0)),""),"Sim","Nao"))))))</f>
        <v/>
      </c>
      <c r="T2762" s="156"/>
      <c r="U2762" s="214" t="str">
        <f t="shared" si="221"/>
        <v/>
      </c>
      <c r="V2762" s="212" t="s">
        <v>50</v>
      </c>
      <c r="W2762" s="100" t="s">
        <v>168</v>
      </c>
      <c r="X2762" s="100" t="s">
        <v>169</v>
      </c>
      <c r="Y2762" s="101" t="s">
        <v>170</v>
      </c>
      <c r="Z2762" s="101" t="s">
        <v>171</v>
      </c>
      <c r="AA2762" s="101" t="s">
        <v>50</v>
      </c>
      <c r="AB2762" s="101" t="s">
        <v>172</v>
      </c>
      <c r="AC2762" s="102" t="s">
        <v>173</v>
      </c>
    </row>
    <row r="2763" spans="1:29" ht="25.5" customHeight="1" x14ac:dyDescent="0.35">
      <c r="A2763" s="392"/>
      <c r="B2763" s="393"/>
      <c r="C2763" s="99" t="str">
        <f>IF(B2763="","",IF(NOT(ISNUMBER(B2763)),"DATA_PC invalida",IF(NOT(ISNUMBER(parametros!$C$2)),"Fora dos ciclos",IF(OR(B2763&lt;parametros!$C$2,(YEAR(B2763)-YEAR(parametros!$C$2))*12+MONTH(B2763)-MONTH(parametros!$C$2)&gt;59),"Fora dos ciclos","C"&amp;INT(((YEAR(B2763)-YEAR(parametros!$C$2))*12+MONTH(B2763)-MONTH(parametros!$C$2))/12)))))</f>
        <v/>
      </c>
      <c r="D2763" s="394"/>
      <c r="E2763" s="78" t="str">
        <f>IF(C2763="","",IFERROR(VLOOKUP(C2763,parametros!$A$11:$E$15,5,0),""))</f>
        <v/>
      </c>
      <c r="F2763" s="79" t="str">
        <f t="shared" si="217"/>
        <v/>
      </c>
      <c r="G2763" s="395"/>
      <c r="H2763" s="91">
        <f t="shared" si="218"/>
        <v>0</v>
      </c>
      <c r="I2763" s="91" t="str">
        <f t="shared" si="219"/>
        <v/>
      </c>
      <c r="J2763" s="91" t="str">
        <f t="shared" si="220"/>
        <v/>
      </c>
      <c r="K2763" s="92" t="str">
        <f>IF(AND(A2763="",B2763="",D2763="",G2763=""),"",IF(AND(A2763&lt;&gt;"",COUNTIF($A$2:$A$5001,A2763)&gt;1),"NUMERO_PC duplicado",IF(B2763="","DATA_PC vazia",IF(NOT(ISNUMBER(B2763)),"DATA_PC invalida",IF(OR(C2763="",C2763="Fora dos ciclos"),"CICLO_PC nao identificado",IF(OR(D2763="",D2763=0),"VALOR_PC vazio ou zero",IF(AND(G2763&lt;&gt;"Sim",G2763&lt;&gt;"Nao",G2763&lt;&gt;""),"PC_PAGO_A_CONTRATADA invalido",IF(AND(C2763&lt;&gt;"C0",IFERROR(INDEX(parametros!$A$2:$A$6,MATCH(C2763,parametros!$B$2:$B$6,0)),"")="Sim",IFERROR(INDEX(parametros!$H$2:$H$6,MATCH(C2763,parametros!$B$2:$B$6,0)),"")=""),"INICIO_EFEITO ausente: PC "&amp;A2763&amp;" - "&amp;C2763,IF(L2763="","EFEITO_PC nao calculado: PC "&amp;A2763&amp;" - "&amp;C2763,"OK")))))))))</f>
        <v/>
      </c>
      <c r="L2763" s="92" t="str">
        <f>IF(AND(A2763="",B2763="",D2763="",G2763=""),"",IF(OR(B2763="",NOT(ISNUMBER(B2763)),C2763="",C2763="Fora dos ciclos"),"",IF(C2763="C0","Nao",IF(IFERROR(INDEX(parametros!$A$2:$A$6,MATCH(C2763,parametros!$B$2:$B$6,0)),"")&lt;&gt;"Sim","Nao",IF(IFERROR(INDEX(parametros!$H$2:$H$6,MATCH(C2763,parametros!$B$2:$B$6,0)),"")="","",IF(B2763&gt;=IFERROR(INDEX(parametros!$H$2:$H$6,MATCH(C2763,parametros!$B$2:$B$6,0)),""),"Sim","Nao"))))))</f>
        <v/>
      </c>
      <c r="T2763" s="156"/>
      <c r="U2763" s="214" t="str">
        <f t="shared" si="221"/>
        <v/>
      </c>
      <c r="V2763" s="212" t="s">
        <v>50</v>
      </c>
      <c r="W2763" s="100" t="s">
        <v>168</v>
      </c>
      <c r="X2763" s="100" t="s">
        <v>169</v>
      </c>
      <c r="Y2763" s="101" t="s">
        <v>170</v>
      </c>
      <c r="Z2763" s="101" t="s">
        <v>171</v>
      </c>
      <c r="AA2763" s="101" t="s">
        <v>50</v>
      </c>
      <c r="AB2763" s="101" t="s">
        <v>172</v>
      </c>
      <c r="AC2763" s="102" t="s">
        <v>173</v>
      </c>
    </row>
    <row r="2764" spans="1:29" ht="25.5" customHeight="1" x14ac:dyDescent="0.35">
      <c r="A2764" s="392"/>
      <c r="B2764" s="393"/>
      <c r="C2764" s="99" t="str">
        <f>IF(B2764="","",IF(NOT(ISNUMBER(B2764)),"DATA_PC invalida",IF(NOT(ISNUMBER(parametros!$C$2)),"Fora dos ciclos",IF(OR(B2764&lt;parametros!$C$2,(YEAR(B2764)-YEAR(parametros!$C$2))*12+MONTH(B2764)-MONTH(parametros!$C$2)&gt;59),"Fora dos ciclos","C"&amp;INT(((YEAR(B2764)-YEAR(parametros!$C$2))*12+MONTH(B2764)-MONTH(parametros!$C$2))/12)))))</f>
        <v/>
      </c>
      <c r="D2764" s="394"/>
      <c r="E2764" s="78" t="str">
        <f>IF(C2764="","",IFERROR(VLOOKUP(C2764,parametros!$A$11:$E$15,5,0),""))</f>
        <v/>
      </c>
      <c r="F2764" s="79" t="str">
        <f t="shared" si="217"/>
        <v/>
      </c>
      <c r="G2764" s="395"/>
      <c r="H2764" s="91">
        <f t="shared" si="218"/>
        <v>0</v>
      </c>
      <c r="I2764" s="91" t="str">
        <f t="shared" si="219"/>
        <v/>
      </c>
      <c r="J2764" s="91" t="str">
        <f t="shared" si="220"/>
        <v/>
      </c>
      <c r="K2764" s="92" t="str">
        <f>IF(AND(A2764="",B2764="",D2764="",G2764=""),"",IF(AND(A2764&lt;&gt;"",COUNTIF($A$2:$A$5001,A2764)&gt;1),"NUMERO_PC duplicado",IF(B2764="","DATA_PC vazia",IF(NOT(ISNUMBER(B2764)),"DATA_PC invalida",IF(OR(C2764="",C2764="Fora dos ciclos"),"CICLO_PC nao identificado",IF(OR(D2764="",D2764=0),"VALOR_PC vazio ou zero",IF(AND(G2764&lt;&gt;"Sim",G2764&lt;&gt;"Nao",G2764&lt;&gt;""),"PC_PAGO_A_CONTRATADA invalido",IF(AND(C2764&lt;&gt;"C0",IFERROR(INDEX(parametros!$A$2:$A$6,MATCH(C2764,parametros!$B$2:$B$6,0)),"")="Sim",IFERROR(INDEX(parametros!$H$2:$H$6,MATCH(C2764,parametros!$B$2:$B$6,0)),"")=""),"INICIO_EFEITO ausente: PC "&amp;A2764&amp;" - "&amp;C2764,IF(L2764="","EFEITO_PC nao calculado: PC "&amp;A2764&amp;" - "&amp;C2764,"OK")))))))))</f>
        <v/>
      </c>
      <c r="L2764" s="92" t="str">
        <f>IF(AND(A2764="",B2764="",D2764="",G2764=""),"",IF(OR(B2764="",NOT(ISNUMBER(B2764)),C2764="",C2764="Fora dos ciclos"),"",IF(C2764="C0","Nao",IF(IFERROR(INDEX(parametros!$A$2:$A$6,MATCH(C2764,parametros!$B$2:$B$6,0)),"")&lt;&gt;"Sim","Nao",IF(IFERROR(INDEX(parametros!$H$2:$H$6,MATCH(C2764,parametros!$B$2:$B$6,0)),"")="","",IF(B2764&gt;=IFERROR(INDEX(parametros!$H$2:$H$6,MATCH(C2764,parametros!$B$2:$B$6,0)),""),"Sim","Nao"))))))</f>
        <v/>
      </c>
      <c r="T2764" s="156"/>
      <c r="U2764" s="214" t="str">
        <f t="shared" si="221"/>
        <v/>
      </c>
      <c r="V2764" s="212" t="s">
        <v>50</v>
      </c>
      <c r="W2764" s="100" t="s">
        <v>168</v>
      </c>
      <c r="X2764" s="100" t="s">
        <v>169</v>
      </c>
      <c r="Y2764" s="101" t="s">
        <v>170</v>
      </c>
      <c r="Z2764" s="101" t="s">
        <v>171</v>
      </c>
      <c r="AA2764" s="101" t="s">
        <v>50</v>
      </c>
      <c r="AB2764" s="101" t="s">
        <v>172</v>
      </c>
      <c r="AC2764" s="102" t="s">
        <v>173</v>
      </c>
    </row>
    <row r="2765" spans="1:29" ht="25.5" customHeight="1" x14ac:dyDescent="0.35">
      <c r="A2765" s="392"/>
      <c r="B2765" s="393"/>
      <c r="C2765" s="99" t="str">
        <f>IF(B2765="","",IF(NOT(ISNUMBER(B2765)),"DATA_PC invalida",IF(NOT(ISNUMBER(parametros!$C$2)),"Fora dos ciclos",IF(OR(B2765&lt;parametros!$C$2,(YEAR(B2765)-YEAR(parametros!$C$2))*12+MONTH(B2765)-MONTH(parametros!$C$2)&gt;59),"Fora dos ciclos","C"&amp;INT(((YEAR(B2765)-YEAR(parametros!$C$2))*12+MONTH(B2765)-MONTH(parametros!$C$2))/12)))))</f>
        <v/>
      </c>
      <c r="D2765" s="394"/>
      <c r="E2765" s="78" t="str">
        <f>IF(C2765="","",IFERROR(VLOOKUP(C2765,parametros!$A$11:$E$15,5,0),""))</f>
        <v/>
      </c>
      <c r="F2765" s="79" t="str">
        <f t="shared" si="217"/>
        <v/>
      </c>
      <c r="G2765" s="395"/>
      <c r="H2765" s="91">
        <f t="shared" si="218"/>
        <v>0</v>
      </c>
      <c r="I2765" s="91" t="str">
        <f t="shared" si="219"/>
        <v/>
      </c>
      <c r="J2765" s="91" t="str">
        <f t="shared" si="220"/>
        <v/>
      </c>
      <c r="K2765" s="92" t="str">
        <f>IF(AND(A2765="",B2765="",D2765="",G2765=""),"",IF(AND(A2765&lt;&gt;"",COUNTIF($A$2:$A$5001,A2765)&gt;1),"NUMERO_PC duplicado",IF(B2765="","DATA_PC vazia",IF(NOT(ISNUMBER(B2765)),"DATA_PC invalida",IF(OR(C2765="",C2765="Fora dos ciclos"),"CICLO_PC nao identificado",IF(OR(D2765="",D2765=0),"VALOR_PC vazio ou zero",IF(AND(G2765&lt;&gt;"Sim",G2765&lt;&gt;"Nao",G2765&lt;&gt;""),"PC_PAGO_A_CONTRATADA invalido",IF(AND(C2765&lt;&gt;"C0",IFERROR(INDEX(parametros!$A$2:$A$6,MATCH(C2765,parametros!$B$2:$B$6,0)),"")="Sim",IFERROR(INDEX(parametros!$H$2:$H$6,MATCH(C2765,parametros!$B$2:$B$6,0)),"")=""),"INICIO_EFEITO ausente: PC "&amp;A2765&amp;" - "&amp;C2765,IF(L2765="","EFEITO_PC nao calculado: PC "&amp;A2765&amp;" - "&amp;C2765,"OK")))))))))</f>
        <v/>
      </c>
      <c r="L2765" s="92" t="str">
        <f>IF(AND(A2765="",B2765="",D2765="",G2765=""),"",IF(OR(B2765="",NOT(ISNUMBER(B2765)),C2765="",C2765="Fora dos ciclos"),"",IF(C2765="C0","Nao",IF(IFERROR(INDEX(parametros!$A$2:$A$6,MATCH(C2765,parametros!$B$2:$B$6,0)),"")&lt;&gt;"Sim","Nao",IF(IFERROR(INDEX(parametros!$H$2:$H$6,MATCH(C2765,parametros!$B$2:$B$6,0)),"")="","",IF(B2765&gt;=IFERROR(INDEX(parametros!$H$2:$H$6,MATCH(C2765,parametros!$B$2:$B$6,0)),""),"Sim","Nao"))))))</f>
        <v/>
      </c>
      <c r="T2765" s="156"/>
      <c r="U2765" s="214" t="str">
        <f t="shared" si="221"/>
        <v/>
      </c>
      <c r="V2765" s="212" t="s">
        <v>50</v>
      </c>
      <c r="W2765" s="100" t="s">
        <v>168</v>
      </c>
      <c r="X2765" s="100" t="s">
        <v>169</v>
      </c>
      <c r="Y2765" s="101" t="s">
        <v>170</v>
      </c>
      <c r="Z2765" s="101" t="s">
        <v>171</v>
      </c>
      <c r="AA2765" s="101" t="s">
        <v>50</v>
      </c>
      <c r="AB2765" s="101" t="s">
        <v>172</v>
      </c>
      <c r="AC2765" s="102" t="s">
        <v>173</v>
      </c>
    </row>
    <row r="2766" spans="1:29" ht="25.5" customHeight="1" x14ac:dyDescent="0.35">
      <c r="A2766" s="392"/>
      <c r="B2766" s="393"/>
      <c r="C2766" s="99" t="str">
        <f>IF(B2766="","",IF(NOT(ISNUMBER(B2766)),"DATA_PC invalida",IF(NOT(ISNUMBER(parametros!$C$2)),"Fora dos ciclos",IF(OR(B2766&lt;parametros!$C$2,(YEAR(B2766)-YEAR(parametros!$C$2))*12+MONTH(B2766)-MONTH(parametros!$C$2)&gt;59),"Fora dos ciclos","C"&amp;INT(((YEAR(B2766)-YEAR(parametros!$C$2))*12+MONTH(B2766)-MONTH(parametros!$C$2))/12)))))</f>
        <v/>
      </c>
      <c r="D2766" s="394"/>
      <c r="E2766" s="78" t="str">
        <f>IF(C2766="","",IFERROR(VLOOKUP(C2766,parametros!$A$11:$E$15,5,0),""))</f>
        <v/>
      </c>
      <c r="F2766" s="79" t="str">
        <f t="shared" si="217"/>
        <v/>
      </c>
      <c r="G2766" s="395"/>
      <c r="H2766" s="91">
        <f t="shared" si="218"/>
        <v>0</v>
      </c>
      <c r="I2766" s="91" t="str">
        <f t="shared" si="219"/>
        <v/>
      </c>
      <c r="J2766" s="91" t="str">
        <f t="shared" si="220"/>
        <v/>
      </c>
      <c r="K2766" s="92" t="str">
        <f>IF(AND(A2766="",B2766="",D2766="",G2766=""),"",IF(AND(A2766&lt;&gt;"",COUNTIF($A$2:$A$5001,A2766)&gt;1),"NUMERO_PC duplicado",IF(B2766="","DATA_PC vazia",IF(NOT(ISNUMBER(B2766)),"DATA_PC invalida",IF(OR(C2766="",C2766="Fora dos ciclos"),"CICLO_PC nao identificado",IF(OR(D2766="",D2766=0),"VALOR_PC vazio ou zero",IF(AND(G2766&lt;&gt;"Sim",G2766&lt;&gt;"Nao",G2766&lt;&gt;""),"PC_PAGO_A_CONTRATADA invalido",IF(AND(C2766&lt;&gt;"C0",IFERROR(INDEX(parametros!$A$2:$A$6,MATCH(C2766,parametros!$B$2:$B$6,0)),"")="Sim",IFERROR(INDEX(parametros!$H$2:$H$6,MATCH(C2766,parametros!$B$2:$B$6,0)),"")=""),"INICIO_EFEITO ausente: PC "&amp;A2766&amp;" - "&amp;C2766,IF(L2766="","EFEITO_PC nao calculado: PC "&amp;A2766&amp;" - "&amp;C2766,"OK")))))))))</f>
        <v/>
      </c>
      <c r="L2766" s="92" t="str">
        <f>IF(AND(A2766="",B2766="",D2766="",G2766=""),"",IF(OR(B2766="",NOT(ISNUMBER(B2766)),C2766="",C2766="Fora dos ciclos"),"",IF(C2766="C0","Nao",IF(IFERROR(INDEX(parametros!$A$2:$A$6,MATCH(C2766,parametros!$B$2:$B$6,0)),"")&lt;&gt;"Sim","Nao",IF(IFERROR(INDEX(parametros!$H$2:$H$6,MATCH(C2766,parametros!$B$2:$B$6,0)),"")="","",IF(B2766&gt;=IFERROR(INDEX(parametros!$H$2:$H$6,MATCH(C2766,parametros!$B$2:$B$6,0)),""),"Sim","Nao"))))))</f>
        <v/>
      </c>
      <c r="T2766" s="156"/>
      <c r="U2766" s="214" t="str">
        <f t="shared" si="221"/>
        <v/>
      </c>
      <c r="V2766" s="212" t="s">
        <v>50</v>
      </c>
      <c r="W2766" s="100" t="s">
        <v>168</v>
      </c>
      <c r="X2766" s="100" t="s">
        <v>169</v>
      </c>
      <c r="Y2766" s="101" t="s">
        <v>170</v>
      </c>
      <c r="Z2766" s="101" t="s">
        <v>171</v>
      </c>
      <c r="AA2766" s="101" t="s">
        <v>50</v>
      </c>
      <c r="AB2766" s="101" t="s">
        <v>172</v>
      </c>
      <c r="AC2766" s="102" t="s">
        <v>173</v>
      </c>
    </row>
    <row r="2767" spans="1:29" ht="25.5" customHeight="1" x14ac:dyDescent="0.35">
      <c r="A2767" s="392"/>
      <c r="B2767" s="393"/>
      <c r="C2767" s="99" t="str">
        <f>IF(B2767="","",IF(NOT(ISNUMBER(B2767)),"DATA_PC invalida",IF(NOT(ISNUMBER(parametros!$C$2)),"Fora dos ciclos",IF(OR(B2767&lt;parametros!$C$2,(YEAR(B2767)-YEAR(parametros!$C$2))*12+MONTH(B2767)-MONTH(parametros!$C$2)&gt;59),"Fora dos ciclos","C"&amp;INT(((YEAR(B2767)-YEAR(parametros!$C$2))*12+MONTH(B2767)-MONTH(parametros!$C$2))/12)))))</f>
        <v/>
      </c>
      <c r="D2767" s="394"/>
      <c r="E2767" s="78" t="str">
        <f>IF(C2767="","",IFERROR(VLOOKUP(C2767,parametros!$A$11:$E$15,5,0),""))</f>
        <v/>
      </c>
      <c r="F2767" s="79" t="str">
        <f t="shared" si="217"/>
        <v/>
      </c>
      <c r="G2767" s="395"/>
      <c r="H2767" s="91">
        <f t="shared" si="218"/>
        <v>0</v>
      </c>
      <c r="I2767" s="91" t="str">
        <f t="shared" si="219"/>
        <v/>
      </c>
      <c r="J2767" s="91" t="str">
        <f t="shared" si="220"/>
        <v/>
      </c>
      <c r="K2767" s="92" t="str">
        <f>IF(AND(A2767="",B2767="",D2767="",G2767=""),"",IF(AND(A2767&lt;&gt;"",COUNTIF($A$2:$A$5001,A2767)&gt;1),"NUMERO_PC duplicado",IF(B2767="","DATA_PC vazia",IF(NOT(ISNUMBER(B2767)),"DATA_PC invalida",IF(OR(C2767="",C2767="Fora dos ciclos"),"CICLO_PC nao identificado",IF(OR(D2767="",D2767=0),"VALOR_PC vazio ou zero",IF(AND(G2767&lt;&gt;"Sim",G2767&lt;&gt;"Nao",G2767&lt;&gt;""),"PC_PAGO_A_CONTRATADA invalido",IF(AND(C2767&lt;&gt;"C0",IFERROR(INDEX(parametros!$A$2:$A$6,MATCH(C2767,parametros!$B$2:$B$6,0)),"")="Sim",IFERROR(INDEX(parametros!$H$2:$H$6,MATCH(C2767,parametros!$B$2:$B$6,0)),"")=""),"INICIO_EFEITO ausente: PC "&amp;A2767&amp;" - "&amp;C2767,IF(L2767="","EFEITO_PC nao calculado: PC "&amp;A2767&amp;" - "&amp;C2767,"OK")))))))))</f>
        <v/>
      </c>
      <c r="L2767" s="92" t="str">
        <f>IF(AND(A2767="",B2767="",D2767="",G2767=""),"",IF(OR(B2767="",NOT(ISNUMBER(B2767)),C2767="",C2767="Fora dos ciclos"),"",IF(C2767="C0","Nao",IF(IFERROR(INDEX(parametros!$A$2:$A$6,MATCH(C2767,parametros!$B$2:$B$6,0)),"")&lt;&gt;"Sim","Nao",IF(IFERROR(INDEX(parametros!$H$2:$H$6,MATCH(C2767,parametros!$B$2:$B$6,0)),"")="","",IF(B2767&gt;=IFERROR(INDEX(parametros!$H$2:$H$6,MATCH(C2767,parametros!$B$2:$B$6,0)),""),"Sim","Nao"))))))</f>
        <v/>
      </c>
      <c r="T2767" s="156"/>
      <c r="U2767" s="214" t="str">
        <f t="shared" si="221"/>
        <v/>
      </c>
      <c r="V2767" s="212" t="s">
        <v>50</v>
      </c>
      <c r="W2767" s="100" t="s">
        <v>168</v>
      </c>
      <c r="X2767" s="100" t="s">
        <v>169</v>
      </c>
      <c r="Y2767" s="101" t="s">
        <v>170</v>
      </c>
      <c r="Z2767" s="101" t="s">
        <v>171</v>
      </c>
      <c r="AA2767" s="101" t="s">
        <v>50</v>
      </c>
      <c r="AB2767" s="101" t="s">
        <v>172</v>
      </c>
      <c r="AC2767" s="102" t="s">
        <v>173</v>
      </c>
    </row>
    <row r="2768" spans="1:29" ht="25.5" customHeight="1" x14ac:dyDescent="0.35">
      <c r="A2768" s="392"/>
      <c r="B2768" s="393"/>
      <c r="C2768" s="99" t="str">
        <f>IF(B2768="","",IF(NOT(ISNUMBER(B2768)),"DATA_PC invalida",IF(NOT(ISNUMBER(parametros!$C$2)),"Fora dos ciclos",IF(OR(B2768&lt;parametros!$C$2,(YEAR(B2768)-YEAR(parametros!$C$2))*12+MONTH(B2768)-MONTH(parametros!$C$2)&gt;59),"Fora dos ciclos","C"&amp;INT(((YEAR(B2768)-YEAR(parametros!$C$2))*12+MONTH(B2768)-MONTH(parametros!$C$2))/12)))))</f>
        <v/>
      </c>
      <c r="D2768" s="394"/>
      <c r="E2768" s="78" t="str">
        <f>IF(C2768="","",IFERROR(VLOOKUP(C2768,parametros!$A$11:$E$15,5,0),""))</f>
        <v/>
      </c>
      <c r="F2768" s="79" t="str">
        <f t="shared" si="217"/>
        <v/>
      </c>
      <c r="G2768" s="395"/>
      <c r="H2768" s="91">
        <f t="shared" si="218"/>
        <v>0</v>
      </c>
      <c r="I2768" s="91" t="str">
        <f t="shared" si="219"/>
        <v/>
      </c>
      <c r="J2768" s="91" t="str">
        <f t="shared" si="220"/>
        <v/>
      </c>
      <c r="K2768" s="92" t="str">
        <f>IF(AND(A2768="",B2768="",D2768="",G2768=""),"",IF(AND(A2768&lt;&gt;"",COUNTIF($A$2:$A$5001,A2768)&gt;1),"NUMERO_PC duplicado",IF(B2768="","DATA_PC vazia",IF(NOT(ISNUMBER(B2768)),"DATA_PC invalida",IF(OR(C2768="",C2768="Fora dos ciclos"),"CICLO_PC nao identificado",IF(OR(D2768="",D2768=0),"VALOR_PC vazio ou zero",IF(AND(G2768&lt;&gt;"Sim",G2768&lt;&gt;"Nao",G2768&lt;&gt;""),"PC_PAGO_A_CONTRATADA invalido",IF(AND(C2768&lt;&gt;"C0",IFERROR(INDEX(parametros!$A$2:$A$6,MATCH(C2768,parametros!$B$2:$B$6,0)),"")="Sim",IFERROR(INDEX(parametros!$H$2:$H$6,MATCH(C2768,parametros!$B$2:$B$6,0)),"")=""),"INICIO_EFEITO ausente: PC "&amp;A2768&amp;" - "&amp;C2768,IF(L2768="","EFEITO_PC nao calculado: PC "&amp;A2768&amp;" - "&amp;C2768,"OK")))))))))</f>
        <v/>
      </c>
      <c r="L2768" s="92" t="str">
        <f>IF(AND(A2768="",B2768="",D2768="",G2768=""),"",IF(OR(B2768="",NOT(ISNUMBER(B2768)),C2768="",C2768="Fora dos ciclos"),"",IF(C2768="C0","Nao",IF(IFERROR(INDEX(parametros!$A$2:$A$6,MATCH(C2768,parametros!$B$2:$B$6,0)),"")&lt;&gt;"Sim","Nao",IF(IFERROR(INDEX(parametros!$H$2:$H$6,MATCH(C2768,parametros!$B$2:$B$6,0)),"")="","",IF(B2768&gt;=IFERROR(INDEX(parametros!$H$2:$H$6,MATCH(C2768,parametros!$B$2:$B$6,0)),""),"Sim","Nao"))))))</f>
        <v/>
      </c>
      <c r="T2768" s="156"/>
      <c r="U2768" s="214" t="str">
        <f t="shared" si="221"/>
        <v/>
      </c>
      <c r="V2768" s="212" t="s">
        <v>50</v>
      </c>
      <c r="W2768" s="100" t="s">
        <v>168</v>
      </c>
      <c r="X2768" s="100" t="s">
        <v>169</v>
      </c>
      <c r="Y2768" s="101" t="s">
        <v>170</v>
      </c>
      <c r="Z2768" s="101" t="s">
        <v>171</v>
      </c>
      <c r="AA2768" s="101" t="s">
        <v>50</v>
      </c>
      <c r="AB2768" s="101" t="s">
        <v>172</v>
      </c>
      <c r="AC2768" s="102" t="s">
        <v>173</v>
      </c>
    </row>
    <row r="2769" spans="1:29" ht="25.5" customHeight="1" x14ac:dyDescent="0.35">
      <c r="A2769" s="392"/>
      <c r="B2769" s="393"/>
      <c r="C2769" s="99" t="str">
        <f>IF(B2769="","",IF(NOT(ISNUMBER(B2769)),"DATA_PC invalida",IF(NOT(ISNUMBER(parametros!$C$2)),"Fora dos ciclos",IF(OR(B2769&lt;parametros!$C$2,(YEAR(B2769)-YEAR(parametros!$C$2))*12+MONTH(B2769)-MONTH(parametros!$C$2)&gt;59),"Fora dos ciclos","C"&amp;INT(((YEAR(B2769)-YEAR(parametros!$C$2))*12+MONTH(B2769)-MONTH(parametros!$C$2))/12)))))</f>
        <v/>
      </c>
      <c r="D2769" s="394"/>
      <c r="E2769" s="78" t="str">
        <f>IF(C2769="","",IFERROR(VLOOKUP(C2769,parametros!$A$11:$E$15,5,0),""))</f>
        <v/>
      </c>
      <c r="F2769" s="79" t="str">
        <f t="shared" si="217"/>
        <v/>
      </c>
      <c r="G2769" s="395"/>
      <c r="H2769" s="91">
        <f t="shared" si="218"/>
        <v>0</v>
      </c>
      <c r="I2769" s="91" t="str">
        <f t="shared" si="219"/>
        <v/>
      </c>
      <c r="J2769" s="91" t="str">
        <f t="shared" si="220"/>
        <v/>
      </c>
      <c r="K2769" s="92" t="str">
        <f>IF(AND(A2769="",B2769="",D2769="",G2769=""),"",IF(AND(A2769&lt;&gt;"",COUNTIF($A$2:$A$5001,A2769)&gt;1),"NUMERO_PC duplicado",IF(B2769="","DATA_PC vazia",IF(NOT(ISNUMBER(B2769)),"DATA_PC invalida",IF(OR(C2769="",C2769="Fora dos ciclos"),"CICLO_PC nao identificado",IF(OR(D2769="",D2769=0),"VALOR_PC vazio ou zero",IF(AND(G2769&lt;&gt;"Sim",G2769&lt;&gt;"Nao",G2769&lt;&gt;""),"PC_PAGO_A_CONTRATADA invalido",IF(AND(C2769&lt;&gt;"C0",IFERROR(INDEX(parametros!$A$2:$A$6,MATCH(C2769,parametros!$B$2:$B$6,0)),"")="Sim",IFERROR(INDEX(parametros!$H$2:$H$6,MATCH(C2769,parametros!$B$2:$B$6,0)),"")=""),"INICIO_EFEITO ausente: PC "&amp;A2769&amp;" - "&amp;C2769,IF(L2769="","EFEITO_PC nao calculado: PC "&amp;A2769&amp;" - "&amp;C2769,"OK")))))))))</f>
        <v/>
      </c>
      <c r="L2769" s="92" t="str">
        <f>IF(AND(A2769="",B2769="",D2769="",G2769=""),"",IF(OR(B2769="",NOT(ISNUMBER(B2769)),C2769="",C2769="Fora dos ciclos"),"",IF(C2769="C0","Nao",IF(IFERROR(INDEX(parametros!$A$2:$A$6,MATCH(C2769,parametros!$B$2:$B$6,0)),"")&lt;&gt;"Sim","Nao",IF(IFERROR(INDEX(parametros!$H$2:$H$6,MATCH(C2769,parametros!$B$2:$B$6,0)),"")="","",IF(B2769&gt;=IFERROR(INDEX(parametros!$H$2:$H$6,MATCH(C2769,parametros!$B$2:$B$6,0)),""),"Sim","Nao"))))))</f>
        <v/>
      </c>
      <c r="T2769" s="156"/>
      <c r="U2769" s="214" t="str">
        <f t="shared" si="221"/>
        <v/>
      </c>
      <c r="V2769" s="212" t="s">
        <v>50</v>
      </c>
      <c r="W2769" s="100" t="s">
        <v>168</v>
      </c>
      <c r="X2769" s="100" t="s">
        <v>169</v>
      </c>
      <c r="Y2769" s="101" t="s">
        <v>170</v>
      </c>
      <c r="Z2769" s="101" t="s">
        <v>171</v>
      </c>
      <c r="AA2769" s="101" t="s">
        <v>50</v>
      </c>
      <c r="AB2769" s="101" t="s">
        <v>172</v>
      </c>
      <c r="AC2769" s="102" t="s">
        <v>173</v>
      </c>
    </row>
    <row r="2770" spans="1:29" ht="25.5" customHeight="1" x14ac:dyDescent="0.35">
      <c r="A2770" s="392"/>
      <c r="B2770" s="393"/>
      <c r="C2770" s="99" t="str">
        <f>IF(B2770="","",IF(NOT(ISNUMBER(B2770)),"DATA_PC invalida",IF(NOT(ISNUMBER(parametros!$C$2)),"Fora dos ciclos",IF(OR(B2770&lt;parametros!$C$2,(YEAR(B2770)-YEAR(parametros!$C$2))*12+MONTH(B2770)-MONTH(parametros!$C$2)&gt;59),"Fora dos ciclos","C"&amp;INT(((YEAR(B2770)-YEAR(parametros!$C$2))*12+MONTH(B2770)-MONTH(parametros!$C$2))/12)))))</f>
        <v/>
      </c>
      <c r="D2770" s="394"/>
      <c r="E2770" s="78" t="str">
        <f>IF(C2770="","",IFERROR(VLOOKUP(C2770,parametros!$A$11:$E$15,5,0),""))</f>
        <v/>
      </c>
      <c r="F2770" s="79" t="str">
        <f t="shared" si="217"/>
        <v/>
      </c>
      <c r="G2770" s="395"/>
      <c r="H2770" s="91">
        <f t="shared" si="218"/>
        <v>0</v>
      </c>
      <c r="I2770" s="91" t="str">
        <f t="shared" si="219"/>
        <v/>
      </c>
      <c r="J2770" s="91" t="str">
        <f t="shared" si="220"/>
        <v/>
      </c>
      <c r="K2770" s="92" t="str">
        <f>IF(AND(A2770="",B2770="",D2770="",G2770=""),"",IF(AND(A2770&lt;&gt;"",COUNTIF($A$2:$A$5001,A2770)&gt;1),"NUMERO_PC duplicado",IF(B2770="","DATA_PC vazia",IF(NOT(ISNUMBER(B2770)),"DATA_PC invalida",IF(OR(C2770="",C2770="Fora dos ciclos"),"CICLO_PC nao identificado",IF(OR(D2770="",D2770=0),"VALOR_PC vazio ou zero",IF(AND(G2770&lt;&gt;"Sim",G2770&lt;&gt;"Nao",G2770&lt;&gt;""),"PC_PAGO_A_CONTRATADA invalido",IF(AND(C2770&lt;&gt;"C0",IFERROR(INDEX(parametros!$A$2:$A$6,MATCH(C2770,parametros!$B$2:$B$6,0)),"")="Sim",IFERROR(INDEX(parametros!$H$2:$H$6,MATCH(C2770,parametros!$B$2:$B$6,0)),"")=""),"INICIO_EFEITO ausente: PC "&amp;A2770&amp;" - "&amp;C2770,IF(L2770="","EFEITO_PC nao calculado: PC "&amp;A2770&amp;" - "&amp;C2770,"OK")))))))))</f>
        <v/>
      </c>
      <c r="L2770" s="92" t="str">
        <f>IF(AND(A2770="",B2770="",D2770="",G2770=""),"",IF(OR(B2770="",NOT(ISNUMBER(B2770)),C2770="",C2770="Fora dos ciclos"),"",IF(C2770="C0","Nao",IF(IFERROR(INDEX(parametros!$A$2:$A$6,MATCH(C2770,parametros!$B$2:$B$6,0)),"")&lt;&gt;"Sim","Nao",IF(IFERROR(INDEX(parametros!$H$2:$H$6,MATCH(C2770,parametros!$B$2:$B$6,0)),"")="","",IF(B2770&gt;=IFERROR(INDEX(parametros!$H$2:$H$6,MATCH(C2770,parametros!$B$2:$B$6,0)),""),"Sim","Nao"))))))</f>
        <v/>
      </c>
      <c r="T2770" s="156"/>
      <c r="U2770" s="214" t="str">
        <f t="shared" si="221"/>
        <v/>
      </c>
      <c r="V2770" s="212" t="s">
        <v>50</v>
      </c>
      <c r="W2770" s="100" t="s">
        <v>168</v>
      </c>
      <c r="X2770" s="100" t="s">
        <v>169</v>
      </c>
      <c r="Y2770" s="101" t="s">
        <v>170</v>
      </c>
      <c r="Z2770" s="101" t="s">
        <v>171</v>
      </c>
      <c r="AA2770" s="101" t="s">
        <v>50</v>
      </c>
      <c r="AB2770" s="101" t="s">
        <v>172</v>
      </c>
      <c r="AC2770" s="102" t="s">
        <v>173</v>
      </c>
    </row>
    <row r="2771" spans="1:29" ht="25.5" customHeight="1" x14ac:dyDescent="0.35">
      <c r="A2771" s="392"/>
      <c r="B2771" s="393"/>
      <c r="C2771" s="99" t="str">
        <f>IF(B2771="","",IF(NOT(ISNUMBER(B2771)),"DATA_PC invalida",IF(NOT(ISNUMBER(parametros!$C$2)),"Fora dos ciclos",IF(OR(B2771&lt;parametros!$C$2,(YEAR(B2771)-YEAR(parametros!$C$2))*12+MONTH(B2771)-MONTH(parametros!$C$2)&gt;59),"Fora dos ciclos","C"&amp;INT(((YEAR(B2771)-YEAR(parametros!$C$2))*12+MONTH(B2771)-MONTH(parametros!$C$2))/12)))))</f>
        <v/>
      </c>
      <c r="D2771" s="394"/>
      <c r="E2771" s="78" t="str">
        <f>IF(C2771="","",IFERROR(VLOOKUP(C2771,parametros!$A$11:$E$15,5,0),""))</f>
        <v/>
      </c>
      <c r="F2771" s="79" t="str">
        <f t="shared" si="217"/>
        <v/>
      </c>
      <c r="G2771" s="395"/>
      <c r="H2771" s="91">
        <f t="shared" si="218"/>
        <v>0</v>
      </c>
      <c r="I2771" s="91" t="str">
        <f t="shared" si="219"/>
        <v/>
      </c>
      <c r="J2771" s="91" t="str">
        <f t="shared" si="220"/>
        <v/>
      </c>
      <c r="K2771" s="92" t="str">
        <f>IF(AND(A2771="",B2771="",D2771="",G2771=""),"",IF(AND(A2771&lt;&gt;"",COUNTIF($A$2:$A$5001,A2771)&gt;1),"NUMERO_PC duplicado",IF(B2771="","DATA_PC vazia",IF(NOT(ISNUMBER(B2771)),"DATA_PC invalida",IF(OR(C2771="",C2771="Fora dos ciclos"),"CICLO_PC nao identificado",IF(OR(D2771="",D2771=0),"VALOR_PC vazio ou zero",IF(AND(G2771&lt;&gt;"Sim",G2771&lt;&gt;"Nao",G2771&lt;&gt;""),"PC_PAGO_A_CONTRATADA invalido",IF(AND(C2771&lt;&gt;"C0",IFERROR(INDEX(parametros!$A$2:$A$6,MATCH(C2771,parametros!$B$2:$B$6,0)),"")="Sim",IFERROR(INDEX(parametros!$H$2:$H$6,MATCH(C2771,parametros!$B$2:$B$6,0)),"")=""),"INICIO_EFEITO ausente: PC "&amp;A2771&amp;" - "&amp;C2771,IF(L2771="","EFEITO_PC nao calculado: PC "&amp;A2771&amp;" - "&amp;C2771,"OK")))))))))</f>
        <v/>
      </c>
      <c r="L2771" s="92" t="str">
        <f>IF(AND(A2771="",B2771="",D2771="",G2771=""),"",IF(OR(B2771="",NOT(ISNUMBER(B2771)),C2771="",C2771="Fora dos ciclos"),"",IF(C2771="C0","Nao",IF(IFERROR(INDEX(parametros!$A$2:$A$6,MATCH(C2771,parametros!$B$2:$B$6,0)),"")&lt;&gt;"Sim","Nao",IF(IFERROR(INDEX(parametros!$H$2:$H$6,MATCH(C2771,parametros!$B$2:$B$6,0)),"")="","",IF(B2771&gt;=IFERROR(INDEX(parametros!$H$2:$H$6,MATCH(C2771,parametros!$B$2:$B$6,0)),""),"Sim","Nao"))))))</f>
        <v/>
      </c>
      <c r="T2771" s="156"/>
      <c r="U2771" s="214" t="str">
        <f t="shared" si="221"/>
        <v/>
      </c>
      <c r="V2771" s="212" t="s">
        <v>50</v>
      </c>
      <c r="W2771" s="100" t="s">
        <v>168</v>
      </c>
      <c r="X2771" s="100" t="s">
        <v>169</v>
      </c>
      <c r="Y2771" s="101" t="s">
        <v>170</v>
      </c>
      <c r="Z2771" s="101" t="s">
        <v>171</v>
      </c>
      <c r="AA2771" s="101" t="s">
        <v>50</v>
      </c>
      <c r="AB2771" s="101" t="s">
        <v>172</v>
      </c>
      <c r="AC2771" s="102" t="s">
        <v>173</v>
      </c>
    </row>
    <row r="2772" spans="1:29" ht="25.5" customHeight="1" x14ac:dyDescent="0.35">
      <c r="A2772" s="392"/>
      <c r="B2772" s="393"/>
      <c r="C2772" s="99" t="str">
        <f>IF(B2772="","",IF(NOT(ISNUMBER(B2772)),"DATA_PC invalida",IF(NOT(ISNUMBER(parametros!$C$2)),"Fora dos ciclos",IF(OR(B2772&lt;parametros!$C$2,(YEAR(B2772)-YEAR(parametros!$C$2))*12+MONTH(B2772)-MONTH(parametros!$C$2)&gt;59),"Fora dos ciclos","C"&amp;INT(((YEAR(B2772)-YEAR(parametros!$C$2))*12+MONTH(B2772)-MONTH(parametros!$C$2))/12)))))</f>
        <v/>
      </c>
      <c r="D2772" s="394"/>
      <c r="E2772" s="78" t="str">
        <f>IF(C2772="","",IFERROR(VLOOKUP(C2772,parametros!$A$11:$E$15,5,0),""))</f>
        <v/>
      </c>
      <c r="F2772" s="79" t="str">
        <f t="shared" si="217"/>
        <v/>
      </c>
      <c r="G2772" s="395"/>
      <c r="H2772" s="91">
        <f t="shared" si="218"/>
        <v>0</v>
      </c>
      <c r="I2772" s="91" t="str">
        <f t="shared" si="219"/>
        <v/>
      </c>
      <c r="J2772" s="91" t="str">
        <f t="shared" si="220"/>
        <v/>
      </c>
      <c r="K2772" s="92" t="str">
        <f>IF(AND(A2772="",B2772="",D2772="",G2772=""),"",IF(AND(A2772&lt;&gt;"",COUNTIF($A$2:$A$5001,A2772)&gt;1),"NUMERO_PC duplicado",IF(B2772="","DATA_PC vazia",IF(NOT(ISNUMBER(B2772)),"DATA_PC invalida",IF(OR(C2772="",C2772="Fora dos ciclos"),"CICLO_PC nao identificado",IF(OR(D2772="",D2772=0),"VALOR_PC vazio ou zero",IF(AND(G2772&lt;&gt;"Sim",G2772&lt;&gt;"Nao",G2772&lt;&gt;""),"PC_PAGO_A_CONTRATADA invalido",IF(AND(C2772&lt;&gt;"C0",IFERROR(INDEX(parametros!$A$2:$A$6,MATCH(C2772,parametros!$B$2:$B$6,0)),"")="Sim",IFERROR(INDEX(parametros!$H$2:$H$6,MATCH(C2772,parametros!$B$2:$B$6,0)),"")=""),"INICIO_EFEITO ausente: PC "&amp;A2772&amp;" - "&amp;C2772,IF(L2772="","EFEITO_PC nao calculado: PC "&amp;A2772&amp;" - "&amp;C2772,"OK")))))))))</f>
        <v/>
      </c>
      <c r="L2772" s="92" t="str">
        <f>IF(AND(A2772="",B2772="",D2772="",G2772=""),"",IF(OR(B2772="",NOT(ISNUMBER(B2772)),C2772="",C2772="Fora dos ciclos"),"",IF(C2772="C0","Nao",IF(IFERROR(INDEX(parametros!$A$2:$A$6,MATCH(C2772,parametros!$B$2:$B$6,0)),"")&lt;&gt;"Sim","Nao",IF(IFERROR(INDEX(parametros!$H$2:$H$6,MATCH(C2772,parametros!$B$2:$B$6,0)),"")="","",IF(B2772&gt;=IFERROR(INDEX(parametros!$H$2:$H$6,MATCH(C2772,parametros!$B$2:$B$6,0)),""),"Sim","Nao"))))))</f>
        <v/>
      </c>
      <c r="T2772" s="156"/>
      <c r="U2772" s="214" t="str">
        <f t="shared" si="221"/>
        <v/>
      </c>
      <c r="V2772" s="212" t="s">
        <v>50</v>
      </c>
      <c r="W2772" s="100" t="s">
        <v>168</v>
      </c>
      <c r="X2772" s="100" t="s">
        <v>169</v>
      </c>
      <c r="Y2772" s="101" t="s">
        <v>170</v>
      </c>
      <c r="Z2772" s="101" t="s">
        <v>171</v>
      </c>
      <c r="AA2772" s="101" t="s">
        <v>50</v>
      </c>
      <c r="AB2772" s="101" t="s">
        <v>172</v>
      </c>
      <c r="AC2772" s="102" t="s">
        <v>173</v>
      </c>
    </row>
    <row r="2773" spans="1:29" ht="25.5" customHeight="1" x14ac:dyDescent="0.35">
      <c r="A2773" s="392"/>
      <c r="B2773" s="393"/>
      <c r="C2773" s="99" t="str">
        <f>IF(B2773="","",IF(NOT(ISNUMBER(B2773)),"DATA_PC invalida",IF(NOT(ISNUMBER(parametros!$C$2)),"Fora dos ciclos",IF(OR(B2773&lt;parametros!$C$2,(YEAR(B2773)-YEAR(parametros!$C$2))*12+MONTH(B2773)-MONTH(parametros!$C$2)&gt;59),"Fora dos ciclos","C"&amp;INT(((YEAR(B2773)-YEAR(parametros!$C$2))*12+MONTH(B2773)-MONTH(parametros!$C$2))/12)))))</f>
        <v/>
      </c>
      <c r="D2773" s="394"/>
      <c r="E2773" s="78" t="str">
        <f>IF(C2773="","",IFERROR(VLOOKUP(C2773,parametros!$A$11:$E$15,5,0),""))</f>
        <v/>
      </c>
      <c r="F2773" s="79" t="str">
        <f t="shared" si="217"/>
        <v/>
      </c>
      <c r="G2773" s="395"/>
      <c r="H2773" s="91">
        <f t="shared" si="218"/>
        <v>0</v>
      </c>
      <c r="I2773" s="91" t="str">
        <f t="shared" si="219"/>
        <v/>
      </c>
      <c r="J2773" s="91" t="str">
        <f t="shared" si="220"/>
        <v/>
      </c>
      <c r="K2773" s="92" t="str">
        <f>IF(AND(A2773="",B2773="",D2773="",G2773=""),"",IF(AND(A2773&lt;&gt;"",COUNTIF($A$2:$A$5001,A2773)&gt;1),"NUMERO_PC duplicado",IF(B2773="","DATA_PC vazia",IF(NOT(ISNUMBER(B2773)),"DATA_PC invalida",IF(OR(C2773="",C2773="Fora dos ciclos"),"CICLO_PC nao identificado",IF(OR(D2773="",D2773=0),"VALOR_PC vazio ou zero",IF(AND(G2773&lt;&gt;"Sim",G2773&lt;&gt;"Nao",G2773&lt;&gt;""),"PC_PAGO_A_CONTRATADA invalido",IF(AND(C2773&lt;&gt;"C0",IFERROR(INDEX(parametros!$A$2:$A$6,MATCH(C2773,parametros!$B$2:$B$6,0)),"")="Sim",IFERROR(INDEX(parametros!$H$2:$H$6,MATCH(C2773,parametros!$B$2:$B$6,0)),"")=""),"INICIO_EFEITO ausente: PC "&amp;A2773&amp;" - "&amp;C2773,IF(L2773="","EFEITO_PC nao calculado: PC "&amp;A2773&amp;" - "&amp;C2773,"OK")))))))))</f>
        <v/>
      </c>
      <c r="L2773" s="92" t="str">
        <f>IF(AND(A2773="",B2773="",D2773="",G2773=""),"",IF(OR(B2773="",NOT(ISNUMBER(B2773)),C2773="",C2773="Fora dos ciclos"),"",IF(C2773="C0","Nao",IF(IFERROR(INDEX(parametros!$A$2:$A$6,MATCH(C2773,parametros!$B$2:$B$6,0)),"")&lt;&gt;"Sim","Nao",IF(IFERROR(INDEX(parametros!$H$2:$H$6,MATCH(C2773,parametros!$B$2:$B$6,0)),"")="","",IF(B2773&gt;=IFERROR(INDEX(parametros!$H$2:$H$6,MATCH(C2773,parametros!$B$2:$B$6,0)),""),"Sim","Nao"))))))</f>
        <v/>
      </c>
      <c r="T2773" s="156"/>
      <c r="U2773" s="214" t="str">
        <f t="shared" si="221"/>
        <v/>
      </c>
      <c r="V2773" s="212" t="s">
        <v>50</v>
      </c>
      <c r="W2773" s="100" t="s">
        <v>168</v>
      </c>
      <c r="X2773" s="100" t="s">
        <v>169</v>
      </c>
      <c r="Y2773" s="101" t="s">
        <v>170</v>
      </c>
      <c r="Z2773" s="101" t="s">
        <v>171</v>
      </c>
      <c r="AA2773" s="101" t="s">
        <v>50</v>
      </c>
      <c r="AB2773" s="101" t="s">
        <v>172</v>
      </c>
      <c r="AC2773" s="102" t="s">
        <v>173</v>
      </c>
    </row>
    <row r="2774" spans="1:29" ht="25.5" customHeight="1" x14ac:dyDescent="0.35">
      <c r="A2774" s="392"/>
      <c r="B2774" s="393"/>
      <c r="C2774" s="99" t="str">
        <f>IF(B2774="","",IF(NOT(ISNUMBER(B2774)),"DATA_PC invalida",IF(NOT(ISNUMBER(parametros!$C$2)),"Fora dos ciclos",IF(OR(B2774&lt;parametros!$C$2,(YEAR(B2774)-YEAR(parametros!$C$2))*12+MONTH(B2774)-MONTH(parametros!$C$2)&gt;59),"Fora dos ciclos","C"&amp;INT(((YEAR(B2774)-YEAR(parametros!$C$2))*12+MONTH(B2774)-MONTH(parametros!$C$2))/12)))))</f>
        <v/>
      </c>
      <c r="D2774" s="394"/>
      <c r="E2774" s="78" t="str">
        <f>IF(C2774="","",IFERROR(VLOOKUP(C2774,parametros!$A$11:$E$15,5,0),""))</f>
        <v/>
      </c>
      <c r="F2774" s="79" t="str">
        <f t="shared" si="217"/>
        <v/>
      </c>
      <c r="G2774" s="395"/>
      <c r="H2774" s="91">
        <f t="shared" si="218"/>
        <v>0</v>
      </c>
      <c r="I2774" s="91" t="str">
        <f t="shared" si="219"/>
        <v/>
      </c>
      <c r="J2774" s="91" t="str">
        <f t="shared" si="220"/>
        <v/>
      </c>
      <c r="K2774" s="92" t="str">
        <f>IF(AND(A2774="",B2774="",D2774="",G2774=""),"",IF(AND(A2774&lt;&gt;"",COUNTIF($A$2:$A$5001,A2774)&gt;1),"NUMERO_PC duplicado",IF(B2774="","DATA_PC vazia",IF(NOT(ISNUMBER(B2774)),"DATA_PC invalida",IF(OR(C2774="",C2774="Fora dos ciclos"),"CICLO_PC nao identificado",IF(OR(D2774="",D2774=0),"VALOR_PC vazio ou zero",IF(AND(G2774&lt;&gt;"Sim",G2774&lt;&gt;"Nao",G2774&lt;&gt;""),"PC_PAGO_A_CONTRATADA invalido",IF(AND(C2774&lt;&gt;"C0",IFERROR(INDEX(parametros!$A$2:$A$6,MATCH(C2774,parametros!$B$2:$B$6,0)),"")="Sim",IFERROR(INDEX(parametros!$H$2:$H$6,MATCH(C2774,parametros!$B$2:$B$6,0)),"")=""),"INICIO_EFEITO ausente: PC "&amp;A2774&amp;" - "&amp;C2774,IF(L2774="","EFEITO_PC nao calculado: PC "&amp;A2774&amp;" - "&amp;C2774,"OK")))))))))</f>
        <v/>
      </c>
      <c r="L2774" s="92" t="str">
        <f>IF(AND(A2774="",B2774="",D2774="",G2774=""),"",IF(OR(B2774="",NOT(ISNUMBER(B2774)),C2774="",C2774="Fora dos ciclos"),"",IF(C2774="C0","Nao",IF(IFERROR(INDEX(parametros!$A$2:$A$6,MATCH(C2774,parametros!$B$2:$B$6,0)),"")&lt;&gt;"Sim","Nao",IF(IFERROR(INDEX(parametros!$H$2:$H$6,MATCH(C2774,parametros!$B$2:$B$6,0)),"")="","",IF(B2774&gt;=IFERROR(INDEX(parametros!$H$2:$H$6,MATCH(C2774,parametros!$B$2:$B$6,0)),""),"Sim","Nao"))))))</f>
        <v/>
      </c>
      <c r="T2774" s="156"/>
      <c r="U2774" s="214" t="str">
        <f t="shared" si="221"/>
        <v/>
      </c>
      <c r="V2774" s="212" t="s">
        <v>50</v>
      </c>
      <c r="W2774" s="100" t="s">
        <v>168</v>
      </c>
      <c r="X2774" s="100" t="s">
        <v>169</v>
      </c>
      <c r="Y2774" s="101" t="s">
        <v>170</v>
      </c>
      <c r="Z2774" s="101" t="s">
        <v>171</v>
      </c>
      <c r="AA2774" s="101" t="s">
        <v>50</v>
      </c>
      <c r="AB2774" s="101" t="s">
        <v>172</v>
      </c>
      <c r="AC2774" s="102" t="s">
        <v>173</v>
      </c>
    </row>
    <row r="2775" spans="1:29" ht="25.5" customHeight="1" x14ac:dyDescent="0.35">
      <c r="A2775" s="392"/>
      <c r="B2775" s="393"/>
      <c r="C2775" s="99" t="str">
        <f>IF(B2775="","",IF(NOT(ISNUMBER(B2775)),"DATA_PC invalida",IF(NOT(ISNUMBER(parametros!$C$2)),"Fora dos ciclos",IF(OR(B2775&lt;parametros!$C$2,(YEAR(B2775)-YEAR(parametros!$C$2))*12+MONTH(B2775)-MONTH(parametros!$C$2)&gt;59),"Fora dos ciclos","C"&amp;INT(((YEAR(B2775)-YEAR(parametros!$C$2))*12+MONTH(B2775)-MONTH(parametros!$C$2))/12)))))</f>
        <v/>
      </c>
      <c r="D2775" s="394"/>
      <c r="E2775" s="78" t="str">
        <f>IF(C2775="","",IFERROR(VLOOKUP(C2775,parametros!$A$11:$E$15,5,0),""))</f>
        <v/>
      </c>
      <c r="F2775" s="79" t="str">
        <f t="shared" si="217"/>
        <v/>
      </c>
      <c r="G2775" s="395"/>
      <c r="H2775" s="91">
        <f t="shared" si="218"/>
        <v>0</v>
      </c>
      <c r="I2775" s="91" t="str">
        <f t="shared" si="219"/>
        <v/>
      </c>
      <c r="J2775" s="91" t="str">
        <f t="shared" si="220"/>
        <v/>
      </c>
      <c r="K2775" s="92" t="str">
        <f>IF(AND(A2775="",B2775="",D2775="",G2775=""),"",IF(AND(A2775&lt;&gt;"",COUNTIF($A$2:$A$5001,A2775)&gt;1),"NUMERO_PC duplicado",IF(B2775="","DATA_PC vazia",IF(NOT(ISNUMBER(B2775)),"DATA_PC invalida",IF(OR(C2775="",C2775="Fora dos ciclos"),"CICLO_PC nao identificado",IF(OR(D2775="",D2775=0),"VALOR_PC vazio ou zero",IF(AND(G2775&lt;&gt;"Sim",G2775&lt;&gt;"Nao",G2775&lt;&gt;""),"PC_PAGO_A_CONTRATADA invalido",IF(AND(C2775&lt;&gt;"C0",IFERROR(INDEX(parametros!$A$2:$A$6,MATCH(C2775,parametros!$B$2:$B$6,0)),"")="Sim",IFERROR(INDEX(parametros!$H$2:$H$6,MATCH(C2775,parametros!$B$2:$B$6,0)),"")=""),"INICIO_EFEITO ausente: PC "&amp;A2775&amp;" - "&amp;C2775,IF(L2775="","EFEITO_PC nao calculado: PC "&amp;A2775&amp;" - "&amp;C2775,"OK")))))))))</f>
        <v/>
      </c>
      <c r="L2775" s="92" t="str">
        <f>IF(AND(A2775="",B2775="",D2775="",G2775=""),"",IF(OR(B2775="",NOT(ISNUMBER(B2775)),C2775="",C2775="Fora dos ciclos"),"",IF(C2775="C0","Nao",IF(IFERROR(INDEX(parametros!$A$2:$A$6,MATCH(C2775,parametros!$B$2:$B$6,0)),"")&lt;&gt;"Sim","Nao",IF(IFERROR(INDEX(parametros!$H$2:$H$6,MATCH(C2775,parametros!$B$2:$B$6,0)),"")="","",IF(B2775&gt;=IFERROR(INDEX(parametros!$H$2:$H$6,MATCH(C2775,parametros!$B$2:$B$6,0)),""),"Sim","Nao"))))))</f>
        <v/>
      </c>
      <c r="T2775" s="156"/>
      <c r="U2775" s="214" t="str">
        <f t="shared" si="221"/>
        <v/>
      </c>
      <c r="V2775" s="212" t="s">
        <v>50</v>
      </c>
      <c r="W2775" s="100" t="s">
        <v>168</v>
      </c>
      <c r="X2775" s="100" t="s">
        <v>169</v>
      </c>
      <c r="Y2775" s="101" t="s">
        <v>170</v>
      </c>
      <c r="Z2775" s="101" t="s">
        <v>171</v>
      </c>
      <c r="AA2775" s="101" t="s">
        <v>50</v>
      </c>
      <c r="AB2775" s="101" t="s">
        <v>172</v>
      </c>
      <c r="AC2775" s="102" t="s">
        <v>173</v>
      </c>
    </row>
    <row r="2776" spans="1:29" ht="25.5" customHeight="1" x14ac:dyDescent="0.35">
      <c r="A2776" s="392"/>
      <c r="B2776" s="393"/>
      <c r="C2776" s="99" t="str">
        <f>IF(B2776="","",IF(NOT(ISNUMBER(B2776)),"DATA_PC invalida",IF(NOT(ISNUMBER(parametros!$C$2)),"Fora dos ciclos",IF(OR(B2776&lt;parametros!$C$2,(YEAR(B2776)-YEAR(parametros!$C$2))*12+MONTH(B2776)-MONTH(parametros!$C$2)&gt;59),"Fora dos ciclos","C"&amp;INT(((YEAR(B2776)-YEAR(parametros!$C$2))*12+MONTH(B2776)-MONTH(parametros!$C$2))/12)))))</f>
        <v/>
      </c>
      <c r="D2776" s="394"/>
      <c r="E2776" s="78" t="str">
        <f>IF(C2776="","",IFERROR(VLOOKUP(C2776,parametros!$A$11:$E$15,5,0),""))</f>
        <v/>
      </c>
      <c r="F2776" s="79" t="str">
        <f t="shared" si="217"/>
        <v/>
      </c>
      <c r="G2776" s="395"/>
      <c r="H2776" s="91">
        <f t="shared" si="218"/>
        <v>0</v>
      </c>
      <c r="I2776" s="91" t="str">
        <f t="shared" si="219"/>
        <v/>
      </c>
      <c r="J2776" s="91" t="str">
        <f t="shared" si="220"/>
        <v/>
      </c>
      <c r="K2776" s="92" t="str">
        <f>IF(AND(A2776="",B2776="",D2776="",G2776=""),"",IF(AND(A2776&lt;&gt;"",COUNTIF($A$2:$A$5001,A2776)&gt;1),"NUMERO_PC duplicado",IF(B2776="","DATA_PC vazia",IF(NOT(ISNUMBER(B2776)),"DATA_PC invalida",IF(OR(C2776="",C2776="Fora dos ciclos"),"CICLO_PC nao identificado",IF(OR(D2776="",D2776=0),"VALOR_PC vazio ou zero",IF(AND(G2776&lt;&gt;"Sim",G2776&lt;&gt;"Nao",G2776&lt;&gt;""),"PC_PAGO_A_CONTRATADA invalido",IF(AND(C2776&lt;&gt;"C0",IFERROR(INDEX(parametros!$A$2:$A$6,MATCH(C2776,parametros!$B$2:$B$6,0)),"")="Sim",IFERROR(INDEX(parametros!$H$2:$H$6,MATCH(C2776,parametros!$B$2:$B$6,0)),"")=""),"INICIO_EFEITO ausente: PC "&amp;A2776&amp;" - "&amp;C2776,IF(L2776="","EFEITO_PC nao calculado: PC "&amp;A2776&amp;" - "&amp;C2776,"OK")))))))))</f>
        <v/>
      </c>
      <c r="L2776" s="92" t="str">
        <f>IF(AND(A2776="",B2776="",D2776="",G2776=""),"",IF(OR(B2776="",NOT(ISNUMBER(B2776)),C2776="",C2776="Fora dos ciclos"),"",IF(C2776="C0","Nao",IF(IFERROR(INDEX(parametros!$A$2:$A$6,MATCH(C2776,parametros!$B$2:$B$6,0)),"")&lt;&gt;"Sim","Nao",IF(IFERROR(INDEX(parametros!$H$2:$H$6,MATCH(C2776,parametros!$B$2:$B$6,0)),"")="","",IF(B2776&gt;=IFERROR(INDEX(parametros!$H$2:$H$6,MATCH(C2776,parametros!$B$2:$B$6,0)),""),"Sim","Nao"))))))</f>
        <v/>
      </c>
      <c r="T2776" s="156"/>
      <c r="U2776" s="214" t="str">
        <f t="shared" si="221"/>
        <v/>
      </c>
      <c r="V2776" s="212" t="s">
        <v>50</v>
      </c>
      <c r="W2776" s="100" t="s">
        <v>168</v>
      </c>
      <c r="X2776" s="100" t="s">
        <v>169</v>
      </c>
      <c r="Y2776" s="101" t="s">
        <v>170</v>
      </c>
      <c r="Z2776" s="101" t="s">
        <v>171</v>
      </c>
      <c r="AA2776" s="101" t="s">
        <v>50</v>
      </c>
      <c r="AB2776" s="101" t="s">
        <v>172</v>
      </c>
      <c r="AC2776" s="102" t="s">
        <v>173</v>
      </c>
    </row>
    <row r="2777" spans="1:29" ht="25.5" customHeight="1" x14ac:dyDescent="0.35">
      <c r="A2777" s="392"/>
      <c r="B2777" s="393"/>
      <c r="C2777" s="99" t="str">
        <f>IF(B2777="","",IF(NOT(ISNUMBER(B2777)),"DATA_PC invalida",IF(NOT(ISNUMBER(parametros!$C$2)),"Fora dos ciclos",IF(OR(B2777&lt;parametros!$C$2,(YEAR(B2777)-YEAR(parametros!$C$2))*12+MONTH(B2777)-MONTH(parametros!$C$2)&gt;59),"Fora dos ciclos","C"&amp;INT(((YEAR(B2777)-YEAR(parametros!$C$2))*12+MONTH(B2777)-MONTH(parametros!$C$2))/12)))))</f>
        <v/>
      </c>
      <c r="D2777" s="394"/>
      <c r="E2777" s="78" t="str">
        <f>IF(C2777="","",IFERROR(VLOOKUP(C2777,parametros!$A$11:$E$15,5,0),""))</f>
        <v/>
      </c>
      <c r="F2777" s="79" t="str">
        <f t="shared" si="217"/>
        <v/>
      </c>
      <c r="G2777" s="395"/>
      <c r="H2777" s="91">
        <f t="shared" si="218"/>
        <v>0</v>
      </c>
      <c r="I2777" s="91" t="str">
        <f t="shared" si="219"/>
        <v/>
      </c>
      <c r="J2777" s="91" t="str">
        <f t="shared" si="220"/>
        <v/>
      </c>
      <c r="K2777" s="92" t="str">
        <f>IF(AND(A2777="",B2777="",D2777="",G2777=""),"",IF(AND(A2777&lt;&gt;"",COUNTIF($A$2:$A$5001,A2777)&gt;1),"NUMERO_PC duplicado",IF(B2777="","DATA_PC vazia",IF(NOT(ISNUMBER(B2777)),"DATA_PC invalida",IF(OR(C2777="",C2777="Fora dos ciclos"),"CICLO_PC nao identificado",IF(OR(D2777="",D2777=0),"VALOR_PC vazio ou zero",IF(AND(G2777&lt;&gt;"Sim",G2777&lt;&gt;"Nao",G2777&lt;&gt;""),"PC_PAGO_A_CONTRATADA invalido",IF(AND(C2777&lt;&gt;"C0",IFERROR(INDEX(parametros!$A$2:$A$6,MATCH(C2777,parametros!$B$2:$B$6,0)),"")="Sim",IFERROR(INDEX(parametros!$H$2:$H$6,MATCH(C2777,parametros!$B$2:$B$6,0)),"")=""),"INICIO_EFEITO ausente: PC "&amp;A2777&amp;" - "&amp;C2777,IF(L2777="","EFEITO_PC nao calculado: PC "&amp;A2777&amp;" - "&amp;C2777,"OK")))))))))</f>
        <v/>
      </c>
      <c r="L2777" s="92" t="str">
        <f>IF(AND(A2777="",B2777="",D2777="",G2777=""),"",IF(OR(B2777="",NOT(ISNUMBER(B2777)),C2777="",C2777="Fora dos ciclos"),"",IF(C2777="C0","Nao",IF(IFERROR(INDEX(parametros!$A$2:$A$6,MATCH(C2777,parametros!$B$2:$B$6,0)),"")&lt;&gt;"Sim","Nao",IF(IFERROR(INDEX(parametros!$H$2:$H$6,MATCH(C2777,parametros!$B$2:$B$6,0)),"")="","",IF(B2777&gt;=IFERROR(INDEX(parametros!$H$2:$H$6,MATCH(C2777,parametros!$B$2:$B$6,0)),""),"Sim","Nao"))))))</f>
        <v/>
      </c>
      <c r="T2777" s="156"/>
      <c r="U2777" s="214" t="str">
        <f t="shared" si="221"/>
        <v/>
      </c>
      <c r="V2777" s="212" t="s">
        <v>50</v>
      </c>
      <c r="W2777" s="100" t="s">
        <v>168</v>
      </c>
      <c r="X2777" s="100" t="s">
        <v>169</v>
      </c>
      <c r="Y2777" s="101" t="s">
        <v>170</v>
      </c>
      <c r="Z2777" s="101" t="s">
        <v>171</v>
      </c>
      <c r="AA2777" s="101" t="s">
        <v>50</v>
      </c>
      <c r="AB2777" s="101" t="s">
        <v>172</v>
      </c>
      <c r="AC2777" s="102" t="s">
        <v>173</v>
      </c>
    </row>
    <row r="2778" spans="1:29" ht="25.5" customHeight="1" x14ac:dyDescent="0.35">
      <c r="A2778" s="392"/>
      <c r="B2778" s="393"/>
      <c r="C2778" s="99" t="str">
        <f>IF(B2778="","",IF(NOT(ISNUMBER(B2778)),"DATA_PC invalida",IF(NOT(ISNUMBER(parametros!$C$2)),"Fora dos ciclos",IF(OR(B2778&lt;parametros!$C$2,(YEAR(B2778)-YEAR(parametros!$C$2))*12+MONTH(B2778)-MONTH(parametros!$C$2)&gt;59),"Fora dos ciclos","C"&amp;INT(((YEAR(B2778)-YEAR(parametros!$C$2))*12+MONTH(B2778)-MONTH(parametros!$C$2))/12)))))</f>
        <v/>
      </c>
      <c r="D2778" s="394"/>
      <c r="E2778" s="78" t="str">
        <f>IF(C2778="","",IFERROR(VLOOKUP(C2778,parametros!$A$11:$E$15,5,0),""))</f>
        <v/>
      </c>
      <c r="F2778" s="79" t="str">
        <f t="shared" si="217"/>
        <v/>
      </c>
      <c r="G2778" s="395"/>
      <c r="H2778" s="91">
        <f t="shared" si="218"/>
        <v>0</v>
      </c>
      <c r="I2778" s="91" t="str">
        <f t="shared" si="219"/>
        <v/>
      </c>
      <c r="J2778" s="91" t="str">
        <f t="shared" si="220"/>
        <v/>
      </c>
      <c r="K2778" s="92" t="str">
        <f>IF(AND(A2778="",B2778="",D2778="",G2778=""),"",IF(AND(A2778&lt;&gt;"",COUNTIF($A$2:$A$5001,A2778)&gt;1),"NUMERO_PC duplicado",IF(B2778="","DATA_PC vazia",IF(NOT(ISNUMBER(B2778)),"DATA_PC invalida",IF(OR(C2778="",C2778="Fora dos ciclos"),"CICLO_PC nao identificado",IF(OR(D2778="",D2778=0),"VALOR_PC vazio ou zero",IF(AND(G2778&lt;&gt;"Sim",G2778&lt;&gt;"Nao",G2778&lt;&gt;""),"PC_PAGO_A_CONTRATADA invalido",IF(AND(C2778&lt;&gt;"C0",IFERROR(INDEX(parametros!$A$2:$A$6,MATCH(C2778,parametros!$B$2:$B$6,0)),"")="Sim",IFERROR(INDEX(parametros!$H$2:$H$6,MATCH(C2778,parametros!$B$2:$B$6,0)),"")=""),"INICIO_EFEITO ausente: PC "&amp;A2778&amp;" - "&amp;C2778,IF(L2778="","EFEITO_PC nao calculado: PC "&amp;A2778&amp;" - "&amp;C2778,"OK")))))))))</f>
        <v/>
      </c>
      <c r="L2778" s="92" t="str">
        <f>IF(AND(A2778="",B2778="",D2778="",G2778=""),"",IF(OR(B2778="",NOT(ISNUMBER(B2778)),C2778="",C2778="Fora dos ciclos"),"",IF(C2778="C0","Nao",IF(IFERROR(INDEX(parametros!$A$2:$A$6,MATCH(C2778,parametros!$B$2:$B$6,0)),"")&lt;&gt;"Sim","Nao",IF(IFERROR(INDEX(parametros!$H$2:$H$6,MATCH(C2778,parametros!$B$2:$B$6,0)),"")="","",IF(B2778&gt;=IFERROR(INDEX(parametros!$H$2:$H$6,MATCH(C2778,parametros!$B$2:$B$6,0)),""),"Sim","Nao"))))))</f>
        <v/>
      </c>
      <c r="T2778" s="156"/>
      <c r="U2778" s="214" t="str">
        <f t="shared" si="221"/>
        <v/>
      </c>
      <c r="V2778" s="212" t="s">
        <v>50</v>
      </c>
      <c r="W2778" s="100" t="s">
        <v>168</v>
      </c>
      <c r="X2778" s="100" t="s">
        <v>169</v>
      </c>
      <c r="Y2778" s="101" t="s">
        <v>170</v>
      </c>
      <c r="Z2778" s="101" t="s">
        <v>171</v>
      </c>
      <c r="AA2778" s="101" t="s">
        <v>50</v>
      </c>
      <c r="AB2778" s="101" t="s">
        <v>172</v>
      </c>
      <c r="AC2778" s="102" t="s">
        <v>173</v>
      </c>
    </row>
    <row r="2779" spans="1:29" ht="25.5" customHeight="1" x14ac:dyDescent="0.35">
      <c r="A2779" s="392"/>
      <c r="B2779" s="393"/>
      <c r="C2779" s="99" t="str">
        <f>IF(B2779="","",IF(NOT(ISNUMBER(B2779)),"DATA_PC invalida",IF(NOT(ISNUMBER(parametros!$C$2)),"Fora dos ciclos",IF(OR(B2779&lt;parametros!$C$2,(YEAR(B2779)-YEAR(parametros!$C$2))*12+MONTH(B2779)-MONTH(parametros!$C$2)&gt;59),"Fora dos ciclos","C"&amp;INT(((YEAR(B2779)-YEAR(parametros!$C$2))*12+MONTH(B2779)-MONTH(parametros!$C$2))/12)))))</f>
        <v/>
      </c>
      <c r="D2779" s="394"/>
      <c r="E2779" s="78" t="str">
        <f>IF(C2779="","",IFERROR(VLOOKUP(C2779,parametros!$A$11:$E$15,5,0),""))</f>
        <v/>
      </c>
      <c r="F2779" s="79" t="str">
        <f t="shared" si="217"/>
        <v/>
      </c>
      <c r="G2779" s="395"/>
      <c r="H2779" s="91">
        <f t="shared" si="218"/>
        <v>0</v>
      </c>
      <c r="I2779" s="91" t="str">
        <f t="shared" si="219"/>
        <v/>
      </c>
      <c r="J2779" s="91" t="str">
        <f t="shared" si="220"/>
        <v/>
      </c>
      <c r="K2779" s="92" t="str">
        <f>IF(AND(A2779="",B2779="",D2779="",G2779=""),"",IF(AND(A2779&lt;&gt;"",COUNTIF($A$2:$A$5001,A2779)&gt;1),"NUMERO_PC duplicado",IF(B2779="","DATA_PC vazia",IF(NOT(ISNUMBER(B2779)),"DATA_PC invalida",IF(OR(C2779="",C2779="Fora dos ciclos"),"CICLO_PC nao identificado",IF(OR(D2779="",D2779=0),"VALOR_PC vazio ou zero",IF(AND(G2779&lt;&gt;"Sim",G2779&lt;&gt;"Nao",G2779&lt;&gt;""),"PC_PAGO_A_CONTRATADA invalido",IF(AND(C2779&lt;&gt;"C0",IFERROR(INDEX(parametros!$A$2:$A$6,MATCH(C2779,parametros!$B$2:$B$6,0)),"")="Sim",IFERROR(INDEX(parametros!$H$2:$H$6,MATCH(C2779,parametros!$B$2:$B$6,0)),"")=""),"INICIO_EFEITO ausente: PC "&amp;A2779&amp;" - "&amp;C2779,IF(L2779="","EFEITO_PC nao calculado: PC "&amp;A2779&amp;" - "&amp;C2779,"OK")))))))))</f>
        <v/>
      </c>
      <c r="L2779" s="92" t="str">
        <f>IF(AND(A2779="",B2779="",D2779="",G2779=""),"",IF(OR(B2779="",NOT(ISNUMBER(B2779)),C2779="",C2779="Fora dos ciclos"),"",IF(C2779="C0","Nao",IF(IFERROR(INDEX(parametros!$A$2:$A$6,MATCH(C2779,parametros!$B$2:$B$6,0)),"")&lt;&gt;"Sim","Nao",IF(IFERROR(INDEX(parametros!$H$2:$H$6,MATCH(C2779,parametros!$B$2:$B$6,0)),"")="","",IF(B2779&gt;=IFERROR(INDEX(parametros!$H$2:$H$6,MATCH(C2779,parametros!$B$2:$B$6,0)),""),"Sim","Nao"))))))</f>
        <v/>
      </c>
      <c r="T2779" s="156"/>
      <c r="U2779" s="214" t="str">
        <f t="shared" si="221"/>
        <v/>
      </c>
      <c r="V2779" s="212" t="s">
        <v>50</v>
      </c>
      <c r="W2779" s="100" t="s">
        <v>168</v>
      </c>
      <c r="X2779" s="100" t="s">
        <v>169</v>
      </c>
      <c r="Y2779" s="101" t="s">
        <v>170</v>
      </c>
      <c r="Z2779" s="101" t="s">
        <v>171</v>
      </c>
      <c r="AA2779" s="101" t="s">
        <v>50</v>
      </c>
      <c r="AB2779" s="101" t="s">
        <v>172</v>
      </c>
      <c r="AC2779" s="102" t="s">
        <v>173</v>
      </c>
    </row>
    <row r="2780" spans="1:29" ht="25.5" customHeight="1" x14ac:dyDescent="0.35">
      <c r="A2780" s="392"/>
      <c r="B2780" s="393"/>
      <c r="C2780" s="99" t="str">
        <f>IF(B2780="","",IF(NOT(ISNUMBER(B2780)),"DATA_PC invalida",IF(NOT(ISNUMBER(parametros!$C$2)),"Fora dos ciclos",IF(OR(B2780&lt;parametros!$C$2,(YEAR(B2780)-YEAR(parametros!$C$2))*12+MONTH(B2780)-MONTH(parametros!$C$2)&gt;59),"Fora dos ciclos","C"&amp;INT(((YEAR(B2780)-YEAR(parametros!$C$2))*12+MONTH(B2780)-MONTH(parametros!$C$2))/12)))))</f>
        <v/>
      </c>
      <c r="D2780" s="394"/>
      <c r="E2780" s="78" t="str">
        <f>IF(C2780="","",IFERROR(VLOOKUP(C2780,parametros!$A$11:$E$15,5,0),""))</f>
        <v/>
      </c>
      <c r="F2780" s="79" t="str">
        <f t="shared" si="217"/>
        <v/>
      </c>
      <c r="G2780" s="395"/>
      <c r="H2780" s="91">
        <f t="shared" si="218"/>
        <v>0</v>
      </c>
      <c r="I2780" s="91" t="str">
        <f t="shared" si="219"/>
        <v/>
      </c>
      <c r="J2780" s="91" t="str">
        <f t="shared" si="220"/>
        <v/>
      </c>
      <c r="K2780" s="92" t="str">
        <f>IF(AND(A2780="",B2780="",D2780="",G2780=""),"",IF(AND(A2780&lt;&gt;"",COUNTIF($A$2:$A$5001,A2780)&gt;1),"NUMERO_PC duplicado",IF(B2780="","DATA_PC vazia",IF(NOT(ISNUMBER(B2780)),"DATA_PC invalida",IF(OR(C2780="",C2780="Fora dos ciclos"),"CICLO_PC nao identificado",IF(OR(D2780="",D2780=0),"VALOR_PC vazio ou zero",IF(AND(G2780&lt;&gt;"Sim",G2780&lt;&gt;"Nao",G2780&lt;&gt;""),"PC_PAGO_A_CONTRATADA invalido",IF(AND(C2780&lt;&gt;"C0",IFERROR(INDEX(parametros!$A$2:$A$6,MATCH(C2780,parametros!$B$2:$B$6,0)),"")="Sim",IFERROR(INDEX(parametros!$H$2:$H$6,MATCH(C2780,parametros!$B$2:$B$6,0)),"")=""),"INICIO_EFEITO ausente: PC "&amp;A2780&amp;" - "&amp;C2780,IF(L2780="","EFEITO_PC nao calculado: PC "&amp;A2780&amp;" - "&amp;C2780,"OK")))))))))</f>
        <v/>
      </c>
      <c r="L2780" s="92" t="str">
        <f>IF(AND(A2780="",B2780="",D2780="",G2780=""),"",IF(OR(B2780="",NOT(ISNUMBER(B2780)),C2780="",C2780="Fora dos ciclos"),"",IF(C2780="C0","Nao",IF(IFERROR(INDEX(parametros!$A$2:$A$6,MATCH(C2780,parametros!$B$2:$B$6,0)),"")&lt;&gt;"Sim","Nao",IF(IFERROR(INDEX(parametros!$H$2:$H$6,MATCH(C2780,parametros!$B$2:$B$6,0)),"")="","",IF(B2780&gt;=IFERROR(INDEX(parametros!$H$2:$H$6,MATCH(C2780,parametros!$B$2:$B$6,0)),""),"Sim","Nao"))))))</f>
        <v/>
      </c>
      <c r="T2780" s="156"/>
      <c r="U2780" s="214" t="str">
        <f t="shared" si="221"/>
        <v/>
      </c>
      <c r="V2780" s="212" t="s">
        <v>50</v>
      </c>
      <c r="W2780" s="100" t="s">
        <v>168</v>
      </c>
      <c r="X2780" s="100" t="s">
        <v>169</v>
      </c>
      <c r="Y2780" s="101" t="s">
        <v>170</v>
      </c>
      <c r="Z2780" s="101" t="s">
        <v>171</v>
      </c>
      <c r="AA2780" s="101" t="s">
        <v>50</v>
      </c>
      <c r="AB2780" s="101" t="s">
        <v>172</v>
      </c>
      <c r="AC2780" s="102" t="s">
        <v>173</v>
      </c>
    </row>
    <row r="2781" spans="1:29" ht="25.5" customHeight="1" x14ac:dyDescent="0.35">
      <c r="A2781" s="392"/>
      <c r="B2781" s="393"/>
      <c r="C2781" s="99" t="str">
        <f>IF(B2781="","",IF(NOT(ISNUMBER(B2781)),"DATA_PC invalida",IF(NOT(ISNUMBER(parametros!$C$2)),"Fora dos ciclos",IF(OR(B2781&lt;parametros!$C$2,(YEAR(B2781)-YEAR(parametros!$C$2))*12+MONTH(B2781)-MONTH(parametros!$C$2)&gt;59),"Fora dos ciclos","C"&amp;INT(((YEAR(B2781)-YEAR(parametros!$C$2))*12+MONTH(B2781)-MONTH(parametros!$C$2))/12)))))</f>
        <v/>
      </c>
      <c r="D2781" s="394"/>
      <c r="E2781" s="78" t="str">
        <f>IF(C2781="","",IFERROR(VLOOKUP(C2781,parametros!$A$11:$E$15,5,0),""))</f>
        <v/>
      </c>
      <c r="F2781" s="79" t="str">
        <f t="shared" si="217"/>
        <v/>
      </c>
      <c r="G2781" s="395"/>
      <c r="H2781" s="91">
        <f t="shared" si="218"/>
        <v>0</v>
      </c>
      <c r="I2781" s="91" t="str">
        <f t="shared" si="219"/>
        <v/>
      </c>
      <c r="J2781" s="91" t="str">
        <f t="shared" si="220"/>
        <v/>
      </c>
      <c r="K2781" s="92" t="str">
        <f>IF(AND(A2781="",B2781="",D2781="",G2781=""),"",IF(AND(A2781&lt;&gt;"",COUNTIF($A$2:$A$5001,A2781)&gt;1),"NUMERO_PC duplicado",IF(B2781="","DATA_PC vazia",IF(NOT(ISNUMBER(B2781)),"DATA_PC invalida",IF(OR(C2781="",C2781="Fora dos ciclos"),"CICLO_PC nao identificado",IF(OR(D2781="",D2781=0),"VALOR_PC vazio ou zero",IF(AND(G2781&lt;&gt;"Sim",G2781&lt;&gt;"Nao",G2781&lt;&gt;""),"PC_PAGO_A_CONTRATADA invalido",IF(AND(C2781&lt;&gt;"C0",IFERROR(INDEX(parametros!$A$2:$A$6,MATCH(C2781,parametros!$B$2:$B$6,0)),"")="Sim",IFERROR(INDEX(parametros!$H$2:$H$6,MATCH(C2781,parametros!$B$2:$B$6,0)),"")=""),"INICIO_EFEITO ausente: PC "&amp;A2781&amp;" - "&amp;C2781,IF(L2781="","EFEITO_PC nao calculado: PC "&amp;A2781&amp;" - "&amp;C2781,"OK")))))))))</f>
        <v/>
      </c>
      <c r="L2781" s="92" t="str">
        <f>IF(AND(A2781="",B2781="",D2781="",G2781=""),"",IF(OR(B2781="",NOT(ISNUMBER(B2781)),C2781="",C2781="Fora dos ciclos"),"",IF(C2781="C0","Nao",IF(IFERROR(INDEX(parametros!$A$2:$A$6,MATCH(C2781,parametros!$B$2:$B$6,0)),"")&lt;&gt;"Sim","Nao",IF(IFERROR(INDEX(parametros!$H$2:$H$6,MATCH(C2781,parametros!$B$2:$B$6,0)),"")="","",IF(B2781&gt;=IFERROR(INDEX(parametros!$H$2:$H$6,MATCH(C2781,parametros!$B$2:$B$6,0)),""),"Sim","Nao"))))))</f>
        <v/>
      </c>
      <c r="T2781" s="156"/>
      <c r="U2781" s="214" t="str">
        <f t="shared" si="221"/>
        <v/>
      </c>
      <c r="V2781" s="212" t="s">
        <v>50</v>
      </c>
      <c r="W2781" s="100" t="s">
        <v>168</v>
      </c>
      <c r="X2781" s="100" t="s">
        <v>169</v>
      </c>
      <c r="Y2781" s="101" t="s">
        <v>170</v>
      </c>
      <c r="Z2781" s="101" t="s">
        <v>171</v>
      </c>
      <c r="AA2781" s="101" t="s">
        <v>50</v>
      </c>
      <c r="AB2781" s="101" t="s">
        <v>172</v>
      </c>
      <c r="AC2781" s="102" t="s">
        <v>173</v>
      </c>
    </row>
    <row r="2782" spans="1:29" ht="25.5" customHeight="1" x14ac:dyDescent="0.35">
      <c r="A2782" s="392"/>
      <c r="B2782" s="393"/>
      <c r="C2782" s="99" t="str">
        <f>IF(B2782="","",IF(NOT(ISNUMBER(B2782)),"DATA_PC invalida",IF(NOT(ISNUMBER(parametros!$C$2)),"Fora dos ciclos",IF(OR(B2782&lt;parametros!$C$2,(YEAR(B2782)-YEAR(parametros!$C$2))*12+MONTH(B2782)-MONTH(parametros!$C$2)&gt;59),"Fora dos ciclos","C"&amp;INT(((YEAR(B2782)-YEAR(parametros!$C$2))*12+MONTH(B2782)-MONTH(parametros!$C$2))/12)))))</f>
        <v/>
      </c>
      <c r="D2782" s="394"/>
      <c r="E2782" s="78" t="str">
        <f>IF(C2782="","",IFERROR(VLOOKUP(C2782,parametros!$A$11:$E$15,5,0),""))</f>
        <v/>
      </c>
      <c r="F2782" s="79" t="str">
        <f t="shared" si="217"/>
        <v/>
      </c>
      <c r="G2782" s="395"/>
      <c r="H2782" s="91">
        <f t="shared" si="218"/>
        <v>0</v>
      </c>
      <c r="I2782" s="91" t="str">
        <f t="shared" si="219"/>
        <v/>
      </c>
      <c r="J2782" s="91" t="str">
        <f t="shared" si="220"/>
        <v/>
      </c>
      <c r="K2782" s="92" t="str">
        <f>IF(AND(A2782="",B2782="",D2782="",G2782=""),"",IF(AND(A2782&lt;&gt;"",COUNTIF($A$2:$A$5001,A2782)&gt;1),"NUMERO_PC duplicado",IF(B2782="","DATA_PC vazia",IF(NOT(ISNUMBER(B2782)),"DATA_PC invalida",IF(OR(C2782="",C2782="Fora dos ciclos"),"CICLO_PC nao identificado",IF(OR(D2782="",D2782=0),"VALOR_PC vazio ou zero",IF(AND(G2782&lt;&gt;"Sim",G2782&lt;&gt;"Nao",G2782&lt;&gt;""),"PC_PAGO_A_CONTRATADA invalido",IF(AND(C2782&lt;&gt;"C0",IFERROR(INDEX(parametros!$A$2:$A$6,MATCH(C2782,parametros!$B$2:$B$6,0)),"")="Sim",IFERROR(INDEX(parametros!$H$2:$H$6,MATCH(C2782,parametros!$B$2:$B$6,0)),"")=""),"INICIO_EFEITO ausente: PC "&amp;A2782&amp;" - "&amp;C2782,IF(L2782="","EFEITO_PC nao calculado: PC "&amp;A2782&amp;" - "&amp;C2782,"OK")))))))))</f>
        <v/>
      </c>
      <c r="L2782" s="92" t="str">
        <f>IF(AND(A2782="",B2782="",D2782="",G2782=""),"",IF(OR(B2782="",NOT(ISNUMBER(B2782)),C2782="",C2782="Fora dos ciclos"),"",IF(C2782="C0","Nao",IF(IFERROR(INDEX(parametros!$A$2:$A$6,MATCH(C2782,parametros!$B$2:$B$6,0)),"")&lt;&gt;"Sim","Nao",IF(IFERROR(INDEX(parametros!$H$2:$H$6,MATCH(C2782,parametros!$B$2:$B$6,0)),"")="","",IF(B2782&gt;=IFERROR(INDEX(parametros!$H$2:$H$6,MATCH(C2782,parametros!$B$2:$B$6,0)),""),"Sim","Nao"))))))</f>
        <v/>
      </c>
      <c r="T2782" s="156"/>
      <c r="U2782" s="214" t="str">
        <f t="shared" si="221"/>
        <v/>
      </c>
      <c r="V2782" s="212" t="s">
        <v>50</v>
      </c>
      <c r="W2782" s="100" t="s">
        <v>168</v>
      </c>
      <c r="X2782" s="100" t="s">
        <v>169</v>
      </c>
      <c r="Y2782" s="101" t="s">
        <v>170</v>
      </c>
      <c r="Z2782" s="101" t="s">
        <v>171</v>
      </c>
      <c r="AA2782" s="101" t="s">
        <v>50</v>
      </c>
      <c r="AB2782" s="101" t="s">
        <v>172</v>
      </c>
      <c r="AC2782" s="102" t="s">
        <v>173</v>
      </c>
    </row>
    <row r="2783" spans="1:29" ht="25.5" customHeight="1" x14ac:dyDescent="0.35">
      <c r="A2783" s="392"/>
      <c r="B2783" s="393"/>
      <c r="C2783" s="99" t="str">
        <f>IF(B2783="","",IF(NOT(ISNUMBER(B2783)),"DATA_PC invalida",IF(NOT(ISNUMBER(parametros!$C$2)),"Fora dos ciclos",IF(OR(B2783&lt;parametros!$C$2,(YEAR(B2783)-YEAR(parametros!$C$2))*12+MONTH(B2783)-MONTH(parametros!$C$2)&gt;59),"Fora dos ciclos","C"&amp;INT(((YEAR(B2783)-YEAR(parametros!$C$2))*12+MONTH(B2783)-MONTH(parametros!$C$2))/12)))))</f>
        <v/>
      </c>
      <c r="D2783" s="394"/>
      <c r="E2783" s="78" t="str">
        <f>IF(C2783="","",IFERROR(VLOOKUP(C2783,parametros!$A$11:$E$15,5,0),""))</f>
        <v/>
      </c>
      <c r="F2783" s="79" t="str">
        <f t="shared" si="217"/>
        <v/>
      </c>
      <c r="G2783" s="395"/>
      <c r="H2783" s="91">
        <f t="shared" si="218"/>
        <v>0</v>
      </c>
      <c r="I2783" s="91" t="str">
        <f t="shared" si="219"/>
        <v/>
      </c>
      <c r="J2783" s="91" t="str">
        <f t="shared" si="220"/>
        <v/>
      </c>
      <c r="K2783" s="92" t="str">
        <f>IF(AND(A2783="",B2783="",D2783="",G2783=""),"",IF(AND(A2783&lt;&gt;"",COUNTIF($A$2:$A$5001,A2783)&gt;1),"NUMERO_PC duplicado",IF(B2783="","DATA_PC vazia",IF(NOT(ISNUMBER(B2783)),"DATA_PC invalida",IF(OR(C2783="",C2783="Fora dos ciclos"),"CICLO_PC nao identificado",IF(OR(D2783="",D2783=0),"VALOR_PC vazio ou zero",IF(AND(G2783&lt;&gt;"Sim",G2783&lt;&gt;"Nao",G2783&lt;&gt;""),"PC_PAGO_A_CONTRATADA invalido",IF(AND(C2783&lt;&gt;"C0",IFERROR(INDEX(parametros!$A$2:$A$6,MATCH(C2783,parametros!$B$2:$B$6,0)),"")="Sim",IFERROR(INDEX(parametros!$H$2:$H$6,MATCH(C2783,parametros!$B$2:$B$6,0)),"")=""),"INICIO_EFEITO ausente: PC "&amp;A2783&amp;" - "&amp;C2783,IF(L2783="","EFEITO_PC nao calculado: PC "&amp;A2783&amp;" - "&amp;C2783,"OK")))))))))</f>
        <v/>
      </c>
      <c r="L2783" s="92" t="str">
        <f>IF(AND(A2783="",B2783="",D2783="",G2783=""),"",IF(OR(B2783="",NOT(ISNUMBER(B2783)),C2783="",C2783="Fora dos ciclos"),"",IF(C2783="C0","Nao",IF(IFERROR(INDEX(parametros!$A$2:$A$6,MATCH(C2783,parametros!$B$2:$B$6,0)),"")&lt;&gt;"Sim","Nao",IF(IFERROR(INDEX(parametros!$H$2:$H$6,MATCH(C2783,parametros!$B$2:$B$6,0)),"")="","",IF(B2783&gt;=IFERROR(INDEX(parametros!$H$2:$H$6,MATCH(C2783,parametros!$B$2:$B$6,0)),""),"Sim","Nao"))))))</f>
        <v/>
      </c>
      <c r="T2783" s="156"/>
      <c r="U2783" s="214" t="str">
        <f t="shared" si="221"/>
        <v/>
      </c>
      <c r="V2783" s="212" t="s">
        <v>50</v>
      </c>
      <c r="W2783" s="100" t="s">
        <v>168</v>
      </c>
      <c r="X2783" s="100" t="s">
        <v>169</v>
      </c>
      <c r="Y2783" s="101" t="s">
        <v>170</v>
      </c>
      <c r="Z2783" s="101" t="s">
        <v>171</v>
      </c>
      <c r="AA2783" s="101" t="s">
        <v>50</v>
      </c>
      <c r="AB2783" s="101" t="s">
        <v>172</v>
      </c>
      <c r="AC2783" s="102" t="s">
        <v>173</v>
      </c>
    </row>
    <row r="2784" spans="1:29" ht="25.5" customHeight="1" x14ac:dyDescent="0.35">
      <c r="A2784" s="392"/>
      <c r="B2784" s="393"/>
      <c r="C2784" s="99" t="str">
        <f>IF(B2784="","",IF(NOT(ISNUMBER(B2784)),"DATA_PC invalida",IF(NOT(ISNUMBER(parametros!$C$2)),"Fora dos ciclos",IF(OR(B2784&lt;parametros!$C$2,(YEAR(B2784)-YEAR(parametros!$C$2))*12+MONTH(B2784)-MONTH(parametros!$C$2)&gt;59),"Fora dos ciclos","C"&amp;INT(((YEAR(B2784)-YEAR(parametros!$C$2))*12+MONTH(B2784)-MONTH(parametros!$C$2))/12)))))</f>
        <v/>
      </c>
      <c r="D2784" s="394"/>
      <c r="E2784" s="78" t="str">
        <f>IF(C2784="","",IFERROR(VLOOKUP(C2784,parametros!$A$11:$E$15,5,0),""))</f>
        <v/>
      </c>
      <c r="F2784" s="79" t="str">
        <f t="shared" si="217"/>
        <v/>
      </c>
      <c r="G2784" s="395"/>
      <c r="H2784" s="91">
        <f t="shared" si="218"/>
        <v>0</v>
      </c>
      <c r="I2784" s="91" t="str">
        <f t="shared" si="219"/>
        <v/>
      </c>
      <c r="J2784" s="91" t="str">
        <f t="shared" si="220"/>
        <v/>
      </c>
      <c r="K2784" s="92" t="str">
        <f>IF(AND(A2784="",B2784="",D2784="",G2784=""),"",IF(AND(A2784&lt;&gt;"",COUNTIF($A$2:$A$5001,A2784)&gt;1),"NUMERO_PC duplicado",IF(B2784="","DATA_PC vazia",IF(NOT(ISNUMBER(B2784)),"DATA_PC invalida",IF(OR(C2784="",C2784="Fora dos ciclos"),"CICLO_PC nao identificado",IF(OR(D2784="",D2784=0),"VALOR_PC vazio ou zero",IF(AND(G2784&lt;&gt;"Sim",G2784&lt;&gt;"Nao",G2784&lt;&gt;""),"PC_PAGO_A_CONTRATADA invalido",IF(AND(C2784&lt;&gt;"C0",IFERROR(INDEX(parametros!$A$2:$A$6,MATCH(C2784,parametros!$B$2:$B$6,0)),"")="Sim",IFERROR(INDEX(parametros!$H$2:$H$6,MATCH(C2784,parametros!$B$2:$B$6,0)),"")=""),"INICIO_EFEITO ausente: PC "&amp;A2784&amp;" - "&amp;C2784,IF(L2784="","EFEITO_PC nao calculado: PC "&amp;A2784&amp;" - "&amp;C2784,"OK")))))))))</f>
        <v/>
      </c>
      <c r="L2784" s="92" t="str">
        <f>IF(AND(A2784="",B2784="",D2784="",G2784=""),"",IF(OR(B2784="",NOT(ISNUMBER(B2784)),C2784="",C2784="Fora dos ciclos"),"",IF(C2784="C0","Nao",IF(IFERROR(INDEX(parametros!$A$2:$A$6,MATCH(C2784,parametros!$B$2:$B$6,0)),"")&lt;&gt;"Sim","Nao",IF(IFERROR(INDEX(parametros!$H$2:$H$6,MATCH(C2784,parametros!$B$2:$B$6,0)),"")="","",IF(B2784&gt;=IFERROR(INDEX(parametros!$H$2:$H$6,MATCH(C2784,parametros!$B$2:$B$6,0)),""),"Sim","Nao"))))))</f>
        <v/>
      </c>
      <c r="T2784" s="156"/>
      <c r="U2784" s="214" t="str">
        <f t="shared" si="221"/>
        <v/>
      </c>
      <c r="V2784" s="212" t="s">
        <v>50</v>
      </c>
      <c r="W2784" s="100" t="s">
        <v>168</v>
      </c>
      <c r="X2784" s="100" t="s">
        <v>169</v>
      </c>
      <c r="Y2784" s="101" t="s">
        <v>170</v>
      </c>
      <c r="Z2784" s="101" t="s">
        <v>171</v>
      </c>
      <c r="AA2784" s="101" t="s">
        <v>50</v>
      </c>
      <c r="AB2784" s="101" t="s">
        <v>172</v>
      </c>
      <c r="AC2784" s="102" t="s">
        <v>173</v>
      </c>
    </row>
    <row r="2785" spans="1:29" ht="25.5" customHeight="1" x14ac:dyDescent="0.35">
      <c r="A2785" s="392"/>
      <c r="B2785" s="393"/>
      <c r="C2785" s="99" t="str">
        <f>IF(B2785="","",IF(NOT(ISNUMBER(B2785)),"DATA_PC invalida",IF(NOT(ISNUMBER(parametros!$C$2)),"Fora dos ciclos",IF(OR(B2785&lt;parametros!$C$2,(YEAR(B2785)-YEAR(parametros!$C$2))*12+MONTH(B2785)-MONTH(parametros!$C$2)&gt;59),"Fora dos ciclos","C"&amp;INT(((YEAR(B2785)-YEAR(parametros!$C$2))*12+MONTH(B2785)-MONTH(parametros!$C$2))/12)))))</f>
        <v/>
      </c>
      <c r="D2785" s="394"/>
      <c r="E2785" s="78" t="str">
        <f>IF(C2785="","",IFERROR(VLOOKUP(C2785,parametros!$A$11:$E$15,5,0),""))</f>
        <v/>
      </c>
      <c r="F2785" s="79" t="str">
        <f t="shared" si="217"/>
        <v/>
      </c>
      <c r="G2785" s="395"/>
      <c r="H2785" s="91">
        <f t="shared" si="218"/>
        <v>0</v>
      </c>
      <c r="I2785" s="91" t="str">
        <f t="shared" si="219"/>
        <v/>
      </c>
      <c r="J2785" s="91" t="str">
        <f t="shared" si="220"/>
        <v/>
      </c>
      <c r="K2785" s="92" t="str">
        <f>IF(AND(A2785="",B2785="",D2785="",G2785=""),"",IF(AND(A2785&lt;&gt;"",COUNTIF($A$2:$A$5001,A2785)&gt;1),"NUMERO_PC duplicado",IF(B2785="","DATA_PC vazia",IF(NOT(ISNUMBER(B2785)),"DATA_PC invalida",IF(OR(C2785="",C2785="Fora dos ciclos"),"CICLO_PC nao identificado",IF(OR(D2785="",D2785=0),"VALOR_PC vazio ou zero",IF(AND(G2785&lt;&gt;"Sim",G2785&lt;&gt;"Nao",G2785&lt;&gt;""),"PC_PAGO_A_CONTRATADA invalido",IF(AND(C2785&lt;&gt;"C0",IFERROR(INDEX(parametros!$A$2:$A$6,MATCH(C2785,parametros!$B$2:$B$6,0)),"")="Sim",IFERROR(INDEX(parametros!$H$2:$H$6,MATCH(C2785,parametros!$B$2:$B$6,0)),"")=""),"INICIO_EFEITO ausente: PC "&amp;A2785&amp;" - "&amp;C2785,IF(L2785="","EFEITO_PC nao calculado: PC "&amp;A2785&amp;" - "&amp;C2785,"OK")))))))))</f>
        <v/>
      </c>
      <c r="L2785" s="92" t="str">
        <f>IF(AND(A2785="",B2785="",D2785="",G2785=""),"",IF(OR(B2785="",NOT(ISNUMBER(B2785)),C2785="",C2785="Fora dos ciclos"),"",IF(C2785="C0","Nao",IF(IFERROR(INDEX(parametros!$A$2:$A$6,MATCH(C2785,parametros!$B$2:$B$6,0)),"")&lt;&gt;"Sim","Nao",IF(IFERROR(INDEX(parametros!$H$2:$H$6,MATCH(C2785,parametros!$B$2:$B$6,0)),"")="","",IF(B2785&gt;=IFERROR(INDEX(parametros!$H$2:$H$6,MATCH(C2785,parametros!$B$2:$B$6,0)),""),"Sim","Nao"))))))</f>
        <v/>
      </c>
      <c r="T2785" s="156"/>
      <c r="U2785" s="214" t="str">
        <f t="shared" si="221"/>
        <v/>
      </c>
      <c r="V2785" s="212" t="s">
        <v>50</v>
      </c>
      <c r="W2785" s="100" t="s">
        <v>168</v>
      </c>
      <c r="X2785" s="100" t="s">
        <v>169</v>
      </c>
      <c r="Y2785" s="101" t="s">
        <v>170</v>
      </c>
      <c r="Z2785" s="101" t="s">
        <v>171</v>
      </c>
      <c r="AA2785" s="101" t="s">
        <v>50</v>
      </c>
      <c r="AB2785" s="101" t="s">
        <v>172</v>
      </c>
      <c r="AC2785" s="102" t="s">
        <v>173</v>
      </c>
    </row>
    <row r="2786" spans="1:29" ht="25.5" customHeight="1" x14ac:dyDescent="0.35">
      <c r="A2786" s="392"/>
      <c r="B2786" s="393"/>
      <c r="C2786" s="99" t="str">
        <f>IF(B2786="","",IF(NOT(ISNUMBER(B2786)),"DATA_PC invalida",IF(NOT(ISNUMBER(parametros!$C$2)),"Fora dos ciclos",IF(OR(B2786&lt;parametros!$C$2,(YEAR(B2786)-YEAR(parametros!$C$2))*12+MONTH(B2786)-MONTH(parametros!$C$2)&gt;59),"Fora dos ciclos","C"&amp;INT(((YEAR(B2786)-YEAR(parametros!$C$2))*12+MONTH(B2786)-MONTH(parametros!$C$2))/12)))))</f>
        <v/>
      </c>
      <c r="D2786" s="394"/>
      <c r="E2786" s="78" t="str">
        <f>IF(C2786="","",IFERROR(VLOOKUP(C2786,parametros!$A$11:$E$15,5,0),""))</f>
        <v/>
      </c>
      <c r="F2786" s="79" t="str">
        <f t="shared" si="217"/>
        <v/>
      </c>
      <c r="G2786" s="395"/>
      <c r="H2786" s="91">
        <f t="shared" si="218"/>
        <v>0</v>
      </c>
      <c r="I2786" s="91" t="str">
        <f t="shared" si="219"/>
        <v/>
      </c>
      <c r="J2786" s="91" t="str">
        <f t="shared" si="220"/>
        <v/>
      </c>
      <c r="K2786" s="92" t="str">
        <f>IF(AND(A2786="",B2786="",D2786="",G2786=""),"",IF(AND(A2786&lt;&gt;"",COUNTIF($A$2:$A$5001,A2786)&gt;1),"NUMERO_PC duplicado",IF(B2786="","DATA_PC vazia",IF(NOT(ISNUMBER(B2786)),"DATA_PC invalida",IF(OR(C2786="",C2786="Fora dos ciclos"),"CICLO_PC nao identificado",IF(OR(D2786="",D2786=0),"VALOR_PC vazio ou zero",IF(AND(G2786&lt;&gt;"Sim",G2786&lt;&gt;"Nao",G2786&lt;&gt;""),"PC_PAGO_A_CONTRATADA invalido",IF(AND(C2786&lt;&gt;"C0",IFERROR(INDEX(parametros!$A$2:$A$6,MATCH(C2786,parametros!$B$2:$B$6,0)),"")="Sim",IFERROR(INDEX(parametros!$H$2:$H$6,MATCH(C2786,parametros!$B$2:$B$6,0)),"")=""),"INICIO_EFEITO ausente: PC "&amp;A2786&amp;" - "&amp;C2786,IF(L2786="","EFEITO_PC nao calculado: PC "&amp;A2786&amp;" - "&amp;C2786,"OK")))))))))</f>
        <v/>
      </c>
      <c r="L2786" s="92" t="str">
        <f>IF(AND(A2786="",B2786="",D2786="",G2786=""),"",IF(OR(B2786="",NOT(ISNUMBER(B2786)),C2786="",C2786="Fora dos ciclos"),"",IF(C2786="C0","Nao",IF(IFERROR(INDEX(parametros!$A$2:$A$6,MATCH(C2786,parametros!$B$2:$B$6,0)),"")&lt;&gt;"Sim","Nao",IF(IFERROR(INDEX(parametros!$H$2:$H$6,MATCH(C2786,parametros!$B$2:$B$6,0)),"")="","",IF(B2786&gt;=IFERROR(INDEX(parametros!$H$2:$H$6,MATCH(C2786,parametros!$B$2:$B$6,0)),""),"Sim","Nao"))))))</f>
        <v/>
      </c>
      <c r="T2786" s="156"/>
      <c r="U2786" s="214" t="str">
        <f t="shared" si="221"/>
        <v/>
      </c>
      <c r="V2786" s="212" t="s">
        <v>50</v>
      </c>
      <c r="W2786" s="100" t="s">
        <v>168</v>
      </c>
      <c r="X2786" s="100" t="s">
        <v>169</v>
      </c>
      <c r="Y2786" s="101" t="s">
        <v>170</v>
      </c>
      <c r="Z2786" s="101" t="s">
        <v>171</v>
      </c>
      <c r="AA2786" s="101" t="s">
        <v>50</v>
      </c>
      <c r="AB2786" s="101" t="s">
        <v>172</v>
      </c>
      <c r="AC2786" s="102" t="s">
        <v>173</v>
      </c>
    </row>
    <row r="2787" spans="1:29" ht="25.5" customHeight="1" x14ac:dyDescent="0.35">
      <c r="A2787" s="392"/>
      <c r="B2787" s="393"/>
      <c r="C2787" s="99" t="str">
        <f>IF(B2787="","",IF(NOT(ISNUMBER(B2787)),"DATA_PC invalida",IF(NOT(ISNUMBER(parametros!$C$2)),"Fora dos ciclos",IF(OR(B2787&lt;parametros!$C$2,(YEAR(B2787)-YEAR(parametros!$C$2))*12+MONTH(B2787)-MONTH(parametros!$C$2)&gt;59),"Fora dos ciclos","C"&amp;INT(((YEAR(B2787)-YEAR(parametros!$C$2))*12+MONTH(B2787)-MONTH(parametros!$C$2))/12)))))</f>
        <v/>
      </c>
      <c r="D2787" s="394"/>
      <c r="E2787" s="78" t="str">
        <f>IF(C2787="","",IFERROR(VLOOKUP(C2787,parametros!$A$11:$E$15,5,0),""))</f>
        <v/>
      </c>
      <c r="F2787" s="79" t="str">
        <f t="shared" si="217"/>
        <v/>
      </c>
      <c r="G2787" s="395"/>
      <c r="H2787" s="91">
        <f t="shared" si="218"/>
        <v>0</v>
      </c>
      <c r="I2787" s="91" t="str">
        <f t="shared" si="219"/>
        <v/>
      </c>
      <c r="J2787" s="91" t="str">
        <f t="shared" si="220"/>
        <v/>
      </c>
      <c r="K2787" s="92" t="str">
        <f>IF(AND(A2787="",B2787="",D2787="",G2787=""),"",IF(AND(A2787&lt;&gt;"",COUNTIF($A$2:$A$5001,A2787)&gt;1),"NUMERO_PC duplicado",IF(B2787="","DATA_PC vazia",IF(NOT(ISNUMBER(B2787)),"DATA_PC invalida",IF(OR(C2787="",C2787="Fora dos ciclos"),"CICLO_PC nao identificado",IF(OR(D2787="",D2787=0),"VALOR_PC vazio ou zero",IF(AND(G2787&lt;&gt;"Sim",G2787&lt;&gt;"Nao",G2787&lt;&gt;""),"PC_PAGO_A_CONTRATADA invalido",IF(AND(C2787&lt;&gt;"C0",IFERROR(INDEX(parametros!$A$2:$A$6,MATCH(C2787,parametros!$B$2:$B$6,0)),"")="Sim",IFERROR(INDEX(parametros!$H$2:$H$6,MATCH(C2787,parametros!$B$2:$B$6,0)),"")=""),"INICIO_EFEITO ausente: PC "&amp;A2787&amp;" - "&amp;C2787,IF(L2787="","EFEITO_PC nao calculado: PC "&amp;A2787&amp;" - "&amp;C2787,"OK")))))))))</f>
        <v/>
      </c>
      <c r="L2787" s="92" t="str">
        <f>IF(AND(A2787="",B2787="",D2787="",G2787=""),"",IF(OR(B2787="",NOT(ISNUMBER(B2787)),C2787="",C2787="Fora dos ciclos"),"",IF(C2787="C0","Nao",IF(IFERROR(INDEX(parametros!$A$2:$A$6,MATCH(C2787,parametros!$B$2:$B$6,0)),"")&lt;&gt;"Sim","Nao",IF(IFERROR(INDEX(parametros!$H$2:$H$6,MATCH(C2787,parametros!$B$2:$B$6,0)),"")="","",IF(B2787&gt;=IFERROR(INDEX(parametros!$H$2:$H$6,MATCH(C2787,parametros!$B$2:$B$6,0)),""),"Sim","Nao"))))))</f>
        <v/>
      </c>
      <c r="T2787" s="156"/>
      <c r="U2787" s="214" t="str">
        <f t="shared" si="221"/>
        <v/>
      </c>
      <c r="V2787" s="212" t="s">
        <v>50</v>
      </c>
      <c r="W2787" s="100" t="s">
        <v>168</v>
      </c>
      <c r="X2787" s="100" t="s">
        <v>169</v>
      </c>
      <c r="Y2787" s="101" t="s">
        <v>170</v>
      </c>
      <c r="Z2787" s="101" t="s">
        <v>171</v>
      </c>
      <c r="AA2787" s="101" t="s">
        <v>50</v>
      </c>
      <c r="AB2787" s="101" t="s">
        <v>172</v>
      </c>
      <c r="AC2787" s="102" t="s">
        <v>173</v>
      </c>
    </row>
    <row r="2788" spans="1:29" ht="25.5" customHeight="1" x14ac:dyDescent="0.35">
      <c r="A2788" s="392"/>
      <c r="B2788" s="393"/>
      <c r="C2788" s="99" t="str">
        <f>IF(B2788="","",IF(NOT(ISNUMBER(B2788)),"DATA_PC invalida",IF(NOT(ISNUMBER(parametros!$C$2)),"Fora dos ciclos",IF(OR(B2788&lt;parametros!$C$2,(YEAR(B2788)-YEAR(parametros!$C$2))*12+MONTH(B2788)-MONTH(parametros!$C$2)&gt;59),"Fora dos ciclos","C"&amp;INT(((YEAR(B2788)-YEAR(parametros!$C$2))*12+MONTH(B2788)-MONTH(parametros!$C$2))/12)))))</f>
        <v/>
      </c>
      <c r="D2788" s="394"/>
      <c r="E2788" s="78" t="str">
        <f>IF(C2788="","",IFERROR(VLOOKUP(C2788,parametros!$A$11:$E$15,5,0),""))</f>
        <v/>
      </c>
      <c r="F2788" s="79" t="str">
        <f t="shared" si="217"/>
        <v/>
      </c>
      <c r="G2788" s="395"/>
      <c r="H2788" s="91">
        <f t="shared" si="218"/>
        <v>0</v>
      </c>
      <c r="I2788" s="91" t="str">
        <f t="shared" si="219"/>
        <v/>
      </c>
      <c r="J2788" s="91" t="str">
        <f t="shared" si="220"/>
        <v/>
      </c>
      <c r="K2788" s="92" t="str">
        <f>IF(AND(A2788="",B2788="",D2788="",G2788=""),"",IF(AND(A2788&lt;&gt;"",COUNTIF($A$2:$A$5001,A2788)&gt;1),"NUMERO_PC duplicado",IF(B2788="","DATA_PC vazia",IF(NOT(ISNUMBER(B2788)),"DATA_PC invalida",IF(OR(C2788="",C2788="Fora dos ciclos"),"CICLO_PC nao identificado",IF(OR(D2788="",D2788=0),"VALOR_PC vazio ou zero",IF(AND(G2788&lt;&gt;"Sim",G2788&lt;&gt;"Nao",G2788&lt;&gt;""),"PC_PAGO_A_CONTRATADA invalido",IF(AND(C2788&lt;&gt;"C0",IFERROR(INDEX(parametros!$A$2:$A$6,MATCH(C2788,parametros!$B$2:$B$6,0)),"")="Sim",IFERROR(INDEX(parametros!$H$2:$H$6,MATCH(C2788,parametros!$B$2:$B$6,0)),"")=""),"INICIO_EFEITO ausente: PC "&amp;A2788&amp;" - "&amp;C2788,IF(L2788="","EFEITO_PC nao calculado: PC "&amp;A2788&amp;" - "&amp;C2788,"OK")))))))))</f>
        <v/>
      </c>
      <c r="L2788" s="92" t="str">
        <f>IF(AND(A2788="",B2788="",D2788="",G2788=""),"",IF(OR(B2788="",NOT(ISNUMBER(B2788)),C2788="",C2788="Fora dos ciclos"),"",IF(C2788="C0","Nao",IF(IFERROR(INDEX(parametros!$A$2:$A$6,MATCH(C2788,parametros!$B$2:$B$6,0)),"")&lt;&gt;"Sim","Nao",IF(IFERROR(INDEX(parametros!$H$2:$H$6,MATCH(C2788,parametros!$B$2:$B$6,0)),"")="","",IF(B2788&gt;=IFERROR(INDEX(parametros!$H$2:$H$6,MATCH(C2788,parametros!$B$2:$B$6,0)),""),"Sim","Nao"))))))</f>
        <v/>
      </c>
      <c r="T2788" s="156"/>
      <c r="U2788" s="214" t="str">
        <f t="shared" si="221"/>
        <v/>
      </c>
      <c r="V2788" s="212" t="s">
        <v>50</v>
      </c>
      <c r="W2788" s="100" t="s">
        <v>168</v>
      </c>
      <c r="X2788" s="100" t="s">
        <v>169</v>
      </c>
      <c r="Y2788" s="101" t="s">
        <v>170</v>
      </c>
      <c r="Z2788" s="101" t="s">
        <v>171</v>
      </c>
      <c r="AA2788" s="101" t="s">
        <v>50</v>
      </c>
      <c r="AB2788" s="101" t="s">
        <v>172</v>
      </c>
      <c r="AC2788" s="102" t="s">
        <v>173</v>
      </c>
    </row>
    <row r="2789" spans="1:29" ht="25.5" customHeight="1" x14ac:dyDescent="0.35">
      <c r="A2789" s="392"/>
      <c r="B2789" s="393"/>
      <c r="C2789" s="99" t="str">
        <f>IF(B2789="","",IF(NOT(ISNUMBER(B2789)),"DATA_PC invalida",IF(NOT(ISNUMBER(parametros!$C$2)),"Fora dos ciclos",IF(OR(B2789&lt;parametros!$C$2,(YEAR(B2789)-YEAR(parametros!$C$2))*12+MONTH(B2789)-MONTH(parametros!$C$2)&gt;59),"Fora dos ciclos","C"&amp;INT(((YEAR(B2789)-YEAR(parametros!$C$2))*12+MONTH(B2789)-MONTH(parametros!$C$2))/12)))))</f>
        <v/>
      </c>
      <c r="D2789" s="394"/>
      <c r="E2789" s="78" t="str">
        <f>IF(C2789="","",IFERROR(VLOOKUP(C2789,parametros!$A$11:$E$15,5,0),""))</f>
        <v/>
      </c>
      <c r="F2789" s="79" t="str">
        <f t="shared" si="217"/>
        <v/>
      </c>
      <c r="G2789" s="395"/>
      <c r="H2789" s="91">
        <f t="shared" si="218"/>
        <v>0</v>
      </c>
      <c r="I2789" s="91" t="str">
        <f t="shared" si="219"/>
        <v/>
      </c>
      <c r="J2789" s="91" t="str">
        <f t="shared" si="220"/>
        <v/>
      </c>
      <c r="K2789" s="92" t="str">
        <f>IF(AND(A2789="",B2789="",D2789="",G2789=""),"",IF(AND(A2789&lt;&gt;"",COUNTIF($A$2:$A$5001,A2789)&gt;1),"NUMERO_PC duplicado",IF(B2789="","DATA_PC vazia",IF(NOT(ISNUMBER(B2789)),"DATA_PC invalida",IF(OR(C2789="",C2789="Fora dos ciclos"),"CICLO_PC nao identificado",IF(OR(D2789="",D2789=0),"VALOR_PC vazio ou zero",IF(AND(G2789&lt;&gt;"Sim",G2789&lt;&gt;"Nao",G2789&lt;&gt;""),"PC_PAGO_A_CONTRATADA invalido",IF(AND(C2789&lt;&gt;"C0",IFERROR(INDEX(parametros!$A$2:$A$6,MATCH(C2789,parametros!$B$2:$B$6,0)),"")="Sim",IFERROR(INDEX(parametros!$H$2:$H$6,MATCH(C2789,parametros!$B$2:$B$6,0)),"")=""),"INICIO_EFEITO ausente: PC "&amp;A2789&amp;" - "&amp;C2789,IF(L2789="","EFEITO_PC nao calculado: PC "&amp;A2789&amp;" - "&amp;C2789,"OK")))))))))</f>
        <v/>
      </c>
      <c r="L2789" s="92" t="str">
        <f>IF(AND(A2789="",B2789="",D2789="",G2789=""),"",IF(OR(B2789="",NOT(ISNUMBER(B2789)),C2789="",C2789="Fora dos ciclos"),"",IF(C2789="C0","Nao",IF(IFERROR(INDEX(parametros!$A$2:$A$6,MATCH(C2789,parametros!$B$2:$B$6,0)),"")&lt;&gt;"Sim","Nao",IF(IFERROR(INDEX(parametros!$H$2:$H$6,MATCH(C2789,parametros!$B$2:$B$6,0)),"")="","",IF(B2789&gt;=IFERROR(INDEX(parametros!$H$2:$H$6,MATCH(C2789,parametros!$B$2:$B$6,0)),""),"Sim","Nao"))))))</f>
        <v/>
      </c>
      <c r="T2789" s="156"/>
      <c r="U2789" s="214" t="str">
        <f t="shared" si="221"/>
        <v/>
      </c>
      <c r="V2789" s="212" t="s">
        <v>50</v>
      </c>
      <c r="W2789" s="100" t="s">
        <v>168</v>
      </c>
      <c r="X2789" s="100" t="s">
        <v>169</v>
      </c>
      <c r="Y2789" s="101" t="s">
        <v>170</v>
      </c>
      <c r="Z2789" s="101" t="s">
        <v>171</v>
      </c>
      <c r="AA2789" s="101" t="s">
        <v>50</v>
      </c>
      <c r="AB2789" s="101" t="s">
        <v>172</v>
      </c>
      <c r="AC2789" s="102" t="s">
        <v>173</v>
      </c>
    </row>
    <row r="2790" spans="1:29" ht="25.5" customHeight="1" x14ac:dyDescent="0.35">
      <c r="A2790" s="392"/>
      <c r="B2790" s="393"/>
      <c r="C2790" s="99" t="str">
        <f>IF(B2790="","",IF(NOT(ISNUMBER(B2790)),"DATA_PC invalida",IF(NOT(ISNUMBER(parametros!$C$2)),"Fora dos ciclos",IF(OR(B2790&lt;parametros!$C$2,(YEAR(B2790)-YEAR(parametros!$C$2))*12+MONTH(B2790)-MONTH(parametros!$C$2)&gt;59),"Fora dos ciclos","C"&amp;INT(((YEAR(B2790)-YEAR(parametros!$C$2))*12+MONTH(B2790)-MONTH(parametros!$C$2))/12)))))</f>
        <v/>
      </c>
      <c r="D2790" s="394"/>
      <c r="E2790" s="78" t="str">
        <f>IF(C2790="","",IFERROR(VLOOKUP(C2790,parametros!$A$11:$E$15,5,0),""))</f>
        <v/>
      </c>
      <c r="F2790" s="79" t="str">
        <f t="shared" si="217"/>
        <v/>
      </c>
      <c r="G2790" s="395"/>
      <c r="H2790" s="91">
        <f t="shared" si="218"/>
        <v>0</v>
      </c>
      <c r="I2790" s="91" t="str">
        <f t="shared" si="219"/>
        <v/>
      </c>
      <c r="J2790" s="91" t="str">
        <f t="shared" si="220"/>
        <v/>
      </c>
      <c r="K2790" s="92" t="str">
        <f>IF(AND(A2790="",B2790="",D2790="",G2790=""),"",IF(AND(A2790&lt;&gt;"",COUNTIF($A$2:$A$5001,A2790)&gt;1),"NUMERO_PC duplicado",IF(B2790="","DATA_PC vazia",IF(NOT(ISNUMBER(B2790)),"DATA_PC invalida",IF(OR(C2790="",C2790="Fora dos ciclos"),"CICLO_PC nao identificado",IF(OR(D2790="",D2790=0),"VALOR_PC vazio ou zero",IF(AND(G2790&lt;&gt;"Sim",G2790&lt;&gt;"Nao",G2790&lt;&gt;""),"PC_PAGO_A_CONTRATADA invalido",IF(AND(C2790&lt;&gt;"C0",IFERROR(INDEX(parametros!$A$2:$A$6,MATCH(C2790,parametros!$B$2:$B$6,0)),"")="Sim",IFERROR(INDEX(parametros!$H$2:$H$6,MATCH(C2790,parametros!$B$2:$B$6,0)),"")=""),"INICIO_EFEITO ausente: PC "&amp;A2790&amp;" - "&amp;C2790,IF(L2790="","EFEITO_PC nao calculado: PC "&amp;A2790&amp;" - "&amp;C2790,"OK")))))))))</f>
        <v/>
      </c>
      <c r="L2790" s="92" t="str">
        <f>IF(AND(A2790="",B2790="",D2790="",G2790=""),"",IF(OR(B2790="",NOT(ISNUMBER(B2790)),C2790="",C2790="Fora dos ciclos"),"",IF(C2790="C0","Nao",IF(IFERROR(INDEX(parametros!$A$2:$A$6,MATCH(C2790,parametros!$B$2:$B$6,0)),"")&lt;&gt;"Sim","Nao",IF(IFERROR(INDEX(parametros!$H$2:$H$6,MATCH(C2790,parametros!$B$2:$B$6,0)),"")="","",IF(B2790&gt;=IFERROR(INDEX(parametros!$H$2:$H$6,MATCH(C2790,parametros!$B$2:$B$6,0)),""),"Sim","Nao"))))))</f>
        <v/>
      </c>
      <c r="T2790" s="156"/>
      <c r="U2790" s="214" t="str">
        <f t="shared" si="221"/>
        <v/>
      </c>
      <c r="V2790" s="212" t="s">
        <v>50</v>
      </c>
      <c r="W2790" s="100" t="s">
        <v>168</v>
      </c>
      <c r="X2790" s="100" t="s">
        <v>169</v>
      </c>
      <c r="Y2790" s="101" t="s">
        <v>170</v>
      </c>
      <c r="Z2790" s="101" t="s">
        <v>171</v>
      </c>
      <c r="AA2790" s="101" t="s">
        <v>50</v>
      </c>
      <c r="AB2790" s="101" t="s">
        <v>172</v>
      </c>
      <c r="AC2790" s="102" t="s">
        <v>173</v>
      </c>
    </row>
    <row r="2791" spans="1:29" ht="25.5" customHeight="1" x14ac:dyDescent="0.35">
      <c r="A2791" s="392"/>
      <c r="B2791" s="393"/>
      <c r="C2791" s="99" t="str">
        <f>IF(B2791="","",IF(NOT(ISNUMBER(B2791)),"DATA_PC invalida",IF(NOT(ISNUMBER(parametros!$C$2)),"Fora dos ciclos",IF(OR(B2791&lt;parametros!$C$2,(YEAR(B2791)-YEAR(parametros!$C$2))*12+MONTH(B2791)-MONTH(parametros!$C$2)&gt;59),"Fora dos ciclos","C"&amp;INT(((YEAR(B2791)-YEAR(parametros!$C$2))*12+MONTH(B2791)-MONTH(parametros!$C$2))/12)))))</f>
        <v/>
      </c>
      <c r="D2791" s="394"/>
      <c r="E2791" s="78" t="str">
        <f>IF(C2791="","",IFERROR(VLOOKUP(C2791,parametros!$A$11:$E$15,5,0),""))</f>
        <v/>
      </c>
      <c r="F2791" s="79" t="str">
        <f t="shared" si="217"/>
        <v/>
      </c>
      <c r="G2791" s="395"/>
      <c r="H2791" s="91">
        <f t="shared" si="218"/>
        <v>0</v>
      </c>
      <c r="I2791" s="91" t="str">
        <f t="shared" si="219"/>
        <v/>
      </c>
      <c r="J2791" s="91" t="str">
        <f t="shared" si="220"/>
        <v/>
      </c>
      <c r="K2791" s="92" t="str">
        <f>IF(AND(A2791="",B2791="",D2791="",G2791=""),"",IF(AND(A2791&lt;&gt;"",COUNTIF($A$2:$A$5001,A2791)&gt;1),"NUMERO_PC duplicado",IF(B2791="","DATA_PC vazia",IF(NOT(ISNUMBER(B2791)),"DATA_PC invalida",IF(OR(C2791="",C2791="Fora dos ciclos"),"CICLO_PC nao identificado",IF(OR(D2791="",D2791=0),"VALOR_PC vazio ou zero",IF(AND(G2791&lt;&gt;"Sim",G2791&lt;&gt;"Nao",G2791&lt;&gt;""),"PC_PAGO_A_CONTRATADA invalido",IF(AND(C2791&lt;&gt;"C0",IFERROR(INDEX(parametros!$A$2:$A$6,MATCH(C2791,parametros!$B$2:$B$6,0)),"")="Sim",IFERROR(INDEX(parametros!$H$2:$H$6,MATCH(C2791,parametros!$B$2:$B$6,0)),"")=""),"INICIO_EFEITO ausente: PC "&amp;A2791&amp;" - "&amp;C2791,IF(L2791="","EFEITO_PC nao calculado: PC "&amp;A2791&amp;" - "&amp;C2791,"OK")))))))))</f>
        <v/>
      </c>
      <c r="L2791" s="92" t="str">
        <f>IF(AND(A2791="",B2791="",D2791="",G2791=""),"",IF(OR(B2791="",NOT(ISNUMBER(B2791)),C2791="",C2791="Fora dos ciclos"),"",IF(C2791="C0","Nao",IF(IFERROR(INDEX(parametros!$A$2:$A$6,MATCH(C2791,parametros!$B$2:$B$6,0)),"")&lt;&gt;"Sim","Nao",IF(IFERROR(INDEX(parametros!$H$2:$H$6,MATCH(C2791,parametros!$B$2:$B$6,0)),"")="","",IF(B2791&gt;=IFERROR(INDEX(parametros!$H$2:$H$6,MATCH(C2791,parametros!$B$2:$B$6,0)),""),"Sim","Nao"))))))</f>
        <v/>
      </c>
      <c r="T2791" s="156"/>
      <c r="U2791" s="214" t="str">
        <f t="shared" si="221"/>
        <v/>
      </c>
      <c r="V2791" s="212" t="s">
        <v>50</v>
      </c>
      <c r="W2791" s="100" t="s">
        <v>168</v>
      </c>
      <c r="X2791" s="100" t="s">
        <v>169</v>
      </c>
      <c r="Y2791" s="101" t="s">
        <v>170</v>
      </c>
      <c r="Z2791" s="101" t="s">
        <v>171</v>
      </c>
      <c r="AA2791" s="101" t="s">
        <v>50</v>
      </c>
      <c r="AB2791" s="101" t="s">
        <v>172</v>
      </c>
      <c r="AC2791" s="102" t="s">
        <v>173</v>
      </c>
    </row>
    <row r="2792" spans="1:29" ht="25.5" customHeight="1" x14ac:dyDescent="0.35">
      <c r="A2792" s="392"/>
      <c r="B2792" s="393"/>
      <c r="C2792" s="99" t="str">
        <f>IF(B2792="","",IF(NOT(ISNUMBER(B2792)),"DATA_PC invalida",IF(NOT(ISNUMBER(parametros!$C$2)),"Fora dos ciclos",IF(OR(B2792&lt;parametros!$C$2,(YEAR(B2792)-YEAR(parametros!$C$2))*12+MONTH(B2792)-MONTH(parametros!$C$2)&gt;59),"Fora dos ciclos","C"&amp;INT(((YEAR(B2792)-YEAR(parametros!$C$2))*12+MONTH(B2792)-MONTH(parametros!$C$2))/12)))))</f>
        <v/>
      </c>
      <c r="D2792" s="394"/>
      <c r="E2792" s="78" t="str">
        <f>IF(C2792="","",IFERROR(VLOOKUP(C2792,parametros!$A$11:$E$15,5,0),""))</f>
        <v/>
      </c>
      <c r="F2792" s="79" t="str">
        <f t="shared" si="217"/>
        <v/>
      </c>
      <c r="G2792" s="395"/>
      <c r="H2792" s="91">
        <f t="shared" si="218"/>
        <v>0</v>
      </c>
      <c r="I2792" s="91" t="str">
        <f t="shared" si="219"/>
        <v/>
      </c>
      <c r="J2792" s="91" t="str">
        <f t="shared" si="220"/>
        <v/>
      </c>
      <c r="K2792" s="92" t="str">
        <f>IF(AND(A2792="",B2792="",D2792="",G2792=""),"",IF(AND(A2792&lt;&gt;"",COUNTIF($A$2:$A$5001,A2792)&gt;1),"NUMERO_PC duplicado",IF(B2792="","DATA_PC vazia",IF(NOT(ISNUMBER(B2792)),"DATA_PC invalida",IF(OR(C2792="",C2792="Fora dos ciclos"),"CICLO_PC nao identificado",IF(OR(D2792="",D2792=0),"VALOR_PC vazio ou zero",IF(AND(G2792&lt;&gt;"Sim",G2792&lt;&gt;"Nao",G2792&lt;&gt;""),"PC_PAGO_A_CONTRATADA invalido",IF(AND(C2792&lt;&gt;"C0",IFERROR(INDEX(parametros!$A$2:$A$6,MATCH(C2792,parametros!$B$2:$B$6,0)),"")="Sim",IFERROR(INDEX(parametros!$H$2:$H$6,MATCH(C2792,parametros!$B$2:$B$6,0)),"")=""),"INICIO_EFEITO ausente: PC "&amp;A2792&amp;" - "&amp;C2792,IF(L2792="","EFEITO_PC nao calculado: PC "&amp;A2792&amp;" - "&amp;C2792,"OK")))))))))</f>
        <v/>
      </c>
      <c r="L2792" s="92" t="str">
        <f>IF(AND(A2792="",B2792="",D2792="",G2792=""),"",IF(OR(B2792="",NOT(ISNUMBER(B2792)),C2792="",C2792="Fora dos ciclos"),"",IF(C2792="C0","Nao",IF(IFERROR(INDEX(parametros!$A$2:$A$6,MATCH(C2792,parametros!$B$2:$B$6,0)),"")&lt;&gt;"Sim","Nao",IF(IFERROR(INDEX(parametros!$H$2:$H$6,MATCH(C2792,parametros!$B$2:$B$6,0)),"")="","",IF(B2792&gt;=IFERROR(INDEX(parametros!$H$2:$H$6,MATCH(C2792,parametros!$B$2:$B$6,0)),""),"Sim","Nao"))))))</f>
        <v/>
      </c>
      <c r="T2792" s="156"/>
      <c r="U2792" s="214" t="str">
        <f t="shared" si="221"/>
        <v/>
      </c>
      <c r="V2792" s="212" t="s">
        <v>50</v>
      </c>
      <c r="W2792" s="100" t="s">
        <v>168</v>
      </c>
      <c r="X2792" s="100" t="s">
        <v>169</v>
      </c>
      <c r="Y2792" s="101" t="s">
        <v>170</v>
      </c>
      <c r="Z2792" s="101" t="s">
        <v>171</v>
      </c>
      <c r="AA2792" s="101" t="s">
        <v>50</v>
      </c>
      <c r="AB2792" s="101" t="s">
        <v>172</v>
      </c>
      <c r="AC2792" s="102" t="s">
        <v>173</v>
      </c>
    </row>
    <row r="2793" spans="1:29" ht="25.5" customHeight="1" x14ac:dyDescent="0.35">
      <c r="A2793" s="392"/>
      <c r="B2793" s="393"/>
      <c r="C2793" s="99" t="str">
        <f>IF(B2793="","",IF(NOT(ISNUMBER(B2793)),"DATA_PC invalida",IF(NOT(ISNUMBER(parametros!$C$2)),"Fora dos ciclos",IF(OR(B2793&lt;parametros!$C$2,(YEAR(B2793)-YEAR(parametros!$C$2))*12+MONTH(B2793)-MONTH(parametros!$C$2)&gt;59),"Fora dos ciclos","C"&amp;INT(((YEAR(B2793)-YEAR(parametros!$C$2))*12+MONTH(B2793)-MONTH(parametros!$C$2))/12)))))</f>
        <v/>
      </c>
      <c r="D2793" s="394"/>
      <c r="E2793" s="78" t="str">
        <f>IF(C2793="","",IFERROR(VLOOKUP(C2793,parametros!$A$11:$E$15,5,0),""))</f>
        <v/>
      </c>
      <c r="F2793" s="79" t="str">
        <f t="shared" si="217"/>
        <v/>
      </c>
      <c r="G2793" s="395"/>
      <c r="H2793" s="91">
        <f t="shared" si="218"/>
        <v>0</v>
      </c>
      <c r="I2793" s="91" t="str">
        <f t="shared" si="219"/>
        <v/>
      </c>
      <c r="J2793" s="91" t="str">
        <f t="shared" si="220"/>
        <v/>
      </c>
      <c r="K2793" s="92" t="str">
        <f>IF(AND(A2793="",B2793="",D2793="",G2793=""),"",IF(AND(A2793&lt;&gt;"",COUNTIF($A$2:$A$5001,A2793)&gt;1),"NUMERO_PC duplicado",IF(B2793="","DATA_PC vazia",IF(NOT(ISNUMBER(B2793)),"DATA_PC invalida",IF(OR(C2793="",C2793="Fora dos ciclos"),"CICLO_PC nao identificado",IF(OR(D2793="",D2793=0),"VALOR_PC vazio ou zero",IF(AND(G2793&lt;&gt;"Sim",G2793&lt;&gt;"Nao",G2793&lt;&gt;""),"PC_PAGO_A_CONTRATADA invalido",IF(AND(C2793&lt;&gt;"C0",IFERROR(INDEX(parametros!$A$2:$A$6,MATCH(C2793,parametros!$B$2:$B$6,0)),"")="Sim",IFERROR(INDEX(parametros!$H$2:$H$6,MATCH(C2793,parametros!$B$2:$B$6,0)),"")=""),"INICIO_EFEITO ausente: PC "&amp;A2793&amp;" - "&amp;C2793,IF(L2793="","EFEITO_PC nao calculado: PC "&amp;A2793&amp;" - "&amp;C2793,"OK")))))))))</f>
        <v/>
      </c>
      <c r="L2793" s="92" t="str">
        <f>IF(AND(A2793="",B2793="",D2793="",G2793=""),"",IF(OR(B2793="",NOT(ISNUMBER(B2793)),C2793="",C2793="Fora dos ciclos"),"",IF(C2793="C0","Nao",IF(IFERROR(INDEX(parametros!$A$2:$A$6,MATCH(C2793,parametros!$B$2:$B$6,0)),"")&lt;&gt;"Sim","Nao",IF(IFERROR(INDEX(parametros!$H$2:$H$6,MATCH(C2793,parametros!$B$2:$B$6,0)),"")="","",IF(B2793&gt;=IFERROR(INDEX(parametros!$H$2:$H$6,MATCH(C2793,parametros!$B$2:$B$6,0)),""),"Sim","Nao"))))))</f>
        <v/>
      </c>
      <c r="T2793" s="156"/>
      <c r="U2793" s="214" t="str">
        <f t="shared" si="221"/>
        <v/>
      </c>
      <c r="V2793" s="212" t="s">
        <v>50</v>
      </c>
      <c r="W2793" s="100" t="s">
        <v>168</v>
      </c>
      <c r="X2793" s="100" t="s">
        <v>169</v>
      </c>
      <c r="Y2793" s="101" t="s">
        <v>170</v>
      </c>
      <c r="Z2793" s="101" t="s">
        <v>171</v>
      </c>
      <c r="AA2793" s="101" t="s">
        <v>50</v>
      </c>
      <c r="AB2793" s="101" t="s">
        <v>172</v>
      </c>
      <c r="AC2793" s="102" t="s">
        <v>173</v>
      </c>
    </row>
    <row r="2794" spans="1:29" ht="25.5" customHeight="1" x14ac:dyDescent="0.35">
      <c r="A2794" s="392"/>
      <c r="B2794" s="393"/>
      <c r="C2794" s="99" t="str">
        <f>IF(B2794="","",IF(NOT(ISNUMBER(B2794)),"DATA_PC invalida",IF(NOT(ISNUMBER(parametros!$C$2)),"Fora dos ciclos",IF(OR(B2794&lt;parametros!$C$2,(YEAR(B2794)-YEAR(parametros!$C$2))*12+MONTH(B2794)-MONTH(parametros!$C$2)&gt;59),"Fora dos ciclos","C"&amp;INT(((YEAR(B2794)-YEAR(parametros!$C$2))*12+MONTH(B2794)-MONTH(parametros!$C$2))/12)))))</f>
        <v/>
      </c>
      <c r="D2794" s="394"/>
      <c r="E2794" s="78" t="str">
        <f>IF(C2794="","",IFERROR(VLOOKUP(C2794,parametros!$A$11:$E$15,5,0),""))</f>
        <v/>
      </c>
      <c r="F2794" s="79" t="str">
        <f t="shared" si="217"/>
        <v/>
      </c>
      <c r="G2794" s="395"/>
      <c r="H2794" s="91">
        <f t="shared" si="218"/>
        <v>0</v>
      </c>
      <c r="I2794" s="91" t="str">
        <f t="shared" si="219"/>
        <v/>
      </c>
      <c r="J2794" s="91" t="str">
        <f t="shared" si="220"/>
        <v/>
      </c>
      <c r="K2794" s="92" t="str">
        <f>IF(AND(A2794="",B2794="",D2794="",G2794=""),"",IF(AND(A2794&lt;&gt;"",COUNTIF($A$2:$A$5001,A2794)&gt;1),"NUMERO_PC duplicado",IF(B2794="","DATA_PC vazia",IF(NOT(ISNUMBER(B2794)),"DATA_PC invalida",IF(OR(C2794="",C2794="Fora dos ciclos"),"CICLO_PC nao identificado",IF(OR(D2794="",D2794=0),"VALOR_PC vazio ou zero",IF(AND(G2794&lt;&gt;"Sim",G2794&lt;&gt;"Nao",G2794&lt;&gt;""),"PC_PAGO_A_CONTRATADA invalido",IF(AND(C2794&lt;&gt;"C0",IFERROR(INDEX(parametros!$A$2:$A$6,MATCH(C2794,parametros!$B$2:$B$6,0)),"")="Sim",IFERROR(INDEX(parametros!$H$2:$H$6,MATCH(C2794,parametros!$B$2:$B$6,0)),"")=""),"INICIO_EFEITO ausente: PC "&amp;A2794&amp;" - "&amp;C2794,IF(L2794="","EFEITO_PC nao calculado: PC "&amp;A2794&amp;" - "&amp;C2794,"OK")))))))))</f>
        <v/>
      </c>
      <c r="L2794" s="92" t="str">
        <f>IF(AND(A2794="",B2794="",D2794="",G2794=""),"",IF(OR(B2794="",NOT(ISNUMBER(B2794)),C2794="",C2794="Fora dos ciclos"),"",IF(C2794="C0","Nao",IF(IFERROR(INDEX(parametros!$A$2:$A$6,MATCH(C2794,parametros!$B$2:$B$6,0)),"")&lt;&gt;"Sim","Nao",IF(IFERROR(INDEX(parametros!$H$2:$H$6,MATCH(C2794,parametros!$B$2:$B$6,0)),"")="","",IF(B2794&gt;=IFERROR(INDEX(parametros!$H$2:$H$6,MATCH(C2794,parametros!$B$2:$B$6,0)),""),"Sim","Nao"))))))</f>
        <v/>
      </c>
      <c r="T2794" s="156"/>
      <c r="U2794" s="214" t="str">
        <f t="shared" si="221"/>
        <v/>
      </c>
      <c r="V2794" s="212" t="s">
        <v>50</v>
      </c>
      <c r="W2794" s="100" t="s">
        <v>168</v>
      </c>
      <c r="X2794" s="100" t="s">
        <v>169</v>
      </c>
      <c r="Y2794" s="101" t="s">
        <v>170</v>
      </c>
      <c r="Z2794" s="101" t="s">
        <v>171</v>
      </c>
      <c r="AA2794" s="101" t="s">
        <v>50</v>
      </c>
      <c r="AB2794" s="101" t="s">
        <v>172</v>
      </c>
      <c r="AC2794" s="102" t="s">
        <v>173</v>
      </c>
    </row>
    <row r="2795" spans="1:29" ht="25.5" customHeight="1" x14ac:dyDescent="0.35">
      <c r="A2795" s="392"/>
      <c r="B2795" s="393"/>
      <c r="C2795" s="99" t="str">
        <f>IF(B2795="","",IF(NOT(ISNUMBER(B2795)),"DATA_PC invalida",IF(NOT(ISNUMBER(parametros!$C$2)),"Fora dos ciclos",IF(OR(B2795&lt;parametros!$C$2,(YEAR(B2795)-YEAR(parametros!$C$2))*12+MONTH(B2795)-MONTH(parametros!$C$2)&gt;59),"Fora dos ciclos","C"&amp;INT(((YEAR(B2795)-YEAR(parametros!$C$2))*12+MONTH(B2795)-MONTH(parametros!$C$2))/12)))))</f>
        <v/>
      </c>
      <c r="D2795" s="394"/>
      <c r="E2795" s="78" t="str">
        <f>IF(C2795="","",IFERROR(VLOOKUP(C2795,parametros!$A$11:$E$15,5,0),""))</f>
        <v/>
      </c>
      <c r="F2795" s="79" t="str">
        <f t="shared" si="217"/>
        <v/>
      </c>
      <c r="G2795" s="395"/>
      <c r="H2795" s="91">
        <f t="shared" si="218"/>
        <v>0</v>
      </c>
      <c r="I2795" s="91" t="str">
        <f t="shared" si="219"/>
        <v/>
      </c>
      <c r="J2795" s="91" t="str">
        <f t="shared" si="220"/>
        <v/>
      </c>
      <c r="K2795" s="92" t="str">
        <f>IF(AND(A2795="",B2795="",D2795="",G2795=""),"",IF(AND(A2795&lt;&gt;"",COUNTIF($A$2:$A$5001,A2795)&gt;1),"NUMERO_PC duplicado",IF(B2795="","DATA_PC vazia",IF(NOT(ISNUMBER(B2795)),"DATA_PC invalida",IF(OR(C2795="",C2795="Fora dos ciclos"),"CICLO_PC nao identificado",IF(OR(D2795="",D2795=0),"VALOR_PC vazio ou zero",IF(AND(G2795&lt;&gt;"Sim",G2795&lt;&gt;"Nao",G2795&lt;&gt;""),"PC_PAGO_A_CONTRATADA invalido",IF(AND(C2795&lt;&gt;"C0",IFERROR(INDEX(parametros!$A$2:$A$6,MATCH(C2795,parametros!$B$2:$B$6,0)),"")="Sim",IFERROR(INDEX(parametros!$H$2:$H$6,MATCH(C2795,parametros!$B$2:$B$6,0)),"")=""),"INICIO_EFEITO ausente: PC "&amp;A2795&amp;" - "&amp;C2795,IF(L2795="","EFEITO_PC nao calculado: PC "&amp;A2795&amp;" - "&amp;C2795,"OK")))))))))</f>
        <v/>
      </c>
      <c r="L2795" s="92" t="str">
        <f>IF(AND(A2795="",B2795="",D2795="",G2795=""),"",IF(OR(B2795="",NOT(ISNUMBER(B2795)),C2795="",C2795="Fora dos ciclos"),"",IF(C2795="C0","Nao",IF(IFERROR(INDEX(parametros!$A$2:$A$6,MATCH(C2795,parametros!$B$2:$B$6,0)),"")&lt;&gt;"Sim","Nao",IF(IFERROR(INDEX(parametros!$H$2:$H$6,MATCH(C2795,parametros!$B$2:$B$6,0)),"")="","",IF(B2795&gt;=IFERROR(INDEX(parametros!$H$2:$H$6,MATCH(C2795,parametros!$B$2:$B$6,0)),""),"Sim","Nao"))))))</f>
        <v/>
      </c>
      <c r="T2795" s="156"/>
      <c r="U2795" s="214" t="str">
        <f t="shared" si="221"/>
        <v/>
      </c>
      <c r="V2795" s="212" t="s">
        <v>50</v>
      </c>
      <c r="W2795" s="100" t="s">
        <v>168</v>
      </c>
      <c r="X2795" s="100" t="s">
        <v>169</v>
      </c>
      <c r="Y2795" s="101" t="s">
        <v>170</v>
      </c>
      <c r="Z2795" s="101" t="s">
        <v>171</v>
      </c>
      <c r="AA2795" s="101" t="s">
        <v>50</v>
      </c>
      <c r="AB2795" s="101" t="s">
        <v>172</v>
      </c>
      <c r="AC2795" s="102" t="s">
        <v>173</v>
      </c>
    </row>
    <row r="2796" spans="1:29" ht="25.5" customHeight="1" x14ac:dyDescent="0.35">
      <c r="A2796" s="392"/>
      <c r="B2796" s="393"/>
      <c r="C2796" s="99" t="str">
        <f>IF(B2796="","",IF(NOT(ISNUMBER(B2796)),"DATA_PC invalida",IF(NOT(ISNUMBER(parametros!$C$2)),"Fora dos ciclos",IF(OR(B2796&lt;parametros!$C$2,(YEAR(B2796)-YEAR(parametros!$C$2))*12+MONTH(B2796)-MONTH(parametros!$C$2)&gt;59),"Fora dos ciclos","C"&amp;INT(((YEAR(B2796)-YEAR(parametros!$C$2))*12+MONTH(B2796)-MONTH(parametros!$C$2))/12)))))</f>
        <v/>
      </c>
      <c r="D2796" s="394"/>
      <c r="E2796" s="78" t="str">
        <f>IF(C2796="","",IFERROR(VLOOKUP(C2796,parametros!$A$11:$E$15,5,0),""))</f>
        <v/>
      </c>
      <c r="F2796" s="79" t="str">
        <f t="shared" si="217"/>
        <v/>
      </c>
      <c r="G2796" s="395"/>
      <c r="H2796" s="91">
        <f t="shared" si="218"/>
        <v>0</v>
      </c>
      <c r="I2796" s="91" t="str">
        <f t="shared" si="219"/>
        <v/>
      </c>
      <c r="J2796" s="91" t="str">
        <f t="shared" si="220"/>
        <v/>
      </c>
      <c r="K2796" s="92" t="str">
        <f>IF(AND(A2796="",B2796="",D2796="",G2796=""),"",IF(AND(A2796&lt;&gt;"",COUNTIF($A$2:$A$5001,A2796)&gt;1),"NUMERO_PC duplicado",IF(B2796="","DATA_PC vazia",IF(NOT(ISNUMBER(B2796)),"DATA_PC invalida",IF(OR(C2796="",C2796="Fora dos ciclos"),"CICLO_PC nao identificado",IF(OR(D2796="",D2796=0),"VALOR_PC vazio ou zero",IF(AND(G2796&lt;&gt;"Sim",G2796&lt;&gt;"Nao",G2796&lt;&gt;""),"PC_PAGO_A_CONTRATADA invalido",IF(AND(C2796&lt;&gt;"C0",IFERROR(INDEX(parametros!$A$2:$A$6,MATCH(C2796,parametros!$B$2:$B$6,0)),"")="Sim",IFERROR(INDEX(parametros!$H$2:$H$6,MATCH(C2796,parametros!$B$2:$B$6,0)),"")=""),"INICIO_EFEITO ausente: PC "&amp;A2796&amp;" - "&amp;C2796,IF(L2796="","EFEITO_PC nao calculado: PC "&amp;A2796&amp;" - "&amp;C2796,"OK")))))))))</f>
        <v/>
      </c>
      <c r="L2796" s="92" t="str">
        <f>IF(AND(A2796="",B2796="",D2796="",G2796=""),"",IF(OR(B2796="",NOT(ISNUMBER(B2796)),C2796="",C2796="Fora dos ciclos"),"",IF(C2796="C0","Nao",IF(IFERROR(INDEX(parametros!$A$2:$A$6,MATCH(C2796,parametros!$B$2:$B$6,0)),"")&lt;&gt;"Sim","Nao",IF(IFERROR(INDEX(parametros!$H$2:$H$6,MATCH(C2796,parametros!$B$2:$B$6,0)),"")="","",IF(B2796&gt;=IFERROR(INDEX(parametros!$H$2:$H$6,MATCH(C2796,parametros!$B$2:$B$6,0)),""),"Sim","Nao"))))))</f>
        <v/>
      </c>
      <c r="T2796" s="156"/>
      <c r="U2796" s="214" t="str">
        <f t="shared" si="221"/>
        <v/>
      </c>
      <c r="V2796" s="212" t="s">
        <v>50</v>
      </c>
      <c r="W2796" s="100" t="s">
        <v>168</v>
      </c>
      <c r="X2796" s="100" t="s">
        <v>169</v>
      </c>
      <c r="Y2796" s="101" t="s">
        <v>170</v>
      </c>
      <c r="Z2796" s="101" t="s">
        <v>171</v>
      </c>
      <c r="AA2796" s="101" t="s">
        <v>50</v>
      </c>
      <c r="AB2796" s="101" t="s">
        <v>172</v>
      </c>
      <c r="AC2796" s="102" t="s">
        <v>173</v>
      </c>
    </row>
    <row r="2797" spans="1:29" ht="25.5" customHeight="1" x14ac:dyDescent="0.35">
      <c r="A2797" s="392"/>
      <c r="B2797" s="393"/>
      <c r="C2797" s="99" t="str">
        <f>IF(B2797="","",IF(NOT(ISNUMBER(B2797)),"DATA_PC invalida",IF(NOT(ISNUMBER(parametros!$C$2)),"Fora dos ciclos",IF(OR(B2797&lt;parametros!$C$2,(YEAR(B2797)-YEAR(parametros!$C$2))*12+MONTH(B2797)-MONTH(parametros!$C$2)&gt;59),"Fora dos ciclos","C"&amp;INT(((YEAR(B2797)-YEAR(parametros!$C$2))*12+MONTH(B2797)-MONTH(parametros!$C$2))/12)))))</f>
        <v/>
      </c>
      <c r="D2797" s="394"/>
      <c r="E2797" s="78" t="str">
        <f>IF(C2797="","",IFERROR(VLOOKUP(C2797,parametros!$A$11:$E$15,5,0),""))</f>
        <v/>
      </c>
      <c r="F2797" s="79" t="str">
        <f t="shared" si="217"/>
        <v/>
      </c>
      <c r="G2797" s="395"/>
      <c r="H2797" s="91">
        <f t="shared" si="218"/>
        <v>0</v>
      </c>
      <c r="I2797" s="91" t="str">
        <f t="shared" si="219"/>
        <v/>
      </c>
      <c r="J2797" s="91" t="str">
        <f t="shared" si="220"/>
        <v/>
      </c>
      <c r="K2797" s="92" t="str">
        <f>IF(AND(A2797="",B2797="",D2797="",G2797=""),"",IF(AND(A2797&lt;&gt;"",COUNTIF($A$2:$A$5001,A2797)&gt;1),"NUMERO_PC duplicado",IF(B2797="","DATA_PC vazia",IF(NOT(ISNUMBER(B2797)),"DATA_PC invalida",IF(OR(C2797="",C2797="Fora dos ciclos"),"CICLO_PC nao identificado",IF(OR(D2797="",D2797=0),"VALOR_PC vazio ou zero",IF(AND(G2797&lt;&gt;"Sim",G2797&lt;&gt;"Nao",G2797&lt;&gt;""),"PC_PAGO_A_CONTRATADA invalido",IF(AND(C2797&lt;&gt;"C0",IFERROR(INDEX(parametros!$A$2:$A$6,MATCH(C2797,parametros!$B$2:$B$6,0)),"")="Sim",IFERROR(INDEX(parametros!$H$2:$H$6,MATCH(C2797,parametros!$B$2:$B$6,0)),"")=""),"INICIO_EFEITO ausente: PC "&amp;A2797&amp;" - "&amp;C2797,IF(L2797="","EFEITO_PC nao calculado: PC "&amp;A2797&amp;" - "&amp;C2797,"OK")))))))))</f>
        <v/>
      </c>
      <c r="L2797" s="92" t="str">
        <f>IF(AND(A2797="",B2797="",D2797="",G2797=""),"",IF(OR(B2797="",NOT(ISNUMBER(B2797)),C2797="",C2797="Fora dos ciclos"),"",IF(C2797="C0","Nao",IF(IFERROR(INDEX(parametros!$A$2:$A$6,MATCH(C2797,parametros!$B$2:$B$6,0)),"")&lt;&gt;"Sim","Nao",IF(IFERROR(INDEX(parametros!$H$2:$H$6,MATCH(C2797,parametros!$B$2:$B$6,0)),"")="","",IF(B2797&gt;=IFERROR(INDEX(parametros!$H$2:$H$6,MATCH(C2797,parametros!$B$2:$B$6,0)),""),"Sim","Nao"))))))</f>
        <v/>
      </c>
      <c r="T2797" s="156"/>
      <c r="U2797" s="214" t="str">
        <f t="shared" si="221"/>
        <v/>
      </c>
      <c r="V2797" s="212" t="s">
        <v>50</v>
      </c>
      <c r="W2797" s="100" t="s">
        <v>168</v>
      </c>
      <c r="X2797" s="100" t="s">
        <v>169</v>
      </c>
      <c r="Y2797" s="101" t="s">
        <v>170</v>
      </c>
      <c r="Z2797" s="101" t="s">
        <v>171</v>
      </c>
      <c r="AA2797" s="101" t="s">
        <v>50</v>
      </c>
      <c r="AB2797" s="101" t="s">
        <v>172</v>
      </c>
      <c r="AC2797" s="102" t="s">
        <v>173</v>
      </c>
    </row>
    <row r="2798" spans="1:29" ht="25.5" customHeight="1" x14ac:dyDescent="0.35">
      <c r="A2798" s="392"/>
      <c r="B2798" s="393"/>
      <c r="C2798" s="99" t="str">
        <f>IF(B2798="","",IF(NOT(ISNUMBER(B2798)),"DATA_PC invalida",IF(NOT(ISNUMBER(parametros!$C$2)),"Fora dos ciclos",IF(OR(B2798&lt;parametros!$C$2,(YEAR(B2798)-YEAR(parametros!$C$2))*12+MONTH(B2798)-MONTH(parametros!$C$2)&gt;59),"Fora dos ciclos","C"&amp;INT(((YEAR(B2798)-YEAR(parametros!$C$2))*12+MONTH(B2798)-MONTH(parametros!$C$2))/12)))))</f>
        <v/>
      </c>
      <c r="D2798" s="394"/>
      <c r="E2798" s="78" t="str">
        <f>IF(C2798="","",IFERROR(VLOOKUP(C2798,parametros!$A$11:$E$15,5,0),""))</f>
        <v/>
      </c>
      <c r="F2798" s="79" t="str">
        <f t="shared" si="217"/>
        <v/>
      </c>
      <c r="G2798" s="395"/>
      <c r="H2798" s="91">
        <f t="shared" si="218"/>
        <v>0</v>
      </c>
      <c r="I2798" s="91" t="str">
        <f t="shared" si="219"/>
        <v/>
      </c>
      <c r="J2798" s="91" t="str">
        <f t="shared" si="220"/>
        <v/>
      </c>
      <c r="K2798" s="92" t="str">
        <f>IF(AND(A2798="",B2798="",D2798="",G2798=""),"",IF(AND(A2798&lt;&gt;"",COUNTIF($A$2:$A$5001,A2798)&gt;1),"NUMERO_PC duplicado",IF(B2798="","DATA_PC vazia",IF(NOT(ISNUMBER(B2798)),"DATA_PC invalida",IF(OR(C2798="",C2798="Fora dos ciclos"),"CICLO_PC nao identificado",IF(OR(D2798="",D2798=0),"VALOR_PC vazio ou zero",IF(AND(G2798&lt;&gt;"Sim",G2798&lt;&gt;"Nao",G2798&lt;&gt;""),"PC_PAGO_A_CONTRATADA invalido",IF(AND(C2798&lt;&gt;"C0",IFERROR(INDEX(parametros!$A$2:$A$6,MATCH(C2798,parametros!$B$2:$B$6,0)),"")="Sim",IFERROR(INDEX(parametros!$H$2:$H$6,MATCH(C2798,parametros!$B$2:$B$6,0)),"")=""),"INICIO_EFEITO ausente: PC "&amp;A2798&amp;" - "&amp;C2798,IF(L2798="","EFEITO_PC nao calculado: PC "&amp;A2798&amp;" - "&amp;C2798,"OK")))))))))</f>
        <v/>
      </c>
      <c r="L2798" s="92" t="str">
        <f>IF(AND(A2798="",B2798="",D2798="",G2798=""),"",IF(OR(B2798="",NOT(ISNUMBER(B2798)),C2798="",C2798="Fora dos ciclos"),"",IF(C2798="C0","Nao",IF(IFERROR(INDEX(parametros!$A$2:$A$6,MATCH(C2798,parametros!$B$2:$B$6,0)),"")&lt;&gt;"Sim","Nao",IF(IFERROR(INDEX(parametros!$H$2:$H$6,MATCH(C2798,parametros!$B$2:$B$6,0)),"")="","",IF(B2798&gt;=IFERROR(INDEX(parametros!$H$2:$H$6,MATCH(C2798,parametros!$B$2:$B$6,0)),""),"Sim","Nao"))))))</f>
        <v/>
      </c>
      <c r="T2798" s="156"/>
      <c r="U2798" s="214" t="str">
        <f t="shared" si="221"/>
        <v/>
      </c>
      <c r="V2798" s="212" t="s">
        <v>50</v>
      </c>
      <c r="W2798" s="100" t="s">
        <v>168</v>
      </c>
      <c r="X2798" s="100" t="s">
        <v>169</v>
      </c>
      <c r="Y2798" s="101" t="s">
        <v>170</v>
      </c>
      <c r="Z2798" s="101" t="s">
        <v>171</v>
      </c>
      <c r="AA2798" s="101" t="s">
        <v>50</v>
      </c>
      <c r="AB2798" s="101" t="s">
        <v>172</v>
      </c>
      <c r="AC2798" s="102" t="s">
        <v>173</v>
      </c>
    </row>
    <row r="2799" spans="1:29" ht="25.5" customHeight="1" x14ac:dyDescent="0.35">
      <c r="A2799" s="392"/>
      <c r="B2799" s="393"/>
      <c r="C2799" s="99" t="str">
        <f>IF(B2799="","",IF(NOT(ISNUMBER(B2799)),"DATA_PC invalida",IF(NOT(ISNUMBER(parametros!$C$2)),"Fora dos ciclos",IF(OR(B2799&lt;parametros!$C$2,(YEAR(B2799)-YEAR(parametros!$C$2))*12+MONTH(B2799)-MONTH(parametros!$C$2)&gt;59),"Fora dos ciclos","C"&amp;INT(((YEAR(B2799)-YEAR(parametros!$C$2))*12+MONTH(B2799)-MONTH(parametros!$C$2))/12)))))</f>
        <v/>
      </c>
      <c r="D2799" s="394"/>
      <c r="E2799" s="78" t="str">
        <f>IF(C2799="","",IFERROR(VLOOKUP(C2799,parametros!$A$11:$E$15,5,0),""))</f>
        <v/>
      </c>
      <c r="F2799" s="79" t="str">
        <f t="shared" si="217"/>
        <v/>
      </c>
      <c r="G2799" s="395"/>
      <c r="H2799" s="91">
        <f t="shared" si="218"/>
        <v>0</v>
      </c>
      <c r="I2799" s="91" t="str">
        <f t="shared" si="219"/>
        <v/>
      </c>
      <c r="J2799" s="91" t="str">
        <f t="shared" si="220"/>
        <v/>
      </c>
      <c r="K2799" s="92" t="str">
        <f>IF(AND(A2799="",B2799="",D2799="",G2799=""),"",IF(AND(A2799&lt;&gt;"",COUNTIF($A$2:$A$5001,A2799)&gt;1),"NUMERO_PC duplicado",IF(B2799="","DATA_PC vazia",IF(NOT(ISNUMBER(B2799)),"DATA_PC invalida",IF(OR(C2799="",C2799="Fora dos ciclos"),"CICLO_PC nao identificado",IF(OR(D2799="",D2799=0),"VALOR_PC vazio ou zero",IF(AND(G2799&lt;&gt;"Sim",G2799&lt;&gt;"Nao",G2799&lt;&gt;""),"PC_PAGO_A_CONTRATADA invalido",IF(AND(C2799&lt;&gt;"C0",IFERROR(INDEX(parametros!$A$2:$A$6,MATCH(C2799,parametros!$B$2:$B$6,0)),"")="Sim",IFERROR(INDEX(parametros!$H$2:$H$6,MATCH(C2799,parametros!$B$2:$B$6,0)),"")=""),"INICIO_EFEITO ausente: PC "&amp;A2799&amp;" - "&amp;C2799,IF(L2799="","EFEITO_PC nao calculado: PC "&amp;A2799&amp;" - "&amp;C2799,"OK")))))))))</f>
        <v/>
      </c>
      <c r="L2799" s="92" t="str">
        <f>IF(AND(A2799="",B2799="",D2799="",G2799=""),"",IF(OR(B2799="",NOT(ISNUMBER(B2799)),C2799="",C2799="Fora dos ciclos"),"",IF(C2799="C0","Nao",IF(IFERROR(INDEX(parametros!$A$2:$A$6,MATCH(C2799,parametros!$B$2:$B$6,0)),"")&lt;&gt;"Sim","Nao",IF(IFERROR(INDEX(parametros!$H$2:$H$6,MATCH(C2799,parametros!$B$2:$B$6,0)),"")="","",IF(B2799&gt;=IFERROR(INDEX(parametros!$H$2:$H$6,MATCH(C2799,parametros!$B$2:$B$6,0)),""),"Sim","Nao"))))))</f>
        <v/>
      </c>
      <c r="T2799" s="156"/>
      <c r="U2799" s="214" t="str">
        <f t="shared" si="221"/>
        <v/>
      </c>
      <c r="V2799" s="212" t="s">
        <v>50</v>
      </c>
      <c r="W2799" s="100" t="s">
        <v>168</v>
      </c>
      <c r="X2799" s="100" t="s">
        <v>169</v>
      </c>
      <c r="Y2799" s="101" t="s">
        <v>170</v>
      </c>
      <c r="Z2799" s="101" t="s">
        <v>171</v>
      </c>
      <c r="AA2799" s="101" t="s">
        <v>50</v>
      </c>
      <c r="AB2799" s="101" t="s">
        <v>172</v>
      </c>
      <c r="AC2799" s="102" t="s">
        <v>173</v>
      </c>
    </row>
    <row r="2800" spans="1:29" ht="25.5" customHeight="1" x14ac:dyDescent="0.35">
      <c r="A2800" s="392"/>
      <c r="B2800" s="393"/>
      <c r="C2800" s="99" t="str">
        <f>IF(B2800="","",IF(NOT(ISNUMBER(B2800)),"DATA_PC invalida",IF(NOT(ISNUMBER(parametros!$C$2)),"Fora dos ciclos",IF(OR(B2800&lt;parametros!$C$2,(YEAR(B2800)-YEAR(parametros!$C$2))*12+MONTH(B2800)-MONTH(parametros!$C$2)&gt;59),"Fora dos ciclos","C"&amp;INT(((YEAR(B2800)-YEAR(parametros!$C$2))*12+MONTH(B2800)-MONTH(parametros!$C$2))/12)))))</f>
        <v/>
      </c>
      <c r="D2800" s="394"/>
      <c r="E2800" s="78" t="str">
        <f>IF(C2800="","",IFERROR(VLOOKUP(C2800,parametros!$A$11:$E$15,5,0),""))</f>
        <v/>
      </c>
      <c r="F2800" s="79" t="str">
        <f t="shared" si="217"/>
        <v/>
      </c>
      <c r="G2800" s="395"/>
      <c r="H2800" s="91">
        <f t="shared" si="218"/>
        <v>0</v>
      </c>
      <c r="I2800" s="91" t="str">
        <f t="shared" si="219"/>
        <v/>
      </c>
      <c r="J2800" s="91" t="str">
        <f t="shared" si="220"/>
        <v/>
      </c>
      <c r="K2800" s="92" t="str">
        <f>IF(AND(A2800="",B2800="",D2800="",G2800=""),"",IF(AND(A2800&lt;&gt;"",COUNTIF($A$2:$A$5001,A2800)&gt;1),"NUMERO_PC duplicado",IF(B2800="","DATA_PC vazia",IF(NOT(ISNUMBER(B2800)),"DATA_PC invalida",IF(OR(C2800="",C2800="Fora dos ciclos"),"CICLO_PC nao identificado",IF(OR(D2800="",D2800=0),"VALOR_PC vazio ou zero",IF(AND(G2800&lt;&gt;"Sim",G2800&lt;&gt;"Nao",G2800&lt;&gt;""),"PC_PAGO_A_CONTRATADA invalido",IF(AND(C2800&lt;&gt;"C0",IFERROR(INDEX(parametros!$A$2:$A$6,MATCH(C2800,parametros!$B$2:$B$6,0)),"")="Sim",IFERROR(INDEX(parametros!$H$2:$H$6,MATCH(C2800,parametros!$B$2:$B$6,0)),"")=""),"INICIO_EFEITO ausente: PC "&amp;A2800&amp;" - "&amp;C2800,IF(L2800="","EFEITO_PC nao calculado: PC "&amp;A2800&amp;" - "&amp;C2800,"OK")))))))))</f>
        <v/>
      </c>
      <c r="L2800" s="92" t="str">
        <f>IF(AND(A2800="",B2800="",D2800="",G2800=""),"",IF(OR(B2800="",NOT(ISNUMBER(B2800)),C2800="",C2800="Fora dos ciclos"),"",IF(C2800="C0","Nao",IF(IFERROR(INDEX(parametros!$A$2:$A$6,MATCH(C2800,parametros!$B$2:$B$6,0)),"")&lt;&gt;"Sim","Nao",IF(IFERROR(INDEX(parametros!$H$2:$H$6,MATCH(C2800,parametros!$B$2:$B$6,0)),"")="","",IF(B2800&gt;=IFERROR(INDEX(parametros!$H$2:$H$6,MATCH(C2800,parametros!$B$2:$B$6,0)),""),"Sim","Nao"))))))</f>
        <v/>
      </c>
      <c r="T2800" s="156"/>
      <c r="U2800" s="214" t="str">
        <f t="shared" si="221"/>
        <v/>
      </c>
      <c r="V2800" s="212" t="s">
        <v>50</v>
      </c>
      <c r="W2800" s="100" t="s">
        <v>168</v>
      </c>
      <c r="X2800" s="100" t="s">
        <v>169</v>
      </c>
      <c r="Y2800" s="101" t="s">
        <v>170</v>
      </c>
      <c r="Z2800" s="101" t="s">
        <v>171</v>
      </c>
      <c r="AA2800" s="101" t="s">
        <v>50</v>
      </c>
      <c r="AB2800" s="101" t="s">
        <v>172</v>
      </c>
      <c r="AC2800" s="102" t="s">
        <v>173</v>
      </c>
    </row>
    <row r="2801" spans="1:29" ht="25.5" customHeight="1" x14ac:dyDescent="0.35">
      <c r="A2801" s="392"/>
      <c r="B2801" s="393"/>
      <c r="C2801" s="99" t="str">
        <f>IF(B2801="","",IF(NOT(ISNUMBER(B2801)),"DATA_PC invalida",IF(NOT(ISNUMBER(parametros!$C$2)),"Fora dos ciclos",IF(OR(B2801&lt;parametros!$C$2,(YEAR(B2801)-YEAR(parametros!$C$2))*12+MONTH(B2801)-MONTH(parametros!$C$2)&gt;59),"Fora dos ciclos","C"&amp;INT(((YEAR(B2801)-YEAR(parametros!$C$2))*12+MONTH(B2801)-MONTH(parametros!$C$2))/12)))))</f>
        <v/>
      </c>
      <c r="D2801" s="394"/>
      <c r="E2801" s="78" t="str">
        <f>IF(C2801="","",IFERROR(VLOOKUP(C2801,parametros!$A$11:$E$15,5,0),""))</f>
        <v/>
      </c>
      <c r="F2801" s="79" t="str">
        <f t="shared" si="217"/>
        <v/>
      </c>
      <c r="G2801" s="395"/>
      <c r="H2801" s="91">
        <f t="shared" si="218"/>
        <v>0</v>
      </c>
      <c r="I2801" s="91" t="str">
        <f t="shared" si="219"/>
        <v/>
      </c>
      <c r="J2801" s="91" t="str">
        <f t="shared" si="220"/>
        <v/>
      </c>
      <c r="K2801" s="92" t="str">
        <f>IF(AND(A2801="",B2801="",D2801="",G2801=""),"",IF(AND(A2801&lt;&gt;"",COUNTIF($A$2:$A$5001,A2801)&gt;1),"NUMERO_PC duplicado",IF(B2801="","DATA_PC vazia",IF(NOT(ISNUMBER(B2801)),"DATA_PC invalida",IF(OR(C2801="",C2801="Fora dos ciclos"),"CICLO_PC nao identificado",IF(OR(D2801="",D2801=0),"VALOR_PC vazio ou zero",IF(AND(G2801&lt;&gt;"Sim",G2801&lt;&gt;"Nao",G2801&lt;&gt;""),"PC_PAGO_A_CONTRATADA invalido",IF(AND(C2801&lt;&gt;"C0",IFERROR(INDEX(parametros!$A$2:$A$6,MATCH(C2801,parametros!$B$2:$B$6,0)),"")="Sim",IFERROR(INDEX(parametros!$H$2:$H$6,MATCH(C2801,parametros!$B$2:$B$6,0)),"")=""),"INICIO_EFEITO ausente: PC "&amp;A2801&amp;" - "&amp;C2801,IF(L2801="","EFEITO_PC nao calculado: PC "&amp;A2801&amp;" - "&amp;C2801,"OK")))))))))</f>
        <v/>
      </c>
      <c r="L2801" s="92" t="str">
        <f>IF(AND(A2801="",B2801="",D2801="",G2801=""),"",IF(OR(B2801="",NOT(ISNUMBER(B2801)),C2801="",C2801="Fora dos ciclos"),"",IF(C2801="C0","Nao",IF(IFERROR(INDEX(parametros!$A$2:$A$6,MATCH(C2801,parametros!$B$2:$B$6,0)),"")&lt;&gt;"Sim","Nao",IF(IFERROR(INDEX(parametros!$H$2:$H$6,MATCH(C2801,parametros!$B$2:$B$6,0)),"")="","",IF(B2801&gt;=IFERROR(INDEX(parametros!$H$2:$H$6,MATCH(C2801,parametros!$B$2:$B$6,0)),""),"Sim","Nao"))))))</f>
        <v/>
      </c>
      <c r="T2801" s="156"/>
      <c r="U2801" s="214" t="str">
        <f t="shared" si="221"/>
        <v/>
      </c>
      <c r="V2801" s="212" t="s">
        <v>50</v>
      </c>
      <c r="W2801" s="100" t="s">
        <v>168</v>
      </c>
      <c r="X2801" s="100" t="s">
        <v>169</v>
      </c>
      <c r="Y2801" s="101" t="s">
        <v>170</v>
      </c>
      <c r="Z2801" s="101" t="s">
        <v>171</v>
      </c>
      <c r="AA2801" s="101" t="s">
        <v>50</v>
      </c>
      <c r="AB2801" s="101" t="s">
        <v>172</v>
      </c>
      <c r="AC2801" s="102" t="s">
        <v>173</v>
      </c>
    </row>
    <row r="2802" spans="1:29" ht="25.5" customHeight="1" x14ac:dyDescent="0.35">
      <c r="A2802" s="392"/>
      <c r="B2802" s="393"/>
      <c r="C2802" s="99" t="str">
        <f>IF(B2802="","",IF(NOT(ISNUMBER(B2802)),"DATA_PC invalida",IF(NOT(ISNUMBER(parametros!$C$2)),"Fora dos ciclos",IF(OR(B2802&lt;parametros!$C$2,(YEAR(B2802)-YEAR(parametros!$C$2))*12+MONTH(B2802)-MONTH(parametros!$C$2)&gt;59),"Fora dos ciclos","C"&amp;INT(((YEAR(B2802)-YEAR(parametros!$C$2))*12+MONTH(B2802)-MONTH(parametros!$C$2))/12)))))</f>
        <v/>
      </c>
      <c r="D2802" s="394"/>
      <c r="E2802" s="78" t="str">
        <f>IF(C2802="","",IFERROR(VLOOKUP(C2802,parametros!$A$11:$E$15,5,0),""))</f>
        <v/>
      </c>
      <c r="F2802" s="79" t="str">
        <f t="shared" si="217"/>
        <v/>
      </c>
      <c r="G2802" s="395"/>
      <c r="H2802" s="91">
        <f t="shared" si="218"/>
        <v>0</v>
      </c>
      <c r="I2802" s="91" t="str">
        <f t="shared" si="219"/>
        <v/>
      </c>
      <c r="J2802" s="91" t="str">
        <f t="shared" si="220"/>
        <v/>
      </c>
      <c r="K2802" s="92" t="str">
        <f>IF(AND(A2802="",B2802="",D2802="",G2802=""),"",IF(AND(A2802&lt;&gt;"",COUNTIF($A$2:$A$5001,A2802)&gt;1),"NUMERO_PC duplicado",IF(B2802="","DATA_PC vazia",IF(NOT(ISNUMBER(B2802)),"DATA_PC invalida",IF(OR(C2802="",C2802="Fora dos ciclos"),"CICLO_PC nao identificado",IF(OR(D2802="",D2802=0),"VALOR_PC vazio ou zero",IF(AND(G2802&lt;&gt;"Sim",G2802&lt;&gt;"Nao",G2802&lt;&gt;""),"PC_PAGO_A_CONTRATADA invalido",IF(AND(C2802&lt;&gt;"C0",IFERROR(INDEX(parametros!$A$2:$A$6,MATCH(C2802,parametros!$B$2:$B$6,0)),"")="Sim",IFERROR(INDEX(parametros!$H$2:$H$6,MATCH(C2802,parametros!$B$2:$B$6,0)),"")=""),"INICIO_EFEITO ausente: PC "&amp;A2802&amp;" - "&amp;C2802,IF(L2802="","EFEITO_PC nao calculado: PC "&amp;A2802&amp;" - "&amp;C2802,"OK")))))))))</f>
        <v/>
      </c>
      <c r="L2802" s="92" t="str">
        <f>IF(AND(A2802="",B2802="",D2802="",G2802=""),"",IF(OR(B2802="",NOT(ISNUMBER(B2802)),C2802="",C2802="Fora dos ciclos"),"",IF(C2802="C0","Nao",IF(IFERROR(INDEX(parametros!$A$2:$A$6,MATCH(C2802,parametros!$B$2:$B$6,0)),"")&lt;&gt;"Sim","Nao",IF(IFERROR(INDEX(parametros!$H$2:$H$6,MATCH(C2802,parametros!$B$2:$B$6,0)),"")="","",IF(B2802&gt;=IFERROR(INDEX(parametros!$H$2:$H$6,MATCH(C2802,parametros!$B$2:$B$6,0)),""),"Sim","Nao"))))))</f>
        <v/>
      </c>
      <c r="T2802" s="156"/>
      <c r="U2802" s="214" t="str">
        <f t="shared" si="221"/>
        <v/>
      </c>
      <c r="V2802" s="212" t="s">
        <v>50</v>
      </c>
      <c r="W2802" s="100" t="s">
        <v>168</v>
      </c>
      <c r="X2802" s="100" t="s">
        <v>169</v>
      </c>
      <c r="Y2802" s="101" t="s">
        <v>170</v>
      </c>
      <c r="Z2802" s="101" t="s">
        <v>171</v>
      </c>
      <c r="AA2802" s="101" t="s">
        <v>50</v>
      </c>
      <c r="AB2802" s="101" t="s">
        <v>172</v>
      </c>
      <c r="AC2802" s="102" t="s">
        <v>173</v>
      </c>
    </row>
    <row r="2803" spans="1:29" ht="25.5" customHeight="1" x14ac:dyDescent="0.35">
      <c r="A2803" s="392"/>
      <c r="B2803" s="393"/>
      <c r="C2803" s="99" t="str">
        <f>IF(B2803="","",IF(NOT(ISNUMBER(B2803)),"DATA_PC invalida",IF(NOT(ISNUMBER(parametros!$C$2)),"Fora dos ciclos",IF(OR(B2803&lt;parametros!$C$2,(YEAR(B2803)-YEAR(parametros!$C$2))*12+MONTH(B2803)-MONTH(parametros!$C$2)&gt;59),"Fora dos ciclos","C"&amp;INT(((YEAR(B2803)-YEAR(parametros!$C$2))*12+MONTH(B2803)-MONTH(parametros!$C$2))/12)))))</f>
        <v/>
      </c>
      <c r="D2803" s="394"/>
      <c r="E2803" s="78" t="str">
        <f>IF(C2803="","",IFERROR(VLOOKUP(C2803,parametros!$A$11:$E$15,5,0),""))</f>
        <v/>
      </c>
      <c r="F2803" s="79" t="str">
        <f t="shared" si="217"/>
        <v/>
      </c>
      <c r="G2803" s="395"/>
      <c r="H2803" s="91">
        <f t="shared" si="218"/>
        <v>0</v>
      </c>
      <c r="I2803" s="91" t="str">
        <f t="shared" si="219"/>
        <v/>
      </c>
      <c r="J2803" s="91" t="str">
        <f t="shared" si="220"/>
        <v/>
      </c>
      <c r="K2803" s="92" t="str">
        <f>IF(AND(A2803="",B2803="",D2803="",G2803=""),"",IF(AND(A2803&lt;&gt;"",COUNTIF($A$2:$A$5001,A2803)&gt;1),"NUMERO_PC duplicado",IF(B2803="","DATA_PC vazia",IF(NOT(ISNUMBER(B2803)),"DATA_PC invalida",IF(OR(C2803="",C2803="Fora dos ciclos"),"CICLO_PC nao identificado",IF(OR(D2803="",D2803=0),"VALOR_PC vazio ou zero",IF(AND(G2803&lt;&gt;"Sim",G2803&lt;&gt;"Nao",G2803&lt;&gt;""),"PC_PAGO_A_CONTRATADA invalido",IF(AND(C2803&lt;&gt;"C0",IFERROR(INDEX(parametros!$A$2:$A$6,MATCH(C2803,parametros!$B$2:$B$6,0)),"")="Sim",IFERROR(INDEX(parametros!$H$2:$H$6,MATCH(C2803,parametros!$B$2:$B$6,0)),"")=""),"INICIO_EFEITO ausente: PC "&amp;A2803&amp;" - "&amp;C2803,IF(L2803="","EFEITO_PC nao calculado: PC "&amp;A2803&amp;" - "&amp;C2803,"OK")))))))))</f>
        <v/>
      </c>
      <c r="L2803" s="92" t="str">
        <f>IF(AND(A2803="",B2803="",D2803="",G2803=""),"",IF(OR(B2803="",NOT(ISNUMBER(B2803)),C2803="",C2803="Fora dos ciclos"),"",IF(C2803="C0","Nao",IF(IFERROR(INDEX(parametros!$A$2:$A$6,MATCH(C2803,parametros!$B$2:$B$6,0)),"")&lt;&gt;"Sim","Nao",IF(IFERROR(INDEX(parametros!$H$2:$H$6,MATCH(C2803,parametros!$B$2:$B$6,0)),"")="","",IF(B2803&gt;=IFERROR(INDEX(parametros!$H$2:$H$6,MATCH(C2803,parametros!$B$2:$B$6,0)),""),"Sim","Nao"))))))</f>
        <v/>
      </c>
      <c r="T2803" s="156"/>
      <c r="U2803" s="214" t="str">
        <f t="shared" si="221"/>
        <v/>
      </c>
      <c r="V2803" s="212" t="s">
        <v>50</v>
      </c>
      <c r="W2803" s="100" t="s">
        <v>168</v>
      </c>
      <c r="X2803" s="100" t="s">
        <v>169</v>
      </c>
      <c r="Y2803" s="101" t="s">
        <v>170</v>
      </c>
      <c r="Z2803" s="101" t="s">
        <v>171</v>
      </c>
      <c r="AA2803" s="101" t="s">
        <v>50</v>
      </c>
      <c r="AB2803" s="101" t="s">
        <v>172</v>
      </c>
      <c r="AC2803" s="102" t="s">
        <v>173</v>
      </c>
    </row>
    <row r="2804" spans="1:29" ht="25.5" customHeight="1" x14ac:dyDescent="0.35">
      <c r="A2804" s="392"/>
      <c r="B2804" s="393"/>
      <c r="C2804" s="99" t="str">
        <f>IF(B2804="","",IF(NOT(ISNUMBER(B2804)),"DATA_PC invalida",IF(NOT(ISNUMBER(parametros!$C$2)),"Fora dos ciclos",IF(OR(B2804&lt;parametros!$C$2,(YEAR(B2804)-YEAR(parametros!$C$2))*12+MONTH(B2804)-MONTH(parametros!$C$2)&gt;59),"Fora dos ciclos","C"&amp;INT(((YEAR(B2804)-YEAR(parametros!$C$2))*12+MONTH(B2804)-MONTH(parametros!$C$2))/12)))))</f>
        <v/>
      </c>
      <c r="D2804" s="394"/>
      <c r="E2804" s="78" t="str">
        <f>IF(C2804="","",IFERROR(VLOOKUP(C2804,parametros!$A$11:$E$15,5,0),""))</f>
        <v/>
      </c>
      <c r="F2804" s="79" t="str">
        <f t="shared" si="217"/>
        <v/>
      </c>
      <c r="G2804" s="395"/>
      <c r="H2804" s="91">
        <f t="shared" si="218"/>
        <v>0</v>
      </c>
      <c r="I2804" s="91" t="str">
        <f t="shared" si="219"/>
        <v/>
      </c>
      <c r="J2804" s="91" t="str">
        <f t="shared" si="220"/>
        <v/>
      </c>
      <c r="K2804" s="92" t="str">
        <f>IF(AND(A2804="",B2804="",D2804="",G2804=""),"",IF(AND(A2804&lt;&gt;"",COUNTIF($A$2:$A$5001,A2804)&gt;1),"NUMERO_PC duplicado",IF(B2804="","DATA_PC vazia",IF(NOT(ISNUMBER(B2804)),"DATA_PC invalida",IF(OR(C2804="",C2804="Fora dos ciclos"),"CICLO_PC nao identificado",IF(OR(D2804="",D2804=0),"VALOR_PC vazio ou zero",IF(AND(G2804&lt;&gt;"Sim",G2804&lt;&gt;"Nao",G2804&lt;&gt;""),"PC_PAGO_A_CONTRATADA invalido",IF(AND(C2804&lt;&gt;"C0",IFERROR(INDEX(parametros!$A$2:$A$6,MATCH(C2804,parametros!$B$2:$B$6,0)),"")="Sim",IFERROR(INDEX(parametros!$H$2:$H$6,MATCH(C2804,parametros!$B$2:$B$6,0)),"")=""),"INICIO_EFEITO ausente: PC "&amp;A2804&amp;" - "&amp;C2804,IF(L2804="","EFEITO_PC nao calculado: PC "&amp;A2804&amp;" - "&amp;C2804,"OK")))))))))</f>
        <v/>
      </c>
      <c r="L2804" s="92" t="str">
        <f>IF(AND(A2804="",B2804="",D2804="",G2804=""),"",IF(OR(B2804="",NOT(ISNUMBER(B2804)),C2804="",C2804="Fora dos ciclos"),"",IF(C2804="C0","Nao",IF(IFERROR(INDEX(parametros!$A$2:$A$6,MATCH(C2804,parametros!$B$2:$B$6,0)),"")&lt;&gt;"Sim","Nao",IF(IFERROR(INDEX(parametros!$H$2:$H$6,MATCH(C2804,parametros!$B$2:$B$6,0)),"")="","",IF(B2804&gt;=IFERROR(INDEX(parametros!$H$2:$H$6,MATCH(C2804,parametros!$B$2:$B$6,0)),""),"Sim","Nao"))))))</f>
        <v/>
      </c>
      <c r="T2804" s="156"/>
      <c r="U2804" s="214" t="str">
        <f t="shared" si="221"/>
        <v/>
      </c>
      <c r="V2804" s="212" t="s">
        <v>50</v>
      </c>
      <c r="W2804" s="100" t="s">
        <v>168</v>
      </c>
      <c r="X2804" s="100" t="s">
        <v>169</v>
      </c>
      <c r="Y2804" s="101" t="s">
        <v>170</v>
      </c>
      <c r="Z2804" s="101" t="s">
        <v>171</v>
      </c>
      <c r="AA2804" s="101" t="s">
        <v>50</v>
      </c>
      <c r="AB2804" s="101" t="s">
        <v>172</v>
      </c>
      <c r="AC2804" s="102" t="s">
        <v>173</v>
      </c>
    </row>
    <row r="2805" spans="1:29" ht="25.5" customHeight="1" x14ac:dyDescent="0.35">
      <c r="A2805" s="392"/>
      <c r="B2805" s="393"/>
      <c r="C2805" s="99" t="str">
        <f>IF(B2805="","",IF(NOT(ISNUMBER(B2805)),"DATA_PC invalida",IF(NOT(ISNUMBER(parametros!$C$2)),"Fora dos ciclos",IF(OR(B2805&lt;parametros!$C$2,(YEAR(B2805)-YEAR(parametros!$C$2))*12+MONTH(B2805)-MONTH(parametros!$C$2)&gt;59),"Fora dos ciclos","C"&amp;INT(((YEAR(B2805)-YEAR(parametros!$C$2))*12+MONTH(B2805)-MONTH(parametros!$C$2))/12)))))</f>
        <v/>
      </c>
      <c r="D2805" s="394"/>
      <c r="E2805" s="78" t="str">
        <f>IF(C2805="","",IFERROR(VLOOKUP(C2805,parametros!$A$11:$E$15,5,0),""))</f>
        <v/>
      </c>
      <c r="F2805" s="79" t="str">
        <f t="shared" si="217"/>
        <v/>
      </c>
      <c r="G2805" s="395"/>
      <c r="H2805" s="91">
        <f t="shared" si="218"/>
        <v>0</v>
      </c>
      <c r="I2805" s="91" t="str">
        <f t="shared" si="219"/>
        <v/>
      </c>
      <c r="J2805" s="91" t="str">
        <f t="shared" si="220"/>
        <v/>
      </c>
      <c r="K2805" s="92" t="str">
        <f>IF(AND(A2805="",B2805="",D2805="",G2805=""),"",IF(AND(A2805&lt;&gt;"",COUNTIF($A$2:$A$5001,A2805)&gt;1),"NUMERO_PC duplicado",IF(B2805="","DATA_PC vazia",IF(NOT(ISNUMBER(B2805)),"DATA_PC invalida",IF(OR(C2805="",C2805="Fora dos ciclos"),"CICLO_PC nao identificado",IF(OR(D2805="",D2805=0),"VALOR_PC vazio ou zero",IF(AND(G2805&lt;&gt;"Sim",G2805&lt;&gt;"Nao",G2805&lt;&gt;""),"PC_PAGO_A_CONTRATADA invalido",IF(AND(C2805&lt;&gt;"C0",IFERROR(INDEX(parametros!$A$2:$A$6,MATCH(C2805,parametros!$B$2:$B$6,0)),"")="Sim",IFERROR(INDEX(parametros!$H$2:$H$6,MATCH(C2805,parametros!$B$2:$B$6,0)),"")=""),"INICIO_EFEITO ausente: PC "&amp;A2805&amp;" - "&amp;C2805,IF(L2805="","EFEITO_PC nao calculado: PC "&amp;A2805&amp;" - "&amp;C2805,"OK")))))))))</f>
        <v/>
      </c>
      <c r="L2805" s="92" t="str">
        <f>IF(AND(A2805="",B2805="",D2805="",G2805=""),"",IF(OR(B2805="",NOT(ISNUMBER(B2805)),C2805="",C2805="Fora dos ciclos"),"",IF(C2805="C0","Nao",IF(IFERROR(INDEX(parametros!$A$2:$A$6,MATCH(C2805,parametros!$B$2:$B$6,0)),"")&lt;&gt;"Sim","Nao",IF(IFERROR(INDEX(parametros!$H$2:$H$6,MATCH(C2805,parametros!$B$2:$B$6,0)),"")="","",IF(B2805&gt;=IFERROR(INDEX(parametros!$H$2:$H$6,MATCH(C2805,parametros!$B$2:$B$6,0)),""),"Sim","Nao"))))))</f>
        <v/>
      </c>
      <c r="T2805" s="156"/>
      <c r="U2805" s="214" t="str">
        <f t="shared" si="221"/>
        <v/>
      </c>
      <c r="V2805" s="212" t="s">
        <v>50</v>
      </c>
      <c r="W2805" s="100" t="s">
        <v>168</v>
      </c>
      <c r="X2805" s="100" t="s">
        <v>169</v>
      </c>
      <c r="Y2805" s="101" t="s">
        <v>170</v>
      </c>
      <c r="Z2805" s="101" t="s">
        <v>171</v>
      </c>
      <c r="AA2805" s="101" t="s">
        <v>50</v>
      </c>
      <c r="AB2805" s="101" t="s">
        <v>172</v>
      </c>
      <c r="AC2805" s="102" t="s">
        <v>173</v>
      </c>
    </row>
    <row r="2806" spans="1:29" ht="25.5" customHeight="1" x14ac:dyDescent="0.35">
      <c r="A2806" s="392"/>
      <c r="B2806" s="393"/>
      <c r="C2806" s="99" t="str">
        <f>IF(B2806="","",IF(NOT(ISNUMBER(B2806)),"DATA_PC invalida",IF(NOT(ISNUMBER(parametros!$C$2)),"Fora dos ciclos",IF(OR(B2806&lt;parametros!$C$2,(YEAR(B2806)-YEAR(parametros!$C$2))*12+MONTH(B2806)-MONTH(parametros!$C$2)&gt;59),"Fora dos ciclos","C"&amp;INT(((YEAR(B2806)-YEAR(parametros!$C$2))*12+MONTH(B2806)-MONTH(parametros!$C$2))/12)))))</f>
        <v/>
      </c>
      <c r="D2806" s="394"/>
      <c r="E2806" s="78" t="str">
        <f>IF(C2806="","",IFERROR(VLOOKUP(C2806,parametros!$A$11:$E$15,5,0),""))</f>
        <v/>
      </c>
      <c r="F2806" s="79" t="str">
        <f t="shared" si="217"/>
        <v/>
      </c>
      <c r="G2806" s="395"/>
      <c r="H2806" s="91">
        <f t="shared" si="218"/>
        <v>0</v>
      </c>
      <c r="I2806" s="91" t="str">
        <f t="shared" si="219"/>
        <v/>
      </c>
      <c r="J2806" s="91" t="str">
        <f t="shared" si="220"/>
        <v/>
      </c>
      <c r="K2806" s="92" t="str">
        <f>IF(AND(A2806="",B2806="",D2806="",G2806=""),"",IF(AND(A2806&lt;&gt;"",COUNTIF($A$2:$A$5001,A2806)&gt;1),"NUMERO_PC duplicado",IF(B2806="","DATA_PC vazia",IF(NOT(ISNUMBER(B2806)),"DATA_PC invalida",IF(OR(C2806="",C2806="Fora dos ciclos"),"CICLO_PC nao identificado",IF(OR(D2806="",D2806=0),"VALOR_PC vazio ou zero",IF(AND(G2806&lt;&gt;"Sim",G2806&lt;&gt;"Nao",G2806&lt;&gt;""),"PC_PAGO_A_CONTRATADA invalido",IF(AND(C2806&lt;&gt;"C0",IFERROR(INDEX(parametros!$A$2:$A$6,MATCH(C2806,parametros!$B$2:$B$6,0)),"")="Sim",IFERROR(INDEX(parametros!$H$2:$H$6,MATCH(C2806,parametros!$B$2:$B$6,0)),"")=""),"INICIO_EFEITO ausente: PC "&amp;A2806&amp;" - "&amp;C2806,IF(L2806="","EFEITO_PC nao calculado: PC "&amp;A2806&amp;" - "&amp;C2806,"OK")))))))))</f>
        <v/>
      </c>
      <c r="L2806" s="92" t="str">
        <f>IF(AND(A2806="",B2806="",D2806="",G2806=""),"",IF(OR(B2806="",NOT(ISNUMBER(B2806)),C2806="",C2806="Fora dos ciclos"),"",IF(C2806="C0","Nao",IF(IFERROR(INDEX(parametros!$A$2:$A$6,MATCH(C2806,parametros!$B$2:$B$6,0)),"")&lt;&gt;"Sim","Nao",IF(IFERROR(INDEX(parametros!$H$2:$H$6,MATCH(C2806,parametros!$B$2:$B$6,0)),"")="","",IF(B2806&gt;=IFERROR(INDEX(parametros!$H$2:$H$6,MATCH(C2806,parametros!$B$2:$B$6,0)),""),"Sim","Nao"))))))</f>
        <v/>
      </c>
      <c r="T2806" s="156"/>
      <c r="U2806" s="214" t="str">
        <f t="shared" si="221"/>
        <v/>
      </c>
      <c r="V2806" s="212" t="s">
        <v>50</v>
      </c>
      <c r="W2806" s="100" t="s">
        <v>168</v>
      </c>
      <c r="X2806" s="100" t="s">
        <v>169</v>
      </c>
      <c r="Y2806" s="101" t="s">
        <v>170</v>
      </c>
      <c r="Z2806" s="101" t="s">
        <v>171</v>
      </c>
      <c r="AA2806" s="101" t="s">
        <v>50</v>
      </c>
      <c r="AB2806" s="101" t="s">
        <v>172</v>
      </c>
      <c r="AC2806" s="102" t="s">
        <v>173</v>
      </c>
    </row>
    <row r="2807" spans="1:29" ht="25.5" customHeight="1" x14ac:dyDescent="0.35">
      <c r="A2807" s="392"/>
      <c r="B2807" s="393"/>
      <c r="C2807" s="99" t="str">
        <f>IF(B2807="","",IF(NOT(ISNUMBER(B2807)),"DATA_PC invalida",IF(NOT(ISNUMBER(parametros!$C$2)),"Fora dos ciclos",IF(OR(B2807&lt;parametros!$C$2,(YEAR(B2807)-YEAR(parametros!$C$2))*12+MONTH(B2807)-MONTH(parametros!$C$2)&gt;59),"Fora dos ciclos","C"&amp;INT(((YEAR(B2807)-YEAR(parametros!$C$2))*12+MONTH(B2807)-MONTH(parametros!$C$2))/12)))))</f>
        <v/>
      </c>
      <c r="D2807" s="394"/>
      <c r="E2807" s="78" t="str">
        <f>IF(C2807="","",IFERROR(VLOOKUP(C2807,parametros!$A$11:$E$15,5,0),""))</f>
        <v/>
      </c>
      <c r="F2807" s="79" t="str">
        <f t="shared" si="217"/>
        <v/>
      </c>
      <c r="G2807" s="395"/>
      <c r="H2807" s="91">
        <f t="shared" si="218"/>
        <v>0</v>
      </c>
      <c r="I2807" s="91" t="str">
        <f t="shared" si="219"/>
        <v/>
      </c>
      <c r="J2807" s="91" t="str">
        <f t="shared" si="220"/>
        <v/>
      </c>
      <c r="K2807" s="92" t="str">
        <f>IF(AND(A2807="",B2807="",D2807="",G2807=""),"",IF(AND(A2807&lt;&gt;"",COUNTIF($A$2:$A$5001,A2807)&gt;1),"NUMERO_PC duplicado",IF(B2807="","DATA_PC vazia",IF(NOT(ISNUMBER(B2807)),"DATA_PC invalida",IF(OR(C2807="",C2807="Fora dos ciclos"),"CICLO_PC nao identificado",IF(OR(D2807="",D2807=0),"VALOR_PC vazio ou zero",IF(AND(G2807&lt;&gt;"Sim",G2807&lt;&gt;"Nao",G2807&lt;&gt;""),"PC_PAGO_A_CONTRATADA invalido",IF(AND(C2807&lt;&gt;"C0",IFERROR(INDEX(parametros!$A$2:$A$6,MATCH(C2807,parametros!$B$2:$B$6,0)),"")="Sim",IFERROR(INDEX(parametros!$H$2:$H$6,MATCH(C2807,parametros!$B$2:$B$6,0)),"")=""),"INICIO_EFEITO ausente: PC "&amp;A2807&amp;" - "&amp;C2807,IF(L2807="","EFEITO_PC nao calculado: PC "&amp;A2807&amp;" - "&amp;C2807,"OK")))))))))</f>
        <v/>
      </c>
      <c r="L2807" s="92" t="str">
        <f>IF(AND(A2807="",B2807="",D2807="",G2807=""),"",IF(OR(B2807="",NOT(ISNUMBER(B2807)),C2807="",C2807="Fora dos ciclos"),"",IF(C2807="C0","Nao",IF(IFERROR(INDEX(parametros!$A$2:$A$6,MATCH(C2807,parametros!$B$2:$B$6,0)),"")&lt;&gt;"Sim","Nao",IF(IFERROR(INDEX(parametros!$H$2:$H$6,MATCH(C2807,parametros!$B$2:$B$6,0)),"")="","",IF(B2807&gt;=IFERROR(INDEX(parametros!$H$2:$H$6,MATCH(C2807,parametros!$B$2:$B$6,0)),""),"Sim","Nao"))))))</f>
        <v/>
      </c>
      <c r="T2807" s="156"/>
      <c r="U2807" s="214" t="str">
        <f t="shared" si="221"/>
        <v/>
      </c>
      <c r="V2807" s="212" t="s">
        <v>50</v>
      </c>
      <c r="W2807" s="100" t="s">
        <v>168</v>
      </c>
      <c r="X2807" s="100" t="s">
        <v>169</v>
      </c>
      <c r="Y2807" s="101" t="s">
        <v>170</v>
      </c>
      <c r="Z2807" s="101" t="s">
        <v>171</v>
      </c>
      <c r="AA2807" s="101" t="s">
        <v>50</v>
      </c>
      <c r="AB2807" s="101" t="s">
        <v>172</v>
      </c>
      <c r="AC2807" s="102" t="s">
        <v>173</v>
      </c>
    </row>
    <row r="2808" spans="1:29" ht="25.5" customHeight="1" x14ac:dyDescent="0.35">
      <c r="A2808" s="392"/>
      <c r="B2808" s="393"/>
      <c r="C2808" s="99" t="str">
        <f>IF(B2808="","",IF(NOT(ISNUMBER(B2808)),"DATA_PC invalida",IF(NOT(ISNUMBER(parametros!$C$2)),"Fora dos ciclos",IF(OR(B2808&lt;parametros!$C$2,(YEAR(B2808)-YEAR(parametros!$C$2))*12+MONTH(B2808)-MONTH(parametros!$C$2)&gt;59),"Fora dos ciclos","C"&amp;INT(((YEAR(B2808)-YEAR(parametros!$C$2))*12+MONTH(B2808)-MONTH(parametros!$C$2))/12)))))</f>
        <v/>
      </c>
      <c r="D2808" s="394"/>
      <c r="E2808" s="78" t="str">
        <f>IF(C2808="","",IFERROR(VLOOKUP(C2808,parametros!$A$11:$E$15,5,0),""))</f>
        <v/>
      </c>
      <c r="F2808" s="79" t="str">
        <f t="shared" si="217"/>
        <v/>
      </c>
      <c r="G2808" s="395"/>
      <c r="H2808" s="91">
        <f t="shared" si="218"/>
        <v>0</v>
      </c>
      <c r="I2808" s="91" t="str">
        <f t="shared" si="219"/>
        <v/>
      </c>
      <c r="J2808" s="91" t="str">
        <f t="shared" si="220"/>
        <v/>
      </c>
      <c r="K2808" s="92" t="str">
        <f>IF(AND(A2808="",B2808="",D2808="",G2808=""),"",IF(AND(A2808&lt;&gt;"",COUNTIF($A$2:$A$5001,A2808)&gt;1),"NUMERO_PC duplicado",IF(B2808="","DATA_PC vazia",IF(NOT(ISNUMBER(B2808)),"DATA_PC invalida",IF(OR(C2808="",C2808="Fora dos ciclos"),"CICLO_PC nao identificado",IF(OR(D2808="",D2808=0),"VALOR_PC vazio ou zero",IF(AND(G2808&lt;&gt;"Sim",G2808&lt;&gt;"Nao",G2808&lt;&gt;""),"PC_PAGO_A_CONTRATADA invalido",IF(AND(C2808&lt;&gt;"C0",IFERROR(INDEX(parametros!$A$2:$A$6,MATCH(C2808,parametros!$B$2:$B$6,0)),"")="Sim",IFERROR(INDEX(parametros!$H$2:$H$6,MATCH(C2808,parametros!$B$2:$B$6,0)),"")=""),"INICIO_EFEITO ausente: PC "&amp;A2808&amp;" - "&amp;C2808,IF(L2808="","EFEITO_PC nao calculado: PC "&amp;A2808&amp;" - "&amp;C2808,"OK")))))))))</f>
        <v/>
      </c>
      <c r="L2808" s="92" t="str">
        <f>IF(AND(A2808="",B2808="",D2808="",G2808=""),"",IF(OR(B2808="",NOT(ISNUMBER(B2808)),C2808="",C2808="Fora dos ciclos"),"",IF(C2808="C0","Nao",IF(IFERROR(INDEX(parametros!$A$2:$A$6,MATCH(C2808,parametros!$B$2:$B$6,0)),"")&lt;&gt;"Sim","Nao",IF(IFERROR(INDEX(parametros!$H$2:$H$6,MATCH(C2808,parametros!$B$2:$B$6,0)),"")="","",IF(B2808&gt;=IFERROR(INDEX(parametros!$H$2:$H$6,MATCH(C2808,parametros!$B$2:$B$6,0)),""),"Sim","Nao"))))))</f>
        <v/>
      </c>
      <c r="T2808" s="156"/>
      <c r="U2808" s="214" t="str">
        <f t="shared" si="221"/>
        <v/>
      </c>
      <c r="V2808" s="212" t="s">
        <v>50</v>
      </c>
      <c r="W2808" s="100" t="s">
        <v>168</v>
      </c>
      <c r="X2808" s="100" t="s">
        <v>169</v>
      </c>
      <c r="Y2808" s="101" t="s">
        <v>170</v>
      </c>
      <c r="Z2808" s="101" t="s">
        <v>171</v>
      </c>
      <c r="AA2808" s="101" t="s">
        <v>50</v>
      </c>
      <c r="AB2808" s="101" t="s">
        <v>172</v>
      </c>
      <c r="AC2808" s="102" t="s">
        <v>173</v>
      </c>
    </row>
    <row r="2809" spans="1:29" ht="25.5" customHeight="1" x14ac:dyDescent="0.35">
      <c r="A2809" s="392"/>
      <c r="B2809" s="393"/>
      <c r="C2809" s="99" t="str">
        <f>IF(B2809="","",IF(NOT(ISNUMBER(B2809)),"DATA_PC invalida",IF(NOT(ISNUMBER(parametros!$C$2)),"Fora dos ciclos",IF(OR(B2809&lt;parametros!$C$2,(YEAR(B2809)-YEAR(parametros!$C$2))*12+MONTH(B2809)-MONTH(parametros!$C$2)&gt;59),"Fora dos ciclos","C"&amp;INT(((YEAR(B2809)-YEAR(parametros!$C$2))*12+MONTH(B2809)-MONTH(parametros!$C$2))/12)))))</f>
        <v/>
      </c>
      <c r="D2809" s="394"/>
      <c r="E2809" s="78" t="str">
        <f>IF(C2809="","",IFERROR(VLOOKUP(C2809,parametros!$A$11:$E$15,5,0),""))</f>
        <v/>
      </c>
      <c r="F2809" s="79" t="str">
        <f t="shared" si="217"/>
        <v/>
      </c>
      <c r="G2809" s="395"/>
      <c r="H2809" s="91">
        <f t="shared" si="218"/>
        <v>0</v>
      </c>
      <c r="I2809" s="91" t="str">
        <f t="shared" si="219"/>
        <v/>
      </c>
      <c r="J2809" s="91" t="str">
        <f t="shared" si="220"/>
        <v/>
      </c>
      <c r="K2809" s="92" t="str">
        <f>IF(AND(A2809="",B2809="",D2809="",G2809=""),"",IF(AND(A2809&lt;&gt;"",COUNTIF($A$2:$A$5001,A2809)&gt;1),"NUMERO_PC duplicado",IF(B2809="","DATA_PC vazia",IF(NOT(ISNUMBER(B2809)),"DATA_PC invalida",IF(OR(C2809="",C2809="Fora dos ciclos"),"CICLO_PC nao identificado",IF(OR(D2809="",D2809=0),"VALOR_PC vazio ou zero",IF(AND(G2809&lt;&gt;"Sim",G2809&lt;&gt;"Nao",G2809&lt;&gt;""),"PC_PAGO_A_CONTRATADA invalido",IF(AND(C2809&lt;&gt;"C0",IFERROR(INDEX(parametros!$A$2:$A$6,MATCH(C2809,parametros!$B$2:$B$6,0)),"")="Sim",IFERROR(INDEX(parametros!$H$2:$H$6,MATCH(C2809,parametros!$B$2:$B$6,0)),"")=""),"INICIO_EFEITO ausente: PC "&amp;A2809&amp;" - "&amp;C2809,IF(L2809="","EFEITO_PC nao calculado: PC "&amp;A2809&amp;" - "&amp;C2809,"OK")))))))))</f>
        <v/>
      </c>
      <c r="L2809" s="92" t="str">
        <f>IF(AND(A2809="",B2809="",D2809="",G2809=""),"",IF(OR(B2809="",NOT(ISNUMBER(B2809)),C2809="",C2809="Fora dos ciclos"),"",IF(C2809="C0","Nao",IF(IFERROR(INDEX(parametros!$A$2:$A$6,MATCH(C2809,parametros!$B$2:$B$6,0)),"")&lt;&gt;"Sim","Nao",IF(IFERROR(INDEX(parametros!$H$2:$H$6,MATCH(C2809,parametros!$B$2:$B$6,0)),"")="","",IF(B2809&gt;=IFERROR(INDEX(parametros!$H$2:$H$6,MATCH(C2809,parametros!$B$2:$B$6,0)),""),"Sim","Nao"))))))</f>
        <v/>
      </c>
      <c r="T2809" s="156"/>
      <c r="U2809" s="214" t="str">
        <f t="shared" si="221"/>
        <v/>
      </c>
      <c r="V2809" s="212" t="s">
        <v>50</v>
      </c>
      <c r="W2809" s="100" t="s">
        <v>168</v>
      </c>
      <c r="X2809" s="100" t="s">
        <v>169</v>
      </c>
      <c r="Y2809" s="101" t="s">
        <v>170</v>
      </c>
      <c r="Z2809" s="101" t="s">
        <v>171</v>
      </c>
      <c r="AA2809" s="101" t="s">
        <v>50</v>
      </c>
      <c r="AB2809" s="101" t="s">
        <v>172</v>
      </c>
      <c r="AC2809" s="102" t="s">
        <v>173</v>
      </c>
    </row>
    <row r="2810" spans="1:29" ht="25.5" customHeight="1" x14ac:dyDescent="0.35">
      <c r="A2810" s="392"/>
      <c r="B2810" s="393"/>
      <c r="C2810" s="99" t="str">
        <f>IF(B2810="","",IF(NOT(ISNUMBER(B2810)),"DATA_PC invalida",IF(NOT(ISNUMBER(parametros!$C$2)),"Fora dos ciclos",IF(OR(B2810&lt;parametros!$C$2,(YEAR(B2810)-YEAR(parametros!$C$2))*12+MONTH(B2810)-MONTH(parametros!$C$2)&gt;59),"Fora dos ciclos","C"&amp;INT(((YEAR(B2810)-YEAR(parametros!$C$2))*12+MONTH(B2810)-MONTH(parametros!$C$2))/12)))))</f>
        <v/>
      </c>
      <c r="D2810" s="394"/>
      <c r="E2810" s="78" t="str">
        <f>IF(C2810="","",IFERROR(VLOOKUP(C2810,parametros!$A$11:$E$15,5,0),""))</f>
        <v/>
      </c>
      <c r="F2810" s="79" t="str">
        <f t="shared" si="217"/>
        <v/>
      </c>
      <c r="G2810" s="395"/>
      <c r="H2810" s="91">
        <f t="shared" si="218"/>
        <v>0</v>
      </c>
      <c r="I2810" s="91" t="str">
        <f t="shared" si="219"/>
        <v/>
      </c>
      <c r="J2810" s="91" t="str">
        <f t="shared" si="220"/>
        <v/>
      </c>
      <c r="K2810" s="92" t="str">
        <f>IF(AND(A2810="",B2810="",D2810="",G2810=""),"",IF(AND(A2810&lt;&gt;"",COUNTIF($A$2:$A$5001,A2810)&gt;1),"NUMERO_PC duplicado",IF(B2810="","DATA_PC vazia",IF(NOT(ISNUMBER(B2810)),"DATA_PC invalida",IF(OR(C2810="",C2810="Fora dos ciclos"),"CICLO_PC nao identificado",IF(OR(D2810="",D2810=0),"VALOR_PC vazio ou zero",IF(AND(G2810&lt;&gt;"Sim",G2810&lt;&gt;"Nao",G2810&lt;&gt;""),"PC_PAGO_A_CONTRATADA invalido",IF(AND(C2810&lt;&gt;"C0",IFERROR(INDEX(parametros!$A$2:$A$6,MATCH(C2810,parametros!$B$2:$B$6,0)),"")="Sim",IFERROR(INDEX(parametros!$H$2:$H$6,MATCH(C2810,parametros!$B$2:$B$6,0)),"")=""),"INICIO_EFEITO ausente: PC "&amp;A2810&amp;" - "&amp;C2810,IF(L2810="","EFEITO_PC nao calculado: PC "&amp;A2810&amp;" - "&amp;C2810,"OK")))))))))</f>
        <v/>
      </c>
      <c r="L2810" s="92" t="str">
        <f>IF(AND(A2810="",B2810="",D2810="",G2810=""),"",IF(OR(B2810="",NOT(ISNUMBER(B2810)),C2810="",C2810="Fora dos ciclos"),"",IF(C2810="C0","Nao",IF(IFERROR(INDEX(parametros!$A$2:$A$6,MATCH(C2810,parametros!$B$2:$B$6,0)),"")&lt;&gt;"Sim","Nao",IF(IFERROR(INDEX(parametros!$H$2:$H$6,MATCH(C2810,parametros!$B$2:$B$6,0)),"")="","",IF(B2810&gt;=IFERROR(INDEX(parametros!$H$2:$H$6,MATCH(C2810,parametros!$B$2:$B$6,0)),""),"Sim","Nao"))))))</f>
        <v/>
      </c>
      <c r="T2810" s="156"/>
      <c r="U2810" s="214" t="str">
        <f t="shared" si="221"/>
        <v/>
      </c>
      <c r="V2810" s="212" t="s">
        <v>50</v>
      </c>
      <c r="W2810" s="100" t="s">
        <v>168</v>
      </c>
      <c r="X2810" s="100" t="s">
        <v>169</v>
      </c>
      <c r="Y2810" s="101" t="s">
        <v>170</v>
      </c>
      <c r="Z2810" s="101" t="s">
        <v>171</v>
      </c>
      <c r="AA2810" s="101" t="s">
        <v>50</v>
      </c>
      <c r="AB2810" s="101" t="s">
        <v>172</v>
      </c>
      <c r="AC2810" s="102" t="s">
        <v>173</v>
      </c>
    </row>
    <row r="2811" spans="1:29" ht="25.5" customHeight="1" x14ac:dyDescent="0.35">
      <c r="A2811" s="392"/>
      <c r="B2811" s="393"/>
      <c r="C2811" s="99" t="str">
        <f>IF(B2811="","",IF(NOT(ISNUMBER(B2811)),"DATA_PC invalida",IF(NOT(ISNUMBER(parametros!$C$2)),"Fora dos ciclos",IF(OR(B2811&lt;parametros!$C$2,(YEAR(B2811)-YEAR(parametros!$C$2))*12+MONTH(B2811)-MONTH(parametros!$C$2)&gt;59),"Fora dos ciclos","C"&amp;INT(((YEAR(B2811)-YEAR(parametros!$C$2))*12+MONTH(B2811)-MONTH(parametros!$C$2))/12)))))</f>
        <v/>
      </c>
      <c r="D2811" s="394"/>
      <c r="E2811" s="78" t="str">
        <f>IF(C2811="","",IFERROR(VLOOKUP(C2811,parametros!$A$11:$E$15,5,0),""))</f>
        <v/>
      </c>
      <c r="F2811" s="79" t="str">
        <f t="shared" si="217"/>
        <v/>
      </c>
      <c r="G2811" s="395"/>
      <c r="H2811" s="91">
        <f t="shared" si="218"/>
        <v>0</v>
      </c>
      <c r="I2811" s="91" t="str">
        <f t="shared" si="219"/>
        <v/>
      </c>
      <c r="J2811" s="91" t="str">
        <f t="shared" si="220"/>
        <v/>
      </c>
      <c r="K2811" s="92" t="str">
        <f>IF(AND(A2811="",B2811="",D2811="",G2811=""),"",IF(AND(A2811&lt;&gt;"",COUNTIF($A$2:$A$5001,A2811)&gt;1),"NUMERO_PC duplicado",IF(B2811="","DATA_PC vazia",IF(NOT(ISNUMBER(B2811)),"DATA_PC invalida",IF(OR(C2811="",C2811="Fora dos ciclos"),"CICLO_PC nao identificado",IF(OR(D2811="",D2811=0),"VALOR_PC vazio ou zero",IF(AND(G2811&lt;&gt;"Sim",G2811&lt;&gt;"Nao",G2811&lt;&gt;""),"PC_PAGO_A_CONTRATADA invalido",IF(AND(C2811&lt;&gt;"C0",IFERROR(INDEX(parametros!$A$2:$A$6,MATCH(C2811,parametros!$B$2:$B$6,0)),"")="Sim",IFERROR(INDEX(parametros!$H$2:$H$6,MATCH(C2811,parametros!$B$2:$B$6,0)),"")=""),"INICIO_EFEITO ausente: PC "&amp;A2811&amp;" - "&amp;C2811,IF(L2811="","EFEITO_PC nao calculado: PC "&amp;A2811&amp;" - "&amp;C2811,"OK")))))))))</f>
        <v/>
      </c>
      <c r="L2811" s="92" t="str">
        <f>IF(AND(A2811="",B2811="",D2811="",G2811=""),"",IF(OR(B2811="",NOT(ISNUMBER(B2811)),C2811="",C2811="Fora dos ciclos"),"",IF(C2811="C0","Nao",IF(IFERROR(INDEX(parametros!$A$2:$A$6,MATCH(C2811,parametros!$B$2:$B$6,0)),"")&lt;&gt;"Sim","Nao",IF(IFERROR(INDEX(parametros!$H$2:$H$6,MATCH(C2811,parametros!$B$2:$B$6,0)),"")="","",IF(B2811&gt;=IFERROR(INDEX(parametros!$H$2:$H$6,MATCH(C2811,parametros!$B$2:$B$6,0)),""),"Sim","Nao"))))))</f>
        <v/>
      </c>
      <c r="T2811" s="156"/>
      <c r="U2811" s="214" t="str">
        <f t="shared" si="221"/>
        <v/>
      </c>
      <c r="V2811" s="212" t="s">
        <v>50</v>
      </c>
      <c r="W2811" s="100" t="s">
        <v>168</v>
      </c>
      <c r="X2811" s="100" t="s">
        <v>169</v>
      </c>
      <c r="Y2811" s="101" t="s">
        <v>170</v>
      </c>
      <c r="Z2811" s="101" t="s">
        <v>171</v>
      </c>
      <c r="AA2811" s="101" t="s">
        <v>50</v>
      </c>
      <c r="AB2811" s="101" t="s">
        <v>172</v>
      </c>
      <c r="AC2811" s="102" t="s">
        <v>173</v>
      </c>
    </row>
    <row r="2812" spans="1:29" ht="25.5" customHeight="1" x14ac:dyDescent="0.35">
      <c r="A2812" s="392"/>
      <c r="B2812" s="393"/>
      <c r="C2812" s="99" t="str">
        <f>IF(B2812="","",IF(NOT(ISNUMBER(B2812)),"DATA_PC invalida",IF(NOT(ISNUMBER(parametros!$C$2)),"Fora dos ciclos",IF(OR(B2812&lt;parametros!$C$2,(YEAR(B2812)-YEAR(parametros!$C$2))*12+MONTH(B2812)-MONTH(parametros!$C$2)&gt;59),"Fora dos ciclos","C"&amp;INT(((YEAR(B2812)-YEAR(parametros!$C$2))*12+MONTH(B2812)-MONTH(parametros!$C$2))/12)))))</f>
        <v/>
      </c>
      <c r="D2812" s="394"/>
      <c r="E2812" s="78" t="str">
        <f>IF(C2812="","",IFERROR(VLOOKUP(C2812,parametros!$A$11:$E$15,5,0),""))</f>
        <v/>
      </c>
      <c r="F2812" s="79" t="str">
        <f t="shared" si="217"/>
        <v/>
      </c>
      <c r="G2812" s="395"/>
      <c r="H2812" s="91">
        <f t="shared" si="218"/>
        <v>0</v>
      </c>
      <c r="I2812" s="91" t="str">
        <f t="shared" si="219"/>
        <v/>
      </c>
      <c r="J2812" s="91" t="str">
        <f t="shared" si="220"/>
        <v/>
      </c>
      <c r="K2812" s="92" t="str">
        <f>IF(AND(A2812="",B2812="",D2812="",G2812=""),"",IF(AND(A2812&lt;&gt;"",COUNTIF($A$2:$A$5001,A2812)&gt;1),"NUMERO_PC duplicado",IF(B2812="","DATA_PC vazia",IF(NOT(ISNUMBER(B2812)),"DATA_PC invalida",IF(OR(C2812="",C2812="Fora dos ciclos"),"CICLO_PC nao identificado",IF(OR(D2812="",D2812=0),"VALOR_PC vazio ou zero",IF(AND(G2812&lt;&gt;"Sim",G2812&lt;&gt;"Nao",G2812&lt;&gt;""),"PC_PAGO_A_CONTRATADA invalido",IF(AND(C2812&lt;&gt;"C0",IFERROR(INDEX(parametros!$A$2:$A$6,MATCH(C2812,parametros!$B$2:$B$6,0)),"")="Sim",IFERROR(INDEX(parametros!$H$2:$H$6,MATCH(C2812,parametros!$B$2:$B$6,0)),"")=""),"INICIO_EFEITO ausente: PC "&amp;A2812&amp;" - "&amp;C2812,IF(L2812="","EFEITO_PC nao calculado: PC "&amp;A2812&amp;" - "&amp;C2812,"OK")))))))))</f>
        <v/>
      </c>
      <c r="L2812" s="92" t="str">
        <f>IF(AND(A2812="",B2812="",D2812="",G2812=""),"",IF(OR(B2812="",NOT(ISNUMBER(B2812)),C2812="",C2812="Fora dos ciclos"),"",IF(C2812="C0","Nao",IF(IFERROR(INDEX(parametros!$A$2:$A$6,MATCH(C2812,parametros!$B$2:$B$6,0)),"")&lt;&gt;"Sim","Nao",IF(IFERROR(INDEX(parametros!$H$2:$H$6,MATCH(C2812,parametros!$B$2:$B$6,0)),"")="","",IF(B2812&gt;=IFERROR(INDEX(parametros!$H$2:$H$6,MATCH(C2812,parametros!$B$2:$B$6,0)),""),"Sim","Nao"))))))</f>
        <v/>
      </c>
      <c r="T2812" s="156"/>
      <c r="U2812" s="214" t="str">
        <f t="shared" si="221"/>
        <v/>
      </c>
      <c r="V2812" s="212" t="s">
        <v>50</v>
      </c>
      <c r="W2812" s="100" t="s">
        <v>168</v>
      </c>
      <c r="X2812" s="100" t="s">
        <v>169</v>
      </c>
      <c r="Y2812" s="101" t="s">
        <v>170</v>
      </c>
      <c r="Z2812" s="101" t="s">
        <v>171</v>
      </c>
      <c r="AA2812" s="101" t="s">
        <v>50</v>
      </c>
      <c r="AB2812" s="101" t="s">
        <v>172</v>
      </c>
      <c r="AC2812" s="102" t="s">
        <v>173</v>
      </c>
    </row>
    <row r="2813" spans="1:29" ht="25.5" customHeight="1" x14ac:dyDescent="0.35">
      <c r="A2813" s="392"/>
      <c r="B2813" s="393"/>
      <c r="C2813" s="99" t="str">
        <f>IF(B2813="","",IF(NOT(ISNUMBER(B2813)),"DATA_PC invalida",IF(NOT(ISNUMBER(parametros!$C$2)),"Fora dos ciclos",IF(OR(B2813&lt;parametros!$C$2,(YEAR(B2813)-YEAR(parametros!$C$2))*12+MONTH(B2813)-MONTH(parametros!$C$2)&gt;59),"Fora dos ciclos","C"&amp;INT(((YEAR(B2813)-YEAR(parametros!$C$2))*12+MONTH(B2813)-MONTH(parametros!$C$2))/12)))))</f>
        <v/>
      </c>
      <c r="D2813" s="394"/>
      <c r="E2813" s="78" t="str">
        <f>IF(C2813="","",IFERROR(VLOOKUP(C2813,parametros!$A$11:$E$15,5,0),""))</f>
        <v/>
      </c>
      <c r="F2813" s="79" t="str">
        <f t="shared" si="217"/>
        <v/>
      </c>
      <c r="G2813" s="395"/>
      <c r="H2813" s="91">
        <f t="shared" si="218"/>
        <v>0</v>
      </c>
      <c r="I2813" s="91" t="str">
        <f t="shared" si="219"/>
        <v/>
      </c>
      <c r="J2813" s="91" t="str">
        <f t="shared" si="220"/>
        <v/>
      </c>
      <c r="K2813" s="92" t="str">
        <f>IF(AND(A2813="",B2813="",D2813="",G2813=""),"",IF(AND(A2813&lt;&gt;"",COUNTIF($A$2:$A$5001,A2813)&gt;1),"NUMERO_PC duplicado",IF(B2813="","DATA_PC vazia",IF(NOT(ISNUMBER(B2813)),"DATA_PC invalida",IF(OR(C2813="",C2813="Fora dos ciclos"),"CICLO_PC nao identificado",IF(OR(D2813="",D2813=0),"VALOR_PC vazio ou zero",IF(AND(G2813&lt;&gt;"Sim",G2813&lt;&gt;"Nao",G2813&lt;&gt;""),"PC_PAGO_A_CONTRATADA invalido",IF(AND(C2813&lt;&gt;"C0",IFERROR(INDEX(parametros!$A$2:$A$6,MATCH(C2813,parametros!$B$2:$B$6,0)),"")="Sim",IFERROR(INDEX(parametros!$H$2:$H$6,MATCH(C2813,parametros!$B$2:$B$6,0)),"")=""),"INICIO_EFEITO ausente: PC "&amp;A2813&amp;" - "&amp;C2813,IF(L2813="","EFEITO_PC nao calculado: PC "&amp;A2813&amp;" - "&amp;C2813,"OK")))))))))</f>
        <v/>
      </c>
      <c r="L2813" s="92" t="str">
        <f>IF(AND(A2813="",B2813="",D2813="",G2813=""),"",IF(OR(B2813="",NOT(ISNUMBER(B2813)),C2813="",C2813="Fora dos ciclos"),"",IF(C2813="C0","Nao",IF(IFERROR(INDEX(parametros!$A$2:$A$6,MATCH(C2813,parametros!$B$2:$B$6,0)),"")&lt;&gt;"Sim","Nao",IF(IFERROR(INDEX(parametros!$H$2:$H$6,MATCH(C2813,parametros!$B$2:$B$6,0)),"")="","",IF(B2813&gt;=IFERROR(INDEX(parametros!$H$2:$H$6,MATCH(C2813,parametros!$B$2:$B$6,0)),""),"Sim","Nao"))))))</f>
        <v/>
      </c>
      <c r="T2813" s="156"/>
      <c r="U2813" s="214" t="str">
        <f t="shared" si="221"/>
        <v/>
      </c>
      <c r="V2813" s="212" t="s">
        <v>50</v>
      </c>
      <c r="W2813" s="100" t="s">
        <v>168</v>
      </c>
      <c r="X2813" s="100" t="s">
        <v>169</v>
      </c>
      <c r="Y2813" s="101" t="s">
        <v>170</v>
      </c>
      <c r="Z2813" s="101" t="s">
        <v>171</v>
      </c>
      <c r="AA2813" s="101" t="s">
        <v>50</v>
      </c>
      <c r="AB2813" s="101" t="s">
        <v>172</v>
      </c>
      <c r="AC2813" s="102" t="s">
        <v>173</v>
      </c>
    </row>
    <row r="2814" spans="1:29" ht="25.5" customHeight="1" x14ac:dyDescent="0.35">
      <c r="A2814" s="392"/>
      <c r="B2814" s="393"/>
      <c r="C2814" s="99" t="str">
        <f>IF(B2814="","",IF(NOT(ISNUMBER(B2814)),"DATA_PC invalida",IF(NOT(ISNUMBER(parametros!$C$2)),"Fora dos ciclos",IF(OR(B2814&lt;parametros!$C$2,(YEAR(B2814)-YEAR(parametros!$C$2))*12+MONTH(B2814)-MONTH(parametros!$C$2)&gt;59),"Fora dos ciclos","C"&amp;INT(((YEAR(B2814)-YEAR(parametros!$C$2))*12+MONTH(B2814)-MONTH(parametros!$C$2))/12)))))</f>
        <v/>
      </c>
      <c r="D2814" s="394"/>
      <c r="E2814" s="78" t="str">
        <f>IF(C2814="","",IFERROR(VLOOKUP(C2814,parametros!$A$11:$E$15,5,0),""))</f>
        <v/>
      </c>
      <c r="F2814" s="79" t="str">
        <f t="shared" si="217"/>
        <v/>
      </c>
      <c r="G2814" s="395"/>
      <c r="H2814" s="91">
        <f t="shared" si="218"/>
        <v>0</v>
      </c>
      <c r="I2814" s="91" t="str">
        <f t="shared" si="219"/>
        <v/>
      </c>
      <c r="J2814" s="91" t="str">
        <f t="shared" si="220"/>
        <v/>
      </c>
      <c r="K2814" s="92" t="str">
        <f>IF(AND(A2814="",B2814="",D2814="",G2814=""),"",IF(AND(A2814&lt;&gt;"",COUNTIF($A$2:$A$5001,A2814)&gt;1),"NUMERO_PC duplicado",IF(B2814="","DATA_PC vazia",IF(NOT(ISNUMBER(B2814)),"DATA_PC invalida",IF(OR(C2814="",C2814="Fora dos ciclos"),"CICLO_PC nao identificado",IF(OR(D2814="",D2814=0),"VALOR_PC vazio ou zero",IF(AND(G2814&lt;&gt;"Sim",G2814&lt;&gt;"Nao",G2814&lt;&gt;""),"PC_PAGO_A_CONTRATADA invalido",IF(AND(C2814&lt;&gt;"C0",IFERROR(INDEX(parametros!$A$2:$A$6,MATCH(C2814,parametros!$B$2:$B$6,0)),"")="Sim",IFERROR(INDEX(parametros!$H$2:$H$6,MATCH(C2814,parametros!$B$2:$B$6,0)),"")=""),"INICIO_EFEITO ausente: PC "&amp;A2814&amp;" - "&amp;C2814,IF(L2814="","EFEITO_PC nao calculado: PC "&amp;A2814&amp;" - "&amp;C2814,"OK")))))))))</f>
        <v/>
      </c>
      <c r="L2814" s="92" t="str">
        <f>IF(AND(A2814="",B2814="",D2814="",G2814=""),"",IF(OR(B2814="",NOT(ISNUMBER(B2814)),C2814="",C2814="Fora dos ciclos"),"",IF(C2814="C0","Nao",IF(IFERROR(INDEX(parametros!$A$2:$A$6,MATCH(C2814,parametros!$B$2:$B$6,0)),"")&lt;&gt;"Sim","Nao",IF(IFERROR(INDEX(parametros!$H$2:$H$6,MATCH(C2814,parametros!$B$2:$B$6,0)),"")="","",IF(B2814&gt;=IFERROR(INDEX(parametros!$H$2:$H$6,MATCH(C2814,parametros!$B$2:$B$6,0)),""),"Sim","Nao"))))))</f>
        <v/>
      </c>
      <c r="T2814" s="156"/>
      <c r="U2814" s="214" t="str">
        <f t="shared" si="221"/>
        <v/>
      </c>
      <c r="V2814" s="212" t="s">
        <v>50</v>
      </c>
      <c r="W2814" s="100" t="s">
        <v>168</v>
      </c>
      <c r="X2814" s="100" t="s">
        <v>169</v>
      </c>
      <c r="Y2814" s="101" t="s">
        <v>170</v>
      </c>
      <c r="Z2814" s="101" t="s">
        <v>171</v>
      </c>
      <c r="AA2814" s="101" t="s">
        <v>50</v>
      </c>
      <c r="AB2814" s="101" t="s">
        <v>172</v>
      </c>
      <c r="AC2814" s="102" t="s">
        <v>173</v>
      </c>
    </row>
    <row r="2815" spans="1:29" ht="25.5" customHeight="1" x14ac:dyDescent="0.35">
      <c r="A2815" s="392"/>
      <c r="B2815" s="393"/>
      <c r="C2815" s="99" t="str">
        <f>IF(B2815="","",IF(NOT(ISNUMBER(B2815)),"DATA_PC invalida",IF(NOT(ISNUMBER(parametros!$C$2)),"Fora dos ciclos",IF(OR(B2815&lt;parametros!$C$2,(YEAR(B2815)-YEAR(parametros!$C$2))*12+MONTH(B2815)-MONTH(parametros!$C$2)&gt;59),"Fora dos ciclos","C"&amp;INT(((YEAR(B2815)-YEAR(parametros!$C$2))*12+MONTH(B2815)-MONTH(parametros!$C$2))/12)))))</f>
        <v/>
      </c>
      <c r="D2815" s="394"/>
      <c r="E2815" s="78" t="str">
        <f>IF(C2815="","",IFERROR(VLOOKUP(C2815,parametros!$A$11:$E$15,5,0),""))</f>
        <v/>
      </c>
      <c r="F2815" s="79" t="str">
        <f t="shared" si="217"/>
        <v/>
      </c>
      <c r="G2815" s="395"/>
      <c r="H2815" s="91">
        <f t="shared" si="218"/>
        <v>0</v>
      </c>
      <c r="I2815" s="91" t="str">
        <f t="shared" si="219"/>
        <v/>
      </c>
      <c r="J2815" s="91" t="str">
        <f t="shared" si="220"/>
        <v/>
      </c>
      <c r="K2815" s="92" t="str">
        <f>IF(AND(A2815="",B2815="",D2815="",G2815=""),"",IF(AND(A2815&lt;&gt;"",COUNTIF($A$2:$A$5001,A2815)&gt;1),"NUMERO_PC duplicado",IF(B2815="","DATA_PC vazia",IF(NOT(ISNUMBER(B2815)),"DATA_PC invalida",IF(OR(C2815="",C2815="Fora dos ciclos"),"CICLO_PC nao identificado",IF(OR(D2815="",D2815=0),"VALOR_PC vazio ou zero",IF(AND(G2815&lt;&gt;"Sim",G2815&lt;&gt;"Nao",G2815&lt;&gt;""),"PC_PAGO_A_CONTRATADA invalido",IF(AND(C2815&lt;&gt;"C0",IFERROR(INDEX(parametros!$A$2:$A$6,MATCH(C2815,parametros!$B$2:$B$6,0)),"")="Sim",IFERROR(INDEX(parametros!$H$2:$H$6,MATCH(C2815,parametros!$B$2:$B$6,0)),"")=""),"INICIO_EFEITO ausente: PC "&amp;A2815&amp;" - "&amp;C2815,IF(L2815="","EFEITO_PC nao calculado: PC "&amp;A2815&amp;" - "&amp;C2815,"OK")))))))))</f>
        <v/>
      </c>
      <c r="L2815" s="92" t="str">
        <f>IF(AND(A2815="",B2815="",D2815="",G2815=""),"",IF(OR(B2815="",NOT(ISNUMBER(B2815)),C2815="",C2815="Fora dos ciclos"),"",IF(C2815="C0","Nao",IF(IFERROR(INDEX(parametros!$A$2:$A$6,MATCH(C2815,parametros!$B$2:$B$6,0)),"")&lt;&gt;"Sim","Nao",IF(IFERROR(INDEX(parametros!$H$2:$H$6,MATCH(C2815,parametros!$B$2:$B$6,0)),"")="","",IF(B2815&gt;=IFERROR(INDEX(parametros!$H$2:$H$6,MATCH(C2815,parametros!$B$2:$B$6,0)),""),"Sim","Nao"))))))</f>
        <v/>
      </c>
      <c r="T2815" s="156"/>
      <c r="U2815" s="214" t="str">
        <f t="shared" si="221"/>
        <v/>
      </c>
      <c r="V2815" s="212" t="s">
        <v>50</v>
      </c>
      <c r="W2815" s="100" t="s">
        <v>168</v>
      </c>
      <c r="X2815" s="100" t="s">
        <v>169</v>
      </c>
      <c r="Y2815" s="101" t="s">
        <v>170</v>
      </c>
      <c r="Z2815" s="101" t="s">
        <v>171</v>
      </c>
      <c r="AA2815" s="101" t="s">
        <v>50</v>
      </c>
      <c r="AB2815" s="101" t="s">
        <v>172</v>
      </c>
      <c r="AC2815" s="102" t="s">
        <v>173</v>
      </c>
    </row>
    <row r="2816" spans="1:29" ht="25.5" customHeight="1" x14ac:dyDescent="0.35">
      <c r="A2816" s="392"/>
      <c r="B2816" s="393"/>
      <c r="C2816" s="99" t="str">
        <f>IF(B2816="","",IF(NOT(ISNUMBER(B2816)),"DATA_PC invalida",IF(NOT(ISNUMBER(parametros!$C$2)),"Fora dos ciclos",IF(OR(B2816&lt;parametros!$C$2,(YEAR(B2816)-YEAR(parametros!$C$2))*12+MONTH(B2816)-MONTH(parametros!$C$2)&gt;59),"Fora dos ciclos","C"&amp;INT(((YEAR(B2816)-YEAR(parametros!$C$2))*12+MONTH(B2816)-MONTH(parametros!$C$2))/12)))))</f>
        <v/>
      </c>
      <c r="D2816" s="394"/>
      <c r="E2816" s="78" t="str">
        <f>IF(C2816="","",IFERROR(VLOOKUP(C2816,parametros!$A$11:$E$15,5,0),""))</f>
        <v/>
      </c>
      <c r="F2816" s="79" t="str">
        <f t="shared" si="217"/>
        <v/>
      </c>
      <c r="G2816" s="395"/>
      <c r="H2816" s="91">
        <f t="shared" si="218"/>
        <v>0</v>
      </c>
      <c r="I2816" s="91" t="str">
        <f t="shared" si="219"/>
        <v/>
      </c>
      <c r="J2816" s="91" t="str">
        <f t="shared" si="220"/>
        <v/>
      </c>
      <c r="K2816" s="92" t="str">
        <f>IF(AND(A2816="",B2816="",D2816="",G2816=""),"",IF(AND(A2816&lt;&gt;"",COUNTIF($A$2:$A$5001,A2816)&gt;1),"NUMERO_PC duplicado",IF(B2816="","DATA_PC vazia",IF(NOT(ISNUMBER(B2816)),"DATA_PC invalida",IF(OR(C2816="",C2816="Fora dos ciclos"),"CICLO_PC nao identificado",IF(OR(D2816="",D2816=0),"VALOR_PC vazio ou zero",IF(AND(G2816&lt;&gt;"Sim",G2816&lt;&gt;"Nao",G2816&lt;&gt;""),"PC_PAGO_A_CONTRATADA invalido",IF(AND(C2816&lt;&gt;"C0",IFERROR(INDEX(parametros!$A$2:$A$6,MATCH(C2816,parametros!$B$2:$B$6,0)),"")="Sim",IFERROR(INDEX(parametros!$H$2:$H$6,MATCH(C2816,parametros!$B$2:$B$6,0)),"")=""),"INICIO_EFEITO ausente: PC "&amp;A2816&amp;" - "&amp;C2816,IF(L2816="","EFEITO_PC nao calculado: PC "&amp;A2816&amp;" - "&amp;C2816,"OK")))))))))</f>
        <v/>
      </c>
      <c r="L2816" s="92" t="str">
        <f>IF(AND(A2816="",B2816="",D2816="",G2816=""),"",IF(OR(B2816="",NOT(ISNUMBER(B2816)),C2816="",C2816="Fora dos ciclos"),"",IF(C2816="C0","Nao",IF(IFERROR(INDEX(parametros!$A$2:$A$6,MATCH(C2816,parametros!$B$2:$B$6,0)),"")&lt;&gt;"Sim","Nao",IF(IFERROR(INDEX(parametros!$H$2:$H$6,MATCH(C2816,parametros!$B$2:$B$6,0)),"")="","",IF(B2816&gt;=IFERROR(INDEX(parametros!$H$2:$H$6,MATCH(C2816,parametros!$B$2:$B$6,0)),""),"Sim","Nao"))))))</f>
        <v/>
      </c>
      <c r="T2816" s="156"/>
      <c r="U2816" s="214" t="str">
        <f t="shared" si="221"/>
        <v/>
      </c>
      <c r="V2816" s="212" t="s">
        <v>50</v>
      </c>
      <c r="W2816" s="100" t="s">
        <v>168</v>
      </c>
      <c r="X2816" s="100" t="s">
        <v>169</v>
      </c>
      <c r="Y2816" s="101" t="s">
        <v>170</v>
      </c>
      <c r="Z2816" s="101" t="s">
        <v>171</v>
      </c>
      <c r="AA2816" s="101" t="s">
        <v>50</v>
      </c>
      <c r="AB2816" s="101" t="s">
        <v>172</v>
      </c>
      <c r="AC2816" s="102" t="s">
        <v>173</v>
      </c>
    </row>
    <row r="2817" spans="1:29" ht="25.5" customHeight="1" x14ac:dyDescent="0.35">
      <c r="A2817" s="392"/>
      <c r="B2817" s="393"/>
      <c r="C2817" s="99" t="str">
        <f>IF(B2817="","",IF(NOT(ISNUMBER(B2817)),"DATA_PC invalida",IF(NOT(ISNUMBER(parametros!$C$2)),"Fora dos ciclos",IF(OR(B2817&lt;parametros!$C$2,(YEAR(B2817)-YEAR(parametros!$C$2))*12+MONTH(B2817)-MONTH(parametros!$C$2)&gt;59),"Fora dos ciclos","C"&amp;INT(((YEAR(B2817)-YEAR(parametros!$C$2))*12+MONTH(B2817)-MONTH(parametros!$C$2))/12)))))</f>
        <v/>
      </c>
      <c r="D2817" s="394"/>
      <c r="E2817" s="78" t="str">
        <f>IF(C2817="","",IFERROR(VLOOKUP(C2817,parametros!$A$11:$E$15,5,0),""))</f>
        <v/>
      </c>
      <c r="F2817" s="79" t="str">
        <f t="shared" si="217"/>
        <v/>
      </c>
      <c r="G2817" s="395"/>
      <c r="H2817" s="91">
        <f t="shared" si="218"/>
        <v>0</v>
      </c>
      <c r="I2817" s="91" t="str">
        <f t="shared" si="219"/>
        <v/>
      </c>
      <c r="J2817" s="91" t="str">
        <f t="shared" si="220"/>
        <v/>
      </c>
      <c r="K2817" s="92" t="str">
        <f>IF(AND(A2817="",B2817="",D2817="",G2817=""),"",IF(AND(A2817&lt;&gt;"",COUNTIF($A$2:$A$5001,A2817)&gt;1),"NUMERO_PC duplicado",IF(B2817="","DATA_PC vazia",IF(NOT(ISNUMBER(B2817)),"DATA_PC invalida",IF(OR(C2817="",C2817="Fora dos ciclos"),"CICLO_PC nao identificado",IF(OR(D2817="",D2817=0),"VALOR_PC vazio ou zero",IF(AND(G2817&lt;&gt;"Sim",G2817&lt;&gt;"Nao",G2817&lt;&gt;""),"PC_PAGO_A_CONTRATADA invalido",IF(AND(C2817&lt;&gt;"C0",IFERROR(INDEX(parametros!$A$2:$A$6,MATCH(C2817,parametros!$B$2:$B$6,0)),"")="Sim",IFERROR(INDEX(parametros!$H$2:$H$6,MATCH(C2817,parametros!$B$2:$B$6,0)),"")=""),"INICIO_EFEITO ausente: PC "&amp;A2817&amp;" - "&amp;C2817,IF(L2817="","EFEITO_PC nao calculado: PC "&amp;A2817&amp;" - "&amp;C2817,"OK")))))))))</f>
        <v/>
      </c>
      <c r="L2817" s="92" t="str">
        <f>IF(AND(A2817="",B2817="",D2817="",G2817=""),"",IF(OR(B2817="",NOT(ISNUMBER(B2817)),C2817="",C2817="Fora dos ciclos"),"",IF(C2817="C0","Nao",IF(IFERROR(INDEX(parametros!$A$2:$A$6,MATCH(C2817,parametros!$B$2:$B$6,0)),"")&lt;&gt;"Sim","Nao",IF(IFERROR(INDEX(parametros!$H$2:$H$6,MATCH(C2817,parametros!$B$2:$B$6,0)),"")="","",IF(B2817&gt;=IFERROR(INDEX(parametros!$H$2:$H$6,MATCH(C2817,parametros!$B$2:$B$6,0)),""),"Sim","Nao"))))))</f>
        <v/>
      </c>
      <c r="T2817" s="156"/>
      <c r="U2817" s="214" t="str">
        <f t="shared" si="221"/>
        <v/>
      </c>
      <c r="V2817" s="212" t="s">
        <v>50</v>
      </c>
      <c r="W2817" s="100" t="s">
        <v>168</v>
      </c>
      <c r="X2817" s="100" t="s">
        <v>169</v>
      </c>
      <c r="Y2817" s="101" t="s">
        <v>170</v>
      </c>
      <c r="Z2817" s="101" t="s">
        <v>171</v>
      </c>
      <c r="AA2817" s="101" t="s">
        <v>50</v>
      </c>
      <c r="AB2817" s="101" t="s">
        <v>172</v>
      </c>
      <c r="AC2817" s="102" t="s">
        <v>173</v>
      </c>
    </row>
    <row r="2818" spans="1:29" ht="25.5" customHeight="1" x14ac:dyDescent="0.35">
      <c r="A2818" s="392"/>
      <c r="B2818" s="393"/>
      <c r="C2818" s="99" t="str">
        <f>IF(B2818="","",IF(NOT(ISNUMBER(B2818)),"DATA_PC invalida",IF(NOT(ISNUMBER(parametros!$C$2)),"Fora dos ciclos",IF(OR(B2818&lt;parametros!$C$2,(YEAR(B2818)-YEAR(parametros!$C$2))*12+MONTH(B2818)-MONTH(parametros!$C$2)&gt;59),"Fora dos ciclos","C"&amp;INT(((YEAR(B2818)-YEAR(parametros!$C$2))*12+MONTH(B2818)-MONTH(parametros!$C$2))/12)))))</f>
        <v/>
      </c>
      <c r="D2818" s="394"/>
      <c r="E2818" s="78" t="str">
        <f>IF(C2818="","",IFERROR(VLOOKUP(C2818,parametros!$A$11:$E$15,5,0),""))</f>
        <v/>
      </c>
      <c r="F2818" s="79" t="str">
        <f t="shared" ref="F2818:F2881" si="222">IF(OR(D2818="",E2818=""),"",ROUND(D2818*E2818,2))</f>
        <v/>
      </c>
      <c r="G2818" s="395"/>
      <c r="H2818" s="91">
        <f t="shared" ref="H2818:H2881" si="223">IF(G2818="Sim",IF(OR(F2818="",D2818="",L2818=""),"",IF(L2818="Sim",ROUND(F2818-D2818,2),0)),0)</f>
        <v>0</v>
      </c>
      <c r="I2818" s="91" t="str">
        <f t="shared" ref="I2818:I2881" si="224">IF(G2818="Sim",0,IF(OR(F2818="",L2818=""),"",F2818))</f>
        <v/>
      </c>
      <c r="J2818" s="91" t="str">
        <f t="shared" ref="J2818:J2881" si="225">IF(G2818="Sim",0,IF(OR(F2818="",D2818="",L2818=""),"",IF(L2818="Sim",ROUND(F2818-D2818,2),0)))</f>
        <v/>
      </c>
      <c r="K2818" s="92" t="str">
        <f>IF(AND(A2818="",B2818="",D2818="",G2818=""),"",IF(AND(A2818&lt;&gt;"",COUNTIF($A$2:$A$5001,A2818)&gt;1),"NUMERO_PC duplicado",IF(B2818="","DATA_PC vazia",IF(NOT(ISNUMBER(B2818)),"DATA_PC invalida",IF(OR(C2818="",C2818="Fora dos ciclos"),"CICLO_PC nao identificado",IF(OR(D2818="",D2818=0),"VALOR_PC vazio ou zero",IF(AND(G2818&lt;&gt;"Sim",G2818&lt;&gt;"Nao",G2818&lt;&gt;""),"PC_PAGO_A_CONTRATADA invalido",IF(AND(C2818&lt;&gt;"C0",IFERROR(INDEX(parametros!$A$2:$A$6,MATCH(C2818,parametros!$B$2:$B$6,0)),"")="Sim",IFERROR(INDEX(parametros!$H$2:$H$6,MATCH(C2818,parametros!$B$2:$B$6,0)),"")=""),"INICIO_EFEITO ausente: PC "&amp;A2818&amp;" - "&amp;C2818,IF(L2818="","EFEITO_PC nao calculado: PC "&amp;A2818&amp;" - "&amp;C2818,"OK")))))))))</f>
        <v/>
      </c>
      <c r="L2818" s="92" t="str">
        <f>IF(AND(A2818="",B2818="",D2818="",G2818=""),"",IF(OR(B2818="",NOT(ISNUMBER(B2818)),C2818="",C2818="Fora dos ciclos"),"",IF(C2818="C0","Nao",IF(IFERROR(INDEX(parametros!$A$2:$A$6,MATCH(C2818,parametros!$B$2:$B$6,0)),"")&lt;&gt;"Sim","Nao",IF(IFERROR(INDEX(parametros!$H$2:$H$6,MATCH(C2818,parametros!$B$2:$B$6,0)),"")="","",IF(B2818&gt;=IFERROR(INDEX(parametros!$H$2:$H$6,MATCH(C2818,parametros!$B$2:$B$6,0)),""),"Sim","Nao"))))))</f>
        <v/>
      </c>
      <c r="T2818" s="156"/>
      <c r="U2818" s="214" t="str">
        <f t="shared" ref="U2818:U2881" si="226">IF(OR($D2818="",$H2818=""),"",ROUND($D2818+$H2818,2))</f>
        <v/>
      </c>
      <c r="V2818" s="212" t="s">
        <v>50</v>
      </c>
      <c r="W2818" s="100" t="s">
        <v>168</v>
      </c>
      <c r="X2818" s="100" t="s">
        <v>169</v>
      </c>
      <c r="Y2818" s="101" t="s">
        <v>170</v>
      </c>
      <c r="Z2818" s="101" t="s">
        <v>171</v>
      </c>
      <c r="AA2818" s="101" t="s">
        <v>50</v>
      </c>
      <c r="AB2818" s="101" t="s">
        <v>172</v>
      </c>
      <c r="AC2818" s="102" t="s">
        <v>173</v>
      </c>
    </row>
    <row r="2819" spans="1:29" ht="25.5" customHeight="1" x14ac:dyDescent="0.35">
      <c r="A2819" s="392"/>
      <c r="B2819" s="393"/>
      <c r="C2819" s="99" t="str">
        <f>IF(B2819="","",IF(NOT(ISNUMBER(B2819)),"DATA_PC invalida",IF(NOT(ISNUMBER(parametros!$C$2)),"Fora dos ciclos",IF(OR(B2819&lt;parametros!$C$2,(YEAR(B2819)-YEAR(parametros!$C$2))*12+MONTH(B2819)-MONTH(parametros!$C$2)&gt;59),"Fora dos ciclos","C"&amp;INT(((YEAR(B2819)-YEAR(parametros!$C$2))*12+MONTH(B2819)-MONTH(parametros!$C$2))/12)))))</f>
        <v/>
      </c>
      <c r="D2819" s="394"/>
      <c r="E2819" s="78" t="str">
        <f>IF(C2819="","",IFERROR(VLOOKUP(C2819,parametros!$A$11:$E$15,5,0),""))</f>
        <v/>
      </c>
      <c r="F2819" s="79" t="str">
        <f t="shared" si="222"/>
        <v/>
      </c>
      <c r="G2819" s="395"/>
      <c r="H2819" s="91">
        <f t="shared" si="223"/>
        <v>0</v>
      </c>
      <c r="I2819" s="91" t="str">
        <f t="shared" si="224"/>
        <v/>
      </c>
      <c r="J2819" s="91" t="str">
        <f t="shared" si="225"/>
        <v/>
      </c>
      <c r="K2819" s="92" t="str">
        <f>IF(AND(A2819="",B2819="",D2819="",G2819=""),"",IF(AND(A2819&lt;&gt;"",COUNTIF($A$2:$A$5001,A2819)&gt;1),"NUMERO_PC duplicado",IF(B2819="","DATA_PC vazia",IF(NOT(ISNUMBER(B2819)),"DATA_PC invalida",IF(OR(C2819="",C2819="Fora dos ciclos"),"CICLO_PC nao identificado",IF(OR(D2819="",D2819=0),"VALOR_PC vazio ou zero",IF(AND(G2819&lt;&gt;"Sim",G2819&lt;&gt;"Nao",G2819&lt;&gt;""),"PC_PAGO_A_CONTRATADA invalido",IF(AND(C2819&lt;&gt;"C0",IFERROR(INDEX(parametros!$A$2:$A$6,MATCH(C2819,parametros!$B$2:$B$6,0)),"")="Sim",IFERROR(INDEX(parametros!$H$2:$H$6,MATCH(C2819,parametros!$B$2:$B$6,0)),"")=""),"INICIO_EFEITO ausente: PC "&amp;A2819&amp;" - "&amp;C2819,IF(L2819="","EFEITO_PC nao calculado: PC "&amp;A2819&amp;" - "&amp;C2819,"OK")))))))))</f>
        <v/>
      </c>
      <c r="L2819" s="92" t="str">
        <f>IF(AND(A2819="",B2819="",D2819="",G2819=""),"",IF(OR(B2819="",NOT(ISNUMBER(B2819)),C2819="",C2819="Fora dos ciclos"),"",IF(C2819="C0","Nao",IF(IFERROR(INDEX(parametros!$A$2:$A$6,MATCH(C2819,parametros!$B$2:$B$6,0)),"")&lt;&gt;"Sim","Nao",IF(IFERROR(INDEX(parametros!$H$2:$H$6,MATCH(C2819,parametros!$B$2:$B$6,0)),"")="","",IF(B2819&gt;=IFERROR(INDEX(parametros!$H$2:$H$6,MATCH(C2819,parametros!$B$2:$B$6,0)),""),"Sim","Nao"))))))</f>
        <v/>
      </c>
      <c r="T2819" s="156"/>
      <c r="U2819" s="214" t="str">
        <f t="shared" si="226"/>
        <v/>
      </c>
      <c r="V2819" s="212" t="s">
        <v>50</v>
      </c>
      <c r="W2819" s="100" t="s">
        <v>168</v>
      </c>
      <c r="X2819" s="100" t="s">
        <v>169</v>
      </c>
      <c r="Y2819" s="101" t="s">
        <v>170</v>
      </c>
      <c r="Z2819" s="101" t="s">
        <v>171</v>
      </c>
      <c r="AA2819" s="101" t="s">
        <v>50</v>
      </c>
      <c r="AB2819" s="101" t="s">
        <v>172</v>
      </c>
      <c r="AC2819" s="102" t="s">
        <v>173</v>
      </c>
    </row>
    <row r="2820" spans="1:29" ht="25.5" customHeight="1" x14ac:dyDescent="0.35">
      <c r="A2820" s="392"/>
      <c r="B2820" s="393"/>
      <c r="C2820" s="99" t="str">
        <f>IF(B2820="","",IF(NOT(ISNUMBER(B2820)),"DATA_PC invalida",IF(NOT(ISNUMBER(parametros!$C$2)),"Fora dos ciclos",IF(OR(B2820&lt;parametros!$C$2,(YEAR(B2820)-YEAR(parametros!$C$2))*12+MONTH(B2820)-MONTH(parametros!$C$2)&gt;59),"Fora dos ciclos","C"&amp;INT(((YEAR(B2820)-YEAR(parametros!$C$2))*12+MONTH(B2820)-MONTH(parametros!$C$2))/12)))))</f>
        <v/>
      </c>
      <c r="D2820" s="394"/>
      <c r="E2820" s="78" t="str">
        <f>IF(C2820="","",IFERROR(VLOOKUP(C2820,parametros!$A$11:$E$15,5,0),""))</f>
        <v/>
      </c>
      <c r="F2820" s="79" t="str">
        <f t="shared" si="222"/>
        <v/>
      </c>
      <c r="G2820" s="395"/>
      <c r="H2820" s="91">
        <f t="shared" si="223"/>
        <v>0</v>
      </c>
      <c r="I2820" s="91" t="str">
        <f t="shared" si="224"/>
        <v/>
      </c>
      <c r="J2820" s="91" t="str">
        <f t="shared" si="225"/>
        <v/>
      </c>
      <c r="K2820" s="92" t="str">
        <f>IF(AND(A2820="",B2820="",D2820="",G2820=""),"",IF(AND(A2820&lt;&gt;"",COUNTIF($A$2:$A$5001,A2820)&gt;1),"NUMERO_PC duplicado",IF(B2820="","DATA_PC vazia",IF(NOT(ISNUMBER(B2820)),"DATA_PC invalida",IF(OR(C2820="",C2820="Fora dos ciclos"),"CICLO_PC nao identificado",IF(OR(D2820="",D2820=0),"VALOR_PC vazio ou zero",IF(AND(G2820&lt;&gt;"Sim",G2820&lt;&gt;"Nao",G2820&lt;&gt;""),"PC_PAGO_A_CONTRATADA invalido",IF(AND(C2820&lt;&gt;"C0",IFERROR(INDEX(parametros!$A$2:$A$6,MATCH(C2820,parametros!$B$2:$B$6,0)),"")="Sim",IFERROR(INDEX(parametros!$H$2:$H$6,MATCH(C2820,parametros!$B$2:$B$6,0)),"")=""),"INICIO_EFEITO ausente: PC "&amp;A2820&amp;" - "&amp;C2820,IF(L2820="","EFEITO_PC nao calculado: PC "&amp;A2820&amp;" - "&amp;C2820,"OK")))))))))</f>
        <v/>
      </c>
      <c r="L2820" s="92" t="str">
        <f>IF(AND(A2820="",B2820="",D2820="",G2820=""),"",IF(OR(B2820="",NOT(ISNUMBER(B2820)),C2820="",C2820="Fora dos ciclos"),"",IF(C2820="C0","Nao",IF(IFERROR(INDEX(parametros!$A$2:$A$6,MATCH(C2820,parametros!$B$2:$B$6,0)),"")&lt;&gt;"Sim","Nao",IF(IFERROR(INDEX(parametros!$H$2:$H$6,MATCH(C2820,parametros!$B$2:$B$6,0)),"")="","",IF(B2820&gt;=IFERROR(INDEX(parametros!$H$2:$H$6,MATCH(C2820,parametros!$B$2:$B$6,0)),""),"Sim","Nao"))))))</f>
        <v/>
      </c>
      <c r="T2820" s="156"/>
      <c r="U2820" s="214" t="str">
        <f t="shared" si="226"/>
        <v/>
      </c>
      <c r="V2820" s="212" t="s">
        <v>50</v>
      </c>
      <c r="W2820" s="100" t="s">
        <v>168</v>
      </c>
      <c r="X2820" s="100" t="s">
        <v>169</v>
      </c>
      <c r="Y2820" s="101" t="s">
        <v>170</v>
      </c>
      <c r="Z2820" s="101" t="s">
        <v>171</v>
      </c>
      <c r="AA2820" s="101" t="s">
        <v>50</v>
      </c>
      <c r="AB2820" s="101" t="s">
        <v>172</v>
      </c>
      <c r="AC2820" s="102" t="s">
        <v>173</v>
      </c>
    </row>
    <row r="2821" spans="1:29" ht="25.5" customHeight="1" x14ac:dyDescent="0.35">
      <c r="A2821" s="392"/>
      <c r="B2821" s="393"/>
      <c r="C2821" s="99" t="str">
        <f>IF(B2821="","",IF(NOT(ISNUMBER(B2821)),"DATA_PC invalida",IF(NOT(ISNUMBER(parametros!$C$2)),"Fora dos ciclos",IF(OR(B2821&lt;parametros!$C$2,(YEAR(B2821)-YEAR(parametros!$C$2))*12+MONTH(B2821)-MONTH(parametros!$C$2)&gt;59),"Fora dos ciclos","C"&amp;INT(((YEAR(B2821)-YEAR(parametros!$C$2))*12+MONTH(B2821)-MONTH(parametros!$C$2))/12)))))</f>
        <v/>
      </c>
      <c r="D2821" s="394"/>
      <c r="E2821" s="78" t="str">
        <f>IF(C2821="","",IFERROR(VLOOKUP(C2821,parametros!$A$11:$E$15,5,0),""))</f>
        <v/>
      </c>
      <c r="F2821" s="79" t="str">
        <f t="shared" si="222"/>
        <v/>
      </c>
      <c r="G2821" s="395"/>
      <c r="H2821" s="91">
        <f t="shared" si="223"/>
        <v>0</v>
      </c>
      <c r="I2821" s="91" t="str">
        <f t="shared" si="224"/>
        <v/>
      </c>
      <c r="J2821" s="91" t="str">
        <f t="shared" si="225"/>
        <v/>
      </c>
      <c r="K2821" s="92" t="str">
        <f>IF(AND(A2821="",B2821="",D2821="",G2821=""),"",IF(AND(A2821&lt;&gt;"",COUNTIF($A$2:$A$5001,A2821)&gt;1),"NUMERO_PC duplicado",IF(B2821="","DATA_PC vazia",IF(NOT(ISNUMBER(B2821)),"DATA_PC invalida",IF(OR(C2821="",C2821="Fora dos ciclos"),"CICLO_PC nao identificado",IF(OR(D2821="",D2821=0),"VALOR_PC vazio ou zero",IF(AND(G2821&lt;&gt;"Sim",G2821&lt;&gt;"Nao",G2821&lt;&gt;""),"PC_PAGO_A_CONTRATADA invalido",IF(AND(C2821&lt;&gt;"C0",IFERROR(INDEX(parametros!$A$2:$A$6,MATCH(C2821,parametros!$B$2:$B$6,0)),"")="Sim",IFERROR(INDEX(parametros!$H$2:$H$6,MATCH(C2821,parametros!$B$2:$B$6,0)),"")=""),"INICIO_EFEITO ausente: PC "&amp;A2821&amp;" - "&amp;C2821,IF(L2821="","EFEITO_PC nao calculado: PC "&amp;A2821&amp;" - "&amp;C2821,"OK")))))))))</f>
        <v/>
      </c>
      <c r="L2821" s="92" t="str">
        <f>IF(AND(A2821="",B2821="",D2821="",G2821=""),"",IF(OR(B2821="",NOT(ISNUMBER(B2821)),C2821="",C2821="Fora dos ciclos"),"",IF(C2821="C0","Nao",IF(IFERROR(INDEX(parametros!$A$2:$A$6,MATCH(C2821,parametros!$B$2:$B$6,0)),"")&lt;&gt;"Sim","Nao",IF(IFERROR(INDEX(parametros!$H$2:$H$6,MATCH(C2821,parametros!$B$2:$B$6,0)),"")="","",IF(B2821&gt;=IFERROR(INDEX(parametros!$H$2:$H$6,MATCH(C2821,parametros!$B$2:$B$6,0)),""),"Sim","Nao"))))))</f>
        <v/>
      </c>
      <c r="T2821" s="156"/>
      <c r="U2821" s="214" t="str">
        <f t="shared" si="226"/>
        <v/>
      </c>
      <c r="V2821" s="212" t="s">
        <v>50</v>
      </c>
      <c r="W2821" s="100" t="s">
        <v>168</v>
      </c>
      <c r="X2821" s="100" t="s">
        <v>169</v>
      </c>
      <c r="Y2821" s="101" t="s">
        <v>170</v>
      </c>
      <c r="Z2821" s="101" t="s">
        <v>171</v>
      </c>
      <c r="AA2821" s="101" t="s">
        <v>50</v>
      </c>
      <c r="AB2821" s="101" t="s">
        <v>172</v>
      </c>
      <c r="AC2821" s="102" t="s">
        <v>173</v>
      </c>
    </row>
    <row r="2822" spans="1:29" ht="25.5" customHeight="1" x14ac:dyDescent="0.35">
      <c r="A2822" s="392"/>
      <c r="B2822" s="393"/>
      <c r="C2822" s="99" t="str">
        <f>IF(B2822="","",IF(NOT(ISNUMBER(B2822)),"DATA_PC invalida",IF(NOT(ISNUMBER(parametros!$C$2)),"Fora dos ciclos",IF(OR(B2822&lt;parametros!$C$2,(YEAR(B2822)-YEAR(parametros!$C$2))*12+MONTH(B2822)-MONTH(parametros!$C$2)&gt;59),"Fora dos ciclos","C"&amp;INT(((YEAR(B2822)-YEAR(parametros!$C$2))*12+MONTH(B2822)-MONTH(parametros!$C$2))/12)))))</f>
        <v/>
      </c>
      <c r="D2822" s="394"/>
      <c r="E2822" s="78" t="str">
        <f>IF(C2822="","",IFERROR(VLOOKUP(C2822,parametros!$A$11:$E$15,5,0),""))</f>
        <v/>
      </c>
      <c r="F2822" s="79" t="str">
        <f t="shared" si="222"/>
        <v/>
      </c>
      <c r="G2822" s="395"/>
      <c r="H2822" s="91">
        <f t="shared" si="223"/>
        <v>0</v>
      </c>
      <c r="I2822" s="91" t="str">
        <f t="shared" si="224"/>
        <v/>
      </c>
      <c r="J2822" s="91" t="str">
        <f t="shared" si="225"/>
        <v/>
      </c>
      <c r="K2822" s="92" t="str">
        <f>IF(AND(A2822="",B2822="",D2822="",G2822=""),"",IF(AND(A2822&lt;&gt;"",COUNTIF($A$2:$A$5001,A2822)&gt;1),"NUMERO_PC duplicado",IF(B2822="","DATA_PC vazia",IF(NOT(ISNUMBER(B2822)),"DATA_PC invalida",IF(OR(C2822="",C2822="Fora dos ciclos"),"CICLO_PC nao identificado",IF(OR(D2822="",D2822=0),"VALOR_PC vazio ou zero",IF(AND(G2822&lt;&gt;"Sim",G2822&lt;&gt;"Nao",G2822&lt;&gt;""),"PC_PAGO_A_CONTRATADA invalido",IF(AND(C2822&lt;&gt;"C0",IFERROR(INDEX(parametros!$A$2:$A$6,MATCH(C2822,parametros!$B$2:$B$6,0)),"")="Sim",IFERROR(INDEX(parametros!$H$2:$H$6,MATCH(C2822,parametros!$B$2:$B$6,0)),"")=""),"INICIO_EFEITO ausente: PC "&amp;A2822&amp;" - "&amp;C2822,IF(L2822="","EFEITO_PC nao calculado: PC "&amp;A2822&amp;" - "&amp;C2822,"OK")))))))))</f>
        <v/>
      </c>
      <c r="L2822" s="92" t="str">
        <f>IF(AND(A2822="",B2822="",D2822="",G2822=""),"",IF(OR(B2822="",NOT(ISNUMBER(B2822)),C2822="",C2822="Fora dos ciclos"),"",IF(C2822="C0","Nao",IF(IFERROR(INDEX(parametros!$A$2:$A$6,MATCH(C2822,parametros!$B$2:$B$6,0)),"")&lt;&gt;"Sim","Nao",IF(IFERROR(INDEX(parametros!$H$2:$H$6,MATCH(C2822,parametros!$B$2:$B$6,0)),"")="","",IF(B2822&gt;=IFERROR(INDEX(parametros!$H$2:$H$6,MATCH(C2822,parametros!$B$2:$B$6,0)),""),"Sim","Nao"))))))</f>
        <v/>
      </c>
      <c r="T2822" s="156"/>
      <c r="U2822" s="214" t="str">
        <f t="shared" si="226"/>
        <v/>
      </c>
      <c r="V2822" s="212" t="s">
        <v>50</v>
      </c>
      <c r="W2822" s="100" t="s">
        <v>168</v>
      </c>
      <c r="X2822" s="100" t="s">
        <v>169</v>
      </c>
      <c r="Y2822" s="101" t="s">
        <v>170</v>
      </c>
      <c r="Z2822" s="101" t="s">
        <v>171</v>
      </c>
      <c r="AA2822" s="101" t="s">
        <v>50</v>
      </c>
      <c r="AB2822" s="101" t="s">
        <v>172</v>
      </c>
      <c r="AC2822" s="102" t="s">
        <v>173</v>
      </c>
    </row>
    <row r="2823" spans="1:29" ht="25.5" customHeight="1" x14ac:dyDescent="0.35">
      <c r="A2823" s="392"/>
      <c r="B2823" s="393"/>
      <c r="C2823" s="99" t="str">
        <f>IF(B2823="","",IF(NOT(ISNUMBER(B2823)),"DATA_PC invalida",IF(NOT(ISNUMBER(parametros!$C$2)),"Fora dos ciclos",IF(OR(B2823&lt;parametros!$C$2,(YEAR(B2823)-YEAR(parametros!$C$2))*12+MONTH(B2823)-MONTH(parametros!$C$2)&gt;59),"Fora dos ciclos","C"&amp;INT(((YEAR(B2823)-YEAR(parametros!$C$2))*12+MONTH(B2823)-MONTH(parametros!$C$2))/12)))))</f>
        <v/>
      </c>
      <c r="D2823" s="394"/>
      <c r="E2823" s="78" t="str">
        <f>IF(C2823="","",IFERROR(VLOOKUP(C2823,parametros!$A$11:$E$15,5,0),""))</f>
        <v/>
      </c>
      <c r="F2823" s="79" t="str">
        <f t="shared" si="222"/>
        <v/>
      </c>
      <c r="G2823" s="395"/>
      <c r="H2823" s="91">
        <f t="shared" si="223"/>
        <v>0</v>
      </c>
      <c r="I2823" s="91" t="str">
        <f t="shared" si="224"/>
        <v/>
      </c>
      <c r="J2823" s="91" t="str">
        <f t="shared" si="225"/>
        <v/>
      </c>
      <c r="K2823" s="92" t="str">
        <f>IF(AND(A2823="",B2823="",D2823="",G2823=""),"",IF(AND(A2823&lt;&gt;"",COUNTIF($A$2:$A$5001,A2823)&gt;1),"NUMERO_PC duplicado",IF(B2823="","DATA_PC vazia",IF(NOT(ISNUMBER(B2823)),"DATA_PC invalida",IF(OR(C2823="",C2823="Fora dos ciclos"),"CICLO_PC nao identificado",IF(OR(D2823="",D2823=0),"VALOR_PC vazio ou zero",IF(AND(G2823&lt;&gt;"Sim",G2823&lt;&gt;"Nao",G2823&lt;&gt;""),"PC_PAGO_A_CONTRATADA invalido",IF(AND(C2823&lt;&gt;"C0",IFERROR(INDEX(parametros!$A$2:$A$6,MATCH(C2823,parametros!$B$2:$B$6,0)),"")="Sim",IFERROR(INDEX(parametros!$H$2:$H$6,MATCH(C2823,parametros!$B$2:$B$6,0)),"")=""),"INICIO_EFEITO ausente: PC "&amp;A2823&amp;" - "&amp;C2823,IF(L2823="","EFEITO_PC nao calculado: PC "&amp;A2823&amp;" - "&amp;C2823,"OK")))))))))</f>
        <v/>
      </c>
      <c r="L2823" s="92" t="str">
        <f>IF(AND(A2823="",B2823="",D2823="",G2823=""),"",IF(OR(B2823="",NOT(ISNUMBER(B2823)),C2823="",C2823="Fora dos ciclos"),"",IF(C2823="C0","Nao",IF(IFERROR(INDEX(parametros!$A$2:$A$6,MATCH(C2823,parametros!$B$2:$B$6,0)),"")&lt;&gt;"Sim","Nao",IF(IFERROR(INDEX(parametros!$H$2:$H$6,MATCH(C2823,parametros!$B$2:$B$6,0)),"")="","",IF(B2823&gt;=IFERROR(INDEX(parametros!$H$2:$H$6,MATCH(C2823,parametros!$B$2:$B$6,0)),""),"Sim","Nao"))))))</f>
        <v/>
      </c>
      <c r="T2823" s="156"/>
      <c r="U2823" s="214" t="str">
        <f t="shared" si="226"/>
        <v/>
      </c>
      <c r="V2823" s="212" t="s">
        <v>50</v>
      </c>
      <c r="W2823" s="100" t="s">
        <v>168</v>
      </c>
      <c r="X2823" s="100" t="s">
        <v>169</v>
      </c>
      <c r="Y2823" s="101" t="s">
        <v>170</v>
      </c>
      <c r="Z2823" s="101" t="s">
        <v>171</v>
      </c>
      <c r="AA2823" s="101" t="s">
        <v>50</v>
      </c>
      <c r="AB2823" s="101" t="s">
        <v>172</v>
      </c>
      <c r="AC2823" s="102" t="s">
        <v>173</v>
      </c>
    </row>
    <row r="2824" spans="1:29" ht="25.5" customHeight="1" x14ac:dyDescent="0.35">
      <c r="A2824" s="392"/>
      <c r="B2824" s="393"/>
      <c r="C2824" s="99" t="str">
        <f>IF(B2824="","",IF(NOT(ISNUMBER(B2824)),"DATA_PC invalida",IF(NOT(ISNUMBER(parametros!$C$2)),"Fora dos ciclos",IF(OR(B2824&lt;parametros!$C$2,(YEAR(B2824)-YEAR(parametros!$C$2))*12+MONTH(B2824)-MONTH(parametros!$C$2)&gt;59),"Fora dos ciclos","C"&amp;INT(((YEAR(B2824)-YEAR(parametros!$C$2))*12+MONTH(B2824)-MONTH(parametros!$C$2))/12)))))</f>
        <v/>
      </c>
      <c r="D2824" s="394"/>
      <c r="E2824" s="78" t="str">
        <f>IF(C2824="","",IFERROR(VLOOKUP(C2824,parametros!$A$11:$E$15,5,0),""))</f>
        <v/>
      </c>
      <c r="F2824" s="79" t="str">
        <f t="shared" si="222"/>
        <v/>
      </c>
      <c r="G2824" s="395"/>
      <c r="H2824" s="91">
        <f t="shared" si="223"/>
        <v>0</v>
      </c>
      <c r="I2824" s="91" t="str">
        <f t="shared" si="224"/>
        <v/>
      </c>
      <c r="J2824" s="91" t="str">
        <f t="shared" si="225"/>
        <v/>
      </c>
      <c r="K2824" s="92" t="str">
        <f>IF(AND(A2824="",B2824="",D2824="",G2824=""),"",IF(AND(A2824&lt;&gt;"",COUNTIF($A$2:$A$5001,A2824)&gt;1),"NUMERO_PC duplicado",IF(B2824="","DATA_PC vazia",IF(NOT(ISNUMBER(B2824)),"DATA_PC invalida",IF(OR(C2824="",C2824="Fora dos ciclos"),"CICLO_PC nao identificado",IF(OR(D2824="",D2824=0),"VALOR_PC vazio ou zero",IF(AND(G2824&lt;&gt;"Sim",G2824&lt;&gt;"Nao",G2824&lt;&gt;""),"PC_PAGO_A_CONTRATADA invalido",IF(AND(C2824&lt;&gt;"C0",IFERROR(INDEX(parametros!$A$2:$A$6,MATCH(C2824,parametros!$B$2:$B$6,0)),"")="Sim",IFERROR(INDEX(parametros!$H$2:$H$6,MATCH(C2824,parametros!$B$2:$B$6,0)),"")=""),"INICIO_EFEITO ausente: PC "&amp;A2824&amp;" - "&amp;C2824,IF(L2824="","EFEITO_PC nao calculado: PC "&amp;A2824&amp;" - "&amp;C2824,"OK")))))))))</f>
        <v/>
      </c>
      <c r="L2824" s="92" t="str">
        <f>IF(AND(A2824="",B2824="",D2824="",G2824=""),"",IF(OR(B2824="",NOT(ISNUMBER(B2824)),C2824="",C2824="Fora dos ciclos"),"",IF(C2824="C0","Nao",IF(IFERROR(INDEX(parametros!$A$2:$A$6,MATCH(C2824,parametros!$B$2:$B$6,0)),"")&lt;&gt;"Sim","Nao",IF(IFERROR(INDEX(parametros!$H$2:$H$6,MATCH(C2824,parametros!$B$2:$B$6,0)),"")="","",IF(B2824&gt;=IFERROR(INDEX(parametros!$H$2:$H$6,MATCH(C2824,parametros!$B$2:$B$6,0)),""),"Sim","Nao"))))))</f>
        <v/>
      </c>
      <c r="T2824" s="156"/>
      <c r="U2824" s="214" t="str">
        <f t="shared" si="226"/>
        <v/>
      </c>
      <c r="V2824" s="212" t="s">
        <v>50</v>
      </c>
      <c r="W2824" s="100" t="s">
        <v>168</v>
      </c>
      <c r="X2824" s="100" t="s">
        <v>169</v>
      </c>
      <c r="Y2824" s="101" t="s">
        <v>170</v>
      </c>
      <c r="Z2824" s="101" t="s">
        <v>171</v>
      </c>
      <c r="AA2824" s="101" t="s">
        <v>50</v>
      </c>
      <c r="AB2824" s="101" t="s">
        <v>172</v>
      </c>
      <c r="AC2824" s="102" t="s">
        <v>173</v>
      </c>
    </row>
    <row r="2825" spans="1:29" ht="25.5" customHeight="1" x14ac:dyDescent="0.35">
      <c r="A2825" s="392"/>
      <c r="B2825" s="393"/>
      <c r="C2825" s="99" t="str">
        <f>IF(B2825="","",IF(NOT(ISNUMBER(B2825)),"DATA_PC invalida",IF(NOT(ISNUMBER(parametros!$C$2)),"Fora dos ciclos",IF(OR(B2825&lt;parametros!$C$2,(YEAR(B2825)-YEAR(parametros!$C$2))*12+MONTH(B2825)-MONTH(parametros!$C$2)&gt;59),"Fora dos ciclos","C"&amp;INT(((YEAR(B2825)-YEAR(parametros!$C$2))*12+MONTH(B2825)-MONTH(parametros!$C$2))/12)))))</f>
        <v/>
      </c>
      <c r="D2825" s="394"/>
      <c r="E2825" s="78" t="str">
        <f>IF(C2825="","",IFERROR(VLOOKUP(C2825,parametros!$A$11:$E$15,5,0),""))</f>
        <v/>
      </c>
      <c r="F2825" s="79" t="str">
        <f t="shared" si="222"/>
        <v/>
      </c>
      <c r="G2825" s="395"/>
      <c r="H2825" s="91">
        <f t="shared" si="223"/>
        <v>0</v>
      </c>
      <c r="I2825" s="91" t="str">
        <f t="shared" si="224"/>
        <v/>
      </c>
      <c r="J2825" s="91" t="str">
        <f t="shared" si="225"/>
        <v/>
      </c>
      <c r="K2825" s="92" t="str">
        <f>IF(AND(A2825="",B2825="",D2825="",G2825=""),"",IF(AND(A2825&lt;&gt;"",COUNTIF($A$2:$A$5001,A2825)&gt;1),"NUMERO_PC duplicado",IF(B2825="","DATA_PC vazia",IF(NOT(ISNUMBER(B2825)),"DATA_PC invalida",IF(OR(C2825="",C2825="Fora dos ciclos"),"CICLO_PC nao identificado",IF(OR(D2825="",D2825=0),"VALOR_PC vazio ou zero",IF(AND(G2825&lt;&gt;"Sim",G2825&lt;&gt;"Nao",G2825&lt;&gt;""),"PC_PAGO_A_CONTRATADA invalido",IF(AND(C2825&lt;&gt;"C0",IFERROR(INDEX(parametros!$A$2:$A$6,MATCH(C2825,parametros!$B$2:$B$6,0)),"")="Sim",IFERROR(INDEX(parametros!$H$2:$H$6,MATCH(C2825,parametros!$B$2:$B$6,0)),"")=""),"INICIO_EFEITO ausente: PC "&amp;A2825&amp;" - "&amp;C2825,IF(L2825="","EFEITO_PC nao calculado: PC "&amp;A2825&amp;" - "&amp;C2825,"OK")))))))))</f>
        <v/>
      </c>
      <c r="L2825" s="92" t="str">
        <f>IF(AND(A2825="",B2825="",D2825="",G2825=""),"",IF(OR(B2825="",NOT(ISNUMBER(B2825)),C2825="",C2825="Fora dos ciclos"),"",IF(C2825="C0","Nao",IF(IFERROR(INDEX(parametros!$A$2:$A$6,MATCH(C2825,parametros!$B$2:$B$6,0)),"")&lt;&gt;"Sim","Nao",IF(IFERROR(INDEX(parametros!$H$2:$H$6,MATCH(C2825,parametros!$B$2:$B$6,0)),"")="","",IF(B2825&gt;=IFERROR(INDEX(parametros!$H$2:$H$6,MATCH(C2825,parametros!$B$2:$B$6,0)),""),"Sim","Nao"))))))</f>
        <v/>
      </c>
      <c r="T2825" s="156"/>
      <c r="U2825" s="214" t="str">
        <f t="shared" si="226"/>
        <v/>
      </c>
      <c r="V2825" s="212" t="s">
        <v>50</v>
      </c>
      <c r="W2825" s="100" t="s">
        <v>168</v>
      </c>
      <c r="X2825" s="100" t="s">
        <v>169</v>
      </c>
      <c r="Y2825" s="101" t="s">
        <v>170</v>
      </c>
      <c r="Z2825" s="101" t="s">
        <v>171</v>
      </c>
      <c r="AA2825" s="101" t="s">
        <v>50</v>
      </c>
      <c r="AB2825" s="101" t="s">
        <v>172</v>
      </c>
      <c r="AC2825" s="102" t="s">
        <v>173</v>
      </c>
    </row>
    <row r="2826" spans="1:29" ht="25.5" customHeight="1" x14ac:dyDescent="0.35">
      <c r="A2826" s="392"/>
      <c r="B2826" s="393"/>
      <c r="C2826" s="99" t="str">
        <f>IF(B2826="","",IF(NOT(ISNUMBER(B2826)),"DATA_PC invalida",IF(NOT(ISNUMBER(parametros!$C$2)),"Fora dos ciclos",IF(OR(B2826&lt;parametros!$C$2,(YEAR(B2826)-YEAR(parametros!$C$2))*12+MONTH(B2826)-MONTH(parametros!$C$2)&gt;59),"Fora dos ciclos","C"&amp;INT(((YEAR(B2826)-YEAR(parametros!$C$2))*12+MONTH(B2826)-MONTH(parametros!$C$2))/12)))))</f>
        <v/>
      </c>
      <c r="D2826" s="394"/>
      <c r="E2826" s="78" t="str">
        <f>IF(C2826="","",IFERROR(VLOOKUP(C2826,parametros!$A$11:$E$15,5,0),""))</f>
        <v/>
      </c>
      <c r="F2826" s="79" t="str">
        <f t="shared" si="222"/>
        <v/>
      </c>
      <c r="G2826" s="395"/>
      <c r="H2826" s="91">
        <f t="shared" si="223"/>
        <v>0</v>
      </c>
      <c r="I2826" s="91" t="str">
        <f t="shared" si="224"/>
        <v/>
      </c>
      <c r="J2826" s="91" t="str">
        <f t="shared" si="225"/>
        <v/>
      </c>
      <c r="K2826" s="92" t="str">
        <f>IF(AND(A2826="",B2826="",D2826="",G2826=""),"",IF(AND(A2826&lt;&gt;"",COUNTIF($A$2:$A$5001,A2826)&gt;1),"NUMERO_PC duplicado",IF(B2826="","DATA_PC vazia",IF(NOT(ISNUMBER(B2826)),"DATA_PC invalida",IF(OR(C2826="",C2826="Fora dos ciclos"),"CICLO_PC nao identificado",IF(OR(D2826="",D2826=0),"VALOR_PC vazio ou zero",IF(AND(G2826&lt;&gt;"Sim",G2826&lt;&gt;"Nao",G2826&lt;&gt;""),"PC_PAGO_A_CONTRATADA invalido",IF(AND(C2826&lt;&gt;"C0",IFERROR(INDEX(parametros!$A$2:$A$6,MATCH(C2826,parametros!$B$2:$B$6,0)),"")="Sim",IFERROR(INDEX(parametros!$H$2:$H$6,MATCH(C2826,parametros!$B$2:$B$6,0)),"")=""),"INICIO_EFEITO ausente: PC "&amp;A2826&amp;" - "&amp;C2826,IF(L2826="","EFEITO_PC nao calculado: PC "&amp;A2826&amp;" - "&amp;C2826,"OK")))))))))</f>
        <v/>
      </c>
      <c r="L2826" s="92" t="str">
        <f>IF(AND(A2826="",B2826="",D2826="",G2826=""),"",IF(OR(B2826="",NOT(ISNUMBER(B2826)),C2826="",C2826="Fora dos ciclos"),"",IF(C2826="C0","Nao",IF(IFERROR(INDEX(parametros!$A$2:$A$6,MATCH(C2826,parametros!$B$2:$B$6,0)),"")&lt;&gt;"Sim","Nao",IF(IFERROR(INDEX(parametros!$H$2:$H$6,MATCH(C2826,parametros!$B$2:$B$6,0)),"")="","",IF(B2826&gt;=IFERROR(INDEX(parametros!$H$2:$H$6,MATCH(C2826,parametros!$B$2:$B$6,0)),""),"Sim","Nao"))))))</f>
        <v/>
      </c>
      <c r="T2826" s="156"/>
      <c r="U2826" s="214" t="str">
        <f t="shared" si="226"/>
        <v/>
      </c>
      <c r="V2826" s="212" t="s">
        <v>50</v>
      </c>
      <c r="W2826" s="100" t="s">
        <v>168</v>
      </c>
      <c r="X2826" s="100" t="s">
        <v>169</v>
      </c>
      <c r="Y2826" s="101" t="s">
        <v>170</v>
      </c>
      <c r="Z2826" s="101" t="s">
        <v>171</v>
      </c>
      <c r="AA2826" s="101" t="s">
        <v>50</v>
      </c>
      <c r="AB2826" s="101" t="s">
        <v>172</v>
      </c>
      <c r="AC2826" s="102" t="s">
        <v>173</v>
      </c>
    </row>
    <row r="2827" spans="1:29" ht="25.5" customHeight="1" x14ac:dyDescent="0.35">
      <c r="A2827" s="392"/>
      <c r="B2827" s="393"/>
      <c r="C2827" s="99" t="str">
        <f>IF(B2827="","",IF(NOT(ISNUMBER(B2827)),"DATA_PC invalida",IF(NOT(ISNUMBER(parametros!$C$2)),"Fora dos ciclos",IF(OR(B2827&lt;parametros!$C$2,(YEAR(B2827)-YEAR(parametros!$C$2))*12+MONTH(B2827)-MONTH(parametros!$C$2)&gt;59),"Fora dos ciclos","C"&amp;INT(((YEAR(B2827)-YEAR(parametros!$C$2))*12+MONTH(B2827)-MONTH(parametros!$C$2))/12)))))</f>
        <v/>
      </c>
      <c r="D2827" s="394"/>
      <c r="E2827" s="78" t="str">
        <f>IF(C2827="","",IFERROR(VLOOKUP(C2827,parametros!$A$11:$E$15,5,0),""))</f>
        <v/>
      </c>
      <c r="F2827" s="79" t="str">
        <f t="shared" si="222"/>
        <v/>
      </c>
      <c r="G2827" s="395"/>
      <c r="H2827" s="91">
        <f t="shared" si="223"/>
        <v>0</v>
      </c>
      <c r="I2827" s="91" t="str">
        <f t="shared" si="224"/>
        <v/>
      </c>
      <c r="J2827" s="91" t="str">
        <f t="shared" si="225"/>
        <v/>
      </c>
      <c r="K2827" s="92" t="str">
        <f>IF(AND(A2827="",B2827="",D2827="",G2827=""),"",IF(AND(A2827&lt;&gt;"",COUNTIF($A$2:$A$5001,A2827)&gt;1),"NUMERO_PC duplicado",IF(B2827="","DATA_PC vazia",IF(NOT(ISNUMBER(B2827)),"DATA_PC invalida",IF(OR(C2827="",C2827="Fora dos ciclos"),"CICLO_PC nao identificado",IF(OR(D2827="",D2827=0),"VALOR_PC vazio ou zero",IF(AND(G2827&lt;&gt;"Sim",G2827&lt;&gt;"Nao",G2827&lt;&gt;""),"PC_PAGO_A_CONTRATADA invalido",IF(AND(C2827&lt;&gt;"C0",IFERROR(INDEX(parametros!$A$2:$A$6,MATCH(C2827,parametros!$B$2:$B$6,0)),"")="Sim",IFERROR(INDEX(parametros!$H$2:$H$6,MATCH(C2827,parametros!$B$2:$B$6,0)),"")=""),"INICIO_EFEITO ausente: PC "&amp;A2827&amp;" - "&amp;C2827,IF(L2827="","EFEITO_PC nao calculado: PC "&amp;A2827&amp;" - "&amp;C2827,"OK")))))))))</f>
        <v/>
      </c>
      <c r="L2827" s="92" t="str">
        <f>IF(AND(A2827="",B2827="",D2827="",G2827=""),"",IF(OR(B2827="",NOT(ISNUMBER(B2827)),C2827="",C2827="Fora dos ciclos"),"",IF(C2827="C0","Nao",IF(IFERROR(INDEX(parametros!$A$2:$A$6,MATCH(C2827,parametros!$B$2:$B$6,0)),"")&lt;&gt;"Sim","Nao",IF(IFERROR(INDEX(parametros!$H$2:$H$6,MATCH(C2827,parametros!$B$2:$B$6,0)),"")="","",IF(B2827&gt;=IFERROR(INDEX(parametros!$H$2:$H$6,MATCH(C2827,parametros!$B$2:$B$6,0)),""),"Sim","Nao"))))))</f>
        <v/>
      </c>
      <c r="T2827" s="156"/>
      <c r="U2827" s="214" t="str">
        <f t="shared" si="226"/>
        <v/>
      </c>
      <c r="V2827" s="212" t="s">
        <v>50</v>
      </c>
      <c r="W2827" s="100" t="s">
        <v>168</v>
      </c>
      <c r="X2827" s="100" t="s">
        <v>169</v>
      </c>
      <c r="Y2827" s="101" t="s">
        <v>170</v>
      </c>
      <c r="Z2827" s="101" t="s">
        <v>171</v>
      </c>
      <c r="AA2827" s="101" t="s">
        <v>50</v>
      </c>
      <c r="AB2827" s="101" t="s">
        <v>172</v>
      </c>
      <c r="AC2827" s="102" t="s">
        <v>173</v>
      </c>
    </row>
    <row r="2828" spans="1:29" ht="25.5" customHeight="1" x14ac:dyDescent="0.35">
      <c r="A2828" s="392"/>
      <c r="B2828" s="393"/>
      <c r="C2828" s="99" t="str">
        <f>IF(B2828="","",IF(NOT(ISNUMBER(B2828)),"DATA_PC invalida",IF(NOT(ISNUMBER(parametros!$C$2)),"Fora dos ciclos",IF(OR(B2828&lt;parametros!$C$2,(YEAR(B2828)-YEAR(parametros!$C$2))*12+MONTH(B2828)-MONTH(parametros!$C$2)&gt;59),"Fora dos ciclos","C"&amp;INT(((YEAR(B2828)-YEAR(parametros!$C$2))*12+MONTH(B2828)-MONTH(parametros!$C$2))/12)))))</f>
        <v/>
      </c>
      <c r="D2828" s="394"/>
      <c r="E2828" s="78" t="str">
        <f>IF(C2828="","",IFERROR(VLOOKUP(C2828,parametros!$A$11:$E$15,5,0),""))</f>
        <v/>
      </c>
      <c r="F2828" s="79" t="str">
        <f t="shared" si="222"/>
        <v/>
      </c>
      <c r="G2828" s="395"/>
      <c r="H2828" s="91">
        <f t="shared" si="223"/>
        <v>0</v>
      </c>
      <c r="I2828" s="91" t="str">
        <f t="shared" si="224"/>
        <v/>
      </c>
      <c r="J2828" s="91" t="str">
        <f t="shared" si="225"/>
        <v/>
      </c>
      <c r="K2828" s="92" t="str">
        <f>IF(AND(A2828="",B2828="",D2828="",G2828=""),"",IF(AND(A2828&lt;&gt;"",COUNTIF($A$2:$A$5001,A2828)&gt;1),"NUMERO_PC duplicado",IF(B2828="","DATA_PC vazia",IF(NOT(ISNUMBER(B2828)),"DATA_PC invalida",IF(OR(C2828="",C2828="Fora dos ciclos"),"CICLO_PC nao identificado",IF(OR(D2828="",D2828=0),"VALOR_PC vazio ou zero",IF(AND(G2828&lt;&gt;"Sim",G2828&lt;&gt;"Nao",G2828&lt;&gt;""),"PC_PAGO_A_CONTRATADA invalido",IF(AND(C2828&lt;&gt;"C0",IFERROR(INDEX(parametros!$A$2:$A$6,MATCH(C2828,parametros!$B$2:$B$6,0)),"")="Sim",IFERROR(INDEX(parametros!$H$2:$H$6,MATCH(C2828,parametros!$B$2:$B$6,0)),"")=""),"INICIO_EFEITO ausente: PC "&amp;A2828&amp;" - "&amp;C2828,IF(L2828="","EFEITO_PC nao calculado: PC "&amp;A2828&amp;" - "&amp;C2828,"OK")))))))))</f>
        <v/>
      </c>
      <c r="L2828" s="92" t="str">
        <f>IF(AND(A2828="",B2828="",D2828="",G2828=""),"",IF(OR(B2828="",NOT(ISNUMBER(B2828)),C2828="",C2828="Fora dos ciclos"),"",IF(C2828="C0","Nao",IF(IFERROR(INDEX(parametros!$A$2:$A$6,MATCH(C2828,parametros!$B$2:$B$6,0)),"")&lt;&gt;"Sim","Nao",IF(IFERROR(INDEX(parametros!$H$2:$H$6,MATCH(C2828,parametros!$B$2:$B$6,0)),"")="","",IF(B2828&gt;=IFERROR(INDEX(parametros!$H$2:$H$6,MATCH(C2828,parametros!$B$2:$B$6,0)),""),"Sim","Nao"))))))</f>
        <v/>
      </c>
      <c r="T2828" s="156"/>
      <c r="U2828" s="214" t="str">
        <f t="shared" si="226"/>
        <v/>
      </c>
      <c r="V2828" s="212" t="s">
        <v>50</v>
      </c>
      <c r="W2828" s="100" t="s">
        <v>168</v>
      </c>
      <c r="X2828" s="100" t="s">
        <v>169</v>
      </c>
      <c r="Y2828" s="101" t="s">
        <v>170</v>
      </c>
      <c r="Z2828" s="101" t="s">
        <v>171</v>
      </c>
      <c r="AA2828" s="101" t="s">
        <v>50</v>
      </c>
      <c r="AB2828" s="101" t="s">
        <v>172</v>
      </c>
      <c r="AC2828" s="102" t="s">
        <v>173</v>
      </c>
    </row>
    <row r="2829" spans="1:29" ht="25.5" customHeight="1" x14ac:dyDescent="0.35">
      <c r="A2829" s="392"/>
      <c r="B2829" s="393"/>
      <c r="C2829" s="99" t="str">
        <f>IF(B2829="","",IF(NOT(ISNUMBER(B2829)),"DATA_PC invalida",IF(NOT(ISNUMBER(parametros!$C$2)),"Fora dos ciclos",IF(OR(B2829&lt;parametros!$C$2,(YEAR(B2829)-YEAR(parametros!$C$2))*12+MONTH(B2829)-MONTH(parametros!$C$2)&gt;59),"Fora dos ciclos","C"&amp;INT(((YEAR(B2829)-YEAR(parametros!$C$2))*12+MONTH(B2829)-MONTH(parametros!$C$2))/12)))))</f>
        <v/>
      </c>
      <c r="D2829" s="394"/>
      <c r="E2829" s="78" t="str">
        <f>IF(C2829="","",IFERROR(VLOOKUP(C2829,parametros!$A$11:$E$15,5,0),""))</f>
        <v/>
      </c>
      <c r="F2829" s="79" t="str">
        <f t="shared" si="222"/>
        <v/>
      </c>
      <c r="G2829" s="395"/>
      <c r="H2829" s="91">
        <f t="shared" si="223"/>
        <v>0</v>
      </c>
      <c r="I2829" s="91" t="str">
        <f t="shared" si="224"/>
        <v/>
      </c>
      <c r="J2829" s="91" t="str">
        <f t="shared" si="225"/>
        <v/>
      </c>
      <c r="K2829" s="92" t="str">
        <f>IF(AND(A2829="",B2829="",D2829="",G2829=""),"",IF(AND(A2829&lt;&gt;"",COUNTIF($A$2:$A$5001,A2829)&gt;1),"NUMERO_PC duplicado",IF(B2829="","DATA_PC vazia",IF(NOT(ISNUMBER(B2829)),"DATA_PC invalida",IF(OR(C2829="",C2829="Fora dos ciclos"),"CICLO_PC nao identificado",IF(OR(D2829="",D2829=0),"VALOR_PC vazio ou zero",IF(AND(G2829&lt;&gt;"Sim",G2829&lt;&gt;"Nao",G2829&lt;&gt;""),"PC_PAGO_A_CONTRATADA invalido",IF(AND(C2829&lt;&gt;"C0",IFERROR(INDEX(parametros!$A$2:$A$6,MATCH(C2829,parametros!$B$2:$B$6,0)),"")="Sim",IFERROR(INDEX(parametros!$H$2:$H$6,MATCH(C2829,parametros!$B$2:$B$6,0)),"")=""),"INICIO_EFEITO ausente: PC "&amp;A2829&amp;" - "&amp;C2829,IF(L2829="","EFEITO_PC nao calculado: PC "&amp;A2829&amp;" - "&amp;C2829,"OK")))))))))</f>
        <v/>
      </c>
      <c r="L2829" s="92" t="str">
        <f>IF(AND(A2829="",B2829="",D2829="",G2829=""),"",IF(OR(B2829="",NOT(ISNUMBER(B2829)),C2829="",C2829="Fora dos ciclos"),"",IF(C2829="C0","Nao",IF(IFERROR(INDEX(parametros!$A$2:$A$6,MATCH(C2829,parametros!$B$2:$B$6,0)),"")&lt;&gt;"Sim","Nao",IF(IFERROR(INDEX(parametros!$H$2:$H$6,MATCH(C2829,parametros!$B$2:$B$6,0)),"")="","",IF(B2829&gt;=IFERROR(INDEX(parametros!$H$2:$H$6,MATCH(C2829,parametros!$B$2:$B$6,0)),""),"Sim","Nao"))))))</f>
        <v/>
      </c>
      <c r="T2829" s="156"/>
      <c r="U2829" s="214" t="str">
        <f t="shared" si="226"/>
        <v/>
      </c>
      <c r="V2829" s="212" t="s">
        <v>50</v>
      </c>
      <c r="W2829" s="100" t="s">
        <v>168</v>
      </c>
      <c r="X2829" s="100" t="s">
        <v>169</v>
      </c>
      <c r="Y2829" s="101" t="s">
        <v>170</v>
      </c>
      <c r="Z2829" s="101" t="s">
        <v>171</v>
      </c>
      <c r="AA2829" s="101" t="s">
        <v>50</v>
      </c>
      <c r="AB2829" s="101" t="s">
        <v>172</v>
      </c>
      <c r="AC2829" s="102" t="s">
        <v>173</v>
      </c>
    </row>
    <row r="2830" spans="1:29" ht="25.5" customHeight="1" x14ac:dyDescent="0.35">
      <c r="A2830" s="392"/>
      <c r="B2830" s="393"/>
      <c r="C2830" s="99" t="str">
        <f>IF(B2830="","",IF(NOT(ISNUMBER(B2830)),"DATA_PC invalida",IF(NOT(ISNUMBER(parametros!$C$2)),"Fora dos ciclos",IF(OR(B2830&lt;parametros!$C$2,(YEAR(B2830)-YEAR(parametros!$C$2))*12+MONTH(B2830)-MONTH(parametros!$C$2)&gt;59),"Fora dos ciclos","C"&amp;INT(((YEAR(B2830)-YEAR(parametros!$C$2))*12+MONTH(B2830)-MONTH(parametros!$C$2))/12)))))</f>
        <v/>
      </c>
      <c r="D2830" s="394"/>
      <c r="E2830" s="78" t="str">
        <f>IF(C2830="","",IFERROR(VLOOKUP(C2830,parametros!$A$11:$E$15,5,0),""))</f>
        <v/>
      </c>
      <c r="F2830" s="79" t="str">
        <f t="shared" si="222"/>
        <v/>
      </c>
      <c r="G2830" s="395"/>
      <c r="H2830" s="91">
        <f t="shared" si="223"/>
        <v>0</v>
      </c>
      <c r="I2830" s="91" t="str">
        <f t="shared" si="224"/>
        <v/>
      </c>
      <c r="J2830" s="91" t="str">
        <f t="shared" si="225"/>
        <v/>
      </c>
      <c r="K2830" s="92" t="str">
        <f>IF(AND(A2830="",B2830="",D2830="",G2830=""),"",IF(AND(A2830&lt;&gt;"",COUNTIF($A$2:$A$5001,A2830)&gt;1),"NUMERO_PC duplicado",IF(B2830="","DATA_PC vazia",IF(NOT(ISNUMBER(B2830)),"DATA_PC invalida",IF(OR(C2830="",C2830="Fora dos ciclos"),"CICLO_PC nao identificado",IF(OR(D2830="",D2830=0),"VALOR_PC vazio ou zero",IF(AND(G2830&lt;&gt;"Sim",G2830&lt;&gt;"Nao",G2830&lt;&gt;""),"PC_PAGO_A_CONTRATADA invalido",IF(AND(C2830&lt;&gt;"C0",IFERROR(INDEX(parametros!$A$2:$A$6,MATCH(C2830,parametros!$B$2:$B$6,0)),"")="Sim",IFERROR(INDEX(parametros!$H$2:$H$6,MATCH(C2830,parametros!$B$2:$B$6,0)),"")=""),"INICIO_EFEITO ausente: PC "&amp;A2830&amp;" - "&amp;C2830,IF(L2830="","EFEITO_PC nao calculado: PC "&amp;A2830&amp;" - "&amp;C2830,"OK")))))))))</f>
        <v/>
      </c>
      <c r="L2830" s="92" t="str">
        <f>IF(AND(A2830="",B2830="",D2830="",G2830=""),"",IF(OR(B2830="",NOT(ISNUMBER(B2830)),C2830="",C2830="Fora dos ciclos"),"",IF(C2830="C0","Nao",IF(IFERROR(INDEX(parametros!$A$2:$A$6,MATCH(C2830,parametros!$B$2:$B$6,0)),"")&lt;&gt;"Sim","Nao",IF(IFERROR(INDEX(parametros!$H$2:$H$6,MATCH(C2830,parametros!$B$2:$B$6,0)),"")="","",IF(B2830&gt;=IFERROR(INDEX(parametros!$H$2:$H$6,MATCH(C2830,parametros!$B$2:$B$6,0)),""),"Sim","Nao"))))))</f>
        <v/>
      </c>
      <c r="T2830" s="156"/>
      <c r="U2830" s="214" t="str">
        <f t="shared" si="226"/>
        <v/>
      </c>
      <c r="V2830" s="212" t="s">
        <v>50</v>
      </c>
      <c r="W2830" s="100" t="s">
        <v>168</v>
      </c>
      <c r="X2830" s="100" t="s">
        <v>169</v>
      </c>
      <c r="Y2830" s="101" t="s">
        <v>170</v>
      </c>
      <c r="Z2830" s="101" t="s">
        <v>171</v>
      </c>
      <c r="AA2830" s="101" t="s">
        <v>50</v>
      </c>
      <c r="AB2830" s="101" t="s">
        <v>172</v>
      </c>
      <c r="AC2830" s="102" t="s">
        <v>173</v>
      </c>
    </row>
    <row r="2831" spans="1:29" ht="25.5" customHeight="1" x14ac:dyDescent="0.35">
      <c r="A2831" s="392"/>
      <c r="B2831" s="393"/>
      <c r="C2831" s="99" t="str">
        <f>IF(B2831="","",IF(NOT(ISNUMBER(B2831)),"DATA_PC invalida",IF(NOT(ISNUMBER(parametros!$C$2)),"Fora dos ciclos",IF(OR(B2831&lt;parametros!$C$2,(YEAR(B2831)-YEAR(parametros!$C$2))*12+MONTH(B2831)-MONTH(parametros!$C$2)&gt;59),"Fora dos ciclos","C"&amp;INT(((YEAR(B2831)-YEAR(parametros!$C$2))*12+MONTH(B2831)-MONTH(parametros!$C$2))/12)))))</f>
        <v/>
      </c>
      <c r="D2831" s="394"/>
      <c r="E2831" s="78" t="str">
        <f>IF(C2831="","",IFERROR(VLOOKUP(C2831,parametros!$A$11:$E$15,5,0),""))</f>
        <v/>
      </c>
      <c r="F2831" s="79" t="str">
        <f t="shared" si="222"/>
        <v/>
      </c>
      <c r="G2831" s="395"/>
      <c r="H2831" s="91">
        <f t="shared" si="223"/>
        <v>0</v>
      </c>
      <c r="I2831" s="91" t="str">
        <f t="shared" si="224"/>
        <v/>
      </c>
      <c r="J2831" s="91" t="str">
        <f t="shared" si="225"/>
        <v/>
      </c>
      <c r="K2831" s="92" t="str">
        <f>IF(AND(A2831="",B2831="",D2831="",G2831=""),"",IF(AND(A2831&lt;&gt;"",COUNTIF($A$2:$A$5001,A2831)&gt;1),"NUMERO_PC duplicado",IF(B2831="","DATA_PC vazia",IF(NOT(ISNUMBER(B2831)),"DATA_PC invalida",IF(OR(C2831="",C2831="Fora dos ciclos"),"CICLO_PC nao identificado",IF(OR(D2831="",D2831=0),"VALOR_PC vazio ou zero",IF(AND(G2831&lt;&gt;"Sim",G2831&lt;&gt;"Nao",G2831&lt;&gt;""),"PC_PAGO_A_CONTRATADA invalido",IF(AND(C2831&lt;&gt;"C0",IFERROR(INDEX(parametros!$A$2:$A$6,MATCH(C2831,parametros!$B$2:$B$6,0)),"")="Sim",IFERROR(INDEX(parametros!$H$2:$H$6,MATCH(C2831,parametros!$B$2:$B$6,0)),"")=""),"INICIO_EFEITO ausente: PC "&amp;A2831&amp;" - "&amp;C2831,IF(L2831="","EFEITO_PC nao calculado: PC "&amp;A2831&amp;" - "&amp;C2831,"OK")))))))))</f>
        <v/>
      </c>
      <c r="L2831" s="92" t="str">
        <f>IF(AND(A2831="",B2831="",D2831="",G2831=""),"",IF(OR(B2831="",NOT(ISNUMBER(B2831)),C2831="",C2831="Fora dos ciclos"),"",IF(C2831="C0","Nao",IF(IFERROR(INDEX(parametros!$A$2:$A$6,MATCH(C2831,parametros!$B$2:$B$6,0)),"")&lt;&gt;"Sim","Nao",IF(IFERROR(INDEX(parametros!$H$2:$H$6,MATCH(C2831,parametros!$B$2:$B$6,0)),"")="","",IF(B2831&gt;=IFERROR(INDEX(parametros!$H$2:$H$6,MATCH(C2831,parametros!$B$2:$B$6,0)),""),"Sim","Nao"))))))</f>
        <v/>
      </c>
      <c r="T2831" s="156"/>
      <c r="U2831" s="214" t="str">
        <f t="shared" si="226"/>
        <v/>
      </c>
      <c r="V2831" s="212" t="s">
        <v>50</v>
      </c>
      <c r="W2831" s="100" t="s">
        <v>168</v>
      </c>
      <c r="X2831" s="100" t="s">
        <v>169</v>
      </c>
      <c r="Y2831" s="101" t="s">
        <v>170</v>
      </c>
      <c r="Z2831" s="101" t="s">
        <v>171</v>
      </c>
      <c r="AA2831" s="101" t="s">
        <v>50</v>
      </c>
      <c r="AB2831" s="101" t="s">
        <v>172</v>
      </c>
      <c r="AC2831" s="102" t="s">
        <v>173</v>
      </c>
    </row>
    <row r="2832" spans="1:29" ht="25.5" customHeight="1" x14ac:dyDescent="0.35">
      <c r="A2832" s="392"/>
      <c r="B2832" s="393"/>
      <c r="C2832" s="99" t="str">
        <f>IF(B2832="","",IF(NOT(ISNUMBER(B2832)),"DATA_PC invalida",IF(NOT(ISNUMBER(parametros!$C$2)),"Fora dos ciclos",IF(OR(B2832&lt;parametros!$C$2,(YEAR(B2832)-YEAR(parametros!$C$2))*12+MONTH(B2832)-MONTH(parametros!$C$2)&gt;59),"Fora dos ciclos","C"&amp;INT(((YEAR(B2832)-YEAR(parametros!$C$2))*12+MONTH(B2832)-MONTH(parametros!$C$2))/12)))))</f>
        <v/>
      </c>
      <c r="D2832" s="394"/>
      <c r="E2832" s="78" t="str">
        <f>IF(C2832="","",IFERROR(VLOOKUP(C2832,parametros!$A$11:$E$15,5,0),""))</f>
        <v/>
      </c>
      <c r="F2832" s="79" t="str">
        <f t="shared" si="222"/>
        <v/>
      </c>
      <c r="G2832" s="395"/>
      <c r="H2832" s="91">
        <f t="shared" si="223"/>
        <v>0</v>
      </c>
      <c r="I2832" s="91" t="str">
        <f t="shared" si="224"/>
        <v/>
      </c>
      <c r="J2832" s="91" t="str">
        <f t="shared" si="225"/>
        <v/>
      </c>
      <c r="K2832" s="92" t="str">
        <f>IF(AND(A2832="",B2832="",D2832="",G2832=""),"",IF(AND(A2832&lt;&gt;"",COUNTIF($A$2:$A$5001,A2832)&gt;1),"NUMERO_PC duplicado",IF(B2832="","DATA_PC vazia",IF(NOT(ISNUMBER(B2832)),"DATA_PC invalida",IF(OR(C2832="",C2832="Fora dos ciclos"),"CICLO_PC nao identificado",IF(OR(D2832="",D2832=0),"VALOR_PC vazio ou zero",IF(AND(G2832&lt;&gt;"Sim",G2832&lt;&gt;"Nao",G2832&lt;&gt;""),"PC_PAGO_A_CONTRATADA invalido",IF(AND(C2832&lt;&gt;"C0",IFERROR(INDEX(parametros!$A$2:$A$6,MATCH(C2832,parametros!$B$2:$B$6,0)),"")="Sim",IFERROR(INDEX(parametros!$H$2:$H$6,MATCH(C2832,parametros!$B$2:$B$6,0)),"")=""),"INICIO_EFEITO ausente: PC "&amp;A2832&amp;" - "&amp;C2832,IF(L2832="","EFEITO_PC nao calculado: PC "&amp;A2832&amp;" - "&amp;C2832,"OK")))))))))</f>
        <v/>
      </c>
      <c r="L2832" s="92" t="str">
        <f>IF(AND(A2832="",B2832="",D2832="",G2832=""),"",IF(OR(B2832="",NOT(ISNUMBER(B2832)),C2832="",C2832="Fora dos ciclos"),"",IF(C2832="C0","Nao",IF(IFERROR(INDEX(parametros!$A$2:$A$6,MATCH(C2832,parametros!$B$2:$B$6,0)),"")&lt;&gt;"Sim","Nao",IF(IFERROR(INDEX(parametros!$H$2:$H$6,MATCH(C2832,parametros!$B$2:$B$6,0)),"")="","",IF(B2832&gt;=IFERROR(INDEX(parametros!$H$2:$H$6,MATCH(C2832,parametros!$B$2:$B$6,0)),""),"Sim","Nao"))))))</f>
        <v/>
      </c>
      <c r="T2832" s="156"/>
      <c r="U2832" s="214" t="str">
        <f t="shared" si="226"/>
        <v/>
      </c>
      <c r="V2832" s="212" t="s">
        <v>50</v>
      </c>
      <c r="W2832" s="100" t="s">
        <v>168</v>
      </c>
      <c r="X2832" s="100" t="s">
        <v>169</v>
      </c>
      <c r="Y2832" s="101" t="s">
        <v>170</v>
      </c>
      <c r="Z2832" s="101" t="s">
        <v>171</v>
      </c>
      <c r="AA2832" s="101" t="s">
        <v>50</v>
      </c>
      <c r="AB2832" s="101" t="s">
        <v>172</v>
      </c>
      <c r="AC2832" s="102" t="s">
        <v>173</v>
      </c>
    </row>
    <row r="2833" spans="1:29" ht="25.5" customHeight="1" x14ac:dyDescent="0.35">
      <c r="A2833" s="392"/>
      <c r="B2833" s="393"/>
      <c r="C2833" s="99" t="str">
        <f>IF(B2833="","",IF(NOT(ISNUMBER(B2833)),"DATA_PC invalida",IF(NOT(ISNUMBER(parametros!$C$2)),"Fora dos ciclos",IF(OR(B2833&lt;parametros!$C$2,(YEAR(B2833)-YEAR(parametros!$C$2))*12+MONTH(B2833)-MONTH(parametros!$C$2)&gt;59),"Fora dos ciclos","C"&amp;INT(((YEAR(B2833)-YEAR(parametros!$C$2))*12+MONTH(B2833)-MONTH(parametros!$C$2))/12)))))</f>
        <v/>
      </c>
      <c r="D2833" s="394"/>
      <c r="E2833" s="78" t="str">
        <f>IF(C2833="","",IFERROR(VLOOKUP(C2833,parametros!$A$11:$E$15,5,0),""))</f>
        <v/>
      </c>
      <c r="F2833" s="79" t="str">
        <f t="shared" si="222"/>
        <v/>
      </c>
      <c r="G2833" s="395"/>
      <c r="H2833" s="91">
        <f t="shared" si="223"/>
        <v>0</v>
      </c>
      <c r="I2833" s="91" t="str">
        <f t="shared" si="224"/>
        <v/>
      </c>
      <c r="J2833" s="91" t="str">
        <f t="shared" si="225"/>
        <v/>
      </c>
      <c r="K2833" s="92" t="str">
        <f>IF(AND(A2833="",B2833="",D2833="",G2833=""),"",IF(AND(A2833&lt;&gt;"",COUNTIF($A$2:$A$5001,A2833)&gt;1),"NUMERO_PC duplicado",IF(B2833="","DATA_PC vazia",IF(NOT(ISNUMBER(B2833)),"DATA_PC invalida",IF(OR(C2833="",C2833="Fora dos ciclos"),"CICLO_PC nao identificado",IF(OR(D2833="",D2833=0),"VALOR_PC vazio ou zero",IF(AND(G2833&lt;&gt;"Sim",G2833&lt;&gt;"Nao",G2833&lt;&gt;""),"PC_PAGO_A_CONTRATADA invalido",IF(AND(C2833&lt;&gt;"C0",IFERROR(INDEX(parametros!$A$2:$A$6,MATCH(C2833,parametros!$B$2:$B$6,0)),"")="Sim",IFERROR(INDEX(parametros!$H$2:$H$6,MATCH(C2833,parametros!$B$2:$B$6,0)),"")=""),"INICIO_EFEITO ausente: PC "&amp;A2833&amp;" - "&amp;C2833,IF(L2833="","EFEITO_PC nao calculado: PC "&amp;A2833&amp;" - "&amp;C2833,"OK")))))))))</f>
        <v/>
      </c>
      <c r="L2833" s="92" t="str">
        <f>IF(AND(A2833="",B2833="",D2833="",G2833=""),"",IF(OR(B2833="",NOT(ISNUMBER(B2833)),C2833="",C2833="Fora dos ciclos"),"",IF(C2833="C0","Nao",IF(IFERROR(INDEX(parametros!$A$2:$A$6,MATCH(C2833,parametros!$B$2:$B$6,0)),"")&lt;&gt;"Sim","Nao",IF(IFERROR(INDEX(parametros!$H$2:$H$6,MATCH(C2833,parametros!$B$2:$B$6,0)),"")="","",IF(B2833&gt;=IFERROR(INDEX(parametros!$H$2:$H$6,MATCH(C2833,parametros!$B$2:$B$6,0)),""),"Sim","Nao"))))))</f>
        <v/>
      </c>
      <c r="T2833" s="156"/>
      <c r="U2833" s="214" t="str">
        <f t="shared" si="226"/>
        <v/>
      </c>
      <c r="V2833" s="212" t="s">
        <v>50</v>
      </c>
      <c r="W2833" s="100" t="s">
        <v>168</v>
      </c>
      <c r="X2833" s="100" t="s">
        <v>169</v>
      </c>
      <c r="Y2833" s="101" t="s">
        <v>170</v>
      </c>
      <c r="Z2833" s="101" t="s">
        <v>171</v>
      </c>
      <c r="AA2833" s="101" t="s">
        <v>50</v>
      </c>
      <c r="AB2833" s="101" t="s">
        <v>172</v>
      </c>
      <c r="AC2833" s="102" t="s">
        <v>173</v>
      </c>
    </row>
    <row r="2834" spans="1:29" ht="25.5" customHeight="1" x14ac:dyDescent="0.35">
      <c r="A2834" s="392"/>
      <c r="B2834" s="393"/>
      <c r="C2834" s="99" t="str">
        <f>IF(B2834="","",IF(NOT(ISNUMBER(B2834)),"DATA_PC invalida",IF(NOT(ISNUMBER(parametros!$C$2)),"Fora dos ciclos",IF(OR(B2834&lt;parametros!$C$2,(YEAR(B2834)-YEAR(parametros!$C$2))*12+MONTH(B2834)-MONTH(parametros!$C$2)&gt;59),"Fora dos ciclos","C"&amp;INT(((YEAR(B2834)-YEAR(parametros!$C$2))*12+MONTH(B2834)-MONTH(parametros!$C$2))/12)))))</f>
        <v/>
      </c>
      <c r="D2834" s="394"/>
      <c r="E2834" s="78" t="str">
        <f>IF(C2834="","",IFERROR(VLOOKUP(C2834,parametros!$A$11:$E$15,5,0),""))</f>
        <v/>
      </c>
      <c r="F2834" s="79" t="str">
        <f t="shared" si="222"/>
        <v/>
      </c>
      <c r="G2834" s="395"/>
      <c r="H2834" s="91">
        <f t="shared" si="223"/>
        <v>0</v>
      </c>
      <c r="I2834" s="91" t="str">
        <f t="shared" si="224"/>
        <v/>
      </c>
      <c r="J2834" s="91" t="str">
        <f t="shared" si="225"/>
        <v/>
      </c>
      <c r="K2834" s="92" t="str">
        <f>IF(AND(A2834="",B2834="",D2834="",G2834=""),"",IF(AND(A2834&lt;&gt;"",COUNTIF($A$2:$A$5001,A2834)&gt;1),"NUMERO_PC duplicado",IF(B2834="","DATA_PC vazia",IF(NOT(ISNUMBER(B2834)),"DATA_PC invalida",IF(OR(C2834="",C2834="Fora dos ciclos"),"CICLO_PC nao identificado",IF(OR(D2834="",D2834=0),"VALOR_PC vazio ou zero",IF(AND(G2834&lt;&gt;"Sim",G2834&lt;&gt;"Nao",G2834&lt;&gt;""),"PC_PAGO_A_CONTRATADA invalido",IF(AND(C2834&lt;&gt;"C0",IFERROR(INDEX(parametros!$A$2:$A$6,MATCH(C2834,parametros!$B$2:$B$6,0)),"")="Sim",IFERROR(INDEX(parametros!$H$2:$H$6,MATCH(C2834,parametros!$B$2:$B$6,0)),"")=""),"INICIO_EFEITO ausente: PC "&amp;A2834&amp;" - "&amp;C2834,IF(L2834="","EFEITO_PC nao calculado: PC "&amp;A2834&amp;" - "&amp;C2834,"OK")))))))))</f>
        <v/>
      </c>
      <c r="L2834" s="92" t="str">
        <f>IF(AND(A2834="",B2834="",D2834="",G2834=""),"",IF(OR(B2834="",NOT(ISNUMBER(B2834)),C2834="",C2834="Fora dos ciclos"),"",IF(C2834="C0","Nao",IF(IFERROR(INDEX(parametros!$A$2:$A$6,MATCH(C2834,parametros!$B$2:$B$6,0)),"")&lt;&gt;"Sim","Nao",IF(IFERROR(INDEX(parametros!$H$2:$H$6,MATCH(C2834,parametros!$B$2:$B$6,0)),"")="","",IF(B2834&gt;=IFERROR(INDEX(parametros!$H$2:$H$6,MATCH(C2834,parametros!$B$2:$B$6,0)),""),"Sim","Nao"))))))</f>
        <v/>
      </c>
      <c r="T2834" s="156"/>
      <c r="U2834" s="214" t="str">
        <f t="shared" si="226"/>
        <v/>
      </c>
      <c r="V2834" s="212" t="s">
        <v>50</v>
      </c>
      <c r="W2834" s="100" t="s">
        <v>168</v>
      </c>
      <c r="X2834" s="100" t="s">
        <v>169</v>
      </c>
      <c r="Y2834" s="101" t="s">
        <v>170</v>
      </c>
      <c r="Z2834" s="101" t="s">
        <v>171</v>
      </c>
      <c r="AA2834" s="101" t="s">
        <v>50</v>
      </c>
      <c r="AB2834" s="101" t="s">
        <v>172</v>
      </c>
      <c r="AC2834" s="102" t="s">
        <v>173</v>
      </c>
    </row>
    <row r="2835" spans="1:29" ht="25.5" customHeight="1" x14ac:dyDescent="0.35">
      <c r="A2835" s="392"/>
      <c r="B2835" s="393"/>
      <c r="C2835" s="99" t="str">
        <f>IF(B2835="","",IF(NOT(ISNUMBER(B2835)),"DATA_PC invalida",IF(NOT(ISNUMBER(parametros!$C$2)),"Fora dos ciclos",IF(OR(B2835&lt;parametros!$C$2,(YEAR(B2835)-YEAR(parametros!$C$2))*12+MONTH(B2835)-MONTH(parametros!$C$2)&gt;59),"Fora dos ciclos","C"&amp;INT(((YEAR(B2835)-YEAR(parametros!$C$2))*12+MONTH(B2835)-MONTH(parametros!$C$2))/12)))))</f>
        <v/>
      </c>
      <c r="D2835" s="394"/>
      <c r="E2835" s="78" t="str">
        <f>IF(C2835="","",IFERROR(VLOOKUP(C2835,parametros!$A$11:$E$15,5,0),""))</f>
        <v/>
      </c>
      <c r="F2835" s="79" t="str">
        <f t="shared" si="222"/>
        <v/>
      </c>
      <c r="G2835" s="395"/>
      <c r="H2835" s="91">
        <f t="shared" si="223"/>
        <v>0</v>
      </c>
      <c r="I2835" s="91" t="str">
        <f t="shared" si="224"/>
        <v/>
      </c>
      <c r="J2835" s="91" t="str">
        <f t="shared" si="225"/>
        <v/>
      </c>
      <c r="K2835" s="92" t="str">
        <f>IF(AND(A2835="",B2835="",D2835="",G2835=""),"",IF(AND(A2835&lt;&gt;"",COUNTIF($A$2:$A$5001,A2835)&gt;1),"NUMERO_PC duplicado",IF(B2835="","DATA_PC vazia",IF(NOT(ISNUMBER(B2835)),"DATA_PC invalida",IF(OR(C2835="",C2835="Fora dos ciclos"),"CICLO_PC nao identificado",IF(OR(D2835="",D2835=0),"VALOR_PC vazio ou zero",IF(AND(G2835&lt;&gt;"Sim",G2835&lt;&gt;"Nao",G2835&lt;&gt;""),"PC_PAGO_A_CONTRATADA invalido",IF(AND(C2835&lt;&gt;"C0",IFERROR(INDEX(parametros!$A$2:$A$6,MATCH(C2835,parametros!$B$2:$B$6,0)),"")="Sim",IFERROR(INDEX(parametros!$H$2:$H$6,MATCH(C2835,parametros!$B$2:$B$6,0)),"")=""),"INICIO_EFEITO ausente: PC "&amp;A2835&amp;" - "&amp;C2835,IF(L2835="","EFEITO_PC nao calculado: PC "&amp;A2835&amp;" - "&amp;C2835,"OK")))))))))</f>
        <v/>
      </c>
      <c r="L2835" s="92" t="str">
        <f>IF(AND(A2835="",B2835="",D2835="",G2835=""),"",IF(OR(B2835="",NOT(ISNUMBER(B2835)),C2835="",C2835="Fora dos ciclos"),"",IF(C2835="C0","Nao",IF(IFERROR(INDEX(parametros!$A$2:$A$6,MATCH(C2835,parametros!$B$2:$B$6,0)),"")&lt;&gt;"Sim","Nao",IF(IFERROR(INDEX(parametros!$H$2:$H$6,MATCH(C2835,parametros!$B$2:$B$6,0)),"")="","",IF(B2835&gt;=IFERROR(INDEX(parametros!$H$2:$H$6,MATCH(C2835,parametros!$B$2:$B$6,0)),""),"Sim","Nao"))))))</f>
        <v/>
      </c>
      <c r="T2835" s="156"/>
      <c r="U2835" s="214" t="str">
        <f t="shared" si="226"/>
        <v/>
      </c>
      <c r="V2835" s="212" t="s">
        <v>50</v>
      </c>
      <c r="W2835" s="100" t="s">
        <v>168</v>
      </c>
      <c r="X2835" s="100" t="s">
        <v>169</v>
      </c>
      <c r="Y2835" s="101" t="s">
        <v>170</v>
      </c>
      <c r="Z2835" s="101" t="s">
        <v>171</v>
      </c>
      <c r="AA2835" s="101" t="s">
        <v>50</v>
      </c>
      <c r="AB2835" s="101" t="s">
        <v>172</v>
      </c>
      <c r="AC2835" s="102" t="s">
        <v>173</v>
      </c>
    </row>
    <row r="2836" spans="1:29" ht="25.5" customHeight="1" x14ac:dyDescent="0.35">
      <c r="A2836" s="392"/>
      <c r="B2836" s="393"/>
      <c r="C2836" s="99" t="str">
        <f>IF(B2836="","",IF(NOT(ISNUMBER(B2836)),"DATA_PC invalida",IF(NOT(ISNUMBER(parametros!$C$2)),"Fora dos ciclos",IF(OR(B2836&lt;parametros!$C$2,(YEAR(B2836)-YEAR(parametros!$C$2))*12+MONTH(B2836)-MONTH(parametros!$C$2)&gt;59),"Fora dos ciclos","C"&amp;INT(((YEAR(B2836)-YEAR(parametros!$C$2))*12+MONTH(B2836)-MONTH(parametros!$C$2))/12)))))</f>
        <v/>
      </c>
      <c r="D2836" s="394"/>
      <c r="E2836" s="78" t="str">
        <f>IF(C2836="","",IFERROR(VLOOKUP(C2836,parametros!$A$11:$E$15,5,0),""))</f>
        <v/>
      </c>
      <c r="F2836" s="79" t="str">
        <f t="shared" si="222"/>
        <v/>
      </c>
      <c r="G2836" s="395"/>
      <c r="H2836" s="91">
        <f t="shared" si="223"/>
        <v>0</v>
      </c>
      <c r="I2836" s="91" t="str">
        <f t="shared" si="224"/>
        <v/>
      </c>
      <c r="J2836" s="91" t="str">
        <f t="shared" si="225"/>
        <v/>
      </c>
      <c r="K2836" s="92" t="str">
        <f>IF(AND(A2836="",B2836="",D2836="",G2836=""),"",IF(AND(A2836&lt;&gt;"",COUNTIF($A$2:$A$5001,A2836)&gt;1),"NUMERO_PC duplicado",IF(B2836="","DATA_PC vazia",IF(NOT(ISNUMBER(B2836)),"DATA_PC invalida",IF(OR(C2836="",C2836="Fora dos ciclos"),"CICLO_PC nao identificado",IF(OR(D2836="",D2836=0),"VALOR_PC vazio ou zero",IF(AND(G2836&lt;&gt;"Sim",G2836&lt;&gt;"Nao",G2836&lt;&gt;""),"PC_PAGO_A_CONTRATADA invalido",IF(AND(C2836&lt;&gt;"C0",IFERROR(INDEX(parametros!$A$2:$A$6,MATCH(C2836,parametros!$B$2:$B$6,0)),"")="Sim",IFERROR(INDEX(parametros!$H$2:$H$6,MATCH(C2836,parametros!$B$2:$B$6,0)),"")=""),"INICIO_EFEITO ausente: PC "&amp;A2836&amp;" - "&amp;C2836,IF(L2836="","EFEITO_PC nao calculado: PC "&amp;A2836&amp;" - "&amp;C2836,"OK")))))))))</f>
        <v/>
      </c>
      <c r="L2836" s="92" t="str">
        <f>IF(AND(A2836="",B2836="",D2836="",G2836=""),"",IF(OR(B2836="",NOT(ISNUMBER(B2836)),C2836="",C2836="Fora dos ciclos"),"",IF(C2836="C0","Nao",IF(IFERROR(INDEX(parametros!$A$2:$A$6,MATCH(C2836,parametros!$B$2:$B$6,0)),"")&lt;&gt;"Sim","Nao",IF(IFERROR(INDEX(parametros!$H$2:$H$6,MATCH(C2836,parametros!$B$2:$B$6,0)),"")="","",IF(B2836&gt;=IFERROR(INDEX(parametros!$H$2:$H$6,MATCH(C2836,parametros!$B$2:$B$6,0)),""),"Sim","Nao"))))))</f>
        <v/>
      </c>
      <c r="T2836" s="156"/>
      <c r="U2836" s="214" t="str">
        <f t="shared" si="226"/>
        <v/>
      </c>
      <c r="V2836" s="212" t="s">
        <v>50</v>
      </c>
      <c r="W2836" s="100" t="s">
        <v>168</v>
      </c>
      <c r="X2836" s="100" t="s">
        <v>169</v>
      </c>
      <c r="Y2836" s="101" t="s">
        <v>170</v>
      </c>
      <c r="Z2836" s="101" t="s">
        <v>171</v>
      </c>
      <c r="AA2836" s="101" t="s">
        <v>50</v>
      </c>
      <c r="AB2836" s="101" t="s">
        <v>172</v>
      </c>
      <c r="AC2836" s="102" t="s">
        <v>173</v>
      </c>
    </row>
    <row r="2837" spans="1:29" ht="25.5" customHeight="1" x14ac:dyDescent="0.35">
      <c r="A2837" s="392"/>
      <c r="B2837" s="393"/>
      <c r="C2837" s="99" t="str">
        <f>IF(B2837="","",IF(NOT(ISNUMBER(B2837)),"DATA_PC invalida",IF(NOT(ISNUMBER(parametros!$C$2)),"Fora dos ciclos",IF(OR(B2837&lt;parametros!$C$2,(YEAR(B2837)-YEAR(parametros!$C$2))*12+MONTH(B2837)-MONTH(parametros!$C$2)&gt;59),"Fora dos ciclos","C"&amp;INT(((YEAR(B2837)-YEAR(parametros!$C$2))*12+MONTH(B2837)-MONTH(parametros!$C$2))/12)))))</f>
        <v/>
      </c>
      <c r="D2837" s="394"/>
      <c r="E2837" s="78" t="str">
        <f>IF(C2837="","",IFERROR(VLOOKUP(C2837,parametros!$A$11:$E$15,5,0),""))</f>
        <v/>
      </c>
      <c r="F2837" s="79" t="str">
        <f t="shared" si="222"/>
        <v/>
      </c>
      <c r="G2837" s="395"/>
      <c r="H2837" s="91">
        <f t="shared" si="223"/>
        <v>0</v>
      </c>
      <c r="I2837" s="91" t="str">
        <f t="shared" si="224"/>
        <v/>
      </c>
      <c r="J2837" s="91" t="str">
        <f t="shared" si="225"/>
        <v/>
      </c>
      <c r="K2837" s="92" t="str">
        <f>IF(AND(A2837="",B2837="",D2837="",G2837=""),"",IF(AND(A2837&lt;&gt;"",COUNTIF($A$2:$A$5001,A2837)&gt;1),"NUMERO_PC duplicado",IF(B2837="","DATA_PC vazia",IF(NOT(ISNUMBER(B2837)),"DATA_PC invalida",IF(OR(C2837="",C2837="Fora dos ciclos"),"CICLO_PC nao identificado",IF(OR(D2837="",D2837=0),"VALOR_PC vazio ou zero",IF(AND(G2837&lt;&gt;"Sim",G2837&lt;&gt;"Nao",G2837&lt;&gt;""),"PC_PAGO_A_CONTRATADA invalido",IF(AND(C2837&lt;&gt;"C0",IFERROR(INDEX(parametros!$A$2:$A$6,MATCH(C2837,parametros!$B$2:$B$6,0)),"")="Sim",IFERROR(INDEX(parametros!$H$2:$H$6,MATCH(C2837,parametros!$B$2:$B$6,0)),"")=""),"INICIO_EFEITO ausente: PC "&amp;A2837&amp;" - "&amp;C2837,IF(L2837="","EFEITO_PC nao calculado: PC "&amp;A2837&amp;" - "&amp;C2837,"OK")))))))))</f>
        <v/>
      </c>
      <c r="L2837" s="92" t="str">
        <f>IF(AND(A2837="",B2837="",D2837="",G2837=""),"",IF(OR(B2837="",NOT(ISNUMBER(B2837)),C2837="",C2837="Fora dos ciclos"),"",IF(C2837="C0","Nao",IF(IFERROR(INDEX(parametros!$A$2:$A$6,MATCH(C2837,parametros!$B$2:$B$6,0)),"")&lt;&gt;"Sim","Nao",IF(IFERROR(INDEX(parametros!$H$2:$H$6,MATCH(C2837,parametros!$B$2:$B$6,0)),"")="","",IF(B2837&gt;=IFERROR(INDEX(parametros!$H$2:$H$6,MATCH(C2837,parametros!$B$2:$B$6,0)),""),"Sim","Nao"))))))</f>
        <v/>
      </c>
      <c r="T2837" s="156"/>
      <c r="U2837" s="214" t="str">
        <f t="shared" si="226"/>
        <v/>
      </c>
      <c r="V2837" s="212" t="s">
        <v>50</v>
      </c>
      <c r="W2837" s="100" t="s">
        <v>168</v>
      </c>
      <c r="X2837" s="100" t="s">
        <v>169</v>
      </c>
      <c r="Y2837" s="101" t="s">
        <v>170</v>
      </c>
      <c r="Z2837" s="101" t="s">
        <v>171</v>
      </c>
      <c r="AA2837" s="101" t="s">
        <v>50</v>
      </c>
      <c r="AB2837" s="101" t="s">
        <v>172</v>
      </c>
      <c r="AC2837" s="102" t="s">
        <v>173</v>
      </c>
    </row>
    <row r="2838" spans="1:29" ht="25.5" customHeight="1" x14ac:dyDescent="0.35">
      <c r="A2838" s="392"/>
      <c r="B2838" s="393"/>
      <c r="C2838" s="99" t="str">
        <f>IF(B2838="","",IF(NOT(ISNUMBER(B2838)),"DATA_PC invalida",IF(NOT(ISNUMBER(parametros!$C$2)),"Fora dos ciclos",IF(OR(B2838&lt;parametros!$C$2,(YEAR(B2838)-YEAR(parametros!$C$2))*12+MONTH(B2838)-MONTH(parametros!$C$2)&gt;59),"Fora dos ciclos","C"&amp;INT(((YEAR(B2838)-YEAR(parametros!$C$2))*12+MONTH(B2838)-MONTH(parametros!$C$2))/12)))))</f>
        <v/>
      </c>
      <c r="D2838" s="394"/>
      <c r="E2838" s="78" t="str">
        <f>IF(C2838="","",IFERROR(VLOOKUP(C2838,parametros!$A$11:$E$15,5,0),""))</f>
        <v/>
      </c>
      <c r="F2838" s="79" t="str">
        <f t="shared" si="222"/>
        <v/>
      </c>
      <c r="G2838" s="395"/>
      <c r="H2838" s="91">
        <f t="shared" si="223"/>
        <v>0</v>
      </c>
      <c r="I2838" s="91" t="str">
        <f t="shared" si="224"/>
        <v/>
      </c>
      <c r="J2838" s="91" t="str">
        <f t="shared" si="225"/>
        <v/>
      </c>
      <c r="K2838" s="92" t="str">
        <f>IF(AND(A2838="",B2838="",D2838="",G2838=""),"",IF(AND(A2838&lt;&gt;"",COUNTIF($A$2:$A$5001,A2838)&gt;1),"NUMERO_PC duplicado",IF(B2838="","DATA_PC vazia",IF(NOT(ISNUMBER(B2838)),"DATA_PC invalida",IF(OR(C2838="",C2838="Fora dos ciclos"),"CICLO_PC nao identificado",IF(OR(D2838="",D2838=0),"VALOR_PC vazio ou zero",IF(AND(G2838&lt;&gt;"Sim",G2838&lt;&gt;"Nao",G2838&lt;&gt;""),"PC_PAGO_A_CONTRATADA invalido",IF(AND(C2838&lt;&gt;"C0",IFERROR(INDEX(parametros!$A$2:$A$6,MATCH(C2838,parametros!$B$2:$B$6,0)),"")="Sim",IFERROR(INDEX(parametros!$H$2:$H$6,MATCH(C2838,parametros!$B$2:$B$6,0)),"")=""),"INICIO_EFEITO ausente: PC "&amp;A2838&amp;" - "&amp;C2838,IF(L2838="","EFEITO_PC nao calculado: PC "&amp;A2838&amp;" - "&amp;C2838,"OK")))))))))</f>
        <v/>
      </c>
      <c r="L2838" s="92" t="str">
        <f>IF(AND(A2838="",B2838="",D2838="",G2838=""),"",IF(OR(B2838="",NOT(ISNUMBER(B2838)),C2838="",C2838="Fora dos ciclos"),"",IF(C2838="C0","Nao",IF(IFERROR(INDEX(parametros!$A$2:$A$6,MATCH(C2838,parametros!$B$2:$B$6,0)),"")&lt;&gt;"Sim","Nao",IF(IFERROR(INDEX(parametros!$H$2:$H$6,MATCH(C2838,parametros!$B$2:$B$6,0)),"")="","",IF(B2838&gt;=IFERROR(INDEX(parametros!$H$2:$H$6,MATCH(C2838,parametros!$B$2:$B$6,0)),""),"Sim","Nao"))))))</f>
        <v/>
      </c>
      <c r="T2838" s="156"/>
      <c r="U2838" s="214" t="str">
        <f t="shared" si="226"/>
        <v/>
      </c>
      <c r="V2838" s="212" t="s">
        <v>50</v>
      </c>
      <c r="W2838" s="100" t="s">
        <v>168</v>
      </c>
      <c r="X2838" s="100" t="s">
        <v>169</v>
      </c>
      <c r="Y2838" s="101" t="s">
        <v>170</v>
      </c>
      <c r="Z2838" s="101" t="s">
        <v>171</v>
      </c>
      <c r="AA2838" s="101" t="s">
        <v>50</v>
      </c>
      <c r="AB2838" s="101" t="s">
        <v>172</v>
      </c>
      <c r="AC2838" s="102" t="s">
        <v>173</v>
      </c>
    </row>
    <row r="2839" spans="1:29" ht="25.5" customHeight="1" x14ac:dyDescent="0.35">
      <c r="A2839" s="392"/>
      <c r="B2839" s="393"/>
      <c r="C2839" s="99" t="str">
        <f>IF(B2839="","",IF(NOT(ISNUMBER(B2839)),"DATA_PC invalida",IF(NOT(ISNUMBER(parametros!$C$2)),"Fora dos ciclos",IF(OR(B2839&lt;parametros!$C$2,(YEAR(B2839)-YEAR(parametros!$C$2))*12+MONTH(B2839)-MONTH(parametros!$C$2)&gt;59),"Fora dos ciclos","C"&amp;INT(((YEAR(B2839)-YEAR(parametros!$C$2))*12+MONTH(B2839)-MONTH(parametros!$C$2))/12)))))</f>
        <v/>
      </c>
      <c r="D2839" s="394"/>
      <c r="E2839" s="78" t="str">
        <f>IF(C2839="","",IFERROR(VLOOKUP(C2839,parametros!$A$11:$E$15,5,0),""))</f>
        <v/>
      </c>
      <c r="F2839" s="79" t="str">
        <f t="shared" si="222"/>
        <v/>
      </c>
      <c r="G2839" s="395"/>
      <c r="H2839" s="91">
        <f t="shared" si="223"/>
        <v>0</v>
      </c>
      <c r="I2839" s="91" t="str">
        <f t="shared" si="224"/>
        <v/>
      </c>
      <c r="J2839" s="91" t="str">
        <f t="shared" si="225"/>
        <v/>
      </c>
      <c r="K2839" s="92" t="str">
        <f>IF(AND(A2839="",B2839="",D2839="",G2839=""),"",IF(AND(A2839&lt;&gt;"",COUNTIF($A$2:$A$5001,A2839)&gt;1),"NUMERO_PC duplicado",IF(B2839="","DATA_PC vazia",IF(NOT(ISNUMBER(B2839)),"DATA_PC invalida",IF(OR(C2839="",C2839="Fora dos ciclos"),"CICLO_PC nao identificado",IF(OR(D2839="",D2839=0),"VALOR_PC vazio ou zero",IF(AND(G2839&lt;&gt;"Sim",G2839&lt;&gt;"Nao",G2839&lt;&gt;""),"PC_PAGO_A_CONTRATADA invalido",IF(AND(C2839&lt;&gt;"C0",IFERROR(INDEX(parametros!$A$2:$A$6,MATCH(C2839,parametros!$B$2:$B$6,0)),"")="Sim",IFERROR(INDEX(parametros!$H$2:$H$6,MATCH(C2839,parametros!$B$2:$B$6,0)),"")=""),"INICIO_EFEITO ausente: PC "&amp;A2839&amp;" - "&amp;C2839,IF(L2839="","EFEITO_PC nao calculado: PC "&amp;A2839&amp;" - "&amp;C2839,"OK")))))))))</f>
        <v/>
      </c>
      <c r="L2839" s="92" t="str">
        <f>IF(AND(A2839="",B2839="",D2839="",G2839=""),"",IF(OR(B2839="",NOT(ISNUMBER(B2839)),C2839="",C2839="Fora dos ciclos"),"",IF(C2839="C0","Nao",IF(IFERROR(INDEX(parametros!$A$2:$A$6,MATCH(C2839,parametros!$B$2:$B$6,0)),"")&lt;&gt;"Sim","Nao",IF(IFERROR(INDEX(parametros!$H$2:$H$6,MATCH(C2839,parametros!$B$2:$B$6,0)),"")="","",IF(B2839&gt;=IFERROR(INDEX(parametros!$H$2:$H$6,MATCH(C2839,parametros!$B$2:$B$6,0)),""),"Sim","Nao"))))))</f>
        <v/>
      </c>
      <c r="T2839" s="156"/>
      <c r="U2839" s="214" t="str">
        <f t="shared" si="226"/>
        <v/>
      </c>
      <c r="V2839" s="212" t="s">
        <v>50</v>
      </c>
      <c r="W2839" s="100" t="s">
        <v>168</v>
      </c>
      <c r="X2839" s="100" t="s">
        <v>169</v>
      </c>
      <c r="Y2839" s="101" t="s">
        <v>170</v>
      </c>
      <c r="Z2839" s="101" t="s">
        <v>171</v>
      </c>
      <c r="AA2839" s="101" t="s">
        <v>50</v>
      </c>
      <c r="AB2839" s="101" t="s">
        <v>172</v>
      </c>
      <c r="AC2839" s="102" t="s">
        <v>173</v>
      </c>
    </row>
    <row r="2840" spans="1:29" ht="25.5" customHeight="1" x14ac:dyDescent="0.35">
      <c r="A2840" s="392"/>
      <c r="B2840" s="393"/>
      <c r="C2840" s="99" t="str">
        <f>IF(B2840="","",IF(NOT(ISNUMBER(B2840)),"DATA_PC invalida",IF(NOT(ISNUMBER(parametros!$C$2)),"Fora dos ciclos",IF(OR(B2840&lt;parametros!$C$2,(YEAR(B2840)-YEAR(parametros!$C$2))*12+MONTH(B2840)-MONTH(parametros!$C$2)&gt;59),"Fora dos ciclos","C"&amp;INT(((YEAR(B2840)-YEAR(parametros!$C$2))*12+MONTH(B2840)-MONTH(parametros!$C$2))/12)))))</f>
        <v/>
      </c>
      <c r="D2840" s="394"/>
      <c r="E2840" s="78" t="str">
        <f>IF(C2840="","",IFERROR(VLOOKUP(C2840,parametros!$A$11:$E$15,5,0),""))</f>
        <v/>
      </c>
      <c r="F2840" s="79" t="str">
        <f t="shared" si="222"/>
        <v/>
      </c>
      <c r="G2840" s="395"/>
      <c r="H2840" s="91">
        <f t="shared" si="223"/>
        <v>0</v>
      </c>
      <c r="I2840" s="91" t="str">
        <f t="shared" si="224"/>
        <v/>
      </c>
      <c r="J2840" s="91" t="str">
        <f t="shared" si="225"/>
        <v/>
      </c>
      <c r="K2840" s="92" t="str">
        <f>IF(AND(A2840="",B2840="",D2840="",G2840=""),"",IF(AND(A2840&lt;&gt;"",COUNTIF($A$2:$A$5001,A2840)&gt;1),"NUMERO_PC duplicado",IF(B2840="","DATA_PC vazia",IF(NOT(ISNUMBER(B2840)),"DATA_PC invalida",IF(OR(C2840="",C2840="Fora dos ciclos"),"CICLO_PC nao identificado",IF(OR(D2840="",D2840=0),"VALOR_PC vazio ou zero",IF(AND(G2840&lt;&gt;"Sim",G2840&lt;&gt;"Nao",G2840&lt;&gt;""),"PC_PAGO_A_CONTRATADA invalido",IF(AND(C2840&lt;&gt;"C0",IFERROR(INDEX(parametros!$A$2:$A$6,MATCH(C2840,parametros!$B$2:$B$6,0)),"")="Sim",IFERROR(INDEX(parametros!$H$2:$H$6,MATCH(C2840,parametros!$B$2:$B$6,0)),"")=""),"INICIO_EFEITO ausente: PC "&amp;A2840&amp;" - "&amp;C2840,IF(L2840="","EFEITO_PC nao calculado: PC "&amp;A2840&amp;" - "&amp;C2840,"OK")))))))))</f>
        <v/>
      </c>
      <c r="L2840" s="92" t="str">
        <f>IF(AND(A2840="",B2840="",D2840="",G2840=""),"",IF(OR(B2840="",NOT(ISNUMBER(B2840)),C2840="",C2840="Fora dos ciclos"),"",IF(C2840="C0","Nao",IF(IFERROR(INDEX(parametros!$A$2:$A$6,MATCH(C2840,parametros!$B$2:$B$6,0)),"")&lt;&gt;"Sim","Nao",IF(IFERROR(INDEX(parametros!$H$2:$H$6,MATCH(C2840,parametros!$B$2:$B$6,0)),"")="","",IF(B2840&gt;=IFERROR(INDEX(parametros!$H$2:$H$6,MATCH(C2840,parametros!$B$2:$B$6,0)),""),"Sim","Nao"))))))</f>
        <v/>
      </c>
      <c r="T2840" s="156"/>
      <c r="U2840" s="214" t="str">
        <f t="shared" si="226"/>
        <v/>
      </c>
      <c r="V2840" s="212" t="s">
        <v>50</v>
      </c>
      <c r="W2840" s="100" t="s">
        <v>168</v>
      </c>
      <c r="X2840" s="100" t="s">
        <v>169</v>
      </c>
      <c r="Y2840" s="101" t="s">
        <v>170</v>
      </c>
      <c r="Z2840" s="101" t="s">
        <v>171</v>
      </c>
      <c r="AA2840" s="101" t="s">
        <v>50</v>
      </c>
      <c r="AB2840" s="101" t="s">
        <v>172</v>
      </c>
      <c r="AC2840" s="102" t="s">
        <v>173</v>
      </c>
    </row>
    <row r="2841" spans="1:29" ht="25.5" customHeight="1" x14ac:dyDescent="0.35">
      <c r="A2841" s="392"/>
      <c r="B2841" s="393"/>
      <c r="C2841" s="99" t="str">
        <f>IF(B2841="","",IF(NOT(ISNUMBER(B2841)),"DATA_PC invalida",IF(NOT(ISNUMBER(parametros!$C$2)),"Fora dos ciclos",IF(OR(B2841&lt;parametros!$C$2,(YEAR(B2841)-YEAR(parametros!$C$2))*12+MONTH(B2841)-MONTH(parametros!$C$2)&gt;59),"Fora dos ciclos","C"&amp;INT(((YEAR(B2841)-YEAR(parametros!$C$2))*12+MONTH(B2841)-MONTH(parametros!$C$2))/12)))))</f>
        <v/>
      </c>
      <c r="D2841" s="394"/>
      <c r="E2841" s="78" t="str">
        <f>IF(C2841="","",IFERROR(VLOOKUP(C2841,parametros!$A$11:$E$15,5,0),""))</f>
        <v/>
      </c>
      <c r="F2841" s="79" t="str">
        <f t="shared" si="222"/>
        <v/>
      </c>
      <c r="G2841" s="395"/>
      <c r="H2841" s="91">
        <f t="shared" si="223"/>
        <v>0</v>
      </c>
      <c r="I2841" s="91" t="str">
        <f t="shared" si="224"/>
        <v/>
      </c>
      <c r="J2841" s="91" t="str">
        <f t="shared" si="225"/>
        <v/>
      </c>
      <c r="K2841" s="92" t="str">
        <f>IF(AND(A2841="",B2841="",D2841="",G2841=""),"",IF(AND(A2841&lt;&gt;"",COUNTIF($A$2:$A$5001,A2841)&gt;1),"NUMERO_PC duplicado",IF(B2841="","DATA_PC vazia",IF(NOT(ISNUMBER(B2841)),"DATA_PC invalida",IF(OR(C2841="",C2841="Fora dos ciclos"),"CICLO_PC nao identificado",IF(OR(D2841="",D2841=0),"VALOR_PC vazio ou zero",IF(AND(G2841&lt;&gt;"Sim",G2841&lt;&gt;"Nao",G2841&lt;&gt;""),"PC_PAGO_A_CONTRATADA invalido",IF(AND(C2841&lt;&gt;"C0",IFERROR(INDEX(parametros!$A$2:$A$6,MATCH(C2841,parametros!$B$2:$B$6,0)),"")="Sim",IFERROR(INDEX(parametros!$H$2:$H$6,MATCH(C2841,parametros!$B$2:$B$6,0)),"")=""),"INICIO_EFEITO ausente: PC "&amp;A2841&amp;" - "&amp;C2841,IF(L2841="","EFEITO_PC nao calculado: PC "&amp;A2841&amp;" - "&amp;C2841,"OK")))))))))</f>
        <v/>
      </c>
      <c r="L2841" s="92" t="str">
        <f>IF(AND(A2841="",B2841="",D2841="",G2841=""),"",IF(OR(B2841="",NOT(ISNUMBER(B2841)),C2841="",C2841="Fora dos ciclos"),"",IF(C2841="C0","Nao",IF(IFERROR(INDEX(parametros!$A$2:$A$6,MATCH(C2841,parametros!$B$2:$B$6,0)),"")&lt;&gt;"Sim","Nao",IF(IFERROR(INDEX(parametros!$H$2:$H$6,MATCH(C2841,parametros!$B$2:$B$6,0)),"")="","",IF(B2841&gt;=IFERROR(INDEX(parametros!$H$2:$H$6,MATCH(C2841,parametros!$B$2:$B$6,0)),""),"Sim","Nao"))))))</f>
        <v/>
      </c>
      <c r="T2841" s="156"/>
      <c r="U2841" s="214" t="str">
        <f t="shared" si="226"/>
        <v/>
      </c>
      <c r="V2841" s="212" t="s">
        <v>50</v>
      </c>
      <c r="W2841" s="100" t="s">
        <v>168</v>
      </c>
      <c r="X2841" s="100" t="s">
        <v>169</v>
      </c>
      <c r="Y2841" s="101" t="s">
        <v>170</v>
      </c>
      <c r="Z2841" s="101" t="s">
        <v>171</v>
      </c>
      <c r="AA2841" s="101" t="s">
        <v>50</v>
      </c>
      <c r="AB2841" s="101" t="s">
        <v>172</v>
      </c>
      <c r="AC2841" s="102" t="s">
        <v>173</v>
      </c>
    </row>
    <row r="2842" spans="1:29" ht="25.5" customHeight="1" x14ac:dyDescent="0.35">
      <c r="A2842" s="392"/>
      <c r="B2842" s="393"/>
      <c r="C2842" s="99" t="str">
        <f>IF(B2842="","",IF(NOT(ISNUMBER(B2842)),"DATA_PC invalida",IF(NOT(ISNUMBER(parametros!$C$2)),"Fora dos ciclos",IF(OR(B2842&lt;parametros!$C$2,(YEAR(B2842)-YEAR(parametros!$C$2))*12+MONTH(B2842)-MONTH(parametros!$C$2)&gt;59),"Fora dos ciclos","C"&amp;INT(((YEAR(B2842)-YEAR(parametros!$C$2))*12+MONTH(B2842)-MONTH(parametros!$C$2))/12)))))</f>
        <v/>
      </c>
      <c r="D2842" s="394"/>
      <c r="E2842" s="78" t="str">
        <f>IF(C2842="","",IFERROR(VLOOKUP(C2842,parametros!$A$11:$E$15,5,0),""))</f>
        <v/>
      </c>
      <c r="F2842" s="79" t="str">
        <f t="shared" si="222"/>
        <v/>
      </c>
      <c r="G2842" s="395"/>
      <c r="H2842" s="91">
        <f t="shared" si="223"/>
        <v>0</v>
      </c>
      <c r="I2842" s="91" t="str">
        <f t="shared" si="224"/>
        <v/>
      </c>
      <c r="J2842" s="91" t="str">
        <f t="shared" si="225"/>
        <v/>
      </c>
      <c r="K2842" s="92" t="str">
        <f>IF(AND(A2842="",B2842="",D2842="",G2842=""),"",IF(AND(A2842&lt;&gt;"",COUNTIF($A$2:$A$5001,A2842)&gt;1),"NUMERO_PC duplicado",IF(B2842="","DATA_PC vazia",IF(NOT(ISNUMBER(B2842)),"DATA_PC invalida",IF(OR(C2842="",C2842="Fora dos ciclos"),"CICLO_PC nao identificado",IF(OR(D2842="",D2842=0),"VALOR_PC vazio ou zero",IF(AND(G2842&lt;&gt;"Sim",G2842&lt;&gt;"Nao",G2842&lt;&gt;""),"PC_PAGO_A_CONTRATADA invalido",IF(AND(C2842&lt;&gt;"C0",IFERROR(INDEX(parametros!$A$2:$A$6,MATCH(C2842,parametros!$B$2:$B$6,0)),"")="Sim",IFERROR(INDEX(parametros!$H$2:$H$6,MATCH(C2842,parametros!$B$2:$B$6,0)),"")=""),"INICIO_EFEITO ausente: PC "&amp;A2842&amp;" - "&amp;C2842,IF(L2842="","EFEITO_PC nao calculado: PC "&amp;A2842&amp;" - "&amp;C2842,"OK")))))))))</f>
        <v/>
      </c>
      <c r="L2842" s="92" t="str">
        <f>IF(AND(A2842="",B2842="",D2842="",G2842=""),"",IF(OR(B2842="",NOT(ISNUMBER(B2842)),C2842="",C2842="Fora dos ciclos"),"",IF(C2842="C0","Nao",IF(IFERROR(INDEX(parametros!$A$2:$A$6,MATCH(C2842,parametros!$B$2:$B$6,0)),"")&lt;&gt;"Sim","Nao",IF(IFERROR(INDEX(parametros!$H$2:$H$6,MATCH(C2842,parametros!$B$2:$B$6,0)),"")="","",IF(B2842&gt;=IFERROR(INDEX(parametros!$H$2:$H$6,MATCH(C2842,parametros!$B$2:$B$6,0)),""),"Sim","Nao"))))))</f>
        <v/>
      </c>
      <c r="T2842" s="156"/>
      <c r="U2842" s="214" t="str">
        <f t="shared" si="226"/>
        <v/>
      </c>
      <c r="V2842" s="212" t="s">
        <v>50</v>
      </c>
      <c r="W2842" s="100" t="s">
        <v>168</v>
      </c>
      <c r="X2842" s="100" t="s">
        <v>169</v>
      </c>
      <c r="Y2842" s="101" t="s">
        <v>170</v>
      </c>
      <c r="Z2842" s="101" t="s">
        <v>171</v>
      </c>
      <c r="AA2842" s="101" t="s">
        <v>50</v>
      </c>
      <c r="AB2842" s="101" t="s">
        <v>172</v>
      </c>
      <c r="AC2842" s="102" t="s">
        <v>173</v>
      </c>
    </row>
    <row r="2843" spans="1:29" ht="25.5" customHeight="1" x14ac:dyDescent="0.35">
      <c r="A2843" s="392"/>
      <c r="B2843" s="393"/>
      <c r="C2843" s="99" t="str">
        <f>IF(B2843="","",IF(NOT(ISNUMBER(B2843)),"DATA_PC invalida",IF(NOT(ISNUMBER(parametros!$C$2)),"Fora dos ciclos",IF(OR(B2843&lt;parametros!$C$2,(YEAR(B2843)-YEAR(parametros!$C$2))*12+MONTH(B2843)-MONTH(parametros!$C$2)&gt;59),"Fora dos ciclos","C"&amp;INT(((YEAR(B2843)-YEAR(parametros!$C$2))*12+MONTH(B2843)-MONTH(parametros!$C$2))/12)))))</f>
        <v/>
      </c>
      <c r="D2843" s="394"/>
      <c r="E2843" s="78" t="str">
        <f>IF(C2843="","",IFERROR(VLOOKUP(C2843,parametros!$A$11:$E$15,5,0),""))</f>
        <v/>
      </c>
      <c r="F2843" s="79" t="str">
        <f t="shared" si="222"/>
        <v/>
      </c>
      <c r="G2843" s="395"/>
      <c r="H2843" s="91">
        <f t="shared" si="223"/>
        <v>0</v>
      </c>
      <c r="I2843" s="91" t="str">
        <f t="shared" si="224"/>
        <v/>
      </c>
      <c r="J2843" s="91" t="str">
        <f t="shared" si="225"/>
        <v/>
      </c>
      <c r="K2843" s="92" t="str">
        <f>IF(AND(A2843="",B2843="",D2843="",G2843=""),"",IF(AND(A2843&lt;&gt;"",COUNTIF($A$2:$A$5001,A2843)&gt;1),"NUMERO_PC duplicado",IF(B2843="","DATA_PC vazia",IF(NOT(ISNUMBER(B2843)),"DATA_PC invalida",IF(OR(C2843="",C2843="Fora dos ciclos"),"CICLO_PC nao identificado",IF(OR(D2843="",D2843=0),"VALOR_PC vazio ou zero",IF(AND(G2843&lt;&gt;"Sim",G2843&lt;&gt;"Nao",G2843&lt;&gt;""),"PC_PAGO_A_CONTRATADA invalido",IF(AND(C2843&lt;&gt;"C0",IFERROR(INDEX(parametros!$A$2:$A$6,MATCH(C2843,parametros!$B$2:$B$6,0)),"")="Sim",IFERROR(INDEX(parametros!$H$2:$H$6,MATCH(C2843,parametros!$B$2:$B$6,0)),"")=""),"INICIO_EFEITO ausente: PC "&amp;A2843&amp;" - "&amp;C2843,IF(L2843="","EFEITO_PC nao calculado: PC "&amp;A2843&amp;" - "&amp;C2843,"OK")))))))))</f>
        <v/>
      </c>
      <c r="L2843" s="92" t="str">
        <f>IF(AND(A2843="",B2843="",D2843="",G2843=""),"",IF(OR(B2843="",NOT(ISNUMBER(B2843)),C2843="",C2843="Fora dos ciclos"),"",IF(C2843="C0","Nao",IF(IFERROR(INDEX(parametros!$A$2:$A$6,MATCH(C2843,parametros!$B$2:$B$6,0)),"")&lt;&gt;"Sim","Nao",IF(IFERROR(INDEX(parametros!$H$2:$H$6,MATCH(C2843,parametros!$B$2:$B$6,0)),"")="","",IF(B2843&gt;=IFERROR(INDEX(parametros!$H$2:$H$6,MATCH(C2843,parametros!$B$2:$B$6,0)),""),"Sim","Nao"))))))</f>
        <v/>
      </c>
      <c r="T2843" s="156"/>
      <c r="U2843" s="214" t="str">
        <f t="shared" si="226"/>
        <v/>
      </c>
      <c r="V2843" s="212" t="s">
        <v>50</v>
      </c>
      <c r="W2843" s="100" t="s">
        <v>168</v>
      </c>
      <c r="X2843" s="100" t="s">
        <v>169</v>
      </c>
      <c r="Y2843" s="101" t="s">
        <v>170</v>
      </c>
      <c r="Z2843" s="101" t="s">
        <v>171</v>
      </c>
      <c r="AA2843" s="101" t="s">
        <v>50</v>
      </c>
      <c r="AB2843" s="101" t="s">
        <v>172</v>
      </c>
      <c r="AC2843" s="102" t="s">
        <v>173</v>
      </c>
    </row>
    <row r="2844" spans="1:29" ht="25.5" customHeight="1" x14ac:dyDescent="0.35">
      <c r="A2844" s="392"/>
      <c r="B2844" s="393"/>
      <c r="C2844" s="99" t="str">
        <f>IF(B2844="","",IF(NOT(ISNUMBER(B2844)),"DATA_PC invalida",IF(NOT(ISNUMBER(parametros!$C$2)),"Fora dos ciclos",IF(OR(B2844&lt;parametros!$C$2,(YEAR(B2844)-YEAR(parametros!$C$2))*12+MONTH(B2844)-MONTH(parametros!$C$2)&gt;59),"Fora dos ciclos","C"&amp;INT(((YEAR(B2844)-YEAR(parametros!$C$2))*12+MONTH(B2844)-MONTH(parametros!$C$2))/12)))))</f>
        <v/>
      </c>
      <c r="D2844" s="394"/>
      <c r="E2844" s="78" t="str">
        <f>IF(C2844="","",IFERROR(VLOOKUP(C2844,parametros!$A$11:$E$15,5,0),""))</f>
        <v/>
      </c>
      <c r="F2844" s="79" t="str">
        <f t="shared" si="222"/>
        <v/>
      </c>
      <c r="G2844" s="395"/>
      <c r="H2844" s="91">
        <f t="shared" si="223"/>
        <v>0</v>
      </c>
      <c r="I2844" s="91" t="str">
        <f t="shared" si="224"/>
        <v/>
      </c>
      <c r="J2844" s="91" t="str">
        <f t="shared" si="225"/>
        <v/>
      </c>
      <c r="K2844" s="92" t="str">
        <f>IF(AND(A2844="",B2844="",D2844="",G2844=""),"",IF(AND(A2844&lt;&gt;"",COUNTIF($A$2:$A$5001,A2844)&gt;1),"NUMERO_PC duplicado",IF(B2844="","DATA_PC vazia",IF(NOT(ISNUMBER(B2844)),"DATA_PC invalida",IF(OR(C2844="",C2844="Fora dos ciclos"),"CICLO_PC nao identificado",IF(OR(D2844="",D2844=0),"VALOR_PC vazio ou zero",IF(AND(G2844&lt;&gt;"Sim",G2844&lt;&gt;"Nao",G2844&lt;&gt;""),"PC_PAGO_A_CONTRATADA invalido",IF(AND(C2844&lt;&gt;"C0",IFERROR(INDEX(parametros!$A$2:$A$6,MATCH(C2844,parametros!$B$2:$B$6,0)),"")="Sim",IFERROR(INDEX(parametros!$H$2:$H$6,MATCH(C2844,parametros!$B$2:$B$6,0)),"")=""),"INICIO_EFEITO ausente: PC "&amp;A2844&amp;" - "&amp;C2844,IF(L2844="","EFEITO_PC nao calculado: PC "&amp;A2844&amp;" - "&amp;C2844,"OK")))))))))</f>
        <v/>
      </c>
      <c r="L2844" s="92" t="str">
        <f>IF(AND(A2844="",B2844="",D2844="",G2844=""),"",IF(OR(B2844="",NOT(ISNUMBER(B2844)),C2844="",C2844="Fora dos ciclos"),"",IF(C2844="C0","Nao",IF(IFERROR(INDEX(parametros!$A$2:$A$6,MATCH(C2844,parametros!$B$2:$B$6,0)),"")&lt;&gt;"Sim","Nao",IF(IFERROR(INDEX(parametros!$H$2:$H$6,MATCH(C2844,parametros!$B$2:$B$6,0)),"")="","",IF(B2844&gt;=IFERROR(INDEX(parametros!$H$2:$H$6,MATCH(C2844,parametros!$B$2:$B$6,0)),""),"Sim","Nao"))))))</f>
        <v/>
      </c>
      <c r="T2844" s="156"/>
      <c r="U2844" s="214" t="str">
        <f t="shared" si="226"/>
        <v/>
      </c>
      <c r="V2844" s="212" t="s">
        <v>50</v>
      </c>
      <c r="W2844" s="100" t="s">
        <v>168</v>
      </c>
      <c r="X2844" s="100" t="s">
        <v>169</v>
      </c>
      <c r="Y2844" s="101" t="s">
        <v>170</v>
      </c>
      <c r="Z2844" s="101" t="s">
        <v>171</v>
      </c>
      <c r="AA2844" s="101" t="s">
        <v>50</v>
      </c>
      <c r="AB2844" s="101" t="s">
        <v>172</v>
      </c>
      <c r="AC2844" s="102" t="s">
        <v>173</v>
      </c>
    </row>
    <row r="2845" spans="1:29" ht="25.5" customHeight="1" x14ac:dyDescent="0.35">
      <c r="A2845" s="392"/>
      <c r="B2845" s="393"/>
      <c r="C2845" s="99" t="str">
        <f>IF(B2845="","",IF(NOT(ISNUMBER(B2845)),"DATA_PC invalida",IF(NOT(ISNUMBER(parametros!$C$2)),"Fora dos ciclos",IF(OR(B2845&lt;parametros!$C$2,(YEAR(B2845)-YEAR(parametros!$C$2))*12+MONTH(B2845)-MONTH(parametros!$C$2)&gt;59),"Fora dos ciclos","C"&amp;INT(((YEAR(B2845)-YEAR(parametros!$C$2))*12+MONTH(B2845)-MONTH(parametros!$C$2))/12)))))</f>
        <v/>
      </c>
      <c r="D2845" s="394"/>
      <c r="E2845" s="78" t="str">
        <f>IF(C2845="","",IFERROR(VLOOKUP(C2845,parametros!$A$11:$E$15,5,0),""))</f>
        <v/>
      </c>
      <c r="F2845" s="79" t="str">
        <f t="shared" si="222"/>
        <v/>
      </c>
      <c r="G2845" s="395"/>
      <c r="H2845" s="91">
        <f t="shared" si="223"/>
        <v>0</v>
      </c>
      <c r="I2845" s="91" t="str">
        <f t="shared" si="224"/>
        <v/>
      </c>
      <c r="J2845" s="91" t="str">
        <f t="shared" si="225"/>
        <v/>
      </c>
      <c r="K2845" s="92" t="str">
        <f>IF(AND(A2845="",B2845="",D2845="",G2845=""),"",IF(AND(A2845&lt;&gt;"",COUNTIF($A$2:$A$5001,A2845)&gt;1),"NUMERO_PC duplicado",IF(B2845="","DATA_PC vazia",IF(NOT(ISNUMBER(B2845)),"DATA_PC invalida",IF(OR(C2845="",C2845="Fora dos ciclos"),"CICLO_PC nao identificado",IF(OR(D2845="",D2845=0),"VALOR_PC vazio ou zero",IF(AND(G2845&lt;&gt;"Sim",G2845&lt;&gt;"Nao",G2845&lt;&gt;""),"PC_PAGO_A_CONTRATADA invalido",IF(AND(C2845&lt;&gt;"C0",IFERROR(INDEX(parametros!$A$2:$A$6,MATCH(C2845,parametros!$B$2:$B$6,0)),"")="Sim",IFERROR(INDEX(parametros!$H$2:$H$6,MATCH(C2845,parametros!$B$2:$B$6,0)),"")=""),"INICIO_EFEITO ausente: PC "&amp;A2845&amp;" - "&amp;C2845,IF(L2845="","EFEITO_PC nao calculado: PC "&amp;A2845&amp;" - "&amp;C2845,"OK")))))))))</f>
        <v/>
      </c>
      <c r="L2845" s="92" t="str">
        <f>IF(AND(A2845="",B2845="",D2845="",G2845=""),"",IF(OR(B2845="",NOT(ISNUMBER(B2845)),C2845="",C2845="Fora dos ciclos"),"",IF(C2845="C0","Nao",IF(IFERROR(INDEX(parametros!$A$2:$A$6,MATCH(C2845,parametros!$B$2:$B$6,0)),"")&lt;&gt;"Sim","Nao",IF(IFERROR(INDEX(parametros!$H$2:$H$6,MATCH(C2845,parametros!$B$2:$B$6,0)),"")="","",IF(B2845&gt;=IFERROR(INDEX(parametros!$H$2:$H$6,MATCH(C2845,parametros!$B$2:$B$6,0)),""),"Sim","Nao"))))))</f>
        <v/>
      </c>
      <c r="T2845" s="156"/>
      <c r="U2845" s="214" t="str">
        <f t="shared" si="226"/>
        <v/>
      </c>
      <c r="V2845" s="212" t="s">
        <v>50</v>
      </c>
      <c r="W2845" s="100" t="s">
        <v>168</v>
      </c>
      <c r="X2845" s="100" t="s">
        <v>169</v>
      </c>
      <c r="Y2845" s="101" t="s">
        <v>170</v>
      </c>
      <c r="Z2845" s="101" t="s">
        <v>171</v>
      </c>
      <c r="AA2845" s="101" t="s">
        <v>50</v>
      </c>
      <c r="AB2845" s="101" t="s">
        <v>172</v>
      </c>
      <c r="AC2845" s="102" t="s">
        <v>173</v>
      </c>
    </row>
    <row r="2846" spans="1:29" ht="25.5" customHeight="1" x14ac:dyDescent="0.35">
      <c r="A2846" s="392"/>
      <c r="B2846" s="393"/>
      <c r="C2846" s="99" t="str">
        <f>IF(B2846="","",IF(NOT(ISNUMBER(B2846)),"DATA_PC invalida",IF(NOT(ISNUMBER(parametros!$C$2)),"Fora dos ciclos",IF(OR(B2846&lt;parametros!$C$2,(YEAR(B2846)-YEAR(parametros!$C$2))*12+MONTH(B2846)-MONTH(parametros!$C$2)&gt;59),"Fora dos ciclos","C"&amp;INT(((YEAR(B2846)-YEAR(parametros!$C$2))*12+MONTH(B2846)-MONTH(parametros!$C$2))/12)))))</f>
        <v/>
      </c>
      <c r="D2846" s="394"/>
      <c r="E2846" s="78" t="str">
        <f>IF(C2846="","",IFERROR(VLOOKUP(C2846,parametros!$A$11:$E$15,5,0),""))</f>
        <v/>
      </c>
      <c r="F2846" s="79" t="str">
        <f t="shared" si="222"/>
        <v/>
      </c>
      <c r="G2846" s="395"/>
      <c r="H2846" s="91">
        <f t="shared" si="223"/>
        <v>0</v>
      </c>
      <c r="I2846" s="91" t="str">
        <f t="shared" si="224"/>
        <v/>
      </c>
      <c r="J2846" s="91" t="str">
        <f t="shared" si="225"/>
        <v/>
      </c>
      <c r="K2846" s="92" t="str">
        <f>IF(AND(A2846="",B2846="",D2846="",G2846=""),"",IF(AND(A2846&lt;&gt;"",COUNTIF($A$2:$A$5001,A2846)&gt;1),"NUMERO_PC duplicado",IF(B2846="","DATA_PC vazia",IF(NOT(ISNUMBER(B2846)),"DATA_PC invalida",IF(OR(C2846="",C2846="Fora dos ciclos"),"CICLO_PC nao identificado",IF(OR(D2846="",D2846=0),"VALOR_PC vazio ou zero",IF(AND(G2846&lt;&gt;"Sim",G2846&lt;&gt;"Nao",G2846&lt;&gt;""),"PC_PAGO_A_CONTRATADA invalido",IF(AND(C2846&lt;&gt;"C0",IFERROR(INDEX(parametros!$A$2:$A$6,MATCH(C2846,parametros!$B$2:$B$6,0)),"")="Sim",IFERROR(INDEX(parametros!$H$2:$H$6,MATCH(C2846,parametros!$B$2:$B$6,0)),"")=""),"INICIO_EFEITO ausente: PC "&amp;A2846&amp;" - "&amp;C2846,IF(L2846="","EFEITO_PC nao calculado: PC "&amp;A2846&amp;" - "&amp;C2846,"OK")))))))))</f>
        <v/>
      </c>
      <c r="L2846" s="92" t="str">
        <f>IF(AND(A2846="",B2846="",D2846="",G2846=""),"",IF(OR(B2846="",NOT(ISNUMBER(B2846)),C2846="",C2846="Fora dos ciclos"),"",IF(C2846="C0","Nao",IF(IFERROR(INDEX(parametros!$A$2:$A$6,MATCH(C2846,parametros!$B$2:$B$6,0)),"")&lt;&gt;"Sim","Nao",IF(IFERROR(INDEX(parametros!$H$2:$H$6,MATCH(C2846,parametros!$B$2:$B$6,0)),"")="","",IF(B2846&gt;=IFERROR(INDEX(parametros!$H$2:$H$6,MATCH(C2846,parametros!$B$2:$B$6,0)),""),"Sim","Nao"))))))</f>
        <v/>
      </c>
      <c r="T2846" s="156"/>
      <c r="U2846" s="214" t="str">
        <f t="shared" si="226"/>
        <v/>
      </c>
      <c r="V2846" s="212" t="s">
        <v>50</v>
      </c>
      <c r="W2846" s="100" t="s">
        <v>168</v>
      </c>
      <c r="X2846" s="100" t="s">
        <v>169</v>
      </c>
      <c r="Y2846" s="101" t="s">
        <v>170</v>
      </c>
      <c r="Z2846" s="101" t="s">
        <v>171</v>
      </c>
      <c r="AA2846" s="101" t="s">
        <v>50</v>
      </c>
      <c r="AB2846" s="101" t="s">
        <v>172</v>
      </c>
      <c r="AC2846" s="102" t="s">
        <v>173</v>
      </c>
    </row>
    <row r="2847" spans="1:29" ht="25.5" customHeight="1" x14ac:dyDescent="0.35">
      <c r="A2847" s="392"/>
      <c r="B2847" s="393"/>
      <c r="C2847" s="99" t="str">
        <f>IF(B2847="","",IF(NOT(ISNUMBER(B2847)),"DATA_PC invalida",IF(NOT(ISNUMBER(parametros!$C$2)),"Fora dos ciclos",IF(OR(B2847&lt;parametros!$C$2,(YEAR(B2847)-YEAR(parametros!$C$2))*12+MONTH(B2847)-MONTH(parametros!$C$2)&gt;59),"Fora dos ciclos","C"&amp;INT(((YEAR(B2847)-YEAR(parametros!$C$2))*12+MONTH(B2847)-MONTH(parametros!$C$2))/12)))))</f>
        <v/>
      </c>
      <c r="D2847" s="394"/>
      <c r="E2847" s="78" t="str">
        <f>IF(C2847="","",IFERROR(VLOOKUP(C2847,parametros!$A$11:$E$15,5,0),""))</f>
        <v/>
      </c>
      <c r="F2847" s="79" t="str">
        <f t="shared" si="222"/>
        <v/>
      </c>
      <c r="G2847" s="395"/>
      <c r="H2847" s="91">
        <f t="shared" si="223"/>
        <v>0</v>
      </c>
      <c r="I2847" s="91" t="str">
        <f t="shared" si="224"/>
        <v/>
      </c>
      <c r="J2847" s="91" t="str">
        <f t="shared" si="225"/>
        <v/>
      </c>
      <c r="K2847" s="92" t="str">
        <f>IF(AND(A2847="",B2847="",D2847="",G2847=""),"",IF(AND(A2847&lt;&gt;"",COUNTIF($A$2:$A$5001,A2847)&gt;1),"NUMERO_PC duplicado",IF(B2847="","DATA_PC vazia",IF(NOT(ISNUMBER(B2847)),"DATA_PC invalida",IF(OR(C2847="",C2847="Fora dos ciclos"),"CICLO_PC nao identificado",IF(OR(D2847="",D2847=0),"VALOR_PC vazio ou zero",IF(AND(G2847&lt;&gt;"Sim",G2847&lt;&gt;"Nao",G2847&lt;&gt;""),"PC_PAGO_A_CONTRATADA invalido",IF(AND(C2847&lt;&gt;"C0",IFERROR(INDEX(parametros!$A$2:$A$6,MATCH(C2847,parametros!$B$2:$B$6,0)),"")="Sim",IFERROR(INDEX(parametros!$H$2:$H$6,MATCH(C2847,parametros!$B$2:$B$6,0)),"")=""),"INICIO_EFEITO ausente: PC "&amp;A2847&amp;" - "&amp;C2847,IF(L2847="","EFEITO_PC nao calculado: PC "&amp;A2847&amp;" - "&amp;C2847,"OK")))))))))</f>
        <v/>
      </c>
      <c r="L2847" s="92" t="str">
        <f>IF(AND(A2847="",B2847="",D2847="",G2847=""),"",IF(OR(B2847="",NOT(ISNUMBER(B2847)),C2847="",C2847="Fora dos ciclos"),"",IF(C2847="C0","Nao",IF(IFERROR(INDEX(parametros!$A$2:$A$6,MATCH(C2847,parametros!$B$2:$B$6,0)),"")&lt;&gt;"Sim","Nao",IF(IFERROR(INDEX(parametros!$H$2:$H$6,MATCH(C2847,parametros!$B$2:$B$6,0)),"")="","",IF(B2847&gt;=IFERROR(INDEX(parametros!$H$2:$H$6,MATCH(C2847,parametros!$B$2:$B$6,0)),""),"Sim","Nao"))))))</f>
        <v/>
      </c>
      <c r="T2847" s="156"/>
      <c r="U2847" s="214" t="str">
        <f t="shared" si="226"/>
        <v/>
      </c>
      <c r="V2847" s="212" t="s">
        <v>50</v>
      </c>
      <c r="W2847" s="100" t="s">
        <v>168</v>
      </c>
      <c r="X2847" s="100" t="s">
        <v>169</v>
      </c>
      <c r="Y2847" s="101" t="s">
        <v>170</v>
      </c>
      <c r="Z2847" s="101" t="s">
        <v>171</v>
      </c>
      <c r="AA2847" s="101" t="s">
        <v>50</v>
      </c>
      <c r="AB2847" s="101" t="s">
        <v>172</v>
      </c>
      <c r="AC2847" s="102" t="s">
        <v>173</v>
      </c>
    </row>
    <row r="2848" spans="1:29" ht="25.5" customHeight="1" x14ac:dyDescent="0.35">
      <c r="A2848" s="392"/>
      <c r="B2848" s="393"/>
      <c r="C2848" s="99" t="str">
        <f>IF(B2848="","",IF(NOT(ISNUMBER(B2848)),"DATA_PC invalida",IF(NOT(ISNUMBER(parametros!$C$2)),"Fora dos ciclos",IF(OR(B2848&lt;parametros!$C$2,(YEAR(B2848)-YEAR(parametros!$C$2))*12+MONTH(B2848)-MONTH(parametros!$C$2)&gt;59),"Fora dos ciclos","C"&amp;INT(((YEAR(B2848)-YEAR(parametros!$C$2))*12+MONTH(B2848)-MONTH(parametros!$C$2))/12)))))</f>
        <v/>
      </c>
      <c r="D2848" s="394"/>
      <c r="E2848" s="78" t="str">
        <f>IF(C2848="","",IFERROR(VLOOKUP(C2848,parametros!$A$11:$E$15,5,0),""))</f>
        <v/>
      </c>
      <c r="F2848" s="79" t="str">
        <f t="shared" si="222"/>
        <v/>
      </c>
      <c r="G2848" s="395"/>
      <c r="H2848" s="91">
        <f t="shared" si="223"/>
        <v>0</v>
      </c>
      <c r="I2848" s="91" t="str">
        <f t="shared" si="224"/>
        <v/>
      </c>
      <c r="J2848" s="91" t="str">
        <f t="shared" si="225"/>
        <v/>
      </c>
      <c r="K2848" s="92" t="str">
        <f>IF(AND(A2848="",B2848="",D2848="",G2848=""),"",IF(AND(A2848&lt;&gt;"",COUNTIF($A$2:$A$5001,A2848)&gt;1),"NUMERO_PC duplicado",IF(B2848="","DATA_PC vazia",IF(NOT(ISNUMBER(B2848)),"DATA_PC invalida",IF(OR(C2848="",C2848="Fora dos ciclos"),"CICLO_PC nao identificado",IF(OR(D2848="",D2848=0),"VALOR_PC vazio ou zero",IF(AND(G2848&lt;&gt;"Sim",G2848&lt;&gt;"Nao",G2848&lt;&gt;""),"PC_PAGO_A_CONTRATADA invalido",IF(AND(C2848&lt;&gt;"C0",IFERROR(INDEX(parametros!$A$2:$A$6,MATCH(C2848,parametros!$B$2:$B$6,0)),"")="Sim",IFERROR(INDEX(parametros!$H$2:$H$6,MATCH(C2848,parametros!$B$2:$B$6,0)),"")=""),"INICIO_EFEITO ausente: PC "&amp;A2848&amp;" - "&amp;C2848,IF(L2848="","EFEITO_PC nao calculado: PC "&amp;A2848&amp;" - "&amp;C2848,"OK")))))))))</f>
        <v/>
      </c>
      <c r="L2848" s="92" t="str">
        <f>IF(AND(A2848="",B2848="",D2848="",G2848=""),"",IF(OR(B2848="",NOT(ISNUMBER(B2848)),C2848="",C2848="Fora dos ciclos"),"",IF(C2848="C0","Nao",IF(IFERROR(INDEX(parametros!$A$2:$A$6,MATCH(C2848,parametros!$B$2:$B$6,0)),"")&lt;&gt;"Sim","Nao",IF(IFERROR(INDEX(parametros!$H$2:$H$6,MATCH(C2848,parametros!$B$2:$B$6,0)),"")="","",IF(B2848&gt;=IFERROR(INDEX(parametros!$H$2:$H$6,MATCH(C2848,parametros!$B$2:$B$6,0)),""),"Sim","Nao"))))))</f>
        <v/>
      </c>
      <c r="T2848" s="156"/>
      <c r="U2848" s="214" t="str">
        <f t="shared" si="226"/>
        <v/>
      </c>
      <c r="V2848" s="212" t="s">
        <v>50</v>
      </c>
      <c r="W2848" s="100" t="s">
        <v>168</v>
      </c>
      <c r="X2848" s="100" t="s">
        <v>169</v>
      </c>
      <c r="Y2848" s="101" t="s">
        <v>170</v>
      </c>
      <c r="Z2848" s="101" t="s">
        <v>171</v>
      </c>
      <c r="AA2848" s="101" t="s">
        <v>50</v>
      </c>
      <c r="AB2848" s="101" t="s">
        <v>172</v>
      </c>
      <c r="AC2848" s="102" t="s">
        <v>173</v>
      </c>
    </row>
    <row r="2849" spans="1:29" ht="25.5" customHeight="1" x14ac:dyDescent="0.35">
      <c r="A2849" s="392"/>
      <c r="B2849" s="393"/>
      <c r="C2849" s="99" t="str">
        <f>IF(B2849="","",IF(NOT(ISNUMBER(B2849)),"DATA_PC invalida",IF(NOT(ISNUMBER(parametros!$C$2)),"Fora dos ciclos",IF(OR(B2849&lt;parametros!$C$2,(YEAR(B2849)-YEAR(parametros!$C$2))*12+MONTH(B2849)-MONTH(parametros!$C$2)&gt;59),"Fora dos ciclos","C"&amp;INT(((YEAR(B2849)-YEAR(parametros!$C$2))*12+MONTH(B2849)-MONTH(parametros!$C$2))/12)))))</f>
        <v/>
      </c>
      <c r="D2849" s="394"/>
      <c r="E2849" s="78" t="str">
        <f>IF(C2849="","",IFERROR(VLOOKUP(C2849,parametros!$A$11:$E$15,5,0),""))</f>
        <v/>
      </c>
      <c r="F2849" s="79" t="str">
        <f t="shared" si="222"/>
        <v/>
      </c>
      <c r="G2849" s="395"/>
      <c r="H2849" s="91">
        <f t="shared" si="223"/>
        <v>0</v>
      </c>
      <c r="I2849" s="91" t="str">
        <f t="shared" si="224"/>
        <v/>
      </c>
      <c r="J2849" s="91" t="str">
        <f t="shared" si="225"/>
        <v/>
      </c>
      <c r="K2849" s="92" t="str">
        <f>IF(AND(A2849="",B2849="",D2849="",G2849=""),"",IF(AND(A2849&lt;&gt;"",COUNTIF($A$2:$A$5001,A2849)&gt;1),"NUMERO_PC duplicado",IF(B2849="","DATA_PC vazia",IF(NOT(ISNUMBER(B2849)),"DATA_PC invalida",IF(OR(C2849="",C2849="Fora dos ciclos"),"CICLO_PC nao identificado",IF(OR(D2849="",D2849=0),"VALOR_PC vazio ou zero",IF(AND(G2849&lt;&gt;"Sim",G2849&lt;&gt;"Nao",G2849&lt;&gt;""),"PC_PAGO_A_CONTRATADA invalido",IF(AND(C2849&lt;&gt;"C0",IFERROR(INDEX(parametros!$A$2:$A$6,MATCH(C2849,parametros!$B$2:$B$6,0)),"")="Sim",IFERROR(INDEX(parametros!$H$2:$H$6,MATCH(C2849,parametros!$B$2:$B$6,0)),"")=""),"INICIO_EFEITO ausente: PC "&amp;A2849&amp;" - "&amp;C2849,IF(L2849="","EFEITO_PC nao calculado: PC "&amp;A2849&amp;" - "&amp;C2849,"OK")))))))))</f>
        <v/>
      </c>
      <c r="L2849" s="92" t="str">
        <f>IF(AND(A2849="",B2849="",D2849="",G2849=""),"",IF(OR(B2849="",NOT(ISNUMBER(B2849)),C2849="",C2849="Fora dos ciclos"),"",IF(C2849="C0","Nao",IF(IFERROR(INDEX(parametros!$A$2:$A$6,MATCH(C2849,parametros!$B$2:$B$6,0)),"")&lt;&gt;"Sim","Nao",IF(IFERROR(INDEX(parametros!$H$2:$H$6,MATCH(C2849,parametros!$B$2:$B$6,0)),"")="","",IF(B2849&gt;=IFERROR(INDEX(parametros!$H$2:$H$6,MATCH(C2849,parametros!$B$2:$B$6,0)),""),"Sim","Nao"))))))</f>
        <v/>
      </c>
      <c r="T2849" s="156"/>
      <c r="U2849" s="214" t="str">
        <f t="shared" si="226"/>
        <v/>
      </c>
      <c r="V2849" s="212" t="s">
        <v>50</v>
      </c>
      <c r="W2849" s="100" t="s">
        <v>168</v>
      </c>
      <c r="X2849" s="100" t="s">
        <v>169</v>
      </c>
      <c r="Y2849" s="101" t="s">
        <v>170</v>
      </c>
      <c r="Z2849" s="101" t="s">
        <v>171</v>
      </c>
      <c r="AA2849" s="101" t="s">
        <v>50</v>
      </c>
      <c r="AB2849" s="101" t="s">
        <v>172</v>
      </c>
      <c r="AC2849" s="102" t="s">
        <v>173</v>
      </c>
    </row>
    <row r="2850" spans="1:29" ht="25.5" customHeight="1" x14ac:dyDescent="0.35">
      <c r="A2850" s="392"/>
      <c r="B2850" s="393"/>
      <c r="C2850" s="99" t="str">
        <f>IF(B2850="","",IF(NOT(ISNUMBER(B2850)),"DATA_PC invalida",IF(NOT(ISNUMBER(parametros!$C$2)),"Fora dos ciclos",IF(OR(B2850&lt;parametros!$C$2,(YEAR(B2850)-YEAR(parametros!$C$2))*12+MONTH(B2850)-MONTH(parametros!$C$2)&gt;59),"Fora dos ciclos","C"&amp;INT(((YEAR(B2850)-YEAR(parametros!$C$2))*12+MONTH(B2850)-MONTH(parametros!$C$2))/12)))))</f>
        <v/>
      </c>
      <c r="D2850" s="394"/>
      <c r="E2850" s="78" t="str">
        <f>IF(C2850="","",IFERROR(VLOOKUP(C2850,parametros!$A$11:$E$15,5,0),""))</f>
        <v/>
      </c>
      <c r="F2850" s="79" t="str">
        <f t="shared" si="222"/>
        <v/>
      </c>
      <c r="G2850" s="395"/>
      <c r="H2850" s="91">
        <f t="shared" si="223"/>
        <v>0</v>
      </c>
      <c r="I2850" s="91" t="str">
        <f t="shared" si="224"/>
        <v/>
      </c>
      <c r="J2850" s="91" t="str">
        <f t="shared" si="225"/>
        <v/>
      </c>
      <c r="K2850" s="92" t="str">
        <f>IF(AND(A2850="",B2850="",D2850="",G2850=""),"",IF(AND(A2850&lt;&gt;"",COUNTIF($A$2:$A$5001,A2850)&gt;1),"NUMERO_PC duplicado",IF(B2850="","DATA_PC vazia",IF(NOT(ISNUMBER(B2850)),"DATA_PC invalida",IF(OR(C2850="",C2850="Fora dos ciclos"),"CICLO_PC nao identificado",IF(OR(D2850="",D2850=0),"VALOR_PC vazio ou zero",IF(AND(G2850&lt;&gt;"Sim",G2850&lt;&gt;"Nao",G2850&lt;&gt;""),"PC_PAGO_A_CONTRATADA invalido",IF(AND(C2850&lt;&gt;"C0",IFERROR(INDEX(parametros!$A$2:$A$6,MATCH(C2850,parametros!$B$2:$B$6,0)),"")="Sim",IFERROR(INDEX(parametros!$H$2:$H$6,MATCH(C2850,parametros!$B$2:$B$6,0)),"")=""),"INICIO_EFEITO ausente: PC "&amp;A2850&amp;" - "&amp;C2850,IF(L2850="","EFEITO_PC nao calculado: PC "&amp;A2850&amp;" - "&amp;C2850,"OK")))))))))</f>
        <v/>
      </c>
      <c r="L2850" s="92" t="str">
        <f>IF(AND(A2850="",B2850="",D2850="",G2850=""),"",IF(OR(B2850="",NOT(ISNUMBER(B2850)),C2850="",C2850="Fora dos ciclos"),"",IF(C2850="C0","Nao",IF(IFERROR(INDEX(parametros!$A$2:$A$6,MATCH(C2850,parametros!$B$2:$B$6,0)),"")&lt;&gt;"Sim","Nao",IF(IFERROR(INDEX(parametros!$H$2:$H$6,MATCH(C2850,parametros!$B$2:$B$6,0)),"")="","",IF(B2850&gt;=IFERROR(INDEX(parametros!$H$2:$H$6,MATCH(C2850,parametros!$B$2:$B$6,0)),""),"Sim","Nao"))))))</f>
        <v/>
      </c>
      <c r="T2850" s="156"/>
      <c r="U2850" s="214" t="str">
        <f t="shared" si="226"/>
        <v/>
      </c>
      <c r="V2850" s="212" t="s">
        <v>50</v>
      </c>
      <c r="W2850" s="100" t="s">
        <v>168</v>
      </c>
      <c r="X2850" s="100" t="s">
        <v>169</v>
      </c>
      <c r="Y2850" s="101" t="s">
        <v>170</v>
      </c>
      <c r="Z2850" s="101" t="s">
        <v>171</v>
      </c>
      <c r="AA2850" s="101" t="s">
        <v>50</v>
      </c>
      <c r="AB2850" s="101" t="s">
        <v>172</v>
      </c>
      <c r="AC2850" s="102" t="s">
        <v>173</v>
      </c>
    </row>
    <row r="2851" spans="1:29" ht="25.5" customHeight="1" x14ac:dyDescent="0.35">
      <c r="A2851" s="392"/>
      <c r="B2851" s="393"/>
      <c r="C2851" s="99" t="str">
        <f>IF(B2851="","",IF(NOT(ISNUMBER(B2851)),"DATA_PC invalida",IF(NOT(ISNUMBER(parametros!$C$2)),"Fora dos ciclos",IF(OR(B2851&lt;parametros!$C$2,(YEAR(B2851)-YEAR(parametros!$C$2))*12+MONTH(B2851)-MONTH(parametros!$C$2)&gt;59),"Fora dos ciclos","C"&amp;INT(((YEAR(B2851)-YEAR(parametros!$C$2))*12+MONTH(B2851)-MONTH(parametros!$C$2))/12)))))</f>
        <v/>
      </c>
      <c r="D2851" s="394"/>
      <c r="E2851" s="78" t="str">
        <f>IF(C2851="","",IFERROR(VLOOKUP(C2851,parametros!$A$11:$E$15,5,0),""))</f>
        <v/>
      </c>
      <c r="F2851" s="79" t="str">
        <f t="shared" si="222"/>
        <v/>
      </c>
      <c r="G2851" s="395"/>
      <c r="H2851" s="91">
        <f t="shared" si="223"/>
        <v>0</v>
      </c>
      <c r="I2851" s="91" t="str">
        <f t="shared" si="224"/>
        <v/>
      </c>
      <c r="J2851" s="91" t="str">
        <f t="shared" si="225"/>
        <v/>
      </c>
      <c r="K2851" s="92" t="str">
        <f>IF(AND(A2851="",B2851="",D2851="",G2851=""),"",IF(AND(A2851&lt;&gt;"",COUNTIF($A$2:$A$5001,A2851)&gt;1),"NUMERO_PC duplicado",IF(B2851="","DATA_PC vazia",IF(NOT(ISNUMBER(B2851)),"DATA_PC invalida",IF(OR(C2851="",C2851="Fora dos ciclos"),"CICLO_PC nao identificado",IF(OR(D2851="",D2851=0),"VALOR_PC vazio ou zero",IF(AND(G2851&lt;&gt;"Sim",G2851&lt;&gt;"Nao",G2851&lt;&gt;""),"PC_PAGO_A_CONTRATADA invalido",IF(AND(C2851&lt;&gt;"C0",IFERROR(INDEX(parametros!$A$2:$A$6,MATCH(C2851,parametros!$B$2:$B$6,0)),"")="Sim",IFERROR(INDEX(parametros!$H$2:$H$6,MATCH(C2851,parametros!$B$2:$B$6,0)),"")=""),"INICIO_EFEITO ausente: PC "&amp;A2851&amp;" - "&amp;C2851,IF(L2851="","EFEITO_PC nao calculado: PC "&amp;A2851&amp;" - "&amp;C2851,"OK")))))))))</f>
        <v/>
      </c>
      <c r="L2851" s="92" t="str">
        <f>IF(AND(A2851="",B2851="",D2851="",G2851=""),"",IF(OR(B2851="",NOT(ISNUMBER(B2851)),C2851="",C2851="Fora dos ciclos"),"",IF(C2851="C0","Nao",IF(IFERROR(INDEX(parametros!$A$2:$A$6,MATCH(C2851,parametros!$B$2:$B$6,0)),"")&lt;&gt;"Sim","Nao",IF(IFERROR(INDEX(parametros!$H$2:$H$6,MATCH(C2851,parametros!$B$2:$B$6,0)),"")="","",IF(B2851&gt;=IFERROR(INDEX(parametros!$H$2:$H$6,MATCH(C2851,parametros!$B$2:$B$6,0)),""),"Sim","Nao"))))))</f>
        <v/>
      </c>
      <c r="T2851" s="156"/>
      <c r="U2851" s="214" t="str">
        <f t="shared" si="226"/>
        <v/>
      </c>
      <c r="V2851" s="212" t="s">
        <v>50</v>
      </c>
      <c r="W2851" s="100" t="s">
        <v>168</v>
      </c>
      <c r="X2851" s="100" t="s">
        <v>169</v>
      </c>
      <c r="Y2851" s="101" t="s">
        <v>170</v>
      </c>
      <c r="Z2851" s="101" t="s">
        <v>171</v>
      </c>
      <c r="AA2851" s="101" t="s">
        <v>50</v>
      </c>
      <c r="AB2851" s="101" t="s">
        <v>172</v>
      </c>
      <c r="AC2851" s="102" t="s">
        <v>173</v>
      </c>
    </row>
    <row r="2852" spans="1:29" ht="25.5" customHeight="1" x14ac:dyDescent="0.35">
      <c r="A2852" s="392"/>
      <c r="B2852" s="393"/>
      <c r="C2852" s="99" t="str">
        <f>IF(B2852="","",IF(NOT(ISNUMBER(B2852)),"DATA_PC invalida",IF(NOT(ISNUMBER(parametros!$C$2)),"Fora dos ciclos",IF(OR(B2852&lt;parametros!$C$2,(YEAR(B2852)-YEAR(parametros!$C$2))*12+MONTH(B2852)-MONTH(parametros!$C$2)&gt;59),"Fora dos ciclos","C"&amp;INT(((YEAR(B2852)-YEAR(parametros!$C$2))*12+MONTH(B2852)-MONTH(parametros!$C$2))/12)))))</f>
        <v/>
      </c>
      <c r="D2852" s="394"/>
      <c r="E2852" s="78" t="str">
        <f>IF(C2852="","",IFERROR(VLOOKUP(C2852,parametros!$A$11:$E$15,5,0),""))</f>
        <v/>
      </c>
      <c r="F2852" s="79" t="str">
        <f t="shared" si="222"/>
        <v/>
      </c>
      <c r="G2852" s="395"/>
      <c r="H2852" s="91">
        <f t="shared" si="223"/>
        <v>0</v>
      </c>
      <c r="I2852" s="91" t="str">
        <f t="shared" si="224"/>
        <v/>
      </c>
      <c r="J2852" s="91" t="str">
        <f t="shared" si="225"/>
        <v/>
      </c>
      <c r="K2852" s="92" t="str">
        <f>IF(AND(A2852="",B2852="",D2852="",G2852=""),"",IF(AND(A2852&lt;&gt;"",COUNTIF($A$2:$A$5001,A2852)&gt;1),"NUMERO_PC duplicado",IF(B2852="","DATA_PC vazia",IF(NOT(ISNUMBER(B2852)),"DATA_PC invalida",IF(OR(C2852="",C2852="Fora dos ciclos"),"CICLO_PC nao identificado",IF(OR(D2852="",D2852=0),"VALOR_PC vazio ou zero",IF(AND(G2852&lt;&gt;"Sim",G2852&lt;&gt;"Nao",G2852&lt;&gt;""),"PC_PAGO_A_CONTRATADA invalido",IF(AND(C2852&lt;&gt;"C0",IFERROR(INDEX(parametros!$A$2:$A$6,MATCH(C2852,parametros!$B$2:$B$6,0)),"")="Sim",IFERROR(INDEX(parametros!$H$2:$H$6,MATCH(C2852,parametros!$B$2:$B$6,0)),"")=""),"INICIO_EFEITO ausente: PC "&amp;A2852&amp;" - "&amp;C2852,IF(L2852="","EFEITO_PC nao calculado: PC "&amp;A2852&amp;" - "&amp;C2852,"OK")))))))))</f>
        <v/>
      </c>
      <c r="L2852" s="92" t="str">
        <f>IF(AND(A2852="",B2852="",D2852="",G2852=""),"",IF(OR(B2852="",NOT(ISNUMBER(B2852)),C2852="",C2852="Fora dos ciclos"),"",IF(C2852="C0","Nao",IF(IFERROR(INDEX(parametros!$A$2:$A$6,MATCH(C2852,parametros!$B$2:$B$6,0)),"")&lt;&gt;"Sim","Nao",IF(IFERROR(INDEX(parametros!$H$2:$H$6,MATCH(C2852,parametros!$B$2:$B$6,0)),"")="","",IF(B2852&gt;=IFERROR(INDEX(parametros!$H$2:$H$6,MATCH(C2852,parametros!$B$2:$B$6,0)),""),"Sim","Nao"))))))</f>
        <v/>
      </c>
      <c r="T2852" s="156"/>
      <c r="U2852" s="214" t="str">
        <f t="shared" si="226"/>
        <v/>
      </c>
      <c r="V2852" s="212" t="s">
        <v>50</v>
      </c>
      <c r="W2852" s="100" t="s">
        <v>168</v>
      </c>
      <c r="X2852" s="100" t="s">
        <v>169</v>
      </c>
      <c r="Y2852" s="101" t="s">
        <v>170</v>
      </c>
      <c r="Z2852" s="101" t="s">
        <v>171</v>
      </c>
      <c r="AA2852" s="101" t="s">
        <v>50</v>
      </c>
      <c r="AB2852" s="101" t="s">
        <v>172</v>
      </c>
      <c r="AC2852" s="102" t="s">
        <v>173</v>
      </c>
    </row>
    <row r="2853" spans="1:29" ht="25.5" customHeight="1" x14ac:dyDescent="0.35">
      <c r="A2853" s="392"/>
      <c r="B2853" s="393"/>
      <c r="C2853" s="99" t="str">
        <f>IF(B2853="","",IF(NOT(ISNUMBER(B2853)),"DATA_PC invalida",IF(NOT(ISNUMBER(parametros!$C$2)),"Fora dos ciclos",IF(OR(B2853&lt;parametros!$C$2,(YEAR(B2853)-YEAR(parametros!$C$2))*12+MONTH(B2853)-MONTH(parametros!$C$2)&gt;59),"Fora dos ciclos","C"&amp;INT(((YEAR(B2853)-YEAR(parametros!$C$2))*12+MONTH(B2853)-MONTH(parametros!$C$2))/12)))))</f>
        <v/>
      </c>
      <c r="D2853" s="394"/>
      <c r="E2853" s="78" t="str">
        <f>IF(C2853="","",IFERROR(VLOOKUP(C2853,parametros!$A$11:$E$15,5,0),""))</f>
        <v/>
      </c>
      <c r="F2853" s="79" t="str">
        <f t="shared" si="222"/>
        <v/>
      </c>
      <c r="G2853" s="395"/>
      <c r="H2853" s="91">
        <f t="shared" si="223"/>
        <v>0</v>
      </c>
      <c r="I2853" s="91" t="str">
        <f t="shared" si="224"/>
        <v/>
      </c>
      <c r="J2853" s="91" t="str">
        <f t="shared" si="225"/>
        <v/>
      </c>
      <c r="K2853" s="92" t="str">
        <f>IF(AND(A2853="",B2853="",D2853="",G2853=""),"",IF(AND(A2853&lt;&gt;"",COUNTIF($A$2:$A$5001,A2853)&gt;1),"NUMERO_PC duplicado",IF(B2853="","DATA_PC vazia",IF(NOT(ISNUMBER(B2853)),"DATA_PC invalida",IF(OR(C2853="",C2853="Fora dos ciclos"),"CICLO_PC nao identificado",IF(OR(D2853="",D2853=0),"VALOR_PC vazio ou zero",IF(AND(G2853&lt;&gt;"Sim",G2853&lt;&gt;"Nao",G2853&lt;&gt;""),"PC_PAGO_A_CONTRATADA invalido",IF(AND(C2853&lt;&gt;"C0",IFERROR(INDEX(parametros!$A$2:$A$6,MATCH(C2853,parametros!$B$2:$B$6,0)),"")="Sim",IFERROR(INDEX(parametros!$H$2:$H$6,MATCH(C2853,parametros!$B$2:$B$6,0)),"")=""),"INICIO_EFEITO ausente: PC "&amp;A2853&amp;" - "&amp;C2853,IF(L2853="","EFEITO_PC nao calculado: PC "&amp;A2853&amp;" - "&amp;C2853,"OK")))))))))</f>
        <v/>
      </c>
      <c r="L2853" s="92" t="str">
        <f>IF(AND(A2853="",B2853="",D2853="",G2853=""),"",IF(OR(B2853="",NOT(ISNUMBER(B2853)),C2853="",C2853="Fora dos ciclos"),"",IF(C2853="C0","Nao",IF(IFERROR(INDEX(parametros!$A$2:$A$6,MATCH(C2853,parametros!$B$2:$B$6,0)),"")&lt;&gt;"Sim","Nao",IF(IFERROR(INDEX(parametros!$H$2:$H$6,MATCH(C2853,parametros!$B$2:$B$6,0)),"")="","",IF(B2853&gt;=IFERROR(INDEX(parametros!$H$2:$H$6,MATCH(C2853,parametros!$B$2:$B$6,0)),""),"Sim","Nao"))))))</f>
        <v/>
      </c>
      <c r="T2853" s="156"/>
      <c r="U2853" s="214" t="str">
        <f t="shared" si="226"/>
        <v/>
      </c>
      <c r="V2853" s="212" t="s">
        <v>50</v>
      </c>
      <c r="W2853" s="100" t="s">
        <v>168</v>
      </c>
      <c r="X2853" s="100" t="s">
        <v>169</v>
      </c>
      <c r="Y2853" s="101" t="s">
        <v>170</v>
      </c>
      <c r="Z2853" s="101" t="s">
        <v>171</v>
      </c>
      <c r="AA2853" s="101" t="s">
        <v>50</v>
      </c>
      <c r="AB2853" s="101" t="s">
        <v>172</v>
      </c>
      <c r="AC2853" s="102" t="s">
        <v>173</v>
      </c>
    </row>
    <row r="2854" spans="1:29" ht="25.5" customHeight="1" x14ac:dyDescent="0.35">
      <c r="A2854" s="392"/>
      <c r="B2854" s="393"/>
      <c r="C2854" s="99" t="str">
        <f>IF(B2854="","",IF(NOT(ISNUMBER(B2854)),"DATA_PC invalida",IF(NOT(ISNUMBER(parametros!$C$2)),"Fora dos ciclos",IF(OR(B2854&lt;parametros!$C$2,(YEAR(B2854)-YEAR(parametros!$C$2))*12+MONTH(B2854)-MONTH(parametros!$C$2)&gt;59),"Fora dos ciclos","C"&amp;INT(((YEAR(B2854)-YEAR(parametros!$C$2))*12+MONTH(B2854)-MONTH(parametros!$C$2))/12)))))</f>
        <v/>
      </c>
      <c r="D2854" s="394"/>
      <c r="E2854" s="78" t="str">
        <f>IF(C2854="","",IFERROR(VLOOKUP(C2854,parametros!$A$11:$E$15,5,0),""))</f>
        <v/>
      </c>
      <c r="F2854" s="79" t="str">
        <f t="shared" si="222"/>
        <v/>
      </c>
      <c r="G2854" s="395"/>
      <c r="H2854" s="91">
        <f t="shared" si="223"/>
        <v>0</v>
      </c>
      <c r="I2854" s="91" t="str">
        <f t="shared" si="224"/>
        <v/>
      </c>
      <c r="J2854" s="91" t="str">
        <f t="shared" si="225"/>
        <v/>
      </c>
      <c r="K2854" s="92" t="str">
        <f>IF(AND(A2854="",B2854="",D2854="",G2854=""),"",IF(AND(A2854&lt;&gt;"",COUNTIF($A$2:$A$5001,A2854)&gt;1),"NUMERO_PC duplicado",IF(B2854="","DATA_PC vazia",IF(NOT(ISNUMBER(B2854)),"DATA_PC invalida",IF(OR(C2854="",C2854="Fora dos ciclos"),"CICLO_PC nao identificado",IF(OR(D2854="",D2854=0),"VALOR_PC vazio ou zero",IF(AND(G2854&lt;&gt;"Sim",G2854&lt;&gt;"Nao",G2854&lt;&gt;""),"PC_PAGO_A_CONTRATADA invalido",IF(AND(C2854&lt;&gt;"C0",IFERROR(INDEX(parametros!$A$2:$A$6,MATCH(C2854,parametros!$B$2:$B$6,0)),"")="Sim",IFERROR(INDEX(parametros!$H$2:$H$6,MATCH(C2854,parametros!$B$2:$B$6,0)),"")=""),"INICIO_EFEITO ausente: PC "&amp;A2854&amp;" - "&amp;C2854,IF(L2854="","EFEITO_PC nao calculado: PC "&amp;A2854&amp;" - "&amp;C2854,"OK")))))))))</f>
        <v/>
      </c>
      <c r="L2854" s="92" t="str">
        <f>IF(AND(A2854="",B2854="",D2854="",G2854=""),"",IF(OR(B2854="",NOT(ISNUMBER(B2854)),C2854="",C2854="Fora dos ciclos"),"",IF(C2854="C0","Nao",IF(IFERROR(INDEX(parametros!$A$2:$A$6,MATCH(C2854,parametros!$B$2:$B$6,0)),"")&lt;&gt;"Sim","Nao",IF(IFERROR(INDEX(parametros!$H$2:$H$6,MATCH(C2854,parametros!$B$2:$B$6,0)),"")="","",IF(B2854&gt;=IFERROR(INDEX(parametros!$H$2:$H$6,MATCH(C2854,parametros!$B$2:$B$6,0)),""),"Sim","Nao"))))))</f>
        <v/>
      </c>
      <c r="T2854" s="156"/>
      <c r="U2854" s="214" t="str">
        <f t="shared" si="226"/>
        <v/>
      </c>
      <c r="V2854" s="212" t="s">
        <v>50</v>
      </c>
      <c r="W2854" s="100" t="s">
        <v>168</v>
      </c>
      <c r="X2854" s="100" t="s">
        <v>169</v>
      </c>
      <c r="Y2854" s="101" t="s">
        <v>170</v>
      </c>
      <c r="Z2854" s="101" t="s">
        <v>171</v>
      </c>
      <c r="AA2854" s="101" t="s">
        <v>50</v>
      </c>
      <c r="AB2854" s="101" t="s">
        <v>172</v>
      </c>
      <c r="AC2854" s="102" t="s">
        <v>173</v>
      </c>
    </row>
    <row r="2855" spans="1:29" ht="25.5" customHeight="1" x14ac:dyDescent="0.35">
      <c r="A2855" s="392"/>
      <c r="B2855" s="393"/>
      <c r="C2855" s="99" t="str">
        <f>IF(B2855="","",IF(NOT(ISNUMBER(B2855)),"DATA_PC invalida",IF(NOT(ISNUMBER(parametros!$C$2)),"Fora dos ciclos",IF(OR(B2855&lt;parametros!$C$2,(YEAR(B2855)-YEAR(parametros!$C$2))*12+MONTH(B2855)-MONTH(parametros!$C$2)&gt;59),"Fora dos ciclos","C"&amp;INT(((YEAR(B2855)-YEAR(parametros!$C$2))*12+MONTH(B2855)-MONTH(parametros!$C$2))/12)))))</f>
        <v/>
      </c>
      <c r="D2855" s="394"/>
      <c r="E2855" s="78" t="str">
        <f>IF(C2855="","",IFERROR(VLOOKUP(C2855,parametros!$A$11:$E$15,5,0),""))</f>
        <v/>
      </c>
      <c r="F2855" s="79" t="str">
        <f t="shared" si="222"/>
        <v/>
      </c>
      <c r="G2855" s="395"/>
      <c r="H2855" s="91">
        <f t="shared" si="223"/>
        <v>0</v>
      </c>
      <c r="I2855" s="91" t="str">
        <f t="shared" si="224"/>
        <v/>
      </c>
      <c r="J2855" s="91" t="str">
        <f t="shared" si="225"/>
        <v/>
      </c>
      <c r="K2855" s="92" t="str">
        <f>IF(AND(A2855="",B2855="",D2855="",G2855=""),"",IF(AND(A2855&lt;&gt;"",COUNTIF($A$2:$A$5001,A2855)&gt;1),"NUMERO_PC duplicado",IF(B2855="","DATA_PC vazia",IF(NOT(ISNUMBER(B2855)),"DATA_PC invalida",IF(OR(C2855="",C2855="Fora dos ciclos"),"CICLO_PC nao identificado",IF(OR(D2855="",D2855=0),"VALOR_PC vazio ou zero",IF(AND(G2855&lt;&gt;"Sim",G2855&lt;&gt;"Nao",G2855&lt;&gt;""),"PC_PAGO_A_CONTRATADA invalido",IF(AND(C2855&lt;&gt;"C0",IFERROR(INDEX(parametros!$A$2:$A$6,MATCH(C2855,parametros!$B$2:$B$6,0)),"")="Sim",IFERROR(INDEX(parametros!$H$2:$H$6,MATCH(C2855,parametros!$B$2:$B$6,0)),"")=""),"INICIO_EFEITO ausente: PC "&amp;A2855&amp;" - "&amp;C2855,IF(L2855="","EFEITO_PC nao calculado: PC "&amp;A2855&amp;" - "&amp;C2855,"OK")))))))))</f>
        <v/>
      </c>
      <c r="L2855" s="92" t="str">
        <f>IF(AND(A2855="",B2855="",D2855="",G2855=""),"",IF(OR(B2855="",NOT(ISNUMBER(B2855)),C2855="",C2855="Fora dos ciclos"),"",IF(C2855="C0","Nao",IF(IFERROR(INDEX(parametros!$A$2:$A$6,MATCH(C2855,parametros!$B$2:$B$6,0)),"")&lt;&gt;"Sim","Nao",IF(IFERROR(INDEX(parametros!$H$2:$H$6,MATCH(C2855,parametros!$B$2:$B$6,0)),"")="","",IF(B2855&gt;=IFERROR(INDEX(parametros!$H$2:$H$6,MATCH(C2855,parametros!$B$2:$B$6,0)),""),"Sim","Nao"))))))</f>
        <v/>
      </c>
      <c r="T2855" s="156"/>
      <c r="U2855" s="214" t="str">
        <f t="shared" si="226"/>
        <v/>
      </c>
      <c r="V2855" s="212" t="s">
        <v>50</v>
      </c>
      <c r="W2855" s="100" t="s">
        <v>168</v>
      </c>
      <c r="X2855" s="100" t="s">
        <v>169</v>
      </c>
      <c r="Y2855" s="101" t="s">
        <v>170</v>
      </c>
      <c r="Z2855" s="101" t="s">
        <v>171</v>
      </c>
      <c r="AA2855" s="101" t="s">
        <v>50</v>
      </c>
      <c r="AB2855" s="101" t="s">
        <v>172</v>
      </c>
      <c r="AC2855" s="102" t="s">
        <v>173</v>
      </c>
    </row>
    <row r="2856" spans="1:29" ht="25.5" customHeight="1" x14ac:dyDescent="0.35">
      <c r="A2856" s="392"/>
      <c r="B2856" s="393"/>
      <c r="C2856" s="99" t="str">
        <f>IF(B2856="","",IF(NOT(ISNUMBER(B2856)),"DATA_PC invalida",IF(NOT(ISNUMBER(parametros!$C$2)),"Fora dos ciclos",IF(OR(B2856&lt;parametros!$C$2,(YEAR(B2856)-YEAR(parametros!$C$2))*12+MONTH(B2856)-MONTH(parametros!$C$2)&gt;59),"Fora dos ciclos","C"&amp;INT(((YEAR(B2856)-YEAR(parametros!$C$2))*12+MONTH(B2856)-MONTH(parametros!$C$2))/12)))))</f>
        <v/>
      </c>
      <c r="D2856" s="394"/>
      <c r="E2856" s="78" t="str">
        <f>IF(C2856="","",IFERROR(VLOOKUP(C2856,parametros!$A$11:$E$15,5,0),""))</f>
        <v/>
      </c>
      <c r="F2856" s="79" t="str">
        <f t="shared" si="222"/>
        <v/>
      </c>
      <c r="G2856" s="395"/>
      <c r="H2856" s="91">
        <f t="shared" si="223"/>
        <v>0</v>
      </c>
      <c r="I2856" s="91" t="str">
        <f t="shared" si="224"/>
        <v/>
      </c>
      <c r="J2856" s="91" t="str">
        <f t="shared" si="225"/>
        <v/>
      </c>
      <c r="K2856" s="92" t="str">
        <f>IF(AND(A2856="",B2856="",D2856="",G2856=""),"",IF(AND(A2856&lt;&gt;"",COUNTIF($A$2:$A$5001,A2856)&gt;1),"NUMERO_PC duplicado",IF(B2856="","DATA_PC vazia",IF(NOT(ISNUMBER(B2856)),"DATA_PC invalida",IF(OR(C2856="",C2856="Fora dos ciclos"),"CICLO_PC nao identificado",IF(OR(D2856="",D2856=0),"VALOR_PC vazio ou zero",IF(AND(G2856&lt;&gt;"Sim",G2856&lt;&gt;"Nao",G2856&lt;&gt;""),"PC_PAGO_A_CONTRATADA invalido",IF(AND(C2856&lt;&gt;"C0",IFERROR(INDEX(parametros!$A$2:$A$6,MATCH(C2856,parametros!$B$2:$B$6,0)),"")="Sim",IFERROR(INDEX(parametros!$H$2:$H$6,MATCH(C2856,parametros!$B$2:$B$6,0)),"")=""),"INICIO_EFEITO ausente: PC "&amp;A2856&amp;" - "&amp;C2856,IF(L2856="","EFEITO_PC nao calculado: PC "&amp;A2856&amp;" - "&amp;C2856,"OK")))))))))</f>
        <v/>
      </c>
      <c r="L2856" s="92" t="str">
        <f>IF(AND(A2856="",B2856="",D2856="",G2856=""),"",IF(OR(B2856="",NOT(ISNUMBER(B2856)),C2856="",C2856="Fora dos ciclos"),"",IF(C2856="C0","Nao",IF(IFERROR(INDEX(parametros!$A$2:$A$6,MATCH(C2856,parametros!$B$2:$B$6,0)),"")&lt;&gt;"Sim","Nao",IF(IFERROR(INDEX(parametros!$H$2:$H$6,MATCH(C2856,parametros!$B$2:$B$6,0)),"")="","",IF(B2856&gt;=IFERROR(INDEX(parametros!$H$2:$H$6,MATCH(C2856,parametros!$B$2:$B$6,0)),""),"Sim","Nao"))))))</f>
        <v/>
      </c>
      <c r="T2856" s="156"/>
      <c r="U2856" s="214" t="str">
        <f t="shared" si="226"/>
        <v/>
      </c>
      <c r="V2856" s="212" t="s">
        <v>50</v>
      </c>
      <c r="W2856" s="100" t="s">
        <v>168</v>
      </c>
      <c r="X2856" s="100" t="s">
        <v>169</v>
      </c>
      <c r="Y2856" s="101" t="s">
        <v>170</v>
      </c>
      <c r="Z2856" s="101" t="s">
        <v>171</v>
      </c>
      <c r="AA2856" s="101" t="s">
        <v>50</v>
      </c>
      <c r="AB2856" s="101" t="s">
        <v>172</v>
      </c>
      <c r="AC2856" s="102" t="s">
        <v>173</v>
      </c>
    </row>
    <row r="2857" spans="1:29" ht="25.5" customHeight="1" x14ac:dyDescent="0.35">
      <c r="A2857" s="392"/>
      <c r="B2857" s="393"/>
      <c r="C2857" s="99" t="str">
        <f>IF(B2857="","",IF(NOT(ISNUMBER(B2857)),"DATA_PC invalida",IF(NOT(ISNUMBER(parametros!$C$2)),"Fora dos ciclos",IF(OR(B2857&lt;parametros!$C$2,(YEAR(B2857)-YEAR(parametros!$C$2))*12+MONTH(B2857)-MONTH(parametros!$C$2)&gt;59),"Fora dos ciclos","C"&amp;INT(((YEAR(B2857)-YEAR(parametros!$C$2))*12+MONTH(B2857)-MONTH(parametros!$C$2))/12)))))</f>
        <v/>
      </c>
      <c r="D2857" s="394"/>
      <c r="E2857" s="78" t="str">
        <f>IF(C2857="","",IFERROR(VLOOKUP(C2857,parametros!$A$11:$E$15,5,0),""))</f>
        <v/>
      </c>
      <c r="F2857" s="79" t="str">
        <f t="shared" si="222"/>
        <v/>
      </c>
      <c r="G2857" s="395"/>
      <c r="H2857" s="91">
        <f t="shared" si="223"/>
        <v>0</v>
      </c>
      <c r="I2857" s="91" t="str">
        <f t="shared" si="224"/>
        <v/>
      </c>
      <c r="J2857" s="91" t="str">
        <f t="shared" si="225"/>
        <v/>
      </c>
      <c r="K2857" s="92" t="str">
        <f>IF(AND(A2857="",B2857="",D2857="",G2857=""),"",IF(AND(A2857&lt;&gt;"",COUNTIF($A$2:$A$5001,A2857)&gt;1),"NUMERO_PC duplicado",IF(B2857="","DATA_PC vazia",IF(NOT(ISNUMBER(B2857)),"DATA_PC invalida",IF(OR(C2857="",C2857="Fora dos ciclos"),"CICLO_PC nao identificado",IF(OR(D2857="",D2857=0),"VALOR_PC vazio ou zero",IF(AND(G2857&lt;&gt;"Sim",G2857&lt;&gt;"Nao",G2857&lt;&gt;""),"PC_PAGO_A_CONTRATADA invalido",IF(AND(C2857&lt;&gt;"C0",IFERROR(INDEX(parametros!$A$2:$A$6,MATCH(C2857,parametros!$B$2:$B$6,0)),"")="Sim",IFERROR(INDEX(parametros!$H$2:$H$6,MATCH(C2857,parametros!$B$2:$B$6,0)),"")=""),"INICIO_EFEITO ausente: PC "&amp;A2857&amp;" - "&amp;C2857,IF(L2857="","EFEITO_PC nao calculado: PC "&amp;A2857&amp;" - "&amp;C2857,"OK")))))))))</f>
        <v/>
      </c>
      <c r="L2857" s="92" t="str">
        <f>IF(AND(A2857="",B2857="",D2857="",G2857=""),"",IF(OR(B2857="",NOT(ISNUMBER(B2857)),C2857="",C2857="Fora dos ciclos"),"",IF(C2857="C0","Nao",IF(IFERROR(INDEX(parametros!$A$2:$A$6,MATCH(C2857,parametros!$B$2:$B$6,0)),"")&lt;&gt;"Sim","Nao",IF(IFERROR(INDEX(parametros!$H$2:$H$6,MATCH(C2857,parametros!$B$2:$B$6,0)),"")="","",IF(B2857&gt;=IFERROR(INDEX(parametros!$H$2:$H$6,MATCH(C2857,parametros!$B$2:$B$6,0)),""),"Sim","Nao"))))))</f>
        <v/>
      </c>
      <c r="T2857" s="156"/>
      <c r="U2857" s="214" t="str">
        <f t="shared" si="226"/>
        <v/>
      </c>
      <c r="V2857" s="212" t="s">
        <v>50</v>
      </c>
      <c r="W2857" s="100" t="s">
        <v>168</v>
      </c>
      <c r="X2857" s="100" t="s">
        <v>169</v>
      </c>
      <c r="Y2857" s="101" t="s">
        <v>170</v>
      </c>
      <c r="Z2857" s="101" t="s">
        <v>171</v>
      </c>
      <c r="AA2857" s="101" t="s">
        <v>50</v>
      </c>
      <c r="AB2857" s="101" t="s">
        <v>172</v>
      </c>
      <c r="AC2857" s="102" t="s">
        <v>173</v>
      </c>
    </row>
    <row r="2858" spans="1:29" ht="25.5" customHeight="1" x14ac:dyDescent="0.35">
      <c r="A2858" s="392"/>
      <c r="B2858" s="393"/>
      <c r="C2858" s="99" t="str">
        <f>IF(B2858="","",IF(NOT(ISNUMBER(B2858)),"DATA_PC invalida",IF(NOT(ISNUMBER(parametros!$C$2)),"Fora dos ciclos",IF(OR(B2858&lt;parametros!$C$2,(YEAR(B2858)-YEAR(parametros!$C$2))*12+MONTH(B2858)-MONTH(parametros!$C$2)&gt;59),"Fora dos ciclos","C"&amp;INT(((YEAR(B2858)-YEAR(parametros!$C$2))*12+MONTH(B2858)-MONTH(parametros!$C$2))/12)))))</f>
        <v/>
      </c>
      <c r="D2858" s="394"/>
      <c r="E2858" s="78" t="str">
        <f>IF(C2858="","",IFERROR(VLOOKUP(C2858,parametros!$A$11:$E$15,5,0),""))</f>
        <v/>
      </c>
      <c r="F2858" s="79" t="str">
        <f t="shared" si="222"/>
        <v/>
      </c>
      <c r="G2858" s="395"/>
      <c r="H2858" s="91">
        <f t="shared" si="223"/>
        <v>0</v>
      </c>
      <c r="I2858" s="91" t="str">
        <f t="shared" si="224"/>
        <v/>
      </c>
      <c r="J2858" s="91" t="str">
        <f t="shared" si="225"/>
        <v/>
      </c>
      <c r="K2858" s="92" t="str">
        <f>IF(AND(A2858="",B2858="",D2858="",G2858=""),"",IF(AND(A2858&lt;&gt;"",COUNTIF($A$2:$A$5001,A2858)&gt;1),"NUMERO_PC duplicado",IF(B2858="","DATA_PC vazia",IF(NOT(ISNUMBER(B2858)),"DATA_PC invalida",IF(OR(C2858="",C2858="Fora dos ciclos"),"CICLO_PC nao identificado",IF(OR(D2858="",D2858=0),"VALOR_PC vazio ou zero",IF(AND(G2858&lt;&gt;"Sim",G2858&lt;&gt;"Nao",G2858&lt;&gt;""),"PC_PAGO_A_CONTRATADA invalido",IF(AND(C2858&lt;&gt;"C0",IFERROR(INDEX(parametros!$A$2:$A$6,MATCH(C2858,parametros!$B$2:$B$6,0)),"")="Sim",IFERROR(INDEX(parametros!$H$2:$H$6,MATCH(C2858,parametros!$B$2:$B$6,0)),"")=""),"INICIO_EFEITO ausente: PC "&amp;A2858&amp;" - "&amp;C2858,IF(L2858="","EFEITO_PC nao calculado: PC "&amp;A2858&amp;" - "&amp;C2858,"OK")))))))))</f>
        <v/>
      </c>
      <c r="L2858" s="92" t="str">
        <f>IF(AND(A2858="",B2858="",D2858="",G2858=""),"",IF(OR(B2858="",NOT(ISNUMBER(B2858)),C2858="",C2858="Fora dos ciclos"),"",IF(C2858="C0","Nao",IF(IFERROR(INDEX(parametros!$A$2:$A$6,MATCH(C2858,parametros!$B$2:$B$6,0)),"")&lt;&gt;"Sim","Nao",IF(IFERROR(INDEX(parametros!$H$2:$H$6,MATCH(C2858,parametros!$B$2:$B$6,0)),"")="","",IF(B2858&gt;=IFERROR(INDEX(parametros!$H$2:$H$6,MATCH(C2858,parametros!$B$2:$B$6,0)),""),"Sim","Nao"))))))</f>
        <v/>
      </c>
      <c r="T2858" s="156"/>
      <c r="U2858" s="214" t="str">
        <f t="shared" si="226"/>
        <v/>
      </c>
      <c r="V2858" s="212" t="s">
        <v>50</v>
      </c>
      <c r="W2858" s="100" t="s">
        <v>168</v>
      </c>
      <c r="X2858" s="100" t="s">
        <v>169</v>
      </c>
      <c r="Y2858" s="101" t="s">
        <v>170</v>
      </c>
      <c r="Z2858" s="101" t="s">
        <v>171</v>
      </c>
      <c r="AA2858" s="101" t="s">
        <v>50</v>
      </c>
      <c r="AB2858" s="101" t="s">
        <v>172</v>
      </c>
      <c r="AC2858" s="102" t="s">
        <v>173</v>
      </c>
    </row>
    <row r="2859" spans="1:29" ht="25.5" customHeight="1" x14ac:dyDescent="0.35">
      <c r="A2859" s="392"/>
      <c r="B2859" s="393"/>
      <c r="C2859" s="99" t="str">
        <f>IF(B2859="","",IF(NOT(ISNUMBER(B2859)),"DATA_PC invalida",IF(NOT(ISNUMBER(parametros!$C$2)),"Fora dos ciclos",IF(OR(B2859&lt;parametros!$C$2,(YEAR(B2859)-YEAR(parametros!$C$2))*12+MONTH(B2859)-MONTH(parametros!$C$2)&gt;59),"Fora dos ciclos","C"&amp;INT(((YEAR(B2859)-YEAR(parametros!$C$2))*12+MONTH(B2859)-MONTH(parametros!$C$2))/12)))))</f>
        <v/>
      </c>
      <c r="D2859" s="394"/>
      <c r="E2859" s="78" t="str">
        <f>IF(C2859="","",IFERROR(VLOOKUP(C2859,parametros!$A$11:$E$15,5,0),""))</f>
        <v/>
      </c>
      <c r="F2859" s="79" t="str">
        <f t="shared" si="222"/>
        <v/>
      </c>
      <c r="G2859" s="395"/>
      <c r="H2859" s="91">
        <f t="shared" si="223"/>
        <v>0</v>
      </c>
      <c r="I2859" s="91" t="str">
        <f t="shared" si="224"/>
        <v/>
      </c>
      <c r="J2859" s="91" t="str">
        <f t="shared" si="225"/>
        <v/>
      </c>
      <c r="K2859" s="92" t="str">
        <f>IF(AND(A2859="",B2859="",D2859="",G2859=""),"",IF(AND(A2859&lt;&gt;"",COUNTIF($A$2:$A$5001,A2859)&gt;1),"NUMERO_PC duplicado",IF(B2859="","DATA_PC vazia",IF(NOT(ISNUMBER(B2859)),"DATA_PC invalida",IF(OR(C2859="",C2859="Fora dos ciclos"),"CICLO_PC nao identificado",IF(OR(D2859="",D2859=0),"VALOR_PC vazio ou zero",IF(AND(G2859&lt;&gt;"Sim",G2859&lt;&gt;"Nao",G2859&lt;&gt;""),"PC_PAGO_A_CONTRATADA invalido",IF(AND(C2859&lt;&gt;"C0",IFERROR(INDEX(parametros!$A$2:$A$6,MATCH(C2859,parametros!$B$2:$B$6,0)),"")="Sim",IFERROR(INDEX(parametros!$H$2:$H$6,MATCH(C2859,parametros!$B$2:$B$6,0)),"")=""),"INICIO_EFEITO ausente: PC "&amp;A2859&amp;" - "&amp;C2859,IF(L2859="","EFEITO_PC nao calculado: PC "&amp;A2859&amp;" - "&amp;C2859,"OK")))))))))</f>
        <v/>
      </c>
      <c r="L2859" s="92" t="str">
        <f>IF(AND(A2859="",B2859="",D2859="",G2859=""),"",IF(OR(B2859="",NOT(ISNUMBER(B2859)),C2859="",C2859="Fora dos ciclos"),"",IF(C2859="C0","Nao",IF(IFERROR(INDEX(parametros!$A$2:$A$6,MATCH(C2859,parametros!$B$2:$B$6,0)),"")&lt;&gt;"Sim","Nao",IF(IFERROR(INDEX(parametros!$H$2:$H$6,MATCH(C2859,parametros!$B$2:$B$6,0)),"")="","",IF(B2859&gt;=IFERROR(INDEX(parametros!$H$2:$H$6,MATCH(C2859,parametros!$B$2:$B$6,0)),""),"Sim","Nao"))))))</f>
        <v/>
      </c>
      <c r="T2859" s="156"/>
      <c r="U2859" s="214" t="str">
        <f t="shared" si="226"/>
        <v/>
      </c>
      <c r="V2859" s="212" t="s">
        <v>50</v>
      </c>
      <c r="W2859" s="100" t="s">
        <v>168</v>
      </c>
      <c r="X2859" s="100" t="s">
        <v>169</v>
      </c>
      <c r="Y2859" s="101" t="s">
        <v>170</v>
      </c>
      <c r="Z2859" s="101" t="s">
        <v>171</v>
      </c>
      <c r="AA2859" s="101" t="s">
        <v>50</v>
      </c>
      <c r="AB2859" s="101" t="s">
        <v>172</v>
      </c>
      <c r="AC2859" s="102" t="s">
        <v>173</v>
      </c>
    </row>
    <row r="2860" spans="1:29" ht="25.5" customHeight="1" x14ac:dyDescent="0.35">
      <c r="A2860" s="392"/>
      <c r="B2860" s="393"/>
      <c r="C2860" s="99" t="str">
        <f>IF(B2860="","",IF(NOT(ISNUMBER(B2860)),"DATA_PC invalida",IF(NOT(ISNUMBER(parametros!$C$2)),"Fora dos ciclos",IF(OR(B2860&lt;parametros!$C$2,(YEAR(B2860)-YEAR(parametros!$C$2))*12+MONTH(B2860)-MONTH(parametros!$C$2)&gt;59),"Fora dos ciclos","C"&amp;INT(((YEAR(B2860)-YEAR(parametros!$C$2))*12+MONTH(B2860)-MONTH(parametros!$C$2))/12)))))</f>
        <v/>
      </c>
      <c r="D2860" s="394"/>
      <c r="E2860" s="78" t="str">
        <f>IF(C2860="","",IFERROR(VLOOKUP(C2860,parametros!$A$11:$E$15,5,0),""))</f>
        <v/>
      </c>
      <c r="F2860" s="79" t="str">
        <f t="shared" si="222"/>
        <v/>
      </c>
      <c r="G2860" s="395"/>
      <c r="H2860" s="91">
        <f t="shared" si="223"/>
        <v>0</v>
      </c>
      <c r="I2860" s="91" t="str">
        <f t="shared" si="224"/>
        <v/>
      </c>
      <c r="J2860" s="91" t="str">
        <f t="shared" si="225"/>
        <v/>
      </c>
      <c r="K2860" s="92" t="str">
        <f>IF(AND(A2860="",B2860="",D2860="",G2860=""),"",IF(AND(A2860&lt;&gt;"",COUNTIF($A$2:$A$5001,A2860)&gt;1),"NUMERO_PC duplicado",IF(B2860="","DATA_PC vazia",IF(NOT(ISNUMBER(B2860)),"DATA_PC invalida",IF(OR(C2860="",C2860="Fora dos ciclos"),"CICLO_PC nao identificado",IF(OR(D2860="",D2860=0),"VALOR_PC vazio ou zero",IF(AND(G2860&lt;&gt;"Sim",G2860&lt;&gt;"Nao",G2860&lt;&gt;""),"PC_PAGO_A_CONTRATADA invalido",IF(AND(C2860&lt;&gt;"C0",IFERROR(INDEX(parametros!$A$2:$A$6,MATCH(C2860,parametros!$B$2:$B$6,0)),"")="Sim",IFERROR(INDEX(parametros!$H$2:$H$6,MATCH(C2860,parametros!$B$2:$B$6,0)),"")=""),"INICIO_EFEITO ausente: PC "&amp;A2860&amp;" - "&amp;C2860,IF(L2860="","EFEITO_PC nao calculado: PC "&amp;A2860&amp;" - "&amp;C2860,"OK")))))))))</f>
        <v/>
      </c>
      <c r="L2860" s="92" t="str">
        <f>IF(AND(A2860="",B2860="",D2860="",G2860=""),"",IF(OR(B2860="",NOT(ISNUMBER(B2860)),C2860="",C2860="Fora dos ciclos"),"",IF(C2860="C0","Nao",IF(IFERROR(INDEX(parametros!$A$2:$A$6,MATCH(C2860,parametros!$B$2:$B$6,0)),"")&lt;&gt;"Sim","Nao",IF(IFERROR(INDEX(parametros!$H$2:$H$6,MATCH(C2860,parametros!$B$2:$B$6,0)),"")="","",IF(B2860&gt;=IFERROR(INDEX(parametros!$H$2:$H$6,MATCH(C2860,parametros!$B$2:$B$6,0)),""),"Sim","Nao"))))))</f>
        <v/>
      </c>
      <c r="T2860" s="156"/>
      <c r="U2860" s="214" t="str">
        <f t="shared" si="226"/>
        <v/>
      </c>
      <c r="V2860" s="212" t="s">
        <v>50</v>
      </c>
      <c r="W2860" s="100" t="s">
        <v>168</v>
      </c>
      <c r="X2860" s="100" t="s">
        <v>169</v>
      </c>
      <c r="Y2860" s="101" t="s">
        <v>170</v>
      </c>
      <c r="Z2860" s="101" t="s">
        <v>171</v>
      </c>
      <c r="AA2860" s="101" t="s">
        <v>50</v>
      </c>
      <c r="AB2860" s="101" t="s">
        <v>172</v>
      </c>
      <c r="AC2860" s="102" t="s">
        <v>173</v>
      </c>
    </row>
    <row r="2861" spans="1:29" ht="25.5" customHeight="1" x14ac:dyDescent="0.35">
      <c r="A2861" s="392"/>
      <c r="B2861" s="393"/>
      <c r="C2861" s="99" t="str">
        <f>IF(B2861="","",IF(NOT(ISNUMBER(B2861)),"DATA_PC invalida",IF(NOT(ISNUMBER(parametros!$C$2)),"Fora dos ciclos",IF(OR(B2861&lt;parametros!$C$2,(YEAR(B2861)-YEAR(parametros!$C$2))*12+MONTH(B2861)-MONTH(parametros!$C$2)&gt;59),"Fora dos ciclos","C"&amp;INT(((YEAR(B2861)-YEAR(parametros!$C$2))*12+MONTH(B2861)-MONTH(parametros!$C$2))/12)))))</f>
        <v/>
      </c>
      <c r="D2861" s="394"/>
      <c r="E2861" s="78" t="str">
        <f>IF(C2861="","",IFERROR(VLOOKUP(C2861,parametros!$A$11:$E$15,5,0),""))</f>
        <v/>
      </c>
      <c r="F2861" s="79" t="str">
        <f t="shared" si="222"/>
        <v/>
      </c>
      <c r="G2861" s="395"/>
      <c r="H2861" s="91">
        <f t="shared" si="223"/>
        <v>0</v>
      </c>
      <c r="I2861" s="91" t="str">
        <f t="shared" si="224"/>
        <v/>
      </c>
      <c r="J2861" s="91" t="str">
        <f t="shared" si="225"/>
        <v/>
      </c>
      <c r="K2861" s="92" t="str">
        <f>IF(AND(A2861="",B2861="",D2861="",G2861=""),"",IF(AND(A2861&lt;&gt;"",COUNTIF($A$2:$A$5001,A2861)&gt;1),"NUMERO_PC duplicado",IF(B2861="","DATA_PC vazia",IF(NOT(ISNUMBER(B2861)),"DATA_PC invalida",IF(OR(C2861="",C2861="Fora dos ciclos"),"CICLO_PC nao identificado",IF(OR(D2861="",D2861=0),"VALOR_PC vazio ou zero",IF(AND(G2861&lt;&gt;"Sim",G2861&lt;&gt;"Nao",G2861&lt;&gt;""),"PC_PAGO_A_CONTRATADA invalido",IF(AND(C2861&lt;&gt;"C0",IFERROR(INDEX(parametros!$A$2:$A$6,MATCH(C2861,parametros!$B$2:$B$6,0)),"")="Sim",IFERROR(INDEX(parametros!$H$2:$H$6,MATCH(C2861,parametros!$B$2:$B$6,0)),"")=""),"INICIO_EFEITO ausente: PC "&amp;A2861&amp;" - "&amp;C2861,IF(L2861="","EFEITO_PC nao calculado: PC "&amp;A2861&amp;" - "&amp;C2861,"OK")))))))))</f>
        <v/>
      </c>
      <c r="L2861" s="92" t="str">
        <f>IF(AND(A2861="",B2861="",D2861="",G2861=""),"",IF(OR(B2861="",NOT(ISNUMBER(B2861)),C2861="",C2861="Fora dos ciclos"),"",IF(C2861="C0","Nao",IF(IFERROR(INDEX(parametros!$A$2:$A$6,MATCH(C2861,parametros!$B$2:$B$6,0)),"")&lt;&gt;"Sim","Nao",IF(IFERROR(INDEX(parametros!$H$2:$H$6,MATCH(C2861,parametros!$B$2:$B$6,0)),"")="","",IF(B2861&gt;=IFERROR(INDEX(parametros!$H$2:$H$6,MATCH(C2861,parametros!$B$2:$B$6,0)),""),"Sim","Nao"))))))</f>
        <v/>
      </c>
      <c r="T2861" s="156"/>
      <c r="U2861" s="214" t="str">
        <f t="shared" si="226"/>
        <v/>
      </c>
      <c r="V2861" s="212" t="s">
        <v>50</v>
      </c>
      <c r="W2861" s="100" t="s">
        <v>168</v>
      </c>
      <c r="X2861" s="100" t="s">
        <v>169</v>
      </c>
      <c r="Y2861" s="101" t="s">
        <v>170</v>
      </c>
      <c r="Z2861" s="101" t="s">
        <v>171</v>
      </c>
      <c r="AA2861" s="101" t="s">
        <v>50</v>
      </c>
      <c r="AB2861" s="101" t="s">
        <v>172</v>
      </c>
      <c r="AC2861" s="102" t="s">
        <v>173</v>
      </c>
    </row>
    <row r="2862" spans="1:29" ht="25.5" customHeight="1" x14ac:dyDescent="0.35">
      <c r="A2862" s="392"/>
      <c r="B2862" s="393"/>
      <c r="C2862" s="99" t="str">
        <f>IF(B2862="","",IF(NOT(ISNUMBER(B2862)),"DATA_PC invalida",IF(NOT(ISNUMBER(parametros!$C$2)),"Fora dos ciclos",IF(OR(B2862&lt;parametros!$C$2,(YEAR(B2862)-YEAR(parametros!$C$2))*12+MONTH(B2862)-MONTH(parametros!$C$2)&gt;59),"Fora dos ciclos","C"&amp;INT(((YEAR(B2862)-YEAR(parametros!$C$2))*12+MONTH(B2862)-MONTH(parametros!$C$2))/12)))))</f>
        <v/>
      </c>
      <c r="D2862" s="394"/>
      <c r="E2862" s="78" t="str">
        <f>IF(C2862="","",IFERROR(VLOOKUP(C2862,parametros!$A$11:$E$15,5,0),""))</f>
        <v/>
      </c>
      <c r="F2862" s="79" t="str">
        <f t="shared" si="222"/>
        <v/>
      </c>
      <c r="G2862" s="395"/>
      <c r="H2862" s="91">
        <f t="shared" si="223"/>
        <v>0</v>
      </c>
      <c r="I2862" s="91" t="str">
        <f t="shared" si="224"/>
        <v/>
      </c>
      <c r="J2862" s="91" t="str">
        <f t="shared" si="225"/>
        <v/>
      </c>
      <c r="K2862" s="92" t="str">
        <f>IF(AND(A2862="",B2862="",D2862="",G2862=""),"",IF(AND(A2862&lt;&gt;"",COUNTIF($A$2:$A$5001,A2862)&gt;1),"NUMERO_PC duplicado",IF(B2862="","DATA_PC vazia",IF(NOT(ISNUMBER(B2862)),"DATA_PC invalida",IF(OR(C2862="",C2862="Fora dos ciclos"),"CICLO_PC nao identificado",IF(OR(D2862="",D2862=0),"VALOR_PC vazio ou zero",IF(AND(G2862&lt;&gt;"Sim",G2862&lt;&gt;"Nao",G2862&lt;&gt;""),"PC_PAGO_A_CONTRATADA invalido",IF(AND(C2862&lt;&gt;"C0",IFERROR(INDEX(parametros!$A$2:$A$6,MATCH(C2862,parametros!$B$2:$B$6,0)),"")="Sim",IFERROR(INDEX(parametros!$H$2:$H$6,MATCH(C2862,parametros!$B$2:$B$6,0)),"")=""),"INICIO_EFEITO ausente: PC "&amp;A2862&amp;" - "&amp;C2862,IF(L2862="","EFEITO_PC nao calculado: PC "&amp;A2862&amp;" - "&amp;C2862,"OK")))))))))</f>
        <v/>
      </c>
      <c r="L2862" s="92" t="str">
        <f>IF(AND(A2862="",B2862="",D2862="",G2862=""),"",IF(OR(B2862="",NOT(ISNUMBER(B2862)),C2862="",C2862="Fora dos ciclos"),"",IF(C2862="C0","Nao",IF(IFERROR(INDEX(parametros!$A$2:$A$6,MATCH(C2862,parametros!$B$2:$B$6,0)),"")&lt;&gt;"Sim","Nao",IF(IFERROR(INDEX(parametros!$H$2:$H$6,MATCH(C2862,parametros!$B$2:$B$6,0)),"")="","",IF(B2862&gt;=IFERROR(INDEX(parametros!$H$2:$H$6,MATCH(C2862,parametros!$B$2:$B$6,0)),""),"Sim","Nao"))))))</f>
        <v/>
      </c>
      <c r="T2862" s="156"/>
      <c r="U2862" s="214" t="str">
        <f t="shared" si="226"/>
        <v/>
      </c>
      <c r="V2862" s="212" t="s">
        <v>50</v>
      </c>
      <c r="W2862" s="100" t="s">
        <v>168</v>
      </c>
      <c r="X2862" s="100" t="s">
        <v>169</v>
      </c>
      <c r="Y2862" s="101" t="s">
        <v>170</v>
      </c>
      <c r="Z2862" s="101" t="s">
        <v>171</v>
      </c>
      <c r="AA2862" s="101" t="s">
        <v>50</v>
      </c>
      <c r="AB2862" s="101" t="s">
        <v>172</v>
      </c>
      <c r="AC2862" s="102" t="s">
        <v>173</v>
      </c>
    </row>
    <row r="2863" spans="1:29" ht="25.5" customHeight="1" x14ac:dyDescent="0.35">
      <c r="A2863" s="392"/>
      <c r="B2863" s="393"/>
      <c r="C2863" s="99" t="str">
        <f>IF(B2863="","",IF(NOT(ISNUMBER(B2863)),"DATA_PC invalida",IF(NOT(ISNUMBER(parametros!$C$2)),"Fora dos ciclos",IF(OR(B2863&lt;parametros!$C$2,(YEAR(B2863)-YEAR(parametros!$C$2))*12+MONTH(B2863)-MONTH(parametros!$C$2)&gt;59),"Fora dos ciclos","C"&amp;INT(((YEAR(B2863)-YEAR(parametros!$C$2))*12+MONTH(B2863)-MONTH(parametros!$C$2))/12)))))</f>
        <v/>
      </c>
      <c r="D2863" s="394"/>
      <c r="E2863" s="78" t="str">
        <f>IF(C2863="","",IFERROR(VLOOKUP(C2863,parametros!$A$11:$E$15,5,0),""))</f>
        <v/>
      </c>
      <c r="F2863" s="79" t="str">
        <f t="shared" si="222"/>
        <v/>
      </c>
      <c r="G2863" s="395"/>
      <c r="H2863" s="91">
        <f t="shared" si="223"/>
        <v>0</v>
      </c>
      <c r="I2863" s="91" t="str">
        <f t="shared" si="224"/>
        <v/>
      </c>
      <c r="J2863" s="91" t="str">
        <f t="shared" si="225"/>
        <v/>
      </c>
      <c r="K2863" s="92" t="str">
        <f>IF(AND(A2863="",B2863="",D2863="",G2863=""),"",IF(AND(A2863&lt;&gt;"",COUNTIF($A$2:$A$5001,A2863)&gt;1),"NUMERO_PC duplicado",IF(B2863="","DATA_PC vazia",IF(NOT(ISNUMBER(B2863)),"DATA_PC invalida",IF(OR(C2863="",C2863="Fora dos ciclos"),"CICLO_PC nao identificado",IF(OR(D2863="",D2863=0),"VALOR_PC vazio ou zero",IF(AND(G2863&lt;&gt;"Sim",G2863&lt;&gt;"Nao",G2863&lt;&gt;""),"PC_PAGO_A_CONTRATADA invalido",IF(AND(C2863&lt;&gt;"C0",IFERROR(INDEX(parametros!$A$2:$A$6,MATCH(C2863,parametros!$B$2:$B$6,0)),"")="Sim",IFERROR(INDEX(parametros!$H$2:$H$6,MATCH(C2863,parametros!$B$2:$B$6,0)),"")=""),"INICIO_EFEITO ausente: PC "&amp;A2863&amp;" - "&amp;C2863,IF(L2863="","EFEITO_PC nao calculado: PC "&amp;A2863&amp;" - "&amp;C2863,"OK")))))))))</f>
        <v/>
      </c>
      <c r="L2863" s="92" t="str">
        <f>IF(AND(A2863="",B2863="",D2863="",G2863=""),"",IF(OR(B2863="",NOT(ISNUMBER(B2863)),C2863="",C2863="Fora dos ciclos"),"",IF(C2863="C0","Nao",IF(IFERROR(INDEX(parametros!$A$2:$A$6,MATCH(C2863,parametros!$B$2:$B$6,0)),"")&lt;&gt;"Sim","Nao",IF(IFERROR(INDEX(parametros!$H$2:$H$6,MATCH(C2863,parametros!$B$2:$B$6,0)),"")="","",IF(B2863&gt;=IFERROR(INDEX(parametros!$H$2:$H$6,MATCH(C2863,parametros!$B$2:$B$6,0)),""),"Sim","Nao"))))))</f>
        <v/>
      </c>
      <c r="T2863" s="156"/>
      <c r="U2863" s="214" t="str">
        <f t="shared" si="226"/>
        <v/>
      </c>
      <c r="V2863" s="212" t="s">
        <v>50</v>
      </c>
      <c r="W2863" s="100" t="s">
        <v>168</v>
      </c>
      <c r="X2863" s="100" t="s">
        <v>169</v>
      </c>
      <c r="Y2863" s="101" t="s">
        <v>170</v>
      </c>
      <c r="Z2863" s="101" t="s">
        <v>171</v>
      </c>
      <c r="AA2863" s="101" t="s">
        <v>50</v>
      </c>
      <c r="AB2863" s="101" t="s">
        <v>172</v>
      </c>
      <c r="AC2863" s="102" t="s">
        <v>173</v>
      </c>
    </row>
    <row r="2864" spans="1:29" ht="25.5" customHeight="1" x14ac:dyDescent="0.35">
      <c r="A2864" s="392"/>
      <c r="B2864" s="393"/>
      <c r="C2864" s="99" t="str">
        <f>IF(B2864="","",IF(NOT(ISNUMBER(B2864)),"DATA_PC invalida",IF(NOT(ISNUMBER(parametros!$C$2)),"Fora dos ciclos",IF(OR(B2864&lt;parametros!$C$2,(YEAR(B2864)-YEAR(parametros!$C$2))*12+MONTH(B2864)-MONTH(parametros!$C$2)&gt;59),"Fora dos ciclos","C"&amp;INT(((YEAR(B2864)-YEAR(parametros!$C$2))*12+MONTH(B2864)-MONTH(parametros!$C$2))/12)))))</f>
        <v/>
      </c>
      <c r="D2864" s="394"/>
      <c r="E2864" s="78" t="str">
        <f>IF(C2864="","",IFERROR(VLOOKUP(C2864,parametros!$A$11:$E$15,5,0),""))</f>
        <v/>
      </c>
      <c r="F2864" s="79" t="str">
        <f t="shared" si="222"/>
        <v/>
      </c>
      <c r="G2864" s="395"/>
      <c r="H2864" s="91">
        <f t="shared" si="223"/>
        <v>0</v>
      </c>
      <c r="I2864" s="91" t="str">
        <f t="shared" si="224"/>
        <v/>
      </c>
      <c r="J2864" s="91" t="str">
        <f t="shared" si="225"/>
        <v/>
      </c>
      <c r="K2864" s="92" t="str">
        <f>IF(AND(A2864="",B2864="",D2864="",G2864=""),"",IF(AND(A2864&lt;&gt;"",COUNTIF($A$2:$A$5001,A2864)&gt;1),"NUMERO_PC duplicado",IF(B2864="","DATA_PC vazia",IF(NOT(ISNUMBER(B2864)),"DATA_PC invalida",IF(OR(C2864="",C2864="Fora dos ciclos"),"CICLO_PC nao identificado",IF(OR(D2864="",D2864=0),"VALOR_PC vazio ou zero",IF(AND(G2864&lt;&gt;"Sim",G2864&lt;&gt;"Nao",G2864&lt;&gt;""),"PC_PAGO_A_CONTRATADA invalido",IF(AND(C2864&lt;&gt;"C0",IFERROR(INDEX(parametros!$A$2:$A$6,MATCH(C2864,parametros!$B$2:$B$6,0)),"")="Sim",IFERROR(INDEX(parametros!$H$2:$H$6,MATCH(C2864,parametros!$B$2:$B$6,0)),"")=""),"INICIO_EFEITO ausente: PC "&amp;A2864&amp;" - "&amp;C2864,IF(L2864="","EFEITO_PC nao calculado: PC "&amp;A2864&amp;" - "&amp;C2864,"OK")))))))))</f>
        <v/>
      </c>
      <c r="L2864" s="92" t="str">
        <f>IF(AND(A2864="",B2864="",D2864="",G2864=""),"",IF(OR(B2864="",NOT(ISNUMBER(B2864)),C2864="",C2864="Fora dos ciclos"),"",IF(C2864="C0","Nao",IF(IFERROR(INDEX(parametros!$A$2:$A$6,MATCH(C2864,parametros!$B$2:$B$6,0)),"")&lt;&gt;"Sim","Nao",IF(IFERROR(INDEX(parametros!$H$2:$H$6,MATCH(C2864,parametros!$B$2:$B$6,0)),"")="","",IF(B2864&gt;=IFERROR(INDEX(parametros!$H$2:$H$6,MATCH(C2864,parametros!$B$2:$B$6,0)),""),"Sim","Nao"))))))</f>
        <v/>
      </c>
      <c r="T2864" s="156"/>
      <c r="U2864" s="214" t="str">
        <f t="shared" si="226"/>
        <v/>
      </c>
      <c r="V2864" s="212" t="s">
        <v>50</v>
      </c>
      <c r="W2864" s="100" t="s">
        <v>168</v>
      </c>
      <c r="X2864" s="100" t="s">
        <v>169</v>
      </c>
      <c r="Y2864" s="101" t="s">
        <v>170</v>
      </c>
      <c r="Z2864" s="101" t="s">
        <v>171</v>
      </c>
      <c r="AA2864" s="101" t="s">
        <v>50</v>
      </c>
      <c r="AB2864" s="101" t="s">
        <v>172</v>
      </c>
      <c r="AC2864" s="102" t="s">
        <v>173</v>
      </c>
    </row>
    <row r="2865" spans="1:29" ht="25.5" customHeight="1" x14ac:dyDescent="0.35">
      <c r="A2865" s="392"/>
      <c r="B2865" s="393"/>
      <c r="C2865" s="99" t="str">
        <f>IF(B2865="","",IF(NOT(ISNUMBER(B2865)),"DATA_PC invalida",IF(NOT(ISNUMBER(parametros!$C$2)),"Fora dos ciclos",IF(OR(B2865&lt;parametros!$C$2,(YEAR(B2865)-YEAR(parametros!$C$2))*12+MONTH(B2865)-MONTH(parametros!$C$2)&gt;59),"Fora dos ciclos","C"&amp;INT(((YEAR(B2865)-YEAR(parametros!$C$2))*12+MONTH(B2865)-MONTH(parametros!$C$2))/12)))))</f>
        <v/>
      </c>
      <c r="D2865" s="394"/>
      <c r="E2865" s="78" t="str">
        <f>IF(C2865="","",IFERROR(VLOOKUP(C2865,parametros!$A$11:$E$15,5,0),""))</f>
        <v/>
      </c>
      <c r="F2865" s="79" t="str">
        <f t="shared" si="222"/>
        <v/>
      </c>
      <c r="G2865" s="395"/>
      <c r="H2865" s="91">
        <f t="shared" si="223"/>
        <v>0</v>
      </c>
      <c r="I2865" s="91" t="str">
        <f t="shared" si="224"/>
        <v/>
      </c>
      <c r="J2865" s="91" t="str">
        <f t="shared" si="225"/>
        <v/>
      </c>
      <c r="K2865" s="92" t="str">
        <f>IF(AND(A2865="",B2865="",D2865="",G2865=""),"",IF(AND(A2865&lt;&gt;"",COUNTIF($A$2:$A$5001,A2865)&gt;1),"NUMERO_PC duplicado",IF(B2865="","DATA_PC vazia",IF(NOT(ISNUMBER(B2865)),"DATA_PC invalida",IF(OR(C2865="",C2865="Fora dos ciclos"),"CICLO_PC nao identificado",IF(OR(D2865="",D2865=0),"VALOR_PC vazio ou zero",IF(AND(G2865&lt;&gt;"Sim",G2865&lt;&gt;"Nao",G2865&lt;&gt;""),"PC_PAGO_A_CONTRATADA invalido",IF(AND(C2865&lt;&gt;"C0",IFERROR(INDEX(parametros!$A$2:$A$6,MATCH(C2865,parametros!$B$2:$B$6,0)),"")="Sim",IFERROR(INDEX(parametros!$H$2:$H$6,MATCH(C2865,parametros!$B$2:$B$6,0)),"")=""),"INICIO_EFEITO ausente: PC "&amp;A2865&amp;" - "&amp;C2865,IF(L2865="","EFEITO_PC nao calculado: PC "&amp;A2865&amp;" - "&amp;C2865,"OK")))))))))</f>
        <v/>
      </c>
      <c r="L2865" s="92" t="str">
        <f>IF(AND(A2865="",B2865="",D2865="",G2865=""),"",IF(OR(B2865="",NOT(ISNUMBER(B2865)),C2865="",C2865="Fora dos ciclos"),"",IF(C2865="C0","Nao",IF(IFERROR(INDEX(parametros!$A$2:$A$6,MATCH(C2865,parametros!$B$2:$B$6,0)),"")&lt;&gt;"Sim","Nao",IF(IFERROR(INDEX(parametros!$H$2:$H$6,MATCH(C2865,parametros!$B$2:$B$6,0)),"")="","",IF(B2865&gt;=IFERROR(INDEX(parametros!$H$2:$H$6,MATCH(C2865,parametros!$B$2:$B$6,0)),""),"Sim","Nao"))))))</f>
        <v/>
      </c>
      <c r="T2865" s="156"/>
      <c r="U2865" s="214" t="str">
        <f t="shared" si="226"/>
        <v/>
      </c>
      <c r="V2865" s="212" t="s">
        <v>50</v>
      </c>
      <c r="W2865" s="100" t="s">
        <v>168</v>
      </c>
      <c r="X2865" s="100" t="s">
        <v>169</v>
      </c>
      <c r="Y2865" s="101" t="s">
        <v>170</v>
      </c>
      <c r="Z2865" s="101" t="s">
        <v>171</v>
      </c>
      <c r="AA2865" s="101" t="s">
        <v>50</v>
      </c>
      <c r="AB2865" s="101" t="s">
        <v>172</v>
      </c>
      <c r="AC2865" s="102" t="s">
        <v>173</v>
      </c>
    </row>
    <row r="2866" spans="1:29" ht="25.5" customHeight="1" x14ac:dyDescent="0.35">
      <c r="A2866" s="392"/>
      <c r="B2866" s="393"/>
      <c r="C2866" s="99" t="str">
        <f>IF(B2866="","",IF(NOT(ISNUMBER(B2866)),"DATA_PC invalida",IF(NOT(ISNUMBER(parametros!$C$2)),"Fora dos ciclos",IF(OR(B2866&lt;parametros!$C$2,(YEAR(B2866)-YEAR(parametros!$C$2))*12+MONTH(B2866)-MONTH(parametros!$C$2)&gt;59),"Fora dos ciclos","C"&amp;INT(((YEAR(B2866)-YEAR(parametros!$C$2))*12+MONTH(B2866)-MONTH(parametros!$C$2))/12)))))</f>
        <v/>
      </c>
      <c r="D2866" s="394"/>
      <c r="E2866" s="78" t="str">
        <f>IF(C2866="","",IFERROR(VLOOKUP(C2866,parametros!$A$11:$E$15,5,0),""))</f>
        <v/>
      </c>
      <c r="F2866" s="79" t="str">
        <f t="shared" si="222"/>
        <v/>
      </c>
      <c r="G2866" s="395"/>
      <c r="H2866" s="91">
        <f t="shared" si="223"/>
        <v>0</v>
      </c>
      <c r="I2866" s="91" t="str">
        <f t="shared" si="224"/>
        <v/>
      </c>
      <c r="J2866" s="91" t="str">
        <f t="shared" si="225"/>
        <v/>
      </c>
      <c r="K2866" s="92" t="str">
        <f>IF(AND(A2866="",B2866="",D2866="",G2866=""),"",IF(AND(A2866&lt;&gt;"",COUNTIF($A$2:$A$5001,A2866)&gt;1),"NUMERO_PC duplicado",IF(B2866="","DATA_PC vazia",IF(NOT(ISNUMBER(B2866)),"DATA_PC invalida",IF(OR(C2866="",C2866="Fora dos ciclos"),"CICLO_PC nao identificado",IF(OR(D2866="",D2866=0),"VALOR_PC vazio ou zero",IF(AND(G2866&lt;&gt;"Sim",G2866&lt;&gt;"Nao",G2866&lt;&gt;""),"PC_PAGO_A_CONTRATADA invalido",IF(AND(C2866&lt;&gt;"C0",IFERROR(INDEX(parametros!$A$2:$A$6,MATCH(C2866,parametros!$B$2:$B$6,0)),"")="Sim",IFERROR(INDEX(parametros!$H$2:$H$6,MATCH(C2866,parametros!$B$2:$B$6,0)),"")=""),"INICIO_EFEITO ausente: PC "&amp;A2866&amp;" - "&amp;C2866,IF(L2866="","EFEITO_PC nao calculado: PC "&amp;A2866&amp;" - "&amp;C2866,"OK")))))))))</f>
        <v/>
      </c>
      <c r="L2866" s="92" t="str">
        <f>IF(AND(A2866="",B2866="",D2866="",G2866=""),"",IF(OR(B2866="",NOT(ISNUMBER(B2866)),C2866="",C2866="Fora dos ciclos"),"",IF(C2866="C0","Nao",IF(IFERROR(INDEX(parametros!$A$2:$A$6,MATCH(C2866,parametros!$B$2:$B$6,0)),"")&lt;&gt;"Sim","Nao",IF(IFERROR(INDEX(parametros!$H$2:$H$6,MATCH(C2866,parametros!$B$2:$B$6,0)),"")="","",IF(B2866&gt;=IFERROR(INDEX(parametros!$H$2:$H$6,MATCH(C2866,parametros!$B$2:$B$6,0)),""),"Sim","Nao"))))))</f>
        <v/>
      </c>
      <c r="T2866" s="156"/>
      <c r="U2866" s="214" t="str">
        <f t="shared" si="226"/>
        <v/>
      </c>
      <c r="V2866" s="212" t="s">
        <v>50</v>
      </c>
      <c r="W2866" s="100" t="s">
        <v>168</v>
      </c>
      <c r="X2866" s="100" t="s">
        <v>169</v>
      </c>
      <c r="Y2866" s="101" t="s">
        <v>170</v>
      </c>
      <c r="Z2866" s="101" t="s">
        <v>171</v>
      </c>
      <c r="AA2866" s="101" t="s">
        <v>50</v>
      </c>
      <c r="AB2866" s="101" t="s">
        <v>172</v>
      </c>
      <c r="AC2866" s="102" t="s">
        <v>173</v>
      </c>
    </row>
    <row r="2867" spans="1:29" ht="25.5" customHeight="1" x14ac:dyDescent="0.35">
      <c r="A2867" s="392"/>
      <c r="B2867" s="393"/>
      <c r="C2867" s="99" t="str">
        <f>IF(B2867="","",IF(NOT(ISNUMBER(B2867)),"DATA_PC invalida",IF(NOT(ISNUMBER(parametros!$C$2)),"Fora dos ciclos",IF(OR(B2867&lt;parametros!$C$2,(YEAR(B2867)-YEAR(parametros!$C$2))*12+MONTH(B2867)-MONTH(parametros!$C$2)&gt;59),"Fora dos ciclos","C"&amp;INT(((YEAR(B2867)-YEAR(parametros!$C$2))*12+MONTH(B2867)-MONTH(parametros!$C$2))/12)))))</f>
        <v/>
      </c>
      <c r="D2867" s="394"/>
      <c r="E2867" s="78" t="str">
        <f>IF(C2867="","",IFERROR(VLOOKUP(C2867,parametros!$A$11:$E$15,5,0),""))</f>
        <v/>
      </c>
      <c r="F2867" s="79" t="str">
        <f t="shared" si="222"/>
        <v/>
      </c>
      <c r="G2867" s="395"/>
      <c r="H2867" s="91">
        <f t="shared" si="223"/>
        <v>0</v>
      </c>
      <c r="I2867" s="91" t="str">
        <f t="shared" si="224"/>
        <v/>
      </c>
      <c r="J2867" s="91" t="str">
        <f t="shared" si="225"/>
        <v/>
      </c>
      <c r="K2867" s="92" t="str">
        <f>IF(AND(A2867="",B2867="",D2867="",G2867=""),"",IF(AND(A2867&lt;&gt;"",COUNTIF($A$2:$A$5001,A2867)&gt;1),"NUMERO_PC duplicado",IF(B2867="","DATA_PC vazia",IF(NOT(ISNUMBER(B2867)),"DATA_PC invalida",IF(OR(C2867="",C2867="Fora dos ciclos"),"CICLO_PC nao identificado",IF(OR(D2867="",D2867=0),"VALOR_PC vazio ou zero",IF(AND(G2867&lt;&gt;"Sim",G2867&lt;&gt;"Nao",G2867&lt;&gt;""),"PC_PAGO_A_CONTRATADA invalido",IF(AND(C2867&lt;&gt;"C0",IFERROR(INDEX(parametros!$A$2:$A$6,MATCH(C2867,parametros!$B$2:$B$6,0)),"")="Sim",IFERROR(INDEX(parametros!$H$2:$H$6,MATCH(C2867,parametros!$B$2:$B$6,0)),"")=""),"INICIO_EFEITO ausente: PC "&amp;A2867&amp;" - "&amp;C2867,IF(L2867="","EFEITO_PC nao calculado: PC "&amp;A2867&amp;" - "&amp;C2867,"OK")))))))))</f>
        <v/>
      </c>
      <c r="L2867" s="92" t="str">
        <f>IF(AND(A2867="",B2867="",D2867="",G2867=""),"",IF(OR(B2867="",NOT(ISNUMBER(B2867)),C2867="",C2867="Fora dos ciclos"),"",IF(C2867="C0","Nao",IF(IFERROR(INDEX(parametros!$A$2:$A$6,MATCH(C2867,parametros!$B$2:$B$6,0)),"")&lt;&gt;"Sim","Nao",IF(IFERROR(INDEX(parametros!$H$2:$H$6,MATCH(C2867,parametros!$B$2:$B$6,0)),"")="","",IF(B2867&gt;=IFERROR(INDEX(parametros!$H$2:$H$6,MATCH(C2867,parametros!$B$2:$B$6,0)),""),"Sim","Nao"))))))</f>
        <v/>
      </c>
      <c r="T2867" s="156"/>
      <c r="U2867" s="214" t="str">
        <f t="shared" si="226"/>
        <v/>
      </c>
      <c r="V2867" s="212" t="s">
        <v>50</v>
      </c>
      <c r="W2867" s="100" t="s">
        <v>168</v>
      </c>
      <c r="X2867" s="100" t="s">
        <v>169</v>
      </c>
      <c r="Y2867" s="101" t="s">
        <v>170</v>
      </c>
      <c r="Z2867" s="101" t="s">
        <v>171</v>
      </c>
      <c r="AA2867" s="101" t="s">
        <v>50</v>
      </c>
      <c r="AB2867" s="101" t="s">
        <v>172</v>
      </c>
      <c r="AC2867" s="102" t="s">
        <v>173</v>
      </c>
    </row>
    <row r="2868" spans="1:29" ht="25.5" customHeight="1" x14ac:dyDescent="0.35">
      <c r="A2868" s="392"/>
      <c r="B2868" s="393"/>
      <c r="C2868" s="99" t="str">
        <f>IF(B2868="","",IF(NOT(ISNUMBER(B2868)),"DATA_PC invalida",IF(NOT(ISNUMBER(parametros!$C$2)),"Fora dos ciclos",IF(OR(B2868&lt;parametros!$C$2,(YEAR(B2868)-YEAR(parametros!$C$2))*12+MONTH(B2868)-MONTH(parametros!$C$2)&gt;59),"Fora dos ciclos","C"&amp;INT(((YEAR(B2868)-YEAR(parametros!$C$2))*12+MONTH(B2868)-MONTH(parametros!$C$2))/12)))))</f>
        <v/>
      </c>
      <c r="D2868" s="394"/>
      <c r="E2868" s="78" t="str">
        <f>IF(C2868="","",IFERROR(VLOOKUP(C2868,parametros!$A$11:$E$15,5,0),""))</f>
        <v/>
      </c>
      <c r="F2868" s="79" t="str">
        <f t="shared" si="222"/>
        <v/>
      </c>
      <c r="G2868" s="395"/>
      <c r="H2868" s="91">
        <f t="shared" si="223"/>
        <v>0</v>
      </c>
      <c r="I2868" s="91" t="str">
        <f t="shared" si="224"/>
        <v/>
      </c>
      <c r="J2868" s="91" t="str">
        <f t="shared" si="225"/>
        <v/>
      </c>
      <c r="K2868" s="92" t="str">
        <f>IF(AND(A2868="",B2868="",D2868="",G2868=""),"",IF(AND(A2868&lt;&gt;"",COUNTIF($A$2:$A$5001,A2868)&gt;1),"NUMERO_PC duplicado",IF(B2868="","DATA_PC vazia",IF(NOT(ISNUMBER(B2868)),"DATA_PC invalida",IF(OR(C2868="",C2868="Fora dos ciclos"),"CICLO_PC nao identificado",IF(OR(D2868="",D2868=0),"VALOR_PC vazio ou zero",IF(AND(G2868&lt;&gt;"Sim",G2868&lt;&gt;"Nao",G2868&lt;&gt;""),"PC_PAGO_A_CONTRATADA invalido",IF(AND(C2868&lt;&gt;"C0",IFERROR(INDEX(parametros!$A$2:$A$6,MATCH(C2868,parametros!$B$2:$B$6,0)),"")="Sim",IFERROR(INDEX(parametros!$H$2:$H$6,MATCH(C2868,parametros!$B$2:$B$6,0)),"")=""),"INICIO_EFEITO ausente: PC "&amp;A2868&amp;" - "&amp;C2868,IF(L2868="","EFEITO_PC nao calculado: PC "&amp;A2868&amp;" - "&amp;C2868,"OK")))))))))</f>
        <v/>
      </c>
      <c r="L2868" s="92" t="str">
        <f>IF(AND(A2868="",B2868="",D2868="",G2868=""),"",IF(OR(B2868="",NOT(ISNUMBER(B2868)),C2868="",C2868="Fora dos ciclos"),"",IF(C2868="C0","Nao",IF(IFERROR(INDEX(parametros!$A$2:$A$6,MATCH(C2868,parametros!$B$2:$B$6,0)),"")&lt;&gt;"Sim","Nao",IF(IFERROR(INDEX(parametros!$H$2:$H$6,MATCH(C2868,parametros!$B$2:$B$6,0)),"")="","",IF(B2868&gt;=IFERROR(INDEX(parametros!$H$2:$H$6,MATCH(C2868,parametros!$B$2:$B$6,0)),""),"Sim","Nao"))))))</f>
        <v/>
      </c>
      <c r="T2868" s="156"/>
      <c r="U2868" s="214" t="str">
        <f t="shared" si="226"/>
        <v/>
      </c>
      <c r="V2868" s="212" t="s">
        <v>50</v>
      </c>
      <c r="W2868" s="100" t="s">
        <v>168</v>
      </c>
      <c r="X2868" s="100" t="s">
        <v>169</v>
      </c>
      <c r="Y2868" s="101" t="s">
        <v>170</v>
      </c>
      <c r="Z2868" s="101" t="s">
        <v>171</v>
      </c>
      <c r="AA2868" s="101" t="s">
        <v>50</v>
      </c>
      <c r="AB2868" s="101" t="s">
        <v>172</v>
      </c>
      <c r="AC2868" s="102" t="s">
        <v>173</v>
      </c>
    </row>
    <row r="2869" spans="1:29" ht="25.5" customHeight="1" x14ac:dyDescent="0.35">
      <c r="A2869" s="392"/>
      <c r="B2869" s="393"/>
      <c r="C2869" s="99" t="str">
        <f>IF(B2869="","",IF(NOT(ISNUMBER(B2869)),"DATA_PC invalida",IF(NOT(ISNUMBER(parametros!$C$2)),"Fora dos ciclos",IF(OR(B2869&lt;parametros!$C$2,(YEAR(B2869)-YEAR(parametros!$C$2))*12+MONTH(B2869)-MONTH(parametros!$C$2)&gt;59),"Fora dos ciclos","C"&amp;INT(((YEAR(B2869)-YEAR(parametros!$C$2))*12+MONTH(B2869)-MONTH(parametros!$C$2))/12)))))</f>
        <v/>
      </c>
      <c r="D2869" s="394"/>
      <c r="E2869" s="78" t="str">
        <f>IF(C2869="","",IFERROR(VLOOKUP(C2869,parametros!$A$11:$E$15,5,0),""))</f>
        <v/>
      </c>
      <c r="F2869" s="79" t="str">
        <f t="shared" si="222"/>
        <v/>
      </c>
      <c r="G2869" s="395"/>
      <c r="H2869" s="91">
        <f t="shared" si="223"/>
        <v>0</v>
      </c>
      <c r="I2869" s="91" t="str">
        <f t="shared" si="224"/>
        <v/>
      </c>
      <c r="J2869" s="91" t="str">
        <f t="shared" si="225"/>
        <v/>
      </c>
      <c r="K2869" s="92" t="str">
        <f>IF(AND(A2869="",B2869="",D2869="",G2869=""),"",IF(AND(A2869&lt;&gt;"",COUNTIF($A$2:$A$5001,A2869)&gt;1),"NUMERO_PC duplicado",IF(B2869="","DATA_PC vazia",IF(NOT(ISNUMBER(B2869)),"DATA_PC invalida",IF(OR(C2869="",C2869="Fora dos ciclos"),"CICLO_PC nao identificado",IF(OR(D2869="",D2869=0),"VALOR_PC vazio ou zero",IF(AND(G2869&lt;&gt;"Sim",G2869&lt;&gt;"Nao",G2869&lt;&gt;""),"PC_PAGO_A_CONTRATADA invalido",IF(AND(C2869&lt;&gt;"C0",IFERROR(INDEX(parametros!$A$2:$A$6,MATCH(C2869,parametros!$B$2:$B$6,0)),"")="Sim",IFERROR(INDEX(parametros!$H$2:$H$6,MATCH(C2869,parametros!$B$2:$B$6,0)),"")=""),"INICIO_EFEITO ausente: PC "&amp;A2869&amp;" - "&amp;C2869,IF(L2869="","EFEITO_PC nao calculado: PC "&amp;A2869&amp;" - "&amp;C2869,"OK")))))))))</f>
        <v/>
      </c>
      <c r="L2869" s="92" t="str">
        <f>IF(AND(A2869="",B2869="",D2869="",G2869=""),"",IF(OR(B2869="",NOT(ISNUMBER(B2869)),C2869="",C2869="Fora dos ciclos"),"",IF(C2869="C0","Nao",IF(IFERROR(INDEX(parametros!$A$2:$A$6,MATCH(C2869,parametros!$B$2:$B$6,0)),"")&lt;&gt;"Sim","Nao",IF(IFERROR(INDEX(parametros!$H$2:$H$6,MATCH(C2869,parametros!$B$2:$B$6,0)),"")="","",IF(B2869&gt;=IFERROR(INDEX(parametros!$H$2:$H$6,MATCH(C2869,parametros!$B$2:$B$6,0)),""),"Sim","Nao"))))))</f>
        <v/>
      </c>
      <c r="T2869" s="156"/>
      <c r="U2869" s="214" t="str">
        <f t="shared" si="226"/>
        <v/>
      </c>
      <c r="V2869" s="212" t="s">
        <v>50</v>
      </c>
      <c r="W2869" s="100" t="s">
        <v>168</v>
      </c>
      <c r="X2869" s="100" t="s">
        <v>169</v>
      </c>
      <c r="Y2869" s="101" t="s">
        <v>170</v>
      </c>
      <c r="Z2869" s="101" t="s">
        <v>171</v>
      </c>
      <c r="AA2869" s="101" t="s">
        <v>50</v>
      </c>
      <c r="AB2869" s="101" t="s">
        <v>172</v>
      </c>
      <c r="AC2869" s="102" t="s">
        <v>173</v>
      </c>
    </row>
    <row r="2870" spans="1:29" ht="25.5" customHeight="1" x14ac:dyDescent="0.35">
      <c r="A2870" s="392"/>
      <c r="B2870" s="393"/>
      <c r="C2870" s="99" t="str">
        <f>IF(B2870="","",IF(NOT(ISNUMBER(B2870)),"DATA_PC invalida",IF(NOT(ISNUMBER(parametros!$C$2)),"Fora dos ciclos",IF(OR(B2870&lt;parametros!$C$2,(YEAR(B2870)-YEAR(parametros!$C$2))*12+MONTH(B2870)-MONTH(parametros!$C$2)&gt;59),"Fora dos ciclos","C"&amp;INT(((YEAR(B2870)-YEAR(parametros!$C$2))*12+MONTH(B2870)-MONTH(parametros!$C$2))/12)))))</f>
        <v/>
      </c>
      <c r="D2870" s="394"/>
      <c r="E2870" s="78" t="str">
        <f>IF(C2870="","",IFERROR(VLOOKUP(C2870,parametros!$A$11:$E$15,5,0),""))</f>
        <v/>
      </c>
      <c r="F2870" s="79" t="str">
        <f t="shared" si="222"/>
        <v/>
      </c>
      <c r="G2870" s="395"/>
      <c r="H2870" s="91">
        <f t="shared" si="223"/>
        <v>0</v>
      </c>
      <c r="I2870" s="91" t="str">
        <f t="shared" si="224"/>
        <v/>
      </c>
      <c r="J2870" s="91" t="str">
        <f t="shared" si="225"/>
        <v/>
      </c>
      <c r="K2870" s="92" t="str">
        <f>IF(AND(A2870="",B2870="",D2870="",G2870=""),"",IF(AND(A2870&lt;&gt;"",COUNTIF($A$2:$A$5001,A2870)&gt;1),"NUMERO_PC duplicado",IF(B2870="","DATA_PC vazia",IF(NOT(ISNUMBER(B2870)),"DATA_PC invalida",IF(OR(C2870="",C2870="Fora dos ciclos"),"CICLO_PC nao identificado",IF(OR(D2870="",D2870=0),"VALOR_PC vazio ou zero",IF(AND(G2870&lt;&gt;"Sim",G2870&lt;&gt;"Nao",G2870&lt;&gt;""),"PC_PAGO_A_CONTRATADA invalido",IF(AND(C2870&lt;&gt;"C0",IFERROR(INDEX(parametros!$A$2:$A$6,MATCH(C2870,parametros!$B$2:$B$6,0)),"")="Sim",IFERROR(INDEX(parametros!$H$2:$H$6,MATCH(C2870,parametros!$B$2:$B$6,0)),"")=""),"INICIO_EFEITO ausente: PC "&amp;A2870&amp;" - "&amp;C2870,IF(L2870="","EFEITO_PC nao calculado: PC "&amp;A2870&amp;" - "&amp;C2870,"OK")))))))))</f>
        <v/>
      </c>
      <c r="L2870" s="92" t="str">
        <f>IF(AND(A2870="",B2870="",D2870="",G2870=""),"",IF(OR(B2870="",NOT(ISNUMBER(B2870)),C2870="",C2870="Fora dos ciclos"),"",IF(C2870="C0","Nao",IF(IFERROR(INDEX(parametros!$A$2:$A$6,MATCH(C2870,parametros!$B$2:$B$6,0)),"")&lt;&gt;"Sim","Nao",IF(IFERROR(INDEX(parametros!$H$2:$H$6,MATCH(C2870,parametros!$B$2:$B$6,0)),"")="","",IF(B2870&gt;=IFERROR(INDEX(parametros!$H$2:$H$6,MATCH(C2870,parametros!$B$2:$B$6,0)),""),"Sim","Nao"))))))</f>
        <v/>
      </c>
      <c r="T2870" s="156"/>
      <c r="U2870" s="214" t="str">
        <f t="shared" si="226"/>
        <v/>
      </c>
      <c r="V2870" s="212" t="s">
        <v>50</v>
      </c>
      <c r="W2870" s="100" t="s">
        <v>168</v>
      </c>
      <c r="X2870" s="100" t="s">
        <v>169</v>
      </c>
      <c r="Y2870" s="101" t="s">
        <v>170</v>
      </c>
      <c r="Z2870" s="101" t="s">
        <v>171</v>
      </c>
      <c r="AA2870" s="101" t="s">
        <v>50</v>
      </c>
      <c r="AB2870" s="101" t="s">
        <v>172</v>
      </c>
      <c r="AC2870" s="102" t="s">
        <v>173</v>
      </c>
    </row>
    <row r="2871" spans="1:29" ht="25.5" customHeight="1" x14ac:dyDescent="0.35">
      <c r="A2871" s="392"/>
      <c r="B2871" s="393"/>
      <c r="C2871" s="99" t="str">
        <f>IF(B2871="","",IF(NOT(ISNUMBER(B2871)),"DATA_PC invalida",IF(NOT(ISNUMBER(parametros!$C$2)),"Fora dos ciclos",IF(OR(B2871&lt;parametros!$C$2,(YEAR(B2871)-YEAR(parametros!$C$2))*12+MONTH(B2871)-MONTH(parametros!$C$2)&gt;59),"Fora dos ciclos","C"&amp;INT(((YEAR(B2871)-YEAR(parametros!$C$2))*12+MONTH(B2871)-MONTH(parametros!$C$2))/12)))))</f>
        <v/>
      </c>
      <c r="D2871" s="394"/>
      <c r="E2871" s="78" t="str">
        <f>IF(C2871="","",IFERROR(VLOOKUP(C2871,parametros!$A$11:$E$15,5,0),""))</f>
        <v/>
      </c>
      <c r="F2871" s="79" t="str">
        <f t="shared" si="222"/>
        <v/>
      </c>
      <c r="G2871" s="395"/>
      <c r="H2871" s="91">
        <f t="shared" si="223"/>
        <v>0</v>
      </c>
      <c r="I2871" s="91" t="str">
        <f t="shared" si="224"/>
        <v/>
      </c>
      <c r="J2871" s="91" t="str">
        <f t="shared" si="225"/>
        <v/>
      </c>
      <c r="K2871" s="92" t="str">
        <f>IF(AND(A2871="",B2871="",D2871="",G2871=""),"",IF(AND(A2871&lt;&gt;"",COUNTIF($A$2:$A$5001,A2871)&gt;1),"NUMERO_PC duplicado",IF(B2871="","DATA_PC vazia",IF(NOT(ISNUMBER(B2871)),"DATA_PC invalida",IF(OR(C2871="",C2871="Fora dos ciclos"),"CICLO_PC nao identificado",IF(OR(D2871="",D2871=0),"VALOR_PC vazio ou zero",IF(AND(G2871&lt;&gt;"Sim",G2871&lt;&gt;"Nao",G2871&lt;&gt;""),"PC_PAGO_A_CONTRATADA invalido",IF(AND(C2871&lt;&gt;"C0",IFERROR(INDEX(parametros!$A$2:$A$6,MATCH(C2871,parametros!$B$2:$B$6,0)),"")="Sim",IFERROR(INDEX(parametros!$H$2:$H$6,MATCH(C2871,parametros!$B$2:$B$6,0)),"")=""),"INICIO_EFEITO ausente: PC "&amp;A2871&amp;" - "&amp;C2871,IF(L2871="","EFEITO_PC nao calculado: PC "&amp;A2871&amp;" - "&amp;C2871,"OK")))))))))</f>
        <v/>
      </c>
      <c r="L2871" s="92" t="str">
        <f>IF(AND(A2871="",B2871="",D2871="",G2871=""),"",IF(OR(B2871="",NOT(ISNUMBER(B2871)),C2871="",C2871="Fora dos ciclos"),"",IF(C2871="C0","Nao",IF(IFERROR(INDEX(parametros!$A$2:$A$6,MATCH(C2871,parametros!$B$2:$B$6,0)),"")&lt;&gt;"Sim","Nao",IF(IFERROR(INDEX(parametros!$H$2:$H$6,MATCH(C2871,parametros!$B$2:$B$6,0)),"")="","",IF(B2871&gt;=IFERROR(INDEX(parametros!$H$2:$H$6,MATCH(C2871,parametros!$B$2:$B$6,0)),""),"Sim","Nao"))))))</f>
        <v/>
      </c>
      <c r="T2871" s="156"/>
      <c r="U2871" s="214" t="str">
        <f t="shared" si="226"/>
        <v/>
      </c>
      <c r="V2871" s="212" t="s">
        <v>50</v>
      </c>
      <c r="W2871" s="100" t="s">
        <v>168</v>
      </c>
      <c r="X2871" s="100" t="s">
        <v>169</v>
      </c>
      <c r="Y2871" s="101" t="s">
        <v>170</v>
      </c>
      <c r="Z2871" s="101" t="s">
        <v>171</v>
      </c>
      <c r="AA2871" s="101" t="s">
        <v>50</v>
      </c>
      <c r="AB2871" s="101" t="s">
        <v>172</v>
      </c>
      <c r="AC2871" s="102" t="s">
        <v>173</v>
      </c>
    </row>
    <row r="2872" spans="1:29" ht="25.5" customHeight="1" x14ac:dyDescent="0.35">
      <c r="A2872" s="392"/>
      <c r="B2872" s="393"/>
      <c r="C2872" s="99" t="str">
        <f>IF(B2872="","",IF(NOT(ISNUMBER(B2872)),"DATA_PC invalida",IF(NOT(ISNUMBER(parametros!$C$2)),"Fora dos ciclos",IF(OR(B2872&lt;parametros!$C$2,(YEAR(B2872)-YEAR(parametros!$C$2))*12+MONTH(B2872)-MONTH(parametros!$C$2)&gt;59),"Fora dos ciclos","C"&amp;INT(((YEAR(B2872)-YEAR(parametros!$C$2))*12+MONTH(B2872)-MONTH(parametros!$C$2))/12)))))</f>
        <v/>
      </c>
      <c r="D2872" s="394"/>
      <c r="E2872" s="78" t="str">
        <f>IF(C2872="","",IFERROR(VLOOKUP(C2872,parametros!$A$11:$E$15,5,0),""))</f>
        <v/>
      </c>
      <c r="F2872" s="79" t="str">
        <f t="shared" si="222"/>
        <v/>
      </c>
      <c r="G2872" s="395"/>
      <c r="H2872" s="91">
        <f t="shared" si="223"/>
        <v>0</v>
      </c>
      <c r="I2872" s="91" t="str">
        <f t="shared" si="224"/>
        <v/>
      </c>
      <c r="J2872" s="91" t="str">
        <f t="shared" si="225"/>
        <v/>
      </c>
      <c r="K2872" s="92" t="str">
        <f>IF(AND(A2872="",B2872="",D2872="",G2872=""),"",IF(AND(A2872&lt;&gt;"",COUNTIF($A$2:$A$5001,A2872)&gt;1),"NUMERO_PC duplicado",IF(B2872="","DATA_PC vazia",IF(NOT(ISNUMBER(B2872)),"DATA_PC invalida",IF(OR(C2872="",C2872="Fora dos ciclos"),"CICLO_PC nao identificado",IF(OR(D2872="",D2872=0),"VALOR_PC vazio ou zero",IF(AND(G2872&lt;&gt;"Sim",G2872&lt;&gt;"Nao",G2872&lt;&gt;""),"PC_PAGO_A_CONTRATADA invalido",IF(AND(C2872&lt;&gt;"C0",IFERROR(INDEX(parametros!$A$2:$A$6,MATCH(C2872,parametros!$B$2:$B$6,0)),"")="Sim",IFERROR(INDEX(parametros!$H$2:$H$6,MATCH(C2872,parametros!$B$2:$B$6,0)),"")=""),"INICIO_EFEITO ausente: PC "&amp;A2872&amp;" - "&amp;C2872,IF(L2872="","EFEITO_PC nao calculado: PC "&amp;A2872&amp;" - "&amp;C2872,"OK")))))))))</f>
        <v/>
      </c>
      <c r="L2872" s="92" t="str">
        <f>IF(AND(A2872="",B2872="",D2872="",G2872=""),"",IF(OR(B2872="",NOT(ISNUMBER(B2872)),C2872="",C2872="Fora dos ciclos"),"",IF(C2872="C0","Nao",IF(IFERROR(INDEX(parametros!$A$2:$A$6,MATCH(C2872,parametros!$B$2:$B$6,0)),"")&lt;&gt;"Sim","Nao",IF(IFERROR(INDEX(parametros!$H$2:$H$6,MATCH(C2872,parametros!$B$2:$B$6,0)),"")="","",IF(B2872&gt;=IFERROR(INDEX(parametros!$H$2:$H$6,MATCH(C2872,parametros!$B$2:$B$6,0)),""),"Sim","Nao"))))))</f>
        <v/>
      </c>
      <c r="T2872" s="156"/>
      <c r="U2872" s="214" t="str">
        <f t="shared" si="226"/>
        <v/>
      </c>
      <c r="V2872" s="212" t="s">
        <v>50</v>
      </c>
      <c r="W2872" s="100" t="s">
        <v>168</v>
      </c>
      <c r="X2872" s="100" t="s">
        <v>169</v>
      </c>
      <c r="Y2872" s="101" t="s">
        <v>170</v>
      </c>
      <c r="Z2872" s="101" t="s">
        <v>171</v>
      </c>
      <c r="AA2872" s="101" t="s">
        <v>50</v>
      </c>
      <c r="AB2872" s="101" t="s">
        <v>172</v>
      </c>
      <c r="AC2872" s="102" t="s">
        <v>173</v>
      </c>
    </row>
    <row r="2873" spans="1:29" ht="25.5" customHeight="1" x14ac:dyDescent="0.35">
      <c r="A2873" s="392"/>
      <c r="B2873" s="393"/>
      <c r="C2873" s="99" t="str">
        <f>IF(B2873="","",IF(NOT(ISNUMBER(B2873)),"DATA_PC invalida",IF(NOT(ISNUMBER(parametros!$C$2)),"Fora dos ciclos",IF(OR(B2873&lt;parametros!$C$2,(YEAR(B2873)-YEAR(parametros!$C$2))*12+MONTH(B2873)-MONTH(parametros!$C$2)&gt;59),"Fora dos ciclos","C"&amp;INT(((YEAR(B2873)-YEAR(parametros!$C$2))*12+MONTH(B2873)-MONTH(parametros!$C$2))/12)))))</f>
        <v/>
      </c>
      <c r="D2873" s="394"/>
      <c r="E2873" s="78" t="str">
        <f>IF(C2873="","",IFERROR(VLOOKUP(C2873,parametros!$A$11:$E$15,5,0),""))</f>
        <v/>
      </c>
      <c r="F2873" s="79" t="str">
        <f t="shared" si="222"/>
        <v/>
      </c>
      <c r="G2873" s="395"/>
      <c r="H2873" s="91">
        <f t="shared" si="223"/>
        <v>0</v>
      </c>
      <c r="I2873" s="91" t="str">
        <f t="shared" si="224"/>
        <v/>
      </c>
      <c r="J2873" s="91" t="str">
        <f t="shared" si="225"/>
        <v/>
      </c>
      <c r="K2873" s="92" t="str">
        <f>IF(AND(A2873="",B2873="",D2873="",G2873=""),"",IF(AND(A2873&lt;&gt;"",COUNTIF($A$2:$A$5001,A2873)&gt;1),"NUMERO_PC duplicado",IF(B2873="","DATA_PC vazia",IF(NOT(ISNUMBER(B2873)),"DATA_PC invalida",IF(OR(C2873="",C2873="Fora dos ciclos"),"CICLO_PC nao identificado",IF(OR(D2873="",D2873=0),"VALOR_PC vazio ou zero",IF(AND(G2873&lt;&gt;"Sim",G2873&lt;&gt;"Nao",G2873&lt;&gt;""),"PC_PAGO_A_CONTRATADA invalido",IF(AND(C2873&lt;&gt;"C0",IFERROR(INDEX(parametros!$A$2:$A$6,MATCH(C2873,parametros!$B$2:$B$6,0)),"")="Sim",IFERROR(INDEX(parametros!$H$2:$H$6,MATCH(C2873,parametros!$B$2:$B$6,0)),"")=""),"INICIO_EFEITO ausente: PC "&amp;A2873&amp;" - "&amp;C2873,IF(L2873="","EFEITO_PC nao calculado: PC "&amp;A2873&amp;" - "&amp;C2873,"OK")))))))))</f>
        <v/>
      </c>
      <c r="L2873" s="92" t="str">
        <f>IF(AND(A2873="",B2873="",D2873="",G2873=""),"",IF(OR(B2873="",NOT(ISNUMBER(B2873)),C2873="",C2873="Fora dos ciclos"),"",IF(C2873="C0","Nao",IF(IFERROR(INDEX(parametros!$A$2:$A$6,MATCH(C2873,parametros!$B$2:$B$6,0)),"")&lt;&gt;"Sim","Nao",IF(IFERROR(INDEX(parametros!$H$2:$H$6,MATCH(C2873,parametros!$B$2:$B$6,0)),"")="","",IF(B2873&gt;=IFERROR(INDEX(parametros!$H$2:$H$6,MATCH(C2873,parametros!$B$2:$B$6,0)),""),"Sim","Nao"))))))</f>
        <v/>
      </c>
      <c r="T2873" s="156"/>
      <c r="U2873" s="214" t="str">
        <f t="shared" si="226"/>
        <v/>
      </c>
      <c r="V2873" s="212" t="s">
        <v>50</v>
      </c>
      <c r="W2873" s="100" t="s">
        <v>168</v>
      </c>
      <c r="X2873" s="100" t="s">
        <v>169</v>
      </c>
      <c r="Y2873" s="101" t="s">
        <v>170</v>
      </c>
      <c r="Z2873" s="101" t="s">
        <v>171</v>
      </c>
      <c r="AA2873" s="101" t="s">
        <v>50</v>
      </c>
      <c r="AB2873" s="101" t="s">
        <v>172</v>
      </c>
      <c r="AC2873" s="102" t="s">
        <v>173</v>
      </c>
    </row>
    <row r="2874" spans="1:29" ht="25.5" customHeight="1" x14ac:dyDescent="0.35">
      <c r="A2874" s="392"/>
      <c r="B2874" s="393"/>
      <c r="C2874" s="99" t="str">
        <f>IF(B2874="","",IF(NOT(ISNUMBER(B2874)),"DATA_PC invalida",IF(NOT(ISNUMBER(parametros!$C$2)),"Fora dos ciclos",IF(OR(B2874&lt;parametros!$C$2,(YEAR(B2874)-YEAR(parametros!$C$2))*12+MONTH(B2874)-MONTH(parametros!$C$2)&gt;59),"Fora dos ciclos","C"&amp;INT(((YEAR(B2874)-YEAR(parametros!$C$2))*12+MONTH(B2874)-MONTH(parametros!$C$2))/12)))))</f>
        <v/>
      </c>
      <c r="D2874" s="394"/>
      <c r="E2874" s="78" t="str">
        <f>IF(C2874="","",IFERROR(VLOOKUP(C2874,parametros!$A$11:$E$15,5,0),""))</f>
        <v/>
      </c>
      <c r="F2874" s="79" t="str">
        <f t="shared" si="222"/>
        <v/>
      </c>
      <c r="G2874" s="395"/>
      <c r="H2874" s="91">
        <f t="shared" si="223"/>
        <v>0</v>
      </c>
      <c r="I2874" s="91" t="str">
        <f t="shared" si="224"/>
        <v/>
      </c>
      <c r="J2874" s="91" t="str">
        <f t="shared" si="225"/>
        <v/>
      </c>
      <c r="K2874" s="92" t="str">
        <f>IF(AND(A2874="",B2874="",D2874="",G2874=""),"",IF(AND(A2874&lt;&gt;"",COUNTIF($A$2:$A$5001,A2874)&gt;1),"NUMERO_PC duplicado",IF(B2874="","DATA_PC vazia",IF(NOT(ISNUMBER(B2874)),"DATA_PC invalida",IF(OR(C2874="",C2874="Fora dos ciclos"),"CICLO_PC nao identificado",IF(OR(D2874="",D2874=0),"VALOR_PC vazio ou zero",IF(AND(G2874&lt;&gt;"Sim",G2874&lt;&gt;"Nao",G2874&lt;&gt;""),"PC_PAGO_A_CONTRATADA invalido",IF(AND(C2874&lt;&gt;"C0",IFERROR(INDEX(parametros!$A$2:$A$6,MATCH(C2874,parametros!$B$2:$B$6,0)),"")="Sim",IFERROR(INDEX(parametros!$H$2:$H$6,MATCH(C2874,parametros!$B$2:$B$6,0)),"")=""),"INICIO_EFEITO ausente: PC "&amp;A2874&amp;" - "&amp;C2874,IF(L2874="","EFEITO_PC nao calculado: PC "&amp;A2874&amp;" - "&amp;C2874,"OK")))))))))</f>
        <v/>
      </c>
      <c r="L2874" s="92" t="str">
        <f>IF(AND(A2874="",B2874="",D2874="",G2874=""),"",IF(OR(B2874="",NOT(ISNUMBER(B2874)),C2874="",C2874="Fora dos ciclos"),"",IF(C2874="C0","Nao",IF(IFERROR(INDEX(parametros!$A$2:$A$6,MATCH(C2874,parametros!$B$2:$B$6,0)),"")&lt;&gt;"Sim","Nao",IF(IFERROR(INDEX(parametros!$H$2:$H$6,MATCH(C2874,parametros!$B$2:$B$6,0)),"")="","",IF(B2874&gt;=IFERROR(INDEX(parametros!$H$2:$H$6,MATCH(C2874,parametros!$B$2:$B$6,0)),""),"Sim","Nao"))))))</f>
        <v/>
      </c>
      <c r="T2874" s="156"/>
      <c r="U2874" s="214" t="str">
        <f t="shared" si="226"/>
        <v/>
      </c>
      <c r="V2874" s="212" t="s">
        <v>50</v>
      </c>
      <c r="W2874" s="100" t="s">
        <v>168</v>
      </c>
      <c r="X2874" s="100" t="s">
        <v>169</v>
      </c>
      <c r="Y2874" s="101" t="s">
        <v>170</v>
      </c>
      <c r="Z2874" s="101" t="s">
        <v>171</v>
      </c>
      <c r="AA2874" s="101" t="s">
        <v>50</v>
      </c>
      <c r="AB2874" s="101" t="s">
        <v>172</v>
      </c>
      <c r="AC2874" s="102" t="s">
        <v>173</v>
      </c>
    </row>
    <row r="2875" spans="1:29" ht="25.5" customHeight="1" x14ac:dyDescent="0.35">
      <c r="A2875" s="392"/>
      <c r="B2875" s="393"/>
      <c r="C2875" s="99" t="str">
        <f>IF(B2875="","",IF(NOT(ISNUMBER(B2875)),"DATA_PC invalida",IF(NOT(ISNUMBER(parametros!$C$2)),"Fora dos ciclos",IF(OR(B2875&lt;parametros!$C$2,(YEAR(B2875)-YEAR(parametros!$C$2))*12+MONTH(B2875)-MONTH(parametros!$C$2)&gt;59),"Fora dos ciclos","C"&amp;INT(((YEAR(B2875)-YEAR(parametros!$C$2))*12+MONTH(B2875)-MONTH(parametros!$C$2))/12)))))</f>
        <v/>
      </c>
      <c r="D2875" s="394"/>
      <c r="E2875" s="78" t="str">
        <f>IF(C2875="","",IFERROR(VLOOKUP(C2875,parametros!$A$11:$E$15,5,0),""))</f>
        <v/>
      </c>
      <c r="F2875" s="79" t="str">
        <f t="shared" si="222"/>
        <v/>
      </c>
      <c r="G2875" s="395"/>
      <c r="H2875" s="91">
        <f t="shared" si="223"/>
        <v>0</v>
      </c>
      <c r="I2875" s="91" t="str">
        <f t="shared" si="224"/>
        <v/>
      </c>
      <c r="J2875" s="91" t="str">
        <f t="shared" si="225"/>
        <v/>
      </c>
      <c r="K2875" s="92" t="str">
        <f>IF(AND(A2875="",B2875="",D2875="",G2875=""),"",IF(AND(A2875&lt;&gt;"",COUNTIF($A$2:$A$5001,A2875)&gt;1),"NUMERO_PC duplicado",IF(B2875="","DATA_PC vazia",IF(NOT(ISNUMBER(B2875)),"DATA_PC invalida",IF(OR(C2875="",C2875="Fora dos ciclos"),"CICLO_PC nao identificado",IF(OR(D2875="",D2875=0),"VALOR_PC vazio ou zero",IF(AND(G2875&lt;&gt;"Sim",G2875&lt;&gt;"Nao",G2875&lt;&gt;""),"PC_PAGO_A_CONTRATADA invalido",IF(AND(C2875&lt;&gt;"C0",IFERROR(INDEX(parametros!$A$2:$A$6,MATCH(C2875,parametros!$B$2:$B$6,0)),"")="Sim",IFERROR(INDEX(parametros!$H$2:$H$6,MATCH(C2875,parametros!$B$2:$B$6,0)),"")=""),"INICIO_EFEITO ausente: PC "&amp;A2875&amp;" - "&amp;C2875,IF(L2875="","EFEITO_PC nao calculado: PC "&amp;A2875&amp;" - "&amp;C2875,"OK")))))))))</f>
        <v/>
      </c>
      <c r="L2875" s="92" t="str">
        <f>IF(AND(A2875="",B2875="",D2875="",G2875=""),"",IF(OR(B2875="",NOT(ISNUMBER(B2875)),C2875="",C2875="Fora dos ciclos"),"",IF(C2875="C0","Nao",IF(IFERROR(INDEX(parametros!$A$2:$A$6,MATCH(C2875,parametros!$B$2:$B$6,0)),"")&lt;&gt;"Sim","Nao",IF(IFERROR(INDEX(parametros!$H$2:$H$6,MATCH(C2875,parametros!$B$2:$B$6,0)),"")="","",IF(B2875&gt;=IFERROR(INDEX(parametros!$H$2:$H$6,MATCH(C2875,parametros!$B$2:$B$6,0)),""),"Sim","Nao"))))))</f>
        <v/>
      </c>
      <c r="T2875" s="156"/>
      <c r="U2875" s="214" t="str">
        <f t="shared" si="226"/>
        <v/>
      </c>
      <c r="V2875" s="212" t="s">
        <v>50</v>
      </c>
      <c r="W2875" s="100" t="s">
        <v>168</v>
      </c>
      <c r="X2875" s="100" t="s">
        <v>169</v>
      </c>
      <c r="Y2875" s="101" t="s">
        <v>170</v>
      </c>
      <c r="Z2875" s="101" t="s">
        <v>171</v>
      </c>
      <c r="AA2875" s="101" t="s">
        <v>50</v>
      </c>
      <c r="AB2875" s="101" t="s">
        <v>172</v>
      </c>
      <c r="AC2875" s="102" t="s">
        <v>173</v>
      </c>
    </row>
    <row r="2876" spans="1:29" ht="25.5" customHeight="1" x14ac:dyDescent="0.35">
      <c r="A2876" s="392"/>
      <c r="B2876" s="393"/>
      <c r="C2876" s="99" t="str">
        <f>IF(B2876="","",IF(NOT(ISNUMBER(B2876)),"DATA_PC invalida",IF(NOT(ISNUMBER(parametros!$C$2)),"Fora dos ciclos",IF(OR(B2876&lt;parametros!$C$2,(YEAR(B2876)-YEAR(parametros!$C$2))*12+MONTH(B2876)-MONTH(parametros!$C$2)&gt;59),"Fora dos ciclos","C"&amp;INT(((YEAR(B2876)-YEAR(parametros!$C$2))*12+MONTH(B2876)-MONTH(parametros!$C$2))/12)))))</f>
        <v/>
      </c>
      <c r="D2876" s="394"/>
      <c r="E2876" s="78" t="str">
        <f>IF(C2876="","",IFERROR(VLOOKUP(C2876,parametros!$A$11:$E$15,5,0),""))</f>
        <v/>
      </c>
      <c r="F2876" s="79" t="str">
        <f t="shared" si="222"/>
        <v/>
      </c>
      <c r="G2876" s="395"/>
      <c r="H2876" s="91">
        <f t="shared" si="223"/>
        <v>0</v>
      </c>
      <c r="I2876" s="91" t="str">
        <f t="shared" si="224"/>
        <v/>
      </c>
      <c r="J2876" s="91" t="str">
        <f t="shared" si="225"/>
        <v/>
      </c>
      <c r="K2876" s="92" t="str">
        <f>IF(AND(A2876="",B2876="",D2876="",G2876=""),"",IF(AND(A2876&lt;&gt;"",COUNTIF($A$2:$A$5001,A2876)&gt;1),"NUMERO_PC duplicado",IF(B2876="","DATA_PC vazia",IF(NOT(ISNUMBER(B2876)),"DATA_PC invalida",IF(OR(C2876="",C2876="Fora dos ciclos"),"CICLO_PC nao identificado",IF(OR(D2876="",D2876=0),"VALOR_PC vazio ou zero",IF(AND(G2876&lt;&gt;"Sim",G2876&lt;&gt;"Nao",G2876&lt;&gt;""),"PC_PAGO_A_CONTRATADA invalido",IF(AND(C2876&lt;&gt;"C0",IFERROR(INDEX(parametros!$A$2:$A$6,MATCH(C2876,parametros!$B$2:$B$6,0)),"")="Sim",IFERROR(INDEX(parametros!$H$2:$H$6,MATCH(C2876,parametros!$B$2:$B$6,0)),"")=""),"INICIO_EFEITO ausente: PC "&amp;A2876&amp;" - "&amp;C2876,IF(L2876="","EFEITO_PC nao calculado: PC "&amp;A2876&amp;" - "&amp;C2876,"OK")))))))))</f>
        <v/>
      </c>
      <c r="L2876" s="92" t="str">
        <f>IF(AND(A2876="",B2876="",D2876="",G2876=""),"",IF(OR(B2876="",NOT(ISNUMBER(B2876)),C2876="",C2876="Fora dos ciclos"),"",IF(C2876="C0","Nao",IF(IFERROR(INDEX(parametros!$A$2:$A$6,MATCH(C2876,parametros!$B$2:$B$6,0)),"")&lt;&gt;"Sim","Nao",IF(IFERROR(INDEX(parametros!$H$2:$H$6,MATCH(C2876,parametros!$B$2:$B$6,0)),"")="","",IF(B2876&gt;=IFERROR(INDEX(parametros!$H$2:$H$6,MATCH(C2876,parametros!$B$2:$B$6,0)),""),"Sim","Nao"))))))</f>
        <v/>
      </c>
      <c r="T2876" s="156"/>
      <c r="U2876" s="214" t="str">
        <f t="shared" si="226"/>
        <v/>
      </c>
      <c r="V2876" s="212" t="s">
        <v>50</v>
      </c>
      <c r="W2876" s="100" t="s">
        <v>168</v>
      </c>
      <c r="X2876" s="100" t="s">
        <v>169</v>
      </c>
      <c r="Y2876" s="101" t="s">
        <v>170</v>
      </c>
      <c r="Z2876" s="101" t="s">
        <v>171</v>
      </c>
      <c r="AA2876" s="101" t="s">
        <v>50</v>
      </c>
      <c r="AB2876" s="101" t="s">
        <v>172</v>
      </c>
      <c r="AC2876" s="102" t="s">
        <v>173</v>
      </c>
    </row>
    <row r="2877" spans="1:29" ht="25.5" customHeight="1" x14ac:dyDescent="0.35">
      <c r="A2877" s="392"/>
      <c r="B2877" s="393"/>
      <c r="C2877" s="99" t="str">
        <f>IF(B2877="","",IF(NOT(ISNUMBER(B2877)),"DATA_PC invalida",IF(NOT(ISNUMBER(parametros!$C$2)),"Fora dos ciclos",IF(OR(B2877&lt;parametros!$C$2,(YEAR(B2877)-YEAR(parametros!$C$2))*12+MONTH(B2877)-MONTH(parametros!$C$2)&gt;59),"Fora dos ciclos","C"&amp;INT(((YEAR(B2877)-YEAR(parametros!$C$2))*12+MONTH(B2877)-MONTH(parametros!$C$2))/12)))))</f>
        <v/>
      </c>
      <c r="D2877" s="394"/>
      <c r="E2877" s="78" t="str">
        <f>IF(C2877="","",IFERROR(VLOOKUP(C2877,parametros!$A$11:$E$15,5,0),""))</f>
        <v/>
      </c>
      <c r="F2877" s="79" t="str">
        <f t="shared" si="222"/>
        <v/>
      </c>
      <c r="G2877" s="395"/>
      <c r="H2877" s="91">
        <f t="shared" si="223"/>
        <v>0</v>
      </c>
      <c r="I2877" s="91" t="str">
        <f t="shared" si="224"/>
        <v/>
      </c>
      <c r="J2877" s="91" t="str">
        <f t="shared" si="225"/>
        <v/>
      </c>
      <c r="K2877" s="92" t="str">
        <f>IF(AND(A2877="",B2877="",D2877="",G2877=""),"",IF(AND(A2877&lt;&gt;"",COUNTIF($A$2:$A$5001,A2877)&gt;1),"NUMERO_PC duplicado",IF(B2877="","DATA_PC vazia",IF(NOT(ISNUMBER(B2877)),"DATA_PC invalida",IF(OR(C2877="",C2877="Fora dos ciclos"),"CICLO_PC nao identificado",IF(OR(D2877="",D2877=0),"VALOR_PC vazio ou zero",IF(AND(G2877&lt;&gt;"Sim",G2877&lt;&gt;"Nao",G2877&lt;&gt;""),"PC_PAGO_A_CONTRATADA invalido",IF(AND(C2877&lt;&gt;"C0",IFERROR(INDEX(parametros!$A$2:$A$6,MATCH(C2877,parametros!$B$2:$B$6,0)),"")="Sim",IFERROR(INDEX(parametros!$H$2:$H$6,MATCH(C2877,parametros!$B$2:$B$6,0)),"")=""),"INICIO_EFEITO ausente: PC "&amp;A2877&amp;" - "&amp;C2877,IF(L2877="","EFEITO_PC nao calculado: PC "&amp;A2877&amp;" - "&amp;C2877,"OK")))))))))</f>
        <v/>
      </c>
      <c r="L2877" s="92" t="str">
        <f>IF(AND(A2877="",B2877="",D2877="",G2877=""),"",IF(OR(B2877="",NOT(ISNUMBER(B2877)),C2877="",C2877="Fora dos ciclos"),"",IF(C2877="C0","Nao",IF(IFERROR(INDEX(parametros!$A$2:$A$6,MATCH(C2877,parametros!$B$2:$B$6,0)),"")&lt;&gt;"Sim","Nao",IF(IFERROR(INDEX(parametros!$H$2:$H$6,MATCH(C2877,parametros!$B$2:$B$6,0)),"")="","",IF(B2877&gt;=IFERROR(INDEX(parametros!$H$2:$H$6,MATCH(C2877,parametros!$B$2:$B$6,0)),""),"Sim","Nao"))))))</f>
        <v/>
      </c>
      <c r="T2877" s="156"/>
      <c r="U2877" s="214" t="str">
        <f t="shared" si="226"/>
        <v/>
      </c>
      <c r="V2877" s="212" t="s">
        <v>50</v>
      </c>
      <c r="W2877" s="100" t="s">
        <v>168</v>
      </c>
      <c r="X2877" s="100" t="s">
        <v>169</v>
      </c>
      <c r="Y2877" s="101" t="s">
        <v>170</v>
      </c>
      <c r="Z2877" s="101" t="s">
        <v>171</v>
      </c>
      <c r="AA2877" s="101" t="s">
        <v>50</v>
      </c>
      <c r="AB2877" s="101" t="s">
        <v>172</v>
      </c>
      <c r="AC2877" s="102" t="s">
        <v>173</v>
      </c>
    </row>
    <row r="2878" spans="1:29" ht="25.5" customHeight="1" x14ac:dyDescent="0.35">
      <c r="A2878" s="392"/>
      <c r="B2878" s="393"/>
      <c r="C2878" s="99" t="str">
        <f>IF(B2878="","",IF(NOT(ISNUMBER(B2878)),"DATA_PC invalida",IF(NOT(ISNUMBER(parametros!$C$2)),"Fora dos ciclos",IF(OR(B2878&lt;parametros!$C$2,(YEAR(B2878)-YEAR(parametros!$C$2))*12+MONTH(B2878)-MONTH(parametros!$C$2)&gt;59),"Fora dos ciclos","C"&amp;INT(((YEAR(B2878)-YEAR(parametros!$C$2))*12+MONTH(B2878)-MONTH(parametros!$C$2))/12)))))</f>
        <v/>
      </c>
      <c r="D2878" s="394"/>
      <c r="E2878" s="78" t="str">
        <f>IF(C2878="","",IFERROR(VLOOKUP(C2878,parametros!$A$11:$E$15,5,0),""))</f>
        <v/>
      </c>
      <c r="F2878" s="79" t="str">
        <f t="shared" si="222"/>
        <v/>
      </c>
      <c r="G2878" s="395"/>
      <c r="H2878" s="91">
        <f t="shared" si="223"/>
        <v>0</v>
      </c>
      <c r="I2878" s="91" t="str">
        <f t="shared" si="224"/>
        <v/>
      </c>
      <c r="J2878" s="91" t="str">
        <f t="shared" si="225"/>
        <v/>
      </c>
      <c r="K2878" s="92" t="str">
        <f>IF(AND(A2878="",B2878="",D2878="",G2878=""),"",IF(AND(A2878&lt;&gt;"",COUNTIF($A$2:$A$5001,A2878)&gt;1),"NUMERO_PC duplicado",IF(B2878="","DATA_PC vazia",IF(NOT(ISNUMBER(B2878)),"DATA_PC invalida",IF(OR(C2878="",C2878="Fora dos ciclos"),"CICLO_PC nao identificado",IF(OR(D2878="",D2878=0),"VALOR_PC vazio ou zero",IF(AND(G2878&lt;&gt;"Sim",G2878&lt;&gt;"Nao",G2878&lt;&gt;""),"PC_PAGO_A_CONTRATADA invalido",IF(AND(C2878&lt;&gt;"C0",IFERROR(INDEX(parametros!$A$2:$A$6,MATCH(C2878,parametros!$B$2:$B$6,0)),"")="Sim",IFERROR(INDEX(parametros!$H$2:$H$6,MATCH(C2878,parametros!$B$2:$B$6,0)),"")=""),"INICIO_EFEITO ausente: PC "&amp;A2878&amp;" - "&amp;C2878,IF(L2878="","EFEITO_PC nao calculado: PC "&amp;A2878&amp;" - "&amp;C2878,"OK")))))))))</f>
        <v/>
      </c>
      <c r="L2878" s="92" t="str">
        <f>IF(AND(A2878="",B2878="",D2878="",G2878=""),"",IF(OR(B2878="",NOT(ISNUMBER(B2878)),C2878="",C2878="Fora dos ciclos"),"",IF(C2878="C0","Nao",IF(IFERROR(INDEX(parametros!$A$2:$A$6,MATCH(C2878,parametros!$B$2:$B$6,0)),"")&lt;&gt;"Sim","Nao",IF(IFERROR(INDEX(parametros!$H$2:$H$6,MATCH(C2878,parametros!$B$2:$B$6,0)),"")="","",IF(B2878&gt;=IFERROR(INDEX(parametros!$H$2:$H$6,MATCH(C2878,parametros!$B$2:$B$6,0)),""),"Sim","Nao"))))))</f>
        <v/>
      </c>
      <c r="T2878" s="156"/>
      <c r="U2878" s="214" t="str">
        <f t="shared" si="226"/>
        <v/>
      </c>
      <c r="V2878" s="212" t="s">
        <v>50</v>
      </c>
      <c r="W2878" s="100" t="s">
        <v>168</v>
      </c>
      <c r="X2878" s="100" t="s">
        <v>169</v>
      </c>
      <c r="Y2878" s="101" t="s">
        <v>170</v>
      </c>
      <c r="Z2878" s="101" t="s">
        <v>171</v>
      </c>
      <c r="AA2878" s="101" t="s">
        <v>50</v>
      </c>
      <c r="AB2878" s="101" t="s">
        <v>172</v>
      </c>
      <c r="AC2878" s="102" t="s">
        <v>173</v>
      </c>
    </row>
    <row r="2879" spans="1:29" ht="25.5" customHeight="1" x14ac:dyDescent="0.35">
      <c r="A2879" s="392"/>
      <c r="B2879" s="393"/>
      <c r="C2879" s="99" t="str">
        <f>IF(B2879="","",IF(NOT(ISNUMBER(B2879)),"DATA_PC invalida",IF(NOT(ISNUMBER(parametros!$C$2)),"Fora dos ciclos",IF(OR(B2879&lt;parametros!$C$2,(YEAR(B2879)-YEAR(parametros!$C$2))*12+MONTH(B2879)-MONTH(parametros!$C$2)&gt;59),"Fora dos ciclos","C"&amp;INT(((YEAR(B2879)-YEAR(parametros!$C$2))*12+MONTH(B2879)-MONTH(parametros!$C$2))/12)))))</f>
        <v/>
      </c>
      <c r="D2879" s="394"/>
      <c r="E2879" s="78" t="str">
        <f>IF(C2879="","",IFERROR(VLOOKUP(C2879,parametros!$A$11:$E$15,5,0),""))</f>
        <v/>
      </c>
      <c r="F2879" s="79" t="str">
        <f t="shared" si="222"/>
        <v/>
      </c>
      <c r="G2879" s="395"/>
      <c r="H2879" s="91">
        <f t="shared" si="223"/>
        <v>0</v>
      </c>
      <c r="I2879" s="91" t="str">
        <f t="shared" si="224"/>
        <v/>
      </c>
      <c r="J2879" s="91" t="str">
        <f t="shared" si="225"/>
        <v/>
      </c>
      <c r="K2879" s="92" t="str">
        <f>IF(AND(A2879="",B2879="",D2879="",G2879=""),"",IF(AND(A2879&lt;&gt;"",COUNTIF($A$2:$A$5001,A2879)&gt;1),"NUMERO_PC duplicado",IF(B2879="","DATA_PC vazia",IF(NOT(ISNUMBER(B2879)),"DATA_PC invalida",IF(OR(C2879="",C2879="Fora dos ciclos"),"CICLO_PC nao identificado",IF(OR(D2879="",D2879=0),"VALOR_PC vazio ou zero",IF(AND(G2879&lt;&gt;"Sim",G2879&lt;&gt;"Nao",G2879&lt;&gt;""),"PC_PAGO_A_CONTRATADA invalido",IF(AND(C2879&lt;&gt;"C0",IFERROR(INDEX(parametros!$A$2:$A$6,MATCH(C2879,parametros!$B$2:$B$6,0)),"")="Sim",IFERROR(INDEX(parametros!$H$2:$H$6,MATCH(C2879,parametros!$B$2:$B$6,0)),"")=""),"INICIO_EFEITO ausente: PC "&amp;A2879&amp;" - "&amp;C2879,IF(L2879="","EFEITO_PC nao calculado: PC "&amp;A2879&amp;" - "&amp;C2879,"OK")))))))))</f>
        <v/>
      </c>
      <c r="L2879" s="92" t="str">
        <f>IF(AND(A2879="",B2879="",D2879="",G2879=""),"",IF(OR(B2879="",NOT(ISNUMBER(B2879)),C2879="",C2879="Fora dos ciclos"),"",IF(C2879="C0","Nao",IF(IFERROR(INDEX(parametros!$A$2:$A$6,MATCH(C2879,parametros!$B$2:$B$6,0)),"")&lt;&gt;"Sim","Nao",IF(IFERROR(INDEX(parametros!$H$2:$H$6,MATCH(C2879,parametros!$B$2:$B$6,0)),"")="","",IF(B2879&gt;=IFERROR(INDEX(parametros!$H$2:$H$6,MATCH(C2879,parametros!$B$2:$B$6,0)),""),"Sim","Nao"))))))</f>
        <v/>
      </c>
      <c r="T2879" s="156"/>
      <c r="U2879" s="214" t="str">
        <f t="shared" si="226"/>
        <v/>
      </c>
      <c r="V2879" s="212" t="s">
        <v>50</v>
      </c>
      <c r="W2879" s="100" t="s">
        <v>168</v>
      </c>
      <c r="X2879" s="100" t="s">
        <v>169</v>
      </c>
      <c r="Y2879" s="101" t="s">
        <v>170</v>
      </c>
      <c r="Z2879" s="101" t="s">
        <v>171</v>
      </c>
      <c r="AA2879" s="101" t="s">
        <v>50</v>
      </c>
      <c r="AB2879" s="101" t="s">
        <v>172</v>
      </c>
      <c r="AC2879" s="102" t="s">
        <v>173</v>
      </c>
    </row>
    <row r="2880" spans="1:29" ht="25.5" customHeight="1" x14ac:dyDescent="0.35">
      <c r="A2880" s="392"/>
      <c r="B2880" s="393"/>
      <c r="C2880" s="99" t="str">
        <f>IF(B2880="","",IF(NOT(ISNUMBER(B2880)),"DATA_PC invalida",IF(NOT(ISNUMBER(parametros!$C$2)),"Fora dos ciclos",IF(OR(B2880&lt;parametros!$C$2,(YEAR(B2880)-YEAR(parametros!$C$2))*12+MONTH(B2880)-MONTH(parametros!$C$2)&gt;59),"Fora dos ciclos","C"&amp;INT(((YEAR(B2880)-YEAR(parametros!$C$2))*12+MONTH(B2880)-MONTH(parametros!$C$2))/12)))))</f>
        <v/>
      </c>
      <c r="D2880" s="394"/>
      <c r="E2880" s="78" t="str">
        <f>IF(C2880="","",IFERROR(VLOOKUP(C2880,parametros!$A$11:$E$15,5,0),""))</f>
        <v/>
      </c>
      <c r="F2880" s="79" t="str">
        <f t="shared" si="222"/>
        <v/>
      </c>
      <c r="G2880" s="395"/>
      <c r="H2880" s="91">
        <f t="shared" si="223"/>
        <v>0</v>
      </c>
      <c r="I2880" s="91" t="str">
        <f t="shared" si="224"/>
        <v/>
      </c>
      <c r="J2880" s="91" t="str">
        <f t="shared" si="225"/>
        <v/>
      </c>
      <c r="K2880" s="92" t="str">
        <f>IF(AND(A2880="",B2880="",D2880="",G2880=""),"",IF(AND(A2880&lt;&gt;"",COUNTIF($A$2:$A$5001,A2880)&gt;1),"NUMERO_PC duplicado",IF(B2880="","DATA_PC vazia",IF(NOT(ISNUMBER(B2880)),"DATA_PC invalida",IF(OR(C2880="",C2880="Fora dos ciclos"),"CICLO_PC nao identificado",IF(OR(D2880="",D2880=0),"VALOR_PC vazio ou zero",IF(AND(G2880&lt;&gt;"Sim",G2880&lt;&gt;"Nao",G2880&lt;&gt;""),"PC_PAGO_A_CONTRATADA invalido",IF(AND(C2880&lt;&gt;"C0",IFERROR(INDEX(parametros!$A$2:$A$6,MATCH(C2880,parametros!$B$2:$B$6,0)),"")="Sim",IFERROR(INDEX(parametros!$H$2:$H$6,MATCH(C2880,parametros!$B$2:$B$6,0)),"")=""),"INICIO_EFEITO ausente: PC "&amp;A2880&amp;" - "&amp;C2880,IF(L2880="","EFEITO_PC nao calculado: PC "&amp;A2880&amp;" - "&amp;C2880,"OK")))))))))</f>
        <v/>
      </c>
      <c r="L2880" s="92" t="str">
        <f>IF(AND(A2880="",B2880="",D2880="",G2880=""),"",IF(OR(B2880="",NOT(ISNUMBER(B2880)),C2880="",C2880="Fora dos ciclos"),"",IF(C2880="C0","Nao",IF(IFERROR(INDEX(parametros!$A$2:$A$6,MATCH(C2880,parametros!$B$2:$B$6,0)),"")&lt;&gt;"Sim","Nao",IF(IFERROR(INDEX(parametros!$H$2:$H$6,MATCH(C2880,parametros!$B$2:$B$6,0)),"")="","",IF(B2880&gt;=IFERROR(INDEX(parametros!$H$2:$H$6,MATCH(C2880,parametros!$B$2:$B$6,0)),""),"Sim","Nao"))))))</f>
        <v/>
      </c>
      <c r="T2880" s="156"/>
      <c r="U2880" s="214" t="str">
        <f t="shared" si="226"/>
        <v/>
      </c>
      <c r="V2880" s="212" t="s">
        <v>50</v>
      </c>
      <c r="W2880" s="100" t="s">
        <v>168</v>
      </c>
      <c r="X2880" s="100" t="s">
        <v>169</v>
      </c>
      <c r="Y2880" s="101" t="s">
        <v>170</v>
      </c>
      <c r="Z2880" s="101" t="s">
        <v>171</v>
      </c>
      <c r="AA2880" s="101" t="s">
        <v>50</v>
      </c>
      <c r="AB2880" s="101" t="s">
        <v>172</v>
      </c>
      <c r="AC2880" s="102" t="s">
        <v>173</v>
      </c>
    </row>
    <row r="2881" spans="1:29" ht="25.5" customHeight="1" x14ac:dyDescent="0.35">
      <c r="A2881" s="392"/>
      <c r="B2881" s="393"/>
      <c r="C2881" s="99" t="str">
        <f>IF(B2881="","",IF(NOT(ISNUMBER(B2881)),"DATA_PC invalida",IF(NOT(ISNUMBER(parametros!$C$2)),"Fora dos ciclos",IF(OR(B2881&lt;parametros!$C$2,(YEAR(B2881)-YEAR(parametros!$C$2))*12+MONTH(B2881)-MONTH(parametros!$C$2)&gt;59),"Fora dos ciclos","C"&amp;INT(((YEAR(B2881)-YEAR(parametros!$C$2))*12+MONTH(B2881)-MONTH(parametros!$C$2))/12)))))</f>
        <v/>
      </c>
      <c r="D2881" s="394"/>
      <c r="E2881" s="78" t="str">
        <f>IF(C2881="","",IFERROR(VLOOKUP(C2881,parametros!$A$11:$E$15,5,0),""))</f>
        <v/>
      </c>
      <c r="F2881" s="79" t="str">
        <f t="shared" si="222"/>
        <v/>
      </c>
      <c r="G2881" s="395"/>
      <c r="H2881" s="91">
        <f t="shared" si="223"/>
        <v>0</v>
      </c>
      <c r="I2881" s="91" t="str">
        <f t="shared" si="224"/>
        <v/>
      </c>
      <c r="J2881" s="91" t="str">
        <f t="shared" si="225"/>
        <v/>
      </c>
      <c r="K2881" s="92" t="str">
        <f>IF(AND(A2881="",B2881="",D2881="",G2881=""),"",IF(AND(A2881&lt;&gt;"",COUNTIF($A$2:$A$5001,A2881)&gt;1),"NUMERO_PC duplicado",IF(B2881="","DATA_PC vazia",IF(NOT(ISNUMBER(B2881)),"DATA_PC invalida",IF(OR(C2881="",C2881="Fora dos ciclos"),"CICLO_PC nao identificado",IF(OR(D2881="",D2881=0),"VALOR_PC vazio ou zero",IF(AND(G2881&lt;&gt;"Sim",G2881&lt;&gt;"Nao",G2881&lt;&gt;""),"PC_PAGO_A_CONTRATADA invalido",IF(AND(C2881&lt;&gt;"C0",IFERROR(INDEX(parametros!$A$2:$A$6,MATCH(C2881,parametros!$B$2:$B$6,0)),"")="Sim",IFERROR(INDEX(parametros!$H$2:$H$6,MATCH(C2881,parametros!$B$2:$B$6,0)),"")=""),"INICIO_EFEITO ausente: PC "&amp;A2881&amp;" - "&amp;C2881,IF(L2881="","EFEITO_PC nao calculado: PC "&amp;A2881&amp;" - "&amp;C2881,"OK")))))))))</f>
        <v/>
      </c>
      <c r="L2881" s="92" t="str">
        <f>IF(AND(A2881="",B2881="",D2881="",G2881=""),"",IF(OR(B2881="",NOT(ISNUMBER(B2881)),C2881="",C2881="Fora dos ciclos"),"",IF(C2881="C0","Nao",IF(IFERROR(INDEX(parametros!$A$2:$A$6,MATCH(C2881,parametros!$B$2:$B$6,0)),"")&lt;&gt;"Sim","Nao",IF(IFERROR(INDEX(parametros!$H$2:$H$6,MATCH(C2881,parametros!$B$2:$B$6,0)),"")="","",IF(B2881&gt;=IFERROR(INDEX(parametros!$H$2:$H$6,MATCH(C2881,parametros!$B$2:$B$6,0)),""),"Sim","Nao"))))))</f>
        <v/>
      </c>
      <c r="T2881" s="156"/>
      <c r="U2881" s="214" t="str">
        <f t="shared" si="226"/>
        <v/>
      </c>
      <c r="V2881" s="212" t="s">
        <v>50</v>
      </c>
      <c r="W2881" s="100" t="s">
        <v>168</v>
      </c>
      <c r="X2881" s="100" t="s">
        <v>169</v>
      </c>
      <c r="Y2881" s="101" t="s">
        <v>170</v>
      </c>
      <c r="Z2881" s="101" t="s">
        <v>171</v>
      </c>
      <c r="AA2881" s="101" t="s">
        <v>50</v>
      </c>
      <c r="AB2881" s="101" t="s">
        <v>172</v>
      </c>
      <c r="AC2881" s="102" t="s">
        <v>173</v>
      </c>
    </row>
    <row r="2882" spans="1:29" ht="25.5" customHeight="1" x14ac:dyDescent="0.35">
      <c r="A2882" s="392"/>
      <c r="B2882" s="393"/>
      <c r="C2882" s="99" t="str">
        <f>IF(B2882="","",IF(NOT(ISNUMBER(B2882)),"DATA_PC invalida",IF(NOT(ISNUMBER(parametros!$C$2)),"Fora dos ciclos",IF(OR(B2882&lt;parametros!$C$2,(YEAR(B2882)-YEAR(parametros!$C$2))*12+MONTH(B2882)-MONTH(parametros!$C$2)&gt;59),"Fora dos ciclos","C"&amp;INT(((YEAR(B2882)-YEAR(parametros!$C$2))*12+MONTH(B2882)-MONTH(parametros!$C$2))/12)))))</f>
        <v/>
      </c>
      <c r="D2882" s="394"/>
      <c r="E2882" s="78" t="str">
        <f>IF(C2882="","",IFERROR(VLOOKUP(C2882,parametros!$A$11:$E$15,5,0),""))</f>
        <v/>
      </c>
      <c r="F2882" s="79" t="str">
        <f t="shared" ref="F2882:F2945" si="227">IF(OR(D2882="",E2882=""),"",ROUND(D2882*E2882,2))</f>
        <v/>
      </c>
      <c r="G2882" s="395"/>
      <c r="H2882" s="91">
        <f t="shared" ref="H2882:H2945" si="228">IF(G2882="Sim",IF(OR(F2882="",D2882="",L2882=""),"",IF(L2882="Sim",ROUND(F2882-D2882,2),0)),0)</f>
        <v>0</v>
      </c>
      <c r="I2882" s="91" t="str">
        <f t="shared" ref="I2882:I2945" si="229">IF(G2882="Sim",0,IF(OR(F2882="",L2882=""),"",F2882))</f>
        <v/>
      </c>
      <c r="J2882" s="91" t="str">
        <f t="shared" ref="J2882:J2945" si="230">IF(G2882="Sim",0,IF(OR(F2882="",D2882="",L2882=""),"",IF(L2882="Sim",ROUND(F2882-D2882,2),0)))</f>
        <v/>
      </c>
      <c r="K2882" s="92" t="str">
        <f>IF(AND(A2882="",B2882="",D2882="",G2882=""),"",IF(AND(A2882&lt;&gt;"",COUNTIF($A$2:$A$5001,A2882)&gt;1),"NUMERO_PC duplicado",IF(B2882="","DATA_PC vazia",IF(NOT(ISNUMBER(B2882)),"DATA_PC invalida",IF(OR(C2882="",C2882="Fora dos ciclos"),"CICLO_PC nao identificado",IF(OR(D2882="",D2882=0),"VALOR_PC vazio ou zero",IF(AND(G2882&lt;&gt;"Sim",G2882&lt;&gt;"Nao",G2882&lt;&gt;""),"PC_PAGO_A_CONTRATADA invalido",IF(AND(C2882&lt;&gt;"C0",IFERROR(INDEX(parametros!$A$2:$A$6,MATCH(C2882,parametros!$B$2:$B$6,0)),"")="Sim",IFERROR(INDEX(parametros!$H$2:$H$6,MATCH(C2882,parametros!$B$2:$B$6,0)),"")=""),"INICIO_EFEITO ausente: PC "&amp;A2882&amp;" - "&amp;C2882,IF(L2882="","EFEITO_PC nao calculado: PC "&amp;A2882&amp;" - "&amp;C2882,"OK")))))))))</f>
        <v/>
      </c>
      <c r="L2882" s="92" t="str">
        <f>IF(AND(A2882="",B2882="",D2882="",G2882=""),"",IF(OR(B2882="",NOT(ISNUMBER(B2882)),C2882="",C2882="Fora dos ciclos"),"",IF(C2882="C0","Nao",IF(IFERROR(INDEX(parametros!$A$2:$A$6,MATCH(C2882,parametros!$B$2:$B$6,0)),"")&lt;&gt;"Sim","Nao",IF(IFERROR(INDEX(parametros!$H$2:$H$6,MATCH(C2882,parametros!$B$2:$B$6,0)),"")="","",IF(B2882&gt;=IFERROR(INDEX(parametros!$H$2:$H$6,MATCH(C2882,parametros!$B$2:$B$6,0)),""),"Sim","Nao"))))))</f>
        <v/>
      </c>
      <c r="T2882" s="156"/>
      <c r="U2882" s="214" t="str">
        <f t="shared" ref="U2882:U2945" si="231">IF(OR($D2882="",$H2882=""),"",ROUND($D2882+$H2882,2))</f>
        <v/>
      </c>
      <c r="V2882" s="212" t="s">
        <v>50</v>
      </c>
      <c r="W2882" s="100" t="s">
        <v>168</v>
      </c>
      <c r="X2882" s="100" t="s">
        <v>169</v>
      </c>
      <c r="Y2882" s="101" t="s">
        <v>170</v>
      </c>
      <c r="Z2882" s="101" t="s">
        <v>171</v>
      </c>
      <c r="AA2882" s="101" t="s">
        <v>50</v>
      </c>
      <c r="AB2882" s="101" t="s">
        <v>172</v>
      </c>
      <c r="AC2882" s="102" t="s">
        <v>173</v>
      </c>
    </row>
    <row r="2883" spans="1:29" ht="25.5" customHeight="1" x14ac:dyDescent="0.35">
      <c r="A2883" s="392"/>
      <c r="B2883" s="393"/>
      <c r="C2883" s="99" t="str">
        <f>IF(B2883="","",IF(NOT(ISNUMBER(B2883)),"DATA_PC invalida",IF(NOT(ISNUMBER(parametros!$C$2)),"Fora dos ciclos",IF(OR(B2883&lt;parametros!$C$2,(YEAR(B2883)-YEAR(parametros!$C$2))*12+MONTH(B2883)-MONTH(parametros!$C$2)&gt;59),"Fora dos ciclos","C"&amp;INT(((YEAR(B2883)-YEAR(parametros!$C$2))*12+MONTH(B2883)-MONTH(parametros!$C$2))/12)))))</f>
        <v/>
      </c>
      <c r="D2883" s="394"/>
      <c r="E2883" s="78" t="str">
        <f>IF(C2883="","",IFERROR(VLOOKUP(C2883,parametros!$A$11:$E$15,5,0),""))</f>
        <v/>
      </c>
      <c r="F2883" s="79" t="str">
        <f t="shared" si="227"/>
        <v/>
      </c>
      <c r="G2883" s="395"/>
      <c r="H2883" s="91">
        <f t="shared" si="228"/>
        <v>0</v>
      </c>
      <c r="I2883" s="91" t="str">
        <f t="shared" si="229"/>
        <v/>
      </c>
      <c r="J2883" s="91" t="str">
        <f t="shared" si="230"/>
        <v/>
      </c>
      <c r="K2883" s="92" t="str">
        <f>IF(AND(A2883="",B2883="",D2883="",G2883=""),"",IF(AND(A2883&lt;&gt;"",COUNTIF($A$2:$A$5001,A2883)&gt;1),"NUMERO_PC duplicado",IF(B2883="","DATA_PC vazia",IF(NOT(ISNUMBER(B2883)),"DATA_PC invalida",IF(OR(C2883="",C2883="Fora dos ciclos"),"CICLO_PC nao identificado",IF(OR(D2883="",D2883=0),"VALOR_PC vazio ou zero",IF(AND(G2883&lt;&gt;"Sim",G2883&lt;&gt;"Nao",G2883&lt;&gt;""),"PC_PAGO_A_CONTRATADA invalido",IF(AND(C2883&lt;&gt;"C0",IFERROR(INDEX(parametros!$A$2:$A$6,MATCH(C2883,parametros!$B$2:$B$6,0)),"")="Sim",IFERROR(INDEX(parametros!$H$2:$H$6,MATCH(C2883,parametros!$B$2:$B$6,0)),"")=""),"INICIO_EFEITO ausente: PC "&amp;A2883&amp;" - "&amp;C2883,IF(L2883="","EFEITO_PC nao calculado: PC "&amp;A2883&amp;" - "&amp;C2883,"OK")))))))))</f>
        <v/>
      </c>
      <c r="L2883" s="92" t="str">
        <f>IF(AND(A2883="",B2883="",D2883="",G2883=""),"",IF(OR(B2883="",NOT(ISNUMBER(B2883)),C2883="",C2883="Fora dos ciclos"),"",IF(C2883="C0","Nao",IF(IFERROR(INDEX(parametros!$A$2:$A$6,MATCH(C2883,parametros!$B$2:$B$6,0)),"")&lt;&gt;"Sim","Nao",IF(IFERROR(INDEX(parametros!$H$2:$H$6,MATCH(C2883,parametros!$B$2:$B$6,0)),"")="","",IF(B2883&gt;=IFERROR(INDEX(parametros!$H$2:$H$6,MATCH(C2883,parametros!$B$2:$B$6,0)),""),"Sim","Nao"))))))</f>
        <v/>
      </c>
      <c r="T2883" s="156"/>
      <c r="U2883" s="214" t="str">
        <f t="shared" si="231"/>
        <v/>
      </c>
      <c r="V2883" s="212" t="s">
        <v>50</v>
      </c>
      <c r="W2883" s="100" t="s">
        <v>168</v>
      </c>
      <c r="X2883" s="100" t="s">
        <v>169</v>
      </c>
      <c r="Y2883" s="101" t="s">
        <v>170</v>
      </c>
      <c r="Z2883" s="101" t="s">
        <v>171</v>
      </c>
      <c r="AA2883" s="101" t="s">
        <v>50</v>
      </c>
      <c r="AB2883" s="101" t="s">
        <v>172</v>
      </c>
      <c r="AC2883" s="102" t="s">
        <v>173</v>
      </c>
    </row>
    <row r="2884" spans="1:29" ht="25.5" customHeight="1" x14ac:dyDescent="0.35">
      <c r="A2884" s="392"/>
      <c r="B2884" s="393"/>
      <c r="C2884" s="99" t="str">
        <f>IF(B2884="","",IF(NOT(ISNUMBER(B2884)),"DATA_PC invalida",IF(NOT(ISNUMBER(parametros!$C$2)),"Fora dos ciclos",IF(OR(B2884&lt;parametros!$C$2,(YEAR(B2884)-YEAR(parametros!$C$2))*12+MONTH(B2884)-MONTH(parametros!$C$2)&gt;59),"Fora dos ciclos","C"&amp;INT(((YEAR(B2884)-YEAR(parametros!$C$2))*12+MONTH(B2884)-MONTH(parametros!$C$2))/12)))))</f>
        <v/>
      </c>
      <c r="D2884" s="394"/>
      <c r="E2884" s="78" t="str">
        <f>IF(C2884="","",IFERROR(VLOOKUP(C2884,parametros!$A$11:$E$15,5,0),""))</f>
        <v/>
      </c>
      <c r="F2884" s="79" t="str">
        <f t="shared" si="227"/>
        <v/>
      </c>
      <c r="G2884" s="395"/>
      <c r="H2884" s="91">
        <f t="shared" si="228"/>
        <v>0</v>
      </c>
      <c r="I2884" s="91" t="str">
        <f t="shared" si="229"/>
        <v/>
      </c>
      <c r="J2884" s="91" t="str">
        <f t="shared" si="230"/>
        <v/>
      </c>
      <c r="K2884" s="92" t="str">
        <f>IF(AND(A2884="",B2884="",D2884="",G2884=""),"",IF(AND(A2884&lt;&gt;"",COUNTIF($A$2:$A$5001,A2884)&gt;1),"NUMERO_PC duplicado",IF(B2884="","DATA_PC vazia",IF(NOT(ISNUMBER(B2884)),"DATA_PC invalida",IF(OR(C2884="",C2884="Fora dos ciclos"),"CICLO_PC nao identificado",IF(OR(D2884="",D2884=0),"VALOR_PC vazio ou zero",IF(AND(G2884&lt;&gt;"Sim",G2884&lt;&gt;"Nao",G2884&lt;&gt;""),"PC_PAGO_A_CONTRATADA invalido",IF(AND(C2884&lt;&gt;"C0",IFERROR(INDEX(parametros!$A$2:$A$6,MATCH(C2884,parametros!$B$2:$B$6,0)),"")="Sim",IFERROR(INDEX(parametros!$H$2:$H$6,MATCH(C2884,parametros!$B$2:$B$6,0)),"")=""),"INICIO_EFEITO ausente: PC "&amp;A2884&amp;" - "&amp;C2884,IF(L2884="","EFEITO_PC nao calculado: PC "&amp;A2884&amp;" - "&amp;C2884,"OK")))))))))</f>
        <v/>
      </c>
      <c r="L2884" s="92" t="str">
        <f>IF(AND(A2884="",B2884="",D2884="",G2884=""),"",IF(OR(B2884="",NOT(ISNUMBER(B2884)),C2884="",C2884="Fora dos ciclos"),"",IF(C2884="C0","Nao",IF(IFERROR(INDEX(parametros!$A$2:$A$6,MATCH(C2884,parametros!$B$2:$B$6,0)),"")&lt;&gt;"Sim","Nao",IF(IFERROR(INDEX(parametros!$H$2:$H$6,MATCH(C2884,parametros!$B$2:$B$6,0)),"")="","",IF(B2884&gt;=IFERROR(INDEX(parametros!$H$2:$H$6,MATCH(C2884,parametros!$B$2:$B$6,0)),""),"Sim","Nao"))))))</f>
        <v/>
      </c>
      <c r="T2884" s="156"/>
      <c r="U2884" s="214" t="str">
        <f t="shared" si="231"/>
        <v/>
      </c>
      <c r="V2884" s="212" t="s">
        <v>50</v>
      </c>
      <c r="W2884" s="100" t="s">
        <v>168</v>
      </c>
      <c r="X2884" s="100" t="s">
        <v>169</v>
      </c>
      <c r="Y2884" s="101" t="s">
        <v>170</v>
      </c>
      <c r="Z2884" s="101" t="s">
        <v>171</v>
      </c>
      <c r="AA2884" s="101" t="s">
        <v>50</v>
      </c>
      <c r="AB2884" s="101" t="s">
        <v>172</v>
      </c>
      <c r="AC2884" s="102" t="s">
        <v>173</v>
      </c>
    </row>
    <row r="2885" spans="1:29" ht="25.5" customHeight="1" x14ac:dyDescent="0.35">
      <c r="A2885" s="392"/>
      <c r="B2885" s="393"/>
      <c r="C2885" s="99" t="str">
        <f>IF(B2885="","",IF(NOT(ISNUMBER(B2885)),"DATA_PC invalida",IF(NOT(ISNUMBER(parametros!$C$2)),"Fora dos ciclos",IF(OR(B2885&lt;parametros!$C$2,(YEAR(B2885)-YEAR(parametros!$C$2))*12+MONTH(B2885)-MONTH(parametros!$C$2)&gt;59),"Fora dos ciclos","C"&amp;INT(((YEAR(B2885)-YEAR(parametros!$C$2))*12+MONTH(B2885)-MONTH(parametros!$C$2))/12)))))</f>
        <v/>
      </c>
      <c r="D2885" s="394"/>
      <c r="E2885" s="78" t="str">
        <f>IF(C2885="","",IFERROR(VLOOKUP(C2885,parametros!$A$11:$E$15,5,0),""))</f>
        <v/>
      </c>
      <c r="F2885" s="79" t="str">
        <f t="shared" si="227"/>
        <v/>
      </c>
      <c r="G2885" s="395"/>
      <c r="H2885" s="91">
        <f t="shared" si="228"/>
        <v>0</v>
      </c>
      <c r="I2885" s="91" t="str">
        <f t="shared" si="229"/>
        <v/>
      </c>
      <c r="J2885" s="91" t="str">
        <f t="shared" si="230"/>
        <v/>
      </c>
      <c r="K2885" s="92" t="str">
        <f>IF(AND(A2885="",B2885="",D2885="",G2885=""),"",IF(AND(A2885&lt;&gt;"",COUNTIF($A$2:$A$5001,A2885)&gt;1),"NUMERO_PC duplicado",IF(B2885="","DATA_PC vazia",IF(NOT(ISNUMBER(B2885)),"DATA_PC invalida",IF(OR(C2885="",C2885="Fora dos ciclos"),"CICLO_PC nao identificado",IF(OR(D2885="",D2885=0),"VALOR_PC vazio ou zero",IF(AND(G2885&lt;&gt;"Sim",G2885&lt;&gt;"Nao",G2885&lt;&gt;""),"PC_PAGO_A_CONTRATADA invalido",IF(AND(C2885&lt;&gt;"C0",IFERROR(INDEX(parametros!$A$2:$A$6,MATCH(C2885,parametros!$B$2:$B$6,0)),"")="Sim",IFERROR(INDEX(parametros!$H$2:$H$6,MATCH(C2885,parametros!$B$2:$B$6,0)),"")=""),"INICIO_EFEITO ausente: PC "&amp;A2885&amp;" - "&amp;C2885,IF(L2885="","EFEITO_PC nao calculado: PC "&amp;A2885&amp;" - "&amp;C2885,"OK")))))))))</f>
        <v/>
      </c>
      <c r="L2885" s="92" t="str">
        <f>IF(AND(A2885="",B2885="",D2885="",G2885=""),"",IF(OR(B2885="",NOT(ISNUMBER(B2885)),C2885="",C2885="Fora dos ciclos"),"",IF(C2885="C0","Nao",IF(IFERROR(INDEX(parametros!$A$2:$A$6,MATCH(C2885,parametros!$B$2:$B$6,0)),"")&lt;&gt;"Sim","Nao",IF(IFERROR(INDEX(parametros!$H$2:$H$6,MATCH(C2885,parametros!$B$2:$B$6,0)),"")="","",IF(B2885&gt;=IFERROR(INDEX(parametros!$H$2:$H$6,MATCH(C2885,parametros!$B$2:$B$6,0)),""),"Sim","Nao"))))))</f>
        <v/>
      </c>
      <c r="T2885" s="156"/>
      <c r="U2885" s="214" t="str">
        <f t="shared" si="231"/>
        <v/>
      </c>
      <c r="V2885" s="212" t="s">
        <v>50</v>
      </c>
      <c r="W2885" s="100" t="s">
        <v>168</v>
      </c>
      <c r="X2885" s="100" t="s">
        <v>169</v>
      </c>
      <c r="Y2885" s="101" t="s">
        <v>170</v>
      </c>
      <c r="Z2885" s="101" t="s">
        <v>171</v>
      </c>
      <c r="AA2885" s="101" t="s">
        <v>50</v>
      </c>
      <c r="AB2885" s="101" t="s">
        <v>172</v>
      </c>
      <c r="AC2885" s="102" t="s">
        <v>173</v>
      </c>
    </row>
    <row r="2886" spans="1:29" ht="25.5" customHeight="1" x14ac:dyDescent="0.35">
      <c r="A2886" s="392"/>
      <c r="B2886" s="393"/>
      <c r="C2886" s="99" t="str">
        <f>IF(B2886="","",IF(NOT(ISNUMBER(B2886)),"DATA_PC invalida",IF(NOT(ISNUMBER(parametros!$C$2)),"Fora dos ciclos",IF(OR(B2886&lt;parametros!$C$2,(YEAR(B2886)-YEAR(parametros!$C$2))*12+MONTH(B2886)-MONTH(parametros!$C$2)&gt;59),"Fora dos ciclos","C"&amp;INT(((YEAR(B2886)-YEAR(parametros!$C$2))*12+MONTH(B2886)-MONTH(parametros!$C$2))/12)))))</f>
        <v/>
      </c>
      <c r="D2886" s="394"/>
      <c r="E2886" s="78" t="str">
        <f>IF(C2886="","",IFERROR(VLOOKUP(C2886,parametros!$A$11:$E$15,5,0),""))</f>
        <v/>
      </c>
      <c r="F2886" s="79" t="str">
        <f t="shared" si="227"/>
        <v/>
      </c>
      <c r="G2886" s="395"/>
      <c r="H2886" s="91">
        <f t="shared" si="228"/>
        <v>0</v>
      </c>
      <c r="I2886" s="91" t="str">
        <f t="shared" si="229"/>
        <v/>
      </c>
      <c r="J2886" s="91" t="str">
        <f t="shared" si="230"/>
        <v/>
      </c>
      <c r="K2886" s="92" t="str">
        <f>IF(AND(A2886="",B2886="",D2886="",G2886=""),"",IF(AND(A2886&lt;&gt;"",COUNTIF($A$2:$A$5001,A2886)&gt;1),"NUMERO_PC duplicado",IF(B2886="","DATA_PC vazia",IF(NOT(ISNUMBER(B2886)),"DATA_PC invalida",IF(OR(C2886="",C2886="Fora dos ciclos"),"CICLO_PC nao identificado",IF(OR(D2886="",D2886=0),"VALOR_PC vazio ou zero",IF(AND(G2886&lt;&gt;"Sim",G2886&lt;&gt;"Nao",G2886&lt;&gt;""),"PC_PAGO_A_CONTRATADA invalido",IF(AND(C2886&lt;&gt;"C0",IFERROR(INDEX(parametros!$A$2:$A$6,MATCH(C2886,parametros!$B$2:$B$6,0)),"")="Sim",IFERROR(INDEX(parametros!$H$2:$H$6,MATCH(C2886,parametros!$B$2:$B$6,0)),"")=""),"INICIO_EFEITO ausente: PC "&amp;A2886&amp;" - "&amp;C2886,IF(L2886="","EFEITO_PC nao calculado: PC "&amp;A2886&amp;" - "&amp;C2886,"OK")))))))))</f>
        <v/>
      </c>
      <c r="L2886" s="92" t="str">
        <f>IF(AND(A2886="",B2886="",D2886="",G2886=""),"",IF(OR(B2886="",NOT(ISNUMBER(B2886)),C2886="",C2886="Fora dos ciclos"),"",IF(C2886="C0","Nao",IF(IFERROR(INDEX(parametros!$A$2:$A$6,MATCH(C2886,parametros!$B$2:$B$6,0)),"")&lt;&gt;"Sim","Nao",IF(IFERROR(INDEX(parametros!$H$2:$H$6,MATCH(C2886,parametros!$B$2:$B$6,0)),"")="","",IF(B2886&gt;=IFERROR(INDEX(parametros!$H$2:$H$6,MATCH(C2886,parametros!$B$2:$B$6,0)),""),"Sim","Nao"))))))</f>
        <v/>
      </c>
      <c r="T2886" s="156"/>
      <c r="U2886" s="214" t="str">
        <f t="shared" si="231"/>
        <v/>
      </c>
      <c r="V2886" s="212" t="s">
        <v>50</v>
      </c>
      <c r="W2886" s="100" t="s">
        <v>168</v>
      </c>
      <c r="X2886" s="100" t="s">
        <v>169</v>
      </c>
      <c r="Y2886" s="101" t="s">
        <v>170</v>
      </c>
      <c r="Z2886" s="101" t="s">
        <v>171</v>
      </c>
      <c r="AA2886" s="101" t="s">
        <v>50</v>
      </c>
      <c r="AB2886" s="101" t="s">
        <v>172</v>
      </c>
      <c r="AC2886" s="102" t="s">
        <v>173</v>
      </c>
    </row>
    <row r="2887" spans="1:29" ht="25.5" customHeight="1" x14ac:dyDescent="0.35">
      <c r="A2887" s="392"/>
      <c r="B2887" s="393"/>
      <c r="C2887" s="99" t="str">
        <f>IF(B2887="","",IF(NOT(ISNUMBER(B2887)),"DATA_PC invalida",IF(NOT(ISNUMBER(parametros!$C$2)),"Fora dos ciclos",IF(OR(B2887&lt;parametros!$C$2,(YEAR(B2887)-YEAR(parametros!$C$2))*12+MONTH(B2887)-MONTH(parametros!$C$2)&gt;59),"Fora dos ciclos","C"&amp;INT(((YEAR(B2887)-YEAR(parametros!$C$2))*12+MONTH(B2887)-MONTH(parametros!$C$2))/12)))))</f>
        <v/>
      </c>
      <c r="D2887" s="394"/>
      <c r="E2887" s="78" t="str">
        <f>IF(C2887="","",IFERROR(VLOOKUP(C2887,parametros!$A$11:$E$15,5,0),""))</f>
        <v/>
      </c>
      <c r="F2887" s="79" t="str">
        <f t="shared" si="227"/>
        <v/>
      </c>
      <c r="G2887" s="395"/>
      <c r="H2887" s="91">
        <f t="shared" si="228"/>
        <v>0</v>
      </c>
      <c r="I2887" s="91" t="str">
        <f t="shared" si="229"/>
        <v/>
      </c>
      <c r="J2887" s="91" t="str">
        <f t="shared" si="230"/>
        <v/>
      </c>
      <c r="K2887" s="92" t="str">
        <f>IF(AND(A2887="",B2887="",D2887="",G2887=""),"",IF(AND(A2887&lt;&gt;"",COUNTIF($A$2:$A$5001,A2887)&gt;1),"NUMERO_PC duplicado",IF(B2887="","DATA_PC vazia",IF(NOT(ISNUMBER(B2887)),"DATA_PC invalida",IF(OR(C2887="",C2887="Fora dos ciclos"),"CICLO_PC nao identificado",IF(OR(D2887="",D2887=0),"VALOR_PC vazio ou zero",IF(AND(G2887&lt;&gt;"Sim",G2887&lt;&gt;"Nao",G2887&lt;&gt;""),"PC_PAGO_A_CONTRATADA invalido",IF(AND(C2887&lt;&gt;"C0",IFERROR(INDEX(parametros!$A$2:$A$6,MATCH(C2887,parametros!$B$2:$B$6,0)),"")="Sim",IFERROR(INDEX(parametros!$H$2:$H$6,MATCH(C2887,parametros!$B$2:$B$6,0)),"")=""),"INICIO_EFEITO ausente: PC "&amp;A2887&amp;" - "&amp;C2887,IF(L2887="","EFEITO_PC nao calculado: PC "&amp;A2887&amp;" - "&amp;C2887,"OK")))))))))</f>
        <v/>
      </c>
      <c r="L2887" s="92" t="str">
        <f>IF(AND(A2887="",B2887="",D2887="",G2887=""),"",IF(OR(B2887="",NOT(ISNUMBER(B2887)),C2887="",C2887="Fora dos ciclos"),"",IF(C2887="C0","Nao",IF(IFERROR(INDEX(parametros!$A$2:$A$6,MATCH(C2887,parametros!$B$2:$B$6,0)),"")&lt;&gt;"Sim","Nao",IF(IFERROR(INDEX(parametros!$H$2:$H$6,MATCH(C2887,parametros!$B$2:$B$6,0)),"")="","",IF(B2887&gt;=IFERROR(INDEX(parametros!$H$2:$H$6,MATCH(C2887,parametros!$B$2:$B$6,0)),""),"Sim","Nao"))))))</f>
        <v/>
      </c>
      <c r="T2887" s="156"/>
      <c r="U2887" s="214" t="str">
        <f t="shared" si="231"/>
        <v/>
      </c>
      <c r="V2887" s="212" t="s">
        <v>50</v>
      </c>
      <c r="W2887" s="100" t="s">
        <v>168</v>
      </c>
      <c r="X2887" s="100" t="s">
        <v>169</v>
      </c>
      <c r="Y2887" s="101" t="s">
        <v>170</v>
      </c>
      <c r="Z2887" s="101" t="s">
        <v>171</v>
      </c>
      <c r="AA2887" s="101" t="s">
        <v>50</v>
      </c>
      <c r="AB2887" s="101" t="s">
        <v>172</v>
      </c>
      <c r="AC2887" s="102" t="s">
        <v>173</v>
      </c>
    </row>
    <row r="2888" spans="1:29" ht="25.5" customHeight="1" x14ac:dyDescent="0.35">
      <c r="A2888" s="392"/>
      <c r="B2888" s="393"/>
      <c r="C2888" s="99" t="str">
        <f>IF(B2888="","",IF(NOT(ISNUMBER(B2888)),"DATA_PC invalida",IF(NOT(ISNUMBER(parametros!$C$2)),"Fora dos ciclos",IF(OR(B2888&lt;parametros!$C$2,(YEAR(B2888)-YEAR(parametros!$C$2))*12+MONTH(B2888)-MONTH(parametros!$C$2)&gt;59),"Fora dos ciclos","C"&amp;INT(((YEAR(B2888)-YEAR(parametros!$C$2))*12+MONTH(B2888)-MONTH(parametros!$C$2))/12)))))</f>
        <v/>
      </c>
      <c r="D2888" s="394"/>
      <c r="E2888" s="78" t="str">
        <f>IF(C2888="","",IFERROR(VLOOKUP(C2888,parametros!$A$11:$E$15,5,0),""))</f>
        <v/>
      </c>
      <c r="F2888" s="79" t="str">
        <f t="shared" si="227"/>
        <v/>
      </c>
      <c r="G2888" s="395"/>
      <c r="H2888" s="91">
        <f t="shared" si="228"/>
        <v>0</v>
      </c>
      <c r="I2888" s="91" t="str">
        <f t="shared" si="229"/>
        <v/>
      </c>
      <c r="J2888" s="91" t="str">
        <f t="shared" si="230"/>
        <v/>
      </c>
      <c r="K2888" s="92" t="str">
        <f>IF(AND(A2888="",B2888="",D2888="",G2888=""),"",IF(AND(A2888&lt;&gt;"",COUNTIF($A$2:$A$5001,A2888)&gt;1),"NUMERO_PC duplicado",IF(B2888="","DATA_PC vazia",IF(NOT(ISNUMBER(B2888)),"DATA_PC invalida",IF(OR(C2888="",C2888="Fora dos ciclos"),"CICLO_PC nao identificado",IF(OR(D2888="",D2888=0),"VALOR_PC vazio ou zero",IF(AND(G2888&lt;&gt;"Sim",G2888&lt;&gt;"Nao",G2888&lt;&gt;""),"PC_PAGO_A_CONTRATADA invalido",IF(AND(C2888&lt;&gt;"C0",IFERROR(INDEX(parametros!$A$2:$A$6,MATCH(C2888,parametros!$B$2:$B$6,0)),"")="Sim",IFERROR(INDEX(parametros!$H$2:$H$6,MATCH(C2888,parametros!$B$2:$B$6,0)),"")=""),"INICIO_EFEITO ausente: PC "&amp;A2888&amp;" - "&amp;C2888,IF(L2888="","EFEITO_PC nao calculado: PC "&amp;A2888&amp;" - "&amp;C2888,"OK")))))))))</f>
        <v/>
      </c>
      <c r="L2888" s="92" t="str">
        <f>IF(AND(A2888="",B2888="",D2888="",G2888=""),"",IF(OR(B2888="",NOT(ISNUMBER(B2888)),C2888="",C2888="Fora dos ciclos"),"",IF(C2888="C0","Nao",IF(IFERROR(INDEX(parametros!$A$2:$A$6,MATCH(C2888,parametros!$B$2:$B$6,0)),"")&lt;&gt;"Sim","Nao",IF(IFERROR(INDEX(parametros!$H$2:$H$6,MATCH(C2888,parametros!$B$2:$B$6,0)),"")="","",IF(B2888&gt;=IFERROR(INDEX(parametros!$H$2:$H$6,MATCH(C2888,parametros!$B$2:$B$6,0)),""),"Sim","Nao"))))))</f>
        <v/>
      </c>
      <c r="T2888" s="156"/>
      <c r="U2888" s="214" t="str">
        <f t="shared" si="231"/>
        <v/>
      </c>
      <c r="V2888" s="212" t="s">
        <v>50</v>
      </c>
      <c r="W2888" s="100" t="s">
        <v>168</v>
      </c>
      <c r="X2888" s="100" t="s">
        <v>169</v>
      </c>
      <c r="Y2888" s="101" t="s">
        <v>170</v>
      </c>
      <c r="Z2888" s="101" t="s">
        <v>171</v>
      </c>
      <c r="AA2888" s="101" t="s">
        <v>50</v>
      </c>
      <c r="AB2888" s="101" t="s">
        <v>172</v>
      </c>
      <c r="AC2888" s="102" t="s">
        <v>173</v>
      </c>
    </row>
    <row r="2889" spans="1:29" ht="25.5" customHeight="1" x14ac:dyDescent="0.35">
      <c r="A2889" s="392"/>
      <c r="B2889" s="393"/>
      <c r="C2889" s="99" t="str">
        <f>IF(B2889="","",IF(NOT(ISNUMBER(B2889)),"DATA_PC invalida",IF(NOT(ISNUMBER(parametros!$C$2)),"Fora dos ciclos",IF(OR(B2889&lt;parametros!$C$2,(YEAR(B2889)-YEAR(parametros!$C$2))*12+MONTH(B2889)-MONTH(parametros!$C$2)&gt;59),"Fora dos ciclos","C"&amp;INT(((YEAR(B2889)-YEAR(parametros!$C$2))*12+MONTH(B2889)-MONTH(parametros!$C$2))/12)))))</f>
        <v/>
      </c>
      <c r="D2889" s="394"/>
      <c r="E2889" s="78" t="str">
        <f>IF(C2889="","",IFERROR(VLOOKUP(C2889,parametros!$A$11:$E$15,5,0),""))</f>
        <v/>
      </c>
      <c r="F2889" s="79" t="str">
        <f t="shared" si="227"/>
        <v/>
      </c>
      <c r="G2889" s="395"/>
      <c r="H2889" s="91">
        <f t="shared" si="228"/>
        <v>0</v>
      </c>
      <c r="I2889" s="91" t="str">
        <f t="shared" si="229"/>
        <v/>
      </c>
      <c r="J2889" s="91" t="str">
        <f t="shared" si="230"/>
        <v/>
      </c>
      <c r="K2889" s="92" t="str">
        <f>IF(AND(A2889="",B2889="",D2889="",G2889=""),"",IF(AND(A2889&lt;&gt;"",COUNTIF($A$2:$A$5001,A2889)&gt;1),"NUMERO_PC duplicado",IF(B2889="","DATA_PC vazia",IF(NOT(ISNUMBER(B2889)),"DATA_PC invalida",IF(OR(C2889="",C2889="Fora dos ciclos"),"CICLO_PC nao identificado",IF(OR(D2889="",D2889=0),"VALOR_PC vazio ou zero",IF(AND(G2889&lt;&gt;"Sim",G2889&lt;&gt;"Nao",G2889&lt;&gt;""),"PC_PAGO_A_CONTRATADA invalido",IF(AND(C2889&lt;&gt;"C0",IFERROR(INDEX(parametros!$A$2:$A$6,MATCH(C2889,parametros!$B$2:$B$6,0)),"")="Sim",IFERROR(INDEX(parametros!$H$2:$H$6,MATCH(C2889,parametros!$B$2:$B$6,0)),"")=""),"INICIO_EFEITO ausente: PC "&amp;A2889&amp;" - "&amp;C2889,IF(L2889="","EFEITO_PC nao calculado: PC "&amp;A2889&amp;" - "&amp;C2889,"OK")))))))))</f>
        <v/>
      </c>
      <c r="L2889" s="92" t="str">
        <f>IF(AND(A2889="",B2889="",D2889="",G2889=""),"",IF(OR(B2889="",NOT(ISNUMBER(B2889)),C2889="",C2889="Fora dos ciclos"),"",IF(C2889="C0","Nao",IF(IFERROR(INDEX(parametros!$A$2:$A$6,MATCH(C2889,parametros!$B$2:$B$6,0)),"")&lt;&gt;"Sim","Nao",IF(IFERROR(INDEX(parametros!$H$2:$H$6,MATCH(C2889,parametros!$B$2:$B$6,0)),"")="","",IF(B2889&gt;=IFERROR(INDEX(parametros!$H$2:$H$6,MATCH(C2889,parametros!$B$2:$B$6,0)),""),"Sim","Nao"))))))</f>
        <v/>
      </c>
      <c r="T2889" s="156"/>
      <c r="U2889" s="214" t="str">
        <f t="shared" si="231"/>
        <v/>
      </c>
      <c r="V2889" s="212" t="s">
        <v>50</v>
      </c>
      <c r="W2889" s="100" t="s">
        <v>168</v>
      </c>
      <c r="X2889" s="100" t="s">
        <v>169</v>
      </c>
      <c r="Y2889" s="101" t="s">
        <v>170</v>
      </c>
      <c r="Z2889" s="101" t="s">
        <v>171</v>
      </c>
      <c r="AA2889" s="101" t="s">
        <v>50</v>
      </c>
      <c r="AB2889" s="101" t="s">
        <v>172</v>
      </c>
      <c r="AC2889" s="102" t="s">
        <v>173</v>
      </c>
    </row>
    <row r="2890" spans="1:29" ht="25.5" customHeight="1" x14ac:dyDescent="0.35">
      <c r="A2890" s="392"/>
      <c r="B2890" s="393"/>
      <c r="C2890" s="99" t="str">
        <f>IF(B2890="","",IF(NOT(ISNUMBER(B2890)),"DATA_PC invalida",IF(NOT(ISNUMBER(parametros!$C$2)),"Fora dos ciclos",IF(OR(B2890&lt;parametros!$C$2,(YEAR(B2890)-YEAR(parametros!$C$2))*12+MONTH(B2890)-MONTH(parametros!$C$2)&gt;59),"Fora dos ciclos","C"&amp;INT(((YEAR(B2890)-YEAR(parametros!$C$2))*12+MONTH(B2890)-MONTH(parametros!$C$2))/12)))))</f>
        <v/>
      </c>
      <c r="D2890" s="394"/>
      <c r="E2890" s="78" t="str">
        <f>IF(C2890="","",IFERROR(VLOOKUP(C2890,parametros!$A$11:$E$15,5,0),""))</f>
        <v/>
      </c>
      <c r="F2890" s="79" t="str">
        <f t="shared" si="227"/>
        <v/>
      </c>
      <c r="G2890" s="395"/>
      <c r="H2890" s="91">
        <f t="shared" si="228"/>
        <v>0</v>
      </c>
      <c r="I2890" s="91" t="str">
        <f t="shared" si="229"/>
        <v/>
      </c>
      <c r="J2890" s="91" t="str">
        <f t="shared" si="230"/>
        <v/>
      </c>
      <c r="K2890" s="92" t="str">
        <f>IF(AND(A2890="",B2890="",D2890="",G2890=""),"",IF(AND(A2890&lt;&gt;"",COUNTIF($A$2:$A$5001,A2890)&gt;1),"NUMERO_PC duplicado",IF(B2890="","DATA_PC vazia",IF(NOT(ISNUMBER(B2890)),"DATA_PC invalida",IF(OR(C2890="",C2890="Fora dos ciclos"),"CICLO_PC nao identificado",IF(OR(D2890="",D2890=0),"VALOR_PC vazio ou zero",IF(AND(G2890&lt;&gt;"Sim",G2890&lt;&gt;"Nao",G2890&lt;&gt;""),"PC_PAGO_A_CONTRATADA invalido",IF(AND(C2890&lt;&gt;"C0",IFERROR(INDEX(parametros!$A$2:$A$6,MATCH(C2890,parametros!$B$2:$B$6,0)),"")="Sim",IFERROR(INDEX(parametros!$H$2:$H$6,MATCH(C2890,parametros!$B$2:$B$6,0)),"")=""),"INICIO_EFEITO ausente: PC "&amp;A2890&amp;" - "&amp;C2890,IF(L2890="","EFEITO_PC nao calculado: PC "&amp;A2890&amp;" - "&amp;C2890,"OK")))))))))</f>
        <v/>
      </c>
      <c r="L2890" s="92" t="str">
        <f>IF(AND(A2890="",B2890="",D2890="",G2890=""),"",IF(OR(B2890="",NOT(ISNUMBER(B2890)),C2890="",C2890="Fora dos ciclos"),"",IF(C2890="C0","Nao",IF(IFERROR(INDEX(parametros!$A$2:$A$6,MATCH(C2890,parametros!$B$2:$B$6,0)),"")&lt;&gt;"Sim","Nao",IF(IFERROR(INDEX(parametros!$H$2:$H$6,MATCH(C2890,parametros!$B$2:$B$6,0)),"")="","",IF(B2890&gt;=IFERROR(INDEX(parametros!$H$2:$H$6,MATCH(C2890,parametros!$B$2:$B$6,0)),""),"Sim","Nao"))))))</f>
        <v/>
      </c>
      <c r="T2890" s="156"/>
      <c r="U2890" s="214" t="str">
        <f t="shared" si="231"/>
        <v/>
      </c>
      <c r="V2890" s="212" t="s">
        <v>50</v>
      </c>
      <c r="W2890" s="100" t="s">
        <v>168</v>
      </c>
      <c r="X2890" s="100" t="s">
        <v>169</v>
      </c>
      <c r="Y2890" s="101" t="s">
        <v>170</v>
      </c>
      <c r="Z2890" s="101" t="s">
        <v>171</v>
      </c>
      <c r="AA2890" s="101" t="s">
        <v>50</v>
      </c>
      <c r="AB2890" s="101" t="s">
        <v>172</v>
      </c>
      <c r="AC2890" s="102" t="s">
        <v>173</v>
      </c>
    </row>
    <row r="2891" spans="1:29" ht="25.5" customHeight="1" x14ac:dyDescent="0.35">
      <c r="A2891" s="392"/>
      <c r="B2891" s="393"/>
      <c r="C2891" s="99" t="str">
        <f>IF(B2891="","",IF(NOT(ISNUMBER(B2891)),"DATA_PC invalida",IF(NOT(ISNUMBER(parametros!$C$2)),"Fora dos ciclos",IF(OR(B2891&lt;parametros!$C$2,(YEAR(B2891)-YEAR(parametros!$C$2))*12+MONTH(B2891)-MONTH(parametros!$C$2)&gt;59),"Fora dos ciclos","C"&amp;INT(((YEAR(B2891)-YEAR(parametros!$C$2))*12+MONTH(B2891)-MONTH(parametros!$C$2))/12)))))</f>
        <v/>
      </c>
      <c r="D2891" s="394"/>
      <c r="E2891" s="78" t="str">
        <f>IF(C2891="","",IFERROR(VLOOKUP(C2891,parametros!$A$11:$E$15,5,0),""))</f>
        <v/>
      </c>
      <c r="F2891" s="79" t="str">
        <f t="shared" si="227"/>
        <v/>
      </c>
      <c r="G2891" s="395"/>
      <c r="H2891" s="91">
        <f t="shared" si="228"/>
        <v>0</v>
      </c>
      <c r="I2891" s="91" t="str">
        <f t="shared" si="229"/>
        <v/>
      </c>
      <c r="J2891" s="91" t="str">
        <f t="shared" si="230"/>
        <v/>
      </c>
      <c r="K2891" s="92" t="str">
        <f>IF(AND(A2891="",B2891="",D2891="",G2891=""),"",IF(AND(A2891&lt;&gt;"",COUNTIF($A$2:$A$5001,A2891)&gt;1),"NUMERO_PC duplicado",IF(B2891="","DATA_PC vazia",IF(NOT(ISNUMBER(B2891)),"DATA_PC invalida",IF(OR(C2891="",C2891="Fora dos ciclos"),"CICLO_PC nao identificado",IF(OR(D2891="",D2891=0),"VALOR_PC vazio ou zero",IF(AND(G2891&lt;&gt;"Sim",G2891&lt;&gt;"Nao",G2891&lt;&gt;""),"PC_PAGO_A_CONTRATADA invalido",IF(AND(C2891&lt;&gt;"C0",IFERROR(INDEX(parametros!$A$2:$A$6,MATCH(C2891,parametros!$B$2:$B$6,0)),"")="Sim",IFERROR(INDEX(parametros!$H$2:$H$6,MATCH(C2891,parametros!$B$2:$B$6,0)),"")=""),"INICIO_EFEITO ausente: PC "&amp;A2891&amp;" - "&amp;C2891,IF(L2891="","EFEITO_PC nao calculado: PC "&amp;A2891&amp;" - "&amp;C2891,"OK")))))))))</f>
        <v/>
      </c>
      <c r="L2891" s="92" t="str">
        <f>IF(AND(A2891="",B2891="",D2891="",G2891=""),"",IF(OR(B2891="",NOT(ISNUMBER(B2891)),C2891="",C2891="Fora dos ciclos"),"",IF(C2891="C0","Nao",IF(IFERROR(INDEX(parametros!$A$2:$A$6,MATCH(C2891,parametros!$B$2:$B$6,0)),"")&lt;&gt;"Sim","Nao",IF(IFERROR(INDEX(parametros!$H$2:$H$6,MATCH(C2891,parametros!$B$2:$B$6,0)),"")="","",IF(B2891&gt;=IFERROR(INDEX(parametros!$H$2:$H$6,MATCH(C2891,parametros!$B$2:$B$6,0)),""),"Sim","Nao"))))))</f>
        <v/>
      </c>
      <c r="T2891" s="156"/>
      <c r="U2891" s="214" t="str">
        <f t="shared" si="231"/>
        <v/>
      </c>
      <c r="V2891" s="212" t="s">
        <v>50</v>
      </c>
      <c r="W2891" s="100" t="s">
        <v>168</v>
      </c>
      <c r="X2891" s="100" t="s">
        <v>169</v>
      </c>
      <c r="Y2891" s="101" t="s">
        <v>170</v>
      </c>
      <c r="Z2891" s="101" t="s">
        <v>171</v>
      </c>
      <c r="AA2891" s="101" t="s">
        <v>50</v>
      </c>
      <c r="AB2891" s="101" t="s">
        <v>172</v>
      </c>
      <c r="AC2891" s="102" t="s">
        <v>173</v>
      </c>
    </row>
    <row r="2892" spans="1:29" ht="25.5" customHeight="1" x14ac:dyDescent="0.35">
      <c r="A2892" s="392"/>
      <c r="B2892" s="393"/>
      <c r="C2892" s="99" t="str">
        <f>IF(B2892="","",IF(NOT(ISNUMBER(B2892)),"DATA_PC invalida",IF(NOT(ISNUMBER(parametros!$C$2)),"Fora dos ciclos",IF(OR(B2892&lt;parametros!$C$2,(YEAR(B2892)-YEAR(parametros!$C$2))*12+MONTH(B2892)-MONTH(parametros!$C$2)&gt;59),"Fora dos ciclos","C"&amp;INT(((YEAR(B2892)-YEAR(parametros!$C$2))*12+MONTH(B2892)-MONTH(parametros!$C$2))/12)))))</f>
        <v/>
      </c>
      <c r="D2892" s="394"/>
      <c r="E2892" s="78" t="str">
        <f>IF(C2892="","",IFERROR(VLOOKUP(C2892,parametros!$A$11:$E$15,5,0),""))</f>
        <v/>
      </c>
      <c r="F2892" s="79" t="str">
        <f t="shared" si="227"/>
        <v/>
      </c>
      <c r="G2892" s="395"/>
      <c r="H2892" s="91">
        <f t="shared" si="228"/>
        <v>0</v>
      </c>
      <c r="I2892" s="91" t="str">
        <f t="shared" si="229"/>
        <v/>
      </c>
      <c r="J2892" s="91" t="str">
        <f t="shared" si="230"/>
        <v/>
      </c>
      <c r="K2892" s="92" t="str">
        <f>IF(AND(A2892="",B2892="",D2892="",G2892=""),"",IF(AND(A2892&lt;&gt;"",COUNTIF($A$2:$A$5001,A2892)&gt;1),"NUMERO_PC duplicado",IF(B2892="","DATA_PC vazia",IF(NOT(ISNUMBER(B2892)),"DATA_PC invalida",IF(OR(C2892="",C2892="Fora dos ciclos"),"CICLO_PC nao identificado",IF(OR(D2892="",D2892=0),"VALOR_PC vazio ou zero",IF(AND(G2892&lt;&gt;"Sim",G2892&lt;&gt;"Nao",G2892&lt;&gt;""),"PC_PAGO_A_CONTRATADA invalido",IF(AND(C2892&lt;&gt;"C0",IFERROR(INDEX(parametros!$A$2:$A$6,MATCH(C2892,parametros!$B$2:$B$6,0)),"")="Sim",IFERROR(INDEX(parametros!$H$2:$H$6,MATCH(C2892,parametros!$B$2:$B$6,0)),"")=""),"INICIO_EFEITO ausente: PC "&amp;A2892&amp;" - "&amp;C2892,IF(L2892="","EFEITO_PC nao calculado: PC "&amp;A2892&amp;" - "&amp;C2892,"OK")))))))))</f>
        <v/>
      </c>
      <c r="L2892" s="92" t="str">
        <f>IF(AND(A2892="",B2892="",D2892="",G2892=""),"",IF(OR(B2892="",NOT(ISNUMBER(B2892)),C2892="",C2892="Fora dos ciclos"),"",IF(C2892="C0","Nao",IF(IFERROR(INDEX(parametros!$A$2:$A$6,MATCH(C2892,parametros!$B$2:$B$6,0)),"")&lt;&gt;"Sim","Nao",IF(IFERROR(INDEX(parametros!$H$2:$H$6,MATCH(C2892,parametros!$B$2:$B$6,0)),"")="","",IF(B2892&gt;=IFERROR(INDEX(parametros!$H$2:$H$6,MATCH(C2892,parametros!$B$2:$B$6,0)),""),"Sim","Nao"))))))</f>
        <v/>
      </c>
      <c r="T2892" s="156"/>
      <c r="U2892" s="214" t="str">
        <f t="shared" si="231"/>
        <v/>
      </c>
      <c r="V2892" s="212" t="s">
        <v>50</v>
      </c>
      <c r="W2892" s="100" t="s">
        <v>168</v>
      </c>
      <c r="X2892" s="100" t="s">
        <v>169</v>
      </c>
      <c r="Y2892" s="101" t="s">
        <v>170</v>
      </c>
      <c r="Z2892" s="101" t="s">
        <v>171</v>
      </c>
      <c r="AA2892" s="101" t="s">
        <v>50</v>
      </c>
      <c r="AB2892" s="101" t="s">
        <v>172</v>
      </c>
      <c r="AC2892" s="102" t="s">
        <v>173</v>
      </c>
    </row>
    <row r="2893" spans="1:29" ht="25.5" customHeight="1" x14ac:dyDescent="0.35">
      <c r="A2893" s="392"/>
      <c r="B2893" s="393"/>
      <c r="C2893" s="99" t="str">
        <f>IF(B2893="","",IF(NOT(ISNUMBER(B2893)),"DATA_PC invalida",IF(NOT(ISNUMBER(parametros!$C$2)),"Fora dos ciclos",IF(OR(B2893&lt;parametros!$C$2,(YEAR(B2893)-YEAR(parametros!$C$2))*12+MONTH(B2893)-MONTH(parametros!$C$2)&gt;59),"Fora dos ciclos","C"&amp;INT(((YEAR(B2893)-YEAR(parametros!$C$2))*12+MONTH(B2893)-MONTH(parametros!$C$2))/12)))))</f>
        <v/>
      </c>
      <c r="D2893" s="394"/>
      <c r="E2893" s="78" t="str">
        <f>IF(C2893="","",IFERROR(VLOOKUP(C2893,parametros!$A$11:$E$15,5,0),""))</f>
        <v/>
      </c>
      <c r="F2893" s="79" t="str">
        <f t="shared" si="227"/>
        <v/>
      </c>
      <c r="G2893" s="395"/>
      <c r="H2893" s="91">
        <f t="shared" si="228"/>
        <v>0</v>
      </c>
      <c r="I2893" s="91" t="str">
        <f t="shared" si="229"/>
        <v/>
      </c>
      <c r="J2893" s="91" t="str">
        <f t="shared" si="230"/>
        <v/>
      </c>
      <c r="K2893" s="92" t="str">
        <f>IF(AND(A2893="",B2893="",D2893="",G2893=""),"",IF(AND(A2893&lt;&gt;"",COUNTIF($A$2:$A$5001,A2893)&gt;1),"NUMERO_PC duplicado",IF(B2893="","DATA_PC vazia",IF(NOT(ISNUMBER(B2893)),"DATA_PC invalida",IF(OR(C2893="",C2893="Fora dos ciclos"),"CICLO_PC nao identificado",IF(OR(D2893="",D2893=0),"VALOR_PC vazio ou zero",IF(AND(G2893&lt;&gt;"Sim",G2893&lt;&gt;"Nao",G2893&lt;&gt;""),"PC_PAGO_A_CONTRATADA invalido",IF(AND(C2893&lt;&gt;"C0",IFERROR(INDEX(parametros!$A$2:$A$6,MATCH(C2893,parametros!$B$2:$B$6,0)),"")="Sim",IFERROR(INDEX(parametros!$H$2:$H$6,MATCH(C2893,parametros!$B$2:$B$6,0)),"")=""),"INICIO_EFEITO ausente: PC "&amp;A2893&amp;" - "&amp;C2893,IF(L2893="","EFEITO_PC nao calculado: PC "&amp;A2893&amp;" - "&amp;C2893,"OK")))))))))</f>
        <v/>
      </c>
      <c r="L2893" s="92" t="str">
        <f>IF(AND(A2893="",B2893="",D2893="",G2893=""),"",IF(OR(B2893="",NOT(ISNUMBER(B2893)),C2893="",C2893="Fora dos ciclos"),"",IF(C2893="C0","Nao",IF(IFERROR(INDEX(parametros!$A$2:$A$6,MATCH(C2893,parametros!$B$2:$B$6,0)),"")&lt;&gt;"Sim","Nao",IF(IFERROR(INDEX(parametros!$H$2:$H$6,MATCH(C2893,parametros!$B$2:$B$6,0)),"")="","",IF(B2893&gt;=IFERROR(INDEX(parametros!$H$2:$H$6,MATCH(C2893,parametros!$B$2:$B$6,0)),""),"Sim","Nao"))))))</f>
        <v/>
      </c>
      <c r="T2893" s="156"/>
      <c r="U2893" s="214" t="str">
        <f t="shared" si="231"/>
        <v/>
      </c>
      <c r="V2893" s="212" t="s">
        <v>50</v>
      </c>
      <c r="W2893" s="100" t="s">
        <v>168</v>
      </c>
      <c r="X2893" s="100" t="s">
        <v>169</v>
      </c>
      <c r="Y2893" s="101" t="s">
        <v>170</v>
      </c>
      <c r="Z2893" s="101" t="s">
        <v>171</v>
      </c>
      <c r="AA2893" s="101" t="s">
        <v>50</v>
      </c>
      <c r="AB2893" s="101" t="s">
        <v>172</v>
      </c>
      <c r="AC2893" s="102" t="s">
        <v>173</v>
      </c>
    </row>
    <row r="2894" spans="1:29" ht="25.5" customHeight="1" x14ac:dyDescent="0.35">
      <c r="A2894" s="392"/>
      <c r="B2894" s="393"/>
      <c r="C2894" s="99" t="str">
        <f>IF(B2894="","",IF(NOT(ISNUMBER(B2894)),"DATA_PC invalida",IF(NOT(ISNUMBER(parametros!$C$2)),"Fora dos ciclos",IF(OR(B2894&lt;parametros!$C$2,(YEAR(B2894)-YEAR(parametros!$C$2))*12+MONTH(B2894)-MONTH(parametros!$C$2)&gt;59),"Fora dos ciclos","C"&amp;INT(((YEAR(B2894)-YEAR(parametros!$C$2))*12+MONTH(B2894)-MONTH(parametros!$C$2))/12)))))</f>
        <v/>
      </c>
      <c r="D2894" s="394"/>
      <c r="E2894" s="78" t="str">
        <f>IF(C2894="","",IFERROR(VLOOKUP(C2894,parametros!$A$11:$E$15,5,0),""))</f>
        <v/>
      </c>
      <c r="F2894" s="79" t="str">
        <f t="shared" si="227"/>
        <v/>
      </c>
      <c r="G2894" s="395"/>
      <c r="H2894" s="91">
        <f t="shared" si="228"/>
        <v>0</v>
      </c>
      <c r="I2894" s="91" t="str">
        <f t="shared" si="229"/>
        <v/>
      </c>
      <c r="J2894" s="91" t="str">
        <f t="shared" si="230"/>
        <v/>
      </c>
      <c r="K2894" s="92" t="str">
        <f>IF(AND(A2894="",B2894="",D2894="",G2894=""),"",IF(AND(A2894&lt;&gt;"",COUNTIF($A$2:$A$5001,A2894)&gt;1),"NUMERO_PC duplicado",IF(B2894="","DATA_PC vazia",IF(NOT(ISNUMBER(B2894)),"DATA_PC invalida",IF(OR(C2894="",C2894="Fora dos ciclos"),"CICLO_PC nao identificado",IF(OR(D2894="",D2894=0),"VALOR_PC vazio ou zero",IF(AND(G2894&lt;&gt;"Sim",G2894&lt;&gt;"Nao",G2894&lt;&gt;""),"PC_PAGO_A_CONTRATADA invalido",IF(AND(C2894&lt;&gt;"C0",IFERROR(INDEX(parametros!$A$2:$A$6,MATCH(C2894,parametros!$B$2:$B$6,0)),"")="Sim",IFERROR(INDEX(parametros!$H$2:$H$6,MATCH(C2894,parametros!$B$2:$B$6,0)),"")=""),"INICIO_EFEITO ausente: PC "&amp;A2894&amp;" - "&amp;C2894,IF(L2894="","EFEITO_PC nao calculado: PC "&amp;A2894&amp;" - "&amp;C2894,"OK")))))))))</f>
        <v/>
      </c>
      <c r="L2894" s="92" t="str">
        <f>IF(AND(A2894="",B2894="",D2894="",G2894=""),"",IF(OR(B2894="",NOT(ISNUMBER(B2894)),C2894="",C2894="Fora dos ciclos"),"",IF(C2894="C0","Nao",IF(IFERROR(INDEX(parametros!$A$2:$A$6,MATCH(C2894,parametros!$B$2:$B$6,0)),"")&lt;&gt;"Sim","Nao",IF(IFERROR(INDEX(parametros!$H$2:$H$6,MATCH(C2894,parametros!$B$2:$B$6,0)),"")="","",IF(B2894&gt;=IFERROR(INDEX(parametros!$H$2:$H$6,MATCH(C2894,parametros!$B$2:$B$6,0)),""),"Sim","Nao"))))))</f>
        <v/>
      </c>
      <c r="T2894" s="156"/>
      <c r="U2894" s="214" t="str">
        <f t="shared" si="231"/>
        <v/>
      </c>
      <c r="V2894" s="212" t="s">
        <v>50</v>
      </c>
      <c r="W2894" s="100" t="s">
        <v>168</v>
      </c>
      <c r="X2894" s="100" t="s">
        <v>169</v>
      </c>
      <c r="Y2894" s="101" t="s">
        <v>170</v>
      </c>
      <c r="Z2894" s="101" t="s">
        <v>171</v>
      </c>
      <c r="AA2894" s="101" t="s">
        <v>50</v>
      </c>
      <c r="AB2894" s="101" t="s">
        <v>172</v>
      </c>
      <c r="AC2894" s="102" t="s">
        <v>173</v>
      </c>
    </row>
    <row r="2895" spans="1:29" ht="25.5" customHeight="1" x14ac:dyDescent="0.35">
      <c r="A2895" s="392"/>
      <c r="B2895" s="393"/>
      <c r="C2895" s="99" t="str">
        <f>IF(B2895="","",IF(NOT(ISNUMBER(B2895)),"DATA_PC invalida",IF(NOT(ISNUMBER(parametros!$C$2)),"Fora dos ciclos",IF(OR(B2895&lt;parametros!$C$2,(YEAR(B2895)-YEAR(parametros!$C$2))*12+MONTH(B2895)-MONTH(parametros!$C$2)&gt;59),"Fora dos ciclos","C"&amp;INT(((YEAR(B2895)-YEAR(parametros!$C$2))*12+MONTH(B2895)-MONTH(parametros!$C$2))/12)))))</f>
        <v/>
      </c>
      <c r="D2895" s="394"/>
      <c r="E2895" s="78" t="str">
        <f>IF(C2895="","",IFERROR(VLOOKUP(C2895,parametros!$A$11:$E$15,5,0),""))</f>
        <v/>
      </c>
      <c r="F2895" s="79" t="str">
        <f t="shared" si="227"/>
        <v/>
      </c>
      <c r="G2895" s="395"/>
      <c r="H2895" s="91">
        <f t="shared" si="228"/>
        <v>0</v>
      </c>
      <c r="I2895" s="91" t="str">
        <f t="shared" si="229"/>
        <v/>
      </c>
      <c r="J2895" s="91" t="str">
        <f t="shared" si="230"/>
        <v/>
      </c>
      <c r="K2895" s="92" t="str">
        <f>IF(AND(A2895="",B2895="",D2895="",G2895=""),"",IF(AND(A2895&lt;&gt;"",COUNTIF($A$2:$A$5001,A2895)&gt;1),"NUMERO_PC duplicado",IF(B2895="","DATA_PC vazia",IF(NOT(ISNUMBER(B2895)),"DATA_PC invalida",IF(OR(C2895="",C2895="Fora dos ciclos"),"CICLO_PC nao identificado",IF(OR(D2895="",D2895=0),"VALOR_PC vazio ou zero",IF(AND(G2895&lt;&gt;"Sim",G2895&lt;&gt;"Nao",G2895&lt;&gt;""),"PC_PAGO_A_CONTRATADA invalido",IF(AND(C2895&lt;&gt;"C0",IFERROR(INDEX(parametros!$A$2:$A$6,MATCH(C2895,parametros!$B$2:$B$6,0)),"")="Sim",IFERROR(INDEX(parametros!$H$2:$H$6,MATCH(C2895,parametros!$B$2:$B$6,0)),"")=""),"INICIO_EFEITO ausente: PC "&amp;A2895&amp;" - "&amp;C2895,IF(L2895="","EFEITO_PC nao calculado: PC "&amp;A2895&amp;" - "&amp;C2895,"OK")))))))))</f>
        <v/>
      </c>
      <c r="L2895" s="92" t="str">
        <f>IF(AND(A2895="",B2895="",D2895="",G2895=""),"",IF(OR(B2895="",NOT(ISNUMBER(B2895)),C2895="",C2895="Fora dos ciclos"),"",IF(C2895="C0","Nao",IF(IFERROR(INDEX(parametros!$A$2:$A$6,MATCH(C2895,parametros!$B$2:$B$6,0)),"")&lt;&gt;"Sim","Nao",IF(IFERROR(INDEX(parametros!$H$2:$H$6,MATCH(C2895,parametros!$B$2:$B$6,0)),"")="","",IF(B2895&gt;=IFERROR(INDEX(parametros!$H$2:$H$6,MATCH(C2895,parametros!$B$2:$B$6,0)),""),"Sim","Nao"))))))</f>
        <v/>
      </c>
      <c r="T2895" s="156"/>
      <c r="U2895" s="214" t="str">
        <f t="shared" si="231"/>
        <v/>
      </c>
      <c r="V2895" s="212" t="s">
        <v>50</v>
      </c>
      <c r="W2895" s="100" t="s">
        <v>168</v>
      </c>
      <c r="X2895" s="100" t="s">
        <v>169</v>
      </c>
      <c r="Y2895" s="101" t="s">
        <v>170</v>
      </c>
      <c r="Z2895" s="101" t="s">
        <v>171</v>
      </c>
      <c r="AA2895" s="101" t="s">
        <v>50</v>
      </c>
      <c r="AB2895" s="101" t="s">
        <v>172</v>
      </c>
      <c r="AC2895" s="102" t="s">
        <v>173</v>
      </c>
    </row>
    <row r="2896" spans="1:29" ht="25.5" customHeight="1" x14ac:dyDescent="0.35">
      <c r="A2896" s="392"/>
      <c r="B2896" s="393"/>
      <c r="C2896" s="99" t="str">
        <f>IF(B2896="","",IF(NOT(ISNUMBER(B2896)),"DATA_PC invalida",IF(NOT(ISNUMBER(parametros!$C$2)),"Fora dos ciclos",IF(OR(B2896&lt;parametros!$C$2,(YEAR(B2896)-YEAR(parametros!$C$2))*12+MONTH(B2896)-MONTH(parametros!$C$2)&gt;59),"Fora dos ciclos","C"&amp;INT(((YEAR(B2896)-YEAR(parametros!$C$2))*12+MONTH(B2896)-MONTH(parametros!$C$2))/12)))))</f>
        <v/>
      </c>
      <c r="D2896" s="394"/>
      <c r="E2896" s="78" t="str">
        <f>IF(C2896="","",IFERROR(VLOOKUP(C2896,parametros!$A$11:$E$15,5,0),""))</f>
        <v/>
      </c>
      <c r="F2896" s="79" t="str">
        <f t="shared" si="227"/>
        <v/>
      </c>
      <c r="G2896" s="395"/>
      <c r="H2896" s="91">
        <f t="shared" si="228"/>
        <v>0</v>
      </c>
      <c r="I2896" s="91" t="str">
        <f t="shared" si="229"/>
        <v/>
      </c>
      <c r="J2896" s="91" t="str">
        <f t="shared" si="230"/>
        <v/>
      </c>
      <c r="K2896" s="92" t="str">
        <f>IF(AND(A2896="",B2896="",D2896="",G2896=""),"",IF(AND(A2896&lt;&gt;"",COUNTIF($A$2:$A$5001,A2896)&gt;1),"NUMERO_PC duplicado",IF(B2896="","DATA_PC vazia",IF(NOT(ISNUMBER(B2896)),"DATA_PC invalida",IF(OR(C2896="",C2896="Fora dos ciclos"),"CICLO_PC nao identificado",IF(OR(D2896="",D2896=0),"VALOR_PC vazio ou zero",IF(AND(G2896&lt;&gt;"Sim",G2896&lt;&gt;"Nao",G2896&lt;&gt;""),"PC_PAGO_A_CONTRATADA invalido",IF(AND(C2896&lt;&gt;"C0",IFERROR(INDEX(parametros!$A$2:$A$6,MATCH(C2896,parametros!$B$2:$B$6,0)),"")="Sim",IFERROR(INDEX(parametros!$H$2:$H$6,MATCH(C2896,parametros!$B$2:$B$6,0)),"")=""),"INICIO_EFEITO ausente: PC "&amp;A2896&amp;" - "&amp;C2896,IF(L2896="","EFEITO_PC nao calculado: PC "&amp;A2896&amp;" - "&amp;C2896,"OK")))))))))</f>
        <v/>
      </c>
      <c r="L2896" s="92" t="str">
        <f>IF(AND(A2896="",B2896="",D2896="",G2896=""),"",IF(OR(B2896="",NOT(ISNUMBER(B2896)),C2896="",C2896="Fora dos ciclos"),"",IF(C2896="C0","Nao",IF(IFERROR(INDEX(parametros!$A$2:$A$6,MATCH(C2896,parametros!$B$2:$B$6,0)),"")&lt;&gt;"Sim","Nao",IF(IFERROR(INDEX(parametros!$H$2:$H$6,MATCH(C2896,parametros!$B$2:$B$6,0)),"")="","",IF(B2896&gt;=IFERROR(INDEX(parametros!$H$2:$H$6,MATCH(C2896,parametros!$B$2:$B$6,0)),""),"Sim","Nao"))))))</f>
        <v/>
      </c>
      <c r="T2896" s="156"/>
      <c r="U2896" s="214" t="str">
        <f t="shared" si="231"/>
        <v/>
      </c>
      <c r="V2896" s="212" t="s">
        <v>50</v>
      </c>
      <c r="W2896" s="100" t="s">
        <v>168</v>
      </c>
      <c r="X2896" s="100" t="s">
        <v>169</v>
      </c>
      <c r="Y2896" s="101" t="s">
        <v>170</v>
      </c>
      <c r="Z2896" s="101" t="s">
        <v>171</v>
      </c>
      <c r="AA2896" s="101" t="s">
        <v>50</v>
      </c>
      <c r="AB2896" s="101" t="s">
        <v>172</v>
      </c>
      <c r="AC2896" s="102" t="s">
        <v>173</v>
      </c>
    </row>
    <row r="2897" spans="1:29" ht="25.5" customHeight="1" x14ac:dyDescent="0.35">
      <c r="A2897" s="392"/>
      <c r="B2897" s="393"/>
      <c r="C2897" s="99" t="str">
        <f>IF(B2897="","",IF(NOT(ISNUMBER(B2897)),"DATA_PC invalida",IF(NOT(ISNUMBER(parametros!$C$2)),"Fora dos ciclos",IF(OR(B2897&lt;parametros!$C$2,(YEAR(B2897)-YEAR(parametros!$C$2))*12+MONTH(B2897)-MONTH(parametros!$C$2)&gt;59),"Fora dos ciclos","C"&amp;INT(((YEAR(B2897)-YEAR(parametros!$C$2))*12+MONTH(B2897)-MONTH(parametros!$C$2))/12)))))</f>
        <v/>
      </c>
      <c r="D2897" s="394"/>
      <c r="E2897" s="78" t="str">
        <f>IF(C2897="","",IFERROR(VLOOKUP(C2897,parametros!$A$11:$E$15,5,0),""))</f>
        <v/>
      </c>
      <c r="F2897" s="79" t="str">
        <f t="shared" si="227"/>
        <v/>
      </c>
      <c r="G2897" s="395"/>
      <c r="H2897" s="91">
        <f t="shared" si="228"/>
        <v>0</v>
      </c>
      <c r="I2897" s="91" t="str">
        <f t="shared" si="229"/>
        <v/>
      </c>
      <c r="J2897" s="91" t="str">
        <f t="shared" si="230"/>
        <v/>
      </c>
      <c r="K2897" s="92" t="str">
        <f>IF(AND(A2897="",B2897="",D2897="",G2897=""),"",IF(AND(A2897&lt;&gt;"",COUNTIF($A$2:$A$5001,A2897)&gt;1),"NUMERO_PC duplicado",IF(B2897="","DATA_PC vazia",IF(NOT(ISNUMBER(B2897)),"DATA_PC invalida",IF(OR(C2897="",C2897="Fora dos ciclos"),"CICLO_PC nao identificado",IF(OR(D2897="",D2897=0),"VALOR_PC vazio ou zero",IF(AND(G2897&lt;&gt;"Sim",G2897&lt;&gt;"Nao",G2897&lt;&gt;""),"PC_PAGO_A_CONTRATADA invalido",IF(AND(C2897&lt;&gt;"C0",IFERROR(INDEX(parametros!$A$2:$A$6,MATCH(C2897,parametros!$B$2:$B$6,0)),"")="Sim",IFERROR(INDEX(parametros!$H$2:$H$6,MATCH(C2897,parametros!$B$2:$B$6,0)),"")=""),"INICIO_EFEITO ausente: PC "&amp;A2897&amp;" - "&amp;C2897,IF(L2897="","EFEITO_PC nao calculado: PC "&amp;A2897&amp;" - "&amp;C2897,"OK")))))))))</f>
        <v/>
      </c>
      <c r="L2897" s="92" t="str">
        <f>IF(AND(A2897="",B2897="",D2897="",G2897=""),"",IF(OR(B2897="",NOT(ISNUMBER(B2897)),C2897="",C2897="Fora dos ciclos"),"",IF(C2897="C0","Nao",IF(IFERROR(INDEX(parametros!$A$2:$A$6,MATCH(C2897,parametros!$B$2:$B$6,0)),"")&lt;&gt;"Sim","Nao",IF(IFERROR(INDEX(parametros!$H$2:$H$6,MATCH(C2897,parametros!$B$2:$B$6,0)),"")="","",IF(B2897&gt;=IFERROR(INDEX(parametros!$H$2:$H$6,MATCH(C2897,parametros!$B$2:$B$6,0)),""),"Sim","Nao"))))))</f>
        <v/>
      </c>
      <c r="T2897" s="156"/>
      <c r="U2897" s="214" t="str">
        <f t="shared" si="231"/>
        <v/>
      </c>
      <c r="V2897" s="212" t="s">
        <v>50</v>
      </c>
      <c r="W2897" s="100" t="s">
        <v>168</v>
      </c>
      <c r="X2897" s="100" t="s">
        <v>169</v>
      </c>
      <c r="Y2897" s="101" t="s">
        <v>170</v>
      </c>
      <c r="Z2897" s="101" t="s">
        <v>171</v>
      </c>
      <c r="AA2897" s="101" t="s">
        <v>50</v>
      </c>
      <c r="AB2897" s="101" t="s">
        <v>172</v>
      </c>
      <c r="AC2897" s="102" t="s">
        <v>173</v>
      </c>
    </row>
    <row r="2898" spans="1:29" ht="25.5" customHeight="1" x14ac:dyDescent="0.35">
      <c r="A2898" s="392"/>
      <c r="B2898" s="393"/>
      <c r="C2898" s="99" t="str">
        <f>IF(B2898="","",IF(NOT(ISNUMBER(B2898)),"DATA_PC invalida",IF(NOT(ISNUMBER(parametros!$C$2)),"Fora dos ciclos",IF(OR(B2898&lt;parametros!$C$2,(YEAR(B2898)-YEAR(parametros!$C$2))*12+MONTH(B2898)-MONTH(parametros!$C$2)&gt;59),"Fora dos ciclos","C"&amp;INT(((YEAR(B2898)-YEAR(parametros!$C$2))*12+MONTH(B2898)-MONTH(parametros!$C$2))/12)))))</f>
        <v/>
      </c>
      <c r="D2898" s="394"/>
      <c r="E2898" s="78" t="str">
        <f>IF(C2898="","",IFERROR(VLOOKUP(C2898,parametros!$A$11:$E$15,5,0),""))</f>
        <v/>
      </c>
      <c r="F2898" s="79" t="str">
        <f t="shared" si="227"/>
        <v/>
      </c>
      <c r="G2898" s="395"/>
      <c r="H2898" s="91">
        <f t="shared" si="228"/>
        <v>0</v>
      </c>
      <c r="I2898" s="91" t="str">
        <f t="shared" si="229"/>
        <v/>
      </c>
      <c r="J2898" s="91" t="str">
        <f t="shared" si="230"/>
        <v/>
      </c>
      <c r="K2898" s="92" t="str">
        <f>IF(AND(A2898="",B2898="",D2898="",G2898=""),"",IF(AND(A2898&lt;&gt;"",COUNTIF($A$2:$A$5001,A2898)&gt;1),"NUMERO_PC duplicado",IF(B2898="","DATA_PC vazia",IF(NOT(ISNUMBER(B2898)),"DATA_PC invalida",IF(OR(C2898="",C2898="Fora dos ciclos"),"CICLO_PC nao identificado",IF(OR(D2898="",D2898=0),"VALOR_PC vazio ou zero",IF(AND(G2898&lt;&gt;"Sim",G2898&lt;&gt;"Nao",G2898&lt;&gt;""),"PC_PAGO_A_CONTRATADA invalido",IF(AND(C2898&lt;&gt;"C0",IFERROR(INDEX(parametros!$A$2:$A$6,MATCH(C2898,parametros!$B$2:$B$6,0)),"")="Sim",IFERROR(INDEX(parametros!$H$2:$H$6,MATCH(C2898,parametros!$B$2:$B$6,0)),"")=""),"INICIO_EFEITO ausente: PC "&amp;A2898&amp;" - "&amp;C2898,IF(L2898="","EFEITO_PC nao calculado: PC "&amp;A2898&amp;" - "&amp;C2898,"OK")))))))))</f>
        <v/>
      </c>
      <c r="L2898" s="92" t="str">
        <f>IF(AND(A2898="",B2898="",D2898="",G2898=""),"",IF(OR(B2898="",NOT(ISNUMBER(B2898)),C2898="",C2898="Fora dos ciclos"),"",IF(C2898="C0","Nao",IF(IFERROR(INDEX(parametros!$A$2:$A$6,MATCH(C2898,parametros!$B$2:$B$6,0)),"")&lt;&gt;"Sim","Nao",IF(IFERROR(INDEX(parametros!$H$2:$H$6,MATCH(C2898,parametros!$B$2:$B$6,0)),"")="","",IF(B2898&gt;=IFERROR(INDEX(parametros!$H$2:$H$6,MATCH(C2898,parametros!$B$2:$B$6,0)),""),"Sim","Nao"))))))</f>
        <v/>
      </c>
      <c r="T2898" s="156"/>
      <c r="U2898" s="214" t="str">
        <f t="shared" si="231"/>
        <v/>
      </c>
      <c r="V2898" s="212" t="s">
        <v>50</v>
      </c>
      <c r="W2898" s="100" t="s">
        <v>168</v>
      </c>
      <c r="X2898" s="100" t="s">
        <v>169</v>
      </c>
      <c r="Y2898" s="101" t="s">
        <v>170</v>
      </c>
      <c r="Z2898" s="101" t="s">
        <v>171</v>
      </c>
      <c r="AA2898" s="101" t="s">
        <v>50</v>
      </c>
      <c r="AB2898" s="101" t="s">
        <v>172</v>
      </c>
      <c r="AC2898" s="102" t="s">
        <v>173</v>
      </c>
    </row>
    <row r="2899" spans="1:29" ht="25.5" customHeight="1" x14ac:dyDescent="0.35">
      <c r="A2899" s="392"/>
      <c r="B2899" s="393"/>
      <c r="C2899" s="99" t="str">
        <f>IF(B2899="","",IF(NOT(ISNUMBER(B2899)),"DATA_PC invalida",IF(NOT(ISNUMBER(parametros!$C$2)),"Fora dos ciclos",IF(OR(B2899&lt;parametros!$C$2,(YEAR(B2899)-YEAR(parametros!$C$2))*12+MONTH(B2899)-MONTH(parametros!$C$2)&gt;59),"Fora dos ciclos","C"&amp;INT(((YEAR(B2899)-YEAR(parametros!$C$2))*12+MONTH(B2899)-MONTH(parametros!$C$2))/12)))))</f>
        <v/>
      </c>
      <c r="D2899" s="394"/>
      <c r="E2899" s="78" t="str">
        <f>IF(C2899="","",IFERROR(VLOOKUP(C2899,parametros!$A$11:$E$15,5,0),""))</f>
        <v/>
      </c>
      <c r="F2899" s="79" t="str">
        <f t="shared" si="227"/>
        <v/>
      </c>
      <c r="G2899" s="395"/>
      <c r="H2899" s="91">
        <f t="shared" si="228"/>
        <v>0</v>
      </c>
      <c r="I2899" s="91" t="str">
        <f t="shared" si="229"/>
        <v/>
      </c>
      <c r="J2899" s="91" t="str">
        <f t="shared" si="230"/>
        <v/>
      </c>
      <c r="K2899" s="92" t="str">
        <f>IF(AND(A2899="",B2899="",D2899="",G2899=""),"",IF(AND(A2899&lt;&gt;"",COUNTIF($A$2:$A$5001,A2899)&gt;1),"NUMERO_PC duplicado",IF(B2899="","DATA_PC vazia",IF(NOT(ISNUMBER(B2899)),"DATA_PC invalida",IF(OR(C2899="",C2899="Fora dos ciclos"),"CICLO_PC nao identificado",IF(OR(D2899="",D2899=0),"VALOR_PC vazio ou zero",IF(AND(G2899&lt;&gt;"Sim",G2899&lt;&gt;"Nao",G2899&lt;&gt;""),"PC_PAGO_A_CONTRATADA invalido",IF(AND(C2899&lt;&gt;"C0",IFERROR(INDEX(parametros!$A$2:$A$6,MATCH(C2899,parametros!$B$2:$B$6,0)),"")="Sim",IFERROR(INDEX(parametros!$H$2:$H$6,MATCH(C2899,parametros!$B$2:$B$6,0)),"")=""),"INICIO_EFEITO ausente: PC "&amp;A2899&amp;" - "&amp;C2899,IF(L2899="","EFEITO_PC nao calculado: PC "&amp;A2899&amp;" - "&amp;C2899,"OK")))))))))</f>
        <v/>
      </c>
      <c r="L2899" s="92" t="str">
        <f>IF(AND(A2899="",B2899="",D2899="",G2899=""),"",IF(OR(B2899="",NOT(ISNUMBER(B2899)),C2899="",C2899="Fora dos ciclos"),"",IF(C2899="C0","Nao",IF(IFERROR(INDEX(parametros!$A$2:$A$6,MATCH(C2899,parametros!$B$2:$B$6,0)),"")&lt;&gt;"Sim","Nao",IF(IFERROR(INDEX(parametros!$H$2:$H$6,MATCH(C2899,parametros!$B$2:$B$6,0)),"")="","",IF(B2899&gt;=IFERROR(INDEX(parametros!$H$2:$H$6,MATCH(C2899,parametros!$B$2:$B$6,0)),""),"Sim","Nao"))))))</f>
        <v/>
      </c>
      <c r="T2899" s="156"/>
      <c r="U2899" s="214" t="str">
        <f t="shared" si="231"/>
        <v/>
      </c>
      <c r="V2899" s="212" t="s">
        <v>50</v>
      </c>
      <c r="W2899" s="100" t="s">
        <v>168</v>
      </c>
      <c r="X2899" s="100" t="s">
        <v>169</v>
      </c>
      <c r="Y2899" s="101" t="s">
        <v>170</v>
      </c>
      <c r="Z2899" s="101" t="s">
        <v>171</v>
      </c>
      <c r="AA2899" s="101" t="s">
        <v>50</v>
      </c>
      <c r="AB2899" s="101" t="s">
        <v>172</v>
      </c>
      <c r="AC2899" s="102" t="s">
        <v>173</v>
      </c>
    </row>
    <row r="2900" spans="1:29" ht="25.5" customHeight="1" x14ac:dyDescent="0.35">
      <c r="A2900" s="392"/>
      <c r="B2900" s="393"/>
      <c r="C2900" s="99" t="str">
        <f>IF(B2900="","",IF(NOT(ISNUMBER(B2900)),"DATA_PC invalida",IF(NOT(ISNUMBER(parametros!$C$2)),"Fora dos ciclos",IF(OR(B2900&lt;parametros!$C$2,(YEAR(B2900)-YEAR(parametros!$C$2))*12+MONTH(B2900)-MONTH(parametros!$C$2)&gt;59),"Fora dos ciclos","C"&amp;INT(((YEAR(B2900)-YEAR(parametros!$C$2))*12+MONTH(B2900)-MONTH(parametros!$C$2))/12)))))</f>
        <v/>
      </c>
      <c r="D2900" s="394"/>
      <c r="E2900" s="78" t="str">
        <f>IF(C2900="","",IFERROR(VLOOKUP(C2900,parametros!$A$11:$E$15,5,0),""))</f>
        <v/>
      </c>
      <c r="F2900" s="79" t="str">
        <f t="shared" si="227"/>
        <v/>
      </c>
      <c r="G2900" s="395"/>
      <c r="H2900" s="91">
        <f t="shared" si="228"/>
        <v>0</v>
      </c>
      <c r="I2900" s="91" t="str">
        <f t="shared" si="229"/>
        <v/>
      </c>
      <c r="J2900" s="91" t="str">
        <f t="shared" si="230"/>
        <v/>
      </c>
      <c r="K2900" s="92" t="str">
        <f>IF(AND(A2900="",B2900="",D2900="",G2900=""),"",IF(AND(A2900&lt;&gt;"",COUNTIF($A$2:$A$5001,A2900)&gt;1),"NUMERO_PC duplicado",IF(B2900="","DATA_PC vazia",IF(NOT(ISNUMBER(B2900)),"DATA_PC invalida",IF(OR(C2900="",C2900="Fora dos ciclos"),"CICLO_PC nao identificado",IF(OR(D2900="",D2900=0),"VALOR_PC vazio ou zero",IF(AND(G2900&lt;&gt;"Sim",G2900&lt;&gt;"Nao",G2900&lt;&gt;""),"PC_PAGO_A_CONTRATADA invalido",IF(AND(C2900&lt;&gt;"C0",IFERROR(INDEX(parametros!$A$2:$A$6,MATCH(C2900,parametros!$B$2:$B$6,0)),"")="Sim",IFERROR(INDEX(parametros!$H$2:$H$6,MATCH(C2900,parametros!$B$2:$B$6,0)),"")=""),"INICIO_EFEITO ausente: PC "&amp;A2900&amp;" - "&amp;C2900,IF(L2900="","EFEITO_PC nao calculado: PC "&amp;A2900&amp;" - "&amp;C2900,"OK")))))))))</f>
        <v/>
      </c>
      <c r="L2900" s="92" t="str">
        <f>IF(AND(A2900="",B2900="",D2900="",G2900=""),"",IF(OR(B2900="",NOT(ISNUMBER(B2900)),C2900="",C2900="Fora dos ciclos"),"",IF(C2900="C0","Nao",IF(IFERROR(INDEX(parametros!$A$2:$A$6,MATCH(C2900,parametros!$B$2:$B$6,0)),"")&lt;&gt;"Sim","Nao",IF(IFERROR(INDEX(parametros!$H$2:$H$6,MATCH(C2900,parametros!$B$2:$B$6,0)),"")="","",IF(B2900&gt;=IFERROR(INDEX(parametros!$H$2:$H$6,MATCH(C2900,parametros!$B$2:$B$6,0)),""),"Sim","Nao"))))))</f>
        <v/>
      </c>
      <c r="T2900" s="156"/>
      <c r="U2900" s="214" t="str">
        <f t="shared" si="231"/>
        <v/>
      </c>
      <c r="V2900" s="212" t="s">
        <v>50</v>
      </c>
      <c r="W2900" s="100" t="s">
        <v>168</v>
      </c>
      <c r="X2900" s="100" t="s">
        <v>169</v>
      </c>
      <c r="Y2900" s="101" t="s">
        <v>170</v>
      </c>
      <c r="Z2900" s="101" t="s">
        <v>171</v>
      </c>
      <c r="AA2900" s="101" t="s">
        <v>50</v>
      </c>
      <c r="AB2900" s="101" t="s">
        <v>172</v>
      </c>
      <c r="AC2900" s="102" t="s">
        <v>173</v>
      </c>
    </row>
    <row r="2901" spans="1:29" ht="25.5" customHeight="1" x14ac:dyDescent="0.35">
      <c r="A2901" s="392"/>
      <c r="B2901" s="393"/>
      <c r="C2901" s="99" t="str">
        <f>IF(B2901="","",IF(NOT(ISNUMBER(B2901)),"DATA_PC invalida",IF(NOT(ISNUMBER(parametros!$C$2)),"Fora dos ciclos",IF(OR(B2901&lt;parametros!$C$2,(YEAR(B2901)-YEAR(parametros!$C$2))*12+MONTH(B2901)-MONTH(parametros!$C$2)&gt;59),"Fora dos ciclos","C"&amp;INT(((YEAR(B2901)-YEAR(parametros!$C$2))*12+MONTH(B2901)-MONTH(parametros!$C$2))/12)))))</f>
        <v/>
      </c>
      <c r="D2901" s="394"/>
      <c r="E2901" s="78" t="str">
        <f>IF(C2901="","",IFERROR(VLOOKUP(C2901,parametros!$A$11:$E$15,5,0),""))</f>
        <v/>
      </c>
      <c r="F2901" s="79" t="str">
        <f t="shared" si="227"/>
        <v/>
      </c>
      <c r="G2901" s="395"/>
      <c r="H2901" s="91">
        <f t="shared" si="228"/>
        <v>0</v>
      </c>
      <c r="I2901" s="91" t="str">
        <f t="shared" si="229"/>
        <v/>
      </c>
      <c r="J2901" s="91" t="str">
        <f t="shared" si="230"/>
        <v/>
      </c>
      <c r="K2901" s="92" t="str">
        <f>IF(AND(A2901="",B2901="",D2901="",G2901=""),"",IF(AND(A2901&lt;&gt;"",COUNTIF($A$2:$A$5001,A2901)&gt;1),"NUMERO_PC duplicado",IF(B2901="","DATA_PC vazia",IF(NOT(ISNUMBER(B2901)),"DATA_PC invalida",IF(OR(C2901="",C2901="Fora dos ciclos"),"CICLO_PC nao identificado",IF(OR(D2901="",D2901=0),"VALOR_PC vazio ou zero",IF(AND(G2901&lt;&gt;"Sim",G2901&lt;&gt;"Nao",G2901&lt;&gt;""),"PC_PAGO_A_CONTRATADA invalido",IF(AND(C2901&lt;&gt;"C0",IFERROR(INDEX(parametros!$A$2:$A$6,MATCH(C2901,parametros!$B$2:$B$6,0)),"")="Sim",IFERROR(INDEX(parametros!$H$2:$H$6,MATCH(C2901,parametros!$B$2:$B$6,0)),"")=""),"INICIO_EFEITO ausente: PC "&amp;A2901&amp;" - "&amp;C2901,IF(L2901="","EFEITO_PC nao calculado: PC "&amp;A2901&amp;" - "&amp;C2901,"OK")))))))))</f>
        <v/>
      </c>
      <c r="L2901" s="92" t="str">
        <f>IF(AND(A2901="",B2901="",D2901="",G2901=""),"",IF(OR(B2901="",NOT(ISNUMBER(B2901)),C2901="",C2901="Fora dos ciclos"),"",IF(C2901="C0","Nao",IF(IFERROR(INDEX(parametros!$A$2:$A$6,MATCH(C2901,parametros!$B$2:$B$6,0)),"")&lt;&gt;"Sim","Nao",IF(IFERROR(INDEX(parametros!$H$2:$H$6,MATCH(C2901,parametros!$B$2:$B$6,0)),"")="","",IF(B2901&gt;=IFERROR(INDEX(parametros!$H$2:$H$6,MATCH(C2901,parametros!$B$2:$B$6,0)),""),"Sim","Nao"))))))</f>
        <v/>
      </c>
      <c r="T2901" s="156"/>
      <c r="U2901" s="214" t="str">
        <f t="shared" si="231"/>
        <v/>
      </c>
      <c r="V2901" s="212" t="s">
        <v>50</v>
      </c>
      <c r="W2901" s="100" t="s">
        <v>168</v>
      </c>
      <c r="X2901" s="100" t="s">
        <v>169</v>
      </c>
      <c r="Y2901" s="101" t="s">
        <v>170</v>
      </c>
      <c r="Z2901" s="101" t="s">
        <v>171</v>
      </c>
      <c r="AA2901" s="101" t="s">
        <v>50</v>
      </c>
      <c r="AB2901" s="101" t="s">
        <v>172</v>
      </c>
      <c r="AC2901" s="102" t="s">
        <v>173</v>
      </c>
    </row>
    <row r="2902" spans="1:29" ht="25.5" customHeight="1" x14ac:dyDescent="0.35">
      <c r="A2902" s="392"/>
      <c r="B2902" s="393"/>
      <c r="C2902" s="99" t="str">
        <f>IF(B2902="","",IF(NOT(ISNUMBER(B2902)),"DATA_PC invalida",IF(NOT(ISNUMBER(parametros!$C$2)),"Fora dos ciclos",IF(OR(B2902&lt;parametros!$C$2,(YEAR(B2902)-YEAR(parametros!$C$2))*12+MONTH(B2902)-MONTH(parametros!$C$2)&gt;59),"Fora dos ciclos","C"&amp;INT(((YEAR(B2902)-YEAR(parametros!$C$2))*12+MONTH(B2902)-MONTH(parametros!$C$2))/12)))))</f>
        <v/>
      </c>
      <c r="D2902" s="394"/>
      <c r="E2902" s="78" t="str">
        <f>IF(C2902="","",IFERROR(VLOOKUP(C2902,parametros!$A$11:$E$15,5,0),""))</f>
        <v/>
      </c>
      <c r="F2902" s="79" t="str">
        <f t="shared" si="227"/>
        <v/>
      </c>
      <c r="G2902" s="395"/>
      <c r="H2902" s="91">
        <f t="shared" si="228"/>
        <v>0</v>
      </c>
      <c r="I2902" s="91" t="str">
        <f t="shared" si="229"/>
        <v/>
      </c>
      <c r="J2902" s="91" t="str">
        <f t="shared" si="230"/>
        <v/>
      </c>
      <c r="K2902" s="92" t="str">
        <f>IF(AND(A2902="",B2902="",D2902="",G2902=""),"",IF(AND(A2902&lt;&gt;"",COUNTIF($A$2:$A$5001,A2902)&gt;1),"NUMERO_PC duplicado",IF(B2902="","DATA_PC vazia",IF(NOT(ISNUMBER(B2902)),"DATA_PC invalida",IF(OR(C2902="",C2902="Fora dos ciclos"),"CICLO_PC nao identificado",IF(OR(D2902="",D2902=0),"VALOR_PC vazio ou zero",IF(AND(G2902&lt;&gt;"Sim",G2902&lt;&gt;"Nao",G2902&lt;&gt;""),"PC_PAGO_A_CONTRATADA invalido",IF(AND(C2902&lt;&gt;"C0",IFERROR(INDEX(parametros!$A$2:$A$6,MATCH(C2902,parametros!$B$2:$B$6,0)),"")="Sim",IFERROR(INDEX(parametros!$H$2:$H$6,MATCH(C2902,parametros!$B$2:$B$6,0)),"")=""),"INICIO_EFEITO ausente: PC "&amp;A2902&amp;" - "&amp;C2902,IF(L2902="","EFEITO_PC nao calculado: PC "&amp;A2902&amp;" - "&amp;C2902,"OK")))))))))</f>
        <v/>
      </c>
      <c r="L2902" s="92" t="str">
        <f>IF(AND(A2902="",B2902="",D2902="",G2902=""),"",IF(OR(B2902="",NOT(ISNUMBER(B2902)),C2902="",C2902="Fora dos ciclos"),"",IF(C2902="C0","Nao",IF(IFERROR(INDEX(parametros!$A$2:$A$6,MATCH(C2902,parametros!$B$2:$B$6,0)),"")&lt;&gt;"Sim","Nao",IF(IFERROR(INDEX(parametros!$H$2:$H$6,MATCH(C2902,parametros!$B$2:$B$6,0)),"")="","",IF(B2902&gt;=IFERROR(INDEX(parametros!$H$2:$H$6,MATCH(C2902,parametros!$B$2:$B$6,0)),""),"Sim","Nao"))))))</f>
        <v/>
      </c>
      <c r="T2902" s="156"/>
      <c r="U2902" s="214" t="str">
        <f t="shared" si="231"/>
        <v/>
      </c>
      <c r="V2902" s="212" t="s">
        <v>50</v>
      </c>
      <c r="W2902" s="100" t="s">
        <v>168</v>
      </c>
      <c r="X2902" s="100" t="s">
        <v>169</v>
      </c>
      <c r="Y2902" s="101" t="s">
        <v>170</v>
      </c>
      <c r="Z2902" s="101" t="s">
        <v>171</v>
      </c>
      <c r="AA2902" s="101" t="s">
        <v>50</v>
      </c>
      <c r="AB2902" s="101" t="s">
        <v>172</v>
      </c>
      <c r="AC2902" s="102" t="s">
        <v>173</v>
      </c>
    </row>
    <row r="2903" spans="1:29" ht="25.5" customHeight="1" x14ac:dyDescent="0.35">
      <c r="A2903" s="392"/>
      <c r="B2903" s="393"/>
      <c r="C2903" s="99" t="str">
        <f>IF(B2903="","",IF(NOT(ISNUMBER(B2903)),"DATA_PC invalida",IF(NOT(ISNUMBER(parametros!$C$2)),"Fora dos ciclos",IF(OR(B2903&lt;parametros!$C$2,(YEAR(B2903)-YEAR(parametros!$C$2))*12+MONTH(B2903)-MONTH(parametros!$C$2)&gt;59),"Fora dos ciclos","C"&amp;INT(((YEAR(B2903)-YEAR(parametros!$C$2))*12+MONTH(B2903)-MONTH(parametros!$C$2))/12)))))</f>
        <v/>
      </c>
      <c r="D2903" s="394"/>
      <c r="E2903" s="78" t="str">
        <f>IF(C2903="","",IFERROR(VLOOKUP(C2903,parametros!$A$11:$E$15,5,0),""))</f>
        <v/>
      </c>
      <c r="F2903" s="79" t="str">
        <f t="shared" si="227"/>
        <v/>
      </c>
      <c r="G2903" s="395"/>
      <c r="H2903" s="91">
        <f t="shared" si="228"/>
        <v>0</v>
      </c>
      <c r="I2903" s="91" t="str">
        <f t="shared" si="229"/>
        <v/>
      </c>
      <c r="J2903" s="91" t="str">
        <f t="shared" si="230"/>
        <v/>
      </c>
      <c r="K2903" s="92" t="str">
        <f>IF(AND(A2903="",B2903="",D2903="",G2903=""),"",IF(AND(A2903&lt;&gt;"",COUNTIF($A$2:$A$5001,A2903)&gt;1),"NUMERO_PC duplicado",IF(B2903="","DATA_PC vazia",IF(NOT(ISNUMBER(B2903)),"DATA_PC invalida",IF(OR(C2903="",C2903="Fora dos ciclos"),"CICLO_PC nao identificado",IF(OR(D2903="",D2903=0),"VALOR_PC vazio ou zero",IF(AND(G2903&lt;&gt;"Sim",G2903&lt;&gt;"Nao",G2903&lt;&gt;""),"PC_PAGO_A_CONTRATADA invalido",IF(AND(C2903&lt;&gt;"C0",IFERROR(INDEX(parametros!$A$2:$A$6,MATCH(C2903,parametros!$B$2:$B$6,0)),"")="Sim",IFERROR(INDEX(parametros!$H$2:$H$6,MATCH(C2903,parametros!$B$2:$B$6,0)),"")=""),"INICIO_EFEITO ausente: PC "&amp;A2903&amp;" - "&amp;C2903,IF(L2903="","EFEITO_PC nao calculado: PC "&amp;A2903&amp;" - "&amp;C2903,"OK")))))))))</f>
        <v/>
      </c>
      <c r="L2903" s="92" t="str">
        <f>IF(AND(A2903="",B2903="",D2903="",G2903=""),"",IF(OR(B2903="",NOT(ISNUMBER(B2903)),C2903="",C2903="Fora dos ciclos"),"",IF(C2903="C0","Nao",IF(IFERROR(INDEX(parametros!$A$2:$A$6,MATCH(C2903,parametros!$B$2:$B$6,0)),"")&lt;&gt;"Sim","Nao",IF(IFERROR(INDEX(parametros!$H$2:$H$6,MATCH(C2903,parametros!$B$2:$B$6,0)),"")="","",IF(B2903&gt;=IFERROR(INDEX(parametros!$H$2:$H$6,MATCH(C2903,parametros!$B$2:$B$6,0)),""),"Sim","Nao"))))))</f>
        <v/>
      </c>
      <c r="T2903" s="156"/>
      <c r="U2903" s="214" t="str">
        <f t="shared" si="231"/>
        <v/>
      </c>
      <c r="V2903" s="212" t="s">
        <v>50</v>
      </c>
      <c r="W2903" s="100" t="s">
        <v>168</v>
      </c>
      <c r="X2903" s="100" t="s">
        <v>169</v>
      </c>
      <c r="Y2903" s="101" t="s">
        <v>170</v>
      </c>
      <c r="Z2903" s="101" t="s">
        <v>171</v>
      </c>
      <c r="AA2903" s="101" t="s">
        <v>50</v>
      </c>
      <c r="AB2903" s="101" t="s">
        <v>172</v>
      </c>
      <c r="AC2903" s="102" t="s">
        <v>173</v>
      </c>
    </row>
    <row r="2904" spans="1:29" ht="25.5" customHeight="1" x14ac:dyDescent="0.35">
      <c r="A2904" s="392"/>
      <c r="B2904" s="393"/>
      <c r="C2904" s="99" t="str">
        <f>IF(B2904="","",IF(NOT(ISNUMBER(B2904)),"DATA_PC invalida",IF(NOT(ISNUMBER(parametros!$C$2)),"Fora dos ciclos",IF(OR(B2904&lt;parametros!$C$2,(YEAR(B2904)-YEAR(parametros!$C$2))*12+MONTH(B2904)-MONTH(parametros!$C$2)&gt;59),"Fora dos ciclos","C"&amp;INT(((YEAR(B2904)-YEAR(parametros!$C$2))*12+MONTH(B2904)-MONTH(parametros!$C$2))/12)))))</f>
        <v/>
      </c>
      <c r="D2904" s="394"/>
      <c r="E2904" s="78" t="str">
        <f>IF(C2904="","",IFERROR(VLOOKUP(C2904,parametros!$A$11:$E$15,5,0),""))</f>
        <v/>
      </c>
      <c r="F2904" s="79" t="str">
        <f t="shared" si="227"/>
        <v/>
      </c>
      <c r="G2904" s="395"/>
      <c r="H2904" s="91">
        <f t="shared" si="228"/>
        <v>0</v>
      </c>
      <c r="I2904" s="91" t="str">
        <f t="shared" si="229"/>
        <v/>
      </c>
      <c r="J2904" s="91" t="str">
        <f t="shared" si="230"/>
        <v/>
      </c>
      <c r="K2904" s="92" t="str">
        <f>IF(AND(A2904="",B2904="",D2904="",G2904=""),"",IF(AND(A2904&lt;&gt;"",COUNTIF($A$2:$A$5001,A2904)&gt;1),"NUMERO_PC duplicado",IF(B2904="","DATA_PC vazia",IF(NOT(ISNUMBER(B2904)),"DATA_PC invalida",IF(OR(C2904="",C2904="Fora dos ciclos"),"CICLO_PC nao identificado",IF(OR(D2904="",D2904=0),"VALOR_PC vazio ou zero",IF(AND(G2904&lt;&gt;"Sim",G2904&lt;&gt;"Nao",G2904&lt;&gt;""),"PC_PAGO_A_CONTRATADA invalido",IF(AND(C2904&lt;&gt;"C0",IFERROR(INDEX(parametros!$A$2:$A$6,MATCH(C2904,parametros!$B$2:$B$6,0)),"")="Sim",IFERROR(INDEX(parametros!$H$2:$H$6,MATCH(C2904,parametros!$B$2:$B$6,0)),"")=""),"INICIO_EFEITO ausente: PC "&amp;A2904&amp;" - "&amp;C2904,IF(L2904="","EFEITO_PC nao calculado: PC "&amp;A2904&amp;" - "&amp;C2904,"OK")))))))))</f>
        <v/>
      </c>
      <c r="L2904" s="92" t="str">
        <f>IF(AND(A2904="",B2904="",D2904="",G2904=""),"",IF(OR(B2904="",NOT(ISNUMBER(B2904)),C2904="",C2904="Fora dos ciclos"),"",IF(C2904="C0","Nao",IF(IFERROR(INDEX(parametros!$A$2:$A$6,MATCH(C2904,parametros!$B$2:$B$6,0)),"")&lt;&gt;"Sim","Nao",IF(IFERROR(INDEX(parametros!$H$2:$H$6,MATCH(C2904,parametros!$B$2:$B$6,0)),"")="","",IF(B2904&gt;=IFERROR(INDEX(parametros!$H$2:$H$6,MATCH(C2904,parametros!$B$2:$B$6,0)),""),"Sim","Nao"))))))</f>
        <v/>
      </c>
      <c r="T2904" s="156"/>
      <c r="U2904" s="214" t="str">
        <f t="shared" si="231"/>
        <v/>
      </c>
      <c r="V2904" s="212" t="s">
        <v>50</v>
      </c>
      <c r="W2904" s="100" t="s">
        <v>168</v>
      </c>
      <c r="X2904" s="100" t="s">
        <v>169</v>
      </c>
      <c r="Y2904" s="101" t="s">
        <v>170</v>
      </c>
      <c r="Z2904" s="101" t="s">
        <v>171</v>
      </c>
      <c r="AA2904" s="101" t="s">
        <v>50</v>
      </c>
      <c r="AB2904" s="101" t="s">
        <v>172</v>
      </c>
      <c r="AC2904" s="102" t="s">
        <v>173</v>
      </c>
    </row>
    <row r="2905" spans="1:29" ht="25.5" customHeight="1" x14ac:dyDescent="0.35">
      <c r="A2905" s="392"/>
      <c r="B2905" s="393"/>
      <c r="C2905" s="99" t="str">
        <f>IF(B2905="","",IF(NOT(ISNUMBER(B2905)),"DATA_PC invalida",IF(NOT(ISNUMBER(parametros!$C$2)),"Fora dos ciclos",IF(OR(B2905&lt;parametros!$C$2,(YEAR(B2905)-YEAR(parametros!$C$2))*12+MONTH(B2905)-MONTH(parametros!$C$2)&gt;59),"Fora dos ciclos","C"&amp;INT(((YEAR(B2905)-YEAR(parametros!$C$2))*12+MONTH(B2905)-MONTH(parametros!$C$2))/12)))))</f>
        <v/>
      </c>
      <c r="D2905" s="394"/>
      <c r="E2905" s="78" t="str">
        <f>IF(C2905="","",IFERROR(VLOOKUP(C2905,parametros!$A$11:$E$15,5,0),""))</f>
        <v/>
      </c>
      <c r="F2905" s="79" t="str">
        <f t="shared" si="227"/>
        <v/>
      </c>
      <c r="G2905" s="395"/>
      <c r="H2905" s="91">
        <f t="shared" si="228"/>
        <v>0</v>
      </c>
      <c r="I2905" s="91" t="str">
        <f t="shared" si="229"/>
        <v/>
      </c>
      <c r="J2905" s="91" t="str">
        <f t="shared" si="230"/>
        <v/>
      </c>
      <c r="K2905" s="92" t="str">
        <f>IF(AND(A2905="",B2905="",D2905="",G2905=""),"",IF(AND(A2905&lt;&gt;"",COUNTIF($A$2:$A$5001,A2905)&gt;1),"NUMERO_PC duplicado",IF(B2905="","DATA_PC vazia",IF(NOT(ISNUMBER(B2905)),"DATA_PC invalida",IF(OR(C2905="",C2905="Fora dos ciclos"),"CICLO_PC nao identificado",IF(OR(D2905="",D2905=0),"VALOR_PC vazio ou zero",IF(AND(G2905&lt;&gt;"Sim",G2905&lt;&gt;"Nao",G2905&lt;&gt;""),"PC_PAGO_A_CONTRATADA invalido",IF(AND(C2905&lt;&gt;"C0",IFERROR(INDEX(parametros!$A$2:$A$6,MATCH(C2905,parametros!$B$2:$B$6,0)),"")="Sim",IFERROR(INDEX(parametros!$H$2:$H$6,MATCH(C2905,parametros!$B$2:$B$6,0)),"")=""),"INICIO_EFEITO ausente: PC "&amp;A2905&amp;" - "&amp;C2905,IF(L2905="","EFEITO_PC nao calculado: PC "&amp;A2905&amp;" - "&amp;C2905,"OK")))))))))</f>
        <v/>
      </c>
      <c r="L2905" s="92" t="str">
        <f>IF(AND(A2905="",B2905="",D2905="",G2905=""),"",IF(OR(B2905="",NOT(ISNUMBER(B2905)),C2905="",C2905="Fora dos ciclos"),"",IF(C2905="C0","Nao",IF(IFERROR(INDEX(parametros!$A$2:$A$6,MATCH(C2905,parametros!$B$2:$B$6,0)),"")&lt;&gt;"Sim","Nao",IF(IFERROR(INDEX(parametros!$H$2:$H$6,MATCH(C2905,parametros!$B$2:$B$6,0)),"")="","",IF(B2905&gt;=IFERROR(INDEX(parametros!$H$2:$H$6,MATCH(C2905,parametros!$B$2:$B$6,0)),""),"Sim","Nao"))))))</f>
        <v/>
      </c>
      <c r="T2905" s="156"/>
      <c r="U2905" s="214" t="str">
        <f t="shared" si="231"/>
        <v/>
      </c>
      <c r="V2905" s="212" t="s">
        <v>50</v>
      </c>
      <c r="W2905" s="100" t="s">
        <v>168</v>
      </c>
      <c r="X2905" s="100" t="s">
        <v>169</v>
      </c>
      <c r="Y2905" s="101" t="s">
        <v>170</v>
      </c>
      <c r="Z2905" s="101" t="s">
        <v>171</v>
      </c>
      <c r="AA2905" s="101" t="s">
        <v>50</v>
      </c>
      <c r="AB2905" s="101" t="s">
        <v>172</v>
      </c>
      <c r="AC2905" s="102" t="s">
        <v>173</v>
      </c>
    </row>
    <row r="2906" spans="1:29" ht="25.5" customHeight="1" x14ac:dyDescent="0.35">
      <c r="A2906" s="392"/>
      <c r="B2906" s="393"/>
      <c r="C2906" s="99" t="str">
        <f>IF(B2906="","",IF(NOT(ISNUMBER(B2906)),"DATA_PC invalida",IF(NOT(ISNUMBER(parametros!$C$2)),"Fora dos ciclos",IF(OR(B2906&lt;parametros!$C$2,(YEAR(B2906)-YEAR(parametros!$C$2))*12+MONTH(B2906)-MONTH(parametros!$C$2)&gt;59),"Fora dos ciclos","C"&amp;INT(((YEAR(B2906)-YEAR(parametros!$C$2))*12+MONTH(B2906)-MONTH(parametros!$C$2))/12)))))</f>
        <v/>
      </c>
      <c r="D2906" s="394"/>
      <c r="E2906" s="78" t="str">
        <f>IF(C2906="","",IFERROR(VLOOKUP(C2906,parametros!$A$11:$E$15,5,0),""))</f>
        <v/>
      </c>
      <c r="F2906" s="79" t="str">
        <f t="shared" si="227"/>
        <v/>
      </c>
      <c r="G2906" s="395"/>
      <c r="H2906" s="91">
        <f t="shared" si="228"/>
        <v>0</v>
      </c>
      <c r="I2906" s="91" t="str">
        <f t="shared" si="229"/>
        <v/>
      </c>
      <c r="J2906" s="91" t="str">
        <f t="shared" si="230"/>
        <v/>
      </c>
      <c r="K2906" s="92" t="str">
        <f>IF(AND(A2906="",B2906="",D2906="",G2906=""),"",IF(AND(A2906&lt;&gt;"",COUNTIF($A$2:$A$5001,A2906)&gt;1),"NUMERO_PC duplicado",IF(B2906="","DATA_PC vazia",IF(NOT(ISNUMBER(B2906)),"DATA_PC invalida",IF(OR(C2906="",C2906="Fora dos ciclos"),"CICLO_PC nao identificado",IF(OR(D2906="",D2906=0),"VALOR_PC vazio ou zero",IF(AND(G2906&lt;&gt;"Sim",G2906&lt;&gt;"Nao",G2906&lt;&gt;""),"PC_PAGO_A_CONTRATADA invalido",IF(AND(C2906&lt;&gt;"C0",IFERROR(INDEX(parametros!$A$2:$A$6,MATCH(C2906,parametros!$B$2:$B$6,0)),"")="Sim",IFERROR(INDEX(parametros!$H$2:$H$6,MATCH(C2906,parametros!$B$2:$B$6,0)),"")=""),"INICIO_EFEITO ausente: PC "&amp;A2906&amp;" - "&amp;C2906,IF(L2906="","EFEITO_PC nao calculado: PC "&amp;A2906&amp;" - "&amp;C2906,"OK")))))))))</f>
        <v/>
      </c>
      <c r="L2906" s="92" t="str">
        <f>IF(AND(A2906="",B2906="",D2906="",G2906=""),"",IF(OR(B2906="",NOT(ISNUMBER(B2906)),C2906="",C2906="Fora dos ciclos"),"",IF(C2906="C0","Nao",IF(IFERROR(INDEX(parametros!$A$2:$A$6,MATCH(C2906,parametros!$B$2:$B$6,0)),"")&lt;&gt;"Sim","Nao",IF(IFERROR(INDEX(parametros!$H$2:$H$6,MATCH(C2906,parametros!$B$2:$B$6,0)),"")="","",IF(B2906&gt;=IFERROR(INDEX(parametros!$H$2:$H$6,MATCH(C2906,parametros!$B$2:$B$6,0)),""),"Sim","Nao"))))))</f>
        <v/>
      </c>
      <c r="T2906" s="156"/>
      <c r="U2906" s="214" t="str">
        <f t="shared" si="231"/>
        <v/>
      </c>
      <c r="V2906" s="212" t="s">
        <v>50</v>
      </c>
      <c r="W2906" s="100" t="s">
        <v>168</v>
      </c>
      <c r="X2906" s="100" t="s">
        <v>169</v>
      </c>
      <c r="Y2906" s="101" t="s">
        <v>170</v>
      </c>
      <c r="Z2906" s="101" t="s">
        <v>171</v>
      </c>
      <c r="AA2906" s="101" t="s">
        <v>50</v>
      </c>
      <c r="AB2906" s="101" t="s">
        <v>172</v>
      </c>
      <c r="AC2906" s="102" t="s">
        <v>173</v>
      </c>
    </row>
    <row r="2907" spans="1:29" ht="25.5" customHeight="1" x14ac:dyDescent="0.35">
      <c r="A2907" s="392"/>
      <c r="B2907" s="393"/>
      <c r="C2907" s="99" t="str">
        <f>IF(B2907="","",IF(NOT(ISNUMBER(B2907)),"DATA_PC invalida",IF(NOT(ISNUMBER(parametros!$C$2)),"Fora dos ciclos",IF(OR(B2907&lt;parametros!$C$2,(YEAR(B2907)-YEAR(parametros!$C$2))*12+MONTH(B2907)-MONTH(parametros!$C$2)&gt;59),"Fora dos ciclos","C"&amp;INT(((YEAR(B2907)-YEAR(parametros!$C$2))*12+MONTH(B2907)-MONTH(parametros!$C$2))/12)))))</f>
        <v/>
      </c>
      <c r="D2907" s="394"/>
      <c r="E2907" s="78" t="str">
        <f>IF(C2907="","",IFERROR(VLOOKUP(C2907,parametros!$A$11:$E$15,5,0),""))</f>
        <v/>
      </c>
      <c r="F2907" s="79" t="str">
        <f t="shared" si="227"/>
        <v/>
      </c>
      <c r="G2907" s="395"/>
      <c r="H2907" s="91">
        <f t="shared" si="228"/>
        <v>0</v>
      </c>
      <c r="I2907" s="91" t="str">
        <f t="shared" si="229"/>
        <v/>
      </c>
      <c r="J2907" s="91" t="str">
        <f t="shared" si="230"/>
        <v/>
      </c>
      <c r="K2907" s="92" t="str">
        <f>IF(AND(A2907="",B2907="",D2907="",G2907=""),"",IF(AND(A2907&lt;&gt;"",COUNTIF($A$2:$A$5001,A2907)&gt;1),"NUMERO_PC duplicado",IF(B2907="","DATA_PC vazia",IF(NOT(ISNUMBER(B2907)),"DATA_PC invalida",IF(OR(C2907="",C2907="Fora dos ciclos"),"CICLO_PC nao identificado",IF(OR(D2907="",D2907=0),"VALOR_PC vazio ou zero",IF(AND(G2907&lt;&gt;"Sim",G2907&lt;&gt;"Nao",G2907&lt;&gt;""),"PC_PAGO_A_CONTRATADA invalido",IF(AND(C2907&lt;&gt;"C0",IFERROR(INDEX(parametros!$A$2:$A$6,MATCH(C2907,parametros!$B$2:$B$6,0)),"")="Sim",IFERROR(INDEX(parametros!$H$2:$H$6,MATCH(C2907,parametros!$B$2:$B$6,0)),"")=""),"INICIO_EFEITO ausente: PC "&amp;A2907&amp;" - "&amp;C2907,IF(L2907="","EFEITO_PC nao calculado: PC "&amp;A2907&amp;" - "&amp;C2907,"OK")))))))))</f>
        <v/>
      </c>
      <c r="L2907" s="92" t="str">
        <f>IF(AND(A2907="",B2907="",D2907="",G2907=""),"",IF(OR(B2907="",NOT(ISNUMBER(B2907)),C2907="",C2907="Fora dos ciclos"),"",IF(C2907="C0","Nao",IF(IFERROR(INDEX(parametros!$A$2:$A$6,MATCH(C2907,parametros!$B$2:$B$6,0)),"")&lt;&gt;"Sim","Nao",IF(IFERROR(INDEX(parametros!$H$2:$H$6,MATCH(C2907,parametros!$B$2:$B$6,0)),"")="","",IF(B2907&gt;=IFERROR(INDEX(parametros!$H$2:$H$6,MATCH(C2907,parametros!$B$2:$B$6,0)),""),"Sim","Nao"))))))</f>
        <v/>
      </c>
      <c r="T2907" s="156"/>
      <c r="U2907" s="214" t="str">
        <f t="shared" si="231"/>
        <v/>
      </c>
      <c r="V2907" s="212" t="s">
        <v>50</v>
      </c>
      <c r="W2907" s="100" t="s">
        <v>168</v>
      </c>
      <c r="X2907" s="100" t="s">
        <v>169</v>
      </c>
      <c r="Y2907" s="101" t="s">
        <v>170</v>
      </c>
      <c r="Z2907" s="101" t="s">
        <v>171</v>
      </c>
      <c r="AA2907" s="101" t="s">
        <v>50</v>
      </c>
      <c r="AB2907" s="101" t="s">
        <v>172</v>
      </c>
      <c r="AC2907" s="102" t="s">
        <v>173</v>
      </c>
    </row>
    <row r="2908" spans="1:29" ht="25.5" customHeight="1" x14ac:dyDescent="0.35">
      <c r="A2908" s="392"/>
      <c r="B2908" s="393"/>
      <c r="C2908" s="99" t="str">
        <f>IF(B2908="","",IF(NOT(ISNUMBER(B2908)),"DATA_PC invalida",IF(NOT(ISNUMBER(parametros!$C$2)),"Fora dos ciclos",IF(OR(B2908&lt;parametros!$C$2,(YEAR(B2908)-YEAR(parametros!$C$2))*12+MONTH(B2908)-MONTH(parametros!$C$2)&gt;59),"Fora dos ciclos","C"&amp;INT(((YEAR(B2908)-YEAR(parametros!$C$2))*12+MONTH(B2908)-MONTH(parametros!$C$2))/12)))))</f>
        <v/>
      </c>
      <c r="D2908" s="394"/>
      <c r="E2908" s="78" t="str">
        <f>IF(C2908="","",IFERROR(VLOOKUP(C2908,parametros!$A$11:$E$15,5,0),""))</f>
        <v/>
      </c>
      <c r="F2908" s="79" t="str">
        <f t="shared" si="227"/>
        <v/>
      </c>
      <c r="G2908" s="395"/>
      <c r="H2908" s="91">
        <f t="shared" si="228"/>
        <v>0</v>
      </c>
      <c r="I2908" s="91" t="str">
        <f t="shared" si="229"/>
        <v/>
      </c>
      <c r="J2908" s="91" t="str">
        <f t="shared" si="230"/>
        <v/>
      </c>
      <c r="K2908" s="92" t="str">
        <f>IF(AND(A2908="",B2908="",D2908="",G2908=""),"",IF(AND(A2908&lt;&gt;"",COUNTIF($A$2:$A$5001,A2908)&gt;1),"NUMERO_PC duplicado",IF(B2908="","DATA_PC vazia",IF(NOT(ISNUMBER(B2908)),"DATA_PC invalida",IF(OR(C2908="",C2908="Fora dos ciclos"),"CICLO_PC nao identificado",IF(OR(D2908="",D2908=0),"VALOR_PC vazio ou zero",IF(AND(G2908&lt;&gt;"Sim",G2908&lt;&gt;"Nao",G2908&lt;&gt;""),"PC_PAGO_A_CONTRATADA invalido",IF(AND(C2908&lt;&gt;"C0",IFERROR(INDEX(parametros!$A$2:$A$6,MATCH(C2908,parametros!$B$2:$B$6,0)),"")="Sim",IFERROR(INDEX(parametros!$H$2:$H$6,MATCH(C2908,parametros!$B$2:$B$6,0)),"")=""),"INICIO_EFEITO ausente: PC "&amp;A2908&amp;" - "&amp;C2908,IF(L2908="","EFEITO_PC nao calculado: PC "&amp;A2908&amp;" - "&amp;C2908,"OK")))))))))</f>
        <v/>
      </c>
      <c r="L2908" s="92" t="str">
        <f>IF(AND(A2908="",B2908="",D2908="",G2908=""),"",IF(OR(B2908="",NOT(ISNUMBER(B2908)),C2908="",C2908="Fora dos ciclos"),"",IF(C2908="C0","Nao",IF(IFERROR(INDEX(parametros!$A$2:$A$6,MATCH(C2908,parametros!$B$2:$B$6,0)),"")&lt;&gt;"Sim","Nao",IF(IFERROR(INDEX(parametros!$H$2:$H$6,MATCH(C2908,parametros!$B$2:$B$6,0)),"")="","",IF(B2908&gt;=IFERROR(INDEX(parametros!$H$2:$H$6,MATCH(C2908,parametros!$B$2:$B$6,0)),""),"Sim","Nao"))))))</f>
        <v/>
      </c>
      <c r="T2908" s="156"/>
      <c r="U2908" s="214" t="str">
        <f t="shared" si="231"/>
        <v/>
      </c>
      <c r="V2908" s="212" t="s">
        <v>50</v>
      </c>
      <c r="W2908" s="100" t="s">
        <v>168</v>
      </c>
      <c r="X2908" s="100" t="s">
        <v>169</v>
      </c>
      <c r="Y2908" s="101" t="s">
        <v>170</v>
      </c>
      <c r="Z2908" s="101" t="s">
        <v>171</v>
      </c>
      <c r="AA2908" s="101" t="s">
        <v>50</v>
      </c>
      <c r="AB2908" s="101" t="s">
        <v>172</v>
      </c>
      <c r="AC2908" s="102" t="s">
        <v>173</v>
      </c>
    </row>
    <row r="2909" spans="1:29" ht="25.5" customHeight="1" x14ac:dyDescent="0.35">
      <c r="A2909" s="392"/>
      <c r="B2909" s="393"/>
      <c r="C2909" s="99" t="str">
        <f>IF(B2909="","",IF(NOT(ISNUMBER(B2909)),"DATA_PC invalida",IF(NOT(ISNUMBER(parametros!$C$2)),"Fora dos ciclos",IF(OR(B2909&lt;parametros!$C$2,(YEAR(B2909)-YEAR(parametros!$C$2))*12+MONTH(B2909)-MONTH(parametros!$C$2)&gt;59),"Fora dos ciclos","C"&amp;INT(((YEAR(B2909)-YEAR(parametros!$C$2))*12+MONTH(B2909)-MONTH(parametros!$C$2))/12)))))</f>
        <v/>
      </c>
      <c r="D2909" s="394"/>
      <c r="E2909" s="78" t="str">
        <f>IF(C2909="","",IFERROR(VLOOKUP(C2909,parametros!$A$11:$E$15,5,0),""))</f>
        <v/>
      </c>
      <c r="F2909" s="79" t="str">
        <f t="shared" si="227"/>
        <v/>
      </c>
      <c r="G2909" s="395"/>
      <c r="H2909" s="91">
        <f t="shared" si="228"/>
        <v>0</v>
      </c>
      <c r="I2909" s="91" t="str">
        <f t="shared" si="229"/>
        <v/>
      </c>
      <c r="J2909" s="91" t="str">
        <f t="shared" si="230"/>
        <v/>
      </c>
      <c r="K2909" s="92" t="str">
        <f>IF(AND(A2909="",B2909="",D2909="",G2909=""),"",IF(AND(A2909&lt;&gt;"",COUNTIF($A$2:$A$5001,A2909)&gt;1),"NUMERO_PC duplicado",IF(B2909="","DATA_PC vazia",IF(NOT(ISNUMBER(B2909)),"DATA_PC invalida",IF(OR(C2909="",C2909="Fora dos ciclos"),"CICLO_PC nao identificado",IF(OR(D2909="",D2909=0),"VALOR_PC vazio ou zero",IF(AND(G2909&lt;&gt;"Sim",G2909&lt;&gt;"Nao",G2909&lt;&gt;""),"PC_PAGO_A_CONTRATADA invalido",IF(AND(C2909&lt;&gt;"C0",IFERROR(INDEX(parametros!$A$2:$A$6,MATCH(C2909,parametros!$B$2:$B$6,0)),"")="Sim",IFERROR(INDEX(parametros!$H$2:$H$6,MATCH(C2909,parametros!$B$2:$B$6,0)),"")=""),"INICIO_EFEITO ausente: PC "&amp;A2909&amp;" - "&amp;C2909,IF(L2909="","EFEITO_PC nao calculado: PC "&amp;A2909&amp;" - "&amp;C2909,"OK")))))))))</f>
        <v/>
      </c>
      <c r="L2909" s="92" t="str">
        <f>IF(AND(A2909="",B2909="",D2909="",G2909=""),"",IF(OR(B2909="",NOT(ISNUMBER(B2909)),C2909="",C2909="Fora dos ciclos"),"",IF(C2909="C0","Nao",IF(IFERROR(INDEX(parametros!$A$2:$A$6,MATCH(C2909,parametros!$B$2:$B$6,0)),"")&lt;&gt;"Sim","Nao",IF(IFERROR(INDEX(parametros!$H$2:$H$6,MATCH(C2909,parametros!$B$2:$B$6,0)),"")="","",IF(B2909&gt;=IFERROR(INDEX(parametros!$H$2:$H$6,MATCH(C2909,parametros!$B$2:$B$6,0)),""),"Sim","Nao"))))))</f>
        <v/>
      </c>
      <c r="T2909" s="156"/>
      <c r="U2909" s="214" t="str">
        <f t="shared" si="231"/>
        <v/>
      </c>
      <c r="V2909" s="212" t="s">
        <v>50</v>
      </c>
      <c r="W2909" s="100" t="s">
        <v>168</v>
      </c>
      <c r="X2909" s="100" t="s">
        <v>169</v>
      </c>
      <c r="Y2909" s="101" t="s">
        <v>170</v>
      </c>
      <c r="Z2909" s="101" t="s">
        <v>171</v>
      </c>
      <c r="AA2909" s="101" t="s">
        <v>50</v>
      </c>
      <c r="AB2909" s="101" t="s">
        <v>172</v>
      </c>
      <c r="AC2909" s="102" t="s">
        <v>173</v>
      </c>
    </row>
    <row r="2910" spans="1:29" ht="25.5" customHeight="1" x14ac:dyDescent="0.35">
      <c r="A2910" s="392"/>
      <c r="B2910" s="393"/>
      <c r="C2910" s="99" t="str">
        <f>IF(B2910="","",IF(NOT(ISNUMBER(B2910)),"DATA_PC invalida",IF(NOT(ISNUMBER(parametros!$C$2)),"Fora dos ciclos",IF(OR(B2910&lt;parametros!$C$2,(YEAR(B2910)-YEAR(parametros!$C$2))*12+MONTH(B2910)-MONTH(parametros!$C$2)&gt;59),"Fora dos ciclos","C"&amp;INT(((YEAR(B2910)-YEAR(parametros!$C$2))*12+MONTH(B2910)-MONTH(parametros!$C$2))/12)))))</f>
        <v/>
      </c>
      <c r="D2910" s="394"/>
      <c r="E2910" s="78" t="str">
        <f>IF(C2910="","",IFERROR(VLOOKUP(C2910,parametros!$A$11:$E$15,5,0),""))</f>
        <v/>
      </c>
      <c r="F2910" s="79" t="str">
        <f t="shared" si="227"/>
        <v/>
      </c>
      <c r="G2910" s="395"/>
      <c r="H2910" s="91">
        <f t="shared" si="228"/>
        <v>0</v>
      </c>
      <c r="I2910" s="91" t="str">
        <f t="shared" si="229"/>
        <v/>
      </c>
      <c r="J2910" s="91" t="str">
        <f t="shared" si="230"/>
        <v/>
      </c>
      <c r="K2910" s="92" t="str">
        <f>IF(AND(A2910="",B2910="",D2910="",G2910=""),"",IF(AND(A2910&lt;&gt;"",COUNTIF($A$2:$A$5001,A2910)&gt;1),"NUMERO_PC duplicado",IF(B2910="","DATA_PC vazia",IF(NOT(ISNUMBER(B2910)),"DATA_PC invalida",IF(OR(C2910="",C2910="Fora dos ciclos"),"CICLO_PC nao identificado",IF(OR(D2910="",D2910=0),"VALOR_PC vazio ou zero",IF(AND(G2910&lt;&gt;"Sim",G2910&lt;&gt;"Nao",G2910&lt;&gt;""),"PC_PAGO_A_CONTRATADA invalido",IF(AND(C2910&lt;&gt;"C0",IFERROR(INDEX(parametros!$A$2:$A$6,MATCH(C2910,parametros!$B$2:$B$6,0)),"")="Sim",IFERROR(INDEX(parametros!$H$2:$H$6,MATCH(C2910,parametros!$B$2:$B$6,0)),"")=""),"INICIO_EFEITO ausente: PC "&amp;A2910&amp;" - "&amp;C2910,IF(L2910="","EFEITO_PC nao calculado: PC "&amp;A2910&amp;" - "&amp;C2910,"OK")))))))))</f>
        <v/>
      </c>
      <c r="L2910" s="92" t="str">
        <f>IF(AND(A2910="",B2910="",D2910="",G2910=""),"",IF(OR(B2910="",NOT(ISNUMBER(B2910)),C2910="",C2910="Fora dos ciclos"),"",IF(C2910="C0","Nao",IF(IFERROR(INDEX(parametros!$A$2:$A$6,MATCH(C2910,parametros!$B$2:$B$6,0)),"")&lt;&gt;"Sim","Nao",IF(IFERROR(INDEX(parametros!$H$2:$H$6,MATCH(C2910,parametros!$B$2:$B$6,0)),"")="","",IF(B2910&gt;=IFERROR(INDEX(parametros!$H$2:$H$6,MATCH(C2910,parametros!$B$2:$B$6,0)),""),"Sim","Nao"))))))</f>
        <v/>
      </c>
      <c r="T2910" s="156"/>
      <c r="U2910" s="214" t="str">
        <f t="shared" si="231"/>
        <v/>
      </c>
      <c r="V2910" s="212" t="s">
        <v>50</v>
      </c>
      <c r="W2910" s="100" t="s">
        <v>168</v>
      </c>
      <c r="X2910" s="100" t="s">
        <v>169</v>
      </c>
      <c r="Y2910" s="101" t="s">
        <v>170</v>
      </c>
      <c r="Z2910" s="101" t="s">
        <v>171</v>
      </c>
      <c r="AA2910" s="101" t="s">
        <v>50</v>
      </c>
      <c r="AB2910" s="101" t="s">
        <v>172</v>
      </c>
      <c r="AC2910" s="102" t="s">
        <v>173</v>
      </c>
    </row>
    <row r="2911" spans="1:29" ht="25.5" customHeight="1" x14ac:dyDescent="0.35">
      <c r="A2911" s="392"/>
      <c r="B2911" s="393"/>
      <c r="C2911" s="99" t="str">
        <f>IF(B2911="","",IF(NOT(ISNUMBER(B2911)),"DATA_PC invalida",IF(NOT(ISNUMBER(parametros!$C$2)),"Fora dos ciclos",IF(OR(B2911&lt;parametros!$C$2,(YEAR(B2911)-YEAR(parametros!$C$2))*12+MONTH(B2911)-MONTH(parametros!$C$2)&gt;59),"Fora dos ciclos","C"&amp;INT(((YEAR(B2911)-YEAR(parametros!$C$2))*12+MONTH(B2911)-MONTH(parametros!$C$2))/12)))))</f>
        <v/>
      </c>
      <c r="D2911" s="394"/>
      <c r="E2911" s="78" t="str">
        <f>IF(C2911="","",IFERROR(VLOOKUP(C2911,parametros!$A$11:$E$15,5,0),""))</f>
        <v/>
      </c>
      <c r="F2911" s="79" t="str">
        <f t="shared" si="227"/>
        <v/>
      </c>
      <c r="G2911" s="395"/>
      <c r="H2911" s="91">
        <f t="shared" si="228"/>
        <v>0</v>
      </c>
      <c r="I2911" s="91" t="str">
        <f t="shared" si="229"/>
        <v/>
      </c>
      <c r="J2911" s="91" t="str">
        <f t="shared" si="230"/>
        <v/>
      </c>
      <c r="K2911" s="92" t="str">
        <f>IF(AND(A2911="",B2911="",D2911="",G2911=""),"",IF(AND(A2911&lt;&gt;"",COUNTIF($A$2:$A$5001,A2911)&gt;1),"NUMERO_PC duplicado",IF(B2911="","DATA_PC vazia",IF(NOT(ISNUMBER(B2911)),"DATA_PC invalida",IF(OR(C2911="",C2911="Fora dos ciclos"),"CICLO_PC nao identificado",IF(OR(D2911="",D2911=0),"VALOR_PC vazio ou zero",IF(AND(G2911&lt;&gt;"Sim",G2911&lt;&gt;"Nao",G2911&lt;&gt;""),"PC_PAGO_A_CONTRATADA invalido",IF(AND(C2911&lt;&gt;"C0",IFERROR(INDEX(parametros!$A$2:$A$6,MATCH(C2911,parametros!$B$2:$B$6,0)),"")="Sim",IFERROR(INDEX(parametros!$H$2:$H$6,MATCH(C2911,parametros!$B$2:$B$6,0)),"")=""),"INICIO_EFEITO ausente: PC "&amp;A2911&amp;" - "&amp;C2911,IF(L2911="","EFEITO_PC nao calculado: PC "&amp;A2911&amp;" - "&amp;C2911,"OK")))))))))</f>
        <v/>
      </c>
      <c r="L2911" s="92" t="str">
        <f>IF(AND(A2911="",B2911="",D2911="",G2911=""),"",IF(OR(B2911="",NOT(ISNUMBER(B2911)),C2911="",C2911="Fora dos ciclos"),"",IF(C2911="C0","Nao",IF(IFERROR(INDEX(parametros!$A$2:$A$6,MATCH(C2911,parametros!$B$2:$B$6,0)),"")&lt;&gt;"Sim","Nao",IF(IFERROR(INDEX(parametros!$H$2:$H$6,MATCH(C2911,parametros!$B$2:$B$6,0)),"")="","",IF(B2911&gt;=IFERROR(INDEX(parametros!$H$2:$H$6,MATCH(C2911,parametros!$B$2:$B$6,0)),""),"Sim","Nao"))))))</f>
        <v/>
      </c>
      <c r="T2911" s="156"/>
      <c r="U2911" s="214" t="str">
        <f t="shared" si="231"/>
        <v/>
      </c>
      <c r="V2911" s="212" t="s">
        <v>50</v>
      </c>
      <c r="W2911" s="100" t="s">
        <v>168</v>
      </c>
      <c r="X2911" s="100" t="s">
        <v>169</v>
      </c>
      <c r="Y2911" s="101" t="s">
        <v>170</v>
      </c>
      <c r="Z2911" s="101" t="s">
        <v>171</v>
      </c>
      <c r="AA2911" s="101" t="s">
        <v>50</v>
      </c>
      <c r="AB2911" s="101" t="s">
        <v>172</v>
      </c>
      <c r="AC2911" s="102" t="s">
        <v>173</v>
      </c>
    </row>
    <row r="2912" spans="1:29" ht="25.5" customHeight="1" x14ac:dyDescent="0.35">
      <c r="A2912" s="392"/>
      <c r="B2912" s="393"/>
      <c r="C2912" s="99" t="str">
        <f>IF(B2912="","",IF(NOT(ISNUMBER(B2912)),"DATA_PC invalida",IF(NOT(ISNUMBER(parametros!$C$2)),"Fora dos ciclos",IF(OR(B2912&lt;parametros!$C$2,(YEAR(B2912)-YEAR(parametros!$C$2))*12+MONTH(B2912)-MONTH(parametros!$C$2)&gt;59),"Fora dos ciclos","C"&amp;INT(((YEAR(B2912)-YEAR(parametros!$C$2))*12+MONTH(B2912)-MONTH(parametros!$C$2))/12)))))</f>
        <v/>
      </c>
      <c r="D2912" s="394"/>
      <c r="E2912" s="78" t="str">
        <f>IF(C2912="","",IFERROR(VLOOKUP(C2912,parametros!$A$11:$E$15,5,0),""))</f>
        <v/>
      </c>
      <c r="F2912" s="79" t="str">
        <f t="shared" si="227"/>
        <v/>
      </c>
      <c r="G2912" s="395"/>
      <c r="H2912" s="91">
        <f t="shared" si="228"/>
        <v>0</v>
      </c>
      <c r="I2912" s="91" t="str">
        <f t="shared" si="229"/>
        <v/>
      </c>
      <c r="J2912" s="91" t="str">
        <f t="shared" si="230"/>
        <v/>
      </c>
      <c r="K2912" s="92" t="str">
        <f>IF(AND(A2912="",B2912="",D2912="",G2912=""),"",IF(AND(A2912&lt;&gt;"",COUNTIF($A$2:$A$5001,A2912)&gt;1),"NUMERO_PC duplicado",IF(B2912="","DATA_PC vazia",IF(NOT(ISNUMBER(B2912)),"DATA_PC invalida",IF(OR(C2912="",C2912="Fora dos ciclos"),"CICLO_PC nao identificado",IF(OR(D2912="",D2912=0),"VALOR_PC vazio ou zero",IF(AND(G2912&lt;&gt;"Sim",G2912&lt;&gt;"Nao",G2912&lt;&gt;""),"PC_PAGO_A_CONTRATADA invalido",IF(AND(C2912&lt;&gt;"C0",IFERROR(INDEX(parametros!$A$2:$A$6,MATCH(C2912,parametros!$B$2:$B$6,0)),"")="Sim",IFERROR(INDEX(parametros!$H$2:$H$6,MATCH(C2912,parametros!$B$2:$B$6,0)),"")=""),"INICIO_EFEITO ausente: PC "&amp;A2912&amp;" - "&amp;C2912,IF(L2912="","EFEITO_PC nao calculado: PC "&amp;A2912&amp;" - "&amp;C2912,"OK")))))))))</f>
        <v/>
      </c>
      <c r="L2912" s="92" t="str">
        <f>IF(AND(A2912="",B2912="",D2912="",G2912=""),"",IF(OR(B2912="",NOT(ISNUMBER(B2912)),C2912="",C2912="Fora dos ciclos"),"",IF(C2912="C0","Nao",IF(IFERROR(INDEX(parametros!$A$2:$A$6,MATCH(C2912,parametros!$B$2:$B$6,0)),"")&lt;&gt;"Sim","Nao",IF(IFERROR(INDEX(parametros!$H$2:$H$6,MATCH(C2912,parametros!$B$2:$B$6,0)),"")="","",IF(B2912&gt;=IFERROR(INDEX(parametros!$H$2:$H$6,MATCH(C2912,parametros!$B$2:$B$6,0)),""),"Sim","Nao"))))))</f>
        <v/>
      </c>
      <c r="T2912" s="156"/>
      <c r="U2912" s="214" t="str">
        <f t="shared" si="231"/>
        <v/>
      </c>
      <c r="V2912" s="212" t="s">
        <v>50</v>
      </c>
      <c r="W2912" s="100" t="s">
        <v>168</v>
      </c>
      <c r="X2912" s="100" t="s">
        <v>169</v>
      </c>
      <c r="Y2912" s="101" t="s">
        <v>170</v>
      </c>
      <c r="Z2912" s="101" t="s">
        <v>171</v>
      </c>
      <c r="AA2912" s="101" t="s">
        <v>50</v>
      </c>
      <c r="AB2912" s="101" t="s">
        <v>172</v>
      </c>
      <c r="AC2912" s="102" t="s">
        <v>173</v>
      </c>
    </row>
    <row r="2913" spans="1:29" ht="25.5" customHeight="1" x14ac:dyDescent="0.35">
      <c r="A2913" s="392"/>
      <c r="B2913" s="393"/>
      <c r="C2913" s="99" t="str">
        <f>IF(B2913="","",IF(NOT(ISNUMBER(B2913)),"DATA_PC invalida",IF(NOT(ISNUMBER(parametros!$C$2)),"Fora dos ciclos",IF(OR(B2913&lt;parametros!$C$2,(YEAR(B2913)-YEAR(parametros!$C$2))*12+MONTH(B2913)-MONTH(parametros!$C$2)&gt;59),"Fora dos ciclos","C"&amp;INT(((YEAR(B2913)-YEAR(parametros!$C$2))*12+MONTH(B2913)-MONTH(parametros!$C$2))/12)))))</f>
        <v/>
      </c>
      <c r="D2913" s="394"/>
      <c r="E2913" s="78" t="str">
        <f>IF(C2913="","",IFERROR(VLOOKUP(C2913,parametros!$A$11:$E$15,5,0),""))</f>
        <v/>
      </c>
      <c r="F2913" s="79" t="str">
        <f t="shared" si="227"/>
        <v/>
      </c>
      <c r="G2913" s="395"/>
      <c r="H2913" s="91">
        <f t="shared" si="228"/>
        <v>0</v>
      </c>
      <c r="I2913" s="91" t="str">
        <f t="shared" si="229"/>
        <v/>
      </c>
      <c r="J2913" s="91" t="str">
        <f t="shared" si="230"/>
        <v/>
      </c>
      <c r="K2913" s="92" t="str">
        <f>IF(AND(A2913="",B2913="",D2913="",G2913=""),"",IF(AND(A2913&lt;&gt;"",COUNTIF($A$2:$A$5001,A2913)&gt;1),"NUMERO_PC duplicado",IF(B2913="","DATA_PC vazia",IF(NOT(ISNUMBER(B2913)),"DATA_PC invalida",IF(OR(C2913="",C2913="Fora dos ciclos"),"CICLO_PC nao identificado",IF(OR(D2913="",D2913=0),"VALOR_PC vazio ou zero",IF(AND(G2913&lt;&gt;"Sim",G2913&lt;&gt;"Nao",G2913&lt;&gt;""),"PC_PAGO_A_CONTRATADA invalido",IF(AND(C2913&lt;&gt;"C0",IFERROR(INDEX(parametros!$A$2:$A$6,MATCH(C2913,parametros!$B$2:$B$6,0)),"")="Sim",IFERROR(INDEX(parametros!$H$2:$H$6,MATCH(C2913,parametros!$B$2:$B$6,0)),"")=""),"INICIO_EFEITO ausente: PC "&amp;A2913&amp;" - "&amp;C2913,IF(L2913="","EFEITO_PC nao calculado: PC "&amp;A2913&amp;" - "&amp;C2913,"OK")))))))))</f>
        <v/>
      </c>
      <c r="L2913" s="92" t="str">
        <f>IF(AND(A2913="",B2913="",D2913="",G2913=""),"",IF(OR(B2913="",NOT(ISNUMBER(B2913)),C2913="",C2913="Fora dos ciclos"),"",IF(C2913="C0","Nao",IF(IFERROR(INDEX(parametros!$A$2:$A$6,MATCH(C2913,parametros!$B$2:$B$6,0)),"")&lt;&gt;"Sim","Nao",IF(IFERROR(INDEX(parametros!$H$2:$H$6,MATCH(C2913,parametros!$B$2:$B$6,0)),"")="","",IF(B2913&gt;=IFERROR(INDEX(parametros!$H$2:$H$6,MATCH(C2913,parametros!$B$2:$B$6,0)),""),"Sim","Nao"))))))</f>
        <v/>
      </c>
      <c r="T2913" s="156"/>
      <c r="U2913" s="214" t="str">
        <f t="shared" si="231"/>
        <v/>
      </c>
      <c r="V2913" s="212" t="s">
        <v>50</v>
      </c>
      <c r="W2913" s="100" t="s">
        <v>168</v>
      </c>
      <c r="X2913" s="100" t="s">
        <v>169</v>
      </c>
      <c r="Y2913" s="101" t="s">
        <v>170</v>
      </c>
      <c r="Z2913" s="101" t="s">
        <v>171</v>
      </c>
      <c r="AA2913" s="101" t="s">
        <v>50</v>
      </c>
      <c r="AB2913" s="101" t="s">
        <v>172</v>
      </c>
      <c r="AC2913" s="102" t="s">
        <v>173</v>
      </c>
    </row>
    <row r="2914" spans="1:29" ht="25.5" customHeight="1" x14ac:dyDescent="0.35">
      <c r="A2914" s="392"/>
      <c r="B2914" s="393"/>
      <c r="C2914" s="99" t="str">
        <f>IF(B2914="","",IF(NOT(ISNUMBER(B2914)),"DATA_PC invalida",IF(NOT(ISNUMBER(parametros!$C$2)),"Fora dos ciclos",IF(OR(B2914&lt;parametros!$C$2,(YEAR(B2914)-YEAR(parametros!$C$2))*12+MONTH(B2914)-MONTH(parametros!$C$2)&gt;59),"Fora dos ciclos","C"&amp;INT(((YEAR(B2914)-YEAR(parametros!$C$2))*12+MONTH(B2914)-MONTH(parametros!$C$2))/12)))))</f>
        <v/>
      </c>
      <c r="D2914" s="394"/>
      <c r="E2914" s="78" t="str">
        <f>IF(C2914="","",IFERROR(VLOOKUP(C2914,parametros!$A$11:$E$15,5,0),""))</f>
        <v/>
      </c>
      <c r="F2914" s="79" t="str">
        <f t="shared" si="227"/>
        <v/>
      </c>
      <c r="G2914" s="395"/>
      <c r="H2914" s="91">
        <f t="shared" si="228"/>
        <v>0</v>
      </c>
      <c r="I2914" s="91" t="str">
        <f t="shared" si="229"/>
        <v/>
      </c>
      <c r="J2914" s="91" t="str">
        <f t="shared" si="230"/>
        <v/>
      </c>
      <c r="K2914" s="92" t="str">
        <f>IF(AND(A2914="",B2914="",D2914="",G2914=""),"",IF(AND(A2914&lt;&gt;"",COUNTIF($A$2:$A$5001,A2914)&gt;1),"NUMERO_PC duplicado",IF(B2914="","DATA_PC vazia",IF(NOT(ISNUMBER(B2914)),"DATA_PC invalida",IF(OR(C2914="",C2914="Fora dos ciclos"),"CICLO_PC nao identificado",IF(OR(D2914="",D2914=0),"VALOR_PC vazio ou zero",IF(AND(G2914&lt;&gt;"Sim",G2914&lt;&gt;"Nao",G2914&lt;&gt;""),"PC_PAGO_A_CONTRATADA invalido",IF(AND(C2914&lt;&gt;"C0",IFERROR(INDEX(parametros!$A$2:$A$6,MATCH(C2914,parametros!$B$2:$B$6,0)),"")="Sim",IFERROR(INDEX(parametros!$H$2:$H$6,MATCH(C2914,parametros!$B$2:$B$6,0)),"")=""),"INICIO_EFEITO ausente: PC "&amp;A2914&amp;" - "&amp;C2914,IF(L2914="","EFEITO_PC nao calculado: PC "&amp;A2914&amp;" - "&amp;C2914,"OK")))))))))</f>
        <v/>
      </c>
      <c r="L2914" s="92" t="str">
        <f>IF(AND(A2914="",B2914="",D2914="",G2914=""),"",IF(OR(B2914="",NOT(ISNUMBER(B2914)),C2914="",C2914="Fora dos ciclos"),"",IF(C2914="C0","Nao",IF(IFERROR(INDEX(parametros!$A$2:$A$6,MATCH(C2914,parametros!$B$2:$B$6,0)),"")&lt;&gt;"Sim","Nao",IF(IFERROR(INDEX(parametros!$H$2:$H$6,MATCH(C2914,parametros!$B$2:$B$6,0)),"")="","",IF(B2914&gt;=IFERROR(INDEX(parametros!$H$2:$H$6,MATCH(C2914,parametros!$B$2:$B$6,0)),""),"Sim","Nao"))))))</f>
        <v/>
      </c>
      <c r="T2914" s="156"/>
      <c r="U2914" s="214" t="str">
        <f t="shared" si="231"/>
        <v/>
      </c>
      <c r="V2914" s="212" t="s">
        <v>50</v>
      </c>
      <c r="W2914" s="100" t="s">
        <v>168</v>
      </c>
      <c r="X2914" s="100" t="s">
        <v>169</v>
      </c>
      <c r="Y2914" s="101" t="s">
        <v>170</v>
      </c>
      <c r="Z2914" s="101" t="s">
        <v>171</v>
      </c>
      <c r="AA2914" s="101" t="s">
        <v>50</v>
      </c>
      <c r="AB2914" s="101" t="s">
        <v>172</v>
      </c>
      <c r="AC2914" s="102" t="s">
        <v>173</v>
      </c>
    </row>
    <row r="2915" spans="1:29" ht="25.5" customHeight="1" x14ac:dyDescent="0.35">
      <c r="A2915" s="392"/>
      <c r="B2915" s="393"/>
      <c r="C2915" s="99" t="str">
        <f>IF(B2915="","",IF(NOT(ISNUMBER(B2915)),"DATA_PC invalida",IF(NOT(ISNUMBER(parametros!$C$2)),"Fora dos ciclos",IF(OR(B2915&lt;parametros!$C$2,(YEAR(B2915)-YEAR(parametros!$C$2))*12+MONTH(B2915)-MONTH(parametros!$C$2)&gt;59),"Fora dos ciclos","C"&amp;INT(((YEAR(B2915)-YEAR(parametros!$C$2))*12+MONTH(B2915)-MONTH(parametros!$C$2))/12)))))</f>
        <v/>
      </c>
      <c r="D2915" s="394"/>
      <c r="E2915" s="78" t="str">
        <f>IF(C2915="","",IFERROR(VLOOKUP(C2915,parametros!$A$11:$E$15,5,0),""))</f>
        <v/>
      </c>
      <c r="F2915" s="79" t="str">
        <f t="shared" si="227"/>
        <v/>
      </c>
      <c r="G2915" s="395"/>
      <c r="H2915" s="91">
        <f t="shared" si="228"/>
        <v>0</v>
      </c>
      <c r="I2915" s="91" t="str">
        <f t="shared" si="229"/>
        <v/>
      </c>
      <c r="J2915" s="91" t="str">
        <f t="shared" si="230"/>
        <v/>
      </c>
      <c r="K2915" s="92" t="str">
        <f>IF(AND(A2915="",B2915="",D2915="",G2915=""),"",IF(AND(A2915&lt;&gt;"",COUNTIF($A$2:$A$5001,A2915)&gt;1),"NUMERO_PC duplicado",IF(B2915="","DATA_PC vazia",IF(NOT(ISNUMBER(B2915)),"DATA_PC invalida",IF(OR(C2915="",C2915="Fora dos ciclos"),"CICLO_PC nao identificado",IF(OR(D2915="",D2915=0),"VALOR_PC vazio ou zero",IF(AND(G2915&lt;&gt;"Sim",G2915&lt;&gt;"Nao",G2915&lt;&gt;""),"PC_PAGO_A_CONTRATADA invalido",IF(AND(C2915&lt;&gt;"C0",IFERROR(INDEX(parametros!$A$2:$A$6,MATCH(C2915,parametros!$B$2:$B$6,0)),"")="Sim",IFERROR(INDEX(parametros!$H$2:$H$6,MATCH(C2915,parametros!$B$2:$B$6,0)),"")=""),"INICIO_EFEITO ausente: PC "&amp;A2915&amp;" - "&amp;C2915,IF(L2915="","EFEITO_PC nao calculado: PC "&amp;A2915&amp;" - "&amp;C2915,"OK")))))))))</f>
        <v/>
      </c>
      <c r="L2915" s="92" t="str">
        <f>IF(AND(A2915="",B2915="",D2915="",G2915=""),"",IF(OR(B2915="",NOT(ISNUMBER(B2915)),C2915="",C2915="Fora dos ciclos"),"",IF(C2915="C0","Nao",IF(IFERROR(INDEX(parametros!$A$2:$A$6,MATCH(C2915,parametros!$B$2:$B$6,0)),"")&lt;&gt;"Sim","Nao",IF(IFERROR(INDEX(parametros!$H$2:$H$6,MATCH(C2915,parametros!$B$2:$B$6,0)),"")="","",IF(B2915&gt;=IFERROR(INDEX(parametros!$H$2:$H$6,MATCH(C2915,parametros!$B$2:$B$6,0)),""),"Sim","Nao"))))))</f>
        <v/>
      </c>
      <c r="T2915" s="156"/>
      <c r="U2915" s="214" t="str">
        <f t="shared" si="231"/>
        <v/>
      </c>
      <c r="V2915" s="212" t="s">
        <v>50</v>
      </c>
      <c r="W2915" s="100" t="s">
        <v>168</v>
      </c>
      <c r="X2915" s="100" t="s">
        <v>169</v>
      </c>
      <c r="Y2915" s="101" t="s">
        <v>170</v>
      </c>
      <c r="Z2915" s="101" t="s">
        <v>171</v>
      </c>
      <c r="AA2915" s="101" t="s">
        <v>50</v>
      </c>
      <c r="AB2915" s="101" t="s">
        <v>172</v>
      </c>
      <c r="AC2915" s="102" t="s">
        <v>173</v>
      </c>
    </row>
    <row r="2916" spans="1:29" ht="25.5" customHeight="1" x14ac:dyDescent="0.35">
      <c r="A2916" s="392"/>
      <c r="B2916" s="393"/>
      <c r="C2916" s="99" t="str">
        <f>IF(B2916="","",IF(NOT(ISNUMBER(B2916)),"DATA_PC invalida",IF(NOT(ISNUMBER(parametros!$C$2)),"Fora dos ciclos",IF(OR(B2916&lt;parametros!$C$2,(YEAR(B2916)-YEAR(parametros!$C$2))*12+MONTH(B2916)-MONTH(parametros!$C$2)&gt;59),"Fora dos ciclos","C"&amp;INT(((YEAR(B2916)-YEAR(parametros!$C$2))*12+MONTH(B2916)-MONTH(parametros!$C$2))/12)))))</f>
        <v/>
      </c>
      <c r="D2916" s="394"/>
      <c r="E2916" s="78" t="str">
        <f>IF(C2916="","",IFERROR(VLOOKUP(C2916,parametros!$A$11:$E$15,5,0),""))</f>
        <v/>
      </c>
      <c r="F2916" s="79" t="str">
        <f t="shared" si="227"/>
        <v/>
      </c>
      <c r="G2916" s="395"/>
      <c r="H2916" s="91">
        <f t="shared" si="228"/>
        <v>0</v>
      </c>
      <c r="I2916" s="91" t="str">
        <f t="shared" si="229"/>
        <v/>
      </c>
      <c r="J2916" s="91" t="str">
        <f t="shared" si="230"/>
        <v/>
      </c>
      <c r="K2916" s="92" t="str">
        <f>IF(AND(A2916="",B2916="",D2916="",G2916=""),"",IF(AND(A2916&lt;&gt;"",COUNTIF($A$2:$A$5001,A2916)&gt;1),"NUMERO_PC duplicado",IF(B2916="","DATA_PC vazia",IF(NOT(ISNUMBER(B2916)),"DATA_PC invalida",IF(OR(C2916="",C2916="Fora dos ciclos"),"CICLO_PC nao identificado",IF(OR(D2916="",D2916=0),"VALOR_PC vazio ou zero",IF(AND(G2916&lt;&gt;"Sim",G2916&lt;&gt;"Nao",G2916&lt;&gt;""),"PC_PAGO_A_CONTRATADA invalido",IF(AND(C2916&lt;&gt;"C0",IFERROR(INDEX(parametros!$A$2:$A$6,MATCH(C2916,parametros!$B$2:$B$6,0)),"")="Sim",IFERROR(INDEX(parametros!$H$2:$H$6,MATCH(C2916,parametros!$B$2:$B$6,0)),"")=""),"INICIO_EFEITO ausente: PC "&amp;A2916&amp;" - "&amp;C2916,IF(L2916="","EFEITO_PC nao calculado: PC "&amp;A2916&amp;" - "&amp;C2916,"OK")))))))))</f>
        <v/>
      </c>
      <c r="L2916" s="92" t="str">
        <f>IF(AND(A2916="",B2916="",D2916="",G2916=""),"",IF(OR(B2916="",NOT(ISNUMBER(B2916)),C2916="",C2916="Fora dos ciclos"),"",IF(C2916="C0","Nao",IF(IFERROR(INDEX(parametros!$A$2:$A$6,MATCH(C2916,parametros!$B$2:$B$6,0)),"")&lt;&gt;"Sim","Nao",IF(IFERROR(INDEX(parametros!$H$2:$H$6,MATCH(C2916,parametros!$B$2:$B$6,0)),"")="","",IF(B2916&gt;=IFERROR(INDEX(parametros!$H$2:$H$6,MATCH(C2916,parametros!$B$2:$B$6,0)),""),"Sim","Nao"))))))</f>
        <v/>
      </c>
      <c r="T2916" s="156"/>
      <c r="U2916" s="214" t="str">
        <f t="shared" si="231"/>
        <v/>
      </c>
      <c r="V2916" s="212" t="s">
        <v>50</v>
      </c>
      <c r="W2916" s="100" t="s">
        <v>168</v>
      </c>
      <c r="X2916" s="100" t="s">
        <v>169</v>
      </c>
      <c r="Y2916" s="101" t="s">
        <v>170</v>
      </c>
      <c r="Z2916" s="101" t="s">
        <v>171</v>
      </c>
      <c r="AA2916" s="101" t="s">
        <v>50</v>
      </c>
      <c r="AB2916" s="101" t="s">
        <v>172</v>
      </c>
      <c r="AC2916" s="102" t="s">
        <v>173</v>
      </c>
    </row>
    <row r="2917" spans="1:29" ht="25.5" customHeight="1" x14ac:dyDescent="0.35">
      <c r="A2917" s="392"/>
      <c r="B2917" s="393"/>
      <c r="C2917" s="99" t="str">
        <f>IF(B2917="","",IF(NOT(ISNUMBER(B2917)),"DATA_PC invalida",IF(NOT(ISNUMBER(parametros!$C$2)),"Fora dos ciclos",IF(OR(B2917&lt;parametros!$C$2,(YEAR(B2917)-YEAR(parametros!$C$2))*12+MONTH(B2917)-MONTH(parametros!$C$2)&gt;59),"Fora dos ciclos","C"&amp;INT(((YEAR(B2917)-YEAR(parametros!$C$2))*12+MONTH(B2917)-MONTH(parametros!$C$2))/12)))))</f>
        <v/>
      </c>
      <c r="D2917" s="394"/>
      <c r="E2917" s="78" t="str">
        <f>IF(C2917="","",IFERROR(VLOOKUP(C2917,parametros!$A$11:$E$15,5,0),""))</f>
        <v/>
      </c>
      <c r="F2917" s="79" t="str">
        <f t="shared" si="227"/>
        <v/>
      </c>
      <c r="G2917" s="395"/>
      <c r="H2917" s="91">
        <f t="shared" si="228"/>
        <v>0</v>
      </c>
      <c r="I2917" s="91" t="str">
        <f t="shared" si="229"/>
        <v/>
      </c>
      <c r="J2917" s="91" t="str">
        <f t="shared" si="230"/>
        <v/>
      </c>
      <c r="K2917" s="92" t="str">
        <f>IF(AND(A2917="",B2917="",D2917="",G2917=""),"",IF(AND(A2917&lt;&gt;"",COUNTIF($A$2:$A$5001,A2917)&gt;1),"NUMERO_PC duplicado",IF(B2917="","DATA_PC vazia",IF(NOT(ISNUMBER(B2917)),"DATA_PC invalida",IF(OR(C2917="",C2917="Fora dos ciclos"),"CICLO_PC nao identificado",IF(OR(D2917="",D2917=0),"VALOR_PC vazio ou zero",IF(AND(G2917&lt;&gt;"Sim",G2917&lt;&gt;"Nao",G2917&lt;&gt;""),"PC_PAGO_A_CONTRATADA invalido",IF(AND(C2917&lt;&gt;"C0",IFERROR(INDEX(parametros!$A$2:$A$6,MATCH(C2917,parametros!$B$2:$B$6,0)),"")="Sim",IFERROR(INDEX(parametros!$H$2:$H$6,MATCH(C2917,parametros!$B$2:$B$6,0)),"")=""),"INICIO_EFEITO ausente: PC "&amp;A2917&amp;" - "&amp;C2917,IF(L2917="","EFEITO_PC nao calculado: PC "&amp;A2917&amp;" - "&amp;C2917,"OK")))))))))</f>
        <v/>
      </c>
      <c r="L2917" s="92" t="str">
        <f>IF(AND(A2917="",B2917="",D2917="",G2917=""),"",IF(OR(B2917="",NOT(ISNUMBER(B2917)),C2917="",C2917="Fora dos ciclos"),"",IF(C2917="C0","Nao",IF(IFERROR(INDEX(parametros!$A$2:$A$6,MATCH(C2917,parametros!$B$2:$B$6,0)),"")&lt;&gt;"Sim","Nao",IF(IFERROR(INDEX(parametros!$H$2:$H$6,MATCH(C2917,parametros!$B$2:$B$6,0)),"")="","",IF(B2917&gt;=IFERROR(INDEX(parametros!$H$2:$H$6,MATCH(C2917,parametros!$B$2:$B$6,0)),""),"Sim","Nao"))))))</f>
        <v/>
      </c>
      <c r="T2917" s="156"/>
      <c r="U2917" s="214" t="str">
        <f t="shared" si="231"/>
        <v/>
      </c>
      <c r="V2917" s="212" t="s">
        <v>50</v>
      </c>
      <c r="W2917" s="100" t="s">
        <v>168</v>
      </c>
      <c r="X2917" s="100" t="s">
        <v>169</v>
      </c>
      <c r="Y2917" s="101" t="s">
        <v>170</v>
      </c>
      <c r="Z2917" s="101" t="s">
        <v>171</v>
      </c>
      <c r="AA2917" s="101" t="s">
        <v>50</v>
      </c>
      <c r="AB2917" s="101" t="s">
        <v>172</v>
      </c>
      <c r="AC2917" s="102" t="s">
        <v>173</v>
      </c>
    </row>
    <row r="2918" spans="1:29" ht="25.5" customHeight="1" x14ac:dyDescent="0.35">
      <c r="A2918" s="392"/>
      <c r="B2918" s="393"/>
      <c r="C2918" s="99" t="str">
        <f>IF(B2918="","",IF(NOT(ISNUMBER(B2918)),"DATA_PC invalida",IF(NOT(ISNUMBER(parametros!$C$2)),"Fora dos ciclos",IF(OR(B2918&lt;parametros!$C$2,(YEAR(B2918)-YEAR(parametros!$C$2))*12+MONTH(B2918)-MONTH(parametros!$C$2)&gt;59),"Fora dos ciclos","C"&amp;INT(((YEAR(B2918)-YEAR(parametros!$C$2))*12+MONTH(B2918)-MONTH(parametros!$C$2))/12)))))</f>
        <v/>
      </c>
      <c r="D2918" s="394"/>
      <c r="E2918" s="78" t="str">
        <f>IF(C2918="","",IFERROR(VLOOKUP(C2918,parametros!$A$11:$E$15,5,0),""))</f>
        <v/>
      </c>
      <c r="F2918" s="79" t="str">
        <f t="shared" si="227"/>
        <v/>
      </c>
      <c r="G2918" s="395"/>
      <c r="H2918" s="91">
        <f t="shared" si="228"/>
        <v>0</v>
      </c>
      <c r="I2918" s="91" t="str">
        <f t="shared" si="229"/>
        <v/>
      </c>
      <c r="J2918" s="91" t="str">
        <f t="shared" si="230"/>
        <v/>
      </c>
      <c r="K2918" s="92" t="str">
        <f>IF(AND(A2918="",B2918="",D2918="",G2918=""),"",IF(AND(A2918&lt;&gt;"",COUNTIF($A$2:$A$5001,A2918)&gt;1),"NUMERO_PC duplicado",IF(B2918="","DATA_PC vazia",IF(NOT(ISNUMBER(B2918)),"DATA_PC invalida",IF(OR(C2918="",C2918="Fora dos ciclos"),"CICLO_PC nao identificado",IF(OR(D2918="",D2918=0),"VALOR_PC vazio ou zero",IF(AND(G2918&lt;&gt;"Sim",G2918&lt;&gt;"Nao",G2918&lt;&gt;""),"PC_PAGO_A_CONTRATADA invalido",IF(AND(C2918&lt;&gt;"C0",IFERROR(INDEX(parametros!$A$2:$A$6,MATCH(C2918,parametros!$B$2:$B$6,0)),"")="Sim",IFERROR(INDEX(parametros!$H$2:$H$6,MATCH(C2918,parametros!$B$2:$B$6,0)),"")=""),"INICIO_EFEITO ausente: PC "&amp;A2918&amp;" - "&amp;C2918,IF(L2918="","EFEITO_PC nao calculado: PC "&amp;A2918&amp;" - "&amp;C2918,"OK")))))))))</f>
        <v/>
      </c>
      <c r="L2918" s="92" t="str">
        <f>IF(AND(A2918="",B2918="",D2918="",G2918=""),"",IF(OR(B2918="",NOT(ISNUMBER(B2918)),C2918="",C2918="Fora dos ciclos"),"",IF(C2918="C0","Nao",IF(IFERROR(INDEX(parametros!$A$2:$A$6,MATCH(C2918,parametros!$B$2:$B$6,0)),"")&lt;&gt;"Sim","Nao",IF(IFERROR(INDEX(parametros!$H$2:$H$6,MATCH(C2918,parametros!$B$2:$B$6,0)),"")="","",IF(B2918&gt;=IFERROR(INDEX(parametros!$H$2:$H$6,MATCH(C2918,parametros!$B$2:$B$6,0)),""),"Sim","Nao"))))))</f>
        <v/>
      </c>
      <c r="T2918" s="156"/>
      <c r="U2918" s="214" t="str">
        <f t="shared" si="231"/>
        <v/>
      </c>
      <c r="V2918" s="212" t="s">
        <v>50</v>
      </c>
      <c r="W2918" s="100" t="s">
        <v>168</v>
      </c>
      <c r="X2918" s="100" t="s">
        <v>169</v>
      </c>
      <c r="Y2918" s="101" t="s">
        <v>170</v>
      </c>
      <c r="Z2918" s="101" t="s">
        <v>171</v>
      </c>
      <c r="AA2918" s="101" t="s">
        <v>50</v>
      </c>
      <c r="AB2918" s="101" t="s">
        <v>172</v>
      </c>
      <c r="AC2918" s="102" t="s">
        <v>173</v>
      </c>
    </row>
    <row r="2919" spans="1:29" ht="25.5" customHeight="1" x14ac:dyDescent="0.35">
      <c r="A2919" s="392"/>
      <c r="B2919" s="393"/>
      <c r="C2919" s="99" t="str">
        <f>IF(B2919="","",IF(NOT(ISNUMBER(B2919)),"DATA_PC invalida",IF(NOT(ISNUMBER(parametros!$C$2)),"Fora dos ciclos",IF(OR(B2919&lt;parametros!$C$2,(YEAR(B2919)-YEAR(parametros!$C$2))*12+MONTH(B2919)-MONTH(parametros!$C$2)&gt;59),"Fora dos ciclos","C"&amp;INT(((YEAR(B2919)-YEAR(parametros!$C$2))*12+MONTH(B2919)-MONTH(parametros!$C$2))/12)))))</f>
        <v/>
      </c>
      <c r="D2919" s="394"/>
      <c r="E2919" s="78" t="str">
        <f>IF(C2919="","",IFERROR(VLOOKUP(C2919,parametros!$A$11:$E$15,5,0),""))</f>
        <v/>
      </c>
      <c r="F2919" s="79" t="str">
        <f t="shared" si="227"/>
        <v/>
      </c>
      <c r="G2919" s="395"/>
      <c r="H2919" s="91">
        <f t="shared" si="228"/>
        <v>0</v>
      </c>
      <c r="I2919" s="91" t="str">
        <f t="shared" si="229"/>
        <v/>
      </c>
      <c r="J2919" s="91" t="str">
        <f t="shared" si="230"/>
        <v/>
      </c>
      <c r="K2919" s="92" t="str">
        <f>IF(AND(A2919="",B2919="",D2919="",G2919=""),"",IF(AND(A2919&lt;&gt;"",COUNTIF($A$2:$A$5001,A2919)&gt;1),"NUMERO_PC duplicado",IF(B2919="","DATA_PC vazia",IF(NOT(ISNUMBER(B2919)),"DATA_PC invalida",IF(OR(C2919="",C2919="Fora dos ciclos"),"CICLO_PC nao identificado",IF(OR(D2919="",D2919=0),"VALOR_PC vazio ou zero",IF(AND(G2919&lt;&gt;"Sim",G2919&lt;&gt;"Nao",G2919&lt;&gt;""),"PC_PAGO_A_CONTRATADA invalido",IF(AND(C2919&lt;&gt;"C0",IFERROR(INDEX(parametros!$A$2:$A$6,MATCH(C2919,parametros!$B$2:$B$6,0)),"")="Sim",IFERROR(INDEX(parametros!$H$2:$H$6,MATCH(C2919,parametros!$B$2:$B$6,0)),"")=""),"INICIO_EFEITO ausente: PC "&amp;A2919&amp;" - "&amp;C2919,IF(L2919="","EFEITO_PC nao calculado: PC "&amp;A2919&amp;" - "&amp;C2919,"OK")))))))))</f>
        <v/>
      </c>
      <c r="L2919" s="92" t="str">
        <f>IF(AND(A2919="",B2919="",D2919="",G2919=""),"",IF(OR(B2919="",NOT(ISNUMBER(B2919)),C2919="",C2919="Fora dos ciclos"),"",IF(C2919="C0","Nao",IF(IFERROR(INDEX(parametros!$A$2:$A$6,MATCH(C2919,parametros!$B$2:$B$6,0)),"")&lt;&gt;"Sim","Nao",IF(IFERROR(INDEX(parametros!$H$2:$H$6,MATCH(C2919,parametros!$B$2:$B$6,0)),"")="","",IF(B2919&gt;=IFERROR(INDEX(parametros!$H$2:$H$6,MATCH(C2919,parametros!$B$2:$B$6,0)),""),"Sim","Nao"))))))</f>
        <v/>
      </c>
      <c r="T2919" s="156"/>
      <c r="U2919" s="214" t="str">
        <f t="shared" si="231"/>
        <v/>
      </c>
      <c r="V2919" s="212" t="s">
        <v>50</v>
      </c>
      <c r="W2919" s="100" t="s">
        <v>168</v>
      </c>
      <c r="X2919" s="100" t="s">
        <v>169</v>
      </c>
      <c r="Y2919" s="101" t="s">
        <v>170</v>
      </c>
      <c r="Z2919" s="101" t="s">
        <v>171</v>
      </c>
      <c r="AA2919" s="101" t="s">
        <v>50</v>
      </c>
      <c r="AB2919" s="101" t="s">
        <v>172</v>
      </c>
      <c r="AC2919" s="102" t="s">
        <v>173</v>
      </c>
    </row>
    <row r="2920" spans="1:29" ht="25.5" customHeight="1" x14ac:dyDescent="0.35">
      <c r="A2920" s="392"/>
      <c r="B2920" s="393"/>
      <c r="C2920" s="99" t="str">
        <f>IF(B2920="","",IF(NOT(ISNUMBER(B2920)),"DATA_PC invalida",IF(NOT(ISNUMBER(parametros!$C$2)),"Fora dos ciclos",IF(OR(B2920&lt;parametros!$C$2,(YEAR(B2920)-YEAR(parametros!$C$2))*12+MONTH(B2920)-MONTH(parametros!$C$2)&gt;59),"Fora dos ciclos","C"&amp;INT(((YEAR(B2920)-YEAR(parametros!$C$2))*12+MONTH(B2920)-MONTH(parametros!$C$2))/12)))))</f>
        <v/>
      </c>
      <c r="D2920" s="394"/>
      <c r="E2920" s="78" t="str">
        <f>IF(C2920="","",IFERROR(VLOOKUP(C2920,parametros!$A$11:$E$15,5,0),""))</f>
        <v/>
      </c>
      <c r="F2920" s="79" t="str">
        <f t="shared" si="227"/>
        <v/>
      </c>
      <c r="G2920" s="395"/>
      <c r="H2920" s="91">
        <f t="shared" si="228"/>
        <v>0</v>
      </c>
      <c r="I2920" s="91" t="str">
        <f t="shared" si="229"/>
        <v/>
      </c>
      <c r="J2920" s="91" t="str">
        <f t="shared" si="230"/>
        <v/>
      </c>
      <c r="K2920" s="92" t="str">
        <f>IF(AND(A2920="",B2920="",D2920="",G2920=""),"",IF(AND(A2920&lt;&gt;"",COUNTIF($A$2:$A$5001,A2920)&gt;1),"NUMERO_PC duplicado",IF(B2920="","DATA_PC vazia",IF(NOT(ISNUMBER(B2920)),"DATA_PC invalida",IF(OR(C2920="",C2920="Fora dos ciclos"),"CICLO_PC nao identificado",IF(OR(D2920="",D2920=0),"VALOR_PC vazio ou zero",IF(AND(G2920&lt;&gt;"Sim",G2920&lt;&gt;"Nao",G2920&lt;&gt;""),"PC_PAGO_A_CONTRATADA invalido",IF(AND(C2920&lt;&gt;"C0",IFERROR(INDEX(parametros!$A$2:$A$6,MATCH(C2920,parametros!$B$2:$B$6,0)),"")="Sim",IFERROR(INDEX(parametros!$H$2:$H$6,MATCH(C2920,parametros!$B$2:$B$6,0)),"")=""),"INICIO_EFEITO ausente: PC "&amp;A2920&amp;" - "&amp;C2920,IF(L2920="","EFEITO_PC nao calculado: PC "&amp;A2920&amp;" - "&amp;C2920,"OK")))))))))</f>
        <v/>
      </c>
      <c r="L2920" s="92" t="str">
        <f>IF(AND(A2920="",B2920="",D2920="",G2920=""),"",IF(OR(B2920="",NOT(ISNUMBER(B2920)),C2920="",C2920="Fora dos ciclos"),"",IF(C2920="C0","Nao",IF(IFERROR(INDEX(parametros!$A$2:$A$6,MATCH(C2920,parametros!$B$2:$B$6,0)),"")&lt;&gt;"Sim","Nao",IF(IFERROR(INDEX(parametros!$H$2:$H$6,MATCH(C2920,parametros!$B$2:$B$6,0)),"")="","",IF(B2920&gt;=IFERROR(INDEX(parametros!$H$2:$H$6,MATCH(C2920,parametros!$B$2:$B$6,0)),""),"Sim","Nao"))))))</f>
        <v/>
      </c>
      <c r="T2920" s="156"/>
      <c r="U2920" s="214" t="str">
        <f t="shared" si="231"/>
        <v/>
      </c>
      <c r="V2920" s="212" t="s">
        <v>50</v>
      </c>
      <c r="W2920" s="100" t="s">
        <v>168</v>
      </c>
      <c r="X2920" s="100" t="s">
        <v>169</v>
      </c>
      <c r="Y2920" s="101" t="s">
        <v>170</v>
      </c>
      <c r="Z2920" s="101" t="s">
        <v>171</v>
      </c>
      <c r="AA2920" s="101" t="s">
        <v>50</v>
      </c>
      <c r="AB2920" s="101" t="s">
        <v>172</v>
      </c>
      <c r="AC2920" s="102" t="s">
        <v>173</v>
      </c>
    </row>
    <row r="2921" spans="1:29" ht="25.5" customHeight="1" x14ac:dyDescent="0.35">
      <c r="A2921" s="392"/>
      <c r="B2921" s="393"/>
      <c r="C2921" s="99" t="str">
        <f>IF(B2921="","",IF(NOT(ISNUMBER(B2921)),"DATA_PC invalida",IF(NOT(ISNUMBER(parametros!$C$2)),"Fora dos ciclos",IF(OR(B2921&lt;parametros!$C$2,(YEAR(B2921)-YEAR(parametros!$C$2))*12+MONTH(B2921)-MONTH(parametros!$C$2)&gt;59),"Fora dos ciclos","C"&amp;INT(((YEAR(B2921)-YEAR(parametros!$C$2))*12+MONTH(B2921)-MONTH(parametros!$C$2))/12)))))</f>
        <v/>
      </c>
      <c r="D2921" s="394"/>
      <c r="E2921" s="78" t="str">
        <f>IF(C2921="","",IFERROR(VLOOKUP(C2921,parametros!$A$11:$E$15,5,0),""))</f>
        <v/>
      </c>
      <c r="F2921" s="79" t="str">
        <f t="shared" si="227"/>
        <v/>
      </c>
      <c r="G2921" s="395"/>
      <c r="H2921" s="91">
        <f t="shared" si="228"/>
        <v>0</v>
      </c>
      <c r="I2921" s="91" t="str">
        <f t="shared" si="229"/>
        <v/>
      </c>
      <c r="J2921" s="91" t="str">
        <f t="shared" si="230"/>
        <v/>
      </c>
      <c r="K2921" s="92" t="str">
        <f>IF(AND(A2921="",B2921="",D2921="",G2921=""),"",IF(AND(A2921&lt;&gt;"",COUNTIF($A$2:$A$5001,A2921)&gt;1),"NUMERO_PC duplicado",IF(B2921="","DATA_PC vazia",IF(NOT(ISNUMBER(B2921)),"DATA_PC invalida",IF(OR(C2921="",C2921="Fora dos ciclos"),"CICLO_PC nao identificado",IF(OR(D2921="",D2921=0),"VALOR_PC vazio ou zero",IF(AND(G2921&lt;&gt;"Sim",G2921&lt;&gt;"Nao",G2921&lt;&gt;""),"PC_PAGO_A_CONTRATADA invalido",IF(AND(C2921&lt;&gt;"C0",IFERROR(INDEX(parametros!$A$2:$A$6,MATCH(C2921,parametros!$B$2:$B$6,0)),"")="Sim",IFERROR(INDEX(parametros!$H$2:$H$6,MATCH(C2921,parametros!$B$2:$B$6,0)),"")=""),"INICIO_EFEITO ausente: PC "&amp;A2921&amp;" - "&amp;C2921,IF(L2921="","EFEITO_PC nao calculado: PC "&amp;A2921&amp;" - "&amp;C2921,"OK")))))))))</f>
        <v/>
      </c>
      <c r="L2921" s="92" t="str">
        <f>IF(AND(A2921="",B2921="",D2921="",G2921=""),"",IF(OR(B2921="",NOT(ISNUMBER(B2921)),C2921="",C2921="Fora dos ciclos"),"",IF(C2921="C0","Nao",IF(IFERROR(INDEX(parametros!$A$2:$A$6,MATCH(C2921,parametros!$B$2:$B$6,0)),"")&lt;&gt;"Sim","Nao",IF(IFERROR(INDEX(parametros!$H$2:$H$6,MATCH(C2921,parametros!$B$2:$B$6,0)),"")="","",IF(B2921&gt;=IFERROR(INDEX(parametros!$H$2:$H$6,MATCH(C2921,parametros!$B$2:$B$6,0)),""),"Sim","Nao"))))))</f>
        <v/>
      </c>
      <c r="T2921" s="156"/>
      <c r="U2921" s="214" t="str">
        <f t="shared" si="231"/>
        <v/>
      </c>
      <c r="V2921" s="212" t="s">
        <v>50</v>
      </c>
      <c r="W2921" s="100" t="s">
        <v>168</v>
      </c>
      <c r="X2921" s="100" t="s">
        <v>169</v>
      </c>
      <c r="Y2921" s="101" t="s">
        <v>170</v>
      </c>
      <c r="Z2921" s="101" t="s">
        <v>171</v>
      </c>
      <c r="AA2921" s="101" t="s">
        <v>50</v>
      </c>
      <c r="AB2921" s="101" t="s">
        <v>172</v>
      </c>
      <c r="AC2921" s="102" t="s">
        <v>173</v>
      </c>
    </row>
    <row r="2922" spans="1:29" ht="25.5" customHeight="1" x14ac:dyDescent="0.35">
      <c r="A2922" s="392"/>
      <c r="B2922" s="393"/>
      <c r="C2922" s="99" t="str">
        <f>IF(B2922="","",IF(NOT(ISNUMBER(B2922)),"DATA_PC invalida",IF(NOT(ISNUMBER(parametros!$C$2)),"Fora dos ciclos",IF(OR(B2922&lt;parametros!$C$2,(YEAR(B2922)-YEAR(parametros!$C$2))*12+MONTH(B2922)-MONTH(parametros!$C$2)&gt;59),"Fora dos ciclos","C"&amp;INT(((YEAR(B2922)-YEAR(parametros!$C$2))*12+MONTH(B2922)-MONTH(parametros!$C$2))/12)))))</f>
        <v/>
      </c>
      <c r="D2922" s="394"/>
      <c r="E2922" s="78" t="str">
        <f>IF(C2922="","",IFERROR(VLOOKUP(C2922,parametros!$A$11:$E$15,5,0),""))</f>
        <v/>
      </c>
      <c r="F2922" s="79" t="str">
        <f t="shared" si="227"/>
        <v/>
      </c>
      <c r="G2922" s="395"/>
      <c r="H2922" s="91">
        <f t="shared" si="228"/>
        <v>0</v>
      </c>
      <c r="I2922" s="91" t="str">
        <f t="shared" si="229"/>
        <v/>
      </c>
      <c r="J2922" s="91" t="str">
        <f t="shared" si="230"/>
        <v/>
      </c>
      <c r="K2922" s="92" t="str">
        <f>IF(AND(A2922="",B2922="",D2922="",G2922=""),"",IF(AND(A2922&lt;&gt;"",COUNTIF($A$2:$A$5001,A2922)&gt;1),"NUMERO_PC duplicado",IF(B2922="","DATA_PC vazia",IF(NOT(ISNUMBER(B2922)),"DATA_PC invalida",IF(OR(C2922="",C2922="Fora dos ciclos"),"CICLO_PC nao identificado",IF(OR(D2922="",D2922=0),"VALOR_PC vazio ou zero",IF(AND(G2922&lt;&gt;"Sim",G2922&lt;&gt;"Nao",G2922&lt;&gt;""),"PC_PAGO_A_CONTRATADA invalido",IF(AND(C2922&lt;&gt;"C0",IFERROR(INDEX(parametros!$A$2:$A$6,MATCH(C2922,parametros!$B$2:$B$6,0)),"")="Sim",IFERROR(INDEX(parametros!$H$2:$H$6,MATCH(C2922,parametros!$B$2:$B$6,0)),"")=""),"INICIO_EFEITO ausente: PC "&amp;A2922&amp;" - "&amp;C2922,IF(L2922="","EFEITO_PC nao calculado: PC "&amp;A2922&amp;" - "&amp;C2922,"OK")))))))))</f>
        <v/>
      </c>
      <c r="L2922" s="92" t="str">
        <f>IF(AND(A2922="",B2922="",D2922="",G2922=""),"",IF(OR(B2922="",NOT(ISNUMBER(B2922)),C2922="",C2922="Fora dos ciclos"),"",IF(C2922="C0","Nao",IF(IFERROR(INDEX(parametros!$A$2:$A$6,MATCH(C2922,parametros!$B$2:$B$6,0)),"")&lt;&gt;"Sim","Nao",IF(IFERROR(INDEX(parametros!$H$2:$H$6,MATCH(C2922,parametros!$B$2:$B$6,0)),"")="","",IF(B2922&gt;=IFERROR(INDEX(parametros!$H$2:$H$6,MATCH(C2922,parametros!$B$2:$B$6,0)),""),"Sim","Nao"))))))</f>
        <v/>
      </c>
      <c r="T2922" s="156"/>
      <c r="U2922" s="214" t="str">
        <f t="shared" si="231"/>
        <v/>
      </c>
      <c r="V2922" s="212" t="s">
        <v>50</v>
      </c>
      <c r="W2922" s="100" t="s">
        <v>168</v>
      </c>
      <c r="X2922" s="100" t="s">
        <v>169</v>
      </c>
      <c r="Y2922" s="101" t="s">
        <v>170</v>
      </c>
      <c r="Z2922" s="101" t="s">
        <v>171</v>
      </c>
      <c r="AA2922" s="101" t="s">
        <v>50</v>
      </c>
      <c r="AB2922" s="101" t="s">
        <v>172</v>
      </c>
      <c r="AC2922" s="102" t="s">
        <v>173</v>
      </c>
    </row>
    <row r="2923" spans="1:29" ht="25.5" customHeight="1" x14ac:dyDescent="0.35">
      <c r="A2923" s="392"/>
      <c r="B2923" s="393"/>
      <c r="C2923" s="99" t="str">
        <f>IF(B2923="","",IF(NOT(ISNUMBER(B2923)),"DATA_PC invalida",IF(NOT(ISNUMBER(parametros!$C$2)),"Fora dos ciclos",IF(OR(B2923&lt;parametros!$C$2,(YEAR(B2923)-YEAR(parametros!$C$2))*12+MONTH(B2923)-MONTH(parametros!$C$2)&gt;59),"Fora dos ciclos","C"&amp;INT(((YEAR(B2923)-YEAR(parametros!$C$2))*12+MONTH(B2923)-MONTH(parametros!$C$2))/12)))))</f>
        <v/>
      </c>
      <c r="D2923" s="394"/>
      <c r="E2923" s="78" t="str">
        <f>IF(C2923="","",IFERROR(VLOOKUP(C2923,parametros!$A$11:$E$15,5,0),""))</f>
        <v/>
      </c>
      <c r="F2923" s="79" t="str">
        <f t="shared" si="227"/>
        <v/>
      </c>
      <c r="G2923" s="395"/>
      <c r="H2923" s="91">
        <f t="shared" si="228"/>
        <v>0</v>
      </c>
      <c r="I2923" s="91" t="str">
        <f t="shared" si="229"/>
        <v/>
      </c>
      <c r="J2923" s="91" t="str">
        <f t="shared" si="230"/>
        <v/>
      </c>
      <c r="K2923" s="92" t="str">
        <f>IF(AND(A2923="",B2923="",D2923="",G2923=""),"",IF(AND(A2923&lt;&gt;"",COUNTIF($A$2:$A$5001,A2923)&gt;1),"NUMERO_PC duplicado",IF(B2923="","DATA_PC vazia",IF(NOT(ISNUMBER(B2923)),"DATA_PC invalida",IF(OR(C2923="",C2923="Fora dos ciclos"),"CICLO_PC nao identificado",IF(OR(D2923="",D2923=0),"VALOR_PC vazio ou zero",IF(AND(G2923&lt;&gt;"Sim",G2923&lt;&gt;"Nao",G2923&lt;&gt;""),"PC_PAGO_A_CONTRATADA invalido",IF(AND(C2923&lt;&gt;"C0",IFERROR(INDEX(parametros!$A$2:$A$6,MATCH(C2923,parametros!$B$2:$B$6,0)),"")="Sim",IFERROR(INDEX(parametros!$H$2:$H$6,MATCH(C2923,parametros!$B$2:$B$6,0)),"")=""),"INICIO_EFEITO ausente: PC "&amp;A2923&amp;" - "&amp;C2923,IF(L2923="","EFEITO_PC nao calculado: PC "&amp;A2923&amp;" - "&amp;C2923,"OK")))))))))</f>
        <v/>
      </c>
      <c r="L2923" s="92" t="str">
        <f>IF(AND(A2923="",B2923="",D2923="",G2923=""),"",IF(OR(B2923="",NOT(ISNUMBER(B2923)),C2923="",C2923="Fora dos ciclos"),"",IF(C2923="C0","Nao",IF(IFERROR(INDEX(parametros!$A$2:$A$6,MATCH(C2923,parametros!$B$2:$B$6,0)),"")&lt;&gt;"Sim","Nao",IF(IFERROR(INDEX(parametros!$H$2:$H$6,MATCH(C2923,parametros!$B$2:$B$6,0)),"")="","",IF(B2923&gt;=IFERROR(INDEX(parametros!$H$2:$H$6,MATCH(C2923,parametros!$B$2:$B$6,0)),""),"Sim","Nao"))))))</f>
        <v/>
      </c>
      <c r="T2923" s="156"/>
      <c r="U2923" s="214" t="str">
        <f t="shared" si="231"/>
        <v/>
      </c>
      <c r="V2923" s="212" t="s">
        <v>50</v>
      </c>
      <c r="W2923" s="100" t="s">
        <v>168</v>
      </c>
      <c r="X2923" s="100" t="s">
        <v>169</v>
      </c>
      <c r="Y2923" s="101" t="s">
        <v>170</v>
      </c>
      <c r="Z2923" s="101" t="s">
        <v>171</v>
      </c>
      <c r="AA2923" s="101" t="s">
        <v>50</v>
      </c>
      <c r="AB2923" s="101" t="s">
        <v>172</v>
      </c>
      <c r="AC2923" s="102" t="s">
        <v>173</v>
      </c>
    </row>
    <row r="2924" spans="1:29" ht="25.5" customHeight="1" x14ac:dyDescent="0.35">
      <c r="A2924" s="392"/>
      <c r="B2924" s="393"/>
      <c r="C2924" s="99" t="str">
        <f>IF(B2924="","",IF(NOT(ISNUMBER(B2924)),"DATA_PC invalida",IF(NOT(ISNUMBER(parametros!$C$2)),"Fora dos ciclos",IF(OR(B2924&lt;parametros!$C$2,(YEAR(B2924)-YEAR(parametros!$C$2))*12+MONTH(B2924)-MONTH(parametros!$C$2)&gt;59),"Fora dos ciclos","C"&amp;INT(((YEAR(B2924)-YEAR(parametros!$C$2))*12+MONTH(B2924)-MONTH(parametros!$C$2))/12)))))</f>
        <v/>
      </c>
      <c r="D2924" s="394"/>
      <c r="E2924" s="78" t="str">
        <f>IF(C2924="","",IFERROR(VLOOKUP(C2924,parametros!$A$11:$E$15,5,0),""))</f>
        <v/>
      </c>
      <c r="F2924" s="79" t="str">
        <f t="shared" si="227"/>
        <v/>
      </c>
      <c r="G2924" s="395"/>
      <c r="H2924" s="91">
        <f t="shared" si="228"/>
        <v>0</v>
      </c>
      <c r="I2924" s="91" t="str">
        <f t="shared" si="229"/>
        <v/>
      </c>
      <c r="J2924" s="91" t="str">
        <f t="shared" si="230"/>
        <v/>
      </c>
      <c r="K2924" s="92" t="str">
        <f>IF(AND(A2924="",B2924="",D2924="",G2924=""),"",IF(AND(A2924&lt;&gt;"",COUNTIF($A$2:$A$5001,A2924)&gt;1),"NUMERO_PC duplicado",IF(B2924="","DATA_PC vazia",IF(NOT(ISNUMBER(B2924)),"DATA_PC invalida",IF(OR(C2924="",C2924="Fora dos ciclos"),"CICLO_PC nao identificado",IF(OR(D2924="",D2924=0),"VALOR_PC vazio ou zero",IF(AND(G2924&lt;&gt;"Sim",G2924&lt;&gt;"Nao",G2924&lt;&gt;""),"PC_PAGO_A_CONTRATADA invalido",IF(AND(C2924&lt;&gt;"C0",IFERROR(INDEX(parametros!$A$2:$A$6,MATCH(C2924,parametros!$B$2:$B$6,0)),"")="Sim",IFERROR(INDEX(parametros!$H$2:$H$6,MATCH(C2924,parametros!$B$2:$B$6,0)),"")=""),"INICIO_EFEITO ausente: PC "&amp;A2924&amp;" - "&amp;C2924,IF(L2924="","EFEITO_PC nao calculado: PC "&amp;A2924&amp;" - "&amp;C2924,"OK")))))))))</f>
        <v/>
      </c>
      <c r="L2924" s="92" t="str">
        <f>IF(AND(A2924="",B2924="",D2924="",G2924=""),"",IF(OR(B2924="",NOT(ISNUMBER(B2924)),C2924="",C2924="Fora dos ciclos"),"",IF(C2924="C0","Nao",IF(IFERROR(INDEX(parametros!$A$2:$A$6,MATCH(C2924,parametros!$B$2:$B$6,0)),"")&lt;&gt;"Sim","Nao",IF(IFERROR(INDEX(parametros!$H$2:$H$6,MATCH(C2924,parametros!$B$2:$B$6,0)),"")="","",IF(B2924&gt;=IFERROR(INDEX(parametros!$H$2:$H$6,MATCH(C2924,parametros!$B$2:$B$6,0)),""),"Sim","Nao"))))))</f>
        <v/>
      </c>
      <c r="T2924" s="156"/>
      <c r="U2924" s="214" t="str">
        <f t="shared" si="231"/>
        <v/>
      </c>
      <c r="V2924" s="212" t="s">
        <v>50</v>
      </c>
      <c r="W2924" s="100" t="s">
        <v>168</v>
      </c>
      <c r="X2924" s="100" t="s">
        <v>169</v>
      </c>
      <c r="Y2924" s="101" t="s">
        <v>170</v>
      </c>
      <c r="Z2924" s="101" t="s">
        <v>171</v>
      </c>
      <c r="AA2924" s="101" t="s">
        <v>50</v>
      </c>
      <c r="AB2924" s="101" t="s">
        <v>172</v>
      </c>
      <c r="AC2924" s="102" t="s">
        <v>173</v>
      </c>
    </row>
    <row r="2925" spans="1:29" ht="25.5" customHeight="1" x14ac:dyDescent="0.35">
      <c r="A2925" s="392"/>
      <c r="B2925" s="393"/>
      <c r="C2925" s="99" t="str">
        <f>IF(B2925="","",IF(NOT(ISNUMBER(B2925)),"DATA_PC invalida",IF(NOT(ISNUMBER(parametros!$C$2)),"Fora dos ciclos",IF(OR(B2925&lt;parametros!$C$2,(YEAR(B2925)-YEAR(parametros!$C$2))*12+MONTH(B2925)-MONTH(parametros!$C$2)&gt;59),"Fora dos ciclos","C"&amp;INT(((YEAR(B2925)-YEAR(parametros!$C$2))*12+MONTH(B2925)-MONTH(parametros!$C$2))/12)))))</f>
        <v/>
      </c>
      <c r="D2925" s="394"/>
      <c r="E2925" s="78" t="str">
        <f>IF(C2925="","",IFERROR(VLOOKUP(C2925,parametros!$A$11:$E$15,5,0),""))</f>
        <v/>
      </c>
      <c r="F2925" s="79" t="str">
        <f t="shared" si="227"/>
        <v/>
      </c>
      <c r="G2925" s="395"/>
      <c r="H2925" s="91">
        <f t="shared" si="228"/>
        <v>0</v>
      </c>
      <c r="I2925" s="91" t="str">
        <f t="shared" si="229"/>
        <v/>
      </c>
      <c r="J2925" s="91" t="str">
        <f t="shared" si="230"/>
        <v/>
      </c>
      <c r="K2925" s="92" t="str">
        <f>IF(AND(A2925="",B2925="",D2925="",G2925=""),"",IF(AND(A2925&lt;&gt;"",COUNTIF($A$2:$A$5001,A2925)&gt;1),"NUMERO_PC duplicado",IF(B2925="","DATA_PC vazia",IF(NOT(ISNUMBER(B2925)),"DATA_PC invalida",IF(OR(C2925="",C2925="Fora dos ciclos"),"CICLO_PC nao identificado",IF(OR(D2925="",D2925=0),"VALOR_PC vazio ou zero",IF(AND(G2925&lt;&gt;"Sim",G2925&lt;&gt;"Nao",G2925&lt;&gt;""),"PC_PAGO_A_CONTRATADA invalido",IF(AND(C2925&lt;&gt;"C0",IFERROR(INDEX(parametros!$A$2:$A$6,MATCH(C2925,parametros!$B$2:$B$6,0)),"")="Sim",IFERROR(INDEX(parametros!$H$2:$H$6,MATCH(C2925,parametros!$B$2:$B$6,0)),"")=""),"INICIO_EFEITO ausente: PC "&amp;A2925&amp;" - "&amp;C2925,IF(L2925="","EFEITO_PC nao calculado: PC "&amp;A2925&amp;" - "&amp;C2925,"OK")))))))))</f>
        <v/>
      </c>
      <c r="L2925" s="92" t="str">
        <f>IF(AND(A2925="",B2925="",D2925="",G2925=""),"",IF(OR(B2925="",NOT(ISNUMBER(B2925)),C2925="",C2925="Fora dos ciclos"),"",IF(C2925="C0","Nao",IF(IFERROR(INDEX(parametros!$A$2:$A$6,MATCH(C2925,parametros!$B$2:$B$6,0)),"")&lt;&gt;"Sim","Nao",IF(IFERROR(INDEX(parametros!$H$2:$H$6,MATCH(C2925,parametros!$B$2:$B$6,0)),"")="","",IF(B2925&gt;=IFERROR(INDEX(parametros!$H$2:$H$6,MATCH(C2925,parametros!$B$2:$B$6,0)),""),"Sim","Nao"))))))</f>
        <v/>
      </c>
      <c r="T2925" s="156"/>
      <c r="U2925" s="214" t="str">
        <f t="shared" si="231"/>
        <v/>
      </c>
      <c r="V2925" s="212" t="s">
        <v>50</v>
      </c>
      <c r="W2925" s="100" t="s">
        <v>168</v>
      </c>
      <c r="X2925" s="100" t="s">
        <v>169</v>
      </c>
      <c r="Y2925" s="101" t="s">
        <v>170</v>
      </c>
      <c r="Z2925" s="101" t="s">
        <v>171</v>
      </c>
      <c r="AA2925" s="101" t="s">
        <v>50</v>
      </c>
      <c r="AB2925" s="101" t="s">
        <v>172</v>
      </c>
      <c r="AC2925" s="102" t="s">
        <v>173</v>
      </c>
    </row>
    <row r="2926" spans="1:29" ht="25.5" customHeight="1" x14ac:dyDescent="0.35">
      <c r="A2926" s="392"/>
      <c r="B2926" s="393"/>
      <c r="C2926" s="99" t="str">
        <f>IF(B2926="","",IF(NOT(ISNUMBER(B2926)),"DATA_PC invalida",IF(NOT(ISNUMBER(parametros!$C$2)),"Fora dos ciclos",IF(OR(B2926&lt;parametros!$C$2,(YEAR(B2926)-YEAR(parametros!$C$2))*12+MONTH(B2926)-MONTH(parametros!$C$2)&gt;59),"Fora dos ciclos","C"&amp;INT(((YEAR(B2926)-YEAR(parametros!$C$2))*12+MONTH(B2926)-MONTH(parametros!$C$2))/12)))))</f>
        <v/>
      </c>
      <c r="D2926" s="394"/>
      <c r="E2926" s="78" t="str">
        <f>IF(C2926="","",IFERROR(VLOOKUP(C2926,parametros!$A$11:$E$15,5,0),""))</f>
        <v/>
      </c>
      <c r="F2926" s="79" t="str">
        <f t="shared" si="227"/>
        <v/>
      </c>
      <c r="G2926" s="395"/>
      <c r="H2926" s="91">
        <f t="shared" si="228"/>
        <v>0</v>
      </c>
      <c r="I2926" s="91" t="str">
        <f t="shared" si="229"/>
        <v/>
      </c>
      <c r="J2926" s="91" t="str">
        <f t="shared" si="230"/>
        <v/>
      </c>
      <c r="K2926" s="92" t="str">
        <f>IF(AND(A2926="",B2926="",D2926="",G2926=""),"",IF(AND(A2926&lt;&gt;"",COUNTIF($A$2:$A$5001,A2926)&gt;1),"NUMERO_PC duplicado",IF(B2926="","DATA_PC vazia",IF(NOT(ISNUMBER(B2926)),"DATA_PC invalida",IF(OR(C2926="",C2926="Fora dos ciclos"),"CICLO_PC nao identificado",IF(OR(D2926="",D2926=0),"VALOR_PC vazio ou zero",IF(AND(G2926&lt;&gt;"Sim",G2926&lt;&gt;"Nao",G2926&lt;&gt;""),"PC_PAGO_A_CONTRATADA invalido",IF(AND(C2926&lt;&gt;"C0",IFERROR(INDEX(parametros!$A$2:$A$6,MATCH(C2926,parametros!$B$2:$B$6,0)),"")="Sim",IFERROR(INDEX(parametros!$H$2:$H$6,MATCH(C2926,parametros!$B$2:$B$6,0)),"")=""),"INICIO_EFEITO ausente: PC "&amp;A2926&amp;" - "&amp;C2926,IF(L2926="","EFEITO_PC nao calculado: PC "&amp;A2926&amp;" - "&amp;C2926,"OK")))))))))</f>
        <v/>
      </c>
      <c r="L2926" s="92" t="str">
        <f>IF(AND(A2926="",B2926="",D2926="",G2926=""),"",IF(OR(B2926="",NOT(ISNUMBER(B2926)),C2926="",C2926="Fora dos ciclos"),"",IF(C2926="C0","Nao",IF(IFERROR(INDEX(parametros!$A$2:$A$6,MATCH(C2926,parametros!$B$2:$B$6,0)),"")&lt;&gt;"Sim","Nao",IF(IFERROR(INDEX(parametros!$H$2:$H$6,MATCH(C2926,parametros!$B$2:$B$6,0)),"")="","",IF(B2926&gt;=IFERROR(INDEX(parametros!$H$2:$H$6,MATCH(C2926,parametros!$B$2:$B$6,0)),""),"Sim","Nao"))))))</f>
        <v/>
      </c>
      <c r="T2926" s="156"/>
      <c r="U2926" s="214" t="str">
        <f t="shared" si="231"/>
        <v/>
      </c>
      <c r="V2926" s="212" t="s">
        <v>50</v>
      </c>
      <c r="W2926" s="100" t="s">
        <v>168</v>
      </c>
      <c r="X2926" s="100" t="s">
        <v>169</v>
      </c>
      <c r="Y2926" s="101" t="s">
        <v>170</v>
      </c>
      <c r="Z2926" s="101" t="s">
        <v>171</v>
      </c>
      <c r="AA2926" s="101" t="s">
        <v>50</v>
      </c>
      <c r="AB2926" s="101" t="s">
        <v>172</v>
      </c>
      <c r="AC2926" s="102" t="s">
        <v>173</v>
      </c>
    </row>
    <row r="2927" spans="1:29" ht="25.5" customHeight="1" x14ac:dyDescent="0.35">
      <c r="A2927" s="392"/>
      <c r="B2927" s="393"/>
      <c r="C2927" s="99" t="str">
        <f>IF(B2927="","",IF(NOT(ISNUMBER(B2927)),"DATA_PC invalida",IF(NOT(ISNUMBER(parametros!$C$2)),"Fora dos ciclos",IF(OR(B2927&lt;parametros!$C$2,(YEAR(B2927)-YEAR(parametros!$C$2))*12+MONTH(B2927)-MONTH(parametros!$C$2)&gt;59),"Fora dos ciclos","C"&amp;INT(((YEAR(B2927)-YEAR(parametros!$C$2))*12+MONTH(B2927)-MONTH(parametros!$C$2))/12)))))</f>
        <v/>
      </c>
      <c r="D2927" s="394"/>
      <c r="E2927" s="78" t="str">
        <f>IF(C2927="","",IFERROR(VLOOKUP(C2927,parametros!$A$11:$E$15,5,0),""))</f>
        <v/>
      </c>
      <c r="F2927" s="79" t="str">
        <f t="shared" si="227"/>
        <v/>
      </c>
      <c r="G2927" s="395"/>
      <c r="H2927" s="91">
        <f t="shared" si="228"/>
        <v>0</v>
      </c>
      <c r="I2927" s="91" t="str">
        <f t="shared" si="229"/>
        <v/>
      </c>
      <c r="J2927" s="91" t="str">
        <f t="shared" si="230"/>
        <v/>
      </c>
      <c r="K2927" s="92" t="str">
        <f>IF(AND(A2927="",B2927="",D2927="",G2927=""),"",IF(AND(A2927&lt;&gt;"",COUNTIF($A$2:$A$5001,A2927)&gt;1),"NUMERO_PC duplicado",IF(B2927="","DATA_PC vazia",IF(NOT(ISNUMBER(B2927)),"DATA_PC invalida",IF(OR(C2927="",C2927="Fora dos ciclos"),"CICLO_PC nao identificado",IF(OR(D2927="",D2927=0),"VALOR_PC vazio ou zero",IF(AND(G2927&lt;&gt;"Sim",G2927&lt;&gt;"Nao",G2927&lt;&gt;""),"PC_PAGO_A_CONTRATADA invalido",IF(AND(C2927&lt;&gt;"C0",IFERROR(INDEX(parametros!$A$2:$A$6,MATCH(C2927,parametros!$B$2:$B$6,0)),"")="Sim",IFERROR(INDEX(parametros!$H$2:$H$6,MATCH(C2927,parametros!$B$2:$B$6,0)),"")=""),"INICIO_EFEITO ausente: PC "&amp;A2927&amp;" - "&amp;C2927,IF(L2927="","EFEITO_PC nao calculado: PC "&amp;A2927&amp;" - "&amp;C2927,"OK")))))))))</f>
        <v/>
      </c>
      <c r="L2927" s="92" t="str">
        <f>IF(AND(A2927="",B2927="",D2927="",G2927=""),"",IF(OR(B2927="",NOT(ISNUMBER(B2927)),C2927="",C2927="Fora dos ciclos"),"",IF(C2927="C0","Nao",IF(IFERROR(INDEX(parametros!$A$2:$A$6,MATCH(C2927,parametros!$B$2:$B$6,0)),"")&lt;&gt;"Sim","Nao",IF(IFERROR(INDEX(parametros!$H$2:$H$6,MATCH(C2927,parametros!$B$2:$B$6,0)),"")="","",IF(B2927&gt;=IFERROR(INDEX(parametros!$H$2:$H$6,MATCH(C2927,parametros!$B$2:$B$6,0)),""),"Sim","Nao"))))))</f>
        <v/>
      </c>
      <c r="T2927" s="156"/>
      <c r="U2927" s="214" t="str">
        <f t="shared" si="231"/>
        <v/>
      </c>
      <c r="V2927" s="212" t="s">
        <v>50</v>
      </c>
      <c r="W2927" s="100" t="s">
        <v>168</v>
      </c>
      <c r="X2927" s="100" t="s">
        <v>169</v>
      </c>
      <c r="Y2927" s="101" t="s">
        <v>170</v>
      </c>
      <c r="Z2927" s="101" t="s">
        <v>171</v>
      </c>
      <c r="AA2927" s="101" t="s">
        <v>50</v>
      </c>
      <c r="AB2927" s="101" t="s">
        <v>172</v>
      </c>
      <c r="AC2927" s="102" t="s">
        <v>173</v>
      </c>
    </row>
    <row r="2928" spans="1:29" ht="25.5" customHeight="1" x14ac:dyDescent="0.35">
      <c r="A2928" s="392"/>
      <c r="B2928" s="393"/>
      <c r="C2928" s="99" t="str">
        <f>IF(B2928="","",IF(NOT(ISNUMBER(B2928)),"DATA_PC invalida",IF(NOT(ISNUMBER(parametros!$C$2)),"Fora dos ciclos",IF(OR(B2928&lt;parametros!$C$2,(YEAR(B2928)-YEAR(parametros!$C$2))*12+MONTH(B2928)-MONTH(parametros!$C$2)&gt;59),"Fora dos ciclos","C"&amp;INT(((YEAR(B2928)-YEAR(parametros!$C$2))*12+MONTH(B2928)-MONTH(parametros!$C$2))/12)))))</f>
        <v/>
      </c>
      <c r="D2928" s="394"/>
      <c r="E2928" s="78" t="str">
        <f>IF(C2928="","",IFERROR(VLOOKUP(C2928,parametros!$A$11:$E$15,5,0),""))</f>
        <v/>
      </c>
      <c r="F2928" s="79" t="str">
        <f t="shared" si="227"/>
        <v/>
      </c>
      <c r="G2928" s="395"/>
      <c r="H2928" s="91">
        <f t="shared" si="228"/>
        <v>0</v>
      </c>
      <c r="I2928" s="91" t="str">
        <f t="shared" si="229"/>
        <v/>
      </c>
      <c r="J2928" s="91" t="str">
        <f t="shared" si="230"/>
        <v/>
      </c>
      <c r="K2928" s="92" t="str">
        <f>IF(AND(A2928="",B2928="",D2928="",G2928=""),"",IF(AND(A2928&lt;&gt;"",COUNTIF($A$2:$A$5001,A2928)&gt;1),"NUMERO_PC duplicado",IF(B2928="","DATA_PC vazia",IF(NOT(ISNUMBER(B2928)),"DATA_PC invalida",IF(OR(C2928="",C2928="Fora dos ciclos"),"CICLO_PC nao identificado",IF(OR(D2928="",D2928=0),"VALOR_PC vazio ou zero",IF(AND(G2928&lt;&gt;"Sim",G2928&lt;&gt;"Nao",G2928&lt;&gt;""),"PC_PAGO_A_CONTRATADA invalido",IF(AND(C2928&lt;&gt;"C0",IFERROR(INDEX(parametros!$A$2:$A$6,MATCH(C2928,parametros!$B$2:$B$6,0)),"")="Sim",IFERROR(INDEX(parametros!$H$2:$H$6,MATCH(C2928,parametros!$B$2:$B$6,0)),"")=""),"INICIO_EFEITO ausente: PC "&amp;A2928&amp;" - "&amp;C2928,IF(L2928="","EFEITO_PC nao calculado: PC "&amp;A2928&amp;" - "&amp;C2928,"OK")))))))))</f>
        <v/>
      </c>
      <c r="L2928" s="92" t="str">
        <f>IF(AND(A2928="",B2928="",D2928="",G2928=""),"",IF(OR(B2928="",NOT(ISNUMBER(B2928)),C2928="",C2928="Fora dos ciclos"),"",IF(C2928="C0","Nao",IF(IFERROR(INDEX(parametros!$A$2:$A$6,MATCH(C2928,parametros!$B$2:$B$6,0)),"")&lt;&gt;"Sim","Nao",IF(IFERROR(INDEX(parametros!$H$2:$H$6,MATCH(C2928,parametros!$B$2:$B$6,0)),"")="","",IF(B2928&gt;=IFERROR(INDEX(parametros!$H$2:$H$6,MATCH(C2928,parametros!$B$2:$B$6,0)),""),"Sim","Nao"))))))</f>
        <v/>
      </c>
      <c r="T2928" s="156"/>
      <c r="U2928" s="214" t="str">
        <f t="shared" si="231"/>
        <v/>
      </c>
      <c r="V2928" s="212" t="s">
        <v>50</v>
      </c>
      <c r="W2928" s="100" t="s">
        <v>168</v>
      </c>
      <c r="X2928" s="100" t="s">
        <v>169</v>
      </c>
      <c r="Y2928" s="101" t="s">
        <v>170</v>
      </c>
      <c r="Z2928" s="101" t="s">
        <v>171</v>
      </c>
      <c r="AA2928" s="101" t="s">
        <v>50</v>
      </c>
      <c r="AB2928" s="101" t="s">
        <v>172</v>
      </c>
      <c r="AC2928" s="102" t="s">
        <v>173</v>
      </c>
    </row>
    <row r="2929" spans="1:29" ht="25.5" customHeight="1" x14ac:dyDescent="0.35">
      <c r="A2929" s="392"/>
      <c r="B2929" s="393"/>
      <c r="C2929" s="99" t="str">
        <f>IF(B2929="","",IF(NOT(ISNUMBER(B2929)),"DATA_PC invalida",IF(NOT(ISNUMBER(parametros!$C$2)),"Fora dos ciclos",IF(OR(B2929&lt;parametros!$C$2,(YEAR(B2929)-YEAR(parametros!$C$2))*12+MONTH(B2929)-MONTH(parametros!$C$2)&gt;59),"Fora dos ciclos","C"&amp;INT(((YEAR(B2929)-YEAR(parametros!$C$2))*12+MONTH(B2929)-MONTH(parametros!$C$2))/12)))))</f>
        <v/>
      </c>
      <c r="D2929" s="394"/>
      <c r="E2929" s="78" t="str">
        <f>IF(C2929="","",IFERROR(VLOOKUP(C2929,parametros!$A$11:$E$15,5,0),""))</f>
        <v/>
      </c>
      <c r="F2929" s="79" t="str">
        <f t="shared" si="227"/>
        <v/>
      </c>
      <c r="G2929" s="395"/>
      <c r="H2929" s="91">
        <f t="shared" si="228"/>
        <v>0</v>
      </c>
      <c r="I2929" s="91" t="str">
        <f t="shared" si="229"/>
        <v/>
      </c>
      <c r="J2929" s="91" t="str">
        <f t="shared" si="230"/>
        <v/>
      </c>
      <c r="K2929" s="92" t="str">
        <f>IF(AND(A2929="",B2929="",D2929="",G2929=""),"",IF(AND(A2929&lt;&gt;"",COUNTIF($A$2:$A$5001,A2929)&gt;1),"NUMERO_PC duplicado",IF(B2929="","DATA_PC vazia",IF(NOT(ISNUMBER(B2929)),"DATA_PC invalida",IF(OR(C2929="",C2929="Fora dos ciclos"),"CICLO_PC nao identificado",IF(OR(D2929="",D2929=0),"VALOR_PC vazio ou zero",IF(AND(G2929&lt;&gt;"Sim",G2929&lt;&gt;"Nao",G2929&lt;&gt;""),"PC_PAGO_A_CONTRATADA invalido",IF(AND(C2929&lt;&gt;"C0",IFERROR(INDEX(parametros!$A$2:$A$6,MATCH(C2929,parametros!$B$2:$B$6,0)),"")="Sim",IFERROR(INDEX(parametros!$H$2:$H$6,MATCH(C2929,parametros!$B$2:$B$6,0)),"")=""),"INICIO_EFEITO ausente: PC "&amp;A2929&amp;" - "&amp;C2929,IF(L2929="","EFEITO_PC nao calculado: PC "&amp;A2929&amp;" - "&amp;C2929,"OK")))))))))</f>
        <v/>
      </c>
      <c r="L2929" s="92" t="str">
        <f>IF(AND(A2929="",B2929="",D2929="",G2929=""),"",IF(OR(B2929="",NOT(ISNUMBER(B2929)),C2929="",C2929="Fora dos ciclos"),"",IF(C2929="C0","Nao",IF(IFERROR(INDEX(parametros!$A$2:$A$6,MATCH(C2929,parametros!$B$2:$B$6,0)),"")&lt;&gt;"Sim","Nao",IF(IFERROR(INDEX(parametros!$H$2:$H$6,MATCH(C2929,parametros!$B$2:$B$6,0)),"")="","",IF(B2929&gt;=IFERROR(INDEX(parametros!$H$2:$H$6,MATCH(C2929,parametros!$B$2:$B$6,0)),""),"Sim","Nao"))))))</f>
        <v/>
      </c>
      <c r="T2929" s="156"/>
      <c r="U2929" s="214" t="str">
        <f t="shared" si="231"/>
        <v/>
      </c>
      <c r="V2929" s="212" t="s">
        <v>50</v>
      </c>
      <c r="W2929" s="100" t="s">
        <v>168</v>
      </c>
      <c r="X2929" s="100" t="s">
        <v>169</v>
      </c>
      <c r="Y2929" s="101" t="s">
        <v>170</v>
      </c>
      <c r="Z2929" s="101" t="s">
        <v>171</v>
      </c>
      <c r="AA2929" s="101" t="s">
        <v>50</v>
      </c>
      <c r="AB2929" s="101" t="s">
        <v>172</v>
      </c>
      <c r="AC2929" s="102" t="s">
        <v>173</v>
      </c>
    </row>
    <row r="2930" spans="1:29" ht="25.5" customHeight="1" x14ac:dyDescent="0.35">
      <c r="A2930" s="392"/>
      <c r="B2930" s="393"/>
      <c r="C2930" s="99" t="str">
        <f>IF(B2930="","",IF(NOT(ISNUMBER(B2930)),"DATA_PC invalida",IF(NOT(ISNUMBER(parametros!$C$2)),"Fora dos ciclos",IF(OR(B2930&lt;parametros!$C$2,(YEAR(B2930)-YEAR(parametros!$C$2))*12+MONTH(B2930)-MONTH(parametros!$C$2)&gt;59),"Fora dos ciclos","C"&amp;INT(((YEAR(B2930)-YEAR(parametros!$C$2))*12+MONTH(B2930)-MONTH(parametros!$C$2))/12)))))</f>
        <v/>
      </c>
      <c r="D2930" s="394"/>
      <c r="E2930" s="78" t="str">
        <f>IF(C2930="","",IFERROR(VLOOKUP(C2930,parametros!$A$11:$E$15,5,0),""))</f>
        <v/>
      </c>
      <c r="F2930" s="79" t="str">
        <f t="shared" si="227"/>
        <v/>
      </c>
      <c r="G2930" s="395"/>
      <c r="H2930" s="91">
        <f t="shared" si="228"/>
        <v>0</v>
      </c>
      <c r="I2930" s="91" t="str">
        <f t="shared" si="229"/>
        <v/>
      </c>
      <c r="J2930" s="91" t="str">
        <f t="shared" si="230"/>
        <v/>
      </c>
      <c r="K2930" s="92" t="str">
        <f>IF(AND(A2930="",B2930="",D2930="",G2930=""),"",IF(AND(A2930&lt;&gt;"",COUNTIF($A$2:$A$5001,A2930)&gt;1),"NUMERO_PC duplicado",IF(B2930="","DATA_PC vazia",IF(NOT(ISNUMBER(B2930)),"DATA_PC invalida",IF(OR(C2930="",C2930="Fora dos ciclos"),"CICLO_PC nao identificado",IF(OR(D2930="",D2930=0),"VALOR_PC vazio ou zero",IF(AND(G2930&lt;&gt;"Sim",G2930&lt;&gt;"Nao",G2930&lt;&gt;""),"PC_PAGO_A_CONTRATADA invalido",IF(AND(C2930&lt;&gt;"C0",IFERROR(INDEX(parametros!$A$2:$A$6,MATCH(C2930,parametros!$B$2:$B$6,0)),"")="Sim",IFERROR(INDEX(parametros!$H$2:$H$6,MATCH(C2930,parametros!$B$2:$B$6,0)),"")=""),"INICIO_EFEITO ausente: PC "&amp;A2930&amp;" - "&amp;C2930,IF(L2930="","EFEITO_PC nao calculado: PC "&amp;A2930&amp;" - "&amp;C2930,"OK")))))))))</f>
        <v/>
      </c>
      <c r="L2930" s="92" t="str">
        <f>IF(AND(A2930="",B2930="",D2930="",G2930=""),"",IF(OR(B2930="",NOT(ISNUMBER(B2930)),C2930="",C2930="Fora dos ciclos"),"",IF(C2930="C0","Nao",IF(IFERROR(INDEX(parametros!$A$2:$A$6,MATCH(C2930,parametros!$B$2:$B$6,0)),"")&lt;&gt;"Sim","Nao",IF(IFERROR(INDEX(parametros!$H$2:$H$6,MATCH(C2930,parametros!$B$2:$B$6,0)),"")="","",IF(B2930&gt;=IFERROR(INDEX(parametros!$H$2:$H$6,MATCH(C2930,parametros!$B$2:$B$6,0)),""),"Sim","Nao"))))))</f>
        <v/>
      </c>
      <c r="T2930" s="156"/>
      <c r="U2930" s="214" t="str">
        <f t="shared" si="231"/>
        <v/>
      </c>
      <c r="V2930" s="212" t="s">
        <v>50</v>
      </c>
      <c r="W2930" s="100" t="s">
        <v>168</v>
      </c>
      <c r="X2930" s="100" t="s">
        <v>169</v>
      </c>
      <c r="Y2930" s="101" t="s">
        <v>170</v>
      </c>
      <c r="Z2930" s="101" t="s">
        <v>171</v>
      </c>
      <c r="AA2930" s="101" t="s">
        <v>50</v>
      </c>
      <c r="AB2930" s="101" t="s">
        <v>172</v>
      </c>
      <c r="AC2930" s="102" t="s">
        <v>173</v>
      </c>
    </row>
    <row r="2931" spans="1:29" ht="25.5" customHeight="1" x14ac:dyDescent="0.35">
      <c r="A2931" s="392"/>
      <c r="B2931" s="393"/>
      <c r="C2931" s="99" t="str">
        <f>IF(B2931="","",IF(NOT(ISNUMBER(B2931)),"DATA_PC invalida",IF(NOT(ISNUMBER(parametros!$C$2)),"Fora dos ciclos",IF(OR(B2931&lt;parametros!$C$2,(YEAR(B2931)-YEAR(parametros!$C$2))*12+MONTH(B2931)-MONTH(parametros!$C$2)&gt;59),"Fora dos ciclos","C"&amp;INT(((YEAR(B2931)-YEAR(parametros!$C$2))*12+MONTH(B2931)-MONTH(parametros!$C$2))/12)))))</f>
        <v/>
      </c>
      <c r="D2931" s="394"/>
      <c r="E2931" s="78" t="str">
        <f>IF(C2931="","",IFERROR(VLOOKUP(C2931,parametros!$A$11:$E$15,5,0),""))</f>
        <v/>
      </c>
      <c r="F2931" s="79" t="str">
        <f t="shared" si="227"/>
        <v/>
      </c>
      <c r="G2931" s="395"/>
      <c r="H2931" s="91">
        <f t="shared" si="228"/>
        <v>0</v>
      </c>
      <c r="I2931" s="91" t="str">
        <f t="shared" si="229"/>
        <v/>
      </c>
      <c r="J2931" s="91" t="str">
        <f t="shared" si="230"/>
        <v/>
      </c>
      <c r="K2931" s="92" t="str">
        <f>IF(AND(A2931="",B2931="",D2931="",G2931=""),"",IF(AND(A2931&lt;&gt;"",COUNTIF($A$2:$A$5001,A2931)&gt;1),"NUMERO_PC duplicado",IF(B2931="","DATA_PC vazia",IF(NOT(ISNUMBER(B2931)),"DATA_PC invalida",IF(OR(C2931="",C2931="Fora dos ciclos"),"CICLO_PC nao identificado",IF(OR(D2931="",D2931=0),"VALOR_PC vazio ou zero",IF(AND(G2931&lt;&gt;"Sim",G2931&lt;&gt;"Nao",G2931&lt;&gt;""),"PC_PAGO_A_CONTRATADA invalido",IF(AND(C2931&lt;&gt;"C0",IFERROR(INDEX(parametros!$A$2:$A$6,MATCH(C2931,parametros!$B$2:$B$6,0)),"")="Sim",IFERROR(INDEX(parametros!$H$2:$H$6,MATCH(C2931,parametros!$B$2:$B$6,0)),"")=""),"INICIO_EFEITO ausente: PC "&amp;A2931&amp;" - "&amp;C2931,IF(L2931="","EFEITO_PC nao calculado: PC "&amp;A2931&amp;" - "&amp;C2931,"OK")))))))))</f>
        <v/>
      </c>
      <c r="L2931" s="92" t="str">
        <f>IF(AND(A2931="",B2931="",D2931="",G2931=""),"",IF(OR(B2931="",NOT(ISNUMBER(B2931)),C2931="",C2931="Fora dos ciclos"),"",IF(C2931="C0","Nao",IF(IFERROR(INDEX(parametros!$A$2:$A$6,MATCH(C2931,parametros!$B$2:$B$6,0)),"")&lt;&gt;"Sim","Nao",IF(IFERROR(INDEX(parametros!$H$2:$H$6,MATCH(C2931,parametros!$B$2:$B$6,0)),"")="","",IF(B2931&gt;=IFERROR(INDEX(parametros!$H$2:$H$6,MATCH(C2931,parametros!$B$2:$B$6,0)),""),"Sim","Nao"))))))</f>
        <v/>
      </c>
      <c r="T2931" s="156"/>
      <c r="U2931" s="214" t="str">
        <f t="shared" si="231"/>
        <v/>
      </c>
      <c r="V2931" s="212" t="s">
        <v>50</v>
      </c>
      <c r="W2931" s="100" t="s">
        <v>168</v>
      </c>
      <c r="X2931" s="100" t="s">
        <v>169</v>
      </c>
      <c r="Y2931" s="101" t="s">
        <v>170</v>
      </c>
      <c r="Z2931" s="101" t="s">
        <v>171</v>
      </c>
      <c r="AA2931" s="101" t="s">
        <v>50</v>
      </c>
      <c r="AB2931" s="101" t="s">
        <v>172</v>
      </c>
      <c r="AC2931" s="102" t="s">
        <v>173</v>
      </c>
    </row>
    <row r="2932" spans="1:29" ht="25.5" customHeight="1" x14ac:dyDescent="0.35">
      <c r="A2932" s="392"/>
      <c r="B2932" s="393"/>
      <c r="C2932" s="99" t="str">
        <f>IF(B2932="","",IF(NOT(ISNUMBER(B2932)),"DATA_PC invalida",IF(NOT(ISNUMBER(parametros!$C$2)),"Fora dos ciclos",IF(OR(B2932&lt;parametros!$C$2,(YEAR(B2932)-YEAR(parametros!$C$2))*12+MONTH(B2932)-MONTH(parametros!$C$2)&gt;59),"Fora dos ciclos","C"&amp;INT(((YEAR(B2932)-YEAR(parametros!$C$2))*12+MONTH(B2932)-MONTH(parametros!$C$2))/12)))))</f>
        <v/>
      </c>
      <c r="D2932" s="394"/>
      <c r="E2932" s="78" t="str">
        <f>IF(C2932="","",IFERROR(VLOOKUP(C2932,parametros!$A$11:$E$15,5,0),""))</f>
        <v/>
      </c>
      <c r="F2932" s="79" t="str">
        <f t="shared" si="227"/>
        <v/>
      </c>
      <c r="G2932" s="395"/>
      <c r="H2932" s="91">
        <f t="shared" si="228"/>
        <v>0</v>
      </c>
      <c r="I2932" s="91" t="str">
        <f t="shared" si="229"/>
        <v/>
      </c>
      <c r="J2932" s="91" t="str">
        <f t="shared" si="230"/>
        <v/>
      </c>
      <c r="K2932" s="92" t="str">
        <f>IF(AND(A2932="",B2932="",D2932="",G2932=""),"",IF(AND(A2932&lt;&gt;"",COUNTIF($A$2:$A$5001,A2932)&gt;1),"NUMERO_PC duplicado",IF(B2932="","DATA_PC vazia",IF(NOT(ISNUMBER(B2932)),"DATA_PC invalida",IF(OR(C2932="",C2932="Fora dos ciclos"),"CICLO_PC nao identificado",IF(OR(D2932="",D2932=0),"VALOR_PC vazio ou zero",IF(AND(G2932&lt;&gt;"Sim",G2932&lt;&gt;"Nao",G2932&lt;&gt;""),"PC_PAGO_A_CONTRATADA invalido",IF(AND(C2932&lt;&gt;"C0",IFERROR(INDEX(parametros!$A$2:$A$6,MATCH(C2932,parametros!$B$2:$B$6,0)),"")="Sim",IFERROR(INDEX(parametros!$H$2:$H$6,MATCH(C2932,parametros!$B$2:$B$6,0)),"")=""),"INICIO_EFEITO ausente: PC "&amp;A2932&amp;" - "&amp;C2932,IF(L2932="","EFEITO_PC nao calculado: PC "&amp;A2932&amp;" - "&amp;C2932,"OK")))))))))</f>
        <v/>
      </c>
      <c r="L2932" s="92" t="str">
        <f>IF(AND(A2932="",B2932="",D2932="",G2932=""),"",IF(OR(B2932="",NOT(ISNUMBER(B2932)),C2932="",C2932="Fora dos ciclos"),"",IF(C2932="C0","Nao",IF(IFERROR(INDEX(parametros!$A$2:$A$6,MATCH(C2932,parametros!$B$2:$B$6,0)),"")&lt;&gt;"Sim","Nao",IF(IFERROR(INDEX(parametros!$H$2:$H$6,MATCH(C2932,parametros!$B$2:$B$6,0)),"")="","",IF(B2932&gt;=IFERROR(INDEX(parametros!$H$2:$H$6,MATCH(C2932,parametros!$B$2:$B$6,0)),""),"Sim","Nao"))))))</f>
        <v/>
      </c>
      <c r="T2932" s="156"/>
      <c r="U2932" s="214" t="str">
        <f t="shared" si="231"/>
        <v/>
      </c>
      <c r="V2932" s="212" t="s">
        <v>50</v>
      </c>
      <c r="W2932" s="100" t="s">
        <v>168</v>
      </c>
      <c r="X2932" s="100" t="s">
        <v>169</v>
      </c>
      <c r="Y2932" s="101" t="s">
        <v>170</v>
      </c>
      <c r="Z2932" s="101" t="s">
        <v>171</v>
      </c>
      <c r="AA2932" s="101" t="s">
        <v>50</v>
      </c>
      <c r="AB2932" s="101" t="s">
        <v>172</v>
      </c>
      <c r="AC2932" s="102" t="s">
        <v>173</v>
      </c>
    </row>
    <row r="2933" spans="1:29" ht="25.5" customHeight="1" x14ac:dyDescent="0.35">
      <c r="A2933" s="392"/>
      <c r="B2933" s="393"/>
      <c r="C2933" s="99" t="str">
        <f>IF(B2933="","",IF(NOT(ISNUMBER(B2933)),"DATA_PC invalida",IF(NOT(ISNUMBER(parametros!$C$2)),"Fora dos ciclos",IF(OR(B2933&lt;parametros!$C$2,(YEAR(B2933)-YEAR(parametros!$C$2))*12+MONTH(B2933)-MONTH(parametros!$C$2)&gt;59),"Fora dos ciclos","C"&amp;INT(((YEAR(B2933)-YEAR(parametros!$C$2))*12+MONTH(B2933)-MONTH(parametros!$C$2))/12)))))</f>
        <v/>
      </c>
      <c r="D2933" s="394"/>
      <c r="E2933" s="78" t="str">
        <f>IF(C2933="","",IFERROR(VLOOKUP(C2933,parametros!$A$11:$E$15,5,0),""))</f>
        <v/>
      </c>
      <c r="F2933" s="79" t="str">
        <f t="shared" si="227"/>
        <v/>
      </c>
      <c r="G2933" s="395"/>
      <c r="H2933" s="91">
        <f t="shared" si="228"/>
        <v>0</v>
      </c>
      <c r="I2933" s="91" t="str">
        <f t="shared" si="229"/>
        <v/>
      </c>
      <c r="J2933" s="91" t="str">
        <f t="shared" si="230"/>
        <v/>
      </c>
      <c r="K2933" s="92" t="str">
        <f>IF(AND(A2933="",B2933="",D2933="",G2933=""),"",IF(AND(A2933&lt;&gt;"",COUNTIF($A$2:$A$5001,A2933)&gt;1),"NUMERO_PC duplicado",IF(B2933="","DATA_PC vazia",IF(NOT(ISNUMBER(B2933)),"DATA_PC invalida",IF(OR(C2933="",C2933="Fora dos ciclos"),"CICLO_PC nao identificado",IF(OR(D2933="",D2933=0),"VALOR_PC vazio ou zero",IF(AND(G2933&lt;&gt;"Sim",G2933&lt;&gt;"Nao",G2933&lt;&gt;""),"PC_PAGO_A_CONTRATADA invalido",IF(AND(C2933&lt;&gt;"C0",IFERROR(INDEX(parametros!$A$2:$A$6,MATCH(C2933,parametros!$B$2:$B$6,0)),"")="Sim",IFERROR(INDEX(parametros!$H$2:$H$6,MATCH(C2933,parametros!$B$2:$B$6,0)),"")=""),"INICIO_EFEITO ausente: PC "&amp;A2933&amp;" - "&amp;C2933,IF(L2933="","EFEITO_PC nao calculado: PC "&amp;A2933&amp;" - "&amp;C2933,"OK")))))))))</f>
        <v/>
      </c>
      <c r="L2933" s="92" t="str">
        <f>IF(AND(A2933="",B2933="",D2933="",G2933=""),"",IF(OR(B2933="",NOT(ISNUMBER(B2933)),C2933="",C2933="Fora dos ciclos"),"",IF(C2933="C0","Nao",IF(IFERROR(INDEX(parametros!$A$2:$A$6,MATCH(C2933,parametros!$B$2:$B$6,0)),"")&lt;&gt;"Sim","Nao",IF(IFERROR(INDEX(parametros!$H$2:$H$6,MATCH(C2933,parametros!$B$2:$B$6,0)),"")="","",IF(B2933&gt;=IFERROR(INDEX(parametros!$H$2:$H$6,MATCH(C2933,parametros!$B$2:$B$6,0)),""),"Sim","Nao"))))))</f>
        <v/>
      </c>
      <c r="T2933" s="156"/>
      <c r="U2933" s="214" t="str">
        <f t="shared" si="231"/>
        <v/>
      </c>
      <c r="V2933" s="212" t="s">
        <v>50</v>
      </c>
      <c r="W2933" s="100" t="s">
        <v>168</v>
      </c>
      <c r="X2933" s="100" t="s">
        <v>169</v>
      </c>
      <c r="Y2933" s="101" t="s">
        <v>170</v>
      </c>
      <c r="Z2933" s="101" t="s">
        <v>171</v>
      </c>
      <c r="AA2933" s="101" t="s">
        <v>50</v>
      </c>
      <c r="AB2933" s="101" t="s">
        <v>172</v>
      </c>
      <c r="AC2933" s="102" t="s">
        <v>173</v>
      </c>
    </row>
    <row r="2934" spans="1:29" ht="25.5" customHeight="1" x14ac:dyDescent="0.35">
      <c r="A2934" s="392"/>
      <c r="B2934" s="393"/>
      <c r="C2934" s="99" t="str">
        <f>IF(B2934="","",IF(NOT(ISNUMBER(B2934)),"DATA_PC invalida",IF(NOT(ISNUMBER(parametros!$C$2)),"Fora dos ciclos",IF(OR(B2934&lt;parametros!$C$2,(YEAR(B2934)-YEAR(parametros!$C$2))*12+MONTH(B2934)-MONTH(parametros!$C$2)&gt;59),"Fora dos ciclos","C"&amp;INT(((YEAR(B2934)-YEAR(parametros!$C$2))*12+MONTH(B2934)-MONTH(parametros!$C$2))/12)))))</f>
        <v/>
      </c>
      <c r="D2934" s="394"/>
      <c r="E2934" s="78" t="str">
        <f>IF(C2934="","",IFERROR(VLOOKUP(C2934,parametros!$A$11:$E$15,5,0),""))</f>
        <v/>
      </c>
      <c r="F2934" s="79" t="str">
        <f t="shared" si="227"/>
        <v/>
      </c>
      <c r="G2934" s="395"/>
      <c r="H2934" s="91">
        <f t="shared" si="228"/>
        <v>0</v>
      </c>
      <c r="I2934" s="91" t="str">
        <f t="shared" si="229"/>
        <v/>
      </c>
      <c r="J2934" s="91" t="str">
        <f t="shared" si="230"/>
        <v/>
      </c>
      <c r="K2934" s="92" t="str">
        <f>IF(AND(A2934="",B2934="",D2934="",G2934=""),"",IF(AND(A2934&lt;&gt;"",COUNTIF($A$2:$A$5001,A2934)&gt;1),"NUMERO_PC duplicado",IF(B2934="","DATA_PC vazia",IF(NOT(ISNUMBER(B2934)),"DATA_PC invalida",IF(OR(C2934="",C2934="Fora dos ciclos"),"CICLO_PC nao identificado",IF(OR(D2934="",D2934=0),"VALOR_PC vazio ou zero",IF(AND(G2934&lt;&gt;"Sim",G2934&lt;&gt;"Nao",G2934&lt;&gt;""),"PC_PAGO_A_CONTRATADA invalido",IF(AND(C2934&lt;&gt;"C0",IFERROR(INDEX(parametros!$A$2:$A$6,MATCH(C2934,parametros!$B$2:$B$6,0)),"")="Sim",IFERROR(INDEX(parametros!$H$2:$H$6,MATCH(C2934,parametros!$B$2:$B$6,0)),"")=""),"INICIO_EFEITO ausente: PC "&amp;A2934&amp;" - "&amp;C2934,IF(L2934="","EFEITO_PC nao calculado: PC "&amp;A2934&amp;" - "&amp;C2934,"OK")))))))))</f>
        <v/>
      </c>
      <c r="L2934" s="92" t="str">
        <f>IF(AND(A2934="",B2934="",D2934="",G2934=""),"",IF(OR(B2934="",NOT(ISNUMBER(B2934)),C2934="",C2934="Fora dos ciclos"),"",IF(C2934="C0","Nao",IF(IFERROR(INDEX(parametros!$A$2:$A$6,MATCH(C2934,parametros!$B$2:$B$6,0)),"")&lt;&gt;"Sim","Nao",IF(IFERROR(INDEX(parametros!$H$2:$H$6,MATCH(C2934,parametros!$B$2:$B$6,0)),"")="","",IF(B2934&gt;=IFERROR(INDEX(parametros!$H$2:$H$6,MATCH(C2934,parametros!$B$2:$B$6,0)),""),"Sim","Nao"))))))</f>
        <v/>
      </c>
      <c r="T2934" s="156"/>
      <c r="U2934" s="214" t="str">
        <f t="shared" si="231"/>
        <v/>
      </c>
      <c r="V2934" s="212" t="s">
        <v>50</v>
      </c>
      <c r="W2934" s="100" t="s">
        <v>168</v>
      </c>
      <c r="X2934" s="100" t="s">
        <v>169</v>
      </c>
      <c r="Y2934" s="101" t="s">
        <v>170</v>
      </c>
      <c r="Z2934" s="101" t="s">
        <v>171</v>
      </c>
      <c r="AA2934" s="101" t="s">
        <v>50</v>
      </c>
      <c r="AB2934" s="101" t="s">
        <v>172</v>
      </c>
      <c r="AC2934" s="102" t="s">
        <v>173</v>
      </c>
    </row>
    <row r="2935" spans="1:29" ht="25.5" customHeight="1" x14ac:dyDescent="0.35">
      <c r="A2935" s="392"/>
      <c r="B2935" s="393"/>
      <c r="C2935" s="99" t="str">
        <f>IF(B2935="","",IF(NOT(ISNUMBER(B2935)),"DATA_PC invalida",IF(NOT(ISNUMBER(parametros!$C$2)),"Fora dos ciclos",IF(OR(B2935&lt;parametros!$C$2,(YEAR(B2935)-YEAR(parametros!$C$2))*12+MONTH(B2935)-MONTH(parametros!$C$2)&gt;59),"Fora dos ciclos","C"&amp;INT(((YEAR(B2935)-YEAR(parametros!$C$2))*12+MONTH(B2935)-MONTH(parametros!$C$2))/12)))))</f>
        <v/>
      </c>
      <c r="D2935" s="394"/>
      <c r="E2935" s="78" t="str">
        <f>IF(C2935="","",IFERROR(VLOOKUP(C2935,parametros!$A$11:$E$15,5,0),""))</f>
        <v/>
      </c>
      <c r="F2935" s="79" t="str">
        <f t="shared" si="227"/>
        <v/>
      </c>
      <c r="G2935" s="395"/>
      <c r="H2935" s="91">
        <f t="shared" si="228"/>
        <v>0</v>
      </c>
      <c r="I2935" s="91" t="str">
        <f t="shared" si="229"/>
        <v/>
      </c>
      <c r="J2935" s="91" t="str">
        <f t="shared" si="230"/>
        <v/>
      </c>
      <c r="K2935" s="92" t="str">
        <f>IF(AND(A2935="",B2935="",D2935="",G2935=""),"",IF(AND(A2935&lt;&gt;"",COUNTIF($A$2:$A$5001,A2935)&gt;1),"NUMERO_PC duplicado",IF(B2935="","DATA_PC vazia",IF(NOT(ISNUMBER(B2935)),"DATA_PC invalida",IF(OR(C2935="",C2935="Fora dos ciclos"),"CICLO_PC nao identificado",IF(OR(D2935="",D2935=0),"VALOR_PC vazio ou zero",IF(AND(G2935&lt;&gt;"Sim",G2935&lt;&gt;"Nao",G2935&lt;&gt;""),"PC_PAGO_A_CONTRATADA invalido",IF(AND(C2935&lt;&gt;"C0",IFERROR(INDEX(parametros!$A$2:$A$6,MATCH(C2935,parametros!$B$2:$B$6,0)),"")="Sim",IFERROR(INDEX(parametros!$H$2:$H$6,MATCH(C2935,parametros!$B$2:$B$6,0)),"")=""),"INICIO_EFEITO ausente: PC "&amp;A2935&amp;" - "&amp;C2935,IF(L2935="","EFEITO_PC nao calculado: PC "&amp;A2935&amp;" - "&amp;C2935,"OK")))))))))</f>
        <v/>
      </c>
      <c r="L2935" s="92" t="str">
        <f>IF(AND(A2935="",B2935="",D2935="",G2935=""),"",IF(OR(B2935="",NOT(ISNUMBER(B2935)),C2935="",C2935="Fora dos ciclos"),"",IF(C2935="C0","Nao",IF(IFERROR(INDEX(parametros!$A$2:$A$6,MATCH(C2935,parametros!$B$2:$B$6,0)),"")&lt;&gt;"Sim","Nao",IF(IFERROR(INDEX(parametros!$H$2:$H$6,MATCH(C2935,parametros!$B$2:$B$6,0)),"")="","",IF(B2935&gt;=IFERROR(INDEX(parametros!$H$2:$H$6,MATCH(C2935,parametros!$B$2:$B$6,0)),""),"Sim","Nao"))))))</f>
        <v/>
      </c>
      <c r="T2935" s="156"/>
      <c r="U2935" s="214" t="str">
        <f t="shared" si="231"/>
        <v/>
      </c>
      <c r="V2935" s="212" t="s">
        <v>50</v>
      </c>
      <c r="W2935" s="100" t="s">
        <v>168</v>
      </c>
      <c r="X2935" s="100" t="s">
        <v>169</v>
      </c>
      <c r="Y2935" s="101" t="s">
        <v>170</v>
      </c>
      <c r="Z2935" s="101" t="s">
        <v>171</v>
      </c>
      <c r="AA2935" s="101" t="s">
        <v>50</v>
      </c>
      <c r="AB2935" s="101" t="s">
        <v>172</v>
      </c>
      <c r="AC2935" s="102" t="s">
        <v>173</v>
      </c>
    </row>
    <row r="2936" spans="1:29" ht="25.5" customHeight="1" x14ac:dyDescent="0.35">
      <c r="A2936" s="392"/>
      <c r="B2936" s="393"/>
      <c r="C2936" s="99" t="str">
        <f>IF(B2936="","",IF(NOT(ISNUMBER(B2936)),"DATA_PC invalida",IF(NOT(ISNUMBER(parametros!$C$2)),"Fora dos ciclos",IF(OR(B2936&lt;parametros!$C$2,(YEAR(B2936)-YEAR(parametros!$C$2))*12+MONTH(B2936)-MONTH(parametros!$C$2)&gt;59),"Fora dos ciclos","C"&amp;INT(((YEAR(B2936)-YEAR(parametros!$C$2))*12+MONTH(B2936)-MONTH(parametros!$C$2))/12)))))</f>
        <v/>
      </c>
      <c r="D2936" s="394"/>
      <c r="E2936" s="78" t="str">
        <f>IF(C2936="","",IFERROR(VLOOKUP(C2936,parametros!$A$11:$E$15,5,0),""))</f>
        <v/>
      </c>
      <c r="F2936" s="79" t="str">
        <f t="shared" si="227"/>
        <v/>
      </c>
      <c r="G2936" s="395"/>
      <c r="H2936" s="91">
        <f t="shared" si="228"/>
        <v>0</v>
      </c>
      <c r="I2936" s="91" t="str">
        <f t="shared" si="229"/>
        <v/>
      </c>
      <c r="J2936" s="91" t="str">
        <f t="shared" si="230"/>
        <v/>
      </c>
      <c r="K2936" s="92" t="str">
        <f>IF(AND(A2936="",B2936="",D2936="",G2936=""),"",IF(AND(A2936&lt;&gt;"",COUNTIF($A$2:$A$5001,A2936)&gt;1),"NUMERO_PC duplicado",IF(B2936="","DATA_PC vazia",IF(NOT(ISNUMBER(B2936)),"DATA_PC invalida",IF(OR(C2936="",C2936="Fora dos ciclos"),"CICLO_PC nao identificado",IF(OR(D2936="",D2936=0),"VALOR_PC vazio ou zero",IF(AND(G2936&lt;&gt;"Sim",G2936&lt;&gt;"Nao",G2936&lt;&gt;""),"PC_PAGO_A_CONTRATADA invalido",IF(AND(C2936&lt;&gt;"C0",IFERROR(INDEX(parametros!$A$2:$A$6,MATCH(C2936,parametros!$B$2:$B$6,0)),"")="Sim",IFERROR(INDEX(parametros!$H$2:$H$6,MATCH(C2936,parametros!$B$2:$B$6,0)),"")=""),"INICIO_EFEITO ausente: PC "&amp;A2936&amp;" - "&amp;C2936,IF(L2936="","EFEITO_PC nao calculado: PC "&amp;A2936&amp;" - "&amp;C2936,"OK")))))))))</f>
        <v/>
      </c>
      <c r="L2936" s="92" t="str">
        <f>IF(AND(A2936="",B2936="",D2936="",G2936=""),"",IF(OR(B2936="",NOT(ISNUMBER(B2936)),C2936="",C2936="Fora dos ciclos"),"",IF(C2936="C0","Nao",IF(IFERROR(INDEX(parametros!$A$2:$A$6,MATCH(C2936,parametros!$B$2:$B$6,0)),"")&lt;&gt;"Sim","Nao",IF(IFERROR(INDEX(parametros!$H$2:$H$6,MATCH(C2936,parametros!$B$2:$B$6,0)),"")="","",IF(B2936&gt;=IFERROR(INDEX(parametros!$H$2:$H$6,MATCH(C2936,parametros!$B$2:$B$6,0)),""),"Sim","Nao"))))))</f>
        <v/>
      </c>
      <c r="T2936" s="156"/>
      <c r="U2936" s="214" t="str">
        <f t="shared" si="231"/>
        <v/>
      </c>
      <c r="V2936" s="212" t="s">
        <v>50</v>
      </c>
      <c r="W2936" s="100" t="s">
        <v>168</v>
      </c>
      <c r="X2936" s="100" t="s">
        <v>169</v>
      </c>
      <c r="Y2936" s="101" t="s">
        <v>170</v>
      </c>
      <c r="Z2936" s="101" t="s">
        <v>171</v>
      </c>
      <c r="AA2936" s="101" t="s">
        <v>50</v>
      </c>
      <c r="AB2936" s="101" t="s">
        <v>172</v>
      </c>
      <c r="AC2936" s="102" t="s">
        <v>173</v>
      </c>
    </row>
    <row r="2937" spans="1:29" ht="25.5" customHeight="1" x14ac:dyDescent="0.35">
      <c r="A2937" s="392"/>
      <c r="B2937" s="393"/>
      <c r="C2937" s="99" t="str">
        <f>IF(B2937="","",IF(NOT(ISNUMBER(B2937)),"DATA_PC invalida",IF(NOT(ISNUMBER(parametros!$C$2)),"Fora dos ciclos",IF(OR(B2937&lt;parametros!$C$2,(YEAR(B2937)-YEAR(parametros!$C$2))*12+MONTH(B2937)-MONTH(parametros!$C$2)&gt;59),"Fora dos ciclos","C"&amp;INT(((YEAR(B2937)-YEAR(parametros!$C$2))*12+MONTH(B2937)-MONTH(parametros!$C$2))/12)))))</f>
        <v/>
      </c>
      <c r="D2937" s="394"/>
      <c r="E2937" s="78" t="str">
        <f>IF(C2937="","",IFERROR(VLOOKUP(C2937,parametros!$A$11:$E$15,5,0),""))</f>
        <v/>
      </c>
      <c r="F2937" s="79" t="str">
        <f t="shared" si="227"/>
        <v/>
      </c>
      <c r="G2937" s="395"/>
      <c r="H2937" s="91">
        <f t="shared" si="228"/>
        <v>0</v>
      </c>
      <c r="I2937" s="91" t="str">
        <f t="shared" si="229"/>
        <v/>
      </c>
      <c r="J2937" s="91" t="str">
        <f t="shared" si="230"/>
        <v/>
      </c>
      <c r="K2937" s="92" t="str">
        <f>IF(AND(A2937="",B2937="",D2937="",G2937=""),"",IF(AND(A2937&lt;&gt;"",COUNTIF($A$2:$A$5001,A2937)&gt;1),"NUMERO_PC duplicado",IF(B2937="","DATA_PC vazia",IF(NOT(ISNUMBER(B2937)),"DATA_PC invalida",IF(OR(C2937="",C2937="Fora dos ciclos"),"CICLO_PC nao identificado",IF(OR(D2937="",D2937=0),"VALOR_PC vazio ou zero",IF(AND(G2937&lt;&gt;"Sim",G2937&lt;&gt;"Nao",G2937&lt;&gt;""),"PC_PAGO_A_CONTRATADA invalido",IF(AND(C2937&lt;&gt;"C0",IFERROR(INDEX(parametros!$A$2:$A$6,MATCH(C2937,parametros!$B$2:$B$6,0)),"")="Sim",IFERROR(INDEX(parametros!$H$2:$H$6,MATCH(C2937,parametros!$B$2:$B$6,0)),"")=""),"INICIO_EFEITO ausente: PC "&amp;A2937&amp;" - "&amp;C2937,IF(L2937="","EFEITO_PC nao calculado: PC "&amp;A2937&amp;" - "&amp;C2937,"OK")))))))))</f>
        <v/>
      </c>
      <c r="L2937" s="92" t="str">
        <f>IF(AND(A2937="",B2937="",D2937="",G2937=""),"",IF(OR(B2937="",NOT(ISNUMBER(B2937)),C2937="",C2937="Fora dos ciclos"),"",IF(C2937="C0","Nao",IF(IFERROR(INDEX(parametros!$A$2:$A$6,MATCH(C2937,parametros!$B$2:$B$6,0)),"")&lt;&gt;"Sim","Nao",IF(IFERROR(INDEX(parametros!$H$2:$H$6,MATCH(C2937,parametros!$B$2:$B$6,0)),"")="","",IF(B2937&gt;=IFERROR(INDEX(parametros!$H$2:$H$6,MATCH(C2937,parametros!$B$2:$B$6,0)),""),"Sim","Nao"))))))</f>
        <v/>
      </c>
      <c r="T2937" s="156"/>
      <c r="U2937" s="214" t="str">
        <f t="shared" si="231"/>
        <v/>
      </c>
      <c r="V2937" s="212" t="s">
        <v>50</v>
      </c>
      <c r="W2937" s="100" t="s">
        <v>168</v>
      </c>
      <c r="X2937" s="100" t="s">
        <v>169</v>
      </c>
      <c r="Y2937" s="101" t="s">
        <v>170</v>
      </c>
      <c r="Z2937" s="101" t="s">
        <v>171</v>
      </c>
      <c r="AA2937" s="101" t="s">
        <v>50</v>
      </c>
      <c r="AB2937" s="101" t="s">
        <v>172</v>
      </c>
      <c r="AC2937" s="102" t="s">
        <v>173</v>
      </c>
    </row>
    <row r="2938" spans="1:29" ht="25.5" customHeight="1" x14ac:dyDescent="0.35">
      <c r="A2938" s="392"/>
      <c r="B2938" s="393"/>
      <c r="C2938" s="99" t="str">
        <f>IF(B2938="","",IF(NOT(ISNUMBER(B2938)),"DATA_PC invalida",IF(NOT(ISNUMBER(parametros!$C$2)),"Fora dos ciclos",IF(OR(B2938&lt;parametros!$C$2,(YEAR(B2938)-YEAR(parametros!$C$2))*12+MONTH(B2938)-MONTH(parametros!$C$2)&gt;59),"Fora dos ciclos","C"&amp;INT(((YEAR(B2938)-YEAR(parametros!$C$2))*12+MONTH(B2938)-MONTH(parametros!$C$2))/12)))))</f>
        <v/>
      </c>
      <c r="D2938" s="394"/>
      <c r="E2938" s="78" t="str">
        <f>IF(C2938="","",IFERROR(VLOOKUP(C2938,parametros!$A$11:$E$15,5,0),""))</f>
        <v/>
      </c>
      <c r="F2938" s="79" t="str">
        <f t="shared" si="227"/>
        <v/>
      </c>
      <c r="G2938" s="395"/>
      <c r="H2938" s="91">
        <f t="shared" si="228"/>
        <v>0</v>
      </c>
      <c r="I2938" s="91" t="str">
        <f t="shared" si="229"/>
        <v/>
      </c>
      <c r="J2938" s="91" t="str">
        <f t="shared" si="230"/>
        <v/>
      </c>
      <c r="K2938" s="92" t="str">
        <f>IF(AND(A2938="",B2938="",D2938="",G2938=""),"",IF(AND(A2938&lt;&gt;"",COUNTIF($A$2:$A$5001,A2938)&gt;1),"NUMERO_PC duplicado",IF(B2938="","DATA_PC vazia",IF(NOT(ISNUMBER(B2938)),"DATA_PC invalida",IF(OR(C2938="",C2938="Fora dos ciclos"),"CICLO_PC nao identificado",IF(OR(D2938="",D2938=0),"VALOR_PC vazio ou zero",IF(AND(G2938&lt;&gt;"Sim",G2938&lt;&gt;"Nao",G2938&lt;&gt;""),"PC_PAGO_A_CONTRATADA invalido",IF(AND(C2938&lt;&gt;"C0",IFERROR(INDEX(parametros!$A$2:$A$6,MATCH(C2938,parametros!$B$2:$B$6,0)),"")="Sim",IFERROR(INDEX(parametros!$H$2:$H$6,MATCH(C2938,parametros!$B$2:$B$6,0)),"")=""),"INICIO_EFEITO ausente: PC "&amp;A2938&amp;" - "&amp;C2938,IF(L2938="","EFEITO_PC nao calculado: PC "&amp;A2938&amp;" - "&amp;C2938,"OK")))))))))</f>
        <v/>
      </c>
      <c r="L2938" s="92" t="str">
        <f>IF(AND(A2938="",B2938="",D2938="",G2938=""),"",IF(OR(B2938="",NOT(ISNUMBER(B2938)),C2938="",C2938="Fora dos ciclos"),"",IF(C2938="C0","Nao",IF(IFERROR(INDEX(parametros!$A$2:$A$6,MATCH(C2938,parametros!$B$2:$B$6,0)),"")&lt;&gt;"Sim","Nao",IF(IFERROR(INDEX(parametros!$H$2:$H$6,MATCH(C2938,parametros!$B$2:$B$6,0)),"")="","",IF(B2938&gt;=IFERROR(INDEX(parametros!$H$2:$H$6,MATCH(C2938,parametros!$B$2:$B$6,0)),""),"Sim","Nao"))))))</f>
        <v/>
      </c>
      <c r="T2938" s="156"/>
      <c r="U2938" s="214" t="str">
        <f t="shared" si="231"/>
        <v/>
      </c>
      <c r="V2938" s="212" t="s">
        <v>50</v>
      </c>
      <c r="W2938" s="100" t="s">
        <v>168</v>
      </c>
      <c r="X2938" s="100" t="s">
        <v>169</v>
      </c>
      <c r="Y2938" s="101" t="s">
        <v>170</v>
      </c>
      <c r="Z2938" s="101" t="s">
        <v>171</v>
      </c>
      <c r="AA2938" s="101" t="s">
        <v>50</v>
      </c>
      <c r="AB2938" s="101" t="s">
        <v>172</v>
      </c>
      <c r="AC2938" s="102" t="s">
        <v>173</v>
      </c>
    </row>
    <row r="2939" spans="1:29" ht="25.5" customHeight="1" x14ac:dyDescent="0.35">
      <c r="A2939" s="392"/>
      <c r="B2939" s="393"/>
      <c r="C2939" s="99" t="str">
        <f>IF(B2939="","",IF(NOT(ISNUMBER(B2939)),"DATA_PC invalida",IF(NOT(ISNUMBER(parametros!$C$2)),"Fora dos ciclos",IF(OR(B2939&lt;parametros!$C$2,(YEAR(B2939)-YEAR(parametros!$C$2))*12+MONTH(B2939)-MONTH(parametros!$C$2)&gt;59),"Fora dos ciclos","C"&amp;INT(((YEAR(B2939)-YEAR(parametros!$C$2))*12+MONTH(B2939)-MONTH(parametros!$C$2))/12)))))</f>
        <v/>
      </c>
      <c r="D2939" s="394"/>
      <c r="E2939" s="78" t="str">
        <f>IF(C2939="","",IFERROR(VLOOKUP(C2939,parametros!$A$11:$E$15,5,0),""))</f>
        <v/>
      </c>
      <c r="F2939" s="79" t="str">
        <f t="shared" si="227"/>
        <v/>
      </c>
      <c r="G2939" s="395"/>
      <c r="H2939" s="91">
        <f t="shared" si="228"/>
        <v>0</v>
      </c>
      <c r="I2939" s="91" t="str">
        <f t="shared" si="229"/>
        <v/>
      </c>
      <c r="J2939" s="91" t="str">
        <f t="shared" si="230"/>
        <v/>
      </c>
      <c r="K2939" s="92" t="str">
        <f>IF(AND(A2939="",B2939="",D2939="",G2939=""),"",IF(AND(A2939&lt;&gt;"",COUNTIF($A$2:$A$5001,A2939)&gt;1),"NUMERO_PC duplicado",IF(B2939="","DATA_PC vazia",IF(NOT(ISNUMBER(B2939)),"DATA_PC invalida",IF(OR(C2939="",C2939="Fora dos ciclos"),"CICLO_PC nao identificado",IF(OR(D2939="",D2939=0),"VALOR_PC vazio ou zero",IF(AND(G2939&lt;&gt;"Sim",G2939&lt;&gt;"Nao",G2939&lt;&gt;""),"PC_PAGO_A_CONTRATADA invalido",IF(AND(C2939&lt;&gt;"C0",IFERROR(INDEX(parametros!$A$2:$A$6,MATCH(C2939,parametros!$B$2:$B$6,0)),"")="Sim",IFERROR(INDEX(parametros!$H$2:$H$6,MATCH(C2939,parametros!$B$2:$B$6,0)),"")=""),"INICIO_EFEITO ausente: PC "&amp;A2939&amp;" - "&amp;C2939,IF(L2939="","EFEITO_PC nao calculado: PC "&amp;A2939&amp;" - "&amp;C2939,"OK")))))))))</f>
        <v/>
      </c>
      <c r="L2939" s="92" t="str">
        <f>IF(AND(A2939="",B2939="",D2939="",G2939=""),"",IF(OR(B2939="",NOT(ISNUMBER(B2939)),C2939="",C2939="Fora dos ciclos"),"",IF(C2939="C0","Nao",IF(IFERROR(INDEX(parametros!$A$2:$A$6,MATCH(C2939,parametros!$B$2:$B$6,0)),"")&lt;&gt;"Sim","Nao",IF(IFERROR(INDEX(parametros!$H$2:$H$6,MATCH(C2939,parametros!$B$2:$B$6,0)),"")="","",IF(B2939&gt;=IFERROR(INDEX(parametros!$H$2:$H$6,MATCH(C2939,parametros!$B$2:$B$6,0)),""),"Sim","Nao"))))))</f>
        <v/>
      </c>
      <c r="T2939" s="156"/>
      <c r="U2939" s="214" t="str">
        <f t="shared" si="231"/>
        <v/>
      </c>
      <c r="V2939" s="212" t="s">
        <v>50</v>
      </c>
      <c r="W2939" s="100" t="s">
        <v>168</v>
      </c>
      <c r="X2939" s="100" t="s">
        <v>169</v>
      </c>
      <c r="Y2939" s="101" t="s">
        <v>170</v>
      </c>
      <c r="Z2939" s="101" t="s">
        <v>171</v>
      </c>
      <c r="AA2939" s="101" t="s">
        <v>50</v>
      </c>
      <c r="AB2939" s="101" t="s">
        <v>172</v>
      </c>
      <c r="AC2939" s="102" t="s">
        <v>173</v>
      </c>
    </row>
    <row r="2940" spans="1:29" ht="25.5" customHeight="1" x14ac:dyDescent="0.35">
      <c r="A2940" s="392"/>
      <c r="B2940" s="393"/>
      <c r="C2940" s="99" t="str">
        <f>IF(B2940="","",IF(NOT(ISNUMBER(B2940)),"DATA_PC invalida",IF(NOT(ISNUMBER(parametros!$C$2)),"Fora dos ciclos",IF(OR(B2940&lt;parametros!$C$2,(YEAR(B2940)-YEAR(parametros!$C$2))*12+MONTH(B2940)-MONTH(parametros!$C$2)&gt;59),"Fora dos ciclos","C"&amp;INT(((YEAR(B2940)-YEAR(parametros!$C$2))*12+MONTH(B2940)-MONTH(parametros!$C$2))/12)))))</f>
        <v/>
      </c>
      <c r="D2940" s="394"/>
      <c r="E2940" s="78" t="str">
        <f>IF(C2940="","",IFERROR(VLOOKUP(C2940,parametros!$A$11:$E$15,5,0),""))</f>
        <v/>
      </c>
      <c r="F2940" s="79" t="str">
        <f t="shared" si="227"/>
        <v/>
      </c>
      <c r="G2940" s="395"/>
      <c r="H2940" s="91">
        <f t="shared" si="228"/>
        <v>0</v>
      </c>
      <c r="I2940" s="91" t="str">
        <f t="shared" si="229"/>
        <v/>
      </c>
      <c r="J2940" s="91" t="str">
        <f t="shared" si="230"/>
        <v/>
      </c>
      <c r="K2940" s="92" t="str">
        <f>IF(AND(A2940="",B2940="",D2940="",G2940=""),"",IF(AND(A2940&lt;&gt;"",COUNTIF($A$2:$A$5001,A2940)&gt;1),"NUMERO_PC duplicado",IF(B2940="","DATA_PC vazia",IF(NOT(ISNUMBER(B2940)),"DATA_PC invalida",IF(OR(C2940="",C2940="Fora dos ciclos"),"CICLO_PC nao identificado",IF(OR(D2940="",D2940=0),"VALOR_PC vazio ou zero",IF(AND(G2940&lt;&gt;"Sim",G2940&lt;&gt;"Nao",G2940&lt;&gt;""),"PC_PAGO_A_CONTRATADA invalido",IF(AND(C2940&lt;&gt;"C0",IFERROR(INDEX(parametros!$A$2:$A$6,MATCH(C2940,parametros!$B$2:$B$6,0)),"")="Sim",IFERROR(INDEX(parametros!$H$2:$H$6,MATCH(C2940,parametros!$B$2:$B$6,0)),"")=""),"INICIO_EFEITO ausente: PC "&amp;A2940&amp;" - "&amp;C2940,IF(L2940="","EFEITO_PC nao calculado: PC "&amp;A2940&amp;" - "&amp;C2940,"OK")))))))))</f>
        <v/>
      </c>
      <c r="L2940" s="92" t="str">
        <f>IF(AND(A2940="",B2940="",D2940="",G2940=""),"",IF(OR(B2940="",NOT(ISNUMBER(B2940)),C2940="",C2940="Fora dos ciclos"),"",IF(C2940="C0","Nao",IF(IFERROR(INDEX(parametros!$A$2:$A$6,MATCH(C2940,parametros!$B$2:$B$6,0)),"")&lt;&gt;"Sim","Nao",IF(IFERROR(INDEX(parametros!$H$2:$H$6,MATCH(C2940,parametros!$B$2:$B$6,0)),"")="","",IF(B2940&gt;=IFERROR(INDEX(parametros!$H$2:$H$6,MATCH(C2940,parametros!$B$2:$B$6,0)),""),"Sim","Nao"))))))</f>
        <v/>
      </c>
      <c r="T2940" s="156"/>
      <c r="U2940" s="214" t="str">
        <f t="shared" si="231"/>
        <v/>
      </c>
      <c r="V2940" s="212" t="s">
        <v>50</v>
      </c>
      <c r="W2940" s="100" t="s">
        <v>168</v>
      </c>
      <c r="X2940" s="100" t="s">
        <v>169</v>
      </c>
      <c r="Y2940" s="101" t="s">
        <v>170</v>
      </c>
      <c r="Z2940" s="101" t="s">
        <v>171</v>
      </c>
      <c r="AA2940" s="101" t="s">
        <v>50</v>
      </c>
      <c r="AB2940" s="101" t="s">
        <v>172</v>
      </c>
      <c r="AC2940" s="102" t="s">
        <v>173</v>
      </c>
    </row>
    <row r="2941" spans="1:29" ht="25.5" customHeight="1" x14ac:dyDescent="0.35">
      <c r="A2941" s="392"/>
      <c r="B2941" s="393"/>
      <c r="C2941" s="99" t="str">
        <f>IF(B2941="","",IF(NOT(ISNUMBER(B2941)),"DATA_PC invalida",IF(NOT(ISNUMBER(parametros!$C$2)),"Fora dos ciclos",IF(OR(B2941&lt;parametros!$C$2,(YEAR(B2941)-YEAR(parametros!$C$2))*12+MONTH(B2941)-MONTH(parametros!$C$2)&gt;59),"Fora dos ciclos","C"&amp;INT(((YEAR(B2941)-YEAR(parametros!$C$2))*12+MONTH(B2941)-MONTH(parametros!$C$2))/12)))))</f>
        <v/>
      </c>
      <c r="D2941" s="394"/>
      <c r="E2941" s="78" t="str">
        <f>IF(C2941="","",IFERROR(VLOOKUP(C2941,parametros!$A$11:$E$15,5,0),""))</f>
        <v/>
      </c>
      <c r="F2941" s="79" t="str">
        <f t="shared" si="227"/>
        <v/>
      </c>
      <c r="G2941" s="395"/>
      <c r="H2941" s="91">
        <f t="shared" si="228"/>
        <v>0</v>
      </c>
      <c r="I2941" s="91" t="str">
        <f t="shared" si="229"/>
        <v/>
      </c>
      <c r="J2941" s="91" t="str">
        <f t="shared" si="230"/>
        <v/>
      </c>
      <c r="K2941" s="92" t="str">
        <f>IF(AND(A2941="",B2941="",D2941="",G2941=""),"",IF(AND(A2941&lt;&gt;"",COUNTIF($A$2:$A$5001,A2941)&gt;1),"NUMERO_PC duplicado",IF(B2941="","DATA_PC vazia",IF(NOT(ISNUMBER(B2941)),"DATA_PC invalida",IF(OR(C2941="",C2941="Fora dos ciclos"),"CICLO_PC nao identificado",IF(OR(D2941="",D2941=0),"VALOR_PC vazio ou zero",IF(AND(G2941&lt;&gt;"Sim",G2941&lt;&gt;"Nao",G2941&lt;&gt;""),"PC_PAGO_A_CONTRATADA invalido",IF(AND(C2941&lt;&gt;"C0",IFERROR(INDEX(parametros!$A$2:$A$6,MATCH(C2941,parametros!$B$2:$B$6,0)),"")="Sim",IFERROR(INDEX(parametros!$H$2:$H$6,MATCH(C2941,parametros!$B$2:$B$6,0)),"")=""),"INICIO_EFEITO ausente: PC "&amp;A2941&amp;" - "&amp;C2941,IF(L2941="","EFEITO_PC nao calculado: PC "&amp;A2941&amp;" - "&amp;C2941,"OK")))))))))</f>
        <v/>
      </c>
      <c r="L2941" s="92" t="str">
        <f>IF(AND(A2941="",B2941="",D2941="",G2941=""),"",IF(OR(B2941="",NOT(ISNUMBER(B2941)),C2941="",C2941="Fora dos ciclos"),"",IF(C2941="C0","Nao",IF(IFERROR(INDEX(parametros!$A$2:$A$6,MATCH(C2941,parametros!$B$2:$B$6,0)),"")&lt;&gt;"Sim","Nao",IF(IFERROR(INDEX(parametros!$H$2:$H$6,MATCH(C2941,parametros!$B$2:$B$6,0)),"")="","",IF(B2941&gt;=IFERROR(INDEX(parametros!$H$2:$H$6,MATCH(C2941,parametros!$B$2:$B$6,0)),""),"Sim","Nao"))))))</f>
        <v/>
      </c>
      <c r="T2941" s="156"/>
      <c r="U2941" s="214" t="str">
        <f t="shared" si="231"/>
        <v/>
      </c>
      <c r="V2941" s="212" t="s">
        <v>50</v>
      </c>
      <c r="W2941" s="100" t="s">
        <v>168</v>
      </c>
      <c r="X2941" s="100" t="s">
        <v>169</v>
      </c>
      <c r="Y2941" s="101" t="s">
        <v>170</v>
      </c>
      <c r="Z2941" s="101" t="s">
        <v>171</v>
      </c>
      <c r="AA2941" s="101" t="s">
        <v>50</v>
      </c>
      <c r="AB2941" s="101" t="s">
        <v>172</v>
      </c>
      <c r="AC2941" s="102" t="s">
        <v>173</v>
      </c>
    </row>
    <row r="2942" spans="1:29" ht="25.5" customHeight="1" x14ac:dyDescent="0.35">
      <c r="A2942" s="392"/>
      <c r="B2942" s="393"/>
      <c r="C2942" s="99" t="str">
        <f>IF(B2942="","",IF(NOT(ISNUMBER(B2942)),"DATA_PC invalida",IF(NOT(ISNUMBER(parametros!$C$2)),"Fora dos ciclos",IF(OR(B2942&lt;parametros!$C$2,(YEAR(B2942)-YEAR(parametros!$C$2))*12+MONTH(B2942)-MONTH(parametros!$C$2)&gt;59),"Fora dos ciclos","C"&amp;INT(((YEAR(B2942)-YEAR(parametros!$C$2))*12+MONTH(B2942)-MONTH(parametros!$C$2))/12)))))</f>
        <v/>
      </c>
      <c r="D2942" s="394"/>
      <c r="E2942" s="78" t="str">
        <f>IF(C2942="","",IFERROR(VLOOKUP(C2942,parametros!$A$11:$E$15,5,0),""))</f>
        <v/>
      </c>
      <c r="F2942" s="79" t="str">
        <f t="shared" si="227"/>
        <v/>
      </c>
      <c r="G2942" s="395"/>
      <c r="H2942" s="91">
        <f t="shared" si="228"/>
        <v>0</v>
      </c>
      <c r="I2942" s="91" t="str">
        <f t="shared" si="229"/>
        <v/>
      </c>
      <c r="J2942" s="91" t="str">
        <f t="shared" si="230"/>
        <v/>
      </c>
      <c r="K2942" s="92" t="str">
        <f>IF(AND(A2942="",B2942="",D2942="",G2942=""),"",IF(AND(A2942&lt;&gt;"",COUNTIF($A$2:$A$5001,A2942)&gt;1),"NUMERO_PC duplicado",IF(B2942="","DATA_PC vazia",IF(NOT(ISNUMBER(B2942)),"DATA_PC invalida",IF(OR(C2942="",C2942="Fora dos ciclos"),"CICLO_PC nao identificado",IF(OR(D2942="",D2942=0),"VALOR_PC vazio ou zero",IF(AND(G2942&lt;&gt;"Sim",G2942&lt;&gt;"Nao",G2942&lt;&gt;""),"PC_PAGO_A_CONTRATADA invalido",IF(AND(C2942&lt;&gt;"C0",IFERROR(INDEX(parametros!$A$2:$A$6,MATCH(C2942,parametros!$B$2:$B$6,0)),"")="Sim",IFERROR(INDEX(parametros!$H$2:$H$6,MATCH(C2942,parametros!$B$2:$B$6,0)),"")=""),"INICIO_EFEITO ausente: PC "&amp;A2942&amp;" - "&amp;C2942,IF(L2942="","EFEITO_PC nao calculado: PC "&amp;A2942&amp;" - "&amp;C2942,"OK")))))))))</f>
        <v/>
      </c>
      <c r="L2942" s="92" t="str">
        <f>IF(AND(A2942="",B2942="",D2942="",G2942=""),"",IF(OR(B2942="",NOT(ISNUMBER(B2942)),C2942="",C2942="Fora dos ciclos"),"",IF(C2942="C0","Nao",IF(IFERROR(INDEX(parametros!$A$2:$A$6,MATCH(C2942,parametros!$B$2:$B$6,0)),"")&lt;&gt;"Sim","Nao",IF(IFERROR(INDEX(parametros!$H$2:$H$6,MATCH(C2942,parametros!$B$2:$B$6,0)),"")="","",IF(B2942&gt;=IFERROR(INDEX(parametros!$H$2:$H$6,MATCH(C2942,parametros!$B$2:$B$6,0)),""),"Sim","Nao"))))))</f>
        <v/>
      </c>
      <c r="T2942" s="156"/>
      <c r="U2942" s="214" t="str">
        <f t="shared" si="231"/>
        <v/>
      </c>
      <c r="V2942" s="212" t="s">
        <v>50</v>
      </c>
      <c r="W2942" s="100" t="s">
        <v>168</v>
      </c>
      <c r="X2942" s="100" t="s">
        <v>169</v>
      </c>
      <c r="Y2942" s="101" t="s">
        <v>170</v>
      </c>
      <c r="Z2942" s="101" t="s">
        <v>171</v>
      </c>
      <c r="AA2942" s="101" t="s">
        <v>50</v>
      </c>
      <c r="AB2942" s="101" t="s">
        <v>172</v>
      </c>
      <c r="AC2942" s="102" t="s">
        <v>173</v>
      </c>
    </row>
    <row r="2943" spans="1:29" ht="25.5" customHeight="1" x14ac:dyDescent="0.35">
      <c r="A2943" s="392"/>
      <c r="B2943" s="393"/>
      <c r="C2943" s="99" t="str">
        <f>IF(B2943="","",IF(NOT(ISNUMBER(B2943)),"DATA_PC invalida",IF(NOT(ISNUMBER(parametros!$C$2)),"Fora dos ciclos",IF(OR(B2943&lt;parametros!$C$2,(YEAR(B2943)-YEAR(parametros!$C$2))*12+MONTH(B2943)-MONTH(parametros!$C$2)&gt;59),"Fora dos ciclos","C"&amp;INT(((YEAR(B2943)-YEAR(parametros!$C$2))*12+MONTH(B2943)-MONTH(parametros!$C$2))/12)))))</f>
        <v/>
      </c>
      <c r="D2943" s="394"/>
      <c r="E2943" s="78" t="str">
        <f>IF(C2943="","",IFERROR(VLOOKUP(C2943,parametros!$A$11:$E$15,5,0),""))</f>
        <v/>
      </c>
      <c r="F2943" s="79" t="str">
        <f t="shared" si="227"/>
        <v/>
      </c>
      <c r="G2943" s="395"/>
      <c r="H2943" s="91">
        <f t="shared" si="228"/>
        <v>0</v>
      </c>
      <c r="I2943" s="91" t="str">
        <f t="shared" si="229"/>
        <v/>
      </c>
      <c r="J2943" s="91" t="str">
        <f t="shared" si="230"/>
        <v/>
      </c>
      <c r="K2943" s="92" t="str">
        <f>IF(AND(A2943="",B2943="",D2943="",G2943=""),"",IF(AND(A2943&lt;&gt;"",COUNTIF($A$2:$A$5001,A2943)&gt;1),"NUMERO_PC duplicado",IF(B2943="","DATA_PC vazia",IF(NOT(ISNUMBER(B2943)),"DATA_PC invalida",IF(OR(C2943="",C2943="Fora dos ciclos"),"CICLO_PC nao identificado",IF(OR(D2943="",D2943=0),"VALOR_PC vazio ou zero",IF(AND(G2943&lt;&gt;"Sim",G2943&lt;&gt;"Nao",G2943&lt;&gt;""),"PC_PAGO_A_CONTRATADA invalido",IF(AND(C2943&lt;&gt;"C0",IFERROR(INDEX(parametros!$A$2:$A$6,MATCH(C2943,parametros!$B$2:$B$6,0)),"")="Sim",IFERROR(INDEX(parametros!$H$2:$H$6,MATCH(C2943,parametros!$B$2:$B$6,0)),"")=""),"INICIO_EFEITO ausente: PC "&amp;A2943&amp;" - "&amp;C2943,IF(L2943="","EFEITO_PC nao calculado: PC "&amp;A2943&amp;" - "&amp;C2943,"OK")))))))))</f>
        <v/>
      </c>
      <c r="L2943" s="92" t="str">
        <f>IF(AND(A2943="",B2943="",D2943="",G2943=""),"",IF(OR(B2943="",NOT(ISNUMBER(B2943)),C2943="",C2943="Fora dos ciclos"),"",IF(C2943="C0","Nao",IF(IFERROR(INDEX(parametros!$A$2:$A$6,MATCH(C2943,parametros!$B$2:$B$6,0)),"")&lt;&gt;"Sim","Nao",IF(IFERROR(INDEX(parametros!$H$2:$H$6,MATCH(C2943,parametros!$B$2:$B$6,0)),"")="","",IF(B2943&gt;=IFERROR(INDEX(parametros!$H$2:$H$6,MATCH(C2943,parametros!$B$2:$B$6,0)),""),"Sim","Nao"))))))</f>
        <v/>
      </c>
      <c r="T2943" s="156"/>
      <c r="U2943" s="214" t="str">
        <f t="shared" si="231"/>
        <v/>
      </c>
      <c r="V2943" s="212" t="s">
        <v>50</v>
      </c>
      <c r="W2943" s="100" t="s">
        <v>168</v>
      </c>
      <c r="X2943" s="100" t="s">
        <v>169</v>
      </c>
      <c r="Y2943" s="101" t="s">
        <v>170</v>
      </c>
      <c r="Z2943" s="101" t="s">
        <v>171</v>
      </c>
      <c r="AA2943" s="101" t="s">
        <v>50</v>
      </c>
      <c r="AB2943" s="101" t="s">
        <v>172</v>
      </c>
      <c r="AC2943" s="102" t="s">
        <v>173</v>
      </c>
    </row>
    <row r="2944" spans="1:29" ht="25.5" customHeight="1" x14ac:dyDescent="0.35">
      <c r="A2944" s="392"/>
      <c r="B2944" s="393"/>
      <c r="C2944" s="99" t="str">
        <f>IF(B2944="","",IF(NOT(ISNUMBER(B2944)),"DATA_PC invalida",IF(NOT(ISNUMBER(parametros!$C$2)),"Fora dos ciclos",IF(OR(B2944&lt;parametros!$C$2,(YEAR(B2944)-YEAR(parametros!$C$2))*12+MONTH(B2944)-MONTH(parametros!$C$2)&gt;59),"Fora dos ciclos","C"&amp;INT(((YEAR(B2944)-YEAR(parametros!$C$2))*12+MONTH(B2944)-MONTH(parametros!$C$2))/12)))))</f>
        <v/>
      </c>
      <c r="D2944" s="394"/>
      <c r="E2944" s="78" t="str">
        <f>IF(C2944="","",IFERROR(VLOOKUP(C2944,parametros!$A$11:$E$15,5,0),""))</f>
        <v/>
      </c>
      <c r="F2944" s="79" t="str">
        <f t="shared" si="227"/>
        <v/>
      </c>
      <c r="G2944" s="395"/>
      <c r="H2944" s="91">
        <f t="shared" si="228"/>
        <v>0</v>
      </c>
      <c r="I2944" s="91" t="str">
        <f t="shared" si="229"/>
        <v/>
      </c>
      <c r="J2944" s="91" t="str">
        <f t="shared" si="230"/>
        <v/>
      </c>
      <c r="K2944" s="92" t="str">
        <f>IF(AND(A2944="",B2944="",D2944="",G2944=""),"",IF(AND(A2944&lt;&gt;"",COUNTIF($A$2:$A$5001,A2944)&gt;1),"NUMERO_PC duplicado",IF(B2944="","DATA_PC vazia",IF(NOT(ISNUMBER(B2944)),"DATA_PC invalida",IF(OR(C2944="",C2944="Fora dos ciclos"),"CICLO_PC nao identificado",IF(OR(D2944="",D2944=0),"VALOR_PC vazio ou zero",IF(AND(G2944&lt;&gt;"Sim",G2944&lt;&gt;"Nao",G2944&lt;&gt;""),"PC_PAGO_A_CONTRATADA invalido",IF(AND(C2944&lt;&gt;"C0",IFERROR(INDEX(parametros!$A$2:$A$6,MATCH(C2944,parametros!$B$2:$B$6,0)),"")="Sim",IFERROR(INDEX(parametros!$H$2:$H$6,MATCH(C2944,parametros!$B$2:$B$6,0)),"")=""),"INICIO_EFEITO ausente: PC "&amp;A2944&amp;" - "&amp;C2944,IF(L2944="","EFEITO_PC nao calculado: PC "&amp;A2944&amp;" - "&amp;C2944,"OK")))))))))</f>
        <v/>
      </c>
      <c r="L2944" s="92" t="str">
        <f>IF(AND(A2944="",B2944="",D2944="",G2944=""),"",IF(OR(B2944="",NOT(ISNUMBER(B2944)),C2944="",C2944="Fora dos ciclos"),"",IF(C2944="C0","Nao",IF(IFERROR(INDEX(parametros!$A$2:$A$6,MATCH(C2944,parametros!$B$2:$B$6,0)),"")&lt;&gt;"Sim","Nao",IF(IFERROR(INDEX(parametros!$H$2:$H$6,MATCH(C2944,parametros!$B$2:$B$6,0)),"")="","",IF(B2944&gt;=IFERROR(INDEX(parametros!$H$2:$H$6,MATCH(C2944,parametros!$B$2:$B$6,0)),""),"Sim","Nao"))))))</f>
        <v/>
      </c>
      <c r="T2944" s="156"/>
      <c r="U2944" s="214" t="str">
        <f t="shared" si="231"/>
        <v/>
      </c>
      <c r="V2944" s="212" t="s">
        <v>50</v>
      </c>
      <c r="W2944" s="100" t="s">
        <v>168</v>
      </c>
      <c r="X2944" s="100" t="s">
        <v>169</v>
      </c>
      <c r="Y2944" s="101" t="s">
        <v>170</v>
      </c>
      <c r="Z2944" s="101" t="s">
        <v>171</v>
      </c>
      <c r="AA2944" s="101" t="s">
        <v>50</v>
      </c>
      <c r="AB2944" s="101" t="s">
        <v>172</v>
      </c>
      <c r="AC2944" s="102" t="s">
        <v>173</v>
      </c>
    </row>
    <row r="2945" spans="1:29" ht="25.5" customHeight="1" x14ac:dyDescent="0.35">
      <c r="A2945" s="392"/>
      <c r="B2945" s="393"/>
      <c r="C2945" s="99" t="str">
        <f>IF(B2945="","",IF(NOT(ISNUMBER(B2945)),"DATA_PC invalida",IF(NOT(ISNUMBER(parametros!$C$2)),"Fora dos ciclos",IF(OR(B2945&lt;parametros!$C$2,(YEAR(B2945)-YEAR(parametros!$C$2))*12+MONTH(B2945)-MONTH(parametros!$C$2)&gt;59),"Fora dos ciclos","C"&amp;INT(((YEAR(B2945)-YEAR(parametros!$C$2))*12+MONTH(B2945)-MONTH(parametros!$C$2))/12)))))</f>
        <v/>
      </c>
      <c r="D2945" s="394"/>
      <c r="E2945" s="78" t="str">
        <f>IF(C2945="","",IFERROR(VLOOKUP(C2945,parametros!$A$11:$E$15,5,0),""))</f>
        <v/>
      </c>
      <c r="F2945" s="79" t="str">
        <f t="shared" si="227"/>
        <v/>
      </c>
      <c r="G2945" s="395"/>
      <c r="H2945" s="91">
        <f t="shared" si="228"/>
        <v>0</v>
      </c>
      <c r="I2945" s="91" t="str">
        <f t="shared" si="229"/>
        <v/>
      </c>
      <c r="J2945" s="91" t="str">
        <f t="shared" si="230"/>
        <v/>
      </c>
      <c r="K2945" s="92" t="str">
        <f>IF(AND(A2945="",B2945="",D2945="",G2945=""),"",IF(AND(A2945&lt;&gt;"",COUNTIF($A$2:$A$5001,A2945)&gt;1),"NUMERO_PC duplicado",IF(B2945="","DATA_PC vazia",IF(NOT(ISNUMBER(B2945)),"DATA_PC invalida",IF(OR(C2945="",C2945="Fora dos ciclos"),"CICLO_PC nao identificado",IF(OR(D2945="",D2945=0),"VALOR_PC vazio ou zero",IF(AND(G2945&lt;&gt;"Sim",G2945&lt;&gt;"Nao",G2945&lt;&gt;""),"PC_PAGO_A_CONTRATADA invalido",IF(AND(C2945&lt;&gt;"C0",IFERROR(INDEX(parametros!$A$2:$A$6,MATCH(C2945,parametros!$B$2:$B$6,0)),"")="Sim",IFERROR(INDEX(parametros!$H$2:$H$6,MATCH(C2945,parametros!$B$2:$B$6,0)),"")=""),"INICIO_EFEITO ausente: PC "&amp;A2945&amp;" - "&amp;C2945,IF(L2945="","EFEITO_PC nao calculado: PC "&amp;A2945&amp;" - "&amp;C2945,"OK")))))))))</f>
        <v/>
      </c>
      <c r="L2945" s="92" t="str">
        <f>IF(AND(A2945="",B2945="",D2945="",G2945=""),"",IF(OR(B2945="",NOT(ISNUMBER(B2945)),C2945="",C2945="Fora dos ciclos"),"",IF(C2945="C0","Nao",IF(IFERROR(INDEX(parametros!$A$2:$A$6,MATCH(C2945,parametros!$B$2:$B$6,0)),"")&lt;&gt;"Sim","Nao",IF(IFERROR(INDEX(parametros!$H$2:$H$6,MATCH(C2945,parametros!$B$2:$B$6,0)),"")="","",IF(B2945&gt;=IFERROR(INDEX(parametros!$H$2:$H$6,MATCH(C2945,parametros!$B$2:$B$6,0)),""),"Sim","Nao"))))))</f>
        <v/>
      </c>
      <c r="T2945" s="156"/>
      <c r="U2945" s="214" t="str">
        <f t="shared" si="231"/>
        <v/>
      </c>
      <c r="V2945" s="212" t="s">
        <v>50</v>
      </c>
      <c r="W2945" s="100" t="s">
        <v>168</v>
      </c>
      <c r="X2945" s="100" t="s">
        <v>169</v>
      </c>
      <c r="Y2945" s="101" t="s">
        <v>170</v>
      </c>
      <c r="Z2945" s="101" t="s">
        <v>171</v>
      </c>
      <c r="AA2945" s="101" t="s">
        <v>50</v>
      </c>
      <c r="AB2945" s="101" t="s">
        <v>172</v>
      </c>
      <c r="AC2945" s="102" t="s">
        <v>173</v>
      </c>
    </row>
    <row r="2946" spans="1:29" ht="25.5" customHeight="1" x14ac:dyDescent="0.35">
      <c r="A2946" s="392"/>
      <c r="B2946" s="393"/>
      <c r="C2946" s="99" t="str">
        <f>IF(B2946="","",IF(NOT(ISNUMBER(B2946)),"DATA_PC invalida",IF(NOT(ISNUMBER(parametros!$C$2)),"Fora dos ciclos",IF(OR(B2946&lt;parametros!$C$2,(YEAR(B2946)-YEAR(parametros!$C$2))*12+MONTH(B2946)-MONTH(parametros!$C$2)&gt;59),"Fora dos ciclos","C"&amp;INT(((YEAR(B2946)-YEAR(parametros!$C$2))*12+MONTH(B2946)-MONTH(parametros!$C$2))/12)))))</f>
        <v/>
      </c>
      <c r="D2946" s="394"/>
      <c r="E2946" s="78" t="str">
        <f>IF(C2946="","",IFERROR(VLOOKUP(C2946,parametros!$A$11:$E$15,5,0),""))</f>
        <v/>
      </c>
      <c r="F2946" s="79" t="str">
        <f t="shared" ref="F2946:F3009" si="232">IF(OR(D2946="",E2946=""),"",ROUND(D2946*E2946,2))</f>
        <v/>
      </c>
      <c r="G2946" s="395"/>
      <c r="H2946" s="91">
        <f t="shared" ref="H2946:H3009" si="233">IF(G2946="Sim",IF(OR(F2946="",D2946="",L2946=""),"",IF(L2946="Sim",ROUND(F2946-D2946,2),0)),0)</f>
        <v>0</v>
      </c>
      <c r="I2946" s="91" t="str">
        <f t="shared" ref="I2946:I3009" si="234">IF(G2946="Sim",0,IF(OR(F2946="",L2946=""),"",F2946))</f>
        <v/>
      </c>
      <c r="J2946" s="91" t="str">
        <f t="shared" ref="J2946:J3009" si="235">IF(G2946="Sim",0,IF(OR(F2946="",D2946="",L2946=""),"",IF(L2946="Sim",ROUND(F2946-D2946,2),0)))</f>
        <v/>
      </c>
      <c r="K2946" s="92" t="str">
        <f>IF(AND(A2946="",B2946="",D2946="",G2946=""),"",IF(AND(A2946&lt;&gt;"",COUNTIF($A$2:$A$5001,A2946)&gt;1),"NUMERO_PC duplicado",IF(B2946="","DATA_PC vazia",IF(NOT(ISNUMBER(B2946)),"DATA_PC invalida",IF(OR(C2946="",C2946="Fora dos ciclos"),"CICLO_PC nao identificado",IF(OR(D2946="",D2946=0),"VALOR_PC vazio ou zero",IF(AND(G2946&lt;&gt;"Sim",G2946&lt;&gt;"Nao",G2946&lt;&gt;""),"PC_PAGO_A_CONTRATADA invalido",IF(AND(C2946&lt;&gt;"C0",IFERROR(INDEX(parametros!$A$2:$A$6,MATCH(C2946,parametros!$B$2:$B$6,0)),"")="Sim",IFERROR(INDEX(parametros!$H$2:$H$6,MATCH(C2946,parametros!$B$2:$B$6,0)),"")=""),"INICIO_EFEITO ausente: PC "&amp;A2946&amp;" - "&amp;C2946,IF(L2946="","EFEITO_PC nao calculado: PC "&amp;A2946&amp;" - "&amp;C2946,"OK")))))))))</f>
        <v/>
      </c>
      <c r="L2946" s="92" t="str">
        <f>IF(AND(A2946="",B2946="",D2946="",G2946=""),"",IF(OR(B2946="",NOT(ISNUMBER(B2946)),C2946="",C2946="Fora dos ciclos"),"",IF(C2946="C0","Nao",IF(IFERROR(INDEX(parametros!$A$2:$A$6,MATCH(C2946,parametros!$B$2:$B$6,0)),"")&lt;&gt;"Sim","Nao",IF(IFERROR(INDEX(parametros!$H$2:$H$6,MATCH(C2946,parametros!$B$2:$B$6,0)),"")="","",IF(B2946&gt;=IFERROR(INDEX(parametros!$H$2:$H$6,MATCH(C2946,parametros!$B$2:$B$6,0)),""),"Sim","Nao"))))))</f>
        <v/>
      </c>
      <c r="T2946" s="156"/>
      <c r="U2946" s="214" t="str">
        <f t="shared" ref="U2946:U3009" si="236">IF(OR($D2946="",$H2946=""),"",ROUND($D2946+$H2946,2))</f>
        <v/>
      </c>
      <c r="V2946" s="212" t="s">
        <v>50</v>
      </c>
      <c r="W2946" s="100" t="s">
        <v>168</v>
      </c>
      <c r="X2946" s="100" t="s">
        <v>169</v>
      </c>
      <c r="Y2946" s="101" t="s">
        <v>170</v>
      </c>
      <c r="Z2946" s="101" t="s">
        <v>171</v>
      </c>
      <c r="AA2946" s="101" t="s">
        <v>50</v>
      </c>
      <c r="AB2946" s="101" t="s">
        <v>172</v>
      </c>
      <c r="AC2946" s="102" t="s">
        <v>173</v>
      </c>
    </row>
    <row r="2947" spans="1:29" ht="25.5" customHeight="1" x14ac:dyDescent="0.35">
      <c r="A2947" s="392"/>
      <c r="B2947" s="393"/>
      <c r="C2947" s="99" t="str">
        <f>IF(B2947="","",IF(NOT(ISNUMBER(B2947)),"DATA_PC invalida",IF(NOT(ISNUMBER(parametros!$C$2)),"Fora dos ciclos",IF(OR(B2947&lt;parametros!$C$2,(YEAR(B2947)-YEAR(parametros!$C$2))*12+MONTH(B2947)-MONTH(parametros!$C$2)&gt;59),"Fora dos ciclos","C"&amp;INT(((YEAR(B2947)-YEAR(parametros!$C$2))*12+MONTH(B2947)-MONTH(parametros!$C$2))/12)))))</f>
        <v/>
      </c>
      <c r="D2947" s="394"/>
      <c r="E2947" s="78" t="str">
        <f>IF(C2947="","",IFERROR(VLOOKUP(C2947,parametros!$A$11:$E$15,5,0),""))</f>
        <v/>
      </c>
      <c r="F2947" s="79" t="str">
        <f t="shared" si="232"/>
        <v/>
      </c>
      <c r="G2947" s="395"/>
      <c r="H2947" s="91">
        <f t="shared" si="233"/>
        <v>0</v>
      </c>
      <c r="I2947" s="91" t="str">
        <f t="shared" si="234"/>
        <v/>
      </c>
      <c r="J2947" s="91" t="str">
        <f t="shared" si="235"/>
        <v/>
      </c>
      <c r="K2947" s="92" t="str">
        <f>IF(AND(A2947="",B2947="",D2947="",G2947=""),"",IF(AND(A2947&lt;&gt;"",COUNTIF($A$2:$A$5001,A2947)&gt;1),"NUMERO_PC duplicado",IF(B2947="","DATA_PC vazia",IF(NOT(ISNUMBER(B2947)),"DATA_PC invalida",IF(OR(C2947="",C2947="Fora dos ciclos"),"CICLO_PC nao identificado",IF(OR(D2947="",D2947=0),"VALOR_PC vazio ou zero",IF(AND(G2947&lt;&gt;"Sim",G2947&lt;&gt;"Nao",G2947&lt;&gt;""),"PC_PAGO_A_CONTRATADA invalido",IF(AND(C2947&lt;&gt;"C0",IFERROR(INDEX(parametros!$A$2:$A$6,MATCH(C2947,parametros!$B$2:$B$6,0)),"")="Sim",IFERROR(INDEX(parametros!$H$2:$H$6,MATCH(C2947,parametros!$B$2:$B$6,0)),"")=""),"INICIO_EFEITO ausente: PC "&amp;A2947&amp;" - "&amp;C2947,IF(L2947="","EFEITO_PC nao calculado: PC "&amp;A2947&amp;" - "&amp;C2947,"OK")))))))))</f>
        <v/>
      </c>
      <c r="L2947" s="92" t="str">
        <f>IF(AND(A2947="",B2947="",D2947="",G2947=""),"",IF(OR(B2947="",NOT(ISNUMBER(B2947)),C2947="",C2947="Fora dos ciclos"),"",IF(C2947="C0","Nao",IF(IFERROR(INDEX(parametros!$A$2:$A$6,MATCH(C2947,parametros!$B$2:$B$6,0)),"")&lt;&gt;"Sim","Nao",IF(IFERROR(INDEX(parametros!$H$2:$H$6,MATCH(C2947,parametros!$B$2:$B$6,0)),"")="","",IF(B2947&gt;=IFERROR(INDEX(parametros!$H$2:$H$6,MATCH(C2947,parametros!$B$2:$B$6,0)),""),"Sim","Nao"))))))</f>
        <v/>
      </c>
      <c r="T2947" s="156"/>
      <c r="U2947" s="214" t="str">
        <f t="shared" si="236"/>
        <v/>
      </c>
      <c r="V2947" s="212" t="s">
        <v>50</v>
      </c>
      <c r="W2947" s="100" t="s">
        <v>168</v>
      </c>
      <c r="X2947" s="100" t="s">
        <v>169</v>
      </c>
      <c r="Y2947" s="101" t="s">
        <v>170</v>
      </c>
      <c r="Z2947" s="101" t="s">
        <v>171</v>
      </c>
      <c r="AA2947" s="101" t="s">
        <v>50</v>
      </c>
      <c r="AB2947" s="101" t="s">
        <v>172</v>
      </c>
      <c r="AC2947" s="102" t="s">
        <v>173</v>
      </c>
    </row>
    <row r="2948" spans="1:29" ht="25.5" customHeight="1" x14ac:dyDescent="0.35">
      <c r="A2948" s="392"/>
      <c r="B2948" s="393"/>
      <c r="C2948" s="99" t="str">
        <f>IF(B2948="","",IF(NOT(ISNUMBER(B2948)),"DATA_PC invalida",IF(NOT(ISNUMBER(parametros!$C$2)),"Fora dos ciclos",IF(OR(B2948&lt;parametros!$C$2,(YEAR(B2948)-YEAR(parametros!$C$2))*12+MONTH(B2948)-MONTH(parametros!$C$2)&gt;59),"Fora dos ciclos","C"&amp;INT(((YEAR(B2948)-YEAR(parametros!$C$2))*12+MONTH(B2948)-MONTH(parametros!$C$2))/12)))))</f>
        <v/>
      </c>
      <c r="D2948" s="394"/>
      <c r="E2948" s="78" t="str">
        <f>IF(C2948="","",IFERROR(VLOOKUP(C2948,parametros!$A$11:$E$15,5,0),""))</f>
        <v/>
      </c>
      <c r="F2948" s="79" t="str">
        <f t="shared" si="232"/>
        <v/>
      </c>
      <c r="G2948" s="395"/>
      <c r="H2948" s="91">
        <f t="shared" si="233"/>
        <v>0</v>
      </c>
      <c r="I2948" s="91" t="str">
        <f t="shared" si="234"/>
        <v/>
      </c>
      <c r="J2948" s="91" t="str">
        <f t="shared" si="235"/>
        <v/>
      </c>
      <c r="K2948" s="92" t="str">
        <f>IF(AND(A2948="",B2948="",D2948="",G2948=""),"",IF(AND(A2948&lt;&gt;"",COUNTIF($A$2:$A$5001,A2948)&gt;1),"NUMERO_PC duplicado",IF(B2948="","DATA_PC vazia",IF(NOT(ISNUMBER(B2948)),"DATA_PC invalida",IF(OR(C2948="",C2948="Fora dos ciclos"),"CICLO_PC nao identificado",IF(OR(D2948="",D2948=0),"VALOR_PC vazio ou zero",IF(AND(G2948&lt;&gt;"Sim",G2948&lt;&gt;"Nao",G2948&lt;&gt;""),"PC_PAGO_A_CONTRATADA invalido",IF(AND(C2948&lt;&gt;"C0",IFERROR(INDEX(parametros!$A$2:$A$6,MATCH(C2948,parametros!$B$2:$B$6,0)),"")="Sim",IFERROR(INDEX(parametros!$H$2:$H$6,MATCH(C2948,parametros!$B$2:$B$6,0)),"")=""),"INICIO_EFEITO ausente: PC "&amp;A2948&amp;" - "&amp;C2948,IF(L2948="","EFEITO_PC nao calculado: PC "&amp;A2948&amp;" - "&amp;C2948,"OK")))))))))</f>
        <v/>
      </c>
      <c r="L2948" s="92" t="str">
        <f>IF(AND(A2948="",B2948="",D2948="",G2948=""),"",IF(OR(B2948="",NOT(ISNUMBER(B2948)),C2948="",C2948="Fora dos ciclos"),"",IF(C2948="C0","Nao",IF(IFERROR(INDEX(parametros!$A$2:$A$6,MATCH(C2948,parametros!$B$2:$B$6,0)),"")&lt;&gt;"Sim","Nao",IF(IFERROR(INDEX(parametros!$H$2:$H$6,MATCH(C2948,parametros!$B$2:$B$6,0)),"")="","",IF(B2948&gt;=IFERROR(INDEX(parametros!$H$2:$H$6,MATCH(C2948,parametros!$B$2:$B$6,0)),""),"Sim","Nao"))))))</f>
        <v/>
      </c>
      <c r="T2948" s="156"/>
      <c r="U2948" s="214" t="str">
        <f t="shared" si="236"/>
        <v/>
      </c>
      <c r="V2948" s="212" t="s">
        <v>50</v>
      </c>
      <c r="W2948" s="100" t="s">
        <v>168</v>
      </c>
      <c r="X2948" s="100" t="s">
        <v>169</v>
      </c>
      <c r="Y2948" s="101" t="s">
        <v>170</v>
      </c>
      <c r="Z2948" s="101" t="s">
        <v>171</v>
      </c>
      <c r="AA2948" s="101" t="s">
        <v>50</v>
      </c>
      <c r="AB2948" s="101" t="s">
        <v>172</v>
      </c>
      <c r="AC2948" s="102" t="s">
        <v>173</v>
      </c>
    </row>
    <row r="2949" spans="1:29" ht="25.5" customHeight="1" x14ac:dyDescent="0.35">
      <c r="A2949" s="392"/>
      <c r="B2949" s="393"/>
      <c r="C2949" s="99" t="str">
        <f>IF(B2949="","",IF(NOT(ISNUMBER(B2949)),"DATA_PC invalida",IF(NOT(ISNUMBER(parametros!$C$2)),"Fora dos ciclos",IF(OR(B2949&lt;parametros!$C$2,(YEAR(B2949)-YEAR(parametros!$C$2))*12+MONTH(B2949)-MONTH(parametros!$C$2)&gt;59),"Fora dos ciclos","C"&amp;INT(((YEAR(B2949)-YEAR(parametros!$C$2))*12+MONTH(B2949)-MONTH(parametros!$C$2))/12)))))</f>
        <v/>
      </c>
      <c r="D2949" s="394"/>
      <c r="E2949" s="78" t="str">
        <f>IF(C2949="","",IFERROR(VLOOKUP(C2949,parametros!$A$11:$E$15,5,0),""))</f>
        <v/>
      </c>
      <c r="F2949" s="79" t="str">
        <f t="shared" si="232"/>
        <v/>
      </c>
      <c r="G2949" s="395"/>
      <c r="H2949" s="91">
        <f t="shared" si="233"/>
        <v>0</v>
      </c>
      <c r="I2949" s="91" t="str">
        <f t="shared" si="234"/>
        <v/>
      </c>
      <c r="J2949" s="91" t="str">
        <f t="shared" si="235"/>
        <v/>
      </c>
      <c r="K2949" s="92" t="str">
        <f>IF(AND(A2949="",B2949="",D2949="",G2949=""),"",IF(AND(A2949&lt;&gt;"",COUNTIF($A$2:$A$5001,A2949)&gt;1),"NUMERO_PC duplicado",IF(B2949="","DATA_PC vazia",IF(NOT(ISNUMBER(B2949)),"DATA_PC invalida",IF(OR(C2949="",C2949="Fora dos ciclos"),"CICLO_PC nao identificado",IF(OR(D2949="",D2949=0),"VALOR_PC vazio ou zero",IF(AND(G2949&lt;&gt;"Sim",G2949&lt;&gt;"Nao",G2949&lt;&gt;""),"PC_PAGO_A_CONTRATADA invalido",IF(AND(C2949&lt;&gt;"C0",IFERROR(INDEX(parametros!$A$2:$A$6,MATCH(C2949,parametros!$B$2:$B$6,0)),"")="Sim",IFERROR(INDEX(parametros!$H$2:$H$6,MATCH(C2949,parametros!$B$2:$B$6,0)),"")=""),"INICIO_EFEITO ausente: PC "&amp;A2949&amp;" - "&amp;C2949,IF(L2949="","EFEITO_PC nao calculado: PC "&amp;A2949&amp;" - "&amp;C2949,"OK")))))))))</f>
        <v/>
      </c>
      <c r="L2949" s="92" t="str">
        <f>IF(AND(A2949="",B2949="",D2949="",G2949=""),"",IF(OR(B2949="",NOT(ISNUMBER(B2949)),C2949="",C2949="Fora dos ciclos"),"",IF(C2949="C0","Nao",IF(IFERROR(INDEX(parametros!$A$2:$A$6,MATCH(C2949,parametros!$B$2:$B$6,0)),"")&lt;&gt;"Sim","Nao",IF(IFERROR(INDEX(parametros!$H$2:$H$6,MATCH(C2949,parametros!$B$2:$B$6,0)),"")="","",IF(B2949&gt;=IFERROR(INDEX(parametros!$H$2:$H$6,MATCH(C2949,parametros!$B$2:$B$6,0)),""),"Sim","Nao"))))))</f>
        <v/>
      </c>
      <c r="T2949" s="156"/>
      <c r="U2949" s="214" t="str">
        <f t="shared" si="236"/>
        <v/>
      </c>
      <c r="V2949" s="212" t="s">
        <v>50</v>
      </c>
      <c r="W2949" s="100" t="s">
        <v>168</v>
      </c>
      <c r="X2949" s="100" t="s">
        <v>169</v>
      </c>
      <c r="Y2949" s="101" t="s">
        <v>170</v>
      </c>
      <c r="Z2949" s="101" t="s">
        <v>171</v>
      </c>
      <c r="AA2949" s="101" t="s">
        <v>50</v>
      </c>
      <c r="AB2949" s="101" t="s">
        <v>172</v>
      </c>
      <c r="AC2949" s="102" t="s">
        <v>173</v>
      </c>
    </row>
    <row r="2950" spans="1:29" ht="25.5" customHeight="1" x14ac:dyDescent="0.35">
      <c r="A2950" s="392"/>
      <c r="B2950" s="393"/>
      <c r="C2950" s="99" t="str">
        <f>IF(B2950="","",IF(NOT(ISNUMBER(B2950)),"DATA_PC invalida",IF(NOT(ISNUMBER(parametros!$C$2)),"Fora dos ciclos",IF(OR(B2950&lt;parametros!$C$2,(YEAR(B2950)-YEAR(parametros!$C$2))*12+MONTH(B2950)-MONTH(parametros!$C$2)&gt;59),"Fora dos ciclos","C"&amp;INT(((YEAR(B2950)-YEAR(parametros!$C$2))*12+MONTH(B2950)-MONTH(parametros!$C$2))/12)))))</f>
        <v/>
      </c>
      <c r="D2950" s="394"/>
      <c r="E2950" s="78" t="str">
        <f>IF(C2950="","",IFERROR(VLOOKUP(C2950,parametros!$A$11:$E$15,5,0),""))</f>
        <v/>
      </c>
      <c r="F2950" s="79" t="str">
        <f t="shared" si="232"/>
        <v/>
      </c>
      <c r="G2950" s="395"/>
      <c r="H2950" s="91">
        <f t="shared" si="233"/>
        <v>0</v>
      </c>
      <c r="I2950" s="91" t="str">
        <f t="shared" si="234"/>
        <v/>
      </c>
      <c r="J2950" s="91" t="str">
        <f t="shared" si="235"/>
        <v/>
      </c>
      <c r="K2950" s="92" t="str">
        <f>IF(AND(A2950="",B2950="",D2950="",G2950=""),"",IF(AND(A2950&lt;&gt;"",COUNTIF($A$2:$A$5001,A2950)&gt;1),"NUMERO_PC duplicado",IF(B2950="","DATA_PC vazia",IF(NOT(ISNUMBER(B2950)),"DATA_PC invalida",IF(OR(C2950="",C2950="Fora dos ciclos"),"CICLO_PC nao identificado",IF(OR(D2950="",D2950=0),"VALOR_PC vazio ou zero",IF(AND(G2950&lt;&gt;"Sim",G2950&lt;&gt;"Nao",G2950&lt;&gt;""),"PC_PAGO_A_CONTRATADA invalido",IF(AND(C2950&lt;&gt;"C0",IFERROR(INDEX(parametros!$A$2:$A$6,MATCH(C2950,parametros!$B$2:$B$6,0)),"")="Sim",IFERROR(INDEX(parametros!$H$2:$H$6,MATCH(C2950,parametros!$B$2:$B$6,0)),"")=""),"INICIO_EFEITO ausente: PC "&amp;A2950&amp;" - "&amp;C2950,IF(L2950="","EFEITO_PC nao calculado: PC "&amp;A2950&amp;" - "&amp;C2950,"OK")))))))))</f>
        <v/>
      </c>
      <c r="L2950" s="92" t="str">
        <f>IF(AND(A2950="",B2950="",D2950="",G2950=""),"",IF(OR(B2950="",NOT(ISNUMBER(B2950)),C2950="",C2950="Fora dos ciclos"),"",IF(C2950="C0","Nao",IF(IFERROR(INDEX(parametros!$A$2:$A$6,MATCH(C2950,parametros!$B$2:$B$6,0)),"")&lt;&gt;"Sim","Nao",IF(IFERROR(INDEX(parametros!$H$2:$H$6,MATCH(C2950,parametros!$B$2:$B$6,0)),"")="","",IF(B2950&gt;=IFERROR(INDEX(parametros!$H$2:$H$6,MATCH(C2950,parametros!$B$2:$B$6,0)),""),"Sim","Nao"))))))</f>
        <v/>
      </c>
      <c r="T2950" s="156"/>
      <c r="U2950" s="214" t="str">
        <f t="shared" si="236"/>
        <v/>
      </c>
      <c r="V2950" s="212" t="s">
        <v>50</v>
      </c>
      <c r="W2950" s="100" t="s">
        <v>168</v>
      </c>
      <c r="X2950" s="100" t="s">
        <v>169</v>
      </c>
      <c r="Y2950" s="101" t="s">
        <v>170</v>
      </c>
      <c r="Z2950" s="101" t="s">
        <v>171</v>
      </c>
      <c r="AA2950" s="101" t="s">
        <v>50</v>
      </c>
      <c r="AB2950" s="101" t="s">
        <v>172</v>
      </c>
      <c r="AC2950" s="102" t="s">
        <v>173</v>
      </c>
    </row>
    <row r="2951" spans="1:29" ht="25.5" customHeight="1" x14ac:dyDescent="0.35">
      <c r="A2951" s="392"/>
      <c r="B2951" s="393"/>
      <c r="C2951" s="99" t="str">
        <f>IF(B2951="","",IF(NOT(ISNUMBER(B2951)),"DATA_PC invalida",IF(NOT(ISNUMBER(parametros!$C$2)),"Fora dos ciclos",IF(OR(B2951&lt;parametros!$C$2,(YEAR(B2951)-YEAR(parametros!$C$2))*12+MONTH(B2951)-MONTH(parametros!$C$2)&gt;59),"Fora dos ciclos","C"&amp;INT(((YEAR(B2951)-YEAR(parametros!$C$2))*12+MONTH(B2951)-MONTH(parametros!$C$2))/12)))))</f>
        <v/>
      </c>
      <c r="D2951" s="394"/>
      <c r="E2951" s="78" t="str">
        <f>IF(C2951="","",IFERROR(VLOOKUP(C2951,parametros!$A$11:$E$15,5,0),""))</f>
        <v/>
      </c>
      <c r="F2951" s="79" t="str">
        <f t="shared" si="232"/>
        <v/>
      </c>
      <c r="G2951" s="395"/>
      <c r="H2951" s="91">
        <f t="shared" si="233"/>
        <v>0</v>
      </c>
      <c r="I2951" s="91" t="str">
        <f t="shared" si="234"/>
        <v/>
      </c>
      <c r="J2951" s="91" t="str">
        <f t="shared" si="235"/>
        <v/>
      </c>
      <c r="K2951" s="92" t="str">
        <f>IF(AND(A2951="",B2951="",D2951="",G2951=""),"",IF(AND(A2951&lt;&gt;"",COUNTIF($A$2:$A$5001,A2951)&gt;1),"NUMERO_PC duplicado",IF(B2951="","DATA_PC vazia",IF(NOT(ISNUMBER(B2951)),"DATA_PC invalida",IF(OR(C2951="",C2951="Fora dos ciclos"),"CICLO_PC nao identificado",IF(OR(D2951="",D2951=0),"VALOR_PC vazio ou zero",IF(AND(G2951&lt;&gt;"Sim",G2951&lt;&gt;"Nao",G2951&lt;&gt;""),"PC_PAGO_A_CONTRATADA invalido",IF(AND(C2951&lt;&gt;"C0",IFERROR(INDEX(parametros!$A$2:$A$6,MATCH(C2951,parametros!$B$2:$B$6,0)),"")="Sim",IFERROR(INDEX(parametros!$H$2:$H$6,MATCH(C2951,parametros!$B$2:$B$6,0)),"")=""),"INICIO_EFEITO ausente: PC "&amp;A2951&amp;" - "&amp;C2951,IF(L2951="","EFEITO_PC nao calculado: PC "&amp;A2951&amp;" - "&amp;C2951,"OK")))))))))</f>
        <v/>
      </c>
      <c r="L2951" s="92" t="str">
        <f>IF(AND(A2951="",B2951="",D2951="",G2951=""),"",IF(OR(B2951="",NOT(ISNUMBER(B2951)),C2951="",C2951="Fora dos ciclos"),"",IF(C2951="C0","Nao",IF(IFERROR(INDEX(parametros!$A$2:$A$6,MATCH(C2951,parametros!$B$2:$B$6,0)),"")&lt;&gt;"Sim","Nao",IF(IFERROR(INDEX(parametros!$H$2:$H$6,MATCH(C2951,parametros!$B$2:$B$6,0)),"")="","",IF(B2951&gt;=IFERROR(INDEX(parametros!$H$2:$H$6,MATCH(C2951,parametros!$B$2:$B$6,0)),""),"Sim","Nao"))))))</f>
        <v/>
      </c>
      <c r="T2951" s="156"/>
      <c r="U2951" s="214" t="str">
        <f t="shared" si="236"/>
        <v/>
      </c>
      <c r="V2951" s="212" t="s">
        <v>50</v>
      </c>
      <c r="W2951" s="100" t="s">
        <v>168</v>
      </c>
      <c r="X2951" s="100" t="s">
        <v>169</v>
      </c>
      <c r="Y2951" s="101" t="s">
        <v>170</v>
      </c>
      <c r="Z2951" s="101" t="s">
        <v>171</v>
      </c>
      <c r="AA2951" s="101" t="s">
        <v>50</v>
      </c>
      <c r="AB2951" s="101" t="s">
        <v>172</v>
      </c>
      <c r="AC2951" s="102" t="s">
        <v>173</v>
      </c>
    </row>
    <row r="2952" spans="1:29" ht="25.5" customHeight="1" x14ac:dyDescent="0.35">
      <c r="A2952" s="392"/>
      <c r="B2952" s="393"/>
      <c r="C2952" s="99" t="str">
        <f>IF(B2952="","",IF(NOT(ISNUMBER(B2952)),"DATA_PC invalida",IF(NOT(ISNUMBER(parametros!$C$2)),"Fora dos ciclos",IF(OR(B2952&lt;parametros!$C$2,(YEAR(B2952)-YEAR(parametros!$C$2))*12+MONTH(B2952)-MONTH(parametros!$C$2)&gt;59),"Fora dos ciclos","C"&amp;INT(((YEAR(B2952)-YEAR(parametros!$C$2))*12+MONTH(B2952)-MONTH(parametros!$C$2))/12)))))</f>
        <v/>
      </c>
      <c r="D2952" s="394"/>
      <c r="E2952" s="78" t="str">
        <f>IF(C2952="","",IFERROR(VLOOKUP(C2952,parametros!$A$11:$E$15,5,0),""))</f>
        <v/>
      </c>
      <c r="F2952" s="79" t="str">
        <f t="shared" si="232"/>
        <v/>
      </c>
      <c r="G2952" s="395"/>
      <c r="H2952" s="91">
        <f t="shared" si="233"/>
        <v>0</v>
      </c>
      <c r="I2952" s="91" t="str">
        <f t="shared" si="234"/>
        <v/>
      </c>
      <c r="J2952" s="91" t="str">
        <f t="shared" si="235"/>
        <v/>
      </c>
      <c r="K2952" s="92" t="str">
        <f>IF(AND(A2952="",B2952="",D2952="",G2952=""),"",IF(AND(A2952&lt;&gt;"",COUNTIF($A$2:$A$5001,A2952)&gt;1),"NUMERO_PC duplicado",IF(B2952="","DATA_PC vazia",IF(NOT(ISNUMBER(B2952)),"DATA_PC invalida",IF(OR(C2952="",C2952="Fora dos ciclos"),"CICLO_PC nao identificado",IF(OR(D2952="",D2952=0),"VALOR_PC vazio ou zero",IF(AND(G2952&lt;&gt;"Sim",G2952&lt;&gt;"Nao",G2952&lt;&gt;""),"PC_PAGO_A_CONTRATADA invalido",IF(AND(C2952&lt;&gt;"C0",IFERROR(INDEX(parametros!$A$2:$A$6,MATCH(C2952,parametros!$B$2:$B$6,0)),"")="Sim",IFERROR(INDEX(parametros!$H$2:$H$6,MATCH(C2952,parametros!$B$2:$B$6,0)),"")=""),"INICIO_EFEITO ausente: PC "&amp;A2952&amp;" - "&amp;C2952,IF(L2952="","EFEITO_PC nao calculado: PC "&amp;A2952&amp;" - "&amp;C2952,"OK")))))))))</f>
        <v/>
      </c>
      <c r="L2952" s="92" t="str">
        <f>IF(AND(A2952="",B2952="",D2952="",G2952=""),"",IF(OR(B2952="",NOT(ISNUMBER(B2952)),C2952="",C2952="Fora dos ciclos"),"",IF(C2952="C0","Nao",IF(IFERROR(INDEX(parametros!$A$2:$A$6,MATCH(C2952,parametros!$B$2:$B$6,0)),"")&lt;&gt;"Sim","Nao",IF(IFERROR(INDEX(parametros!$H$2:$H$6,MATCH(C2952,parametros!$B$2:$B$6,0)),"")="","",IF(B2952&gt;=IFERROR(INDEX(parametros!$H$2:$H$6,MATCH(C2952,parametros!$B$2:$B$6,0)),""),"Sim","Nao"))))))</f>
        <v/>
      </c>
      <c r="T2952" s="156"/>
      <c r="U2952" s="214" t="str">
        <f t="shared" si="236"/>
        <v/>
      </c>
      <c r="V2952" s="212" t="s">
        <v>50</v>
      </c>
      <c r="W2952" s="100" t="s">
        <v>168</v>
      </c>
      <c r="X2952" s="100" t="s">
        <v>169</v>
      </c>
      <c r="Y2952" s="101" t="s">
        <v>170</v>
      </c>
      <c r="Z2952" s="101" t="s">
        <v>171</v>
      </c>
      <c r="AA2952" s="101" t="s">
        <v>50</v>
      </c>
      <c r="AB2952" s="101" t="s">
        <v>172</v>
      </c>
      <c r="AC2952" s="102" t="s">
        <v>173</v>
      </c>
    </row>
    <row r="2953" spans="1:29" ht="25.5" customHeight="1" x14ac:dyDescent="0.35">
      <c r="A2953" s="392"/>
      <c r="B2953" s="393"/>
      <c r="C2953" s="99" t="str">
        <f>IF(B2953="","",IF(NOT(ISNUMBER(B2953)),"DATA_PC invalida",IF(NOT(ISNUMBER(parametros!$C$2)),"Fora dos ciclos",IF(OR(B2953&lt;parametros!$C$2,(YEAR(B2953)-YEAR(parametros!$C$2))*12+MONTH(B2953)-MONTH(parametros!$C$2)&gt;59),"Fora dos ciclos","C"&amp;INT(((YEAR(B2953)-YEAR(parametros!$C$2))*12+MONTH(B2953)-MONTH(parametros!$C$2))/12)))))</f>
        <v/>
      </c>
      <c r="D2953" s="394"/>
      <c r="E2953" s="78" t="str">
        <f>IF(C2953="","",IFERROR(VLOOKUP(C2953,parametros!$A$11:$E$15,5,0),""))</f>
        <v/>
      </c>
      <c r="F2953" s="79" t="str">
        <f t="shared" si="232"/>
        <v/>
      </c>
      <c r="G2953" s="395"/>
      <c r="H2953" s="91">
        <f t="shared" si="233"/>
        <v>0</v>
      </c>
      <c r="I2953" s="91" t="str">
        <f t="shared" si="234"/>
        <v/>
      </c>
      <c r="J2953" s="91" t="str">
        <f t="shared" si="235"/>
        <v/>
      </c>
      <c r="K2953" s="92" t="str">
        <f>IF(AND(A2953="",B2953="",D2953="",G2953=""),"",IF(AND(A2953&lt;&gt;"",COUNTIF($A$2:$A$5001,A2953)&gt;1),"NUMERO_PC duplicado",IF(B2953="","DATA_PC vazia",IF(NOT(ISNUMBER(B2953)),"DATA_PC invalida",IF(OR(C2953="",C2953="Fora dos ciclos"),"CICLO_PC nao identificado",IF(OR(D2953="",D2953=0),"VALOR_PC vazio ou zero",IF(AND(G2953&lt;&gt;"Sim",G2953&lt;&gt;"Nao",G2953&lt;&gt;""),"PC_PAGO_A_CONTRATADA invalido",IF(AND(C2953&lt;&gt;"C0",IFERROR(INDEX(parametros!$A$2:$A$6,MATCH(C2953,parametros!$B$2:$B$6,0)),"")="Sim",IFERROR(INDEX(parametros!$H$2:$H$6,MATCH(C2953,parametros!$B$2:$B$6,0)),"")=""),"INICIO_EFEITO ausente: PC "&amp;A2953&amp;" - "&amp;C2953,IF(L2953="","EFEITO_PC nao calculado: PC "&amp;A2953&amp;" - "&amp;C2953,"OK")))))))))</f>
        <v/>
      </c>
      <c r="L2953" s="92" t="str">
        <f>IF(AND(A2953="",B2953="",D2953="",G2953=""),"",IF(OR(B2953="",NOT(ISNUMBER(B2953)),C2953="",C2953="Fora dos ciclos"),"",IF(C2953="C0","Nao",IF(IFERROR(INDEX(parametros!$A$2:$A$6,MATCH(C2953,parametros!$B$2:$B$6,0)),"")&lt;&gt;"Sim","Nao",IF(IFERROR(INDEX(parametros!$H$2:$H$6,MATCH(C2953,parametros!$B$2:$B$6,0)),"")="","",IF(B2953&gt;=IFERROR(INDEX(parametros!$H$2:$H$6,MATCH(C2953,parametros!$B$2:$B$6,0)),""),"Sim","Nao"))))))</f>
        <v/>
      </c>
      <c r="T2953" s="156"/>
      <c r="U2953" s="214" t="str">
        <f t="shared" si="236"/>
        <v/>
      </c>
      <c r="V2953" s="212" t="s">
        <v>50</v>
      </c>
      <c r="W2953" s="100" t="s">
        <v>168</v>
      </c>
      <c r="X2953" s="100" t="s">
        <v>169</v>
      </c>
      <c r="Y2953" s="101" t="s">
        <v>170</v>
      </c>
      <c r="Z2953" s="101" t="s">
        <v>171</v>
      </c>
      <c r="AA2953" s="101" t="s">
        <v>50</v>
      </c>
      <c r="AB2953" s="101" t="s">
        <v>172</v>
      </c>
      <c r="AC2953" s="102" t="s">
        <v>173</v>
      </c>
    </row>
    <row r="2954" spans="1:29" ht="25.5" customHeight="1" x14ac:dyDescent="0.35">
      <c r="A2954" s="392"/>
      <c r="B2954" s="393"/>
      <c r="C2954" s="99" t="str">
        <f>IF(B2954="","",IF(NOT(ISNUMBER(B2954)),"DATA_PC invalida",IF(NOT(ISNUMBER(parametros!$C$2)),"Fora dos ciclos",IF(OR(B2954&lt;parametros!$C$2,(YEAR(B2954)-YEAR(parametros!$C$2))*12+MONTH(B2954)-MONTH(parametros!$C$2)&gt;59),"Fora dos ciclos","C"&amp;INT(((YEAR(B2954)-YEAR(parametros!$C$2))*12+MONTH(B2954)-MONTH(parametros!$C$2))/12)))))</f>
        <v/>
      </c>
      <c r="D2954" s="394"/>
      <c r="E2954" s="78" t="str">
        <f>IF(C2954="","",IFERROR(VLOOKUP(C2954,parametros!$A$11:$E$15,5,0),""))</f>
        <v/>
      </c>
      <c r="F2954" s="79" t="str">
        <f t="shared" si="232"/>
        <v/>
      </c>
      <c r="G2954" s="395"/>
      <c r="H2954" s="91">
        <f t="shared" si="233"/>
        <v>0</v>
      </c>
      <c r="I2954" s="91" t="str">
        <f t="shared" si="234"/>
        <v/>
      </c>
      <c r="J2954" s="91" t="str">
        <f t="shared" si="235"/>
        <v/>
      </c>
      <c r="K2954" s="92" t="str">
        <f>IF(AND(A2954="",B2954="",D2954="",G2954=""),"",IF(AND(A2954&lt;&gt;"",COUNTIF($A$2:$A$5001,A2954)&gt;1),"NUMERO_PC duplicado",IF(B2954="","DATA_PC vazia",IF(NOT(ISNUMBER(B2954)),"DATA_PC invalida",IF(OR(C2954="",C2954="Fora dos ciclos"),"CICLO_PC nao identificado",IF(OR(D2954="",D2954=0),"VALOR_PC vazio ou zero",IF(AND(G2954&lt;&gt;"Sim",G2954&lt;&gt;"Nao",G2954&lt;&gt;""),"PC_PAGO_A_CONTRATADA invalido",IF(AND(C2954&lt;&gt;"C0",IFERROR(INDEX(parametros!$A$2:$A$6,MATCH(C2954,parametros!$B$2:$B$6,0)),"")="Sim",IFERROR(INDEX(parametros!$H$2:$H$6,MATCH(C2954,parametros!$B$2:$B$6,0)),"")=""),"INICIO_EFEITO ausente: PC "&amp;A2954&amp;" - "&amp;C2954,IF(L2954="","EFEITO_PC nao calculado: PC "&amp;A2954&amp;" - "&amp;C2954,"OK")))))))))</f>
        <v/>
      </c>
      <c r="L2954" s="92" t="str">
        <f>IF(AND(A2954="",B2954="",D2954="",G2954=""),"",IF(OR(B2954="",NOT(ISNUMBER(B2954)),C2954="",C2954="Fora dos ciclos"),"",IF(C2954="C0","Nao",IF(IFERROR(INDEX(parametros!$A$2:$A$6,MATCH(C2954,parametros!$B$2:$B$6,0)),"")&lt;&gt;"Sim","Nao",IF(IFERROR(INDEX(parametros!$H$2:$H$6,MATCH(C2954,parametros!$B$2:$B$6,0)),"")="","",IF(B2954&gt;=IFERROR(INDEX(parametros!$H$2:$H$6,MATCH(C2954,parametros!$B$2:$B$6,0)),""),"Sim","Nao"))))))</f>
        <v/>
      </c>
      <c r="T2954" s="156"/>
      <c r="U2954" s="214" t="str">
        <f t="shared" si="236"/>
        <v/>
      </c>
      <c r="V2954" s="212" t="s">
        <v>50</v>
      </c>
      <c r="W2954" s="100" t="s">
        <v>168</v>
      </c>
      <c r="X2954" s="100" t="s">
        <v>169</v>
      </c>
      <c r="Y2954" s="101" t="s">
        <v>170</v>
      </c>
      <c r="Z2954" s="101" t="s">
        <v>171</v>
      </c>
      <c r="AA2954" s="101" t="s">
        <v>50</v>
      </c>
      <c r="AB2954" s="101" t="s">
        <v>172</v>
      </c>
      <c r="AC2954" s="102" t="s">
        <v>173</v>
      </c>
    </row>
    <row r="2955" spans="1:29" ht="25.5" customHeight="1" x14ac:dyDescent="0.35">
      <c r="A2955" s="392"/>
      <c r="B2955" s="393"/>
      <c r="C2955" s="99" t="str">
        <f>IF(B2955="","",IF(NOT(ISNUMBER(B2955)),"DATA_PC invalida",IF(NOT(ISNUMBER(parametros!$C$2)),"Fora dos ciclos",IF(OR(B2955&lt;parametros!$C$2,(YEAR(B2955)-YEAR(parametros!$C$2))*12+MONTH(B2955)-MONTH(parametros!$C$2)&gt;59),"Fora dos ciclos","C"&amp;INT(((YEAR(B2955)-YEAR(parametros!$C$2))*12+MONTH(B2955)-MONTH(parametros!$C$2))/12)))))</f>
        <v/>
      </c>
      <c r="D2955" s="394"/>
      <c r="E2955" s="78" t="str">
        <f>IF(C2955="","",IFERROR(VLOOKUP(C2955,parametros!$A$11:$E$15,5,0),""))</f>
        <v/>
      </c>
      <c r="F2955" s="79" t="str">
        <f t="shared" si="232"/>
        <v/>
      </c>
      <c r="G2955" s="395"/>
      <c r="H2955" s="91">
        <f t="shared" si="233"/>
        <v>0</v>
      </c>
      <c r="I2955" s="91" t="str">
        <f t="shared" si="234"/>
        <v/>
      </c>
      <c r="J2955" s="91" t="str">
        <f t="shared" si="235"/>
        <v/>
      </c>
      <c r="K2955" s="92" t="str">
        <f>IF(AND(A2955="",B2955="",D2955="",G2955=""),"",IF(AND(A2955&lt;&gt;"",COUNTIF($A$2:$A$5001,A2955)&gt;1),"NUMERO_PC duplicado",IF(B2955="","DATA_PC vazia",IF(NOT(ISNUMBER(B2955)),"DATA_PC invalida",IF(OR(C2955="",C2955="Fora dos ciclos"),"CICLO_PC nao identificado",IF(OR(D2955="",D2955=0),"VALOR_PC vazio ou zero",IF(AND(G2955&lt;&gt;"Sim",G2955&lt;&gt;"Nao",G2955&lt;&gt;""),"PC_PAGO_A_CONTRATADA invalido",IF(AND(C2955&lt;&gt;"C0",IFERROR(INDEX(parametros!$A$2:$A$6,MATCH(C2955,parametros!$B$2:$B$6,0)),"")="Sim",IFERROR(INDEX(parametros!$H$2:$H$6,MATCH(C2955,parametros!$B$2:$B$6,0)),"")=""),"INICIO_EFEITO ausente: PC "&amp;A2955&amp;" - "&amp;C2955,IF(L2955="","EFEITO_PC nao calculado: PC "&amp;A2955&amp;" - "&amp;C2955,"OK")))))))))</f>
        <v/>
      </c>
      <c r="L2955" s="92" t="str">
        <f>IF(AND(A2955="",B2955="",D2955="",G2955=""),"",IF(OR(B2955="",NOT(ISNUMBER(B2955)),C2955="",C2955="Fora dos ciclos"),"",IF(C2955="C0","Nao",IF(IFERROR(INDEX(parametros!$A$2:$A$6,MATCH(C2955,parametros!$B$2:$B$6,0)),"")&lt;&gt;"Sim","Nao",IF(IFERROR(INDEX(parametros!$H$2:$H$6,MATCH(C2955,parametros!$B$2:$B$6,0)),"")="","",IF(B2955&gt;=IFERROR(INDEX(parametros!$H$2:$H$6,MATCH(C2955,parametros!$B$2:$B$6,0)),""),"Sim","Nao"))))))</f>
        <v/>
      </c>
      <c r="T2955" s="156"/>
      <c r="U2955" s="214" t="str">
        <f t="shared" si="236"/>
        <v/>
      </c>
      <c r="V2955" s="212" t="s">
        <v>50</v>
      </c>
      <c r="W2955" s="100" t="s">
        <v>168</v>
      </c>
      <c r="X2955" s="100" t="s">
        <v>169</v>
      </c>
      <c r="Y2955" s="101" t="s">
        <v>170</v>
      </c>
      <c r="Z2955" s="101" t="s">
        <v>171</v>
      </c>
      <c r="AA2955" s="101" t="s">
        <v>50</v>
      </c>
      <c r="AB2955" s="101" t="s">
        <v>172</v>
      </c>
      <c r="AC2955" s="102" t="s">
        <v>173</v>
      </c>
    </row>
    <row r="2956" spans="1:29" ht="25.5" customHeight="1" x14ac:dyDescent="0.35">
      <c r="A2956" s="392"/>
      <c r="B2956" s="393"/>
      <c r="C2956" s="99" t="str">
        <f>IF(B2956="","",IF(NOT(ISNUMBER(B2956)),"DATA_PC invalida",IF(NOT(ISNUMBER(parametros!$C$2)),"Fora dos ciclos",IF(OR(B2956&lt;parametros!$C$2,(YEAR(B2956)-YEAR(parametros!$C$2))*12+MONTH(B2956)-MONTH(parametros!$C$2)&gt;59),"Fora dos ciclos","C"&amp;INT(((YEAR(B2956)-YEAR(parametros!$C$2))*12+MONTH(B2956)-MONTH(parametros!$C$2))/12)))))</f>
        <v/>
      </c>
      <c r="D2956" s="394"/>
      <c r="E2956" s="78" t="str">
        <f>IF(C2956="","",IFERROR(VLOOKUP(C2956,parametros!$A$11:$E$15,5,0),""))</f>
        <v/>
      </c>
      <c r="F2956" s="79" t="str">
        <f t="shared" si="232"/>
        <v/>
      </c>
      <c r="G2956" s="395"/>
      <c r="H2956" s="91">
        <f t="shared" si="233"/>
        <v>0</v>
      </c>
      <c r="I2956" s="91" t="str">
        <f t="shared" si="234"/>
        <v/>
      </c>
      <c r="J2956" s="91" t="str">
        <f t="shared" si="235"/>
        <v/>
      </c>
      <c r="K2956" s="92" t="str">
        <f>IF(AND(A2956="",B2956="",D2956="",G2956=""),"",IF(AND(A2956&lt;&gt;"",COUNTIF($A$2:$A$5001,A2956)&gt;1),"NUMERO_PC duplicado",IF(B2956="","DATA_PC vazia",IF(NOT(ISNUMBER(B2956)),"DATA_PC invalida",IF(OR(C2956="",C2956="Fora dos ciclos"),"CICLO_PC nao identificado",IF(OR(D2956="",D2956=0),"VALOR_PC vazio ou zero",IF(AND(G2956&lt;&gt;"Sim",G2956&lt;&gt;"Nao",G2956&lt;&gt;""),"PC_PAGO_A_CONTRATADA invalido",IF(AND(C2956&lt;&gt;"C0",IFERROR(INDEX(parametros!$A$2:$A$6,MATCH(C2956,parametros!$B$2:$B$6,0)),"")="Sim",IFERROR(INDEX(parametros!$H$2:$H$6,MATCH(C2956,parametros!$B$2:$B$6,0)),"")=""),"INICIO_EFEITO ausente: PC "&amp;A2956&amp;" - "&amp;C2956,IF(L2956="","EFEITO_PC nao calculado: PC "&amp;A2956&amp;" - "&amp;C2956,"OK")))))))))</f>
        <v/>
      </c>
      <c r="L2956" s="92" t="str">
        <f>IF(AND(A2956="",B2956="",D2956="",G2956=""),"",IF(OR(B2956="",NOT(ISNUMBER(B2956)),C2956="",C2956="Fora dos ciclos"),"",IF(C2956="C0","Nao",IF(IFERROR(INDEX(parametros!$A$2:$A$6,MATCH(C2956,parametros!$B$2:$B$6,0)),"")&lt;&gt;"Sim","Nao",IF(IFERROR(INDEX(parametros!$H$2:$H$6,MATCH(C2956,parametros!$B$2:$B$6,0)),"")="","",IF(B2956&gt;=IFERROR(INDEX(parametros!$H$2:$H$6,MATCH(C2956,parametros!$B$2:$B$6,0)),""),"Sim","Nao"))))))</f>
        <v/>
      </c>
      <c r="T2956" s="156"/>
      <c r="U2956" s="214" t="str">
        <f t="shared" si="236"/>
        <v/>
      </c>
      <c r="V2956" s="212" t="s">
        <v>50</v>
      </c>
      <c r="W2956" s="100" t="s">
        <v>168</v>
      </c>
      <c r="X2956" s="100" t="s">
        <v>169</v>
      </c>
      <c r="Y2956" s="101" t="s">
        <v>170</v>
      </c>
      <c r="Z2956" s="101" t="s">
        <v>171</v>
      </c>
      <c r="AA2956" s="101" t="s">
        <v>50</v>
      </c>
      <c r="AB2956" s="101" t="s">
        <v>172</v>
      </c>
      <c r="AC2956" s="102" t="s">
        <v>173</v>
      </c>
    </row>
    <row r="2957" spans="1:29" ht="25.5" customHeight="1" x14ac:dyDescent="0.35">
      <c r="A2957" s="392"/>
      <c r="B2957" s="393"/>
      <c r="C2957" s="99" t="str">
        <f>IF(B2957="","",IF(NOT(ISNUMBER(B2957)),"DATA_PC invalida",IF(NOT(ISNUMBER(parametros!$C$2)),"Fora dos ciclos",IF(OR(B2957&lt;parametros!$C$2,(YEAR(B2957)-YEAR(parametros!$C$2))*12+MONTH(B2957)-MONTH(parametros!$C$2)&gt;59),"Fora dos ciclos","C"&amp;INT(((YEAR(B2957)-YEAR(parametros!$C$2))*12+MONTH(B2957)-MONTH(parametros!$C$2))/12)))))</f>
        <v/>
      </c>
      <c r="D2957" s="394"/>
      <c r="E2957" s="78" t="str">
        <f>IF(C2957="","",IFERROR(VLOOKUP(C2957,parametros!$A$11:$E$15,5,0),""))</f>
        <v/>
      </c>
      <c r="F2957" s="79" t="str">
        <f t="shared" si="232"/>
        <v/>
      </c>
      <c r="G2957" s="395"/>
      <c r="H2957" s="91">
        <f t="shared" si="233"/>
        <v>0</v>
      </c>
      <c r="I2957" s="91" t="str">
        <f t="shared" si="234"/>
        <v/>
      </c>
      <c r="J2957" s="91" t="str">
        <f t="shared" si="235"/>
        <v/>
      </c>
      <c r="K2957" s="92" t="str">
        <f>IF(AND(A2957="",B2957="",D2957="",G2957=""),"",IF(AND(A2957&lt;&gt;"",COUNTIF($A$2:$A$5001,A2957)&gt;1),"NUMERO_PC duplicado",IF(B2957="","DATA_PC vazia",IF(NOT(ISNUMBER(B2957)),"DATA_PC invalida",IF(OR(C2957="",C2957="Fora dos ciclos"),"CICLO_PC nao identificado",IF(OR(D2957="",D2957=0),"VALOR_PC vazio ou zero",IF(AND(G2957&lt;&gt;"Sim",G2957&lt;&gt;"Nao",G2957&lt;&gt;""),"PC_PAGO_A_CONTRATADA invalido",IF(AND(C2957&lt;&gt;"C0",IFERROR(INDEX(parametros!$A$2:$A$6,MATCH(C2957,parametros!$B$2:$B$6,0)),"")="Sim",IFERROR(INDEX(parametros!$H$2:$H$6,MATCH(C2957,parametros!$B$2:$B$6,0)),"")=""),"INICIO_EFEITO ausente: PC "&amp;A2957&amp;" - "&amp;C2957,IF(L2957="","EFEITO_PC nao calculado: PC "&amp;A2957&amp;" - "&amp;C2957,"OK")))))))))</f>
        <v/>
      </c>
      <c r="L2957" s="92" t="str">
        <f>IF(AND(A2957="",B2957="",D2957="",G2957=""),"",IF(OR(B2957="",NOT(ISNUMBER(B2957)),C2957="",C2957="Fora dos ciclos"),"",IF(C2957="C0","Nao",IF(IFERROR(INDEX(parametros!$A$2:$A$6,MATCH(C2957,parametros!$B$2:$B$6,0)),"")&lt;&gt;"Sim","Nao",IF(IFERROR(INDEX(parametros!$H$2:$H$6,MATCH(C2957,parametros!$B$2:$B$6,0)),"")="","",IF(B2957&gt;=IFERROR(INDEX(parametros!$H$2:$H$6,MATCH(C2957,parametros!$B$2:$B$6,0)),""),"Sim","Nao"))))))</f>
        <v/>
      </c>
      <c r="T2957" s="156"/>
      <c r="U2957" s="214" t="str">
        <f t="shared" si="236"/>
        <v/>
      </c>
      <c r="V2957" s="212" t="s">
        <v>50</v>
      </c>
      <c r="W2957" s="100" t="s">
        <v>168</v>
      </c>
      <c r="X2957" s="100" t="s">
        <v>169</v>
      </c>
      <c r="Y2957" s="101" t="s">
        <v>170</v>
      </c>
      <c r="Z2957" s="101" t="s">
        <v>171</v>
      </c>
      <c r="AA2957" s="101" t="s">
        <v>50</v>
      </c>
      <c r="AB2957" s="101" t="s">
        <v>172</v>
      </c>
      <c r="AC2957" s="102" t="s">
        <v>173</v>
      </c>
    </row>
    <row r="2958" spans="1:29" ht="25.5" customHeight="1" x14ac:dyDescent="0.35">
      <c r="A2958" s="392"/>
      <c r="B2958" s="393"/>
      <c r="C2958" s="99" t="str">
        <f>IF(B2958="","",IF(NOT(ISNUMBER(B2958)),"DATA_PC invalida",IF(NOT(ISNUMBER(parametros!$C$2)),"Fora dos ciclos",IF(OR(B2958&lt;parametros!$C$2,(YEAR(B2958)-YEAR(parametros!$C$2))*12+MONTH(B2958)-MONTH(parametros!$C$2)&gt;59),"Fora dos ciclos","C"&amp;INT(((YEAR(B2958)-YEAR(parametros!$C$2))*12+MONTH(B2958)-MONTH(parametros!$C$2))/12)))))</f>
        <v/>
      </c>
      <c r="D2958" s="394"/>
      <c r="E2958" s="78" t="str">
        <f>IF(C2958="","",IFERROR(VLOOKUP(C2958,parametros!$A$11:$E$15,5,0),""))</f>
        <v/>
      </c>
      <c r="F2958" s="79" t="str">
        <f t="shared" si="232"/>
        <v/>
      </c>
      <c r="G2958" s="395"/>
      <c r="H2958" s="91">
        <f t="shared" si="233"/>
        <v>0</v>
      </c>
      <c r="I2958" s="91" t="str">
        <f t="shared" si="234"/>
        <v/>
      </c>
      <c r="J2958" s="91" t="str">
        <f t="shared" si="235"/>
        <v/>
      </c>
      <c r="K2958" s="92" t="str">
        <f>IF(AND(A2958="",B2958="",D2958="",G2958=""),"",IF(AND(A2958&lt;&gt;"",COUNTIF($A$2:$A$5001,A2958)&gt;1),"NUMERO_PC duplicado",IF(B2958="","DATA_PC vazia",IF(NOT(ISNUMBER(B2958)),"DATA_PC invalida",IF(OR(C2958="",C2958="Fora dos ciclos"),"CICLO_PC nao identificado",IF(OR(D2958="",D2958=0),"VALOR_PC vazio ou zero",IF(AND(G2958&lt;&gt;"Sim",G2958&lt;&gt;"Nao",G2958&lt;&gt;""),"PC_PAGO_A_CONTRATADA invalido",IF(AND(C2958&lt;&gt;"C0",IFERROR(INDEX(parametros!$A$2:$A$6,MATCH(C2958,parametros!$B$2:$B$6,0)),"")="Sim",IFERROR(INDEX(parametros!$H$2:$H$6,MATCH(C2958,parametros!$B$2:$B$6,0)),"")=""),"INICIO_EFEITO ausente: PC "&amp;A2958&amp;" - "&amp;C2958,IF(L2958="","EFEITO_PC nao calculado: PC "&amp;A2958&amp;" - "&amp;C2958,"OK")))))))))</f>
        <v/>
      </c>
      <c r="L2958" s="92" t="str">
        <f>IF(AND(A2958="",B2958="",D2958="",G2958=""),"",IF(OR(B2958="",NOT(ISNUMBER(B2958)),C2958="",C2958="Fora dos ciclos"),"",IF(C2958="C0","Nao",IF(IFERROR(INDEX(parametros!$A$2:$A$6,MATCH(C2958,parametros!$B$2:$B$6,0)),"")&lt;&gt;"Sim","Nao",IF(IFERROR(INDEX(parametros!$H$2:$H$6,MATCH(C2958,parametros!$B$2:$B$6,0)),"")="","",IF(B2958&gt;=IFERROR(INDEX(parametros!$H$2:$H$6,MATCH(C2958,parametros!$B$2:$B$6,0)),""),"Sim","Nao"))))))</f>
        <v/>
      </c>
      <c r="T2958" s="156"/>
      <c r="U2958" s="214" t="str">
        <f t="shared" si="236"/>
        <v/>
      </c>
      <c r="V2958" s="212" t="s">
        <v>50</v>
      </c>
      <c r="W2958" s="100" t="s">
        <v>168</v>
      </c>
      <c r="X2958" s="100" t="s">
        <v>169</v>
      </c>
      <c r="Y2958" s="101" t="s">
        <v>170</v>
      </c>
      <c r="Z2958" s="101" t="s">
        <v>171</v>
      </c>
      <c r="AA2958" s="101" t="s">
        <v>50</v>
      </c>
      <c r="AB2958" s="101" t="s">
        <v>172</v>
      </c>
      <c r="AC2958" s="102" t="s">
        <v>173</v>
      </c>
    </row>
    <row r="2959" spans="1:29" ht="25.5" customHeight="1" x14ac:dyDescent="0.35">
      <c r="A2959" s="392"/>
      <c r="B2959" s="393"/>
      <c r="C2959" s="99" t="str">
        <f>IF(B2959="","",IF(NOT(ISNUMBER(B2959)),"DATA_PC invalida",IF(NOT(ISNUMBER(parametros!$C$2)),"Fora dos ciclos",IF(OR(B2959&lt;parametros!$C$2,(YEAR(B2959)-YEAR(parametros!$C$2))*12+MONTH(B2959)-MONTH(parametros!$C$2)&gt;59),"Fora dos ciclos","C"&amp;INT(((YEAR(B2959)-YEAR(parametros!$C$2))*12+MONTH(B2959)-MONTH(parametros!$C$2))/12)))))</f>
        <v/>
      </c>
      <c r="D2959" s="394"/>
      <c r="E2959" s="78" t="str">
        <f>IF(C2959="","",IFERROR(VLOOKUP(C2959,parametros!$A$11:$E$15,5,0),""))</f>
        <v/>
      </c>
      <c r="F2959" s="79" t="str">
        <f t="shared" si="232"/>
        <v/>
      </c>
      <c r="G2959" s="395"/>
      <c r="H2959" s="91">
        <f t="shared" si="233"/>
        <v>0</v>
      </c>
      <c r="I2959" s="91" t="str">
        <f t="shared" si="234"/>
        <v/>
      </c>
      <c r="J2959" s="91" t="str">
        <f t="shared" si="235"/>
        <v/>
      </c>
      <c r="K2959" s="92" t="str">
        <f>IF(AND(A2959="",B2959="",D2959="",G2959=""),"",IF(AND(A2959&lt;&gt;"",COUNTIF($A$2:$A$5001,A2959)&gt;1),"NUMERO_PC duplicado",IF(B2959="","DATA_PC vazia",IF(NOT(ISNUMBER(B2959)),"DATA_PC invalida",IF(OR(C2959="",C2959="Fora dos ciclos"),"CICLO_PC nao identificado",IF(OR(D2959="",D2959=0),"VALOR_PC vazio ou zero",IF(AND(G2959&lt;&gt;"Sim",G2959&lt;&gt;"Nao",G2959&lt;&gt;""),"PC_PAGO_A_CONTRATADA invalido",IF(AND(C2959&lt;&gt;"C0",IFERROR(INDEX(parametros!$A$2:$A$6,MATCH(C2959,parametros!$B$2:$B$6,0)),"")="Sim",IFERROR(INDEX(parametros!$H$2:$H$6,MATCH(C2959,parametros!$B$2:$B$6,0)),"")=""),"INICIO_EFEITO ausente: PC "&amp;A2959&amp;" - "&amp;C2959,IF(L2959="","EFEITO_PC nao calculado: PC "&amp;A2959&amp;" - "&amp;C2959,"OK")))))))))</f>
        <v/>
      </c>
      <c r="L2959" s="92" t="str">
        <f>IF(AND(A2959="",B2959="",D2959="",G2959=""),"",IF(OR(B2959="",NOT(ISNUMBER(B2959)),C2959="",C2959="Fora dos ciclos"),"",IF(C2959="C0","Nao",IF(IFERROR(INDEX(parametros!$A$2:$A$6,MATCH(C2959,parametros!$B$2:$B$6,0)),"")&lt;&gt;"Sim","Nao",IF(IFERROR(INDEX(parametros!$H$2:$H$6,MATCH(C2959,parametros!$B$2:$B$6,0)),"")="","",IF(B2959&gt;=IFERROR(INDEX(parametros!$H$2:$H$6,MATCH(C2959,parametros!$B$2:$B$6,0)),""),"Sim","Nao"))))))</f>
        <v/>
      </c>
      <c r="T2959" s="156"/>
      <c r="U2959" s="214" t="str">
        <f t="shared" si="236"/>
        <v/>
      </c>
      <c r="V2959" s="212" t="s">
        <v>50</v>
      </c>
      <c r="W2959" s="100" t="s">
        <v>168</v>
      </c>
      <c r="X2959" s="100" t="s">
        <v>169</v>
      </c>
      <c r="Y2959" s="101" t="s">
        <v>170</v>
      </c>
      <c r="Z2959" s="101" t="s">
        <v>171</v>
      </c>
      <c r="AA2959" s="101" t="s">
        <v>50</v>
      </c>
      <c r="AB2959" s="101" t="s">
        <v>172</v>
      </c>
      <c r="AC2959" s="102" t="s">
        <v>173</v>
      </c>
    </row>
    <row r="2960" spans="1:29" ht="25.5" customHeight="1" x14ac:dyDescent="0.35">
      <c r="A2960" s="392"/>
      <c r="B2960" s="393"/>
      <c r="C2960" s="99" t="str">
        <f>IF(B2960="","",IF(NOT(ISNUMBER(B2960)),"DATA_PC invalida",IF(NOT(ISNUMBER(parametros!$C$2)),"Fora dos ciclos",IF(OR(B2960&lt;parametros!$C$2,(YEAR(B2960)-YEAR(parametros!$C$2))*12+MONTH(B2960)-MONTH(parametros!$C$2)&gt;59),"Fora dos ciclos","C"&amp;INT(((YEAR(B2960)-YEAR(parametros!$C$2))*12+MONTH(B2960)-MONTH(parametros!$C$2))/12)))))</f>
        <v/>
      </c>
      <c r="D2960" s="394"/>
      <c r="E2960" s="78" t="str">
        <f>IF(C2960="","",IFERROR(VLOOKUP(C2960,parametros!$A$11:$E$15,5,0),""))</f>
        <v/>
      </c>
      <c r="F2960" s="79" t="str">
        <f t="shared" si="232"/>
        <v/>
      </c>
      <c r="G2960" s="395"/>
      <c r="H2960" s="91">
        <f t="shared" si="233"/>
        <v>0</v>
      </c>
      <c r="I2960" s="91" t="str">
        <f t="shared" si="234"/>
        <v/>
      </c>
      <c r="J2960" s="91" t="str">
        <f t="shared" si="235"/>
        <v/>
      </c>
      <c r="K2960" s="92" t="str">
        <f>IF(AND(A2960="",B2960="",D2960="",G2960=""),"",IF(AND(A2960&lt;&gt;"",COUNTIF($A$2:$A$5001,A2960)&gt;1),"NUMERO_PC duplicado",IF(B2960="","DATA_PC vazia",IF(NOT(ISNUMBER(B2960)),"DATA_PC invalida",IF(OR(C2960="",C2960="Fora dos ciclos"),"CICLO_PC nao identificado",IF(OR(D2960="",D2960=0),"VALOR_PC vazio ou zero",IF(AND(G2960&lt;&gt;"Sim",G2960&lt;&gt;"Nao",G2960&lt;&gt;""),"PC_PAGO_A_CONTRATADA invalido",IF(AND(C2960&lt;&gt;"C0",IFERROR(INDEX(parametros!$A$2:$A$6,MATCH(C2960,parametros!$B$2:$B$6,0)),"")="Sim",IFERROR(INDEX(parametros!$H$2:$H$6,MATCH(C2960,parametros!$B$2:$B$6,0)),"")=""),"INICIO_EFEITO ausente: PC "&amp;A2960&amp;" - "&amp;C2960,IF(L2960="","EFEITO_PC nao calculado: PC "&amp;A2960&amp;" - "&amp;C2960,"OK")))))))))</f>
        <v/>
      </c>
      <c r="L2960" s="92" t="str">
        <f>IF(AND(A2960="",B2960="",D2960="",G2960=""),"",IF(OR(B2960="",NOT(ISNUMBER(B2960)),C2960="",C2960="Fora dos ciclos"),"",IF(C2960="C0","Nao",IF(IFERROR(INDEX(parametros!$A$2:$A$6,MATCH(C2960,parametros!$B$2:$B$6,0)),"")&lt;&gt;"Sim","Nao",IF(IFERROR(INDEX(parametros!$H$2:$H$6,MATCH(C2960,parametros!$B$2:$B$6,0)),"")="","",IF(B2960&gt;=IFERROR(INDEX(parametros!$H$2:$H$6,MATCH(C2960,parametros!$B$2:$B$6,0)),""),"Sim","Nao"))))))</f>
        <v/>
      </c>
      <c r="T2960" s="156"/>
      <c r="U2960" s="214" t="str">
        <f t="shared" si="236"/>
        <v/>
      </c>
      <c r="V2960" s="212" t="s">
        <v>50</v>
      </c>
      <c r="W2960" s="100" t="s">
        <v>168</v>
      </c>
      <c r="X2960" s="100" t="s">
        <v>169</v>
      </c>
      <c r="Y2960" s="101" t="s">
        <v>170</v>
      </c>
      <c r="Z2960" s="101" t="s">
        <v>171</v>
      </c>
      <c r="AA2960" s="101" t="s">
        <v>50</v>
      </c>
      <c r="AB2960" s="101" t="s">
        <v>172</v>
      </c>
      <c r="AC2960" s="102" t="s">
        <v>173</v>
      </c>
    </row>
    <row r="2961" spans="1:29" ht="25.5" customHeight="1" x14ac:dyDescent="0.35">
      <c r="A2961" s="392"/>
      <c r="B2961" s="393"/>
      <c r="C2961" s="99" t="str">
        <f>IF(B2961="","",IF(NOT(ISNUMBER(B2961)),"DATA_PC invalida",IF(NOT(ISNUMBER(parametros!$C$2)),"Fora dos ciclos",IF(OR(B2961&lt;parametros!$C$2,(YEAR(B2961)-YEAR(parametros!$C$2))*12+MONTH(B2961)-MONTH(parametros!$C$2)&gt;59),"Fora dos ciclos","C"&amp;INT(((YEAR(B2961)-YEAR(parametros!$C$2))*12+MONTH(B2961)-MONTH(parametros!$C$2))/12)))))</f>
        <v/>
      </c>
      <c r="D2961" s="394"/>
      <c r="E2961" s="78" t="str">
        <f>IF(C2961="","",IFERROR(VLOOKUP(C2961,parametros!$A$11:$E$15,5,0),""))</f>
        <v/>
      </c>
      <c r="F2961" s="79" t="str">
        <f t="shared" si="232"/>
        <v/>
      </c>
      <c r="G2961" s="395"/>
      <c r="H2961" s="91">
        <f t="shared" si="233"/>
        <v>0</v>
      </c>
      <c r="I2961" s="91" t="str">
        <f t="shared" si="234"/>
        <v/>
      </c>
      <c r="J2961" s="91" t="str">
        <f t="shared" si="235"/>
        <v/>
      </c>
      <c r="K2961" s="92" t="str">
        <f>IF(AND(A2961="",B2961="",D2961="",G2961=""),"",IF(AND(A2961&lt;&gt;"",COUNTIF($A$2:$A$5001,A2961)&gt;1),"NUMERO_PC duplicado",IF(B2961="","DATA_PC vazia",IF(NOT(ISNUMBER(B2961)),"DATA_PC invalida",IF(OR(C2961="",C2961="Fora dos ciclos"),"CICLO_PC nao identificado",IF(OR(D2961="",D2961=0),"VALOR_PC vazio ou zero",IF(AND(G2961&lt;&gt;"Sim",G2961&lt;&gt;"Nao",G2961&lt;&gt;""),"PC_PAGO_A_CONTRATADA invalido",IF(AND(C2961&lt;&gt;"C0",IFERROR(INDEX(parametros!$A$2:$A$6,MATCH(C2961,parametros!$B$2:$B$6,0)),"")="Sim",IFERROR(INDEX(parametros!$H$2:$H$6,MATCH(C2961,parametros!$B$2:$B$6,0)),"")=""),"INICIO_EFEITO ausente: PC "&amp;A2961&amp;" - "&amp;C2961,IF(L2961="","EFEITO_PC nao calculado: PC "&amp;A2961&amp;" - "&amp;C2961,"OK")))))))))</f>
        <v/>
      </c>
      <c r="L2961" s="92" t="str">
        <f>IF(AND(A2961="",B2961="",D2961="",G2961=""),"",IF(OR(B2961="",NOT(ISNUMBER(B2961)),C2961="",C2961="Fora dos ciclos"),"",IF(C2961="C0","Nao",IF(IFERROR(INDEX(parametros!$A$2:$A$6,MATCH(C2961,parametros!$B$2:$B$6,0)),"")&lt;&gt;"Sim","Nao",IF(IFERROR(INDEX(parametros!$H$2:$H$6,MATCH(C2961,parametros!$B$2:$B$6,0)),"")="","",IF(B2961&gt;=IFERROR(INDEX(parametros!$H$2:$H$6,MATCH(C2961,parametros!$B$2:$B$6,0)),""),"Sim","Nao"))))))</f>
        <v/>
      </c>
      <c r="T2961" s="156"/>
      <c r="U2961" s="214" t="str">
        <f t="shared" si="236"/>
        <v/>
      </c>
      <c r="V2961" s="212" t="s">
        <v>50</v>
      </c>
      <c r="W2961" s="100" t="s">
        <v>168</v>
      </c>
      <c r="X2961" s="100" t="s">
        <v>169</v>
      </c>
      <c r="Y2961" s="101" t="s">
        <v>170</v>
      </c>
      <c r="Z2961" s="101" t="s">
        <v>171</v>
      </c>
      <c r="AA2961" s="101" t="s">
        <v>50</v>
      </c>
      <c r="AB2961" s="101" t="s">
        <v>172</v>
      </c>
      <c r="AC2961" s="102" t="s">
        <v>173</v>
      </c>
    </row>
    <row r="2962" spans="1:29" ht="25.5" customHeight="1" x14ac:dyDescent="0.35">
      <c r="A2962" s="392"/>
      <c r="B2962" s="393"/>
      <c r="C2962" s="99" t="str">
        <f>IF(B2962="","",IF(NOT(ISNUMBER(B2962)),"DATA_PC invalida",IF(NOT(ISNUMBER(parametros!$C$2)),"Fora dos ciclos",IF(OR(B2962&lt;parametros!$C$2,(YEAR(B2962)-YEAR(parametros!$C$2))*12+MONTH(B2962)-MONTH(parametros!$C$2)&gt;59),"Fora dos ciclos","C"&amp;INT(((YEAR(B2962)-YEAR(parametros!$C$2))*12+MONTH(B2962)-MONTH(parametros!$C$2))/12)))))</f>
        <v/>
      </c>
      <c r="D2962" s="394"/>
      <c r="E2962" s="78" t="str">
        <f>IF(C2962="","",IFERROR(VLOOKUP(C2962,parametros!$A$11:$E$15,5,0),""))</f>
        <v/>
      </c>
      <c r="F2962" s="79" t="str">
        <f t="shared" si="232"/>
        <v/>
      </c>
      <c r="G2962" s="395"/>
      <c r="H2962" s="91">
        <f t="shared" si="233"/>
        <v>0</v>
      </c>
      <c r="I2962" s="91" t="str">
        <f t="shared" si="234"/>
        <v/>
      </c>
      <c r="J2962" s="91" t="str">
        <f t="shared" si="235"/>
        <v/>
      </c>
      <c r="K2962" s="92" t="str">
        <f>IF(AND(A2962="",B2962="",D2962="",G2962=""),"",IF(AND(A2962&lt;&gt;"",COUNTIF($A$2:$A$5001,A2962)&gt;1),"NUMERO_PC duplicado",IF(B2962="","DATA_PC vazia",IF(NOT(ISNUMBER(B2962)),"DATA_PC invalida",IF(OR(C2962="",C2962="Fora dos ciclos"),"CICLO_PC nao identificado",IF(OR(D2962="",D2962=0),"VALOR_PC vazio ou zero",IF(AND(G2962&lt;&gt;"Sim",G2962&lt;&gt;"Nao",G2962&lt;&gt;""),"PC_PAGO_A_CONTRATADA invalido",IF(AND(C2962&lt;&gt;"C0",IFERROR(INDEX(parametros!$A$2:$A$6,MATCH(C2962,parametros!$B$2:$B$6,0)),"")="Sim",IFERROR(INDEX(parametros!$H$2:$H$6,MATCH(C2962,parametros!$B$2:$B$6,0)),"")=""),"INICIO_EFEITO ausente: PC "&amp;A2962&amp;" - "&amp;C2962,IF(L2962="","EFEITO_PC nao calculado: PC "&amp;A2962&amp;" - "&amp;C2962,"OK")))))))))</f>
        <v/>
      </c>
      <c r="L2962" s="92" t="str">
        <f>IF(AND(A2962="",B2962="",D2962="",G2962=""),"",IF(OR(B2962="",NOT(ISNUMBER(B2962)),C2962="",C2962="Fora dos ciclos"),"",IF(C2962="C0","Nao",IF(IFERROR(INDEX(parametros!$A$2:$A$6,MATCH(C2962,parametros!$B$2:$B$6,0)),"")&lt;&gt;"Sim","Nao",IF(IFERROR(INDEX(parametros!$H$2:$H$6,MATCH(C2962,parametros!$B$2:$B$6,0)),"")="","",IF(B2962&gt;=IFERROR(INDEX(parametros!$H$2:$H$6,MATCH(C2962,parametros!$B$2:$B$6,0)),""),"Sim","Nao"))))))</f>
        <v/>
      </c>
      <c r="T2962" s="156"/>
      <c r="U2962" s="214" t="str">
        <f t="shared" si="236"/>
        <v/>
      </c>
      <c r="V2962" s="212" t="s">
        <v>50</v>
      </c>
      <c r="W2962" s="100" t="s">
        <v>168</v>
      </c>
      <c r="X2962" s="100" t="s">
        <v>169</v>
      </c>
      <c r="Y2962" s="101" t="s">
        <v>170</v>
      </c>
      <c r="Z2962" s="101" t="s">
        <v>171</v>
      </c>
      <c r="AA2962" s="101" t="s">
        <v>50</v>
      </c>
      <c r="AB2962" s="101" t="s">
        <v>172</v>
      </c>
      <c r="AC2962" s="102" t="s">
        <v>173</v>
      </c>
    </row>
    <row r="2963" spans="1:29" ht="25.5" customHeight="1" x14ac:dyDescent="0.35">
      <c r="A2963" s="392"/>
      <c r="B2963" s="393"/>
      <c r="C2963" s="99" t="str">
        <f>IF(B2963="","",IF(NOT(ISNUMBER(B2963)),"DATA_PC invalida",IF(NOT(ISNUMBER(parametros!$C$2)),"Fora dos ciclos",IF(OR(B2963&lt;parametros!$C$2,(YEAR(B2963)-YEAR(parametros!$C$2))*12+MONTH(B2963)-MONTH(parametros!$C$2)&gt;59),"Fora dos ciclos","C"&amp;INT(((YEAR(B2963)-YEAR(parametros!$C$2))*12+MONTH(B2963)-MONTH(parametros!$C$2))/12)))))</f>
        <v/>
      </c>
      <c r="D2963" s="394"/>
      <c r="E2963" s="78" t="str">
        <f>IF(C2963="","",IFERROR(VLOOKUP(C2963,parametros!$A$11:$E$15,5,0),""))</f>
        <v/>
      </c>
      <c r="F2963" s="79" t="str">
        <f t="shared" si="232"/>
        <v/>
      </c>
      <c r="G2963" s="395"/>
      <c r="H2963" s="91">
        <f t="shared" si="233"/>
        <v>0</v>
      </c>
      <c r="I2963" s="91" t="str">
        <f t="shared" si="234"/>
        <v/>
      </c>
      <c r="J2963" s="91" t="str">
        <f t="shared" si="235"/>
        <v/>
      </c>
      <c r="K2963" s="92" t="str">
        <f>IF(AND(A2963="",B2963="",D2963="",G2963=""),"",IF(AND(A2963&lt;&gt;"",COUNTIF($A$2:$A$5001,A2963)&gt;1),"NUMERO_PC duplicado",IF(B2963="","DATA_PC vazia",IF(NOT(ISNUMBER(B2963)),"DATA_PC invalida",IF(OR(C2963="",C2963="Fora dos ciclos"),"CICLO_PC nao identificado",IF(OR(D2963="",D2963=0),"VALOR_PC vazio ou zero",IF(AND(G2963&lt;&gt;"Sim",G2963&lt;&gt;"Nao",G2963&lt;&gt;""),"PC_PAGO_A_CONTRATADA invalido",IF(AND(C2963&lt;&gt;"C0",IFERROR(INDEX(parametros!$A$2:$A$6,MATCH(C2963,parametros!$B$2:$B$6,0)),"")="Sim",IFERROR(INDEX(parametros!$H$2:$H$6,MATCH(C2963,parametros!$B$2:$B$6,0)),"")=""),"INICIO_EFEITO ausente: PC "&amp;A2963&amp;" - "&amp;C2963,IF(L2963="","EFEITO_PC nao calculado: PC "&amp;A2963&amp;" - "&amp;C2963,"OK")))))))))</f>
        <v/>
      </c>
      <c r="L2963" s="92" t="str">
        <f>IF(AND(A2963="",B2963="",D2963="",G2963=""),"",IF(OR(B2963="",NOT(ISNUMBER(B2963)),C2963="",C2963="Fora dos ciclos"),"",IF(C2963="C0","Nao",IF(IFERROR(INDEX(parametros!$A$2:$A$6,MATCH(C2963,parametros!$B$2:$B$6,0)),"")&lt;&gt;"Sim","Nao",IF(IFERROR(INDEX(parametros!$H$2:$H$6,MATCH(C2963,parametros!$B$2:$B$6,0)),"")="","",IF(B2963&gt;=IFERROR(INDEX(parametros!$H$2:$H$6,MATCH(C2963,parametros!$B$2:$B$6,0)),""),"Sim","Nao"))))))</f>
        <v/>
      </c>
      <c r="T2963" s="156"/>
      <c r="U2963" s="214" t="str">
        <f t="shared" si="236"/>
        <v/>
      </c>
      <c r="V2963" s="212" t="s">
        <v>50</v>
      </c>
      <c r="W2963" s="100" t="s">
        <v>168</v>
      </c>
      <c r="X2963" s="100" t="s">
        <v>169</v>
      </c>
      <c r="Y2963" s="101" t="s">
        <v>170</v>
      </c>
      <c r="Z2963" s="101" t="s">
        <v>171</v>
      </c>
      <c r="AA2963" s="101" t="s">
        <v>50</v>
      </c>
      <c r="AB2963" s="101" t="s">
        <v>172</v>
      </c>
      <c r="AC2963" s="102" t="s">
        <v>173</v>
      </c>
    </row>
    <row r="2964" spans="1:29" ht="25.5" customHeight="1" x14ac:dyDescent="0.35">
      <c r="A2964" s="392"/>
      <c r="B2964" s="393"/>
      <c r="C2964" s="99" t="str">
        <f>IF(B2964="","",IF(NOT(ISNUMBER(B2964)),"DATA_PC invalida",IF(NOT(ISNUMBER(parametros!$C$2)),"Fora dos ciclos",IF(OR(B2964&lt;parametros!$C$2,(YEAR(B2964)-YEAR(parametros!$C$2))*12+MONTH(B2964)-MONTH(parametros!$C$2)&gt;59),"Fora dos ciclos","C"&amp;INT(((YEAR(B2964)-YEAR(parametros!$C$2))*12+MONTH(B2964)-MONTH(parametros!$C$2))/12)))))</f>
        <v/>
      </c>
      <c r="D2964" s="394"/>
      <c r="E2964" s="78" t="str">
        <f>IF(C2964="","",IFERROR(VLOOKUP(C2964,parametros!$A$11:$E$15,5,0),""))</f>
        <v/>
      </c>
      <c r="F2964" s="79" t="str">
        <f t="shared" si="232"/>
        <v/>
      </c>
      <c r="G2964" s="395"/>
      <c r="H2964" s="91">
        <f t="shared" si="233"/>
        <v>0</v>
      </c>
      <c r="I2964" s="91" t="str">
        <f t="shared" si="234"/>
        <v/>
      </c>
      <c r="J2964" s="91" t="str">
        <f t="shared" si="235"/>
        <v/>
      </c>
      <c r="K2964" s="92" t="str">
        <f>IF(AND(A2964="",B2964="",D2964="",G2964=""),"",IF(AND(A2964&lt;&gt;"",COUNTIF($A$2:$A$5001,A2964)&gt;1),"NUMERO_PC duplicado",IF(B2964="","DATA_PC vazia",IF(NOT(ISNUMBER(B2964)),"DATA_PC invalida",IF(OR(C2964="",C2964="Fora dos ciclos"),"CICLO_PC nao identificado",IF(OR(D2964="",D2964=0),"VALOR_PC vazio ou zero",IF(AND(G2964&lt;&gt;"Sim",G2964&lt;&gt;"Nao",G2964&lt;&gt;""),"PC_PAGO_A_CONTRATADA invalido",IF(AND(C2964&lt;&gt;"C0",IFERROR(INDEX(parametros!$A$2:$A$6,MATCH(C2964,parametros!$B$2:$B$6,0)),"")="Sim",IFERROR(INDEX(parametros!$H$2:$H$6,MATCH(C2964,parametros!$B$2:$B$6,0)),"")=""),"INICIO_EFEITO ausente: PC "&amp;A2964&amp;" - "&amp;C2964,IF(L2964="","EFEITO_PC nao calculado: PC "&amp;A2964&amp;" - "&amp;C2964,"OK")))))))))</f>
        <v/>
      </c>
      <c r="L2964" s="92" t="str">
        <f>IF(AND(A2964="",B2964="",D2964="",G2964=""),"",IF(OR(B2964="",NOT(ISNUMBER(B2964)),C2964="",C2964="Fora dos ciclos"),"",IF(C2964="C0","Nao",IF(IFERROR(INDEX(parametros!$A$2:$A$6,MATCH(C2964,parametros!$B$2:$B$6,0)),"")&lt;&gt;"Sim","Nao",IF(IFERROR(INDEX(parametros!$H$2:$H$6,MATCH(C2964,parametros!$B$2:$B$6,0)),"")="","",IF(B2964&gt;=IFERROR(INDEX(parametros!$H$2:$H$6,MATCH(C2964,parametros!$B$2:$B$6,0)),""),"Sim","Nao"))))))</f>
        <v/>
      </c>
      <c r="T2964" s="156"/>
      <c r="U2964" s="214" t="str">
        <f t="shared" si="236"/>
        <v/>
      </c>
      <c r="V2964" s="212" t="s">
        <v>50</v>
      </c>
      <c r="W2964" s="100" t="s">
        <v>168</v>
      </c>
      <c r="X2964" s="100" t="s">
        <v>169</v>
      </c>
      <c r="Y2964" s="101" t="s">
        <v>170</v>
      </c>
      <c r="Z2964" s="101" t="s">
        <v>171</v>
      </c>
      <c r="AA2964" s="101" t="s">
        <v>50</v>
      </c>
      <c r="AB2964" s="101" t="s">
        <v>172</v>
      </c>
      <c r="AC2964" s="102" t="s">
        <v>173</v>
      </c>
    </row>
    <row r="2965" spans="1:29" ht="25.5" customHeight="1" x14ac:dyDescent="0.35">
      <c r="A2965" s="392"/>
      <c r="B2965" s="393"/>
      <c r="C2965" s="99" t="str">
        <f>IF(B2965="","",IF(NOT(ISNUMBER(B2965)),"DATA_PC invalida",IF(NOT(ISNUMBER(parametros!$C$2)),"Fora dos ciclos",IF(OR(B2965&lt;parametros!$C$2,(YEAR(B2965)-YEAR(parametros!$C$2))*12+MONTH(B2965)-MONTH(parametros!$C$2)&gt;59),"Fora dos ciclos","C"&amp;INT(((YEAR(B2965)-YEAR(parametros!$C$2))*12+MONTH(B2965)-MONTH(parametros!$C$2))/12)))))</f>
        <v/>
      </c>
      <c r="D2965" s="394"/>
      <c r="E2965" s="78" t="str">
        <f>IF(C2965="","",IFERROR(VLOOKUP(C2965,parametros!$A$11:$E$15,5,0),""))</f>
        <v/>
      </c>
      <c r="F2965" s="79" t="str">
        <f t="shared" si="232"/>
        <v/>
      </c>
      <c r="G2965" s="395"/>
      <c r="H2965" s="91">
        <f t="shared" si="233"/>
        <v>0</v>
      </c>
      <c r="I2965" s="91" t="str">
        <f t="shared" si="234"/>
        <v/>
      </c>
      <c r="J2965" s="91" t="str">
        <f t="shared" si="235"/>
        <v/>
      </c>
      <c r="K2965" s="92" t="str">
        <f>IF(AND(A2965="",B2965="",D2965="",G2965=""),"",IF(AND(A2965&lt;&gt;"",COUNTIF($A$2:$A$5001,A2965)&gt;1),"NUMERO_PC duplicado",IF(B2965="","DATA_PC vazia",IF(NOT(ISNUMBER(B2965)),"DATA_PC invalida",IF(OR(C2965="",C2965="Fora dos ciclos"),"CICLO_PC nao identificado",IF(OR(D2965="",D2965=0),"VALOR_PC vazio ou zero",IF(AND(G2965&lt;&gt;"Sim",G2965&lt;&gt;"Nao",G2965&lt;&gt;""),"PC_PAGO_A_CONTRATADA invalido",IF(AND(C2965&lt;&gt;"C0",IFERROR(INDEX(parametros!$A$2:$A$6,MATCH(C2965,parametros!$B$2:$B$6,0)),"")="Sim",IFERROR(INDEX(parametros!$H$2:$H$6,MATCH(C2965,parametros!$B$2:$B$6,0)),"")=""),"INICIO_EFEITO ausente: PC "&amp;A2965&amp;" - "&amp;C2965,IF(L2965="","EFEITO_PC nao calculado: PC "&amp;A2965&amp;" - "&amp;C2965,"OK")))))))))</f>
        <v/>
      </c>
      <c r="L2965" s="92" t="str">
        <f>IF(AND(A2965="",B2965="",D2965="",G2965=""),"",IF(OR(B2965="",NOT(ISNUMBER(B2965)),C2965="",C2965="Fora dos ciclos"),"",IF(C2965="C0","Nao",IF(IFERROR(INDEX(parametros!$A$2:$A$6,MATCH(C2965,parametros!$B$2:$B$6,0)),"")&lt;&gt;"Sim","Nao",IF(IFERROR(INDEX(parametros!$H$2:$H$6,MATCH(C2965,parametros!$B$2:$B$6,0)),"")="","",IF(B2965&gt;=IFERROR(INDEX(parametros!$H$2:$H$6,MATCH(C2965,parametros!$B$2:$B$6,0)),""),"Sim","Nao"))))))</f>
        <v/>
      </c>
      <c r="T2965" s="156"/>
      <c r="U2965" s="214" t="str">
        <f t="shared" si="236"/>
        <v/>
      </c>
      <c r="V2965" s="212" t="s">
        <v>50</v>
      </c>
      <c r="W2965" s="100" t="s">
        <v>168</v>
      </c>
      <c r="X2965" s="100" t="s">
        <v>169</v>
      </c>
      <c r="Y2965" s="101" t="s">
        <v>170</v>
      </c>
      <c r="Z2965" s="101" t="s">
        <v>171</v>
      </c>
      <c r="AA2965" s="101" t="s">
        <v>50</v>
      </c>
      <c r="AB2965" s="101" t="s">
        <v>172</v>
      </c>
      <c r="AC2965" s="102" t="s">
        <v>173</v>
      </c>
    </row>
    <row r="2966" spans="1:29" ht="25.5" customHeight="1" x14ac:dyDescent="0.35">
      <c r="A2966" s="392"/>
      <c r="B2966" s="393"/>
      <c r="C2966" s="99" t="str">
        <f>IF(B2966="","",IF(NOT(ISNUMBER(B2966)),"DATA_PC invalida",IF(NOT(ISNUMBER(parametros!$C$2)),"Fora dos ciclos",IF(OR(B2966&lt;parametros!$C$2,(YEAR(B2966)-YEAR(parametros!$C$2))*12+MONTH(B2966)-MONTH(parametros!$C$2)&gt;59),"Fora dos ciclos","C"&amp;INT(((YEAR(B2966)-YEAR(parametros!$C$2))*12+MONTH(B2966)-MONTH(parametros!$C$2))/12)))))</f>
        <v/>
      </c>
      <c r="D2966" s="394"/>
      <c r="E2966" s="78" t="str">
        <f>IF(C2966="","",IFERROR(VLOOKUP(C2966,parametros!$A$11:$E$15,5,0),""))</f>
        <v/>
      </c>
      <c r="F2966" s="79" t="str">
        <f t="shared" si="232"/>
        <v/>
      </c>
      <c r="G2966" s="395"/>
      <c r="H2966" s="91">
        <f t="shared" si="233"/>
        <v>0</v>
      </c>
      <c r="I2966" s="91" t="str">
        <f t="shared" si="234"/>
        <v/>
      </c>
      <c r="J2966" s="91" t="str">
        <f t="shared" si="235"/>
        <v/>
      </c>
      <c r="K2966" s="92" t="str">
        <f>IF(AND(A2966="",B2966="",D2966="",G2966=""),"",IF(AND(A2966&lt;&gt;"",COUNTIF($A$2:$A$5001,A2966)&gt;1),"NUMERO_PC duplicado",IF(B2966="","DATA_PC vazia",IF(NOT(ISNUMBER(B2966)),"DATA_PC invalida",IF(OR(C2966="",C2966="Fora dos ciclos"),"CICLO_PC nao identificado",IF(OR(D2966="",D2966=0),"VALOR_PC vazio ou zero",IF(AND(G2966&lt;&gt;"Sim",G2966&lt;&gt;"Nao",G2966&lt;&gt;""),"PC_PAGO_A_CONTRATADA invalido",IF(AND(C2966&lt;&gt;"C0",IFERROR(INDEX(parametros!$A$2:$A$6,MATCH(C2966,parametros!$B$2:$B$6,0)),"")="Sim",IFERROR(INDEX(parametros!$H$2:$H$6,MATCH(C2966,parametros!$B$2:$B$6,0)),"")=""),"INICIO_EFEITO ausente: PC "&amp;A2966&amp;" - "&amp;C2966,IF(L2966="","EFEITO_PC nao calculado: PC "&amp;A2966&amp;" - "&amp;C2966,"OK")))))))))</f>
        <v/>
      </c>
      <c r="L2966" s="92" t="str">
        <f>IF(AND(A2966="",B2966="",D2966="",G2966=""),"",IF(OR(B2966="",NOT(ISNUMBER(B2966)),C2966="",C2966="Fora dos ciclos"),"",IF(C2966="C0","Nao",IF(IFERROR(INDEX(parametros!$A$2:$A$6,MATCH(C2966,parametros!$B$2:$B$6,0)),"")&lt;&gt;"Sim","Nao",IF(IFERROR(INDEX(parametros!$H$2:$H$6,MATCH(C2966,parametros!$B$2:$B$6,0)),"")="","",IF(B2966&gt;=IFERROR(INDEX(parametros!$H$2:$H$6,MATCH(C2966,parametros!$B$2:$B$6,0)),""),"Sim","Nao"))))))</f>
        <v/>
      </c>
      <c r="T2966" s="156"/>
      <c r="U2966" s="214" t="str">
        <f t="shared" si="236"/>
        <v/>
      </c>
      <c r="V2966" s="212" t="s">
        <v>50</v>
      </c>
      <c r="W2966" s="100" t="s">
        <v>168</v>
      </c>
      <c r="X2966" s="100" t="s">
        <v>169</v>
      </c>
      <c r="Y2966" s="101" t="s">
        <v>170</v>
      </c>
      <c r="Z2966" s="101" t="s">
        <v>171</v>
      </c>
      <c r="AA2966" s="101" t="s">
        <v>50</v>
      </c>
      <c r="AB2966" s="101" t="s">
        <v>172</v>
      </c>
      <c r="AC2966" s="102" t="s">
        <v>173</v>
      </c>
    </row>
    <row r="2967" spans="1:29" ht="25.5" customHeight="1" x14ac:dyDescent="0.35">
      <c r="A2967" s="392"/>
      <c r="B2967" s="393"/>
      <c r="C2967" s="99" t="str">
        <f>IF(B2967="","",IF(NOT(ISNUMBER(B2967)),"DATA_PC invalida",IF(NOT(ISNUMBER(parametros!$C$2)),"Fora dos ciclos",IF(OR(B2967&lt;parametros!$C$2,(YEAR(B2967)-YEAR(parametros!$C$2))*12+MONTH(B2967)-MONTH(parametros!$C$2)&gt;59),"Fora dos ciclos","C"&amp;INT(((YEAR(B2967)-YEAR(parametros!$C$2))*12+MONTH(B2967)-MONTH(parametros!$C$2))/12)))))</f>
        <v/>
      </c>
      <c r="D2967" s="394"/>
      <c r="E2967" s="78" t="str">
        <f>IF(C2967="","",IFERROR(VLOOKUP(C2967,parametros!$A$11:$E$15,5,0),""))</f>
        <v/>
      </c>
      <c r="F2967" s="79" t="str">
        <f t="shared" si="232"/>
        <v/>
      </c>
      <c r="G2967" s="395"/>
      <c r="H2967" s="91">
        <f t="shared" si="233"/>
        <v>0</v>
      </c>
      <c r="I2967" s="91" t="str">
        <f t="shared" si="234"/>
        <v/>
      </c>
      <c r="J2967" s="91" t="str">
        <f t="shared" si="235"/>
        <v/>
      </c>
      <c r="K2967" s="92" t="str">
        <f>IF(AND(A2967="",B2967="",D2967="",G2967=""),"",IF(AND(A2967&lt;&gt;"",COUNTIF($A$2:$A$5001,A2967)&gt;1),"NUMERO_PC duplicado",IF(B2967="","DATA_PC vazia",IF(NOT(ISNUMBER(B2967)),"DATA_PC invalida",IF(OR(C2967="",C2967="Fora dos ciclos"),"CICLO_PC nao identificado",IF(OR(D2967="",D2967=0),"VALOR_PC vazio ou zero",IF(AND(G2967&lt;&gt;"Sim",G2967&lt;&gt;"Nao",G2967&lt;&gt;""),"PC_PAGO_A_CONTRATADA invalido",IF(AND(C2967&lt;&gt;"C0",IFERROR(INDEX(parametros!$A$2:$A$6,MATCH(C2967,parametros!$B$2:$B$6,0)),"")="Sim",IFERROR(INDEX(parametros!$H$2:$H$6,MATCH(C2967,parametros!$B$2:$B$6,0)),"")=""),"INICIO_EFEITO ausente: PC "&amp;A2967&amp;" - "&amp;C2967,IF(L2967="","EFEITO_PC nao calculado: PC "&amp;A2967&amp;" - "&amp;C2967,"OK")))))))))</f>
        <v/>
      </c>
      <c r="L2967" s="92" t="str">
        <f>IF(AND(A2967="",B2967="",D2967="",G2967=""),"",IF(OR(B2967="",NOT(ISNUMBER(B2967)),C2967="",C2967="Fora dos ciclos"),"",IF(C2967="C0","Nao",IF(IFERROR(INDEX(parametros!$A$2:$A$6,MATCH(C2967,parametros!$B$2:$B$6,0)),"")&lt;&gt;"Sim","Nao",IF(IFERROR(INDEX(parametros!$H$2:$H$6,MATCH(C2967,parametros!$B$2:$B$6,0)),"")="","",IF(B2967&gt;=IFERROR(INDEX(parametros!$H$2:$H$6,MATCH(C2967,parametros!$B$2:$B$6,0)),""),"Sim","Nao"))))))</f>
        <v/>
      </c>
      <c r="T2967" s="156"/>
      <c r="U2967" s="214" t="str">
        <f t="shared" si="236"/>
        <v/>
      </c>
      <c r="V2967" s="212" t="s">
        <v>50</v>
      </c>
      <c r="W2967" s="100" t="s">
        <v>168</v>
      </c>
      <c r="X2967" s="100" t="s">
        <v>169</v>
      </c>
      <c r="Y2967" s="101" t="s">
        <v>170</v>
      </c>
      <c r="Z2967" s="101" t="s">
        <v>171</v>
      </c>
      <c r="AA2967" s="101" t="s">
        <v>50</v>
      </c>
      <c r="AB2967" s="101" t="s">
        <v>172</v>
      </c>
      <c r="AC2967" s="102" t="s">
        <v>173</v>
      </c>
    </row>
    <row r="2968" spans="1:29" ht="25.5" customHeight="1" x14ac:dyDescent="0.35">
      <c r="A2968" s="392"/>
      <c r="B2968" s="393"/>
      <c r="C2968" s="99" t="str">
        <f>IF(B2968="","",IF(NOT(ISNUMBER(B2968)),"DATA_PC invalida",IF(NOT(ISNUMBER(parametros!$C$2)),"Fora dos ciclos",IF(OR(B2968&lt;parametros!$C$2,(YEAR(B2968)-YEAR(parametros!$C$2))*12+MONTH(B2968)-MONTH(parametros!$C$2)&gt;59),"Fora dos ciclos","C"&amp;INT(((YEAR(B2968)-YEAR(parametros!$C$2))*12+MONTH(B2968)-MONTH(parametros!$C$2))/12)))))</f>
        <v/>
      </c>
      <c r="D2968" s="394"/>
      <c r="E2968" s="78" t="str">
        <f>IF(C2968="","",IFERROR(VLOOKUP(C2968,parametros!$A$11:$E$15,5,0),""))</f>
        <v/>
      </c>
      <c r="F2968" s="79" t="str">
        <f t="shared" si="232"/>
        <v/>
      </c>
      <c r="G2968" s="395"/>
      <c r="H2968" s="91">
        <f t="shared" si="233"/>
        <v>0</v>
      </c>
      <c r="I2968" s="91" t="str">
        <f t="shared" si="234"/>
        <v/>
      </c>
      <c r="J2968" s="91" t="str">
        <f t="shared" si="235"/>
        <v/>
      </c>
      <c r="K2968" s="92" t="str">
        <f>IF(AND(A2968="",B2968="",D2968="",G2968=""),"",IF(AND(A2968&lt;&gt;"",COUNTIF($A$2:$A$5001,A2968)&gt;1),"NUMERO_PC duplicado",IF(B2968="","DATA_PC vazia",IF(NOT(ISNUMBER(B2968)),"DATA_PC invalida",IF(OR(C2968="",C2968="Fora dos ciclos"),"CICLO_PC nao identificado",IF(OR(D2968="",D2968=0),"VALOR_PC vazio ou zero",IF(AND(G2968&lt;&gt;"Sim",G2968&lt;&gt;"Nao",G2968&lt;&gt;""),"PC_PAGO_A_CONTRATADA invalido",IF(AND(C2968&lt;&gt;"C0",IFERROR(INDEX(parametros!$A$2:$A$6,MATCH(C2968,parametros!$B$2:$B$6,0)),"")="Sim",IFERROR(INDEX(parametros!$H$2:$H$6,MATCH(C2968,parametros!$B$2:$B$6,0)),"")=""),"INICIO_EFEITO ausente: PC "&amp;A2968&amp;" - "&amp;C2968,IF(L2968="","EFEITO_PC nao calculado: PC "&amp;A2968&amp;" - "&amp;C2968,"OK")))))))))</f>
        <v/>
      </c>
      <c r="L2968" s="92" t="str">
        <f>IF(AND(A2968="",B2968="",D2968="",G2968=""),"",IF(OR(B2968="",NOT(ISNUMBER(B2968)),C2968="",C2968="Fora dos ciclos"),"",IF(C2968="C0","Nao",IF(IFERROR(INDEX(parametros!$A$2:$A$6,MATCH(C2968,parametros!$B$2:$B$6,0)),"")&lt;&gt;"Sim","Nao",IF(IFERROR(INDEX(parametros!$H$2:$H$6,MATCH(C2968,parametros!$B$2:$B$6,0)),"")="","",IF(B2968&gt;=IFERROR(INDEX(parametros!$H$2:$H$6,MATCH(C2968,parametros!$B$2:$B$6,0)),""),"Sim","Nao"))))))</f>
        <v/>
      </c>
      <c r="T2968" s="156"/>
      <c r="U2968" s="214" t="str">
        <f t="shared" si="236"/>
        <v/>
      </c>
      <c r="V2968" s="212" t="s">
        <v>50</v>
      </c>
      <c r="W2968" s="100" t="s">
        <v>168</v>
      </c>
      <c r="X2968" s="100" t="s">
        <v>169</v>
      </c>
      <c r="Y2968" s="101" t="s">
        <v>170</v>
      </c>
      <c r="Z2968" s="101" t="s">
        <v>171</v>
      </c>
      <c r="AA2968" s="101" t="s">
        <v>50</v>
      </c>
      <c r="AB2968" s="101" t="s">
        <v>172</v>
      </c>
      <c r="AC2968" s="102" t="s">
        <v>173</v>
      </c>
    </row>
    <row r="2969" spans="1:29" ht="25.5" customHeight="1" x14ac:dyDescent="0.35">
      <c r="A2969" s="392"/>
      <c r="B2969" s="393"/>
      <c r="C2969" s="99" t="str">
        <f>IF(B2969="","",IF(NOT(ISNUMBER(B2969)),"DATA_PC invalida",IF(NOT(ISNUMBER(parametros!$C$2)),"Fora dos ciclos",IF(OR(B2969&lt;parametros!$C$2,(YEAR(B2969)-YEAR(parametros!$C$2))*12+MONTH(B2969)-MONTH(parametros!$C$2)&gt;59),"Fora dos ciclos","C"&amp;INT(((YEAR(B2969)-YEAR(parametros!$C$2))*12+MONTH(B2969)-MONTH(parametros!$C$2))/12)))))</f>
        <v/>
      </c>
      <c r="D2969" s="394"/>
      <c r="E2969" s="78" t="str">
        <f>IF(C2969="","",IFERROR(VLOOKUP(C2969,parametros!$A$11:$E$15,5,0),""))</f>
        <v/>
      </c>
      <c r="F2969" s="79" t="str">
        <f t="shared" si="232"/>
        <v/>
      </c>
      <c r="G2969" s="395"/>
      <c r="H2969" s="91">
        <f t="shared" si="233"/>
        <v>0</v>
      </c>
      <c r="I2969" s="91" t="str">
        <f t="shared" si="234"/>
        <v/>
      </c>
      <c r="J2969" s="91" t="str">
        <f t="shared" si="235"/>
        <v/>
      </c>
      <c r="K2969" s="92" t="str">
        <f>IF(AND(A2969="",B2969="",D2969="",G2969=""),"",IF(AND(A2969&lt;&gt;"",COUNTIF($A$2:$A$5001,A2969)&gt;1),"NUMERO_PC duplicado",IF(B2969="","DATA_PC vazia",IF(NOT(ISNUMBER(B2969)),"DATA_PC invalida",IF(OR(C2969="",C2969="Fora dos ciclos"),"CICLO_PC nao identificado",IF(OR(D2969="",D2969=0),"VALOR_PC vazio ou zero",IF(AND(G2969&lt;&gt;"Sim",G2969&lt;&gt;"Nao",G2969&lt;&gt;""),"PC_PAGO_A_CONTRATADA invalido",IF(AND(C2969&lt;&gt;"C0",IFERROR(INDEX(parametros!$A$2:$A$6,MATCH(C2969,parametros!$B$2:$B$6,0)),"")="Sim",IFERROR(INDEX(parametros!$H$2:$H$6,MATCH(C2969,parametros!$B$2:$B$6,0)),"")=""),"INICIO_EFEITO ausente: PC "&amp;A2969&amp;" - "&amp;C2969,IF(L2969="","EFEITO_PC nao calculado: PC "&amp;A2969&amp;" - "&amp;C2969,"OK")))))))))</f>
        <v/>
      </c>
      <c r="L2969" s="92" t="str">
        <f>IF(AND(A2969="",B2969="",D2969="",G2969=""),"",IF(OR(B2969="",NOT(ISNUMBER(B2969)),C2969="",C2969="Fora dos ciclos"),"",IF(C2969="C0","Nao",IF(IFERROR(INDEX(parametros!$A$2:$A$6,MATCH(C2969,parametros!$B$2:$B$6,0)),"")&lt;&gt;"Sim","Nao",IF(IFERROR(INDEX(parametros!$H$2:$H$6,MATCH(C2969,parametros!$B$2:$B$6,0)),"")="","",IF(B2969&gt;=IFERROR(INDEX(parametros!$H$2:$H$6,MATCH(C2969,parametros!$B$2:$B$6,0)),""),"Sim","Nao"))))))</f>
        <v/>
      </c>
      <c r="T2969" s="156"/>
      <c r="U2969" s="214" t="str">
        <f t="shared" si="236"/>
        <v/>
      </c>
      <c r="V2969" s="212" t="s">
        <v>50</v>
      </c>
      <c r="W2969" s="100" t="s">
        <v>168</v>
      </c>
      <c r="X2969" s="100" t="s">
        <v>169</v>
      </c>
      <c r="Y2969" s="101" t="s">
        <v>170</v>
      </c>
      <c r="Z2969" s="101" t="s">
        <v>171</v>
      </c>
      <c r="AA2969" s="101" t="s">
        <v>50</v>
      </c>
      <c r="AB2969" s="101" t="s">
        <v>172</v>
      </c>
      <c r="AC2969" s="102" t="s">
        <v>173</v>
      </c>
    </row>
    <row r="2970" spans="1:29" ht="25.5" customHeight="1" x14ac:dyDescent="0.35">
      <c r="A2970" s="392"/>
      <c r="B2970" s="393"/>
      <c r="C2970" s="99" t="str">
        <f>IF(B2970="","",IF(NOT(ISNUMBER(B2970)),"DATA_PC invalida",IF(NOT(ISNUMBER(parametros!$C$2)),"Fora dos ciclos",IF(OR(B2970&lt;parametros!$C$2,(YEAR(B2970)-YEAR(parametros!$C$2))*12+MONTH(B2970)-MONTH(parametros!$C$2)&gt;59),"Fora dos ciclos","C"&amp;INT(((YEAR(B2970)-YEAR(parametros!$C$2))*12+MONTH(B2970)-MONTH(parametros!$C$2))/12)))))</f>
        <v/>
      </c>
      <c r="D2970" s="394"/>
      <c r="E2970" s="78" t="str">
        <f>IF(C2970="","",IFERROR(VLOOKUP(C2970,parametros!$A$11:$E$15,5,0),""))</f>
        <v/>
      </c>
      <c r="F2970" s="79" t="str">
        <f t="shared" si="232"/>
        <v/>
      </c>
      <c r="G2970" s="395"/>
      <c r="H2970" s="91">
        <f t="shared" si="233"/>
        <v>0</v>
      </c>
      <c r="I2970" s="91" t="str">
        <f t="shared" si="234"/>
        <v/>
      </c>
      <c r="J2970" s="91" t="str">
        <f t="shared" si="235"/>
        <v/>
      </c>
      <c r="K2970" s="92" t="str">
        <f>IF(AND(A2970="",B2970="",D2970="",G2970=""),"",IF(AND(A2970&lt;&gt;"",COUNTIF($A$2:$A$5001,A2970)&gt;1),"NUMERO_PC duplicado",IF(B2970="","DATA_PC vazia",IF(NOT(ISNUMBER(B2970)),"DATA_PC invalida",IF(OR(C2970="",C2970="Fora dos ciclos"),"CICLO_PC nao identificado",IF(OR(D2970="",D2970=0),"VALOR_PC vazio ou zero",IF(AND(G2970&lt;&gt;"Sim",G2970&lt;&gt;"Nao",G2970&lt;&gt;""),"PC_PAGO_A_CONTRATADA invalido",IF(AND(C2970&lt;&gt;"C0",IFERROR(INDEX(parametros!$A$2:$A$6,MATCH(C2970,parametros!$B$2:$B$6,0)),"")="Sim",IFERROR(INDEX(parametros!$H$2:$H$6,MATCH(C2970,parametros!$B$2:$B$6,0)),"")=""),"INICIO_EFEITO ausente: PC "&amp;A2970&amp;" - "&amp;C2970,IF(L2970="","EFEITO_PC nao calculado: PC "&amp;A2970&amp;" - "&amp;C2970,"OK")))))))))</f>
        <v/>
      </c>
      <c r="L2970" s="92" t="str">
        <f>IF(AND(A2970="",B2970="",D2970="",G2970=""),"",IF(OR(B2970="",NOT(ISNUMBER(B2970)),C2970="",C2970="Fora dos ciclos"),"",IF(C2970="C0","Nao",IF(IFERROR(INDEX(parametros!$A$2:$A$6,MATCH(C2970,parametros!$B$2:$B$6,0)),"")&lt;&gt;"Sim","Nao",IF(IFERROR(INDEX(parametros!$H$2:$H$6,MATCH(C2970,parametros!$B$2:$B$6,0)),"")="","",IF(B2970&gt;=IFERROR(INDEX(parametros!$H$2:$H$6,MATCH(C2970,parametros!$B$2:$B$6,0)),""),"Sim","Nao"))))))</f>
        <v/>
      </c>
      <c r="T2970" s="156"/>
      <c r="U2970" s="214" t="str">
        <f t="shared" si="236"/>
        <v/>
      </c>
      <c r="V2970" s="212" t="s">
        <v>50</v>
      </c>
      <c r="W2970" s="100" t="s">
        <v>168</v>
      </c>
      <c r="X2970" s="100" t="s">
        <v>169</v>
      </c>
      <c r="Y2970" s="101" t="s">
        <v>170</v>
      </c>
      <c r="Z2970" s="101" t="s">
        <v>171</v>
      </c>
      <c r="AA2970" s="101" t="s">
        <v>50</v>
      </c>
      <c r="AB2970" s="101" t="s">
        <v>172</v>
      </c>
      <c r="AC2970" s="102" t="s">
        <v>173</v>
      </c>
    </row>
    <row r="2971" spans="1:29" ht="25.5" customHeight="1" x14ac:dyDescent="0.35">
      <c r="A2971" s="392"/>
      <c r="B2971" s="393"/>
      <c r="C2971" s="99" t="str">
        <f>IF(B2971="","",IF(NOT(ISNUMBER(B2971)),"DATA_PC invalida",IF(NOT(ISNUMBER(parametros!$C$2)),"Fora dos ciclos",IF(OR(B2971&lt;parametros!$C$2,(YEAR(B2971)-YEAR(parametros!$C$2))*12+MONTH(B2971)-MONTH(parametros!$C$2)&gt;59),"Fora dos ciclos","C"&amp;INT(((YEAR(B2971)-YEAR(parametros!$C$2))*12+MONTH(B2971)-MONTH(parametros!$C$2))/12)))))</f>
        <v/>
      </c>
      <c r="D2971" s="394"/>
      <c r="E2971" s="78" t="str">
        <f>IF(C2971="","",IFERROR(VLOOKUP(C2971,parametros!$A$11:$E$15,5,0),""))</f>
        <v/>
      </c>
      <c r="F2971" s="79" t="str">
        <f t="shared" si="232"/>
        <v/>
      </c>
      <c r="G2971" s="395"/>
      <c r="H2971" s="91">
        <f t="shared" si="233"/>
        <v>0</v>
      </c>
      <c r="I2971" s="91" t="str">
        <f t="shared" si="234"/>
        <v/>
      </c>
      <c r="J2971" s="91" t="str">
        <f t="shared" si="235"/>
        <v/>
      </c>
      <c r="K2971" s="92" t="str">
        <f>IF(AND(A2971="",B2971="",D2971="",G2971=""),"",IF(AND(A2971&lt;&gt;"",COUNTIF($A$2:$A$5001,A2971)&gt;1),"NUMERO_PC duplicado",IF(B2971="","DATA_PC vazia",IF(NOT(ISNUMBER(B2971)),"DATA_PC invalida",IF(OR(C2971="",C2971="Fora dos ciclos"),"CICLO_PC nao identificado",IF(OR(D2971="",D2971=0),"VALOR_PC vazio ou zero",IF(AND(G2971&lt;&gt;"Sim",G2971&lt;&gt;"Nao",G2971&lt;&gt;""),"PC_PAGO_A_CONTRATADA invalido",IF(AND(C2971&lt;&gt;"C0",IFERROR(INDEX(parametros!$A$2:$A$6,MATCH(C2971,parametros!$B$2:$B$6,0)),"")="Sim",IFERROR(INDEX(parametros!$H$2:$H$6,MATCH(C2971,parametros!$B$2:$B$6,0)),"")=""),"INICIO_EFEITO ausente: PC "&amp;A2971&amp;" - "&amp;C2971,IF(L2971="","EFEITO_PC nao calculado: PC "&amp;A2971&amp;" - "&amp;C2971,"OK")))))))))</f>
        <v/>
      </c>
      <c r="L2971" s="92" t="str">
        <f>IF(AND(A2971="",B2971="",D2971="",G2971=""),"",IF(OR(B2971="",NOT(ISNUMBER(B2971)),C2971="",C2971="Fora dos ciclos"),"",IF(C2971="C0","Nao",IF(IFERROR(INDEX(parametros!$A$2:$A$6,MATCH(C2971,parametros!$B$2:$B$6,0)),"")&lt;&gt;"Sim","Nao",IF(IFERROR(INDEX(parametros!$H$2:$H$6,MATCH(C2971,parametros!$B$2:$B$6,0)),"")="","",IF(B2971&gt;=IFERROR(INDEX(parametros!$H$2:$H$6,MATCH(C2971,parametros!$B$2:$B$6,0)),""),"Sim","Nao"))))))</f>
        <v/>
      </c>
      <c r="T2971" s="156"/>
      <c r="U2971" s="214" t="str">
        <f t="shared" si="236"/>
        <v/>
      </c>
      <c r="V2971" s="212" t="s">
        <v>50</v>
      </c>
      <c r="W2971" s="100" t="s">
        <v>168</v>
      </c>
      <c r="X2971" s="100" t="s">
        <v>169</v>
      </c>
      <c r="Y2971" s="101" t="s">
        <v>170</v>
      </c>
      <c r="Z2971" s="101" t="s">
        <v>171</v>
      </c>
      <c r="AA2971" s="101" t="s">
        <v>50</v>
      </c>
      <c r="AB2971" s="101" t="s">
        <v>172</v>
      </c>
      <c r="AC2971" s="102" t="s">
        <v>173</v>
      </c>
    </row>
    <row r="2972" spans="1:29" ht="25.5" customHeight="1" x14ac:dyDescent="0.35">
      <c r="A2972" s="392"/>
      <c r="B2972" s="393"/>
      <c r="C2972" s="99" t="str">
        <f>IF(B2972="","",IF(NOT(ISNUMBER(B2972)),"DATA_PC invalida",IF(NOT(ISNUMBER(parametros!$C$2)),"Fora dos ciclos",IF(OR(B2972&lt;parametros!$C$2,(YEAR(B2972)-YEAR(parametros!$C$2))*12+MONTH(B2972)-MONTH(parametros!$C$2)&gt;59),"Fora dos ciclos","C"&amp;INT(((YEAR(B2972)-YEAR(parametros!$C$2))*12+MONTH(B2972)-MONTH(parametros!$C$2))/12)))))</f>
        <v/>
      </c>
      <c r="D2972" s="394"/>
      <c r="E2972" s="78" t="str">
        <f>IF(C2972="","",IFERROR(VLOOKUP(C2972,parametros!$A$11:$E$15,5,0),""))</f>
        <v/>
      </c>
      <c r="F2972" s="79" t="str">
        <f t="shared" si="232"/>
        <v/>
      </c>
      <c r="G2972" s="395"/>
      <c r="H2972" s="91">
        <f t="shared" si="233"/>
        <v>0</v>
      </c>
      <c r="I2972" s="91" t="str">
        <f t="shared" si="234"/>
        <v/>
      </c>
      <c r="J2972" s="91" t="str">
        <f t="shared" si="235"/>
        <v/>
      </c>
      <c r="K2972" s="92" t="str">
        <f>IF(AND(A2972="",B2972="",D2972="",G2972=""),"",IF(AND(A2972&lt;&gt;"",COUNTIF($A$2:$A$5001,A2972)&gt;1),"NUMERO_PC duplicado",IF(B2972="","DATA_PC vazia",IF(NOT(ISNUMBER(B2972)),"DATA_PC invalida",IF(OR(C2972="",C2972="Fora dos ciclos"),"CICLO_PC nao identificado",IF(OR(D2972="",D2972=0),"VALOR_PC vazio ou zero",IF(AND(G2972&lt;&gt;"Sim",G2972&lt;&gt;"Nao",G2972&lt;&gt;""),"PC_PAGO_A_CONTRATADA invalido",IF(AND(C2972&lt;&gt;"C0",IFERROR(INDEX(parametros!$A$2:$A$6,MATCH(C2972,parametros!$B$2:$B$6,0)),"")="Sim",IFERROR(INDEX(parametros!$H$2:$H$6,MATCH(C2972,parametros!$B$2:$B$6,0)),"")=""),"INICIO_EFEITO ausente: PC "&amp;A2972&amp;" - "&amp;C2972,IF(L2972="","EFEITO_PC nao calculado: PC "&amp;A2972&amp;" - "&amp;C2972,"OK")))))))))</f>
        <v/>
      </c>
      <c r="L2972" s="92" t="str">
        <f>IF(AND(A2972="",B2972="",D2972="",G2972=""),"",IF(OR(B2972="",NOT(ISNUMBER(B2972)),C2972="",C2972="Fora dos ciclos"),"",IF(C2972="C0","Nao",IF(IFERROR(INDEX(parametros!$A$2:$A$6,MATCH(C2972,parametros!$B$2:$B$6,0)),"")&lt;&gt;"Sim","Nao",IF(IFERROR(INDEX(parametros!$H$2:$H$6,MATCH(C2972,parametros!$B$2:$B$6,0)),"")="","",IF(B2972&gt;=IFERROR(INDEX(parametros!$H$2:$H$6,MATCH(C2972,parametros!$B$2:$B$6,0)),""),"Sim","Nao"))))))</f>
        <v/>
      </c>
      <c r="T2972" s="156"/>
      <c r="U2972" s="214" t="str">
        <f t="shared" si="236"/>
        <v/>
      </c>
      <c r="V2972" s="212" t="s">
        <v>50</v>
      </c>
      <c r="W2972" s="100" t="s">
        <v>168</v>
      </c>
      <c r="X2972" s="100" t="s">
        <v>169</v>
      </c>
      <c r="Y2972" s="101" t="s">
        <v>170</v>
      </c>
      <c r="Z2972" s="101" t="s">
        <v>171</v>
      </c>
      <c r="AA2972" s="101" t="s">
        <v>50</v>
      </c>
      <c r="AB2972" s="101" t="s">
        <v>172</v>
      </c>
      <c r="AC2972" s="102" t="s">
        <v>173</v>
      </c>
    </row>
    <row r="2973" spans="1:29" ht="25.5" customHeight="1" x14ac:dyDescent="0.35">
      <c r="A2973" s="392"/>
      <c r="B2973" s="393"/>
      <c r="C2973" s="99" t="str">
        <f>IF(B2973="","",IF(NOT(ISNUMBER(B2973)),"DATA_PC invalida",IF(NOT(ISNUMBER(parametros!$C$2)),"Fora dos ciclos",IF(OR(B2973&lt;parametros!$C$2,(YEAR(B2973)-YEAR(parametros!$C$2))*12+MONTH(B2973)-MONTH(parametros!$C$2)&gt;59),"Fora dos ciclos","C"&amp;INT(((YEAR(B2973)-YEAR(parametros!$C$2))*12+MONTH(B2973)-MONTH(parametros!$C$2))/12)))))</f>
        <v/>
      </c>
      <c r="D2973" s="394"/>
      <c r="E2973" s="78" t="str">
        <f>IF(C2973="","",IFERROR(VLOOKUP(C2973,parametros!$A$11:$E$15,5,0),""))</f>
        <v/>
      </c>
      <c r="F2973" s="79" t="str">
        <f t="shared" si="232"/>
        <v/>
      </c>
      <c r="G2973" s="395"/>
      <c r="H2973" s="91">
        <f t="shared" si="233"/>
        <v>0</v>
      </c>
      <c r="I2973" s="91" t="str">
        <f t="shared" si="234"/>
        <v/>
      </c>
      <c r="J2973" s="91" t="str">
        <f t="shared" si="235"/>
        <v/>
      </c>
      <c r="K2973" s="92" t="str">
        <f>IF(AND(A2973="",B2973="",D2973="",G2973=""),"",IF(AND(A2973&lt;&gt;"",COUNTIF($A$2:$A$5001,A2973)&gt;1),"NUMERO_PC duplicado",IF(B2973="","DATA_PC vazia",IF(NOT(ISNUMBER(B2973)),"DATA_PC invalida",IF(OR(C2973="",C2973="Fora dos ciclos"),"CICLO_PC nao identificado",IF(OR(D2973="",D2973=0),"VALOR_PC vazio ou zero",IF(AND(G2973&lt;&gt;"Sim",G2973&lt;&gt;"Nao",G2973&lt;&gt;""),"PC_PAGO_A_CONTRATADA invalido",IF(AND(C2973&lt;&gt;"C0",IFERROR(INDEX(parametros!$A$2:$A$6,MATCH(C2973,parametros!$B$2:$B$6,0)),"")="Sim",IFERROR(INDEX(parametros!$H$2:$H$6,MATCH(C2973,parametros!$B$2:$B$6,0)),"")=""),"INICIO_EFEITO ausente: PC "&amp;A2973&amp;" - "&amp;C2973,IF(L2973="","EFEITO_PC nao calculado: PC "&amp;A2973&amp;" - "&amp;C2973,"OK")))))))))</f>
        <v/>
      </c>
      <c r="L2973" s="92" t="str">
        <f>IF(AND(A2973="",B2973="",D2973="",G2973=""),"",IF(OR(B2973="",NOT(ISNUMBER(B2973)),C2973="",C2973="Fora dos ciclos"),"",IF(C2973="C0","Nao",IF(IFERROR(INDEX(parametros!$A$2:$A$6,MATCH(C2973,parametros!$B$2:$B$6,0)),"")&lt;&gt;"Sim","Nao",IF(IFERROR(INDEX(parametros!$H$2:$H$6,MATCH(C2973,parametros!$B$2:$B$6,0)),"")="","",IF(B2973&gt;=IFERROR(INDEX(parametros!$H$2:$H$6,MATCH(C2973,parametros!$B$2:$B$6,0)),""),"Sim","Nao"))))))</f>
        <v/>
      </c>
      <c r="T2973" s="156"/>
      <c r="U2973" s="214" t="str">
        <f t="shared" si="236"/>
        <v/>
      </c>
      <c r="V2973" s="212" t="s">
        <v>50</v>
      </c>
      <c r="W2973" s="100" t="s">
        <v>168</v>
      </c>
      <c r="X2973" s="100" t="s">
        <v>169</v>
      </c>
      <c r="Y2973" s="101" t="s">
        <v>170</v>
      </c>
      <c r="Z2973" s="101" t="s">
        <v>171</v>
      </c>
      <c r="AA2973" s="101" t="s">
        <v>50</v>
      </c>
      <c r="AB2973" s="101" t="s">
        <v>172</v>
      </c>
      <c r="AC2973" s="102" t="s">
        <v>173</v>
      </c>
    </row>
    <row r="2974" spans="1:29" ht="25.5" customHeight="1" x14ac:dyDescent="0.35">
      <c r="A2974" s="392"/>
      <c r="B2974" s="393"/>
      <c r="C2974" s="99" t="str">
        <f>IF(B2974="","",IF(NOT(ISNUMBER(B2974)),"DATA_PC invalida",IF(NOT(ISNUMBER(parametros!$C$2)),"Fora dos ciclos",IF(OR(B2974&lt;parametros!$C$2,(YEAR(B2974)-YEAR(parametros!$C$2))*12+MONTH(B2974)-MONTH(parametros!$C$2)&gt;59),"Fora dos ciclos","C"&amp;INT(((YEAR(B2974)-YEAR(parametros!$C$2))*12+MONTH(B2974)-MONTH(parametros!$C$2))/12)))))</f>
        <v/>
      </c>
      <c r="D2974" s="394"/>
      <c r="E2974" s="78" t="str">
        <f>IF(C2974="","",IFERROR(VLOOKUP(C2974,parametros!$A$11:$E$15,5,0),""))</f>
        <v/>
      </c>
      <c r="F2974" s="79" t="str">
        <f t="shared" si="232"/>
        <v/>
      </c>
      <c r="G2974" s="395"/>
      <c r="H2974" s="91">
        <f t="shared" si="233"/>
        <v>0</v>
      </c>
      <c r="I2974" s="91" t="str">
        <f t="shared" si="234"/>
        <v/>
      </c>
      <c r="J2974" s="91" t="str">
        <f t="shared" si="235"/>
        <v/>
      </c>
      <c r="K2974" s="92" t="str">
        <f>IF(AND(A2974="",B2974="",D2974="",G2974=""),"",IF(AND(A2974&lt;&gt;"",COUNTIF($A$2:$A$5001,A2974)&gt;1),"NUMERO_PC duplicado",IF(B2974="","DATA_PC vazia",IF(NOT(ISNUMBER(B2974)),"DATA_PC invalida",IF(OR(C2974="",C2974="Fora dos ciclos"),"CICLO_PC nao identificado",IF(OR(D2974="",D2974=0),"VALOR_PC vazio ou zero",IF(AND(G2974&lt;&gt;"Sim",G2974&lt;&gt;"Nao",G2974&lt;&gt;""),"PC_PAGO_A_CONTRATADA invalido",IF(AND(C2974&lt;&gt;"C0",IFERROR(INDEX(parametros!$A$2:$A$6,MATCH(C2974,parametros!$B$2:$B$6,0)),"")="Sim",IFERROR(INDEX(parametros!$H$2:$H$6,MATCH(C2974,parametros!$B$2:$B$6,0)),"")=""),"INICIO_EFEITO ausente: PC "&amp;A2974&amp;" - "&amp;C2974,IF(L2974="","EFEITO_PC nao calculado: PC "&amp;A2974&amp;" - "&amp;C2974,"OK")))))))))</f>
        <v/>
      </c>
      <c r="L2974" s="92" t="str">
        <f>IF(AND(A2974="",B2974="",D2974="",G2974=""),"",IF(OR(B2974="",NOT(ISNUMBER(B2974)),C2974="",C2974="Fora dos ciclos"),"",IF(C2974="C0","Nao",IF(IFERROR(INDEX(parametros!$A$2:$A$6,MATCH(C2974,parametros!$B$2:$B$6,0)),"")&lt;&gt;"Sim","Nao",IF(IFERROR(INDEX(parametros!$H$2:$H$6,MATCH(C2974,parametros!$B$2:$B$6,0)),"")="","",IF(B2974&gt;=IFERROR(INDEX(parametros!$H$2:$H$6,MATCH(C2974,parametros!$B$2:$B$6,0)),""),"Sim","Nao"))))))</f>
        <v/>
      </c>
      <c r="T2974" s="156"/>
      <c r="U2974" s="214" t="str">
        <f t="shared" si="236"/>
        <v/>
      </c>
      <c r="V2974" s="212" t="s">
        <v>50</v>
      </c>
      <c r="W2974" s="100" t="s">
        <v>168</v>
      </c>
      <c r="X2974" s="100" t="s">
        <v>169</v>
      </c>
      <c r="Y2974" s="101" t="s">
        <v>170</v>
      </c>
      <c r="Z2974" s="101" t="s">
        <v>171</v>
      </c>
      <c r="AA2974" s="101" t="s">
        <v>50</v>
      </c>
      <c r="AB2974" s="101" t="s">
        <v>172</v>
      </c>
      <c r="AC2974" s="102" t="s">
        <v>173</v>
      </c>
    </row>
    <row r="2975" spans="1:29" ht="25.5" customHeight="1" x14ac:dyDescent="0.35">
      <c r="A2975" s="392"/>
      <c r="B2975" s="393"/>
      <c r="C2975" s="99" t="str">
        <f>IF(B2975="","",IF(NOT(ISNUMBER(B2975)),"DATA_PC invalida",IF(NOT(ISNUMBER(parametros!$C$2)),"Fora dos ciclos",IF(OR(B2975&lt;parametros!$C$2,(YEAR(B2975)-YEAR(parametros!$C$2))*12+MONTH(B2975)-MONTH(parametros!$C$2)&gt;59),"Fora dos ciclos","C"&amp;INT(((YEAR(B2975)-YEAR(parametros!$C$2))*12+MONTH(B2975)-MONTH(parametros!$C$2))/12)))))</f>
        <v/>
      </c>
      <c r="D2975" s="394"/>
      <c r="E2975" s="78" t="str">
        <f>IF(C2975="","",IFERROR(VLOOKUP(C2975,parametros!$A$11:$E$15,5,0),""))</f>
        <v/>
      </c>
      <c r="F2975" s="79" t="str">
        <f t="shared" si="232"/>
        <v/>
      </c>
      <c r="G2975" s="395"/>
      <c r="H2975" s="91">
        <f t="shared" si="233"/>
        <v>0</v>
      </c>
      <c r="I2975" s="91" t="str">
        <f t="shared" si="234"/>
        <v/>
      </c>
      <c r="J2975" s="91" t="str">
        <f t="shared" si="235"/>
        <v/>
      </c>
      <c r="K2975" s="92" t="str">
        <f>IF(AND(A2975="",B2975="",D2975="",G2975=""),"",IF(AND(A2975&lt;&gt;"",COUNTIF($A$2:$A$5001,A2975)&gt;1),"NUMERO_PC duplicado",IF(B2975="","DATA_PC vazia",IF(NOT(ISNUMBER(B2975)),"DATA_PC invalida",IF(OR(C2975="",C2975="Fora dos ciclos"),"CICLO_PC nao identificado",IF(OR(D2975="",D2975=0),"VALOR_PC vazio ou zero",IF(AND(G2975&lt;&gt;"Sim",G2975&lt;&gt;"Nao",G2975&lt;&gt;""),"PC_PAGO_A_CONTRATADA invalido",IF(AND(C2975&lt;&gt;"C0",IFERROR(INDEX(parametros!$A$2:$A$6,MATCH(C2975,parametros!$B$2:$B$6,0)),"")="Sim",IFERROR(INDEX(parametros!$H$2:$H$6,MATCH(C2975,parametros!$B$2:$B$6,0)),"")=""),"INICIO_EFEITO ausente: PC "&amp;A2975&amp;" - "&amp;C2975,IF(L2975="","EFEITO_PC nao calculado: PC "&amp;A2975&amp;" - "&amp;C2975,"OK")))))))))</f>
        <v/>
      </c>
      <c r="L2975" s="92" t="str">
        <f>IF(AND(A2975="",B2975="",D2975="",G2975=""),"",IF(OR(B2975="",NOT(ISNUMBER(B2975)),C2975="",C2975="Fora dos ciclos"),"",IF(C2975="C0","Nao",IF(IFERROR(INDEX(parametros!$A$2:$A$6,MATCH(C2975,parametros!$B$2:$B$6,0)),"")&lt;&gt;"Sim","Nao",IF(IFERROR(INDEX(parametros!$H$2:$H$6,MATCH(C2975,parametros!$B$2:$B$6,0)),"")="","",IF(B2975&gt;=IFERROR(INDEX(parametros!$H$2:$H$6,MATCH(C2975,parametros!$B$2:$B$6,0)),""),"Sim","Nao"))))))</f>
        <v/>
      </c>
      <c r="T2975" s="156"/>
      <c r="U2975" s="214" t="str">
        <f t="shared" si="236"/>
        <v/>
      </c>
      <c r="V2975" s="212" t="s">
        <v>50</v>
      </c>
      <c r="W2975" s="100" t="s">
        <v>168</v>
      </c>
      <c r="X2975" s="100" t="s">
        <v>169</v>
      </c>
      <c r="Y2975" s="101" t="s">
        <v>170</v>
      </c>
      <c r="Z2975" s="101" t="s">
        <v>171</v>
      </c>
      <c r="AA2975" s="101" t="s">
        <v>50</v>
      </c>
      <c r="AB2975" s="101" t="s">
        <v>172</v>
      </c>
      <c r="AC2975" s="102" t="s">
        <v>173</v>
      </c>
    </row>
    <row r="2976" spans="1:29" ht="25.5" customHeight="1" x14ac:dyDescent="0.35">
      <c r="A2976" s="392"/>
      <c r="B2976" s="393"/>
      <c r="C2976" s="99" t="str">
        <f>IF(B2976="","",IF(NOT(ISNUMBER(B2976)),"DATA_PC invalida",IF(NOT(ISNUMBER(parametros!$C$2)),"Fora dos ciclos",IF(OR(B2976&lt;parametros!$C$2,(YEAR(B2976)-YEAR(parametros!$C$2))*12+MONTH(B2976)-MONTH(parametros!$C$2)&gt;59),"Fora dos ciclos","C"&amp;INT(((YEAR(B2976)-YEAR(parametros!$C$2))*12+MONTH(B2976)-MONTH(parametros!$C$2))/12)))))</f>
        <v/>
      </c>
      <c r="D2976" s="394"/>
      <c r="E2976" s="78" t="str">
        <f>IF(C2976="","",IFERROR(VLOOKUP(C2976,parametros!$A$11:$E$15,5,0),""))</f>
        <v/>
      </c>
      <c r="F2976" s="79" t="str">
        <f t="shared" si="232"/>
        <v/>
      </c>
      <c r="G2976" s="395"/>
      <c r="H2976" s="91">
        <f t="shared" si="233"/>
        <v>0</v>
      </c>
      <c r="I2976" s="91" t="str">
        <f t="shared" si="234"/>
        <v/>
      </c>
      <c r="J2976" s="91" t="str">
        <f t="shared" si="235"/>
        <v/>
      </c>
      <c r="K2976" s="92" t="str">
        <f>IF(AND(A2976="",B2976="",D2976="",G2976=""),"",IF(AND(A2976&lt;&gt;"",COUNTIF($A$2:$A$5001,A2976)&gt;1),"NUMERO_PC duplicado",IF(B2976="","DATA_PC vazia",IF(NOT(ISNUMBER(B2976)),"DATA_PC invalida",IF(OR(C2976="",C2976="Fora dos ciclos"),"CICLO_PC nao identificado",IF(OR(D2976="",D2976=0),"VALOR_PC vazio ou zero",IF(AND(G2976&lt;&gt;"Sim",G2976&lt;&gt;"Nao",G2976&lt;&gt;""),"PC_PAGO_A_CONTRATADA invalido",IF(AND(C2976&lt;&gt;"C0",IFERROR(INDEX(parametros!$A$2:$A$6,MATCH(C2976,parametros!$B$2:$B$6,0)),"")="Sim",IFERROR(INDEX(parametros!$H$2:$H$6,MATCH(C2976,parametros!$B$2:$B$6,0)),"")=""),"INICIO_EFEITO ausente: PC "&amp;A2976&amp;" - "&amp;C2976,IF(L2976="","EFEITO_PC nao calculado: PC "&amp;A2976&amp;" - "&amp;C2976,"OK")))))))))</f>
        <v/>
      </c>
      <c r="L2976" s="92" t="str">
        <f>IF(AND(A2976="",B2976="",D2976="",G2976=""),"",IF(OR(B2976="",NOT(ISNUMBER(B2976)),C2976="",C2976="Fora dos ciclos"),"",IF(C2976="C0","Nao",IF(IFERROR(INDEX(parametros!$A$2:$A$6,MATCH(C2976,parametros!$B$2:$B$6,0)),"")&lt;&gt;"Sim","Nao",IF(IFERROR(INDEX(parametros!$H$2:$H$6,MATCH(C2976,parametros!$B$2:$B$6,0)),"")="","",IF(B2976&gt;=IFERROR(INDEX(parametros!$H$2:$H$6,MATCH(C2976,parametros!$B$2:$B$6,0)),""),"Sim","Nao"))))))</f>
        <v/>
      </c>
      <c r="T2976" s="156"/>
      <c r="U2976" s="214" t="str">
        <f t="shared" si="236"/>
        <v/>
      </c>
      <c r="V2976" s="212" t="s">
        <v>50</v>
      </c>
      <c r="W2976" s="100" t="s">
        <v>168</v>
      </c>
      <c r="X2976" s="100" t="s">
        <v>169</v>
      </c>
      <c r="Y2976" s="101" t="s">
        <v>170</v>
      </c>
      <c r="Z2976" s="101" t="s">
        <v>171</v>
      </c>
      <c r="AA2976" s="101" t="s">
        <v>50</v>
      </c>
      <c r="AB2976" s="101" t="s">
        <v>172</v>
      </c>
      <c r="AC2976" s="102" t="s">
        <v>173</v>
      </c>
    </row>
    <row r="2977" spans="1:29" ht="25.5" customHeight="1" x14ac:dyDescent="0.35">
      <c r="A2977" s="392"/>
      <c r="B2977" s="393"/>
      <c r="C2977" s="99" t="str">
        <f>IF(B2977="","",IF(NOT(ISNUMBER(B2977)),"DATA_PC invalida",IF(NOT(ISNUMBER(parametros!$C$2)),"Fora dos ciclos",IF(OR(B2977&lt;parametros!$C$2,(YEAR(B2977)-YEAR(parametros!$C$2))*12+MONTH(B2977)-MONTH(parametros!$C$2)&gt;59),"Fora dos ciclos","C"&amp;INT(((YEAR(B2977)-YEAR(parametros!$C$2))*12+MONTH(B2977)-MONTH(parametros!$C$2))/12)))))</f>
        <v/>
      </c>
      <c r="D2977" s="394"/>
      <c r="E2977" s="78" t="str">
        <f>IF(C2977="","",IFERROR(VLOOKUP(C2977,parametros!$A$11:$E$15,5,0),""))</f>
        <v/>
      </c>
      <c r="F2977" s="79" t="str">
        <f t="shared" si="232"/>
        <v/>
      </c>
      <c r="G2977" s="395"/>
      <c r="H2977" s="91">
        <f t="shared" si="233"/>
        <v>0</v>
      </c>
      <c r="I2977" s="91" t="str">
        <f t="shared" si="234"/>
        <v/>
      </c>
      <c r="J2977" s="91" t="str">
        <f t="shared" si="235"/>
        <v/>
      </c>
      <c r="K2977" s="92" t="str">
        <f>IF(AND(A2977="",B2977="",D2977="",G2977=""),"",IF(AND(A2977&lt;&gt;"",COUNTIF($A$2:$A$5001,A2977)&gt;1),"NUMERO_PC duplicado",IF(B2977="","DATA_PC vazia",IF(NOT(ISNUMBER(B2977)),"DATA_PC invalida",IF(OR(C2977="",C2977="Fora dos ciclos"),"CICLO_PC nao identificado",IF(OR(D2977="",D2977=0),"VALOR_PC vazio ou zero",IF(AND(G2977&lt;&gt;"Sim",G2977&lt;&gt;"Nao",G2977&lt;&gt;""),"PC_PAGO_A_CONTRATADA invalido",IF(AND(C2977&lt;&gt;"C0",IFERROR(INDEX(parametros!$A$2:$A$6,MATCH(C2977,parametros!$B$2:$B$6,0)),"")="Sim",IFERROR(INDEX(parametros!$H$2:$H$6,MATCH(C2977,parametros!$B$2:$B$6,0)),"")=""),"INICIO_EFEITO ausente: PC "&amp;A2977&amp;" - "&amp;C2977,IF(L2977="","EFEITO_PC nao calculado: PC "&amp;A2977&amp;" - "&amp;C2977,"OK")))))))))</f>
        <v/>
      </c>
      <c r="L2977" s="92" t="str">
        <f>IF(AND(A2977="",B2977="",D2977="",G2977=""),"",IF(OR(B2977="",NOT(ISNUMBER(B2977)),C2977="",C2977="Fora dos ciclos"),"",IF(C2977="C0","Nao",IF(IFERROR(INDEX(parametros!$A$2:$A$6,MATCH(C2977,parametros!$B$2:$B$6,0)),"")&lt;&gt;"Sim","Nao",IF(IFERROR(INDEX(parametros!$H$2:$H$6,MATCH(C2977,parametros!$B$2:$B$6,0)),"")="","",IF(B2977&gt;=IFERROR(INDEX(parametros!$H$2:$H$6,MATCH(C2977,parametros!$B$2:$B$6,0)),""),"Sim","Nao"))))))</f>
        <v/>
      </c>
      <c r="T2977" s="156"/>
      <c r="U2977" s="214" t="str">
        <f t="shared" si="236"/>
        <v/>
      </c>
      <c r="V2977" s="212" t="s">
        <v>50</v>
      </c>
      <c r="W2977" s="100" t="s">
        <v>168</v>
      </c>
      <c r="X2977" s="100" t="s">
        <v>169</v>
      </c>
      <c r="Y2977" s="101" t="s">
        <v>170</v>
      </c>
      <c r="Z2977" s="101" t="s">
        <v>171</v>
      </c>
      <c r="AA2977" s="101" t="s">
        <v>50</v>
      </c>
      <c r="AB2977" s="101" t="s">
        <v>172</v>
      </c>
      <c r="AC2977" s="102" t="s">
        <v>173</v>
      </c>
    </row>
    <row r="2978" spans="1:29" ht="25.5" customHeight="1" x14ac:dyDescent="0.35">
      <c r="A2978" s="392"/>
      <c r="B2978" s="393"/>
      <c r="C2978" s="99" t="str">
        <f>IF(B2978="","",IF(NOT(ISNUMBER(B2978)),"DATA_PC invalida",IF(NOT(ISNUMBER(parametros!$C$2)),"Fora dos ciclos",IF(OR(B2978&lt;parametros!$C$2,(YEAR(B2978)-YEAR(parametros!$C$2))*12+MONTH(B2978)-MONTH(parametros!$C$2)&gt;59),"Fora dos ciclos","C"&amp;INT(((YEAR(B2978)-YEAR(parametros!$C$2))*12+MONTH(B2978)-MONTH(parametros!$C$2))/12)))))</f>
        <v/>
      </c>
      <c r="D2978" s="394"/>
      <c r="E2978" s="78" t="str">
        <f>IF(C2978="","",IFERROR(VLOOKUP(C2978,parametros!$A$11:$E$15,5,0),""))</f>
        <v/>
      </c>
      <c r="F2978" s="79" t="str">
        <f t="shared" si="232"/>
        <v/>
      </c>
      <c r="G2978" s="395"/>
      <c r="H2978" s="91">
        <f t="shared" si="233"/>
        <v>0</v>
      </c>
      <c r="I2978" s="91" t="str">
        <f t="shared" si="234"/>
        <v/>
      </c>
      <c r="J2978" s="91" t="str">
        <f t="shared" si="235"/>
        <v/>
      </c>
      <c r="K2978" s="92" t="str">
        <f>IF(AND(A2978="",B2978="",D2978="",G2978=""),"",IF(AND(A2978&lt;&gt;"",COUNTIF($A$2:$A$5001,A2978)&gt;1),"NUMERO_PC duplicado",IF(B2978="","DATA_PC vazia",IF(NOT(ISNUMBER(B2978)),"DATA_PC invalida",IF(OR(C2978="",C2978="Fora dos ciclos"),"CICLO_PC nao identificado",IF(OR(D2978="",D2978=0),"VALOR_PC vazio ou zero",IF(AND(G2978&lt;&gt;"Sim",G2978&lt;&gt;"Nao",G2978&lt;&gt;""),"PC_PAGO_A_CONTRATADA invalido",IF(AND(C2978&lt;&gt;"C0",IFERROR(INDEX(parametros!$A$2:$A$6,MATCH(C2978,parametros!$B$2:$B$6,0)),"")="Sim",IFERROR(INDEX(parametros!$H$2:$H$6,MATCH(C2978,parametros!$B$2:$B$6,0)),"")=""),"INICIO_EFEITO ausente: PC "&amp;A2978&amp;" - "&amp;C2978,IF(L2978="","EFEITO_PC nao calculado: PC "&amp;A2978&amp;" - "&amp;C2978,"OK")))))))))</f>
        <v/>
      </c>
      <c r="L2978" s="92" t="str">
        <f>IF(AND(A2978="",B2978="",D2978="",G2978=""),"",IF(OR(B2978="",NOT(ISNUMBER(B2978)),C2978="",C2978="Fora dos ciclos"),"",IF(C2978="C0","Nao",IF(IFERROR(INDEX(parametros!$A$2:$A$6,MATCH(C2978,parametros!$B$2:$B$6,0)),"")&lt;&gt;"Sim","Nao",IF(IFERROR(INDEX(parametros!$H$2:$H$6,MATCH(C2978,parametros!$B$2:$B$6,0)),"")="","",IF(B2978&gt;=IFERROR(INDEX(parametros!$H$2:$H$6,MATCH(C2978,parametros!$B$2:$B$6,0)),""),"Sim","Nao"))))))</f>
        <v/>
      </c>
      <c r="T2978" s="156"/>
      <c r="U2978" s="214" t="str">
        <f t="shared" si="236"/>
        <v/>
      </c>
      <c r="V2978" s="212" t="s">
        <v>50</v>
      </c>
      <c r="W2978" s="100" t="s">
        <v>168</v>
      </c>
      <c r="X2978" s="100" t="s">
        <v>169</v>
      </c>
      <c r="Y2978" s="101" t="s">
        <v>170</v>
      </c>
      <c r="Z2978" s="101" t="s">
        <v>171</v>
      </c>
      <c r="AA2978" s="101" t="s">
        <v>50</v>
      </c>
      <c r="AB2978" s="101" t="s">
        <v>172</v>
      </c>
      <c r="AC2978" s="102" t="s">
        <v>173</v>
      </c>
    </row>
    <row r="2979" spans="1:29" ht="25.5" customHeight="1" x14ac:dyDescent="0.35">
      <c r="A2979" s="392"/>
      <c r="B2979" s="393"/>
      <c r="C2979" s="99" t="str">
        <f>IF(B2979="","",IF(NOT(ISNUMBER(B2979)),"DATA_PC invalida",IF(NOT(ISNUMBER(parametros!$C$2)),"Fora dos ciclos",IF(OR(B2979&lt;parametros!$C$2,(YEAR(B2979)-YEAR(parametros!$C$2))*12+MONTH(B2979)-MONTH(parametros!$C$2)&gt;59),"Fora dos ciclos","C"&amp;INT(((YEAR(B2979)-YEAR(parametros!$C$2))*12+MONTH(B2979)-MONTH(parametros!$C$2))/12)))))</f>
        <v/>
      </c>
      <c r="D2979" s="394"/>
      <c r="E2979" s="78" t="str">
        <f>IF(C2979="","",IFERROR(VLOOKUP(C2979,parametros!$A$11:$E$15,5,0),""))</f>
        <v/>
      </c>
      <c r="F2979" s="79" t="str">
        <f t="shared" si="232"/>
        <v/>
      </c>
      <c r="G2979" s="395"/>
      <c r="H2979" s="91">
        <f t="shared" si="233"/>
        <v>0</v>
      </c>
      <c r="I2979" s="91" t="str">
        <f t="shared" si="234"/>
        <v/>
      </c>
      <c r="J2979" s="91" t="str">
        <f t="shared" si="235"/>
        <v/>
      </c>
      <c r="K2979" s="92" t="str">
        <f>IF(AND(A2979="",B2979="",D2979="",G2979=""),"",IF(AND(A2979&lt;&gt;"",COUNTIF($A$2:$A$5001,A2979)&gt;1),"NUMERO_PC duplicado",IF(B2979="","DATA_PC vazia",IF(NOT(ISNUMBER(B2979)),"DATA_PC invalida",IF(OR(C2979="",C2979="Fora dos ciclos"),"CICLO_PC nao identificado",IF(OR(D2979="",D2979=0),"VALOR_PC vazio ou zero",IF(AND(G2979&lt;&gt;"Sim",G2979&lt;&gt;"Nao",G2979&lt;&gt;""),"PC_PAGO_A_CONTRATADA invalido",IF(AND(C2979&lt;&gt;"C0",IFERROR(INDEX(parametros!$A$2:$A$6,MATCH(C2979,parametros!$B$2:$B$6,0)),"")="Sim",IFERROR(INDEX(parametros!$H$2:$H$6,MATCH(C2979,parametros!$B$2:$B$6,0)),"")=""),"INICIO_EFEITO ausente: PC "&amp;A2979&amp;" - "&amp;C2979,IF(L2979="","EFEITO_PC nao calculado: PC "&amp;A2979&amp;" - "&amp;C2979,"OK")))))))))</f>
        <v/>
      </c>
      <c r="L2979" s="92" t="str">
        <f>IF(AND(A2979="",B2979="",D2979="",G2979=""),"",IF(OR(B2979="",NOT(ISNUMBER(B2979)),C2979="",C2979="Fora dos ciclos"),"",IF(C2979="C0","Nao",IF(IFERROR(INDEX(parametros!$A$2:$A$6,MATCH(C2979,parametros!$B$2:$B$6,0)),"")&lt;&gt;"Sim","Nao",IF(IFERROR(INDEX(parametros!$H$2:$H$6,MATCH(C2979,parametros!$B$2:$B$6,0)),"")="","",IF(B2979&gt;=IFERROR(INDEX(parametros!$H$2:$H$6,MATCH(C2979,parametros!$B$2:$B$6,0)),""),"Sim","Nao"))))))</f>
        <v/>
      </c>
      <c r="T2979" s="156"/>
      <c r="U2979" s="214" t="str">
        <f t="shared" si="236"/>
        <v/>
      </c>
      <c r="V2979" s="212" t="s">
        <v>50</v>
      </c>
      <c r="W2979" s="100" t="s">
        <v>168</v>
      </c>
      <c r="X2979" s="100" t="s">
        <v>169</v>
      </c>
      <c r="Y2979" s="101" t="s">
        <v>170</v>
      </c>
      <c r="Z2979" s="101" t="s">
        <v>171</v>
      </c>
      <c r="AA2979" s="101" t="s">
        <v>50</v>
      </c>
      <c r="AB2979" s="101" t="s">
        <v>172</v>
      </c>
      <c r="AC2979" s="102" t="s">
        <v>173</v>
      </c>
    </row>
    <row r="2980" spans="1:29" ht="25.5" customHeight="1" x14ac:dyDescent="0.35">
      <c r="A2980" s="392"/>
      <c r="B2980" s="393"/>
      <c r="C2980" s="99" t="str">
        <f>IF(B2980="","",IF(NOT(ISNUMBER(B2980)),"DATA_PC invalida",IF(NOT(ISNUMBER(parametros!$C$2)),"Fora dos ciclos",IF(OR(B2980&lt;parametros!$C$2,(YEAR(B2980)-YEAR(parametros!$C$2))*12+MONTH(B2980)-MONTH(parametros!$C$2)&gt;59),"Fora dos ciclos","C"&amp;INT(((YEAR(B2980)-YEAR(parametros!$C$2))*12+MONTH(B2980)-MONTH(parametros!$C$2))/12)))))</f>
        <v/>
      </c>
      <c r="D2980" s="394"/>
      <c r="E2980" s="78" t="str">
        <f>IF(C2980="","",IFERROR(VLOOKUP(C2980,parametros!$A$11:$E$15,5,0),""))</f>
        <v/>
      </c>
      <c r="F2980" s="79" t="str">
        <f t="shared" si="232"/>
        <v/>
      </c>
      <c r="G2980" s="395"/>
      <c r="H2980" s="91">
        <f t="shared" si="233"/>
        <v>0</v>
      </c>
      <c r="I2980" s="91" t="str">
        <f t="shared" si="234"/>
        <v/>
      </c>
      <c r="J2980" s="91" t="str">
        <f t="shared" si="235"/>
        <v/>
      </c>
      <c r="K2980" s="92" t="str">
        <f>IF(AND(A2980="",B2980="",D2980="",G2980=""),"",IF(AND(A2980&lt;&gt;"",COUNTIF($A$2:$A$5001,A2980)&gt;1),"NUMERO_PC duplicado",IF(B2980="","DATA_PC vazia",IF(NOT(ISNUMBER(B2980)),"DATA_PC invalida",IF(OR(C2980="",C2980="Fora dos ciclos"),"CICLO_PC nao identificado",IF(OR(D2980="",D2980=0),"VALOR_PC vazio ou zero",IF(AND(G2980&lt;&gt;"Sim",G2980&lt;&gt;"Nao",G2980&lt;&gt;""),"PC_PAGO_A_CONTRATADA invalido",IF(AND(C2980&lt;&gt;"C0",IFERROR(INDEX(parametros!$A$2:$A$6,MATCH(C2980,parametros!$B$2:$B$6,0)),"")="Sim",IFERROR(INDEX(parametros!$H$2:$H$6,MATCH(C2980,parametros!$B$2:$B$6,0)),"")=""),"INICIO_EFEITO ausente: PC "&amp;A2980&amp;" - "&amp;C2980,IF(L2980="","EFEITO_PC nao calculado: PC "&amp;A2980&amp;" - "&amp;C2980,"OK")))))))))</f>
        <v/>
      </c>
      <c r="L2980" s="92" t="str">
        <f>IF(AND(A2980="",B2980="",D2980="",G2980=""),"",IF(OR(B2980="",NOT(ISNUMBER(B2980)),C2980="",C2980="Fora dos ciclos"),"",IF(C2980="C0","Nao",IF(IFERROR(INDEX(parametros!$A$2:$A$6,MATCH(C2980,parametros!$B$2:$B$6,0)),"")&lt;&gt;"Sim","Nao",IF(IFERROR(INDEX(parametros!$H$2:$H$6,MATCH(C2980,parametros!$B$2:$B$6,0)),"")="","",IF(B2980&gt;=IFERROR(INDEX(parametros!$H$2:$H$6,MATCH(C2980,parametros!$B$2:$B$6,0)),""),"Sim","Nao"))))))</f>
        <v/>
      </c>
      <c r="T2980" s="156"/>
      <c r="U2980" s="214" t="str">
        <f t="shared" si="236"/>
        <v/>
      </c>
      <c r="V2980" s="212" t="s">
        <v>50</v>
      </c>
      <c r="W2980" s="100" t="s">
        <v>168</v>
      </c>
      <c r="X2980" s="100" t="s">
        <v>169</v>
      </c>
      <c r="Y2980" s="101" t="s">
        <v>170</v>
      </c>
      <c r="Z2980" s="101" t="s">
        <v>171</v>
      </c>
      <c r="AA2980" s="101" t="s">
        <v>50</v>
      </c>
      <c r="AB2980" s="101" t="s">
        <v>172</v>
      </c>
      <c r="AC2980" s="102" t="s">
        <v>173</v>
      </c>
    </row>
    <row r="2981" spans="1:29" ht="25.5" customHeight="1" x14ac:dyDescent="0.35">
      <c r="A2981" s="392"/>
      <c r="B2981" s="393"/>
      <c r="C2981" s="99" t="str">
        <f>IF(B2981="","",IF(NOT(ISNUMBER(B2981)),"DATA_PC invalida",IF(NOT(ISNUMBER(parametros!$C$2)),"Fora dos ciclos",IF(OR(B2981&lt;parametros!$C$2,(YEAR(B2981)-YEAR(parametros!$C$2))*12+MONTH(B2981)-MONTH(parametros!$C$2)&gt;59),"Fora dos ciclos","C"&amp;INT(((YEAR(B2981)-YEAR(parametros!$C$2))*12+MONTH(B2981)-MONTH(parametros!$C$2))/12)))))</f>
        <v/>
      </c>
      <c r="D2981" s="394"/>
      <c r="E2981" s="78" t="str">
        <f>IF(C2981="","",IFERROR(VLOOKUP(C2981,parametros!$A$11:$E$15,5,0),""))</f>
        <v/>
      </c>
      <c r="F2981" s="79" t="str">
        <f t="shared" si="232"/>
        <v/>
      </c>
      <c r="G2981" s="395"/>
      <c r="H2981" s="91">
        <f t="shared" si="233"/>
        <v>0</v>
      </c>
      <c r="I2981" s="91" t="str">
        <f t="shared" si="234"/>
        <v/>
      </c>
      <c r="J2981" s="91" t="str">
        <f t="shared" si="235"/>
        <v/>
      </c>
      <c r="K2981" s="92" t="str">
        <f>IF(AND(A2981="",B2981="",D2981="",G2981=""),"",IF(AND(A2981&lt;&gt;"",COUNTIF($A$2:$A$5001,A2981)&gt;1),"NUMERO_PC duplicado",IF(B2981="","DATA_PC vazia",IF(NOT(ISNUMBER(B2981)),"DATA_PC invalida",IF(OR(C2981="",C2981="Fora dos ciclos"),"CICLO_PC nao identificado",IF(OR(D2981="",D2981=0),"VALOR_PC vazio ou zero",IF(AND(G2981&lt;&gt;"Sim",G2981&lt;&gt;"Nao",G2981&lt;&gt;""),"PC_PAGO_A_CONTRATADA invalido",IF(AND(C2981&lt;&gt;"C0",IFERROR(INDEX(parametros!$A$2:$A$6,MATCH(C2981,parametros!$B$2:$B$6,0)),"")="Sim",IFERROR(INDEX(parametros!$H$2:$H$6,MATCH(C2981,parametros!$B$2:$B$6,0)),"")=""),"INICIO_EFEITO ausente: PC "&amp;A2981&amp;" - "&amp;C2981,IF(L2981="","EFEITO_PC nao calculado: PC "&amp;A2981&amp;" - "&amp;C2981,"OK")))))))))</f>
        <v/>
      </c>
      <c r="L2981" s="92" t="str">
        <f>IF(AND(A2981="",B2981="",D2981="",G2981=""),"",IF(OR(B2981="",NOT(ISNUMBER(B2981)),C2981="",C2981="Fora dos ciclos"),"",IF(C2981="C0","Nao",IF(IFERROR(INDEX(parametros!$A$2:$A$6,MATCH(C2981,parametros!$B$2:$B$6,0)),"")&lt;&gt;"Sim","Nao",IF(IFERROR(INDEX(parametros!$H$2:$H$6,MATCH(C2981,parametros!$B$2:$B$6,0)),"")="","",IF(B2981&gt;=IFERROR(INDEX(parametros!$H$2:$H$6,MATCH(C2981,parametros!$B$2:$B$6,0)),""),"Sim","Nao"))))))</f>
        <v/>
      </c>
      <c r="T2981" s="156"/>
      <c r="U2981" s="214" t="str">
        <f t="shared" si="236"/>
        <v/>
      </c>
      <c r="V2981" s="212" t="s">
        <v>50</v>
      </c>
      <c r="W2981" s="100" t="s">
        <v>168</v>
      </c>
      <c r="X2981" s="100" t="s">
        <v>169</v>
      </c>
      <c r="Y2981" s="101" t="s">
        <v>170</v>
      </c>
      <c r="Z2981" s="101" t="s">
        <v>171</v>
      </c>
      <c r="AA2981" s="101" t="s">
        <v>50</v>
      </c>
      <c r="AB2981" s="101" t="s">
        <v>172</v>
      </c>
      <c r="AC2981" s="102" t="s">
        <v>173</v>
      </c>
    </row>
    <row r="2982" spans="1:29" ht="25.5" customHeight="1" x14ac:dyDescent="0.35">
      <c r="A2982" s="392"/>
      <c r="B2982" s="393"/>
      <c r="C2982" s="99" t="str">
        <f>IF(B2982="","",IF(NOT(ISNUMBER(B2982)),"DATA_PC invalida",IF(NOT(ISNUMBER(parametros!$C$2)),"Fora dos ciclos",IF(OR(B2982&lt;parametros!$C$2,(YEAR(B2982)-YEAR(parametros!$C$2))*12+MONTH(B2982)-MONTH(parametros!$C$2)&gt;59),"Fora dos ciclos","C"&amp;INT(((YEAR(B2982)-YEAR(parametros!$C$2))*12+MONTH(B2982)-MONTH(parametros!$C$2))/12)))))</f>
        <v/>
      </c>
      <c r="D2982" s="394"/>
      <c r="E2982" s="78" t="str">
        <f>IF(C2982="","",IFERROR(VLOOKUP(C2982,parametros!$A$11:$E$15,5,0),""))</f>
        <v/>
      </c>
      <c r="F2982" s="79" t="str">
        <f t="shared" si="232"/>
        <v/>
      </c>
      <c r="G2982" s="395"/>
      <c r="H2982" s="91">
        <f t="shared" si="233"/>
        <v>0</v>
      </c>
      <c r="I2982" s="91" t="str">
        <f t="shared" si="234"/>
        <v/>
      </c>
      <c r="J2982" s="91" t="str">
        <f t="shared" si="235"/>
        <v/>
      </c>
      <c r="K2982" s="92" t="str">
        <f>IF(AND(A2982="",B2982="",D2982="",G2982=""),"",IF(AND(A2982&lt;&gt;"",COUNTIF($A$2:$A$5001,A2982)&gt;1),"NUMERO_PC duplicado",IF(B2982="","DATA_PC vazia",IF(NOT(ISNUMBER(B2982)),"DATA_PC invalida",IF(OR(C2982="",C2982="Fora dos ciclos"),"CICLO_PC nao identificado",IF(OR(D2982="",D2982=0),"VALOR_PC vazio ou zero",IF(AND(G2982&lt;&gt;"Sim",G2982&lt;&gt;"Nao",G2982&lt;&gt;""),"PC_PAGO_A_CONTRATADA invalido",IF(AND(C2982&lt;&gt;"C0",IFERROR(INDEX(parametros!$A$2:$A$6,MATCH(C2982,parametros!$B$2:$B$6,0)),"")="Sim",IFERROR(INDEX(parametros!$H$2:$H$6,MATCH(C2982,parametros!$B$2:$B$6,0)),"")=""),"INICIO_EFEITO ausente: PC "&amp;A2982&amp;" - "&amp;C2982,IF(L2982="","EFEITO_PC nao calculado: PC "&amp;A2982&amp;" - "&amp;C2982,"OK")))))))))</f>
        <v/>
      </c>
      <c r="L2982" s="92" t="str">
        <f>IF(AND(A2982="",B2982="",D2982="",G2982=""),"",IF(OR(B2982="",NOT(ISNUMBER(B2982)),C2982="",C2982="Fora dos ciclos"),"",IF(C2982="C0","Nao",IF(IFERROR(INDEX(parametros!$A$2:$A$6,MATCH(C2982,parametros!$B$2:$B$6,0)),"")&lt;&gt;"Sim","Nao",IF(IFERROR(INDEX(parametros!$H$2:$H$6,MATCH(C2982,parametros!$B$2:$B$6,0)),"")="","",IF(B2982&gt;=IFERROR(INDEX(parametros!$H$2:$H$6,MATCH(C2982,parametros!$B$2:$B$6,0)),""),"Sim","Nao"))))))</f>
        <v/>
      </c>
      <c r="T2982" s="156"/>
      <c r="U2982" s="214" t="str">
        <f t="shared" si="236"/>
        <v/>
      </c>
      <c r="V2982" s="212" t="s">
        <v>50</v>
      </c>
      <c r="W2982" s="100" t="s">
        <v>168</v>
      </c>
      <c r="X2982" s="100" t="s">
        <v>169</v>
      </c>
      <c r="Y2982" s="101" t="s">
        <v>170</v>
      </c>
      <c r="Z2982" s="101" t="s">
        <v>171</v>
      </c>
      <c r="AA2982" s="101" t="s">
        <v>50</v>
      </c>
      <c r="AB2982" s="101" t="s">
        <v>172</v>
      </c>
      <c r="AC2982" s="102" t="s">
        <v>173</v>
      </c>
    </row>
    <row r="2983" spans="1:29" ht="25.5" customHeight="1" x14ac:dyDescent="0.35">
      <c r="A2983" s="392"/>
      <c r="B2983" s="393"/>
      <c r="C2983" s="99" t="str">
        <f>IF(B2983="","",IF(NOT(ISNUMBER(B2983)),"DATA_PC invalida",IF(NOT(ISNUMBER(parametros!$C$2)),"Fora dos ciclos",IF(OR(B2983&lt;parametros!$C$2,(YEAR(B2983)-YEAR(parametros!$C$2))*12+MONTH(B2983)-MONTH(parametros!$C$2)&gt;59),"Fora dos ciclos","C"&amp;INT(((YEAR(B2983)-YEAR(parametros!$C$2))*12+MONTH(B2983)-MONTH(parametros!$C$2))/12)))))</f>
        <v/>
      </c>
      <c r="D2983" s="394"/>
      <c r="E2983" s="78" t="str">
        <f>IF(C2983="","",IFERROR(VLOOKUP(C2983,parametros!$A$11:$E$15,5,0),""))</f>
        <v/>
      </c>
      <c r="F2983" s="79" t="str">
        <f t="shared" si="232"/>
        <v/>
      </c>
      <c r="G2983" s="395"/>
      <c r="H2983" s="91">
        <f t="shared" si="233"/>
        <v>0</v>
      </c>
      <c r="I2983" s="91" t="str">
        <f t="shared" si="234"/>
        <v/>
      </c>
      <c r="J2983" s="91" t="str">
        <f t="shared" si="235"/>
        <v/>
      </c>
      <c r="K2983" s="92" t="str">
        <f>IF(AND(A2983="",B2983="",D2983="",G2983=""),"",IF(AND(A2983&lt;&gt;"",COUNTIF($A$2:$A$5001,A2983)&gt;1),"NUMERO_PC duplicado",IF(B2983="","DATA_PC vazia",IF(NOT(ISNUMBER(B2983)),"DATA_PC invalida",IF(OR(C2983="",C2983="Fora dos ciclos"),"CICLO_PC nao identificado",IF(OR(D2983="",D2983=0),"VALOR_PC vazio ou zero",IF(AND(G2983&lt;&gt;"Sim",G2983&lt;&gt;"Nao",G2983&lt;&gt;""),"PC_PAGO_A_CONTRATADA invalido",IF(AND(C2983&lt;&gt;"C0",IFERROR(INDEX(parametros!$A$2:$A$6,MATCH(C2983,parametros!$B$2:$B$6,0)),"")="Sim",IFERROR(INDEX(parametros!$H$2:$H$6,MATCH(C2983,parametros!$B$2:$B$6,0)),"")=""),"INICIO_EFEITO ausente: PC "&amp;A2983&amp;" - "&amp;C2983,IF(L2983="","EFEITO_PC nao calculado: PC "&amp;A2983&amp;" - "&amp;C2983,"OK")))))))))</f>
        <v/>
      </c>
      <c r="L2983" s="92" t="str">
        <f>IF(AND(A2983="",B2983="",D2983="",G2983=""),"",IF(OR(B2983="",NOT(ISNUMBER(B2983)),C2983="",C2983="Fora dos ciclos"),"",IF(C2983="C0","Nao",IF(IFERROR(INDEX(parametros!$A$2:$A$6,MATCH(C2983,parametros!$B$2:$B$6,0)),"")&lt;&gt;"Sim","Nao",IF(IFERROR(INDEX(parametros!$H$2:$H$6,MATCH(C2983,parametros!$B$2:$B$6,0)),"")="","",IF(B2983&gt;=IFERROR(INDEX(parametros!$H$2:$H$6,MATCH(C2983,parametros!$B$2:$B$6,0)),""),"Sim","Nao"))))))</f>
        <v/>
      </c>
      <c r="T2983" s="156"/>
      <c r="U2983" s="214" t="str">
        <f t="shared" si="236"/>
        <v/>
      </c>
      <c r="V2983" s="212" t="s">
        <v>50</v>
      </c>
      <c r="W2983" s="100" t="s">
        <v>168</v>
      </c>
      <c r="X2983" s="100" t="s">
        <v>169</v>
      </c>
      <c r="Y2983" s="101" t="s">
        <v>170</v>
      </c>
      <c r="Z2983" s="101" t="s">
        <v>171</v>
      </c>
      <c r="AA2983" s="101" t="s">
        <v>50</v>
      </c>
      <c r="AB2983" s="101" t="s">
        <v>172</v>
      </c>
      <c r="AC2983" s="102" t="s">
        <v>173</v>
      </c>
    </row>
    <row r="2984" spans="1:29" ht="25.5" customHeight="1" x14ac:dyDescent="0.35">
      <c r="A2984" s="392"/>
      <c r="B2984" s="393"/>
      <c r="C2984" s="99" t="str">
        <f>IF(B2984="","",IF(NOT(ISNUMBER(B2984)),"DATA_PC invalida",IF(NOT(ISNUMBER(parametros!$C$2)),"Fora dos ciclos",IF(OR(B2984&lt;parametros!$C$2,(YEAR(B2984)-YEAR(parametros!$C$2))*12+MONTH(B2984)-MONTH(parametros!$C$2)&gt;59),"Fora dos ciclos","C"&amp;INT(((YEAR(B2984)-YEAR(parametros!$C$2))*12+MONTH(B2984)-MONTH(parametros!$C$2))/12)))))</f>
        <v/>
      </c>
      <c r="D2984" s="394"/>
      <c r="E2984" s="78" t="str">
        <f>IF(C2984="","",IFERROR(VLOOKUP(C2984,parametros!$A$11:$E$15,5,0),""))</f>
        <v/>
      </c>
      <c r="F2984" s="79" t="str">
        <f t="shared" si="232"/>
        <v/>
      </c>
      <c r="G2984" s="395"/>
      <c r="H2984" s="91">
        <f t="shared" si="233"/>
        <v>0</v>
      </c>
      <c r="I2984" s="91" t="str">
        <f t="shared" si="234"/>
        <v/>
      </c>
      <c r="J2984" s="91" t="str">
        <f t="shared" si="235"/>
        <v/>
      </c>
      <c r="K2984" s="92" t="str">
        <f>IF(AND(A2984="",B2984="",D2984="",G2984=""),"",IF(AND(A2984&lt;&gt;"",COUNTIF($A$2:$A$5001,A2984)&gt;1),"NUMERO_PC duplicado",IF(B2984="","DATA_PC vazia",IF(NOT(ISNUMBER(B2984)),"DATA_PC invalida",IF(OR(C2984="",C2984="Fora dos ciclos"),"CICLO_PC nao identificado",IF(OR(D2984="",D2984=0),"VALOR_PC vazio ou zero",IF(AND(G2984&lt;&gt;"Sim",G2984&lt;&gt;"Nao",G2984&lt;&gt;""),"PC_PAGO_A_CONTRATADA invalido",IF(AND(C2984&lt;&gt;"C0",IFERROR(INDEX(parametros!$A$2:$A$6,MATCH(C2984,parametros!$B$2:$B$6,0)),"")="Sim",IFERROR(INDEX(parametros!$H$2:$H$6,MATCH(C2984,parametros!$B$2:$B$6,0)),"")=""),"INICIO_EFEITO ausente: PC "&amp;A2984&amp;" - "&amp;C2984,IF(L2984="","EFEITO_PC nao calculado: PC "&amp;A2984&amp;" - "&amp;C2984,"OK")))))))))</f>
        <v/>
      </c>
      <c r="L2984" s="92" t="str">
        <f>IF(AND(A2984="",B2984="",D2984="",G2984=""),"",IF(OR(B2984="",NOT(ISNUMBER(B2984)),C2984="",C2984="Fora dos ciclos"),"",IF(C2984="C0","Nao",IF(IFERROR(INDEX(parametros!$A$2:$A$6,MATCH(C2984,parametros!$B$2:$B$6,0)),"")&lt;&gt;"Sim","Nao",IF(IFERROR(INDEX(parametros!$H$2:$H$6,MATCH(C2984,parametros!$B$2:$B$6,0)),"")="","",IF(B2984&gt;=IFERROR(INDEX(parametros!$H$2:$H$6,MATCH(C2984,parametros!$B$2:$B$6,0)),""),"Sim","Nao"))))))</f>
        <v/>
      </c>
      <c r="T2984" s="156"/>
      <c r="U2984" s="214" t="str">
        <f t="shared" si="236"/>
        <v/>
      </c>
      <c r="V2984" s="212" t="s">
        <v>50</v>
      </c>
      <c r="W2984" s="100" t="s">
        <v>168</v>
      </c>
      <c r="X2984" s="100" t="s">
        <v>169</v>
      </c>
      <c r="Y2984" s="101" t="s">
        <v>170</v>
      </c>
      <c r="Z2984" s="101" t="s">
        <v>171</v>
      </c>
      <c r="AA2984" s="101" t="s">
        <v>50</v>
      </c>
      <c r="AB2984" s="101" t="s">
        <v>172</v>
      </c>
      <c r="AC2984" s="102" t="s">
        <v>173</v>
      </c>
    </row>
    <row r="2985" spans="1:29" ht="25.5" customHeight="1" x14ac:dyDescent="0.35">
      <c r="A2985" s="392"/>
      <c r="B2985" s="393"/>
      <c r="C2985" s="99" t="str">
        <f>IF(B2985="","",IF(NOT(ISNUMBER(B2985)),"DATA_PC invalida",IF(NOT(ISNUMBER(parametros!$C$2)),"Fora dos ciclos",IF(OR(B2985&lt;parametros!$C$2,(YEAR(B2985)-YEAR(parametros!$C$2))*12+MONTH(B2985)-MONTH(parametros!$C$2)&gt;59),"Fora dos ciclos","C"&amp;INT(((YEAR(B2985)-YEAR(parametros!$C$2))*12+MONTH(B2985)-MONTH(parametros!$C$2))/12)))))</f>
        <v/>
      </c>
      <c r="D2985" s="394"/>
      <c r="E2985" s="78" t="str">
        <f>IF(C2985="","",IFERROR(VLOOKUP(C2985,parametros!$A$11:$E$15,5,0),""))</f>
        <v/>
      </c>
      <c r="F2985" s="79" t="str">
        <f t="shared" si="232"/>
        <v/>
      </c>
      <c r="G2985" s="395"/>
      <c r="H2985" s="91">
        <f t="shared" si="233"/>
        <v>0</v>
      </c>
      <c r="I2985" s="91" t="str">
        <f t="shared" si="234"/>
        <v/>
      </c>
      <c r="J2985" s="91" t="str">
        <f t="shared" si="235"/>
        <v/>
      </c>
      <c r="K2985" s="92" t="str">
        <f>IF(AND(A2985="",B2985="",D2985="",G2985=""),"",IF(AND(A2985&lt;&gt;"",COUNTIF($A$2:$A$5001,A2985)&gt;1),"NUMERO_PC duplicado",IF(B2985="","DATA_PC vazia",IF(NOT(ISNUMBER(B2985)),"DATA_PC invalida",IF(OR(C2985="",C2985="Fora dos ciclos"),"CICLO_PC nao identificado",IF(OR(D2985="",D2985=0),"VALOR_PC vazio ou zero",IF(AND(G2985&lt;&gt;"Sim",G2985&lt;&gt;"Nao",G2985&lt;&gt;""),"PC_PAGO_A_CONTRATADA invalido",IF(AND(C2985&lt;&gt;"C0",IFERROR(INDEX(parametros!$A$2:$A$6,MATCH(C2985,parametros!$B$2:$B$6,0)),"")="Sim",IFERROR(INDEX(parametros!$H$2:$H$6,MATCH(C2985,parametros!$B$2:$B$6,0)),"")=""),"INICIO_EFEITO ausente: PC "&amp;A2985&amp;" - "&amp;C2985,IF(L2985="","EFEITO_PC nao calculado: PC "&amp;A2985&amp;" - "&amp;C2985,"OK")))))))))</f>
        <v/>
      </c>
      <c r="L2985" s="92" t="str">
        <f>IF(AND(A2985="",B2985="",D2985="",G2985=""),"",IF(OR(B2985="",NOT(ISNUMBER(B2985)),C2985="",C2985="Fora dos ciclos"),"",IF(C2985="C0","Nao",IF(IFERROR(INDEX(parametros!$A$2:$A$6,MATCH(C2985,parametros!$B$2:$B$6,0)),"")&lt;&gt;"Sim","Nao",IF(IFERROR(INDEX(parametros!$H$2:$H$6,MATCH(C2985,parametros!$B$2:$B$6,0)),"")="","",IF(B2985&gt;=IFERROR(INDEX(parametros!$H$2:$H$6,MATCH(C2985,parametros!$B$2:$B$6,0)),""),"Sim","Nao"))))))</f>
        <v/>
      </c>
      <c r="T2985" s="156"/>
      <c r="U2985" s="214" t="str">
        <f t="shared" si="236"/>
        <v/>
      </c>
      <c r="V2985" s="212" t="s">
        <v>50</v>
      </c>
      <c r="W2985" s="100" t="s">
        <v>168</v>
      </c>
      <c r="X2985" s="100" t="s">
        <v>169</v>
      </c>
      <c r="Y2985" s="101" t="s">
        <v>170</v>
      </c>
      <c r="Z2985" s="101" t="s">
        <v>171</v>
      </c>
      <c r="AA2985" s="101" t="s">
        <v>50</v>
      </c>
      <c r="AB2985" s="101" t="s">
        <v>172</v>
      </c>
      <c r="AC2985" s="102" t="s">
        <v>173</v>
      </c>
    </row>
    <row r="2986" spans="1:29" ht="25.5" customHeight="1" x14ac:dyDescent="0.35">
      <c r="A2986" s="392"/>
      <c r="B2986" s="393"/>
      <c r="C2986" s="99" t="str">
        <f>IF(B2986="","",IF(NOT(ISNUMBER(B2986)),"DATA_PC invalida",IF(NOT(ISNUMBER(parametros!$C$2)),"Fora dos ciclos",IF(OR(B2986&lt;parametros!$C$2,(YEAR(B2986)-YEAR(parametros!$C$2))*12+MONTH(B2986)-MONTH(parametros!$C$2)&gt;59),"Fora dos ciclos","C"&amp;INT(((YEAR(B2986)-YEAR(parametros!$C$2))*12+MONTH(B2986)-MONTH(parametros!$C$2))/12)))))</f>
        <v/>
      </c>
      <c r="D2986" s="394"/>
      <c r="E2986" s="78" t="str">
        <f>IF(C2986="","",IFERROR(VLOOKUP(C2986,parametros!$A$11:$E$15,5,0),""))</f>
        <v/>
      </c>
      <c r="F2986" s="79" t="str">
        <f t="shared" si="232"/>
        <v/>
      </c>
      <c r="G2986" s="395"/>
      <c r="H2986" s="91">
        <f t="shared" si="233"/>
        <v>0</v>
      </c>
      <c r="I2986" s="91" t="str">
        <f t="shared" si="234"/>
        <v/>
      </c>
      <c r="J2986" s="91" t="str">
        <f t="shared" si="235"/>
        <v/>
      </c>
      <c r="K2986" s="92" t="str">
        <f>IF(AND(A2986="",B2986="",D2986="",G2986=""),"",IF(AND(A2986&lt;&gt;"",COUNTIF($A$2:$A$5001,A2986)&gt;1),"NUMERO_PC duplicado",IF(B2986="","DATA_PC vazia",IF(NOT(ISNUMBER(B2986)),"DATA_PC invalida",IF(OR(C2986="",C2986="Fora dos ciclos"),"CICLO_PC nao identificado",IF(OR(D2986="",D2986=0),"VALOR_PC vazio ou zero",IF(AND(G2986&lt;&gt;"Sim",G2986&lt;&gt;"Nao",G2986&lt;&gt;""),"PC_PAGO_A_CONTRATADA invalido",IF(AND(C2986&lt;&gt;"C0",IFERROR(INDEX(parametros!$A$2:$A$6,MATCH(C2986,parametros!$B$2:$B$6,0)),"")="Sim",IFERROR(INDEX(parametros!$H$2:$H$6,MATCH(C2986,parametros!$B$2:$B$6,0)),"")=""),"INICIO_EFEITO ausente: PC "&amp;A2986&amp;" - "&amp;C2986,IF(L2986="","EFEITO_PC nao calculado: PC "&amp;A2986&amp;" - "&amp;C2986,"OK")))))))))</f>
        <v/>
      </c>
      <c r="L2986" s="92" t="str">
        <f>IF(AND(A2986="",B2986="",D2986="",G2986=""),"",IF(OR(B2986="",NOT(ISNUMBER(B2986)),C2986="",C2986="Fora dos ciclos"),"",IF(C2986="C0","Nao",IF(IFERROR(INDEX(parametros!$A$2:$A$6,MATCH(C2986,parametros!$B$2:$B$6,0)),"")&lt;&gt;"Sim","Nao",IF(IFERROR(INDEX(parametros!$H$2:$H$6,MATCH(C2986,parametros!$B$2:$B$6,0)),"")="","",IF(B2986&gt;=IFERROR(INDEX(parametros!$H$2:$H$6,MATCH(C2986,parametros!$B$2:$B$6,0)),""),"Sim","Nao"))))))</f>
        <v/>
      </c>
      <c r="T2986" s="156"/>
      <c r="U2986" s="214" t="str">
        <f t="shared" si="236"/>
        <v/>
      </c>
      <c r="V2986" s="212" t="s">
        <v>50</v>
      </c>
      <c r="W2986" s="100" t="s">
        <v>168</v>
      </c>
      <c r="X2986" s="100" t="s">
        <v>169</v>
      </c>
      <c r="Y2986" s="101" t="s">
        <v>170</v>
      </c>
      <c r="Z2986" s="101" t="s">
        <v>171</v>
      </c>
      <c r="AA2986" s="101" t="s">
        <v>50</v>
      </c>
      <c r="AB2986" s="101" t="s">
        <v>172</v>
      </c>
      <c r="AC2986" s="102" t="s">
        <v>173</v>
      </c>
    </row>
    <row r="2987" spans="1:29" ht="25.5" customHeight="1" x14ac:dyDescent="0.35">
      <c r="A2987" s="392"/>
      <c r="B2987" s="393"/>
      <c r="C2987" s="99" t="str">
        <f>IF(B2987="","",IF(NOT(ISNUMBER(B2987)),"DATA_PC invalida",IF(NOT(ISNUMBER(parametros!$C$2)),"Fora dos ciclos",IF(OR(B2987&lt;parametros!$C$2,(YEAR(B2987)-YEAR(parametros!$C$2))*12+MONTH(B2987)-MONTH(parametros!$C$2)&gt;59),"Fora dos ciclos","C"&amp;INT(((YEAR(B2987)-YEAR(parametros!$C$2))*12+MONTH(B2987)-MONTH(parametros!$C$2))/12)))))</f>
        <v/>
      </c>
      <c r="D2987" s="394"/>
      <c r="E2987" s="78" t="str">
        <f>IF(C2987="","",IFERROR(VLOOKUP(C2987,parametros!$A$11:$E$15,5,0),""))</f>
        <v/>
      </c>
      <c r="F2987" s="79" t="str">
        <f t="shared" si="232"/>
        <v/>
      </c>
      <c r="G2987" s="395"/>
      <c r="H2987" s="91">
        <f t="shared" si="233"/>
        <v>0</v>
      </c>
      <c r="I2987" s="91" t="str">
        <f t="shared" si="234"/>
        <v/>
      </c>
      <c r="J2987" s="91" t="str">
        <f t="shared" si="235"/>
        <v/>
      </c>
      <c r="K2987" s="92" t="str">
        <f>IF(AND(A2987="",B2987="",D2987="",G2987=""),"",IF(AND(A2987&lt;&gt;"",COUNTIF($A$2:$A$5001,A2987)&gt;1),"NUMERO_PC duplicado",IF(B2987="","DATA_PC vazia",IF(NOT(ISNUMBER(B2987)),"DATA_PC invalida",IF(OR(C2987="",C2987="Fora dos ciclos"),"CICLO_PC nao identificado",IF(OR(D2987="",D2987=0),"VALOR_PC vazio ou zero",IF(AND(G2987&lt;&gt;"Sim",G2987&lt;&gt;"Nao",G2987&lt;&gt;""),"PC_PAGO_A_CONTRATADA invalido",IF(AND(C2987&lt;&gt;"C0",IFERROR(INDEX(parametros!$A$2:$A$6,MATCH(C2987,parametros!$B$2:$B$6,0)),"")="Sim",IFERROR(INDEX(parametros!$H$2:$H$6,MATCH(C2987,parametros!$B$2:$B$6,0)),"")=""),"INICIO_EFEITO ausente: PC "&amp;A2987&amp;" - "&amp;C2987,IF(L2987="","EFEITO_PC nao calculado: PC "&amp;A2987&amp;" - "&amp;C2987,"OK")))))))))</f>
        <v/>
      </c>
      <c r="L2987" s="92" t="str">
        <f>IF(AND(A2987="",B2987="",D2987="",G2987=""),"",IF(OR(B2987="",NOT(ISNUMBER(B2987)),C2987="",C2987="Fora dos ciclos"),"",IF(C2987="C0","Nao",IF(IFERROR(INDEX(parametros!$A$2:$A$6,MATCH(C2987,parametros!$B$2:$B$6,0)),"")&lt;&gt;"Sim","Nao",IF(IFERROR(INDEX(parametros!$H$2:$H$6,MATCH(C2987,parametros!$B$2:$B$6,0)),"")="","",IF(B2987&gt;=IFERROR(INDEX(parametros!$H$2:$H$6,MATCH(C2987,parametros!$B$2:$B$6,0)),""),"Sim","Nao"))))))</f>
        <v/>
      </c>
      <c r="T2987" s="156"/>
      <c r="U2987" s="214" t="str">
        <f t="shared" si="236"/>
        <v/>
      </c>
      <c r="V2987" s="212" t="s">
        <v>50</v>
      </c>
      <c r="W2987" s="100" t="s">
        <v>168</v>
      </c>
      <c r="X2987" s="100" t="s">
        <v>169</v>
      </c>
      <c r="Y2987" s="101" t="s">
        <v>170</v>
      </c>
      <c r="Z2987" s="101" t="s">
        <v>171</v>
      </c>
      <c r="AA2987" s="101" t="s">
        <v>50</v>
      </c>
      <c r="AB2987" s="101" t="s">
        <v>172</v>
      </c>
      <c r="AC2987" s="102" t="s">
        <v>173</v>
      </c>
    </row>
    <row r="2988" spans="1:29" ht="25.5" customHeight="1" x14ac:dyDescent="0.35">
      <c r="A2988" s="392"/>
      <c r="B2988" s="393"/>
      <c r="C2988" s="99" t="str">
        <f>IF(B2988="","",IF(NOT(ISNUMBER(B2988)),"DATA_PC invalida",IF(NOT(ISNUMBER(parametros!$C$2)),"Fora dos ciclos",IF(OR(B2988&lt;parametros!$C$2,(YEAR(B2988)-YEAR(parametros!$C$2))*12+MONTH(B2988)-MONTH(parametros!$C$2)&gt;59),"Fora dos ciclos","C"&amp;INT(((YEAR(B2988)-YEAR(parametros!$C$2))*12+MONTH(B2988)-MONTH(parametros!$C$2))/12)))))</f>
        <v/>
      </c>
      <c r="D2988" s="394"/>
      <c r="E2988" s="78" t="str">
        <f>IF(C2988="","",IFERROR(VLOOKUP(C2988,parametros!$A$11:$E$15,5,0),""))</f>
        <v/>
      </c>
      <c r="F2988" s="79" t="str">
        <f t="shared" si="232"/>
        <v/>
      </c>
      <c r="G2988" s="395"/>
      <c r="H2988" s="91">
        <f t="shared" si="233"/>
        <v>0</v>
      </c>
      <c r="I2988" s="91" t="str">
        <f t="shared" si="234"/>
        <v/>
      </c>
      <c r="J2988" s="91" t="str">
        <f t="shared" si="235"/>
        <v/>
      </c>
      <c r="K2988" s="92" t="str">
        <f>IF(AND(A2988="",B2988="",D2988="",G2988=""),"",IF(AND(A2988&lt;&gt;"",COUNTIF($A$2:$A$5001,A2988)&gt;1),"NUMERO_PC duplicado",IF(B2988="","DATA_PC vazia",IF(NOT(ISNUMBER(B2988)),"DATA_PC invalida",IF(OR(C2988="",C2988="Fora dos ciclos"),"CICLO_PC nao identificado",IF(OR(D2988="",D2988=0),"VALOR_PC vazio ou zero",IF(AND(G2988&lt;&gt;"Sim",G2988&lt;&gt;"Nao",G2988&lt;&gt;""),"PC_PAGO_A_CONTRATADA invalido",IF(AND(C2988&lt;&gt;"C0",IFERROR(INDEX(parametros!$A$2:$A$6,MATCH(C2988,parametros!$B$2:$B$6,0)),"")="Sim",IFERROR(INDEX(parametros!$H$2:$H$6,MATCH(C2988,parametros!$B$2:$B$6,0)),"")=""),"INICIO_EFEITO ausente: PC "&amp;A2988&amp;" - "&amp;C2988,IF(L2988="","EFEITO_PC nao calculado: PC "&amp;A2988&amp;" - "&amp;C2988,"OK")))))))))</f>
        <v/>
      </c>
      <c r="L2988" s="92" t="str">
        <f>IF(AND(A2988="",B2988="",D2988="",G2988=""),"",IF(OR(B2988="",NOT(ISNUMBER(B2988)),C2988="",C2988="Fora dos ciclos"),"",IF(C2988="C0","Nao",IF(IFERROR(INDEX(parametros!$A$2:$A$6,MATCH(C2988,parametros!$B$2:$B$6,0)),"")&lt;&gt;"Sim","Nao",IF(IFERROR(INDEX(parametros!$H$2:$H$6,MATCH(C2988,parametros!$B$2:$B$6,0)),"")="","",IF(B2988&gt;=IFERROR(INDEX(parametros!$H$2:$H$6,MATCH(C2988,parametros!$B$2:$B$6,0)),""),"Sim","Nao"))))))</f>
        <v/>
      </c>
      <c r="T2988" s="156"/>
      <c r="U2988" s="214" t="str">
        <f t="shared" si="236"/>
        <v/>
      </c>
      <c r="V2988" s="212" t="s">
        <v>50</v>
      </c>
      <c r="W2988" s="100" t="s">
        <v>168</v>
      </c>
      <c r="X2988" s="100" t="s">
        <v>169</v>
      </c>
      <c r="Y2988" s="101" t="s">
        <v>170</v>
      </c>
      <c r="Z2988" s="101" t="s">
        <v>171</v>
      </c>
      <c r="AA2988" s="101" t="s">
        <v>50</v>
      </c>
      <c r="AB2988" s="101" t="s">
        <v>172</v>
      </c>
      <c r="AC2988" s="102" t="s">
        <v>173</v>
      </c>
    </row>
    <row r="2989" spans="1:29" ht="25.5" customHeight="1" x14ac:dyDescent="0.35">
      <c r="A2989" s="392"/>
      <c r="B2989" s="393"/>
      <c r="C2989" s="99" t="str">
        <f>IF(B2989="","",IF(NOT(ISNUMBER(B2989)),"DATA_PC invalida",IF(NOT(ISNUMBER(parametros!$C$2)),"Fora dos ciclos",IF(OR(B2989&lt;parametros!$C$2,(YEAR(B2989)-YEAR(parametros!$C$2))*12+MONTH(B2989)-MONTH(parametros!$C$2)&gt;59),"Fora dos ciclos","C"&amp;INT(((YEAR(B2989)-YEAR(parametros!$C$2))*12+MONTH(B2989)-MONTH(parametros!$C$2))/12)))))</f>
        <v/>
      </c>
      <c r="D2989" s="394"/>
      <c r="E2989" s="78" t="str">
        <f>IF(C2989="","",IFERROR(VLOOKUP(C2989,parametros!$A$11:$E$15,5,0),""))</f>
        <v/>
      </c>
      <c r="F2989" s="79" t="str">
        <f t="shared" si="232"/>
        <v/>
      </c>
      <c r="G2989" s="395"/>
      <c r="H2989" s="91">
        <f t="shared" si="233"/>
        <v>0</v>
      </c>
      <c r="I2989" s="91" t="str">
        <f t="shared" si="234"/>
        <v/>
      </c>
      <c r="J2989" s="91" t="str">
        <f t="shared" si="235"/>
        <v/>
      </c>
      <c r="K2989" s="92" t="str">
        <f>IF(AND(A2989="",B2989="",D2989="",G2989=""),"",IF(AND(A2989&lt;&gt;"",COUNTIF($A$2:$A$5001,A2989)&gt;1),"NUMERO_PC duplicado",IF(B2989="","DATA_PC vazia",IF(NOT(ISNUMBER(B2989)),"DATA_PC invalida",IF(OR(C2989="",C2989="Fora dos ciclos"),"CICLO_PC nao identificado",IF(OR(D2989="",D2989=0),"VALOR_PC vazio ou zero",IF(AND(G2989&lt;&gt;"Sim",G2989&lt;&gt;"Nao",G2989&lt;&gt;""),"PC_PAGO_A_CONTRATADA invalido",IF(AND(C2989&lt;&gt;"C0",IFERROR(INDEX(parametros!$A$2:$A$6,MATCH(C2989,parametros!$B$2:$B$6,0)),"")="Sim",IFERROR(INDEX(parametros!$H$2:$H$6,MATCH(C2989,parametros!$B$2:$B$6,0)),"")=""),"INICIO_EFEITO ausente: PC "&amp;A2989&amp;" - "&amp;C2989,IF(L2989="","EFEITO_PC nao calculado: PC "&amp;A2989&amp;" - "&amp;C2989,"OK")))))))))</f>
        <v/>
      </c>
      <c r="L2989" s="92" t="str">
        <f>IF(AND(A2989="",B2989="",D2989="",G2989=""),"",IF(OR(B2989="",NOT(ISNUMBER(B2989)),C2989="",C2989="Fora dos ciclos"),"",IF(C2989="C0","Nao",IF(IFERROR(INDEX(parametros!$A$2:$A$6,MATCH(C2989,parametros!$B$2:$B$6,0)),"")&lt;&gt;"Sim","Nao",IF(IFERROR(INDEX(parametros!$H$2:$H$6,MATCH(C2989,parametros!$B$2:$B$6,0)),"")="","",IF(B2989&gt;=IFERROR(INDEX(parametros!$H$2:$H$6,MATCH(C2989,parametros!$B$2:$B$6,0)),""),"Sim","Nao"))))))</f>
        <v/>
      </c>
      <c r="T2989" s="156"/>
      <c r="U2989" s="214" t="str">
        <f t="shared" si="236"/>
        <v/>
      </c>
      <c r="V2989" s="212" t="s">
        <v>50</v>
      </c>
      <c r="W2989" s="100" t="s">
        <v>168</v>
      </c>
      <c r="X2989" s="100" t="s">
        <v>169</v>
      </c>
      <c r="Y2989" s="101" t="s">
        <v>170</v>
      </c>
      <c r="Z2989" s="101" t="s">
        <v>171</v>
      </c>
      <c r="AA2989" s="101" t="s">
        <v>50</v>
      </c>
      <c r="AB2989" s="101" t="s">
        <v>172</v>
      </c>
      <c r="AC2989" s="102" t="s">
        <v>173</v>
      </c>
    </row>
    <row r="2990" spans="1:29" ht="25.5" customHeight="1" x14ac:dyDescent="0.35">
      <c r="A2990" s="392"/>
      <c r="B2990" s="393"/>
      <c r="C2990" s="99" t="str">
        <f>IF(B2990="","",IF(NOT(ISNUMBER(B2990)),"DATA_PC invalida",IF(NOT(ISNUMBER(parametros!$C$2)),"Fora dos ciclos",IF(OR(B2990&lt;parametros!$C$2,(YEAR(B2990)-YEAR(parametros!$C$2))*12+MONTH(B2990)-MONTH(parametros!$C$2)&gt;59),"Fora dos ciclos","C"&amp;INT(((YEAR(B2990)-YEAR(parametros!$C$2))*12+MONTH(B2990)-MONTH(parametros!$C$2))/12)))))</f>
        <v/>
      </c>
      <c r="D2990" s="394"/>
      <c r="E2990" s="78" t="str">
        <f>IF(C2990="","",IFERROR(VLOOKUP(C2990,parametros!$A$11:$E$15,5,0),""))</f>
        <v/>
      </c>
      <c r="F2990" s="79" t="str">
        <f t="shared" si="232"/>
        <v/>
      </c>
      <c r="G2990" s="395"/>
      <c r="H2990" s="91">
        <f t="shared" si="233"/>
        <v>0</v>
      </c>
      <c r="I2990" s="91" t="str">
        <f t="shared" si="234"/>
        <v/>
      </c>
      <c r="J2990" s="91" t="str">
        <f t="shared" si="235"/>
        <v/>
      </c>
      <c r="K2990" s="92" t="str">
        <f>IF(AND(A2990="",B2990="",D2990="",G2990=""),"",IF(AND(A2990&lt;&gt;"",COUNTIF($A$2:$A$5001,A2990)&gt;1),"NUMERO_PC duplicado",IF(B2990="","DATA_PC vazia",IF(NOT(ISNUMBER(B2990)),"DATA_PC invalida",IF(OR(C2990="",C2990="Fora dos ciclos"),"CICLO_PC nao identificado",IF(OR(D2990="",D2990=0),"VALOR_PC vazio ou zero",IF(AND(G2990&lt;&gt;"Sim",G2990&lt;&gt;"Nao",G2990&lt;&gt;""),"PC_PAGO_A_CONTRATADA invalido",IF(AND(C2990&lt;&gt;"C0",IFERROR(INDEX(parametros!$A$2:$A$6,MATCH(C2990,parametros!$B$2:$B$6,0)),"")="Sim",IFERROR(INDEX(parametros!$H$2:$H$6,MATCH(C2990,parametros!$B$2:$B$6,0)),"")=""),"INICIO_EFEITO ausente: PC "&amp;A2990&amp;" - "&amp;C2990,IF(L2990="","EFEITO_PC nao calculado: PC "&amp;A2990&amp;" - "&amp;C2990,"OK")))))))))</f>
        <v/>
      </c>
      <c r="L2990" s="92" t="str">
        <f>IF(AND(A2990="",B2990="",D2990="",G2990=""),"",IF(OR(B2990="",NOT(ISNUMBER(B2990)),C2990="",C2990="Fora dos ciclos"),"",IF(C2990="C0","Nao",IF(IFERROR(INDEX(parametros!$A$2:$A$6,MATCH(C2990,parametros!$B$2:$B$6,0)),"")&lt;&gt;"Sim","Nao",IF(IFERROR(INDEX(parametros!$H$2:$H$6,MATCH(C2990,parametros!$B$2:$B$6,0)),"")="","",IF(B2990&gt;=IFERROR(INDEX(parametros!$H$2:$H$6,MATCH(C2990,parametros!$B$2:$B$6,0)),""),"Sim","Nao"))))))</f>
        <v/>
      </c>
      <c r="T2990" s="156"/>
      <c r="U2990" s="214" t="str">
        <f t="shared" si="236"/>
        <v/>
      </c>
      <c r="V2990" s="212" t="s">
        <v>50</v>
      </c>
      <c r="W2990" s="100" t="s">
        <v>168</v>
      </c>
      <c r="X2990" s="100" t="s">
        <v>169</v>
      </c>
      <c r="Y2990" s="101" t="s">
        <v>170</v>
      </c>
      <c r="Z2990" s="101" t="s">
        <v>171</v>
      </c>
      <c r="AA2990" s="101" t="s">
        <v>50</v>
      </c>
      <c r="AB2990" s="101" t="s">
        <v>172</v>
      </c>
      <c r="AC2990" s="102" t="s">
        <v>173</v>
      </c>
    </row>
    <row r="2991" spans="1:29" ht="25.5" customHeight="1" x14ac:dyDescent="0.35">
      <c r="A2991" s="392"/>
      <c r="B2991" s="393"/>
      <c r="C2991" s="99" t="str">
        <f>IF(B2991="","",IF(NOT(ISNUMBER(B2991)),"DATA_PC invalida",IF(NOT(ISNUMBER(parametros!$C$2)),"Fora dos ciclos",IF(OR(B2991&lt;parametros!$C$2,(YEAR(B2991)-YEAR(parametros!$C$2))*12+MONTH(B2991)-MONTH(parametros!$C$2)&gt;59),"Fora dos ciclos","C"&amp;INT(((YEAR(B2991)-YEAR(parametros!$C$2))*12+MONTH(B2991)-MONTH(parametros!$C$2))/12)))))</f>
        <v/>
      </c>
      <c r="D2991" s="394"/>
      <c r="E2991" s="78" t="str">
        <f>IF(C2991="","",IFERROR(VLOOKUP(C2991,parametros!$A$11:$E$15,5,0),""))</f>
        <v/>
      </c>
      <c r="F2991" s="79" t="str">
        <f t="shared" si="232"/>
        <v/>
      </c>
      <c r="G2991" s="395"/>
      <c r="H2991" s="91">
        <f t="shared" si="233"/>
        <v>0</v>
      </c>
      <c r="I2991" s="91" t="str">
        <f t="shared" si="234"/>
        <v/>
      </c>
      <c r="J2991" s="91" t="str">
        <f t="shared" si="235"/>
        <v/>
      </c>
      <c r="K2991" s="92" t="str">
        <f>IF(AND(A2991="",B2991="",D2991="",G2991=""),"",IF(AND(A2991&lt;&gt;"",COUNTIF($A$2:$A$5001,A2991)&gt;1),"NUMERO_PC duplicado",IF(B2991="","DATA_PC vazia",IF(NOT(ISNUMBER(B2991)),"DATA_PC invalida",IF(OR(C2991="",C2991="Fora dos ciclos"),"CICLO_PC nao identificado",IF(OR(D2991="",D2991=0),"VALOR_PC vazio ou zero",IF(AND(G2991&lt;&gt;"Sim",G2991&lt;&gt;"Nao",G2991&lt;&gt;""),"PC_PAGO_A_CONTRATADA invalido",IF(AND(C2991&lt;&gt;"C0",IFERROR(INDEX(parametros!$A$2:$A$6,MATCH(C2991,parametros!$B$2:$B$6,0)),"")="Sim",IFERROR(INDEX(parametros!$H$2:$H$6,MATCH(C2991,parametros!$B$2:$B$6,0)),"")=""),"INICIO_EFEITO ausente: PC "&amp;A2991&amp;" - "&amp;C2991,IF(L2991="","EFEITO_PC nao calculado: PC "&amp;A2991&amp;" - "&amp;C2991,"OK")))))))))</f>
        <v/>
      </c>
      <c r="L2991" s="92" t="str">
        <f>IF(AND(A2991="",B2991="",D2991="",G2991=""),"",IF(OR(B2991="",NOT(ISNUMBER(B2991)),C2991="",C2991="Fora dos ciclos"),"",IF(C2991="C0","Nao",IF(IFERROR(INDEX(parametros!$A$2:$A$6,MATCH(C2991,parametros!$B$2:$B$6,0)),"")&lt;&gt;"Sim","Nao",IF(IFERROR(INDEX(parametros!$H$2:$H$6,MATCH(C2991,parametros!$B$2:$B$6,0)),"")="","",IF(B2991&gt;=IFERROR(INDEX(parametros!$H$2:$H$6,MATCH(C2991,parametros!$B$2:$B$6,0)),""),"Sim","Nao"))))))</f>
        <v/>
      </c>
      <c r="T2991" s="156"/>
      <c r="U2991" s="214" t="str">
        <f t="shared" si="236"/>
        <v/>
      </c>
      <c r="V2991" s="212" t="s">
        <v>50</v>
      </c>
      <c r="W2991" s="100" t="s">
        <v>168</v>
      </c>
      <c r="X2991" s="100" t="s">
        <v>169</v>
      </c>
      <c r="Y2991" s="101" t="s">
        <v>170</v>
      </c>
      <c r="Z2991" s="101" t="s">
        <v>171</v>
      </c>
      <c r="AA2991" s="101" t="s">
        <v>50</v>
      </c>
      <c r="AB2991" s="101" t="s">
        <v>172</v>
      </c>
      <c r="AC2991" s="102" t="s">
        <v>173</v>
      </c>
    </row>
    <row r="2992" spans="1:29" ht="25.5" customHeight="1" x14ac:dyDescent="0.35">
      <c r="A2992" s="392"/>
      <c r="B2992" s="393"/>
      <c r="C2992" s="99" t="str">
        <f>IF(B2992="","",IF(NOT(ISNUMBER(B2992)),"DATA_PC invalida",IF(NOT(ISNUMBER(parametros!$C$2)),"Fora dos ciclos",IF(OR(B2992&lt;parametros!$C$2,(YEAR(B2992)-YEAR(parametros!$C$2))*12+MONTH(B2992)-MONTH(parametros!$C$2)&gt;59),"Fora dos ciclos","C"&amp;INT(((YEAR(B2992)-YEAR(parametros!$C$2))*12+MONTH(B2992)-MONTH(parametros!$C$2))/12)))))</f>
        <v/>
      </c>
      <c r="D2992" s="394"/>
      <c r="E2992" s="78" t="str">
        <f>IF(C2992="","",IFERROR(VLOOKUP(C2992,parametros!$A$11:$E$15,5,0),""))</f>
        <v/>
      </c>
      <c r="F2992" s="79" t="str">
        <f t="shared" si="232"/>
        <v/>
      </c>
      <c r="G2992" s="395"/>
      <c r="H2992" s="91">
        <f t="shared" si="233"/>
        <v>0</v>
      </c>
      <c r="I2992" s="91" t="str">
        <f t="shared" si="234"/>
        <v/>
      </c>
      <c r="J2992" s="91" t="str">
        <f t="shared" si="235"/>
        <v/>
      </c>
      <c r="K2992" s="92" t="str">
        <f>IF(AND(A2992="",B2992="",D2992="",G2992=""),"",IF(AND(A2992&lt;&gt;"",COUNTIF($A$2:$A$5001,A2992)&gt;1),"NUMERO_PC duplicado",IF(B2992="","DATA_PC vazia",IF(NOT(ISNUMBER(B2992)),"DATA_PC invalida",IF(OR(C2992="",C2992="Fora dos ciclos"),"CICLO_PC nao identificado",IF(OR(D2992="",D2992=0),"VALOR_PC vazio ou zero",IF(AND(G2992&lt;&gt;"Sim",G2992&lt;&gt;"Nao",G2992&lt;&gt;""),"PC_PAGO_A_CONTRATADA invalido",IF(AND(C2992&lt;&gt;"C0",IFERROR(INDEX(parametros!$A$2:$A$6,MATCH(C2992,parametros!$B$2:$B$6,0)),"")="Sim",IFERROR(INDEX(parametros!$H$2:$H$6,MATCH(C2992,parametros!$B$2:$B$6,0)),"")=""),"INICIO_EFEITO ausente: PC "&amp;A2992&amp;" - "&amp;C2992,IF(L2992="","EFEITO_PC nao calculado: PC "&amp;A2992&amp;" - "&amp;C2992,"OK")))))))))</f>
        <v/>
      </c>
      <c r="L2992" s="92" t="str">
        <f>IF(AND(A2992="",B2992="",D2992="",G2992=""),"",IF(OR(B2992="",NOT(ISNUMBER(B2992)),C2992="",C2992="Fora dos ciclos"),"",IF(C2992="C0","Nao",IF(IFERROR(INDEX(parametros!$A$2:$A$6,MATCH(C2992,parametros!$B$2:$B$6,0)),"")&lt;&gt;"Sim","Nao",IF(IFERROR(INDEX(parametros!$H$2:$H$6,MATCH(C2992,parametros!$B$2:$B$6,0)),"")="","",IF(B2992&gt;=IFERROR(INDEX(parametros!$H$2:$H$6,MATCH(C2992,parametros!$B$2:$B$6,0)),""),"Sim","Nao"))))))</f>
        <v/>
      </c>
      <c r="T2992" s="156"/>
      <c r="U2992" s="214" t="str">
        <f t="shared" si="236"/>
        <v/>
      </c>
      <c r="V2992" s="212" t="s">
        <v>50</v>
      </c>
      <c r="W2992" s="100" t="s">
        <v>168</v>
      </c>
      <c r="X2992" s="100" t="s">
        <v>169</v>
      </c>
      <c r="Y2992" s="101" t="s">
        <v>170</v>
      </c>
      <c r="Z2992" s="101" t="s">
        <v>171</v>
      </c>
      <c r="AA2992" s="101" t="s">
        <v>50</v>
      </c>
      <c r="AB2992" s="101" t="s">
        <v>172</v>
      </c>
      <c r="AC2992" s="102" t="s">
        <v>173</v>
      </c>
    </row>
    <row r="2993" spans="1:29" ht="25.5" customHeight="1" x14ac:dyDescent="0.35">
      <c r="A2993" s="392"/>
      <c r="B2993" s="393"/>
      <c r="C2993" s="99" t="str">
        <f>IF(B2993="","",IF(NOT(ISNUMBER(B2993)),"DATA_PC invalida",IF(NOT(ISNUMBER(parametros!$C$2)),"Fora dos ciclos",IF(OR(B2993&lt;parametros!$C$2,(YEAR(B2993)-YEAR(parametros!$C$2))*12+MONTH(B2993)-MONTH(parametros!$C$2)&gt;59),"Fora dos ciclos","C"&amp;INT(((YEAR(B2993)-YEAR(parametros!$C$2))*12+MONTH(B2993)-MONTH(parametros!$C$2))/12)))))</f>
        <v/>
      </c>
      <c r="D2993" s="394"/>
      <c r="E2993" s="78" t="str">
        <f>IF(C2993="","",IFERROR(VLOOKUP(C2993,parametros!$A$11:$E$15,5,0),""))</f>
        <v/>
      </c>
      <c r="F2993" s="79" t="str">
        <f t="shared" si="232"/>
        <v/>
      </c>
      <c r="G2993" s="395"/>
      <c r="H2993" s="91">
        <f t="shared" si="233"/>
        <v>0</v>
      </c>
      <c r="I2993" s="91" t="str">
        <f t="shared" si="234"/>
        <v/>
      </c>
      <c r="J2993" s="91" t="str">
        <f t="shared" si="235"/>
        <v/>
      </c>
      <c r="K2993" s="92" t="str">
        <f>IF(AND(A2993="",B2993="",D2993="",G2993=""),"",IF(AND(A2993&lt;&gt;"",COUNTIF($A$2:$A$5001,A2993)&gt;1),"NUMERO_PC duplicado",IF(B2993="","DATA_PC vazia",IF(NOT(ISNUMBER(B2993)),"DATA_PC invalida",IF(OR(C2993="",C2993="Fora dos ciclos"),"CICLO_PC nao identificado",IF(OR(D2993="",D2993=0),"VALOR_PC vazio ou zero",IF(AND(G2993&lt;&gt;"Sim",G2993&lt;&gt;"Nao",G2993&lt;&gt;""),"PC_PAGO_A_CONTRATADA invalido",IF(AND(C2993&lt;&gt;"C0",IFERROR(INDEX(parametros!$A$2:$A$6,MATCH(C2993,parametros!$B$2:$B$6,0)),"")="Sim",IFERROR(INDEX(parametros!$H$2:$H$6,MATCH(C2993,parametros!$B$2:$B$6,0)),"")=""),"INICIO_EFEITO ausente: PC "&amp;A2993&amp;" - "&amp;C2993,IF(L2993="","EFEITO_PC nao calculado: PC "&amp;A2993&amp;" - "&amp;C2993,"OK")))))))))</f>
        <v/>
      </c>
      <c r="L2993" s="92" t="str">
        <f>IF(AND(A2993="",B2993="",D2993="",G2993=""),"",IF(OR(B2993="",NOT(ISNUMBER(B2993)),C2993="",C2993="Fora dos ciclos"),"",IF(C2993="C0","Nao",IF(IFERROR(INDEX(parametros!$A$2:$A$6,MATCH(C2993,parametros!$B$2:$B$6,0)),"")&lt;&gt;"Sim","Nao",IF(IFERROR(INDEX(parametros!$H$2:$H$6,MATCH(C2993,parametros!$B$2:$B$6,0)),"")="","",IF(B2993&gt;=IFERROR(INDEX(parametros!$H$2:$H$6,MATCH(C2993,parametros!$B$2:$B$6,0)),""),"Sim","Nao"))))))</f>
        <v/>
      </c>
      <c r="T2993" s="156"/>
      <c r="U2993" s="214" t="str">
        <f t="shared" si="236"/>
        <v/>
      </c>
      <c r="V2993" s="212" t="s">
        <v>50</v>
      </c>
      <c r="W2993" s="100" t="s">
        <v>168</v>
      </c>
      <c r="X2993" s="100" t="s">
        <v>169</v>
      </c>
      <c r="Y2993" s="101" t="s">
        <v>170</v>
      </c>
      <c r="Z2993" s="101" t="s">
        <v>171</v>
      </c>
      <c r="AA2993" s="101" t="s">
        <v>50</v>
      </c>
      <c r="AB2993" s="101" t="s">
        <v>172</v>
      </c>
      <c r="AC2993" s="102" t="s">
        <v>173</v>
      </c>
    </row>
    <row r="2994" spans="1:29" ht="25.5" customHeight="1" x14ac:dyDescent="0.35">
      <c r="A2994" s="392"/>
      <c r="B2994" s="393"/>
      <c r="C2994" s="99" t="str">
        <f>IF(B2994="","",IF(NOT(ISNUMBER(B2994)),"DATA_PC invalida",IF(NOT(ISNUMBER(parametros!$C$2)),"Fora dos ciclos",IF(OR(B2994&lt;parametros!$C$2,(YEAR(B2994)-YEAR(parametros!$C$2))*12+MONTH(B2994)-MONTH(parametros!$C$2)&gt;59),"Fora dos ciclos","C"&amp;INT(((YEAR(B2994)-YEAR(parametros!$C$2))*12+MONTH(B2994)-MONTH(parametros!$C$2))/12)))))</f>
        <v/>
      </c>
      <c r="D2994" s="394"/>
      <c r="E2994" s="78" t="str">
        <f>IF(C2994="","",IFERROR(VLOOKUP(C2994,parametros!$A$11:$E$15,5,0),""))</f>
        <v/>
      </c>
      <c r="F2994" s="79" t="str">
        <f t="shared" si="232"/>
        <v/>
      </c>
      <c r="G2994" s="395"/>
      <c r="H2994" s="91">
        <f t="shared" si="233"/>
        <v>0</v>
      </c>
      <c r="I2994" s="91" t="str">
        <f t="shared" si="234"/>
        <v/>
      </c>
      <c r="J2994" s="91" t="str">
        <f t="shared" si="235"/>
        <v/>
      </c>
      <c r="K2994" s="92" t="str">
        <f>IF(AND(A2994="",B2994="",D2994="",G2994=""),"",IF(AND(A2994&lt;&gt;"",COUNTIF($A$2:$A$5001,A2994)&gt;1),"NUMERO_PC duplicado",IF(B2994="","DATA_PC vazia",IF(NOT(ISNUMBER(B2994)),"DATA_PC invalida",IF(OR(C2994="",C2994="Fora dos ciclos"),"CICLO_PC nao identificado",IF(OR(D2994="",D2994=0),"VALOR_PC vazio ou zero",IF(AND(G2994&lt;&gt;"Sim",G2994&lt;&gt;"Nao",G2994&lt;&gt;""),"PC_PAGO_A_CONTRATADA invalido",IF(AND(C2994&lt;&gt;"C0",IFERROR(INDEX(parametros!$A$2:$A$6,MATCH(C2994,parametros!$B$2:$B$6,0)),"")="Sim",IFERROR(INDEX(parametros!$H$2:$H$6,MATCH(C2994,parametros!$B$2:$B$6,0)),"")=""),"INICIO_EFEITO ausente: PC "&amp;A2994&amp;" - "&amp;C2994,IF(L2994="","EFEITO_PC nao calculado: PC "&amp;A2994&amp;" - "&amp;C2994,"OK")))))))))</f>
        <v/>
      </c>
      <c r="L2994" s="92" t="str">
        <f>IF(AND(A2994="",B2994="",D2994="",G2994=""),"",IF(OR(B2994="",NOT(ISNUMBER(B2994)),C2994="",C2994="Fora dos ciclos"),"",IF(C2994="C0","Nao",IF(IFERROR(INDEX(parametros!$A$2:$A$6,MATCH(C2994,parametros!$B$2:$B$6,0)),"")&lt;&gt;"Sim","Nao",IF(IFERROR(INDEX(parametros!$H$2:$H$6,MATCH(C2994,parametros!$B$2:$B$6,0)),"")="","",IF(B2994&gt;=IFERROR(INDEX(parametros!$H$2:$H$6,MATCH(C2994,parametros!$B$2:$B$6,0)),""),"Sim","Nao"))))))</f>
        <v/>
      </c>
      <c r="T2994" s="156"/>
      <c r="U2994" s="214" t="str">
        <f t="shared" si="236"/>
        <v/>
      </c>
      <c r="V2994" s="212" t="s">
        <v>50</v>
      </c>
      <c r="W2994" s="100" t="s">
        <v>168</v>
      </c>
      <c r="X2994" s="100" t="s">
        <v>169</v>
      </c>
      <c r="Y2994" s="101" t="s">
        <v>170</v>
      </c>
      <c r="Z2994" s="101" t="s">
        <v>171</v>
      </c>
      <c r="AA2994" s="101" t="s">
        <v>50</v>
      </c>
      <c r="AB2994" s="101" t="s">
        <v>172</v>
      </c>
      <c r="AC2994" s="102" t="s">
        <v>173</v>
      </c>
    </row>
    <row r="2995" spans="1:29" ht="25.5" customHeight="1" x14ac:dyDescent="0.35">
      <c r="A2995" s="392"/>
      <c r="B2995" s="393"/>
      <c r="C2995" s="99" t="str">
        <f>IF(B2995="","",IF(NOT(ISNUMBER(B2995)),"DATA_PC invalida",IF(NOT(ISNUMBER(parametros!$C$2)),"Fora dos ciclos",IF(OR(B2995&lt;parametros!$C$2,(YEAR(B2995)-YEAR(parametros!$C$2))*12+MONTH(B2995)-MONTH(parametros!$C$2)&gt;59),"Fora dos ciclos","C"&amp;INT(((YEAR(B2995)-YEAR(parametros!$C$2))*12+MONTH(B2995)-MONTH(parametros!$C$2))/12)))))</f>
        <v/>
      </c>
      <c r="D2995" s="394"/>
      <c r="E2995" s="78" t="str">
        <f>IF(C2995="","",IFERROR(VLOOKUP(C2995,parametros!$A$11:$E$15,5,0),""))</f>
        <v/>
      </c>
      <c r="F2995" s="79" t="str">
        <f t="shared" si="232"/>
        <v/>
      </c>
      <c r="G2995" s="395"/>
      <c r="H2995" s="91">
        <f t="shared" si="233"/>
        <v>0</v>
      </c>
      <c r="I2995" s="91" t="str">
        <f t="shared" si="234"/>
        <v/>
      </c>
      <c r="J2995" s="91" t="str">
        <f t="shared" si="235"/>
        <v/>
      </c>
      <c r="K2995" s="92" t="str">
        <f>IF(AND(A2995="",B2995="",D2995="",G2995=""),"",IF(AND(A2995&lt;&gt;"",COUNTIF($A$2:$A$5001,A2995)&gt;1),"NUMERO_PC duplicado",IF(B2995="","DATA_PC vazia",IF(NOT(ISNUMBER(B2995)),"DATA_PC invalida",IF(OR(C2995="",C2995="Fora dos ciclos"),"CICLO_PC nao identificado",IF(OR(D2995="",D2995=0),"VALOR_PC vazio ou zero",IF(AND(G2995&lt;&gt;"Sim",G2995&lt;&gt;"Nao",G2995&lt;&gt;""),"PC_PAGO_A_CONTRATADA invalido",IF(AND(C2995&lt;&gt;"C0",IFERROR(INDEX(parametros!$A$2:$A$6,MATCH(C2995,parametros!$B$2:$B$6,0)),"")="Sim",IFERROR(INDEX(parametros!$H$2:$H$6,MATCH(C2995,parametros!$B$2:$B$6,0)),"")=""),"INICIO_EFEITO ausente: PC "&amp;A2995&amp;" - "&amp;C2995,IF(L2995="","EFEITO_PC nao calculado: PC "&amp;A2995&amp;" - "&amp;C2995,"OK")))))))))</f>
        <v/>
      </c>
      <c r="L2995" s="92" t="str">
        <f>IF(AND(A2995="",B2995="",D2995="",G2995=""),"",IF(OR(B2995="",NOT(ISNUMBER(B2995)),C2995="",C2995="Fora dos ciclos"),"",IF(C2995="C0","Nao",IF(IFERROR(INDEX(parametros!$A$2:$A$6,MATCH(C2995,parametros!$B$2:$B$6,0)),"")&lt;&gt;"Sim","Nao",IF(IFERROR(INDEX(parametros!$H$2:$H$6,MATCH(C2995,parametros!$B$2:$B$6,0)),"")="","",IF(B2995&gt;=IFERROR(INDEX(parametros!$H$2:$H$6,MATCH(C2995,parametros!$B$2:$B$6,0)),""),"Sim","Nao"))))))</f>
        <v/>
      </c>
      <c r="T2995" s="156"/>
      <c r="U2995" s="214" t="str">
        <f t="shared" si="236"/>
        <v/>
      </c>
      <c r="V2995" s="212" t="s">
        <v>50</v>
      </c>
      <c r="W2995" s="100" t="s">
        <v>168</v>
      </c>
      <c r="X2995" s="100" t="s">
        <v>169</v>
      </c>
      <c r="Y2995" s="101" t="s">
        <v>170</v>
      </c>
      <c r="Z2995" s="101" t="s">
        <v>171</v>
      </c>
      <c r="AA2995" s="101" t="s">
        <v>50</v>
      </c>
      <c r="AB2995" s="101" t="s">
        <v>172</v>
      </c>
      <c r="AC2995" s="102" t="s">
        <v>173</v>
      </c>
    </row>
    <row r="2996" spans="1:29" ht="25.5" customHeight="1" x14ac:dyDescent="0.35">
      <c r="A2996" s="392"/>
      <c r="B2996" s="393"/>
      <c r="C2996" s="99" t="str">
        <f>IF(B2996="","",IF(NOT(ISNUMBER(B2996)),"DATA_PC invalida",IF(NOT(ISNUMBER(parametros!$C$2)),"Fora dos ciclos",IF(OR(B2996&lt;parametros!$C$2,(YEAR(B2996)-YEAR(parametros!$C$2))*12+MONTH(B2996)-MONTH(parametros!$C$2)&gt;59),"Fora dos ciclos","C"&amp;INT(((YEAR(B2996)-YEAR(parametros!$C$2))*12+MONTH(B2996)-MONTH(parametros!$C$2))/12)))))</f>
        <v/>
      </c>
      <c r="D2996" s="394"/>
      <c r="E2996" s="78" t="str">
        <f>IF(C2996="","",IFERROR(VLOOKUP(C2996,parametros!$A$11:$E$15,5,0),""))</f>
        <v/>
      </c>
      <c r="F2996" s="79" t="str">
        <f t="shared" si="232"/>
        <v/>
      </c>
      <c r="G2996" s="395"/>
      <c r="H2996" s="91">
        <f t="shared" si="233"/>
        <v>0</v>
      </c>
      <c r="I2996" s="91" t="str">
        <f t="shared" si="234"/>
        <v/>
      </c>
      <c r="J2996" s="91" t="str">
        <f t="shared" si="235"/>
        <v/>
      </c>
      <c r="K2996" s="92" t="str">
        <f>IF(AND(A2996="",B2996="",D2996="",G2996=""),"",IF(AND(A2996&lt;&gt;"",COUNTIF($A$2:$A$5001,A2996)&gt;1),"NUMERO_PC duplicado",IF(B2996="","DATA_PC vazia",IF(NOT(ISNUMBER(B2996)),"DATA_PC invalida",IF(OR(C2996="",C2996="Fora dos ciclos"),"CICLO_PC nao identificado",IF(OR(D2996="",D2996=0),"VALOR_PC vazio ou zero",IF(AND(G2996&lt;&gt;"Sim",G2996&lt;&gt;"Nao",G2996&lt;&gt;""),"PC_PAGO_A_CONTRATADA invalido",IF(AND(C2996&lt;&gt;"C0",IFERROR(INDEX(parametros!$A$2:$A$6,MATCH(C2996,parametros!$B$2:$B$6,0)),"")="Sim",IFERROR(INDEX(parametros!$H$2:$H$6,MATCH(C2996,parametros!$B$2:$B$6,0)),"")=""),"INICIO_EFEITO ausente: PC "&amp;A2996&amp;" - "&amp;C2996,IF(L2996="","EFEITO_PC nao calculado: PC "&amp;A2996&amp;" - "&amp;C2996,"OK")))))))))</f>
        <v/>
      </c>
      <c r="L2996" s="92" t="str">
        <f>IF(AND(A2996="",B2996="",D2996="",G2996=""),"",IF(OR(B2996="",NOT(ISNUMBER(B2996)),C2996="",C2996="Fora dos ciclos"),"",IF(C2996="C0","Nao",IF(IFERROR(INDEX(parametros!$A$2:$A$6,MATCH(C2996,parametros!$B$2:$B$6,0)),"")&lt;&gt;"Sim","Nao",IF(IFERROR(INDEX(parametros!$H$2:$H$6,MATCH(C2996,parametros!$B$2:$B$6,0)),"")="","",IF(B2996&gt;=IFERROR(INDEX(parametros!$H$2:$H$6,MATCH(C2996,parametros!$B$2:$B$6,0)),""),"Sim","Nao"))))))</f>
        <v/>
      </c>
      <c r="T2996" s="156"/>
      <c r="U2996" s="214" t="str">
        <f t="shared" si="236"/>
        <v/>
      </c>
      <c r="V2996" s="212" t="s">
        <v>50</v>
      </c>
      <c r="W2996" s="100" t="s">
        <v>168</v>
      </c>
      <c r="X2996" s="100" t="s">
        <v>169</v>
      </c>
      <c r="Y2996" s="101" t="s">
        <v>170</v>
      </c>
      <c r="Z2996" s="101" t="s">
        <v>171</v>
      </c>
      <c r="AA2996" s="101" t="s">
        <v>50</v>
      </c>
      <c r="AB2996" s="101" t="s">
        <v>172</v>
      </c>
      <c r="AC2996" s="102" t="s">
        <v>173</v>
      </c>
    </row>
    <row r="2997" spans="1:29" ht="25.5" customHeight="1" x14ac:dyDescent="0.35">
      <c r="A2997" s="392"/>
      <c r="B2997" s="393"/>
      <c r="C2997" s="99" t="str">
        <f>IF(B2997="","",IF(NOT(ISNUMBER(B2997)),"DATA_PC invalida",IF(NOT(ISNUMBER(parametros!$C$2)),"Fora dos ciclos",IF(OR(B2997&lt;parametros!$C$2,(YEAR(B2997)-YEAR(parametros!$C$2))*12+MONTH(B2997)-MONTH(parametros!$C$2)&gt;59),"Fora dos ciclos","C"&amp;INT(((YEAR(B2997)-YEAR(parametros!$C$2))*12+MONTH(B2997)-MONTH(parametros!$C$2))/12)))))</f>
        <v/>
      </c>
      <c r="D2997" s="394"/>
      <c r="E2997" s="78" t="str">
        <f>IF(C2997="","",IFERROR(VLOOKUP(C2997,parametros!$A$11:$E$15,5,0),""))</f>
        <v/>
      </c>
      <c r="F2997" s="79" t="str">
        <f t="shared" si="232"/>
        <v/>
      </c>
      <c r="G2997" s="395"/>
      <c r="H2997" s="91">
        <f t="shared" si="233"/>
        <v>0</v>
      </c>
      <c r="I2997" s="91" t="str">
        <f t="shared" si="234"/>
        <v/>
      </c>
      <c r="J2997" s="91" t="str">
        <f t="shared" si="235"/>
        <v/>
      </c>
      <c r="K2997" s="92" t="str">
        <f>IF(AND(A2997="",B2997="",D2997="",G2997=""),"",IF(AND(A2997&lt;&gt;"",COUNTIF($A$2:$A$5001,A2997)&gt;1),"NUMERO_PC duplicado",IF(B2997="","DATA_PC vazia",IF(NOT(ISNUMBER(B2997)),"DATA_PC invalida",IF(OR(C2997="",C2997="Fora dos ciclos"),"CICLO_PC nao identificado",IF(OR(D2997="",D2997=0),"VALOR_PC vazio ou zero",IF(AND(G2997&lt;&gt;"Sim",G2997&lt;&gt;"Nao",G2997&lt;&gt;""),"PC_PAGO_A_CONTRATADA invalido",IF(AND(C2997&lt;&gt;"C0",IFERROR(INDEX(parametros!$A$2:$A$6,MATCH(C2997,parametros!$B$2:$B$6,0)),"")="Sim",IFERROR(INDEX(parametros!$H$2:$H$6,MATCH(C2997,parametros!$B$2:$B$6,0)),"")=""),"INICIO_EFEITO ausente: PC "&amp;A2997&amp;" - "&amp;C2997,IF(L2997="","EFEITO_PC nao calculado: PC "&amp;A2997&amp;" - "&amp;C2997,"OK")))))))))</f>
        <v/>
      </c>
      <c r="L2997" s="92" t="str">
        <f>IF(AND(A2997="",B2997="",D2997="",G2997=""),"",IF(OR(B2997="",NOT(ISNUMBER(B2997)),C2997="",C2997="Fora dos ciclos"),"",IF(C2997="C0","Nao",IF(IFERROR(INDEX(parametros!$A$2:$A$6,MATCH(C2997,parametros!$B$2:$B$6,0)),"")&lt;&gt;"Sim","Nao",IF(IFERROR(INDEX(parametros!$H$2:$H$6,MATCH(C2997,parametros!$B$2:$B$6,0)),"")="","",IF(B2997&gt;=IFERROR(INDEX(parametros!$H$2:$H$6,MATCH(C2997,parametros!$B$2:$B$6,0)),""),"Sim","Nao"))))))</f>
        <v/>
      </c>
      <c r="T2997" s="156"/>
      <c r="U2997" s="214" t="str">
        <f t="shared" si="236"/>
        <v/>
      </c>
      <c r="V2997" s="212" t="s">
        <v>50</v>
      </c>
      <c r="W2997" s="100" t="s">
        <v>168</v>
      </c>
      <c r="X2997" s="100" t="s">
        <v>169</v>
      </c>
      <c r="Y2997" s="101" t="s">
        <v>170</v>
      </c>
      <c r="Z2997" s="101" t="s">
        <v>171</v>
      </c>
      <c r="AA2997" s="101" t="s">
        <v>50</v>
      </c>
      <c r="AB2997" s="101" t="s">
        <v>172</v>
      </c>
      <c r="AC2997" s="102" t="s">
        <v>173</v>
      </c>
    </row>
    <row r="2998" spans="1:29" ht="25.5" customHeight="1" x14ac:dyDescent="0.35">
      <c r="A2998" s="392"/>
      <c r="B2998" s="393"/>
      <c r="C2998" s="99" t="str">
        <f>IF(B2998="","",IF(NOT(ISNUMBER(B2998)),"DATA_PC invalida",IF(NOT(ISNUMBER(parametros!$C$2)),"Fora dos ciclos",IF(OR(B2998&lt;parametros!$C$2,(YEAR(B2998)-YEAR(parametros!$C$2))*12+MONTH(B2998)-MONTH(parametros!$C$2)&gt;59),"Fora dos ciclos","C"&amp;INT(((YEAR(B2998)-YEAR(parametros!$C$2))*12+MONTH(B2998)-MONTH(parametros!$C$2))/12)))))</f>
        <v/>
      </c>
      <c r="D2998" s="394"/>
      <c r="E2998" s="78" t="str">
        <f>IF(C2998="","",IFERROR(VLOOKUP(C2998,parametros!$A$11:$E$15,5,0),""))</f>
        <v/>
      </c>
      <c r="F2998" s="79" t="str">
        <f t="shared" si="232"/>
        <v/>
      </c>
      <c r="G2998" s="395"/>
      <c r="H2998" s="91">
        <f t="shared" si="233"/>
        <v>0</v>
      </c>
      <c r="I2998" s="91" t="str">
        <f t="shared" si="234"/>
        <v/>
      </c>
      <c r="J2998" s="91" t="str">
        <f t="shared" si="235"/>
        <v/>
      </c>
      <c r="K2998" s="92" t="str">
        <f>IF(AND(A2998="",B2998="",D2998="",G2998=""),"",IF(AND(A2998&lt;&gt;"",COUNTIF($A$2:$A$5001,A2998)&gt;1),"NUMERO_PC duplicado",IF(B2998="","DATA_PC vazia",IF(NOT(ISNUMBER(B2998)),"DATA_PC invalida",IF(OR(C2998="",C2998="Fora dos ciclos"),"CICLO_PC nao identificado",IF(OR(D2998="",D2998=0),"VALOR_PC vazio ou zero",IF(AND(G2998&lt;&gt;"Sim",G2998&lt;&gt;"Nao",G2998&lt;&gt;""),"PC_PAGO_A_CONTRATADA invalido",IF(AND(C2998&lt;&gt;"C0",IFERROR(INDEX(parametros!$A$2:$A$6,MATCH(C2998,parametros!$B$2:$B$6,0)),"")="Sim",IFERROR(INDEX(parametros!$H$2:$H$6,MATCH(C2998,parametros!$B$2:$B$6,0)),"")=""),"INICIO_EFEITO ausente: PC "&amp;A2998&amp;" - "&amp;C2998,IF(L2998="","EFEITO_PC nao calculado: PC "&amp;A2998&amp;" - "&amp;C2998,"OK")))))))))</f>
        <v/>
      </c>
      <c r="L2998" s="92" t="str">
        <f>IF(AND(A2998="",B2998="",D2998="",G2998=""),"",IF(OR(B2998="",NOT(ISNUMBER(B2998)),C2998="",C2998="Fora dos ciclos"),"",IF(C2998="C0","Nao",IF(IFERROR(INDEX(parametros!$A$2:$A$6,MATCH(C2998,parametros!$B$2:$B$6,0)),"")&lt;&gt;"Sim","Nao",IF(IFERROR(INDEX(parametros!$H$2:$H$6,MATCH(C2998,parametros!$B$2:$B$6,0)),"")="","",IF(B2998&gt;=IFERROR(INDEX(parametros!$H$2:$H$6,MATCH(C2998,parametros!$B$2:$B$6,0)),""),"Sim","Nao"))))))</f>
        <v/>
      </c>
      <c r="T2998" s="156"/>
      <c r="U2998" s="214" t="str">
        <f t="shared" si="236"/>
        <v/>
      </c>
      <c r="V2998" s="212" t="s">
        <v>50</v>
      </c>
      <c r="W2998" s="100" t="s">
        <v>168</v>
      </c>
      <c r="X2998" s="100" t="s">
        <v>169</v>
      </c>
      <c r="Y2998" s="101" t="s">
        <v>170</v>
      </c>
      <c r="Z2998" s="101" t="s">
        <v>171</v>
      </c>
      <c r="AA2998" s="101" t="s">
        <v>50</v>
      </c>
      <c r="AB2998" s="101" t="s">
        <v>172</v>
      </c>
      <c r="AC2998" s="102" t="s">
        <v>173</v>
      </c>
    </row>
    <row r="2999" spans="1:29" ht="25.5" customHeight="1" x14ac:dyDescent="0.35">
      <c r="A2999" s="392"/>
      <c r="B2999" s="393"/>
      <c r="C2999" s="99" t="str">
        <f>IF(B2999="","",IF(NOT(ISNUMBER(B2999)),"DATA_PC invalida",IF(NOT(ISNUMBER(parametros!$C$2)),"Fora dos ciclos",IF(OR(B2999&lt;parametros!$C$2,(YEAR(B2999)-YEAR(parametros!$C$2))*12+MONTH(B2999)-MONTH(parametros!$C$2)&gt;59),"Fora dos ciclos","C"&amp;INT(((YEAR(B2999)-YEAR(parametros!$C$2))*12+MONTH(B2999)-MONTH(parametros!$C$2))/12)))))</f>
        <v/>
      </c>
      <c r="D2999" s="394"/>
      <c r="E2999" s="78" t="str">
        <f>IF(C2999="","",IFERROR(VLOOKUP(C2999,parametros!$A$11:$E$15,5,0),""))</f>
        <v/>
      </c>
      <c r="F2999" s="79" t="str">
        <f t="shared" si="232"/>
        <v/>
      </c>
      <c r="G2999" s="395"/>
      <c r="H2999" s="91">
        <f t="shared" si="233"/>
        <v>0</v>
      </c>
      <c r="I2999" s="91" t="str">
        <f t="shared" si="234"/>
        <v/>
      </c>
      <c r="J2999" s="91" t="str">
        <f t="shared" si="235"/>
        <v/>
      </c>
      <c r="K2999" s="92" t="str">
        <f>IF(AND(A2999="",B2999="",D2999="",G2999=""),"",IF(AND(A2999&lt;&gt;"",COUNTIF($A$2:$A$5001,A2999)&gt;1),"NUMERO_PC duplicado",IF(B2999="","DATA_PC vazia",IF(NOT(ISNUMBER(B2999)),"DATA_PC invalida",IF(OR(C2999="",C2999="Fora dos ciclos"),"CICLO_PC nao identificado",IF(OR(D2999="",D2999=0),"VALOR_PC vazio ou zero",IF(AND(G2999&lt;&gt;"Sim",G2999&lt;&gt;"Nao",G2999&lt;&gt;""),"PC_PAGO_A_CONTRATADA invalido",IF(AND(C2999&lt;&gt;"C0",IFERROR(INDEX(parametros!$A$2:$A$6,MATCH(C2999,parametros!$B$2:$B$6,0)),"")="Sim",IFERROR(INDEX(parametros!$H$2:$H$6,MATCH(C2999,parametros!$B$2:$B$6,0)),"")=""),"INICIO_EFEITO ausente: PC "&amp;A2999&amp;" - "&amp;C2999,IF(L2999="","EFEITO_PC nao calculado: PC "&amp;A2999&amp;" - "&amp;C2999,"OK")))))))))</f>
        <v/>
      </c>
      <c r="L2999" s="92" t="str">
        <f>IF(AND(A2999="",B2999="",D2999="",G2999=""),"",IF(OR(B2999="",NOT(ISNUMBER(B2999)),C2999="",C2999="Fora dos ciclos"),"",IF(C2999="C0","Nao",IF(IFERROR(INDEX(parametros!$A$2:$A$6,MATCH(C2999,parametros!$B$2:$B$6,0)),"")&lt;&gt;"Sim","Nao",IF(IFERROR(INDEX(parametros!$H$2:$H$6,MATCH(C2999,parametros!$B$2:$B$6,0)),"")="","",IF(B2999&gt;=IFERROR(INDEX(parametros!$H$2:$H$6,MATCH(C2999,parametros!$B$2:$B$6,0)),""),"Sim","Nao"))))))</f>
        <v/>
      </c>
      <c r="T2999" s="156"/>
      <c r="U2999" s="214" t="str">
        <f t="shared" si="236"/>
        <v/>
      </c>
      <c r="V2999" s="212" t="s">
        <v>50</v>
      </c>
      <c r="W2999" s="100" t="s">
        <v>168</v>
      </c>
      <c r="X2999" s="100" t="s">
        <v>169</v>
      </c>
      <c r="Y2999" s="101" t="s">
        <v>170</v>
      </c>
      <c r="Z2999" s="101" t="s">
        <v>171</v>
      </c>
      <c r="AA2999" s="101" t="s">
        <v>50</v>
      </c>
      <c r="AB2999" s="101" t="s">
        <v>172</v>
      </c>
      <c r="AC2999" s="102" t="s">
        <v>173</v>
      </c>
    </row>
    <row r="3000" spans="1:29" ht="25.5" customHeight="1" x14ac:dyDescent="0.35">
      <c r="A3000" s="392"/>
      <c r="B3000" s="393"/>
      <c r="C3000" s="99" t="str">
        <f>IF(B3000="","",IF(NOT(ISNUMBER(B3000)),"DATA_PC invalida",IF(NOT(ISNUMBER(parametros!$C$2)),"Fora dos ciclos",IF(OR(B3000&lt;parametros!$C$2,(YEAR(B3000)-YEAR(parametros!$C$2))*12+MONTH(B3000)-MONTH(parametros!$C$2)&gt;59),"Fora dos ciclos","C"&amp;INT(((YEAR(B3000)-YEAR(parametros!$C$2))*12+MONTH(B3000)-MONTH(parametros!$C$2))/12)))))</f>
        <v/>
      </c>
      <c r="D3000" s="394"/>
      <c r="E3000" s="78" t="str">
        <f>IF(C3000="","",IFERROR(VLOOKUP(C3000,parametros!$A$11:$E$15,5,0),""))</f>
        <v/>
      </c>
      <c r="F3000" s="79" t="str">
        <f t="shared" si="232"/>
        <v/>
      </c>
      <c r="G3000" s="395"/>
      <c r="H3000" s="91">
        <f t="shared" si="233"/>
        <v>0</v>
      </c>
      <c r="I3000" s="91" t="str">
        <f t="shared" si="234"/>
        <v/>
      </c>
      <c r="J3000" s="91" t="str">
        <f t="shared" si="235"/>
        <v/>
      </c>
      <c r="K3000" s="92" t="str">
        <f>IF(AND(A3000="",B3000="",D3000="",G3000=""),"",IF(AND(A3000&lt;&gt;"",COUNTIF($A$2:$A$5001,A3000)&gt;1),"NUMERO_PC duplicado",IF(B3000="","DATA_PC vazia",IF(NOT(ISNUMBER(B3000)),"DATA_PC invalida",IF(OR(C3000="",C3000="Fora dos ciclos"),"CICLO_PC nao identificado",IF(OR(D3000="",D3000=0),"VALOR_PC vazio ou zero",IF(AND(G3000&lt;&gt;"Sim",G3000&lt;&gt;"Nao",G3000&lt;&gt;""),"PC_PAGO_A_CONTRATADA invalido",IF(AND(C3000&lt;&gt;"C0",IFERROR(INDEX(parametros!$A$2:$A$6,MATCH(C3000,parametros!$B$2:$B$6,0)),"")="Sim",IFERROR(INDEX(parametros!$H$2:$H$6,MATCH(C3000,parametros!$B$2:$B$6,0)),"")=""),"INICIO_EFEITO ausente: PC "&amp;A3000&amp;" - "&amp;C3000,IF(L3000="","EFEITO_PC nao calculado: PC "&amp;A3000&amp;" - "&amp;C3000,"OK")))))))))</f>
        <v/>
      </c>
      <c r="L3000" s="92" t="str">
        <f>IF(AND(A3000="",B3000="",D3000="",G3000=""),"",IF(OR(B3000="",NOT(ISNUMBER(B3000)),C3000="",C3000="Fora dos ciclos"),"",IF(C3000="C0","Nao",IF(IFERROR(INDEX(parametros!$A$2:$A$6,MATCH(C3000,parametros!$B$2:$B$6,0)),"")&lt;&gt;"Sim","Nao",IF(IFERROR(INDEX(parametros!$H$2:$H$6,MATCH(C3000,parametros!$B$2:$B$6,0)),"")="","",IF(B3000&gt;=IFERROR(INDEX(parametros!$H$2:$H$6,MATCH(C3000,parametros!$B$2:$B$6,0)),""),"Sim","Nao"))))))</f>
        <v/>
      </c>
      <c r="T3000" s="156"/>
      <c r="U3000" s="214" t="str">
        <f t="shared" si="236"/>
        <v/>
      </c>
      <c r="V3000" s="212" t="s">
        <v>50</v>
      </c>
      <c r="W3000" s="100" t="s">
        <v>168</v>
      </c>
      <c r="X3000" s="100" t="s">
        <v>169</v>
      </c>
      <c r="Y3000" s="101" t="s">
        <v>170</v>
      </c>
      <c r="Z3000" s="101" t="s">
        <v>171</v>
      </c>
      <c r="AA3000" s="101" t="s">
        <v>50</v>
      </c>
      <c r="AB3000" s="101" t="s">
        <v>172</v>
      </c>
      <c r="AC3000" s="102" t="s">
        <v>173</v>
      </c>
    </row>
    <row r="3001" spans="1:29" ht="25.5" customHeight="1" x14ac:dyDescent="0.35">
      <c r="A3001" s="392"/>
      <c r="B3001" s="393"/>
      <c r="C3001" s="99" t="str">
        <f>IF(B3001="","",IF(NOT(ISNUMBER(B3001)),"DATA_PC invalida",IF(NOT(ISNUMBER(parametros!$C$2)),"Fora dos ciclos",IF(OR(B3001&lt;parametros!$C$2,(YEAR(B3001)-YEAR(parametros!$C$2))*12+MONTH(B3001)-MONTH(parametros!$C$2)&gt;59),"Fora dos ciclos","C"&amp;INT(((YEAR(B3001)-YEAR(parametros!$C$2))*12+MONTH(B3001)-MONTH(parametros!$C$2))/12)))))</f>
        <v/>
      </c>
      <c r="D3001" s="394"/>
      <c r="E3001" s="78" t="str">
        <f>IF(C3001="","",IFERROR(VLOOKUP(C3001,parametros!$A$11:$E$15,5,0),""))</f>
        <v/>
      </c>
      <c r="F3001" s="79" t="str">
        <f t="shared" si="232"/>
        <v/>
      </c>
      <c r="G3001" s="395"/>
      <c r="H3001" s="91">
        <f t="shared" si="233"/>
        <v>0</v>
      </c>
      <c r="I3001" s="91" t="str">
        <f t="shared" si="234"/>
        <v/>
      </c>
      <c r="J3001" s="91" t="str">
        <f t="shared" si="235"/>
        <v/>
      </c>
      <c r="K3001" s="92" t="str">
        <f>IF(AND(A3001="",B3001="",D3001="",G3001=""),"",IF(AND(A3001&lt;&gt;"",COUNTIF($A$2:$A$5001,A3001)&gt;1),"NUMERO_PC duplicado",IF(B3001="","DATA_PC vazia",IF(NOT(ISNUMBER(B3001)),"DATA_PC invalida",IF(OR(C3001="",C3001="Fora dos ciclos"),"CICLO_PC nao identificado",IF(OR(D3001="",D3001=0),"VALOR_PC vazio ou zero",IF(AND(G3001&lt;&gt;"Sim",G3001&lt;&gt;"Nao",G3001&lt;&gt;""),"PC_PAGO_A_CONTRATADA invalido",IF(AND(C3001&lt;&gt;"C0",IFERROR(INDEX(parametros!$A$2:$A$6,MATCH(C3001,parametros!$B$2:$B$6,0)),"")="Sim",IFERROR(INDEX(parametros!$H$2:$H$6,MATCH(C3001,parametros!$B$2:$B$6,0)),"")=""),"INICIO_EFEITO ausente: PC "&amp;A3001&amp;" - "&amp;C3001,IF(L3001="","EFEITO_PC nao calculado: PC "&amp;A3001&amp;" - "&amp;C3001,"OK")))))))))</f>
        <v/>
      </c>
      <c r="L3001" s="92" t="str">
        <f>IF(AND(A3001="",B3001="",D3001="",G3001=""),"",IF(OR(B3001="",NOT(ISNUMBER(B3001)),C3001="",C3001="Fora dos ciclos"),"",IF(C3001="C0","Nao",IF(IFERROR(INDEX(parametros!$A$2:$A$6,MATCH(C3001,parametros!$B$2:$B$6,0)),"")&lt;&gt;"Sim","Nao",IF(IFERROR(INDEX(parametros!$H$2:$H$6,MATCH(C3001,parametros!$B$2:$B$6,0)),"")="","",IF(B3001&gt;=IFERROR(INDEX(parametros!$H$2:$H$6,MATCH(C3001,parametros!$B$2:$B$6,0)),""),"Sim","Nao"))))))</f>
        <v/>
      </c>
      <c r="T3001" s="156"/>
      <c r="U3001" s="214" t="str">
        <f t="shared" si="236"/>
        <v/>
      </c>
      <c r="V3001" s="212" t="s">
        <v>50</v>
      </c>
      <c r="W3001" s="100" t="s">
        <v>168</v>
      </c>
      <c r="X3001" s="100" t="s">
        <v>169</v>
      </c>
      <c r="Y3001" s="101" t="s">
        <v>170</v>
      </c>
      <c r="Z3001" s="101" t="s">
        <v>171</v>
      </c>
      <c r="AA3001" s="101" t="s">
        <v>50</v>
      </c>
      <c r="AB3001" s="101" t="s">
        <v>172</v>
      </c>
      <c r="AC3001" s="102" t="s">
        <v>173</v>
      </c>
    </row>
    <row r="3002" spans="1:29" ht="25.5" customHeight="1" x14ac:dyDescent="0.35">
      <c r="A3002" s="392"/>
      <c r="B3002" s="393"/>
      <c r="C3002" s="99" t="str">
        <f>IF(B3002="","",IF(NOT(ISNUMBER(B3002)),"DATA_PC invalida",IF(NOT(ISNUMBER(parametros!$C$2)),"Fora dos ciclos",IF(OR(B3002&lt;parametros!$C$2,(YEAR(B3002)-YEAR(parametros!$C$2))*12+MONTH(B3002)-MONTH(parametros!$C$2)&gt;59),"Fora dos ciclos","C"&amp;INT(((YEAR(B3002)-YEAR(parametros!$C$2))*12+MONTH(B3002)-MONTH(parametros!$C$2))/12)))))</f>
        <v/>
      </c>
      <c r="D3002" s="394"/>
      <c r="E3002" s="78" t="str">
        <f>IF(C3002="","",IFERROR(VLOOKUP(C3002,parametros!$A$11:$E$15,5,0),""))</f>
        <v/>
      </c>
      <c r="F3002" s="79" t="str">
        <f t="shared" si="232"/>
        <v/>
      </c>
      <c r="G3002" s="395"/>
      <c r="H3002" s="91">
        <f t="shared" si="233"/>
        <v>0</v>
      </c>
      <c r="I3002" s="91" t="str">
        <f t="shared" si="234"/>
        <v/>
      </c>
      <c r="J3002" s="91" t="str">
        <f t="shared" si="235"/>
        <v/>
      </c>
      <c r="K3002" s="92" t="str">
        <f>IF(AND(A3002="",B3002="",D3002="",G3002=""),"",IF(AND(A3002&lt;&gt;"",COUNTIF($A$2:$A$5001,A3002)&gt;1),"NUMERO_PC duplicado",IF(B3002="","DATA_PC vazia",IF(NOT(ISNUMBER(B3002)),"DATA_PC invalida",IF(OR(C3002="",C3002="Fora dos ciclos"),"CICLO_PC nao identificado",IF(OR(D3002="",D3002=0),"VALOR_PC vazio ou zero",IF(AND(G3002&lt;&gt;"Sim",G3002&lt;&gt;"Nao",G3002&lt;&gt;""),"PC_PAGO_A_CONTRATADA invalido",IF(AND(C3002&lt;&gt;"C0",IFERROR(INDEX(parametros!$A$2:$A$6,MATCH(C3002,parametros!$B$2:$B$6,0)),"")="Sim",IFERROR(INDEX(parametros!$H$2:$H$6,MATCH(C3002,parametros!$B$2:$B$6,0)),"")=""),"INICIO_EFEITO ausente: PC "&amp;A3002&amp;" - "&amp;C3002,IF(L3002="","EFEITO_PC nao calculado: PC "&amp;A3002&amp;" - "&amp;C3002,"OK")))))))))</f>
        <v/>
      </c>
      <c r="L3002" s="92" t="str">
        <f>IF(AND(A3002="",B3002="",D3002="",G3002=""),"",IF(OR(B3002="",NOT(ISNUMBER(B3002)),C3002="",C3002="Fora dos ciclos"),"",IF(C3002="C0","Nao",IF(IFERROR(INDEX(parametros!$A$2:$A$6,MATCH(C3002,parametros!$B$2:$B$6,0)),"")&lt;&gt;"Sim","Nao",IF(IFERROR(INDEX(parametros!$H$2:$H$6,MATCH(C3002,parametros!$B$2:$B$6,0)),"")="","",IF(B3002&gt;=IFERROR(INDEX(parametros!$H$2:$H$6,MATCH(C3002,parametros!$B$2:$B$6,0)),""),"Sim","Nao"))))))</f>
        <v/>
      </c>
      <c r="T3002" s="156"/>
      <c r="U3002" s="214" t="str">
        <f t="shared" si="236"/>
        <v/>
      </c>
      <c r="V3002" s="212" t="s">
        <v>50</v>
      </c>
      <c r="W3002" s="100" t="s">
        <v>168</v>
      </c>
      <c r="X3002" s="100" t="s">
        <v>169</v>
      </c>
      <c r="Y3002" s="101" t="s">
        <v>170</v>
      </c>
      <c r="Z3002" s="101" t="s">
        <v>171</v>
      </c>
      <c r="AA3002" s="101" t="s">
        <v>50</v>
      </c>
      <c r="AB3002" s="101" t="s">
        <v>172</v>
      </c>
      <c r="AC3002" s="102" t="s">
        <v>173</v>
      </c>
    </row>
    <row r="3003" spans="1:29" ht="25.5" customHeight="1" x14ac:dyDescent="0.35">
      <c r="A3003" s="392"/>
      <c r="B3003" s="393"/>
      <c r="C3003" s="99" t="str">
        <f>IF(B3003="","",IF(NOT(ISNUMBER(B3003)),"DATA_PC invalida",IF(NOT(ISNUMBER(parametros!$C$2)),"Fora dos ciclos",IF(OR(B3003&lt;parametros!$C$2,(YEAR(B3003)-YEAR(parametros!$C$2))*12+MONTH(B3003)-MONTH(parametros!$C$2)&gt;59),"Fora dos ciclos","C"&amp;INT(((YEAR(B3003)-YEAR(parametros!$C$2))*12+MONTH(B3003)-MONTH(parametros!$C$2))/12)))))</f>
        <v/>
      </c>
      <c r="D3003" s="394"/>
      <c r="E3003" s="78" t="str">
        <f>IF(C3003="","",IFERROR(VLOOKUP(C3003,parametros!$A$11:$E$15,5,0),""))</f>
        <v/>
      </c>
      <c r="F3003" s="79" t="str">
        <f t="shared" si="232"/>
        <v/>
      </c>
      <c r="G3003" s="395"/>
      <c r="H3003" s="91">
        <f t="shared" si="233"/>
        <v>0</v>
      </c>
      <c r="I3003" s="91" t="str">
        <f t="shared" si="234"/>
        <v/>
      </c>
      <c r="J3003" s="91" t="str">
        <f t="shared" si="235"/>
        <v/>
      </c>
      <c r="K3003" s="92" t="str">
        <f>IF(AND(A3003="",B3003="",D3003="",G3003=""),"",IF(AND(A3003&lt;&gt;"",COUNTIF($A$2:$A$5001,A3003)&gt;1),"NUMERO_PC duplicado",IF(B3003="","DATA_PC vazia",IF(NOT(ISNUMBER(B3003)),"DATA_PC invalida",IF(OR(C3003="",C3003="Fora dos ciclos"),"CICLO_PC nao identificado",IF(OR(D3003="",D3003=0),"VALOR_PC vazio ou zero",IF(AND(G3003&lt;&gt;"Sim",G3003&lt;&gt;"Nao",G3003&lt;&gt;""),"PC_PAGO_A_CONTRATADA invalido",IF(AND(C3003&lt;&gt;"C0",IFERROR(INDEX(parametros!$A$2:$A$6,MATCH(C3003,parametros!$B$2:$B$6,0)),"")="Sim",IFERROR(INDEX(parametros!$H$2:$H$6,MATCH(C3003,parametros!$B$2:$B$6,0)),"")=""),"INICIO_EFEITO ausente: PC "&amp;A3003&amp;" - "&amp;C3003,IF(L3003="","EFEITO_PC nao calculado: PC "&amp;A3003&amp;" - "&amp;C3003,"OK")))))))))</f>
        <v/>
      </c>
      <c r="L3003" s="92" t="str">
        <f>IF(AND(A3003="",B3003="",D3003="",G3003=""),"",IF(OR(B3003="",NOT(ISNUMBER(B3003)),C3003="",C3003="Fora dos ciclos"),"",IF(C3003="C0","Nao",IF(IFERROR(INDEX(parametros!$A$2:$A$6,MATCH(C3003,parametros!$B$2:$B$6,0)),"")&lt;&gt;"Sim","Nao",IF(IFERROR(INDEX(parametros!$H$2:$H$6,MATCH(C3003,parametros!$B$2:$B$6,0)),"")="","",IF(B3003&gt;=IFERROR(INDEX(parametros!$H$2:$H$6,MATCH(C3003,parametros!$B$2:$B$6,0)),""),"Sim","Nao"))))))</f>
        <v/>
      </c>
      <c r="T3003" s="156"/>
      <c r="U3003" s="214" t="str">
        <f t="shared" si="236"/>
        <v/>
      </c>
      <c r="V3003" s="212" t="s">
        <v>50</v>
      </c>
      <c r="W3003" s="100" t="s">
        <v>168</v>
      </c>
      <c r="X3003" s="100" t="s">
        <v>169</v>
      </c>
      <c r="Y3003" s="101" t="s">
        <v>170</v>
      </c>
      <c r="Z3003" s="101" t="s">
        <v>171</v>
      </c>
      <c r="AA3003" s="101" t="s">
        <v>50</v>
      </c>
      <c r="AB3003" s="101" t="s">
        <v>172</v>
      </c>
      <c r="AC3003" s="102" t="s">
        <v>173</v>
      </c>
    </row>
    <row r="3004" spans="1:29" ht="25.5" customHeight="1" x14ac:dyDescent="0.35">
      <c r="A3004" s="392"/>
      <c r="B3004" s="393"/>
      <c r="C3004" s="99" t="str">
        <f>IF(B3004="","",IF(NOT(ISNUMBER(B3004)),"DATA_PC invalida",IF(NOT(ISNUMBER(parametros!$C$2)),"Fora dos ciclos",IF(OR(B3004&lt;parametros!$C$2,(YEAR(B3004)-YEAR(parametros!$C$2))*12+MONTH(B3004)-MONTH(parametros!$C$2)&gt;59),"Fora dos ciclos","C"&amp;INT(((YEAR(B3004)-YEAR(parametros!$C$2))*12+MONTH(B3004)-MONTH(parametros!$C$2))/12)))))</f>
        <v/>
      </c>
      <c r="D3004" s="394"/>
      <c r="E3004" s="78" t="str">
        <f>IF(C3004="","",IFERROR(VLOOKUP(C3004,parametros!$A$11:$E$15,5,0),""))</f>
        <v/>
      </c>
      <c r="F3004" s="79" t="str">
        <f t="shared" si="232"/>
        <v/>
      </c>
      <c r="G3004" s="395"/>
      <c r="H3004" s="91">
        <f t="shared" si="233"/>
        <v>0</v>
      </c>
      <c r="I3004" s="91" t="str">
        <f t="shared" si="234"/>
        <v/>
      </c>
      <c r="J3004" s="91" t="str">
        <f t="shared" si="235"/>
        <v/>
      </c>
      <c r="K3004" s="92" t="str">
        <f>IF(AND(A3004="",B3004="",D3004="",G3004=""),"",IF(AND(A3004&lt;&gt;"",COUNTIF($A$2:$A$5001,A3004)&gt;1),"NUMERO_PC duplicado",IF(B3004="","DATA_PC vazia",IF(NOT(ISNUMBER(B3004)),"DATA_PC invalida",IF(OR(C3004="",C3004="Fora dos ciclos"),"CICLO_PC nao identificado",IF(OR(D3004="",D3004=0),"VALOR_PC vazio ou zero",IF(AND(G3004&lt;&gt;"Sim",G3004&lt;&gt;"Nao",G3004&lt;&gt;""),"PC_PAGO_A_CONTRATADA invalido",IF(AND(C3004&lt;&gt;"C0",IFERROR(INDEX(parametros!$A$2:$A$6,MATCH(C3004,parametros!$B$2:$B$6,0)),"")="Sim",IFERROR(INDEX(parametros!$H$2:$H$6,MATCH(C3004,parametros!$B$2:$B$6,0)),"")=""),"INICIO_EFEITO ausente: PC "&amp;A3004&amp;" - "&amp;C3004,IF(L3004="","EFEITO_PC nao calculado: PC "&amp;A3004&amp;" - "&amp;C3004,"OK")))))))))</f>
        <v/>
      </c>
      <c r="L3004" s="92" t="str">
        <f>IF(AND(A3004="",B3004="",D3004="",G3004=""),"",IF(OR(B3004="",NOT(ISNUMBER(B3004)),C3004="",C3004="Fora dos ciclos"),"",IF(C3004="C0","Nao",IF(IFERROR(INDEX(parametros!$A$2:$A$6,MATCH(C3004,parametros!$B$2:$B$6,0)),"")&lt;&gt;"Sim","Nao",IF(IFERROR(INDEX(parametros!$H$2:$H$6,MATCH(C3004,parametros!$B$2:$B$6,0)),"")="","",IF(B3004&gt;=IFERROR(INDEX(parametros!$H$2:$H$6,MATCH(C3004,parametros!$B$2:$B$6,0)),""),"Sim","Nao"))))))</f>
        <v/>
      </c>
      <c r="T3004" s="156"/>
      <c r="U3004" s="214" t="str">
        <f t="shared" si="236"/>
        <v/>
      </c>
      <c r="V3004" s="212" t="s">
        <v>50</v>
      </c>
      <c r="W3004" s="100" t="s">
        <v>168</v>
      </c>
      <c r="X3004" s="100" t="s">
        <v>169</v>
      </c>
      <c r="Y3004" s="101" t="s">
        <v>170</v>
      </c>
      <c r="Z3004" s="101" t="s">
        <v>171</v>
      </c>
      <c r="AA3004" s="101" t="s">
        <v>50</v>
      </c>
      <c r="AB3004" s="101" t="s">
        <v>172</v>
      </c>
      <c r="AC3004" s="102" t="s">
        <v>173</v>
      </c>
    </row>
    <row r="3005" spans="1:29" ht="25.5" customHeight="1" x14ac:dyDescent="0.35">
      <c r="A3005" s="392"/>
      <c r="B3005" s="393"/>
      <c r="C3005" s="99" t="str">
        <f>IF(B3005="","",IF(NOT(ISNUMBER(B3005)),"DATA_PC invalida",IF(NOT(ISNUMBER(parametros!$C$2)),"Fora dos ciclos",IF(OR(B3005&lt;parametros!$C$2,(YEAR(B3005)-YEAR(parametros!$C$2))*12+MONTH(B3005)-MONTH(parametros!$C$2)&gt;59),"Fora dos ciclos","C"&amp;INT(((YEAR(B3005)-YEAR(parametros!$C$2))*12+MONTH(B3005)-MONTH(parametros!$C$2))/12)))))</f>
        <v/>
      </c>
      <c r="D3005" s="394"/>
      <c r="E3005" s="78" t="str">
        <f>IF(C3005="","",IFERROR(VLOOKUP(C3005,parametros!$A$11:$E$15,5,0),""))</f>
        <v/>
      </c>
      <c r="F3005" s="79" t="str">
        <f t="shared" si="232"/>
        <v/>
      </c>
      <c r="G3005" s="395"/>
      <c r="H3005" s="91">
        <f t="shared" si="233"/>
        <v>0</v>
      </c>
      <c r="I3005" s="91" t="str">
        <f t="shared" si="234"/>
        <v/>
      </c>
      <c r="J3005" s="91" t="str">
        <f t="shared" si="235"/>
        <v/>
      </c>
      <c r="K3005" s="92" t="str">
        <f>IF(AND(A3005="",B3005="",D3005="",G3005=""),"",IF(AND(A3005&lt;&gt;"",COUNTIF($A$2:$A$5001,A3005)&gt;1),"NUMERO_PC duplicado",IF(B3005="","DATA_PC vazia",IF(NOT(ISNUMBER(B3005)),"DATA_PC invalida",IF(OR(C3005="",C3005="Fora dos ciclos"),"CICLO_PC nao identificado",IF(OR(D3005="",D3005=0),"VALOR_PC vazio ou zero",IF(AND(G3005&lt;&gt;"Sim",G3005&lt;&gt;"Nao",G3005&lt;&gt;""),"PC_PAGO_A_CONTRATADA invalido",IF(AND(C3005&lt;&gt;"C0",IFERROR(INDEX(parametros!$A$2:$A$6,MATCH(C3005,parametros!$B$2:$B$6,0)),"")="Sim",IFERROR(INDEX(parametros!$H$2:$H$6,MATCH(C3005,parametros!$B$2:$B$6,0)),"")=""),"INICIO_EFEITO ausente: PC "&amp;A3005&amp;" - "&amp;C3005,IF(L3005="","EFEITO_PC nao calculado: PC "&amp;A3005&amp;" - "&amp;C3005,"OK")))))))))</f>
        <v/>
      </c>
      <c r="L3005" s="92" t="str">
        <f>IF(AND(A3005="",B3005="",D3005="",G3005=""),"",IF(OR(B3005="",NOT(ISNUMBER(B3005)),C3005="",C3005="Fora dos ciclos"),"",IF(C3005="C0","Nao",IF(IFERROR(INDEX(parametros!$A$2:$A$6,MATCH(C3005,parametros!$B$2:$B$6,0)),"")&lt;&gt;"Sim","Nao",IF(IFERROR(INDEX(parametros!$H$2:$H$6,MATCH(C3005,parametros!$B$2:$B$6,0)),"")="","",IF(B3005&gt;=IFERROR(INDEX(parametros!$H$2:$H$6,MATCH(C3005,parametros!$B$2:$B$6,0)),""),"Sim","Nao"))))))</f>
        <v/>
      </c>
      <c r="T3005" s="156"/>
      <c r="U3005" s="214" t="str">
        <f t="shared" si="236"/>
        <v/>
      </c>
      <c r="V3005" s="212" t="s">
        <v>50</v>
      </c>
      <c r="W3005" s="100" t="s">
        <v>168</v>
      </c>
      <c r="X3005" s="100" t="s">
        <v>169</v>
      </c>
      <c r="Y3005" s="101" t="s">
        <v>170</v>
      </c>
      <c r="Z3005" s="101" t="s">
        <v>171</v>
      </c>
      <c r="AA3005" s="101" t="s">
        <v>50</v>
      </c>
      <c r="AB3005" s="101" t="s">
        <v>172</v>
      </c>
      <c r="AC3005" s="102" t="s">
        <v>173</v>
      </c>
    </row>
    <row r="3006" spans="1:29" ht="25.5" customHeight="1" x14ac:dyDescent="0.35">
      <c r="A3006" s="392"/>
      <c r="B3006" s="393"/>
      <c r="C3006" s="99" t="str">
        <f>IF(B3006="","",IF(NOT(ISNUMBER(B3006)),"DATA_PC invalida",IF(NOT(ISNUMBER(parametros!$C$2)),"Fora dos ciclos",IF(OR(B3006&lt;parametros!$C$2,(YEAR(B3006)-YEAR(parametros!$C$2))*12+MONTH(B3006)-MONTH(parametros!$C$2)&gt;59),"Fora dos ciclos","C"&amp;INT(((YEAR(B3006)-YEAR(parametros!$C$2))*12+MONTH(B3006)-MONTH(parametros!$C$2))/12)))))</f>
        <v/>
      </c>
      <c r="D3006" s="394"/>
      <c r="E3006" s="78" t="str">
        <f>IF(C3006="","",IFERROR(VLOOKUP(C3006,parametros!$A$11:$E$15,5,0),""))</f>
        <v/>
      </c>
      <c r="F3006" s="79" t="str">
        <f t="shared" si="232"/>
        <v/>
      </c>
      <c r="G3006" s="395"/>
      <c r="H3006" s="91">
        <f t="shared" si="233"/>
        <v>0</v>
      </c>
      <c r="I3006" s="91" t="str">
        <f t="shared" si="234"/>
        <v/>
      </c>
      <c r="J3006" s="91" t="str">
        <f t="shared" si="235"/>
        <v/>
      </c>
      <c r="K3006" s="92" t="str">
        <f>IF(AND(A3006="",B3006="",D3006="",G3006=""),"",IF(AND(A3006&lt;&gt;"",COUNTIF($A$2:$A$5001,A3006)&gt;1),"NUMERO_PC duplicado",IF(B3006="","DATA_PC vazia",IF(NOT(ISNUMBER(B3006)),"DATA_PC invalida",IF(OR(C3006="",C3006="Fora dos ciclos"),"CICLO_PC nao identificado",IF(OR(D3006="",D3006=0),"VALOR_PC vazio ou zero",IF(AND(G3006&lt;&gt;"Sim",G3006&lt;&gt;"Nao",G3006&lt;&gt;""),"PC_PAGO_A_CONTRATADA invalido",IF(AND(C3006&lt;&gt;"C0",IFERROR(INDEX(parametros!$A$2:$A$6,MATCH(C3006,parametros!$B$2:$B$6,0)),"")="Sim",IFERROR(INDEX(parametros!$H$2:$H$6,MATCH(C3006,parametros!$B$2:$B$6,0)),"")=""),"INICIO_EFEITO ausente: PC "&amp;A3006&amp;" - "&amp;C3006,IF(L3006="","EFEITO_PC nao calculado: PC "&amp;A3006&amp;" - "&amp;C3006,"OK")))))))))</f>
        <v/>
      </c>
      <c r="L3006" s="92" t="str">
        <f>IF(AND(A3006="",B3006="",D3006="",G3006=""),"",IF(OR(B3006="",NOT(ISNUMBER(B3006)),C3006="",C3006="Fora dos ciclos"),"",IF(C3006="C0","Nao",IF(IFERROR(INDEX(parametros!$A$2:$A$6,MATCH(C3006,parametros!$B$2:$B$6,0)),"")&lt;&gt;"Sim","Nao",IF(IFERROR(INDEX(parametros!$H$2:$H$6,MATCH(C3006,parametros!$B$2:$B$6,0)),"")="","",IF(B3006&gt;=IFERROR(INDEX(parametros!$H$2:$H$6,MATCH(C3006,parametros!$B$2:$B$6,0)),""),"Sim","Nao"))))))</f>
        <v/>
      </c>
      <c r="T3006" s="156"/>
      <c r="U3006" s="214" t="str">
        <f t="shared" si="236"/>
        <v/>
      </c>
      <c r="V3006" s="212" t="s">
        <v>50</v>
      </c>
      <c r="W3006" s="100" t="s">
        <v>168</v>
      </c>
      <c r="X3006" s="100" t="s">
        <v>169</v>
      </c>
      <c r="Y3006" s="101" t="s">
        <v>170</v>
      </c>
      <c r="Z3006" s="101" t="s">
        <v>171</v>
      </c>
      <c r="AA3006" s="101" t="s">
        <v>50</v>
      </c>
      <c r="AB3006" s="101" t="s">
        <v>172</v>
      </c>
      <c r="AC3006" s="102" t="s">
        <v>173</v>
      </c>
    </row>
    <row r="3007" spans="1:29" ht="25.5" customHeight="1" x14ac:dyDescent="0.35">
      <c r="A3007" s="392"/>
      <c r="B3007" s="393"/>
      <c r="C3007" s="99" t="str">
        <f>IF(B3007="","",IF(NOT(ISNUMBER(B3007)),"DATA_PC invalida",IF(NOT(ISNUMBER(parametros!$C$2)),"Fora dos ciclos",IF(OR(B3007&lt;parametros!$C$2,(YEAR(B3007)-YEAR(parametros!$C$2))*12+MONTH(B3007)-MONTH(parametros!$C$2)&gt;59),"Fora dos ciclos","C"&amp;INT(((YEAR(B3007)-YEAR(parametros!$C$2))*12+MONTH(B3007)-MONTH(parametros!$C$2))/12)))))</f>
        <v/>
      </c>
      <c r="D3007" s="394"/>
      <c r="E3007" s="78" t="str">
        <f>IF(C3007="","",IFERROR(VLOOKUP(C3007,parametros!$A$11:$E$15,5,0),""))</f>
        <v/>
      </c>
      <c r="F3007" s="79" t="str">
        <f t="shared" si="232"/>
        <v/>
      </c>
      <c r="G3007" s="395"/>
      <c r="H3007" s="91">
        <f t="shared" si="233"/>
        <v>0</v>
      </c>
      <c r="I3007" s="91" t="str">
        <f t="shared" si="234"/>
        <v/>
      </c>
      <c r="J3007" s="91" t="str">
        <f t="shared" si="235"/>
        <v/>
      </c>
      <c r="K3007" s="92" t="str">
        <f>IF(AND(A3007="",B3007="",D3007="",G3007=""),"",IF(AND(A3007&lt;&gt;"",COUNTIF($A$2:$A$5001,A3007)&gt;1),"NUMERO_PC duplicado",IF(B3007="","DATA_PC vazia",IF(NOT(ISNUMBER(B3007)),"DATA_PC invalida",IF(OR(C3007="",C3007="Fora dos ciclos"),"CICLO_PC nao identificado",IF(OR(D3007="",D3007=0),"VALOR_PC vazio ou zero",IF(AND(G3007&lt;&gt;"Sim",G3007&lt;&gt;"Nao",G3007&lt;&gt;""),"PC_PAGO_A_CONTRATADA invalido",IF(AND(C3007&lt;&gt;"C0",IFERROR(INDEX(parametros!$A$2:$A$6,MATCH(C3007,parametros!$B$2:$B$6,0)),"")="Sim",IFERROR(INDEX(parametros!$H$2:$H$6,MATCH(C3007,parametros!$B$2:$B$6,0)),"")=""),"INICIO_EFEITO ausente: PC "&amp;A3007&amp;" - "&amp;C3007,IF(L3007="","EFEITO_PC nao calculado: PC "&amp;A3007&amp;" - "&amp;C3007,"OK")))))))))</f>
        <v/>
      </c>
      <c r="L3007" s="92" t="str">
        <f>IF(AND(A3007="",B3007="",D3007="",G3007=""),"",IF(OR(B3007="",NOT(ISNUMBER(B3007)),C3007="",C3007="Fora dos ciclos"),"",IF(C3007="C0","Nao",IF(IFERROR(INDEX(parametros!$A$2:$A$6,MATCH(C3007,parametros!$B$2:$B$6,0)),"")&lt;&gt;"Sim","Nao",IF(IFERROR(INDEX(parametros!$H$2:$H$6,MATCH(C3007,parametros!$B$2:$B$6,0)),"")="","",IF(B3007&gt;=IFERROR(INDEX(parametros!$H$2:$H$6,MATCH(C3007,parametros!$B$2:$B$6,0)),""),"Sim","Nao"))))))</f>
        <v/>
      </c>
      <c r="T3007" s="156"/>
      <c r="U3007" s="214" t="str">
        <f t="shared" si="236"/>
        <v/>
      </c>
      <c r="V3007" s="212" t="s">
        <v>50</v>
      </c>
      <c r="W3007" s="100" t="s">
        <v>168</v>
      </c>
      <c r="X3007" s="100" t="s">
        <v>169</v>
      </c>
      <c r="Y3007" s="101" t="s">
        <v>170</v>
      </c>
      <c r="Z3007" s="101" t="s">
        <v>171</v>
      </c>
      <c r="AA3007" s="101" t="s">
        <v>50</v>
      </c>
      <c r="AB3007" s="101" t="s">
        <v>172</v>
      </c>
      <c r="AC3007" s="102" t="s">
        <v>173</v>
      </c>
    </row>
    <row r="3008" spans="1:29" ht="25.5" customHeight="1" x14ac:dyDescent="0.35">
      <c r="A3008" s="392"/>
      <c r="B3008" s="393"/>
      <c r="C3008" s="99" t="str">
        <f>IF(B3008="","",IF(NOT(ISNUMBER(B3008)),"DATA_PC invalida",IF(NOT(ISNUMBER(parametros!$C$2)),"Fora dos ciclos",IF(OR(B3008&lt;parametros!$C$2,(YEAR(B3008)-YEAR(parametros!$C$2))*12+MONTH(B3008)-MONTH(parametros!$C$2)&gt;59),"Fora dos ciclos","C"&amp;INT(((YEAR(B3008)-YEAR(parametros!$C$2))*12+MONTH(B3008)-MONTH(parametros!$C$2))/12)))))</f>
        <v/>
      </c>
      <c r="D3008" s="394"/>
      <c r="E3008" s="78" t="str">
        <f>IF(C3008="","",IFERROR(VLOOKUP(C3008,parametros!$A$11:$E$15,5,0),""))</f>
        <v/>
      </c>
      <c r="F3008" s="79" t="str">
        <f t="shared" si="232"/>
        <v/>
      </c>
      <c r="G3008" s="395"/>
      <c r="H3008" s="91">
        <f t="shared" si="233"/>
        <v>0</v>
      </c>
      <c r="I3008" s="91" t="str">
        <f t="shared" si="234"/>
        <v/>
      </c>
      <c r="J3008" s="91" t="str">
        <f t="shared" si="235"/>
        <v/>
      </c>
      <c r="K3008" s="92" t="str">
        <f>IF(AND(A3008="",B3008="",D3008="",G3008=""),"",IF(AND(A3008&lt;&gt;"",COUNTIF($A$2:$A$5001,A3008)&gt;1),"NUMERO_PC duplicado",IF(B3008="","DATA_PC vazia",IF(NOT(ISNUMBER(B3008)),"DATA_PC invalida",IF(OR(C3008="",C3008="Fora dos ciclos"),"CICLO_PC nao identificado",IF(OR(D3008="",D3008=0),"VALOR_PC vazio ou zero",IF(AND(G3008&lt;&gt;"Sim",G3008&lt;&gt;"Nao",G3008&lt;&gt;""),"PC_PAGO_A_CONTRATADA invalido",IF(AND(C3008&lt;&gt;"C0",IFERROR(INDEX(parametros!$A$2:$A$6,MATCH(C3008,parametros!$B$2:$B$6,0)),"")="Sim",IFERROR(INDEX(parametros!$H$2:$H$6,MATCH(C3008,parametros!$B$2:$B$6,0)),"")=""),"INICIO_EFEITO ausente: PC "&amp;A3008&amp;" - "&amp;C3008,IF(L3008="","EFEITO_PC nao calculado: PC "&amp;A3008&amp;" - "&amp;C3008,"OK")))))))))</f>
        <v/>
      </c>
      <c r="L3008" s="92" t="str">
        <f>IF(AND(A3008="",B3008="",D3008="",G3008=""),"",IF(OR(B3008="",NOT(ISNUMBER(B3008)),C3008="",C3008="Fora dos ciclos"),"",IF(C3008="C0","Nao",IF(IFERROR(INDEX(parametros!$A$2:$A$6,MATCH(C3008,parametros!$B$2:$B$6,0)),"")&lt;&gt;"Sim","Nao",IF(IFERROR(INDEX(parametros!$H$2:$H$6,MATCH(C3008,parametros!$B$2:$B$6,0)),"")="","",IF(B3008&gt;=IFERROR(INDEX(parametros!$H$2:$H$6,MATCH(C3008,parametros!$B$2:$B$6,0)),""),"Sim","Nao"))))))</f>
        <v/>
      </c>
      <c r="T3008" s="156"/>
      <c r="U3008" s="214" t="str">
        <f t="shared" si="236"/>
        <v/>
      </c>
      <c r="V3008" s="212" t="s">
        <v>50</v>
      </c>
      <c r="W3008" s="100" t="s">
        <v>168</v>
      </c>
      <c r="X3008" s="100" t="s">
        <v>169</v>
      </c>
      <c r="Y3008" s="101" t="s">
        <v>170</v>
      </c>
      <c r="Z3008" s="101" t="s">
        <v>171</v>
      </c>
      <c r="AA3008" s="101" t="s">
        <v>50</v>
      </c>
      <c r="AB3008" s="101" t="s">
        <v>172</v>
      </c>
      <c r="AC3008" s="102" t="s">
        <v>173</v>
      </c>
    </row>
    <row r="3009" spans="1:29" ht="25.5" customHeight="1" x14ac:dyDescent="0.35">
      <c r="A3009" s="392"/>
      <c r="B3009" s="393"/>
      <c r="C3009" s="99" t="str">
        <f>IF(B3009="","",IF(NOT(ISNUMBER(B3009)),"DATA_PC invalida",IF(NOT(ISNUMBER(parametros!$C$2)),"Fora dos ciclos",IF(OR(B3009&lt;parametros!$C$2,(YEAR(B3009)-YEAR(parametros!$C$2))*12+MONTH(B3009)-MONTH(parametros!$C$2)&gt;59),"Fora dos ciclos","C"&amp;INT(((YEAR(B3009)-YEAR(parametros!$C$2))*12+MONTH(B3009)-MONTH(parametros!$C$2))/12)))))</f>
        <v/>
      </c>
      <c r="D3009" s="394"/>
      <c r="E3009" s="78" t="str">
        <f>IF(C3009="","",IFERROR(VLOOKUP(C3009,parametros!$A$11:$E$15,5,0),""))</f>
        <v/>
      </c>
      <c r="F3009" s="79" t="str">
        <f t="shared" si="232"/>
        <v/>
      </c>
      <c r="G3009" s="395"/>
      <c r="H3009" s="91">
        <f t="shared" si="233"/>
        <v>0</v>
      </c>
      <c r="I3009" s="91" t="str">
        <f t="shared" si="234"/>
        <v/>
      </c>
      <c r="J3009" s="91" t="str">
        <f t="shared" si="235"/>
        <v/>
      </c>
      <c r="K3009" s="92" t="str">
        <f>IF(AND(A3009="",B3009="",D3009="",G3009=""),"",IF(AND(A3009&lt;&gt;"",COUNTIF($A$2:$A$5001,A3009)&gt;1),"NUMERO_PC duplicado",IF(B3009="","DATA_PC vazia",IF(NOT(ISNUMBER(B3009)),"DATA_PC invalida",IF(OR(C3009="",C3009="Fora dos ciclos"),"CICLO_PC nao identificado",IF(OR(D3009="",D3009=0),"VALOR_PC vazio ou zero",IF(AND(G3009&lt;&gt;"Sim",G3009&lt;&gt;"Nao",G3009&lt;&gt;""),"PC_PAGO_A_CONTRATADA invalido",IF(AND(C3009&lt;&gt;"C0",IFERROR(INDEX(parametros!$A$2:$A$6,MATCH(C3009,parametros!$B$2:$B$6,0)),"")="Sim",IFERROR(INDEX(parametros!$H$2:$H$6,MATCH(C3009,parametros!$B$2:$B$6,0)),"")=""),"INICIO_EFEITO ausente: PC "&amp;A3009&amp;" - "&amp;C3009,IF(L3009="","EFEITO_PC nao calculado: PC "&amp;A3009&amp;" - "&amp;C3009,"OK")))))))))</f>
        <v/>
      </c>
      <c r="L3009" s="92" t="str">
        <f>IF(AND(A3009="",B3009="",D3009="",G3009=""),"",IF(OR(B3009="",NOT(ISNUMBER(B3009)),C3009="",C3009="Fora dos ciclos"),"",IF(C3009="C0","Nao",IF(IFERROR(INDEX(parametros!$A$2:$A$6,MATCH(C3009,parametros!$B$2:$B$6,0)),"")&lt;&gt;"Sim","Nao",IF(IFERROR(INDEX(parametros!$H$2:$H$6,MATCH(C3009,parametros!$B$2:$B$6,0)),"")="","",IF(B3009&gt;=IFERROR(INDEX(parametros!$H$2:$H$6,MATCH(C3009,parametros!$B$2:$B$6,0)),""),"Sim","Nao"))))))</f>
        <v/>
      </c>
      <c r="T3009" s="156"/>
      <c r="U3009" s="214" t="str">
        <f t="shared" si="236"/>
        <v/>
      </c>
      <c r="V3009" s="212" t="s">
        <v>50</v>
      </c>
      <c r="W3009" s="100" t="s">
        <v>168</v>
      </c>
      <c r="X3009" s="100" t="s">
        <v>169</v>
      </c>
      <c r="Y3009" s="101" t="s">
        <v>170</v>
      </c>
      <c r="Z3009" s="101" t="s">
        <v>171</v>
      </c>
      <c r="AA3009" s="101" t="s">
        <v>50</v>
      </c>
      <c r="AB3009" s="101" t="s">
        <v>172</v>
      </c>
      <c r="AC3009" s="102" t="s">
        <v>173</v>
      </c>
    </row>
    <row r="3010" spans="1:29" ht="25.5" customHeight="1" x14ac:dyDescent="0.35">
      <c r="A3010" s="392"/>
      <c r="B3010" s="393"/>
      <c r="C3010" s="99" t="str">
        <f>IF(B3010="","",IF(NOT(ISNUMBER(B3010)),"DATA_PC invalida",IF(NOT(ISNUMBER(parametros!$C$2)),"Fora dos ciclos",IF(OR(B3010&lt;parametros!$C$2,(YEAR(B3010)-YEAR(parametros!$C$2))*12+MONTH(B3010)-MONTH(parametros!$C$2)&gt;59),"Fora dos ciclos","C"&amp;INT(((YEAR(B3010)-YEAR(parametros!$C$2))*12+MONTH(B3010)-MONTH(parametros!$C$2))/12)))))</f>
        <v/>
      </c>
      <c r="D3010" s="394"/>
      <c r="E3010" s="78" t="str">
        <f>IF(C3010="","",IFERROR(VLOOKUP(C3010,parametros!$A$11:$E$15,5,0),""))</f>
        <v/>
      </c>
      <c r="F3010" s="79" t="str">
        <f t="shared" ref="F3010:F3073" si="237">IF(OR(D3010="",E3010=""),"",ROUND(D3010*E3010,2))</f>
        <v/>
      </c>
      <c r="G3010" s="395"/>
      <c r="H3010" s="91">
        <f t="shared" ref="H3010:H3073" si="238">IF(G3010="Sim",IF(OR(F3010="",D3010="",L3010=""),"",IF(L3010="Sim",ROUND(F3010-D3010,2),0)),0)</f>
        <v>0</v>
      </c>
      <c r="I3010" s="91" t="str">
        <f t="shared" ref="I3010:I3073" si="239">IF(G3010="Sim",0,IF(OR(F3010="",L3010=""),"",F3010))</f>
        <v/>
      </c>
      <c r="J3010" s="91" t="str">
        <f t="shared" ref="J3010:J3073" si="240">IF(G3010="Sim",0,IF(OR(F3010="",D3010="",L3010=""),"",IF(L3010="Sim",ROUND(F3010-D3010,2),0)))</f>
        <v/>
      </c>
      <c r="K3010" s="92" t="str">
        <f>IF(AND(A3010="",B3010="",D3010="",G3010=""),"",IF(AND(A3010&lt;&gt;"",COUNTIF($A$2:$A$5001,A3010)&gt;1),"NUMERO_PC duplicado",IF(B3010="","DATA_PC vazia",IF(NOT(ISNUMBER(B3010)),"DATA_PC invalida",IF(OR(C3010="",C3010="Fora dos ciclos"),"CICLO_PC nao identificado",IF(OR(D3010="",D3010=0),"VALOR_PC vazio ou zero",IF(AND(G3010&lt;&gt;"Sim",G3010&lt;&gt;"Nao",G3010&lt;&gt;""),"PC_PAGO_A_CONTRATADA invalido",IF(AND(C3010&lt;&gt;"C0",IFERROR(INDEX(parametros!$A$2:$A$6,MATCH(C3010,parametros!$B$2:$B$6,0)),"")="Sim",IFERROR(INDEX(parametros!$H$2:$H$6,MATCH(C3010,parametros!$B$2:$B$6,0)),"")=""),"INICIO_EFEITO ausente: PC "&amp;A3010&amp;" - "&amp;C3010,IF(L3010="","EFEITO_PC nao calculado: PC "&amp;A3010&amp;" - "&amp;C3010,"OK")))))))))</f>
        <v/>
      </c>
      <c r="L3010" s="92" t="str">
        <f>IF(AND(A3010="",B3010="",D3010="",G3010=""),"",IF(OR(B3010="",NOT(ISNUMBER(B3010)),C3010="",C3010="Fora dos ciclos"),"",IF(C3010="C0","Nao",IF(IFERROR(INDEX(parametros!$A$2:$A$6,MATCH(C3010,parametros!$B$2:$B$6,0)),"")&lt;&gt;"Sim","Nao",IF(IFERROR(INDEX(parametros!$H$2:$H$6,MATCH(C3010,parametros!$B$2:$B$6,0)),"")="","",IF(B3010&gt;=IFERROR(INDEX(parametros!$H$2:$H$6,MATCH(C3010,parametros!$B$2:$B$6,0)),""),"Sim","Nao"))))))</f>
        <v/>
      </c>
      <c r="T3010" s="156"/>
      <c r="U3010" s="214" t="str">
        <f t="shared" ref="U3010:U3073" si="241">IF(OR($D3010="",$H3010=""),"",ROUND($D3010+$H3010,2))</f>
        <v/>
      </c>
      <c r="V3010" s="212" t="s">
        <v>50</v>
      </c>
      <c r="W3010" s="100" t="s">
        <v>168</v>
      </c>
      <c r="X3010" s="100" t="s">
        <v>169</v>
      </c>
      <c r="Y3010" s="101" t="s">
        <v>170</v>
      </c>
      <c r="Z3010" s="101" t="s">
        <v>171</v>
      </c>
      <c r="AA3010" s="101" t="s">
        <v>50</v>
      </c>
      <c r="AB3010" s="101" t="s">
        <v>172</v>
      </c>
      <c r="AC3010" s="102" t="s">
        <v>173</v>
      </c>
    </row>
    <row r="3011" spans="1:29" ht="25.5" customHeight="1" x14ac:dyDescent="0.35">
      <c r="A3011" s="392"/>
      <c r="B3011" s="393"/>
      <c r="C3011" s="99" t="str">
        <f>IF(B3011="","",IF(NOT(ISNUMBER(B3011)),"DATA_PC invalida",IF(NOT(ISNUMBER(parametros!$C$2)),"Fora dos ciclos",IF(OR(B3011&lt;parametros!$C$2,(YEAR(B3011)-YEAR(parametros!$C$2))*12+MONTH(B3011)-MONTH(parametros!$C$2)&gt;59),"Fora dos ciclos","C"&amp;INT(((YEAR(B3011)-YEAR(parametros!$C$2))*12+MONTH(B3011)-MONTH(parametros!$C$2))/12)))))</f>
        <v/>
      </c>
      <c r="D3011" s="394"/>
      <c r="E3011" s="78" t="str">
        <f>IF(C3011="","",IFERROR(VLOOKUP(C3011,parametros!$A$11:$E$15,5,0),""))</f>
        <v/>
      </c>
      <c r="F3011" s="79" t="str">
        <f t="shared" si="237"/>
        <v/>
      </c>
      <c r="G3011" s="395"/>
      <c r="H3011" s="91">
        <f t="shared" si="238"/>
        <v>0</v>
      </c>
      <c r="I3011" s="91" t="str">
        <f t="shared" si="239"/>
        <v/>
      </c>
      <c r="J3011" s="91" t="str">
        <f t="shared" si="240"/>
        <v/>
      </c>
      <c r="K3011" s="92" t="str">
        <f>IF(AND(A3011="",B3011="",D3011="",G3011=""),"",IF(AND(A3011&lt;&gt;"",COUNTIF($A$2:$A$5001,A3011)&gt;1),"NUMERO_PC duplicado",IF(B3011="","DATA_PC vazia",IF(NOT(ISNUMBER(B3011)),"DATA_PC invalida",IF(OR(C3011="",C3011="Fora dos ciclos"),"CICLO_PC nao identificado",IF(OR(D3011="",D3011=0),"VALOR_PC vazio ou zero",IF(AND(G3011&lt;&gt;"Sim",G3011&lt;&gt;"Nao",G3011&lt;&gt;""),"PC_PAGO_A_CONTRATADA invalido",IF(AND(C3011&lt;&gt;"C0",IFERROR(INDEX(parametros!$A$2:$A$6,MATCH(C3011,parametros!$B$2:$B$6,0)),"")="Sim",IFERROR(INDEX(parametros!$H$2:$H$6,MATCH(C3011,parametros!$B$2:$B$6,0)),"")=""),"INICIO_EFEITO ausente: PC "&amp;A3011&amp;" - "&amp;C3011,IF(L3011="","EFEITO_PC nao calculado: PC "&amp;A3011&amp;" - "&amp;C3011,"OK")))))))))</f>
        <v/>
      </c>
      <c r="L3011" s="92" t="str">
        <f>IF(AND(A3011="",B3011="",D3011="",G3011=""),"",IF(OR(B3011="",NOT(ISNUMBER(B3011)),C3011="",C3011="Fora dos ciclos"),"",IF(C3011="C0","Nao",IF(IFERROR(INDEX(parametros!$A$2:$A$6,MATCH(C3011,parametros!$B$2:$B$6,0)),"")&lt;&gt;"Sim","Nao",IF(IFERROR(INDEX(parametros!$H$2:$H$6,MATCH(C3011,parametros!$B$2:$B$6,0)),"")="","",IF(B3011&gt;=IFERROR(INDEX(parametros!$H$2:$H$6,MATCH(C3011,parametros!$B$2:$B$6,0)),""),"Sim","Nao"))))))</f>
        <v/>
      </c>
      <c r="T3011" s="156"/>
      <c r="U3011" s="214" t="str">
        <f t="shared" si="241"/>
        <v/>
      </c>
      <c r="V3011" s="212" t="s">
        <v>50</v>
      </c>
      <c r="W3011" s="100" t="s">
        <v>168</v>
      </c>
      <c r="X3011" s="100" t="s">
        <v>169</v>
      </c>
      <c r="Y3011" s="101" t="s">
        <v>170</v>
      </c>
      <c r="Z3011" s="101" t="s">
        <v>171</v>
      </c>
      <c r="AA3011" s="101" t="s">
        <v>50</v>
      </c>
      <c r="AB3011" s="101" t="s">
        <v>172</v>
      </c>
      <c r="AC3011" s="102" t="s">
        <v>173</v>
      </c>
    </row>
    <row r="3012" spans="1:29" ht="25.5" customHeight="1" x14ac:dyDescent="0.35">
      <c r="A3012" s="392"/>
      <c r="B3012" s="393"/>
      <c r="C3012" s="99" t="str">
        <f>IF(B3012="","",IF(NOT(ISNUMBER(B3012)),"DATA_PC invalida",IF(NOT(ISNUMBER(parametros!$C$2)),"Fora dos ciclos",IF(OR(B3012&lt;parametros!$C$2,(YEAR(B3012)-YEAR(parametros!$C$2))*12+MONTH(B3012)-MONTH(parametros!$C$2)&gt;59),"Fora dos ciclos","C"&amp;INT(((YEAR(B3012)-YEAR(parametros!$C$2))*12+MONTH(B3012)-MONTH(parametros!$C$2))/12)))))</f>
        <v/>
      </c>
      <c r="D3012" s="394"/>
      <c r="E3012" s="78" t="str">
        <f>IF(C3012="","",IFERROR(VLOOKUP(C3012,parametros!$A$11:$E$15,5,0),""))</f>
        <v/>
      </c>
      <c r="F3012" s="79" t="str">
        <f t="shared" si="237"/>
        <v/>
      </c>
      <c r="G3012" s="395"/>
      <c r="H3012" s="91">
        <f t="shared" si="238"/>
        <v>0</v>
      </c>
      <c r="I3012" s="91" t="str">
        <f t="shared" si="239"/>
        <v/>
      </c>
      <c r="J3012" s="91" t="str">
        <f t="shared" si="240"/>
        <v/>
      </c>
      <c r="K3012" s="92" t="str">
        <f>IF(AND(A3012="",B3012="",D3012="",G3012=""),"",IF(AND(A3012&lt;&gt;"",COUNTIF($A$2:$A$5001,A3012)&gt;1),"NUMERO_PC duplicado",IF(B3012="","DATA_PC vazia",IF(NOT(ISNUMBER(B3012)),"DATA_PC invalida",IF(OR(C3012="",C3012="Fora dos ciclos"),"CICLO_PC nao identificado",IF(OR(D3012="",D3012=0),"VALOR_PC vazio ou zero",IF(AND(G3012&lt;&gt;"Sim",G3012&lt;&gt;"Nao",G3012&lt;&gt;""),"PC_PAGO_A_CONTRATADA invalido",IF(AND(C3012&lt;&gt;"C0",IFERROR(INDEX(parametros!$A$2:$A$6,MATCH(C3012,parametros!$B$2:$B$6,0)),"")="Sim",IFERROR(INDEX(parametros!$H$2:$H$6,MATCH(C3012,parametros!$B$2:$B$6,0)),"")=""),"INICIO_EFEITO ausente: PC "&amp;A3012&amp;" - "&amp;C3012,IF(L3012="","EFEITO_PC nao calculado: PC "&amp;A3012&amp;" - "&amp;C3012,"OK")))))))))</f>
        <v/>
      </c>
      <c r="L3012" s="92" t="str">
        <f>IF(AND(A3012="",B3012="",D3012="",G3012=""),"",IF(OR(B3012="",NOT(ISNUMBER(B3012)),C3012="",C3012="Fora dos ciclos"),"",IF(C3012="C0","Nao",IF(IFERROR(INDEX(parametros!$A$2:$A$6,MATCH(C3012,parametros!$B$2:$B$6,0)),"")&lt;&gt;"Sim","Nao",IF(IFERROR(INDEX(parametros!$H$2:$H$6,MATCH(C3012,parametros!$B$2:$B$6,0)),"")="","",IF(B3012&gt;=IFERROR(INDEX(parametros!$H$2:$H$6,MATCH(C3012,parametros!$B$2:$B$6,0)),""),"Sim","Nao"))))))</f>
        <v/>
      </c>
      <c r="T3012" s="156"/>
      <c r="U3012" s="214" t="str">
        <f t="shared" si="241"/>
        <v/>
      </c>
      <c r="V3012" s="212" t="s">
        <v>50</v>
      </c>
      <c r="W3012" s="100" t="s">
        <v>168</v>
      </c>
      <c r="X3012" s="100" t="s">
        <v>169</v>
      </c>
      <c r="Y3012" s="101" t="s">
        <v>170</v>
      </c>
      <c r="Z3012" s="101" t="s">
        <v>171</v>
      </c>
      <c r="AA3012" s="101" t="s">
        <v>50</v>
      </c>
      <c r="AB3012" s="101" t="s">
        <v>172</v>
      </c>
      <c r="AC3012" s="102" t="s">
        <v>173</v>
      </c>
    </row>
    <row r="3013" spans="1:29" ht="25.5" customHeight="1" x14ac:dyDescent="0.35">
      <c r="A3013" s="392"/>
      <c r="B3013" s="393"/>
      <c r="C3013" s="99" t="str">
        <f>IF(B3013="","",IF(NOT(ISNUMBER(B3013)),"DATA_PC invalida",IF(NOT(ISNUMBER(parametros!$C$2)),"Fora dos ciclos",IF(OR(B3013&lt;parametros!$C$2,(YEAR(B3013)-YEAR(parametros!$C$2))*12+MONTH(B3013)-MONTH(parametros!$C$2)&gt;59),"Fora dos ciclos","C"&amp;INT(((YEAR(B3013)-YEAR(parametros!$C$2))*12+MONTH(B3013)-MONTH(parametros!$C$2))/12)))))</f>
        <v/>
      </c>
      <c r="D3013" s="394"/>
      <c r="E3013" s="78" t="str">
        <f>IF(C3013="","",IFERROR(VLOOKUP(C3013,parametros!$A$11:$E$15,5,0),""))</f>
        <v/>
      </c>
      <c r="F3013" s="79" t="str">
        <f t="shared" si="237"/>
        <v/>
      </c>
      <c r="G3013" s="395"/>
      <c r="H3013" s="91">
        <f t="shared" si="238"/>
        <v>0</v>
      </c>
      <c r="I3013" s="91" t="str">
        <f t="shared" si="239"/>
        <v/>
      </c>
      <c r="J3013" s="91" t="str">
        <f t="shared" si="240"/>
        <v/>
      </c>
      <c r="K3013" s="92" t="str">
        <f>IF(AND(A3013="",B3013="",D3013="",G3013=""),"",IF(AND(A3013&lt;&gt;"",COUNTIF($A$2:$A$5001,A3013)&gt;1),"NUMERO_PC duplicado",IF(B3013="","DATA_PC vazia",IF(NOT(ISNUMBER(B3013)),"DATA_PC invalida",IF(OR(C3013="",C3013="Fora dos ciclos"),"CICLO_PC nao identificado",IF(OR(D3013="",D3013=0),"VALOR_PC vazio ou zero",IF(AND(G3013&lt;&gt;"Sim",G3013&lt;&gt;"Nao",G3013&lt;&gt;""),"PC_PAGO_A_CONTRATADA invalido",IF(AND(C3013&lt;&gt;"C0",IFERROR(INDEX(parametros!$A$2:$A$6,MATCH(C3013,parametros!$B$2:$B$6,0)),"")="Sim",IFERROR(INDEX(parametros!$H$2:$H$6,MATCH(C3013,parametros!$B$2:$B$6,0)),"")=""),"INICIO_EFEITO ausente: PC "&amp;A3013&amp;" - "&amp;C3013,IF(L3013="","EFEITO_PC nao calculado: PC "&amp;A3013&amp;" - "&amp;C3013,"OK")))))))))</f>
        <v/>
      </c>
      <c r="L3013" s="92" t="str">
        <f>IF(AND(A3013="",B3013="",D3013="",G3013=""),"",IF(OR(B3013="",NOT(ISNUMBER(B3013)),C3013="",C3013="Fora dos ciclos"),"",IF(C3013="C0","Nao",IF(IFERROR(INDEX(parametros!$A$2:$A$6,MATCH(C3013,parametros!$B$2:$B$6,0)),"")&lt;&gt;"Sim","Nao",IF(IFERROR(INDEX(parametros!$H$2:$H$6,MATCH(C3013,parametros!$B$2:$B$6,0)),"")="","",IF(B3013&gt;=IFERROR(INDEX(parametros!$H$2:$H$6,MATCH(C3013,parametros!$B$2:$B$6,0)),""),"Sim","Nao"))))))</f>
        <v/>
      </c>
      <c r="T3013" s="156"/>
      <c r="U3013" s="214" t="str">
        <f t="shared" si="241"/>
        <v/>
      </c>
      <c r="V3013" s="212" t="s">
        <v>50</v>
      </c>
      <c r="W3013" s="100" t="s">
        <v>168</v>
      </c>
      <c r="X3013" s="100" t="s">
        <v>169</v>
      </c>
      <c r="Y3013" s="101" t="s">
        <v>170</v>
      </c>
      <c r="Z3013" s="101" t="s">
        <v>171</v>
      </c>
      <c r="AA3013" s="101" t="s">
        <v>50</v>
      </c>
      <c r="AB3013" s="101" t="s">
        <v>172</v>
      </c>
      <c r="AC3013" s="102" t="s">
        <v>173</v>
      </c>
    </row>
    <row r="3014" spans="1:29" ht="25.5" customHeight="1" x14ac:dyDescent="0.35">
      <c r="A3014" s="392"/>
      <c r="B3014" s="393"/>
      <c r="C3014" s="99" t="str">
        <f>IF(B3014="","",IF(NOT(ISNUMBER(B3014)),"DATA_PC invalida",IF(NOT(ISNUMBER(parametros!$C$2)),"Fora dos ciclos",IF(OR(B3014&lt;parametros!$C$2,(YEAR(B3014)-YEAR(parametros!$C$2))*12+MONTH(B3014)-MONTH(parametros!$C$2)&gt;59),"Fora dos ciclos","C"&amp;INT(((YEAR(B3014)-YEAR(parametros!$C$2))*12+MONTH(B3014)-MONTH(parametros!$C$2))/12)))))</f>
        <v/>
      </c>
      <c r="D3014" s="394"/>
      <c r="E3014" s="78" t="str">
        <f>IF(C3014="","",IFERROR(VLOOKUP(C3014,parametros!$A$11:$E$15,5,0),""))</f>
        <v/>
      </c>
      <c r="F3014" s="79" t="str">
        <f t="shared" si="237"/>
        <v/>
      </c>
      <c r="G3014" s="395"/>
      <c r="H3014" s="91">
        <f t="shared" si="238"/>
        <v>0</v>
      </c>
      <c r="I3014" s="91" t="str">
        <f t="shared" si="239"/>
        <v/>
      </c>
      <c r="J3014" s="91" t="str">
        <f t="shared" si="240"/>
        <v/>
      </c>
      <c r="K3014" s="92" t="str">
        <f>IF(AND(A3014="",B3014="",D3014="",G3014=""),"",IF(AND(A3014&lt;&gt;"",COUNTIF($A$2:$A$5001,A3014)&gt;1),"NUMERO_PC duplicado",IF(B3014="","DATA_PC vazia",IF(NOT(ISNUMBER(B3014)),"DATA_PC invalida",IF(OR(C3014="",C3014="Fora dos ciclos"),"CICLO_PC nao identificado",IF(OR(D3014="",D3014=0),"VALOR_PC vazio ou zero",IF(AND(G3014&lt;&gt;"Sim",G3014&lt;&gt;"Nao",G3014&lt;&gt;""),"PC_PAGO_A_CONTRATADA invalido",IF(AND(C3014&lt;&gt;"C0",IFERROR(INDEX(parametros!$A$2:$A$6,MATCH(C3014,parametros!$B$2:$B$6,0)),"")="Sim",IFERROR(INDEX(parametros!$H$2:$H$6,MATCH(C3014,parametros!$B$2:$B$6,0)),"")=""),"INICIO_EFEITO ausente: PC "&amp;A3014&amp;" - "&amp;C3014,IF(L3014="","EFEITO_PC nao calculado: PC "&amp;A3014&amp;" - "&amp;C3014,"OK")))))))))</f>
        <v/>
      </c>
      <c r="L3014" s="92" t="str">
        <f>IF(AND(A3014="",B3014="",D3014="",G3014=""),"",IF(OR(B3014="",NOT(ISNUMBER(B3014)),C3014="",C3014="Fora dos ciclos"),"",IF(C3014="C0","Nao",IF(IFERROR(INDEX(parametros!$A$2:$A$6,MATCH(C3014,parametros!$B$2:$B$6,0)),"")&lt;&gt;"Sim","Nao",IF(IFERROR(INDEX(parametros!$H$2:$H$6,MATCH(C3014,parametros!$B$2:$B$6,0)),"")="","",IF(B3014&gt;=IFERROR(INDEX(parametros!$H$2:$H$6,MATCH(C3014,parametros!$B$2:$B$6,0)),""),"Sim","Nao"))))))</f>
        <v/>
      </c>
      <c r="T3014" s="156"/>
      <c r="U3014" s="214" t="str">
        <f t="shared" si="241"/>
        <v/>
      </c>
      <c r="V3014" s="212" t="s">
        <v>50</v>
      </c>
      <c r="W3014" s="100" t="s">
        <v>168</v>
      </c>
      <c r="X3014" s="100" t="s">
        <v>169</v>
      </c>
      <c r="Y3014" s="101" t="s">
        <v>170</v>
      </c>
      <c r="Z3014" s="101" t="s">
        <v>171</v>
      </c>
      <c r="AA3014" s="101" t="s">
        <v>50</v>
      </c>
      <c r="AB3014" s="101" t="s">
        <v>172</v>
      </c>
      <c r="AC3014" s="102" t="s">
        <v>173</v>
      </c>
    </row>
    <row r="3015" spans="1:29" ht="25.5" customHeight="1" x14ac:dyDescent="0.35">
      <c r="A3015" s="392"/>
      <c r="B3015" s="393"/>
      <c r="C3015" s="99" t="str">
        <f>IF(B3015="","",IF(NOT(ISNUMBER(B3015)),"DATA_PC invalida",IF(NOT(ISNUMBER(parametros!$C$2)),"Fora dos ciclos",IF(OR(B3015&lt;parametros!$C$2,(YEAR(B3015)-YEAR(parametros!$C$2))*12+MONTH(B3015)-MONTH(parametros!$C$2)&gt;59),"Fora dos ciclos","C"&amp;INT(((YEAR(B3015)-YEAR(parametros!$C$2))*12+MONTH(B3015)-MONTH(parametros!$C$2))/12)))))</f>
        <v/>
      </c>
      <c r="D3015" s="394"/>
      <c r="E3015" s="78" t="str">
        <f>IF(C3015="","",IFERROR(VLOOKUP(C3015,parametros!$A$11:$E$15,5,0),""))</f>
        <v/>
      </c>
      <c r="F3015" s="79" t="str">
        <f t="shared" si="237"/>
        <v/>
      </c>
      <c r="G3015" s="395"/>
      <c r="H3015" s="91">
        <f t="shared" si="238"/>
        <v>0</v>
      </c>
      <c r="I3015" s="91" t="str">
        <f t="shared" si="239"/>
        <v/>
      </c>
      <c r="J3015" s="91" t="str">
        <f t="shared" si="240"/>
        <v/>
      </c>
      <c r="K3015" s="92" t="str">
        <f>IF(AND(A3015="",B3015="",D3015="",G3015=""),"",IF(AND(A3015&lt;&gt;"",COUNTIF($A$2:$A$5001,A3015)&gt;1),"NUMERO_PC duplicado",IF(B3015="","DATA_PC vazia",IF(NOT(ISNUMBER(B3015)),"DATA_PC invalida",IF(OR(C3015="",C3015="Fora dos ciclos"),"CICLO_PC nao identificado",IF(OR(D3015="",D3015=0),"VALOR_PC vazio ou zero",IF(AND(G3015&lt;&gt;"Sim",G3015&lt;&gt;"Nao",G3015&lt;&gt;""),"PC_PAGO_A_CONTRATADA invalido",IF(AND(C3015&lt;&gt;"C0",IFERROR(INDEX(parametros!$A$2:$A$6,MATCH(C3015,parametros!$B$2:$B$6,0)),"")="Sim",IFERROR(INDEX(parametros!$H$2:$H$6,MATCH(C3015,parametros!$B$2:$B$6,0)),"")=""),"INICIO_EFEITO ausente: PC "&amp;A3015&amp;" - "&amp;C3015,IF(L3015="","EFEITO_PC nao calculado: PC "&amp;A3015&amp;" - "&amp;C3015,"OK")))))))))</f>
        <v/>
      </c>
      <c r="L3015" s="92" t="str">
        <f>IF(AND(A3015="",B3015="",D3015="",G3015=""),"",IF(OR(B3015="",NOT(ISNUMBER(B3015)),C3015="",C3015="Fora dos ciclos"),"",IF(C3015="C0","Nao",IF(IFERROR(INDEX(parametros!$A$2:$A$6,MATCH(C3015,parametros!$B$2:$B$6,0)),"")&lt;&gt;"Sim","Nao",IF(IFERROR(INDEX(parametros!$H$2:$H$6,MATCH(C3015,parametros!$B$2:$B$6,0)),"")="","",IF(B3015&gt;=IFERROR(INDEX(parametros!$H$2:$H$6,MATCH(C3015,parametros!$B$2:$B$6,0)),""),"Sim","Nao"))))))</f>
        <v/>
      </c>
      <c r="T3015" s="156"/>
      <c r="U3015" s="214" t="str">
        <f t="shared" si="241"/>
        <v/>
      </c>
      <c r="V3015" s="212" t="s">
        <v>50</v>
      </c>
      <c r="W3015" s="100" t="s">
        <v>168</v>
      </c>
      <c r="X3015" s="100" t="s">
        <v>169</v>
      </c>
      <c r="Y3015" s="101" t="s">
        <v>170</v>
      </c>
      <c r="Z3015" s="101" t="s">
        <v>171</v>
      </c>
      <c r="AA3015" s="101" t="s">
        <v>50</v>
      </c>
      <c r="AB3015" s="101" t="s">
        <v>172</v>
      </c>
      <c r="AC3015" s="102" t="s">
        <v>173</v>
      </c>
    </row>
    <row r="3016" spans="1:29" ht="25.5" customHeight="1" x14ac:dyDescent="0.35">
      <c r="A3016" s="392"/>
      <c r="B3016" s="393"/>
      <c r="C3016" s="99" t="str">
        <f>IF(B3016="","",IF(NOT(ISNUMBER(B3016)),"DATA_PC invalida",IF(NOT(ISNUMBER(parametros!$C$2)),"Fora dos ciclos",IF(OR(B3016&lt;parametros!$C$2,(YEAR(B3016)-YEAR(parametros!$C$2))*12+MONTH(B3016)-MONTH(parametros!$C$2)&gt;59),"Fora dos ciclos","C"&amp;INT(((YEAR(B3016)-YEAR(parametros!$C$2))*12+MONTH(B3016)-MONTH(parametros!$C$2))/12)))))</f>
        <v/>
      </c>
      <c r="D3016" s="394"/>
      <c r="E3016" s="78" t="str">
        <f>IF(C3016="","",IFERROR(VLOOKUP(C3016,parametros!$A$11:$E$15,5,0),""))</f>
        <v/>
      </c>
      <c r="F3016" s="79" t="str">
        <f t="shared" si="237"/>
        <v/>
      </c>
      <c r="G3016" s="395"/>
      <c r="H3016" s="91">
        <f t="shared" si="238"/>
        <v>0</v>
      </c>
      <c r="I3016" s="91" t="str">
        <f t="shared" si="239"/>
        <v/>
      </c>
      <c r="J3016" s="91" t="str">
        <f t="shared" si="240"/>
        <v/>
      </c>
      <c r="K3016" s="92" t="str">
        <f>IF(AND(A3016="",B3016="",D3016="",G3016=""),"",IF(AND(A3016&lt;&gt;"",COUNTIF($A$2:$A$5001,A3016)&gt;1),"NUMERO_PC duplicado",IF(B3016="","DATA_PC vazia",IF(NOT(ISNUMBER(B3016)),"DATA_PC invalida",IF(OR(C3016="",C3016="Fora dos ciclos"),"CICLO_PC nao identificado",IF(OR(D3016="",D3016=0),"VALOR_PC vazio ou zero",IF(AND(G3016&lt;&gt;"Sim",G3016&lt;&gt;"Nao",G3016&lt;&gt;""),"PC_PAGO_A_CONTRATADA invalido",IF(AND(C3016&lt;&gt;"C0",IFERROR(INDEX(parametros!$A$2:$A$6,MATCH(C3016,parametros!$B$2:$B$6,0)),"")="Sim",IFERROR(INDEX(parametros!$H$2:$H$6,MATCH(C3016,parametros!$B$2:$B$6,0)),"")=""),"INICIO_EFEITO ausente: PC "&amp;A3016&amp;" - "&amp;C3016,IF(L3016="","EFEITO_PC nao calculado: PC "&amp;A3016&amp;" - "&amp;C3016,"OK")))))))))</f>
        <v/>
      </c>
      <c r="L3016" s="92" t="str">
        <f>IF(AND(A3016="",B3016="",D3016="",G3016=""),"",IF(OR(B3016="",NOT(ISNUMBER(B3016)),C3016="",C3016="Fora dos ciclos"),"",IF(C3016="C0","Nao",IF(IFERROR(INDEX(parametros!$A$2:$A$6,MATCH(C3016,parametros!$B$2:$B$6,0)),"")&lt;&gt;"Sim","Nao",IF(IFERROR(INDEX(parametros!$H$2:$H$6,MATCH(C3016,parametros!$B$2:$B$6,0)),"")="","",IF(B3016&gt;=IFERROR(INDEX(parametros!$H$2:$H$6,MATCH(C3016,parametros!$B$2:$B$6,0)),""),"Sim","Nao"))))))</f>
        <v/>
      </c>
      <c r="T3016" s="156"/>
      <c r="U3016" s="214" t="str">
        <f t="shared" si="241"/>
        <v/>
      </c>
      <c r="V3016" s="212" t="s">
        <v>50</v>
      </c>
      <c r="W3016" s="100" t="s">
        <v>168</v>
      </c>
      <c r="X3016" s="100" t="s">
        <v>169</v>
      </c>
      <c r="Y3016" s="101" t="s">
        <v>170</v>
      </c>
      <c r="Z3016" s="101" t="s">
        <v>171</v>
      </c>
      <c r="AA3016" s="101" t="s">
        <v>50</v>
      </c>
      <c r="AB3016" s="101" t="s">
        <v>172</v>
      </c>
      <c r="AC3016" s="102" t="s">
        <v>173</v>
      </c>
    </row>
    <row r="3017" spans="1:29" ht="25.5" customHeight="1" x14ac:dyDescent="0.35">
      <c r="A3017" s="392"/>
      <c r="B3017" s="393"/>
      <c r="C3017" s="99" t="str">
        <f>IF(B3017="","",IF(NOT(ISNUMBER(B3017)),"DATA_PC invalida",IF(NOT(ISNUMBER(parametros!$C$2)),"Fora dos ciclos",IF(OR(B3017&lt;parametros!$C$2,(YEAR(B3017)-YEAR(parametros!$C$2))*12+MONTH(B3017)-MONTH(parametros!$C$2)&gt;59),"Fora dos ciclos","C"&amp;INT(((YEAR(B3017)-YEAR(parametros!$C$2))*12+MONTH(B3017)-MONTH(parametros!$C$2))/12)))))</f>
        <v/>
      </c>
      <c r="D3017" s="394"/>
      <c r="E3017" s="78" t="str">
        <f>IF(C3017="","",IFERROR(VLOOKUP(C3017,parametros!$A$11:$E$15,5,0),""))</f>
        <v/>
      </c>
      <c r="F3017" s="79" t="str">
        <f t="shared" si="237"/>
        <v/>
      </c>
      <c r="G3017" s="395"/>
      <c r="H3017" s="91">
        <f t="shared" si="238"/>
        <v>0</v>
      </c>
      <c r="I3017" s="91" t="str">
        <f t="shared" si="239"/>
        <v/>
      </c>
      <c r="J3017" s="91" t="str">
        <f t="shared" si="240"/>
        <v/>
      </c>
      <c r="K3017" s="92" t="str">
        <f>IF(AND(A3017="",B3017="",D3017="",G3017=""),"",IF(AND(A3017&lt;&gt;"",COUNTIF($A$2:$A$5001,A3017)&gt;1),"NUMERO_PC duplicado",IF(B3017="","DATA_PC vazia",IF(NOT(ISNUMBER(B3017)),"DATA_PC invalida",IF(OR(C3017="",C3017="Fora dos ciclos"),"CICLO_PC nao identificado",IF(OR(D3017="",D3017=0),"VALOR_PC vazio ou zero",IF(AND(G3017&lt;&gt;"Sim",G3017&lt;&gt;"Nao",G3017&lt;&gt;""),"PC_PAGO_A_CONTRATADA invalido",IF(AND(C3017&lt;&gt;"C0",IFERROR(INDEX(parametros!$A$2:$A$6,MATCH(C3017,parametros!$B$2:$B$6,0)),"")="Sim",IFERROR(INDEX(parametros!$H$2:$H$6,MATCH(C3017,parametros!$B$2:$B$6,0)),"")=""),"INICIO_EFEITO ausente: PC "&amp;A3017&amp;" - "&amp;C3017,IF(L3017="","EFEITO_PC nao calculado: PC "&amp;A3017&amp;" - "&amp;C3017,"OK")))))))))</f>
        <v/>
      </c>
      <c r="L3017" s="92" t="str">
        <f>IF(AND(A3017="",B3017="",D3017="",G3017=""),"",IF(OR(B3017="",NOT(ISNUMBER(B3017)),C3017="",C3017="Fora dos ciclos"),"",IF(C3017="C0","Nao",IF(IFERROR(INDEX(parametros!$A$2:$A$6,MATCH(C3017,parametros!$B$2:$B$6,0)),"")&lt;&gt;"Sim","Nao",IF(IFERROR(INDEX(parametros!$H$2:$H$6,MATCH(C3017,parametros!$B$2:$B$6,0)),"")="","",IF(B3017&gt;=IFERROR(INDEX(parametros!$H$2:$H$6,MATCH(C3017,parametros!$B$2:$B$6,0)),""),"Sim","Nao"))))))</f>
        <v/>
      </c>
      <c r="T3017" s="156"/>
      <c r="U3017" s="214" t="str">
        <f t="shared" si="241"/>
        <v/>
      </c>
      <c r="V3017" s="212" t="s">
        <v>50</v>
      </c>
      <c r="W3017" s="100" t="s">
        <v>168</v>
      </c>
      <c r="X3017" s="100" t="s">
        <v>169</v>
      </c>
      <c r="Y3017" s="101" t="s">
        <v>170</v>
      </c>
      <c r="Z3017" s="101" t="s">
        <v>171</v>
      </c>
      <c r="AA3017" s="101" t="s">
        <v>50</v>
      </c>
      <c r="AB3017" s="101" t="s">
        <v>172</v>
      </c>
      <c r="AC3017" s="102" t="s">
        <v>173</v>
      </c>
    </row>
    <row r="3018" spans="1:29" ht="25.5" customHeight="1" x14ac:dyDescent="0.35">
      <c r="A3018" s="392"/>
      <c r="B3018" s="393"/>
      <c r="C3018" s="99" t="str">
        <f>IF(B3018="","",IF(NOT(ISNUMBER(B3018)),"DATA_PC invalida",IF(NOT(ISNUMBER(parametros!$C$2)),"Fora dos ciclos",IF(OR(B3018&lt;parametros!$C$2,(YEAR(B3018)-YEAR(parametros!$C$2))*12+MONTH(B3018)-MONTH(parametros!$C$2)&gt;59),"Fora dos ciclos","C"&amp;INT(((YEAR(B3018)-YEAR(parametros!$C$2))*12+MONTH(B3018)-MONTH(parametros!$C$2))/12)))))</f>
        <v/>
      </c>
      <c r="D3018" s="394"/>
      <c r="E3018" s="78" t="str">
        <f>IF(C3018="","",IFERROR(VLOOKUP(C3018,parametros!$A$11:$E$15,5,0),""))</f>
        <v/>
      </c>
      <c r="F3018" s="79" t="str">
        <f t="shared" si="237"/>
        <v/>
      </c>
      <c r="G3018" s="395"/>
      <c r="H3018" s="91">
        <f t="shared" si="238"/>
        <v>0</v>
      </c>
      <c r="I3018" s="91" t="str">
        <f t="shared" si="239"/>
        <v/>
      </c>
      <c r="J3018" s="91" t="str">
        <f t="shared" si="240"/>
        <v/>
      </c>
      <c r="K3018" s="92" t="str">
        <f>IF(AND(A3018="",B3018="",D3018="",G3018=""),"",IF(AND(A3018&lt;&gt;"",COUNTIF($A$2:$A$5001,A3018)&gt;1),"NUMERO_PC duplicado",IF(B3018="","DATA_PC vazia",IF(NOT(ISNUMBER(B3018)),"DATA_PC invalida",IF(OR(C3018="",C3018="Fora dos ciclos"),"CICLO_PC nao identificado",IF(OR(D3018="",D3018=0),"VALOR_PC vazio ou zero",IF(AND(G3018&lt;&gt;"Sim",G3018&lt;&gt;"Nao",G3018&lt;&gt;""),"PC_PAGO_A_CONTRATADA invalido",IF(AND(C3018&lt;&gt;"C0",IFERROR(INDEX(parametros!$A$2:$A$6,MATCH(C3018,parametros!$B$2:$B$6,0)),"")="Sim",IFERROR(INDEX(parametros!$H$2:$H$6,MATCH(C3018,parametros!$B$2:$B$6,0)),"")=""),"INICIO_EFEITO ausente: PC "&amp;A3018&amp;" - "&amp;C3018,IF(L3018="","EFEITO_PC nao calculado: PC "&amp;A3018&amp;" - "&amp;C3018,"OK")))))))))</f>
        <v/>
      </c>
      <c r="L3018" s="92" t="str">
        <f>IF(AND(A3018="",B3018="",D3018="",G3018=""),"",IF(OR(B3018="",NOT(ISNUMBER(B3018)),C3018="",C3018="Fora dos ciclos"),"",IF(C3018="C0","Nao",IF(IFERROR(INDEX(parametros!$A$2:$A$6,MATCH(C3018,parametros!$B$2:$B$6,0)),"")&lt;&gt;"Sim","Nao",IF(IFERROR(INDEX(parametros!$H$2:$H$6,MATCH(C3018,parametros!$B$2:$B$6,0)),"")="","",IF(B3018&gt;=IFERROR(INDEX(parametros!$H$2:$H$6,MATCH(C3018,parametros!$B$2:$B$6,0)),""),"Sim","Nao"))))))</f>
        <v/>
      </c>
      <c r="T3018" s="156"/>
      <c r="U3018" s="214" t="str">
        <f t="shared" si="241"/>
        <v/>
      </c>
      <c r="V3018" s="212" t="s">
        <v>50</v>
      </c>
      <c r="W3018" s="100" t="s">
        <v>168</v>
      </c>
      <c r="X3018" s="100" t="s">
        <v>169</v>
      </c>
      <c r="Y3018" s="101" t="s">
        <v>170</v>
      </c>
      <c r="Z3018" s="101" t="s">
        <v>171</v>
      </c>
      <c r="AA3018" s="101" t="s">
        <v>50</v>
      </c>
      <c r="AB3018" s="101" t="s">
        <v>172</v>
      </c>
      <c r="AC3018" s="102" t="s">
        <v>173</v>
      </c>
    </row>
    <row r="3019" spans="1:29" ht="25.5" customHeight="1" x14ac:dyDescent="0.35">
      <c r="A3019" s="392"/>
      <c r="B3019" s="393"/>
      <c r="C3019" s="99" t="str">
        <f>IF(B3019="","",IF(NOT(ISNUMBER(B3019)),"DATA_PC invalida",IF(NOT(ISNUMBER(parametros!$C$2)),"Fora dos ciclos",IF(OR(B3019&lt;parametros!$C$2,(YEAR(B3019)-YEAR(parametros!$C$2))*12+MONTH(B3019)-MONTH(parametros!$C$2)&gt;59),"Fora dos ciclos","C"&amp;INT(((YEAR(B3019)-YEAR(parametros!$C$2))*12+MONTH(B3019)-MONTH(parametros!$C$2))/12)))))</f>
        <v/>
      </c>
      <c r="D3019" s="394"/>
      <c r="E3019" s="78" t="str">
        <f>IF(C3019="","",IFERROR(VLOOKUP(C3019,parametros!$A$11:$E$15,5,0),""))</f>
        <v/>
      </c>
      <c r="F3019" s="79" t="str">
        <f t="shared" si="237"/>
        <v/>
      </c>
      <c r="G3019" s="395"/>
      <c r="H3019" s="91">
        <f t="shared" si="238"/>
        <v>0</v>
      </c>
      <c r="I3019" s="91" t="str">
        <f t="shared" si="239"/>
        <v/>
      </c>
      <c r="J3019" s="91" t="str">
        <f t="shared" si="240"/>
        <v/>
      </c>
      <c r="K3019" s="92" t="str">
        <f>IF(AND(A3019="",B3019="",D3019="",G3019=""),"",IF(AND(A3019&lt;&gt;"",COUNTIF($A$2:$A$5001,A3019)&gt;1),"NUMERO_PC duplicado",IF(B3019="","DATA_PC vazia",IF(NOT(ISNUMBER(B3019)),"DATA_PC invalida",IF(OR(C3019="",C3019="Fora dos ciclos"),"CICLO_PC nao identificado",IF(OR(D3019="",D3019=0),"VALOR_PC vazio ou zero",IF(AND(G3019&lt;&gt;"Sim",G3019&lt;&gt;"Nao",G3019&lt;&gt;""),"PC_PAGO_A_CONTRATADA invalido",IF(AND(C3019&lt;&gt;"C0",IFERROR(INDEX(parametros!$A$2:$A$6,MATCH(C3019,parametros!$B$2:$B$6,0)),"")="Sim",IFERROR(INDEX(parametros!$H$2:$H$6,MATCH(C3019,parametros!$B$2:$B$6,0)),"")=""),"INICIO_EFEITO ausente: PC "&amp;A3019&amp;" - "&amp;C3019,IF(L3019="","EFEITO_PC nao calculado: PC "&amp;A3019&amp;" - "&amp;C3019,"OK")))))))))</f>
        <v/>
      </c>
      <c r="L3019" s="92" t="str">
        <f>IF(AND(A3019="",B3019="",D3019="",G3019=""),"",IF(OR(B3019="",NOT(ISNUMBER(B3019)),C3019="",C3019="Fora dos ciclos"),"",IF(C3019="C0","Nao",IF(IFERROR(INDEX(parametros!$A$2:$A$6,MATCH(C3019,parametros!$B$2:$B$6,0)),"")&lt;&gt;"Sim","Nao",IF(IFERROR(INDEX(parametros!$H$2:$H$6,MATCH(C3019,parametros!$B$2:$B$6,0)),"")="","",IF(B3019&gt;=IFERROR(INDEX(parametros!$H$2:$H$6,MATCH(C3019,parametros!$B$2:$B$6,0)),""),"Sim","Nao"))))))</f>
        <v/>
      </c>
      <c r="T3019" s="156"/>
      <c r="U3019" s="214" t="str">
        <f t="shared" si="241"/>
        <v/>
      </c>
      <c r="V3019" s="212" t="s">
        <v>50</v>
      </c>
      <c r="W3019" s="100" t="s">
        <v>168</v>
      </c>
      <c r="X3019" s="100" t="s">
        <v>169</v>
      </c>
      <c r="Y3019" s="101" t="s">
        <v>170</v>
      </c>
      <c r="Z3019" s="101" t="s">
        <v>171</v>
      </c>
      <c r="AA3019" s="101" t="s">
        <v>50</v>
      </c>
      <c r="AB3019" s="101" t="s">
        <v>172</v>
      </c>
      <c r="AC3019" s="102" t="s">
        <v>173</v>
      </c>
    </row>
    <row r="3020" spans="1:29" ht="25.5" customHeight="1" x14ac:dyDescent="0.35">
      <c r="A3020" s="392"/>
      <c r="B3020" s="393"/>
      <c r="C3020" s="99" t="str">
        <f>IF(B3020="","",IF(NOT(ISNUMBER(B3020)),"DATA_PC invalida",IF(NOT(ISNUMBER(parametros!$C$2)),"Fora dos ciclos",IF(OR(B3020&lt;parametros!$C$2,(YEAR(B3020)-YEAR(parametros!$C$2))*12+MONTH(B3020)-MONTH(parametros!$C$2)&gt;59),"Fora dos ciclos","C"&amp;INT(((YEAR(B3020)-YEAR(parametros!$C$2))*12+MONTH(B3020)-MONTH(parametros!$C$2))/12)))))</f>
        <v/>
      </c>
      <c r="D3020" s="394"/>
      <c r="E3020" s="78" t="str">
        <f>IF(C3020="","",IFERROR(VLOOKUP(C3020,parametros!$A$11:$E$15,5,0),""))</f>
        <v/>
      </c>
      <c r="F3020" s="79" t="str">
        <f t="shared" si="237"/>
        <v/>
      </c>
      <c r="G3020" s="395"/>
      <c r="H3020" s="91">
        <f t="shared" si="238"/>
        <v>0</v>
      </c>
      <c r="I3020" s="91" t="str">
        <f t="shared" si="239"/>
        <v/>
      </c>
      <c r="J3020" s="91" t="str">
        <f t="shared" si="240"/>
        <v/>
      </c>
      <c r="K3020" s="92" t="str">
        <f>IF(AND(A3020="",B3020="",D3020="",G3020=""),"",IF(AND(A3020&lt;&gt;"",COUNTIF($A$2:$A$5001,A3020)&gt;1),"NUMERO_PC duplicado",IF(B3020="","DATA_PC vazia",IF(NOT(ISNUMBER(B3020)),"DATA_PC invalida",IF(OR(C3020="",C3020="Fora dos ciclos"),"CICLO_PC nao identificado",IF(OR(D3020="",D3020=0),"VALOR_PC vazio ou zero",IF(AND(G3020&lt;&gt;"Sim",G3020&lt;&gt;"Nao",G3020&lt;&gt;""),"PC_PAGO_A_CONTRATADA invalido",IF(AND(C3020&lt;&gt;"C0",IFERROR(INDEX(parametros!$A$2:$A$6,MATCH(C3020,parametros!$B$2:$B$6,0)),"")="Sim",IFERROR(INDEX(parametros!$H$2:$H$6,MATCH(C3020,parametros!$B$2:$B$6,0)),"")=""),"INICIO_EFEITO ausente: PC "&amp;A3020&amp;" - "&amp;C3020,IF(L3020="","EFEITO_PC nao calculado: PC "&amp;A3020&amp;" - "&amp;C3020,"OK")))))))))</f>
        <v/>
      </c>
      <c r="L3020" s="92" t="str">
        <f>IF(AND(A3020="",B3020="",D3020="",G3020=""),"",IF(OR(B3020="",NOT(ISNUMBER(B3020)),C3020="",C3020="Fora dos ciclos"),"",IF(C3020="C0","Nao",IF(IFERROR(INDEX(parametros!$A$2:$A$6,MATCH(C3020,parametros!$B$2:$B$6,0)),"")&lt;&gt;"Sim","Nao",IF(IFERROR(INDEX(parametros!$H$2:$H$6,MATCH(C3020,parametros!$B$2:$B$6,0)),"")="","",IF(B3020&gt;=IFERROR(INDEX(parametros!$H$2:$H$6,MATCH(C3020,parametros!$B$2:$B$6,0)),""),"Sim","Nao"))))))</f>
        <v/>
      </c>
      <c r="T3020" s="156"/>
      <c r="U3020" s="214" t="str">
        <f t="shared" si="241"/>
        <v/>
      </c>
      <c r="V3020" s="212" t="s">
        <v>50</v>
      </c>
      <c r="W3020" s="100" t="s">
        <v>168</v>
      </c>
      <c r="X3020" s="100" t="s">
        <v>169</v>
      </c>
      <c r="Y3020" s="101" t="s">
        <v>170</v>
      </c>
      <c r="Z3020" s="101" t="s">
        <v>171</v>
      </c>
      <c r="AA3020" s="101" t="s">
        <v>50</v>
      </c>
      <c r="AB3020" s="101" t="s">
        <v>172</v>
      </c>
      <c r="AC3020" s="102" t="s">
        <v>173</v>
      </c>
    </row>
    <row r="3021" spans="1:29" ht="25.5" customHeight="1" x14ac:dyDescent="0.35">
      <c r="A3021" s="392"/>
      <c r="B3021" s="393"/>
      <c r="C3021" s="99" t="str">
        <f>IF(B3021="","",IF(NOT(ISNUMBER(B3021)),"DATA_PC invalida",IF(NOT(ISNUMBER(parametros!$C$2)),"Fora dos ciclos",IF(OR(B3021&lt;parametros!$C$2,(YEAR(B3021)-YEAR(parametros!$C$2))*12+MONTH(B3021)-MONTH(parametros!$C$2)&gt;59),"Fora dos ciclos","C"&amp;INT(((YEAR(B3021)-YEAR(parametros!$C$2))*12+MONTH(B3021)-MONTH(parametros!$C$2))/12)))))</f>
        <v/>
      </c>
      <c r="D3021" s="394"/>
      <c r="E3021" s="78" t="str">
        <f>IF(C3021="","",IFERROR(VLOOKUP(C3021,parametros!$A$11:$E$15,5,0),""))</f>
        <v/>
      </c>
      <c r="F3021" s="79" t="str">
        <f t="shared" si="237"/>
        <v/>
      </c>
      <c r="G3021" s="395"/>
      <c r="H3021" s="91">
        <f t="shared" si="238"/>
        <v>0</v>
      </c>
      <c r="I3021" s="91" t="str">
        <f t="shared" si="239"/>
        <v/>
      </c>
      <c r="J3021" s="91" t="str">
        <f t="shared" si="240"/>
        <v/>
      </c>
      <c r="K3021" s="92" t="str">
        <f>IF(AND(A3021="",B3021="",D3021="",G3021=""),"",IF(AND(A3021&lt;&gt;"",COUNTIF($A$2:$A$5001,A3021)&gt;1),"NUMERO_PC duplicado",IF(B3021="","DATA_PC vazia",IF(NOT(ISNUMBER(B3021)),"DATA_PC invalida",IF(OR(C3021="",C3021="Fora dos ciclos"),"CICLO_PC nao identificado",IF(OR(D3021="",D3021=0),"VALOR_PC vazio ou zero",IF(AND(G3021&lt;&gt;"Sim",G3021&lt;&gt;"Nao",G3021&lt;&gt;""),"PC_PAGO_A_CONTRATADA invalido",IF(AND(C3021&lt;&gt;"C0",IFERROR(INDEX(parametros!$A$2:$A$6,MATCH(C3021,parametros!$B$2:$B$6,0)),"")="Sim",IFERROR(INDEX(parametros!$H$2:$H$6,MATCH(C3021,parametros!$B$2:$B$6,0)),"")=""),"INICIO_EFEITO ausente: PC "&amp;A3021&amp;" - "&amp;C3021,IF(L3021="","EFEITO_PC nao calculado: PC "&amp;A3021&amp;" - "&amp;C3021,"OK")))))))))</f>
        <v/>
      </c>
      <c r="L3021" s="92" t="str">
        <f>IF(AND(A3021="",B3021="",D3021="",G3021=""),"",IF(OR(B3021="",NOT(ISNUMBER(B3021)),C3021="",C3021="Fora dos ciclos"),"",IF(C3021="C0","Nao",IF(IFERROR(INDEX(parametros!$A$2:$A$6,MATCH(C3021,parametros!$B$2:$B$6,0)),"")&lt;&gt;"Sim","Nao",IF(IFERROR(INDEX(parametros!$H$2:$H$6,MATCH(C3021,parametros!$B$2:$B$6,0)),"")="","",IF(B3021&gt;=IFERROR(INDEX(parametros!$H$2:$H$6,MATCH(C3021,parametros!$B$2:$B$6,0)),""),"Sim","Nao"))))))</f>
        <v/>
      </c>
      <c r="T3021" s="156"/>
      <c r="U3021" s="214" t="str">
        <f t="shared" si="241"/>
        <v/>
      </c>
      <c r="V3021" s="212" t="s">
        <v>50</v>
      </c>
      <c r="W3021" s="100" t="s">
        <v>168</v>
      </c>
      <c r="X3021" s="100" t="s">
        <v>169</v>
      </c>
      <c r="Y3021" s="101" t="s">
        <v>170</v>
      </c>
      <c r="Z3021" s="101" t="s">
        <v>171</v>
      </c>
      <c r="AA3021" s="101" t="s">
        <v>50</v>
      </c>
      <c r="AB3021" s="101" t="s">
        <v>172</v>
      </c>
      <c r="AC3021" s="102" t="s">
        <v>173</v>
      </c>
    </row>
    <row r="3022" spans="1:29" ht="25.5" customHeight="1" x14ac:dyDescent="0.35">
      <c r="A3022" s="392"/>
      <c r="B3022" s="393"/>
      <c r="C3022" s="99" t="str">
        <f>IF(B3022="","",IF(NOT(ISNUMBER(B3022)),"DATA_PC invalida",IF(NOT(ISNUMBER(parametros!$C$2)),"Fora dos ciclos",IF(OR(B3022&lt;parametros!$C$2,(YEAR(B3022)-YEAR(parametros!$C$2))*12+MONTH(B3022)-MONTH(parametros!$C$2)&gt;59),"Fora dos ciclos","C"&amp;INT(((YEAR(B3022)-YEAR(parametros!$C$2))*12+MONTH(B3022)-MONTH(parametros!$C$2))/12)))))</f>
        <v/>
      </c>
      <c r="D3022" s="394"/>
      <c r="E3022" s="78" t="str">
        <f>IF(C3022="","",IFERROR(VLOOKUP(C3022,parametros!$A$11:$E$15,5,0),""))</f>
        <v/>
      </c>
      <c r="F3022" s="79" t="str">
        <f t="shared" si="237"/>
        <v/>
      </c>
      <c r="G3022" s="395"/>
      <c r="H3022" s="91">
        <f t="shared" si="238"/>
        <v>0</v>
      </c>
      <c r="I3022" s="91" t="str">
        <f t="shared" si="239"/>
        <v/>
      </c>
      <c r="J3022" s="91" t="str">
        <f t="shared" si="240"/>
        <v/>
      </c>
      <c r="K3022" s="92" t="str">
        <f>IF(AND(A3022="",B3022="",D3022="",G3022=""),"",IF(AND(A3022&lt;&gt;"",COUNTIF($A$2:$A$5001,A3022)&gt;1),"NUMERO_PC duplicado",IF(B3022="","DATA_PC vazia",IF(NOT(ISNUMBER(B3022)),"DATA_PC invalida",IF(OR(C3022="",C3022="Fora dos ciclos"),"CICLO_PC nao identificado",IF(OR(D3022="",D3022=0),"VALOR_PC vazio ou zero",IF(AND(G3022&lt;&gt;"Sim",G3022&lt;&gt;"Nao",G3022&lt;&gt;""),"PC_PAGO_A_CONTRATADA invalido",IF(AND(C3022&lt;&gt;"C0",IFERROR(INDEX(parametros!$A$2:$A$6,MATCH(C3022,parametros!$B$2:$B$6,0)),"")="Sim",IFERROR(INDEX(parametros!$H$2:$H$6,MATCH(C3022,parametros!$B$2:$B$6,0)),"")=""),"INICIO_EFEITO ausente: PC "&amp;A3022&amp;" - "&amp;C3022,IF(L3022="","EFEITO_PC nao calculado: PC "&amp;A3022&amp;" - "&amp;C3022,"OK")))))))))</f>
        <v/>
      </c>
      <c r="L3022" s="92" t="str">
        <f>IF(AND(A3022="",B3022="",D3022="",G3022=""),"",IF(OR(B3022="",NOT(ISNUMBER(B3022)),C3022="",C3022="Fora dos ciclos"),"",IF(C3022="C0","Nao",IF(IFERROR(INDEX(parametros!$A$2:$A$6,MATCH(C3022,parametros!$B$2:$B$6,0)),"")&lt;&gt;"Sim","Nao",IF(IFERROR(INDEX(parametros!$H$2:$H$6,MATCH(C3022,parametros!$B$2:$B$6,0)),"")="","",IF(B3022&gt;=IFERROR(INDEX(parametros!$H$2:$H$6,MATCH(C3022,parametros!$B$2:$B$6,0)),""),"Sim","Nao"))))))</f>
        <v/>
      </c>
      <c r="T3022" s="156"/>
      <c r="U3022" s="214" t="str">
        <f t="shared" si="241"/>
        <v/>
      </c>
      <c r="V3022" s="212" t="s">
        <v>50</v>
      </c>
      <c r="W3022" s="100" t="s">
        <v>168</v>
      </c>
      <c r="X3022" s="100" t="s">
        <v>169</v>
      </c>
      <c r="Y3022" s="101" t="s">
        <v>170</v>
      </c>
      <c r="Z3022" s="101" t="s">
        <v>171</v>
      </c>
      <c r="AA3022" s="101" t="s">
        <v>50</v>
      </c>
      <c r="AB3022" s="101" t="s">
        <v>172</v>
      </c>
      <c r="AC3022" s="102" t="s">
        <v>173</v>
      </c>
    </row>
    <row r="3023" spans="1:29" ht="25.5" customHeight="1" x14ac:dyDescent="0.35">
      <c r="A3023" s="392"/>
      <c r="B3023" s="393"/>
      <c r="C3023" s="99" t="str">
        <f>IF(B3023="","",IF(NOT(ISNUMBER(B3023)),"DATA_PC invalida",IF(NOT(ISNUMBER(parametros!$C$2)),"Fora dos ciclos",IF(OR(B3023&lt;parametros!$C$2,(YEAR(B3023)-YEAR(parametros!$C$2))*12+MONTH(B3023)-MONTH(parametros!$C$2)&gt;59),"Fora dos ciclos","C"&amp;INT(((YEAR(B3023)-YEAR(parametros!$C$2))*12+MONTH(B3023)-MONTH(parametros!$C$2))/12)))))</f>
        <v/>
      </c>
      <c r="D3023" s="394"/>
      <c r="E3023" s="78" t="str">
        <f>IF(C3023="","",IFERROR(VLOOKUP(C3023,parametros!$A$11:$E$15,5,0),""))</f>
        <v/>
      </c>
      <c r="F3023" s="79" t="str">
        <f t="shared" si="237"/>
        <v/>
      </c>
      <c r="G3023" s="395"/>
      <c r="H3023" s="91">
        <f t="shared" si="238"/>
        <v>0</v>
      </c>
      <c r="I3023" s="91" t="str">
        <f t="shared" si="239"/>
        <v/>
      </c>
      <c r="J3023" s="91" t="str">
        <f t="shared" si="240"/>
        <v/>
      </c>
      <c r="K3023" s="92" t="str">
        <f>IF(AND(A3023="",B3023="",D3023="",G3023=""),"",IF(AND(A3023&lt;&gt;"",COUNTIF($A$2:$A$5001,A3023)&gt;1),"NUMERO_PC duplicado",IF(B3023="","DATA_PC vazia",IF(NOT(ISNUMBER(B3023)),"DATA_PC invalida",IF(OR(C3023="",C3023="Fora dos ciclos"),"CICLO_PC nao identificado",IF(OR(D3023="",D3023=0),"VALOR_PC vazio ou zero",IF(AND(G3023&lt;&gt;"Sim",G3023&lt;&gt;"Nao",G3023&lt;&gt;""),"PC_PAGO_A_CONTRATADA invalido",IF(AND(C3023&lt;&gt;"C0",IFERROR(INDEX(parametros!$A$2:$A$6,MATCH(C3023,parametros!$B$2:$B$6,0)),"")="Sim",IFERROR(INDEX(parametros!$H$2:$H$6,MATCH(C3023,parametros!$B$2:$B$6,0)),"")=""),"INICIO_EFEITO ausente: PC "&amp;A3023&amp;" - "&amp;C3023,IF(L3023="","EFEITO_PC nao calculado: PC "&amp;A3023&amp;" - "&amp;C3023,"OK")))))))))</f>
        <v/>
      </c>
      <c r="L3023" s="92" t="str">
        <f>IF(AND(A3023="",B3023="",D3023="",G3023=""),"",IF(OR(B3023="",NOT(ISNUMBER(B3023)),C3023="",C3023="Fora dos ciclos"),"",IF(C3023="C0","Nao",IF(IFERROR(INDEX(parametros!$A$2:$A$6,MATCH(C3023,parametros!$B$2:$B$6,0)),"")&lt;&gt;"Sim","Nao",IF(IFERROR(INDEX(parametros!$H$2:$H$6,MATCH(C3023,parametros!$B$2:$B$6,0)),"")="","",IF(B3023&gt;=IFERROR(INDEX(parametros!$H$2:$H$6,MATCH(C3023,parametros!$B$2:$B$6,0)),""),"Sim","Nao"))))))</f>
        <v/>
      </c>
      <c r="T3023" s="156"/>
      <c r="U3023" s="214" t="str">
        <f t="shared" si="241"/>
        <v/>
      </c>
      <c r="V3023" s="212" t="s">
        <v>50</v>
      </c>
      <c r="W3023" s="100" t="s">
        <v>168</v>
      </c>
      <c r="X3023" s="100" t="s">
        <v>169</v>
      </c>
      <c r="Y3023" s="101" t="s">
        <v>170</v>
      </c>
      <c r="Z3023" s="101" t="s">
        <v>171</v>
      </c>
      <c r="AA3023" s="101" t="s">
        <v>50</v>
      </c>
      <c r="AB3023" s="101" t="s">
        <v>172</v>
      </c>
      <c r="AC3023" s="102" t="s">
        <v>173</v>
      </c>
    </row>
    <row r="3024" spans="1:29" ht="25.5" customHeight="1" x14ac:dyDescent="0.35">
      <c r="A3024" s="392"/>
      <c r="B3024" s="393"/>
      <c r="C3024" s="99" t="str">
        <f>IF(B3024="","",IF(NOT(ISNUMBER(B3024)),"DATA_PC invalida",IF(NOT(ISNUMBER(parametros!$C$2)),"Fora dos ciclos",IF(OR(B3024&lt;parametros!$C$2,(YEAR(B3024)-YEAR(parametros!$C$2))*12+MONTH(B3024)-MONTH(parametros!$C$2)&gt;59),"Fora dos ciclos","C"&amp;INT(((YEAR(B3024)-YEAR(parametros!$C$2))*12+MONTH(B3024)-MONTH(parametros!$C$2))/12)))))</f>
        <v/>
      </c>
      <c r="D3024" s="394"/>
      <c r="E3024" s="78" t="str">
        <f>IF(C3024="","",IFERROR(VLOOKUP(C3024,parametros!$A$11:$E$15,5,0),""))</f>
        <v/>
      </c>
      <c r="F3024" s="79" t="str">
        <f t="shared" si="237"/>
        <v/>
      </c>
      <c r="G3024" s="395"/>
      <c r="H3024" s="91">
        <f t="shared" si="238"/>
        <v>0</v>
      </c>
      <c r="I3024" s="91" t="str">
        <f t="shared" si="239"/>
        <v/>
      </c>
      <c r="J3024" s="91" t="str">
        <f t="shared" si="240"/>
        <v/>
      </c>
      <c r="K3024" s="92" t="str">
        <f>IF(AND(A3024="",B3024="",D3024="",G3024=""),"",IF(AND(A3024&lt;&gt;"",COUNTIF($A$2:$A$5001,A3024)&gt;1),"NUMERO_PC duplicado",IF(B3024="","DATA_PC vazia",IF(NOT(ISNUMBER(B3024)),"DATA_PC invalida",IF(OR(C3024="",C3024="Fora dos ciclos"),"CICLO_PC nao identificado",IF(OR(D3024="",D3024=0),"VALOR_PC vazio ou zero",IF(AND(G3024&lt;&gt;"Sim",G3024&lt;&gt;"Nao",G3024&lt;&gt;""),"PC_PAGO_A_CONTRATADA invalido",IF(AND(C3024&lt;&gt;"C0",IFERROR(INDEX(parametros!$A$2:$A$6,MATCH(C3024,parametros!$B$2:$B$6,0)),"")="Sim",IFERROR(INDEX(parametros!$H$2:$H$6,MATCH(C3024,parametros!$B$2:$B$6,0)),"")=""),"INICIO_EFEITO ausente: PC "&amp;A3024&amp;" - "&amp;C3024,IF(L3024="","EFEITO_PC nao calculado: PC "&amp;A3024&amp;" - "&amp;C3024,"OK")))))))))</f>
        <v/>
      </c>
      <c r="L3024" s="92" t="str">
        <f>IF(AND(A3024="",B3024="",D3024="",G3024=""),"",IF(OR(B3024="",NOT(ISNUMBER(B3024)),C3024="",C3024="Fora dos ciclos"),"",IF(C3024="C0","Nao",IF(IFERROR(INDEX(parametros!$A$2:$A$6,MATCH(C3024,parametros!$B$2:$B$6,0)),"")&lt;&gt;"Sim","Nao",IF(IFERROR(INDEX(parametros!$H$2:$H$6,MATCH(C3024,parametros!$B$2:$B$6,0)),"")="","",IF(B3024&gt;=IFERROR(INDEX(parametros!$H$2:$H$6,MATCH(C3024,parametros!$B$2:$B$6,0)),""),"Sim","Nao"))))))</f>
        <v/>
      </c>
      <c r="T3024" s="156"/>
      <c r="U3024" s="214" t="str">
        <f t="shared" si="241"/>
        <v/>
      </c>
      <c r="V3024" s="212" t="s">
        <v>50</v>
      </c>
      <c r="W3024" s="100" t="s">
        <v>168</v>
      </c>
      <c r="X3024" s="100" t="s">
        <v>169</v>
      </c>
      <c r="Y3024" s="101" t="s">
        <v>170</v>
      </c>
      <c r="Z3024" s="101" t="s">
        <v>171</v>
      </c>
      <c r="AA3024" s="101" t="s">
        <v>50</v>
      </c>
      <c r="AB3024" s="101" t="s">
        <v>172</v>
      </c>
      <c r="AC3024" s="102" t="s">
        <v>173</v>
      </c>
    </row>
    <row r="3025" spans="1:29" ht="25.5" customHeight="1" x14ac:dyDescent="0.35">
      <c r="A3025" s="392"/>
      <c r="B3025" s="393"/>
      <c r="C3025" s="99" t="str">
        <f>IF(B3025="","",IF(NOT(ISNUMBER(B3025)),"DATA_PC invalida",IF(NOT(ISNUMBER(parametros!$C$2)),"Fora dos ciclos",IF(OR(B3025&lt;parametros!$C$2,(YEAR(B3025)-YEAR(parametros!$C$2))*12+MONTH(B3025)-MONTH(parametros!$C$2)&gt;59),"Fora dos ciclos","C"&amp;INT(((YEAR(B3025)-YEAR(parametros!$C$2))*12+MONTH(B3025)-MONTH(parametros!$C$2))/12)))))</f>
        <v/>
      </c>
      <c r="D3025" s="394"/>
      <c r="E3025" s="78" t="str">
        <f>IF(C3025="","",IFERROR(VLOOKUP(C3025,parametros!$A$11:$E$15,5,0),""))</f>
        <v/>
      </c>
      <c r="F3025" s="79" t="str">
        <f t="shared" si="237"/>
        <v/>
      </c>
      <c r="G3025" s="395"/>
      <c r="H3025" s="91">
        <f t="shared" si="238"/>
        <v>0</v>
      </c>
      <c r="I3025" s="91" t="str">
        <f t="shared" si="239"/>
        <v/>
      </c>
      <c r="J3025" s="91" t="str">
        <f t="shared" si="240"/>
        <v/>
      </c>
      <c r="K3025" s="92" t="str">
        <f>IF(AND(A3025="",B3025="",D3025="",G3025=""),"",IF(AND(A3025&lt;&gt;"",COUNTIF($A$2:$A$5001,A3025)&gt;1),"NUMERO_PC duplicado",IF(B3025="","DATA_PC vazia",IF(NOT(ISNUMBER(B3025)),"DATA_PC invalida",IF(OR(C3025="",C3025="Fora dos ciclos"),"CICLO_PC nao identificado",IF(OR(D3025="",D3025=0),"VALOR_PC vazio ou zero",IF(AND(G3025&lt;&gt;"Sim",G3025&lt;&gt;"Nao",G3025&lt;&gt;""),"PC_PAGO_A_CONTRATADA invalido",IF(AND(C3025&lt;&gt;"C0",IFERROR(INDEX(parametros!$A$2:$A$6,MATCH(C3025,parametros!$B$2:$B$6,0)),"")="Sim",IFERROR(INDEX(parametros!$H$2:$H$6,MATCH(C3025,parametros!$B$2:$B$6,0)),"")=""),"INICIO_EFEITO ausente: PC "&amp;A3025&amp;" - "&amp;C3025,IF(L3025="","EFEITO_PC nao calculado: PC "&amp;A3025&amp;" - "&amp;C3025,"OK")))))))))</f>
        <v/>
      </c>
      <c r="L3025" s="92" t="str">
        <f>IF(AND(A3025="",B3025="",D3025="",G3025=""),"",IF(OR(B3025="",NOT(ISNUMBER(B3025)),C3025="",C3025="Fora dos ciclos"),"",IF(C3025="C0","Nao",IF(IFERROR(INDEX(parametros!$A$2:$A$6,MATCH(C3025,parametros!$B$2:$B$6,0)),"")&lt;&gt;"Sim","Nao",IF(IFERROR(INDEX(parametros!$H$2:$H$6,MATCH(C3025,parametros!$B$2:$B$6,0)),"")="","",IF(B3025&gt;=IFERROR(INDEX(parametros!$H$2:$H$6,MATCH(C3025,parametros!$B$2:$B$6,0)),""),"Sim","Nao"))))))</f>
        <v/>
      </c>
      <c r="T3025" s="156"/>
      <c r="U3025" s="214" t="str">
        <f t="shared" si="241"/>
        <v/>
      </c>
      <c r="V3025" s="212" t="s">
        <v>50</v>
      </c>
      <c r="W3025" s="100" t="s">
        <v>168</v>
      </c>
      <c r="X3025" s="100" t="s">
        <v>169</v>
      </c>
      <c r="Y3025" s="101" t="s">
        <v>170</v>
      </c>
      <c r="Z3025" s="101" t="s">
        <v>171</v>
      </c>
      <c r="AA3025" s="101" t="s">
        <v>50</v>
      </c>
      <c r="AB3025" s="101" t="s">
        <v>172</v>
      </c>
      <c r="AC3025" s="102" t="s">
        <v>173</v>
      </c>
    </row>
    <row r="3026" spans="1:29" ht="25.5" customHeight="1" x14ac:dyDescent="0.35">
      <c r="A3026" s="392"/>
      <c r="B3026" s="393"/>
      <c r="C3026" s="99" t="str">
        <f>IF(B3026="","",IF(NOT(ISNUMBER(B3026)),"DATA_PC invalida",IF(NOT(ISNUMBER(parametros!$C$2)),"Fora dos ciclos",IF(OR(B3026&lt;parametros!$C$2,(YEAR(B3026)-YEAR(parametros!$C$2))*12+MONTH(B3026)-MONTH(parametros!$C$2)&gt;59),"Fora dos ciclos","C"&amp;INT(((YEAR(B3026)-YEAR(parametros!$C$2))*12+MONTH(B3026)-MONTH(parametros!$C$2))/12)))))</f>
        <v/>
      </c>
      <c r="D3026" s="394"/>
      <c r="E3026" s="78" t="str">
        <f>IF(C3026="","",IFERROR(VLOOKUP(C3026,parametros!$A$11:$E$15,5,0),""))</f>
        <v/>
      </c>
      <c r="F3026" s="79" t="str">
        <f t="shared" si="237"/>
        <v/>
      </c>
      <c r="G3026" s="395"/>
      <c r="H3026" s="91">
        <f t="shared" si="238"/>
        <v>0</v>
      </c>
      <c r="I3026" s="91" t="str">
        <f t="shared" si="239"/>
        <v/>
      </c>
      <c r="J3026" s="91" t="str">
        <f t="shared" si="240"/>
        <v/>
      </c>
      <c r="K3026" s="92" t="str">
        <f>IF(AND(A3026="",B3026="",D3026="",G3026=""),"",IF(AND(A3026&lt;&gt;"",COUNTIF($A$2:$A$5001,A3026)&gt;1),"NUMERO_PC duplicado",IF(B3026="","DATA_PC vazia",IF(NOT(ISNUMBER(B3026)),"DATA_PC invalida",IF(OR(C3026="",C3026="Fora dos ciclos"),"CICLO_PC nao identificado",IF(OR(D3026="",D3026=0),"VALOR_PC vazio ou zero",IF(AND(G3026&lt;&gt;"Sim",G3026&lt;&gt;"Nao",G3026&lt;&gt;""),"PC_PAGO_A_CONTRATADA invalido",IF(AND(C3026&lt;&gt;"C0",IFERROR(INDEX(parametros!$A$2:$A$6,MATCH(C3026,parametros!$B$2:$B$6,0)),"")="Sim",IFERROR(INDEX(parametros!$H$2:$H$6,MATCH(C3026,parametros!$B$2:$B$6,0)),"")=""),"INICIO_EFEITO ausente: PC "&amp;A3026&amp;" - "&amp;C3026,IF(L3026="","EFEITO_PC nao calculado: PC "&amp;A3026&amp;" - "&amp;C3026,"OK")))))))))</f>
        <v/>
      </c>
      <c r="L3026" s="92" t="str">
        <f>IF(AND(A3026="",B3026="",D3026="",G3026=""),"",IF(OR(B3026="",NOT(ISNUMBER(B3026)),C3026="",C3026="Fora dos ciclos"),"",IF(C3026="C0","Nao",IF(IFERROR(INDEX(parametros!$A$2:$A$6,MATCH(C3026,parametros!$B$2:$B$6,0)),"")&lt;&gt;"Sim","Nao",IF(IFERROR(INDEX(parametros!$H$2:$H$6,MATCH(C3026,parametros!$B$2:$B$6,0)),"")="","",IF(B3026&gt;=IFERROR(INDEX(parametros!$H$2:$H$6,MATCH(C3026,parametros!$B$2:$B$6,0)),""),"Sim","Nao"))))))</f>
        <v/>
      </c>
      <c r="T3026" s="156"/>
      <c r="U3026" s="214" t="str">
        <f t="shared" si="241"/>
        <v/>
      </c>
      <c r="V3026" s="212" t="s">
        <v>50</v>
      </c>
      <c r="W3026" s="100" t="s">
        <v>168</v>
      </c>
      <c r="X3026" s="100" t="s">
        <v>169</v>
      </c>
      <c r="Y3026" s="101" t="s">
        <v>170</v>
      </c>
      <c r="Z3026" s="101" t="s">
        <v>171</v>
      </c>
      <c r="AA3026" s="101" t="s">
        <v>50</v>
      </c>
      <c r="AB3026" s="101" t="s">
        <v>172</v>
      </c>
      <c r="AC3026" s="102" t="s">
        <v>173</v>
      </c>
    </row>
    <row r="3027" spans="1:29" ht="25.5" customHeight="1" x14ac:dyDescent="0.35">
      <c r="A3027" s="392"/>
      <c r="B3027" s="393"/>
      <c r="C3027" s="99" t="str">
        <f>IF(B3027="","",IF(NOT(ISNUMBER(B3027)),"DATA_PC invalida",IF(NOT(ISNUMBER(parametros!$C$2)),"Fora dos ciclos",IF(OR(B3027&lt;parametros!$C$2,(YEAR(B3027)-YEAR(parametros!$C$2))*12+MONTH(B3027)-MONTH(parametros!$C$2)&gt;59),"Fora dos ciclos","C"&amp;INT(((YEAR(B3027)-YEAR(parametros!$C$2))*12+MONTH(B3027)-MONTH(parametros!$C$2))/12)))))</f>
        <v/>
      </c>
      <c r="D3027" s="394"/>
      <c r="E3027" s="78" t="str">
        <f>IF(C3027="","",IFERROR(VLOOKUP(C3027,parametros!$A$11:$E$15,5,0),""))</f>
        <v/>
      </c>
      <c r="F3027" s="79" t="str">
        <f t="shared" si="237"/>
        <v/>
      </c>
      <c r="G3027" s="395"/>
      <c r="H3027" s="91">
        <f t="shared" si="238"/>
        <v>0</v>
      </c>
      <c r="I3027" s="91" t="str">
        <f t="shared" si="239"/>
        <v/>
      </c>
      <c r="J3027" s="91" t="str">
        <f t="shared" si="240"/>
        <v/>
      </c>
      <c r="K3027" s="92" t="str">
        <f>IF(AND(A3027="",B3027="",D3027="",G3027=""),"",IF(AND(A3027&lt;&gt;"",COUNTIF($A$2:$A$5001,A3027)&gt;1),"NUMERO_PC duplicado",IF(B3027="","DATA_PC vazia",IF(NOT(ISNUMBER(B3027)),"DATA_PC invalida",IF(OR(C3027="",C3027="Fora dos ciclos"),"CICLO_PC nao identificado",IF(OR(D3027="",D3027=0),"VALOR_PC vazio ou zero",IF(AND(G3027&lt;&gt;"Sim",G3027&lt;&gt;"Nao",G3027&lt;&gt;""),"PC_PAGO_A_CONTRATADA invalido",IF(AND(C3027&lt;&gt;"C0",IFERROR(INDEX(parametros!$A$2:$A$6,MATCH(C3027,parametros!$B$2:$B$6,0)),"")="Sim",IFERROR(INDEX(parametros!$H$2:$H$6,MATCH(C3027,parametros!$B$2:$B$6,0)),"")=""),"INICIO_EFEITO ausente: PC "&amp;A3027&amp;" - "&amp;C3027,IF(L3027="","EFEITO_PC nao calculado: PC "&amp;A3027&amp;" - "&amp;C3027,"OK")))))))))</f>
        <v/>
      </c>
      <c r="L3027" s="92" t="str">
        <f>IF(AND(A3027="",B3027="",D3027="",G3027=""),"",IF(OR(B3027="",NOT(ISNUMBER(B3027)),C3027="",C3027="Fora dos ciclos"),"",IF(C3027="C0","Nao",IF(IFERROR(INDEX(parametros!$A$2:$A$6,MATCH(C3027,parametros!$B$2:$B$6,0)),"")&lt;&gt;"Sim","Nao",IF(IFERROR(INDEX(parametros!$H$2:$H$6,MATCH(C3027,parametros!$B$2:$B$6,0)),"")="","",IF(B3027&gt;=IFERROR(INDEX(parametros!$H$2:$H$6,MATCH(C3027,parametros!$B$2:$B$6,0)),""),"Sim","Nao"))))))</f>
        <v/>
      </c>
      <c r="T3027" s="156"/>
      <c r="U3027" s="214" t="str">
        <f t="shared" si="241"/>
        <v/>
      </c>
      <c r="V3027" s="212" t="s">
        <v>50</v>
      </c>
      <c r="W3027" s="100" t="s">
        <v>168</v>
      </c>
      <c r="X3027" s="100" t="s">
        <v>169</v>
      </c>
      <c r="Y3027" s="101" t="s">
        <v>170</v>
      </c>
      <c r="Z3027" s="101" t="s">
        <v>171</v>
      </c>
      <c r="AA3027" s="101" t="s">
        <v>50</v>
      </c>
      <c r="AB3027" s="101" t="s">
        <v>172</v>
      </c>
      <c r="AC3027" s="102" t="s">
        <v>173</v>
      </c>
    </row>
    <row r="3028" spans="1:29" ht="25.5" customHeight="1" x14ac:dyDescent="0.35">
      <c r="A3028" s="392"/>
      <c r="B3028" s="393"/>
      <c r="C3028" s="99" t="str">
        <f>IF(B3028="","",IF(NOT(ISNUMBER(B3028)),"DATA_PC invalida",IF(NOT(ISNUMBER(parametros!$C$2)),"Fora dos ciclos",IF(OR(B3028&lt;parametros!$C$2,(YEAR(B3028)-YEAR(parametros!$C$2))*12+MONTH(B3028)-MONTH(parametros!$C$2)&gt;59),"Fora dos ciclos","C"&amp;INT(((YEAR(B3028)-YEAR(parametros!$C$2))*12+MONTH(B3028)-MONTH(parametros!$C$2))/12)))))</f>
        <v/>
      </c>
      <c r="D3028" s="394"/>
      <c r="E3028" s="78" t="str">
        <f>IF(C3028="","",IFERROR(VLOOKUP(C3028,parametros!$A$11:$E$15,5,0),""))</f>
        <v/>
      </c>
      <c r="F3028" s="79" t="str">
        <f t="shared" si="237"/>
        <v/>
      </c>
      <c r="G3028" s="395"/>
      <c r="H3028" s="91">
        <f t="shared" si="238"/>
        <v>0</v>
      </c>
      <c r="I3028" s="91" t="str">
        <f t="shared" si="239"/>
        <v/>
      </c>
      <c r="J3028" s="91" t="str">
        <f t="shared" si="240"/>
        <v/>
      </c>
      <c r="K3028" s="92" t="str">
        <f>IF(AND(A3028="",B3028="",D3028="",G3028=""),"",IF(AND(A3028&lt;&gt;"",COUNTIF($A$2:$A$5001,A3028)&gt;1),"NUMERO_PC duplicado",IF(B3028="","DATA_PC vazia",IF(NOT(ISNUMBER(B3028)),"DATA_PC invalida",IF(OR(C3028="",C3028="Fora dos ciclos"),"CICLO_PC nao identificado",IF(OR(D3028="",D3028=0),"VALOR_PC vazio ou zero",IF(AND(G3028&lt;&gt;"Sim",G3028&lt;&gt;"Nao",G3028&lt;&gt;""),"PC_PAGO_A_CONTRATADA invalido",IF(AND(C3028&lt;&gt;"C0",IFERROR(INDEX(parametros!$A$2:$A$6,MATCH(C3028,parametros!$B$2:$B$6,0)),"")="Sim",IFERROR(INDEX(parametros!$H$2:$H$6,MATCH(C3028,parametros!$B$2:$B$6,0)),"")=""),"INICIO_EFEITO ausente: PC "&amp;A3028&amp;" - "&amp;C3028,IF(L3028="","EFEITO_PC nao calculado: PC "&amp;A3028&amp;" - "&amp;C3028,"OK")))))))))</f>
        <v/>
      </c>
      <c r="L3028" s="92" t="str">
        <f>IF(AND(A3028="",B3028="",D3028="",G3028=""),"",IF(OR(B3028="",NOT(ISNUMBER(B3028)),C3028="",C3028="Fora dos ciclos"),"",IF(C3028="C0","Nao",IF(IFERROR(INDEX(parametros!$A$2:$A$6,MATCH(C3028,parametros!$B$2:$B$6,0)),"")&lt;&gt;"Sim","Nao",IF(IFERROR(INDEX(parametros!$H$2:$H$6,MATCH(C3028,parametros!$B$2:$B$6,0)),"")="","",IF(B3028&gt;=IFERROR(INDEX(parametros!$H$2:$H$6,MATCH(C3028,parametros!$B$2:$B$6,0)),""),"Sim","Nao"))))))</f>
        <v/>
      </c>
      <c r="T3028" s="156"/>
      <c r="U3028" s="214" t="str">
        <f t="shared" si="241"/>
        <v/>
      </c>
      <c r="V3028" s="212" t="s">
        <v>50</v>
      </c>
      <c r="W3028" s="100" t="s">
        <v>168</v>
      </c>
      <c r="X3028" s="100" t="s">
        <v>169</v>
      </c>
      <c r="Y3028" s="101" t="s">
        <v>170</v>
      </c>
      <c r="Z3028" s="101" t="s">
        <v>171</v>
      </c>
      <c r="AA3028" s="101" t="s">
        <v>50</v>
      </c>
      <c r="AB3028" s="101" t="s">
        <v>172</v>
      </c>
      <c r="AC3028" s="102" t="s">
        <v>173</v>
      </c>
    </row>
    <row r="3029" spans="1:29" ht="25.5" customHeight="1" x14ac:dyDescent="0.35">
      <c r="A3029" s="392"/>
      <c r="B3029" s="393"/>
      <c r="C3029" s="99" t="str">
        <f>IF(B3029="","",IF(NOT(ISNUMBER(B3029)),"DATA_PC invalida",IF(NOT(ISNUMBER(parametros!$C$2)),"Fora dos ciclos",IF(OR(B3029&lt;parametros!$C$2,(YEAR(B3029)-YEAR(parametros!$C$2))*12+MONTH(B3029)-MONTH(parametros!$C$2)&gt;59),"Fora dos ciclos","C"&amp;INT(((YEAR(B3029)-YEAR(parametros!$C$2))*12+MONTH(B3029)-MONTH(parametros!$C$2))/12)))))</f>
        <v/>
      </c>
      <c r="D3029" s="394"/>
      <c r="E3029" s="78" t="str">
        <f>IF(C3029="","",IFERROR(VLOOKUP(C3029,parametros!$A$11:$E$15,5,0),""))</f>
        <v/>
      </c>
      <c r="F3029" s="79" t="str">
        <f t="shared" si="237"/>
        <v/>
      </c>
      <c r="G3029" s="395"/>
      <c r="H3029" s="91">
        <f t="shared" si="238"/>
        <v>0</v>
      </c>
      <c r="I3029" s="91" t="str">
        <f t="shared" si="239"/>
        <v/>
      </c>
      <c r="J3029" s="91" t="str">
        <f t="shared" si="240"/>
        <v/>
      </c>
      <c r="K3029" s="92" t="str">
        <f>IF(AND(A3029="",B3029="",D3029="",G3029=""),"",IF(AND(A3029&lt;&gt;"",COUNTIF($A$2:$A$5001,A3029)&gt;1),"NUMERO_PC duplicado",IF(B3029="","DATA_PC vazia",IF(NOT(ISNUMBER(B3029)),"DATA_PC invalida",IF(OR(C3029="",C3029="Fora dos ciclos"),"CICLO_PC nao identificado",IF(OR(D3029="",D3029=0),"VALOR_PC vazio ou zero",IF(AND(G3029&lt;&gt;"Sim",G3029&lt;&gt;"Nao",G3029&lt;&gt;""),"PC_PAGO_A_CONTRATADA invalido",IF(AND(C3029&lt;&gt;"C0",IFERROR(INDEX(parametros!$A$2:$A$6,MATCH(C3029,parametros!$B$2:$B$6,0)),"")="Sim",IFERROR(INDEX(parametros!$H$2:$H$6,MATCH(C3029,parametros!$B$2:$B$6,0)),"")=""),"INICIO_EFEITO ausente: PC "&amp;A3029&amp;" - "&amp;C3029,IF(L3029="","EFEITO_PC nao calculado: PC "&amp;A3029&amp;" - "&amp;C3029,"OK")))))))))</f>
        <v/>
      </c>
      <c r="L3029" s="92" t="str">
        <f>IF(AND(A3029="",B3029="",D3029="",G3029=""),"",IF(OR(B3029="",NOT(ISNUMBER(B3029)),C3029="",C3029="Fora dos ciclos"),"",IF(C3029="C0","Nao",IF(IFERROR(INDEX(parametros!$A$2:$A$6,MATCH(C3029,parametros!$B$2:$B$6,0)),"")&lt;&gt;"Sim","Nao",IF(IFERROR(INDEX(parametros!$H$2:$H$6,MATCH(C3029,parametros!$B$2:$B$6,0)),"")="","",IF(B3029&gt;=IFERROR(INDEX(parametros!$H$2:$H$6,MATCH(C3029,parametros!$B$2:$B$6,0)),""),"Sim","Nao"))))))</f>
        <v/>
      </c>
      <c r="T3029" s="156"/>
      <c r="U3029" s="214" t="str">
        <f t="shared" si="241"/>
        <v/>
      </c>
      <c r="V3029" s="212" t="s">
        <v>50</v>
      </c>
      <c r="W3029" s="100" t="s">
        <v>168</v>
      </c>
      <c r="X3029" s="100" t="s">
        <v>169</v>
      </c>
      <c r="Y3029" s="101" t="s">
        <v>170</v>
      </c>
      <c r="Z3029" s="101" t="s">
        <v>171</v>
      </c>
      <c r="AA3029" s="101" t="s">
        <v>50</v>
      </c>
      <c r="AB3029" s="101" t="s">
        <v>172</v>
      </c>
      <c r="AC3029" s="102" t="s">
        <v>173</v>
      </c>
    </row>
    <row r="3030" spans="1:29" ht="25.5" customHeight="1" x14ac:dyDescent="0.35">
      <c r="A3030" s="392"/>
      <c r="B3030" s="393"/>
      <c r="C3030" s="99" t="str">
        <f>IF(B3030="","",IF(NOT(ISNUMBER(B3030)),"DATA_PC invalida",IF(NOT(ISNUMBER(parametros!$C$2)),"Fora dos ciclos",IF(OR(B3030&lt;parametros!$C$2,(YEAR(B3030)-YEAR(parametros!$C$2))*12+MONTH(B3030)-MONTH(parametros!$C$2)&gt;59),"Fora dos ciclos","C"&amp;INT(((YEAR(B3030)-YEAR(parametros!$C$2))*12+MONTH(B3030)-MONTH(parametros!$C$2))/12)))))</f>
        <v/>
      </c>
      <c r="D3030" s="394"/>
      <c r="E3030" s="78" t="str">
        <f>IF(C3030="","",IFERROR(VLOOKUP(C3030,parametros!$A$11:$E$15,5,0),""))</f>
        <v/>
      </c>
      <c r="F3030" s="79" t="str">
        <f t="shared" si="237"/>
        <v/>
      </c>
      <c r="G3030" s="395"/>
      <c r="H3030" s="91">
        <f t="shared" si="238"/>
        <v>0</v>
      </c>
      <c r="I3030" s="91" t="str">
        <f t="shared" si="239"/>
        <v/>
      </c>
      <c r="J3030" s="91" t="str">
        <f t="shared" si="240"/>
        <v/>
      </c>
      <c r="K3030" s="92" t="str">
        <f>IF(AND(A3030="",B3030="",D3030="",G3030=""),"",IF(AND(A3030&lt;&gt;"",COUNTIF($A$2:$A$5001,A3030)&gt;1),"NUMERO_PC duplicado",IF(B3030="","DATA_PC vazia",IF(NOT(ISNUMBER(B3030)),"DATA_PC invalida",IF(OR(C3030="",C3030="Fora dos ciclos"),"CICLO_PC nao identificado",IF(OR(D3030="",D3030=0),"VALOR_PC vazio ou zero",IF(AND(G3030&lt;&gt;"Sim",G3030&lt;&gt;"Nao",G3030&lt;&gt;""),"PC_PAGO_A_CONTRATADA invalido",IF(AND(C3030&lt;&gt;"C0",IFERROR(INDEX(parametros!$A$2:$A$6,MATCH(C3030,parametros!$B$2:$B$6,0)),"")="Sim",IFERROR(INDEX(parametros!$H$2:$H$6,MATCH(C3030,parametros!$B$2:$B$6,0)),"")=""),"INICIO_EFEITO ausente: PC "&amp;A3030&amp;" - "&amp;C3030,IF(L3030="","EFEITO_PC nao calculado: PC "&amp;A3030&amp;" - "&amp;C3030,"OK")))))))))</f>
        <v/>
      </c>
      <c r="L3030" s="92" t="str">
        <f>IF(AND(A3030="",B3030="",D3030="",G3030=""),"",IF(OR(B3030="",NOT(ISNUMBER(B3030)),C3030="",C3030="Fora dos ciclos"),"",IF(C3030="C0","Nao",IF(IFERROR(INDEX(parametros!$A$2:$A$6,MATCH(C3030,parametros!$B$2:$B$6,0)),"")&lt;&gt;"Sim","Nao",IF(IFERROR(INDEX(parametros!$H$2:$H$6,MATCH(C3030,parametros!$B$2:$B$6,0)),"")="","",IF(B3030&gt;=IFERROR(INDEX(parametros!$H$2:$H$6,MATCH(C3030,parametros!$B$2:$B$6,0)),""),"Sim","Nao"))))))</f>
        <v/>
      </c>
      <c r="T3030" s="156"/>
      <c r="U3030" s="214" t="str">
        <f t="shared" si="241"/>
        <v/>
      </c>
      <c r="V3030" s="212" t="s">
        <v>50</v>
      </c>
      <c r="W3030" s="100" t="s">
        <v>168</v>
      </c>
      <c r="X3030" s="100" t="s">
        <v>169</v>
      </c>
      <c r="Y3030" s="101" t="s">
        <v>170</v>
      </c>
      <c r="Z3030" s="101" t="s">
        <v>171</v>
      </c>
      <c r="AA3030" s="101" t="s">
        <v>50</v>
      </c>
      <c r="AB3030" s="101" t="s">
        <v>172</v>
      </c>
      <c r="AC3030" s="102" t="s">
        <v>173</v>
      </c>
    </row>
    <row r="3031" spans="1:29" ht="25.5" customHeight="1" x14ac:dyDescent="0.35">
      <c r="A3031" s="392"/>
      <c r="B3031" s="393"/>
      <c r="C3031" s="99" t="str">
        <f>IF(B3031="","",IF(NOT(ISNUMBER(B3031)),"DATA_PC invalida",IF(NOT(ISNUMBER(parametros!$C$2)),"Fora dos ciclos",IF(OR(B3031&lt;parametros!$C$2,(YEAR(B3031)-YEAR(parametros!$C$2))*12+MONTH(B3031)-MONTH(parametros!$C$2)&gt;59),"Fora dos ciclos","C"&amp;INT(((YEAR(B3031)-YEAR(parametros!$C$2))*12+MONTH(B3031)-MONTH(parametros!$C$2))/12)))))</f>
        <v/>
      </c>
      <c r="D3031" s="394"/>
      <c r="E3031" s="78" t="str">
        <f>IF(C3031="","",IFERROR(VLOOKUP(C3031,parametros!$A$11:$E$15,5,0),""))</f>
        <v/>
      </c>
      <c r="F3031" s="79" t="str">
        <f t="shared" si="237"/>
        <v/>
      </c>
      <c r="G3031" s="395"/>
      <c r="H3031" s="91">
        <f t="shared" si="238"/>
        <v>0</v>
      </c>
      <c r="I3031" s="91" t="str">
        <f t="shared" si="239"/>
        <v/>
      </c>
      <c r="J3031" s="91" t="str">
        <f t="shared" si="240"/>
        <v/>
      </c>
      <c r="K3031" s="92" t="str">
        <f>IF(AND(A3031="",B3031="",D3031="",G3031=""),"",IF(AND(A3031&lt;&gt;"",COUNTIF($A$2:$A$5001,A3031)&gt;1),"NUMERO_PC duplicado",IF(B3031="","DATA_PC vazia",IF(NOT(ISNUMBER(B3031)),"DATA_PC invalida",IF(OR(C3031="",C3031="Fora dos ciclos"),"CICLO_PC nao identificado",IF(OR(D3031="",D3031=0),"VALOR_PC vazio ou zero",IF(AND(G3031&lt;&gt;"Sim",G3031&lt;&gt;"Nao",G3031&lt;&gt;""),"PC_PAGO_A_CONTRATADA invalido",IF(AND(C3031&lt;&gt;"C0",IFERROR(INDEX(parametros!$A$2:$A$6,MATCH(C3031,parametros!$B$2:$B$6,0)),"")="Sim",IFERROR(INDEX(parametros!$H$2:$H$6,MATCH(C3031,parametros!$B$2:$B$6,0)),"")=""),"INICIO_EFEITO ausente: PC "&amp;A3031&amp;" - "&amp;C3031,IF(L3031="","EFEITO_PC nao calculado: PC "&amp;A3031&amp;" - "&amp;C3031,"OK")))))))))</f>
        <v/>
      </c>
      <c r="L3031" s="92" t="str">
        <f>IF(AND(A3031="",B3031="",D3031="",G3031=""),"",IF(OR(B3031="",NOT(ISNUMBER(B3031)),C3031="",C3031="Fora dos ciclos"),"",IF(C3031="C0","Nao",IF(IFERROR(INDEX(parametros!$A$2:$A$6,MATCH(C3031,parametros!$B$2:$B$6,0)),"")&lt;&gt;"Sim","Nao",IF(IFERROR(INDEX(parametros!$H$2:$H$6,MATCH(C3031,parametros!$B$2:$B$6,0)),"")="","",IF(B3031&gt;=IFERROR(INDEX(parametros!$H$2:$H$6,MATCH(C3031,parametros!$B$2:$B$6,0)),""),"Sim","Nao"))))))</f>
        <v/>
      </c>
      <c r="T3031" s="156"/>
      <c r="U3031" s="214" t="str">
        <f t="shared" si="241"/>
        <v/>
      </c>
      <c r="V3031" s="212" t="s">
        <v>50</v>
      </c>
      <c r="W3031" s="100" t="s">
        <v>168</v>
      </c>
      <c r="X3031" s="100" t="s">
        <v>169</v>
      </c>
      <c r="Y3031" s="101" t="s">
        <v>170</v>
      </c>
      <c r="Z3031" s="101" t="s">
        <v>171</v>
      </c>
      <c r="AA3031" s="101" t="s">
        <v>50</v>
      </c>
      <c r="AB3031" s="101" t="s">
        <v>172</v>
      </c>
      <c r="AC3031" s="102" t="s">
        <v>173</v>
      </c>
    </row>
    <row r="3032" spans="1:29" ht="25.5" customHeight="1" x14ac:dyDescent="0.35">
      <c r="A3032" s="392"/>
      <c r="B3032" s="393"/>
      <c r="C3032" s="99" t="str">
        <f>IF(B3032="","",IF(NOT(ISNUMBER(B3032)),"DATA_PC invalida",IF(NOT(ISNUMBER(parametros!$C$2)),"Fora dos ciclos",IF(OR(B3032&lt;parametros!$C$2,(YEAR(B3032)-YEAR(parametros!$C$2))*12+MONTH(B3032)-MONTH(parametros!$C$2)&gt;59),"Fora dos ciclos","C"&amp;INT(((YEAR(B3032)-YEAR(parametros!$C$2))*12+MONTH(B3032)-MONTH(parametros!$C$2))/12)))))</f>
        <v/>
      </c>
      <c r="D3032" s="394"/>
      <c r="E3032" s="78" t="str">
        <f>IF(C3032="","",IFERROR(VLOOKUP(C3032,parametros!$A$11:$E$15,5,0),""))</f>
        <v/>
      </c>
      <c r="F3032" s="79" t="str">
        <f t="shared" si="237"/>
        <v/>
      </c>
      <c r="G3032" s="395"/>
      <c r="H3032" s="91">
        <f t="shared" si="238"/>
        <v>0</v>
      </c>
      <c r="I3032" s="91" t="str">
        <f t="shared" si="239"/>
        <v/>
      </c>
      <c r="J3032" s="91" t="str">
        <f t="shared" si="240"/>
        <v/>
      </c>
      <c r="K3032" s="92" t="str">
        <f>IF(AND(A3032="",B3032="",D3032="",G3032=""),"",IF(AND(A3032&lt;&gt;"",COUNTIF($A$2:$A$5001,A3032)&gt;1),"NUMERO_PC duplicado",IF(B3032="","DATA_PC vazia",IF(NOT(ISNUMBER(B3032)),"DATA_PC invalida",IF(OR(C3032="",C3032="Fora dos ciclos"),"CICLO_PC nao identificado",IF(OR(D3032="",D3032=0),"VALOR_PC vazio ou zero",IF(AND(G3032&lt;&gt;"Sim",G3032&lt;&gt;"Nao",G3032&lt;&gt;""),"PC_PAGO_A_CONTRATADA invalido",IF(AND(C3032&lt;&gt;"C0",IFERROR(INDEX(parametros!$A$2:$A$6,MATCH(C3032,parametros!$B$2:$B$6,0)),"")="Sim",IFERROR(INDEX(parametros!$H$2:$H$6,MATCH(C3032,parametros!$B$2:$B$6,0)),"")=""),"INICIO_EFEITO ausente: PC "&amp;A3032&amp;" - "&amp;C3032,IF(L3032="","EFEITO_PC nao calculado: PC "&amp;A3032&amp;" - "&amp;C3032,"OK")))))))))</f>
        <v/>
      </c>
      <c r="L3032" s="92" t="str">
        <f>IF(AND(A3032="",B3032="",D3032="",G3032=""),"",IF(OR(B3032="",NOT(ISNUMBER(B3032)),C3032="",C3032="Fora dos ciclos"),"",IF(C3032="C0","Nao",IF(IFERROR(INDEX(parametros!$A$2:$A$6,MATCH(C3032,parametros!$B$2:$B$6,0)),"")&lt;&gt;"Sim","Nao",IF(IFERROR(INDEX(parametros!$H$2:$H$6,MATCH(C3032,parametros!$B$2:$B$6,0)),"")="","",IF(B3032&gt;=IFERROR(INDEX(parametros!$H$2:$H$6,MATCH(C3032,parametros!$B$2:$B$6,0)),""),"Sim","Nao"))))))</f>
        <v/>
      </c>
      <c r="T3032" s="156"/>
      <c r="U3032" s="214" t="str">
        <f t="shared" si="241"/>
        <v/>
      </c>
      <c r="V3032" s="212" t="s">
        <v>50</v>
      </c>
      <c r="W3032" s="100" t="s">
        <v>168</v>
      </c>
      <c r="X3032" s="100" t="s">
        <v>169</v>
      </c>
      <c r="Y3032" s="101" t="s">
        <v>170</v>
      </c>
      <c r="Z3032" s="101" t="s">
        <v>171</v>
      </c>
      <c r="AA3032" s="101" t="s">
        <v>50</v>
      </c>
      <c r="AB3032" s="101" t="s">
        <v>172</v>
      </c>
      <c r="AC3032" s="102" t="s">
        <v>173</v>
      </c>
    </row>
    <row r="3033" spans="1:29" ht="25.5" customHeight="1" x14ac:dyDescent="0.35">
      <c r="A3033" s="392"/>
      <c r="B3033" s="393"/>
      <c r="C3033" s="99" t="str">
        <f>IF(B3033="","",IF(NOT(ISNUMBER(B3033)),"DATA_PC invalida",IF(NOT(ISNUMBER(parametros!$C$2)),"Fora dos ciclos",IF(OR(B3033&lt;parametros!$C$2,(YEAR(B3033)-YEAR(parametros!$C$2))*12+MONTH(B3033)-MONTH(parametros!$C$2)&gt;59),"Fora dos ciclos","C"&amp;INT(((YEAR(B3033)-YEAR(parametros!$C$2))*12+MONTH(B3033)-MONTH(parametros!$C$2))/12)))))</f>
        <v/>
      </c>
      <c r="D3033" s="394"/>
      <c r="E3033" s="78" t="str">
        <f>IF(C3033="","",IFERROR(VLOOKUP(C3033,parametros!$A$11:$E$15,5,0),""))</f>
        <v/>
      </c>
      <c r="F3033" s="79" t="str">
        <f t="shared" si="237"/>
        <v/>
      </c>
      <c r="G3033" s="395"/>
      <c r="H3033" s="91">
        <f t="shared" si="238"/>
        <v>0</v>
      </c>
      <c r="I3033" s="91" t="str">
        <f t="shared" si="239"/>
        <v/>
      </c>
      <c r="J3033" s="91" t="str">
        <f t="shared" si="240"/>
        <v/>
      </c>
      <c r="K3033" s="92" t="str">
        <f>IF(AND(A3033="",B3033="",D3033="",G3033=""),"",IF(AND(A3033&lt;&gt;"",COUNTIF($A$2:$A$5001,A3033)&gt;1),"NUMERO_PC duplicado",IF(B3033="","DATA_PC vazia",IF(NOT(ISNUMBER(B3033)),"DATA_PC invalida",IF(OR(C3033="",C3033="Fora dos ciclos"),"CICLO_PC nao identificado",IF(OR(D3033="",D3033=0),"VALOR_PC vazio ou zero",IF(AND(G3033&lt;&gt;"Sim",G3033&lt;&gt;"Nao",G3033&lt;&gt;""),"PC_PAGO_A_CONTRATADA invalido",IF(AND(C3033&lt;&gt;"C0",IFERROR(INDEX(parametros!$A$2:$A$6,MATCH(C3033,parametros!$B$2:$B$6,0)),"")="Sim",IFERROR(INDEX(parametros!$H$2:$H$6,MATCH(C3033,parametros!$B$2:$B$6,0)),"")=""),"INICIO_EFEITO ausente: PC "&amp;A3033&amp;" - "&amp;C3033,IF(L3033="","EFEITO_PC nao calculado: PC "&amp;A3033&amp;" - "&amp;C3033,"OK")))))))))</f>
        <v/>
      </c>
      <c r="L3033" s="92" t="str">
        <f>IF(AND(A3033="",B3033="",D3033="",G3033=""),"",IF(OR(B3033="",NOT(ISNUMBER(B3033)),C3033="",C3033="Fora dos ciclos"),"",IF(C3033="C0","Nao",IF(IFERROR(INDEX(parametros!$A$2:$A$6,MATCH(C3033,parametros!$B$2:$B$6,0)),"")&lt;&gt;"Sim","Nao",IF(IFERROR(INDEX(parametros!$H$2:$H$6,MATCH(C3033,parametros!$B$2:$B$6,0)),"")="","",IF(B3033&gt;=IFERROR(INDEX(parametros!$H$2:$H$6,MATCH(C3033,parametros!$B$2:$B$6,0)),""),"Sim","Nao"))))))</f>
        <v/>
      </c>
      <c r="T3033" s="156"/>
      <c r="U3033" s="214" t="str">
        <f t="shared" si="241"/>
        <v/>
      </c>
      <c r="V3033" s="212" t="s">
        <v>50</v>
      </c>
      <c r="W3033" s="100" t="s">
        <v>168</v>
      </c>
      <c r="X3033" s="100" t="s">
        <v>169</v>
      </c>
      <c r="Y3033" s="101" t="s">
        <v>170</v>
      </c>
      <c r="Z3033" s="101" t="s">
        <v>171</v>
      </c>
      <c r="AA3033" s="101" t="s">
        <v>50</v>
      </c>
      <c r="AB3033" s="101" t="s">
        <v>172</v>
      </c>
      <c r="AC3033" s="102" t="s">
        <v>173</v>
      </c>
    </row>
    <row r="3034" spans="1:29" ht="25.5" customHeight="1" x14ac:dyDescent="0.35">
      <c r="A3034" s="392"/>
      <c r="B3034" s="393"/>
      <c r="C3034" s="99" t="str">
        <f>IF(B3034="","",IF(NOT(ISNUMBER(B3034)),"DATA_PC invalida",IF(NOT(ISNUMBER(parametros!$C$2)),"Fora dos ciclos",IF(OR(B3034&lt;parametros!$C$2,(YEAR(B3034)-YEAR(parametros!$C$2))*12+MONTH(B3034)-MONTH(parametros!$C$2)&gt;59),"Fora dos ciclos","C"&amp;INT(((YEAR(B3034)-YEAR(parametros!$C$2))*12+MONTH(B3034)-MONTH(parametros!$C$2))/12)))))</f>
        <v/>
      </c>
      <c r="D3034" s="394"/>
      <c r="E3034" s="78" t="str">
        <f>IF(C3034="","",IFERROR(VLOOKUP(C3034,parametros!$A$11:$E$15,5,0),""))</f>
        <v/>
      </c>
      <c r="F3034" s="79" t="str">
        <f t="shared" si="237"/>
        <v/>
      </c>
      <c r="G3034" s="395"/>
      <c r="H3034" s="91">
        <f t="shared" si="238"/>
        <v>0</v>
      </c>
      <c r="I3034" s="91" t="str">
        <f t="shared" si="239"/>
        <v/>
      </c>
      <c r="J3034" s="91" t="str">
        <f t="shared" si="240"/>
        <v/>
      </c>
      <c r="K3034" s="92" t="str">
        <f>IF(AND(A3034="",B3034="",D3034="",G3034=""),"",IF(AND(A3034&lt;&gt;"",COUNTIF($A$2:$A$5001,A3034)&gt;1),"NUMERO_PC duplicado",IF(B3034="","DATA_PC vazia",IF(NOT(ISNUMBER(B3034)),"DATA_PC invalida",IF(OR(C3034="",C3034="Fora dos ciclos"),"CICLO_PC nao identificado",IF(OR(D3034="",D3034=0),"VALOR_PC vazio ou zero",IF(AND(G3034&lt;&gt;"Sim",G3034&lt;&gt;"Nao",G3034&lt;&gt;""),"PC_PAGO_A_CONTRATADA invalido",IF(AND(C3034&lt;&gt;"C0",IFERROR(INDEX(parametros!$A$2:$A$6,MATCH(C3034,parametros!$B$2:$B$6,0)),"")="Sim",IFERROR(INDEX(parametros!$H$2:$H$6,MATCH(C3034,parametros!$B$2:$B$6,0)),"")=""),"INICIO_EFEITO ausente: PC "&amp;A3034&amp;" - "&amp;C3034,IF(L3034="","EFEITO_PC nao calculado: PC "&amp;A3034&amp;" - "&amp;C3034,"OK")))))))))</f>
        <v/>
      </c>
      <c r="L3034" s="92" t="str">
        <f>IF(AND(A3034="",B3034="",D3034="",G3034=""),"",IF(OR(B3034="",NOT(ISNUMBER(B3034)),C3034="",C3034="Fora dos ciclos"),"",IF(C3034="C0","Nao",IF(IFERROR(INDEX(parametros!$A$2:$A$6,MATCH(C3034,parametros!$B$2:$B$6,0)),"")&lt;&gt;"Sim","Nao",IF(IFERROR(INDEX(parametros!$H$2:$H$6,MATCH(C3034,parametros!$B$2:$B$6,0)),"")="","",IF(B3034&gt;=IFERROR(INDEX(parametros!$H$2:$H$6,MATCH(C3034,parametros!$B$2:$B$6,0)),""),"Sim","Nao"))))))</f>
        <v/>
      </c>
      <c r="T3034" s="156"/>
      <c r="U3034" s="214" t="str">
        <f t="shared" si="241"/>
        <v/>
      </c>
      <c r="V3034" s="212" t="s">
        <v>50</v>
      </c>
      <c r="W3034" s="100" t="s">
        <v>168</v>
      </c>
      <c r="X3034" s="100" t="s">
        <v>169</v>
      </c>
      <c r="Y3034" s="101" t="s">
        <v>170</v>
      </c>
      <c r="Z3034" s="101" t="s">
        <v>171</v>
      </c>
      <c r="AA3034" s="101" t="s">
        <v>50</v>
      </c>
      <c r="AB3034" s="101" t="s">
        <v>172</v>
      </c>
      <c r="AC3034" s="102" t="s">
        <v>173</v>
      </c>
    </row>
    <row r="3035" spans="1:29" ht="25.5" customHeight="1" x14ac:dyDescent="0.35">
      <c r="A3035" s="392"/>
      <c r="B3035" s="393"/>
      <c r="C3035" s="99" t="str">
        <f>IF(B3035="","",IF(NOT(ISNUMBER(B3035)),"DATA_PC invalida",IF(NOT(ISNUMBER(parametros!$C$2)),"Fora dos ciclos",IF(OR(B3035&lt;parametros!$C$2,(YEAR(B3035)-YEAR(parametros!$C$2))*12+MONTH(B3035)-MONTH(parametros!$C$2)&gt;59),"Fora dos ciclos","C"&amp;INT(((YEAR(B3035)-YEAR(parametros!$C$2))*12+MONTH(B3035)-MONTH(parametros!$C$2))/12)))))</f>
        <v/>
      </c>
      <c r="D3035" s="394"/>
      <c r="E3035" s="78" t="str">
        <f>IF(C3035="","",IFERROR(VLOOKUP(C3035,parametros!$A$11:$E$15,5,0),""))</f>
        <v/>
      </c>
      <c r="F3035" s="79" t="str">
        <f t="shared" si="237"/>
        <v/>
      </c>
      <c r="G3035" s="395"/>
      <c r="H3035" s="91">
        <f t="shared" si="238"/>
        <v>0</v>
      </c>
      <c r="I3035" s="91" t="str">
        <f t="shared" si="239"/>
        <v/>
      </c>
      <c r="J3035" s="91" t="str">
        <f t="shared" si="240"/>
        <v/>
      </c>
      <c r="K3035" s="92" t="str">
        <f>IF(AND(A3035="",B3035="",D3035="",G3035=""),"",IF(AND(A3035&lt;&gt;"",COUNTIF($A$2:$A$5001,A3035)&gt;1),"NUMERO_PC duplicado",IF(B3035="","DATA_PC vazia",IF(NOT(ISNUMBER(B3035)),"DATA_PC invalida",IF(OR(C3035="",C3035="Fora dos ciclos"),"CICLO_PC nao identificado",IF(OR(D3035="",D3035=0),"VALOR_PC vazio ou zero",IF(AND(G3035&lt;&gt;"Sim",G3035&lt;&gt;"Nao",G3035&lt;&gt;""),"PC_PAGO_A_CONTRATADA invalido",IF(AND(C3035&lt;&gt;"C0",IFERROR(INDEX(parametros!$A$2:$A$6,MATCH(C3035,parametros!$B$2:$B$6,0)),"")="Sim",IFERROR(INDEX(parametros!$H$2:$H$6,MATCH(C3035,parametros!$B$2:$B$6,0)),"")=""),"INICIO_EFEITO ausente: PC "&amp;A3035&amp;" - "&amp;C3035,IF(L3035="","EFEITO_PC nao calculado: PC "&amp;A3035&amp;" - "&amp;C3035,"OK")))))))))</f>
        <v/>
      </c>
      <c r="L3035" s="92" t="str">
        <f>IF(AND(A3035="",B3035="",D3035="",G3035=""),"",IF(OR(B3035="",NOT(ISNUMBER(B3035)),C3035="",C3035="Fora dos ciclos"),"",IF(C3035="C0","Nao",IF(IFERROR(INDEX(parametros!$A$2:$A$6,MATCH(C3035,parametros!$B$2:$B$6,0)),"")&lt;&gt;"Sim","Nao",IF(IFERROR(INDEX(parametros!$H$2:$H$6,MATCH(C3035,parametros!$B$2:$B$6,0)),"")="","",IF(B3035&gt;=IFERROR(INDEX(parametros!$H$2:$H$6,MATCH(C3035,parametros!$B$2:$B$6,0)),""),"Sim","Nao"))))))</f>
        <v/>
      </c>
      <c r="T3035" s="156"/>
      <c r="U3035" s="214" t="str">
        <f t="shared" si="241"/>
        <v/>
      </c>
      <c r="V3035" s="212" t="s">
        <v>50</v>
      </c>
      <c r="W3035" s="100" t="s">
        <v>168</v>
      </c>
      <c r="X3035" s="100" t="s">
        <v>169</v>
      </c>
      <c r="Y3035" s="101" t="s">
        <v>170</v>
      </c>
      <c r="Z3035" s="101" t="s">
        <v>171</v>
      </c>
      <c r="AA3035" s="101" t="s">
        <v>50</v>
      </c>
      <c r="AB3035" s="101" t="s">
        <v>172</v>
      </c>
      <c r="AC3035" s="102" t="s">
        <v>173</v>
      </c>
    </row>
    <row r="3036" spans="1:29" ht="25.5" customHeight="1" x14ac:dyDescent="0.35">
      <c r="A3036" s="392"/>
      <c r="B3036" s="393"/>
      <c r="C3036" s="99" t="str">
        <f>IF(B3036="","",IF(NOT(ISNUMBER(B3036)),"DATA_PC invalida",IF(NOT(ISNUMBER(parametros!$C$2)),"Fora dos ciclos",IF(OR(B3036&lt;parametros!$C$2,(YEAR(B3036)-YEAR(parametros!$C$2))*12+MONTH(B3036)-MONTH(parametros!$C$2)&gt;59),"Fora dos ciclos","C"&amp;INT(((YEAR(B3036)-YEAR(parametros!$C$2))*12+MONTH(B3036)-MONTH(parametros!$C$2))/12)))))</f>
        <v/>
      </c>
      <c r="D3036" s="394"/>
      <c r="E3036" s="78" t="str">
        <f>IF(C3036="","",IFERROR(VLOOKUP(C3036,parametros!$A$11:$E$15,5,0),""))</f>
        <v/>
      </c>
      <c r="F3036" s="79" t="str">
        <f t="shared" si="237"/>
        <v/>
      </c>
      <c r="G3036" s="395"/>
      <c r="H3036" s="91">
        <f t="shared" si="238"/>
        <v>0</v>
      </c>
      <c r="I3036" s="91" t="str">
        <f t="shared" si="239"/>
        <v/>
      </c>
      <c r="J3036" s="91" t="str">
        <f t="shared" si="240"/>
        <v/>
      </c>
      <c r="K3036" s="92" t="str">
        <f>IF(AND(A3036="",B3036="",D3036="",G3036=""),"",IF(AND(A3036&lt;&gt;"",COUNTIF($A$2:$A$5001,A3036)&gt;1),"NUMERO_PC duplicado",IF(B3036="","DATA_PC vazia",IF(NOT(ISNUMBER(B3036)),"DATA_PC invalida",IF(OR(C3036="",C3036="Fora dos ciclos"),"CICLO_PC nao identificado",IF(OR(D3036="",D3036=0),"VALOR_PC vazio ou zero",IF(AND(G3036&lt;&gt;"Sim",G3036&lt;&gt;"Nao",G3036&lt;&gt;""),"PC_PAGO_A_CONTRATADA invalido",IF(AND(C3036&lt;&gt;"C0",IFERROR(INDEX(parametros!$A$2:$A$6,MATCH(C3036,parametros!$B$2:$B$6,0)),"")="Sim",IFERROR(INDEX(parametros!$H$2:$H$6,MATCH(C3036,parametros!$B$2:$B$6,0)),"")=""),"INICIO_EFEITO ausente: PC "&amp;A3036&amp;" - "&amp;C3036,IF(L3036="","EFEITO_PC nao calculado: PC "&amp;A3036&amp;" - "&amp;C3036,"OK")))))))))</f>
        <v/>
      </c>
      <c r="L3036" s="92" t="str">
        <f>IF(AND(A3036="",B3036="",D3036="",G3036=""),"",IF(OR(B3036="",NOT(ISNUMBER(B3036)),C3036="",C3036="Fora dos ciclos"),"",IF(C3036="C0","Nao",IF(IFERROR(INDEX(parametros!$A$2:$A$6,MATCH(C3036,parametros!$B$2:$B$6,0)),"")&lt;&gt;"Sim","Nao",IF(IFERROR(INDEX(parametros!$H$2:$H$6,MATCH(C3036,parametros!$B$2:$B$6,0)),"")="","",IF(B3036&gt;=IFERROR(INDEX(parametros!$H$2:$H$6,MATCH(C3036,parametros!$B$2:$B$6,0)),""),"Sim","Nao"))))))</f>
        <v/>
      </c>
      <c r="T3036" s="156"/>
      <c r="U3036" s="214" t="str">
        <f t="shared" si="241"/>
        <v/>
      </c>
      <c r="V3036" s="212" t="s">
        <v>50</v>
      </c>
      <c r="W3036" s="100" t="s">
        <v>168</v>
      </c>
      <c r="X3036" s="100" t="s">
        <v>169</v>
      </c>
      <c r="Y3036" s="101" t="s">
        <v>170</v>
      </c>
      <c r="Z3036" s="101" t="s">
        <v>171</v>
      </c>
      <c r="AA3036" s="101" t="s">
        <v>50</v>
      </c>
      <c r="AB3036" s="101" t="s">
        <v>172</v>
      </c>
      <c r="AC3036" s="102" t="s">
        <v>173</v>
      </c>
    </row>
    <row r="3037" spans="1:29" ht="25.5" customHeight="1" x14ac:dyDescent="0.35">
      <c r="A3037" s="392"/>
      <c r="B3037" s="393"/>
      <c r="C3037" s="99" t="str">
        <f>IF(B3037="","",IF(NOT(ISNUMBER(B3037)),"DATA_PC invalida",IF(NOT(ISNUMBER(parametros!$C$2)),"Fora dos ciclos",IF(OR(B3037&lt;parametros!$C$2,(YEAR(B3037)-YEAR(parametros!$C$2))*12+MONTH(B3037)-MONTH(parametros!$C$2)&gt;59),"Fora dos ciclos","C"&amp;INT(((YEAR(B3037)-YEAR(parametros!$C$2))*12+MONTH(B3037)-MONTH(parametros!$C$2))/12)))))</f>
        <v/>
      </c>
      <c r="D3037" s="394"/>
      <c r="E3037" s="78" t="str">
        <f>IF(C3037="","",IFERROR(VLOOKUP(C3037,parametros!$A$11:$E$15,5,0),""))</f>
        <v/>
      </c>
      <c r="F3037" s="79" t="str">
        <f t="shared" si="237"/>
        <v/>
      </c>
      <c r="G3037" s="395"/>
      <c r="H3037" s="91">
        <f t="shared" si="238"/>
        <v>0</v>
      </c>
      <c r="I3037" s="91" t="str">
        <f t="shared" si="239"/>
        <v/>
      </c>
      <c r="J3037" s="91" t="str">
        <f t="shared" si="240"/>
        <v/>
      </c>
      <c r="K3037" s="92" t="str">
        <f>IF(AND(A3037="",B3037="",D3037="",G3037=""),"",IF(AND(A3037&lt;&gt;"",COUNTIF($A$2:$A$5001,A3037)&gt;1),"NUMERO_PC duplicado",IF(B3037="","DATA_PC vazia",IF(NOT(ISNUMBER(B3037)),"DATA_PC invalida",IF(OR(C3037="",C3037="Fora dos ciclos"),"CICLO_PC nao identificado",IF(OR(D3037="",D3037=0),"VALOR_PC vazio ou zero",IF(AND(G3037&lt;&gt;"Sim",G3037&lt;&gt;"Nao",G3037&lt;&gt;""),"PC_PAGO_A_CONTRATADA invalido",IF(AND(C3037&lt;&gt;"C0",IFERROR(INDEX(parametros!$A$2:$A$6,MATCH(C3037,parametros!$B$2:$B$6,0)),"")="Sim",IFERROR(INDEX(parametros!$H$2:$H$6,MATCH(C3037,parametros!$B$2:$B$6,0)),"")=""),"INICIO_EFEITO ausente: PC "&amp;A3037&amp;" - "&amp;C3037,IF(L3037="","EFEITO_PC nao calculado: PC "&amp;A3037&amp;" - "&amp;C3037,"OK")))))))))</f>
        <v/>
      </c>
      <c r="L3037" s="92" t="str">
        <f>IF(AND(A3037="",B3037="",D3037="",G3037=""),"",IF(OR(B3037="",NOT(ISNUMBER(B3037)),C3037="",C3037="Fora dos ciclos"),"",IF(C3037="C0","Nao",IF(IFERROR(INDEX(parametros!$A$2:$A$6,MATCH(C3037,parametros!$B$2:$B$6,0)),"")&lt;&gt;"Sim","Nao",IF(IFERROR(INDEX(parametros!$H$2:$H$6,MATCH(C3037,parametros!$B$2:$B$6,0)),"")="","",IF(B3037&gt;=IFERROR(INDEX(parametros!$H$2:$H$6,MATCH(C3037,parametros!$B$2:$B$6,0)),""),"Sim","Nao"))))))</f>
        <v/>
      </c>
      <c r="T3037" s="156"/>
      <c r="U3037" s="214" t="str">
        <f t="shared" si="241"/>
        <v/>
      </c>
      <c r="V3037" s="212" t="s">
        <v>50</v>
      </c>
      <c r="W3037" s="100" t="s">
        <v>168</v>
      </c>
      <c r="X3037" s="100" t="s">
        <v>169</v>
      </c>
      <c r="Y3037" s="101" t="s">
        <v>170</v>
      </c>
      <c r="Z3037" s="101" t="s">
        <v>171</v>
      </c>
      <c r="AA3037" s="101" t="s">
        <v>50</v>
      </c>
      <c r="AB3037" s="101" t="s">
        <v>172</v>
      </c>
      <c r="AC3037" s="102" t="s">
        <v>173</v>
      </c>
    </row>
    <row r="3038" spans="1:29" ht="25.5" customHeight="1" x14ac:dyDescent="0.35">
      <c r="A3038" s="392"/>
      <c r="B3038" s="393"/>
      <c r="C3038" s="99" t="str">
        <f>IF(B3038="","",IF(NOT(ISNUMBER(B3038)),"DATA_PC invalida",IF(NOT(ISNUMBER(parametros!$C$2)),"Fora dos ciclos",IF(OR(B3038&lt;parametros!$C$2,(YEAR(B3038)-YEAR(parametros!$C$2))*12+MONTH(B3038)-MONTH(parametros!$C$2)&gt;59),"Fora dos ciclos","C"&amp;INT(((YEAR(B3038)-YEAR(parametros!$C$2))*12+MONTH(B3038)-MONTH(parametros!$C$2))/12)))))</f>
        <v/>
      </c>
      <c r="D3038" s="394"/>
      <c r="E3038" s="78" t="str">
        <f>IF(C3038="","",IFERROR(VLOOKUP(C3038,parametros!$A$11:$E$15,5,0),""))</f>
        <v/>
      </c>
      <c r="F3038" s="79" t="str">
        <f t="shared" si="237"/>
        <v/>
      </c>
      <c r="G3038" s="395"/>
      <c r="H3038" s="91">
        <f t="shared" si="238"/>
        <v>0</v>
      </c>
      <c r="I3038" s="91" t="str">
        <f t="shared" si="239"/>
        <v/>
      </c>
      <c r="J3038" s="91" t="str">
        <f t="shared" si="240"/>
        <v/>
      </c>
      <c r="K3038" s="92" t="str">
        <f>IF(AND(A3038="",B3038="",D3038="",G3038=""),"",IF(AND(A3038&lt;&gt;"",COUNTIF($A$2:$A$5001,A3038)&gt;1),"NUMERO_PC duplicado",IF(B3038="","DATA_PC vazia",IF(NOT(ISNUMBER(B3038)),"DATA_PC invalida",IF(OR(C3038="",C3038="Fora dos ciclos"),"CICLO_PC nao identificado",IF(OR(D3038="",D3038=0),"VALOR_PC vazio ou zero",IF(AND(G3038&lt;&gt;"Sim",G3038&lt;&gt;"Nao",G3038&lt;&gt;""),"PC_PAGO_A_CONTRATADA invalido",IF(AND(C3038&lt;&gt;"C0",IFERROR(INDEX(parametros!$A$2:$A$6,MATCH(C3038,parametros!$B$2:$B$6,0)),"")="Sim",IFERROR(INDEX(parametros!$H$2:$H$6,MATCH(C3038,parametros!$B$2:$B$6,0)),"")=""),"INICIO_EFEITO ausente: PC "&amp;A3038&amp;" - "&amp;C3038,IF(L3038="","EFEITO_PC nao calculado: PC "&amp;A3038&amp;" - "&amp;C3038,"OK")))))))))</f>
        <v/>
      </c>
      <c r="L3038" s="92" t="str">
        <f>IF(AND(A3038="",B3038="",D3038="",G3038=""),"",IF(OR(B3038="",NOT(ISNUMBER(B3038)),C3038="",C3038="Fora dos ciclos"),"",IF(C3038="C0","Nao",IF(IFERROR(INDEX(parametros!$A$2:$A$6,MATCH(C3038,parametros!$B$2:$B$6,0)),"")&lt;&gt;"Sim","Nao",IF(IFERROR(INDEX(parametros!$H$2:$H$6,MATCH(C3038,parametros!$B$2:$B$6,0)),"")="","",IF(B3038&gt;=IFERROR(INDEX(parametros!$H$2:$H$6,MATCH(C3038,parametros!$B$2:$B$6,0)),""),"Sim","Nao"))))))</f>
        <v/>
      </c>
      <c r="T3038" s="156"/>
      <c r="U3038" s="214" t="str">
        <f t="shared" si="241"/>
        <v/>
      </c>
      <c r="V3038" s="212" t="s">
        <v>50</v>
      </c>
      <c r="W3038" s="100" t="s">
        <v>168</v>
      </c>
      <c r="X3038" s="100" t="s">
        <v>169</v>
      </c>
      <c r="Y3038" s="101" t="s">
        <v>170</v>
      </c>
      <c r="Z3038" s="101" t="s">
        <v>171</v>
      </c>
      <c r="AA3038" s="101" t="s">
        <v>50</v>
      </c>
      <c r="AB3038" s="101" t="s">
        <v>172</v>
      </c>
      <c r="AC3038" s="102" t="s">
        <v>173</v>
      </c>
    </row>
    <row r="3039" spans="1:29" ht="25.5" customHeight="1" x14ac:dyDescent="0.35">
      <c r="A3039" s="392"/>
      <c r="B3039" s="393"/>
      <c r="C3039" s="99" t="str">
        <f>IF(B3039="","",IF(NOT(ISNUMBER(B3039)),"DATA_PC invalida",IF(NOT(ISNUMBER(parametros!$C$2)),"Fora dos ciclos",IF(OR(B3039&lt;parametros!$C$2,(YEAR(B3039)-YEAR(parametros!$C$2))*12+MONTH(B3039)-MONTH(parametros!$C$2)&gt;59),"Fora dos ciclos","C"&amp;INT(((YEAR(B3039)-YEAR(parametros!$C$2))*12+MONTH(B3039)-MONTH(parametros!$C$2))/12)))))</f>
        <v/>
      </c>
      <c r="D3039" s="394"/>
      <c r="E3039" s="78" t="str">
        <f>IF(C3039="","",IFERROR(VLOOKUP(C3039,parametros!$A$11:$E$15,5,0),""))</f>
        <v/>
      </c>
      <c r="F3039" s="79" t="str">
        <f t="shared" si="237"/>
        <v/>
      </c>
      <c r="G3039" s="395"/>
      <c r="H3039" s="91">
        <f t="shared" si="238"/>
        <v>0</v>
      </c>
      <c r="I3039" s="91" t="str">
        <f t="shared" si="239"/>
        <v/>
      </c>
      <c r="J3039" s="91" t="str">
        <f t="shared" si="240"/>
        <v/>
      </c>
      <c r="K3039" s="92" t="str">
        <f>IF(AND(A3039="",B3039="",D3039="",G3039=""),"",IF(AND(A3039&lt;&gt;"",COUNTIF($A$2:$A$5001,A3039)&gt;1),"NUMERO_PC duplicado",IF(B3039="","DATA_PC vazia",IF(NOT(ISNUMBER(B3039)),"DATA_PC invalida",IF(OR(C3039="",C3039="Fora dos ciclos"),"CICLO_PC nao identificado",IF(OR(D3039="",D3039=0),"VALOR_PC vazio ou zero",IF(AND(G3039&lt;&gt;"Sim",G3039&lt;&gt;"Nao",G3039&lt;&gt;""),"PC_PAGO_A_CONTRATADA invalido",IF(AND(C3039&lt;&gt;"C0",IFERROR(INDEX(parametros!$A$2:$A$6,MATCH(C3039,parametros!$B$2:$B$6,0)),"")="Sim",IFERROR(INDEX(parametros!$H$2:$H$6,MATCH(C3039,parametros!$B$2:$B$6,0)),"")=""),"INICIO_EFEITO ausente: PC "&amp;A3039&amp;" - "&amp;C3039,IF(L3039="","EFEITO_PC nao calculado: PC "&amp;A3039&amp;" - "&amp;C3039,"OK")))))))))</f>
        <v/>
      </c>
      <c r="L3039" s="92" t="str">
        <f>IF(AND(A3039="",B3039="",D3039="",G3039=""),"",IF(OR(B3039="",NOT(ISNUMBER(B3039)),C3039="",C3039="Fora dos ciclos"),"",IF(C3039="C0","Nao",IF(IFERROR(INDEX(parametros!$A$2:$A$6,MATCH(C3039,parametros!$B$2:$B$6,0)),"")&lt;&gt;"Sim","Nao",IF(IFERROR(INDEX(parametros!$H$2:$H$6,MATCH(C3039,parametros!$B$2:$B$6,0)),"")="","",IF(B3039&gt;=IFERROR(INDEX(parametros!$H$2:$H$6,MATCH(C3039,parametros!$B$2:$B$6,0)),""),"Sim","Nao"))))))</f>
        <v/>
      </c>
      <c r="T3039" s="156"/>
      <c r="U3039" s="214" t="str">
        <f t="shared" si="241"/>
        <v/>
      </c>
      <c r="V3039" s="212" t="s">
        <v>50</v>
      </c>
      <c r="W3039" s="100" t="s">
        <v>168</v>
      </c>
      <c r="X3039" s="100" t="s">
        <v>169</v>
      </c>
      <c r="Y3039" s="101" t="s">
        <v>170</v>
      </c>
      <c r="Z3039" s="101" t="s">
        <v>171</v>
      </c>
      <c r="AA3039" s="101" t="s">
        <v>50</v>
      </c>
      <c r="AB3039" s="101" t="s">
        <v>172</v>
      </c>
      <c r="AC3039" s="102" t="s">
        <v>173</v>
      </c>
    </row>
    <row r="3040" spans="1:29" ht="25.5" customHeight="1" x14ac:dyDescent="0.35">
      <c r="A3040" s="392"/>
      <c r="B3040" s="393"/>
      <c r="C3040" s="99" t="str">
        <f>IF(B3040="","",IF(NOT(ISNUMBER(B3040)),"DATA_PC invalida",IF(NOT(ISNUMBER(parametros!$C$2)),"Fora dos ciclos",IF(OR(B3040&lt;parametros!$C$2,(YEAR(B3040)-YEAR(parametros!$C$2))*12+MONTH(B3040)-MONTH(parametros!$C$2)&gt;59),"Fora dos ciclos","C"&amp;INT(((YEAR(B3040)-YEAR(parametros!$C$2))*12+MONTH(B3040)-MONTH(parametros!$C$2))/12)))))</f>
        <v/>
      </c>
      <c r="D3040" s="394"/>
      <c r="E3040" s="78" t="str">
        <f>IF(C3040="","",IFERROR(VLOOKUP(C3040,parametros!$A$11:$E$15,5,0),""))</f>
        <v/>
      </c>
      <c r="F3040" s="79" t="str">
        <f t="shared" si="237"/>
        <v/>
      </c>
      <c r="G3040" s="395"/>
      <c r="H3040" s="91">
        <f t="shared" si="238"/>
        <v>0</v>
      </c>
      <c r="I3040" s="91" t="str">
        <f t="shared" si="239"/>
        <v/>
      </c>
      <c r="J3040" s="91" t="str">
        <f t="shared" si="240"/>
        <v/>
      </c>
      <c r="K3040" s="92" t="str">
        <f>IF(AND(A3040="",B3040="",D3040="",G3040=""),"",IF(AND(A3040&lt;&gt;"",COUNTIF($A$2:$A$5001,A3040)&gt;1),"NUMERO_PC duplicado",IF(B3040="","DATA_PC vazia",IF(NOT(ISNUMBER(B3040)),"DATA_PC invalida",IF(OR(C3040="",C3040="Fora dos ciclos"),"CICLO_PC nao identificado",IF(OR(D3040="",D3040=0),"VALOR_PC vazio ou zero",IF(AND(G3040&lt;&gt;"Sim",G3040&lt;&gt;"Nao",G3040&lt;&gt;""),"PC_PAGO_A_CONTRATADA invalido",IF(AND(C3040&lt;&gt;"C0",IFERROR(INDEX(parametros!$A$2:$A$6,MATCH(C3040,parametros!$B$2:$B$6,0)),"")="Sim",IFERROR(INDEX(parametros!$H$2:$H$6,MATCH(C3040,parametros!$B$2:$B$6,0)),"")=""),"INICIO_EFEITO ausente: PC "&amp;A3040&amp;" - "&amp;C3040,IF(L3040="","EFEITO_PC nao calculado: PC "&amp;A3040&amp;" - "&amp;C3040,"OK")))))))))</f>
        <v/>
      </c>
      <c r="L3040" s="92" t="str">
        <f>IF(AND(A3040="",B3040="",D3040="",G3040=""),"",IF(OR(B3040="",NOT(ISNUMBER(B3040)),C3040="",C3040="Fora dos ciclos"),"",IF(C3040="C0","Nao",IF(IFERROR(INDEX(parametros!$A$2:$A$6,MATCH(C3040,parametros!$B$2:$B$6,0)),"")&lt;&gt;"Sim","Nao",IF(IFERROR(INDEX(parametros!$H$2:$H$6,MATCH(C3040,parametros!$B$2:$B$6,0)),"")="","",IF(B3040&gt;=IFERROR(INDEX(parametros!$H$2:$H$6,MATCH(C3040,parametros!$B$2:$B$6,0)),""),"Sim","Nao"))))))</f>
        <v/>
      </c>
      <c r="T3040" s="156"/>
      <c r="U3040" s="214" t="str">
        <f t="shared" si="241"/>
        <v/>
      </c>
      <c r="V3040" s="212" t="s">
        <v>50</v>
      </c>
      <c r="W3040" s="100" t="s">
        <v>168</v>
      </c>
      <c r="X3040" s="100" t="s">
        <v>169</v>
      </c>
      <c r="Y3040" s="101" t="s">
        <v>170</v>
      </c>
      <c r="Z3040" s="101" t="s">
        <v>171</v>
      </c>
      <c r="AA3040" s="101" t="s">
        <v>50</v>
      </c>
      <c r="AB3040" s="101" t="s">
        <v>172</v>
      </c>
      <c r="AC3040" s="102" t="s">
        <v>173</v>
      </c>
    </row>
    <row r="3041" spans="1:29" ht="25.5" customHeight="1" x14ac:dyDescent="0.35">
      <c r="A3041" s="392"/>
      <c r="B3041" s="393"/>
      <c r="C3041" s="99" t="str">
        <f>IF(B3041="","",IF(NOT(ISNUMBER(B3041)),"DATA_PC invalida",IF(NOT(ISNUMBER(parametros!$C$2)),"Fora dos ciclos",IF(OR(B3041&lt;parametros!$C$2,(YEAR(B3041)-YEAR(parametros!$C$2))*12+MONTH(B3041)-MONTH(parametros!$C$2)&gt;59),"Fora dos ciclos","C"&amp;INT(((YEAR(B3041)-YEAR(parametros!$C$2))*12+MONTH(B3041)-MONTH(parametros!$C$2))/12)))))</f>
        <v/>
      </c>
      <c r="D3041" s="394"/>
      <c r="E3041" s="78" t="str">
        <f>IF(C3041="","",IFERROR(VLOOKUP(C3041,parametros!$A$11:$E$15,5,0),""))</f>
        <v/>
      </c>
      <c r="F3041" s="79" t="str">
        <f t="shared" si="237"/>
        <v/>
      </c>
      <c r="G3041" s="395"/>
      <c r="H3041" s="91">
        <f t="shared" si="238"/>
        <v>0</v>
      </c>
      <c r="I3041" s="91" t="str">
        <f t="shared" si="239"/>
        <v/>
      </c>
      <c r="J3041" s="91" t="str">
        <f t="shared" si="240"/>
        <v/>
      </c>
      <c r="K3041" s="92" t="str">
        <f>IF(AND(A3041="",B3041="",D3041="",G3041=""),"",IF(AND(A3041&lt;&gt;"",COUNTIF($A$2:$A$5001,A3041)&gt;1),"NUMERO_PC duplicado",IF(B3041="","DATA_PC vazia",IF(NOT(ISNUMBER(B3041)),"DATA_PC invalida",IF(OR(C3041="",C3041="Fora dos ciclos"),"CICLO_PC nao identificado",IF(OR(D3041="",D3041=0),"VALOR_PC vazio ou zero",IF(AND(G3041&lt;&gt;"Sim",G3041&lt;&gt;"Nao",G3041&lt;&gt;""),"PC_PAGO_A_CONTRATADA invalido",IF(AND(C3041&lt;&gt;"C0",IFERROR(INDEX(parametros!$A$2:$A$6,MATCH(C3041,parametros!$B$2:$B$6,0)),"")="Sim",IFERROR(INDEX(parametros!$H$2:$H$6,MATCH(C3041,parametros!$B$2:$B$6,0)),"")=""),"INICIO_EFEITO ausente: PC "&amp;A3041&amp;" - "&amp;C3041,IF(L3041="","EFEITO_PC nao calculado: PC "&amp;A3041&amp;" - "&amp;C3041,"OK")))))))))</f>
        <v/>
      </c>
      <c r="L3041" s="92" t="str">
        <f>IF(AND(A3041="",B3041="",D3041="",G3041=""),"",IF(OR(B3041="",NOT(ISNUMBER(B3041)),C3041="",C3041="Fora dos ciclos"),"",IF(C3041="C0","Nao",IF(IFERROR(INDEX(parametros!$A$2:$A$6,MATCH(C3041,parametros!$B$2:$B$6,0)),"")&lt;&gt;"Sim","Nao",IF(IFERROR(INDEX(parametros!$H$2:$H$6,MATCH(C3041,parametros!$B$2:$B$6,0)),"")="","",IF(B3041&gt;=IFERROR(INDEX(parametros!$H$2:$H$6,MATCH(C3041,parametros!$B$2:$B$6,0)),""),"Sim","Nao"))))))</f>
        <v/>
      </c>
      <c r="T3041" s="156"/>
      <c r="U3041" s="214" t="str">
        <f t="shared" si="241"/>
        <v/>
      </c>
      <c r="V3041" s="212" t="s">
        <v>50</v>
      </c>
      <c r="W3041" s="100" t="s">
        <v>168</v>
      </c>
      <c r="X3041" s="100" t="s">
        <v>169</v>
      </c>
      <c r="Y3041" s="101" t="s">
        <v>170</v>
      </c>
      <c r="Z3041" s="101" t="s">
        <v>171</v>
      </c>
      <c r="AA3041" s="101" t="s">
        <v>50</v>
      </c>
      <c r="AB3041" s="101" t="s">
        <v>172</v>
      </c>
      <c r="AC3041" s="102" t="s">
        <v>173</v>
      </c>
    </row>
    <row r="3042" spans="1:29" ht="25.5" customHeight="1" x14ac:dyDescent="0.35">
      <c r="A3042" s="392"/>
      <c r="B3042" s="393"/>
      <c r="C3042" s="99" t="str">
        <f>IF(B3042="","",IF(NOT(ISNUMBER(B3042)),"DATA_PC invalida",IF(NOT(ISNUMBER(parametros!$C$2)),"Fora dos ciclos",IF(OR(B3042&lt;parametros!$C$2,(YEAR(B3042)-YEAR(parametros!$C$2))*12+MONTH(B3042)-MONTH(parametros!$C$2)&gt;59),"Fora dos ciclos","C"&amp;INT(((YEAR(B3042)-YEAR(parametros!$C$2))*12+MONTH(B3042)-MONTH(parametros!$C$2))/12)))))</f>
        <v/>
      </c>
      <c r="D3042" s="394"/>
      <c r="E3042" s="78" t="str">
        <f>IF(C3042="","",IFERROR(VLOOKUP(C3042,parametros!$A$11:$E$15,5,0),""))</f>
        <v/>
      </c>
      <c r="F3042" s="79" t="str">
        <f t="shared" si="237"/>
        <v/>
      </c>
      <c r="G3042" s="395"/>
      <c r="H3042" s="91">
        <f t="shared" si="238"/>
        <v>0</v>
      </c>
      <c r="I3042" s="91" t="str">
        <f t="shared" si="239"/>
        <v/>
      </c>
      <c r="J3042" s="91" t="str">
        <f t="shared" si="240"/>
        <v/>
      </c>
      <c r="K3042" s="92" t="str">
        <f>IF(AND(A3042="",B3042="",D3042="",G3042=""),"",IF(AND(A3042&lt;&gt;"",COUNTIF($A$2:$A$5001,A3042)&gt;1),"NUMERO_PC duplicado",IF(B3042="","DATA_PC vazia",IF(NOT(ISNUMBER(B3042)),"DATA_PC invalida",IF(OR(C3042="",C3042="Fora dos ciclos"),"CICLO_PC nao identificado",IF(OR(D3042="",D3042=0),"VALOR_PC vazio ou zero",IF(AND(G3042&lt;&gt;"Sim",G3042&lt;&gt;"Nao",G3042&lt;&gt;""),"PC_PAGO_A_CONTRATADA invalido",IF(AND(C3042&lt;&gt;"C0",IFERROR(INDEX(parametros!$A$2:$A$6,MATCH(C3042,parametros!$B$2:$B$6,0)),"")="Sim",IFERROR(INDEX(parametros!$H$2:$H$6,MATCH(C3042,parametros!$B$2:$B$6,0)),"")=""),"INICIO_EFEITO ausente: PC "&amp;A3042&amp;" - "&amp;C3042,IF(L3042="","EFEITO_PC nao calculado: PC "&amp;A3042&amp;" - "&amp;C3042,"OK")))))))))</f>
        <v/>
      </c>
      <c r="L3042" s="92" t="str">
        <f>IF(AND(A3042="",B3042="",D3042="",G3042=""),"",IF(OR(B3042="",NOT(ISNUMBER(B3042)),C3042="",C3042="Fora dos ciclos"),"",IF(C3042="C0","Nao",IF(IFERROR(INDEX(parametros!$A$2:$A$6,MATCH(C3042,parametros!$B$2:$B$6,0)),"")&lt;&gt;"Sim","Nao",IF(IFERROR(INDEX(parametros!$H$2:$H$6,MATCH(C3042,parametros!$B$2:$B$6,0)),"")="","",IF(B3042&gt;=IFERROR(INDEX(parametros!$H$2:$H$6,MATCH(C3042,parametros!$B$2:$B$6,0)),""),"Sim","Nao"))))))</f>
        <v/>
      </c>
      <c r="T3042" s="156"/>
      <c r="U3042" s="214" t="str">
        <f t="shared" si="241"/>
        <v/>
      </c>
      <c r="V3042" s="212" t="s">
        <v>50</v>
      </c>
      <c r="W3042" s="100" t="s">
        <v>168</v>
      </c>
      <c r="X3042" s="100" t="s">
        <v>169</v>
      </c>
      <c r="Y3042" s="101" t="s">
        <v>170</v>
      </c>
      <c r="Z3042" s="101" t="s">
        <v>171</v>
      </c>
      <c r="AA3042" s="101" t="s">
        <v>50</v>
      </c>
      <c r="AB3042" s="101" t="s">
        <v>172</v>
      </c>
      <c r="AC3042" s="102" t="s">
        <v>173</v>
      </c>
    </row>
    <row r="3043" spans="1:29" ht="25.5" customHeight="1" x14ac:dyDescent="0.35">
      <c r="A3043" s="392"/>
      <c r="B3043" s="393"/>
      <c r="C3043" s="99" t="str">
        <f>IF(B3043="","",IF(NOT(ISNUMBER(B3043)),"DATA_PC invalida",IF(NOT(ISNUMBER(parametros!$C$2)),"Fora dos ciclos",IF(OR(B3043&lt;parametros!$C$2,(YEAR(B3043)-YEAR(parametros!$C$2))*12+MONTH(B3043)-MONTH(parametros!$C$2)&gt;59),"Fora dos ciclos","C"&amp;INT(((YEAR(B3043)-YEAR(parametros!$C$2))*12+MONTH(B3043)-MONTH(parametros!$C$2))/12)))))</f>
        <v/>
      </c>
      <c r="D3043" s="394"/>
      <c r="E3043" s="78" t="str">
        <f>IF(C3043="","",IFERROR(VLOOKUP(C3043,parametros!$A$11:$E$15,5,0),""))</f>
        <v/>
      </c>
      <c r="F3043" s="79" t="str">
        <f t="shared" si="237"/>
        <v/>
      </c>
      <c r="G3043" s="395"/>
      <c r="H3043" s="91">
        <f t="shared" si="238"/>
        <v>0</v>
      </c>
      <c r="I3043" s="91" t="str">
        <f t="shared" si="239"/>
        <v/>
      </c>
      <c r="J3043" s="91" t="str">
        <f t="shared" si="240"/>
        <v/>
      </c>
      <c r="K3043" s="92" t="str">
        <f>IF(AND(A3043="",B3043="",D3043="",G3043=""),"",IF(AND(A3043&lt;&gt;"",COUNTIF($A$2:$A$5001,A3043)&gt;1),"NUMERO_PC duplicado",IF(B3043="","DATA_PC vazia",IF(NOT(ISNUMBER(B3043)),"DATA_PC invalida",IF(OR(C3043="",C3043="Fora dos ciclos"),"CICLO_PC nao identificado",IF(OR(D3043="",D3043=0),"VALOR_PC vazio ou zero",IF(AND(G3043&lt;&gt;"Sim",G3043&lt;&gt;"Nao",G3043&lt;&gt;""),"PC_PAGO_A_CONTRATADA invalido",IF(AND(C3043&lt;&gt;"C0",IFERROR(INDEX(parametros!$A$2:$A$6,MATCH(C3043,parametros!$B$2:$B$6,0)),"")="Sim",IFERROR(INDEX(parametros!$H$2:$H$6,MATCH(C3043,parametros!$B$2:$B$6,0)),"")=""),"INICIO_EFEITO ausente: PC "&amp;A3043&amp;" - "&amp;C3043,IF(L3043="","EFEITO_PC nao calculado: PC "&amp;A3043&amp;" - "&amp;C3043,"OK")))))))))</f>
        <v/>
      </c>
      <c r="L3043" s="92" t="str">
        <f>IF(AND(A3043="",B3043="",D3043="",G3043=""),"",IF(OR(B3043="",NOT(ISNUMBER(B3043)),C3043="",C3043="Fora dos ciclos"),"",IF(C3043="C0","Nao",IF(IFERROR(INDEX(parametros!$A$2:$A$6,MATCH(C3043,parametros!$B$2:$B$6,0)),"")&lt;&gt;"Sim","Nao",IF(IFERROR(INDEX(parametros!$H$2:$H$6,MATCH(C3043,parametros!$B$2:$B$6,0)),"")="","",IF(B3043&gt;=IFERROR(INDEX(parametros!$H$2:$H$6,MATCH(C3043,parametros!$B$2:$B$6,0)),""),"Sim","Nao"))))))</f>
        <v/>
      </c>
      <c r="T3043" s="156"/>
      <c r="U3043" s="214" t="str">
        <f t="shared" si="241"/>
        <v/>
      </c>
      <c r="V3043" s="212" t="s">
        <v>50</v>
      </c>
      <c r="W3043" s="100" t="s">
        <v>168</v>
      </c>
      <c r="X3043" s="100" t="s">
        <v>169</v>
      </c>
      <c r="Y3043" s="101" t="s">
        <v>170</v>
      </c>
      <c r="Z3043" s="101" t="s">
        <v>171</v>
      </c>
      <c r="AA3043" s="101" t="s">
        <v>50</v>
      </c>
      <c r="AB3043" s="101" t="s">
        <v>172</v>
      </c>
      <c r="AC3043" s="102" t="s">
        <v>173</v>
      </c>
    </row>
    <row r="3044" spans="1:29" ht="25.5" customHeight="1" x14ac:dyDescent="0.35">
      <c r="A3044" s="392"/>
      <c r="B3044" s="393"/>
      <c r="C3044" s="99" t="str">
        <f>IF(B3044="","",IF(NOT(ISNUMBER(B3044)),"DATA_PC invalida",IF(NOT(ISNUMBER(parametros!$C$2)),"Fora dos ciclos",IF(OR(B3044&lt;parametros!$C$2,(YEAR(B3044)-YEAR(parametros!$C$2))*12+MONTH(B3044)-MONTH(parametros!$C$2)&gt;59),"Fora dos ciclos","C"&amp;INT(((YEAR(B3044)-YEAR(parametros!$C$2))*12+MONTH(B3044)-MONTH(parametros!$C$2))/12)))))</f>
        <v/>
      </c>
      <c r="D3044" s="394"/>
      <c r="E3044" s="78" t="str">
        <f>IF(C3044="","",IFERROR(VLOOKUP(C3044,parametros!$A$11:$E$15,5,0),""))</f>
        <v/>
      </c>
      <c r="F3044" s="79" t="str">
        <f t="shared" si="237"/>
        <v/>
      </c>
      <c r="G3044" s="395"/>
      <c r="H3044" s="91">
        <f t="shared" si="238"/>
        <v>0</v>
      </c>
      <c r="I3044" s="91" t="str">
        <f t="shared" si="239"/>
        <v/>
      </c>
      <c r="J3044" s="91" t="str">
        <f t="shared" si="240"/>
        <v/>
      </c>
      <c r="K3044" s="92" t="str">
        <f>IF(AND(A3044="",B3044="",D3044="",G3044=""),"",IF(AND(A3044&lt;&gt;"",COUNTIF($A$2:$A$5001,A3044)&gt;1),"NUMERO_PC duplicado",IF(B3044="","DATA_PC vazia",IF(NOT(ISNUMBER(B3044)),"DATA_PC invalida",IF(OR(C3044="",C3044="Fora dos ciclos"),"CICLO_PC nao identificado",IF(OR(D3044="",D3044=0),"VALOR_PC vazio ou zero",IF(AND(G3044&lt;&gt;"Sim",G3044&lt;&gt;"Nao",G3044&lt;&gt;""),"PC_PAGO_A_CONTRATADA invalido",IF(AND(C3044&lt;&gt;"C0",IFERROR(INDEX(parametros!$A$2:$A$6,MATCH(C3044,parametros!$B$2:$B$6,0)),"")="Sim",IFERROR(INDEX(parametros!$H$2:$H$6,MATCH(C3044,parametros!$B$2:$B$6,0)),"")=""),"INICIO_EFEITO ausente: PC "&amp;A3044&amp;" - "&amp;C3044,IF(L3044="","EFEITO_PC nao calculado: PC "&amp;A3044&amp;" - "&amp;C3044,"OK")))))))))</f>
        <v/>
      </c>
      <c r="L3044" s="92" t="str">
        <f>IF(AND(A3044="",B3044="",D3044="",G3044=""),"",IF(OR(B3044="",NOT(ISNUMBER(B3044)),C3044="",C3044="Fora dos ciclos"),"",IF(C3044="C0","Nao",IF(IFERROR(INDEX(parametros!$A$2:$A$6,MATCH(C3044,parametros!$B$2:$B$6,0)),"")&lt;&gt;"Sim","Nao",IF(IFERROR(INDEX(parametros!$H$2:$H$6,MATCH(C3044,parametros!$B$2:$B$6,0)),"")="","",IF(B3044&gt;=IFERROR(INDEX(parametros!$H$2:$H$6,MATCH(C3044,parametros!$B$2:$B$6,0)),""),"Sim","Nao"))))))</f>
        <v/>
      </c>
      <c r="T3044" s="156"/>
      <c r="U3044" s="214" t="str">
        <f t="shared" si="241"/>
        <v/>
      </c>
      <c r="V3044" s="212" t="s">
        <v>50</v>
      </c>
      <c r="W3044" s="100" t="s">
        <v>168</v>
      </c>
      <c r="X3044" s="100" t="s">
        <v>169</v>
      </c>
      <c r="Y3044" s="101" t="s">
        <v>170</v>
      </c>
      <c r="Z3044" s="101" t="s">
        <v>171</v>
      </c>
      <c r="AA3044" s="101" t="s">
        <v>50</v>
      </c>
      <c r="AB3044" s="101" t="s">
        <v>172</v>
      </c>
      <c r="AC3044" s="102" t="s">
        <v>173</v>
      </c>
    </row>
    <row r="3045" spans="1:29" ht="25.5" customHeight="1" x14ac:dyDescent="0.35">
      <c r="A3045" s="392"/>
      <c r="B3045" s="393"/>
      <c r="C3045" s="99" t="str">
        <f>IF(B3045="","",IF(NOT(ISNUMBER(B3045)),"DATA_PC invalida",IF(NOT(ISNUMBER(parametros!$C$2)),"Fora dos ciclos",IF(OR(B3045&lt;parametros!$C$2,(YEAR(B3045)-YEAR(parametros!$C$2))*12+MONTH(B3045)-MONTH(parametros!$C$2)&gt;59),"Fora dos ciclos","C"&amp;INT(((YEAR(B3045)-YEAR(parametros!$C$2))*12+MONTH(B3045)-MONTH(parametros!$C$2))/12)))))</f>
        <v/>
      </c>
      <c r="D3045" s="394"/>
      <c r="E3045" s="78" t="str">
        <f>IF(C3045="","",IFERROR(VLOOKUP(C3045,parametros!$A$11:$E$15,5,0),""))</f>
        <v/>
      </c>
      <c r="F3045" s="79" t="str">
        <f t="shared" si="237"/>
        <v/>
      </c>
      <c r="G3045" s="395"/>
      <c r="H3045" s="91">
        <f t="shared" si="238"/>
        <v>0</v>
      </c>
      <c r="I3045" s="91" t="str">
        <f t="shared" si="239"/>
        <v/>
      </c>
      <c r="J3045" s="91" t="str">
        <f t="shared" si="240"/>
        <v/>
      </c>
      <c r="K3045" s="92" t="str">
        <f>IF(AND(A3045="",B3045="",D3045="",G3045=""),"",IF(AND(A3045&lt;&gt;"",COUNTIF($A$2:$A$5001,A3045)&gt;1),"NUMERO_PC duplicado",IF(B3045="","DATA_PC vazia",IF(NOT(ISNUMBER(B3045)),"DATA_PC invalida",IF(OR(C3045="",C3045="Fora dos ciclos"),"CICLO_PC nao identificado",IF(OR(D3045="",D3045=0),"VALOR_PC vazio ou zero",IF(AND(G3045&lt;&gt;"Sim",G3045&lt;&gt;"Nao",G3045&lt;&gt;""),"PC_PAGO_A_CONTRATADA invalido",IF(AND(C3045&lt;&gt;"C0",IFERROR(INDEX(parametros!$A$2:$A$6,MATCH(C3045,parametros!$B$2:$B$6,0)),"")="Sim",IFERROR(INDEX(parametros!$H$2:$H$6,MATCH(C3045,parametros!$B$2:$B$6,0)),"")=""),"INICIO_EFEITO ausente: PC "&amp;A3045&amp;" - "&amp;C3045,IF(L3045="","EFEITO_PC nao calculado: PC "&amp;A3045&amp;" - "&amp;C3045,"OK")))))))))</f>
        <v/>
      </c>
      <c r="L3045" s="92" t="str">
        <f>IF(AND(A3045="",B3045="",D3045="",G3045=""),"",IF(OR(B3045="",NOT(ISNUMBER(B3045)),C3045="",C3045="Fora dos ciclos"),"",IF(C3045="C0","Nao",IF(IFERROR(INDEX(parametros!$A$2:$A$6,MATCH(C3045,parametros!$B$2:$B$6,0)),"")&lt;&gt;"Sim","Nao",IF(IFERROR(INDEX(parametros!$H$2:$H$6,MATCH(C3045,parametros!$B$2:$B$6,0)),"")="","",IF(B3045&gt;=IFERROR(INDEX(parametros!$H$2:$H$6,MATCH(C3045,parametros!$B$2:$B$6,0)),""),"Sim","Nao"))))))</f>
        <v/>
      </c>
      <c r="T3045" s="156"/>
      <c r="U3045" s="214" t="str">
        <f t="shared" si="241"/>
        <v/>
      </c>
      <c r="V3045" s="212" t="s">
        <v>50</v>
      </c>
      <c r="W3045" s="100" t="s">
        <v>168</v>
      </c>
      <c r="X3045" s="100" t="s">
        <v>169</v>
      </c>
      <c r="Y3045" s="101" t="s">
        <v>170</v>
      </c>
      <c r="Z3045" s="101" t="s">
        <v>171</v>
      </c>
      <c r="AA3045" s="101" t="s">
        <v>50</v>
      </c>
      <c r="AB3045" s="101" t="s">
        <v>172</v>
      </c>
      <c r="AC3045" s="102" t="s">
        <v>173</v>
      </c>
    </row>
    <row r="3046" spans="1:29" ht="25.5" customHeight="1" x14ac:dyDescent="0.35">
      <c r="A3046" s="392"/>
      <c r="B3046" s="393"/>
      <c r="C3046" s="99" t="str">
        <f>IF(B3046="","",IF(NOT(ISNUMBER(B3046)),"DATA_PC invalida",IF(NOT(ISNUMBER(parametros!$C$2)),"Fora dos ciclos",IF(OR(B3046&lt;parametros!$C$2,(YEAR(B3046)-YEAR(parametros!$C$2))*12+MONTH(B3046)-MONTH(parametros!$C$2)&gt;59),"Fora dos ciclos","C"&amp;INT(((YEAR(B3046)-YEAR(parametros!$C$2))*12+MONTH(B3046)-MONTH(parametros!$C$2))/12)))))</f>
        <v/>
      </c>
      <c r="D3046" s="394"/>
      <c r="E3046" s="78" t="str">
        <f>IF(C3046="","",IFERROR(VLOOKUP(C3046,parametros!$A$11:$E$15,5,0),""))</f>
        <v/>
      </c>
      <c r="F3046" s="79" t="str">
        <f t="shared" si="237"/>
        <v/>
      </c>
      <c r="G3046" s="395"/>
      <c r="H3046" s="91">
        <f t="shared" si="238"/>
        <v>0</v>
      </c>
      <c r="I3046" s="91" t="str">
        <f t="shared" si="239"/>
        <v/>
      </c>
      <c r="J3046" s="91" t="str">
        <f t="shared" si="240"/>
        <v/>
      </c>
      <c r="K3046" s="92" t="str">
        <f>IF(AND(A3046="",B3046="",D3046="",G3046=""),"",IF(AND(A3046&lt;&gt;"",COUNTIF($A$2:$A$5001,A3046)&gt;1),"NUMERO_PC duplicado",IF(B3046="","DATA_PC vazia",IF(NOT(ISNUMBER(B3046)),"DATA_PC invalida",IF(OR(C3046="",C3046="Fora dos ciclos"),"CICLO_PC nao identificado",IF(OR(D3046="",D3046=0),"VALOR_PC vazio ou zero",IF(AND(G3046&lt;&gt;"Sim",G3046&lt;&gt;"Nao",G3046&lt;&gt;""),"PC_PAGO_A_CONTRATADA invalido",IF(AND(C3046&lt;&gt;"C0",IFERROR(INDEX(parametros!$A$2:$A$6,MATCH(C3046,parametros!$B$2:$B$6,0)),"")="Sim",IFERROR(INDEX(parametros!$H$2:$H$6,MATCH(C3046,parametros!$B$2:$B$6,0)),"")=""),"INICIO_EFEITO ausente: PC "&amp;A3046&amp;" - "&amp;C3046,IF(L3046="","EFEITO_PC nao calculado: PC "&amp;A3046&amp;" - "&amp;C3046,"OK")))))))))</f>
        <v/>
      </c>
      <c r="L3046" s="92" t="str">
        <f>IF(AND(A3046="",B3046="",D3046="",G3046=""),"",IF(OR(B3046="",NOT(ISNUMBER(B3046)),C3046="",C3046="Fora dos ciclos"),"",IF(C3046="C0","Nao",IF(IFERROR(INDEX(parametros!$A$2:$A$6,MATCH(C3046,parametros!$B$2:$B$6,0)),"")&lt;&gt;"Sim","Nao",IF(IFERROR(INDEX(parametros!$H$2:$H$6,MATCH(C3046,parametros!$B$2:$B$6,0)),"")="","",IF(B3046&gt;=IFERROR(INDEX(parametros!$H$2:$H$6,MATCH(C3046,parametros!$B$2:$B$6,0)),""),"Sim","Nao"))))))</f>
        <v/>
      </c>
      <c r="T3046" s="156"/>
      <c r="U3046" s="214" t="str">
        <f t="shared" si="241"/>
        <v/>
      </c>
      <c r="V3046" s="212" t="s">
        <v>50</v>
      </c>
      <c r="W3046" s="100" t="s">
        <v>168</v>
      </c>
      <c r="X3046" s="100" t="s">
        <v>169</v>
      </c>
      <c r="Y3046" s="101" t="s">
        <v>170</v>
      </c>
      <c r="Z3046" s="101" t="s">
        <v>171</v>
      </c>
      <c r="AA3046" s="101" t="s">
        <v>50</v>
      </c>
      <c r="AB3046" s="101" t="s">
        <v>172</v>
      </c>
      <c r="AC3046" s="102" t="s">
        <v>173</v>
      </c>
    </row>
    <row r="3047" spans="1:29" ht="25.5" customHeight="1" x14ac:dyDescent="0.35">
      <c r="A3047" s="392"/>
      <c r="B3047" s="393"/>
      <c r="C3047" s="99" t="str">
        <f>IF(B3047="","",IF(NOT(ISNUMBER(B3047)),"DATA_PC invalida",IF(NOT(ISNUMBER(parametros!$C$2)),"Fora dos ciclos",IF(OR(B3047&lt;parametros!$C$2,(YEAR(B3047)-YEAR(parametros!$C$2))*12+MONTH(B3047)-MONTH(parametros!$C$2)&gt;59),"Fora dos ciclos","C"&amp;INT(((YEAR(B3047)-YEAR(parametros!$C$2))*12+MONTH(B3047)-MONTH(parametros!$C$2))/12)))))</f>
        <v/>
      </c>
      <c r="D3047" s="394"/>
      <c r="E3047" s="78" t="str">
        <f>IF(C3047="","",IFERROR(VLOOKUP(C3047,parametros!$A$11:$E$15,5,0),""))</f>
        <v/>
      </c>
      <c r="F3047" s="79" t="str">
        <f t="shared" si="237"/>
        <v/>
      </c>
      <c r="G3047" s="395"/>
      <c r="H3047" s="91">
        <f t="shared" si="238"/>
        <v>0</v>
      </c>
      <c r="I3047" s="91" t="str">
        <f t="shared" si="239"/>
        <v/>
      </c>
      <c r="J3047" s="91" t="str">
        <f t="shared" si="240"/>
        <v/>
      </c>
      <c r="K3047" s="92" t="str">
        <f>IF(AND(A3047="",B3047="",D3047="",G3047=""),"",IF(AND(A3047&lt;&gt;"",COUNTIF($A$2:$A$5001,A3047)&gt;1),"NUMERO_PC duplicado",IF(B3047="","DATA_PC vazia",IF(NOT(ISNUMBER(B3047)),"DATA_PC invalida",IF(OR(C3047="",C3047="Fora dos ciclos"),"CICLO_PC nao identificado",IF(OR(D3047="",D3047=0),"VALOR_PC vazio ou zero",IF(AND(G3047&lt;&gt;"Sim",G3047&lt;&gt;"Nao",G3047&lt;&gt;""),"PC_PAGO_A_CONTRATADA invalido",IF(AND(C3047&lt;&gt;"C0",IFERROR(INDEX(parametros!$A$2:$A$6,MATCH(C3047,parametros!$B$2:$B$6,0)),"")="Sim",IFERROR(INDEX(parametros!$H$2:$H$6,MATCH(C3047,parametros!$B$2:$B$6,0)),"")=""),"INICIO_EFEITO ausente: PC "&amp;A3047&amp;" - "&amp;C3047,IF(L3047="","EFEITO_PC nao calculado: PC "&amp;A3047&amp;" - "&amp;C3047,"OK")))))))))</f>
        <v/>
      </c>
      <c r="L3047" s="92" t="str">
        <f>IF(AND(A3047="",B3047="",D3047="",G3047=""),"",IF(OR(B3047="",NOT(ISNUMBER(B3047)),C3047="",C3047="Fora dos ciclos"),"",IF(C3047="C0","Nao",IF(IFERROR(INDEX(parametros!$A$2:$A$6,MATCH(C3047,parametros!$B$2:$B$6,0)),"")&lt;&gt;"Sim","Nao",IF(IFERROR(INDEX(parametros!$H$2:$H$6,MATCH(C3047,parametros!$B$2:$B$6,0)),"")="","",IF(B3047&gt;=IFERROR(INDEX(parametros!$H$2:$H$6,MATCH(C3047,parametros!$B$2:$B$6,0)),""),"Sim","Nao"))))))</f>
        <v/>
      </c>
      <c r="T3047" s="156"/>
      <c r="U3047" s="214" t="str">
        <f t="shared" si="241"/>
        <v/>
      </c>
      <c r="V3047" s="212" t="s">
        <v>50</v>
      </c>
      <c r="W3047" s="100" t="s">
        <v>168</v>
      </c>
      <c r="X3047" s="100" t="s">
        <v>169</v>
      </c>
      <c r="Y3047" s="101" t="s">
        <v>170</v>
      </c>
      <c r="Z3047" s="101" t="s">
        <v>171</v>
      </c>
      <c r="AA3047" s="101" t="s">
        <v>50</v>
      </c>
      <c r="AB3047" s="101" t="s">
        <v>172</v>
      </c>
      <c r="AC3047" s="102" t="s">
        <v>173</v>
      </c>
    </row>
    <row r="3048" spans="1:29" ht="25.5" customHeight="1" x14ac:dyDescent="0.35">
      <c r="A3048" s="392"/>
      <c r="B3048" s="393"/>
      <c r="C3048" s="99" t="str">
        <f>IF(B3048="","",IF(NOT(ISNUMBER(B3048)),"DATA_PC invalida",IF(NOT(ISNUMBER(parametros!$C$2)),"Fora dos ciclos",IF(OR(B3048&lt;parametros!$C$2,(YEAR(B3048)-YEAR(parametros!$C$2))*12+MONTH(B3048)-MONTH(parametros!$C$2)&gt;59),"Fora dos ciclos","C"&amp;INT(((YEAR(B3048)-YEAR(parametros!$C$2))*12+MONTH(B3048)-MONTH(parametros!$C$2))/12)))))</f>
        <v/>
      </c>
      <c r="D3048" s="394"/>
      <c r="E3048" s="78" t="str">
        <f>IF(C3048="","",IFERROR(VLOOKUP(C3048,parametros!$A$11:$E$15,5,0),""))</f>
        <v/>
      </c>
      <c r="F3048" s="79" t="str">
        <f t="shared" si="237"/>
        <v/>
      </c>
      <c r="G3048" s="395"/>
      <c r="H3048" s="91">
        <f t="shared" si="238"/>
        <v>0</v>
      </c>
      <c r="I3048" s="91" t="str">
        <f t="shared" si="239"/>
        <v/>
      </c>
      <c r="J3048" s="91" t="str">
        <f t="shared" si="240"/>
        <v/>
      </c>
      <c r="K3048" s="92" t="str">
        <f>IF(AND(A3048="",B3048="",D3048="",G3048=""),"",IF(AND(A3048&lt;&gt;"",COUNTIF($A$2:$A$5001,A3048)&gt;1),"NUMERO_PC duplicado",IF(B3048="","DATA_PC vazia",IF(NOT(ISNUMBER(B3048)),"DATA_PC invalida",IF(OR(C3048="",C3048="Fora dos ciclos"),"CICLO_PC nao identificado",IF(OR(D3048="",D3048=0),"VALOR_PC vazio ou zero",IF(AND(G3048&lt;&gt;"Sim",G3048&lt;&gt;"Nao",G3048&lt;&gt;""),"PC_PAGO_A_CONTRATADA invalido",IF(AND(C3048&lt;&gt;"C0",IFERROR(INDEX(parametros!$A$2:$A$6,MATCH(C3048,parametros!$B$2:$B$6,0)),"")="Sim",IFERROR(INDEX(parametros!$H$2:$H$6,MATCH(C3048,parametros!$B$2:$B$6,0)),"")=""),"INICIO_EFEITO ausente: PC "&amp;A3048&amp;" - "&amp;C3048,IF(L3048="","EFEITO_PC nao calculado: PC "&amp;A3048&amp;" - "&amp;C3048,"OK")))))))))</f>
        <v/>
      </c>
      <c r="L3048" s="92" t="str">
        <f>IF(AND(A3048="",B3048="",D3048="",G3048=""),"",IF(OR(B3048="",NOT(ISNUMBER(B3048)),C3048="",C3048="Fora dos ciclos"),"",IF(C3048="C0","Nao",IF(IFERROR(INDEX(parametros!$A$2:$A$6,MATCH(C3048,parametros!$B$2:$B$6,0)),"")&lt;&gt;"Sim","Nao",IF(IFERROR(INDEX(parametros!$H$2:$H$6,MATCH(C3048,parametros!$B$2:$B$6,0)),"")="","",IF(B3048&gt;=IFERROR(INDEX(parametros!$H$2:$H$6,MATCH(C3048,parametros!$B$2:$B$6,0)),""),"Sim","Nao"))))))</f>
        <v/>
      </c>
      <c r="T3048" s="156"/>
      <c r="U3048" s="214" t="str">
        <f t="shared" si="241"/>
        <v/>
      </c>
      <c r="V3048" s="212" t="s">
        <v>50</v>
      </c>
      <c r="W3048" s="100" t="s">
        <v>168</v>
      </c>
      <c r="X3048" s="100" t="s">
        <v>169</v>
      </c>
      <c r="Y3048" s="101" t="s">
        <v>170</v>
      </c>
      <c r="Z3048" s="101" t="s">
        <v>171</v>
      </c>
      <c r="AA3048" s="101" t="s">
        <v>50</v>
      </c>
      <c r="AB3048" s="101" t="s">
        <v>172</v>
      </c>
      <c r="AC3048" s="102" t="s">
        <v>173</v>
      </c>
    </row>
    <row r="3049" spans="1:29" ht="25.5" customHeight="1" x14ac:dyDescent="0.35">
      <c r="A3049" s="392"/>
      <c r="B3049" s="393"/>
      <c r="C3049" s="99" t="str">
        <f>IF(B3049="","",IF(NOT(ISNUMBER(B3049)),"DATA_PC invalida",IF(NOT(ISNUMBER(parametros!$C$2)),"Fora dos ciclos",IF(OR(B3049&lt;parametros!$C$2,(YEAR(B3049)-YEAR(parametros!$C$2))*12+MONTH(B3049)-MONTH(parametros!$C$2)&gt;59),"Fora dos ciclos","C"&amp;INT(((YEAR(B3049)-YEAR(parametros!$C$2))*12+MONTH(B3049)-MONTH(parametros!$C$2))/12)))))</f>
        <v/>
      </c>
      <c r="D3049" s="394"/>
      <c r="E3049" s="78" t="str">
        <f>IF(C3049="","",IFERROR(VLOOKUP(C3049,parametros!$A$11:$E$15,5,0),""))</f>
        <v/>
      </c>
      <c r="F3049" s="79" t="str">
        <f t="shared" si="237"/>
        <v/>
      </c>
      <c r="G3049" s="395"/>
      <c r="H3049" s="91">
        <f t="shared" si="238"/>
        <v>0</v>
      </c>
      <c r="I3049" s="91" t="str">
        <f t="shared" si="239"/>
        <v/>
      </c>
      <c r="J3049" s="91" t="str">
        <f t="shared" si="240"/>
        <v/>
      </c>
      <c r="K3049" s="92" t="str">
        <f>IF(AND(A3049="",B3049="",D3049="",G3049=""),"",IF(AND(A3049&lt;&gt;"",COUNTIF($A$2:$A$5001,A3049)&gt;1),"NUMERO_PC duplicado",IF(B3049="","DATA_PC vazia",IF(NOT(ISNUMBER(B3049)),"DATA_PC invalida",IF(OR(C3049="",C3049="Fora dos ciclos"),"CICLO_PC nao identificado",IF(OR(D3049="",D3049=0),"VALOR_PC vazio ou zero",IF(AND(G3049&lt;&gt;"Sim",G3049&lt;&gt;"Nao",G3049&lt;&gt;""),"PC_PAGO_A_CONTRATADA invalido",IF(AND(C3049&lt;&gt;"C0",IFERROR(INDEX(parametros!$A$2:$A$6,MATCH(C3049,parametros!$B$2:$B$6,0)),"")="Sim",IFERROR(INDEX(parametros!$H$2:$H$6,MATCH(C3049,parametros!$B$2:$B$6,0)),"")=""),"INICIO_EFEITO ausente: PC "&amp;A3049&amp;" - "&amp;C3049,IF(L3049="","EFEITO_PC nao calculado: PC "&amp;A3049&amp;" - "&amp;C3049,"OK")))))))))</f>
        <v/>
      </c>
      <c r="L3049" s="92" t="str">
        <f>IF(AND(A3049="",B3049="",D3049="",G3049=""),"",IF(OR(B3049="",NOT(ISNUMBER(B3049)),C3049="",C3049="Fora dos ciclos"),"",IF(C3049="C0","Nao",IF(IFERROR(INDEX(parametros!$A$2:$A$6,MATCH(C3049,parametros!$B$2:$B$6,0)),"")&lt;&gt;"Sim","Nao",IF(IFERROR(INDEX(parametros!$H$2:$H$6,MATCH(C3049,parametros!$B$2:$B$6,0)),"")="","",IF(B3049&gt;=IFERROR(INDEX(parametros!$H$2:$H$6,MATCH(C3049,parametros!$B$2:$B$6,0)),""),"Sim","Nao"))))))</f>
        <v/>
      </c>
      <c r="T3049" s="156"/>
      <c r="U3049" s="214" t="str">
        <f t="shared" si="241"/>
        <v/>
      </c>
      <c r="V3049" s="212" t="s">
        <v>50</v>
      </c>
      <c r="W3049" s="100" t="s">
        <v>168</v>
      </c>
      <c r="X3049" s="100" t="s">
        <v>169</v>
      </c>
      <c r="Y3049" s="101" t="s">
        <v>170</v>
      </c>
      <c r="Z3049" s="101" t="s">
        <v>171</v>
      </c>
      <c r="AA3049" s="101" t="s">
        <v>50</v>
      </c>
      <c r="AB3049" s="101" t="s">
        <v>172</v>
      </c>
      <c r="AC3049" s="102" t="s">
        <v>173</v>
      </c>
    </row>
    <row r="3050" spans="1:29" ht="25.5" customHeight="1" x14ac:dyDescent="0.35">
      <c r="A3050" s="392"/>
      <c r="B3050" s="393"/>
      <c r="C3050" s="99" t="str">
        <f>IF(B3050="","",IF(NOT(ISNUMBER(B3050)),"DATA_PC invalida",IF(NOT(ISNUMBER(parametros!$C$2)),"Fora dos ciclos",IF(OR(B3050&lt;parametros!$C$2,(YEAR(B3050)-YEAR(parametros!$C$2))*12+MONTH(B3050)-MONTH(parametros!$C$2)&gt;59),"Fora dos ciclos","C"&amp;INT(((YEAR(B3050)-YEAR(parametros!$C$2))*12+MONTH(B3050)-MONTH(parametros!$C$2))/12)))))</f>
        <v/>
      </c>
      <c r="D3050" s="394"/>
      <c r="E3050" s="78" t="str">
        <f>IF(C3050="","",IFERROR(VLOOKUP(C3050,parametros!$A$11:$E$15,5,0),""))</f>
        <v/>
      </c>
      <c r="F3050" s="79" t="str">
        <f t="shared" si="237"/>
        <v/>
      </c>
      <c r="G3050" s="395"/>
      <c r="H3050" s="91">
        <f t="shared" si="238"/>
        <v>0</v>
      </c>
      <c r="I3050" s="91" t="str">
        <f t="shared" si="239"/>
        <v/>
      </c>
      <c r="J3050" s="91" t="str">
        <f t="shared" si="240"/>
        <v/>
      </c>
      <c r="K3050" s="92" t="str">
        <f>IF(AND(A3050="",B3050="",D3050="",G3050=""),"",IF(AND(A3050&lt;&gt;"",COUNTIF($A$2:$A$5001,A3050)&gt;1),"NUMERO_PC duplicado",IF(B3050="","DATA_PC vazia",IF(NOT(ISNUMBER(B3050)),"DATA_PC invalida",IF(OR(C3050="",C3050="Fora dos ciclos"),"CICLO_PC nao identificado",IF(OR(D3050="",D3050=0),"VALOR_PC vazio ou zero",IF(AND(G3050&lt;&gt;"Sim",G3050&lt;&gt;"Nao",G3050&lt;&gt;""),"PC_PAGO_A_CONTRATADA invalido",IF(AND(C3050&lt;&gt;"C0",IFERROR(INDEX(parametros!$A$2:$A$6,MATCH(C3050,parametros!$B$2:$B$6,0)),"")="Sim",IFERROR(INDEX(parametros!$H$2:$H$6,MATCH(C3050,parametros!$B$2:$B$6,0)),"")=""),"INICIO_EFEITO ausente: PC "&amp;A3050&amp;" - "&amp;C3050,IF(L3050="","EFEITO_PC nao calculado: PC "&amp;A3050&amp;" - "&amp;C3050,"OK")))))))))</f>
        <v/>
      </c>
      <c r="L3050" s="92" t="str">
        <f>IF(AND(A3050="",B3050="",D3050="",G3050=""),"",IF(OR(B3050="",NOT(ISNUMBER(B3050)),C3050="",C3050="Fora dos ciclos"),"",IF(C3050="C0","Nao",IF(IFERROR(INDEX(parametros!$A$2:$A$6,MATCH(C3050,parametros!$B$2:$B$6,0)),"")&lt;&gt;"Sim","Nao",IF(IFERROR(INDEX(parametros!$H$2:$H$6,MATCH(C3050,parametros!$B$2:$B$6,0)),"")="","",IF(B3050&gt;=IFERROR(INDEX(parametros!$H$2:$H$6,MATCH(C3050,parametros!$B$2:$B$6,0)),""),"Sim","Nao"))))))</f>
        <v/>
      </c>
      <c r="T3050" s="156"/>
      <c r="U3050" s="214" t="str">
        <f t="shared" si="241"/>
        <v/>
      </c>
      <c r="V3050" s="212" t="s">
        <v>50</v>
      </c>
      <c r="W3050" s="100" t="s">
        <v>168</v>
      </c>
      <c r="X3050" s="100" t="s">
        <v>169</v>
      </c>
      <c r="Y3050" s="101" t="s">
        <v>170</v>
      </c>
      <c r="Z3050" s="101" t="s">
        <v>171</v>
      </c>
      <c r="AA3050" s="101" t="s">
        <v>50</v>
      </c>
      <c r="AB3050" s="101" t="s">
        <v>172</v>
      </c>
      <c r="AC3050" s="102" t="s">
        <v>173</v>
      </c>
    </row>
    <row r="3051" spans="1:29" ht="25.5" customHeight="1" x14ac:dyDescent="0.35">
      <c r="A3051" s="392"/>
      <c r="B3051" s="393"/>
      <c r="C3051" s="99" t="str">
        <f>IF(B3051="","",IF(NOT(ISNUMBER(B3051)),"DATA_PC invalida",IF(NOT(ISNUMBER(parametros!$C$2)),"Fora dos ciclos",IF(OR(B3051&lt;parametros!$C$2,(YEAR(B3051)-YEAR(parametros!$C$2))*12+MONTH(B3051)-MONTH(parametros!$C$2)&gt;59),"Fora dos ciclos","C"&amp;INT(((YEAR(B3051)-YEAR(parametros!$C$2))*12+MONTH(B3051)-MONTH(parametros!$C$2))/12)))))</f>
        <v/>
      </c>
      <c r="D3051" s="394"/>
      <c r="E3051" s="78" t="str">
        <f>IF(C3051="","",IFERROR(VLOOKUP(C3051,parametros!$A$11:$E$15,5,0),""))</f>
        <v/>
      </c>
      <c r="F3051" s="79" t="str">
        <f t="shared" si="237"/>
        <v/>
      </c>
      <c r="G3051" s="395"/>
      <c r="H3051" s="91">
        <f t="shared" si="238"/>
        <v>0</v>
      </c>
      <c r="I3051" s="91" t="str">
        <f t="shared" si="239"/>
        <v/>
      </c>
      <c r="J3051" s="91" t="str">
        <f t="shared" si="240"/>
        <v/>
      </c>
      <c r="K3051" s="92" t="str">
        <f>IF(AND(A3051="",B3051="",D3051="",G3051=""),"",IF(AND(A3051&lt;&gt;"",COUNTIF($A$2:$A$5001,A3051)&gt;1),"NUMERO_PC duplicado",IF(B3051="","DATA_PC vazia",IF(NOT(ISNUMBER(B3051)),"DATA_PC invalida",IF(OR(C3051="",C3051="Fora dos ciclos"),"CICLO_PC nao identificado",IF(OR(D3051="",D3051=0),"VALOR_PC vazio ou zero",IF(AND(G3051&lt;&gt;"Sim",G3051&lt;&gt;"Nao",G3051&lt;&gt;""),"PC_PAGO_A_CONTRATADA invalido",IF(AND(C3051&lt;&gt;"C0",IFERROR(INDEX(parametros!$A$2:$A$6,MATCH(C3051,parametros!$B$2:$B$6,0)),"")="Sim",IFERROR(INDEX(parametros!$H$2:$H$6,MATCH(C3051,parametros!$B$2:$B$6,0)),"")=""),"INICIO_EFEITO ausente: PC "&amp;A3051&amp;" - "&amp;C3051,IF(L3051="","EFEITO_PC nao calculado: PC "&amp;A3051&amp;" - "&amp;C3051,"OK")))))))))</f>
        <v/>
      </c>
      <c r="L3051" s="92" t="str">
        <f>IF(AND(A3051="",B3051="",D3051="",G3051=""),"",IF(OR(B3051="",NOT(ISNUMBER(B3051)),C3051="",C3051="Fora dos ciclos"),"",IF(C3051="C0","Nao",IF(IFERROR(INDEX(parametros!$A$2:$A$6,MATCH(C3051,parametros!$B$2:$B$6,0)),"")&lt;&gt;"Sim","Nao",IF(IFERROR(INDEX(parametros!$H$2:$H$6,MATCH(C3051,parametros!$B$2:$B$6,0)),"")="","",IF(B3051&gt;=IFERROR(INDEX(parametros!$H$2:$H$6,MATCH(C3051,parametros!$B$2:$B$6,0)),""),"Sim","Nao"))))))</f>
        <v/>
      </c>
      <c r="T3051" s="156"/>
      <c r="U3051" s="214" t="str">
        <f t="shared" si="241"/>
        <v/>
      </c>
      <c r="V3051" s="212" t="s">
        <v>50</v>
      </c>
      <c r="W3051" s="100" t="s">
        <v>168</v>
      </c>
      <c r="X3051" s="100" t="s">
        <v>169</v>
      </c>
      <c r="Y3051" s="101" t="s">
        <v>170</v>
      </c>
      <c r="Z3051" s="101" t="s">
        <v>171</v>
      </c>
      <c r="AA3051" s="101" t="s">
        <v>50</v>
      </c>
      <c r="AB3051" s="101" t="s">
        <v>172</v>
      </c>
      <c r="AC3051" s="102" t="s">
        <v>173</v>
      </c>
    </row>
    <row r="3052" spans="1:29" ht="25.5" customHeight="1" x14ac:dyDescent="0.35">
      <c r="A3052" s="392"/>
      <c r="B3052" s="393"/>
      <c r="C3052" s="99" t="str">
        <f>IF(B3052="","",IF(NOT(ISNUMBER(B3052)),"DATA_PC invalida",IF(NOT(ISNUMBER(parametros!$C$2)),"Fora dos ciclos",IF(OR(B3052&lt;parametros!$C$2,(YEAR(B3052)-YEAR(parametros!$C$2))*12+MONTH(B3052)-MONTH(parametros!$C$2)&gt;59),"Fora dos ciclos","C"&amp;INT(((YEAR(B3052)-YEAR(parametros!$C$2))*12+MONTH(B3052)-MONTH(parametros!$C$2))/12)))))</f>
        <v/>
      </c>
      <c r="D3052" s="394"/>
      <c r="E3052" s="78" t="str">
        <f>IF(C3052="","",IFERROR(VLOOKUP(C3052,parametros!$A$11:$E$15,5,0),""))</f>
        <v/>
      </c>
      <c r="F3052" s="79" t="str">
        <f t="shared" si="237"/>
        <v/>
      </c>
      <c r="G3052" s="395"/>
      <c r="H3052" s="91">
        <f t="shared" si="238"/>
        <v>0</v>
      </c>
      <c r="I3052" s="91" t="str">
        <f t="shared" si="239"/>
        <v/>
      </c>
      <c r="J3052" s="91" t="str">
        <f t="shared" si="240"/>
        <v/>
      </c>
      <c r="K3052" s="92" t="str">
        <f>IF(AND(A3052="",B3052="",D3052="",G3052=""),"",IF(AND(A3052&lt;&gt;"",COUNTIF($A$2:$A$5001,A3052)&gt;1),"NUMERO_PC duplicado",IF(B3052="","DATA_PC vazia",IF(NOT(ISNUMBER(B3052)),"DATA_PC invalida",IF(OR(C3052="",C3052="Fora dos ciclos"),"CICLO_PC nao identificado",IF(OR(D3052="",D3052=0),"VALOR_PC vazio ou zero",IF(AND(G3052&lt;&gt;"Sim",G3052&lt;&gt;"Nao",G3052&lt;&gt;""),"PC_PAGO_A_CONTRATADA invalido",IF(AND(C3052&lt;&gt;"C0",IFERROR(INDEX(parametros!$A$2:$A$6,MATCH(C3052,parametros!$B$2:$B$6,0)),"")="Sim",IFERROR(INDEX(parametros!$H$2:$H$6,MATCH(C3052,parametros!$B$2:$B$6,0)),"")=""),"INICIO_EFEITO ausente: PC "&amp;A3052&amp;" - "&amp;C3052,IF(L3052="","EFEITO_PC nao calculado: PC "&amp;A3052&amp;" - "&amp;C3052,"OK")))))))))</f>
        <v/>
      </c>
      <c r="L3052" s="92" t="str">
        <f>IF(AND(A3052="",B3052="",D3052="",G3052=""),"",IF(OR(B3052="",NOT(ISNUMBER(B3052)),C3052="",C3052="Fora dos ciclos"),"",IF(C3052="C0","Nao",IF(IFERROR(INDEX(parametros!$A$2:$A$6,MATCH(C3052,parametros!$B$2:$B$6,0)),"")&lt;&gt;"Sim","Nao",IF(IFERROR(INDEX(parametros!$H$2:$H$6,MATCH(C3052,parametros!$B$2:$B$6,0)),"")="","",IF(B3052&gt;=IFERROR(INDEX(parametros!$H$2:$H$6,MATCH(C3052,parametros!$B$2:$B$6,0)),""),"Sim","Nao"))))))</f>
        <v/>
      </c>
      <c r="T3052" s="156"/>
      <c r="U3052" s="214" t="str">
        <f t="shared" si="241"/>
        <v/>
      </c>
      <c r="V3052" s="212" t="s">
        <v>50</v>
      </c>
      <c r="W3052" s="100" t="s">
        <v>168</v>
      </c>
      <c r="X3052" s="100" t="s">
        <v>169</v>
      </c>
      <c r="Y3052" s="101" t="s">
        <v>170</v>
      </c>
      <c r="Z3052" s="101" t="s">
        <v>171</v>
      </c>
      <c r="AA3052" s="101" t="s">
        <v>50</v>
      </c>
      <c r="AB3052" s="101" t="s">
        <v>172</v>
      </c>
      <c r="AC3052" s="102" t="s">
        <v>173</v>
      </c>
    </row>
    <row r="3053" spans="1:29" ht="25.5" customHeight="1" x14ac:dyDescent="0.35">
      <c r="A3053" s="392"/>
      <c r="B3053" s="393"/>
      <c r="C3053" s="99" t="str">
        <f>IF(B3053="","",IF(NOT(ISNUMBER(B3053)),"DATA_PC invalida",IF(NOT(ISNUMBER(parametros!$C$2)),"Fora dos ciclos",IF(OR(B3053&lt;parametros!$C$2,(YEAR(B3053)-YEAR(parametros!$C$2))*12+MONTH(B3053)-MONTH(parametros!$C$2)&gt;59),"Fora dos ciclos","C"&amp;INT(((YEAR(B3053)-YEAR(parametros!$C$2))*12+MONTH(B3053)-MONTH(parametros!$C$2))/12)))))</f>
        <v/>
      </c>
      <c r="D3053" s="394"/>
      <c r="E3053" s="78" t="str">
        <f>IF(C3053="","",IFERROR(VLOOKUP(C3053,parametros!$A$11:$E$15,5,0),""))</f>
        <v/>
      </c>
      <c r="F3053" s="79" t="str">
        <f t="shared" si="237"/>
        <v/>
      </c>
      <c r="G3053" s="395"/>
      <c r="H3053" s="91">
        <f t="shared" si="238"/>
        <v>0</v>
      </c>
      <c r="I3053" s="91" t="str">
        <f t="shared" si="239"/>
        <v/>
      </c>
      <c r="J3053" s="91" t="str">
        <f t="shared" si="240"/>
        <v/>
      </c>
      <c r="K3053" s="92" t="str">
        <f>IF(AND(A3053="",B3053="",D3053="",G3053=""),"",IF(AND(A3053&lt;&gt;"",COUNTIF($A$2:$A$5001,A3053)&gt;1),"NUMERO_PC duplicado",IF(B3053="","DATA_PC vazia",IF(NOT(ISNUMBER(B3053)),"DATA_PC invalida",IF(OR(C3053="",C3053="Fora dos ciclos"),"CICLO_PC nao identificado",IF(OR(D3053="",D3053=0),"VALOR_PC vazio ou zero",IF(AND(G3053&lt;&gt;"Sim",G3053&lt;&gt;"Nao",G3053&lt;&gt;""),"PC_PAGO_A_CONTRATADA invalido",IF(AND(C3053&lt;&gt;"C0",IFERROR(INDEX(parametros!$A$2:$A$6,MATCH(C3053,parametros!$B$2:$B$6,0)),"")="Sim",IFERROR(INDEX(parametros!$H$2:$H$6,MATCH(C3053,parametros!$B$2:$B$6,0)),"")=""),"INICIO_EFEITO ausente: PC "&amp;A3053&amp;" - "&amp;C3053,IF(L3053="","EFEITO_PC nao calculado: PC "&amp;A3053&amp;" - "&amp;C3053,"OK")))))))))</f>
        <v/>
      </c>
      <c r="L3053" s="92" t="str">
        <f>IF(AND(A3053="",B3053="",D3053="",G3053=""),"",IF(OR(B3053="",NOT(ISNUMBER(B3053)),C3053="",C3053="Fora dos ciclos"),"",IF(C3053="C0","Nao",IF(IFERROR(INDEX(parametros!$A$2:$A$6,MATCH(C3053,parametros!$B$2:$B$6,0)),"")&lt;&gt;"Sim","Nao",IF(IFERROR(INDEX(parametros!$H$2:$H$6,MATCH(C3053,parametros!$B$2:$B$6,0)),"")="","",IF(B3053&gt;=IFERROR(INDEX(parametros!$H$2:$H$6,MATCH(C3053,parametros!$B$2:$B$6,0)),""),"Sim","Nao"))))))</f>
        <v/>
      </c>
      <c r="T3053" s="156"/>
      <c r="U3053" s="214" t="str">
        <f t="shared" si="241"/>
        <v/>
      </c>
      <c r="V3053" s="212" t="s">
        <v>50</v>
      </c>
      <c r="W3053" s="100" t="s">
        <v>168</v>
      </c>
      <c r="X3053" s="100" t="s">
        <v>169</v>
      </c>
      <c r="Y3053" s="101" t="s">
        <v>170</v>
      </c>
      <c r="Z3053" s="101" t="s">
        <v>171</v>
      </c>
      <c r="AA3053" s="101" t="s">
        <v>50</v>
      </c>
      <c r="AB3053" s="101" t="s">
        <v>172</v>
      </c>
      <c r="AC3053" s="102" t="s">
        <v>173</v>
      </c>
    </row>
    <row r="3054" spans="1:29" ht="25.5" customHeight="1" x14ac:dyDescent="0.35">
      <c r="A3054" s="392"/>
      <c r="B3054" s="393"/>
      <c r="C3054" s="99" t="str">
        <f>IF(B3054="","",IF(NOT(ISNUMBER(B3054)),"DATA_PC invalida",IF(NOT(ISNUMBER(parametros!$C$2)),"Fora dos ciclos",IF(OR(B3054&lt;parametros!$C$2,(YEAR(B3054)-YEAR(parametros!$C$2))*12+MONTH(B3054)-MONTH(parametros!$C$2)&gt;59),"Fora dos ciclos","C"&amp;INT(((YEAR(B3054)-YEAR(parametros!$C$2))*12+MONTH(B3054)-MONTH(parametros!$C$2))/12)))))</f>
        <v/>
      </c>
      <c r="D3054" s="394"/>
      <c r="E3054" s="78" t="str">
        <f>IF(C3054="","",IFERROR(VLOOKUP(C3054,parametros!$A$11:$E$15,5,0),""))</f>
        <v/>
      </c>
      <c r="F3054" s="79" t="str">
        <f t="shared" si="237"/>
        <v/>
      </c>
      <c r="G3054" s="395"/>
      <c r="H3054" s="91">
        <f t="shared" si="238"/>
        <v>0</v>
      </c>
      <c r="I3054" s="91" t="str">
        <f t="shared" si="239"/>
        <v/>
      </c>
      <c r="J3054" s="91" t="str">
        <f t="shared" si="240"/>
        <v/>
      </c>
      <c r="K3054" s="92" t="str">
        <f>IF(AND(A3054="",B3054="",D3054="",G3054=""),"",IF(AND(A3054&lt;&gt;"",COUNTIF($A$2:$A$5001,A3054)&gt;1),"NUMERO_PC duplicado",IF(B3054="","DATA_PC vazia",IF(NOT(ISNUMBER(B3054)),"DATA_PC invalida",IF(OR(C3054="",C3054="Fora dos ciclos"),"CICLO_PC nao identificado",IF(OR(D3054="",D3054=0),"VALOR_PC vazio ou zero",IF(AND(G3054&lt;&gt;"Sim",G3054&lt;&gt;"Nao",G3054&lt;&gt;""),"PC_PAGO_A_CONTRATADA invalido",IF(AND(C3054&lt;&gt;"C0",IFERROR(INDEX(parametros!$A$2:$A$6,MATCH(C3054,parametros!$B$2:$B$6,0)),"")="Sim",IFERROR(INDEX(parametros!$H$2:$H$6,MATCH(C3054,parametros!$B$2:$B$6,0)),"")=""),"INICIO_EFEITO ausente: PC "&amp;A3054&amp;" - "&amp;C3054,IF(L3054="","EFEITO_PC nao calculado: PC "&amp;A3054&amp;" - "&amp;C3054,"OK")))))))))</f>
        <v/>
      </c>
      <c r="L3054" s="92" t="str">
        <f>IF(AND(A3054="",B3054="",D3054="",G3054=""),"",IF(OR(B3054="",NOT(ISNUMBER(B3054)),C3054="",C3054="Fora dos ciclos"),"",IF(C3054="C0","Nao",IF(IFERROR(INDEX(parametros!$A$2:$A$6,MATCH(C3054,parametros!$B$2:$B$6,0)),"")&lt;&gt;"Sim","Nao",IF(IFERROR(INDEX(parametros!$H$2:$H$6,MATCH(C3054,parametros!$B$2:$B$6,0)),"")="","",IF(B3054&gt;=IFERROR(INDEX(parametros!$H$2:$H$6,MATCH(C3054,parametros!$B$2:$B$6,0)),""),"Sim","Nao"))))))</f>
        <v/>
      </c>
      <c r="T3054" s="156"/>
      <c r="U3054" s="214" t="str">
        <f t="shared" si="241"/>
        <v/>
      </c>
      <c r="V3054" s="212" t="s">
        <v>50</v>
      </c>
      <c r="W3054" s="100" t="s">
        <v>168</v>
      </c>
      <c r="X3054" s="100" t="s">
        <v>169</v>
      </c>
      <c r="Y3054" s="101" t="s">
        <v>170</v>
      </c>
      <c r="Z3054" s="101" t="s">
        <v>171</v>
      </c>
      <c r="AA3054" s="101" t="s">
        <v>50</v>
      </c>
      <c r="AB3054" s="101" t="s">
        <v>172</v>
      </c>
      <c r="AC3054" s="102" t="s">
        <v>173</v>
      </c>
    </row>
    <row r="3055" spans="1:29" ht="25.5" customHeight="1" x14ac:dyDescent="0.35">
      <c r="A3055" s="392"/>
      <c r="B3055" s="393"/>
      <c r="C3055" s="99" t="str">
        <f>IF(B3055="","",IF(NOT(ISNUMBER(B3055)),"DATA_PC invalida",IF(NOT(ISNUMBER(parametros!$C$2)),"Fora dos ciclos",IF(OR(B3055&lt;parametros!$C$2,(YEAR(B3055)-YEAR(parametros!$C$2))*12+MONTH(B3055)-MONTH(parametros!$C$2)&gt;59),"Fora dos ciclos","C"&amp;INT(((YEAR(B3055)-YEAR(parametros!$C$2))*12+MONTH(B3055)-MONTH(parametros!$C$2))/12)))))</f>
        <v/>
      </c>
      <c r="D3055" s="394"/>
      <c r="E3055" s="78" t="str">
        <f>IF(C3055="","",IFERROR(VLOOKUP(C3055,parametros!$A$11:$E$15,5,0),""))</f>
        <v/>
      </c>
      <c r="F3055" s="79" t="str">
        <f t="shared" si="237"/>
        <v/>
      </c>
      <c r="G3055" s="395"/>
      <c r="H3055" s="91">
        <f t="shared" si="238"/>
        <v>0</v>
      </c>
      <c r="I3055" s="91" t="str">
        <f t="shared" si="239"/>
        <v/>
      </c>
      <c r="J3055" s="91" t="str">
        <f t="shared" si="240"/>
        <v/>
      </c>
      <c r="K3055" s="92" t="str">
        <f>IF(AND(A3055="",B3055="",D3055="",G3055=""),"",IF(AND(A3055&lt;&gt;"",COUNTIF($A$2:$A$5001,A3055)&gt;1),"NUMERO_PC duplicado",IF(B3055="","DATA_PC vazia",IF(NOT(ISNUMBER(B3055)),"DATA_PC invalida",IF(OR(C3055="",C3055="Fora dos ciclos"),"CICLO_PC nao identificado",IF(OR(D3055="",D3055=0),"VALOR_PC vazio ou zero",IF(AND(G3055&lt;&gt;"Sim",G3055&lt;&gt;"Nao",G3055&lt;&gt;""),"PC_PAGO_A_CONTRATADA invalido",IF(AND(C3055&lt;&gt;"C0",IFERROR(INDEX(parametros!$A$2:$A$6,MATCH(C3055,parametros!$B$2:$B$6,0)),"")="Sim",IFERROR(INDEX(parametros!$H$2:$H$6,MATCH(C3055,parametros!$B$2:$B$6,0)),"")=""),"INICIO_EFEITO ausente: PC "&amp;A3055&amp;" - "&amp;C3055,IF(L3055="","EFEITO_PC nao calculado: PC "&amp;A3055&amp;" - "&amp;C3055,"OK")))))))))</f>
        <v/>
      </c>
      <c r="L3055" s="92" t="str">
        <f>IF(AND(A3055="",B3055="",D3055="",G3055=""),"",IF(OR(B3055="",NOT(ISNUMBER(B3055)),C3055="",C3055="Fora dos ciclos"),"",IF(C3055="C0","Nao",IF(IFERROR(INDEX(parametros!$A$2:$A$6,MATCH(C3055,parametros!$B$2:$B$6,0)),"")&lt;&gt;"Sim","Nao",IF(IFERROR(INDEX(parametros!$H$2:$H$6,MATCH(C3055,parametros!$B$2:$B$6,0)),"")="","",IF(B3055&gt;=IFERROR(INDEX(parametros!$H$2:$H$6,MATCH(C3055,parametros!$B$2:$B$6,0)),""),"Sim","Nao"))))))</f>
        <v/>
      </c>
      <c r="T3055" s="156"/>
      <c r="U3055" s="214" t="str">
        <f t="shared" si="241"/>
        <v/>
      </c>
      <c r="V3055" s="212" t="s">
        <v>50</v>
      </c>
      <c r="W3055" s="100" t="s">
        <v>168</v>
      </c>
      <c r="X3055" s="100" t="s">
        <v>169</v>
      </c>
      <c r="Y3055" s="101" t="s">
        <v>170</v>
      </c>
      <c r="Z3055" s="101" t="s">
        <v>171</v>
      </c>
      <c r="AA3055" s="101" t="s">
        <v>50</v>
      </c>
      <c r="AB3055" s="101" t="s">
        <v>172</v>
      </c>
      <c r="AC3055" s="102" t="s">
        <v>173</v>
      </c>
    </row>
    <row r="3056" spans="1:29" ht="25.5" customHeight="1" x14ac:dyDescent="0.35">
      <c r="A3056" s="392"/>
      <c r="B3056" s="393"/>
      <c r="C3056" s="99" t="str">
        <f>IF(B3056="","",IF(NOT(ISNUMBER(B3056)),"DATA_PC invalida",IF(NOT(ISNUMBER(parametros!$C$2)),"Fora dos ciclos",IF(OR(B3056&lt;parametros!$C$2,(YEAR(B3056)-YEAR(parametros!$C$2))*12+MONTH(B3056)-MONTH(parametros!$C$2)&gt;59),"Fora dos ciclos","C"&amp;INT(((YEAR(B3056)-YEAR(parametros!$C$2))*12+MONTH(B3056)-MONTH(parametros!$C$2))/12)))))</f>
        <v/>
      </c>
      <c r="D3056" s="394"/>
      <c r="E3056" s="78" t="str">
        <f>IF(C3056="","",IFERROR(VLOOKUP(C3056,parametros!$A$11:$E$15,5,0),""))</f>
        <v/>
      </c>
      <c r="F3056" s="79" t="str">
        <f t="shared" si="237"/>
        <v/>
      </c>
      <c r="G3056" s="395"/>
      <c r="H3056" s="91">
        <f t="shared" si="238"/>
        <v>0</v>
      </c>
      <c r="I3056" s="91" t="str">
        <f t="shared" si="239"/>
        <v/>
      </c>
      <c r="J3056" s="91" t="str">
        <f t="shared" si="240"/>
        <v/>
      </c>
      <c r="K3056" s="92" t="str">
        <f>IF(AND(A3056="",B3056="",D3056="",G3056=""),"",IF(AND(A3056&lt;&gt;"",COUNTIF($A$2:$A$5001,A3056)&gt;1),"NUMERO_PC duplicado",IF(B3056="","DATA_PC vazia",IF(NOT(ISNUMBER(B3056)),"DATA_PC invalida",IF(OR(C3056="",C3056="Fora dos ciclos"),"CICLO_PC nao identificado",IF(OR(D3056="",D3056=0),"VALOR_PC vazio ou zero",IF(AND(G3056&lt;&gt;"Sim",G3056&lt;&gt;"Nao",G3056&lt;&gt;""),"PC_PAGO_A_CONTRATADA invalido",IF(AND(C3056&lt;&gt;"C0",IFERROR(INDEX(parametros!$A$2:$A$6,MATCH(C3056,parametros!$B$2:$B$6,0)),"")="Sim",IFERROR(INDEX(parametros!$H$2:$H$6,MATCH(C3056,parametros!$B$2:$B$6,0)),"")=""),"INICIO_EFEITO ausente: PC "&amp;A3056&amp;" - "&amp;C3056,IF(L3056="","EFEITO_PC nao calculado: PC "&amp;A3056&amp;" - "&amp;C3056,"OK")))))))))</f>
        <v/>
      </c>
      <c r="L3056" s="92" t="str">
        <f>IF(AND(A3056="",B3056="",D3056="",G3056=""),"",IF(OR(B3056="",NOT(ISNUMBER(B3056)),C3056="",C3056="Fora dos ciclos"),"",IF(C3056="C0","Nao",IF(IFERROR(INDEX(parametros!$A$2:$A$6,MATCH(C3056,parametros!$B$2:$B$6,0)),"")&lt;&gt;"Sim","Nao",IF(IFERROR(INDEX(parametros!$H$2:$H$6,MATCH(C3056,parametros!$B$2:$B$6,0)),"")="","",IF(B3056&gt;=IFERROR(INDEX(parametros!$H$2:$H$6,MATCH(C3056,parametros!$B$2:$B$6,0)),""),"Sim","Nao"))))))</f>
        <v/>
      </c>
      <c r="T3056" s="156"/>
      <c r="U3056" s="214" t="str">
        <f t="shared" si="241"/>
        <v/>
      </c>
      <c r="V3056" s="212" t="s">
        <v>50</v>
      </c>
      <c r="W3056" s="100" t="s">
        <v>168</v>
      </c>
      <c r="X3056" s="100" t="s">
        <v>169</v>
      </c>
      <c r="Y3056" s="101" t="s">
        <v>170</v>
      </c>
      <c r="Z3056" s="101" t="s">
        <v>171</v>
      </c>
      <c r="AA3056" s="101" t="s">
        <v>50</v>
      </c>
      <c r="AB3056" s="101" t="s">
        <v>172</v>
      </c>
      <c r="AC3056" s="102" t="s">
        <v>173</v>
      </c>
    </row>
    <row r="3057" spans="1:29" ht="25.5" customHeight="1" x14ac:dyDescent="0.35">
      <c r="A3057" s="392"/>
      <c r="B3057" s="393"/>
      <c r="C3057" s="99" t="str">
        <f>IF(B3057="","",IF(NOT(ISNUMBER(B3057)),"DATA_PC invalida",IF(NOT(ISNUMBER(parametros!$C$2)),"Fora dos ciclos",IF(OR(B3057&lt;parametros!$C$2,(YEAR(B3057)-YEAR(parametros!$C$2))*12+MONTH(B3057)-MONTH(parametros!$C$2)&gt;59),"Fora dos ciclos","C"&amp;INT(((YEAR(B3057)-YEAR(parametros!$C$2))*12+MONTH(B3057)-MONTH(parametros!$C$2))/12)))))</f>
        <v/>
      </c>
      <c r="D3057" s="394"/>
      <c r="E3057" s="78" t="str">
        <f>IF(C3057="","",IFERROR(VLOOKUP(C3057,parametros!$A$11:$E$15,5,0),""))</f>
        <v/>
      </c>
      <c r="F3057" s="79" t="str">
        <f t="shared" si="237"/>
        <v/>
      </c>
      <c r="G3057" s="395"/>
      <c r="H3057" s="91">
        <f t="shared" si="238"/>
        <v>0</v>
      </c>
      <c r="I3057" s="91" t="str">
        <f t="shared" si="239"/>
        <v/>
      </c>
      <c r="J3057" s="91" t="str">
        <f t="shared" si="240"/>
        <v/>
      </c>
      <c r="K3057" s="92" t="str">
        <f>IF(AND(A3057="",B3057="",D3057="",G3057=""),"",IF(AND(A3057&lt;&gt;"",COUNTIF($A$2:$A$5001,A3057)&gt;1),"NUMERO_PC duplicado",IF(B3057="","DATA_PC vazia",IF(NOT(ISNUMBER(B3057)),"DATA_PC invalida",IF(OR(C3057="",C3057="Fora dos ciclos"),"CICLO_PC nao identificado",IF(OR(D3057="",D3057=0),"VALOR_PC vazio ou zero",IF(AND(G3057&lt;&gt;"Sim",G3057&lt;&gt;"Nao",G3057&lt;&gt;""),"PC_PAGO_A_CONTRATADA invalido",IF(AND(C3057&lt;&gt;"C0",IFERROR(INDEX(parametros!$A$2:$A$6,MATCH(C3057,parametros!$B$2:$B$6,0)),"")="Sim",IFERROR(INDEX(parametros!$H$2:$H$6,MATCH(C3057,parametros!$B$2:$B$6,0)),"")=""),"INICIO_EFEITO ausente: PC "&amp;A3057&amp;" - "&amp;C3057,IF(L3057="","EFEITO_PC nao calculado: PC "&amp;A3057&amp;" - "&amp;C3057,"OK")))))))))</f>
        <v/>
      </c>
      <c r="L3057" s="92" t="str">
        <f>IF(AND(A3057="",B3057="",D3057="",G3057=""),"",IF(OR(B3057="",NOT(ISNUMBER(B3057)),C3057="",C3057="Fora dos ciclos"),"",IF(C3057="C0","Nao",IF(IFERROR(INDEX(parametros!$A$2:$A$6,MATCH(C3057,parametros!$B$2:$B$6,0)),"")&lt;&gt;"Sim","Nao",IF(IFERROR(INDEX(parametros!$H$2:$H$6,MATCH(C3057,parametros!$B$2:$B$6,0)),"")="","",IF(B3057&gt;=IFERROR(INDEX(parametros!$H$2:$H$6,MATCH(C3057,parametros!$B$2:$B$6,0)),""),"Sim","Nao"))))))</f>
        <v/>
      </c>
      <c r="T3057" s="156"/>
      <c r="U3057" s="214" t="str">
        <f t="shared" si="241"/>
        <v/>
      </c>
      <c r="V3057" s="212" t="s">
        <v>50</v>
      </c>
      <c r="W3057" s="100" t="s">
        <v>168</v>
      </c>
      <c r="X3057" s="100" t="s">
        <v>169</v>
      </c>
      <c r="Y3057" s="101" t="s">
        <v>170</v>
      </c>
      <c r="Z3057" s="101" t="s">
        <v>171</v>
      </c>
      <c r="AA3057" s="101" t="s">
        <v>50</v>
      </c>
      <c r="AB3057" s="101" t="s">
        <v>172</v>
      </c>
      <c r="AC3057" s="102" t="s">
        <v>173</v>
      </c>
    </row>
    <row r="3058" spans="1:29" ht="25.5" customHeight="1" x14ac:dyDescent="0.35">
      <c r="A3058" s="392"/>
      <c r="B3058" s="393"/>
      <c r="C3058" s="99" t="str">
        <f>IF(B3058="","",IF(NOT(ISNUMBER(B3058)),"DATA_PC invalida",IF(NOT(ISNUMBER(parametros!$C$2)),"Fora dos ciclos",IF(OR(B3058&lt;parametros!$C$2,(YEAR(B3058)-YEAR(parametros!$C$2))*12+MONTH(B3058)-MONTH(parametros!$C$2)&gt;59),"Fora dos ciclos","C"&amp;INT(((YEAR(B3058)-YEAR(parametros!$C$2))*12+MONTH(B3058)-MONTH(parametros!$C$2))/12)))))</f>
        <v/>
      </c>
      <c r="D3058" s="394"/>
      <c r="E3058" s="78" t="str">
        <f>IF(C3058="","",IFERROR(VLOOKUP(C3058,parametros!$A$11:$E$15,5,0),""))</f>
        <v/>
      </c>
      <c r="F3058" s="79" t="str">
        <f t="shared" si="237"/>
        <v/>
      </c>
      <c r="G3058" s="395"/>
      <c r="H3058" s="91">
        <f t="shared" si="238"/>
        <v>0</v>
      </c>
      <c r="I3058" s="91" t="str">
        <f t="shared" si="239"/>
        <v/>
      </c>
      <c r="J3058" s="91" t="str">
        <f t="shared" si="240"/>
        <v/>
      </c>
      <c r="K3058" s="92" t="str">
        <f>IF(AND(A3058="",B3058="",D3058="",G3058=""),"",IF(AND(A3058&lt;&gt;"",COUNTIF($A$2:$A$5001,A3058)&gt;1),"NUMERO_PC duplicado",IF(B3058="","DATA_PC vazia",IF(NOT(ISNUMBER(B3058)),"DATA_PC invalida",IF(OR(C3058="",C3058="Fora dos ciclos"),"CICLO_PC nao identificado",IF(OR(D3058="",D3058=0),"VALOR_PC vazio ou zero",IF(AND(G3058&lt;&gt;"Sim",G3058&lt;&gt;"Nao",G3058&lt;&gt;""),"PC_PAGO_A_CONTRATADA invalido",IF(AND(C3058&lt;&gt;"C0",IFERROR(INDEX(parametros!$A$2:$A$6,MATCH(C3058,parametros!$B$2:$B$6,0)),"")="Sim",IFERROR(INDEX(parametros!$H$2:$H$6,MATCH(C3058,parametros!$B$2:$B$6,0)),"")=""),"INICIO_EFEITO ausente: PC "&amp;A3058&amp;" - "&amp;C3058,IF(L3058="","EFEITO_PC nao calculado: PC "&amp;A3058&amp;" - "&amp;C3058,"OK")))))))))</f>
        <v/>
      </c>
      <c r="L3058" s="92" t="str">
        <f>IF(AND(A3058="",B3058="",D3058="",G3058=""),"",IF(OR(B3058="",NOT(ISNUMBER(B3058)),C3058="",C3058="Fora dos ciclos"),"",IF(C3058="C0","Nao",IF(IFERROR(INDEX(parametros!$A$2:$A$6,MATCH(C3058,parametros!$B$2:$B$6,0)),"")&lt;&gt;"Sim","Nao",IF(IFERROR(INDEX(parametros!$H$2:$H$6,MATCH(C3058,parametros!$B$2:$B$6,0)),"")="","",IF(B3058&gt;=IFERROR(INDEX(parametros!$H$2:$H$6,MATCH(C3058,parametros!$B$2:$B$6,0)),""),"Sim","Nao"))))))</f>
        <v/>
      </c>
      <c r="T3058" s="156"/>
      <c r="U3058" s="214" t="str">
        <f t="shared" si="241"/>
        <v/>
      </c>
      <c r="V3058" s="212" t="s">
        <v>50</v>
      </c>
      <c r="W3058" s="100" t="s">
        <v>168</v>
      </c>
      <c r="X3058" s="100" t="s">
        <v>169</v>
      </c>
      <c r="Y3058" s="101" t="s">
        <v>170</v>
      </c>
      <c r="Z3058" s="101" t="s">
        <v>171</v>
      </c>
      <c r="AA3058" s="101" t="s">
        <v>50</v>
      </c>
      <c r="AB3058" s="101" t="s">
        <v>172</v>
      </c>
      <c r="AC3058" s="102" t="s">
        <v>173</v>
      </c>
    </row>
    <row r="3059" spans="1:29" ht="25.5" customHeight="1" x14ac:dyDescent="0.35">
      <c r="A3059" s="392"/>
      <c r="B3059" s="393"/>
      <c r="C3059" s="99" t="str">
        <f>IF(B3059="","",IF(NOT(ISNUMBER(B3059)),"DATA_PC invalida",IF(NOT(ISNUMBER(parametros!$C$2)),"Fora dos ciclos",IF(OR(B3059&lt;parametros!$C$2,(YEAR(B3059)-YEAR(parametros!$C$2))*12+MONTH(B3059)-MONTH(parametros!$C$2)&gt;59),"Fora dos ciclos","C"&amp;INT(((YEAR(B3059)-YEAR(parametros!$C$2))*12+MONTH(B3059)-MONTH(parametros!$C$2))/12)))))</f>
        <v/>
      </c>
      <c r="D3059" s="394"/>
      <c r="E3059" s="78" t="str">
        <f>IF(C3059="","",IFERROR(VLOOKUP(C3059,parametros!$A$11:$E$15,5,0),""))</f>
        <v/>
      </c>
      <c r="F3059" s="79" t="str">
        <f t="shared" si="237"/>
        <v/>
      </c>
      <c r="G3059" s="395"/>
      <c r="H3059" s="91">
        <f t="shared" si="238"/>
        <v>0</v>
      </c>
      <c r="I3059" s="91" t="str">
        <f t="shared" si="239"/>
        <v/>
      </c>
      <c r="J3059" s="91" t="str">
        <f t="shared" si="240"/>
        <v/>
      </c>
      <c r="K3059" s="92" t="str">
        <f>IF(AND(A3059="",B3059="",D3059="",G3059=""),"",IF(AND(A3059&lt;&gt;"",COUNTIF($A$2:$A$5001,A3059)&gt;1),"NUMERO_PC duplicado",IF(B3059="","DATA_PC vazia",IF(NOT(ISNUMBER(B3059)),"DATA_PC invalida",IF(OR(C3059="",C3059="Fora dos ciclos"),"CICLO_PC nao identificado",IF(OR(D3059="",D3059=0),"VALOR_PC vazio ou zero",IF(AND(G3059&lt;&gt;"Sim",G3059&lt;&gt;"Nao",G3059&lt;&gt;""),"PC_PAGO_A_CONTRATADA invalido",IF(AND(C3059&lt;&gt;"C0",IFERROR(INDEX(parametros!$A$2:$A$6,MATCH(C3059,parametros!$B$2:$B$6,0)),"")="Sim",IFERROR(INDEX(parametros!$H$2:$H$6,MATCH(C3059,parametros!$B$2:$B$6,0)),"")=""),"INICIO_EFEITO ausente: PC "&amp;A3059&amp;" - "&amp;C3059,IF(L3059="","EFEITO_PC nao calculado: PC "&amp;A3059&amp;" - "&amp;C3059,"OK")))))))))</f>
        <v/>
      </c>
      <c r="L3059" s="92" t="str">
        <f>IF(AND(A3059="",B3059="",D3059="",G3059=""),"",IF(OR(B3059="",NOT(ISNUMBER(B3059)),C3059="",C3059="Fora dos ciclos"),"",IF(C3059="C0","Nao",IF(IFERROR(INDEX(parametros!$A$2:$A$6,MATCH(C3059,parametros!$B$2:$B$6,0)),"")&lt;&gt;"Sim","Nao",IF(IFERROR(INDEX(parametros!$H$2:$H$6,MATCH(C3059,parametros!$B$2:$B$6,0)),"")="","",IF(B3059&gt;=IFERROR(INDEX(parametros!$H$2:$H$6,MATCH(C3059,parametros!$B$2:$B$6,0)),""),"Sim","Nao"))))))</f>
        <v/>
      </c>
      <c r="T3059" s="156"/>
      <c r="U3059" s="214" t="str">
        <f t="shared" si="241"/>
        <v/>
      </c>
      <c r="V3059" s="212" t="s">
        <v>50</v>
      </c>
      <c r="W3059" s="100" t="s">
        <v>168</v>
      </c>
      <c r="X3059" s="100" t="s">
        <v>169</v>
      </c>
      <c r="Y3059" s="101" t="s">
        <v>170</v>
      </c>
      <c r="Z3059" s="101" t="s">
        <v>171</v>
      </c>
      <c r="AA3059" s="101" t="s">
        <v>50</v>
      </c>
      <c r="AB3059" s="101" t="s">
        <v>172</v>
      </c>
      <c r="AC3059" s="102" t="s">
        <v>173</v>
      </c>
    </row>
    <row r="3060" spans="1:29" ht="25.5" customHeight="1" x14ac:dyDescent="0.35">
      <c r="A3060" s="392"/>
      <c r="B3060" s="393"/>
      <c r="C3060" s="99" t="str">
        <f>IF(B3060="","",IF(NOT(ISNUMBER(B3060)),"DATA_PC invalida",IF(NOT(ISNUMBER(parametros!$C$2)),"Fora dos ciclos",IF(OR(B3060&lt;parametros!$C$2,(YEAR(B3060)-YEAR(parametros!$C$2))*12+MONTH(B3060)-MONTH(parametros!$C$2)&gt;59),"Fora dos ciclos","C"&amp;INT(((YEAR(B3060)-YEAR(parametros!$C$2))*12+MONTH(B3060)-MONTH(parametros!$C$2))/12)))))</f>
        <v/>
      </c>
      <c r="D3060" s="394"/>
      <c r="E3060" s="78" t="str">
        <f>IF(C3060="","",IFERROR(VLOOKUP(C3060,parametros!$A$11:$E$15,5,0),""))</f>
        <v/>
      </c>
      <c r="F3060" s="79" t="str">
        <f t="shared" si="237"/>
        <v/>
      </c>
      <c r="G3060" s="395"/>
      <c r="H3060" s="91">
        <f t="shared" si="238"/>
        <v>0</v>
      </c>
      <c r="I3060" s="91" t="str">
        <f t="shared" si="239"/>
        <v/>
      </c>
      <c r="J3060" s="91" t="str">
        <f t="shared" si="240"/>
        <v/>
      </c>
      <c r="K3060" s="92" t="str">
        <f>IF(AND(A3060="",B3060="",D3060="",G3060=""),"",IF(AND(A3060&lt;&gt;"",COUNTIF($A$2:$A$5001,A3060)&gt;1),"NUMERO_PC duplicado",IF(B3060="","DATA_PC vazia",IF(NOT(ISNUMBER(B3060)),"DATA_PC invalida",IF(OR(C3060="",C3060="Fora dos ciclos"),"CICLO_PC nao identificado",IF(OR(D3060="",D3060=0),"VALOR_PC vazio ou zero",IF(AND(G3060&lt;&gt;"Sim",G3060&lt;&gt;"Nao",G3060&lt;&gt;""),"PC_PAGO_A_CONTRATADA invalido",IF(AND(C3060&lt;&gt;"C0",IFERROR(INDEX(parametros!$A$2:$A$6,MATCH(C3060,parametros!$B$2:$B$6,0)),"")="Sim",IFERROR(INDEX(parametros!$H$2:$H$6,MATCH(C3060,parametros!$B$2:$B$6,0)),"")=""),"INICIO_EFEITO ausente: PC "&amp;A3060&amp;" - "&amp;C3060,IF(L3060="","EFEITO_PC nao calculado: PC "&amp;A3060&amp;" - "&amp;C3060,"OK")))))))))</f>
        <v/>
      </c>
      <c r="L3060" s="92" t="str">
        <f>IF(AND(A3060="",B3060="",D3060="",G3060=""),"",IF(OR(B3060="",NOT(ISNUMBER(B3060)),C3060="",C3060="Fora dos ciclos"),"",IF(C3060="C0","Nao",IF(IFERROR(INDEX(parametros!$A$2:$A$6,MATCH(C3060,parametros!$B$2:$B$6,0)),"")&lt;&gt;"Sim","Nao",IF(IFERROR(INDEX(parametros!$H$2:$H$6,MATCH(C3060,parametros!$B$2:$B$6,0)),"")="","",IF(B3060&gt;=IFERROR(INDEX(parametros!$H$2:$H$6,MATCH(C3060,parametros!$B$2:$B$6,0)),""),"Sim","Nao"))))))</f>
        <v/>
      </c>
      <c r="T3060" s="156"/>
      <c r="U3060" s="214" t="str">
        <f t="shared" si="241"/>
        <v/>
      </c>
      <c r="V3060" s="212" t="s">
        <v>50</v>
      </c>
      <c r="W3060" s="100" t="s">
        <v>168</v>
      </c>
      <c r="X3060" s="100" t="s">
        <v>169</v>
      </c>
      <c r="Y3060" s="101" t="s">
        <v>170</v>
      </c>
      <c r="Z3060" s="101" t="s">
        <v>171</v>
      </c>
      <c r="AA3060" s="101" t="s">
        <v>50</v>
      </c>
      <c r="AB3060" s="101" t="s">
        <v>172</v>
      </c>
      <c r="AC3060" s="102" t="s">
        <v>173</v>
      </c>
    </row>
    <row r="3061" spans="1:29" ht="25.5" customHeight="1" x14ac:dyDescent="0.35">
      <c r="A3061" s="392"/>
      <c r="B3061" s="393"/>
      <c r="C3061" s="99" t="str">
        <f>IF(B3061="","",IF(NOT(ISNUMBER(B3061)),"DATA_PC invalida",IF(NOT(ISNUMBER(parametros!$C$2)),"Fora dos ciclos",IF(OR(B3061&lt;parametros!$C$2,(YEAR(B3061)-YEAR(parametros!$C$2))*12+MONTH(B3061)-MONTH(parametros!$C$2)&gt;59),"Fora dos ciclos","C"&amp;INT(((YEAR(B3061)-YEAR(parametros!$C$2))*12+MONTH(B3061)-MONTH(parametros!$C$2))/12)))))</f>
        <v/>
      </c>
      <c r="D3061" s="394"/>
      <c r="E3061" s="78" t="str">
        <f>IF(C3061="","",IFERROR(VLOOKUP(C3061,parametros!$A$11:$E$15,5,0),""))</f>
        <v/>
      </c>
      <c r="F3061" s="79" t="str">
        <f t="shared" si="237"/>
        <v/>
      </c>
      <c r="G3061" s="395"/>
      <c r="H3061" s="91">
        <f t="shared" si="238"/>
        <v>0</v>
      </c>
      <c r="I3061" s="91" t="str">
        <f t="shared" si="239"/>
        <v/>
      </c>
      <c r="J3061" s="91" t="str">
        <f t="shared" si="240"/>
        <v/>
      </c>
      <c r="K3061" s="92" t="str">
        <f>IF(AND(A3061="",B3061="",D3061="",G3061=""),"",IF(AND(A3061&lt;&gt;"",COUNTIF($A$2:$A$5001,A3061)&gt;1),"NUMERO_PC duplicado",IF(B3061="","DATA_PC vazia",IF(NOT(ISNUMBER(B3061)),"DATA_PC invalida",IF(OR(C3061="",C3061="Fora dos ciclos"),"CICLO_PC nao identificado",IF(OR(D3061="",D3061=0),"VALOR_PC vazio ou zero",IF(AND(G3061&lt;&gt;"Sim",G3061&lt;&gt;"Nao",G3061&lt;&gt;""),"PC_PAGO_A_CONTRATADA invalido",IF(AND(C3061&lt;&gt;"C0",IFERROR(INDEX(parametros!$A$2:$A$6,MATCH(C3061,parametros!$B$2:$B$6,0)),"")="Sim",IFERROR(INDEX(parametros!$H$2:$H$6,MATCH(C3061,parametros!$B$2:$B$6,0)),"")=""),"INICIO_EFEITO ausente: PC "&amp;A3061&amp;" - "&amp;C3061,IF(L3061="","EFEITO_PC nao calculado: PC "&amp;A3061&amp;" - "&amp;C3061,"OK")))))))))</f>
        <v/>
      </c>
      <c r="L3061" s="92" t="str">
        <f>IF(AND(A3061="",B3061="",D3061="",G3061=""),"",IF(OR(B3061="",NOT(ISNUMBER(B3061)),C3061="",C3061="Fora dos ciclos"),"",IF(C3061="C0","Nao",IF(IFERROR(INDEX(parametros!$A$2:$A$6,MATCH(C3061,parametros!$B$2:$B$6,0)),"")&lt;&gt;"Sim","Nao",IF(IFERROR(INDEX(parametros!$H$2:$H$6,MATCH(C3061,parametros!$B$2:$B$6,0)),"")="","",IF(B3061&gt;=IFERROR(INDEX(parametros!$H$2:$H$6,MATCH(C3061,parametros!$B$2:$B$6,0)),""),"Sim","Nao"))))))</f>
        <v/>
      </c>
      <c r="T3061" s="156"/>
      <c r="U3061" s="214" t="str">
        <f t="shared" si="241"/>
        <v/>
      </c>
      <c r="V3061" s="212" t="s">
        <v>50</v>
      </c>
      <c r="W3061" s="100" t="s">
        <v>168</v>
      </c>
      <c r="X3061" s="100" t="s">
        <v>169</v>
      </c>
      <c r="Y3061" s="101" t="s">
        <v>170</v>
      </c>
      <c r="Z3061" s="101" t="s">
        <v>171</v>
      </c>
      <c r="AA3061" s="101" t="s">
        <v>50</v>
      </c>
      <c r="AB3061" s="101" t="s">
        <v>172</v>
      </c>
      <c r="AC3061" s="102" t="s">
        <v>173</v>
      </c>
    </row>
    <row r="3062" spans="1:29" ht="25.5" customHeight="1" x14ac:dyDescent="0.35">
      <c r="A3062" s="392"/>
      <c r="B3062" s="393"/>
      <c r="C3062" s="99" t="str">
        <f>IF(B3062="","",IF(NOT(ISNUMBER(B3062)),"DATA_PC invalida",IF(NOT(ISNUMBER(parametros!$C$2)),"Fora dos ciclos",IF(OR(B3062&lt;parametros!$C$2,(YEAR(B3062)-YEAR(parametros!$C$2))*12+MONTH(B3062)-MONTH(parametros!$C$2)&gt;59),"Fora dos ciclos","C"&amp;INT(((YEAR(B3062)-YEAR(parametros!$C$2))*12+MONTH(B3062)-MONTH(parametros!$C$2))/12)))))</f>
        <v/>
      </c>
      <c r="D3062" s="394"/>
      <c r="E3062" s="78" t="str">
        <f>IF(C3062="","",IFERROR(VLOOKUP(C3062,parametros!$A$11:$E$15,5,0),""))</f>
        <v/>
      </c>
      <c r="F3062" s="79" t="str">
        <f t="shared" si="237"/>
        <v/>
      </c>
      <c r="G3062" s="395"/>
      <c r="H3062" s="91">
        <f t="shared" si="238"/>
        <v>0</v>
      </c>
      <c r="I3062" s="91" t="str">
        <f t="shared" si="239"/>
        <v/>
      </c>
      <c r="J3062" s="91" t="str">
        <f t="shared" si="240"/>
        <v/>
      </c>
      <c r="K3062" s="92" t="str">
        <f>IF(AND(A3062="",B3062="",D3062="",G3062=""),"",IF(AND(A3062&lt;&gt;"",COUNTIF($A$2:$A$5001,A3062)&gt;1),"NUMERO_PC duplicado",IF(B3062="","DATA_PC vazia",IF(NOT(ISNUMBER(B3062)),"DATA_PC invalida",IF(OR(C3062="",C3062="Fora dos ciclos"),"CICLO_PC nao identificado",IF(OR(D3062="",D3062=0),"VALOR_PC vazio ou zero",IF(AND(G3062&lt;&gt;"Sim",G3062&lt;&gt;"Nao",G3062&lt;&gt;""),"PC_PAGO_A_CONTRATADA invalido",IF(AND(C3062&lt;&gt;"C0",IFERROR(INDEX(parametros!$A$2:$A$6,MATCH(C3062,parametros!$B$2:$B$6,0)),"")="Sim",IFERROR(INDEX(parametros!$H$2:$H$6,MATCH(C3062,parametros!$B$2:$B$6,0)),"")=""),"INICIO_EFEITO ausente: PC "&amp;A3062&amp;" - "&amp;C3062,IF(L3062="","EFEITO_PC nao calculado: PC "&amp;A3062&amp;" - "&amp;C3062,"OK")))))))))</f>
        <v/>
      </c>
      <c r="L3062" s="92" t="str">
        <f>IF(AND(A3062="",B3062="",D3062="",G3062=""),"",IF(OR(B3062="",NOT(ISNUMBER(B3062)),C3062="",C3062="Fora dos ciclos"),"",IF(C3062="C0","Nao",IF(IFERROR(INDEX(parametros!$A$2:$A$6,MATCH(C3062,parametros!$B$2:$B$6,0)),"")&lt;&gt;"Sim","Nao",IF(IFERROR(INDEX(parametros!$H$2:$H$6,MATCH(C3062,parametros!$B$2:$B$6,0)),"")="","",IF(B3062&gt;=IFERROR(INDEX(parametros!$H$2:$H$6,MATCH(C3062,parametros!$B$2:$B$6,0)),""),"Sim","Nao"))))))</f>
        <v/>
      </c>
      <c r="T3062" s="156"/>
      <c r="U3062" s="214" t="str">
        <f t="shared" si="241"/>
        <v/>
      </c>
      <c r="V3062" s="212" t="s">
        <v>50</v>
      </c>
      <c r="W3062" s="100" t="s">
        <v>168</v>
      </c>
      <c r="X3062" s="100" t="s">
        <v>169</v>
      </c>
      <c r="Y3062" s="101" t="s">
        <v>170</v>
      </c>
      <c r="Z3062" s="101" t="s">
        <v>171</v>
      </c>
      <c r="AA3062" s="101" t="s">
        <v>50</v>
      </c>
      <c r="AB3062" s="101" t="s">
        <v>172</v>
      </c>
      <c r="AC3062" s="102" t="s">
        <v>173</v>
      </c>
    </row>
    <row r="3063" spans="1:29" ht="25.5" customHeight="1" x14ac:dyDescent="0.35">
      <c r="A3063" s="392"/>
      <c r="B3063" s="393"/>
      <c r="C3063" s="99" t="str">
        <f>IF(B3063="","",IF(NOT(ISNUMBER(B3063)),"DATA_PC invalida",IF(NOT(ISNUMBER(parametros!$C$2)),"Fora dos ciclos",IF(OR(B3063&lt;parametros!$C$2,(YEAR(B3063)-YEAR(parametros!$C$2))*12+MONTH(B3063)-MONTH(parametros!$C$2)&gt;59),"Fora dos ciclos","C"&amp;INT(((YEAR(B3063)-YEAR(parametros!$C$2))*12+MONTH(B3063)-MONTH(parametros!$C$2))/12)))))</f>
        <v/>
      </c>
      <c r="D3063" s="394"/>
      <c r="E3063" s="78" t="str">
        <f>IF(C3063="","",IFERROR(VLOOKUP(C3063,parametros!$A$11:$E$15,5,0),""))</f>
        <v/>
      </c>
      <c r="F3063" s="79" t="str">
        <f t="shared" si="237"/>
        <v/>
      </c>
      <c r="G3063" s="395"/>
      <c r="H3063" s="91">
        <f t="shared" si="238"/>
        <v>0</v>
      </c>
      <c r="I3063" s="91" t="str">
        <f t="shared" si="239"/>
        <v/>
      </c>
      <c r="J3063" s="91" t="str">
        <f t="shared" si="240"/>
        <v/>
      </c>
      <c r="K3063" s="92" t="str">
        <f>IF(AND(A3063="",B3063="",D3063="",G3063=""),"",IF(AND(A3063&lt;&gt;"",COUNTIF($A$2:$A$5001,A3063)&gt;1),"NUMERO_PC duplicado",IF(B3063="","DATA_PC vazia",IF(NOT(ISNUMBER(B3063)),"DATA_PC invalida",IF(OR(C3063="",C3063="Fora dos ciclos"),"CICLO_PC nao identificado",IF(OR(D3063="",D3063=0),"VALOR_PC vazio ou zero",IF(AND(G3063&lt;&gt;"Sim",G3063&lt;&gt;"Nao",G3063&lt;&gt;""),"PC_PAGO_A_CONTRATADA invalido",IF(AND(C3063&lt;&gt;"C0",IFERROR(INDEX(parametros!$A$2:$A$6,MATCH(C3063,parametros!$B$2:$B$6,0)),"")="Sim",IFERROR(INDEX(parametros!$H$2:$H$6,MATCH(C3063,parametros!$B$2:$B$6,0)),"")=""),"INICIO_EFEITO ausente: PC "&amp;A3063&amp;" - "&amp;C3063,IF(L3063="","EFEITO_PC nao calculado: PC "&amp;A3063&amp;" - "&amp;C3063,"OK")))))))))</f>
        <v/>
      </c>
      <c r="L3063" s="92" t="str">
        <f>IF(AND(A3063="",B3063="",D3063="",G3063=""),"",IF(OR(B3063="",NOT(ISNUMBER(B3063)),C3063="",C3063="Fora dos ciclos"),"",IF(C3063="C0","Nao",IF(IFERROR(INDEX(parametros!$A$2:$A$6,MATCH(C3063,parametros!$B$2:$B$6,0)),"")&lt;&gt;"Sim","Nao",IF(IFERROR(INDEX(parametros!$H$2:$H$6,MATCH(C3063,parametros!$B$2:$B$6,0)),"")="","",IF(B3063&gt;=IFERROR(INDEX(parametros!$H$2:$H$6,MATCH(C3063,parametros!$B$2:$B$6,0)),""),"Sim","Nao"))))))</f>
        <v/>
      </c>
      <c r="T3063" s="156"/>
      <c r="U3063" s="214" t="str">
        <f t="shared" si="241"/>
        <v/>
      </c>
      <c r="V3063" s="212" t="s">
        <v>50</v>
      </c>
      <c r="W3063" s="100" t="s">
        <v>168</v>
      </c>
      <c r="X3063" s="100" t="s">
        <v>169</v>
      </c>
      <c r="Y3063" s="101" t="s">
        <v>170</v>
      </c>
      <c r="Z3063" s="101" t="s">
        <v>171</v>
      </c>
      <c r="AA3063" s="101" t="s">
        <v>50</v>
      </c>
      <c r="AB3063" s="101" t="s">
        <v>172</v>
      </c>
      <c r="AC3063" s="102" t="s">
        <v>173</v>
      </c>
    </row>
    <row r="3064" spans="1:29" ht="25.5" customHeight="1" x14ac:dyDescent="0.35">
      <c r="A3064" s="392"/>
      <c r="B3064" s="393"/>
      <c r="C3064" s="99" t="str">
        <f>IF(B3064="","",IF(NOT(ISNUMBER(B3064)),"DATA_PC invalida",IF(NOT(ISNUMBER(parametros!$C$2)),"Fora dos ciclos",IF(OR(B3064&lt;parametros!$C$2,(YEAR(B3064)-YEAR(parametros!$C$2))*12+MONTH(B3064)-MONTH(parametros!$C$2)&gt;59),"Fora dos ciclos","C"&amp;INT(((YEAR(B3064)-YEAR(parametros!$C$2))*12+MONTH(B3064)-MONTH(parametros!$C$2))/12)))))</f>
        <v/>
      </c>
      <c r="D3064" s="394"/>
      <c r="E3064" s="78" t="str">
        <f>IF(C3064="","",IFERROR(VLOOKUP(C3064,parametros!$A$11:$E$15,5,0),""))</f>
        <v/>
      </c>
      <c r="F3064" s="79" t="str">
        <f t="shared" si="237"/>
        <v/>
      </c>
      <c r="G3064" s="395"/>
      <c r="H3064" s="91">
        <f t="shared" si="238"/>
        <v>0</v>
      </c>
      <c r="I3064" s="91" t="str">
        <f t="shared" si="239"/>
        <v/>
      </c>
      <c r="J3064" s="91" t="str">
        <f t="shared" si="240"/>
        <v/>
      </c>
      <c r="K3064" s="92" t="str">
        <f>IF(AND(A3064="",B3064="",D3064="",G3064=""),"",IF(AND(A3064&lt;&gt;"",COUNTIF($A$2:$A$5001,A3064)&gt;1),"NUMERO_PC duplicado",IF(B3064="","DATA_PC vazia",IF(NOT(ISNUMBER(B3064)),"DATA_PC invalida",IF(OR(C3064="",C3064="Fora dos ciclos"),"CICLO_PC nao identificado",IF(OR(D3064="",D3064=0),"VALOR_PC vazio ou zero",IF(AND(G3064&lt;&gt;"Sim",G3064&lt;&gt;"Nao",G3064&lt;&gt;""),"PC_PAGO_A_CONTRATADA invalido",IF(AND(C3064&lt;&gt;"C0",IFERROR(INDEX(parametros!$A$2:$A$6,MATCH(C3064,parametros!$B$2:$B$6,0)),"")="Sim",IFERROR(INDEX(parametros!$H$2:$H$6,MATCH(C3064,parametros!$B$2:$B$6,0)),"")=""),"INICIO_EFEITO ausente: PC "&amp;A3064&amp;" - "&amp;C3064,IF(L3064="","EFEITO_PC nao calculado: PC "&amp;A3064&amp;" - "&amp;C3064,"OK")))))))))</f>
        <v/>
      </c>
      <c r="L3064" s="92" t="str">
        <f>IF(AND(A3064="",B3064="",D3064="",G3064=""),"",IF(OR(B3064="",NOT(ISNUMBER(B3064)),C3064="",C3064="Fora dos ciclos"),"",IF(C3064="C0","Nao",IF(IFERROR(INDEX(parametros!$A$2:$A$6,MATCH(C3064,parametros!$B$2:$B$6,0)),"")&lt;&gt;"Sim","Nao",IF(IFERROR(INDEX(parametros!$H$2:$H$6,MATCH(C3064,parametros!$B$2:$B$6,0)),"")="","",IF(B3064&gt;=IFERROR(INDEX(parametros!$H$2:$H$6,MATCH(C3064,parametros!$B$2:$B$6,0)),""),"Sim","Nao"))))))</f>
        <v/>
      </c>
      <c r="T3064" s="156"/>
      <c r="U3064" s="214" t="str">
        <f t="shared" si="241"/>
        <v/>
      </c>
      <c r="V3064" s="212" t="s">
        <v>50</v>
      </c>
      <c r="W3064" s="100" t="s">
        <v>168</v>
      </c>
      <c r="X3064" s="100" t="s">
        <v>169</v>
      </c>
      <c r="Y3064" s="101" t="s">
        <v>170</v>
      </c>
      <c r="Z3064" s="101" t="s">
        <v>171</v>
      </c>
      <c r="AA3064" s="101" t="s">
        <v>50</v>
      </c>
      <c r="AB3064" s="101" t="s">
        <v>172</v>
      </c>
      <c r="AC3064" s="102" t="s">
        <v>173</v>
      </c>
    </row>
    <row r="3065" spans="1:29" ht="25.5" customHeight="1" x14ac:dyDescent="0.35">
      <c r="A3065" s="392"/>
      <c r="B3065" s="393"/>
      <c r="C3065" s="99" t="str">
        <f>IF(B3065="","",IF(NOT(ISNUMBER(B3065)),"DATA_PC invalida",IF(NOT(ISNUMBER(parametros!$C$2)),"Fora dos ciclos",IF(OR(B3065&lt;parametros!$C$2,(YEAR(B3065)-YEAR(parametros!$C$2))*12+MONTH(B3065)-MONTH(parametros!$C$2)&gt;59),"Fora dos ciclos","C"&amp;INT(((YEAR(B3065)-YEAR(parametros!$C$2))*12+MONTH(B3065)-MONTH(parametros!$C$2))/12)))))</f>
        <v/>
      </c>
      <c r="D3065" s="394"/>
      <c r="E3065" s="78" t="str">
        <f>IF(C3065="","",IFERROR(VLOOKUP(C3065,parametros!$A$11:$E$15,5,0),""))</f>
        <v/>
      </c>
      <c r="F3065" s="79" t="str">
        <f t="shared" si="237"/>
        <v/>
      </c>
      <c r="G3065" s="395"/>
      <c r="H3065" s="91">
        <f t="shared" si="238"/>
        <v>0</v>
      </c>
      <c r="I3065" s="91" t="str">
        <f t="shared" si="239"/>
        <v/>
      </c>
      <c r="J3065" s="91" t="str">
        <f t="shared" si="240"/>
        <v/>
      </c>
      <c r="K3065" s="92" t="str">
        <f>IF(AND(A3065="",B3065="",D3065="",G3065=""),"",IF(AND(A3065&lt;&gt;"",COUNTIF($A$2:$A$5001,A3065)&gt;1),"NUMERO_PC duplicado",IF(B3065="","DATA_PC vazia",IF(NOT(ISNUMBER(B3065)),"DATA_PC invalida",IF(OR(C3065="",C3065="Fora dos ciclos"),"CICLO_PC nao identificado",IF(OR(D3065="",D3065=0),"VALOR_PC vazio ou zero",IF(AND(G3065&lt;&gt;"Sim",G3065&lt;&gt;"Nao",G3065&lt;&gt;""),"PC_PAGO_A_CONTRATADA invalido",IF(AND(C3065&lt;&gt;"C0",IFERROR(INDEX(parametros!$A$2:$A$6,MATCH(C3065,parametros!$B$2:$B$6,0)),"")="Sim",IFERROR(INDEX(parametros!$H$2:$H$6,MATCH(C3065,parametros!$B$2:$B$6,0)),"")=""),"INICIO_EFEITO ausente: PC "&amp;A3065&amp;" - "&amp;C3065,IF(L3065="","EFEITO_PC nao calculado: PC "&amp;A3065&amp;" - "&amp;C3065,"OK")))))))))</f>
        <v/>
      </c>
      <c r="L3065" s="92" t="str">
        <f>IF(AND(A3065="",B3065="",D3065="",G3065=""),"",IF(OR(B3065="",NOT(ISNUMBER(B3065)),C3065="",C3065="Fora dos ciclos"),"",IF(C3065="C0","Nao",IF(IFERROR(INDEX(parametros!$A$2:$A$6,MATCH(C3065,parametros!$B$2:$B$6,0)),"")&lt;&gt;"Sim","Nao",IF(IFERROR(INDEX(parametros!$H$2:$H$6,MATCH(C3065,parametros!$B$2:$B$6,0)),"")="","",IF(B3065&gt;=IFERROR(INDEX(parametros!$H$2:$H$6,MATCH(C3065,parametros!$B$2:$B$6,0)),""),"Sim","Nao"))))))</f>
        <v/>
      </c>
      <c r="T3065" s="156"/>
      <c r="U3065" s="214" t="str">
        <f t="shared" si="241"/>
        <v/>
      </c>
      <c r="V3065" s="212" t="s">
        <v>50</v>
      </c>
      <c r="W3065" s="100" t="s">
        <v>168</v>
      </c>
      <c r="X3065" s="100" t="s">
        <v>169</v>
      </c>
      <c r="Y3065" s="101" t="s">
        <v>170</v>
      </c>
      <c r="Z3065" s="101" t="s">
        <v>171</v>
      </c>
      <c r="AA3065" s="101" t="s">
        <v>50</v>
      </c>
      <c r="AB3065" s="101" t="s">
        <v>172</v>
      </c>
      <c r="AC3065" s="102" t="s">
        <v>173</v>
      </c>
    </row>
    <row r="3066" spans="1:29" ht="25.5" customHeight="1" x14ac:dyDescent="0.35">
      <c r="A3066" s="392"/>
      <c r="B3066" s="393"/>
      <c r="C3066" s="99" t="str">
        <f>IF(B3066="","",IF(NOT(ISNUMBER(B3066)),"DATA_PC invalida",IF(NOT(ISNUMBER(parametros!$C$2)),"Fora dos ciclos",IF(OR(B3066&lt;parametros!$C$2,(YEAR(B3066)-YEAR(parametros!$C$2))*12+MONTH(B3066)-MONTH(parametros!$C$2)&gt;59),"Fora dos ciclos","C"&amp;INT(((YEAR(B3066)-YEAR(parametros!$C$2))*12+MONTH(B3066)-MONTH(parametros!$C$2))/12)))))</f>
        <v/>
      </c>
      <c r="D3066" s="394"/>
      <c r="E3066" s="78" t="str">
        <f>IF(C3066="","",IFERROR(VLOOKUP(C3066,parametros!$A$11:$E$15,5,0),""))</f>
        <v/>
      </c>
      <c r="F3066" s="79" t="str">
        <f t="shared" si="237"/>
        <v/>
      </c>
      <c r="G3066" s="395"/>
      <c r="H3066" s="91">
        <f t="shared" si="238"/>
        <v>0</v>
      </c>
      <c r="I3066" s="91" t="str">
        <f t="shared" si="239"/>
        <v/>
      </c>
      <c r="J3066" s="91" t="str">
        <f t="shared" si="240"/>
        <v/>
      </c>
      <c r="K3066" s="92" t="str">
        <f>IF(AND(A3066="",B3066="",D3066="",G3066=""),"",IF(AND(A3066&lt;&gt;"",COUNTIF($A$2:$A$5001,A3066)&gt;1),"NUMERO_PC duplicado",IF(B3066="","DATA_PC vazia",IF(NOT(ISNUMBER(B3066)),"DATA_PC invalida",IF(OR(C3066="",C3066="Fora dos ciclos"),"CICLO_PC nao identificado",IF(OR(D3066="",D3066=0),"VALOR_PC vazio ou zero",IF(AND(G3066&lt;&gt;"Sim",G3066&lt;&gt;"Nao",G3066&lt;&gt;""),"PC_PAGO_A_CONTRATADA invalido",IF(AND(C3066&lt;&gt;"C0",IFERROR(INDEX(parametros!$A$2:$A$6,MATCH(C3066,parametros!$B$2:$B$6,0)),"")="Sim",IFERROR(INDEX(parametros!$H$2:$H$6,MATCH(C3066,parametros!$B$2:$B$6,0)),"")=""),"INICIO_EFEITO ausente: PC "&amp;A3066&amp;" - "&amp;C3066,IF(L3066="","EFEITO_PC nao calculado: PC "&amp;A3066&amp;" - "&amp;C3066,"OK")))))))))</f>
        <v/>
      </c>
      <c r="L3066" s="92" t="str">
        <f>IF(AND(A3066="",B3066="",D3066="",G3066=""),"",IF(OR(B3066="",NOT(ISNUMBER(B3066)),C3066="",C3066="Fora dos ciclos"),"",IF(C3066="C0","Nao",IF(IFERROR(INDEX(parametros!$A$2:$A$6,MATCH(C3066,parametros!$B$2:$B$6,0)),"")&lt;&gt;"Sim","Nao",IF(IFERROR(INDEX(parametros!$H$2:$H$6,MATCH(C3066,parametros!$B$2:$B$6,0)),"")="","",IF(B3066&gt;=IFERROR(INDEX(parametros!$H$2:$H$6,MATCH(C3066,parametros!$B$2:$B$6,0)),""),"Sim","Nao"))))))</f>
        <v/>
      </c>
      <c r="T3066" s="156"/>
      <c r="U3066" s="214" t="str">
        <f t="shared" si="241"/>
        <v/>
      </c>
      <c r="V3066" s="212" t="s">
        <v>50</v>
      </c>
      <c r="W3066" s="100" t="s">
        <v>168</v>
      </c>
      <c r="X3066" s="100" t="s">
        <v>169</v>
      </c>
      <c r="Y3066" s="101" t="s">
        <v>170</v>
      </c>
      <c r="Z3066" s="101" t="s">
        <v>171</v>
      </c>
      <c r="AA3066" s="101" t="s">
        <v>50</v>
      </c>
      <c r="AB3066" s="101" t="s">
        <v>172</v>
      </c>
      <c r="AC3066" s="102" t="s">
        <v>173</v>
      </c>
    </row>
    <row r="3067" spans="1:29" ht="25.5" customHeight="1" x14ac:dyDescent="0.35">
      <c r="A3067" s="392"/>
      <c r="B3067" s="393"/>
      <c r="C3067" s="99" t="str">
        <f>IF(B3067="","",IF(NOT(ISNUMBER(B3067)),"DATA_PC invalida",IF(NOT(ISNUMBER(parametros!$C$2)),"Fora dos ciclos",IF(OR(B3067&lt;parametros!$C$2,(YEAR(B3067)-YEAR(parametros!$C$2))*12+MONTH(B3067)-MONTH(parametros!$C$2)&gt;59),"Fora dos ciclos","C"&amp;INT(((YEAR(B3067)-YEAR(parametros!$C$2))*12+MONTH(B3067)-MONTH(parametros!$C$2))/12)))))</f>
        <v/>
      </c>
      <c r="D3067" s="394"/>
      <c r="E3067" s="78" t="str">
        <f>IF(C3067="","",IFERROR(VLOOKUP(C3067,parametros!$A$11:$E$15,5,0),""))</f>
        <v/>
      </c>
      <c r="F3067" s="79" t="str">
        <f t="shared" si="237"/>
        <v/>
      </c>
      <c r="G3067" s="395"/>
      <c r="H3067" s="91">
        <f t="shared" si="238"/>
        <v>0</v>
      </c>
      <c r="I3067" s="91" t="str">
        <f t="shared" si="239"/>
        <v/>
      </c>
      <c r="J3067" s="91" t="str">
        <f t="shared" si="240"/>
        <v/>
      </c>
      <c r="K3067" s="92" t="str">
        <f>IF(AND(A3067="",B3067="",D3067="",G3067=""),"",IF(AND(A3067&lt;&gt;"",COUNTIF($A$2:$A$5001,A3067)&gt;1),"NUMERO_PC duplicado",IF(B3067="","DATA_PC vazia",IF(NOT(ISNUMBER(B3067)),"DATA_PC invalida",IF(OR(C3067="",C3067="Fora dos ciclos"),"CICLO_PC nao identificado",IF(OR(D3067="",D3067=0),"VALOR_PC vazio ou zero",IF(AND(G3067&lt;&gt;"Sim",G3067&lt;&gt;"Nao",G3067&lt;&gt;""),"PC_PAGO_A_CONTRATADA invalido",IF(AND(C3067&lt;&gt;"C0",IFERROR(INDEX(parametros!$A$2:$A$6,MATCH(C3067,parametros!$B$2:$B$6,0)),"")="Sim",IFERROR(INDEX(parametros!$H$2:$H$6,MATCH(C3067,parametros!$B$2:$B$6,0)),"")=""),"INICIO_EFEITO ausente: PC "&amp;A3067&amp;" - "&amp;C3067,IF(L3067="","EFEITO_PC nao calculado: PC "&amp;A3067&amp;" - "&amp;C3067,"OK")))))))))</f>
        <v/>
      </c>
      <c r="L3067" s="92" t="str">
        <f>IF(AND(A3067="",B3067="",D3067="",G3067=""),"",IF(OR(B3067="",NOT(ISNUMBER(B3067)),C3067="",C3067="Fora dos ciclos"),"",IF(C3067="C0","Nao",IF(IFERROR(INDEX(parametros!$A$2:$A$6,MATCH(C3067,parametros!$B$2:$B$6,0)),"")&lt;&gt;"Sim","Nao",IF(IFERROR(INDEX(parametros!$H$2:$H$6,MATCH(C3067,parametros!$B$2:$B$6,0)),"")="","",IF(B3067&gt;=IFERROR(INDEX(parametros!$H$2:$H$6,MATCH(C3067,parametros!$B$2:$B$6,0)),""),"Sim","Nao"))))))</f>
        <v/>
      </c>
      <c r="T3067" s="156"/>
      <c r="U3067" s="214" t="str">
        <f t="shared" si="241"/>
        <v/>
      </c>
      <c r="V3067" s="212" t="s">
        <v>50</v>
      </c>
      <c r="W3067" s="100" t="s">
        <v>168</v>
      </c>
      <c r="X3067" s="100" t="s">
        <v>169</v>
      </c>
      <c r="Y3067" s="101" t="s">
        <v>170</v>
      </c>
      <c r="Z3067" s="101" t="s">
        <v>171</v>
      </c>
      <c r="AA3067" s="101" t="s">
        <v>50</v>
      </c>
      <c r="AB3067" s="101" t="s">
        <v>172</v>
      </c>
      <c r="AC3067" s="102" t="s">
        <v>173</v>
      </c>
    </row>
    <row r="3068" spans="1:29" ht="25.5" customHeight="1" x14ac:dyDescent="0.35">
      <c r="A3068" s="392"/>
      <c r="B3068" s="393"/>
      <c r="C3068" s="99" t="str">
        <f>IF(B3068="","",IF(NOT(ISNUMBER(B3068)),"DATA_PC invalida",IF(NOT(ISNUMBER(parametros!$C$2)),"Fora dos ciclos",IF(OR(B3068&lt;parametros!$C$2,(YEAR(B3068)-YEAR(parametros!$C$2))*12+MONTH(B3068)-MONTH(parametros!$C$2)&gt;59),"Fora dos ciclos","C"&amp;INT(((YEAR(B3068)-YEAR(parametros!$C$2))*12+MONTH(B3068)-MONTH(parametros!$C$2))/12)))))</f>
        <v/>
      </c>
      <c r="D3068" s="394"/>
      <c r="E3068" s="78" t="str">
        <f>IF(C3068="","",IFERROR(VLOOKUP(C3068,parametros!$A$11:$E$15,5,0),""))</f>
        <v/>
      </c>
      <c r="F3068" s="79" t="str">
        <f t="shared" si="237"/>
        <v/>
      </c>
      <c r="G3068" s="395"/>
      <c r="H3068" s="91">
        <f t="shared" si="238"/>
        <v>0</v>
      </c>
      <c r="I3068" s="91" t="str">
        <f t="shared" si="239"/>
        <v/>
      </c>
      <c r="J3068" s="91" t="str">
        <f t="shared" si="240"/>
        <v/>
      </c>
      <c r="K3068" s="92" t="str">
        <f>IF(AND(A3068="",B3068="",D3068="",G3068=""),"",IF(AND(A3068&lt;&gt;"",COUNTIF($A$2:$A$5001,A3068)&gt;1),"NUMERO_PC duplicado",IF(B3068="","DATA_PC vazia",IF(NOT(ISNUMBER(B3068)),"DATA_PC invalida",IF(OR(C3068="",C3068="Fora dos ciclos"),"CICLO_PC nao identificado",IF(OR(D3068="",D3068=0),"VALOR_PC vazio ou zero",IF(AND(G3068&lt;&gt;"Sim",G3068&lt;&gt;"Nao",G3068&lt;&gt;""),"PC_PAGO_A_CONTRATADA invalido",IF(AND(C3068&lt;&gt;"C0",IFERROR(INDEX(parametros!$A$2:$A$6,MATCH(C3068,parametros!$B$2:$B$6,0)),"")="Sim",IFERROR(INDEX(parametros!$H$2:$H$6,MATCH(C3068,parametros!$B$2:$B$6,0)),"")=""),"INICIO_EFEITO ausente: PC "&amp;A3068&amp;" - "&amp;C3068,IF(L3068="","EFEITO_PC nao calculado: PC "&amp;A3068&amp;" - "&amp;C3068,"OK")))))))))</f>
        <v/>
      </c>
      <c r="L3068" s="92" t="str">
        <f>IF(AND(A3068="",B3068="",D3068="",G3068=""),"",IF(OR(B3068="",NOT(ISNUMBER(B3068)),C3068="",C3068="Fora dos ciclos"),"",IF(C3068="C0","Nao",IF(IFERROR(INDEX(parametros!$A$2:$A$6,MATCH(C3068,parametros!$B$2:$B$6,0)),"")&lt;&gt;"Sim","Nao",IF(IFERROR(INDEX(parametros!$H$2:$H$6,MATCH(C3068,parametros!$B$2:$B$6,0)),"")="","",IF(B3068&gt;=IFERROR(INDEX(parametros!$H$2:$H$6,MATCH(C3068,parametros!$B$2:$B$6,0)),""),"Sim","Nao"))))))</f>
        <v/>
      </c>
      <c r="T3068" s="156"/>
      <c r="U3068" s="214" t="str">
        <f t="shared" si="241"/>
        <v/>
      </c>
      <c r="V3068" s="212" t="s">
        <v>50</v>
      </c>
      <c r="W3068" s="100" t="s">
        <v>168</v>
      </c>
      <c r="X3068" s="100" t="s">
        <v>169</v>
      </c>
      <c r="Y3068" s="101" t="s">
        <v>170</v>
      </c>
      <c r="Z3068" s="101" t="s">
        <v>171</v>
      </c>
      <c r="AA3068" s="101" t="s">
        <v>50</v>
      </c>
      <c r="AB3068" s="101" t="s">
        <v>172</v>
      </c>
      <c r="AC3068" s="102" t="s">
        <v>173</v>
      </c>
    </row>
    <row r="3069" spans="1:29" ht="25.5" customHeight="1" x14ac:dyDescent="0.35">
      <c r="A3069" s="392"/>
      <c r="B3069" s="393"/>
      <c r="C3069" s="99" t="str">
        <f>IF(B3069="","",IF(NOT(ISNUMBER(B3069)),"DATA_PC invalida",IF(NOT(ISNUMBER(parametros!$C$2)),"Fora dos ciclos",IF(OR(B3069&lt;parametros!$C$2,(YEAR(B3069)-YEAR(parametros!$C$2))*12+MONTH(B3069)-MONTH(parametros!$C$2)&gt;59),"Fora dos ciclos","C"&amp;INT(((YEAR(B3069)-YEAR(parametros!$C$2))*12+MONTH(B3069)-MONTH(parametros!$C$2))/12)))))</f>
        <v/>
      </c>
      <c r="D3069" s="394"/>
      <c r="E3069" s="78" t="str">
        <f>IF(C3069="","",IFERROR(VLOOKUP(C3069,parametros!$A$11:$E$15,5,0),""))</f>
        <v/>
      </c>
      <c r="F3069" s="79" t="str">
        <f t="shared" si="237"/>
        <v/>
      </c>
      <c r="G3069" s="395"/>
      <c r="H3069" s="91">
        <f t="shared" si="238"/>
        <v>0</v>
      </c>
      <c r="I3069" s="91" t="str">
        <f t="shared" si="239"/>
        <v/>
      </c>
      <c r="J3069" s="91" t="str">
        <f t="shared" si="240"/>
        <v/>
      </c>
      <c r="K3069" s="92" t="str">
        <f>IF(AND(A3069="",B3069="",D3069="",G3069=""),"",IF(AND(A3069&lt;&gt;"",COUNTIF($A$2:$A$5001,A3069)&gt;1),"NUMERO_PC duplicado",IF(B3069="","DATA_PC vazia",IF(NOT(ISNUMBER(B3069)),"DATA_PC invalida",IF(OR(C3069="",C3069="Fora dos ciclos"),"CICLO_PC nao identificado",IF(OR(D3069="",D3069=0),"VALOR_PC vazio ou zero",IF(AND(G3069&lt;&gt;"Sim",G3069&lt;&gt;"Nao",G3069&lt;&gt;""),"PC_PAGO_A_CONTRATADA invalido",IF(AND(C3069&lt;&gt;"C0",IFERROR(INDEX(parametros!$A$2:$A$6,MATCH(C3069,parametros!$B$2:$B$6,0)),"")="Sim",IFERROR(INDEX(parametros!$H$2:$H$6,MATCH(C3069,parametros!$B$2:$B$6,0)),"")=""),"INICIO_EFEITO ausente: PC "&amp;A3069&amp;" - "&amp;C3069,IF(L3069="","EFEITO_PC nao calculado: PC "&amp;A3069&amp;" - "&amp;C3069,"OK")))))))))</f>
        <v/>
      </c>
      <c r="L3069" s="92" t="str">
        <f>IF(AND(A3069="",B3069="",D3069="",G3069=""),"",IF(OR(B3069="",NOT(ISNUMBER(B3069)),C3069="",C3069="Fora dos ciclos"),"",IF(C3069="C0","Nao",IF(IFERROR(INDEX(parametros!$A$2:$A$6,MATCH(C3069,parametros!$B$2:$B$6,0)),"")&lt;&gt;"Sim","Nao",IF(IFERROR(INDEX(parametros!$H$2:$H$6,MATCH(C3069,parametros!$B$2:$B$6,0)),"")="","",IF(B3069&gt;=IFERROR(INDEX(parametros!$H$2:$H$6,MATCH(C3069,parametros!$B$2:$B$6,0)),""),"Sim","Nao"))))))</f>
        <v/>
      </c>
      <c r="T3069" s="156"/>
      <c r="U3069" s="214" t="str">
        <f t="shared" si="241"/>
        <v/>
      </c>
      <c r="V3069" s="212" t="s">
        <v>50</v>
      </c>
      <c r="W3069" s="100" t="s">
        <v>168</v>
      </c>
      <c r="X3069" s="100" t="s">
        <v>169</v>
      </c>
      <c r="Y3069" s="101" t="s">
        <v>170</v>
      </c>
      <c r="Z3069" s="101" t="s">
        <v>171</v>
      </c>
      <c r="AA3069" s="101" t="s">
        <v>50</v>
      </c>
      <c r="AB3069" s="101" t="s">
        <v>172</v>
      </c>
      <c r="AC3069" s="102" t="s">
        <v>173</v>
      </c>
    </row>
    <row r="3070" spans="1:29" ht="25.5" customHeight="1" x14ac:dyDescent="0.35">
      <c r="A3070" s="392"/>
      <c r="B3070" s="393"/>
      <c r="C3070" s="99" t="str">
        <f>IF(B3070="","",IF(NOT(ISNUMBER(B3070)),"DATA_PC invalida",IF(NOT(ISNUMBER(parametros!$C$2)),"Fora dos ciclos",IF(OR(B3070&lt;parametros!$C$2,(YEAR(B3070)-YEAR(parametros!$C$2))*12+MONTH(B3070)-MONTH(parametros!$C$2)&gt;59),"Fora dos ciclos","C"&amp;INT(((YEAR(B3070)-YEAR(parametros!$C$2))*12+MONTH(B3070)-MONTH(parametros!$C$2))/12)))))</f>
        <v/>
      </c>
      <c r="D3070" s="394"/>
      <c r="E3070" s="78" t="str">
        <f>IF(C3070="","",IFERROR(VLOOKUP(C3070,parametros!$A$11:$E$15,5,0),""))</f>
        <v/>
      </c>
      <c r="F3070" s="79" t="str">
        <f t="shared" si="237"/>
        <v/>
      </c>
      <c r="G3070" s="395"/>
      <c r="H3070" s="91">
        <f t="shared" si="238"/>
        <v>0</v>
      </c>
      <c r="I3070" s="91" t="str">
        <f t="shared" si="239"/>
        <v/>
      </c>
      <c r="J3070" s="91" t="str">
        <f t="shared" si="240"/>
        <v/>
      </c>
      <c r="K3070" s="92" t="str">
        <f>IF(AND(A3070="",B3070="",D3070="",G3070=""),"",IF(AND(A3070&lt;&gt;"",COUNTIF($A$2:$A$5001,A3070)&gt;1),"NUMERO_PC duplicado",IF(B3070="","DATA_PC vazia",IF(NOT(ISNUMBER(B3070)),"DATA_PC invalida",IF(OR(C3070="",C3070="Fora dos ciclos"),"CICLO_PC nao identificado",IF(OR(D3070="",D3070=0),"VALOR_PC vazio ou zero",IF(AND(G3070&lt;&gt;"Sim",G3070&lt;&gt;"Nao",G3070&lt;&gt;""),"PC_PAGO_A_CONTRATADA invalido",IF(AND(C3070&lt;&gt;"C0",IFERROR(INDEX(parametros!$A$2:$A$6,MATCH(C3070,parametros!$B$2:$B$6,0)),"")="Sim",IFERROR(INDEX(parametros!$H$2:$H$6,MATCH(C3070,parametros!$B$2:$B$6,0)),"")=""),"INICIO_EFEITO ausente: PC "&amp;A3070&amp;" - "&amp;C3070,IF(L3070="","EFEITO_PC nao calculado: PC "&amp;A3070&amp;" - "&amp;C3070,"OK")))))))))</f>
        <v/>
      </c>
      <c r="L3070" s="92" t="str">
        <f>IF(AND(A3070="",B3070="",D3070="",G3070=""),"",IF(OR(B3070="",NOT(ISNUMBER(B3070)),C3070="",C3070="Fora dos ciclos"),"",IF(C3070="C0","Nao",IF(IFERROR(INDEX(parametros!$A$2:$A$6,MATCH(C3070,parametros!$B$2:$B$6,0)),"")&lt;&gt;"Sim","Nao",IF(IFERROR(INDEX(parametros!$H$2:$H$6,MATCH(C3070,parametros!$B$2:$B$6,0)),"")="","",IF(B3070&gt;=IFERROR(INDEX(parametros!$H$2:$H$6,MATCH(C3070,parametros!$B$2:$B$6,0)),""),"Sim","Nao"))))))</f>
        <v/>
      </c>
      <c r="T3070" s="156"/>
      <c r="U3070" s="214" t="str">
        <f t="shared" si="241"/>
        <v/>
      </c>
      <c r="V3070" s="212" t="s">
        <v>50</v>
      </c>
      <c r="W3070" s="100" t="s">
        <v>168</v>
      </c>
      <c r="X3070" s="100" t="s">
        <v>169</v>
      </c>
      <c r="Y3070" s="101" t="s">
        <v>170</v>
      </c>
      <c r="Z3070" s="101" t="s">
        <v>171</v>
      </c>
      <c r="AA3070" s="101" t="s">
        <v>50</v>
      </c>
      <c r="AB3070" s="101" t="s">
        <v>172</v>
      </c>
      <c r="AC3070" s="102" t="s">
        <v>173</v>
      </c>
    </row>
    <row r="3071" spans="1:29" ht="25.5" customHeight="1" x14ac:dyDescent="0.35">
      <c r="A3071" s="392"/>
      <c r="B3071" s="393"/>
      <c r="C3071" s="99" t="str">
        <f>IF(B3071="","",IF(NOT(ISNUMBER(B3071)),"DATA_PC invalida",IF(NOT(ISNUMBER(parametros!$C$2)),"Fora dos ciclos",IF(OR(B3071&lt;parametros!$C$2,(YEAR(B3071)-YEAR(parametros!$C$2))*12+MONTH(B3071)-MONTH(parametros!$C$2)&gt;59),"Fora dos ciclos","C"&amp;INT(((YEAR(B3071)-YEAR(parametros!$C$2))*12+MONTH(B3071)-MONTH(parametros!$C$2))/12)))))</f>
        <v/>
      </c>
      <c r="D3071" s="394"/>
      <c r="E3071" s="78" t="str">
        <f>IF(C3071="","",IFERROR(VLOOKUP(C3071,parametros!$A$11:$E$15,5,0),""))</f>
        <v/>
      </c>
      <c r="F3071" s="79" t="str">
        <f t="shared" si="237"/>
        <v/>
      </c>
      <c r="G3071" s="395"/>
      <c r="H3071" s="91">
        <f t="shared" si="238"/>
        <v>0</v>
      </c>
      <c r="I3071" s="91" t="str">
        <f t="shared" si="239"/>
        <v/>
      </c>
      <c r="J3071" s="91" t="str">
        <f t="shared" si="240"/>
        <v/>
      </c>
      <c r="K3071" s="92" t="str">
        <f>IF(AND(A3071="",B3071="",D3071="",G3071=""),"",IF(AND(A3071&lt;&gt;"",COUNTIF($A$2:$A$5001,A3071)&gt;1),"NUMERO_PC duplicado",IF(B3071="","DATA_PC vazia",IF(NOT(ISNUMBER(B3071)),"DATA_PC invalida",IF(OR(C3071="",C3071="Fora dos ciclos"),"CICLO_PC nao identificado",IF(OR(D3071="",D3071=0),"VALOR_PC vazio ou zero",IF(AND(G3071&lt;&gt;"Sim",G3071&lt;&gt;"Nao",G3071&lt;&gt;""),"PC_PAGO_A_CONTRATADA invalido",IF(AND(C3071&lt;&gt;"C0",IFERROR(INDEX(parametros!$A$2:$A$6,MATCH(C3071,parametros!$B$2:$B$6,0)),"")="Sim",IFERROR(INDEX(parametros!$H$2:$H$6,MATCH(C3071,parametros!$B$2:$B$6,0)),"")=""),"INICIO_EFEITO ausente: PC "&amp;A3071&amp;" - "&amp;C3071,IF(L3071="","EFEITO_PC nao calculado: PC "&amp;A3071&amp;" - "&amp;C3071,"OK")))))))))</f>
        <v/>
      </c>
      <c r="L3071" s="92" t="str">
        <f>IF(AND(A3071="",B3071="",D3071="",G3071=""),"",IF(OR(B3071="",NOT(ISNUMBER(B3071)),C3071="",C3071="Fora dos ciclos"),"",IF(C3071="C0","Nao",IF(IFERROR(INDEX(parametros!$A$2:$A$6,MATCH(C3071,parametros!$B$2:$B$6,0)),"")&lt;&gt;"Sim","Nao",IF(IFERROR(INDEX(parametros!$H$2:$H$6,MATCH(C3071,parametros!$B$2:$B$6,0)),"")="","",IF(B3071&gt;=IFERROR(INDEX(parametros!$H$2:$H$6,MATCH(C3071,parametros!$B$2:$B$6,0)),""),"Sim","Nao"))))))</f>
        <v/>
      </c>
      <c r="T3071" s="156"/>
      <c r="U3071" s="214" t="str">
        <f t="shared" si="241"/>
        <v/>
      </c>
      <c r="V3071" s="212" t="s">
        <v>50</v>
      </c>
      <c r="W3071" s="100" t="s">
        <v>168</v>
      </c>
      <c r="X3071" s="100" t="s">
        <v>169</v>
      </c>
      <c r="Y3071" s="101" t="s">
        <v>170</v>
      </c>
      <c r="Z3071" s="101" t="s">
        <v>171</v>
      </c>
      <c r="AA3071" s="101" t="s">
        <v>50</v>
      </c>
      <c r="AB3071" s="101" t="s">
        <v>172</v>
      </c>
      <c r="AC3071" s="102" t="s">
        <v>173</v>
      </c>
    </row>
    <row r="3072" spans="1:29" ht="25.5" customHeight="1" x14ac:dyDescent="0.35">
      <c r="A3072" s="392"/>
      <c r="B3072" s="393"/>
      <c r="C3072" s="99" t="str">
        <f>IF(B3072="","",IF(NOT(ISNUMBER(B3072)),"DATA_PC invalida",IF(NOT(ISNUMBER(parametros!$C$2)),"Fora dos ciclos",IF(OR(B3072&lt;parametros!$C$2,(YEAR(B3072)-YEAR(parametros!$C$2))*12+MONTH(B3072)-MONTH(parametros!$C$2)&gt;59),"Fora dos ciclos","C"&amp;INT(((YEAR(B3072)-YEAR(parametros!$C$2))*12+MONTH(B3072)-MONTH(parametros!$C$2))/12)))))</f>
        <v/>
      </c>
      <c r="D3072" s="394"/>
      <c r="E3072" s="78" t="str">
        <f>IF(C3072="","",IFERROR(VLOOKUP(C3072,parametros!$A$11:$E$15,5,0),""))</f>
        <v/>
      </c>
      <c r="F3072" s="79" t="str">
        <f t="shared" si="237"/>
        <v/>
      </c>
      <c r="G3072" s="395"/>
      <c r="H3072" s="91">
        <f t="shared" si="238"/>
        <v>0</v>
      </c>
      <c r="I3072" s="91" t="str">
        <f t="shared" si="239"/>
        <v/>
      </c>
      <c r="J3072" s="91" t="str">
        <f t="shared" si="240"/>
        <v/>
      </c>
      <c r="K3072" s="92" t="str">
        <f>IF(AND(A3072="",B3072="",D3072="",G3072=""),"",IF(AND(A3072&lt;&gt;"",COUNTIF($A$2:$A$5001,A3072)&gt;1),"NUMERO_PC duplicado",IF(B3072="","DATA_PC vazia",IF(NOT(ISNUMBER(B3072)),"DATA_PC invalida",IF(OR(C3072="",C3072="Fora dos ciclos"),"CICLO_PC nao identificado",IF(OR(D3072="",D3072=0),"VALOR_PC vazio ou zero",IF(AND(G3072&lt;&gt;"Sim",G3072&lt;&gt;"Nao",G3072&lt;&gt;""),"PC_PAGO_A_CONTRATADA invalido",IF(AND(C3072&lt;&gt;"C0",IFERROR(INDEX(parametros!$A$2:$A$6,MATCH(C3072,parametros!$B$2:$B$6,0)),"")="Sim",IFERROR(INDEX(parametros!$H$2:$H$6,MATCH(C3072,parametros!$B$2:$B$6,0)),"")=""),"INICIO_EFEITO ausente: PC "&amp;A3072&amp;" - "&amp;C3072,IF(L3072="","EFEITO_PC nao calculado: PC "&amp;A3072&amp;" - "&amp;C3072,"OK")))))))))</f>
        <v/>
      </c>
      <c r="L3072" s="92" t="str">
        <f>IF(AND(A3072="",B3072="",D3072="",G3072=""),"",IF(OR(B3072="",NOT(ISNUMBER(B3072)),C3072="",C3072="Fora dos ciclos"),"",IF(C3072="C0","Nao",IF(IFERROR(INDEX(parametros!$A$2:$A$6,MATCH(C3072,parametros!$B$2:$B$6,0)),"")&lt;&gt;"Sim","Nao",IF(IFERROR(INDEX(parametros!$H$2:$H$6,MATCH(C3072,parametros!$B$2:$B$6,0)),"")="","",IF(B3072&gt;=IFERROR(INDEX(parametros!$H$2:$H$6,MATCH(C3072,parametros!$B$2:$B$6,0)),""),"Sim","Nao"))))))</f>
        <v/>
      </c>
      <c r="T3072" s="156"/>
      <c r="U3072" s="214" t="str">
        <f t="shared" si="241"/>
        <v/>
      </c>
      <c r="V3072" s="212" t="s">
        <v>50</v>
      </c>
      <c r="W3072" s="100" t="s">
        <v>168</v>
      </c>
      <c r="X3072" s="100" t="s">
        <v>169</v>
      </c>
      <c r="Y3072" s="101" t="s">
        <v>170</v>
      </c>
      <c r="Z3072" s="101" t="s">
        <v>171</v>
      </c>
      <c r="AA3072" s="101" t="s">
        <v>50</v>
      </c>
      <c r="AB3072" s="101" t="s">
        <v>172</v>
      </c>
      <c r="AC3072" s="102" t="s">
        <v>173</v>
      </c>
    </row>
    <row r="3073" spans="1:29" ht="25.5" customHeight="1" x14ac:dyDescent="0.35">
      <c r="A3073" s="392"/>
      <c r="B3073" s="393"/>
      <c r="C3073" s="99" t="str">
        <f>IF(B3073="","",IF(NOT(ISNUMBER(B3073)),"DATA_PC invalida",IF(NOT(ISNUMBER(parametros!$C$2)),"Fora dos ciclos",IF(OR(B3073&lt;parametros!$C$2,(YEAR(B3073)-YEAR(parametros!$C$2))*12+MONTH(B3073)-MONTH(parametros!$C$2)&gt;59),"Fora dos ciclos","C"&amp;INT(((YEAR(B3073)-YEAR(parametros!$C$2))*12+MONTH(B3073)-MONTH(parametros!$C$2))/12)))))</f>
        <v/>
      </c>
      <c r="D3073" s="394"/>
      <c r="E3073" s="78" t="str">
        <f>IF(C3073="","",IFERROR(VLOOKUP(C3073,parametros!$A$11:$E$15,5,0),""))</f>
        <v/>
      </c>
      <c r="F3073" s="79" t="str">
        <f t="shared" si="237"/>
        <v/>
      </c>
      <c r="G3073" s="395"/>
      <c r="H3073" s="91">
        <f t="shared" si="238"/>
        <v>0</v>
      </c>
      <c r="I3073" s="91" t="str">
        <f t="shared" si="239"/>
        <v/>
      </c>
      <c r="J3073" s="91" t="str">
        <f t="shared" si="240"/>
        <v/>
      </c>
      <c r="K3073" s="92" t="str">
        <f>IF(AND(A3073="",B3073="",D3073="",G3073=""),"",IF(AND(A3073&lt;&gt;"",COUNTIF($A$2:$A$5001,A3073)&gt;1),"NUMERO_PC duplicado",IF(B3073="","DATA_PC vazia",IF(NOT(ISNUMBER(B3073)),"DATA_PC invalida",IF(OR(C3073="",C3073="Fora dos ciclos"),"CICLO_PC nao identificado",IF(OR(D3073="",D3073=0),"VALOR_PC vazio ou zero",IF(AND(G3073&lt;&gt;"Sim",G3073&lt;&gt;"Nao",G3073&lt;&gt;""),"PC_PAGO_A_CONTRATADA invalido",IF(AND(C3073&lt;&gt;"C0",IFERROR(INDEX(parametros!$A$2:$A$6,MATCH(C3073,parametros!$B$2:$B$6,0)),"")="Sim",IFERROR(INDEX(parametros!$H$2:$H$6,MATCH(C3073,parametros!$B$2:$B$6,0)),"")=""),"INICIO_EFEITO ausente: PC "&amp;A3073&amp;" - "&amp;C3073,IF(L3073="","EFEITO_PC nao calculado: PC "&amp;A3073&amp;" - "&amp;C3073,"OK")))))))))</f>
        <v/>
      </c>
      <c r="L3073" s="92" t="str">
        <f>IF(AND(A3073="",B3073="",D3073="",G3073=""),"",IF(OR(B3073="",NOT(ISNUMBER(B3073)),C3073="",C3073="Fora dos ciclos"),"",IF(C3073="C0","Nao",IF(IFERROR(INDEX(parametros!$A$2:$A$6,MATCH(C3073,parametros!$B$2:$B$6,0)),"")&lt;&gt;"Sim","Nao",IF(IFERROR(INDEX(parametros!$H$2:$H$6,MATCH(C3073,parametros!$B$2:$B$6,0)),"")="","",IF(B3073&gt;=IFERROR(INDEX(parametros!$H$2:$H$6,MATCH(C3073,parametros!$B$2:$B$6,0)),""),"Sim","Nao"))))))</f>
        <v/>
      </c>
      <c r="T3073" s="156"/>
      <c r="U3073" s="214" t="str">
        <f t="shared" si="241"/>
        <v/>
      </c>
      <c r="V3073" s="212" t="s">
        <v>50</v>
      </c>
      <c r="W3073" s="100" t="s">
        <v>168</v>
      </c>
      <c r="X3073" s="100" t="s">
        <v>169</v>
      </c>
      <c r="Y3073" s="101" t="s">
        <v>170</v>
      </c>
      <c r="Z3073" s="101" t="s">
        <v>171</v>
      </c>
      <c r="AA3073" s="101" t="s">
        <v>50</v>
      </c>
      <c r="AB3073" s="101" t="s">
        <v>172</v>
      </c>
      <c r="AC3073" s="102" t="s">
        <v>173</v>
      </c>
    </row>
    <row r="3074" spans="1:29" ht="25.5" customHeight="1" x14ac:dyDescent="0.35">
      <c r="A3074" s="392"/>
      <c r="B3074" s="393"/>
      <c r="C3074" s="99" t="str">
        <f>IF(B3074="","",IF(NOT(ISNUMBER(B3074)),"DATA_PC invalida",IF(NOT(ISNUMBER(parametros!$C$2)),"Fora dos ciclos",IF(OR(B3074&lt;parametros!$C$2,(YEAR(B3074)-YEAR(parametros!$C$2))*12+MONTH(B3074)-MONTH(parametros!$C$2)&gt;59),"Fora dos ciclos","C"&amp;INT(((YEAR(B3074)-YEAR(parametros!$C$2))*12+MONTH(B3074)-MONTH(parametros!$C$2))/12)))))</f>
        <v/>
      </c>
      <c r="D3074" s="394"/>
      <c r="E3074" s="78" t="str">
        <f>IF(C3074="","",IFERROR(VLOOKUP(C3074,parametros!$A$11:$E$15,5,0),""))</f>
        <v/>
      </c>
      <c r="F3074" s="79" t="str">
        <f t="shared" ref="F3074:F3137" si="242">IF(OR(D3074="",E3074=""),"",ROUND(D3074*E3074,2))</f>
        <v/>
      </c>
      <c r="G3074" s="395"/>
      <c r="H3074" s="91">
        <f t="shared" ref="H3074:H3137" si="243">IF(G3074="Sim",IF(OR(F3074="",D3074="",L3074=""),"",IF(L3074="Sim",ROUND(F3074-D3074,2),0)),0)</f>
        <v>0</v>
      </c>
      <c r="I3074" s="91" t="str">
        <f t="shared" ref="I3074:I3137" si="244">IF(G3074="Sim",0,IF(OR(F3074="",L3074=""),"",F3074))</f>
        <v/>
      </c>
      <c r="J3074" s="91" t="str">
        <f t="shared" ref="J3074:J3137" si="245">IF(G3074="Sim",0,IF(OR(F3074="",D3074="",L3074=""),"",IF(L3074="Sim",ROUND(F3074-D3074,2),0)))</f>
        <v/>
      </c>
      <c r="K3074" s="92" t="str">
        <f>IF(AND(A3074="",B3074="",D3074="",G3074=""),"",IF(AND(A3074&lt;&gt;"",COUNTIF($A$2:$A$5001,A3074)&gt;1),"NUMERO_PC duplicado",IF(B3074="","DATA_PC vazia",IF(NOT(ISNUMBER(B3074)),"DATA_PC invalida",IF(OR(C3074="",C3074="Fora dos ciclos"),"CICLO_PC nao identificado",IF(OR(D3074="",D3074=0),"VALOR_PC vazio ou zero",IF(AND(G3074&lt;&gt;"Sim",G3074&lt;&gt;"Nao",G3074&lt;&gt;""),"PC_PAGO_A_CONTRATADA invalido",IF(AND(C3074&lt;&gt;"C0",IFERROR(INDEX(parametros!$A$2:$A$6,MATCH(C3074,parametros!$B$2:$B$6,0)),"")="Sim",IFERROR(INDEX(parametros!$H$2:$H$6,MATCH(C3074,parametros!$B$2:$B$6,0)),"")=""),"INICIO_EFEITO ausente: PC "&amp;A3074&amp;" - "&amp;C3074,IF(L3074="","EFEITO_PC nao calculado: PC "&amp;A3074&amp;" - "&amp;C3074,"OK")))))))))</f>
        <v/>
      </c>
      <c r="L3074" s="92" t="str">
        <f>IF(AND(A3074="",B3074="",D3074="",G3074=""),"",IF(OR(B3074="",NOT(ISNUMBER(B3074)),C3074="",C3074="Fora dos ciclos"),"",IF(C3074="C0","Nao",IF(IFERROR(INDEX(parametros!$A$2:$A$6,MATCH(C3074,parametros!$B$2:$B$6,0)),"")&lt;&gt;"Sim","Nao",IF(IFERROR(INDEX(parametros!$H$2:$H$6,MATCH(C3074,parametros!$B$2:$B$6,0)),"")="","",IF(B3074&gt;=IFERROR(INDEX(parametros!$H$2:$H$6,MATCH(C3074,parametros!$B$2:$B$6,0)),""),"Sim","Nao"))))))</f>
        <v/>
      </c>
      <c r="T3074" s="156"/>
      <c r="U3074" s="214" t="str">
        <f t="shared" ref="U3074:U3137" si="246">IF(OR($D3074="",$H3074=""),"",ROUND($D3074+$H3074,2))</f>
        <v/>
      </c>
      <c r="V3074" s="212" t="s">
        <v>50</v>
      </c>
      <c r="W3074" s="100" t="s">
        <v>168</v>
      </c>
      <c r="X3074" s="100" t="s">
        <v>169</v>
      </c>
      <c r="Y3074" s="101" t="s">
        <v>170</v>
      </c>
      <c r="Z3074" s="101" t="s">
        <v>171</v>
      </c>
      <c r="AA3074" s="101" t="s">
        <v>50</v>
      </c>
      <c r="AB3074" s="101" t="s">
        <v>172</v>
      </c>
      <c r="AC3074" s="102" t="s">
        <v>173</v>
      </c>
    </row>
    <row r="3075" spans="1:29" ht="25.5" customHeight="1" x14ac:dyDescent="0.35">
      <c r="A3075" s="392"/>
      <c r="B3075" s="393"/>
      <c r="C3075" s="99" t="str">
        <f>IF(B3075="","",IF(NOT(ISNUMBER(B3075)),"DATA_PC invalida",IF(NOT(ISNUMBER(parametros!$C$2)),"Fora dos ciclos",IF(OR(B3075&lt;parametros!$C$2,(YEAR(B3075)-YEAR(parametros!$C$2))*12+MONTH(B3075)-MONTH(parametros!$C$2)&gt;59),"Fora dos ciclos","C"&amp;INT(((YEAR(B3075)-YEAR(parametros!$C$2))*12+MONTH(B3075)-MONTH(parametros!$C$2))/12)))))</f>
        <v/>
      </c>
      <c r="D3075" s="394"/>
      <c r="E3075" s="78" t="str">
        <f>IF(C3075="","",IFERROR(VLOOKUP(C3075,parametros!$A$11:$E$15,5,0),""))</f>
        <v/>
      </c>
      <c r="F3075" s="79" t="str">
        <f t="shared" si="242"/>
        <v/>
      </c>
      <c r="G3075" s="395"/>
      <c r="H3075" s="91">
        <f t="shared" si="243"/>
        <v>0</v>
      </c>
      <c r="I3075" s="91" t="str">
        <f t="shared" si="244"/>
        <v/>
      </c>
      <c r="J3075" s="91" t="str">
        <f t="shared" si="245"/>
        <v/>
      </c>
      <c r="K3075" s="92" t="str">
        <f>IF(AND(A3075="",B3075="",D3075="",G3075=""),"",IF(AND(A3075&lt;&gt;"",COUNTIF($A$2:$A$5001,A3075)&gt;1),"NUMERO_PC duplicado",IF(B3075="","DATA_PC vazia",IF(NOT(ISNUMBER(B3075)),"DATA_PC invalida",IF(OR(C3075="",C3075="Fora dos ciclos"),"CICLO_PC nao identificado",IF(OR(D3075="",D3075=0),"VALOR_PC vazio ou zero",IF(AND(G3075&lt;&gt;"Sim",G3075&lt;&gt;"Nao",G3075&lt;&gt;""),"PC_PAGO_A_CONTRATADA invalido",IF(AND(C3075&lt;&gt;"C0",IFERROR(INDEX(parametros!$A$2:$A$6,MATCH(C3075,parametros!$B$2:$B$6,0)),"")="Sim",IFERROR(INDEX(parametros!$H$2:$H$6,MATCH(C3075,parametros!$B$2:$B$6,0)),"")=""),"INICIO_EFEITO ausente: PC "&amp;A3075&amp;" - "&amp;C3075,IF(L3075="","EFEITO_PC nao calculado: PC "&amp;A3075&amp;" - "&amp;C3075,"OK")))))))))</f>
        <v/>
      </c>
      <c r="L3075" s="92" t="str">
        <f>IF(AND(A3075="",B3075="",D3075="",G3075=""),"",IF(OR(B3075="",NOT(ISNUMBER(B3075)),C3075="",C3075="Fora dos ciclos"),"",IF(C3075="C0","Nao",IF(IFERROR(INDEX(parametros!$A$2:$A$6,MATCH(C3075,parametros!$B$2:$B$6,0)),"")&lt;&gt;"Sim","Nao",IF(IFERROR(INDEX(parametros!$H$2:$H$6,MATCH(C3075,parametros!$B$2:$B$6,0)),"")="","",IF(B3075&gt;=IFERROR(INDEX(parametros!$H$2:$H$6,MATCH(C3075,parametros!$B$2:$B$6,0)),""),"Sim","Nao"))))))</f>
        <v/>
      </c>
      <c r="T3075" s="156"/>
      <c r="U3075" s="214" t="str">
        <f t="shared" si="246"/>
        <v/>
      </c>
      <c r="V3075" s="212" t="s">
        <v>50</v>
      </c>
      <c r="W3075" s="100" t="s">
        <v>168</v>
      </c>
      <c r="X3075" s="100" t="s">
        <v>169</v>
      </c>
      <c r="Y3075" s="101" t="s">
        <v>170</v>
      </c>
      <c r="Z3075" s="101" t="s">
        <v>171</v>
      </c>
      <c r="AA3075" s="101" t="s">
        <v>50</v>
      </c>
      <c r="AB3075" s="101" t="s">
        <v>172</v>
      </c>
      <c r="AC3075" s="102" t="s">
        <v>173</v>
      </c>
    </row>
    <row r="3076" spans="1:29" ht="25.5" customHeight="1" x14ac:dyDescent="0.35">
      <c r="A3076" s="392"/>
      <c r="B3076" s="393"/>
      <c r="C3076" s="99" t="str">
        <f>IF(B3076="","",IF(NOT(ISNUMBER(B3076)),"DATA_PC invalida",IF(NOT(ISNUMBER(parametros!$C$2)),"Fora dos ciclos",IF(OR(B3076&lt;parametros!$C$2,(YEAR(B3076)-YEAR(parametros!$C$2))*12+MONTH(B3076)-MONTH(parametros!$C$2)&gt;59),"Fora dos ciclos","C"&amp;INT(((YEAR(B3076)-YEAR(parametros!$C$2))*12+MONTH(B3076)-MONTH(parametros!$C$2))/12)))))</f>
        <v/>
      </c>
      <c r="D3076" s="394"/>
      <c r="E3076" s="78" t="str">
        <f>IF(C3076="","",IFERROR(VLOOKUP(C3076,parametros!$A$11:$E$15,5,0),""))</f>
        <v/>
      </c>
      <c r="F3076" s="79" t="str">
        <f t="shared" si="242"/>
        <v/>
      </c>
      <c r="G3076" s="395"/>
      <c r="H3076" s="91">
        <f t="shared" si="243"/>
        <v>0</v>
      </c>
      <c r="I3076" s="91" t="str">
        <f t="shared" si="244"/>
        <v/>
      </c>
      <c r="J3076" s="91" t="str">
        <f t="shared" si="245"/>
        <v/>
      </c>
      <c r="K3076" s="92" t="str">
        <f>IF(AND(A3076="",B3076="",D3076="",G3076=""),"",IF(AND(A3076&lt;&gt;"",COUNTIF($A$2:$A$5001,A3076)&gt;1),"NUMERO_PC duplicado",IF(B3076="","DATA_PC vazia",IF(NOT(ISNUMBER(B3076)),"DATA_PC invalida",IF(OR(C3076="",C3076="Fora dos ciclos"),"CICLO_PC nao identificado",IF(OR(D3076="",D3076=0),"VALOR_PC vazio ou zero",IF(AND(G3076&lt;&gt;"Sim",G3076&lt;&gt;"Nao",G3076&lt;&gt;""),"PC_PAGO_A_CONTRATADA invalido",IF(AND(C3076&lt;&gt;"C0",IFERROR(INDEX(parametros!$A$2:$A$6,MATCH(C3076,parametros!$B$2:$B$6,0)),"")="Sim",IFERROR(INDEX(parametros!$H$2:$H$6,MATCH(C3076,parametros!$B$2:$B$6,0)),"")=""),"INICIO_EFEITO ausente: PC "&amp;A3076&amp;" - "&amp;C3076,IF(L3076="","EFEITO_PC nao calculado: PC "&amp;A3076&amp;" - "&amp;C3076,"OK")))))))))</f>
        <v/>
      </c>
      <c r="L3076" s="92" t="str">
        <f>IF(AND(A3076="",B3076="",D3076="",G3076=""),"",IF(OR(B3076="",NOT(ISNUMBER(B3076)),C3076="",C3076="Fora dos ciclos"),"",IF(C3076="C0","Nao",IF(IFERROR(INDEX(parametros!$A$2:$A$6,MATCH(C3076,parametros!$B$2:$B$6,0)),"")&lt;&gt;"Sim","Nao",IF(IFERROR(INDEX(parametros!$H$2:$H$6,MATCH(C3076,parametros!$B$2:$B$6,0)),"")="","",IF(B3076&gt;=IFERROR(INDEX(parametros!$H$2:$H$6,MATCH(C3076,parametros!$B$2:$B$6,0)),""),"Sim","Nao"))))))</f>
        <v/>
      </c>
      <c r="T3076" s="156"/>
      <c r="U3076" s="214" t="str">
        <f t="shared" si="246"/>
        <v/>
      </c>
      <c r="V3076" s="212" t="s">
        <v>50</v>
      </c>
      <c r="W3076" s="100" t="s">
        <v>168</v>
      </c>
      <c r="X3076" s="100" t="s">
        <v>169</v>
      </c>
      <c r="Y3076" s="101" t="s">
        <v>170</v>
      </c>
      <c r="Z3076" s="101" t="s">
        <v>171</v>
      </c>
      <c r="AA3076" s="101" t="s">
        <v>50</v>
      </c>
      <c r="AB3076" s="101" t="s">
        <v>172</v>
      </c>
      <c r="AC3076" s="102" t="s">
        <v>173</v>
      </c>
    </row>
    <row r="3077" spans="1:29" ht="25.5" customHeight="1" x14ac:dyDescent="0.35">
      <c r="A3077" s="392"/>
      <c r="B3077" s="393"/>
      <c r="C3077" s="99" t="str">
        <f>IF(B3077="","",IF(NOT(ISNUMBER(B3077)),"DATA_PC invalida",IF(NOT(ISNUMBER(parametros!$C$2)),"Fora dos ciclos",IF(OR(B3077&lt;parametros!$C$2,(YEAR(B3077)-YEAR(parametros!$C$2))*12+MONTH(B3077)-MONTH(parametros!$C$2)&gt;59),"Fora dos ciclos","C"&amp;INT(((YEAR(B3077)-YEAR(parametros!$C$2))*12+MONTH(B3077)-MONTH(parametros!$C$2))/12)))))</f>
        <v/>
      </c>
      <c r="D3077" s="394"/>
      <c r="E3077" s="78" t="str">
        <f>IF(C3077="","",IFERROR(VLOOKUP(C3077,parametros!$A$11:$E$15,5,0),""))</f>
        <v/>
      </c>
      <c r="F3077" s="79" t="str">
        <f t="shared" si="242"/>
        <v/>
      </c>
      <c r="G3077" s="395"/>
      <c r="H3077" s="91">
        <f t="shared" si="243"/>
        <v>0</v>
      </c>
      <c r="I3077" s="91" t="str">
        <f t="shared" si="244"/>
        <v/>
      </c>
      <c r="J3077" s="91" t="str">
        <f t="shared" si="245"/>
        <v/>
      </c>
      <c r="K3077" s="92" t="str">
        <f>IF(AND(A3077="",B3077="",D3077="",G3077=""),"",IF(AND(A3077&lt;&gt;"",COUNTIF($A$2:$A$5001,A3077)&gt;1),"NUMERO_PC duplicado",IF(B3077="","DATA_PC vazia",IF(NOT(ISNUMBER(B3077)),"DATA_PC invalida",IF(OR(C3077="",C3077="Fora dos ciclos"),"CICLO_PC nao identificado",IF(OR(D3077="",D3077=0),"VALOR_PC vazio ou zero",IF(AND(G3077&lt;&gt;"Sim",G3077&lt;&gt;"Nao",G3077&lt;&gt;""),"PC_PAGO_A_CONTRATADA invalido",IF(AND(C3077&lt;&gt;"C0",IFERROR(INDEX(parametros!$A$2:$A$6,MATCH(C3077,parametros!$B$2:$B$6,0)),"")="Sim",IFERROR(INDEX(parametros!$H$2:$H$6,MATCH(C3077,parametros!$B$2:$B$6,0)),"")=""),"INICIO_EFEITO ausente: PC "&amp;A3077&amp;" - "&amp;C3077,IF(L3077="","EFEITO_PC nao calculado: PC "&amp;A3077&amp;" - "&amp;C3077,"OK")))))))))</f>
        <v/>
      </c>
      <c r="L3077" s="92" t="str">
        <f>IF(AND(A3077="",B3077="",D3077="",G3077=""),"",IF(OR(B3077="",NOT(ISNUMBER(B3077)),C3077="",C3077="Fora dos ciclos"),"",IF(C3077="C0","Nao",IF(IFERROR(INDEX(parametros!$A$2:$A$6,MATCH(C3077,parametros!$B$2:$B$6,0)),"")&lt;&gt;"Sim","Nao",IF(IFERROR(INDEX(parametros!$H$2:$H$6,MATCH(C3077,parametros!$B$2:$B$6,0)),"")="","",IF(B3077&gt;=IFERROR(INDEX(parametros!$H$2:$H$6,MATCH(C3077,parametros!$B$2:$B$6,0)),""),"Sim","Nao"))))))</f>
        <v/>
      </c>
      <c r="T3077" s="156"/>
      <c r="U3077" s="214" t="str">
        <f t="shared" si="246"/>
        <v/>
      </c>
      <c r="V3077" s="212" t="s">
        <v>50</v>
      </c>
      <c r="W3077" s="100" t="s">
        <v>168</v>
      </c>
      <c r="X3077" s="100" t="s">
        <v>169</v>
      </c>
      <c r="Y3077" s="101" t="s">
        <v>170</v>
      </c>
      <c r="Z3077" s="101" t="s">
        <v>171</v>
      </c>
      <c r="AA3077" s="101" t="s">
        <v>50</v>
      </c>
      <c r="AB3077" s="101" t="s">
        <v>172</v>
      </c>
      <c r="AC3077" s="102" t="s">
        <v>173</v>
      </c>
    </row>
    <row r="3078" spans="1:29" ht="25.5" customHeight="1" x14ac:dyDescent="0.35">
      <c r="A3078" s="392"/>
      <c r="B3078" s="393"/>
      <c r="C3078" s="99" t="str">
        <f>IF(B3078="","",IF(NOT(ISNUMBER(B3078)),"DATA_PC invalida",IF(NOT(ISNUMBER(parametros!$C$2)),"Fora dos ciclos",IF(OR(B3078&lt;parametros!$C$2,(YEAR(B3078)-YEAR(parametros!$C$2))*12+MONTH(B3078)-MONTH(parametros!$C$2)&gt;59),"Fora dos ciclos","C"&amp;INT(((YEAR(B3078)-YEAR(parametros!$C$2))*12+MONTH(B3078)-MONTH(parametros!$C$2))/12)))))</f>
        <v/>
      </c>
      <c r="D3078" s="394"/>
      <c r="E3078" s="78" t="str">
        <f>IF(C3078="","",IFERROR(VLOOKUP(C3078,parametros!$A$11:$E$15,5,0),""))</f>
        <v/>
      </c>
      <c r="F3078" s="79" t="str">
        <f t="shared" si="242"/>
        <v/>
      </c>
      <c r="G3078" s="395"/>
      <c r="H3078" s="91">
        <f t="shared" si="243"/>
        <v>0</v>
      </c>
      <c r="I3078" s="91" t="str">
        <f t="shared" si="244"/>
        <v/>
      </c>
      <c r="J3078" s="91" t="str">
        <f t="shared" si="245"/>
        <v/>
      </c>
      <c r="K3078" s="92" t="str">
        <f>IF(AND(A3078="",B3078="",D3078="",G3078=""),"",IF(AND(A3078&lt;&gt;"",COUNTIF($A$2:$A$5001,A3078)&gt;1),"NUMERO_PC duplicado",IF(B3078="","DATA_PC vazia",IF(NOT(ISNUMBER(B3078)),"DATA_PC invalida",IF(OR(C3078="",C3078="Fora dos ciclos"),"CICLO_PC nao identificado",IF(OR(D3078="",D3078=0),"VALOR_PC vazio ou zero",IF(AND(G3078&lt;&gt;"Sim",G3078&lt;&gt;"Nao",G3078&lt;&gt;""),"PC_PAGO_A_CONTRATADA invalido",IF(AND(C3078&lt;&gt;"C0",IFERROR(INDEX(parametros!$A$2:$A$6,MATCH(C3078,parametros!$B$2:$B$6,0)),"")="Sim",IFERROR(INDEX(parametros!$H$2:$H$6,MATCH(C3078,parametros!$B$2:$B$6,0)),"")=""),"INICIO_EFEITO ausente: PC "&amp;A3078&amp;" - "&amp;C3078,IF(L3078="","EFEITO_PC nao calculado: PC "&amp;A3078&amp;" - "&amp;C3078,"OK")))))))))</f>
        <v/>
      </c>
      <c r="L3078" s="92" t="str">
        <f>IF(AND(A3078="",B3078="",D3078="",G3078=""),"",IF(OR(B3078="",NOT(ISNUMBER(B3078)),C3078="",C3078="Fora dos ciclos"),"",IF(C3078="C0","Nao",IF(IFERROR(INDEX(parametros!$A$2:$A$6,MATCH(C3078,parametros!$B$2:$B$6,0)),"")&lt;&gt;"Sim","Nao",IF(IFERROR(INDEX(parametros!$H$2:$H$6,MATCH(C3078,parametros!$B$2:$B$6,0)),"")="","",IF(B3078&gt;=IFERROR(INDEX(parametros!$H$2:$H$6,MATCH(C3078,parametros!$B$2:$B$6,0)),""),"Sim","Nao"))))))</f>
        <v/>
      </c>
      <c r="T3078" s="156"/>
      <c r="U3078" s="214" t="str">
        <f t="shared" si="246"/>
        <v/>
      </c>
      <c r="V3078" s="212" t="s">
        <v>50</v>
      </c>
      <c r="W3078" s="100" t="s">
        <v>168</v>
      </c>
      <c r="X3078" s="100" t="s">
        <v>169</v>
      </c>
      <c r="Y3078" s="101" t="s">
        <v>170</v>
      </c>
      <c r="Z3078" s="101" t="s">
        <v>171</v>
      </c>
      <c r="AA3078" s="101" t="s">
        <v>50</v>
      </c>
      <c r="AB3078" s="101" t="s">
        <v>172</v>
      </c>
      <c r="AC3078" s="102" t="s">
        <v>173</v>
      </c>
    </row>
    <row r="3079" spans="1:29" ht="25.5" customHeight="1" x14ac:dyDescent="0.35">
      <c r="A3079" s="392"/>
      <c r="B3079" s="393"/>
      <c r="C3079" s="99" t="str">
        <f>IF(B3079="","",IF(NOT(ISNUMBER(B3079)),"DATA_PC invalida",IF(NOT(ISNUMBER(parametros!$C$2)),"Fora dos ciclos",IF(OR(B3079&lt;parametros!$C$2,(YEAR(B3079)-YEAR(parametros!$C$2))*12+MONTH(B3079)-MONTH(parametros!$C$2)&gt;59),"Fora dos ciclos","C"&amp;INT(((YEAR(B3079)-YEAR(parametros!$C$2))*12+MONTH(B3079)-MONTH(parametros!$C$2))/12)))))</f>
        <v/>
      </c>
      <c r="D3079" s="394"/>
      <c r="E3079" s="78" t="str">
        <f>IF(C3079="","",IFERROR(VLOOKUP(C3079,parametros!$A$11:$E$15,5,0),""))</f>
        <v/>
      </c>
      <c r="F3079" s="79" t="str">
        <f t="shared" si="242"/>
        <v/>
      </c>
      <c r="G3079" s="395"/>
      <c r="H3079" s="91">
        <f t="shared" si="243"/>
        <v>0</v>
      </c>
      <c r="I3079" s="91" t="str">
        <f t="shared" si="244"/>
        <v/>
      </c>
      <c r="J3079" s="91" t="str">
        <f t="shared" si="245"/>
        <v/>
      </c>
      <c r="K3079" s="92" t="str">
        <f>IF(AND(A3079="",B3079="",D3079="",G3079=""),"",IF(AND(A3079&lt;&gt;"",COUNTIF($A$2:$A$5001,A3079)&gt;1),"NUMERO_PC duplicado",IF(B3079="","DATA_PC vazia",IF(NOT(ISNUMBER(B3079)),"DATA_PC invalida",IF(OR(C3079="",C3079="Fora dos ciclos"),"CICLO_PC nao identificado",IF(OR(D3079="",D3079=0),"VALOR_PC vazio ou zero",IF(AND(G3079&lt;&gt;"Sim",G3079&lt;&gt;"Nao",G3079&lt;&gt;""),"PC_PAGO_A_CONTRATADA invalido",IF(AND(C3079&lt;&gt;"C0",IFERROR(INDEX(parametros!$A$2:$A$6,MATCH(C3079,parametros!$B$2:$B$6,0)),"")="Sim",IFERROR(INDEX(parametros!$H$2:$H$6,MATCH(C3079,parametros!$B$2:$B$6,0)),"")=""),"INICIO_EFEITO ausente: PC "&amp;A3079&amp;" - "&amp;C3079,IF(L3079="","EFEITO_PC nao calculado: PC "&amp;A3079&amp;" - "&amp;C3079,"OK")))))))))</f>
        <v/>
      </c>
      <c r="L3079" s="92" t="str">
        <f>IF(AND(A3079="",B3079="",D3079="",G3079=""),"",IF(OR(B3079="",NOT(ISNUMBER(B3079)),C3079="",C3079="Fora dos ciclos"),"",IF(C3079="C0","Nao",IF(IFERROR(INDEX(parametros!$A$2:$A$6,MATCH(C3079,parametros!$B$2:$B$6,0)),"")&lt;&gt;"Sim","Nao",IF(IFERROR(INDEX(parametros!$H$2:$H$6,MATCH(C3079,parametros!$B$2:$B$6,0)),"")="","",IF(B3079&gt;=IFERROR(INDEX(parametros!$H$2:$H$6,MATCH(C3079,parametros!$B$2:$B$6,0)),""),"Sim","Nao"))))))</f>
        <v/>
      </c>
      <c r="T3079" s="156"/>
      <c r="U3079" s="214" t="str">
        <f t="shared" si="246"/>
        <v/>
      </c>
      <c r="V3079" s="212" t="s">
        <v>50</v>
      </c>
      <c r="W3079" s="100" t="s">
        <v>168</v>
      </c>
      <c r="X3079" s="100" t="s">
        <v>169</v>
      </c>
      <c r="Y3079" s="101" t="s">
        <v>170</v>
      </c>
      <c r="Z3079" s="101" t="s">
        <v>171</v>
      </c>
      <c r="AA3079" s="101" t="s">
        <v>50</v>
      </c>
      <c r="AB3079" s="101" t="s">
        <v>172</v>
      </c>
      <c r="AC3079" s="102" t="s">
        <v>173</v>
      </c>
    </row>
    <row r="3080" spans="1:29" ht="25.5" customHeight="1" x14ac:dyDescent="0.35">
      <c r="A3080" s="392"/>
      <c r="B3080" s="393"/>
      <c r="C3080" s="99" t="str">
        <f>IF(B3080="","",IF(NOT(ISNUMBER(B3080)),"DATA_PC invalida",IF(NOT(ISNUMBER(parametros!$C$2)),"Fora dos ciclos",IF(OR(B3080&lt;parametros!$C$2,(YEAR(B3080)-YEAR(parametros!$C$2))*12+MONTH(B3080)-MONTH(parametros!$C$2)&gt;59),"Fora dos ciclos","C"&amp;INT(((YEAR(B3080)-YEAR(parametros!$C$2))*12+MONTH(B3080)-MONTH(parametros!$C$2))/12)))))</f>
        <v/>
      </c>
      <c r="D3080" s="394"/>
      <c r="E3080" s="78" t="str">
        <f>IF(C3080="","",IFERROR(VLOOKUP(C3080,parametros!$A$11:$E$15,5,0),""))</f>
        <v/>
      </c>
      <c r="F3080" s="79" t="str">
        <f t="shared" si="242"/>
        <v/>
      </c>
      <c r="G3080" s="395"/>
      <c r="H3080" s="91">
        <f t="shared" si="243"/>
        <v>0</v>
      </c>
      <c r="I3080" s="91" t="str">
        <f t="shared" si="244"/>
        <v/>
      </c>
      <c r="J3080" s="91" t="str">
        <f t="shared" si="245"/>
        <v/>
      </c>
      <c r="K3080" s="92" t="str">
        <f>IF(AND(A3080="",B3080="",D3080="",G3080=""),"",IF(AND(A3080&lt;&gt;"",COUNTIF($A$2:$A$5001,A3080)&gt;1),"NUMERO_PC duplicado",IF(B3080="","DATA_PC vazia",IF(NOT(ISNUMBER(B3080)),"DATA_PC invalida",IF(OR(C3080="",C3080="Fora dos ciclos"),"CICLO_PC nao identificado",IF(OR(D3080="",D3080=0),"VALOR_PC vazio ou zero",IF(AND(G3080&lt;&gt;"Sim",G3080&lt;&gt;"Nao",G3080&lt;&gt;""),"PC_PAGO_A_CONTRATADA invalido",IF(AND(C3080&lt;&gt;"C0",IFERROR(INDEX(parametros!$A$2:$A$6,MATCH(C3080,parametros!$B$2:$B$6,0)),"")="Sim",IFERROR(INDEX(parametros!$H$2:$H$6,MATCH(C3080,parametros!$B$2:$B$6,0)),"")=""),"INICIO_EFEITO ausente: PC "&amp;A3080&amp;" - "&amp;C3080,IF(L3080="","EFEITO_PC nao calculado: PC "&amp;A3080&amp;" - "&amp;C3080,"OK")))))))))</f>
        <v/>
      </c>
      <c r="L3080" s="92" t="str">
        <f>IF(AND(A3080="",B3080="",D3080="",G3080=""),"",IF(OR(B3080="",NOT(ISNUMBER(B3080)),C3080="",C3080="Fora dos ciclos"),"",IF(C3080="C0","Nao",IF(IFERROR(INDEX(parametros!$A$2:$A$6,MATCH(C3080,parametros!$B$2:$B$6,0)),"")&lt;&gt;"Sim","Nao",IF(IFERROR(INDEX(parametros!$H$2:$H$6,MATCH(C3080,parametros!$B$2:$B$6,0)),"")="","",IF(B3080&gt;=IFERROR(INDEX(parametros!$H$2:$H$6,MATCH(C3080,parametros!$B$2:$B$6,0)),""),"Sim","Nao"))))))</f>
        <v/>
      </c>
      <c r="T3080" s="156"/>
      <c r="U3080" s="214" t="str">
        <f t="shared" si="246"/>
        <v/>
      </c>
      <c r="V3080" s="212" t="s">
        <v>50</v>
      </c>
      <c r="W3080" s="100" t="s">
        <v>168</v>
      </c>
      <c r="X3080" s="100" t="s">
        <v>169</v>
      </c>
      <c r="Y3080" s="101" t="s">
        <v>170</v>
      </c>
      <c r="Z3080" s="101" t="s">
        <v>171</v>
      </c>
      <c r="AA3080" s="101" t="s">
        <v>50</v>
      </c>
      <c r="AB3080" s="101" t="s">
        <v>172</v>
      </c>
      <c r="AC3080" s="102" t="s">
        <v>173</v>
      </c>
    </row>
    <row r="3081" spans="1:29" ht="25.5" customHeight="1" x14ac:dyDescent="0.35">
      <c r="A3081" s="392"/>
      <c r="B3081" s="393"/>
      <c r="C3081" s="99" t="str">
        <f>IF(B3081="","",IF(NOT(ISNUMBER(B3081)),"DATA_PC invalida",IF(NOT(ISNUMBER(parametros!$C$2)),"Fora dos ciclos",IF(OR(B3081&lt;parametros!$C$2,(YEAR(B3081)-YEAR(parametros!$C$2))*12+MONTH(B3081)-MONTH(parametros!$C$2)&gt;59),"Fora dos ciclos","C"&amp;INT(((YEAR(B3081)-YEAR(parametros!$C$2))*12+MONTH(B3081)-MONTH(parametros!$C$2))/12)))))</f>
        <v/>
      </c>
      <c r="D3081" s="394"/>
      <c r="E3081" s="78" t="str">
        <f>IF(C3081="","",IFERROR(VLOOKUP(C3081,parametros!$A$11:$E$15,5,0),""))</f>
        <v/>
      </c>
      <c r="F3081" s="79" t="str">
        <f t="shared" si="242"/>
        <v/>
      </c>
      <c r="G3081" s="395"/>
      <c r="H3081" s="91">
        <f t="shared" si="243"/>
        <v>0</v>
      </c>
      <c r="I3081" s="91" t="str">
        <f t="shared" si="244"/>
        <v/>
      </c>
      <c r="J3081" s="91" t="str">
        <f t="shared" si="245"/>
        <v/>
      </c>
      <c r="K3081" s="92" t="str">
        <f>IF(AND(A3081="",B3081="",D3081="",G3081=""),"",IF(AND(A3081&lt;&gt;"",COUNTIF($A$2:$A$5001,A3081)&gt;1),"NUMERO_PC duplicado",IF(B3081="","DATA_PC vazia",IF(NOT(ISNUMBER(B3081)),"DATA_PC invalida",IF(OR(C3081="",C3081="Fora dos ciclos"),"CICLO_PC nao identificado",IF(OR(D3081="",D3081=0),"VALOR_PC vazio ou zero",IF(AND(G3081&lt;&gt;"Sim",G3081&lt;&gt;"Nao",G3081&lt;&gt;""),"PC_PAGO_A_CONTRATADA invalido",IF(AND(C3081&lt;&gt;"C0",IFERROR(INDEX(parametros!$A$2:$A$6,MATCH(C3081,parametros!$B$2:$B$6,0)),"")="Sim",IFERROR(INDEX(parametros!$H$2:$H$6,MATCH(C3081,parametros!$B$2:$B$6,0)),"")=""),"INICIO_EFEITO ausente: PC "&amp;A3081&amp;" - "&amp;C3081,IF(L3081="","EFEITO_PC nao calculado: PC "&amp;A3081&amp;" - "&amp;C3081,"OK")))))))))</f>
        <v/>
      </c>
      <c r="L3081" s="92" t="str">
        <f>IF(AND(A3081="",B3081="",D3081="",G3081=""),"",IF(OR(B3081="",NOT(ISNUMBER(B3081)),C3081="",C3081="Fora dos ciclos"),"",IF(C3081="C0","Nao",IF(IFERROR(INDEX(parametros!$A$2:$A$6,MATCH(C3081,parametros!$B$2:$B$6,0)),"")&lt;&gt;"Sim","Nao",IF(IFERROR(INDEX(parametros!$H$2:$H$6,MATCH(C3081,parametros!$B$2:$B$6,0)),"")="","",IF(B3081&gt;=IFERROR(INDEX(parametros!$H$2:$H$6,MATCH(C3081,parametros!$B$2:$B$6,0)),""),"Sim","Nao"))))))</f>
        <v/>
      </c>
      <c r="T3081" s="156"/>
      <c r="U3081" s="214" t="str">
        <f t="shared" si="246"/>
        <v/>
      </c>
      <c r="V3081" s="212" t="s">
        <v>50</v>
      </c>
      <c r="W3081" s="100" t="s">
        <v>168</v>
      </c>
      <c r="X3081" s="100" t="s">
        <v>169</v>
      </c>
      <c r="Y3081" s="101" t="s">
        <v>170</v>
      </c>
      <c r="Z3081" s="101" t="s">
        <v>171</v>
      </c>
      <c r="AA3081" s="101" t="s">
        <v>50</v>
      </c>
      <c r="AB3081" s="101" t="s">
        <v>172</v>
      </c>
      <c r="AC3081" s="102" t="s">
        <v>173</v>
      </c>
    </row>
    <row r="3082" spans="1:29" ht="25.5" customHeight="1" x14ac:dyDescent="0.35">
      <c r="A3082" s="392"/>
      <c r="B3082" s="393"/>
      <c r="C3082" s="99" t="str">
        <f>IF(B3082="","",IF(NOT(ISNUMBER(B3082)),"DATA_PC invalida",IF(NOT(ISNUMBER(parametros!$C$2)),"Fora dos ciclos",IF(OR(B3082&lt;parametros!$C$2,(YEAR(B3082)-YEAR(parametros!$C$2))*12+MONTH(B3082)-MONTH(parametros!$C$2)&gt;59),"Fora dos ciclos","C"&amp;INT(((YEAR(B3082)-YEAR(parametros!$C$2))*12+MONTH(B3082)-MONTH(parametros!$C$2))/12)))))</f>
        <v/>
      </c>
      <c r="D3082" s="394"/>
      <c r="E3082" s="78" t="str">
        <f>IF(C3082="","",IFERROR(VLOOKUP(C3082,parametros!$A$11:$E$15,5,0),""))</f>
        <v/>
      </c>
      <c r="F3082" s="79" t="str">
        <f t="shared" si="242"/>
        <v/>
      </c>
      <c r="G3082" s="395"/>
      <c r="H3082" s="91">
        <f t="shared" si="243"/>
        <v>0</v>
      </c>
      <c r="I3082" s="91" t="str">
        <f t="shared" si="244"/>
        <v/>
      </c>
      <c r="J3082" s="91" t="str">
        <f t="shared" si="245"/>
        <v/>
      </c>
      <c r="K3082" s="92" t="str">
        <f>IF(AND(A3082="",B3082="",D3082="",G3082=""),"",IF(AND(A3082&lt;&gt;"",COUNTIF($A$2:$A$5001,A3082)&gt;1),"NUMERO_PC duplicado",IF(B3082="","DATA_PC vazia",IF(NOT(ISNUMBER(B3082)),"DATA_PC invalida",IF(OR(C3082="",C3082="Fora dos ciclos"),"CICLO_PC nao identificado",IF(OR(D3082="",D3082=0),"VALOR_PC vazio ou zero",IF(AND(G3082&lt;&gt;"Sim",G3082&lt;&gt;"Nao",G3082&lt;&gt;""),"PC_PAGO_A_CONTRATADA invalido",IF(AND(C3082&lt;&gt;"C0",IFERROR(INDEX(parametros!$A$2:$A$6,MATCH(C3082,parametros!$B$2:$B$6,0)),"")="Sim",IFERROR(INDEX(parametros!$H$2:$H$6,MATCH(C3082,parametros!$B$2:$B$6,0)),"")=""),"INICIO_EFEITO ausente: PC "&amp;A3082&amp;" - "&amp;C3082,IF(L3082="","EFEITO_PC nao calculado: PC "&amp;A3082&amp;" - "&amp;C3082,"OK")))))))))</f>
        <v/>
      </c>
      <c r="L3082" s="92" t="str">
        <f>IF(AND(A3082="",B3082="",D3082="",G3082=""),"",IF(OR(B3082="",NOT(ISNUMBER(B3082)),C3082="",C3082="Fora dos ciclos"),"",IF(C3082="C0","Nao",IF(IFERROR(INDEX(parametros!$A$2:$A$6,MATCH(C3082,parametros!$B$2:$B$6,0)),"")&lt;&gt;"Sim","Nao",IF(IFERROR(INDEX(parametros!$H$2:$H$6,MATCH(C3082,parametros!$B$2:$B$6,0)),"")="","",IF(B3082&gt;=IFERROR(INDEX(parametros!$H$2:$H$6,MATCH(C3082,parametros!$B$2:$B$6,0)),""),"Sim","Nao"))))))</f>
        <v/>
      </c>
      <c r="T3082" s="156"/>
      <c r="U3082" s="214" t="str">
        <f t="shared" si="246"/>
        <v/>
      </c>
      <c r="V3082" s="212" t="s">
        <v>50</v>
      </c>
      <c r="W3082" s="100" t="s">
        <v>168</v>
      </c>
      <c r="X3082" s="100" t="s">
        <v>169</v>
      </c>
      <c r="Y3082" s="101" t="s">
        <v>170</v>
      </c>
      <c r="Z3082" s="101" t="s">
        <v>171</v>
      </c>
      <c r="AA3082" s="101" t="s">
        <v>50</v>
      </c>
      <c r="AB3082" s="101" t="s">
        <v>172</v>
      </c>
      <c r="AC3082" s="102" t="s">
        <v>173</v>
      </c>
    </row>
    <row r="3083" spans="1:29" ht="25.5" customHeight="1" x14ac:dyDescent="0.35">
      <c r="A3083" s="392"/>
      <c r="B3083" s="393"/>
      <c r="C3083" s="99" t="str">
        <f>IF(B3083="","",IF(NOT(ISNUMBER(B3083)),"DATA_PC invalida",IF(NOT(ISNUMBER(parametros!$C$2)),"Fora dos ciclos",IF(OR(B3083&lt;parametros!$C$2,(YEAR(B3083)-YEAR(parametros!$C$2))*12+MONTH(B3083)-MONTH(parametros!$C$2)&gt;59),"Fora dos ciclos","C"&amp;INT(((YEAR(B3083)-YEAR(parametros!$C$2))*12+MONTH(B3083)-MONTH(parametros!$C$2))/12)))))</f>
        <v/>
      </c>
      <c r="D3083" s="394"/>
      <c r="E3083" s="78" t="str">
        <f>IF(C3083="","",IFERROR(VLOOKUP(C3083,parametros!$A$11:$E$15,5,0),""))</f>
        <v/>
      </c>
      <c r="F3083" s="79" t="str">
        <f t="shared" si="242"/>
        <v/>
      </c>
      <c r="G3083" s="395"/>
      <c r="H3083" s="91">
        <f t="shared" si="243"/>
        <v>0</v>
      </c>
      <c r="I3083" s="91" t="str">
        <f t="shared" si="244"/>
        <v/>
      </c>
      <c r="J3083" s="91" t="str">
        <f t="shared" si="245"/>
        <v/>
      </c>
      <c r="K3083" s="92" t="str">
        <f>IF(AND(A3083="",B3083="",D3083="",G3083=""),"",IF(AND(A3083&lt;&gt;"",COUNTIF($A$2:$A$5001,A3083)&gt;1),"NUMERO_PC duplicado",IF(B3083="","DATA_PC vazia",IF(NOT(ISNUMBER(B3083)),"DATA_PC invalida",IF(OR(C3083="",C3083="Fora dos ciclos"),"CICLO_PC nao identificado",IF(OR(D3083="",D3083=0),"VALOR_PC vazio ou zero",IF(AND(G3083&lt;&gt;"Sim",G3083&lt;&gt;"Nao",G3083&lt;&gt;""),"PC_PAGO_A_CONTRATADA invalido",IF(AND(C3083&lt;&gt;"C0",IFERROR(INDEX(parametros!$A$2:$A$6,MATCH(C3083,parametros!$B$2:$B$6,0)),"")="Sim",IFERROR(INDEX(parametros!$H$2:$H$6,MATCH(C3083,parametros!$B$2:$B$6,0)),"")=""),"INICIO_EFEITO ausente: PC "&amp;A3083&amp;" - "&amp;C3083,IF(L3083="","EFEITO_PC nao calculado: PC "&amp;A3083&amp;" - "&amp;C3083,"OK")))))))))</f>
        <v/>
      </c>
      <c r="L3083" s="92" t="str">
        <f>IF(AND(A3083="",B3083="",D3083="",G3083=""),"",IF(OR(B3083="",NOT(ISNUMBER(B3083)),C3083="",C3083="Fora dos ciclos"),"",IF(C3083="C0","Nao",IF(IFERROR(INDEX(parametros!$A$2:$A$6,MATCH(C3083,parametros!$B$2:$B$6,0)),"")&lt;&gt;"Sim","Nao",IF(IFERROR(INDEX(parametros!$H$2:$H$6,MATCH(C3083,parametros!$B$2:$B$6,0)),"")="","",IF(B3083&gt;=IFERROR(INDEX(parametros!$H$2:$H$6,MATCH(C3083,parametros!$B$2:$B$6,0)),""),"Sim","Nao"))))))</f>
        <v/>
      </c>
      <c r="T3083" s="156"/>
      <c r="U3083" s="214" t="str">
        <f t="shared" si="246"/>
        <v/>
      </c>
      <c r="V3083" s="212" t="s">
        <v>50</v>
      </c>
      <c r="W3083" s="100" t="s">
        <v>168</v>
      </c>
      <c r="X3083" s="100" t="s">
        <v>169</v>
      </c>
      <c r="Y3083" s="101" t="s">
        <v>170</v>
      </c>
      <c r="Z3083" s="101" t="s">
        <v>171</v>
      </c>
      <c r="AA3083" s="101" t="s">
        <v>50</v>
      </c>
      <c r="AB3083" s="101" t="s">
        <v>172</v>
      </c>
      <c r="AC3083" s="102" t="s">
        <v>173</v>
      </c>
    </row>
    <row r="3084" spans="1:29" ht="25.5" customHeight="1" x14ac:dyDescent="0.35">
      <c r="A3084" s="392"/>
      <c r="B3084" s="393"/>
      <c r="C3084" s="99" t="str">
        <f>IF(B3084="","",IF(NOT(ISNUMBER(B3084)),"DATA_PC invalida",IF(NOT(ISNUMBER(parametros!$C$2)),"Fora dos ciclos",IF(OR(B3084&lt;parametros!$C$2,(YEAR(B3084)-YEAR(parametros!$C$2))*12+MONTH(B3084)-MONTH(parametros!$C$2)&gt;59),"Fora dos ciclos","C"&amp;INT(((YEAR(B3084)-YEAR(parametros!$C$2))*12+MONTH(B3084)-MONTH(parametros!$C$2))/12)))))</f>
        <v/>
      </c>
      <c r="D3084" s="394"/>
      <c r="E3084" s="78" t="str">
        <f>IF(C3084="","",IFERROR(VLOOKUP(C3084,parametros!$A$11:$E$15,5,0),""))</f>
        <v/>
      </c>
      <c r="F3084" s="79" t="str">
        <f t="shared" si="242"/>
        <v/>
      </c>
      <c r="G3084" s="395"/>
      <c r="H3084" s="91">
        <f t="shared" si="243"/>
        <v>0</v>
      </c>
      <c r="I3084" s="91" t="str">
        <f t="shared" si="244"/>
        <v/>
      </c>
      <c r="J3084" s="91" t="str">
        <f t="shared" si="245"/>
        <v/>
      </c>
      <c r="K3084" s="92" t="str">
        <f>IF(AND(A3084="",B3084="",D3084="",G3084=""),"",IF(AND(A3084&lt;&gt;"",COUNTIF($A$2:$A$5001,A3084)&gt;1),"NUMERO_PC duplicado",IF(B3084="","DATA_PC vazia",IF(NOT(ISNUMBER(B3084)),"DATA_PC invalida",IF(OR(C3084="",C3084="Fora dos ciclos"),"CICLO_PC nao identificado",IF(OR(D3084="",D3084=0),"VALOR_PC vazio ou zero",IF(AND(G3084&lt;&gt;"Sim",G3084&lt;&gt;"Nao",G3084&lt;&gt;""),"PC_PAGO_A_CONTRATADA invalido",IF(AND(C3084&lt;&gt;"C0",IFERROR(INDEX(parametros!$A$2:$A$6,MATCH(C3084,parametros!$B$2:$B$6,0)),"")="Sim",IFERROR(INDEX(parametros!$H$2:$H$6,MATCH(C3084,parametros!$B$2:$B$6,0)),"")=""),"INICIO_EFEITO ausente: PC "&amp;A3084&amp;" - "&amp;C3084,IF(L3084="","EFEITO_PC nao calculado: PC "&amp;A3084&amp;" - "&amp;C3084,"OK")))))))))</f>
        <v/>
      </c>
      <c r="L3084" s="92" t="str">
        <f>IF(AND(A3084="",B3084="",D3084="",G3084=""),"",IF(OR(B3084="",NOT(ISNUMBER(B3084)),C3084="",C3084="Fora dos ciclos"),"",IF(C3084="C0","Nao",IF(IFERROR(INDEX(parametros!$A$2:$A$6,MATCH(C3084,parametros!$B$2:$B$6,0)),"")&lt;&gt;"Sim","Nao",IF(IFERROR(INDEX(parametros!$H$2:$H$6,MATCH(C3084,parametros!$B$2:$B$6,0)),"")="","",IF(B3084&gt;=IFERROR(INDEX(parametros!$H$2:$H$6,MATCH(C3084,parametros!$B$2:$B$6,0)),""),"Sim","Nao"))))))</f>
        <v/>
      </c>
      <c r="T3084" s="156"/>
      <c r="U3084" s="214" t="str">
        <f t="shared" si="246"/>
        <v/>
      </c>
      <c r="V3084" s="212" t="s">
        <v>50</v>
      </c>
      <c r="W3084" s="100" t="s">
        <v>168</v>
      </c>
      <c r="X3084" s="100" t="s">
        <v>169</v>
      </c>
      <c r="Y3084" s="101" t="s">
        <v>170</v>
      </c>
      <c r="Z3084" s="101" t="s">
        <v>171</v>
      </c>
      <c r="AA3084" s="101" t="s">
        <v>50</v>
      </c>
      <c r="AB3084" s="101" t="s">
        <v>172</v>
      </c>
      <c r="AC3084" s="102" t="s">
        <v>173</v>
      </c>
    </row>
    <row r="3085" spans="1:29" ht="25.5" customHeight="1" x14ac:dyDescent="0.35">
      <c r="A3085" s="392"/>
      <c r="B3085" s="393"/>
      <c r="C3085" s="99" t="str">
        <f>IF(B3085="","",IF(NOT(ISNUMBER(B3085)),"DATA_PC invalida",IF(NOT(ISNUMBER(parametros!$C$2)),"Fora dos ciclos",IF(OR(B3085&lt;parametros!$C$2,(YEAR(B3085)-YEAR(parametros!$C$2))*12+MONTH(B3085)-MONTH(parametros!$C$2)&gt;59),"Fora dos ciclos","C"&amp;INT(((YEAR(B3085)-YEAR(parametros!$C$2))*12+MONTH(B3085)-MONTH(parametros!$C$2))/12)))))</f>
        <v/>
      </c>
      <c r="D3085" s="394"/>
      <c r="E3085" s="78" t="str">
        <f>IF(C3085="","",IFERROR(VLOOKUP(C3085,parametros!$A$11:$E$15,5,0),""))</f>
        <v/>
      </c>
      <c r="F3085" s="79" t="str">
        <f t="shared" si="242"/>
        <v/>
      </c>
      <c r="G3085" s="395"/>
      <c r="H3085" s="91">
        <f t="shared" si="243"/>
        <v>0</v>
      </c>
      <c r="I3085" s="91" t="str">
        <f t="shared" si="244"/>
        <v/>
      </c>
      <c r="J3085" s="91" t="str">
        <f t="shared" si="245"/>
        <v/>
      </c>
      <c r="K3085" s="92" t="str">
        <f>IF(AND(A3085="",B3085="",D3085="",G3085=""),"",IF(AND(A3085&lt;&gt;"",COUNTIF($A$2:$A$5001,A3085)&gt;1),"NUMERO_PC duplicado",IF(B3085="","DATA_PC vazia",IF(NOT(ISNUMBER(B3085)),"DATA_PC invalida",IF(OR(C3085="",C3085="Fora dos ciclos"),"CICLO_PC nao identificado",IF(OR(D3085="",D3085=0),"VALOR_PC vazio ou zero",IF(AND(G3085&lt;&gt;"Sim",G3085&lt;&gt;"Nao",G3085&lt;&gt;""),"PC_PAGO_A_CONTRATADA invalido",IF(AND(C3085&lt;&gt;"C0",IFERROR(INDEX(parametros!$A$2:$A$6,MATCH(C3085,parametros!$B$2:$B$6,0)),"")="Sim",IFERROR(INDEX(parametros!$H$2:$H$6,MATCH(C3085,parametros!$B$2:$B$6,0)),"")=""),"INICIO_EFEITO ausente: PC "&amp;A3085&amp;" - "&amp;C3085,IF(L3085="","EFEITO_PC nao calculado: PC "&amp;A3085&amp;" - "&amp;C3085,"OK")))))))))</f>
        <v/>
      </c>
      <c r="L3085" s="92" t="str">
        <f>IF(AND(A3085="",B3085="",D3085="",G3085=""),"",IF(OR(B3085="",NOT(ISNUMBER(B3085)),C3085="",C3085="Fora dos ciclos"),"",IF(C3085="C0","Nao",IF(IFERROR(INDEX(parametros!$A$2:$A$6,MATCH(C3085,parametros!$B$2:$B$6,0)),"")&lt;&gt;"Sim","Nao",IF(IFERROR(INDEX(parametros!$H$2:$H$6,MATCH(C3085,parametros!$B$2:$B$6,0)),"")="","",IF(B3085&gt;=IFERROR(INDEX(parametros!$H$2:$H$6,MATCH(C3085,parametros!$B$2:$B$6,0)),""),"Sim","Nao"))))))</f>
        <v/>
      </c>
      <c r="T3085" s="156"/>
      <c r="U3085" s="214" t="str">
        <f t="shared" si="246"/>
        <v/>
      </c>
      <c r="V3085" s="212" t="s">
        <v>50</v>
      </c>
      <c r="W3085" s="100" t="s">
        <v>168</v>
      </c>
      <c r="X3085" s="100" t="s">
        <v>169</v>
      </c>
      <c r="Y3085" s="101" t="s">
        <v>170</v>
      </c>
      <c r="Z3085" s="101" t="s">
        <v>171</v>
      </c>
      <c r="AA3085" s="101" t="s">
        <v>50</v>
      </c>
      <c r="AB3085" s="101" t="s">
        <v>172</v>
      </c>
      <c r="AC3085" s="102" t="s">
        <v>173</v>
      </c>
    </row>
    <row r="3086" spans="1:29" ht="25.5" customHeight="1" x14ac:dyDescent="0.35">
      <c r="A3086" s="392"/>
      <c r="B3086" s="393"/>
      <c r="C3086" s="99" t="str">
        <f>IF(B3086="","",IF(NOT(ISNUMBER(B3086)),"DATA_PC invalida",IF(NOT(ISNUMBER(parametros!$C$2)),"Fora dos ciclos",IF(OR(B3086&lt;parametros!$C$2,(YEAR(B3086)-YEAR(parametros!$C$2))*12+MONTH(B3086)-MONTH(parametros!$C$2)&gt;59),"Fora dos ciclos","C"&amp;INT(((YEAR(B3086)-YEAR(parametros!$C$2))*12+MONTH(B3086)-MONTH(parametros!$C$2))/12)))))</f>
        <v/>
      </c>
      <c r="D3086" s="394"/>
      <c r="E3086" s="78" t="str">
        <f>IF(C3086="","",IFERROR(VLOOKUP(C3086,parametros!$A$11:$E$15,5,0),""))</f>
        <v/>
      </c>
      <c r="F3086" s="79" t="str">
        <f t="shared" si="242"/>
        <v/>
      </c>
      <c r="G3086" s="395"/>
      <c r="H3086" s="91">
        <f t="shared" si="243"/>
        <v>0</v>
      </c>
      <c r="I3086" s="91" t="str">
        <f t="shared" si="244"/>
        <v/>
      </c>
      <c r="J3086" s="91" t="str">
        <f t="shared" si="245"/>
        <v/>
      </c>
      <c r="K3086" s="92" t="str">
        <f>IF(AND(A3086="",B3086="",D3086="",G3086=""),"",IF(AND(A3086&lt;&gt;"",COUNTIF($A$2:$A$5001,A3086)&gt;1),"NUMERO_PC duplicado",IF(B3086="","DATA_PC vazia",IF(NOT(ISNUMBER(B3086)),"DATA_PC invalida",IF(OR(C3086="",C3086="Fora dos ciclos"),"CICLO_PC nao identificado",IF(OR(D3086="",D3086=0),"VALOR_PC vazio ou zero",IF(AND(G3086&lt;&gt;"Sim",G3086&lt;&gt;"Nao",G3086&lt;&gt;""),"PC_PAGO_A_CONTRATADA invalido",IF(AND(C3086&lt;&gt;"C0",IFERROR(INDEX(parametros!$A$2:$A$6,MATCH(C3086,parametros!$B$2:$B$6,0)),"")="Sim",IFERROR(INDEX(parametros!$H$2:$H$6,MATCH(C3086,parametros!$B$2:$B$6,0)),"")=""),"INICIO_EFEITO ausente: PC "&amp;A3086&amp;" - "&amp;C3086,IF(L3086="","EFEITO_PC nao calculado: PC "&amp;A3086&amp;" - "&amp;C3086,"OK")))))))))</f>
        <v/>
      </c>
      <c r="L3086" s="92" t="str">
        <f>IF(AND(A3086="",B3086="",D3086="",G3086=""),"",IF(OR(B3086="",NOT(ISNUMBER(B3086)),C3086="",C3086="Fora dos ciclos"),"",IF(C3086="C0","Nao",IF(IFERROR(INDEX(parametros!$A$2:$A$6,MATCH(C3086,parametros!$B$2:$B$6,0)),"")&lt;&gt;"Sim","Nao",IF(IFERROR(INDEX(parametros!$H$2:$H$6,MATCH(C3086,parametros!$B$2:$B$6,0)),"")="","",IF(B3086&gt;=IFERROR(INDEX(parametros!$H$2:$H$6,MATCH(C3086,parametros!$B$2:$B$6,0)),""),"Sim","Nao"))))))</f>
        <v/>
      </c>
      <c r="T3086" s="156"/>
      <c r="U3086" s="214" t="str">
        <f t="shared" si="246"/>
        <v/>
      </c>
      <c r="V3086" s="212" t="s">
        <v>50</v>
      </c>
      <c r="W3086" s="100" t="s">
        <v>168</v>
      </c>
      <c r="X3086" s="100" t="s">
        <v>169</v>
      </c>
      <c r="Y3086" s="101" t="s">
        <v>170</v>
      </c>
      <c r="Z3086" s="101" t="s">
        <v>171</v>
      </c>
      <c r="AA3086" s="101" t="s">
        <v>50</v>
      </c>
      <c r="AB3086" s="101" t="s">
        <v>172</v>
      </c>
      <c r="AC3086" s="102" t="s">
        <v>173</v>
      </c>
    </row>
    <row r="3087" spans="1:29" ht="25.5" customHeight="1" x14ac:dyDescent="0.35">
      <c r="A3087" s="392"/>
      <c r="B3087" s="393"/>
      <c r="C3087" s="99" t="str">
        <f>IF(B3087="","",IF(NOT(ISNUMBER(B3087)),"DATA_PC invalida",IF(NOT(ISNUMBER(parametros!$C$2)),"Fora dos ciclos",IF(OR(B3087&lt;parametros!$C$2,(YEAR(B3087)-YEAR(parametros!$C$2))*12+MONTH(B3087)-MONTH(parametros!$C$2)&gt;59),"Fora dos ciclos","C"&amp;INT(((YEAR(B3087)-YEAR(parametros!$C$2))*12+MONTH(B3087)-MONTH(parametros!$C$2))/12)))))</f>
        <v/>
      </c>
      <c r="D3087" s="394"/>
      <c r="E3087" s="78" t="str">
        <f>IF(C3087="","",IFERROR(VLOOKUP(C3087,parametros!$A$11:$E$15,5,0),""))</f>
        <v/>
      </c>
      <c r="F3087" s="79" t="str">
        <f t="shared" si="242"/>
        <v/>
      </c>
      <c r="G3087" s="395"/>
      <c r="H3087" s="91">
        <f t="shared" si="243"/>
        <v>0</v>
      </c>
      <c r="I3087" s="91" t="str">
        <f t="shared" si="244"/>
        <v/>
      </c>
      <c r="J3087" s="91" t="str">
        <f t="shared" si="245"/>
        <v/>
      </c>
      <c r="K3087" s="92" t="str">
        <f>IF(AND(A3087="",B3087="",D3087="",G3087=""),"",IF(AND(A3087&lt;&gt;"",COUNTIF($A$2:$A$5001,A3087)&gt;1),"NUMERO_PC duplicado",IF(B3087="","DATA_PC vazia",IF(NOT(ISNUMBER(B3087)),"DATA_PC invalida",IF(OR(C3087="",C3087="Fora dos ciclos"),"CICLO_PC nao identificado",IF(OR(D3087="",D3087=0),"VALOR_PC vazio ou zero",IF(AND(G3087&lt;&gt;"Sim",G3087&lt;&gt;"Nao",G3087&lt;&gt;""),"PC_PAGO_A_CONTRATADA invalido",IF(AND(C3087&lt;&gt;"C0",IFERROR(INDEX(parametros!$A$2:$A$6,MATCH(C3087,parametros!$B$2:$B$6,0)),"")="Sim",IFERROR(INDEX(parametros!$H$2:$H$6,MATCH(C3087,parametros!$B$2:$B$6,0)),"")=""),"INICIO_EFEITO ausente: PC "&amp;A3087&amp;" - "&amp;C3087,IF(L3087="","EFEITO_PC nao calculado: PC "&amp;A3087&amp;" - "&amp;C3087,"OK")))))))))</f>
        <v/>
      </c>
      <c r="L3087" s="92" t="str">
        <f>IF(AND(A3087="",B3087="",D3087="",G3087=""),"",IF(OR(B3087="",NOT(ISNUMBER(B3087)),C3087="",C3087="Fora dos ciclos"),"",IF(C3087="C0","Nao",IF(IFERROR(INDEX(parametros!$A$2:$A$6,MATCH(C3087,parametros!$B$2:$B$6,0)),"")&lt;&gt;"Sim","Nao",IF(IFERROR(INDEX(parametros!$H$2:$H$6,MATCH(C3087,parametros!$B$2:$B$6,0)),"")="","",IF(B3087&gt;=IFERROR(INDEX(parametros!$H$2:$H$6,MATCH(C3087,parametros!$B$2:$B$6,0)),""),"Sim","Nao"))))))</f>
        <v/>
      </c>
      <c r="T3087" s="156"/>
      <c r="U3087" s="214" t="str">
        <f t="shared" si="246"/>
        <v/>
      </c>
      <c r="V3087" s="212" t="s">
        <v>50</v>
      </c>
      <c r="W3087" s="100" t="s">
        <v>168</v>
      </c>
      <c r="X3087" s="100" t="s">
        <v>169</v>
      </c>
      <c r="Y3087" s="101" t="s">
        <v>170</v>
      </c>
      <c r="Z3087" s="101" t="s">
        <v>171</v>
      </c>
      <c r="AA3087" s="101" t="s">
        <v>50</v>
      </c>
      <c r="AB3087" s="101" t="s">
        <v>172</v>
      </c>
      <c r="AC3087" s="102" t="s">
        <v>173</v>
      </c>
    </row>
    <row r="3088" spans="1:29" ht="25.5" customHeight="1" x14ac:dyDescent="0.35">
      <c r="A3088" s="392"/>
      <c r="B3088" s="393"/>
      <c r="C3088" s="99" t="str">
        <f>IF(B3088="","",IF(NOT(ISNUMBER(B3088)),"DATA_PC invalida",IF(NOT(ISNUMBER(parametros!$C$2)),"Fora dos ciclos",IF(OR(B3088&lt;parametros!$C$2,(YEAR(B3088)-YEAR(parametros!$C$2))*12+MONTH(B3088)-MONTH(parametros!$C$2)&gt;59),"Fora dos ciclos","C"&amp;INT(((YEAR(B3088)-YEAR(parametros!$C$2))*12+MONTH(B3088)-MONTH(parametros!$C$2))/12)))))</f>
        <v/>
      </c>
      <c r="D3088" s="394"/>
      <c r="E3088" s="78" t="str">
        <f>IF(C3088="","",IFERROR(VLOOKUP(C3088,parametros!$A$11:$E$15,5,0),""))</f>
        <v/>
      </c>
      <c r="F3088" s="79" t="str">
        <f t="shared" si="242"/>
        <v/>
      </c>
      <c r="G3088" s="395"/>
      <c r="H3088" s="91">
        <f t="shared" si="243"/>
        <v>0</v>
      </c>
      <c r="I3088" s="91" t="str">
        <f t="shared" si="244"/>
        <v/>
      </c>
      <c r="J3088" s="91" t="str">
        <f t="shared" si="245"/>
        <v/>
      </c>
      <c r="K3088" s="92" t="str">
        <f>IF(AND(A3088="",B3088="",D3088="",G3088=""),"",IF(AND(A3088&lt;&gt;"",COUNTIF($A$2:$A$5001,A3088)&gt;1),"NUMERO_PC duplicado",IF(B3088="","DATA_PC vazia",IF(NOT(ISNUMBER(B3088)),"DATA_PC invalida",IF(OR(C3088="",C3088="Fora dos ciclos"),"CICLO_PC nao identificado",IF(OR(D3088="",D3088=0),"VALOR_PC vazio ou zero",IF(AND(G3088&lt;&gt;"Sim",G3088&lt;&gt;"Nao",G3088&lt;&gt;""),"PC_PAGO_A_CONTRATADA invalido",IF(AND(C3088&lt;&gt;"C0",IFERROR(INDEX(parametros!$A$2:$A$6,MATCH(C3088,parametros!$B$2:$B$6,0)),"")="Sim",IFERROR(INDEX(parametros!$H$2:$H$6,MATCH(C3088,parametros!$B$2:$B$6,0)),"")=""),"INICIO_EFEITO ausente: PC "&amp;A3088&amp;" - "&amp;C3088,IF(L3088="","EFEITO_PC nao calculado: PC "&amp;A3088&amp;" - "&amp;C3088,"OK")))))))))</f>
        <v/>
      </c>
      <c r="L3088" s="92" t="str">
        <f>IF(AND(A3088="",B3088="",D3088="",G3088=""),"",IF(OR(B3088="",NOT(ISNUMBER(B3088)),C3088="",C3088="Fora dos ciclos"),"",IF(C3088="C0","Nao",IF(IFERROR(INDEX(parametros!$A$2:$A$6,MATCH(C3088,parametros!$B$2:$B$6,0)),"")&lt;&gt;"Sim","Nao",IF(IFERROR(INDEX(parametros!$H$2:$H$6,MATCH(C3088,parametros!$B$2:$B$6,0)),"")="","",IF(B3088&gt;=IFERROR(INDEX(parametros!$H$2:$H$6,MATCH(C3088,parametros!$B$2:$B$6,0)),""),"Sim","Nao"))))))</f>
        <v/>
      </c>
      <c r="T3088" s="156"/>
      <c r="U3088" s="214" t="str">
        <f t="shared" si="246"/>
        <v/>
      </c>
      <c r="V3088" s="212" t="s">
        <v>50</v>
      </c>
      <c r="W3088" s="100" t="s">
        <v>168</v>
      </c>
      <c r="X3088" s="100" t="s">
        <v>169</v>
      </c>
      <c r="Y3088" s="101" t="s">
        <v>170</v>
      </c>
      <c r="Z3088" s="101" t="s">
        <v>171</v>
      </c>
      <c r="AA3088" s="101" t="s">
        <v>50</v>
      </c>
      <c r="AB3088" s="101" t="s">
        <v>172</v>
      </c>
      <c r="AC3088" s="102" t="s">
        <v>173</v>
      </c>
    </row>
    <row r="3089" spans="1:29" ht="25.5" customHeight="1" x14ac:dyDescent="0.35">
      <c r="A3089" s="392"/>
      <c r="B3089" s="393"/>
      <c r="C3089" s="99" t="str">
        <f>IF(B3089="","",IF(NOT(ISNUMBER(B3089)),"DATA_PC invalida",IF(NOT(ISNUMBER(parametros!$C$2)),"Fora dos ciclos",IF(OR(B3089&lt;parametros!$C$2,(YEAR(B3089)-YEAR(parametros!$C$2))*12+MONTH(B3089)-MONTH(parametros!$C$2)&gt;59),"Fora dos ciclos","C"&amp;INT(((YEAR(B3089)-YEAR(parametros!$C$2))*12+MONTH(B3089)-MONTH(parametros!$C$2))/12)))))</f>
        <v/>
      </c>
      <c r="D3089" s="394"/>
      <c r="E3089" s="78" t="str">
        <f>IF(C3089="","",IFERROR(VLOOKUP(C3089,parametros!$A$11:$E$15,5,0),""))</f>
        <v/>
      </c>
      <c r="F3089" s="79" t="str">
        <f t="shared" si="242"/>
        <v/>
      </c>
      <c r="G3089" s="395"/>
      <c r="H3089" s="91">
        <f t="shared" si="243"/>
        <v>0</v>
      </c>
      <c r="I3089" s="91" t="str">
        <f t="shared" si="244"/>
        <v/>
      </c>
      <c r="J3089" s="91" t="str">
        <f t="shared" si="245"/>
        <v/>
      </c>
      <c r="K3089" s="92" t="str">
        <f>IF(AND(A3089="",B3089="",D3089="",G3089=""),"",IF(AND(A3089&lt;&gt;"",COUNTIF($A$2:$A$5001,A3089)&gt;1),"NUMERO_PC duplicado",IF(B3089="","DATA_PC vazia",IF(NOT(ISNUMBER(B3089)),"DATA_PC invalida",IF(OR(C3089="",C3089="Fora dos ciclos"),"CICLO_PC nao identificado",IF(OR(D3089="",D3089=0),"VALOR_PC vazio ou zero",IF(AND(G3089&lt;&gt;"Sim",G3089&lt;&gt;"Nao",G3089&lt;&gt;""),"PC_PAGO_A_CONTRATADA invalido",IF(AND(C3089&lt;&gt;"C0",IFERROR(INDEX(parametros!$A$2:$A$6,MATCH(C3089,parametros!$B$2:$B$6,0)),"")="Sim",IFERROR(INDEX(parametros!$H$2:$H$6,MATCH(C3089,parametros!$B$2:$B$6,0)),"")=""),"INICIO_EFEITO ausente: PC "&amp;A3089&amp;" - "&amp;C3089,IF(L3089="","EFEITO_PC nao calculado: PC "&amp;A3089&amp;" - "&amp;C3089,"OK")))))))))</f>
        <v/>
      </c>
      <c r="L3089" s="92" t="str">
        <f>IF(AND(A3089="",B3089="",D3089="",G3089=""),"",IF(OR(B3089="",NOT(ISNUMBER(B3089)),C3089="",C3089="Fora dos ciclos"),"",IF(C3089="C0","Nao",IF(IFERROR(INDEX(parametros!$A$2:$A$6,MATCH(C3089,parametros!$B$2:$B$6,0)),"")&lt;&gt;"Sim","Nao",IF(IFERROR(INDEX(parametros!$H$2:$H$6,MATCH(C3089,parametros!$B$2:$B$6,0)),"")="","",IF(B3089&gt;=IFERROR(INDEX(parametros!$H$2:$H$6,MATCH(C3089,parametros!$B$2:$B$6,0)),""),"Sim","Nao"))))))</f>
        <v/>
      </c>
      <c r="T3089" s="156"/>
      <c r="U3089" s="214" t="str">
        <f t="shared" si="246"/>
        <v/>
      </c>
      <c r="V3089" s="212" t="s">
        <v>50</v>
      </c>
      <c r="W3089" s="100" t="s">
        <v>168</v>
      </c>
      <c r="X3089" s="100" t="s">
        <v>169</v>
      </c>
      <c r="Y3089" s="101" t="s">
        <v>170</v>
      </c>
      <c r="Z3089" s="101" t="s">
        <v>171</v>
      </c>
      <c r="AA3089" s="101" t="s">
        <v>50</v>
      </c>
      <c r="AB3089" s="101" t="s">
        <v>172</v>
      </c>
      <c r="AC3089" s="102" t="s">
        <v>173</v>
      </c>
    </row>
    <row r="3090" spans="1:29" ht="25.5" customHeight="1" x14ac:dyDescent="0.35">
      <c r="A3090" s="392"/>
      <c r="B3090" s="393"/>
      <c r="C3090" s="99" t="str">
        <f>IF(B3090="","",IF(NOT(ISNUMBER(B3090)),"DATA_PC invalida",IF(NOT(ISNUMBER(parametros!$C$2)),"Fora dos ciclos",IF(OR(B3090&lt;parametros!$C$2,(YEAR(B3090)-YEAR(parametros!$C$2))*12+MONTH(B3090)-MONTH(parametros!$C$2)&gt;59),"Fora dos ciclos","C"&amp;INT(((YEAR(B3090)-YEAR(parametros!$C$2))*12+MONTH(B3090)-MONTH(parametros!$C$2))/12)))))</f>
        <v/>
      </c>
      <c r="D3090" s="394"/>
      <c r="E3090" s="78" t="str">
        <f>IF(C3090="","",IFERROR(VLOOKUP(C3090,parametros!$A$11:$E$15,5,0),""))</f>
        <v/>
      </c>
      <c r="F3090" s="79" t="str">
        <f t="shared" si="242"/>
        <v/>
      </c>
      <c r="G3090" s="395"/>
      <c r="H3090" s="91">
        <f t="shared" si="243"/>
        <v>0</v>
      </c>
      <c r="I3090" s="91" t="str">
        <f t="shared" si="244"/>
        <v/>
      </c>
      <c r="J3090" s="91" t="str">
        <f t="shared" si="245"/>
        <v/>
      </c>
      <c r="K3090" s="92" t="str">
        <f>IF(AND(A3090="",B3090="",D3090="",G3090=""),"",IF(AND(A3090&lt;&gt;"",COUNTIF($A$2:$A$5001,A3090)&gt;1),"NUMERO_PC duplicado",IF(B3090="","DATA_PC vazia",IF(NOT(ISNUMBER(B3090)),"DATA_PC invalida",IF(OR(C3090="",C3090="Fora dos ciclos"),"CICLO_PC nao identificado",IF(OR(D3090="",D3090=0),"VALOR_PC vazio ou zero",IF(AND(G3090&lt;&gt;"Sim",G3090&lt;&gt;"Nao",G3090&lt;&gt;""),"PC_PAGO_A_CONTRATADA invalido",IF(AND(C3090&lt;&gt;"C0",IFERROR(INDEX(parametros!$A$2:$A$6,MATCH(C3090,parametros!$B$2:$B$6,0)),"")="Sim",IFERROR(INDEX(parametros!$H$2:$H$6,MATCH(C3090,parametros!$B$2:$B$6,0)),"")=""),"INICIO_EFEITO ausente: PC "&amp;A3090&amp;" - "&amp;C3090,IF(L3090="","EFEITO_PC nao calculado: PC "&amp;A3090&amp;" - "&amp;C3090,"OK")))))))))</f>
        <v/>
      </c>
      <c r="L3090" s="92" t="str">
        <f>IF(AND(A3090="",B3090="",D3090="",G3090=""),"",IF(OR(B3090="",NOT(ISNUMBER(B3090)),C3090="",C3090="Fora dos ciclos"),"",IF(C3090="C0","Nao",IF(IFERROR(INDEX(parametros!$A$2:$A$6,MATCH(C3090,parametros!$B$2:$B$6,0)),"")&lt;&gt;"Sim","Nao",IF(IFERROR(INDEX(parametros!$H$2:$H$6,MATCH(C3090,parametros!$B$2:$B$6,0)),"")="","",IF(B3090&gt;=IFERROR(INDEX(parametros!$H$2:$H$6,MATCH(C3090,parametros!$B$2:$B$6,0)),""),"Sim","Nao"))))))</f>
        <v/>
      </c>
      <c r="T3090" s="156"/>
      <c r="U3090" s="214" t="str">
        <f t="shared" si="246"/>
        <v/>
      </c>
      <c r="V3090" s="212" t="s">
        <v>50</v>
      </c>
      <c r="W3090" s="100" t="s">
        <v>168</v>
      </c>
      <c r="X3090" s="100" t="s">
        <v>169</v>
      </c>
      <c r="Y3090" s="101" t="s">
        <v>170</v>
      </c>
      <c r="Z3090" s="101" t="s">
        <v>171</v>
      </c>
      <c r="AA3090" s="101" t="s">
        <v>50</v>
      </c>
      <c r="AB3090" s="101" t="s">
        <v>172</v>
      </c>
      <c r="AC3090" s="102" t="s">
        <v>173</v>
      </c>
    </row>
    <row r="3091" spans="1:29" ht="25.5" customHeight="1" x14ac:dyDescent="0.35">
      <c r="A3091" s="392"/>
      <c r="B3091" s="393"/>
      <c r="C3091" s="99" t="str">
        <f>IF(B3091="","",IF(NOT(ISNUMBER(B3091)),"DATA_PC invalida",IF(NOT(ISNUMBER(parametros!$C$2)),"Fora dos ciclos",IF(OR(B3091&lt;parametros!$C$2,(YEAR(B3091)-YEAR(parametros!$C$2))*12+MONTH(B3091)-MONTH(parametros!$C$2)&gt;59),"Fora dos ciclos","C"&amp;INT(((YEAR(B3091)-YEAR(parametros!$C$2))*12+MONTH(B3091)-MONTH(parametros!$C$2))/12)))))</f>
        <v/>
      </c>
      <c r="D3091" s="394"/>
      <c r="E3091" s="78" t="str">
        <f>IF(C3091="","",IFERROR(VLOOKUP(C3091,parametros!$A$11:$E$15,5,0),""))</f>
        <v/>
      </c>
      <c r="F3091" s="79" t="str">
        <f t="shared" si="242"/>
        <v/>
      </c>
      <c r="G3091" s="395"/>
      <c r="H3091" s="91">
        <f t="shared" si="243"/>
        <v>0</v>
      </c>
      <c r="I3091" s="91" t="str">
        <f t="shared" si="244"/>
        <v/>
      </c>
      <c r="J3091" s="91" t="str">
        <f t="shared" si="245"/>
        <v/>
      </c>
      <c r="K3091" s="92" t="str">
        <f>IF(AND(A3091="",B3091="",D3091="",G3091=""),"",IF(AND(A3091&lt;&gt;"",COUNTIF($A$2:$A$5001,A3091)&gt;1),"NUMERO_PC duplicado",IF(B3091="","DATA_PC vazia",IF(NOT(ISNUMBER(B3091)),"DATA_PC invalida",IF(OR(C3091="",C3091="Fora dos ciclos"),"CICLO_PC nao identificado",IF(OR(D3091="",D3091=0),"VALOR_PC vazio ou zero",IF(AND(G3091&lt;&gt;"Sim",G3091&lt;&gt;"Nao",G3091&lt;&gt;""),"PC_PAGO_A_CONTRATADA invalido",IF(AND(C3091&lt;&gt;"C0",IFERROR(INDEX(parametros!$A$2:$A$6,MATCH(C3091,parametros!$B$2:$B$6,0)),"")="Sim",IFERROR(INDEX(parametros!$H$2:$H$6,MATCH(C3091,parametros!$B$2:$B$6,0)),"")=""),"INICIO_EFEITO ausente: PC "&amp;A3091&amp;" - "&amp;C3091,IF(L3091="","EFEITO_PC nao calculado: PC "&amp;A3091&amp;" - "&amp;C3091,"OK")))))))))</f>
        <v/>
      </c>
      <c r="L3091" s="92" t="str">
        <f>IF(AND(A3091="",B3091="",D3091="",G3091=""),"",IF(OR(B3091="",NOT(ISNUMBER(B3091)),C3091="",C3091="Fora dos ciclos"),"",IF(C3091="C0","Nao",IF(IFERROR(INDEX(parametros!$A$2:$A$6,MATCH(C3091,parametros!$B$2:$B$6,0)),"")&lt;&gt;"Sim","Nao",IF(IFERROR(INDEX(parametros!$H$2:$H$6,MATCH(C3091,parametros!$B$2:$B$6,0)),"")="","",IF(B3091&gt;=IFERROR(INDEX(parametros!$H$2:$H$6,MATCH(C3091,parametros!$B$2:$B$6,0)),""),"Sim","Nao"))))))</f>
        <v/>
      </c>
      <c r="T3091" s="156"/>
      <c r="U3091" s="214" t="str">
        <f t="shared" si="246"/>
        <v/>
      </c>
      <c r="V3091" s="212" t="s">
        <v>50</v>
      </c>
      <c r="W3091" s="100" t="s">
        <v>168</v>
      </c>
      <c r="X3091" s="100" t="s">
        <v>169</v>
      </c>
      <c r="Y3091" s="101" t="s">
        <v>170</v>
      </c>
      <c r="Z3091" s="101" t="s">
        <v>171</v>
      </c>
      <c r="AA3091" s="101" t="s">
        <v>50</v>
      </c>
      <c r="AB3091" s="101" t="s">
        <v>172</v>
      </c>
      <c r="AC3091" s="102" t="s">
        <v>173</v>
      </c>
    </row>
    <row r="3092" spans="1:29" ht="25.5" customHeight="1" x14ac:dyDescent="0.35">
      <c r="A3092" s="392"/>
      <c r="B3092" s="393"/>
      <c r="C3092" s="99" t="str">
        <f>IF(B3092="","",IF(NOT(ISNUMBER(B3092)),"DATA_PC invalida",IF(NOT(ISNUMBER(parametros!$C$2)),"Fora dos ciclos",IF(OR(B3092&lt;parametros!$C$2,(YEAR(B3092)-YEAR(parametros!$C$2))*12+MONTH(B3092)-MONTH(parametros!$C$2)&gt;59),"Fora dos ciclos","C"&amp;INT(((YEAR(B3092)-YEAR(parametros!$C$2))*12+MONTH(B3092)-MONTH(parametros!$C$2))/12)))))</f>
        <v/>
      </c>
      <c r="D3092" s="394"/>
      <c r="E3092" s="78" t="str">
        <f>IF(C3092="","",IFERROR(VLOOKUP(C3092,parametros!$A$11:$E$15,5,0),""))</f>
        <v/>
      </c>
      <c r="F3092" s="79" t="str">
        <f t="shared" si="242"/>
        <v/>
      </c>
      <c r="G3092" s="395"/>
      <c r="H3092" s="91">
        <f t="shared" si="243"/>
        <v>0</v>
      </c>
      <c r="I3092" s="91" t="str">
        <f t="shared" si="244"/>
        <v/>
      </c>
      <c r="J3092" s="91" t="str">
        <f t="shared" si="245"/>
        <v/>
      </c>
      <c r="K3092" s="92" t="str">
        <f>IF(AND(A3092="",B3092="",D3092="",G3092=""),"",IF(AND(A3092&lt;&gt;"",COUNTIF($A$2:$A$5001,A3092)&gt;1),"NUMERO_PC duplicado",IF(B3092="","DATA_PC vazia",IF(NOT(ISNUMBER(B3092)),"DATA_PC invalida",IF(OR(C3092="",C3092="Fora dos ciclos"),"CICLO_PC nao identificado",IF(OR(D3092="",D3092=0),"VALOR_PC vazio ou zero",IF(AND(G3092&lt;&gt;"Sim",G3092&lt;&gt;"Nao",G3092&lt;&gt;""),"PC_PAGO_A_CONTRATADA invalido",IF(AND(C3092&lt;&gt;"C0",IFERROR(INDEX(parametros!$A$2:$A$6,MATCH(C3092,parametros!$B$2:$B$6,0)),"")="Sim",IFERROR(INDEX(parametros!$H$2:$H$6,MATCH(C3092,parametros!$B$2:$B$6,0)),"")=""),"INICIO_EFEITO ausente: PC "&amp;A3092&amp;" - "&amp;C3092,IF(L3092="","EFEITO_PC nao calculado: PC "&amp;A3092&amp;" - "&amp;C3092,"OK")))))))))</f>
        <v/>
      </c>
      <c r="L3092" s="92" t="str">
        <f>IF(AND(A3092="",B3092="",D3092="",G3092=""),"",IF(OR(B3092="",NOT(ISNUMBER(B3092)),C3092="",C3092="Fora dos ciclos"),"",IF(C3092="C0","Nao",IF(IFERROR(INDEX(parametros!$A$2:$A$6,MATCH(C3092,parametros!$B$2:$B$6,0)),"")&lt;&gt;"Sim","Nao",IF(IFERROR(INDEX(parametros!$H$2:$H$6,MATCH(C3092,parametros!$B$2:$B$6,0)),"")="","",IF(B3092&gt;=IFERROR(INDEX(parametros!$H$2:$H$6,MATCH(C3092,parametros!$B$2:$B$6,0)),""),"Sim","Nao"))))))</f>
        <v/>
      </c>
      <c r="T3092" s="156"/>
      <c r="U3092" s="214" t="str">
        <f t="shared" si="246"/>
        <v/>
      </c>
      <c r="V3092" s="212" t="s">
        <v>50</v>
      </c>
      <c r="W3092" s="100" t="s">
        <v>168</v>
      </c>
      <c r="X3092" s="100" t="s">
        <v>169</v>
      </c>
      <c r="Y3092" s="101" t="s">
        <v>170</v>
      </c>
      <c r="Z3092" s="101" t="s">
        <v>171</v>
      </c>
      <c r="AA3092" s="101" t="s">
        <v>50</v>
      </c>
      <c r="AB3092" s="101" t="s">
        <v>172</v>
      </c>
      <c r="AC3092" s="102" t="s">
        <v>173</v>
      </c>
    </row>
    <row r="3093" spans="1:29" ht="25.5" customHeight="1" x14ac:dyDescent="0.35">
      <c r="A3093" s="392"/>
      <c r="B3093" s="393"/>
      <c r="C3093" s="99" t="str">
        <f>IF(B3093="","",IF(NOT(ISNUMBER(B3093)),"DATA_PC invalida",IF(NOT(ISNUMBER(parametros!$C$2)),"Fora dos ciclos",IF(OR(B3093&lt;parametros!$C$2,(YEAR(B3093)-YEAR(parametros!$C$2))*12+MONTH(B3093)-MONTH(parametros!$C$2)&gt;59),"Fora dos ciclos","C"&amp;INT(((YEAR(B3093)-YEAR(parametros!$C$2))*12+MONTH(B3093)-MONTH(parametros!$C$2))/12)))))</f>
        <v/>
      </c>
      <c r="D3093" s="394"/>
      <c r="E3093" s="78" t="str">
        <f>IF(C3093="","",IFERROR(VLOOKUP(C3093,parametros!$A$11:$E$15,5,0),""))</f>
        <v/>
      </c>
      <c r="F3093" s="79" t="str">
        <f t="shared" si="242"/>
        <v/>
      </c>
      <c r="G3093" s="395"/>
      <c r="H3093" s="91">
        <f t="shared" si="243"/>
        <v>0</v>
      </c>
      <c r="I3093" s="91" t="str">
        <f t="shared" si="244"/>
        <v/>
      </c>
      <c r="J3093" s="91" t="str">
        <f t="shared" si="245"/>
        <v/>
      </c>
      <c r="K3093" s="92" t="str">
        <f>IF(AND(A3093="",B3093="",D3093="",G3093=""),"",IF(AND(A3093&lt;&gt;"",COUNTIF($A$2:$A$5001,A3093)&gt;1),"NUMERO_PC duplicado",IF(B3093="","DATA_PC vazia",IF(NOT(ISNUMBER(B3093)),"DATA_PC invalida",IF(OR(C3093="",C3093="Fora dos ciclos"),"CICLO_PC nao identificado",IF(OR(D3093="",D3093=0),"VALOR_PC vazio ou zero",IF(AND(G3093&lt;&gt;"Sim",G3093&lt;&gt;"Nao",G3093&lt;&gt;""),"PC_PAGO_A_CONTRATADA invalido",IF(AND(C3093&lt;&gt;"C0",IFERROR(INDEX(parametros!$A$2:$A$6,MATCH(C3093,parametros!$B$2:$B$6,0)),"")="Sim",IFERROR(INDEX(parametros!$H$2:$H$6,MATCH(C3093,parametros!$B$2:$B$6,0)),"")=""),"INICIO_EFEITO ausente: PC "&amp;A3093&amp;" - "&amp;C3093,IF(L3093="","EFEITO_PC nao calculado: PC "&amp;A3093&amp;" - "&amp;C3093,"OK")))))))))</f>
        <v/>
      </c>
      <c r="L3093" s="92" t="str">
        <f>IF(AND(A3093="",B3093="",D3093="",G3093=""),"",IF(OR(B3093="",NOT(ISNUMBER(B3093)),C3093="",C3093="Fora dos ciclos"),"",IF(C3093="C0","Nao",IF(IFERROR(INDEX(parametros!$A$2:$A$6,MATCH(C3093,parametros!$B$2:$B$6,0)),"")&lt;&gt;"Sim","Nao",IF(IFERROR(INDEX(parametros!$H$2:$H$6,MATCH(C3093,parametros!$B$2:$B$6,0)),"")="","",IF(B3093&gt;=IFERROR(INDEX(parametros!$H$2:$H$6,MATCH(C3093,parametros!$B$2:$B$6,0)),""),"Sim","Nao"))))))</f>
        <v/>
      </c>
      <c r="T3093" s="156"/>
      <c r="U3093" s="214" t="str">
        <f t="shared" si="246"/>
        <v/>
      </c>
      <c r="V3093" s="212" t="s">
        <v>50</v>
      </c>
      <c r="W3093" s="100" t="s">
        <v>168</v>
      </c>
      <c r="X3093" s="100" t="s">
        <v>169</v>
      </c>
      <c r="Y3093" s="101" t="s">
        <v>170</v>
      </c>
      <c r="Z3093" s="101" t="s">
        <v>171</v>
      </c>
      <c r="AA3093" s="101" t="s">
        <v>50</v>
      </c>
      <c r="AB3093" s="101" t="s">
        <v>172</v>
      </c>
      <c r="AC3093" s="102" t="s">
        <v>173</v>
      </c>
    </row>
    <row r="3094" spans="1:29" ht="25.5" customHeight="1" x14ac:dyDescent="0.35">
      <c r="A3094" s="392"/>
      <c r="B3094" s="393"/>
      <c r="C3094" s="99" t="str">
        <f>IF(B3094="","",IF(NOT(ISNUMBER(B3094)),"DATA_PC invalida",IF(NOT(ISNUMBER(parametros!$C$2)),"Fora dos ciclos",IF(OR(B3094&lt;parametros!$C$2,(YEAR(B3094)-YEAR(parametros!$C$2))*12+MONTH(B3094)-MONTH(parametros!$C$2)&gt;59),"Fora dos ciclos","C"&amp;INT(((YEAR(B3094)-YEAR(parametros!$C$2))*12+MONTH(B3094)-MONTH(parametros!$C$2))/12)))))</f>
        <v/>
      </c>
      <c r="D3094" s="394"/>
      <c r="E3094" s="78" t="str">
        <f>IF(C3094="","",IFERROR(VLOOKUP(C3094,parametros!$A$11:$E$15,5,0),""))</f>
        <v/>
      </c>
      <c r="F3094" s="79" t="str">
        <f t="shared" si="242"/>
        <v/>
      </c>
      <c r="G3094" s="395"/>
      <c r="H3094" s="91">
        <f t="shared" si="243"/>
        <v>0</v>
      </c>
      <c r="I3094" s="91" t="str">
        <f t="shared" si="244"/>
        <v/>
      </c>
      <c r="J3094" s="91" t="str">
        <f t="shared" si="245"/>
        <v/>
      </c>
      <c r="K3094" s="92" t="str">
        <f>IF(AND(A3094="",B3094="",D3094="",G3094=""),"",IF(AND(A3094&lt;&gt;"",COUNTIF($A$2:$A$5001,A3094)&gt;1),"NUMERO_PC duplicado",IF(B3094="","DATA_PC vazia",IF(NOT(ISNUMBER(B3094)),"DATA_PC invalida",IF(OR(C3094="",C3094="Fora dos ciclos"),"CICLO_PC nao identificado",IF(OR(D3094="",D3094=0),"VALOR_PC vazio ou zero",IF(AND(G3094&lt;&gt;"Sim",G3094&lt;&gt;"Nao",G3094&lt;&gt;""),"PC_PAGO_A_CONTRATADA invalido",IF(AND(C3094&lt;&gt;"C0",IFERROR(INDEX(parametros!$A$2:$A$6,MATCH(C3094,parametros!$B$2:$B$6,0)),"")="Sim",IFERROR(INDEX(parametros!$H$2:$H$6,MATCH(C3094,parametros!$B$2:$B$6,0)),"")=""),"INICIO_EFEITO ausente: PC "&amp;A3094&amp;" - "&amp;C3094,IF(L3094="","EFEITO_PC nao calculado: PC "&amp;A3094&amp;" - "&amp;C3094,"OK")))))))))</f>
        <v/>
      </c>
      <c r="L3094" s="92" t="str">
        <f>IF(AND(A3094="",B3094="",D3094="",G3094=""),"",IF(OR(B3094="",NOT(ISNUMBER(B3094)),C3094="",C3094="Fora dos ciclos"),"",IF(C3094="C0","Nao",IF(IFERROR(INDEX(parametros!$A$2:$A$6,MATCH(C3094,parametros!$B$2:$B$6,0)),"")&lt;&gt;"Sim","Nao",IF(IFERROR(INDEX(parametros!$H$2:$H$6,MATCH(C3094,parametros!$B$2:$B$6,0)),"")="","",IF(B3094&gt;=IFERROR(INDEX(parametros!$H$2:$H$6,MATCH(C3094,parametros!$B$2:$B$6,0)),""),"Sim","Nao"))))))</f>
        <v/>
      </c>
      <c r="T3094" s="156"/>
      <c r="U3094" s="214" t="str">
        <f t="shared" si="246"/>
        <v/>
      </c>
      <c r="V3094" s="212" t="s">
        <v>50</v>
      </c>
      <c r="W3094" s="100" t="s">
        <v>168</v>
      </c>
      <c r="X3094" s="100" t="s">
        <v>169</v>
      </c>
      <c r="Y3094" s="101" t="s">
        <v>170</v>
      </c>
      <c r="Z3094" s="101" t="s">
        <v>171</v>
      </c>
      <c r="AA3094" s="101" t="s">
        <v>50</v>
      </c>
      <c r="AB3094" s="101" t="s">
        <v>172</v>
      </c>
      <c r="AC3094" s="102" t="s">
        <v>173</v>
      </c>
    </row>
    <row r="3095" spans="1:29" ht="25.5" customHeight="1" x14ac:dyDescent="0.35">
      <c r="A3095" s="392"/>
      <c r="B3095" s="393"/>
      <c r="C3095" s="99" t="str">
        <f>IF(B3095="","",IF(NOT(ISNUMBER(B3095)),"DATA_PC invalida",IF(NOT(ISNUMBER(parametros!$C$2)),"Fora dos ciclos",IF(OR(B3095&lt;parametros!$C$2,(YEAR(B3095)-YEAR(parametros!$C$2))*12+MONTH(B3095)-MONTH(parametros!$C$2)&gt;59),"Fora dos ciclos","C"&amp;INT(((YEAR(B3095)-YEAR(parametros!$C$2))*12+MONTH(B3095)-MONTH(parametros!$C$2))/12)))))</f>
        <v/>
      </c>
      <c r="D3095" s="394"/>
      <c r="E3095" s="78" t="str">
        <f>IF(C3095="","",IFERROR(VLOOKUP(C3095,parametros!$A$11:$E$15,5,0),""))</f>
        <v/>
      </c>
      <c r="F3095" s="79" t="str">
        <f t="shared" si="242"/>
        <v/>
      </c>
      <c r="G3095" s="395"/>
      <c r="H3095" s="91">
        <f t="shared" si="243"/>
        <v>0</v>
      </c>
      <c r="I3095" s="91" t="str">
        <f t="shared" si="244"/>
        <v/>
      </c>
      <c r="J3095" s="91" t="str">
        <f t="shared" si="245"/>
        <v/>
      </c>
      <c r="K3095" s="92" t="str">
        <f>IF(AND(A3095="",B3095="",D3095="",G3095=""),"",IF(AND(A3095&lt;&gt;"",COUNTIF($A$2:$A$5001,A3095)&gt;1),"NUMERO_PC duplicado",IF(B3095="","DATA_PC vazia",IF(NOT(ISNUMBER(B3095)),"DATA_PC invalida",IF(OR(C3095="",C3095="Fora dos ciclos"),"CICLO_PC nao identificado",IF(OR(D3095="",D3095=0),"VALOR_PC vazio ou zero",IF(AND(G3095&lt;&gt;"Sim",G3095&lt;&gt;"Nao",G3095&lt;&gt;""),"PC_PAGO_A_CONTRATADA invalido",IF(AND(C3095&lt;&gt;"C0",IFERROR(INDEX(parametros!$A$2:$A$6,MATCH(C3095,parametros!$B$2:$B$6,0)),"")="Sim",IFERROR(INDEX(parametros!$H$2:$H$6,MATCH(C3095,parametros!$B$2:$B$6,0)),"")=""),"INICIO_EFEITO ausente: PC "&amp;A3095&amp;" - "&amp;C3095,IF(L3095="","EFEITO_PC nao calculado: PC "&amp;A3095&amp;" - "&amp;C3095,"OK")))))))))</f>
        <v/>
      </c>
      <c r="L3095" s="92" t="str">
        <f>IF(AND(A3095="",B3095="",D3095="",G3095=""),"",IF(OR(B3095="",NOT(ISNUMBER(B3095)),C3095="",C3095="Fora dos ciclos"),"",IF(C3095="C0","Nao",IF(IFERROR(INDEX(parametros!$A$2:$A$6,MATCH(C3095,parametros!$B$2:$B$6,0)),"")&lt;&gt;"Sim","Nao",IF(IFERROR(INDEX(parametros!$H$2:$H$6,MATCH(C3095,parametros!$B$2:$B$6,0)),"")="","",IF(B3095&gt;=IFERROR(INDEX(parametros!$H$2:$H$6,MATCH(C3095,parametros!$B$2:$B$6,0)),""),"Sim","Nao"))))))</f>
        <v/>
      </c>
      <c r="T3095" s="156"/>
      <c r="U3095" s="214" t="str">
        <f t="shared" si="246"/>
        <v/>
      </c>
      <c r="V3095" s="212" t="s">
        <v>50</v>
      </c>
      <c r="W3095" s="100" t="s">
        <v>168</v>
      </c>
      <c r="X3095" s="100" t="s">
        <v>169</v>
      </c>
      <c r="Y3095" s="101" t="s">
        <v>170</v>
      </c>
      <c r="Z3095" s="101" t="s">
        <v>171</v>
      </c>
      <c r="AA3095" s="101" t="s">
        <v>50</v>
      </c>
      <c r="AB3095" s="101" t="s">
        <v>172</v>
      </c>
      <c r="AC3095" s="102" t="s">
        <v>173</v>
      </c>
    </row>
    <row r="3096" spans="1:29" ht="25.5" customHeight="1" x14ac:dyDescent="0.35">
      <c r="A3096" s="392"/>
      <c r="B3096" s="393"/>
      <c r="C3096" s="99" t="str">
        <f>IF(B3096="","",IF(NOT(ISNUMBER(B3096)),"DATA_PC invalida",IF(NOT(ISNUMBER(parametros!$C$2)),"Fora dos ciclos",IF(OR(B3096&lt;parametros!$C$2,(YEAR(B3096)-YEAR(parametros!$C$2))*12+MONTH(B3096)-MONTH(parametros!$C$2)&gt;59),"Fora dos ciclos","C"&amp;INT(((YEAR(B3096)-YEAR(parametros!$C$2))*12+MONTH(B3096)-MONTH(parametros!$C$2))/12)))))</f>
        <v/>
      </c>
      <c r="D3096" s="394"/>
      <c r="E3096" s="78" t="str">
        <f>IF(C3096="","",IFERROR(VLOOKUP(C3096,parametros!$A$11:$E$15,5,0),""))</f>
        <v/>
      </c>
      <c r="F3096" s="79" t="str">
        <f t="shared" si="242"/>
        <v/>
      </c>
      <c r="G3096" s="395"/>
      <c r="H3096" s="91">
        <f t="shared" si="243"/>
        <v>0</v>
      </c>
      <c r="I3096" s="91" t="str">
        <f t="shared" si="244"/>
        <v/>
      </c>
      <c r="J3096" s="91" t="str">
        <f t="shared" si="245"/>
        <v/>
      </c>
      <c r="K3096" s="92" t="str">
        <f>IF(AND(A3096="",B3096="",D3096="",G3096=""),"",IF(AND(A3096&lt;&gt;"",COUNTIF($A$2:$A$5001,A3096)&gt;1),"NUMERO_PC duplicado",IF(B3096="","DATA_PC vazia",IF(NOT(ISNUMBER(B3096)),"DATA_PC invalida",IF(OR(C3096="",C3096="Fora dos ciclos"),"CICLO_PC nao identificado",IF(OR(D3096="",D3096=0),"VALOR_PC vazio ou zero",IF(AND(G3096&lt;&gt;"Sim",G3096&lt;&gt;"Nao",G3096&lt;&gt;""),"PC_PAGO_A_CONTRATADA invalido",IF(AND(C3096&lt;&gt;"C0",IFERROR(INDEX(parametros!$A$2:$A$6,MATCH(C3096,parametros!$B$2:$B$6,0)),"")="Sim",IFERROR(INDEX(parametros!$H$2:$H$6,MATCH(C3096,parametros!$B$2:$B$6,0)),"")=""),"INICIO_EFEITO ausente: PC "&amp;A3096&amp;" - "&amp;C3096,IF(L3096="","EFEITO_PC nao calculado: PC "&amp;A3096&amp;" - "&amp;C3096,"OK")))))))))</f>
        <v/>
      </c>
      <c r="L3096" s="92" t="str">
        <f>IF(AND(A3096="",B3096="",D3096="",G3096=""),"",IF(OR(B3096="",NOT(ISNUMBER(B3096)),C3096="",C3096="Fora dos ciclos"),"",IF(C3096="C0","Nao",IF(IFERROR(INDEX(parametros!$A$2:$A$6,MATCH(C3096,parametros!$B$2:$B$6,0)),"")&lt;&gt;"Sim","Nao",IF(IFERROR(INDEX(parametros!$H$2:$H$6,MATCH(C3096,parametros!$B$2:$B$6,0)),"")="","",IF(B3096&gt;=IFERROR(INDEX(parametros!$H$2:$H$6,MATCH(C3096,parametros!$B$2:$B$6,0)),""),"Sim","Nao"))))))</f>
        <v/>
      </c>
      <c r="T3096" s="156"/>
      <c r="U3096" s="214" t="str">
        <f t="shared" si="246"/>
        <v/>
      </c>
      <c r="V3096" s="212" t="s">
        <v>50</v>
      </c>
      <c r="W3096" s="100" t="s">
        <v>168</v>
      </c>
      <c r="X3096" s="100" t="s">
        <v>169</v>
      </c>
      <c r="Y3096" s="101" t="s">
        <v>170</v>
      </c>
      <c r="Z3096" s="101" t="s">
        <v>171</v>
      </c>
      <c r="AA3096" s="101" t="s">
        <v>50</v>
      </c>
      <c r="AB3096" s="101" t="s">
        <v>172</v>
      </c>
      <c r="AC3096" s="102" t="s">
        <v>173</v>
      </c>
    </row>
    <row r="3097" spans="1:29" ht="25.5" customHeight="1" x14ac:dyDescent="0.35">
      <c r="A3097" s="392"/>
      <c r="B3097" s="393"/>
      <c r="C3097" s="99" t="str">
        <f>IF(B3097="","",IF(NOT(ISNUMBER(B3097)),"DATA_PC invalida",IF(NOT(ISNUMBER(parametros!$C$2)),"Fora dos ciclos",IF(OR(B3097&lt;parametros!$C$2,(YEAR(B3097)-YEAR(parametros!$C$2))*12+MONTH(B3097)-MONTH(parametros!$C$2)&gt;59),"Fora dos ciclos","C"&amp;INT(((YEAR(B3097)-YEAR(parametros!$C$2))*12+MONTH(B3097)-MONTH(parametros!$C$2))/12)))))</f>
        <v/>
      </c>
      <c r="D3097" s="394"/>
      <c r="E3097" s="78" t="str">
        <f>IF(C3097="","",IFERROR(VLOOKUP(C3097,parametros!$A$11:$E$15,5,0),""))</f>
        <v/>
      </c>
      <c r="F3097" s="79" t="str">
        <f t="shared" si="242"/>
        <v/>
      </c>
      <c r="G3097" s="395"/>
      <c r="H3097" s="91">
        <f t="shared" si="243"/>
        <v>0</v>
      </c>
      <c r="I3097" s="91" t="str">
        <f t="shared" si="244"/>
        <v/>
      </c>
      <c r="J3097" s="91" t="str">
        <f t="shared" si="245"/>
        <v/>
      </c>
      <c r="K3097" s="92" t="str">
        <f>IF(AND(A3097="",B3097="",D3097="",G3097=""),"",IF(AND(A3097&lt;&gt;"",COUNTIF($A$2:$A$5001,A3097)&gt;1),"NUMERO_PC duplicado",IF(B3097="","DATA_PC vazia",IF(NOT(ISNUMBER(B3097)),"DATA_PC invalida",IF(OR(C3097="",C3097="Fora dos ciclos"),"CICLO_PC nao identificado",IF(OR(D3097="",D3097=0),"VALOR_PC vazio ou zero",IF(AND(G3097&lt;&gt;"Sim",G3097&lt;&gt;"Nao",G3097&lt;&gt;""),"PC_PAGO_A_CONTRATADA invalido",IF(AND(C3097&lt;&gt;"C0",IFERROR(INDEX(parametros!$A$2:$A$6,MATCH(C3097,parametros!$B$2:$B$6,0)),"")="Sim",IFERROR(INDEX(parametros!$H$2:$H$6,MATCH(C3097,parametros!$B$2:$B$6,0)),"")=""),"INICIO_EFEITO ausente: PC "&amp;A3097&amp;" - "&amp;C3097,IF(L3097="","EFEITO_PC nao calculado: PC "&amp;A3097&amp;" - "&amp;C3097,"OK")))))))))</f>
        <v/>
      </c>
      <c r="L3097" s="92" t="str">
        <f>IF(AND(A3097="",B3097="",D3097="",G3097=""),"",IF(OR(B3097="",NOT(ISNUMBER(B3097)),C3097="",C3097="Fora dos ciclos"),"",IF(C3097="C0","Nao",IF(IFERROR(INDEX(parametros!$A$2:$A$6,MATCH(C3097,parametros!$B$2:$B$6,0)),"")&lt;&gt;"Sim","Nao",IF(IFERROR(INDEX(parametros!$H$2:$H$6,MATCH(C3097,parametros!$B$2:$B$6,0)),"")="","",IF(B3097&gt;=IFERROR(INDEX(parametros!$H$2:$H$6,MATCH(C3097,parametros!$B$2:$B$6,0)),""),"Sim","Nao"))))))</f>
        <v/>
      </c>
      <c r="T3097" s="156"/>
      <c r="U3097" s="214" t="str">
        <f t="shared" si="246"/>
        <v/>
      </c>
      <c r="V3097" s="212" t="s">
        <v>50</v>
      </c>
      <c r="W3097" s="100" t="s">
        <v>168</v>
      </c>
      <c r="X3097" s="100" t="s">
        <v>169</v>
      </c>
      <c r="Y3097" s="101" t="s">
        <v>170</v>
      </c>
      <c r="Z3097" s="101" t="s">
        <v>171</v>
      </c>
      <c r="AA3097" s="101" t="s">
        <v>50</v>
      </c>
      <c r="AB3097" s="101" t="s">
        <v>172</v>
      </c>
      <c r="AC3097" s="102" t="s">
        <v>173</v>
      </c>
    </row>
    <row r="3098" spans="1:29" ht="25.5" customHeight="1" x14ac:dyDescent="0.35">
      <c r="A3098" s="392"/>
      <c r="B3098" s="393"/>
      <c r="C3098" s="99" t="str">
        <f>IF(B3098="","",IF(NOT(ISNUMBER(B3098)),"DATA_PC invalida",IF(NOT(ISNUMBER(parametros!$C$2)),"Fora dos ciclos",IF(OR(B3098&lt;parametros!$C$2,(YEAR(B3098)-YEAR(parametros!$C$2))*12+MONTH(B3098)-MONTH(parametros!$C$2)&gt;59),"Fora dos ciclos","C"&amp;INT(((YEAR(B3098)-YEAR(parametros!$C$2))*12+MONTH(B3098)-MONTH(parametros!$C$2))/12)))))</f>
        <v/>
      </c>
      <c r="D3098" s="394"/>
      <c r="E3098" s="78" t="str">
        <f>IF(C3098="","",IFERROR(VLOOKUP(C3098,parametros!$A$11:$E$15,5,0),""))</f>
        <v/>
      </c>
      <c r="F3098" s="79" t="str">
        <f t="shared" si="242"/>
        <v/>
      </c>
      <c r="G3098" s="395"/>
      <c r="H3098" s="91">
        <f t="shared" si="243"/>
        <v>0</v>
      </c>
      <c r="I3098" s="91" t="str">
        <f t="shared" si="244"/>
        <v/>
      </c>
      <c r="J3098" s="91" t="str">
        <f t="shared" si="245"/>
        <v/>
      </c>
      <c r="K3098" s="92" t="str">
        <f>IF(AND(A3098="",B3098="",D3098="",G3098=""),"",IF(AND(A3098&lt;&gt;"",COUNTIF($A$2:$A$5001,A3098)&gt;1),"NUMERO_PC duplicado",IF(B3098="","DATA_PC vazia",IF(NOT(ISNUMBER(B3098)),"DATA_PC invalida",IF(OR(C3098="",C3098="Fora dos ciclos"),"CICLO_PC nao identificado",IF(OR(D3098="",D3098=0),"VALOR_PC vazio ou zero",IF(AND(G3098&lt;&gt;"Sim",G3098&lt;&gt;"Nao",G3098&lt;&gt;""),"PC_PAGO_A_CONTRATADA invalido",IF(AND(C3098&lt;&gt;"C0",IFERROR(INDEX(parametros!$A$2:$A$6,MATCH(C3098,parametros!$B$2:$B$6,0)),"")="Sim",IFERROR(INDEX(parametros!$H$2:$H$6,MATCH(C3098,parametros!$B$2:$B$6,0)),"")=""),"INICIO_EFEITO ausente: PC "&amp;A3098&amp;" - "&amp;C3098,IF(L3098="","EFEITO_PC nao calculado: PC "&amp;A3098&amp;" - "&amp;C3098,"OK")))))))))</f>
        <v/>
      </c>
      <c r="L3098" s="92" t="str">
        <f>IF(AND(A3098="",B3098="",D3098="",G3098=""),"",IF(OR(B3098="",NOT(ISNUMBER(B3098)),C3098="",C3098="Fora dos ciclos"),"",IF(C3098="C0","Nao",IF(IFERROR(INDEX(parametros!$A$2:$A$6,MATCH(C3098,parametros!$B$2:$B$6,0)),"")&lt;&gt;"Sim","Nao",IF(IFERROR(INDEX(parametros!$H$2:$H$6,MATCH(C3098,parametros!$B$2:$B$6,0)),"")="","",IF(B3098&gt;=IFERROR(INDEX(parametros!$H$2:$H$6,MATCH(C3098,parametros!$B$2:$B$6,0)),""),"Sim","Nao"))))))</f>
        <v/>
      </c>
      <c r="T3098" s="156"/>
      <c r="U3098" s="214" t="str">
        <f t="shared" si="246"/>
        <v/>
      </c>
      <c r="V3098" s="212" t="s">
        <v>50</v>
      </c>
      <c r="W3098" s="100" t="s">
        <v>168</v>
      </c>
      <c r="X3098" s="100" t="s">
        <v>169</v>
      </c>
      <c r="Y3098" s="101" t="s">
        <v>170</v>
      </c>
      <c r="Z3098" s="101" t="s">
        <v>171</v>
      </c>
      <c r="AA3098" s="101" t="s">
        <v>50</v>
      </c>
      <c r="AB3098" s="101" t="s">
        <v>172</v>
      </c>
      <c r="AC3098" s="102" t="s">
        <v>173</v>
      </c>
    </row>
    <row r="3099" spans="1:29" ht="25.5" customHeight="1" x14ac:dyDescent="0.35">
      <c r="A3099" s="392"/>
      <c r="B3099" s="393"/>
      <c r="C3099" s="99" t="str">
        <f>IF(B3099="","",IF(NOT(ISNUMBER(B3099)),"DATA_PC invalida",IF(NOT(ISNUMBER(parametros!$C$2)),"Fora dos ciclos",IF(OR(B3099&lt;parametros!$C$2,(YEAR(B3099)-YEAR(parametros!$C$2))*12+MONTH(B3099)-MONTH(parametros!$C$2)&gt;59),"Fora dos ciclos","C"&amp;INT(((YEAR(B3099)-YEAR(parametros!$C$2))*12+MONTH(B3099)-MONTH(parametros!$C$2))/12)))))</f>
        <v/>
      </c>
      <c r="D3099" s="394"/>
      <c r="E3099" s="78" t="str">
        <f>IF(C3099="","",IFERROR(VLOOKUP(C3099,parametros!$A$11:$E$15,5,0),""))</f>
        <v/>
      </c>
      <c r="F3099" s="79" t="str">
        <f t="shared" si="242"/>
        <v/>
      </c>
      <c r="G3099" s="395"/>
      <c r="H3099" s="91">
        <f t="shared" si="243"/>
        <v>0</v>
      </c>
      <c r="I3099" s="91" t="str">
        <f t="shared" si="244"/>
        <v/>
      </c>
      <c r="J3099" s="91" t="str">
        <f t="shared" si="245"/>
        <v/>
      </c>
      <c r="K3099" s="92" t="str">
        <f>IF(AND(A3099="",B3099="",D3099="",G3099=""),"",IF(AND(A3099&lt;&gt;"",COUNTIF($A$2:$A$5001,A3099)&gt;1),"NUMERO_PC duplicado",IF(B3099="","DATA_PC vazia",IF(NOT(ISNUMBER(B3099)),"DATA_PC invalida",IF(OR(C3099="",C3099="Fora dos ciclos"),"CICLO_PC nao identificado",IF(OR(D3099="",D3099=0),"VALOR_PC vazio ou zero",IF(AND(G3099&lt;&gt;"Sim",G3099&lt;&gt;"Nao",G3099&lt;&gt;""),"PC_PAGO_A_CONTRATADA invalido",IF(AND(C3099&lt;&gt;"C0",IFERROR(INDEX(parametros!$A$2:$A$6,MATCH(C3099,parametros!$B$2:$B$6,0)),"")="Sim",IFERROR(INDEX(parametros!$H$2:$H$6,MATCH(C3099,parametros!$B$2:$B$6,0)),"")=""),"INICIO_EFEITO ausente: PC "&amp;A3099&amp;" - "&amp;C3099,IF(L3099="","EFEITO_PC nao calculado: PC "&amp;A3099&amp;" - "&amp;C3099,"OK")))))))))</f>
        <v/>
      </c>
      <c r="L3099" s="92" t="str">
        <f>IF(AND(A3099="",B3099="",D3099="",G3099=""),"",IF(OR(B3099="",NOT(ISNUMBER(B3099)),C3099="",C3099="Fora dos ciclos"),"",IF(C3099="C0","Nao",IF(IFERROR(INDEX(parametros!$A$2:$A$6,MATCH(C3099,parametros!$B$2:$B$6,0)),"")&lt;&gt;"Sim","Nao",IF(IFERROR(INDEX(parametros!$H$2:$H$6,MATCH(C3099,parametros!$B$2:$B$6,0)),"")="","",IF(B3099&gt;=IFERROR(INDEX(parametros!$H$2:$H$6,MATCH(C3099,parametros!$B$2:$B$6,0)),""),"Sim","Nao"))))))</f>
        <v/>
      </c>
      <c r="T3099" s="156"/>
      <c r="U3099" s="214" t="str">
        <f t="shared" si="246"/>
        <v/>
      </c>
      <c r="V3099" s="212" t="s">
        <v>50</v>
      </c>
      <c r="W3099" s="100" t="s">
        <v>168</v>
      </c>
      <c r="X3099" s="100" t="s">
        <v>169</v>
      </c>
      <c r="Y3099" s="101" t="s">
        <v>170</v>
      </c>
      <c r="Z3099" s="101" t="s">
        <v>171</v>
      </c>
      <c r="AA3099" s="101" t="s">
        <v>50</v>
      </c>
      <c r="AB3099" s="101" t="s">
        <v>172</v>
      </c>
      <c r="AC3099" s="102" t="s">
        <v>173</v>
      </c>
    </row>
    <row r="3100" spans="1:29" ht="25.5" customHeight="1" x14ac:dyDescent="0.35">
      <c r="A3100" s="392"/>
      <c r="B3100" s="393"/>
      <c r="C3100" s="99" t="str">
        <f>IF(B3100="","",IF(NOT(ISNUMBER(B3100)),"DATA_PC invalida",IF(NOT(ISNUMBER(parametros!$C$2)),"Fora dos ciclos",IF(OR(B3100&lt;parametros!$C$2,(YEAR(B3100)-YEAR(parametros!$C$2))*12+MONTH(B3100)-MONTH(parametros!$C$2)&gt;59),"Fora dos ciclos","C"&amp;INT(((YEAR(B3100)-YEAR(parametros!$C$2))*12+MONTH(B3100)-MONTH(parametros!$C$2))/12)))))</f>
        <v/>
      </c>
      <c r="D3100" s="394"/>
      <c r="E3100" s="78" t="str">
        <f>IF(C3100="","",IFERROR(VLOOKUP(C3100,parametros!$A$11:$E$15,5,0),""))</f>
        <v/>
      </c>
      <c r="F3100" s="79" t="str">
        <f t="shared" si="242"/>
        <v/>
      </c>
      <c r="G3100" s="395"/>
      <c r="H3100" s="91">
        <f t="shared" si="243"/>
        <v>0</v>
      </c>
      <c r="I3100" s="91" t="str">
        <f t="shared" si="244"/>
        <v/>
      </c>
      <c r="J3100" s="91" t="str">
        <f t="shared" si="245"/>
        <v/>
      </c>
      <c r="K3100" s="92" t="str">
        <f>IF(AND(A3100="",B3100="",D3100="",G3100=""),"",IF(AND(A3100&lt;&gt;"",COUNTIF($A$2:$A$5001,A3100)&gt;1),"NUMERO_PC duplicado",IF(B3100="","DATA_PC vazia",IF(NOT(ISNUMBER(B3100)),"DATA_PC invalida",IF(OR(C3100="",C3100="Fora dos ciclos"),"CICLO_PC nao identificado",IF(OR(D3100="",D3100=0),"VALOR_PC vazio ou zero",IF(AND(G3100&lt;&gt;"Sim",G3100&lt;&gt;"Nao",G3100&lt;&gt;""),"PC_PAGO_A_CONTRATADA invalido",IF(AND(C3100&lt;&gt;"C0",IFERROR(INDEX(parametros!$A$2:$A$6,MATCH(C3100,parametros!$B$2:$B$6,0)),"")="Sim",IFERROR(INDEX(parametros!$H$2:$H$6,MATCH(C3100,parametros!$B$2:$B$6,0)),"")=""),"INICIO_EFEITO ausente: PC "&amp;A3100&amp;" - "&amp;C3100,IF(L3100="","EFEITO_PC nao calculado: PC "&amp;A3100&amp;" - "&amp;C3100,"OK")))))))))</f>
        <v/>
      </c>
      <c r="L3100" s="92" t="str">
        <f>IF(AND(A3100="",B3100="",D3100="",G3100=""),"",IF(OR(B3100="",NOT(ISNUMBER(B3100)),C3100="",C3100="Fora dos ciclos"),"",IF(C3100="C0","Nao",IF(IFERROR(INDEX(parametros!$A$2:$A$6,MATCH(C3100,parametros!$B$2:$B$6,0)),"")&lt;&gt;"Sim","Nao",IF(IFERROR(INDEX(parametros!$H$2:$H$6,MATCH(C3100,parametros!$B$2:$B$6,0)),"")="","",IF(B3100&gt;=IFERROR(INDEX(parametros!$H$2:$H$6,MATCH(C3100,parametros!$B$2:$B$6,0)),""),"Sim","Nao"))))))</f>
        <v/>
      </c>
      <c r="T3100" s="156"/>
      <c r="U3100" s="214" t="str">
        <f t="shared" si="246"/>
        <v/>
      </c>
      <c r="V3100" s="212" t="s">
        <v>50</v>
      </c>
      <c r="W3100" s="100" t="s">
        <v>168</v>
      </c>
      <c r="X3100" s="100" t="s">
        <v>169</v>
      </c>
      <c r="Y3100" s="101" t="s">
        <v>170</v>
      </c>
      <c r="Z3100" s="101" t="s">
        <v>171</v>
      </c>
      <c r="AA3100" s="101" t="s">
        <v>50</v>
      </c>
      <c r="AB3100" s="101" t="s">
        <v>172</v>
      </c>
      <c r="AC3100" s="102" t="s">
        <v>173</v>
      </c>
    </row>
    <row r="3101" spans="1:29" ht="25.5" customHeight="1" x14ac:dyDescent="0.35">
      <c r="A3101" s="392"/>
      <c r="B3101" s="393"/>
      <c r="C3101" s="99" t="str">
        <f>IF(B3101="","",IF(NOT(ISNUMBER(B3101)),"DATA_PC invalida",IF(NOT(ISNUMBER(parametros!$C$2)),"Fora dos ciclos",IF(OR(B3101&lt;parametros!$C$2,(YEAR(B3101)-YEAR(parametros!$C$2))*12+MONTH(B3101)-MONTH(parametros!$C$2)&gt;59),"Fora dos ciclos","C"&amp;INT(((YEAR(B3101)-YEAR(parametros!$C$2))*12+MONTH(B3101)-MONTH(parametros!$C$2))/12)))))</f>
        <v/>
      </c>
      <c r="D3101" s="394"/>
      <c r="E3101" s="78" t="str">
        <f>IF(C3101="","",IFERROR(VLOOKUP(C3101,parametros!$A$11:$E$15,5,0),""))</f>
        <v/>
      </c>
      <c r="F3101" s="79" t="str">
        <f t="shared" si="242"/>
        <v/>
      </c>
      <c r="G3101" s="395"/>
      <c r="H3101" s="91">
        <f t="shared" si="243"/>
        <v>0</v>
      </c>
      <c r="I3101" s="91" t="str">
        <f t="shared" si="244"/>
        <v/>
      </c>
      <c r="J3101" s="91" t="str">
        <f t="shared" si="245"/>
        <v/>
      </c>
      <c r="K3101" s="92" t="str">
        <f>IF(AND(A3101="",B3101="",D3101="",G3101=""),"",IF(AND(A3101&lt;&gt;"",COUNTIF($A$2:$A$5001,A3101)&gt;1),"NUMERO_PC duplicado",IF(B3101="","DATA_PC vazia",IF(NOT(ISNUMBER(B3101)),"DATA_PC invalida",IF(OR(C3101="",C3101="Fora dos ciclos"),"CICLO_PC nao identificado",IF(OR(D3101="",D3101=0),"VALOR_PC vazio ou zero",IF(AND(G3101&lt;&gt;"Sim",G3101&lt;&gt;"Nao",G3101&lt;&gt;""),"PC_PAGO_A_CONTRATADA invalido",IF(AND(C3101&lt;&gt;"C0",IFERROR(INDEX(parametros!$A$2:$A$6,MATCH(C3101,parametros!$B$2:$B$6,0)),"")="Sim",IFERROR(INDEX(parametros!$H$2:$H$6,MATCH(C3101,parametros!$B$2:$B$6,0)),"")=""),"INICIO_EFEITO ausente: PC "&amp;A3101&amp;" - "&amp;C3101,IF(L3101="","EFEITO_PC nao calculado: PC "&amp;A3101&amp;" - "&amp;C3101,"OK")))))))))</f>
        <v/>
      </c>
      <c r="L3101" s="92" t="str">
        <f>IF(AND(A3101="",B3101="",D3101="",G3101=""),"",IF(OR(B3101="",NOT(ISNUMBER(B3101)),C3101="",C3101="Fora dos ciclos"),"",IF(C3101="C0","Nao",IF(IFERROR(INDEX(parametros!$A$2:$A$6,MATCH(C3101,parametros!$B$2:$B$6,0)),"")&lt;&gt;"Sim","Nao",IF(IFERROR(INDEX(parametros!$H$2:$H$6,MATCH(C3101,parametros!$B$2:$B$6,0)),"")="","",IF(B3101&gt;=IFERROR(INDEX(parametros!$H$2:$H$6,MATCH(C3101,parametros!$B$2:$B$6,0)),""),"Sim","Nao"))))))</f>
        <v/>
      </c>
      <c r="T3101" s="156"/>
      <c r="U3101" s="214" t="str">
        <f t="shared" si="246"/>
        <v/>
      </c>
      <c r="V3101" s="212" t="s">
        <v>50</v>
      </c>
      <c r="W3101" s="100" t="s">
        <v>168</v>
      </c>
      <c r="X3101" s="100" t="s">
        <v>169</v>
      </c>
      <c r="Y3101" s="101" t="s">
        <v>170</v>
      </c>
      <c r="Z3101" s="101" t="s">
        <v>171</v>
      </c>
      <c r="AA3101" s="101" t="s">
        <v>50</v>
      </c>
      <c r="AB3101" s="101" t="s">
        <v>172</v>
      </c>
      <c r="AC3101" s="102" t="s">
        <v>173</v>
      </c>
    </row>
    <row r="3102" spans="1:29" ht="25.5" customHeight="1" x14ac:dyDescent="0.35">
      <c r="A3102" s="392"/>
      <c r="B3102" s="393"/>
      <c r="C3102" s="99" t="str">
        <f>IF(B3102="","",IF(NOT(ISNUMBER(B3102)),"DATA_PC invalida",IF(NOT(ISNUMBER(parametros!$C$2)),"Fora dos ciclos",IF(OR(B3102&lt;parametros!$C$2,(YEAR(B3102)-YEAR(parametros!$C$2))*12+MONTH(B3102)-MONTH(parametros!$C$2)&gt;59),"Fora dos ciclos","C"&amp;INT(((YEAR(B3102)-YEAR(parametros!$C$2))*12+MONTH(B3102)-MONTH(parametros!$C$2))/12)))))</f>
        <v/>
      </c>
      <c r="D3102" s="394"/>
      <c r="E3102" s="78" t="str">
        <f>IF(C3102="","",IFERROR(VLOOKUP(C3102,parametros!$A$11:$E$15,5,0),""))</f>
        <v/>
      </c>
      <c r="F3102" s="79" t="str">
        <f t="shared" si="242"/>
        <v/>
      </c>
      <c r="G3102" s="395"/>
      <c r="H3102" s="91">
        <f t="shared" si="243"/>
        <v>0</v>
      </c>
      <c r="I3102" s="91" t="str">
        <f t="shared" si="244"/>
        <v/>
      </c>
      <c r="J3102" s="91" t="str">
        <f t="shared" si="245"/>
        <v/>
      </c>
      <c r="K3102" s="92" t="str">
        <f>IF(AND(A3102="",B3102="",D3102="",G3102=""),"",IF(AND(A3102&lt;&gt;"",COUNTIF($A$2:$A$5001,A3102)&gt;1),"NUMERO_PC duplicado",IF(B3102="","DATA_PC vazia",IF(NOT(ISNUMBER(B3102)),"DATA_PC invalida",IF(OR(C3102="",C3102="Fora dos ciclos"),"CICLO_PC nao identificado",IF(OR(D3102="",D3102=0),"VALOR_PC vazio ou zero",IF(AND(G3102&lt;&gt;"Sim",G3102&lt;&gt;"Nao",G3102&lt;&gt;""),"PC_PAGO_A_CONTRATADA invalido",IF(AND(C3102&lt;&gt;"C0",IFERROR(INDEX(parametros!$A$2:$A$6,MATCH(C3102,parametros!$B$2:$B$6,0)),"")="Sim",IFERROR(INDEX(parametros!$H$2:$H$6,MATCH(C3102,parametros!$B$2:$B$6,0)),"")=""),"INICIO_EFEITO ausente: PC "&amp;A3102&amp;" - "&amp;C3102,IF(L3102="","EFEITO_PC nao calculado: PC "&amp;A3102&amp;" - "&amp;C3102,"OK")))))))))</f>
        <v/>
      </c>
      <c r="L3102" s="92" t="str">
        <f>IF(AND(A3102="",B3102="",D3102="",G3102=""),"",IF(OR(B3102="",NOT(ISNUMBER(B3102)),C3102="",C3102="Fora dos ciclos"),"",IF(C3102="C0","Nao",IF(IFERROR(INDEX(parametros!$A$2:$A$6,MATCH(C3102,parametros!$B$2:$B$6,0)),"")&lt;&gt;"Sim","Nao",IF(IFERROR(INDEX(parametros!$H$2:$H$6,MATCH(C3102,parametros!$B$2:$B$6,0)),"")="","",IF(B3102&gt;=IFERROR(INDEX(parametros!$H$2:$H$6,MATCH(C3102,parametros!$B$2:$B$6,0)),""),"Sim","Nao"))))))</f>
        <v/>
      </c>
      <c r="T3102" s="156"/>
      <c r="U3102" s="214" t="str">
        <f t="shared" si="246"/>
        <v/>
      </c>
      <c r="V3102" s="212" t="s">
        <v>50</v>
      </c>
      <c r="W3102" s="100" t="s">
        <v>168</v>
      </c>
      <c r="X3102" s="100" t="s">
        <v>169</v>
      </c>
      <c r="Y3102" s="101" t="s">
        <v>170</v>
      </c>
      <c r="Z3102" s="101" t="s">
        <v>171</v>
      </c>
      <c r="AA3102" s="101" t="s">
        <v>50</v>
      </c>
      <c r="AB3102" s="101" t="s">
        <v>172</v>
      </c>
      <c r="AC3102" s="102" t="s">
        <v>173</v>
      </c>
    </row>
    <row r="3103" spans="1:29" ht="25.5" customHeight="1" x14ac:dyDescent="0.35">
      <c r="A3103" s="392"/>
      <c r="B3103" s="393"/>
      <c r="C3103" s="99" t="str">
        <f>IF(B3103="","",IF(NOT(ISNUMBER(B3103)),"DATA_PC invalida",IF(NOT(ISNUMBER(parametros!$C$2)),"Fora dos ciclos",IF(OR(B3103&lt;parametros!$C$2,(YEAR(B3103)-YEAR(parametros!$C$2))*12+MONTH(B3103)-MONTH(parametros!$C$2)&gt;59),"Fora dos ciclos","C"&amp;INT(((YEAR(B3103)-YEAR(parametros!$C$2))*12+MONTH(B3103)-MONTH(parametros!$C$2))/12)))))</f>
        <v/>
      </c>
      <c r="D3103" s="394"/>
      <c r="E3103" s="78" t="str">
        <f>IF(C3103="","",IFERROR(VLOOKUP(C3103,parametros!$A$11:$E$15,5,0),""))</f>
        <v/>
      </c>
      <c r="F3103" s="79" t="str">
        <f t="shared" si="242"/>
        <v/>
      </c>
      <c r="G3103" s="395"/>
      <c r="H3103" s="91">
        <f t="shared" si="243"/>
        <v>0</v>
      </c>
      <c r="I3103" s="91" t="str">
        <f t="shared" si="244"/>
        <v/>
      </c>
      <c r="J3103" s="91" t="str">
        <f t="shared" si="245"/>
        <v/>
      </c>
      <c r="K3103" s="92" t="str">
        <f>IF(AND(A3103="",B3103="",D3103="",G3103=""),"",IF(AND(A3103&lt;&gt;"",COUNTIF($A$2:$A$5001,A3103)&gt;1),"NUMERO_PC duplicado",IF(B3103="","DATA_PC vazia",IF(NOT(ISNUMBER(B3103)),"DATA_PC invalida",IF(OR(C3103="",C3103="Fora dos ciclos"),"CICLO_PC nao identificado",IF(OR(D3103="",D3103=0),"VALOR_PC vazio ou zero",IF(AND(G3103&lt;&gt;"Sim",G3103&lt;&gt;"Nao",G3103&lt;&gt;""),"PC_PAGO_A_CONTRATADA invalido",IF(AND(C3103&lt;&gt;"C0",IFERROR(INDEX(parametros!$A$2:$A$6,MATCH(C3103,parametros!$B$2:$B$6,0)),"")="Sim",IFERROR(INDEX(parametros!$H$2:$H$6,MATCH(C3103,parametros!$B$2:$B$6,0)),"")=""),"INICIO_EFEITO ausente: PC "&amp;A3103&amp;" - "&amp;C3103,IF(L3103="","EFEITO_PC nao calculado: PC "&amp;A3103&amp;" - "&amp;C3103,"OK")))))))))</f>
        <v/>
      </c>
      <c r="L3103" s="92" t="str">
        <f>IF(AND(A3103="",B3103="",D3103="",G3103=""),"",IF(OR(B3103="",NOT(ISNUMBER(B3103)),C3103="",C3103="Fora dos ciclos"),"",IF(C3103="C0","Nao",IF(IFERROR(INDEX(parametros!$A$2:$A$6,MATCH(C3103,parametros!$B$2:$B$6,0)),"")&lt;&gt;"Sim","Nao",IF(IFERROR(INDEX(parametros!$H$2:$H$6,MATCH(C3103,parametros!$B$2:$B$6,0)),"")="","",IF(B3103&gt;=IFERROR(INDEX(parametros!$H$2:$H$6,MATCH(C3103,parametros!$B$2:$B$6,0)),""),"Sim","Nao"))))))</f>
        <v/>
      </c>
      <c r="T3103" s="156"/>
      <c r="U3103" s="214" t="str">
        <f t="shared" si="246"/>
        <v/>
      </c>
      <c r="V3103" s="212" t="s">
        <v>50</v>
      </c>
      <c r="W3103" s="100" t="s">
        <v>168</v>
      </c>
      <c r="X3103" s="100" t="s">
        <v>169</v>
      </c>
      <c r="Y3103" s="101" t="s">
        <v>170</v>
      </c>
      <c r="Z3103" s="101" t="s">
        <v>171</v>
      </c>
      <c r="AA3103" s="101" t="s">
        <v>50</v>
      </c>
      <c r="AB3103" s="101" t="s">
        <v>172</v>
      </c>
      <c r="AC3103" s="102" t="s">
        <v>173</v>
      </c>
    </row>
    <row r="3104" spans="1:29" ht="25.5" customHeight="1" x14ac:dyDescent="0.35">
      <c r="A3104" s="392"/>
      <c r="B3104" s="393"/>
      <c r="C3104" s="99" t="str">
        <f>IF(B3104="","",IF(NOT(ISNUMBER(B3104)),"DATA_PC invalida",IF(NOT(ISNUMBER(parametros!$C$2)),"Fora dos ciclos",IF(OR(B3104&lt;parametros!$C$2,(YEAR(B3104)-YEAR(parametros!$C$2))*12+MONTH(B3104)-MONTH(parametros!$C$2)&gt;59),"Fora dos ciclos","C"&amp;INT(((YEAR(B3104)-YEAR(parametros!$C$2))*12+MONTH(B3104)-MONTH(parametros!$C$2))/12)))))</f>
        <v/>
      </c>
      <c r="D3104" s="394"/>
      <c r="E3104" s="78" t="str">
        <f>IF(C3104="","",IFERROR(VLOOKUP(C3104,parametros!$A$11:$E$15,5,0),""))</f>
        <v/>
      </c>
      <c r="F3104" s="79" t="str">
        <f t="shared" si="242"/>
        <v/>
      </c>
      <c r="G3104" s="395"/>
      <c r="H3104" s="91">
        <f t="shared" si="243"/>
        <v>0</v>
      </c>
      <c r="I3104" s="91" t="str">
        <f t="shared" si="244"/>
        <v/>
      </c>
      <c r="J3104" s="91" t="str">
        <f t="shared" si="245"/>
        <v/>
      </c>
      <c r="K3104" s="92" t="str">
        <f>IF(AND(A3104="",B3104="",D3104="",G3104=""),"",IF(AND(A3104&lt;&gt;"",COUNTIF($A$2:$A$5001,A3104)&gt;1),"NUMERO_PC duplicado",IF(B3104="","DATA_PC vazia",IF(NOT(ISNUMBER(B3104)),"DATA_PC invalida",IF(OR(C3104="",C3104="Fora dos ciclos"),"CICLO_PC nao identificado",IF(OR(D3104="",D3104=0),"VALOR_PC vazio ou zero",IF(AND(G3104&lt;&gt;"Sim",G3104&lt;&gt;"Nao",G3104&lt;&gt;""),"PC_PAGO_A_CONTRATADA invalido",IF(AND(C3104&lt;&gt;"C0",IFERROR(INDEX(parametros!$A$2:$A$6,MATCH(C3104,parametros!$B$2:$B$6,0)),"")="Sim",IFERROR(INDEX(parametros!$H$2:$H$6,MATCH(C3104,parametros!$B$2:$B$6,0)),"")=""),"INICIO_EFEITO ausente: PC "&amp;A3104&amp;" - "&amp;C3104,IF(L3104="","EFEITO_PC nao calculado: PC "&amp;A3104&amp;" - "&amp;C3104,"OK")))))))))</f>
        <v/>
      </c>
      <c r="L3104" s="92" t="str">
        <f>IF(AND(A3104="",B3104="",D3104="",G3104=""),"",IF(OR(B3104="",NOT(ISNUMBER(B3104)),C3104="",C3104="Fora dos ciclos"),"",IF(C3104="C0","Nao",IF(IFERROR(INDEX(parametros!$A$2:$A$6,MATCH(C3104,parametros!$B$2:$B$6,0)),"")&lt;&gt;"Sim","Nao",IF(IFERROR(INDEX(parametros!$H$2:$H$6,MATCH(C3104,parametros!$B$2:$B$6,0)),"")="","",IF(B3104&gt;=IFERROR(INDEX(parametros!$H$2:$H$6,MATCH(C3104,parametros!$B$2:$B$6,0)),""),"Sim","Nao"))))))</f>
        <v/>
      </c>
      <c r="T3104" s="156"/>
      <c r="U3104" s="214" t="str">
        <f t="shared" si="246"/>
        <v/>
      </c>
      <c r="V3104" s="212" t="s">
        <v>50</v>
      </c>
      <c r="W3104" s="100" t="s">
        <v>168</v>
      </c>
      <c r="X3104" s="100" t="s">
        <v>169</v>
      </c>
      <c r="Y3104" s="101" t="s">
        <v>170</v>
      </c>
      <c r="Z3104" s="101" t="s">
        <v>171</v>
      </c>
      <c r="AA3104" s="101" t="s">
        <v>50</v>
      </c>
      <c r="AB3104" s="101" t="s">
        <v>172</v>
      </c>
      <c r="AC3104" s="102" t="s">
        <v>173</v>
      </c>
    </row>
    <row r="3105" spans="1:29" ht="25.5" customHeight="1" x14ac:dyDescent="0.35">
      <c r="A3105" s="392"/>
      <c r="B3105" s="393"/>
      <c r="C3105" s="99" t="str">
        <f>IF(B3105="","",IF(NOT(ISNUMBER(B3105)),"DATA_PC invalida",IF(NOT(ISNUMBER(parametros!$C$2)),"Fora dos ciclos",IF(OR(B3105&lt;parametros!$C$2,(YEAR(B3105)-YEAR(parametros!$C$2))*12+MONTH(B3105)-MONTH(parametros!$C$2)&gt;59),"Fora dos ciclos","C"&amp;INT(((YEAR(B3105)-YEAR(parametros!$C$2))*12+MONTH(B3105)-MONTH(parametros!$C$2))/12)))))</f>
        <v/>
      </c>
      <c r="D3105" s="394"/>
      <c r="E3105" s="78" t="str">
        <f>IF(C3105="","",IFERROR(VLOOKUP(C3105,parametros!$A$11:$E$15,5,0),""))</f>
        <v/>
      </c>
      <c r="F3105" s="79" t="str">
        <f t="shared" si="242"/>
        <v/>
      </c>
      <c r="G3105" s="395"/>
      <c r="H3105" s="91">
        <f t="shared" si="243"/>
        <v>0</v>
      </c>
      <c r="I3105" s="91" t="str">
        <f t="shared" si="244"/>
        <v/>
      </c>
      <c r="J3105" s="91" t="str">
        <f t="shared" si="245"/>
        <v/>
      </c>
      <c r="K3105" s="92" t="str">
        <f>IF(AND(A3105="",B3105="",D3105="",G3105=""),"",IF(AND(A3105&lt;&gt;"",COUNTIF($A$2:$A$5001,A3105)&gt;1),"NUMERO_PC duplicado",IF(B3105="","DATA_PC vazia",IF(NOT(ISNUMBER(B3105)),"DATA_PC invalida",IF(OR(C3105="",C3105="Fora dos ciclos"),"CICLO_PC nao identificado",IF(OR(D3105="",D3105=0),"VALOR_PC vazio ou zero",IF(AND(G3105&lt;&gt;"Sim",G3105&lt;&gt;"Nao",G3105&lt;&gt;""),"PC_PAGO_A_CONTRATADA invalido",IF(AND(C3105&lt;&gt;"C0",IFERROR(INDEX(parametros!$A$2:$A$6,MATCH(C3105,parametros!$B$2:$B$6,0)),"")="Sim",IFERROR(INDEX(parametros!$H$2:$H$6,MATCH(C3105,parametros!$B$2:$B$6,0)),"")=""),"INICIO_EFEITO ausente: PC "&amp;A3105&amp;" - "&amp;C3105,IF(L3105="","EFEITO_PC nao calculado: PC "&amp;A3105&amp;" - "&amp;C3105,"OK")))))))))</f>
        <v/>
      </c>
      <c r="L3105" s="92" t="str">
        <f>IF(AND(A3105="",B3105="",D3105="",G3105=""),"",IF(OR(B3105="",NOT(ISNUMBER(B3105)),C3105="",C3105="Fora dos ciclos"),"",IF(C3105="C0","Nao",IF(IFERROR(INDEX(parametros!$A$2:$A$6,MATCH(C3105,parametros!$B$2:$B$6,0)),"")&lt;&gt;"Sim","Nao",IF(IFERROR(INDEX(parametros!$H$2:$H$6,MATCH(C3105,parametros!$B$2:$B$6,0)),"")="","",IF(B3105&gt;=IFERROR(INDEX(parametros!$H$2:$H$6,MATCH(C3105,parametros!$B$2:$B$6,0)),""),"Sim","Nao"))))))</f>
        <v/>
      </c>
      <c r="T3105" s="156"/>
      <c r="U3105" s="214" t="str">
        <f t="shared" si="246"/>
        <v/>
      </c>
      <c r="V3105" s="212" t="s">
        <v>50</v>
      </c>
      <c r="W3105" s="100" t="s">
        <v>168</v>
      </c>
      <c r="X3105" s="100" t="s">
        <v>169</v>
      </c>
      <c r="Y3105" s="101" t="s">
        <v>170</v>
      </c>
      <c r="Z3105" s="101" t="s">
        <v>171</v>
      </c>
      <c r="AA3105" s="101" t="s">
        <v>50</v>
      </c>
      <c r="AB3105" s="101" t="s">
        <v>172</v>
      </c>
      <c r="AC3105" s="102" t="s">
        <v>173</v>
      </c>
    </row>
    <row r="3106" spans="1:29" ht="25.5" customHeight="1" x14ac:dyDescent="0.35">
      <c r="A3106" s="392"/>
      <c r="B3106" s="393"/>
      <c r="C3106" s="99" t="str">
        <f>IF(B3106="","",IF(NOT(ISNUMBER(B3106)),"DATA_PC invalida",IF(NOT(ISNUMBER(parametros!$C$2)),"Fora dos ciclos",IF(OR(B3106&lt;parametros!$C$2,(YEAR(B3106)-YEAR(parametros!$C$2))*12+MONTH(B3106)-MONTH(parametros!$C$2)&gt;59),"Fora dos ciclos","C"&amp;INT(((YEAR(B3106)-YEAR(parametros!$C$2))*12+MONTH(B3106)-MONTH(parametros!$C$2))/12)))))</f>
        <v/>
      </c>
      <c r="D3106" s="394"/>
      <c r="E3106" s="78" t="str">
        <f>IF(C3106="","",IFERROR(VLOOKUP(C3106,parametros!$A$11:$E$15,5,0),""))</f>
        <v/>
      </c>
      <c r="F3106" s="79" t="str">
        <f t="shared" si="242"/>
        <v/>
      </c>
      <c r="G3106" s="395"/>
      <c r="H3106" s="91">
        <f t="shared" si="243"/>
        <v>0</v>
      </c>
      <c r="I3106" s="91" t="str">
        <f t="shared" si="244"/>
        <v/>
      </c>
      <c r="J3106" s="91" t="str">
        <f t="shared" si="245"/>
        <v/>
      </c>
      <c r="K3106" s="92" t="str">
        <f>IF(AND(A3106="",B3106="",D3106="",G3106=""),"",IF(AND(A3106&lt;&gt;"",COUNTIF($A$2:$A$5001,A3106)&gt;1),"NUMERO_PC duplicado",IF(B3106="","DATA_PC vazia",IF(NOT(ISNUMBER(B3106)),"DATA_PC invalida",IF(OR(C3106="",C3106="Fora dos ciclos"),"CICLO_PC nao identificado",IF(OR(D3106="",D3106=0),"VALOR_PC vazio ou zero",IF(AND(G3106&lt;&gt;"Sim",G3106&lt;&gt;"Nao",G3106&lt;&gt;""),"PC_PAGO_A_CONTRATADA invalido",IF(AND(C3106&lt;&gt;"C0",IFERROR(INDEX(parametros!$A$2:$A$6,MATCH(C3106,parametros!$B$2:$B$6,0)),"")="Sim",IFERROR(INDEX(parametros!$H$2:$H$6,MATCH(C3106,parametros!$B$2:$B$6,0)),"")=""),"INICIO_EFEITO ausente: PC "&amp;A3106&amp;" - "&amp;C3106,IF(L3106="","EFEITO_PC nao calculado: PC "&amp;A3106&amp;" - "&amp;C3106,"OK")))))))))</f>
        <v/>
      </c>
      <c r="L3106" s="92" t="str">
        <f>IF(AND(A3106="",B3106="",D3106="",G3106=""),"",IF(OR(B3106="",NOT(ISNUMBER(B3106)),C3106="",C3106="Fora dos ciclos"),"",IF(C3106="C0","Nao",IF(IFERROR(INDEX(parametros!$A$2:$A$6,MATCH(C3106,parametros!$B$2:$B$6,0)),"")&lt;&gt;"Sim","Nao",IF(IFERROR(INDEX(parametros!$H$2:$H$6,MATCH(C3106,parametros!$B$2:$B$6,0)),"")="","",IF(B3106&gt;=IFERROR(INDEX(parametros!$H$2:$H$6,MATCH(C3106,parametros!$B$2:$B$6,0)),""),"Sim","Nao"))))))</f>
        <v/>
      </c>
      <c r="T3106" s="156"/>
      <c r="U3106" s="214" t="str">
        <f t="shared" si="246"/>
        <v/>
      </c>
      <c r="V3106" s="212" t="s">
        <v>50</v>
      </c>
      <c r="W3106" s="100" t="s">
        <v>168</v>
      </c>
      <c r="X3106" s="100" t="s">
        <v>169</v>
      </c>
      <c r="Y3106" s="101" t="s">
        <v>170</v>
      </c>
      <c r="Z3106" s="101" t="s">
        <v>171</v>
      </c>
      <c r="AA3106" s="101" t="s">
        <v>50</v>
      </c>
      <c r="AB3106" s="101" t="s">
        <v>172</v>
      </c>
      <c r="AC3106" s="102" t="s">
        <v>173</v>
      </c>
    </row>
    <row r="3107" spans="1:29" ht="25.5" customHeight="1" x14ac:dyDescent="0.35">
      <c r="A3107" s="392"/>
      <c r="B3107" s="393"/>
      <c r="C3107" s="99" t="str">
        <f>IF(B3107="","",IF(NOT(ISNUMBER(B3107)),"DATA_PC invalida",IF(NOT(ISNUMBER(parametros!$C$2)),"Fora dos ciclos",IF(OR(B3107&lt;parametros!$C$2,(YEAR(B3107)-YEAR(parametros!$C$2))*12+MONTH(B3107)-MONTH(parametros!$C$2)&gt;59),"Fora dos ciclos","C"&amp;INT(((YEAR(B3107)-YEAR(parametros!$C$2))*12+MONTH(B3107)-MONTH(parametros!$C$2))/12)))))</f>
        <v/>
      </c>
      <c r="D3107" s="394"/>
      <c r="E3107" s="78" t="str">
        <f>IF(C3107="","",IFERROR(VLOOKUP(C3107,parametros!$A$11:$E$15,5,0),""))</f>
        <v/>
      </c>
      <c r="F3107" s="79" t="str">
        <f t="shared" si="242"/>
        <v/>
      </c>
      <c r="G3107" s="395"/>
      <c r="H3107" s="91">
        <f t="shared" si="243"/>
        <v>0</v>
      </c>
      <c r="I3107" s="91" t="str">
        <f t="shared" si="244"/>
        <v/>
      </c>
      <c r="J3107" s="91" t="str">
        <f t="shared" si="245"/>
        <v/>
      </c>
      <c r="K3107" s="92" t="str">
        <f>IF(AND(A3107="",B3107="",D3107="",G3107=""),"",IF(AND(A3107&lt;&gt;"",COUNTIF($A$2:$A$5001,A3107)&gt;1),"NUMERO_PC duplicado",IF(B3107="","DATA_PC vazia",IF(NOT(ISNUMBER(B3107)),"DATA_PC invalida",IF(OR(C3107="",C3107="Fora dos ciclos"),"CICLO_PC nao identificado",IF(OR(D3107="",D3107=0),"VALOR_PC vazio ou zero",IF(AND(G3107&lt;&gt;"Sim",G3107&lt;&gt;"Nao",G3107&lt;&gt;""),"PC_PAGO_A_CONTRATADA invalido",IF(AND(C3107&lt;&gt;"C0",IFERROR(INDEX(parametros!$A$2:$A$6,MATCH(C3107,parametros!$B$2:$B$6,0)),"")="Sim",IFERROR(INDEX(parametros!$H$2:$H$6,MATCH(C3107,parametros!$B$2:$B$6,0)),"")=""),"INICIO_EFEITO ausente: PC "&amp;A3107&amp;" - "&amp;C3107,IF(L3107="","EFEITO_PC nao calculado: PC "&amp;A3107&amp;" - "&amp;C3107,"OK")))))))))</f>
        <v/>
      </c>
      <c r="L3107" s="92" t="str">
        <f>IF(AND(A3107="",B3107="",D3107="",G3107=""),"",IF(OR(B3107="",NOT(ISNUMBER(B3107)),C3107="",C3107="Fora dos ciclos"),"",IF(C3107="C0","Nao",IF(IFERROR(INDEX(parametros!$A$2:$A$6,MATCH(C3107,parametros!$B$2:$B$6,0)),"")&lt;&gt;"Sim","Nao",IF(IFERROR(INDEX(parametros!$H$2:$H$6,MATCH(C3107,parametros!$B$2:$B$6,0)),"")="","",IF(B3107&gt;=IFERROR(INDEX(parametros!$H$2:$H$6,MATCH(C3107,parametros!$B$2:$B$6,0)),""),"Sim","Nao"))))))</f>
        <v/>
      </c>
      <c r="T3107" s="156"/>
      <c r="U3107" s="214" t="str">
        <f t="shared" si="246"/>
        <v/>
      </c>
      <c r="V3107" s="212" t="s">
        <v>50</v>
      </c>
      <c r="W3107" s="100" t="s">
        <v>168</v>
      </c>
      <c r="X3107" s="100" t="s">
        <v>169</v>
      </c>
      <c r="Y3107" s="101" t="s">
        <v>170</v>
      </c>
      <c r="Z3107" s="101" t="s">
        <v>171</v>
      </c>
      <c r="AA3107" s="101" t="s">
        <v>50</v>
      </c>
      <c r="AB3107" s="101" t="s">
        <v>172</v>
      </c>
      <c r="AC3107" s="102" t="s">
        <v>173</v>
      </c>
    </row>
    <row r="3108" spans="1:29" ht="25.5" customHeight="1" x14ac:dyDescent="0.35">
      <c r="A3108" s="392"/>
      <c r="B3108" s="393"/>
      <c r="C3108" s="99" t="str">
        <f>IF(B3108="","",IF(NOT(ISNUMBER(B3108)),"DATA_PC invalida",IF(NOT(ISNUMBER(parametros!$C$2)),"Fora dos ciclos",IF(OR(B3108&lt;parametros!$C$2,(YEAR(B3108)-YEAR(parametros!$C$2))*12+MONTH(B3108)-MONTH(parametros!$C$2)&gt;59),"Fora dos ciclos","C"&amp;INT(((YEAR(B3108)-YEAR(parametros!$C$2))*12+MONTH(B3108)-MONTH(parametros!$C$2))/12)))))</f>
        <v/>
      </c>
      <c r="D3108" s="394"/>
      <c r="E3108" s="78" t="str">
        <f>IF(C3108="","",IFERROR(VLOOKUP(C3108,parametros!$A$11:$E$15,5,0),""))</f>
        <v/>
      </c>
      <c r="F3108" s="79" t="str">
        <f t="shared" si="242"/>
        <v/>
      </c>
      <c r="G3108" s="395"/>
      <c r="H3108" s="91">
        <f t="shared" si="243"/>
        <v>0</v>
      </c>
      <c r="I3108" s="91" t="str">
        <f t="shared" si="244"/>
        <v/>
      </c>
      <c r="J3108" s="91" t="str">
        <f t="shared" si="245"/>
        <v/>
      </c>
      <c r="K3108" s="92" t="str">
        <f>IF(AND(A3108="",B3108="",D3108="",G3108=""),"",IF(AND(A3108&lt;&gt;"",COUNTIF($A$2:$A$5001,A3108)&gt;1),"NUMERO_PC duplicado",IF(B3108="","DATA_PC vazia",IF(NOT(ISNUMBER(B3108)),"DATA_PC invalida",IF(OR(C3108="",C3108="Fora dos ciclos"),"CICLO_PC nao identificado",IF(OR(D3108="",D3108=0),"VALOR_PC vazio ou zero",IF(AND(G3108&lt;&gt;"Sim",G3108&lt;&gt;"Nao",G3108&lt;&gt;""),"PC_PAGO_A_CONTRATADA invalido",IF(AND(C3108&lt;&gt;"C0",IFERROR(INDEX(parametros!$A$2:$A$6,MATCH(C3108,parametros!$B$2:$B$6,0)),"")="Sim",IFERROR(INDEX(parametros!$H$2:$H$6,MATCH(C3108,parametros!$B$2:$B$6,0)),"")=""),"INICIO_EFEITO ausente: PC "&amp;A3108&amp;" - "&amp;C3108,IF(L3108="","EFEITO_PC nao calculado: PC "&amp;A3108&amp;" - "&amp;C3108,"OK")))))))))</f>
        <v/>
      </c>
      <c r="L3108" s="92" t="str">
        <f>IF(AND(A3108="",B3108="",D3108="",G3108=""),"",IF(OR(B3108="",NOT(ISNUMBER(B3108)),C3108="",C3108="Fora dos ciclos"),"",IF(C3108="C0","Nao",IF(IFERROR(INDEX(parametros!$A$2:$A$6,MATCH(C3108,parametros!$B$2:$B$6,0)),"")&lt;&gt;"Sim","Nao",IF(IFERROR(INDEX(parametros!$H$2:$H$6,MATCH(C3108,parametros!$B$2:$B$6,0)),"")="","",IF(B3108&gt;=IFERROR(INDEX(parametros!$H$2:$H$6,MATCH(C3108,parametros!$B$2:$B$6,0)),""),"Sim","Nao"))))))</f>
        <v/>
      </c>
      <c r="T3108" s="156"/>
      <c r="U3108" s="214" t="str">
        <f t="shared" si="246"/>
        <v/>
      </c>
      <c r="V3108" s="212" t="s">
        <v>50</v>
      </c>
      <c r="W3108" s="100" t="s">
        <v>168</v>
      </c>
      <c r="X3108" s="100" t="s">
        <v>169</v>
      </c>
      <c r="Y3108" s="101" t="s">
        <v>170</v>
      </c>
      <c r="Z3108" s="101" t="s">
        <v>171</v>
      </c>
      <c r="AA3108" s="101" t="s">
        <v>50</v>
      </c>
      <c r="AB3108" s="101" t="s">
        <v>172</v>
      </c>
      <c r="AC3108" s="102" t="s">
        <v>173</v>
      </c>
    </row>
    <row r="3109" spans="1:29" ht="25.5" customHeight="1" x14ac:dyDescent="0.35">
      <c r="A3109" s="392"/>
      <c r="B3109" s="393"/>
      <c r="C3109" s="99" t="str">
        <f>IF(B3109="","",IF(NOT(ISNUMBER(B3109)),"DATA_PC invalida",IF(NOT(ISNUMBER(parametros!$C$2)),"Fora dos ciclos",IF(OR(B3109&lt;parametros!$C$2,(YEAR(B3109)-YEAR(parametros!$C$2))*12+MONTH(B3109)-MONTH(parametros!$C$2)&gt;59),"Fora dos ciclos","C"&amp;INT(((YEAR(B3109)-YEAR(parametros!$C$2))*12+MONTH(B3109)-MONTH(parametros!$C$2))/12)))))</f>
        <v/>
      </c>
      <c r="D3109" s="394"/>
      <c r="E3109" s="78" t="str">
        <f>IF(C3109="","",IFERROR(VLOOKUP(C3109,parametros!$A$11:$E$15,5,0),""))</f>
        <v/>
      </c>
      <c r="F3109" s="79" t="str">
        <f t="shared" si="242"/>
        <v/>
      </c>
      <c r="G3109" s="395"/>
      <c r="H3109" s="91">
        <f t="shared" si="243"/>
        <v>0</v>
      </c>
      <c r="I3109" s="91" t="str">
        <f t="shared" si="244"/>
        <v/>
      </c>
      <c r="J3109" s="91" t="str">
        <f t="shared" si="245"/>
        <v/>
      </c>
      <c r="K3109" s="92" t="str">
        <f>IF(AND(A3109="",B3109="",D3109="",G3109=""),"",IF(AND(A3109&lt;&gt;"",COUNTIF($A$2:$A$5001,A3109)&gt;1),"NUMERO_PC duplicado",IF(B3109="","DATA_PC vazia",IF(NOT(ISNUMBER(B3109)),"DATA_PC invalida",IF(OR(C3109="",C3109="Fora dos ciclos"),"CICLO_PC nao identificado",IF(OR(D3109="",D3109=0),"VALOR_PC vazio ou zero",IF(AND(G3109&lt;&gt;"Sim",G3109&lt;&gt;"Nao",G3109&lt;&gt;""),"PC_PAGO_A_CONTRATADA invalido",IF(AND(C3109&lt;&gt;"C0",IFERROR(INDEX(parametros!$A$2:$A$6,MATCH(C3109,parametros!$B$2:$B$6,0)),"")="Sim",IFERROR(INDEX(parametros!$H$2:$H$6,MATCH(C3109,parametros!$B$2:$B$6,0)),"")=""),"INICIO_EFEITO ausente: PC "&amp;A3109&amp;" - "&amp;C3109,IF(L3109="","EFEITO_PC nao calculado: PC "&amp;A3109&amp;" - "&amp;C3109,"OK")))))))))</f>
        <v/>
      </c>
      <c r="L3109" s="92" t="str">
        <f>IF(AND(A3109="",B3109="",D3109="",G3109=""),"",IF(OR(B3109="",NOT(ISNUMBER(B3109)),C3109="",C3109="Fora dos ciclos"),"",IF(C3109="C0","Nao",IF(IFERROR(INDEX(parametros!$A$2:$A$6,MATCH(C3109,parametros!$B$2:$B$6,0)),"")&lt;&gt;"Sim","Nao",IF(IFERROR(INDEX(parametros!$H$2:$H$6,MATCH(C3109,parametros!$B$2:$B$6,0)),"")="","",IF(B3109&gt;=IFERROR(INDEX(parametros!$H$2:$H$6,MATCH(C3109,parametros!$B$2:$B$6,0)),""),"Sim","Nao"))))))</f>
        <v/>
      </c>
      <c r="T3109" s="156"/>
      <c r="U3109" s="214" t="str">
        <f t="shared" si="246"/>
        <v/>
      </c>
      <c r="V3109" s="212" t="s">
        <v>50</v>
      </c>
      <c r="W3109" s="100" t="s">
        <v>168</v>
      </c>
      <c r="X3109" s="100" t="s">
        <v>169</v>
      </c>
      <c r="Y3109" s="101" t="s">
        <v>170</v>
      </c>
      <c r="Z3109" s="101" t="s">
        <v>171</v>
      </c>
      <c r="AA3109" s="101" t="s">
        <v>50</v>
      </c>
      <c r="AB3109" s="101" t="s">
        <v>172</v>
      </c>
      <c r="AC3109" s="102" t="s">
        <v>173</v>
      </c>
    </row>
    <row r="3110" spans="1:29" ht="25.5" customHeight="1" x14ac:dyDescent="0.35">
      <c r="A3110" s="392"/>
      <c r="B3110" s="393"/>
      <c r="C3110" s="99" t="str">
        <f>IF(B3110="","",IF(NOT(ISNUMBER(B3110)),"DATA_PC invalida",IF(NOT(ISNUMBER(parametros!$C$2)),"Fora dos ciclos",IF(OR(B3110&lt;parametros!$C$2,(YEAR(B3110)-YEAR(parametros!$C$2))*12+MONTH(B3110)-MONTH(parametros!$C$2)&gt;59),"Fora dos ciclos","C"&amp;INT(((YEAR(B3110)-YEAR(parametros!$C$2))*12+MONTH(B3110)-MONTH(parametros!$C$2))/12)))))</f>
        <v/>
      </c>
      <c r="D3110" s="394"/>
      <c r="E3110" s="78" t="str">
        <f>IF(C3110="","",IFERROR(VLOOKUP(C3110,parametros!$A$11:$E$15,5,0),""))</f>
        <v/>
      </c>
      <c r="F3110" s="79" t="str">
        <f t="shared" si="242"/>
        <v/>
      </c>
      <c r="G3110" s="395"/>
      <c r="H3110" s="91">
        <f t="shared" si="243"/>
        <v>0</v>
      </c>
      <c r="I3110" s="91" t="str">
        <f t="shared" si="244"/>
        <v/>
      </c>
      <c r="J3110" s="91" t="str">
        <f t="shared" si="245"/>
        <v/>
      </c>
      <c r="K3110" s="92" t="str">
        <f>IF(AND(A3110="",B3110="",D3110="",G3110=""),"",IF(AND(A3110&lt;&gt;"",COUNTIF($A$2:$A$5001,A3110)&gt;1),"NUMERO_PC duplicado",IF(B3110="","DATA_PC vazia",IF(NOT(ISNUMBER(B3110)),"DATA_PC invalida",IF(OR(C3110="",C3110="Fora dos ciclos"),"CICLO_PC nao identificado",IF(OR(D3110="",D3110=0),"VALOR_PC vazio ou zero",IF(AND(G3110&lt;&gt;"Sim",G3110&lt;&gt;"Nao",G3110&lt;&gt;""),"PC_PAGO_A_CONTRATADA invalido",IF(AND(C3110&lt;&gt;"C0",IFERROR(INDEX(parametros!$A$2:$A$6,MATCH(C3110,parametros!$B$2:$B$6,0)),"")="Sim",IFERROR(INDEX(parametros!$H$2:$H$6,MATCH(C3110,parametros!$B$2:$B$6,0)),"")=""),"INICIO_EFEITO ausente: PC "&amp;A3110&amp;" - "&amp;C3110,IF(L3110="","EFEITO_PC nao calculado: PC "&amp;A3110&amp;" - "&amp;C3110,"OK")))))))))</f>
        <v/>
      </c>
      <c r="L3110" s="92" t="str">
        <f>IF(AND(A3110="",B3110="",D3110="",G3110=""),"",IF(OR(B3110="",NOT(ISNUMBER(B3110)),C3110="",C3110="Fora dos ciclos"),"",IF(C3110="C0","Nao",IF(IFERROR(INDEX(parametros!$A$2:$A$6,MATCH(C3110,parametros!$B$2:$B$6,0)),"")&lt;&gt;"Sim","Nao",IF(IFERROR(INDEX(parametros!$H$2:$H$6,MATCH(C3110,parametros!$B$2:$B$6,0)),"")="","",IF(B3110&gt;=IFERROR(INDEX(parametros!$H$2:$H$6,MATCH(C3110,parametros!$B$2:$B$6,0)),""),"Sim","Nao"))))))</f>
        <v/>
      </c>
      <c r="T3110" s="156"/>
      <c r="U3110" s="214" t="str">
        <f t="shared" si="246"/>
        <v/>
      </c>
      <c r="V3110" s="212" t="s">
        <v>50</v>
      </c>
      <c r="W3110" s="100" t="s">
        <v>168</v>
      </c>
      <c r="X3110" s="100" t="s">
        <v>169</v>
      </c>
      <c r="Y3110" s="101" t="s">
        <v>170</v>
      </c>
      <c r="Z3110" s="101" t="s">
        <v>171</v>
      </c>
      <c r="AA3110" s="101" t="s">
        <v>50</v>
      </c>
      <c r="AB3110" s="101" t="s">
        <v>172</v>
      </c>
      <c r="AC3110" s="102" t="s">
        <v>173</v>
      </c>
    </row>
    <row r="3111" spans="1:29" ht="25.5" customHeight="1" x14ac:dyDescent="0.35">
      <c r="A3111" s="392"/>
      <c r="B3111" s="393"/>
      <c r="C3111" s="99" t="str">
        <f>IF(B3111="","",IF(NOT(ISNUMBER(B3111)),"DATA_PC invalida",IF(NOT(ISNUMBER(parametros!$C$2)),"Fora dos ciclos",IF(OR(B3111&lt;parametros!$C$2,(YEAR(B3111)-YEAR(parametros!$C$2))*12+MONTH(B3111)-MONTH(parametros!$C$2)&gt;59),"Fora dos ciclos","C"&amp;INT(((YEAR(B3111)-YEAR(parametros!$C$2))*12+MONTH(B3111)-MONTH(parametros!$C$2))/12)))))</f>
        <v/>
      </c>
      <c r="D3111" s="394"/>
      <c r="E3111" s="78" t="str">
        <f>IF(C3111="","",IFERROR(VLOOKUP(C3111,parametros!$A$11:$E$15,5,0),""))</f>
        <v/>
      </c>
      <c r="F3111" s="79" t="str">
        <f t="shared" si="242"/>
        <v/>
      </c>
      <c r="G3111" s="395"/>
      <c r="H3111" s="91">
        <f t="shared" si="243"/>
        <v>0</v>
      </c>
      <c r="I3111" s="91" t="str">
        <f t="shared" si="244"/>
        <v/>
      </c>
      <c r="J3111" s="91" t="str">
        <f t="shared" si="245"/>
        <v/>
      </c>
      <c r="K3111" s="92" t="str">
        <f>IF(AND(A3111="",B3111="",D3111="",G3111=""),"",IF(AND(A3111&lt;&gt;"",COUNTIF($A$2:$A$5001,A3111)&gt;1),"NUMERO_PC duplicado",IF(B3111="","DATA_PC vazia",IF(NOT(ISNUMBER(B3111)),"DATA_PC invalida",IF(OR(C3111="",C3111="Fora dos ciclos"),"CICLO_PC nao identificado",IF(OR(D3111="",D3111=0),"VALOR_PC vazio ou zero",IF(AND(G3111&lt;&gt;"Sim",G3111&lt;&gt;"Nao",G3111&lt;&gt;""),"PC_PAGO_A_CONTRATADA invalido",IF(AND(C3111&lt;&gt;"C0",IFERROR(INDEX(parametros!$A$2:$A$6,MATCH(C3111,parametros!$B$2:$B$6,0)),"")="Sim",IFERROR(INDEX(parametros!$H$2:$H$6,MATCH(C3111,parametros!$B$2:$B$6,0)),"")=""),"INICIO_EFEITO ausente: PC "&amp;A3111&amp;" - "&amp;C3111,IF(L3111="","EFEITO_PC nao calculado: PC "&amp;A3111&amp;" - "&amp;C3111,"OK")))))))))</f>
        <v/>
      </c>
      <c r="L3111" s="92" t="str">
        <f>IF(AND(A3111="",B3111="",D3111="",G3111=""),"",IF(OR(B3111="",NOT(ISNUMBER(B3111)),C3111="",C3111="Fora dos ciclos"),"",IF(C3111="C0","Nao",IF(IFERROR(INDEX(parametros!$A$2:$A$6,MATCH(C3111,parametros!$B$2:$B$6,0)),"")&lt;&gt;"Sim","Nao",IF(IFERROR(INDEX(parametros!$H$2:$H$6,MATCH(C3111,parametros!$B$2:$B$6,0)),"")="","",IF(B3111&gt;=IFERROR(INDEX(parametros!$H$2:$H$6,MATCH(C3111,parametros!$B$2:$B$6,0)),""),"Sim","Nao"))))))</f>
        <v/>
      </c>
      <c r="T3111" s="156"/>
      <c r="U3111" s="214" t="str">
        <f t="shared" si="246"/>
        <v/>
      </c>
      <c r="V3111" s="212" t="s">
        <v>50</v>
      </c>
      <c r="W3111" s="100" t="s">
        <v>168</v>
      </c>
      <c r="X3111" s="100" t="s">
        <v>169</v>
      </c>
      <c r="Y3111" s="101" t="s">
        <v>170</v>
      </c>
      <c r="Z3111" s="101" t="s">
        <v>171</v>
      </c>
      <c r="AA3111" s="101" t="s">
        <v>50</v>
      </c>
      <c r="AB3111" s="101" t="s">
        <v>172</v>
      </c>
      <c r="AC3111" s="102" t="s">
        <v>173</v>
      </c>
    </row>
    <row r="3112" spans="1:29" ht="25.5" customHeight="1" x14ac:dyDescent="0.35">
      <c r="A3112" s="392"/>
      <c r="B3112" s="393"/>
      <c r="C3112" s="99" t="str">
        <f>IF(B3112="","",IF(NOT(ISNUMBER(B3112)),"DATA_PC invalida",IF(NOT(ISNUMBER(parametros!$C$2)),"Fora dos ciclos",IF(OR(B3112&lt;parametros!$C$2,(YEAR(B3112)-YEAR(parametros!$C$2))*12+MONTH(B3112)-MONTH(parametros!$C$2)&gt;59),"Fora dos ciclos","C"&amp;INT(((YEAR(B3112)-YEAR(parametros!$C$2))*12+MONTH(B3112)-MONTH(parametros!$C$2))/12)))))</f>
        <v/>
      </c>
      <c r="D3112" s="394"/>
      <c r="E3112" s="78" t="str">
        <f>IF(C3112="","",IFERROR(VLOOKUP(C3112,parametros!$A$11:$E$15,5,0),""))</f>
        <v/>
      </c>
      <c r="F3112" s="79" t="str">
        <f t="shared" si="242"/>
        <v/>
      </c>
      <c r="G3112" s="395"/>
      <c r="H3112" s="91">
        <f t="shared" si="243"/>
        <v>0</v>
      </c>
      <c r="I3112" s="91" t="str">
        <f t="shared" si="244"/>
        <v/>
      </c>
      <c r="J3112" s="91" t="str">
        <f t="shared" si="245"/>
        <v/>
      </c>
      <c r="K3112" s="92" t="str">
        <f>IF(AND(A3112="",B3112="",D3112="",G3112=""),"",IF(AND(A3112&lt;&gt;"",COUNTIF($A$2:$A$5001,A3112)&gt;1),"NUMERO_PC duplicado",IF(B3112="","DATA_PC vazia",IF(NOT(ISNUMBER(B3112)),"DATA_PC invalida",IF(OR(C3112="",C3112="Fora dos ciclos"),"CICLO_PC nao identificado",IF(OR(D3112="",D3112=0),"VALOR_PC vazio ou zero",IF(AND(G3112&lt;&gt;"Sim",G3112&lt;&gt;"Nao",G3112&lt;&gt;""),"PC_PAGO_A_CONTRATADA invalido",IF(AND(C3112&lt;&gt;"C0",IFERROR(INDEX(parametros!$A$2:$A$6,MATCH(C3112,parametros!$B$2:$B$6,0)),"")="Sim",IFERROR(INDEX(parametros!$H$2:$H$6,MATCH(C3112,parametros!$B$2:$B$6,0)),"")=""),"INICIO_EFEITO ausente: PC "&amp;A3112&amp;" - "&amp;C3112,IF(L3112="","EFEITO_PC nao calculado: PC "&amp;A3112&amp;" - "&amp;C3112,"OK")))))))))</f>
        <v/>
      </c>
      <c r="L3112" s="92" t="str">
        <f>IF(AND(A3112="",B3112="",D3112="",G3112=""),"",IF(OR(B3112="",NOT(ISNUMBER(B3112)),C3112="",C3112="Fora dos ciclos"),"",IF(C3112="C0","Nao",IF(IFERROR(INDEX(parametros!$A$2:$A$6,MATCH(C3112,parametros!$B$2:$B$6,0)),"")&lt;&gt;"Sim","Nao",IF(IFERROR(INDEX(parametros!$H$2:$H$6,MATCH(C3112,parametros!$B$2:$B$6,0)),"")="","",IF(B3112&gt;=IFERROR(INDEX(parametros!$H$2:$H$6,MATCH(C3112,parametros!$B$2:$B$6,0)),""),"Sim","Nao"))))))</f>
        <v/>
      </c>
      <c r="T3112" s="156"/>
      <c r="U3112" s="214" t="str">
        <f t="shared" si="246"/>
        <v/>
      </c>
      <c r="V3112" s="212" t="s">
        <v>50</v>
      </c>
      <c r="W3112" s="100" t="s">
        <v>168</v>
      </c>
      <c r="X3112" s="100" t="s">
        <v>169</v>
      </c>
      <c r="Y3112" s="101" t="s">
        <v>170</v>
      </c>
      <c r="Z3112" s="101" t="s">
        <v>171</v>
      </c>
      <c r="AA3112" s="101" t="s">
        <v>50</v>
      </c>
      <c r="AB3112" s="101" t="s">
        <v>172</v>
      </c>
      <c r="AC3112" s="102" t="s">
        <v>173</v>
      </c>
    </row>
    <row r="3113" spans="1:29" ht="25.5" customHeight="1" x14ac:dyDescent="0.35">
      <c r="A3113" s="392"/>
      <c r="B3113" s="393"/>
      <c r="C3113" s="99" t="str">
        <f>IF(B3113="","",IF(NOT(ISNUMBER(B3113)),"DATA_PC invalida",IF(NOT(ISNUMBER(parametros!$C$2)),"Fora dos ciclos",IF(OR(B3113&lt;parametros!$C$2,(YEAR(B3113)-YEAR(parametros!$C$2))*12+MONTH(B3113)-MONTH(parametros!$C$2)&gt;59),"Fora dos ciclos","C"&amp;INT(((YEAR(B3113)-YEAR(parametros!$C$2))*12+MONTH(B3113)-MONTH(parametros!$C$2))/12)))))</f>
        <v/>
      </c>
      <c r="D3113" s="394"/>
      <c r="E3113" s="78" t="str">
        <f>IF(C3113="","",IFERROR(VLOOKUP(C3113,parametros!$A$11:$E$15,5,0),""))</f>
        <v/>
      </c>
      <c r="F3113" s="79" t="str">
        <f t="shared" si="242"/>
        <v/>
      </c>
      <c r="G3113" s="395"/>
      <c r="H3113" s="91">
        <f t="shared" si="243"/>
        <v>0</v>
      </c>
      <c r="I3113" s="91" t="str">
        <f t="shared" si="244"/>
        <v/>
      </c>
      <c r="J3113" s="91" t="str">
        <f t="shared" si="245"/>
        <v/>
      </c>
      <c r="K3113" s="92" t="str">
        <f>IF(AND(A3113="",B3113="",D3113="",G3113=""),"",IF(AND(A3113&lt;&gt;"",COUNTIF($A$2:$A$5001,A3113)&gt;1),"NUMERO_PC duplicado",IF(B3113="","DATA_PC vazia",IF(NOT(ISNUMBER(B3113)),"DATA_PC invalida",IF(OR(C3113="",C3113="Fora dos ciclos"),"CICLO_PC nao identificado",IF(OR(D3113="",D3113=0),"VALOR_PC vazio ou zero",IF(AND(G3113&lt;&gt;"Sim",G3113&lt;&gt;"Nao",G3113&lt;&gt;""),"PC_PAGO_A_CONTRATADA invalido",IF(AND(C3113&lt;&gt;"C0",IFERROR(INDEX(parametros!$A$2:$A$6,MATCH(C3113,parametros!$B$2:$B$6,0)),"")="Sim",IFERROR(INDEX(parametros!$H$2:$H$6,MATCH(C3113,parametros!$B$2:$B$6,0)),"")=""),"INICIO_EFEITO ausente: PC "&amp;A3113&amp;" - "&amp;C3113,IF(L3113="","EFEITO_PC nao calculado: PC "&amp;A3113&amp;" - "&amp;C3113,"OK")))))))))</f>
        <v/>
      </c>
      <c r="L3113" s="92" t="str">
        <f>IF(AND(A3113="",B3113="",D3113="",G3113=""),"",IF(OR(B3113="",NOT(ISNUMBER(B3113)),C3113="",C3113="Fora dos ciclos"),"",IF(C3113="C0","Nao",IF(IFERROR(INDEX(parametros!$A$2:$A$6,MATCH(C3113,parametros!$B$2:$B$6,0)),"")&lt;&gt;"Sim","Nao",IF(IFERROR(INDEX(parametros!$H$2:$H$6,MATCH(C3113,parametros!$B$2:$B$6,0)),"")="","",IF(B3113&gt;=IFERROR(INDEX(parametros!$H$2:$H$6,MATCH(C3113,parametros!$B$2:$B$6,0)),""),"Sim","Nao"))))))</f>
        <v/>
      </c>
      <c r="T3113" s="156"/>
      <c r="U3113" s="214" t="str">
        <f t="shared" si="246"/>
        <v/>
      </c>
      <c r="V3113" s="212" t="s">
        <v>50</v>
      </c>
      <c r="W3113" s="100" t="s">
        <v>168</v>
      </c>
      <c r="X3113" s="100" t="s">
        <v>169</v>
      </c>
      <c r="Y3113" s="101" t="s">
        <v>170</v>
      </c>
      <c r="Z3113" s="101" t="s">
        <v>171</v>
      </c>
      <c r="AA3113" s="101" t="s">
        <v>50</v>
      </c>
      <c r="AB3113" s="101" t="s">
        <v>172</v>
      </c>
      <c r="AC3113" s="102" t="s">
        <v>173</v>
      </c>
    </row>
    <row r="3114" spans="1:29" ht="25.5" customHeight="1" x14ac:dyDescent="0.35">
      <c r="A3114" s="392"/>
      <c r="B3114" s="393"/>
      <c r="C3114" s="99" t="str">
        <f>IF(B3114="","",IF(NOT(ISNUMBER(B3114)),"DATA_PC invalida",IF(NOT(ISNUMBER(parametros!$C$2)),"Fora dos ciclos",IF(OR(B3114&lt;parametros!$C$2,(YEAR(B3114)-YEAR(parametros!$C$2))*12+MONTH(B3114)-MONTH(parametros!$C$2)&gt;59),"Fora dos ciclos","C"&amp;INT(((YEAR(B3114)-YEAR(parametros!$C$2))*12+MONTH(B3114)-MONTH(parametros!$C$2))/12)))))</f>
        <v/>
      </c>
      <c r="D3114" s="394"/>
      <c r="E3114" s="78" t="str">
        <f>IF(C3114="","",IFERROR(VLOOKUP(C3114,parametros!$A$11:$E$15,5,0),""))</f>
        <v/>
      </c>
      <c r="F3114" s="79" t="str">
        <f t="shared" si="242"/>
        <v/>
      </c>
      <c r="G3114" s="395"/>
      <c r="H3114" s="91">
        <f t="shared" si="243"/>
        <v>0</v>
      </c>
      <c r="I3114" s="91" t="str">
        <f t="shared" si="244"/>
        <v/>
      </c>
      <c r="J3114" s="91" t="str">
        <f t="shared" si="245"/>
        <v/>
      </c>
      <c r="K3114" s="92" t="str">
        <f>IF(AND(A3114="",B3114="",D3114="",G3114=""),"",IF(AND(A3114&lt;&gt;"",COUNTIF($A$2:$A$5001,A3114)&gt;1),"NUMERO_PC duplicado",IF(B3114="","DATA_PC vazia",IF(NOT(ISNUMBER(B3114)),"DATA_PC invalida",IF(OR(C3114="",C3114="Fora dos ciclos"),"CICLO_PC nao identificado",IF(OR(D3114="",D3114=0),"VALOR_PC vazio ou zero",IF(AND(G3114&lt;&gt;"Sim",G3114&lt;&gt;"Nao",G3114&lt;&gt;""),"PC_PAGO_A_CONTRATADA invalido",IF(AND(C3114&lt;&gt;"C0",IFERROR(INDEX(parametros!$A$2:$A$6,MATCH(C3114,parametros!$B$2:$B$6,0)),"")="Sim",IFERROR(INDEX(parametros!$H$2:$H$6,MATCH(C3114,parametros!$B$2:$B$6,0)),"")=""),"INICIO_EFEITO ausente: PC "&amp;A3114&amp;" - "&amp;C3114,IF(L3114="","EFEITO_PC nao calculado: PC "&amp;A3114&amp;" - "&amp;C3114,"OK")))))))))</f>
        <v/>
      </c>
      <c r="L3114" s="92" t="str">
        <f>IF(AND(A3114="",B3114="",D3114="",G3114=""),"",IF(OR(B3114="",NOT(ISNUMBER(B3114)),C3114="",C3114="Fora dos ciclos"),"",IF(C3114="C0","Nao",IF(IFERROR(INDEX(parametros!$A$2:$A$6,MATCH(C3114,parametros!$B$2:$B$6,0)),"")&lt;&gt;"Sim","Nao",IF(IFERROR(INDEX(parametros!$H$2:$H$6,MATCH(C3114,parametros!$B$2:$B$6,0)),"")="","",IF(B3114&gt;=IFERROR(INDEX(parametros!$H$2:$H$6,MATCH(C3114,parametros!$B$2:$B$6,0)),""),"Sim","Nao"))))))</f>
        <v/>
      </c>
      <c r="T3114" s="156"/>
      <c r="U3114" s="214" t="str">
        <f t="shared" si="246"/>
        <v/>
      </c>
      <c r="V3114" s="212" t="s">
        <v>50</v>
      </c>
      <c r="W3114" s="100" t="s">
        <v>168</v>
      </c>
      <c r="X3114" s="100" t="s">
        <v>169</v>
      </c>
      <c r="Y3114" s="101" t="s">
        <v>170</v>
      </c>
      <c r="Z3114" s="101" t="s">
        <v>171</v>
      </c>
      <c r="AA3114" s="101" t="s">
        <v>50</v>
      </c>
      <c r="AB3114" s="101" t="s">
        <v>172</v>
      </c>
      <c r="AC3114" s="102" t="s">
        <v>173</v>
      </c>
    </row>
    <row r="3115" spans="1:29" ht="25.5" customHeight="1" x14ac:dyDescent="0.35">
      <c r="A3115" s="392"/>
      <c r="B3115" s="393"/>
      <c r="C3115" s="99" t="str">
        <f>IF(B3115="","",IF(NOT(ISNUMBER(B3115)),"DATA_PC invalida",IF(NOT(ISNUMBER(parametros!$C$2)),"Fora dos ciclos",IF(OR(B3115&lt;parametros!$C$2,(YEAR(B3115)-YEAR(parametros!$C$2))*12+MONTH(B3115)-MONTH(parametros!$C$2)&gt;59),"Fora dos ciclos","C"&amp;INT(((YEAR(B3115)-YEAR(parametros!$C$2))*12+MONTH(B3115)-MONTH(parametros!$C$2))/12)))))</f>
        <v/>
      </c>
      <c r="D3115" s="394"/>
      <c r="E3115" s="78" t="str">
        <f>IF(C3115="","",IFERROR(VLOOKUP(C3115,parametros!$A$11:$E$15,5,0),""))</f>
        <v/>
      </c>
      <c r="F3115" s="79" t="str">
        <f t="shared" si="242"/>
        <v/>
      </c>
      <c r="G3115" s="395"/>
      <c r="H3115" s="91">
        <f t="shared" si="243"/>
        <v>0</v>
      </c>
      <c r="I3115" s="91" t="str">
        <f t="shared" si="244"/>
        <v/>
      </c>
      <c r="J3115" s="91" t="str">
        <f t="shared" si="245"/>
        <v/>
      </c>
      <c r="K3115" s="92" t="str">
        <f>IF(AND(A3115="",B3115="",D3115="",G3115=""),"",IF(AND(A3115&lt;&gt;"",COUNTIF($A$2:$A$5001,A3115)&gt;1),"NUMERO_PC duplicado",IF(B3115="","DATA_PC vazia",IF(NOT(ISNUMBER(B3115)),"DATA_PC invalida",IF(OR(C3115="",C3115="Fora dos ciclos"),"CICLO_PC nao identificado",IF(OR(D3115="",D3115=0),"VALOR_PC vazio ou zero",IF(AND(G3115&lt;&gt;"Sim",G3115&lt;&gt;"Nao",G3115&lt;&gt;""),"PC_PAGO_A_CONTRATADA invalido",IF(AND(C3115&lt;&gt;"C0",IFERROR(INDEX(parametros!$A$2:$A$6,MATCH(C3115,parametros!$B$2:$B$6,0)),"")="Sim",IFERROR(INDEX(parametros!$H$2:$H$6,MATCH(C3115,parametros!$B$2:$B$6,0)),"")=""),"INICIO_EFEITO ausente: PC "&amp;A3115&amp;" - "&amp;C3115,IF(L3115="","EFEITO_PC nao calculado: PC "&amp;A3115&amp;" - "&amp;C3115,"OK")))))))))</f>
        <v/>
      </c>
      <c r="L3115" s="92" t="str">
        <f>IF(AND(A3115="",B3115="",D3115="",G3115=""),"",IF(OR(B3115="",NOT(ISNUMBER(B3115)),C3115="",C3115="Fora dos ciclos"),"",IF(C3115="C0","Nao",IF(IFERROR(INDEX(parametros!$A$2:$A$6,MATCH(C3115,parametros!$B$2:$B$6,0)),"")&lt;&gt;"Sim","Nao",IF(IFERROR(INDEX(parametros!$H$2:$H$6,MATCH(C3115,parametros!$B$2:$B$6,0)),"")="","",IF(B3115&gt;=IFERROR(INDEX(parametros!$H$2:$H$6,MATCH(C3115,parametros!$B$2:$B$6,0)),""),"Sim","Nao"))))))</f>
        <v/>
      </c>
      <c r="T3115" s="156"/>
      <c r="U3115" s="214" t="str">
        <f t="shared" si="246"/>
        <v/>
      </c>
      <c r="V3115" s="212" t="s">
        <v>50</v>
      </c>
      <c r="W3115" s="100" t="s">
        <v>168</v>
      </c>
      <c r="X3115" s="100" t="s">
        <v>169</v>
      </c>
      <c r="Y3115" s="101" t="s">
        <v>170</v>
      </c>
      <c r="Z3115" s="101" t="s">
        <v>171</v>
      </c>
      <c r="AA3115" s="101" t="s">
        <v>50</v>
      </c>
      <c r="AB3115" s="101" t="s">
        <v>172</v>
      </c>
      <c r="AC3115" s="102" t="s">
        <v>173</v>
      </c>
    </row>
    <row r="3116" spans="1:29" ht="25.5" customHeight="1" x14ac:dyDescent="0.35">
      <c r="A3116" s="392"/>
      <c r="B3116" s="393"/>
      <c r="C3116" s="99" t="str">
        <f>IF(B3116="","",IF(NOT(ISNUMBER(B3116)),"DATA_PC invalida",IF(NOT(ISNUMBER(parametros!$C$2)),"Fora dos ciclos",IF(OR(B3116&lt;parametros!$C$2,(YEAR(B3116)-YEAR(parametros!$C$2))*12+MONTH(B3116)-MONTH(parametros!$C$2)&gt;59),"Fora dos ciclos","C"&amp;INT(((YEAR(B3116)-YEAR(parametros!$C$2))*12+MONTH(B3116)-MONTH(parametros!$C$2))/12)))))</f>
        <v/>
      </c>
      <c r="D3116" s="394"/>
      <c r="E3116" s="78" t="str">
        <f>IF(C3116="","",IFERROR(VLOOKUP(C3116,parametros!$A$11:$E$15,5,0),""))</f>
        <v/>
      </c>
      <c r="F3116" s="79" t="str">
        <f t="shared" si="242"/>
        <v/>
      </c>
      <c r="G3116" s="395"/>
      <c r="H3116" s="91">
        <f t="shared" si="243"/>
        <v>0</v>
      </c>
      <c r="I3116" s="91" t="str">
        <f t="shared" si="244"/>
        <v/>
      </c>
      <c r="J3116" s="91" t="str">
        <f t="shared" si="245"/>
        <v/>
      </c>
      <c r="K3116" s="92" t="str">
        <f>IF(AND(A3116="",B3116="",D3116="",G3116=""),"",IF(AND(A3116&lt;&gt;"",COUNTIF($A$2:$A$5001,A3116)&gt;1),"NUMERO_PC duplicado",IF(B3116="","DATA_PC vazia",IF(NOT(ISNUMBER(B3116)),"DATA_PC invalida",IF(OR(C3116="",C3116="Fora dos ciclos"),"CICLO_PC nao identificado",IF(OR(D3116="",D3116=0),"VALOR_PC vazio ou zero",IF(AND(G3116&lt;&gt;"Sim",G3116&lt;&gt;"Nao",G3116&lt;&gt;""),"PC_PAGO_A_CONTRATADA invalido",IF(AND(C3116&lt;&gt;"C0",IFERROR(INDEX(parametros!$A$2:$A$6,MATCH(C3116,parametros!$B$2:$B$6,0)),"")="Sim",IFERROR(INDEX(parametros!$H$2:$H$6,MATCH(C3116,parametros!$B$2:$B$6,0)),"")=""),"INICIO_EFEITO ausente: PC "&amp;A3116&amp;" - "&amp;C3116,IF(L3116="","EFEITO_PC nao calculado: PC "&amp;A3116&amp;" - "&amp;C3116,"OK")))))))))</f>
        <v/>
      </c>
      <c r="L3116" s="92" t="str">
        <f>IF(AND(A3116="",B3116="",D3116="",G3116=""),"",IF(OR(B3116="",NOT(ISNUMBER(B3116)),C3116="",C3116="Fora dos ciclos"),"",IF(C3116="C0","Nao",IF(IFERROR(INDEX(parametros!$A$2:$A$6,MATCH(C3116,parametros!$B$2:$B$6,0)),"")&lt;&gt;"Sim","Nao",IF(IFERROR(INDEX(parametros!$H$2:$H$6,MATCH(C3116,parametros!$B$2:$B$6,0)),"")="","",IF(B3116&gt;=IFERROR(INDEX(parametros!$H$2:$H$6,MATCH(C3116,parametros!$B$2:$B$6,0)),""),"Sim","Nao"))))))</f>
        <v/>
      </c>
      <c r="T3116" s="156"/>
      <c r="U3116" s="214" t="str">
        <f t="shared" si="246"/>
        <v/>
      </c>
      <c r="V3116" s="212" t="s">
        <v>50</v>
      </c>
      <c r="W3116" s="100" t="s">
        <v>168</v>
      </c>
      <c r="X3116" s="100" t="s">
        <v>169</v>
      </c>
      <c r="Y3116" s="101" t="s">
        <v>170</v>
      </c>
      <c r="Z3116" s="101" t="s">
        <v>171</v>
      </c>
      <c r="AA3116" s="101" t="s">
        <v>50</v>
      </c>
      <c r="AB3116" s="101" t="s">
        <v>172</v>
      </c>
      <c r="AC3116" s="102" t="s">
        <v>173</v>
      </c>
    </row>
    <row r="3117" spans="1:29" ht="25.5" customHeight="1" x14ac:dyDescent="0.35">
      <c r="A3117" s="392"/>
      <c r="B3117" s="393"/>
      <c r="C3117" s="99" t="str">
        <f>IF(B3117="","",IF(NOT(ISNUMBER(B3117)),"DATA_PC invalida",IF(NOT(ISNUMBER(parametros!$C$2)),"Fora dos ciclos",IF(OR(B3117&lt;parametros!$C$2,(YEAR(B3117)-YEAR(parametros!$C$2))*12+MONTH(B3117)-MONTH(parametros!$C$2)&gt;59),"Fora dos ciclos","C"&amp;INT(((YEAR(B3117)-YEAR(parametros!$C$2))*12+MONTH(B3117)-MONTH(parametros!$C$2))/12)))))</f>
        <v/>
      </c>
      <c r="D3117" s="394"/>
      <c r="E3117" s="78" t="str">
        <f>IF(C3117="","",IFERROR(VLOOKUP(C3117,parametros!$A$11:$E$15,5,0),""))</f>
        <v/>
      </c>
      <c r="F3117" s="79" t="str">
        <f t="shared" si="242"/>
        <v/>
      </c>
      <c r="G3117" s="395"/>
      <c r="H3117" s="91">
        <f t="shared" si="243"/>
        <v>0</v>
      </c>
      <c r="I3117" s="91" t="str">
        <f t="shared" si="244"/>
        <v/>
      </c>
      <c r="J3117" s="91" t="str">
        <f t="shared" si="245"/>
        <v/>
      </c>
      <c r="K3117" s="92" t="str">
        <f>IF(AND(A3117="",B3117="",D3117="",G3117=""),"",IF(AND(A3117&lt;&gt;"",COUNTIF($A$2:$A$5001,A3117)&gt;1),"NUMERO_PC duplicado",IF(B3117="","DATA_PC vazia",IF(NOT(ISNUMBER(B3117)),"DATA_PC invalida",IF(OR(C3117="",C3117="Fora dos ciclos"),"CICLO_PC nao identificado",IF(OR(D3117="",D3117=0),"VALOR_PC vazio ou zero",IF(AND(G3117&lt;&gt;"Sim",G3117&lt;&gt;"Nao",G3117&lt;&gt;""),"PC_PAGO_A_CONTRATADA invalido",IF(AND(C3117&lt;&gt;"C0",IFERROR(INDEX(parametros!$A$2:$A$6,MATCH(C3117,parametros!$B$2:$B$6,0)),"")="Sim",IFERROR(INDEX(parametros!$H$2:$H$6,MATCH(C3117,parametros!$B$2:$B$6,0)),"")=""),"INICIO_EFEITO ausente: PC "&amp;A3117&amp;" - "&amp;C3117,IF(L3117="","EFEITO_PC nao calculado: PC "&amp;A3117&amp;" - "&amp;C3117,"OK")))))))))</f>
        <v/>
      </c>
      <c r="L3117" s="92" t="str">
        <f>IF(AND(A3117="",B3117="",D3117="",G3117=""),"",IF(OR(B3117="",NOT(ISNUMBER(B3117)),C3117="",C3117="Fora dos ciclos"),"",IF(C3117="C0","Nao",IF(IFERROR(INDEX(parametros!$A$2:$A$6,MATCH(C3117,parametros!$B$2:$B$6,0)),"")&lt;&gt;"Sim","Nao",IF(IFERROR(INDEX(parametros!$H$2:$H$6,MATCH(C3117,parametros!$B$2:$B$6,0)),"")="","",IF(B3117&gt;=IFERROR(INDEX(parametros!$H$2:$H$6,MATCH(C3117,parametros!$B$2:$B$6,0)),""),"Sim","Nao"))))))</f>
        <v/>
      </c>
      <c r="T3117" s="156"/>
      <c r="U3117" s="214" t="str">
        <f t="shared" si="246"/>
        <v/>
      </c>
      <c r="V3117" s="212" t="s">
        <v>50</v>
      </c>
      <c r="W3117" s="100" t="s">
        <v>168</v>
      </c>
      <c r="X3117" s="100" t="s">
        <v>169</v>
      </c>
      <c r="Y3117" s="101" t="s">
        <v>170</v>
      </c>
      <c r="Z3117" s="101" t="s">
        <v>171</v>
      </c>
      <c r="AA3117" s="101" t="s">
        <v>50</v>
      </c>
      <c r="AB3117" s="101" t="s">
        <v>172</v>
      </c>
      <c r="AC3117" s="102" t="s">
        <v>173</v>
      </c>
    </row>
    <row r="3118" spans="1:29" ht="25.5" customHeight="1" x14ac:dyDescent="0.35">
      <c r="A3118" s="392"/>
      <c r="B3118" s="393"/>
      <c r="C3118" s="99" t="str">
        <f>IF(B3118="","",IF(NOT(ISNUMBER(B3118)),"DATA_PC invalida",IF(NOT(ISNUMBER(parametros!$C$2)),"Fora dos ciclos",IF(OR(B3118&lt;parametros!$C$2,(YEAR(B3118)-YEAR(parametros!$C$2))*12+MONTH(B3118)-MONTH(parametros!$C$2)&gt;59),"Fora dos ciclos","C"&amp;INT(((YEAR(B3118)-YEAR(parametros!$C$2))*12+MONTH(B3118)-MONTH(parametros!$C$2))/12)))))</f>
        <v/>
      </c>
      <c r="D3118" s="394"/>
      <c r="E3118" s="78" t="str">
        <f>IF(C3118="","",IFERROR(VLOOKUP(C3118,parametros!$A$11:$E$15,5,0),""))</f>
        <v/>
      </c>
      <c r="F3118" s="79" t="str">
        <f t="shared" si="242"/>
        <v/>
      </c>
      <c r="G3118" s="395"/>
      <c r="H3118" s="91">
        <f t="shared" si="243"/>
        <v>0</v>
      </c>
      <c r="I3118" s="91" t="str">
        <f t="shared" si="244"/>
        <v/>
      </c>
      <c r="J3118" s="91" t="str">
        <f t="shared" si="245"/>
        <v/>
      </c>
      <c r="K3118" s="92" t="str">
        <f>IF(AND(A3118="",B3118="",D3118="",G3118=""),"",IF(AND(A3118&lt;&gt;"",COUNTIF($A$2:$A$5001,A3118)&gt;1),"NUMERO_PC duplicado",IF(B3118="","DATA_PC vazia",IF(NOT(ISNUMBER(B3118)),"DATA_PC invalida",IF(OR(C3118="",C3118="Fora dos ciclos"),"CICLO_PC nao identificado",IF(OR(D3118="",D3118=0),"VALOR_PC vazio ou zero",IF(AND(G3118&lt;&gt;"Sim",G3118&lt;&gt;"Nao",G3118&lt;&gt;""),"PC_PAGO_A_CONTRATADA invalido",IF(AND(C3118&lt;&gt;"C0",IFERROR(INDEX(parametros!$A$2:$A$6,MATCH(C3118,parametros!$B$2:$B$6,0)),"")="Sim",IFERROR(INDEX(parametros!$H$2:$H$6,MATCH(C3118,parametros!$B$2:$B$6,0)),"")=""),"INICIO_EFEITO ausente: PC "&amp;A3118&amp;" - "&amp;C3118,IF(L3118="","EFEITO_PC nao calculado: PC "&amp;A3118&amp;" - "&amp;C3118,"OK")))))))))</f>
        <v/>
      </c>
      <c r="L3118" s="92" t="str">
        <f>IF(AND(A3118="",B3118="",D3118="",G3118=""),"",IF(OR(B3118="",NOT(ISNUMBER(B3118)),C3118="",C3118="Fora dos ciclos"),"",IF(C3118="C0","Nao",IF(IFERROR(INDEX(parametros!$A$2:$A$6,MATCH(C3118,parametros!$B$2:$B$6,0)),"")&lt;&gt;"Sim","Nao",IF(IFERROR(INDEX(parametros!$H$2:$H$6,MATCH(C3118,parametros!$B$2:$B$6,0)),"")="","",IF(B3118&gt;=IFERROR(INDEX(parametros!$H$2:$H$6,MATCH(C3118,parametros!$B$2:$B$6,0)),""),"Sim","Nao"))))))</f>
        <v/>
      </c>
      <c r="T3118" s="156"/>
      <c r="U3118" s="214" t="str">
        <f t="shared" si="246"/>
        <v/>
      </c>
      <c r="V3118" s="212" t="s">
        <v>50</v>
      </c>
      <c r="W3118" s="100" t="s">
        <v>168</v>
      </c>
      <c r="X3118" s="100" t="s">
        <v>169</v>
      </c>
      <c r="Y3118" s="101" t="s">
        <v>170</v>
      </c>
      <c r="Z3118" s="101" t="s">
        <v>171</v>
      </c>
      <c r="AA3118" s="101" t="s">
        <v>50</v>
      </c>
      <c r="AB3118" s="101" t="s">
        <v>172</v>
      </c>
      <c r="AC3118" s="102" t="s">
        <v>173</v>
      </c>
    </row>
    <row r="3119" spans="1:29" ht="25.5" customHeight="1" x14ac:dyDescent="0.35">
      <c r="A3119" s="392"/>
      <c r="B3119" s="393"/>
      <c r="C3119" s="99" t="str">
        <f>IF(B3119="","",IF(NOT(ISNUMBER(B3119)),"DATA_PC invalida",IF(NOT(ISNUMBER(parametros!$C$2)),"Fora dos ciclos",IF(OR(B3119&lt;parametros!$C$2,(YEAR(B3119)-YEAR(parametros!$C$2))*12+MONTH(B3119)-MONTH(parametros!$C$2)&gt;59),"Fora dos ciclos","C"&amp;INT(((YEAR(B3119)-YEAR(parametros!$C$2))*12+MONTH(B3119)-MONTH(parametros!$C$2))/12)))))</f>
        <v/>
      </c>
      <c r="D3119" s="394"/>
      <c r="E3119" s="78" t="str">
        <f>IF(C3119="","",IFERROR(VLOOKUP(C3119,parametros!$A$11:$E$15,5,0),""))</f>
        <v/>
      </c>
      <c r="F3119" s="79" t="str">
        <f t="shared" si="242"/>
        <v/>
      </c>
      <c r="G3119" s="395"/>
      <c r="H3119" s="91">
        <f t="shared" si="243"/>
        <v>0</v>
      </c>
      <c r="I3119" s="91" t="str">
        <f t="shared" si="244"/>
        <v/>
      </c>
      <c r="J3119" s="91" t="str">
        <f t="shared" si="245"/>
        <v/>
      </c>
      <c r="K3119" s="92" t="str">
        <f>IF(AND(A3119="",B3119="",D3119="",G3119=""),"",IF(AND(A3119&lt;&gt;"",COUNTIF($A$2:$A$5001,A3119)&gt;1),"NUMERO_PC duplicado",IF(B3119="","DATA_PC vazia",IF(NOT(ISNUMBER(B3119)),"DATA_PC invalida",IF(OR(C3119="",C3119="Fora dos ciclos"),"CICLO_PC nao identificado",IF(OR(D3119="",D3119=0),"VALOR_PC vazio ou zero",IF(AND(G3119&lt;&gt;"Sim",G3119&lt;&gt;"Nao",G3119&lt;&gt;""),"PC_PAGO_A_CONTRATADA invalido",IF(AND(C3119&lt;&gt;"C0",IFERROR(INDEX(parametros!$A$2:$A$6,MATCH(C3119,parametros!$B$2:$B$6,0)),"")="Sim",IFERROR(INDEX(parametros!$H$2:$H$6,MATCH(C3119,parametros!$B$2:$B$6,0)),"")=""),"INICIO_EFEITO ausente: PC "&amp;A3119&amp;" - "&amp;C3119,IF(L3119="","EFEITO_PC nao calculado: PC "&amp;A3119&amp;" - "&amp;C3119,"OK")))))))))</f>
        <v/>
      </c>
      <c r="L3119" s="92" t="str">
        <f>IF(AND(A3119="",B3119="",D3119="",G3119=""),"",IF(OR(B3119="",NOT(ISNUMBER(B3119)),C3119="",C3119="Fora dos ciclos"),"",IF(C3119="C0","Nao",IF(IFERROR(INDEX(parametros!$A$2:$A$6,MATCH(C3119,parametros!$B$2:$B$6,0)),"")&lt;&gt;"Sim","Nao",IF(IFERROR(INDEX(parametros!$H$2:$H$6,MATCH(C3119,parametros!$B$2:$B$6,0)),"")="","",IF(B3119&gt;=IFERROR(INDEX(parametros!$H$2:$H$6,MATCH(C3119,parametros!$B$2:$B$6,0)),""),"Sim","Nao"))))))</f>
        <v/>
      </c>
      <c r="T3119" s="156"/>
      <c r="U3119" s="214" t="str">
        <f t="shared" si="246"/>
        <v/>
      </c>
      <c r="V3119" s="212" t="s">
        <v>50</v>
      </c>
      <c r="W3119" s="100" t="s">
        <v>168</v>
      </c>
      <c r="X3119" s="100" t="s">
        <v>169</v>
      </c>
      <c r="Y3119" s="101" t="s">
        <v>170</v>
      </c>
      <c r="Z3119" s="101" t="s">
        <v>171</v>
      </c>
      <c r="AA3119" s="101" t="s">
        <v>50</v>
      </c>
      <c r="AB3119" s="101" t="s">
        <v>172</v>
      </c>
      <c r="AC3119" s="102" t="s">
        <v>173</v>
      </c>
    </row>
    <row r="3120" spans="1:29" ht="25.5" customHeight="1" x14ac:dyDescent="0.35">
      <c r="A3120" s="392"/>
      <c r="B3120" s="393"/>
      <c r="C3120" s="99" t="str">
        <f>IF(B3120="","",IF(NOT(ISNUMBER(B3120)),"DATA_PC invalida",IF(NOT(ISNUMBER(parametros!$C$2)),"Fora dos ciclos",IF(OR(B3120&lt;parametros!$C$2,(YEAR(B3120)-YEAR(parametros!$C$2))*12+MONTH(B3120)-MONTH(parametros!$C$2)&gt;59),"Fora dos ciclos","C"&amp;INT(((YEAR(B3120)-YEAR(parametros!$C$2))*12+MONTH(B3120)-MONTH(parametros!$C$2))/12)))))</f>
        <v/>
      </c>
      <c r="D3120" s="394"/>
      <c r="E3120" s="78" t="str">
        <f>IF(C3120="","",IFERROR(VLOOKUP(C3120,parametros!$A$11:$E$15,5,0),""))</f>
        <v/>
      </c>
      <c r="F3120" s="79" t="str">
        <f t="shared" si="242"/>
        <v/>
      </c>
      <c r="G3120" s="395"/>
      <c r="H3120" s="91">
        <f t="shared" si="243"/>
        <v>0</v>
      </c>
      <c r="I3120" s="91" t="str">
        <f t="shared" si="244"/>
        <v/>
      </c>
      <c r="J3120" s="91" t="str">
        <f t="shared" si="245"/>
        <v/>
      </c>
      <c r="K3120" s="92" t="str">
        <f>IF(AND(A3120="",B3120="",D3120="",G3120=""),"",IF(AND(A3120&lt;&gt;"",COUNTIF($A$2:$A$5001,A3120)&gt;1),"NUMERO_PC duplicado",IF(B3120="","DATA_PC vazia",IF(NOT(ISNUMBER(B3120)),"DATA_PC invalida",IF(OR(C3120="",C3120="Fora dos ciclos"),"CICLO_PC nao identificado",IF(OR(D3120="",D3120=0),"VALOR_PC vazio ou zero",IF(AND(G3120&lt;&gt;"Sim",G3120&lt;&gt;"Nao",G3120&lt;&gt;""),"PC_PAGO_A_CONTRATADA invalido",IF(AND(C3120&lt;&gt;"C0",IFERROR(INDEX(parametros!$A$2:$A$6,MATCH(C3120,parametros!$B$2:$B$6,0)),"")="Sim",IFERROR(INDEX(parametros!$H$2:$H$6,MATCH(C3120,parametros!$B$2:$B$6,0)),"")=""),"INICIO_EFEITO ausente: PC "&amp;A3120&amp;" - "&amp;C3120,IF(L3120="","EFEITO_PC nao calculado: PC "&amp;A3120&amp;" - "&amp;C3120,"OK")))))))))</f>
        <v/>
      </c>
      <c r="L3120" s="92" t="str">
        <f>IF(AND(A3120="",B3120="",D3120="",G3120=""),"",IF(OR(B3120="",NOT(ISNUMBER(B3120)),C3120="",C3120="Fora dos ciclos"),"",IF(C3120="C0","Nao",IF(IFERROR(INDEX(parametros!$A$2:$A$6,MATCH(C3120,parametros!$B$2:$B$6,0)),"")&lt;&gt;"Sim","Nao",IF(IFERROR(INDEX(parametros!$H$2:$H$6,MATCH(C3120,parametros!$B$2:$B$6,0)),"")="","",IF(B3120&gt;=IFERROR(INDEX(parametros!$H$2:$H$6,MATCH(C3120,parametros!$B$2:$B$6,0)),""),"Sim","Nao"))))))</f>
        <v/>
      </c>
      <c r="T3120" s="156"/>
      <c r="U3120" s="214" t="str">
        <f t="shared" si="246"/>
        <v/>
      </c>
      <c r="V3120" s="212" t="s">
        <v>50</v>
      </c>
      <c r="W3120" s="100" t="s">
        <v>168</v>
      </c>
      <c r="X3120" s="100" t="s">
        <v>169</v>
      </c>
      <c r="Y3120" s="101" t="s">
        <v>170</v>
      </c>
      <c r="Z3120" s="101" t="s">
        <v>171</v>
      </c>
      <c r="AA3120" s="101" t="s">
        <v>50</v>
      </c>
      <c r="AB3120" s="101" t="s">
        <v>172</v>
      </c>
      <c r="AC3120" s="102" t="s">
        <v>173</v>
      </c>
    </row>
    <row r="3121" spans="1:29" ht="25.5" customHeight="1" x14ac:dyDescent="0.35">
      <c r="A3121" s="392"/>
      <c r="B3121" s="393"/>
      <c r="C3121" s="99" t="str">
        <f>IF(B3121="","",IF(NOT(ISNUMBER(B3121)),"DATA_PC invalida",IF(NOT(ISNUMBER(parametros!$C$2)),"Fora dos ciclos",IF(OR(B3121&lt;parametros!$C$2,(YEAR(B3121)-YEAR(parametros!$C$2))*12+MONTH(B3121)-MONTH(parametros!$C$2)&gt;59),"Fora dos ciclos","C"&amp;INT(((YEAR(B3121)-YEAR(parametros!$C$2))*12+MONTH(B3121)-MONTH(parametros!$C$2))/12)))))</f>
        <v/>
      </c>
      <c r="D3121" s="394"/>
      <c r="E3121" s="78" t="str">
        <f>IF(C3121="","",IFERROR(VLOOKUP(C3121,parametros!$A$11:$E$15,5,0),""))</f>
        <v/>
      </c>
      <c r="F3121" s="79" t="str">
        <f t="shared" si="242"/>
        <v/>
      </c>
      <c r="G3121" s="395"/>
      <c r="H3121" s="91">
        <f t="shared" si="243"/>
        <v>0</v>
      </c>
      <c r="I3121" s="91" t="str">
        <f t="shared" si="244"/>
        <v/>
      </c>
      <c r="J3121" s="91" t="str">
        <f t="shared" si="245"/>
        <v/>
      </c>
      <c r="K3121" s="92" t="str">
        <f>IF(AND(A3121="",B3121="",D3121="",G3121=""),"",IF(AND(A3121&lt;&gt;"",COUNTIF($A$2:$A$5001,A3121)&gt;1),"NUMERO_PC duplicado",IF(B3121="","DATA_PC vazia",IF(NOT(ISNUMBER(B3121)),"DATA_PC invalida",IF(OR(C3121="",C3121="Fora dos ciclos"),"CICLO_PC nao identificado",IF(OR(D3121="",D3121=0),"VALOR_PC vazio ou zero",IF(AND(G3121&lt;&gt;"Sim",G3121&lt;&gt;"Nao",G3121&lt;&gt;""),"PC_PAGO_A_CONTRATADA invalido",IF(AND(C3121&lt;&gt;"C0",IFERROR(INDEX(parametros!$A$2:$A$6,MATCH(C3121,parametros!$B$2:$B$6,0)),"")="Sim",IFERROR(INDEX(parametros!$H$2:$H$6,MATCH(C3121,parametros!$B$2:$B$6,0)),"")=""),"INICIO_EFEITO ausente: PC "&amp;A3121&amp;" - "&amp;C3121,IF(L3121="","EFEITO_PC nao calculado: PC "&amp;A3121&amp;" - "&amp;C3121,"OK")))))))))</f>
        <v/>
      </c>
      <c r="L3121" s="92" t="str">
        <f>IF(AND(A3121="",B3121="",D3121="",G3121=""),"",IF(OR(B3121="",NOT(ISNUMBER(B3121)),C3121="",C3121="Fora dos ciclos"),"",IF(C3121="C0","Nao",IF(IFERROR(INDEX(parametros!$A$2:$A$6,MATCH(C3121,parametros!$B$2:$B$6,0)),"")&lt;&gt;"Sim","Nao",IF(IFERROR(INDEX(parametros!$H$2:$H$6,MATCH(C3121,parametros!$B$2:$B$6,0)),"")="","",IF(B3121&gt;=IFERROR(INDEX(parametros!$H$2:$H$6,MATCH(C3121,parametros!$B$2:$B$6,0)),""),"Sim","Nao"))))))</f>
        <v/>
      </c>
      <c r="T3121" s="156"/>
      <c r="U3121" s="214" t="str">
        <f t="shared" si="246"/>
        <v/>
      </c>
      <c r="V3121" s="212" t="s">
        <v>50</v>
      </c>
      <c r="W3121" s="100" t="s">
        <v>168</v>
      </c>
      <c r="X3121" s="100" t="s">
        <v>169</v>
      </c>
      <c r="Y3121" s="101" t="s">
        <v>170</v>
      </c>
      <c r="Z3121" s="101" t="s">
        <v>171</v>
      </c>
      <c r="AA3121" s="101" t="s">
        <v>50</v>
      </c>
      <c r="AB3121" s="101" t="s">
        <v>172</v>
      </c>
      <c r="AC3121" s="102" t="s">
        <v>173</v>
      </c>
    </row>
    <row r="3122" spans="1:29" ht="25.5" customHeight="1" x14ac:dyDescent="0.35">
      <c r="A3122" s="392"/>
      <c r="B3122" s="393"/>
      <c r="C3122" s="99" t="str">
        <f>IF(B3122="","",IF(NOT(ISNUMBER(B3122)),"DATA_PC invalida",IF(NOT(ISNUMBER(parametros!$C$2)),"Fora dos ciclos",IF(OR(B3122&lt;parametros!$C$2,(YEAR(B3122)-YEAR(parametros!$C$2))*12+MONTH(B3122)-MONTH(parametros!$C$2)&gt;59),"Fora dos ciclos","C"&amp;INT(((YEAR(B3122)-YEAR(parametros!$C$2))*12+MONTH(B3122)-MONTH(parametros!$C$2))/12)))))</f>
        <v/>
      </c>
      <c r="D3122" s="394"/>
      <c r="E3122" s="78" t="str">
        <f>IF(C3122="","",IFERROR(VLOOKUP(C3122,parametros!$A$11:$E$15,5,0),""))</f>
        <v/>
      </c>
      <c r="F3122" s="79" t="str">
        <f t="shared" si="242"/>
        <v/>
      </c>
      <c r="G3122" s="395"/>
      <c r="H3122" s="91">
        <f t="shared" si="243"/>
        <v>0</v>
      </c>
      <c r="I3122" s="91" t="str">
        <f t="shared" si="244"/>
        <v/>
      </c>
      <c r="J3122" s="91" t="str">
        <f t="shared" si="245"/>
        <v/>
      </c>
      <c r="K3122" s="92" t="str">
        <f>IF(AND(A3122="",B3122="",D3122="",G3122=""),"",IF(AND(A3122&lt;&gt;"",COUNTIF($A$2:$A$5001,A3122)&gt;1),"NUMERO_PC duplicado",IF(B3122="","DATA_PC vazia",IF(NOT(ISNUMBER(B3122)),"DATA_PC invalida",IF(OR(C3122="",C3122="Fora dos ciclos"),"CICLO_PC nao identificado",IF(OR(D3122="",D3122=0),"VALOR_PC vazio ou zero",IF(AND(G3122&lt;&gt;"Sim",G3122&lt;&gt;"Nao",G3122&lt;&gt;""),"PC_PAGO_A_CONTRATADA invalido",IF(AND(C3122&lt;&gt;"C0",IFERROR(INDEX(parametros!$A$2:$A$6,MATCH(C3122,parametros!$B$2:$B$6,0)),"")="Sim",IFERROR(INDEX(parametros!$H$2:$H$6,MATCH(C3122,parametros!$B$2:$B$6,0)),"")=""),"INICIO_EFEITO ausente: PC "&amp;A3122&amp;" - "&amp;C3122,IF(L3122="","EFEITO_PC nao calculado: PC "&amp;A3122&amp;" - "&amp;C3122,"OK")))))))))</f>
        <v/>
      </c>
      <c r="L3122" s="92" t="str">
        <f>IF(AND(A3122="",B3122="",D3122="",G3122=""),"",IF(OR(B3122="",NOT(ISNUMBER(B3122)),C3122="",C3122="Fora dos ciclos"),"",IF(C3122="C0","Nao",IF(IFERROR(INDEX(parametros!$A$2:$A$6,MATCH(C3122,parametros!$B$2:$B$6,0)),"")&lt;&gt;"Sim","Nao",IF(IFERROR(INDEX(parametros!$H$2:$H$6,MATCH(C3122,parametros!$B$2:$B$6,0)),"")="","",IF(B3122&gt;=IFERROR(INDEX(parametros!$H$2:$H$6,MATCH(C3122,parametros!$B$2:$B$6,0)),""),"Sim","Nao"))))))</f>
        <v/>
      </c>
      <c r="T3122" s="156"/>
      <c r="U3122" s="214" t="str">
        <f t="shared" si="246"/>
        <v/>
      </c>
      <c r="V3122" s="212" t="s">
        <v>50</v>
      </c>
      <c r="W3122" s="100" t="s">
        <v>168</v>
      </c>
      <c r="X3122" s="100" t="s">
        <v>169</v>
      </c>
      <c r="Y3122" s="101" t="s">
        <v>170</v>
      </c>
      <c r="Z3122" s="101" t="s">
        <v>171</v>
      </c>
      <c r="AA3122" s="101" t="s">
        <v>50</v>
      </c>
      <c r="AB3122" s="101" t="s">
        <v>172</v>
      </c>
      <c r="AC3122" s="102" t="s">
        <v>173</v>
      </c>
    </row>
    <row r="3123" spans="1:29" ht="25.5" customHeight="1" x14ac:dyDescent="0.35">
      <c r="A3123" s="392"/>
      <c r="B3123" s="393"/>
      <c r="C3123" s="99" t="str">
        <f>IF(B3123="","",IF(NOT(ISNUMBER(B3123)),"DATA_PC invalida",IF(NOT(ISNUMBER(parametros!$C$2)),"Fora dos ciclos",IF(OR(B3123&lt;parametros!$C$2,(YEAR(B3123)-YEAR(parametros!$C$2))*12+MONTH(B3123)-MONTH(parametros!$C$2)&gt;59),"Fora dos ciclos","C"&amp;INT(((YEAR(B3123)-YEAR(parametros!$C$2))*12+MONTH(B3123)-MONTH(parametros!$C$2))/12)))))</f>
        <v/>
      </c>
      <c r="D3123" s="394"/>
      <c r="E3123" s="78" t="str">
        <f>IF(C3123="","",IFERROR(VLOOKUP(C3123,parametros!$A$11:$E$15,5,0),""))</f>
        <v/>
      </c>
      <c r="F3123" s="79" t="str">
        <f t="shared" si="242"/>
        <v/>
      </c>
      <c r="G3123" s="395"/>
      <c r="H3123" s="91">
        <f t="shared" si="243"/>
        <v>0</v>
      </c>
      <c r="I3123" s="91" t="str">
        <f t="shared" si="244"/>
        <v/>
      </c>
      <c r="J3123" s="91" t="str">
        <f t="shared" si="245"/>
        <v/>
      </c>
      <c r="K3123" s="92" t="str">
        <f>IF(AND(A3123="",B3123="",D3123="",G3123=""),"",IF(AND(A3123&lt;&gt;"",COUNTIF($A$2:$A$5001,A3123)&gt;1),"NUMERO_PC duplicado",IF(B3123="","DATA_PC vazia",IF(NOT(ISNUMBER(B3123)),"DATA_PC invalida",IF(OR(C3123="",C3123="Fora dos ciclos"),"CICLO_PC nao identificado",IF(OR(D3123="",D3123=0),"VALOR_PC vazio ou zero",IF(AND(G3123&lt;&gt;"Sim",G3123&lt;&gt;"Nao",G3123&lt;&gt;""),"PC_PAGO_A_CONTRATADA invalido",IF(AND(C3123&lt;&gt;"C0",IFERROR(INDEX(parametros!$A$2:$A$6,MATCH(C3123,parametros!$B$2:$B$6,0)),"")="Sim",IFERROR(INDEX(parametros!$H$2:$H$6,MATCH(C3123,parametros!$B$2:$B$6,0)),"")=""),"INICIO_EFEITO ausente: PC "&amp;A3123&amp;" - "&amp;C3123,IF(L3123="","EFEITO_PC nao calculado: PC "&amp;A3123&amp;" - "&amp;C3123,"OK")))))))))</f>
        <v/>
      </c>
      <c r="L3123" s="92" t="str">
        <f>IF(AND(A3123="",B3123="",D3123="",G3123=""),"",IF(OR(B3123="",NOT(ISNUMBER(B3123)),C3123="",C3123="Fora dos ciclos"),"",IF(C3123="C0","Nao",IF(IFERROR(INDEX(parametros!$A$2:$A$6,MATCH(C3123,parametros!$B$2:$B$6,0)),"")&lt;&gt;"Sim","Nao",IF(IFERROR(INDEX(parametros!$H$2:$H$6,MATCH(C3123,parametros!$B$2:$B$6,0)),"")="","",IF(B3123&gt;=IFERROR(INDEX(parametros!$H$2:$H$6,MATCH(C3123,parametros!$B$2:$B$6,0)),""),"Sim","Nao"))))))</f>
        <v/>
      </c>
      <c r="T3123" s="156"/>
      <c r="U3123" s="214" t="str">
        <f t="shared" si="246"/>
        <v/>
      </c>
      <c r="V3123" s="212" t="s">
        <v>50</v>
      </c>
      <c r="W3123" s="100" t="s">
        <v>168</v>
      </c>
      <c r="X3123" s="100" t="s">
        <v>169</v>
      </c>
      <c r="Y3123" s="101" t="s">
        <v>170</v>
      </c>
      <c r="Z3123" s="101" t="s">
        <v>171</v>
      </c>
      <c r="AA3123" s="101" t="s">
        <v>50</v>
      </c>
      <c r="AB3123" s="101" t="s">
        <v>172</v>
      </c>
      <c r="AC3123" s="102" t="s">
        <v>173</v>
      </c>
    </row>
    <row r="3124" spans="1:29" ht="25.5" customHeight="1" x14ac:dyDescent="0.35">
      <c r="A3124" s="392"/>
      <c r="B3124" s="393"/>
      <c r="C3124" s="99" t="str">
        <f>IF(B3124="","",IF(NOT(ISNUMBER(B3124)),"DATA_PC invalida",IF(NOT(ISNUMBER(parametros!$C$2)),"Fora dos ciclos",IF(OR(B3124&lt;parametros!$C$2,(YEAR(B3124)-YEAR(parametros!$C$2))*12+MONTH(B3124)-MONTH(parametros!$C$2)&gt;59),"Fora dos ciclos","C"&amp;INT(((YEAR(B3124)-YEAR(parametros!$C$2))*12+MONTH(B3124)-MONTH(parametros!$C$2))/12)))))</f>
        <v/>
      </c>
      <c r="D3124" s="394"/>
      <c r="E3124" s="78" t="str">
        <f>IF(C3124="","",IFERROR(VLOOKUP(C3124,parametros!$A$11:$E$15,5,0),""))</f>
        <v/>
      </c>
      <c r="F3124" s="79" t="str">
        <f t="shared" si="242"/>
        <v/>
      </c>
      <c r="G3124" s="395"/>
      <c r="H3124" s="91">
        <f t="shared" si="243"/>
        <v>0</v>
      </c>
      <c r="I3124" s="91" t="str">
        <f t="shared" si="244"/>
        <v/>
      </c>
      <c r="J3124" s="91" t="str">
        <f t="shared" si="245"/>
        <v/>
      </c>
      <c r="K3124" s="92" t="str">
        <f>IF(AND(A3124="",B3124="",D3124="",G3124=""),"",IF(AND(A3124&lt;&gt;"",COUNTIF($A$2:$A$5001,A3124)&gt;1),"NUMERO_PC duplicado",IF(B3124="","DATA_PC vazia",IF(NOT(ISNUMBER(B3124)),"DATA_PC invalida",IF(OR(C3124="",C3124="Fora dos ciclos"),"CICLO_PC nao identificado",IF(OR(D3124="",D3124=0),"VALOR_PC vazio ou zero",IF(AND(G3124&lt;&gt;"Sim",G3124&lt;&gt;"Nao",G3124&lt;&gt;""),"PC_PAGO_A_CONTRATADA invalido",IF(AND(C3124&lt;&gt;"C0",IFERROR(INDEX(parametros!$A$2:$A$6,MATCH(C3124,parametros!$B$2:$B$6,0)),"")="Sim",IFERROR(INDEX(parametros!$H$2:$H$6,MATCH(C3124,parametros!$B$2:$B$6,0)),"")=""),"INICIO_EFEITO ausente: PC "&amp;A3124&amp;" - "&amp;C3124,IF(L3124="","EFEITO_PC nao calculado: PC "&amp;A3124&amp;" - "&amp;C3124,"OK")))))))))</f>
        <v/>
      </c>
      <c r="L3124" s="92" t="str">
        <f>IF(AND(A3124="",B3124="",D3124="",G3124=""),"",IF(OR(B3124="",NOT(ISNUMBER(B3124)),C3124="",C3124="Fora dos ciclos"),"",IF(C3124="C0","Nao",IF(IFERROR(INDEX(parametros!$A$2:$A$6,MATCH(C3124,parametros!$B$2:$B$6,0)),"")&lt;&gt;"Sim","Nao",IF(IFERROR(INDEX(parametros!$H$2:$H$6,MATCH(C3124,parametros!$B$2:$B$6,0)),"")="","",IF(B3124&gt;=IFERROR(INDEX(parametros!$H$2:$H$6,MATCH(C3124,parametros!$B$2:$B$6,0)),""),"Sim","Nao"))))))</f>
        <v/>
      </c>
      <c r="T3124" s="156"/>
      <c r="U3124" s="214" t="str">
        <f t="shared" si="246"/>
        <v/>
      </c>
      <c r="V3124" s="212" t="s">
        <v>50</v>
      </c>
      <c r="W3124" s="100" t="s">
        <v>168</v>
      </c>
      <c r="X3124" s="100" t="s">
        <v>169</v>
      </c>
      <c r="Y3124" s="101" t="s">
        <v>170</v>
      </c>
      <c r="Z3124" s="101" t="s">
        <v>171</v>
      </c>
      <c r="AA3124" s="101" t="s">
        <v>50</v>
      </c>
      <c r="AB3124" s="101" t="s">
        <v>172</v>
      </c>
      <c r="AC3124" s="102" t="s">
        <v>173</v>
      </c>
    </row>
    <row r="3125" spans="1:29" ht="25.5" customHeight="1" x14ac:dyDescent="0.35">
      <c r="A3125" s="392"/>
      <c r="B3125" s="393"/>
      <c r="C3125" s="99" t="str">
        <f>IF(B3125="","",IF(NOT(ISNUMBER(B3125)),"DATA_PC invalida",IF(NOT(ISNUMBER(parametros!$C$2)),"Fora dos ciclos",IF(OR(B3125&lt;parametros!$C$2,(YEAR(B3125)-YEAR(parametros!$C$2))*12+MONTH(B3125)-MONTH(parametros!$C$2)&gt;59),"Fora dos ciclos","C"&amp;INT(((YEAR(B3125)-YEAR(parametros!$C$2))*12+MONTH(B3125)-MONTH(parametros!$C$2))/12)))))</f>
        <v/>
      </c>
      <c r="D3125" s="394"/>
      <c r="E3125" s="78" t="str">
        <f>IF(C3125="","",IFERROR(VLOOKUP(C3125,parametros!$A$11:$E$15,5,0),""))</f>
        <v/>
      </c>
      <c r="F3125" s="79" t="str">
        <f t="shared" si="242"/>
        <v/>
      </c>
      <c r="G3125" s="395"/>
      <c r="H3125" s="91">
        <f t="shared" si="243"/>
        <v>0</v>
      </c>
      <c r="I3125" s="91" t="str">
        <f t="shared" si="244"/>
        <v/>
      </c>
      <c r="J3125" s="91" t="str">
        <f t="shared" si="245"/>
        <v/>
      </c>
      <c r="K3125" s="92" t="str">
        <f>IF(AND(A3125="",B3125="",D3125="",G3125=""),"",IF(AND(A3125&lt;&gt;"",COUNTIF($A$2:$A$5001,A3125)&gt;1),"NUMERO_PC duplicado",IF(B3125="","DATA_PC vazia",IF(NOT(ISNUMBER(B3125)),"DATA_PC invalida",IF(OR(C3125="",C3125="Fora dos ciclos"),"CICLO_PC nao identificado",IF(OR(D3125="",D3125=0),"VALOR_PC vazio ou zero",IF(AND(G3125&lt;&gt;"Sim",G3125&lt;&gt;"Nao",G3125&lt;&gt;""),"PC_PAGO_A_CONTRATADA invalido",IF(AND(C3125&lt;&gt;"C0",IFERROR(INDEX(parametros!$A$2:$A$6,MATCH(C3125,parametros!$B$2:$B$6,0)),"")="Sim",IFERROR(INDEX(parametros!$H$2:$H$6,MATCH(C3125,parametros!$B$2:$B$6,0)),"")=""),"INICIO_EFEITO ausente: PC "&amp;A3125&amp;" - "&amp;C3125,IF(L3125="","EFEITO_PC nao calculado: PC "&amp;A3125&amp;" - "&amp;C3125,"OK")))))))))</f>
        <v/>
      </c>
      <c r="L3125" s="92" t="str">
        <f>IF(AND(A3125="",B3125="",D3125="",G3125=""),"",IF(OR(B3125="",NOT(ISNUMBER(B3125)),C3125="",C3125="Fora dos ciclos"),"",IF(C3125="C0","Nao",IF(IFERROR(INDEX(parametros!$A$2:$A$6,MATCH(C3125,parametros!$B$2:$B$6,0)),"")&lt;&gt;"Sim","Nao",IF(IFERROR(INDEX(parametros!$H$2:$H$6,MATCH(C3125,parametros!$B$2:$B$6,0)),"")="","",IF(B3125&gt;=IFERROR(INDEX(parametros!$H$2:$H$6,MATCH(C3125,parametros!$B$2:$B$6,0)),""),"Sim","Nao"))))))</f>
        <v/>
      </c>
      <c r="T3125" s="156"/>
      <c r="U3125" s="214" t="str">
        <f t="shared" si="246"/>
        <v/>
      </c>
      <c r="V3125" s="212" t="s">
        <v>50</v>
      </c>
      <c r="W3125" s="100" t="s">
        <v>168</v>
      </c>
      <c r="X3125" s="100" t="s">
        <v>169</v>
      </c>
      <c r="Y3125" s="101" t="s">
        <v>170</v>
      </c>
      <c r="Z3125" s="101" t="s">
        <v>171</v>
      </c>
      <c r="AA3125" s="101" t="s">
        <v>50</v>
      </c>
      <c r="AB3125" s="101" t="s">
        <v>172</v>
      </c>
      <c r="AC3125" s="102" t="s">
        <v>173</v>
      </c>
    </row>
    <row r="3126" spans="1:29" ht="25.5" customHeight="1" x14ac:dyDescent="0.35">
      <c r="A3126" s="392"/>
      <c r="B3126" s="393"/>
      <c r="C3126" s="99" t="str">
        <f>IF(B3126="","",IF(NOT(ISNUMBER(B3126)),"DATA_PC invalida",IF(NOT(ISNUMBER(parametros!$C$2)),"Fora dos ciclos",IF(OR(B3126&lt;parametros!$C$2,(YEAR(B3126)-YEAR(parametros!$C$2))*12+MONTH(B3126)-MONTH(parametros!$C$2)&gt;59),"Fora dos ciclos","C"&amp;INT(((YEAR(B3126)-YEAR(parametros!$C$2))*12+MONTH(B3126)-MONTH(parametros!$C$2))/12)))))</f>
        <v/>
      </c>
      <c r="D3126" s="394"/>
      <c r="E3126" s="78" t="str">
        <f>IF(C3126="","",IFERROR(VLOOKUP(C3126,parametros!$A$11:$E$15,5,0),""))</f>
        <v/>
      </c>
      <c r="F3126" s="79" t="str">
        <f t="shared" si="242"/>
        <v/>
      </c>
      <c r="G3126" s="395"/>
      <c r="H3126" s="91">
        <f t="shared" si="243"/>
        <v>0</v>
      </c>
      <c r="I3126" s="91" t="str">
        <f t="shared" si="244"/>
        <v/>
      </c>
      <c r="J3126" s="91" t="str">
        <f t="shared" si="245"/>
        <v/>
      </c>
      <c r="K3126" s="92" t="str">
        <f>IF(AND(A3126="",B3126="",D3126="",G3126=""),"",IF(AND(A3126&lt;&gt;"",COUNTIF($A$2:$A$5001,A3126)&gt;1),"NUMERO_PC duplicado",IF(B3126="","DATA_PC vazia",IF(NOT(ISNUMBER(B3126)),"DATA_PC invalida",IF(OR(C3126="",C3126="Fora dos ciclos"),"CICLO_PC nao identificado",IF(OR(D3126="",D3126=0),"VALOR_PC vazio ou zero",IF(AND(G3126&lt;&gt;"Sim",G3126&lt;&gt;"Nao",G3126&lt;&gt;""),"PC_PAGO_A_CONTRATADA invalido",IF(AND(C3126&lt;&gt;"C0",IFERROR(INDEX(parametros!$A$2:$A$6,MATCH(C3126,parametros!$B$2:$B$6,0)),"")="Sim",IFERROR(INDEX(parametros!$H$2:$H$6,MATCH(C3126,parametros!$B$2:$B$6,0)),"")=""),"INICIO_EFEITO ausente: PC "&amp;A3126&amp;" - "&amp;C3126,IF(L3126="","EFEITO_PC nao calculado: PC "&amp;A3126&amp;" - "&amp;C3126,"OK")))))))))</f>
        <v/>
      </c>
      <c r="L3126" s="92" t="str">
        <f>IF(AND(A3126="",B3126="",D3126="",G3126=""),"",IF(OR(B3126="",NOT(ISNUMBER(B3126)),C3126="",C3126="Fora dos ciclos"),"",IF(C3126="C0","Nao",IF(IFERROR(INDEX(parametros!$A$2:$A$6,MATCH(C3126,parametros!$B$2:$B$6,0)),"")&lt;&gt;"Sim","Nao",IF(IFERROR(INDEX(parametros!$H$2:$H$6,MATCH(C3126,parametros!$B$2:$B$6,0)),"")="","",IF(B3126&gt;=IFERROR(INDEX(parametros!$H$2:$H$6,MATCH(C3126,parametros!$B$2:$B$6,0)),""),"Sim","Nao"))))))</f>
        <v/>
      </c>
      <c r="T3126" s="156"/>
      <c r="U3126" s="214" t="str">
        <f t="shared" si="246"/>
        <v/>
      </c>
      <c r="V3126" s="212" t="s">
        <v>50</v>
      </c>
      <c r="W3126" s="100" t="s">
        <v>168</v>
      </c>
      <c r="X3126" s="100" t="s">
        <v>169</v>
      </c>
      <c r="Y3126" s="101" t="s">
        <v>170</v>
      </c>
      <c r="Z3126" s="101" t="s">
        <v>171</v>
      </c>
      <c r="AA3126" s="101" t="s">
        <v>50</v>
      </c>
      <c r="AB3126" s="101" t="s">
        <v>172</v>
      </c>
      <c r="AC3126" s="102" t="s">
        <v>173</v>
      </c>
    </row>
    <row r="3127" spans="1:29" ht="25.5" customHeight="1" x14ac:dyDescent="0.35">
      <c r="A3127" s="392"/>
      <c r="B3127" s="393"/>
      <c r="C3127" s="99" t="str">
        <f>IF(B3127="","",IF(NOT(ISNUMBER(B3127)),"DATA_PC invalida",IF(NOT(ISNUMBER(parametros!$C$2)),"Fora dos ciclos",IF(OR(B3127&lt;parametros!$C$2,(YEAR(B3127)-YEAR(parametros!$C$2))*12+MONTH(B3127)-MONTH(parametros!$C$2)&gt;59),"Fora dos ciclos","C"&amp;INT(((YEAR(B3127)-YEAR(parametros!$C$2))*12+MONTH(B3127)-MONTH(parametros!$C$2))/12)))))</f>
        <v/>
      </c>
      <c r="D3127" s="394"/>
      <c r="E3127" s="78" t="str">
        <f>IF(C3127="","",IFERROR(VLOOKUP(C3127,parametros!$A$11:$E$15,5,0),""))</f>
        <v/>
      </c>
      <c r="F3127" s="79" t="str">
        <f t="shared" si="242"/>
        <v/>
      </c>
      <c r="G3127" s="395"/>
      <c r="H3127" s="91">
        <f t="shared" si="243"/>
        <v>0</v>
      </c>
      <c r="I3127" s="91" t="str">
        <f t="shared" si="244"/>
        <v/>
      </c>
      <c r="J3127" s="91" t="str">
        <f t="shared" si="245"/>
        <v/>
      </c>
      <c r="K3127" s="92" t="str">
        <f>IF(AND(A3127="",B3127="",D3127="",G3127=""),"",IF(AND(A3127&lt;&gt;"",COUNTIF($A$2:$A$5001,A3127)&gt;1),"NUMERO_PC duplicado",IF(B3127="","DATA_PC vazia",IF(NOT(ISNUMBER(B3127)),"DATA_PC invalida",IF(OR(C3127="",C3127="Fora dos ciclos"),"CICLO_PC nao identificado",IF(OR(D3127="",D3127=0),"VALOR_PC vazio ou zero",IF(AND(G3127&lt;&gt;"Sim",G3127&lt;&gt;"Nao",G3127&lt;&gt;""),"PC_PAGO_A_CONTRATADA invalido",IF(AND(C3127&lt;&gt;"C0",IFERROR(INDEX(parametros!$A$2:$A$6,MATCH(C3127,parametros!$B$2:$B$6,0)),"")="Sim",IFERROR(INDEX(parametros!$H$2:$H$6,MATCH(C3127,parametros!$B$2:$B$6,0)),"")=""),"INICIO_EFEITO ausente: PC "&amp;A3127&amp;" - "&amp;C3127,IF(L3127="","EFEITO_PC nao calculado: PC "&amp;A3127&amp;" - "&amp;C3127,"OK")))))))))</f>
        <v/>
      </c>
      <c r="L3127" s="92" t="str">
        <f>IF(AND(A3127="",B3127="",D3127="",G3127=""),"",IF(OR(B3127="",NOT(ISNUMBER(B3127)),C3127="",C3127="Fora dos ciclos"),"",IF(C3127="C0","Nao",IF(IFERROR(INDEX(parametros!$A$2:$A$6,MATCH(C3127,parametros!$B$2:$B$6,0)),"")&lt;&gt;"Sim","Nao",IF(IFERROR(INDEX(parametros!$H$2:$H$6,MATCH(C3127,parametros!$B$2:$B$6,0)),"")="","",IF(B3127&gt;=IFERROR(INDEX(parametros!$H$2:$H$6,MATCH(C3127,parametros!$B$2:$B$6,0)),""),"Sim","Nao"))))))</f>
        <v/>
      </c>
      <c r="T3127" s="156"/>
      <c r="U3127" s="214" t="str">
        <f t="shared" si="246"/>
        <v/>
      </c>
      <c r="V3127" s="212" t="s">
        <v>50</v>
      </c>
      <c r="W3127" s="100" t="s">
        <v>168</v>
      </c>
      <c r="X3127" s="100" t="s">
        <v>169</v>
      </c>
      <c r="Y3127" s="101" t="s">
        <v>170</v>
      </c>
      <c r="Z3127" s="101" t="s">
        <v>171</v>
      </c>
      <c r="AA3127" s="101" t="s">
        <v>50</v>
      </c>
      <c r="AB3127" s="101" t="s">
        <v>172</v>
      </c>
      <c r="AC3127" s="102" t="s">
        <v>173</v>
      </c>
    </row>
    <row r="3128" spans="1:29" ht="25.5" customHeight="1" x14ac:dyDescent="0.35">
      <c r="A3128" s="392"/>
      <c r="B3128" s="393"/>
      <c r="C3128" s="99" t="str">
        <f>IF(B3128="","",IF(NOT(ISNUMBER(B3128)),"DATA_PC invalida",IF(NOT(ISNUMBER(parametros!$C$2)),"Fora dos ciclos",IF(OR(B3128&lt;parametros!$C$2,(YEAR(B3128)-YEAR(parametros!$C$2))*12+MONTH(B3128)-MONTH(parametros!$C$2)&gt;59),"Fora dos ciclos","C"&amp;INT(((YEAR(B3128)-YEAR(parametros!$C$2))*12+MONTH(B3128)-MONTH(parametros!$C$2))/12)))))</f>
        <v/>
      </c>
      <c r="D3128" s="394"/>
      <c r="E3128" s="78" t="str">
        <f>IF(C3128="","",IFERROR(VLOOKUP(C3128,parametros!$A$11:$E$15,5,0),""))</f>
        <v/>
      </c>
      <c r="F3128" s="79" t="str">
        <f t="shared" si="242"/>
        <v/>
      </c>
      <c r="G3128" s="395"/>
      <c r="H3128" s="91">
        <f t="shared" si="243"/>
        <v>0</v>
      </c>
      <c r="I3128" s="91" t="str">
        <f t="shared" si="244"/>
        <v/>
      </c>
      <c r="J3128" s="91" t="str">
        <f t="shared" si="245"/>
        <v/>
      </c>
      <c r="K3128" s="92" t="str">
        <f>IF(AND(A3128="",B3128="",D3128="",G3128=""),"",IF(AND(A3128&lt;&gt;"",COUNTIF($A$2:$A$5001,A3128)&gt;1),"NUMERO_PC duplicado",IF(B3128="","DATA_PC vazia",IF(NOT(ISNUMBER(B3128)),"DATA_PC invalida",IF(OR(C3128="",C3128="Fora dos ciclos"),"CICLO_PC nao identificado",IF(OR(D3128="",D3128=0),"VALOR_PC vazio ou zero",IF(AND(G3128&lt;&gt;"Sim",G3128&lt;&gt;"Nao",G3128&lt;&gt;""),"PC_PAGO_A_CONTRATADA invalido",IF(AND(C3128&lt;&gt;"C0",IFERROR(INDEX(parametros!$A$2:$A$6,MATCH(C3128,parametros!$B$2:$B$6,0)),"")="Sim",IFERROR(INDEX(parametros!$H$2:$H$6,MATCH(C3128,parametros!$B$2:$B$6,0)),"")=""),"INICIO_EFEITO ausente: PC "&amp;A3128&amp;" - "&amp;C3128,IF(L3128="","EFEITO_PC nao calculado: PC "&amp;A3128&amp;" - "&amp;C3128,"OK")))))))))</f>
        <v/>
      </c>
      <c r="L3128" s="92" t="str">
        <f>IF(AND(A3128="",B3128="",D3128="",G3128=""),"",IF(OR(B3128="",NOT(ISNUMBER(B3128)),C3128="",C3128="Fora dos ciclos"),"",IF(C3128="C0","Nao",IF(IFERROR(INDEX(parametros!$A$2:$A$6,MATCH(C3128,parametros!$B$2:$B$6,0)),"")&lt;&gt;"Sim","Nao",IF(IFERROR(INDEX(parametros!$H$2:$H$6,MATCH(C3128,parametros!$B$2:$B$6,0)),"")="","",IF(B3128&gt;=IFERROR(INDEX(parametros!$H$2:$H$6,MATCH(C3128,parametros!$B$2:$B$6,0)),""),"Sim","Nao"))))))</f>
        <v/>
      </c>
      <c r="T3128" s="156"/>
      <c r="U3128" s="214" t="str">
        <f t="shared" si="246"/>
        <v/>
      </c>
      <c r="V3128" s="212" t="s">
        <v>50</v>
      </c>
      <c r="W3128" s="100" t="s">
        <v>168</v>
      </c>
      <c r="X3128" s="100" t="s">
        <v>169</v>
      </c>
      <c r="Y3128" s="101" t="s">
        <v>170</v>
      </c>
      <c r="Z3128" s="101" t="s">
        <v>171</v>
      </c>
      <c r="AA3128" s="101" t="s">
        <v>50</v>
      </c>
      <c r="AB3128" s="101" t="s">
        <v>172</v>
      </c>
      <c r="AC3128" s="102" t="s">
        <v>173</v>
      </c>
    </row>
    <row r="3129" spans="1:29" ht="25.5" customHeight="1" x14ac:dyDescent="0.35">
      <c r="A3129" s="392"/>
      <c r="B3129" s="393"/>
      <c r="C3129" s="99" t="str">
        <f>IF(B3129="","",IF(NOT(ISNUMBER(B3129)),"DATA_PC invalida",IF(NOT(ISNUMBER(parametros!$C$2)),"Fora dos ciclos",IF(OR(B3129&lt;parametros!$C$2,(YEAR(B3129)-YEAR(parametros!$C$2))*12+MONTH(B3129)-MONTH(parametros!$C$2)&gt;59),"Fora dos ciclos","C"&amp;INT(((YEAR(B3129)-YEAR(parametros!$C$2))*12+MONTH(B3129)-MONTH(parametros!$C$2))/12)))))</f>
        <v/>
      </c>
      <c r="D3129" s="394"/>
      <c r="E3129" s="78" t="str">
        <f>IF(C3129="","",IFERROR(VLOOKUP(C3129,parametros!$A$11:$E$15,5,0),""))</f>
        <v/>
      </c>
      <c r="F3129" s="79" t="str">
        <f t="shared" si="242"/>
        <v/>
      </c>
      <c r="G3129" s="395"/>
      <c r="H3129" s="91">
        <f t="shared" si="243"/>
        <v>0</v>
      </c>
      <c r="I3129" s="91" t="str">
        <f t="shared" si="244"/>
        <v/>
      </c>
      <c r="J3129" s="91" t="str">
        <f t="shared" si="245"/>
        <v/>
      </c>
      <c r="K3129" s="92" t="str">
        <f>IF(AND(A3129="",B3129="",D3129="",G3129=""),"",IF(AND(A3129&lt;&gt;"",COUNTIF($A$2:$A$5001,A3129)&gt;1),"NUMERO_PC duplicado",IF(B3129="","DATA_PC vazia",IF(NOT(ISNUMBER(B3129)),"DATA_PC invalida",IF(OR(C3129="",C3129="Fora dos ciclos"),"CICLO_PC nao identificado",IF(OR(D3129="",D3129=0),"VALOR_PC vazio ou zero",IF(AND(G3129&lt;&gt;"Sim",G3129&lt;&gt;"Nao",G3129&lt;&gt;""),"PC_PAGO_A_CONTRATADA invalido",IF(AND(C3129&lt;&gt;"C0",IFERROR(INDEX(parametros!$A$2:$A$6,MATCH(C3129,parametros!$B$2:$B$6,0)),"")="Sim",IFERROR(INDEX(parametros!$H$2:$H$6,MATCH(C3129,parametros!$B$2:$B$6,0)),"")=""),"INICIO_EFEITO ausente: PC "&amp;A3129&amp;" - "&amp;C3129,IF(L3129="","EFEITO_PC nao calculado: PC "&amp;A3129&amp;" - "&amp;C3129,"OK")))))))))</f>
        <v/>
      </c>
      <c r="L3129" s="92" t="str">
        <f>IF(AND(A3129="",B3129="",D3129="",G3129=""),"",IF(OR(B3129="",NOT(ISNUMBER(B3129)),C3129="",C3129="Fora dos ciclos"),"",IF(C3129="C0","Nao",IF(IFERROR(INDEX(parametros!$A$2:$A$6,MATCH(C3129,parametros!$B$2:$B$6,0)),"")&lt;&gt;"Sim","Nao",IF(IFERROR(INDEX(parametros!$H$2:$H$6,MATCH(C3129,parametros!$B$2:$B$6,0)),"")="","",IF(B3129&gt;=IFERROR(INDEX(parametros!$H$2:$H$6,MATCH(C3129,parametros!$B$2:$B$6,0)),""),"Sim","Nao"))))))</f>
        <v/>
      </c>
      <c r="T3129" s="156"/>
      <c r="U3129" s="214" t="str">
        <f t="shared" si="246"/>
        <v/>
      </c>
      <c r="V3129" s="212" t="s">
        <v>50</v>
      </c>
      <c r="W3129" s="100" t="s">
        <v>168</v>
      </c>
      <c r="X3129" s="100" t="s">
        <v>169</v>
      </c>
      <c r="Y3129" s="101" t="s">
        <v>170</v>
      </c>
      <c r="Z3129" s="101" t="s">
        <v>171</v>
      </c>
      <c r="AA3129" s="101" t="s">
        <v>50</v>
      </c>
      <c r="AB3129" s="101" t="s">
        <v>172</v>
      </c>
      <c r="AC3129" s="102" t="s">
        <v>173</v>
      </c>
    </row>
    <row r="3130" spans="1:29" ht="25.5" customHeight="1" x14ac:dyDescent="0.35">
      <c r="A3130" s="392"/>
      <c r="B3130" s="393"/>
      <c r="C3130" s="99" t="str">
        <f>IF(B3130="","",IF(NOT(ISNUMBER(B3130)),"DATA_PC invalida",IF(NOT(ISNUMBER(parametros!$C$2)),"Fora dos ciclos",IF(OR(B3130&lt;parametros!$C$2,(YEAR(B3130)-YEAR(parametros!$C$2))*12+MONTH(B3130)-MONTH(parametros!$C$2)&gt;59),"Fora dos ciclos","C"&amp;INT(((YEAR(B3130)-YEAR(parametros!$C$2))*12+MONTH(B3130)-MONTH(parametros!$C$2))/12)))))</f>
        <v/>
      </c>
      <c r="D3130" s="394"/>
      <c r="E3130" s="78" t="str">
        <f>IF(C3130="","",IFERROR(VLOOKUP(C3130,parametros!$A$11:$E$15,5,0),""))</f>
        <v/>
      </c>
      <c r="F3130" s="79" t="str">
        <f t="shared" si="242"/>
        <v/>
      </c>
      <c r="G3130" s="395"/>
      <c r="H3130" s="91">
        <f t="shared" si="243"/>
        <v>0</v>
      </c>
      <c r="I3130" s="91" t="str">
        <f t="shared" si="244"/>
        <v/>
      </c>
      <c r="J3130" s="91" t="str">
        <f t="shared" si="245"/>
        <v/>
      </c>
      <c r="K3130" s="92" t="str">
        <f>IF(AND(A3130="",B3130="",D3130="",G3130=""),"",IF(AND(A3130&lt;&gt;"",COUNTIF($A$2:$A$5001,A3130)&gt;1),"NUMERO_PC duplicado",IF(B3130="","DATA_PC vazia",IF(NOT(ISNUMBER(B3130)),"DATA_PC invalida",IF(OR(C3130="",C3130="Fora dos ciclos"),"CICLO_PC nao identificado",IF(OR(D3130="",D3130=0),"VALOR_PC vazio ou zero",IF(AND(G3130&lt;&gt;"Sim",G3130&lt;&gt;"Nao",G3130&lt;&gt;""),"PC_PAGO_A_CONTRATADA invalido",IF(AND(C3130&lt;&gt;"C0",IFERROR(INDEX(parametros!$A$2:$A$6,MATCH(C3130,parametros!$B$2:$B$6,0)),"")="Sim",IFERROR(INDEX(parametros!$H$2:$H$6,MATCH(C3130,parametros!$B$2:$B$6,0)),"")=""),"INICIO_EFEITO ausente: PC "&amp;A3130&amp;" - "&amp;C3130,IF(L3130="","EFEITO_PC nao calculado: PC "&amp;A3130&amp;" - "&amp;C3130,"OK")))))))))</f>
        <v/>
      </c>
      <c r="L3130" s="92" t="str">
        <f>IF(AND(A3130="",B3130="",D3130="",G3130=""),"",IF(OR(B3130="",NOT(ISNUMBER(B3130)),C3130="",C3130="Fora dos ciclos"),"",IF(C3130="C0","Nao",IF(IFERROR(INDEX(parametros!$A$2:$A$6,MATCH(C3130,parametros!$B$2:$B$6,0)),"")&lt;&gt;"Sim","Nao",IF(IFERROR(INDEX(parametros!$H$2:$H$6,MATCH(C3130,parametros!$B$2:$B$6,0)),"")="","",IF(B3130&gt;=IFERROR(INDEX(parametros!$H$2:$H$6,MATCH(C3130,parametros!$B$2:$B$6,0)),""),"Sim","Nao"))))))</f>
        <v/>
      </c>
      <c r="T3130" s="156"/>
      <c r="U3130" s="214" t="str">
        <f t="shared" si="246"/>
        <v/>
      </c>
      <c r="V3130" s="212" t="s">
        <v>50</v>
      </c>
      <c r="W3130" s="100" t="s">
        <v>168</v>
      </c>
      <c r="X3130" s="100" t="s">
        <v>169</v>
      </c>
      <c r="Y3130" s="101" t="s">
        <v>170</v>
      </c>
      <c r="Z3130" s="101" t="s">
        <v>171</v>
      </c>
      <c r="AA3130" s="101" t="s">
        <v>50</v>
      </c>
      <c r="AB3130" s="101" t="s">
        <v>172</v>
      </c>
      <c r="AC3130" s="102" t="s">
        <v>173</v>
      </c>
    </row>
    <row r="3131" spans="1:29" ht="25.5" customHeight="1" x14ac:dyDescent="0.35">
      <c r="A3131" s="392"/>
      <c r="B3131" s="393"/>
      <c r="C3131" s="99" t="str">
        <f>IF(B3131="","",IF(NOT(ISNUMBER(B3131)),"DATA_PC invalida",IF(NOT(ISNUMBER(parametros!$C$2)),"Fora dos ciclos",IF(OR(B3131&lt;parametros!$C$2,(YEAR(B3131)-YEAR(parametros!$C$2))*12+MONTH(B3131)-MONTH(parametros!$C$2)&gt;59),"Fora dos ciclos","C"&amp;INT(((YEAR(B3131)-YEAR(parametros!$C$2))*12+MONTH(B3131)-MONTH(parametros!$C$2))/12)))))</f>
        <v/>
      </c>
      <c r="D3131" s="394"/>
      <c r="E3131" s="78" t="str">
        <f>IF(C3131="","",IFERROR(VLOOKUP(C3131,parametros!$A$11:$E$15,5,0),""))</f>
        <v/>
      </c>
      <c r="F3131" s="79" t="str">
        <f t="shared" si="242"/>
        <v/>
      </c>
      <c r="G3131" s="395"/>
      <c r="H3131" s="91">
        <f t="shared" si="243"/>
        <v>0</v>
      </c>
      <c r="I3131" s="91" t="str">
        <f t="shared" si="244"/>
        <v/>
      </c>
      <c r="J3131" s="91" t="str">
        <f t="shared" si="245"/>
        <v/>
      </c>
      <c r="K3131" s="92" t="str">
        <f>IF(AND(A3131="",B3131="",D3131="",G3131=""),"",IF(AND(A3131&lt;&gt;"",COUNTIF($A$2:$A$5001,A3131)&gt;1),"NUMERO_PC duplicado",IF(B3131="","DATA_PC vazia",IF(NOT(ISNUMBER(B3131)),"DATA_PC invalida",IF(OR(C3131="",C3131="Fora dos ciclos"),"CICLO_PC nao identificado",IF(OR(D3131="",D3131=0),"VALOR_PC vazio ou zero",IF(AND(G3131&lt;&gt;"Sim",G3131&lt;&gt;"Nao",G3131&lt;&gt;""),"PC_PAGO_A_CONTRATADA invalido",IF(AND(C3131&lt;&gt;"C0",IFERROR(INDEX(parametros!$A$2:$A$6,MATCH(C3131,parametros!$B$2:$B$6,0)),"")="Sim",IFERROR(INDEX(parametros!$H$2:$H$6,MATCH(C3131,parametros!$B$2:$B$6,0)),"")=""),"INICIO_EFEITO ausente: PC "&amp;A3131&amp;" - "&amp;C3131,IF(L3131="","EFEITO_PC nao calculado: PC "&amp;A3131&amp;" - "&amp;C3131,"OK")))))))))</f>
        <v/>
      </c>
      <c r="L3131" s="92" t="str">
        <f>IF(AND(A3131="",B3131="",D3131="",G3131=""),"",IF(OR(B3131="",NOT(ISNUMBER(B3131)),C3131="",C3131="Fora dos ciclos"),"",IF(C3131="C0","Nao",IF(IFERROR(INDEX(parametros!$A$2:$A$6,MATCH(C3131,parametros!$B$2:$B$6,0)),"")&lt;&gt;"Sim","Nao",IF(IFERROR(INDEX(parametros!$H$2:$H$6,MATCH(C3131,parametros!$B$2:$B$6,0)),"")="","",IF(B3131&gt;=IFERROR(INDEX(parametros!$H$2:$H$6,MATCH(C3131,parametros!$B$2:$B$6,0)),""),"Sim","Nao"))))))</f>
        <v/>
      </c>
      <c r="T3131" s="156"/>
      <c r="U3131" s="214" t="str">
        <f t="shared" si="246"/>
        <v/>
      </c>
      <c r="V3131" s="212" t="s">
        <v>50</v>
      </c>
      <c r="W3131" s="100" t="s">
        <v>168</v>
      </c>
      <c r="X3131" s="100" t="s">
        <v>169</v>
      </c>
      <c r="Y3131" s="101" t="s">
        <v>170</v>
      </c>
      <c r="Z3131" s="101" t="s">
        <v>171</v>
      </c>
      <c r="AA3131" s="101" t="s">
        <v>50</v>
      </c>
      <c r="AB3131" s="101" t="s">
        <v>172</v>
      </c>
      <c r="AC3131" s="102" t="s">
        <v>173</v>
      </c>
    </row>
    <row r="3132" spans="1:29" ht="25.5" customHeight="1" x14ac:dyDescent="0.35">
      <c r="A3132" s="392"/>
      <c r="B3132" s="393"/>
      <c r="C3132" s="99" t="str">
        <f>IF(B3132="","",IF(NOT(ISNUMBER(B3132)),"DATA_PC invalida",IF(NOT(ISNUMBER(parametros!$C$2)),"Fora dos ciclos",IF(OR(B3132&lt;parametros!$C$2,(YEAR(B3132)-YEAR(parametros!$C$2))*12+MONTH(B3132)-MONTH(parametros!$C$2)&gt;59),"Fora dos ciclos","C"&amp;INT(((YEAR(B3132)-YEAR(parametros!$C$2))*12+MONTH(B3132)-MONTH(parametros!$C$2))/12)))))</f>
        <v/>
      </c>
      <c r="D3132" s="394"/>
      <c r="E3132" s="78" t="str">
        <f>IF(C3132="","",IFERROR(VLOOKUP(C3132,parametros!$A$11:$E$15,5,0),""))</f>
        <v/>
      </c>
      <c r="F3132" s="79" t="str">
        <f t="shared" si="242"/>
        <v/>
      </c>
      <c r="G3132" s="395"/>
      <c r="H3132" s="91">
        <f t="shared" si="243"/>
        <v>0</v>
      </c>
      <c r="I3132" s="91" t="str">
        <f t="shared" si="244"/>
        <v/>
      </c>
      <c r="J3132" s="91" t="str">
        <f t="shared" si="245"/>
        <v/>
      </c>
      <c r="K3132" s="92" t="str">
        <f>IF(AND(A3132="",B3132="",D3132="",G3132=""),"",IF(AND(A3132&lt;&gt;"",COUNTIF($A$2:$A$5001,A3132)&gt;1),"NUMERO_PC duplicado",IF(B3132="","DATA_PC vazia",IF(NOT(ISNUMBER(B3132)),"DATA_PC invalida",IF(OR(C3132="",C3132="Fora dos ciclos"),"CICLO_PC nao identificado",IF(OR(D3132="",D3132=0),"VALOR_PC vazio ou zero",IF(AND(G3132&lt;&gt;"Sim",G3132&lt;&gt;"Nao",G3132&lt;&gt;""),"PC_PAGO_A_CONTRATADA invalido",IF(AND(C3132&lt;&gt;"C0",IFERROR(INDEX(parametros!$A$2:$A$6,MATCH(C3132,parametros!$B$2:$B$6,0)),"")="Sim",IFERROR(INDEX(parametros!$H$2:$H$6,MATCH(C3132,parametros!$B$2:$B$6,0)),"")=""),"INICIO_EFEITO ausente: PC "&amp;A3132&amp;" - "&amp;C3132,IF(L3132="","EFEITO_PC nao calculado: PC "&amp;A3132&amp;" - "&amp;C3132,"OK")))))))))</f>
        <v/>
      </c>
      <c r="L3132" s="92" t="str">
        <f>IF(AND(A3132="",B3132="",D3132="",G3132=""),"",IF(OR(B3132="",NOT(ISNUMBER(B3132)),C3132="",C3132="Fora dos ciclos"),"",IF(C3132="C0","Nao",IF(IFERROR(INDEX(parametros!$A$2:$A$6,MATCH(C3132,parametros!$B$2:$B$6,0)),"")&lt;&gt;"Sim","Nao",IF(IFERROR(INDEX(parametros!$H$2:$H$6,MATCH(C3132,parametros!$B$2:$B$6,0)),"")="","",IF(B3132&gt;=IFERROR(INDEX(parametros!$H$2:$H$6,MATCH(C3132,parametros!$B$2:$B$6,0)),""),"Sim","Nao"))))))</f>
        <v/>
      </c>
      <c r="T3132" s="156"/>
      <c r="U3132" s="214" t="str">
        <f t="shared" si="246"/>
        <v/>
      </c>
      <c r="V3132" s="212" t="s">
        <v>50</v>
      </c>
      <c r="W3132" s="100" t="s">
        <v>168</v>
      </c>
      <c r="X3132" s="100" t="s">
        <v>169</v>
      </c>
      <c r="Y3132" s="101" t="s">
        <v>170</v>
      </c>
      <c r="Z3132" s="101" t="s">
        <v>171</v>
      </c>
      <c r="AA3132" s="101" t="s">
        <v>50</v>
      </c>
      <c r="AB3132" s="101" t="s">
        <v>172</v>
      </c>
      <c r="AC3132" s="102" t="s">
        <v>173</v>
      </c>
    </row>
    <row r="3133" spans="1:29" ht="25.5" customHeight="1" x14ac:dyDescent="0.35">
      <c r="A3133" s="392"/>
      <c r="B3133" s="393"/>
      <c r="C3133" s="99" t="str">
        <f>IF(B3133="","",IF(NOT(ISNUMBER(B3133)),"DATA_PC invalida",IF(NOT(ISNUMBER(parametros!$C$2)),"Fora dos ciclos",IF(OR(B3133&lt;parametros!$C$2,(YEAR(B3133)-YEAR(parametros!$C$2))*12+MONTH(B3133)-MONTH(parametros!$C$2)&gt;59),"Fora dos ciclos","C"&amp;INT(((YEAR(B3133)-YEAR(parametros!$C$2))*12+MONTH(B3133)-MONTH(parametros!$C$2))/12)))))</f>
        <v/>
      </c>
      <c r="D3133" s="394"/>
      <c r="E3133" s="78" t="str">
        <f>IF(C3133="","",IFERROR(VLOOKUP(C3133,parametros!$A$11:$E$15,5,0),""))</f>
        <v/>
      </c>
      <c r="F3133" s="79" t="str">
        <f t="shared" si="242"/>
        <v/>
      </c>
      <c r="G3133" s="395"/>
      <c r="H3133" s="91">
        <f t="shared" si="243"/>
        <v>0</v>
      </c>
      <c r="I3133" s="91" t="str">
        <f t="shared" si="244"/>
        <v/>
      </c>
      <c r="J3133" s="91" t="str">
        <f t="shared" si="245"/>
        <v/>
      </c>
      <c r="K3133" s="92" t="str">
        <f>IF(AND(A3133="",B3133="",D3133="",G3133=""),"",IF(AND(A3133&lt;&gt;"",COUNTIF($A$2:$A$5001,A3133)&gt;1),"NUMERO_PC duplicado",IF(B3133="","DATA_PC vazia",IF(NOT(ISNUMBER(B3133)),"DATA_PC invalida",IF(OR(C3133="",C3133="Fora dos ciclos"),"CICLO_PC nao identificado",IF(OR(D3133="",D3133=0),"VALOR_PC vazio ou zero",IF(AND(G3133&lt;&gt;"Sim",G3133&lt;&gt;"Nao",G3133&lt;&gt;""),"PC_PAGO_A_CONTRATADA invalido",IF(AND(C3133&lt;&gt;"C0",IFERROR(INDEX(parametros!$A$2:$A$6,MATCH(C3133,parametros!$B$2:$B$6,0)),"")="Sim",IFERROR(INDEX(parametros!$H$2:$H$6,MATCH(C3133,parametros!$B$2:$B$6,0)),"")=""),"INICIO_EFEITO ausente: PC "&amp;A3133&amp;" - "&amp;C3133,IF(L3133="","EFEITO_PC nao calculado: PC "&amp;A3133&amp;" - "&amp;C3133,"OK")))))))))</f>
        <v/>
      </c>
      <c r="L3133" s="92" t="str">
        <f>IF(AND(A3133="",B3133="",D3133="",G3133=""),"",IF(OR(B3133="",NOT(ISNUMBER(B3133)),C3133="",C3133="Fora dos ciclos"),"",IF(C3133="C0","Nao",IF(IFERROR(INDEX(parametros!$A$2:$A$6,MATCH(C3133,parametros!$B$2:$B$6,0)),"")&lt;&gt;"Sim","Nao",IF(IFERROR(INDEX(parametros!$H$2:$H$6,MATCH(C3133,parametros!$B$2:$B$6,0)),"")="","",IF(B3133&gt;=IFERROR(INDEX(parametros!$H$2:$H$6,MATCH(C3133,parametros!$B$2:$B$6,0)),""),"Sim","Nao"))))))</f>
        <v/>
      </c>
      <c r="T3133" s="156"/>
      <c r="U3133" s="214" t="str">
        <f t="shared" si="246"/>
        <v/>
      </c>
      <c r="V3133" s="212" t="s">
        <v>50</v>
      </c>
      <c r="W3133" s="100" t="s">
        <v>168</v>
      </c>
      <c r="X3133" s="100" t="s">
        <v>169</v>
      </c>
      <c r="Y3133" s="101" t="s">
        <v>170</v>
      </c>
      <c r="Z3133" s="101" t="s">
        <v>171</v>
      </c>
      <c r="AA3133" s="101" t="s">
        <v>50</v>
      </c>
      <c r="AB3133" s="101" t="s">
        <v>172</v>
      </c>
      <c r="AC3133" s="102" t="s">
        <v>173</v>
      </c>
    </row>
    <row r="3134" spans="1:29" ht="25.5" customHeight="1" x14ac:dyDescent="0.35">
      <c r="A3134" s="392"/>
      <c r="B3134" s="393"/>
      <c r="C3134" s="99" t="str">
        <f>IF(B3134="","",IF(NOT(ISNUMBER(B3134)),"DATA_PC invalida",IF(NOT(ISNUMBER(parametros!$C$2)),"Fora dos ciclos",IF(OR(B3134&lt;parametros!$C$2,(YEAR(B3134)-YEAR(parametros!$C$2))*12+MONTH(B3134)-MONTH(parametros!$C$2)&gt;59),"Fora dos ciclos","C"&amp;INT(((YEAR(B3134)-YEAR(parametros!$C$2))*12+MONTH(B3134)-MONTH(parametros!$C$2))/12)))))</f>
        <v/>
      </c>
      <c r="D3134" s="394"/>
      <c r="E3134" s="78" t="str">
        <f>IF(C3134="","",IFERROR(VLOOKUP(C3134,parametros!$A$11:$E$15,5,0),""))</f>
        <v/>
      </c>
      <c r="F3134" s="79" t="str">
        <f t="shared" si="242"/>
        <v/>
      </c>
      <c r="G3134" s="395"/>
      <c r="H3134" s="91">
        <f t="shared" si="243"/>
        <v>0</v>
      </c>
      <c r="I3134" s="91" t="str">
        <f t="shared" si="244"/>
        <v/>
      </c>
      <c r="J3134" s="91" t="str">
        <f t="shared" si="245"/>
        <v/>
      </c>
      <c r="K3134" s="92" t="str">
        <f>IF(AND(A3134="",B3134="",D3134="",G3134=""),"",IF(AND(A3134&lt;&gt;"",COUNTIF($A$2:$A$5001,A3134)&gt;1),"NUMERO_PC duplicado",IF(B3134="","DATA_PC vazia",IF(NOT(ISNUMBER(B3134)),"DATA_PC invalida",IF(OR(C3134="",C3134="Fora dos ciclos"),"CICLO_PC nao identificado",IF(OR(D3134="",D3134=0),"VALOR_PC vazio ou zero",IF(AND(G3134&lt;&gt;"Sim",G3134&lt;&gt;"Nao",G3134&lt;&gt;""),"PC_PAGO_A_CONTRATADA invalido",IF(AND(C3134&lt;&gt;"C0",IFERROR(INDEX(parametros!$A$2:$A$6,MATCH(C3134,parametros!$B$2:$B$6,0)),"")="Sim",IFERROR(INDEX(parametros!$H$2:$H$6,MATCH(C3134,parametros!$B$2:$B$6,0)),"")=""),"INICIO_EFEITO ausente: PC "&amp;A3134&amp;" - "&amp;C3134,IF(L3134="","EFEITO_PC nao calculado: PC "&amp;A3134&amp;" - "&amp;C3134,"OK")))))))))</f>
        <v/>
      </c>
      <c r="L3134" s="92" t="str">
        <f>IF(AND(A3134="",B3134="",D3134="",G3134=""),"",IF(OR(B3134="",NOT(ISNUMBER(B3134)),C3134="",C3134="Fora dos ciclos"),"",IF(C3134="C0","Nao",IF(IFERROR(INDEX(parametros!$A$2:$A$6,MATCH(C3134,parametros!$B$2:$B$6,0)),"")&lt;&gt;"Sim","Nao",IF(IFERROR(INDEX(parametros!$H$2:$H$6,MATCH(C3134,parametros!$B$2:$B$6,0)),"")="","",IF(B3134&gt;=IFERROR(INDEX(parametros!$H$2:$H$6,MATCH(C3134,parametros!$B$2:$B$6,0)),""),"Sim","Nao"))))))</f>
        <v/>
      </c>
      <c r="T3134" s="156"/>
      <c r="U3134" s="214" t="str">
        <f t="shared" si="246"/>
        <v/>
      </c>
      <c r="V3134" s="212" t="s">
        <v>50</v>
      </c>
      <c r="W3134" s="100" t="s">
        <v>168</v>
      </c>
      <c r="X3134" s="100" t="s">
        <v>169</v>
      </c>
      <c r="Y3134" s="101" t="s">
        <v>170</v>
      </c>
      <c r="Z3134" s="101" t="s">
        <v>171</v>
      </c>
      <c r="AA3134" s="101" t="s">
        <v>50</v>
      </c>
      <c r="AB3134" s="101" t="s">
        <v>172</v>
      </c>
      <c r="AC3134" s="102" t="s">
        <v>173</v>
      </c>
    </row>
    <row r="3135" spans="1:29" ht="25.5" customHeight="1" x14ac:dyDescent="0.35">
      <c r="A3135" s="392"/>
      <c r="B3135" s="393"/>
      <c r="C3135" s="99" t="str">
        <f>IF(B3135="","",IF(NOT(ISNUMBER(B3135)),"DATA_PC invalida",IF(NOT(ISNUMBER(parametros!$C$2)),"Fora dos ciclos",IF(OR(B3135&lt;parametros!$C$2,(YEAR(B3135)-YEAR(parametros!$C$2))*12+MONTH(B3135)-MONTH(parametros!$C$2)&gt;59),"Fora dos ciclos","C"&amp;INT(((YEAR(B3135)-YEAR(parametros!$C$2))*12+MONTH(B3135)-MONTH(parametros!$C$2))/12)))))</f>
        <v/>
      </c>
      <c r="D3135" s="394"/>
      <c r="E3135" s="78" t="str">
        <f>IF(C3135="","",IFERROR(VLOOKUP(C3135,parametros!$A$11:$E$15,5,0),""))</f>
        <v/>
      </c>
      <c r="F3135" s="79" t="str">
        <f t="shared" si="242"/>
        <v/>
      </c>
      <c r="G3135" s="395"/>
      <c r="H3135" s="91">
        <f t="shared" si="243"/>
        <v>0</v>
      </c>
      <c r="I3135" s="91" t="str">
        <f t="shared" si="244"/>
        <v/>
      </c>
      <c r="J3135" s="91" t="str">
        <f t="shared" si="245"/>
        <v/>
      </c>
      <c r="K3135" s="92" t="str">
        <f>IF(AND(A3135="",B3135="",D3135="",G3135=""),"",IF(AND(A3135&lt;&gt;"",COUNTIF($A$2:$A$5001,A3135)&gt;1),"NUMERO_PC duplicado",IF(B3135="","DATA_PC vazia",IF(NOT(ISNUMBER(B3135)),"DATA_PC invalida",IF(OR(C3135="",C3135="Fora dos ciclos"),"CICLO_PC nao identificado",IF(OR(D3135="",D3135=0),"VALOR_PC vazio ou zero",IF(AND(G3135&lt;&gt;"Sim",G3135&lt;&gt;"Nao",G3135&lt;&gt;""),"PC_PAGO_A_CONTRATADA invalido",IF(AND(C3135&lt;&gt;"C0",IFERROR(INDEX(parametros!$A$2:$A$6,MATCH(C3135,parametros!$B$2:$B$6,0)),"")="Sim",IFERROR(INDEX(parametros!$H$2:$H$6,MATCH(C3135,parametros!$B$2:$B$6,0)),"")=""),"INICIO_EFEITO ausente: PC "&amp;A3135&amp;" - "&amp;C3135,IF(L3135="","EFEITO_PC nao calculado: PC "&amp;A3135&amp;" - "&amp;C3135,"OK")))))))))</f>
        <v/>
      </c>
      <c r="L3135" s="92" t="str">
        <f>IF(AND(A3135="",B3135="",D3135="",G3135=""),"",IF(OR(B3135="",NOT(ISNUMBER(B3135)),C3135="",C3135="Fora dos ciclos"),"",IF(C3135="C0","Nao",IF(IFERROR(INDEX(parametros!$A$2:$A$6,MATCH(C3135,parametros!$B$2:$B$6,0)),"")&lt;&gt;"Sim","Nao",IF(IFERROR(INDEX(parametros!$H$2:$H$6,MATCH(C3135,parametros!$B$2:$B$6,0)),"")="","",IF(B3135&gt;=IFERROR(INDEX(parametros!$H$2:$H$6,MATCH(C3135,parametros!$B$2:$B$6,0)),""),"Sim","Nao"))))))</f>
        <v/>
      </c>
      <c r="T3135" s="156"/>
      <c r="U3135" s="214" t="str">
        <f t="shared" si="246"/>
        <v/>
      </c>
      <c r="V3135" s="212" t="s">
        <v>50</v>
      </c>
      <c r="W3135" s="100" t="s">
        <v>168</v>
      </c>
      <c r="X3135" s="100" t="s">
        <v>169</v>
      </c>
      <c r="Y3135" s="101" t="s">
        <v>170</v>
      </c>
      <c r="Z3135" s="101" t="s">
        <v>171</v>
      </c>
      <c r="AA3135" s="101" t="s">
        <v>50</v>
      </c>
      <c r="AB3135" s="101" t="s">
        <v>172</v>
      </c>
      <c r="AC3135" s="102" t="s">
        <v>173</v>
      </c>
    </row>
    <row r="3136" spans="1:29" ht="25.5" customHeight="1" x14ac:dyDescent="0.35">
      <c r="A3136" s="392"/>
      <c r="B3136" s="393"/>
      <c r="C3136" s="99" t="str">
        <f>IF(B3136="","",IF(NOT(ISNUMBER(B3136)),"DATA_PC invalida",IF(NOT(ISNUMBER(parametros!$C$2)),"Fora dos ciclos",IF(OR(B3136&lt;parametros!$C$2,(YEAR(B3136)-YEAR(parametros!$C$2))*12+MONTH(B3136)-MONTH(parametros!$C$2)&gt;59),"Fora dos ciclos","C"&amp;INT(((YEAR(B3136)-YEAR(parametros!$C$2))*12+MONTH(B3136)-MONTH(parametros!$C$2))/12)))))</f>
        <v/>
      </c>
      <c r="D3136" s="394"/>
      <c r="E3136" s="78" t="str">
        <f>IF(C3136="","",IFERROR(VLOOKUP(C3136,parametros!$A$11:$E$15,5,0),""))</f>
        <v/>
      </c>
      <c r="F3136" s="79" t="str">
        <f t="shared" si="242"/>
        <v/>
      </c>
      <c r="G3136" s="395"/>
      <c r="H3136" s="91">
        <f t="shared" si="243"/>
        <v>0</v>
      </c>
      <c r="I3136" s="91" t="str">
        <f t="shared" si="244"/>
        <v/>
      </c>
      <c r="J3136" s="91" t="str">
        <f t="shared" si="245"/>
        <v/>
      </c>
      <c r="K3136" s="92" t="str">
        <f>IF(AND(A3136="",B3136="",D3136="",G3136=""),"",IF(AND(A3136&lt;&gt;"",COUNTIF($A$2:$A$5001,A3136)&gt;1),"NUMERO_PC duplicado",IF(B3136="","DATA_PC vazia",IF(NOT(ISNUMBER(B3136)),"DATA_PC invalida",IF(OR(C3136="",C3136="Fora dos ciclos"),"CICLO_PC nao identificado",IF(OR(D3136="",D3136=0),"VALOR_PC vazio ou zero",IF(AND(G3136&lt;&gt;"Sim",G3136&lt;&gt;"Nao",G3136&lt;&gt;""),"PC_PAGO_A_CONTRATADA invalido",IF(AND(C3136&lt;&gt;"C0",IFERROR(INDEX(parametros!$A$2:$A$6,MATCH(C3136,parametros!$B$2:$B$6,0)),"")="Sim",IFERROR(INDEX(parametros!$H$2:$H$6,MATCH(C3136,parametros!$B$2:$B$6,0)),"")=""),"INICIO_EFEITO ausente: PC "&amp;A3136&amp;" - "&amp;C3136,IF(L3136="","EFEITO_PC nao calculado: PC "&amp;A3136&amp;" - "&amp;C3136,"OK")))))))))</f>
        <v/>
      </c>
      <c r="L3136" s="92" t="str">
        <f>IF(AND(A3136="",B3136="",D3136="",G3136=""),"",IF(OR(B3136="",NOT(ISNUMBER(B3136)),C3136="",C3136="Fora dos ciclos"),"",IF(C3136="C0","Nao",IF(IFERROR(INDEX(parametros!$A$2:$A$6,MATCH(C3136,parametros!$B$2:$B$6,0)),"")&lt;&gt;"Sim","Nao",IF(IFERROR(INDEX(parametros!$H$2:$H$6,MATCH(C3136,parametros!$B$2:$B$6,0)),"")="","",IF(B3136&gt;=IFERROR(INDEX(parametros!$H$2:$H$6,MATCH(C3136,parametros!$B$2:$B$6,0)),""),"Sim","Nao"))))))</f>
        <v/>
      </c>
      <c r="T3136" s="156"/>
      <c r="U3136" s="214" t="str">
        <f t="shared" si="246"/>
        <v/>
      </c>
      <c r="V3136" s="212" t="s">
        <v>50</v>
      </c>
      <c r="W3136" s="100" t="s">
        <v>168</v>
      </c>
      <c r="X3136" s="100" t="s">
        <v>169</v>
      </c>
      <c r="Y3136" s="101" t="s">
        <v>170</v>
      </c>
      <c r="Z3136" s="101" t="s">
        <v>171</v>
      </c>
      <c r="AA3136" s="101" t="s">
        <v>50</v>
      </c>
      <c r="AB3136" s="101" t="s">
        <v>172</v>
      </c>
      <c r="AC3136" s="102" t="s">
        <v>173</v>
      </c>
    </row>
    <row r="3137" spans="1:29" ht="25.5" customHeight="1" x14ac:dyDescent="0.35">
      <c r="A3137" s="392"/>
      <c r="B3137" s="393"/>
      <c r="C3137" s="99" t="str">
        <f>IF(B3137="","",IF(NOT(ISNUMBER(B3137)),"DATA_PC invalida",IF(NOT(ISNUMBER(parametros!$C$2)),"Fora dos ciclos",IF(OR(B3137&lt;parametros!$C$2,(YEAR(B3137)-YEAR(parametros!$C$2))*12+MONTH(B3137)-MONTH(parametros!$C$2)&gt;59),"Fora dos ciclos","C"&amp;INT(((YEAR(B3137)-YEAR(parametros!$C$2))*12+MONTH(B3137)-MONTH(parametros!$C$2))/12)))))</f>
        <v/>
      </c>
      <c r="D3137" s="394"/>
      <c r="E3137" s="78" t="str">
        <f>IF(C3137="","",IFERROR(VLOOKUP(C3137,parametros!$A$11:$E$15,5,0),""))</f>
        <v/>
      </c>
      <c r="F3137" s="79" t="str">
        <f t="shared" si="242"/>
        <v/>
      </c>
      <c r="G3137" s="395"/>
      <c r="H3137" s="91">
        <f t="shared" si="243"/>
        <v>0</v>
      </c>
      <c r="I3137" s="91" t="str">
        <f t="shared" si="244"/>
        <v/>
      </c>
      <c r="J3137" s="91" t="str">
        <f t="shared" si="245"/>
        <v/>
      </c>
      <c r="K3137" s="92" t="str">
        <f>IF(AND(A3137="",B3137="",D3137="",G3137=""),"",IF(AND(A3137&lt;&gt;"",COUNTIF($A$2:$A$5001,A3137)&gt;1),"NUMERO_PC duplicado",IF(B3137="","DATA_PC vazia",IF(NOT(ISNUMBER(B3137)),"DATA_PC invalida",IF(OR(C3137="",C3137="Fora dos ciclos"),"CICLO_PC nao identificado",IF(OR(D3137="",D3137=0),"VALOR_PC vazio ou zero",IF(AND(G3137&lt;&gt;"Sim",G3137&lt;&gt;"Nao",G3137&lt;&gt;""),"PC_PAGO_A_CONTRATADA invalido",IF(AND(C3137&lt;&gt;"C0",IFERROR(INDEX(parametros!$A$2:$A$6,MATCH(C3137,parametros!$B$2:$B$6,0)),"")="Sim",IFERROR(INDEX(parametros!$H$2:$H$6,MATCH(C3137,parametros!$B$2:$B$6,0)),"")=""),"INICIO_EFEITO ausente: PC "&amp;A3137&amp;" - "&amp;C3137,IF(L3137="","EFEITO_PC nao calculado: PC "&amp;A3137&amp;" - "&amp;C3137,"OK")))))))))</f>
        <v/>
      </c>
      <c r="L3137" s="92" t="str">
        <f>IF(AND(A3137="",B3137="",D3137="",G3137=""),"",IF(OR(B3137="",NOT(ISNUMBER(B3137)),C3137="",C3137="Fora dos ciclos"),"",IF(C3137="C0","Nao",IF(IFERROR(INDEX(parametros!$A$2:$A$6,MATCH(C3137,parametros!$B$2:$B$6,0)),"")&lt;&gt;"Sim","Nao",IF(IFERROR(INDEX(parametros!$H$2:$H$6,MATCH(C3137,parametros!$B$2:$B$6,0)),"")="","",IF(B3137&gt;=IFERROR(INDEX(parametros!$H$2:$H$6,MATCH(C3137,parametros!$B$2:$B$6,0)),""),"Sim","Nao"))))))</f>
        <v/>
      </c>
      <c r="T3137" s="156"/>
      <c r="U3137" s="214" t="str">
        <f t="shared" si="246"/>
        <v/>
      </c>
      <c r="V3137" s="212" t="s">
        <v>50</v>
      </c>
      <c r="W3137" s="100" t="s">
        <v>168</v>
      </c>
      <c r="X3137" s="100" t="s">
        <v>169</v>
      </c>
      <c r="Y3137" s="101" t="s">
        <v>170</v>
      </c>
      <c r="Z3137" s="101" t="s">
        <v>171</v>
      </c>
      <c r="AA3137" s="101" t="s">
        <v>50</v>
      </c>
      <c r="AB3137" s="101" t="s">
        <v>172</v>
      </c>
      <c r="AC3137" s="102" t="s">
        <v>173</v>
      </c>
    </row>
    <row r="3138" spans="1:29" ht="25.5" customHeight="1" x14ac:dyDescent="0.35">
      <c r="A3138" s="392"/>
      <c r="B3138" s="393"/>
      <c r="C3138" s="99" t="str">
        <f>IF(B3138="","",IF(NOT(ISNUMBER(B3138)),"DATA_PC invalida",IF(NOT(ISNUMBER(parametros!$C$2)),"Fora dos ciclos",IF(OR(B3138&lt;parametros!$C$2,(YEAR(B3138)-YEAR(parametros!$C$2))*12+MONTH(B3138)-MONTH(parametros!$C$2)&gt;59),"Fora dos ciclos","C"&amp;INT(((YEAR(B3138)-YEAR(parametros!$C$2))*12+MONTH(B3138)-MONTH(parametros!$C$2))/12)))))</f>
        <v/>
      </c>
      <c r="D3138" s="394"/>
      <c r="E3138" s="78" t="str">
        <f>IF(C3138="","",IFERROR(VLOOKUP(C3138,parametros!$A$11:$E$15,5,0),""))</f>
        <v/>
      </c>
      <c r="F3138" s="79" t="str">
        <f t="shared" ref="F3138:F3201" si="247">IF(OR(D3138="",E3138=""),"",ROUND(D3138*E3138,2))</f>
        <v/>
      </c>
      <c r="G3138" s="395"/>
      <c r="H3138" s="91">
        <f t="shared" ref="H3138:H3201" si="248">IF(G3138="Sim",IF(OR(F3138="",D3138="",L3138=""),"",IF(L3138="Sim",ROUND(F3138-D3138,2),0)),0)</f>
        <v>0</v>
      </c>
      <c r="I3138" s="91" t="str">
        <f t="shared" ref="I3138:I3201" si="249">IF(G3138="Sim",0,IF(OR(F3138="",L3138=""),"",F3138))</f>
        <v/>
      </c>
      <c r="J3138" s="91" t="str">
        <f t="shared" ref="J3138:J3201" si="250">IF(G3138="Sim",0,IF(OR(F3138="",D3138="",L3138=""),"",IF(L3138="Sim",ROUND(F3138-D3138,2),0)))</f>
        <v/>
      </c>
      <c r="K3138" s="92" t="str">
        <f>IF(AND(A3138="",B3138="",D3138="",G3138=""),"",IF(AND(A3138&lt;&gt;"",COUNTIF($A$2:$A$5001,A3138)&gt;1),"NUMERO_PC duplicado",IF(B3138="","DATA_PC vazia",IF(NOT(ISNUMBER(B3138)),"DATA_PC invalida",IF(OR(C3138="",C3138="Fora dos ciclos"),"CICLO_PC nao identificado",IF(OR(D3138="",D3138=0),"VALOR_PC vazio ou zero",IF(AND(G3138&lt;&gt;"Sim",G3138&lt;&gt;"Nao",G3138&lt;&gt;""),"PC_PAGO_A_CONTRATADA invalido",IF(AND(C3138&lt;&gt;"C0",IFERROR(INDEX(parametros!$A$2:$A$6,MATCH(C3138,parametros!$B$2:$B$6,0)),"")="Sim",IFERROR(INDEX(parametros!$H$2:$H$6,MATCH(C3138,parametros!$B$2:$B$6,0)),"")=""),"INICIO_EFEITO ausente: PC "&amp;A3138&amp;" - "&amp;C3138,IF(L3138="","EFEITO_PC nao calculado: PC "&amp;A3138&amp;" - "&amp;C3138,"OK")))))))))</f>
        <v/>
      </c>
      <c r="L3138" s="92" t="str">
        <f>IF(AND(A3138="",B3138="",D3138="",G3138=""),"",IF(OR(B3138="",NOT(ISNUMBER(B3138)),C3138="",C3138="Fora dos ciclos"),"",IF(C3138="C0","Nao",IF(IFERROR(INDEX(parametros!$A$2:$A$6,MATCH(C3138,parametros!$B$2:$B$6,0)),"")&lt;&gt;"Sim","Nao",IF(IFERROR(INDEX(parametros!$H$2:$H$6,MATCH(C3138,parametros!$B$2:$B$6,0)),"")="","",IF(B3138&gt;=IFERROR(INDEX(parametros!$H$2:$H$6,MATCH(C3138,parametros!$B$2:$B$6,0)),""),"Sim","Nao"))))))</f>
        <v/>
      </c>
      <c r="T3138" s="156"/>
      <c r="U3138" s="214" t="str">
        <f t="shared" ref="U3138:U3201" si="251">IF(OR($D3138="",$H3138=""),"",ROUND($D3138+$H3138,2))</f>
        <v/>
      </c>
      <c r="V3138" s="212" t="s">
        <v>50</v>
      </c>
      <c r="W3138" s="100" t="s">
        <v>168</v>
      </c>
      <c r="X3138" s="100" t="s">
        <v>169</v>
      </c>
      <c r="Y3138" s="101" t="s">
        <v>170</v>
      </c>
      <c r="Z3138" s="101" t="s">
        <v>171</v>
      </c>
      <c r="AA3138" s="101" t="s">
        <v>50</v>
      </c>
      <c r="AB3138" s="101" t="s">
        <v>172</v>
      </c>
      <c r="AC3138" s="102" t="s">
        <v>173</v>
      </c>
    </row>
    <row r="3139" spans="1:29" ht="25.5" customHeight="1" x14ac:dyDescent="0.35">
      <c r="A3139" s="392"/>
      <c r="B3139" s="393"/>
      <c r="C3139" s="99" t="str">
        <f>IF(B3139="","",IF(NOT(ISNUMBER(B3139)),"DATA_PC invalida",IF(NOT(ISNUMBER(parametros!$C$2)),"Fora dos ciclos",IF(OR(B3139&lt;parametros!$C$2,(YEAR(B3139)-YEAR(parametros!$C$2))*12+MONTH(B3139)-MONTH(parametros!$C$2)&gt;59),"Fora dos ciclos","C"&amp;INT(((YEAR(B3139)-YEAR(parametros!$C$2))*12+MONTH(B3139)-MONTH(parametros!$C$2))/12)))))</f>
        <v/>
      </c>
      <c r="D3139" s="394"/>
      <c r="E3139" s="78" t="str">
        <f>IF(C3139="","",IFERROR(VLOOKUP(C3139,parametros!$A$11:$E$15,5,0),""))</f>
        <v/>
      </c>
      <c r="F3139" s="79" t="str">
        <f t="shared" si="247"/>
        <v/>
      </c>
      <c r="G3139" s="395"/>
      <c r="H3139" s="91">
        <f t="shared" si="248"/>
        <v>0</v>
      </c>
      <c r="I3139" s="91" t="str">
        <f t="shared" si="249"/>
        <v/>
      </c>
      <c r="J3139" s="91" t="str">
        <f t="shared" si="250"/>
        <v/>
      </c>
      <c r="K3139" s="92" t="str">
        <f>IF(AND(A3139="",B3139="",D3139="",G3139=""),"",IF(AND(A3139&lt;&gt;"",COUNTIF($A$2:$A$5001,A3139)&gt;1),"NUMERO_PC duplicado",IF(B3139="","DATA_PC vazia",IF(NOT(ISNUMBER(B3139)),"DATA_PC invalida",IF(OR(C3139="",C3139="Fora dos ciclos"),"CICLO_PC nao identificado",IF(OR(D3139="",D3139=0),"VALOR_PC vazio ou zero",IF(AND(G3139&lt;&gt;"Sim",G3139&lt;&gt;"Nao",G3139&lt;&gt;""),"PC_PAGO_A_CONTRATADA invalido",IF(AND(C3139&lt;&gt;"C0",IFERROR(INDEX(parametros!$A$2:$A$6,MATCH(C3139,parametros!$B$2:$B$6,0)),"")="Sim",IFERROR(INDEX(parametros!$H$2:$H$6,MATCH(C3139,parametros!$B$2:$B$6,0)),"")=""),"INICIO_EFEITO ausente: PC "&amp;A3139&amp;" - "&amp;C3139,IF(L3139="","EFEITO_PC nao calculado: PC "&amp;A3139&amp;" - "&amp;C3139,"OK")))))))))</f>
        <v/>
      </c>
      <c r="L3139" s="92" t="str">
        <f>IF(AND(A3139="",B3139="",D3139="",G3139=""),"",IF(OR(B3139="",NOT(ISNUMBER(B3139)),C3139="",C3139="Fora dos ciclos"),"",IF(C3139="C0","Nao",IF(IFERROR(INDEX(parametros!$A$2:$A$6,MATCH(C3139,parametros!$B$2:$B$6,0)),"")&lt;&gt;"Sim","Nao",IF(IFERROR(INDEX(parametros!$H$2:$H$6,MATCH(C3139,parametros!$B$2:$B$6,0)),"")="","",IF(B3139&gt;=IFERROR(INDEX(parametros!$H$2:$H$6,MATCH(C3139,parametros!$B$2:$B$6,0)),""),"Sim","Nao"))))))</f>
        <v/>
      </c>
      <c r="T3139" s="156"/>
      <c r="U3139" s="214" t="str">
        <f t="shared" si="251"/>
        <v/>
      </c>
      <c r="V3139" s="212" t="s">
        <v>50</v>
      </c>
      <c r="W3139" s="100" t="s">
        <v>168</v>
      </c>
      <c r="X3139" s="100" t="s">
        <v>169</v>
      </c>
      <c r="Y3139" s="101" t="s">
        <v>170</v>
      </c>
      <c r="Z3139" s="101" t="s">
        <v>171</v>
      </c>
      <c r="AA3139" s="101" t="s">
        <v>50</v>
      </c>
      <c r="AB3139" s="101" t="s">
        <v>172</v>
      </c>
      <c r="AC3139" s="102" t="s">
        <v>173</v>
      </c>
    </row>
    <row r="3140" spans="1:29" ht="25.5" customHeight="1" x14ac:dyDescent="0.35">
      <c r="A3140" s="392"/>
      <c r="B3140" s="393"/>
      <c r="C3140" s="99" t="str">
        <f>IF(B3140="","",IF(NOT(ISNUMBER(B3140)),"DATA_PC invalida",IF(NOT(ISNUMBER(parametros!$C$2)),"Fora dos ciclos",IF(OR(B3140&lt;parametros!$C$2,(YEAR(B3140)-YEAR(parametros!$C$2))*12+MONTH(B3140)-MONTH(parametros!$C$2)&gt;59),"Fora dos ciclos","C"&amp;INT(((YEAR(B3140)-YEAR(parametros!$C$2))*12+MONTH(B3140)-MONTH(parametros!$C$2))/12)))))</f>
        <v/>
      </c>
      <c r="D3140" s="394"/>
      <c r="E3140" s="78" t="str">
        <f>IF(C3140="","",IFERROR(VLOOKUP(C3140,parametros!$A$11:$E$15,5,0),""))</f>
        <v/>
      </c>
      <c r="F3140" s="79" t="str">
        <f t="shared" si="247"/>
        <v/>
      </c>
      <c r="G3140" s="395"/>
      <c r="H3140" s="91">
        <f t="shared" si="248"/>
        <v>0</v>
      </c>
      <c r="I3140" s="91" t="str">
        <f t="shared" si="249"/>
        <v/>
      </c>
      <c r="J3140" s="91" t="str">
        <f t="shared" si="250"/>
        <v/>
      </c>
      <c r="K3140" s="92" t="str">
        <f>IF(AND(A3140="",B3140="",D3140="",G3140=""),"",IF(AND(A3140&lt;&gt;"",COUNTIF($A$2:$A$5001,A3140)&gt;1),"NUMERO_PC duplicado",IF(B3140="","DATA_PC vazia",IF(NOT(ISNUMBER(B3140)),"DATA_PC invalida",IF(OR(C3140="",C3140="Fora dos ciclos"),"CICLO_PC nao identificado",IF(OR(D3140="",D3140=0),"VALOR_PC vazio ou zero",IF(AND(G3140&lt;&gt;"Sim",G3140&lt;&gt;"Nao",G3140&lt;&gt;""),"PC_PAGO_A_CONTRATADA invalido",IF(AND(C3140&lt;&gt;"C0",IFERROR(INDEX(parametros!$A$2:$A$6,MATCH(C3140,parametros!$B$2:$B$6,0)),"")="Sim",IFERROR(INDEX(parametros!$H$2:$H$6,MATCH(C3140,parametros!$B$2:$B$6,0)),"")=""),"INICIO_EFEITO ausente: PC "&amp;A3140&amp;" - "&amp;C3140,IF(L3140="","EFEITO_PC nao calculado: PC "&amp;A3140&amp;" - "&amp;C3140,"OK")))))))))</f>
        <v/>
      </c>
      <c r="L3140" s="92" t="str">
        <f>IF(AND(A3140="",B3140="",D3140="",G3140=""),"",IF(OR(B3140="",NOT(ISNUMBER(B3140)),C3140="",C3140="Fora dos ciclos"),"",IF(C3140="C0","Nao",IF(IFERROR(INDEX(parametros!$A$2:$A$6,MATCH(C3140,parametros!$B$2:$B$6,0)),"")&lt;&gt;"Sim","Nao",IF(IFERROR(INDEX(parametros!$H$2:$H$6,MATCH(C3140,parametros!$B$2:$B$6,0)),"")="","",IF(B3140&gt;=IFERROR(INDEX(parametros!$H$2:$H$6,MATCH(C3140,parametros!$B$2:$B$6,0)),""),"Sim","Nao"))))))</f>
        <v/>
      </c>
      <c r="T3140" s="156"/>
      <c r="U3140" s="214" t="str">
        <f t="shared" si="251"/>
        <v/>
      </c>
      <c r="V3140" s="212" t="s">
        <v>50</v>
      </c>
      <c r="W3140" s="100" t="s">
        <v>168</v>
      </c>
      <c r="X3140" s="100" t="s">
        <v>169</v>
      </c>
      <c r="Y3140" s="101" t="s">
        <v>170</v>
      </c>
      <c r="Z3140" s="101" t="s">
        <v>171</v>
      </c>
      <c r="AA3140" s="101" t="s">
        <v>50</v>
      </c>
      <c r="AB3140" s="101" t="s">
        <v>172</v>
      </c>
      <c r="AC3140" s="102" t="s">
        <v>173</v>
      </c>
    </row>
    <row r="3141" spans="1:29" ht="25.5" customHeight="1" x14ac:dyDescent="0.35">
      <c r="A3141" s="392"/>
      <c r="B3141" s="393"/>
      <c r="C3141" s="99" t="str">
        <f>IF(B3141="","",IF(NOT(ISNUMBER(B3141)),"DATA_PC invalida",IF(NOT(ISNUMBER(parametros!$C$2)),"Fora dos ciclos",IF(OR(B3141&lt;parametros!$C$2,(YEAR(B3141)-YEAR(parametros!$C$2))*12+MONTH(B3141)-MONTH(parametros!$C$2)&gt;59),"Fora dos ciclos","C"&amp;INT(((YEAR(B3141)-YEAR(parametros!$C$2))*12+MONTH(B3141)-MONTH(parametros!$C$2))/12)))))</f>
        <v/>
      </c>
      <c r="D3141" s="394"/>
      <c r="E3141" s="78" t="str">
        <f>IF(C3141="","",IFERROR(VLOOKUP(C3141,parametros!$A$11:$E$15,5,0),""))</f>
        <v/>
      </c>
      <c r="F3141" s="79" t="str">
        <f t="shared" si="247"/>
        <v/>
      </c>
      <c r="G3141" s="395"/>
      <c r="H3141" s="91">
        <f t="shared" si="248"/>
        <v>0</v>
      </c>
      <c r="I3141" s="91" t="str">
        <f t="shared" si="249"/>
        <v/>
      </c>
      <c r="J3141" s="91" t="str">
        <f t="shared" si="250"/>
        <v/>
      </c>
      <c r="K3141" s="92" t="str">
        <f>IF(AND(A3141="",B3141="",D3141="",G3141=""),"",IF(AND(A3141&lt;&gt;"",COUNTIF($A$2:$A$5001,A3141)&gt;1),"NUMERO_PC duplicado",IF(B3141="","DATA_PC vazia",IF(NOT(ISNUMBER(B3141)),"DATA_PC invalida",IF(OR(C3141="",C3141="Fora dos ciclos"),"CICLO_PC nao identificado",IF(OR(D3141="",D3141=0),"VALOR_PC vazio ou zero",IF(AND(G3141&lt;&gt;"Sim",G3141&lt;&gt;"Nao",G3141&lt;&gt;""),"PC_PAGO_A_CONTRATADA invalido",IF(AND(C3141&lt;&gt;"C0",IFERROR(INDEX(parametros!$A$2:$A$6,MATCH(C3141,parametros!$B$2:$B$6,0)),"")="Sim",IFERROR(INDEX(parametros!$H$2:$H$6,MATCH(C3141,parametros!$B$2:$B$6,0)),"")=""),"INICIO_EFEITO ausente: PC "&amp;A3141&amp;" - "&amp;C3141,IF(L3141="","EFEITO_PC nao calculado: PC "&amp;A3141&amp;" - "&amp;C3141,"OK")))))))))</f>
        <v/>
      </c>
      <c r="L3141" s="92" t="str">
        <f>IF(AND(A3141="",B3141="",D3141="",G3141=""),"",IF(OR(B3141="",NOT(ISNUMBER(B3141)),C3141="",C3141="Fora dos ciclos"),"",IF(C3141="C0","Nao",IF(IFERROR(INDEX(parametros!$A$2:$A$6,MATCH(C3141,parametros!$B$2:$B$6,0)),"")&lt;&gt;"Sim","Nao",IF(IFERROR(INDEX(parametros!$H$2:$H$6,MATCH(C3141,parametros!$B$2:$B$6,0)),"")="","",IF(B3141&gt;=IFERROR(INDEX(parametros!$H$2:$H$6,MATCH(C3141,parametros!$B$2:$B$6,0)),""),"Sim","Nao"))))))</f>
        <v/>
      </c>
      <c r="T3141" s="156"/>
      <c r="U3141" s="214" t="str">
        <f t="shared" si="251"/>
        <v/>
      </c>
      <c r="V3141" s="212" t="s">
        <v>50</v>
      </c>
      <c r="W3141" s="100" t="s">
        <v>168</v>
      </c>
      <c r="X3141" s="100" t="s">
        <v>169</v>
      </c>
      <c r="Y3141" s="101" t="s">
        <v>170</v>
      </c>
      <c r="Z3141" s="101" t="s">
        <v>171</v>
      </c>
      <c r="AA3141" s="101" t="s">
        <v>50</v>
      </c>
      <c r="AB3141" s="101" t="s">
        <v>172</v>
      </c>
      <c r="AC3141" s="102" t="s">
        <v>173</v>
      </c>
    </row>
    <row r="3142" spans="1:29" ht="25.5" customHeight="1" x14ac:dyDescent="0.35">
      <c r="A3142" s="392"/>
      <c r="B3142" s="393"/>
      <c r="C3142" s="99" t="str">
        <f>IF(B3142="","",IF(NOT(ISNUMBER(B3142)),"DATA_PC invalida",IF(NOT(ISNUMBER(parametros!$C$2)),"Fora dos ciclos",IF(OR(B3142&lt;parametros!$C$2,(YEAR(B3142)-YEAR(parametros!$C$2))*12+MONTH(B3142)-MONTH(parametros!$C$2)&gt;59),"Fora dos ciclos","C"&amp;INT(((YEAR(B3142)-YEAR(parametros!$C$2))*12+MONTH(B3142)-MONTH(parametros!$C$2))/12)))))</f>
        <v/>
      </c>
      <c r="D3142" s="394"/>
      <c r="E3142" s="78" t="str">
        <f>IF(C3142="","",IFERROR(VLOOKUP(C3142,parametros!$A$11:$E$15,5,0),""))</f>
        <v/>
      </c>
      <c r="F3142" s="79" t="str">
        <f t="shared" si="247"/>
        <v/>
      </c>
      <c r="G3142" s="395"/>
      <c r="H3142" s="91">
        <f t="shared" si="248"/>
        <v>0</v>
      </c>
      <c r="I3142" s="91" t="str">
        <f t="shared" si="249"/>
        <v/>
      </c>
      <c r="J3142" s="91" t="str">
        <f t="shared" si="250"/>
        <v/>
      </c>
      <c r="K3142" s="92" t="str">
        <f>IF(AND(A3142="",B3142="",D3142="",G3142=""),"",IF(AND(A3142&lt;&gt;"",COUNTIF($A$2:$A$5001,A3142)&gt;1),"NUMERO_PC duplicado",IF(B3142="","DATA_PC vazia",IF(NOT(ISNUMBER(B3142)),"DATA_PC invalida",IF(OR(C3142="",C3142="Fora dos ciclos"),"CICLO_PC nao identificado",IF(OR(D3142="",D3142=0),"VALOR_PC vazio ou zero",IF(AND(G3142&lt;&gt;"Sim",G3142&lt;&gt;"Nao",G3142&lt;&gt;""),"PC_PAGO_A_CONTRATADA invalido",IF(AND(C3142&lt;&gt;"C0",IFERROR(INDEX(parametros!$A$2:$A$6,MATCH(C3142,parametros!$B$2:$B$6,0)),"")="Sim",IFERROR(INDEX(parametros!$H$2:$H$6,MATCH(C3142,parametros!$B$2:$B$6,0)),"")=""),"INICIO_EFEITO ausente: PC "&amp;A3142&amp;" - "&amp;C3142,IF(L3142="","EFEITO_PC nao calculado: PC "&amp;A3142&amp;" - "&amp;C3142,"OK")))))))))</f>
        <v/>
      </c>
      <c r="L3142" s="92" t="str">
        <f>IF(AND(A3142="",B3142="",D3142="",G3142=""),"",IF(OR(B3142="",NOT(ISNUMBER(B3142)),C3142="",C3142="Fora dos ciclos"),"",IF(C3142="C0","Nao",IF(IFERROR(INDEX(parametros!$A$2:$A$6,MATCH(C3142,parametros!$B$2:$B$6,0)),"")&lt;&gt;"Sim","Nao",IF(IFERROR(INDEX(parametros!$H$2:$H$6,MATCH(C3142,parametros!$B$2:$B$6,0)),"")="","",IF(B3142&gt;=IFERROR(INDEX(parametros!$H$2:$H$6,MATCH(C3142,parametros!$B$2:$B$6,0)),""),"Sim","Nao"))))))</f>
        <v/>
      </c>
      <c r="T3142" s="156"/>
      <c r="U3142" s="214" t="str">
        <f t="shared" si="251"/>
        <v/>
      </c>
      <c r="V3142" s="212" t="s">
        <v>50</v>
      </c>
      <c r="W3142" s="100" t="s">
        <v>168</v>
      </c>
      <c r="X3142" s="100" t="s">
        <v>169</v>
      </c>
      <c r="Y3142" s="101" t="s">
        <v>170</v>
      </c>
      <c r="Z3142" s="101" t="s">
        <v>171</v>
      </c>
      <c r="AA3142" s="101" t="s">
        <v>50</v>
      </c>
      <c r="AB3142" s="101" t="s">
        <v>172</v>
      </c>
      <c r="AC3142" s="102" t="s">
        <v>173</v>
      </c>
    </row>
    <row r="3143" spans="1:29" ht="25.5" customHeight="1" x14ac:dyDescent="0.35">
      <c r="A3143" s="392"/>
      <c r="B3143" s="393"/>
      <c r="C3143" s="99" t="str">
        <f>IF(B3143="","",IF(NOT(ISNUMBER(B3143)),"DATA_PC invalida",IF(NOT(ISNUMBER(parametros!$C$2)),"Fora dos ciclos",IF(OR(B3143&lt;parametros!$C$2,(YEAR(B3143)-YEAR(parametros!$C$2))*12+MONTH(B3143)-MONTH(parametros!$C$2)&gt;59),"Fora dos ciclos","C"&amp;INT(((YEAR(B3143)-YEAR(parametros!$C$2))*12+MONTH(B3143)-MONTH(parametros!$C$2))/12)))))</f>
        <v/>
      </c>
      <c r="D3143" s="394"/>
      <c r="E3143" s="78" t="str">
        <f>IF(C3143="","",IFERROR(VLOOKUP(C3143,parametros!$A$11:$E$15,5,0),""))</f>
        <v/>
      </c>
      <c r="F3143" s="79" t="str">
        <f t="shared" si="247"/>
        <v/>
      </c>
      <c r="G3143" s="395"/>
      <c r="H3143" s="91">
        <f t="shared" si="248"/>
        <v>0</v>
      </c>
      <c r="I3143" s="91" t="str">
        <f t="shared" si="249"/>
        <v/>
      </c>
      <c r="J3143" s="91" t="str">
        <f t="shared" si="250"/>
        <v/>
      </c>
      <c r="K3143" s="92" t="str">
        <f>IF(AND(A3143="",B3143="",D3143="",G3143=""),"",IF(AND(A3143&lt;&gt;"",COUNTIF($A$2:$A$5001,A3143)&gt;1),"NUMERO_PC duplicado",IF(B3143="","DATA_PC vazia",IF(NOT(ISNUMBER(B3143)),"DATA_PC invalida",IF(OR(C3143="",C3143="Fora dos ciclos"),"CICLO_PC nao identificado",IF(OR(D3143="",D3143=0),"VALOR_PC vazio ou zero",IF(AND(G3143&lt;&gt;"Sim",G3143&lt;&gt;"Nao",G3143&lt;&gt;""),"PC_PAGO_A_CONTRATADA invalido",IF(AND(C3143&lt;&gt;"C0",IFERROR(INDEX(parametros!$A$2:$A$6,MATCH(C3143,parametros!$B$2:$B$6,0)),"")="Sim",IFERROR(INDEX(parametros!$H$2:$H$6,MATCH(C3143,parametros!$B$2:$B$6,0)),"")=""),"INICIO_EFEITO ausente: PC "&amp;A3143&amp;" - "&amp;C3143,IF(L3143="","EFEITO_PC nao calculado: PC "&amp;A3143&amp;" - "&amp;C3143,"OK")))))))))</f>
        <v/>
      </c>
      <c r="L3143" s="92" t="str">
        <f>IF(AND(A3143="",B3143="",D3143="",G3143=""),"",IF(OR(B3143="",NOT(ISNUMBER(B3143)),C3143="",C3143="Fora dos ciclos"),"",IF(C3143="C0","Nao",IF(IFERROR(INDEX(parametros!$A$2:$A$6,MATCH(C3143,parametros!$B$2:$B$6,0)),"")&lt;&gt;"Sim","Nao",IF(IFERROR(INDEX(parametros!$H$2:$H$6,MATCH(C3143,parametros!$B$2:$B$6,0)),"")="","",IF(B3143&gt;=IFERROR(INDEX(parametros!$H$2:$H$6,MATCH(C3143,parametros!$B$2:$B$6,0)),""),"Sim","Nao"))))))</f>
        <v/>
      </c>
      <c r="T3143" s="156"/>
      <c r="U3143" s="214" t="str">
        <f t="shared" si="251"/>
        <v/>
      </c>
      <c r="V3143" s="212" t="s">
        <v>50</v>
      </c>
      <c r="W3143" s="100" t="s">
        <v>168</v>
      </c>
      <c r="X3143" s="100" t="s">
        <v>169</v>
      </c>
      <c r="Y3143" s="101" t="s">
        <v>170</v>
      </c>
      <c r="Z3143" s="101" t="s">
        <v>171</v>
      </c>
      <c r="AA3143" s="101" t="s">
        <v>50</v>
      </c>
      <c r="AB3143" s="101" t="s">
        <v>172</v>
      </c>
      <c r="AC3143" s="102" t="s">
        <v>173</v>
      </c>
    </row>
    <row r="3144" spans="1:29" ht="25.5" customHeight="1" x14ac:dyDescent="0.35">
      <c r="A3144" s="392"/>
      <c r="B3144" s="393"/>
      <c r="C3144" s="99" t="str">
        <f>IF(B3144="","",IF(NOT(ISNUMBER(B3144)),"DATA_PC invalida",IF(NOT(ISNUMBER(parametros!$C$2)),"Fora dos ciclos",IF(OR(B3144&lt;parametros!$C$2,(YEAR(B3144)-YEAR(parametros!$C$2))*12+MONTH(B3144)-MONTH(parametros!$C$2)&gt;59),"Fora dos ciclos","C"&amp;INT(((YEAR(B3144)-YEAR(parametros!$C$2))*12+MONTH(B3144)-MONTH(parametros!$C$2))/12)))))</f>
        <v/>
      </c>
      <c r="D3144" s="394"/>
      <c r="E3144" s="78" t="str">
        <f>IF(C3144="","",IFERROR(VLOOKUP(C3144,parametros!$A$11:$E$15,5,0),""))</f>
        <v/>
      </c>
      <c r="F3144" s="79" t="str">
        <f t="shared" si="247"/>
        <v/>
      </c>
      <c r="G3144" s="395"/>
      <c r="H3144" s="91">
        <f t="shared" si="248"/>
        <v>0</v>
      </c>
      <c r="I3144" s="91" t="str">
        <f t="shared" si="249"/>
        <v/>
      </c>
      <c r="J3144" s="91" t="str">
        <f t="shared" si="250"/>
        <v/>
      </c>
      <c r="K3144" s="92" t="str">
        <f>IF(AND(A3144="",B3144="",D3144="",G3144=""),"",IF(AND(A3144&lt;&gt;"",COUNTIF($A$2:$A$5001,A3144)&gt;1),"NUMERO_PC duplicado",IF(B3144="","DATA_PC vazia",IF(NOT(ISNUMBER(B3144)),"DATA_PC invalida",IF(OR(C3144="",C3144="Fora dos ciclos"),"CICLO_PC nao identificado",IF(OR(D3144="",D3144=0),"VALOR_PC vazio ou zero",IF(AND(G3144&lt;&gt;"Sim",G3144&lt;&gt;"Nao",G3144&lt;&gt;""),"PC_PAGO_A_CONTRATADA invalido",IF(AND(C3144&lt;&gt;"C0",IFERROR(INDEX(parametros!$A$2:$A$6,MATCH(C3144,parametros!$B$2:$B$6,0)),"")="Sim",IFERROR(INDEX(parametros!$H$2:$H$6,MATCH(C3144,parametros!$B$2:$B$6,0)),"")=""),"INICIO_EFEITO ausente: PC "&amp;A3144&amp;" - "&amp;C3144,IF(L3144="","EFEITO_PC nao calculado: PC "&amp;A3144&amp;" - "&amp;C3144,"OK")))))))))</f>
        <v/>
      </c>
      <c r="L3144" s="92" t="str">
        <f>IF(AND(A3144="",B3144="",D3144="",G3144=""),"",IF(OR(B3144="",NOT(ISNUMBER(B3144)),C3144="",C3144="Fora dos ciclos"),"",IF(C3144="C0","Nao",IF(IFERROR(INDEX(parametros!$A$2:$A$6,MATCH(C3144,parametros!$B$2:$B$6,0)),"")&lt;&gt;"Sim","Nao",IF(IFERROR(INDEX(parametros!$H$2:$H$6,MATCH(C3144,parametros!$B$2:$B$6,0)),"")="","",IF(B3144&gt;=IFERROR(INDEX(parametros!$H$2:$H$6,MATCH(C3144,parametros!$B$2:$B$6,0)),""),"Sim","Nao"))))))</f>
        <v/>
      </c>
      <c r="T3144" s="156"/>
      <c r="U3144" s="214" t="str">
        <f t="shared" si="251"/>
        <v/>
      </c>
      <c r="V3144" s="212" t="s">
        <v>50</v>
      </c>
      <c r="W3144" s="100" t="s">
        <v>168</v>
      </c>
      <c r="X3144" s="100" t="s">
        <v>169</v>
      </c>
      <c r="Y3144" s="101" t="s">
        <v>170</v>
      </c>
      <c r="Z3144" s="101" t="s">
        <v>171</v>
      </c>
      <c r="AA3144" s="101" t="s">
        <v>50</v>
      </c>
      <c r="AB3144" s="101" t="s">
        <v>172</v>
      </c>
      <c r="AC3144" s="102" t="s">
        <v>173</v>
      </c>
    </row>
    <row r="3145" spans="1:29" ht="25.5" customHeight="1" x14ac:dyDescent="0.35">
      <c r="A3145" s="392"/>
      <c r="B3145" s="393"/>
      <c r="C3145" s="99" t="str">
        <f>IF(B3145="","",IF(NOT(ISNUMBER(B3145)),"DATA_PC invalida",IF(NOT(ISNUMBER(parametros!$C$2)),"Fora dos ciclos",IF(OR(B3145&lt;parametros!$C$2,(YEAR(B3145)-YEAR(parametros!$C$2))*12+MONTH(B3145)-MONTH(parametros!$C$2)&gt;59),"Fora dos ciclos","C"&amp;INT(((YEAR(B3145)-YEAR(parametros!$C$2))*12+MONTH(B3145)-MONTH(parametros!$C$2))/12)))))</f>
        <v/>
      </c>
      <c r="D3145" s="394"/>
      <c r="E3145" s="78" t="str">
        <f>IF(C3145="","",IFERROR(VLOOKUP(C3145,parametros!$A$11:$E$15,5,0),""))</f>
        <v/>
      </c>
      <c r="F3145" s="79" t="str">
        <f t="shared" si="247"/>
        <v/>
      </c>
      <c r="G3145" s="395"/>
      <c r="H3145" s="91">
        <f t="shared" si="248"/>
        <v>0</v>
      </c>
      <c r="I3145" s="91" t="str">
        <f t="shared" si="249"/>
        <v/>
      </c>
      <c r="J3145" s="91" t="str">
        <f t="shared" si="250"/>
        <v/>
      </c>
      <c r="K3145" s="92" t="str">
        <f>IF(AND(A3145="",B3145="",D3145="",G3145=""),"",IF(AND(A3145&lt;&gt;"",COUNTIF($A$2:$A$5001,A3145)&gt;1),"NUMERO_PC duplicado",IF(B3145="","DATA_PC vazia",IF(NOT(ISNUMBER(B3145)),"DATA_PC invalida",IF(OR(C3145="",C3145="Fora dos ciclos"),"CICLO_PC nao identificado",IF(OR(D3145="",D3145=0),"VALOR_PC vazio ou zero",IF(AND(G3145&lt;&gt;"Sim",G3145&lt;&gt;"Nao",G3145&lt;&gt;""),"PC_PAGO_A_CONTRATADA invalido",IF(AND(C3145&lt;&gt;"C0",IFERROR(INDEX(parametros!$A$2:$A$6,MATCH(C3145,parametros!$B$2:$B$6,0)),"")="Sim",IFERROR(INDEX(parametros!$H$2:$H$6,MATCH(C3145,parametros!$B$2:$B$6,0)),"")=""),"INICIO_EFEITO ausente: PC "&amp;A3145&amp;" - "&amp;C3145,IF(L3145="","EFEITO_PC nao calculado: PC "&amp;A3145&amp;" - "&amp;C3145,"OK")))))))))</f>
        <v/>
      </c>
      <c r="L3145" s="92" t="str">
        <f>IF(AND(A3145="",B3145="",D3145="",G3145=""),"",IF(OR(B3145="",NOT(ISNUMBER(B3145)),C3145="",C3145="Fora dos ciclos"),"",IF(C3145="C0","Nao",IF(IFERROR(INDEX(parametros!$A$2:$A$6,MATCH(C3145,parametros!$B$2:$B$6,0)),"")&lt;&gt;"Sim","Nao",IF(IFERROR(INDEX(parametros!$H$2:$H$6,MATCH(C3145,parametros!$B$2:$B$6,0)),"")="","",IF(B3145&gt;=IFERROR(INDEX(parametros!$H$2:$H$6,MATCH(C3145,parametros!$B$2:$B$6,0)),""),"Sim","Nao"))))))</f>
        <v/>
      </c>
      <c r="T3145" s="156"/>
      <c r="U3145" s="214" t="str">
        <f t="shared" si="251"/>
        <v/>
      </c>
      <c r="V3145" s="212" t="s">
        <v>50</v>
      </c>
      <c r="W3145" s="100" t="s">
        <v>168</v>
      </c>
      <c r="X3145" s="100" t="s">
        <v>169</v>
      </c>
      <c r="Y3145" s="101" t="s">
        <v>170</v>
      </c>
      <c r="Z3145" s="101" t="s">
        <v>171</v>
      </c>
      <c r="AA3145" s="101" t="s">
        <v>50</v>
      </c>
      <c r="AB3145" s="101" t="s">
        <v>172</v>
      </c>
      <c r="AC3145" s="102" t="s">
        <v>173</v>
      </c>
    </row>
    <row r="3146" spans="1:29" ht="25.5" customHeight="1" x14ac:dyDescent="0.35">
      <c r="A3146" s="392"/>
      <c r="B3146" s="393"/>
      <c r="C3146" s="99" t="str">
        <f>IF(B3146="","",IF(NOT(ISNUMBER(B3146)),"DATA_PC invalida",IF(NOT(ISNUMBER(parametros!$C$2)),"Fora dos ciclos",IF(OR(B3146&lt;parametros!$C$2,(YEAR(B3146)-YEAR(parametros!$C$2))*12+MONTH(B3146)-MONTH(parametros!$C$2)&gt;59),"Fora dos ciclos","C"&amp;INT(((YEAR(B3146)-YEAR(parametros!$C$2))*12+MONTH(B3146)-MONTH(parametros!$C$2))/12)))))</f>
        <v/>
      </c>
      <c r="D3146" s="394"/>
      <c r="E3146" s="78" t="str">
        <f>IF(C3146="","",IFERROR(VLOOKUP(C3146,parametros!$A$11:$E$15,5,0),""))</f>
        <v/>
      </c>
      <c r="F3146" s="79" t="str">
        <f t="shared" si="247"/>
        <v/>
      </c>
      <c r="G3146" s="395"/>
      <c r="H3146" s="91">
        <f t="shared" si="248"/>
        <v>0</v>
      </c>
      <c r="I3146" s="91" t="str">
        <f t="shared" si="249"/>
        <v/>
      </c>
      <c r="J3146" s="91" t="str">
        <f t="shared" si="250"/>
        <v/>
      </c>
      <c r="K3146" s="92" t="str">
        <f>IF(AND(A3146="",B3146="",D3146="",G3146=""),"",IF(AND(A3146&lt;&gt;"",COUNTIF($A$2:$A$5001,A3146)&gt;1),"NUMERO_PC duplicado",IF(B3146="","DATA_PC vazia",IF(NOT(ISNUMBER(B3146)),"DATA_PC invalida",IF(OR(C3146="",C3146="Fora dos ciclos"),"CICLO_PC nao identificado",IF(OR(D3146="",D3146=0),"VALOR_PC vazio ou zero",IF(AND(G3146&lt;&gt;"Sim",G3146&lt;&gt;"Nao",G3146&lt;&gt;""),"PC_PAGO_A_CONTRATADA invalido",IF(AND(C3146&lt;&gt;"C0",IFERROR(INDEX(parametros!$A$2:$A$6,MATCH(C3146,parametros!$B$2:$B$6,0)),"")="Sim",IFERROR(INDEX(parametros!$H$2:$H$6,MATCH(C3146,parametros!$B$2:$B$6,0)),"")=""),"INICIO_EFEITO ausente: PC "&amp;A3146&amp;" - "&amp;C3146,IF(L3146="","EFEITO_PC nao calculado: PC "&amp;A3146&amp;" - "&amp;C3146,"OK")))))))))</f>
        <v/>
      </c>
      <c r="L3146" s="92" t="str">
        <f>IF(AND(A3146="",B3146="",D3146="",G3146=""),"",IF(OR(B3146="",NOT(ISNUMBER(B3146)),C3146="",C3146="Fora dos ciclos"),"",IF(C3146="C0","Nao",IF(IFERROR(INDEX(parametros!$A$2:$A$6,MATCH(C3146,parametros!$B$2:$B$6,0)),"")&lt;&gt;"Sim","Nao",IF(IFERROR(INDEX(parametros!$H$2:$H$6,MATCH(C3146,parametros!$B$2:$B$6,0)),"")="","",IF(B3146&gt;=IFERROR(INDEX(parametros!$H$2:$H$6,MATCH(C3146,parametros!$B$2:$B$6,0)),""),"Sim","Nao"))))))</f>
        <v/>
      </c>
      <c r="T3146" s="156"/>
      <c r="U3146" s="214" t="str">
        <f t="shared" si="251"/>
        <v/>
      </c>
      <c r="V3146" s="212" t="s">
        <v>50</v>
      </c>
      <c r="W3146" s="100" t="s">
        <v>168</v>
      </c>
      <c r="X3146" s="100" t="s">
        <v>169</v>
      </c>
      <c r="Y3146" s="101" t="s">
        <v>170</v>
      </c>
      <c r="Z3146" s="101" t="s">
        <v>171</v>
      </c>
      <c r="AA3146" s="101" t="s">
        <v>50</v>
      </c>
      <c r="AB3146" s="101" t="s">
        <v>172</v>
      </c>
      <c r="AC3146" s="102" t="s">
        <v>173</v>
      </c>
    </row>
    <row r="3147" spans="1:29" ht="25.5" customHeight="1" x14ac:dyDescent="0.35">
      <c r="A3147" s="392"/>
      <c r="B3147" s="393"/>
      <c r="C3147" s="99" t="str">
        <f>IF(B3147="","",IF(NOT(ISNUMBER(B3147)),"DATA_PC invalida",IF(NOT(ISNUMBER(parametros!$C$2)),"Fora dos ciclos",IF(OR(B3147&lt;parametros!$C$2,(YEAR(B3147)-YEAR(parametros!$C$2))*12+MONTH(B3147)-MONTH(parametros!$C$2)&gt;59),"Fora dos ciclos","C"&amp;INT(((YEAR(B3147)-YEAR(parametros!$C$2))*12+MONTH(B3147)-MONTH(parametros!$C$2))/12)))))</f>
        <v/>
      </c>
      <c r="D3147" s="394"/>
      <c r="E3147" s="78" t="str">
        <f>IF(C3147="","",IFERROR(VLOOKUP(C3147,parametros!$A$11:$E$15,5,0),""))</f>
        <v/>
      </c>
      <c r="F3147" s="79" t="str">
        <f t="shared" si="247"/>
        <v/>
      </c>
      <c r="G3147" s="395"/>
      <c r="H3147" s="91">
        <f t="shared" si="248"/>
        <v>0</v>
      </c>
      <c r="I3147" s="91" t="str">
        <f t="shared" si="249"/>
        <v/>
      </c>
      <c r="J3147" s="91" t="str">
        <f t="shared" si="250"/>
        <v/>
      </c>
      <c r="K3147" s="92" t="str">
        <f>IF(AND(A3147="",B3147="",D3147="",G3147=""),"",IF(AND(A3147&lt;&gt;"",COUNTIF($A$2:$A$5001,A3147)&gt;1),"NUMERO_PC duplicado",IF(B3147="","DATA_PC vazia",IF(NOT(ISNUMBER(B3147)),"DATA_PC invalida",IF(OR(C3147="",C3147="Fora dos ciclos"),"CICLO_PC nao identificado",IF(OR(D3147="",D3147=0),"VALOR_PC vazio ou zero",IF(AND(G3147&lt;&gt;"Sim",G3147&lt;&gt;"Nao",G3147&lt;&gt;""),"PC_PAGO_A_CONTRATADA invalido",IF(AND(C3147&lt;&gt;"C0",IFERROR(INDEX(parametros!$A$2:$A$6,MATCH(C3147,parametros!$B$2:$B$6,0)),"")="Sim",IFERROR(INDEX(parametros!$H$2:$H$6,MATCH(C3147,parametros!$B$2:$B$6,0)),"")=""),"INICIO_EFEITO ausente: PC "&amp;A3147&amp;" - "&amp;C3147,IF(L3147="","EFEITO_PC nao calculado: PC "&amp;A3147&amp;" - "&amp;C3147,"OK")))))))))</f>
        <v/>
      </c>
      <c r="L3147" s="92" t="str">
        <f>IF(AND(A3147="",B3147="",D3147="",G3147=""),"",IF(OR(B3147="",NOT(ISNUMBER(B3147)),C3147="",C3147="Fora dos ciclos"),"",IF(C3147="C0","Nao",IF(IFERROR(INDEX(parametros!$A$2:$A$6,MATCH(C3147,parametros!$B$2:$B$6,0)),"")&lt;&gt;"Sim","Nao",IF(IFERROR(INDEX(parametros!$H$2:$H$6,MATCH(C3147,parametros!$B$2:$B$6,0)),"")="","",IF(B3147&gt;=IFERROR(INDEX(parametros!$H$2:$H$6,MATCH(C3147,parametros!$B$2:$B$6,0)),""),"Sim","Nao"))))))</f>
        <v/>
      </c>
      <c r="T3147" s="156"/>
      <c r="U3147" s="214" t="str">
        <f t="shared" si="251"/>
        <v/>
      </c>
      <c r="V3147" s="212" t="s">
        <v>50</v>
      </c>
      <c r="W3147" s="100" t="s">
        <v>168</v>
      </c>
      <c r="X3147" s="100" t="s">
        <v>169</v>
      </c>
      <c r="Y3147" s="101" t="s">
        <v>170</v>
      </c>
      <c r="Z3147" s="101" t="s">
        <v>171</v>
      </c>
      <c r="AA3147" s="101" t="s">
        <v>50</v>
      </c>
      <c r="AB3147" s="101" t="s">
        <v>172</v>
      </c>
      <c r="AC3147" s="102" t="s">
        <v>173</v>
      </c>
    </row>
    <row r="3148" spans="1:29" ht="25.5" customHeight="1" x14ac:dyDescent="0.35">
      <c r="A3148" s="392"/>
      <c r="B3148" s="393"/>
      <c r="C3148" s="99" t="str">
        <f>IF(B3148="","",IF(NOT(ISNUMBER(B3148)),"DATA_PC invalida",IF(NOT(ISNUMBER(parametros!$C$2)),"Fora dos ciclos",IF(OR(B3148&lt;parametros!$C$2,(YEAR(B3148)-YEAR(parametros!$C$2))*12+MONTH(B3148)-MONTH(parametros!$C$2)&gt;59),"Fora dos ciclos","C"&amp;INT(((YEAR(B3148)-YEAR(parametros!$C$2))*12+MONTH(B3148)-MONTH(parametros!$C$2))/12)))))</f>
        <v/>
      </c>
      <c r="D3148" s="394"/>
      <c r="E3148" s="78" t="str">
        <f>IF(C3148="","",IFERROR(VLOOKUP(C3148,parametros!$A$11:$E$15,5,0),""))</f>
        <v/>
      </c>
      <c r="F3148" s="79" t="str">
        <f t="shared" si="247"/>
        <v/>
      </c>
      <c r="G3148" s="395"/>
      <c r="H3148" s="91">
        <f t="shared" si="248"/>
        <v>0</v>
      </c>
      <c r="I3148" s="91" t="str">
        <f t="shared" si="249"/>
        <v/>
      </c>
      <c r="J3148" s="91" t="str">
        <f t="shared" si="250"/>
        <v/>
      </c>
      <c r="K3148" s="92" t="str">
        <f>IF(AND(A3148="",B3148="",D3148="",G3148=""),"",IF(AND(A3148&lt;&gt;"",COUNTIF($A$2:$A$5001,A3148)&gt;1),"NUMERO_PC duplicado",IF(B3148="","DATA_PC vazia",IF(NOT(ISNUMBER(B3148)),"DATA_PC invalida",IF(OR(C3148="",C3148="Fora dos ciclos"),"CICLO_PC nao identificado",IF(OR(D3148="",D3148=0),"VALOR_PC vazio ou zero",IF(AND(G3148&lt;&gt;"Sim",G3148&lt;&gt;"Nao",G3148&lt;&gt;""),"PC_PAGO_A_CONTRATADA invalido",IF(AND(C3148&lt;&gt;"C0",IFERROR(INDEX(parametros!$A$2:$A$6,MATCH(C3148,parametros!$B$2:$B$6,0)),"")="Sim",IFERROR(INDEX(parametros!$H$2:$H$6,MATCH(C3148,parametros!$B$2:$B$6,0)),"")=""),"INICIO_EFEITO ausente: PC "&amp;A3148&amp;" - "&amp;C3148,IF(L3148="","EFEITO_PC nao calculado: PC "&amp;A3148&amp;" - "&amp;C3148,"OK")))))))))</f>
        <v/>
      </c>
      <c r="L3148" s="92" t="str">
        <f>IF(AND(A3148="",B3148="",D3148="",G3148=""),"",IF(OR(B3148="",NOT(ISNUMBER(B3148)),C3148="",C3148="Fora dos ciclos"),"",IF(C3148="C0","Nao",IF(IFERROR(INDEX(parametros!$A$2:$A$6,MATCH(C3148,parametros!$B$2:$B$6,0)),"")&lt;&gt;"Sim","Nao",IF(IFERROR(INDEX(parametros!$H$2:$H$6,MATCH(C3148,parametros!$B$2:$B$6,0)),"")="","",IF(B3148&gt;=IFERROR(INDEX(parametros!$H$2:$H$6,MATCH(C3148,parametros!$B$2:$B$6,0)),""),"Sim","Nao"))))))</f>
        <v/>
      </c>
      <c r="T3148" s="156"/>
      <c r="U3148" s="214" t="str">
        <f t="shared" si="251"/>
        <v/>
      </c>
      <c r="V3148" s="212" t="s">
        <v>50</v>
      </c>
      <c r="W3148" s="100" t="s">
        <v>168</v>
      </c>
      <c r="X3148" s="100" t="s">
        <v>169</v>
      </c>
      <c r="Y3148" s="101" t="s">
        <v>170</v>
      </c>
      <c r="Z3148" s="101" t="s">
        <v>171</v>
      </c>
      <c r="AA3148" s="101" t="s">
        <v>50</v>
      </c>
      <c r="AB3148" s="101" t="s">
        <v>172</v>
      </c>
      <c r="AC3148" s="102" t="s">
        <v>173</v>
      </c>
    </row>
    <row r="3149" spans="1:29" ht="25.5" customHeight="1" x14ac:dyDescent="0.35">
      <c r="A3149" s="392"/>
      <c r="B3149" s="393"/>
      <c r="C3149" s="99" t="str">
        <f>IF(B3149="","",IF(NOT(ISNUMBER(B3149)),"DATA_PC invalida",IF(NOT(ISNUMBER(parametros!$C$2)),"Fora dos ciclos",IF(OR(B3149&lt;parametros!$C$2,(YEAR(B3149)-YEAR(parametros!$C$2))*12+MONTH(B3149)-MONTH(parametros!$C$2)&gt;59),"Fora dos ciclos","C"&amp;INT(((YEAR(B3149)-YEAR(parametros!$C$2))*12+MONTH(B3149)-MONTH(parametros!$C$2))/12)))))</f>
        <v/>
      </c>
      <c r="D3149" s="394"/>
      <c r="E3149" s="78" t="str">
        <f>IF(C3149="","",IFERROR(VLOOKUP(C3149,parametros!$A$11:$E$15,5,0),""))</f>
        <v/>
      </c>
      <c r="F3149" s="79" t="str">
        <f t="shared" si="247"/>
        <v/>
      </c>
      <c r="G3149" s="395"/>
      <c r="H3149" s="91">
        <f t="shared" si="248"/>
        <v>0</v>
      </c>
      <c r="I3149" s="91" t="str">
        <f t="shared" si="249"/>
        <v/>
      </c>
      <c r="J3149" s="91" t="str">
        <f t="shared" si="250"/>
        <v/>
      </c>
      <c r="K3149" s="92" t="str">
        <f>IF(AND(A3149="",B3149="",D3149="",G3149=""),"",IF(AND(A3149&lt;&gt;"",COUNTIF($A$2:$A$5001,A3149)&gt;1),"NUMERO_PC duplicado",IF(B3149="","DATA_PC vazia",IF(NOT(ISNUMBER(B3149)),"DATA_PC invalida",IF(OR(C3149="",C3149="Fora dos ciclos"),"CICLO_PC nao identificado",IF(OR(D3149="",D3149=0),"VALOR_PC vazio ou zero",IF(AND(G3149&lt;&gt;"Sim",G3149&lt;&gt;"Nao",G3149&lt;&gt;""),"PC_PAGO_A_CONTRATADA invalido",IF(AND(C3149&lt;&gt;"C0",IFERROR(INDEX(parametros!$A$2:$A$6,MATCH(C3149,parametros!$B$2:$B$6,0)),"")="Sim",IFERROR(INDEX(parametros!$H$2:$H$6,MATCH(C3149,parametros!$B$2:$B$6,0)),"")=""),"INICIO_EFEITO ausente: PC "&amp;A3149&amp;" - "&amp;C3149,IF(L3149="","EFEITO_PC nao calculado: PC "&amp;A3149&amp;" - "&amp;C3149,"OK")))))))))</f>
        <v/>
      </c>
      <c r="L3149" s="92" t="str">
        <f>IF(AND(A3149="",B3149="",D3149="",G3149=""),"",IF(OR(B3149="",NOT(ISNUMBER(B3149)),C3149="",C3149="Fora dos ciclos"),"",IF(C3149="C0","Nao",IF(IFERROR(INDEX(parametros!$A$2:$A$6,MATCH(C3149,parametros!$B$2:$B$6,0)),"")&lt;&gt;"Sim","Nao",IF(IFERROR(INDEX(parametros!$H$2:$H$6,MATCH(C3149,parametros!$B$2:$B$6,0)),"")="","",IF(B3149&gt;=IFERROR(INDEX(parametros!$H$2:$H$6,MATCH(C3149,parametros!$B$2:$B$6,0)),""),"Sim","Nao"))))))</f>
        <v/>
      </c>
      <c r="T3149" s="156"/>
      <c r="U3149" s="214" t="str">
        <f t="shared" si="251"/>
        <v/>
      </c>
      <c r="V3149" s="212" t="s">
        <v>50</v>
      </c>
      <c r="W3149" s="100" t="s">
        <v>168</v>
      </c>
      <c r="X3149" s="100" t="s">
        <v>169</v>
      </c>
      <c r="Y3149" s="101" t="s">
        <v>170</v>
      </c>
      <c r="Z3149" s="101" t="s">
        <v>171</v>
      </c>
      <c r="AA3149" s="101" t="s">
        <v>50</v>
      </c>
      <c r="AB3149" s="101" t="s">
        <v>172</v>
      </c>
      <c r="AC3149" s="102" t="s">
        <v>173</v>
      </c>
    </row>
    <row r="3150" spans="1:29" ht="25.5" customHeight="1" x14ac:dyDescent="0.35">
      <c r="A3150" s="392"/>
      <c r="B3150" s="393"/>
      <c r="C3150" s="99" t="str">
        <f>IF(B3150="","",IF(NOT(ISNUMBER(B3150)),"DATA_PC invalida",IF(NOT(ISNUMBER(parametros!$C$2)),"Fora dos ciclos",IF(OR(B3150&lt;parametros!$C$2,(YEAR(B3150)-YEAR(parametros!$C$2))*12+MONTH(B3150)-MONTH(parametros!$C$2)&gt;59),"Fora dos ciclos","C"&amp;INT(((YEAR(B3150)-YEAR(parametros!$C$2))*12+MONTH(B3150)-MONTH(parametros!$C$2))/12)))))</f>
        <v/>
      </c>
      <c r="D3150" s="394"/>
      <c r="E3150" s="78" t="str">
        <f>IF(C3150="","",IFERROR(VLOOKUP(C3150,parametros!$A$11:$E$15,5,0),""))</f>
        <v/>
      </c>
      <c r="F3150" s="79" t="str">
        <f t="shared" si="247"/>
        <v/>
      </c>
      <c r="G3150" s="395"/>
      <c r="H3150" s="91">
        <f t="shared" si="248"/>
        <v>0</v>
      </c>
      <c r="I3150" s="91" t="str">
        <f t="shared" si="249"/>
        <v/>
      </c>
      <c r="J3150" s="91" t="str">
        <f t="shared" si="250"/>
        <v/>
      </c>
      <c r="K3150" s="92" t="str">
        <f>IF(AND(A3150="",B3150="",D3150="",G3150=""),"",IF(AND(A3150&lt;&gt;"",COUNTIF($A$2:$A$5001,A3150)&gt;1),"NUMERO_PC duplicado",IF(B3150="","DATA_PC vazia",IF(NOT(ISNUMBER(B3150)),"DATA_PC invalida",IF(OR(C3150="",C3150="Fora dos ciclos"),"CICLO_PC nao identificado",IF(OR(D3150="",D3150=0),"VALOR_PC vazio ou zero",IF(AND(G3150&lt;&gt;"Sim",G3150&lt;&gt;"Nao",G3150&lt;&gt;""),"PC_PAGO_A_CONTRATADA invalido",IF(AND(C3150&lt;&gt;"C0",IFERROR(INDEX(parametros!$A$2:$A$6,MATCH(C3150,parametros!$B$2:$B$6,0)),"")="Sim",IFERROR(INDEX(parametros!$H$2:$H$6,MATCH(C3150,parametros!$B$2:$B$6,0)),"")=""),"INICIO_EFEITO ausente: PC "&amp;A3150&amp;" - "&amp;C3150,IF(L3150="","EFEITO_PC nao calculado: PC "&amp;A3150&amp;" - "&amp;C3150,"OK")))))))))</f>
        <v/>
      </c>
      <c r="L3150" s="92" t="str">
        <f>IF(AND(A3150="",B3150="",D3150="",G3150=""),"",IF(OR(B3150="",NOT(ISNUMBER(B3150)),C3150="",C3150="Fora dos ciclos"),"",IF(C3150="C0","Nao",IF(IFERROR(INDEX(parametros!$A$2:$A$6,MATCH(C3150,parametros!$B$2:$B$6,0)),"")&lt;&gt;"Sim","Nao",IF(IFERROR(INDEX(parametros!$H$2:$H$6,MATCH(C3150,parametros!$B$2:$B$6,0)),"")="","",IF(B3150&gt;=IFERROR(INDEX(parametros!$H$2:$H$6,MATCH(C3150,parametros!$B$2:$B$6,0)),""),"Sim","Nao"))))))</f>
        <v/>
      </c>
      <c r="T3150" s="156"/>
      <c r="U3150" s="214" t="str">
        <f t="shared" si="251"/>
        <v/>
      </c>
      <c r="V3150" s="212" t="s">
        <v>50</v>
      </c>
      <c r="W3150" s="100" t="s">
        <v>168</v>
      </c>
      <c r="X3150" s="100" t="s">
        <v>169</v>
      </c>
      <c r="Y3150" s="101" t="s">
        <v>170</v>
      </c>
      <c r="Z3150" s="101" t="s">
        <v>171</v>
      </c>
      <c r="AA3150" s="101" t="s">
        <v>50</v>
      </c>
      <c r="AB3150" s="101" t="s">
        <v>172</v>
      </c>
      <c r="AC3150" s="102" t="s">
        <v>173</v>
      </c>
    </row>
    <row r="3151" spans="1:29" ht="25.5" customHeight="1" x14ac:dyDescent="0.35">
      <c r="A3151" s="392"/>
      <c r="B3151" s="393"/>
      <c r="C3151" s="99" t="str">
        <f>IF(B3151="","",IF(NOT(ISNUMBER(B3151)),"DATA_PC invalida",IF(NOT(ISNUMBER(parametros!$C$2)),"Fora dos ciclos",IF(OR(B3151&lt;parametros!$C$2,(YEAR(B3151)-YEAR(parametros!$C$2))*12+MONTH(B3151)-MONTH(parametros!$C$2)&gt;59),"Fora dos ciclos","C"&amp;INT(((YEAR(B3151)-YEAR(parametros!$C$2))*12+MONTH(B3151)-MONTH(parametros!$C$2))/12)))))</f>
        <v/>
      </c>
      <c r="D3151" s="394"/>
      <c r="E3151" s="78" t="str">
        <f>IF(C3151="","",IFERROR(VLOOKUP(C3151,parametros!$A$11:$E$15,5,0),""))</f>
        <v/>
      </c>
      <c r="F3151" s="79" t="str">
        <f t="shared" si="247"/>
        <v/>
      </c>
      <c r="G3151" s="395"/>
      <c r="H3151" s="91">
        <f t="shared" si="248"/>
        <v>0</v>
      </c>
      <c r="I3151" s="91" t="str">
        <f t="shared" si="249"/>
        <v/>
      </c>
      <c r="J3151" s="91" t="str">
        <f t="shared" si="250"/>
        <v/>
      </c>
      <c r="K3151" s="92" t="str">
        <f>IF(AND(A3151="",B3151="",D3151="",G3151=""),"",IF(AND(A3151&lt;&gt;"",COUNTIF($A$2:$A$5001,A3151)&gt;1),"NUMERO_PC duplicado",IF(B3151="","DATA_PC vazia",IF(NOT(ISNUMBER(B3151)),"DATA_PC invalida",IF(OR(C3151="",C3151="Fora dos ciclos"),"CICLO_PC nao identificado",IF(OR(D3151="",D3151=0),"VALOR_PC vazio ou zero",IF(AND(G3151&lt;&gt;"Sim",G3151&lt;&gt;"Nao",G3151&lt;&gt;""),"PC_PAGO_A_CONTRATADA invalido",IF(AND(C3151&lt;&gt;"C0",IFERROR(INDEX(parametros!$A$2:$A$6,MATCH(C3151,parametros!$B$2:$B$6,0)),"")="Sim",IFERROR(INDEX(parametros!$H$2:$H$6,MATCH(C3151,parametros!$B$2:$B$6,0)),"")=""),"INICIO_EFEITO ausente: PC "&amp;A3151&amp;" - "&amp;C3151,IF(L3151="","EFEITO_PC nao calculado: PC "&amp;A3151&amp;" - "&amp;C3151,"OK")))))))))</f>
        <v/>
      </c>
      <c r="L3151" s="92" t="str">
        <f>IF(AND(A3151="",B3151="",D3151="",G3151=""),"",IF(OR(B3151="",NOT(ISNUMBER(B3151)),C3151="",C3151="Fora dos ciclos"),"",IF(C3151="C0","Nao",IF(IFERROR(INDEX(parametros!$A$2:$A$6,MATCH(C3151,parametros!$B$2:$B$6,0)),"")&lt;&gt;"Sim","Nao",IF(IFERROR(INDEX(parametros!$H$2:$H$6,MATCH(C3151,parametros!$B$2:$B$6,0)),"")="","",IF(B3151&gt;=IFERROR(INDEX(parametros!$H$2:$H$6,MATCH(C3151,parametros!$B$2:$B$6,0)),""),"Sim","Nao"))))))</f>
        <v/>
      </c>
      <c r="T3151" s="156"/>
      <c r="U3151" s="214" t="str">
        <f t="shared" si="251"/>
        <v/>
      </c>
      <c r="V3151" s="212" t="s">
        <v>50</v>
      </c>
      <c r="W3151" s="100" t="s">
        <v>168</v>
      </c>
      <c r="X3151" s="100" t="s">
        <v>169</v>
      </c>
      <c r="Y3151" s="101" t="s">
        <v>170</v>
      </c>
      <c r="Z3151" s="101" t="s">
        <v>171</v>
      </c>
      <c r="AA3151" s="101" t="s">
        <v>50</v>
      </c>
      <c r="AB3151" s="101" t="s">
        <v>172</v>
      </c>
      <c r="AC3151" s="102" t="s">
        <v>173</v>
      </c>
    </row>
    <row r="3152" spans="1:29" ht="25.5" customHeight="1" x14ac:dyDescent="0.35">
      <c r="A3152" s="392"/>
      <c r="B3152" s="393"/>
      <c r="C3152" s="99" t="str">
        <f>IF(B3152="","",IF(NOT(ISNUMBER(B3152)),"DATA_PC invalida",IF(NOT(ISNUMBER(parametros!$C$2)),"Fora dos ciclos",IF(OR(B3152&lt;parametros!$C$2,(YEAR(B3152)-YEAR(parametros!$C$2))*12+MONTH(B3152)-MONTH(parametros!$C$2)&gt;59),"Fora dos ciclos","C"&amp;INT(((YEAR(B3152)-YEAR(parametros!$C$2))*12+MONTH(B3152)-MONTH(parametros!$C$2))/12)))))</f>
        <v/>
      </c>
      <c r="D3152" s="394"/>
      <c r="E3152" s="78" t="str">
        <f>IF(C3152="","",IFERROR(VLOOKUP(C3152,parametros!$A$11:$E$15,5,0),""))</f>
        <v/>
      </c>
      <c r="F3152" s="79" t="str">
        <f t="shared" si="247"/>
        <v/>
      </c>
      <c r="G3152" s="395"/>
      <c r="H3152" s="91">
        <f t="shared" si="248"/>
        <v>0</v>
      </c>
      <c r="I3152" s="91" t="str">
        <f t="shared" si="249"/>
        <v/>
      </c>
      <c r="J3152" s="91" t="str">
        <f t="shared" si="250"/>
        <v/>
      </c>
      <c r="K3152" s="92" t="str">
        <f>IF(AND(A3152="",B3152="",D3152="",G3152=""),"",IF(AND(A3152&lt;&gt;"",COUNTIF($A$2:$A$5001,A3152)&gt;1),"NUMERO_PC duplicado",IF(B3152="","DATA_PC vazia",IF(NOT(ISNUMBER(B3152)),"DATA_PC invalida",IF(OR(C3152="",C3152="Fora dos ciclos"),"CICLO_PC nao identificado",IF(OR(D3152="",D3152=0),"VALOR_PC vazio ou zero",IF(AND(G3152&lt;&gt;"Sim",G3152&lt;&gt;"Nao",G3152&lt;&gt;""),"PC_PAGO_A_CONTRATADA invalido",IF(AND(C3152&lt;&gt;"C0",IFERROR(INDEX(parametros!$A$2:$A$6,MATCH(C3152,parametros!$B$2:$B$6,0)),"")="Sim",IFERROR(INDEX(parametros!$H$2:$H$6,MATCH(C3152,parametros!$B$2:$B$6,0)),"")=""),"INICIO_EFEITO ausente: PC "&amp;A3152&amp;" - "&amp;C3152,IF(L3152="","EFEITO_PC nao calculado: PC "&amp;A3152&amp;" - "&amp;C3152,"OK")))))))))</f>
        <v/>
      </c>
      <c r="L3152" s="92" t="str">
        <f>IF(AND(A3152="",B3152="",D3152="",G3152=""),"",IF(OR(B3152="",NOT(ISNUMBER(B3152)),C3152="",C3152="Fora dos ciclos"),"",IF(C3152="C0","Nao",IF(IFERROR(INDEX(parametros!$A$2:$A$6,MATCH(C3152,parametros!$B$2:$B$6,0)),"")&lt;&gt;"Sim","Nao",IF(IFERROR(INDEX(parametros!$H$2:$H$6,MATCH(C3152,parametros!$B$2:$B$6,0)),"")="","",IF(B3152&gt;=IFERROR(INDEX(parametros!$H$2:$H$6,MATCH(C3152,parametros!$B$2:$B$6,0)),""),"Sim","Nao"))))))</f>
        <v/>
      </c>
      <c r="T3152" s="156"/>
      <c r="U3152" s="214" t="str">
        <f t="shared" si="251"/>
        <v/>
      </c>
      <c r="V3152" s="212" t="s">
        <v>50</v>
      </c>
      <c r="W3152" s="100" t="s">
        <v>168</v>
      </c>
      <c r="X3152" s="100" t="s">
        <v>169</v>
      </c>
      <c r="Y3152" s="101" t="s">
        <v>170</v>
      </c>
      <c r="Z3152" s="101" t="s">
        <v>171</v>
      </c>
      <c r="AA3152" s="101" t="s">
        <v>50</v>
      </c>
      <c r="AB3152" s="101" t="s">
        <v>172</v>
      </c>
      <c r="AC3152" s="102" t="s">
        <v>173</v>
      </c>
    </row>
    <row r="3153" spans="1:29" ht="25.5" customHeight="1" x14ac:dyDescent="0.35">
      <c r="A3153" s="392"/>
      <c r="B3153" s="393"/>
      <c r="C3153" s="99" t="str">
        <f>IF(B3153="","",IF(NOT(ISNUMBER(B3153)),"DATA_PC invalida",IF(NOT(ISNUMBER(parametros!$C$2)),"Fora dos ciclos",IF(OR(B3153&lt;parametros!$C$2,(YEAR(B3153)-YEAR(parametros!$C$2))*12+MONTH(B3153)-MONTH(parametros!$C$2)&gt;59),"Fora dos ciclos","C"&amp;INT(((YEAR(B3153)-YEAR(parametros!$C$2))*12+MONTH(B3153)-MONTH(parametros!$C$2))/12)))))</f>
        <v/>
      </c>
      <c r="D3153" s="394"/>
      <c r="E3153" s="78" t="str">
        <f>IF(C3153="","",IFERROR(VLOOKUP(C3153,parametros!$A$11:$E$15,5,0),""))</f>
        <v/>
      </c>
      <c r="F3153" s="79" t="str">
        <f t="shared" si="247"/>
        <v/>
      </c>
      <c r="G3153" s="395"/>
      <c r="H3153" s="91">
        <f t="shared" si="248"/>
        <v>0</v>
      </c>
      <c r="I3153" s="91" t="str">
        <f t="shared" si="249"/>
        <v/>
      </c>
      <c r="J3153" s="91" t="str">
        <f t="shared" si="250"/>
        <v/>
      </c>
      <c r="K3153" s="92" t="str">
        <f>IF(AND(A3153="",B3153="",D3153="",G3153=""),"",IF(AND(A3153&lt;&gt;"",COUNTIF($A$2:$A$5001,A3153)&gt;1),"NUMERO_PC duplicado",IF(B3153="","DATA_PC vazia",IF(NOT(ISNUMBER(B3153)),"DATA_PC invalida",IF(OR(C3153="",C3153="Fora dos ciclos"),"CICLO_PC nao identificado",IF(OR(D3153="",D3153=0),"VALOR_PC vazio ou zero",IF(AND(G3153&lt;&gt;"Sim",G3153&lt;&gt;"Nao",G3153&lt;&gt;""),"PC_PAGO_A_CONTRATADA invalido",IF(AND(C3153&lt;&gt;"C0",IFERROR(INDEX(parametros!$A$2:$A$6,MATCH(C3153,parametros!$B$2:$B$6,0)),"")="Sim",IFERROR(INDEX(parametros!$H$2:$H$6,MATCH(C3153,parametros!$B$2:$B$6,0)),"")=""),"INICIO_EFEITO ausente: PC "&amp;A3153&amp;" - "&amp;C3153,IF(L3153="","EFEITO_PC nao calculado: PC "&amp;A3153&amp;" - "&amp;C3153,"OK")))))))))</f>
        <v/>
      </c>
      <c r="L3153" s="92" t="str">
        <f>IF(AND(A3153="",B3153="",D3153="",G3153=""),"",IF(OR(B3153="",NOT(ISNUMBER(B3153)),C3153="",C3153="Fora dos ciclos"),"",IF(C3153="C0","Nao",IF(IFERROR(INDEX(parametros!$A$2:$A$6,MATCH(C3153,parametros!$B$2:$B$6,0)),"")&lt;&gt;"Sim","Nao",IF(IFERROR(INDEX(parametros!$H$2:$H$6,MATCH(C3153,parametros!$B$2:$B$6,0)),"")="","",IF(B3153&gt;=IFERROR(INDEX(parametros!$H$2:$H$6,MATCH(C3153,parametros!$B$2:$B$6,0)),""),"Sim","Nao"))))))</f>
        <v/>
      </c>
      <c r="T3153" s="156"/>
      <c r="U3153" s="214" t="str">
        <f t="shared" si="251"/>
        <v/>
      </c>
      <c r="V3153" s="212" t="s">
        <v>50</v>
      </c>
      <c r="W3153" s="100" t="s">
        <v>168</v>
      </c>
      <c r="X3153" s="100" t="s">
        <v>169</v>
      </c>
      <c r="Y3153" s="101" t="s">
        <v>170</v>
      </c>
      <c r="Z3153" s="101" t="s">
        <v>171</v>
      </c>
      <c r="AA3153" s="101" t="s">
        <v>50</v>
      </c>
      <c r="AB3153" s="101" t="s">
        <v>172</v>
      </c>
      <c r="AC3153" s="102" t="s">
        <v>173</v>
      </c>
    </row>
    <row r="3154" spans="1:29" ht="25.5" customHeight="1" x14ac:dyDescent="0.35">
      <c r="A3154" s="392"/>
      <c r="B3154" s="393"/>
      <c r="C3154" s="99" t="str">
        <f>IF(B3154="","",IF(NOT(ISNUMBER(B3154)),"DATA_PC invalida",IF(NOT(ISNUMBER(parametros!$C$2)),"Fora dos ciclos",IF(OR(B3154&lt;parametros!$C$2,(YEAR(B3154)-YEAR(parametros!$C$2))*12+MONTH(B3154)-MONTH(parametros!$C$2)&gt;59),"Fora dos ciclos","C"&amp;INT(((YEAR(B3154)-YEAR(parametros!$C$2))*12+MONTH(B3154)-MONTH(parametros!$C$2))/12)))))</f>
        <v/>
      </c>
      <c r="D3154" s="394"/>
      <c r="E3154" s="78" t="str">
        <f>IF(C3154="","",IFERROR(VLOOKUP(C3154,parametros!$A$11:$E$15,5,0),""))</f>
        <v/>
      </c>
      <c r="F3154" s="79" t="str">
        <f t="shared" si="247"/>
        <v/>
      </c>
      <c r="G3154" s="395"/>
      <c r="H3154" s="91">
        <f t="shared" si="248"/>
        <v>0</v>
      </c>
      <c r="I3154" s="91" t="str">
        <f t="shared" si="249"/>
        <v/>
      </c>
      <c r="J3154" s="91" t="str">
        <f t="shared" si="250"/>
        <v/>
      </c>
      <c r="K3154" s="92" t="str">
        <f>IF(AND(A3154="",B3154="",D3154="",G3154=""),"",IF(AND(A3154&lt;&gt;"",COUNTIF($A$2:$A$5001,A3154)&gt;1),"NUMERO_PC duplicado",IF(B3154="","DATA_PC vazia",IF(NOT(ISNUMBER(B3154)),"DATA_PC invalida",IF(OR(C3154="",C3154="Fora dos ciclos"),"CICLO_PC nao identificado",IF(OR(D3154="",D3154=0),"VALOR_PC vazio ou zero",IF(AND(G3154&lt;&gt;"Sim",G3154&lt;&gt;"Nao",G3154&lt;&gt;""),"PC_PAGO_A_CONTRATADA invalido",IF(AND(C3154&lt;&gt;"C0",IFERROR(INDEX(parametros!$A$2:$A$6,MATCH(C3154,parametros!$B$2:$B$6,0)),"")="Sim",IFERROR(INDEX(parametros!$H$2:$H$6,MATCH(C3154,parametros!$B$2:$B$6,0)),"")=""),"INICIO_EFEITO ausente: PC "&amp;A3154&amp;" - "&amp;C3154,IF(L3154="","EFEITO_PC nao calculado: PC "&amp;A3154&amp;" - "&amp;C3154,"OK")))))))))</f>
        <v/>
      </c>
      <c r="L3154" s="92" t="str">
        <f>IF(AND(A3154="",B3154="",D3154="",G3154=""),"",IF(OR(B3154="",NOT(ISNUMBER(B3154)),C3154="",C3154="Fora dos ciclos"),"",IF(C3154="C0","Nao",IF(IFERROR(INDEX(parametros!$A$2:$A$6,MATCH(C3154,parametros!$B$2:$B$6,0)),"")&lt;&gt;"Sim","Nao",IF(IFERROR(INDEX(parametros!$H$2:$H$6,MATCH(C3154,parametros!$B$2:$B$6,0)),"")="","",IF(B3154&gt;=IFERROR(INDEX(parametros!$H$2:$H$6,MATCH(C3154,parametros!$B$2:$B$6,0)),""),"Sim","Nao"))))))</f>
        <v/>
      </c>
      <c r="T3154" s="156"/>
      <c r="U3154" s="214" t="str">
        <f t="shared" si="251"/>
        <v/>
      </c>
      <c r="V3154" s="212" t="s">
        <v>50</v>
      </c>
      <c r="W3154" s="100" t="s">
        <v>168</v>
      </c>
      <c r="X3154" s="100" t="s">
        <v>169</v>
      </c>
      <c r="Y3154" s="101" t="s">
        <v>170</v>
      </c>
      <c r="Z3154" s="101" t="s">
        <v>171</v>
      </c>
      <c r="AA3154" s="101" t="s">
        <v>50</v>
      </c>
      <c r="AB3154" s="101" t="s">
        <v>172</v>
      </c>
      <c r="AC3154" s="102" t="s">
        <v>173</v>
      </c>
    </row>
    <row r="3155" spans="1:29" ht="25.5" customHeight="1" x14ac:dyDescent="0.35">
      <c r="A3155" s="392"/>
      <c r="B3155" s="393"/>
      <c r="C3155" s="99" t="str">
        <f>IF(B3155="","",IF(NOT(ISNUMBER(B3155)),"DATA_PC invalida",IF(NOT(ISNUMBER(parametros!$C$2)),"Fora dos ciclos",IF(OR(B3155&lt;parametros!$C$2,(YEAR(B3155)-YEAR(parametros!$C$2))*12+MONTH(B3155)-MONTH(parametros!$C$2)&gt;59),"Fora dos ciclos","C"&amp;INT(((YEAR(B3155)-YEAR(parametros!$C$2))*12+MONTH(B3155)-MONTH(parametros!$C$2))/12)))))</f>
        <v/>
      </c>
      <c r="D3155" s="394"/>
      <c r="E3155" s="78" t="str">
        <f>IF(C3155="","",IFERROR(VLOOKUP(C3155,parametros!$A$11:$E$15,5,0),""))</f>
        <v/>
      </c>
      <c r="F3155" s="79" t="str">
        <f t="shared" si="247"/>
        <v/>
      </c>
      <c r="G3155" s="395"/>
      <c r="H3155" s="91">
        <f t="shared" si="248"/>
        <v>0</v>
      </c>
      <c r="I3155" s="91" t="str">
        <f t="shared" si="249"/>
        <v/>
      </c>
      <c r="J3155" s="91" t="str">
        <f t="shared" si="250"/>
        <v/>
      </c>
      <c r="K3155" s="92" t="str">
        <f>IF(AND(A3155="",B3155="",D3155="",G3155=""),"",IF(AND(A3155&lt;&gt;"",COUNTIF($A$2:$A$5001,A3155)&gt;1),"NUMERO_PC duplicado",IF(B3155="","DATA_PC vazia",IF(NOT(ISNUMBER(B3155)),"DATA_PC invalida",IF(OR(C3155="",C3155="Fora dos ciclos"),"CICLO_PC nao identificado",IF(OR(D3155="",D3155=0),"VALOR_PC vazio ou zero",IF(AND(G3155&lt;&gt;"Sim",G3155&lt;&gt;"Nao",G3155&lt;&gt;""),"PC_PAGO_A_CONTRATADA invalido",IF(AND(C3155&lt;&gt;"C0",IFERROR(INDEX(parametros!$A$2:$A$6,MATCH(C3155,parametros!$B$2:$B$6,0)),"")="Sim",IFERROR(INDEX(parametros!$H$2:$H$6,MATCH(C3155,parametros!$B$2:$B$6,0)),"")=""),"INICIO_EFEITO ausente: PC "&amp;A3155&amp;" - "&amp;C3155,IF(L3155="","EFEITO_PC nao calculado: PC "&amp;A3155&amp;" - "&amp;C3155,"OK")))))))))</f>
        <v/>
      </c>
      <c r="L3155" s="92" t="str">
        <f>IF(AND(A3155="",B3155="",D3155="",G3155=""),"",IF(OR(B3155="",NOT(ISNUMBER(B3155)),C3155="",C3155="Fora dos ciclos"),"",IF(C3155="C0","Nao",IF(IFERROR(INDEX(parametros!$A$2:$A$6,MATCH(C3155,parametros!$B$2:$B$6,0)),"")&lt;&gt;"Sim","Nao",IF(IFERROR(INDEX(parametros!$H$2:$H$6,MATCH(C3155,parametros!$B$2:$B$6,0)),"")="","",IF(B3155&gt;=IFERROR(INDEX(parametros!$H$2:$H$6,MATCH(C3155,parametros!$B$2:$B$6,0)),""),"Sim","Nao"))))))</f>
        <v/>
      </c>
      <c r="T3155" s="156"/>
      <c r="U3155" s="214" t="str">
        <f t="shared" si="251"/>
        <v/>
      </c>
      <c r="V3155" s="212" t="s">
        <v>50</v>
      </c>
      <c r="W3155" s="100" t="s">
        <v>168</v>
      </c>
      <c r="X3155" s="100" t="s">
        <v>169</v>
      </c>
      <c r="Y3155" s="101" t="s">
        <v>170</v>
      </c>
      <c r="Z3155" s="101" t="s">
        <v>171</v>
      </c>
      <c r="AA3155" s="101" t="s">
        <v>50</v>
      </c>
      <c r="AB3155" s="101" t="s">
        <v>172</v>
      </c>
      <c r="AC3155" s="102" t="s">
        <v>173</v>
      </c>
    </row>
    <row r="3156" spans="1:29" ht="25.5" customHeight="1" x14ac:dyDescent="0.35">
      <c r="A3156" s="392"/>
      <c r="B3156" s="393"/>
      <c r="C3156" s="99" t="str">
        <f>IF(B3156="","",IF(NOT(ISNUMBER(B3156)),"DATA_PC invalida",IF(NOT(ISNUMBER(parametros!$C$2)),"Fora dos ciclos",IF(OR(B3156&lt;parametros!$C$2,(YEAR(B3156)-YEAR(parametros!$C$2))*12+MONTH(B3156)-MONTH(parametros!$C$2)&gt;59),"Fora dos ciclos","C"&amp;INT(((YEAR(B3156)-YEAR(parametros!$C$2))*12+MONTH(B3156)-MONTH(parametros!$C$2))/12)))))</f>
        <v/>
      </c>
      <c r="D3156" s="394"/>
      <c r="E3156" s="78" t="str">
        <f>IF(C3156="","",IFERROR(VLOOKUP(C3156,parametros!$A$11:$E$15,5,0),""))</f>
        <v/>
      </c>
      <c r="F3156" s="79" t="str">
        <f t="shared" si="247"/>
        <v/>
      </c>
      <c r="G3156" s="395"/>
      <c r="H3156" s="91">
        <f t="shared" si="248"/>
        <v>0</v>
      </c>
      <c r="I3156" s="91" t="str">
        <f t="shared" si="249"/>
        <v/>
      </c>
      <c r="J3156" s="91" t="str">
        <f t="shared" si="250"/>
        <v/>
      </c>
      <c r="K3156" s="92" t="str">
        <f>IF(AND(A3156="",B3156="",D3156="",G3156=""),"",IF(AND(A3156&lt;&gt;"",COUNTIF($A$2:$A$5001,A3156)&gt;1),"NUMERO_PC duplicado",IF(B3156="","DATA_PC vazia",IF(NOT(ISNUMBER(B3156)),"DATA_PC invalida",IF(OR(C3156="",C3156="Fora dos ciclos"),"CICLO_PC nao identificado",IF(OR(D3156="",D3156=0),"VALOR_PC vazio ou zero",IF(AND(G3156&lt;&gt;"Sim",G3156&lt;&gt;"Nao",G3156&lt;&gt;""),"PC_PAGO_A_CONTRATADA invalido",IF(AND(C3156&lt;&gt;"C0",IFERROR(INDEX(parametros!$A$2:$A$6,MATCH(C3156,parametros!$B$2:$B$6,0)),"")="Sim",IFERROR(INDEX(parametros!$H$2:$H$6,MATCH(C3156,parametros!$B$2:$B$6,0)),"")=""),"INICIO_EFEITO ausente: PC "&amp;A3156&amp;" - "&amp;C3156,IF(L3156="","EFEITO_PC nao calculado: PC "&amp;A3156&amp;" - "&amp;C3156,"OK")))))))))</f>
        <v/>
      </c>
      <c r="L3156" s="92" t="str">
        <f>IF(AND(A3156="",B3156="",D3156="",G3156=""),"",IF(OR(B3156="",NOT(ISNUMBER(B3156)),C3156="",C3156="Fora dos ciclos"),"",IF(C3156="C0","Nao",IF(IFERROR(INDEX(parametros!$A$2:$A$6,MATCH(C3156,parametros!$B$2:$B$6,0)),"")&lt;&gt;"Sim","Nao",IF(IFERROR(INDEX(parametros!$H$2:$H$6,MATCH(C3156,parametros!$B$2:$B$6,0)),"")="","",IF(B3156&gt;=IFERROR(INDEX(parametros!$H$2:$H$6,MATCH(C3156,parametros!$B$2:$B$6,0)),""),"Sim","Nao"))))))</f>
        <v/>
      </c>
      <c r="T3156" s="156"/>
      <c r="U3156" s="214" t="str">
        <f t="shared" si="251"/>
        <v/>
      </c>
      <c r="V3156" s="212" t="s">
        <v>50</v>
      </c>
      <c r="W3156" s="100" t="s">
        <v>168</v>
      </c>
      <c r="X3156" s="100" t="s">
        <v>169</v>
      </c>
      <c r="Y3156" s="101" t="s">
        <v>170</v>
      </c>
      <c r="Z3156" s="101" t="s">
        <v>171</v>
      </c>
      <c r="AA3156" s="101" t="s">
        <v>50</v>
      </c>
      <c r="AB3156" s="101" t="s">
        <v>172</v>
      </c>
      <c r="AC3156" s="102" t="s">
        <v>173</v>
      </c>
    </row>
    <row r="3157" spans="1:29" ht="25.5" customHeight="1" x14ac:dyDescent="0.35">
      <c r="A3157" s="392"/>
      <c r="B3157" s="393"/>
      <c r="C3157" s="99" t="str">
        <f>IF(B3157="","",IF(NOT(ISNUMBER(B3157)),"DATA_PC invalida",IF(NOT(ISNUMBER(parametros!$C$2)),"Fora dos ciclos",IF(OR(B3157&lt;parametros!$C$2,(YEAR(B3157)-YEAR(parametros!$C$2))*12+MONTH(B3157)-MONTH(parametros!$C$2)&gt;59),"Fora dos ciclos","C"&amp;INT(((YEAR(B3157)-YEAR(parametros!$C$2))*12+MONTH(B3157)-MONTH(parametros!$C$2))/12)))))</f>
        <v/>
      </c>
      <c r="D3157" s="394"/>
      <c r="E3157" s="78" t="str">
        <f>IF(C3157="","",IFERROR(VLOOKUP(C3157,parametros!$A$11:$E$15,5,0),""))</f>
        <v/>
      </c>
      <c r="F3157" s="79" t="str">
        <f t="shared" si="247"/>
        <v/>
      </c>
      <c r="G3157" s="395"/>
      <c r="H3157" s="91">
        <f t="shared" si="248"/>
        <v>0</v>
      </c>
      <c r="I3157" s="91" t="str">
        <f t="shared" si="249"/>
        <v/>
      </c>
      <c r="J3157" s="91" t="str">
        <f t="shared" si="250"/>
        <v/>
      </c>
      <c r="K3157" s="92" t="str">
        <f>IF(AND(A3157="",B3157="",D3157="",G3157=""),"",IF(AND(A3157&lt;&gt;"",COUNTIF($A$2:$A$5001,A3157)&gt;1),"NUMERO_PC duplicado",IF(B3157="","DATA_PC vazia",IF(NOT(ISNUMBER(B3157)),"DATA_PC invalida",IF(OR(C3157="",C3157="Fora dos ciclos"),"CICLO_PC nao identificado",IF(OR(D3157="",D3157=0),"VALOR_PC vazio ou zero",IF(AND(G3157&lt;&gt;"Sim",G3157&lt;&gt;"Nao",G3157&lt;&gt;""),"PC_PAGO_A_CONTRATADA invalido",IF(AND(C3157&lt;&gt;"C0",IFERROR(INDEX(parametros!$A$2:$A$6,MATCH(C3157,parametros!$B$2:$B$6,0)),"")="Sim",IFERROR(INDEX(parametros!$H$2:$H$6,MATCH(C3157,parametros!$B$2:$B$6,0)),"")=""),"INICIO_EFEITO ausente: PC "&amp;A3157&amp;" - "&amp;C3157,IF(L3157="","EFEITO_PC nao calculado: PC "&amp;A3157&amp;" - "&amp;C3157,"OK")))))))))</f>
        <v/>
      </c>
      <c r="L3157" s="92" t="str">
        <f>IF(AND(A3157="",B3157="",D3157="",G3157=""),"",IF(OR(B3157="",NOT(ISNUMBER(B3157)),C3157="",C3157="Fora dos ciclos"),"",IF(C3157="C0","Nao",IF(IFERROR(INDEX(parametros!$A$2:$A$6,MATCH(C3157,parametros!$B$2:$B$6,0)),"")&lt;&gt;"Sim","Nao",IF(IFERROR(INDEX(parametros!$H$2:$H$6,MATCH(C3157,parametros!$B$2:$B$6,0)),"")="","",IF(B3157&gt;=IFERROR(INDEX(parametros!$H$2:$H$6,MATCH(C3157,parametros!$B$2:$B$6,0)),""),"Sim","Nao"))))))</f>
        <v/>
      </c>
      <c r="T3157" s="156"/>
      <c r="U3157" s="214" t="str">
        <f t="shared" si="251"/>
        <v/>
      </c>
      <c r="V3157" s="212" t="s">
        <v>50</v>
      </c>
      <c r="W3157" s="100" t="s">
        <v>168</v>
      </c>
      <c r="X3157" s="100" t="s">
        <v>169</v>
      </c>
      <c r="Y3157" s="101" t="s">
        <v>170</v>
      </c>
      <c r="Z3157" s="101" t="s">
        <v>171</v>
      </c>
      <c r="AA3157" s="101" t="s">
        <v>50</v>
      </c>
      <c r="AB3157" s="101" t="s">
        <v>172</v>
      </c>
      <c r="AC3157" s="102" t="s">
        <v>173</v>
      </c>
    </row>
    <row r="3158" spans="1:29" ht="25.5" customHeight="1" x14ac:dyDescent="0.35">
      <c r="A3158" s="392"/>
      <c r="B3158" s="393"/>
      <c r="C3158" s="99" t="str">
        <f>IF(B3158="","",IF(NOT(ISNUMBER(B3158)),"DATA_PC invalida",IF(NOT(ISNUMBER(parametros!$C$2)),"Fora dos ciclos",IF(OR(B3158&lt;parametros!$C$2,(YEAR(B3158)-YEAR(parametros!$C$2))*12+MONTH(B3158)-MONTH(parametros!$C$2)&gt;59),"Fora dos ciclos","C"&amp;INT(((YEAR(B3158)-YEAR(parametros!$C$2))*12+MONTH(B3158)-MONTH(parametros!$C$2))/12)))))</f>
        <v/>
      </c>
      <c r="D3158" s="394"/>
      <c r="E3158" s="78" t="str">
        <f>IF(C3158="","",IFERROR(VLOOKUP(C3158,parametros!$A$11:$E$15,5,0),""))</f>
        <v/>
      </c>
      <c r="F3158" s="79" t="str">
        <f t="shared" si="247"/>
        <v/>
      </c>
      <c r="G3158" s="395"/>
      <c r="H3158" s="91">
        <f t="shared" si="248"/>
        <v>0</v>
      </c>
      <c r="I3158" s="91" t="str">
        <f t="shared" si="249"/>
        <v/>
      </c>
      <c r="J3158" s="91" t="str">
        <f t="shared" si="250"/>
        <v/>
      </c>
      <c r="K3158" s="92" t="str">
        <f>IF(AND(A3158="",B3158="",D3158="",G3158=""),"",IF(AND(A3158&lt;&gt;"",COUNTIF($A$2:$A$5001,A3158)&gt;1),"NUMERO_PC duplicado",IF(B3158="","DATA_PC vazia",IF(NOT(ISNUMBER(B3158)),"DATA_PC invalida",IF(OR(C3158="",C3158="Fora dos ciclos"),"CICLO_PC nao identificado",IF(OR(D3158="",D3158=0),"VALOR_PC vazio ou zero",IF(AND(G3158&lt;&gt;"Sim",G3158&lt;&gt;"Nao",G3158&lt;&gt;""),"PC_PAGO_A_CONTRATADA invalido",IF(AND(C3158&lt;&gt;"C0",IFERROR(INDEX(parametros!$A$2:$A$6,MATCH(C3158,parametros!$B$2:$B$6,0)),"")="Sim",IFERROR(INDEX(parametros!$H$2:$H$6,MATCH(C3158,parametros!$B$2:$B$6,0)),"")=""),"INICIO_EFEITO ausente: PC "&amp;A3158&amp;" - "&amp;C3158,IF(L3158="","EFEITO_PC nao calculado: PC "&amp;A3158&amp;" - "&amp;C3158,"OK")))))))))</f>
        <v/>
      </c>
      <c r="L3158" s="92" t="str">
        <f>IF(AND(A3158="",B3158="",D3158="",G3158=""),"",IF(OR(B3158="",NOT(ISNUMBER(B3158)),C3158="",C3158="Fora dos ciclos"),"",IF(C3158="C0","Nao",IF(IFERROR(INDEX(parametros!$A$2:$A$6,MATCH(C3158,parametros!$B$2:$B$6,0)),"")&lt;&gt;"Sim","Nao",IF(IFERROR(INDEX(parametros!$H$2:$H$6,MATCH(C3158,parametros!$B$2:$B$6,0)),"")="","",IF(B3158&gt;=IFERROR(INDEX(parametros!$H$2:$H$6,MATCH(C3158,parametros!$B$2:$B$6,0)),""),"Sim","Nao"))))))</f>
        <v/>
      </c>
      <c r="T3158" s="156"/>
      <c r="U3158" s="214" t="str">
        <f t="shared" si="251"/>
        <v/>
      </c>
      <c r="V3158" s="212" t="s">
        <v>50</v>
      </c>
      <c r="W3158" s="100" t="s">
        <v>168</v>
      </c>
      <c r="X3158" s="100" t="s">
        <v>169</v>
      </c>
      <c r="Y3158" s="101" t="s">
        <v>170</v>
      </c>
      <c r="Z3158" s="101" t="s">
        <v>171</v>
      </c>
      <c r="AA3158" s="101" t="s">
        <v>50</v>
      </c>
      <c r="AB3158" s="101" t="s">
        <v>172</v>
      </c>
      <c r="AC3158" s="102" t="s">
        <v>173</v>
      </c>
    </row>
    <row r="3159" spans="1:29" ht="25.5" customHeight="1" x14ac:dyDescent="0.35">
      <c r="A3159" s="392"/>
      <c r="B3159" s="393"/>
      <c r="C3159" s="99" t="str">
        <f>IF(B3159="","",IF(NOT(ISNUMBER(B3159)),"DATA_PC invalida",IF(NOT(ISNUMBER(parametros!$C$2)),"Fora dos ciclos",IF(OR(B3159&lt;parametros!$C$2,(YEAR(B3159)-YEAR(parametros!$C$2))*12+MONTH(B3159)-MONTH(parametros!$C$2)&gt;59),"Fora dos ciclos","C"&amp;INT(((YEAR(B3159)-YEAR(parametros!$C$2))*12+MONTH(B3159)-MONTH(parametros!$C$2))/12)))))</f>
        <v/>
      </c>
      <c r="D3159" s="394"/>
      <c r="E3159" s="78" t="str">
        <f>IF(C3159="","",IFERROR(VLOOKUP(C3159,parametros!$A$11:$E$15,5,0),""))</f>
        <v/>
      </c>
      <c r="F3159" s="79" t="str">
        <f t="shared" si="247"/>
        <v/>
      </c>
      <c r="G3159" s="395"/>
      <c r="H3159" s="91">
        <f t="shared" si="248"/>
        <v>0</v>
      </c>
      <c r="I3159" s="91" t="str">
        <f t="shared" si="249"/>
        <v/>
      </c>
      <c r="J3159" s="91" t="str">
        <f t="shared" si="250"/>
        <v/>
      </c>
      <c r="K3159" s="92" t="str">
        <f>IF(AND(A3159="",B3159="",D3159="",G3159=""),"",IF(AND(A3159&lt;&gt;"",COUNTIF($A$2:$A$5001,A3159)&gt;1),"NUMERO_PC duplicado",IF(B3159="","DATA_PC vazia",IF(NOT(ISNUMBER(B3159)),"DATA_PC invalida",IF(OR(C3159="",C3159="Fora dos ciclos"),"CICLO_PC nao identificado",IF(OR(D3159="",D3159=0),"VALOR_PC vazio ou zero",IF(AND(G3159&lt;&gt;"Sim",G3159&lt;&gt;"Nao",G3159&lt;&gt;""),"PC_PAGO_A_CONTRATADA invalido",IF(AND(C3159&lt;&gt;"C0",IFERROR(INDEX(parametros!$A$2:$A$6,MATCH(C3159,parametros!$B$2:$B$6,0)),"")="Sim",IFERROR(INDEX(parametros!$H$2:$H$6,MATCH(C3159,parametros!$B$2:$B$6,0)),"")=""),"INICIO_EFEITO ausente: PC "&amp;A3159&amp;" - "&amp;C3159,IF(L3159="","EFEITO_PC nao calculado: PC "&amp;A3159&amp;" - "&amp;C3159,"OK")))))))))</f>
        <v/>
      </c>
      <c r="L3159" s="92" t="str">
        <f>IF(AND(A3159="",B3159="",D3159="",G3159=""),"",IF(OR(B3159="",NOT(ISNUMBER(B3159)),C3159="",C3159="Fora dos ciclos"),"",IF(C3159="C0","Nao",IF(IFERROR(INDEX(parametros!$A$2:$A$6,MATCH(C3159,parametros!$B$2:$B$6,0)),"")&lt;&gt;"Sim","Nao",IF(IFERROR(INDEX(parametros!$H$2:$H$6,MATCH(C3159,parametros!$B$2:$B$6,0)),"")="","",IF(B3159&gt;=IFERROR(INDEX(parametros!$H$2:$H$6,MATCH(C3159,parametros!$B$2:$B$6,0)),""),"Sim","Nao"))))))</f>
        <v/>
      </c>
      <c r="T3159" s="156"/>
      <c r="U3159" s="214" t="str">
        <f t="shared" si="251"/>
        <v/>
      </c>
      <c r="V3159" s="212" t="s">
        <v>50</v>
      </c>
      <c r="W3159" s="100" t="s">
        <v>168</v>
      </c>
      <c r="X3159" s="100" t="s">
        <v>169</v>
      </c>
      <c r="Y3159" s="101" t="s">
        <v>170</v>
      </c>
      <c r="Z3159" s="101" t="s">
        <v>171</v>
      </c>
      <c r="AA3159" s="101" t="s">
        <v>50</v>
      </c>
      <c r="AB3159" s="101" t="s">
        <v>172</v>
      </c>
      <c r="AC3159" s="102" t="s">
        <v>173</v>
      </c>
    </row>
    <row r="3160" spans="1:29" ht="25.5" customHeight="1" x14ac:dyDescent="0.35">
      <c r="A3160" s="392"/>
      <c r="B3160" s="393"/>
      <c r="C3160" s="99" t="str">
        <f>IF(B3160="","",IF(NOT(ISNUMBER(B3160)),"DATA_PC invalida",IF(NOT(ISNUMBER(parametros!$C$2)),"Fora dos ciclos",IF(OR(B3160&lt;parametros!$C$2,(YEAR(B3160)-YEAR(parametros!$C$2))*12+MONTH(B3160)-MONTH(parametros!$C$2)&gt;59),"Fora dos ciclos","C"&amp;INT(((YEAR(B3160)-YEAR(parametros!$C$2))*12+MONTH(B3160)-MONTH(parametros!$C$2))/12)))))</f>
        <v/>
      </c>
      <c r="D3160" s="394"/>
      <c r="E3160" s="78" t="str">
        <f>IF(C3160="","",IFERROR(VLOOKUP(C3160,parametros!$A$11:$E$15,5,0),""))</f>
        <v/>
      </c>
      <c r="F3160" s="79" t="str">
        <f t="shared" si="247"/>
        <v/>
      </c>
      <c r="G3160" s="395"/>
      <c r="H3160" s="91">
        <f t="shared" si="248"/>
        <v>0</v>
      </c>
      <c r="I3160" s="91" t="str">
        <f t="shared" si="249"/>
        <v/>
      </c>
      <c r="J3160" s="91" t="str">
        <f t="shared" si="250"/>
        <v/>
      </c>
      <c r="K3160" s="92" t="str">
        <f>IF(AND(A3160="",B3160="",D3160="",G3160=""),"",IF(AND(A3160&lt;&gt;"",COUNTIF($A$2:$A$5001,A3160)&gt;1),"NUMERO_PC duplicado",IF(B3160="","DATA_PC vazia",IF(NOT(ISNUMBER(B3160)),"DATA_PC invalida",IF(OR(C3160="",C3160="Fora dos ciclos"),"CICLO_PC nao identificado",IF(OR(D3160="",D3160=0),"VALOR_PC vazio ou zero",IF(AND(G3160&lt;&gt;"Sim",G3160&lt;&gt;"Nao",G3160&lt;&gt;""),"PC_PAGO_A_CONTRATADA invalido",IF(AND(C3160&lt;&gt;"C0",IFERROR(INDEX(parametros!$A$2:$A$6,MATCH(C3160,parametros!$B$2:$B$6,0)),"")="Sim",IFERROR(INDEX(parametros!$H$2:$H$6,MATCH(C3160,parametros!$B$2:$B$6,0)),"")=""),"INICIO_EFEITO ausente: PC "&amp;A3160&amp;" - "&amp;C3160,IF(L3160="","EFEITO_PC nao calculado: PC "&amp;A3160&amp;" - "&amp;C3160,"OK")))))))))</f>
        <v/>
      </c>
      <c r="L3160" s="92" t="str">
        <f>IF(AND(A3160="",B3160="",D3160="",G3160=""),"",IF(OR(B3160="",NOT(ISNUMBER(B3160)),C3160="",C3160="Fora dos ciclos"),"",IF(C3160="C0","Nao",IF(IFERROR(INDEX(parametros!$A$2:$A$6,MATCH(C3160,parametros!$B$2:$B$6,0)),"")&lt;&gt;"Sim","Nao",IF(IFERROR(INDEX(parametros!$H$2:$H$6,MATCH(C3160,parametros!$B$2:$B$6,0)),"")="","",IF(B3160&gt;=IFERROR(INDEX(parametros!$H$2:$H$6,MATCH(C3160,parametros!$B$2:$B$6,0)),""),"Sim","Nao"))))))</f>
        <v/>
      </c>
      <c r="T3160" s="156"/>
      <c r="U3160" s="214" t="str">
        <f t="shared" si="251"/>
        <v/>
      </c>
      <c r="V3160" s="212" t="s">
        <v>50</v>
      </c>
      <c r="W3160" s="100" t="s">
        <v>168</v>
      </c>
      <c r="X3160" s="100" t="s">
        <v>169</v>
      </c>
      <c r="Y3160" s="101" t="s">
        <v>170</v>
      </c>
      <c r="Z3160" s="101" t="s">
        <v>171</v>
      </c>
      <c r="AA3160" s="101" t="s">
        <v>50</v>
      </c>
      <c r="AB3160" s="101" t="s">
        <v>172</v>
      </c>
      <c r="AC3160" s="102" t="s">
        <v>173</v>
      </c>
    </row>
    <row r="3161" spans="1:29" ht="25.5" customHeight="1" x14ac:dyDescent="0.35">
      <c r="A3161" s="392"/>
      <c r="B3161" s="393"/>
      <c r="C3161" s="99" t="str">
        <f>IF(B3161="","",IF(NOT(ISNUMBER(B3161)),"DATA_PC invalida",IF(NOT(ISNUMBER(parametros!$C$2)),"Fora dos ciclos",IF(OR(B3161&lt;parametros!$C$2,(YEAR(B3161)-YEAR(parametros!$C$2))*12+MONTH(B3161)-MONTH(parametros!$C$2)&gt;59),"Fora dos ciclos","C"&amp;INT(((YEAR(B3161)-YEAR(parametros!$C$2))*12+MONTH(B3161)-MONTH(parametros!$C$2))/12)))))</f>
        <v/>
      </c>
      <c r="D3161" s="394"/>
      <c r="E3161" s="78" t="str">
        <f>IF(C3161="","",IFERROR(VLOOKUP(C3161,parametros!$A$11:$E$15,5,0),""))</f>
        <v/>
      </c>
      <c r="F3161" s="79" t="str">
        <f t="shared" si="247"/>
        <v/>
      </c>
      <c r="G3161" s="395"/>
      <c r="H3161" s="91">
        <f t="shared" si="248"/>
        <v>0</v>
      </c>
      <c r="I3161" s="91" t="str">
        <f t="shared" si="249"/>
        <v/>
      </c>
      <c r="J3161" s="91" t="str">
        <f t="shared" si="250"/>
        <v/>
      </c>
      <c r="K3161" s="92" t="str">
        <f>IF(AND(A3161="",B3161="",D3161="",G3161=""),"",IF(AND(A3161&lt;&gt;"",COUNTIF($A$2:$A$5001,A3161)&gt;1),"NUMERO_PC duplicado",IF(B3161="","DATA_PC vazia",IF(NOT(ISNUMBER(B3161)),"DATA_PC invalida",IF(OR(C3161="",C3161="Fora dos ciclos"),"CICLO_PC nao identificado",IF(OR(D3161="",D3161=0),"VALOR_PC vazio ou zero",IF(AND(G3161&lt;&gt;"Sim",G3161&lt;&gt;"Nao",G3161&lt;&gt;""),"PC_PAGO_A_CONTRATADA invalido",IF(AND(C3161&lt;&gt;"C0",IFERROR(INDEX(parametros!$A$2:$A$6,MATCH(C3161,parametros!$B$2:$B$6,0)),"")="Sim",IFERROR(INDEX(parametros!$H$2:$H$6,MATCH(C3161,parametros!$B$2:$B$6,0)),"")=""),"INICIO_EFEITO ausente: PC "&amp;A3161&amp;" - "&amp;C3161,IF(L3161="","EFEITO_PC nao calculado: PC "&amp;A3161&amp;" - "&amp;C3161,"OK")))))))))</f>
        <v/>
      </c>
      <c r="L3161" s="92" t="str">
        <f>IF(AND(A3161="",B3161="",D3161="",G3161=""),"",IF(OR(B3161="",NOT(ISNUMBER(B3161)),C3161="",C3161="Fora dos ciclos"),"",IF(C3161="C0","Nao",IF(IFERROR(INDEX(parametros!$A$2:$A$6,MATCH(C3161,parametros!$B$2:$B$6,0)),"")&lt;&gt;"Sim","Nao",IF(IFERROR(INDEX(parametros!$H$2:$H$6,MATCH(C3161,parametros!$B$2:$B$6,0)),"")="","",IF(B3161&gt;=IFERROR(INDEX(parametros!$H$2:$H$6,MATCH(C3161,parametros!$B$2:$B$6,0)),""),"Sim","Nao"))))))</f>
        <v/>
      </c>
      <c r="T3161" s="156"/>
      <c r="U3161" s="214" t="str">
        <f t="shared" si="251"/>
        <v/>
      </c>
      <c r="V3161" s="212" t="s">
        <v>50</v>
      </c>
      <c r="W3161" s="100" t="s">
        <v>168</v>
      </c>
      <c r="X3161" s="100" t="s">
        <v>169</v>
      </c>
      <c r="Y3161" s="101" t="s">
        <v>170</v>
      </c>
      <c r="Z3161" s="101" t="s">
        <v>171</v>
      </c>
      <c r="AA3161" s="101" t="s">
        <v>50</v>
      </c>
      <c r="AB3161" s="101" t="s">
        <v>172</v>
      </c>
      <c r="AC3161" s="102" t="s">
        <v>173</v>
      </c>
    </row>
    <row r="3162" spans="1:29" ht="25.5" customHeight="1" x14ac:dyDescent="0.35">
      <c r="A3162" s="392"/>
      <c r="B3162" s="393"/>
      <c r="C3162" s="99" t="str">
        <f>IF(B3162="","",IF(NOT(ISNUMBER(B3162)),"DATA_PC invalida",IF(NOT(ISNUMBER(parametros!$C$2)),"Fora dos ciclos",IF(OR(B3162&lt;parametros!$C$2,(YEAR(B3162)-YEAR(parametros!$C$2))*12+MONTH(B3162)-MONTH(parametros!$C$2)&gt;59),"Fora dos ciclos","C"&amp;INT(((YEAR(B3162)-YEAR(parametros!$C$2))*12+MONTH(B3162)-MONTH(parametros!$C$2))/12)))))</f>
        <v/>
      </c>
      <c r="D3162" s="394"/>
      <c r="E3162" s="78" t="str">
        <f>IF(C3162="","",IFERROR(VLOOKUP(C3162,parametros!$A$11:$E$15,5,0),""))</f>
        <v/>
      </c>
      <c r="F3162" s="79" t="str">
        <f t="shared" si="247"/>
        <v/>
      </c>
      <c r="G3162" s="395"/>
      <c r="H3162" s="91">
        <f t="shared" si="248"/>
        <v>0</v>
      </c>
      <c r="I3162" s="91" t="str">
        <f t="shared" si="249"/>
        <v/>
      </c>
      <c r="J3162" s="91" t="str">
        <f t="shared" si="250"/>
        <v/>
      </c>
      <c r="K3162" s="92" t="str">
        <f>IF(AND(A3162="",B3162="",D3162="",G3162=""),"",IF(AND(A3162&lt;&gt;"",COUNTIF($A$2:$A$5001,A3162)&gt;1),"NUMERO_PC duplicado",IF(B3162="","DATA_PC vazia",IF(NOT(ISNUMBER(B3162)),"DATA_PC invalida",IF(OR(C3162="",C3162="Fora dos ciclos"),"CICLO_PC nao identificado",IF(OR(D3162="",D3162=0),"VALOR_PC vazio ou zero",IF(AND(G3162&lt;&gt;"Sim",G3162&lt;&gt;"Nao",G3162&lt;&gt;""),"PC_PAGO_A_CONTRATADA invalido",IF(AND(C3162&lt;&gt;"C0",IFERROR(INDEX(parametros!$A$2:$A$6,MATCH(C3162,parametros!$B$2:$B$6,0)),"")="Sim",IFERROR(INDEX(parametros!$H$2:$H$6,MATCH(C3162,parametros!$B$2:$B$6,0)),"")=""),"INICIO_EFEITO ausente: PC "&amp;A3162&amp;" - "&amp;C3162,IF(L3162="","EFEITO_PC nao calculado: PC "&amp;A3162&amp;" - "&amp;C3162,"OK")))))))))</f>
        <v/>
      </c>
      <c r="L3162" s="92" t="str">
        <f>IF(AND(A3162="",B3162="",D3162="",G3162=""),"",IF(OR(B3162="",NOT(ISNUMBER(B3162)),C3162="",C3162="Fora dos ciclos"),"",IF(C3162="C0","Nao",IF(IFERROR(INDEX(parametros!$A$2:$A$6,MATCH(C3162,parametros!$B$2:$B$6,0)),"")&lt;&gt;"Sim","Nao",IF(IFERROR(INDEX(parametros!$H$2:$H$6,MATCH(C3162,parametros!$B$2:$B$6,0)),"")="","",IF(B3162&gt;=IFERROR(INDEX(parametros!$H$2:$H$6,MATCH(C3162,parametros!$B$2:$B$6,0)),""),"Sim","Nao"))))))</f>
        <v/>
      </c>
      <c r="T3162" s="156"/>
      <c r="U3162" s="214" t="str">
        <f t="shared" si="251"/>
        <v/>
      </c>
      <c r="V3162" s="212" t="s">
        <v>50</v>
      </c>
      <c r="W3162" s="100" t="s">
        <v>168</v>
      </c>
      <c r="X3162" s="100" t="s">
        <v>169</v>
      </c>
      <c r="Y3162" s="101" t="s">
        <v>170</v>
      </c>
      <c r="Z3162" s="101" t="s">
        <v>171</v>
      </c>
      <c r="AA3162" s="101" t="s">
        <v>50</v>
      </c>
      <c r="AB3162" s="101" t="s">
        <v>172</v>
      </c>
      <c r="AC3162" s="102" t="s">
        <v>173</v>
      </c>
    </row>
    <row r="3163" spans="1:29" ht="25.5" customHeight="1" x14ac:dyDescent="0.35">
      <c r="A3163" s="392"/>
      <c r="B3163" s="393"/>
      <c r="C3163" s="99" t="str">
        <f>IF(B3163="","",IF(NOT(ISNUMBER(B3163)),"DATA_PC invalida",IF(NOT(ISNUMBER(parametros!$C$2)),"Fora dos ciclos",IF(OR(B3163&lt;parametros!$C$2,(YEAR(B3163)-YEAR(parametros!$C$2))*12+MONTH(B3163)-MONTH(parametros!$C$2)&gt;59),"Fora dos ciclos","C"&amp;INT(((YEAR(B3163)-YEAR(parametros!$C$2))*12+MONTH(B3163)-MONTH(parametros!$C$2))/12)))))</f>
        <v/>
      </c>
      <c r="D3163" s="394"/>
      <c r="E3163" s="78" t="str">
        <f>IF(C3163="","",IFERROR(VLOOKUP(C3163,parametros!$A$11:$E$15,5,0),""))</f>
        <v/>
      </c>
      <c r="F3163" s="79" t="str">
        <f t="shared" si="247"/>
        <v/>
      </c>
      <c r="G3163" s="395"/>
      <c r="H3163" s="91">
        <f t="shared" si="248"/>
        <v>0</v>
      </c>
      <c r="I3163" s="91" t="str">
        <f t="shared" si="249"/>
        <v/>
      </c>
      <c r="J3163" s="91" t="str">
        <f t="shared" si="250"/>
        <v/>
      </c>
      <c r="K3163" s="92" t="str">
        <f>IF(AND(A3163="",B3163="",D3163="",G3163=""),"",IF(AND(A3163&lt;&gt;"",COUNTIF($A$2:$A$5001,A3163)&gt;1),"NUMERO_PC duplicado",IF(B3163="","DATA_PC vazia",IF(NOT(ISNUMBER(B3163)),"DATA_PC invalida",IF(OR(C3163="",C3163="Fora dos ciclos"),"CICLO_PC nao identificado",IF(OR(D3163="",D3163=0),"VALOR_PC vazio ou zero",IF(AND(G3163&lt;&gt;"Sim",G3163&lt;&gt;"Nao",G3163&lt;&gt;""),"PC_PAGO_A_CONTRATADA invalido",IF(AND(C3163&lt;&gt;"C0",IFERROR(INDEX(parametros!$A$2:$A$6,MATCH(C3163,parametros!$B$2:$B$6,0)),"")="Sim",IFERROR(INDEX(parametros!$H$2:$H$6,MATCH(C3163,parametros!$B$2:$B$6,0)),"")=""),"INICIO_EFEITO ausente: PC "&amp;A3163&amp;" - "&amp;C3163,IF(L3163="","EFEITO_PC nao calculado: PC "&amp;A3163&amp;" - "&amp;C3163,"OK")))))))))</f>
        <v/>
      </c>
      <c r="L3163" s="92" t="str">
        <f>IF(AND(A3163="",B3163="",D3163="",G3163=""),"",IF(OR(B3163="",NOT(ISNUMBER(B3163)),C3163="",C3163="Fora dos ciclos"),"",IF(C3163="C0","Nao",IF(IFERROR(INDEX(parametros!$A$2:$A$6,MATCH(C3163,parametros!$B$2:$B$6,0)),"")&lt;&gt;"Sim","Nao",IF(IFERROR(INDEX(parametros!$H$2:$H$6,MATCH(C3163,parametros!$B$2:$B$6,0)),"")="","",IF(B3163&gt;=IFERROR(INDEX(parametros!$H$2:$H$6,MATCH(C3163,parametros!$B$2:$B$6,0)),""),"Sim","Nao"))))))</f>
        <v/>
      </c>
      <c r="T3163" s="156"/>
      <c r="U3163" s="214" t="str">
        <f t="shared" si="251"/>
        <v/>
      </c>
      <c r="V3163" s="212" t="s">
        <v>50</v>
      </c>
      <c r="W3163" s="100" t="s">
        <v>168</v>
      </c>
      <c r="X3163" s="100" t="s">
        <v>169</v>
      </c>
      <c r="Y3163" s="101" t="s">
        <v>170</v>
      </c>
      <c r="Z3163" s="101" t="s">
        <v>171</v>
      </c>
      <c r="AA3163" s="101" t="s">
        <v>50</v>
      </c>
      <c r="AB3163" s="101" t="s">
        <v>172</v>
      </c>
      <c r="AC3163" s="102" t="s">
        <v>173</v>
      </c>
    </row>
    <row r="3164" spans="1:29" ht="25.5" customHeight="1" x14ac:dyDescent="0.35">
      <c r="A3164" s="392"/>
      <c r="B3164" s="393"/>
      <c r="C3164" s="99" t="str">
        <f>IF(B3164="","",IF(NOT(ISNUMBER(B3164)),"DATA_PC invalida",IF(NOT(ISNUMBER(parametros!$C$2)),"Fora dos ciclos",IF(OR(B3164&lt;parametros!$C$2,(YEAR(B3164)-YEAR(parametros!$C$2))*12+MONTH(B3164)-MONTH(parametros!$C$2)&gt;59),"Fora dos ciclos","C"&amp;INT(((YEAR(B3164)-YEAR(parametros!$C$2))*12+MONTH(B3164)-MONTH(parametros!$C$2))/12)))))</f>
        <v/>
      </c>
      <c r="D3164" s="394"/>
      <c r="E3164" s="78" t="str">
        <f>IF(C3164="","",IFERROR(VLOOKUP(C3164,parametros!$A$11:$E$15,5,0),""))</f>
        <v/>
      </c>
      <c r="F3164" s="79" t="str">
        <f t="shared" si="247"/>
        <v/>
      </c>
      <c r="G3164" s="395"/>
      <c r="H3164" s="91">
        <f t="shared" si="248"/>
        <v>0</v>
      </c>
      <c r="I3164" s="91" t="str">
        <f t="shared" si="249"/>
        <v/>
      </c>
      <c r="J3164" s="91" t="str">
        <f t="shared" si="250"/>
        <v/>
      </c>
      <c r="K3164" s="92" t="str">
        <f>IF(AND(A3164="",B3164="",D3164="",G3164=""),"",IF(AND(A3164&lt;&gt;"",COUNTIF($A$2:$A$5001,A3164)&gt;1),"NUMERO_PC duplicado",IF(B3164="","DATA_PC vazia",IF(NOT(ISNUMBER(B3164)),"DATA_PC invalida",IF(OR(C3164="",C3164="Fora dos ciclos"),"CICLO_PC nao identificado",IF(OR(D3164="",D3164=0),"VALOR_PC vazio ou zero",IF(AND(G3164&lt;&gt;"Sim",G3164&lt;&gt;"Nao",G3164&lt;&gt;""),"PC_PAGO_A_CONTRATADA invalido",IF(AND(C3164&lt;&gt;"C0",IFERROR(INDEX(parametros!$A$2:$A$6,MATCH(C3164,parametros!$B$2:$B$6,0)),"")="Sim",IFERROR(INDEX(parametros!$H$2:$H$6,MATCH(C3164,parametros!$B$2:$B$6,0)),"")=""),"INICIO_EFEITO ausente: PC "&amp;A3164&amp;" - "&amp;C3164,IF(L3164="","EFEITO_PC nao calculado: PC "&amp;A3164&amp;" - "&amp;C3164,"OK")))))))))</f>
        <v/>
      </c>
      <c r="L3164" s="92" t="str">
        <f>IF(AND(A3164="",B3164="",D3164="",G3164=""),"",IF(OR(B3164="",NOT(ISNUMBER(B3164)),C3164="",C3164="Fora dos ciclos"),"",IF(C3164="C0","Nao",IF(IFERROR(INDEX(parametros!$A$2:$A$6,MATCH(C3164,parametros!$B$2:$B$6,0)),"")&lt;&gt;"Sim","Nao",IF(IFERROR(INDEX(parametros!$H$2:$H$6,MATCH(C3164,parametros!$B$2:$B$6,0)),"")="","",IF(B3164&gt;=IFERROR(INDEX(parametros!$H$2:$H$6,MATCH(C3164,parametros!$B$2:$B$6,0)),""),"Sim","Nao"))))))</f>
        <v/>
      </c>
      <c r="T3164" s="156"/>
      <c r="U3164" s="214" t="str">
        <f t="shared" si="251"/>
        <v/>
      </c>
      <c r="V3164" s="212" t="s">
        <v>50</v>
      </c>
      <c r="W3164" s="100" t="s">
        <v>168</v>
      </c>
      <c r="X3164" s="100" t="s">
        <v>169</v>
      </c>
      <c r="Y3164" s="101" t="s">
        <v>170</v>
      </c>
      <c r="Z3164" s="101" t="s">
        <v>171</v>
      </c>
      <c r="AA3164" s="101" t="s">
        <v>50</v>
      </c>
      <c r="AB3164" s="101" t="s">
        <v>172</v>
      </c>
      <c r="AC3164" s="102" t="s">
        <v>173</v>
      </c>
    </row>
    <row r="3165" spans="1:29" ht="25.5" customHeight="1" x14ac:dyDescent="0.35">
      <c r="A3165" s="392"/>
      <c r="B3165" s="393"/>
      <c r="C3165" s="99" t="str">
        <f>IF(B3165="","",IF(NOT(ISNUMBER(B3165)),"DATA_PC invalida",IF(NOT(ISNUMBER(parametros!$C$2)),"Fora dos ciclos",IF(OR(B3165&lt;parametros!$C$2,(YEAR(B3165)-YEAR(parametros!$C$2))*12+MONTH(B3165)-MONTH(parametros!$C$2)&gt;59),"Fora dos ciclos","C"&amp;INT(((YEAR(B3165)-YEAR(parametros!$C$2))*12+MONTH(B3165)-MONTH(parametros!$C$2))/12)))))</f>
        <v/>
      </c>
      <c r="D3165" s="394"/>
      <c r="E3165" s="78" t="str">
        <f>IF(C3165="","",IFERROR(VLOOKUP(C3165,parametros!$A$11:$E$15,5,0),""))</f>
        <v/>
      </c>
      <c r="F3165" s="79" t="str">
        <f t="shared" si="247"/>
        <v/>
      </c>
      <c r="G3165" s="395"/>
      <c r="H3165" s="91">
        <f t="shared" si="248"/>
        <v>0</v>
      </c>
      <c r="I3165" s="91" t="str">
        <f t="shared" si="249"/>
        <v/>
      </c>
      <c r="J3165" s="91" t="str">
        <f t="shared" si="250"/>
        <v/>
      </c>
      <c r="K3165" s="92" t="str">
        <f>IF(AND(A3165="",B3165="",D3165="",G3165=""),"",IF(AND(A3165&lt;&gt;"",COUNTIF($A$2:$A$5001,A3165)&gt;1),"NUMERO_PC duplicado",IF(B3165="","DATA_PC vazia",IF(NOT(ISNUMBER(B3165)),"DATA_PC invalida",IF(OR(C3165="",C3165="Fora dos ciclos"),"CICLO_PC nao identificado",IF(OR(D3165="",D3165=0),"VALOR_PC vazio ou zero",IF(AND(G3165&lt;&gt;"Sim",G3165&lt;&gt;"Nao",G3165&lt;&gt;""),"PC_PAGO_A_CONTRATADA invalido",IF(AND(C3165&lt;&gt;"C0",IFERROR(INDEX(parametros!$A$2:$A$6,MATCH(C3165,parametros!$B$2:$B$6,0)),"")="Sim",IFERROR(INDEX(parametros!$H$2:$H$6,MATCH(C3165,parametros!$B$2:$B$6,0)),"")=""),"INICIO_EFEITO ausente: PC "&amp;A3165&amp;" - "&amp;C3165,IF(L3165="","EFEITO_PC nao calculado: PC "&amp;A3165&amp;" - "&amp;C3165,"OK")))))))))</f>
        <v/>
      </c>
      <c r="L3165" s="92" t="str">
        <f>IF(AND(A3165="",B3165="",D3165="",G3165=""),"",IF(OR(B3165="",NOT(ISNUMBER(B3165)),C3165="",C3165="Fora dos ciclos"),"",IF(C3165="C0","Nao",IF(IFERROR(INDEX(parametros!$A$2:$A$6,MATCH(C3165,parametros!$B$2:$B$6,0)),"")&lt;&gt;"Sim","Nao",IF(IFERROR(INDEX(parametros!$H$2:$H$6,MATCH(C3165,parametros!$B$2:$B$6,0)),"")="","",IF(B3165&gt;=IFERROR(INDEX(parametros!$H$2:$H$6,MATCH(C3165,parametros!$B$2:$B$6,0)),""),"Sim","Nao"))))))</f>
        <v/>
      </c>
      <c r="T3165" s="156"/>
      <c r="U3165" s="214" t="str">
        <f t="shared" si="251"/>
        <v/>
      </c>
      <c r="V3165" s="212" t="s">
        <v>50</v>
      </c>
      <c r="W3165" s="100" t="s">
        <v>168</v>
      </c>
      <c r="X3165" s="100" t="s">
        <v>169</v>
      </c>
      <c r="Y3165" s="101" t="s">
        <v>170</v>
      </c>
      <c r="Z3165" s="101" t="s">
        <v>171</v>
      </c>
      <c r="AA3165" s="101" t="s">
        <v>50</v>
      </c>
      <c r="AB3165" s="101" t="s">
        <v>172</v>
      </c>
      <c r="AC3165" s="102" t="s">
        <v>173</v>
      </c>
    </row>
    <row r="3166" spans="1:29" ht="25.5" customHeight="1" x14ac:dyDescent="0.35">
      <c r="A3166" s="392"/>
      <c r="B3166" s="393"/>
      <c r="C3166" s="99" t="str">
        <f>IF(B3166="","",IF(NOT(ISNUMBER(B3166)),"DATA_PC invalida",IF(NOT(ISNUMBER(parametros!$C$2)),"Fora dos ciclos",IF(OR(B3166&lt;parametros!$C$2,(YEAR(B3166)-YEAR(parametros!$C$2))*12+MONTH(B3166)-MONTH(parametros!$C$2)&gt;59),"Fora dos ciclos","C"&amp;INT(((YEAR(B3166)-YEAR(parametros!$C$2))*12+MONTH(B3166)-MONTH(parametros!$C$2))/12)))))</f>
        <v/>
      </c>
      <c r="D3166" s="394"/>
      <c r="E3166" s="78" t="str">
        <f>IF(C3166="","",IFERROR(VLOOKUP(C3166,parametros!$A$11:$E$15,5,0),""))</f>
        <v/>
      </c>
      <c r="F3166" s="79" t="str">
        <f t="shared" si="247"/>
        <v/>
      </c>
      <c r="G3166" s="395"/>
      <c r="H3166" s="91">
        <f t="shared" si="248"/>
        <v>0</v>
      </c>
      <c r="I3166" s="91" t="str">
        <f t="shared" si="249"/>
        <v/>
      </c>
      <c r="J3166" s="91" t="str">
        <f t="shared" si="250"/>
        <v/>
      </c>
      <c r="K3166" s="92" t="str">
        <f>IF(AND(A3166="",B3166="",D3166="",G3166=""),"",IF(AND(A3166&lt;&gt;"",COUNTIF($A$2:$A$5001,A3166)&gt;1),"NUMERO_PC duplicado",IF(B3166="","DATA_PC vazia",IF(NOT(ISNUMBER(B3166)),"DATA_PC invalida",IF(OR(C3166="",C3166="Fora dos ciclos"),"CICLO_PC nao identificado",IF(OR(D3166="",D3166=0),"VALOR_PC vazio ou zero",IF(AND(G3166&lt;&gt;"Sim",G3166&lt;&gt;"Nao",G3166&lt;&gt;""),"PC_PAGO_A_CONTRATADA invalido",IF(AND(C3166&lt;&gt;"C0",IFERROR(INDEX(parametros!$A$2:$A$6,MATCH(C3166,parametros!$B$2:$B$6,0)),"")="Sim",IFERROR(INDEX(parametros!$H$2:$H$6,MATCH(C3166,parametros!$B$2:$B$6,0)),"")=""),"INICIO_EFEITO ausente: PC "&amp;A3166&amp;" - "&amp;C3166,IF(L3166="","EFEITO_PC nao calculado: PC "&amp;A3166&amp;" - "&amp;C3166,"OK")))))))))</f>
        <v/>
      </c>
      <c r="L3166" s="92" t="str">
        <f>IF(AND(A3166="",B3166="",D3166="",G3166=""),"",IF(OR(B3166="",NOT(ISNUMBER(B3166)),C3166="",C3166="Fora dos ciclos"),"",IF(C3166="C0","Nao",IF(IFERROR(INDEX(parametros!$A$2:$A$6,MATCH(C3166,parametros!$B$2:$B$6,0)),"")&lt;&gt;"Sim","Nao",IF(IFERROR(INDEX(parametros!$H$2:$H$6,MATCH(C3166,parametros!$B$2:$B$6,0)),"")="","",IF(B3166&gt;=IFERROR(INDEX(parametros!$H$2:$H$6,MATCH(C3166,parametros!$B$2:$B$6,0)),""),"Sim","Nao"))))))</f>
        <v/>
      </c>
      <c r="T3166" s="156"/>
      <c r="U3166" s="214" t="str">
        <f t="shared" si="251"/>
        <v/>
      </c>
      <c r="V3166" s="212" t="s">
        <v>50</v>
      </c>
      <c r="W3166" s="100" t="s">
        <v>168</v>
      </c>
      <c r="X3166" s="100" t="s">
        <v>169</v>
      </c>
      <c r="Y3166" s="101" t="s">
        <v>170</v>
      </c>
      <c r="Z3166" s="101" t="s">
        <v>171</v>
      </c>
      <c r="AA3166" s="101" t="s">
        <v>50</v>
      </c>
      <c r="AB3166" s="101" t="s">
        <v>172</v>
      </c>
      <c r="AC3166" s="102" t="s">
        <v>173</v>
      </c>
    </row>
    <row r="3167" spans="1:29" ht="25.5" customHeight="1" x14ac:dyDescent="0.35">
      <c r="A3167" s="392"/>
      <c r="B3167" s="393"/>
      <c r="C3167" s="99" t="str">
        <f>IF(B3167="","",IF(NOT(ISNUMBER(B3167)),"DATA_PC invalida",IF(NOT(ISNUMBER(parametros!$C$2)),"Fora dos ciclos",IF(OR(B3167&lt;parametros!$C$2,(YEAR(B3167)-YEAR(parametros!$C$2))*12+MONTH(B3167)-MONTH(parametros!$C$2)&gt;59),"Fora dos ciclos","C"&amp;INT(((YEAR(B3167)-YEAR(parametros!$C$2))*12+MONTH(B3167)-MONTH(parametros!$C$2))/12)))))</f>
        <v/>
      </c>
      <c r="D3167" s="394"/>
      <c r="E3167" s="78" t="str">
        <f>IF(C3167="","",IFERROR(VLOOKUP(C3167,parametros!$A$11:$E$15,5,0),""))</f>
        <v/>
      </c>
      <c r="F3167" s="79" t="str">
        <f t="shared" si="247"/>
        <v/>
      </c>
      <c r="G3167" s="395"/>
      <c r="H3167" s="91">
        <f t="shared" si="248"/>
        <v>0</v>
      </c>
      <c r="I3167" s="91" t="str">
        <f t="shared" si="249"/>
        <v/>
      </c>
      <c r="J3167" s="91" t="str">
        <f t="shared" si="250"/>
        <v/>
      </c>
      <c r="K3167" s="92" t="str">
        <f>IF(AND(A3167="",B3167="",D3167="",G3167=""),"",IF(AND(A3167&lt;&gt;"",COUNTIF($A$2:$A$5001,A3167)&gt;1),"NUMERO_PC duplicado",IF(B3167="","DATA_PC vazia",IF(NOT(ISNUMBER(B3167)),"DATA_PC invalida",IF(OR(C3167="",C3167="Fora dos ciclos"),"CICLO_PC nao identificado",IF(OR(D3167="",D3167=0),"VALOR_PC vazio ou zero",IF(AND(G3167&lt;&gt;"Sim",G3167&lt;&gt;"Nao",G3167&lt;&gt;""),"PC_PAGO_A_CONTRATADA invalido",IF(AND(C3167&lt;&gt;"C0",IFERROR(INDEX(parametros!$A$2:$A$6,MATCH(C3167,parametros!$B$2:$B$6,0)),"")="Sim",IFERROR(INDEX(parametros!$H$2:$H$6,MATCH(C3167,parametros!$B$2:$B$6,0)),"")=""),"INICIO_EFEITO ausente: PC "&amp;A3167&amp;" - "&amp;C3167,IF(L3167="","EFEITO_PC nao calculado: PC "&amp;A3167&amp;" - "&amp;C3167,"OK")))))))))</f>
        <v/>
      </c>
      <c r="L3167" s="92" t="str">
        <f>IF(AND(A3167="",B3167="",D3167="",G3167=""),"",IF(OR(B3167="",NOT(ISNUMBER(B3167)),C3167="",C3167="Fora dos ciclos"),"",IF(C3167="C0","Nao",IF(IFERROR(INDEX(parametros!$A$2:$A$6,MATCH(C3167,parametros!$B$2:$B$6,0)),"")&lt;&gt;"Sim","Nao",IF(IFERROR(INDEX(parametros!$H$2:$H$6,MATCH(C3167,parametros!$B$2:$B$6,0)),"")="","",IF(B3167&gt;=IFERROR(INDEX(parametros!$H$2:$H$6,MATCH(C3167,parametros!$B$2:$B$6,0)),""),"Sim","Nao"))))))</f>
        <v/>
      </c>
      <c r="T3167" s="156"/>
      <c r="U3167" s="214" t="str">
        <f t="shared" si="251"/>
        <v/>
      </c>
      <c r="V3167" s="212" t="s">
        <v>50</v>
      </c>
      <c r="W3167" s="100" t="s">
        <v>168</v>
      </c>
      <c r="X3167" s="100" t="s">
        <v>169</v>
      </c>
      <c r="Y3167" s="101" t="s">
        <v>170</v>
      </c>
      <c r="Z3167" s="101" t="s">
        <v>171</v>
      </c>
      <c r="AA3167" s="101" t="s">
        <v>50</v>
      </c>
      <c r="AB3167" s="101" t="s">
        <v>172</v>
      </c>
      <c r="AC3167" s="102" t="s">
        <v>173</v>
      </c>
    </row>
    <row r="3168" spans="1:29" ht="25.5" customHeight="1" x14ac:dyDescent="0.35">
      <c r="A3168" s="392"/>
      <c r="B3168" s="393"/>
      <c r="C3168" s="99" t="str">
        <f>IF(B3168="","",IF(NOT(ISNUMBER(B3168)),"DATA_PC invalida",IF(NOT(ISNUMBER(parametros!$C$2)),"Fora dos ciclos",IF(OR(B3168&lt;parametros!$C$2,(YEAR(B3168)-YEAR(parametros!$C$2))*12+MONTH(B3168)-MONTH(parametros!$C$2)&gt;59),"Fora dos ciclos","C"&amp;INT(((YEAR(B3168)-YEAR(parametros!$C$2))*12+MONTH(B3168)-MONTH(parametros!$C$2))/12)))))</f>
        <v/>
      </c>
      <c r="D3168" s="394"/>
      <c r="E3168" s="78" t="str">
        <f>IF(C3168="","",IFERROR(VLOOKUP(C3168,parametros!$A$11:$E$15,5,0),""))</f>
        <v/>
      </c>
      <c r="F3168" s="79" t="str">
        <f t="shared" si="247"/>
        <v/>
      </c>
      <c r="G3168" s="395"/>
      <c r="H3168" s="91">
        <f t="shared" si="248"/>
        <v>0</v>
      </c>
      <c r="I3168" s="91" t="str">
        <f t="shared" si="249"/>
        <v/>
      </c>
      <c r="J3168" s="91" t="str">
        <f t="shared" si="250"/>
        <v/>
      </c>
      <c r="K3168" s="92" t="str">
        <f>IF(AND(A3168="",B3168="",D3168="",G3168=""),"",IF(AND(A3168&lt;&gt;"",COUNTIF($A$2:$A$5001,A3168)&gt;1),"NUMERO_PC duplicado",IF(B3168="","DATA_PC vazia",IF(NOT(ISNUMBER(B3168)),"DATA_PC invalida",IF(OR(C3168="",C3168="Fora dos ciclos"),"CICLO_PC nao identificado",IF(OR(D3168="",D3168=0),"VALOR_PC vazio ou zero",IF(AND(G3168&lt;&gt;"Sim",G3168&lt;&gt;"Nao",G3168&lt;&gt;""),"PC_PAGO_A_CONTRATADA invalido",IF(AND(C3168&lt;&gt;"C0",IFERROR(INDEX(parametros!$A$2:$A$6,MATCH(C3168,parametros!$B$2:$B$6,0)),"")="Sim",IFERROR(INDEX(parametros!$H$2:$H$6,MATCH(C3168,parametros!$B$2:$B$6,0)),"")=""),"INICIO_EFEITO ausente: PC "&amp;A3168&amp;" - "&amp;C3168,IF(L3168="","EFEITO_PC nao calculado: PC "&amp;A3168&amp;" - "&amp;C3168,"OK")))))))))</f>
        <v/>
      </c>
      <c r="L3168" s="92" t="str">
        <f>IF(AND(A3168="",B3168="",D3168="",G3168=""),"",IF(OR(B3168="",NOT(ISNUMBER(B3168)),C3168="",C3168="Fora dos ciclos"),"",IF(C3168="C0","Nao",IF(IFERROR(INDEX(parametros!$A$2:$A$6,MATCH(C3168,parametros!$B$2:$B$6,0)),"")&lt;&gt;"Sim","Nao",IF(IFERROR(INDEX(parametros!$H$2:$H$6,MATCH(C3168,parametros!$B$2:$B$6,0)),"")="","",IF(B3168&gt;=IFERROR(INDEX(parametros!$H$2:$H$6,MATCH(C3168,parametros!$B$2:$B$6,0)),""),"Sim","Nao"))))))</f>
        <v/>
      </c>
      <c r="T3168" s="156"/>
      <c r="U3168" s="214" t="str">
        <f t="shared" si="251"/>
        <v/>
      </c>
      <c r="V3168" s="212" t="s">
        <v>50</v>
      </c>
      <c r="W3168" s="100" t="s">
        <v>168</v>
      </c>
      <c r="X3168" s="100" t="s">
        <v>169</v>
      </c>
      <c r="Y3168" s="101" t="s">
        <v>170</v>
      </c>
      <c r="Z3168" s="101" t="s">
        <v>171</v>
      </c>
      <c r="AA3168" s="101" t="s">
        <v>50</v>
      </c>
      <c r="AB3168" s="101" t="s">
        <v>172</v>
      </c>
      <c r="AC3168" s="102" t="s">
        <v>173</v>
      </c>
    </row>
    <row r="3169" spans="1:29" ht="25.5" customHeight="1" x14ac:dyDescent="0.35">
      <c r="A3169" s="392"/>
      <c r="B3169" s="393"/>
      <c r="C3169" s="99" t="str">
        <f>IF(B3169="","",IF(NOT(ISNUMBER(B3169)),"DATA_PC invalida",IF(NOT(ISNUMBER(parametros!$C$2)),"Fora dos ciclos",IF(OR(B3169&lt;parametros!$C$2,(YEAR(B3169)-YEAR(parametros!$C$2))*12+MONTH(B3169)-MONTH(parametros!$C$2)&gt;59),"Fora dos ciclos","C"&amp;INT(((YEAR(B3169)-YEAR(parametros!$C$2))*12+MONTH(B3169)-MONTH(parametros!$C$2))/12)))))</f>
        <v/>
      </c>
      <c r="D3169" s="394"/>
      <c r="E3169" s="78" t="str">
        <f>IF(C3169="","",IFERROR(VLOOKUP(C3169,parametros!$A$11:$E$15,5,0),""))</f>
        <v/>
      </c>
      <c r="F3169" s="79" t="str">
        <f t="shared" si="247"/>
        <v/>
      </c>
      <c r="G3169" s="395"/>
      <c r="H3169" s="91">
        <f t="shared" si="248"/>
        <v>0</v>
      </c>
      <c r="I3169" s="91" t="str">
        <f t="shared" si="249"/>
        <v/>
      </c>
      <c r="J3169" s="91" t="str">
        <f t="shared" si="250"/>
        <v/>
      </c>
      <c r="K3169" s="92" t="str">
        <f>IF(AND(A3169="",B3169="",D3169="",G3169=""),"",IF(AND(A3169&lt;&gt;"",COUNTIF($A$2:$A$5001,A3169)&gt;1),"NUMERO_PC duplicado",IF(B3169="","DATA_PC vazia",IF(NOT(ISNUMBER(B3169)),"DATA_PC invalida",IF(OR(C3169="",C3169="Fora dos ciclos"),"CICLO_PC nao identificado",IF(OR(D3169="",D3169=0),"VALOR_PC vazio ou zero",IF(AND(G3169&lt;&gt;"Sim",G3169&lt;&gt;"Nao",G3169&lt;&gt;""),"PC_PAGO_A_CONTRATADA invalido",IF(AND(C3169&lt;&gt;"C0",IFERROR(INDEX(parametros!$A$2:$A$6,MATCH(C3169,parametros!$B$2:$B$6,0)),"")="Sim",IFERROR(INDEX(parametros!$H$2:$H$6,MATCH(C3169,parametros!$B$2:$B$6,0)),"")=""),"INICIO_EFEITO ausente: PC "&amp;A3169&amp;" - "&amp;C3169,IF(L3169="","EFEITO_PC nao calculado: PC "&amp;A3169&amp;" - "&amp;C3169,"OK")))))))))</f>
        <v/>
      </c>
      <c r="L3169" s="92" t="str">
        <f>IF(AND(A3169="",B3169="",D3169="",G3169=""),"",IF(OR(B3169="",NOT(ISNUMBER(B3169)),C3169="",C3169="Fora dos ciclos"),"",IF(C3169="C0","Nao",IF(IFERROR(INDEX(parametros!$A$2:$A$6,MATCH(C3169,parametros!$B$2:$B$6,0)),"")&lt;&gt;"Sim","Nao",IF(IFERROR(INDEX(parametros!$H$2:$H$6,MATCH(C3169,parametros!$B$2:$B$6,0)),"")="","",IF(B3169&gt;=IFERROR(INDEX(parametros!$H$2:$H$6,MATCH(C3169,parametros!$B$2:$B$6,0)),""),"Sim","Nao"))))))</f>
        <v/>
      </c>
      <c r="T3169" s="156"/>
      <c r="U3169" s="214" t="str">
        <f t="shared" si="251"/>
        <v/>
      </c>
      <c r="V3169" s="212" t="s">
        <v>50</v>
      </c>
      <c r="W3169" s="100" t="s">
        <v>168</v>
      </c>
      <c r="X3169" s="100" t="s">
        <v>169</v>
      </c>
      <c r="Y3169" s="101" t="s">
        <v>170</v>
      </c>
      <c r="Z3169" s="101" t="s">
        <v>171</v>
      </c>
      <c r="AA3169" s="101" t="s">
        <v>50</v>
      </c>
      <c r="AB3169" s="101" t="s">
        <v>172</v>
      </c>
      <c r="AC3169" s="102" t="s">
        <v>173</v>
      </c>
    </row>
    <row r="3170" spans="1:29" ht="25.5" customHeight="1" x14ac:dyDescent="0.35">
      <c r="A3170" s="392"/>
      <c r="B3170" s="393"/>
      <c r="C3170" s="99" t="str">
        <f>IF(B3170="","",IF(NOT(ISNUMBER(B3170)),"DATA_PC invalida",IF(NOT(ISNUMBER(parametros!$C$2)),"Fora dos ciclos",IF(OR(B3170&lt;parametros!$C$2,(YEAR(B3170)-YEAR(parametros!$C$2))*12+MONTH(B3170)-MONTH(parametros!$C$2)&gt;59),"Fora dos ciclos","C"&amp;INT(((YEAR(B3170)-YEAR(parametros!$C$2))*12+MONTH(B3170)-MONTH(parametros!$C$2))/12)))))</f>
        <v/>
      </c>
      <c r="D3170" s="394"/>
      <c r="E3170" s="78" t="str">
        <f>IF(C3170="","",IFERROR(VLOOKUP(C3170,parametros!$A$11:$E$15,5,0),""))</f>
        <v/>
      </c>
      <c r="F3170" s="79" t="str">
        <f t="shared" si="247"/>
        <v/>
      </c>
      <c r="G3170" s="395"/>
      <c r="H3170" s="91">
        <f t="shared" si="248"/>
        <v>0</v>
      </c>
      <c r="I3170" s="91" t="str">
        <f t="shared" si="249"/>
        <v/>
      </c>
      <c r="J3170" s="91" t="str">
        <f t="shared" si="250"/>
        <v/>
      </c>
      <c r="K3170" s="92" t="str">
        <f>IF(AND(A3170="",B3170="",D3170="",G3170=""),"",IF(AND(A3170&lt;&gt;"",COUNTIF($A$2:$A$5001,A3170)&gt;1),"NUMERO_PC duplicado",IF(B3170="","DATA_PC vazia",IF(NOT(ISNUMBER(B3170)),"DATA_PC invalida",IF(OR(C3170="",C3170="Fora dos ciclos"),"CICLO_PC nao identificado",IF(OR(D3170="",D3170=0),"VALOR_PC vazio ou zero",IF(AND(G3170&lt;&gt;"Sim",G3170&lt;&gt;"Nao",G3170&lt;&gt;""),"PC_PAGO_A_CONTRATADA invalido",IF(AND(C3170&lt;&gt;"C0",IFERROR(INDEX(parametros!$A$2:$A$6,MATCH(C3170,parametros!$B$2:$B$6,0)),"")="Sim",IFERROR(INDEX(parametros!$H$2:$H$6,MATCH(C3170,parametros!$B$2:$B$6,0)),"")=""),"INICIO_EFEITO ausente: PC "&amp;A3170&amp;" - "&amp;C3170,IF(L3170="","EFEITO_PC nao calculado: PC "&amp;A3170&amp;" - "&amp;C3170,"OK")))))))))</f>
        <v/>
      </c>
      <c r="L3170" s="92" t="str">
        <f>IF(AND(A3170="",B3170="",D3170="",G3170=""),"",IF(OR(B3170="",NOT(ISNUMBER(B3170)),C3170="",C3170="Fora dos ciclos"),"",IF(C3170="C0","Nao",IF(IFERROR(INDEX(parametros!$A$2:$A$6,MATCH(C3170,parametros!$B$2:$B$6,0)),"")&lt;&gt;"Sim","Nao",IF(IFERROR(INDEX(parametros!$H$2:$H$6,MATCH(C3170,parametros!$B$2:$B$6,0)),"")="","",IF(B3170&gt;=IFERROR(INDEX(parametros!$H$2:$H$6,MATCH(C3170,parametros!$B$2:$B$6,0)),""),"Sim","Nao"))))))</f>
        <v/>
      </c>
      <c r="T3170" s="156"/>
      <c r="U3170" s="214" t="str">
        <f t="shared" si="251"/>
        <v/>
      </c>
      <c r="V3170" s="212" t="s">
        <v>50</v>
      </c>
      <c r="W3170" s="100" t="s">
        <v>168</v>
      </c>
      <c r="X3170" s="100" t="s">
        <v>169</v>
      </c>
      <c r="Y3170" s="101" t="s">
        <v>170</v>
      </c>
      <c r="Z3170" s="101" t="s">
        <v>171</v>
      </c>
      <c r="AA3170" s="101" t="s">
        <v>50</v>
      </c>
      <c r="AB3170" s="101" t="s">
        <v>172</v>
      </c>
      <c r="AC3170" s="102" t="s">
        <v>173</v>
      </c>
    </row>
    <row r="3171" spans="1:29" ht="25.5" customHeight="1" x14ac:dyDescent="0.35">
      <c r="A3171" s="392"/>
      <c r="B3171" s="393"/>
      <c r="C3171" s="99" t="str">
        <f>IF(B3171="","",IF(NOT(ISNUMBER(B3171)),"DATA_PC invalida",IF(NOT(ISNUMBER(parametros!$C$2)),"Fora dos ciclos",IF(OR(B3171&lt;parametros!$C$2,(YEAR(B3171)-YEAR(parametros!$C$2))*12+MONTH(B3171)-MONTH(parametros!$C$2)&gt;59),"Fora dos ciclos","C"&amp;INT(((YEAR(B3171)-YEAR(parametros!$C$2))*12+MONTH(B3171)-MONTH(parametros!$C$2))/12)))))</f>
        <v/>
      </c>
      <c r="D3171" s="394"/>
      <c r="E3171" s="78" t="str">
        <f>IF(C3171="","",IFERROR(VLOOKUP(C3171,parametros!$A$11:$E$15,5,0),""))</f>
        <v/>
      </c>
      <c r="F3171" s="79" t="str">
        <f t="shared" si="247"/>
        <v/>
      </c>
      <c r="G3171" s="395"/>
      <c r="H3171" s="91">
        <f t="shared" si="248"/>
        <v>0</v>
      </c>
      <c r="I3171" s="91" t="str">
        <f t="shared" si="249"/>
        <v/>
      </c>
      <c r="J3171" s="91" t="str">
        <f t="shared" si="250"/>
        <v/>
      </c>
      <c r="K3171" s="92" t="str">
        <f>IF(AND(A3171="",B3171="",D3171="",G3171=""),"",IF(AND(A3171&lt;&gt;"",COUNTIF($A$2:$A$5001,A3171)&gt;1),"NUMERO_PC duplicado",IF(B3171="","DATA_PC vazia",IF(NOT(ISNUMBER(B3171)),"DATA_PC invalida",IF(OR(C3171="",C3171="Fora dos ciclos"),"CICLO_PC nao identificado",IF(OR(D3171="",D3171=0),"VALOR_PC vazio ou zero",IF(AND(G3171&lt;&gt;"Sim",G3171&lt;&gt;"Nao",G3171&lt;&gt;""),"PC_PAGO_A_CONTRATADA invalido",IF(AND(C3171&lt;&gt;"C0",IFERROR(INDEX(parametros!$A$2:$A$6,MATCH(C3171,parametros!$B$2:$B$6,0)),"")="Sim",IFERROR(INDEX(parametros!$H$2:$H$6,MATCH(C3171,parametros!$B$2:$B$6,0)),"")=""),"INICIO_EFEITO ausente: PC "&amp;A3171&amp;" - "&amp;C3171,IF(L3171="","EFEITO_PC nao calculado: PC "&amp;A3171&amp;" - "&amp;C3171,"OK")))))))))</f>
        <v/>
      </c>
      <c r="L3171" s="92" t="str">
        <f>IF(AND(A3171="",B3171="",D3171="",G3171=""),"",IF(OR(B3171="",NOT(ISNUMBER(B3171)),C3171="",C3171="Fora dos ciclos"),"",IF(C3171="C0","Nao",IF(IFERROR(INDEX(parametros!$A$2:$A$6,MATCH(C3171,parametros!$B$2:$B$6,0)),"")&lt;&gt;"Sim","Nao",IF(IFERROR(INDEX(parametros!$H$2:$H$6,MATCH(C3171,parametros!$B$2:$B$6,0)),"")="","",IF(B3171&gt;=IFERROR(INDEX(parametros!$H$2:$H$6,MATCH(C3171,parametros!$B$2:$B$6,0)),""),"Sim","Nao"))))))</f>
        <v/>
      </c>
      <c r="T3171" s="156"/>
      <c r="U3171" s="214" t="str">
        <f t="shared" si="251"/>
        <v/>
      </c>
      <c r="V3171" s="212" t="s">
        <v>50</v>
      </c>
      <c r="W3171" s="100" t="s">
        <v>168</v>
      </c>
      <c r="X3171" s="100" t="s">
        <v>169</v>
      </c>
      <c r="Y3171" s="101" t="s">
        <v>170</v>
      </c>
      <c r="Z3171" s="101" t="s">
        <v>171</v>
      </c>
      <c r="AA3171" s="101" t="s">
        <v>50</v>
      </c>
      <c r="AB3171" s="101" t="s">
        <v>172</v>
      </c>
      <c r="AC3171" s="102" t="s">
        <v>173</v>
      </c>
    </row>
    <row r="3172" spans="1:29" ht="25.5" customHeight="1" x14ac:dyDescent="0.35">
      <c r="A3172" s="392"/>
      <c r="B3172" s="393"/>
      <c r="C3172" s="99" t="str">
        <f>IF(B3172="","",IF(NOT(ISNUMBER(B3172)),"DATA_PC invalida",IF(NOT(ISNUMBER(parametros!$C$2)),"Fora dos ciclos",IF(OR(B3172&lt;parametros!$C$2,(YEAR(B3172)-YEAR(parametros!$C$2))*12+MONTH(B3172)-MONTH(parametros!$C$2)&gt;59),"Fora dos ciclos","C"&amp;INT(((YEAR(B3172)-YEAR(parametros!$C$2))*12+MONTH(B3172)-MONTH(parametros!$C$2))/12)))))</f>
        <v/>
      </c>
      <c r="D3172" s="394"/>
      <c r="E3172" s="78" t="str">
        <f>IF(C3172="","",IFERROR(VLOOKUP(C3172,parametros!$A$11:$E$15,5,0),""))</f>
        <v/>
      </c>
      <c r="F3172" s="79" t="str">
        <f t="shared" si="247"/>
        <v/>
      </c>
      <c r="G3172" s="395"/>
      <c r="H3172" s="91">
        <f t="shared" si="248"/>
        <v>0</v>
      </c>
      <c r="I3172" s="91" t="str">
        <f t="shared" si="249"/>
        <v/>
      </c>
      <c r="J3172" s="91" t="str">
        <f t="shared" si="250"/>
        <v/>
      </c>
      <c r="K3172" s="92" t="str">
        <f>IF(AND(A3172="",B3172="",D3172="",G3172=""),"",IF(AND(A3172&lt;&gt;"",COUNTIF($A$2:$A$5001,A3172)&gt;1),"NUMERO_PC duplicado",IF(B3172="","DATA_PC vazia",IF(NOT(ISNUMBER(B3172)),"DATA_PC invalida",IF(OR(C3172="",C3172="Fora dos ciclos"),"CICLO_PC nao identificado",IF(OR(D3172="",D3172=0),"VALOR_PC vazio ou zero",IF(AND(G3172&lt;&gt;"Sim",G3172&lt;&gt;"Nao",G3172&lt;&gt;""),"PC_PAGO_A_CONTRATADA invalido",IF(AND(C3172&lt;&gt;"C0",IFERROR(INDEX(parametros!$A$2:$A$6,MATCH(C3172,parametros!$B$2:$B$6,0)),"")="Sim",IFERROR(INDEX(parametros!$H$2:$H$6,MATCH(C3172,parametros!$B$2:$B$6,0)),"")=""),"INICIO_EFEITO ausente: PC "&amp;A3172&amp;" - "&amp;C3172,IF(L3172="","EFEITO_PC nao calculado: PC "&amp;A3172&amp;" - "&amp;C3172,"OK")))))))))</f>
        <v/>
      </c>
      <c r="L3172" s="92" t="str">
        <f>IF(AND(A3172="",B3172="",D3172="",G3172=""),"",IF(OR(B3172="",NOT(ISNUMBER(B3172)),C3172="",C3172="Fora dos ciclos"),"",IF(C3172="C0","Nao",IF(IFERROR(INDEX(parametros!$A$2:$A$6,MATCH(C3172,parametros!$B$2:$B$6,0)),"")&lt;&gt;"Sim","Nao",IF(IFERROR(INDEX(parametros!$H$2:$H$6,MATCH(C3172,parametros!$B$2:$B$6,0)),"")="","",IF(B3172&gt;=IFERROR(INDEX(parametros!$H$2:$H$6,MATCH(C3172,parametros!$B$2:$B$6,0)),""),"Sim","Nao"))))))</f>
        <v/>
      </c>
      <c r="T3172" s="156"/>
      <c r="U3172" s="214" t="str">
        <f t="shared" si="251"/>
        <v/>
      </c>
      <c r="V3172" s="212" t="s">
        <v>50</v>
      </c>
      <c r="W3172" s="100" t="s">
        <v>168</v>
      </c>
      <c r="X3172" s="100" t="s">
        <v>169</v>
      </c>
      <c r="Y3172" s="101" t="s">
        <v>170</v>
      </c>
      <c r="Z3172" s="101" t="s">
        <v>171</v>
      </c>
      <c r="AA3172" s="101" t="s">
        <v>50</v>
      </c>
      <c r="AB3172" s="101" t="s">
        <v>172</v>
      </c>
      <c r="AC3172" s="102" t="s">
        <v>173</v>
      </c>
    </row>
    <row r="3173" spans="1:29" ht="25.5" customHeight="1" x14ac:dyDescent="0.35">
      <c r="A3173" s="392"/>
      <c r="B3173" s="393"/>
      <c r="C3173" s="99" t="str">
        <f>IF(B3173="","",IF(NOT(ISNUMBER(B3173)),"DATA_PC invalida",IF(NOT(ISNUMBER(parametros!$C$2)),"Fora dos ciclos",IF(OR(B3173&lt;parametros!$C$2,(YEAR(B3173)-YEAR(parametros!$C$2))*12+MONTH(B3173)-MONTH(parametros!$C$2)&gt;59),"Fora dos ciclos","C"&amp;INT(((YEAR(B3173)-YEAR(parametros!$C$2))*12+MONTH(B3173)-MONTH(parametros!$C$2))/12)))))</f>
        <v/>
      </c>
      <c r="D3173" s="394"/>
      <c r="E3173" s="78" t="str">
        <f>IF(C3173="","",IFERROR(VLOOKUP(C3173,parametros!$A$11:$E$15,5,0),""))</f>
        <v/>
      </c>
      <c r="F3173" s="79" t="str">
        <f t="shared" si="247"/>
        <v/>
      </c>
      <c r="G3173" s="395"/>
      <c r="H3173" s="91">
        <f t="shared" si="248"/>
        <v>0</v>
      </c>
      <c r="I3173" s="91" t="str">
        <f t="shared" si="249"/>
        <v/>
      </c>
      <c r="J3173" s="91" t="str">
        <f t="shared" si="250"/>
        <v/>
      </c>
      <c r="K3173" s="92" t="str">
        <f>IF(AND(A3173="",B3173="",D3173="",G3173=""),"",IF(AND(A3173&lt;&gt;"",COUNTIF($A$2:$A$5001,A3173)&gt;1),"NUMERO_PC duplicado",IF(B3173="","DATA_PC vazia",IF(NOT(ISNUMBER(B3173)),"DATA_PC invalida",IF(OR(C3173="",C3173="Fora dos ciclos"),"CICLO_PC nao identificado",IF(OR(D3173="",D3173=0),"VALOR_PC vazio ou zero",IF(AND(G3173&lt;&gt;"Sim",G3173&lt;&gt;"Nao",G3173&lt;&gt;""),"PC_PAGO_A_CONTRATADA invalido",IF(AND(C3173&lt;&gt;"C0",IFERROR(INDEX(parametros!$A$2:$A$6,MATCH(C3173,parametros!$B$2:$B$6,0)),"")="Sim",IFERROR(INDEX(parametros!$H$2:$H$6,MATCH(C3173,parametros!$B$2:$B$6,0)),"")=""),"INICIO_EFEITO ausente: PC "&amp;A3173&amp;" - "&amp;C3173,IF(L3173="","EFEITO_PC nao calculado: PC "&amp;A3173&amp;" - "&amp;C3173,"OK")))))))))</f>
        <v/>
      </c>
      <c r="L3173" s="92" t="str">
        <f>IF(AND(A3173="",B3173="",D3173="",G3173=""),"",IF(OR(B3173="",NOT(ISNUMBER(B3173)),C3173="",C3173="Fora dos ciclos"),"",IF(C3173="C0","Nao",IF(IFERROR(INDEX(parametros!$A$2:$A$6,MATCH(C3173,parametros!$B$2:$B$6,0)),"")&lt;&gt;"Sim","Nao",IF(IFERROR(INDEX(parametros!$H$2:$H$6,MATCH(C3173,parametros!$B$2:$B$6,0)),"")="","",IF(B3173&gt;=IFERROR(INDEX(parametros!$H$2:$H$6,MATCH(C3173,parametros!$B$2:$B$6,0)),""),"Sim","Nao"))))))</f>
        <v/>
      </c>
      <c r="T3173" s="156"/>
      <c r="U3173" s="214" t="str">
        <f t="shared" si="251"/>
        <v/>
      </c>
      <c r="V3173" s="212" t="s">
        <v>50</v>
      </c>
      <c r="W3173" s="100" t="s">
        <v>168</v>
      </c>
      <c r="X3173" s="100" t="s">
        <v>169</v>
      </c>
      <c r="Y3173" s="101" t="s">
        <v>170</v>
      </c>
      <c r="Z3173" s="101" t="s">
        <v>171</v>
      </c>
      <c r="AA3173" s="101" t="s">
        <v>50</v>
      </c>
      <c r="AB3173" s="101" t="s">
        <v>172</v>
      </c>
      <c r="AC3173" s="102" t="s">
        <v>173</v>
      </c>
    </row>
    <row r="3174" spans="1:29" ht="25.5" customHeight="1" x14ac:dyDescent="0.35">
      <c r="A3174" s="392"/>
      <c r="B3174" s="393"/>
      <c r="C3174" s="99" t="str">
        <f>IF(B3174="","",IF(NOT(ISNUMBER(B3174)),"DATA_PC invalida",IF(NOT(ISNUMBER(parametros!$C$2)),"Fora dos ciclos",IF(OR(B3174&lt;parametros!$C$2,(YEAR(B3174)-YEAR(parametros!$C$2))*12+MONTH(B3174)-MONTH(parametros!$C$2)&gt;59),"Fora dos ciclos","C"&amp;INT(((YEAR(B3174)-YEAR(parametros!$C$2))*12+MONTH(B3174)-MONTH(parametros!$C$2))/12)))))</f>
        <v/>
      </c>
      <c r="D3174" s="394"/>
      <c r="E3174" s="78" t="str">
        <f>IF(C3174="","",IFERROR(VLOOKUP(C3174,parametros!$A$11:$E$15,5,0),""))</f>
        <v/>
      </c>
      <c r="F3174" s="79" t="str">
        <f t="shared" si="247"/>
        <v/>
      </c>
      <c r="G3174" s="395"/>
      <c r="H3174" s="91">
        <f t="shared" si="248"/>
        <v>0</v>
      </c>
      <c r="I3174" s="91" t="str">
        <f t="shared" si="249"/>
        <v/>
      </c>
      <c r="J3174" s="91" t="str">
        <f t="shared" si="250"/>
        <v/>
      </c>
      <c r="K3174" s="92" t="str">
        <f>IF(AND(A3174="",B3174="",D3174="",G3174=""),"",IF(AND(A3174&lt;&gt;"",COUNTIF($A$2:$A$5001,A3174)&gt;1),"NUMERO_PC duplicado",IF(B3174="","DATA_PC vazia",IF(NOT(ISNUMBER(B3174)),"DATA_PC invalida",IF(OR(C3174="",C3174="Fora dos ciclos"),"CICLO_PC nao identificado",IF(OR(D3174="",D3174=0),"VALOR_PC vazio ou zero",IF(AND(G3174&lt;&gt;"Sim",G3174&lt;&gt;"Nao",G3174&lt;&gt;""),"PC_PAGO_A_CONTRATADA invalido",IF(AND(C3174&lt;&gt;"C0",IFERROR(INDEX(parametros!$A$2:$A$6,MATCH(C3174,parametros!$B$2:$B$6,0)),"")="Sim",IFERROR(INDEX(parametros!$H$2:$H$6,MATCH(C3174,parametros!$B$2:$B$6,0)),"")=""),"INICIO_EFEITO ausente: PC "&amp;A3174&amp;" - "&amp;C3174,IF(L3174="","EFEITO_PC nao calculado: PC "&amp;A3174&amp;" - "&amp;C3174,"OK")))))))))</f>
        <v/>
      </c>
      <c r="L3174" s="92" t="str">
        <f>IF(AND(A3174="",B3174="",D3174="",G3174=""),"",IF(OR(B3174="",NOT(ISNUMBER(B3174)),C3174="",C3174="Fora dos ciclos"),"",IF(C3174="C0","Nao",IF(IFERROR(INDEX(parametros!$A$2:$A$6,MATCH(C3174,parametros!$B$2:$B$6,0)),"")&lt;&gt;"Sim","Nao",IF(IFERROR(INDEX(parametros!$H$2:$H$6,MATCH(C3174,parametros!$B$2:$B$6,0)),"")="","",IF(B3174&gt;=IFERROR(INDEX(parametros!$H$2:$H$6,MATCH(C3174,parametros!$B$2:$B$6,0)),""),"Sim","Nao"))))))</f>
        <v/>
      </c>
      <c r="T3174" s="156"/>
      <c r="U3174" s="214" t="str">
        <f t="shared" si="251"/>
        <v/>
      </c>
      <c r="V3174" s="212" t="s">
        <v>50</v>
      </c>
      <c r="W3174" s="100" t="s">
        <v>168</v>
      </c>
      <c r="X3174" s="100" t="s">
        <v>169</v>
      </c>
      <c r="Y3174" s="101" t="s">
        <v>170</v>
      </c>
      <c r="Z3174" s="101" t="s">
        <v>171</v>
      </c>
      <c r="AA3174" s="101" t="s">
        <v>50</v>
      </c>
      <c r="AB3174" s="101" t="s">
        <v>172</v>
      </c>
      <c r="AC3174" s="102" t="s">
        <v>173</v>
      </c>
    </row>
    <row r="3175" spans="1:29" ht="25.5" customHeight="1" x14ac:dyDescent="0.35">
      <c r="A3175" s="392"/>
      <c r="B3175" s="393"/>
      <c r="C3175" s="99" t="str">
        <f>IF(B3175="","",IF(NOT(ISNUMBER(B3175)),"DATA_PC invalida",IF(NOT(ISNUMBER(parametros!$C$2)),"Fora dos ciclos",IF(OR(B3175&lt;parametros!$C$2,(YEAR(B3175)-YEAR(parametros!$C$2))*12+MONTH(B3175)-MONTH(parametros!$C$2)&gt;59),"Fora dos ciclos","C"&amp;INT(((YEAR(B3175)-YEAR(parametros!$C$2))*12+MONTH(B3175)-MONTH(parametros!$C$2))/12)))))</f>
        <v/>
      </c>
      <c r="D3175" s="394"/>
      <c r="E3175" s="78" t="str">
        <f>IF(C3175="","",IFERROR(VLOOKUP(C3175,parametros!$A$11:$E$15,5,0),""))</f>
        <v/>
      </c>
      <c r="F3175" s="79" t="str">
        <f t="shared" si="247"/>
        <v/>
      </c>
      <c r="G3175" s="395"/>
      <c r="H3175" s="91">
        <f t="shared" si="248"/>
        <v>0</v>
      </c>
      <c r="I3175" s="91" t="str">
        <f t="shared" si="249"/>
        <v/>
      </c>
      <c r="J3175" s="91" t="str">
        <f t="shared" si="250"/>
        <v/>
      </c>
      <c r="K3175" s="92" t="str">
        <f>IF(AND(A3175="",B3175="",D3175="",G3175=""),"",IF(AND(A3175&lt;&gt;"",COUNTIF($A$2:$A$5001,A3175)&gt;1),"NUMERO_PC duplicado",IF(B3175="","DATA_PC vazia",IF(NOT(ISNUMBER(B3175)),"DATA_PC invalida",IF(OR(C3175="",C3175="Fora dos ciclos"),"CICLO_PC nao identificado",IF(OR(D3175="",D3175=0),"VALOR_PC vazio ou zero",IF(AND(G3175&lt;&gt;"Sim",G3175&lt;&gt;"Nao",G3175&lt;&gt;""),"PC_PAGO_A_CONTRATADA invalido",IF(AND(C3175&lt;&gt;"C0",IFERROR(INDEX(parametros!$A$2:$A$6,MATCH(C3175,parametros!$B$2:$B$6,0)),"")="Sim",IFERROR(INDEX(parametros!$H$2:$H$6,MATCH(C3175,parametros!$B$2:$B$6,0)),"")=""),"INICIO_EFEITO ausente: PC "&amp;A3175&amp;" - "&amp;C3175,IF(L3175="","EFEITO_PC nao calculado: PC "&amp;A3175&amp;" - "&amp;C3175,"OK")))))))))</f>
        <v/>
      </c>
      <c r="L3175" s="92" t="str">
        <f>IF(AND(A3175="",B3175="",D3175="",G3175=""),"",IF(OR(B3175="",NOT(ISNUMBER(B3175)),C3175="",C3175="Fora dos ciclos"),"",IF(C3175="C0","Nao",IF(IFERROR(INDEX(parametros!$A$2:$A$6,MATCH(C3175,parametros!$B$2:$B$6,0)),"")&lt;&gt;"Sim","Nao",IF(IFERROR(INDEX(parametros!$H$2:$H$6,MATCH(C3175,parametros!$B$2:$B$6,0)),"")="","",IF(B3175&gt;=IFERROR(INDEX(parametros!$H$2:$H$6,MATCH(C3175,parametros!$B$2:$B$6,0)),""),"Sim","Nao"))))))</f>
        <v/>
      </c>
      <c r="T3175" s="156"/>
      <c r="U3175" s="214" t="str">
        <f t="shared" si="251"/>
        <v/>
      </c>
      <c r="V3175" s="212" t="s">
        <v>50</v>
      </c>
      <c r="W3175" s="100" t="s">
        <v>168</v>
      </c>
      <c r="X3175" s="100" t="s">
        <v>169</v>
      </c>
      <c r="Y3175" s="101" t="s">
        <v>170</v>
      </c>
      <c r="Z3175" s="101" t="s">
        <v>171</v>
      </c>
      <c r="AA3175" s="101" t="s">
        <v>50</v>
      </c>
      <c r="AB3175" s="101" t="s">
        <v>172</v>
      </c>
      <c r="AC3175" s="102" t="s">
        <v>173</v>
      </c>
    </row>
    <row r="3176" spans="1:29" ht="25.5" customHeight="1" x14ac:dyDescent="0.35">
      <c r="A3176" s="392"/>
      <c r="B3176" s="393"/>
      <c r="C3176" s="99" t="str">
        <f>IF(B3176="","",IF(NOT(ISNUMBER(B3176)),"DATA_PC invalida",IF(NOT(ISNUMBER(parametros!$C$2)),"Fora dos ciclos",IF(OR(B3176&lt;parametros!$C$2,(YEAR(B3176)-YEAR(parametros!$C$2))*12+MONTH(B3176)-MONTH(parametros!$C$2)&gt;59),"Fora dos ciclos","C"&amp;INT(((YEAR(B3176)-YEAR(parametros!$C$2))*12+MONTH(B3176)-MONTH(parametros!$C$2))/12)))))</f>
        <v/>
      </c>
      <c r="D3176" s="394"/>
      <c r="E3176" s="78" t="str">
        <f>IF(C3176="","",IFERROR(VLOOKUP(C3176,parametros!$A$11:$E$15,5,0),""))</f>
        <v/>
      </c>
      <c r="F3176" s="79" t="str">
        <f t="shared" si="247"/>
        <v/>
      </c>
      <c r="G3176" s="395"/>
      <c r="H3176" s="91">
        <f t="shared" si="248"/>
        <v>0</v>
      </c>
      <c r="I3176" s="91" t="str">
        <f t="shared" si="249"/>
        <v/>
      </c>
      <c r="J3176" s="91" t="str">
        <f t="shared" si="250"/>
        <v/>
      </c>
      <c r="K3176" s="92" t="str">
        <f>IF(AND(A3176="",B3176="",D3176="",G3176=""),"",IF(AND(A3176&lt;&gt;"",COUNTIF($A$2:$A$5001,A3176)&gt;1),"NUMERO_PC duplicado",IF(B3176="","DATA_PC vazia",IF(NOT(ISNUMBER(B3176)),"DATA_PC invalida",IF(OR(C3176="",C3176="Fora dos ciclos"),"CICLO_PC nao identificado",IF(OR(D3176="",D3176=0),"VALOR_PC vazio ou zero",IF(AND(G3176&lt;&gt;"Sim",G3176&lt;&gt;"Nao",G3176&lt;&gt;""),"PC_PAGO_A_CONTRATADA invalido",IF(AND(C3176&lt;&gt;"C0",IFERROR(INDEX(parametros!$A$2:$A$6,MATCH(C3176,parametros!$B$2:$B$6,0)),"")="Sim",IFERROR(INDEX(parametros!$H$2:$H$6,MATCH(C3176,parametros!$B$2:$B$6,0)),"")=""),"INICIO_EFEITO ausente: PC "&amp;A3176&amp;" - "&amp;C3176,IF(L3176="","EFEITO_PC nao calculado: PC "&amp;A3176&amp;" - "&amp;C3176,"OK")))))))))</f>
        <v/>
      </c>
      <c r="L3176" s="92" t="str">
        <f>IF(AND(A3176="",B3176="",D3176="",G3176=""),"",IF(OR(B3176="",NOT(ISNUMBER(B3176)),C3176="",C3176="Fora dos ciclos"),"",IF(C3176="C0","Nao",IF(IFERROR(INDEX(parametros!$A$2:$A$6,MATCH(C3176,parametros!$B$2:$B$6,0)),"")&lt;&gt;"Sim","Nao",IF(IFERROR(INDEX(parametros!$H$2:$H$6,MATCH(C3176,parametros!$B$2:$B$6,0)),"")="","",IF(B3176&gt;=IFERROR(INDEX(parametros!$H$2:$H$6,MATCH(C3176,parametros!$B$2:$B$6,0)),""),"Sim","Nao"))))))</f>
        <v/>
      </c>
      <c r="T3176" s="156"/>
      <c r="U3176" s="214" t="str">
        <f t="shared" si="251"/>
        <v/>
      </c>
      <c r="V3176" s="212" t="s">
        <v>50</v>
      </c>
      <c r="W3176" s="100" t="s">
        <v>168</v>
      </c>
      <c r="X3176" s="100" t="s">
        <v>169</v>
      </c>
      <c r="Y3176" s="101" t="s">
        <v>170</v>
      </c>
      <c r="Z3176" s="101" t="s">
        <v>171</v>
      </c>
      <c r="AA3176" s="101" t="s">
        <v>50</v>
      </c>
      <c r="AB3176" s="101" t="s">
        <v>172</v>
      </c>
      <c r="AC3176" s="102" t="s">
        <v>173</v>
      </c>
    </row>
    <row r="3177" spans="1:29" ht="25.5" customHeight="1" x14ac:dyDescent="0.35">
      <c r="A3177" s="392"/>
      <c r="B3177" s="393"/>
      <c r="C3177" s="99" t="str">
        <f>IF(B3177="","",IF(NOT(ISNUMBER(B3177)),"DATA_PC invalida",IF(NOT(ISNUMBER(parametros!$C$2)),"Fora dos ciclos",IF(OR(B3177&lt;parametros!$C$2,(YEAR(B3177)-YEAR(parametros!$C$2))*12+MONTH(B3177)-MONTH(parametros!$C$2)&gt;59),"Fora dos ciclos","C"&amp;INT(((YEAR(B3177)-YEAR(parametros!$C$2))*12+MONTH(B3177)-MONTH(parametros!$C$2))/12)))))</f>
        <v/>
      </c>
      <c r="D3177" s="394"/>
      <c r="E3177" s="78" t="str">
        <f>IF(C3177="","",IFERROR(VLOOKUP(C3177,parametros!$A$11:$E$15,5,0),""))</f>
        <v/>
      </c>
      <c r="F3177" s="79" t="str">
        <f t="shared" si="247"/>
        <v/>
      </c>
      <c r="G3177" s="395"/>
      <c r="H3177" s="91">
        <f t="shared" si="248"/>
        <v>0</v>
      </c>
      <c r="I3177" s="91" t="str">
        <f t="shared" si="249"/>
        <v/>
      </c>
      <c r="J3177" s="91" t="str">
        <f t="shared" si="250"/>
        <v/>
      </c>
      <c r="K3177" s="92" t="str">
        <f>IF(AND(A3177="",B3177="",D3177="",G3177=""),"",IF(AND(A3177&lt;&gt;"",COUNTIF($A$2:$A$5001,A3177)&gt;1),"NUMERO_PC duplicado",IF(B3177="","DATA_PC vazia",IF(NOT(ISNUMBER(B3177)),"DATA_PC invalida",IF(OR(C3177="",C3177="Fora dos ciclos"),"CICLO_PC nao identificado",IF(OR(D3177="",D3177=0),"VALOR_PC vazio ou zero",IF(AND(G3177&lt;&gt;"Sim",G3177&lt;&gt;"Nao",G3177&lt;&gt;""),"PC_PAGO_A_CONTRATADA invalido",IF(AND(C3177&lt;&gt;"C0",IFERROR(INDEX(parametros!$A$2:$A$6,MATCH(C3177,parametros!$B$2:$B$6,0)),"")="Sim",IFERROR(INDEX(parametros!$H$2:$H$6,MATCH(C3177,parametros!$B$2:$B$6,0)),"")=""),"INICIO_EFEITO ausente: PC "&amp;A3177&amp;" - "&amp;C3177,IF(L3177="","EFEITO_PC nao calculado: PC "&amp;A3177&amp;" - "&amp;C3177,"OK")))))))))</f>
        <v/>
      </c>
      <c r="L3177" s="92" t="str">
        <f>IF(AND(A3177="",B3177="",D3177="",G3177=""),"",IF(OR(B3177="",NOT(ISNUMBER(B3177)),C3177="",C3177="Fora dos ciclos"),"",IF(C3177="C0","Nao",IF(IFERROR(INDEX(parametros!$A$2:$A$6,MATCH(C3177,parametros!$B$2:$B$6,0)),"")&lt;&gt;"Sim","Nao",IF(IFERROR(INDEX(parametros!$H$2:$H$6,MATCH(C3177,parametros!$B$2:$B$6,0)),"")="","",IF(B3177&gt;=IFERROR(INDEX(parametros!$H$2:$H$6,MATCH(C3177,parametros!$B$2:$B$6,0)),""),"Sim","Nao"))))))</f>
        <v/>
      </c>
      <c r="T3177" s="156"/>
      <c r="U3177" s="214" t="str">
        <f t="shared" si="251"/>
        <v/>
      </c>
      <c r="V3177" s="212" t="s">
        <v>50</v>
      </c>
      <c r="W3177" s="100" t="s">
        <v>168</v>
      </c>
      <c r="X3177" s="100" t="s">
        <v>169</v>
      </c>
      <c r="Y3177" s="101" t="s">
        <v>170</v>
      </c>
      <c r="Z3177" s="101" t="s">
        <v>171</v>
      </c>
      <c r="AA3177" s="101" t="s">
        <v>50</v>
      </c>
      <c r="AB3177" s="101" t="s">
        <v>172</v>
      </c>
      <c r="AC3177" s="102" t="s">
        <v>173</v>
      </c>
    </row>
    <row r="3178" spans="1:29" ht="25.5" customHeight="1" x14ac:dyDescent="0.35">
      <c r="A3178" s="392"/>
      <c r="B3178" s="393"/>
      <c r="C3178" s="99" t="str">
        <f>IF(B3178="","",IF(NOT(ISNUMBER(B3178)),"DATA_PC invalida",IF(NOT(ISNUMBER(parametros!$C$2)),"Fora dos ciclos",IF(OR(B3178&lt;parametros!$C$2,(YEAR(B3178)-YEAR(parametros!$C$2))*12+MONTH(B3178)-MONTH(parametros!$C$2)&gt;59),"Fora dos ciclos","C"&amp;INT(((YEAR(B3178)-YEAR(parametros!$C$2))*12+MONTH(B3178)-MONTH(parametros!$C$2))/12)))))</f>
        <v/>
      </c>
      <c r="D3178" s="394"/>
      <c r="E3178" s="78" t="str">
        <f>IF(C3178="","",IFERROR(VLOOKUP(C3178,parametros!$A$11:$E$15,5,0),""))</f>
        <v/>
      </c>
      <c r="F3178" s="79" t="str">
        <f t="shared" si="247"/>
        <v/>
      </c>
      <c r="G3178" s="395"/>
      <c r="H3178" s="91">
        <f t="shared" si="248"/>
        <v>0</v>
      </c>
      <c r="I3178" s="91" t="str">
        <f t="shared" si="249"/>
        <v/>
      </c>
      <c r="J3178" s="91" t="str">
        <f t="shared" si="250"/>
        <v/>
      </c>
      <c r="K3178" s="92" t="str">
        <f>IF(AND(A3178="",B3178="",D3178="",G3178=""),"",IF(AND(A3178&lt;&gt;"",COUNTIF($A$2:$A$5001,A3178)&gt;1),"NUMERO_PC duplicado",IF(B3178="","DATA_PC vazia",IF(NOT(ISNUMBER(B3178)),"DATA_PC invalida",IF(OR(C3178="",C3178="Fora dos ciclos"),"CICLO_PC nao identificado",IF(OR(D3178="",D3178=0),"VALOR_PC vazio ou zero",IF(AND(G3178&lt;&gt;"Sim",G3178&lt;&gt;"Nao",G3178&lt;&gt;""),"PC_PAGO_A_CONTRATADA invalido",IF(AND(C3178&lt;&gt;"C0",IFERROR(INDEX(parametros!$A$2:$A$6,MATCH(C3178,parametros!$B$2:$B$6,0)),"")="Sim",IFERROR(INDEX(parametros!$H$2:$H$6,MATCH(C3178,parametros!$B$2:$B$6,0)),"")=""),"INICIO_EFEITO ausente: PC "&amp;A3178&amp;" - "&amp;C3178,IF(L3178="","EFEITO_PC nao calculado: PC "&amp;A3178&amp;" - "&amp;C3178,"OK")))))))))</f>
        <v/>
      </c>
      <c r="L3178" s="92" t="str">
        <f>IF(AND(A3178="",B3178="",D3178="",G3178=""),"",IF(OR(B3178="",NOT(ISNUMBER(B3178)),C3178="",C3178="Fora dos ciclos"),"",IF(C3178="C0","Nao",IF(IFERROR(INDEX(parametros!$A$2:$A$6,MATCH(C3178,parametros!$B$2:$B$6,0)),"")&lt;&gt;"Sim","Nao",IF(IFERROR(INDEX(parametros!$H$2:$H$6,MATCH(C3178,parametros!$B$2:$B$6,0)),"")="","",IF(B3178&gt;=IFERROR(INDEX(parametros!$H$2:$H$6,MATCH(C3178,parametros!$B$2:$B$6,0)),""),"Sim","Nao"))))))</f>
        <v/>
      </c>
      <c r="T3178" s="156"/>
      <c r="U3178" s="214" t="str">
        <f t="shared" si="251"/>
        <v/>
      </c>
      <c r="V3178" s="212" t="s">
        <v>50</v>
      </c>
      <c r="W3178" s="100" t="s">
        <v>168</v>
      </c>
      <c r="X3178" s="100" t="s">
        <v>169</v>
      </c>
      <c r="Y3178" s="101" t="s">
        <v>170</v>
      </c>
      <c r="Z3178" s="101" t="s">
        <v>171</v>
      </c>
      <c r="AA3178" s="101" t="s">
        <v>50</v>
      </c>
      <c r="AB3178" s="101" t="s">
        <v>172</v>
      </c>
      <c r="AC3178" s="102" t="s">
        <v>173</v>
      </c>
    </row>
    <row r="3179" spans="1:29" ht="25.5" customHeight="1" x14ac:dyDescent="0.35">
      <c r="A3179" s="392"/>
      <c r="B3179" s="393"/>
      <c r="C3179" s="99" t="str">
        <f>IF(B3179="","",IF(NOT(ISNUMBER(B3179)),"DATA_PC invalida",IF(NOT(ISNUMBER(parametros!$C$2)),"Fora dos ciclos",IF(OR(B3179&lt;parametros!$C$2,(YEAR(B3179)-YEAR(parametros!$C$2))*12+MONTH(B3179)-MONTH(parametros!$C$2)&gt;59),"Fora dos ciclos","C"&amp;INT(((YEAR(B3179)-YEAR(parametros!$C$2))*12+MONTH(B3179)-MONTH(parametros!$C$2))/12)))))</f>
        <v/>
      </c>
      <c r="D3179" s="394"/>
      <c r="E3179" s="78" t="str">
        <f>IF(C3179="","",IFERROR(VLOOKUP(C3179,parametros!$A$11:$E$15,5,0),""))</f>
        <v/>
      </c>
      <c r="F3179" s="79" t="str">
        <f t="shared" si="247"/>
        <v/>
      </c>
      <c r="G3179" s="395"/>
      <c r="H3179" s="91">
        <f t="shared" si="248"/>
        <v>0</v>
      </c>
      <c r="I3179" s="91" t="str">
        <f t="shared" si="249"/>
        <v/>
      </c>
      <c r="J3179" s="91" t="str">
        <f t="shared" si="250"/>
        <v/>
      </c>
      <c r="K3179" s="92" t="str">
        <f>IF(AND(A3179="",B3179="",D3179="",G3179=""),"",IF(AND(A3179&lt;&gt;"",COUNTIF($A$2:$A$5001,A3179)&gt;1),"NUMERO_PC duplicado",IF(B3179="","DATA_PC vazia",IF(NOT(ISNUMBER(B3179)),"DATA_PC invalida",IF(OR(C3179="",C3179="Fora dos ciclos"),"CICLO_PC nao identificado",IF(OR(D3179="",D3179=0),"VALOR_PC vazio ou zero",IF(AND(G3179&lt;&gt;"Sim",G3179&lt;&gt;"Nao",G3179&lt;&gt;""),"PC_PAGO_A_CONTRATADA invalido",IF(AND(C3179&lt;&gt;"C0",IFERROR(INDEX(parametros!$A$2:$A$6,MATCH(C3179,parametros!$B$2:$B$6,0)),"")="Sim",IFERROR(INDEX(parametros!$H$2:$H$6,MATCH(C3179,parametros!$B$2:$B$6,0)),"")=""),"INICIO_EFEITO ausente: PC "&amp;A3179&amp;" - "&amp;C3179,IF(L3179="","EFEITO_PC nao calculado: PC "&amp;A3179&amp;" - "&amp;C3179,"OK")))))))))</f>
        <v/>
      </c>
      <c r="L3179" s="92" t="str">
        <f>IF(AND(A3179="",B3179="",D3179="",G3179=""),"",IF(OR(B3179="",NOT(ISNUMBER(B3179)),C3179="",C3179="Fora dos ciclos"),"",IF(C3179="C0","Nao",IF(IFERROR(INDEX(parametros!$A$2:$A$6,MATCH(C3179,parametros!$B$2:$B$6,0)),"")&lt;&gt;"Sim","Nao",IF(IFERROR(INDEX(parametros!$H$2:$H$6,MATCH(C3179,parametros!$B$2:$B$6,0)),"")="","",IF(B3179&gt;=IFERROR(INDEX(parametros!$H$2:$H$6,MATCH(C3179,parametros!$B$2:$B$6,0)),""),"Sim","Nao"))))))</f>
        <v/>
      </c>
      <c r="T3179" s="156"/>
      <c r="U3179" s="214" t="str">
        <f t="shared" si="251"/>
        <v/>
      </c>
      <c r="V3179" s="212" t="s">
        <v>50</v>
      </c>
      <c r="W3179" s="100" t="s">
        <v>168</v>
      </c>
      <c r="X3179" s="100" t="s">
        <v>169</v>
      </c>
      <c r="Y3179" s="101" t="s">
        <v>170</v>
      </c>
      <c r="Z3179" s="101" t="s">
        <v>171</v>
      </c>
      <c r="AA3179" s="101" t="s">
        <v>50</v>
      </c>
      <c r="AB3179" s="101" t="s">
        <v>172</v>
      </c>
      <c r="AC3179" s="102" t="s">
        <v>173</v>
      </c>
    </row>
    <row r="3180" spans="1:29" ht="25.5" customHeight="1" x14ac:dyDescent="0.35">
      <c r="A3180" s="392"/>
      <c r="B3180" s="393"/>
      <c r="C3180" s="99" t="str">
        <f>IF(B3180="","",IF(NOT(ISNUMBER(B3180)),"DATA_PC invalida",IF(NOT(ISNUMBER(parametros!$C$2)),"Fora dos ciclos",IF(OR(B3180&lt;parametros!$C$2,(YEAR(B3180)-YEAR(parametros!$C$2))*12+MONTH(B3180)-MONTH(parametros!$C$2)&gt;59),"Fora dos ciclos","C"&amp;INT(((YEAR(B3180)-YEAR(parametros!$C$2))*12+MONTH(B3180)-MONTH(parametros!$C$2))/12)))))</f>
        <v/>
      </c>
      <c r="D3180" s="394"/>
      <c r="E3180" s="78" t="str">
        <f>IF(C3180="","",IFERROR(VLOOKUP(C3180,parametros!$A$11:$E$15,5,0),""))</f>
        <v/>
      </c>
      <c r="F3180" s="79" t="str">
        <f t="shared" si="247"/>
        <v/>
      </c>
      <c r="G3180" s="395"/>
      <c r="H3180" s="91">
        <f t="shared" si="248"/>
        <v>0</v>
      </c>
      <c r="I3180" s="91" t="str">
        <f t="shared" si="249"/>
        <v/>
      </c>
      <c r="J3180" s="91" t="str">
        <f t="shared" si="250"/>
        <v/>
      </c>
      <c r="K3180" s="92" t="str">
        <f>IF(AND(A3180="",B3180="",D3180="",G3180=""),"",IF(AND(A3180&lt;&gt;"",COUNTIF($A$2:$A$5001,A3180)&gt;1),"NUMERO_PC duplicado",IF(B3180="","DATA_PC vazia",IF(NOT(ISNUMBER(B3180)),"DATA_PC invalida",IF(OR(C3180="",C3180="Fora dos ciclos"),"CICLO_PC nao identificado",IF(OR(D3180="",D3180=0),"VALOR_PC vazio ou zero",IF(AND(G3180&lt;&gt;"Sim",G3180&lt;&gt;"Nao",G3180&lt;&gt;""),"PC_PAGO_A_CONTRATADA invalido",IF(AND(C3180&lt;&gt;"C0",IFERROR(INDEX(parametros!$A$2:$A$6,MATCH(C3180,parametros!$B$2:$B$6,0)),"")="Sim",IFERROR(INDEX(parametros!$H$2:$H$6,MATCH(C3180,parametros!$B$2:$B$6,0)),"")=""),"INICIO_EFEITO ausente: PC "&amp;A3180&amp;" - "&amp;C3180,IF(L3180="","EFEITO_PC nao calculado: PC "&amp;A3180&amp;" - "&amp;C3180,"OK")))))))))</f>
        <v/>
      </c>
      <c r="L3180" s="92" t="str">
        <f>IF(AND(A3180="",B3180="",D3180="",G3180=""),"",IF(OR(B3180="",NOT(ISNUMBER(B3180)),C3180="",C3180="Fora dos ciclos"),"",IF(C3180="C0","Nao",IF(IFERROR(INDEX(parametros!$A$2:$A$6,MATCH(C3180,parametros!$B$2:$B$6,0)),"")&lt;&gt;"Sim","Nao",IF(IFERROR(INDEX(parametros!$H$2:$H$6,MATCH(C3180,parametros!$B$2:$B$6,0)),"")="","",IF(B3180&gt;=IFERROR(INDEX(parametros!$H$2:$H$6,MATCH(C3180,parametros!$B$2:$B$6,0)),""),"Sim","Nao"))))))</f>
        <v/>
      </c>
      <c r="T3180" s="156"/>
      <c r="U3180" s="214" t="str">
        <f t="shared" si="251"/>
        <v/>
      </c>
      <c r="V3180" s="212" t="s">
        <v>50</v>
      </c>
      <c r="W3180" s="100" t="s">
        <v>168</v>
      </c>
      <c r="X3180" s="100" t="s">
        <v>169</v>
      </c>
      <c r="Y3180" s="101" t="s">
        <v>170</v>
      </c>
      <c r="Z3180" s="101" t="s">
        <v>171</v>
      </c>
      <c r="AA3180" s="101" t="s">
        <v>50</v>
      </c>
      <c r="AB3180" s="101" t="s">
        <v>172</v>
      </c>
      <c r="AC3180" s="102" t="s">
        <v>173</v>
      </c>
    </row>
    <row r="3181" spans="1:29" ht="25.5" customHeight="1" x14ac:dyDescent="0.35">
      <c r="A3181" s="392"/>
      <c r="B3181" s="393"/>
      <c r="C3181" s="99" t="str">
        <f>IF(B3181="","",IF(NOT(ISNUMBER(B3181)),"DATA_PC invalida",IF(NOT(ISNUMBER(parametros!$C$2)),"Fora dos ciclos",IF(OR(B3181&lt;parametros!$C$2,(YEAR(B3181)-YEAR(parametros!$C$2))*12+MONTH(B3181)-MONTH(parametros!$C$2)&gt;59),"Fora dos ciclos","C"&amp;INT(((YEAR(B3181)-YEAR(parametros!$C$2))*12+MONTH(B3181)-MONTH(parametros!$C$2))/12)))))</f>
        <v/>
      </c>
      <c r="D3181" s="394"/>
      <c r="E3181" s="78" t="str">
        <f>IF(C3181="","",IFERROR(VLOOKUP(C3181,parametros!$A$11:$E$15,5,0),""))</f>
        <v/>
      </c>
      <c r="F3181" s="79" t="str">
        <f t="shared" si="247"/>
        <v/>
      </c>
      <c r="G3181" s="395"/>
      <c r="H3181" s="91">
        <f t="shared" si="248"/>
        <v>0</v>
      </c>
      <c r="I3181" s="91" t="str">
        <f t="shared" si="249"/>
        <v/>
      </c>
      <c r="J3181" s="91" t="str">
        <f t="shared" si="250"/>
        <v/>
      </c>
      <c r="K3181" s="92" t="str">
        <f>IF(AND(A3181="",B3181="",D3181="",G3181=""),"",IF(AND(A3181&lt;&gt;"",COUNTIF($A$2:$A$5001,A3181)&gt;1),"NUMERO_PC duplicado",IF(B3181="","DATA_PC vazia",IF(NOT(ISNUMBER(B3181)),"DATA_PC invalida",IF(OR(C3181="",C3181="Fora dos ciclos"),"CICLO_PC nao identificado",IF(OR(D3181="",D3181=0),"VALOR_PC vazio ou zero",IF(AND(G3181&lt;&gt;"Sim",G3181&lt;&gt;"Nao",G3181&lt;&gt;""),"PC_PAGO_A_CONTRATADA invalido",IF(AND(C3181&lt;&gt;"C0",IFERROR(INDEX(parametros!$A$2:$A$6,MATCH(C3181,parametros!$B$2:$B$6,0)),"")="Sim",IFERROR(INDEX(parametros!$H$2:$H$6,MATCH(C3181,parametros!$B$2:$B$6,0)),"")=""),"INICIO_EFEITO ausente: PC "&amp;A3181&amp;" - "&amp;C3181,IF(L3181="","EFEITO_PC nao calculado: PC "&amp;A3181&amp;" - "&amp;C3181,"OK")))))))))</f>
        <v/>
      </c>
      <c r="L3181" s="92" t="str">
        <f>IF(AND(A3181="",B3181="",D3181="",G3181=""),"",IF(OR(B3181="",NOT(ISNUMBER(B3181)),C3181="",C3181="Fora dos ciclos"),"",IF(C3181="C0","Nao",IF(IFERROR(INDEX(parametros!$A$2:$A$6,MATCH(C3181,parametros!$B$2:$B$6,0)),"")&lt;&gt;"Sim","Nao",IF(IFERROR(INDEX(parametros!$H$2:$H$6,MATCH(C3181,parametros!$B$2:$B$6,0)),"")="","",IF(B3181&gt;=IFERROR(INDEX(parametros!$H$2:$H$6,MATCH(C3181,parametros!$B$2:$B$6,0)),""),"Sim","Nao"))))))</f>
        <v/>
      </c>
      <c r="T3181" s="156"/>
      <c r="U3181" s="214" t="str">
        <f t="shared" si="251"/>
        <v/>
      </c>
      <c r="V3181" s="212" t="s">
        <v>50</v>
      </c>
      <c r="W3181" s="100" t="s">
        <v>168</v>
      </c>
      <c r="X3181" s="100" t="s">
        <v>169</v>
      </c>
      <c r="Y3181" s="101" t="s">
        <v>170</v>
      </c>
      <c r="Z3181" s="101" t="s">
        <v>171</v>
      </c>
      <c r="AA3181" s="101" t="s">
        <v>50</v>
      </c>
      <c r="AB3181" s="101" t="s">
        <v>172</v>
      </c>
      <c r="AC3181" s="102" t="s">
        <v>173</v>
      </c>
    </row>
    <row r="3182" spans="1:29" ht="25.5" customHeight="1" x14ac:dyDescent="0.35">
      <c r="A3182" s="392"/>
      <c r="B3182" s="393"/>
      <c r="C3182" s="99" t="str">
        <f>IF(B3182="","",IF(NOT(ISNUMBER(B3182)),"DATA_PC invalida",IF(NOT(ISNUMBER(parametros!$C$2)),"Fora dos ciclos",IF(OR(B3182&lt;parametros!$C$2,(YEAR(B3182)-YEAR(parametros!$C$2))*12+MONTH(B3182)-MONTH(parametros!$C$2)&gt;59),"Fora dos ciclos","C"&amp;INT(((YEAR(B3182)-YEAR(parametros!$C$2))*12+MONTH(B3182)-MONTH(parametros!$C$2))/12)))))</f>
        <v/>
      </c>
      <c r="D3182" s="394"/>
      <c r="E3182" s="78" t="str">
        <f>IF(C3182="","",IFERROR(VLOOKUP(C3182,parametros!$A$11:$E$15,5,0),""))</f>
        <v/>
      </c>
      <c r="F3182" s="79" t="str">
        <f t="shared" si="247"/>
        <v/>
      </c>
      <c r="G3182" s="395"/>
      <c r="H3182" s="91">
        <f t="shared" si="248"/>
        <v>0</v>
      </c>
      <c r="I3182" s="91" t="str">
        <f t="shared" si="249"/>
        <v/>
      </c>
      <c r="J3182" s="91" t="str">
        <f t="shared" si="250"/>
        <v/>
      </c>
      <c r="K3182" s="92" t="str">
        <f>IF(AND(A3182="",B3182="",D3182="",G3182=""),"",IF(AND(A3182&lt;&gt;"",COUNTIF($A$2:$A$5001,A3182)&gt;1),"NUMERO_PC duplicado",IF(B3182="","DATA_PC vazia",IF(NOT(ISNUMBER(B3182)),"DATA_PC invalida",IF(OR(C3182="",C3182="Fora dos ciclos"),"CICLO_PC nao identificado",IF(OR(D3182="",D3182=0),"VALOR_PC vazio ou zero",IF(AND(G3182&lt;&gt;"Sim",G3182&lt;&gt;"Nao",G3182&lt;&gt;""),"PC_PAGO_A_CONTRATADA invalido",IF(AND(C3182&lt;&gt;"C0",IFERROR(INDEX(parametros!$A$2:$A$6,MATCH(C3182,parametros!$B$2:$B$6,0)),"")="Sim",IFERROR(INDEX(parametros!$H$2:$H$6,MATCH(C3182,parametros!$B$2:$B$6,0)),"")=""),"INICIO_EFEITO ausente: PC "&amp;A3182&amp;" - "&amp;C3182,IF(L3182="","EFEITO_PC nao calculado: PC "&amp;A3182&amp;" - "&amp;C3182,"OK")))))))))</f>
        <v/>
      </c>
      <c r="L3182" s="92" t="str">
        <f>IF(AND(A3182="",B3182="",D3182="",G3182=""),"",IF(OR(B3182="",NOT(ISNUMBER(B3182)),C3182="",C3182="Fora dos ciclos"),"",IF(C3182="C0","Nao",IF(IFERROR(INDEX(parametros!$A$2:$A$6,MATCH(C3182,parametros!$B$2:$B$6,0)),"")&lt;&gt;"Sim","Nao",IF(IFERROR(INDEX(parametros!$H$2:$H$6,MATCH(C3182,parametros!$B$2:$B$6,0)),"")="","",IF(B3182&gt;=IFERROR(INDEX(parametros!$H$2:$H$6,MATCH(C3182,parametros!$B$2:$B$6,0)),""),"Sim","Nao"))))))</f>
        <v/>
      </c>
      <c r="T3182" s="156"/>
      <c r="U3182" s="214" t="str">
        <f t="shared" si="251"/>
        <v/>
      </c>
      <c r="V3182" s="212" t="s">
        <v>50</v>
      </c>
      <c r="W3182" s="100" t="s">
        <v>168</v>
      </c>
      <c r="X3182" s="100" t="s">
        <v>169</v>
      </c>
      <c r="Y3182" s="101" t="s">
        <v>170</v>
      </c>
      <c r="Z3182" s="101" t="s">
        <v>171</v>
      </c>
      <c r="AA3182" s="101" t="s">
        <v>50</v>
      </c>
      <c r="AB3182" s="101" t="s">
        <v>172</v>
      </c>
      <c r="AC3182" s="102" t="s">
        <v>173</v>
      </c>
    </row>
    <row r="3183" spans="1:29" ht="25.5" customHeight="1" x14ac:dyDescent="0.35">
      <c r="A3183" s="392"/>
      <c r="B3183" s="393"/>
      <c r="C3183" s="99" t="str">
        <f>IF(B3183="","",IF(NOT(ISNUMBER(B3183)),"DATA_PC invalida",IF(NOT(ISNUMBER(parametros!$C$2)),"Fora dos ciclos",IF(OR(B3183&lt;parametros!$C$2,(YEAR(B3183)-YEAR(parametros!$C$2))*12+MONTH(B3183)-MONTH(parametros!$C$2)&gt;59),"Fora dos ciclos","C"&amp;INT(((YEAR(B3183)-YEAR(parametros!$C$2))*12+MONTH(B3183)-MONTH(parametros!$C$2))/12)))))</f>
        <v/>
      </c>
      <c r="D3183" s="394"/>
      <c r="E3183" s="78" t="str">
        <f>IF(C3183="","",IFERROR(VLOOKUP(C3183,parametros!$A$11:$E$15,5,0),""))</f>
        <v/>
      </c>
      <c r="F3183" s="79" t="str">
        <f t="shared" si="247"/>
        <v/>
      </c>
      <c r="G3183" s="395"/>
      <c r="H3183" s="91">
        <f t="shared" si="248"/>
        <v>0</v>
      </c>
      <c r="I3183" s="91" t="str">
        <f t="shared" si="249"/>
        <v/>
      </c>
      <c r="J3183" s="91" t="str">
        <f t="shared" si="250"/>
        <v/>
      </c>
      <c r="K3183" s="92" t="str">
        <f>IF(AND(A3183="",B3183="",D3183="",G3183=""),"",IF(AND(A3183&lt;&gt;"",COUNTIF($A$2:$A$5001,A3183)&gt;1),"NUMERO_PC duplicado",IF(B3183="","DATA_PC vazia",IF(NOT(ISNUMBER(B3183)),"DATA_PC invalida",IF(OR(C3183="",C3183="Fora dos ciclos"),"CICLO_PC nao identificado",IF(OR(D3183="",D3183=0),"VALOR_PC vazio ou zero",IF(AND(G3183&lt;&gt;"Sim",G3183&lt;&gt;"Nao",G3183&lt;&gt;""),"PC_PAGO_A_CONTRATADA invalido",IF(AND(C3183&lt;&gt;"C0",IFERROR(INDEX(parametros!$A$2:$A$6,MATCH(C3183,parametros!$B$2:$B$6,0)),"")="Sim",IFERROR(INDEX(parametros!$H$2:$H$6,MATCH(C3183,parametros!$B$2:$B$6,0)),"")=""),"INICIO_EFEITO ausente: PC "&amp;A3183&amp;" - "&amp;C3183,IF(L3183="","EFEITO_PC nao calculado: PC "&amp;A3183&amp;" - "&amp;C3183,"OK")))))))))</f>
        <v/>
      </c>
      <c r="L3183" s="92" t="str">
        <f>IF(AND(A3183="",B3183="",D3183="",G3183=""),"",IF(OR(B3183="",NOT(ISNUMBER(B3183)),C3183="",C3183="Fora dos ciclos"),"",IF(C3183="C0","Nao",IF(IFERROR(INDEX(parametros!$A$2:$A$6,MATCH(C3183,parametros!$B$2:$B$6,0)),"")&lt;&gt;"Sim","Nao",IF(IFERROR(INDEX(parametros!$H$2:$H$6,MATCH(C3183,parametros!$B$2:$B$6,0)),"")="","",IF(B3183&gt;=IFERROR(INDEX(parametros!$H$2:$H$6,MATCH(C3183,parametros!$B$2:$B$6,0)),""),"Sim","Nao"))))))</f>
        <v/>
      </c>
      <c r="T3183" s="156"/>
      <c r="U3183" s="214" t="str">
        <f t="shared" si="251"/>
        <v/>
      </c>
      <c r="V3183" s="212" t="s">
        <v>50</v>
      </c>
      <c r="W3183" s="100" t="s">
        <v>168</v>
      </c>
      <c r="X3183" s="100" t="s">
        <v>169</v>
      </c>
      <c r="Y3183" s="101" t="s">
        <v>170</v>
      </c>
      <c r="Z3183" s="101" t="s">
        <v>171</v>
      </c>
      <c r="AA3183" s="101" t="s">
        <v>50</v>
      </c>
      <c r="AB3183" s="101" t="s">
        <v>172</v>
      </c>
      <c r="AC3183" s="102" t="s">
        <v>173</v>
      </c>
    </row>
    <row r="3184" spans="1:29" ht="25.5" customHeight="1" x14ac:dyDescent="0.35">
      <c r="A3184" s="392"/>
      <c r="B3184" s="393"/>
      <c r="C3184" s="99" t="str">
        <f>IF(B3184="","",IF(NOT(ISNUMBER(B3184)),"DATA_PC invalida",IF(NOT(ISNUMBER(parametros!$C$2)),"Fora dos ciclos",IF(OR(B3184&lt;parametros!$C$2,(YEAR(B3184)-YEAR(parametros!$C$2))*12+MONTH(B3184)-MONTH(parametros!$C$2)&gt;59),"Fora dos ciclos","C"&amp;INT(((YEAR(B3184)-YEAR(parametros!$C$2))*12+MONTH(B3184)-MONTH(parametros!$C$2))/12)))))</f>
        <v/>
      </c>
      <c r="D3184" s="394"/>
      <c r="E3184" s="78" t="str">
        <f>IF(C3184="","",IFERROR(VLOOKUP(C3184,parametros!$A$11:$E$15,5,0),""))</f>
        <v/>
      </c>
      <c r="F3184" s="79" t="str">
        <f t="shared" si="247"/>
        <v/>
      </c>
      <c r="G3184" s="395"/>
      <c r="H3184" s="91">
        <f t="shared" si="248"/>
        <v>0</v>
      </c>
      <c r="I3184" s="91" t="str">
        <f t="shared" si="249"/>
        <v/>
      </c>
      <c r="J3184" s="91" t="str">
        <f t="shared" si="250"/>
        <v/>
      </c>
      <c r="K3184" s="92" t="str">
        <f>IF(AND(A3184="",B3184="",D3184="",G3184=""),"",IF(AND(A3184&lt;&gt;"",COUNTIF($A$2:$A$5001,A3184)&gt;1),"NUMERO_PC duplicado",IF(B3184="","DATA_PC vazia",IF(NOT(ISNUMBER(B3184)),"DATA_PC invalida",IF(OR(C3184="",C3184="Fora dos ciclos"),"CICLO_PC nao identificado",IF(OR(D3184="",D3184=0),"VALOR_PC vazio ou zero",IF(AND(G3184&lt;&gt;"Sim",G3184&lt;&gt;"Nao",G3184&lt;&gt;""),"PC_PAGO_A_CONTRATADA invalido",IF(AND(C3184&lt;&gt;"C0",IFERROR(INDEX(parametros!$A$2:$A$6,MATCH(C3184,parametros!$B$2:$B$6,0)),"")="Sim",IFERROR(INDEX(parametros!$H$2:$H$6,MATCH(C3184,parametros!$B$2:$B$6,0)),"")=""),"INICIO_EFEITO ausente: PC "&amp;A3184&amp;" - "&amp;C3184,IF(L3184="","EFEITO_PC nao calculado: PC "&amp;A3184&amp;" - "&amp;C3184,"OK")))))))))</f>
        <v/>
      </c>
      <c r="L3184" s="92" t="str">
        <f>IF(AND(A3184="",B3184="",D3184="",G3184=""),"",IF(OR(B3184="",NOT(ISNUMBER(B3184)),C3184="",C3184="Fora dos ciclos"),"",IF(C3184="C0","Nao",IF(IFERROR(INDEX(parametros!$A$2:$A$6,MATCH(C3184,parametros!$B$2:$B$6,0)),"")&lt;&gt;"Sim","Nao",IF(IFERROR(INDEX(parametros!$H$2:$H$6,MATCH(C3184,parametros!$B$2:$B$6,0)),"")="","",IF(B3184&gt;=IFERROR(INDEX(parametros!$H$2:$H$6,MATCH(C3184,parametros!$B$2:$B$6,0)),""),"Sim","Nao"))))))</f>
        <v/>
      </c>
      <c r="T3184" s="156"/>
      <c r="U3184" s="214" t="str">
        <f t="shared" si="251"/>
        <v/>
      </c>
      <c r="V3184" s="212" t="s">
        <v>50</v>
      </c>
      <c r="W3184" s="100" t="s">
        <v>168</v>
      </c>
      <c r="X3184" s="100" t="s">
        <v>169</v>
      </c>
      <c r="Y3184" s="101" t="s">
        <v>170</v>
      </c>
      <c r="Z3184" s="101" t="s">
        <v>171</v>
      </c>
      <c r="AA3184" s="101" t="s">
        <v>50</v>
      </c>
      <c r="AB3184" s="101" t="s">
        <v>172</v>
      </c>
      <c r="AC3184" s="102" t="s">
        <v>173</v>
      </c>
    </row>
    <row r="3185" spans="1:29" ht="25.5" customHeight="1" x14ac:dyDescent="0.35">
      <c r="A3185" s="392"/>
      <c r="B3185" s="393"/>
      <c r="C3185" s="99" t="str">
        <f>IF(B3185="","",IF(NOT(ISNUMBER(B3185)),"DATA_PC invalida",IF(NOT(ISNUMBER(parametros!$C$2)),"Fora dos ciclos",IF(OR(B3185&lt;parametros!$C$2,(YEAR(B3185)-YEAR(parametros!$C$2))*12+MONTH(B3185)-MONTH(parametros!$C$2)&gt;59),"Fora dos ciclos","C"&amp;INT(((YEAR(B3185)-YEAR(parametros!$C$2))*12+MONTH(B3185)-MONTH(parametros!$C$2))/12)))))</f>
        <v/>
      </c>
      <c r="D3185" s="394"/>
      <c r="E3185" s="78" t="str">
        <f>IF(C3185="","",IFERROR(VLOOKUP(C3185,parametros!$A$11:$E$15,5,0),""))</f>
        <v/>
      </c>
      <c r="F3185" s="79" t="str">
        <f t="shared" si="247"/>
        <v/>
      </c>
      <c r="G3185" s="395"/>
      <c r="H3185" s="91">
        <f t="shared" si="248"/>
        <v>0</v>
      </c>
      <c r="I3185" s="91" t="str">
        <f t="shared" si="249"/>
        <v/>
      </c>
      <c r="J3185" s="91" t="str">
        <f t="shared" si="250"/>
        <v/>
      </c>
      <c r="K3185" s="92" t="str">
        <f>IF(AND(A3185="",B3185="",D3185="",G3185=""),"",IF(AND(A3185&lt;&gt;"",COUNTIF($A$2:$A$5001,A3185)&gt;1),"NUMERO_PC duplicado",IF(B3185="","DATA_PC vazia",IF(NOT(ISNUMBER(B3185)),"DATA_PC invalida",IF(OR(C3185="",C3185="Fora dos ciclos"),"CICLO_PC nao identificado",IF(OR(D3185="",D3185=0),"VALOR_PC vazio ou zero",IF(AND(G3185&lt;&gt;"Sim",G3185&lt;&gt;"Nao",G3185&lt;&gt;""),"PC_PAGO_A_CONTRATADA invalido",IF(AND(C3185&lt;&gt;"C0",IFERROR(INDEX(parametros!$A$2:$A$6,MATCH(C3185,parametros!$B$2:$B$6,0)),"")="Sim",IFERROR(INDEX(parametros!$H$2:$H$6,MATCH(C3185,parametros!$B$2:$B$6,0)),"")=""),"INICIO_EFEITO ausente: PC "&amp;A3185&amp;" - "&amp;C3185,IF(L3185="","EFEITO_PC nao calculado: PC "&amp;A3185&amp;" - "&amp;C3185,"OK")))))))))</f>
        <v/>
      </c>
      <c r="L3185" s="92" t="str">
        <f>IF(AND(A3185="",B3185="",D3185="",G3185=""),"",IF(OR(B3185="",NOT(ISNUMBER(B3185)),C3185="",C3185="Fora dos ciclos"),"",IF(C3185="C0","Nao",IF(IFERROR(INDEX(parametros!$A$2:$A$6,MATCH(C3185,parametros!$B$2:$B$6,0)),"")&lt;&gt;"Sim","Nao",IF(IFERROR(INDEX(parametros!$H$2:$H$6,MATCH(C3185,parametros!$B$2:$B$6,0)),"")="","",IF(B3185&gt;=IFERROR(INDEX(parametros!$H$2:$H$6,MATCH(C3185,parametros!$B$2:$B$6,0)),""),"Sim","Nao"))))))</f>
        <v/>
      </c>
      <c r="T3185" s="156"/>
      <c r="U3185" s="214" t="str">
        <f t="shared" si="251"/>
        <v/>
      </c>
      <c r="V3185" s="212" t="s">
        <v>50</v>
      </c>
      <c r="W3185" s="100" t="s">
        <v>168</v>
      </c>
      <c r="X3185" s="100" t="s">
        <v>169</v>
      </c>
      <c r="Y3185" s="101" t="s">
        <v>170</v>
      </c>
      <c r="Z3185" s="101" t="s">
        <v>171</v>
      </c>
      <c r="AA3185" s="101" t="s">
        <v>50</v>
      </c>
      <c r="AB3185" s="101" t="s">
        <v>172</v>
      </c>
      <c r="AC3185" s="102" t="s">
        <v>173</v>
      </c>
    </row>
    <row r="3186" spans="1:29" ht="25.5" customHeight="1" x14ac:dyDescent="0.35">
      <c r="A3186" s="392"/>
      <c r="B3186" s="393"/>
      <c r="C3186" s="99" t="str">
        <f>IF(B3186="","",IF(NOT(ISNUMBER(B3186)),"DATA_PC invalida",IF(NOT(ISNUMBER(parametros!$C$2)),"Fora dos ciclos",IF(OR(B3186&lt;parametros!$C$2,(YEAR(B3186)-YEAR(parametros!$C$2))*12+MONTH(B3186)-MONTH(parametros!$C$2)&gt;59),"Fora dos ciclos","C"&amp;INT(((YEAR(B3186)-YEAR(parametros!$C$2))*12+MONTH(B3186)-MONTH(parametros!$C$2))/12)))))</f>
        <v/>
      </c>
      <c r="D3186" s="394"/>
      <c r="E3186" s="78" t="str">
        <f>IF(C3186="","",IFERROR(VLOOKUP(C3186,parametros!$A$11:$E$15,5,0),""))</f>
        <v/>
      </c>
      <c r="F3186" s="79" t="str">
        <f t="shared" si="247"/>
        <v/>
      </c>
      <c r="G3186" s="395"/>
      <c r="H3186" s="91">
        <f t="shared" si="248"/>
        <v>0</v>
      </c>
      <c r="I3186" s="91" t="str">
        <f t="shared" si="249"/>
        <v/>
      </c>
      <c r="J3186" s="91" t="str">
        <f t="shared" si="250"/>
        <v/>
      </c>
      <c r="K3186" s="92" t="str">
        <f>IF(AND(A3186="",B3186="",D3186="",G3186=""),"",IF(AND(A3186&lt;&gt;"",COUNTIF($A$2:$A$5001,A3186)&gt;1),"NUMERO_PC duplicado",IF(B3186="","DATA_PC vazia",IF(NOT(ISNUMBER(B3186)),"DATA_PC invalida",IF(OR(C3186="",C3186="Fora dos ciclos"),"CICLO_PC nao identificado",IF(OR(D3186="",D3186=0),"VALOR_PC vazio ou zero",IF(AND(G3186&lt;&gt;"Sim",G3186&lt;&gt;"Nao",G3186&lt;&gt;""),"PC_PAGO_A_CONTRATADA invalido",IF(AND(C3186&lt;&gt;"C0",IFERROR(INDEX(parametros!$A$2:$A$6,MATCH(C3186,parametros!$B$2:$B$6,0)),"")="Sim",IFERROR(INDEX(parametros!$H$2:$H$6,MATCH(C3186,parametros!$B$2:$B$6,0)),"")=""),"INICIO_EFEITO ausente: PC "&amp;A3186&amp;" - "&amp;C3186,IF(L3186="","EFEITO_PC nao calculado: PC "&amp;A3186&amp;" - "&amp;C3186,"OK")))))))))</f>
        <v/>
      </c>
      <c r="L3186" s="92" t="str">
        <f>IF(AND(A3186="",B3186="",D3186="",G3186=""),"",IF(OR(B3186="",NOT(ISNUMBER(B3186)),C3186="",C3186="Fora dos ciclos"),"",IF(C3186="C0","Nao",IF(IFERROR(INDEX(parametros!$A$2:$A$6,MATCH(C3186,parametros!$B$2:$B$6,0)),"")&lt;&gt;"Sim","Nao",IF(IFERROR(INDEX(parametros!$H$2:$H$6,MATCH(C3186,parametros!$B$2:$B$6,0)),"")="","",IF(B3186&gt;=IFERROR(INDEX(parametros!$H$2:$H$6,MATCH(C3186,parametros!$B$2:$B$6,0)),""),"Sim","Nao"))))))</f>
        <v/>
      </c>
      <c r="T3186" s="156"/>
      <c r="U3186" s="214" t="str">
        <f t="shared" si="251"/>
        <v/>
      </c>
      <c r="V3186" s="212" t="s">
        <v>50</v>
      </c>
      <c r="W3186" s="100" t="s">
        <v>168</v>
      </c>
      <c r="X3186" s="100" t="s">
        <v>169</v>
      </c>
      <c r="Y3186" s="101" t="s">
        <v>170</v>
      </c>
      <c r="Z3186" s="101" t="s">
        <v>171</v>
      </c>
      <c r="AA3186" s="101" t="s">
        <v>50</v>
      </c>
      <c r="AB3186" s="101" t="s">
        <v>172</v>
      </c>
      <c r="AC3186" s="102" t="s">
        <v>173</v>
      </c>
    </row>
    <row r="3187" spans="1:29" ht="25.5" customHeight="1" x14ac:dyDescent="0.35">
      <c r="A3187" s="392"/>
      <c r="B3187" s="393"/>
      <c r="C3187" s="99" t="str">
        <f>IF(B3187="","",IF(NOT(ISNUMBER(B3187)),"DATA_PC invalida",IF(NOT(ISNUMBER(parametros!$C$2)),"Fora dos ciclos",IF(OR(B3187&lt;parametros!$C$2,(YEAR(B3187)-YEAR(parametros!$C$2))*12+MONTH(B3187)-MONTH(parametros!$C$2)&gt;59),"Fora dos ciclos","C"&amp;INT(((YEAR(B3187)-YEAR(parametros!$C$2))*12+MONTH(B3187)-MONTH(parametros!$C$2))/12)))))</f>
        <v/>
      </c>
      <c r="D3187" s="394"/>
      <c r="E3187" s="78" t="str">
        <f>IF(C3187="","",IFERROR(VLOOKUP(C3187,parametros!$A$11:$E$15,5,0),""))</f>
        <v/>
      </c>
      <c r="F3187" s="79" t="str">
        <f t="shared" si="247"/>
        <v/>
      </c>
      <c r="G3187" s="395"/>
      <c r="H3187" s="91">
        <f t="shared" si="248"/>
        <v>0</v>
      </c>
      <c r="I3187" s="91" t="str">
        <f t="shared" si="249"/>
        <v/>
      </c>
      <c r="J3187" s="91" t="str">
        <f t="shared" si="250"/>
        <v/>
      </c>
      <c r="K3187" s="92" t="str">
        <f>IF(AND(A3187="",B3187="",D3187="",G3187=""),"",IF(AND(A3187&lt;&gt;"",COUNTIF($A$2:$A$5001,A3187)&gt;1),"NUMERO_PC duplicado",IF(B3187="","DATA_PC vazia",IF(NOT(ISNUMBER(B3187)),"DATA_PC invalida",IF(OR(C3187="",C3187="Fora dos ciclos"),"CICLO_PC nao identificado",IF(OR(D3187="",D3187=0),"VALOR_PC vazio ou zero",IF(AND(G3187&lt;&gt;"Sim",G3187&lt;&gt;"Nao",G3187&lt;&gt;""),"PC_PAGO_A_CONTRATADA invalido",IF(AND(C3187&lt;&gt;"C0",IFERROR(INDEX(parametros!$A$2:$A$6,MATCH(C3187,parametros!$B$2:$B$6,0)),"")="Sim",IFERROR(INDEX(parametros!$H$2:$H$6,MATCH(C3187,parametros!$B$2:$B$6,0)),"")=""),"INICIO_EFEITO ausente: PC "&amp;A3187&amp;" - "&amp;C3187,IF(L3187="","EFEITO_PC nao calculado: PC "&amp;A3187&amp;" - "&amp;C3187,"OK")))))))))</f>
        <v/>
      </c>
      <c r="L3187" s="92" t="str">
        <f>IF(AND(A3187="",B3187="",D3187="",G3187=""),"",IF(OR(B3187="",NOT(ISNUMBER(B3187)),C3187="",C3187="Fora dos ciclos"),"",IF(C3187="C0","Nao",IF(IFERROR(INDEX(parametros!$A$2:$A$6,MATCH(C3187,parametros!$B$2:$B$6,0)),"")&lt;&gt;"Sim","Nao",IF(IFERROR(INDEX(parametros!$H$2:$H$6,MATCH(C3187,parametros!$B$2:$B$6,0)),"")="","",IF(B3187&gt;=IFERROR(INDEX(parametros!$H$2:$H$6,MATCH(C3187,parametros!$B$2:$B$6,0)),""),"Sim","Nao"))))))</f>
        <v/>
      </c>
      <c r="T3187" s="156"/>
      <c r="U3187" s="214" t="str">
        <f t="shared" si="251"/>
        <v/>
      </c>
      <c r="V3187" s="212" t="s">
        <v>50</v>
      </c>
      <c r="W3187" s="100" t="s">
        <v>168</v>
      </c>
      <c r="X3187" s="100" t="s">
        <v>169</v>
      </c>
      <c r="Y3187" s="101" t="s">
        <v>170</v>
      </c>
      <c r="Z3187" s="101" t="s">
        <v>171</v>
      </c>
      <c r="AA3187" s="101" t="s">
        <v>50</v>
      </c>
      <c r="AB3187" s="101" t="s">
        <v>172</v>
      </c>
      <c r="AC3187" s="102" t="s">
        <v>173</v>
      </c>
    </row>
    <row r="3188" spans="1:29" ht="25.5" customHeight="1" x14ac:dyDescent="0.35">
      <c r="A3188" s="392"/>
      <c r="B3188" s="393"/>
      <c r="C3188" s="99" t="str">
        <f>IF(B3188="","",IF(NOT(ISNUMBER(B3188)),"DATA_PC invalida",IF(NOT(ISNUMBER(parametros!$C$2)),"Fora dos ciclos",IF(OR(B3188&lt;parametros!$C$2,(YEAR(B3188)-YEAR(parametros!$C$2))*12+MONTH(B3188)-MONTH(parametros!$C$2)&gt;59),"Fora dos ciclos","C"&amp;INT(((YEAR(B3188)-YEAR(parametros!$C$2))*12+MONTH(B3188)-MONTH(parametros!$C$2))/12)))))</f>
        <v/>
      </c>
      <c r="D3188" s="394"/>
      <c r="E3188" s="78" t="str">
        <f>IF(C3188="","",IFERROR(VLOOKUP(C3188,parametros!$A$11:$E$15,5,0),""))</f>
        <v/>
      </c>
      <c r="F3188" s="79" t="str">
        <f t="shared" si="247"/>
        <v/>
      </c>
      <c r="G3188" s="395"/>
      <c r="H3188" s="91">
        <f t="shared" si="248"/>
        <v>0</v>
      </c>
      <c r="I3188" s="91" t="str">
        <f t="shared" si="249"/>
        <v/>
      </c>
      <c r="J3188" s="91" t="str">
        <f t="shared" si="250"/>
        <v/>
      </c>
      <c r="K3188" s="92" t="str">
        <f>IF(AND(A3188="",B3188="",D3188="",G3188=""),"",IF(AND(A3188&lt;&gt;"",COUNTIF($A$2:$A$5001,A3188)&gt;1),"NUMERO_PC duplicado",IF(B3188="","DATA_PC vazia",IF(NOT(ISNUMBER(B3188)),"DATA_PC invalida",IF(OR(C3188="",C3188="Fora dos ciclos"),"CICLO_PC nao identificado",IF(OR(D3188="",D3188=0),"VALOR_PC vazio ou zero",IF(AND(G3188&lt;&gt;"Sim",G3188&lt;&gt;"Nao",G3188&lt;&gt;""),"PC_PAGO_A_CONTRATADA invalido",IF(AND(C3188&lt;&gt;"C0",IFERROR(INDEX(parametros!$A$2:$A$6,MATCH(C3188,parametros!$B$2:$B$6,0)),"")="Sim",IFERROR(INDEX(parametros!$H$2:$H$6,MATCH(C3188,parametros!$B$2:$B$6,0)),"")=""),"INICIO_EFEITO ausente: PC "&amp;A3188&amp;" - "&amp;C3188,IF(L3188="","EFEITO_PC nao calculado: PC "&amp;A3188&amp;" - "&amp;C3188,"OK")))))))))</f>
        <v/>
      </c>
      <c r="L3188" s="92" t="str">
        <f>IF(AND(A3188="",B3188="",D3188="",G3188=""),"",IF(OR(B3188="",NOT(ISNUMBER(B3188)),C3188="",C3188="Fora dos ciclos"),"",IF(C3188="C0","Nao",IF(IFERROR(INDEX(parametros!$A$2:$A$6,MATCH(C3188,parametros!$B$2:$B$6,0)),"")&lt;&gt;"Sim","Nao",IF(IFERROR(INDEX(parametros!$H$2:$H$6,MATCH(C3188,parametros!$B$2:$B$6,0)),"")="","",IF(B3188&gt;=IFERROR(INDEX(parametros!$H$2:$H$6,MATCH(C3188,parametros!$B$2:$B$6,0)),""),"Sim","Nao"))))))</f>
        <v/>
      </c>
      <c r="T3188" s="156"/>
      <c r="U3188" s="214" t="str">
        <f t="shared" si="251"/>
        <v/>
      </c>
      <c r="V3188" s="212" t="s">
        <v>50</v>
      </c>
      <c r="W3188" s="100" t="s">
        <v>168</v>
      </c>
      <c r="X3188" s="100" t="s">
        <v>169</v>
      </c>
      <c r="Y3188" s="101" t="s">
        <v>170</v>
      </c>
      <c r="Z3188" s="101" t="s">
        <v>171</v>
      </c>
      <c r="AA3188" s="101" t="s">
        <v>50</v>
      </c>
      <c r="AB3188" s="101" t="s">
        <v>172</v>
      </c>
      <c r="AC3188" s="102" t="s">
        <v>173</v>
      </c>
    </row>
    <row r="3189" spans="1:29" ht="25.5" customHeight="1" x14ac:dyDescent="0.35">
      <c r="A3189" s="392"/>
      <c r="B3189" s="393"/>
      <c r="C3189" s="99" t="str">
        <f>IF(B3189="","",IF(NOT(ISNUMBER(B3189)),"DATA_PC invalida",IF(NOT(ISNUMBER(parametros!$C$2)),"Fora dos ciclos",IF(OR(B3189&lt;parametros!$C$2,(YEAR(B3189)-YEAR(parametros!$C$2))*12+MONTH(B3189)-MONTH(parametros!$C$2)&gt;59),"Fora dos ciclos","C"&amp;INT(((YEAR(B3189)-YEAR(parametros!$C$2))*12+MONTH(B3189)-MONTH(parametros!$C$2))/12)))))</f>
        <v/>
      </c>
      <c r="D3189" s="394"/>
      <c r="E3189" s="78" t="str">
        <f>IF(C3189="","",IFERROR(VLOOKUP(C3189,parametros!$A$11:$E$15,5,0),""))</f>
        <v/>
      </c>
      <c r="F3189" s="79" t="str">
        <f t="shared" si="247"/>
        <v/>
      </c>
      <c r="G3189" s="395"/>
      <c r="H3189" s="91">
        <f t="shared" si="248"/>
        <v>0</v>
      </c>
      <c r="I3189" s="91" t="str">
        <f t="shared" si="249"/>
        <v/>
      </c>
      <c r="J3189" s="91" t="str">
        <f t="shared" si="250"/>
        <v/>
      </c>
      <c r="K3189" s="92" t="str">
        <f>IF(AND(A3189="",B3189="",D3189="",G3189=""),"",IF(AND(A3189&lt;&gt;"",COUNTIF($A$2:$A$5001,A3189)&gt;1),"NUMERO_PC duplicado",IF(B3189="","DATA_PC vazia",IF(NOT(ISNUMBER(B3189)),"DATA_PC invalida",IF(OR(C3189="",C3189="Fora dos ciclos"),"CICLO_PC nao identificado",IF(OR(D3189="",D3189=0),"VALOR_PC vazio ou zero",IF(AND(G3189&lt;&gt;"Sim",G3189&lt;&gt;"Nao",G3189&lt;&gt;""),"PC_PAGO_A_CONTRATADA invalido",IF(AND(C3189&lt;&gt;"C0",IFERROR(INDEX(parametros!$A$2:$A$6,MATCH(C3189,parametros!$B$2:$B$6,0)),"")="Sim",IFERROR(INDEX(parametros!$H$2:$H$6,MATCH(C3189,parametros!$B$2:$B$6,0)),"")=""),"INICIO_EFEITO ausente: PC "&amp;A3189&amp;" - "&amp;C3189,IF(L3189="","EFEITO_PC nao calculado: PC "&amp;A3189&amp;" - "&amp;C3189,"OK")))))))))</f>
        <v/>
      </c>
      <c r="L3189" s="92" t="str">
        <f>IF(AND(A3189="",B3189="",D3189="",G3189=""),"",IF(OR(B3189="",NOT(ISNUMBER(B3189)),C3189="",C3189="Fora dos ciclos"),"",IF(C3189="C0","Nao",IF(IFERROR(INDEX(parametros!$A$2:$A$6,MATCH(C3189,parametros!$B$2:$B$6,0)),"")&lt;&gt;"Sim","Nao",IF(IFERROR(INDEX(parametros!$H$2:$H$6,MATCH(C3189,parametros!$B$2:$B$6,0)),"")="","",IF(B3189&gt;=IFERROR(INDEX(parametros!$H$2:$H$6,MATCH(C3189,parametros!$B$2:$B$6,0)),""),"Sim","Nao"))))))</f>
        <v/>
      </c>
      <c r="T3189" s="156"/>
      <c r="U3189" s="214" t="str">
        <f t="shared" si="251"/>
        <v/>
      </c>
      <c r="V3189" s="212" t="s">
        <v>50</v>
      </c>
      <c r="W3189" s="100" t="s">
        <v>168</v>
      </c>
      <c r="X3189" s="100" t="s">
        <v>169</v>
      </c>
      <c r="Y3189" s="101" t="s">
        <v>170</v>
      </c>
      <c r="Z3189" s="101" t="s">
        <v>171</v>
      </c>
      <c r="AA3189" s="101" t="s">
        <v>50</v>
      </c>
      <c r="AB3189" s="101" t="s">
        <v>172</v>
      </c>
      <c r="AC3189" s="102" t="s">
        <v>173</v>
      </c>
    </row>
    <row r="3190" spans="1:29" ht="25.5" customHeight="1" x14ac:dyDescent="0.35">
      <c r="A3190" s="392"/>
      <c r="B3190" s="393"/>
      <c r="C3190" s="99" t="str">
        <f>IF(B3190="","",IF(NOT(ISNUMBER(B3190)),"DATA_PC invalida",IF(NOT(ISNUMBER(parametros!$C$2)),"Fora dos ciclos",IF(OR(B3190&lt;parametros!$C$2,(YEAR(B3190)-YEAR(parametros!$C$2))*12+MONTH(B3190)-MONTH(parametros!$C$2)&gt;59),"Fora dos ciclos","C"&amp;INT(((YEAR(B3190)-YEAR(parametros!$C$2))*12+MONTH(B3190)-MONTH(parametros!$C$2))/12)))))</f>
        <v/>
      </c>
      <c r="D3190" s="394"/>
      <c r="E3190" s="78" t="str">
        <f>IF(C3190="","",IFERROR(VLOOKUP(C3190,parametros!$A$11:$E$15,5,0),""))</f>
        <v/>
      </c>
      <c r="F3190" s="79" t="str">
        <f t="shared" si="247"/>
        <v/>
      </c>
      <c r="G3190" s="395"/>
      <c r="H3190" s="91">
        <f t="shared" si="248"/>
        <v>0</v>
      </c>
      <c r="I3190" s="91" t="str">
        <f t="shared" si="249"/>
        <v/>
      </c>
      <c r="J3190" s="91" t="str">
        <f t="shared" si="250"/>
        <v/>
      </c>
      <c r="K3190" s="92" t="str">
        <f>IF(AND(A3190="",B3190="",D3190="",G3190=""),"",IF(AND(A3190&lt;&gt;"",COUNTIF($A$2:$A$5001,A3190)&gt;1),"NUMERO_PC duplicado",IF(B3190="","DATA_PC vazia",IF(NOT(ISNUMBER(B3190)),"DATA_PC invalida",IF(OR(C3190="",C3190="Fora dos ciclos"),"CICLO_PC nao identificado",IF(OR(D3190="",D3190=0),"VALOR_PC vazio ou zero",IF(AND(G3190&lt;&gt;"Sim",G3190&lt;&gt;"Nao",G3190&lt;&gt;""),"PC_PAGO_A_CONTRATADA invalido",IF(AND(C3190&lt;&gt;"C0",IFERROR(INDEX(parametros!$A$2:$A$6,MATCH(C3190,parametros!$B$2:$B$6,0)),"")="Sim",IFERROR(INDEX(parametros!$H$2:$H$6,MATCH(C3190,parametros!$B$2:$B$6,0)),"")=""),"INICIO_EFEITO ausente: PC "&amp;A3190&amp;" - "&amp;C3190,IF(L3190="","EFEITO_PC nao calculado: PC "&amp;A3190&amp;" - "&amp;C3190,"OK")))))))))</f>
        <v/>
      </c>
      <c r="L3190" s="92" t="str">
        <f>IF(AND(A3190="",B3190="",D3190="",G3190=""),"",IF(OR(B3190="",NOT(ISNUMBER(B3190)),C3190="",C3190="Fora dos ciclos"),"",IF(C3190="C0","Nao",IF(IFERROR(INDEX(parametros!$A$2:$A$6,MATCH(C3190,parametros!$B$2:$B$6,0)),"")&lt;&gt;"Sim","Nao",IF(IFERROR(INDEX(parametros!$H$2:$H$6,MATCH(C3190,parametros!$B$2:$B$6,0)),"")="","",IF(B3190&gt;=IFERROR(INDEX(parametros!$H$2:$H$6,MATCH(C3190,parametros!$B$2:$B$6,0)),""),"Sim","Nao"))))))</f>
        <v/>
      </c>
      <c r="T3190" s="156"/>
      <c r="U3190" s="214" t="str">
        <f t="shared" si="251"/>
        <v/>
      </c>
      <c r="V3190" s="212" t="s">
        <v>50</v>
      </c>
      <c r="W3190" s="100" t="s">
        <v>168</v>
      </c>
      <c r="X3190" s="100" t="s">
        <v>169</v>
      </c>
      <c r="Y3190" s="101" t="s">
        <v>170</v>
      </c>
      <c r="Z3190" s="101" t="s">
        <v>171</v>
      </c>
      <c r="AA3190" s="101" t="s">
        <v>50</v>
      </c>
      <c r="AB3190" s="101" t="s">
        <v>172</v>
      </c>
      <c r="AC3190" s="102" t="s">
        <v>173</v>
      </c>
    </row>
    <row r="3191" spans="1:29" ht="25.5" customHeight="1" x14ac:dyDescent="0.35">
      <c r="A3191" s="392"/>
      <c r="B3191" s="393"/>
      <c r="C3191" s="99" t="str">
        <f>IF(B3191="","",IF(NOT(ISNUMBER(B3191)),"DATA_PC invalida",IF(NOT(ISNUMBER(parametros!$C$2)),"Fora dos ciclos",IF(OR(B3191&lt;parametros!$C$2,(YEAR(B3191)-YEAR(parametros!$C$2))*12+MONTH(B3191)-MONTH(parametros!$C$2)&gt;59),"Fora dos ciclos","C"&amp;INT(((YEAR(B3191)-YEAR(parametros!$C$2))*12+MONTH(B3191)-MONTH(parametros!$C$2))/12)))))</f>
        <v/>
      </c>
      <c r="D3191" s="394"/>
      <c r="E3191" s="78" t="str">
        <f>IF(C3191="","",IFERROR(VLOOKUP(C3191,parametros!$A$11:$E$15,5,0),""))</f>
        <v/>
      </c>
      <c r="F3191" s="79" t="str">
        <f t="shared" si="247"/>
        <v/>
      </c>
      <c r="G3191" s="395"/>
      <c r="H3191" s="91">
        <f t="shared" si="248"/>
        <v>0</v>
      </c>
      <c r="I3191" s="91" t="str">
        <f t="shared" si="249"/>
        <v/>
      </c>
      <c r="J3191" s="91" t="str">
        <f t="shared" si="250"/>
        <v/>
      </c>
      <c r="K3191" s="92" t="str">
        <f>IF(AND(A3191="",B3191="",D3191="",G3191=""),"",IF(AND(A3191&lt;&gt;"",COUNTIF($A$2:$A$5001,A3191)&gt;1),"NUMERO_PC duplicado",IF(B3191="","DATA_PC vazia",IF(NOT(ISNUMBER(B3191)),"DATA_PC invalida",IF(OR(C3191="",C3191="Fora dos ciclos"),"CICLO_PC nao identificado",IF(OR(D3191="",D3191=0),"VALOR_PC vazio ou zero",IF(AND(G3191&lt;&gt;"Sim",G3191&lt;&gt;"Nao",G3191&lt;&gt;""),"PC_PAGO_A_CONTRATADA invalido",IF(AND(C3191&lt;&gt;"C0",IFERROR(INDEX(parametros!$A$2:$A$6,MATCH(C3191,parametros!$B$2:$B$6,0)),"")="Sim",IFERROR(INDEX(parametros!$H$2:$H$6,MATCH(C3191,parametros!$B$2:$B$6,0)),"")=""),"INICIO_EFEITO ausente: PC "&amp;A3191&amp;" - "&amp;C3191,IF(L3191="","EFEITO_PC nao calculado: PC "&amp;A3191&amp;" - "&amp;C3191,"OK")))))))))</f>
        <v/>
      </c>
      <c r="L3191" s="92" t="str">
        <f>IF(AND(A3191="",B3191="",D3191="",G3191=""),"",IF(OR(B3191="",NOT(ISNUMBER(B3191)),C3191="",C3191="Fora dos ciclos"),"",IF(C3191="C0","Nao",IF(IFERROR(INDEX(parametros!$A$2:$A$6,MATCH(C3191,parametros!$B$2:$B$6,0)),"")&lt;&gt;"Sim","Nao",IF(IFERROR(INDEX(parametros!$H$2:$H$6,MATCH(C3191,parametros!$B$2:$B$6,0)),"")="","",IF(B3191&gt;=IFERROR(INDEX(parametros!$H$2:$H$6,MATCH(C3191,parametros!$B$2:$B$6,0)),""),"Sim","Nao"))))))</f>
        <v/>
      </c>
      <c r="T3191" s="156"/>
      <c r="U3191" s="214" t="str">
        <f t="shared" si="251"/>
        <v/>
      </c>
      <c r="V3191" s="212" t="s">
        <v>50</v>
      </c>
      <c r="W3191" s="100" t="s">
        <v>168</v>
      </c>
      <c r="X3191" s="100" t="s">
        <v>169</v>
      </c>
      <c r="Y3191" s="101" t="s">
        <v>170</v>
      </c>
      <c r="Z3191" s="101" t="s">
        <v>171</v>
      </c>
      <c r="AA3191" s="101" t="s">
        <v>50</v>
      </c>
      <c r="AB3191" s="101" t="s">
        <v>172</v>
      </c>
      <c r="AC3191" s="102" t="s">
        <v>173</v>
      </c>
    </row>
    <row r="3192" spans="1:29" ht="25.5" customHeight="1" x14ac:dyDescent="0.35">
      <c r="A3192" s="392"/>
      <c r="B3192" s="393"/>
      <c r="C3192" s="99" t="str">
        <f>IF(B3192="","",IF(NOT(ISNUMBER(B3192)),"DATA_PC invalida",IF(NOT(ISNUMBER(parametros!$C$2)),"Fora dos ciclos",IF(OR(B3192&lt;parametros!$C$2,(YEAR(B3192)-YEAR(parametros!$C$2))*12+MONTH(B3192)-MONTH(parametros!$C$2)&gt;59),"Fora dos ciclos","C"&amp;INT(((YEAR(B3192)-YEAR(parametros!$C$2))*12+MONTH(B3192)-MONTH(parametros!$C$2))/12)))))</f>
        <v/>
      </c>
      <c r="D3192" s="394"/>
      <c r="E3192" s="78" t="str">
        <f>IF(C3192="","",IFERROR(VLOOKUP(C3192,parametros!$A$11:$E$15,5,0),""))</f>
        <v/>
      </c>
      <c r="F3192" s="79" t="str">
        <f t="shared" si="247"/>
        <v/>
      </c>
      <c r="G3192" s="395"/>
      <c r="H3192" s="91">
        <f t="shared" si="248"/>
        <v>0</v>
      </c>
      <c r="I3192" s="91" t="str">
        <f t="shared" si="249"/>
        <v/>
      </c>
      <c r="J3192" s="91" t="str">
        <f t="shared" si="250"/>
        <v/>
      </c>
      <c r="K3192" s="92" t="str">
        <f>IF(AND(A3192="",B3192="",D3192="",G3192=""),"",IF(AND(A3192&lt;&gt;"",COUNTIF($A$2:$A$5001,A3192)&gt;1),"NUMERO_PC duplicado",IF(B3192="","DATA_PC vazia",IF(NOT(ISNUMBER(B3192)),"DATA_PC invalida",IF(OR(C3192="",C3192="Fora dos ciclos"),"CICLO_PC nao identificado",IF(OR(D3192="",D3192=0),"VALOR_PC vazio ou zero",IF(AND(G3192&lt;&gt;"Sim",G3192&lt;&gt;"Nao",G3192&lt;&gt;""),"PC_PAGO_A_CONTRATADA invalido",IF(AND(C3192&lt;&gt;"C0",IFERROR(INDEX(parametros!$A$2:$A$6,MATCH(C3192,parametros!$B$2:$B$6,0)),"")="Sim",IFERROR(INDEX(parametros!$H$2:$H$6,MATCH(C3192,parametros!$B$2:$B$6,0)),"")=""),"INICIO_EFEITO ausente: PC "&amp;A3192&amp;" - "&amp;C3192,IF(L3192="","EFEITO_PC nao calculado: PC "&amp;A3192&amp;" - "&amp;C3192,"OK")))))))))</f>
        <v/>
      </c>
      <c r="L3192" s="92" t="str">
        <f>IF(AND(A3192="",B3192="",D3192="",G3192=""),"",IF(OR(B3192="",NOT(ISNUMBER(B3192)),C3192="",C3192="Fora dos ciclos"),"",IF(C3192="C0","Nao",IF(IFERROR(INDEX(parametros!$A$2:$A$6,MATCH(C3192,parametros!$B$2:$B$6,0)),"")&lt;&gt;"Sim","Nao",IF(IFERROR(INDEX(parametros!$H$2:$H$6,MATCH(C3192,parametros!$B$2:$B$6,0)),"")="","",IF(B3192&gt;=IFERROR(INDEX(parametros!$H$2:$H$6,MATCH(C3192,parametros!$B$2:$B$6,0)),""),"Sim","Nao"))))))</f>
        <v/>
      </c>
      <c r="T3192" s="156"/>
      <c r="U3192" s="214" t="str">
        <f t="shared" si="251"/>
        <v/>
      </c>
      <c r="V3192" s="212" t="s">
        <v>50</v>
      </c>
      <c r="W3192" s="100" t="s">
        <v>168</v>
      </c>
      <c r="X3192" s="100" t="s">
        <v>169</v>
      </c>
      <c r="Y3192" s="101" t="s">
        <v>170</v>
      </c>
      <c r="Z3192" s="101" t="s">
        <v>171</v>
      </c>
      <c r="AA3192" s="101" t="s">
        <v>50</v>
      </c>
      <c r="AB3192" s="101" t="s">
        <v>172</v>
      </c>
      <c r="AC3192" s="102" t="s">
        <v>173</v>
      </c>
    </row>
    <row r="3193" spans="1:29" ht="25.5" customHeight="1" x14ac:dyDescent="0.35">
      <c r="A3193" s="392"/>
      <c r="B3193" s="393"/>
      <c r="C3193" s="99" t="str">
        <f>IF(B3193="","",IF(NOT(ISNUMBER(B3193)),"DATA_PC invalida",IF(NOT(ISNUMBER(parametros!$C$2)),"Fora dos ciclos",IF(OR(B3193&lt;parametros!$C$2,(YEAR(B3193)-YEAR(parametros!$C$2))*12+MONTH(B3193)-MONTH(parametros!$C$2)&gt;59),"Fora dos ciclos","C"&amp;INT(((YEAR(B3193)-YEAR(parametros!$C$2))*12+MONTH(B3193)-MONTH(parametros!$C$2))/12)))))</f>
        <v/>
      </c>
      <c r="D3193" s="394"/>
      <c r="E3193" s="78" t="str">
        <f>IF(C3193="","",IFERROR(VLOOKUP(C3193,parametros!$A$11:$E$15,5,0),""))</f>
        <v/>
      </c>
      <c r="F3193" s="79" t="str">
        <f t="shared" si="247"/>
        <v/>
      </c>
      <c r="G3193" s="395"/>
      <c r="H3193" s="91">
        <f t="shared" si="248"/>
        <v>0</v>
      </c>
      <c r="I3193" s="91" t="str">
        <f t="shared" si="249"/>
        <v/>
      </c>
      <c r="J3193" s="91" t="str">
        <f t="shared" si="250"/>
        <v/>
      </c>
      <c r="K3193" s="92" t="str">
        <f>IF(AND(A3193="",B3193="",D3193="",G3193=""),"",IF(AND(A3193&lt;&gt;"",COUNTIF($A$2:$A$5001,A3193)&gt;1),"NUMERO_PC duplicado",IF(B3193="","DATA_PC vazia",IF(NOT(ISNUMBER(B3193)),"DATA_PC invalida",IF(OR(C3193="",C3193="Fora dos ciclos"),"CICLO_PC nao identificado",IF(OR(D3193="",D3193=0),"VALOR_PC vazio ou zero",IF(AND(G3193&lt;&gt;"Sim",G3193&lt;&gt;"Nao",G3193&lt;&gt;""),"PC_PAGO_A_CONTRATADA invalido",IF(AND(C3193&lt;&gt;"C0",IFERROR(INDEX(parametros!$A$2:$A$6,MATCH(C3193,parametros!$B$2:$B$6,0)),"")="Sim",IFERROR(INDEX(parametros!$H$2:$H$6,MATCH(C3193,parametros!$B$2:$B$6,0)),"")=""),"INICIO_EFEITO ausente: PC "&amp;A3193&amp;" - "&amp;C3193,IF(L3193="","EFEITO_PC nao calculado: PC "&amp;A3193&amp;" - "&amp;C3193,"OK")))))))))</f>
        <v/>
      </c>
      <c r="L3193" s="92" t="str">
        <f>IF(AND(A3193="",B3193="",D3193="",G3193=""),"",IF(OR(B3193="",NOT(ISNUMBER(B3193)),C3193="",C3193="Fora dos ciclos"),"",IF(C3193="C0","Nao",IF(IFERROR(INDEX(parametros!$A$2:$A$6,MATCH(C3193,parametros!$B$2:$B$6,0)),"")&lt;&gt;"Sim","Nao",IF(IFERROR(INDEX(parametros!$H$2:$H$6,MATCH(C3193,parametros!$B$2:$B$6,0)),"")="","",IF(B3193&gt;=IFERROR(INDEX(parametros!$H$2:$H$6,MATCH(C3193,parametros!$B$2:$B$6,0)),""),"Sim","Nao"))))))</f>
        <v/>
      </c>
      <c r="T3193" s="156"/>
      <c r="U3193" s="214" t="str">
        <f t="shared" si="251"/>
        <v/>
      </c>
      <c r="V3193" s="212" t="s">
        <v>50</v>
      </c>
      <c r="W3193" s="100" t="s">
        <v>168</v>
      </c>
      <c r="X3193" s="100" t="s">
        <v>169</v>
      </c>
      <c r="Y3193" s="101" t="s">
        <v>170</v>
      </c>
      <c r="Z3193" s="101" t="s">
        <v>171</v>
      </c>
      <c r="AA3193" s="101" t="s">
        <v>50</v>
      </c>
      <c r="AB3193" s="101" t="s">
        <v>172</v>
      </c>
      <c r="AC3193" s="102" t="s">
        <v>173</v>
      </c>
    </row>
    <row r="3194" spans="1:29" ht="25.5" customHeight="1" x14ac:dyDescent="0.35">
      <c r="A3194" s="392"/>
      <c r="B3194" s="393"/>
      <c r="C3194" s="99" t="str">
        <f>IF(B3194="","",IF(NOT(ISNUMBER(B3194)),"DATA_PC invalida",IF(NOT(ISNUMBER(parametros!$C$2)),"Fora dos ciclos",IF(OR(B3194&lt;parametros!$C$2,(YEAR(B3194)-YEAR(parametros!$C$2))*12+MONTH(B3194)-MONTH(parametros!$C$2)&gt;59),"Fora dos ciclos","C"&amp;INT(((YEAR(B3194)-YEAR(parametros!$C$2))*12+MONTH(B3194)-MONTH(parametros!$C$2))/12)))))</f>
        <v/>
      </c>
      <c r="D3194" s="394"/>
      <c r="E3194" s="78" t="str">
        <f>IF(C3194="","",IFERROR(VLOOKUP(C3194,parametros!$A$11:$E$15,5,0),""))</f>
        <v/>
      </c>
      <c r="F3194" s="79" t="str">
        <f t="shared" si="247"/>
        <v/>
      </c>
      <c r="G3194" s="395"/>
      <c r="H3194" s="91">
        <f t="shared" si="248"/>
        <v>0</v>
      </c>
      <c r="I3194" s="91" t="str">
        <f t="shared" si="249"/>
        <v/>
      </c>
      <c r="J3194" s="91" t="str">
        <f t="shared" si="250"/>
        <v/>
      </c>
      <c r="K3194" s="92" t="str">
        <f>IF(AND(A3194="",B3194="",D3194="",G3194=""),"",IF(AND(A3194&lt;&gt;"",COUNTIF($A$2:$A$5001,A3194)&gt;1),"NUMERO_PC duplicado",IF(B3194="","DATA_PC vazia",IF(NOT(ISNUMBER(B3194)),"DATA_PC invalida",IF(OR(C3194="",C3194="Fora dos ciclos"),"CICLO_PC nao identificado",IF(OR(D3194="",D3194=0),"VALOR_PC vazio ou zero",IF(AND(G3194&lt;&gt;"Sim",G3194&lt;&gt;"Nao",G3194&lt;&gt;""),"PC_PAGO_A_CONTRATADA invalido",IF(AND(C3194&lt;&gt;"C0",IFERROR(INDEX(parametros!$A$2:$A$6,MATCH(C3194,parametros!$B$2:$B$6,0)),"")="Sim",IFERROR(INDEX(parametros!$H$2:$H$6,MATCH(C3194,parametros!$B$2:$B$6,0)),"")=""),"INICIO_EFEITO ausente: PC "&amp;A3194&amp;" - "&amp;C3194,IF(L3194="","EFEITO_PC nao calculado: PC "&amp;A3194&amp;" - "&amp;C3194,"OK")))))))))</f>
        <v/>
      </c>
      <c r="L3194" s="92" t="str">
        <f>IF(AND(A3194="",B3194="",D3194="",G3194=""),"",IF(OR(B3194="",NOT(ISNUMBER(B3194)),C3194="",C3194="Fora dos ciclos"),"",IF(C3194="C0","Nao",IF(IFERROR(INDEX(parametros!$A$2:$A$6,MATCH(C3194,parametros!$B$2:$B$6,0)),"")&lt;&gt;"Sim","Nao",IF(IFERROR(INDEX(parametros!$H$2:$H$6,MATCH(C3194,parametros!$B$2:$B$6,0)),"")="","",IF(B3194&gt;=IFERROR(INDEX(parametros!$H$2:$H$6,MATCH(C3194,parametros!$B$2:$B$6,0)),""),"Sim","Nao"))))))</f>
        <v/>
      </c>
      <c r="T3194" s="156"/>
      <c r="U3194" s="214" t="str">
        <f t="shared" si="251"/>
        <v/>
      </c>
      <c r="V3194" s="212" t="s">
        <v>50</v>
      </c>
      <c r="W3194" s="100" t="s">
        <v>168</v>
      </c>
      <c r="X3194" s="100" t="s">
        <v>169</v>
      </c>
      <c r="Y3194" s="101" t="s">
        <v>170</v>
      </c>
      <c r="Z3194" s="101" t="s">
        <v>171</v>
      </c>
      <c r="AA3194" s="101" t="s">
        <v>50</v>
      </c>
      <c r="AB3194" s="101" t="s">
        <v>172</v>
      </c>
      <c r="AC3194" s="102" t="s">
        <v>173</v>
      </c>
    </row>
    <row r="3195" spans="1:29" ht="25.5" customHeight="1" x14ac:dyDescent="0.35">
      <c r="A3195" s="392"/>
      <c r="B3195" s="393"/>
      <c r="C3195" s="99" t="str">
        <f>IF(B3195="","",IF(NOT(ISNUMBER(B3195)),"DATA_PC invalida",IF(NOT(ISNUMBER(parametros!$C$2)),"Fora dos ciclos",IF(OR(B3195&lt;parametros!$C$2,(YEAR(B3195)-YEAR(parametros!$C$2))*12+MONTH(B3195)-MONTH(parametros!$C$2)&gt;59),"Fora dos ciclos","C"&amp;INT(((YEAR(B3195)-YEAR(parametros!$C$2))*12+MONTH(B3195)-MONTH(parametros!$C$2))/12)))))</f>
        <v/>
      </c>
      <c r="D3195" s="394"/>
      <c r="E3195" s="78" t="str">
        <f>IF(C3195="","",IFERROR(VLOOKUP(C3195,parametros!$A$11:$E$15,5,0),""))</f>
        <v/>
      </c>
      <c r="F3195" s="79" t="str">
        <f t="shared" si="247"/>
        <v/>
      </c>
      <c r="G3195" s="395"/>
      <c r="H3195" s="91">
        <f t="shared" si="248"/>
        <v>0</v>
      </c>
      <c r="I3195" s="91" t="str">
        <f t="shared" si="249"/>
        <v/>
      </c>
      <c r="J3195" s="91" t="str">
        <f t="shared" si="250"/>
        <v/>
      </c>
      <c r="K3195" s="92" t="str">
        <f>IF(AND(A3195="",B3195="",D3195="",G3195=""),"",IF(AND(A3195&lt;&gt;"",COUNTIF($A$2:$A$5001,A3195)&gt;1),"NUMERO_PC duplicado",IF(B3195="","DATA_PC vazia",IF(NOT(ISNUMBER(B3195)),"DATA_PC invalida",IF(OR(C3195="",C3195="Fora dos ciclos"),"CICLO_PC nao identificado",IF(OR(D3195="",D3195=0),"VALOR_PC vazio ou zero",IF(AND(G3195&lt;&gt;"Sim",G3195&lt;&gt;"Nao",G3195&lt;&gt;""),"PC_PAGO_A_CONTRATADA invalido",IF(AND(C3195&lt;&gt;"C0",IFERROR(INDEX(parametros!$A$2:$A$6,MATCH(C3195,parametros!$B$2:$B$6,0)),"")="Sim",IFERROR(INDEX(parametros!$H$2:$H$6,MATCH(C3195,parametros!$B$2:$B$6,0)),"")=""),"INICIO_EFEITO ausente: PC "&amp;A3195&amp;" - "&amp;C3195,IF(L3195="","EFEITO_PC nao calculado: PC "&amp;A3195&amp;" - "&amp;C3195,"OK")))))))))</f>
        <v/>
      </c>
      <c r="L3195" s="92" t="str">
        <f>IF(AND(A3195="",B3195="",D3195="",G3195=""),"",IF(OR(B3195="",NOT(ISNUMBER(B3195)),C3195="",C3195="Fora dos ciclos"),"",IF(C3195="C0","Nao",IF(IFERROR(INDEX(parametros!$A$2:$A$6,MATCH(C3195,parametros!$B$2:$B$6,0)),"")&lt;&gt;"Sim","Nao",IF(IFERROR(INDEX(parametros!$H$2:$H$6,MATCH(C3195,parametros!$B$2:$B$6,0)),"")="","",IF(B3195&gt;=IFERROR(INDEX(parametros!$H$2:$H$6,MATCH(C3195,parametros!$B$2:$B$6,0)),""),"Sim","Nao"))))))</f>
        <v/>
      </c>
      <c r="T3195" s="156"/>
      <c r="U3195" s="214" t="str">
        <f t="shared" si="251"/>
        <v/>
      </c>
      <c r="V3195" s="212" t="s">
        <v>50</v>
      </c>
      <c r="W3195" s="100" t="s">
        <v>168</v>
      </c>
      <c r="X3195" s="100" t="s">
        <v>169</v>
      </c>
      <c r="Y3195" s="101" t="s">
        <v>170</v>
      </c>
      <c r="Z3195" s="101" t="s">
        <v>171</v>
      </c>
      <c r="AA3195" s="101" t="s">
        <v>50</v>
      </c>
      <c r="AB3195" s="101" t="s">
        <v>172</v>
      </c>
      <c r="AC3195" s="102" t="s">
        <v>173</v>
      </c>
    </row>
    <row r="3196" spans="1:29" ht="25.5" customHeight="1" x14ac:dyDescent="0.35">
      <c r="A3196" s="392"/>
      <c r="B3196" s="393"/>
      <c r="C3196" s="99" t="str">
        <f>IF(B3196="","",IF(NOT(ISNUMBER(B3196)),"DATA_PC invalida",IF(NOT(ISNUMBER(parametros!$C$2)),"Fora dos ciclos",IF(OR(B3196&lt;parametros!$C$2,(YEAR(B3196)-YEAR(parametros!$C$2))*12+MONTH(B3196)-MONTH(parametros!$C$2)&gt;59),"Fora dos ciclos","C"&amp;INT(((YEAR(B3196)-YEAR(parametros!$C$2))*12+MONTH(B3196)-MONTH(parametros!$C$2))/12)))))</f>
        <v/>
      </c>
      <c r="D3196" s="394"/>
      <c r="E3196" s="78" t="str">
        <f>IF(C3196="","",IFERROR(VLOOKUP(C3196,parametros!$A$11:$E$15,5,0),""))</f>
        <v/>
      </c>
      <c r="F3196" s="79" t="str">
        <f t="shared" si="247"/>
        <v/>
      </c>
      <c r="G3196" s="395"/>
      <c r="H3196" s="91">
        <f t="shared" si="248"/>
        <v>0</v>
      </c>
      <c r="I3196" s="91" t="str">
        <f t="shared" si="249"/>
        <v/>
      </c>
      <c r="J3196" s="91" t="str">
        <f t="shared" si="250"/>
        <v/>
      </c>
      <c r="K3196" s="92" t="str">
        <f>IF(AND(A3196="",B3196="",D3196="",G3196=""),"",IF(AND(A3196&lt;&gt;"",COUNTIF($A$2:$A$5001,A3196)&gt;1),"NUMERO_PC duplicado",IF(B3196="","DATA_PC vazia",IF(NOT(ISNUMBER(B3196)),"DATA_PC invalida",IF(OR(C3196="",C3196="Fora dos ciclos"),"CICLO_PC nao identificado",IF(OR(D3196="",D3196=0),"VALOR_PC vazio ou zero",IF(AND(G3196&lt;&gt;"Sim",G3196&lt;&gt;"Nao",G3196&lt;&gt;""),"PC_PAGO_A_CONTRATADA invalido",IF(AND(C3196&lt;&gt;"C0",IFERROR(INDEX(parametros!$A$2:$A$6,MATCH(C3196,parametros!$B$2:$B$6,0)),"")="Sim",IFERROR(INDEX(parametros!$H$2:$H$6,MATCH(C3196,parametros!$B$2:$B$6,0)),"")=""),"INICIO_EFEITO ausente: PC "&amp;A3196&amp;" - "&amp;C3196,IF(L3196="","EFEITO_PC nao calculado: PC "&amp;A3196&amp;" - "&amp;C3196,"OK")))))))))</f>
        <v/>
      </c>
      <c r="L3196" s="92" t="str">
        <f>IF(AND(A3196="",B3196="",D3196="",G3196=""),"",IF(OR(B3196="",NOT(ISNUMBER(B3196)),C3196="",C3196="Fora dos ciclos"),"",IF(C3196="C0","Nao",IF(IFERROR(INDEX(parametros!$A$2:$A$6,MATCH(C3196,parametros!$B$2:$B$6,0)),"")&lt;&gt;"Sim","Nao",IF(IFERROR(INDEX(parametros!$H$2:$H$6,MATCH(C3196,parametros!$B$2:$B$6,0)),"")="","",IF(B3196&gt;=IFERROR(INDEX(parametros!$H$2:$H$6,MATCH(C3196,parametros!$B$2:$B$6,0)),""),"Sim","Nao"))))))</f>
        <v/>
      </c>
      <c r="T3196" s="156"/>
      <c r="U3196" s="214" t="str">
        <f t="shared" si="251"/>
        <v/>
      </c>
      <c r="V3196" s="212" t="s">
        <v>50</v>
      </c>
      <c r="W3196" s="100" t="s">
        <v>168</v>
      </c>
      <c r="X3196" s="100" t="s">
        <v>169</v>
      </c>
      <c r="Y3196" s="101" t="s">
        <v>170</v>
      </c>
      <c r="Z3196" s="101" t="s">
        <v>171</v>
      </c>
      <c r="AA3196" s="101" t="s">
        <v>50</v>
      </c>
      <c r="AB3196" s="101" t="s">
        <v>172</v>
      </c>
      <c r="AC3196" s="102" t="s">
        <v>173</v>
      </c>
    </row>
    <row r="3197" spans="1:29" ht="25.5" customHeight="1" x14ac:dyDescent="0.35">
      <c r="A3197" s="392"/>
      <c r="B3197" s="393"/>
      <c r="C3197" s="99" t="str">
        <f>IF(B3197="","",IF(NOT(ISNUMBER(B3197)),"DATA_PC invalida",IF(NOT(ISNUMBER(parametros!$C$2)),"Fora dos ciclos",IF(OR(B3197&lt;parametros!$C$2,(YEAR(B3197)-YEAR(parametros!$C$2))*12+MONTH(B3197)-MONTH(parametros!$C$2)&gt;59),"Fora dos ciclos","C"&amp;INT(((YEAR(B3197)-YEAR(parametros!$C$2))*12+MONTH(B3197)-MONTH(parametros!$C$2))/12)))))</f>
        <v/>
      </c>
      <c r="D3197" s="394"/>
      <c r="E3197" s="78" t="str">
        <f>IF(C3197="","",IFERROR(VLOOKUP(C3197,parametros!$A$11:$E$15,5,0),""))</f>
        <v/>
      </c>
      <c r="F3197" s="79" t="str">
        <f t="shared" si="247"/>
        <v/>
      </c>
      <c r="G3197" s="395"/>
      <c r="H3197" s="91">
        <f t="shared" si="248"/>
        <v>0</v>
      </c>
      <c r="I3197" s="91" t="str">
        <f t="shared" si="249"/>
        <v/>
      </c>
      <c r="J3197" s="91" t="str">
        <f t="shared" si="250"/>
        <v/>
      </c>
      <c r="K3197" s="92" t="str">
        <f>IF(AND(A3197="",B3197="",D3197="",G3197=""),"",IF(AND(A3197&lt;&gt;"",COUNTIF($A$2:$A$5001,A3197)&gt;1),"NUMERO_PC duplicado",IF(B3197="","DATA_PC vazia",IF(NOT(ISNUMBER(B3197)),"DATA_PC invalida",IF(OR(C3197="",C3197="Fora dos ciclos"),"CICLO_PC nao identificado",IF(OR(D3197="",D3197=0),"VALOR_PC vazio ou zero",IF(AND(G3197&lt;&gt;"Sim",G3197&lt;&gt;"Nao",G3197&lt;&gt;""),"PC_PAGO_A_CONTRATADA invalido",IF(AND(C3197&lt;&gt;"C0",IFERROR(INDEX(parametros!$A$2:$A$6,MATCH(C3197,parametros!$B$2:$B$6,0)),"")="Sim",IFERROR(INDEX(parametros!$H$2:$H$6,MATCH(C3197,parametros!$B$2:$B$6,0)),"")=""),"INICIO_EFEITO ausente: PC "&amp;A3197&amp;" - "&amp;C3197,IF(L3197="","EFEITO_PC nao calculado: PC "&amp;A3197&amp;" - "&amp;C3197,"OK")))))))))</f>
        <v/>
      </c>
      <c r="L3197" s="92" t="str">
        <f>IF(AND(A3197="",B3197="",D3197="",G3197=""),"",IF(OR(B3197="",NOT(ISNUMBER(B3197)),C3197="",C3197="Fora dos ciclos"),"",IF(C3197="C0","Nao",IF(IFERROR(INDEX(parametros!$A$2:$A$6,MATCH(C3197,parametros!$B$2:$B$6,0)),"")&lt;&gt;"Sim","Nao",IF(IFERROR(INDEX(parametros!$H$2:$H$6,MATCH(C3197,parametros!$B$2:$B$6,0)),"")="","",IF(B3197&gt;=IFERROR(INDEX(parametros!$H$2:$H$6,MATCH(C3197,parametros!$B$2:$B$6,0)),""),"Sim","Nao"))))))</f>
        <v/>
      </c>
      <c r="T3197" s="156"/>
      <c r="U3197" s="214" t="str">
        <f t="shared" si="251"/>
        <v/>
      </c>
      <c r="V3197" s="212" t="s">
        <v>50</v>
      </c>
      <c r="W3197" s="100" t="s">
        <v>168</v>
      </c>
      <c r="X3197" s="100" t="s">
        <v>169</v>
      </c>
      <c r="Y3197" s="101" t="s">
        <v>170</v>
      </c>
      <c r="Z3197" s="101" t="s">
        <v>171</v>
      </c>
      <c r="AA3197" s="101" t="s">
        <v>50</v>
      </c>
      <c r="AB3197" s="101" t="s">
        <v>172</v>
      </c>
      <c r="AC3197" s="102" t="s">
        <v>173</v>
      </c>
    </row>
    <row r="3198" spans="1:29" ht="25.5" customHeight="1" x14ac:dyDescent="0.35">
      <c r="A3198" s="392"/>
      <c r="B3198" s="393"/>
      <c r="C3198" s="99" t="str">
        <f>IF(B3198="","",IF(NOT(ISNUMBER(B3198)),"DATA_PC invalida",IF(NOT(ISNUMBER(parametros!$C$2)),"Fora dos ciclos",IF(OR(B3198&lt;parametros!$C$2,(YEAR(B3198)-YEAR(parametros!$C$2))*12+MONTH(B3198)-MONTH(parametros!$C$2)&gt;59),"Fora dos ciclos","C"&amp;INT(((YEAR(B3198)-YEAR(parametros!$C$2))*12+MONTH(B3198)-MONTH(parametros!$C$2))/12)))))</f>
        <v/>
      </c>
      <c r="D3198" s="394"/>
      <c r="E3198" s="78" t="str">
        <f>IF(C3198="","",IFERROR(VLOOKUP(C3198,parametros!$A$11:$E$15,5,0),""))</f>
        <v/>
      </c>
      <c r="F3198" s="79" t="str">
        <f t="shared" si="247"/>
        <v/>
      </c>
      <c r="G3198" s="395"/>
      <c r="H3198" s="91">
        <f t="shared" si="248"/>
        <v>0</v>
      </c>
      <c r="I3198" s="91" t="str">
        <f t="shared" si="249"/>
        <v/>
      </c>
      <c r="J3198" s="91" t="str">
        <f t="shared" si="250"/>
        <v/>
      </c>
      <c r="K3198" s="92" t="str">
        <f>IF(AND(A3198="",B3198="",D3198="",G3198=""),"",IF(AND(A3198&lt;&gt;"",COUNTIF($A$2:$A$5001,A3198)&gt;1),"NUMERO_PC duplicado",IF(B3198="","DATA_PC vazia",IF(NOT(ISNUMBER(B3198)),"DATA_PC invalida",IF(OR(C3198="",C3198="Fora dos ciclos"),"CICLO_PC nao identificado",IF(OR(D3198="",D3198=0),"VALOR_PC vazio ou zero",IF(AND(G3198&lt;&gt;"Sim",G3198&lt;&gt;"Nao",G3198&lt;&gt;""),"PC_PAGO_A_CONTRATADA invalido",IF(AND(C3198&lt;&gt;"C0",IFERROR(INDEX(parametros!$A$2:$A$6,MATCH(C3198,parametros!$B$2:$B$6,0)),"")="Sim",IFERROR(INDEX(parametros!$H$2:$H$6,MATCH(C3198,parametros!$B$2:$B$6,0)),"")=""),"INICIO_EFEITO ausente: PC "&amp;A3198&amp;" - "&amp;C3198,IF(L3198="","EFEITO_PC nao calculado: PC "&amp;A3198&amp;" - "&amp;C3198,"OK")))))))))</f>
        <v/>
      </c>
      <c r="L3198" s="92" t="str">
        <f>IF(AND(A3198="",B3198="",D3198="",G3198=""),"",IF(OR(B3198="",NOT(ISNUMBER(B3198)),C3198="",C3198="Fora dos ciclos"),"",IF(C3198="C0","Nao",IF(IFERROR(INDEX(parametros!$A$2:$A$6,MATCH(C3198,parametros!$B$2:$B$6,0)),"")&lt;&gt;"Sim","Nao",IF(IFERROR(INDEX(parametros!$H$2:$H$6,MATCH(C3198,parametros!$B$2:$B$6,0)),"")="","",IF(B3198&gt;=IFERROR(INDEX(parametros!$H$2:$H$6,MATCH(C3198,parametros!$B$2:$B$6,0)),""),"Sim","Nao"))))))</f>
        <v/>
      </c>
      <c r="T3198" s="156"/>
      <c r="U3198" s="214" t="str">
        <f t="shared" si="251"/>
        <v/>
      </c>
      <c r="V3198" s="212" t="s">
        <v>50</v>
      </c>
      <c r="W3198" s="100" t="s">
        <v>168</v>
      </c>
      <c r="X3198" s="100" t="s">
        <v>169</v>
      </c>
      <c r="Y3198" s="101" t="s">
        <v>170</v>
      </c>
      <c r="Z3198" s="101" t="s">
        <v>171</v>
      </c>
      <c r="AA3198" s="101" t="s">
        <v>50</v>
      </c>
      <c r="AB3198" s="101" t="s">
        <v>172</v>
      </c>
      <c r="AC3198" s="102" t="s">
        <v>173</v>
      </c>
    </row>
    <row r="3199" spans="1:29" ht="25.5" customHeight="1" x14ac:dyDescent="0.35">
      <c r="A3199" s="392"/>
      <c r="B3199" s="393"/>
      <c r="C3199" s="99" t="str">
        <f>IF(B3199="","",IF(NOT(ISNUMBER(B3199)),"DATA_PC invalida",IF(NOT(ISNUMBER(parametros!$C$2)),"Fora dos ciclos",IF(OR(B3199&lt;parametros!$C$2,(YEAR(B3199)-YEAR(parametros!$C$2))*12+MONTH(B3199)-MONTH(parametros!$C$2)&gt;59),"Fora dos ciclos","C"&amp;INT(((YEAR(B3199)-YEAR(parametros!$C$2))*12+MONTH(B3199)-MONTH(parametros!$C$2))/12)))))</f>
        <v/>
      </c>
      <c r="D3199" s="394"/>
      <c r="E3199" s="78" t="str">
        <f>IF(C3199="","",IFERROR(VLOOKUP(C3199,parametros!$A$11:$E$15,5,0),""))</f>
        <v/>
      </c>
      <c r="F3199" s="79" t="str">
        <f t="shared" si="247"/>
        <v/>
      </c>
      <c r="G3199" s="395"/>
      <c r="H3199" s="91">
        <f t="shared" si="248"/>
        <v>0</v>
      </c>
      <c r="I3199" s="91" t="str">
        <f t="shared" si="249"/>
        <v/>
      </c>
      <c r="J3199" s="91" t="str">
        <f t="shared" si="250"/>
        <v/>
      </c>
      <c r="K3199" s="92" t="str">
        <f>IF(AND(A3199="",B3199="",D3199="",G3199=""),"",IF(AND(A3199&lt;&gt;"",COUNTIF($A$2:$A$5001,A3199)&gt;1),"NUMERO_PC duplicado",IF(B3199="","DATA_PC vazia",IF(NOT(ISNUMBER(B3199)),"DATA_PC invalida",IF(OR(C3199="",C3199="Fora dos ciclos"),"CICLO_PC nao identificado",IF(OR(D3199="",D3199=0),"VALOR_PC vazio ou zero",IF(AND(G3199&lt;&gt;"Sim",G3199&lt;&gt;"Nao",G3199&lt;&gt;""),"PC_PAGO_A_CONTRATADA invalido",IF(AND(C3199&lt;&gt;"C0",IFERROR(INDEX(parametros!$A$2:$A$6,MATCH(C3199,parametros!$B$2:$B$6,0)),"")="Sim",IFERROR(INDEX(parametros!$H$2:$H$6,MATCH(C3199,parametros!$B$2:$B$6,0)),"")=""),"INICIO_EFEITO ausente: PC "&amp;A3199&amp;" - "&amp;C3199,IF(L3199="","EFEITO_PC nao calculado: PC "&amp;A3199&amp;" - "&amp;C3199,"OK")))))))))</f>
        <v/>
      </c>
      <c r="L3199" s="92" t="str">
        <f>IF(AND(A3199="",B3199="",D3199="",G3199=""),"",IF(OR(B3199="",NOT(ISNUMBER(B3199)),C3199="",C3199="Fora dos ciclos"),"",IF(C3199="C0","Nao",IF(IFERROR(INDEX(parametros!$A$2:$A$6,MATCH(C3199,parametros!$B$2:$B$6,0)),"")&lt;&gt;"Sim","Nao",IF(IFERROR(INDEX(parametros!$H$2:$H$6,MATCH(C3199,parametros!$B$2:$B$6,0)),"")="","",IF(B3199&gt;=IFERROR(INDEX(parametros!$H$2:$H$6,MATCH(C3199,parametros!$B$2:$B$6,0)),""),"Sim","Nao"))))))</f>
        <v/>
      </c>
      <c r="T3199" s="156"/>
      <c r="U3199" s="214" t="str">
        <f t="shared" si="251"/>
        <v/>
      </c>
      <c r="V3199" s="212" t="s">
        <v>50</v>
      </c>
      <c r="W3199" s="100" t="s">
        <v>168</v>
      </c>
      <c r="X3199" s="100" t="s">
        <v>169</v>
      </c>
      <c r="Y3199" s="101" t="s">
        <v>170</v>
      </c>
      <c r="Z3199" s="101" t="s">
        <v>171</v>
      </c>
      <c r="AA3199" s="101" t="s">
        <v>50</v>
      </c>
      <c r="AB3199" s="101" t="s">
        <v>172</v>
      </c>
      <c r="AC3199" s="102" t="s">
        <v>173</v>
      </c>
    </row>
    <row r="3200" spans="1:29" ht="25.5" customHeight="1" x14ac:dyDescent="0.35">
      <c r="A3200" s="392"/>
      <c r="B3200" s="393"/>
      <c r="C3200" s="99" t="str">
        <f>IF(B3200="","",IF(NOT(ISNUMBER(B3200)),"DATA_PC invalida",IF(NOT(ISNUMBER(parametros!$C$2)),"Fora dos ciclos",IF(OR(B3200&lt;parametros!$C$2,(YEAR(B3200)-YEAR(parametros!$C$2))*12+MONTH(B3200)-MONTH(parametros!$C$2)&gt;59),"Fora dos ciclos","C"&amp;INT(((YEAR(B3200)-YEAR(parametros!$C$2))*12+MONTH(B3200)-MONTH(parametros!$C$2))/12)))))</f>
        <v/>
      </c>
      <c r="D3200" s="394"/>
      <c r="E3200" s="78" t="str">
        <f>IF(C3200="","",IFERROR(VLOOKUP(C3200,parametros!$A$11:$E$15,5,0),""))</f>
        <v/>
      </c>
      <c r="F3200" s="79" t="str">
        <f t="shared" si="247"/>
        <v/>
      </c>
      <c r="G3200" s="395"/>
      <c r="H3200" s="91">
        <f t="shared" si="248"/>
        <v>0</v>
      </c>
      <c r="I3200" s="91" t="str">
        <f t="shared" si="249"/>
        <v/>
      </c>
      <c r="J3200" s="91" t="str">
        <f t="shared" si="250"/>
        <v/>
      </c>
      <c r="K3200" s="92" t="str">
        <f>IF(AND(A3200="",B3200="",D3200="",G3200=""),"",IF(AND(A3200&lt;&gt;"",COUNTIF($A$2:$A$5001,A3200)&gt;1),"NUMERO_PC duplicado",IF(B3200="","DATA_PC vazia",IF(NOT(ISNUMBER(B3200)),"DATA_PC invalida",IF(OR(C3200="",C3200="Fora dos ciclos"),"CICLO_PC nao identificado",IF(OR(D3200="",D3200=0),"VALOR_PC vazio ou zero",IF(AND(G3200&lt;&gt;"Sim",G3200&lt;&gt;"Nao",G3200&lt;&gt;""),"PC_PAGO_A_CONTRATADA invalido",IF(AND(C3200&lt;&gt;"C0",IFERROR(INDEX(parametros!$A$2:$A$6,MATCH(C3200,parametros!$B$2:$B$6,0)),"")="Sim",IFERROR(INDEX(parametros!$H$2:$H$6,MATCH(C3200,parametros!$B$2:$B$6,0)),"")=""),"INICIO_EFEITO ausente: PC "&amp;A3200&amp;" - "&amp;C3200,IF(L3200="","EFEITO_PC nao calculado: PC "&amp;A3200&amp;" - "&amp;C3200,"OK")))))))))</f>
        <v/>
      </c>
      <c r="L3200" s="92" t="str">
        <f>IF(AND(A3200="",B3200="",D3200="",G3200=""),"",IF(OR(B3200="",NOT(ISNUMBER(B3200)),C3200="",C3200="Fora dos ciclos"),"",IF(C3200="C0","Nao",IF(IFERROR(INDEX(parametros!$A$2:$A$6,MATCH(C3200,parametros!$B$2:$B$6,0)),"")&lt;&gt;"Sim","Nao",IF(IFERROR(INDEX(parametros!$H$2:$H$6,MATCH(C3200,parametros!$B$2:$B$6,0)),"")="","",IF(B3200&gt;=IFERROR(INDEX(parametros!$H$2:$H$6,MATCH(C3200,parametros!$B$2:$B$6,0)),""),"Sim","Nao"))))))</f>
        <v/>
      </c>
      <c r="T3200" s="156"/>
      <c r="U3200" s="214" t="str">
        <f t="shared" si="251"/>
        <v/>
      </c>
      <c r="V3200" s="212" t="s">
        <v>50</v>
      </c>
      <c r="W3200" s="100" t="s">
        <v>168</v>
      </c>
      <c r="X3200" s="100" t="s">
        <v>169</v>
      </c>
      <c r="Y3200" s="101" t="s">
        <v>170</v>
      </c>
      <c r="Z3200" s="101" t="s">
        <v>171</v>
      </c>
      <c r="AA3200" s="101" t="s">
        <v>50</v>
      </c>
      <c r="AB3200" s="101" t="s">
        <v>172</v>
      </c>
      <c r="AC3200" s="102" t="s">
        <v>173</v>
      </c>
    </row>
    <row r="3201" spans="1:29" ht="25.5" customHeight="1" x14ac:dyDescent="0.35">
      <c r="A3201" s="392"/>
      <c r="B3201" s="393"/>
      <c r="C3201" s="99" t="str">
        <f>IF(B3201="","",IF(NOT(ISNUMBER(B3201)),"DATA_PC invalida",IF(NOT(ISNUMBER(parametros!$C$2)),"Fora dos ciclos",IF(OR(B3201&lt;parametros!$C$2,(YEAR(B3201)-YEAR(parametros!$C$2))*12+MONTH(B3201)-MONTH(parametros!$C$2)&gt;59),"Fora dos ciclos","C"&amp;INT(((YEAR(B3201)-YEAR(parametros!$C$2))*12+MONTH(B3201)-MONTH(parametros!$C$2))/12)))))</f>
        <v/>
      </c>
      <c r="D3201" s="394"/>
      <c r="E3201" s="78" t="str">
        <f>IF(C3201="","",IFERROR(VLOOKUP(C3201,parametros!$A$11:$E$15,5,0),""))</f>
        <v/>
      </c>
      <c r="F3201" s="79" t="str">
        <f t="shared" si="247"/>
        <v/>
      </c>
      <c r="G3201" s="395"/>
      <c r="H3201" s="91">
        <f t="shared" si="248"/>
        <v>0</v>
      </c>
      <c r="I3201" s="91" t="str">
        <f t="shared" si="249"/>
        <v/>
      </c>
      <c r="J3201" s="91" t="str">
        <f t="shared" si="250"/>
        <v/>
      </c>
      <c r="K3201" s="92" t="str">
        <f>IF(AND(A3201="",B3201="",D3201="",G3201=""),"",IF(AND(A3201&lt;&gt;"",COUNTIF($A$2:$A$5001,A3201)&gt;1),"NUMERO_PC duplicado",IF(B3201="","DATA_PC vazia",IF(NOT(ISNUMBER(B3201)),"DATA_PC invalida",IF(OR(C3201="",C3201="Fora dos ciclos"),"CICLO_PC nao identificado",IF(OR(D3201="",D3201=0),"VALOR_PC vazio ou zero",IF(AND(G3201&lt;&gt;"Sim",G3201&lt;&gt;"Nao",G3201&lt;&gt;""),"PC_PAGO_A_CONTRATADA invalido",IF(AND(C3201&lt;&gt;"C0",IFERROR(INDEX(parametros!$A$2:$A$6,MATCH(C3201,parametros!$B$2:$B$6,0)),"")="Sim",IFERROR(INDEX(parametros!$H$2:$H$6,MATCH(C3201,parametros!$B$2:$B$6,0)),"")=""),"INICIO_EFEITO ausente: PC "&amp;A3201&amp;" - "&amp;C3201,IF(L3201="","EFEITO_PC nao calculado: PC "&amp;A3201&amp;" - "&amp;C3201,"OK")))))))))</f>
        <v/>
      </c>
      <c r="L3201" s="92" t="str">
        <f>IF(AND(A3201="",B3201="",D3201="",G3201=""),"",IF(OR(B3201="",NOT(ISNUMBER(B3201)),C3201="",C3201="Fora dos ciclos"),"",IF(C3201="C0","Nao",IF(IFERROR(INDEX(parametros!$A$2:$A$6,MATCH(C3201,parametros!$B$2:$B$6,0)),"")&lt;&gt;"Sim","Nao",IF(IFERROR(INDEX(parametros!$H$2:$H$6,MATCH(C3201,parametros!$B$2:$B$6,0)),"")="","",IF(B3201&gt;=IFERROR(INDEX(parametros!$H$2:$H$6,MATCH(C3201,parametros!$B$2:$B$6,0)),""),"Sim","Nao"))))))</f>
        <v/>
      </c>
      <c r="T3201" s="156"/>
      <c r="U3201" s="214" t="str">
        <f t="shared" si="251"/>
        <v/>
      </c>
      <c r="V3201" s="212" t="s">
        <v>50</v>
      </c>
      <c r="W3201" s="100" t="s">
        <v>168</v>
      </c>
      <c r="X3201" s="100" t="s">
        <v>169</v>
      </c>
      <c r="Y3201" s="101" t="s">
        <v>170</v>
      </c>
      <c r="Z3201" s="101" t="s">
        <v>171</v>
      </c>
      <c r="AA3201" s="101" t="s">
        <v>50</v>
      </c>
      <c r="AB3201" s="101" t="s">
        <v>172</v>
      </c>
      <c r="AC3201" s="102" t="s">
        <v>173</v>
      </c>
    </row>
    <row r="3202" spans="1:29" ht="25.5" customHeight="1" x14ac:dyDescent="0.35">
      <c r="A3202" s="392"/>
      <c r="B3202" s="393"/>
      <c r="C3202" s="99" t="str">
        <f>IF(B3202="","",IF(NOT(ISNUMBER(B3202)),"DATA_PC invalida",IF(NOT(ISNUMBER(parametros!$C$2)),"Fora dos ciclos",IF(OR(B3202&lt;parametros!$C$2,(YEAR(B3202)-YEAR(parametros!$C$2))*12+MONTH(B3202)-MONTH(parametros!$C$2)&gt;59),"Fora dos ciclos","C"&amp;INT(((YEAR(B3202)-YEAR(parametros!$C$2))*12+MONTH(B3202)-MONTH(parametros!$C$2))/12)))))</f>
        <v/>
      </c>
      <c r="D3202" s="394"/>
      <c r="E3202" s="78" t="str">
        <f>IF(C3202="","",IFERROR(VLOOKUP(C3202,parametros!$A$11:$E$15,5,0),""))</f>
        <v/>
      </c>
      <c r="F3202" s="79" t="str">
        <f t="shared" ref="F3202:F3265" si="252">IF(OR(D3202="",E3202=""),"",ROUND(D3202*E3202,2))</f>
        <v/>
      </c>
      <c r="G3202" s="395"/>
      <c r="H3202" s="91">
        <f t="shared" ref="H3202:H3265" si="253">IF(G3202="Sim",IF(OR(F3202="",D3202="",L3202=""),"",IF(L3202="Sim",ROUND(F3202-D3202,2),0)),0)</f>
        <v>0</v>
      </c>
      <c r="I3202" s="91" t="str">
        <f t="shared" ref="I3202:I3265" si="254">IF(G3202="Sim",0,IF(OR(F3202="",L3202=""),"",F3202))</f>
        <v/>
      </c>
      <c r="J3202" s="91" t="str">
        <f t="shared" ref="J3202:J3265" si="255">IF(G3202="Sim",0,IF(OR(F3202="",D3202="",L3202=""),"",IF(L3202="Sim",ROUND(F3202-D3202,2),0)))</f>
        <v/>
      </c>
      <c r="K3202" s="92" t="str">
        <f>IF(AND(A3202="",B3202="",D3202="",G3202=""),"",IF(AND(A3202&lt;&gt;"",COUNTIF($A$2:$A$5001,A3202)&gt;1),"NUMERO_PC duplicado",IF(B3202="","DATA_PC vazia",IF(NOT(ISNUMBER(B3202)),"DATA_PC invalida",IF(OR(C3202="",C3202="Fora dos ciclos"),"CICLO_PC nao identificado",IF(OR(D3202="",D3202=0),"VALOR_PC vazio ou zero",IF(AND(G3202&lt;&gt;"Sim",G3202&lt;&gt;"Nao",G3202&lt;&gt;""),"PC_PAGO_A_CONTRATADA invalido",IF(AND(C3202&lt;&gt;"C0",IFERROR(INDEX(parametros!$A$2:$A$6,MATCH(C3202,parametros!$B$2:$B$6,0)),"")="Sim",IFERROR(INDEX(parametros!$H$2:$H$6,MATCH(C3202,parametros!$B$2:$B$6,0)),"")=""),"INICIO_EFEITO ausente: PC "&amp;A3202&amp;" - "&amp;C3202,IF(L3202="","EFEITO_PC nao calculado: PC "&amp;A3202&amp;" - "&amp;C3202,"OK")))))))))</f>
        <v/>
      </c>
      <c r="L3202" s="92" t="str">
        <f>IF(AND(A3202="",B3202="",D3202="",G3202=""),"",IF(OR(B3202="",NOT(ISNUMBER(B3202)),C3202="",C3202="Fora dos ciclos"),"",IF(C3202="C0","Nao",IF(IFERROR(INDEX(parametros!$A$2:$A$6,MATCH(C3202,parametros!$B$2:$B$6,0)),"")&lt;&gt;"Sim","Nao",IF(IFERROR(INDEX(parametros!$H$2:$H$6,MATCH(C3202,parametros!$B$2:$B$6,0)),"")="","",IF(B3202&gt;=IFERROR(INDEX(parametros!$H$2:$H$6,MATCH(C3202,parametros!$B$2:$B$6,0)),""),"Sim","Nao"))))))</f>
        <v/>
      </c>
      <c r="T3202" s="156"/>
      <c r="U3202" s="214" t="str">
        <f t="shared" ref="U3202:U3265" si="256">IF(OR($D3202="",$H3202=""),"",ROUND($D3202+$H3202,2))</f>
        <v/>
      </c>
      <c r="V3202" s="212" t="s">
        <v>50</v>
      </c>
      <c r="W3202" s="100" t="s">
        <v>168</v>
      </c>
      <c r="X3202" s="100" t="s">
        <v>169</v>
      </c>
      <c r="Y3202" s="101" t="s">
        <v>170</v>
      </c>
      <c r="Z3202" s="101" t="s">
        <v>171</v>
      </c>
      <c r="AA3202" s="101" t="s">
        <v>50</v>
      </c>
      <c r="AB3202" s="101" t="s">
        <v>172</v>
      </c>
      <c r="AC3202" s="102" t="s">
        <v>173</v>
      </c>
    </row>
    <row r="3203" spans="1:29" ht="25.5" customHeight="1" x14ac:dyDescent="0.35">
      <c r="A3203" s="392"/>
      <c r="B3203" s="393"/>
      <c r="C3203" s="99" t="str">
        <f>IF(B3203="","",IF(NOT(ISNUMBER(B3203)),"DATA_PC invalida",IF(NOT(ISNUMBER(parametros!$C$2)),"Fora dos ciclos",IF(OR(B3203&lt;parametros!$C$2,(YEAR(B3203)-YEAR(parametros!$C$2))*12+MONTH(B3203)-MONTH(parametros!$C$2)&gt;59),"Fora dos ciclos","C"&amp;INT(((YEAR(B3203)-YEAR(parametros!$C$2))*12+MONTH(B3203)-MONTH(parametros!$C$2))/12)))))</f>
        <v/>
      </c>
      <c r="D3203" s="394"/>
      <c r="E3203" s="78" t="str">
        <f>IF(C3203="","",IFERROR(VLOOKUP(C3203,parametros!$A$11:$E$15,5,0),""))</f>
        <v/>
      </c>
      <c r="F3203" s="79" t="str">
        <f t="shared" si="252"/>
        <v/>
      </c>
      <c r="G3203" s="395"/>
      <c r="H3203" s="91">
        <f t="shared" si="253"/>
        <v>0</v>
      </c>
      <c r="I3203" s="91" t="str">
        <f t="shared" si="254"/>
        <v/>
      </c>
      <c r="J3203" s="91" t="str">
        <f t="shared" si="255"/>
        <v/>
      </c>
      <c r="K3203" s="92" t="str">
        <f>IF(AND(A3203="",B3203="",D3203="",G3203=""),"",IF(AND(A3203&lt;&gt;"",COUNTIF($A$2:$A$5001,A3203)&gt;1),"NUMERO_PC duplicado",IF(B3203="","DATA_PC vazia",IF(NOT(ISNUMBER(B3203)),"DATA_PC invalida",IF(OR(C3203="",C3203="Fora dos ciclos"),"CICLO_PC nao identificado",IF(OR(D3203="",D3203=0),"VALOR_PC vazio ou zero",IF(AND(G3203&lt;&gt;"Sim",G3203&lt;&gt;"Nao",G3203&lt;&gt;""),"PC_PAGO_A_CONTRATADA invalido",IF(AND(C3203&lt;&gt;"C0",IFERROR(INDEX(parametros!$A$2:$A$6,MATCH(C3203,parametros!$B$2:$B$6,0)),"")="Sim",IFERROR(INDEX(parametros!$H$2:$H$6,MATCH(C3203,parametros!$B$2:$B$6,0)),"")=""),"INICIO_EFEITO ausente: PC "&amp;A3203&amp;" - "&amp;C3203,IF(L3203="","EFEITO_PC nao calculado: PC "&amp;A3203&amp;" - "&amp;C3203,"OK")))))))))</f>
        <v/>
      </c>
      <c r="L3203" s="92" t="str">
        <f>IF(AND(A3203="",B3203="",D3203="",G3203=""),"",IF(OR(B3203="",NOT(ISNUMBER(B3203)),C3203="",C3203="Fora dos ciclos"),"",IF(C3203="C0","Nao",IF(IFERROR(INDEX(parametros!$A$2:$A$6,MATCH(C3203,parametros!$B$2:$B$6,0)),"")&lt;&gt;"Sim","Nao",IF(IFERROR(INDEX(parametros!$H$2:$H$6,MATCH(C3203,parametros!$B$2:$B$6,0)),"")="","",IF(B3203&gt;=IFERROR(INDEX(parametros!$H$2:$H$6,MATCH(C3203,parametros!$B$2:$B$6,0)),""),"Sim","Nao"))))))</f>
        <v/>
      </c>
      <c r="T3203" s="156"/>
      <c r="U3203" s="214" t="str">
        <f t="shared" si="256"/>
        <v/>
      </c>
      <c r="V3203" s="212" t="s">
        <v>50</v>
      </c>
      <c r="W3203" s="100" t="s">
        <v>168</v>
      </c>
      <c r="X3203" s="100" t="s">
        <v>169</v>
      </c>
      <c r="Y3203" s="101" t="s">
        <v>170</v>
      </c>
      <c r="Z3203" s="101" t="s">
        <v>171</v>
      </c>
      <c r="AA3203" s="101" t="s">
        <v>50</v>
      </c>
      <c r="AB3203" s="101" t="s">
        <v>172</v>
      </c>
      <c r="AC3203" s="102" t="s">
        <v>173</v>
      </c>
    </row>
    <row r="3204" spans="1:29" ht="25.5" customHeight="1" x14ac:dyDescent="0.35">
      <c r="A3204" s="392"/>
      <c r="B3204" s="393"/>
      <c r="C3204" s="99" t="str">
        <f>IF(B3204="","",IF(NOT(ISNUMBER(B3204)),"DATA_PC invalida",IF(NOT(ISNUMBER(parametros!$C$2)),"Fora dos ciclos",IF(OR(B3204&lt;parametros!$C$2,(YEAR(B3204)-YEAR(parametros!$C$2))*12+MONTH(B3204)-MONTH(parametros!$C$2)&gt;59),"Fora dos ciclos","C"&amp;INT(((YEAR(B3204)-YEAR(parametros!$C$2))*12+MONTH(B3204)-MONTH(parametros!$C$2))/12)))))</f>
        <v/>
      </c>
      <c r="D3204" s="394"/>
      <c r="E3204" s="78" t="str">
        <f>IF(C3204="","",IFERROR(VLOOKUP(C3204,parametros!$A$11:$E$15,5,0),""))</f>
        <v/>
      </c>
      <c r="F3204" s="79" t="str">
        <f t="shared" si="252"/>
        <v/>
      </c>
      <c r="G3204" s="395"/>
      <c r="H3204" s="91">
        <f t="shared" si="253"/>
        <v>0</v>
      </c>
      <c r="I3204" s="91" t="str">
        <f t="shared" si="254"/>
        <v/>
      </c>
      <c r="J3204" s="91" t="str">
        <f t="shared" si="255"/>
        <v/>
      </c>
      <c r="K3204" s="92" t="str">
        <f>IF(AND(A3204="",B3204="",D3204="",G3204=""),"",IF(AND(A3204&lt;&gt;"",COUNTIF($A$2:$A$5001,A3204)&gt;1),"NUMERO_PC duplicado",IF(B3204="","DATA_PC vazia",IF(NOT(ISNUMBER(B3204)),"DATA_PC invalida",IF(OR(C3204="",C3204="Fora dos ciclos"),"CICLO_PC nao identificado",IF(OR(D3204="",D3204=0),"VALOR_PC vazio ou zero",IF(AND(G3204&lt;&gt;"Sim",G3204&lt;&gt;"Nao",G3204&lt;&gt;""),"PC_PAGO_A_CONTRATADA invalido",IF(AND(C3204&lt;&gt;"C0",IFERROR(INDEX(parametros!$A$2:$A$6,MATCH(C3204,parametros!$B$2:$B$6,0)),"")="Sim",IFERROR(INDEX(parametros!$H$2:$H$6,MATCH(C3204,parametros!$B$2:$B$6,0)),"")=""),"INICIO_EFEITO ausente: PC "&amp;A3204&amp;" - "&amp;C3204,IF(L3204="","EFEITO_PC nao calculado: PC "&amp;A3204&amp;" - "&amp;C3204,"OK")))))))))</f>
        <v/>
      </c>
      <c r="L3204" s="92" t="str">
        <f>IF(AND(A3204="",B3204="",D3204="",G3204=""),"",IF(OR(B3204="",NOT(ISNUMBER(B3204)),C3204="",C3204="Fora dos ciclos"),"",IF(C3204="C0","Nao",IF(IFERROR(INDEX(parametros!$A$2:$A$6,MATCH(C3204,parametros!$B$2:$B$6,0)),"")&lt;&gt;"Sim","Nao",IF(IFERROR(INDEX(parametros!$H$2:$H$6,MATCH(C3204,parametros!$B$2:$B$6,0)),"")="","",IF(B3204&gt;=IFERROR(INDEX(parametros!$H$2:$H$6,MATCH(C3204,parametros!$B$2:$B$6,0)),""),"Sim","Nao"))))))</f>
        <v/>
      </c>
      <c r="T3204" s="156"/>
      <c r="U3204" s="214" t="str">
        <f t="shared" si="256"/>
        <v/>
      </c>
      <c r="V3204" s="212" t="s">
        <v>50</v>
      </c>
      <c r="W3204" s="100" t="s">
        <v>168</v>
      </c>
      <c r="X3204" s="100" t="s">
        <v>169</v>
      </c>
      <c r="Y3204" s="101" t="s">
        <v>170</v>
      </c>
      <c r="Z3204" s="101" t="s">
        <v>171</v>
      </c>
      <c r="AA3204" s="101" t="s">
        <v>50</v>
      </c>
      <c r="AB3204" s="101" t="s">
        <v>172</v>
      </c>
      <c r="AC3204" s="102" t="s">
        <v>173</v>
      </c>
    </row>
    <row r="3205" spans="1:29" ht="25.5" customHeight="1" x14ac:dyDescent="0.35">
      <c r="A3205" s="392"/>
      <c r="B3205" s="393"/>
      <c r="C3205" s="99" t="str">
        <f>IF(B3205="","",IF(NOT(ISNUMBER(B3205)),"DATA_PC invalida",IF(NOT(ISNUMBER(parametros!$C$2)),"Fora dos ciclos",IF(OR(B3205&lt;parametros!$C$2,(YEAR(B3205)-YEAR(parametros!$C$2))*12+MONTH(B3205)-MONTH(parametros!$C$2)&gt;59),"Fora dos ciclos","C"&amp;INT(((YEAR(B3205)-YEAR(parametros!$C$2))*12+MONTH(B3205)-MONTH(parametros!$C$2))/12)))))</f>
        <v/>
      </c>
      <c r="D3205" s="394"/>
      <c r="E3205" s="78" t="str">
        <f>IF(C3205="","",IFERROR(VLOOKUP(C3205,parametros!$A$11:$E$15,5,0),""))</f>
        <v/>
      </c>
      <c r="F3205" s="79" t="str">
        <f t="shared" si="252"/>
        <v/>
      </c>
      <c r="G3205" s="395"/>
      <c r="H3205" s="91">
        <f t="shared" si="253"/>
        <v>0</v>
      </c>
      <c r="I3205" s="91" t="str">
        <f t="shared" si="254"/>
        <v/>
      </c>
      <c r="J3205" s="91" t="str">
        <f t="shared" si="255"/>
        <v/>
      </c>
      <c r="K3205" s="92" t="str">
        <f>IF(AND(A3205="",B3205="",D3205="",G3205=""),"",IF(AND(A3205&lt;&gt;"",COUNTIF($A$2:$A$5001,A3205)&gt;1),"NUMERO_PC duplicado",IF(B3205="","DATA_PC vazia",IF(NOT(ISNUMBER(B3205)),"DATA_PC invalida",IF(OR(C3205="",C3205="Fora dos ciclos"),"CICLO_PC nao identificado",IF(OR(D3205="",D3205=0),"VALOR_PC vazio ou zero",IF(AND(G3205&lt;&gt;"Sim",G3205&lt;&gt;"Nao",G3205&lt;&gt;""),"PC_PAGO_A_CONTRATADA invalido",IF(AND(C3205&lt;&gt;"C0",IFERROR(INDEX(parametros!$A$2:$A$6,MATCH(C3205,parametros!$B$2:$B$6,0)),"")="Sim",IFERROR(INDEX(parametros!$H$2:$H$6,MATCH(C3205,parametros!$B$2:$B$6,0)),"")=""),"INICIO_EFEITO ausente: PC "&amp;A3205&amp;" - "&amp;C3205,IF(L3205="","EFEITO_PC nao calculado: PC "&amp;A3205&amp;" - "&amp;C3205,"OK")))))))))</f>
        <v/>
      </c>
      <c r="L3205" s="92" t="str">
        <f>IF(AND(A3205="",B3205="",D3205="",G3205=""),"",IF(OR(B3205="",NOT(ISNUMBER(B3205)),C3205="",C3205="Fora dos ciclos"),"",IF(C3205="C0","Nao",IF(IFERROR(INDEX(parametros!$A$2:$A$6,MATCH(C3205,parametros!$B$2:$B$6,0)),"")&lt;&gt;"Sim","Nao",IF(IFERROR(INDEX(parametros!$H$2:$H$6,MATCH(C3205,parametros!$B$2:$B$6,0)),"")="","",IF(B3205&gt;=IFERROR(INDEX(parametros!$H$2:$H$6,MATCH(C3205,parametros!$B$2:$B$6,0)),""),"Sim","Nao"))))))</f>
        <v/>
      </c>
      <c r="T3205" s="156"/>
      <c r="U3205" s="214" t="str">
        <f t="shared" si="256"/>
        <v/>
      </c>
      <c r="V3205" s="212" t="s">
        <v>50</v>
      </c>
      <c r="W3205" s="100" t="s">
        <v>168</v>
      </c>
      <c r="X3205" s="100" t="s">
        <v>169</v>
      </c>
      <c r="Y3205" s="101" t="s">
        <v>170</v>
      </c>
      <c r="Z3205" s="101" t="s">
        <v>171</v>
      </c>
      <c r="AA3205" s="101" t="s">
        <v>50</v>
      </c>
      <c r="AB3205" s="101" t="s">
        <v>172</v>
      </c>
      <c r="AC3205" s="102" t="s">
        <v>173</v>
      </c>
    </row>
    <row r="3206" spans="1:29" ht="25.5" customHeight="1" x14ac:dyDescent="0.35">
      <c r="A3206" s="392"/>
      <c r="B3206" s="393"/>
      <c r="C3206" s="99" t="str">
        <f>IF(B3206="","",IF(NOT(ISNUMBER(B3206)),"DATA_PC invalida",IF(NOT(ISNUMBER(parametros!$C$2)),"Fora dos ciclos",IF(OR(B3206&lt;parametros!$C$2,(YEAR(B3206)-YEAR(parametros!$C$2))*12+MONTH(B3206)-MONTH(parametros!$C$2)&gt;59),"Fora dos ciclos","C"&amp;INT(((YEAR(B3206)-YEAR(parametros!$C$2))*12+MONTH(B3206)-MONTH(parametros!$C$2))/12)))))</f>
        <v/>
      </c>
      <c r="D3206" s="394"/>
      <c r="E3206" s="78" t="str">
        <f>IF(C3206="","",IFERROR(VLOOKUP(C3206,parametros!$A$11:$E$15,5,0),""))</f>
        <v/>
      </c>
      <c r="F3206" s="79" t="str">
        <f t="shared" si="252"/>
        <v/>
      </c>
      <c r="G3206" s="395"/>
      <c r="H3206" s="91">
        <f t="shared" si="253"/>
        <v>0</v>
      </c>
      <c r="I3206" s="91" t="str">
        <f t="shared" si="254"/>
        <v/>
      </c>
      <c r="J3206" s="91" t="str">
        <f t="shared" si="255"/>
        <v/>
      </c>
      <c r="K3206" s="92" t="str">
        <f>IF(AND(A3206="",B3206="",D3206="",G3206=""),"",IF(AND(A3206&lt;&gt;"",COUNTIF($A$2:$A$5001,A3206)&gt;1),"NUMERO_PC duplicado",IF(B3206="","DATA_PC vazia",IF(NOT(ISNUMBER(B3206)),"DATA_PC invalida",IF(OR(C3206="",C3206="Fora dos ciclos"),"CICLO_PC nao identificado",IF(OR(D3206="",D3206=0),"VALOR_PC vazio ou zero",IF(AND(G3206&lt;&gt;"Sim",G3206&lt;&gt;"Nao",G3206&lt;&gt;""),"PC_PAGO_A_CONTRATADA invalido",IF(AND(C3206&lt;&gt;"C0",IFERROR(INDEX(parametros!$A$2:$A$6,MATCH(C3206,parametros!$B$2:$B$6,0)),"")="Sim",IFERROR(INDEX(parametros!$H$2:$H$6,MATCH(C3206,parametros!$B$2:$B$6,0)),"")=""),"INICIO_EFEITO ausente: PC "&amp;A3206&amp;" - "&amp;C3206,IF(L3206="","EFEITO_PC nao calculado: PC "&amp;A3206&amp;" - "&amp;C3206,"OK")))))))))</f>
        <v/>
      </c>
      <c r="L3206" s="92" t="str">
        <f>IF(AND(A3206="",B3206="",D3206="",G3206=""),"",IF(OR(B3206="",NOT(ISNUMBER(B3206)),C3206="",C3206="Fora dos ciclos"),"",IF(C3206="C0","Nao",IF(IFERROR(INDEX(parametros!$A$2:$A$6,MATCH(C3206,parametros!$B$2:$B$6,0)),"")&lt;&gt;"Sim","Nao",IF(IFERROR(INDEX(parametros!$H$2:$H$6,MATCH(C3206,parametros!$B$2:$B$6,0)),"")="","",IF(B3206&gt;=IFERROR(INDEX(parametros!$H$2:$H$6,MATCH(C3206,parametros!$B$2:$B$6,0)),""),"Sim","Nao"))))))</f>
        <v/>
      </c>
      <c r="T3206" s="156"/>
      <c r="U3206" s="214" t="str">
        <f t="shared" si="256"/>
        <v/>
      </c>
      <c r="V3206" s="212" t="s">
        <v>50</v>
      </c>
      <c r="W3206" s="100" t="s">
        <v>168</v>
      </c>
      <c r="X3206" s="100" t="s">
        <v>169</v>
      </c>
      <c r="Y3206" s="101" t="s">
        <v>170</v>
      </c>
      <c r="Z3206" s="101" t="s">
        <v>171</v>
      </c>
      <c r="AA3206" s="101" t="s">
        <v>50</v>
      </c>
      <c r="AB3206" s="101" t="s">
        <v>172</v>
      </c>
      <c r="AC3206" s="102" t="s">
        <v>173</v>
      </c>
    </row>
    <row r="3207" spans="1:29" ht="25.5" customHeight="1" x14ac:dyDescent="0.35">
      <c r="A3207" s="392"/>
      <c r="B3207" s="393"/>
      <c r="C3207" s="99" t="str">
        <f>IF(B3207="","",IF(NOT(ISNUMBER(B3207)),"DATA_PC invalida",IF(NOT(ISNUMBER(parametros!$C$2)),"Fora dos ciclos",IF(OR(B3207&lt;parametros!$C$2,(YEAR(B3207)-YEAR(parametros!$C$2))*12+MONTH(B3207)-MONTH(parametros!$C$2)&gt;59),"Fora dos ciclos","C"&amp;INT(((YEAR(B3207)-YEAR(parametros!$C$2))*12+MONTH(B3207)-MONTH(parametros!$C$2))/12)))))</f>
        <v/>
      </c>
      <c r="D3207" s="394"/>
      <c r="E3207" s="78" t="str">
        <f>IF(C3207="","",IFERROR(VLOOKUP(C3207,parametros!$A$11:$E$15,5,0),""))</f>
        <v/>
      </c>
      <c r="F3207" s="79" t="str">
        <f t="shared" si="252"/>
        <v/>
      </c>
      <c r="G3207" s="395"/>
      <c r="H3207" s="91">
        <f t="shared" si="253"/>
        <v>0</v>
      </c>
      <c r="I3207" s="91" t="str">
        <f t="shared" si="254"/>
        <v/>
      </c>
      <c r="J3207" s="91" t="str">
        <f t="shared" si="255"/>
        <v/>
      </c>
      <c r="K3207" s="92" t="str">
        <f>IF(AND(A3207="",B3207="",D3207="",G3207=""),"",IF(AND(A3207&lt;&gt;"",COUNTIF($A$2:$A$5001,A3207)&gt;1),"NUMERO_PC duplicado",IF(B3207="","DATA_PC vazia",IF(NOT(ISNUMBER(B3207)),"DATA_PC invalida",IF(OR(C3207="",C3207="Fora dos ciclos"),"CICLO_PC nao identificado",IF(OR(D3207="",D3207=0),"VALOR_PC vazio ou zero",IF(AND(G3207&lt;&gt;"Sim",G3207&lt;&gt;"Nao",G3207&lt;&gt;""),"PC_PAGO_A_CONTRATADA invalido",IF(AND(C3207&lt;&gt;"C0",IFERROR(INDEX(parametros!$A$2:$A$6,MATCH(C3207,parametros!$B$2:$B$6,0)),"")="Sim",IFERROR(INDEX(parametros!$H$2:$H$6,MATCH(C3207,parametros!$B$2:$B$6,0)),"")=""),"INICIO_EFEITO ausente: PC "&amp;A3207&amp;" - "&amp;C3207,IF(L3207="","EFEITO_PC nao calculado: PC "&amp;A3207&amp;" - "&amp;C3207,"OK")))))))))</f>
        <v/>
      </c>
      <c r="L3207" s="92" t="str">
        <f>IF(AND(A3207="",B3207="",D3207="",G3207=""),"",IF(OR(B3207="",NOT(ISNUMBER(B3207)),C3207="",C3207="Fora dos ciclos"),"",IF(C3207="C0","Nao",IF(IFERROR(INDEX(parametros!$A$2:$A$6,MATCH(C3207,parametros!$B$2:$B$6,0)),"")&lt;&gt;"Sim","Nao",IF(IFERROR(INDEX(parametros!$H$2:$H$6,MATCH(C3207,parametros!$B$2:$B$6,0)),"")="","",IF(B3207&gt;=IFERROR(INDEX(parametros!$H$2:$H$6,MATCH(C3207,parametros!$B$2:$B$6,0)),""),"Sim","Nao"))))))</f>
        <v/>
      </c>
      <c r="T3207" s="156"/>
      <c r="U3207" s="214" t="str">
        <f t="shared" si="256"/>
        <v/>
      </c>
      <c r="V3207" s="212" t="s">
        <v>50</v>
      </c>
      <c r="W3207" s="100" t="s">
        <v>168</v>
      </c>
      <c r="X3207" s="100" t="s">
        <v>169</v>
      </c>
      <c r="Y3207" s="101" t="s">
        <v>170</v>
      </c>
      <c r="Z3207" s="101" t="s">
        <v>171</v>
      </c>
      <c r="AA3207" s="101" t="s">
        <v>50</v>
      </c>
      <c r="AB3207" s="101" t="s">
        <v>172</v>
      </c>
      <c r="AC3207" s="102" t="s">
        <v>173</v>
      </c>
    </row>
    <row r="3208" spans="1:29" ht="25.5" customHeight="1" x14ac:dyDescent="0.35">
      <c r="A3208" s="392"/>
      <c r="B3208" s="393"/>
      <c r="C3208" s="99" t="str">
        <f>IF(B3208="","",IF(NOT(ISNUMBER(B3208)),"DATA_PC invalida",IF(NOT(ISNUMBER(parametros!$C$2)),"Fora dos ciclos",IF(OR(B3208&lt;parametros!$C$2,(YEAR(B3208)-YEAR(parametros!$C$2))*12+MONTH(B3208)-MONTH(parametros!$C$2)&gt;59),"Fora dos ciclos","C"&amp;INT(((YEAR(B3208)-YEAR(parametros!$C$2))*12+MONTH(B3208)-MONTH(parametros!$C$2))/12)))))</f>
        <v/>
      </c>
      <c r="D3208" s="394"/>
      <c r="E3208" s="78" t="str">
        <f>IF(C3208="","",IFERROR(VLOOKUP(C3208,parametros!$A$11:$E$15,5,0),""))</f>
        <v/>
      </c>
      <c r="F3208" s="79" t="str">
        <f t="shared" si="252"/>
        <v/>
      </c>
      <c r="G3208" s="395"/>
      <c r="H3208" s="91">
        <f t="shared" si="253"/>
        <v>0</v>
      </c>
      <c r="I3208" s="91" t="str">
        <f t="shared" si="254"/>
        <v/>
      </c>
      <c r="J3208" s="91" t="str">
        <f t="shared" si="255"/>
        <v/>
      </c>
      <c r="K3208" s="92" t="str">
        <f>IF(AND(A3208="",B3208="",D3208="",G3208=""),"",IF(AND(A3208&lt;&gt;"",COUNTIF($A$2:$A$5001,A3208)&gt;1),"NUMERO_PC duplicado",IF(B3208="","DATA_PC vazia",IF(NOT(ISNUMBER(B3208)),"DATA_PC invalida",IF(OR(C3208="",C3208="Fora dos ciclos"),"CICLO_PC nao identificado",IF(OR(D3208="",D3208=0),"VALOR_PC vazio ou zero",IF(AND(G3208&lt;&gt;"Sim",G3208&lt;&gt;"Nao",G3208&lt;&gt;""),"PC_PAGO_A_CONTRATADA invalido",IF(AND(C3208&lt;&gt;"C0",IFERROR(INDEX(parametros!$A$2:$A$6,MATCH(C3208,parametros!$B$2:$B$6,0)),"")="Sim",IFERROR(INDEX(parametros!$H$2:$H$6,MATCH(C3208,parametros!$B$2:$B$6,0)),"")=""),"INICIO_EFEITO ausente: PC "&amp;A3208&amp;" - "&amp;C3208,IF(L3208="","EFEITO_PC nao calculado: PC "&amp;A3208&amp;" - "&amp;C3208,"OK")))))))))</f>
        <v/>
      </c>
      <c r="L3208" s="92" t="str">
        <f>IF(AND(A3208="",B3208="",D3208="",G3208=""),"",IF(OR(B3208="",NOT(ISNUMBER(B3208)),C3208="",C3208="Fora dos ciclos"),"",IF(C3208="C0","Nao",IF(IFERROR(INDEX(parametros!$A$2:$A$6,MATCH(C3208,parametros!$B$2:$B$6,0)),"")&lt;&gt;"Sim","Nao",IF(IFERROR(INDEX(parametros!$H$2:$H$6,MATCH(C3208,parametros!$B$2:$B$6,0)),"")="","",IF(B3208&gt;=IFERROR(INDEX(parametros!$H$2:$H$6,MATCH(C3208,parametros!$B$2:$B$6,0)),""),"Sim","Nao"))))))</f>
        <v/>
      </c>
      <c r="T3208" s="156"/>
      <c r="U3208" s="214" t="str">
        <f t="shared" si="256"/>
        <v/>
      </c>
      <c r="V3208" s="212" t="s">
        <v>50</v>
      </c>
      <c r="W3208" s="100" t="s">
        <v>168</v>
      </c>
      <c r="X3208" s="100" t="s">
        <v>169</v>
      </c>
      <c r="Y3208" s="101" t="s">
        <v>170</v>
      </c>
      <c r="Z3208" s="101" t="s">
        <v>171</v>
      </c>
      <c r="AA3208" s="101" t="s">
        <v>50</v>
      </c>
      <c r="AB3208" s="101" t="s">
        <v>172</v>
      </c>
      <c r="AC3208" s="102" t="s">
        <v>173</v>
      </c>
    </row>
    <row r="3209" spans="1:29" ht="25.5" customHeight="1" x14ac:dyDescent="0.35">
      <c r="A3209" s="392"/>
      <c r="B3209" s="393"/>
      <c r="C3209" s="99" t="str">
        <f>IF(B3209="","",IF(NOT(ISNUMBER(B3209)),"DATA_PC invalida",IF(NOT(ISNUMBER(parametros!$C$2)),"Fora dos ciclos",IF(OR(B3209&lt;parametros!$C$2,(YEAR(B3209)-YEAR(parametros!$C$2))*12+MONTH(B3209)-MONTH(parametros!$C$2)&gt;59),"Fora dos ciclos","C"&amp;INT(((YEAR(B3209)-YEAR(parametros!$C$2))*12+MONTH(B3209)-MONTH(parametros!$C$2))/12)))))</f>
        <v/>
      </c>
      <c r="D3209" s="394"/>
      <c r="E3209" s="78" t="str">
        <f>IF(C3209="","",IFERROR(VLOOKUP(C3209,parametros!$A$11:$E$15,5,0),""))</f>
        <v/>
      </c>
      <c r="F3209" s="79" t="str">
        <f t="shared" si="252"/>
        <v/>
      </c>
      <c r="G3209" s="395"/>
      <c r="H3209" s="91">
        <f t="shared" si="253"/>
        <v>0</v>
      </c>
      <c r="I3209" s="91" t="str">
        <f t="shared" si="254"/>
        <v/>
      </c>
      <c r="J3209" s="91" t="str">
        <f t="shared" si="255"/>
        <v/>
      </c>
      <c r="K3209" s="92" t="str">
        <f>IF(AND(A3209="",B3209="",D3209="",G3209=""),"",IF(AND(A3209&lt;&gt;"",COUNTIF($A$2:$A$5001,A3209)&gt;1),"NUMERO_PC duplicado",IF(B3209="","DATA_PC vazia",IF(NOT(ISNUMBER(B3209)),"DATA_PC invalida",IF(OR(C3209="",C3209="Fora dos ciclos"),"CICLO_PC nao identificado",IF(OR(D3209="",D3209=0),"VALOR_PC vazio ou zero",IF(AND(G3209&lt;&gt;"Sim",G3209&lt;&gt;"Nao",G3209&lt;&gt;""),"PC_PAGO_A_CONTRATADA invalido",IF(AND(C3209&lt;&gt;"C0",IFERROR(INDEX(parametros!$A$2:$A$6,MATCH(C3209,parametros!$B$2:$B$6,0)),"")="Sim",IFERROR(INDEX(parametros!$H$2:$H$6,MATCH(C3209,parametros!$B$2:$B$6,0)),"")=""),"INICIO_EFEITO ausente: PC "&amp;A3209&amp;" - "&amp;C3209,IF(L3209="","EFEITO_PC nao calculado: PC "&amp;A3209&amp;" - "&amp;C3209,"OK")))))))))</f>
        <v/>
      </c>
      <c r="L3209" s="92" t="str">
        <f>IF(AND(A3209="",B3209="",D3209="",G3209=""),"",IF(OR(B3209="",NOT(ISNUMBER(B3209)),C3209="",C3209="Fora dos ciclos"),"",IF(C3209="C0","Nao",IF(IFERROR(INDEX(parametros!$A$2:$A$6,MATCH(C3209,parametros!$B$2:$B$6,0)),"")&lt;&gt;"Sim","Nao",IF(IFERROR(INDEX(parametros!$H$2:$H$6,MATCH(C3209,parametros!$B$2:$B$6,0)),"")="","",IF(B3209&gt;=IFERROR(INDEX(parametros!$H$2:$H$6,MATCH(C3209,parametros!$B$2:$B$6,0)),""),"Sim","Nao"))))))</f>
        <v/>
      </c>
      <c r="T3209" s="156"/>
      <c r="U3209" s="214" t="str">
        <f t="shared" si="256"/>
        <v/>
      </c>
      <c r="V3209" s="212" t="s">
        <v>50</v>
      </c>
      <c r="W3209" s="100" t="s">
        <v>168</v>
      </c>
      <c r="X3209" s="100" t="s">
        <v>169</v>
      </c>
      <c r="Y3209" s="101" t="s">
        <v>170</v>
      </c>
      <c r="Z3209" s="101" t="s">
        <v>171</v>
      </c>
      <c r="AA3209" s="101" t="s">
        <v>50</v>
      </c>
      <c r="AB3209" s="101" t="s">
        <v>172</v>
      </c>
      <c r="AC3209" s="102" t="s">
        <v>173</v>
      </c>
    </row>
    <row r="3210" spans="1:29" ht="25.5" customHeight="1" x14ac:dyDescent="0.35">
      <c r="A3210" s="392"/>
      <c r="B3210" s="393"/>
      <c r="C3210" s="99" t="str">
        <f>IF(B3210="","",IF(NOT(ISNUMBER(B3210)),"DATA_PC invalida",IF(NOT(ISNUMBER(parametros!$C$2)),"Fora dos ciclos",IF(OR(B3210&lt;parametros!$C$2,(YEAR(B3210)-YEAR(parametros!$C$2))*12+MONTH(B3210)-MONTH(parametros!$C$2)&gt;59),"Fora dos ciclos","C"&amp;INT(((YEAR(B3210)-YEAR(parametros!$C$2))*12+MONTH(B3210)-MONTH(parametros!$C$2))/12)))))</f>
        <v/>
      </c>
      <c r="D3210" s="394"/>
      <c r="E3210" s="78" t="str">
        <f>IF(C3210="","",IFERROR(VLOOKUP(C3210,parametros!$A$11:$E$15,5,0),""))</f>
        <v/>
      </c>
      <c r="F3210" s="79" t="str">
        <f t="shared" si="252"/>
        <v/>
      </c>
      <c r="G3210" s="395"/>
      <c r="H3210" s="91">
        <f t="shared" si="253"/>
        <v>0</v>
      </c>
      <c r="I3210" s="91" t="str">
        <f t="shared" si="254"/>
        <v/>
      </c>
      <c r="J3210" s="91" t="str">
        <f t="shared" si="255"/>
        <v/>
      </c>
      <c r="K3210" s="92" t="str">
        <f>IF(AND(A3210="",B3210="",D3210="",G3210=""),"",IF(AND(A3210&lt;&gt;"",COUNTIF($A$2:$A$5001,A3210)&gt;1),"NUMERO_PC duplicado",IF(B3210="","DATA_PC vazia",IF(NOT(ISNUMBER(B3210)),"DATA_PC invalida",IF(OR(C3210="",C3210="Fora dos ciclos"),"CICLO_PC nao identificado",IF(OR(D3210="",D3210=0),"VALOR_PC vazio ou zero",IF(AND(G3210&lt;&gt;"Sim",G3210&lt;&gt;"Nao",G3210&lt;&gt;""),"PC_PAGO_A_CONTRATADA invalido",IF(AND(C3210&lt;&gt;"C0",IFERROR(INDEX(parametros!$A$2:$A$6,MATCH(C3210,parametros!$B$2:$B$6,0)),"")="Sim",IFERROR(INDEX(parametros!$H$2:$H$6,MATCH(C3210,parametros!$B$2:$B$6,0)),"")=""),"INICIO_EFEITO ausente: PC "&amp;A3210&amp;" - "&amp;C3210,IF(L3210="","EFEITO_PC nao calculado: PC "&amp;A3210&amp;" - "&amp;C3210,"OK")))))))))</f>
        <v/>
      </c>
      <c r="L3210" s="92" t="str">
        <f>IF(AND(A3210="",B3210="",D3210="",G3210=""),"",IF(OR(B3210="",NOT(ISNUMBER(B3210)),C3210="",C3210="Fora dos ciclos"),"",IF(C3210="C0","Nao",IF(IFERROR(INDEX(parametros!$A$2:$A$6,MATCH(C3210,parametros!$B$2:$B$6,0)),"")&lt;&gt;"Sim","Nao",IF(IFERROR(INDEX(parametros!$H$2:$H$6,MATCH(C3210,parametros!$B$2:$B$6,0)),"")="","",IF(B3210&gt;=IFERROR(INDEX(parametros!$H$2:$H$6,MATCH(C3210,parametros!$B$2:$B$6,0)),""),"Sim","Nao"))))))</f>
        <v/>
      </c>
      <c r="T3210" s="156"/>
      <c r="U3210" s="214" t="str">
        <f t="shared" si="256"/>
        <v/>
      </c>
      <c r="V3210" s="212" t="s">
        <v>50</v>
      </c>
      <c r="W3210" s="100" t="s">
        <v>168</v>
      </c>
      <c r="X3210" s="100" t="s">
        <v>169</v>
      </c>
      <c r="Y3210" s="101" t="s">
        <v>170</v>
      </c>
      <c r="Z3210" s="101" t="s">
        <v>171</v>
      </c>
      <c r="AA3210" s="101" t="s">
        <v>50</v>
      </c>
      <c r="AB3210" s="101" t="s">
        <v>172</v>
      </c>
      <c r="AC3210" s="102" t="s">
        <v>173</v>
      </c>
    </row>
    <row r="3211" spans="1:29" ht="25.5" customHeight="1" x14ac:dyDescent="0.35">
      <c r="A3211" s="392"/>
      <c r="B3211" s="393"/>
      <c r="C3211" s="99" t="str">
        <f>IF(B3211="","",IF(NOT(ISNUMBER(B3211)),"DATA_PC invalida",IF(NOT(ISNUMBER(parametros!$C$2)),"Fora dos ciclos",IF(OR(B3211&lt;parametros!$C$2,(YEAR(B3211)-YEAR(parametros!$C$2))*12+MONTH(B3211)-MONTH(parametros!$C$2)&gt;59),"Fora dos ciclos","C"&amp;INT(((YEAR(B3211)-YEAR(parametros!$C$2))*12+MONTH(B3211)-MONTH(parametros!$C$2))/12)))))</f>
        <v/>
      </c>
      <c r="D3211" s="394"/>
      <c r="E3211" s="78" t="str">
        <f>IF(C3211="","",IFERROR(VLOOKUP(C3211,parametros!$A$11:$E$15,5,0),""))</f>
        <v/>
      </c>
      <c r="F3211" s="79" t="str">
        <f t="shared" si="252"/>
        <v/>
      </c>
      <c r="G3211" s="395"/>
      <c r="H3211" s="91">
        <f t="shared" si="253"/>
        <v>0</v>
      </c>
      <c r="I3211" s="91" t="str">
        <f t="shared" si="254"/>
        <v/>
      </c>
      <c r="J3211" s="91" t="str">
        <f t="shared" si="255"/>
        <v/>
      </c>
      <c r="K3211" s="92" t="str">
        <f>IF(AND(A3211="",B3211="",D3211="",G3211=""),"",IF(AND(A3211&lt;&gt;"",COUNTIF($A$2:$A$5001,A3211)&gt;1),"NUMERO_PC duplicado",IF(B3211="","DATA_PC vazia",IF(NOT(ISNUMBER(B3211)),"DATA_PC invalida",IF(OR(C3211="",C3211="Fora dos ciclos"),"CICLO_PC nao identificado",IF(OR(D3211="",D3211=0),"VALOR_PC vazio ou zero",IF(AND(G3211&lt;&gt;"Sim",G3211&lt;&gt;"Nao",G3211&lt;&gt;""),"PC_PAGO_A_CONTRATADA invalido",IF(AND(C3211&lt;&gt;"C0",IFERROR(INDEX(parametros!$A$2:$A$6,MATCH(C3211,parametros!$B$2:$B$6,0)),"")="Sim",IFERROR(INDEX(parametros!$H$2:$H$6,MATCH(C3211,parametros!$B$2:$B$6,0)),"")=""),"INICIO_EFEITO ausente: PC "&amp;A3211&amp;" - "&amp;C3211,IF(L3211="","EFEITO_PC nao calculado: PC "&amp;A3211&amp;" - "&amp;C3211,"OK")))))))))</f>
        <v/>
      </c>
      <c r="L3211" s="92" t="str">
        <f>IF(AND(A3211="",B3211="",D3211="",G3211=""),"",IF(OR(B3211="",NOT(ISNUMBER(B3211)),C3211="",C3211="Fora dos ciclos"),"",IF(C3211="C0","Nao",IF(IFERROR(INDEX(parametros!$A$2:$A$6,MATCH(C3211,parametros!$B$2:$B$6,0)),"")&lt;&gt;"Sim","Nao",IF(IFERROR(INDEX(parametros!$H$2:$H$6,MATCH(C3211,parametros!$B$2:$B$6,0)),"")="","",IF(B3211&gt;=IFERROR(INDEX(parametros!$H$2:$H$6,MATCH(C3211,parametros!$B$2:$B$6,0)),""),"Sim","Nao"))))))</f>
        <v/>
      </c>
      <c r="T3211" s="156"/>
      <c r="U3211" s="214" t="str">
        <f t="shared" si="256"/>
        <v/>
      </c>
      <c r="V3211" s="212" t="s">
        <v>50</v>
      </c>
      <c r="W3211" s="100" t="s">
        <v>168</v>
      </c>
      <c r="X3211" s="100" t="s">
        <v>169</v>
      </c>
      <c r="Y3211" s="101" t="s">
        <v>170</v>
      </c>
      <c r="Z3211" s="101" t="s">
        <v>171</v>
      </c>
      <c r="AA3211" s="101" t="s">
        <v>50</v>
      </c>
      <c r="AB3211" s="101" t="s">
        <v>172</v>
      </c>
      <c r="AC3211" s="102" t="s">
        <v>173</v>
      </c>
    </row>
    <row r="3212" spans="1:29" ht="25.5" customHeight="1" x14ac:dyDescent="0.35">
      <c r="A3212" s="392"/>
      <c r="B3212" s="393"/>
      <c r="C3212" s="99" t="str">
        <f>IF(B3212="","",IF(NOT(ISNUMBER(B3212)),"DATA_PC invalida",IF(NOT(ISNUMBER(parametros!$C$2)),"Fora dos ciclos",IF(OR(B3212&lt;parametros!$C$2,(YEAR(B3212)-YEAR(parametros!$C$2))*12+MONTH(B3212)-MONTH(parametros!$C$2)&gt;59),"Fora dos ciclos","C"&amp;INT(((YEAR(B3212)-YEAR(parametros!$C$2))*12+MONTH(B3212)-MONTH(parametros!$C$2))/12)))))</f>
        <v/>
      </c>
      <c r="D3212" s="394"/>
      <c r="E3212" s="78" t="str">
        <f>IF(C3212="","",IFERROR(VLOOKUP(C3212,parametros!$A$11:$E$15,5,0),""))</f>
        <v/>
      </c>
      <c r="F3212" s="79" t="str">
        <f t="shared" si="252"/>
        <v/>
      </c>
      <c r="G3212" s="395"/>
      <c r="H3212" s="91">
        <f t="shared" si="253"/>
        <v>0</v>
      </c>
      <c r="I3212" s="91" t="str">
        <f t="shared" si="254"/>
        <v/>
      </c>
      <c r="J3212" s="91" t="str">
        <f t="shared" si="255"/>
        <v/>
      </c>
      <c r="K3212" s="92" t="str">
        <f>IF(AND(A3212="",B3212="",D3212="",G3212=""),"",IF(AND(A3212&lt;&gt;"",COUNTIF($A$2:$A$5001,A3212)&gt;1),"NUMERO_PC duplicado",IF(B3212="","DATA_PC vazia",IF(NOT(ISNUMBER(B3212)),"DATA_PC invalida",IF(OR(C3212="",C3212="Fora dos ciclos"),"CICLO_PC nao identificado",IF(OR(D3212="",D3212=0),"VALOR_PC vazio ou zero",IF(AND(G3212&lt;&gt;"Sim",G3212&lt;&gt;"Nao",G3212&lt;&gt;""),"PC_PAGO_A_CONTRATADA invalido",IF(AND(C3212&lt;&gt;"C0",IFERROR(INDEX(parametros!$A$2:$A$6,MATCH(C3212,parametros!$B$2:$B$6,0)),"")="Sim",IFERROR(INDEX(parametros!$H$2:$H$6,MATCH(C3212,parametros!$B$2:$B$6,0)),"")=""),"INICIO_EFEITO ausente: PC "&amp;A3212&amp;" - "&amp;C3212,IF(L3212="","EFEITO_PC nao calculado: PC "&amp;A3212&amp;" - "&amp;C3212,"OK")))))))))</f>
        <v/>
      </c>
      <c r="L3212" s="92" t="str">
        <f>IF(AND(A3212="",B3212="",D3212="",G3212=""),"",IF(OR(B3212="",NOT(ISNUMBER(B3212)),C3212="",C3212="Fora dos ciclos"),"",IF(C3212="C0","Nao",IF(IFERROR(INDEX(parametros!$A$2:$A$6,MATCH(C3212,parametros!$B$2:$B$6,0)),"")&lt;&gt;"Sim","Nao",IF(IFERROR(INDEX(parametros!$H$2:$H$6,MATCH(C3212,parametros!$B$2:$B$6,0)),"")="","",IF(B3212&gt;=IFERROR(INDEX(parametros!$H$2:$H$6,MATCH(C3212,parametros!$B$2:$B$6,0)),""),"Sim","Nao"))))))</f>
        <v/>
      </c>
      <c r="T3212" s="156"/>
      <c r="U3212" s="214" t="str">
        <f t="shared" si="256"/>
        <v/>
      </c>
      <c r="V3212" s="212" t="s">
        <v>50</v>
      </c>
      <c r="W3212" s="100" t="s">
        <v>168</v>
      </c>
      <c r="X3212" s="100" t="s">
        <v>169</v>
      </c>
      <c r="Y3212" s="101" t="s">
        <v>170</v>
      </c>
      <c r="Z3212" s="101" t="s">
        <v>171</v>
      </c>
      <c r="AA3212" s="101" t="s">
        <v>50</v>
      </c>
      <c r="AB3212" s="101" t="s">
        <v>172</v>
      </c>
      <c r="AC3212" s="102" t="s">
        <v>173</v>
      </c>
    </row>
    <row r="3213" spans="1:29" ht="25.5" customHeight="1" x14ac:dyDescent="0.35">
      <c r="A3213" s="392"/>
      <c r="B3213" s="393"/>
      <c r="C3213" s="99" t="str">
        <f>IF(B3213="","",IF(NOT(ISNUMBER(B3213)),"DATA_PC invalida",IF(NOT(ISNUMBER(parametros!$C$2)),"Fora dos ciclos",IF(OR(B3213&lt;parametros!$C$2,(YEAR(B3213)-YEAR(parametros!$C$2))*12+MONTH(B3213)-MONTH(parametros!$C$2)&gt;59),"Fora dos ciclos","C"&amp;INT(((YEAR(B3213)-YEAR(parametros!$C$2))*12+MONTH(B3213)-MONTH(parametros!$C$2))/12)))))</f>
        <v/>
      </c>
      <c r="D3213" s="394"/>
      <c r="E3213" s="78" t="str">
        <f>IF(C3213="","",IFERROR(VLOOKUP(C3213,parametros!$A$11:$E$15,5,0),""))</f>
        <v/>
      </c>
      <c r="F3213" s="79" t="str">
        <f t="shared" si="252"/>
        <v/>
      </c>
      <c r="G3213" s="395"/>
      <c r="H3213" s="91">
        <f t="shared" si="253"/>
        <v>0</v>
      </c>
      <c r="I3213" s="91" t="str">
        <f t="shared" si="254"/>
        <v/>
      </c>
      <c r="J3213" s="91" t="str">
        <f t="shared" si="255"/>
        <v/>
      </c>
      <c r="K3213" s="92" t="str">
        <f>IF(AND(A3213="",B3213="",D3213="",G3213=""),"",IF(AND(A3213&lt;&gt;"",COUNTIF($A$2:$A$5001,A3213)&gt;1),"NUMERO_PC duplicado",IF(B3213="","DATA_PC vazia",IF(NOT(ISNUMBER(B3213)),"DATA_PC invalida",IF(OR(C3213="",C3213="Fora dos ciclos"),"CICLO_PC nao identificado",IF(OR(D3213="",D3213=0),"VALOR_PC vazio ou zero",IF(AND(G3213&lt;&gt;"Sim",G3213&lt;&gt;"Nao",G3213&lt;&gt;""),"PC_PAGO_A_CONTRATADA invalido",IF(AND(C3213&lt;&gt;"C0",IFERROR(INDEX(parametros!$A$2:$A$6,MATCH(C3213,parametros!$B$2:$B$6,0)),"")="Sim",IFERROR(INDEX(parametros!$H$2:$H$6,MATCH(C3213,parametros!$B$2:$B$6,0)),"")=""),"INICIO_EFEITO ausente: PC "&amp;A3213&amp;" - "&amp;C3213,IF(L3213="","EFEITO_PC nao calculado: PC "&amp;A3213&amp;" - "&amp;C3213,"OK")))))))))</f>
        <v/>
      </c>
      <c r="L3213" s="92" t="str">
        <f>IF(AND(A3213="",B3213="",D3213="",G3213=""),"",IF(OR(B3213="",NOT(ISNUMBER(B3213)),C3213="",C3213="Fora dos ciclos"),"",IF(C3213="C0","Nao",IF(IFERROR(INDEX(parametros!$A$2:$A$6,MATCH(C3213,parametros!$B$2:$B$6,0)),"")&lt;&gt;"Sim","Nao",IF(IFERROR(INDEX(parametros!$H$2:$H$6,MATCH(C3213,parametros!$B$2:$B$6,0)),"")="","",IF(B3213&gt;=IFERROR(INDEX(parametros!$H$2:$H$6,MATCH(C3213,parametros!$B$2:$B$6,0)),""),"Sim","Nao"))))))</f>
        <v/>
      </c>
      <c r="T3213" s="156"/>
      <c r="U3213" s="214" t="str">
        <f t="shared" si="256"/>
        <v/>
      </c>
      <c r="V3213" s="212" t="s">
        <v>50</v>
      </c>
      <c r="W3213" s="100" t="s">
        <v>168</v>
      </c>
      <c r="X3213" s="100" t="s">
        <v>169</v>
      </c>
      <c r="Y3213" s="101" t="s">
        <v>170</v>
      </c>
      <c r="Z3213" s="101" t="s">
        <v>171</v>
      </c>
      <c r="AA3213" s="101" t="s">
        <v>50</v>
      </c>
      <c r="AB3213" s="101" t="s">
        <v>172</v>
      </c>
      <c r="AC3213" s="102" t="s">
        <v>173</v>
      </c>
    </row>
    <row r="3214" spans="1:29" ht="25.5" customHeight="1" x14ac:dyDescent="0.35">
      <c r="A3214" s="392"/>
      <c r="B3214" s="393"/>
      <c r="C3214" s="99" t="str">
        <f>IF(B3214="","",IF(NOT(ISNUMBER(B3214)),"DATA_PC invalida",IF(NOT(ISNUMBER(parametros!$C$2)),"Fora dos ciclos",IF(OR(B3214&lt;parametros!$C$2,(YEAR(B3214)-YEAR(parametros!$C$2))*12+MONTH(B3214)-MONTH(parametros!$C$2)&gt;59),"Fora dos ciclos","C"&amp;INT(((YEAR(B3214)-YEAR(parametros!$C$2))*12+MONTH(B3214)-MONTH(parametros!$C$2))/12)))))</f>
        <v/>
      </c>
      <c r="D3214" s="394"/>
      <c r="E3214" s="78" t="str">
        <f>IF(C3214="","",IFERROR(VLOOKUP(C3214,parametros!$A$11:$E$15,5,0),""))</f>
        <v/>
      </c>
      <c r="F3214" s="79" t="str">
        <f t="shared" si="252"/>
        <v/>
      </c>
      <c r="G3214" s="395"/>
      <c r="H3214" s="91">
        <f t="shared" si="253"/>
        <v>0</v>
      </c>
      <c r="I3214" s="91" t="str">
        <f t="shared" si="254"/>
        <v/>
      </c>
      <c r="J3214" s="91" t="str">
        <f t="shared" si="255"/>
        <v/>
      </c>
      <c r="K3214" s="92" t="str">
        <f>IF(AND(A3214="",B3214="",D3214="",G3214=""),"",IF(AND(A3214&lt;&gt;"",COUNTIF($A$2:$A$5001,A3214)&gt;1),"NUMERO_PC duplicado",IF(B3214="","DATA_PC vazia",IF(NOT(ISNUMBER(B3214)),"DATA_PC invalida",IF(OR(C3214="",C3214="Fora dos ciclos"),"CICLO_PC nao identificado",IF(OR(D3214="",D3214=0),"VALOR_PC vazio ou zero",IF(AND(G3214&lt;&gt;"Sim",G3214&lt;&gt;"Nao",G3214&lt;&gt;""),"PC_PAGO_A_CONTRATADA invalido",IF(AND(C3214&lt;&gt;"C0",IFERROR(INDEX(parametros!$A$2:$A$6,MATCH(C3214,parametros!$B$2:$B$6,0)),"")="Sim",IFERROR(INDEX(parametros!$H$2:$H$6,MATCH(C3214,parametros!$B$2:$B$6,0)),"")=""),"INICIO_EFEITO ausente: PC "&amp;A3214&amp;" - "&amp;C3214,IF(L3214="","EFEITO_PC nao calculado: PC "&amp;A3214&amp;" - "&amp;C3214,"OK")))))))))</f>
        <v/>
      </c>
      <c r="L3214" s="92" t="str">
        <f>IF(AND(A3214="",B3214="",D3214="",G3214=""),"",IF(OR(B3214="",NOT(ISNUMBER(B3214)),C3214="",C3214="Fora dos ciclos"),"",IF(C3214="C0","Nao",IF(IFERROR(INDEX(parametros!$A$2:$A$6,MATCH(C3214,parametros!$B$2:$B$6,0)),"")&lt;&gt;"Sim","Nao",IF(IFERROR(INDEX(parametros!$H$2:$H$6,MATCH(C3214,parametros!$B$2:$B$6,0)),"")="","",IF(B3214&gt;=IFERROR(INDEX(parametros!$H$2:$H$6,MATCH(C3214,parametros!$B$2:$B$6,0)),""),"Sim","Nao"))))))</f>
        <v/>
      </c>
      <c r="T3214" s="156"/>
      <c r="U3214" s="214" t="str">
        <f t="shared" si="256"/>
        <v/>
      </c>
      <c r="V3214" s="212" t="s">
        <v>50</v>
      </c>
      <c r="W3214" s="100" t="s">
        <v>168</v>
      </c>
      <c r="X3214" s="100" t="s">
        <v>169</v>
      </c>
      <c r="Y3214" s="101" t="s">
        <v>170</v>
      </c>
      <c r="Z3214" s="101" t="s">
        <v>171</v>
      </c>
      <c r="AA3214" s="101" t="s">
        <v>50</v>
      </c>
      <c r="AB3214" s="101" t="s">
        <v>172</v>
      </c>
      <c r="AC3214" s="102" t="s">
        <v>173</v>
      </c>
    </row>
    <row r="3215" spans="1:29" ht="25.5" customHeight="1" x14ac:dyDescent="0.35">
      <c r="A3215" s="392"/>
      <c r="B3215" s="393"/>
      <c r="C3215" s="99" t="str">
        <f>IF(B3215="","",IF(NOT(ISNUMBER(B3215)),"DATA_PC invalida",IF(NOT(ISNUMBER(parametros!$C$2)),"Fora dos ciclos",IF(OR(B3215&lt;parametros!$C$2,(YEAR(B3215)-YEAR(parametros!$C$2))*12+MONTH(B3215)-MONTH(parametros!$C$2)&gt;59),"Fora dos ciclos","C"&amp;INT(((YEAR(B3215)-YEAR(parametros!$C$2))*12+MONTH(B3215)-MONTH(parametros!$C$2))/12)))))</f>
        <v/>
      </c>
      <c r="D3215" s="394"/>
      <c r="E3215" s="78" t="str">
        <f>IF(C3215="","",IFERROR(VLOOKUP(C3215,parametros!$A$11:$E$15,5,0),""))</f>
        <v/>
      </c>
      <c r="F3215" s="79" t="str">
        <f t="shared" si="252"/>
        <v/>
      </c>
      <c r="G3215" s="395"/>
      <c r="H3215" s="91">
        <f t="shared" si="253"/>
        <v>0</v>
      </c>
      <c r="I3215" s="91" t="str">
        <f t="shared" si="254"/>
        <v/>
      </c>
      <c r="J3215" s="91" t="str">
        <f t="shared" si="255"/>
        <v/>
      </c>
      <c r="K3215" s="92" t="str">
        <f>IF(AND(A3215="",B3215="",D3215="",G3215=""),"",IF(AND(A3215&lt;&gt;"",COUNTIF($A$2:$A$5001,A3215)&gt;1),"NUMERO_PC duplicado",IF(B3215="","DATA_PC vazia",IF(NOT(ISNUMBER(B3215)),"DATA_PC invalida",IF(OR(C3215="",C3215="Fora dos ciclos"),"CICLO_PC nao identificado",IF(OR(D3215="",D3215=0),"VALOR_PC vazio ou zero",IF(AND(G3215&lt;&gt;"Sim",G3215&lt;&gt;"Nao",G3215&lt;&gt;""),"PC_PAGO_A_CONTRATADA invalido",IF(AND(C3215&lt;&gt;"C0",IFERROR(INDEX(parametros!$A$2:$A$6,MATCH(C3215,parametros!$B$2:$B$6,0)),"")="Sim",IFERROR(INDEX(parametros!$H$2:$H$6,MATCH(C3215,parametros!$B$2:$B$6,0)),"")=""),"INICIO_EFEITO ausente: PC "&amp;A3215&amp;" - "&amp;C3215,IF(L3215="","EFEITO_PC nao calculado: PC "&amp;A3215&amp;" - "&amp;C3215,"OK")))))))))</f>
        <v/>
      </c>
      <c r="L3215" s="92" t="str">
        <f>IF(AND(A3215="",B3215="",D3215="",G3215=""),"",IF(OR(B3215="",NOT(ISNUMBER(B3215)),C3215="",C3215="Fora dos ciclos"),"",IF(C3215="C0","Nao",IF(IFERROR(INDEX(parametros!$A$2:$A$6,MATCH(C3215,parametros!$B$2:$B$6,0)),"")&lt;&gt;"Sim","Nao",IF(IFERROR(INDEX(parametros!$H$2:$H$6,MATCH(C3215,parametros!$B$2:$B$6,0)),"")="","",IF(B3215&gt;=IFERROR(INDEX(parametros!$H$2:$H$6,MATCH(C3215,parametros!$B$2:$B$6,0)),""),"Sim","Nao"))))))</f>
        <v/>
      </c>
      <c r="T3215" s="156"/>
      <c r="U3215" s="214" t="str">
        <f t="shared" si="256"/>
        <v/>
      </c>
      <c r="V3215" s="212" t="s">
        <v>50</v>
      </c>
      <c r="W3215" s="100" t="s">
        <v>168</v>
      </c>
      <c r="X3215" s="100" t="s">
        <v>169</v>
      </c>
      <c r="Y3215" s="101" t="s">
        <v>170</v>
      </c>
      <c r="Z3215" s="101" t="s">
        <v>171</v>
      </c>
      <c r="AA3215" s="101" t="s">
        <v>50</v>
      </c>
      <c r="AB3215" s="101" t="s">
        <v>172</v>
      </c>
      <c r="AC3215" s="102" t="s">
        <v>173</v>
      </c>
    </row>
    <row r="3216" spans="1:29" ht="25.5" customHeight="1" x14ac:dyDescent="0.35">
      <c r="A3216" s="392"/>
      <c r="B3216" s="393"/>
      <c r="C3216" s="99" t="str">
        <f>IF(B3216="","",IF(NOT(ISNUMBER(B3216)),"DATA_PC invalida",IF(NOT(ISNUMBER(parametros!$C$2)),"Fora dos ciclos",IF(OR(B3216&lt;parametros!$C$2,(YEAR(B3216)-YEAR(parametros!$C$2))*12+MONTH(B3216)-MONTH(parametros!$C$2)&gt;59),"Fora dos ciclos","C"&amp;INT(((YEAR(B3216)-YEAR(parametros!$C$2))*12+MONTH(B3216)-MONTH(parametros!$C$2))/12)))))</f>
        <v/>
      </c>
      <c r="D3216" s="394"/>
      <c r="E3216" s="78" t="str">
        <f>IF(C3216="","",IFERROR(VLOOKUP(C3216,parametros!$A$11:$E$15,5,0),""))</f>
        <v/>
      </c>
      <c r="F3216" s="79" t="str">
        <f t="shared" si="252"/>
        <v/>
      </c>
      <c r="G3216" s="395"/>
      <c r="H3216" s="91">
        <f t="shared" si="253"/>
        <v>0</v>
      </c>
      <c r="I3216" s="91" t="str">
        <f t="shared" si="254"/>
        <v/>
      </c>
      <c r="J3216" s="91" t="str">
        <f t="shared" si="255"/>
        <v/>
      </c>
      <c r="K3216" s="92" t="str">
        <f>IF(AND(A3216="",B3216="",D3216="",G3216=""),"",IF(AND(A3216&lt;&gt;"",COUNTIF($A$2:$A$5001,A3216)&gt;1),"NUMERO_PC duplicado",IF(B3216="","DATA_PC vazia",IF(NOT(ISNUMBER(B3216)),"DATA_PC invalida",IF(OR(C3216="",C3216="Fora dos ciclos"),"CICLO_PC nao identificado",IF(OR(D3216="",D3216=0),"VALOR_PC vazio ou zero",IF(AND(G3216&lt;&gt;"Sim",G3216&lt;&gt;"Nao",G3216&lt;&gt;""),"PC_PAGO_A_CONTRATADA invalido",IF(AND(C3216&lt;&gt;"C0",IFERROR(INDEX(parametros!$A$2:$A$6,MATCH(C3216,parametros!$B$2:$B$6,0)),"")="Sim",IFERROR(INDEX(parametros!$H$2:$H$6,MATCH(C3216,parametros!$B$2:$B$6,0)),"")=""),"INICIO_EFEITO ausente: PC "&amp;A3216&amp;" - "&amp;C3216,IF(L3216="","EFEITO_PC nao calculado: PC "&amp;A3216&amp;" - "&amp;C3216,"OK")))))))))</f>
        <v/>
      </c>
      <c r="L3216" s="92" t="str">
        <f>IF(AND(A3216="",B3216="",D3216="",G3216=""),"",IF(OR(B3216="",NOT(ISNUMBER(B3216)),C3216="",C3216="Fora dos ciclos"),"",IF(C3216="C0","Nao",IF(IFERROR(INDEX(parametros!$A$2:$A$6,MATCH(C3216,parametros!$B$2:$B$6,0)),"")&lt;&gt;"Sim","Nao",IF(IFERROR(INDEX(parametros!$H$2:$H$6,MATCH(C3216,parametros!$B$2:$B$6,0)),"")="","",IF(B3216&gt;=IFERROR(INDEX(parametros!$H$2:$H$6,MATCH(C3216,parametros!$B$2:$B$6,0)),""),"Sim","Nao"))))))</f>
        <v/>
      </c>
      <c r="T3216" s="156"/>
      <c r="U3216" s="214" t="str">
        <f t="shared" si="256"/>
        <v/>
      </c>
      <c r="V3216" s="212" t="s">
        <v>50</v>
      </c>
      <c r="W3216" s="100" t="s">
        <v>168</v>
      </c>
      <c r="X3216" s="100" t="s">
        <v>169</v>
      </c>
      <c r="Y3216" s="101" t="s">
        <v>170</v>
      </c>
      <c r="Z3216" s="101" t="s">
        <v>171</v>
      </c>
      <c r="AA3216" s="101" t="s">
        <v>50</v>
      </c>
      <c r="AB3216" s="101" t="s">
        <v>172</v>
      </c>
      <c r="AC3216" s="102" t="s">
        <v>173</v>
      </c>
    </row>
    <row r="3217" spans="1:29" ht="25.5" customHeight="1" x14ac:dyDescent="0.35">
      <c r="A3217" s="392"/>
      <c r="B3217" s="393"/>
      <c r="C3217" s="99" t="str">
        <f>IF(B3217="","",IF(NOT(ISNUMBER(B3217)),"DATA_PC invalida",IF(NOT(ISNUMBER(parametros!$C$2)),"Fora dos ciclos",IF(OR(B3217&lt;parametros!$C$2,(YEAR(B3217)-YEAR(parametros!$C$2))*12+MONTH(B3217)-MONTH(parametros!$C$2)&gt;59),"Fora dos ciclos","C"&amp;INT(((YEAR(B3217)-YEAR(parametros!$C$2))*12+MONTH(B3217)-MONTH(parametros!$C$2))/12)))))</f>
        <v/>
      </c>
      <c r="D3217" s="394"/>
      <c r="E3217" s="78" t="str">
        <f>IF(C3217="","",IFERROR(VLOOKUP(C3217,parametros!$A$11:$E$15,5,0),""))</f>
        <v/>
      </c>
      <c r="F3217" s="79" t="str">
        <f t="shared" si="252"/>
        <v/>
      </c>
      <c r="G3217" s="395"/>
      <c r="H3217" s="91">
        <f t="shared" si="253"/>
        <v>0</v>
      </c>
      <c r="I3217" s="91" t="str">
        <f t="shared" si="254"/>
        <v/>
      </c>
      <c r="J3217" s="91" t="str">
        <f t="shared" si="255"/>
        <v/>
      </c>
      <c r="K3217" s="92" t="str">
        <f>IF(AND(A3217="",B3217="",D3217="",G3217=""),"",IF(AND(A3217&lt;&gt;"",COUNTIF($A$2:$A$5001,A3217)&gt;1),"NUMERO_PC duplicado",IF(B3217="","DATA_PC vazia",IF(NOT(ISNUMBER(B3217)),"DATA_PC invalida",IF(OR(C3217="",C3217="Fora dos ciclos"),"CICLO_PC nao identificado",IF(OR(D3217="",D3217=0),"VALOR_PC vazio ou zero",IF(AND(G3217&lt;&gt;"Sim",G3217&lt;&gt;"Nao",G3217&lt;&gt;""),"PC_PAGO_A_CONTRATADA invalido",IF(AND(C3217&lt;&gt;"C0",IFERROR(INDEX(parametros!$A$2:$A$6,MATCH(C3217,parametros!$B$2:$B$6,0)),"")="Sim",IFERROR(INDEX(parametros!$H$2:$H$6,MATCH(C3217,parametros!$B$2:$B$6,0)),"")=""),"INICIO_EFEITO ausente: PC "&amp;A3217&amp;" - "&amp;C3217,IF(L3217="","EFEITO_PC nao calculado: PC "&amp;A3217&amp;" - "&amp;C3217,"OK")))))))))</f>
        <v/>
      </c>
      <c r="L3217" s="92" t="str">
        <f>IF(AND(A3217="",B3217="",D3217="",G3217=""),"",IF(OR(B3217="",NOT(ISNUMBER(B3217)),C3217="",C3217="Fora dos ciclos"),"",IF(C3217="C0","Nao",IF(IFERROR(INDEX(parametros!$A$2:$A$6,MATCH(C3217,parametros!$B$2:$B$6,0)),"")&lt;&gt;"Sim","Nao",IF(IFERROR(INDEX(parametros!$H$2:$H$6,MATCH(C3217,parametros!$B$2:$B$6,0)),"")="","",IF(B3217&gt;=IFERROR(INDEX(parametros!$H$2:$H$6,MATCH(C3217,parametros!$B$2:$B$6,0)),""),"Sim","Nao"))))))</f>
        <v/>
      </c>
      <c r="T3217" s="156"/>
      <c r="U3217" s="214" t="str">
        <f t="shared" si="256"/>
        <v/>
      </c>
      <c r="V3217" s="212" t="s">
        <v>50</v>
      </c>
      <c r="W3217" s="100" t="s">
        <v>168</v>
      </c>
      <c r="X3217" s="100" t="s">
        <v>169</v>
      </c>
      <c r="Y3217" s="101" t="s">
        <v>170</v>
      </c>
      <c r="Z3217" s="101" t="s">
        <v>171</v>
      </c>
      <c r="AA3217" s="101" t="s">
        <v>50</v>
      </c>
      <c r="AB3217" s="101" t="s">
        <v>172</v>
      </c>
      <c r="AC3217" s="102" t="s">
        <v>173</v>
      </c>
    </row>
    <row r="3218" spans="1:29" ht="25.5" customHeight="1" x14ac:dyDescent="0.35">
      <c r="A3218" s="392"/>
      <c r="B3218" s="393"/>
      <c r="C3218" s="99" t="str">
        <f>IF(B3218="","",IF(NOT(ISNUMBER(B3218)),"DATA_PC invalida",IF(NOT(ISNUMBER(parametros!$C$2)),"Fora dos ciclos",IF(OR(B3218&lt;parametros!$C$2,(YEAR(B3218)-YEAR(parametros!$C$2))*12+MONTH(B3218)-MONTH(parametros!$C$2)&gt;59),"Fora dos ciclos","C"&amp;INT(((YEAR(B3218)-YEAR(parametros!$C$2))*12+MONTH(B3218)-MONTH(parametros!$C$2))/12)))))</f>
        <v/>
      </c>
      <c r="D3218" s="394"/>
      <c r="E3218" s="78" t="str">
        <f>IF(C3218="","",IFERROR(VLOOKUP(C3218,parametros!$A$11:$E$15,5,0),""))</f>
        <v/>
      </c>
      <c r="F3218" s="79" t="str">
        <f t="shared" si="252"/>
        <v/>
      </c>
      <c r="G3218" s="395"/>
      <c r="H3218" s="91">
        <f t="shared" si="253"/>
        <v>0</v>
      </c>
      <c r="I3218" s="91" t="str">
        <f t="shared" si="254"/>
        <v/>
      </c>
      <c r="J3218" s="91" t="str">
        <f t="shared" si="255"/>
        <v/>
      </c>
      <c r="K3218" s="92" t="str">
        <f>IF(AND(A3218="",B3218="",D3218="",G3218=""),"",IF(AND(A3218&lt;&gt;"",COUNTIF($A$2:$A$5001,A3218)&gt;1),"NUMERO_PC duplicado",IF(B3218="","DATA_PC vazia",IF(NOT(ISNUMBER(B3218)),"DATA_PC invalida",IF(OR(C3218="",C3218="Fora dos ciclos"),"CICLO_PC nao identificado",IF(OR(D3218="",D3218=0),"VALOR_PC vazio ou zero",IF(AND(G3218&lt;&gt;"Sim",G3218&lt;&gt;"Nao",G3218&lt;&gt;""),"PC_PAGO_A_CONTRATADA invalido",IF(AND(C3218&lt;&gt;"C0",IFERROR(INDEX(parametros!$A$2:$A$6,MATCH(C3218,parametros!$B$2:$B$6,0)),"")="Sim",IFERROR(INDEX(parametros!$H$2:$H$6,MATCH(C3218,parametros!$B$2:$B$6,0)),"")=""),"INICIO_EFEITO ausente: PC "&amp;A3218&amp;" - "&amp;C3218,IF(L3218="","EFEITO_PC nao calculado: PC "&amp;A3218&amp;" - "&amp;C3218,"OK")))))))))</f>
        <v/>
      </c>
      <c r="L3218" s="92" t="str">
        <f>IF(AND(A3218="",B3218="",D3218="",G3218=""),"",IF(OR(B3218="",NOT(ISNUMBER(B3218)),C3218="",C3218="Fora dos ciclos"),"",IF(C3218="C0","Nao",IF(IFERROR(INDEX(parametros!$A$2:$A$6,MATCH(C3218,parametros!$B$2:$B$6,0)),"")&lt;&gt;"Sim","Nao",IF(IFERROR(INDEX(parametros!$H$2:$H$6,MATCH(C3218,parametros!$B$2:$B$6,0)),"")="","",IF(B3218&gt;=IFERROR(INDEX(parametros!$H$2:$H$6,MATCH(C3218,parametros!$B$2:$B$6,0)),""),"Sim","Nao"))))))</f>
        <v/>
      </c>
      <c r="T3218" s="156"/>
      <c r="U3218" s="214" t="str">
        <f t="shared" si="256"/>
        <v/>
      </c>
      <c r="V3218" s="212" t="s">
        <v>50</v>
      </c>
      <c r="W3218" s="100" t="s">
        <v>168</v>
      </c>
      <c r="X3218" s="100" t="s">
        <v>169</v>
      </c>
      <c r="Y3218" s="101" t="s">
        <v>170</v>
      </c>
      <c r="Z3218" s="101" t="s">
        <v>171</v>
      </c>
      <c r="AA3218" s="101" t="s">
        <v>50</v>
      </c>
      <c r="AB3218" s="101" t="s">
        <v>172</v>
      </c>
      <c r="AC3218" s="102" t="s">
        <v>173</v>
      </c>
    </row>
    <row r="3219" spans="1:29" ht="25.5" customHeight="1" x14ac:dyDescent="0.35">
      <c r="A3219" s="392"/>
      <c r="B3219" s="393"/>
      <c r="C3219" s="99" t="str">
        <f>IF(B3219="","",IF(NOT(ISNUMBER(B3219)),"DATA_PC invalida",IF(NOT(ISNUMBER(parametros!$C$2)),"Fora dos ciclos",IF(OR(B3219&lt;parametros!$C$2,(YEAR(B3219)-YEAR(parametros!$C$2))*12+MONTH(B3219)-MONTH(parametros!$C$2)&gt;59),"Fora dos ciclos","C"&amp;INT(((YEAR(B3219)-YEAR(parametros!$C$2))*12+MONTH(B3219)-MONTH(parametros!$C$2))/12)))))</f>
        <v/>
      </c>
      <c r="D3219" s="394"/>
      <c r="E3219" s="78" t="str">
        <f>IF(C3219="","",IFERROR(VLOOKUP(C3219,parametros!$A$11:$E$15,5,0),""))</f>
        <v/>
      </c>
      <c r="F3219" s="79" t="str">
        <f t="shared" si="252"/>
        <v/>
      </c>
      <c r="G3219" s="395"/>
      <c r="H3219" s="91">
        <f t="shared" si="253"/>
        <v>0</v>
      </c>
      <c r="I3219" s="91" t="str">
        <f t="shared" si="254"/>
        <v/>
      </c>
      <c r="J3219" s="91" t="str">
        <f t="shared" si="255"/>
        <v/>
      </c>
      <c r="K3219" s="92" t="str">
        <f>IF(AND(A3219="",B3219="",D3219="",G3219=""),"",IF(AND(A3219&lt;&gt;"",COUNTIF($A$2:$A$5001,A3219)&gt;1),"NUMERO_PC duplicado",IF(B3219="","DATA_PC vazia",IF(NOT(ISNUMBER(B3219)),"DATA_PC invalida",IF(OR(C3219="",C3219="Fora dos ciclos"),"CICLO_PC nao identificado",IF(OR(D3219="",D3219=0),"VALOR_PC vazio ou zero",IF(AND(G3219&lt;&gt;"Sim",G3219&lt;&gt;"Nao",G3219&lt;&gt;""),"PC_PAGO_A_CONTRATADA invalido",IF(AND(C3219&lt;&gt;"C0",IFERROR(INDEX(parametros!$A$2:$A$6,MATCH(C3219,parametros!$B$2:$B$6,0)),"")="Sim",IFERROR(INDEX(parametros!$H$2:$H$6,MATCH(C3219,parametros!$B$2:$B$6,0)),"")=""),"INICIO_EFEITO ausente: PC "&amp;A3219&amp;" - "&amp;C3219,IF(L3219="","EFEITO_PC nao calculado: PC "&amp;A3219&amp;" - "&amp;C3219,"OK")))))))))</f>
        <v/>
      </c>
      <c r="L3219" s="92" t="str">
        <f>IF(AND(A3219="",B3219="",D3219="",G3219=""),"",IF(OR(B3219="",NOT(ISNUMBER(B3219)),C3219="",C3219="Fora dos ciclos"),"",IF(C3219="C0","Nao",IF(IFERROR(INDEX(parametros!$A$2:$A$6,MATCH(C3219,parametros!$B$2:$B$6,0)),"")&lt;&gt;"Sim","Nao",IF(IFERROR(INDEX(parametros!$H$2:$H$6,MATCH(C3219,parametros!$B$2:$B$6,0)),"")="","",IF(B3219&gt;=IFERROR(INDEX(parametros!$H$2:$H$6,MATCH(C3219,parametros!$B$2:$B$6,0)),""),"Sim","Nao"))))))</f>
        <v/>
      </c>
      <c r="T3219" s="156"/>
      <c r="U3219" s="214" t="str">
        <f t="shared" si="256"/>
        <v/>
      </c>
      <c r="V3219" s="212" t="s">
        <v>50</v>
      </c>
      <c r="W3219" s="100" t="s">
        <v>168</v>
      </c>
      <c r="X3219" s="100" t="s">
        <v>169</v>
      </c>
      <c r="Y3219" s="101" t="s">
        <v>170</v>
      </c>
      <c r="Z3219" s="101" t="s">
        <v>171</v>
      </c>
      <c r="AA3219" s="101" t="s">
        <v>50</v>
      </c>
      <c r="AB3219" s="101" t="s">
        <v>172</v>
      </c>
      <c r="AC3219" s="102" t="s">
        <v>173</v>
      </c>
    </row>
    <row r="3220" spans="1:29" ht="25.5" customHeight="1" x14ac:dyDescent="0.35">
      <c r="A3220" s="392"/>
      <c r="B3220" s="393"/>
      <c r="C3220" s="99" t="str">
        <f>IF(B3220="","",IF(NOT(ISNUMBER(B3220)),"DATA_PC invalida",IF(NOT(ISNUMBER(parametros!$C$2)),"Fora dos ciclos",IF(OR(B3220&lt;parametros!$C$2,(YEAR(B3220)-YEAR(parametros!$C$2))*12+MONTH(B3220)-MONTH(parametros!$C$2)&gt;59),"Fora dos ciclos","C"&amp;INT(((YEAR(B3220)-YEAR(parametros!$C$2))*12+MONTH(B3220)-MONTH(parametros!$C$2))/12)))))</f>
        <v/>
      </c>
      <c r="D3220" s="394"/>
      <c r="E3220" s="78" t="str">
        <f>IF(C3220="","",IFERROR(VLOOKUP(C3220,parametros!$A$11:$E$15,5,0),""))</f>
        <v/>
      </c>
      <c r="F3220" s="79" t="str">
        <f t="shared" si="252"/>
        <v/>
      </c>
      <c r="G3220" s="395"/>
      <c r="H3220" s="91">
        <f t="shared" si="253"/>
        <v>0</v>
      </c>
      <c r="I3220" s="91" t="str">
        <f t="shared" si="254"/>
        <v/>
      </c>
      <c r="J3220" s="91" t="str">
        <f t="shared" si="255"/>
        <v/>
      </c>
      <c r="K3220" s="92" t="str">
        <f>IF(AND(A3220="",B3220="",D3220="",G3220=""),"",IF(AND(A3220&lt;&gt;"",COUNTIF($A$2:$A$5001,A3220)&gt;1),"NUMERO_PC duplicado",IF(B3220="","DATA_PC vazia",IF(NOT(ISNUMBER(B3220)),"DATA_PC invalida",IF(OR(C3220="",C3220="Fora dos ciclos"),"CICLO_PC nao identificado",IF(OR(D3220="",D3220=0),"VALOR_PC vazio ou zero",IF(AND(G3220&lt;&gt;"Sim",G3220&lt;&gt;"Nao",G3220&lt;&gt;""),"PC_PAGO_A_CONTRATADA invalido",IF(AND(C3220&lt;&gt;"C0",IFERROR(INDEX(parametros!$A$2:$A$6,MATCH(C3220,parametros!$B$2:$B$6,0)),"")="Sim",IFERROR(INDEX(parametros!$H$2:$H$6,MATCH(C3220,parametros!$B$2:$B$6,0)),"")=""),"INICIO_EFEITO ausente: PC "&amp;A3220&amp;" - "&amp;C3220,IF(L3220="","EFEITO_PC nao calculado: PC "&amp;A3220&amp;" - "&amp;C3220,"OK")))))))))</f>
        <v/>
      </c>
      <c r="L3220" s="92" t="str">
        <f>IF(AND(A3220="",B3220="",D3220="",G3220=""),"",IF(OR(B3220="",NOT(ISNUMBER(B3220)),C3220="",C3220="Fora dos ciclos"),"",IF(C3220="C0","Nao",IF(IFERROR(INDEX(parametros!$A$2:$A$6,MATCH(C3220,parametros!$B$2:$B$6,0)),"")&lt;&gt;"Sim","Nao",IF(IFERROR(INDEX(parametros!$H$2:$H$6,MATCH(C3220,parametros!$B$2:$B$6,0)),"")="","",IF(B3220&gt;=IFERROR(INDEX(parametros!$H$2:$H$6,MATCH(C3220,parametros!$B$2:$B$6,0)),""),"Sim","Nao"))))))</f>
        <v/>
      </c>
      <c r="T3220" s="156"/>
      <c r="U3220" s="214" t="str">
        <f t="shared" si="256"/>
        <v/>
      </c>
      <c r="V3220" s="212" t="s">
        <v>50</v>
      </c>
      <c r="W3220" s="100" t="s">
        <v>168</v>
      </c>
      <c r="X3220" s="100" t="s">
        <v>169</v>
      </c>
      <c r="Y3220" s="101" t="s">
        <v>170</v>
      </c>
      <c r="Z3220" s="101" t="s">
        <v>171</v>
      </c>
      <c r="AA3220" s="101" t="s">
        <v>50</v>
      </c>
      <c r="AB3220" s="101" t="s">
        <v>172</v>
      </c>
      <c r="AC3220" s="102" t="s">
        <v>173</v>
      </c>
    </row>
    <row r="3221" spans="1:29" ht="25.5" customHeight="1" x14ac:dyDescent="0.35">
      <c r="A3221" s="392"/>
      <c r="B3221" s="393"/>
      <c r="C3221" s="99" t="str">
        <f>IF(B3221="","",IF(NOT(ISNUMBER(B3221)),"DATA_PC invalida",IF(NOT(ISNUMBER(parametros!$C$2)),"Fora dos ciclos",IF(OR(B3221&lt;parametros!$C$2,(YEAR(B3221)-YEAR(parametros!$C$2))*12+MONTH(B3221)-MONTH(parametros!$C$2)&gt;59),"Fora dos ciclos","C"&amp;INT(((YEAR(B3221)-YEAR(parametros!$C$2))*12+MONTH(B3221)-MONTH(parametros!$C$2))/12)))))</f>
        <v/>
      </c>
      <c r="D3221" s="394"/>
      <c r="E3221" s="78" t="str">
        <f>IF(C3221="","",IFERROR(VLOOKUP(C3221,parametros!$A$11:$E$15,5,0),""))</f>
        <v/>
      </c>
      <c r="F3221" s="79" t="str">
        <f t="shared" si="252"/>
        <v/>
      </c>
      <c r="G3221" s="395"/>
      <c r="H3221" s="91">
        <f t="shared" si="253"/>
        <v>0</v>
      </c>
      <c r="I3221" s="91" t="str">
        <f t="shared" si="254"/>
        <v/>
      </c>
      <c r="J3221" s="91" t="str">
        <f t="shared" si="255"/>
        <v/>
      </c>
      <c r="K3221" s="92" t="str">
        <f>IF(AND(A3221="",B3221="",D3221="",G3221=""),"",IF(AND(A3221&lt;&gt;"",COUNTIF($A$2:$A$5001,A3221)&gt;1),"NUMERO_PC duplicado",IF(B3221="","DATA_PC vazia",IF(NOT(ISNUMBER(B3221)),"DATA_PC invalida",IF(OR(C3221="",C3221="Fora dos ciclos"),"CICLO_PC nao identificado",IF(OR(D3221="",D3221=0),"VALOR_PC vazio ou zero",IF(AND(G3221&lt;&gt;"Sim",G3221&lt;&gt;"Nao",G3221&lt;&gt;""),"PC_PAGO_A_CONTRATADA invalido",IF(AND(C3221&lt;&gt;"C0",IFERROR(INDEX(parametros!$A$2:$A$6,MATCH(C3221,parametros!$B$2:$B$6,0)),"")="Sim",IFERROR(INDEX(parametros!$H$2:$H$6,MATCH(C3221,parametros!$B$2:$B$6,0)),"")=""),"INICIO_EFEITO ausente: PC "&amp;A3221&amp;" - "&amp;C3221,IF(L3221="","EFEITO_PC nao calculado: PC "&amp;A3221&amp;" - "&amp;C3221,"OK")))))))))</f>
        <v/>
      </c>
      <c r="L3221" s="92" t="str">
        <f>IF(AND(A3221="",B3221="",D3221="",G3221=""),"",IF(OR(B3221="",NOT(ISNUMBER(B3221)),C3221="",C3221="Fora dos ciclos"),"",IF(C3221="C0","Nao",IF(IFERROR(INDEX(parametros!$A$2:$A$6,MATCH(C3221,parametros!$B$2:$B$6,0)),"")&lt;&gt;"Sim","Nao",IF(IFERROR(INDEX(parametros!$H$2:$H$6,MATCH(C3221,parametros!$B$2:$B$6,0)),"")="","",IF(B3221&gt;=IFERROR(INDEX(parametros!$H$2:$H$6,MATCH(C3221,parametros!$B$2:$B$6,0)),""),"Sim","Nao"))))))</f>
        <v/>
      </c>
      <c r="T3221" s="156"/>
      <c r="U3221" s="214" t="str">
        <f t="shared" si="256"/>
        <v/>
      </c>
      <c r="V3221" s="212" t="s">
        <v>50</v>
      </c>
      <c r="W3221" s="100" t="s">
        <v>168</v>
      </c>
      <c r="X3221" s="100" t="s">
        <v>169</v>
      </c>
      <c r="Y3221" s="101" t="s">
        <v>170</v>
      </c>
      <c r="Z3221" s="101" t="s">
        <v>171</v>
      </c>
      <c r="AA3221" s="101" t="s">
        <v>50</v>
      </c>
      <c r="AB3221" s="101" t="s">
        <v>172</v>
      </c>
      <c r="AC3221" s="102" t="s">
        <v>173</v>
      </c>
    </row>
    <row r="3222" spans="1:29" ht="25.5" customHeight="1" x14ac:dyDescent="0.35">
      <c r="A3222" s="392"/>
      <c r="B3222" s="393"/>
      <c r="C3222" s="99" t="str">
        <f>IF(B3222="","",IF(NOT(ISNUMBER(B3222)),"DATA_PC invalida",IF(NOT(ISNUMBER(parametros!$C$2)),"Fora dos ciclos",IF(OR(B3222&lt;parametros!$C$2,(YEAR(B3222)-YEAR(parametros!$C$2))*12+MONTH(B3222)-MONTH(parametros!$C$2)&gt;59),"Fora dos ciclos","C"&amp;INT(((YEAR(B3222)-YEAR(parametros!$C$2))*12+MONTH(B3222)-MONTH(parametros!$C$2))/12)))))</f>
        <v/>
      </c>
      <c r="D3222" s="394"/>
      <c r="E3222" s="78" t="str">
        <f>IF(C3222="","",IFERROR(VLOOKUP(C3222,parametros!$A$11:$E$15,5,0),""))</f>
        <v/>
      </c>
      <c r="F3222" s="79" t="str">
        <f t="shared" si="252"/>
        <v/>
      </c>
      <c r="G3222" s="395"/>
      <c r="H3222" s="91">
        <f t="shared" si="253"/>
        <v>0</v>
      </c>
      <c r="I3222" s="91" t="str">
        <f t="shared" si="254"/>
        <v/>
      </c>
      <c r="J3222" s="91" t="str">
        <f t="shared" si="255"/>
        <v/>
      </c>
      <c r="K3222" s="92" t="str">
        <f>IF(AND(A3222="",B3222="",D3222="",G3222=""),"",IF(AND(A3222&lt;&gt;"",COUNTIF($A$2:$A$5001,A3222)&gt;1),"NUMERO_PC duplicado",IF(B3222="","DATA_PC vazia",IF(NOT(ISNUMBER(B3222)),"DATA_PC invalida",IF(OR(C3222="",C3222="Fora dos ciclos"),"CICLO_PC nao identificado",IF(OR(D3222="",D3222=0),"VALOR_PC vazio ou zero",IF(AND(G3222&lt;&gt;"Sim",G3222&lt;&gt;"Nao",G3222&lt;&gt;""),"PC_PAGO_A_CONTRATADA invalido",IF(AND(C3222&lt;&gt;"C0",IFERROR(INDEX(parametros!$A$2:$A$6,MATCH(C3222,parametros!$B$2:$B$6,0)),"")="Sim",IFERROR(INDEX(parametros!$H$2:$H$6,MATCH(C3222,parametros!$B$2:$B$6,0)),"")=""),"INICIO_EFEITO ausente: PC "&amp;A3222&amp;" - "&amp;C3222,IF(L3222="","EFEITO_PC nao calculado: PC "&amp;A3222&amp;" - "&amp;C3222,"OK")))))))))</f>
        <v/>
      </c>
      <c r="L3222" s="92" t="str">
        <f>IF(AND(A3222="",B3222="",D3222="",G3222=""),"",IF(OR(B3222="",NOT(ISNUMBER(B3222)),C3222="",C3222="Fora dos ciclos"),"",IF(C3222="C0","Nao",IF(IFERROR(INDEX(parametros!$A$2:$A$6,MATCH(C3222,parametros!$B$2:$B$6,0)),"")&lt;&gt;"Sim","Nao",IF(IFERROR(INDEX(parametros!$H$2:$H$6,MATCH(C3222,parametros!$B$2:$B$6,0)),"")="","",IF(B3222&gt;=IFERROR(INDEX(parametros!$H$2:$H$6,MATCH(C3222,parametros!$B$2:$B$6,0)),""),"Sim","Nao"))))))</f>
        <v/>
      </c>
      <c r="T3222" s="156"/>
      <c r="U3222" s="214" t="str">
        <f t="shared" si="256"/>
        <v/>
      </c>
      <c r="V3222" s="212" t="s">
        <v>50</v>
      </c>
      <c r="W3222" s="100" t="s">
        <v>168</v>
      </c>
      <c r="X3222" s="100" t="s">
        <v>169</v>
      </c>
      <c r="Y3222" s="101" t="s">
        <v>170</v>
      </c>
      <c r="Z3222" s="101" t="s">
        <v>171</v>
      </c>
      <c r="AA3222" s="101" t="s">
        <v>50</v>
      </c>
      <c r="AB3222" s="101" t="s">
        <v>172</v>
      </c>
      <c r="AC3222" s="102" t="s">
        <v>173</v>
      </c>
    </row>
    <row r="3223" spans="1:29" ht="25.5" customHeight="1" x14ac:dyDescent="0.35">
      <c r="A3223" s="392"/>
      <c r="B3223" s="393"/>
      <c r="C3223" s="99" t="str">
        <f>IF(B3223="","",IF(NOT(ISNUMBER(B3223)),"DATA_PC invalida",IF(NOT(ISNUMBER(parametros!$C$2)),"Fora dos ciclos",IF(OR(B3223&lt;parametros!$C$2,(YEAR(B3223)-YEAR(parametros!$C$2))*12+MONTH(B3223)-MONTH(parametros!$C$2)&gt;59),"Fora dos ciclos","C"&amp;INT(((YEAR(B3223)-YEAR(parametros!$C$2))*12+MONTH(B3223)-MONTH(parametros!$C$2))/12)))))</f>
        <v/>
      </c>
      <c r="D3223" s="394"/>
      <c r="E3223" s="78" t="str">
        <f>IF(C3223="","",IFERROR(VLOOKUP(C3223,parametros!$A$11:$E$15,5,0),""))</f>
        <v/>
      </c>
      <c r="F3223" s="79" t="str">
        <f t="shared" si="252"/>
        <v/>
      </c>
      <c r="G3223" s="395"/>
      <c r="H3223" s="91">
        <f t="shared" si="253"/>
        <v>0</v>
      </c>
      <c r="I3223" s="91" t="str">
        <f t="shared" si="254"/>
        <v/>
      </c>
      <c r="J3223" s="91" t="str">
        <f t="shared" si="255"/>
        <v/>
      </c>
      <c r="K3223" s="92" t="str">
        <f>IF(AND(A3223="",B3223="",D3223="",G3223=""),"",IF(AND(A3223&lt;&gt;"",COUNTIF($A$2:$A$5001,A3223)&gt;1),"NUMERO_PC duplicado",IF(B3223="","DATA_PC vazia",IF(NOT(ISNUMBER(B3223)),"DATA_PC invalida",IF(OR(C3223="",C3223="Fora dos ciclos"),"CICLO_PC nao identificado",IF(OR(D3223="",D3223=0),"VALOR_PC vazio ou zero",IF(AND(G3223&lt;&gt;"Sim",G3223&lt;&gt;"Nao",G3223&lt;&gt;""),"PC_PAGO_A_CONTRATADA invalido",IF(AND(C3223&lt;&gt;"C0",IFERROR(INDEX(parametros!$A$2:$A$6,MATCH(C3223,parametros!$B$2:$B$6,0)),"")="Sim",IFERROR(INDEX(parametros!$H$2:$H$6,MATCH(C3223,parametros!$B$2:$B$6,0)),"")=""),"INICIO_EFEITO ausente: PC "&amp;A3223&amp;" - "&amp;C3223,IF(L3223="","EFEITO_PC nao calculado: PC "&amp;A3223&amp;" - "&amp;C3223,"OK")))))))))</f>
        <v/>
      </c>
      <c r="L3223" s="92" t="str">
        <f>IF(AND(A3223="",B3223="",D3223="",G3223=""),"",IF(OR(B3223="",NOT(ISNUMBER(B3223)),C3223="",C3223="Fora dos ciclos"),"",IF(C3223="C0","Nao",IF(IFERROR(INDEX(parametros!$A$2:$A$6,MATCH(C3223,parametros!$B$2:$B$6,0)),"")&lt;&gt;"Sim","Nao",IF(IFERROR(INDEX(parametros!$H$2:$H$6,MATCH(C3223,parametros!$B$2:$B$6,0)),"")="","",IF(B3223&gt;=IFERROR(INDEX(parametros!$H$2:$H$6,MATCH(C3223,parametros!$B$2:$B$6,0)),""),"Sim","Nao"))))))</f>
        <v/>
      </c>
      <c r="T3223" s="156"/>
      <c r="U3223" s="214" t="str">
        <f t="shared" si="256"/>
        <v/>
      </c>
      <c r="V3223" s="212" t="s">
        <v>50</v>
      </c>
      <c r="W3223" s="100" t="s">
        <v>168</v>
      </c>
      <c r="X3223" s="100" t="s">
        <v>169</v>
      </c>
      <c r="Y3223" s="101" t="s">
        <v>170</v>
      </c>
      <c r="Z3223" s="101" t="s">
        <v>171</v>
      </c>
      <c r="AA3223" s="101" t="s">
        <v>50</v>
      </c>
      <c r="AB3223" s="101" t="s">
        <v>172</v>
      </c>
      <c r="AC3223" s="102" t="s">
        <v>173</v>
      </c>
    </row>
    <row r="3224" spans="1:29" ht="25.5" customHeight="1" x14ac:dyDescent="0.35">
      <c r="A3224" s="392"/>
      <c r="B3224" s="393"/>
      <c r="C3224" s="99" t="str">
        <f>IF(B3224="","",IF(NOT(ISNUMBER(B3224)),"DATA_PC invalida",IF(NOT(ISNUMBER(parametros!$C$2)),"Fora dos ciclos",IF(OR(B3224&lt;parametros!$C$2,(YEAR(B3224)-YEAR(parametros!$C$2))*12+MONTH(B3224)-MONTH(parametros!$C$2)&gt;59),"Fora dos ciclos","C"&amp;INT(((YEAR(B3224)-YEAR(parametros!$C$2))*12+MONTH(B3224)-MONTH(parametros!$C$2))/12)))))</f>
        <v/>
      </c>
      <c r="D3224" s="394"/>
      <c r="E3224" s="78" t="str">
        <f>IF(C3224="","",IFERROR(VLOOKUP(C3224,parametros!$A$11:$E$15,5,0),""))</f>
        <v/>
      </c>
      <c r="F3224" s="79" t="str">
        <f t="shared" si="252"/>
        <v/>
      </c>
      <c r="G3224" s="395"/>
      <c r="H3224" s="91">
        <f t="shared" si="253"/>
        <v>0</v>
      </c>
      <c r="I3224" s="91" t="str">
        <f t="shared" si="254"/>
        <v/>
      </c>
      <c r="J3224" s="91" t="str">
        <f t="shared" si="255"/>
        <v/>
      </c>
      <c r="K3224" s="92" t="str">
        <f>IF(AND(A3224="",B3224="",D3224="",G3224=""),"",IF(AND(A3224&lt;&gt;"",COUNTIF($A$2:$A$5001,A3224)&gt;1),"NUMERO_PC duplicado",IF(B3224="","DATA_PC vazia",IF(NOT(ISNUMBER(B3224)),"DATA_PC invalida",IF(OR(C3224="",C3224="Fora dos ciclos"),"CICLO_PC nao identificado",IF(OR(D3224="",D3224=0),"VALOR_PC vazio ou zero",IF(AND(G3224&lt;&gt;"Sim",G3224&lt;&gt;"Nao",G3224&lt;&gt;""),"PC_PAGO_A_CONTRATADA invalido",IF(AND(C3224&lt;&gt;"C0",IFERROR(INDEX(parametros!$A$2:$A$6,MATCH(C3224,parametros!$B$2:$B$6,0)),"")="Sim",IFERROR(INDEX(parametros!$H$2:$H$6,MATCH(C3224,parametros!$B$2:$B$6,0)),"")=""),"INICIO_EFEITO ausente: PC "&amp;A3224&amp;" - "&amp;C3224,IF(L3224="","EFEITO_PC nao calculado: PC "&amp;A3224&amp;" - "&amp;C3224,"OK")))))))))</f>
        <v/>
      </c>
      <c r="L3224" s="92" t="str">
        <f>IF(AND(A3224="",B3224="",D3224="",G3224=""),"",IF(OR(B3224="",NOT(ISNUMBER(B3224)),C3224="",C3224="Fora dos ciclos"),"",IF(C3224="C0","Nao",IF(IFERROR(INDEX(parametros!$A$2:$A$6,MATCH(C3224,parametros!$B$2:$B$6,0)),"")&lt;&gt;"Sim","Nao",IF(IFERROR(INDEX(parametros!$H$2:$H$6,MATCH(C3224,parametros!$B$2:$B$6,0)),"")="","",IF(B3224&gt;=IFERROR(INDEX(parametros!$H$2:$H$6,MATCH(C3224,parametros!$B$2:$B$6,0)),""),"Sim","Nao"))))))</f>
        <v/>
      </c>
      <c r="T3224" s="156"/>
      <c r="U3224" s="214" t="str">
        <f t="shared" si="256"/>
        <v/>
      </c>
      <c r="V3224" s="212" t="s">
        <v>50</v>
      </c>
      <c r="W3224" s="100" t="s">
        <v>168</v>
      </c>
      <c r="X3224" s="100" t="s">
        <v>169</v>
      </c>
      <c r="Y3224" s="101" t="s">
        <v>170</v>
      </c>
      <c r="Z3224" s="101" t="s">
        <v>171</v>
      </c>
      <c r="AA3224" s="101" t="s">
        <v>50</v>
      </c>
      <c r="AB3224" s="101" t="s">
        <v>172</v>
      </c>
      <c r="AC3224" s="102" t="s">
        <v>173</v>
      </c>
    </row>
    <row r="3225" spans="1:29" ht="25.5" customHeight="1" x14ac:dyDescent="0.35">
      <c r="A3225" s="392"/>
      <c r="B3225" s="393"/>
      <c r="C3225" s="99" t="str">
        <f>IF(B3225="","",IF(NOT(ISNUMBER(B3225)),"DATA_PC invalida",IF(NOT(ISNUMBER(parametros!$C$2)),"Fora dos ciclos",IF(OR(B3225&lt;parametros!$C$2,(YEAR(B3225)-YEAR(parametros!$C$2))*12+MONTH(B3225)-MONTH(parametros!$C$2)&gt;59),"Fora dos ciclos","C"&amp;INT(((YEAR(B3225)-YEAR(parametros!$C$2))*12+MONTH(B3225)-MONTH(parametros!$C$2))/12)))))</f>
        <v/>
      </c>
      <c r="D3225" s="394"/>
      <c r="E3225" s="78" t="str">
        <f>IF(C3225="","",IFERROR(VLOOKUP(C3225,parametros!$A$11:$E$15,5,0),""))</f>
        <v/>
      </c>
      <c r="F3225" s="79" t="str">
        <f t="shared" si="252"/>
        <v/>
      </c>
      <c r="G3225" s="395"/>
      <c r="H3225" s="91">
        <f t="shared" si="253"/>
        <v>0</v>
      </c>
      <c r="I3225" s="91" t="str">
        <f t="shared" si="254"/>
        <v/>
      </c>
      <c r="J3225" s="91" t="str">
        <f t="shared" si="255"/>
        <v/>
      </c>
      <c r="K3225" s="92" t="str">
        <f>IF(AND(A3225="",B3225="",D3225="",G3225=""),"",IF(AND(A3225&lt;&gt;"",COUNTIF($A$2:$A$5001,A3225)&gt;1),"NUMERO_PC duplicado",IF(B3225="","DATA_PC vazia",IF(NOT(ISNUMBER(B3225)),"DATA_PC invalida",IF(OR(C3225="",C3225="Fora dos ciclos"),"CICLO_PC nao identificado",IF(OR(D3225="",D3225=0),"VALOR_PC vazio ou zero",IF(AND(G3225&lt;&gt;"Sim",G3225&lt;&gt;"Nao",G3225&lt;&gt;""),"PC_PAGO_A_CONTRATADA invalido",IF(AND(C3225&lt;&gt;"C0",IFERROR(INDEX(parametros!$A$2:$A$6,MATCH(C3225,parametros!$B$2:$B$6,0)),"")="Sim",IFERROR(INDEX(parametros!$H$2:$H$6,MATCH(C3225,parametros!$B$2:$B$6,0)),"")=""),"INICIO_EFEITO ausente: PC "&amp;A3225&amp;" - "&amp;C3225,IF(L3225="","EFEITO_PC nao calculado: PC "&amp;A3225&amp;" - "&amp;C3225,"OK")))))))))</f>
        <v/>
      </c>
      <c r="L3225" s="92" t="str">
        <f>IF(AND(A3225="",B3225="",D3225="",G3225=""),"",IF(OR(B3225="",NOT(ISNUMBER(B3225)),C3225="",C3225="Fora dos ciclos"),"",IF(C3225="C0","Nao",IF(IFERROR(INDEX(parametros!$A$2:$A$6,MATCH(C3225,parametros!$B$2:$B$6,0)),"")&lt;&gt;"Sim","Nao",IF(IFERROR(INDEX(parametros!$H$2:$H$6,MATCH(C3225,parametros!$B$2:$B$6,0)),"")="","",IF(B3225&gt;=IFERROR(INDEX(parametros!$H$2:$H$6,MATCH(C3225,parametros!$B$2:$B$6,0)),""),"Sim","Nao"))))))</f>
        <v/>
      </c>
      <c r="T3225" s="156"/>
      <c r="U3225" s="214" t="str">
        <f t="shared" si="256"/>
        <v/>
      </c>
      <c r="V3225" s="212" t="s">
        <v>50</v>
      </c>
      <c r="W3225" s="100" t="s">
        <v>168</v>
      </c>
      <c r="X3225" s="100" t="s">
        <v>169</v>
      </c>
      <c r="Y3225" s="101" t="s">
        <v>170</v>
      </c>
      <c r="Z3225" s="101" t="s">
        <v>171</v>
      </c>
      <c r="AA3225" s="101" t="s">
        <v>50</v>
      </c>
      <c r="AB3225" s="101" t="s">
        <v>172</v>
      </c>
      <c r="AC3225" s="102" t="s">
        <v>173</v>
      </c>
    </row>
    <row r="3226" spans="1:29" ht="25.5" customHeight="1" x14ac:dyDescent="0.35">
      <c r="A3226" s="392"/>
      <c r="B3226" s="393"/>
      <c r="C3226" s="99" t="str">
        <f>IF(B3226="","",IF(NOT(ISNUMBER(B3226)),"DATA_PC invalida",IF(NOT(ISNUMBER(parametros!$C$2)),"Fora dos ciclos",IF(OR(B3226&lt;parametros!$C$2,(YEAR(B3226)-YEAR(parametros!$C$2))*12+MONTH(B3226)-MONTH(parametros!$C$2)&gt;59),"Fora dos ciclos","C"&amp;INT(((YEAR(B3226)-YEAR(parametros!$C$2))*12+MONTH(B3226)-MONTH(parametros!$C$2))/12)))))</f>
        <v/>
      </c>
      <c r="D3226" s="394"/>
      <c r="E3226" s="78" t="str">
        <f>IF(C3226="","",IFERROR(VLOOKUP(C3226,parametros!$A$11:$E$15,5,0),""))</f>
        <v/>
      </c>
      <c r="F3226" s="79" t="str">
        <f t="shared" si="252"/>
        <v/>
      </c>
      <c r="G3226" s="395"/>
      <c r="H3226" s="91">
        <f t="shared" si="253"/>
        <v>0</v>
      </c>
      <c r="I3226" s="91" t="str">
        <f t="shared" si="254"/>
        <v/>
      </c>
      <c r="J3226" s="91" t="str">
        <f t="shared" si="255"/>
        <v/>
      </c>
      <c r="K3226" s="92" t="str">
        <f>IF(AND(A3226="",B3226="",D3226="",G3226=""),"",IF(AND(A3226&lt;&gt;"",COUNTIF($A$2:$A$5001,A3226)&gt;1),"NUMERO_PC duplicado",IF(B3226="","DATA_PC vazia",IF(NOT(ISNUMBER(B3226)),"DATA_PC invalida",IF(OR(C3226="",C3226="Fora dos ciclos"),"CICLO_PC nao identificado",IF(OR(D3226="",D3226=0),"VALOR_PC vazio ou zero",IF(AND(G3226&lt;&gt;"Sim",G3226&lt;&gt;"Nao",G3226&lt;&gt;""),"PC_PAGO_A_CONTRATADA invalido",IF(AND(C3226&lt;&gt;"C0",IFERROR(INDEX(parametros!$A$2:$A$6,MATCH(C3226,parametros!$B$2:$B$6,0)),"")="Sim",IFERROR(INDEX(parametros!$H$2:$H$6,MATCH(C3226,parametros!$B$2:$B$6,0)),"")=""),"INICIO_EFEITO ausente: PC "&amp;A3226&amp;" - "&amp;C3226,IF(L3226="","EFEITO_PC nao calculado: PC "&amp;A3226&amp;" - "&amp;C3226,"OK")))))))))</f>
        <v/>
      </c>
      <c r="L3226" s="92" t="str">
        <f>IF(AND(A3226="",B3226="",D3226="",G3226=""),"",IF(OR(B3226="",NOT(ISNUMBER(B3226)),C3226="",C3226="Fora dos ciclos"),"",IF(C3226="C0","Nao",IF(IFERROR(INDEX(parametros!$A$2:$A$6,MATCH(C3226,parametros!$B$2:$B$6,0)),"")&lt;&gt;"Sim","Nao",IF(IFERROR(INDEX(parametros!$H$2:$H$6,MATCH(C3226,parametros!$B$2:$B$6,0)),"")="","",IF(B3226&gt;=IFERROR(INDEX(parametros!$H$2:$H$6,MATCH(C3226,parametros!$B$2:$B$6,0)),""),"Sim","Nao"))))))</f>
        <v/>
      </c>
      <c r="T3226" s="156"/>
      <c r="U3226" s="214" t="str">
        <f t="shared" si="256"/>
        <v/>
      </c>
      <c r="V3226" s="212" t="s">
        <v>50</v>
      </c>
      <c r="W3226" s="100" t="s">
        <v>168</v>
      </c>
      <c r="X3226" s="100" t="s">
        <v>169</v>
      </c>
      <c r="Y3226" s="101" t="s">
        <v>170</v>
      </c>
      <c r="Z3226" s="101" t="s">
        <v>171</v>
      </c>
      <c r="AA3226" s="101" t="s">
        <v>50</v>
      </c>
      <c r="AB3226" s="101" t="s">
        <v>172</v>
      </c>
      <c r="AC3226" s="102" t="s">
        <v>173</v>
      </c>
    </row>
    <row r="3227" spans="1:29" ht="25.5" customHeight="1" x14ac:dyDescent="0.35">
      <c r="A3227" s="392"/>
      <c r="B3227" s="393"/>
      <c r="C3227" s="99" t="str">
        <f>IF(B3227="","",IF(NOT(ISNUMBER(B3227)),"DATA_PC invalida",IF(NOT(ISNUMBER(parametros!$C$2)),"Fora dos ciclos",IF(OR(B3227&lt;parametros!$C$2,(YEAR(B3227)-YEAR(parametros!$C$2))*12+MONTH(B3227)-MONTH(parametros!$C$2)&gt;59),"Fora dos ciclos","C"&amp;INT(((YEAR(B3227)-YEAR(parametros!$C$2))*12+MONTH(B3227)-MONTH(parametros!$C$2))/12)))))</f>
        <v/>
      </c>
      <c r="D3227" s="394"/>
      <c r="E3227" s="78" t="str">
        <f>IF(C3227="","",IFERROR(VLOOKUP(C3227,parametros!$A$11:$E$15,5,0),""))</f>
        <v/>
      </c>
      <c r="F3227" s="79" t="str">
        <f t="shared" si="252"/>
        <v/>
      </c>
      <c r="G3227" s="395"/>
      <c r="H3227" s="91">
        <f t="shared" si="253"/>
        <v>0</v>
      </c>
      <c r="I3227" s="91" t="str">
        <f t="shared" si="254"/>
        <v/>
      </c>
      <c r="J3227" s="91" t="str">
        <f t="shared" si="255"/>
        <v/>
      </c>
      <c r="K3227" s="92" t="str">
        <f>IF(AND(A3227="",B3227="",D3227="",G3227=""),"",IF(AND(A3227&lt;&gt;"",COUNTIF($A$2:$A$5001,A3227)&gt;1),"NUMERO_PC duplicado",IF(B3227="","DATA_PC vazia",IF(NOT(ISNUMBER(B3227)),"DATA_PC invalida",IF(OR(C3227="",C3227="Fora dos ciclos"),"CICLO_PC nao identificado",IF(OR(D3227="",D3227=0),"VALOR_PC vazio ou zero",IF(AND(G3227&lt;&gt;"Sim",G3227&lt;&gt;"Nao",G3227&lt;&gt;""),"PC_PAGO_A_CONTRATADA invalido",IF(AND(C3227&lt;&gt;"C0",IFERROR(INDEX(parametros!$A$2:$A$6,MATCH(C3227,parametros!$B$2:$B$6,0)),"")="Sim",IFERROR(INDEX(parametros!$H$2:$H$6,MATCH(C3227,parametros!$B$2:$B$6,0)),"")=""),"INICIO_EFEITO ausente: PC "&amp;A3227&amp;" - "&amp;C3227,IF(L3227="","EFEITO_PC nao calculado: PC "&amp;A3227&amp;" - "&amp;C3227,"OK")))))))))</f>
        <v/>
      </c>
      <c r="L3227" s="92" t="str">
        <f>IF(AND(A3227="",B3227="",D3227="",G3227=""),"",IF(OR(B3227="",NOT(ISNUMBER(B3227)),C3227="",C3227="Fora dos ciclos"),"",IF(C3227="C0","Nao",IF(IFERROR(INDEX(parametros!$A$2:$A$6,MATCH(C3227,parametros!$B$2:$B$6,0)),"")&lt;&gt;"Sim","Nao",IF(IFERROR(INDEX(parametros!$H$2:$H$6,MATCH(C3227,parametros!$B$2:$B$6,0)),"")="","",IF(B3227&gt;=IFERROR(INDEX(parametros!$H$2:$H$6,MATCH(C3227,parametros!$B$2:$B$6,0)),""),"Sim","Nao"))))))</f>
        <v/>
      </c>
      <c r="T3227" s="156"/>
      <c r="U3227" s="214" t="str">
        <f t="shared" si="256"/>
        <v/>
      </c>
      <c r="V3227" s="212" t="s">
        <v>50</v>
      </c>
      <c r="W3227" s="100" t="s">
        <v>168</v>
      </c>
      <c r="X3227" s="100" t="s">
        <v>169</v>
      </c>
      <c r="Y3227" s="101" t="s">
        <v>170</v>
      </c>
      <c r="Z3227" s="101" t="s">
        <v>171</v>
      </c>
      <c r="AA3227" s="101" t="s">
        <v>50</v>
      </c>
      <c r="AB3227" s="101" t="s">
        <v>172</v>
      </c>
      <c r="AC3227" s="102" t="s">
        <v>173</v>
      </c>
    </row>
    <row r="3228" spans="1:29" ht="25.5" customHeight="1" x14ac:dyDescent="0.35">
      <c r="A3228" s="392"/>
      <c r="B3228" s="393"/>
      <c r="C3228" s="99" t="str">
        <f>IF(B3228="","",IF(NOT(ISNUMBER(B3228)),"DATA_PC invalida",IF(NOT(ISNUMBER(parametros!$C$2)),"Fora dos ciclos",IF(OR(B3228&lt;parametros!$C$2,(YEAR(B3228)-YEAR(parametros!$C$2))*12+MONTH(B3228)-MONTH(parametros!$C$2)&gt;59),"Fora dos ciclos","C"&amp;INT(((YEAR(B3228)-YEAR(parametros!$C$2))*12+MONTH(B3228)-MONTH(parametros!$C$2))/12)))))</f>
        <v/>
      </c>
      <c r="D3228" s="394"/>
      <c r="E3228" s="78" t="str">
        <f>IF(C3228="","",IFERROR(VLOOKUP(C3228,parametros!$A$11:$E$15,5,0),""))</f>
        <v/>
      </c>
      <c r="F3228" s="79" t="str">
        <f t="shared" si="252"/>
        <v/>
      </c>
      <c r="G3228" s="395"/>
      <c r="H3228" s="91">
        <f t="shared" si="253"/>
        <v>0</v>
      </c>
      <c r="I3228" s="91" t="str">
        <f t="shared" si="254"/>
        <v/>
      </c>
      <c r="J3228" s="91" t="str">
        <f t="shared" si="255"/>
        <v/>
      </c>
      <c r="K3228" s="92" t="str">
        <f>IF(AND(A3228="",B3228="",D3228="",G3228=""),"",IF(AND(A3228&lt;&gt;"",COUNTIF($A$2:$A$5001,A3228)&gt;1),"NUMERO_PC duplicado",IF(B3228="","DATA_PC vazia",IF(NOT(ISNUMBER(B3228)),"DATA_PC invalida",IF(OR(C3228="",C3228="Fora dos ciclos"),"CICLO_PC nao identificado",IF(OR(D3228="",D3228=0),"VALOR_PC vazio ou zero",IF(AND(G3228&lt;&gt;"Sim",G3228&lt;&gt;"Nao",G3228&lt;&gt;""),"PC_PAGO_A_CONTRATADA invalido",IF(AND(C3228&lt;&gt;"C0",IFERROR(INDEX(parametros!$A$2:$A$6,MATCH(C3228,parametros!$B$2:$B$6,0)),"")="Sim",IFERROR(INDEX(parametros!$H$2:$H$6,MATCH(C3228,parametros!$B$2:$B$6,0)),"")=""),"INICIO_EFEITO ausente: PC "&amp;A3228&amp;" - "&amp;C3228,IF(L3228="","EFEITO_PC nao calculado: PC "&amp;A3228&amp;" - "&amp;C3228,"OK")))))))))</f>
        <v/>
      </c>
      <c r="L3228" s="92" t="str">
        <f>IF(AND(A3228="",B3228="",D3228="",G3228=""),"",IF(OR(B3228="",NOT(ISNUMBER(B3228)),C3228="",C3228="Fora dos ciclos"),"",IF(C3228="C0","Nao",IF(IFERROR(INDEX(parametros!$A$2:$A$6,MATCH(C3228,parametros!$B$2:$B$6,0)),"")&lt;&gt;"Sim","Nao",IF(IFERROR(INDEX(parametros!$H$2:$H$6,MATCH(C3228,parametros!$B$2:$B$6,0)),"")="","",IF(B3228&gt;=IFERROR(INDEX(parametros!$H$2:$H$6,MATCH(C3228,parametros!$B$2:$B$6,0)),""),"Sim","Nao"))))))</f>
        <v/>
      </c>
      <c r="T3228" s="156"/>
      <c r="U3228" s="214" t="str">
        <f t="shared" si="256"/>
        <v/>
      </c>
      <c r="V3228" s="212" t="s">
        <v>50</v>
      </c>
      <c r="W3228" s="100" t="s">
        <v>168</v>
      </c>
      <c r="X3228" s="100" t="s">
        <v>169</v>
      </c>
      <c r="Y3228" s="101" t="s">
        <v>170</v>
      </c>
      <c r="Z3228" s="101" t="s">
        <v>171</v>
      </c>
      <c r="AA3228" s="101" t="s">
        <v>50</v>
      </c>
      <c r="AB3228" s="101" t="s">
        <v>172</v>
      </c>
      <c r="AC3228" s="102" t="s">
        <v>173</v>
      </c>
    </row>
    <row r="3229" spans="1:29" ht="25.5" customHeight="1" x14ac:dyDescent="0.35">
      <c r="A3229" s="392"/>
      <c r="B3229" s="393"/>
      <c r="C3229" s="99" t="str">
        <f>IF(B3229="","",IF(NOT(ISNUMBER(B3229)),"DATA_PC invalida",IF(NOT(ISNUMBER(parametros!$C$2)),"Fora dos ciclos",IF(OR(B3229&lt;parametros!$C$2,(YEAR(B3229)-YEAR(parametros!$C$2))*12+MONTH(B3229)-MONTH(parametros!$C$2)&gt;59),"Fora dos ciclos","C"&amp;INT(((YEAR(B3229)-YEAR(parametros!$C$2))*12+MONTH(B3229)-MONTH(parametros!$C$2))/12)))))</f>
        <v/>
      </c>
      <c r="D3229" s="394"/>
      <c r="E3229" s="78" t="str">
        <f>IF(C3229="","",IFERROR(VLOOKUP(C3229,parametros!$A$11:$E$15,5,0),""))</f>
        <v/>
      </c>
      <c r="F3229" s="79" t="str">
        <f t="shared" si="252"/>
        <v/>
      </c>
      <c r="G3229" s="395"/>
      <c r="H3229" s="91">
        <f t="shared" si="253"/>
        <v>0</v>
      </c>
      <c r="I3229" s="91" t="str">
        <f t="shared" si="254"/>
        <v/>
      </c>
      <c r="J3229" s="91" t="str">
        <f t="shared" si="255"/>
        <v/>
      </c>
      <c r="K3229" s="92" t="str">
        <f>IF(AND(A3229="",B3229="",D3229="",G3229=""),"",IF(AND(A3229&lt;&gt;"",COUNTIF($A$2:$A$5001,A3229)&gt;1),"NUMERO_PC duplicado",IF(B3229="","DATA_PC vazia",IF(NOT(ISNUMBER(B3229)),"DATA_PC invalida",IF(OR(C3229="",C3229="Fora dos ciclos"),"CICLO_PC nao identificado",IF(OR(D3229="",D3229=0),"VALOR_PC vazio ou zero",IF(AND(G3229&lt;&gt;"Sim",G3229&lt;&gt;"Nao",G3229&lt;&gt;""),"PC_PAGO_A_CONTRATADA invalido",IF(AND(C3229&lt;&gt;"C0",IFERROR(INDEX(parametros!$A$2:$A$6,MATCH(C3229,parametros!$B$2:$B$6,0)),"")="Sim",IFERROR(INDEX(parametros!$H$2:$H$6,MATCH(C3229,parametros!$B$2:$B$6,0)),"")=""),"INICIO_EFEITO ausente: PC "&amp;A3229&amp;" - "&amp;C3229,IF(L3229="","EFEITO_PC nao calculado: PC "&amp;A3229&amp;" - "&amp;C3229,"OK")))))))))</f>
        <v/>
      </c>
      <c r="L3229" s="92" t="str">
        <f>IF(AND(A3229="",B3229="",D3229="",G3229=""),"",IF(OR(B3229="",NOT(ISNUMBER(B3229)),C3229="",C3229="Fora dos ciclos"),"",IF(C3229="C0","Nao",IF(IFERROR(INDEX(parametros!$A$2:$A$6,MATCH(C3229,parametros!$B$2:$B$6,0)),"")&lt;&gt;"Sim","Nao",IF(IFERROR(INDEX(parametros!$H$2:$H$6,MATCH(C3229,parametros!$B$2:$B$6,0)),"")="","",IF(B3229&gt;=IFERROR(INDEX(parametros!$H$2:$H$6,MATCH(C3229,parametros!$B$2:$B$6,0)),""),"Sim","Nao"))))))</f>
        <v/>
      </c>
      <c r="T3229" s="156"/>
      <c r="U3229" s="214" t="str">
        <f t="shared" si="256"/>
        <v/>
      </c>
      <c r="V3229" s="212" t="s">
        <v>50</v>
      </c>
      <c r="W3229" s="100" t="s">
        <v>168</v>
      </c>
      <c r="X3229" s="100" t="s">
        <v>169</v>
      </c>
      <c r="Y3229" s="101" t="s">
        <v>170</v>
      </c>
      <c r="Z3229" s="101" t="s">
        <v>171</v>
      </c>
      <c r="AA3229" s="101" t="s">
        <v>50</v>
      </c>
      <c r="AB3229" s="101" t="s">
        <v>172</v>
      </c>
      <c r="AC3229" s="102" t="s">
        <v>173</v>
      </c>
    </row>
    <row r="3230" spans="1:29" ht="25.5" customHeight="1" x14ac:dyDescent="0.35">
      <c r="A3230" s="392"/>
      <c r="B3230" s="393"/>
      <c r="C3230" s="99" t="str">
        <f>IF(B3230="","",IF(NOT(ISNUMBER(B3230)),"DATA_PC invalida",IF(NOT(ISNUMBER(parametros!$C$2)),"Fora dos ciclos",IF(OR(B3230&lt;parametros!$C$2,(YEAR(B3230)-YEAR(parametros!$C$2))*12+MONTH(B3230)-MONTH(parametros!$C$2)&gt;59),"Fora dos ciclos","C"&amp;INT(((YEAR(B3230)-YEAR(parametros!$C$2))*12+MONTH(B3230)-MONTH(parametros!$C$2))/12)))))</f>
        <v/>
      </c>
      <c r="D3230" s="394"/>
      <c r="E3230" s="78" t="str">
        <f>IF(C3230="","",IFERROR(VLOOKUP(C3230,parametros!$A$11:$E$15,5,0),""))</f>
        <v/>
      </c>
      <c r="F3230" s="79" t="str">
        <f t="shared" si="252"/>
        <v/>
      </c>
      <c r="G3230" s="395"/>
      <c r="H3230" s="91">
        <f t="shared" si="253"/>
        <v>0</v>
      </c>
      <c r="I3230" s="91" t="str">
        <f t="shared" si="254"/>
        <v/>
      </c>
      <c r="J3230" s="91" t="str">
        <f t="shared" si="255"/>
        <v/>
      </c>
      <c r="K3230" s="92" t="str">
        <f>IF(AND(A3230="",B3230="",D3230="",G3230=""),"",IF(AND(A3230&lt;&gt;"",COUNTIF($A$2:$A$5001,A3230)&gt;1),"NUMERO_PC duplicado",IF(B3230="","DATA_PC vazia",IF(NOT(ISNUMBER(B3230)),"DATA_PC invalida",IF(OR(C3230="",C3230="Fora dos ciclos"),"CICLO_PC nao identificado",IF(OR(D3230="",D3230=0),"VALOR_PC vazio ou zero",IF(AND(G3230&lt;&gt;"Sim",G3230&lt;&gt;"Nao",G3230&lt;&gt;""),"PC_PAGO_A_CONTRATADA invalido",IF(AND(C3230&lt;&gt;"C0",IFERROR(INDEX(parametros!$A$2:$A$6,MATCH(C3230,parametros!$B$2:$B$6,0)),"")="Sim",IFERROR(INDEX(parametros!$H$2:$H$6,MATCH(C3230,parametros!$B$2:$B$6,0)),"")=""),"INICIO_EFEITO ausente: PC "&amp;A3230&amp;" - "&amp;C3230,IF(L3230="","EFEITO_PC nao calculado: PC "&amp;A3230&amp;" - "&amp;C3230,"OK")))))))))</f>
        <v/>
      </c>
      <c r="L3230" s="92" t="str">
        <f>IF(AND(A3230="",B3230="",D3230="",G3230=""),"",IF(OR(B3230="",NOT(ISNUMBER(B3230)),C3230="",C3230="Fora dos ciclos"),"",IF(C3230="C0","Nao",IF(IFERROR(INDEX(parametros!$A$2:$A$6,MATCH(C3230,parametros!$B$2:$B$6,0)),"")&lt;&gt;"Sim","Nao",IF(IFERROR(INDEX(parametros!$H$2:$H$6,MATCH(C3230,parametros!$B$2:$B$6,0)),"")="","",IF(B3230&gt;=IFERROR(INDEX(parametros!$H$2:$H$6,MATCH(C3230,parametros!$B$2:$B$6,0)),""),"Sim","Nao"))))))</f>
        <v/>
      </c>
      <c r="T3230" s="156"/>
      <c r="U3230" s="214" t="str">
        <f t="shared" si="256"/>
        <v/>
      </c>
      <c r="V3230" s="212" t="s">
        <v>50</v>
      </c>
      <c r="W3230" s="100" t="s">
        <v>168</v>
      </c>
      <c r="X3230" s="100" t="s">
        <v>169</v>
      </c>
      <c r="Y3230" s="101" t="s">
        <v>170</v>
      </c>
      <c r="Z3230" s="101" t="s">
        <v>171</v>
      </c>
      <c r="AA3230" s="101" t="s">
        <v>50</v>
      </c>
      <c r="AB3230" s="101" t="s">
        <v>172</v>
      </c>
      <c r="AC3230" s="102" t="s">
        <v>173</v>
      </c>
    </row>
    <row r="3231" spans="1:29" ht="25.5" customHeight="1" x14ac:dyDescent="0.35">
      <c r="A3231" s="392"/>
      <c r="B3231" s="393"/>
      <c r="C3231" s="99" t="str">
        <f>IF(B3231="","",IF(NOT(ISNUMBER(B3231)),"DATA_PC invalida",IF(NOT(ISNUMBER(parametros!$C$2)),"Fora dos ciclos",IF(OR(B3231&lt;parametros!$C$2,(YEAR(B3231)-YEAR(parametros!$C$2))*12+MONTH(B3231)-MONTH(parametros!$C$2)&gt;59),"Fora dos ciclos","C"&amp;INT(((YEAR(B3231)-YEAR(parametros!$C$2))*12+MONTH(B3231)-MONTH(parametros!$C$2))/12)))))</f>
        <v/>
      </c>
      <c r="D3231" s="394"/>
      <c r="E3231" s="78" t="str">
        <f>IF(C3231="","",IFERROR(VLOOKUP(C3231,parametros!$A$11:$E$15,5,0),""))</f>
        <v/>
      </c>
      <c r="F3231" s="79" t="str">
        <f t="shared" si="252"/>
        <v/>
      </c>
      <c r="G3231" s="395"/>
      <c r="H3231" s="91">
        <f t="shared" si="253"/>
        <v>0</v>
      </c>
      <c r="I3231" s="91" t="str">
        <f t="shared" si="254"/>
        <v/>
      </c>
      <c r="J3231" s="91" t="str">
        <f t="shared" si="255"/>
        <v/>
      </c>
      <c r="K3231" s="92" t="str">
        <f>IF(AND(A3231="",B3231="",D3231="",G3231=""),"",IF(AND(A3231&lt;&gt;"",COUNTIF($A$2:$A$5001,A3231)&gt;1),"NUMERO_PC duplicado",IF(B3231="","DATA_PC vazia",IF(NOT(ISNUMBER(B3231)),"DATA_PC invalida",IF(OR(C3231="",C3231="Fora dos ciclos"),"CICLO_PC nao identificado",IF(OR(D3231="",D3231=0),"VALOR_PC vazio ou zero",IF(AND(G3231&lt;&gt;"Sim",G3231&lt;&gt;"Nao",G3231&lt;&gt;""),"PC_PAGO_A_CONTRATADA invalido",IF(AND(C3231&lt;&gt;"C0",IFERROR(INDEX(parametros!$A$2:$A$6,MATCH(C3231,parametros!$B$2:$B$6,0)),"")="Sim",IFERROR(INDEX(parametros!$H$2:$H$6,MATCH(C3231,parametros!$B$2:$B$6,0)),"")=""),"INICIO_EFEITO ausente: PC "&amp;A3231&amp;" - "&amp;C3231,IF(L3231="","EFEITO_PC nao calculado: PC "&amp;A3231&amp;" - "&amp;C3231,"OK")))))))))</f>
        <v/>
      </c>
      <c r="L3231" s="92" t="str">
        <f>IF(AND(A3231="",B3231="",D3231="",G3231=""),"",IF(OR(B3231="",NOT(ISNUMBER(B3231)),C3231="",C3231="Fora dos ciclos"),"",IF(C3231="C0","Nao",IF(IFERROR(INDEX(parametros!$A$2:$A$6,MATCH(C3231,parametros!$B$2:$B$6,0)),"")&lt;&gt;"Sim","Nao",IF(IFERROR(INDEX(parametros!$H$2:$H$6,MATCH(C3231,parametros!$B$2:$B$6,0)),"")="","",IF(B3231&gt;=IFERROR(INDEX(parametros!$H$2:$H$6,MATCH(C3231,parametros!$B$2:$B$6,0)),""),"Sim","Nao"))))))</f>
        <v/>
      </c>
      <c r="T3231" s="156"/>
      <c r="U3231" s="214" t="str">
        <f t="shared" si="256"/>
        <v/>
      </c>
      <c r="V3231" s="212" t="s">
        <v>50</v>
      </c>
      <c r="W3231" s="100" t="s">
        <v>168</v>
      </c>
      <c r="X3231" s="100" t="s">
        <v>169</v>
      </c>
      <c r="Y3231" s="101" t="s">
        <v>170</v>
      </c>
      <c r="Z3231" s="101" t="s">
        <v>171</v>
      </c>
      <c r="AA3231" s="101" t="s">
        <v>50</v>
      </c>
      <c r="AB3231" s="101" t="s">
        <v>172</v>
      </c>
      <c r="AC3231" s="102" t="s">
        <v>173</v>
      </c>
    </row>
    <row r="3232" spans="1:29" ht="25.5" customHeight="1" x14ac:dyDescent="0.35">
      <c r="A3232" s="392"/>
      <c r="B3232" s="393"/>
      <c r="C3232" s="99" t="str">
        <f>IF(B3232="","",IF(NOT(ISNUMBER(B3232)),"DATA_PC invalida",IF(NOT(ISNUMBER(parametros!$C$2)),"Fora dos ciclos",IF(OR(B3232&lt;parametros!$C$2,(YEAR(B3232)-YEAR(parametros!$C$2))*12+MONTH(B3232)-MONTH(parametros!$C$2)&gt;59),"Fora dos ciclos","C"&amp;INT(((YEAR(B3232)-YEAR(parametros!$C$2))*12+MONTH(B3232)-MONTH(parametros!$C$2))/12)))))</f>
        <v/>
      </c>
      <c r="D3232" s="394"/>
      <c r="E3232" s="78" t="str">
        <f>IF(C3232="","",IFERROR(VLOOKUP(C3232,parametros!$A$11:$E$15,5,0),""))</f>
        <v/>
      </c>
      <c r="F3232" s="79" t="str">
        <f t="shared" si="252"/>
        <v/>
      </c>
      <c r="G3232" s="395"/>
      <c r="H3232" s="91">
        <f t="shared" si="253"/>
        <v>0</v>
      </c>
      <c r="I3232" s="91" t="str">
        <f t="shared" si="254"/>
        <v/>
      </c>
      <c r="J3232" s="91" t="str">
        <f t="shared" si="255"/>
        <v/>
      </c>
      <c r="K3232" s="92" t="str">
        <f>IF(AND(A3232="",B3232="",D3232="",G3232=""),"",IF(AND(A3232&lt;&gt;"",COUNTIF($A$2:$A$5001,A3232)&gt;1),"NUMERO_PC duplicado",IF(B3232="","DATA_PC vazia",IF(NOT(ISNUMBER(B3232)),"DATA_PC invalida",IF(OR(C3232="",C3232="Fora dos ciclos"),"CICLO_PC nao identificado",IF(OR(D3232="",D3232=0),"VALOR_PC vazio ou zero",IF(AND(G3232&lt;&gt;"Sim",G3232&lt;&gt;"Nao",G3232&lt;&gt;""),"PC_PAGO_A_CONTRATADA invalido",IF(AND(C3232&lt;&gt;"C0",IFERROR(INDEX(parametros!$A$2:$A$6,MATCH(C3232,parametros!$B$2:$B$6,0)),"")="Sim",IFERROR(INDEX(parametros!$H$2:$H$6,MATCH(C3232,parametros!$B$2:$B$6,0)),"")=""),"INICIO_EFEITO ausente: PC "&amp;A3232&amp;" - "&amp;C3232,IF(L3232="","EFEITO_PC nao calculado: PC "&amp;A3232&amp;" - "&amp;C3232,"OK")))))))))</f>
        <v/>
      </c>
      <c r="L3232" s="92" t="str">
        <f>IF(AND(A3232="",B3232="",D3232="",G3232=""),"",IF(OR(B3232="",NOT(ISNUMBER(B3232)),C3232="",C3232="Fora dos ciclos"),"",IF(C3232="C0","Nao",IF(IFERROR(INDEX(parametros!$A$2:$A$6,MATCH(C3232,parametros!$B$2:$B$6,0)),"")&lt;&gt;"Sim","Nao",IF(IFERROR(INDEX(parametros!$H$2:$H$6,MATCH(C3232,parametros!$B$2:$B$6,0)),"")="","",IF(B3232&gt;=IFERROR(INDEX(parametros!$H$2:$H$6,MATCH(C3232,parametros!$B$2:$B$6,0)),""),"Sim","Nao"))))))</f>
        <v/>
      </c>
      <c r="T3232" s="156"/>
      <c r="U3232" s="214" t="str">
        <f t="shared" si="256"/>
        <v/>
      </c>
      <c r="V3232" s="212" t="s">
        <v>50</v>
      </c>
      <c r="W3232" s="100" t="s">
        <v>168</v>
      </c>
      <c r="X3232" s="100" t="s">
        <v>169</v>
      </c>
      <c r="Y3232" s="101" t="s">
        <v>170</v>
      </c>
      <c r="Z3232" s="101" t="s">
        <v>171</v>
      </c>
      <c r="AA3232" s="101" t="s">
        <v>50</v>
      </c>
      <c r="AB3232" s="101" t="s">
        <v>172</v>
      </c>
      <c r="AC3232" s="102" t="s">
        <v>173</v>
      </c>
    </row>
    <row r="3233" spans="1:29" ht="25.5" customHeight="1" x14ac:dyDescent="0.35">
      <c r="A3233" s="392"/>
      <c r="B3233" s="393"/>
      <c r="C3233" s="99" t="str">
        <f>IF(B3233="","",IF(NOT(ISNUMBER(B3233)),"DATA_PC invalida",IF(NOT(ISNUMBER(parametros!$C$2)),"Fora dos ciclos",IF(OR(B3233&lt;parametros!$C$2,(YEAR(B3233)-YEAR(parametros!$C$2))*12+MONTH(B3233)-MONTH(parametros!$C$2)&gt;59),"Fora dos ciclos","C"&amp;INT(((YEAR(B3233)-YEAR(parametros!$C$2))*12+MONTH(B3233)-MONTH(parametros!$C$2))/12)))))</f>
        <v/>
      </c>
      <c r="D3233" s="394"/>
      <c r="E3233" s="78" t="str">
        <f>IF(C3233="","",IFERROR(VLOOKUP(C3233,parametros!$A$11:$E$15,5,0),""))</f>
        <v/>
      </c>
      <c r="F3233" s="79" t="str">
        <f t="shared" si="252"/>
        <v/>
      </c>
      <c r="G3233" s="395"/>
      <c r="H3233" s="91">
        <f t="shared" si="253"/>
        <v>0</v>
      </c>
      <c r="I3233" s="91" t="str">
        <f t="shared" si="254"/>
        <v/>
      </c>
      <c r="J3233" s="91" t="str">
        <f t="shared" si="255"/>
        <v/>
      </c>
      <c r="K3233" s="92" t="str">
        <f>IF(AND(A3233="",B3233="",D3233="",G3233=""),"",IF(AND(A3233&lt;&gt;"",COUNTIF($A$2:$A$5001,A3233)&gt;1),"NUMERO_PC duplicado",IF(B3233="","DATA_PC vazia",IF(NOT(ISNUMBER(B3233)),"DATA_PC invalida",IF(OR(C3233="",C3233="Fora dos ciclos"),"CICLO_PC nao identificado",IF(OR(D3233="",D3233=0),"VALOR_PC vazio ou zero",IF(AND(G3233&lt;&gt;"Sim",G3233&lt;&gt;"Nao",G3233&lt;&gt;""),"PC_PAGO_A_CONTRATADA invalido",IF(AND(C3233&lt;&gt;"C0",IFERROR(INDEX(parametros!$A$2:$A$6,MATCH(C3233,parametros!$B$2:$B$6,0)),"")="Sim",IFERROR(INDEX(parametros!$H$2:$H$6,MATCH(C3233,parametros!$B$2:$B$6,0)),"")=""),"INICIO_EFEITO ausente: PC "&amp;A3233&amp;" - "&amp;C3233,IF(L3233="","EFEITO_PC nao calculado: PC "&amp;A3233&amp;" - "&amp;C3233,"OK")))))))))</f>
        <v/>
      </c>
      <c r="L3233" s="92" t="str">
        <f>IF(AND(A3233="",B3233="",D3233="",G3233=""),"",IF(OR(B3233="",NOT(ISNUMBER(B3233)),C3233="",C3233="Fora dos ciclos"),"",IF(C3233="C0","Nao",IF(IFERROR(INDEX(parametros!$A$2:$A$6,MATCH(C3233,parametros!$B$2:$B$6,0)),"")&lt;&gt;"Sim","Nao",IF(IFERROR(INDEX(parametros!$H$2:$H$6,MATCH(C3233,parametros!$B$2:$B$6,0)),"")="","",IF(B3233&gt;=IFERROR(INDEX(parametros!$H$2:$H$6,MATCH(C3233,parametros!$B$2:$B$6,0)),""),"Sim","Nao"))))))</f>
        <v/>
      </c>
      <c r="T3233" s="156"/>
      <c r="U3233" s="214" t="str">
        <f t="shared" si="256"/>
        <v/>
      </c>
      <c r="V3233" s="212" t="s">
        <v>50</v>
      </c>
      <c r="W3233" s="100" t="s">
        <v>168</v>
      </c>
      <c r="X3233" s="100" t="s">
        <v>169</v>
      </c>
      <c r="Y3233" s="101" t="s">
        <v>170</v>
      </c>
      <c r="Z3233" s="101" t="s">
        <v>171</v>
      </c>
      <c r="AA3233" s="101" t="s">
        <v>50</v>
      </c>
      <c r="AB3233" s="101" t="s">
        <v>172</v>
      </c>
      <c r="AC3233" s="102" t="s">
        <v>173</v>
      </c>
    </row>
    <row r="3234" spans="1:29" ht="25.5" customHeight="1" x14ac:dyDescent="0.35">
      <c r="A3234" s="392"/>
      <c r="B3234" s="393"/>
      <c r="C3234" s="99" t="str">
        <f>IF(B3234="","",IF(NOT(ISNUMBER(B3234)),"DATA_PC invalida",IF(NOT(ISNUMBER(parametros!$C$2)),"Fora dos ciclos",IF(OR(B3234&lt;parametros!$C$2,(YEAR(B3234)-YEAR(parametros!$C$2))*12+MONTH(B3234)-MONTH(parametros!$C$2)&gt;59),"Fora dos ciclos","C"&amp;INT(((YEAR(B3234)-YEAR(parametros!$C$2))*12+MONTH(B3234)-MONTH(parametros!$C$2))/12)))))</f>
        <v/>
      </c>
      <c r="D3234" s="394"/>
      <c r="E3234" s="78" t="str">
        <f>IF(C3234="","",IFERROR(VLOOKUP(C3234,parametros!$A$11:$E$15,5,0),""))</f>
        <v/>
      </c>
      <c r="F3234" s="79" t="str">
        <f t="shared" si="252"/>
        <v/>
      </c>
      <c r="G3234" s="395"/>
      <c r="H3234" s="91">
        <f t="shared" si="253"/>
        <v>0</v>
      </c>
      <c r="I3234" s="91" t="str">
        <f t="shared" si="254"/>
        <v/>
      </c>
      <c r="J3234" s="91" t="str">
        <f t="shared" si="255"/>
        <v/>
      </c>
      <c r="K3234" s="92" t="str">
        <f>IF(AND(A3234="",B3234="",D3234="",G3234=""),"",IF(AND(A3234&lt;&gt;"",COUNTIF($A$2:$A$5001,A3234)&gt;1),"NUMERO_PC duplicado",IF(B3234="","DATA_PC vazia",IF(NOT(ISNUMBER(B3234)),"DATA_PC invalida",IF(OR(C3234="",C3234="Fora dos ciclos"),"CICLO_PC nao identificado",IF(OR(D3234="",D3234=0),"VALOR_PC vazio ou zero",IF(AND(G3234&lt;&gt;"Sim",G3234&lt;&gt;"Nao",G3234&lt;&gt;""),"PC_PAGO_A_CONTRATADA invalido",IF(AND(C3234&lt;&gt;"C0",IFERROR(INDEX(parametros!$A$2:$A$6,MATCH(C3234,parametros!$B$2:$B$6,0)),"")="Sim",IFERROR(INDEX(parametros!$H$2:$H$6,MATCH(C3234,parametros!$B$2:$B$6,0)),"")=""),"INICIO_EFEITO ausente: PC "&amp;A3234&amp;" - "&amp;C3234,IF(L3234="","EFEITO_PC nao calculado: PC "&amp;A3234&amp;" - "&amp;C3234,"OK")))))))))</f>
        <v/>
      </c>
      <c r="L3234" s="92" t="str">
        <f>IF(AND(A3234="",B3234="",D3234="",G3234=""),"",IF(OR(B3234="",NOT(ISNUMBER(B3234)),C3234="",C3234="Fora dos ciclos"),"",IF(C3234="C0","Nao",IF(IFERROR(INDEX(parametros!$A$2:$A$6,MATCH(C3234,parametros!$B$2:$B$6,0)),"")&lt;&gt;"Sim","Nao",IF(IFERROR(INDEX(parametros!$H$2:$H$6,MATCH(C3234,parametros!$B$2:$B$6,0)),"")="","",IF(B3234&gt;=IFERROR(INDEX(parametros!$H$2:$H$6,MATCH(C3234,parametros!$B$2:$B$6,0)),""),"Sim","Nao"))))))</f>
        <v/>
      </c>
      <c r="T3234" s="156"/>
      <c r="U3234" s="214" t="str">
        <f t="shared" si="256"/>
        <v/>
      </c>
      <c r="V3234" s="212" t="s">
        <v>50</v>
      </c>
      <c r="W3234" s="100" t="s">
        <v>168</v>
      </c>
      <c r="X3234" s="100" t="s">
        <v>169</v>
      </c>
      <c r="Y3234" s="101" t="s">
        <v>170</v>
      </c>
      <c r="Z3234" s="101" t="s">
        <v>171</v>
      </c>
      <c r="AA3234" s="101" t="s">
        <v>50</v>
      </c>
      <c r="AB3234" s="101" t="s">
        <v>172</v>
      </c>
      <c r="AC3234" s="102" t="s">
        <v>173</v>
      </c>
    </row>
    <row r="3235" spans="1:29" ht="25.5" customHeight="1" x14ac:dyDescent="0.35">
      <c r="A3235" s="392"/>
      <c r="B3235" s="393"/>
      <c r="C3235" s="99" t="str">
        <f>IF(B3235="","",IF(NOT(ISNUMBER(B3235)),"DATA_PC invalida",IF(NOT(ISNUMBER(parametros!$C$2)),"Fora dos ciclos",IF(OR(B3235&lt;parametros!$C$2,(YEAR(B3235)-YEAR(parametros!$C$2))*12+MONTH(B3235)-MONTH(parametros!$C$2)&gt;59),"Fora dos ciclos","C"&amp;INT(((YEAR(B3235)-YEAR(parametros!$C$2))*12+MONTH(B3235)-MONTH(parametros!$C$2))/12)))))</f>
        <v/>
      </c>
      <c r="D3235" s="394"/>
      <c r="E3235" s="78" t="str">
        <f>IF(C3235="","",IFERROR(VLOOKUP(C3235,parametros!$A$11:$E$15,5,0),""))</f>
        <v/>
      </c>
      <c r="F3235" s="79" t="str">
        <f t="shared" si="252"/>
        <v/>
      </c>
      <c r="G3235" s="395"/>
      <c r="H3235" s="91">
        <f t="shared" si="253"/>
        <v>0</v>
      </c>
      <c r="I3235" s="91" t="str">
        <f t="shared" si="254"/>
        <v/>
      </c>
      <c r="J3235" s="91" t="str">
        <f t="shared" si="255"/>
        <v/>
      </c>
      <c r="K3235" s="92" t="str">
        <f>IF(AND(A3235="",B3235="",D3235="",G3235=""),"",IF(AND(A3235&lt;&gt;"",COUNTIF($A$2:$A$5001,A3235)&gt;1),"NUMERO_PC duplicado",IF(B3235="","DATA_PC vazia",IF(NOT(ISNUMBER(B3235)),"DATA_PC invalida",IF(OR(C3235="",C3235="Fora dos ciclos"),"CICLO_PC nao identificado",IF(OR(D3235="",D3235=0),"VALOR_PC vazio ou zero",IF(AND(G3235&lt;&gt;"Sim",G3235&lt;&gt;"Nao",G3235&lt;&gt;""),"PC_PAGO_A_CONTRATADA invalido",IF(AND(C3235&lt;&gt;"C0",IFERROR(INDEX(parametros!$A$2:$A$6,MATCH(C3235,parametros!$B$2:$B$6,0)),"")="Sim",IFERROR(INDEX(parametros!$H$2:$H$6,MATCH(C3235,parametros!$B$2:$B$6,0)),"")=""),"INICIO_EFEITO ausente: PC "&amp;A3235&amp;" - "&amp;C3235,IF(L3235="","EFEITO_PC nao calculado: PC "&amp;A3235&amp;" - "&amp;C3235,"OK")))))))))</f>
        <v/>
      </c>
      <c r="L3235" s="92" t="str">
        <f>IF(AND(A3235="",B3235="",D3235="",G3235=""),"",IF(OR(B3235="",NOT(ISNUMBER(B3235)),C3235="",C3235="Fora dos ciclos"),"",IF(C3235="C0","Nao",IF(IFERROR(INDEX(parametros!$A$2:$A$6,MATCH(C3235,parametros!$B$2:$B$6,0)),"")&lt;&gt;"Sim","Nao",IF(IFERROR(INDEX(parametros!$H$2:$H$6,MATCH(C3235,parametros!$B$2:$B$6,0)),"")="","",IF(B3235&gt;=IFERROR(INDEX(parametros!$H$2:$H$6,MATCH(C3235,parametros!$B$2:$B$6,0)),""),"Sim","Nao"))))))</f>
        <v/>
      </c>
      <c r="T3235" s="156"/>
      <c r="U3235" s="214" t="str">
        <f t="shared" si="256"/>
        <v/>
      </c>
      <c r="V3235" s="212" t="s">
        <v>50</v>
      </c>
      <c r="W3235" s="100" t="s">
        <v>168</v>
      </c>
      <c r="X3235" s="100" t="s">
        <v>169</v>
      </c>
      <c r="Y3235" s="101" t="s">
        <v>170</v>
      </c>
      <c r="Z3235" s="101" t="s">
        <v>171</v>
      </c>
      <c r="AA3235" s="101" t="s">
        <v>50</v>
      </c>
      <c r="AB3235" s="101" t="s">
        <v>172</v>
      </c>
      <c r="AC3235" s="102" t="s">
        <v>173</v>
      </c>
    </row>
    <row r="3236" spans="1:29" ht="25.5" customHeight="1" x14ac:dyDescent="0.35">
      <c r="A3236" s="392"/>
      <c r="B3236" s="393"/>
      <c r="C3236" s="99" t="str">
        <f>IF(B3236="","",IF(NOT(ISNUMBER(B3236)),"DATA_PC invalida",IF(NOT(ISNUMBER(parametros!$C$2)),"Fora dos ciclos",IF(OR(B3236&lt;parametros!$C$2,(YEAR(B3236)-YEAR(parametros!$C$2))*12+MONTH(B3236)-MONTH(parametros!$C$2)&gt;59),"Fora dos ciclos","C"&amp;INT(((YEAR(B3236)-YEAR(parametros!$C$2))*12+MONTH(B3236)-MONTH(parametros!$C$2))/12)))))</f>
        <v/>
      </c>
      <c r="D3236" s="394"/>
      <c r="E3236" s="78" t="str">
        <f>IF(C3236="","",IFERROR(VLOOKUP(C3236,parametros!$A$11:$E$15,5,0),""))</f>
        <v/>
      </c>
      <c r="F3236" s="79" t="str">
        <f t="shared" si="252"/>
        <v/>
      </c>
      <c r="G3236" s="395"/>
      <c r="H3236" s="91">
        <f t="shared" si="253"/>
        <v>0</v>
      </c>
      <c r="I3236" s="91" t="str">
        <f t="shared" si="254"/>
        <v/>
      </c>
      <c r="J3236" s="91" t="str">
        <f t="shared" si="255"/>
        <v/>
      </c>
      <c r="K3236" s="92" t="str">
        <f>IF(AND(A3236="",B3236="",D3236="",G3236=""),"",IF(AND(A3236&lt;&gt;"",COUNTIF($A$2:$A$5001,A3236)&gt;1),"NUMERO_PC duplicado",IF(B3236="","DATA_PC vazia",IF(NOT(ISNUMBER(B3236)),"DATA_PC invalida",IF(OR(C3236="",C3236="Fora dos ciclos"),"CICLO_PC nao identificado",IF(OR(D3236="",D3236=0),"VALOR_PC vazio ou zero",IF(AND(G3236&lt;&gt;"Sim",G3236&lt;&gt;"Nao",G3236&lt;&gt;""),"PC_PAGO_A_CONTRATADA invalido",IF(AND(C3236&lt;&gt;"C0",IFERROR(INDEX(parametros!$A$2:$A$6,MATCH(C3236,parametros!$B$2:$B$6,0)),"")="Sim",IFERROR(INDEX(parametros!$H$2:$H$6,MATCH(C3236,parametros!$B$2:$B$6,0)),"")=""),"INICIO_EFEITO ausente: PC "&amp;A3236&amp;" - "&amp;C3236,IF(L3236="","EFEITO_PC nao calculado: PC "&amp;A3236&amp;" - "&amp;C3236,"OK")))))))))</f>
        <v/>
      </c>
      <c r="L3236" s="92" t="str">
        <f>IF(AND(A3236="",B3236="",D3236="",G3236=""),"",IF(OR(B3236="",NOT(ISNUMBER(B3236)),C3236="",C3236="Fora dos ciclos"),"",IF(C3236="C0","Nao",IF(IFERROR(INDEX(parametros!$A$2:$A$6,MATCH(C3236,parametros!$B$2:$B$6,0)),"")&lt;&gt;"Sim","Nao",IF(IFERROR(INDEX(parametros!$H$2:$H$6,MATCH(C3236,parametros!$B$2:$B$6,0)),"")="","",IF(B3236&gt;=IFERROR(INDEX(parametros!$H$2:$H$6,MATCH(C3236,parametros!$B$2:$B$6,0)),""),"Sim","Nao"))))))</f>
        <v/>
      </c>
      <c r="T3236" s="156"/>
      <c r="U3236" s="214" t="str">
        <f t="shared" si="256"/>
        <v/>
      </c>
      <c r="V3236" s="212" t="s">
        <v>50</v>
      </c>
      <c r="W3236" s="100" t="s">
        <v>168</v>
      </c>
      <c r="X3236" s="100" t="s">
        <v>169</v>
      </c>
      <c r="Y3236" s="101" t="s">
        <v>170</v>
      </c>
      <c r="Z3236" s="101" t="s">
        <v>171</v>
      </c>
      <c r="AA3236" s="101" t="s">
        <v>50</v>
      </c>
      <c r="AB3236" s="101" t="s">
        <v>172</v>
      </c>
      <c r="AC3236" s="102" t="s">
        <v>173</v>
      </c>
    </row>
    <row r="3237" spans="1:29" ht="25.5" customHeight="1" x14ac:dyDescent="0.35">
      <c r="A3237" s="392"/>
      <c r="B3237" s="393"/>
      <c r="C3237" s="99" t="str">
        <f>IF(B3237="","",IF(NOT(ISNUMBER(B3237)),"DATA_PC invalida",IF(NOT(ISNUMBER(parametros!$C$2)),"Fora dos ciclos",IF(OR(B3237&lt;parametros!$C$2,(YEAR(B3237)-YEAR(parametros!$C$2))*12+MONTH(B3237)-MONTH(parametros!$C$2)&gt;59),"Fora dos ciclos","C"&amp;INT(((YEAR(B3237)-YEAR(parametros!$C$2))*12+MONTH(B3237)-MONTH(parametros!$C$2))/12)))))</f>
        <v/>
      </c>
      <c r="D3237" s="394"/>
      <c r="E3237" s="78" t="str">
        <f>IF(C3237="","",IFERROR(VLOOKUP(C3237,parametros!$A$11:$E$15,5,0),""))</f>
        <v/>
      </c>
      <c r="F3237" s="79" t="str">
        <f t="shared" si="252"/>
        <v/>
      </c>
      <c r="G3237" s="395"/>
      <c r="H3237" s="91">
        <f t="shared" si="253"/>
        <v>0</v>
      </c>
      <c r="I3237" s="91" t="str">
        <f t="shared" si="254"/>
        <v/>
      </c>
      <c r="J3237" s="91" t="str">
        <f t="shared" si="255"/>
        <v/>
      </c>
      <c r="K3237" s="92" t="str">
        <f>IF(AND(A3237="",B3237="",D3237="",G3237=""),"",IF(AND(A3237&lt;&gt;"",COUNTIF($A$2:$A$5001,A3237)&gt;1),"NUMERO_PC duplicado",IF(B3237="","DATA_PC vazia",IF(NOT(ISNUMBER(B3237)),"DATA_PC invalida",IF(OR(C3237="",C3237="Fora dos ciclos"),"CICLO_PC nao identificado",IF(OR(D3237="",D3237=0),"VALOR_PC vazio ou zero",IF(AND(G3237&lt;&gt;"Sim",G3237&lt;&gt;"Nao",G3237&lt;&gt;""),"PC_PAGO_A_CONTRATADA invalido",IF(AND(C3237&lt;&gt;"C0",IFERROR(INDEX(parametros!$A$2:$A$6,MATCH(C3237,parametros!$B$2:$B$6,0)),"")="Sim",IFERROR(INDEX(parametros!$H$2:$H$6,MATCH(C3237,parametros!$B$2:$B$6,0)),"")=""),"INICIO_EFEITO ausente: PC "&amp;A3237&amp;" - "&amp;C3237,IF(L3237="","EFEITO_PC nao calculado: PC "&amp;A3237&amp;" - "&amp;C3237,"OK")))))))))</f>
        <v/>
      </c>
      <c r="L3237" s="92" t="str">
        <f>IF(AND(A3237="",B3237="",D3237="",G3237=""),"",IF(OR(B3237="",NOT(ISNUMBER(B3237)),C3237="",C3237="Fora dos ciclos"),"",IF(C3237="C0","Nao",IF(IFERROR(INDEX(parametros!$A$2:$A$6,MATCH(C3237,parametros!$B$2:$B$6,0)),"")&lt;&gt;"Sim","Nao",IF(IFERROR(INDEX(parametros!$H$2:$H$6,MATCH(C3237,parametros!$B$2:$B$6,0)),"")="","",IF(B3237&gt;=IFERROR(INDEX(parametros!$H$2:$H$6,MATCH(C3237,parametros!$B$2:$B$6,0)),""),"Sim","Nao"))))))</f>
        <v/>
      </c>
      <c r="T3237" s="156"/>
      <c r="U3237" s="214" t="str">
        <f t="shared" si="256"/>
        <v/>
      </c>
      <c r="V3237" s="212" t="s">
        <v>50</v>
      </c>
      <c r="W3237" s="100" t="s">
        <v>168</v>
      </c>
      <c r="X3237" s="100" t="s">
        <v>169</v>
      </c>
      <c r="Y3237" s="101" t="s">
        <v>170</v>
      </c>
      <c r="Z3237" s="101" t="s">
        <v>171</v>
      </c>
      <c r="AA3237" s="101" t="s">
        <v>50</v>
      </c>
      <c r="AB3237" s="101" t="s">
        <v>172</v>
      </c>
      <c r="AC3237" s="102" t="s">
        <v>173</v>
      </c>
    </row>
    <row r="3238" spans="1:29" ht="25.5" customHeight="1" x14ac:dyDescent="0.35">
      <c r="A3238" s="392"/>
      <c r="B3238" s="393"/>
      <c r="C3238" s="99" t="str">
        <f>IF(B3238="","",IF(NOT(ISNUMBER(B3238)),"DATA_PC invalida",IF(NOT(ISNUMBER(parametros!$C$2)),"Fora dos ciclos",IF(OR(B3238&lt;parametros!$C$2,(YEAR(B3238)-YEAR(parametros!$C$2))*12+MONTH(B3238)-MONTH(parametros!$C$2)&gt;59),"Fora dos ciclos","C"&amp;INT(((YEAR(B3238)-YEAR(parametros!$C$2))*12+MONTH(B3238)-MONTH(parametros!$C$2))/12)))))</f>
        <v/>
      </c>
      <c r="D3238" s="394"/>
      <c r="E3238" s="78" t="str">
        <f>IF(C3238="","",IFERROR(VLOOKUP(C3238,parametros!$A$11:$E$15,5,0),""))</f>
        <v/>
      </c>
      <c r="F3238" s="79" t="str">
        <f t="shared" si="252"/>
        <v/>
      </c>
      <c r="G3238" s="395"/>
      <c r="H3238" s="91">
        <f t="shared" si="253"/>
        <v>0</v>
      </c>
      <c r="I3238" s="91" t="str">
        <f t="shared" si="254"/>
        <v/>
      </c>
      <c r="J3238" s="91" t="str">
        <f t="shared" si="255"/>
        <v/>
      </c>
      <c r="K3238" s="92" t="str">
        <f>IF(AND(A3238="",B3238="",D3238="",G3238=""),"",IF(AND(A3238&lt;&gt;"",COUNTIF($A$2:$A$5001,A3238)&gt;1),"NUMERO_PC duplicado",IF(B3238="","DATA_PC vazia",IF(NOT(ISNUMBER(B3238)),"DATA_PC invalida",IF(OR(C3238="",C3238="Fora dos ciclos"),"CICLO_PC nao identificado",IF(OR(D3238="",D3238=0),"VALOR_PC vazio ou zero",IF(AND(G3238&lt;&gt;"Sim",G3238&lt;&gt;"Nao",G3238&lt;&gt;""),"PC_PAGO_A_CONTRATADA invalido",IF(AND(C3238&lt;&gt;"C0",IFERROR(INDEX(parametros!$A$2:$A$6,MATCH(C3238,parametros!$B$2:$B$6,0)),"")="Sim",IFERROR(INDEX(parametros!$H$2:$H$6,MATCH(C3238,parametros!$B$2:$B$6,0)),"")=""),"INICIO_EFEITO ausente: PC "&amp;A3238&amp;" - "&amp;C3238,IF(L3238="","EFEITO_PC nao calculado: PC "&amp;A3238&amp;" - "&amp;C3238,"OK")))))))))</f>
        <v/>
      </c>
      <c r="L3238" s="92" t="str">
        <f>IF(AND(A3238="",B3238="",D3238="",G3238=""),"",IF(OR(B3238="",NOT(ISNUMBER(B3238)),C3238="",C3238="Fora dos ciclos"),"",IF(C3238="C0","Nao",IF(IFERROR(INDEX(parametros!$A$2:$A$6,MATCH(C3238,parametros!$B$2:$B$6,0)),"")&lt;&gt;"Sim","Nao",IF(IFERROR(INDEX(parametros!$H$2:$H$6,MATCH(C3238,parametros!$B$2:$B$6,0)),"")="","",IF(B3238&gt;=IFERROR(INDEX(parametros!$H$2:$H$6,MATCH(C3238,parametros!$B$2:$B$6,0)),""),"Sim","Nao"))))))</f>
        <v/>
      </c>
      <c r="T3238" s="156"/>
      <c r="U3238" s="214" t="str">
        <f t="shared" si="256"/>
        <v/>
      </c>
      <c r="V3238" s="212" t="s">
        <v>50</v>
      </c>
      <c r="W3238" s="100" t="s">
        <v>168</v>
      </c>
      <c r="X3238" s="100" t="s">
        <v>169</v>
      </c>
      <c r="Y3238" s="101" t="s">
        <v>170</v>
      </c>
      <c r="Z3238" s="101" t="s">
        <v>171</v>
      </c>
      <c r="AA3238" s="101" t="s">
        <v>50</v>
      </c>
      <c r="AB3238" s="101" t="s">
        <v>172</v>
      </c>
      <c r="AC3238" s="102" t="s">
        <v>173</v>
      </c>
    </row>
    <row r="3239" spans="1:29" ht="25.5" customHeight="1" x14ac:dyDescent="0.35">
      <c r="A3239" s="392"/>
      <c r="B3239" s="393"/>
      <c r="C3239" s="99" t="str">
        <f>IF(B3239="","",IF(NOT(ISNUMBER(B3239)),"DATA_PC invalida",IF(NOT(ISNUMBER(parametros!$C$2)),"Fora dos ciclos",IF(OR(B3239&lt;parametros!$C$2,(YEAR(B3239)-YEAR(parametros!$C$2))*12+MONTH(B3239)-MONTH(parametros!$C$2)&gt;59),"Fora dos ciclos","C"&amp;INT(((YEAR(B3239)-YEAR(parametros!$C$2))*12+MONTH(B3239)-MONTH(parametros!$C$2))/12)))))</f>
        <v/>
      </c>
      <c r="D3239" s="394"/>
      <c r="E3239" s="78" t="str">
        <f>IF(C3239="","",IFERROR(VLOOKUP(C3239,parametros!$A$11:$E$15,5,0),""))</f>
        <v/>
      </c>
      <c r="F3239" s="79" t="str">
        <f t="shared" si="252"/>
        <v/>
      </c>
      <c r="G3239" s="395"/>
      <c r="H3239" s="91">
        <f t="shared" si="253"/>
        <v>0</v>
      </c>
      <c r="I3239" s="91" t="str">
        <f t="shared" si="254"/>
        <v/>
      </c>
      <c r="J3239" s="91" t="str">
        <f t="shared" si="255"/>
        <v/>
      </c>
      <c r="K3239" s="92" t="str">
        <f>IF(AND(A3239="",B3239="",D3239="",G3239=""),"",IF(AND(A3239&lt;&gt;"",COUNTIF($A$2:$A$5001,A3239)&gt;1),"NUMERO_PC duplicado",IF(B3239="","DATA_PC vazia",IF(NOT(ISNUMBER(B3239)),"DATA_PC invalida",IF(OR(C3239="",C3239="Fora dos ciclos"),"CICLO_PC nao identificado",IF(OR(D3239="",D3239=0),"VALOR_PC vazio ou zero",IF(AND(G3239&lt;&gt;"Sim",G3239&lt;&gt;"Nao",G3239&lt;&gt;""),"PC_PAGO_A_CONTRATADA invalido",IF(AND(C3239&lt;&gt;"C0",IFERROR(INDEX(parametros!$A$2:$A$6,MATCH(C3239,parametros!$B$2:$B$6,0)),"")="Sim",IFERROR(INDEX(parametros!$H$2:$H$6,MATCH(C3239,parametros!$B$2:$B$6,0)),"")=""),"INICIO_EFEITO ausente: PC "&amp;A3239&amp;" - "&amp;C3239,IF(L3239="","EFEITO_PC nao calculado: PC "&amp;A3239&amp;" - "&amp;C3239,"OK")))))))))</f>
        <v/>
      </c>
      <c r="L3239" s="92" t="str">
        <f>IF(AND(A3239="",B3239="",D3239="",G3239=""),"",IF(OR(B3239="",NOT(ISNUMBER(B3239)),C3239="",C3239="Fora dos ciclos"),"",IF(C3239="C0","Nao",IF(IFERROR(INDEX(parametros!$A$2:$A$6,MATCH(C3239,parametros!$B$2:$B$6,0)),"")&lt;&gt;"Sim","Nao",IF(IFERROR(INDEX(parametros!$H$2:$H$6,MATCH(C3239,parametros!$B$2:$B$6,0)),"")="","",IF(B3239&gt;=IFERROR(INDEX(parametros!$H$2:$H$6,MATCH(C3239,parametros!$B$2:$B$6,0)),""),"Sim","Nao"))))))</f>
        <v/>
      </c>
      <c r="T3239" s="156"/>
      <c r="U3239" s="214" t="str">
        <f t="shared" si="256"/>
        <v/>
      </c>
      <c r="V3239" s="212" t="s">
        <v>50</v>
      </c>
      <c r="W3239" s="100" t="s">
        <v>168</v>
      </c>
      <c r="X3239" s="100" t="s">
        <v>169</v>
      </c>
      <c r="Y3239" s="101" t="s">
        <v>170</v>
      </c>
      <c r="Z3239" s="101" t="s">
        <v>171</v>
      </c>
      <c r="AA3239" s="101" t="s">
        <v>50</v>
      </c>
      <c r="AB3239" s="101" t="s">
        <v>172</v>
      </c>
      <c r="AC3239" s="102" t="s">
        <v>173</v>
      </c>
    </row>
    <row r="3240" spans="1:29" ht="25.5" customHeight="1" x14ac:dyDescent="0.35">
      <c r="A3240" s="392"/>
      <c r="B3240" s="393"/>
      <c r="C3240" s="99" t="str">
        <f>IF(B3240="","",IF(NOT(ISNUMBER(B3240)),"DATA_PC invalida",IF(NOT(ISNUMBER(parametros!$C$2)),"Fora dos ciclos",IF(OR(B3240&lt;parametros!$C$2,(YEAR(B3240)-YEAR(parametros!$C$2))*12+MONTH(B3240)-MONTH(parametros!$C$2)&gt;59),"Fora dos ciclos","C"&amp;INT(((YEAR(B3240)-YEAR(parametros!$C$2))*12+MONTH(B3240)-MONTH(parametros!$C$2))/12)))))</f>
        <v/>
      </c>
      <c r="D3240" s="394"/>
      <c r="E3240" s="78" t="str">
        <f>IF(C3240="","",IFERROR(VLOOKUP(C3240,parametros!$A$11:$E$15,5,0),""))</f>
        <v/>
      </c>
      <c r="F3240" s="79" t="str">
        <f t="shared" si="252"/>
        <v/>
      </c>
      <c r="G3240" s="395"/>
      <c r="H3240" s="91">
        <f t="shared" si="253"/>
        <v>0</v>
      </c>
      <c r="I3240" s="91" t="str">
        <f t="shared" si="254"/>
        <v/>
      </c>
      <c r="J3240" s="91" t="str">
        <f t="shared" si="255"/>
        <v/>
      </c>
      <c r="K3240" s="92" t="str">
        <f>IF(AND(A3240="",B3240="",D3240="",G3240=""),"",IF(AND(A3240&lt;&gt;"",COUNTIF($A$2:$A$5001,A3240)&gt;1),"NUMERO_PC duplicado",IF(B3240="","DATA_PC vazia",IF(NOT(ISNUMBER(B3240)),"DATA_PC invalida",IF(OR(C3240="",C3240="Fora dos ciclos"),"CICLO_PC nao identificado",IF(OR(D3240="",D3240=0),"VALOR_PC vazio ou zero",IF(AND(G3240&lt;&gt;"Sim",G3240&lt;&gt;"Nao",G3240&lt;&gt;""),"PC_PAGO_A_CONTRATADA invalido",IF(AND(C3240&lt;&gt;"C0",IFERROR(INDEX(parametros!$A$2:$A$6,MATCH(C3240,parametros!$B$2:$B$6,0)),"")="Sim",IFERROR(INDEX(parametros!$H$2:$H$6,MATCH(C3240,parametros!$B$2:$B$6,0)),"")=""),"INICIO_EFEITO ausente: PC "&amp;A3240&amp;" - "&amp;C3240,IF(L3240="","EFEITO_PC nao calculado: PC "&amp;A3240&amp;" - "&amp;C3240,"OK")))))))))</f>
        <v/>
      </c>
      <c r="L3240" s="92" t="str">
        <f>IF(AND(A3240="",B3240="",D3240="",G3240=""),"",IF(OR(B3240="",NOT(ISNUMBER(B3240)),C3240="",C3240="Fora dos ciclos"),"",IF(C3240="C0","Nao",IF(IFERROR(INDEX(parametros!$A$2:$A$6,MATCH(C3240,parametros!$B$2:$B$6,0)),"")&lt;&gt;"Sim","Nao",IF(IFERROR(INDEX(parametros!$H$2:$H$6,MATCH(C3240,parametros!$B$2:$B$6,0)),"")="","",IF(B3240&gt;=IFERROR(INDEX(parametros!$H$2:$H$6,MATCH(C3240,parametros!$B$2:$B$6,0)),""),"Sim","Nao"))))))</f>
        <v/>
      </c>
      <c r="T3240" s="156"/>
      <c r="U3240" s="214" t="str">
        <f t="shared" si="256"/>
        <v/>
      </c>
      <c r="V3240" s="212" t="s">
        <v>50</v>
      </c>
      <c r="W3240" s="100" t="s">
        <v>168</v>
      </c>
      <c r="X3240" s="100" t="s">
        <v>169</v>
      </c>
      <c r="Y3240" s="101" t="s">
        <v>170</v>
      </c>
      <c r="Z3240" s="101" t="s">
        <v>171</v>
      </c>
      <c r="AA3240" s="101" t="s">
        <v>50</v>
      </c>
      <c r="AB3240" s="101" t="s">
        <v>172</v>
      </c>
      <c r="AC3240" s="102" t="s">
        <v>173</v>
      </c>
    </row>
    <row r="3241" spans="1:29" ht="25.5" customHeight="1" x14ac:dyDescent="0.35">
      <c r="A3241" s="392"/>
      <c r="B3241" s="393"/>
      <c r="C3241" s="99" t="str">
        <f>IF(B3241="","",IF(NOT(ISNUMBER(B3241)),"DATA_PC invalida",IF(NOT(ISNUMBER(parametros!$C$2)),"Fora dos ciclos",IF(OR(B3241&lt;parametros!$C$2,(YEAR(B3241)-YEAR(parametros!$C$2))*12+MONTH(B3241)-MONTH(parametros!$C$2)&gt;59),"Fora dos ciclos","C"&amp;INT(((YEAR(B3241)-YEAR(parametros!$C$2))*12+MONTH(B3241)-MONTH(parametros!$C$2))/12)))))</f>
        <v/>
      </c>
      <c r="D3241" s="394"/>
      <c r="E3241" s="78" t="str">
        <f>IF(C3241="","",IFERROR(VLOOKUP(C3241,parametros!$A$11:$E$15,5,0),""))</f>
        <v/>
      </c>
      <c r="F3241" s="79" t="str">
        <f t="shared" si="252"/>
        <v/>
      </c>
      <c r="G3241" s="395"/>
      <c r="H3241" s="91">
        <f t="shared" si="253"/>
        <v>0</v>
      </c>
      <c r="I3241" s="91" t="str">
        <f t="shared" si="254"/>
        <v/>
      </c>
      <c r="J3241" s="91" t="str">
        <f t="shared" si="255"/>
        <v/>
      </c>
      <c r="K3241" s="92" t="str">
        <f>IF(AND(A3241="",B3241="",D3241="",G3241=""),"",IF(AND(A3241&lt;&gt;"",COUNTIF($A$2:$A$5001,A3241)&gt;1),"NUMERO_PC duplicado",IF(B3241="","DATA_PC vazia",IF(NOT(ISNUMBER(B3241)),"DATA_PC invalida",IF(OR(C3241="",C3241="Fora dos ciclos"),"CICLO_PC nao identificado",IF(OR(D3241="",D3241=0),"VALOR_PC vazio ou zero",IF(AND(G3241&lt;&gt;"Sim",G3241&lt;&gt;"Nao",G3241&lt;&gt;""),"PC_PAGO_A_CONTRATADA invalido",IF(AND(C3241&lt;&gt;"C0",IFERROR(INDEX(parametros!$A$2:$A$6,MATCH(C3241,parametros!$B$2:$B$6,0)),"")="Sim",IFERROR(INDEX(parametros!$H$2:$H$6,MATCH(C3241,parametros!$B$2:$B$6,0)),"")=""),"INICIO_EFEITO ausente: PC "&amp;A3241&amp;" - "&amp;C3241,IF(L3241="","EFEITO_PC nao calculado: PC "&amp;A3241&amp;" - "&amp;C3241,"OK")))))))))</f>
        <v/>
      </c>
      <c r="L3241" s="92" t="str">
        <f>IF(AND(A3241="",B3241="",D3241="",G3241=""),"",IF(OR(B3241="",NOT(ISNUMBER(B3241)),C3241="",C3241="Fora dos ciclos"),"",IF(C3241="C0","Nao",IF(IFERROR(INDEX(parametros!$A$2:$A$6,MATCH(C3241,parametros!$B$2:$B$6,0)),"")&lt;&gt;"Sim","Nao",IF(IFERROR(INDEX(parametros!$H$2:$H$6,MATCH(C3241,parametros!$B$2:$B$6,0)),"")="","",IF(B3241&gt;=IFERROR(INDEX(parametros!$H$2:$H$6,MATCH(C3241,parametros!$B$2:$B$6,0)),""),"Sim","Nao"))))))</f>
        <v/>
      </c>
      <c r="T3241" s="156"/>
      <c r="U3241" s="214" t="str">
        <f t="shared" si="256"/>
        <v/>
      </c>
      <c r="V3241" s="212" t="s">
        <v>50</v>
      </c>
      <c r="W3241" s="100" t="s">
        <v>168</v>
      </c>
      <c r="X3241" s="100" t="s">
        <v>169</v>
      </c>
      <c r="Y3241" s="101" t="s">
        <v>170</v>
      </c>
      <c r="Z3241" s="101" t="s">
        <v>171</v>
      </c>
      <c r="AA3241" s="101" t="s">
        <v>50</v>
      </c>
      <c r="AB3241" s="101" t="s">
        <v>172</v>
      </c>
      <c r="AC3241" s="102" t="s">
        <v>173</v>
      </c>
    </row>
    <row r="3242" spans="1:29" ht="25.5" customHeight="1" x14ac:dyDescent="0.35">
      <c r="A3242" s="392"/>
      <c r="B3242" s="393"/>
      <c r="C3242" s="99" t="str">
        <f>IF(B3242="","",IF(NOT(ISNUMBER(B3242)),"DATA_PC invalida",IF(NOT(ISNUMBER(parametros!$C$2)),"Fora dos ciclos",IF(OR(B3242&lt;parametros!$C$2,(YEAR(B3242)-YEAR(parametros!$C$2))*12+MONTH(B3242)-MONTH(parametros!$C$2)&gt;59),"Fora dos ciclos","C"&amp;INT(((YEAR(B3242)-YEAR(parametros!$C$2))*12+MONTH(B3242)-MONTH(parametros!$C$2))/12)))))</f>
        <v/>
      </c>
      <c r="D3242" s="394"/>
      <c r="E3242" s="78" t="str">
        <f>IF(C3242="","",IFERROR(VLOOKUP(C3242,parametros!$A$11:$E$15,5,0),""))</f>
        <v/>
      </c>
      <c r="F3242" s="79" t="str">
        <f t="shared" si="252"/>
        <v/>
      </c>
      <c r="G3242" s="395"/>
      <c r="H3242" s="91">
        <f t="shared" si="253"/>
        <v>0</v>
      </c>
      <c r="I3242" s="91" t="str">
        <f t="shared" si="254"/>
        <v/>
      </c>
      <c r="J3242" s="91" t="str">
        <f t="shared" si="255"/>
        <v/>
      </c>
      <c r="K3242" s="92" t="str">
        <f>IF(AND(A3242="",B3242="",D3242="",G3242=""),"",IF(AND(A3242&lt;&gt;"",COUNTIF($A$2:$A$5001,A3242)&gt;1),"NUMERO_PC duplicado",IF(B3242="","DATA_PC vazia",IF(NOT(ISNUMBER(B3242)),"DATA_PC invalida",IF(OR(C3242="",C3242="Fora dos ciclos"),"CICLO_PC nao identificado",IF(OR(D3242="",D3242=0),"VALOR_PC vazio ou zero",IF(AND(G3242&lt;&gt;"Sim",G3242&lt;&gt;"Nao",G3242&lt;&gt;""),"PC_PAGO_A_CONTRATADA invalido",IF(AND(C3242&lt;&gt;"C0",IFERROR(INDEX(parametros!$A$2:$A$6,MATCH(C3242,parametros!$B$2:$B$6,0)),"")="Sim",IFERROR(INDEX(parametros!$H$2:$H$6,MATCH(C3242,parametros!$B$2:$B$6,0)),"")=""),"INICIO_EFEITO ausente: PC "&amp;A3242&amp;" - "&amp;C3242,IF(L3242="","EFEITO_PC nao calculado: PC "&amp;A3242&amp;" - "&amp;C3242,"OK")))))))))</f>
        <v/>
      </c>
      <c r="L3242" s="92" t="str">
        <f>IF(AND(A3242="",B3242="",D3242="",G3242=""),"",IF(OR(B3242="",NOT(ISNUMBER(B3242)),C3242="",C3242="Fora dos ciclos"),"",IF(C3242="C0","Nao",IF(IFERROR(INDEX(parametros!$A$2:$A$6,MATCH(C3242,parametros!$B$2:$B$6,0)),"")&lt;&gt;"Sim","Nao",IF(IFERROR(INDEX(parametros!$H$2:$H$6,MATCH(C3242,parametros!$B$2:$B$6,0)),"")="","",IF(B3242&gt;=IFERROR(INDEX(parametros!$H$2:$H$6,MATCH(C3242,parametros!$B$2:$B$6,0)),""),"Sim","Nao"))))))</f>
        <v/>
      </c>
      <c r="T3242" s="156"/>
      <c r="U3242" s="214" t="str">
        <f t="shared" si="256"/>
        <v/>
      </c>
      <c r="V3242" s="212" t="s">
        <v>50</v>
      </c>
      <c r="W3242" s="100" t="s">
        <v>168</v>
      </c>
      <c r="X3242" s="100" t="s">
        <v>169</v>
      </c>
      <c r="Y3242" s="101" t="s">
        <v>170</v>
      </c>
      <c r="Z3242" s="101" t="s">
        <v>171</v>
      </c>
      <c r="AA3242" s="101" t="s">
        <v>50</v>
      </c>
      <c r="AB3242" s="101" t="s">
        <v>172</v>
      </c>
      <c r="AC3242" s="102" t="s">
        <v>173</v>
      </c>
    </row>
    <row r="3243" spans="1:29" ht="25.5" customHeight="1" x14ac:dyDescent="0.35">
      <c r="A3243" s="392"/>
      <c r="B3243" s="393"/>
      <c r="C3243" s="99" t="str">
        <f>IF(B3243="","",IF(NOT(ISNUMBER(B3243)),"DATA_PC invalida",IF(NOT(ISNUMBER(parametros!$C$2)),"Fora dos ciclos",IF(OR(B3243&lt;parametros!$C$2,(YEAR(B3243)-YEAR(parametros!$C$2))*12+MONTH(B3243)-MONTH(parametros!$C$2)&gt;59),"Fora dos ciclos","C"&amp;INT(((YEAR(B3243)-YEAR(parametros!$C$2))*12+MONTH(B3243)-MONTH(parametros!$C$2))/12)))))</f>
        <v/>
      </c>
      <c r="D3243" s="394"/>
      <c r="E3243" s="78" t="str">
        <f>IF(C3243="","",IFERROR(VLOOKUP(C3243,parametros!$A$11:$E$15,5,0),""))</f>
        <v/>
      </c>
      <c r="F3243" s="79" t="str">
        <f t="shared" si="252"/>
        <v/>
      </c>
      <c r="G3243" s="395"/>
      <c r="H3243" s="91">
        <f t="shared" si="253"/>
        <v>0</v>
      </c>
      <c r="I3243" s="91" t="str">
        <f t="shared" si="254"/>
        <v/>
      </c>
      <c r="J3243" s="91" t="str">
        <f t="shared" si="255"/>
        <v/>
      </c>
      <c r="K3243" s="92" t="str">
        <f>IF(AND(A3243="",B3243="",D3243="",G3243=""),"",IF(AND(A3243&lt;&gt;"",COUNTIF($A$2:$A$5001,A3243)&gt;1),"NUMERO_PC duplicado",IF(B3243="","DATA_PC vazia",IF(NOT(ISNUMBER(B3243)),"DATA_PC invalida",IF(OR(C3243="",C3243="Fora dos ciclos"),"CICLO_PC nao identificado",IF(OR(D3243="",D3243=0),"VALOR_PC vazio ou zero",IF(AND(G3243&lt;&gt;"Sim",G3243&lt;&gt;"Nao",G3243&lt;&gt;""),"PC_PAGO_A_CONTRATADA invalido",IF(AND(C3243&lt;&gt;"C0",IFERROR(INDEX(parametros!$A$2:$A$6,MATCH(C3243,parametros!$B$2:$B$6,0)),"")="Sim",IFERROR(INDEX(parametros!$H$2:$H$6,MATCH(C3243,parametros!$B$2:$B$6,0)),"")=""),"INICIO_EFEITO ausente: PC "&amp;A3243&amp;" - "&amp;C3243,IF(L3243="","EFEITO_PC nao calculado: PC "&amp;A3243&amp;" - "&amp;C3243,"OK")))))))))</f>
        <v/>
      </c>
      <c r="L3243" s="92" t="str">
        <f>IF(AND(A3243="",B3243="",D3243="",G3243=""),"",IF(OR(B3243="",NOT(ISNUMBER(B3243)),C3243="",C3243="Fora dos ciclos"),"",IF(C3243="C0","Nao",IF(IFERROR(INDEX(parametros!$A$2:$A$6,MATCH(C3243,parametros!$B$2:$B$6,0)),"")&lt;&gt;"Sim","Nao",IF(IFERROR(INDEX(parametros!$H$2:$H$6,MATCH(C3243,parametros!$B$2:$B$6,0)),"")="","",IF(B3243&gt;=IFERROR(INDEX(parametros!$H$2:$H$6,MATCH(C3243,parametros!$B$2:$B$6,0)),""),"Sim","Nao"))))))</f>
        <v/>
      </c>
      <c r="T3243" s="156"/>
      <c r="U3243" s="214" t="str">
        <f t="shared" si="256"/>
        <v/>
      </c>
      <c r="V3243" s="212" t="s">
        <v>50</v>
      </c>
      <c r="W3243" s="100" t="s">
        <v>168</v>
      </c>
      <c r="X3243" s="100" t="s">
        <v>169</v>
      </c>
      <c r="Y3243" s="101" t="s">
        <v>170</v>
      </c>
      <c r="Z3243" s="101" t="s">
        <v>171</v>
      </c>
      <c r="AA3243" s="101" t="s">
        <v>50</v>
      </c>
      <c r="AB3243" s="101" t="s">
        <v>172</v>
      </c>
      <c r="AC3243" s="102" t="s">
        <v>173</v>
      </c>
    </row>
    <row r="3244" spans="1:29" ht="25.5" customHeight="1" x14ac:dyDescent="0.35">
      <c r="A3244" s="392"/>
      <c r="B3244" s="393"/>
      <c r="C3244" s="99" t="str">
        <f>IF(B3244="","",IF(NOT(ISNUMBER(B3244)),"DATA_PC invalida",IF(NOT(ISNUMBER(parametros!$C$2)),"Fora dos ciclos",IF(OR(B3244&lt;parametros!$C$2,(YEAR(B3244)-YEAR(parametros!$C$2))*12+MONTH(B3244)-MONTH(parametros!$C$2)&gt;59),"Fora dos ciclos","C"&amp;INT(((YEAR(B3244)-YEAR(parametros!$C$2))*12+MONTH(B3244)-MONTH(parametros!$C$2))/12)))))</f>
        <v/>
      </c>
      <c r="D3244" s="394"/>
      <c r="E3244" s="78" t="str">
        <f>IF(C3244="","",IFERROR(VLOOKUP(C3244,parametros!$A$11:$E$15,5,0),""))</f>
        <v/>
      </c>
      <c r="F3244" s="79" t="str">
        <f t="shared" si="252"/>
        <v/>
      </c>
      <c r="G3244" s="395"/>
      <c r="H3244" s="91">
        <f t="shared" si="253"/>
        <v>0</v>
      </c>
      <c r="I3244" s="91" t="str">
        <f t="shared" si="254"/>
        <v/>
      </c>
      <c r="J3244" s="91" t="str">
        <f t="shared" si="255"/>
        <v/>
      </c>
      <c r="K3244" s="92" t="str">
        <f>IF(AND(A3244="",B3244="",D3244="",G3244=""),"",IF(AND(A3244&lt;&gt;"",COUNTIF($A$2:$A$5001,A3244)&gt;1),"NUMERO_PC duplicado",IF(B3244="","DATA_PC vazia",IF(NOT(ISNUMBER(B3244)),"DATA_PC invalida",IF(OR(C3244="",C3244="Fora dos ciclos"),"CICLO_PC nao identificado",IF(OR(D3244="",D3244=0),"VALOR_PC vazio ou zero",IF(AND(G3244&lt;&gt;"Sim",G3244&lt;&gt;"Nao",G3244&lt;&gt;""),"PC_PAGO_A_CONTRATADA invalido",IF(AND(C3244&lt;&gt;"C0",IFERROR(INDEX(parametros!$A$2:$A$6,MATCH(C3244,parametros!$B$2:$B$6,0)),"")="Sim",IFERROR(INDEX(parametros!$H$2:$H$6,MATCH(C3244,parametros!$B$2:$B$6,0)),"")=""),"INICIO_EFEITO ausente: PC "&amp;A3244&amp;" - "&amp;C3244,IF(L3244="","EFEITO_PC nao calculado: PC "&amp;A3244&amp;" - "&amp;C3244,"OK")))))))))</f>
        <v/>
      </c>
      <c r="L3244" s="92" t="str">
        <f>IF(AND(A3244="",B3244="",D3244="",G3244=""),"",IF(OR(B3244="",NOT(ISNUMBER(B3244)),C3244="",C3244="Fora dos ciclos"),"",IF(C3244="C0","Nao",IF(IFERROR(INDEX(parametros!$A$2:$A$6,MATCH(C3244,parametros!$B$2:$B$6,0)),"")&lt;&gt;"Sim","Nao",IF(IFERROR(INDEX(parametros!$H$2:$H$6,MATCH(C3244,parametros!$B$2:$B$6,0)),"")="","",IF(B3244&gt;=IFERROR(INDEX(parametros!$H$2:$H$6,MATCH(C3244,parametros!$B$2:$B$6,0)),""),"Sim","Nao"))))))</f>
        <v/>
      </c>
      <c r="T3244" s="156"/>
      <c r="U3244" s="214" t="str">
        <f t="shared" si="256"/>
        <v/>
      </c>
      <c r="V3244" s="212" t="s">
        <v>50</v>
      </c>
      <c r="W3244" s="100" t="s">
        <v>168</v>
      </c>
      <c r="X3244" s="100" t="s">
        <v>169</v>
      </c>
      <c r="Y3244" s="101" t="s">
        <v>170</v>
      </c>
      <c r="Z3244" s="101" t="s">
        <v>171</v>
      </c>
      <c r="AA3244" s="101" t="s">
        <v>50</v>
      </c>
      <c r="AB3244" s="101" t="s">
        <v>172</v>
      </c>
      <c r="AC3244" s="102" t="s">
        <v>173</v>
      </c>
    </row>
    <row r="3245" spans="1:29" ht="25.5" customHeight="1" x14ac:dyDescent="0.35">
      <c r="A3245" s="392"/>
      <c r="B3245" s="393"/>
      <c r="C3245" s="99" t="str">
        <f>IF(B3245="","",IF(NOT(ISNUMBER(B3245)),"DATA_PC invalida",IF(NOT(ISNUMBER(parametros!$C$2)),"Fora dos ciclos",IF(OR(B3245&lt;parametros!$C$2,(YEAR(B3245)-YEAR(parametros!$C$2))*12+MONTH(B3245)-MONTH(parametros!$C$2)&gt;59),"Fora dos ciclos","C"&amp;INT(((YEAR(B3245)-YEAR(parametros!$C$2))*12+MONTH(B3245)-MONTH(parametros!$C$2))/12)))))</f>
        <v/>
      </c>
      <c r="D3245" s="394"/>
      <c r="E3245" s="78" t="str">
        <f>IF(C3245="","",IFERROR(VLOOKUP(C3245,parametros!$A$11:$E$15,5,0),""))</f>
        <v/>
      </c>
      <c r="F3245" s="79" t="str">
        <f t="shared" si="252"/>
        <v/>
      </c>
      <c r="G3245" s="395"/>
      <c r="H3245" s="91">
        <f t="shared" si="253"/>
        <v>0</v>
      </c>
      <c r="I3245" s="91" t="str">
        <f t="shared" si="254"/>
        <v/>
      </c>
      <c r="J3245" s="91" t="str">
        <f t="shared" si="255"/>
        <v/>
      </c>
      <c r="K3245" s="92" t="str">
        <f>IF(AND(A3245="",B3245="",D3245="",G3245=""),"",IF(AND(A3245&lt;&gt;"",COUNTIF($A$2:$A$5001,A3245)&gt;1),"NUMERO_PC duplicado",IF(B3245="","DATA_PC vazia",IF(NOT(ISNUMBER(B3245)),"DATA_PC invalida",IF(OR(C3245="",C3245="Fora dos ciclos"),"CICLO_PC nao identificado",IF(OR(D3245="",D3245=0),"VALOR_PC vazio ou zero",IF(AND(G3245&lt;&gt;"Sim",G3245&lt;&gt;"Nao",G3245&lt;&gt;""),"PC_PAGO_A_CONTRATADA invalido",IF(AND(C3245&lt;&gt;"C0",IFERROR(INDEX(parametros!$A$2:$A$6,MATCH(C3245,parametros!$B$2:$B$6,0)),"")="Sim",IFERROR(INDEX(parametros!$H$2:$H$6,MATCH(C3245,parametros!$B$2:$B$6,0)),"")=""),"INICIO_EFEITO ausente: PC "&amp;A3245&amp;" - "&amp;C3245,IF(L3245="","EFEITO_PC nao calculado: PC "&amp;A3245&amp;" - "&amp;C3245,"OK")))))))))</f>
        <v/>
      </c>
      <c r="L3245" s="92" t="str">
        <f>IF(AND(A3245="",B3245="",D3245="",G3245=""),"",IF(OR(B3245="",NOT(ISNUMBER(B3245)),C3245="",C3245="Fora dos ciclos"),"",IF(C3245="C0","Nao",IF(IFERROR(INDEX(parametros!$A$2:$A$6,MATCH(C3245,parametros!$B$2:$B$6,0)),"")&lt;&gt;"Sim","Nao",IF(IFERROR(INDEX(parametros!$H$2:$H$6,MATCH(C3245,parametros!$B$2:$B$6,0)),"")="","",IF(B3245&gt;=IFERROR(INDEX(parametros!$H$2:$H$6,MATCH(C3245,parametros!$B$2:$B$6,0)),""),"Sim","Nao"))))))</f>
        <v/>
      </c>
      <c r="T3245" s="156"/>
      <c r="U3245" s="214" t="str">
        <f t="shared" si="256"/>
        <v/>
      </c>
      <c r="V3245" s="212" t="s">
        <v>50</v>
      </c>
      <c r="W3245" s="100" t="s">
        <v>168</v>
      </c>
      <c r="X3245" s="100" t="s">
        <v>169</v>
      </c>
      <c r="Y3245" s="101" t="s">
        <v>170</v>
      </c>
      <c r="Z3245" s="101" t="s">
        <v>171</v>
      </c>
      <c r="AA3245" s="101" t="s">
        <v>50</v>
      </c>
      <c r="AB3245" s="101" t="s">
        <v>172</v>
      </c>
      <c r="AC3245" s="102" t="s">
        <v>173</v>
      </c>
    </row>
    <row r="3246" spans="1:29" ht="25.5" customHeight="1" x14ac:dyDescent="0.35">
      <c r="A3246" s="392"/>
      <c r="B3246" s="393"/>
      <c r="C3246" s="99" t="str">
        <f>IF(B3246="","",IF(NOT(ISNUMBER(B3246)),"DATA_PC invalida",IF(NOT(ISNUMBER(parametros!$C$2)),"Fora dos ciclos",IF(OR(B3246&lt;parametros!$C$2,(YEAR(B3246)-YEAR(parametros!$C$2))*12+MONTH(B3246)-MONTH(parametros!$C$2)&gt;59),"Fora dos ciclos","C"&amp;INT(((YEAR(B3246)-YEAR(parametros!$C$2))*12+MONTH(B3246)-MONTH(parametros!$C$2))/12)))))</f>
        <v/>
      </c>
      <c r="D3246" s="394"/>
      <c r="E3246" s="78" t="str">
        <f>IF(C3246="","",IFERROR(VLOOKUP(C3246,parametros!$A$11:$E$15,5,0),""))</f>
        <v/>
      </c>
      <c r="F3246" s="79" t="str">
        <f t="shared" si="252"/>
        <v/>
      </c>
      <c r="G3246" s="395"/>
      <c r="H3246" s="91">
        <f t="shared" si="253"/>
        <v>0</v>
      </c>
      <c r="I3246" s="91" t="str">
        <f t="shared" si="254"/>
        <v/>
      </c>
      <c r="J3246" s="91" t="str">
        <f t="shared" si="255"/>
        <v/>
      </c>
      <c r="K3246" s="92" t="str">
        <f>IF(AND(A3246="",B3246="",D3246="",G3246=""),"",IF(AND(A3246&lt;&gt;"",COUNTIF($A$2:$A$5001,A3246)&gt;1),"NUMERO_PC duplicado",IF(B3246="","DATA_PC vazia",IF(NOT(ISNUMBER(B3246)),"DATA_PC invalida",IF(OR(C3246="",C3246="Fora dos ciclos"),"CICLO_PC nao identificado",IF(OR(D3246="",D3246=0),"VALOR_PC vazio ou zero",IF(AND(G3246&lt;&gt;"Sim",G3246&lt;&gt;"Nao",G3246&lt;&gt;""),"PC_PAGO_A_CONTRATADA invalido",IF(AND(C3246&lt;&gt;"C0",IFERROR(INDEX(parametros!$A$2:$A$6,MATCH(C3246,parametros!$B$2:$B$6,0)),"")="Sim",IFERROR(INDEX(parametros!$H$2:$H$6,MATCH(C3246,parametros!$B$2:$B$6,0)),"")=""),"INICIO_EFEITO ausente: PC "&amp;A3246&amp;" - "&amp;C3246,IF(L3246="","EFEITO_PC nao calculado: PC "&amp;A3246&amp;" - "&amp;C3246,"OK")))))))))</f>
        <v/>
      </c>
      <c r="L3246" s="92" t="str">
        <f>IF(AND(A3246="",B3246="",D3246="",G3246=""),"",IF(OR(B3246="",NOT(ISNUMBER(B3246)),C3246="",C3246="Fora dos ciclos"),"",IF(C3246="C0","Nao",IF(IFERROR(INDEX(parametros!$A$2:$A$6,MATCH(C3246,parametros!$B$2:$B$6,0)),"")&lt;&gt;"Sim","Nao",IF(IFERROR(INDEX(parametros!$H$2:$H$6,MATCH(C3246,parametros!$B$2:$B$6,0)),"")="","",IF(B3246&gt;=IFERROR(INDEX(parametros!$H$2:$H$6,MATCH(C3246,parametros!$B$2:$B$6,0)),""),"Sim","Nao"))))))</f>
        <v/>
      </c>
      <c r="T3246" s="156"/>
      <c r="U3246" s="214" t="str">
        <f t="shared" si="256"/>
        <v/>
      </c>
      <c r="V3246" s="212" t="s">
        <v>50</v>
      </c>
      <c r="W3246" s="100" t="s">
        <v>168</v>
      </c>
      <c r="X3246" s="100" t="s">
        <v>169</v>
      </c>
      <c r="Y3246" s="101" t="s">
        <v>170</v>
      </c>
      <c r="Z3246" s="101" t="s">
        <v>171</v>
      </c>
      <c r="AA3246" s="101" t="s">
        <v>50</v>
      </c>
      <c r="AB3246" s="101" t="s">
        <v>172</v>
      </c>
      <c r="AC3246" s="102" t="s">
        <v>173</v>
      </c>
    </row>
    <row r="3247" spans="1:29" ht="25.5" customHeight="1" x14ac:dyDescent="0.35">
      <c r="A3247" s="392"/>
      <c r="B3247" s="393"/>
      <c r="C3247" s="99" t="str">
        <f>IF(B3247="","",IF(NOT(ISNUMBER(B3247)),"DATA_PC invalida",IF(NOT(ISNUMBER(parametros!$C$2)),"Fora dos ciclos",IF(OR(B3247&lt;parametros!$C$2,(YEAR(B3247)-YEAR(parametros!$C$2))*12+MONTH(B3247)-MONTH(parametros!$C$2)&gt;59),"Fora dos ciclos","C"&amp;INT(((YEAR(B3247)-YEAR(parametros!$C$2))*12+MONTH(B3247)-MONTH(parametros!$C$2))/12)))))</f>
        <v/>
      </c>
      <c r="D3247" s="394"/>
      <c r="E3247" s="78" t="str">
        <f>IF(C3247="","",IFERROR(VLOOKUP(C3247,parametros!$A$11:$E$15,5,0),""))</f>
        <v/>
      </c>
      <c r="F3247" s="79" t="str">
        <f t="shared" si="252"/>
        <v/>
      </c>
      <c r="G3247" s="395"/>
      <c r="H3247" s="91">
        <f t="shared" si="253"/>
        <v>0</v>
      </c>
      <c r="I3247" s="91" t="str">
        <f t="shared" si="254"/>
        <v/>
      </c>
      <c r="J3247" s="91" t="str">
        <f t="shared" si="255"/>
        <v/>
      </c>
      <c r="K3247" s="92" t="str">
        <f>IF(AND(A3247="",B3247="",D3247="",G3247=""),"",IF(AND(A3247&lt;&gt;"",COUNTIF($A$2:$A$5001,A3247)&gt;1),"NUMERO_PC duplicado",IF(B3247="","DATA_PC vazia",IF(NOT(ISNUMBER(B3247)),"DATA_PC invalida",IF(OR(C3247="",C3247="Fora dos ciclos"),"CICLO_PC nao identificado",IF(OR(D3247="",D3247=0),"VALOR_PC vazio ou zero",IF(AND(G3247&lt;&gt;"Sim",G3247&lt;&gt;"Nao",G3247&lt;&gt;""),"PC_PAGO_A_CONTRATADA invalido",IF(AND(C3247&lt;&gt;"C0",IFERROR(INDEX(parametros!$A$2:$A$6,MATCH(C3247,parametros!$B$2:$B$6,0)),"")="Sim",IFERROR(INDEX(parametros!$H$2:$H$6,MATCH(C3247,parametros!$B$2:$B$6,0)),"")=""),"INICIO_EFEITO ausente: PC "&amp;A3247&amp;" - "&amp;C3247,IF(L3247="","EFEITO_PC nao calculado: PC "&amp;A3247&amp;" - "&amp;C3247,"OK")))))))))</f>
        <v/>
      </c>
      <c r="L3247" s="92" t="str">
        <f>IF(AND(A3247="",B3247="",D3247="",G3247=""),"",IF(OR(B3247="",NOT(ISNUMBER(B3247)),C3247="",C3247="Fora dos ciclos"),"",IF(C3247="C0","Nao",IF(IFERROR(INDEX(parametros!$A$2:$A$6,MATCH(C3247,parametros!$B$2:$B$6,0)),"")&lt;&gt;"Sim","Nao",IF(IFERROR(INDEX(parametros!$H$2:$H$6,MATCH(C3247,parametros!$B$2:$B$6,0)),"")="","",IF(B3247&gt;=IFERROR(INDEX(parametros!$H$2:$H$6,MATCH(C3247,parametros!$B$2:$B$6,0)),""),"Sim","Nao"))))))</f>
        <v/>
      </c>
      <c r="T3247" s="156"/>
      <c r="U3247" s="214" t="str">
        <f t="shared" si="256"/>
        <v/>
      </c>
      <c r="V3247" s="212" t="s">
        <v>50</v>
      </c>
      <c r="W3247" s="100" t="s">
        <v>168</v>
      </c>
      <c r="X3247" s="100" t="s">
        <v>169</v>
      </c>
      <c r="Y3247" s="101" t="s">
        <v>170</v>
      </c>
      <c r="Z3247" s="101" t="s">
        <v>171</v>
      </c>
      <c r="AA3247" s="101" t="s">
        <v>50</v>
      </c>
      <c r="AB3247" s="101" t="s">
        <v>172</v>
      </c>
      <c r="AC3247" s="102" t="s">
        <v>173</v>
      </c>
    </row>
    <row r="3248" spans="1:29" ht="25.5" customHeight="1" x14ac:dyDescent="0.35">
      <c r="A3248" s="392"/>
      <c r="B3248" s="393"/>
      <c r="C3248" s="99" t="str">
        <f>IF(B3248="","",IF(NOT(ISNUMBER(B3248)),"DATA_PC invalida",IF(NOT(ISNUMBER(parametros!$C$2)),"Fora dos ciclos",IF(OR(B3248&lt;parametros!$C$2,(YEAR(B3248)-YEAR(parametros!$C$2))*12+MONTH(B3248)-MONTH(parametros!$C$2)&gt;59),"Fora dos ciclos","C"&amp;INT(((YEAR(B3248)-YEAR(parametros!$C$2))*12+MONTH(B3248)-MONTH(parametros!$C$2))/12)))))</f>
        <v/>
      </c>
      <c r="D3248" s="394"/>
      <c r="E3248" s="78" t="str">
        <f>IF(C3248="","",IFERROR(VLOOKUP(C3248,parametros!$A$11:$E$15,5,0),""))</f>
        <v/>
      </c>
      <c r="F3248" s="79" t="str">
        <f t="shared" si="252"/>
        <v/>
      </c>
      <c r="G3248" s="395"/>
      <c r="H3248" s="91">
        <f t="shared" si="253"/>
        <v>0</v>
      </c>
      <c r="I3248" s="91" t="str">
        <f t="shared" si="254"/>
        <v/>
      </c>
      <c r="J3248" s="91" t="str">
        <f t="shared" si="255"/>
        <v/>
      </c>
      <c r="K3248" s="92" t="str">
        <f>IF(AND(A3248="",B3248="",D3248="",G3248=""),"",IF(AND(A3248&lt;&gt;"",COUNTIF($A$2:$A$5001,A3248)&gt;1),"NUMERO_PC duplicado",IF(B3248="","DATA_PC vazia",IF(NOT(ISNUMBER(B3248)),"DATA_PC invalida",IF(OR(C3248="",C3248="Fora dos ciclos"),"CICLO_PC nao identificado",IF(OR(D3248="",D3248=0),"VALOR_PC vazio ou zero",IF(AND(G3248&lt;&gt;"Sim",G3248&lt;&gt;"Nao",G3248&lt;&gt;""),"PC_PAGO_A_CONTRATADA invalido",IF(AND(C3248&lt;&gt;"C0",IFERROR(INDEX(parametros!$A$2:$A$6,MATCH(C3248,parametros!$B$2:$B$6,0)),"")="Sim",IFERROR(INDEX(parametros!$H$2:$H$6,MATCH(C3248,parametros!$B$2:$B$6,0)),"")=""),"INICIO_EFEITO ausente: PC "&amp;A3248&amp;" - "&amp;C3248,IF(L3248="","EFEITO_PC nao calculado: PC "&amp;A3248&amp;" - "&amp;C3248,"OK")))))))))</f>
        <v/>
      </c>
      <c r="L3248" s="92" t="str">
        <f>IF(AND(A3248="",B3248="",D3248="",G3248=""),"",IF(OR(B3248="",NOT(ISNUMBER(B3248)),C3248="",C3248="Fora dos ciclos"),"",IF(C3248="C0","Nao",IF(IFERROR(INDEX(parametros!$A$2:$A$6,MATCH(C3248,parametros!$B$2:$B$6,0)),"")&lt;&gt;"Sim","Nao",IF(IFERROR(INDEX(parametros!$H$2:$H$6,MATCH(C3248,parametros!$B$2:$B$6,0)),"")="","",IF(B3248&gt;=IFERROR(INDEX(parametros!$H$2:$H$6,MATCH(C3248,parametros!$B$2:$B$6,0)),""),"Sim","Nao"))))))</f>
        <v/>
      </c>
      <c r="T3248" s="156"/>
      <c r="U3248" s="214" t="str">
        <f t="shared" si="256"/>
        <v/>
      </c>
      <c r="V3248" s="212" t="s">
        <v>50</v>
      </c>
      <c r="W3248" s="100" t="s">
        <v>168</v>
      </c>
      <c r="X3248" s="100" t="s">
        <v>169</v>
      </c>
      <c r="Y3248" s="101" t="s">
        <v>170</v>
      </c>
      <c r="Z3248" s="101" t="s">
        <v>171</v>
      </c>
      <c r="AA3248" s="101" t="s">
        <v>50</v>
      </c>
      <c r="AB3248" s="101" t="s">
        <v>172</v>
      </c>
      <c r="AC3248" s="102" t="s">
        <v>173</v>
      </c>
    </row>
    <row r="3249" spans="1:29" ht="25.5" customHeight="1" x14ac:dyDescent="0.35">
      <c r="A3249" s="392"/>
      <c r="B3249" s="393"/>
      <c r="C3249" s="99" t="str">
        <f>IF(B3249="","",IF(NOT(ISNUMBER(B3249)),"DATA_PC invalida",IF(NOT(ISNUMBER(parametros!$C$2)),"Fora dos ciclos",IF(OR(B3249&lt;parametros!$C$2,(YEAR(B3249)-YEAR(parametros!$C$2))*12+MONTH(B3249)-MONTH(parametros!$C$2)&gt;59),"Fora dos ciclos","C"&amp;INT(((YEAR(B3249)-YEAR(parametros!$C$2))*12+MONTH(B3249)-MONTH(parametros!$C$2))/12)))))</f>
        <v/>
      </c>
      <c r="D3249" s="394"/>
      <c r="E3249" s="78" t="str">
        <f>IF(C3249="","",IFERROR(VLOOKUP(C3249,parametros!$A$11:$E$15,5,0),""))</f>
        <v/>
      </c>
      <c r="F3249" s="79" t="str">
        <f t="shared" si="252"/>
        <v/>
      </c>
      <c r="G3249" s="395"/>
      <c r="H3249" s="91">
        <f t="shared" si="253"/>
        <v>0</v>
      </c>
      <c r="I3249" s="91" t="str">
        <f t="shared" si="254"/>
        <v/>
      </c>
      <c r="J3249" s="91" t="str">
        <f t="shared" si="255"/>
        <v/>
      </c>
      <c r="K3249" s="92" t="str">
        <f>IF(AND(A3249="",B3249="",D3249="",G3249=""),"",IF(AND(A3249&lt;&gt;"",COUNTIF($A$2:$A$5001,A3249)&gt;1),"NUMERO_PC duplicado",IF(B3249="","DATA_PC vazia",IF(NOT(ISNUMBER(B3249)),"DATA_PC invalida",IF(OR(C3249="",C3249="Fora dos ciclos"),"CICLO_PC nao identificado",IF(OR(D3249="",D3249=0),"VALOR_PC vazio ou zero",IF(AND(G3249&lt;&gt;"Sim",G3249&lt;&gt;"Nao",G3249&lt;&gt;""),"PC_PAGO_A_CONTRATADA invalido",IF(AND(C3249&lt;&gt;"C0",IFERROR(INDEX(parametros!$A$2:$A$6,MATCH(C3249,parametros!$B$2:$B$6,0)),"")="Sim",IFERROR(INDEX(parametros!$H$2:$H$6,MATCH(C3249,parametros!$B$2:$B$6,0)),"")=""),"INICIO_EFEITO ausente: PC "&amp;A3249&amp;" - "&amp;C3249,IF(L3249="","EFEITO_PC nao calculado: PC "&amp;A3249&amp;" - "&amp;C3249,"OK")))))))))</f>
        <v/>
      </c>
      <c r="L3249" s="92" t="str">
        <f>IF(AND(A3249="",B3249="",D3249="",G3249=""),"",IF(OR(B3249="",NOT(ISNUMBER(B3249)),C3249="",C3249="Fora dos ciclos"),"",IF(C3249="C0","Nao",IF(IFERROR(INDEX(parametros!$A$2:$A$6,MATCH(C3249,parametros!$B$2:$B$6,0)),"")&lt;&gt;"Sim","Nao",IF(IFERROR(INDEX(parametros!$H$2:$H$6,MATCH(C3249,parametros!$B$2:$B$6,0)),"")="","",IF(B3249&gt;=IFERROR(INDEX(parametros!$H$2:$H$6,MATCH(C3249,parametros!$B$2:$B$6,0)),""),"Sim","Nao"))))))</f>
        <v/>
      </c>
      <c r="T3249" s="156"/>
      <c r="U3249" s="214" t="str">
        <f t="shared" si="256"/>
        <v/>
      </c>
      <c r="V3249" s="212" t="s">
        <v>50</v>
      </c>
      <c r="W3249" s="100" t="s">
        <v>168</v>
      </c>
      <c r="X3249" s="100" t="s">
        <v>169</v>
      </c>
      <c r="Y3249" s="101" t="s">
        <v>170</v>
      </c>
      <c r="Z3249" s="101" t="s">
        <v>171</v>
      </c>
      <c r="AA3249" s="101" t="s">
        <v>50</v>
      </c>
      <c r="AB3249" s="101" t="s">
        <v>172</v>
      </c>
      <c r="AC3249" s="102" t="s">
        <v>173</v>
      </c>
    </row>
    <row r="3250" spans="1:29" ht="25.5" customHeight="1" x14ac:dyDescent="0.35">
      <c r="A3250" s="392"/>
      <c r="B3250" s="393"/>
      <c r="C3250" s="99" t="str">
        <f>IF(B3250="","",IF(NOT(ISNUMBER(B3250)),"DATA_PC invalida",IF(NOT(ISNUMBER(parametros!$C$2)),"Fora dos ciclos",IF(OR(B3250&lt;parametros!$C$2,(YEAR(B3250)-YEAR(parametros!$C$2))*12+MONTH(B3250)-MONTH(parametros!$C$2)&gt;59),"Fora dos ciclos","C"&amp;INT(((YEAR(B3250)-YEAR(parametros!$C$2))*12+MONTH(B3250)-MONTH(parametros!$C$2))/12)))))</f>
        <v/>
      </c>
      <c r="D3250" s="394"/>
      <c r="E3250" s="78" t="str">
        <f>IF(C3250="","",IFERROR(VLOOKUP(C3250,parametros!$A$11:$E$15,5,0),""))</f>
        <v/>
      </c>
      <c r="F3250" s="79" t="str">
        <f t="shared" si="252"/>
        <v/>
      </c>
      <c r="G3250" s="395"/>
      <c r="H3250" s="91">
        <f t="shared" si="253"/>
        <v>0</v>
      </c>
      <c r="I3250" s="91" t="str">
        <f t="shared" si="254"/>
        <v/>
      </c>
      <c r="J3250" s="91" t="str">
        <f t="shared" si="255"/>
        <v/>
      </c>
      <c r="K3250" s="92" t="str">
        <f>IF(AND(A3250="",B3250="",D3250="",G3250=""),"",IF(AND(A3250&lt;&gt;"",COUNTIF($A$2:$A$5001,A3250)&gt;1),"NUMERO_PC duplicado",IF(B3250="","DATA_PC vazia",IF(NOT(ISNUMBER(B3250)),"DATA_PC invalida",IF(OR(C3250="",C3250="Fora dos ciclos"),"CICLO_PC nao identificado",IF(OR(D3250="",D3250=0),"VALOR_PC vazio ou zero",IF(AND(G3250&lt;&gt;"Sim",G3250&lt;&gt;"Nao",G3250&lt;&gt;""),"PC_PAGO_A_CONTRATADA invalido",IF(AND(C3250&lt;&gt;"C0",IFERROR(INDEX(parametros!$A$2:$A$6,MATCH(C3250,parametros!$B$2:$B$6,0)),"")="Sim",IFERROR(INDEX(parametros!$H$2:$H$6,MATCH(C3250,parametros!$B$2:$B$6,0)),"")=""),"INICIO_EFEITO ausente: PC "&amp;A3250&amp;" - "&amp;C3250,IF(L3250="","EFEITO_PC nao calculado: PC "&amp;A3250&amp;" - "&amp;C3250,"OK")))))))))</f>
        <v/>
      </c>
      <c r="L3250" s="92" t="str">
        <f>IF(AND(A3250="",B3250="",D3250="",G3250=""),"",IF(OR(B3250="",NOT(ISNUMBER(B3250)),C3250="",C3250="Fora dos ciclos"),"",IF(C3250="C0","Nao",IF(IFERROR(INDEX(parametros!$A$2:$A$6,MATCH(C3250,parametros!$B$2:$B$6,0)),"")&lt;&gt;"Sim","Nao",IF(IFERROR(INDEX(parametros!$H$2:$H$6,MATCH(C3250,parametros!$B$2:$B$6,0)),"")="","",IF(B3250&gt;=IFERROR(INDEX(parametros!$H$2:$H$6,MATCH(C3250,parametros!$B$2:$B$6,0)),""),"Sim","Nao"))))))</f>
        <v/>
      </c>
      <c r="T3250" s="156"/>
      <c r="U3250" s="214" t="str">
        <f t="shared" si="256"/>
        <v/>
      </c>
      <c r="V3250" s="212" t="s">
        <v>50</v>
      </c>
      <c r="W3250" s="100" t="s">
        <v>168</v>
      </c>
      <c r="X3250" s="100" t="s">
        <v>169</v>
      </c>
      <c r="Y3250" s="101" t="s">
        <v>170</v>
      </c>
      <c r="Z3250" s="101" t="s">
        <v>171</v>
      </c>
      <c r="AA3250" s="101" t="s">
        <v>50</v>
      </c>
      <c r="AB3250" s="101" t="s">
        <v>172</v>
      </c>
      <c r="AC3250" s="102" t="s">
        <v>173</v>
      </c>
    </row>
    <row r="3251" spans="1:29" ht="25.5" customHeight="1" x14ac:dyDescent="0.35">
      <c r="A3251" s="392"/>
      <c r="B3251" s="393"/>
      <c r="C3251" s="99" t="str">
        <f>IF(B3251="","",IF(NOT(ISNUMBER(B3251)),"DATA_PC invalida",IF(NOT(ISNUMBER(parametros!$C$2)),"Fora dos ciclos",IF(OR(B3251&lt;parametros!$C$2,(YEAR(B3251)-YEAR(parametros!$C$2))*12+MONTH(B3251)-MONTH(parametros!$C$2)&gt;59),"Fora dos ciclos","C"&amp;INT(((YEAR(B3251)-YEAR(parametros!$C$2))*12+MONTH(B3251)-MONTH(parametros!$C$2))/12)))))</f>
        <v/>
      </c>
      <c r="D3251" s="394"/>
      <c r="E3251" s="78" t="str">
        <f>IF(C3251="","",IFERROR(VLOOKUP(C3251,parametros!$A$11:$E$15,5,0),""))</f>
        <v/>
      </c>
      <c r="F3251" s="79" t="str">
        <f t="shared" si="252"/>
        <v/>
      </c>
      <c r="G3251" s="395"/>
      <c r="H3251" s="91">
        <f t="shared" si="253"/>
        <v>0</v>
      </c>
      <c r="I3251" s="91" t="str">
        <f t="shared" si="254"/>
        <v/>
      </c>
      <c r="J3251" s="91" t="str">
        <f t="shared" si="255"/>
        <v/>
      </c>
      <c r="K3251" s="92" t="str">
        <f>IF(AND(A3251="",B3251="",D3251="",G3251=""),"",IF(AND(A3251&lt;&gt;"",COUNTIF($A$2:$A$5001,A3251)&gt;1),"NUMERO_PC duplicado",IF(B3251="","DATA_PC vazia",IF(NOT(ISNUMBER(B3251)),"DATA_PC invalida",IF(OR(C3251="",C3251="Fora dos ciclos"),"CICLO_PC nao identificado",IF(OR(D3251="",D3251=0),"VALOR_PC vazio ou zero",IF(AND(G3251&lt;&gt;"Sim",G3251&lt;&gt;"Nao",G3251&lt;&gt;""),"PC_PAGO_A_CONTRATADA invalido",IF(AND(C3251&lt;&gt;"C0",IFERROR(INDEX(parametros!$A$2:$A$6,MATCH(C3251,parametros!$B$2:$B$6,0)),"")="Sim",IFERROR(INDEX(parametros!$H$2:$H$6,MATCH(C3251,parametros!$B$2:$B$6,0)),"")=""),"INICIO_EFEITO ausente: PC "&amp;A3251&amp;" - "&amp;C3251,IF(L3251="","EFEITO_PC nao calculado: PC "&amp;A3251&amp;" - "&amp;C3251,"OK")))))))))</f>
        <v/>
      </c>
      <c r="L3251" s="92" t="str">
        <f>IF(AND(A3251="",B3251="",D3251="",G3251=""),"",IF(OR(B3251="",NOT(ISNUMBER(B3251)),C3251="",C3251="Fora dos ciclos"),"",IF(C3251="C0","Nao",IF(IFERROR(INDEX(parametros!$A$2:$A$6,MATCH(C3251,parametros!$B$2:$B$6,0)),"")&lt;&gt;"Sim","Nao",IF(IFERROR(INDEX(parametros!$H$2:$H$6,MATCH(C3251,parametros!$B$2:$B$6,0)),"")="","",IF(B3251&gt;=IFERROR(INDEX(parametros!$H$2:$H$6,MATCH(C3251,parametros!$B$2:$B$6,0)),""),"Sim","Nao"))))))</f>
        <v/>
      </c>
      <c r="T3251" s="156"/>
      <c r="U3251" s="214" t="str">
        <f t="shared" si="256"/>
        <v/>
      </c>
      <c r="V3251" s="212" t="s">
        <v>50</v>
      </c>
      <c r="W3251" s="100" t="s">
        <v>168</v>
      </c>
      <c r="X3251" s="100" t="s">
        <v>169</v>
      </c>
      <c r="Y3251" s="101" t="s">
        <v>170</v>
      </c>
      <c r="Z3251" s="101" t="s">
        <v>171</v>
      </c>
      <c r="AA3251" s="101" t="s">
        <v>50</v>
      </c>
      <c r="AB3251" s="101" t="s">
        <v>172</v>
      </c>
      <c r="AC3251" s="102" t="s">
        <v>173</v>
      </c>
    </row>
    <row r="3252" spans="1:29" ht="25.5" customHeight="1" x14ac:dyDescent="0.35">
      <c r="A3252" s="392"/>
      <c r="B3252" s="393"/>
      <c r="C3252" s="99" t="str">
        <f>IF(B3252="","",IF(NOT(ISNUMBER(B3252)),"DATA_PC invalida",IF(NOT(ISNUMBER(parametros!$C$2)),"Fora dos ciclos",IF(OR(B3252&lt;parametros!$C$2,(YEAR(B3252)-YEAR(parametros!$C$2))*12+MONTH(B3252)-MONTH(parametros!$C$2)&gt;59),"Fora dos ciclos","C"&amp;INT(((YEAR(B3252)-YEAR(parametros!$C$2))*12+MONTH(B3252)-MONTH(parametros!$C$2))/12)))))</f>
        <v/>
      </c>
      <c r="D3252" s="394"/>
      <c r="E3252" s="78" t="str">
        <f>IF(C3252="","",IFERROR(VLOOKUP(C3252,parametros!$A$11:$E$15,5,0),""))</f>
        <v/>
      </c>
      <c r="F3252" s="79" t="str">
        <f t="shared" si="252"/>
        <v/>
      </c>
      <c r="G3252" s="395"/>
      <c r="H3252" s="91">
        <f t="shared" si="253"/>
        <v>0</v>
      </c>
      <c r="I3252" s="91" t="str">
        <f t="shared" si="254"/>
        <v/>
      </c>
      <c r="J3252" s="91" t="str">
        <f t="shared" si="255"/>
        <v/>
      </c>
      <c r="K3252" s="92" t="str">
        <f>IF(AND(A3252="",B3252="",D3252="",G3252=""),"",IF(AND(A3252&lt;&gt;"",COUNTIF($A$2:$A$5001,A3252)&gt;1),"NUMERO_PC duplicado",IF(B3252="","DATA_PC vazia",IF(NOT(ISNUMBER(B3252)),"DATA_PC invalida",IF(OR(C3252="",C3252="Fora dos ciclos"),"CICLO_PC nao identificado",IF(OR(D3252="",D3252=0),"VALOR_PC vazio ou zero",IF(AND(G3252&lt;&gt;"Sim",G3252&lt;&gt;"Nao",G3252&lt;&gt;""),"PC_PAGO_A_CONTRATADA invalido",IF(AND(C3252&lt;&gt;"C0",IFERROR(INDEX(parametros!$A$2:$A$6,MATCH(C3252,parametros!$B$2:$B$6,0)),"")="Sim",IFERROR(INDEX(parametros!$H$2:$H$6,MATCH(C3252,parametros!$B$2:$B$6,0)),"")=""),"INICIO_EFEITO ausente: PC "&amp;A3252&amp;" - "&amp;C3252,IF(L3252="","EFEITO_PC nao calculado: PC "&amp;A3252&amp;" - "&amp;C3252,"OK")))))))))</f>
        <v/>
      </c>
      <c r="L3252" s="92" t="str">
        <f>IF(AND(A3252="",B3252="",D3252="",G3252=""),"",IF(OR(B3252="",NOT(ISNUMBER(B3252)),C3252="",C3252="Fora dos ciclos"),"",IF(C3252="C0","Nao",IF(IFERROR(INDEX(parametros!$A$2:$A$6,MATCH(C3252,parametros!$B$2:$B$6,0)),"")&lt;&gt;"Sim","Nao",IF(IFERROR(INDEX(parametros!$H$2:$H$6,MATCH(C3252,parametros!$B$2:$B$6,0)),"")="","",IF(B3252&gt;=IFERROR(INDEX(parametros!$H$2:$H$6,MATCH(C3252,parametros!$B$2:$B$6,0)),""),"Sim","Nao"))))))</f>
        <v/>
      </c>
      <c r="T3252" s="156"/>
      <c r="U3252" s="214" t="str">
        <f t="shared" si="256"/>
        <v/>
      </c>
      <c r="V3252" s="212" t="s">
        <v>50</v>
      </c>
      <c r="W3252" s="100" t="s">
        <v>168</v>
      </c>
      <c r="X3252" s="100" t="s">
        <v>169</v>
      </c>
      <c r="Y3252" s="101" t="s">
        <v>170</v>
      </c>
      <c r="Z3252" s="101" t="s">
        <v>171</v>
      </c>
      <c r="AA3252" s="101" t="s">
        <v>50</v>
      </c>
      <c r="AB3252" s="101" t="s">
        <v>172</v>
      </c>
      <c r="AC3252" s="102" t="s">
        <v>173</v>
      </c>
    </row>
    <row r="3253" spans="1:29" ht="25.5" customHeight="1" x14ac:dyDescent="0.35">
      <c r="A3253" s="392"/>
      <c r="B3253" s="393"/>
      <c r="C3253" s="99" t="str">
        <f>IF(B3253="","",IF(NOT(ISNUMBER(B3253)),"DATA_PC invalida",IF(NOT(ISNUMBER(parametros!$C$2)),"Fora dos ciclos",IF(OR(B3253&lt;parametros!$C$2,(YEAR(B3253)-YEAR(parametros!$C$2))*12+MONTH(B3253)-MONTH(parametros!$C$2)&gt;59),"Fora dos ciclos","C"&amp;INT(((YEAR(B3253)-YEAR(parametros!$C$2))*12+MONTH(B3253)-MONTH(parametros!$C$2))/12)))))</f>
        <v/>
      </c>
      <c r="D3253" s="394"/>
      <c r="E3253" s="78" t="str">
        <f>IF(C3253="","",IFERROR(VLOOKUP(C3253,parametros!$A$11:$E$15,5,0),""))</f>
        <v/>
      </c>
      <c r="F3253" s="79" t="str">
        <f t="shared" si="252"/>
        <v/>
      </c>
      <c r="G3253" s="395"/>
      <c r="H3253" s="91">
        <f t="shared" si="253"/>
        <v>0</v>
      </c>
      <c r="I3253" s="91" t="str">
        <f t="shared" si="254"/>
        <v/>
      </c>
      <c r="J3253" s="91" t="str">
        <f t="shared" si="255"/>
        <v/>
      </c>
      <c r="K3253" s="92" t="str">
        <f>IF(AND(A3253="",B3253="",D3253="",G3253=""),"",IF(AND(A3253&lt;&gt;"",COUNTIF($A$2:$A$5001,A3253)&gt;1),"NUMERO_PC duplicado",IF(B3253="","DATA_PC vazia",IF(NOT(ISNUMBER(B3253)),"DATA_PC invalida",IF(OR(C3253="",C3253="Fora dos ciclos"),"CICLO_PC nao identificado",IF(OR(D3253="",D3253=0),"VALOR_PC vazio ou zero",IF(AND(G3253&lt;&gt;"Sim",G3253&lt;&gt;"Nao",G3253&lt;&gt;""),"PC_PAGO_A_CONTRATADA invalido",IF(AND(C3253&lt;&gt;"C0",IFERROR(INDEX(parametros!$A$2:$A$6,MATCH(C3253,parametros!$B$2:$B$6,0)),"")="Sim",IFERROR(INDEX(parametros!$H$2:$H$6,MATCH(C3253,parametros!$B$2:$B$6,0)),"")=""),"INICIO_EFEITO ausente: PC "&amp;A3253&amp;" - "&amp;C3253,IF(L3253="","EFEITO_PC nao calculado: PC "&amp;A3253&amp;" - "&amp;C3253,"OK")))))))))</f>
        <v/>
      </c>
      <c r="L3253" s="92" t="str">
        <f>IF(AND(A3253="",B3253="",D3253="",G3253=""),"",IF(OR(B3253="",NOT(ISNUMBER(B3253)),C3253="",C3253="Fora dos ciclos"),"",IF(C3253="C0","Nao",IF(IFERROR(INDEX(parametros!$A$2:$A$6,MATCH(C3253,parametros!$B$2:$B$6,0)),"")&lt;&gt;"Sim","Nao",IF(IFERROR(INDEX(parametros!$H$2:$H$6,MATCH(C3253,parametros!$B$2:$B$6,0)),"")="","",IF(B3253&gt;=IFERROR(INDEX(parametros!$H$2:$H$6,MATCH(C3253,parametros!$B$2:$B$6,0)),""),"Sim","Nao"))))))</f>
        <v/>
      </c>
      <c r="T3253" s="156"/>
      <c r="U3253" s="214" t="str">
        <f t="shared" si="256"/>
        <v/>
      </c>
      <c r="V3253" s="212" t="s">
        <v>50</v>
      </c>
      <c r="W3253" s="100" t="s">
        <v>168</v>
      </c>
      <c r="X3253" s="100" t="s">
        <v>169</v>
      </c>
      <c r="Y3253" s="101" t="s">
        <v>170</v>
      </c>
      <c r="Z3253" s="101" t="s">
        <v>171</v>
      </c>
      <c r="AA3253" s="101" t="s">
        <v>50</v>
      </c>
      <c r="AB3253" s="101" t="s">
        <v>172</v>
      </c>
      <c r="AC3253" s="102" t="s">
        <v>173</v>
      </c>
    </row>
    <row r="3254" spans="1:29" ht="25.5" customHeight="1" x14ac:dyDescent="0.35">
      <c r="A3254" s="392"/>
      <c r="B3254" s="393"/>
      <c r="C3254" s="99" t="str">
        <f>IF(B3254="","",IF(NOT(ISNUMBER(B3254)),"DATA_PC invalida",IF(NOT(ISNUMBER(parametros!$C$2)),"Fora dos ciclos",IF(OR(B3254&lt;parametros!$C$2,(YEAR(B3254)-YEAR(parametros!$C$2))*12+MONTH(B3254)-MONTH(parametros!$C$2)&gt;59),"Fora dos ciclos","C"&amp;INT(((YEAR(B3254)-YEAR(parametros!$C$2))*12+MONTH(B3254)-MONTH(parametros!$C$2))/12)))))</f>
        <v/>
      </c>
      <c r="D3254" s="394"/>
      <c r="E3254" s="78" t="str">
        <f>IF(C3254="","",IFERROR(VLOOKUP(C3254,parametros!$A$11:$E$15,5,0),""))</f>
        <v/>
      </c>
      <c r="F3254" s="79" t="str">
        <f t="shared" si="252"/>
        <v/>
      </c>
      <c r="G3254" s="395"/>
      <c r="H3254" s="91">
        <f t="shared" si="253"/>
        <v>0</v>
      </c>
      <c r="I3254" s="91" t="str">
        <f t="shared" si="254"/>
        <v/>
      </c>
      <c r="J3254" s="91" t="str">
        <f t="shared" si="255"/>
        <v/>
      </c>
      <c r="K3254" s="92" t="str">
        <f>IF(AND(A3254="",B3254="",D3254="",G3254=""),"",IF(AND(A3254&lt;&gt;"",COUNTIF($A$2:$A$5001,A3254)&gt;1),"NUMERO_PC duplicado",IF(B3254="","DATA_PC vazia",IF(NOT(ISNUMBER(B3254)),"DATA_PC invalida",IF(OR(C3254="",C3254="Fora dos ciclos"),"CICLO_PC nao identificado",IF(OR(D3254="",D3254=0),"VALOR_PC vazio ou zero",IF(AND(G3254&lt;&gt;"Sim",G3254&lt;&gt;"Nao",G3254&lt;&gt;""),"PC_PAGO_A_CONTRATADA invalido",IF(AND(C3254&lt;&gt;"C0",IFERROR(INDEX(parametros!$A$2:$A$6,MATCH(C3254,parametros!$B$2:$B$6,0)),"")="Sim",IFERROR(INDEX(parametros!$H$2:$H$6,MATCH(C3254,parametros!$B$2:$B$6,0)),"")=""),"INICIO_EFEITO ausente: PC "&amp;A3254&amp;" - "&amp;C3254,IF(L3254="","EFEITO_PC nao calculado: PC "&amp;A3254&amp;" - "&amp;C3254,"OK")))))))))</f>
        <v/>
      </c>
      <c r="L3254" s="92" t="str">
        <f>IF(AND(A3254="",B3254="",D3254="",G3254=""),"",IF(OR(B3254="",NOT(ISNUMBER(B3254)),C3254="",C3254="Fora dos ciclos"),"",IF(C3254="C0","Nao",IF(IFERROR(INDEX(parametros!$A$2:$A$6,MATCH(C3254,parametros!$B$2:$B$6,0)),"")&lt;&gt;"Sim","Nao",IF(IFERROR(INDEX(parametros!$H$2:$H$6,MATCH(C3254,parametros!$B$2:$B$6,0)),"")="","",IF(B3254&gt;=IFERROR(INDEX(parametros!$H$2:$H$6,MATCH(C3254,parametros!$B$2:$B$6,0)),""),"Sim","Nao"))))))</f>
        <v/>
      </c>
      <c r="T3254" s="156"/>
      <c r="U3254" s="214" t="str">
        <f t="shared" si="256"/>
        <v/>
      </c>
      <c r="V3254" s="212" t="s">
        <v>50</v>
      </c>
      <c r="W3254" s="100" t="s">
        <v>168</v>
      </c>
      <c r="X3254" s="100" t="s">
        <v>169</v>
      </c>
      <c r="Y3254" s="101" t="s">
        <v>170</v>
      </c>
      <c r="Z3254" s="101" t="s">
        <v>171</v>
      </c>
      <c r="AA3254" s="101" t="s">
        <v>50</v>
      </c>
      <c r="AB3254" s="101" t="s">
        <v>172</v>
      </c>
      <c r="AC3254" s="102" t="s">
        <v>173</v>
      </c>
    </row>
    <row r="3255" spans="1:29" ht="25.5" customHeight="1" x14ac:dyDescent="0.35">
      <c r="A3255" s="392"/>
      <c r="B3255" s="393"/>
      <c r="C3255" s="99" t="str">
        <f>IF(B3255="","",IF(NOT(ISNUMBER(B3255)),"DATA_PC invalida",IF(NOT(ISNUMBER(parametros!$C$2)),"Fora dos ciclos",IF(OR(B3255&lt;parametros!$C$2,(YEAR(B3255)-YEAR(parametros!$C$2))*12+MONTH(B3255)-MONTH(parametros!$C$2)&gt;59),"Fora dos ciclos","C"&amp;INT(((YEAR(B3255)-YEAR(parametros!$C$2))*12+MONTH(B3255)-MONTH(parametros!$C$2))/12)))))</f>
        <v/>
      </c>
      <c r="D3255" s="394"/>
      <c r="E3255" s="78" t="str">
        <f>IF(C3255="","",IFERROR(VLOOKUP(C3255,parametros!$A$11:$E$15,5,0),""))</f>
        <v/>
      </c>
      <c r="F3255" s="79" t="str">
        <f t="shared" si="252"/>
        <v/>
      </c>
      <c r="G3255" s="395"/>
      <c r="H3255" s="91">
        <f t="shared" si="253"/>
        <v>0</v>
      </c>
      <c r="I3255" s="91" t="str">
        <f t="shared" si="254"/>
        <v/>
      </c>
      <c r="J3255" s="91" t="str">
        <f t="shared" si="255"/>
        <v/>
      </c>
      <c r="K3255" s="92" t="str">
        <f>IF(AND(A3255="",B3255="",D3255="",G3255=""),"",IF(AND(A3255&lt;&gt;"",COUNTIF($A$2:$A$5001,A3255)&gt;1),"NUMERO_PC duplicado",IF(B3255="","DATA_PC vazia",IF(NOT(ISNUMBER(B3255)),"DATA_PC invalida",IF(OR(C3255="",C3255="Fora dos ciclos"),"CICLO_PC nao identificado",IF(OR(D3255="",D3255=0),"VALOR_PC vazio ou zero",IF(AND(G3255&lt;&gt;"Sim",G3255&lt;&gt;"Nao",G3255&lt;&gt;""),"PC_PAGO_A_CONTRATADA invalido",IF(AND(C3255&lt;&gt;"C0",IFERROR(INDEX(parametros!$A$2:$A$6,MATCH(C3255,parametros!$B$2:$B$6,0)),"")="Sim",IFERROR(INDEX(parametros!$H$2:$H$6,MATCH(C3255,parametros!$B$2:$B$6,0)),"")=""),"INICIO_EFEITO ausente: PC "&amp;A3255&amp;" - "&amp;C3255,IF(L3255="","EFEITO_PC nao calculado: PC "&amp;A3255&amp;" - "&amp;C3255,"OK")))))))))</f>
        <v/>
      </c>
      <c r="L3255" s="92" t="str">
        <f>IF(AND(A3255="",B3255="",D3255="",G3255=""),"",IF(OR(B3255="",NOT(ISNUMBER(B3255)),C3255="",C3255="Fora dos ciclos"),"",IF(C3255="C0","Nao",IF(IFERROR(INDEX(parametros!$A$2:$A$6,MATCH(C3255,parametros!$B$2:$B$6,0)),"")&lt;&gt;"Sim","Nao",IF(IFERROR(INDEX(parametros!$H$2:$H$6,MATCH(C3255,parametros!$B$2:$B$6,0)),"")="","",IF(B3255&gt;=IFERROR(INDEX(parametros!$H$2:$H$6,MATCH(C3255,parametros!$B$2:$B$6,0)),""),"Sim","Nao"))))))</f>
        <v/>
      </c>
      <c r="T3255" s="156"/>
      <c r="U3255" s="214" t="str">
        <f t="shared" si="256"/>
        <v/>
      </c>
      <c r="V3255" s="212" t="s">
        <v>50</v>
      </c>
      <c r="W3255" s="100" t="s">
        <v>168</v>
      </c>
      <c r="X3255" s="100" t="s">
        <v>169</v>
      </c>
      <c r="Y3255" s="101" t="s">
        <v>170</v>
      </c>
      <c r="Z3255" s="101" t="s">
        <v>171</v>
      </c>
      <c r="AA3255" s="101" t="s">
        <v>50</v>
      </c>
      <c r="AB3255" s="101" t="s">
        <v>172</v>
      </c>
      <c r="AC3255" s="102" t="s">
        <v>173</v>
      </c>
    </row>
    <row r="3256" spans="1:29" ht="25.5" customHeight="1" x14ac:dyDescent="0.35">
      <c r="A3256" s="392"/>
      <c r="B3256" s="393"/>
      <c r="C3256" s="99" t="str">
        <f>IF(B3256="","",IF(NOT(ISNUMBER(B3256)),"DATA_PC invalida",IF(NOT(ISNUMBER(parametros!$C$2)),"Fora dos ciclos",IF(OR(B3256&lt;parametros!$C$2,(YEAR(B3256)-YEAR(parametros!$C$2))*12+MONTH(B3256)-MONTH(parametros!$C$2)&gt;59),"Fora dos ciclos","C"&amp;INT(((YEAR(B3256)-YEAR(parametros!$C$2))*12+MONTH(B3256)-MONTH(parametros!$C$2))/12)))))</f>
        <v/>
      </c>
      <c r="D3256" s="394"/>
      <c r="E3256" s="78" t="str">
        <f>IF(C3256="","",IFERROR(VLOOKUP(C3256,parametros!$A$11:$E$15,5,0),""))</f>
        <v/>
      </c>
      <c r="F3256" s="79" t="str">
        <f t="shared" si="252"/>
        <v/>
      </c>
      <c r="G3256" s="395"/>
      <c r="H3256" s="91">
        <f t="shared" si="253"/>
        <v>0</v>
      </c>
      <c r="I3256" s="91" t="str">
        <f t="shared" si="254"/>
        <v/>
      </c>
      <c r="J3256" s="91" t="str">
        <f t="shared" si="255"/>
        <v/>
      </c>
      <c r="K3256" s="92" t="str">
        <f>IF(AND(A3256="",B3256="",D3256="",G3256=""),"",IF(AND(A3256&lt;&gt;"",COUNTIF($A$2:$A$5001,A3256)&gt;1),"NUMERO_PC duplicado",IF(B3256="","DATA_PC vazia",IF(NOT(ISNUMBER(B3256)),"DATA_PC invalida",IF(OR(C3256="",C3256="Fora dos ciclos"),"CICLO_PC nao identificado",IF(OR(D3256="",D3256=0),"VALOR_PC vazio ou zero",IF(AND(G3256&lt;&gt;"Sim",G3256&lt;&gt;"Nao",G3256&lt;&gt;""),"PC_PAGO_A_CONTRATADA invalido",IF(AND(C3256&lt;&gt;"C0",IFERROR(INDEX(parametros!$A$2:$A$6,MATCH(C3256,parametros!$B$2:$B$6,0)),"")="Sim",IFERROR(INDEX(parametros!$H$2:$H$6,MATCH(C3256,parametros!$B$2:$B$6,0)),"")=""),"INICIO_EFEITO ausente: PC "&amp;A3256&amp;" - "&amp;C3256,IF(L3256="","EFEITO_PC nao calculado: PC "&amp;A3256&amp;" - "&amp;C3256,"OK")))))))))</f>
        <v/>
      </c>
      <c r="L3256" s="92" t="str">
        <f>IF(AND(A3256="",B3256="",D3256="",G3256=""),"",IF(OR(B3256="",NOT(ISNUMBER(B3256)),C3256="",C3256="Fora dos ciclos"),"",IF(C3256="C0","Nao",IF(IFERROR(INDEX(parametros!$A$2:$A$6,MATCH(C3256,parametros!$B$2:$B$6,0)),"")&lt;&gt;"Sim","Nao",IF(IFERROR(INDEX(parametros!$H$2:$H$6,MATCH(C3256,parametros!$B$2:$B$6,0)),"")="","",IF(B3256&gt;=IFERROR(INDEX(parametros!$H$2:$H$6,MATCH(C3256,parametros!$B$2:$B$6,0)),""),"Sim","Nao"))))))</f>
        <v/>
      </c>
      <c r="T3256" s="156"/>
      <c r="U3256" s="214" t="str">
        <f t="shared" si="256"/>
        <v/>
      </c>
      <c r="V3256" s="212" t="s">
        <v>50</v>
      </c>
      <c r="W3256" s="100" t="s">
        <v>168</v>
      </c>
      <c r="X3256" s="100" t="s">
        <v>169</v>
      </c>
      <c r="Y3256" s="101" t="s">
        <v>170</v>
      </c>
      <c r="Z3256" s="101" t="s">
        <v>171</v>
      </c>
      <c r="AA3256" s="101" t="s">
        <v>50</v>
      </c>
      <c r="AB3256" s="101" t="s">
        <v>172</v>
      </c>
      <c r="AC3256" s="102" t="s">
        <v>173</v>
      </c>
    </row>
    <row r="3257" spans="1:29" ht="25.5" customHeight="1" x14ac:dyDescent="0.35">
      <c r="A3257" s="392"/>
      <c r="B3257" s="393"/>
      <c r="C3257" s="99" t="str">
        <f>IF(B3257="","",IF(NOT(ISNUMBER(B3257)),"DATA_PC invalida",IF(NOT(ISNUMBER(parametros!$C$2)),"Fora dos ciclos",IF(OR(B3257&lt;parametros!$C$2,(YEAR(B3257)-YEAR(parametros!$C$2))*12+MONTH(B3257)-MONTH(parametros!$C$2)&gt;59),"Fora dos ciclos","C"&amp;INT(((YEAR(B3257)-YEAR(parametros!$C$2))*12+MONTH(B3257)-MONTH(parametros!$C$2))/12)))))</f>
        <v/>
      </c>
      <c r="D3257" s="394"/>
      <c r="E3257" s="78" t="str">
        <f>IF(C3257="","",IFERROR(VLOOKUP(C3257,parametros!$A$11:$E$15,5,0),""))</f>
        <v/>
      </c>
      <c r="F3257" s="79" t="str">
        <f t="shared" si="252"/>
        <v/>
      </c>
      <c r="G3257" s="395"/>
      <c r="H3257" s="91">
        <f t="shared" si="253"/>
        <v>0</v>
      </c>
      <c r="I3257" s="91" t="str">
        <f t="shared" si="254"/>
        <v/>
      </c>
      <c r="J3257" s="91" t="str">
        <f t="shared" si="255"/>
        <v/>
      </c>
      <c r="K3257" s="92" t="str">
        <f>IF(AND(A3257="",B3257="",D3257="",G3257=""),"",IF(AND(A3257&lt;&gt;"",COUNTIF($A$2:$A$5001,A3257)&gt;1),"NUMERO_PC duplicado",IF(B3257="","DATA_PC vazia",IF(NOT(ISNUMBER(B3257)),"DATA_PC invalida",IF(OR(C3257="",C3257="Fora dos ciclos"),"CICLO_PC nao identificado",IF(OR(D3257="",D3257=0),"VALOR_PC vazio ou zero",IF(AND(G3257&lt;&gt;"Sim",G3257&lt;&gt;"Nao",G3257&lt;&gt;""),"PC_PAGO_A_CONTRATADA invalido",IF(AND(C3257&lt;&gt;"C0",IFERROR(INDEX(parametros!$A$2:$A$6,MATCH(C3257,parametros!$B$2:$B$6,0)),"")="Sim",IFERROR(INDEX(parametros!$H$2:$H$6,MATCH(C3257,parametros!$B$2:$B$6,0)),"")=""),"INICIO_EFEITO ausente: PC "&amp;A3257&amp;" - "&amp;C3257,IF(L3257="","EFEITO_PC nao calculado: PC "&amp;A3257&amp;" - "&amp;C3257,"OK")))))))))</f>
        <v/>
      </c>
      <c r="L3257" s="92" t="str">
        <f>IF(AND(A3257="",B3257="",D3257="",G3257=""),"",IF(OR(B3257="",NOT(ISNUMBER(B3257)),C3257="",C3257="Fora dos ciclos"),"",IF(C3257="C0","Nao",IF(IFERROR(INDEX(parametros!$A$2:$A$6,MATCH(C3257,parametros!$B$2:$B$6,0)),"")&lt;&gt;"Sim","Nao",IF(IFERROR(INDEX(parametros!$H$2:$H$6,MATCH(C3257,parametros!$B$2:$B$6,0)),"")="","",IF(B3257&gt;=IFERROR(INDEX(parametros!$H$2:$H$6,MATCH(C3257,parametros!$B$2:$B$6,0)),""),"Sim","Nao"))))))</f>
        <v/>
      </c>
      <c r="T3257" s="156"/>
      <c r="U3257" s="214" t="str">
        <f t="shared" si="256"/>
        <v/>
      </c>
      <c r="V3257" s="212" t="s">
        <v>50</v>
      </c>
      <c r="W3257" s="100" t="s">
        <v>168</v>
      </c>
      <c r="X3257" s="100" t="s">
        <v>169</v>
      </c>
      <c r="Y3257" s="101" t="s">
        <v>170</v>
      </c>
      <c r="Z3257" s="101" t="s">
        <v>171</v>
      </c>
      <c r="AA3257" s="101" t="s">
        <v>50</v>
      </c>
      <c r="AB3257" s="101" t="s">
        <v>172</v>
      </c>
      <c r="AC3257" s="102" t="s">
        <v>173</v>
      </c>
    </row>
    <row r="3258" spans="1:29" ht="25.5" customHeight="1" x14ac:dyDescent="0.35">
      <c r="A3258" s="392"/>
      <c r="B3258" s="393"/>
      <c r="C3258" s="99" t="str">
        <f>IF(B3258="","",IF(NOT(ISNUMBER(B3258)),"DATA_PC invalida",IF(NOT(ISNUMBER(parametros!$C$2)),"Fora dos ciclos",IF(OR(B3258&lt;parametros!$C$2,(YEAR(B3258)-YEAR(parametros!$C$2))*12+MONTH(B3258)-MONTH(parametros!$C$2)&gt;59),"Fora dos ciclos","C"&amp;INT(((YEAR(B3258)-YEAR(parametros!$C$2))*12+MONTH(B3258)-MONTH(parametros!$C$2))/12)))))</f>
        <v/>
      </c>
      <c r="D3258" s="394"/>
      <c r="E3258" s="78" t="str">
        <f>IF(C3258="","",IFERROR(VLOOKUP(C3258,parametros!$A$11:$E$15,5,0),""))</f>
        <v/>
      </c>
      <c r="F3258" s="79" t="str">
        <f t="shared" si="252"/>
        <v/>
      </c>
      <c r="G3258" s="395"/>
      <c r="H3258" s="91">
        <f t="shared" si="253"/>
        <v>0</v>
      </c>
      <c r="I3258" s="91" t="str">
        <f t="shared" si="254"/>
        <v/>
      </c>
      <c r="J3258" s="91" t="str">
        <f t="shared" si="255"/>
        <v/>
      </c>
      <c r="K3258" s="92" t="str">
        <f>IF(AND(A3258="",B3258="",D3258="",G3258=""),"",IF(AND(A3258&lt;&gt;"",COUNTIF($A$2:$A$5001,A3258)&gt;1),"NUMERO_PC duplicado",IF(B3258="","DATA_PC vazia",IF(NOT(ISNUMBER(B3258)),"DATA_PC invalida",IF(OR(C3258="",C3258="Fora dos ciclos"),"CICLO_PC nao identificado",IF(OR(D3258="",D3258=0),"VALOR_PC vazio ou zero",IF(AND(G3258&lt;&gt;"Sim",G3258&lt;&gt;"Nao",G3258&lt;&gt;""),"PC_PAGO_A_CONTRATADA invalido",IF(AND(C3258&lt;&gt;"C0",IFERROR(INDEX(parametros!$A$2:$A$6,MATCH(C3258,parametros!$B$2:$B$6,0)),"")="Sim",IFERROR(INDEX(parametros!$H$2:$H$6,MATCH(C3258,parametros!$B$2:$B$6,0)),"")=""),"INICIO_EFEITO ausente: PC "&amp;A3258&amp;" - "&amp;C3258,IF(L3258="","EFEITO_PC nao calculado: PC "&amp;A3258&amp;" - "&amp;C3258,"OK")))))))))</f>
        <v/>
      </c>
      <c r="L3258" s="92" t="str">
        <f>IF(AND(A3258="",B3258="",D3258="",G3258=""),"",IF(OR(B3258="",NOT(ISNUMBER(B3258)),C3258="",C3258="Fora dos ciclos"),"",IF(C3258="C0","Nao",IF(IFERROR(INDEX(parametros!$A$2:$A$6,MATCH(C3258,parametros!$B$2:$B$6,0)),"")&lt;&gt;"Sim","Nao",IF(IFERROR(INDEX(parametros!$H$2:$H$6,MATCH(C3258,parametros!$B$2:$B$6,0)),"")="","",IF(B3258&gt;=IFERROR(INDEX(parametros!$H$2:$H$6,MATCH(C3258,parametros!$B$2:$B$6,0)),""),"Sim","Nao"))))))</f>
        <v/>
      </c>
      <c r="T3258" s="156"/>
      <c r="U3258" s="214" t="str">
        <f t="shared" si="256"/>
        <v/>
      </c>
      <c r="V3258" s="212" t="s">
        <v>50</v>
      </c>
      <c r="W3258" s="100" t="s">
        <v>168</v>
      </c>
      <c r="X3258" s="100" t="s">
        <v>169</v>
      </c>
      <c r="Y3258" s="101" t="s">
        <v>170</v>
      </c>
      <c r="Z3258" s="101" t="s">
        <v>171</v>
      </c>
      <c r="AA3258" s="101" t="s">
        <v>50</v>
      </c>
      <c r="AB3258" s="101" t="s">
        <v>172</v>
      </c>
      <c r="AC3258" s="102" t="s">
        <v>173</v>
      </c>
    </row>
    <row r="3259" spans="1:29" ht="25.5" customHeight="1" x14ac:dyDescent="0.35">
      <c r="A3259" s="392"/>
      <c r="B3259" s="393"/>
      <c r="C3259" s="99" t="str">
        <f>IF(B3259="","",IF(NOT(ISNUMBER(B3259)),"DATA_PC invalida",IF(NOT(ISNUMBER(parametros!$C$2)),"Fora dos ciclos",IF(OR(B3259&lt;parametros!$C$2,(YEAR(B3259)-YEAR(parametros!$C$2))*12+MONTH(B3259)-MONTH(parametros!$C$2)&gt;59),"Fora dos ciclos","C"&amp;INT(((YEAR(B3259)-YEAR(parametros!$C$2))*12+MONTH(B3259)-MONTH(parametros!$C$2))/12)))))</f>
        <v/>
      </c>
      <c r="D3259" s="394"/>
      <c r="E3259" s="78" t="str">
        <f>IF(C3259="","",IFERROR(VLOOKUP(C3259,parametros!$A$11:$E$15,5,0),""))</f>
        <v/>
      </c>
      <c r="F3259" s="79" t="str">
        <f t="shared" si="252"/>
        <v/>
      </c>
      <c r="G3259" s="395"/>
      <c r="H3259" s="91">
        <f t="shared" si="253"/>
        <v>0</v>
      </c>
      <c r="I3259" s="91" t="str">
        <f t="shared" si="254"/>
        <v/>
      </c>
      <c r="J3259" s="91" t="str">
        <f t="shared" si="255"/>
        <v/>
      </c>
      <c r="K3259" s="92" t="str">
        <f>IF(AND(A3259="",B3259="",D3259="",G3259=""),"",IF(AND(A3259&lt;&gt;"",COUNTIF($A$2:$A$5001,A3259)&gt;1),"NUMERO_PC duplicado",IF(B3259="","DATA_PC vazia",IF(NOT(ISNUMBER(B3259)),"DATA_PC invalida",IF(OR(C3259="",C3259="Fora dos ciclos"),"CICLO_PC nao identificado",IF(OR(D3259="",D3259=0),"VALOR_PC vazio ou zero",IF(AND(G3259&lt;&gt;"Sim",G3259&lt;&gt;"Nao",G3259&lt;&gt;""),"PC_PAGO_A_CONTRATADA invalido",IF(AND(C3259&lt;&gt;"C0",IFERROR(INDEX(parametros!$A$2:$A$6,MATCH(C3259,parametros!$B$2:$B$6,0)),"")="Sim",IFERROR(INDEX(parametros!$H$2:$H$6,MATCH(C3259,parametros!$B$2:$B$6,0)),"")=""),"INICIO_EFEITO ausente: PC "&amp;A3259&amp;" - "&amp;C3259,IF(L3259="","EFEITO_PC nao calculado: PC "&amp;A3259&amp;" - "&amp;C3259,"OK")))))))))</f>
        <v/>
      </c>
      <c r="L3259" s="92" t="str">
        <f>IF(AND(A3259="",B3259="",D3259="",G3259=""),"",IF(OR(B3259="",NOT(ISNUMBER(B3259)),C3259="",C3259="Fora dos ciclos"),"",IF(C3259="C0","Nao",IF(IFERROR(INDEX(parametros!$A$2:$A$6,MATCH(C3259,parametros!$B$2:$B$6,0)),"")&lt;&gt;"Sim","Nao",IF(IFERROR(INDEX(parametros!$H$2:$H$6,MATCH(C3259,parametros!$B$2:$B$6,0)),"")="","",IF(B3259&gt;=IFERROR(INDEX(parametros!$H$2:$H$6,MATCH(C3259,parametros!$B$2:$B$6,0)),""),"Sim","Nao"))))))</f>
        <v/>
      </c>
      <c r="T3259" s="156"/>
      <c r="U3259" s="214" t="str">
        <f t="shared" si="256"/>
        <v/>
      </c>
      <c r="V3259" s="212" t="s">
        <v>50</v>
      </c>
      <c r="W3259" s="100" t="s">
        <v>168</v>
      </c>
      <c r="X3259" s="100" t="s">
        <v>169</v>
      </c>
      <c r="Y3259" s="101" t="s">
        <v>170</v>
      </c>
      <c r="Z3259" s="101" t="s">
        <v>171</v>
      </c>
      <c r="AA3259" s="101" t="s">
        <v>50</v>
      </c>
      <c r="AB3259" s="101" t="s">
        <v>172</v>
      </c>
      <c r="AC3259" s="102" t="s">
        <v>173</v>
      </c>
    </row>
    <row r="3260" spans="1:29" ht="25.5" customHeight="1" x14ac:dyDescent="0.35">
      <c r="A3260" s="392"/>
      <c r="B3260" s="393"/>
      <c r="C3260" s="99" t="str">
        <f>IF(B3260="","",IF(NOT(ISNUMBER(B3260)),"DATA_PC invalida",IF(NOT(ISNUMBER(parametros!$C$2)),"Fora dos ciclos",IF(OR(B3260&lt;parametros!$C$2,(YEAR(B3260)-YEAR(parametros!$C$2))*12+MONTH(B3260)-MONTH(parametros!$C$2)&gt;59),"Fora dos ciclos","C"&amp;INT(((YEAR(B3260)-YEAR(parametros!$C$2))*12+MONTH(B3260)-MONTH(parametros!$C$2))/12)))))</f>
        <v/>
      </c>
      <c r="D3260" s="394"/>
      <c r="E3260" s="78" t="str">
        <f>IF(C3260="","",IFERROR(VLOOKUP(C3260,parametros!$A$11:$E$15,5,0),""))</f>
        <v/>
      </c>
      <c r="F3260" s="79" t="str">
        <f t="shared" si="252"/>
        <v/>
      </c>
      <c r="G3260" s="395"/>
      <c r="H3260" s="91">
        <f t="shared" si="253"/>
        <v>0</v>
      </c>
      <c r="I3260" s="91" t="str">
        <f t="shared" si="254"/>
        <v/>
      </c>
      <c r="J3260" s="91" t="str">
        <f t="shared" si="255"/>
        <v/>
      </c>
      <c r="K3260" s="92" t="str">
        <f>IF(AND(A3260="",B3260="",D3260="",G3260=""),"",IF(AND(A3260&lt;&gt;"",COUNTIF($A$2:$A$5001,A3260)&gt;1),"NUMERO_PC duplicado",IF(B3260="","DATA_PC vazia",IF(NOT(ISNUMBER(B3260)),"DATA_PC invalida",IF(OR(C3260="",C3260="Fora dos ciclos"),"CICLO_PC nao identificado",IF(OR(D3260="",D3260=0),"VALOR_PC vazio ou zero",IF(AND(G3260&lt;&gt;"Sim",G3260&lt;&gt;"Nao",G3260&lt;&gt;""),"PC_PAGO_A_CONTRATADA invalido",IF(AND(C3260&lt;&gt;"C0",IFERROR(INDEX(parametros!$A$2:$A$6,MATCH(C3260,parametros!$B$2:$B$6,0)),"")="Sim",IFERROR(INDEX(parametros!$H$2:$H$6,MATCH(C3260,parametros!$B$2:$B$6,0)),"")=""),"INICIO_EFEITO ausente: PC "&amp;A3260&amp;" - "&amp;C3260,IF(L3260="","EFEITO_PC nao calculado: PC "&amp;A3260&amp;" - "&amp;C3260,"OK")))))))))</f>
        <v/>
      </c>
      <c r="L3260" s="92" t="str">
        <f>IF(AND(A3260="",B3260="",D3260="",G3260=""),"",IF(OR(B3260="",NOT(ISNUMBER(B3260)),C3260="",C3260="Fora dos ciclos"),"",IF(C3260="C0","Nao",IF(IFERROR(INDEX(parametros!$A$2:$A$6,MATCH(C3260,parametros!$B$2:$B$6,0)),"")&lt;&gt;"Sim","Nao",IF(IFERROR(INDEX(parametros!$H$2:$H$6,MATCH(C3260,parametros!$B$2:$B$6,0)),"")="","",IF(B3260&gt;=IFERROR(INDEX(parametros!$H$2:$H$6,MATCH(C3260,parametros!$B$2:$B$6,0)),""),"Sim","Nao"))))))</f>
        <v/>
      </c>
      <c r="T3260" s="156"/>
      <c r="U3260" s="214" t="str">
        <f t="shared" si="256"/>
        <v/>
      </c>
      <c r="V3260" s="212" t="s">
        <v>50</v>
      </c>
      <c r="W3260" s="100" t="s">
        <v>168</v>
      </c>
      <c r="X3260" s="100" t="s">
        <v>169</v>
      </c>
      <c r="Y3260" s="101" t="s">
        <v>170</v>
      </c>
      <c r="Z3260" s="101" t="s">
        <v>171</v>
      </c>
      <c r="AA3260" s="101" t="s">
        <v>50</v>
      </c>
      <c r="AB3260" s="101" t="s">
        <v>172</v>
      </c>
      <c r="AC3260" s="102" t="s">
        <v>173</v>
      </c>
    </row>
    <row r="3261" spans="1:29" ht="25.5" customHeight="1" x14ac:dyDescent="0.35">
      <c r="A3261" s="392"/>
      <c r="B3261" s="393"/>
      <c r="C3261" s="99" t="str">
        <f>IF(B3261="","",IF(NOT(ISNUMBER(B3261)),"DATA_PC invalida",IF(NOT(ISNUMBER(parametros!$C$2)),"Fora dos ciclos",IF(OR(B3261&lt;parametros!$C$2,(YEAR(B3261)-YEAR(parametros!$C$2))*12+MONTH(B3261)-MONTH(parametros!$C$2)&gt;59),"Fora dos ciclos","C"&amp;INT(((YEAR(B3261)-YEAR(parametros!$C$2))*12+MONTH(B3261)-MONTH(parametros!$C$2))/12)))))</f>
        <v/>
      </c>
      <c r="D3261" s="394"/>
      <c r="E3261" s="78" t="str">
        <f>IF(C3261="","",IFERROR(VLOOKUP(C3261,parametros!$A$11:$E$15,5,0),""))</f>
        <v/>
      </c>
      <c r="F3261" s="79" t="str">
        <f t="shared" si="252"/>
        <v/>
      </c>
      <c r="G3261" s="395"/>
      <c r="H3261" s="91">
        <f t="shared" si="253"/>
        <v>0</v>
      </c>
      <c r="I3261" s="91" t="str">
        <f t="shared" si="254"/>
        <v/>
      </c>
      <c r="J3261" s="91" t="str">
        <f t="shared" si="255"/>
        <v/>
      </c>
      <c r="K3261" s="92" t="str">
        <f>IF(AND(A3261="",B3261="",D3261="",G3261=""),"",IF(AND(A3261&lt;&gt;"",COUNTIF($A$2:$A$5001,A3261)&gt;1),"NUMERO_PC duplicado",IF(B3261="","DATA_PC vazia",IF(NOT(ISNUMBER(B3261)),"DATA_PC invalida",IF(OR(C3261="",C3261="Fora dos ciclos"),"CICLO_PC nao identificado",IF(OR(D3261="",D3261=0),"VALOR_PC vazio ou zero",IF(AND(G3261&lt;&gt;"Sim",G3261&lt;&gt;"Nao",G3261&lt;&gt;""),"PC_PAGO_A_CONTRATADA invalido",IF(AND(C3261&lt;&gt;"C0",IFERROR(INDEX(parametros!$A$2:$A$6,MATCH(C3261,parametros!$B$2:$B$6,0)),"")="Sim",IFERROR(INDEX(parametros!$H$2:$H$6,MATCH(C3261,parametros!$B$2:$B$6,0)),"")=""),"INICIO_EFEITO ausente: PC "&amp;A3261&amp;" - "&amp;C3261,IF(L3261="","EFEITO_PC nao calculado: PC "&amp;A3261&amp;" - "&amp;C3261,"OK")))))))))</f>
        <v/>
      </c>
      <c r="L3261" s="92" t="str">
        <f>IF(AND(A3261="",B3261="",D3261="",G3261=""),"",IF(OR(B3261="",NOT(ISNUMBER(B3261)),C3261="",C3261="Fora dos ciclos"),"",IF(C3261="C0","Nao",IF(IFERROR(INDEX(parametros!$A$2:$A$6,MATCH(C3261,parametros!$B$2:$B$6,0)),"")&lt;&gt;"Sim","Nao",IF(IFERROR(INDEX(parametros!$H$2:$H$6,MATCH(C3261,parametros!$B$2:$B$6,0)),"")="","",IF(B3261&gt;=IFERROR(INDEX(parametros!$H$2:$H$6,MATCH(C3261,parametros!$B$2:$B$6,0)),""),"Sim","Nao"))))))</f>
        <v/>
      </c>
      <c r="T3261" s="156"/>
      <c r="U3261" s="214" t="str">
        <f t="shared" si="256"/>
        <v/>
      </c>
      <c r="V3261" s="212" t="s">
        <v>50</v>
      </c>
      <c r="W3261" s="100" t="s">
        <v>168</v>
      </c>
      <c r="X3261" s="100" t="s">
        <v>169</v>
      </c>
      <c r="Y3261" s="101" t="s">
        <v>170</v>
      </c>
      <c r="Z3261" s="101" t="s">
        <v>171</v>
      </c>
      <c r="AA3261" s="101" t="s">
        <v>50</v>
      </c>
      <c r="AB3261" s="101" t="s">
        <v>172</v>
      </c>
      <c r="AC3261" s="102" t="s">
        <v>173</v>
      </c>
    </row>
    <row r="3262" spans="1:29" ht="25.5" customHeight="1" x14ac:dyDescent="0.35">
      <c r="A3262" s="392"/>
      <c r="B3262" s="393"/>
      <c r="C3262" s="99" t="str">
        <f>IF(B3262="","",IF(NOT(ISNUMBER(B3262)),"DATA_PC invalida",IF(NOT(ISNUMBER(parametros!$C$2)),"Fora dos ciclos",IF(OR(B3262&lt;parametros!$C$2,(YEAR(B3262)-YEAR(parametros!$C$2))*12+MONTH(B3262)-MONTH(parametros!$C$2)&gt;59),"Fora dos ciclos","C"&amp;INT(((YEAR(B3262)-YEAR(parametros!$C$2))*12+MONTH(B3262)-MONTH(parametros!$C$2))/12)))))</f>
        <v/>
      </c>
      <c r="D3262" s="394"/>
      <c r="E3262" s="78" t="str">
        <f>IF(C3262="","",IFERROR(VLOOKUP(C3262,parametros!$A$11:$E$15,5,0),""))</f>
        <v/>
      </c>
      <c r="F3262" s="79" t="str">
        <f t="shared" si="252"/>
        <v/>
      </c>
      <c r="G3262" s="395"/>
      <c r="H3262" s="91">
        <f t="shared" si="253"/>
        <v>0</v>
      </c>
      <c r="I3262" s="91" t="str">
        <f t="shared" si="254"/>
        <v/>
      </c>
      <c r="J3262" s="91" t="str">
        <f t="shared" si="255"/>
        <v/>
      </c>
      <c r="K3262" s="92" t="str">
        <f>IF(AND(A3262="",B3262="",D3262="",G3262=""),"",IF(AND(A3262&lt;&gt;"",COUNTIF($A$2:$A$5001,A3262)&gt;1),"NUMERO_PC duplicado",IF(B3262="","DATA_PC vazia",IF(NOT(ISNUMBER(B3262)),"DATA_PC invalida",IF(OR(C3262="",C3262="Fora dos ciclos"),"CICLO_PC nao identificado",IF(OR(D3262="",D3262=0),"VALOR_PC vazio ou zero",IF(AND(G3262&lt;&gt;"Sim",G3262&lt;&gt;"Nao",G3262&lt;&gt;""),"PC_PAGO_A_CONTRATADA invalido",IF(AND(C3262&lt;&gt;"C0",IFERROR(INDEX(parametros!$A$2:$A$6,MATCH(C3262,parametros!$B$2:$B$6,0)),"")="Sim",IFERROR(INDEX(parametros!$H$2:$H$6,MATCH(C3262,parametros!$B$2:$B$6,0)),"")=""),"INICIO_EFEITO ausente: PC "&amp;A3262&amp;" - "&amp;C3262,IF(L3262="","EFEITO_PC nao calculado: PC "&amp;A3262&amp;" - "&amp;C3262,"OK")))))))))</f>
        <v/>
      </c>
      <c r="L3262" s="92" t="str">
        <f>IF(AND(A3262="",B3262="",D3262="",G3262=""),"",IF(OR(B3262="",NOT(ISNUMBER(B3262)),C3262="",C3262="Fora dos ciclos"),"",IF(C3262="C0","Nao",IF(IFERROR(INDEX(parametros!$A$2:$A$6,MATCH(C3262,parametros!$B$2:$B$6,0)),"")&lt;&gt;"Sim","Nao",IF(IFERROR(INDEX(parametros!$H$2:$H$6,MATCH(C3262,parametros!$B$2:$B$6,0)),"")="","",IF(B3262&gt;=IFERROR(INDEX(parametros!$H$2:$H$6,MATCH(C3262,parametros!$B$2:$B$6,0)),""),"Sim","Nao"))))))</f>
        <v/>
      </c>
      <c r="T3262" s="156"/>
      <c r="U3262" s="214" t="str">
        <f t="shared" si="256"/>
        <v/>
      </c>
      <c r="V3262" s="212" t="s">
        <v>50</v>
      </c>
      <c r="W3262" s="100" t="s">
        <v>168</v>
      </c>
      <c r="X3262" s="100" t="s">
        <v>169</v>
      </c>
      <c r="Y3262" s="101" t="s">
        <v>170</v>
      </c>
      <c r="Z3262" s="101" t="s">
        <v>171</v>
      </c>
      <c r="AA3262" s="101" t="s">
        <v>50</v>
      </c>
      <c r="AB3262" s="101" t="s">
        <v>172</v>
      </c>
      <c r="AC3262" s="102" t="s">
        <v>173</v>
      </c>
    </row>
    <row r="3263" spans="1:29" ht="25.5" customHeight="1" x14ac:dyDescent="0.35">
      <c r="A3263" s="392"/>
      <c r="B3263" s="393"/>
      <c r="C3263" s="99" t="str">
        <f>IF(B3263="","",IF(NOT(ISNUMBER(B3263)),"DATA_PC invalida",IF(NOT(ISNUMBER(parametros!$C$2)),"Fora dos ciclos",IF(OR(B3263&lt;parametros!$C$2,(YEAR(B3263)-YEAR(parametros!$C$2))*12+MONTH(B3263)-MONTH(parametros!$C$2)&gt;59),"Fora dos ciclos","C"&amp;INT(((YEAR(B3263)-YEAR(parametros!$C$2))*12+MONTH(B3263)-MONTH(parametros!$C$2))/12)))))</f>
        <v/>
      </c>
      <c r="D3263" s="394"/>
      <c r="E3263" s="78" t="str">
        <f>IF(C3263="","",IFERROR(VLOOKUP(C3263,parametros!$A$11:$E$15,5,0),""))</f>
        <v/>
      </c>
      <c r="F3263" s="79" t="str">
        <f t="shared" si="252"/>
        <v/>
      </c>
      <c r="G3263" s="395"/>
      <c r="H3263" s="91">
        <f t="shared" si="253"/>
        <v>0</v>
      </c>
      <c r="I3263" s="91" t="str">
        <f t="shared" si="254"/>
        <v/>
      </c>
      <c r="J3263" s="91" t="str">
        <f t="shared" si="255"/>
        <v/>
      </c>
      <c r="K3263" s="92" t="str">
        <f>IF(AND(A3263="",B3263="",D3263="",G3263=""),"",IF(AND(A3263&lt;&gt;"",COUNTIF($A$2:$A$5001,A3263)&gt;1),"NUMERO_PC duplicado",IF(B3263="","DATA_PC vazia",IF(NOT(ISNUMBER(B3263)),"DATA_PC invalida",IF(OR(C3263="",C3263="Fora dos ciclos"),"CICLO_PC nao identificado",IF(OR(D3263="",D3263=0),"VALOR_PC vazio ou zero",IF(AND(G3263&lt;&gt;"Sim",G3263&lt;&gt;"Nao",G3263&lt;&gt;""),"PC_PAGO_A_CONTRATADA invalido",IF(AND(C3263&lt;&gt;"C0",IFERROR(INDEX(parametros!$A$2:$A$6,MATCH(C3263,parametros!$B$2:$B$6,0)),"")="Sim",IFERROR(INDEX(parametros!$H$2:$H$6,MATCH(C3263,parametros!$B$2:$B$6,0)),"")=""),"INICIO_EFEITO ausente: PC "&amp;A3263&amp;" - "&amp;C3263,IF(L3263="","EFEITO_PC nao calculado: PC "&amp;A3263&amp;" - "&amp;C3263,"OK")))))))))</f>
        <v/>
      </c>
      <c r="L3263" s="92" t="str">
        <f>IF(AND(A3263="",B3263="",D3263="",G3263=""),"",IF(OR(B3263="",NOT(ISNUMBER(B3263)),C3263="",C3263="Fora dos ciclos"),"",IF(C3263="C0","Nao",IF(IFERROR(INDEX(parametros!$A$2:$A$6,MATCH(C3263,parametros!$B$2:$B$6,0)),"")&lt;&gt;"Sim","Nao",IF(IFERROR(INDEX(parametros!$H$2:$H$6,MATCH(C3263,parametros!$B$2:$B$6,0)),"")="","",IF(B3263&gt;=IFERROR(INDEX(parametros!$H$2:$H$6,MATCH(C3263,parametros!$B$2:$B$6,0)),""),"Sim","Nao"))))))</f>
        <v/>
      </c>
      <c r="T3263" s="156"/>
      <c r="U3263" s="214" t="str">
        <f t="shared" si="256"/>
        <v/>
      </c>
      <c r="V3263" s="212" t="s">
        <v>50</v>
      </c>
      <c r="W3263" s="100" t="s">
        <v>168</v>
      </c>
      <c r="X3263" s="100" t="s">
        <v>169</v>
      </c>
      <c r="Y3263" s="101" t="s">
        <v>170</v>
      </c>
      <c r="Z3263" s="101" t="s">
        <v>171</v>
      </c>
      <c r="AA3263" s="101" t="s">
        <v>50</v>
      </c>
      <c r="AB3263" s="101" t="s">
        <v>172</v>
      </c>
      <c r="AC3263" s="102" t="s">
        <v>173</v>
      </c>
    </row>
    <row r="3264" spans="1:29" ht="25.5" customHeight="1" x14ac:dyDescent="0.35">
      <c r="A3264" s="392"/>
      <c r="B3264" s="393"/>
      <c r="C3264" s="99" t="str">
        <f>IF(B3264="","",IF(NOT(ISNUMBER(B3264)),"DATA_PC invalida",IF(NOT(ISNUMBER(parametros!$C$2)),"Fora dos ciclos",IF(OR(B3264&lt;parametros!$C$2,(YEAR(B3264)-YEAR(parametros!$C$2))*12+MONTH(B3264)-MONTH(parametros!$C$2)&gt;59),"Fora dos ciclos","C"&amp;INT(((YEAR(B3264)-YEAR(parametros!$C$2))*12+MONTH(B3264)-MONTH(parametros!$C$2))/12)))))</f>
        <v/>
      </c>
      <c r="D3264" s="394"/>
      <c r="E3264" s="78" t="str">
        <f>IF(C3264="","",IFERROR(VLOOKUP(C3264,parametros!$A$11:$E$15,5,0),""))</f>
        <v/>
      </c>
      <c r="F3264" s="79" t="str">
        <f t="shared" si="252"/>
        <v/>
      </c>
      <c r="G3264" s="395"/>
      <c r="H3264" s="91">
        <f t="shared" si="253"/>
        <v>0</v>
      </c>
      <c r="I3264" s="91" t="str">
        <f t="shared" si="254"/>
        <v/>
      </c>
      <c r="J3264" s="91" t="str">
        <f t="shared" si="255"/>
        <v/>
      </c>
      <c r="K3264" s="92" t="str">
        <f>IF(AND(A3264="",B3264="",D3264="",G3264=""),"",IF(AND(A3264&lt;&gt;"",COUNTIF($A$2:$A$5001,A3264)&gt;1),"NUMERO_PC duplicado",IF(B3264="","DATA_PC vazia",IF(NOT(ISNUMBER(B3264)),"DATA_PC invalida",IF(OR(C3264="",C3264="Fora dos ciclos"),"CICLO_PC nao identificado",IF(OR(D3264="",D3264=0),"VALOR_PC vazio ou zero",IF(AND(G3264&lt;&gt;"Sim",G3264&lt;&gt;"Nao",G3264&lt;&gt;""),"PC_PAGO_A_CONTRATADA invalido",IF(AND(C3264&lt;&gt;"C0",IFERROR(INDEX(parametros!$A$2:$A$6,MATCH(C3264,parametros!$B$2:$B$6,0)),"")="Sim",IFERROR(INDEX(parametros!$H$2:$H$6,MATCH(C3264,parametros!$B$2:$B$6,0)),"")=""),"INICIO_EFEITO ausente: PC "&amp;A3264&amp;" - "&amp;C3264,IF(L3264="","EFEITO_PC nao calculado: PC "&amp;A3264&amp;" - "&amp;C3264,"OK")))))))))</f>
        <v/>
      </c>
      <c r="L3264" s="92" t="str">
        <f>IF(AND(A3264="",B3264="",D3264="",G3264=""),"",IF(OR(B3264="",NOT(ISNUMBER(B3264)),C3264="",C3264="Fora dos ciclos"),"",IF(C3264="C0","Nao",IF(IFERROR(INDEX(parametros!$A$2:$A$6,MATCH(C3264,parametros!$B$2:$B$6,0)),"")&lt;&gt;"Sim","Nao",IF(IFERROR(INDEX(parametros!$H$2:$H$6,MATCH(C3264,parametros!$B$2:$B$6,0)),"")="","",IF(B3264&gt;=IFERROR(INDEX(parametros!$H$2:$H$6,MATCH(C3264,parametros!$B$2:$B$6,0)),""),"Sim","Nao"))))))</f>
        <v/>
      </c>
      <c r="T3264" s="156"/>
      <c r="U3264" s="214" t="str">
        <f t="shared" si="256"/>
        <v/>
      </c>
      <c r="V3264" s="212" t="s">
        <v>50</v>
      </c>
      <c r="W3264" s="100" t="s">
        <v>168</v>
      </c>
      <c r="X3264" s="100" t="s">
        <v>169</v>
      </c>
      <c r="Y3264" s="101" t="s">
        <v>170</v>
      </c>
      <c r="Z3264" s="101" t="s">
        <v>171</v>
      </c>
      <c r="AA3264" s="101" t="s">
        <v>50</v>
      </c>
      <c r="AB3264" s="101" t="s">
        <v>172</v>
      </c>
      <c r="AC3264" s="102" t="s">
        <v>173</v>
      </c>
    </row>
    <row r="3265" spans="1:29" ht="25.5" customHeight="1" x14ac:dyDescent="0.35">
      <c r="A3265" s="392"/>
      <c r="B3265" s="393"/>
      <c r="C3265" s="99" t="str">
        <f>IF(B3265="","",IF(NOT(ISNUMBER(B3265)),"DATA_PC invalida",IF(NOT(ISNUMBER(parametros!$C$2)),"Fora dos ciclos",IF(OR(B3265&lt;parametros!$C$2,(YEAR(B3265)-YEAR(parametros!$C$2))*12+MONTH(B3265)-MONTH(parametros!$C$2)&gt;59),"Fora dos ciclos","C"&amp;INT(((YEAR(B3265)-YEAR(parametros!$C$2))*12+MONTH(B3265)-MONTH(parametros!$C$2))/12)))))</f>
        <v/>
      </c>
      <c r="D3265" s="394"/>
      <c r="E3265" s="78" t="str">
        <f>IF(C3265="","",IFERROR(VLOOKUP(C3265,parametros!$A$11:$E$15,5,0),""))</f>
        <v/>
      </c>
      <c r="F3265" s="79" t="str">
        <f t="shared" si="252"/>
        <v/>
      </c>
      <c r="G3265" s="395"/>
      <c r="H3265" s="91">
        <f t="shared" si="253"/>
        <v>0</v>
      </c>
      <c r="I3265" s="91" t="str">
        <f t="shared" si="254"/>
        <v/>
      </c>
      <c r="J3265" s="91" t="str">
        <f t="shared" si="255"/>
        <v/>
      </c>
      <c r="K3265" s="92" t="str">
        <f>IF(AND(A3265="",B3265="",D3265="",G3265=""),"",IF(AND(A3265&lt;&gt;"",COUNTIF($A$2:$A$5001,A3265)&gt;1),"NUMERO_PC duplicado",IF(B3265="","DATA_PC vazia",IF(NOT(ISNUMBER(B3265)),"DATA_PC invalida",IF(OR(C3265="",C3265="Fora dos ciclos"),"CICLO_PC nao identificado",IF(OR(D3265="",D3265=0),"VALOR_PC vazio ou zero",IF(AND(G3265&lt;&gt;"Sim",G3265&lt;&gt;"Nao",G3265&lt;&gt;""),"PC_PAGO_A_CONTRATADA invalido",IF(AND(C3265&lt;&gt;"C0",IFERROR(INDEX(parametros!$A$2:$A$6,MATCH(C3265,parametros!$B$2:$B$6,0)),"")="Sim",IFERROR(INDEX(parametros!$H$2:$H$6,MATCH(C3265,parametros!$B$2:$B$6,0)),"")=""),"INICIO_EFEITO ausente: PC "&amp;A3265&amp;" - "&amp;C3265,IF(L3265="","EFEITO_PC nao calculado: PC "&amp;A3265&amp;" - "&amp;C3265,"OK")))))))))</f>
        <v/>
      </c>
      <c r="L3265" s="92" t="str">
        <f>IF(AND(A3265="",B3265="",D3265="",G3265=""),"",IF(OR(B3265="",NOT(ISNUMBER(B3265)),C3265="",C3265="Fora dos ciclos"),"",IF(C3265="C0","Nao",IF(IFERROR(INDEX(parametros!$A$2:$A$6,MATCH(C3265,parametros!$B$2:$B$6,0)),"")&lt;&gt;"Sim","Nao",IF(IFERROR(INDEX(parametros!$H$2:$H$6,MATCH(C3265,parametros!$B$2:$B$6,0)),"")="","",IF(B3265&gt;=IFERROR(INDEX(parametros!$H$2:$H$6,MATCH(C3265,parametros!$B$2:$B$6,0)),""),"Sim","Nao"))))))</f>
        <v/>
      </c>
      <c r="T3265" s="156"/>
      <c r="U3265" s="214" t="str">
        <f t="shared" si="256"/>
        <v/>
      </c>
      <c r="V3265" s="212" t="s">
        <v>50</v>
      </c>
      <c r="W3265" s="100" t="s">
        <v>168</v>
      </c>
      <c r="X3265" s="100" t="s">
        <v>169</v>
      </c>
      <c r="Y3265" s="101" t="s">
        <v>170</v>
      </c>
      <c r="Z3265" s="101" t="s">
        <v>171</v>
      </c>
      <c r="AA3265" s="101" t="s">
        <v>50</v>
      </c>
      <c r="AB3265" s="101" t="s">
        <v>172</v>
      </c>
      <c r="AC3265" s="102" t="s">
        <v>173</v>
      </c>
    </row>
    <row r="3266" spans="1:29" ht="25.5" customHeight="1" x14ac:dyDescent="0.35">
      <c r="A3266" s="392"/>
      <c r="B3266" s="393"/>
      <c r="C3266" s="99" t="str">
        <f>IF(B3266="","",IF(NOT(ISNUMBER(B3266)),"DATA_PC invalida",IF(NOT(ISNUMBER(parametros!$C$2)),"Fora dos ciclos",IF(OR(B3266&lt;parametros!$C$2,(YEAR(B3266)-YEAR(parametros!$C$2))*12+MONTH(B3266)-MONTH(parametros!$C$2)&gt;59),"Fora dos ciclos","C"&amp;INT(((YEAR(B3266)-YEAR(parametros!$C$2))*12+MONTH(B3266)-MONTH(parametros!$C$2))/12)))))</f>
        <v/>
      </c>
      <c r="D3266" s="394"/>
      <c r="E3266" s="78" t="str">
        <f>IF(C3266="","",IFERROR(VLOOKUP(C3266,parametros!$A$11:$E$15,5,0),""))</f>
        <v/>
      </c>
      <c r="F3266" s="79" t="str">
        <f t="shared" ref="F3266:F3329" si="257">IF(OR(D3266="",E3266=""),"",ROUND(D3266*E3266,2))</f>
        <v/>
      </c>
      <c r="G3266" s="395"/>
      <c r="H3266" s="91">
        <f t="shared" ref="H3266:H3329" si="258">IF(G3266="Sim",IF(OR(F3266="",D3266="",L3266=""),"",IF(L3266="Sim",ROUND(F3266-D3266,2),0)),0)</f>
        <v>0</v>
      </c>
      <c r="I3266" s="91" t="str">
        <f t="shared" ref="I3266:I3329" si="259">IF(G3266="Sim",0,IF(OR(F3266="",L3266=""),"",F3266))</f>
        <v/>
      </c>
      <c r="J3266" s="91" t="str">
        <f t="shared" ref="J3266:J3329" si="260">IF(G3266="Sim",0,IF(OR(F3266="",D3266="",L3266=""),"",IF(L3266="Sim",ROUND(F3266-D3266,2),0)))</f>
        <v/>
      </c>
      <c r="K3266" s="92" t="str">
        <f>IF(AND(A3266="",B3266="",D3266="",G3266=""),"",IF(AND(A3266&lt;&gt;"",COUNTIF($A$2:$A$5001,A3266)&gt;1),"NUMERO_PC duplicado",IF(B3266="","DATA_PC vazia",IF(NOT(ISNUMBER(B3266)),"DATA_PC invalida",IF(OR(C3266="",C3266="Fora dos ciclos"),"CICLO_PC nao identificado",IF(OR(D3266="",D3266=0),"VALOR_PC vazio ou zero",IF(AND(G3266&lt;&gt;"Sim",G3266&lt;&gt;"Nao",G3266&lt;&gt;""),"PC_PAGO_A_CONTRATADA invalido",IF(AND(C3266&lt;&gt;"C0",IFERROR(INDEX(parametros!$A$2:$A$6,MATCH(C3266,parametros!$B$2:$B$6,0)),"")="Sim",IFERROR(INDEX(parametros!$H$2:$H$6,MATCH(C3266,parametros!$B$2:$B$6,0)),"")=""),"INICIO_EFEITO ausente: PC "&amp;A3266&amp;" - "&amp;C3266,IF(L3266="","EFEITO_PC nao calculado: PC "&amp;A3266&amp;" - "&amp;C3266,"OK")))))))))</f>
        <v/>
      </c>
      <c r="L3266" s="92" t="str">
        <f>IF(AND(A3266="",B3266="",D3266="",G3266=""),"",IF(OR(B3266="",NOT(ISNUMBER(B3266)),C3266="",C3266="Fora dos ciclos"),"",IF(C3266="C0","Nao",IF(IFERROR(INDEX(parametros!$A$2:$A$6,MATCH(C3266,parametros!$B$2:$B$6,0)),"")&lt;&gt;"Sim","Nao",IF(IFERROR(INDEX(parametros!$H$2:$H$6,MATCH(C3266,parametros!$B$2:$B$6,0)),"")="","",IF(B3266&gt;=IFERROR(INDEX(parametros!$H$2:$H$6,MATCH(C3266,parametros!$B$2:$B$6,0)),""),"Sim","Nao"))))))</f>
        <v/>
      </c>
      <c r="T3266" s="156"/>
      <c r="U3266" s="214" t="str">
        <f t="shared" ref="U3266:U3329" si="261">IF(OR($D3266="",$H3266=""),"",ROUND($D3266+$H3266,2))</f>
        <v/>
      </c>
      <c r="V3266" s="212" t="s">
        <v>50</v>
      </c>
      <c r="W3266" s="100" t="s">
        <v>168</v>
      </c>
      <c r="X3266" s="100" t="s">
        <v>169</v>
      </c>
      <c r="Y3266" s="101" t="s">
        <v>170</v>
      </c>
      <c r="Z3266" s="101" t="s">
        <v>171</v>
      </c>
      <c r="AA3266" s="101" t="s">
        <v>50</v>
      </c>
      <c r="AB3266" s="101" t="s">
        <v>172</v>
      </c>
      <c r="AC3266" s="102" t="s">
        <v>173</v>
      </c>
    </row>
    <row r="3267" spans="1:29" ht="25.5" customHeight="1" x14ac:dyDescent="0.35">
      <c r="A3267" s="392"/>
      <c r="B3267" s="393"/>
      <c r="C3267" s="99" t="str">
        <f>IF(B3267="","",IF(NOT(ISNUMBER(B3267)),"DATA_PC invalida",IF(NOT(ISNUMBER(parametros!$C$2)),"Fora dos ciclos",IF(OR(B3267&lt;parametros!$C$2,(YEAR(B3267)-YEAR(parametros!$C$2))*12+MONTH(B3267)-MONTH(parametros!$C$2)&gt;59),"Fora dos ciclos","C"&amp;INT(((YEAR(B3267)-YEAR(parametros!$C$2))*12+MONTH(B3267)-MONTH(parametros!$C$2))/12)))))</f>
        <v/>
      </c>
      <c r="D3267" s="394"/>
      <c r="E3267" s="78" t="str">
        <f>IF(C3267="","",IFERROR(VLOOKUP(C3267,parametros!$A$11:$E$15,5,0),""))</f>
        <v/>
      </c>
      <c r="F3267" s="79" t="str">
        <f t="shared" si="257"/>
        <v/>
      </c>
      <c r="G3267" s="395"/>
      <c r="H3267" s="91">
        <f t="shared" si="258"/>
        <v>0</v>
      </c>
      <c r="I3267" s="91" t="str">
        <f t="shared" si="259"/>
        <v/>
      </c>
      <c r="J3267" s="91" t="str">
        <f t="shared" si="260"/>
        <v/>
      </c>
      <c r="K3267" s="92" t="str">
        <f>IF(AND(A3267="",B3267="",D3267="",G3267=""),"",IF(AND(A3267&lt;&gt;"",COUNTIF($A$2:$A$5001,A3267)&gt;1),"NUMERO_PC duplicado",IF(B3267="","DATA_PC vazia",IF(NOT(ISNUMBER(B3267)),"DATA_PC invalida",IF(OR(C3267="",C3267="Fora dos ciclos"),"CICLO_PC nao identificado",IF(OR(D3267="",D3267=0),"VALOR_PC vazio ou zero",IF(AND(G3267&lt;&gt;"Sim",G3267&lt;&gt;"Nao",G3267&lt;&gt;""),"PC_PAGO_A_CONTRATADA invalido",IF(AND(C3267&lt;&gt;"C0",IFERROR(INDEX(parametros!$A$2:$A$6,MATCH(C3267,parametros!$B$2:$B$6,0)),"")="Sim",IFERROR(INDEX(parametros!$H$2:$H$6,MATCH(C3267,parametros!$B$2:$B$6,0)),"")=""),"INICIO_EFEITO ausente: PC "&amp;A3267&amp;" - "&amp;C3267,IF(L3267="","EFEITO_PC nao calculado: PC "&amp;A3267&amp;" - "&amp;C3267,"OK")))))))))</f>
        <v/>
      </c>
      <c r="L3267" s="92" t="str">
        <f>IF(AND(A3267="",B3267="",D3267="",G3267=""),"",IF(OR(B3267="",NOT(ISNUMBER(B3267)),C3267="",C3267="Fora dos ciclos"),"",IF(C3267="C0","Nao",IF(IFERROR(INDEX(parametros!$A$2:$A$6,MATCH(C3267,parametros!$B$2:$B$6,0)),"")&lt;&gt;"Sim","Nao",IF(IFERROR(INDEX(parametros!$H$2:$H$6,MATCH(C3267,parametros!$B$2:$B$6,0)),"")="","",IF(B3267&gt;=IFERROR(INDEX(parametros!$H$2:$H$6,MATCH(C3267,parametros!$B$2:$B$6,0)),""),"Sim","Nao"))))))</f>
        <v/>
      </c>
      <c r="T3267" s="156"/>
      <c r="U3267" s="214" t="str">
        <f t="shared" si="261"/>
        <v/>
      </c>
      <c r="V3267" s="212" t="s">
        <v>50</v>
      </c>
      <c r="W3267" s="100" t="s">
        <v>168</v>
      </c>
      <c r="X3267" s="100" t="s">
        <v>169</v>
      </c>
      <c r="Y3267" s="101" t="s">
        <v>170</v>
      </c>
      <c r="Z3267" s="101" t="s">
        <v>171</v>
      </c>
      <c r="AA3267" s="101" t="s">
        <v>50</v>
      </c>
      <c r="AB3267" s="101" t="s">
        <v>172</v>
      </c>
      <c r="AC3267" s="102" t="s">
        <v>173</v>
      </c>
    </row>
    <row r="3268" spans="1:29" ht="25.5" customHeight="1" x14ac:dyDescent="0.35">
      <c r="A3268" s="392"/>
      <c r="B3268" s="393"/>
      <c r="C3268" s="99" t="str">
        <f>IF(B3268="","",IF(NOT(ISNUMBER(B3268)),"DATA_PC invalida",IF(NOT(ISNUMBER(parametros!$C$2)),"Fora dos ciclos",IF(OR(B3268&lt;parametros!$C$2,(YEAR(B3268)-YEAR(parametros!$C$2))*12+MONTH(B3268)-MONTH(parametros!$C$2)&gt;59),"Fora dos ciclos","C"&amp;INT(((YEAR(B3268)-YEAR(parametros!$C$2))*12+MONTH(B3268)-MONTH(parametros!$C$2))/12)))))</f>
        <v/>
      </c>
      <c r="D3268" s="394"/>
      <c r="E3268" s="78" t="str">
        <f>IF(C3268="","",IFERROR(VLOOKUP(C3268,parametros!$A$11:$E$15,5,0),""))</f>
        <v/>
      </c>
      <c r="F3268" s="79" t="str">
        <f t="shared" si="257"/>
        <v/>
      </c>
      <c r="G3268" s="395"/>
      <c r="H3268" s="91">
        <f t="shared" si="258"/>
        <v>0</v>
      </c>
      <c r="I3268" s="91" t="str">
        <f t="shared" si="259"/>
        <v/>
      </c>
      <c r="J3268" s="91" t="str">
        <f t="shared" si="260"/>
        <v/>
      </c>
      <c r="K3268" s="92" t="str">
        <f>IF(AND(A3268="",B3268="",D3268="",G3268=""),"",IF(AND(A3268&lt;&gt;"",COUNTIF($A$2:$A$5001,A3268)&gt;1),"NUMERO_PC duplicado",IF(B3268="","DATA_PC vazia",IF(NOT(ISNUMBER(B3268)),"DATA_PC invalida",IF(OR(C3268="",C3268="Fora dos ciclos"),"CICLO_PC nao identificado",IF(OR(D3268="",D3268=0),"VALOR_PC vazio ou zero",IF(AND(G3268&lt;&gt;"Sim",G3268&lt;&gt;"Nao",G3268&lt;&gt;""),"PC_PAGO_A_CONTRATADA invalido",IF(AND(C3268&lt;&gt;"C0",IFERROR(INDEX(parametros!$A$2:$A$6,MATCH(C3268,parametros!$B$2:$B$6,0)),"")="Sim",IFERROR(INDEX(parametros!$H$2:$H$6,MATCH(C3268,parametros!$B$2:$B$6,0)),"")=""),"INICIO_EFEITO ausente: PC "&amp;A3268&amp;" - "&amp;C3268,IF(L3268="","EFEITO_PC nao calculado: PC "&amp;A3268&amp;" - "&amp;C3268,"OK")))))))))</f>
        <v/>
      </c>
      <c r="L3268" s="92" t="str">
        <f>IF(AND(A3268="",B3268="",D3268="",G3268=""),"",IF(OR(B3268="",NOT(ISNUMBER(B3268)),C3268="",C3268="Fora dos ciclos"),"",IF(C3268="C0","Nao",IF(IFERROR(INDEX(parametros!$A$2:$A$6,MATCH(C3268,parametros!$B$2:$B$6,0)),"")&lt;&gt;"Sim","Nao",IF(IFERROR(INDEX(parametros!$H$2:$H$6,MATCH(C3268,parametros!$B$2:$B$6,0)),"")="","",IF(B3268&gt;=IFERROR(INDEX(parametros!$H$2:$H$6,MATCH(C3268,parametros!$B$2:$B$6,0)),""),"Sim","Nao"))))))</f>
        <v/>
      </c>
      <c r="T3268" s="156"/>
      <c r="U3268" s="214" t="str">
        <f t="shared" si="261"/>
        <v/>
      </c>
      <c r="V3268" s="212" t="s">
        <v>50</v>
      </c>
      <c r="W3268" s="100" t="s">
        <v>168</v>
      </c>
      <c r="X3268" s="100" t="s">
        <v>169</v>
      </c>
      <c r="Y3268" s="101" t="s">
        <v>170</v>
      </c>
      <c r="Z3268" s="101" t="s">
        <v>171</v>
      </c>
      <c r="AA3268" s="101" t="s">
        <v>50</v>
      </c>
      <c r="AB3268" s="101" t="s">
        <v>172</v>
      </c>
      <c r="AC3268" s="102" t="s">
        <v>173</v>
      </c>
    </row>
    <row r="3269" spans="1:29" ht="25.5" customHeight="1" x14ac:dyDescent="0.35">
      <c r="A3269" s="392"/>
      <c r="B3269" s="393"/>
      <c r="C3269" s="99" t="str">
        <f>IF(B3269="","",IF(NOT(ISNUMBER(B3269)),"DATA_PC invalida",IF(NOT(ISNUMBER(parametros!$C$2)),"Fora dos ciclos",IF(OR(B3269&lt;parametros!$C$2,(YEAR(B3269)-YEAR(parametros!$C$2))*12+MONTH(B3269)-MONTH(parametros!$C$2)&gt;59),"Fora dos ciclos","C"&amp;INT(((YEAR(B3269)-YEAR(parametros!$C$2))*12+MONTH(B3269)-MONTH(parametros!$C$2))/12)))))</f>
        <v/>
      </c>
      <c r="D3269" s="394"/>
      <c r="E3269" s="78" t="str">
        <f>IF(C3269="","",IFERROR(VLOOKUP(C3269,parametros!$A$11:$E$15,5,0),""))</f>
        <v/>
      </c>
      <c r="F3269" s="79" t="str">
        <f t="shared" si="257"/>
        <v/>
      </c>
      <c r="G3269" s="395"/>
      <c r="H3269" s="91">
        <f t="shared" si="258"/>
        <v>0</v>
      </c>
      <c r="I3269" s="91" t="str">
        <f t="shared" si="259"/>
        <v/>
      </c>
      <c r="J3269" s="91" t="str">
        <f t="shared" si="260"/>
        <v/>
      </c>
      <c r="K3269" s="92" t="str">
        <f>IF(AND(A3269="",B3269="",D3269="",G3269=""),"",IF(AND(A3269&lt;&gt;"",COUNTIF($A$2:$A$5001,A3269)&gt;1),"NUMERO_PC duplicado",IF(B3269="","DATA_PC vazia",IF(NOT(ISNUMBER(B3269)),"DATA_PC invalida",IF(OR(C3269="",C3269="Fora dos ciclos"),"CICLO_PC nao identificado",IF(OR(D3269="",D3269=0),"VALOR_PC vazio ou zero",IF(AND(G3269&lt;&gt;"Sim",G3269&lt;&gt;"Nao",G3269&lt;&gt;""),"PC_PAGO_A_CONTRATADA invalido",IF(AND(C3269&lt;&gt;"C0",IFERROR(INDEX(parametros!$A$2:$A$6,MATCH(C3269,parametros!$B$2:$B$6,0)),"")="Sim",IFERROR(INDEX(parametros!$H$2:$H$6,MATCH(C3269,parametros!$B$2:$B$6,0)),"")=""),"INICIO_EFEITO ausente: PC "&amp;A3269&amp;" - "&amp;C3269,IF(L3269="","EFEITO_PC nao calculado: PC "&amp;A3269&amp;" - "&amp;C3269,"OK")))))))))</f>
        <v/>
      </c>
      <c r="L3269" s="92" t="str">
        <f>IF(AND(A3269="",B3269="",D3269="",G3269=""),"",IF(OR(B3269="",NOT(ISNUMBER(B3269)),C3269="",C3269="Fora dos ciclos"),"",IF(C3269="C0","Nao",IF(IFERROR(INDEX(parametros!$A$2:$A$6,MATCH(C3269,parametros!$B$2:$B$6,0)),"")&lt;&gt;"Sim","Nao",IF(IFERROR(INDEX(parametros!$H$2:$H$6,MATCH(C3269,parametros!$B$2:$B$6,0)),"")="","",IF(B3269&gt;=IFERROR(INDEX(parametros!$H$2:$H$6,MATCH(C3269,parametros!$B$2:$B$6,0)),""),"Sim","Nao"))))))</f>
        <v/>
      </c>
      <c r="T3269" s="156"/>
      <c r="U3269" s="214" t="str">
        <f t="shared" si="261"/>
        <v/>
      </c>
      <c r="V3269" s="212" t="s">
        <v>50</v>
      </c>
      <c r="W3269" s="100" t="s">
        <v>168</v>
      </c>
      <c r="X3269" s="100" t="s">
        <v>169</v>
      </c>
      <c r="Y3269" s="101" t="s">
        <v>170</v>
      </c>
      <c r="Z3269" s="101" t="s">
        <v>171</v>
      </c>
      <c r="AA3269" s="101" t="s">
        <v>50</v>
      </c>
      <c r="AB3269" s="101" t="s">
        <v>172</v>
      </c>
      <c r="AC3269" s="102" t="s">
        <v>173</v>
      </c>
    </row>
    <row r="3270" spans="1:29" ht="25.5" customHeight="1" x14ac:dyDescent="0.35">
      <c r="A3270" s="392"/>
      <c r="B3270" s="393"/>
      <c r="C3270" s="99" t="str">
        <f>IF(B3270="","",IF(NOT(ISNUMBER(B3270)),"DATA_PC invalida",IF(NOT(ISNUMBER(parametros!$C$2)),"Fora dos ciclos",IF(OR(B3270&lt;parametros!$C$2,(YEAR(B3270)-YEAR(parametros!$C$2))*12+MONTH(B3270)-MONTH(parametros!$C$2)&gt;59),"Fora dos ciclos","C"&amp;INT(((YEAR(B3270)-YEAR(parametros!$C$2))*12+MONTH(B3270)-MONTH(parametros!$C$2))/12)))))</f>
        <v/>
      </c>
      <c r="D3270" s="394"/>
      <c r="E3270" s="78" t="str">
        <f>IF(C3270="","",IFERROR(VLOOKUP(C3270,parametros!$A$11:$E$15,5,0),""))</f>
        <v/>
      </c>
      <c r="F3270" s="79" t="str">
        <f t="shared" si="257"/>
        <v/>
      </c>
      <c r="G3270" s="395"/>
      <c r="H3270" s="91">
        <f t="shared" si="258"/>
        <v>0</v>
      </c>
      <c r="I3270" s="91" t="str">
        <f t="shared" si="259"/>
        <v/>
      </c>
      <c r="J3270" s="91" t="str">
        <f t="shared" si="260"/>
        <v/>
      </c>
      <c r="K3270" s="92" t="str">
        <f>IF(AND(A3270="",B3270="",D3270="",G3270=""),"",IF(AND(A3270&lt;&gt;"",COUNTIF($A$2:$A$5001,A3270)&gt;1),"NUMERO_PC duplicado",IF(B3270="","DATA_PC vazia",IF(NOT(ISNUMBER(B3270)),"DATA_PC invalida",IF(OR(C3270="",C3270="Fora dos ciclos"),"CICLO_PC nao identificado",IF(OR(D3270="",D3270=0),"VALOR_PC vazio ou zero",IF(AND(G3270&lt;&gt;"Sim",G3270&lt;&gt;"Nao",G3270&lt;&gt;""),"PC_PAGO_A_CONTRATADA invalido",IF(AND(C3270&lt;&gt;"C0",IFERROR(INDEX(parametros!$A$2:$A$6,MATCH(C3270,parametros!$B$2:$B$6,0)),"")="Sim",IFERROR(INDEX(parametros!$H$2:$H$6,MATCH(C3270,parametros!$B$2:$B$6,0)),"")=""),"INICIO_EFEITO ausente: PC "&amp;A3270&amp;" - "&amp;C3270,IF(L3270="","EFEITO_PC nao calculado: PC "&amp;A3270&amp;" - "&amp;C3270,"OK")))))))))</f>
        <v/>
      </c>
      <c r="L3270" s="92" t="str">
        <f>IF(AND(A3270="",B3270="",D3270="",G3270=""),"",IF(OR(B3270="",NOT(ISNUMBER(B3270)),C3270="",C3270="Fora dos ciclos"),"",IF(C3270="C0","Nao",IF(IFERROR(INDEX(parametros!$A$2:$A$6,MATCH(C3270,parametros!$B$2:$B$6,0)),"")&lt;&gt;"Sim","Nao",IF(IFERROR(INDEX(parametros!$H$2:$H$6,MATCH(C3270,parametros!$B$2:$B$6,0)),"")="","",IF(B3270&gt;=IFERROR(INDEX(parametros!$H$2:$H$6,MATCH(C3270,parametros!$B$2:$B$6,0)),""),"Sim","Nao"))))))</f>
        <v/>
      </c>
      <c r="T3270" s="156"/>
      <c r="U3270" s="214" t="str">
        <f t="shared" si="261"/>
        <v/>
      </c>
      <c r="V3270" s="212" t="s">
        <v>50</v>
      </c>
      <c r="W3270" s="100" t="s">
        <v>168</v>
      </c>
      <c r="X3270" s="100" t="s">
        <v>169</v>
      </c>
      <c r="Y3270" s="101" t="s">
        <v>170</v>
      </c>
      <c r="Z3270" s="101" t="s">
        <v>171</v>
      </c>
      <c r="AA3270" s="101" t="s">
        <v>50</v>
      </c>
      <c r="AB3270" s="101" t="s">
        <v>172</v>
      </c>
      <c r="AC3270" s="102" t="s">
        <v>173</v>
      </c>
    </row>
    <row r="3271" spans="1:29" ht="25.5" customHeight="1" x14ac:dyDescent="0.35">
      <c r="A3271" s="392"/>
      <c r="B3271" s="393"/>
      <c r="C3271" s="99" t="str">
        <f>IF(B3271="","",IF(NOT(ISNUMBER(B3271)),"DATA_PC invalida",IF(NOT(ISNUMBER(parametros!$C$2)),"Fora dos ciclos",IF(OR(B3271&lt;parametros!$C$2,(YEAR(B3271)-YEAR(parametros!$C$2))*12+MONTH(B3271)-MONTH(parametros!$C$2)&gt;59),"Fora dos ciclos","C"&amp;INT(((YEAR(B3271)-YEAR(parametros!$C$2))*12+MONTH(B3271)-MONTH(parametros!$C$2))/12)))))</f>
        <v/>
      </c>
      <c r="D3271" s="394"/>
      <c r="E3271" s="78" t="str">
        <f>IF(C3271="","",IFERROR(VLOOKUP(C3271,parametros!$A$11:$E$15,5,0),""))</f>
        <v/>
      </c>
      <c r="F3271" s="79" t="str">
        <f t="shared" si="257"/>
        <v/>
      </c>
      <c r="G3271" s="395"/>
      <c r="H3271" s="91">
        <f t="shared" si="258"/>
        <v>0</v>
      </c>
      <c r="I3271" s="91" t="str">
        <f t="shared" si="259"/>
        <v/>
      </c>
      <c r="J3271" s="91" t="str">
        <f t="shared" si="260"/>
        <v/>
      </c>
      <c r="K3271" s="92" t="str">
        <f>IF(AND(A3271="",B3271="",D3271="",G3271=""),"",IF(AND(A3271&lt;&gt;"",COUNTIF($A$2:$A$5001,A3271)&gt;1),"NUMERO_PC duplicado",IF(B3271="","DATA_PC vazia",IF(NOT(ISNUMBER(B3271)),"DATA_PC invalida",IF(OR(C3271="",C3271="Fora dos ciclos"),"CICLO_PC nao identificado",IF(OR(D3271="",D3271=0),"VALOR_PC vazio ou zero",IF(AND(G3271&lt;&gt;"Sim",G3271&lt;&gt;"Nao",G3271&lt;&gt;""),"PC_PAGO_A_CONTRATADA invalido",IF(AND(C3271&lt;&gt;"C0",IFERROR(INDEX(parametros!$A$2:$A$6,MATCH(C3271,parametros!$B$2:$B$6,0)),"")="Sim",IFERROR(INDEX(parametros!$H$2:$H$6,MATCH(C3271,parametros!$B$2:$B$6,0)),"")=""),"INICIO_EFEITO ausente: PC "&amp;A3271&amp;" - "&amp;C3271,IF(L3271="","EFEITO_PC nao calculado: PC "&amp;A3271&amp;" - "&amp;C3271,"OK")))))))))</f>
        <v/>
      </c>
      <c r="L3271" s="92" t="str">
        <f>IF(AND(A3271="",B3271="",D3271="",G3271=""),"",IF(OR(B3271="",NOT(ISNUMBER(B3271)),C3271="",C3271="Fora dos ciclos"),"",IF(C3271="C0","Nao",IF(IFERROR(INDEX(parametros!$A$2:$A$6,MATCH(C3271,parametros!$B$2:$B$6,0)),"")&lt;&gt;"Sim","Nao",IF(IFERROR(INDEX(parametros!$H$2:$H$6,MATCH(C3271,parametros!$B$2:$B$6,0)),"")="","",IF(B3271&gt;=IFERROR(INDEX(parametros!$H$2:$H$6,MATCH(C3271,parametros!$B$2:$B$6,0)),""),"Sim","Nao"))))))</f>
        <v/>
      </c>
      <c r="T3271" s="156"/>
      <c r="U3271" s="214" t="str">
        <f t="shared" si="261"/>
        <v/>
      </c>
      <c r="V3271" s="212" t="s">
        <v>50</v>
      </c>
      <c r="W3271" s="100" t="s">
        <v>168</v>
      </c>
      <c r="X3271" s="100" t="s">
        <v>169</v>
      </c>
      <c r="Y3271" s="101" t="s">
        <v>170</v>
      </c>
      <c r="Z3271" s="101" t="s">
        <v>171</v>
      </c>
      <c r="AA3271" s="101" t="s">
        <v>50</v>
      </c>
      <c r="AB3271" s="101" t="s">
        <v>172</v>
      </c>
      <c r="AC3271" s="102" t="s">
        <v>173</v>
      </c>
    </row>
    <row r="3272" spans="1:29" ht="25.5" customHeight="1" x14ac:dyDescent="0.35">
      <c r="A3272" s="392"/>
      <c r="B3272" s="393"/>
      <c r="C3272" s="99" t="str">
        <f>IF(B3272="","",IF(NOT(ISNUMBER(B3272)),"DATA_PC invalida",IF(NOT(ISNUMBER(parametros!$C$2)),"Fora dos ciclos",IF(OR(B3272&lt;parametros!$C$2,(YEAR(B3272)-YEAR(parametros!$C$2))*12+MONTH(B3272)-MONTH(parametros!$C$2)&gt;59),"Fora dos ciclos","C"&amp;INT(((YEAR(B3272)-YEAR(parametros!$C$2))*12+MONTH(B3272)-MONTH(parametros!$C$2))/12)))))</f>
        <v/>
      </c>
      <c r="D3272" s="394"/>
      <c r="E3272" s="78" t="str">
        <f>IF(C3272="","",IFERROR(VLOOKUP(C3272,parametros!$A$11:$E$15,5,0),""))</f>
        <v/>
      </c>
      <c r="F3272" s="79" t="str">
        <f t="shared" si="257"/>
        <v/>
      </c>
      <c r="G3272" s="395"/>
      <c r="H3272" s="91">
        <f t="shared" si="258"/>
        <v>0</v>
      </c>
      <c r="I3272" s="91" t="str">
        <f t="shared" si="259"/>
        <v/>
      </c>
      <c r="J3272" s="91" t="str">
        <f t="shared" si="260"/>
        <v/>
      </c>
      <c r="K3272" s="92" t="str">
        <f>IF(AND(A3272="",B3272="",D3272="",G3272=""),"",IF(AND(A3272&lt;&gt;"",COUNTIF($A$2:$A$5001,A3272)&gt;1),"NUMERO_PC duplicado",IF(B3272="","DATA_PC vazia",IF(NOT(ISNUMBER(B3272)),"DATA_PC invalida",IF(OR(C3272="",C3272="Fora dos ciclos"),"CICLO_PC nao identificado",IF(OR(D3272="",D3272=0),"VALOR_PC vazio ou zero",IF(AND(G3272&lt;&gt;"Sim",G3272&lt;&gt;"Nao",G3272&lt;&gt;""),"PC_PAGO_A_CONTRATADA invalido",IF(AND(C3272&lt;&gt;"C0",IFERROR(INDEX(parametros!$A$2:$A$6,MATCH(C3272,parametros!$B$2:$B$6,0)),"")="Sim",IFERROR(INDEX(parametros!$H$2:$H$6,MATCH(C3272,parametros!$B$2:$B$6,0)),"")=""),"INICIO_EFEITO ausente: PC "&amp;A3272&amp;" - "&amp;C3272,IF(L3272="","EFEITO_PC nao calculado: PC "&amp;A3272&amp;" - "&amp;C3272,"OK")))))))))</f>
        <v/>
      </c>
      <c r="L3272" s="92" t="str">
        <f>IF(AND(A3272="",B3272="",D3272="",G3272=""),"",IF(OR(B3272="",NOT(ISNUMBER(B3272)),C3272="",C3272="Fora dos ciclos"),"",IF(C3272="C0","Nao",IF(IFERROR(INDEX(parametros!$A$2:$A$6,MATCH(C3272,parametros!$B$2:$B$6,0)),"")&lt;&gt;"Sim","Nao",IF(IFERROR(INDEX(parametros!$H$2:$H$6,MATCH(C3272,parametros!$B$2:$B$6,0)),"")="","",IF(B3272&gt;=IFERROR(INDEX(parametros!$H$2:$H$6,MATCH(C3272,parametros!$B$2:$B$6,0)),""),"Sim","Nao"))))))</f>
        <v/>
      </c>
      <c r="T3272" s="156"/>
      <c r="U3272" s="214" t="str">
        <f t="shared" si="261"/>
        <v/>
      </c>
      <c r="V3272" s="212" t="s">
        <v>50</v>
      </c>
      <c r="W3272" s="100" t="s">
        <v>168</v>
      </c>
      <c r="X3272" s="100" t="s">
        <v>169</v>
      </c>
      <c r="Y3272" s="101" t="s">
        <v>170</v>
      </c>
      <c r="Z3272" s="101" t="s">
        <v>171</v>
      </c>
      <c r="AA3272" s="101" t="s">
        <v>50</v>
      </c>
      <c r="AB3272" s="101" t="s">
        <v>172</v>
      </c>
      <c r="AC3272" s="102" t="s">
        <v>173</v>
      </c>
    </row>
    <row r="3273" spans="1:29" ht="25.5" customHeight="1" x14ac:dyDescent="0.35">
      <c r="A3273" s="392"/>
      <c r="B3273" s="393"/>
      <c r="C3273" s="99" t="str">
        <f>IF(B3273="","",IF(NOT(ISNUMBER(B3273)),"DATA_PC invalida",IF(NOT(ISNUMBER(parametros!$C$2)),"Fora dos ciclos",IF(OR(B3273&lt;parametros!$C$2,(YEAR(B3273)-YEAR(parametros!$C$2))*12+MONTH(B3273)-MONTH(parametros!$C$2)&gt;59),"Fora dos ciclos","C"&amp;INT(((YEAR(B3273)-YEAR(parametros!$C$2))*12+MONTH(B3273)-MONTH(parametros!$C$2))/12)))))</f>
        <v/>
      </c>
      <c r="D3273" s="394"/>
      <c r="E3273" s="78" t="str">
        <f>IF(C3273="","",IFERROR(VLOOKUP(C3273,parametros!$A$11:$E$15,5,0),""))</f>
        <v/>
      </c>
      <c r="F3273" s="79" t="str">
        <f t="shared" si="257"/>
        <v/>
      </c>
      <c r="G3273" s="395"/>
      <c r="H3273" s="91">
        <f t="shared" si="258"/>
        <v>0</v>
      </c>
      <c r="I3273" s="91" t="str">
        <f t="shared" si="259"/>
        <v/>
      </c>
      <c r="J3273" s="91" t="str">
        <f t="shared" si="260"/>
        <v/>
      </c>
      <c r="K3273" s="92" t="str">
        <f>IF(AND(A3273="",B3273="",D3273="",G3273=""),"",IF(AND(A3273&lt;&gt;"",COUNTIF($A$2:$A$5001,A3273)&gt;1),"NUMERO_PC duplicado",IF(B3273="","DATA_PC vazia",IF(NOT(ISNUMBER(B3273)),"DATA_PC invalida",IF(OR(C3273="",C3273="Fora dos ciclos"),"CICLO_PC nao identificado",IF(OR(D3273="",D3273=0),"VALOR_PC vazio ou zero",IF(AND(G3273&lt;&gt;"Sim",G3273&lt;&gt;"Nao",G3273&lt;&gt;""),"PC_PAGO_A_CONTRATADA invalido",IF(AND(C3273&lt;&gt;"C0",IFERROR(INDEX(parametros!$A$2:$A$6,MATCH(C3273,parametros!$B$2:$B$6,0)),"")="Sim",IFERROR(INDEX(parametros!$H$2:$H$6,MATCH(C3273,parametros!$B$2:$B$6,0)),"")=""),"INICIO_EFEITO ausente: PC "&amp;A3273&amp;" - "&amp;C3273,IF(L3273="","EFEITO_PC nao calculado: PC "&amp;A3273&amp;" - "&amp;C3273,"OK")))))))))</f>
        <v/>
      </c>
      <c r="L3273" s="92" t="str">
        <f>IF(AND(A3273="",B3273="",D3273="",G3273=""),"",IF(OR(B3273="",NOT(ISNUMBER(B3273)),C3273="",C3273="Fora dos ciclos"),"",IF(C3273="C0","Nao",IF(IFERROR(INDEX(parametros!$A$2:$A$6,MATCH(C3273,parametros!$B$2:$B$6,0)),"")&lt;&gt;"Sim","Nao",IF(IFERROR(INDEX(parametros!$H$2:$H$6,MATCH(C3273,parametros!$B$2:$B$6,0)),"")="","",IF(B3273&gt;=IFERROR(INDEX(parametros!$H$2:$H$6,MATCH(C3273,parametros!$B$2:$B$6,0)),""),"Sim","Nao"))))))</f>
        <v/>
      </c>
      <c r="T3273" s="156"/>
      <c r="U3273" s="214" t="str">
        <f t="shared" si="261"/>
        <v/>
      </c>
      <c r="V3273" s="212" t="s">
        <v>50</v>
      </c>
      <c r="W3273" s="100" t="s">
        <v>168</v>
      </c>
      <c r="X3273" s="100" t="s">
        <v>169</v>
      </c>
      <c r="Y3273" s="101" t="s">
        <v>170</v>
      </c>
      <c r="Z3273" s="101" t="s">
        <v>171</v>
      </c>
      <c r="AA3273" s="101" t="s">
        <v>50</v>
      </c>
      <c r="AB3273" s="101" t="s">
        <v>172</v>
      </c>
      <c r="AC3273" s="102" t="s">
        <v>173</v>
      </c>
    </row>
    <row r="3274" spans="1:29" ht="25.5" customHeight="1" x14ac:dyDescent="0.35">
      <c r="A3274" s="392"/>
      <c r="B3274" s="393"/>
      <c r="C3274" s="99" t="str">
        <f>IF(B3274="","",IF(NOT(ISNUMBER(B3274)),"DATA_PC invalida",IF(NOT(ISNUMBER(parametros!$C$2)),"Fora dos ciclos",IF(OR(B3274&lt;parametros!$C$2,(YEAR(B3274)-YEAR(parametros!$C$2))*12+MONTH(B3274)-MONTH(parametros!$C$2)&gt;59),"Fora dos ciclos","C"&amp;INT(((YEAR(B3274)-YEAR(parametros!$C$2))*12+MONTH(B3274)-MONTH(parametros!$C$2))/12)))))</f>
        <v/>
      </c>
      <c r="D3274" s="394"/>
      <c r="E3274" s="78" t="str">
        <f>IF(C3274="","",IFERROR(VLOOKUP(C3274,parametros!$A$11:$E$15,5,0),""))</f>
        <v/>
      </c>
      <c r="F3274" s="79" t="str">
        <f t="shared" si="257"/>
        <v/>
      </c>
      <c r="G3274" s="395"/>
      <c r="H3274" s="91">
        <f t="shared" si="258"/>
        <v>0</v>
      </c>
      <c r="I3274" s="91" t="str">
        <f t="shared" si="259"/>
        <v/>
      </c>
      <c r="J3274" s="91" t="str">
        <f t="shared" si="260"/>
        <v/>
      </c>
      <c r="K3274" s="92" t="str">
        <f>IF(AND(A3274="",B3274="",D3274="",G3274=""),"",IF(AND(A3274&lt;&gt;"",COUNTIF($A$2:$A$5001,A3274)&gt;1),"NUMERO_PC duplicado",IF(B3274="","DATA_PC vazia",IF(NOT(ISNUMBER(B3274)),"DATA_PC invalida",IF(OR(C3274="",C3274="Fora dos ciclos"),"CICLO_PC nao identificado",IF(OR(D3274="",D3274=0),"VALOR_PC vazio ou zero",IF(AND(G3274&lt;&gt;"Sim",G3274&lt;&gt;"Nao",G3274&lt;&gt;""),"PC_PAGO_A_CONTRATADA invalido",IF(AND(C3274&lt;&gt;"C0",IFERROR(INDEX(parametros!$A$2:$A$6,MATCH(C3274,parametros!$B$2:$B$6,0)),"")="Sim",IFERROR(INDEX(parametros!$H$2:$H$6,MATCH(C3274,parametros!$B$2:$B$6,0)),"")=""),"INICIO_EFEITO ausente: PC "&amp;A3274&amp;" - "&amp;C3274,IF(L3274="","EFEITO_PC nao calculado: PC "&amp;A3274&amp;" - "&amp;C3274,"OK")))))))))</f>
        <v/>
      </c>
      <c r="L3274" s="92" t="str">
        <f>IF(AND(A3274="",B3274="",D3274="",G3274=""),"",IF(OR(B3274="",NOT(ISNUMBER(B3274)),C3274="",C3274="Fora dos ciclos"),"",IF(C3274="C0","Nao",IF(IFERROR(INDEX(parametros!$A$2:$A$6,MATCH(C3274,parametros!$B$2:$B$6,0)),"")&lt;&gt;"Sim","Nao",IF(IFERROR(INDEX(parametros!$H$2:$H$6,MATCH(C3274,parametros!$B$2:$B$6,0)),"")="","",IF(B3274&gt;=IFERROR(INDEX(parametros!$H$2:$H$6,MATCH(C3274,parametros!$B$2:$B$6,0)),""),"Sim","Nao"))))))</f>
        <v/>
      </c>
      <c r="T3274" s="156"/>
      <c r="U3274" s="214" t="str">
        <f t="shared" si="261"/>
        <v/>
      </c>
      <c r="V3274" s="212" t="s">
        <v>50</v>
      </c>
      <c r="W3274" s="100" t="s">
        <v>168</v>
      </c>
      <c r="X3274" s="100" t="s">
        <v>169</v>
      </c>
      <c r="Y3274" s="101" t="s">
        <v>170</v>
      </c>
      <c r="Z3274" s="101" t="s">
        <v>171</v>
      </c>
      <c r="AA3274" s="101" t="s">
        <v>50</v>
      </c>
      <c r="AB3274" s="101" t="s">
        <v>172</v>
      </c>
      <c r="AC3274" s="102" t="s">
        <v>173</v>
      </c>
    </row>
    <row r="3275" spans="1:29" ht="25.5" customHeight="1" x14ac:dyDescent="0.35">
      <c r="A3275" s="392"/>
      <c r="B3275" s="393"/>
      <c r="C3275" s="99" t="str">
        <f>IF(B3275="","",IF(NOT(ISNUMBER(B3275)),"DATA_PC invalida",IF(NOT(ISNUMBER(parametros!$C$2)),"Fora dos ciclos",IF(OR(B3275&lt;parametros!$C$2,(YEAR(B3275)-YEAR(parametros!$C$2))*12+MONTH(B3275)-MONTH(parametros!$C$2)&gt;59),"Fora dos ciclos","C"&amp;INT(((YEAR(B3275)-YEAR(parametros!$C$2))*12+MONTH(B3275)-MONTH(parametros!$C$2))/12)))))</f>
        <v/>
      </c>
      <c r="D3275" s="394"/>
      <c r="E3275" s="78" t="str">
        <f>IF(C3275="","",IFERROR(VLOOKUP(C3275,parametros!$A$11:$E$15,5,0),""))</f>
        <v/>
      </c>
      <c r="F3275" s="79" t="str">
        <f t="shared" si="257"/>
        <v/>
      </c>
      <c r="G3275" s="395"/>
      <c r="H3275" s="91">
        <f t="shared" si="258"/>
        <v>0</v>
      </c>
      <c r="I3275" s="91" t="str">
        <f t="shared" si="259"/>
        <v/>
      </c>
      <c r="J3275" s="91" t="str">
        <f t="shared" si="260"/>
        <v/>
      </c>
      <c r="K3275" s="92" t="str">
        <f>IF(AND(A3275="",B3275="",D3275="",G3275=""),"",IF(AND(A3275&lt;&gt;"",COUNTIF($A$2:$A$5001,A3275)&gt;1),"NUMERO_PC duplicado",IF(B3275="","DATA_PC vazia",IF(NOT(ISNUMBER(B3275)),"DATA_PC invalida",IF(OR(C3275="",C3275="Fora dos ciclos"),"CICLO_PC nao identificado",IF(OR(D3275="",D3275=0),"VALOR_PC vazio ou zero",IF(AND(G3275&lt;&gt;"Sim",G3275&lt;&gt;"Nao",G3275&lt;&gt;""),"PC_PAGO_A_CONTRATADA invalido",IF(AND(C3275&lt;&gt;"C0",IFERROR(INDEX(parametros!$A$2:$A$6,MATCH(C3275,parametros!$B$2:$B$6,0)),"")="Sim",IFERROR(INDEX(parametros!$H$2:$H$6,MATCH(C3275,parametros!$B$2:$B$6,0)),"")=""),"INICIO_EFEITO ausente: PC "&amp;A3275&amp;" - "&amp;C3275,IF(L3275="","EFEITO_PC nao calculado: PC "&amp;A3275&amp;" - "&amp;C3275,"OK")))))))))</f>
        <v/>
      </c>
      <c r="L3275" s="92" t="str">
        <f>IF(AND(A3275="",B3275="",D3275="",G3275=""),"",IF(OR(B3275="",NOT(ISNUMBER(B3275)),C3275="",C3275="Fora dos ciclos"),"",IF(C3275="C0","Nao",IF(IFERROR(INDEX(parametros!$A$2:$A$6,MATCH(C3275,parametros!$B$2:$B$6,0)),"")&lt;&gt;"Sim","Nao",IF(IFERROR(INDEX(parametros!$H$2:$H$6,MATCH(C3275,parametros!$B$2:$B$6,0)),"")="","",IF(B3275&gt;=IFERROR(INDEX(parametros!$H$2:$H$6,MATCH(C3275,parametros!$B$2:$B$6,0)),""),"Sim","Nao"))))))</f>
        <v/>
      </c>
      <c r="T3275" s="156"/>
      <c r="U3275" s="214" t="str">
        <f t="shared" si="261"/>
        <v/>
      </c>
      <c r="V3275" s="212" t="s">
        <v>50</v>
      </c>
      <c r="W3275" s="100" t="s">
        <v>168</v>
      </c>
      <c r="X3275" s="100" t="s">
        <v>169</v>
      </c>
      <c r="Y3275" s="101" t="s">
        <v>170</v>
      </c>
      <c r="Z3275" s="101" t="s">
        <v>171</v>
      </c>
      <c r="AA3275" s="101" t="s">
        <v>50</v>
      </c>
      <c r="AB3275" s="101" t="s">
        <v>172</v>
      </c>
      <c r="AC3275" s="102" t="s">
        <v>173</v>
      </c>
    </row>
    <row r="3276" spans="1:29" ht="25.5" customHeight="1" x14ac:dyDescent="0.35">
      <c r="A3276" s="392"/>
      <c r="B3276" s="393"/>
      <c r="C3276" s="99" t="str">
        <f>IF(B3276="","",IF(NOT(ISNUMBER(B3276)),"DATA_PC invalida",IF(NOT(ISNUMBER(parametros!$C$2)),"Fora dos ciclos",IF(OR(B3276&lt;parametros!$C$2,(YEAR(B3276)-YEAR(parametros!$C$2))*12+MONTH(B3276)-MONTH(parametros!$C$2)&gt;59),"Fora dos ciclos","C"&amp;INT(((YEAR(B3276)-YEAR(parametros!$C$2))*12+MONTH(B3276)-MONTH(parametros!$C$2))/12)))))</f>
        <v/>
      </c>
      <c r="D3276" s="394"/>
      <c r="E3276" s="78" t="str">
        <f>IF(C3276="","",IFERROR(VLOOKUP(C3276,parametros!$A$11:$E$15,5,0),""))</f>
        <v/>
      </c>
      <c r="F3276" s="79" t="str">
        <f t="shared" si="257"/>
        <v/>
      </c>
      <c r="G3276" s="395"/>
      <c r="H3276" s="91">
        <f t="shared" si="258"/>
        <v>0</v>
      </c>
      <c r="I3276" s="91" t="str">
        <f t="shared" si="259"/>
        <v/>
      </c>
      <c r="J3276" s="91" t="str">
        <f t="shared" si="260"/>
        <v/>
      </c>
      <c r="K3276" s="92" t="str">
        <f>IF(AND(A3276="",B3276="",D3276="",G3276=""),"",IF(AND(A3276&lt;&gt;"",COUNTIF($A$2:$A$5001,A3276)&gt;1),"NUMERO_PC duplicado",IF(B3276="","DATA_PC vazia",IF(NOT(ISNUMBER(B3276)),"DATA_PC invalida",IF(OR(C3276="",C3276="Fora dos ciclos"),"CICLO_PC nao identificado",IF(OR(D3276="",D3276=0),"VALOR_PC vazio ou zero",IF(AND(G3276&lt;&gt;"Sim",G3276&lt;&gt;"Nao",G3276&lt;&gt;""),"PC_PAGO_A_CONTRATADA invalido",IF(AND(C3276&lt;&gt;"C0",IFERROR(INDEX(parametros!$A$2:$A$6,MATCH(C3276,parametros!$B$2:$B$6,0)),"")="Sim",IFERROR(INDEX(parametros!$H$2:$H$6,MATCH(C3276,parametros!$B$2:$B$6,0)),"")=""),"INICIO_EFEITO ausente: PC "&amp;A3276&amp;" - "&amp;C3276,IF(L3276="","EFEITO_PC nao calculado: PC "&amp;A3276&amp;" - "&amp;C3276,"OK")))))))))</f>
        <v/>
      </c>
      <c r="L3276" s="92" t="str">
        <f>IF(AND(A3276="",B3276="",D3276="",G3276=""),"",IF(OR(B3276="",NOT(ISNUMBER(B3276)),C3276="",C3276="Fora dos ciclos"),"",IF(C3276="C0","Nao",IF(IFERROR(INDEX(parametros!$A$2:$A$6,MATCH(C3276,parametros!$B$2:$B$6,0)),"")&lt;&gt;"Sim","Nao",IF(IFERROR(INDEX(parametros!$H$2:$H$6,MATCH(C3276,parametros!$B$2:$B$6,0)),"")="","",IF(B3276&gt;=IFERROR(INDEX(parametros!$H$2:$H$6,MATCH(C3276,parametros!$B$2:$B$6,0)),""),"Sim","Nao"))))))</f>
        <v/>
      </c>
      <c r="T3276" s="156"/>
      <c r="U3276" s="214" t="str">
        <f t="shared" si="261"/>
        <v/>
      </c>
      <c r="V3276" s="212" t="s">
        <v>50</v>
      </c>
      <c r="W3276" s="100" t="s">
        <v>168</v>
      </c>
      <c r="X3276" s="100" t="s">
        <v>169</v>
      </c>
      <c r="Y3276" s="101" t="s">
        <v>170</v>
      </c>
      <c r="Z3276" s="101" t="s">
        <v>171</v>
      </c>
      <c r="AA3276" s="101" t="s">
        <v>50</v>
      </c>
      <c r="AB3276" s="101" t="s">
        <v>172</v>
      </c>
      <c r="AC3276" s="102" t="s">
        <v>173</v>
      </c>
    </row>
    <row r="3277" spans="1:29" ht="25.5" customHeight="1" x14ac:dyDescent="0.35">
      <c r="A3277" s="392"/>
      <c r="B3277" s="393"/>
      <c r="C3277" s="99" t="str">
        <f>IF(B3277="","",IF(NOT(ISNUMBER(B3277)),"DATA_PC invalida",IF(NOT(ISNUMBER(parametros!$C$2)),"Fora dos ciclos",IF(OR(B3277&lt;parametros!$C$2,(YEAR(B3277)-YEAR(parametros!$C$2))*12+MONTH(B3277)-MONTH(parametros!$C$2)&gt;59),"Fora dos ciclos","C"&amp;INT(((YEAR(B3277)-YEAR(parametros!$C$2))*12+MONTH(B3277)-MONTH(parametros!$C$2))/12)))))</f>
        <v/>
      </c>
      <c r="D3277" s="394"/>
      <c r="E3277" s="78" t="str">
        <f>IF(C3277="","",IFERROR(VLOOKUP(C3277,parametros!$A$11:$E$15,5,0),""))</f>
        <v/>
      </c>
      <c r="F3277" s="79" t="str">
        <f t="shared" si="257"/>
        <v/>
      </c>
      <c r="G3277" s="395"/>
      <c r="H3277" s="91">
        <f t="shared" si="258"/>
        <v>0</v>
      </c>
      <c r="I3277" s="91" t="str">
        <f t="shared" si="259"/>
        <v/>
      </c>
      <c r="J3277" s="91" t="str">
        <f t="shared" si="260"/>
        <v/>
      </c>
      <c r="K3277" s="92" t="str">
        <f>IF(AND(A3277="",B3277="",D3277="",G3277=""),"",IF(AND(A3277&lt;&gt;"",COUNTIF($A$2:$A$5001,A3277)&gt;1),"NUMERO_PC duplicado",IF(B3277="","DATA_PC vazia",IF(NOT(ISNUMBER(B3277)),"DATA_PC invalida",IF(OR(C3277="",C3277="Fora dos ciclos"),"CICLO_PC nao identificado",IF(OR(D3277="",D3277=0),"VALOR_PC vazio ou zero",IF(AND(G3277&lt;&gt;"Sim",G3277&lt;&gt;"Nao",G3277&lt;&gt;""),"PC_PAGO_A_CONTRATADA invalido",IF(AND(C3277&lt;&gt;"C0",IFERROR(INDEX(parametros!$A$2:$A$6,MATCH(C3277,parametros!$B$2:$B$6,0)),"")="Sim",IFERROR(INDEX(parametros!$H$2:$H$6,MATCH(C3277,parametros!$B$2:$B$6,0)),"")=""),"INICIO_EFEITO ausente: PC "&amp;A3277&amp;" - "&amp;C3277,IF(L3277="","EFEITO_PC nao calculado: PC "&amp;A3277&amp;" - "&amp;C3277,"OK")))))))))</f>
        <v/>
      </c>
      <c r="L3277" s="92" t="str">
        <f>IF(AND(A3277="",B3277="",D3277="",G3277=""),"",IF(OR(B3277="",NOT(ISNUMBER(B3277)),C3277="",C3277="Fora dos ciclos"),"",IF(C3277="C0","Nao",IF(IFERROR(INDEX(parametros!$A$2:$A$6,MATCH(C3277,parametros!$B$2:$B$6,0)),"")&lt;&gt;"Sim","Nao",IF(IFERROR(INDEX(parametros!$H$2:$H$6,MATCH(C3277,parametros!$B$2:$B$6,0)),"")="","",IF(B3277&gt;=IFERROR(INDEX(parametros!$H$2:$H$6,MATCH(C3277,parametros!$B$2:$B$6,0)),""),"Sim","Nao"))))))</f>
        <v/>
      </c>
      <c r="T3277" s="156"/>
      <c r="U3277" s="214" t="str">
        <f t="shared" si="261"/>
        <v/>
      </c>
      <c r="V3277" s="212" t="s">
        <v>50</v>
      </c>
      <c r="W3277" s="100" t="s">
        <v>168</v>
      </c>
      <c r="X3277" s="100" t="s">
        <v>169</v>
      </c>
      <c r="Y3277" s="101" t="s">
        <v>170</v>
      </c>
      <c r="Z3277" s="101" t="s">
        <v>171</v>
      </c>
      <c r="AA3277" s="101" t="s">
        <v>50</v>
      </c>
      <c r="AB3277" s="101" t="s">
        <v>172</v>
      </c>
      <c r="AC3277" s="102" t="s">
        <v>173</v>
      </c>
    </row>
    <row r="3278" spans="1:29" ht="25.5" customHeight="1" x14ac:dyDescent="0.35">
      <c r="A3278" s="392"/>
      <c r="B3278" s="393"/>
      <c r="C3278" s="99" t="str">
        <f>IF(B3278="","",IF(NOT(ISNUMBER(B3278)),"DATA_PC invalida",IF(NOT(ISNUMBER(parametros!$C$2)),"Fora dos ciclos",IF(OR(B3278&lt;parametros!$C$2,(YEAR(B3278)-YEAR(parametros!$C$2))*12+MONTH(B3278)-MONTH(parametros!$C$2)&gt;59),"Fora dos ciclos","C"&amp;INT(((YEAR(B3278)-YEAR(parametros!$C$2))*12+MONTH(B3278)-MONTH(parametros!$C$2))/12)))))</f>
        <v/>
      </c>
      <c r="D3278" s="394"/>
      <c r="E3278" s="78" t="str">
        <f>IF(C3278="","",IFERROR(VLOOKUP(C3278,parametros!$A$11:$E$15,5,0),""))</f>
        <v/>
      </c>
      <c r="F3278" s="79" t="str">
        <f t="shared" si="257"/>
        <v/>
      </c>
      <c r="G3278" s="395"/>
      <c r="H3278" s="91">
        <f t="shared" si="258"/>
        <v>0</v>
      </c>
      <c r="I3278" s="91" t="str">
        <f t="shared" si="259"/>
        <v/>
      </c>
      <c r="J3278" s="91" t="str">
        <f t="shared" si="260"/>
        <v/>
      </c>
      <c r="K3278" s="92" t="str">
        <f>IF(AND(A3278="",B3278="",D3278="",G3278=""),"",IF(AND(A3278&lt;&gt;"",COUNTIF($A$2:$A$5001,A3278)&gt;1),"NUMERO_PC duplicado",IF(B3278="","DATA_PC vazia",IF(NOT(ISNUMBER(B3278)),"DATA_PC invalida",IF(OR(C3278="",C3278="Fora dos ciclos"),"CICLO_PC nao identificado",IF(OR(D3278="",D3278=0),"VALOR_PC vazio ou zero",IF(AND(G3278&lt;&gt;"Sim",G3278&lt;&gt;"Nao",G3278&lt;&gt;""),"PC_PAGO_A_CONTRATADA invalido",IF(AND(C3278&lt;&gt;"C0",IFERROR(INDEX(parametros!$A$2:$A$6,MATCH(C3278,parametros!$B$2:$B$6,0)),"")="Sim",IFERROR(INDEX(parametros!$H$2:$H$6,MATCH(C3278,parametros!$B$2:$B$6,0)),"")=""),"INICIO_EFEITO ausente: PC "&amp;A3278&amp;" - "&amp;C3278,IF(L3278="","EFEITO_PC nao calculado: PC "&amp;A3278&amp;" - "&amp;C3278,"OK")))))))))</f>
        <v/>
      </c>
      <c r="L3278" s="92" t="str">
        <f>IF(AND(A3278="",B3278="",D3278="",G3278=""),"",IF(OR(B3278="",NOT(ISNUMBER(B3278)),C3278="",C3278="Fora dos ciclos"),"",IF(C3278="C0","Nao",IF(IFERROR(INDEX(parametros!$A$2:$A$6,MATCH(C3278,parametros!$B$2:$B$6,0)),"")&lt;&gt;"Sim","Nao",IF(IFERROR(INDEX(parametros!$H$2:$H$6,MATCH(C3278,parametros!$B$2:$B$6,0)),"")="","",IF(B3278&gt;=IFERROR(INDEX(parametros!$H$2:$H$6,MATCH(C3278,parametros!$B$2:$B$6,0)),""),"Sim","Nao"))))))</f>
        <v/>
      </c>
      <c r="T3278" s="156"/>
      <c r="U3278" s="214" t="str">
        <f t="shared" si="261"/>
        <v/>
      </c>
      <c r="V3278" s="212" t="s">
        <v>50</v>
      </c>
      <c r="W3278" s="100" t="s">
        <v>168</v>
      </c>
      <c r="X3278" s="100" t="s">
        <v>169</v>
      </c>
      <c r="Y3278" s="101" t="s">
        <v>170</v>
      </c>
      <c r="Z3278" s="101" t="s">
        <v>171</v>
      </c>
      <c r="AA3278" s="101" t="s">
        <v>50</v>
      </c>
      <c r="AB3278" s="101" t="s">
        <v>172</v>
      </c>
      <c r="AC3278" s="102" t="s">
        <v>173</v>
      </c>
    </row>
    <row r="3279" spans="1:29" ht="25.5" customHeight="1" x14ac:dyDescent="0.35">
      <c r="A3279" s="392"/>
      <c r="B3279" s="393"/>
      <c r="C3279" s="99" t="str">
        <f>IF(B3279="","",IF(NOT(ISNUMBER(B3279)),"DATA_PC invalida",IF(NOT(ISNUMBER(parametros!$C$2)),"Fora dos ciclos",IF(OR(B3279&lt;parametros!$C$2,(YEAR(B3279)-YEAR(parametros!$C$2))*12+MONTH(B3279)-MONTH(parametros!$C$2)&gt;59),"Fora dos ciclos","C"&amp;INT(((YEAR(B3279)-YEAR(parametros!$C$2))*12+MONTH(B3279)-MONTH(parametros!$C$2))/12)))))</f>
        <v/>
      </c>
      <c r="D3279" s="394"/>
      <c r="E3279" s="78" t="str">
        <f>IF(C3279="","",IFERROR(VLOOKUP(C3279,parametros!$A$11:$E$15,5,0),""))</f>
        <v/>
      </c>
      <c r="F3279" s="79" t="str">
        <f t="shared" si="257"/>
        <v/>
      </c>
      <c r="G3279" s="395"/>
      <c r="H3279" s="91">
        <f t="shared" si="258"/>
        <v>0</v>
      </c>
      <c r="I3279" s="91" t="str">
        <f t="shared" si="259"/>
        <v/>
      </c>
      <c r="J3279" s="91" t="str">
        <f t="shared" si="260"/>
        <v/>
      </c>
      <c r="K3279" s="92" t="str">
        <f>IF(AND(A3279="",B3279="",D3279="",G3279=""),"",IF(AND(A3279&lt;&gt;"",COUNTIF($A$2:$A$5001,A3279)&gt;1),"NUMERO_PC duplicado",IF(B3279="","DATA_PC vazia",IF(NOT(ISNUMBER(B3279)),"DATA_PC invalida",IF(OR(C3279="",C3279="Fora dos ciclos"),"CICLO_PC nao identificado",IF(OR(D3279="",D3279=0),"VALOR_PC vazio ou zero",IF(AND(G3279&lt;&gt;"Sim",G3279&lt;&gt;"Nao",G3279&lt;&gt;""),"PC_PAGO_A_CONTRATADA invalido",IF(AND(C3279&lt;&gt;"C0",IFERROR(INDEX(parametros!$A$2:$A$6,MATCH(C3279,parametros!$B$2:$B$6,0)),"")="Sim",IFERROR(INDEX(parametros!$H$2:$H$6,MATCH(C3279,parametros!$B$2:$B$6,0)),"")=""),"INICIO_EFEITO ausente: PC "&amp;A3279&amp;" - "&amp;C3279,IF(L3279="","EFEITO_PC nao calculado: PC "&amp;A3279&amp;" - "&amp;C3279,"OK")))))))))</f>
        <v/>
      </c>
      <c r="L3279" s="92" t="str">
        <f>IF(AND(A3279="",B3279="",D3279="",G3279=""),"",IF(OR(B3279="",NOT(ISNUMBER(B3279)),C3279="",C3279="Fora dos ciclos"),"",IF(C3279="C0","Nao",IF(IFERROR(INDEX(parametros!$A$2:$A$6,MATCH(C3279,parametros!$B$2:$B$6,0)),"")&lt;&gt;"Sim","Nao",IF(IFERROR(INDEX(parametros!$H$2:$H$6,MATCH(C3279,parametros!$B$2:$B$6,0)),"")="","",IF(B3279&gt;=IFERROR(INDEX(parametros!$H$2:$H$6,MATCH(C3279,parametros!$B$2:$B$6,0)),""),"Sim","Nao"))))))</f>
        <v/>
      </c>
      <c r="T3279" s="156"/>
      <c r="U3279" s="214" t="str">
        <f t="shared" si="261"/>
        <v/>
      </c>
      <c r="V3279" s="212" t="s">
        <v>50</v>
      </c>
      <c r="W3279" s="100" t="s">
        <v>168</v>
      </c>
      <c r="X3279" s="100" t="s">
        <v>169</v>
      </c>
      <c r="Y3279" s="101" t="s">
        <v>170</v>
      </c>
      <c r="Z3279" s="101" t="s">
        <v>171</v>
      </c>
      <c r="AA3279" s="101" t="s">
        <v>50</v>
      </c>
      <c r="AB3279" s="101" t="s">
        <v>172</v>
      </c>
      <c r="AC3279" s="102" t="s">
        <v>173</v>
      </c>
    </row>
    <row r="3280" spans="1:29" ht="25.5" customHeight="1" x14ac:dyDescent="0.35">
      <c r="A3280" s="392"/>
      <c r="B3280" s="393"/>
      <c r="C3280" s="99" t="str">
        <f>IF(B3280="","",IF(NOT(ISNUMBER(B3280)),"DATA_PC invalida",IF(NOT(ISNUMBER(parametros!$C$2)),"Fora dos ciclos",IF(OR(B3280&lt;parametros!$C$2,(YEAR(B3280)-YEAR(parametros!$C$2))*12+MONTH(B3280)-MONTH(parametros!$C$2)&gt;59),"Fora dos ciclos","C"&amp;INT(((YEAR(B3280)-YEAR(parametros!$C$2))*12+MONTH(B3280)-MONTH(parametros!$C$2))/12)))))</f>
        <v/>
      </c>
      <c r="D3280" s="394"/>
      <c r="E3280" s="78" t="str">
        <f>IF(C3280="","",IFERROR(VLOOKUP(C3280,parametros!$A$11:$E$15,5,0),""))</f>
        <v/>
      </c>
      <c r="F3280" s="79" t="str">
        <f t="shared" si="257"/>
        <v/>
      </c>
      <c r="G3280" s="395"/>
      <c r="H3280" s="91">
        <f t="shared" si="258"/>
        <v>0</v>
      </c>
      <c r="I3280" s="91" t="str">
        <f t="shared" si="259"/>
        <v/>
      </c>
      <c r="J3280" s="91" t="str">
        <f t="shared" si="260"/>
        <v/>
      </c>
      <c r="K3280" s="92" t="str">
        <f>IF(AND(A3280="",B3280="",D3280="",G3280=""),"",IF(AND(A3280&lt;&gt;"",COUNTIF($A$2:$A$5001,A3280)&gt;1),"NUMERO_PC duplicado",IF(B3280="","DATA_PC vazia",IF(NOT(ISNUMBER(B3280)),"DATA_PC invalida",IF(OR(C3280="",C3280="Fora dos ciclos"),"CICLO_PC nao identificado",IF(OR(D3280="",D3280=0),"VALOR_PC vazio ou zero",IF(AND(G3280&lt;&gt;"Sim",G3280&lt;&gt;"Nao",G3280&lt;&gt;""),"PC_PAGO_A_CONTRATADA invalido",IF(AND(C3280&lt;&gt;"C0",IFERROR(INDEX(parametros!$A$2:$A$6,MATCH(C3280,parametros!$B$2:$B$6,0)),"")="Sim",IFERROR(INDEX(parametros!$H$2:$H$6,MATCH(C3280,parametros!$B$2:$B$6,0)),"")=""),"INICIO_EFEITO ausente: PC "&amp;A3280&amp;" - "&amp;C3280,IF(L3280="","EFEITO_PC nao calculado: PC "&amp;A3280&amp;" - "&amp;C3280,"OK")))))))))</f>
        <v/>
      </c>
      <c r="L3280" s="92" t="str">
        <f>IF(AND(A3280="",B3280="",D3280="",G3280=""),"",IF(OR(B3280="",NOT(ISNUMBER(B3280)),C3280="",C3280="Fora dos ciclos"),"",IF(C3280="C0","Nao",IF(IFERROR(INDEX(parametros!$A$2:$A$6,MATCH(C3280,parametros!$B$2:$B$6,0)),"")&lt;&gt;"Sim","Nao",IF(IFERROR(INDEX(parametros!$H$2:$H$6,MATCH(C3280,parametros!$B$2:$B$6,0)),"")="","",IF(B3280&gt;=IFERROR(INDEX(parametros!$H$2:$H$6,MATCH(C3280,parametros!$B$2:$B$6,0)),""),"Sim","Nao"))))))</f>
        <v/>
      </c>
      <c r="T3280" s="156"/>
      <c r="U3280" s="214" t="str">
        <f t="shared" si="261"/>
        <v/>
      </c>
      <c r="V3280" s="212" t="s">
        <v>50</v>
      </c>
      <c r="W3280" s="100" t="s">
        <v>168</v>
      </c>
      <c r="X3280" s="100" t="s">
        <v>169</v>
      </c>
      <c r="Y3280" s="101" t="s">
        <v>170</v>
      </c>
      <c r="Z3280" s="101" t="s">
        <v>171</v>
      </c>
      <c r="AA3280" s="101" t="s">
        <v>50</v>
      </c>
      <c r="AB3280" s="101" t="s">
        <v>172</v>
      </c>
      <c r="AC3280" s="102" t="s">
        <v>173</v>
      </c>
    </row>
    <row r="3281" spans="1:29" ht="25.5" customHeight="1" x14ac:dyDescent="0.35">
      <c r="A3281" s="392"/>
      <c r="B3281" s="393"/>
      <c r="C3281" s="99" t="str">
        <f>IF(B3281="","",IF(NOT(ISNUMBER(B3281)),"DATA_PC invalida",IF(NOT(ISNUMBER(parametros!$C$2)),"Fora dos ciclos",IF(OR(B3281&lt;parametros!$C$2,(YEAR(B3281)-YEAR(parametros!$C$2))*12+MONTH(B3281)-MONTH(parametros!$C$2)&gt;59),"Fora dos ciclos","C"&amp;INT(((YEAR(B3281)-YEAR(parametros!$C$2))*12+MONTH(B3281)-MONTH(parametros!$C$2))/12)))))</f>
        <v/>
      </c>
      <c r="D3281" s="394"/>
      <c r="E3281" s="78" t="str">
        <f>IF(C3281="","",IFERROR(VLOOKUP(C3281,parametros!$A$11:$E$15,5,0),""))</f>
        <v/>
      </c>
      <c r="F3281" s="79" t="str">
        <f t="shared" si="257"/>
        <v/>
      </c>
      <c r="G3281" s="395"/>
      <c r="H3281" s="91">
        <f t="shared" si="258"/>
        <v>0</v>
      </c>
      <c r="I3281" s="91" t="str">
        <f t="shared" si="259"/>
        <v/>
      </c>
      <c r="J3281" s="91" t="str">
        <f t="shared" si="260"/>
        <v/>
      </c>
      <c r="K3281" s="92" t="str">
        <f>IF(AND(A3281="",B3281="",D3281="",G3281=""),"",IF(AND(A3281&lt;&gt;"",COUNTIF($A$2:$A$5001,A3281)&gt;1),"NUMERO_PC duplicado",IF(B3281="","DATA_PC vazia",IF(NOT(ISNUMBER(B3281)),"DATA_PC invalida",IF(OR(C3281="",C3281="Fora dos ciclos"),"CICLO_PC nao identificado",IF(OR(D3281="",D3281=0),"VALOR_PC vazio ou zero",IF(AND(G3281&lt;&gt;"Sim",G3281&lt;&gt;"Nao",G3281&lt;&gt;""),"PC_PAGO_A_CONTRATADA invalido",IF(AND(C3281&lt;&gt;"C0",IFERROR(INDEX(parametros!$A$2:$A$6,MATCH(C3281,parametros!$B$2:$B$6,0)),"")="Sim",IFERROR(INDEX(parametros!$H$2:$H$6,MATCH(C3281,parametros!$B$2:$B$6,0)),"")=""),"INICIO_EFEITO ausente: PC "&amp;A3281&amp;" - "&amp;C3281,IF(L3281="","EFEITO_PC nao calculado: PC "&amp;A3281&amp;" - "&amp;C3281,"OK")))))))))</f>
        <v/>
      </c>
      <c r="L3281" s="92" t="str">
        <f>IF(AND(A3281="",B3281="",D3281="",G3281=""),"",IF(OR(B3281="",NOT(ISNUMBER(B3281)),C3281="",C3281="Fora dos ciclos"),"",IF(C3281="C0","Nao",IF(IFERROR(INDEX(parametros!$A$2:$A$6,MATCH(C3281,parametros!$B$2:$B$6,0)),"")&lt;&gt;"Sim","Nao",IF(IFERROR(INDEX(parametros!$H$2:$H$6,MATCH(C3281,parametros!$B$2:$B$6,0)),"")="","",IF(B3281&gt;=IFERROR(INDEX(parametros!$H$2:$H$6,MATCH(C3281,parametros!$B$2:$B$6,0)),""),"Sim","Nao"))))))</f>
        <v/>
      </c>
      <c r="T3281" s="156"/>
      <c r="U3281" s="214" t="str">
        <f t="shared" si="261"/>
        <v/>
      </c>
      <c r="V3281" s="212" t="s">
        <v>50</v>
      </c>
      <c r="W3281" s="100" t="s">
        <v>168</v>
      </c>
      <c r="X3281" s="100" t="s">
        <v>169</v>
      </c>
      <c r="Y3281" s="101" t="s">
        <v>170</v>
      </c>
      <c r="Z3281" s="101" t="s">
        <v>171</v>
      </c>
      <c r="AA3281" s="101" t="s">
        <v>50</v>
      </c>
      <c r="AB3281" s="101" t="s">
        <v>172</v>
      </c>
      <c r="AC3281" s="102" t="s">
        <v>173</v>
      </c>
    </row>
    <row r="3282" spans="1:29" ht="25.5" customHeight="1" x14ac:dyDescent="0.35">
      <c r="A3282" s="392"/>
      <c r="B3282" s="393"/>
      <c r="C3282" s="99" t="str">
        <f>IF(B3282="","",IF(NOT(ISNUMBER(B3282)),"DATA_PC invalida",IF(NOT(ISNUMBER(parametros!$C$2)),"Fora dos ciclos",IF(OR(B3282&lt;parametros!$C$2,(YEAR(B3282)-YEAR(parametros!$C$2))*12+MONTH(B3282)-MONTH(parametros!$C$2)&gt;59),"Fora dos ciclos","C"&amp;INT(((YEAR(B3282)-YEAR(parametros!$C$2))*12+MONTH(B3282)-MONTH(parametros!$C$2))/12)))))</f>
        <v/>
      </c>
      <c r="D3282" s="394"/>
      <c r="E3282" s="78" t="str">
        <f>IF(C3282="","",IFERROR(VLOOKUP(C3282,parametros!$A$11:$E$15,5,0),""))</f>
        <v/>
      </c>
      <c r="F3282" s="79" t="str">
        <f t="shared" si="257"/>
        <v/>
      </c>
      <c r="G3282" s="395"/>
      <c r="H3282" s="91">
        <f t="shared" si="258"/>
        <v>0</v>
      </c>
      <c r="I3282" s="91" t="str">
        <f t="shared" si="259"/>
        <v/>
      </c>
      <c r="J3282" s="91" t="str">
        <f t="shared" si="260"/>
        <v/>
      </c>
      <c r="K3282" s="92" t="str">
        <f>IF(AND(A3282="",B3282="",D3282="",G3282=""),"",IF(AND(A3282&lt;&gt;"",COUNTIF($A$2:$A$5001,A3282)&gt;1),"NUMERO_PC duplicado",IF(B3282="","DATA_PC vazia",IF(NOT(ISNUMBER(B3282)),"DATA_PC invalida",IF(OR(C3282="",C3282="Fora dos ciclos"),"CICLO_PC nao identificado",IF(OR(D3282="",D3282=0),"VALOR_PC vazio ou zero",IF(AND(G3282&lt;&gt;"Sim",G3282&lt;&gt;"Nao",G3282&lt;&gt;""),"PC_PAGO_A_CONTRATADA invalido",IF(AND(C3282&lt;&gt;"C0",IFERROR(INDEX(parametros!$A$2:$A$6,MATCH(C3282,parametros!$B$2:$B$6,0)),"")="Sim",IFERROR(INDEX(parametros!$H$2:$H$6,MATCH(C3282,parametros!$B$2:$B$6,0)),"")=""),"INICIO_EFEITO ausente: PC "&amp;A3282&amp;" - "&amp;C3282,IF(L3282="","EFEITO_PC nao calculado: PC "&amp;A3282&amp;" - "&amp;C3282,"OK")))))))))</f>
        <v/>
      </c>
      <c r="L3282" s="92" t="str">
        <f>IF(AND(A3282="",B3282="",D3282="",G3282=""),"",IF(OR(B3282="",NOT(ISNUMBER(B3282)),C3282="",C3282="Fora dos ciclos"),"",IF(C3282="C0","Nao",IF(IFERROR(INDEX(parametros!$A$2:$A$6,MATCH(C3282,parametros!$B$2:$B$6,0)),"")&lt;&gt;"Sim","Nao",IF(IFERROR(INDEX(parametros!$H$2:$H$6,MATCH(C3282,parametros!$B$2:$B$6,0)),"")="","",IF(B3282&gt;=IFERROR(INDEX(parametros!$H$2:$H$6,MATCH(C3282,parametros!$B$2:$B$6,0)),""),"Sim","Nao"))))))</f>
        <v/>
      </c>
      <c r="T3282" s="156"/>
      <c r="U3282" s="214" t="str">
        <f t="shared" si="261"/>
        <v/>
      </c>
      <c r="V3282" s="212" t="s">
        <v>50</v>
      </c>
      <c r="W3282" s="100" t="s">
        <v>168</v>
      </c>
      <c r="X3282" s="100" t="s">
        <v>169</v>
      </c>
      <c r="Y3282" s="101" t="s">
        <v>170</v>
      </c>
      <c r="Z3282" s="101" t="s">
        <v>171</v>
      </c>
      <c r="AA3282" s="101" t="s">
        <v>50</v>
      </c>
      <c r="AB3282" s="101" t="s">
        <v>172</v>
      </c>
      <c r="AC3282" s="102" t="s">
        <v>173</v>
      </c>
    </row>
    <row r="3283" spans="1:29" ht="25.5" customHeight="1" x14ac:dyDescent="0.35">
      <c r="A3283" s="392"/>
      <c r="B3283" s="393"/>
      <c r="C3283" s="99" t="str">
        <f>IF(B3283="","",IF(NOT(ISNUMBER(B3283)),"DATA_PC invalida",IF(NOT(ISNUMBER(parametros!$C$2)),"Fora dos ciclos",IF(OR(B3283&lt;parametros!$C$2,(YEAR(B3283)-YEAR(parametros!$C$2))*12+MONTH(B3283)-MONTH(parametros!$C$2)&gt;59),"Fora dos ciclos","C"&amp;INT(((YEAR(B3283)-YEAR(parametros!$C$2))*12+MONTH(B3283)-MONTH(parametros!$C$2))/12)))))</f>
        <v/>
      </c>
      <c r="D3283" s="394"/>
      <c r="E3283" s="78" t="str">
        <f>IF(C3283="","",IFERROR(VLOOKUP(C3283,parametros!$A$11:$E$15,5,0),""))</f>
        <v/>
      </c>
      <c r="F3283" s="79" t="str">
        <f t="shared" si="257"/>
        <v/>
      </c>
      <c r="G3283" s="395"/>
      <c r="H3283" s="91">
        <f t="shared" si="258"/>
        <v>0</v>
      </c>
      <c r="I3283" s="91" t="str">
        <f t="shared" si="259"/>
        <v/>
      </c>
      <c r="J3283" s="91" t="str">
        <f t="shared" si="260"/>
        <v/>
      </c>
      <c r="K3283" s="92" t="str">
        <f>IF(AND(A3283="",B3283="",D3283="",G3283=""),"",IF(AND(A3283&lt;&gt;"",COUNTIF($A$2:$A$5001,A3283)&gt;1),"NUMERO_PC duplicado",IF(B3283="","DATA_PC vazia",IF(NOT(ISNUMBER(B3283)),"DATA_PC invalida",IF(OR(C3283="",C3283="Fora dos ciclos"),"CICLO_PC nao identificado",IF(OR(D3283="",D3283=0),"VALOR_PC vazio ou zero",IF(AND(G3283&lt;&gt;"Sim",G3283&lt;&gt;"Nao",G3283&lt;&gt;""),"PC_PAGO_A_CONTRATADA invalido",IF(AND(C3283&lt;&gt;"C0",IFERROR(INDEX(parametros!$A$2:$A$6,MATCH(C3283,parametros!$B$2:$B$6,0)),"")="Sim",IFERROR(INDEX(parametros!$H$2:$H$6,MATCH(C3283,parametros!$B$2:$B$6,0)),"")=""),"INICIO_EFEITO ausente: PC "&amp;A3283&amp;" - "&amp;C3283,IF(L3283="","EFEITO_PC nao calculado: PC "&amp;A3283&amp;" - "&amp;C3283,"OK")))))))))</f>
        <v/>
      </c>
      <c r="L3283" s="92" t="str">
        <f>IF(AND(A3283="",B3283="",D3283="",G3283=""),"",IF(OR(B3283="",NOT(ISNUMBER(B3283)),C3283="",C3283="Fora dos ciclos"),"",IF(C3283="C0","Nao",IF(IFERROR(INDEX(parametros!$A$2:$A$6,MATCH(C3283,parametros!$B$2:$B$6,0)),"")&lt;&gt;"Sim","Nao",IF(IFERROR(INDEX(parametros!$H$2:$H$6,MATCH(C3283,parametros!$B$2:$B$6,0)),"")="","",IF(B3283&gt;=IFERROR(INDEX(parametros!$H$2:$H$6,MATCH(C3283,parametros!$B$2:$B$6,0)),""),"Sim","Nao"))))))</f>
        <v/>
      </c>
      <c r="T3283" s="156"/>
      <c r="U3283" s="214" t="str">
        <f t="shared" si="261"/>
        <v/>
      </c>
      <c r="V3283" s="212" t="s">
        <v>50</v>
      </c>
      <c r="W3283" s="100" t="s">
        <v>168</v>
      </c>
      <c r="X3283" s="100" t="s">
        <v>169</v>
      </c>
      <c r="Y3283" s="101" t="s">
        <v>170</v>
      </c>
      <c r="Z3283" s="101" t="s">
        <v>171</v>
      </c>
      <c r="AA3283" s="101" t="s">
        <v>50</v>
      </c>
      <c r="AB3283" s="101" t="s">
        <v>172</v>
      </c>
      <c r="AC3283" s="102" t="s">
        <v>173</v>
      </c>
    </row>
    <row r="3284" spans="1:29" ht="25.5" customHeight="1" x14ac:dyDescent="0.35">
      <c r="A3284" s="392"/>
      <c r="B3284" s="393"/>
      <c r="C3284" s="99" t="str">
        <f>IF(B3284="","",IF(NOT(ISNUMBER(B3284)),"DATA_PC invalida",IF(NOT(ISNUMBER(parametros!$C$2)),"Fora dos ciclos",IF(OR(B3284&lt;parametros!$C$2,(YEAR(B3284)-YEAR(parametros!$C$2))*12+MONTH(B3284)-MONTH(parametros!$C$2)&gt;59),"Fora dos ciclos","C"&amp;INT(((YEAR(B3284)-YEAR(parametros!$C$2))*12+MONTH(B3284)-MONTH(parametros!$C$2))/12)))))</f>
        <v/>
      </c>
      <c r="D3284" s="394"/>
      <c r="E3284" s="78" t="str">
        <f>IF(C3284="","",IFERROR(VLOOKUP(C3284,parametros!$A$11:$E$15,5,0),""))</f>
        <v/>
      </c>
      <c r="F3284" s="79" t="str">
        <f t="shared" si="257"/>
        <v/>
      </c>
      <c r="G3284" s="395"/>
      <c r="H3284" s="91">
        <f t="shared" si="258"/>
        <v>0</v>
      </c>
      <c r="I3284" s="91" t="str">
        <f t="shared" si="259"/>
        <v/>
      </c>
      <c r="J3284" s="91" t="str">
        <f t="shared" si="260"/>
        <v/>
      </c>
      <c r="K3284" s="92" t="str">
        <f>IF(AND(A3284="",B3284="",D3284="",G3284=""),"",IF(AND(A3284&lt;&gt;"",COUNTIF($A$2:$A$5001,A3284)&gt;1),"NUMERO_PC duplicado",IF(B3284="","DATA_PC vazia",IF(NOT(ISNUMBER(B3284)),"DATA_PC invalida",IF(OR(C3284="",C3284="Fora dos ciclos"),"CICLO_PC nao identificado",IF(OR(D3284="",D3284=0),"VALOR_PC vazio ou zero",IF(AND(G3284&lt;&gt;"Sim",G3284&lt;&gt;"Nao",G3284&lt;&gt;""),"PC_PAGO_A_CONTRATADA invalido",IF(AND(C3284&lt;&gt;"C0",IFERROR(INDEX(parametros!$A$2:$A$6,MATCH(C3284,parametros!$B$2:$B$6,0)),"")="Sim",IFERROR(INDEX(parametros!$H$2:$H$6,MATCH(C3284,parametros!$B$2:$B$6,0)),"")=""),"INICIO_EFEITO ausente: PC "&amp;A3284&amp;" - "&amp;C3284,IF(L3284="","EFEITO_PC nao calculado: PC "&amp;A3284&amp;" - "&amp;C3284,"OK")))))))))</f>
        <v/>
      </c>
      <c r="L3284" s="92" t="str">
        <f>IF(AND(A3284="",B3284="",D3284="",G3284=""),"",IF(OR(B3284="",NOT(ISNUMBER(B3284)),C3284="",C3284="Fora dos ciclos"),"",IF(C3284="C0","Nao",IF(IFERROR(INDEX(parametros!$A$2:$A$6,MATCH(C3284,parametros!$B$2:$B$6,0)),"")&lt;&gt;"Sim","Nao",IF(IFERROR(INDEX(parametros!$H$2:$H$6,MATCH(C3284,parametros!$B$2:$B$6,0)),"")="","",IF(B3284&gt;=IFERROR(INDEX(parametros!$H$2:$H$6,MATCH(C3284,parametros!$B$2:$B$6,0)),""),"Sim","Nao"))))))</f>
        <v/>
      </c>
      <c r="T3284" s="156"/>
      <c r="U3284" s="214" t="str">
        <f t="shared" si="261"/>
        <v/>
      </c>
      <c r="V3284" s="212" t="s">
        <v>50</v>
      </c>
      <c r="W3284" s="100" t="s">
        <v>168</v>
      </c>
      <c r="X3284" s="100" t="s">
        <v>169</v>
      </c>
      <c r="Y3284" s="101" t="s">
        <v>170</v>
      </c>
      <c r="Z3284" s="101" t="s">
        <v>171</v>
      </c>
      <c r="AA3284" s="101" t="s">
        <v>50</v>
      </c>
      <c r="AB3284" s="101" t="s">
        <v>172</v>
      </c>
      <c r="AC3284" s="102" t="s">
        <v>173</v>
      </c>
    </row>
    <row r="3285" spans="1:29" ht="25.5" customHeight="1" x14ac:dyDescent="0.35">
      <c r="A3285" s="392"/>
      <c r="B3285" s="393"/>
      <c r="C3285" s="99" t="str">
        <f>IF(B3285="","",IF(NOT(ISNUMBER(B3285)),"DATA_PC invalida",IF(NOT(ISNUMBER(parametros!$C$2)),"Fora dos ciclos",IF(OR(B3285&lt;parametros!$C$2,(YEAR(B3285)-YEAR(parametros!$C$2))*12+MONTH(B3285)-MONTH(parametros!$C$2)&gt;59),"Fora dos ciclos","C"&amp;INT(((YEAR(B3285)-YEAR(parametros!$C$2))*12+MONTH(B3285)-MONTH(parametros!$C$2))/12)))))</f>
        <v/>
      </c>
      <c r="D3285" s="394"/>
      <c r="E3285" s="78" t="str">
        <f>IF(C3285="","",IFERROR(VLOOKUP(C3285,parametros!$A$11:$E$15,5,0),""))</f>
        <v/>
      </c>
      <c r="F3285" s="79" t="str">
        <f t="shared" si="257"/>
        <v/>
      </c>
      <c r="G3285" s="395"/>
      <c r="H3285" s="91">
        <f t="shared" si="258"/>
        <v>0</v>
      </c>
      <c r="I3285" s="91" t="str">
        <f t="shared" si="259"/>
        <v/>
      </c>
      <c r="J3285" s="91" t="str">
        <f t="shared" si="260"/>
        <v/>
      </c>
      <c r="K3285" s="92" t="str">
        <f>IF(AND(A3285="",B3285="",D3285="",G3285=""),"",IF(AND(A3285&lt;&gt;"",COUNTIF($A$2:$A$5001,A3285)&gt;1),"NUMERO_PC duplicado",IF(B3285="","DATA_PC vazia",IF(NOT(ISNUMBER(B3285)),"DATA_PC invalida",IF(OR(C3285="",C3285="Fora dos ciclos"),"CICLO_PC nao identificado",IF(OR(D3285="",D3285=0),"VALOR_PC vazio ou zero",IF(AND(G3285&lt;&gt;"Sim",G3285&lt;&gt;"Nao",G3285&lt;&gt;""),"PC_PAGO_A_CONTRATADA invalido",IF(AND(C3285&lt;&gt;"C0",IFERROR(INDEX(parametros!$A$2:$A$6,MATCH(C3285,parametros!$B$2:$B$6,0)),"")="Sim",IFERROR(INDEX(parametros!$H$2:$H$6,MATCH(C3285,parametros!$B$2:$B$6,0)),"")=""),"INICIO_EFEITO ausente: PC "&amp;A3285&amp;" - "&amp;C3285,IF(L3285="","EFEITO_PC nao calculado: PC "&amp;A3285&amp;" - "&amp;C3285,"OK")))))))))</f>
        <v/>
      </c>
      <c r="L3285" s="92" t="str">
        <f>IF(AND(A3285="",B3285="",D3285="",G3285=""),"",IF(OR(B3285="",NOT(ISNUMBER(B3285)),C3285="",C3285="Fora dos ciclos"),"",IF(C3285="C0","Nao",IF(IFERROR(INDEX(parametros!$A$2:$A$6,MATCH(C3285,parametros!$B$2:$B$6,0)),"")&lt;&gt;"Sim","Nao",IF(IFERROR(INDEX(parametros!$H$2:$H$6,MATCH(C3285,parametros!$B$2:$B$6,0)),"")="","",IF(B3285&gt;=IFERROR(INDEX(parametros!$H$2:$H$6,MATCH(C3285,parametros!$B$2:$B$6,0)),""),"Sim","Nao"))))))</f>
        <v/>
      </c>
      <c r="T3285" s="156"/>
      <c r="U3285" s="214" t="str">
        <f t="shared" si="261"/>
        <v/>
      </c>
      <c r="V3285" s="212" t="s">
        <v>50</v>
      </c>
      <c r="W3285" s="100" t="s">
        <v>168</v>
      </c>
      <c r="X3285" s="100" t="s">
        <v>169</v>
      </c>
      <c r="Y3285" s="101" t="s">
        <v>170</v>
      </c>
      <c r="Z3285" s="101" t="s">
        <v>171</v>
      </c>
      <c r="AA3285" s="101" t="s">
        <v>50</v>
      </c>
      <c r="AB3285" s="101" t="s">
        <v>172</v>
      </c>
      <c r="AC3285" s="102" t="s">
        <v>173</v>
      </c>
    </row>
    <row r="3286" spans="1:29" ht="25.5" customHeight="1" x14ac:dyDescent="0.35">
      <c r="A3286" s="392"/>
      <c r="B3286" s="393"/>
      <c r="C3286" s="99" t="str">
        <f>IF(B3286="","",IF(NOT(ISNUMBER(B3286)),"DATA_PC invalida",IF(NOT(ISNUMBER(parametros!$C$2)),"Fora dos ciclos",IF(OR(B3286&lt;parametros!$C$2,(YEAR(B3286)-YEAR(parametros!$C$2))*12+MONTH(B3286)-MONTH(parametros!$C$2)&gt;59),"Fora dos ciclos","C"&amp;INT(((YEAR(B3286)-YEAR(parametros!$C$2))*12+MONTH(B3286)-MONTH(parametros!$C$2))/12)))))</f>
        <v/>
      </c>
      <c r="D3286" s="394"/>
      <c r="E3286" s="78" t="str">
        <f>IF(C3286="","",IFERROR(VLOOKUP(C3286,parametros!$A$11:$E$15,5,0),""))</f>
        <v/>
      </c>
      <c r="F3286" s="79" t="str">
        <f t="shared" si="257"/>
        <v/>
      </c>
      <c r="G3286" s="395"/>
      <c r="H3286" s="91">
        <f t="shared" si="258"/>
        <v>0</v>
      </c>
      <c r="I3286" s="91" t="str">
        <f t="shared" si="259"/>
        <v/>
      </c>
      <c r="J3286" s="91" t="str">
        <f t="shared" si="260"/>
        <v/>
      </c>
      <c r="K3286" s="92" t="str">
        <f>IF(AND(A3286="",B3286="",D3286="",G3286=""),"",IF(AND(A3286&lt;&gt;"",COUNTIF($A$2:$A$5001,A3286)&gt;1),"NUMERO_PC duplicado",IF(B3286="","DATA_PC vazia",IF(NOT(ISNUMBER(B3286)),"DATA_PC invalida",IF(OR(C3286="",C3286="Fora dos ciclos"),"CICLO_PC nao identificado",IF(OR(D3286="",D3286=0),"VALOR_PC vazio ou zero",IF(AND(G3286&lt;&gt;"Sim",G3286&lt;&gt;"Nao",G3286&lt;&gt;""),"PC_PAGO_A_CONTRATADA invalido",IF(AND(C3286&lt;&gt;"C0",IFERROR(INDEX(parametros!$A$2:$A$6,MATCH(C3286,parametros!$B$2:$B$6,0)),"")="Sim",IFERROR(INDEX(parametros!$H$2:$H$6,MATCH(C3286,parametros!$B$2:$B$6,0)),"")=""),"INICIO_EFEITO ausente: PC "&amp;A3286&amp;" - "&amp;C3286,IF(L3286="","EFEITO_PC nao calculado: PC "&amp;A3286&amp;" - "&amp;C3286,"OK")))))))))</f>
        <v/>
      </c>
      <c r="L3286" s="92" t="str">
        <f>IF(AND(A3286="",B3286="",D3286="",G3286=""),"",IF(OR(B3286="",NOT(ISNUMBER(B3286)),C3286="",C3286="Fora dos ciclos"),"",IF(C3286="C0","Nao",IF(IFERROR(INDEX(parametros!$A$2:$A$6,MATCH(C3286,parametros!$B$2:$B$6,0)),"")&lt;&gt;"Sim","Nao",IF(IFERROR(INDEX(parametros!$H$2:$H$6,MATCH(C3286,parametros!$B$2:$B$6,0)),"")="","",IF(B3286&gt;=IFERROR(INDEX(parametros!$H$2:$H$6,MATCH(C3286,parametros!$B$2:$B$6,0)),""),"Sim","Nao"))))))</f>
        <v/>
      </c>
      <c r="T3286" s="156"/>
      <c r="U3286" s="214" t="str">
        <f t="shared" si="261"/>
        <v/>
      </c>
      <c r="V3286" s="212" t="s">
        <v>50</v>
      </c>
      <c r="W3286" s="100" t="s">
        <v>168</v>
      </c>
      <c r="X3286" s="100" t="s">
        <v>169</v>
      </c>
      <c r="Y3286" s="101" t="s">
        <v>170</v>
      </c>
      <c r="Z3286" s="101" t="s">
        <v>171</v>
      </c>
      <c r="AA3286" s="101" t="s">
        <v>50</v>
      </c>
      <c r="AB3286" s="101" t="s">
        <v>172</v>
      </c>
      <c r="AC3286" s="102" t="s">
        <v>173</v>
      </c>
    </row>
    <row r="3287" spans="1:29" ht="25.5" customHeight="1" x14ac:dyDescent="0.35">
      <c r="A3287" s="392"/>
      <c r="B3287" s="393"/>
      <c r="C3287" s="99" t="str">
        <f>IF(B3287="","",IF(NOT(ISNUMBER(B3287)),"DATA_PC invalida",IF(NOT(ISNUMBER(parametros!$C$2)),"Fora dos ciclos",IF(OR(B3287&lt;parametros!$C$2,(YEAR(B3287)-YEAR(parametros!$C$2))*12+MONTH(B3287)-MONTH(parametros!$C$2)&gt;59),"Fora dos ciclos","C"&amp;INT(((YEAR(B3287)-YEAR(parametros!$C$2))*12+MONTH(B3287)-MONTH(parametros!$C$2))/12)))))</f>
        <v/>
      </c>
      <c r="D3287" s="394"/>
      <c r="E3287" s="78" t="str">
        <f>IF(C3287="","",IFERROR(VLOOKUP(C3287,parametros!$A$11:$E$15,5,0),""))</f>
        <v/>
      </c>
      <c r="F3287" s="79" t="str">
        <f t="shared" si="257"/>
        <v/>
      </c>
      <c r="G3287" s="395"/>
      <c r="H3287" s="91">
        <f t="shared" si="258"/>
        <v>0</v>
      </c>
      <c r="I3287" s="91" t="str">
        <f t="shared" si="259"/>
        <v/>
      </c>
      <c r="J3287" s="91" t="str">
        <f t="shared" si="260"/>
        <v/>
      </c>
      <c r="K3287" s="92" t="str">
        <f>IF(AND(A3287="",B3287="",D3287="",G3287=""),"",IF(AND(A3287&lt;&gt;"",COUNTIF($A$2:$A$5001,A3287)&gt;1),"NUMERO_PC duplicado",IF(B3287="","DATA_PC vazia",IF(NOT(ISNUMBER(B3287)),"DATA_PC invalida",IF(OR(C3287="",C3287="Fora dos ciclos"),"CICLO_PC nao identificado",IF(OR(D3287="",D3287=0),"VALOR_PC vazio ou zero",IF(AND(G3287&lt;&gt;"Sim",G3287&lt;&gt;"Nao",G3287&lt;&gt;""),"PC_PAGO_A_CONTRATADA invalido",IF(AND(C3287&lt;&gt;"C0",IFERROR(INDEX(parametros!$A$2:$A$6,MATCH(C3287,parametros!$B$2:$B$6,0)),"")="Sim",IFERROR(INDEX(parametros!$H$2:$H$6,MATCH(C3287,parametros!$B$2:$B$6,0)),"")=""),"INICIO_EFEITO ausente: PC "&amp;A3287&amp;" - "&amp;C3287,IF(L3287="","EFEITO_PC nao calculado: PC "&amp;A3287&amp;" - "&amp;C3287,"OK")))))))))</f>
        <v/>
      </c>
      <c r="L3287" s="92" t="str">
        <f>IF(AND(A3287="",B3287="",D3287="",G3287=""),"",IF(OR(B3287="",NOT(ISNUMBER(B3287)),C3287="",C3287="Fora dos ciclos"),"",IF(C3287="C0","Nao",IF(IFERROR(INDEX(parametros!$A$2:$A$6,MATCH(C3287,parametros!$B$2:$B$6,0)),"")&lt;&gt;"Sim","Nao",IF(IFERROR(INDEX(parametros!$H$2:$H$6,MATCH(C3287,parametros!$B$2:$B$6,0)),"")="","",IF(B3287&gt;=IFERROR(INDEX(parametros!$H$2:$H$6,MATCH(C3287,parametros!$B$2:$B$6,0)),""),"Sim","Nao"))))))</f>
        <v/>
      </c>
      <c r="T3287" s="156"/>
      <c r="U3287" s="214" t="str">
        <f t="shared" si="261"/>
        <v/>
      </c>
      <c r="V3287" s="212" t="s">
        <v>50</v>
      </c>
      <c r="W3287" s="100" t="s">
        <v>168</v>
      </c>
      <c r="X3287" s="100" t="s">
        <v>169</v>
      </c>
      <c r="Y3287" s="101" t="s">
        <v>170</v>
      </c>
      <c r="Z3287" s="101" t="s">
        <v>171</v>
      </c>
      <c r="AA3287" s="101" t="s">
        <v>50</v>
      </c>
      <c r="AB3287" s="101" t="s">
        <v>172</v>
      </c>
      <c r="AC3287" s="102" t="s">
        <v>173</v>
      </c>
    </row>
    <row r="3288" spans="1:29" ht="25.5" customHeight="1" x14ac:dyDescent="0.35">
      <c r="A3288" s="392"/>
      <c r="B3288" s="393"/>
      <c r="C3288" s="99" t="str">
        <f>IF(B3288="","",IF(NOT(ISNUMBER(B3288)),"DATA_PC invalida",IF(NOT(ISNUMBER(parametros!$C$2)),"Fora dos ciclos",IF(OR(B3288&lt;parametros!$C$2,(YEAR(B3288)-YEAR(parametros!$C$2))*12+MONTH(B3288)-MONTH(parametros!$C$2)&gt;59),"Fora dos ciclos","C"&amp;INT(((YEAR(B3288)-YEAR(parametros!$C$2))*12+MONTH(B3288)-MONTH(parametros!$C$2))/12)))))</f>
        <v/>
      </c>
      <c r="D3288" s="394"/>
      <c r="E3288" s="78" t="str">
        <f>IF(C3288="","",IFERROR(VLOOKUP(C3288,parametros!$A$11:$E$15,5,0),""))</f>
        <v/>
      </c>
      <c r="F3288" s="79" t="str">
        <f t="shared" si="257"/>
        <v/>
      </c>
      <c r="G3288" s="395"/>
      <c r="H3288" s="91">
        <f t="shared" si="258"/>
        <v>0</v>
      </c>
      <c r="I3288" s="91" t="str">
        <f t="shared" si="259"/>
        <v/>
      </c>
      <c r="J3288" s="91" t="str">
        <f t="shared" si="260"/>
        <v/>
      </c>
      <c r="K3288" s="92" t="str">
        <f>IF(AND(A3288="",B3288="",D3288="",G3288=""),"",IF(AND(A3288&lt;&gt;"",COUNTIF($A$2:$A$5001,A3288)&gt;1),"NUMERO_PC duplicado",IF(B3288="","DATA_PC vazia",IF(NOT(ISNUMBER(B3288)),"DATA_PC invalida",IF(OR(C3288="",C3288="Fora dos ciclos"),"CICLO_PC nao identificado",IF(OR(D3288="",D3288=0),"VALOR_PC vazio ou zero",IF(AND(G3288&lt;&gt;"Sim",G3288&lt;&gt;"Nao",G3288&lt;&gt;""),"PC_PAGO_A_CONTRATADA invalido",IF(AND(C3288&lt;&gt;"C0",IFERROR(INDEX(parametros!$A$2:$A$6,MATCH(C3288,parametros!$B$2:$B$6,0)),"")="Sim",IFERROR(INDEX(parametros!$H$2:$H$6,MATCH(C3288,parametros!$B$2:$B$6,0)),"")=""),"INICIO_EFEITO ausente: PC "&amp;A3288&amp;" - "&amp;C3288,IF(L3288="","EFEITO_PC nao calculado: PC "&amp;A3288&amp;" - "&amp;C3288,"OK")))))))))</f>
        <v/>
      </c>
      <c r="L3288" s="92" t="str">
        <f>IF(AND(A3288="",B3288="",D3288="",G3288=""),"",IF(OR(B3288="",NOT(ISNUMBER(B3288)),C3288="",C3288="Fora dos ciclos"),"",IF(C3288="C0","Nao",IF(IFERROR(INDEX(parametros!$A$2:$A$6,MATCH(C3288,parametros!$B$2:$B$6,0)),"")&lt;&gt;"Sim","Nao",IF(IFERROR(INDEX(parametros!$H$2:$H$6,MATCH(C3288,parametros!$B$2:$B$6,0)),"")="","",IF(B3288&gt;=IFERROR(INDEX(parametros!$H$2:$H$6,MATCH(C3288,parametros!$B$2:$B$6,0)),""),"Sim","Nao"))))))</f>
        <v/>
      </c>
      <c r="T3288" s="156"/>
      <c r="U3288" s="214" t="str">
        <f t="shared" si="261"/>
        <v/>
      </c>
      <c r="V3288" s="212" t="s">
        <v>50</v>
      </c>
      <c r="W3288" s="100" t="s">
        <v>168</v>
      </c>
      <c r="X3288" s="100" t="s">
        <v>169</v>
      </c>
      <c r="Y3288" s="101" t="s">
        <v>170</v>
      </c>
      <c r="Z3288" s="101" t="s">
        <v>171</v>
      </c>
      <c r="AA3288" s="101" t="s">
        <v>50</v>
      </c>
      <c r="AB3288" s="101" t="s">
        <v>172</v>
      </c>
      <c r="AC3288" s="102" t="s">
        <v>173</v>
      </c>
    </row>
    <row r="3289" spans="1:29" ht="25.5" customHeight="1" x14ac:dyDescent="0.35">
      <c r="A3289" s="392"/>
      <c r="B3289" s="393"/>
      <c r="C3289" s="99" t="str">
        <f>IF(B3289="","",IF(NOT(ISNUMBER(B3289)),"DATA_PC invalida",IF(NOT(ISNUMBER(parametros!$C$2)),"Fora dos ciclos",IF(OR(B3289&lt;parametros!$C$2,(YEAR(B3289)-YEAR(parametros!$C$2))*12+MONTH(B3289)-MONTH(parametros!$C$2)&gt;59),"Fora dos ciclos","C"&amp;INT(((YEAR(B3289)-YEAR(parametros!$C$2))*12+MONTH(B3289)-MONTH(parametros!$C$2))/12)))))</f>
        <v/>
      </c>
      <c r="D3289" s="394"/>
      <c r="E3289" s="78" t="str">
        <f>IF(C3289="","",IFERROR(VLOOKUP(C3289,parametros!$A$11:$E$15,5,0),""))</f>
        <v/>
      </c>
      <c r="F3289" s="79" t="str">
        <f t="shared" si="257"/>
        <v/>
      </c>
      <c r="G3289" s="395"/>
      <c r="H3289" s="91">
        <f t="shared" si="258"/>
        <v>0</v>
      </c>
      <c r="I3289" s="91" t="str">
        <f t="shared" si="259"/>
        <v/>
      </c>
      <c r="J3289" s="91" t="str">
        <f t="shared" si="260"/>
        <v/>
      </c>
      <c r="K3289" s="92" t="str">
        <f>IF(AND(A3289="",B3289="",D3289="",G3289=""),"",IF(AND(A3289&lt;&gt;"",COUNTIF($A$2:$A$5001,A3289)&gt;1),"NUMERO_PC duplicado",IF(B3289="","DATA_PC vazia",IF(NOT(ISNUMBER(B3289)),"DATA_PC invalida",IF(OR(C3289="",C3289="Fora dos ciclos"),"CICLO_PC nao identificado",IF(OR(D3289="",D3289=0),"VALOR_PC vazio ou zero",IF(AND(G3289&lt;&gt;"Sim",G3289&lt;&gt;"Nao",G3289&lt;&gt;""),"PC_PAGO_A_CONTRATADA invalido",IF(AND(C3289&lt;&gt;"C0",IFERROR(INDEX(parametros!$A$2:$A$6,MATCH(C3289,parametros!$B$2:$B$6,0)),"")="Sim",IFERROR(INDEX(parametros!$H$2:$H$6,MATCH(C3289,parametros!$B$2:$B$6,0)),"")=""),"INICIO_EFEITO ausente: PC "&amp;A3289&amp;" - "&amp;C3289,IF(L3289="","EFEITO_PC nao calculado: PC "&amp;A3289&amp;" - "&amp;C3289,"OK")))))))))</f>
        <v/>
      </c>
      <c r="L3289" s="92" t="str">
        <f>IF(AND(A3289="",B3289="",D3289="",G3289=""),"",IF(OR(B3289="",NOT(ISNUMBER(B3289)),C3289="",C3289="Fora dos ciclos"),"",IF(C3289="C0","Nao",IF(IFERROR(INDEX(parametros!$A$2:$A$6,MATCH(C3289,parametros!$B$2:$B$6,0)),"")&lt;&gt;"Sim","Nao",IF(IFERROR(INDEX(parametros!$H$2:$H$6,MATCH(C3289,parametros!$B$2:$B$6,0)),"")="","",IF(B3289&gt;=IFERROR(INDEX(parametros!$H$2:$H$6,MATCH(C3289,parametros!$B$2:$B$6,0)),""),"Sim","Nao"))))))</f>
        <v/>
      </c>
      <c r="T3289" s="156"/>
      <c r="U3289" s="214" t="str">
        <f t="shared" si="261"/>
        <v/>
      </c>
      <c r="V3289" s="212" t="s">
        <v>50</v>
      </c>
      <c r="W3289" s="100" t="s">
        <v>168</v>
      </c>
      <c r="X3289" s="100" t="s">
        <v>169</v>
      </c>
      <c r="Y3289" s="101" t="s">
        <v>170</v>
      </c>
      <c r="Z3289" s="101" t="s">
        <v>171</v>
      </c>
      <c r="AA3289" s="101" t="s">
        <v>50</v>
      </c>
      <c r="AB3289" s="101" t="s">
        <v>172</v>
      </c>
      <c r="AC3289" s="102" t="s">
        <v>173</v>
      </c>
    </row>
    <row r="3290" spans="1:29" ht="25.5" customHeight="1" x14ac:dyDescent="0.35">
      <c r="A3290" s="392"/>
      <c r="B3290" s="393"/>
      <c r="C3290" s="99" t="str">
        <f>IF(B3290="","",IF(NOT(ISNUMBER(B3290)),"DATA_PC invalida",IF(NOT(ISNUMBER(parametros!$C$2)),"Fora dos ciclos",IF(OR(B3290&lt;parametros!$C$2,(YEAR(B3290)-YEAR(parametros!$C$2))*12+MONTH(B3290)-MONTH(parametros!$C$2)&gt;59),"Fora dos ciclos","C"&amp;INT(((YEAR(B3290)-YEAR(parametros!$C$2))*12+MONTH(B3290)-MONTH(parametros!$C$2))/12)))))</f>
        <v/>
      </c>
      <c r="D3290" s="394"/>
      <c r="E3290" s="78" t="str">
        <f>IF(C3290="","",IFERROR(VLOOKUP(C3290,parametros!$A$11:$E$15,5,0),""))</f>
        <v/>
      </c>
      <c r="F3290" s="79" t="str">
        <f t="shared" si="257"/>
        <v/>
      </c>
      <c r="G3290" s="395"/>
      <c r="H3290" s="91">
        <f t="shared" si="258"/>
        <v>0</v>
      </c>
      <c r="I3290" s="91" t="str">
        <f t="shared" si="259"/>
        <v/>
      </c>
      <c r="J3290" s="91" t="str">
        <f t="shared" si="260"/>
        <v/>
      </c>
      <c r="K3290" s="92" t="str">
        <f>IF(AND(A3290="",B3290="",D3290="",G3290=""),"",IF(AND(A3290&lt;&gt;"",COUNTIF($A$2:$A$5001,A3290)&gt;1),"NUMERO_PC duplicado",IF(B3290="","DATA_PC vazia",IF(NOT(ISNUMBER(B3290)),"DATA_PC invalida",IF(OR(C3290="",C3290="Fora dos ciclos"),"CICLO_PC nao identificado",IF(OR(D3290="",D3290=0),"VALOR_PC vazio ou zero",IF(AND(G3290&lt;&gt;"Sim",G3290&lt;&gt;"Nao",G3290&lt;&gt;""),"PC_PAGO_A_CONTRATADA invalido",IF(AND(C3290&lt;&gt;"C0",IFERROR(INDEX(parametros!$A$2:$A$6,MATCH(C3290,parametros!$B$2:$B$6,0)),"")="Sim",IFERROR(INDEX(parametros!$H$2:$H$6,MATCH(C3290,parametros!$B$2:$B$6,0)),"")=""),"INICIO_EFEITO ausente: PC "&amp;A3290&amp;" - "&amp;C3290,IF(L3290="","EFEITO_PC nao calculado: PC "&amp;A3290&amp;" - "&amp;C3290,"OK")))))))))</f>
        <v/>
      </c>
      <c r="L3290" s="92" t="str">
        <f>IF(AND(A3290="",B3290="",D3290="",G3290=""),"",IF(OR(B3290="",NOT(ISNUMBER(B3290)),C3290="",C3290="Fora dos ciclos"),"",IF(C3290="C0","Nao",IF(IFERROR(INDEX(parametros!$A$2:$A$6,MATCH(C3290,parametros!$B$2:$B$6,0)),"")&lt;&gt;"Sim","Nao",IF(IFERROR(INDEX(parametros!$H$2:$H$6,MATCH(C3290,parametros!$B$2:$B$6,0)),"")="","",IF(B3290&gt;=IFERROR(INDEX(parametros!$H$2:$H$6,MATCH(C3290,parametros!$B$2:$B$6,0)),""),"Sim","Nao"))))))</f>
        <v/>
      </c>
      <c r="T3290" s="156"/>
      <c r="U3290" s="214" t="str">
        <f t="shared" si="261"/>
        <v/>
      </c>
      <c r="V3290" s="212" t="s">
        <v>50</v>
      </c>
      <c r="W3290" s="100" t="s">
        <v>168</v>
      </c>
      <c r="X3290" s="100" t="s">
        <v>169</v>
      </c>
      <c r="Y3290" s="101" t="s">
        <v>170</v>
      </c>
      <c r="Z3290" s="101" t="s">
        <v>171</v>
      </c>
      <c r="AA3290" s="101" t="s">
        <v>50</v>
      </c>
      <c r="AB3290" s="101" t="s">
        <v>172</v>
      </c>
      <c r="AC3290" s="102" t="s">
        <v>173</v>
      </c>
    </row>
    <row r="3291" spans="1:29" ht="25.5" customHeight="1" x14ac:dyDescent="0.35">
      <c r="A3291" s="392"/>
      <c r="B3291" s="393"/>
      <c r="C3291" s="99" t="str">
        <f>IF(B3291="","",IF(NOT(ISNUMBER(B3291)),"DATA_PC invalida",IF(NOT(ISNUMBER(parametros!$C$2)),"Fora dos ciclos",IF(OR(B3291&lt;parametros!$C$2,(YEAR(B3291)-YEAR(parametros!$C$2))*12+MONTH(B3291)-MONTH(parametros!$C$2)&gt;59),"Fora dos ciclos","C"&amp;INT(((YEAR(B3291)-YEAR(parametros!$C$2))*12+MONTH(B3291)-MONTH(parametros!$C$2))/12)))))</f>
        <v/>
      </c>
      <c r="D3291" s="394"/>
      <c r="E3291" s="78" t="str">
        <f>IF(C3291="","",IFERROR(VLOOKUP(C3291,parametros!$A$11:$E$15,5,0),""))</f>
        <v/>
      </c>
      <c r="F3291" s="79" t="str">
        <f t="shared" si="257"/>
        <v/>
      </c>
      <c r="G3291" s="395"/>
      <c r="H3291" s="91">
        <f t="shared" si="258"/>
        <v>0</v>
      </c>
      <c r="I3291" s="91" t="str">
        <f t="shared" si="259"/>
        <v/>
      </c>
      <c r="J3291" s="91" t="str">
        <f t="shared" si="260"/>
        <v/>
      </c>
      <c r="K3291" s="92" t="str">
        <f>IF(AND(A3291="",B3291="",D3291="",G3291=""),"",IF(AND(A3291&lt;&gt;"",COUNTIF($A$2:$A$5001,A3291)&gt;1),"NUMERO_PC duplicado",IF(B3291="","DATA_PC vazia",IF(NOT(ISNUMBER(B3291)),"DATA_PC invalida",IF(OR(C3291="",C3291="Fora dos ciclos"),"CICLO_PC nao identificado",IF(OR(D3291="",D3291=0),"VALOR_PC vazio ou zero",IF(AND(G3291&lt;&gt;"Sim",G3291&lt;&gt;"Nao",G3291&lt;&gt;""),"PC_PAGO_A_CONTRATADA invalido",IF(AND(C3291&lt;&gt;"C0",IFERROR(INDEX(parametros!$A$2:$A$6,MATCH(C3291,parametros!$B$2:$B$6,0)),"")="Sim",IFERROR(INDEX(parametros!$H$2:$H$6,MATCH(C3291,parametros!$B$2:$B$6,0)),"")=""),"INICIO_EFEITO ausente: PC "&amp;A3291&amp;" - "&amp;C3291,IF(L3291="","EFEITO_PC nao calculado: PC "&amp;A3291&amp;" - "&amp;C3291,"OK")))))))))</f>
        <v/>
      </c>
      <c r="L3291" s="92" t="str">
        <f>IF(AND(A3291="",B3291="",D3291="",G3291=""),"",IF(OR(B3291="",NOT(ISNUMBER(B3291)),C3291="",C3291="Fora dos ciclos"),"",IF(C3291="C0","Nao",IF(IFERROR(INDEX(parametros!$A$2:$A$6,MATCH(C3291,parametros!$B$2:$B$6,0)),"")&lt;&gt;"Sim","Nao",IF(IFERROR(INDEX(parametros!$H$2:$H$6,MATCH(C3291,parametros!$B$2:$B$6,0)),"")="","",IF(B3291&gt;=IFERROR(INDEX(parametros!$H$2:$H$6,MATCH(C3291,parametros!$B$2:$B$6,0)),""),"Sim","Nao"))))))</f>
        <v/>
      </c>
      <c r="T3291" s="156"/>
      <c r="U3291" s="214" t="str">
        <f t="shared" si="261"/>
        <v/>
      </c>
      <c r="V3291" s="212" t="s">
        <v>50</v>
      </c>
      <c r="W3291" s="100" t="s">
        <v>168</v>
      </c>
      <c r="X3291" s="100" t="s">
        <v>169</v>
      </c>
      <c r="Y3291" s="101" t="s">
        <v>170</v>
      </c>
      <c r="Z3291" s="101" t="s">
        <v>171</v>
      </c>
      <c r="AA3291" s="101" t="s">
        <v>50</v>
      </c>
      <c r="AB3291" s="101" t="s">
        <v>172</v>
      </c>
      <c r="AC3291" s="102" t="s">
        <v>173</v>
      </c>
    </row>
    <row r="3292" spans="1:29" ht="25.5" customHeight="1" x14ac:dyDescent="0.35">
      <c r="A3292" s="392"/>
      <c r="B3292" s="393"/>
      <c r="C3292" s="99" t="str">
        <f>IF(B3292="","",IF(NOT(ISNUMBER(B3292)),"DATA_PC invalida",IF(NOT(ISNUMBER(parametros!$C$2)),"Fora dos ciclos",IF(OR(B3292&lt;parametros!$C$2,(YEAR(B3292)-YEAR(parametros!$C$2))*12+MONTH(B3292)-MONTH(parametros!$C$2)&gt;59),"Fora dos ciclos","C"&amp;INT(((YEAR(B3292)-YEAR(parametros!$C$2))*12+MONTH(B3292)-MONTH(parametros!$C$2))/12)))))</f>
        <v/>
      </c>
      <c r="D3292" s="394"/>
      <c r="E3292" s="78" t="str">
        <f>IF(C3292="","",IFERROR(VLOOKUP(C3292,parametros!$A$11:$E$15,5,0),""))</f>
        <v/>
      </c>
      <c r="F3292" s="79" t="str">
        <f t="shared" si="257"/>
        <v/>
      </c>
      <c r="G3292" s="395"/>
      <c r="H3292" s="91">
        <f t="shared" si="258"/>
        <v>0</v>
      </c>
      <c r="I3292" s="91" t="str">
        <f t="shared" si="259"/>
        <v/>
      </c>
      <c r="J3292" s="91" t="str">
        <f t="shared" si="260"/>
        <v/>
      </c>
      <c r="K3292" s="92" t="str">
        <f>IF(AND(A3292="",B3292="",D3292="",G3292=""),"",IF(AND(A3292&lt;&gt;"",COUNTIF($A$2:$A$5001,A3292)&gt;1),"NUMERO_PC duplicado",IF(B3292="","DATA_PC vazia",IF(NOT(ISNUMBER(B3292)),"DATA_PC invalida",IF(OR(C3292="",C3292="Fora dos ciclos"),"CICLO_PC nao identificado",IF(OR(D3292="",D3292=0),"VALOR_PC vazio ou zero",IF(AND(G3292&lt;&gt;"Sim",G3292&lt;&gt;"Nao",G3292&lt;&gt;""),"PC_PAGO_A_CONTRATADA invalido",IF(AND(C3292&lt;&gt;"C0",IFERROR(INDEX(parametros!$A$2:$A$6,MATCH(C3292,parametros!$B$2:$B$6,0)),"")="Sim",IFERROR(INDEX(parametros!$H$2:$H$6,MATCH(C3292,parametros!$B$2:$B$6,0)),"")=""),"INICIO_EFEITO ausente: PC "&amp;A3292&amp;" - "&amp;C3292,IF(L3292="","EFEITO_PC nao calculado: PC "&amp;A3292&amp;" - "&amp;C3292,"OK")))))))))</f>
        <v/>
      </c>
      <c r="L3292" s="92" t="str">
        <f>IF(AND(A3292="",B3292="",D3292="",G3292=""),"",IF(OR(B3292="",NOT(ISNUMBER(B3292)),C3292="",C3292="Fora dos ciclos"),"",IF(C3292="C0","Nao",IF(IFERROR(INDEX(parametros!$A$2:$A$6,MATCH(C3292,parametros!$B$2:$B$6,0)),"")&lt;&gt;"Sim","Nao",IF(IFERROR(INDEX(parametros!$H$2:$H$6,MATCH(C3292,parametros!$B$2:$B$6,0)),"")="","",IF(B3292&gt;=IFERROR(INDEX(parametros!$H$2:$H$6,MATCH(C3292,parametros!$B$2:$B$6,0)),""),"Sim","Nao"))))))</f>
        <v/>
      </c>
      <c r="T3292" s="156"/>
      <c r="U3292" s="214" t="str">
        <f t="shared" si="261"/>
        <v/>
      </c>
      <c r="V3292" s="212" t="s">
        <v>50</v>
      </c>
      <c r="W3292" s="100" t="s">
        <v>168</v>
      </c>
      <c r="X3292" s="100" t="s">
        <v>169</v>
      </c>
      <c r="Y3292" s="101" t="s">
        <v>170</v>
      </c>
      <c r="Z3292" s="101" t="s">
        <v>171</v>
      </c>
      <c r="AA3292" s="101" t="s">
        <v>50</v>
      </c>
      <c r="AB3292" s="101" t="s">
        <v>172</v>
      </c>
      <c r="AC3292" s="102" t="s">
        <v>173</v>
      </c>
    </row>
    <row r="3293" spans="1:29" ht="25.5" customHeight="1" x14ac:dyDescent="0.35">
      <c r="A3293" s="392"/>
      <c r="B3293" s="393"/>
      <c r="C3293" s="99" t="str">
        <f>IF(B3293="","",IF(NOT(ISNUMBER(B3293)),"DATA_PC invalida",IF(NOT(ISNUMBER(parametros!$C$2)),"Fora dos ciclos",IF(OR(B3293&lt;parametros!$C$2,(YEAR(B3293)-YEAR(parametros!$C$2))*12+MONTH(B3293)-MONTH(parametros!$C$2)&gt;59),"Fora dos ciclos","C"&amp;INT(((YEAR(B3293)-YEAR(parametros!$C$2))*12+MONTH(B3293)-MONTH(parametros!$C$2))/12)))))</f>
        <v/>
      </c>
      <c r="D3293" s="394"/>
      <c r="E3293" s="78" t="str">
        <f>IF(C3293="","",IFERROR(VLOOKUP(C3293,parametros!$A$11:$E$15,5,0),""))</f>
        <v/>
      </c>
      <c r="F3293" s="79" t="str">
        <f t="shared" si="257"/>
        <v/>
      </c>
      <c r="G3293" s="395"/>
      <c r="H3293" s="91">
        <f t="shared" si="258"/>
        <v>0</v>
      </c>
      <c r="I3293" s="91" t="str">
        <f t="shared" si="259"/>
        <v/>
      </c>
      <c r="J3293" s="91" t="str">
        <f t="shared" si="260"/>
        <v/>
      </c>
      <c r="K3293" s="92" t="str">
        <f>IF(AND(A3293="",B3293="",D3293="",G3293=""),"",IF(AND(A3293&lt;&gt;"",COUNTIF($A$2:$A$5001,A3293)&gt;1),"NUMERO_PC duplicado",IF(B3293="","DATA_PC vazia",IF(NOT(ISNUMBER(B3293)),"DATA_PC invalida",IF(OR(C3293="",C3293="Fora dos ciclos"),"CICLO_PC nao identificado",IF(OR(D3293="",D3293=0),"VALOR_PC vazio ou zero",IF(AND(G3293&lt;&gt;"Sim",G3293&lt;&gt;"Nao",G3293&lt;&gt;""),"PC_PAGO_A_CONTRATADA invalido",IF(AND(C3293&lt;&gt;"C0",IFERROR(INDEX(parametros!$A$2:$A$6,MATCH(C3293,parametros!$B$2:$B$6,0)),"")="Sim",IFERROR(INDEX(parametros!$H$2:$H$6,MATCH(C3293,parametros!$B$2:$B$6,0)),"")=""),"INICIO_EFEITO ausente: PC "&amp;A3293&amp;" - "&amp;C3293,IF(L3293="","EFEITO_PC nao calculado: PC "&amp;A3293&amp;" - "&amp;C3293,"OK")))))))))</f>
        <v/>
      </c>
      <c r="L3293" s="92" t="str">
        <f>IF(AND(A3293="",B3293="",D3293="",G3293=""),"",IF(OR(B3293="",NOT(ISNUMBER(B3293)),C3293="",C3293="Fora dos ciclos"),"",IF(C3293="C0","Nao",IF(IFERROR(INDEX(parametros!$A$2:$A$6,MATCH(C3293,parametros!$B$2:$B$6,0)),"")&lt;&gt;"Sim","Nao",IF(IFERROR(INDEX(parametros!$H$2:$H$6,MATCH(C3293,parametros!$B$2:$B$6,0)),"")="","",IF(B3293&gt;=IFERROR(INDEX(parametros!$H$2:$H$6,MATCH(C3293,parametros!$B$2:$B$6,0)),""),"Sim","Nao"))))))</f>
        <v/>
      </c>
      <c r="T3293" s="156"/>
      <c r="U3293" s="214" t="str">
        <f t="shared" si="261"/>
        <v/>
      </c>
      <c r="V3293" s="212" t="s">
        <v>50</v>
      </c>
      <c r="W3293" s="100" t="s">
        <v>168</v>
      </c>
      <c r="X3293" s="100" t="s">
        <v>169</v>
      </c>
      <c r="Y3293" s="101" t="s">
        <v>170</v>
      </c>
      <c r="Z3293" s="101" t="s">
        <v>171</v>
      </c>
      <c r="AA3293" s="101" t="s">
        <v>50</v>
      </c>
      <c r="AB3293" s="101" t="s">
        <v>172</v>
      </c>
      <c r="AC3293" s="102" t="s">
        <v>173</v>
      </c>
    </row>
    <row r="3294" spans="1:29" ht="25.5" customHeight="1" x14ac:dyDescent="0.35">
      <c r="A3294" s="392"/>
      <c r="B3294" s="393"/>
      <c r="C3294" s="99" t="str">
        <f>IF(B3294="","",IF(NOT(ISNUMBER(B3294)),"DATA_PC invalida",IF(NOT(ISNUMBER(parametros!$C$2)),"Fora dos ciclos",IF(OR(B3294&lt;parametros!$C$2,(YEAR(B3294)-YEAR(parametros!$C$2))*12+MONTH(B3294)-MONTH(parametros!$C$2)&gt;59),"Fora dos ciclos","C"&amp;INT(((YEAR(B3294)-YEAR(parametros!$C$2))*12+MONTH(B3294)-MONTH(parametros!$C$2))/12)))))</f>
        <v/>
      </c>
      <c r="D3294" s="394"/>
      <c r="E3294" s="78" t="str">
        <f>IF(C3294="","",IFERROR(VLOOKUP(C3294,parametros!$A$11:$E$15,5,0),""))</f>
        <v/>
      </c>
      <c r="F3294" s="79" t="str">
        <f t="shared" si="257"/>
        <v/>
      </c>
      <c r="G3294" s="395"/>
      <c r="H3294" s="91">
        <f t="shared" si="258"/>
        <v>0</v>
      </c>
      <c r="I3294" s="91" t="str">
        <f t="shared" si="259"/>
        <v/>
      </c>
      <c r="J3294" s="91" t="str">
        <f t="shared" si="260"/>
        <v/>
      </c>
      <c r="K3294" s="92" t="str">
        <f>IF(AND(A3294="",B3294="",D3294="",G3294=""),"",IF(AND(A3294&lt;&gt;"",COUNTIF($A$2:$A$5001,A3294)&gt;1),"NUMERO_PC duplicado",IF(B3294="","DATA_PC vazia",IF(NOT(ISNUMBER(B3294)),"DATA_PC invalida",IF(OR(C3294="",C3294="Fora dos ciclos"),"CICLO_PC nao identificado",IF(OR(D3294="",D3294=0),"VALOR_PC vazio ou zero",IF(AND(G3294&lt;&gt;"Sim",G3294&lt;&gt;"Nao",G3294&lt;&gt;""),"PC_PAGO_A_CONTRATADA invalido",IF(AND(C3294&lt;&gt;"C0",IFERROR(INDEX(parametros!$A$2:$A$6,MATCH(C3294,parametros!$B$2:$B$6,0)),"")="Sim",IFERROR(INDEX(parametros!$H$2:$H$6,MATCH(C3294,parametros!$B$2:$B$6,0)),"")=""),"INICIO_EFEITO ausente: PC "&amp;A3294&amp;" - "&amp;C3294,IF(L3294="","EFEITO_PC nao calculado: PC "&amp;A3294&amp;" - "&amp;C3294,"OK")))))))))</f>
        <v/>
      </c>
      <c r="L3294" s="92" t="str">
        <f>IF(AND(A3294="",B3294="",D3294="",G3294=""),"",IF(OR(B3294="",NOT(ISNUMBER(B3294)),C3294="",C3294="Fora dos ciclos"),"",IF(C3294="C0","Nao",IF(IFERROR(INDEX(parametros!$A$2:$A$6,MATCH(C3294,parametros!$B$2:$B$6,0)),"")&lt;&gt;"Sim","Nao",IF(IFERROR(INDEX(parametros!$H$2:$H$6,MATCH(C3294,parametros!$B$2:$B$6,0)),"")="","",IF(B3294&gt;=IFERROR(INDEX(parametros!$H$2:$H$6,MATCH(C3294,parametros!$B$2:$B$6,0)),""),"Sim","Nao"))))))</f>
        <v/>
      </c>
      <c r="T3294" s="156"/>
      <c r="U3294" s="214" t="str">
        <f t="shared" si="261"/>
        <v/>
      </c>
      <c r="V3294" s="212" t="s">
        <v>50</v>
      </c>
      <c r="W3294" s="100" t="s">
        <v>168</v>
      </c>
      <c r="X3294" s="100" t="s">
        <v>169</v>
      </c>
      <c r="Y3294" s="101" t="s">
        <v>170</v>
      </c>
      <c r="Z3294" s="101" t="s">
        <v>171</v>
      </c>
      <c r="AA3294" s="101" t="s">
        <v>50</v>
      </c>
      <c r="AB3294" s="101" t="s">
        <v>172</v>
      </c>
      <c r="AC3294" s="102" t="s">
        <v>173</v>
      </c>
    </row>
    <row r="3295" spans="1:29" ht="25.5" customHeight="1" x14ac:dyDescent="0.35">
      <c r="A3295" s="392"/>
      <c r="B3295" s="393"/>
      <c r="C3295" s="99" t="str">
        <f>IF(B3295="","",IF(NOT(ISNUMBER(B3295)),"DATA_PC invalida",IF(NOT(ISNUMBER(parametros!$C$2)),"Fora dos ciclos",IF(OR(B3295&lt;parametros!$C$2,(YEAR(B3295)-YEAR(parametros!$C$2))*12+MONTH(B3295)-MONTH(parametros!$C$2)&gt;59),"Fora dos ciclos","C"&amp;INT(((YEAR(B3295)-YEAR(parametros!$C$2))*12+MONTH(B3295)-MONTH(parametros!$C$2))/12)))))</f>
        <v/>
      </c>
      <c r="D3295" s="394"/>
      <c r="E3295" s="78" t="str">
        <f>IF(C3295="","",IFERROR(VLOOKUP(C3295,parametros!$A$11:$E$15,5,0),""))</f>
        <v/>
      </c>
      <c r="F3295" s="79" t="str">
        <f t="shared" si="257"/>
        <v/>
      </c>
      <c r="G3295" s="395"/>
      <c r="H3295" s="91">
        <f t="shared" si="258"/>
        <v>0</v>
      </c>
      <c r="I3295" s="91" t="str">
        <f t="shared" si="259"/>
        <v/>
      </c>
      <c r="J3295" s="91" t="str">
        <f t="shared" si="260"/>
        <v/>
      </c>
      <c r="K3295" s="92" t="str">
        <f>IF(AND(A3295="",B3295="",D3295="",G3295=""),"",IF(AND(A3295&lt;&gt;"",COUNTIF($A$2:$A$5001,A3295)&gt;1),"NUMERO_PC duplicado",IF(B3295="","DATA_PC vazia",IF(NOT(ISNUMBER(B3295)),"DATA_PC invalida",IF(OR(C3295="",C3295="Fora dos ciclos"),"CICLO_PC nao identificado",IF(OR(D3295="",D3295=0),"VALOR_PC vazio ou zero",IF(AND(G3295&lt;&gt;"Sim",G3295&lt;&gt;"Nao",G3295&lt;&gt;""),"PC_PAGO_A_CONTRATADA invalido",IF(AND(C3295&lt;&gt;"C0",IFERROR(INDEX(parametros!$A$2:$A$6,MATCH(C3295,parametros!$B$2:$B$6,0)),"")="Sim",IFERROR(INDEX(parametros!$H$2:$H$6,MATCH(C3295,parametros!$B$2:$B$6,0)),"")=""),"INICIO_EFEITO ausente: PC "&amp;A3295&amp;" - "&amp;C3295,IF(L3295="","EFEITO_PC nao calculado: PC "&amp;A3295&amp;" - "&amp;C3295,"OK")))))))))</f>
        <v/>
      </c>
      <c r="L3295" s="92" t="str">
        <f>IF(AND(A3295="",B3295="",D3295="",G3295=""),"",IF(OR(B3295="",NOT(ISNUMBER(B3295)),C3295="",C3295="Fora dos ciclos"),"",IF(C3295="C0","Nao",IF(IFERROR(INDEX(parametros!$A$2:$A$6,MATCH(C3295,parametros!$B$2:$B$6,0)),"")&lt;&gt;"Sim","Nao",IF(IFERROR(INDEX(parametros!$H$2:$H$6,MATCH(C3295,parametros!$B$2:$B$6,0)),"")="","",IF(B3295&gt;=IFERROR(INDEX(parametros!$H$2:$H$6,MATCH(C3295,parametros!$B$2:$B$6,0)),""),"Sim","Nao"))))))</f>
        <v/>
      </c>
      <c r="T3295" s="156"/>
      <c r="U3295" s="214" t="str">
        <f t="shared" si="261"/>
        <v/>
      </c>
      <c r="V3295" s="212" t="s">
        <v>50</v>
      </c>
      <c r="W3295" s="100" t="s">
        <v>168</v>
      </c>
      <c r="X3295" s="100" t="s">
        <v>169</v>
      </c>
      <c r="Y3295" s="101" t="s">
        <v>170</v>
      </c>
      <c r="Z3295" s="101" t="s">
        <v>171</v>
      </c>
      <c r="AA3295" s="101" t="s">
        <v>50</v>
      </c>
      <c r="AB3295" s="101" t="s">
        <v>172</v>
      </c>
      <c r="AC3295" s="102" t="s">
        <v>173</v>
      </c>
    </row>
    <row r="3296" spans="1:29" ht="25.5" customHeight="1" x14ac:dyDescent="0.35">
      <c r="A3296" s="392"/>
      <c r="B3296" s="393"/>
      <c r="C3296" s="99" t="str">
        <f>IF(B3296="","",IF(NOT(ISNUMBER(B3296)),"DATA_PC invalida",IF(NOT(ISNUMBER(parametros!$C$2)),"Fora dos ciclos",IF(OR(B3296&lt;parametros!$C$2,(YEAR(B3296)-YEAR(parametros!$C$2))*12+MONTH(B3296)-MONTH(parametros!$C$2)&gt;59),"Fora dos ciclos","C"&amp;INT(((YEAR(B3296)-YEAR(parametros!$C$2))*12+MONTH(B3296)-MONTH(parametros!$C$2))/12)))))</f>
        <v/>
      </c>
      <c r="D3296" s="394"/>
      <c r="E3296" s="78" t="str">
        <f>IF(C3296="","",IFERROR(VLOOKUP(C3296,parametros!$A$11:$E$15,5,0),""))</f>
        <v/>
      </c>
      <c r="F3296" s="79" t="str">
        <f t="shared" si="257"/>
        <v/>
      </c>
      <c r="G3296" s="395"/>
      <c r="H3296" s="91">
        <f t="shared" si="258"/>
        <v>0</v>
      </c>
      <c r="I3296" s="91" t="str">
        <f t="shared" si="259"/>
        <v/>
      </c>
      <c r="J3296" s="91" t="str">
        <f t="shared" si="260"/>
        <v/>
      </c>
      <c r="K3296" s="92" t="str">
        <f>IF(AND(A3296="",B3296="",D3296="",G3296=""),"",IF(AND(A3296&lt;&gt;"",COUNTIF($A$2:$A$5001,A3296)&gt;1),"NUMERO_PC duplicado",IF(B3296="","DATA_PC vazia",IF(NOT(ISNUMBER(B3296)),"DATA_PC invalida",IF(OR(C3296="",C3296="Fora dos ciclos"),"CICLO_PC nao identificado",IF(OR(D3296="",D3296=0),"VALOR_PC vazio ou zero",IF(AND(G3296&lt;&gt;"Sim",G3296&lt;&gt;"Nao",G3296&lt;&gt;""),"PC_PAGO_A_CONTRATADA invalido",IF(AND(C3296&lt;&gt;"C0",IFERROR(INDEX(parametros!$A$2:$A$6,MATCH(C3296,parametros!$B$2:$B$6,0)),"")="Sim",IFERROR(INDEX(parametros!$H$2:$H$6,MATCH(C3296,parametros!$B$2:$B$6,0)),"")=""),"INICIO_EFEITO ausente: PC "&amp;A3296&amp;" - "&amp;C3296,IF(L3296="","EFEITO_PC nao calculado: PC "&amp;A3296&amp;" - "&amp;C3296,"OK")))))))))</f>
        <v/>
      </c>
      <c r="L3296" s="92" t="str">
        <f>IF(AND(A3296="",B3296="",D3296="",G3296=""),"",IF(OR(B3296="",NOT(ISNUMBER(B3296)),C3296="",C3296="Fora dos ciclos"),"",IF(C3296="C0","Nao",IF(IFERROR(INDEX(parametros!$A$2:$A$6,MATCH(C3296,parametros!$B$2:$B$6,0)),"")&lt;&gt;"Sim","Nao",IF(IFERROR(INDEX(parametros!$H$2:$H$6,MATCH(C3296,parametros!$B$2:$B$6,0)),"")="","",IF(B3296&gt;=IFERROR(INDEX(parametros!$H$2:$H$6,MATCH(C3296,parametros!$B$2:$B$6,0)),""),"Sim","Nao"))))))</f>
        <v/>
      </c>
      <c r="T3296" s="156"/>
      <c r="U3296" s="214" t="str">
        <f t="shared" si="261"/>
        <v/>
      </c>
      <c r="V3296" s="212" t="s">
        <v>50</v>
      </c>
      <c r="W3296" s="100" t="s">
        <v>168</v>
      </c>
      <c r="X3296" s="100" t="s">
        <v>169</v>
      </c>
      <c r="Y3296" s="101" t="s">
        <v>170</v>
      </c>
      <c r="Z3296" s="101" t="s">
        <v>171</v>
      </c>
      <c r="AA3296" s="101" t="s">
        <v>50</v>
      </c>
      <c r="AB3296" s="101" t="s">
        <v>172</v>
      </c>
      <c r="AC3296" s="102" t="s">
        <v>173</v>
      </c>
    </row>
    <row r="3297" spans="1:29" ht="25.5" customHeight="1" x14ac:dyDescent="0.35">
      <c r="A3297" s="392"/>
      <c r="B3297" s="393"/>
      <c r="C3297" s="99" t="str">
        <f>IF(B3297="","",IF(NOT(ISNUMBER(B3297)),"DATA_PC invalida",IF(NOT(ISNUMBER(parametros!$C$2)),"Fora dos ciclos",IF(OR(B3297&lt;parametros!$C$2,(YEAR(B3297)-YEAR(parametros!$C$2))*12+MONTH(B3297)-MONTH(parametros!$C$2)&gt;59),"Fora dos ciclos","C"&amp;INT(((YEAR(B3297)-YEAR(parametros!$C$2))*12+MONTH(B3297)-MONTH(parametros!$C$2))/12)))))</f>
        <v/>
      </c>
      <c r="D3297" s="394"/>
      <c r="E3297" s="78" t="str">
        <f>IF(C3297="","",IFERROR(VLOOKUP(C3297,parametros!$A$11:$E$15,5,0),""))</f>
        <v/>
      </c>
      <c r="F3297" s="79" t="str">
        <f t="shared" si="257"/>
        <v/>
      </c>
      <c r="G3297" s="395"/>
      <c r="H3297" s="91">
        <f t="shared" si="258"/>
        <v>0</v>
      </c>
      <c r="I3297" s="91" t="str">
        <f t="shared" si="259"/>
        <v/>
      </c>
      <c r="J3297" s="91" t="str">
        <f t="shared" si="260"/>
        <v/>
      </c>
      <c r="K3297" s="92" t="str">
        <f>IF(AND(A3297="",B3297="",D3297="",G3297=""),"",IF(AND(A3297&lt;&gt;"",COUNTIF($A$2:$A$5001,A3297)&gt;1),"NUMERO_PC duplicado",IF(B3297="","DATA_PC vazia",IF(NOT(ISNUMBER(B3297)),"DATA_PC invalida",IF(OR(C3297="",C3297="Fora dos ciclos"),"CICLO_PC nao identificado",IF(OR(D3297="",D3297=0),"VALOR_PC vazio ou zero",IF(AND(G3297&lt;&gt;"Sim",G3297&lt;&gt;"Nao",G3297&lt;&gt;""),"PC_PAGO_A_CONTRATADA invalido",IF(AND(C3297&lt;&gt;"C0",IFERROR(INDEX(parametros!$A$2:$A$6,MATCH(C3297,parametros!$B$2:$B$6,0)),"")="Sim",IFERROR(INDEX(parametros!$H$2:$H$6,MATCH(C3297,parametros!$B$2:$B$6,0)),"")=""),"INICIO_EFEITO ausente: PC "&amp;A3297&amp;" - "&amp;C3297,IF(L3297="","EFEITO_PC nao calculado: PC "&amp;A3297&amp;" - "&amp;C3297,"OK")))))))))</f>
        <v/>
      </c>
      <c r="L3297" s="92" t="str">
        <f>IF(AND(A3297="",B3297="",D3297="",G3297=""),"",IF(OR(B3297="",NOT(ISNUMBER(B3297)),C3297="",C3297="Fora dos ciclos"),"",IF(C3297="C0","Nao",IF(IFERROR(INDEX(parametros!$A$2:$A$6,MATCH(C3297,parametros!$B$2:$B$6,0)),"")&lt;&gt;"Sim","Nao",IF(IFERROR(INDEX(parametros!$H$2:$H$6,MATCH(C3297,parametros!$B$2:$B$6,0)),"")="","",IF(B3297&gt;=IFERROR(INDEX(parametros!$H$2:$H$6,MATCH(C3297,parametros!$B$2:$B$6,0)),""),"Sim","Nao"))))))</f>
        <v/>
      </c>
      <c r="T3297" s="156"/>
      <c r="U3297" s="214" t="str">
        <f t="shared" si="261"/>
        <v/>
      </c>
      <c r="V3297" s="212" t="s">
        <v>50</v>
      </c>
      <c r="W3297" s="100" t="s">
        <v>168</v>
      </c>
      <c r="X3297" s="100" t="s">
        <v>169</v>
      </c>
      <c r="Y3297" s="101" t="s">
        <v>170</v>
      </c>
      <c r="Z3297" s="101" t="s">
        <v>171</v>
      </c>
      <c r="AA3297" s="101" t="s">
        <v>50</v>
      </c>
      <c r="AB3297" s="101" t="s">
        <v>172</v>
      </c>
      <c r="AC3297" s="102" t="s">
        <v>173</v>
      </c>
    </row>
    <row r="3298" spans="1:29" ht="25.5" customHeight="1" x14ac:dyDescent="0.35">
      <c r="A3298" s="392"/>
      <c r="B3298" s="393"/>
      <c r="C3298" s="99" t="str">
        <f>IF(B3298="","",IF(NOT(ISNUMBER(B3298)),"DATA_PC invalida",IF(NOT(ISNUMBER(parametros!$C$2)),"Fora dos ciclos",IF(OR(B3298&lt;parametros!$C$2,(YEAR(B3298)-YEAR(parametros!$C$2))*12+MONTH(B3298)-MONTH(parametros!$C$2)&gt;59),"Fora dos ciclos","C"&amp;INT(((YEAR(B3298)-YEAR(parametros!$C$2))*12+MONTH(B3298)-MONTH(parametros!$C$2))/12)))))</f>
        <v/>
      </c>
      <c r="D3298" s="394"/>
      <c r="E3298" s="78" t="str">
        <f>IF(C3298="","",IFERROR(VLOOKUP(C3298,parametros!$A$11:$E$15,5,0),""))</f>
        <v/>
      </c>
      <c r="F3298" s="79" t="str">
        <f t="shared" si="257"/>
        <v/>
      </c>
      <c r="G3298" s="395"/>
      <c r="H3298" s="91">
        <f t="shared" si="258"/>
        <v>0</v>
      </c>
      <c r="I3298" s="91" t="str">
        <f t="shared" si="259"/>
        <v/>
      </c>
      <c r="J3298" s="91" t="str">
        <f t="shared" si="260"/>
        <v/>
      </c>
      <c r="K3298" s="92" t="str">
        <f>IF(AND(A3298="",B3298="",D3298="",G3298=""),"",IF(AND(A3298&lt;&gt;"",COUNTIF($A$2:$A$5001,A3298)&gt;1),"NUMERO_PC duplicado",IF(B3298="","DATA_PC vazia",IF(NOT(ISNUMBER(B3298)),"DATA_PC invalida",IF(OR(C3298="",C3298="Fora dos ciclos"),"CICLO_PC nao identificado",IF(OR(D3298="",D3298=0),"VALOR_PC vazio ou zero",IF(AND(G3298&lt;&gt;"Sim",G3298&lt;&gt;"Nao",G3298&lt;&gt;""),"PC_PAGO_A_CONTRATADA invalido",IF(AND(C3298&lt;&gt;"C0",IFERROR(INDEX(parametros!$A$2:$A$6,MATCH(C3298,parametros!$B$2:$B$6,0)),"")="Sim",IFERROR(INDEX(parametros!$H$2:$H$6,MATCH(C3298,parametros!$B$2:$B$6,0)),"")=""),"INICIO_EFEITO ausente: PC "&amp;A3298&amp;" - "&amp;C3298,IF(L3298="","EFEITO_PC nao calculado: PC "&amp;A3298&amp;" - "&amp;C3298,"OK")))))))))</f>
        <v/>
      </c>
      <c r="L3298" s="92" t="str">
        <f>IF(AND(A3298="",B3298="",D3298="",G3298=""),"",IF(OR(B3298="",NOT(ISNUMBER(B3298)),C3298="",C3298="Fora dos ciclos"),"",IF(C3298="C0","Nao",IF(IFERROR(INDEX(parametros!$A$2:$A$6,MATCH(C3298,parametros!$B$2:$B$6,0)),"")&lt;&gt;"Sim","Nao",IF(IFERROR(INDEX(parametros!$H$2:$H$6,MATCH(C3298,parametros!$B$2:$B$6,0)),"")="","",IF(B3298&gt;=IFERROR(INDEX(parametros!$H$2:$H$6,MATCH(C3298,parametros!$B$2:$B$6,0)),""),"Sim","Nao"))))))</f>
        <v/>
      </c>
      <c r="T3298" s="156"/>
      <c r="U3298" s="214" t="str">
        <f t="shared" si="261"/>
        <v/>
      </c>
      <c r="V3298" s="212" t="s">
        <v>50</v>
      </c>
      <c r="W3298" s="100" t="s">
        <v>168</v>
      </c>
      <c r="X3298" s="100" t="s">
        <v>169</v>
      </c>
      <c r="Y3298" s="101" t="s">
        <v>170</v>
      </c>
      <c r="Z3298" s="101" t="s">
        <v>171</v>
      </c>
      <c r="AA3298" s="101" t="s">
        <v>50</v>
      </c>
      <c r="AB3298" s="101" t="s">
        <v>172</v>
      </c>
      <c r="AC3298" s="102" t="s">
        <v>173</v>
      </c>
    </row>
    <row r="3299" spans="1:29" ht="25.5" customHeight="1" x14ac:dyDescent="0.35">
      <c r="A3299" s="392"/>
      <c r="B3299" s="393"/>
      <c r="C3299" s="99" t="str">
        <f>IF(B3299="","",IF(NOT(ISNUMBER(B3299)),"DATA_PC invalida",IF(NOT(ISNUMBER(parametros!$C$2)),"Fora dos ciclos",IF(OR(B3299&lt;parametros!$C$2,(YEAR(B3299)-YEAR(parametros!$C$2))*12+MONTH(B3299)-MONTH(parametros!$C$2)&gt;59),"Fora dos ciclos","C"&amp;INT(((YEAR(B3299)-YEAR(parametros!$C$2))*12+MONTH(B3299)-MONTH(parametros!$C$2))/12)))))</f>
        <v/>
      </c>
      <c r="D3299" s="394"/>
      <c r="E3299" s="78" t="str">
        <f>IF(C3299="","",IFERROR(VLOOKUP(C3299,parametros!$A$11:$E$15,5,0),""))</f>
        <v/>
      </c>
      <c r="F3299" s="79" t="str">
        <f t="shared" si="257"/>
        <v/>
      </c>
      <c r="G3299" s="395"/>
      <c r="H3299" s="91">
        <f t="shared" si="258"/>
        <v>0</v>
      </c>
      <c r="I3299" s="91" t="str">
        <f t="shared" si="259"/>
        <v/>
      </c>
      <c r="J3299" s="91" t="str">
        <f t="shared" si="260"/>
        <v/>
      </c>
      <c r="K3299" s="92" t="str">
        <f>IF(AND(A3299="",B3299="",D3299="",G3299=""),"",IF(AND(A3299&lt;&gt;"",COUNTIF($A$2:$A$5001,A3299)&gt;1),"NUMERO_PC duplicado",IF(B3299="","DATA_PC vazia",IF(NOT(ISNUMBER(B3299)),"DATA_PC invalida",IF(OR(C3299="",C3299="Fora dos ciclos"),"CICLO_PC nao identificado",IF(OR(D3299="",D3299=0),"VALOR_PC vazio ou zero",IF(AND(G3299&lt;&gt;"Sim",G3299&lt;&gt;"Nao",G3299&lt;&gt;""),"PC_PAGO_A_CONTRATADA invalido",IF(AND(C3299&lt;&gt;"C0",IFERROR(INDEX(parametros!$A$2:$A$6,MATCH(C3299,parametros!$B$2:$B$6,0)),"")="Sim",IFERROR(INDEX(parametros!$H$2:$H$6,MATCH(C3299,parametros!$B$2:$B$6,0)),"")=""),"INICIO_EFEITO ausente: PC "&amp;A3299&amp;" - "&amp;C3299,IF(L3299="","EFEITO_PC nao calculado: PC "&amp;A3299&amp;" - "&amp;C3299,"OK")))))))))</f>
        <v/>
      </c>
      <c r="L3299" s="92" t="str">
        <f>IF(AND(A3299="",B3299="",D3299="",G3299=""),"",IF(OR(B3299="",NOT(ISNUMBER(B3299)),C3299="",C3299="Fora dos ciclos"),"",IF(C3299="C0","Nao",IF(IFERROR(INDEX(parametros!$A$2:$A$6,MATCH(C3299,parametros!$B$2:$B$6,0)),"")&lt;&gt;"Sim","Nao",IF(IFERROR(INDEX(parametros!$H$2:$H$6,MATCH(C3299,parametros!$B$2:$B$6,0)),"")="","",IF(B3299&gt;=IFERROR(INDEX(parametros!$H$2:$H$6,MATCH(C3299,parametros!$B$2:$B$6,0)),""),"Sim","Nao"))))))</f>
        <v/>
      </c>
      <c r="T3299" s="156"/>
      <c r="U3299" s="214" t="str">
        <f t="shared" si="261"/>
        <v/>
      </c>
      <c r="V3299" s="212" t="s">
        <v>50</v>
      </c>
      <c r="W3299" s="100" t="s">
        <v>168</v>
      </c>
      <c r="X3299" s="100" t="s">
        <v>169</v>
      </c>
      <c r="Y3299" s="101" t="s">
        <v>170</v>
      </c>
      <c r="Z3299" s="101" t="s">
        <v>171</v>
      </c>
      <c r="AA3299" s="101" t="s">
        <v>50</v>
      </c>
      <c r="AB3299" s="101" t="s">
        <v>172</v>
      </c>
      <c r="AC3299" s="102" t="s">
        <v>173</v>
      </c>
    </row>
    <row r="3300" spans="1:29" ht="25.5" customHeight="1" x14ac:dyDescent="0.35">
      <c r="A3300" s="392"/>
      <c r="B3300" s="393"/>
      <c r="C3300" s="99" t="str">
        <f>IF(B3300="","",IF(NOT(ISNUMBER(B3300)),"DATA_PC invalida",IF(NOT(ISNUMBER(parametros!$C$2)),"Fora dos ciclos",IF(OR(B3300&lt;parametros!$C$2,(YEAR(B3300)-YEAR(parametros!$C$2))*12+MONTH(B3300)-MONTH(parametros!$C$2)&gt;59),"Fora dos ciclos","C"&amp;INT(((YEAR(B3300)-YEAR(parametros!$C$2))*12+MONTH(B3300)-MONTH(parametros!$C$2))/12)))))</f>
        <v/>
      </c>
      <c r="D3300" s="394"/>
      <c r="E3300" s="78" t="str">
        <f>IF(C3300="","",IFERROR(VLOOKUP(C3300,parametros!$A$11:$E$15,5,0),""))</f>
        <v/>
      </c>
      <c r="F3300" s="79" t="str">
        <f t="shared" si="257"/>
        <v/>
      </c>
      <c r="G3300" s="395"/>
      <c r="H3300" s="91">
        <f t="shared" si="258"/>
        <v>0</v>
      </c>
      <c r="I3300" s="91" t="str">
        <f t="shared" si="259"/>
        <v/>
      </c>
      <c r="J3300" s="91" t="str">
        <f t="shared" si="260"/>
        <v/>
      </c>
      <c r="K3300" s="92" t="str">
        <f>IF(AND(A3300="",B3300="",D3300="",G3300=""),"",IF(AND(A3300&lt;&gt;"",COUNTIF($A$2:$A$5001,A3300)&gt;1),"NUMERO_PC duplicado",IF(B3300="","DATA_PC vazia",IF(NOT(ISNUMBER(B3300)),"DATA_PC invalida",IF(OR(C3300="",C3300="Fora dos ciclos"),"CICLO_PC nao identificado",IF(OR(D3300="",D3300=0),"VALOR_PC vazio ou zero",IF(AND(G3300&lt;&gt;"Sim",G3300&lt;&gt;"Nao",G3300&lt;&gt;""),"PC_PAGO_A_CONTRATADA invalido",IF(AND(C3300&lt;&gt;"C0",IFERROR(INDEX(parametros!$A$2:$A$6,MATCH(C3300,parametros!$B$2:$B$6,0)),"")="Sim",IFERROR(INDEX(parametros!$H$2:$H$6,MATCH(C3300,parametros!$B$2:$B$6,0)),"")=""),"INICIO_EFEITO ausente: PC "&amp;A3300&amp;" - "&amp;C3300,IF(L3300="","EFEITO_PC nao calculado: PC "&amp;A3300&amp;" - "&amp;C3300,"OK")))))))))</f>
        <v/>
      </c>
      <c r="L3300" s="92" t="str">
        <f>IF(AND(A3300="",B3300="",D3300="",G3300=""),"",IF(OR(B3300="",NOT(ISNUMBER(B3300)),C3300="",C3300="Fora dos ciclos"),"",IF(C3300="C0","Nao",IF(IFERROR(INDEX(parametros!$A$2:$A$6,MATCH(C3300,parametros!$B$2:$B$6,0)),"")&lt;&gt;"Sim","Nao",IF(IFERROR(INDEX(parametros!$H$2:$H$6,MATCH(C3300,parametros!$B$2:$B$6,0)),"")="","",IF(B3300&gt;=IFERROR(INDEX(parametros!$H$2:$H$6,MATCH(C3300,parametros!$B$2:$B$6,0)),""),"Sim","Nao"))))))</f>
        <v/>
      </c>
      <c r="T3300" s="156"/>
      <c r="U3300" s="214" t="str">
        <f t="shared" si="261"/>
        <v/>
      </c>
      <c r="V3300" s="212" t="s">
        <v>50</v>
      </c>
      <c r="W3300" s="100" t="s">
        <v>168</v>
      </c>
      <c r="X3300" s="100" t="s">
        <v>169</v>
      </c>
      <c r="Y3300" s="101" t="s">
        <v>170</v>
      </c>
      <c r="Z3300" s="101" t="s">
        <v>171</v>
      </c>
      <c r="AA3300" s="101" t="s">
        <v>50</v>
      </c>
      <c r="AB3300" s="101" t="s">
        <v>172</v>
      </c>
      <c r="AC3300" s="102" t="s">
        <v>173</v>
      </c>
    </row>
    <row r="3301" spans="1:29" ht="25.5" customHeight="1" x14ac:dyDescent="0.35">
      <c r="A3301" s="392"/>
      <c r="B3301" s="393"/>
      <c r="C3301" s="99" t="str">
        <f>IF(B3301="","",IF(NOT(ISNUMBER(B3301)),"DATA_PC invalida",IF(NOT(ISNUMBER(parametros!$C$2)),"Fora dos ciclos",IF(OR(B3301&lt;parametros!$C$2,(YEAR(B3301)-YEAR(parametros!$C$2))*12+MONTH(B3301)-MONTH(parametros!$C$2)&gt;59),"Fora dos ciclos","C"&amp;INT(((YEAR(B3301)-YEAR(parametros!$C$2))*12+MONTH(B3301)-MONTH(parametros!$C$2))/12)))))</f>
        <v/>
      </c>
      <c r="D3301" s="394"/>
      <c r="E3301" s="78" t="str">
        <f>IF(C3301="","",IFERROR(VLOOKUP(C3301,parametros!$A$11:$E$15,5,0),""))</f>
        <v/>
      </c>
      <c r="F3301" s="79" t="str">
        <f t="shared" si="257"/>
        <v/>
      </c>
      <c r="G3301" s="395"/>
      <c r="H3301" s="91">
        <f t="shared" si="258"/>
        <v>0</v>
      </c>
      <c r="I3301" s="91" t="str">
        <f t="shared" si="259"/>
        <v/>
      </c>
      <c r="J3301" s="91" t="str">
        <f t="shared" si="260"/>
        <v/>
      </c>
      <c r="K3301" s="92" t="str">
        <f>IF(AND(A3301="",B3301="",D3301="",G3301=""),"",IF(AND(A3301&lt;&gt;"",COUNTIF($A$2:$A$5001,A3301)&gt;1),"NUMERO_PC duplicado",IF(B3301="","DATA_PC vazia",IF(NOT(ISNUMBER(B3301)),"DATA_PC invalida",IF(OR(C3301="",C3301="Fora dos ciclos"),"CICLO_PC nao identificado",IF(OR(D3301="",D3301=0),"VALOR_PC vazio ou zero",IF(AND(G3301&lt;&gt;"Sim",G3301&lt;&gt;"Nao",G3301&lt;&gt;""),"PC_PAGO_A_CONTRATADA invalido",IF(AND(C3301&lt;&gt;"C0",IFERROR(INDEX(parametros!$A$2:$A$6,MATCH(C3301,parametros!$B$2:$B$6,0)),"")="Sim",IFERROR(INDEX(parametros!$H$2:$H$6,MATCH(C3301,parametros!$B$2:$B$6,0)),"")=""),"INICIO_EFEITO ausente: PC "&amp;A3301&amp;" - "&amp;C3301,IF(L3301="","EFEITO_PC nao calculado: PC "&amp;A3301&amp;" - "&amp;C3301,"OK")))))))))</f>
        <v/>
      </c>
      <c r="L3301" s="92" t="str">
        <f>IF(AND(A3301="",B3301="",D3301="",G3301=""),"",IF(OR(B3301="",NOT(ISNUMBER(B3301)),C3301="",C3301="Fora dos ciclos"),"",IF(C3301="C0","Nao",IF(IFERROR(INDEX(parametros!$A$2:$A$6,MATCH(C3301,parametros!$B$2:$B$6,0)),"")&lt;&gt;"Sim","Nao",IF(IFERROR(INDEX(parametros!$H$2:$H$6,MATCH(C3301,parametros!$B$2:$B$6,0)),"")="","",IF(B3301&gt;=IFERROR(INDEX(parametros!$H$2:$H$6,MATCH(C3301,parametros!$B$2:$B$6,0)),""),"Sim","Nao"))))))</f>
        <v/>
      </c>
      <c r="T3301" s="156"/>
      <c r="U3301" s="214" t="str">
        <f t="shared" si="261"/>
        <v/>
      </c>
      <c r="V3301" s="212" t="s">
        <v>50</v>
      </c>
      <c r="W3301" s="100" t="s">
        <v>168</v>
      </c>
      <c r="X3301" s="100" t="s">
        <v>169</v>
      </c>
      <c r="Y3301" s="101" t="s">
        <v>170</v>
      </c>
      <c r="Z3301" s="101" t="s">
        <v>171</v>
      </c>
      <c r="AA3301" s="101" t="s">
        <v>50</v>
      </c>
      <c r="AB3301" s="101" t="s">
        <v>172</v>
      </c>
      <c r="AC3301" s="102" t="s">
        <v>173</v>
      </c>
    </row>
    <row r="3302" spans="1:29" ht="25.5" customHeight="1" x14ac:dyDescent="0.35">
      <c r="A3302" s="392"/>
      <c r="B3302" s="393"/>
      <c r="C3302" s="99" t="str">
        <f>IF(B3302="","",IF(NOT(ISNUMBER(B3302)),"DATA_PC invalida",IF(NOT(ISNUMBER(parametros!$C$2)),"Fora dos ciclos",IF(OR(B3302&lt;parametros!$C$2,(YEAR(B3302)-YEAR(parametros!$C$2))*12+MONTH(B3302)-MONTH(parametros!$C$2)&gt;59),"Fora dos ciclos","C"&amp;INT(((YEAR(B3302)-YEAR(parametros!$C$2))*12+MONTH(B3302)-MONTH(parametros!$C$2))/12)))))</f>
        <v/>
      </c>
      <c r="D3302" s="394"/>
      <c r="E3302" s="78" t="str">
        <f>IF(C3302="","",IFERROR(VLOOKUP(C3302,parametros!$A$11:$E$15,5,0),""))</f>
        <v/>
      </c>
      <c r="F3302" s="79" t="str">
        <f t="shared" si="257"/>
        <v/>
      </c>
      <c r="G3302" s="395"/>
      <c r="H3302" s="91">
        <f t="shared" si="258"/>
        <v>0</v>
      </c>
      <c r="I3302" s="91" t="str">
        <f t="shared" si="259"/>
        <v/>
      </c>
      <c r="J3302" s="91" t="str">
        <f t="shared" si="260"/>
        <v/>
      </c>
      <c r="K3302" s="92" t="str">
        <f>IF(AND(A3302="",B3302="",D3302="",G3302=""),"",IF(AND(A3302&lt;&gt;"",COUNTIF($A$2:$A$5001,A3302)&gt;1),"NUMERO_PC duplicado",IF(B3302="","DATA_PC vazia",IF(NOT(ISNUMBER(B3302)),"DATA_PC invalida",IF(OR(C3302="",C3302="Fora dos ciclos"),"CICLO_PC nao identificado",IF(OR(D3302="",D3302=0),"VALOR_PC vazio ou zero",IF(AND(G3302&lt;&gt;"Sim",G3302&lt;&gt;"Nao",G3302&lt;&gt;""),"PC_PAGO_A_CONTRATADA invalido",IF(AND(C3302&lt;&gt;"C0",IFERROR(INDEX(parametros!$A$2:$A$6,MATCH(C3302,parametros!$B$2:$B$6,0)),"")="Sim",IFERROR(INDEX(parametros!$H$2:$H$6,MATCH(C3302,parametros!$B$2:$B$6,0)),"")=""),"INICIO_EFEITO ausente: PC "&amp;A3302&amp;" - "&amp;C3302,IF(L3302="","EFEITO_PC nao calculado: PC "&amp;A3302&amp;" - "&amp;C3302,"OK")))))))))</f>
        <v/>
      </c>
      <c r="L3302" s="92" t="str">
        <f>IF(AND(A3302="",B3302="",D3302="",G3302=""),"",IF(OR(B3302="",NOT(ISNUMBER(B3302)),C3302="",C3302="Fora dos ciclos"),"",IF(C3302="C0","Nao",IF(IFERROR(INDEX(parametros!$A$2:$A$6,MATCH(C3302,parametros!$B$2:$B$6,0)),"")&lt;&gt;"Sim","Nao",IF(IFERROR(INDEX(parametros!$H$2:$H$6,MATCH(C3302,parametros!$B$2:$B$6,0)),"")="","",IF(B3302&gt;=IFERROR(INDEX(parametros!$H$2:$H$6,MATCH(C3302,parametros!$B$2:$B$6,0)),""),"Sim","Nao"))))))</f>
        <v/>
      </c>
      <c r="T3302" s="156"/>
      <c r="U3302" s="214" t="str">
        <f t="shared" si="261"/>
        <v/>
      </c>
      <c r="V3302" s="212" t="s">
        <v>50</v>
      </c>
      <c r="W3302" s="100" t="s">
        <v>168</v>
      </c>
      <c r="X3302" s="100" t="s">
        <v>169</v>
      </c>
      <c r="Y3302" s="101" t="s">
        <v>170</v>
      </c>
      <c r="Z3302" s="101" t="s">
        <v>171</v>
      </c>
      <c r="AA3302" s="101" t="s">
        <v>50</v>
      </c>
      <c r="AB3302" s="101" t="s">
        <v>172</v>
      </c>
      <c r="AC3302" s="102" t="s">
        <v>173</v>
      </c>
    </row>
    <row r="3303" spans="1:29" ht="25.5" customHeight="1" x14ac:dyDescent="0.35">
      <c r="A3303" s="392"/>
      <c r="B3303" s="393"/>
      <c r="C3303" s="99" t="str">
        <f>IF(B3303="","",IF(NOT(ISNUMBER(B3303)),"DATA_PC invalida",IF(NOT(ISNUMBER(parametros!$C$2)),"Fora dos ciclos",IF(OR(B3303&lt;parametros!$C$2,(YEAR(B3303)-YEAR(parametros!$C$2))*12+MONTH(B3303)-MONTH(parametros!$C$2)&gt;59),"Fora dos ciclos","C"&amp;INT(((YEAR(B3303)-YEAR(parametros!$C$2))*12+MONTH(B3303)-MONTH(parametros!$C$2))/12)))))</f>
        <v/>
      </c>
      <c r="D3303" s="394"/>
      <c r="E3303" s="78" t="str">
        <f>IF(C3303="","",IFERROR(VLOOKUP(C3303,parametros!$A$11:$E$15,5,0),""))</f>
        <v/>
      </c>
      <c r="F3303" s="79" t="str">
        <f t="shared" si="257"/>
        <v/>
      </c>
      <c r="G3303" s="395"/>
      <c r="H3303" s="91">
        <f t="shared" si="258"/>
        <v>0</v>
      </c>
      <c r="I3303" s="91" t="str">
        <f t="shared" si="259"/>
        <v/>
      </c>
      <c r="J3303" s="91" t="str">
        <f t="shared" si="260"/>
        <v/>
      </c>
      <c r="K3303" s="92" t="str">
        <f>IF(AND(A3303="",B3303="",D3303="",G3303=""),"",IF(AND(A3303&lt;&gt;"",COUNTIF($A$2:$A$5001,A3303)&gt;1),"NUMERO_PC duplicado",IF(B3303="","DATA_PC vazia",IF(NOT(ISNUMBER(B3303)),"DATA_PC invalida",IF(OR(C3303="",C3303="Fora dos ciclos"),"CICLO_PC nao identificado",IF(OR(D3303="",D3303=0),"VALOR_PC vazio ou zero",IF(AND(G3303&lt;&gt;"Sim",G3303&lt;&gt;"Nao",G3303&lt;&gt;""),"PC_PAGO_A_CONTRATADA invalido",IF(AND(C3303&lt;&gt;"C0",IFERROR(INDEX(parametros!$A$2:$A$6,MATCH(C3303,parametros!$B$2:$B$6,0)),"")="Sim",IFERROR(INDEX(parametros!$H$2:$H$6,MATCH(C3303,parametros!$B$2:$B$6,0)),"")=""),"INICIO_EFEITO ausente: PC "&amp;A3303&amp;" - "&amp;C3303,IF(L3303="","EFEITO_PC nao calculado: PC "&amp;A3303&amp;" - "&amp;C3303,"OK")))))))))</f>
        <v/>
      </c>
      <c r="L3303" s="92" t="str">
        <f>IF(AND(A3303="",B3303="",D3303="",G3303=""),"",IF(OR(B3303="",NOT(ISNUMBER(B3303)),C3303="",C3303="Fora dos ciclos"),"",IF(C3303="C0","Nao",IF(IFERROR(INDEX(parametros!$A$2:$A$6,MATCH(C3303,parametros!$B$2:$B$6,0)),"")&lt;&gt;"Sim","Nao",IF(IFERROR(INDEX(parametros!$H$2:$H$6,MATCH(C3303,parametros!$B$2:$B$6,0)),"")="","",IF(B3303&gt;=IFERROR(INDEX(parametros!$H$2:$H$6,MATCH(C3303,parametros!$B$2:$B$6,0)),""),"Sim","Nao"))))))</f>
        <v/>
      </c>
      <c r="T3303" s="156"/>
      <c r="U3303" s="214" t="str">
        <f t="shared" si="261"/>
        <v/>
      </c>
      <c r="V3303" s="212" t="s">
        <v>50</v>
      </c>
      <c r="W3303" s="100" t="s">
        <v>168</v>
      </c>
      <c r="X3303" s="100" t="s">
        <v>169</v>
      </c>
      <c r="Y3303" s="101" t="s">
        <v>170</v>
      </c>
      <c r="Z3303" s="101" t="s">
        <v>171</v>
      </c>
      <c r="AA3303" s="101" t="s">
        <v>50</v>
      </c>
      <c r="AB3303" s="101" t="s">
        <v>172</v>
      </c>
      <c r="AC3303" s="102" t="s">
        <v>173</v>
      </c>
    </row>
    <row r="3304" spans="1:29" ht="25.5" customHeight="1" x14ac:dyDescent="0.35">
      <c r="A3304" s="392"/>
      <c r="B3304" s="393"/>
      <c r="C3304" s="99" t="str">
        <f>IF(B3304="","",IF(NOT(ISNUMBER(B3304)),"DATA_PC invalida",IF(NOT(ISNUMBER(parametros!$C$2)),"Fora dos ciclos",IF(OR(B3304&lt;parametros!$C$2,(YEAR(B3304)-YEAR(parametros!$C$2))*12+MONTH(B3304)-MONTH(parametros!$C$2)&gt;59),"Fora dos ciclos","C"&amp;INT(((YEAR(B3304)-YEAR(parametros!$C$2))*12+MONTH(B3304)-MONTH(parametros!$C$2))/12)))))</f>
        <v/>
      </c>
      <c r="D3304" s="394"/>
      <c r="E3304" s="78" t="str">
        <f>IF(C3304="","",IFERROR(VLOOKUP(C3304,parametros!$A$11:$E$15,5,0),""))</f>
        <v/>
      </c>
      <c r="F3304" s="79" t="str">
        <f t="shared" si="257"/>
        <v/>
      </c>
      <c r="G3304" s="395"/>
      <c r="H3304" s="91">
        <f t="shared" si="258"/>
        <v>0</v>
      </c>
      <c r="I3304" s="91" t="str">
        <f t="shared" si="259"/>
        <v/>
      </c>
      <c r="J3304" s="91" t="str">
        <f t="shared" si="260"/>
        <v/>
      </c>
      <c r="K3304" s="92" t="str">
        <f>IF(AND(A3304="",B3304="",D3304="",G3304=""),"",IF(AND(A3304&lt;&gt;"",COUNTIF($A$2:$A$5001,A3304)&gt;1),"NUMERO_PC duplicado",IF(B3304="","DATA_PC vazia",IF(NOT(ISNUMBER(B3304)),"DATA_PC invalida",IF(OR(C3304="",C3304="Fora dos ciclos"),"CICLO_PC nao identificado",IF(OR(D3304="",D3304=0),"VALOR_PC vazio ou zero",IF(AND(G3304&lt;&gt;"Sim",G3304&lt;&gt;"Nao",G3304&lt;&gt;""),"PC_PAGO_A_CONTRATADA invalido",IF(AND(C3304&lt;&gt;"C0",IFERROR(INDEX(parametros!$A$2:$A$6,MATCH(C3304,parametros!$B$2:$B$6,0)),"")="Sim",IFERROR(INDEX(parametros!$H$2:$H$6,MATCH(C3304,parametros!$B$2:$B$6,0)),"")=""),"INICIO_EFEITO ausente: PC "&amp;A3304&amp;" - "&amp;C3304,IF(L3304="","EFEITO_PC nao calculado: PC "&amp;A3304&amp;" - "&amp;C3304,"OK")))))))))</f>
        <v/>
      </c>
      <c r="L3304" s="92" t="str">
        <f>IF(AND(A3304="",B3304="",D3304="",G3304=""),"",IF(OR(B3304="",NOT(ISNUMBER(B3304)),C3304="",C3304="Fora dos ciclos"),"",IF(C3304="C0","Nao",IF(IFERROR(INDEX(parametros!$A$2:$A$6,MATCH(C3304,parametros!$B$2:$B$6,0)),"")&lt;&gt;"Sim","Nao",IF(IFERROR(INDEX(parametros!$H$2:$H$6,MATCH(C3304,parametros!$B$2:$B$6,0)),"")="","",IF(B3304&gt;=IFERROR(INDEX(parametros!$H$2:$H$6,MATCH(C3304,parametros!$B$2:$B$6,0)),""),"Sim","Nao"))))))</f>
        <v/>
      </c>
      <c r="T3304" s="156"/>
      <c r="U3304" s="214" t="str">
        <f t="shared" si="261"/>
        <v/>
      </c>
      <c r="V3304" s="212" t="s">
        <v>50</v>
      </c>
      <c r="W3304" s="100" t="s">
        <v>168</v>
      </c>
      <c r="X3304" s="100" t="s">
        <v>169</v>
      </c>
      <c r="Y3304" s="101" t="s">
        <v>170</v>
      </c>
      <c r="Z3304" s="101" t="s">
        <v>171</v>
      </c>
      <c r="AA3304" s="101" t="s">
        <v>50</v>
      </c>
      <c r="AB3304" s="101" t="s">
        <v>172</v>
      </c>
      <c r="AC3304" s="102" t="s">
        <v>173</v>
      </c>
    </row>
    <row r="3305" spans="1:29" ht="25.5" customHeight="1" x14ac:dyDescent="0.35">
      <c r="A3305" s="392"/>
      <c r="B3305" s="393"/>
      <c r="C3305" s="99" t="str">
        <f>IF(B3305="","",IF(NOT(ISNUMBER(B3305)),"DATA_PC invalida",IF(NOT(ISNUMBER(parametros!$C$2)),"Fora dos ciclos",IF(OR(B3305&lt;parametros!$C$2,(YEAR(B3305)-YEAR(parametros!$C$2))*12+MONTH(B3305)-MONTH(parametros!$C$2)&gt;59),"Fora dos ciclos","C"&amp;INT(((YEAR(B3305)-YEAR(parametros!$C$2))*12+MONTH(B3305)-MONTH(parametros!$C$2))/12)))))</f>
        <v/>
      </c>
      <c r="D3305" s="394"/>
      <c r="E3305" s="78" t="str">
        <f>IF(C3305="","",IFERROR(VLOOKUP(C3305,parametros!$A$11:$E$15,5,0),""))</f>
        <v/>
      </c>
      <c r="F3305" s="79" t="str">
        <f t="shared" si="257"/>
        <v/>
      </c>
      <c r="G3305" s="395"/>
      <c r="H3305" s="91">
        <f t="shared" si="258"/>
        <v>0</v>
      </c>
      <c r="I3305" s="91" t="str">
        <f t="shared" si="259"/>
        <v/>
      </c>
      <c r="J3305" s="91" t="str">
        <f t="shared" si="260"/>
        <v/>
      </c>
      <c r="K3305" s="92" t="str">
        <f>IF(AND(A3305="",B3305="",D3305="",G3305=""),"",IF(AND(A3305&lt;&gt;"",COUNTIF($A$2:$A$5001,A3305)&gt;1),"NUMERO_PC duplicado",IF(B3305="","DATA_PC vazia",IF(NOT(ISNUMBER(B3305)),"DATA_PC invalida",IF(OR(C3305="",C3305="Fora dos ciclos"),"CICLO_PC nao identificado",IF(OR(D3305="",D3305=0),"VALOR_PC vazio ou zero",IF(AND(G3305&lt;&gt;"Sim",G3305&lt;&gt;"Nao",G3305&lt;&gt;""),"PC_PAGO_A_CONTRATADA invalido",IF(AND(C3305&lt;&gt;"C0",IFERROR(INDEX(parametros!$A$2:$A$6,MATCH(C3305,parametros!$B$2:$B$6,0)),"")="Sim",IFERROR(INDEX(parametros!$H$2:$H$6,MATCH(C3305,parametros!$B$2:$B$6,0)),"")=""),"INICIO_EFEITO ausente: PC "&amp;A3305&amp;" - "&amp;C3305,IF(L3305="","EFEITO_PC nao calculado: PC "&amp;A3305&amp;" - "&amp;C3305,"OK")))))))))</f>
        <v/>
      </c>
      <c r="L3305" s="92" t="str">
        <f>IF(AND(A3305="",B3305="",D3305="",G3305=""),"",IF(OR(B3305="",NOT(ISNUMBER(B3305)),C3305="",C3305="Fora dos ciclos"),"",IF(C3305="C0","Nao",IF(IFERROR(INDEX(parametros!$A$2:$A$6,MATCH(C3305,parametros!$B$2:$B$6,0)),"")&lt;&gt;"Sim","Nao",IF(IFERROR(INDEX(parametros!$H$2:$H$6,MATCH(C3305,parametros!$B$2:$B$6,0)),"")="","",IF(B3305&gt;=IFERROR(INDEX(parametros!$H$2:$H$6,MATCH(C3305,parametros!$B$2:$B$6,0)),""),"Sim","Nao"))))))</f>
        <v/>
      </c>
      <c r="T3305" s="156"/>
      <c r="U3305" s="214" t="str">
        <f t="shared" si="261"/>
        <v/>
      </c>
      <c r="V3305" s="212" t="s">
        <v>50</v>
      </c>
      <c r="W3305" s="100" t="s">
        <v>168</v>
      </c>
      <c r="X3305" s="100" t="s">
        <v>169</v>
      </c>
      <c r="Y3305" s="101" t="s">
        <v>170</v>
      </c>
      <c r="Z3305" s="101" t="s">
        <v>171</v>
      </c>
      <c r="AA3305" s="101" t="s">
        <v>50</v>
      </c>
      <c r="AB3305" s="101" t="s">
        <v>172</v>
      </c>
      <c r="AC3305" s="102" t="s">
        <v>173</v>
      </c>
    </row>
    <row r="3306" spans="1:29" ht="25.5" customHeight="1" x14ac:dyDescent="0.35">
      <c r="A3306" s="392"/>
      <c r="B3306" s="393"/>
      <c r="C3306" s="99" t="str">
        <f>IF(B3306="","",IF(NOT(ISNUMBER(B3306)),"DATA_PC invalida",IF(NOT(ISNUMBER(parametros!$C$2)),"Fora dos ciclos",IF(OR(B3306&lt;parametros!$C$2,(YEAR(B3306)-YEAR(parametros!$C$2))*12+MONTH(B3306)-MONTH(parametros!$C$2)&gt;59),"Fora dos ciclos","C"&amp;INT(((YEAR(B3306)-YEAR(parametros!$C$2))*12+MONTH(B3306)-MONTH(parametros!$C$2))/12)))))</f>
        <v/>
      </c>
      <c r="D3306" s="394"/>
      <c r="E3306" s="78" t="str">
        <f>IF(C3306="","",IFERROR(VLOOKUP(C3306,parametros!$A$11:$E$15,5,0),""))</f>
        <v/>
      </c>
      <c r="F3306" s="79" t="str">
        <f t="shared" si="257"/>
        <v/>
      </c>
      <c r="G3306" s="395"/>
      <c r="H3306" s="91">
        <f t="shared" si="258"/>
        <v>0</v>
      </c>
      <c r="I3306" s="91" t="str">
        <f t="shared" si="259"/>
        <v/>
      </c>
      <c r="J3306" s="91" t="str">
        <f t="shared" si="260"/>
        <v/>
      </c>
      <c r="K3306" s="92" t="str">
        <f>IF(AND(A3306="",B3306="",D3306="",G3306=""),"",IF(AND(A3306&lt;&gt;"",COUNTIF($A$2:$A$5001,A3306)&gt;1),"NUMERO_PC duplicado",IF(B3306="","DATA_PC vazia",IF(NOT(ISNUMBER(B3306)),"DATA_PC invalida",IF(OR(C3306="",C3306="Fora dos ciclos"),"CICLO_PC nao identificado",IF(OR(D3306="",D3306=0),"VALOR_PC vazio ou zero",IF(AND(G3306&lt;&gt;"Sim",G3306&lt;&gt;"Nao",G3306&lt;&gt;""),"PC_PAGO_A_CONTRATADA invalido",IF(AND(C3306&lt;&gt;"C0",IFERROR(INDEX(parametros!$A$2:$A$6,MATCH(C3306,parametros!$B$2:$B$6,0)),"")="Sim",IFERROR(INDEX(parametros!$H$2:$H$6,MATCH(C3306,parametros!$B$2:$B$6,0)),"")=""),"INICIO_EFEITO ausente: PC "&amp;A3306&amp;" - "&amp;C3306,IF(L3306="","EFEITO_PC nao calculado: PC "&amp;A3306&amp;" - "&amp;C3306,"OK")))))))))</f>
        <v/>
      </c>
      <c r="L3306" s="92" t="str">
        <f>IF(AND(A3306="",B3306="",D3306="",G3306=""),"",IF(OR(B3306="",NOT(ISNUMBER(B3306)),C3306="",C3306="Fora dos ciclos"),"",IF(C3306="C0","Nao",IF(IFERROR(INDEX(parametros!$A$2:$A$6,MATCH(C3306,parametros!$B$2:$B$6,0)),"")&lt;&gt;"Sim","Nao",IF(IFERROR(INDEX(parametros!$H$2:$H$6,MATCH(C3306,parametros!$B$2:$B$6,0)),"")="","",IF(B3306&gt;=IFERROR(INDEX(parametros!$H$2:$H$6,MATCH(C3306,parametros!$B$2:$B$6,0)),""),"Sim","Nao"))))))</f>
        <v/>
      </c>
      <c r="T3306" s="156"/>
      <c r="U3306" s="214" t="str">
        <f t="shared" si="261"/>
        <v/>
      </c>
      <c r="V3306" s="212" t="s">
        <v>50</v>
      </c>
      <c r="W3306" s="100" t="s">
        <v>168</v>
      </c>
      <c r="X3306" s="100" t="s">
        <v>169</v>
      </c>
      <c r="Y3306" s="101" t="s">
        <v>170</v>
      </c>
      <c r="Z3306" s="101" t="s">
        <v>171</v>
      </c>
      <c r="AA3306" s="101" t="s">
        <v>50</v>
      </c>
      <c r="AB3306" s="101" t="s">
        <v>172</v>
      </c>
      <c r="AC3306" s="102" t="s">
        <v>173</v>
      </c>
    </row>
    <row r="3307" spans="1:29" ht="25.5" customHeight="1" x14ac:dyDescent="0.35">
      <c r="A3307" s="392"/>
      <c r="B3307" s="393"/>
      <c r="C3307" s="99" t="str">
        <f>IF(B3307="","",IF(NOT(ISNUMBER(B3307)),"DATA_PC invalida",IF(NOT(ISNUMBER(parametros!$C$2)),"Fora dos ciclos",IF(OR(B3307&lt;parametros!$C$2,(YEAR(B3307)-YEAR(parametros!$C$2))*12+MONTH(B3307)-MONTH(parametros!$C$2)&gt;59),"Fora dos ciclos","C"&amp;INT(((YEAR(B3307)-YEAR(parametros!$C$2))*12+MONTH(B3307)-MONTH(parametros!$C$2))/12)))))</f>
        <v/>
      </c>
      <c r="D3307" s="394"/>
      <c r="E3307" s="78" t="str">
        <f>IF(C3307="","",IFERROR(VLOOKUP(C3307,parametros!$A$11:$E$15,5,0),""))</f>
        <v/>
      </c>
      <c r="F3307" s="79" t="str">
        <f t="shared" si="257"/>
        <v/>
      </c>
      <c r="G3307" s="395"/>
      <c r="H3307" s="91">
        <f t="shared" si="258"/>
        <v>0</v>
      </c>
      <c r="I3307" s="91" t="str">
        <f t="shared" si="259"/>
        <v/>
      </c>
      <c r="J3307" s="91" t="str">
        <f t="shared" si="260"/>
        <v/>
      </c>
      <c r="K3307" s="92" t="str">
        <f>IF(AND(A3307="",B3307="",D3307="",G3307=""),"",IF(AND(A3307&lt;&gt;"",COUNTIF($A$2:$A$5001,A3307)&gt;1),"NUMERO_PC duplicado",IF(B3307="","DATA_PC vazia",IF(NOT(ISNUMBER(B3307)),"DATA_PC invalida",IF(OR(C3307="",C3307="Fora dos ciclos"),"CICLO_PC nao identificado",IF(OR(D3307="",D3307=0),"VALOR_PC vazio ou zero",IF(AND(G3307&lt;&gt;"Sim",G3307&lt;&gt;"Nao",G3307&lt;&gt;""),"PC_PAGO_A_CONTRATADA invalido",IF(AND(C3307&lt;&gt;"C0",IFERROR(INDEX(parametros!$A$2:$A$6,MATCH(C3307,parametros!$B$2:$B$6,0)),"")="Sim",IFERROR(INDEX(parametros!$H$2:$H$6,MATCH(C3307,parametros!$B$2:$B$6,0)),"")=""),"INICIO_EFEITO ausente: PC "&amp;A3307&amp;" - "&amp;C3307,IF(L3307="","EFEITO_PC nao calculado: PC "&amp;A3307&amp;" - "&amp;C3307,"OK")))))))))</f>
        <v/>
      </c>
      <c r="L3307" s="92" t="str">
        <f>IF(AND(A3307="",B3307="",D3307="",G3307=""),"",IF(OR(B3307="",NOT(ISNUMBER(B3307)),C3307="",C3307="Fora dos ciclos"),"",IF(C3307="C0","Nao",IF(IFERROR(INDEX(parametros!$A$2:$A$6,MATCH(C3307,parametros!$B$2:$B$6,0)),"")&lt;&gt;"Sim","Nao",IF(IFERROR(INDEX(parametros!$H$2:$H$6,MATCH(C3307,parametros!$B$2:$B$6,0)),"")="","",IF(B3307&gt;=IFERROR(INDEX(parametros!$H$2:$H$6,MATCH(C3307,parametros!$B$2:$B$6,0)),""),"Sim","Nao"))))))</f>
        <v/>
      </c>
      <c r="T3307" s="156"/>
      <c r="U3307" s="214" t="str">
        <f t="shared" si="261"/>
        <v/>
      </c>
      <c r="V3307" s="212" t="s">
        <v>50</v>
      </c>
      <c r="W3307" s="100" t="s">
        <v>168</v>
      </c>
      <c r="X3307" s="100" t="s">
        <v>169</v>
      </c>
      <c r="Y3307" s="101" t="s">
        <v>170</v>
      </c>
      <c r="Z3307" s="101" t="s">
        <v>171</v>
      </c>
      <c r="AA3307" s="101" t="s">
        <v>50</v>
      </c>
      <c r="AB3307" s="101" t="s">
        <v>172</v>
      </c>
      <c r="AC3307" s="102" t="s">
        <v>173</v>
      </c>
    </row>
    <row r="3308" spans="1:29" ht="25.5" customHeight="1" x14ac:dyDescent="0.35">
      <c r="A3308" s="392"/>
      <c r="B3308" s="393"/>
      <c r="C3308" s="99" t="str">
        <f>IF(B3308="","",IF(NOT(ISNUMBER(B3308)),"DATA_PC invalida",IF(NOT(ISNUMBER(parametros!$C$2)),"Fora dos ciclos",IF(OR(B3308&lt;parametros!$C$2,(YEAR(B3308)-YEAR(parametros!$C$2))*12+MONTH(B3308)-MONTH(parametros!$C$2)&gt;59),"Fora dos ciclos","C"&amp;INT(((YEAR(B3308)-YEAR(parametros!$C$2))*12+MONTH(B3308)-MONTH(parametros!$C$2))/12)))))</f>
        <v/>
      </c>
      <c r="D3308" s="394"/>
      <c r="E3308" s="78" t="str">
        <f>IF(C3308="","",IFERROR(VLOOKUP(C3308,parametros!$A$11:$E$15,5,0),""))</f>
        <v/>
      </c>
      <c r="F3308" s="79" t="str">
        <f t="shared" si="257"/>
        <v/>
      </c>
      <c r="G3308" s="395"/>
      <c r="H3308" s="91">
        <f t="shared" si="258"/>
        <v>0</v>
      </c>
      <c r="I3308" s="91" t="str">
        <f t="shared" si="259"/>
        <v/>
      </c>
      <c r="J3308" s="91" t="str">
        <f t="shared" si="260"/>
        <v/>
      </c>
      <c r="K3308" s="92" t="str">
        <f>IF(AND(A3308="",B3308="",D3308="",G3308=""),"",IF(AND(A3308&lt;&gt;"",COUNTIF($A$2:$A$5001,A3308)&gt;1),"NUMERO_PC duplicado",IF(B3308="","DATA_PC vazia",IF(NOT(ISNUMBER(B3308)),"DATA_PC invalida",IF(OR(C3308="",C3308="Fora dos ciclos"),"CICLO_PC nao identificado",IF(OR(D3308="",D3308=0),"VALOR_PC vazio ou zero",IF(AND(G3308&lt;&gt;"Sim",G3308&lt;&gt;"Nao",G3308&lt;&gt;""),"PC_PAGO_A_CONTRATADA invalido",IF(AND(C3308&lt;&gt;"C0",IFERROR(INDEX(parametros!$A$2:$A$6,MATCH(C3308,parametros!$B$2:$B$6,0)),"")="Sim",IFERROR(INDEX(parametros!$H$2:$H$6,MATCH(C3308,parametros!$B$2:$B$6,0)),"")=""),"INICIO_EFEITO ausente: PC "&amp;A3308&amp;" - "&amp;C3308,IF(L3308="","EFEITO_PC nao calculado: PC "&amp;A3308&amp;" - "&amp;C3308,"OK")))))))))</f>
        <v/>
      </c>
      <c r="L3308" s="92" t="str">
        <f>IF(AND(A3308="",B3308="",D3308="",G3308=""),"",IF(OR(B3308="",NOT(ISNUMBER(B3308)),C3308="",C3308="Fora dos ciclos"),"",IF(C3308="C0","Nao",IF(IFERROR(INDEX(parametros!$A$2:$A$6,MATCH(C3308,parametros!$B$2:$B$6,0)),"")&lt;&gt;"Sim","Nao",IF(IFERROR(INDEX(parametros!$H$2:$H$6,MATCH(C3308,parametros!$B$2:$B$6,0)),"")="","",IF(B3308&gt;=IFERROR(INDEX(parametros!$H$2:$H$6,MATCH(C3308,parametros!$B$2:$B$6,0)),""),"Sim","Nao"))))))</f>
        <v/>
      </c>
      <c r="T3308" s="156"/>
      <c r="U3308" s="214" t="str">
        <f t="shared" si="261"/>
        <v/>
      </c>
      <c r="V3308" s="212" t="s">
        <v>50</v>
      </c>
      <c r="W3308" s="100" t="s">
        <v>168</v>
      </c>
      <c r="X3308" s="100" t="s">
        <v>169</v>
      </c>
      <c r="Y3308" s="101" t="s">
        <v>170</v>
      </c>
      <c r="Z3308" s="101" t="s">
        <v>171</v>
      </c>
      <c r="AA3308" s="101" t="s">
        <v>50</v>
      </c>
      <c r="AB3308" s="101" t="s">
        <v>172</v>
      </c>
      <c r="AC3308" s="102" t="s">
        <v>173</v>
      </c>
    </row>
    <row r="3309" spans="1:29" ht="25.5" customHeight="1" x14ac:dyDescent="0.35">
      <c r="A3309" s="392"/>
      <c r="B3309" s="393"/>
      <c r="C3309" s="99" t="str">
        <f>IF(B3309="","",IF(NOT(ISNUMBER(B3309)),"DATA_PC invalida",IF(NOT(ISNUMBER(parametros!$C$2)),"Fora dos ciclos",IF(OR(B3309&lt;parametros!$C$2,(YEAR(B3309)-YEAR(parametros!$C$2))*12+MONTH(B3309)-MONTH(parametros!$C$2)&gt;59),"Fora dos ciclos","C"&amp;INT(((YEAR(B3309)-YEAR(parametros!$C$2))*12+MONTH(B3309)-MONTH(parametros!$C$2))/12)))))</f>
        <v/>
      </c>
      <c r="D3309" s="394"/>
      <c r="E3309" s="78" t="str">
        <f>IF(C3309="","",IFERROR(VLOOKUP(C3309,parametros!$A$11:$E$15,5,0),""))</f>
        <v/>
      </c>
      <c r="F3309" s="79" t="str">
        <f t="shared" si="257"/>
        <v/>
      </c>
      <c r="G3309" s="395"/>
      <c r="H3309" s="91">
        <f t="shared" si="258"/>
        <v>0</v>
      </c>
      <c r="I3309" s="91" t="str">
        <f t="shared" si="259"/>
        <v/>
      </c>
      <c r="J3309" s="91" t="str">
        <f t="shared" si="260"/>
        <v/>
      </c>
      <c r="K3309" s="92" t="str">
        <f>IF(AND(A3309="",B3309="",D3309="",G3309=""),"",IF(AND(A3309&lt;&gt;"",COUNTIF($A$2:$A$5001,A3309)&gt;1),"NUMERO_PC duplicado",IF(B3309="","DATA_PC vazia",IF(NOT(ISNUMBER(B3309)),"DATA_PC invalida",IF(OR(C3309="",C3309="Fora dos ciclos"),"CICLO_PC nao identificado",IF(OR(D3309="",D3309=0),"VALOR_PC vazio ou zero",IF(AND(G3309&lt;&gt;"Sim",G3309&lt;&gt;"Nao",G3309&lt;&gt;""),"PC_PAGO_A_CONTRATADA invalido",IF(AND(C3309&lt;&gt;"C0",IFERROR(INDEX(parametros!$A$2:$A$6,MATCH(C3309,parametros!$B$2:$B$6,0)),"")="Sim",IFERROR(INDEX(parametros!$H$2:$H$6,MATCH(C3309,parametros!$B$2:$B$6,0)),"")=""),"INICIO_EFEITO ausente: PC "&amp;A3309&amp;" - "&amp;C3309,IF(L3309="","EFEITO_PC nao calculado: PC "&amp;A3309&amp;" - "&amp;C3309,"OK")))))))))</f>
        <v/>
      </c>
      <c r="L3309" s="92" t="str">
        <f>IF(AND(A3309="",B3309="",D3309="",G3309=""),"",IF(OR(B3309="",NOT(ISNUMBER(B3309)),C3309="",C3309="Fora dos ciclos"),"",IF(C3309="C0","Nao",IF(IFERROR(INDEX(parametros!$A$2:$A$6,MATCH(C3309,parametros!$B$2:$B$6,0)),"")&lt;&gt;"Sim","Nao",IF(IFERROR(INDEX(parametros!$H$2:$H$6,MATCH(C3309,parametros!$B$2:$B$6,0)),"")="","",IF(B3309&gt;=IFERROR(INDEX(parametros!$H$2:$H$6,MATCH(C3309,parametros!$B$2:$B$6,0)),""),"Sim","Nao"))))))</f>
        <v/>
      </c>
      <c r="T3309" s="156"/>
      <c r="U3309" s="214" t="str">
        <f t="shared" si="261"/>
        <v/>
      </c>
      <c r="V3309" s="212" t="s">
        <v>50</v>
      </c>
      <c r="W3309" s="100" t="s">
        <v>168</v>
      </c>
      <c r="X3309" s="100" t="s">
        <v>169</v>
      </c>
      <c r="Y3309" s="101" t="s">
        <v>170</v>
      </c>
      <c r="Z3309" s="101" t="s">
        <v>171</v>
      </c>
      <c r="AA3309" s="101" t="s">
        <v>50</v>
      </c>
      <c r="AB3309" s="101" t="s">
        <v>172</v>
      </c>
      <c r="AC3309" s="102" t="s">
        <v>173</v>
      </c>
    </row>
    <row r="3310" spans="1:29" ht="25.5" customHeight="1" x14ac:dyDescent="0.35">
      <c r="A3310" s="392"/>
      <c r="B3310" s="393"/>
      <c r="C3310" s="99" t="str">
        <f>IF(B3310="","",IF(NOT(ISNUMBER(B3310)),"DATA_PC invalida",IF(NOT(ISNUMBER(parametros!$C$2)),"Fora dos ciclos",IF(OR(B3310&lt;parametros!$C$2,(YEAR(B3310)-YEAR(parametros!$C$2))*12+MONTH(B3310)-MONTH(parametros!$C$2)&gt;59),"Fora dos ciclos","C"&amp;INT(((YEAR(B3310)-YEAR(parametros!$C$2))*12+MONTH(B3310)-MONTH(parametros!$C$2))/12)))))</f>
        <v/>
      </c>
      <c r="D3310" s="394"/>
      <c r="E3310" s="78" t="str">
        <f>IF(C3310="","",IFERROR(VLOOKUP(C3310,parametros!$A$11:$E$15,5,0),""))</f>
        <v/>
      </c>
      <c r="F3310" s="79" t="str">
        <f t="shared" si="257"/>
        <v/>
      </c>
      <c r="G3310" s="395"/>
      <c r="H3310" s="91">
        <f t="shared" si="258"/>
        <v>0</v>
      </c>
      <c r="I3310" s="91" t="str">
        <f t="shared" si="259"/>
        <v/>
      </c>
      <c r="J3310" s="91" t="str">
        <f t="shared" si="260"/>
        <v/>
      </c>
      <c r="K3310" s="92" t="str">
        <f>IF(AND(A3310="",B3310="",D3310="",G3310=""),"",IF(AND(A3310&lt;&gt;"",COUNTIF($A$2:$A$5001,A3310)&gt;1),"NUMERO_PC duplicado",IF(B3310="","DATA_PC vazia",IF(NOT(ISNUMBER(B3310)),"DATA_PC invalida",IF(OR(C3310="",C3310="Fora dos ciclos"),"CICLO_PC nao identificado",IF(OR(D3310="",D3310=0),"VALOR_PC vazio ou zero",IF(AND(G3310&lt;&gt;"Sim",G3310&lt;&gt;"Nao",G3310&lt;&gt;""),"PC_PAGO_A_CONTRATADA invalido",IF(AND(C3310&lt;&gt;"C0",IFERROR(INDEX(parametros!$A$2:$A$6,MATCH(C3310,parametros!$B$2:$B$6,0)),"")="Sim",IFERROR(INDEX(parametros!$H$2:$H$6,MATCH(C3310,parametros!$B$2:$B$6,0)),"")=""),"INICIO_EFEITO ausente: PC "&amp;A3310&amp;" - "&amp;C3310,IF(L3310="","EFEITO_PC nao calculado: PC "&amp;A3310&amp;" - "&amp;C3310,"OK")))))))))</f>
        <v/>
      </c>
      <c r="L3310" s="92" t="str">
        <f>IF(AND(A3310="",B3310="",D3310="",G3310=""),"",IF(OR(B3310="",NOT(ISNUMBER(B3310)),C3310="",C3310="Fora dos ciclos"),"",IF(C3310="C0","Nao",IF(IFERROR(INDEX(parametros!$A$2:$A$6,MATCH(C3310,parametros!$B$2:$B$6,0)),"")&lt;&gt;"Sim","Nao",IF(IFERROR(INDEX(parametros!$H$2:$H$6,MATCH(C3310,parametros!$B$2:$B$6,0)),"")="","",IF(B3310&gt;=IFERROR(INDEX(parametros!$H$2:$H$6,MATCH(C3310,parametros!$B$2:$B$6,0)),""),"Sim","Nao"))))))</f>
        <v/>
      </c>
      <c r="T3310" s="156"/>
      <c r="U3310" s="214" t="str">
        <f t="shared" si="261"/>
        <v/>
      </c>
      <c r="V3310" s="212" t="s">
        <v>50</v>
      </c>
      <c r="W3310" s="100" t="s">
        <v>168</v>
      </c>
      <c r="X3310" s="100" t="s">
        <v>169</v>
      </c>
      <c r="Y3310" s="101" t="s">
        <v>170</v>
      </c>
      <c r="Z3310" s="101" t="s">
        <v>171</v>
      </c>
      <c r="AA3310" s="101" t="s">
        <v>50</v>
      </c>
      <c r="AB3310" s="101" t="s">
        <v>172</v>
      </c>
      <c r="AC3310" s="102" t="s">
        <v>173</v>
      </c>
    </row>
    <row r="3311" spans="1:29" ht="25.5" customHeight="1" x14ac:dyDescent="0.35">
      <c r="A3311" s="392"/>
      <c r="B3311" s="393"/>
      <c r="C3311" s="99" t="str">
        <f>IF(B3311="","",IF(NOT(ISNUMBER(B3311)),"DATA_PC invalida",IF(NOT(ISNUMBER(parametros!$C$2)),"Fora dos ciclos",IF(OR(B3311&lt;parametros!$C$2,(YEAR(B3311)-YEAR(parametros!$C$2))*12+MONTH(B3311)-MONTH(parametros!$C$2)&gt;59),"Fora dos ciclos","C"&amp;INT(((YEAR(B3311)-YEAR(parametros!$C$2))*12+MONTH(B3311)-MONTH(parametros!$C$2))/12)))))</f>
        <v/>
      </c>
      <c r="D3311" s="394"/>
      <c r="E3311" s="78" t="str">
        <f>IF(C3311="","",IFERROR(VLOOKUP(C3311,parametros!$A$11:$E$15,5,0),""))</f>
        <v/>
      </c>
      <c r="F3311" s="79" t="str">
        <f t="shared" si="257"/>
        <v/>
      </c>
      <c r="G3311" s="395"/>
      <c r="H3311" s="91">
        <f t="shared" si="258"/>
        <v>0</v>
      </c>
      <c r="I3311" s="91" t="str">
        <f t="shared" si="259"/>
        <v/>
      </c>
      <c r="J3311" s="91" t="str">
        <f t="shared" si="260"/>
        <v/>
      </c>
      <c r="K3311" s="92" t="str">
        <f>IF(AND(A3311="",B3311="",D3311="",G3311=""),"",IF(AND(A3311&lt;&gt;"",COUNTIF($A$2:$A$5001,A3311)&gt;1),"NUMERO_PC duplicado",IF(B3311="","DATA_PC vazia",IF(NOT(ISNUMBER(B3311)),"DATA_PC invalida",IF(OR(C3311="",C3311="Fora dos ciclos"),"CICLO_PC nao identificado",IF(OR(D3311="",D3311=0),"VALOR_PC vazio ou zero",IF(AND(G3311&lt;&gt;"Sim",G3311&lt;&gt;"Nao",G3311&lt;&gt;""),"PC_PAGO_A_CONTRATADA invalido",IF(AND(C3311&lt;&gt;"C0",IFERROR(INDEX(parametros!$A$2:$A$6,MATCH(C3311,parametros!$B$2:$B$6,0)),"")="Sim",IFERROR(INDEX(parametros!$H$2:$H$6,MATCH(C3311,parametros!$B$2:$B$6,0)),"")=""),"INICIO_EFEITO ausente: PC "&amp;A3311&amp;" - "&amp;C3311,IF(L3311="","EFEITO_PC nao calculado: PC "&amp;A3311&amp;" - "&amp;C3311,"OK")))))))))</f>
        <v/>
      </c>
      <c r="L3311" s="92" t="str">
        <f>IF(AND(A3311="",B3311="",D3311="",G3311=""),"",IF(OR(B3311="",NOT(ISNUMBER(B3311)),C3311="",C3311="Fora dos ciclos"),"",IF(C3311="C0","Nao",IF(IFERROR(INDEX(parametros!$A$2:$A$6,MATCH(C3311,parametros!$B$2:$B$6,0)),"")&lt;&gt;"Sim","Nao",IF(IFERROR(INDEX(parametros!$H$2:$H$6,MATCH(C3311,parametros!$B$2:$B$6,0)),"")="","",IF(B3311&gt;=IFERROR(INDEX(parametros!$H$2:$H$6,MATCH(C3311,parametros!$B$2:$B$6,0)),""),"Sim","Nao"))))))</f>
        <v/>
      </c>
      <c r="T3311" s="156"/>
      <c r="U3311" s="214" t="str">
        <f t="shared" si="261"/>
        <v/>
      </c>
      <c r="V3311" s="212" t="s">
        <v>50</v>
      </c>
      <c r="W3311" s="100" t="s">
        <v>168</v>
      </c>
      <c r="X3311" s="100" t="s">
        <v>169</v>
      </c>
      <c r="Y3311" s="101" t="s">
        <v>170</v>
      </c>
      <c r="Z3311" s="101" t="s">
        <v>171</v>
      </c>
      <c r="AA3311" s="101" t="s">
        <v>50</v>
      </c>
      <c r="AB3311" s="101" t="s">
        <v>172</v>
      </c>
      <c r="AC3311" s="102" t="s">
        <v>173</v>
      </c>
    </row>
    <row r="3312" spans="1:29" ht="25.5" customHeight="1" x14ac:dyDescent="0.35">
      <c r="A3312" s="392"/>
      <c r="B3312" s="393"/>
      <c r="C3312" s="99" t="str">
        <f>IF(B3312="","",IF(NOT(ISNUMBER(B3312)),"DATA_PC invalida",IF(NOT(ISNUMBER(parametros!$C$2)),"Fora dos ciclos",IF(OR(B3312&lt;parametros!$C$2,(YEAR(B3312)-YEAR(parametros!$C$2))*12+MONTH(B3312)-MONTH(parametros!$C$2)&gt;59),"Fora dos ciclos","C"&amp;INT(((YEAR(B3312)-YEAR(parametros!$C$2))*12+MONTH(B3312)-MONTH(parametros!$C$2))/12)))))</f>
        <v/>
      </c>
      <c r="D3312" s="394"/>
      <c r="E3312" s="78" t="str">
        <f>IF(C3312="","",IFERROR(VLOOKUP(C3312,parametros!$A$11:$E$15,5,0),""))</f>
        <v/>
      </c>
      <c r="F3312" s="79" t="str">
        <f t="shared" si="257"/>
        <v/>
      </c>
      <c r="G3312" s="395"/>
      <c r="H3312" s="91">
        <f t="shared" si="258"/>
        <v>0</v>
      </c>
      <c r="I3312" s="91" t="str">
        <f t="shared" si="259"/>
        <v/>
      </c>
      <c r="J3312" s="91" t="str">
        <f t="shared" si="260"/>
        <v/>
      </c>
      <c r="K3312" s="92" t="str">
        <f>IF(AND(A3312="",B3312="",D3312="",G3312=""),"",IF(AND(A3312&lt;&gt;"",COUNTIF($A$2:$A$5001,A3312)&gt;1),"NUMERO_PC duplicado",IF(B3312="","DATA_PC vazia",IF(NOT(ISNUMBER(B3312)),"DATA_PC invalida",IF(OR(C3312="",C3312="Fora dos ciclos"),"CICLO_PC nao identificado",IF(OR(D3312="",D3312=0),"VALOR_PC vazio ou zero",IF(AND(G3312&lt;&gt;"Sim",G3312&lt;&gt;"Nao",G3312&lt;&gt;""),"PC_PAGO_A_CONTRATADA invalido",IF(AND(C3312&lt;&gt;"C0",IFERROR(INDEX(parametros!$A$2:$A$6,MATCH(C3312,parametros!$B$2:$B$6,0)),"")="Sim",IFERROR(INDEX(parametros!$H$2:$H$6,MATCH(C3312,parametros!$B$2:$B$6,0)),"")=""),"INICIO_EFEITO ausente: PC "&amp;A3312&amp;" - "&amp;C3312,IF(L3312="","EFEITO_PC nao calculado: PC "&amp;A3312&amp;" - "&amp;C3312,"OK")))))))))</f>
        <v/>
      </c>
      <c r="L3312" s="92" t="str">
        <f>IF(AND(A3312="",B3312="",D3312="",G3312=""),"",IF(OR(B3312="",NOT(ISNUMBER(B3312)),C3312="",C3312="Fora dos ciclos"),"",IF(C3312="C0","Nao",IF(IFERROR(INDEX(parametros!$A$2:$A$6,MATCH(C3312,parametros!$B$2:$B$6,0)),"")&lt;&gt;"Sim","Nao",IF(IFERROR(INDEX(parametros!$H$2:$H$6,MATCH(C3312,parametros!$B$2:$B$6,0)),"")="","",IF(B3312&gt;=IFERROR(INDEX(parametros!$H$2:$H$6,MATCH(C3312,parametros!$B$2:$B$6,0)),""),"Sim","Nao"))))))</f>
        <v/>
      </c>
      <c r="T3312" s="156"/>
      <c r="U3312" s="214" t="str">
        <f t="shared" si="261"/>
        <v/>
      </c>
      <c r="V3312" s="212" t="s">
        <v>50</v>
      </c>
      <c r="W3312" s="100" t="s">
        <v>168</v>
      </c>
      <c r="X3312" s="100" t="s">
        <v>169</v>
      </c>
      <c r="Y3312" s="101" t="s">
        <v>170</v>
      </c>
      <c r="Z3312" s="101" t="s">
        <v>171</v>
      </c>
      <c r="AA3312" s="101" t="s">
        <v>50</v>
      </c>
      <c r="AB3312" s="101" t="s">
        <v>172</v>
      </c>
      <c r="AC3312" s="102" t="s">
        <v>173</v>
      </c>
    </row>
    <row r="3313" spans="1:29" ht="25.5" customHeight="1" x14ac:dyDescent="0.35">
      <c r="A3313" s="392"/>
      <c r="B3313" s="393"/>
      <c r="C3313" s="99" t="str">
        <f>IF(B3313="","",IF(NOT(ISNUMBER(B3313)),"DATA_PC invalida",IF(NOT(ISNUMBER(parametros!$C$2)),"Fora dos ciclos",IF(OR(B3313&lt;parametros!$C$2,(YEAR(B3313)-YEAR(parametros!$C$2))*12+MONTH(B3313)-MONTH(parametros!$C$2)&gt;59),"Fora dos ciclos","C"&amp;INT(((YEAR(B3313)-YEAR(parametros!$C$2))*12+MONTH(B3313)-MONTH(parametros!$C$2))/12)))))</f>
        <v/>
      </c>
      <c r="D3313" s="394"/>
      <c r="E3313" s="78" t="str">
        <f>IF(C3313="","",IFERROR(VLOOKUP(C3313,parametros!$A$11:$E$15,5,0),""))</f>
        <v/>
      </c>
      <c r="F3313" s="79" t="str">
        <f t="shared" si="257"/>
        <v/>
      </c>
      <c r="G3313" s="395"/>
      <c r="H3313" s="91">
        <f t="shared" si="258"/>
        <v>0</v>
      </c>
      <c r="I3313" s="91" t="str">
        <f t="shared" si="259"/>
        <v/>
      </c>
      <c r="J3313" s="91" t="str">
        <f t="shared" si="260"/>
        <v/>
      </c>
      <c r="K3313" s="92" t="str">
        <f>IF(AND(A3313="",B3313="",D3313="",G3313=""),"",IF(AND(A3313&lt;&gt;"",COUNTIF($A$2:$A$5001,A3313)&gt;1),"NUMERO_PC duplicado",IF(B3313="","DATA_PC vazia",IF(NOT(ISNUMBER(B3313)),"DATA_PC invalida",IF(OR(C3313="",C3313="Fora dos ciclos"),"CICLO_PC nao identificado",IF(OR(D3313="",D3313=0),"VALOR_PC vazio ou zero",IF(AND(G3313&lt;&gt;"Sim",G3313&lt;&gt;"Nao",G3313&lt;&gt;""),"PC_PAGO_A_CONTRATADA invalido",IF(AND(C3313&lt;&gt;"C0",IFERROR(INDEX(parametros!$A$2:$A$6,MATCH(C3313,parametros!$B$2:$B$6,0)),"")="Sim",IFERROR(INDEX(parametros!$H$2:$H$6,MATCH(C3313,parametros!$B$2:$B$6,0)),"")=""),"INICIO_EFEITO ausente: PC "&amp;A3313&amp;" - "&amp;C3313,IF(L3313="","EFEITO_PC nao calculado: PC "&amp;A3313&amp;" - "&amp;C3313,"OK")))))))))</f>
        <v/>
      </c>
      <c r="L3313" s="92" t="str">
        <f>IF(AND(A3313="",B3313="",D3313="",G3313=""),"",IF(OR(B3313="",NOT(ISNUMBER(B3313)),C3313="",C3313="Fora dos ciclos"),"",IF(C3313="C0","Nao",IF(IFERROR(INDEX(parametros!$A$2:$A$6,MATCH(C3313,parametros!$B$2:$B$6,0)),"")&lt;&gt;"Sim","Nao",IF(IFERROR(INDEX(parametros!$H$2:$H$6,MATCH(C3313,parametros!$B$2:$B$6,0)),"")="","",IF(B3313&gt;=IFERROR(INDEX(parametros!$H$2:$H$6,MATCH(C3313,parametros!$B$2:$B$6,0)),""),"Sim","Nao"))))))</f>
        <v/>
      </c>
      <c r="T3313" s="156"/>
      <c r="U3313" s="214" t="str">
        <f t="shared" si="261"/>
        <v/>
      </c>
      <c r="V3313" s="212" t="s">
        <v>50</v>
      </c>
      <c r="W3313" s="100" t="s">
        <v>168</v>
      </c>
      <c r="X3313" s="100" t="s">
        <v>169</v>
      </c>
      <c r="Y3313" s="101" t="s">
        <v>170</v>
      </c>
      <c r="Z3313" s="101" t="s">
        <v>171</v>
      </c>
      <c r="AA3313" s="101" t="s">
        <v>50</v>
      </c>
      <c r="AB3313" s="101" t="s">
        <v>172</v>
      </c>
      <c r="AC3313" s="102" t="s">
        <v>173</v>
      </c>
    </row>
    <row r="3314" spans="1:29" ht="25.5" customHeight="1" x14ac:dyDescent="0.35">
      <c r="A3314" s="392"/>
      <c r="B3314" s="393"/>
      <c r="C3314" s="99" t="str">
        <f>IF(B3314="","",IF(NOT(ISNUMBER(B3314)),"DATA_PC invalida",IF(NOT(ISNUMBER(parametros!$C$2)),"Fora dos ciclos",IF(OR(B3314&lt;parametros!$C$2,(YEAR(B3314)-YEAR(parametros!$C$2))*12+MONTH(B3314)-MONTH(parametros!$C$2)&gt;59),"Fora dos ciclos","C"&amp;INT(((YEAR(B3314)-YEAR(parametros!$C$2))*12+MONTH(B3314)-MONTH(parametros!$C$2))/12)))))</f>
        <v/>
      </c>
      <c r="D3314" s="394"/>
      <c r="E3314" s="78" t="str">
        <f>IF(C3314="","",IFERROR(VLOOKUP(C3314,parametros!$A$11:$E$15,5,0),""))</f>
        <v/>
      </c>
      <c r="F3314" s="79" t="str">
        <f t="shared" si="257"/>
        <v/>
      </c>
      <c r="G3314" s="395"/>
      <c r="H3314" s="91">
        <f t="shared" si="258"/>
        <v>0</v>
      </c>
      <c r="I3314" s="91" t="str">
        <f t="shared" si="259"/>
        <v/>
      </c>
      <c r="J3314" s="91" t="str">
        <f t="shared" si="260"/>
        <v/>
      </c>
      <c r="K3314" s="92" t="str">
        <f>IF(AND(A3314="",B3314="",D3314="",G3314=""),"",IF(AND(A3314&lt;&gt;"",COUNTIF($A$2:$A$5001,A3314)&gt;1),"NUMERO_PC duplicado",IF(B3314="","DATA_PC vazia",IF(NOT(ISNUMBER(B3314)),"DATA_PC invalida",IF(OR(C3314="",C3314="Fora dos ciclos"),"CICLO_PC nao identificado",IF(OR(D3314="",D3314=0),"VALOR_PC vazio ou zero",IF(AND(G3314&lt;&gt;"Sim",G3314&lt;&gt;"Nao",G3314&lt;&gt;""),"PC_PAGO_A_CONTRATADA invalido",IF(AND(C3314&lt;&gt;"C0",IFERROR(INDEX(parametros!$A$2:$A$6,MATCH(C3314,parametros!$B$2:$B$6,0)),"")="Sim",IFERROR(INDEX(parametros!$H$2:$H$6,MATCH(C3314,parametros!$B$2:$B$6,0)),"")=""),"INICIO_EFEITO ausente: PC "&amp;A3314&amp;" - "&amp;C3314,IF(L3314="","EFEITO_PC nao calculado: PC "&amp;A3314&amp;" - "&amp;C3314,"OK")))))))))</f>
        <v/>
      </c>
      <c r="L3314" s="92" t="str">
        <f>IF(AND(A3314="",B3314="",D3314="",G3314=""),"",IF(OR(B3314="",NOT(ISNUMBER(B3314)),C3314="",C3314="Fora dos ciclos"),"",IF(C3314="C0","Nao",IF(IFERROR(INDEX(parametros!$A$2:$A$6,MATCH(C3314,parametros!$B$2:$B$6,0)),"")&lt;&gt;"Sim","Nao",IF(IFERROR(INDEX(parametros!$H$2:$H$6,MATCH(C3314,parametros!$B$2:$B$6,0)),"")="","",IF(B3314&gt;=IFERROR(INDEX(parametros!$H$2:$H$6,MATCH(C3314,parametros!$B$2:$B$6,0)),""),"Sim","Nao"))))))</f>
        <v/>
      </c>
      <c r="T3314" s="156"/>
      <c r="U3314" s="214" t="str">
        <f t="shared" si="261"/>
        <v/>
      </c>
      <c r="V3314" s="212" t="s">
        <v>50</v>
      </c>
      <c r="W3314" s="100" t="s">
        <v>168</v>
      </c>
      <c r="X3314" s="100" t="s">
        <v>169</v>
      </c>
      <c r="Y3314" s="101" t="s">
        <v>170</v>
      </c>
      <c r="Z3314" s="101" t="s">
        <v>171</v>
      </c>
      <c r="AA3314" s="101" t="s">
        <v>50</v>
      </c>
      <c r="AB3314" s="101" t="s">
        <v>172</v>
      </c>
      <c r="AC3314" s="102" t="s">
        <v>173</v>
      </c>
    </row>
    <row r="3315" spans="1:29" ht="25.5" customHeight="1" x14ac:dyDescent="0.35">
      <c r="A3315" s="392"/>
      <c r="B3315" s="393"/>
      <c r="C3315" s="99" t="str">
        <f>IF(B3315="","",IF(NOT(ISNUMBER(B3315)),"DATA_PC invalida",IF(NOT(ISNUMBER(parametros!$C$2)),"Fora dos ciclos",IF(OR(B3315&lt;parametros!$C$2,(YEAR(B3315)-YEAR(parametros!$C$2))*12+MONTH(B3315)-MONTH(parametros!$C$2)&gt;59),"Fora dos ciclos","C"&amp;INT(((YEAR(B3315)-YEAR(parametros!$C$2))*12+MONTH(B3315)-MONTH(parametros!$C$2))/12)))))</f>
        <v/>
      </c>
      <c r="D3315" s="394"/>
      <c r="E3315" s="78" t="str">
        <f>IF(C3315="","",IFERROR(VLOOKUP(C3315,parametros!$A$11:$E$15,5,0),""))</f>
        <v/>
      </c>
      <c r="F3315" s="79" t="str">
        <f t="shared" si="257"/>
        <v/>
      </c>
      <c r="G3315" s="395"/>
      <c r="H3315" s="91">
        <f t="shared" si="258"/>
        <v>0</v>
      </c>
      <c r="I3315" s="91" t="str">
        <f t="shared" si="259"/>
        <v/>
      </c>
      <c r="J3315" s="91" t="str">
        <f t="shared" si="260"/>
        <v/>
      </c>
      <c r="K3315" s="92" t="str">
        <f>IF(AND(A3315="",B3315="",D3315="",G3315=""),"",IF(AND(A3315&lt;&gt;"",COUNTIF($A$2:$A$5001,A3315)&gt;1),"NUMERO_PC duplicado",IF(B3315="","DATA_PC vazia",IF(NOT(ISNUMBER(B3315)),"DATA_PC invalida",IF(OR(C3315="",C3315="Fora dos ciclos"),"CICLO_PC nao identificado",IF(OR(D3315="",D3315=0),"VALOR_PC vazio ou zero",IF(AND(G3315&lt;&gt;"Sim",G3315&lt;&gt;"Nao",G3315&lt;&gt;""),"PC_PAGO_A_CONTRATADA invalido",IF(AND(C3315&lt;&gt;"C0",IFERROR(INDEX(parametros!$A$2:$A$6,MATCH(C3315,parametros!$B$2:$B$6,0)),"")="Sim",IFERROR(INDEX(parametros!$H$2:$H$6,MATCH(C3315,parametros!$B$2:$B$6,0)),"")=""),"INICIO_EFEITO ausente: PC "&amp;A3315&amp;" - "&amp;C3315,IF(L3315="","EFEITO_PC nao calculado: PC "&amp;A3315&amp;" - "&amp;C3315,"OK")))))))))</f>
        <v/>
      </c>
      <c r="L3315" s="92" t="str">
        <f>IF(AND(A3315="",B3315="",D3315="",G3315=""),"",IF(OR(B3315="",NOT(ISNUMBER(B3315)),C3315="",C3315="Fora dos ciclos"),"",IF(C3315="C0","Nao",IF(IFERROR(INDEX(parametros!$A$2:$A$6,MATCH(C3315,parametros!$B$2:$B$6,0)),"")&lt;&gt;"Sim","Nao",IF(IFERROR(INDEX(parametros!$H$2:$H$6,MATCH(C3315,parametros!$B$2:$B$6,0)),"")="","",IF(B3315&gt;=IFERROR(INDEX(parametros!$H$2:$H$6,MATCH(C3315,parametros!$B$2:$B$6,0)),""),"Sim","Nao"))))))</f>
        <v/>
      </c>
      <c r="T3315" s="156"/>
      <c r="U3315" s="214" t="str">
        <f t="shared" si="261"/>
        <v/>
      </c>
      <c r="V3315" s="212" t="s">
        <v>50</v>
      </c>
      <c r="W3315" s="100" t="s">
        <v>168</v>
      </c>
      <c r="X3315" s="100" t="s">
        <v>169</v>
      </c>
      <c r="Y3315" s="101" t="s">
        <v>170</v>
      </c>
      <c r="Z3315" s="101" t="s">
        <v>171</v>
      </c>
      <c r="AA3315" s="101" t="s">
        <v>50</v>
      </c>
      <c r="AB3315" s="101" t="s">
        <v>172</v>
      </c>
      <c r="AC3315" s="102" t="s">
        <v>173</v>
      </c>
    </row>
    <row r="3316" spans="1:29" ht="25.5" customHeight="1" x14ac:dyDescent="0.35">
      <c r="A3316" s="392"/>
      <c r="B3316" s="393"/>
      <c r="C3316" s="99" t="str">
        <f>IF(B3316="","",IF(NOT(ISNUMBER(B3316)),"DATA_PC invalida",IF(NOT(ISNUMBER(parametros!$C$2)),"Fora dos ciclos",IF(OR(B3316&lt;parametros!$C$2,(YEAR(B3316)-YEAR(parametros!$C$2))*12+MONTH(B3316)-MONTH(parametros!$C$2)&gt;59),"Fora dos ciclos","C"&amp;INT(((YEAR(B3316)-YEAR(parametros!$C$2))*12+MONTH(B3316)-MONTH(parametros!$C$2))/12)))))</f>
        <v/>
      </c>
      <c r="D3316" s="394"/>
      <c r="E3316" s="78" t="str">
        <f>IF(C3316="","",IFERROR(VLOOKUP(C3316,parametros!$A$11:$E$15,5,0),""))</f>
        <v/>
      </c>
      <c r="F3316" s="79" t="str">
        <f t="shared" si="257"/>
        <v/>
      </c>
      <c r="G3316" s="395"/>
      <c r="H3316" s="91">
        <f t="shared" si="258"/>
        <v>0</v>
      </c>
      <c r="I3316" s="91" t="str">
        <f t="shared" si="259"/>
        <v/>
      </c>
      <c r="J3316" s="91" t="str">
        <f t="shared" si="260"/>
        <v/>
      </c>
      <c r="K3316" s="92" t="str">
        <f>IF(AND(A3316="",B3316="",D3316="",G3316=""),"",IF(AND(A3316&lt;&gt;"",COUNTIF($A$2:$A$5001,A3316)&gt;1),"NUMERO_PC duplicado",IF(B3316="","DATA_PC vazia",IF(NOT(ISNUMBER(B3316)),"DATA_PC invalida",IF(OR(C3316="",C3316="Fora dos ciclos"),"CICLO_PC nao identificado",IF(OR(D3316="",D3316=0),"VALOR_PC vazio ou zero",IF(AND(G3316&lt;&gt;"Sim",G3316&lt;&gt;"Nao",G3316&lt;&gt;""),"PC_PAGO_A_CONTRATADA invalido",IF(AND(C3316&lt;&gt;"C0",IFERROR(INDEX(parametros!$A$2:$A$6,MATCH(C3316,parametros!$B$2:$B$6,0)),"")="Sim",IFERROR(INDEX(parametros!$H$2:$H$6,MATCH(C3316,parametros!$B$2:$B$6,0)),"")=""),"INICIO_EFEITO ausente: PC "&amp;A3316&amp;" - "&amp;C3316,IF(L3316="","EFEITO_PC nao calculado: PC "&amp;A3316&amp;" - "&amp;C3316,"OK")))))))))</f>
        <v/>
      </c>
      <c r="L3316" s="92" t="str">
        <f>IF(AND(A3316="",B3316="",D3316="",G3316=""),"",IF(OR(B3316="",NOT(ISNUMBER(B3316)),C3316="",C3316="Fora dos ciclos"),"",IF(C3316="C0","Nao",IF(IFERROR(INDEX(parametros!$A$2:$A$6,MATCH(C3316,parametros!$B$2:$B$6,0)),"")&lt;&gt;"Sim","Nao",IF(IFERROR(INDEX(parametros!$H$2:$H$6,MATCH(C3316,parametros!$B$2:$B$6,0)),"")="","",IF(B3316&gt;=IFERROR(INDEX(parametros!$H$2:$H$6,MATCH(C3316,parametros!$B$2:$B$6,0)),""),"Sim","Nao"))))))</f>
        <v/>
      </c>
      <c r="T3316" s="156"/>
      <c r="U3316" s="214" t="str">
        <f t="shared" si="261"/>
        <v/>
      </c>
      <c r="V3316" s="212" t="s">
        <v>50</v>
      </c>
      <c r="W3316" s="100" t="s">
        <v>168</v>
      </c>
      <c r="X3316" s="100" t="s">
        <v>169</v>
      </c>
      <c r="Y3316" s="101" t="s">
        <v>170</v>
      </c>
      <c r="Z3316" s="101" t="s">
        <v>171</v>
      </c>
      <c r="AA3316" s="101" t="s">
        <v>50</v>
      </c>
      <c r="AB3316" s="101" t="s">
        <v>172</v>
      </c>
      <c r="AC3316" s="102" t="s">
        <v>173</v>
      </c>
    </row>
    <row r="3317" spans="1:29" ht="25.5" customHeight="1" x14ac:dyDescent="0.35">
      <c r="A3317" s="392"/>
      <c r="B3317" s="393"/>
      <c r="C3317" s="99" t="str">
        <f>IF(B3317="","",IF(NOT(ISNUMBER(B3317)),"DATA_PC invalida",IF(NOT(ISNUMBER(parametros!$C$2)),"Fora dos ciclos",IF(OR(B3317&lt;parametros!$C$2,(YEAR(B3317)-YEAR(parametros!$C$2))*12+MONTH(B3317)-MONTH(parametros!$C$2)&gt;59),"Fora dos ciclos","C"&amp;INT(((YEAR(B3317)-YEAR(parametros!$C$2))*12+MONTH(B3317)-MONTH(parametros!$C$2))/12)))))</f>
        <v/>
      </c>
      <c r="D3317" s="394"/>
      <c r="E3317" s="78" t="str">
        <f>IF(C3317="","",IFERROR(VLOOKUP(C3317,parametros!$A$11:$E$15,5,0),""))</f>
        <v/>
      </c>
      <c r="F3317" s="79" t="str">
        <f t="shared" si="257"/>
        <v/>
      </c>
      <c r="G3317" s="395"/>
      <c r="H3317" s="91">
        <f t="shared" si="258"/>
        <v>0</v>
      </c>
      <c r="I3317" s="91" t="str">
        <f t="shared" si="259"/>
        <v/>
      </c>
      <c r="J3317" s="91" t="str">
        <f t="shared" si="260"/>
        <v/>
      </c>
      <c r="K3317" s="92" t="str">
        <f>IF(AND(A3317="",B3317="",D3317="",G3317=""),"",IF(AND(A3317&lt;&gt;"",COUNTIF($A$2:$A$5001,A3317)&gt;1),"NUMERO_PC duplicado",IF(B3317="","DATA_PC vazia",IF(NOT(ISNUMBER(B3317)),"DATA_PC invalida",IF(OR(C3317="",C3317="Fora dos ciclos"),"CICLO_PC nao identificado",IF(OR(D3317="",D3317=0),"VALOR_PC vazio ou zero",IF(AND(G3317&lt;&gt;"Sim",G3317&lt;&gt;"Nao",G3317&lt;&gt;""),"PC_PAGO_A_CONTRATADA invalido",IF(AND(C3317&lt;&gt;"C0",IFERROR(INDEX(parametros!$A$2:$A$6,MATCH(C3317,parametros!$B$2:$B$6,0)),"")="Sim",IFERROR(INDEX(parametros!$H$2:$H$6,MATCH(C3317,parametros!$B$2:$B$6,0)),"")=""),"INICIO_EFEITO ausente: PC "&amp;A3317&amp;" - "&amp;C3317,IF(L3317="","EFEITO_PC nao calculado: PC "&amp;A3317&amp;" - "&amp;C3317,"OK")))))))))</f>
        <v/>
      </c>
      <c r="L3317" s="92" t="str">
        <f>IF(AND(A3317="",B3317="",D3317="",G3317=""),"",IF(OR(B3317="",NOT(ISNUMBER(B3317)),C3317="",C3317="Fora dos ciclos"),"",IF(C3317="C0","Nao",IF(IFERROR(INDEX(parametros!$A$2:$A$6,MATCH(C3317,parametros!$B$2:$B$6,0)),"")&lt;&gt;"Sim","Nao",IF(IFERROR(INDEX(parametros!$H$2:$H$6,MATCH(C3317,parametros!$B$2:$B$6,0)),"")="","",IF(B3317&gt;=IFERROR(INDEX(parametros!$H$2:$H$6,MATCH(C3317,parametros!$B$2:$B$6,0)),""),"Sim","Nao"))))))</f>
        <v/>
      </c>
      <c r="T3317" s="156"/>
      <c r="U3317" s="214" t="str">
        <f t="shared" si="261"/>
        <v/>
      </c>
      <c r="V3317" s="212" t="s">
        <v>50</v>
      </c>
      <c r="W3317" s="100" t="s">
        <v>168</v>
      </c>
      <c r="X3317" s="100" t="s">
        <v>169</v>
      </c>
      <c r="Y3317" s="101" t="s">
        <v>170</v>
      </c>
      <c r="Z3317" s="101" t="s">
        <v>171</v>
      </c>
      <c r="AA3317" s="101" t="s">
        <v>50</v>
      </c>
      <c r="AB3317" s="101" t="s">
        <v>172</v>
      </c>
      <c r="AC3317" s="102" t="s">
        <v>173</v>
      </c>
    </row>
    <row r="3318" spans="1:29" ht="25.5" customHeight="1" x14ac:dyDescent="0.35">
      <c r="A3318" s="392"/>
      <c r="B3318" s="393"/>
      <c r="C3318" s="99" t="str">
        <f>IF(B3318="","",IF(NOT(ISNUMBER(B3318)),"DATA_PC invalida",IF(NOT(ISNUMBER(parametros!$C$2)),"Fora dos ciclos",IF(OR(B3318&lt;parametros!$C$2,(YEAR(B3318)-YEAR(parametros!$C$2))*12+MONTH(B3318)-MONTH(parametros!$C$2)&gt;59),"Fora dos ciclos","C"&amp;INT(((YEAR(B3318)-YEAR(parametros!$C$2))*12+MONTH(B3318)-MONTH(parametros!$C$2))/12)))))</f>
        <v/>
      </c>
      <c r="D3318" s="394"/>
      <c r="E3318" s="78" t="str">
        <f>IF(C3318="","",IFERROR(VLOOKUP(C3318,parametros!$A$11:$E$15,5,0),""))</f>
        <v/>
      </c>
      <c r="F3318" s="79" t="str">
        <f t="shared" si="257"/>
        <v/>
      </c>
      <c r="G3318" s="395"/>
      <c r="H3318" s="91">
        <f t="shared" si="258"/>
        <v>0</v>
      </c>
      <c r="I3318" s="91" t="str">
        <f t="shared" si="259"/>
        <v/>
      </c>
      <c r="J3318" s="91" t="str">
        <f t="shared" si="260"/>
        <v/>
      </c>
      <c r="K3318" s="92" t="str">
        <f>IF(AND(A3318="",B3318="",D3318="",G3318=""),"",IF(AND(A3318&lt;&gt;"",COUNTIF($A$2:$A$5001,A3318)&gt;1),"NUMERO_PC duplicado",IF(B3318="","DATA_PC vazia",IF(NOT(ISNUMBER(B3318)),"DATA_PC invalida",IF(OR(C3318="",C3318="Fora dos ciclos"),"CICLO_PC nao identificado",IF(OR(D3318="",D3318=0),"VALOR_PC vazio ou zero",IF(AND(G3318&lt;&gt;"Sim",G3318&lt;&gt;"Nao",G3318&lt;&gt;""),"PC_PAGO_A_CONTRATADA invalido",IF(AND(C3318&lt;&gt;"C0",IFERROR(INDEX(parametros!$A$2:$A$6,MATCH(C3318,parametros!$B$2:$B$6,0)),"")="Sim",IFERROR(INDEX(parametros!$H$2:$H$6,MATCH(C3318,parametros!$B$2:$B$6,0)),"")=""),"INICIO_EFEITO ausente: PC "&amp;A3318&amp;" - "&amp;C3318,IF(L3318="","EFEITO_PC nao calculado: PC "&amp;A3318&amp;" - "&amp;C3318,"OK")))))))))</f>
        <v/>
      </c>
      <c r="L3318" s="92" t="str">
        <f>IF(AND(A3318="",B3318="",D3318="",G3318=""),"",IF(OR(B3318="",NOT(ISNUMBER(B3318)),C3318="",C3318="Fora dos ciclos"),"",IF(C3318="C0","Nao",IF(IFERROR(INDEX(parametros!$A$2:$A$6,MATCH(C3318,parametros!$B$2:$B$6,0)),"")&lt;&gt;"Sim","Nao",IF(IFERROR(INDEX(parametros!$H$2:$H$6,MATCH(C3318,parametros!$B$2:$B$6,0)),"")="","",IF(B3318&gt;=IFERROR(INDEX(parametros!$H$2:$H$6,MATCH(C3318,parametros!$B$2:$B$6,0)),""),"Sim","Nao"))))))</f>
        <v/>
      </c>
      <c r="T3318" s="156"/>
      <c r="U3318" s="214" t="str">
        <f t="shared" si="261"/>
        <v/>
      </c>
      <c r="V3318" s="212" t="s">
        <v>50</v>
      </c>
      <c r="W3318" s="100" t="s">
        <v>168</v>
      </c>
      <c r="X3318" s="100" t="s">
        <v>169</v>
      </c>
      <c r="Y3318" s="101" t="s">
        <v>170</v>
      </c>
      <c r="Z3318" s="101" t="s">
        <v>171</v>
      </c>
      <c r="AA3318" s="101" t="s">
        <v>50</v>
      </c>
      <c r="AB3318" s="101" t="s">
        <v>172</v>
      </c>
      <c r="AC3318" s="102" t="s">
        <v>173</v>
      </c>
    </row>
    <row r="3319" spans="1:29" ht="25.5" customHeight="1" x14ac:dyDescent="0.35">
      <c r="A3319" s="392"/>
      <c r="B3319" s="393"/>
      <c r="C3319" s="99" t="str">
        <f>IF(B3319="","",IF(NOT(ISNUMBER(B3319)),"DATA_PC invalida",IF(NOT(ISNUMBER(parametros!$C$2)),"Fora dos ciclos",IF(OR(B3319&lt;parametros!$C$2,(YEAR(B3319)-YEAR(parametros!$C$2))*12+MONTH(B3319)-MONTH(parametros!$C$2)&gt;59),"Fora dos ciclos","C"&amp;INT(((YEAR(B3319)-YEAR(parametros!$C$2))*12+MONTH(B3319)-MONTH(parametros!$C$2))/12)))))</f>
        <v/>
      </c>
      <c r="D3319" s="394"/>
      <c r="E3319" s="78" t="str">
        <f>IF(C3319="","",IFERROR(VLOOKUP(C3319,parametros!$A$11:$E$15,5,0),""))</f>
        <v/>
      </c>
      <c r="F3319" s="79" t="str">
        <f t="shared" si="257"/>
        <v/>
      </c>
      <c r="G3319" s="395"/>
      <c r="H3319" s="91">
        <f t="shared" si="258"/>
        <v>0</v>
      </c>
      <c r="I3319" s="91" t="str">
        <f t="shared" si="259"/>
        <v/>
      </c>
      <c r="J3319" s="91" t="str">
        <f t="shared" si="260"/>
        <v/>
      </c>
      <c r="K3319" s="92" t="str">
        <f>IF(AND(A3319="",B3319="",D3319="",G3319=""),"",IF(AND(A3319&lt;&gt;"",COUNTIF($A$2:$A$5001,A3319)&gt;1),"NUMERO_PC duplicado",IF(B3319="","DATA_PC vazia",IF(NOT(ISNUMBER(B3319)),"DATA_PC invalida",IF(OR(C3319="",C3319="Fora dos ciclos"),"CICLO_PC nao identificado",IF(OR(D3319="",D3319=0),"VALOR_PC vazio ou zero",IF(AND(G3319&lt;&gt;"Sim",G3319&lt;&gt;"Nao",G3319&lt;&gt;""),"PC_PAGO_A_CONTRATADA invalido",IF(AND(C3319&lt;&gt;"C0",IFERROR(INDEX(parametros!$A$2:$A$6,MATCH(C3319,parametros!$B$2:$B$6,0)),"")="Sim",IFERROR(INDEX(parametros!$H$2:$H$6,MATCH(C3319,parametros!$B$2:$B$6,0)),"")=""),"INICIO_EFEITO ausente: PC "&amp;A3319&amp;" - "&amp;C3319,IF(L3319="","EFEITO_PC nao calculado: PC "&amp;A3319&amp;" - "&amp;C3319,"OK")))))))))</f>
        <v/>
      </c>
      <c r="L3319" s="92" t="str">
        <f>IF(AND(A3319="",B3319="",D3319="",G3319=""),"",IF(OR(B3319="",NOT(ISNUMBER(B3319)),C3319="",C3319="Fora dos ciclos"),"",IF(C3319="C0","Nao",IF(IFERROR(INDEX(parametros!$A$2:$A$6,MATCH(C3319,parametros!$B$2:$B$6,0)),"")&lt;&gt;"Sim","Nao",IF(IFERROR(INDEX(parametros!$H$2:$H$6,MATCH(C3319,parametros!$B$2:$B$6,0)),"")="","",IF(B3319&gt;=IFERROR(INDEX(parametros!$H$2:$H$6,MATCH(C3319,parametros!$B$2:$B$6,0)),""),"Sim","Nao"))))))</f>
        <v/>
      </c>
      <c r="T3319" s="156"/>
      <c r="U3319" s="214" t="str">
        <f t="shared" si="261"/>
        <v/>
      </c>
      <c r="V3319" s="212" t="s">
        <v>50</v>
      </c>
      <c r="W3319" s="100" t="s">
        <v>168</v>
      </c>
      <c r="X3319" s="100" t="s">
        <v>169</v>
      </c>
      <c r="Y3319" s="101" t="s">
        <v>170</v>
      </c>
      <c r="Z3319" s="101" t="s">
        <v>171</v>
      </c>
      <c r="AA3319" s="101" t="s">
        <v>50</v>
      </c>
      <c r="AB3319" s="101" t="s">
        <v>172</v>
      </c>
      <c r="AC3319" s="102" t="s">
        <v>173</v>
      </c>
    </row>
    <row r="3320" spans="1:29" ht="25.5" customHeight="1" x14ac:dyDescent="0.35">
      <c r="A3320" s="392"/>
      <c r="B3320" s="393"/>
      <c r="C3320" s="99" t="str">
        <f>IF(B3320="","",IF(NOT(ISNUMBER(B3320)),"DATA_PC invalida",IF(NOT(ISNUMBER(parametros!$C$2)),"Fora dos ciclos",IF(OR(B3320&lt;parametros!$C$2,(YEAR(B3320)-YEAR(parametros!$C$2))*12+MONTH(B3320)-MONTH(parametros!$C$2)&gt;59),"Fora dos ciclos","C"&amp;INT(((YEAR(B3320)-YEAR(parametros!$C$2))*12+MONTH(B3320)-MONTH(parametros!$C$2))/12)))))</f>
        <v/>
      </c>
      <c r="D3320" s="394"/>
      <c r="E3320" s="78" t="str">
        <f>IF(C3320="","",IFERROR(VLOOKUP(C3320,parametros!$A$11:$E$15,5,0),""))</f>
        <v/>
      </c>
      <c r="F3320" s="79" t="str">
        <f t="shared" si="257"/>
        <v/>
      </c>
      <c r="G3320" s="395"/>
      <c r="H3320" s="91">
        <f t="shared" si="258"/>
        <v>0</v>
      </c>
      <c r="I3320" s="91" t="str">
        <f t="shared" si="259"/>
        <v/>
      </c>
      <c r="J3320" s="91" t="str">
        <f t="shared" si="260"/>
        <v/>
      </c>
      <c r="K3320" s="92" t="str">
        <f>IF(AND(A3320="",B3320="",D3320="",G3320=""),"",IF(AND(A3320&lt;&gt;"",COUNTIF($A$2:$A$5001,A3320)&gt;1),"NUMERO_PC duplicado",IF(B3320="","DATA_PC vazia",IF(NOT(ISNUMBER(B3320)),"DATA_PC invalida",IF(OR(C3320="",C3320="Fora dos ciclos"),"CICLO_PC nao identificado",IF(OR(D3320="",D3320=0),"VALOR_PC vazio ou zero",IF(AND(G3320&lt;&gt;"Sim",G3320&lt;&gt;"Nao",G3320&lt;&gt;""),"PC_PAGO_A_CONTRATADA invalido",IF(AND(C3320&lt;&gt;"C0",IFERROR(INDEX(parametros!$A$2:$A$6,MATCH(C3320,parametros!$B$2:$B$6,0)),"")="Sim",IFERROR(INDEX(parametros!$H$2:$H$6,MATCH(C3320,parametros!$B$2:$B$6,0)),"")=""),"INICIO_EFEITO ausente: PC "&amp;A3320&amp;" - "&amp;C3320,IF(L3320="","EFEITO_PC nao calculado: PC "&amp;A3320&amp;" - "&amp;C3320,"OK")))))))))</f>
        <v/>
      </c>
      <c r="L3320" s="92" t="str">
        <f>IF(AND(A3320="",B3320="",D3320="",G3320=""),"",IF(OR(B3320="",NOT(ISNUMBER(B3320)),C3320="",C3320="Fora dos ciclos"),"",IF(C3320="C0","Nao",IF(IFERROR(INDEX(parametros!$A$2:$A$6,MATCH(C3320,parametros!$B$2:$B$6,0)),"")&lt;&gt;"Sim","Nao",IF(IFERROR(INDEX(parametros!$H$2:$H$6,MATCH(C3320,parametros!$B$2:$B$6,0)),"")="","",IF(B3320&gt;=IFERROR(INDEX(parametros!$H$2:$H$6,MATCH(C3320,parametros!$B$2:$B$6,0)),""),"Sim","Nao"))))))</f>
        <v/>
      </c>
      <c r="T3320" s="156"/>
      <c r="U3320" s="214" t="str">
        <f t="shared" si="261"/>
        <v/>
      </c>
      <c r="V3320" s="212" t="s">
        <v>50</v>
      </c>
      <c r="W3320" s="100" t="s">
        <v>168</v>
      </c>
      <c r="X3320" s="100" t="s">
        <v>169</v>
      </c>
      <c r="Y3320" s="101" t="s">
        <v>170</v>
      </c>
      <c r="Z3320" s="101" t="s">
        <v>171</v>
      </c>
      <c r="AA3320" s="101" t="s">
        <v>50</v>
      </c>
      <c r="AB3320" s="101" t="s">
        <v>172</v>
      </c>
      <c r="AC3320" s="102" t="s">
        <v>173</v>
      </c>
    </row>
    <row r="3321" spans="1:29" ht="25.5" customHeight="1" x14ac:dyDescent="0.35">
      <c r="A3321" s="392"/>
      <c r="B3321" s="393"/>
      <c r="C3321" s="99" t="str">
        <f>IF(B3321="","",IF(NOT(ISNUMBER(B3321)),"DATA_PC invalida",IF(NOT(ISNUMBER(parametros!$C$2)),"Fora dos ciclos",IF(OR(B3321&lt;parametros!$C$2,(YEAR(B3321)-YEAR(parametros!$C$2))*12+MONTH(B3321)-MONTH(parametros!$C$2)&gt;59),"Fora dos ciclos","C"&amp;INT(((YEAR(B3321)-YEAR(parametros!$C$2))*12+MONTH(B3321)-MONTH(parametros!$C$2))/12)))))</f>
        <v/>
      </c>
      <c r="D3321" s="394"/>
      <c r="E3321" s="78" t="str">
        <f>IF(C3321="","",IFERROR(VLOOKUP(C3321,parametros!$A$11:$E$15,5,0),""))</f>
        <v/>
      </c>
      <c r="F3321" s="79" t="str">
        <f t="shared" si="257"/>
        <v/>
      </c>
      <c r="G3321" s="395"/>
      <c r="H3321" s="91">
        <f t="shared" si="258"/>
        <v>0</v>
      </c>
      <c r="I3321" s="91" t="str">
        <f t="shared" si="259"/>
        <v/>
      </c>
      <c r="J3321" s="91" t="str">
        <f t="shared" si="260"/>
        <v/>
      </c>
      <c r="K3321" s="92" t="str">
        <f>IF(AND(A3321="",B3321="",D3321="",G3321=""),"",IF(AND(A3321&lt;&gt;"",COUNTIF($A$2:$A$5001,A3321)&gt;1),"NUMERO_PC duplicado",IF(B3321="","DATA_PC vazia",IF(NOT(ISNUMBER(B3321)),"DATA_PC invalida",IF(OR(C3321="",C3321="Fora dos ciclos"),"CICLO_PC nao identificado",IF(OR(D3321="",D3321=0),"VALOR_PC vazio ou zero",IF(AND(G3321&lt;&gt;"Sim",G3321&lt;&gt;"Nao",G3321&lt;&gt;""),"PC_PAGO_A_CONTRATADA invalido",IF(AND(C3321&lt;&gt;"C0",IFERROR(INDEX(parametros!$A$2:$A$6,MATCH(C3321,parametros!$B$2:$B$6,0)),"")="Sim",IFERROR(INDEX(parametros!$H$2:$H$6,MATCH(C3321,parametros!$B$2:$B$6,0)),"")=""),"INICIO_EFEITO ausente: PC "&amp;A3321&amp;" - "&amp;C3321,IF(L3321="","EFEITO_PC nao calculado: PC "&amp;A3321&amp;" - "&amp;C3321,"OK")))))))))</f>
        <v/>
      </c>
      <c r="L3321" s="92" t="str">
        <f>IF(AND(A3321="",B3321="",D3321="",G3321=""),"",IF(OR(B3321="",NOT(ISNUMBER(B3321)),C3321="",C3321="Fora dos ciclos"),"",IF(C3321="C0","Nao",IF(IFERROR(INDEX(parametros!$A$2:$A$6,MATCH(C3321,parametros!$B$2:$B$6,0)),"")&lt;&gt;"Sim","Nao",IF(IFERROR(INDEX(parametros!$H$2:$H$6,MATCH(C3321,parametros!$B$2:$B$6,0)),"")="","",IF(B3321&gt;=IFERROR(INDEX(parametros!$H$2:$H$6,MATCH(C3321,parametros!$B$2:$B$6,0)),""),"Sim","Nao"))))))</f>
        <v/>
      </c>
      <c r="T3321" s="156"/>
      <c r="U3321" s="214" t="str">
        <f t="shared" si="261"/>
        <v/>
      </c>
      <c r="V3321" s="212" t="s">
        <v>50</v>
      </c>
      <c r="W3321" s="100" t="s">
        <v>168</v>
      </c>
      <c r="X3321" s="100" t="s">
        <v>169</v>
      </c>
      <c r="Y3321" s="101" t="s">
        <v>170</v>
      </c>
      <c r="Z3321" s="101" t="s">
        <v>171</v>
      </c>
      <c r="AA3321" s="101" t="s">
        <v>50</v>
      </c>
      <c r="AB3321" s="101" t="s">
        <v>172</v>
      </c>
      <c r="AC3321" s="102" t="s">
        <v>173</v>
      </c>
    </row>
    <row r="3322" spans="1:29" ht="25.5" customHeight="1" x14ac:dyDescent="0.35">
      <c r="A3322" s="392"/>
      <c r="B3322" s="393"/>
      <c r="C3322" s="99" t="str">
        <f>IF(B3322="","",IF(NOT(ISNUMBER(B3322)),"DATA_PC invalida",IF(NOT(ISNUMBER(parametros!$C$2)),"Fora dos ciclos",IF(OR(B3322&lt;parametros!$C$2,(YEAR(B3322)-YEAR(parametros!$C$2))*12+MONTH(B3322)-MONTH(parametros!$C$2)&gt;59),"Fora dos ciclos","C"&amp;INT(((YEAR(B3322)-YEAR(parametros!$C$2))*12+MONTH(B3322)-MONTH(parametros!$C$2))/12)))))</f>
        <v/>
      </c>
      <c r="D3322" s="394"/>
      <c r="E3322" s="78" t="str">
        <f>IF(C3322="","",IFERROR(VLOOKUP(C3322,parametros!$A$11:$E$15,5,0),""))</f>
        <v/>
      </c>
      <c r="F3322" s="79" t="str">
        <f t="shared" si="257"/>
        <v/>
      </c>
      <c r="G3322" s="395"/>
      <c r="H3322" s="91">
        <f t="shared" si="258"/>
        <v>0</v>
      </c>
      <c r="I3322" s="91" t="str">
        <f t="shared" si="259"/>
        <v/>
      </c>
      <c r="J3322" s="91" t="str">
        <f t="shared" si="260"/>
        <v/>
      </c>
      <c r="K3322" s="92" t="str">
        <f>IF(AND(A3322="",B3322="",D3322="",G3322=""),"",IF(AND(A3322&lt;&gt;"",COUNTIF($A$2:$A$5001,A3322)&gt;1),"NUMERO_PC duplicado",IF(B3322="","DATA_PC vazia",IF(NOT(ISNUMBER(B3322)),"DATA_PC invalida",IF(OR(C3322="",C3322="Fora dos ciclos"),"CICLO_PC nao identificado",IF(OR(D3322="",D3322=0),"VALOR_PC vazio ou zero",IF(AND(G3322&lt;&gt;"Sim",G3322&lt;&gt;"Nao",G3322&lt;&gt;""),"PC_PAGO_A_CONTRATADA invalido",IF(AND(C3322&lt;&gt;"C0",IFERROR(INDEX(parametros!$A$2:$A$6,MATCH(C3322,parametros!$B$2:$B$6,0)),"")="Sim",IFERROR(INDEX(parametros!$H$2:$H$6,MATCH(C3322,parametros!$B$2:$B$6,0)),"")=""),"INICIO_EFEITO ausente: PC "&amp;A3322&amp;" - "&amp;C3322,IF(L3322="","EFEITO_PC nao calculado: PC "&amp;A3322&amp;" - "&amp;C3322,"OK")))))))))</f>
        <v/>
      </c>
      <c r="L3322" s="92" t="str">
        <f>IF(AND(A3322="",B3322="",D3322="",G3322=""),"",IF(OR(B3322="",NOT(ISNUMBER(B3322)),C3322="",C3322="Fora dos ciclos"),"",IF(C3322="C0","Nao",IF(IFERROR(INDEX(parametros!$A$2:$A$6,MATCH(C3322,parametros!$B$2:$B$6,0)),"")&lt;&gt;"Sim","Nao",IF(IFERROR(INDEX(parametros!$H$2:$H$6,MATCH(C3322,parametros!$B$2:$B$6,0)),"")="","",IF(B3322&gt;=IFERROR(INDEX(parametros!$H$2:$H$6,MATCH(C3322,parametros!$B$2:$B$6,0)),""),"Sim","Nao"))))))</f>
        <v/>
      </c>
      <c r="T3322" s="156"/>
      <c r="U3322" s="214" t="str">
        <f t="shared" si="261"/>
        <v/>
      </c>
      <c r="V3322" s="212" t="s">
        <v>50</v>
      </c>
      <c r="W3322" s="100" t="s">
        <v>168</v>
      </c>
      <c r="X3322" s="100" t="s">
        <v>169</v>
      </c>
      <c r="Y3322" s="101" t="s">
        <v>170</v>
      </c>
      <c r="Z3322" s="101" t="s">
        <v>171</v>
      </c>
      <c r="AA3322" s="101" t="s">
        <v>50</v>
      </c>
      <c r="AB3322" s="101" t="s">
        <v>172</v>
      </c>
      <c r="AC3322" s="102" t="s">
        <v>173</v>
      </c>
    </row>
    <row r="3323" spans="1:29" ht="25.5" customHeight="1" x14ac:dyDescent="0.35">
      <c r="A3323" s="392"/>
      <c r="B3323" s="393"/>
      <c r="C3323" s="99" t="str">
        <f>IF(B3323="","",IF(NOT(ISNUMBER(B3323)),"DATA_PC invalida",IF(NOT(ISNUMBER(parametros!$C$2)),"Fora dos ciclos",IF(OR(B3323&lt;parametros!$C$2,(YEAR(B3323)-YEAR(parametros!$C$2))*12+MONTH(B3323)-MONTH(parametros!$C$2)&gt;59),"Fora dos ciclos","C"&amp;INT(((YEAR(B3323)-YEAR(parametros!$C$2))*12+MONTH(B3323)-MONTH(parametros!$C$2))/12)))))</f>
        <v/>
      </c>
      <c r="D3323" s="394"/>
      <c r="E3323" s="78" t="str">
        <f>IF(C3323="","",IFERROR(VLOOKUP(C3323,parametros!$A$11:$E$15,5,0),""))</f>
        <v/>
      </c>
      <c r="F3323" s="79" t="str">
        <f t="shared" si="257"/>
        <v/>
      </c>
      <c r="G3323" s="395"/>
      <c r="H3323" s="91">
        <f t="shared" si="258"/>
        <v>0</v>
      </c>
      <c r="I3323" s="91" t="str">
        <f t="shared" si="259"/>
        <v/>
      </c>
      <c r="J3323" s="91" t="str">
        <f t="shared" si="260"/>
        <v/>
      </c>
      <c r="K3323" s="92" t="str">
        <f>IF(AND(A3323="",B3323="",D3323="",G3323=""),"",IF(AND(A3323&lt;&gt;"",COUNTIF($A$2:$A$5001,A3323)&gt;1),"NUMERO_PC duplicado",IF(B3323="","DATA_PC vazia",IF(NOT(ISNUMBER(B3323)),"DATA_PC invalida",IF(OR(C3323="",C3323="Fora dos ciclos"),"CICLO_PC nao identificado",IF(OR(D3323="",D3323=0),"VALOR_PC vazio ou zero",IF(AND(G3323&lt;&gt;"Sim",G3323&lt;&gt;"Nao",G3323&lt;&gt;""),"PC_PAGO_A_CONTRATADA invalido",IF(AND(C3323&lt;&gt;"C0",IFERROR(INDEX(parametros!$A$2:$A$6,MATCH(C3323,parametros!$B$2:$B$6,0)),"")="Sim",IFERROR(INDEX(parametros!$H$2:$H$6,MATCH(C3323,parametros!$B$2:$B$6,0)),"")=""),"INICIO_EFEITO ausente: PC "&amp;A3323&amp;" - "&amp;C3323,IF(L3323="","EFEITO_PC nao calculado: PC "&amp;A3323&amp;" - "&amp;C3323,"OK")))))))))</f>
        <v/>
      </c>
      <c r="L3323" s="92" t="str">
        <f>IF(AND(A3323="",B3323="",D3323="",G3323=""),"",IF(OR(B3323="",NOT(ISNUMBER(B3323)),C3323="",C3323="Fora dos ciclos"),"",IF(C3323="C0","Nao",IF(IFERROR(INDEX(parametros!$A$2:$A$6,MATCH(C3323,parametros!$B$2:$B$6,0)),"")&lt;&gt;"Sim","Nao",IF(IFERROR(INDEX(parametros!$H$2:$H$6,MATCH(C3323,parametros!$B$2:$B$6,0)),"")="","",IF(B3323&gt;=IFERROR(INDEX(parametros!$H$2:$H$6,MATCH(C3323,parametros!$B$2:$B$6,0)),""),"Sim","Nao"))))))</f>
        <v/>
      </c>
      <c r="T3323" s="156"/>
      <c r="U3323" s="214" t="str">
        <f t="shared" si="261"/>
        <v/>
      </c>
      <c r="V3323" s="212" t="s">
        <v>50</v>
      </c>
      <c r="W3323" s="100" t="s">
        <v>168</v>
      </c>
      <c r="X3323" s="100" t="s">
        <v>169</v>
      </c>
      <c r="Y3323" s="101" t="s">
        <v>170</v>
      </c>
      <c r="Z3323" s="101" t="s">
        <v>171</v>
      </c>
      <c r="AA3323" s="101" t="s">
        <v>50</v>
      </c>
      <c r="AB3323" s="101" t="s">
        <v>172</v>
      </c>
      <c r="AC3323" s="102" t="s">
        <v>173</v>
      </c>
    </row>
    <row r="3324" spans="1:29" ht="25.5" customHeight="1" x14ac:dyDescent="0.35">
      <c r="A3324" s="392"/>
      <c r="B3324" s="393"/>
      <c r="C3324" s="99" t="str">
        <f>IF(B3324="","",IF(NOT(ISNUMBER(B3324)),"DATA_PC invalida",IF(NOT(ISNUMBER(parametros!$C$2)),"Fora dos ciclos",IF(OR(B3324&lt;parametros!$C$2,(YEAR(B3324)-YEAR(parametros!$C$2))*12+MONTH(B3324)-MONTH(parametros!$C$2)&gt;59),"Fora dos ciclos","C"&amp;INT(((YEAR(B3324)-YEAR(parametros!$C$2))*12+MONTH(B3324)-MONTH(parametros!$C$2))/12)))))</f>
        <v/>
      </c>
      <c r="D3324" s="394"/>
      <c r="E3324" s="78" t="str">
        <f>IF(C3324="","",IFERROR(VLOOKUP(C3324,parametros!$A$11:$E$15,5,0),""))</f>
        <v/>
      </c>
      <c r="F3324" s="79" t="str">
        <f t="shared" si="257"/>
        <v/>
      </c>
      <c r="G3324" s="395"/>
      <c r="H3324" s="91">
        <f t="shared" si="258"/>
        <v>0</v>
      </c>
      <c r="I3324" s="91" t="str">
        <f t="shared" si="259"/>
        <v/>
      </c>
      <c r="J3324" s="91" t="str">
        <f t="shared" si="260"/>
        <v/>
      </c>
      <c r="K3324" s="92" t="str">
        <f>IF(AND(A3324="",B3324="",D3324="",G3324=""),"",IF(AND(A3324&lt;&gt;"",COUNTIF($A$2:$A$5001,A3324)&gt;1),"NUMERO_PC duplicado",IF(B3324="","DATA_PC vazia",IF(NOT(ISNUMBER(B3324)),"DATA_PC invalida",IF(OR(C3324="",C3324="Fora dos ciclos"),"CICLO_PC nao identificado",IF(OR(D3324="",D3324=0),"VALOR_PC vazio ou zero",IF(AND(G3324&lt;&gt;"Sim",G3324&lt;&gt;"Nao",G3324&lt;&gt;""),"PC_PAGO_A_CONTRATADA invalido",IF(AND(C3324&lt;&gt;"C0",IFERROR(INDEX(parametros!$A$2:$A$6,MATCH(C3324,parametros!$B$2:$B$6,0)),"")="Sim",IFERROR(INDEX(parametros!$H$2:$H$6,MATCH(C3324,parametros!$B$2:$B$6,0)),"")=""),"INICIO_EFEITO ausente: PC "&amp;A3324&amp;" - "&amp;C3324,IF(L3324="","EFEITO_PC nao calculado: PC "&amp;A3324&amp;" - "&amp;C3324,"OK")))))))))</f>
        <v/>
      </c>
      <c r="L3324" s="92" t="str">
        <f>IF(AND(A3324="",B3324="",D3324="",G3324=""),"",IF(OR(B3324="",NOT(ISNUMBER(B3324)),C3324="",C3324="Fora dos ciclos"),"",IF(C3324="C0","Nao",IF(IFERROR(INDEX(parametros!$A$2:$A$6,MATCH(C3324,parametros!$B$2:$B$6,0)),"")&lt;&gt;"Sim","Nao",IF(IFERROR(INDEX(parametros!$H$2:$H$6,MATCH(C3324,parametros!$B$2:$B$6,0)),"")="","",IF(B3324&gt;=IFERROR(INDEX(parametros!$H$2:$H$6,MATCH(C3324,parametros!$B$2:$B$6,0)),""),"Sim","Nao"))))))</f>
        <v/>
      </c>
      <c r="T3324" s="156"/>
      <c r="U3324" s="214" t="str">
        <f t="shared" si="261"/>
        <v/>
      </c>
      <c r="V3324" s="212" t="s">
        <v>50</v>
      </c>
      <c r="W3324" s="100" t="s">
        <v>168</v>
      </c>
      <c r="X3324" s="100" t="s">
        <v>169</v>
      </c>
      <c r="Y3324" s="101" t="s">
        <v>170</v>
      </c>
      <c r="Z3324" s="101" t="s">
        <v>171</v>
      </c>
      <c r="AA3324" s="101" t="s">
        <v>50</v>
      </c>
      <c r="AB3324" s="101" t="s">
        <v>172</v>
      </c>
      <c r="AC3324" s="102" t="s">
        <v>173</v>
      </c>
    </row>
    <row r="3325" spans="1:29" ht="25.5" customHeight="1" x14ac:dyDescent="0.35">
      <c r="A3325" s="392"/>
      <c r="B3325" s="393"/>
      <c r="C3325" s="99" t="str">
        <f>IF(B3325="","",IF(NOT(ISNUMBER(B3325)),"DATA_PC invalida",IF(NOT(ISNUMBER(parametros!$C$2)),"Fora dos ciclos",IF(OR(B3325&lt;parametros!$C$2,(YEAR(B3325)-YEAR(parametros!$C$2))*12+MONTH(B3325)-MONTH(parametros!$C$2)&gt;59),"Fora dos ciclos","C"&amp;INT(((YEAR(B3325)-YEAR(parametros!$C$2))*12+MONTH(B3325)-MONTH(parametros!$C$2))/12)))))</f>
        <v/>
      </c>
      <c r="D3325" s="394"/>
      <c r="E3325" s="78" t="str">
        <f>IF(C3325="","",IFERROR(VLOOKUP(C3325,parametros!$A$11:$E$15,5,0),""))</f>
        <v/>
      </c>
      <c r="F3325" s="79" t="str">
        <f t="shared" si="257"/>
        <v/>
      </c>
      <c r="G3325" s="395"/>
      <c r="H3325" s="91">
        <f t="shared" si="258"/>
        <v>0</v>
      </c>
      <c r="I3325" s="91" t="str">
        <f t="shared" si="259"/>
        <v/>
      </c>
      <c r="J3325" s="91" t="str">
        <f t="shared" si="260"/>
        <v/>
      </c>
      <c r="K3325" s="92" t="str">
        <f>IF(AND(A3325="",B3325="",D3325="",G3325=""),"",IF(AND(A3325&lt;&gt;"",COUNTIF($A$2:$A$5001,A3325)&gt;1),"NUMERO_PC duplicado",IF(B3325="","DATA_PC vazia",IF(NOT(ISNUMBER(B3325)),"DATA_PC invalida",IF(OR(C3325="",C3325="Fora dos ciclos"),"CICLO_PC nao identificado",IF(OR(D3325="",D3325=0),"VALOR_PC vazio ou zero",IF(AND(G3325&lt;&gt;"Sim",G3325&lt;&gt;"Nao",G3325&lt;&gt;""),"PC_PAGO_A_CONTRATADA invalido",IF(AND(C3325&lt;&gt;"C0",IFERROR(INDEX(parametros!$A$2:$A$6,MATCH(C3325,parametros!$B$2:$B$6,0)),"")="Sim",IFERROR(INDEX(parametros!$H$2:$H$6,MATCH(C3325,parametros!$B$2:$B$6,0)),"")=""),"INICIO_EFEITO ausente: PC "&amp;A3325&amp;" - "&amp;C3325,IF(L3325="","EFEITO_PC nao calculado: PC "&amp;A3325&amp;" - "&amp;C3325,"OK")))))))))</f>
        <v/>
      </c>
      <c r="L3325" s="92" t="str">
        <f>IF(AND(A3325="",B3325="",D3325="",G3325=""),"",IF(OR(B3325="",NOT(ISNUMBER(B3325)),C3325="",C3325="Fora dos ciclos"),"",IF(C3325="C0","Nao",IF(IFERROR(INDEX(parametros!$A$2:$A$6,MATCH(C3325,parametros!$B$2:$B$6,0)),"")&lt;&gt;"Sim","Nao",IF(IFERROR(INDEX(parametros!$H$2:$H$6,MATCH(C3325,parametros!$B$2:$B$6,0)),"")="","",IF(B3325&gt;=IFERROR(INDEX(parametros!$H$2:$H$6,MATCH(C3325,parametros!$B$2:$B$6,0)),""),"Sim","Nao"))))))</f>
        <v/>
      </c>
      <c r="T3325" s="156"/>
      <c r="U3325" s="214" t="str">
        <f t="shared" si="261"/>
        <v/>
      </c>
      <c r="V3325" s="212" t="s">
        <v>50</v>
      </c>
      <c r="W3325" s="100" t="s">
        <v>168</v>
      </c>
      <c r="X3325" s="100" t="s">
        <v>169</v>
      </c>
      <c r="Y3325" s="101" t="s">
        <v>170</v>
      </c>
      <c r="Z3325" s="101" t="s">
        <v>171</v>
      </c>
      <c r="AA3325" s="101" t="s">
        <v>50</v>
      </c>
      <c r="AB3325" s="101" t="s">
        <v>172</v>
      </c>
      <c r="AC3325" s="102" t="s">
        <v>173</v>
      </c>
    </row>
    <row r="3326" spans="1:29" ht="25.5" customHeight="1" x14ac:dyDescent="0.35">
      <c r="A3326" s="392"/>
      <c r="B3326" s="393"/>
      <c r="C3326" s="99" t="str">
        <f>IF(B3326="","",IF(NOT(ISNUMBER(B3326)),"DATA_PC invalida",IF(NOT(ISNUMBER(parametros!$C$2)),"Fora dos ciclos",IF(OR(B3326&lt;parametros!$C$2,(YEAR(B3326)-YEAR(parametros!$C$2))*12+MONTH(B3326)-MONTH(parametros!$C$2)&gt;59),"Fora dos ciclos","C"&amp;INT(((YEAR(B3326)-YEAR(parametros!$C$2))*12+MONTH(B3326)-MONTH(parametros!$C$2))/12)))))</f>
        <v/>
      </c>
      <c r="D3326" s="394"/>
      <c r="E3326" s="78" t="str">
        <f>IF(C3326="","",IFERROR(VLOOKUP(C3326,parametros!$A$11:$E$15,5,0),""))</f>
        <v/>
      </c>
      <c r="F3326" s="79" t="str">
        <f t="shared" si="257"/>
        <v/>
      </c>
      <c r="G3326" s="395"/>
      <c r="H3326" s="91">
        <f t="shared" si="258"/>
        <v>0</v>
      </c>
      <c r="I3326" s="91" t="str">
        <f t="shared" si="259"/>
        <v/>
      </c>
      <c r="J3326" s="91" t="str">
        <f t="shared" si="260"/>
        <v/>
      </c>
      <c r="K3326" s="92" t="str">
        <f>IF(AND(A3326="",B3326="",D3326="",G3326=""),"",IF(AND(A3326&lt;&gt;"",COUNTIF($A$2:$A$5001,A3326)&gt;1),"NUMERO_PC duplicado",IF(B3326="","DATA_PC vazia",IF(NOT(ISNUMBER(B3326)),"DATA_PC invalida",IF(OR(C3326="",C3326="Fora dos ciclos"),"CICLO_PC nao identificado",IF(OR(D3326="",D3326=0),"VALOR_PC vazio ou zero",IF(AND(G3326&lt;&gt;"Sim",G3326&lt;&gt;"Nao",G3326&lt;&gt;""),"PC_PAGO_A_CONTRATADA invalido",IF(AND(C3326&lt;&gt;"C0",IFERROR(INDEX(parametros!$A$2:$A$6,MATCH(C3326,parametros!$B$2:$B$6,0)),"")="Sim",IFERROR(INDEX(parametros!$H$2:$H$6,MATCH(C3326,parametros!$B$2:$B$6,0)),"")=""),"INICIO_EFEITO ausente: PC "&amp;A3326&amp;" - "&amp;C3326,IF(L3326="","EFEITO_PC nao calculado: PC "&amp;A3326&amp;" - "&amp;C3326,"OK")))))))))</f>
        <v/>
      </c>
      <c r="L3326" s="92" t="str">
        <f>IF(AND(A3326="",B3326="",D3326="",G3326=""),"",IF(OR(B3326="",NOT(ISNUMBER(B3326)),C3326="",C3326="Fora dos ciclos"),"",IF(C3326="C0","Nao",IF(IFERROR(INDEX(parametros!$A$2:$A$6,MATCH(C3326,parametros!$B$2:$B$6,0)),"")&lt;&gt;"Sim","Nao",IF(IFERROR(INDEX(parametros!$H$2:$H$6,MATCH(C3326,parametros!$B$2:$B$6,0)),"")="","",IF(B3326&gt;=IFERROR(INDEX(parametros!$H$2:$H$6,MATCH(C3326,parametros!$B$2:$B$6,0)),""),"Sim","Nao"))))))</f>
        <v/>
      </c>
      <c r="T3326" s="156"/>
      <c r="U3326" s="214" t="str">
        <f t="shared" si="261"/>
        <v/>
      </c>
      <c r="V3326" s="212" t="s">
        <v>50</v>
      </c>
      <c r="W3326" s="100" t="s">
        <v>168</v>
      </c>
      <c r="X3326" s="100" t="s">
        <v>169</v>
      </c>
      <c r="Y3326" s="101" t="s">
        <v>170</v>
      </c>
      <c r="Z3326" s="101" t="s">
        <v>171</v>
      </c>
      <c r="AA3326" s="101" t="s">
        <v>50</v>
      </c>
      <c r="AB3326" s="101" t="s">
        <v>172</v>
      </c>
      <c r="AC3326" s="102" t="s">
        <v>173</v>
      </c>
    </row>
    <row r="3327" spans="1:29" ht="25.5" customHeight="1" x14ac:dyDescent="0.35">
      <c r="A3327" s="392"/>
      <c r="B3327" s="393"/>
      <c r="C3327" s="99" t="str">
        <f>IF(B3327="","",IF(NOT(ISNUMBER(B3327)),"DATA_PC invalida",IF(NOT(ISNUMBER(parametros!$C$2)),"Fora dos ciclos",IF(OR(B3327&lt;parametros!$C$2,(YEAR(B3327)-YEAR(parametros!$C$2))*12+MONTH(B3327)-MONTH(parametros!$C$2)&gt;59),"Fora dos ciclos","C"&amp;INT(((YEAR(B3327)-YEAR(parametros!$C$2))*12+MONTH(B3327)-MONTH(parametros!$C$2))/12)))))</f>
        <v/>
      </c>
      <c r="D3327" s="394"/>
      <c r="E3327" s="78" t="str">
        <f>IF(C3327="","",IFERROR(VLOOKUP(C3327,parametros!$A$11:$E$15,5,0),""))</f>
        <v/>
      </c>
      <c r="F3327" s="79" t="str">
        <f t="shared" si="257"/>
        <v/>
      </c>
      <c r="G3327" s="395"/>
      <c r="H3327" s="91">
        <f t="shared" si="258"/>
        <v>0</v>
      </c>
      <c r="I3327" s="91" t="str">
        <f t="shared" si="259"/>
        <v/>
      </c>
      <c r="J3327" s="91" t="str">
        <f t="shared" si="260"/>
        <v/>
      </c>
      <c r="K3327" s="92" t="str">
        <f>IF(AND(A3327="",B3327="",D3327="",G3327=""),"",IF(AND(A3327&lt;&gt;"",COUNTIF($A$2:$A$5001,A3327)&gt;1),"NUMERO_PC duplicado",IF(B3327="","DATA_PC vazia",IF(NOT(ISNUMBER(B3327)),"DATA_PC invalida",IF(OR(C3327="",C3327="Fora dos ciclos"),"CICLO_PC nao identificado",IF(OR(D3327="",D3327=0),"VALOR_PC vazio ou zero",IF(AND(G3327&lt;&gt;"Sim",G3327&lt;&gt;"Nao",G3327&lt;&gt;""),"PC_PAGO_A_CONTRATADA invalido",IF(AND(C3327&lt;&gt;"C0",IFERROR(INDEX(parametros!$A$2:$A$6,MATCH(C3327,parametros!$B$2:$B$6,0)),"")="Sim",IFERROR(INDEX(parametros!$H$2:$H$6,MATCH(C3327,parametros!$B$2:$B$6,0)),"")=""),"INICIO_EFEITO ausente: PC "&amp;A3327&amp;" - "&amp;C3327,IF(L3327="","EFEITO_PC nao calculado: PC "&amp;A3327&amp;" - "&amp;C3327,"OK")))))))))</f>
        <v/>
      </c>
      <c r="L3327" s="92" t="str">
        <f>IF(AND(A3327="",B3327="",D3327="",G3327=""),"",IF(OR(B3327="",NOT(ISNUMBER(B3327)),C3327="",C3327="Fora dos ciclos"),"",IF(C3327="C0","Nao",IF(IFERROR(INDEX(parametros!$A$2:$A$6,MATCH(C3327,parametros!$B$2:$B$6,0)),"")&lt;&gt;"Sim","Nao",IF(IFERROR(INDEX(parametros!$H$2:$H$6,MATCH(C3327,parametros!$B$2:$B$6,0)),"")="","",IF(B3327&gt;=IFERROR(INDEX(parametros!$H$2:$H$6,MATCH(C3327,parametros!$B$2:$B$6,0)),""),"Sim","Nao"))))))</f>
        <v/>
      </c>
      <c r="T3327" s="156"/>
      <c r="U3327" s="214" t="str">
        <f t="shared" si="261"/>
        <v/>
      </c>
      <c r="V3327" s="212" t="s">
        <v>50</v>
      </c>
      <c r="W3327" s="100" t="s">
        <v>168</v>
      </c>
      <c r="X3327" s="100" t="s">
        <v>169</v>
      </c>
      <c r="Y3327" s="101" t="s">
        <v>170</v>
      </c>
      <c r="Z3327" s="101" t="s">
        <v>171</v>
      </c>
      <c r="AA3327" s="101" t="s">
        <v>50</v>
      </c>
      <c r="AB3327" s="101" t="s">
        <v>172</v>
      </c>
      <c r="AC3327" s="102" t="s">
        <v>173</v>
      </c>
    </row>
    <row r="3328" spans="1:29" ht="25.5" customHeight="1" x14ac:dyDescent="0.35">
      <c r="A3328" s="392"/>
      <c r="B3328" s="393"/>
      <c r="C3328" s="99" t="str">
        <f>IF(B3328="","",IF(NOT(ISNUMBER(B3328)),"DATA_PC invalida",IF(NOT(ISNUMBER(parametros!$C$2)),"Fora dos ciclos",IF(OR(B3328&lt;parametros!$C$2,(YEAR(B3328)-YEAR(parametros!$C$2))*12+MONTH(B3328)-MONTH(parametros!$C$2)&gt;59),"Fora dos ciclos","C"&amp;INT(((YEAR(B3328)-YEAR(parametros!$C$2))*12+MONTH(B3328)-MONTH(parametros!$C$2))/12)))))</f>
        <v/>
      </c>
      <c r="D3328" s="394"/>
      <c r="E3328" s="78" t="str">
        <f>IF(C3328="","",IFERROR(VLOOKUP(C3328,parametros!$A$11:$E$15,5,0),""))</f>
        <v/>
      </c>
      <c r="F3328" s="79" t="str">
        <f t="shared" si="257"/>
        <v/>
      </c>
      <c r="G3328" s="395"/>
      <c r="H3328" s="91">
        <f t="shared" si="258"/>
        <v>0</v>
      </c>
      <c r="I3328" s="91" t="str">
        <f t="shared" si="259"/>
        <v/>
      </c>
      <c r="J3328" s="91" t="str">
        <f t="shared" si="260"/>
        <v/>
      </c>
      <c r="K3328" s="92" t="str">
        <f>IF(AND(A3328="",B3328="",D3328="",G3328=""),"",IF(AND(A3328&lt;&gt;"",COUNTIF($A$2:$A$5001,A3328)&gt;1),"NUMERO_PC duplicado",IF(B3328="","DATA_PC vazia",IF(NOT(ISNUMBER(B3328)),"DATA_PC invalida",IF(OR(C3328="",C3328="Fora dos ciclos"),"CICLO_PC nao identificado",IF(OR(D3328="",D3328=0),"VALOR_PC vazio ou zero",IF(AND(G3328&lt;&gt;"Sim",G3328&lt;&gt;"Nao",G3328&lt;&gt;""),"PC_PAGO_A_CONTRATADA invalido",IF(AND(C3328&lt;&gt;"C0",IFERROR(INDEX(parametros!$A$2:$A$6,MATCH(C3328,parametros!$B$2:$B$6,0)),"")="Sim",IFERROR(INDEX(parametros!$H$2:$H$6,MATCH(C3328,parametros!$B$2:$B$6,0)),"")=""),"INICIO_EFEITO ausente: PC "&amp;A3328&amp;" - "&amp;C3328,IF(L3328="","EFEITO_PC nao calculado: PC "&amp;A3328&amp;" - "&amp;C3328,"OK")))))))))</f>
        <v/>
      </c>
      <c r="L3328" s="92" t="str">
        <f>IF(AND(A3328="",B3328="",D3328="",G3328=""),"",IF(OR(B3328="",NOT(ISNUMBER(B3328)),C3328="",C3328="Fora dos ciclos"),"",IF(C3328="C0","Nao",IF(IFERROR(INDEX(parametros!$A$2:$A$6,MATCH(C3328,parametros!$B$2:$B$6,0)),"")&lt;&gt;"Sim","Nao",IF(IFERROR(INDEX(parametros!$H$2:$H$6,MATCH(C3328,parametros!$B$2:$B$6,0)),"")="","",IF(B3328&gt;=IFERROR(INDEX(parametros!$H$2:$H$6,MATCH(C3328,parametros!$B$2:$B$6,0)),""),"Sim","Nao"))))))</f>
        <v/>
      </c>
      <c r="T3328" s="156"/>
      <c r="U3328" s="214" t="str">
        <f t="shared" si="261"/>
        <v/>
      </c>
      <c r="V3328" s="212" t="s">
        <v>50</v>
      </c>
      <c r="W3328" s="100" t="s">
        <v>168</v>
      </c>
      <c r="X3328" s="100" t="s">
        <v>169</v>
      </c>
      <c r="Y3328" s="101" t="s">
        <v>170</v>
      </c>
      <c r="Z3328" s="101" t="s">
        <v>171</v>
      </c>
      <c r="AA3328" s="101" t="s">
        <v>50</v>
      </c>
      <c r="AB3328" s="101" t="s">
        <v>172</v>
      </c>
      <c r="AC3328" s="102" t="s">
        <v>173</v>
      </c>
    </row>
    <row r="3329" spans="1:29" ht="25.5" customHeight="1" x14ac:dyDescent="0.35">
      <c r="A3329" s="392"/>
      <c r="B3329" s="393"/>
      <c r="C3329" s="99" t="str">
        <f>IF(B3329="","",IF(NOT(ISNUMBER(B3329)),"DATA_PC invalida",IF(NOT(ISNUMBER(parametros!$C$2)),"Fora dos ciclos",IF(OR(B3329&lt;parametros!$C$2,(YEAR(B3329)-YEAR(parametros!$C$2))*12+MONTH(B3329)-MONTH(parametros!$C$2)&gt;59),"Fora dos ciclos","C"&amp;INT(((YEAR(B3329)-YEAR(parametros!$C$2))*12+MONTH(B3329)-MONTH(parametros!$C$2))/12)))))</f>
        <v/>
      </c>
      <c r="D3329" s="394"/>
      <c r="E3329" s="78" t="str">
        <f>IF(C3329="","",IFERROR(VLOOKUP(C3329,parametros!$A$11:$E$15,5,0),""))</f>
        <v/>
      </c>
      <c r="F3329" s="79" t="str">
        <f t="shared" si="257"/>
        <v/>
      </c>
      <c r="G3329" s="395"/>
      <c r="H3329" s="91">
        <f t="shared" si="258"/>
        <v>0</v>
      </c>
      <c r="I3329" s="91" t="str">
        <f t="shared" si="259"/>
        <v/>
      </c>
      <c r="J3329" s="91" t="str">
        <f t="shared" si="260"/>
        <v/>
      </c>
      <c r="K3329" s="92" t="str">
        <f>IF(AND(A3329="",B3329="",D3329="",G3329=""),"",IF(AND(A3329&lt;&gt;"",COUNTIF($A$2:$A$5001,A3329)&gt;1),"NUMERO_PC duplicado",IF(B3329="","DATA_PC vazia",IF(NOT(ISNUMBER(B3329)),"DATA_PC invalida",IF(OR(C3329="",C3329="Fora dos ciclos"),"CICLO_PC nao identificado",IF(OR(D3329="",D3329=0),"VALOR_PC vazio ou zero",IF(AND(G3329&lt;&gt;"Sim",G3329&lt;&gt;"Nao",G3329&lt;&gt;""),"PC_PAGO_A_CONTRATADA invalido",IF(AND(C3329&lt;&gt;"C0",IFERROR(INDEX(parametros!$A$2:$A$6,MATCH(C3329,parametros!$B$2:$B$6,0)),"")="Sim",IFERROR(INDEX(parametros!$H$2:$H$6,MATCH(C3329,parametros!$B$2:$B$6,0)),"")=""),"INICIO_EFEITO ausente: PC "&amp;A3329&amp;" - "&amp;C3329,IF(L3329="","EFEITO_PC nao calculado: PC "&amp;A3329&amp;" - "&amp;C3329,"OK")))))))))</f>
        <v/>
      </c>
      <c r="L3329" s="92" t="str">
        <f>IF(AND(A3329="",B3329="",D3329="",G3329=""),"",IF(OR(B3329="",NOT(ISNUMBER(B3329)),C3329="",C3329="Fora dos ciclos"),"",IF(C3329="C0","Nao",IF(IFERROR(INDEX(parametros!$A$2:$A$6,MATCH(C3329,parametros!$B$2:$B$6,0)),"")&lt;&gt;"Sim","Nao",IF(IFERROR(INDEX(parametros!$H$2:$H$6,MATCH(C3329,parametros!$B$2:$B$6,0)),"")="","",IF(B3329&gt;=IFERROR(INDEX(parametros!$H$2:$H$6,MATCH(C3329,parametros!$B$2:$B$6,0)),""),"Sim","Nao"))))))</f>
        <v/>
      </c>
      <c r="T3329" s="156"/>
      <c r="U3329" s="214" t="str">
        <f t="shared" si="261"/>
        <v/>
      </c>
      <c r="V3329" s="212" t="s">
        <v>50</v>
      </c>
      <c r="W3329" s="100" t="s">
        <v>168</v>
      </c>
      <c r="X3329" s="100" t="s">
        <v>169</v>
      </c>
      <c r="Y3329" s="101" t="s">
        <v>170</v>
      </c>
      <c r="Z3329" s="101" t="s">
        <v>171</v>
      </c>
      <c r="AA3329" s="101" t="s">
        <v>50</v>
      </c>
      <c r="AB3329" s="101" t="s">
        <v>172</v>
      </c>
      <c r="AC3329" s="102" t="s">
        <v>173</v>
      </c>
    </row>
    <row r="3330" spans="1:29" ht="25.5" customHeight="1" x14ac:dyDescent="0.35">
      <c r="A3330" s="392"/>
      <c r="B3330" s="393"/>
      <c r="C3330" s="99" t="str">
        <f>IF(B3330="","",IF(NOT(ISNUMBER(B3330)),"DATA_PC invalida",IF(NOT(ISNUMBER(parametros!$C$2)),"Fora dos ciclos",IF(OR(B3330&lt;parametros!$C$2,(YEAR(B3330)-YEAR(parametros!$C$2))*12+MONTH(B3330)-MONTH(parametros!$C$2)&gt;59),"Fora dos ciclos","C"&amp;INT(((YEAR(B3330)-YEAR(parametros!$C$2))*12+MONTH(B3330)-MONTH(parametros!$C$2))/12)))))</f>
        <v/>
      </c>
      <c r="D3330" s="394"/>
      <c r="E3330" s="78" t="str">
        <f>IF(C3330="","",IFERROR(VLOOKUP(C3330,parametros!$A$11:$E$15,5,0),""))</f>
        <v/>
      </c>
      <c r="F3330" s="79" t="str">
        <f t="shared" ref="F3330:F3393" si="262">IF(OR(D3330="",E3330=""),"",ROUND(D3330*E3330,2))</f>
        <v/>
      </c>
      <c r="G3330" s="395"/>
      <c r="H3330" s="91">
        <f t="shared" ref="H3330:H3393" si="263">IF(G3330="Sim",IF(OR(F3330="",D3330="",L3330=""),"",IF(L3330="Sim",ROUND(F3330-D3330,2),0)),0)</f>
        <v>0</v>
      </c>
      <c r="I3330" s="91" t="str">
        <f t="shared" ref="I3330:I3393" si="264">IF(G3330="Sim",0,IF(OR(F3330="",L3330=""),"",F3330))</f>
        <v/>
      </c>
      <c r="J3330" s="91" t="str">
        <f t="shared" ref="J3330:J3393" si="265">IF(G3330="Sim",0,IF(OR(F3330="",D3330="",L3330=""),"",IF(L3330="Sim",ROUND(F3330-D3330,2),0)))</f>
        <v/>
      </c>
      <c r="K3330" s="92" t="str">
        <f>IF(AND(A3330="",B3330="",D3330="",G3330=""),"",IF(AND(A3330&lt;&gt;"",COUNTIF($A$2:$A$5001,A3330)&gt;1),"NUMERO_PC duplicado",IF(B3330="","DATA_PC vazia",IF(NOT(ISNUMBER(B3330)),"DATA_PC invalida",IF(OR(C3330="",C3330="Fora dos ciclos"),"CICLO_PC nao identificado",IF(OR(D3330="",D3330=0),"VALOR_PC vazio ou zero",IF(AND(G3330&lt;&gt;"Sim",G3330&lt;&gt;"Nao",G3330&lt;&gt;""),"PC_PAGO_A_CONTRATADA invalido",IF(AND(C3330&lt;&gt;"C0",IFERROR(INDEX(parametros!$A$2:$A$6,MATCH(C3330,parametros!$B$2:$B$6,0)),"")="Sim",IFERROR(INDEX(parametros!$H$2:$H$6,MATCH(C3330,parametros!$B$2:$B$6,0)),"")=""),"INICIO_EFEITO ausente: PC "&amp;A3330&amp;" - "&amp;C3330,IF(L3330="","EFEITO_PC nao calculado: PC "&amp;A3330&amp;" - "&amp;C3330,"OK")))))))))</f>
        <v/>
      </c>
      <c r="L3330" s="92" t="str">
        <f>IF(AND(A3330="",B3330="",D3330="",G3330=""),"",IF(OR(B3330="",NOT(ISNUMBER(B3330)),C3330="",C3330="Fora dos ciclos"),"",IF(C3330="C0","Nao",IF(IFERROR(INDEX(parametros!$A$2:$A$6,MATCH(C3330,parametros!$B$2:$B$6,0)),"")&lt;&gt;"Sim","Nao",IF(IFERROR(INDEX(parametros!$H$2:$H$6,MATCH(C3330,parametros!$B$2:$B$6,0)),"")="","",IF(B3330&gt;=IFERROR(INDEX(parametros!$H$2:$H$6,MATCH(C3330,parametros!$B$2:$B$6,0)),""),"Sim","Nao"))))))</f>
        <v/>
      </c>
      <c r="T3330" s="156"/>
      <c r="U3330" s="214" t="str">
        <f t="shared" ref="U3330:U3393" si="266">IF(OR($D3330="",$H3330=""),"",ROUND($D3330+$H3330,2))</f>
        <v/>
      </c>
      <c r="V3330" s="212" t="s">
        <v>50</v>
      </c>
      <c r="W3330" s="100" t="s">
        <v>168</v>
      </c>
      <c r="X3330" s="100" t="s">
        <v>169</v>
      </c>
      <c r="Y3330" s="101" t="s">
        <v>170</v>
      </c>
      <c r="Z3330" s="101" t="s">
        <v>171</v>
      </c>
      <c r="AA3330" s="101" t="s">
        <v>50</v>
      </c>
      <c r="AB3330" s="101" t="s">
        <v>172</v>
      </c>
      <c r="AC3330" s="102" t="s">
        <v>173</v>
      </c>
    </row>
    <row r="3331" spans="1:29" ht="25.5" customHeight="1" x14ac:dyDescent="0.35">
      <c r="A3331" s="392"/>
      <c r="B3331" s="393"/>
      <c r="C3331" s="99" t="str">
        <f>IF(B3331="","",IF(NOT(ISNUMBER(B3331)),"DATA_PC invalida",IF(NOT(ISNUMBER(parametros!$C$2)),"Fora dos ciclos",IF(OR(B3331&lt;parametros!$C$2,(YEAR(B3331)-YEAR(parametros!$C$2))*12+MONTH(B3331)-MONTH(parametros!$C$2)&gt;59),"Fora dos ciclos","C"&amp;INT(((YEAR(B3331)-YEAR(parametros!$C$2))*12+MONTH(B3331)-MONTH(parametros!$C$2))/12)))))</f>
        <v/>
      </c>
      <c r="D3331" s="394"/>
      <c r="E3331" s="78" t="str">
        <f>IF(C3331="","",IFERROR(VLOOKUP(C3331,parametros!$A$11:$E$15,5,0),""))</f>
        <v/>
      </c>
      <c r="F3331" s="79" t="str">
        <f t="shared" si="262"/>
        <v/>
      </c>
      <c r="G3331" s="395"/>
      <c r="H3331" s="91">
        <f t="shared" si="263"/>
        <v>0</v>
      </c>
      <c r="I3331" s="91" t="str">
        <f t="shared" si="264"/>
        <v/>
      </c>
      <c r="J3331" s="91" t="str">
        <f t="shared" si="265"/>
        <v/>
      </c>
      <c r="K3331" s="92" t="str">
        <f>IF(AND(A3331="",B3331="",D3331="",G3331=""),"",IF(AND(A3331&lt;&gt;"",COUNTIF($A$2:$A$5001,A3331)&gt;1),"NUMERO_PC duplicado",IF(B3331="","DATA_PC vazia",IF(NOT(ISNUMBER(B3331)),"DATA_PC invalida",IF(OR(C3331="",C3331="Fora dos ciclos"),"CICLO_PC nao identificado",IF(OR(D3331="",D3331=0),"VALOR_PC vazio ou zero",IF(AND(G3331&lt;&gt;"Sim",G3331&lt;&gt;"Nao",G3331&lt;&gt;""),"PC_PAGO_A_CONTRATADA invalido",IF(AND(C3331&lt;&gt;"C0",IFERROR(INDEX(parametros!$A$2:$A$6,MATCH(C3331,parametros!$B$2:$B$6,0)),"")="Sim",IFERROR(INDEX(parametros!$H$2:$H$6,MATCH(C3331,parametros!$B$2:$B$6,0)),"")=""),"INICIO_EFEITO ausente: PC "&amp;A3331&amp;" - "&amp;C3331,IF(L3331="","EFEITO_PC nao calculado: PC "&amp;A3331&amp;" - "&amp;C3331,"OK")))))))))</f>
        <v/>
      </c>
      <c r="L3331" s="92" t="str">
        <f>IF(AND(A3331="",B3331="",D3331="",G3331=""),"",IF(OR(B3331="",NOT(ISNUMBER(B3331)),C3331="",C3331="Fora dos ciclos"),"",IF(C3331="C0","Nao",IF(IFERROR(INDEX(parametros!$A$2:$A$6,MATCH(C3331,parametros!$B$2:$B$6,0)),"")&lt;&gt;"Sim","Nao",IF(IFERROR(INDEX(parametros!$H$2:$H$6,MATCH(C3331,parametros!$B$2:$B$6,0)),"")="","",IF(B3331&gt;=IFERROR(INDEX(parametros!$H$2:$H$6,MATCH(C3331,parametros!$B$2:$B$6,0)),""),"Sim","Nao"))))))</f>
        <v/>
      </c>
      <c r="T3331" s="156"/>
      <c r="U3331" s="214" t="str">
        <f t="shared" si="266"/>
        <v/>
      </c>
      <c r="V3331" s="212" t="s">
        <v>50</v>
      </c>
      <c r="W3331" s="100" t="s">
        <v>168</v>
      </c>
      <c r="X3331" s="100" t="s">
        <v>169</v>
      </c>
      <c r="Y3331" s="101" t="s">
        <v>170</v>
      </c>
      <c r="Z3331" s="101" t="s">
        <v>171</v>
      </c>
      <c r="AA3331" s="101" t="s">
        <v>50</v>
      </c>
      <c r="AB3331" s="101" t="s">
        <v>172</v>
      </c>
      <c r="AC3331" s="102" t="s">
        <v>173</v>
      </c>
    </row>
    <row r="3332" spans="1:29" ht="25.5" customHeight="1" x14ac:dyDescent="0.35">
      <c r="A3332" s="392"/>
      <c r="B3332" s="393"/>
      <c r="C3332" s="99" t="str">
        <f>IF(B3332="","",IF(NOT(ISNUMBER(B3332)),"DATA_PC invalida",IF(NOT(ISNUMBER(parametros!$C$2)),"Fora dos ciclos",IF(OR(B3332&lt;parametros!$C$2,(YEAR(B3332)-YEAR(parametros!$C$2))*12+MONTH(B3332)-MONTH(parametros!$C$2)&gt;59),"Fora dos ciclos","C"&amp;INT(((YEAR(B3332)-YEAR(parametros!$C$2))*12+MONTH(B3332)-MONTH(parametros!$C$2))/12)))))</f>
        <v/>
      </c>
      <c r="D3332" s="394"/>
      <c r="E3332" s="78" t="str">
        <f>IF(C3332="","",IFERROR(VLOOKUP(C3332,parametros!$A$11:$E$15,5,0),""))</f>
        <v/>
      </c>
      <c r="F3332" s="79" t="str">
        <f t="shared" si="262"/>
        <v/>
      </c>
      <c r="G3332" s="395"/>
      <c r="H3332" s="91">
        <f t="shared" si="263"/>
        <v>0</v>
      </c>
      <c r="I3332" s="91" t="str">
        <f t="shared" si="264"/>
        <v/>
      </c>
      <c r="J3332" s="91" t="str">
        <f t="shared" si="265"/>
        <v/>
      </c>
      <c r="K3332" s="92" t="str">
        <f>IF(AND(A3332="",B3332="",D3332="",G3332=""),"",IF(AND(A3332&lt;&gt;"",COUNTIF($A$2:$A$5001,A3332)&gt;1),"NUMERO_PC duplicado",IF(B3332="","DATA_PC vazia",IF(NOT(ISNUMBER(B3332)),"DATA_PC invalida",IF(OR(C3332="",C3332="Fora dos ciclos"),"CICLO_PC nao identificado",IF(OR(D3332="",D3332=0),"VALOR_PC vazio ou zero",IF(AND(G3332&lt;&gt;"Sim",G3332&lt;&gt;"Nao",G3332&lt;&gt;""),"PC_PAGO_A_CONTRATADA invalido",IF(AND(C3332&lt;&gt;"C0",IFERROR(INDEX(parametros!$A$2:$A$6,MATCH(C3332,parametros!$B$2:$B$6,0)),"")="Sim",IFERROR(INDEX(parametros!$H$2:$H$6,MATCH(C3332,parametros!$B$2:$B$6,0)),"")=""),"INICIO_EFEITO ausente: PC "&amp;A3332&amp;" - "&amp;C3332,IF(L3332="","EFEITO_PC nao calculado: PC "&amp;A3332&amp;" - "&amp;C3332,"OK")))))))))</f>
        <v/>
      </c>
      <c r="L3332" s="92" t="str">
        <f>IF(AND(A3332="",B3332="",D3332="",G3332=""),"",IF(OR(B3332="",NOT(ISNUMBER(B3332)),C3332="",C3332="Fora dos ciclos"),"",IF(C3332="C0","Nao",IF(IFERROR(INDEX(parametros!$A$2:$A$6,MATCH(C3332,parametros!$B$2:$B$6,0)),"")&lt;&gt;"Sim","Nao",IF(IFERROR(INDEX(parametros!$H$2:$H$6,MATCH(C3332,parametros!$B$2:$B$6,0)),"")="","",IF(B3332&gt;=IFERROR(INDEX(parametros!$H$2:$H$6,MATCH(C3332,parametros!$B$2:$B$6,0)),""),"Sim","Nao"))))))</f>
        <v/>
      </c>
      <c r="T3332" s="156"/>
      <c r="U3332" s="214" t="str">
        <f t="shared" si="266"/>
        <v/>
      </c>
      <c r="V3332" s="212" t="s">
        <v>50</v>
      </c>
      <c r="W3332" s="100" t="s">
        <v>168</v>
      </c>
      <c r="X3332" s="100" t="s">
        <v>169</v>
      </c>
      <c r="Y3332" s="101" t="s">
        <v>170</v>
      </c>
      <c r="Z3332" s="101" t="s">
        <v>171</v>
      </c>
      <c r="AA3332" s="101" t="s">
        <v>50</v>
      </c>
      <c r="AB3332" s="101" t="s">
        <v>172</v>
      </c>
      <c r="AC3332" s="102" t="s">
        <v>173</v>
      </c>
    </row>
    <row r="3333" spans="1:29" ht="25.5" customHeight="1" x14ac:dyDescent="0.35">
      <c r="A3333" s="392"/>
      <c r="B3333" s="393"/>
      <c r="C3333" s="99" t="str">
        <f>IF(B3333="","",IF(NOT(ISNUMBER(B3333)),"DATA_PC invalida",IF(NOT(ISNUMBER(parametros!$C$2)),"Fora dos ciclos",IF(OR(B3333&lt;parametros!$C$2,(YEAR(B3333)-YEAR(parametros!$C$2))*12+MONTH(B3333)-MONTH(parametros!$C$2)&gt;59),"Fora dos ciclos","C"&amp;INT(((YEAR(B3333)-YEAR(parametros!$C$2))*12+MONTH(B3333)-MONTH(parametros!$C$2))/12)))))</f>
        <v/>
      </c>
      <c r="D3333" s="394"/>
      <c r="E3333" s="78" t="str">
        <f>IF(C3333="","",IFERROR(VLOOKUP(C3333,parametros!$A$11:$E$15,5,0),""))</f>
        <v/>
      </c>
      <c r="F3333" s="79" t="str">
        <f t="shared" si="262"/>
        <v/>
      </c>
      <c r="G3333" s="395"/>
      <c r="H3333" s="91">
        <f t="shared" si="263"/>
        <v>0</v>
      </c>
      <c r="I3333" s="91" t="str">
        <f t="shared" si="264"/>
        <v/>
      </c>
      <c r="J3333" s="91" t="str">
        <f t="shared" si="265"/>
        <v/>
      </c>
      <c r="K3333" s="92" t="str">
        <f>IF(AND(A3333="",B3333="",D3333="",G3333=""),"",IF(AND(A3333&lt;&gt;"",COUNTIF($A$2:$A$5001,A3333)&gt;1),"NUMERO_PC duplicado",IF(B3333="","DATA_PC vazia",IF(NOT(ISNUMBER(B3333)),"DATA_PC invalida",IF(OR(C3333="",C3333="Fora dos ciclos"),"CICLO_PC nao identificado",IF(OR(D3333="",D3333=0),"VALOR_PC vazio ou zero",IF(AND(G3333&lt;&gt;"Sim",G3333&lt;&gt;"Nao",G3333&lt;&gt;""),"PC_PAGO_A_CONTRATADA invalido",IF(AND(C3333&lt;&gt;"C0",IFERROR(INDEX(parametros!$A$2:$A$6,MATCH(C3333,parametros!$B$2:$B$6,0)),"")="Sim",IFERROR(INDEX(parametros!$H$2:$H$6,MATCH(C3333,parametros!$B$2:$B$6,0)),"")=""),"INICIO_EFEITO ausente: PC "&amp;A3333&amp;" - "&amp;C3333,IF(L3333="","EFEITO_PC nao calculado: PC "&amp;A3333&amp;" - "&amp;C3333,"OK")))))))))</f>
        <v/>
      </c>
      <c r="L3333" s="92" t="str">
        <f>IF(AND(A3333="",B3333="",D3333="",G3333=""),"",IF(OR(B3333="",NOT(ISNUMBER(B3333)),C3333="",C3333="Fora dos ciclos"),"",IF(C3333="C0","Nao",IF(IFERROR(INDEX(parametros!$A$2:$A$6,MATCH(C3333,parametros!$B$2:$B$6,0)),"")&lt;&gt;"Sim","Nao",IF(IFERROR(INDEX(parametros!$H$2:$H$6,MATCH(C3333,parametros!$B$2:$B$6,0)),"")="","",IF(B3333&gt;=IFERROR(INDEX(parametros!$H$2:$H$6,MATCH(C3333,parametros!$B$2:$B$6,0)),""),"Sim","Nao"))))))</f>
        <v/>
      </c>
      <c r="T3333" s="156"/>
      <c r="U3333" s="214" t="str">
        <f t="shared" si="266"/>
        <v/>
      </c>
      <c r="V3333" s="212" t="s">
        <v>50</v>
      </c>
      <c r="W3333" s="100" t="s">
        <v>168</v>
      </c>
      <c r="X3333" s="100" t="s">
        <v>169</v>
      </c>
      <c r="Y3333" s="101" t="s">
        <v>170</v>
      </c>
      <c r="Z3333" s="101" t="s">
        <v>171</v>
      </c>
      <c r="AA3333" s="101" t="s">
        <v>50</v>
      </c>
      <c r="AB3333" s="101" t="s">
        <v>172</v>
      </c>
      <c r="AC3333" s="102" t="s">
        <v>173</v>
      </c>
    </row>
    <row r="3334" spans="1:29" ht="25.5" customHeight="1" x14ac:dyDescent="0.35">
      <c r="A3334" s="392"/>
      <c r="B3334" s="393"/>
      <c r="C3334" s="99" t="str">
        <f>IF(B3334="","",IF(NOT(ISNUMBER(B3334)),"DATA_PC invalida",IF(NOT(ISNUMBER(parametros!$C$2)),"Fora dos ciclos",IF(OR(B3334&lt;parametros!$C$2,(YEAR(B3334)-YEAR(parametros!$C$2))*12+MONTH(B3334)-MONTH(parametros!$C$2)&gt;59),"Fora dos ciclos","C"&amp;INT(((YEAR(B3334)-YEAR(parametros!$C$2))*12+MONTH(B3334)-MONTH(parametros!$C$2))/12)))))</f>
        <v/>
      </c>
      <c r="D3334" s="394"/>
      <c r="E3334" s="78" t="str">
        <f>IF(C3334="","",IFERROR(VLOOKUP(C3334,parametros!$A$11:$E$15,5,0),""))</f>
        <v/>
      </c>
      <c r="F3334" s="79" t="str">
        <f t="shared" si="262"/>
        <v/>
      </c>
      <c r="G3334" s="395"/>
      <c r="H3334" s="91">
        <f t="shared" si="263"/>
        <v>0</v>
      </c>
      <c r="I3334" s="91" t="str">
        <f t="shared" si="264"/>
        <v/>
      </c>
      <c r="J3334" s="91" t="str">
        <f t="shared" si="265"/>
        <v/>
      </c>
      <c r="K3334" s="92" t="str">
        <f>IF(AND(A3334="",B3334="",D3334="",G3334=""),"",IF(AND(A3334&lt;&gt;"",COUNTIF($A$2:$A$5001,A3334)&gt;1),"NUMERO_PC duplicado",IF(B3334="","DATA_PC vazia",IF(NOT(ISNUMBER(B3334)),"DATA_PC invalida",IF(OR(C3334="",C3334="Fora dos ciclos"),"CICLO_PC nao identificado",IF(OR(D3334="",D3334=0),"VALOR_PC vazio ou zero",IF(AND(G3334&lt;&gt;"Sim",G3334&lt;&gt;"Nao",G3334&lt;&gt;""),"PC_PAGO_A_CONTRATADA invalido",IF(AND(C3334&lt;&gt;"C0",IFERROR(INDEX(parametros!$A$2:$A$6,MATCH(C3334,parametros!$B$2:$B$6,0)),"")="Sim",IFERROR(INDEX(parametros!$H$2:$H$6,MATCH(C3334,parametros!$B$2:$B$6,0)),"")=""),"INICIO_EFEITO ausente: PC "&amp;A3334&amp;" - "&amp;C3334,IF(L3334="","EFEITO_PC nao calculado: PC "&amp;A3334&amp;" - "&amp;C3334,"OK")))))))))</f>
        <v/>
      </c>
      <c r="L3334" s="92" t="str">
        <f>IF(AND(A3334="",B3334="",D3334="",G3334=""),"",IF(OR(B3334="",NOT(ISNUMBER(B3334)),C3334="",C3334="Fora dos ciclos"),"",IF(C3334="C0","Nao",IF(IFERROR(INDEX(parametros!$A$2:$A$6,MATCH(C3334,parametros!$B$2:$B$6,0)),"")&lt;&gt;"Sim","Nao",IF(IFERROR(INDEX(parametros!$H$2:$H$6,MATCH(C3334,parametros!$B$2:$B$6,0)),"")="","",IF(B3334&gt;=IFERROR(INDEX(parametros!$H$2:$H$6,MATCH(C3334,parametros!$B$2:$B$6,0)),""),"Sim","Nao"))))))</f>
        <v/>
      </c>
      <c r="T3334" s="156"/>
      <c r="U3334" s="214" t="str">
        <f t="shared" si="266"/>
        <v/>
      </c>
      <c r="V3334" s="212" t="s">
        <v>50</v>
      </c>
      <c r="W3334" s="100" t="s">
        <v>168</v>
      </c>
      <c r="X3334" s="100" t="s">
        <v>169</v>
      </c>
      <c r="Y3334" s="101" t="s">
        <v>170</v>
      </c>
      <c r="Z3334" s="101" t="s">
        <v>171</v>
      </c>
      <c r="AA3334" s="101" t="s">
        <v>50</v>
      </c>
      <c r="AB3334" s="101" t="s">
        <v>172</v>
      </c>
      <c r="AC3334" s="102" t="s">
        <v>173</v>
      </c>
    </row>
    <row r="3335" spans="1:29" ht="25.5" customHeight="1" x14ac:dyDescent="0.35">
      <c r="A3335" s="392"/>
      <c r="B3335" s="393"/>
      <c r="C3335" s="99" t="str">
        <f>IF(B3335="","",IF(NOT(ISNUMBER(B3335)),"DATA_PC invalida",IF(NOT(ISNUMBER(parametros!$C$2)),"Fora dos ciclos",IF(OR(B3335&lt;parametros!$C$2,(YEAR(B3335)-YEAR(parametros!$C$2))*12+MONTH(B3335)-MONTH(parametros!$C$2)&gt;59),"Fora dos ciclos","C"&amp;INT(((YEAR(B3335)-YEAR(parametros!$C$2))*12+MONTH(B3335)-MONTH(parametros!$C$2))/12)))))</f>
        <v/>
      </c>
      <c r="D3335" s="394"/>
      <c r="E3335" s="78" t="str">
        <f>IF(C3335="","",IFERROR(VLOOKUP(C3335,parametros!$A$11:$E$15,5,0),""))</f>
        <v/>
      </c>
      <c r="F3335" s="79" t="str">
        <f t="shared" si="262"/>
        <v/>
      </c>
      <c r="G3335" s="395"/>
      <c r="H3335" s="91">
        <f t="shared" si="263"/>
        <v>0</v>
      </c>
      <c r="I3335" s="91" t="str">
        <f t="shared" si="264"/>
        <v/>
      </c>
      <c r="J3335" s="91" t="str">
        <f t="shared" si="265"/>
        <v/>
      </c>
      <c r="K3335" s="92" t="str">
        <f>IF(AND(A3335="",B3335="",D3335="",G3335=""),"",IF(AND(A3335&lt;&gt;"",COUNTIF($A$2:$A$5001,A3335)&gt;1),"NUMERO_PC duplicado",IF(B3335="","DATA_PC vazia",IF(NOT(ISNUMBER(B3335)),"DATA_PC invalida",IF(OR(C3335="",C3335="Fora dos ciclos"),"CICLO_PC nao identificado",IF(OR(D3335="",D3335=0),"VALOR_PC vazio ou zero",IF(AND(G3335&lt;&gt;"Sim",G3335&lt;&gt;"Nao",G3335&lt;&gt;""),"PC_PAGO_A_CONTRATADA invalido",IF(AND(C3335&lt;&gt;"C0",IFERROR(INDEX(parametros!$A$2:$A$6,MATCH(C3335,parametros!$B$2:$B$6,0)),"")="Sim",IFERROR(INDEX(parametros!$H$2:$H$6,MATCH(C3335,parametros!$B$2:$B$6,0)),"")=""),"INICIO_EFEITO ausente: PC "&amp;A3335&amp;" - "&amp;C3335,IF(L3335="","EFEITO_PC nao calculado: PC "&amp;A3335&amp;" - "&amp;C3335,"OK")))))))))</f>
        <v/>
      </c>
      <c r="L3335" s="92" t="str">
        <f>IF(AND(A3335="",B3335="",D3335="",G3335=""),"",IF(OR(B3335="",NOT(ISNUMBER(B3335)),C3335="",C3335="Fora dos ciclos"),"",IF(C3335="C0","Nao",IF(IFERROR(INDEX(parametros!$A$2:$A$6,MATCH(C3335,parametros!$B$2:$B$6,0)),"")&lt;&gt;"Sim","Nao",IF(IFERROR(INDEX(parametros!$H$2:$H$6,MATCH(C3335,parametros!$B$2:$B$6,0)),"")="","",IF(B3335&gt;=IFERROR(INDEX(parametros!$H$2:$H$6,MATCH(C3335,parametros!$B$2:$B$6,0)),""),"Sim","Nao"))))))</f>
        <v/>
      </c>
      <c r="T3335" s="156"/>
      <c r="U3335" s="214" t="str">
        <f t="shared" si="266"/>
        <v/>
      </c>
      <c r="V3335" s="212" t="s">
        <v>50</v>
      </c>
      <c r="W3335" s="100" t="s">
        <v>168</v>
      </c>
      <c r="X3335" s="100" t="s">
        <v>169</v>
      </c>
      <c r="Y3335" s="101" t="s">
        <v>170</v>
      </c>
      <c r="Z3335" s="101" t="s">
        <v>171</v>
      </c>
      <c r="AA3335" s="101" t="s">
        <v>50</v>
      </c>
      <c r="AB3335" s="101" t="s">
        <v>172</v>
      </c>
      <c r="AC3335" s="102" t="s">
        <v>173</v>
      </c>
    </row>
    <row r="3336" spans="1:29" ht="25.5" customHeight="1" x14ac:dyDescent="0.35">
      <c r="A3336" s="392"/>
      <c r="B3336" s="393"/>
      <c r="C3336" s="99" t="str">
        <f>IF(B3336="","",IF(NOT(ISNUMBER(B3336)),"DATA_PC invalida",IF(NOT(ISNUMBER(parametros!$C$2)),"Fora dos ciclos",IF(OR(B3336&lt;parametros!$C$2,(YEAR(B3336)-YEAR(parametros!$C$2))*12+MONTH(B3336)-MONTH(parametros!$C$2)&gt;59),"Fora dos ciclos","C"&amp;INT(((YEAR(B3336)-YEAR(parametros!$C$2))*12+MONTH(B3336)-MONTH(parametros!$C$2))/12)))))</f>
        <v/>
      </c>
      <c r="D3336" s="394"/>
      <c r="E3336" s="78" t="str">
        <f>IF(C3336="","",IFERROR(VLOOKUP(C3336,parametros!$A$11:$E$15,5,0),""))</f>
        <v/>
      </c>
      <c r="F3336" s="79" t="str">
        <f t="shared" si="262"/>
        <v/>
      </c>
      <c r="G3336" s="395"/>
      <c r="H3336" s="91">
        <f t="shared" si="263"/>
        <v>0</v>
      </c>
      <c r="I3336" s="91" t="str">
        <f t="shared" si="264"/>
        <v/>
      </c>
      <c r="J3336" s="91" t="str">
        <f t="shared" si="265"/>
        <v/>
      </c>
      <c r="K3336" s="92" t="str">
        <f>IF(AND(A3336="",B3336="",D3336="",G3336=""),"",IF(AND(A3336&lt;&gt;"",COUNTIF($A$2:$A$5001,A3336)&gt;1),"NUMERO_PC duplicado",IF(B3336="","DATA_PC vazia",IF(NOT(ISNUMBER(B3336)),"DATA_PC invalida",IF(OR(C3336="",C3336="Fora dos ciclos"),"CICLO_PC nao identificado",IF(OR(D3336="",D3336=0),"VALOR_PC vazio ou zero",IF(AND(G3336&lt;&gt;"Sim",G3336&lt;&gt;"Nao",G3336&lt;&gt;""),"PC_PAGO_A_CONTRATADA invalido",IF(AND(C3336&lt;&gt;"C0",IFERROR(INDEX(parametros!$A$2:$A$6,MATCH(C3336,parametros!$B$2:$B$6,0)),"")="Sim",IFERROR(INDEX(parametros!$H$2:$H$6,MATCH(C3336,parametros!$B$2:$B$6,0)),"")=""),"INICIO_EFEITO ausente: PC "&amp;A3336&amp;" - "&amp;C3336,IF(L3336="","EFEITO_PC nao calculado: PC "&amp;A3336&amp;" - "&amp;C3336,"OK")))))))))</f>
        <v/>
      </c>
      <c r="L3336" s="92" t="str">
        <f>IF(AND(A3336="",B3336="",D3336="",G3336=""),"",IF(OR(B3336="",NOT(ISNUMBER(B3336)),C3336="",C3336="Fora dos ciclos"),"",IF(C3336="C0","Nao",IF(IFERROR(INDEX(parametros!$A$2:$A$6,MATCH(C3336,parametros!$B$2:$B$6,0)),"")&lt;&gt;"Sim","Nao",IF(IFERROR(INDEX(parametros!$H$2:$H$6,MATCH(C3336,parametros!$B$2:$B$6,0)),"")="","",IF(B3336&gt;=IFERROR(INDEX(parametros!$H$2:$H$6,MATCH(C3336,parametros!$B$2:$B$6,0)),""),"Sim","Nao"))))))</f>
        <v/>
      </c>
      <c r="T3336" s="156"/>
      <c r="U3336" s="214" t="str">
        <f t="shared" si="266"/>
        <v/>
      </c>
      <c r="V3336" s="212" t="s">
        <v>50</v>
      </c>
      <c r="W3336" s="100" t="s">
        <v>168</v>
      </c>
      <c r="X3336" s="100" t="s">
        <v>169</v>
      </c>
      <c r="Y3336" s="101" t="s">
        <v>170</v>
      </c>
      <c r="Z3336" s="101" t="s">
        <v>171</v>
      </c>
      <c r="AA3336" s="101" t="s">
        <v>50</v>
      </c>
      <c r="AB3336" s="101" t="s">
        <v>172</v>
      </c>
      <c r="AC3336" s="102" t="s">
        <v>173</v>
      </c>
    </row>
    <row r="3337" spans="1:29" ht="25.5" customHeight="1" x14ac:dyDescent="0.35">
      <c r="A3337" s="392"/>
      <c r="B3337" s="393"/>
      <c r="C3337" s="99" t="str">
        <f>IF(B3337="","",IF(NOT(ISNUMBER(B3337)),"DATA_PC invalida",IF(NOT(ISNUMBER(parametros!$C$2)),"Fora dos ciclos",IF(OR(B3337&lt;parametros!$C$2,(YEAR(B3337)-YEAR(parametros!$C$2))*12+MONTH(B3337)-MONTH(parametros!$C$2)&gt;59),"Fora dos ciclos","C"&amp;INT(((YEAR(B3337)-YEAR(parametros!$C$2))*12+MONTH(B3337)-MONTH(parametros!$C$2))/12)))))</f>
        <v/>
      </c>
      <c r="D3337" s="394"/>
      <c r="E3337" s="78" t="str">
        <f>IF(C3337="","",IFERROR(VLOOKUP(C3337,parametros!$A$11:$E$15,5,0),""))</f>
        <v/>
      </c>
      <c r="F3337" s="79" t="str">
        <f t="shared" si="262"/>
        <v/>
      </c>
      <c r="G3337" s="395"/>
      <c r="H3337" s="91">
        <f t="shared" si="263"/>
        <v>0</v>
      </c>
      <c r="I3337" s="91" t="str">
        <f t="shared" si="264"/>
        <v/>
      </c>
      <c r="J3337" s="91" t="str">
        <f t="shared" si="265"/>
        <v/>
      </c>
      <c r="K3337" s="92" t="str">
        <f>IF(AND(A3337="",B3337="",D3337="",G3337=""),"",IF(AND(A3337&lt;&gt;"",COUNTIF($A$2:$A$5001,A3337)&gt;1),"NUMERO_PC duplicado",IF(B3337="","DATA_PC vazia",IF(NOT(ISNUMBER(B3337)),"DATA_PC invalida",IF(OR(C3337="",C3337="Fora dos ciclos"),"CICLO_PC nao identificado",IF(OR(D3337="",D3337=0),"VALOR_PC vazio ou zero",IF(AND(G3337&lt;&gt;"Sim",G3337&lt;&gt;"Nao",G3337&lt;&gt;""),"PC_PAGO_A_CONTRATADA invalido",IF(AND(C3337&lt;&gt;"C0",IFERROR(INDEX(parametros!$A$2:$A$6,MATCH(C3337,parametros!$B$2:$B$6,0)),"")="Sim",IFERROR(INDEX(parametros!$H$2:$H$6,MATCH(C3337,parametros!$B$2:$B$6,0)),"")=""),"INICIO_EFEITO ausente: PC "&amp;A3337&amp;" - "&amp;C3337,IF(L3337="","EFEITO_PC nao calculado: PC "&amp;A3337&amp;" - "&amp;C3337,"OK")))))))))</f>
        <v/>
      </c>
      <c r="L3337" s="92" t="str">
        <f>IF(AND(A3337="",B3337="",D3337="",G3337=""),"",IF(OR(B3337="",NOT(ISNUMBER(B3337)),C3337="",C3337="Fora dos ciclos"),"",IF(C3337="C0","Nao",IF(IFERROR(INDEX(parametros!$A$2:$A$6,MATCH(C3337,parametros!$B$2:$B$6,0)),"")&lt;&gt;"Sim","Nao",IF(IFERROR(INDEX(parametros!$H$2:$H$6,MATCH(C3337,parametros!$B$2:$B$6,0)),"")="","",IF(B3337&gt;=IFERROR(INDEX(parametros!$H$2:$H$6,MATCH(C3337,parametros!$B$2:$B$6,0)),""),"Sim","Nao"))))))</f>
        <v/>
      </c>
      <c r="T3337" s="156"/>
      <c r="U3337" s="214" t="str">
        <f t="shared" si="266"/>
        <v/>
      </c>
      <c r="V3337" s="212" t="s">
        <v>50</v>
      </c>
      <c r="W3337" s="100" t="s">
        <v>168</v>
      </c>
      <c r="X3337" s="100" t="s">
        <v>169</v>
      </c>
      <c r="Y3337" s="101" t="s">
        <v>170</v>
      </c>
      <c r="Z3337" s="101" t="s">
        <v>171</v>
      </c>
      <c r="AA3337" s="101" t="s">
        <v>50</v>
      </c>
      <c r="AB3337" s="101" t="s">
        <v>172</v>
      </c>
      <c r="AC3337" s="102" t="s">
        <v>173</v>
      </c>
    </row>
    <row r="3338" spans="1:29" ht="25.5" customHeight="1" x14ac:dyDescent="0.35">
      <c r="A3338" s="392"/>
      <c r="B3338" s="393"/>
      <c r="C3338" s="99" t="str">
        <f>IF(B3338="","",IF(NOT(ISNUMBER(B3338)),"DATA_PC invalida",IF(NOT(ISNUMBER(parametros!$C$2)),"Fora dos ciclos",IF(OR(B3338&lt;parametros!$C$2,(YEAR(B3338)-YEAR(parametros!$C$2))*12+MONTH(B3338)-MONTH(parametros!$C$2)&gt;59),"Fora dos ciclos","C"&amp;INT(((YEAR(B3338)-YEAR(parametros!$C$2))*12+MONTH(B3338)-MONTH(parametros!$C$2))/12)))))</f>
        <v/>
      </c>
      <c r="D3338" s="394"/>
      <c r="E3338" s="78" t="str">
        <f>IF(C3338="","",IFERROR(VLOOKUP(C3338,parametros!$A$11:$E$15,5,0),""))</f>
        <v/>
      </c>
      <c r="F3338" s="79" t="str">
        <f t="shared" si="262"/>
        <v/>
      </c>
      <c r="G3338" s="395"/>
      <c r="H3338" s="91">
        <f t="shared" si="263"/>
        <v>0</v>
      </c>
      <c r="I3338" s="91" t="str">
        <f t="shared" si="264"/>
        <v/>
      </c>
      <c r="J3338" s="91" t="str">
        <f t="shared" si="265"/>
        <v/>
      </c>
      <c r="K3338" s="92" t="str">
        <f>IF(AND(A3338="",B3338="",D3338="",G3338=""),"",IF(AND(A3338&lt;&gt;"",COUNTIF($A$2:$A$5001,A3338)&gt;1),"NUMERO_PC duplicado",IF(B3338="","DATA_PC vazia",IF(NOT(ISNUMBER(B3338)),"DATA_PC invalida",IF(OR(C3338="",C3338="Fora dos ciclos"),"CICLO_PC nao identificado",IF(OR(D3338="",D3338=0),"VALOR_PC vazio ou zero",IF(AND(G3338&lt;&gt;"Sim",G3338&lt;&gt;"Nao",G3338&lt;&gt;""),"PC_PAGO_A_CONTRATADA invalido",IF(AND(C3338&lt;&gt;"C0",IFERROR(INDEX(parametros!$A$2:$A$6,MATCH(C3338,parametros!$B$2:$B$6,0)),"")="Sim",IFERROR(INDEX(parametros!$H$2:$H$6,MATCH(C3338,parametros!$B$2:$B$6,0)),"")=""),"INICIO_EFEITO ausente: PC "&amp;A3338&amp;" - "&amp;C3338,IF(L3338="","EFEITO_PC nao calculado: PC "&amp;A3338&amp;" - "&amp;C3338,"OK")))))))))</f>
        <v/>
      </c>
      <c r="L3338" s="92" t="str">
        <f>IF(AND(A3338="",B3338="",D3338="",G3338=""),"",IF(OR(B3338="",NOT(ISNUMBER(B3338)),C3338="",C3338="Fora dos ciclos"),"",IF(C3338="C0","Nao",IF(IFERROR(INDEX(parametros!$A$2:$A$6,MATCH(C3338,parametros!$B$2:$B$6,0)),"")&lt;&gt;"Sim","Nao",IF(IFERROR(INDEX(parametros!$H$2:$H$6,MATCH(C3338,parametros!$B$2:$B$6,0)),"")="","",IF(B3338&gt;=IFERROR(INDEX(parametros!$H$2:$H$6,MATCH(C3338,parametros!$B$2:$B$6,0)),""),"Sim","Nao"))))))</f>
        <v/>
      </c>
      <c r="T3338" s="156"/>
      <c r="U3338" s="214" t="str">
        <f t="shared" si="266"/>
        <v/>
      </c>
      <c r="V3338" s="212" t="s">
        <v>50</v>
      </c>
      <c r="W3338" s="100" t="s">
        <v>168</v>
      </c>
      <c r="X3338" s="100" t="s">
        <v>169</v>
      </c>
      <c r="Y3338" s="101" t="s">
        <v>170</v>
      </c>
      <c r="Z3338" s="101" t="s">
        <v>171</v>
      </c>
      <c r="AA3338" s="101" t="s">
        <v>50</v>
      </c>
      <c r="AB3338" s="101" t="s">
        <v>172</v>
      </c>
      <c r="AC3338" s="102" t="s">
        <v>173</v>
      </c>
    </row>
    <row r="3339" spans="1:29" ht="25.5" customHeight="1" x14ac:dyDescent="0.35">
      <c r="A3339" s="392"/>
      <c r="B3339" s="393"/>
      <c r="C3339" s="99" t="str">
        <f>IF(B3339="","",IF(NOT(ISNUMBER(B3339)),"DATA_PC invalida",IF(NOT(ISNUMBER(parametros!$C$2)),"Fora dos ciclos",IF(OR(B3339&lt;parametros!$C$2,(YEAR(B3339)-YEAR(parametros!$C$2))*12+MONTH(B3339)-MONTH(parametros!$C$2)&gt;59),"Fora dos ciclos","C"&amp;INT(((YEAR(B3339)-YEAR(parametros!$C$2))*12+MONTH(B3339)-MONTH(parametros!$C$2))/12)))))</f>
        <v/>
      </c>
      <c r="D3339" s="394"/>
      <c r="E3339" s="78" t="str">
        <f>IF(C3339="","",IFERROR(VLOOKUP(C3339,parametros!$A$11:$E$15,5,0),""))</f>
        <v/>
      </c>
      <c r="F3339" s="79" t="str">
        <f t="shared" si="262"/>
        <v/>
      </c>
      <c r="G3339" s="395"/>
      <c r="H3339" s="91">
        <f t="shared" si="263"/>
        <v>0</v>
      </c>
      <c r="I3339" s="91" t="str">
        <f t="shared" si="264"/>
        <v/>
      </c>
      <c r="J3339" s="91" t="str">
        <f t="shared" si="265"/>
        <v/>
      </c>
      <c r="K3339" s="92" t="str">
        <f>IF(AND(A3339="",B3339="",D3339="",G3339=""),"",IF(AND(A3339&lt;&gt;"",COUNTIF($A$2:$A$5001,A3339)&gt;1),"NUMERO_PC duplicado",IF(B3339="","DATA_PC vazia",IF(NOT(ISNUMBER(B3339)),"DATA_PC invalida",IF(OR(C3339="",C3339="Fora dos ciclos"),"CICLO_PC nao identificado",IF(OR(D3339="",D3339=0),"VALOR_PC vazio ou zero",IF(AND(G3339&lt;&gt;"Sim",G3339&lt;&gt;"Nao",G3339&lt;&gt;""),"PC_PAGO_A_CONTRATADA invalido",IF(AND(C3339&lt;&gt;"C0",IFERROR(INDEX(parametros!$A$2:$A$6,MATCH(C3339,parametros!$B$2:$B$6,0)),"")="Sim",IFERROR(INDEX(parametros!$H$2:$H$6,MATCH(C3339,parametros!$B$2:$B$6,0)),"")=""),"INICIO_EFEITO ausente: PC "&amp;A3339&amp;" - "&amp;C3339,IF(L3339="","EFEITO_PC nao calculado: PC "&amp;A3339&amp;" - "&amp;C3339,"OK")))))))))</f>
        <v/>
      </c>
      <c r="L3339" s="92" t="str">
        <f>IF(AND(A3339="",B3339="",D3339="",G3339=""),"",IF(OR(B3339="",NOT(ISNUMBER(B3339)),C3339="",C3339="Fora dos ciclos"),"",IF(C3339="C0","Nao",IF(IFERROR(INDEX(parametros!$A$2:$A$6,MATCH(C3339,parametros!$B$2:$B$6,0)),"")&lt;&gt;"Sim","Nao",IF(IFERROR(INDEX(parametros!$H$2:$H$6,MATCH(C3339,parametros!$B$2:$B$6,0)),"")="","",IF(B3339&gt;=IFERROR(INDEX(parametros!$H$2:$H$6,MATCH(C3339,parametros!$B$2:$B$6,0)),""),"Sim","Nao"))))))</f>
        <v/>
      </c>
      <c r="T3339" s="156"/>
      <c r="U3339" s="214" t="str">
        <f t="shared" si="266"/>
        <v/>
      </c>
      <c r="V3339" s="212" t="s">
        <v>50</v>
      </c>
      <c r="W3339" s="100" t="s">
        <v>168</v>
      </c>
      <c r="X3339" s="100" t="s">
        <v>169</v>
      </c>
      <c r="Y3339" s="101" t="s">
        <v>170</v>
      </c>
      <c r="Z3339" s="101" t="s">
        <v>171</v>
      </c>
      <c r="AA3339" s="101" t="s">
        <v>50</v>
      </c>
      <c r="AB3339" s="101" t="s">
        <v>172</v>
      </c>
      <c r="AC3339" s="102" t="s">
        <v>173</v>
      </c>
    </row>
    <row r="3340" spans="1:29" ht="25.5" customHeight="1" x14ac:dyDescent="0.35">
      <c r="A3340" s="392"/>
      <c r="B3340" s="393"/>
      <c r="C3340" s="99" t="str">
        <f>IF(B3340="","",IF(NOT(ISNUMBER(B3340)),"DATA_PC invalida",IF(NOT(ISNUMBER(parametros!$C$2)),"Fora dos ciclos",IF(OR(B3340&lt;parametros!$C$2,(YEAR(B3340)-YEAR(parametros!$C$2))*12+MONTH(B3340)-MONTH(parametros!$C$2)&gt;59),"Fora dos ciclos","C"&amp;INT(((YEAR(B3340)-YEAR(parametros!$C$2))*12+MONTH(B3340)-MONTH(parametros!$C$2))/12)))))</f>
        <v/>
      </c>
      <c r="D3340" s="394"/>
      <c r="E3340" s="78" t="str">
        <f>IF(C3340="","",IFERROR(VLOOKUP(C3340,parametros!$A$11:$E$15,5,0),""))</f>
        <v/>
      </c>
      <c r="F3340" s="79" t="str">
        <f t="shared" si="262"/>
        <v/>
      </c>
      <c r="G3340" s="395"/>
      <c r="H3340" s="91">
        <f t="shared" si="263"/>
        <v>0</v>
      </c>
      <c r="I3340" s="91" t="str">
        <f t="shared" si="264"/>
        <v/>
      </c>
      <c r="J3340" s="91" t="str">
        <f t="shared" si="265"/>
        <v/>
      </c>
      <c r="K3340" s="92" t="str">
        <f>IF(AND(A3340="",B3340="",D3340="",G3340=""),"",IF(AND(A3340&lt;&gt;"",COUNTIF($A$2:$A$5001,A3340)&gt;1),"NUMERO_PC duplicado",IF(B3340="","DATA_PC vazia",IF(NOT(ISNUMBER(B3340)),"DATA_PC invalida",IF(OR(C3340="",C3340="Fora dos ciclos"),"CICLO_PC nao identificado",IF(OR(D3340="",D3340=0),"VALOR_PC vazio ou zero",IF(AND(G3340&lt;&gt;"Sim",G3340&lt;&gt;"Nao",G3340&lt;&gt;""),"PC_PAGO_A_CONTRATADA invalido",IF(AND(C3340&lt;&gt;"C0",IFERROR(INDEX(parametros!$A$2:$A$6,MATCH(C3340,parametros!$B$2:$B$6,0)),"")="Sim",IFERROR(INDEX(parametros!$H$2:$H$6,MATCH(C3340,parametros!$B$2:$B$6,0)),"")=""),"INICIO_EFEITO ausente: PC "&amp;A3340&amp;" - "&amp;C3340,IF(L3340="","EFEITO_PC nao calculado: PC "&amp;A3340&amp;" - "&amp;C3340,"OK")))))))))</f>
        <v/>
      </c>
      <c r="L3340" s="92" t="str">
        <f>IF(AND(A3340="",B3340="",D3340="",G3340=""),"",IF(OR(B3340="",NOT(ISNUMBER(B3340)),C3340="",C3340="Fora dos ciclos"),"",IF(C3340="C0","Nao",IF(IFERROR(INDEX(parametros!$A$2:$A$6,MATCH(C3340,parametros!$B$2:$B$6,0)),"")&lt;&gt;"Sim","Nao",IF(IFERROR(INDEX(parametros!$H$2:$H$6,MATCH(C3340,parametros!$B$2:$B$6,0)),"")="","",IF(B3340&gt;=IFERROR(INDEX(parametros!$H$2:$H$6,MATCH(C3340,parametros!$B$2:$B$6,0)),""),"Sim","Nao"))))))</f>
        <v/>
      </c>
      <c r="T3340" s="156"/>
      <c r="U3340" s="214" t="str">
        <f t="shared" si="266"/>
        <v/>
      </c>
      <c r="V3340" s="212" t="s">
        <v>50</v>
      </c>
      <c r="W3340" s="100" t="s">
        <v>168</v>
      </c>
      <c r="X3340" s="100" t="s">
        <v>169</v>
      </c>
      <c r="Y3340" s="101" t="s">
        <v>170</v>
      </c>
      <c r="Z3340" s="101" t="s">
        <v>171</v>
      </c>
      <c r="AA3340" s="101" t="s">
        <v>50</v>
      </c>
      <c r="AB3340" s="101" t="s">
        <v>172</v>
      </c>
      <c r="AC3340" s="102" t="s">
        <v>173</v>
      </c>
    </row>
    <row r="3341" spans="1:29" ht="25.5" customHeight="1" x14ac:dyDescent="0.35">
      <c r="A3341" s="392"/>
      <c r="B3341" s="393"/>
      <c r="C3341" s="99" t="str">
        <f>IF(B3341="","",IF(NOT(ISNUMBER(B3341)),"DATA_PC invalida",IF(NOT(ISNUMBER(parametros!$C$2)),"Fora dos ciclos",IF(OR(B3341&lt;parametros!$C$2,(YEAR(B3341)-YEAR(parametros!$C$2))*12+MONTH(B3341)-MONTH(parametros!$C$2)&gt;59),"Fora dos ciclos","C"&amp;INT(((YEAR(B3341)-YEAR(parametros!$C$2))*12+MONTH(B3341)-MONTH(parametros!$C$2))/12)))))</f>
        <v/>
      </c>
      <c r="D3341" s="394"/>
      <c r="E3341" s="78" t="str">
        <f>IF(C3341="","",IFERROR(VLOOKUP(C3341,parametros!$A$11:$E$15,5,0),""))</f>
        <v/>
      </c>
      <c r="F3341" s="79" t="str">
        <f t="shared" si="262"/>
        <v/>
      </c>
      <c r="G3341" s="395"/>
      <c r="H3341" s="91">
        <f t="shared" si="263"/>
        <v>0</v>
      </c>
      <c r="I3341" s="91" t="str">
        <f t="shared" si="264"/>
        <v/>
      </c>
      <c r="J3341" s="91" t="str">
        <f t="shared" si="265"/>
        <v/>
      </c>
      <c r="K3341" s="92" t="str">
        <f>IF(AND(A3341="",B3341="",D3341="",G3341=""),"",IF(AND(A3341&lt;&gt;"",COUNTIF($A$2:$A$5001,A3341)&gt;1),"NUMERO_PC duplicado",IF(B3341="","DATA_PC vazia",IF(NOT(ISNUMBER(B3341)),"DATA_PC invalida",IF(OR(C3341="",C3341="Fora dos ciclos"),"CICLO_PC nao identificado",IF(OR(D3341="",D3341=0),"VALOR_PC vazio ou zero",IF(AND(G3341&lt;&gt;"Sim",G3341&lt;&gt;"Nao",G3341&lt;&gt;""),"PC_PAGO_A_CONTRATADA invalido",IF(AND(C3341&lt;&gt;"C0",IFERROR(INDEX(parametros!$A$2:$A$6,MATCH(C3341,parametros!$B$2:$B$6,0)),"")="Sim",IFERROR(INDEX(parametros!$H$2:$H$6,MATCH(C3341,parametros!$B$2:$B$6,0)),"")=""),"INICIO_EFEITO ausente: PC "&amp;A3341&amp;" - "&amp;C3341,IF(L3341="","EFEITO_PC nao calculado: PC "&amp;A3341&amp;" - "&amp;C3341,"OK")))))))))</f>
        <v/>
      </c>
      <c r="L3341" s="92" t="str">
        <f>IF(AND(A3341="",B3341="",D3341="",G3341=""),"",IF(OR(B3341="",NOT(ISNUMBER(B3341)),C3341="",C3341="Fora dos ciclos"),"",IF(C3341="C0","Nao",IF(IFERROR(INDEX(parametros!$A$2:$A$6,MATCH(C3341,parametros!$B$2:$B$6,0)),"")&lt;&gt;"Sim","Nao",IF(IFERROR(INDEX(parametros!$H$2:$H$6,MATCH(C3341,parametros!$B$2:$B$6,0)),"")="","",IF(B3341&gt;=IFERROR(INDEX(parametros!$H$2:$H$6,MATCH(C3341,parametros!$B$2:$B$6,0)),""),"Sim","Nao"))))))</f>
        <v/>
      </c>
      <c r="T3341" s="156"/>
      <c r="U3341" s="214" t="str">
        <f t="shared" si="266"/>
        <v/>
      </c>
      <c r="V3341" s="212" t="s">
        <v>50</v>
      </c>
      <c r="W3341" s="100" t="s">
        <v>168</v>
      </c>
      <c r="X3341" s="100" t="s">
        <v>169</v>
      </c>
      <c r="Y3341" s="101" t="s">
        <v>170</v>
      </c>
      <c r="Z3341" s="101" t="s">
        <v>171</v>
      </c>
      <c r="AA3341" s="101" t="s">
        <v>50</v>
      </c>
      <c r="AB3341" s="101" t="s">
        <v>172</v>
      </c>
      <c r="AC3341" s="102" t="s">
        <v>173</v>
      </c>
    </row>
    <row r="3342" spans="1:29" ht="25.5" customHeight="1" x14ac:dyDescent="0.35">
      <c r="A3342" s="392"/>
      <c r="B3342" s="393"/>
      <c r="C3342" s="99" t="str">
        <f>IF(B3342="","",IF(NOT(ISNUMBER(B3342)),"DATA_PC invalida",IF(NOT(ISNUMBER(parametros!$C$2)),"Fora dos ciclos",IF(OR(B3342&lt;parametros!$C$2,(YEAR(B3342)-YEAR(parametros!$C$2))*12+MONTH(B3342)-MONTH(parametros!$C$2)&gt;59),"Fora dos ciclos","C"&amp;INT(((YEAR(B3342)-YEAR(parametros!$C$2))*12+MONTH(B3342)-MONTH(parametros!$C$2))/12)))))</f>
        <v/>
      </c>
      <c r="D3342" s="394"/>
      <c r="E3342" s="78" t="str">
        <f>IF(C3342="","",IFERROR(VLOOKUP(C3342,parametros!$A$11:$E$15,5,0),""))</f>
        <v/>
      </c>
      <c r="F3342" s="79" t="str">
        <f t="shared" si="262"/>
        <v/>
      </c>
      <c r="G3342" s="395"/>
      <c r="H3342" s="91">
        <f t="shared" si="263"/>
        <v>0</v>
      </c>
      <c r="I3342" s="91" t="str">
        <f t="shared" si="264"/>
        <v/>
      </c>
      <c r="J3342" s="91" t="str">
        <f t="shared" si="265"/>
        <v/>
      </c>
      <c r="K3342" s="92" t="str">
        <f>IF(AND(A3342="",B3342="",D3342="",G3342=""),"",IF(AND(A3342&lt;&gt;"",COUNTIF($A$2:$A$5001,A3342)&gt;1),"NUMERO_PC duplicado",IF(B3342="","DATA_PC vazia",IF(NOT(ISNUMBER(B3342)),"DATA_PC invalida",IF(OR(C3342="",C3342="Fora dos ciclos"),"CICLO_PC nao identificado",IF(OR(D3342="",D3342=0),"VALOR_PC vazio ou zero",IF(AND(G3342&lt;&gt;"Sim",G3342&lt;&gt;"Nao",G3342&lt;&gt;""),"PC_PAGO_A_CONTRATADA invalido",IF(AND(C3342&lt;&gt;"C0",IFERROR(INDEX(parametros!$A$2:$A$6,MATCH(C3342,parametros!$B$2:$B$6,0)),"")="Sim",IFERROR(INDEX(parametros!$H$2:$H$6,MATCH(C3342,parametros!$B$2:$B$6,0)),"")=""),"INICIO_EFEITO ausente: PC "&amp;A3342&amp;" - "&amp;C3342,IF(L3342="","EFEITO_PC nao calculado: PC "&amp;A3342&amp;" - "&amp;C3342,"OK")))))))))</f>
        <v/>
      </c>
      <c r="L3342" s="92" t="str">
        <f>IF(AND(A3342="",B3342="",D3342="",G3342=""),"",IF(OR(B3342="",NOT(ISNUMBER(B3342)),C3342="",C3342="Fora dos ciclos"),"",IF(C3342="C0","Nao",IF(IFERROR(INDEX(parametros!$A$2:$A$6,MATCH(C3342,parametros!$B$2:$B$6,0)),"")&lt;&gt;"Sim","Nao",IF(IFERROR(INDEX(parametros!$H$2:$H$6,MATCH(C3342,parametros!$B$2:$B$6,0)),"")="","",IF(B3342&gt;=IFERROR(INDEX(parametros!$H$2:$H$6,MATCH(C3342,parametros!$B$2:$B$6,0)),""),"Sim","Nao"))))))</f>
        <v/>
      </c>
      <c r="T3342" s="156"/>
      <c r="U3342" s="214" t="str">
        <f t="shared" si="266"/>
        <v/>
      </c>
      <c r="V3342" s="212" t="s">
        <v>50</v>
      </c>
      <c r="W3342" s="100" t="s">
        <v>168</v>
      </c>
      <c r="X3342" s="100" t="s">
        <v>169</v>
      </c>
      <c r="Y3342" s="101" t="s">
        <v>170</v>
      </c>
      <c r="Z3342" s="101" t="s">
        <v>171</v>
      </c>
      <c r="AA3342" s="101" t="s">
        <v>50</v>
      </c>
      <c r="AB3342" s="101" t="s">
        <v>172</v>
      </c>
      <c r="AC3342" s="102" t="s">
        <v>173</v>
      </c>
    </row>
    <row r="3343" spans="1:29" ht="25.5" customHeight="1" x14ac:dyDescent="0.35">
      <c r="A3343" s="392"/>
      <c r="B3343" s="393"/>
      <c r="C3343" s="99" t="str">
        <f>IF(B3343="","",IF(NOT(ISNUMBER(B3343)),"DATA_PC invalida",IF(NOT(ISNUMBER(parametros!$C$2)),"Fora dos ciclos",IF(OR(B3343&lt;parametros!$C$2,(YEAR(B3343)-YEAR(parametros!$C$2))*12+MONTH(B3343)-MONTH(parametros!$C$2)&gt;59),"Fora dos ciclos","C"&amp;INT(((YEAR(B3343)-YEAR(parametros!$C$2))*12+MONTH(B3343)-MONTH(parametros!$C$2))/12)))))</f>
        <v/>
      </c>
      <c r="D3343" s="394"/>
      <c r="E3343" s="78" t="str">
        <f>IF(C3343="","",IFERROR(VLOOKUP(C3343,parametros!$A$11:$E$15,5,0),""))</f>
        <v/>
      </c>
      <c r="F3343" s="79" t="str">
        <f t="shared" si="262"/>
        <v/>
      </c>
      <c r="G3343" s="395"/>
      <c r="H3343" s="91">
        <f t="shared" si="263"/>
        <v>0</v>
      </c>
      <c r="I3343" s="91" t="str">
        <f t="shared" si="264"/>
        <v/>
      </c>
      <c r="J3343" s="91" t="str">
        <f t="shared" si="265"/>
        <v/>
      </c>
      <c r="K3343" s="92" t="str">
        <f>IF(AND(A3343="",B3343="",D3343="",G3343=""),"",IF(AND(A3343&lt;&gt;"",COUNTIF($A$2:$A$5001,A3343)&gt;1),"NUMERO_PC duplicado",IF(B3343="","DATA_PC vazia",IF(NOT(ISNUMBER(B3343)),"DATA_PC invalida",IF(OR(C3343="",C3343="Fora dos ciclos"),"CICLO_PC nao identificado",IF(OR(D3343="",D3343=0),"VALOR_PC vazio ou zero",IF(AND(G3343&lt;&gt;"Sim",G3343&lt;&gt;"Nao",G3343&lt;&gt;""),"PC_PAGO_A_CONTRATADA invalido",IF(AND(C3343&lt;&gt;"C0",IFERROR(INDEX(parametros!$A$2:$A$6,MATCH(C3343,parametros!$B$2:$B$6,0)),"")="Sim",IFERROR(INDEX(parametros!$H$2:$H$6,MATCH(C3343,parametros!$B$2:$B$6,0)),"")=""),"INICIO_EFEITO ausente: PC "&amp;A3343&amp;" - "&amp;C3343,IF(L3343="","EFEITO_PC nao calculado: PC "&amp;A3343&amp;" - "&amp;C3343,"OK")))))))))</f>
        <v/>
      </c>
      <c r="L3343" s="92" t="str">
        <f>IF(AND(A3343="",B3343="",D3343="",G3343=""),"",IF(OR(B3343="",NOT(ISNUMBER(B3343)),C3343="",C3343="Fora dos ciclos"),"",IF(C3343="C0","Nao",IF(IFERROR(INDEX(parametros!$A$2:$A$6,MATCH(C3343,parametros!$B$2:$B$6,0)),"")&lt;&gt;"Sim","Nao",IF(IFERROR(INDEX(parametros!$H$2:$H$6,MATCH(C3343,parametros!$B$2:$B$6,0)),"")="","",IF(B3343&gt;=IFERROR(INDEX(parametros!$H$2:$H$6,MATCH(C3343,parametros!$B$2:$B$6,0)),""),"Sim","Nao"))))))</f>
        <v/>
      </c>
      <c r="T3343" s="156"/>
      <c r="U3343" s="214" t="str">
        <f t="shared" si="266"/>
        <v/>
      </c>
      <c r="V3343" s="212" t="s">
        <v>50</v>
      </c>
      <c r="W3343" s="100" t="s">
        <v>168</v>
      </c>
      <c r="X3343" s="100" t="s">
        <v>169</v>
      </c>
      <c r="Y3343" s="101" t="s">
        <v>170</v>
      </c>
      <c r="Z3343" s="101" t="s">
        <v>171</v>
      </c>
      <c r="AA3343" s="101" t="s">
        <v>50</v>
      </c>
      <c r="AB3343" s="101" t="s">
        <v>172</v>
      </c>
      <c r="AC3343" s="102" t="s">
        <v>173</v>
      </c>
    </row>
    <row r="3344" spans="1:29" ht="25.5" customHeight="1" x14ac:dyDescent="0.35">
      <c r="A3344" s="392"/>
      <c r="B3344" s="393"/>
      <c r="C3344" s="99" t="str">
        <f>IF(B3344="","",IF(NOT(ISNUMBER(B3344)),"DATA_PC invalida",IF(NOT(ISNUMBER(parametros!$C$2)),"Fora dos ciclos",IF(OR(B3344&lt;parametros!$C$2,(YEAR(B3344)-YEAR(parametros!$C$2))*12+MONTH(B3344)-MONTH(parametros!$C$2)&gt;59),"Fora dos ciclos","C"&amp;INT(((YEAR(B3344)-YEAR(parametros!$C$2))*12+MONTH(B3344)-MONTH(parametros!$C$2))/12)))))</f>
        <v/>
      </c>
      <c r="D3344" s="394"/>
      <c r="E3344" s="78" t="str">
        <f>IF(C3344="","",IFERROR(VLOOKUP(C3344,parametros!$A$11:$E$15,5,0),""))</f>
        <v/>
      </c>
      <c r="F3344" s="79" t="str">
        <f t="shared" si="262"/>
        <v/>
      </c>
      <c r="G3344" s="395"/>
      <c r="H3344" s="91">
        <f t="shared" si="263"/>
        <v>0</v>
      </c>
      <c r="I3344" s="91" t="str">
        <f t="shared" si="264"/>
        <v/>
      </c>
      <c r="J3344" s="91" t="str">
        <f t="shared" si="265"/>
        <v/>
      </c>
      <c r="K3344" s="92" t="str">
        <f>IF(AND(A3344="",B3344="",D3344="",G3344=""),"",IF(AND(A3344&lt;&gt;"",COUNTIF($A$2:$A$5001,A3344)&gt;1),"NUMERO_PC duplicado",IF(B3344="","DATA_PC vazia",IF(NOT(ISNUMBER(B3344)),"DATA_PC invalida",IF(OR(C3344="",C3344="Fora dos ciclos"),"CICLO_PC nao identificado",IF(OR(D3344="",D3344=0),"VALOR_PC vazio ou zero",IF(AND(G3344&lt;&gt;"Sim",G3344&lt;&gt;"Nao",G3344&lt;&gt;""),"PC_PAGO_A_CONTRATADA invalido",IF(AND(C3344&lt;&gt;"C0",IFERROR(INDEX(parametros!$A$2:$A$6,MATCH(C3344,parametros!$B$2:$B$6,0)),"")="Sim",IFERROR(INDEX(parametros!$H$2:$H$6,MATCH(C3344,parametros!$B$2:$B$6,0)),"")=""),"INICIO_EFEITO ausente: PC "&amp;A3344&amp;" - "&amp;C3344,IF(L3344="","EFEITO_PC nao calculado: PC "&amp;A3344&amp;" - "&amp;C3344,"OK")))))))))</f>
        <v/>
      </c>
      <c r="L3344" s="92" t="str">
        <f>IF(AND(A3344="",B3344="",D3344="",G3344=""),"",IF(OR(B3344="",NOT(ISNUMBER(B3344)),C3344="",C3344="Fora dos ciclos"),"",IF(C3344="C0","Nao",IF(IFERROR(INDEX(parametros!$A$2:$A$6,MATCH(C3344,parametros!$B$2:$B$6,0)),"")&lt;&gt;"Sim","Nao",IF(IFERROR(INDEX(parametros!$H$2:$H$6,MATCH(C3344,parametros!$B$2:$B$6,0)),"")="","",IF(B3344&gt;=IFERROR(INDEX(parametros!$H$2:$H$6,MATCH(C3344,parametros!$B$2:$B$6,0)),""),"Sim","Nao"))))))</f>
        <v/>
      </c>
      <c r="T3344" s="156"/>
      <c r="U3344" s="214" t="str">
        <f t="shared" si="266"/>
        <v/>
      </c>
      <c r="V3344" s="212" t="s">
        <v>50</v>
      </c>
      <c r="W3344" s="100" t="s">
        <v>168</v>
      </c>
      <c r="X3344" s="100" t="s">
        <v>169</v>
      </c>
      <c r="Y3344" s="101" t="s">
        <v>170</v>
      </c>
      <c r="Z3344" s="101" t="s">
        <v>171</v>
      </c>
      <c r="AA3344" s="101" t="s">
        <v>50</v>
      </c>
      <c r="AB3344" s="101" t="s">
        <v>172</v>
      </c>
      <c r="AC3344" s="102" t="s">
        <v>173</v>
      </c>
    </row>
    <row r="3345" spans="1:29" ht="25.5" customHeight="1" x14ac:dyDescent="0.35">
      <c r="A3345" s="392"/>
      <c r="B3345" s="393"/>
      <c r="C3345" s="99" t="str">
        <f>IF(B3345="","",IF(NOT(ISNUMBER(B3345)),"DATA_PC invalida",IF(NOT(ISNUMBER(parametros!$C$2)),"Fora dos ciclos",IF(OR(B3345&lt;parametros!$C$2,(YEAR(B3345)-YEAR(parametros!$C$2))*12+MONTH(B3345)-MONTH(parametros!$C$2)&gt;59),"Fora dos ciclos","C"&amp;INT(((YEAR(B3345)-YEAR(parametros!$C$2))*12+MONTH(B3345)-MONTH(parametros!$C$2))/12)))))</f>
        <v/>
      </c>
      <c r="D3345" s="394"/>
      <c r="E3345" s="78" t="str">
        <f>IF(C3345="","",IFERROR(VLOOKUP(C3345,parametros!$A$11:$E$15,5,0),""))</f>
        <v/>
      </c>
      <c r="F3345" s="79" t="str">
        <f t="shared" si="262"/>
        <v/>
      </c>
      <c r="G3345" s="395"/>
      <c r="H3345" s="91">
        <f t="shared" si="263"/>
        <v>0</v>
      </c>
      <c r="I3345" s="91" t="str">
        <f t="shared" si="264"/>
        <v/>
      </c>
      <c r="J3345" s="91" t="str">
        <f t="shared" si="265"/>
        <v/>
      </c>
      <c r="K3345" s="92" t="str">
        <f>IF(AND(A3345="",B3345="",D3345="",G3345=""),"",IF(AND(A3345&lt;&gt;"",COUNTIF($A$2:$A$5001,A3345)&gt;1),"NUMERO_PC duplicado",IF(B3345="","DATA_PC vazia",IF(NOT(ISNUMBER(B3345)),"DATA_PC invalida",IF(OR(C3345="",C3345="Fora dos ciclos"),"CICLO_PC nao identificado",IF(OR(D3345="",D3345=0),"VALOR_PC vazio ou zero",IF(AND(G3345&lt;&gt;"Sim",G3345&lt;&gt;"Nao",G3345&lt;&gt;""),"PC_PAGO_A_CONTRATADA invalido",IF(AND(C3345&lt;&gt;"C0",IFERROR(INDEX(parametros!$A$2:$A$6,MATCH(C3345,parametros!$B$2:$B$6,0)),"")="Sim",IFERROR(INDEX(parametros!$H$2:$H$6,MATCH(C3345,parametros!$B$2:$B$6,0)),"")=""),"INICIO_EFEITO ausente: PC "&amp;A3345&amp;" - "&amp;C3345,IF(L3345="","EFEITO_PC nao calculado: PC "&amp;A3345&amp;" - "&amp;C3345,"OK")))))))))</f>
        <v/>
      </c>
      <c r="L3345" s="92" t="str">
        <f>IF(AND(A3345="",B3345="",D3345="",G3345=""),"",IF(OR(B3345="",NOT(ISNUMBER(B3345)),C3345="",C3345="Fora dos ciclos"),"",IF(C3345="C0","Nao",IF(IFERROR(INDEX(parametros!$A$2:$A$6,MATCH(C3345,parametros!$B$2:$B$6,0)),"")&lt;&gt;"Sim","Nao",IF(IFERROR(INDEX(parametros!$H$2:$H$6,MATCH(C3345,parametros!$B$2:$B$6,0)),"")="","",IF(B3345&gt;=IFERROR(INDEX(parametros!$H$2:$H$6,MATCH(C3345,parametros!$B$2:$B$6,0)),""),"Sim","Nao"))))))</f>
        <v/>
      </c>
      <c r="T3345" s="156"/>
      <c r="U3345" s="214" t="str">
        <f t="shared" si="266"/>
        <v/>
      </c>
      <c r="V3345" s="212" t="s">
        <v>50</v>
      </c>
      <c r="W3345" s="100" t="s">
        <v>168</v>
      </c>
      <c r="X3345" s="100" t="s">
        <v>169</v>
      </c>
      <c r="Y3345" s="101" t="s">
        <v>170</v>
      </c>
      <c r="Z3345" s="101" t="s">
        <v>171</v>
      </c>
      <c r="AA3345" s="101" t="s">
        <v>50</v>
      </c>
      <c r="AB3345" s="101" t="s">
        <v>172</v>
      </c>
      <c r="AC3345" s="102" t="s">
        <v>173</v>
      </c>
    </row>
    <row r="3346" spans="1:29" ht="25.5" customHeight="1" x14ac:dyDescent="0.35">
      <c r="A3346" s="392"/>
      <c r="B3346" s="393"/>
      <c r="C3346" s="99" t="str">
        <f>IF(B3346="","",IF(NOT(ISNUMBER(B3346)),"DATA_PC invalida",IF(NOT(ISNUMBER(parametros!$C$2)),"Fora dos ciclos",IF(OR(B3346&lt;parametros!$C$2,(YEAR(B3346)-YEAR(parametros!$C$2))*12+MONTH(B3346)-MONTH(parametros!$C$2)&gt;59),"Fora dos ciclos","C"&amp;INT(((YEAR(B3346)-YEAR(parametros!$C$2))*12+MONTH(B3346)-MONTH(parametros!$C$2))/12)))))</f>
        <v/>
      </c>
      <c r="D3346" s="394"/>
      <c r="E3346" s="78" t="str">
        <f>IF(C3346="","",IFERROR(VLOOKUP(C3346,parametros!$A$11:$E$15,5,0),""))</f>
        <v/>
      </c>
      <c r="F3346" s="79" t="str">
        <f t="shared" si="262"/>
        <v/>
      </c>
      <c r="G3346" s="395"/>
      <c r="H3346" s="91">
        <f t="shared" si="263"/>
        <v>0</v>
      </c>
      <c r="I3346" s="91" t="str">
        <f t="shared" si="264"/>
        <v/>
      </c>
      <c r="J3346" s="91" t="str">
        <f t="shared" si="265"/>
        <v/>
      </c>
      <c r="K3346" s="92" t="str">
        <f>IF(AND(A3346="",B3346="",D3346="",G3346=""),"",IF(AND(A3346&lt;&gt;"",COUNTIF($A$2:$A$5001,A3346)&gt;1),"NUMERO_PC duplicado",IF(B3346="","DATA_PC vazia",IF(NOT(ISNUMBER(B3346)),"DATA_PC invalida",IF(OR(C3346="",C3346="Fora dos ciclos"),"CICLO_PC nao identificado",IF(OR(D3346="",D3346=0),"VALOR_PC vazio ou zero",IF(AND(G3346&lt;&gt;"Sim",G3346&lt;&gt;"Nao",G3346&lt;&gt;""),"PC_PAGO_A_CONTRATADA invalido",IF(AND(C3346&lt;&gt;"C0",IFERROR(INDEX(parametros!$A$2:$A$6,MATCH(C3346,parametros!$B$2:$B$6,0)),"")="Sim",IFERROR(INDEX(parametros!$H$2:$H$6,MATCH(C3346,parametros!$B$2:$B$6,0)),"")=""),"INICIO_EFEITO ausente: PC "&amp;A3346&amp;" - "&amp;C3346,IF(L3346="","EFEITO_PC nao calculado: PC "&amp;A3346&amp;" - "&amp;C3346,"OK")))))))))</f>
        <v/>
      </c>
      <c r="L3346" s="92" t="str">
        <f>IF(AND(A3346="",B3346="",D3346="",G3346=""),"",IF(OR(B3346="",NOT(ISNUMBER(B3346)),C3346="",C3346="Fora dos ciclos"),"",IF(C3346="C0","Nao",IF(IFERROR(INDEX(parametros!$A$2:$A$6,MATCH(C3346,parametros!$B$2:$B$6,0)),"")&lt;&gt;"Sim","Nao",IF(IFERROR(INDEX(parametros!$H$2:$H$6,MATCH(C3346,parametros!$B$2:$B$6,0)),"")="","",IF(B3346&gt;=IFERROR(INDEX(parametros!$H$2:$H$6,MATCH(C3346,parametros!$B$2:$B$6,0)),""),"Sim","Nao"))))))</f>
        <v/>
      </c>
      <c r="T3346" s="156"/>
      <c r="U3346" s="214" t="str">
        <f t="shared" si="266"/>
        <v/>
      </c>
      <c r="V3346" s="212" t="s">
        <v>50</v>
      </c>
      <c r="W3346" s="100" t="s">
        <v>168</v>
      </c>
      <c r="X3346" s="100" t="s">
        <v>169</v>
      </c>
      <c r="Y3346" s="101" t="s">
        <v>170</v>
      </c>
      <c r="Z3346" s="101" t="s">
        <v>171</v>
      </c>
      <c r="AA3346" s="101" t="s">
        <v>50</v>
      </c>
      <c r="AB3346" s="101" t="s">
        <v>172</v>
      </c>
      <c r="AC3346" s="102" t="s">
        <v>173</v>
      </c>
    </row>
    <row r="3347" spans="1:29" ht="25.5" customHeight="1" x14ac:dyDescent="0.35">
      <c r="A3347" s="392"/>
      <c r="B3347" s="393"/>
      <c r="C3347" s="99" t="str">
        <f>IF(B3347="","",IF(NOT(ISNUMBER(B3347)),"DATA_PC invalida",IF(NOT(ISNUMBER(parametros!$C$2)),"Fora dos ciclos",IF(OR(B3347&lt;parametros!$C$2,(YEAR(B3347)-YEAR(parametros!$C$2))*12+MONTH(B3347)-MONTH(parametros!$C$2)&gt;59),"Fora dos ciclos","C"&amp;INT(((YEAR(B3347)-YEAR(parametros!$C$2))*12+MONTH(B3347)-MONTH(parametros!$C$2))/12)))))</f>
        <v/>
      </c>
      <c r="D3347" s="394"/>
      <c r="E3347" s="78" t="str">
        <f>IF(C3347="","",IFERROR(VLOOKUP(C3347,parametros!$A$11:$E$15,5,0),""))</f>
        <v/>
      </c>
      <c r="F3347" s="79" t="str">
        <f t="shared" si="262"/>
        <v/>
      </c>
      <c r="G3347" s="395"/>
      <c r="H3347" s="91">
        <f t="shared" si="263"/>
        <v>0</v>
      </c>
      <c r="I3347" s="91" t="str">
        <f t="shared" si="264"/>
        <v/>
      </c>
      <c r="J3347" s="91" t="str">
        <f t="shared" si="265"/>
        <v/>
      </c>
      <c r="K3347" s="92" t="str">
        <f>IF(AND(A3347="",B3347="",D3347="",G3347=""),"",IF(AND(A3347&lt;&gt;"",COUNTIF($A$2:$A$5001,A3347)&gt;1),"NUMERO_PC duplicado",IF(B3347="","DATA_PC vazia",IF(NOT(ISNUMBER(B3347)),"DATA_PC invalida",IF(OR(C3347="",C3347="Fora dos ciclos"),"CICLO_PC nao identificado",IF(OR(D3347="",D3347=0),"VALOR_PC vazio ou zero",IF(AND(G3347&lt;&gt;"Sim",G3347&lt;&gt;"Nao",G3347&lt;&gt;""),"PC_PAGO_A_CONTRATADA invalido",IF(AND(C3347&lt;&gt;"C0",IFERROR(INDEX(parametros!$A$2:$A$6,MATCH(C3347,parametros!$B$2:$B$6,0)),"")="Sim",IFERROR(INDEX(parametros!$H$2:$H$6,MATCH(C3347,parametros!$B$2:$B$6,0)),"")=""),"INICIO_EFEITO ausente: PC "&amp;A3347&amp;" - "&amp;C3347,IF(L3347="","EFEITO_PC nao calculado: PC "&amp;A3347&amp;" - "&amp;C3347,"OK")))))))))</f>
        <v/>
      </c>
      <c r="L3347" s="92" t="str">
        <f>IF(AND(A3347="",B3347="",D3347="",G3347=""),"",IF(OR(B3347="",NOT(ISNUMBER(B3347)),C3347="",C3347="Fora dos ciclos"),"",IF(C3347="C0","Nao",IF(IFERROR(INDEX(parametros!$A$2:$A$6,MATCH(C3347,parametros!$B$2:$B$6,0)),"")&lt;&gt;"Sim","Nao",IF(IFERROR(INDEX(parametros!$H$2:$H$6,MATCH(C3347,parametros!$B$2:$B$6,0)),"")="","",IF(B3347&gt;=IFERROR(INDEX(parametros!$H$2:$H$6,MATCH(C3347,parametros!$B$2:$B$6,0)),""),"Sim","Nao"))))))</f>
        <v/>
      </c>
      <c r="T3347" s="156"/>
      <c r="U3347" s="214" t="str">
        <f t="shared" si="266"/>
        <v/>
      </c>
      <c r="V3347" s="212" t="s">
        <v>50</v>
      </c>
      <c r="W3347" s="100" t="s">
        <v>168</v>
      </c>
      <c r="X3347" s="100" t="s">
        <v>169</v>
      </c>
      <c r="Y3347" s="101" t="s">
        <v>170</v>
      </c>
      <c r="Z3347" s="101" t="s">
        <v>171</v>
      </c>
      <c r="AA3347" s="101" t="s">
        <v>50</v>
      </c>
      <c r="AB3347" s="101" t="s">
        <v>172</v>
      </c>
      <c r="AC3347" s="102" t="s">
        <v>173</v>
      </c>
    </row>
    <row r="3348" spans="1:29" ht="25.5" customHeight="1" x14ac:dyDescent="0.35">
      <c r="A3348" s="392"/>
      <c r="B3348" s="393"/>
      <c r="C3348" s="99" t="str">
        <f>IF(B3348="","",IF(NOT(ISNUMBER(B3348)),"DATA_PC invalida",IF(NOT(ISNUMBER(parametros!$C$2)),"Fora dos ciclos",IF(OR(B3348&lt;parametros!$C$2,(YEAR(B3348)-YEAR(parametros!$C$2))*12+MONTH(B3348)-MONTH(parametros!$C$2)&gt;59),"Fora dos ciclos","C"&amp;INT(((YEAR(B3348)-YEAR(parametros!$C$2))*12+MONTH(B3348)-MONTH(parametros!$C$2))/12)))))</f>
        <v/>
      </c>
      <c r="D3348" s="394"/>
      <c r="E3348" s="78" t="str">
        <f>IF(C3348="","",IFERROR(VLOOKUP(C3348,parametros!$A$11:$E$15,5,0),""))</f>
        <v/>
      </c>
      <c r="F3348" s="79" t="str">
        <f t="shared" si="262"/>
        <v/>
      </c>
      <c r="G3348" s="395"/>
      <c r="H3348" s="91">
        <f t="shared" si="263"/>
        <v>0</v>
      </c>
      <c r="I3348" s="91" t="str">
        <f t="shared" si="264"/>
        <v/>
      </c>
      <c r="J3348" s="91" t="str">
        <f t="shared" si="265"/>
        <v/>
      </c>
      <c r="K3348" s="92" t="str">
        <f>IF(AND(A3348="",B3348="",D3348="",G3348=""),"",IF(AND(A3348&lt;&gt;"",COUNTIF($A$2:$A$5001,A3348)&gt;1),"NUMERO_PC duplicado",IF(B3348="","DATA_PC vazia",IF(NOT(ISNUMBER(B3348)),"DATA_PC invalida",IF(OR(C3348="",C3348="Fora dos ciclos"),"CICLO_PC nao identificado",IF(OR(D3348="",D3348=0),"VALOR_PC vazio ou zero",IF(AND(G3348&lt;&gt;"Sim",G3348&lt;&gt;"Nao",G3348&lt;&gt;""),"PC_PAGO_A_CONTRATADA invalido",IF(AND(C3348&lt;&gt;"C0",IFERROR(INDEX(parametros!$A$2:$A$6,MATCH(C3348,parametros!$B$2:$B$6,0)),"")="Sim",IFERROR(INDEX(parametros!$H$2:$H$6,MATCH(C3348,parametros!$B$2:$B$6,0)),"")=""),"INICIO_EFEITO ausente: PC "&amp;A3348&amp;" - "&amp;C3348,IF(L3348="","EFEITO_PC nao calculado: PC "&amp;A3348&amp;" - "&amp;C3348,"OK")))))))))</f>
        <v/>
      </c>
      <c r="L3348" s="92" t="str">
        <f>IF(AND(A3348="",B3348="",D3348="",G3348=""),"",IF(OR(B3348="",NOT(ISNUMBER(B3348)),C3348="",C3348="Fora dos ciclos"),"",IF(C3348="C0","Nao",IF(IFERROR(INDEX(parametros!$A$2:$A$6,MATCH(C3348,parametros!$B$2:$B$6,0)),"")&lt;&gt;"Sim","Nao",IF(IFERROR(INDEX(parametros!$H$2:$H$6,MATCH(C3348,parametros!$B$2:$B$6,0)),"")="","",IF(B3348&gt;=IFERROR(INDEX(parametros!$H$2:$H$6,MATCH(C3348,parametros!$B$2:$B$6,0)),""),"Sim","Nao"))))))</f>
        <v/>
      </c>
      <c r="T3348" s="156"/>
      <c r="U3348" s="214" t="str">
        <f t="shared" si="266"/>
        <v/>
      </c>
      <c r="V3348" s="212" t="s">
        <v>50</v>
      </c>
      <c r="W3348" s="100" t="s">
        <v>168</v>
      </c>
      <c r="X3348" s="100" t="s">
        <v>169</v>
      </c>
      <c r="Y3348" s="101" t="s">
        <v>170</v>
      </c>
      <c r="Z3348" s="101" t="s">
        <v>171</v>
      </c>
      <c r="AA3348" s="101" t="s">
        <v>50</v>
      </c>
      <c r="AB3348" s="101" t="s">
        <v>172</v>
      </c>
      <c r="AC3348" s="102" t="s">
        <v>173</v>
      </c>
    </row>
    <row r="3349" spans="1:29" ht="25.5" customHeight="1" x14ac:dyDescent="0.35">
      <c r="A3349" s="392"/>
      <c r="B3349" s="393"/>
      <c r="C3349" s="99" t="str">
        <f>IF(B3349="","",IF(NOT(ISNUMBER(B3349)),"DATA_PC invalida",IF(NOT(ISNUMBER(parametros!$C$2)),"Fora dos ciclos",IF(OR(B3349&lt;parametros!$C$2,(YEAR(B3349)-YEAR(parametros!$C$2))*12+MONTH(B3349)-MONTH(parametros!$C$2)&gt;59),"Fora dos ciclos","C"&amp;INT(((YEAR(B3349)-YEAR(parametros!$C$2))*12+MONTH(B3349)-MONTH(parametros!$C$2))/12)))))</f>
        <v/>
      </c>
      <c r="D3349" s="394"/>
      <c r="E3349" s="78" t="str">
        <f>IF(C3349="","",IFERROR(VLOOKUP(C3349,parametros!$A$11:$E$15,5,0),""))</f>
        <v/>
      </c>
      <c r="F3349" s="79" t="str">
        <f t="shared" si="262"/>
        <v/>
      </c>
      <c r="G3349" s="395"/>
      <c r="H3349" s="91">
        <f t="shared" si="263"/>
        <v>0</v>
      </c>
      <c r="I3349" s="91" t="str">
        <f t="shared" si="264"/>
        <v/>
      </c>
      <c r="J3349" s="91" t="str">
        <f t="shared" si="265"/>
        <v/>
      </c>
      <c r="K3349" s="92" t="str">
        <f>IF(AND(A3349="",B3349="",D3349="",G3349=""),"",IF(AND(A3349&lt;&gt;"",COUNTIF($A$2:$A$5001,A3349)&gt;1),"NUMERO_PC duplicado",IF(B3349="","DATA_PC vazia",IF(NOT(ISNUMBER(B3349)),"DATA_PC invalida",IF(OR(C3349="",C3349="Fora dos ciclos"),"CICLO_PC nao identificado",IF(OR(D3349="",D3349=0),"VALOR_PC vazio ou zero",IF(AND(G3349&lt;&gt;"Sim",G3349&lt;&gt;"Nao",G3349&lt;&gt;""),"PC_PAGO_A_CONTRATADA invalido",IF(AND(C3349&lt;&gt;"C0",IFERROR(INDEX(parametros!$A$2:$A$6,MATCH(C3349,parametros!$B$2:$B$6,0)),"")="Sim",IFERROR(INDEX(parametros!$H$2:$H$6,MATCH(C3349,parametros!$B$2:$B$6,0)),"")=""),"INICIO_EFEITO ausente: PC "&amp;A3349&amp;" - "&amp;C3349,IF(L3349="","EFEITO_PC nao calculado: PC "&amp;A3349&amp;" - "&amp;C3349,"OK")))))))))</f>
        <v/>
      </c>
      <c r="L3349" s="92" t="str">
        <f>IF(AND(A3349="",B3349="",D3349="",G3349=""),"",IF(OR(B3349="",NOT(ISNUMBER(B3349)),C3349="",C3349="Fora dos ciclos"),"",IF(C3349="C0","Nao",IF(IFERROR(INDEX(parametros!$A$2:$A$6,MATCH(C3349,parametros!$B$2:$B$6,0)),"")&lt;&gt;"Sim","Nao",IF(IFERROR(INDEX(parametros!$H$2:$H$6,MATCH(C3349,parametros!$B$2:$B$6,0)),"")="","",IF(B3349&gt;=IFERROR(INDEX(parametros!$H$2:$H$6,MATCH(C3349,parametros!$B$2:$B$6,0)),""),"Sim","Nao"))))))</f>
        <v/>
      </c>
      <c r="T3349" s="156"/>
      <c r="U3349" s="214" t="str">
        <f t="shared" si="266"/>
        <v/>
      </c>
      <c r="V3349" s="212" t="s">
        <v>50</v>
      </c>
      <c r="W3349" s="100" t="s">
        <v>168</v>
      </c>
      <c r="X3349" s="100" t="s">
        <v>169</v>
      </c>
      <c r="Y3349" s="101" t="s">
        <v>170</v>
      </c>
      <c r="Z3349" s="101" t="s">
        <v>171</v>
      </c>
      <c r="AA3349" s="101" t="s">
        <v>50</v>
      </c>
      <c r="AB3349" s="101" t="s">
        <v>172</v>
      </c>
      <c r="AC3349" s="102" t="s">
        <v>173</v>
      </c>
    </row>
    <row r="3350" spans="1:29" ht="25.5" customHeight="1" x14ac:dyDescent="0.35">
      <c r="A3350" s="392"/>
      <c r="B3350" s="393"/>
      <c r="C3350" s="99" t="str">
        <f>IF(B3350="","",IF(NOT(ISNUMBER(B3350)),"DATA_PC invalida",IF(NOT(ISNUMBER(parametros!$C$2)),"Fora dos ciclos",IF(OR(B3350&lt;parametros!$C$2,(YEAR(B3350)-YEAR(parametros!$C$2))*12+MONTH(B3350)-MONTH(parametros!$C$2)&gt;59),"Fora dos ciclos","C"&amp;INT(((YEAR(B3350)-YEAR(parametros!$C$2))*12+MONTH(B3350)-MONTH(parametros!$C$2))/12)))))</f>
        <v/>
      </c>
      <c r="D3350" s="394"/>
      <c r="E3350" s="78" t="str">
        <f>IF(C3350="","",IFERROR(VLOOKUP(C3350,parametros!$A$11:$E$15,5,0),""))</f>
        <v/>
      </c>
      <c r="F3350" s="79" t="str">
        <f t="shared" si="262"/>
        <v/>
      </c>
      <c r="G3350" s="395"/>
      <c r="H3350" s="91">
        <f t="shared" si="263"/>
        <v>0</v>
      </c>
      <c r="I3350" s="91" t="str">
        <f t="shared" si="264"/>
        <v/>
      </c>
      <c r="J3350" s="91" t="str">
        <f t="shared" si="265"/>
        <v/>
      </c>
      <c r="K3350" s="92" t="str">
        <f>IF(AND(A3350="",B3350="",D3350="",G3350=""),"",IF(AND(A3350&lt;&gt;"",COUNTIF($A$2:$A$5001,A3350)&gt;1),"NUMERO_PC duplicado",IF(B3350="","DATA_PC vazia",IF(NOT(ISNUMBER(B3350)),"DATA_PC invalida",IF(OR(C3350="",C3350="Fora dos ciclos"),"CICLO_PC nao identificado",IF(OR(D3350="",D3350=0),"VALOR_PC vazio ou zero",IF(AND(G3350&lt;&gt;"Sim",G3350&lt;&gt;"Nao",G3350&lt;&gt;""),"PC_PAGO_A_CONTRATADA invalido",IF(AND(C3350&lt;&gt;"C0",IFERROR(INDEX(parametros!$A$2:$A$6,MATCH(C3350,parametros!$B$2:$B$6,0)),"")="Sim",IFERROR(INDEX(parametros!$H$2:$H$6,MATCH(C3350,parametros!$B$2:$B$6,0)),"")=""),"INICIO_EFEITO ausente: PC "&amp;A3350&amp;" - "&amp;C3350,IF(L3350="","EFEITO_PC nao calculado: PC "&amp;A3350&amp;" - "&amp;C3350,"OK")))))))))</f>
        <v/>
      </c>
      <c r="L3350" s="92" t="str">
        <f>IF(AND(A3350="",B3350="",D3350="",G3350=""),"",IF(OR(B3350="",NOT(ISNUMBER(B3350)),C3350="",C3350="Fora dos ciclos"),"",IF(C3350="C0","Nao",IF(IFERROR(INDEX(parametros!$A$2:$A$6,MATCH(C3350,parametros!$B$2:$B$6,0)),"")&lt;&gt;"Sim","Nao",IF(IFERROR(INDEX(parametros!$H$2:$H$6,MATCH(C3350,parametros!$B$2:$B$6,0)),"")="","",IF(B3350&gt;=IFERROR(INDEX(parametros!$H$2:$H$6,MATCH(C3350,parametros!$B$2:$B$6,0)),""),"Sim","Nao"))))))</f>
        <v/>
      </c>
      <c r="T3350" s="156"/>
      <c r="U3350" s="214" t="str">
        <f t="shared" si="266"/>
        <v/>
      </c>
      <c r="V3350" s="212" t="s">
        <v>50</v>
      </c>
      <c r="W3350" s="100" t="s">
        <v>168</v>
      </c>
      <c r="X3350" s="100" t="s">
        <v>169</v>
      </c>
      <c r="Y3350" s="101" t="s">
        <v>170</v>
      </c>
      <c r="Z3350" s="101" t="s">
        <v>171</v>
      </c>
      <c r="AA3350" s="101" t="s">
        <v>50</v>
      </c>
      <c r="AB3350" s="101" t="s">
        <v>172</v>
      </c>
      <c r="AC3350" s="102" t="s">
        <v>173</v>
      </c>
    </row>
    <row r="3351" spans="1:29" ht="25.5" customHeight="1" x14ac:dyDescent="0.35">
      <c r="A3351" s="392"/>
      <c r="B3351" s="393"/>
      <c r="C3351" s="99" t="str">
        <f>IF(B3351="","",IF(NOT(ISNUMBER(B3351)),"DATA_PC invalida",IF(NOT(ISNUMBER(parametros!$C$2)),"Fora dos ciclos",IF(OR(B3351&lt;parametros!$C$2,(YEAR(B3351)-YEAR(parametros!$C$2))*12+MONTH(B3351)-MONTH(parametros!$C$2)&gt;59),"Fora dos ciclos","C"&amp;INT(((YEAR(B3351)-YEAR(parametros!$C$2))*12+MONTH(B3351)-MONTH(parametros!$C$2))/12)))))</f>
        <v/>
      </c>
      <c r="D3351" s="394"/>
      <c r="E3351" s="78" t="str">
        <f>IF(C3351="","",IFERROR(VLOOKUP(C3351,parametros!$A$11:$E$15,5,0),""))</f>
        <v/>
      </c>
      <c r="F3351" s="79" t="str">
        <f t="shared" si="262"/>
        <v/>
      </c>
      <c r="G3351" s="395"/>
      <c r="H3351" s="91">
        <f t="shared" si="263"/>
        <v>0</v>
      </c>
      <c r="I3351" s="91" t="str">
        <f t="shared" si="264"/>
        <v/>
      </c>
      <c r="J3351" s="91" t="str">
        <f t="shared" si="265"/>
        <v/>
      </c>
      <c r="K3351" s="92" t="str">
        <f>IF(AND(A3351="",B3351="",D3351="",G3351=""),"",IF(AND(A3351&lt;&gt;"",COUNTIF($A$2:$A$5001,A3351)&gt;1),"NUMERO_PC duplicado",IF(B3351="","DATA_PC vazia",IF(NOT(ISNUMBER(B3351)),"DATA_PC invalida",IF(OR(C3351="",C3351="Fora dos ciclos"),"CICLO_PC nao identificado",IF(OR(D3351="",D3351=0),"VALOR_PC vazio ou zero",IF(AND(G3351&lt;&gt;"Sim",G3351&lt;&gt;"Nao",G3351&lt;&gt;""),"PC_PAGO_A_CONTRATADA invalido",IF(AND(C3351&lt;&gt;"C0",IFERROR(INDEX(parametros!$A$2:$A$6,MATCH(C3351,parametros!$B$2:$B$6,0)),"")="Sim",IFERROR(INDEX(parametros!$H$2:$H$6,MATCH(C3351,parametros!$B$2:$B$6,0)),"")=""),"INICIO_EFEITO ausente: PC "&amp;A3351&amp;" - "&amp;C3351,IF(L3351="","EFEITO_PC nao calculado: PC "&amp;A3351&amp;" - "&amp;C3351,"OK")))))))))</f>
        <v/>
      </c>
      <c r="L3351" s="92" t="str">
        <f>IF(AND(A3351="",B3351="",D3351="",G3351=""),"",IF(OR(B3351="",NOT(ISNUMBER(B3351)),C3351="",C3351="Fora dos ciclos"),"",IF(C3351="C0","Nao",IF(IFERROR(INDEX(parametros!$A$2:$A$6,MATCH(C3351,parametros!$B$2:$B$6,0)),"")&lt;&gt;"Sim","Nao",IF(IFERROR(INDEX(parametros!$H$2:$H$6,MATCH(C3351,parametros!$B$2:$B$6,0)),"")="","",IF(B3351&gt;=IFERROR(INDEX(parametros!$H$2:$H$6,MATCH(C3351,parametros!$B$2:$B$6,0)),""),"Sim","Nao"))))))</f>
        <v/>
      </c>
      <c r="T3351" s="156"/>
      <c r="U3351" s="214" t="str">
        <f t="shared" si="266"/>
        <v/>
      </c>
      <c r="V3351" s="212" t="s">
        <v>50</v>
      </c>
      <c r="W3351" s="100" t="s">
        <v>168</v>
      </c>
      <c r="X3351" s="100" t="s">
        <v>169</v>
      </c>
      <c r="Y3351" s="101" t="s">
        <v>170</v>
      </c>
      <c r="Z3351" s="101" t="s">
        <v>171</v>
      </c>
      <c r="AA3351" s="101" t="s">
        <v>50</v>
      </c>
      <c r="AB3351" s="101" t="s">
        <v>172</v>
      </c>
      <c r="AC3351" s="102" t="s">
        <v>173</v>
      </c>
    </row>
    <row r="3352" spans="1:29" ht="25.5" customHeight="1" x14ac:dyDescent="0.35">
      <c r="A3352" s="392"/>
      <c r="B3352" s="393"/>
      <c r="C3352" s="99" t="str">
        <f>IF(B3352="","",IF(NOT(ISNUMBER(B3352)),"DATA_PC invalida",IF(NOT(ISNUMBER(parametros!$C$2)),"Fora dos ciclos",IF(OR(B3352&lt;parametros!$C$2,(YEAR(B3352)-YEAR(parametros!$C$2))*12+MONTH(B3352)-MONTH(parametros!$C$2)&gt;59),"Fora dos ciclos","C"&amp;INT(((YEAR(B3352)-YEAR(parametros!$C$2))*12+MONTH(B3352)-MONTH(parametros!$C$2))/12)))))</f>
        <v/>
      </c>
      <c r="D3352" s="394"/>
      <c r="E3352" s="78" t="str">
        <f>IF(C3352="","",IFERROR(VLOOKUP(C3352,parametros!$A$11:$E$15,5,0),""))</f>
        <v/>
      </c>
      <c r="F3352" s="79" t="str">
        <f t="shared" si="262"/>
        <v/>
      </c>
      <c r="G3352" s="395"/>
      <c r="H3352" s="91">
        <f t="shared" si="263"/>
        <v>0</v>
      </c>
      <c r="I3352" s="91" t="str">
        <f t="shared" si="264"/>
        <v/>
      </c>
      <c r="J3352" s="91" t="str">
        <f t="shared" si="265"/>
        <v/>
      </c>
      <c r="K3352" s="92" t="str">
        <f>IF(AND(A3352="",B3352="",D3352="",G3352=""),"",IF(AND(A3352&lt;&gt;"",COUNTIF($A$2:$A$5001,A3352)&gt;1),"NUMERO_PC duplicado",IF(B3352="","DATA_PC vazia",IF(NOT(ISNUMBER(B3352)),"DATA_PC invalida",IF(OR(C3352="",C3352="Fora dos ciclos"),"CICLO_PC nao identificado",IF(OR(D3352="",D3352=0),"VALOR_PC vazio ou zero",IF(AND(G3352&lt;&gt;"Sim",G3352&lt;&gt;"Nao",G3352&lt;&gt;""),"PC_PAGO_A_CONTRATADA invalido",IF(AND(C3352&lt;&gt;"C0",IFERROR(INDEX(parametros!$A$2:$A$6,MATCH(C3352,parametros!$B$2:$B$6,0)),"")="Sim",IFERROR(INDEX(parametros!$H$2:$H$6,MATCH(C3352,parametros!$B$2:$B$6,0)),"")=""),"INICIO_EFEITO ausente: PC "&amp;A3352&amp;" - "&amp;C3352,IF(L3352="","EFEITO_PC nao calculado: PC "&amp;A3352&amp;" - "&amp;C3352,"OK")))))))))</f>
        <v/>
      </c>
      <c r="L3352" s="92" t="str">
        <f>IF(AND(A3352="",B3352="",D3352="",G3352=""),"",IF(OR(B3352="",NOT(ISNUMBER(B3352)),C3352="",C3352="Fora dos ciclos"),"",IF(C3352="C0","Nao",IF(IFERROR(INDEX(parametros!$A$2:$A$6,MATCH(C3352,parametros!$B$2:$B$6,0)),"")&lt;&gt;"Sim","Nao",IF(IFERROR(INDEX(parametros!$H$2:$H$6,MATCH(C3352,parametros!$B$2:$B$6,0)),"")="","",IF(B3352&gt;=IFERROR(INDEX(parametros!$H$2:$H$6,MATCH(C3352,parametros!$B$2:$B$6,0)),""),"Sim","Nao"))))))</f>
        <v/>
      </c>
      <c r="T3352" s="156"/>
      <c r="U3352" s="214" t="str">
        <f t="shared" si="266"/>
        <v/>
      </c>
      <c r="V3352" s="212" t="s">
        <v>50</v>
      </c>
      <c r="W3352" s="100" t="s">
        <v>168</v>
      </c>
      <c r="X3352" s="100" t="s">
        <v>169</v>
      </c>
      <c r="Y3352" s="101" t="s">
        <v>170</v>
      </c>
      <c r="Z3352" s="101" t="s">
        <v>171</v>
      </c>
      <c r="AA3352" s="101" t="s">
        <v>50</v>
      </c>
      <c r="AB3352" s="101" t="s">
        <v>172</v>
      </c>
      <c r="AC3352" s="102" t="s">
        <v>173</v>
      </c>
    </row>
    <row r="3353" spans="1:29" ht="25.5" customHeight="1" x14ac:dyDescent="0.35">
      <c r="A3353" s="392"/>
      <c r="B3353" s="393"/>
      <c r="C3353" s="99" t="str">
        <f>IF(B3353="","",IF(NOT(ISNUMBER(B3353)),"DATA_PC invalida",IF(NOT(ISNUMBER(parametros!$C$2)),"Fora dos ciclos",IF(OR(B3353&lt;parametros!$C$2,(YEAR(B3353)-YEAR(parametros!$C$2))*12+MONTH(B3353)-MONTH(parametros!$C$2)&gt;59),"Fora dos ciclos","C"&amp;INT(((YEAR(B3353)-YEAR(parametros!$C$2))*12+MONTH(B3353)-MONTH(parametros!$C$2))/12)))))</f>
        <v/>
      </c>
      <c r="D3353" s="394"/>
      <c r="E3353" s="78" t="str">
        <f>IF(C3353="","",IFERROR(VLOOKUP(C3353,parametros!$A$11:$E$15,5,0),""))</f>
        <v/>
      </c>
      <c r="F3353" s="79" t="str">
        <f t="shared" si="262"/>
        <v/>
      </c>
      <c r="G3353" s="395"/>
      <c r="H3353" s="91">
        <f t="shared" si="263"/>
        <v>0</v>
      </c>
      <c r="I3353" s="91" t="str">
        <f t="shared" si="264"/>
        <v/>
      </c>
      <c r="J3353" s="91" t="str">
        <f t="shared" si="265"/>
        <v/>
      </c>
      <c r="K3353" s="92" t="str">
        <f>IF(AND(A3353="",B3353="",D3353="",G3353=""),"",IF(AND(A3353&lt;&gt;"",COUNTIF($A$2:$A$5001,A3353)&gt;1),"NUMERO_PC duplicado",IF(B3353="","DATA_PC vazia",IF(NOT(ISNUMBER(B3353)),"DATA_PC invalida",IF(OR(C3353="",C3353="Fora dos ciclos"),"CICLO_PC nao identificado",IF(OR(D3353="",D3353=0),"VALOR_PC vazio ou zero",IF(AND(G3353&lt;&gt;"Sim",G3353&lt;&gt;"Nao",G3353&lt;&gt;""),"PC_PAGO_A_CONTRATADA invalido",IF(AND(C3353&lt;&gt;"C0",IFERROR(INDEX(parametros!$A$2:$A$6,MATCH(C3353,parametros!$B$2:$B$6,0)),"")="Sim",IFERROR(INDEX(parametros!$H$2:$H$6,MATCH(C3353,parametros!$B$2:$B$6,0)),"")=""),"INICIO_EFEITO ausente: PC "&amp;A3353&amp;" - "&amp;C3353,IF(L3353="","EFEITO_PC nao calculado: PC "&amp;A3353&amp;" - "&amp;C3353,"OK")))))))))</f>
        <v/>
      </c>
      <c r="L3353" s="92" t="str">
        <f>IF(AND(A3353="",B3353="",D3353="",G3353=""),"",IF(OR(B3353="",NOT(ISNUMBER(B3353)),C3353="",C3353="Fora dos ciclos"),"",IF(C3353="C0","Nao",IF(IFERROR(INDEX(parametros!$A$2:$A$6,MATCH(C3353,parametros!$B$2:$B$6,0)),"")&lt;&gt;"Sim","Nao",IF(IFERROR(INDEX(parametros!$H$2:$H$6,MATCH(C3353,parametros!$B$2:$B$6,0)),"")="","",IF(B3353&gt;=IFERROR(INDEX(parametros!$H$2:$H$6,MATCH(C3353,parametros!$B$2:$B$6,0)),""),"Sim","Nao"))))))</f>
        <v/>
      </c>
      <c r="T3353" s="156"/>
      <c r="U3353" s="214" t="str">
        <f t="shared" si="266"/>
        <v/>
      </c>
      <c r="V3353" s="212" t="s">
        <v>50</v>
      </c>
      <c r="W3353" s="100" t="s">
        <v>168</v>
      </c>
      <c r="X3353" s="100" t="s">
        <v>169</v>
      </c>
      <c r="Y3353" s="101" t="s">
        <v>170</v>
      </c>
      <c r="Z3353" s="101" t="s">
        <v>171</v>
      </c>
      <c r="AA3353" s="101" t="s">
        <v>50</v>
      </c>
      <c r="AB3353" s="101" t="s">
        <v>172</v>
      </c>
      <c r="AC3353" s="102" t="s">
        <v>173</v>
      </c>
    </row>
    <row r="3354" spans="1:29" ht="25.5" customHeight="1" x14ac:dyDescent="0.35">
      <c r="A3354" s="392"/>
      <c r="B3354" s="393"/>
      <c r="C3354" s="99" t="str">
        <f>IF(B3354="","",IF(NOT(ISNUMBER(B3354)),"DATA_PC invalida",IF(NOT(ISNUMBER(parametros!$C$2)),"Fora dos ciclos",IF(OR(B3354&lt;parametros!$C$2,(YEAR(B3354)-YEAR(parametros!$C$2))*12+MONTH(B3354)-MONTH(parametros!$C$2)&gt;59),"Fora dos ciclos","C"&amp;INT(((YEAR(B3354)-YEAR(parametros!$C$2))*12+MONTH(B3354)-MONTH(parametros!$C$2))/12)))))</f>
        <v/>
      </c>
      <c r="D3354" s="394"/>
      <c r="E3354" s="78" t="str">
        <f>IF(C3354="","",IFERROR(VLOOKUP(C3354,parametros!$A$11:$E$15,5,0),""))</f>
        <v/>
      </c>
      <c r="F3354" s="79" t="str">
        <f t="shared" si="262"/>
        <v/>
      </c>
      <c r="G3354" s="395"/>
      <c r="H3354" s="91">
        <f t="shared" si="263"/>
        <v>0</v>
      </c>
      <c r="I3354" s="91" t="str">
        <f t="shared" si="264"/>
        <v/>
      </c>
      <c r="J3354" s="91" t="str">
        <f t="shared" si="265"/>
        <v/>
      </c>
      <c r="K3354" s="92" t="str">
        <f>IF(AND(A3354="",B3354="",D3354="",G3354=""),"",IF(AND(A3354&lt;&gt;"",COUNTIF($A$2:$A$5001,A3354)&gt;1),"NUMERO_PC duplicado",IF(B3354="","DATA_PC vazia",IF(NOT(ISNUMBER(B3354)),"DATA_PC invalida",IF(OR(C3354="",C3354="Fora dos ciclos"),"CICLO_PC nao identificado",IF(OR(D3354="",D3354=0),"VALOR_PC vazio ou zero",IF(AND(G3354&lt;&gt;"Sim",G3354&lt;&gt;"Nao",G3354&lt;&gt;""),"PC_PAGO_A_CONTRATADA invalido",IF(AND(C3354&lt;&gt;"C0",IFERROR(INDEX(parametros!$A$2:$A$6,MATCH(C3354,parametros!$B$2:$B$6,0)),"")="Sim",IFERROR(INDEX(parametros!$H$2:$H$6,MATCH(C3354,parametros!$B$2:$B$6,0)),"")=""),"INICIO_EFEITO ausente: PC "&amp;A3354&amp;" - "&amp;C3354,IF(L3354="","EFEITO_PC nao calculado: PC "&amp;A3354&amp;" - "&amp;C3354,"OK")))))))))</f>
        <v/>
      </c>
      <c r="L3354" s="92" t="str">
        <f>IF(AND(A3354="",B3354="",D3354="",G3354=""),"",IF(OR(B3354="",NOT(ISNUMBER(B3354)),C3354="",C3354="Fora dos ciclos"),"",IF(C3354="C0","Nao",IF(IFERROR(INDEX(parametros!$A$2:$A$6,MATCH(C3354,parametros!$B$2:$B$6,0)),"")&lt;&gt;"Sim","Nao",IF(IFERROR(INDEX(parametros!$H$2:$H$6,MATCH(C3354,parametros!$B$2:$B$6,0)),"")="","",IF(B3354&gt;=IFERROR(INDEX(parametros!$H$2:$H$6,MATCH(C3354,parametros!$B$2:$B$6,0)),""),"Sim","Nao"))))))</f>
        <v/>
      </c>
      <c r="T3354" s="156"/>
      <c r="U3354" s="214" t="str">
        <f t="shared" si="266"/>
        <v/>
      </c>
      <c r="V3354" s="212" t="s">
        <v>50</v>
      </c>
      <c r="W3354" s="100" t="s">
        <v>168</v>
      </c>
      <c r="X3354" s="100" t="s">
        <v>169</v>
      </c>
      <c r="Y3354" s="101" t="s">
        <v>170</v>
      </c>
      <c r="Z3354" s="101" t="s">
        <v>171</v>
      </c>
      <c r="AA3354" s="101" t="s">
        <v>50</v>
      </c>
      <c r="AB3354" s="101" t="s">
        <v>172</v>
      </c>
      <c r="AC3354" s="102" t="s">
        <v>173</v>
      </c>
    </row>
    <row r="3355" spans="1:29" ht="25.5" customHeight="1" x14ac:dyDescent="0.35">
      <c r="A3355" s="392"/>
      <c r="B3355" s="393"/>
      <c r="C3355" s="99" t="str">
        <f>IF(B3355="","",IF(NOT(ISNUMBER(B3355)),"DATA_PC invalida",IF(NOT(ISNUMBER(parametros!$C$2)),"Fora dos ciclos",IF(OR(B3355&lt;parametros!$C$2,(YEAR(B3355)-YEAR(parametros!$C$2))*12+MONTH(B3355)-MONTH(parametros!$C$2)&gt;59),"Fora dos ciclos","C"&amp;INT(((YEAR(B3355)-YEAR(parametros!$C$2))*12+MONTH(B3355)-MONTH(parametros!$C$2))/12)))))</f>
        <v/>
      </c>
      <c r="D3355" s="394"/>
      <c r="E3355" s="78" t="str">
        <f>IF(C3355="","",IFERROR(VLOOKUP(C3355,parametros!$A$11:$E$15,5,0),""))</f>
        <v/>
      </c>
      <c r="F3355" s="79" t="str">
        <f t="shared" si="262"/>
        <v/>
      </c>
      <c r="G3355" s="395"/>
      <c r="H3355" s="91">
        <f t="shared" si="263"/>
        <v>0</v>
      </c>
      <c r="I3355" s="91" t="str">
        <f t="shared" si="264"/>
        <v/>
      </c>
      <c r="J3355" s="91" t="str">
        <f t="shared" si="265"/>
        <v/>
      </c>
      <c r="K3355" s="92" t="str">
        <f>IF(AND(A3355="",B3355="",D3355="",G3355=""),"",IF(AND(A3355&lt;&gt;"",COUNTIF($A$2:$A$5001,A3355)&gt;1),"NUMERO_PC duplicado",IF(B3355="","DATA_PC vazia",IF(NOT(ISNUMBER(B3355)),"DATA_PC invalida",IF(OR(C3355="",C3355="Fora dos ciclos"),"CICLO_PC nao identificado",IF(OR(D3355="",D3355=0),"VALOR_PC vazio ou zero",IF(AND(G3355&lt;&gt;"Sim",G3355&lt;&gt;"Nao",G3355&lt;&gt;""),"PC_PAGO_A_CONTRATADA invalido",IF(AND(C3355&lt;&gt;"C0",IFERROR(INDEX(parametros!$A$2:$A$6,MATCH(C3355,parametros!$B$2:$B$6,0)),"")="Sim",IFERROR(INDEX(parametros!$H$2:$H$6,MATCH(C3355,parametros!$B$2:$B$6,0)),"")=""),"INICIO_EFEITO ausente: PC "&amp;A3355&amp;" - "&amp;C3355,IF(L3355="","EFEITO_PC nao calculado: PC "&amp;A3355&amp;" - "&amp;C3355,"OK")))))))))</f>
        <v/>
      </c>
      <c r="L3355" s="92" t="str">
        <f>IF(AND(A3355="",B3355="",D3355="",G3355=""),"",IF(OR(B3355="",NOT(ISNUMBER(B3355)),C3355="",C3355="Fora dos ciclos"),"",IF(C3355="C0","Nao",IF(IFERROR(INDEX(parametros!$A$2:$A$6,MATCH(C3355,parametros!$B$2:$B$6,0)),"")&lt;&gt;"Sim","Nao",IF(IFERROR(INDEX(parametros!$H$2:$H$6,MATCH(C3355,parametros!$B$2:$B$6,0)),"")="","",IF(B3355&gt;=IFERROR(INDEX(parametros!$H$2:$H$6,MATCH(C3355,parametros!$B$2:$B$6,0)),""),"Sim","Nao"))))))</f>
        <v/>
      </c>
      <c r="T3355" s="156"/>
      <c r="U3355" s="214" t="str">
        <f t="shared" si="266"/>
        <v/>
      </c>
      <c r="V3355" s="212" t="s">
        <v>50</v>
      </c>
      <c r="W3355" s="100" t="s">
        <v>168</v>
      </c>
      <c r="X3355" s="100" t="s">
        <v>169</v>
      </c>
      <c r="Y3355" s="101" t="s">
        <v>170</v>
      </c>
      <c r="Z3355" s="101" t="s">
        <v>171</v>
      </c>
      <c r="AA3355" s="101" t="s">
        <v>50</v>
      </c>
      <c r="AB3355" s="101" t="s">
        <v>172</v>
      </c>
      <c r="AC3355" s="102" t="s">
        <v>173</v>
      </c>
    </row>
    <row r="3356" spans="1:29" ht="25.5" customHeight="1" x14ac:dyDescent="0.35">
      <c r="A3356" s="392"/>
      <c r="B3356" s="393"/>
      <c r="C3356" s="99" t="str">
        <f>IF(B3356="","",IF(NOT(ISNUMBER(B3356)),"DATA_PC invalida",IF(NOT(ISNUMBER(parametros!$C$2)),"Fora dos ciclos",IF(OR(B3356&lt;parametros!$C$2,(YEAR(B3356)-YEAR(parametros!$C$2))*12+MONTH(B3356)-MONTH(parametros!$C$2)&gt;59),"Fora dos ciclos","C"&amp;INT(((YEAR(B3356)-YEAR(parametros!$C$2))*12+MONTH(B3356)-MONTH(parametros!$C$2))/12)))))</f>
        <v/>
      </c>
      <c r="D3356" s="394"/>
      <c r="E3356" s="78" t="str">
        <f>IF(C3356="","",IFERROR(VLOOKUP(C3356,parametros!$A$11:$E$15,5,0),""))</f>
        <v/>
      </c>
      <c r="F3356" s="79" t="str">
        <f t="shared" si="262"/>
        <v/>
      </c>
      <c r="G3356" s="395"/>
      <c r="H3356" s="91">
        <f t="shared" si="263"/>
        <v>0</v>
      </c>
      <c r="I3356" s="91" t="str">
        <f t="shared" si="264"/>
        <v/>
      </c>
      <c r="J3356" s="91" t="str">
        <f t="shared" si="265"/>
        <v/>
      </c>
      <c r="K3356" s="92" t="str">
        <f>IF(AND(A3356="",B3356="",D3356="",G3356=""),"",IF(AND(A3356&lt;&gt;"",COUNTIF($A$2:$A$5001,A3356)&gt;1),"NUMERO_PC duplicado",IF(B3356="","DATA_PC vazia",IF(NOT(ISNUMBER(B3356)),"DATA_PC invalida",IF(OR(C3356="",C3356="Fora dos ciclos"),"CICLO_PC nao identificado",IF(OR(D3356="",D3356=0),"VALOR_PC vazio ou zero",IF(AND(G3356&lt;&gt;"Sim",G3356&lt;&gt;"Nao",G3356&lt;&gt;""),"PC_PAGO_A_CONTRATADA invalido",IF(AND(C3356&lt;&gt;"C0",IFERROR(INDEX(parametros!$A$2:$A$6,MATCH(C3356,parametros!$B$2:$B$6,0)),"")="Sim",IFERROR(INDEX(parametros!$H$2:$H$6,MATCH(C3356,parametros!$B$2:$B$6,0)),"")=""),"INICIO_EFEITO ausente: PC "&amp;A3356&amp;" - "&amp;C3356,IF(L3356="","EFEITO_PC nao calculado: PC "&amp;A3356&amp;" - "&amp;C3356,"OK")))))))))</f>
        <v/>
      </c>
      <c r="L3356" s="92" t="str">
        <f>IF(AND(A3356="",B3356="",D3356="",G3356=""),"",IF(OR(B3356="",NOT(ISNUMBER(B3356)),C3356="",C3356="Fora dos ciclos"),"",IF(C3356="C0","Nao",IF(IFERROR(INDEX(parametros!$A$2:$A$6,MATCH(C3356,parametros!$B$2:$B$6,0)),"")&lt;&gt;"Sim","Nao",IF(IFERROR(INDEX(parametros!$H$2:$H$6,MATCH(C3356,parametros!$B$2:$B$6,0)),"")="","",IF(B3356&gt;=IFERROR(INDEX(parametros!$H$2:$H$6,MATCH(C3356,parametros!$B$2:$B$6,0)),""),"Sim","Nao"))))))</f>
        <v/>
      </c>
      <c r="T3356" s="156"/>
      <c r="U3356" s="214" t="str">
        <f t="shared" si="266"/>
        <v/>
      </c>
      <c r="V3356" s="212" t="s">
        <v>50</v>
      </c>
      <c r="W3356" s="100" t="s">
        <v>168</v>
      </c>
      <c r="X3356" s="100" t="s">
        <v>169</v>
      </c>
      <c r="Y3356" s="101" t="s">
        <v>170</v>
      </c>
      <c r="Z3356" s="101" t="s">
        <v>171</v>
      </c>
      <c r="AA3356" s="101" t="s">
        <v>50</v>
      </c>
      <c r="AB3356" s="101" t="s">
        <v>172</v>
      </c>
      <c r="AC3356" s="102" t="s">
        <v>173</v>
      </c>
    </row>
    <row r="3357" spans="1:29" ht="25.5" customHeight="1" x14ac:dyDescent="0.35">
      <c r="A3357" s="392"/>
      <c r="B3357" s="393"/>
      <c r="C3357" s="99" t="str">
        <f>IF(B3357="","",IF(NOT(ISNUMBER(B3357)),"DATA_PC invalida",IF(NOT(ISNUMBER(parametros!$C$2)),"Fora dos ciclos",IF(OR(B3357&lt;parametros!$C$2,(YEAR(B3357)-YEAR(parametros!$C$2))*12+MONTH(B3357)-MONTH(parametros!$C$2)&gt;59),"Fora dos ciclos","C"&amp;INT(((YEAR(B3357)-YEAR(parametros!$C$2))*12+MONTH(B3357)-MONTH(parametros!$C$2))/12)))))</f>
        <v/>
      </c>
      <c r="D3357" s="394"/>
      <c r="E3357" s="78" t="str">
        <f>IF(C3357="","",IFERROR(VLOOKUP(C3357,parametros!$A$11:$E$15,5,0),""))</f>
        <v/>
      </c>
      <c r="F3357" s="79" t="str">
        <f t="shared" si="262"/>
        <v/>
      </c>
      <c r="G3357" s="395"/>
      <c r="H3357" s="91">
        <f t="shared" si="263"/>
        <v>0</v>
      </c>
      <c r="I3357" s="91" t="str">
        <f t="shared" si="264"/>
        <v/>
      </c>
      <c r="J3357" s="91" t="str">
        <f t="shared" si="265"/>
        <v/>
      </c>
      <c r="K3357" s="92" t="str">
        <f>IF(AND(A3357="",B3357="",D3357="",G3357=""),"",IF(AND(A3357&lt;&gt;"",COUNTIF($A$2:$A$5001,A3357)&gt;1),"NUMERO_PC duplicado",IF(B3357="","DATA_PC vazia",IF(NOT(ISNUMBER(B3357)),"DATA_PC invalida",IF(OR(C3357="",C3357="Fora dos ciclos"),"CICLO_PC nao identificado",IF(OR(D3357="",D3357=0),"VALOR_PC vazio ou zero",IF(AND(G3357&lt;&gt;"Sim",G3357&lt;&gt;"Nao",G3357&lt;&gt;""),"PC_PAGO_A_CONTRATADA invalido",IF(AND(C3357&lt;&gt;"C0",IFERROR(INDEX(parametros!$A$2:$A$6,MATCH(C3357,parametros!$B$2:$B$6,0)),"")="Sim",IFERROR(INDEX(parametros!$H$2:$H$6,MATCH(C3357,parametros!$B$2:$B$6,0)),"")=""),"INICIO_EFEITO ausente: PC "&amp;A3357&amp;" - "&amp;C3357,IF(L3357="","EFEITO_PC nao calculado: PC "&amp;A3357&amp;" - "&amp;C3357,"OK")))))))))</f>
        <v/>
      </c>
      <c r="L3357" s="92" t="str">
        <f>IF(AND(A3357="",B3357="",D3357="",G3357=""),"",IF(OR(B3357="",NOT(ISNUMBER(B3357)),C3357="",C3357="Fora dos ciclos"),"",IF(C3357="C0","Nao",IF(IFERROR(INDEX(parametros!$A$2:$A$6,MATCH(C3357,parametros!$B$2:$B$6,0)),"")&lt;&gt;"Sim","Nao",IF(IFERROR(INDEX(parametros!$H$2:$H$6,MATCH(C3357,parametros!$B$2:$B$6,0)),"")="","",IF(B3357&gt;=IFERROR(INDEX(parametros!$H$2:$H$6,MATCH(C3357,parametros!$B$2:$B$6,0)),""),"Sim","Nao"))))))</f>
        <v/>
      </c>
      <c r="T3357" s="156"/>
      <c r="U3357" s="214" t="str">
        <f t="shared" si="266"/>
        <v/>
      </c>
      <c r="V3357" s="212" t="s">
        <v>50</v>
      </c>
      <c r="W3357" s="100" t="s">
        <v>168</v>
      </c>
      <c r="X3357" s="100" t="s">
        <v>169</v>
      </c>
      <c r="Y3357" s="101" t="s">
        <v>170</v>
      </c>
      <c r="Z3357" s="101" t="s">
        <v>171</v>
      </c>
      <c r="AA3357" s="101" t="s">
        <v>50</v>
      </c>
      <c r="AB3357" s="101" t="s">
        <v>172</v>
      </c>
      <c r="AC3357" s="102" t="s">
        <v>173</v>
      </c>
    </row>
    <row r="3358" spans="1:29" ht="25.5" customHeight="1" x14ac:dyDescent="0.35">
      <c r="A3358" s="392"/>
      <c r="B3358" s="393"/>
      <c r="C3358" s="99" t="str">
        <f>IF(B3358="","",IF(NOT(ISNUMBER(B3358)),"DATA_PC invalida",IF(NOT(ISNUMBER(parametros!$C$2)),"Fora dos ciclos",IF(OR(B3358&lt;parametros!$C$2,(YEAR(B3358)-YEAR(parametros!$C$2))*12+MONTH(B3358)-MONTH(parametros!$C$2)&gt;59),"Fora dos ciclos","C"&amp;INT(((YEAR(B3358)-YEAR(parametros!$C$2))*12+MONTH(B3358)-MONTH(parametros!$C$2))/12)))))</f>
        <v/>
      </c>
      <c r="D3358" s="394"/>
      <c r="E3358" s="78" t="str">
        <f>IF(C3358="","",IFERROR(VLOOKUP(C3358,parametros!$A$11:$E$15,5,0),""))</f>
        <v/>
      </c>
      <c r="F3358" s="79" t="str">
        <f t="shared" si="262"/>
        <v/>
      </c>
      <c r="G3358" s="395"/>
      <c r="H3358" s="91">
        <f t="shared" si="263"/>
        <v>0</v>
      </c>
      <c r="I3358" s="91" t="str">
        <f t="shared" si="264"/>
        <v/>
      </c>
      <c r="J3358" s="91" t="str">
        <f t="shared" si="265"/>
        <v/>
      </c>
      <c r="K3358" s="92" t="str">
        <f>IF(AND(A3358="",B3358="",D3358="",G3358=""),"",IF(AND(A3358&lt;&gt;"",COUNTIF($A$2:$A$5001,A3358)&gt;1),"NUMERO_PC duplicado",IF(B3358="","DATA_PC vazia",IF(NOT(ISNUMBER(B3358)),"DATA_PC invalida",IF(OR(C3358="",C3358="Fora dos ciclos"),"CICLO_PC nao identificado",IF(OR(D3358="",D3358=0),"VALOR_PC vazio ou zero",IF(AND(G3358&lt;&gt;"Sim",G3358&lt;&gt;"Nao",G3358&lt;&gt;""),"PC_PAGO_A_CONTRATADA invalido",IF(AND(C3358&lt;&gt;"C0",IFERROR(INDEX(parametros!$A$2:$A$6,MATCH(C3358,parametros!$B$2:$B$6,0)),"")="Sim",IFERROR(INDEX(parametros!$H$2:$H$6,MATCH(C3358,parametros!$B$2:$B$6,0)),"")=""),"INICIO_EFEITO ausente: PC "&amp;A3358&amp;" - "&amp;C3358,IF(L3358="","EFEITO_PC nao calculado: PC "&amp;A3358&amp;" - "&amp;C3358,"OK")))))))))</f>
        <v/>
      </c>
      <c r="L3358" s="92" t="str">
        <f>IF(AND(A3358="",B3358="",D3358="",G3358=""),"",IF(OR(B3358="",NOT(ISNUMBER(B3358)),C3358="",C3358="Fora dos ciclos"),"",IF(C3358="C0","Nao",IF(IFERROR(INDEX(parametros!$A$2:$A$6,MATCH(C3358,parametros!$B$2:$B$6,0)),"")&lt;&gt;"Sim","Nao",IF(IFERROR(INDEX(parametros!$H$2:$H$6,MATCH(C3358,parametros!$B$2:$B$6,0)),"")="","",IF(B3358&gt;=IFERROR(INDEX(parametros!$H$2:$H$6,MATCH(C3358,parametros!$B$2:$B$6,0)),""),"Sim","Nao"))))))</f>
        <v/>
      </c>
      <c r="T3358" s="156"/>
      <c r="U3358" s="214" t="str">
        <f t="shared" si="266"/>
        <v/>
      </c>
      <c r="V3358" s="212" t="s">
        <v>50</v>
      </c>
      <c r="W3358" s="100" t="s">
        <v>168</v>
      </c>
      <c r="X3358" s="100" t="s">
        <v>169</v>
      </c>
      <c r="Y3358" s="101" t="s">
        <v>170</v>
      </c>
      <c r="Z3358" s="101" t="s">
        <v>171</v>
      </c>
      <c r="AA3358" s="101" t="s">
        <v>50</v>
      </c>
      <c r="AB3358" s="101" t="s">
        <v>172</v>
      </c>
      <c r="AC3358" s="102" t="s">
        <v>173</v>
      </c>
    </row>
    <row r="3359" spans="1:29" ht="25.5" customHeight="1" x14ac:dyDescent="0.35">
      <c r="A3359" s="392"/>
      <c r="B3359" s="393"/>
      <c r="C3359" s="99" t="str">
        <f>IF(B3359="","",IF(NOT(ISNUMBER(B3359)),"DATA_PC invalida",IF(NOT(ISNUMBER(parametros!$C$2)),"Fora dos ciclos",IF(OR(B3359&lt;parametros!$C$2,(YEAR(B3359)-YEAR(parametros!$C$2))*12+MONTH(B3359)-MONTH(parametros!$C$2)&gt;59),"Fora dos ciclos","C"&amp;INT(((YEAR(B3359)-YEAR(parametros!$C$2))*12+MONTH(B3359)-MONTH(parametros!$C$2))/12)))))</f>
        <v/>
      </c>
      <c r="D3359" s="394"/>
      <c r="E3359" s="78" t="str">
        <f>IF(C3359="","",IFERROR(VLOOKUP(C3359,parametros!$A$11:$E$15,5,0),""))</f>
        <v/>
      </c>
      <c r="F3359" s="79" t="str">
        <f t="shared" si="262"/>
        <v/>
      </c>
      <c r="G3359" s="395"/>
      <c r="H3359" s="91">
        <f t="shared" si="263"/>
        <v>0</v>
      </c>
      <c r="I3359" s="91" t="str">
        <f t="shared" si="264"/>
        <v/>
      </c>
      <c r="J3359" s="91" t="str">
        <f t="shared" si="265"/>
        <v/>
      </c>
      <c r="K3359" s="92" t="str">
        <f>IF(AND(A3359="",B3359="",D3359="",G3359=""),"",IF(AND(A3359&lt;&gt;"",COUNTIF($A$2:$A$5001,A3359)&gt;1),"NUMERO_PC duplicado",IF(B3359="","DATA_PC vazia",IF(NOT(ISNUMBER(B3359)),"DATA_PC invalida",IF(OR(C3359="",C3359="Fora dos ciclos"),"CICLO_PC nao identificado",IF(OR(D3359="",D3359=0),"VALOR_PC vazio ou zero",IF(AND(G3359&lt;&gt;"Sim",G3359&lt;&gt;"Nao",G3359&lt;&gt;""),"PC_PAGO_A_CONTRATADA invalido",IF(AND(C3359&lt;&gt;"C0",IFERROR(INDEX(parametros!$A$2:$A$6,MATCH(C3359,parametros!$B$2:$B$6,0)),"")="Sim",IFERROR(INDEX(parametros!$H$2:$H$6,MATCH(C3359,parametros!$B$2:$B$6,0)),"")=""),"INICIO_EFEITO ausente: PC "&amp;A3359&amp;" - "&amp;C3359,IF(L3359="","EFEITO_PC nao calculado: PC "&amp;A3359&amp;" - "&amp;C3359,"OK")))))))))</f>
        <v/>
      </c>
      <c r="L3359" s="92" t="str">
        <f>IF(AND(A3359="",B3359="",D3359="",G3359=""),"",IF(OR(B3359="",NOT(ISNUMBER(B3359)),C3359="",C3359="Fora dos ciclos"),"",IF(C3359="C0","Nao",IF(IFERROR(INDEX(parametros!$A$2:$A$6,MATCH(C3359,parametros!$B$2:$B$6,0)),"")&lt;&gt;"Sim","Nao",IF(IFERROR(INDEX(parametros!$H$2:$H$6,MATCH(C3359,parametros!$B$2:$B$6,0)),"")="","",IF(B3359&gt;=IFERROR(INDEX(parametros!$H$2:$H$6,MATCH(C3359,parametros!$B$2:$B$6,0)),""),"Sim","Nao"))))))</f>
        <v/>
      </c>
      <c r="T3359" s="156"/>
      <c r="U3359" s="214" t="str">
        <f t="shared" si="266"/>
        <v/>
      </c>
      <c r="V3359" s="212" t="s">
        <v>50</v>
      </c>
      <c r="W3359" s="100" t="s">
        <v>168</v>
      </c>
      <c r="X3359" s="100" t="s">
        <v>169</v>
      </c>
      <c r="Y3359" s="101" t="s">
        <v>170</v>
      </c>
      <c r="Z3359" s="101" t="s">
        <v>171</v>
      </c>
      <c r="AA3359" s="101" t="s">
        <v>50</v>
      </c>
      <c r="AB3359" s="101" t="s">
        <v>172</v>
      </c>
      <c r="AC3359" s="102" t="s">
        <v>173</v>
      </c>
    </row>
    <row r="3360" spans="1:29" ht="25.5" customHeight="1" x14ac:dyDescent="0.35">
      <c r="A3360" s="392"/>
      <c r="B3360" s="393"/>
      <c r="C3360" s="99" t="str">
        <f>IF(B3360="","",IF(NOT(ISNUMBER(B3360)),"DATA_PC invalida",IF(NOT(ISNUMBER(parametros!$C$2)),"Fora dos ciclos",IF(OR(B3360&lt;parametros!$C$2,(YEAR(B3360)-YEAR(parametros!$C$2))*12+MONTH(B3360)-MONTH(parametros!$C$2)&gt;59),"Fora dos ciclos","C"&amp;INT(((YEAR(B3360)-YEAR(parametros!$C$2))*12+MONTH(B3360)-MONTH(parametros!$C$2))/12)))))</f>
        <v/>
      </c>
      <c r="D3360" s="394"/>
      <c r="E3360" s="78" t="str">
        <f>IF(C3360="","",IFERROR(VLOOKUP(C3360,parametros!$A$11:$E$15,5,0),""))</f>
        <v/>
      </c>
      <c r="F3360" s="79" t="str">
        <f t="shared" si="262"/>
        <v/>
      </c>
      <c r="G3360" s="395"/>
      <c r="H3360" s="91">
        <f t="shared" si="263"/>
        <v>0</v>
      </c>
      <c r="I3360" s="91" t="str">
        <f t="shared" si="264"/>
        <v/>
      </c>
      <c r="J3360" s="91" t="str">
        <f t="shared" si="265"/>
        <v/>
      </c>
      <c r="K3360" s="92" t="str">
        <f>IF(AND(A3360="",B3360="",D3360="",G3360=""),"",IF(AND(A3360&lt;&gt;"",COUNTIF($A$2:$A$5001,A3360)&gt;1),"NUMERO_PC duplicado",IF(B3360="","DATA_PC vazia",IF(NOT(ISNUMBER(B3360)),"DATA_PC invalida",IF(OR(C3360="",C3360="Fora dos ciclos"),"CICLO_PC nao identificado",IF(OR(D3360="",D3360=0),"VALOR_PC vazio ou zero",IF(AND(G3360&lt;&gt;"Sim",G3360&lt;&gt;"Nao",G3360&lt;&gt;""),"PC_PAGO_A_CONTRATADA invalido",IF(AND(C3360&lt;&gt;"C0",IFERROR(INDEX(parametros!$A$2:$A$6,MATCH(C3360,parametros!$B$2:$B$6,0)),"")="Sim",IFERROR(INDEX(parametros!$H$2:$H$6,MATCH(C3360,parametros!$B$2:$B$6,0)),"")=""),"INICIO_EFEITO ausente: PC "&amp;A3360&amp;" - "&amp;C3360,IF(L3360="","EFEITO_PC nao calculado: PC "&amp;A3360&amp;" - "&amp;C3360,"OK")))))))))</f>
        <v/>
      </c>
      <c r="L3360" s="92" t="str">
        <f>IF(AND(A3360="",B3360="",D3360="",G3360=""),"",IF(OR(B3360="",NOT(ISNUMBER(B3360)),C3360="",C3360="Fora dos ciclos"),"",IF(C3360="C0","Nao",IF(IFERROR(INDEX(parametros!$A$2:$A$6,MATCH(C3360,parametros!$B$2:$B$6,0)),"")&lt;&gt;"Sim","Nao",IF(IFERROR(INDEX(parametros!$H$2:$H$6,MATCH(C3360,parametros!$B$2:$B$6,0)),"")="","",IF(B3360&gt;=IFERROR(INDEX(parametros!$H$2:$H$6,MATCH(C3360,parametros!$B$2:$B$6,0)),""),"Sim","Nao"))))))</f>
        <v/>
      </c>
      <c r="T3360" s="156"/>
      <c r="U3360" s="214" t="str">
        <f t="shared" si="266"/>
        <v/>
      </c>
      <c r="V3360" s="212" t="s">
        <v>50</v>
      </c>
      <c r="W3360" s="100" t="s">
        <v>168</v>
      </c>
      <c r="X3360" s="100" t="s">
        <v>169</v>
      </c>
      <c r="Y3360" s="101" t="s">
        <v>170</v>
      </c>
      <c r="Z3360" s="101" t="s">
        <v>171</v>
      </c>
      <c r="AA3360" s="101" t="s">
        <v>50</v>
      </c>
      <c r="AB3360" s="101" t="s">
        <v>172</v>
      </c>
      <c r="AC3360" s="102" t="s">
        <v>173</v>
      </c>
    </row>
    <row r="3361" spans="1:29" ht="25.5" customHeight="1" x14ac:dyDescent="0.35">
      <c r="A3361" s="392"/>
      <c r="B3361" s="393"/>
      <c r="C3361" s="99" t="str">
        <f>IF(B3361="","",IF(NOT(ISNUMBER(B3361)),"DATA_PC invalida",IF(NOT(ISNUMBER(parametros!$C$2)),"Fora dos ciclos",IF(OR(B3361&lt;parametros!$C$2,(YEAR(B3361)-YEAR(parametros!$C$2))*12+MONTH(B3361)-MONTH(parametros!$C$2)&gt;59),"Fora dos ciclos","C"&amp;INT(((YEAR(B3361)-YEAR(parametros!$C$2))*12+MONTH(B3361)-MONTH(parametros!$C$2))/12)))))</f>
        <v/>
      </c>
      <c r="D3361" s="394"/>
      <c r="E3361" s="78" t="str">
        <f>IF(C3361="","",IFERROR(VLOOKUP(C3361,parametros!$A$11:$E$15,5,0),""))</f>
        <v/>
      </c>
      <c r="F3361" s="79" t="str">
        <f t="shared" si="262"/>
        <v/>
      </c>
      <c r="G3361" s="395"/>
      <c r="H3361" s="91">
        <f t="shared" si="263"/>
        <v>0</v>
      </c>
      <c r="I3361" s="91" t="str">
        <f t="shared" si="264"/>
        <v/>
      </c>
      <c r="J3361" s="91" t="str">
        <f t="shared" si="265"/>
        <v/>
      </c>
      <c r="K3361" s="92" t="str">
        <f>IF(AND(A3361="",B3361="",D3361="",G3361=""),"",IF(AND(A3361&lt;&gt;"",COUNTIF($A$2:$A$5001,A3361)&gt;1),"NUMERO_PC duplicado",IF(B3361="","DATA_PC vazia",IF(NOT(ISNUMBER(B3361)),"DATA_PC invalida",IF(OR(C3361="",C3361="Fora dos ciclos"),"CICLO_PC nao identificado",IF(OR(D3361="",D3361=0),"VALOR_PC vazio ou zero",IF(AND(G3361&lt;&gt;"Sim",G3361&lt;&gt;"Nao",G3361&lt;&gt;""),"PC_PAGO_A_CONTRATADA invalido",IF(AND(C3361&lt;&gt;"C0",IFERROR(INDEX(parametros!$A$2:$A$6,MATCH(C3361,parametros!$B$2:$B$6,0)),"")="Sim",IFERROR(INDEX(parametros!$H$2:$H$6,MATCH(C3361,parametros!$B$2:$B$6,0)),"")=""),"INICIO_EFEITO ausente: PC "&amp;A3361&amp;" - "&amp;C3361,IF(L3361="","EFEITO_PC nao calculado: PC "&amp;A3361&amp;" - "&amp;C3361,"OK")))))))))</f>
        <v/>
      </c>
      <c r="L3361" s="92" t="str">
        <f>IF(AND(A3361="",B3361="",D3361="",G3361=""),"",IF(OR(B3361="",NOT(ISNUMBER(B3361)),C3361="",C3361="Fora dos ciclos"),"",IF(C3361="C0","Nao",IF(IFERROR(INDEX(parametros!$A$2:$A$6,MATCH(C3361,parametros!$B$2:$B$6,0)),"")&lt;&gt;"Sim","Nao",IF(IFERROR(INDEX(parametros!$H$2:$H$6,MATCH(C3361,parametros!$B$2:$B$6,0)),"")="","",IF(B3361&gt;=IFERROR(INDEX(parametros!$H$2:$H$6,MATCH(C3361,parametros!$B$2:$B$6,0)),""),"Sim","Nao"))))))</f>
        <v/>
      </c>
      <c r="T3361" s="156"/>
      <c r="U3361" s="214" t="str">
        <f t="shared" si="266"/>
        <v/>
      </c>
      <c r="V3361" s="212" t="s">
        <v>50</v>
      </c>
      <c r="W3361" s="100" t="s">
        <v>168</v>
      </c>
      <c r="X3361" s="100" t="s">
        <v>169</v>
      </c>
      <c r="Y3361" s="101" t="s">
        <v>170</v>
      </c>
      <c r="Z3361" s="101" t="s">
        <v>171</v>
      </c>
      <c r="AA3361" s="101" t="s">
        <v>50</v>
      </c>
      <c r="AB3361" s="101" t="s">
        <v>172</v>
      </c>
      <c r="AC3361" s="102" t="s">
        <v>173</v>
      </c>
    </row>
    <row r="3362" spans="1:29" ht="25.5" customHeight="1" x14ac:dyDescent="0.35">
      <c r="A3362" s="392"/>
      <c r="B3362" s="393"/>
      <c r="C3362" s="99" t="str">
        <f>IF(B3362="","",IF(NOT(ISNUMBER(B3362)),"DATA_PC invalida",IF(NOT(ISNUMBER(parametros!$C$2)),"Fora dos ciclos",IF(OR(B3362&lt;parametros!$C$2,(YEAR(B3362)-YEAR(parametros!$C$2))*12+MONTH(B3362)-MONTH(parametros!$C$2)&gt;59),"Fora dos ciclos","C"&amp;INT(((YEAR(B3362)-YEAR(parametros!$C$2))*12+MONTH(B3362)-MONTH(parametros!$C$2))/12)))))</f>
        <v/>
      </c>
      <c r="D3362" s="394"/>
      <c r="E3362" s="78" t="str">
        <f>IF(C3362="","",IFERROR(VLOOKUP(C3362,parametros!$A$11:$E$15,5,0),""))</f>
        <v/>
      </c>
      <c r="F3362" s="79" t="str">
        <f t="shared" si="262"/>
        <v/>
      </c>
      <c r="G3362" s="395"/>
      <c r="H3362" s="91">
        <f t="shared" si="263"/>
        <v>0</v>
      </c>
      <c r="I3362" s="91" t="str">
        <f t="shared" si="264"/>
        <v/>
      </c>
      <c r="J3362" s="91" t="str">
        <f t="shared" si="265"/>
        <v/>
      </c>
      <c r="K3362" s="92" t="str">
        <f>IF(AND(A3362="",B3362="",D3362="",G3362=""),"",IF(AND(A3362&lt;&gt;"",COUNTIF($A$2:$A$5001,A3362)&gt;1),"NUMERO_PC duplicado",IF(B3362="","DATA_PC vazia",IF(NOT(ISNUMBER(B3362)),"DATA_PC invalida",IF(OR(C3362="",C3362="Fora dos ciclos"),"CICLO_PC nao identificado",IF(OR(D3362="",D3362=0),"VALOR_PC vazio ou zero",IF(AND(G3362&lt;&gt;"Sim",G3362&lt;&gt;"Nao",G3362&lt;&gt;""),"PC_PAGO_A_CONTRATADA invalido",IF(AND(C3362&lt;&gt;"C0",IFERROR(INDEX(parametros!$A$2:$A$6,MATCH(C3362,parametros!$B$2:$B$6,0)),"")="Sim",IFERROR(INDEX(parametros!$H$2:$H$6,MATCH(C3362,parametros!$B$2:$B$6,0)),"")=""),"INICIO_EFEITO ausente: PC "&amp;A3362&amp;" - "&amp;C3362,IF(L3362="","EFEITO_PC nao calculado: PC "&amp;A3362&amp;" - "&amp;C3362,"OK")))))))))</f>
        <v/>
      </c>
      <c r="L3362" s="92" t="str">
        <f>IF(AND(A3362="",B3362="",D3362="",G3362=""),"",IF(OR(B3362="",NOT(ISNUMBER(B3362)),C3362="",C3362="Fora dos ciclos"),"",IF(C3362="C0","Nao",IF(IFERROR(INDEX(parametros!$A$2:$A$6,MATCH(C3362,parametros!$B$2:$B$6,0)),"")&lt;&gt;"Sim","Nao",IF(IFERROR(INDEX(parametros!$H$2:$H$6,MATCH(C3362,parametros!$B$2:$B$6,0)),"")="","",IF(B3362&gt;=IFERROR(INDEX(parametros!$H$2:$H$6,MATCH(C3362,parametros!$B$2:$B$6,0)),""),"Sim","Nao"))))))</f>
        <v/>
      </c>
      <c r="T3362" s="156"/>
      <c r="U3362" s="214" t="str">
        <f t="shared" si="266"/>
        <v/>
      </c>
      <c r="V3362" s="212" t="s">
        <v>50</v>
      </c>
      <c r="W3362" s="100" t="s">
        <v>168</v>
      </c>
      <c r="X3362" s="100" t="s">
        <v>169</v>
      </c>
      <c r="Y3362" s="101" t="s">
        <v>170</v>
      </c>
      <c r="Z3362" s="101" t="s">
        <v>171</v>
      </c>
      <c r="AA3362" s="101" t="s">
        <v>50</v>
      </c>
      <c r="AB3362" s="101" t="s">
        <v>172</v>
      </c>
      <c r="AC3362" s="102" t="s">
        <v>173</v>
      </c>
    </row>
    <row r="3363" spans="1:29" ht="25.5" customHeight="1" x14ac:dyDescent="0.35">
      <c r="A3363" s="392"/>
      <c r="B3363" s="393"/>
      <c r="C3363" s="99" t="str">
        <f>IF(B3363="","",IF(NOT(ISNUMBER(B3363)),"DATA_PC invalida",IF(NOT(ISNUMBER(parametros!$C$2)),"Fora dos ciclos",IF(OR(B3363&lt;parametros!$C$2,(YEAR(B3363)-YEAR(parametros!$C$2))*12+MONTH(B3363)-MONTH(parametros!$C$2)&gt;59),"Fora dos ciclos","C"&amp;INT(((YEAR(B3363)-YEAR(parametros!$C$2))*12+MONTH(B3363)-MONTH(parametros!$C$2))/12)))))</f>
        <v/>
      </c>
      <c r="D3363" s="394"/>
      <c r="E3363" s="78" t="str">
        <f>IF(C3363="","",IFERROR(VLOOKUP(C3363,parametros!$A$11:$E$15,5,0),""))</f>
        <v/>
      </c>
      <c r="F3363" s="79" t="str">
        <f t="shared" si="262"/>
        <v/>
      </c>
      <c r="G3363" s="395"/>
      <c r="H3363" s="91">
        <f t="shared" si="263"/>
        <v>0</v>
      </c>
      <c r="I3363" s="91" t="str">
        <f t="shared" si="264"/>
        <v/>
      </c>
      <c r="J3363" s="91" t="str">
        <f t="shared" si="265"/>
        <v/>
      </c>
      <c r="K3363" s="92" t="str">
        <f>IF(AND(A3363="",B3363="",D3363="",G3363=""),"",IF(AND(A3363&lt;&gt;"",COUNTIF($A$2:$A$5001,A3363)&gt;1),"NUMERO_PC duplicado",IF(B3363="","DATA_PC vazia",IF(NOT(ISNUMBER(B3363)),"DATA_PC invalida",IF(OR(C3363="",C3363="Fora dos ciclos"),"CICLO_PC nao identificado",IF(OR(D3363="",D3363=0),"VALOR_PC vazio ou zero",IF(AND(G3363&lt;&gt;"Sim",G3363&lt;&gt;"Nao",G3363&lt;&gt;""),"PC_PAGO_A_CONTRATADA invalido",IF(AND(C3363&lt;&gt;"C0",IFERROR(INDEX(parametros!$A$2:$A$6,MATCH(C3363,parametros!$B$2:$B$6,0)),"")="Sim",IFERROR(INDEX(parametros!$H$2:$H$6,MATCH(C3363,parametros!$B$2:$B$6,0)),"")=""),"INICIO_EFEITO ausente: PC "&amp;A3363&amp;" - "&amp;C3363,IF(L3363="","EFEITO_PC nao calculado: PC "&amp;A3363&amp;" - "&amp;C3363,"OK")))))))))</f>
        <v/>
      </c>
      <c r="L3363" s="92" t="str">
        <f>IF(AND(A3363="",B3363="",D3363="",G3363=""),"",IF(OR(B3363="",NOT(ISNUMBER(B3363)),C3363="",C3363="Fora dos ciclos"),"",IF(C3363="C0","Nao",IF(IFERROR(INDEX(parametros!$A$2:$A$6,MATCH(C3363,parametros!$B$2:$B$6,0)),"")&lt;&gt;"Sim","Nao",IF(IFERROR(INDEX(parametros!$H$2:$H$6,MATCH(C3363,parametros!$B$2:$B$6,0)),"")="","",IF(B3363&gt;=IFERROR(INDEX(parametros!$H$2:$H$6,MATCH(C3363,parametros!$B$2:$B$6,0)),""),"Sim","Nao"))))))</f>
        <v/>
      </c>
      <c r="T3363" s="156"/>
      <c r="U3363" s="214" t="str">
        <f t="shared" si="266"/>
        <v/>
      </c>
      <c r="V3363" s="212" t="s">
        <v>50</v>
      </c>
      <c r="W3363" s="100" t="s">
        <v>168</v>
      </c>
      <c r="X3363" s="100" t="s">
        <v>169</v>
      </c>
      <c r="Y3363" s="101" t="s">
        <v>170</v>
      </c>
      <c r="Z3363" s="101" t="s">
        <v>171</v>
      </c>
      <c r="AA3363" s="101" t="s">
        <v>50</v>
      </c>
      <c r="AB3363" s="101" t="s">
        <v>172</v>
      </c>
      <c r="AC3363" s="102" t="s">
        <v>173</v>
      </c>
    </row>
    <row r="3364" spans="1:29" ht="25.5" customHeight="1" x14ac:dyDescent="0.35">
      <c r="A3364" s="392"/>
      <c r="B3364" s="393"/>
      <c r="C3364" s="99" t="str">
        <f>IF(B3364="","",IF(NOT(ISNUMBER(B3364)),"DATA_PC invalida",IF(NOT(ISNUMBER(parametros!$C$2)),"Fora dos ciclos",IF(OR(B3364&lt;parametros!$C$2,(YEAR(B3364)-YEAR(parametros!$C$2))*12+MONTH(B3364)-MONTH(parametros!$C$2)&gt;59),"Fora dos ciclos","C"&amp;INT(((YEAR(B3364)-YEAR(parametros!$C$2))*12+MONTH(B3364)-MONTH(parametros!$C$2))/12)))))</f>
        <v/>
      </c>
      <c r="D3364" s="394"/>
      <c r="E3364" s="78" t="str">
        <f>IF(C3364="","",IFERROR(VLOOKUP(C3364,parametros!$A$11:$E$15,5,0),""))</f>
        <v/>
      </c>
      <c r="F3364" s="79" t="str">
        <f t="shared" si="262"/>
        <v/>
      </c>
      <c r="G3364" s="395"/>
      <c r="H3364" s="91">
        <f t="shared" si="263"/>
        <v>0</v>
      </c>
      <c r="I3364" s="91" t="str">
        <f t="shared" si="264"/>
        <v/>
      </c>
      <c r="J3364" s="91" t="str">
        <f t="shared" si="265"/>
        <v/>
      </c>
      <c r="K3364" s="92" t="str">
        <f>IF(AND(A3364="",B3364="",D3364="",G3364=""),"",IF(AND(A3364&lt;&gt;"",COUNTIF($A$2:$A$5001,A3364)&gt;1),"NUMERO_PC duplicado",IF(B3364="","DATA_PC vazia",IF(NOT(ISNUMBER(B3364)),"DATA_PC invalida",IF(OR(C3364="",C3364="Fora dos ciclos"),"CICLO_PC nao identificado",IF(OR(D3364="",D3364=0),"VALOR_PC vazio ou zero",IF(AND(G3364&lt;&gt;"Sim",G3364&lt;&gt;"Nao",G3364&lt;&gt;""),"PC_PAGO_A_CONTRATADA invalido",IF(AND(C3364&lt;&gt;"C0",IFERROR(INDEX(parametros!$A$2:$A$6,MATCH(C3364,parametros!$B$2:$B$6,0)),"")="Sim",IFERROR(INDEX(parametros!$H$2:$H$6,MATCH(C3364,parametros!$B$2:$B$6,0)),"")=""),"INICIO_EFEITO ausente: PC "&amp;A3364&amp;" - "&amp;C3364,IF(L3364="","EFEITO_PC nao calculado: PC "&amp;A3364&amp;" - "&amp;C3364,"OK")))))))))</f>
        <v/>
      </c>
      <c r="L3364" s="92" t="str">
        <f>IF(AND(A3364="",B3364="",D3364="",G3364=""),"",IF(OR(B3364="",NOT(ISNUMBER(B3364)),C3364="",C3364="Fora dos ciclos"),"",IF(C3364="C0","Nao",IF(IFERROR(INDEX(parametros!$A$2:$A$6,MATCH(C3364,parametros!$B$2:$B$6,0)),"")&lt;&gt;"Sim","Nao",IF(IFERROR(INDEX(parametros!$H$2:$H$6,MATCH(C3364,parametros!$B$2:$B$6,0)),"")="","",IF(B3364&gt;=IFERROR(INDEX(parametros!$H$2:$H$6,MATCH(C3364,parametros!$B$2:$B$6,0)),""),"Sim","Nao"))))))</f>
        <v/>
      </c>
      <c r="T3364" s="156"/>
      <c r="U3364" s="214" t="str">
        <f t="shared" si="266"/>
        <v/>
      </c>
      <c r="V3364" s="212" t="s">
        <v>50</v>
      </c>
      <c r="W3364" s="100" t="s">
        <v>168</v>
      </c>
      <c r="X3364" s="100" t="s">
        <v>169</v>
      </c>
      <c r="Y3364" s="101" t="s">
        <v>170</v>
      </c>
      <c r="Z3364" s="101" t="s">
        <v>171</v>
      </c>
      <c r="AA3364" s="101" t="s">
        <v>50</v>
      </c>
      <c r="AB3364" s="101" t="s">
        <v>172</v>
      </c>
      <c r="AC3364" s="102" t="s">
        <v>173</v>
      </c>
    </row>
    <row r="3365" spans="1:29" ht="25.5" customHeight="1" x14ac:dyDescent="0.35">
      <c r="A3365" s="392"/>
      <c r="B3365" s="393"/>
      <c r="C3365" s="99" t="str">
        <f>IF(B3365="","",IF(NOT(ISNUMBER(B3365)),"DATA_PC invalida",IF(NOT(ISNUMBER(parametros!$C$2)),"Fora dos ciclos",IF(OR(B3365&lt;parametros!$C$2,(YEAR(B3365)-YEAR(parametros!$C$2))*12+MONTH(B3365)-MONTH(parametros!$C$2)&gt;59),"Fora dos ciclos","C"&amp;INT(((YEAR(B3365)-YEAR(parametros!$C$2))*12+MONTH(B3365)-MONTH(parametros!$C$2))/12)))))</f>
        <v/>
      </c>
      <c r="D3365" s="394"/>
      <c r="E3365" s="78" t="str">
        <f>IF(C3365="","",IFERROR(VLOOKUP(C3365,parametros!$A$11:$E$15,5,0),""))</f>
        <v/>
      </c>
      <c r="F3365" s="79" t="str">
        <f t="shared" si="262"/>
        <v/>
      </c>
      <c r="G3365" s="395"/>
      <c r="H3365" s="91">
        <f t="shared" si="263"/>
        <v>0</v>
      </c>
      <c r="I3365" s="91" t="str">
        <f t="shared" si="264"/>
        <v/>
      </c>
      <c r="J3365" s="91" t="str">
        <f t="shared" si="265"/>
        <v/>
      </c>
      <c r="K3365" s="92" t="str">
        <f>IF(AND(A3365="",B3365="",D3365="",G3365=""),"",IF(AND(A3365&lt;&gt;"",COUNTIF($A$2:$A$5001,A3365)&gt;1),"NUMERO_PC duplicado",IF(B3365="","DATA_PC vazia",IF(NOT(ISNUMBER(B3365)),"DATA_PC invalida",IF(OR(C3365="",C3365="Fora dos ciclos"),"CICLO_PC nao identificado",IF(OR(D3365="",D3365=0),"VALOR_PC vazio ou zero",IF(AND(G3365&lt;&gt;"Sim",G3365&lt;&gt;"Nao",G3365&lt;&gt;""),"PC_PAGO_A_CONTRATADA invalido",IF(AND(C3365&lt;&gt;"C0",IFERROR(INDEX(parametros!$A$2:$A$6,MATCH(C3365,parametros!$B$2:$B$6,0)),"")="Sim",IFERROR(INDEX(parametros!$H$2:$H$6,MATCH(C3365,parametros!$B$2:$B$6,0)),"")=""),"INICIO_EFEITO ausente: PC "&amp;A3365&amp;" - "&amp;C3365,IF(L3365="","EFEITO_PC nao calculado: PC "&amp;A3365&amp;" - "&amp;C3365,"OK")))))))))</f>
        <v/>
      </c>
      <c r="L3365" s="92" t="str">
        <f>IF(AND(A3365="",B3365="",D3365="",G3365=""),"",IF(OR(B3365="",NOT(ISNUMBER(B3365)),C3365="",C3365="Fora dos ciclos"),"",IF(C3365="C0","Nao",IF(IFERROR(INDEX(parametros!$A$2:$A$6,MATCH(C3365,parametros!$B$2:$B$6,0)),"")&lt;&gt;"Sim","Nao",IF(IFERROR(INDEX(parametros!$H$2:$H$6,MATCH(C3365,parametros!$B$2:$B$6,0)),"")="","",IF(B3365&gt;=IFERROR(INDEX(parametros!$H$2:$H$6,MATCH(C3365,parametros!$B$2:$B$6,0)),""),"Sim","Nao"))))))</f>
        <v/>
      </c>
      <c r="T3365" s="156"/>
      <c r="U3365" s="214" t="str">
        <f t="shared" si="266"/>
        <v/>
      </c>
      <c r="V3365" s="212" t="s">
        <v>50</v>
      </c>
      <c r="W3365" s="100" t="s">
        <v>168</v>
      </c>
      <c r="X3365" s="100" t="s">
        <v>169</v>
      </c>
      <c r="Y3365" s="101" t="s">
        <v>170</v>
      </c>
      <c r="Z3365" s="101" t="s">
        <v>171</v>
      </c>
      <c r="AA3365" s="101" t="s">
        <v>50</v>
      </c>
      <c r="AB3365" s="101" t="s">
        <v>172</v>
      </c>
      <c r="AC3365" s="102" t="s">
        <v>173</v>
      </c>
    </row>
    <row r="3366" spans="1:29" ht="25.5" customHeight="1" x14ac:dyDescent="0.35">
      <c r="A3366" s="392"/>
      <c r="B3366" s="393"/>
      <c r="C3366" s="99" t="str">
        <f>IF(B3366="","",IF(NOT(ISNUMBER(B3366)),"DATA_PC invalida",IF(NOT(ISNUMBER(parametros!$C$2)),"Fora dos ciclos",IF(OR(B3366&lt;parametros!$C$2,(YEAR(B3366)-YEAR(parametros!$C$2))*12+MONTH(B3366)-MONTH(parametros!$C$2)&gt;59),"Fora dos ciclos","C"&amp;INT(((YEAR(B3366)-YEAR(parametros!$C$2))*12+MONTH(B3366)-MONTH(parametros!$C$2))/12)))))</f>
        <v/>
      </c>
      <c r="D3366" s="394"/>
      <c r="E3366" s="78" t="str">
        <f>IF(C3366="","",IFERROR(VLOOKUP(C3366,parametros!$A$11:$E$15,5,0),""))</f>
        <v/>
      </c>
      <c r="F3366" s="79" t="str">
        <f t="shared" si="262"/>
        <v/>
      </c>
      <c r="G3366" s="395"/>
      <c r="H3366" s="91">
        <f t="shared" si="263"/>
        <v>0</v>
      </c>
      <c r="I3366" s="91" t="str">
        <f t="shared" si="264"/>
        <v/>
      </c>
      <c r="J3366" s="91" t="str">
        <f t="shared" si="265"/>
        <v/>
      </c>
      <c r="K3366" s="92" t="str">
        <f>IF(AND(A3366="",B3366="",D3366="",G3366=""),"",IF(AND(A3366&lt;&gt;"",COUNTIF($A$2:$A$5001,A3366)&gt;1),"NUMERO_PC duplicado",IF(B3366="","DATA_PC vazia",IF(NOT(ISNUMBER(B3366)),"DATA_PC invalida",IF(OR(C3366="",C3366="Fora dos ciclos"),"CICLO_PC nao identificado",IF(OR(D3366="",D3366=0),"VALOR_PC vazio ou zero",IF(AND(G3366&lt;&gt;"Sim",G3366&lt;&gt;"Nao",G3366&lt;&gt;""),"PC_PAGO_A_CONTRATADA invalido",IF(AND(C3366&lt;&gt;"C0",IFERROR(INDEX(parametros!$A$2:$A$6,MATCH(C3366,parametros!$B$2:$B$6,0)),"")="Sim",IFERROR(INDEX(parametros!$H$2:$H$6,MATCH(C3366,parametros!$B$2:$B$6,0)),"")=""),"INICIO_EFEITO ausente: PC "&amp;A3366&amp;" - "&amp;C3366,IF(L3366="","EFEITO_PC nao calculado: PC "&amp;A3366&amp;" - "&amp;C3366,"OK")))))))))</f>
        <v/>
      </c>
      <c r="L3366" s="92" t="str">
        <f>IF(AND(A3366="",B3366="",D3366="",G3366=""),"",IF(OR(B3366="",NOT(ISNUMBER(B3366)),C3366="",C3366="Fora dos ciclos"),"",IF(C3366="C0","Nao",IF(IFERROR(INDEX(parametros!$A$2:$A$6,MATCH(C3366,parametros!$B$2:$B$6,0)),"")&lt;&gt;"Sim","Nao",IF(IFERROR(INDEX(parametros!$H$2:$H$6,MATCH(C3366,parametros!$B$2:$B$6,0)),"")="","",IF(B3366&gt;=IFERROR(INDEX(parametros!$H$2:$H$6,MATCH(C3366,parametros!$B$2:$B$6,0)),""),"Sim","Nao"))))))</f>
        <v/>
      </c>
      <c r="T3366" s="156"/>
      <c r="U3366" s="214" t="str">
        <f t="shared" si="266"/>
        <v/>
      </c>
      <c r="V3366" s="212" t="s">
        <v>50</v>
      </c>
      <c r="W3366" s="100" t="s">
        <v>168</v>
      </c>
      <c r="X3366" s="100" t="s">
        <v>169</v>
      </c>
      <c r="Y3366" s="101" t="s">
        <v>170</v>
      </c>
      <c r="Z3366" s="101" t="s">
        <v>171</v>
      </c>
      <c r="AA3366" s="101" t="s">
        <v>50</v>
      </c>
      <c r="AB3366" s="101" t="s">
        <v>172</v>
      </c>
      <c r="AC3366" s="102" t="s">
        <v>173</v>
      </c>
    </row>
    <row r="3367" spans="1:29" ht="25.5" customHeight="1" x14ac:dyDescent="0.35">
      <c r="A3367" s="392"/>
      <c r="B3367" s="393"/>
      <c r="C3367" s="99" t="str">
        <f>IF(B3367="","",IF(NOT(ISNUMBER(B3367)),"DATA_PC invalida",IF(NOT(ISNUMBER(parametros!$C$2)),"Fora dos ciclos",IF(OR(B3367&lt;parametros!$C$2,(YEAR(B3367)-YEAR(parametros!$C$2))*12+MONTH(B3367)-MONTH(parametros!$C$2)&gt;59),"Fora dos ciclos","C"&amp;INT(((YEAR(B3367)-YEAR(parametros!$C$2))*12+MONTH(B3367)-MONTH(parametros!$C$2))/12)))))</f>
        <v/>
      </c>
      <c r="D3367" s="394"/>
      <c r="E3367" s="78" t="str">
        <f>IF(C3367="","",IFERROR(VLOOKUP(C3367,parametros!$A$11:$E$15,5,0),""))</f>
        <v/>
      </c>
      <c r="F3367" s="79" t="str">
        <f t="shared" si="262"/>
        <v/>
      </c>
      <c r="G3367" s="395"/>
      <c r="H3367" s="91">
        <f t="shared" si="263"/>
        <v>0</v>
      </c>
      <c r="I3367" s="91" t="str">
        <f t="shared" si="264"/>
        <v/>
      </c>
      <c r="J3367" s="91" t="str">
        <f t="shared" si="265"/>
        <v/>
      </c>
      <c r="K3367" s="92" t="str">
        <f>IF(AND(A3367="",B3367="",D3367="",G3367=""),"",IF(AND(A3367&lt;&gt;"",COUNTIF($A$2:$A$5001,A3367)&gt;1),"NUMERO_PC duplicado",IF(B3367="","DATA_PC vazia",IF(NOT(ISNUMBER(B3367)),"DATA_PC invalida",IF(OR(C3367="",C3367="Fora dos ciclos"),"CICLO_PC nao identificado",IF(OR(D3367="",D3367=0),"VALOR_PC vazio ou zero",IF(AND(G3367&lt;&gt;"Sim",G3367&lt;&gt;"Nao",G3367&lt;&gt;""),"PC_PAGO_A_CONTRATADA invalido",IF(AND(C3367&lt;&gt;"C0",IFERROR(INDEX(parametros!$A$2:$A$6,MATCH(C3367,parametros!$B$2:$B$6,0)),"")="Sim",IFERROR(INDEX(parametros!$H$2:$H$6,MATCH(C3367,parametros!$B$2:$B$6,0)),"")=""),"INICIO_EFEITO ausente: PC "&amp;A3367&amp;" - "&amp;C3367,IF(L3367="","EFEITO_PC nao calculado: PC "&amp;A3367&amp;" - "&amp;C3367,"OK")))))))))</f>
        <v/>
      </c>
      <c r="L3367" s="92" t="str">
        <f>IF(AND(A3367="",B3367="",D3367="",G3367=""),"",IF(OR(B3367="",NOT(ISNUMBER(B3367)),C3367="",C3367="Fora dos ciclos"),"",IF(C3367="C0","Nao",IF(IFERROR(INDEX(parametros!$A$2:$A$6,MATCH(C3367,parametros!$B$2:$B$6,0)),"")&lt;&gt;"Sim","Nao",IF(IFERROR(INDEX(parametros!$H$2:$H$6,MATCH(C3367,parametros!$B$2:$B$6,0)),"")="","",IF(B3367&gt;=IFERROR(INDEX(parametros!$H$2:$H$6,MATCH(C3367,parametros!$B$2:$B$6,0)),""),"Sim","Nao"))))))</f>
        <v/>
      </c>
      <c r="T3367" s="156"/>
      <c r="U3367" s="214" t="str">
        <f t="shared" si="266"/>
        <v/>
      </c>
      <c r="V3367" s="212" t="s">
        <v>50</v>
      </c>
      <c r="W3367" s="100" t="s">
        <v>168</v>
      </c>
      <c r="X3367" s="100" t="s">
        <v>169</v>
      </c>
      <c r="Y3367" s="101" t="s">
        <v>170</v>
      </c>
      <c r="Z3367" s="101" t="s">
        <v>171</v>
      </c>
      <c r="AA3367" s="101" t="s">
        <v>50</v>
      </c>
      <c r="AB3367" s="101" t="s">
        <v>172</v>
      </c>
      <c r="AC3367" s="102" t="s">
        <v>173</v>
      </c>
    </row>
    <row r="3368" spans="1:29" ht="25.5" customHeight="1" x14ac:dyDescent="0.35">
      <c r="A3368" s="392"/>
      <c r="B3368" s="393"/>
      <c r="C3368" s="99" t="str">
        <f>IF(B3368="","",IF(NOT(ISNUMBER(B3368)),"DATA_PC invalida",IF(NOT(ISNUMBER(parametros!$C$2)),"Fora dos ciclos",IF(OR(B3368&lt;parametros!$C$2,(YEAR(B3368)-YEAR(parametros!$C$2))*12+MONTH(B3368)-MONTH(parametros!$C$2)&gt;59),"Fora dos ciclos","C"&amp;INT(((YEAR(B3368)-YEAR(parametros!$C$2))*12+MONTH(B3368)-MONTH(parametros!$C$2))/12)))))</f>
        <v/>
      </c>
      <c r="D3368" s="394"/>
      <c r="E3368" s="78" t="str">
        <f>IF(C3368="","",IFERROR(VLOOKUP(C3368,parametros!$A$11:$E$15,5,0),""))</f>
        <v/>
      </c>
      <c r="F3368" s="79" t="str">
        <f t="shared" si="262"/>
        <v/>
      </c>
      <c r="G3368" s="395"/>
      <c r="H3368" s="91">
        <f t="shared" si="263"/>
        <v>0</v>
      </c>
      <c r="I3368" s="91" t="str">
        <f t="shared" si="264"/>
        <v/>
      </c>
      <c r="J3368" s="91" t="str">
        <f t="shared" si="265"/>
        <v/>
      </c>
      <c r="K3368" s="92" t="str">
        <f>IF(AND(A3368="",B3368="",D3368="",G3368=""),"",IF(AND(A3368&lt;&gt;"",COUNTIF($A$2:$A$5001,A3368)&gt;1),"NUMERO_PC duplicado",IF(B3368="","DATA_PC vazia",IF(NOT(ISNUMBER(B3368)),"DATA_PC invalida",IF(OR(C3368="",C3368="Fora dos ciclos"),"CICLO_PC nao identificado",IF(OR(D3368="",D3368=0),"VALOR_PC vazio ou zero",IF(AND(G3368&lt;&gt;"Sim",G3368&lt;&gt;"Nao",G3368&lt;&gt;""),"PC_PAGO_A_CONTRATADA invalido",IF(AND(C3368&lt;&gt;"C0",IFERROR(INDEX(parametros!$A$2:$A$6,MATCH(C3368,parametros!$B$2:$B$6,0)),"")="Sim",IFERROR(INDEX(parametros!$H$2:$H$6,MATCH(C3368,parametros!$B$2:$B$6,0)),"")=""),"INICIO_EFEITO ausente: PC "&amp;A3368&amp;" - "&amp;C3368,IF(L3368="","EFEITO_PC nao calculado: PC "&amp;A3368&amp;" - "&amp;C3368,"OK")))))))))</f>
        <v/>
      </c>
      <c r="L3368" s="92" t="str">
        <f>IF(AND(A3368="",B3368="",D3368="",G3368=""),"",IF(OR(B3368="",NOT(ISNUMBER(B3368)),C3368="",C3368="Fora dos ciclos"),"",IF(C3368="C0","Nao",IF(IFERROR(INDEX(parametros!$A$2:$A$6,MATCH(C3368,parametros!$B$2:$B$6,0)),"")&lt;&gt;"Sim","Nao",IF(IFERROR(INDEX(parametros!$H$2:$H$6,MATCH(C3368,parametros!$B$2:$B$6,0)),"")="","",IF(B3368&gt;=IFERROR(INDEX(parametros!$H$2:$H$6,MATCH(C3368,parametros!$B$2:$B$6,0)),""),"Sim","Nao"))))))</f>
        <v/>
      </c>
      <c r="T3368" s="156"/>
      <c r="U3368" s="214" t="str">
        <f t="shared" si="266"/>
        <v/>
      </c>
      <c r="V3368" s="212" t="s">
        <v>50</v>
      </c>
      <c r="W3368" s="100" t="s">
        <v>168</v>
      </c>
      <c r="X3368" s="100" t="s">
        <v>169</v>
      </c>
      <c r="Y3368" s="101" t="s">
        <v>170</v>
      </c>
      <c r="Z3368" s="101" t="s">
        <v>171</v>
      </c>
      <c r="AA3368" s="101" t="s">
        <v>50</v>
      </c>
      <c r="AB3368" s="101" t="s">
        <v>172</v>
      </c>
      <c r="AC3368" s="102" t="s">
        <v>173</v>
      </c>
    </row>
    <row r="3369" spans="1:29" ht="25.5" customHeight="1" x14ac:dyDescent="0.35">
      <c r="A3369" s="392"/>
      <c r="B3369" s="393"/>
      <c r="C3369" s="99" t="str">
        <f>IF(B3369="","",IF(NOT(ISNUMBER(B3369)),"DATA_PC invalida",IF(NOT(ISNUMBER(parametros!$C$2)),"Fora dos ciclos",IF(OR(B3369&lt;parametros!$C$2,(YEAR(B3369)-YEAR(parametros!$C$2))*12+MONTH(B3369)-MONTH(parametros!$C$2)&gt;59),"Fora dos ciclos","C"&amp;INT(((YEAR(B3369)-YEAR(parametros!$C$2))*12+MONTH(B3369)-MONTH(parametros!$C$2))/12)))))</f>
        <v/>
      </c>
      <c r="D3369" s="394"/>
      <c r="E3369" s="78" t="str">
        <f>IF(C3369="","",IFERROR(VLOOKUP(C3369,parametros!$A$11:$E$15,5,0),""))</f>
        <v/>
      </c>
      <c r="F3369" s="79" t="str">
        <f t="shared" si="262"/>
        <v/>
      </c>
      <c r="G3369" s="395"/>
      <c r="H3369" s="91">
        <f t="shared" si="263"/>
        <v>0</v>
      </c>
      <c r="I3369" s="91" t="str">
        <f t="shared" si="264"/>
        <v/>
      </c>
      <c r="J3369" s="91" t="str">
        <f t="shared" si="265"/>
        <v/>
      </c>
      <c r="K3369" s="92" t="str">
        <f>IF(AND(A3369="",B3369="",D3369="",G3369=""),"",IF(AND(A3369&lt;&gt;"",COUNTIF($A$2:$A$5001,A3369)&gt;1),"NUMERO_PC duplicado",IF(B3369="","DATA_PC vazia",IF(NOT(ISNUMBER(B3369)),"DATA_PC invalida",IF(OR(C3369="",C3369="Fora dos ciclos"),"CICLO_PC nao identificado",IF(OR(D3369="",D3369=0),"VALOR_PC vazio ou zero",IF(AND(G3369&lt;&gt;"Sim",G3369&lt;&gt;"Nao",G3369&lt;&gt;""),"PC_PAGO_A_CONTRATADA invalido",IF(AND(C3369&lt;&gt;"C0",IFERROR(INDEX(parametros!$A$2:$A$6,MATCH(C3369,parametros!$B$2:$B$6,0)),"")="Sim",IFERROR(INDEX(parametros!$H$2:$H$6,MATCH(C3369,parametros!$B$2:$B$6,0)),"")=""),"INICIO_EFEITO ausente: PC "&amp;A3369&amp;" - "&amp;C3369,IF(L3369="","EFEITO_PC nao calculado: PC "&amp;A3369&amp;" - "&amp;C3369,"OK")))))))))</f>
        <v/>
      </c>
      <c r="L3369" s="92" t="str">
        <f>IF(AND(A3369="",B3369="",D3369="",G3369=""),"",IF(OR(B3369="",NOT(ISNUMBER(B3369)),C3369="",C3369="Fora dos ciclos"),"",IF(C3369="C0","Nao",IF(IFERROR(INDEX(parametros!$A$2:$A$6,MATCH(C3369,parametros!$B$2:$B$6,0)),"")&lt;&gt;"Sim","Nao",IF(IFERROR(INDEX(parametros!$H$2:$H$6,MATCH(C3369,parametros!$B$2:$B$6,0)),"")="","",IF(B3369&gt;=IFERROR(INDEX(parametros!$H$2:$H$6,MATCH(C3369,parametros!$B$2:$B$6,0)),""),"Sim","Nao"))))))</f>
        <v/>
      </c>
      <c r="T3369" s="156"/>
      <c r="U3369" s="214" t="str">
        <f t="shared" si="266"/>
        <v/>
      </c>
      <c r="V3369" s="212" t="s">
        <v>50</v>
      </c>
      <c r="W3369" s="100" t="s">
        <v>168</v>
      </c>
      <c r="X3369" s="100" t="s">
        <v>169</v>
      </c>
      <c r="Y3369" s="101" t="s">
        <v>170</v>
      </c>
      <c r="Z3369" s="101" t="s">
        <v>171</v>
      </c>
      <c r="AA3369" s="101" t="s">
        <v>50</v>
      </c>
      <c r="AB3369" s="101" t="s">
        <v>172</v>
      </c>
      <c r="AC3369" s="102" t="s">
        <v>173</v>
      </c>
    </row>
    <row r="3370" spans="1:29" ht="25.5" customHeight="1" x14ac:dyDescent="0.35">
      <c r="A3370" s="392"/>
      <c r="B3370" s="393"/>
      <c r="C3370" s="99" t="str">
        <f>IF(B3370="","",IF(NOT(ISNUMBER(B3370)),"DATA_PC invalida",IF(NOT(ISNUMBER(parametros!$C$2)),"Fora dos ciclos",IF(OR(B3370&lt;parametros!$C$2,(YEAR(B3370)-YEAR(parametros!$C$2))*12+MONTH(B3370)-MONTH(parametros!$C$2)&gt;59),"Fora dos ciclos","C"&amp;INT(((YEAR(B3370)-YEAR(parametros!$C$2))*12+MONTH(B3370)-MONTH(parametros!$C$2))/12)))))</f>
        <v/>
      </c>
      <c r="D3370" s="394"/>
      <c r="E3370" s="78" t="str">
        <f>IF(C3370="","",IFERROR(VLOOKUP(C3370,parametros!$A$11:$E$15,5,0),""))</f>
        <v/>
      </c>
      <c r="F3370" s="79" t="str">
        <f t="shared" si="262"/>
        <v/>
      </c>
      <c r="G3370" s="395"/>
      <c r="H3370" s="91">
        <f t="shared" si="263"/>
        <v>0</v>
      </c>
      <c r="I3370" s="91" t="str">
        <f t="shared" si="264"/>
        <v/>
      </c>
      <c r="J3370" s="91" t="str">
        <f t="shared" si="265"/>
        <v/>
      </c>
      <c r="K3370" s="92" t="str">
        <f>IF(AND(A3370="",B3370="",D3370="",G3370=""),"",IF(AND(A3370&lt;&gt;"",COUNTIF($A$2:$A$5001,A3370)&gt;1),"NUMERO_PC duplicado",IF(B3370="","DATA_PC vazia",IF(NOT(ISNUMBER(B3370)),"DATA_PC invalida",IF(OR(C3370="",C3370="Fora dos ciclos"),"CICLO_PC nao identificado",IF(OR(D3370="",D3370=0),"VALOR_PC vazio ou zero",IF(AND(G3370&lt;&gt;"Sim",G3370&lt;&gt;"Nao",G3370&lt;&gt;""),"PC_PAGO_A_CONTRATADA invalido",IF(AND(C3370&lt;&gt;"C0",IFERROR(INDEX(parametros!$A$2:$A$6,MATCH(C3370,parametros!$B$2:$B$6,0)),"")="Sim",IFERROR(INDEX(parametros!$H$2:$H$6,MATCH(C3370,parametros!$B$2:$B$6,0)),"")=""),"INICIO_EFEITO ausente: PC "&amp;A3370&amp;" - "&amp;C3370,IF(L3370="","EFEITO_PC nao calculado: PC "&amp;A3370&amp;" - "&amp;C3370,"OK")))))))))</f>
        <v/>
      </c>
      <c r="L3370" s="92" t="str">
        <f>IF(AND(A3370="",B3370="",D3370="",G3370=""),"",IF(OR(B3370="",NOT(ISNUMBER(B3370)),C3370="",C3370="Fora dos ciclos"),"",IF(C3370="C0","Nao",IF(IFERROR(INDEX(parametros!$A$2:$A$6,MATCH(C3370,parametros!$B$2:$B$6,0)),"")&lt;&gt;"Sim","Nao",IF(IFERROR(INDEX(parametros!$H$2:$H$6,MATCH(C3370,parametros!$B$2:$B$6,0)),"")="","",IF(B3370&gt;=IFERROR(INDEX(parametros!$H$2:$H$6,MATCH(C3370,parametros!$B$2:$B$6,0)),""),"Sim","Nao"))))))</f>
        <v/>
      </c>
      <c r="T3370" s="156"/>
      <c r="U3370" s="214" t="str">
        <f t="shared" si="266"/>
        <v/>
      </c>
      <c r="V3370" s="212" t="s">
        <v>50</v>
      </c>
      <c r="W3370" s="100" t="s">
        <v>168</v>
      </c>
      <c r="X3370" s="100" t="s">
        <v>169</v>
      </c>
      <c r="Y3370" s="101" t="s">
        <v>170</v>
      </c>
      <c r="Z3370" s="101" t="s">
        <v>171</v>
      </c>
      <c r="AA3370" s="101" t="s">
        <v>50</v>
      </c>
      <c r="AB3370" s="101" t="s">
        <v>172</v>
      </c>
      <c r="AC3370" s="102" t="s">
        <v>173</v>
      </c>
    </row>
    <row r="3371" spans="1:29" ht="25.5" customHeight="1" x14ac:dyDescent="0.35">
      <c r="A3371" s="392"/>
      <c r="B3371" s="393"/>
      <c r="C3371" s="99" t="str">
        <f>IF(B3371="","",IF(NOT(ISNUMBER(B3371)),"DATA_PC invalida",IF(NOT(ISNUMBER(parametros!$C$2)),"Fora dos ciclos",IF(OR(B3371&lt;parametros!$C$2,(YEAR(B3371)-YEAR(parametros!$C$2))*12+MONTH(B3371)-MONTH(parametros!$C$2)&gt;59),"Fora dos ciclos","C"&amp;INT(((YEAR(B3371)-YEAR(parametros!$C$2))*12+MONTH(B3371)-MONTH(parametros!$C$2))/12)))))</f>
        <v/>
      </c>
      <c r="D3371" s="394"/>
      <c r="E3371" s="78" t="str">
        <f>IF(C3371="","",IFERROR(VLOOKUP(C3371,parametros!$A$11:$E$15,5,0),""))</f>
        <v/>
      </c>
      <c r="F3371" s="79" t="str">
        <f t="shared" si="262"/>
        <v/>
      </c>
      <c r="G3371" s="395"/>
      <c r="H3371" s="91">
        <f t="shared" si="263"/>
        <v>0</v>
      </c>
      <c r="I3371" s="91" t="str">
        <f t="shared" si="264"/>
        <v/>
      </c>
      <c r="J3371" s="91" t="str">
        <f t="shared" si="265"/>
        <v/>
      </c>
      <c r="K3371" s="92" t="str">
        <f>IF(AND(A3371="",B3371="",D3371="",G3371=""),"",IF(AND(A3371&lt;&gt;"",COUNTIF($A$2:$A$5001,A3371)&gt;1),"NUMERO_PC duplicado",IF(B3371="","DATA_PC vazia",IF(NOT(ISNUMBER(B3371)),"DATA_PC invalida",IF(OR(C3371="",C3371="Fora dos ciclos"),"CICLO_PC nao identificado",IF(OR(D3371="",D3371=0),"VALOR_PC vazio ou zero",IF(AND(G3371&lt;&gt;"Sim",G3371&lt;&gt;"Nao",G3371&lt;&gt;""),"PC_PAGO_A_CONTRATADA invalido",IF(AND(C3371&lt;&gt;"C0",IFERROR(INDEX(parametros!$A$2:$A$6,MATCH(C3371,parametros!$B$2:$B$6,0)),"")="Sim",IFERROR(INDEX(parametros!$H$2:$H$6,MATCH(C3371,parametros!$B$2:$B$6,0)),"")=""),"INICIO_EFEITO ausente: PC "&amp;A3371&amp;" - "&amp;C3371,IF(L3371="","EFEITO_PC nao calculado: PC "&amp;A3371&amp;" - "&amp;C3371,"OK")))))))))</f>
        <v/>
      </c>
      <c r="L3371" s="92" t="str">
        <f>IF(AND(A3371="",B3371="",D3371="",G3371=""),"",IF(OR(B3371="",NOT(ISNUMBER(B3371)),C3371="",C3371="Fora dos ciclos"),"",IF(C3371="C0","Nao",IF(IFERROR(INDEX(parametros!$A$2:$A$6,MATCH(C3371,parametros!$B$2:$B$6,0)),"")&lt;&gt;"Sim","Nao",IF(IFERROR(INDEX(parametros!$H$2:$H$6,MATCH(C3371,parametros!$B$2:$B$6,0)),"")="","",IF(B3371&gt;=IFERROR(INDEX(parametros!$H$2:$H$6,MATCH(C3371,parametros!$B$2:$B$6,0)),""),"Sim","Nao"))))))</f>
        <v/>
      </c>
      <c r="T3371" s="156"/>
      <c r="U3371" s="214" t="str">
        <f t="shared" si="266"/>
        <v/>
      </c>
      <c r="V3371" s="212" t="s">
        <v>50</v>
      </c>
      <c r="W3371" s="100" t="s">
        <v>168</v>
      </c>
      <c r="X3371" s="100" t="s">
        <v>169</v>
      </c>
      <c r="Y3371" s="101" t="s">
        <v>170</v>
      </c>
      <c r="Z3371" s="101" t="s">
        <v>171</v>
      </c>
      <c r="AA3371" s="101" t="s">
        <v>50</v>
      </c>
      <c r="AB3371" s="101" t="s">
        <v>172</v>
      </c>
      <c r="AC3371" s="102" t="s">
        <v>173</v>
      </c>
    </row>
    <row r="3372" spans="1:29" ht="25.5" customHeight="1" x14ac:dyDescent="0.35">
      <c r="A3372" s="392"/>
      <c r="B3372" s="393"/>
      <c r="C3372" s="99" t="str">
        <f>IF(B3372="","",IF(NOT(ISNUMBER(B3372)),"DATA_PC invalida",IF(NOT(ISNUMBER(parametros!$C$2)),"Fora dos ciclos",IF(OR(B3372&lt;parametros!$C$2,(YEAR(B3372)-YEAR(parametros!$C$2))*12+MONTH(B3372)-MONTH(parametros!$C$2)&gt;59),"Fora dos ciclos","C"&amp;INT(((YEAR(B3372)-YEAR(parametros!$C$2))*12+MONTH(B3372)-MONTH(parametros!$C$2))/12)))))</f>
        <v/>
      </c>
      <c r="D3372" s="394"/>
      <c r="E3372" s="78" t="str">
        <f>IF(C3372="","",IFERROR(VLOOKUP(C3372,parametros!$A$11:$E$15,5,0),""))</f>
        <v/>
      </c>
      <c r="F3372" s="79" t="str">
        <f t="shared" si="262"/>
        <v/>
      </c>
      <c r="G3372" s="395"/>
      <c r="H3372" s="91">
        <f t="shared" si="263"/>
        <v>0</v>
      </c>
      <c r="I3372" s="91" t="str">
        <f t="shared" si="264"/>
        <v/>
      </c>
      <c r="J3372" s="91" t="str">
        <f t="shared" si="265"/>
        <v/>
      </c>
      <c r="K3372" s="92" t="str">
        <f>IF(AND(A3372="",B3372="",D3372="",G3372=""),"",IF(AND(A3372&lt;&gt;"",COUNTIF($A$2:$A$5001,A3372)&gt;1),"NUMERO_PC duplicado",IF(B3372="","DATA_PC vazia",IF(NOT(ISNUMBER(B3372)),"DATA_PC invalida",IF(OR(C3372="",C3372="Fora dos ciclos"),"CICLO_PC nao identificado",IF(OR(D3372="",D3372=0),"VALOR_PC vazio ou zero",IF(AND(G3372&lt;&gt;"Sim",G3372&lt;&gt;"Nao",G3372&lt;&gt;""),"PC_PAGO_A_CONTRATADA invalido",IF(AND(C3372&lt;&gt;"C0",IFERROR(INDEX(parametros!$A$2:$A$6,MATCH(C3372,parametros!$B$2:$B$6,0)),"")="Sim",IFERROR(INDEX(parametros!$H$2:$H$6,MATCH(C3372,parametros!$B$2:$B$6,0)),"")=""),"INICIO_EFEITO ausente: PC "&amp;A3372&amp;" - "&amp;C3372,IF(L3372="","EFEITO_PC nao calculado: PC "&amp;A3372&amp;" - "&amp;C3372,"OK")))))))))</f>
        <v/>
      </c>
      <c r="L3372" s="92" t="str">
        <f>IF(AND(A3372="",B3372="",D3372="",G3372=""),"",IF(OR(B3372="",NOT(ISNUMBER(B3372)),C3372="",C3372="Fora dos ciclos"),"",IF(C3372="C0","Nao",IF(IFERROR(INDEX(parametros!$A$2:$A$6,MATCH(C3372,parametros!$B$2:$B$6,0)),"")&lt;&gt;"Sim","Nao",IF(IFERROR(INDEX(parametros!$H$2:$H$6,MATCH(C3372,parametros!$B$2:$B$6,0)),"")="","",IF(B3372&gt;=IFERROR(INDEX(parametros!$H$2:$H$6,MATCH(C3372,parametros!$B$2:$B$6,0)),""),"Sim","Nao"))))))</f>
        <v/>
      </c>
      <c r="T3372" s="156"/>
      <c r="U3372" s="214" t="str">
        <f t="shared" si="266"/>
        <v/>
      </c>
      <c r="V3372" s="212" t="s">
        <v>50</v>
      </c>
      <c r="W3372" s="100" t="s">
        <v>168</v>
      </c>
      <c r="X3372" s="100" t="s">
        <v>169</v>
      </c>
      <c r="Y3372" s="101" t="s">
        <v>170</v>
      </c>
      <c r="Z3372" s="101" t="s">
        <v>171</v>
      </c>
      <c r="AA3372" s="101" t="s">
        <v>50</v>
      </c>
      <c r="AB3372" s="101" t="s">
        <v>172</v>
      </c>
      <c r="AC3372" s="102" t="s">
        <v>173</v>
      </c>
    </row>
    <row r="3373" spans="1:29" ht="25.5" customHeight="1" x14ac:dyDescent="0.35">
      <c r="A3373" s="392"/>
      <c r="B3373" s="393"/>
      <c r="C3373" s="99" t="str">
        <f>IF(B3373="","",IF(NOT(ISNUMBER(B3373)),"DATA_PC invalida",IF(NOT(ISNUMBER(parametros!$C$2)),"Fora dos ciclos",IF(OR(B3373&lt;parametros!$C$2,(YEAR(B3373)-YEAR(parametros!$C$2))*12+MONTH(B3373)-MONTH(parametros!$C$2)&gt;59),"Fora dos ciclos","C"&amp;INT(((YEAR(B3373)-YEAR(parametros!$C$2))*12+MONTH(B3373)-MONTH(parametros!$C$2))/12)))))</f>
        <v/>
      </c>
      <c r="D3373" s="394"/>
      <c r="E3373" s="78" t="str">
        <f>IF(C3373="","",IFERROR(VLOOKUP(C3373,parametros!$A$11:$E$15,5,0),""))</f>
        <v/>
      </c>
      <c r="F3373" s="79" t="str">
        <f t="shared" si="262"/>
        <v/>
      </c>
      <c r="G3373" s="395"/>
      <c r="H3373" s="91">
        <f t="shared" si="263"/>
        <v>0</v>
      </c>
      <c r="I3373" s="91" t="str">
        <f t="shared" si="264"/>
        <v/>
      </c>
      <c r="J3373" s="91" t="str">
        <f t="shared" si="265"/>
        <v/>
      </c>
      <c r="K3373" s="92" t="str">
        <f>IF(AND(A3373="",B3373="",D3373="",G3373=""),"",IF(AND(A3373&lt;&gt;"",COUNTIF($A$2:$A$5001,A3373)&gt;1),"NUMERO_PC duplicado",IF(B3373="","DATA_PC vazia",IF(NOT(ISNUMBER(B3373)),"DATA_PC invalida",IF(OR(C3373="",C3373="Fora dos ciclos"),"CICLO_PC nao identificado",IF(OR(D3373="",D3373=0),"VALOR_PC vazio ou zero",IF(AND(G3373&lt;&gt;"Sim",G3373&lt;&gt;"Nao",G3373&lt;&gt;""),"PC_PAGO_A_CONTRATADA invalido",IF(AND(C3373&lt;&gt;"C0",IFERROR(INDEX(parametros!$A$2:$A$6,MATCH(C3373,parametros!$B$2:$B$6,0)),"")="Sim",IFERROR(INDEX(parametros!$H$2:$H$6,MATCH(C3373,parametros!$B$2:$B$6,0)),"")=""),"INICIO_EFEITO ausente: PC "&amp;A3373&amp;" - "&amp;C3373,IF(L3373="","EFEITO_PC nao calculado: PC "&amp;A3373&amp;" - "&amp;C3373,"OK")))))))))</f>
        <v/>
      </c>
      <c r="L3373" s="92" t="str">
        <f>IF(AND(A3373="",B3373="",D3373="",G3373=""),"",IF(OR(B3373="",NOT(ISNUMBER(B3373)),C3373="",C3373="Fora dos ciclos"),"",IF(C3373="C0","Nao",IF(IFERROR(INDEX(parametros!$A$2:$A$6,MATCH(C3373,parametros!$B$2:$B$6,0)),"")&lt;&gt;"Sim","Nao",IF(IFERROR(INDEX(parametros!$H$2:$H$6,MATCH(C3373,parametros!$B$2:$B$6,0)),"")="","",IF(B3373&gt;=IFERROR(INDEX(parametros!$H$2:$H$6,MATCH(C3373,parametros!$B$2:$B$6,0)),""),"Sim","Nao"))))))</f>
        <v/>
      </c>
      <c r="T3373" s="156"/>
      <c r="U3373" s="214" t="str">
        <f t="shared" si="266"/>
        <v/>
      </c>
      <c r="V3373" s="212" t="s">
        <v>50</v>
      </c>
      <c r="W3373" s="100" t="s">
        <v>168</v>
      </c>
      <c r="X3373" s="100" t="s">
        <v>169</v>
      </c>
      <c r="Y3373" s="101" t="s">
        <v>170</v>
      </c>
      <c r="Z3373" s="101" t="s">
        <v>171</v>
      </c>
      <c r="AA3373" s="101" t="s">
        <v>50</v>
      </c>
      <c r="AB3373" s="101" t="s">
        <v>172</v>
      </c>
      <c r="AC3373" s="102" t="s">
        <v>173</v>
      </c>
    </row>
    <row r="3374" spans="1:29" ht="25.5" customHeight="1" x14ac:dyDescent="0.35">
      <c r="A3374" s="392"/>
      <c r="B3374" s="393"/>
      <c r="C3374" s="99" t="str">
        <f>IF(B3374="","",IF(NOT(ISNUMBER(B3374)),"DATA_PC invalida",IF(NOT(ISNUMBER(parametros!$C$2)),"Fora dos ciclos",IF(OR(B3374&lt;parametros!$C$2,(YEAR(B3374)-YEAR(parametros!$C$2))*12+MONTH(B3374)-MONTH(parametros!$C$2)&gt;59),"Fora dos ciclos","C"&amp;INT(((YEAR(B3374)-YEAR(parametros!$C$2))*12+MONTH(B3374)-MONTH(parametros!$C$2))/12)))))</f>
        <v/>
      </c>
      <c r="D3374" s="394"/>
      <c r="E3374" s="78" t="str">
        <f>IF(C3374="","",IFERROR(VLOOKUP(C3374,parametros!$A$11:$E$15,5,0),""))</f>
        <v/>
      </c>
      <c r="F3374" s="79" t="str">
        <f t="shared" si="262"/>
        <v/>
      </c>
      <c r="G3374" s="395"/>
      <c r="H3374" s="91">
        <f t="shared" si="263"/>
        <v>0</v>
      </c>
      <c r="I3374" s="91" t="str">
        <f t="shared" si="264"/>
        <v/>
      </c>
      <c r="J3374" s="91" t="str">
        <f t="shared" si="265"/>
        <v/>
      </c>
      <c r="K3374" s="92" t="str">
        <f>IF(AND(A3374="",B3374="",D3374="",G3374=""),"",IF(AND(A3374&lt;&gt;"",COUNTIF($A$2:$A$5001,A3374)&gt;1),"NUMERO_PC duplicado",IF(B3374="","DATA_PC vazia",IF(NOT(ISNUMBER(B3374)),"DATA_PC invalida",IF(OR(C3374="",C3374="Fora dos ciclos"),"CICLO_PC nao identificado",IF(OR(D3374="",D3374=0),"VALOR_PC vazio ou zero",IF(AND(G3374&lt;&gt;"Sim",G3374&lt;&gt;"Nao",G3374&lt;&gt;""),"PC_PAGO_A_CONTRATADA invalido",IF(AND(C3374&lt;&gt;"C0",IFERROR(INDEX(parametros!$A$2:$A$6,MATCH(C3374,parametros!$B$2:$B$6,0)),"")="Sim",IFERROR(INDEX(parametros!$H$2:$H$6,MATCH(C3374,parametros!$B$2:$B$6,0)),"")=""),"INICIO_EFEITO ausente: PC "&amp;A3374&amp;" - "&amp;C3374,IF(L3374="","EFEITO_PC nao calculado: PC "&amp;A3374&amp;" - "&amp;C3374,"OK")))))))))</f>
        <v/>
      </c>
      <c r="L3374" s="92" t="str">
        <f>IF(AND(A3374="",B3374="",D3374="",G3374=""),"",IF(OR(B3374="",NOT(ISNUMBER(B3374)),C3374="",C3374="Fora dos ciclos"),"",IF(C3374="C0","Nao",IF(IFERROR(INDEX(parametros!$A$2:$A$6,MATCH(C3374,parametros!$B$2:$B$6,0)),"")&lt;&gt;"Sim","Nao",IF(IFERROR(INDEX(parametros!$H$2:$H$6,MATCH(C3374,parametros!$B$2:$B$6,0)),"")="","",IF(B3374&gt;=IFERROR(INDEX(parametros!$H$2:$H$6,MATCH(C3374,parametros!$B$2:$B$6,0)),""),"Sim","Nao"))))))</f>
        <v/>
      </c>
      <c r="T3374" s="156"/>
      <c r="U3374" s="214" t="str">
        <f t="shared" si="266"/>
        <v/>
      </c>
      <c r="V3374" s="212" t="s">
        <v>50</v>
      </c>
      <c r="W3374" s="100" t="s">
        <v>168</v>
      </c>
      <c r="X3374" s="100" t="s">
        <v>169</v>
      </c>
      <c r="Y3374" s="101" t="s">
        <v>170</v>
      </c>
      <c r="Z3374" s="101" t="s">
        <v>171</v>
      </c>
      <c r="AA3374" s="101" t="s">
        <v>50</v>
      </c>
      <c r="AB3374" s="101" t="s">
        <v>172</v>
      </c>
      <c r="AC3374" s="102" t="s">
        <v>173</v>
      </c>
    </row>
    <row r="3375" spans="1:29" ht="25.5" customHeight="1" x14ac:dyDescent="0.35">
      <c r="A3375" s="392"/>
      <c r="B3375" s="393"/>
      <c r="C3375" s="99" t="str">
        <f>IF(B3375="","",IF(NOT(ISNUMBER(B3375)),"DATA_PC invalida",IF(NOT(ISNUMBER(parametros!$C$2)),"Fora dos ciclos",IF(OR(B3375&lt;parametros!$C$2,(YEAR(B3375)-YEAR(parametros!$C$2))*12+MONTH(B3375)-MONTH(parametros!$C$2)&gt;59),"Fora dos ciclos","C"&amp;INT(((YEAR(B3375)-YEAR(parametros!$C$2))*12+MONTH(B3375)-MONTH(parametros!$C$2))/12)))))</f>
        <v/>
      </c>
      <c r="D3375" s="394"/>
      <c r="E3375" s="78" t="str">
        <f>IF(C3375="","",IFERROR(VLOOKUP(C3375,parametros!$A$11:$E$15,5,0),""))</f>
        <v/>
      </c>
      <c r="F3375" s="79" t="str">
        <f t="shared" si="262"/>
        <v/>
      </c>
      <c r="G3375" s="395"/>
      <c r="H3375" s="91">
        <f t="shared" si="263"/>
        <v>0</v>
      </c>
      <c r="I3375" s="91" t="str">
        <f t="shared" si="264"/>
        <v/>
      </c>
      <c r="J3375" s="91" t="str">
        <f t="shared" si="265"/>
        <v/>
      </c>
      <c r="K3375" s="92" t="str">
        <f>IF(AND(A3375="",B3375="",D3375="",G3375=""),"",IF(AND(A3375&lt;&gt;"",COUNTIF($A$2:$A$5001,A3375)&gt;1),"NUMERO_PC duplicado",IF(B3375="","DATA_PC vazia",IF(NOT(ISNUMBER(B3375)),"DATA_PC invalida",IF(OR(C3375="",C3375="Fora dos ciclos"),"CICLO_PC nao identificado",IF(OR(D3375="",D3375=0),"VALOR_PC vazio ou zero",IF(AND(G3375&lt;&gt;"Sim",G3375&lt;&gt;"Nao",G3375&lt;&gt;""),"PC_PAGO_A_CONTRATADA invalido",IF(AND(C3375&lt;&gt;"C0",IFERROR(INDEX(parametros!$A$2:$A$6,MATCH(C3375,parametros!$B$2:$B$6,0)),"")="Sim",IFERROR(INDEX(parametros!$H$2:$H$6,MATCH(C3375,parametros!$B$2:$B$6,0)),"")=""),"INICIO_EFEITO ausente: PC "&amp;A3375&amp;" - "&amp;C3375,IF(L3375="","EFEITO_PC nao calculado: PC "&amp;A3375&amp;" - "&amp;C3375,"OK")))))))))</f>
        <v/>
      </c>
      <c r="L3375" s="92" t="str">
        <f>IF(AND(A3375="",B3375="",D3375="",G3375=""),"",IF(OR(B3375="",NOT(ISNUMBER(B3375)),C3375="",C3375="Fora dos ciclos"),"",IF(C3375="C0","Nao",IF(IFERROR(INDEX(parametros!$A$2:$A$6,MATCH(C3375,parametros!$B$2:$B$6,0)),"")&lt;&gt;"Sim","Nao",IF(IFERROR(INDEX(parametros!$H$2:$H$6,MATCH(C3375,parametros!$B$2:$B$6,0)),"")="","",IF(B3375&gt;=IFERROR(INDEX(parametros!$H$2:$H$6,MATCH(C3375,parametros!$B$2:$B$6,0)),""),"Sim","Nao"))))))</f>
        <v/>
      </c>
      <c r="T3375" s="156"/>
      <c r="U3375" s="214" t="str">
        <f t="shared" si="266"/>
        <v/>
      </c>
      <c r="V3375" s="212" t="s">
        <v>50</v>
      </c>
      <c r="W3375" s="100" t="s">
        <v>168</v>
      </c>
      <c r="X3375" s="100" t="s">
        <v>169</v>
      </c>
      <c r="Y3375" s="101" t="s">
        <v>170</v>
      </c>
      <c r="Z3375" s="101" t="s">
        <v>171</v>
      </c>
      <c r="AA3375" s="101" t="s">
        <v>50</v>
      </c>
      <c r="AB3375" s="101" t="s">
        <v>172</v>
      </c>
      <c r="AC3375" s="102" t="s">
        <v>173</v>
      </c>
    </row>
    <row r="3376" spans="1:29" ht="25.5" customHeight="1" x14ac:dyDescent="0.35">
      <c r="A3376" s="392"/>
      <c r="B3376" s="393"/>
      <c r="C3376" s="99" t="str">
        <f>IF(B3376="","",IF(NOT(ISNUMBER(B3376)),"DATA_PC invalida",IF(NOT(ISNUMBER(parametros!$C$2)),"Fora dos ciclos",IF(OR(B3376&lt;parametros!$C$2,(YEAR(B3376)-YEAR(parametros!$C$2))*12+MONTH(B3376)-MONTH(parametros!$C$2)&gt;59),"Fora dos ciclos","C"&amp;INT(((YEAR(B3376)-YEAR(parametros!$C$2))*12+MONTH(B3376)-MONTH(parametros!$C$2))/12)))))</f>
        <v/>
      </c>
      <c r="D3376" s="394"/>
      <c r="E3376" s="78" t="str">
        <f>IF(C3376="","",IFERROR(VLOOKUP(C3376,parametros!$A$11:$E$15,5,0),""))</f>
        <v/>
      </c>
      <c r="F3376" s="79" t="str">
        <f t="shared" si="262"/>
        <v/>
      </c>
      <c r="G3376" s="395"/>
      <c r="H3376" s="91">
        <f t="shared" si="263"/>
        <v>0</v>
      </c>
      <c r="I3376" s="91" t="str">
        <f t="shared" si="264"/>
        <v/>
      </c>
      <c r="J3376" s="91" t="str">
        <f t="shared" si="265"/>
        <v/>
      </c>
      <c r="K3376" s="92" t="str">
        <f>IF(AND(A3376="",B3376="",D3376="",G3376=""),"",IF(AND(A3376&lt;&gt;"",COUNTIF($A$2:$A$5001,A3376)&gt;1),"NUMERO_PC duplicado",IF(B3376="","DATA_PC vazia",IF(NOT(ISNUMBER(B3376)),"DATA_PC invalida",IF(OR(C3376="",C3376="Fora dos ciclos"),"CICLO_PC nao identificado",IF(OR(D3376="",D3376=0),"VALOR_PC vazio ou zero",IF(AND(G3376&lt;&gt;"Sim",G3376&lt;&gt;"Nao",G3376&lt;&gt;""),"PC_PAGO_A_CONTRATADA invalido",IF(AND(C3376&lt;&gt;"C0",IFERROR(INDEX(parametros!$A$2:$A$6,MATCH(C3376,parametros!$B$2:$B$6,0)),"")="Sim",IFERROR(INDEX(parametros!$H$2:$H$6,MATCH(C3376,parametros!$B$2:$B$6,0)),"")=""),"INICIO_EFEITO ausente: PC "&amp;A3376&amp;" - "&amp;C3376,IF(L3376="","EFEITO_PC nao calculado: PC "&amp;A3376&amp;" - "&amp;C3376,"OK")))))))))</f>
        <v/>
      </c>
      <c r="L3376" s="92" t="str">
        <f>IF(AND(A3376="",B3376="",D3376="",G3376=""),"",IF(OR(B3376="",NOT(ISNUMBER(B3376)),C3376="",C3376="Fora dos ciclos"),"",IF(C3376="C0","Nao",IF(IFERROR(INDEX(parametros!$A$2:$A$6,MATCH(C3376,parametros!$B$2:$B$6,0)),"")&lt;&gt;"Sim","Nao",IF(IFERROR(INDEX(parametros!$H$2:$H$6,MATCH(C3376,parametros!$B$2:$B$6,0)),"")="","",IF(B3376&gt;=IFERROR(INDEX(parametros!$H$2:$H$6,MATCH(C3376,parametros!$B$2:$B$6,0)),""),"Sim","Nao"))))))</f>
        <v/>
      </c>
      <c r="T3376" s="156"/>
      <c r="U3376" s="214" t="str">
        <f t="shared" si="266"/>
        <v/>
      </c>
      <c r="V3376" s="212" t="s">
        <v>50</v>
      </c>
      <c r="W3376" s="100" t="s">
        <v>168</v>
      </c>
      <c r="X3376" s="100" t="s">
        <v>169</v>
      </c>
      <c r="Y3376" s="101" t="s">
        <v>170</v>
      </c>
      <c r="Z3376" s="101" t="s">
        <v>171</v>
      </c>
      <c r="AA3376" s="101" t="s">
        <v>50</v>
      </c>
      <c r="AB3376" s="101" t="s">
        <v>172</v>
      </c>
      <c r="AC3376" s="102" t="s">
        <v>173</v>
      </c>
    </row>
    <row r="3377" spans="1:29" ht="25.5" customHeight="1" x14ac:dyDescent="0.35">
      <c r="A3377" s="392"/>
      <c r="B3377" s="393"/>
      <c r="C3377" s="99" t="str">
        <f>IF(B3377="","",IF(NOT(ISNUMBER(B3377)),"DATA_PC invalida",IF(NOT(ISNUMBER(parametros!$C$2)),"Fora dos ciclos",IF(OR(B3377&lt;parametros!$C$2,(YEAR(B3377)-YEAR(parametros!$C$2))*12+MONTH(B3377)-MONTH(parametros!$C$2)&gt;59),"Fora dos ciclos","C"&amp;INT(((YEAR(B3377)-YEAR(parametros!$C$2))*12+MONTH(B3377)-MONTH(parametros!$C$2))/12)))))</f>
        <v/>
      </c>
      <c r="D3377" s="394"/>
      <c r="E3377" s="78" t="str">
        <f>IF(C3377="","",IFERROR(VLOOKUP(C3377,parametros!$A$11:$E$15,5,0),""))</f>
        <v/>
      </c>
      <c r="F3377" s="79" t="str">
        <f t="shared" si="262"/>
        <v/>
      </c>
      <c r="G3377" s="395"/>
      <c r="H3377" s="91">
        <f t="shared" si="263"/>
        <v>0</v>
      </c>
      <c r="I3377" s="91" t="str">
        <f t="shared" si="264"/>
        <v/>
      </c>
      <c r="J3377" s="91" t="str">
        <f t="shared" si="265"/>
        <v/>
      </c>
      <c r="K3377" s="92" t="str">
        <f>IF(AND(A3377="",B3377="",D3377="",G3377=""),"",IF(AND(A3377&lt;&gt;"",COUNTIF($A$2:$A$5001,A3377)&gt;1),"NUMERO_PC duplicado",IF(B3377="","DATA_PC vazia",IF(NOT(ISNUMBER(B3377)),"DATA_PC invalida",IF(OR(C3377="",C3377="Fora dos ciclos"),"CICLO_PC nao identificado",IF(OR(D3377="",D3377=0),"VALOR_PC vazio ou zero",IF(AND(G3377&lt;&gt;"Sim",G3377&lt;&gt;"Nao",G3377&lt;&gt;""),"PC_PAGO_A_CONTRATADA invalido",IF(AND(C3377&lt;&gt;"C0",IFERROR(INDEX(parametros!$A$2:$A$6,MATCH(C3377,parametros!$B$2:$B$6,0)),"")="Sim",IFERROR(INDEX(parametros!$H$2:$H$6,MATCH(C3377,parametros!$B$2:$B$6,0)),"")=""),"INICIO_EFEITO ausente: PC "&amp;A3377&amp;" - "&amp;C3377,IF(L3377="","EFEITO_PC nao calculado: PC "&amp;A3377&amp;" - "&amp;C3377,"OK")))))))))</f>
        <v/>
      </c>
      <c r="L3377" s="92" t="str">
        <f>IF(AND(A3377="",B3377="",D3377="",G3377=""),"",IF(OR(B3377="",NOT(ISNUMBER(B3377)),C3377="",C3377="Fora dos ciclos"),"",IF(C3377="C0","Nao",IF(IFERROR(INDEX(parametros!$A$2:$A$6,MATCH(C3377,parametros!$B$2:$B$6,0)),"")&lt;&gt;"Sim","Nao",IF(IFERROR(INDEX(parametros!$H$2:$H$6,MATCH(C3377,parametros!$B$2:$B$6,0)),"")="","",IF(B3377&gt;=IFERROR(INDEX(parametros!$H$2:$H$6,MATCH(C3377,parametros!$B$2:$B$6,0)),""),"Sim","Nao"))))))</f>
        <v/>
      </c>
      <c r="T3377" s="156"/>
      <c r="U3377" s="214" t="str">
        <f t="shared" si="266"/>
        <v/>
      </c>
      <c r="V3377" s="212" t="s">
        <v>50</v>
      </c>
      <c r="W3377" s="100" t="s">
        <v>168</v>
      </c>
      <c r="X3377" s="100" t="s">
        <v>169</v>
      </c>
      <c r="Y3377" s="101" t="s">
        <v>170</v>
      </c>
      <c r="Z3377" s="101" t="s">
        <v>171</v>
      </c>
      <c r="AA3377" s="101" t="s">
        <v>50</v>
      </c>
      <c r="AB3377" s="101" t="s">
        <v>172</v>
      </c>
      <c r="AC3377" s="102" t="s">
        <v>173</v>
      </c>
    </row>
    <row r="3378" spans="1:29" ht="25.5" customHeight="1" x14ac:dyDescent="0.35">
      <c r="A3378" s="392"/>
      <c r="B3378" s="393"/>
      <c r="C3378" s="99" t="str">
        <f>IF(B3378="","",IF(NOT(ISNUMBER(B3378)),"DATA_PC invalida",IF(NOT(ISNUMBER(parametros!$C$2)),"Fora dos ciclos",IF(OR(B3378&lt;parametros!$C$2,(YEAR(B3378)-YEAR(parametros!$C$2))*12+MONTH(B3378)-MONTH(parametros!$C$2)&gt;59),"Fora dos ciclos","C"&amp;INT(((YEAR(B3378)-YEAR(parametros!$C$2))*12+MONTH(B3378)-MONTH(parametros!$C$2))/12)))))</f>
        <v/>
      </c>
      <c r="D3378" s="394"/>
      <c r="E3378" s="78" t="str">
        <f>IF(C3378="","",IFERROR(VLOOKUP(C3378,parametros!$A$11:$E$15,5,0),""))</f>
        <v/>
      </c>
      <c r="F3378" s="79" t="str">
        <f t="shared" si="262"/>
        <v/>
      </c>
      <c r="G3378" s="395"/>
      <c r="H3378" s="91">
        <f t="shared" si="263"/>
        <v>0</v>
      </c>
      <c r="I3378" s="91" t="str">
        <f t="shared" si="264"/>
        <v/>
      </c>
      <c r="J3378" s="91" t="str">
        <f t="shared" si="265"/>
        <v/>
      </c>
      <c r="K3378" s="92" t="str">
        <f>IF(AND(A3378="",B3378="",D3378="",G3378=""),"",IF(AND(A3378&lt;&gt;"",COUNTIF($A$2:$A$5001,A3378)&gt;1),"NUMERO_PC duplicado",IF(B3378="","DATA_PC vazia",IF(NOT(ISNUMBER(B3378)),"DATA_PC invalida",IF(OR(C3378="",C3378="Fora dos ciclos"),"CICLO_PC nao identificado",IF(OR(D3378="",D3378=0),"VALOR_PC vazio ou zero",IF(AND(G3378&lt;&gt;"Sim",G3378&lt;&gt;"Nao",G3378&lt;&gt;""),"PC_PAGO_A_CONTRATADA invalido",IF(AND(C3378&lt;&gt;"C0",IFERROR(INDEX(parametros!$A$2:$A$6,MATCH(C3378,parametros!$B$2:$B$6,0)),"")="Sim",IFERROR(INDEX(parametros!$H$2:$H$6,MATCH(C3378,parametros!$B$2:$B$6,0)),"")=""),"INICIO_EFEITO ausente: PC "&amp;A3378&amp;" - "&amp;C3378,IF(L3378="","EFEITO_PC nao calculado: PC "&amp;A3378&amp;" - "&amp;C3378,"OK")))))))))</f>
        <v/>
      </c>
      <c r="L3378" s="92" t="str">
        <f>IF(AND(A3378="",B3378="",D3378="",G3378=""),"",IF(OR(B3378="",NOT(ISNUMBER(B3378)),C3378="",C3378="Fora dos ciclos"),"",IF(C3378="C0","Nao",IF(IFERROR(INDEX(parametros!$A$2:$A$6,MATCH(C3378,parametros!$B$2:$B$6,0)),"")&lt;&gt;"Sim","Nao",IF(IFERROR(INDEX(parametros!$H$2:$H$6,MATCH(C3378,parametros!$B$2:$B$6,0)),"")="","",IF(B3378&gt;=IFERROR(INDEX(parametros!$H$2:$H$6,MATCH(C3378,parametros!$B$2:$B$6,0)),""),"Sim","Nao"))))))</f>
        <v/>
      </c>
      <c r="T3378" s="156"/>
      <c r="U3378" s="214" t="str">
        <f t="shared" si="266"/>
        <v/>
      </c>
      <c r="V3378" s="212" t="s">
        <v>50</v>
      </c>
      <c r="W3378" s="100" t="s">
        <v>168</v>
      </c>
      <c r="X3378" s="100" t="s">
        <v>169</v>
      </c>
      <c r="Y3378" s="101" t="s">
        <v>170</v>
      </c>
      <c r="Z3378" s="101" t="s">
        <v>171</v>
      </c>
      <c r="AA3378" s="101" t="s">
        <v>50</v>
      </c>
      <c r="AB3378" s="101" t="s">
        <v>172</v>
      </c>
      <c r="AC3378" s="102" t="s">
        <v>173</v>
      </c>
    </row>
    <row r="3379" spans="1:29" ht="25.5" customHeight="1" x14ac:dyDescent="0.35">
      <c r="A3379" s="392"/>
      <c r="B3379" s="393"/>
      <c r="C3379" s="99" t="str">
        <f>IF(B3379="","",IF(NOT(ISNUMBER(B3379)),"DATA_PC invalida",IF(NOT(ISNUMBER(parametros!$C$2)),"Fora dos ciclos",IF(OR(B3379&lt;parametros!$C$2,(YEAR(B3379)-YEAR(parametros!$C$2))*12+MONTH(B3379)-MONTH(parametros!$C$2)&gt;59),"Fora dos ciclos","C"&amp;INT(((YEAR(B3379)-YEAR(parametros!$C$2))*12+MONTH(B3379)-MONTH(parametros!$C$2))/12)))))</f>
        <v/>
      </c>
      <c r="D3379" s="394"/>
      <c r="E3379" s="78" t="str">
        <f>IF(C3379="","",IFERROR(VLOOKUP(C3379,parametros!$A$11:$E$15,5,0),""))</f>
        <v/>
      </c>
      <c r="F3379" s="79" t="str">
        <f t="shared" si="262"/>
        <v/>
      </c>
      <c r="G3379" s="395"/>
      <c r="H3379" s="91">
        <f t="shared" si="263"/>
        <v>0</v>
      </c>
      <c r="I3379" s="91" t="str">
        <f t="shared" si="264"/>
        <v/>
      </c>
      <c r="J3379" s="91" t="str">
        <f t="shared" si="265"/>
        <v/>
      </c>
      <c r="K3379" s="92" t="str">
        <f>IF(AND(A3379="",B3379="",D3379="",G3379=""),"",IF(AND(A3379&lt;&gt;"",COUNTIF($A$2:$A$5001,A3379)&gt;1),"NUMERO_PC duplicado",IF(B3379="","DATA_PC vazia",IF(NOT(ISNUMBER(B3379)),"DATA_PC invalida",IF(OR(C3379="",C3379="Fora dos ciclos"),"CICLO_PC nao identificado",IF(OR(D3379="",D3379=0),"VALOR_PC vazio ou zero",IF(AND(G3379&lt;&gt;"Sim",G3379&lt;&gt;"Nao",G3379&lt;&gt;""),"PC_PAGO_A_CONTRATADA invalido",IF(AND(C3379&lt;&gt;"C0",IFERROR(INDEX(parametros!$A$2:$A$6,MATCH(C3379,parametros!$B$2:$B$6,0)),"")="Sim",IFERROR(INDEX(parametros!$H$2:$H$6,MATCH(C3379,parametros!$B$2:$B$6,0)),"")=""),"INICIO_EFEITO ausente: PC "&amp;A3379&amp;" - "&amp;C3379,IF(L3379="","EFEITO_PC nao calculado: PC "&amp;A3379&amp;" - "&amp;C3379,"OK")))))))))</f>
        <v/>
      </c>
      <c r="L3379" s="92" t="str">
        <f>IF(AND(A3379="",B3379="",D3379="",G3379=""),"",IF(OR(B3379="",NOT(ISNUMBER(B3379)),C3379="",C3379="Fora dos ciclos"),"",IF(C3379="C0","Nao",IF(IFERROR(INDEX(parametros!$A$2:$A$6,MATCH(C3379,parametros!$B$2:$B$6,0)),"")&lt;&gt;"Sim","Nao",IF(IFERROR(INDEX(parametros!$H$2:$H$6,MATCH(C3379,parametros!$B$2:$B$6,0)),"")="","",IF(B3379&gt;=IFERROR(INDEX(parametros!$H$2:$H$6,MATCH(C3379,parametros!$B$2:$B$6,0)),""),"Sim","Nao"))))))</f>
        <v/>
      </c>
      <c r="T3379" s="156"/>
      <c r="U3379" s="214" t="str">
        <f t="shared" si="266"/>
        <v/>
      </c>
      <c r="V3379" s="212" t="s">
        <v>50</v>
      </c>
      <c r="W3379" s="100" t="s">
        <v>168</v>
      </c>
      <c r="X3379" s="100" t="s">
        <v>169</v>
      </c>
      <c r="Y3379" s="101" t="s">
        <v>170</v>
      </c>
      <c r="Z3379" s="101" t="s">
        <v>171</v>
      </c>
      <c r="AA3379" s="101" t="s">
        <v>50</v>
      </c>
      <c r="AB3379" s="101" t="s">
        <v>172</v>
      </c>
      <c r="AC3379" s="102" t="s">
        <v>173</v>
      </c>
    </row>
    <row r="3380" spans="1:29" ht="25.5" customHeight="1" x14ac:dyDescent="0.35">
      <c r="A3380" s="392"/>
      <c r="B3380" s="393"/>
      <c r="C3380" s="99" t="str">
        <f>IF(B3380="","",IF(NOT(ISNUMBER(B3380)),"DATA_PC invalida",IF(NOT(ISNUMBER(parametros!$C$2)),"Fora dos ciclos",IF(OR(B3380&lt;parametros!$C$2,(YEAR(B3380)-YEAR(parametros!$C$2))*12+MONTH(B3380)-MONTH(parametros!$C$2)&gt;59),"Fora dos ciclos","C"&amp;INT(((YEAR(B3380)-YEAR(parametros!$C$2))*12+MONTH(B3380)-MONTH(parametros!$C$2))/12)))))</f>
        <v/>
      </c>
      <c r="D3380" s="394"/>
      <c r="E3380" s="78" t="str">
        <f>IF(C3380="","",IFERROR(VLOOKUP(C3380,parametros!$A$11:$E$15,5,0),""))</f>
        <v/>
      </c>
      <c r="F3380" s="79" t="str">
        <f t="shared" si="262"/>
        <v/>
      </c>
      <c r="G3380" s="395"/>
      <c r="H3380" s="91">
        <f t="shared" si="263"/>
        <v>0</v>
      </c>
      <c r="I3380" s="91" t="str">
        <f t="shared" si="264"/>
        <v/>
      </c>
      <c r="J3380" s="91" t="str">
        <f t="shared" si="265"/>
        <v/>
      </c>
      <c r="K3380" s="92" t="str">
        <f>IF(AND(A3380="",B3380="",D3380="",G3380=""),"",IF(AND(A3380&lt;&gt;"",COUNTIF($A$2:$A$5001,A3380)&gt;1),"NUMERO_PC duplicado",IF(B3380="","DATA_PC vazia",IF(NOT(ISNUMBER(B3380)),"DATA_PC invalida",IF(OR(C3380="",C3380="Fora dos ciclos"),"CICLO_PC nao identificado",IF(OR(D3380="",D3380=0),"VALOR_PC vazio ou zero",IF(AND(G3380&lt;&gt;"Sim",G3380&lt;&gt;"Nao",G3380&lt;&gt;""),"PC_PAGO_A_CONTRATADA invalido",IF(AND(C3380&lt;&gt;"C0",IFERROR(INDEX(parametros!$A$2:$A$6,MATCH(C3380,parametros!$B$2:$B$6,0)),"")="Sim",IFERROR(INDEX(parametros!$H$2:$H$6,MATCH(C3380,parametros!$B$2:$B$6,0)),"")=""),"INICIO_EFEITO ausente: PC "&amp;A3380&amp;" - "&amp;C3380,IF(L3380="","EFEITO_PC nao calculado: PC "&amp;A3380&amp;" - "&amp;C3380,"OK")))))))))</f>
        <v/>
      </c>
      <c r="L3380" s="92" t="str">
        <f>IF(AND(A3380="",B3380="",D3380="",G3380=""),"",IF(OR(B3380="",NOT(ISNUMBER(B3380)),C3380="",C3380="Fora dos ciclos"),"",IF(C3380="C0","Nao",IF(IFERROR(INDEX(parametros!$A$2:$A$6,MATCH(C3380,parametros!$B$2:$B$6,0)),"")&lt;&gt;"Sim","Nao",IF(IFERROR(INDEX(parametros!$H$2:$H$6,MATCH(C3380,parametros!$B$2:$B$6,0)),"")="","",IF(B3380&gt;=IFERROR(INDEX(parametros!$H$2:$H$6,MATCH(C3380,parametros!$B$2:$B$6,0)),""),"Sim","Nao"))))))</f>
        <v/>
      </c>
      <c r="T3380" s="156"/>
      <c r="U3380" s="214" t="str">
        <f t="shared" si="266"/>
        <v/>
      </c>
      <c r="V3380" s="212" t="s">
        <v>50</v>
      </c>
      <c r="W3380" s="100" t="s">
        <v>168</v>
      </c>
      <c r="X3380" s="100" t="s">
        <v>169</v>
      </c>
      <c r="Y3380" s="101" t="s">
        <v>170</v>
      </c>
      <c r="Z3380" s="101" t="s">
        <v>171</v>
      </c>
      <c r="AA3380" s="101" t="s">
        <v>50</v>
      </c>
      <c r="AB3380" s="101" t="s">
        <v>172</v>
      </c>
      <c r="AC3380" s="102" t="s">
        <v>173</v>
      </c>
    </row>
    <row r="3381" spans="1:29" ht="25.5" customHeight="1" x14ac:dyDescent="0.35">
      <c r="A3381" s="392"/>
      <c r="B3381" s="393"/>
      <c r="C3381" s="99" t="str">
        <f>IF(B3381="","",IF(NOT(ISNUMBER(B3381)),"DATA_PC invalida",IF(NOT(ISNUMBER(parametros!$C$2)),"Fora dos ciclos",IF(OR(B3381&lt;parametros!$C$2,(YEAR(B3381)-YEAR(parametros!$C$2))*12+MONTH(B3381)-MONTH(parametros!$C$2)&gt;59),"Fora dos ciclos","C"&amp;INT(((YEAR(B3381)-YEAR(parametros!$C$2))*12+MONTH(B3381)-MONTH(parametros!$C$2))/12)))))</f>
        <v/>
      </c>
      <c r="D3381" s="394"/>
      <c r="E3381" s="78" t="str">
        <f>IF(C3381="","",IFERROR(VLOOKUP(C3381,parametros!$A$11:$E$15,5,0),""))</f>
        <v/>
      </c>
      <c r="F3381" s="79" t="str">
        <f t="shared" si="262"/>
        <v/>
      </c>
      <c r="G3381" s="395"/>
      <c r="H3381" s="91">
        <f t="shared" si="263"/>
        <v>0</v>
      </c>
      <c r="I3381" s="91" t="str">
        <f t="shared" si="264"/>
        <v/>
      </c>
      <c r="J3381" s="91" t="str">
        <f t="shared" si="265"/>
        <v/>
      </c>
      <c r="K3381" s="92" t="str">
        <f>IF(AND(A3381="",B3381="",D3381="",G3381=""),"",IF(AND(A3381&lt;&gt;"",COUNTIF($A$2:$A$5001,A3381)&gt;1),"NUMERO_PC duplicado",IF(B3381="","DATA_PC vazia",IF(NOT(ISNUMBER(B3381)),"DATA_PC invalida",IF(OR(C3381="",C3381="Fora dos ciclos"),"CICLO_PC nao identificado",IF(OR(D3381="",D3381=0),"VALOR_PC vazio ou zero",IF(AND(G3381&lt;&gt;"Sim",G3381&lt;&gt;"Nao",G3381&lt;&gt;""),"PC_PAGO_A_CONTRATADA invalido",IF(AND(C3381&lt;&gt;"C0",IFERROR(INDEX(parametros!$A$2:$A$6,MATCH(C3381,parametros!$B$2:$B$6,0)),"")="Sim",IFERROR(INDEX(parametros!$H$2:$H$6,MATCH(C3381,parametros!$B$2:$B$6,0)),"")=""),"INICIO_EFEITO ausente: PC "&amp;A3381&amp;" - "&amp;C3381,IF(L3381="","EFEITO_PC nao calculado: PC "&amp;A3381&amp;" - "&amp;C3381,"OK")))))))))</f>
        <v/>
      </c>
      <c r="L3381" s="92" t="str">
        <f>IF(AND(A3381="",B3381="",D3381="",G3381=""),"",IF(OR(B3381="",NOT(ISNUMBER(B3381)),C3381="",C3381="Fora dos ciclos"),"",IF(C3381="C0","Nao",IF(IFERROR(INDEX(parametros!$A$2:$A$6,MATCH(C3381,parametros!$B$2:$B$6,0)),"")&lt;&gt;"Sim","Nao",IF(IFERROR(INDEX(parametros!$H$2:$H$6,MATCH(C3381,parametros!$B$2:$B$6,0)),"")="","",IF(B3381&gt;=IFERROR(INDEX(parametros!$H$2:$H$6,MATCH(C3381,parametros!$B$2:$B$6,0)),""),"Sim","Nao"))))))</f>
        <v/>
      </c>
      <c r="T3381" s="156"/>
      <c r="U3381" s="214" t="str">
        <f t="shared" si="266"/>
        <v/>
      </c>
      <c r="V3381" s="212" t="s">
        <v>50</v>
      </c>
      <c r="W3381" s="100" t="s">
        <v>168</v>
      </c>
      <c r="X3381" s="100" t="s">
        <v>169</v>
      </c>
      <c r="Y3381" s="101" t="s">
        <v>170</v>
      </c>
      <c r="Z3381" s="101" t="s">
        <v>171</v>
      </c>
      <c r="AA3381" s="101" t="s">
        <v>50</v>
      </c>
      <c r="AB3381" s="101" t="s">
        <v>172</v>
      </c>
      <c r="AC3381" s="102" t="s">
        <v>173</v>
      </c>
    </row>
    <row r="3382" spans="1:29" ht="25.5" customHeight="1" x14ac:dyDescent="0.35">
      <c r="A3382" s="392"/>
      <c r="B3382" s="393"/>
      <c r="C3382" s="99" t="str">
        <f>IF(B3382="","",IF(NOT(ISNUMBER(B3382)),"DATA_PC invalida",IF(NOT(ISNUMBER(parametros!$C$2)),"Fora dos ciclos",IF(OR(B3382&lt;parametros!$C$2,(YEAR(B3382)-YEAR(parametros!$C$2))*12+MONTH(B3382)-MONTH(parametros!$C$2)&gt;59),"Fora dos ciclos","C"&amp;INT(((YEAR(B3382)-YEAR(parametros!$C$2))*12+MONTH(B3382)-MONTH(parametros!$C$2))/12)))))</f>
        <v/>
      </c>
      <c r="D3382" s="394"/>
      <c r="E3382" s="78" t="str">
        <f>IF(C3382="","",IFERROR(VLOOKUP(C3382,parametros!$A$11:$E$15,5,0),""))</f>
        <v/>
      </c>
      <c r="F3382" s="79" t="str">
        <f t="shared" si="262"/>
        <v/>
      </c>
      <c r="G3382" s="395"/>
      <c r="H3382" s="91">
        <f t="shared" si="263"/>
        <v>0</v>
      </c>
      <c r="I3382" s="91" t="str">
        <f t="shared" si="264"/>
        <v/>
      </c>
      <c r="J3382" s="91" t="str">
        <f t="shared" si="265"/>
        <v/>
      </c>
      <c r="K3382" s="92" t="str">
        <f>IF(AND(A3382="",B3382="",D3382="",G3382=""),"",IF(AND(A3382&lt;&gt;"",COUNTIF($A$2:$A$5001,A3382)&gt;1),"NUMERO_PC duplicado",IF(B3382="","DATA_PC vazia",IF(NOT(ISNUMBER(B3382)),"DATA_PC invalida",IF(OR(C3382="",C3382="Fora dos ciclos"),"CICLO_PC nao identificado",IF(OR(D3382="",D3382=0),"VALOR_PC vazio ou zero",IF(AND(G3382&lt;&gt;"Sim",G3382&lt;&gt;"Nao",G3382&lt;&gt;""),"PC_PAGO_A_CONTRATADA invalido",IF(AND(C3382&lt;&gt;"C0",IFERROR(INDEX(parametros!$A$2:$A$6,MATCH(C3382,parametros!$B$2:$B$6,0)),"")="Sim",IFERROR(INDEX(parametros!$H$2:$H$6,MATCH(C3382,parametros!$B$2:$B$6,0)),"")=""),"INICIO_EFEITO ausente: PC "&amp;A3382&amp;" - "&amp;C3382,IF(L3382="","EFEITO_PC nao calculado: PC "&amp;A3382&amp;" - "&amp;C3382,"OK")))))))))</f>
        <v/>
      </c>
      <c r="L3382" s="92" t="str">
        <f>IF(AND(A3382="",B3382="",D3382="",G3382=""),"",IF(OR(B3382="",NOT(ISNUMBER(B3382)),C3382="",C3382="Fora dos ciclos"),"",IF(C3382="C0","Nao",IF(IFERROR(INDEX(parametros!$A$2:$A$6,MATCH(C3382,parametros!$B$2:$B$6,0)),"")&lt;&gt;"Sim","Nao",IF(IFERROR(INDEX(parametros!$H$2:$H$6,MATCH(C3382,parametros!$B$2:$B$6,0)),"")="","",IF(B3382&gt;=IFERROR(INDEX(parametros!$H$2:$H$6,MATCH(C3382,parametros!$B$2:$B$6,0)),""),"Sim","Nao"))))))</f>
        <v/>
      </c>
      <c r="T3382" s="156"/>
      <c r="U3382" s="214" t="str">
        <f t="shared" si="266"/>
        <v/>
      </c>
      <c r="V3382" s="212" t="s">
        <v>50</v>
      </c>
      <c r="W3382" s="100" t="s">
        <v>168</v>
      </c>
      <c r="X3382" s="100" t="s">
        <v>169</v>
      </c>
      <c r="Y3382" s="101" t="s">
        <v>170</v>
      </c>
      <c r="Z3382" s="101" t="s">
        <v>171</v>
      </c>
      <c r="AA3382" s="101" t="s">
        <v>50</v>
      </c>
      <c r="AB3382" s="101" t="s">
        <v>172</v>
      </c>
      <c r="AC3382" s="102" t="s">
        <v>173</v>
      </c>
    </row>
    <row r="3383" spans="1:29" ht="25.5" customHeight="1" x14ac:dyDescent="0.35">
      <c r="A3383" s="392"/>
      <c r="B3383" s="393"/>
      <c r="C3383" s="99" t="str">
        <f>IF(B3383="","",IF(NOT(ISNUMBER(B3383)),"DATA_PC invalida",IF(NOT(ISNUMBER(parametros!$C$2)),"Fora dos ciclos",IF(OR(B3383&lt;parametros!$C$2,(YEAR(B3383)-YEAR(parametros!$C$2))*12+MONTH(B3383)-MONTH(parametros!$C$2)&gt;59),"Fora dos ciclos","C"&amp;INT(((YEAR(B3383)-YEAR(parametros!$C$2))*12+MONTH(B3383)-MONTH(parametros!$C$2))/12)))))</f>
        <v/>
      </c>
      <c r="D3383" s="394"/>
      <c r="E3383" s="78" t="str">
        <f>IF(C3383="","",IFERROR(VLOOKUP(C3383,parametros!$A$11:$E$15,5,0),""))</f>
        <v/>
      </c>
      <c r="F3383" s="79" t="str">
        <f t="shared" si="262"/>
        <v/>
      </c>
      <c r="G3383" s="395"/>
      <c r="H3383" s="91">
        <f t="shared" si="263"/>
        <v>0</v>
      </c>
      <c r="I3383" s="91" t="str">
        <f t="shared" si="264"/>
        <v/>
      </c>
      <c r="J3383" s="91" t="str">
        <f t="shared" si="265"/>
        <v/>
      </c>
      <c r="K3383" s="92" t="str">
        <f>IF(AND(A3383="",B3383="",D3383="",G3383=""),"",IF(AND(A3383&lt;&gt;"",COUNTIF($A$2:$A$5001,A3383)&gt;1),"NUMERO_PC duplicado",IF(B3383="","DATA_PC vazia",IF(NOT(ISNUMBER(B3383)),"DATA_PC invalida",IF(OR(C3383="",C3383="Fora dos ciclos"),"CICLO_PC nao identificado",IF(OR(D3383="",D3383=0),"VALOR_PC vazio ou zero",IF(AND(G3383&lt;&gt;"Sim",G3383&lt;&gt;"Nao",G3383&lt;&gt;""),"PC_PAGO_A_CONTRATADA invalido",IF(AND(C3383&lt;&gt;"C0",IFERROR(INDEX(parametros!$A$2:$A$6,MATCH(C3383,parametros!$B$2:$B$6,0)),"")="Sim",IFERROR(INDEX(parametros!$H$2:$H$6,MATCH(C3383,parametros!$B$2:$B$6,0)),"")=""),"INICIO_EFEITO ausente: PC "&amp;A3383&amp;" - "&amp;C3383,IF(L3383="","EFEITO_PC nao calculado: PC "&amp;A3383&amp;" - "&amp;C3383,"OK")))))))))</f>
        <v/>
      </c>
      <c r="L3383" s="92" t="str">
        <f>IF(AND(A3383="",B3383="",D3383="",G3383=""),"",IF(OR(B3383="",NOT(ISNUMBER(B3383)),C3383="",C3383="Fora dos ciclos"),"",IF(C3383="C0","Nao",IF(IFERROR(INDEX(parametros!$A$2:$A$6,MATCH(C3383,parametros!$B$2:$B$6,0)),"")&lt;&gt;"Sim","Nao",IF(IFERROR(INDEX(parametros!$H$2:$H$6,MATCH(C3383,parametros!$B$2:$B$6,0)),"")="","",IF(B3383&gt;=IFERROR(INDEX(parametros!$H$2:$H$6,MATCH(C3383,parametros!$B$2:$B$6,0)),""),"Sim","Nao"))))))</f>
        <v/>
      </c>
      <c r="T3383" s="156"/>
      <c r="U3383" s="214" t="str">
        <f t="shared" si="266"/>
        <v/>
      </c>
      <c r="V3383" s="212" t="s">
        <v>50</v>
      </c>
      <c r="W3383" s="100" t="s">
        <v>168</v>
      </c>
      <c r="X3383" s="100" t="s">
        <v>169</v>
      </c>
      <c r="Y3383" s="101" t="s">
        <v>170</v>
      </c>
      <c r="Z3383" s="101" t="s">
        <v>171</v>
      </c>
      <c r="AA3383" s="101" t="s">
        <v>50</v>
      </c>
      <c r="AB3383" s="101" t="s">
        <v>172</v>
      </c>
      <c r="AC3383" s="102" t="s">
        <v>173</v>
      </c>
    </row>
    <row r="3384" spans="1:29" ht="25.5" customHeight="1" x14ac:dyDescent="0.35">
      <c r="A3384" s="392"/>
      <c r="B3384" s="393"/>
      <c r="C3384" s="99" t="str">
        <f>IF(B3384="","",IF(NOT(ISNUMBER(B3384)),"DATA_PC invalida",IF(NOT(ISNUMBER(parametros!$C$2)),"Fora dos ciclos",IF(OR(B3384&lt;parametros!$C$2,(YEAR(B3384)-YEAR(parametros!$C$2))*12+MONTH(B3384)-MONTH(parametros!$C$2)&gt;59),"Fora dos ciclos","C"&amp;INT(((YEAR(B3384)-YEAR(parametros!$C$2))*12+MONTH(B3384)-MONTH(parametros!$C$2))/12)))))</f>
        <v/>
      </c>
      <c r="D3384" s="394"/>
      <c r="E3384" s="78" t="str">
        <f>IF(C3384="","",IFERROR(VLOOKUP(C3384,parametros!$A$11:$E$15,5,0),""))</f>
        <v/>
      </c>
      <c r="F3384" s="79" t="str">
        <f t="shared" si="262"/>
        <v/>
      </c>
      <c r="G3384" s="395"/>
      <c r="H3384" s="91">
        <f t="shared" si="263"/>
        <v>0</v>
      </c>
      <c r="I3384" s="91" t="str">
        <f t="shared" si="264"/>
        <v/>
      </c>
      <c r="J3384" s="91" t="str">
        <f t="shared" si="265"/>
        <v/>
      </c>
      <c r="K3384" s="92" t="str">
        <f>IF(AND(A3384="",B3384="",D3384="",G3384=""),"",IF(AND(A3384&lt;&gt;"",COUNTIF($A$2:$A$5001,A3384)&gt;1),"NUMERO_PC duplicado",IF(B3384="","DATA_PC vazia",IF(NOT(ISNUMBER(B3384)),"DATA_PC invalida",IF(OR(C3384="",C3384="Fora dos ciclos"),"CICLO_PC nao identificado",IF(OR(D3384="",D3384=0),"VALOR_PC vazio ou zero",IF(AND(G3384&lt;&gt;"Sim",G3384&lt;&gt;"Nao",G3384&lt;&gt;""),"PC_PAGO_A_CONTRATADA invalido",IF(AND(C3384&lt;&gt;"C0",IFERROR(INDEX(parametros!$A$2:$A$6,MATCH(C3384,parametros!$B$2:$B$6,0)),"")="Sim",IFERROR(INDEX(parametros!$H$2:$H$6,MATCH(C3384,parametros!$B$2:$B$6,0)),"")=""),"INICIO_EFEITO ausente: PC "&amp;A3384&amp;" - "&amp;C3384,IF(L3384="","EFEITO_PC nao calculado: PC "&amp;A3384&amp;" - "&amp;C3384,"OK")))))))))</f>
        <v/>
      </c>
      <c r="L3384" s="92" t="str">
        <f>IF(AND(A3384="",B3384="",D3384="",G3384=""),"",IF(OR(B3384="",NOT(ISNUMBER(B3384)),C3384="",C3384="Fora dos ciclos"),"",IF(C3384="C0","Nao",IF(IFERROR(INDEX(parametros!$A$2:$A$6,MATCH(C3384,parametros!$B$2:$B$6,0)),"")&lt;&gt;"Sim","Nao",IF(IFERROR(INDEX(parametros!$H$2:$H$6,MATCH(C3384,parametros!$B$2:$B$6,0)),"")="","",IF(B3384&gt;=IFERROR(INDEX(parametros!$H$2:$H$6,MATCH(C3384,parametros!$B$2:$B$6,0)),""),"Sim","Nao"))))))</f>
        <v/>
      </c>
      <c r="T3384" s="156"/>
      <c r="U3384" s="214" t="str">
        <f t="shared" si="266"/>
        <v/>
      </c>
      <c r="V3384" s="212" t="s">
        <v>50</v>
      </c>
      <c r="W3384" s="100" t="s">
        <v>168</v>
      </c>
      <c r="X3384" s="100" t="s">
        <v>169</v>
      </c>
      <c r="Y3384" s="101" t="s">
        <v>170</v>
      </c>
      <c r="Z3384" s="101" t="s">
        <v>171</v>
      </c>
      <c r="AA3384" s="101" t="s">
        <v>50</v>
      </c>
      <c r="AB3384" s="101" t="s">
        <v>172</v>
      </c>
      <c r="AC3384" s="102" t="s">
        <v>173</v>
      </c>
    </row>
    <row r="3385" spans="1:29" ht="25.5" customHeight="1" x14ac:dyDescent="0.35">
      <c r="A3385" s="392"/>
      <c r="B3385" s="393"/>
      <c r="C3385" s="99" t="str">
        <f>IF(B3385="","",IF(NOT(ISNUMBER(B3385)),"DATA_PC invalida",IF(NOT(ISNUMBER(parametros!$C$2)),"Fora dos ciclos",IF(OR(B3385&lt;parametros!$C$2,(YEAR(B3385)-YEAR(parametros!$C$2))*12+MONTH(B3385)-MONTH(parametros!$C$2)&gt;59),"Fora dos ciclos","C"&amp;INT(((YEAR(B3385)-YEAR(parametros!$C$2))*12+MONTH(B3385)-MONTH(parametros!$C$2))/12)))))</f>
        <v/>
      </c>
      <c r="D3385" s="394"/>
      <c r="E3385" s="78" t="str">
        <f>IF(C3385="","",IFERROR(VLOOKUP(C3385,parametros!$A$11:$E$15,5,0),""))</f>
        <v/>
      </c>
      <c r="F3385" s="79" t="str">
        <f t="shared" si="262"/>
        <v/>
      </c>
      <c r="G3385" s="395"/>
      <c r="H3385" s="91">
        <f t="shared" si="263"/>
        <v>0</v>
      </c>
      <c r="I3385" s="91" t="str">
        <f t="shared" si="264"/>
        <v/>
      </c>
      <c r="J3385" s="91" t="str">
        <f t="shared" si="265"/>
        <v/>
      </c>
      <c r="K3385" s="92" t="str">
        <f>IF(AND(A3385="",B3385="",D3385="",G3385=""),"",IF(AND(A3385&lt;&gt;"",COUNTIF($A$2:$A$5001,A3385)&gt;1),"NUMERO_PC duplicado",IF(B3385="","DATA_PC vazia",IF(NOT(ISNUMBER(B3385)),"DATA_PC invalida",IF(OR(C3385="",C3385="Fora dos ciclos"),"CICLO_PC nao identificado",IF(OR(D3385="",D3385=0),"VALOR_PC vazio ou zero",IF(AND(G3385&lt;&gt;"Sim",G3385&lt;&gt;"Nao",G3385&lt;&gt;""),"PC_PAGO_A_CONTRATADA invalido",IF(AND(C3385&lt;&gt;"C0",IFERROR(INDEX(parametros!$A$2:$A$6,MATCH(C3385,parametros!$B$2:$B$6,0)),"")="Sim",IFERROR(INDEX(parametros!$H$2:$H$6,MATCH(C3385,parametros!$B$2:$B$6,0)),"")=""),"INICIO_EFEITO ausente: PC "&amp;A3385&amp;" - "&amp;C3385,IF(L3385="","EFEITO_PC nao calculado: PC "&amp;A3385&amp;" - "&amp;C3385,"OK")))))))))</f>
        <v/>
      </c>
      <c r="L3385" s="92" t="str">
        <f>IF(AND(A3385="",B3385="",D3385="",G3385=""),"",IF(OR(B3385="",NOT(ISNUMBER(B3385)),C3385="",C3385="Fora dos ciclos"),"",IF(C3385="C0","Nao",IF(IFERROR(INDEX(parametros!$A$2:$A$6,MATCH(C3385,parametros!$B$2:$B$6,0)),"")&lt;&gt;"Sim","Nao",IF(IFERROR(INDEX(parametros!$H$2:$H$6,MATCH(C3385,parametros!$B$2:$B$6,0)),"")="","",IF(B3385&gt;=IFERROR(INDEX(parametros!$H$2:$H$6,MATCH(C3385,parametros!$B$2:$B$6,0)),""),"Sim","Nao"))))))</f>
        <v/>
      </c>
      <c r="T3385" s="156"/>
      <c r="U3385" s="214" t="str">
        <f t="shared" si="266"/>
        <v/>
      </c>
      <c r="V3385" s="212" t="s">
        <v>50</v>
      </c>
      <c r="W3385" s="100" t="s">
        <v>168</v>
      </c>
      <c r="X3385" s="100" t="s">
        <v>169</v>
      </c>
      <c r="Y3385" s="101" t="s">
        <v>170</v>
      </c>
      <c r="Z3385" s="101" t="s">
        <v>171</v>
      </c>
      <c r="AA3385" s="101" t="s">
        <v>50</v>
      </c>
      <c r="AB3385" s="101" t="s">
        <v>172</v>
      </c>
      <c r="AC3385" s="102" t="s">
        <v>173</v>
      </c>
    </row>
    <row r="3386" spans="1:29" ht="25.5" customHeight="1" x14ac:dyDescent="0.35">
      <c r="A3386" s="392"/>
      <c r="B3386" s="393"/>
      <c r="C3386" s="99" t="str">
        <f>IF(B3386="","",IF(NOT(ISNUMBER(B3386)),"DATA_PC invalida",IF(NOT(ISNUMBER(parametros!$C$2)),"Fora dos ciclos",IF(OR(B3386&lt;parametros!$C$2,(YEAR(B3386)-YEAR(parametros!$C$2))*12+MONTH(B3386)-MONTH(parametros!$C$2)&gt;59),"Fora dos ciclos","C"&amp;INT(((YEAR(B3386)-YEAR(parametros!$C$2))*12+MONTH(B3386)-MONTH(parametros!$C$2))/12)))))</f>
        <v/>
      </c>
      <c r="D3386" s="394"/>
      <c r="E3386" s="78" t="str">
        <f>IF(C3386="","",IFERROR(VLOOKUP(C3386,parametros!$A$11:$E$15,5,0),""))</f>
        <v/>
      </c>
      <c r="F3386" s="79" t="str">
        <f t="shared" si="262"/>
        <v/>
      </c>
      <c r="G3386" s="395"/>
      <c r="H3386" s="91">
        <f t="shared" si="263"/>
        <v>0</v>
      </c>
      <c r="I3386" s="91" t="str">
        <f t="shared" si="264"/>
        <v/>
      </c>
      <c r="J3386" s="91" t="str">
        <f t="shared" si="265"/>
        <v/>
      </c>
      <c r="K3386" s="92" t="str">
        <f>IF(AND(A3386="",B3386="",D3386="",G3386=""),"",IF(AND(A3386&lt;&gt;"",COUNTIF($A$2:$A$5001,A3386)&gt;1),"NUMERO_PC duplicado",IF(B3386="","DATA_PC vazia",IF(NOT(ISNUMBER(B3386)),"DATA_PC invalida",IF(OR(C3386="",C3386="Fora dos ciclos"),"CICLO_PC nao identificado",IF(OR(D3386="",D3386=0),"VALOR_PC vazio ou zero",IF(AND(G3386&lt;&gt;"Sim",G3386&lt;&gt;"Nao",G3386&lt;&gt;""),"PC_PAGO_A_CONTRATADA invalido",IF(AND(C3386&lt;&gt;"C0",IFERROR(INDEX(parametros!$A$2:$A$6,MATCH(C3386,parametros!$B$2:$B$6,0)),"")="Sim",IFERROR(INDEX(parametros!$H$2:$H$6,MATCH(C3386,parametros!$B$2:$B$6,0)),"")=""),"INICIO_EFEITO ausente: PC "&amp;A3386&amp;" - "&amp;C3386,IF(L3386="","EFEITO_PC nao calculado: PC "&amp;A3386&amp;" - "&amp;C3386,"OK")))))))))</f>
        <v/>
      </c>
      <c r="L3386" s="92" t="str">
        <f>IF(AND(A3386="",B3386="",D3386="",G3386=""),"",IF(OR(B3386="",NOT(ISNUMBER(B3386)),C3386="",C3386="Fora dos ciclos"),"",IF(C3386="C0","Nao",IF(IFERROR(INDEX(parametros!$A$2:$A$6,MATCH(C3386,parametros!$B$2:$B$6,0)),"")&lt;&gt;"Sim","Nao",IF(IFERROR(INDEX(parametros!$H$2:$H$6,MATCH(C3386,parametros!$B$2:$B$6,0)),"")="","",IF(B3386&gt;=IFERROR(INDEX(parametros!$H$2:$H$6,MATCH(C3386,parametros!$B$2:$B$6,0)),""),"Sim","Nao"))))))</f>
        <v/>
      </c>
      <c r="T3386" s="156"/>
      <c r="U3386" s="214" t="str">
        <f t="shared" si="266"/>
        <v/>
      </c>
      <c r="V3386" s="212" t="s">
        <v>50</v>
      </c>
      <c r="W3386" s="100" t="s">
        <v>168</v>
      </c>
      <c r="X3386" s="100" t="s">
        <v>169</v>
      </c>
      <c r="Y3386" s="101" t="s">
        <v>170</v>
      </c>
      <c r="Z3386" s="101" t="s">
        <v>171</v>
      </c>
      <c r="AA3386" s="101" t="s">
        <v>50</v>
      </c>
      <c r="AB3386" s="101" t="s">
        <v>172</v>
      </c>
      <c r="AC3386" s="102" t="s">
        <v>173</v>
      </c>
    </row>
    <row r="3387" spans="1:29" ht="25.5" customHeight="1" x14ac:dyDescent="0.35">
      <c r="A3387" s="392"/>
      <c r="B3387" s="393"/>
      <c r="C3387" s="99" t="str">
        <f>IF(B3387="","",IF(NOT(ISNUMBER(B3387)),"DATA_PC invalida",IF(NOT(ISNUMBER(parametros!$C$2)),"Fora dos ciclos",IF(OR(B3387&lt;parametros!$C$2,(YEAR(B3387)-YEAR(parametros!$C$2))*12+MONTH(B3387)-MONTH(parametros!$C$2)&gt;59),"Fora dos ciclos","C"&amp;INT(((YEAR(B3387)-YEAR(parametros!$C$2))*12+MONTH(B3387)-MONTH(parametros!$C$2))/12)))))</f>
        <v/>
      </c>
      <c r="D3387" s="394"/>
      <c r="E3387" s="78" t="str">
        <f>IF(C3387="","",IFERROR(VLOOKUP(C3387,parametros!$A$11:$E$15,5,0),""))</f>
        <v/>
      </c>
      <c r="F3387" s="79" t="str">
        <f t="shared" si="262"/>
        <v/>
      </c>
      <c r="G3387" s="395"/>
      <c r="H3387" s="91">
        <f t="shared" si="263"/>
        <v>0</v>
      </c>
      <c r="I3387" s="91" t="str">
        <f t="shared" si="264"/>
        <v/>
      </c>
      <c r="J3387" s="91" t="str">
        <f t="shared" si="265"/>
        <v/>
      </c>
      <c r="K3387" s="92" t="str">
        <f>IF(AND(A3387="",B3387="",D3387="",G3387=""),"",IF(AND(A3387&lt;&gt;"",COUNTIF($A$2:$A$5001,A3387)&gt;1),"NUMERO_PC duplicado",IF(B3387="","DATA_PC vazia",IF(NOT(ISNUMBER(B3387)),"DATA_PC invalida",IF(OR(C3387="",C3387="Fora dos ciclos"),"CICLO_PC nao identificado",IF(OR(D3387="",D3387=0),"VALOR_PC vazio ou zero",IF(AND(G3387&lt;&gt;"Sim",G3387&lt;&gt;"Nao",G3387&lt;&gt;""),"PC_PAGO_A_CONTRATADA invalido",IF(AND(C3387&lt;&gt;"C0",IFERROR(INDEX(parametros!$A$2:$A$6,MATCH(C3387,parametros!$B$2:$B$6,0)),"")="Sim",IFERROR(INDEX(parametros!$H$2:$H$6,MATCH(C3387,parametros!$B$2:$B$6,0)),"")=""),"INICIO_EFEITO ausente: PC "&amp;A3387&amp;" - "&amp;C3387,IF(L3387="","EFEITO_PC nao calculado: PC "&amp;A3387&amp;" - "&amp;C3387,"OK")))))))))</f>
        <v/>
      </c>
      <c r="L3387" s="92" t="str">
        <f>IF(AND(A3387="",B3387="",D3387="",G3387=""),"",IF(OR(B3387="",NOT(ISNUMBER(B3387)),C3387="",C3387="Fora dos ciclos"),"",IF(C3387="C0","Nao",IF(IFERROR(INDEX(parametros!$A$2:$A$6,MATCH(C3387,parametros!$B$2:$B$6,0)),"")&lt;&gt;"Sim","Nao",IF(IFERROR(INDEX(parametros!$H$2:$H$6,MATCH(C3387,parametros!$B$2:$B$6,0)),"")="","",IF(B3387&gt;=IFERROR(INDEX(parametros!$H$2:$H$6,MATCH(C3387,parametros!$B$2:$B$6,0)),""),"Sim","Nao"))))))</f>
        <v/>
      </c>
      <c r="T3387" s="156"/>
      <c r="U3387" s="214" t="str">
        <f t="shared" si="266"/>
        <v/>
      </c>
      <c r="V3387" s="212" t="s">
        <v>50</v>
      </c>
      <c r="W3387" s="100" t="s">
        <v>168</v>
      </c>
      <c r="X3387" s="100" t="s">
        <v>169</v>
      </c>
      <c r="Y3387" s="101" t="s">
        <v>170</v>
      </c>
      <c r="Z3387" s="101" t="s">
        <v>171</v>
      </c>
      <c r="AA3387" s="101" t="s">
        <v>50</v>
      </c>
      <c r="AB3387" s="101" t="s">
        <v>172</v>
      </c>
      <c r="AC3387" s="102" t="s">
        <v>173</v>
      </c>
    </row>
    <row r="3388" spans="1:29" ht="25.5" customHeight="1" x14ac:dyDescent="0.35">
      <c r="A3388" s="392"/>
      <c r="B3388" s="393"/>
      <c r="C3388" s="99" t="str">
        <f>IF(B3388="","",IF(NOT(ISNUMBER(B3388)),"DATA_PC invalida",IF(NOT(ISNUMBER(parametros!$C$2)),"Fora dos ciclos",IF(OR(B3388&lt;parametros!$C$2,(YEAR(B3388)-YEAR(parametros!$C$2))*12+MONTH(B3388)-MONTH(parametros!$C$2)&gt;59),"Fora dos ciclos","C"&amp;INT(((YEAR(B3388)-YEAR(parametros!$C$2))*12+MONTH(B3388)-MONTH(parametros!$C$2))/12)))))</f>
        <v/>
      </c>
      <c r="D3388" s="394"/>
      <c r="E3388" s="78" t="str">
        <f>IF(C3388="","",IFERROR(VLOOKUP(C3388,parametros!$A$11:$E$15,5,0),""))</f>
        <v/>
      </c>
      <c r="F3388" s="79" t="str">
        <f t="shared" si="262"/>
        <v/>
      </c>
      <c r="G3388" s="395"/>
      <c r="H3388" s="91">
        <f t="shared" si="263"/>
        <v>0</v>
      </c>
      <c r="I3388" s="91" t="str">
        <f t="shared" si="264"/>
        <v/>
      </c>
      <c r="J3388" s="91" t="str">
        <f t="shared" si="265"/>
        <v/>
      </c>
      <c r="K3388" s="92" t="str">
        <f>IF(AND(A3388="",B3388="",D3388="",G3388=""),"",IF(AND(A3388&lt;&gt;"",COUNTIF($A$2:$A$5001,A3388)&gt;1),"NUMERO_PC duplicado",IF(B3388="","DATA_PC vazia",IF(NOT(ISNUMBER(B3388)),"DATA_PC invalida",IF(OR(C3388="",C3388="Fora dos ciclos"),"CICLO_PC nao identificado",IF(OR(D3388="",D3388=0),"VALOR_PC vazio ou zero",IF(AND(G3388&lt;&gt;"Sim",G3388&lt;&gt;"Nao",G3388&lt;&gt;""),"PC_PAGO_A_CONTRATADA invalido",IF(AND(C3388&lt;&gt;"C0",IFERROR(INDEX(parametros!$A$2:$A$6,MATCH(C3388,parametros!$B$2:$B$6,0)),"")="Sim",IFERROR(INDEX(parametros!$H$2:$H$6,MATCH(C3388,parametros!$B$2:$B$6,0)),"")=""),"INICIO_EFEITO ausente: PC "&amp;A3388&amp;" - "&amp;C3388,IF(L3388="","EFEITO_PC nao calculado: PC "&amp;A3388&amp;" - "&amp;C3388,"OK")))))))))</f>
        <v/>
      </c>
      <c r="L3388" s="92" t="str">
        <f>IF(AND(A3388="",B3388="",D3388="",G3388=""),"",IF(OR(B3388="",NOT(ISNUMBER(B3388)),C3388="",C3388="Fora dos ciclos"),"",IF(C3388="C0","Nao",IF(IFERROR(INDEX(parametros!$A$2:$A$6,MATCH(C3388,parametros!$B$2:$B$6,0)),"")&lt;&gt;"Sim","Nao",IF(IFERROR(INDEX(parametros!$H$2:$H$6,MATCH(C3388,parametros!$B$2:$B$6,0)),"")="","",IF(B3388&gt;=IFERROR(INDEX(parametros!$H$2:$H$6,MATCH(C3388,parametros!$B$2:$B$6,0)),""),"Sim","Nao"))))))</f>
        <v/>
      </c>
      <c r="T3388" s="156"/>
      <c r="U3388" s="214" t="str">
        <f t="shared" si="266"/>
        <v/>
      </c>
      <c r="V3388" s="212" t="s">
        <v>50</v>
      </c>
      <c r="W3388" s="100" t="s">
        <v>168</v>
      </c>
      <c r="X3388" s="100" t="s">
        <v>169</v>
      </c>
      <c r="Y3388" s="101" t="s">
        <v>170</v>
      </c>
      <c r="Z3388" s="101" t="s">
        <v>171</v>
      </c>
      <c r="AA3388" s="101" t="s">
        <v>50</v>
      </c>
      <c r="AB3388" s="101" t="s">
        <v>172</v>
      </c>
      <c r="AC3388" s="102" t="s">
        <v>173</v>
      </c>
    </row>
    <row r="3389" spans="1:29" ht="25.5" customHeight="1" x14ac:dyDescent="0.35">
      <c r="A3389" s="392"/>
      <c r="B3389" s="393"/>
      <c r="C3389" s="99" t="str">
        <f>IF(B3389="","",IF(NOT(ISNUMBER(B3389)),"DATA_PC invalida",IF(NOT(ISNUMBER(parametros!$C$2)),"Fora dos ciclos",IF(OR(B3389&lt;parametros!$C$2,(YEAR(B3389)-YEAR(parametros!$C$2))*12+MONTH(B3389)-MONTH(parametros!$C$2)&gt;59),"Fora dos ciclos","C"&amp;INT(((YEAR(B3389)-YEAR(parametros!$C$2))*12+MONTH(B3389)-MONTH(parametros!$C$2))/12)))))</f>
        <v/>
      </c>
      <c r="D3389" s="394"/>
      <c r="E3389" s="78" t="str">
        <f>IF(C3389="","",IFERROR(VLOOKUP(C3389,parametros!$A$11:$E$15,5,0),""))</f>
        <v/>
      </c>
      <c r="F3389" s="79" t="str">
        <f t="shared" si="262"/>
        <v/>
      </c>
      <c r="G3389" s="395"/>
      <c r="H3389" s="91">
        <f t="shared" si="263"/>
        <v>0</v>
      </c>
      <c r="I3389" s="91" t="str">
        <f t="shared" si="264"/>
        <v/>
      </c>
      <c r="J3389" s="91" t="str">
        <f t="shared" si="265"/>
        <v/>
      </c>
      <c r="K3389" s="92" t="str">
        <f>IF(AND(A3389="",B3389="",D3389="",G3389=""),"",IF(AND(A3389&lt;&gt;"",COUNTIF($A$2:$A$5001,A3389)&gt;1),"NUMERO_PC duplicado",IF(B3389="","DATA_PC vazia",IF(NOT(ISNUMBER(B3389)),"DATA_PC invalida",IF(OR(C3389="",C3389="Fora dos ciclos"),"CICLO_PC nao identificado",IF(OR(D3389="",D3389=0),"VALOR_PC vazio ou zero",IF(AND(G3389&lt;&gt;"Sim",G3389&lt;&gt;"Nao",G3389&lt;&gt;""),"PC_PAGO_A_CONTRATADA invalido",IF(AND(C3389&lt;&gt;"C0",IFERROR(INDEX(parametros!$A$2:$A$6,MATCH(C3389,parametros!$B$2:$B$6,0)),"")="Sim",IFERROR(INDEX(parametros!$H$2:$H$6,MATCH(C3389,parametros!$B$2:$B$6,0)),"")=""),"INICIO_EFEITO ausente: PC "&amp;A3389&amp;" - "&amp;C3389,IF(L3389="","EFEITO_PC nao calculado: PC "&amp;A3389&amp;" - "&amp;C3389,"OK")))))))))</f>
        <v/>
      </c>
      <c r="L3389" s="92" t="str">
        <f>IF(AND(A3389="",B3389="",D3389="",G3389=""),"",IF(OR(B3389="",NOT(ISNUMBER(B3389)),C3389="",C3389="Fora dos ciclos"),"",IF(C3389="C0","Nao",IF(IFERROR(INDEX(parametros!$A$2:$A$6,MATCH(C3389,parametros!$B$2:$B$6,0)),"")&lt;&gt;"Sim","Nao",IF(IFERROR(INDEX(parametros!$H$2:$H$6,MATCH(C3389,parametros!$B$2:$B$6,0)),"")="","",IF(B3389&gt;=IFERROR(INDEX(parametros!$H$2:$H$6,MATCH(C3389,parametros!$B$2:$B$6,0)),""),"Sim","Nao"))))))</f>
        <v/>
      </c>
      <c r="T3389" s="156"/>
      <c r="U3389" s="214" t="str">
        <f t="shared" si="266"/>
        <v/>
      </c>
      <c r="V3389" s="212" t="s">
        <v>50</v>
      </c>
      <c r="W3389" s="100" t="s">
        <v>168</v>
      </c>
      <c r="X3389" s="100" t="s">
        <v>169</v>
      </c>
      <c r="Y3389" s="101" t="s">
        <v>170</v>
      </c>
      <c r="Z3389" s="101" t="s">
        <v>171</v>
      </c>
      <c r="AA3389" s="101" t="s">
        <v>50</v>
      </c>
      <c r="AB3389" s="101" t="s">
        <v>172</v>
      </c>
      <c r="AC3389" s="102" t="s">
        <v>173</v>
      </c>
    </row>
    <row r="3390" spans="1:29" ht="25.5" customHeight="1" x14ac:dyDescent="0.35">
      <c r="A3390" s="392"/>
      <c r="B3390" s="393"/>
      <c r="C3390" s="99" t="str">
        <f>IF(B3390="","",IF(NOT(ISNUMBER(B3390)),"DATA_PC invalida",IF(NOT(ISNUMBER(parametros!$C$2)),"Fora dos ciclos",IF(OR(B3390&lt;parametros!$C$2,(YEAR(B3390)-YEAR(parametros!$C$2))*12+MONTH(B3390)-MONTH(parametros!$C$2)&gt;59),"Fora dos ciclos","C"&amp;INT(((YEAR(B3390)-YEAR(parametros!$C$2))*12+MONTH(B3390)-MONTH(parametros!$C$2))/12)))))</f>
        <v/>
      </c>
      <c r="D3390" s="394"/>
      <c r="E3390" s="78" t="str">
        <f>IF(C3390="","",IFERROR(VLOOKUP(C3390,parametros!$A$11:$E$15,5,0),""))</f>
        <v/>
      </c>
      <c r="F3390" s="79" t="str">
        <f t="shared" si="262"/>
        <v/>
      </c>
      <c r="G3390" s="395"/>
      <c r="H3390" s="91">
        <f t="shared" si="263"/>
        <v>0</v>
      </c>
      <c r="I3390" s="91" t="str">
        <f t="shared" si="264"/>
        <v/>
      </c>
      <c r="J3390" s="91" t="str">
        <f t="shared" si="265"/>
        <v/>
      </c>
      <c r="K3390" s="92" t="str">
        <f>IF(AND(A3390="",B3390="",D3390="",G3390=""),"",IF(AND(A3390&lt;&gt;"",COUNTIF($A$2:$A$5001,A3390)&gt;1),"NUMERO_PC duplicado",IF(B3390="","DATA_PC vazia",IF(NOT(ISNUMBER(B3390)),"DATA_PC invalida",IF(OR(C3390="",C3390="Fora dos ciclos"),"CICLO_PC nao identificado",IF(OR(D3390="",D3390=0),"VALOR_PC vazio ou zero",IF(AND(G3390&lt;&gt;"Sim",G3390&lt;&gt;"Nao",G3390&lt;&gt;""),"PC_PAGO_A_CONTRATADA invalido",IF(AND(C3390&lt;&gt;"C0",IFERROR(INDEX(parametros!$A$2:$A$6,MATCH(C3390,parametros!$B$2:$B$6,0)),"")="Sim",IFERROR(INDEX(parametros!$H$2:$H$6,MATCH(C3390,parametros!$B$2:$B$6,0)),"")=""),"INICIO_EFEITO ausente: PC "&amp;A3390&amp;" - "&amp;C3390,IF(L3390="","EFEITO_PC nao calculado: PC "&amp;A3390&amp;" - "&amp;C3390,"OK")))))))))</f>
        <v/>
      </c>
      <c r="L3390" s="92" t="str">
        <f>IF(AND(A3390="",B3390="",D3390="",G3390=""),"",IF(OR(B3390="",NOT(ISNUMBER(B3390)),C3390="",C3390="Fora dos ciclos"),"",IF(C3390="C0","Nao",IF(IFERROR(INDEX(parametros!$A$2:$A$6,MATCH(C3390,parametros!$B$2:$B$6,0)),"")&lt;&gt;"Sim","Nao",IF(IFERROR(INDEX(parametros!$H$2:$H$6,MATCH(C3390,parametros!$B$2:$B$6,0)),"")="","",IF(B3390&gt;=IFERROR(INDEX(parametros!$H$2:$H$6,MATCH(C3390,parametros!$B$2:$B$6,0)),""),"Sim","Nao"))))))</f>
        <v/>
      </c>
      <c r="T3390" s="156"/>
      <c r="U3390" s="214" t="str">
        <f t="shared" si="266"/>
        <v/>
      </c>
      <c r="V3390" s="212" t="s">
        <v>50</v>
      </c>
      <c r="W3390" s="100" t="s">
        <v>168</v>
      </c>
      <c r="X3390" s="100" t="s">
        <v>169</v>
      </c>
      <c r="Y3390" s="101" t="s">
        <v>170</v>
      </c>
      <c r="Z3390" s="101" t="s">
        <v>171</v>
      </c>
      <c r="AA3390" s="101" t="s">
        <v>50</v>
      </c>
      <c r="AB3390" s="101" t="s">
        <v>172</v>
      </c>
      <c r="AC3390" s="102" t="s">
        <v>173</v>
      </c>
    </row>
    <row r="3391" spans="1:29" ht="25.5" customHeight="1" x14ac:dyDescent="0.35">
      <c r="A3391" s="392"/>
      <c r="B3391" s="393"/>
      <c r="C3391" s="99" t="str">
        <f>IF(B3391="","",IF(NOT(ISNUMBER(B3391)),"DATA_PC invalida",IF(NOT(ISNUMBER(parametros!$C$2)),"Fora dos ciclos",IF(OR(B3391&lt;parametros!$C$2,(YEAR(B3391)-YEAR(parametros!$C$2))*12+MONTH(B3391)-MONTH(parametros!$C$2)&gt;59),"Fora dos ciclos","C"&amp;INT(((YEAR(B3391)-YEAR(parametros!$C$2))*12+MONTH(B3391)-MONTH(parametros!$C$2))/12)))))</f>
        <v/>
      </c>
      <c r="D3391" s="394"/>
      <c r="E3391" s="78" t="str">
        <f>IF(C3391="","",IFERROR(VLOOKUP(C3391,parametros!$A$11:$E$15,5,0),""))</f>
        <v/>
      </c>
      <c r="F3391" s="79" t="str">
        <f t="shared" si="262"/>
        <v/>
      </c>
      <c r="G3391" s="395"/>
      <c r="H3391" s="91">
        <f t="shared" si="263"/>
        <v>0</v>
      </c>
      <c r="I3391" s="91" t="str">
        <f t="shared" si="264"/>
        <v/>
      </c>
      <c r="J3391" s="91" t="str">
        <f t="shared" si="265"/>
        <v/>
      </c>
      <c r="K3391" s="92" t="str">
        <f>IF(AND(A3391="",B3391="",D3391="",G3391=""),"",IF(AND(A3391&lt;&gt;"",COUNTIF($A$2:$A$5001,A3391)&gt;1),"NUMERO_PC duplicado",IF(B3391="","DATA_PC vazia",IF(NOT(ISNUMBER(B3391)),"DATA_PC invalida",IF(OR(C3391="",C3391="Fora dos ciclos"),"CICLO_PC nao identificado",IF(OR(D3391="",D3391=0),"VALOR_PC vazio ou zero",IF(AND(G3391&lt;&gt;"Sim",G3391&lt;&gt;"Nao",G3391&lt;&gt;""),"PC_PAGO_A_CONTRATADA invalido",IF(AND(C3391&lt;&gt;"C0",IFERROR(INDEX(parametros!$A$2:$A$6,MATCH(C3391,parametros!$B$2:$B$6,0)),"")="Sim",IFERROR(INDEX(parametros!$H$2:$H$6,MATCH(C3391,parametros!$B$2:$B$6,0)),"")=""),"INICIO_EFEITO ausente: PC "&amp;A3391&amp;" - "&amp;C3391,IF(L3391="","EFEITO_PC nao calculado: PC "&amp;A3391&amp;" - "&amp;C3391,"OK")))))))))</f>
        <v/>
      </c>
      <c r="L3391" s="92" t="str">
        <f>IF(AND(A3391="",B3391="",D3391="",G3391=""),"",IF(OR(B3391="",NOT(ISNUMBER(B3391)),C3391="",C3391="Fora dos ciclos"),"",IF(C3391="C0","Nao",IF(IFERROR(INDEX(parametros!$A$2:$A$6,MATCH(C3391,parametros!$B$2:$B$6,0)),"")&lt;&gt;"Sim","Nao",IF(IFERROR(INDEX(parametros!$H$2:$H$6,MATCH(C3391,parametros!$B$2:$B$6,0)),"")="","",IF(B3391&gt;=IFERROR(INDEX(parametros!$H$2:$H$6,MATCH(C3391,parametros!$B$2:$B$6,0)),""),"Sim","Nao"))))))</f>
        <v/>
      </c>
      <c r="T3391" s="156"/>
      <c r="U3391" s="214" t="str">
        <f t="shared" si="266"/>
        <v/>
      </c>
      <c r="V3391" s="212" t="s">
        <v>50</v>
      </c>
      <c r="W3391" s="100" t="s">
        <v>168</v>
      </c>
      <c r="X3391" s="100" t="s">
        <v>169</v>
      </c>
      <c r="Y3391" s="101" t="s">
        <v>170</v>
      </c>
      <c r="Z3391" s="101" t="s">
        <v>171</v>
      </c>
      <c r="AA3391" s="101" t="s">
        <v>50</v>
      </c>
      <c r="AB3391" s="101" t="s">
        <v>172</v>
      </c>
      <c r="AC3391" s="102" t="s">
        <v>173</v>
      </c>
    </row>
    <row r="3392" spans="1:29" ht="25.5" customHeight="1" x14ac:dyDescent="0.35">
      <c r="A3392" s="392"/>
      <c r="B3392" s="393"/>
      <c r="C3392" s="99" t="str">
        <f>IF(B3392="","",IF(NOT(ISNUMBER(B3392)),"DATA_PC invalida",IF(NOT(ISNUMBER(parametros!$C$2)),"Fora dos ciclos",IF(OR(B3392&lt;parametros!$C$2,(YEAR(B3392)-YEAR(parametros!$C$2))*12+MONTH(B3392)-MONTH(parametros!$C$2)&gt;59),"Fora dos ciclos","C"&amp;INT(((YEAR(B3392)-YEAR(parametros!$C$2))*12+MONTH(B3392)-MONTH(parametros!$C$2))/12)))))</f>
        <v/>
      </c>
      <c r="D3392" s="394"/>
      <c r="E3392" s="78" t="str">
        <f>IF(C3392="","",IFERROR(VLOOKUP(C3392,parametros!$A$11:$E$15,5,0),""))</f>
        <v/>
      </c>
      <c r="F3392" s="79" t="str">
        <f t="shared" si="262"/>
        <v/>
      </c>
      <c r="G3392" s="395"/>
      <c r="H3392" s="91">
        <f t="shared" si="263"/>
        <v>0</v>
      </c>
      <c r="I3392" s="91" t="str">
        <f t="shared" si="264"/>
        <v/>
      </c>
      <c r="J3392" s="91" t="str">
        <f t="shared" si="265"/>
        <v/>
      </c>
      <c r="K3392" s="92" t="str">
        <f>IF(AND(A3392="",B3392="",D3392="",G3392=""),"",IF(AND(A3392&lt;&gt;"",COUNTIF($A$2:$A$5001,A3392)&gt;1),"NUMERO_PC duplicado",IF(B3392="","DATA_PC vazia",IF(NOT(ISNUMBER(B3392)),"DATA_PC invalida",IF(OR(C3392="",C3392="Fora dos ciclos"),"CICLO_PC nao identificado",IF(OR(D3392="",D3392=0),"VALOR_PC vazio ou zero",IF(AND(G3392&lt;&gt;"Sim",G3392&lt;&gt;"Nao",G3392&lt;&gt;""),"PC_PAGO_A_CONTRATADA invalido",IF(AND(C3392&lt;&gt;"C0",IFERROR(INDEX(parametros!$A$2:$A$6,MATCH(C3392,parametros!$B$2:$B$6,0)),"")="Sim",IFERROR(INDEX(parametros!$H$2:$H$6,MATCH(C3392,parametros!$B$2:$B$6,0)),"")=""),"INICIO_EFEITO ausente: PC "&amp;A3392&amp;" - "&amp;C3392,IF(L3392="","EFEITO_PC nao calculado: PC "&amp;A3392&amp;" - "&amp;C3392,"OK")))))))))</f>
        <v/>
      </c>
      <c r="L3392" s="92" t="str">
        <f>IF(AND(A3392="",B3392="",D3392="",G3392=""),"",IF(OR(B3392="",NOT(ISNUMBER(B3392)),C3392="",C3392="Fora dos ciclos"),"",IF(C3392="C0","Nao",IF(IFERROR(INDEX(parametros!$A$2:$A$6,MATCH(C3392,parametros!$B$2:$B$6,0)),"")&lt;&gt;"Sim","Nao",IF(IFERROR(INDEX(parametros!$H$2:$H$6,MATCH(C3392,parametros!$B$2:$B$6,0)),"")="","",IF(B3392&gt;=IFERROR(INDEX(parametros!$H$2:$H$6,MATCH(C3392,parametros!$B$2:$B$6,0)),""),"Sim","Nao"))))))</f>
        <v/>
      </c>
      <c r="T3392" s="156"/>
      <c r="U3392" s="214" t="str">
        <f t="shared" si="266"/>
        <v/>
      </c>
      <c r="V3392" s="212" t="s">
        <v>50</v>
      </c>
      <c r="W3392" s="100" t="s">
        <v>168</v>
      </c>
      <c r="X3392" s="100" t="s">
        <v>169</v>
      </c>
      <c r="Y3392" s="101" t="s">
        <v>170</v>
      </c>
      <c r="Z3392" s="101" t="s">
        <v>171</v>
      </c>
      <c r="AA3392" s="101" t="s">
        <v>50</v>
      </c>
      <c r="AB3392" s="101" t="s">
        <v>172</v>
      </c>
      <c r="AC3392" s="102" t="s">
        <v>173</v>
      </c>
    </row>
    <row r="3393" spans="1:29" ht="25.5" customHeight="1" x14ac:dyDescent="0.35">
      <c r="A3393" s="392"/>
      <c r="B3393" s="393"/>
      <c r="C3393" s="99" t="str">
        <f>IF(B3393="","",IF(NOT(ISNUMBER(B3393)),"DATA_PC invalida",IF(NOT(ISNUMBER(parametros!$C$2)),"Fora dos ciclos",IF(OR(B3393&lt;parametros!$C$2,(YEAR(B3393)-YEAR(parametros!$C$2))*12+MONTH(B3393)-MONTH(parametros!$C$2)&gt;59),"Fora dos ciclos","C"&amp;INT(((YEAR(B3393)-YEAR(parametros!$C$2))*12+MONTH(B3393)-MONTH(parametros!$C$2))/12)))))</f>
        <v/>
      </c>
      <c r="D3393" s="394"/>
      <c r="E3393" s="78" t="str">
        <f>IF(C3393="","",IFERROR(VLOOKUP(C3393,parametros!$A$11:$E$15,5,0),""))</f>
        <v/>
      </c>
      <c r="F3393" s="79" t="str">
        <f t="shared" si="262"/>
        <v/>
      </c>
      <c r="G3393" s="395"/>
      <c r="H3393" s="91">
        <f t="shared" si="263"/>
        <v>0</v>
      </c>
      <c r="I3393" s="91" t="str">
        <f t="shared" si="264"/>
        <v/>
      </c>
      <c r="J3393" s="91" t="str">
        <f t="shared" si="265"/>
        <v/>
      </c>
      <c r="K3393" s="92" t="str">
        <f>IF(AND(A3393="",B3393="",D3393="",G3393=""),"",IF(AND(A3393&lt;&gt;"",COUNTIF($A$2:$A$5001,A3393)&gt;1),"NUMERO_PC duplicado",IF(B3393="","DATA_PC vazia",IF(NOT(ISNUMBER(B3393)),"DATA_PC invalida",IF(OR(C3393="",C3393="Fora dos ciclos"),"CICLO_PC nao identificado",IF(OR(D3393="",D3393=0),"VALOR_PC vazio ou zero",IF(AND(G3393&lt;&gt;"Sim",G3393&lt;&gt;"Nao",G3393&lt;&gt;""),"PC_PAGO_A_CONTRATADA invalido",IF(AND(C3393&lt;&gt;"C0",IFERROR(INDEX(parametros!$A$2:$A$6,MATCH(C3393,parametros!$B$2:$B$6,0)),"")="Sim",IFERROR(INDEX(parametros!$H$2:$H$6,MATCH(C3393,parametros!$B$2:$B$6,0)),"")=""),"INICIO_EFEITO ausente: PC "&amp;A3393&amp;" - "&amp;C3393,IF(L3393="","EFEITO_PC nao calculado: PC "&amp;A3393&amp;" - "&amp;C3393,"OK")))))))))</f>
        <v/>
      </c>
      <c r="L3393" s="92" t="str">
        <f>IF(AND(A3393="",B3393="",D3393="",G3393=""),"",IF(OR(B3393="",NOT(ISNUMBER(B3393)),C3393="",C3393="Fora dos ciclos"),"",IF(C3393="C0","Nao",IF(IFERROR(INDEX(parametros!$A$2:$A$6,MATCH(C3393,parametros!$B$2:$B$6,0)),"")&lt;&gt;"Sim","Nao",IF(IFERROR(INDEX(parametros!$H$2:$H$6,MATCH(C3393,parametros!$B$2:$B$6,0)),"")="","",IF(B3393&gt;=IFERROR(INDEX(parametros!$H$2:$H$6,MATCH(C3393,parametros!$B$2:$B$6,0)),""),"Sim","Nao"))))))</f>
        <v/>
      </c>
      <c r="T3393" s="156"/>
      <c r="U3393" s="214" t="str">
        <f t="shared" si="266"/>
        <v/>
      </c>
      <c r="V3393" s="212" t="s">
        <v>50</v>
      </c>
      <c r="W3393" s="100" t="s">
        <v>168</v>
      </c>
      <c r="X3393" s="100" t="s">
        <v>169</v>
      </c>
      <c r="Y3393" s="101" t="s">
        <v>170</v>
      </c>
      <c r="Z3393" s="101" t="s">
        <v>171</v>
      </c>
      <c r="AA3393" s="101" t="s">
        <v>50</v>
      </c>
      <c r="AB3393" s="101" t="s">
        <v>172</v>
      </c>
      <c r="AC3393" s="102" t="s">
        <v>173</v>
      </c>
    </row>
    <row r="3394" spans="1:29" ht="25.5" customHeight="1" x14ac:dyDescent="0.35">
      <c r="A3394" s="392"/>
      <c r="B3394" s="393"/>
      <c r="C3394" s="99" t="str">
        <f>IF(B3394="","",IF(NOT(ISNUMBER(B3394)),"DATA_PC invalida",IF(NOT(ISNUMBER(parametros!$C$2)),"Fora dos ciclos",IF(OR(B3394&lt;parametros!$C$2,(YEAR(B3394)-YEAR(parametros!$C$2))*12+MONTH(B3394)-MONTH(parametros!$C$2)&gt;59),"Fora dos ciclos","C"&amp;INT(((YEAR(B3394)-YEAR(parametros!$C$2))*12+MONTH(B3394)-MONTH(parametros!$C$2))/12)))))</f>
        <v/>
      </c>
      <c r="D3394" s="394"/>
      <c r="E3394" s="78" t="str">
        <f>IF(C3394="","",IFERROR(VLOOKUP(C3394,parametros!$A$11:$E$15,5,0),""))</f>
        <v/>
      </c>
      <c r="F3394" s="79" t="str">
        <f t="shared" ref="F3394:F3457" si="267">IF(OR(D3394="",E3394=""),"",ROUND(D3394*E3394,2))</f>
        <v/>
      </c>
      <c r="G3394" s="395"/>
      <c r="H3394" s="91">
        <f t="shared" ref="H3394:H3457" si="268">IF(G3394="Sim",IF(OR(F3394="",D3394="",L3394=""),"",IF(L3394="Sim",ROUND(F3394-D3394,2),0)),0)</f>
        <v>0</v>
      </c>
      <c r="I3394" s="91" t="str">
        <f t="shared" ref="I3394:I3457" si="269">IF(G3394="Sim",0,IF(OR(F3394="",L3394=""),"",F3394))</f>
        <v/>
      </c>
      <c r="J3394" s="91" t="str">
        <f t="shared" ref="J3394:J3457" si="270">IF(G3394="Sim",0,IF(OR(F3394="",D3394="",L3394=""),"",IF(L3394="Sim",ROUND(F3394-D3394,2),0)))</f>
        <v/>
      </c>
      <c r="K3394" s="92" t="str">
        <f>IF(AND(A3394="",B3394="",D3394="",G3394=""),"",IF(AND(A3394&lt;&gt;"",COUNTIF($A$2:$A$5001,A3394)&gt;1),"NUMERO_PC duplicado",IF(B3394="","DATA_PC vazia",IF(NOT(ISNUMBER(B3394)),"DATA_PC invalida",IF(OR(C3394="",C3394="Fora dos ciclos"),"CICLO_PC nao identificado",IF(OR(D3394="",D3394=0),"VALOR_PC vazio ou zero",IF(AND(G3394&lt;&gt;"Sim",G3394&lt;&gt;"Nao",G3394&lt;&gt;""),"PC_PAGO_A_CONTRATADA invalido",IF(AND(C3394&lt;&gt;"C0",IFERROR(INDEX(parametros!$A$2:$A$6,MATCH(C3394,parametros!$B$2:$B$6,0)),"")="Sim",IFERROR(INDEX(parametros!$H$2:$H$6,MATCH(C3394,parametros!$B$2:$B$6,0)),"")=""),"INICIO_EFEITO ausente: PC "&amp;A3394&amp;" - "&amp;C3394,IF(L3394="","EFEITO_PC nao calculado: PC "&amp;A3394&amp;" - "&amp;C3394,"OK")))))))))</f>
        <v/>
      </c>
      <c r="L3394" s="92" t="str">
        <f>IF(AND(A3394="",B3394="",D3394="",G3394=""),"",IF(OR(B3394="",NOT(ISNUMBER(B3394)),C3394="",C3394="Fora dos ciclos"),"",IF(C3394="C0","Nao",IF(IFERROR(INDEX(parametros!$A$2:$A$6,MATCH(C3394,parametros!$B$2:$B$6,0)),"")&lt;&gt;"Sim","Nao",IF(IFERROR(INDEX(parametros!$H$2:$H$6,MATCH(C3394,parametros!$B$2:$B$6,0)),"")="","",IF(B3394&gt;=IFERROR(INDEX(parametros!$H$2:$H$6,MATCH(C3394,parametros!$B$2:$B$6,0)),""),"Sim","Nao"))))))</f>
        <v/>
      </c>
      <c r="T3394" s="156"/>
      <c r="U3394" s="214" t="str">
        <f t="shared" ref="U3394:U3457" si="271">IF(OR($D3394="",$H3394=""),"",ROUND($D3394+$H3394,2))</f>
        <v/>
      </c>
      <c r="V3394" s="212" t="s">
        <v>50</v>
      </c>
      <c r="W3394" s="100" t="s">
        <v>168</v>
      </c>
      <c r="X3394" s="100" t="s">
        <v>169</v>
      </c>
      <c r="Y3394" s="101" t="s">
        <v>170</v>
      </c>
      <c r="Z3394" s="101" t="s">
        <v>171</v>
      </c>
      <c r="AA3394" s="101" t="s">
        <v>50</v>
      </c>
      <c r="AB3394" s="101" t="s">
        <v>172</v>
      </c>
      <c r="AC3394" s="102" t="s">
        <v>173</v>
      </c>
    </row>
    <row r="3395" spans="1:29" ht="25.5" customHeight="1" x14ac:dyDescent="0.35">
      <c r="A3395" s="392"/>
      <c r="B3395" s="393"/>
      <c r="C3395" s="99" t="str">
        <f>IF(B3395="","",IF(NOT(ISNUMBER(B3395)),"DATA_PC invalida",IF(NOT(ISNUMBER(parametros!$C$2)),"Fora dos ciclos",IF(OR(B3395&lt;parametros!$C$2,(YEAR(B3395)-YEAR(parametros!$C$2))*12+MONTH(B3395)-MONTH(parametros!$C$2)&gt;59),"Fora dos ciclos","C"&amp;INT(((YEAR(B3395)-YEAR(parametros!$C$2))*12+MONTH(B3395)-MONTH(parametros!$C$2))/12)))))</f>
        <v/>
      </c>
      <c r="D3395" s="394"/>
      <c r="E3395" s="78" t="str">
        <f>IF(C3395="","",IFERROR(VLOOKUP(C3395,parametros!$A$11:$E$15,5,0),""))</f>
        <v/>
      </c>
      <c r="F3395" s="79" t="str">
        <f t="shared" si="267"/>
        <v/>
      </c>
      <c r="G3395" s="395"/>
      <c r="H3395" s="91">
        <f t="shared" si="268"/>
        <v>0</v>
      </c>
      <c r="I3395" s="91" t="str">
        <f t="shared" si="269"/>
        <v/>
      </c>
      <c r="J3395" s="91" t="str">
        <f t="shared" si="270"/>
        <v/>
      </c>
      <c r="K3395" s="92" t="str">
        <f>IF(AND(A3395="",B3395="",D3395="",G3395=""),"",IF(AND(A3395&lt;&gt;"",COUNTIF($A$2:$A$5001,A3395)&gt;1),"NUMERO_PC duplicado",IF(B3395="","DATA_PC vazia",IF(NOT(ISNUMBER(B3395)),"DATA_PC invalida",IF(OR(C3395="",C3395="Fora dos ciclos"),"CICLO_PC nao identificado",IF(OR(D3395="",D3395=0),"VALOR_PC vazio ou zero",IF(AND(G3395&lt;&gt;"Sim",G3395&lt;&gt;"Nao",G3395&lt;&gt;""),"PC_PAGO_A_CONTRATADA invalido",IF(AND(C3395&lt;&gt;"C0",IFERROR(INDEX(parametros!$A$2:$A$6,MATCH(C3395,parametros!$B$2:$B$6,0)),"")="Sim",IFERROR(INDEX(parametros!$H$2:$H$6,MATCH(C3395,parametros!$B$2:$B$6,0)),"")=""),"INICIO_EFEITO ausente: PC "&amp;A3395&amp;" - "&amp;C3395,IF(L3395="","EFEITO_PC nao calculado: PC "&amp;A3395&amp;" - "&amp;C3395,"OK")))))))))</f>
        <v/>
      </c>
      <c r="L3395" s="92" t="str">
        <f>IF(AND(A3395="",B3395="",D3395="",G3395=""),"",IF(OR(B3395="",NOT(ISNUMBER(B3395)),C3395="",C3395="Fora dos ciclos"),"",IF(C3395="C0","Nao",IF(IFERROR(INDEX(parametros!$A$2:$A$6,MATCH(C3395,parametros!$B$2:$B$6,0)),"")&lt;&gt;"Sim","Nao",IF(IFERROR(INDEX(parametros!$H$2:$H$6,MATCH(C3395,parametros!$B$2:$B$6,0)),"")="","",IF(B3395&gt;=IFERROR(INDEX(parametros!$H$2:$H$6,MATCH(C3395,parametros!$B$2:$B$6,0)),""),"Sim","Nao"))))))</f>
        <v/>
      </c>
      <c r="T3395" s="156"/>
      <c r="U3395" s="214" t="str">
        <f t="shared" si="271"/>
        <v/>
      </c>
      <c r="V3395" s="212" t="s">
        <v>50</v>
      </c>
      <c r="W3395" s="100" t="s">
        <v>168</v>
      </c>
      <c r="X3395" s="100" t="s">
        <v>169</v>
      </c>
      <c r="Y3395" s="101" t="s">
        <v>170</v>
      </c>
      <c r="Z3395" s="101" t="s">
        <v>171</v>
      </c>
      <c r="AA3395" s="101" t="s">
        <v>50</v>
      </c>
      <c r="AB3395" s="101" t="s">
        <v>172</v>
      </c>
      <c r="AC3395" s="102" t="s">
        <v>173</v>
      </c>
    </row>
    <row r="3396" spans="1:29" ht="25.5" customHeight="1" x14ac:dyDescent="0.35">
      <c r="A3396" s="392"/>
      <c r="B3396" s="393"/>
      <c r="C3396" s="99" t="str">
        <f>IF(B3396="","",IF(NOT(ISNUMBER(B3396)),"DATA_PC invalida",IF(NOT(ISNUMBER(parametros!$C$2)),"Fora dos ciclos",IF(OR(B3396&lt;parametros!$C$2,(YEAR(B3396)-YEAR(parametros!$C$2))*12+MONTH(B3396)-MONTH(parametros!$C$2)&gt;59),"Fora dos ciclos","C"&amp;INT(((YEAR(B3396)-YEAR(parametros!$C$2))*12+MONTH(B3396)-MONTH(parametros!$C$2))/12)))))</f>
        <v/>
      </c>
      <c r="D3396" s="394"/>
      <c r="E3396" s="78" t="str">
        <f>IF(C3396="","",IFERROR(VLOOKUP(C3396,parametros!$A$11:$E$15,5,0),""))</f>
        <v/>
      </c>
      <c r="F3396" s="79" t="str">
        <f t="shared" si="267"/>
        <v/>
      </c>
      <c r="G3396" s="395"/>
      <c r="H3396" s="91">
        <f t="shared" si="268"/>
        <v>0</v>
      </c>
      <c r="I3396" s="91" t="str">
        <f t="shared" si="269"/>
        <v/>
      </c>
      <c r="J3396" s="91" t="str">
        <f t="shared" si="270"/>
        <v/>
      </c>
      <c r="K3396" s="92" t="str">
        <f>IF(AND(A3396="",B3396="",D3396="",G3396=""),"",IF(AND(A3396&lt;&gt;"",COUNTIF($A$2:$A$5001,A3396)&gt;1),"NUMERO_PC duplicado",IF(B3396="","DATA_PC vazia",IF(NOT(ISNUMBER(B3396)),"DATA_PC invalida",IF(OR(C3396="",C3396="Fora dos ciclos"),"CICLO_PC nao identificado",IF(OR(D3396="",D3396=0),"VALOR_PC vazio ou zero",IF(AND(G3396&lt;&gt;"Sim",G3396&lt;&gt;"Nao",G3396&lt;&gt;""),"PC_PAGO_A_CONTRATADA invalido",IF(AND(C3396&lt;&gt;"C0",IFERROR(INDEX(parametros!$A$2:$A$6,MATCH(C3396,parametros!$B$2:$B$6,0)),"")="Sim",IFERROR(INDEX(parametros!$H$2:$H$6,MATCH(C3396,parametros!$B$2:$B$6,0)),"")=""),"INICIO_EFEITO ausente: PC "&amp;A3396&amp;" - "&amp;C3396,IF(L3396="","EFEITO_PC nao calculado: PC "&amp;A3396&amp;" - "&amp;C3396,"OK")))))))))</f>
        <v/>
      </c>
      <c r="L3396" s="92" t="str">
        <f>IF(AND(A3396="",B3396="",D3396="",G3396=""),"",IF(OR(B3396="",NOT(ISNUMBER(B3396)),C3396="",C3396="Fora dos ciclos"),"",IF(C3396="C0","Nao",IF(IFERROR(INDEX(parametros!$A$2:$A$6,MATCH(C3396,parametros!$B$2:$B$6,0)),"")&lt;&gt;"Sim","Nao",IF(IFERROR(INDEX(parametros!$H$2:$H$6,MATCH(C3396,parametros!$B$2:$B$6,0)),"")="","",IF(B3396&gt;=IFERROR(INDEX(parametros!$H$2:$H$6,MATCH(C3396,parametros!$B$2:$B$6,0)),""),"Sim","Nao"))))))</f>
        <v/>
      </c>
      <c r="T3396" s="156"/>
      <c r="U3396" s="214" t="str">
        <f t="shared" si="271"/>
        <v/>
      </c>
      <c r="V3396" s="212" t="s">
        <v>50</v>
      </c>
      <c r="W3396" s="100" t="s">
        <v>168</v>
      </c>
      <c r="X3396" s="100" t="s">
        <v>169</v>
      </c>
      <c r="Y3396" s="101" t="s">
        <v>170</v>
      </c>
      <c r="Z3396" s="101" t="s">
        <v>171</v>
      </c>
      <c r="AA3396" s="101" t="s">
        <v>50</v>
      </c>
      <c r="AB3396" s="101" t="s">
        <v>172</v>
      </c>
      <c r="AC3396" s="102" t="s">
        <v>173</v>
      </c>
    </row>
    <row r="3397" spans="1:29" ht="25.5" customHeight="1" x14ac:dyDescent="0.35">
      <c r="A3397" s="392"/>
      <c r="B3397" s="393"/>
      <c r="C3397" s="99" t="str">
        <f>IF(B3397="","",IF(NOT(ISNUMBER(B3397)),"DATA_PC invalida",IF(NOT(ISNUMBER(parametros!$C$2)),"Fora dos ciclos",IF(OR(B3397&lt;parametros!$C$2,(YEAR(B3397)-YEAR(parametros!$C$2))*12+MONTH(B3397)-MONTH(parametros!$C$2)&gt;59),"Fora dos ciclos","C"&amp;INT(((YEAR(B3397)-YEAR(parametros!$C$2))*12+MONTH(B3397)-MONTH(parametros!$C$2))/12)))))</f>
        <v/>
      </c>
      <c r="D3397" s="394"/>
      <c r="E3397" s="78" t="str">
        <f>IF(C3397="","",IFERROR(VLOOKUP(C3397,parametros!$A$11:$E$15,5,0),""))</f>
        <v/>
      </c>
      <c r="F3397" s="79" t="str">
        <f t="shared" si="267"/>
        <v/>
      </c>
      <c r="G3397" s="395"/>
      <c r="H3397" s="91">
        <f t="shared" si="268"/>
        <v>0</v>
      </c>
      <c r="I3397" s="91" t="str">
        <f t="shared" si="269"/>
        <v/>
      </c>
      <c r="J3397" s="91" t="str">
        <f t="shared" si="270"/>
        <v/>
      </c>
      <c r="K3397" s="92" t="str">
        <f>IF(AND(A3397="",B3397="",D3397="",G3397=""),"",IF(AND(A3397&lt;&gt;"",COUNTIF($A$2:$A$5001,A3397)&gt;1),"NUMERO_PC duplicado",IF(B3397="","DATA_PC vazia",IF(NOT(ISNUMBER(B3397)),"DATA_PC invalida",IF(OR(C3397="",C3397="Fora dos ciclos"),"CICLO_PC nao identificado",IF(OR(D3397="",D3397=0),"VALOR_PC vazio ou zero",IF(AND(G3397&lt;&gt;"Sim",G3397&lt;&gt;"Nao",G3397&lt;&gt;""),"PC_PAGO_A_CONTRATADA invalido",IF(AND(C3397&lt;&gt;"C0",IFERROR(INDEX(parametros!$A$2:$A$6,MATCH(C3397,parametros!$B$2:$B$6,0)),"")="Sim",IFERROR(INDEX(parametros!$H$2:$H$6,MATCH(C3397,parametros!$B$2:$B$6,0)),"")=""),"INICIO_EFEITO ausente: PC "&amp;A3397&amp;" - "&amp;C3397,IF(L3397="","EFEITO_PC nao calculado: PC "&amp;A3397&amp;" - "&amp;C3397,"OK")))))))))</f>
        <v/>
      </c>
      <c r="L3397" s="92" t="str">
        <f>IF(AND(A3397="",B3397="",D3397="",G3397=""),"",IF(OR(B3397="",NOT(ISNUMBER(B3397)),C3397="",C3397="Fora dos ciclos"),"",IF(C3397="C0","Nao",IF(IFERROR(INDEX(parametros!$A$2:$A$6,MATCH(C3397,parametros!$B$2:$B$6,0)),"")&lt;&gt;"Sim","Nao",IF(IFERROR(INDEX(parametros!$H$2:$H$6,MATCH(C3397,parametros!$B$2:$B$6,0)),"")="","",IF(B3397&gt;=IFERROR(INDEX(parametros!$H$2:$H$6,MATCH(C3397,parametros!$B$2:$B$6,0)),""),"Sim","Nao"))))))</f>
        <v/>
      </c>
      <c r="T3397" s="156"/>
      <c r="U3397" s="214" t="str">
        <f t="shared" si="271"/>
        <v/>
      </c>
      <c r="V3397" s="212" t="s">
        <v>50</v>
      </c>
      <c r="W3397" s="100" t="s">
        <v>168</v>
      </c>
      <c r="X3397" s="100" t="s">
        <v>169</v>
      </c>
      <c r="Y3397" s="101" t="s">
        <v>170</v>
      </c>
      <c r="Z3397" s="101" t="s">
        <v>171</v>
      </c>
      <c r="AA3397" s="101" t="s">
        <v>50</v>
      </c>
      <c r="AB3397" s="101" t="s">
        <v>172</v>
      </c>
      <c r="AC3397" s="102" t="s">
        <v>173</v>
      </c>
    </row>
    <row r="3398" spans="1:29" ht="25.5" customHeight="1" x14ac:dyDescent="0.35">
      <c r="A3398" s="392"/>
      <c r="B3398" s="393"/>
      <c r="C3398" s="99" t="str">
        <f>IF(B3398="","",IF(NOT(ISNUMBER(B3398)),"DATA_PC invalida",IF(NOT(ISNUMBER(parametros!$C$2)),"Fora dos ciclos",IF(OR(B3398&lt;parametros!$C$2,(YEAR(B3398)-YEAR(parametros!$C$2))*12+MONTH(B3398)-MONTH(parametros!$C$2)&gt;59),"Fora dos ciclos","C"&amp;INT(((YEAR(B3398)-YEAR(parametros!$C$2))*12+MONTH(B3398)-MONTH(parametros!$C$2))/12)))))</f>
        <v/>
      </c>
      <c r="D3398" s="394"/>
      <c r="E3398" s="78" t="str">
        <f>IF(C3398="","",IFERROR(VLOOKUP(C3398,parametros!$A$11:$E$15,5,0),""))</f>
        <v/>
      </c>
      <c r="F3398" s="79" t="str">
        <f t="shared" si="267"/>
        <v/>
      </c>
      <c r="G3398" s="395"/>
      <c r="H3398" s="91">
        <f t="shared" si="268"/>
        <v>0</v>
      </c>
      <c r="I3398" s="91" t="str">
        <f t="shared" si="269"/>
        <v/>
      </c>
      <c r="J3398" s="91" t="str">
        <f t="shared" si="270"/>
        <v/>
      </c>
      <c r="K3398" s="92" t="str">
        <f>IF(AND(A3398="",B3398="",D3398="",G3398=""),"",IF(AND(A3398&lt;&gt;"",COUNTIF($A$2:$A$5001,A3398)&gt;1),"NUMERO_PC duplicado",IF(B3398="","DATA_PC vazia",IF(NOT(ISNUMBER(B3398)),"DATA_PC invalida",IF(OR(C3398="",C3398="Fora dos ciclos"),"CICLO_PC nao identificado",IF(OR(D3398="",D3398=0),"VALOR_PC vazio ou zero",IF(AND(G3398&lt;&gt;"Sim",G3398&lt;&gt;"Nao",G3398&lt;&gt;""),"PC_PAGO_A_CONTRATADA invalido",IF(AND(C3398&lt;&gt;"C0",IFERROR(INDEX(parametros!$A$2:$A$6,MATCH(C3398,parametros!$B$2:$B$6,0)),"")="Sim",IFERROR(INDEX(parametros!$H$2:$H$6,MATCH(C3398,parametros!$B$2:$B$6,0)),"")=""),"INICIO_EFEITO ausente: PC "&amp;A3398&amp;" - "&amp;C3398,IF(L3398="","EFEITO_PC nao calculado: PC "&amp;A3398&amp;" - "&amp;C3398,"OK")))))))))</f>
        <v/>
      </c>
      <c r="L3398" s="92" t="str">
        <f>IF(AND(A3398="",B3398="",D3398="",G3398=""),"",IF(OR(B3398="",NOT(ISNUMBER(B3398)),C3398="",C3398="Fora dos ciclos"),"",IF(C3398="C0","Nao",IF(IFERROR(INDEX(parametros!$A$2:$A$6,MATCH(C3398,parametros!$B$2:$B$6,0)),"")&lt;&gt;"Sim","Nao",IF(IFERROR(INDEX(parametros!$H$2:$H$6,MATCH(C3398,parametros!$B$2:$B$6,0)),"")="","",IF(B3398&gt;=IFERROR(INDEX(parametros!$H$2:$H$6,MATCH(C3398,parametros!$B$2:$B$6,0)),""),"Sim","Nao"))))))</f>
        <v/>
      </c>
      <c r="T3398" s="156"/>
      <c r="U3398" s="214" t="str">
        <f t="shared" si="271"/>
        <v/>
      </c>
      <c r="V3398" s="212" t="s">
        <v>50</v>
      </c>
      <c r="W3398" s="100" t="s">
        <v>168</v>
      </c>
      <c r="X3398" s="100" t="s">
        <v>169</v>
      </c>
      <c r="Y3398" s="101" t="s">
        <v>170</v>
      </c>
      <c r="Z3398" s="101" t="s">
        <v>171</v>
      </c>
      <c r="AA3398" s="101" t="s">
        <v>50</v>
      </c>
      <c r="AB3398" s="101" t="s">
        <v>172</v>
      </c>
      <c r="AC3398" s="102" t="s">
        <v>173</v>
      </c>
    </row>
    <row r="3399" spans="1:29" ht="25.5" customHeight="1" x14ac:dyDescent="0.35">
      <c r="A3399" s="392"/>
      <c r="B3399" s="393"/>
      <c r="C3399" s="99" t="str">
        <f>IF(B3399="","",IF(NOT(ISNUMBER(B3399)),"DATA_PC invalida",IF(NOT(ISNUMBER(parametros!$C$2)),"Fora dos ciclos",IF(OR(B3399&lt;parametros!$C$2,(YEAR(B3399)-YEAR(parametros!$C$2))*12+MONTH(B3399)-MONTH(parametros!$C$2)&gt;59),"Fora dos ciclos","C"&amp;INT(((YEAR(B3399)-YEAR(parametros!$C$2))*12+MONTH(B3399)-MONTH(parametros!$C$2))/12)))))</f>
        <v/>
      </c>
      <c r="D3399" s="394"/>
      <c r="E3399" s="78" t="str">
        <f>IF(C3399="","",IFERROR(VLOOKUP(C3399,parametros!$A$11:$E$15,5,0),""))</f>
        <v/>
      </c>
      <c r="F3399" s="79" t="str">
        <f t="shared" si="267"/>
        <v/>
      </c>
      <c r="G3399" s="395"/>
      <c r="H3399" s="91">
        <f t="shared" si="268"/>
        <v>0</v>
      </c>
      <c r="I3399" s="91" t="str">
        <f t="shared" si="269"/>
        <v/>
      </c>
      <c r="J3399" s="91" t="str">
        <f t="shared" si="270"/>
        <v/>
      </c>
      <c r="K3399" s="92" t="str">
        <f>IF(AND(A3399="",B3399="",D3399="",G3399=""),"",IF(AND(A3399&lt;&gt;"",COUNTIF($A$2:$A$5001,A3399)&gt;1),"NUMERO_PC duplicado",IF(B3399="","DATA_PC vazia",IF(NOT(ISNUMBER(B3399)),"DATA_PC invalida",IF(OR(C3399="",C3399="Fora dos ciclos"),"CICLO_PC nao identificado",IF(OR(D3399="",D3399=0),"VALOR_PC vazio ou zero",IF(AND(G3399&lt;&gt;"Sim",G3399&lt;&gt;"Nao",G3399&lt;&gt;""),"PC_PAGO_A_CONTRATADA invalido",IF(AND(C3399&lt;&gt;"C0",IFERROR(INDEX(parametros!$A$2:$A$6,MATCH(C3399,parametros!$B$2:$B$6,0)),"")="Sim",IFERROR(INDEX(parametros!$H$2:$H$6,MATCH(C3399,parametros!$B$2:$B$6,0)),"")=""),"INICIO_EFEITO ausente: PC "&amp;A3399&amp;" - "&amp;C3399,IF(L3399="","EFEITO_PC nao calculado: PC "&amp;A3399&amp;" - "&amp;C3399,"OK")))))))))</f>
        <v/>
      </c>
      <c r="L3399" s="92" t="str">
        <f>IF(AND(A3399="",B3399="",D3399="",G3399=""),"",IF(OR(B3399="",NOT(ISNUMBER(B3399)),C3399="",C3399="Fora dos ciclos"),"",IF(C3399="C0","Nao",IF(IFERROR(INDEX(parametros!$A$2:$A$6,MATCH(C3399,parametros!$B$2:$B$6,0)),"")&lt;&gt;"Sim","Nao",IF(IFERROR(INDEX(parametros!$H$2:$H$6,MATCH(C3399,parametros!$B$2:$B$6,0)),"")="","",IF(B3399&gt;=IFERROR(INDEX(parametros!$H$2:$H$6,MATCH(C3399,parametros!$B$2:$B$6,0)),""),"Sim","Nao"))))))</f>
        <v/>
      </c>
      <c r="T3399" s="156"/>
      <c r="U3399" s="214" t="str">
        <f t="shared" si="271"/>
        <v/>
      </c>
      <c r="V3399" s="212" t="s">
        <v>50</v>
      </c>
      <c r="W3399" s="100" t="s">
        <v>168</v>
      </c>
      <c r="X3399" s="100" t="s">
        <v>169</v>
      </c>
      <c r="Y3399" s="101" t="s">
        <v>170</v>
      </c>
      <c r="Z3399" s="101" t="s">
        <v>171</v>
      </c>
      <c r="AA3399" s="101" t="s">
        <v>50</v>
      </c>
      <c r="AB3399" s="101" t="s">
        <v>172</v>
      </c>
      <c r="AC3399" s="102" t="s">
        <v>173</v>
      </c>
    </row>
    <row r="3400" spans="1:29" ht="25.5" customHeight="1" x14ac:dyDescent="0.35">
      <c r="A3400" s="392"/>
      <c r="B3400" s="393"/>
      <c r="C3400" s="99" t="str">
        <f>IF(B3400="","",IF(NOT(ISNUMBER(B3400)),"DATA_PC invalida",IF(NOT(ISNUMBER(parametros!$C$2)),"Fora dos ciclos",IF(OR(B3400&lt;parametros!$C$2,(YEAR(B3400)-YEAR(parametros!$C$2))*12+MONTH(B3400)-MONTH(parametros!$C$2)&gt;59),"Fora dos ciclos","C"&amp;INT(((YEAR(B3400)-YEAR(parametros!$C$2))*12+MONTH(B3400)-MONTH(parametros!$C$2))/12)))))</f>
        <v/>
      </c>
      <c r="D3400" s="394"/>
      <c r="E3400" s="78" t="str">
        <f>IF(C3400="","",IFERROR(VLOOKUP(C3400,parametros!$A$11:$E$15,5,0),""))</f>
        <v/>
      </c>
      <c r="F3400" s="79" t="str">
        <f t="shared" si="267"/>
        <v/>
      </c>
      <c r="G3400" s="395"/>
      <c r="H3400" s="91">
        <f t="shared" si="268"/>
        <v>0</v>
      </c>
      <c r="I3400" s="91" t="str">
        <f t="shared" si="269"/>
        <v/>
      </c>
      <c r="J3400" s="91" t="str">
        <f t="shared" si="270"/>
        <v/>
      </c>
      <c r="K3400" s="92" t="str">
        <f>IF(AND(A3400="",B3400="",D3400="",G3400=""),"",IF(AND(A3400&lt;&gt;"",COUNTIF($A$2:$A$5001,A3400)&gt;1),"NUMERO_PC duplicado",IF(B3400="","DATA_PC vazia",IF(NOT(ISNUMBER(B3400)),"DATA_PC invalida",IF(OR(C3400="",C3400="Fora dos ciclos"),"CICLO_PC nao identificado",IF(OR(D3400="",D3400=0),"VALOR_PC vazio ou zero",IF(AND(G3400&lt;&gt;"Sim",G3400&lt;&gt;"Nao",G3400&lt;&gt;""),"PC_PAGO_A_CONTRATADA invalido",IF(AND(C3400&lt;&gt;"C0",IFERROR(INDEX(parametros!$A$2:$A$6,MATCH(C3400,parametros!$B$2:$B$6,0)),"")="Sim",IFERROR(INDEX(parametros!$H$2:$H$6,MATCH(C3400,parametros!$B$2:$B$6,0)),"")=""),"INICIO_EFEITO ausente: PC "&amp;A3400&amp;" - "&amp;C3400,IF(L3400="","EFEITO_PC nao calculado: PC "&amp;A3400&amp;" - "&amp;C3400,"OK")))))))))</f>
        <v/>
      </c>
      <c r="L3400" s="92" t="str">
        <f>IF(AND(A3400="",B3400="",D3400="",G3400=""),"",IF(OR(B3400="",NOT(ISNUMBER(B3400)),C3400="",C3400="Fora dos ciclos"),"",IF(C3400="C0","Nao",IF(IFERROR(INDEX(parametros!$A$2:$A$6,MATCH(C3400,parametros!$B$2:$B$6,0)),"")&lt;&gt;"Sim","Nao",IF(IFERROR(INDEX(parametros!$H$2:$H$6,MATCH(C3400,parametros!$B$2:$B$6,0)),"")="","",IF(B3400&gt;=IFERROR(INDEX(parametros!$H$2:$H$6,MATCH(C3400,parametros!$B$2:$B$6,0)),""),"Sim","Nao"))))))</f>
        <v/>
      </c>
      <c r="T3400" s="156"/>
      <c r="U3400" s="214" t="str">
        <f t="shared" si="271"/>
        <v/>
      </c>
      <c r="V3400" s="212" t="s">
        <v>50</v>
      </c>
      <c r="W3400" s="100" t="s">
        <v>168</v>
      </c>
      <c r="X3400" s="100" t="s">
        <v>169</v>
      </c>
      <c r="Y3400" s="101" t="s">
        <v>170</v>
      </c>
      <c r="Z3400" s="101" t="s">
        <v>171</v>
      </c>
      <c r="AA3400" s="101" t="s">
        <v>50</v>
      </c>
      <c r="AB3400" s="101" t="s">
        <v>172</v>
      </c>
      <c r="AC3400" s="102" t="s">
        <v>173</v>
      </c>
    </row>
    <row r="3401" spans="1:29" ht="25.5" customHeight="1" x14ac:dyDescent="0.35">
      <c r="A3401" s="392"/>
      <c r="B3401" s="393"/>
      <c r="C3401" s="99" t="str">
        <f>IF(B3401="","",IF(NOT(ISNUMBER(B3401)),"DATA_PC invalida",IF(NOT(ISNUMBER(parametros!$C$2)),"Fora dos ciclos",IF(OR(B3401&lt;parametros!$C$2,(YEAR(B3401)-YEAR(parametros!$C$2))*12+MONTH(B3401)-MONTH(parametros!$C$2)&gt;59),"Fora dos ciclos","C"&amp;INT(((YEAR(B3401)-YEAR(parametros!$C$2))*12+MONTH(B3401)-MONTH(parametros!$C$2))/12)))))</f>
        <v/>
      </c>
      <c r="D3401" s="394"/>
      <c r="E3401" s="78" t="str">
        <f>IF(C3401="","",IFERROR(VLOOKUP(C3401,parametros!$A$11:$E$15,5,0),""))</f>
        <v/>
      </c>
      <c r="F3401" s="79" t="str">
        <f t="shared" si="267"/>
        <v/>
      </c>
      <c r="G3401" s="395"/>
      <c r="H3401" s="91">
        <f t="shared" si="268"/>
        <v>0</v>
      </c>
      <c r="I3401" s="91" t="str">
        <f t="shared" si="269"/>
        <v/>
      </c>
      <c r="J3401" s="91" t="str">
        <f t="shared" si="270"/>
        <v/>
      </c>
      <c r="K3401" s="92" t="str">
        <f>IF(AND(A3401="",B3401="",D3401="",G3401=""),"",IF(AND(A3401&lt;&gt;"",COUNTIF($A$2:$A$5001,A3401)&gt;1),"NUMERO_PC duplicado",IF(B3401="","DATA_PC vazia",IF(NOT(ISNUMBER(B3401)),"DATA_PC invalida",IF(OR(C3401="",C3401="Fora dos ciclos"),"CICLO_PC nao identificado",IF(OR(D3401="",D3401=0),"VALOR_PC vazio ou zero",IF(AND(G3401&lt;&gt;"Sim",G3401&lt;&gt;"Nao",G3401&lt;&gt;""),"PC_PAGO_A_CONTRATADA invalido",IF(AND(C3401&lt;&gt;"C0",IFERROR(INDEX(parametros!$A$2:$A$6,MATCH(C3401,parametros!$B$2:$B$6,0)),"")="Sim",IFERROR(INDEX(parametros!$H$2:$H$6,MATCH(C3401,parametros!$B$2:$B$6,0)),"")=""),"INICIO_EFEITO ausente: PC "&amp;A3401&amp;" - "&amp;C3401,IF(L3401="","EFEITO_PC nao calculado: PC "&amp;A3401&amp;" - "&amp;C3401,"OK")))))))))</f>
        <v/>
      </c>
      <c r="L3401" s="92" t="str">
        <f>IF(AND(A3401="",B3401="",D3401="",G3401=""),"",IF(OR(B3401="",NOT(ISNUMBER(B3401)),C3401="",C3401="Fora dos ciclos"),"",IF(C3401="C0","Nao",IF(IFERROR(INDEX(parametros!$A$2:$A$6,MATCH(C3401,parametros!$B$2:$B$6,0)),"")&lt;&gt;"Sim","Nao",IF(IFERROR(INDEX(parametros!$H$2:$H$6,MATCH(C3401,parametros!$B$2:$B$6,0)),"")="","",IF(B3401&gt;=IFERROR(INDEX(parametros!$H$2:$H$6,MATCH(C3401,parametros!$B$2:$B$6,0)),""),"Sim","Nao"))))))</f>
        <v/>
      </c>
      <c r="T3401" s="156"/>
      <c r="U3401" s="214" t="str">
        <f t="shared" si="271"/>
        <v/>
      </c>
      <c r="V3401" s="212" t="s">
        <v>50</v>
      </c>
      <c r="W3401" s="100" t="s">
        <v>168</v>
      </c>
      <c r="X3401" s="100" t="s">
        <v>169</v>
      </c>
      <c r="Y3401" s="101" t="s">
        <v>170</v>
      </c>
      <c r="Z3401" s="101" t="s">
        <v>171</v>
      </c>
      <c r="AA3401" s="101" t="s">
        <v>50</v>
      </c>
      <c r="AB3401" s="101" t="s">
        <v>172</v>
      </c>
      <c r="AC3401" s="102" t="s">
        <v>173</v>
      </c>
    </row>
    <row r="3402" spans="1:29" ht="25.5" customHeight="1" x14ac:dyDescent="0.35">
      <c r="A3402" s="392"/>
      <c r="B3402" s="393"/>
      <c r="C3402" s="99" t="str">
        <f>IF(B3402="","",IF(NOT(ISNUMBER(B3402)),"DATA_PC invalida",IF(NOT(ISNUMBER(parametros!$C$2)),"Fora dos ciclos",IF(OR(B3402&lt;parametros!$C$2,(YEAR(B3402)-YEAR(parametros!$C$2))*12+MONTH(B3402)-MONTH(parametros!$C$2)&gt;59),"Fora dos ciclos","C"&amp;INT(((YEAR(B3402)-YEAR(parametros!$C$2))*12+MONTH(B3402)-MONTH(parametros!$C$2))/12)))))</f>
        <v/>
      </c>
      <c r="D3402" s="394"/>
      <c r="E3402" s="78" t="str">
        <f>IF(C3402="","",IFERROR(VLOOKUP(C3402,parametros!$A$11:$E$15,5,0),""))</f>
        <v/>
      </c>
      <c r="F3402" s="79" t="str">
        <f t="shared" si="267"/>
        <v/>
      </c>
      <c r="G3402" s="395"/>
      <c r="H3402" s="91">
        <f t="shared" si="268"/>
        <v>0</v>
      </c>
      <c r="I3402" s="91" t="str">
        <f t="shared" si="269"/>
        <v/>
      </c>
      <c r="J3402" s="91" t="str">
        <f t="shared" si="270"/>
        <v/>
      </c>
      <c r="K3402" s="92" t="str">
        <f>IF(AND(A3402="",B3402="",D3402="",G3402=""),"",IF(AND(A3402&lt;&gt;"",COUNTIF($A$2:$A$5001,A3402)&gt;1),"NUMERO_PC duplicado",IF(B3402="","DATA_PC vazia",IF(NOT(ISNUMBER(B3402)),"DATA_PC invalida",IF(OR(C3402="",C3402="Fora dos ciclos"),"CICLO_PC nao identificado",IF(OR(D3402="",D3402=0),"VALOR_PC vazio ou zero",IF(AND(G3402&lt;&gt;"Sim",G3402&lt;&gt;"Nao",G3402&lt;&gt;""),"PC_PAGO_A_CONTRATADA invalido",IF(AND(C3402&lt;&gt;"C0",IFERROR(INDEX(parametros!$A$2:$A$6,MATCH(C3402,parametros!$B$2:$B$6,0)),"")="Sim",IFERROR(INDEX(parametros!$H$2:$H$6,MATCH(C3402,parametros!$B$2:$B$6,0)),"")=""),"INICIO_EFEITO ausente: PC "&amp;A3402&amp;" - "&amp;C3402,IF(L3402="","EFEITO_PC nao calculado: PC "&amp;A3402&amp;" - "&amp;C3402,"OK")))))))))</f>
        <v/>
      </c>
      <c r="L3402" s="92" t="str">
        <f>IF(AND(A3402="",B3402="",D3402="",G3402=""),"",IF(OR(B3402="",NOT(ISNUMBER(B3402)),C3402="",C3402="Fora dos ciclos"),"",IF(C3402="C0","Nao",IF(IFERROR(INDEX(parametros!$A$2:$A$6,MATCH(C3402,parametros!$B$2:$B$6,0)),"")&lt;&gt;"Sim","Nao",IF(IFERROR(INDEX(parametros!$H$2:$H$6,MATCH(C3402,parametros!$B$2:$B$6,0)),"")="","",IF(B3402&gt;=IFERROR(INDEX(parametros!$H$2:$H$6,MATCH(C3402,parametros!$B$2:$B$6,0)),""),"Sim","Nao"))))))</f>
        <v/>
      </c>
      <c r="T3402" s="156"/>
      <c r="U3402" s="214" t="str">
        <f t="shared" si="271"/>
        <v/>
      </c>
      <c r="V3402" s="212" t="s">
        <v>50</v>
      </c>
      <c r="W3402" s="100" t="s">
        <v>168</v>
      </c>
      <c r="X3402" s="100" t="s">
        <v>169</v>
      </c>
      <c r="Y3402" s="101" t="s">
        <v>170</v>
      </c>
      <c r="Z3402" s="101" t="s">
        <v>171</v>
      </c>
      <c r="AA3402" s="101" t="s">
        <v>50</v>
      </c>
      <c r="AB3402" s="101" t="s">
        <v>172</v>
      </c>
      <c r="AC3402" s="102" t="s">
        <v>173</v>
      </c>
    </row>
    <row r="3403" spans="1:29" ht="25.5" customHeight="1" x14ac:dyDescent="0.35">
      <c r="A3403" s="392"/>
      <c r="B3403" s="393"/>
      <c r="C3403" s="99" t="str">
        <f>IF(B3403="","",IF(NOT(ISNUMBER(B3403)),"DATA_PC invalida",IF(NOT(ISNUMBER(parametros!$C$2)),"Fora dos ciclos",IF(OR(B3403&lt;parametros!$C$2,(YEAR(B3403)-YEAR(parametros!$C$2))*12+MONTH(B3403)-MONTH(parametros!$C$2)&gt;59),"Fora dos ciclos","C"&amp;INT(((YEAR(B3403)-YEAR(parametros!$C$2))*12+MONTH(B3403)-MONTH(parametros!$C$2))/12)))))</f>
        <v/>
      </c>
      <c r="D3403" s="394"/>
      <c r="E3403" s="78" t="str">
        <f>IF(C3403="","",IFERROR(VLOOKUP(C3403,parametros!$A$11:$E$15,5,0),""))</f>
        <v/>
      </c>
      <c r="F3403" s="79" t="str">
        <f t="shared" si="267"/>
        <v/>
      </c>
      <c r="G3403" s="395"/>
      <c r="H3403" s="91">
        <f t="shared" si="268"/>
        <v>0</v>
      </c>
      <c r="I3403" s="91" t="str">
        <f t="shared" si="269"/>
        <v/>
      </c>
      <c r="J3403" s="91" t="str">
        <f t="shared" si="270"/>
        <v/>
      </c>
      <c r="K3403" s="92" t="str">
        <f>IF(AND(A3403="",B3403="",D3403="",G3403=""),"",IF(AND(A3403&lt;&gt;"",COUNTIF($A$2:$A$5001,A3403)&gt;1),"NUMERO_PC duplicado",IF(B3403="","DATA_PC vazia",IF(NOT(ISNUMBER(B3403)),"DATA_PC invalida",IF(OR(C3403="",C3403="Fora dos ciclos"),"CICLO_PC nao identificado",IF(OR(D3403="",D3403=0),"VALOR_PC vazio ou zero",IF(AND(G3403&lt;&gt;"Sim",G3403&lt;&gt;"Nao",G3403&lt;&gt;""),"PC_PAGO_A_CONTRATADA invalido",IF(AND(C3403&lt;&gt;"C0",IFERROR(INDEX(parametros!$A$2:$A$6,MATCH(C3403,parametros!$B$2:$B$6,0)),"")="Sim",IFERROR(INDEX(parametros!$H$2:$H$6,MATCH(C3403,parametros!$B$2:$B$6,0)),"")=""),"INICIO_EFEITO ausente: PC "&amp;A3403&amp;" - "&amp;C3403,IF(L3403="","EFEITO_PC nao calculado: PC "&amp;A3403&amp;" - "&amp;C3403,"OK")))))))))</f>
        <v/>
      </c>
      <c r="L3403" s="92" t="str">
        <f>IF(AND(A3403="",B3403="",D3403="",G3403=""),"",IF(OR(B3403="",NOT(ISNUMBER(B3403)),C3403="",C3403="Fora dos ciclos"),"",IF(C3403="C0","Nao",IF(IFERROR(INDEX(parametros!$A$2:$A$6,MATCH(C3403,parametros!$B$2:$B$6,0)),"")&lt;&gt;"Sim","Nao",IF(IFERROR(INDEX(parametros!$H$2:$H$6,MATCH(C3403,parametros!$B$2:$B$6,0)),"")="","",IF(B3403&gt;=IFERROR(INDEX(parametros!$H$2:$H$6,MATCH(C3403,parametros!$B$2:$B$6,0)),""),"Sim","Nao"))))))</f>
        <v/>
      </c>
      <c r="T3403" s="156"/>
      <c r="U3403" s="214" t="str">
        <f t="shared" si="271"/>
        <v/>
      </c>
      <c r="V3403" s="212" t="s">
        <v>50</v>
      </c>
      <c r="W3403" s="100" t="s">
        <v>168</v>
      </c>
      <c r="X3403" s="100" t="s">
        <v>169</v>
      </c>
      <c r="Y3403" s="101" t="s">
        <v>170</v>
      </c>
      <c r="Z3403" s="101" t="s">
        <v>171</v>
      </c>
      <c r="AA3403" s="101" t="s">
        <v>50</v>
      </c>
      <c r="AB3403" s="101" t="s">
        <v>172</v>
      </c>
      <c r="AC3403" s="102" t="s">
        <v>173</v>
      </c>
    </row>
    <row r="3404" spans="1:29" ht="25.5" customHeight="1" x14ac:dyDescent="0.35">
      <c r="A3404" s="392"/>
      <c r="B3404" s="393"/>
      <c r="C3404" s="99" t="str">
        <f>IF(B3404="","",IF(NOT(ISNUMBER(B3404)),"DATA_PC invalida",IF(NOT(ISNUMBER(parametros!$C$2)),"Fora dos ciclos",IF(OR(B3404&lt;parametros!$C$2,(YEAR(B3404)-YEAR(parametros!$C$2))*12+MONTH(B3404)-MONTH(parametros!$C$2)&gt;59),"Fora dos ciclos","C"&amp;INT(((YEAR(B3404)-YEAR(parametros!$C$2))*12+MONTH(B3404)-MONTH(parametros!$C$2))/12)))))</f>
        <v/>
      </c>
      <c r="D3404" s="394"/>
      <c r="E3404" s="78" t="str">
        <f>IF(C3404="","",IFERROR(VLOOKUP(C3404,parametros!$A$11:$E$15,5,0),""))</f>
        <v/>
      </c>
      <c r="F3404" s="79" t="str">
        <f t="shared" si="267"/>
        <v/>
      </c>
      <c r="G3404" s="395"/>
      <c r="H3404" s="91">
        <f t="shared" si="268"/>
        <v>0</v>
      </c>
      <c r="I3404" s="91" t="str">
        <f t="shared" si="269"/>
        <v/>
      </c>
      <c r="J3404" s="91" t="str">
        <f t="shared" si="270"/>
        <v/>
      </c>
      <c r="K3404" s="92" t="str">
        <f>IF(AND(A3404="",B3404="",D3404="",G3404=""),"",IF(AND(A3404&lt;&gt;"",COUNTIF($A$2:$A$5001,A3404)&gt;1),"NUMERO_PC duplicado",IF(B3404="","DATA_PC vazia",IF(NOT(ISNUMBER(B3404)),"DATA_PC invalida",IF(OR(C3404="",C3404="Fora dos ciclos"),"CICLO_PC nao identificado",IF(OR(D3404="",D3404=0),"VALOR_PC vazio ou zero",IF(AND(G3404&lt;&gt;"Sim",G3404&lt;&gt;"Nao",G3404&lt;&gt;""),"PC_PAGO_A_CONTRATADA invalido",IF(AND(C3404&lt;&gt;"C0",IFERROR(INDEX(parametros!$A$2:$A$6,MATCH(C3404,parametros!$B$2:$B$6,0)),"")="Sim",IFERROR(INDEX(parametros!$H$2:$H$6,MATCH(C3404,parametros!$B$2:$B$6,0)),"")=""),"INICIO_EFEITO ausente: PC "&amp;A3404&amp;" - "&amp;C3404,IF(L3404="","EFEITO_PC nao calculado: PC "&amp;A3404&amp;" - "&amp;C3404,"OK")))))))))</f>
        <v/>
      </c>
      <c r="L3404" s="92" t="str">
        <f>IF(AND(A3404="",B3404="",D3404="",G3404=""),"",IF(OR(B3404="",NOT(ISNUMBER(B3404)),C3404="",C3404="Fora dos ciclos"),"",IF(C3404="C0","Nao",IF(IFERROR(INDEX(parametros!$A$2:$A$6,MATCH(C3404,parametros!$B$2:$B$6,0)),"")&lt;&gt;"Sim","Nao",IF(IFERROR(INDEX(parametros!$H$2:$H$6,MATCH(C3404,parametros!$B$2:$B$6,0)),"")="","",IF(B3404&gt;=IFERROR(INDEX(parametros!$H$2:$H$6,MATCH(C3404,parametros!$B$2:$B$6,0)),""),"Sim","Nao"))))))</f>
        <v/>
      </c>
      <c r="T3404" s="156"/>
      <c r="U3404" s="214" t="str">
        <f t="shared" si="271"/>
        <v/>
      </c>
      <c r="V3404" s="212" t="s">
        <v>50</v>
      </c>
      <c r="W3404" s="100" t="s">
        <v>168</v>
      </c>
      <c r="X3404" s="100" t="s">
        <v>169</v>
      </c>
      <c r="Y3404" s="101" t="s">
        <v>170</v>
      </c>
      <c r="Z3404" s="101" t="s">
        <v>171</v>
      </c>
      <c r="AA3404" s="101" t="s">
        <v>50</v>
      </c>
      <c r="AB3404" s="101" t="s">
        <v>172</v>
      </c>
      <c r="AC3404" s="102" t="s">
        <v>173</v>
      </c>
    </row>
    <row r="3405" spans="1:29" ht="25.5" customHeight="1" x14ac:dyDescent="0.35">
      <c r="A3405" s="392"/>
      <c r="B3405" s="393"/>
      <c r="C3405" s="99" t="str">
        <f>IF(B3405="","",IF(NOT(ISNUMBER(B3405)),"DATA_PC invalida",IF(NOT(ISNUMBER(parametros!$C$2)),"Fora dos ciclos",IF(OR(B3405&lt;parametros!$C$2,(YEAR(B3405)-YEAR(parametros!$C$2))*12+MONTH(B3405)-MONTH(parametros!$C$2)&gt;59),"Fora dos ciclos","C"&amp;INT(((YEAR(B3405)-YEAR(parametros!$C$2))*12+MONTH(B3405)-MONTH(parametros!$C$2))/12)))))</f>
        <v/>
      </c>
      <c r="D3405" s="394"/>
      <c r="E3405" s="78" t="str">
        <f>IF(C3405="","",IFERROR(VLOOKUP(C3405,parametros!$A$11:$E$15,5,0),""))</f>
        <v/>
      </c>
      <c r="F3405" s="79" t="str">
        <f t="shared" si="267"/>
        <v/>
      </c>
      <c r="G3405" s="395"/>
      <c r="H3405" s="91">
        <f t="shared" si="268"/>
        <v>0</v>
      </c>
      <c r="I3405" s="91" t="str">
        <f t="shared" si="269"/>
        <v/>
      </c>
      <c r="J3405" s="91" t="str">
        <f t="shared" si="270"/>
        <v/>
      </c>
      <c r="K3405" s="92" t="str">
        <f>IF(AND(A3405="",B3405="",D3405="",G3405=""),"",IF(AND(A3405&lt;&gt;"",COUNTIF($A$2:$A$5001,A3405)&gt;1),"NUMERO_PC duplicado",IF(B3405="","DATA_PC vazia",IF(NOT(ISNUMBER(B3405)),"DATA_PC invalida",IF(OR(C3405="",C3405="Fora dos ciclos"),"CICLO_PC nao identificado",IF(OR(D3405="",D3405=0),"VALOR_PC vazio ou zero",IF(AND(G3405&lt;&gt;"Sim",G3405&lt;&gt;"Nao",G3405&lt;&gt;""),"PC_PAGO_A_CONTRATADA invalido",IF(AND(C3405&lt;&gt;"C0",IFERROR(INDEX(parametros!$A$2:$A$6,MATCH(C3405,parametros!$B$2:$B$6,0)),"")="Sim",IFERROR(INDEX(parametros!$H$2:$H$6,MATCH(C3405,parametros!$B$2:$B$6,0)),"")=""),"INICIO_EFEITO ausente: PC "&amp;A3405&amp;" - "&amp;C3405,IF(L3405="","EFEITO_PC nao calculado: PC "&amp;A3405&amp;" - "&amp;C3405,"OK")))))))))</f>
        <v/>
      </c>
      <c r="L3405" s="92" t="str">
        <f>IF(AND(A3405="",B3405="",D3405="",G3405=""),"",IF(OR(B3405="",NOT(ISNUMBER(B3405)),C3405="",C3405="Fora dos ciclos"),"",IF(C3405="C0","Nao",IF(IFERROR(INDEX(parametros!$A$2:$A$6,MATCH(C3405,parametros!$B$2:$B$6,0)),"")&lt;&gt;"Sim","Nao",IF(IFERROR(INDEX(parametros!$H$2:$H$6,MATCH(C3405,parametros!$B$2:$B$6,0)),"")="","",IF(B3405&gt;=IFERROR(INDEX(parametros!$H$2:$H$6,MATCH(C3405,parametros!$B$2:$B$6,0)),""),"Sim","Nao"))))))</f>
        <v/>
      </c>
      <c r="T3405" s="156"/>
      <c r="U3405" s="214" t="str">
        <f t="shared" si="271"/>
        <v/>
      </c>
      <c r="V3405" s="212" t="s">
        <v>50</v>
      </c>
      <c r="W3405" s="100" t="s">
        <v>168</v>
      </c>
      <c r="X3405" s="100" t="s">
        <v>169</v>
      </c>
      <c r="Y3405" s="101" t="s">
        <v>170</v>
      </c>
      <c r="Z3405" s="101" t="s">
        <v>171</v>
      </c>
      <c r="AA3405" s="101" t="s">
        <v>50</v>
      </c>
      <c r="AB3405" s="101" t="s">
        <v>172</v>
      </c>
      <c r="AC3405" s="102" t="s">
        <v>173</v>
      </c>
    </row>
    <row r="3406" spans="1:29" ht="25.5" customHeight="1" x14ac:dyDescent="0.35">
      <c r="A3406" s="392"/>
      <c r="B3406" s="393"/>
      <c r="C3406" s="99" t="str">
        <f>IF(B3406="","",IF(NOT(ISNUMBER(B3406)),"DATA_PC invalida",IF(NOT(ISNUMBER(parametros!$C$2)),"Fora dos ciclos",IF(OR(B3406&lt;parametros!$C$2,(YEAR(B3406)-YEAR(parametros!$C$2))*12+MONTH(B3406)-MONTH(parametros!$C$2)&gt;59),"Fora dos ciclos","C"&amp;INT(((YEAR(B3406)-YEAR(parametros!$C$2))*12+MONTH(B3406)-MONTH(parametros!$C$2))/12)))))</f>
        <v/>
      </c>
      <c r="D3406" s="394"/>
      <c r="E3406" s="78" t="str">
        <f>IF(C3406="","",IFERROR(VLOOKUP(C3406,parametros!$A$11:$E$15,5,0),""))</f>
        <v/>
      </c>
      <c r="F3406" s="79" t="str">
        <f t="shared" si="267"/>
        <v/>
      </c>
      <c r="G3406" s="395"/>
      <c r="H3406" s="91">
        <f t="shared" si="268"/>
        <v>0</v>
      </c>
      <c r="I3406" s="91" t="str">
        <f t="shared" si="269"/>
        <v/>
      </c>
      <c r="J3406" s="91" t="str">
        <f t="shared" si="270"/>
        <v/>
      </c>
      <c r="K3406" s="92" t="str">
        <f>IF(AND(A3406="",B3406="",D3406="",G3406=""),"",IF(AND(A3406&lt;&gt;"",COUNTIF($A$2:$A$5001,A3406)&gt;1),"NUMERO_PC duplicado",IF(B3406="","DATA_PC vazia",IF(NOT(ISNUMBER(B3406)),"DATA_PC invalida",IF(OR(C3406="",C3406="Fora dos ciclos"),"CICLO_PC nao identificado",IF(OR(D3406="",D3406=0),"VALOR_PC vazio ou zero",IF(AND(G3406&lt;&gt;"Sim",G3406&lt;&gt;"Nao",G3406&lt;&gt;""),"PC_PAGO_A_CONTRATADA invalido",IF(AND(C3406&lt;&gt;"C0",IFERROR(INDEX(parametros!$A$2:$A$6,MATCH(C3406,parametros!$B$2:$B$6,0)),"")="Sim",IFERROR(INDEX(parametros!$H$2:$H$6,MATCH(C3406,parametros!$B$2:$B$6,0)),"")=""),"INICIO_EFEITO ausente: PC "&amp;A3406&amp;" - "&amp;C3406,IF(L3406="","EFEITO_PC nao calculado: PC "&amp;A3406&amp;" - "&amp;C3406,"OK")))))))))</f>
        <v/>
      </c>
      <c r="L3406" s="92" t="str">
        <f>IF(AND(A3406="",B3406="",D3406="",G3406=""),"",IF(OR(B3406="",NOT(ISNUMBER(B3406)),C3406="",C3406="Fora dos ciclos"),"",IF(C3406="C0","Nao",IF(IFERROR(INDEX(parametros!$A$2:$A$6,MATCH(C3406,parametros!$B$2:$B$6,0)),"")&lt;&gt;"Sim","Nao",IF(IFERROR(INDEX(parametros!$H$2:$H$6,MATCH(C3406,parametros!$B$2:$B$6,0)),"")="","",IF(B3406&gt;=IFERROR(INDEX(parametros!$H$2:$H$6,MATCH(C3406,parametros!$B$2:$B$6,0)),""),"Sim","Nao"))))))</f>
        <v/>
      </c>
      <c r="T3406" s="156"/>
      <c r="U3406" s="214" t="str">
        <f t="shared" si="271"/>
        <v/>
      </c>
      <c r="V3406" s="212" t="s">
        <v>50</v>
      </c>
      <c r="W3406" s="100" t="s">
        <v>168</v>
      </c>
      <c r="X3406" s="100" t="s">
        <v>169</v>
      </c>
      <c r="Y3406" s="101" t="s">
        <v>170</v>
      </c>
      <c r="Z3406" s="101" t="s">
        <v>171</v>
      </c>
      <c r="AA3406" s="101" t="s">
        <v>50</v>
      </c>
      <c r="AB3406" s="101" t="s">
        <v>172</v>
      </c>
      <c r="AC3406" s="102" t="s">
        <v>173</v>
      </c>
    </row>
    <row r="3407" spans="1:29" ht="25.5" customHeight="1" x14ac:dyDescent="0.35">
      <c r="A3407" s="392"/>
      <c r="B3407" s="393"/>
      <c r="C3407" s="99" t="str">
        <f>IF(B3407="","",IF(NOT(ISNUMBER(B3407)),"DATA_PC invalida",IF(NOT(ISNUMBER(parametros!$C$2)),"Fora dos ciclos",IF(OR(B3407&lt;parametros!$C$2,(YEAR(B3407)-YEAR(parametros!$C$2))*12+MONTH(B3407)-MONTH(parametros!$C$2)&gt;59),"Fora dos ciclos","C"&amp;INT(((YEAR(B3407)-YEAR(parametros!$C$2))*12+MONTH(B3407)-MONTH(parametros!$C$2))/12)))))</f>
        <v/>
      </c>
      <c r="D3407" s="394"/>
      <c r="E3407" s="78" t="str">
        <f>IF(C3407="","",IFERROR(VLOOKUP(C3407,parametros!$A$11:$E$15,5,0),""))</f>
        <v/>
      </c>
      <c r="F3407" s="79" t="str">
        <f t="shared" si="267"/>
        <v/>
      </c>
      <c r="G3407" s="395"/>
      <c r="H3407" s="91">
        <f t="shared" si="268"/>
        <v>0</v>
      </c>
      <c r="I3407" s="91" t="str">
        <f t="shared" si="269"/>
        <v/>
      </c>
      <c r="J3407" s="91" t="str">
        <f t="shared" si="270"/>
        <v/>
      </c>
      <c r="K3407" s="92" t="str">
        <f>IF(AND(A3407="",B3407="",D3407="",G3407=""),"",IF(AND(A3407&lt;&gt;"",COUNTIF($A$2:$A$5001,A3407)&gt;1),"NUMERO_PC duplicado",IF(B3407="","DATA_PC vazia",IF(NOT(ISNUMBER(B3407)),"DATA_PC invalida",IF(OR(C3407="",C3407="Fora dos ciclos"),"CICLO_PC nao identificado",IF(OR(D3407="",D3407=0),"VALOR_PC vazio ou zero",IF(AND(G3407&lt;&gt;"Sim",G3407&lt;&gt;"Nao",G3407&lt;&gt;""),"PC_PAGO_A_CONTRATADA invalido",IF(AND(C3407&lt;&gt;"C0",IFERROR(INDEX(parametros!$A$2:$A$6,MATCH(C3407,parametros!$B$2:$B$6,0)),"")="Sim",IFERROR(INDEX(parametros!$H$2:$H$6,MATCH(C3407,parametros!$B$2:$B$6,0)),"")=""),"INICIO_EFEITO ausente: PC "&amp;A3407&amp;" - "&amp;C3407,IF(L3407="","EFEITO_PC nao calculado: PC "&amp;A3407&amp;" - "&amp;C3407,"OK")))))))))</f>
        <v/>
      </c>
      <c r="L3407" s="92" t="str">
        <f>IF(AND(A3407="",B3407="",D3407="",G3407=""),"",IF(OR(B3407="",NOT(ISNUMBER(B3407)),C3407="",C3407="Fora dos ciclos"),"",IF(C3407="C0","Nao",IF(IFERROR(INDEX(parametros!$A$2:$A$6,MATCH(C3407,parametros!$B$2:$B$6,0)),"")&lt;&gt;"Sim","Nao",IF(IFERROR(INDEX(parametros!$H$2:$H$6,MATCH(C3407,parametros!$B$2:$B$6,0)),"")="","",IF(B3407&gt;=IFERROR(INDEX(parametros!$H$2:$H$6,MATCH(C3407,parametros!$B$2:$B$6,0)),""),"Sim","Nao"))))))</f>
        <v/>
      </c>
      <c r="T3407" s="156"/>
      <c r="U3407" s="214" t="str">
        <f t="shared" si="271"/>
        <v/>
      </c>
      <c r="V3407" s="212" t="s">
        <v>50</v>
      </c>
      <c r="W3407" s="100" t="s">
        <v>168</v>
      </c>
      <c r="X3407" s="100" t="s">
        <v>169</v>
      </c>
      <c r="Y3407" s="101" t="s">
        <v>170</v>
      </c>
      <c r="Z3407" s="101" t="s">
        <v>171</v>
      </c>
      <c r="AA3407" s="101" t="s">
        <v>50</v>
      </c>
      <c r="AB3407" s="101" t="s">
        <v>172</v>
      </c>
      <c r="AC3407" s="102" t="s">
        <v>173</v>
      </c>
    </row>
    <row r="3408" spans="1:29" ht="25.5" customHeight="1" x14ac:dyDescent="0.35">
      <c r="A3408" s="392"/>
      <c r="B3408" s="393"/>
      <c r="C3408" s="99" t="str">
        <f>IF(B3408="","",IF(NOT(ISNUMBER(B3408)),"DATA_PC invalida",IF(NOT(ISNUMBER(parametros!$C$2)),"Fora dos ciclos",IF(OR(B3408&lt;parametros!$C$2,(YEAR(B3408)-YEAR(parametros!$C$2))*12+MONTH(B3408)-MONTH(parametros!$C$2)&gt;59),"Fora dos ciclos","C"&amp;INT(((YEAR(B3408)-YEAR(parametros!$C$2))*12+MONTH(B3408)-MONTH(parametros!$C$2))/12)))))</f>
        <v/>
      </c>
      <c r="D3408" s="394"/>
      <c r="E3408" s="78" t="str">
        <f>IF(C3408="","",IFERROR(VLOOKUP(C3408,parametros!$A$11:$E$15,5,0),""))</f>
        <v/>
      </c>
      <c r="F3408" s="79" t="str">
        <f t="shared" si="267"/>
        <v/>
      </c>
      <c r="G3408" s="395"/>
      <c r="H3408" s="91">
        <f t="shared" si="268"/>
        <v>0</v>
      </c>
      <c r="I3408" s="91" t="str">
        <f t="shared" si="269"/>
        <v/>
      </c>
      <c r="J3408" s="91" t="str">
        <f t="shared" si="270"/>
        <v/>
      </c>
      <c r="K3408" s="92" t="str">
        <f>IF(AND(A3408="",B3408="",D3408="",G3408=""),"",IF(AND(A3408&lt;&gt;"",COUNTIF($A$2:$A$5001,A3408)&gt;1),"NUMERO_PC duplicado",IF(B3408="","DATA_PC vazia",IF(NOT(ISNUMBER(B3408)),"DATA_PC invalida",IF(OR(C3408="",C3408="Fora dos ciclos"),"CICLO_PC nao identificado",IF(OR(D3408="",D3408=0),"VALOR_PC vazio ou zero",IF(AND(G3408&lt;&gt;"Sim",G3408&lt;&gt;"Nao",G3408&lt;&gt;""),"PC_PAGO_A_CONTRATADA invalido",IF(AND(C3408&lt;&gt;"C0",IFERROR(INDEX(parametros!$A$2:$A$6,MATCH(C3408,parametros!$B$2:$B$6,0)),"")="Sim",IFERROR(INDEX(parametros!$H$2:$H$6,MATCH(C3408,parametros!$B$2:$B$6,0)),"")=""),"INICIO_EFEITO ausente: PC "&amp;A3408&amp;" - "&amp;C3408,IF(L3408="","EFEITO_PC nao calculado: PC "&amp;A3408&amp;" - "&amp;C3408,"OK")))))))))</f>
        <v/>
      </c>
      <c r="L3408" s="92" t="str">
        <f>IF(AND(A3408="",B3408="",D3408="",G3408=""),"",IF(OR(B3408="",NOT(ISNUMBER(B3408)),C3408="",C3408="Fora dos ciclos"),"",IF(C3408="C0","Nao",IF(IFERROR(INDEX(parametros!$A$2:$A$6,MATCH(C3408,parametros!$B$2:$B$6,0)),"")&lt;&gt;"Sim","Nao",IF(IFERROR(INDEX(parametros!$H$2:$H$6,MATCH(C3408,parametros!$B$2:$B$6,0)),"")="","",IF(B3408&gt;=IFERROR(INDEX(parametros!$H$2:$H$6,MATCH(C3408,parametros!$B$2:$B$6,0)),""),"Sim","Nao"))))))</f>
        <v/>
      </c>
      <c r="T3408" s="156"/>
      <c r="U3408" s="214" t="str">
        <f t="shared" si="271"/>
        <v/>
      </c>
      <c r="V3408" s="212" t="s">
        <v>50</v>
      </c>
      <c r="W3408" s="100" t="s">
        <v>168</v>
      </c>
      <c r="X3408" s="100" t="s">
        <v>169</v>
      </c>
      <c r="Y3408" s="101" t="s">
        <v>170</v>
      </c>
      <c r="Z3408" s="101" t="s">
        <v>171</v>
      </c>
      <c r="AA3408" s="101" t="s">
        <v>50</v>
      </c>
      <c r="AB3408" s="101" t="s">
        <v>172</v>
      </c>
      <c r="AC3408" s="102" t="s">
        <v>173</v>
      </c>
    </row>
    <row r="3409" spans="1:29" ht="25.5" customHeight="1" x14ac:dyDescent="0.35">
      <c r="A3409" s="392"/>
      <c r="B3409" s="393"/>
      <c r="C3409" s="99" t="str">
        <f>IF(B3409="","",IF(NOT(ISNUMBER(B3409)),"DATA_PC invalida",IF(NOT(ISNUMBER(parametros!$C$2)),"Fora dos ciclos",IF(OR(B3409&lt;parametros!$C$2,(YEAR(B3409)-YEAR(parametros!$C$2))*12+MONTH(B3409)-MONTH(parametros!$C$2)&gt;59),"Fora dos ciclos","C"&amp;INT(((YEAR(B3409)-YEAR(parametros!$C$2))*12+MONTH(B3409)-MONTH(parametros!$C$2))/12)))))</f>
        <v/>
      </c>
      <c r="D3409" s="394"/>
      <c r="E3409" s="78" t="str">
        <f>IF(C3409="","",IFERROR(VLOOKUP(C3409,parametros!$A$11:$E$15,5,0),""))</f>
        <v/>
      </c>
      <c r="F3409" s="79" t="str">
        <f t="shared" si="267"/>
        <v/>
      </c>
      <c r="G3409" s="395"/>
      <c r="H3409" s="91">
        <f t="shared" si="268"/>
        <v>0</v>
      </c>
      <c r="I3409" s="91" t="str">
        <f t="shared" si="269"/>
        <v/>
      </c>
      <c r="J3409" s="91" t="str">
        <f t="shared" si="270"/>
        <v/>
      </c>
      <c r="K3409" s="92" t="str">
        <f>IF(AND(A3409="",B3409="",D3409="",G3409=""),"",IF(AND(A3409&lt;&gt;"",COUNTIF($A$2:$A$5001,A3409)&gt;1),"NUMERO_PC duplicado",IF(B3409="","DATA_PC vazia",IF(NOT(ISNUMBER(B3409)),"DATA_PC invalida",IF(OR(C3409="",C3409="Fora dos ciclos"),"CICLO_PC nao identificado",IF(OR(D3409="",D3409=0),"VALOR_PC vazio ou zero",IF(AND(G3409&lt;&gt;"Sim",G3409&lt;&gt;"Nao",G3409&lt;&gt;""),"PC_PAGO_A_CONTRATADA invalido",IF(AND(C3409&lt;&gt;"C0",IFERROR(INDEX(parametros!$A$2:$A$6,MATCH(C3409,parametros!$B$2:$B$6,0)),"")="Sim",IFERROR(INDEX(parametros!$H$2:$H$6,MATCH(C3409,parametros!$B$2:$B$6,0)),"")=""),"INICIO_EFEITO ausente: PC "&amp;A3409&amp;" - "&amp;C3409,IF(L3409="","EFEITO_PC nao calculado: PC "&amp;A3409&amp;" - "&amp;C3409,"OK")))))))))</f>
        <v/>
      </c>
      <c r="L3409" s="92" t="str">
        <f>IF(AND(A3409="",B3409="",D3409="",G3409=""),"",IF(OR(B3409="",NOT(ISNUMBER(B3409)),C3409="",C3409="Fora dos ciclos"),"",IF(C3409="C0","Nao",IF(IFERROR(INDEX(parametros!$A$2:$A$6,MATCH(C3409,parametros!$B$2:$B$6,0)),"")&lt;&gt;"Sim","Nao",IF(IFERROR(INDEX(parametros!$H$2:$H$6,MATCH(C3409,parametros!$B$2:$B$6,0)),"")="","",IF(B3409&gt;=IFERROR(INDEX(parametros!$H$2:$H$6,MATCH(C3409,parametros!$B$2:$B$6,0)),""),"Sim","Nao"))))))</f>
        <v/>
      </c>
      <c r="T3409" s="156"/>
      <c r="U3409" s="214" t="str">
        <f t="shared" si="271"/>
        <v/>
      </c>
      <c r="V3409" s="212" t="s">
        <v>50</v>
      </c>
      <c r="W3409" s="100" t="s">
        <v>168</v>
      </c>
      <c r="X3409" s="100" t="s">
        <v>169</v>
      </c>
      <c r="Y3409" s="101" t="s">
        <v>170</v>
      </c>
      <c r="Z3409" s="101" t="s">
        <v>171</v>
      </c>
      <c r="AA3409" s="101" t="s">
        <v>50</v>
      </c>
      <c r="AB3409" s="101" t="s">
        <v>172</v>
      </c>
      <c r="AC3409" s="102" t="s">
        <v>173</v>
      </c>
    </row>
    <row r="3410" spans="1:29" ht="25.5" customHeight="1" x14ac:dyDescent="0.35">
      <c r="A3410" s="392"/>
      <c r="B3410" s="393"/>
      <c r="C3410" s="99" t="str">
        <f>IF(B3410="","",IF(NOT(ISNUMBER(B3410)),"DATA_PC invalida",IF(NOT(ISNUMBER(parametros!$C$2)),"Fora dos ciclos",IF(OR(B3410&lt;parametros!$C$2,(YEAR(B3410)-YEAR(parametros!$C$2))*12+MONTH(B3410)-MONTH(parametros!$C$2)&gt;59),"Fora dos ciclos","C"&amp;INT(((YEAR(B3410)-YEAR(parametros!$C$2))*12+MONTH(B3410)-MONTH(parametros!$C$2))/12)))))</f>
        <v/>
      </c>
      <c r="D3410" s="394"/>
      <c r="E3410" s="78" t="str">
        <f>IF(C3410="","",IFERROR(VLOOKUP(C3410,parametros!$A$11:$E$15,5,0),""))</f>
        <v/>
      </c>
      <c r="F3410" s="79" t="str">
        <f t="shared" si="267"/>
        <v/>
      </c>
      <c r="G3410" s="395"/>
      <c r="H3410" s="91">
        <f t="shared" si="268"/>
        <v>0</v>
      </c>
      <c r="I3410" s="91" t="str">
        <f t="shared" si="269"/>
        <v/>
      </c>
      <c r="J3410" s="91" t="str">
        <f t="shared" si="270"/>
        <v/>
      </c>
      <c r="K3410" s="92" t="str">
        <f>IF(AND(A3410="",B3410="",D3410="",G3410=""),"",IF(AND(A3410&lt;&gt;"",COUNTIF($A$2:$A$5001,A3410)&gt;1),"NUMERO_PC duplicado",IF(B3410="","DATA_PC vazia",IF(NOT(ISNUMBER(B3410)),"DATA_PC invalida",IF(OR(C3410="",C3410="Fora dos ciclos"),"CICLO_PC nao identificado",IF(OR(D3410="",D3410=0),"VALOR_PC vazio ou zero",IF(AND(G3410&lt;&gt;"Sim",G3410&lt;&gt;"Nao",G3410&lt;&gt;""),"PC_PAGO_A_CONTRATADA invalido",IF(AND(C3410&lt;&gt;"C0",IFERROR(INDEX(parametros!$A$2:$A$6,MATCH(C3410,parametros!$B$2:$B$6,0)),"")="Sim",IFERROR(INDEX(parametros!$H$2:$H$6,MATCH(C3410,parametros!$B$2:$B$6,0)),"")=""),"INICIO_EFEITO ausente: PC "&amp;A3410&amp;" - "&amp;C3410,IF(L3410="","EFEITO_PC nao calculado: PC "&amp;A3410&amp;" - "&amp;C3410,"OK")))))))))</f>
        <v/>
      </c>
      <c r="L3410" s="92" t="str">
        <f>IF(AND(A3410="",B3410="",D3410="",G3410=""),"",IF(OR(B3410="",NOT(ISNUMBER(B3410)),C3410="",C3410="Fora dos ciclos"),"",IF(C3410="C0","Nao",IF(IFERROR(INDEX(parametros!$A$2:$A$6,MATCH(C3410,parametros!$B$2:$B$6,0)),"")&lt;&gt;"Sim","Nao",IF(IFERROR(INDEX(parametros!$H$2:$H$6,MATCH(C3410,parametros!$B$2:$B$6,0)),"")="","",IF(B3410&gt;=IFERROR(INDEX(parametros!$H$2:$H$6,MATCH(C3410,parametros!$B$2:$B$6,0)),""),"Sim","Nao"))))))</f>
        <v/>
      </c>
      <c r="T3410" s="156"/>
      <c r="U3410" s="214" t="str">
        <f t="shared" si="271"/>
        <v/>
      </c>
      <c r="V3410" s="212" t="s">
        <v>50</v>
      </c>
      <c r="W3410" s="100" t="s">
        <v>168</v>
      </c>
      <c r="X3410" s="100" t="s">
        <v>169</v>
      </c>
      <c r="Y3410" s="101" t="s">
        <v>170</v>
      </c>
      <c r="Z3410" s="101" t="s">
        <v>171</v>
      </c>
      <c r="AA3410" s="101" t="s">
        <v>50</v>
      </c>
      <c r="AB3410" s="101" t="s">
        <v>172</v>
      </c>
      <c r="AC3410" s="102" t="s">
        <v>173</v>
      </c>
    </row>
    <row r="3411" spans="1:29" ht="25.5" customHeight="1" x14ac:dyDescent="0.35">
      <c r="A3411" s="392"/>
      <c r="B3411" s="393"/>
      <c r="C3411" s="99" t="str">
        <f>IF(B3411="","",IF(NOT(ISNUMBER(B3411)),"DATA_PC invalida",IF(NOT(ISNUMBER(parametros!$C$2)),"Fora dos ciclos",IF(OR(B3411&lt;parametros!$C$2,(YEAR(B3411)-YEAR(parametros!$C$2))*12+MONTH(B3411)-MONTH(parametros!$C$2)&gt;59),"Fora dos ciclos","C"&amp;INT(((YEAR(B3411)-YEAR(parametros!$C$2))*12+MONTH(B3411)-MONTH(parametros!$C$2))/12)))))</f>
        <v/>
      </c>
      <c r="D3411" s="394"/>
      <c r="E3411" s="78" t="str">
        <f>IF(C3411="","",IFERROR(VLOOKUP(C3411,parametros!$A$11:$E$15,5,0),""))</f>
        <v/>
      </c>
      <c r="F3411" s="79" t="str">
        <f t="shared" si="267"/>
        <v/>
      </c>
      <c r="G3411" s="395"/>
      <c r="H3411" s="91">
        <f t="shared" si="268"/>
        <v>0</v>
      </c>
      <c r="I3411" s="91" t="str">
        <f t="shared" si="269"/>
        <v/>
      </c>
      <c r="J3411" s="91" t="str">
        <f t="shared" si="270"/>
        <v/>
      </c>
      <c r="K3411" s="92" t="str">
        <f>IF(AND(A3411="",B3411="",D3411="",G3411=""),"",IF(AND(A3411&lt;&gt;"",COUNTIF($A$2:$A$5001,A3411)&gt;1),"NUMERO_PC duplicado",IF(B3411="","DATA_PC vazia",IF(NOT(ISNUMBER(B3411)),"DATA_PC invalida",IF(OR(C3411="",C3411="Fora dos ciclos"),"CICLO_PC nao identificado",IF(OR(D3411="",D3411=0),"VALOR_PC vazio ou zero",IF(AND(G3411&lt;&gt;"Sim",G3411&lt;&gt;"Nao",G3411&lt;&gt;""),"PC_PAGO_A_CONTRATADA invalido",IF(AND(C3411&lt;&gt;"C0",IFERROR(INDEX(parametros!$A$2:$A$6,MATCH(C3411,parametros!$B$2:$B$6,0)),"")="Sim",IFERROR(INDEX(parametros!$H$2:$H$6,MATCH(C3411,parametros!$B$2:$B$6,0)),"")=""),"INICIO_EFEITO ausente: PC "&amp;A3411&amp;" - "&amp;C3411,IF(L3411="","EFEITO_PC nao calculado: PC "&amp;A3411&amp;" - "&amp;C3411,"OK")))))))))</f>
        <v/>
      </c>
      <c r="L3411" s="92" t="str">
        <f>IF(AND(A3411="",B3411="",D3411="",G3411=""),"",IF(OR(B3411="",NOT(ISNUMBER(B3411)),C3411="",C3411="Fora dos ciclos"),"",IF(C3411="C0","Nao",IF(IFERROR(INDEX(parametros!$A$2:$A$6,MATCH(C3411,parametros!$B$2:$B$6,0)),"")&lt;&gt;"Sim","Nao",IF(IFERROR(INDEX(parametros!$H$2:$H$6,MATCH(C3411,parametros!$B$2:$B$6,0)),"")="","",IF(B3411&gt;=IFERROR(INDEX(parametros!$H$2:$H$6,MATCH(C3411,parametros!$B$2:$B$6,0)),""),"Sim","Nao"))))))</f>
        <v/>
      </c>
      <c r="T3411" s="156"/>
      <c r="U3411" s="214" t="str">
        <f t="shared" si="271"/>
        <v/>
      </c>
      <c r="V3411" s="212" t="s">
        <v>50</v>
      </c>
      <c r="W3411" s="100" t="s">
        <v>168</v>
      </c>
      <c r="X3411" s="100" t="s">
        <v>169</v>
      </c>
      <c r="Y3411" s="101" t="s">
        <v>170</v>
      </c>
      <c r="Z3411" s="101" t="s">
        <v>171</v>
      </c>
      <c r="AA3411" s="101" t="s">
        <v>50</v>
      </c>
      <c r="AB3411" s="101" t="s">
        <v>172</v>
      </c>
      <c r="AC3411" s="102" t="s">
        <v>173</v>
      </c>
    </row>
    <row r="3412" spans="1:29" ht="25.5" customHeight="1" x14ac:dyDescent="0.35">
      <c r="A3412" s="392"/>
      <c r="B3412" s="393"/>
      <c r="C3412" s="99" t="str">
        <f>IF(B3412="","",IF(NOT(ISNUMBER(B3412)),"DATA_PC invalida",IF(NOT(ISNUMBER(parametros!$C$2)),"Fora dos ciclos",IF(OR(B3412&lt;parametros!$C$2,(YEAR(B3412)-YEAR(parametros!$C$2))*12+MONTH(B3412)-MONTH(parametros!$C$2)&gt;59),"Fora dos ciclos","C"&amp;INT(((YEAR(B3412)-YEAR(parametros!$C$2))*12+MONTH(B3412)-MONTH(parametros!$C$2))/12)))))</f>
        <v/>
      </c>
      <c r="D3412" s="394"/>
      <c r="E3412" s="78" t="str">
        <f>IF(C3412="","",IFERROR(VLOOKUP(C3412,parametros!$A$11:$E$15,5,0),""))</f>
        <v/>
      </c>
      <c r="F3412" s="79" t="str">
        <f t="shared" si="267"/>
        <v/>
      </c>
      <c r="G3412" s="395"/>
      <c r="H3412" s="91">
        <f t="shared" si="268"/>
        <v>0</v>
      </c>
      <c r="I3412" s="91" t="str">
        <f t="shared" si="269"/>
        <v/>
      </c>
      <c r="J3412" s="91" t="str">
        <f t="shared" si="270"/>
        <v/>
      </c>
      <c r="K3412" s="92" t="str">
        <f>IF(AND(A3412="",B3412="",D3412="",G3412=""),"",IF(AND(A3412&lt;&gt;"",COUNTIF($A$2:$A$5001,A3412)&gt;1),"NUMERO_PC duplicado",IF(B3412="","DATA_PC vazia",IF(NOT(ISNUMBER(B3412)),"DATA_PC invalida",IF(OR(C3412="",C3412="Fora dos ciclos"),"CICLO_PC nao identificado",IF(OR(D3412="",D3412=0),"VALOR_PC vazio ou zero",IF(AND(G3412&lt;&gt;"Sim",G3412&lt;&gt;"Nao",G3412&lt;&gt;""),"PC_PAGO_A_CONTRATADA invalido",IF(AND(C3412&lt;&gt;"C0",IFERROR(INDEX(parametros!$A$2:$A$6,MATCH(C3412,parametros!$B$2:$B$6,0)),"")="Sim",IFERROR(INDEX(parametros!$H$2:$H$6,MATCH(C3412,parametros!$B$2:$B$6,0)),"")=""),"INICIO_EFEITO ausente: PC "&amp;A3412&amp;" - "&amp;C3412,IF(L3412="","EFEITO_PC nao calculado: PC "&amp;A3412&amp;" - "&amp;C3412,"OK")))))))))</f>
        <v/>
      </c>
      <c r="L3412" s="92" t="str">
        <f>IF(AND(A3412="",B3412="",D3412="",G3412=""),"",IF(OR(B3412="",NOT(ISNUMBER(B3412)),C3412="",C3412="Fora dos ciclos"),"",IF(C3412="C0","Nao",IF(IFERROR(INDEX(parametros!$A$2:$A$6,MATCH(C3412,parametros!$B$2:$B$6,0)),"")&lt;&gt;"Sim","Nao",IF(IFERROR(INDEX(parametros!$H$2:$H$6,MATCH(C3412,parametros!$B$2:$B$6,0)),"")="","",IF(B3412&gt;=IFERROR(INDEX(parametros!$H$2:$H$6,MATCH(C3412,parametros!$B$2:$B$6,0)),""),"Sim","Nao"))))))</f>
        <v/>
      </c>
      <c r="T3412" s="156"/>
      <c r="U3412" s="214" t="str">
        <f t="shared" si="271"/>
        <v/>
      </c>
      <c r="V3412" s="212" t="s">
        <v>50</v>
      </c>
      <c r="W3412" s="100" t="s">
        <v>168</v>
      </c>
      <c r="X3412" s="100" t="s">
        <v>169</v>
      </c>
      <c r="Y3412" s="101" t="s">
        <v>170</v>
      </c>
      <c r="Z3412" s="101" t="s">
        <v>171</v>
      </c>
      <c r="AA3412" s="101" t="s">
        <v>50</v>
      </c>
      <c r="AB3412" s="101" t="s">
        <v>172</v>
      </c>
      <c r="AC3412" s="102" t="s">
        <v>173</v>
      </c>
    </row>
    <row r="3413" spans="1:29" ht="25.5" customHeight="1" x14ac:dyDescent="0.35">
      <c r="A3413" s="392"/>
      <c r="B3413" s="393"/>
      <c r="C3413" s="99" t="str">
        <f>IF(B3413="","",IF(NOT(ISNUMBER(B3413)),"DATA_PC invalida",IF(NOT(ISNUMBER(parametros!$C$2)),"Fora dos ciclos",IF(OR(B3413&lt;parametros!$C$2,(YEAR(B3413)-YEAR(parametros!$C$2))*12+MONTH(B3413)-MONTH(parametros!$C$2)&gt;59),"Fora dos ciclos","C"&amp;INT(((YEAR(B3413)-YEAR(parametros!$C$2))*12+MONTH(B3413)-MONTH(parametros!$C$2))/12)))))</f>
        <v/>
      </c>
      <c r="D3413" s="394"/>
      <c r="E3413" s="78" t="str">
        <f>IF(C3413="","",IFERROR(VLOOKUP(C3413,parametros!$A$11:$E$15,5,0),""))</f>
        <v/>
      </c>
      <c r="F3413" s="79" t="str">
        <f t="shared" si="267"/>
        <v/>
      </c>
      <c r="G3413" s="395"/>
      <c r="H3413" s="91">
        <f t="shared" si="268"/>
        <v>0</v>
      </c>
      <c r="I3413" s="91" t="str">
        <f t="shared" si="269"/>
        <v/>
      </c>
      <c r="J3413" s="91" t="str">
        <f t="shared" si="270"/>
        <v/>
      </c>
      <c r="K3413" s="92" t="str">
        <f>IF(AND(A3413="",B3413="",D3413="",G3413=""),"",IF(AND(A3413&lt;&gt;"",COUNTIF($A$2:$A$5001,A3413)&gt;1),"NUMERO_PC duplicado",IF(B3413="","DATA_PC vazia",IF(NOT(ISNUMBER(B3413)),"DATA_PC invalida",IF(OR(C3413="",C3413="Fora dos ciclos"),"CICLO_PC nao identificado",IF(OR(D3413="",D3413=0),"VALOR_PC vazio ou zero",IF(AND(G3413&lt;&gt;"Sim",G3413&lt;&gt;"Nao",G3413&lt;&gt;""),"PC_PAGO_A_CONTRATADA invalido",IF(AND(C3413&lt;&gt;"C0",IFERROR(INDEX(parametros!$A$2:$A$6,MATCH(C3413,parametros!$B$2:$B$6,0)),"")="Sim",IFERROR(INDEX(parametros!$H$2:$H$6,MATCH(C3413,parametros!$B$2:$B$6,0)),"")=""),"INICIO_EFEITO ausente: PC "&amp;A3413&amp;" - "&amp;C3413,IF(L3413="","EFEITO_PC nao calculado: PC "&amp;A3413&amp;" - "&amp;C3413,"OK")))))))))</f>
        <v/>
      </c>
      <c r="L3413" s="92" t="str">
        <f>IF(AND(A3413="",B3413="",D3413="",G3413=""),"",IF(OR(B3413="",NOT(ISNUMBER(B3413)),C3413="",C3413="Fora dos ciclos"),"",IF(C3413="C0","Nao",IF(IFERROR(INDEX(parametros!$A$2:$A$6,MATCH(C3413,parametros!$B$2:$B$6,0)),"")&lt;&gt;"Sim","Nao",IF(IFERROR(INDEX(parametros!$H$2:$H$6,MATCH(C3413,parametros!$B$2:$B$6,0)),"")="","",IF(B3413&gt;=IFERROR(INDEX(parametros!$H$2:$H$6,MATCH(C3413,parametros!$B$2:$B$6,0)),""),"Sim","Nao"))))))</f>
        <v/>
      </c>
      <c r="T3413" s="156"/>
      <c r="U3413" s="214" t="str">
        <f t="shared" si="271"/>
        <v/>
      </c>
      <c r="V3413" s="212" t="s">
        <v>50</v>
      </c>
      <c r="W3413" s="100" t="s">
        <v>168</v>
      </c>
      <c r="X3413" s="100" t="s">
        <v>169</v>
      </c>
      <c r="Y3413" s="101" t="s">
        <v>170</v>
      </c>
      <c r="Z3413" s="101" t="s">
        <v>171</v>
      </c>
      <c r="AA3413" s="101" t="s">
        <v>50</v>
      </c>
      <c r="AB3413" s="101" t="s">
        <v>172</v>
      </c>
      <c r="AC3413" s="102" t="s">
        <v>173</v>
      </c>
    </row>
    <row r="3414" spans="1:29" ht="25.5" customHeight="1" x14ac:dyDescent="0.35">
      <c r="A3414" s="392"/>
      <c r="B3414" s="393"/>
      <c r="C3414" s="99" t="str">
        <f>IF(B3414="","",IF(NOT(ISNUMBER(B3414)),"DATA_PC invalida",IF(NOT(ISNUMBER(parametros!$C$2)),"Fora dos ciclos",IF(OR(B3414&lt;parametros!$C$2,(YEAR(B3414)-YEAR(parametros!$C$2))*12+MONTH(B3414)-MONTH(parametros!$C$2)&gt;59),"Fora dos ciclos","C"&amp;INT(((YEAR(B3414)-YEAR(parametros!$C$2))*12+MONTH(B3414)-MONTH(parametros!$C$2))/12)))))</f>
        <v/>
      </c>
      <c r="D3414" s="394"/>
      <c r="E3414" s="78" t="str">
        <f>IF(C3414="","",IFERROR(VLOOKUP(C3414,parametros!$A$11:$E$15,5,0),""))</f>
        <v/>
      </c>
      <c r="F3414" s="79" t="str">
        <f t="shared" si="267"/>
        <v/>
      </c>
      <c r="G3414" s="395"/>
      <c r="H3414" s="91">
        <f t="shared" si="268"/>
        <v>0</v>
      </c>
      <c r="I3414" s="91" t="str">
        <f t="shared" si="269"/>
        <v/>
      </c>
      <c r="J3414" s="91" t="str">
        <f t="shared" si="270"/>
        <v/>
      </c>
      <c r="K3414" s="92" t="str">
        <f>IF(AND(A3414="",B3414="",D3414="",G3414=""),"",IF(AND(A3414&lt;&gt;"",COUNTIF($A$2:$A$5001,A3414)&gt;1),"NUMERO_PC duplicado",IF(B3414="","DATA_PC vazia",IF(NOT(ISNUMBER(B3414)),"DATA_PC invalida",IF(OR(C3414="",C3414="Fora dos ciclos"),"CICLO_PC nao identificado",IF(OR(D3414="",D3414=0),"VALOR_PC vazio ou zero",IF(AND(G3414&lt;&gt;"Sim",G3414&lt;&gt;"Nao",G3414&lt;&gt;""),"PC_PAGO_A_CONTRATADA invalido",IF(AND(C3414&lt;&gt;"C0",IFERROR(INDEX(parametros!$A$2:$A$6,MATCH(C3414,parametros!$B$2:$B$6,0)),"")="Sim",IFERROR(INDEX(parametros!$H$2:$H$6,MATCH(C3414,parametros!$B$2:$B$6,0)),"")=""),"INICIO_EFEITO ausente: PC "&amp;A3414&amp;" - "&amp;C3414,IF(L3414="","EFEITO_PC nao calculado: PC "&amp;A3414&amp;" - "&amp;C3414,"OK")))))))))</f>
        <v/>
      </c>
      <c r="L3414" s="92" t="str">
        <f>IF(AND(A3414="",B3414="",D3414="",G3414=""),"",IF(OR(B3414="",NOT(ISNUMBER(B3414)),C3414="",C3414="Fora dos ciclos"),"",IF(C3414="C0","Nao",IF(IFERROR(INDEX(parametros!$A$2:$A$6,MATCH(C3414,parametros!$B$2:$B$6,0)),"")&lt;&gt;"Sim","Nao",IF(IFERROR(INDEX(parametros!$H$2:$H$6,MATCH(C3414,parametros!$B$2:$B$6,0)),"")="","",IF(B3414&gt;=IFERROR(INDEX(parametros!$H$2:$H$6,MATCH(C3414,parametros!$B$2:$B$6,0)),""),"Sim","Nao"))))))</f>
        <v/>
      </c>
      <c r="T3414" s="156"/>
      <c r="U3414" s="214" t="str">
        <f t="shared" si="271"/>
        <v/>
      </c>
      <c r="V3414" s="212" t="s">
        <v>50</v>
      </c>
      <c r="W3414" s="100" t="s">
        <v>168</v>
      </c>
      <c r="X3414" s="100" t="s">
        <v>169</v>
      </c>
      <c r="Y3414" s="101" t="s">
        <v>170</v>
      </c>
      <c r="Z3414" s="101" t="s">
        <v>171</v>
      </c>
      <c r="AA3414" s="101" t="s">
        <v>50</v>
      </c>
      <c r="AB3414" s="101" t="s">
        <v>172</v>
      </c>
      <c r="AC3414" s="102" t="s">
        <v>173</v>
      </c>
    </row>
    <row r="3415" spans="1:29" ht="25.5" customHeight="1" x14ac:dyDescent="0.35">
      <c r="A3415" s="392"/>
      <c r="B3415" s="393"/>
      <c r="C3415" s="99" t="str">
        <f>IF(B3415="","",IF(NOT(ISNUMBER(B3415)),"DATA_PC invalida",IF(NOT(ISNUMBER(parametros!$C$2)),"Fora dos ciclos",IF(OR(B3415&lt;parametros!$C$2,(YEAR(B3415)-YEAR(parametros!$C$2))*12+MONTH(B3415)-MONTH(parametros!$C$2)&gt;59),"Fora dos ciclos","C"&amp;INT(((YEAR(B3415)-YEAR(parametros!$C$2))*12+MONTH(B3415)-MONTH(parametros!$C$2))/12)))))</f>
        <v/>
      </c>
      <c r="D3415" s="394"/>
      <c r="E3415" s="78" t="str">
        <f>IF(C3415="","",IFERROR(VLOOKUP(C3415,parametros!$A$11:$E$15,5,0),""))</f>
        <v/>
      </c>
      <c r="F3415" s="79" t="str">
        <f t="shared" si="267"/>
        <v/>
      </c>
      <c r="G3415" s="395"/>
      <c r="H3415" s="91">
        <f t="shared" si="268"/>
        <v>0</v>
      </c>
      <c r="I3415" s="91" t="str">
        <f t="shared" si="269"/>
        <v/>
      </c>
      <c r="J3415" s="91" t="str">
        <f t="shared" si="270"/>
        <v/>
      </c>
      <c r="K3415" s="92" t="str">
        <f>IF(AND(A3415="",B3415="",D3415="",G3415=""),"",IF(AND(A3415&lt;&gt;"",COUNTIF($A$2:$A$5001,A3415)&gt;1),"NUMERO_PC duplicado",IF(B3415="","DATA_PC vazia",IF(NOT(ISNUMBER(B3415)),"DATA_PC invalida",IF(OR(C3415="",C3415="Fora dos ciclos"),"CICLO_PC nao identificado",IF(OR(D3415="",D3415=0),"VALOR_PC vazio ou zero",IF(AND(G3415&lt;&gt;"Sim",G3415&lt;&gt;"Nao",G3415&lt;&gt;""),"PC_PAGO_A_CONTRATADA invalido",IF(AND(C3415&lt;&gt;"C0",IFERROR(INDEX(parametros!$A$2:$A$6,MATCH(C3415,parametros!$B$2:$B$6,0)),"")="Sim",IFERROR(INDEX(parametros!$H$2:$H$6,MATCH(C3415,parametros!$B$2:$B$6,0)),"")=""),"INICIO_EFEITO ausente: PC "&amp;A3415&amp;" - "&amp;C3415,IF(L3415="","EFEITO_PC nao calculado: PC "&amp;A3415&amp;" - "&amp;C3415,"OK")))))))))</f>
        <v/>
      </c>
      <c r="L3415" s="92" t="str">
        <f>IF(AND(A3415="",B3415="",D3415="",G3415=""),"",IF(OR(B3415="",NOT(ISNUMBER(B3415)),C3415="",C3415="Fora dos ciclos"),"",IF(C3415="C0","Nao",IF(IFERROR(INDEX(parametros!$A$2:$A$6,MATCH(C3415,parametros!$B$2:$B$6,0)),"")&lt;&gt;"Sim","Nao",IF(IFERROR(INDEX(parametros!$H$2:$H$6,MATCH(C3415,parametros!$B$2:$B$6,0)),"")="","",IF(B3415&gt;=IFERROR(INDEX(parametros!$H$2:$H$6,MATCH(C3415,parametros!$B$2:$B$6,0)),""),"Sim","Nao"))))))</f>
        <v/>
      </c>
      <c r="T3415" s="156"/>
      <c r="U3415" s="214" t="str">
        <f t="shared" si="271"/>
        <v/>
      </c>
      <c r="V3415" s="212" t="s">
        <v>50</v>
      </c>
      <c r="W3415" s="100" t="s">
        <v>168</v>
      </c>
      <c r="X3415" s="100" t="s">
        <v>169</v>
      </c>
      <c r="Y3415" s="101" t="s">
        <v>170</v>
      </c>
      <c r="Z3415" s="101" t="s">
        <v>171</v>
      </c>
      <c r="AA3415" s="101" t="s">
        <v>50</v>
      </c>
      <c r="AB3415" s="101" t="s">
        <v>172</v>
      </c>
      <c r="AC3415" s="102" t="s">
        <v>173</v>
      </c>
    </row>
    <row r="3416" spans="1:29" ht="25.5" customHeight="1" x14ac:dyDescent="0.35">
      <c r="A3416" s="392"/>
      <c r="B3416" s="393"/>
      <c r="C3416" s="99" t="str">
        <f>IF(B3416="","",IF(NOT(ISNUMBER(B3416)),"DATA_PC invalida",IF(NOT(ISNUMBER(parametros!$C$2)),"Fora dos ciclos",IF(OR(B3416&lt;parametros!$C$2,(YEAR(B3416)-YEAR(parametros!$C$2))*12+MONTH(B3416)-MONTH(parametros!$C$2)&gt;59),"Fora dos ciclos","C"&amp;INT(((YEAR(B3416)-YEAR(parametros!$C$2))*12+MONTH(B3416)-MONTH(parametros!$C$2))/12)))))</f>
        <v/>
      </c>
      <c r="D3416" s="394"/>
      <c r="E3416" s="78" t="str">
        <f>IF(C3416="","",IFERROR(VLOOKUP(C3416,parametros!$A$11:$E$15,5,0),""))</f>
        <v/>
      </c>
      <c r="F3416" s="79" t="str">
        <f t="shared" si="267"/>
        <v/>
      </c>
      <c r="G3416" s="395"/>
      <c r="H3416" s="91">
        <f t="shared" si="268"/>
        <v>0</v>
      </c>
      <c r="I3416" s="91" t="str">
        <f t="shared" si="269"/>
        <v/>
      </c>
      <c r="J3416" s="91" t="str">
        <f t="shared" si="270"/>
        <v/>
      </c>
      <c r="K3416" s="92" t="str">
        <f>IF(AND(A3416="",B3416="",D3416="",G3416=""),"",IF(AND(A3416&lt;&gt;"",COUNTIF($A$2:$A$5001,A3416)&gt;1),"NUMERO_PC duplicado",IF(B3416="","DATA_PC vazia",IF(NOT(ISNUMBER(B3416)),"DATA_PC invalida",IF(OR(C3416="",C3416="Fora dos ciclos"),"CICLO_PC nao identificado",IF(OR(D3416="",D3416=0),"VALOR_PC vazio ou zero",IF(AND(G3416&lt;&gt;"Sim",G3416&lt;&gt;"Nao",G3416&lt;&gt;""),"PC_PAGO_A_CONTRATADA invalido",IF(AND(C3416&lt;&gt;"C0",IFERROR(INDEX(parametros!$A$2:$A$6,MATCH(C3416,parametros!$B$2:$B$6,0)),"")="Sim",IFERROR(INDEX(parametros!$H$2:$H$6,MATCH(C3416,parametros!$B$2:$B$6,0)),"")=""),"INICIO_EFEITO ausente: PC "&amp;A3416&amp;" - "&amp;C3416,IF(L3416="","EFEITO_PC nao calculado: PC "&amp;A3416&amp;" - "&amp;C3416,"OK")))))))))</f>
        <v/>
      </c>
      <c r="L3416" s="92" t="str">
        <f>IF(AND(A3416="",B3416="",D3416="",G3416=""),"",IF(OR(B3416="",NOT(ISNUMBER(B3416)),C3416="",C3416="Fora dos ciclos"),"",IF(C3416="C0","Nao",IF(IFERROR(INDEX(parametros!$A$2:$A$6,MATCH(C3416,parametros!$B$2:$B$6,0)),"")&lt;&gt;"Sim","Nao",IF(IFERROR(INDEX(parametros!$H$2:$H$6,MATCH(C3416,parametros!$B$2:$B$6,0)),"")="","",IF(B3416&gt;=IFERROR(INDEX(parametros!$H$2:$H$6,MATCH(C3416,parametros!$B$2:$B$6,0)),""),"Sim","Nao"))))))</f>
        <v/>
      </c>
      <c r="T3416" s="156"/>
      <c r="U3416" s="214" t="str">
        <f t="shared" si="271"/>
        <v/>
      </c>
      <c r="V3416" s="212" t="s">
        <v>50</v>
      </c>
      <c r="W3416" s="100" t="s">
        <v>168</v>
      </c>
      <c r="X3416" s="100" t="s">
        <v>169</v>
      </c>
      <c r="Y3416" s="101" t="s">
        <v>170</v>
      </c>
      <c r="Z3416" s="101" t="s">
        <v>171</v>
      </c>
      <c r="AA3416" s="101" t="s">
        <v>50</v>
      </c>
      <c r="AB3416" s="101" t="s">
        <v>172</v>
      </c>
      <c r="AC3416" s="102" t="s">
        <v>173</v>
      </c>
    </row>
    <row r="3417" spans="1:29" ht="25.5" customHeight="1" x14ac:dyDescent="0.35">
      <c r="A3417" s="392"/>
      <c r="B3417" s="393"/>
      <c r="C3417" s="99" t="str">
        <f>IF(B3417="","",IF(NOT(ISNUMBER(B3417)),"DATA_PC invalida",IF(NOT(ISNUMBER(parametros!$C$2)),"Fora dos ciclos",IF(OR(B3417&lt;parametros!$C$2,(YEAR(B3417)-YEAR(parametros!$C$2))*12+MONTH(B3417)-MONTH(parametros!$C$2)&gt;59),"Fora dos ciclos","C"&amp;INT(((YEAR(B3417)-YEAR(parametros!$C$2))*12+MONTH(B3417)-MONTH(parametros!$C$2))/12)))))</f>
        <v/>
      </c>
      <c r="D3417" s="394"/>
      <c r="E3417" s="78" t="str">
        <f>IF(C3417="","",IFERROR(VLOOKUP(C3417,parametros!$A$11:$E$15,5,0),""))</f>
        <v/>
      </c>
      <c r="F3417" s="79" t="str">
        <f t="shared" si="267"/>
        <v/>
      </c>
      <c r="G3417" s="395"/>
      <c r="H3417" s="91">
        <f t="shared" si="268"/>
        <v>0</v>
      </c>
      <c r="I3417" s="91" t="str">
        <f t="shared" si="269"/>
        <v/>
      </c>
      <c r="J3417" s="91" t="str">
        <f t="shared" si="270"/>
        <v/>
      </c>
      <c r="K3417" s="92" t="str">
        <f>IF(AND(A3417="",B3417="",D3417="",G3417=""),"",IF(AND(A3417&lt;&gt;"",COUNTIF($A$2:$A$5001,A3417)&gt;1),"NUMERO_PC duplicado",IF(B3417="","DATA_PC vazia",IF(NOT(ISNUMBER(B3417)),"DATA_PC invalida",IF(OR(C3417="",C3417="Fora dos ciclos"),"CICLO_PC nao identificado",IF(OR(D3417="",D3417=0),"VALOR_PC vazio ou zero",IF(AND(G3417&lt;&gt;"Sim",G3417&lt;&gt;"Nao",G3417&lt;&gt;""),"PC_PAGO_A_CONTRATADA invalido",IF(AND(C3417&lt;&gt;"C0",IFERROR(INDEX(parametros!$A$2:$A$6,MATCH(C3417,parametros!$B$2:$B$6,0)),"")="Sim",IFERROR(INDEX(parametros!$H$2:$H$6,MATCH(C3417,parametros!$B$2:$B$6,0)),"")=""),"INICIO_EFEITO ausente: PC "&amp;A3417&amp;" - "&amp;C3417,IF(L3417="","EFEITO_PC nao calculado: PC "&amp;A3417&amp;" - "&amp;C3417,"OK")))))))))</f>
        <v/>
      </c>
      <c r="L3417" s="92" t="str">
        <f>IF(AND(A3417="",B3417="",D3417="",G3417=""),"",IF(OR(B3417="",NOT(ISNUMBER(B3417)),C3417="",C3417="Fora dos ciclos"),"",IF(C3417="C0","Nao",IF(IFERROR(INDEX(parametros!$A$2:$A$6,MATCH(C3417,parametros!$B$2:$B$6,0)),"")&lt;&gt;"Sim","Nao",IF(IFERROR(INDEX(parametros!$H$2:$H$6,MATCH(C3417,parametros!$B$2:$B$6,0)),"")="","",IF(B3417&gt;=IFERROR(INDEX(parametros!$H$2:$H$6,MATCH(C3417,parametros!$B$2:$B$6,0)),""),"Sim","Nao"))))))</f>
        <v/>
      </c>
      <c r="T3417" s="156"/>
      <c r="U3417" s="214" t="str">
        <f t="shared" si="271"/>
        <v/>
      </c>
      <c r="V3417" s="212" t="s">
        <v>50</v>
      </c>
      <c r="W3417" s="100" t="s">
        <v>168</v>
      </c>
      <c r="X3417" s="100" t="s">
        <v>169</v>
      </c>
      <c r="Y3417" s="101" t="s">
        <v>170</v>
      </c>
      <c r="Z3417" s="101" t="s">
        <v>171</v>
      </c>
      <c r="AA3417" s="101" t="s">
        <v>50</v>
      </c>
      <c r="AB3417" s="101" t="s">
        <v>172</v>
      </c>
      <c r="AC3417" s="102" t="s">
        <v>173</v>
      </c>
    </row>
    <row r="3418" spans="1:29" ht="25.5" customHeight="1" x14ac:dyDescent="0.35">
      <c r="A3418" s="392"/>
      <c r="B3418" s="393"/>
      <c r="C3418" s="99" t="str">
        <f>IF(B3418="","",IF(NOT(ISNUMBER(B3418)),"DATA_PC invalida",IF(NOT(ISNUMBER(parametros!$C$2)),"Fora dos ciclos",IF(OR(B3418&lt;parametros!$C$2,(YEAR(B3418)-YEAR(parametros!$C$2))*12+MONTH(B3418)-MONTH(parametros!$C$2)&gt;59),"Fora dos ciclos","C"&amp;INT(((YEAR(B3418)-YEAR(parametros!$C$2))*12+MONTH(B3418)-MONTH(parametros!$C$2))/12)))))</f>
        <v/>
      </c>
      <c r="D3418" s="394"/>
      <c r="E3418" s="78" t="str">
        <f>IF(C3418="","",IFERROR(VLOOKUP(C3418,parametros!$A$11:$E$15,5,0),""))</f>
        <v/>
      </c>
      <c r="F3418" s="79" t="str">
        <f t="shared" si="267"/>
        <v/>
      </c>
      <c r="G3418" s="395"/>
      <c r="H3418" s="91">
        <f t="shared" si="268"/>
        <v>0</v>
      </c>
      <c r="I3418" s="91" t="str">
        <f t="shared" si="269"/>
        <v/>
      </c>
      <c r="J3418" s="91" t="str">
        <f t="shared" si="270"/>
        <v/>
      </c>
      <c r="K3418" s="92" t="str">
        <f>IF(AND(A3418="",B3418="",D3418="",G3418=""),"",IF(AND(A3418&lt;&gt;"",COUNTIF($A$2:$A$5001,A3418)&gt;1),"NUMERO_PC duplicado",IF(B3418="","DATA_PC vazia",IF(NOT(ISNUMBER(B3418)),"DATA_PC invalida",IF(OR(C3418="",C3418="Fora dos ciclos"),"CICLO_PC nao identificado",IF(OR(D3418="",D3418=0),"VALOR_PC vazio ou zero",IF(AND(G3418&lt;&gt;"Sim",G3418&lt;&gt;"Nao",G3418&lt;&gt;""),"PC_PAGO_A_CONTRATADA invalido",IF(AND(C3418&lt;&gt;"C0",IFERROR(INDEX(parametros!$A$2:$A$6,MATCH(C3418,parametros!$B$2:$B$6,0)),"")="Sim",IFERROR(INDEX(parametros!$H$2:$H$6,MATCH(C3418,parametros!$B$2:$B$6,0)),"")=""),"INICIO_EFEITO ausente: PC "&amp;A3418&amp;" - "&amp;C3418,IF(L3418="","EFEITO_PC nao calculado: PC "&amp;A3418&amp;" - "&amp;C3418,"OK")))))))))</f>
        <v/>
      </c>
      <c r="L3418" s="92" t="str">
        <f>IF(AND(A3418="",B3418="",D3418="",G3418=""),"",IF(OR(B3418="",NOT(ISNUMBER(B3418)),C3418="",C3418="Fora dos ciclos"),"",IF(C3418="C0","Nao",IF(IFERROR(INDEX(parametros!$A$2:$A$6,MATCH(C3418,parametros!$B$2:$B$6,0)),"")&lt;&gt;"Sim","Nao",IF(IFERROR(INDEX(parametros!$H$2:$H$6,MATCH(C3418,parametros!$B$2:$B$6,0)),"")="","",IF(B3418&gt;=IFERROR(INDEX(parametros!$H$2:$H$6,MATCH(C3418,parametros!$B$2:$B$6,0)),""),"Sim","Nao"))))))</f>
        <v/>
      </c>
      <c r="T3418" s="156"/>
      <c r="U3418" s="214" t="str">
        <f t="shared" si="271"/>
        <v/>
      </c>
      <c r="V3418" s="212" t="s">
        <v>50</v>
      </c>
      <c r="W3418" s="100" t="s">
        <v>168</v>
      </c>
      <c r="X3418" s="100" t="s">
        <v>169</v>
      </c>
      <c r="Y3418" s="101" t="s">
        <v>170</v>
      </c>
      <c r="Z3418" s="101" t="s">
        <v>171</v>
      </c>
      <c r="AA3418" s="101" t="s">
        <v>50</v>
      </c>
      <c r="AB3418" s="101" t="s">
        <v>172</v>
      </c>
      <c r="AC3418" s="102" t="s">
        <v>173</v>
      </c>
    </row>
    <row r="3419" spans="1:29" ht="25.5" customHeight="1" x14ac:dyDescent="0.35">
      <c r="A3419" s="392"/>
      <c r="B3419" s="393"/>
      <c r="C3419" s="99" t="str">
        <f>IF(B3419="","",IF(NOT(ISNUMBER(B3419)),"DATA_PC invalida",IF(NOT(ISNUMBER(parametros!$C$2)),"Fora dos ciclos",IF(OR(B3419&lt;parametros!$C$2,(YEAR(B3419)-YEAR(parametros!$C$2))*12+MONTH(B3419)-MONTH(parametros!$C$2)&gt;59),"Fora dos ciclos","C"&amp;INT(((YEAR(B3419)-YEAR(parametros!$C$2))*12+MONTH(B3419)-MONTH(parametros!$C$2))/12)))))</f>
        <v/>
      </c>
      <c r="D3419" s="394"/>
      <c r="E3419" s="78" t="str">
        <f>IF(C3419="","",IFERROR(VLOOKUP(C3419,parametros!$A$11:$E$15,5,0),""))</f>
        <v/>
      </c>
      <c r="F3419" s="79" t="str">
        <f t="shared" si="267"/>
        <v/>
      </c>
      <c r="G3419" s="395"/>
      <c r="H3419" s="91">
        <f t="shared" si="268"/>
        <v>0</v>
      </c>
      <c r="I3419" s="91" t="str">
        <f t="shared" si="269"/>
        <v/>
      </c>
      <c r="J3419" s="91" t="str">
        <f t="shared" si="270"/>
        <v/>
      </c>
      <c r="K3419" s="92" t="str">
        <f>IF(AND(A3419="",B3419="",D3419="",G3419=""),"",IF(AND(A3419&lt;&gt;"",COUNTIF($A$2:$A$5001,A3419)&gt;1),"NUMERO_PC duplicado",IF(B3419="","DATA_PC vazia",IF(NOT(ISNUMBER(B3419)),"DATA_PC invalida",IF(OR(C3419="",C3419="Fora dos ciclos"),"CICLO_PC nao identificado",IF(OR(D3419="",D3419=0),"VALOR_PC vazio ou zero",IF(AND(G3419&lt;&gt;"Sim",G3419&lt;&gt;"Nao",G3419&lt;&gt;""),"PC_PAGO_A_CONTRATADA invalido",IF(AND(C3419&lt;&gt;"C0",IFERROR(INDEX(parametros!$A$2:$A$6,MATCH(C3419,parametros!$B$2:$B$6,0)),"")="Sim",IFERROR(INDEX(parametros!$H$2:$H$6,MATCH(C3419,parametros!$B$2:$B$6,0)),"")=""),"INICIO_EFEITO ausente: PC "&amp;A3419&amp;" - "&amp;C3419,IF(L3419="","EFEITO_PC nao calculado: PC "&amp;A3419&amp;" - "&amp;C3419,"OK")))))))))</f>
        <v/>
      </c>
      <c r="L3419" s="92" t="str">
        <f>IF(AND(A3419="",B3419="",D3419="",G3419=""),"",IF(OR(B3419="",NOT(ISNUMBER(B3419)),C3419="",C3419="Fora dos ciclos"),"",IF(C3419="C0","Nao",IF(IFERROR(INDEX(parametros!$A$2:$A$6,MATCH(C3419,parametros!$B$2:$B$6,0)),"")&lt;&gt;"Sim","Nao",IF(IFERROR(INDEX(parametros!$H$2:$H$6,MATCH(C3419,parametros!$B$2:$B$6,0)),"")="","",IF(B3419&gt;=IFERROR(INDEX(parametros!$H$2:$H$6,MATCH(C3419,parametros!$B$2:$B$6,0)),""),"Sim","Nao"))))))</f>
        <v/>
      </c>
      <c r="T3419" s="156"/>
      <c r="U3419" s="214" t="str">
        <f t="shared" si="271"/>
        <v/>
      </c>
      <c r="V3419" s="212" t="s">
        <v>50</v>
      </c>
      <c r="W3419" s="100" t="s">
        <v>168</v>
      </c>
      <c r="X3419" s="100" t="s">
        <v>169</v>
      </c>
      <c r="Y3419" s="101" t="s">
        <v>170</v>
      </c>
      <c r="Z3419" s="101" t="s">
        <v>171</v>
      </c>
      <c r="AA3419" s="101" t="s">
        <v>50</v>
      </c>
      <c r="AB3419" s="101" t="s">
        <v>172</v>
      </c>
      <c r="AC3419" s="102" t="s">
        <v>173</v>
      </c>
    </row>
    <row r="3420" spans="1:29" ht="25.5" customHeight="1" x14ac:dyDescent="0.35">
      <c r="A3420" s="392"/>
      <c r="B3420" s="393"/>
      <c r="C3420" s="99" t="str">
        <f>IF(B3420="","",IF(NOT(ISNUMBER(B3420)),"DATA_PC invalida",IF(NOT(ISNUMBER(parametros!$C$2)),"Fora dos ciclos",IF(OR(B3420&lt;parametros!$C$2,(YEAR(B3420)-YEAR(parametros!$C$2))*12+MONTH(B3420)-MONTH(parametros!$C$2)&gt;59),"Fora dos ciclos","C"&amp;INT(((YEAR(B3420)-YEAR(parametros!$C$2))*12+MONTH(B3420)-MONTH(parametros!$C$2))/12)))))</f>
        <v/>
      </c>
      <c r="D3420" s="394"/>
      <c r="E3420" s="78" t="str">
        <f>IF(C3420="","",IFERROR(VLOOKUP(C3420,parametros!$A$11:$E$15,5,0),""))</f>
        <v/>
      </c>
      <c r="F3420" s="79" t="str">
        <f t="shared" si="267"/>
        <v/>
      </c>
      <c r="G3420" s="395"/>
      <c r="H3420" s="91">
        <f t="shared" si="268"/>
        <v>0</v>
      </c>
      <c r="I3420" s="91" t="str">
        <f t="shared" si="269"/>
        <v/>
      </c>
      <c r="J3420" s="91" t="str">
        <f t="shared" si="270"/>
        <v/>
      </c>
      <c r="K3420" s="92" t="str">
        <f>IF(AND(A3420="",B3420="",D3420="",G3420=""),"",IF(AND(A3420&lt;&gt;"",COUNTIF($A$2:$A$5001,A3420)&gt;1),"NUMERO_PC duplicado",IF(B3420="","DATA_PC vazia",IF(NOT(ISNUMBER(B3420)),"DATA_PC invalida",IF(OR(C3420="",C3420="Fora dos ciclos"),"CICLO_PC nao identificado",IF(OR(D3420="",D3420=0),"VALOR_PC vazio ou zero",IF(AND(G3420&lt;&gt;"Sim",G3420&lt;&gt;"Nao",G3420&lt;&gt;""),"PC_PAGO_A_CONTRATADA invalido",IF(AND(C3420&lt;&gt;"C0",IFERROR(INDEX(parametros!$A$2:$A$6,MATCH(C3420,parametros!$B$2:$B$6,0)),"")="Sim",IFERROR(INDEX(parametros!$H$2:$H$6,MATCH(C3420,parametros!$B$2:$B$6,0)),"")=""),"INICIO_EFEITO ausente: PC "&amp;A3420&amp;" - "&amp;C3420,IF(L3420="","EFEITO_PC nao calculado: PC "&amp;A3420&amp;" - "&amp;C3420,"OK")))))))))</f>
        <v/>
      </c>
      <c r="L3420" s="92" t="str">
        <f>IF(AND(A3420="",B3420="",D3420="",G3420=""),"",IF(OR(B3420="",NOT(ISNUMBER(B3420)),C3420="",C3420="Fora dos ciclos"),"",IF(C3420="C0","Nao",IF(IFERROR(INDEX(parametros!$A$2:$A$6,MATCH(C3420,parametros!$B$2:$B$6,0)),"")&lt;&gt;"Sim","Nao",IF(IFERROR(INDEX(parametros!$H$2:$H$6,MATCH(C3420,parametros!$B$2:$B$6,0)),"")="","",IF(B3420&gt;=IFERROR(INDEX(parametros!$H$2:$H$6,MATCH(C3420,parametros!$B$2:$B$6,0)),""),"Sim","Nao"))))))</f>
        <v/>
      </c>
      <c r="T3420" s="156"/>
      <c r="U3420" s="214" t="str">
        <f t="shared" si="271"/>
        <v/>
      </c>
      <c r="V3420" s="212" t="s">
        <v>50</v>
      </c>
      <c r="W3420" s="100" t="s">
        <v>168</v>
      </c>
      <c r="X3420" s="100" t="s">
        <v>169</v>
      </c>
      <c r="Y3420" s="101" t="s">
        <v>170</v>
      </c>
      <c r="Z3420" s="101" t="s">
        <v>171</v>
      </c>
      <c r="AA3420" s="101" t="s">
        <v>50</v>
      </c>
      <c r="AB3420" s="101" t="s">
        <v>172</v>
      </c>
      <c r="AC3420" s="102" t="s">
        <v>173</v>
      </c>
    </row>
    <row r="3421" spans="1:29" ht="25.5" customHeight="1" x14ac:dyDescent="0.35">
      <c r="A3421" s="392"/>
      <c r="B3421" s="393"/>
      <c r="C3421" s="99" t="str">
        <f>IF(B3421="","",IF(NOT(ISNUMBER(B3421)),"DATA_PC invalida",IF(NOT(ISNUMBER(parametros!$C$2)),"Fora dos ciclos",IF(OR(B3421&lt;parametros!$C$2,(YEAR(B3421)-YEAR(parametros!$C$2))*12+MONTH(B3421)-MONTH(parametros!$C$2)&gt;59),"Fora dos ciclos","C"&amp;INT(((YEAR(B3421)-YEAR(parametros!$C$2))*12+MONTH(B3421)-MONTH(parametros!$C$2))/12)))))</f>
        <v/>
      </c>
      <c r="D3421" s="394"/>
      <c r="E3421" s="78" t="str">
        <f>IF(C3421="","",IFERROR(VLOOKUP(C3421,parametros!$A$11:$E$15,5,0),""))</f>
        <v/>
      </c>
      <c r="F3421" s="79" t="str">
        <f t="shared" si="267"/>
        <v/>
      </c>
      <c r="G3421" s="395"/>
      <c r="H3421" s="91">
        <f t="shared" si="268"/>
        <v>0</v>
      </c>
      <c r="I3421" s="91" t="str">
        <f t="shared" si="269"/>
        <v/>
      </c>
      <c r="J3421" s="91" t="str">
        <f t="shared" si="270"/>
        <v/>
      </c>
      <c r="K3421" s="92" t="str">
        <f>IF(AND(A3421="",B3421="",D3421="",G3421=""),"",IF(AND(A3421&lt;&gt;"",COUNTIF($A$2:$A$5001,A3421)&gt;1),"NUMERO_PC duplicado",IF(B3421="","DATA_PC vazia",IF(NOT(ISNUMBER(B3421)),"DATA_PC invalida",IF(OR(C3421="",C3421="Fora dos ciclos"),"CICLO_PC nao identificado",IF(OR(D3421="",D3421=0),"VALOR_PC vazio ou zero",IF(AND(G3421&lt;&gt;"Sim",G3421&lt;&gt;"Nao",G3421&lt;&gt;""),"PC_PAGO_A_CONTRATADA invalido",IF(AND(C3421&lt;&gt;"C0",IFERROR(INDEX(parametros!$A$2:$A$6,MATCH(C3421,parametros!$B$2:$B$6,0)),"")="Sim",IFERROR(INDEX(parametros!$H$2:$H$6,MATCH(C3421,parametros!$B$2:$B$6,0)),"")=""),"INICIO_EFEITO ausente: PC "&amp;A3421&amp;" - "&amp;C3421,IF(L3421="","EFEITO_PC nao calculado: PC "&amp;A3421&amp;" - "&amp;C3421,"OK")))))))))</f>
        <v/>
      </c>
      <c r="L3421" s="92" t="str">
        <f>IF(AND(A3421="",B3421="",D3421="",G3421=""),"",IF(OR(B3421="",NOT(ISNUMBER(B3421)),C3421="",C3421="Fora dos ciclos"),"",IF(C3421="C0","Nao",IF(IFERROR(INDEX(parametros!$A$2:$A$6,MATCH(C3421,parametros!$B$2:$B$6,0)),"")&lt;&gt;"Sim","Nao",IF(IFERROR(INDEX(parametros!$H$2:$H$6,MATCH(C3421,parametros!$B$2:$B$6,0)),"")="","",IF(B3421&gt;=IFERROR(INDEX(parametros!$H$2:$H$6,MATCH(C3421,parametros!$B$2:$B$6,0)),""),"Sim","Nao"))))))</f>
        <v/>
      </c>
      <c r="T3421" s="156"/>
      <c r="U3421" s="214" t="str">
        <f t="shared" si="271"/>
        <v/>
      </c>
      <c r="V3421" s="212" t="s">
        <v>50</v>
      </c>
      <c r="W3421" s="100" t="s">
        <v>168</v>
      </c>
      <c r="X3421" s="100" t="s">
        <v>169</v>
      </c>
      <c r="Y3421" s="101" t="s">
        <v>170</v>
      </c>
      <c r="Z3421" s="101" t="s">
        <v>171</v>
      </c>
      <c r="AA3421" s="101" t="s">
        <v>50</v>
      </c>
      <c r="AB3421" s="101" t="s">
        <v>172</v>
      </c>
      <c r="AC3421" s="102" t="s">
        <v>173</v>
      </c>
    </row>
    <row r="3422" spans="1:29" ht="25.5" customHeight="1" x14ac:dyDescent="0.35">
      <c r="A3422" s="392"/>
      <c r="B3422" s="393"/>
      <c r="C3422" s="99" t="str">
        <f>IF(B3422="","",IF(NOT(ISNUMBER(B3422)),"DATA_PC invalida",IF(NOT(ISNUMBER(parametros!$C$2)),"Fora dos ciclos",IF(OR(B3422&lt;parametros!$C$2,(YEAR(B3422)-YEAR(parametros!$C$2))*12+MONTH(B3422)-MONTH(parametros!$C$2)&gt;59),"Fora dos ciclos","C"&amp;INT(((YEAR(B3422)-YEAR(parametros!$C$2))*12+MONTH(B3422)-MONTH(parametros!$C$2))/12)))))</f>
        <v/>
      </c>
      <c r="D3422" s="394"/>
      <c r="E3422" s="78" t="str">
        <f>IF(C3422="","",IFERROR(VLOOKUP(C3422,parametros!$A$11:$E$15,5,0),""))</f>
        <v/>
      </c>
      <c r="F3422" s="79" t="str">
        <f t="shared" si="267"/>
        <v/>
      </c>
      <c r="G3422" s="395"/>
      <c r="H3422" s="91">
        <f t="shared" si="268"/>
        <v>0</v>
      </c>
      <c r="I3422" s="91" t="str">
        <f t="shared" si="269"/>
        <v/>
      </c>
      <c r="J3422" s="91" t="str">
        <f t="shared" si="270"/>
        <v/>
      </c>
      <c r="K3422" s="92" t="str">
        <f>IF(AND(A3422="",B3422="",D3422="",G3422=""),"",IF(AND(A3422&lt;&gt;"",COUNTIF($A$2:$A$5001,A3422)&gt;1),"NUMERO_PC duplicado",IF(B3422="","DATA_PC vazia",IF(NOT(ISNUMBER(B3422)),"DATA_PC invalida",IF(OR(C3422="",C3422="Fora dos ciclos"),"CICLO_PC nao identificado",IF(OR(D3422="",D3422=0),"VALOR_PC vazio ou zero",IF(AND(G3422&lt;&gt;"Sim",G3422&lt;&gt;"Nao",G3422&lt;&gt;""),"PC_PAGO_A_CONTRATADA invalido",IF(AND(C3422&lt;&gt;"C0",IFERROR(INDEX(parametros!$A$2:$A$6,MATCH(C3422,parametros!$B$2:$B$6,0)),"")="Sim",IFERROR(INDEX(parametros!$H$2:$H$6,MATCH(C3422,parametros!$B$2:$B$6,0)),"")=""),"INICIO_EFEITO ausente: PC "&amp;A3422&amp;" - "&amp;C3422,IF(L3422="","EFEITO_PC nao calculado: PC "&amp;A3422&amp;" - "&amp;C3422,"OK")))))))))</f>
        <v/>
      </c>
      <c r="L3422" s="92" t="str">
        <f>IF(AND(A3422="",B3422="",D3422="",G3422=""),"",IF(OR(B3422="",NOT(ISNUMBER(B3422)),C3422="",C3422="Fora dos ciclos"),"",IF(C3422="C0","Nao",IF(IFERROR(INDEX(parametros!$A$2:$A$6,MATCH(C3422,parametros!$B$2:$B$6,0)),"")&lt;&gt;"Sim","Nao",IF(IFERROR(INDEX(parametros!$H$2:$H$6,MATCH(C3422,parametros!$B$2:$B$6,0)),"")="","",IF(B3422&gt;=IFERROR(INDEX(parametros!$H$2:$H$6,MATCH(C3422,parametros!$B$2:$B$6,0)),""),"Sim","Nao"))))))</f>
        <v/>
      </c>
      <c r="T3422" s="156"/>
      <c r="U3422" s="214" t="str">
        <f t="shared" si="271"/>
        <v/>
      </c>
      <c r="V3422" s="212" t="s">
        <v>50</v>
      </c>
      <c r="W3422" s="100" t="s">
        <v>168</v>
      </c>
      <c r="X3422" s="100" t="s">
        <v>169</v>
      </c>
      <c r="Y3422" s="101" t="s">
        <v>170</v>
      </c>
      <c r="Z3422" s="101" t="s">
        <v>171</v>
      </c>
      <c r="AA3422" s="101" t="s">
        <v>50</v>
      </c>
      <c r="AB3422" s="101" t="s">
        <v>172</v>
      </c>
      <c r="AC3422" s="102" t="s">
        <v>173</v>
      </c>
    </row>
    <row r="3423" spans="1:29" ht="25.5" customHeight="1" x14ac:dyDescent="0.35">
      <c r="A3423" s="392"/>
      <c r="B3423" s="393"/>
      <c r="C3423" s="99" t="str">
        <f>IF(B3423="","",IF(NOT(ISNUMBER(B3423)),"DATA_PC invalida",IF(NOT(ISNUMBER(parametros!$C$2)),"Fora dos ciclos",IF(OR(B3423&lt;parametros!$C$2,(YEAR(B3423)-YEAR(parametros!$C$2))*12+MONTH(B3423)-MONTH(parametros!$C$2)&gt;59),"Fora dos ciclos","C"&amp;INT(((YEAR(B3423)-YEAR(parametros!$C$2))*12+MONTH(B3423)-MONTH(parametros!$C$2))/12)))))</f>
        <v/>
      </c>
      <c r="D3423" s="394"/>
      <c r="E3423" s="78" t="str">
        <f>IF(C3423="","",IFERROR(VLOOKUP(C3423,parametros!$A$11:$E$15,5,0),""))</f>
        <v/>
      </c>
      <c r="F3423" s="79" t="str">
        <f t="shared" si="267"/>
        <v/>
      </c>
      <c r="G3423" s="395"/>
      <c r="H3423" s="91">
        <f t="shared" si="268"/>
        <v>0</v>
      </c>
      <c r="I3423" s="91" t="str">
        <f t="shared" si="269"/>
        <v/>
      </c>
      <c r="J3423" s="91" t="str">
        <f t="shared" si="270"/>
        <v/>
      </c>
      <c r="K3423" s="92" t="str">
        <f>IF(AND(A3423="",B3423="",D3423="",G3423=""),"",IF(AND(A3423&lt;&gt;"",COUNTIF($A$2:$A$5001,A3423)&gt;1),"NUMERO_PC duplicado",IF(B3423="","DATA_PC vazia",IF(NOT(ISNUMBER(B3423)),"DATA_PC invalida",IF(OR(C3423="",C3423="Fora dos ciclos"),"CICLO_PC nao identificado",IF(OR(D3423="",D3423=0),"VALOR_PC vazio ou zero",IF(AND(G3423&lt;&gt;"Sim",G3423&lt;&gt;"Nao",G3423&lt;&gt;""),"PC_PAGO_A_CONTRATADA invalido",IF(AND(C3423&lt;&gt;"C0",IFERROR(INDEX(parametros!$A$2:$A$6,MATCH(C3423,parametros!$B$2:$B$6,0)),"")="Sim",IFERROR(INDEX(parametros!$H$2:$H$6,MATCH(C3423,parametros!$B$2:$B$6,0)),"")=""),"INICIO_EFEITO ausente: PC "&amp;A3423&amp;" - "&amp;C3423,IF(L3423="","EFEITO_PC nao calculado: PC "&amp;A3423&amp;" - "&amp;C3423,"OK")))))))))</f>
        <v/>
      </c>
      <c r="L3423" s="92" t="str">
        <f>IF(AND(A3423="",B3423="",D3423="",G3423=""),"",IF(OR(B3423="",NOT(ISNUMBER(B3423)),C3423="",C3423="Fora dos ciclos"),"",IF(C3423="C0","Nao",IF(IFERROR(INDEX(parametros!$A$2:$A$6,MATCH(C3423,parametros!$B$2:$B$6,0)),"")&lt;&gt;"Sim","Nao",IF(IFERROR(INDEX(parametros!$H$2:$H$6,MATCH(C3423,parametros!$B$2:$B$6,0)),"")="","",IF(B3423&gt;=IFERROR(INDEX(parametros!$H$2:$H$6,MATCH(C3423,parametros!$B$2:$B$6,0)),""),"Sim","Nao"))))))</f>
        <v/>
      </c>
      <c r="T3423" s="156"/>
      <c r="U3423" s="214" t="str">
        <f t="shared" si="271"/>
        <v/>
      </c>
      <c r="V3423" s="212" t="s">
        <v>50</v>
      </c>
      <c r="W3423" s="100" t="s">
        <v>168</v>
      </c>
      <c r="X3423" s="100" t="s">
        <v>169</v>
      </c>
      <c r="Y3423" s="101" t="s">
        <v>170</v>
      </c>
      <c r="Z3423" s="101" t="s">
        <v>171</v>
      </c>
      <c r="AA3423" s="101" t="s">
        <v>50</v>
      </c>
      <c r="AB3423" s="101" t="s">
        <v>172</v>
      </c>
      <c r="AC3423" s="102" t="s">
        <v>173</v>
      </c>
    </row>
    <row r="3424" spans="1:29" ht="25.5" customHeight="1" x14ac:dyDescent="0.35">
      <c r="A3424" s="392"/>
      <c r="B3424" s="393"/>
      <c r="C3424" s="99" t="str">
        <f>IF(B3424="","",IF(NOT(ISNUMBER(B3424)),"DATA_PC invalida",IF(NOT(ISNUMBER(parametros!$C$2)),"Fora dos ciclos",IF(OR(B3424&lt;parametros!$C$2,(YEAR(B3424)-YEAR(parametros!$C$2))*12+MONTH(B3424)-MONTH(parametros!$C$2)&gt;59),"Fora dos ciclos","C"&amp;INT(((YEAR(B3424)-YEAR(parametros!$C$2))*12+MONTH(B3424)-MONTH(parametros!$C$2))/12)))))</f>
        <v/>
      </c>
      <c r="D3424" s="394"/>
      <c r="E3424" s="78" t="str">
        <f>IF(C3424="","",IFERROR(VLOOKUP(C3424,parametros!$A$11:$E$15,5,0),""))</f>
        <v/>
      </c>
      <c r="F3424" s="79" t="str">
        <f t="shared" si="267"/>
        <v/>
      </c>
      <c r="G3424" s="395"/>
      <c r="H3424" s="91">
        <f t="shared" si="268"/>
        <v>0</v>
      </c>
      <c r="I3424" s="91" t="str">
        <f t="shared" si="269"/>
        <v/>
      </c>
      <c r="J3424" s="91" t="str">
        <f t="shared" si="270"/>
        <v/>
      </c>
      <c r="K3424" s="92" t="str">
        <f>IF(AND(A3424="",B3424="",D3424="",G3424=""),"",IF(AND(A3424&lt;&gt;"",COUNTIF($A$2:$A$5001,A3424)&gt;1),"NUMERO_PC duplicado",IF(B3424="","DATA_PC vazia",IF(NOT(ISNUMBER(B3424)),"DATA_PC invalida",IF(OR(C3424="",C3424="Fora dos ciclos"),"CICLO_PC nao identificado",IF(OR(D3424="",D3424=0),"VALOR_PC vazio ou zero",IF(AND(G3424&lt;&gt;"Sim",G3424&lt;&gt;"Nao",G3424&lt;&gt;""),"PC_PAGO_A_CONTRATADA invalido",IF(AND(C3424&lt;&gt;"C0",IFERROR(INDEX(parametros!$A$2:$A$6,MATCH(C3424,parametros!$B$2:$B$6,0)),"")="Sim",IFERROR(INDEX(parametros!$H$2:$H$6,MATCH(C3424,parametros!$B$2:$B$6,0)),"")=""),"INICIO_EFEITO ausente: PC "&amp;A3424&amp;" - "&amp;C3424,IF(L3424="","EFEITO_PC nao calculado: PC "&amp;A3424&amp;" - "&amp;C3424,"OK")))))))))</f>
        <v/>
      </c>
      <c r="L3424" s="92" t="str">
        <f>IF(AND(A3424="",B3424="",D3424="",G3424=""),"",IF(OR(B3424="",NOT(ISNUMBER(B3424)),C3424="",C3424="Fora dos ciclos"),"",IF(C3424="C0","Nao",IF(IFERROR(INDEX(parametros!$A$2:$A$6,MATCH(C3424,parametros!$B$2:$B$6,0)),"")&lt;&gt;"Sim","Nao",IF(IFERROR(INDEX(parametros!$H$2:$H$6,MATCH(C3424,parametros!$B$2:$B$6,0)),"")="","",IF(B3424&gt;=IFERROR(INDEX(parametros!$H$2:$H$6,MATCH(C3424,parametros!$B$2:$B$6,0)),""),"Sim","Nao"))))))</f>
        <v/>
      </c>
      <c r="T3424" s="156"/>
      <c r="U3424" s="214" t="str">
        <f t="shared" si="271"/>
        <v/>
      </c>
      <c r="V3424" s="212" t="s">
        <v>50</v>
      </c>
      <c r="W3424" s="100" t="s">
        <v>168</v>
      </c>
      <c r="X3424" s="100" t="s">
        <v>169</v>
      </c>
      <c r="Y3424" s="101" t="s">
        <v>170</v>
      </c>
      <c r="Z3424" s="101" t="s">
        <v>171</v>
      </c>
      <c r="AA3424" s="101" t="s">
        <v>50</v>
      </c>
      <c r="AB3424" s="101" t="s">
        <v>172</v>
      </c>
      <c r="AC3424" s="102" t="s">
        <v>173</v>
      </c>
    </row>
    <row r="3425" spans="1:29" ht="25.5" customHeight="1" x14ac:dyDescent="0.35">
      <c r="A3425" s="392"/>
      <c r="B3425" s="393"/>
      <c r="C3425" s="99" t="str">
        <f>IF(B3425="","",IF(NOT(ISNUMBER(B3425)),"DATA_PC invalida",IF(NOT(ISNUMBER(parametros!$C$2)),"Fora dos ciclos",IF(OR(B3425&lt;parametros!$C$2,(YEAR(B3425)-YEAR(parametros!$C$2))*12+MONTH(B3425)-MONTH(parametros!$C$2)&gt;59),"Fora dos ciclos","C"&amp;INT(((YEAR(B3425)-YEAR(parametros!$C$2))*12+MONTH(B3425)-MONTH(parametros!$C$2))/12)))))</f>
        <v/>
      </c>
      <c r="D3425" s="394"/>
      <c r="E3425" s="78" t="str">
        <f>IF(C3425="","",IFERROR(VLOOKUP(C3425,parametros!$A$11:$E$15,5,0),""))</f>
        <v/>
      </c>
      <c r="F3425" s="79" t="str">
        <f t="shared" si="267"/>
        <v/>
      </c>
      <c r="G3425" s="395"/>
      <c r="H3425" s="91">
        <f t="shared" si="268"/>
        <v>0</v>
      </c>
      <c r="I3425" s="91" t="str">
        <f t="shared" si="269"/>
        <v/>
      </c>
      <c r="J3425" s="91" t="str">
        <f t="shared" si="270"/>
        <v/>
      </c>
      <c r="K3425" s="92" t="str">
        <f>IF(AND(A3425="",B3425="",D3425="",G3425=""),"",IF(AND(A3425&lt;&gt;"",COUNTIF($A$2:$A$5001,A3425)&gt;1),"NUMERO_PC duplicado",IF(B3425="","DATA_PC vazia",IF(NOT(ISNUMBER(B3425)),"DATA_PC invalida",IF(OR(C3425="",C3425="Fora dos ciclos"),"CICLO_PC nao identificado",IF(OR(D3425="",D3425=0),"VALOR_PC vazio ou zero",IF(AND(G3425&lt;&gt;"Sim",G3425&lt;&gt;"Nao",G3425&lt;&gt;""),"PC_PAGO_A_CONTRATADA invalido",IF(AND(C3425&lt;&gt;"C0",IFERROR(INDEX(parametros!$A$2:$A$6,MATCH(C3425,parametros!$B$2:$B$6,0)),"")="Sim",IFERROR(INDEX(parametros!$H$2:$H$6,MATCH(C3425,parametros!$B$2:$B$6,0)),"")=""),"INICIO_EFEITO ausente: PC "&amp;A3425&amp;" - "&amp;C3425,IF(L3425="","EFEITO_PC nao calculado: PC "&amp;A3425&amp;" - "&amp;C3425,"OK")))))))))</f>
        <v/>
      </c>
      <c r="L3425" s="92" t="str">
        <f>IF(AND(A3425="",B3425="",D3425="",G3425=""),"",IF(OR(B3425="",NOT(ISNUMBER(B3425)),C3425="",C3425="Fora dos ciclos"),"",IF(C3425="C0","Nao",IF(IFERROR(INDEX(parametros!$A$2:$A$6,MATCH(C3425,parametros!$B$2:$B$6,0)),"")&lt;&gt;"Sim","Nao",IF(IFERROR(INDEX(parametros!$H$2:$H$6,MATCH(C3425,parametros!$B$2:$B$6,0)),"")="","",IF(B3425&gt;=IFERROR(INDEX(parametros!$H$2:$H$6,MATCH(C3425,parametros!$B$2:$B$6,0)),""),"Sim","Nao"))))))</f>
        <v/>
      </c>
      <c r="T3425" s="156"/>
      <c r="U3425" s="214" t="str">
        <f t="shared" si="271"/>
        <v/>
      </c>
      <c r="V3425" s="212" t="s">
        <v>50</v>
      </c>
      <c r="W3425" s="100" t="s">
        <v>168</v>
      </c>
      <c r="X3425" s="100" t="s">
        <v>169</v>
      </c>
      <c r="Y3425" s="101" t="s">
        <v>170</v>
      </c>
      <c r="Z3425" s="101" t="s">
        <v>171</v>
      </c>
      <c r="AA3425" s="101" t="s">
        <v>50</v>
      </c>
      <c r="AB3425" s="101" t="s">
        <v>172</v>
      </c>
      <c r="AC3425" s="102" t="s">
        <v>173</v>
      </c>
    </row>
    <row r="3426" spans="1:29" ht="25.5" customHeight="1" x14ac:dyDescent="0.35">
      <c r="A3426" s="392"/>
      <c r="B3426" s="393"/>
      <c r="C3426" s="99" t="str">
        <f>IF(B3426="","",IF(NOT(ISNUMBER(B3426)),"DATA_PC invalida",IF(NOT(ISNUMBER(parametros!$C$2)),"Fora dos ciclos",IF(OR(B3426&lt;parametros!$C$2,(YEAR(B3426)-YEAR(parametros!$C$2))*12+MONTH(B3426)-MONTH(parametros!$C$2)&gt;59),"Fora dos ciclos","C"&amp;INT(((YEAR(B3426)-YEAR(parametros!$C$2))*12+MONTH(B3426)-MONTH(parametros!$C$2))/12)))))</f>
        <v/>
      </c>
      <c r="D3426" s="394"/>
      <c r="E3426" s="78" t="str">
        <f>IF(C3426="","",IFERROR(VLOOKUP(C3426,parametros!$A$11:$E$15,5,0),""))</f>
        <v/>
      </c>
      <c r="F3426" s="79" t="str">
        <f t="shared" si="267"/>
        <v/>
      </c>
      <c r="G3426" s="395"/>
      <c r="H3426" s="91">
        <f t="shared" si="268"/>
        <v>0</v>
      </c>
      <c r="I3426" s="91" t="str">
        <f t="shared" si="269"/>
        <v/>
      </c>
      <c r="J3426" s="91" t="str">
        <f t="shared" si="270"/>
        <v/>
      </c>
      <c r="K3426" s="92" t="str">
        <f>IF(AND(A3426="",B3426="",D3426="",G3426=""),"",IF(AND(A3426&lt;&gt;"",COUNTIF($A$2:$A$5001,A3426)&gt;1),"NUMERO_PC duplicado",IF(B3426="","DATA_PC vazia",IF(NOT(ISNUMBER(B3426)),"DATA_PC invalida",IF(OR(C3426="",C3426="Fora dos ciclos"),"CICLO_PC nao identificado",IF(OR(D3426="",D3426=0),"VALOR_PC vazio ou zero",IF(AND(G3426&lt;&gt;"Sim",G3426&lt;&gt;"Nao",G3426&lt;&gt;""),"PC_PAGO_A_CONTRATADA invalido",IF(AND(C3426&lt;&gt;"C0",IFERROR(INDEX(parametros!$A$2:$A$6,MATCH(C3426,parametros!$B$2:$B$6,0)),"")="Sim",IFERROR(INDEX(parametros!$H$2:$H$6,MATCH(C3426,parametros!$B$2:$B$6,0)),"")=""),"INICIO_EFEITO ausente: PC "&amp;A3426&amp;" - "&amp;C3426,IF(L3426="","EFEITO_PC nao calculado: PC "&amp;A3426&amp;" - "&amp;C3426,"OK")))))))))</f>
        <v/>
      </c>
      <c r="L3426" s="92" t="str">
        <f>IF(AND(A3426="",B3426="",D3426="",G3426=""),"",IF(OR(B3426="",NOT(ISNUMBER(B3426)),C3426="",C3426="Fora dos ciclos"),"",IF(C3426="C0","Nao",IF(IFERROR(INDEX(parametros!$A$2:$A$6,MATCH(C3426,parametros!$B$2:$B$6,0)),"")&lt;&gt;"Sim","Nao",IF(IFERROR(INDEX(parametros!$H$2:$H$6,MATCH(C3426,parametros!$B$2:$B$6,0)),"")="","",IF(B3426&gt;=IFERROR(INDEX(parametros!$H$2:$H$6,MATCH(C3426,parametros!$B$2:$B$6,0)),""),"Sim","Nao"))))))</f>
        <v/>
      </c>
      <c r="T3426" s="156"/>
      <c r="U3426" s="214" t="str">
        <f t="shared" si="271"/>
        <v/>
      </c>
      <c r="V3426" s="212" t="s">
        <v>50</v>
      </c>
      <c r="W3426" s="100" t="s">
        <v>168</v>
      </c>
      <c r="X3426" s="100" t="s">
        <v>169</v>
      </c>
      <c r="Y3426" s="101" t="s">
        <v>170</v>
      </c>
      <c r="Z3426" s="101" t="s">
        <v>171</v>
      </c>
      <c r="AA3426" s="101" t="s">
        <v>50</v>
      </c>
      <c r="AB3426" s="101" t="s">
        <v>172</v>
      </c>
      <c r="AC3426" s="102" t="s">
        <v>173</v>
      </c>
    </row>
    <row r="3427" spans="1:29" ht="25.5" customHeight="1" x14ac:dyDescent="0.35">
      <c r="A3427" s="392"/>
      <c r="B3427" s="393"/>
      <c r="C3427" s="99" t="str">
        <f>IF(B3427="","",IF(NOT(ISNUMBER(B3427)),"DATA_PC invalida",IF(NOT(ISNUMBER(parametros!$C$2)),"Fora dos ciclos",IF(OR(B3427&lt;parametros!$C$2,(YEAR(B3427)-YEAR(parametros!$C$2))*12+MONTH(B3427)-MONTH(parametros!$C$2)&gt;59),"Fora dos ciclos","C"&amp;INT(((YEAR(B3427)-YEAR(parametros!$C$2))*12+MONTH(B3427)-MONTH(parametros!$C$2))/12)))))</f>
        <v/>
      </c>
      <c r="D3427" s="394"/>
      <c r="E3427" s="78" t="str">
        <f>IF(C3427="","",IFERROR(VLOOKUP(C3427,parametros!$A$11:$E$15,5,0),""))</f>
        <v/>
      </c>
      <c r="F3427" s="79" t="str">
        <f t="shared" si="267"/>
        <v/>
      </c>
      <c r="G3427" s="395"/>
      <c r="H3427" s="91">
        <f t="shared" si="268"/>
        <v>0</v>
      </c>
      <c r="I3427" s="91" t="str">
        <f t="shared" si="269"/>
        <v/>
      </c>
      <c r="J3427" s="91" t="str">
        <f t="shared" si="270"/>
        <v/>
      </c>
      <c r="K3427" s="92" t="str">
        <f>IF(AND(A3427="",B3427="",D3427="",G3427=""),"",IF(AND(A3427&lt;&gt;"",COUNTIF($A$2:$A$5001,A3427)&gt;1),"NUMERO_PC duplicado",IF(B3427="","DATA_PC vazia",IF(NOT(ISNUMBER(B3427)),"DATA_PC invalida",IF(OR(C3427="",C3427="Fora dos ciclos"),"CICLO_PC nao identificado",IF(OR(D3427="",D3427=0),"VALOR_PC vazio ou zero",IF(AND(G3427&lt;&gt;"Sim",G3427&lt;&gt;"Nao",G3427&lt;&gt;""),"PC_PAGO_A_CONTRATADA invalido",IF(AND(C3427&lt;&gt;"C0",IFERROR(INDEX(parametros!$A$2:$A$6,MATCH(C3427,parametros!$B$2:$B$6,0)),"")="Sim",IFERROR(INDEX(parametros!$H$2:$H$6,MATCH(C3427,parametros!$B$2:$B$6,0)),"")=""),"INICIO_EFEITO ausente: PC "&amp;A3427&amp;" - "&amp;C3427,IF(L3427="","EFEITO_PC nao calculado: PC "&amp;A3427&amp;" - "&amp;C3427,"OK")))))))))</f>
        <v/>
      </c>
      <c r="L3427" s="92" t="str">
        <f>IF(AND(A3427="",B3427="",D3427="",G3427=""),"",IF(OR(B3427="",NOT(ISNUMBER(B3427)),C3427="",C3427="Fora dos ciclos"),"",IF(C3427="C0","Nao",IF(IFERROR(INDEX(parametros!$A$2:$A$6,MATCH(C3427,parametros!$B$2:$B$6,0)),"")&lt;&gt;"Sim","Nao",IF(IFERROR(INDEX(parametros!$H$2:$H$6,MATCH(C3427,parametros!$B$2:$B$6,0)),"")="","",IF(B3427&gt;=IFERROR(INDEX(parametros!$H$2:$H$6,MATCH(C3427,parametros!$B$2:$B$6,0)),""),"Sim","Nao"))))))</f>
        <v/>
      </c>
      <c r="T3427" s="156"/>
      <c r="U3427" s="214" t="str">
        <f t="shared" si="271"/>
        <v/>
      </c>
      <c r="V3427" s="212" t="s">
        <v>50</v>
      </c>
      <c r="W3427" s="100" t="s">
        <v>168</v>
      </c>
      <c r="X3427" s="100" t="s">
        <v>169</v>
      </c>
      <c r="Y3427" s="101" t="s">
        <v>170</v>
      </c>
      <c r="Z3427" s="101" t="s">
        <v>171</v>
      </c>
      <c r="AA3427" s="101" t="s">
        <v>50</v>
      </c>
      <c r="AB3427" s="101" t="s">
        <v>172</v>
      </c>
      <c r="AC3427" s="102" t="s">
        <v>173</v>
      </c>
    </row>
    <row r="3428" spans="1:29" ht="25.5" customHeight="1" x14ac:dyDescent="0.35">
      <c r="A3428" s="392"/>
      <c r="B3428" s="393"/>
      <c r="C3428" s="99" t="str">
        <f>IF(B3428="","",IF(NOT(ISNUMBER(B3428)),"DATA_PC invalida",IF(NOT(ISNUMBER(parametros!$C$2)),"Fora dos ciclos",IF(OR(B3428&lt;parametros!$C$2,(YEAR(B3428)-YEAR(parametros!$C$2))*12+MONTH(B3428)-MONTH(parametros!$C$2)&gt;59),"Fora dos ciclos","C"&amp;INT(((YEAR(B3428)-YEAR(parametros!$C$2))*12+MONTH(B3428)-MONTH(parametros!$C$2))/12)))))</f>
        <v/>
      </c>
      <c r="D3428" s="394"/>
      <c r="E3428" s="78" t="str">
        <f>IF(C3428="","",IFERROR(VLOOKUP(C3428,parametros!$A$11:$E$15,5,0),""))</f>
        <v/>
      </c>
      <c r="F3428" s="79" t="str">
        <f t="shared" si="267"/>
        <v/>
      </c>
      <c r="G3428" s="395"/>
      <c r="H3428" s="91">
        <f t="shared" si="268"/>
        <v>0</v>
      </c>
      <c r="I3428" s="91" t="str">
        <f t="shared" si="269"/>
        <v/>
      </c>
      <c r="J3428" s="91" t="str">
        <f t="shared" si="270"/>
        <v/>
      </c>
      <c r="K3428" s="92" t="str">
        <f>IF(AND(A3428="",B3428="",D3428="",G3428=""),"",IF(AND(A3428&lt;&gt;"",COUNTIF($A$2:$A$5001,A3428)&gt;1),"NUMERO_PC duplicado",IF(B3428="","DATA_PC vazia",IF(NOT(ISNUMBER(B3428)),"DATA_PC invalida",IF(OR(C3428="",C3428="Fora dos ciclos"),"CICLO_PC nao identificado",IF(OR(D3428="",D3428=0),"VALOR_PC vazio ou zero",IF(AND(G3428&lt;&gt;"Sim",G3428&lt;&gt;"Nao",G3428&lt;&gt;""),"PC_PAGO_A_CONTRATADA invalido",IF(AND(C3428&lt;&gt;"C0",IFERROR(INDEX(parametros!$A$2:$A$6,MATCH(C3428,parametros!$B$2:$B$6,0)),"")="Sim",IFERROR(INDEX(parametros!$H$2:$H$6,MATCH(C3428,parametros!$B$2:$B$6,0)),"")=""),"INICIO_EFEITO ausente: PC "&amp;A3428&amp;" - "&amp;C3428,IF(L3428="","EFEITO_PC nao calculado: PC "&amp;A3428&amp;" - "&amp;C3428,"OK")))))))))</f>
        <v/>
      </c>
      <c r="L3428" s="92" t="str">
        <f>IF(AND(A3428="",B3428="",D3428="",G3428=""),"",IF(OR(B3428="",NOT(ISNUMBER(B3428)),C3428="",C3428="Fora dos ciclos"),"",IF(C3428="C0","Nao",IF(IFERROR(INDEX(parametros!$A$2:$A$6,MATCH(C3428,parametros!$B$2:$B$6,0)),"")&lt;&gt;"Sim","Nao",IF(IFERROR(INDEX(parametros!$H$2:$H$6,MATCH(C3428,parametros!$B$2:$B$6,0)),"")="","",IF(B3428&gt;=IFERROR(INDEX(parametros!$H$2:$H$6,MATCH(C3428,parametros!$B$2:$B$6,0)),""),"Sim","Nao"))))))</f>
        <v/>
      </c>
      <c r="T3428" s="156"/>
      <c r="U3428" s="214" t="str">
        <f t="shared" si="271"/>
        <v/>
      </c>
      <c r="V3428" s="212" t="s">
        <v>50</v>
      </c>
      <c r="W3428" s="100" t="s">
        <v>168</v>
      </c>
      <c r="X3428" s="100" t="s">
        <v>169</v>
      </c>
      <c r="Y3428" s="101" t="s">
        <v>170</v>
      </c>
      <c r="Z3428" s="101" t="s">
        <v>171</v>
      </c>
      <c r="AA3428" s="101" t="s">
        <v>50</v>
      </c>
      <c r="AB3428" s="101" t="s">
        <v>172</v>
      </c>
      <c r="AC3428" s="102" t="s">
        <v>173</v>
      </c>
    </row>
    <row r="3429" spans="1:29" ht="25.5" customHeight="1" x14ac:dyDescent="0.35">
      <c r="A3429" s="392"/>
      <c r="B3429" s="393"/>
      <c r="C3429" s="99" t="str">
        <f>IF(B3429="","",IF(NOT(ISNUMBER(B3429)),"DATA_PC invalida",IF(NOT(ISNUMBER(parametros!$C$2)),"Fora dos ciclos",IF(OR(B3429&lt;parametros!$C$2,(YEAR(B3429)-YEAR(parametros!$C$2))*12+MONTH(B3429)-MONTH(parametros!$C$2)&gt;59),"Fora dos ciclos","C"&amp;INT(((YEAR(B3429)-YEAR(parametros!$C$2))*12+MONTH(B3429)-MONTH(parametros!$C$2))/12)))))</f>
        <v/>
      </c>
      <c r="D3429" s="394"/>
      <c r="E3429" s="78" t="str">
        <f>IF(C3429="","",IFERROR(VLOOKUP(C3429,parametros!$A$11:$E$15,5,0),""))</f>
        <v/>
      </c>
      <c r="F3429" s="79" t="str">
        <f t="shared" si="267"/>
        <v/>
      </c>
      <c r="G3429" s="395"/>
      <c r="H3429" s="91">
        <f t="shared" si="268"/>
        <v>0</v>
      </c>
      <c r="I3429" s="91" t="str">
        <f t="shared" si="269"/>
        <v/>
      </c>
      <c r="J3429" s="91" t="str">
        <f t="shared" si="270"/>
        <v/>
      </c>
      <c r="K3429" s="92" t="str">
        <f>IF(AND(A3429="",B3429="",D3429="",G3429=""),"",IF(AND(A3429&lt;&gt;"",COUNTIF($A$2:$A$5001,A3429)&gt;1),"NUMERO_PC duplicado",IF(B3429="","DATA_PC vazia",IF(NOT(ISNUMBER(B3429)),"DATA_PC invalida",IF(OR(C3429="",C3429="Fora dos ciclos"),"CICLO_PC nao identificado",IF(OR(D3429="",D3429=0),"VALOR_PC vazio ou zero",IF(AND(G3429&lt;&gt;"Sim",G3429&lt;&gt;"Nao",G3429&lt;&gt;""),"PC_PAGO_A_CONTRATADA invalido",IF(AND(C3429&lt;&gt;"C0",IFERROR(INDEX(parametros!$A$2:$A$6,MATCH(C3429,parametros!$B$2:$B$6,0)),"")="Sim",IFERROR(INDEX(parametros!$H$2:$H$6,MATCH(C3429,parametros!$B$2:$B$6,0)),"")=""),"INICIO_EFEITO ausente: PC "&amp;A3429&amp;" - "&amp;C3429,IF(L3429="","EFEITO_PC nao calculado: PC "&amp;A3429&amp;" - "&amp;C3429,"OK")))))))))</f>
        <v/>
      </c>
      <c r="L3429" s="92" t="str">
        <f>IF(AND(A3429="",B3429="",D3429="",G3429=""),"",IF(OR(B3429="",NOT(ISNUMBER(B3429)),C3429="",C3429="Fora dos ciclos"),"",IF(C3429="C0","Nao",IF(IFERROR(INDEX(parametros!$A$2:$A$6,MATCH(C3429,parametros!$B$2:$B$6,0)),"")&lt;&gt;"Sim","Nao",IF(IFERROR(INDEX(parametros!$H$2:$H$6,MATCH(C3429,parametros!$B$2:$B$6,0)),"")="","",IF(B3429&gt;=IFERROR(INDEX(parametros!$H$2:$H$6,MATCH(C3429,parametros!$B$2:$B$6,0)),""),"Sim","Nao"))))))</f>
        <v/>
      </c>
      <c r="T3429" s="156"/>
      <c r="U3429" s="214" t="str">
        <f t="shared" si="271"/>
        <v/>
      </c>
      <c r="V3429" s="212" t="s">
        <v>50</v>
      </c>
      <c r="W3429" s="100" t="s">
        <v>168</v>
      </c>
      <c r="X3429" s="100" t="s">
        <v>169</v>
      </c>
      <c r="Y3429" s="101" t="s">
        <v>170</v>
      </c>
      <c r="Z3429" s="101" t="s">
        <v>171</v>
      </c>
      <c r="AA3429" s="101" t="s">
        <v>50</v>
      </c>
      <c r="AB3429" s="101" t="s">
        <v>172</v>
      </c>
      <c r="AC3429" s="102" t="s">
        <v>173</v>
      </c>
    </row>
    <row r="3430" spans="1:29" ht="25.5" customHeight="1" x14ac:dyDescent="0.35">
      <c r="A3430" s="392"/>
      <c r="B3430" s="393"/>
      <c r="C3430" s="99" t="str">
        <f>IF(B3430="","",IF(NOT(ISNUMBER(B3430)),"DATA_PC invalida",IF(NOT(ISNUMBER(parametros!$C$2)),"Fora dos ciclos",IF(OR(B3430&lt;parametros!$C$2,(YEAR(B3430)-YEAR(parametros!$C$2))*12+MONTH(B3430)-MONTH(parametros!$C$2)&gt;59),"Fora dos ciclos","C"&amp;INT(((YEAR(B3430)-YEAR(parametros!$C$2))*12+MONTH(B3430)-MONTH(parametros!$C$2))/12)))))</f>
        <v/>
      </c>
      <c r="D3430" s="394"/>
      <c r="E3430" s="78" t="str">
        <f>IF(C3430="","",IFERROR(VLOOKUP(C3430,parametros!$A$11:$E$15,5,0),""))</f>
        <v/>
      </c>
      <c r="F3430" s="79" t="str">
        <f t="shared" si="267"/>
        <v/>
      </c>
      <c r="G3430" s="395"/>
      <c r="H3430" s="91">
        <f t="shared" si="268"/>
        <v>0</v>
      </c>
      <c r="I3430" s="91" t="str">
        <f t="shared" si="269"/>
        <v/>
      </c>
      <c r="J3430" s="91" t="str">
        <f t="shared" si="270"/>
        <v/>
      </c>
      <c r="K3430" s="92" t="str">
        <f>IF(AND(A3430="",B3430="",D3430="",G3430=""),"",IF(AND(A3430&lt;&gt;"",COUNTIF($A$2:$A$5001,A3430)&gt;1),"NUMERO_PC duplicado",IF(B3430="","DATA_PC vazia",IF(NOT(ISNUMBER(B3430)),"DATA_PC invalida",IF(OR(C3430="",C3430="Fora dos ciclos"),"CICLO_PC nao identificado",IF(OR(D3430="",D3430=0),"VALOR_PC vazio ou zero",IF(AND(G3430&lt;&gt;"Sim",G3430&lt;&gt;"Nao",G3430&lt;&gt;""),"PC_PAGO_A_CONTRATADA invalido",IF(AND(C3430&lt;&gt;"C0",IFERROR(INDEX(parametros!$A$2:$A$6,MATCH(C3430,parametros!$B$2:$B$6,0)),"")="Sim",IFERROR(INDEX(parametros!$H$2:$H$6,MATCH(C3430,parametros!$B$2:$B$6,0)),"")=""),"INICIO_EFEITO ausente: PC "&amp;A3430&amp;" - "&amp;C3430,IF(L3430="","EFEITO_PC nao calculado: PC "&amp;A3430&amp;" - "&amp;C3430,"OK")))))))))</f>
        <v/>
      </c>
      <c r="L3430" s="92" t="str">
        <f>IF(AND(A3430="",B3430="",D3430="",G3430=""),"",IF(OR(B3430="",NOT(ISNUMBER(B3430)),C3430="",C3430="Fora dos ciclos"),"",IF(C3430="C0","Nao",IF(IFERROR(INDEX(parametros!$A$2:$A$6,MATCH(C3430,parametros!$B$2:$B$6,0)),"")&lt;&gt;"Sim","Nao",IF(IFERROR(INDEX(parametros!$H$2:$H$6,MATCH(C3430,parametros!$B$2:$B$6,0)),"")="","",IF(B3430&gt;=IFERROR(INDEX(parametros!$H$2:$H$6,MATCH(C3430,parametros!$B$2:$B$6,0)),""),"Sim","Nao"))))))</f>
        <v/>
      </c>
      <c r="T3430" s="156"/>
      <c r="U3430" s="214" t="str">
        <f t="shared" si="271"/>
        <v/>
      </c>
      <c r="V3430" s="212" t="s">
        <v>50</v>
      </c>
      <c r="W3430" s="100" t="s">
        <v>168</v>
      </c>
      <c r="X3430" s="100" t="s">
        <v>169</v>
      </c>
      <c r="Y3430" s="101" t="s">
        <v>170</v>
      </c>
      <c r="Z3430" s="101" t="s">
        <v>171</v>
      </c>
      <c r="AA3430" s="101" t="s">
        <v>50</v>
      </c>
      <c r="AB3430" s="101" t="s">
        <v>172</v>
      </c>
      <c r="AC3430" s="102" t="s">
        <v>173</v>
      </c>
    </row>
    <row r="3431" spans="1:29" ht="25.5" customHeight="1" x14ac:dyDescent="0.35">
      <c r="A3431" s="392"/>
      <c r="B3431" s="393"/>
      <c r="C3431" s="99" t="str">
        <f>IF(B3431="","",IF(NOT(ISNUMBER(B3431)),"DATA_PC invalida",IF(NOT(ISNUMBER(parametros!$C$2)),"Fora dos ciclos",IF(OR(B3431&lt;parametros!$C$2,(YEAR(B3431)-YEAR(parametros!$C$2))*12+MONTH(B3431)-MONTH(parametros!$C$2)&gt;59),"Fora dos ciclos","C"&amp;INT(((YEAR(B3431)-YEAR(parametros!$C$2))*12+MONTH(B3431)-MONTH(parametros!$C$2))/12)))))</f>
        <v/>
      </c>
      <c r="D3431" s="394"/>
      <c r="E3431" s="78" t="str">
        <f>IF(C3431="","",IFERROR(VLOOKUP(C3431,parametros!$A$11:$E$15,5,0),""))</f>
        <v/>
      </c>
      <c r="F3431" s="79" t="str">
        <f t="shared" si="267"/>
        <v/>
      </c>
      <c r="G3431" s="395"/>
      <c r="H3431" s="91">
        <f t="shared" si="268"/>
        <v>0</v>
      </c>
      <c r="I3431" s="91" t="str">
        <f t="shared" si="269"/>
        <v/>
      </c>
      <c r="J3431" s="91" t="str">
        <f t="shared" si="270"/>
        <v/>
      </c>
      <c r="K3431" s="92" t="str">
        <f>IF(AND(A3431="",B3431="",D3431="",G3431=""),"",IF(AND(A3431&lt;&gt;"",COUNTIF($A$2:$A$5001,A3431)&gt;1),"NUMERO_PC duplicado",IF(B3431="","DATA_PC vazia",IF(NOT(ISNUMBER(B3431)),"DATA_PC invalida",IF(OR(C3431="",C3431="Fora dos ciclos"),"CICLO_PC nao identificado",IF(OR(D3431="",D3431=0),"VALOR_PC vazio ou zero",IF(AND(G3431&lt;&gt;"Sim",G3431&lt;&gt;"Nao",G3431&lt;&gt;""),"PC_PAGO_A_CONTRATADA invalido",IF(AND(C3431&lt;&gt;"C0",IFERROR(INDEX(parametros!$A$2:$A$6,MATCH(C3431,parametros!$B$2:$B$6,0)),"")="Sim",IFERROR(INDEX(parametros!$H$2:$H$6,MATCH(C3431,parametros!$B$2:$B$6,0)),"")=""),"INICIO_EFEITO ausente: PC "&amp;A3431&amp;" - "&amp;C3431,IF(L3431="","EFEITO_PC nao calculado: PC "&amp;A3431&amp;" - "&amp;C3431,"OK")))))))))</f>
        <v/>
      </c>
      <c r="L3431" s="92" t="str">
        <f>IF(AND(A3431="",B3431="",D3431="",G3431=""),"",IF(OR(B3431="",NOT(ISNUMBER(B3431)),C3431="",C3431="Fora dos ciclos"),"",IF(C3431="C0","Nao",IF(IFERROR(INDEX(parametros!$A$2:$A$6,MATCH(C3431,parametros!$B$2:$B$6,0)),"")&lt;&gt;"Sim","Nao",IF(IFERROR(INDEX(parametros!$H$2:$H$6,MATCH(C3431,parametros!$B$2:$B$6,0)),"")="","",IF(B3431&gt;=IFERROR(INDEX(parametros!$H$2:$H$6,MATCH(C3431,parametros!$B$2:$B$6,0)),""),"Sim","Nao"))))))</f>
        <v/>
      </c>
      <c r="T3431" s="156"/>
      <c r="U3431" s="214" t="str">
        <f t="shared" si="271"/>
        <v/>
      </c>
      <c r="V3431" s="212" t="s">
        <v>50</v>
      </c>
      <c r="W3431" s="100" t="s">
        <v>168</v>
      </c>
      <c r="X3431" s="100" t="s">
        <v>169</v>
      </c>
      <c r="Y3431" s="101" t="s">
        <v>170</v>
      </c>
      <c r="Z3431" s="101" t="s">
        <v>171</v>
      </c>
      <c r="AA3431" s="101" t="s">
        <v>50</v>
      </c>
      <c r="AB3431" s="101" t="s">
        <v>172</v>
      </c>
      <c r="AC3431" s="102" t="s">
        <v>173</v>
      </c>
    </row>
    <row r="3432" spans="1:29" ht="25.5" customHeight="1" x14ac:dyDescent="0.35">
      <c r="A3432" s="392"/>
      <c r="B3432" s="393"/>
      <c r="C3432" s="99" t="str">
        <f>IF(B3432="","",IF(NOT(ISNUMBER(B3432)),"DATA_PC invalida",IF(NOT(ISNUMBER(parametros!$C$2)),"Fora dos ciclos",IF(OR(B3432&lt;parametros!$C$2,(YEAR(B3432)-YEAR(parametros!$C$2))*12+MONTH(B3432)-MONTH(parametros!$C$2)&gt;59),"Fora dos ciclos","C"&amp;INT(((YEAR(B3432)-YEAR(parametros!$C$2))*12+MONTH(B3432)-MONTH(parametros!$C$2))/12)))))</f>
        <v/>
      </c>
      <c r="D3432" s="394"/>
      <c r="E3432" s="78" t="str">
        <f>IF(C3432="","",IFERROR(VLOOKUP(C3432,parametros!$A$11:$E$15,5,0),""))</f>
        <v/>
      </c>
      <c r="F3432" s="79" t="str">
        <f t="shared" si="267"/>
        <v/>
      </c>
      <c r="G3432" s="395"/>
      <c r="H3432" s="91">
        <f t="shared" si="268"/>
        <v>0</v>
      </c>
      <c r="I3432" s="91" t="str">
        <f t="shared" si="269"/>
        <v/>
      </c>
      <c r="J3432" s="91" t="str">
        <f t="shared" si="270"/>
        <v/>
      </c>
      <c r="K3432" s="92" t="str">
        <f>IF(AND(A3432="",B3432="",D3432="",G3432=""),"",IF(AND(A3432&lt;&gt;"",COUNTIF($A$2:$A$5001,A3432)&gt;1),"NUMERO_PC duplicado",IF(B3432="","DATA_PC vazia",IF(NOT(ISNUMBER(B3432)),"DATA_PC invalida",IF(OR(C3432="",C3432="Fora dos ciclos"),"CICLO_PC nao identificado",IF(OR(D3432="",D3432=0),"VALOR_PC vazio ou zero",IF(AND(G3432&lt;&gt;"Sim",G3432&lt;&gt;"Nao",G3432&lt;&gt;""),"PC_PAGO_A_CONTRATADA invalido",IF(AND(C3432&lt;&gt;"C0",IFERROR(INDEX(parametros!$A$2:$A$6,MATCH(C3432,parametros!$B$2:$B$6,0)),"")="Sim",IFERROR(INDEX(parametros!$H$2:$H$6,MATCH(C3432,parametros!$B$2:$B$6,0)),"")=""),"INICIO_EFEITO ausente: PC "&amp;A3432&amp;" - "&amp;C3432,IF(L3432="","EFEITO_PC nao calculado: PC "&amp;A3432&amp;" - "&amp;C3432,"OK")))))))))</f>
        <v/>
      </c>
      <c r="L3432" s="92" t="str">
        <f>IF(AND(A3432="",B3432="",D3432="",G3432=""),"",IF(OR(B3432="",NOT(ISNUMBER(B3432)),C3432="",C3432="Fora dos ciclos"),"",IF(C3432="C0","Nao",IF(IFERROR(INDEX(parametros!$A$2:$A$6,MATCH(C3432,parametros!$B$2:$B$6,0)),"")&lt;&gt;"Sim","Nao",IF(IFERROR(INDEX(parametros!$H$2:$H$6,MATCH(C3432,parametros!$B$2:$B$6,0)),"")="","",IF(B3432&gt;=IFERROR(INDEX(parametros!$H$2:$H$6,MATCH(C3432,parametros!$B$2:$B$6,0)),""),"Sim","Nao"))))))</f>
        <v/>
      </c>
      <c r="T3432" s="156"/>
      <c r="U3432" s="214" t="str">
        <f t="shared" si="271"/>
        <v/>
      </c>
      <c r="V3432" s="212" t="s">
        <v>50</v>
      </c>
      <c r="W3432" s="100" t="s">
        <v>168</v>
      </c>
      <c r="X3432" s="100" t="s">
        <v>169</v>
      </c>
      <c r="Y3432" s="101" t="s">
        <v>170</v>
      </c>
      <c r="Z3432" s="101" t="s">
        <v>171</v>
      </c>
      <c r="AA3432" s="101" t="s">
        <v>50</v>
      </c>
      <c r="AB3432" s="101" t="s">
        <v>172</v>
      </c>
      <c r="AC3432" s="102" t="s">
        <v>173</v>
      </c>
    </row>
    <row r="3433" spans="1:29" ht="25.5" customHeight="1" x14ac:dyDescent="0.35">
      <c r="A3433" s="392"/>
      <c r="B3433" s="393"/>
      <c r="C3433" s="99" t="str">
        <f>IF(B3433="","",IF(NOT(ISNUMBER(B3433)),"DATA_PC invalida",IF(NOT(ISNUMBER(parametros!$C$2)),"Fora dos ciclos",IF(OR(B3433&lt;parametros!$C$2,(YEAR(B3433)-YEAR(parametros!$C$2))*12+MONTH(B3433)-MONTH(parametros!$C$2)&gt;59),"Fora dos ciclos","C"&amp;INT(((YEAR(B3433)-YEAR(parametros!$C$2))*12+MONTH(B3433)-MONTH(parametros!$C$2))/12)))))</f>
        <v/>
      </c>
      <c r="D3433" s="394"/>
      <c r="E3433" s="78" t="str">
        <f>IF(C3433="","",IFERROR(VLOOKUP(C3433,parametros!$A$11:$E$15,5,0),""))</f>
        <v/>
      </c>
      <c r="F3433" s="79" t="str">
        <f t="shared" si="267"/>
        <v/>
      </c>
      <c r="G3433" s="395"/>
      <c r="H3433" s="91">
        <f t="shared" si="268"/>
        <v>0</v>
      </c>
      <c r="I3433" s="91" t="str">
        <f t="shared" si="269"/>
        <v/>
      </c>
      <c r="J3433" s="91" t="str">
        <f t="shared" si="270"/>
        <v/>
      </c>
      <c r="K3433" s="92" t="str">
        <f>IF(AND(A3433="",B3433="",D3433="",G3433=""),"",IF(AND(A3433&lt;&gt;"",COUNTIF($A$2:$A$5001,A3433)&gt;1),"NUMERO_PC duplicado",IF(B3433="","DATA_PC vazia",IF(NOT(ISNUMBER(B3433)),"DATA_PC invalida",IF(OR(C3433="",C3433="Fora dos ciclos"),"CICLO_PC nao identificado",IF(OR(D3433="",D3433=0),"VALOR_PC vazio ou zero",IF(AND(G3433&lt;&gt;"Sim",G3433&lt;&gt;"Nao",G3433&lt;&gt;""),"PC_PAGO_A_CONTRATADA invalido",IF(AND(C3433&lt;&gt;"C0",IFERROR(INDEX(parametros!$A$2:$A$6,MATCH(C3433,parametros!$B$2:$B$6,0)),"")="Sim",IFERROR(INDEX(parametros!$H$2:$H$6,MATCH(C3433,parametros!$B$2:$B$6,0)),"")=""),"INICIO_EFEITO ausente: PC "&amp;A3433&amp;" - "&amp;C3433,IF(L3433="","EFEITO_PC nao calculado: PC "&amp;A3433&amp;" - "&amp;C3433,"OK")))))))))</f>
        <v/>
      </c>
      <c r="L3433" s="92" t="str">
        <f>IF(AND(A3433="",B3433="",D3433="",G3433=""),"",IF(OR(B3433="",NOT(ISNUMBER(B3433)),C3433="",C3433="Fora dos ciclos"),"",IF(C3433="C0","Nao",IF(IFERROR(INDEX(parametros!$A$2:$A$6,MATCH(C3433,parametros!$B$2:$B$6,0)),"")&lt;&gt;"Sim","Nao",IF(IFERROR(INDEX(parametros!$H$2:$H$6,MATCH(C3433,parametros!$B$2:$B$6,0)),"")="","",IF(B3433&gt;=IFERROR(INDEX(parametros!$H$2:$H$6,MATCH(C3433,parametros!$B$2:$B$6,0)),""),"Sim","Nao"))))))</f>
        <v/>
      </c>
      <c r="T3433" s="156"/>
      <c r="U3433" s="214" t="str">
        <f t="shared" si="271"/>
        <v/>
      </c>
      <c r="V3433" s="212" t="s">
        <v>50</v>
      </c>
      <c r="W3433" s="100" t="s">
        <v>168</v>
      </c>
      <c r="X3433" s="100" t="s">
        <v>169</v>
      </c>
      <c r="Y3433" s="101" t="s">
        <v>170</v>
      </c>
      <c r="Z3433" s="101" t="s">
        <v>171</v>
      </c>
      <c r="AA3433" s="101" t="s">
        <v>50</v>
      </c>
      <c r="AB3433" s="101" t="s">
        <v>172</v>
      </c>
      <c r="AC3433" s="102" t="s">
        <v>173</v>
      </c>
    </row>
    <row r="3434" spans="1:29" ht="25.5" customHeight="1" x14ac:dyDescent="0.35">
      <c r="A3434" s="392"/>
      <c r="B3434" s="393"/>
      <c r="C3434" s="99" t="str">
        <f>IF(B3434="","",IF(NOT(ISNUMBER(B3434)),"DATA_PC invalida",IF(NOT(ISNUMBER(parametros!$C$2)),"Fora dos ciclos",IF(OR(B3434&lt;parametros!$C$2,(YEAR(B3434)-YEAR(parametros!$C$2))*12+MONTH(B3434)-MONTH(parametros!$C$2)&gt;59),"Fora dos ciclos","C"&amp;INT(((YEAR(B3434)-YEAR(parametros!$C$2))*12+MONTH(B3434)-MONTH(parametros!$C$2))/12)))))</f>
        <v/>
      </c>
      <c r="D3434" s="394"/>
      <c r="E3434" s="78" t="str">
        <f>IF(C3434="","",IFERROR(VLOOKUP(C3434,parametros!$A$11:$E$15,5,0),""))</f>
        <v/>
      </c>
      <c r="F3434" s="79" t="str">
        <f t="shared" si="267"/>
        <v/>
      </c>
      <c r="G3434" s="395"/>
      <c r="H3434" s="91">
        <f t="shared" si="268"/>
        <v>0</v>
      </c>
      <c r="I3434" s="91" t="str">
        <f t="shared" si="269"/>
        <v/>
      </c>
      <c r="J3434" s="91" t="str">
        <f t="shared" si="270"/>
        <v/>
      </c>
      <c r="K3434" s="92" t="str">
        <f>IF(AND(A3434="",B3434="",D3434="",G3434=""),"",IF(AND(A3434&lt;&gt;"",COUNTIF($A$2:$A$5001,A3434)&gt;1),"NUMERO_PC duplicado",IF(B3434="","DATA_PC vazia",IF(NOT(ISNUMBER(B3434)),"DATA_PC invalida",IF(OR(C3434="",C3434="Fora dos ciclos"),"CICLO_PC nao identificado",IF(OR(D3434="",D3434=0),"VALOR_PC vazio ou zero",IF(AND(G3434&lt;&gt;"Sim",G3434&lt;&gt;"Nao",G3434&lt;&gt;""),"PC_PAGO_A_CONTRATADA invalido",IF(AND(C3434&lt;&gt;"C0",IFERROR(INDEX(parametros!$A$2:$A$6,MATCH(C3434,parametros!$B$2:$B$6,0)),"")="Sim",IFERROR(INDEX(parametros!$H$2:$H$6,MATCH(C3434,parametros!$B$2:$B$6,0)),"")=""),"INICIO_EFEITO ausente: PC "&amp;A3434&amp;" - "&amp;C3434,IF(L3434="","EFEITO_PC nao calculado: PC "&amp;A3434&amp;" - "&amp;C3434,"OK")))))))))</f>
        <v/>
      </c>
      <c r="L3434" s="92" t="str">
        <f>IF(AND(A3434="",B3434="",D3434="",G3434=""),"",IF(OR(B3434="",NOT(ISNUMBER(B3434)),C3434="",C3434="Fora dos ciclos"),"",IF(C3434="C0","Nao",IF(IFERROR(INDEX(parametros!$A$2:$A$6,MATCH(C3434,parametros!$B$2:$B$6,0)),"")&lt;&gt;"Sim","Nao",IF(IFERROR(INDEX(parametros!$H$2:$H$6,MATCH(C3434,parametros!$B$2:$B$6,0)),"")="","",IF(B3434&gt;=IFERROR(INDEX(parametros!$H$2:$H$6,MATCH(C3434,parametros!$B$2:$B$6,0)),""),"Sim","Nao"))))))</f>
        <v/>
      </c>
      <c r="T3434" s="156"/>
      <c r="U3434" s="214" t="str">
        <f t="shared" si="271"/>
        <v/>
      </c>
      <c r="V3434" s="212" t="s">
        <v>50</v>
      </c>
      <c r="W3434" s="100" t="s">
        <v>168</v>
      </c>
      <c r="X3434" s="100" t="s">
        <v>169</v>
      </c>
      <c r="Y3434" s="101" t="s">
        <v>170</v>
      </c>
      <c r="Z3434" s="101" t="s">
        <v>171</v>
      </c>
      <c r="AA3434" s="101" t="s">
        <v>50</v>
      </c>
      <c r="AB3434" s="101" t="s">
        <v>172</v>
      </c>
      <c r="AC3434" s="102" t="s">
        <v>173</v>
      </c>
    </row>
    <row r="3435" spans="1:29" ht="25.5" customHeight="1" x14ac:dyDescent="0.35">
      <c r="A3435" s="392"/>
      <c r="B3435" s="393"/>
      <c r="C3435" s="99" t="str">
        <f>IF(B3435="","",IF(NOT(ISNUMBER(B3435)),"DATA_PC invalida",IF(NOT(ISNUMBER(parametros!$C$2)),"Fora dos ciclos",IF(OR(B3435&lt;parametros!$C$2,(YEAR(B3435)-YEAR(parametros!$C$2))*12+MONTH(B3435)-MONTH(parametros!$C$2)&gt;59),"Fora dos ciclos","C"&amp;INT(((YEAR(B3435)-YEAR(parametros!$C$2))*12+MONTH(B3435)-MONTH(parametros!$C$2))/12)))))</f>
        <v/>
      </c>
      <c r="D3435" s="394"/>
      <c r="E3435" s="78" t="str">
        <f>IF(C3435="","",IFERROR(VLOOKUP(C3435,parametros!$A$11:$E$15,5,0),""))</f>
        <v/>
      </c>
      <c r="F3435" s="79" t="str">
        <f t="shared" si="267"/>
        <v/>
      </c>
      <c r="G3435" s="395"/>
      <c r="H3435" s="91">
        <f t="shared" si="268"/>
        <v>0</v>
      </c>
      <c r="I3435" s="91" t="str">
        <f t="shared" si="269"/>
        <v/>
      </c>
      <c r="J3435" s="91" t="str">
        <f t="shared" si="270"/>
        <v/>
      </c>
      <c r="K3435" s="92" t="str">
        <f>IF(AND(A3435="",B3435="",D3435="",G3435=""),"",IF(AND(A3435&lt;&gt;"",COUNTIF($A$2:$A$5001,A3435)&gt;1),"NUMERO_PC duplicado",IF(B3435="","DATA_PC vazia",IF(NOT(ISNUMBER(B3435)),"DATA_PC invalida",IF(OR(C3435="",C3435="Fora dos ciclos"),"CICLO_PC nao identificado",IF(OR(D3435="",D3435=0),"VALOR_PC vazio ou zero",IF(AND(G3435&lt;&gt;"Sim",G3435&lt;&gt;"Nao",G3435&lt;&gt;""),"PC_PAGO_A_CONTRATADA invalido",IF(AND(C3435&lt;&gt;"C0",IFERROR(INDEX(parametros!$A$2:$A$6,MATCH(C3435,parametros!$B$2:$B$6,0)),"")="Sim",IFERROR(INDEX(parametros!$H$2:$H$6,MATCH(C3435,parametros!$B$2:$B$6,0)),"")=""),"INICIO_EFEITO ausente: PC "&amp;A3435&amp;" - "&amp;C3435,IF(L3435="","EFEITO_PC nao calculado: PC "&amp;A3435&amp;" - "&amp;C3435,"OK")))))))))</f>
        <v/>
      </c>
      <c r="L3435" s="92" t="str">
        <f>IF(AND(A3435="",B3435="",D3435="",G3435=""),"",IF(OR(B3435="",NOT(ISNUMBER(B3435)),C3435="",C3435="Fora dos ciclos"),"",IF(C3435="C0","Nao",IF(IFERROR(INDEX(parametros!$A$2:$A$6,MATCH(C3435,parametros!$B$2:$B$6,0)),"")&lt;&gt;"Sim","Nao",IF(IFERROR(INDEX(parametros!$H$2:$H$6,MATCH(C3435,parametros!$B$2:$B$6,0)),"")="","",IF(B3435&gt;=IFERROR(INDEX(parametros!$H$2:$H$6,MATCH(C3435,parametros!$B$2:$B$6,0)),""),"Sim","Nao"))))))</f>
        <v/>
      </c>
      <c r="T3435" s="156"/>
      <c r="U3435" s="214" t="str">
        <f t="shared" si="271"/>
        <v/>
      </c>
      <c r="V3435" s="212" t="s">
        <v>50</v>
      </c>
      <c r="W3435" s="100" t="s">
        <v>168</v>
      </c>
      <c r="X3435" s="100" t="s">
        <v>169</v>
      </c>
      <c r="Y3435" s="101" t="s">
        <v>170</v>
      </c>
      <c r="Z3435" s="101" t="s">
        <v>171</v>
      </c>
      <c r="AA3435" s="101" t="s">
        <v>50</v>
      </c>
      <c r="AB3435" s="101" t="s">
        <v>172</v>
      </c>
      <c r="AC3435" s="102" t="s">
        <v>173</v>
      </c>
    </row>
    <row r="3436" spans="1:29" ht="25.5" customHeight="1" x14ac:dyDescent="0.35">
      <c r="A3436" s="392"/>
      <c r="B3436" s="393"/>
      <c r="C3436" s="99" t="str">
        <f>IF(B3436="","",IF(NOT(ISNUMBER(B3436)),"DATA_PC invalida",IF(NOT(ISNUMBER(parametros!$C$2)),"Fora dos ciclos",IF(OR(B3436&lt;parametros!$C$2,(YEAR(B3436)-YEAR(parametros!$C$2))*12+MONTH(B3436)-MONTH(parametros!$C$2)&gt;59),"Fora dos ciclos","C"&amp;INT(((YEAR(B3436)-YEAR(parametros!$C$2))*12+MONTH(B3436)-MONTH(parametros!$C$2))/12)))))</f>
        <v/>
      </c>
      <c r="D3436" s="394"/>
      <c r="E3436" s="78" t="str">
        <f>IF(C3436="","",IFERROR(VLOOKUP(C3436,parametros!$A$11:$E$15,5,0),""))</f>
        <v/>
      </c>
      <c r="F3436" s="79" t="str">
        <f t="shared" si="267"/>
        <v/>
      </c>
      <c r="G3436" s="395"/>
      <c r="H3436" s="91">
        <f t="shared" si="268"/>
        <v>0</v>
      </c>
      <c r="I3436" s="91" t="str">
        <f t="shared" si="269"/>
        <v/>
      </c>
      <c r="J3436" s="91" t="str">
        <f t="shared" si="270"/>
        <v/>
      </c>
      <c r="K3436" s="92" t="str">
        <f>IF(AND(A3436="",B3436="",D3436="",G3436=""),"",IF(AND(A3436&lt;&gt;"",COUNTIF($A$2:$A$5001,A3436)&gt;1),"NUMERO_PC duplicado",IF(B3436="","DATA_PC vazia",IF(NOT(ISNUMBER(B3436)),"DATA_PC invalida",IF(OR(C3436="",C3436="Fora dos ciclos"),"CICLO_PC nao identificado",IF(OR(D3436="",D3436=0),"VALOR_PC vazio ou zero",IF(AND(G3436&lt;&gt;"Sim",G3436&lt;&gt;"Nao",G3436&lt;&gt;""),"PC_PAGO_A_CONTRATADA invalido",IF(AND(C3436&lt;&gt;"C0",IFERROR(INDEX(parametros!$A$2:$A$6,MATCH(C3436,parametros!$B$2:$B$6,0)),"")="Sim",IFERROR(INDEX(parametros!$H$2:$H$6,MATCH(C3436,parametros!$B$2:$B$6,0)),"")=""),"INICIO_EFEITO ausente: PC "&amp;A3436&amp;" - "&amp;C3436,IF(L3436="","EFEITO_PC nao calculado: PC "&amp;A3436&amp;" - "&amp;C3436,"OK")))))))))</f>
        <v/>
      </c>
      <c r="L3436" s="92" t="str">
        <f>IF(AND(A3436="",B3436="",D3436="",G3436=""),"",IF(OR(B3436="",NOT(ISNUMBER(B3436)),C3436="",C3436="Fora dos ciclos"),"",IF(C3436="C0","Nao",IF(IFERROR(INDEX(parametros!$A$2:$A$6,MATCH(C3436,parametros!$B$2:$B$6,0)),"")&lt;&gt;"Sim","Nao",IF(IFERROR(INDEX(parametros!$H$2:$H$6,MATCH(C3436,parametros!$B$2:$B$6,0)),"")="","",IF(B3436&gt;=IFERROR(INDEX(parametros!$H$2:$H$6,MATCH(C3436,parametros!$B$2:$B$6,0)),""),"Sim","Nao"))))))</f>
        <v/>
      </c>
      <c r="T3436" s="156"/>
      <c r="U3436" s="214" t="str">
        <f t="shared" si="271"/>
        <v/>
      </c>
      <c r="V3436" s="212" t="s">
        <v>50</v>
      </c>
      <c r="W3436" s="100" t="s">
        <v>168</v>
      </c>
      <c r="X3436" s="100" t="s">
        <v>169</v>
      </c>
      <c r="Y3436" s="101" t="s">
        <v>170</v>
      </c>
      <c r="Z3436" s="101" t="s">
        <v>171</v>
      </c>
      <c r="AA3436" s="101" t="s">
        <v>50</v>
      </c>
      <c r="AB3436" s="101" t="s">
        <v>172</v>
      </c>
      <c r="AC3436" s="102" t="s">
        <v>173</v>
      </c>
    </row>
    <row r="3437" spans="1:29" ht="25.5" customHeight="1" x14ac:dyDescent="0.35">
      <c r="A3437" s="392"/>
      <c r="B3437" s="393"/>
      <c r="C3437" s="99" t="str">
        <f>IF(B3437="","",IF(NOT(ISNUMBER(B3437)),"DATA_PC invalida",IF(NOT(ISNUMBER(parametros!$C$2)),"Fora dos ciclos",IF(OR(B3437&lt;parametros!$C$2,(YEAR(B3437)-YEAR(parametros!$C$2))*12+MONTH(B3437)-MONTH(parametros!$C$2)&gt;59),"Fora dos ciclos","C"&amp;INT(((YEAR(B3437)-YEAR(parametros!$C$2))*12+MONTH(B3437)-MONTH(parametros!$C$2))/12)))))</f>
        <v/>
      </c>
      <c r="D3437" s="394"/>
      <c r="E3437" s="78" t="str">
        <f>IF(C3437="","",IFERROR(VLOOKUP(C3437,parametros!$A$11:$E$15,5,0),""))</f>
        <v/>
      </c>
      <c r="F3437" s="79" t="str">
        <f t="shared" si="267"/>
        <v/>
      </c>
      <c r="G3437" s="395"/>
      <c r="H3437" s="91">
        <f t="shared" si="268"/>
        <v>0</v>
      </c>
      <c r="I3437" s="91" t="str">
        <f t="shared" si="269"/>
        <v/>
      </c>
      <c r="J3437" s="91" t="str">
        <f t="shared" si="270"/>
        <v/>
      </c>
      <c r="K3437" s="92" t="str">
        <f>IF(AND(A3437="",B3437="",D3437="",G3437=""),"",IF(AND(A3437&lt;&gt;"",COUNTIF($A$2:$A$5001,A3437)&gt;1),"NUMERO_PC duplicado",IF(B3437="","DATA_PC vazia",IF(NOT(ISNUMBER(B3437)),"DATA_PC invalida",IF(OR(C3437="",C3437="Fora dos ciclos"),"CICLO_PC nao identificado",IF(OR(D3437="",D3437=0),"VALOR_PC vazio ou zero",IF(AND(G3437&lt;&gt;"Sim",G3437&lt;&gt;"Nao",G3437&lt;&gt;""),"PC_PAGO_A_CONTRATADA invalido",IF(AND(C3437&lt;&gt;"C0",IFERROR(INDEX(parametros!$A$2:$A$6,MATCH(C3437,parametros!$B$2:$B$6,0)),"")="Sim",IFERROR(INDEX(parametros!$H$2:$H$6,MATCH(C3437,parametros!$B$2:$B$6,0)),"")=""),"INICIO_EFEITO ausente: PC "&amp;A3437&amp;" - "&amp;C3437,IF(L3437="","EFEITO_PC nao calculado: PC "&amp;A3437&amp;" - "&amp;C3437,"OK")))))))))</f>
        <v/>
      </c>
      <c r="L3437" s="92" t="str">
        <f>IF(AND(A3437="",B3437="",D3437="",G3437=""),"",IF(OR(B3437="",NOT(ISNUMBER(B3437)),C3437="",C3437="Fora dos ciclos"),"",IF(C3437="C0","Nao",IF(IFERROR(INDEX(parametros!$A$2:$A$6,MATCH(C3437,parametros!$B$2:$B$6,0)),"")&lt;&gt;"Sim","Nao",IF(IFERROR(INDEX(parametros!$H$2:$H$6,MATCH(C3437,parametros!$B$2:$B$6,0)),"")="","",IF(B3437&gt;=IFERROR(INDEX(parametros!$H$2:$H$6,MATCH(C3437,parametros!$B$2:$B$6,0)),""),"Sim","Nao"))))))</f>
        <v/>
      </c>
      <c r="T3437" s="156"/>
      <c r="U3437" s="214" t="str">
        <f t="shared" si="271"/>
        <v/>
      </c>
      <c r="V3437" s="212" t="s">
        <v>50</v>
      </c>
      <c r="W3437" s="100" t="s">
        <v>168</v>
      </c>
      <c r="X3437" s="100" t="s">
        <v>169</v>
      </c>
      <c r="Y3437" s="101" t="s">
        <v>170</v>
      </c>
      <c r="Z3437" s="101" t="s">
        <v>171</v>
      </c>
      <c r="AA3437" s="101" t="s">
        <v>50</v>
      </c>
      <c r="AB3437" s="101" t="s">
        <v>172</v>
      </c>
      <c r="AC3437" s="102" t="s">
        <v>173</v>
      </c>
    </row>
    <row r="3438" spans="1:29" ht="25.5" customHeight="1" x14ac:dyDescent="0.35">
      <c r="A3438" s="392"/>
      <c r="B3438" s="393"/>
      <c r="C3438" s="99" t="str">
        <f>IF(B3438="","",IF(NOT(ISNUMBER(B3438)),"DATA_PC invalida",IF(NOT(ISNUMBER(parametros!$C$2)),"Fora dos ciclos",IF(OR(B3438&lt;parametros!$C$2,(YEAR(B3438)-YEAR(parametros!$C$2))*12+MONTH(B3438)-MONTH(parametros!$C$2)&gt;59),"Fora dos ciclos","C"&amp;INT(((YEAR(B3438)-YEAR(parametros!$C$2))*12+MONTH(B3438)-MONTH(parametros!$C$2))/12)))))</f>
        <v/>
      </c>
      <c r="D3438" s="394"/>
      <c r="E3438" s="78" t="str">
        <f>IF(C3438="","",IFERROR(VLOOKUP(C3438,parametros!$A$11:$E$15,5,0),""))</f>
        <v/>
      </c>
      <c r="F3438" s="79" t="str">
        <f t="shared" si="267"/>
        <v/>
      </c>
      <c r="G3438" s="395"/>
      <c r="H3438" s="91">
        <f t="shared" si="268"/>
        <v>0</v>
      </c>
      <c r="I3438" s="91" t="str">
        <f t="shared" si="269"/>
        <v/>
      </c>
      <c r="J3438" s="91" t="str">
        <f t="shared" si="270"/>
        <v/>
      </c>
      <c r="K3438" s="92" t="str">
        <f>IF(AND(A3438="",B3438="",D3438="",G3438=""),"",IF(AND(A3438&lt;&gt;"",COUNTIF($A$2:$A$5001,A3438)&gt;1),"NUMERO_PC duplicado",IF(B3438="","DATA_PC vazia",IF(NOT(ISNUMBER(B3438)),"DATA_PC invalida",IF(OR(C3438="",C3438="Fora dos ciclos"),"CICLO_PC nao identificado",IF(OR(D3438="",D3438=0),"VALOR_PC vazio ou zero",IF(AND(G3438&lt;&gt;"Sim",G3438&lt;&gt;"Nao",G3438&lt;&gt;""),"PC_PAGO_A_CONTRATADA invalido",IF(AND(C3438&lt;&gt;"C0",IFERROR(INDEX(parametros!$A$2:$A$6,MATCH(C3438,parametros!$B$2:$B$6,0)),"")="Sim",IFERROR(INDEX(parametros!$H$2:$H$6,MATCH(C3438,parametros!$B$2:$B$6,0)),"")=""),"INICIO_EFEITO ausente: PC "&amp;A3438&amp;" - "&amp;C3438,IF(L3438="","EFEITO_PC nao calculado: PC "&amp;A3438&amp;" - "&amp;C3438,"OK")))))))))</f>
        <v/>
      </c>
      <c r="L3438" s="92" t="str">
        <f>IF(AND(A3438="",B3438="",D3438="",G3438=""),"",IF(OR(B3438="",NOT(ISNUMBER(B3438)),C3438="",C3438="Fora dos ciclos"),"",IF(C3438="C0","Nao",IF(IFERROR(INDEX(parametros!$A$2:$A$6,MATCH(C3438,parametros!$B$2:$B$6,0)),"")&lt;&gt;"Sim","Nao",IF(IFERROR(INDEX(parametros!$H$2:$H$6,MATCH(C3438,parametros!$B$2:$B$6,0)),"")="","",IF(B3438&gt;=IFERROR(INDEX(parametros!$H$2:$H$6,MATCH(C3438,parametros!$B$2:$B$6,0)),""),"Sim","Nao"))))))</f>
        <v/>
      </c>
      <c r="T3438" s="156"/>
      <c r="U3438" s="214" t="str">
        <f t="shared" si="271"/>
        <v/>
      </c>
      <c r="V3438" s="212" t="s">
        <v>50</v>
      </c>
      <c r="W3438" s="100" t="s">
        <v>168</v>
      </c>
      <c r="X3438" s="100" t="s">
        <v>169</v>
      </c>
      <c r="Y3438" s="101" t="s">
        <v>170</v>
      </c>
      <c r="Z3438" s="101" t="s">
        <v>171</v>
      </c>
      <c r="AA3438" s="101" t="s">
        <v>50</v>
      </c>
      <c r="AB3438" s="101" t="s">
        <v>172</v>
      </c>
      <c r="AC3438" s="102" t="s">
        <v>173</v>
      </c>
    </row>
    <row r="3439" spans="1:29" ht="25.5" customHeight="1" x14ac:dyDescent="0.35">
      <c r="A3439" s="392"/>
      <c r="B3439" s="393"/>
      <c r="C3439" s="99" t="str">
        <f>IF(B3439="","",IF(NOT(ISNUMBER(B3439)),"DATA_PC invalida",IF(NOT(ISNUMBER(parametros!$C$2)),"Fora dos ciclos",IF(OR(B3439&lt;parametros!$C$2,(YEAR(B3439)-YEAR(parametros!$C$2))*12+MONTH(B3439)-MONTH(parametros!$C$2)&gt;59),"Fora dos ciclos","C"&amp;INT(((YEAR(B3439)-YEAR(parametros!$C$2))*12+MONTH(B3439)-MONTH(parametros!$C$2))/12)))))</f>
        <v/>
      </c>
      <c r="D3439" s="394"/>
      <c r="E3439" s="78" t="str">
        <f>IF(C3439="","",IFERROR(VLOOKUP(C3439,parametros!$A$11:$E$15,5,0),""))</f>
        <v/>
      </c>
      <c r="F3439" s="79" t="str">
        <f t="shared" si="267"/>
        <v/>
      </c>
      <c r="G3439" s="395"/>
      <c r="H3439" s="91">
        <f t="shared" si="268"/>
        <v>0</v>
      </c>
      <c r="I3439" s="91" t="str">
        <f t="shared" si="269"/>
        <v/>
      </c>
      <c r="J3439" s="91" t="str">
        <f t="shared" si="270"/>
        <v/>
      </c>
      <c r="K3439" s="92" t="str">
        <f>IF(AND(A3439="",B3439="",D3439="",G3439=""),"",IF(AND(A3439&lt;&gt;"",COUNTIF($A$2:$A$5001,A3439)&gt;1),"NUMERO_PC duplicado",IF(B3439="","DATA_PC vazia",IF(NOT(ISNUMBER(B3439)),"DATA_PC invalida",IF(OR(C3439="",C3439="Fora dos ciclos"),"CICLO_PC nao identificado",IF(OR(D3439="",D3439=0),"VALOR_PC vazio ou zero",IF(AND(G3439&lt;&gt;"Sim",G3439&lt;&gt;"Nao",G3439&lt;&gt;""),"PC_PAGO_A_CONTRATADA invalido",IF(AND(C3439&lt;&gt;"C0",IFERROR(INDEX(parametros!$A$2:$A$6,MATCH(C3439,parametros!$B$2:$B$6,0)),"")="Sim",IFERROR(INDEX(parametros!$H$2:$H$6,MATCH(C3439,parametros!$B$2:$B$6,0)),"")=""),"INICIO_EFEITO ausente: PC "&amp;A3439&amp;" - "&amp;C3439,IF(L3439="","EFEITO_PC nao calculado: PC "&amp;A3439&amp;" - "&amp;C3439,"OK")))))))))</f>
        <v/>
      </c>
      <c r="L3439" s="92" t="str">
        <f>IF(AND(A3439="",B3439="",D3439="",G3439=""),"",IF(OR(B3439="",NOT(ISNUMBER(B3439)),C3439="",C3439="Fora dos ciclos"),"",IF(C3439="C0","Nao",IF(IFERROR(INDEX(parametros!$A$2:$A$6,MATCH(C3439,parametros!$B$2:$B$6,0)),"")&lt;&gt;"Sim","Nao",IF(IFERROR(INDEX(parametros!$H$2:$H$6,MATCH(C3439,parametros!$B$2:$B$6,0)),"")="","",IF(B3439&gt;=IFERROR(INDEX(parametros!$H$2:$H$6,MATCH(C3439,parametros!$B$2:$B$6,0)),""),"Sim","Nao"))))))</f>
        <v/>
      </c>
      <c r="T3439" s="156"/>
      <c r="U3439" s="214" t="str">
        <f t="shared" si="271"/>
        <v/>
      </c>
      <c r="V3439" s="212" t="s">
        <v>50</v>
      </c>
      <c r="W3439" s="100" t="s">
        <v>168</v>
      </c>
      <c r="X3439" s="100" t="s">
        <v>169</v>
      </c>
      <c r="Y3439" s="101" t="s">
        <v>170</v>
      </c>
      <c r="Z3439" s="101" t="s">
        <v>171</v>
      </c>
      <c r="AA3439" s="101" t="s">
        <v>50</v>
      </c>
      <c r="AB3439" s="101" t="s">
        <v>172</v>
      </c>
      <c r="AC3439" s="102" t="s">
        <v>173</v>
      </c>
    </row>
    <row r="3440" spans="1:29" ht="25.5" customHeight="1" x14ac:dyDescent="0.35">
      <c r="A3440" s="392"/>
      <c r="B3440" s="393"/>
      <c r="C3440" s="99" t="str">
        <f>IF(B3440="","",IF(NOT(ISNUMBER(B3440)),"DATA_PC invalida",IF(NOT(ISNUMBER(parametros!$C$2)),"Fora dos ciclos",IF(OR(B3440&lt;parametros!$C$2,(YEAR(B3440)-YEAR(parametros!$C$2))*12+MONTH(B3440)-MONTH(parametros!$C$2)&gt;59),"Fora dos ciclos","C"&amp;INT(((YEAR(B3440)-YEAR(parametros!$C$2))*12+MONTH(B3440)-MONTH(parametros!$C$2))/12)))))</f>
        <v/>
      </c>
      <c r="D3440" s="394"/>
      <c r="E3440" s="78" t="str">
        <f>IF(C3440="","",IFERROR(VLOOKUP(C3440,parametros!$A$11:$E$15,5,0),""))</f>
        <v/>
      </c>
      <c r="F3440" s="79" t="str">
        <f t="shared" si="267"/>
        <v/>
      </c>
      <c r="G3440" s="395"/>
      <c r="H3440" s="91">
        <f t="shared" si="268"/>
        <v>0</v>
      </c>
      <c r="I3440" s="91" t="str">
        <f t="shared" si="269"/>
        <v/>
      </c>
      <c r="J3440" s="91" t="str">
        <f t="shared" si="270"/>
        <v/>
      </c>
      <c r="K3440" s="92" t="str">
        <f>IF(AND(A3440="",B3440="",D3440="",G3440=""),"",IF(AND(A3440&lt;&gt;"",COUNTIF($A$2:$A$5001,A3440)&gt;1),"NUMERO_PC duplicado",IF(B3440="","DATA_PC vazia",IF(NOT(ISNUMBER(B3440)),"DATA_PC invalida",IF(OR(C3440="",C3440="Fora dos ciclos"),"CICLO_PC nao identificado",IF(OR(D3440="",D3440=0),"VALOR_PC vazio ou zero",IF(AND(G3440&lt;&gt;"Sim",G3440&lt;&gt;"Nao",G3440&lt;&gt;""),"PC_PAGO_A_CONTRATADA invalido",IF(AND(C3440&lt;&gt;"C0",IFERROR(INDEX(parametros!$A$2:$A$6,MATCH(C3440,parametros!$B$2:$B$6,0)),"")="Sim",IFERROR(INDEX(parametros!$H$2:$H$6,MATCH(C3440,parametros!$B$2:$B$6,0)),"")=""),"INICIO_EFEITO ausente: PC "&amp;A3440&amp;" - "&amp;C3440,IF(L3440="","EFEITO_PC nao calculado: PC "&amp;A3440&amp;" - "&amp;C3440,"OK")))))))))</f>
        <v/>
      </c>
      <c r="L3440" s="92" t="str">
        <f>IF(AND(A3440="",B3440="",D3440="",G3440=""),"",IF(OR(B3440="",NOT(ISNUMBER(B3440)),C3440="",C3440="Fora dos ciclos"),"",IF(C3440="C0","Nao",IF(IFERROR(INDEX(parametros!$A$2:$A$6,MATCH(C3440,parametros!$B$2:$B$6,0)),"")&lt;&gt;"Sim","Nao",IF(IFERROR(INDEX(parametros!$H$2:$H$6,MATCH(C3440,parametros!$B$2:$B$6,0)),"")="","",IF(B3440&gt;=IFERROR(INDEX(parametros!$H$2:$H$6,MATCH(C3440,parametros!$B$2:$B$6,0)),""),"Sim","Nao"))))))</f>
        <v/>
      </c>
      <c r="T3440" s="156"/>
      <c r="U3440" s="214" t="str">
        <f t="shared" si="271"/>
        <v/>
      </c>
      <c r="V3440" s="212" t="s">
        <v>50</v>
      </c>
      <c r="W3440" s="100" t="s">
        <v>168</v>
      </c>
      <c r="X3440" s="100" t="s">
        <v>169</v>
      </c>
      <c r="Y3440" s="101" t="s">
        <v>170</v>
      </c>
      <c r="Z3440" s="101" t="s">
        <v>171</v>
      </c>
      <c r="AA3440" s="101" t="s">
        <v>50</v>
      </c>
      <c r="AB3440" s="101" t="s">
        <v>172</v>
      </c>
      <c r="AC3440" s="102" t="s">
        <v>173</v>
      </c>
    </row>
    <row r="3441" spans="1:29" ht="25.5" customHeight="1" x14ac:dyDescent="0.35">
      <c r="A3441" s="392"/>
      <c r="B3441" s="393"/>
      <c r="C3441" s="99" t="str">
        <f>IF(B3441="","",IF(NOT(ISNUMBER(B3441)),"DATA_PC invalida",IF(NOT(ISNUMBER(parametros!$C$2)),"Fora dos ciclos",IF(OR(B3441&lt;parametros!$C$2,(YEAR(B3441)-YEAR(parametros!$C$2))*12+MONTH(B3441)-MONTH(parametros!$C$2)&gt;59),"Fora dos ciclos","C"&amp;INT(((YEAR(B3441)-YEAR(parametros!$C$2))*12+MONTH(B3441)-MONTH(parametros!$C$2))/12)))))</f>
        <v/>
      </c>
      <c r="D3441" s="394"/>
      <c r="E3441" s="78" t="str">
        <f>IF(C3441="","",IFERROR(VLOOKUP(C3441,parametros!$A$11:$E$15,5,0),""))</f>
        <v/>
      </c>
      <c r="F3441" s="79" t="str">
        <f t="shared" si="267"/>
        <v/>
      </c>
      <c r="G3441" s="395"/>
      <c r="H3441" s="91">
        <f t="shared" si="268"/>
        <v>0</v>
      </c>
      <c r="I3441" s="91" t="str">
        <f t="shared" si="269"/>
        <v/>
      </c>
      <c r="J3441" s="91" t="str">
        <f t="shared" si="270"/>
        <v/>
      </c>
      <c r="K3441" s="92" t="str">
        <f>IF(AND(A3441="",B3441="",D3441="",G3441=""),"",IF(AND(A3441&lt;&gt;"",COUNTIF($A$2:$A$5001,A3441)&gt;1),"NUMERO_PC duplicado",IF(B3441="","DATA_PC vazia",IF(NOT(ISNUMBER(B3441)),"DATA_PC invalida",IF(OR(C3441="",C3441="Fora dos ciclos"),"CICLO_PC nao identificado",IF(OR(D3441="",D3441=0),"VALOR_PC vazio ou zero",IF(AND(G3441&lt;&gt;"Sim",G3441&lt;&gt;"Nao",G3441&lt;&gt;""),"PC_PAGO_A_CONTRATADA invalido",IF(AND(C3441&lt;&gt;"C0",IFERROR(INDEX(parametros!$A$2:$A$6,MATCH(C3441,parametros!$B$2:$B$6,0)),"")="Sim",IFERROR(INDEX(parametros!$H$2:$H$6,MATCH(C3441,parametros!$B$2:$B$6,0)),"")=""),"INICIO_EFEITO ausente: PC "&amp;A3441&amp;" - "&amp;C3441,IF(L3441="","EFEITO_PC nao calculado: PC "&amp;A3441&amp;" - "&amp;C3441,"OK")))))))))</f>
        <v/>
      </c>
      <c r="L3441" s="92" t="str">
        <f>IF(AND(A3441="",B3441="",D3441="",G3441=""),"",IF(OR(B3441="",NOT(ISNUMBER(B3441)),C3441="",C3441="Fora dos ciclos"),"",IF(C3441="C0","Nao",IF(IFERROR(INDEX(parametros!$A$2:$A$6,MATCH(C3441,parametros!$B$2:$B$6,0)),"")&lt;&gt;"Sim","Nao",IF(IFERROR(INDEX(parametros!$H$2:$H$6,MATCH(C3441,parametros!$B$2:$B$6,0)),"")="","",IF(B3441&gt;=IFERROR(INDEX(parametros!$H$2:$H$6,MATCH(C3441,parametros!$B$2:$B$6,0)),""),"Sim","Nao"))))))</f>
        <v/>
      </c>
      <c r="T3441" s="156"/>
      <c r="U3441" s="214" t="str">
        <f t="shared" si="271"/>
        <v/>
      </c>
      <c r="V3441" s="212" t="s">
        <v>50</v>
      </c>
      <c r="W3441" s="100" t="s">
        <v>168</v>
      </c>
      <c r="X3441" s="100" t="s">
        <v>169</v>
      </c>
      <c r="Y3441" s="101" t="s">
        <v>170</v>
      </c>
      <c r="Z3441" s="101" t="s">
        <v>171</v>
      </c>
      <c r="AA3441" s="101" t="s">
        <v>50</v>
      </c>
      <c r="AB3441" s="101" t="s">
        <v>172</v>
      </c>
      <c r="AC3441" s="102" t="s">
        <v>173</v>
      </c>
    </row>
    <row r="3442" spans="1:29" ht="25.5" customHeight="1" x14ac:dyDescent="0.35">
      <c r="A3442" s="392"/>
      <c r="B3442" s="393"/>
      <c r="C3442" s="99" t="str">
        <f>IF(B3442="","",IF(NOT(ISNUMBER(B3442)),"DATA_PC invalida",IF(NOT(ISNUMBER(parametros!$C$2)),"Fora dos ciclos",IF(OR(B3442&lt;parametros!$C$2,(YEAR(B3442)-YEAR(parametros!$C$2))*12+MONTH(B3442)-MONTH(parametros!$C$2)&gt;59),"Fora dos ciclos","C"&amp;INT(((YEAR(B3442)-YEAR(parametros!$C$2))*12+MONTH(B3442)-MONTH(parametros!$C$2))/12)))))</f>
        <v/>
      </c>
      <c r="D3442" s="394"/>
      <c r="E3442" s="78" t="str">
        <f>IF(C3442="","",IFERROR(VLOOKUP(C3442,parametros!$A$11:$E$15,5,0),""))</f>
        <v/>
      </c>
      <c r="F3442" s="79" t="str">
        <f t="shared" si="267"/>
        <v/>
      </c>
      <c r="G3442" s="395"/>
      <c r="H3442" s="91">
        <f t="shared" si="268"/>
        <v>0</v>
      </c>
      <c r="I3442" s="91" t="str">
        <f t="shared" si="269"/>
        <v/>
      </c>
      <c r="J3442" s="91" t="str">
        <f t="shared" si="270"/>
        <v/>
      </c>
      <c r="K3442" s="92" t="str">
        <f>IF(AND(A3442="",B3442="",D3442="",G3442=""),"",IF(AND(A3442&lt;&gt;"",COUNTIF($A$2:$A$5001,A3442)&gt;1),"NUMERO_PC duplicado",IF(B3442="","DATA_PC vazia",IF(NOT(ISNUMBER(B3442)),"DATA_PC invalida",IF(OR(C3442="",C3442="Fora dos ciclos"),"CICLO_PC nao identificado",IF(OR(D3442="",D3442=0),"VALOR_PC vazio ou zero",IF(AND(G3442&lt;&gt;"Sim",G3442&lt;&gt;"Nao",G3442&lt;&gt;""),"PC_PAGO_A_CONTRATADA invalido",IF(AND(C3442&lt;&gt;"C0",IFERROR(INDEX(parametros!$A$2:$A$6,MATCH(C3442,parametros!$B$2:$B$6,0)),"")="Sim",IFERROR(INDEX(parametros!$H$2:$H$6,MATCH(C3442,parametros!$B$2:$B$6,0)),"")=""),"INICIO_EFEITO ausente: PC "&amp;A3442&amp;" - "&amp;C3442,IF(L3442="","EFEITO_PC nao calculado: PC "&amp;A3442&amp;" - "&amp;C3442,"OK")))))))))</f>
        <v/>
      </c>
      <c r="L3442" s="92" t="str">
        <f>IF(AND(A3442="",B3442="",D3442="",G3442=""),"",IF(OR(B3442="",NOT(ISNUMBER(B3442)),C3442="",C3442="Fora dos ciclos"),"",IF(C3442="C0","Nao",IF(IFERROR(INDEX(parametros!$A$2:$A$6,MATCH(C3442,parametros!$B$2:$B$6,0)),"")&lt;&gt;"Sim","Nao",IF(IFERROR(INDEX(parametros!$H$2:$H$6,MATCH(C3442,parametros!$B$2:$B$6,0)),"")="","",IF(B3442&gt;=IFERROR(INDEX(parametros!$H$2:$H$6,MATCH(C3442,parametros!$B$2:$B$6,0)),""),"Sim","Nao"))))))</f>
        <v/>
      </c>
      <c r="T3442" s="156"/>
      <c r="U3442" s="214" t="str">
        <f t="shared" si="271"/>
        <v/>
      </c>
      <c r="V3442" s="212" t="s">
        <v>50</v>
      </c>
      <c r="W3442" s="100" t="s">
        <v>168</v>
      </c>
      <c r="X3442" s="100" t="s">
        <v>169</v>
      </c>
      <c r="Y3442" s="101" t="s">
        <v>170</v>
      </c>
      <c r="Z3442" s="101" t="s">
        <v>171</v>
      </c>
      <c r="AA3442" s="101" t="s">
        <v>50</v>
      </c>
      <c r="AB3442" s="101" t="s">
        <v>172</v>
      </c>
      <c r="AC3442" s="102" t="s">
        <v>173</v>
      </c>
    </row>
    <row r="3443" spans="1:29" ht="25.5" customHeight="1" x14ac:dyDescent="0.35">
      <c r="A3443" s="392"/>
      <c r="B3443" s="393"/>
      <c r="C3443" s="99" t="str">
        <f>IF(B3443="","",IF(NOT(ISNUMBER(B3443)),"DATA_PC invalida",IF(NOT(ISNUMBER(parametros!$C$2)),"Fora dos ciclos",IF(OR(B3443&lt;parametros!$C$2,(YEAR(B3443)-YEAR(parametros!$C$2))*12+MONTH(B3443)-MONTH(parametros!$C$2)&gt;59),"Fora dos ciclos","C"&amp;INT(((YEAR(B3443)-YEAR(parametros!$C$2))*12+MONTH(B3443)-MONTH(parametros!$C$2))/12)))))</f>
        <v/>
      </c>
      <c r="D3443" s="394"/>
      <c r="E3443" s="78" t="str">
        <f>IF(C3443="","",IFERROR(VLOOKUP(C3443,parametros!$A$11:$E$15,5,0),""))</f>
        <v/>
      </c>
      <c r="F3443" s="79" t="str">
        <f t="shared" si="267"/>
        <v/>
      </c>
      <c r="G3443" s="395"/>
      <c r="H3443" s="91">
        <f t="shared" si="268"/>
        <v>0</v>
      </c>
      <c r="I3443" s="91" t="str">
        <f t="shared" si="269"/>
        <v/>
      </c>
      <c r="J3443" s="91" t="str">
        <f t="shared" si="270"/>
        <v/>
      </c>
      <c r="K3443" s="92" t="str">
        <f>IF(AND(A3443="",B3443="",D3443="",G3443=""),"",IF(AND(A3443&lt;&gt;"",COUNTIF($A$2:$A$5001,A3443)&gt;1),"NUMERO_PC duplicado",IF(B3443="","DATA_PC vazia",IF(NOT(ISNUMBER(B3443)),"DATA_PC invalida",IF(OR(C3443="",C3443="Fora dos ciclos"),"CICLO_PC nao identificado",IF(OR(D3443="",D3443=0),"VALOR_PC vazio ou zero",IF(AND(G3443&lt;&gt;"Sim",G3443&lt;&gt;"Nao",G3443&lt;&gt;""),"PC_PAGO_A_CONTRATADA invalido",IF(AND(C3443&lt;&gt;"C0",IFERROR(INDEX(parametros!$A$2:$A$6,MATCH(C3443,parametros!$B$2:$B$6,0)),"")="Sim",IFERROR(INDEX(parametros!$H$2:$H$6,MATCH(C3443,parametros!$B$2:$B$6,0)),"")=""),"INICIO_EFEITO ausente: PC "&amp;A3443&amp;" - "&amp;C3443,IF(L3443="","EFEITO_PC nao calculado: PC "&amp;A3443&amp;" - "&amp;C3443,"OK")))))))))</f>
        <v/>
      </c>
      <c r="L3443" s="92" t="str">
        <f>IF(AND(A3443="",B3443="",D3443="",G3443=""),"",IF(OR(B3443="",NOT(ISNUMBER(B3443)),C3443="",C3443="Fora dos ciclos"),"",IF(C3443="C0","Nao",IF(IFERROR(INDEX(parametros!$A$2:$A$6,MATCH(C3443,parametros!$B$2:$B$6,0)),"")&lt;&gt;"Sim","Nao",IF(IFERROR(INDEX(parametros!$H$2:$H$6,MATCH(C3443,parametros!$B$2:$B$6,0)),"")="","",IF(B3443&gt;=IFERROR(INDEX(parametros!$H$2:$H$6,MATCH(C3443,parametros!$B$2:$B$6,0)),""),"Sim","Nao"))))))</f>
        <v/>
      </c>
      <c r="T3443" s="156"/>
      <c r="U3443" s="214" t="str">
        <f t="shared" si="271"/>
        <v/>
      </c>
      <c r="V3443" s="212" t="s">
        <v>50</v>
      </c>
      <c r="W3443" s="100" t="s">
        <v>168</v>
      </c>
      <c r="X3443" s="100" t="s">
        <v>169</v>
      </c>
      <c r="Y3443" s="101" t="s">
        <v>170</v>
      </c>
      <c r="Z3443" s="101" t="s">
        <v>171</v>
      </c>
      <c r="AA3443" s="101" t="s">
        <v>50</v>
      </c>
      <c r="AB3443" s="101" t="s">
        <v>172</v>
      </c>
      <c r="AC3443" s="102" t="s">
        <v>173</v>
      </c>
    </row>
    <row r="3444" spans="1:29" ht="25.5" customHeight="1" x14ac:dyDescent="0.35">
      <c r="A3444" s="392"/>
      <c r="B3444" s="393"/>
      <c r="C3444" s="99" t="str">
        <f>IF(B3444="","",IF(NOT(ISNUMBER(B3444)),"DATA_PC invalida",IF(NOT(ISNUMBER(parametros!$C$2)),"Fora dos ciclos",IF(OR(B3444&lt;parametros!$C$2,(YEAR(B3444)-YEAR(parametros!$C$2))*12+MONTH(B3444)-MONTH(parametros!$C$2)&gt;59),"Fora dos ciclos","C"&amp;INT(((YEAR(B3444)-YEAR(parametros!$C$2))*12+MONTH(B3444)-MONTH(parametros!$C$2))/12)))))</f>
        <v/>
      </c>
      <c r="D3444" s="394"/>
      <c r="E3444" s="78" t="str">
        <f>IF(C3444="","",IFERROR(VLOOKUP(C3444,parametros!$A$11:$E$15,5,0),""))</f>
        <v/>
      </c>
      <c r="F3444" s="79" t="str">
        <f t="shared" si="267"/>
        <v/>
      </c>
      <c r="G3444" s="395"/>
      <c r="H3444" s="91">
        <f t="shared" si="268"/>
        <v>0</v>
      </c>
      <c r="I3444" s="91" t="str">
        <f t="shared" si="269"/>
        <v/>
      </c>
      <c r="J3444" s="91" t="str">
        <f t="shared" si="270"/>
        <v/>
      </c>
      <c r="K3444" s="92" t="str">
        <f>IF(AND(A3444="",B3444="",D3444="",G3444=""),"",IF(AND(A3444&lt;&gt;"",COUNTIF($A$2:$A$5001,A3444)&gt;1),"NUMERO_PC duplicado",IF(B3444="","DATA_PC vazia",IF(NOT(ISNUMBER(B3444)),"DATA_PC invalida",IF(OR(C3444="",C3444="Fora dos ciclos"),"CICLO_PC nao identificado",IF(OR(D3444="",D3444=0),"VALOR_PC vazio ou zero",IF(AND(G3444&lt;&gt;"Sim",G3444&lt;&gt;"Nao",G3444&lt;&gt;""),"PC_PAGO_A_CONTRATADA invalido",IF(AND(C3444&lt;&gt;"C0",IFERROR(INDEX(parametros!$A$2:$A$6,MATCH(C3444,parametros!$B$2:$B$6,0)),"")="Sim",IFERROR(INDEX(parametros!$H$2:$H$6,MATCH(C3444,parametros!$B$2:$B$6,0)),"")=""),"INICIO_EFEITO ausente: PC "&amp;A3444&amp;" - "&amp;C3444,IF(L3444="","EFEITO_PC nao calculado: PC "&amp;A3444&amp;" - "&amp;C3444,"OK")))))))))</f>
        <v/>
      </c>
      <c r="L3444" s="92" t="str">
        <f>IF(AND(A3444="",B3444="",D3444="",G3444=""),"",IF(OR(B3444="",NOT(ISNUMBER(B3444)),C3444="",C3444="Fora dos ciclos"),"",IF(C3444="C0","Nao",IF(IFERROR(INDEX(parametros!$A$2:$A$6,MATCH(C3444,parametros!$B$2:$B$6,0)),"")&lt;&gt;"Sim","Nao",IF(IFERROR(INDEX(parametros!$H$2:$H$6,MATCH(C3444,parametros!$B$2:$B$6,0)),"")="","",IF(B3444&gt;=IFERROR(INDEX(parametros!$H$2:$H$6,MATCH(C3444,parametros!$B$2:$B$6,0)),""),"Sim","Nao"))))))</f>
        <v/>
      </c>
      <c r="T3444" s="156"/>
      <c r="U3444" s="214" t="str">
        <f t="shared" si="271"/>
        <v/>
      </c>
      <c r="V3444" s="212" t="s">
        <v>50</v>
      </c>
      <c r="W3444" s="100" t="s">
        <v>168</v>
      </c>
      <c r="X3444" s="100" t="s">
        <v>169</v>
      </c>
      <c r="Y3444" s="101" t="s">
        <v>170</v>
      </c>
      <c r="Z3444" s="101" t="s">
        <v>171</v>
      </c>
      <c r="AA3444" s="101" t="s">
        <v>50</v>
      </c>
      <c r="AB3444" s="101" t="s">
        <v>172</v>
      </c>
      <c r="AC3444" s="102" t="s">
        <v>173</v>
      </c>
    </row>
    <row r="3445" spans="1:29" ht="25.5" customHeight="1" x14ac:dyDescent="0.35">
      <c r="A3445" s="392"/>
      <c r="B3445" s="393"/>
      <c r="C3445" s="99" t="str">
        <f>IF(B3445="","",IF(NOT(ISNUMBER(B3445)),"DATA_PC invalida",IF(NOT(ISNUMBER(parametros!$C$2)),"Fora dos ciclos",IF(OR(B3445&lt;parametros!$C$2,(YEAR(B3445)-YEAR(parametros!$C$2))*12+MONTH(B3445)-MONTH(parametros!$C$2)&gt;59),"Fora dos ciclos","C"&amp;INT(((YEAR(B3445)-YEAR(parametros!$C$2))*12+MONTH(B3445)-MONTH(parametros!$C$2))/12)))))</f>
        <v/>
      </c>
      <c r="D3445" s="394"/>
      <c r="E3445" s="78" t="str">
        <f>IF(C3445="","",IFERROR(VLOOKUP(C3445,parametros!$A$11:$E$15,5,0),""))</f>
        <v/>
      </c>
      <c r="F3445" s="79" t="str">
        <f t="shared" si="267"/>
        <v/>
      </c>
      <c r="G3445" s="395"/>
      <c r="H3445" s="91">
        <f t="shared" si="268"/>
        <v>0</v>
      </c>
      <c r="I3445" s="91" t="str">
        <f t="shared" si="269"/>
        <v/>
      </c>
      <c r="J3445" s="91" t="str">
        <f t="shared" si="270"/>
        <v/>
      </c>
      <c r="K3445" s="92" t="str">
        <f>IF(AND(A3445="",B3445="",D3445="",G3445=""),"",IF(AND(A3445&lt;&gt;"",COUNTIF($A$2:$A$5001,A3445)&gt;1),"NUMERO_PC duplicado",IF(B3445="","DATA_PC vazia",IF(NOT(ISNUMBER(B3445)),"DATA_PC invalida",IF(OR(C3445="",C3445="Fora dos ciclos"),"CICLO_PC nao identificado",IF(OR(D3445="",D3445=0),"VALOR_PC vazio ou zero",IF(AND(G3445&lt;&gt;"Sim",G3445&lt;&gt;"Nao",G3445&lt;&gt;""),"PC_PAGO_A_CONTRATADA invalido",IF(AND(C3445&lt;&gt;"C0",IFERROR(INDEX(parametros!$A$2:$A$6,MATCH(C3445,parametros!$B$2:$B$6,0)),"")="Sim",IFERROR(INDEX(parametros!$H$2:$H$6,MATCH(C3445,parametros!$B$2:$B$6,0)),"")=""),"INICIO_EFEITO ausente: PC "&amp;A3445&amp;" - "&amp;C3445,IF(L3445="","EFEITO_PC nao calculado: PC "&amp;A3445&amp;" - "&amp;C3445,"OK")))))))))</f>
        <v/>
      </c>
      <c r="L3445" s="92" t="str">
        <f>IF(AND(A3445="",B3445="",D3445="",G3445=""),"",IF(OR(B3445="",NOT(ISNUMBER(B3445)),C3445="",C3445="Fora dos ciclos"),"",IF(C3445="C0","Nao",IF(IFERROR(INDEX(parametros!$A$2:$A$6,MATCH(C3445,parametros!$B$2:$B$6,0)),"")&lt;&gt;"Sim","Nao",IF(IFERROR(INDEX(parametros!$H$2:$H$6,MATCH(C3445,parametros!$B$2:$B$6,0)),"")="","",IF(B3445&gt;=IFERROR(INDEX(parametros!$H$2:$H$6,MATCH(C3445,parametros!$B$2:$B$6,0)),""),"Sim","Nao"))))))</f>
        <v/>
      </c>
      <c r="T3445" s="156"/>
      <c r="U3445" s="214" t="str">
        <f t="shared" si="271"/>
        <v/>
      </c>
      <c r="V3445" s="212" t="s">
        <v>50</v>
      </c>
      <c r="W3445" s="100" t="s">
        <v>168</v>
      </c>
      <c r="X3445" s="100" t="s">
        <v>169</v>
      </c>
      <c r="Y3445" s="101" t="s">
        <v>170</v>
      </c>
      <c r="Z3445" s="101" t="s">
        <v>171</v>
      </c>
      <c r="AA3445" s="101" t="s">
        <v>50</v>
      </c>
      <c r="AB3445" s="101" t="s">
        <v>172</v>
      </c>
      <c r="AC3445" s="102" t="s">
        <v>173</v>
      </c>
    </row>
    <row r="3446" spans="1:29" ht="25.5" customHeight="1" x14ac:dyDescent="0.35">
      <c r="A3446" s="392"/>
      <c r="B3446" s="393"/>
      <c r="C3446" s="99" t="str">
        <f>IF(B3446="","",IF(NOT(ISNUMBER(B3446)),"DATA_PC invalida",IF(NOT(ISNUMBER(parametros!$C$2)),"Fora dos ciclos",IF(OR(B3446&lt;parametros!$C$2,(YEAR(B3446)-YEAR(parametros!$C$2))*12+MONTH(B3446)-MONTH(parametros!$C$2)&gt;59),"Fora dos ciclos","C"&amp;INT(((YEAR(B3446)-YEAR(parametros!$C$2))*12+MONTH(B3446)-MONTH(parametros!$C$2))/12)))))</f>
        <v/>
      </c>
      <c r="D3446" s="394"/>
      <c r="E3446" s="78" t="str">
        <f>IF(C3446="","",IFERROR(VLOOKUP(C3446,parametros!$A$11:$E$15,5,0),""))</f>
        <v/>
      </c>
      <c r="F3446" s="79" t="str">
        <f t="shared" si="267"/>
        <v/>
      </c>
      <c r="G3446" s="395"/>
      <c r="H3446" s="91">
        <f t="shared" si="268"/>
        <v>0</v>
      </c>
      <c r="I3446" s="91" t="str">
        <f t="shared" si="269"/>
        <v/>
      </c>
      <c r="J3446" s="91" t="str">
        <f t="shared" si="270"/>
        <v/>
      </c>
      <c r="K3446" s="92" t="str">
        <f>IF(AND(A3446="",B3446="",D3446="",G3446=""),"",IF(AND(A3446&lt;&gt;"",COUNTIF($A$2:$A$5001,A3446)&gt;1),"NUMERO_PC duplicado",IF(B3446="","DATA_PC vazia",IF(NOT(ISNUMBER(B3446)),"DATA_PC invalida",IF(OR(C3446="",C3446="Fora dos ciclos"),"CICLO_PC nao identificado",IF(OR(D3446="",D3446=0),"VALOR_PC vazio ou zero",IF(AND(G3446&lt;&gt;"Sim",G3446&lt;&gt;"Nao",G3446&lt;&gt;""),"PC_PAGO_A_CONTRATADA invalido",IF(AND(C3446&lt;&gt;"C0",IFERROR(INDEX(parametros!$A$2:$A$6,MATCH(C3446,parametros!$B$2:$B$6,0)),"")="Sim",IFERROR(INDEX(parametros!$H$2:$H$6,MATCH(C3446,parametros!$B$2:$B$6,0)),"")=""),"INICIO_EFEITO ausente: PC "&amp;A3446&amp;" - "&amp;C3446,IF(L3446="","EFEITO_PC nao calculado: PC "&amp;A3446&amp;" - "&amp;C3446,"OK")))))))))</f>
        <v/>
      </c>
      <c r="L3446" s="92" t="str">
        <f>IF(AND(A3446="",B3446="",D3446="",G3446=""),"",IF(OR(B3446="",NOT(ISNUMBER(B3446)),C3446="",C3446="Fora dos ciclos"),"",IF(C3446="C0","Nao",IF(IFERROR(INDEX(parametros!$A$2:$A$6,MATCH(C3446,parametros!$B$2:$B$6,0)),"")&lt;&gt;"Sim","Nao",IF(IFERROR(INDEX(parametros!$H$2:$H$6,MATCH(C3446,parametros!$B$2:$B$6,0)),"")="","",IF(B3446&gt;=IFERROR(INDEX(parametros!$H$2:$H$6,MATCH(C3446,parametros!$B$2:$B$6,0)),""),"Sim","Nao"))))))</f>
        <v/>
      </c>
      <c r="T3446" s="156"/>
      <c r="U3446" s="214" t="str">
        <f t="shared" si="271"/>
        <v/>
      </c>
      <c r="V3446" s="212" t="s">
        <v>50</v>
      </c>
      <c r="W3446" s="100" t="s">
        <v>168</v>
      </c>
      <c r="X3446" s="100" t="s">
        <v>169</v>
      </c>
      <c r="Y3446" s="101" t="s">
        <v>170</v>
      </c>
      <c r="Z3446" s="101" t="s">
        <v>171</v>
      </c>
      <c r="AA3446" s="101" t="s">
        <v>50</v>
      </c>
      <c r="AB3446" s="101" t="s">
        <v>172</v>
      </c>
      <c r="AC3446" s="102" t="s">
        <v>173</v>
      </c>
    </row>
    <row r="3447" spans="1:29" ht="25.5" customHeight="1" x14ac:dyDescent="0.35">
      <c r="A3447" s="392"/>
      <c r="B3447" s="393"/>
      <c r="C3447" s="99" t="str">
        <f>IF(B3447="","",IF(NOT(ISNUMBER(B3447)),"DATA_PC invalida",IF(NOT(ISNUMBER(parametros!$C$2)),"Fora dos ciclos",IF(OR(B3447&lt;parametros!$C$2,(YEAR(B3447)-YEAR(parametros!$C$2))*12+MONTH(B3447)-MONTH(parametros!$C$2)&gt;59),"Fora dos ciclos","C"&amp;INT(((YEAR(B3447)-YEAR(parametros!$C$2))*12+MONTH(B3447)-MONTH(parametros!$C$2))/12)))))</f>
        <v/>
      </c>
      <c r="D3447" s="394"/>
      <c r="E3447" s="78" t="str">
        <f>IF(C3447="","",IFERROR(VLOOKUP(C3447,parametros!$A$11:$E$15,5,0),""))</f>
        <v/>
      </c>
      <c r="F3447" s="79" t="str">
        <f t="shared" si="267"/>
        <v/>
      </c>
      <c r="G3447" s="395"/>
      <c r="H3447" s="91">
        <f t="shared" si="268"/>
        <v>0</v>
      </c>
      <c r="I3447" s="91" t="str">
        <f t="shared" si="269"/>
        <v/>
      </c>
      <c r="J3447" s="91" t="str">
        <f t="shared" si="270"/>
        <v/>
      </c>
      <c r="K3447" s="92" t="str">
        <f>IF(AND(A3447="",B3447="",D3447="",G3447=""),"",IF(AND(A3447&lt;&gt;"",COUNTIF($A$2:$A$5001,A3447)&gt;1),"NUMERO_PC duplicado",IF(B3447="","DATA_PC vazia",IF(NOT(ISNUMBER(B3447)),"DATA_PC invalida",IF(OR(C3447="",C3447="Fora dos ciclos"),"CICLO_PC nao identificado",IF(OR(D3447="",D3447=0),"VALOR_PC vazio ou zero",IF(AND(G3447&lt;&gt;"Sim",G3447&lt;&gt;"Nao",G3447&lt;&gt;""),"PC_PAGO_A_CONTRATADA invalido",IF(AND(C3447&lt;&gt;"C0",IFERROR(INDEX(parametros!$A$2:$A$6,MATCH(C3447,parametros!$B$2:$B$6,0)),"")="Sim",IFERROR(INDEX(parametros!$H$2:$H$6,MATCH(C3447,parametros!$B$2:$B$6,0)),"")=""),"INICIO_EFEITO ausente: PC "&amp;A3447&amp;" - "&amp;C3447,IF(L3447="","EFEITO_PC nao calculado: PC "&amp;A3447&amp;" - "&amp;C3447,"OK")))))))))</f>
        <v/>
      </c>
      <c r="L3447" s="92" t="str">
        <f>IF(AND(A3447="",B3447="",D3447="",G3447=""),"",IF(OR(B3447="",NOT(ISNUMBER(B3447)),C3447="",C3447="Fora dos ciclos"),"",IF(C3447="C0","Nao",IF(IFERROR(INDEX(parametros!$A$2:$A$6,MATCH(C3447,parametros!$B$2:$B$6,0)),"")&lt;&gt;"Sim","Nao",IF(IFERROR(INDEX(parametros!$H$2:$H$6,MATCH(C3447,parametros!$B$2:$B$6,0)),"")="","",IF(B3447&gt;=IFERROR(INDEX(parametros!$H$2:$H$6,MATCH(C3447,parametros!$B$2:$B$6,0)),""),"Sim","Nao"))))))</f>
        <v/>
      </c>
      <c r="T3447" s="156"/>
      <c r="U3447" s="214" t="str">
        <f t="shared" si="271"/>
        <v/>
      </c>
      <c r="V3447" s="212" t="s">
        <v>50</v>
      </c>
      <c r="W3447" s="100" t="s">
        <v>168</v>
      </c>
      <c r="X3447" s="100" t="s">
        <v>169</v>
      </c>
      <c r="Y3447" s="101" t="s">
        <v>170</v>
      </c>
      <c r="Z3447" s="101" t="s">
        <v>171</v>
      </c>
      <c r="AA3447" s="101" t="s">
        <v>50</v>
      </c>
      <c r="AB3447" s="101" t="s">
        <v>172</v>
      </c>
      <c r="AC3447" s="102" t="s">
        <v>173</v>
      </c>
    </row>
    <row r="3448" spans="1:29" ht="25.5" customHeight="1" x14ac:dyDescent="0.35">
      <c r="A3448" s="392"/>
      <c r="B3448" s="393"/>
      <c r="C3448" s="99" t="str">
        <f>IF(B3448="","",IF(NOT(ISNUMBER(B3448)),"DATA_PC invalida",IF(NOT(ISNUMBER(parametros!$C$2)),"Fora dos ciclos",IF(OR(B3448&lt;parametros!$C$2,(YEAR(B3448)-YEAR(parametros!$C$2))*12+MONTH(B3448)-MONTH(parametros!$C$2)&gt;59),"Fora dos ciclos","C"&amp;INT(((YEAR(B3448)-YEAR(parametros!$C$2))*12+MONTH(B3448)-MONTH(parametros!$C$2))/12)))))</f>
        <v/>
      </c>
      <c r="D3448" s="394"/>
      <c r="E3448" s="78" t="str">
        <f>IF(C3448="","",IFERROR(VLOOKUP(C3448,parametros!$A$11:$E$15,5,0),""))</f>
        <v/>
      </c>
      <c r="F3448" s="79" t="str">
        <f t="shared" si="267"/>
        <v/>
      </c>
      <c r="G3448" s="395"/>
      <c r="H3448" s="91">
        <f t="shared" si="268"/>
        <v>0</v>
      </c>
      <c r="I3448" s="91" t="str">
        <f t="shared" si="269"/>
        <v/>
      </c>
      <c r="J3448" s="91" t="str">
        <f t="shared" si="270"/>
        <v/>
      </c>
      <c r="K3448" s="92" t="str">
        <f>IF(AND(A3448="",B3448="",D3448="",G3448=""),"",IF(AND(A3448&lt;&gt;"",COUNTIF($A$2:$A$5001,A3448)&gt;1),"NUMERO_PC duplicado",IF(B3448="","DATA_PC vazia",IF(NOT(ISNUMBER(B3448)),"DATA_PC invalida",IF(OR(C3448="",C3448="Fora dos ciclos"),"CICLO_PC nao identificado",IF(OR(D3448="",D3448=0),"VALOR_PC vazio ou zero",IF(AND(G3448&lt;&gt;"Sim",G3448&lt;&gt;"Nao",G3448&lt;&gt;""),"PC_PAGO_A_CONTRATADA invalido",IF(AND(C3448&lt;&gt;"C0",IFERROR(INDEX(parametros!$A$2:$A$6,MATCH(C3448,parametros!$B$2:$B$6,0)),"")="Sim",IFERROR(INDEX(parametros!$H$2:$H$6,MATCH(C3448,parametros!$B$2:$B$6,0)),"")=""),"INICIO_EFEITO ausente: PC "&amp;A3448&amp;" - "&amp;C3448,IF(L3448="","EFEITO_PC nao calculado: PC "&amp;A3448&amp;" - "&amp;C3448,"OK")))))))))</f>
        <v/>
      </c>
      <c r="L3448" s="92" t="str">
        <f>IF(AND(A3448="",B3448="",D3448="",G3448=""),"",IF(OR(B3448="",NOT(ISNUMBER(B3448)),C3448="",C3448="Fora dos ciclos"),"",IF(C3448="C0","Nao",IF(IFERROR(INDEX(parametros!$A$2:$A$6,MATCH(C3448,parametros!$B$2:$B$6,0)),"")&lt;&gt;"Sim","Nao",IF(IFERROR(INDEX(parametros!$H$2:$H$6,MATCH(C3448,parametros!$B$2:$B$6,0)),"")="","",IF(B3448&gt;=IFERROR(INDEX(parametros!$H$2:$H$6,MATCH(C3448,parametros!$B$2:$B$6,0)),""),"Sim","Nao"))))))</f>
        <v/>
      </c>
      <c r="T3448" s="156"/>
      <c r="U3448" s="214" t="str">
        <f t="shared" si="271"/>
        <v/>
      </c>
      <c r="V3448" s="212" t="s">
        <v>50</v>
      </c>
      <c r="W3448" s="100" t="s">
        <v>168</v>
      </c>
      <c r="X3448" s="100" t="s">
        <v>169</v>
      </c>
      <c r="Y3448" s="101" t="s">
        <v>170</v>
      </c>
      <c r="Z3448" s="101" t="s">
        <v>171</v>
      </c>
      <c r="AA3448" s="101" t="s">
        <v>50</v>
      </c>
      <c r="AB3448" s="101" t="s">
        <v>172</v>
      </c>
      <c r="AC3448" s="102" t="s">
        <v>173</v>
      </c>
    </row>
    <row r="3449" spans="1:29" ht="25.5" customHeight="1" x14ac:dyDescent="0.35">
      <c r="A3449" s="392"/>
      <c r="B3449" s="393"/>
      <c r="C3449" s="99" t="str">
        <f>IF(B3449="","",IF(NOT(ISNUMBER(B3449)),"DATA_PC invalida",IF(NOT(ISNUMBER(parametros!$C$2)),"Fora dos ciclos",IF(OR(B3449&lt;parametros!$C$2,(YEAR(B3449)-YEAR(parametros!$C$2))*12+MONTH(B3449)-MONTH(parametros!$C$2)&gt;59),"Fora dos ciclos","C"&amp;INT(((YEAR(B3449)-YEAR(parametros!$C$2))*12+MONTH(B3449)-MONTH(parametros!$C$2))/12)))))</f>
        <v/>
      </c>
      <c r="D3449" s="394"/>
      <c r="E3449" s="78" t="str">
        <f>IF(C3449="","",IFERROR(VLOOKUP(C3449,parametros!$A$11:$E$15,5,0),""))</f>
        <v/>
      </c>
      <c r="F3449" s="79" t="str">
        <f t="shared" si="267"/>
        <v/>
      </c>
      <c r="G3449" s="395"/>
      <c r="H3449" s="91">
        <f t="shared" si="268"/>
        <v>0</v>
      </c>
      <c r="I3449" s="91" t="str">
        <f t="shared" si="269"/>
        <v/>
      </c>
      <c r="J3449" s="91" t="str">
        <f t="shared" si="270"/>
        <v/>
      </c>
      <c r="K3449" s="92" t="str">
        <f>IF(AND(A3449="",B3449="",D3449="",G3449=""),"",IF(AND(A3449&lt;&gt;"",COUNTIF($A$2:$A$5001,A3449)&gt;1),"NUMERO_PC duplicado",IF(B3449="","DATA_PC vazia",IF(NOT(ISNUMBER(B3449)),"DATA_PC invalida",IF(OR(C3449="",C3449="Fora dos ciclos"),"CICLO_PC nao identificado",IF(OR(D3449="",D3449=0),"VALOR_PC vazio ou zero",IF(AND(G3449&lt;&gt;"Sim",G3449&lt;&gt;"Nao",G3449&lt;&gt;""),"PC_PAGO_A_CONTRATADA invalido",IF(AND(C3449&lt;&gt;"C0",IFERROR(INDEX(parametros!$A$2:$A$6,MATCH(C3449,parametros!$B$2:$B$6,0)),"")="Sim",IFERROR(INDEX(parametros!$H$2:$H$6,MATCH(C3449,parametros!$B$2:$B$6,0)),"")=""),"INICIO_EFEITO ausente: PC "&amp;A3449&amp;" - "&amp;C3449,IF(L3449="","EFEITO_PC nao calculado: PC "&amp;A3449&amp;" - "&amp;C3449,"OK")))))))))</f>
        <v/>
      </c>
      <c r="L3449" s="92" t="str">
        <f>IF(AND(A3449="",B3449="",D3449="",G3449=""),"",IF(OR(B3449="",NOT(ISNUMBER(B3449)),C3449="",C3449="Fora dos ciclos"),"",IF(C3449="C0","Nao",IF(IFERROR(INDEX(parametros!$A$2:$A$6,MATCH(C3449,parametros!$B$2:$B$6,0)),"")&lt;&gt;"Sim","Nao",IF(IFERROR(INDEX(parametros!$H$2:$H$6,MATCH(C3449,parametros!$B$2:$B$6,0)),"")="","",IF(B3449&gt;=IFERROR(INDEX(parametros!$H$2:$H$6,MATCH(C3449,parametros!$B$2:$B$6,0)),""),"Sim","Nao"))))))</f>
        <v/>
      </c>
      <c r="T3449" s="156"/>
      <c r="U3449" s="214" t="str">
        <f t="shared" si="271"/>
        <v/>
      </c>
      <c r="V3449" s="212" t="s">
        <v>50</v>
      </c>
      <c r="W3449" s="100" t="s">
        <v>168</v>
      </c>
      <c r="X3449" s="100" t="s">
        <v>169</v>
      </c>
      <c r="Y3449" s="101" t="s">
        <v>170</v>
      </c>
      <c r="Z3449" s="101" t="s">
        <v>171</v>
      </c>
      <c r="AA3449" s="101" t="s">
        <v>50</v>
      </c>
      <c r="AB3449" s="101" t="s">
        <v>172</v>
      </c>
      <c r="AC3449" s="102" t="s">
        <v>173</v>
      </c>
    </row>
    <row r="3450" spans="1:29" ht="25.5" customHeight="1" x14ac:dyDescent="0.35">
      <c r="A3450" s="392"/>
      <c r="B3450" s="393"/>
      <c r="C3450" s="99" t="str">
        <f>IF(B3450="","",IF(NOT(ISNUMBER(B3450)),"DATA_PC invalida",IF(NOT(ISNUMBER(parametros!$C$2)),"Fora dos ciclos",IF(OR(B3450&lt;parametros!$C$2,(YEAR(B3450)-YEAR(parametros!$C$2))*12+MONTH(B3450)-MONTH(parametros!$C$2)&gt;59),"Fora dos ciclos","C"&amp;INT(((YEAR(B3450)-YEAR(parametros!$C$2))*12+MONTH(B3450)-MONTH(parametros!$C$2))/12)))))</f>
        <v/>
      </c>
      <c r="D3450" s="394"/>
      <c r="E3450" s="78" t="str">
        <f>IF(C3450="","",IFERROR(VLOOKUP(C3450,parametros!$A$11:$E$15,5,0),""))</f>
        <v/>
      </c>
      <c r="F3450" s="79" t="str">
        <f t="shared" si="267"/>
        <v/>
      </c>
      <c r="G3450" s="395"/>
      <c r="H3450" s="91">
        <f t="shared" si="268"/>
        <v>0</v>
      </c>
      <c r="I3450" s="91" t="str">
        <f t="shared" si="269"/>
        <v/>
      </c>
      <c r="J3450" s="91" t="str">
        <f t="shared" si="270"/>
        <v/>
      </c>
      <c r="K3450" s="92" t="str">
        <f>IF(AND(A3450="",B3450="",D3450="",G3450=""),"",IF(AND(A3450&lt;&gt;"",COUNTIF($A$2:$A$5001,A3450)&gt;1),"NUMERO_PC duplicado",IF(B3450="","DATA_PC vazia",IF(NOT(ISNUMBER(B3450)),"DATA_PC invalida",IF(OR(C3450="",C3450="Fora dos ciclos"),"CICLO_PC nao identificado",IF(OR(D3450="",D3450=0),"VALOR_PC vazio ou zero",IF(AND(G3450&lt;&gt;"Sim",G3450&lt;&gt;"Nao",G3450&lt;&gt;""),"PC_PAGO_A_CONTRATADA invalido",IF(AND(C3450&lt;&gt;"C0",IFERROR(INDEX(parametros!$A$2:$A$6,MATCH(C3450,parametros!$B$2:$B$6,0)),"")="Sim",IFERROR(INDEX(parametros!$H$2:$H$6,MATCH(C3450,parametros!$B$2:$B$6,0)),"")=""),"INICIO_EFEITO ausente: PC "&amp;A3450&amp;" - "&amp;C3450,IF(L3450="","EFEITO_PC nao calculado: PC "&amp;A3450&amp;" - "&amp;C3450,"OK")))))))))</f>
        <v/>
      </c>
      <c r="L3450" s="92" t="str">
        <f>IF(AND(A3450="",B3450="",D3450="",G3450=""),"",IF(OR(B3450="",NOT(ISNUMBER(B3450)),C3450="",C3450="Fora dos ciclos"),"",IF(C3450="C0","Nao",IF(IFERROR(INDEX(parametros!$A$2:$A$6,MATCH(C3450,parametros!$B$2:$B$6,0)),"")&lt;&gt;"Sim","Nao",IF(IFERROR(INDEX(parametros!$H$2:$H$6,MATCH(C3450,parametros!$B$2:$B$6,0)),"")="","",IF(B3450&gt;=IFERROR(INDEX(parametros!$H$2:$H$6,MATCH(C3450,parametros!$B$2:$B$6,0)),""),"Sim","Nao"))))))</f>
        <v/>
      </c>
      <c r="T3450" s="156"/>
      <c r="U3450" s="214" t="str">
        <f t="shared" si="271"/>
        <v/>
      </c>
      <c r="V3450" s="212" t="s">
        <v>50</v>
      </c>
      <c r="W3450" s="100" t="s">
        <v>168</v>
      </c>
      <c r="X3450" s="100" t="s">
        <v>169</v>
      </c>
      <c r="Y3450" s="101" t="s">
        <v>170</v>
      </c>
      <c r="Z3450" s="101" t="s">
        <v>171</v>
      </c>
      <c r="AA3450" s="101" t="s">
        <v>50</v>
      </c>
      <c r="AB3450" s="101" t="s">
        <v>172</v>
      </c>
      <c r="AC3450" s="102" t="s">
        <v>173</v>
      </c>
    </row>
    <row r="3451" spans="1:29" ht="25.5" customHeight="1" x14ac:dyDescent="0.35">
      <c r="A3451" s="392"/>
      <c r="B3451" s="393"/>
      <c r="C3451" s="99" t="str">
        <f>IF(B3451="","",IF(NOT(ISNUMBER(B3451)),"DATA_PC invalida",IF(NOT(ISNUMBER(parametros!$C$2)),"Fora dos ciclos",IF(OR(B3451&lt;parametros!$C$2,(YEAR(B3451)-YEAR(parametros!$C$2))*12+MONTH(B3451)-MONTH(parametros!$C$2)&gt;59),"Fora dos ciclos","C"&amp;INT(((YEAR(B3451)-YEAR(parametros!$C$2))*12+MONTH(B3451)-MONTH(parametros!$C$2))/12)))))</f>
        <v/>
      </c>
      <c r="D3451" s="394"/>
      <c r="E3451" s="78" t="str">
        <f>IF(C3451="","",IFERROR(VLOOKUP(C3451,parametros!$A$11:$E$15,5,0),""))</f>
        <v/>
      </c>
      <c r="F3451" s="79" t="str">
        <f t="shared" si="267"/>
        <v/>
      </c>
      <c r="G3451" s="395"/>
      <c r="H3451" s="91">
        <f t="shared" si="268"/>
        <v>0</v>
      </c>
      <c r="I3451" s="91" t="str">
        <f t="shared" si="269"/>
        <v/>
      </c>
      <c r="J3451" s="91" t="str">
        <f t="shared" si="270"/>
        <v/>
      </c>
      <c r="K3451" s="92" t="str">
        <f>IF(AND(A3451="",B3451="",D3451="",G3451=""),"",IF(AND(A3451&lt;&gt;"",COUNTIF($A$2:$A$5001,A3451)&gt;1),"NUMERO_PC duplicado",IF(B3451="","DATA_PC vazia",IF(NOT(ISNUMBER(B3451)),"DATA_PC invalida",IF(OR(C3451="",C3451="Fora dos ciclos"),"CICLO_PC nao identificado",IF(OR(D3451="",D3451=0),"VALOR_PC vazio ou zero",IF(AND(G3451&lt;&gt;"Sim",G3451&lt;&gt;"Nao",G3451&lt;&gt;""),"PC_PAGO_A_CONTRATADA invalido",IF(AND(C3451&lt;&gt;"C0",IFERROR(INDEX(parametros!$A$2:$A$6,MATCH(C3451,parametros!$B$2:$B$6,0)),"")="Sim",IFERROR(INDEX(parametros!$H$2:$H$6,MATCH(C3451,parametros!$B$2:$B$6,0)),"")=""),"INICIO_EFEITO ausente: PC "&amp;A3451&amp;" - "&amp;C3451,IF(L3451="","EFEITO_PC nao calculado: PC "&amp;A3451&amp;" - "&amp;C3451,"OK")))))))))</f>
        <v/>
      </c>
      <c r="L3451" s="92" t="str">
        <f>IF(AND(A3451="",B3451="",D3451="",G3451=""),"",IF(OR(B3451="",NOT(ISNUMBER(B3451)),C3451="",C3451="Fora dos ciclos"),"",IF(C3451="C0","Nao",IF(IFERROR(INDEX(parametros!$A$2:$A$6,MATCH(C3451,parametros!$B$2:$B$6,0)),"")&lt;&gt;"Sim","Nao",IF(IFERROR(INDEX(parametros!$H$2:$H$6,MATCH(C3451,parametros!$B$2:$B$6,0)),"")="","",IF(B3451&gt;=IFERROR(INDEX(parametros!$H$2:$H$6,MATCH(C3451,parametros!$B$2:$B$6,0)),""),"Sim","Nao"))))))</f>
        <v/>
      </c>
      <c r="T3451" s="156"/>
      <c r="U3451" s="214" t="str">
        <f t="shared" si="271"/>
        <v/>
      </c>
      <c r="V3451" s="212" t="s">
        <v>50</v>
      </c>
      <c r="W3451" s="100" t="s">
        <v>168</v>
      </c>
      <c r="X3451" s="100" t="s">
        <v>169</v>
      </c>
      <c r="Y3451" s="101" t="s">
        <v>170</v>
      </c>
      <c r="Z3451" s="101" t="s">
        <v>171</v>
      </c>
      <c r="AA3451" s="101" t="s">
        <v>50</v>
      </c>
      <c r="AB3451" s="101" t="s">
        <v>172</v>
      </c>
      <c r="AC3451" s="102" t="s">
        <v>173</v>
      </c>
    </row>
    <row r="3452" spans="1:29" ht="25.5" customHeight="1" x14ac:dyDescent="0.35">
      <c r="A3452" s="392"/>
      <c r="B3452" s="393"/>
      <c r="C3452" s="99" t="str">
        <f>IF(B3452="","",IF(NOT(ISNUMBER(B3452)),"DATA_PC invalida",IF(NOT(ISNUMBER(parametros!$C$2)),"Fora dos ciclos",IF(OR(B3452&lt;parametros!$C$2,(YEAR(B3452)-YEAR(parametros!$C$2))*12+MONTH(B3452)-MONTH(parametros!$C$2)&gt;59),"Fora dos ciclos","C"&amp;INT(((YEAR(B3452)-YEAR(parametros!$C$2))*12+MONTH(B3452)-MONTH(parametros!$C$2))/12)))))</f>
        <v/>
      </c>
      <c r="D3452" s="394"/>
      <c r="E3452" s="78" t="str">
        <f>IF(C3452="","",IFERROR(VLOOKUP(C3452,parametros!$A$11:$E$15,5,0),""))</f>
        <v/>
      </c>
      <c r="F3452" s="79" t="str">
        <f t="shared" si="267"/>
        <v/>
      </c>
      <c r="G3452" s="395"/>
      <c r="H3452" s="91">
        <f t="shared" si="268"/>
        <v>0</v>
      </c>
      <c r="I3452" s="91" t="str">
        <f t="shared" si="269"/>
        <v/>
      </c>
      <c r="J3452" s="91" t="str">
        <f t="shared" si="270"/>
        <v/>
      </c>
      <c r="K3452" s="92" t="str">
        <f>IF(AND(A3452="",B3452="",D3452="",G3452=""),"",IF(AND(A3452&lt;&gt;"",COUNTIF($A$2:$A$5001,A3452)&gt;1),"NUMERO_PC duplicado",IF(B3452="","DATA_PC vazia",IF(NOT(ISNUMBER(B3452)),"DATA_PC invalida",IF(OR(C3452="",C3452="Fora dos ciclos"),"CICLO_PC nao identificado",IF(OR(D3452="",D3452=0),"VALOR_PC vazio ou zero",IF(AND(G3452&lt;&gt;"Sim",G3452&lt;&gt;"Nao",G3452&lt;&gt;""),"PC_PAGO_A_CONTRATADA invalido",IF(AND(C3452&lt;&gt;"C0",IFERROR(INDEX(parametros!$A$2:$A$6,MATCH(C3452,parametros!$B$2:$B$6,0)),"")="Sim",IFERROR(INDEX(parametros!$H$2:$H$6,MATCH(C3452,parametros!$B$2:$B$6,0)),"")=""),"INICIO_EFEITO ausente: PC "&amp;A3452&amp;" - "&amp;C3452,IF(L3452="","EFEITO_PC nao calculado: PC "&amp;A3452&amp;" - "&amp;C3452,"OK")))))))))</f>
        <v/>
      </c>
      <c r="L3452" s="92" t="str">
        <f>IF(AND(A3452="",B3452="",D3452="",G3452=""),"",IF(OR(B3452="",NOT(ISNUMBER(B3452)),C3452="",C3452="Fora dos ciclos"),"",IF(C3452="C0","Nao",IF(IFERROR(INDEX(parametros!$A$2:$A$6,MATCH(C3452,parametros!$B$2:$B$6,0)),"")&lt;&gt;"Sim","Nao",IF(IFERROR(INDEX(parametros!$H$2:$H$6,MATCH(C3452,parametros!$B$2:$B$6,0)),"")="","",IF(B3452&gt;=IFERROR(INDEX(parametros!$H$2:$H$6,MATCH(C3452,parametros!$B$2:$B$6,0)),""),"Sim","Nao"))))))</f>
        <v/>
      </c>
      <c r="T3452" s="156"/>
      <c r="U3452" s="214" t="str">
        <f t="shared" si="271"/>
        <v/>
      </c>
      <c r="V3452" s="212" t="s">
        <v>50</v>
      </c>
      <c r="W3452" s="100" t="s">
        <v>168</v>
      </c>
      <c r="X3452" s="100" t="s">
        <v>169</v>
      </c>
      <c r="Y3452" s="101" t="s">
        <v>170</v>
      </c>
      <c r="Z3452" s="101" t="s">
        <v>171</v>
      </c>
      <c r="AA3452" s="101" t="s">
        <v>50</v>
      </c>
      <c r="AB3452" s="101" t="s">
        <v>172</v>
      </c>
      <c r="AC3452" s="102" t="s">
        <v>173</v>
      </c>
    </row>
    <row r="3453" spans="1:29" ht="25.5" customHeight="1" x14ac:dyDescent="0.35">
      <c r="A3453" s="392"/>
      <c r="B3453" s="393"/>
      <c r="C3453" s="99" t="str">
        <f>IF(B3453="","",IF(NOT(ISNUMBER(B3453)),"DATA_PC invalida",IF(NOT(ISNUMBER(parametros!$C$2)),"Fora dos ciclos",IF(OR(B3453&lt;parametros!$C$2,(YEAR(B3453)-YEAR(parametros!$C$2))*12+MONTH(B3453)-MONTH(parametros!$C$2)&gt;59),"Fora dos ciclos","C"&amp;INT(((YEAR(B3453)-YEAR(parametros!$C$2))*12+MONTH(B3453)-MONTH(parametros!$C$2))/12)))))</f>
        <v/>
      </c>
      <c r="D3453" s="394"/>
      <c r="E3453" s="78" t="str">
        <f>IF(C3453="","",IFERROR(VLOOKUP(C3453,parametros!$A$11:$E$15,5,0),""))</f>
        <v/>
      </c>
      <c r="F3453" s="79" t="str">
        <f t="shared" si="267"/>
        <v/>
      </c>
      <c r="G3453" s="395"/>
      <c r="H3453" s="91">
        <f t="shared" si="268"/>
        <v>0</v>
      </c>
      <c r="I3453" s="91" t="str">
        <f t="shared" si="269"/>
        <v/>
      </c>
      <c r="J3453" s="91" t="str">
        <f t="shared" si="270"/>
        <v/>
      </c>
      <c r="K3453" s="92" t="str">
        <f>IF(AND(A3453="",B3453="",D3453="",G3453=""),"",IF(AND(A3453&lt;&gt;"",COUNTIF($A$2:$A$5001,A3453)&gt;1),"NUMERO_PC duplicado",IF(B3453="","DATA_PC vazia",IF(NOT(ISNUMBER(B3453)),"DATA_PC invalida",IF(OR(C3453="",C3453="Fora dos ciclos"),"CICLO_PC nao identificado",IF(OR(D3453="",D3453=0),"VALOR_PC vazio ou zero",IF(AND(G3453&lt;&gt;"Sim",G3453&lt;&gt;"Nao",G3453&lt;&gt;""),"PC_PAGO_A_CONTRATADA invalido",IF(AND(C3453&lt;&gt;"C0",IFERROR(INDEX(parametros!$A$2:$A$6,MATCH(C3453,parametros!$B$2:$B$6,0)),"")="Sim",IFERROR(INDEX(parametros!$H$2:$H$6,MATCH(C3453,parametros!$B$2:$B$6,0)),"")=""),"INICIO_EFEITO ausente: PC "&amp;A3453&amp;" - "&amp;C3453,IF(L3453="","EFEITO_PC nao calculado: PC "&amp;A3453&amp;" - "&amp;C3453,"OK")))))))))</f>
        <v/>
      </c>
      <c r="L3453" s="92" t="str">
        <f>IF(AND(A3453="",B3453="",D3453="",G3453=""),"",IF(OR(B3453="",NOT(ISNUMBER(B3453)),C3453="",C3453="Fora dos ciclos"),"",IF(C3453="C0","Nao",IF(IFERROR(INDEX(parametros!$A$2:$A$6,MATCH(C3453,parametros!$B$2:$B$6,0)),"")&lt;&gt;"Sim","Nao",IF(IFERROR(INDEX(parametros!$H$2:$H$6,MATCH(C3453,parametros!$B$2:$B$6,0)),"")="","",IF(B3453&gt;=IFERROR(INDEX(parametros!$H$2:$H$6,MATCH(C3453,parametros!$B$2:$B$6,0)),""),"Sim","Nao"))))))</f>
        <v/>
      </c>
      <c r="T3453" s="156"/>
      <c r="U3453" s="214" t="str">
        <f t="shared" si="271"/>
        <v/>
      </c>
      <c r="V3453" s="212" t="s">
        <v>50</v>
      </c>
      <c r="W3453" s="100" t="s">
        <v>168</v>
      </c>
      <c r="X3453" s="100" t="s">
        <v>169</v>
      </c>
      <c r="Y3453" s="101" t="s">
        <v>170</v>
      </c>
      <c r="Z3453" s="101" t="s">
        <v>171</v>
      </c>
      <c r="AA3453" s="101" t="s">
        <v>50</v>
      </c>
      <c r="AB3453" s="101" t="s">
        <v>172</v>
      </c>
      <c r="AC3453" s="102" t="s">
        <v>173</v>
      </c>
    </row>
    <row r="3454" spans="1:29" ht="25.5" customHeight="1" x14ac:dyDescent="0.35">
      <c r="A3454" s="392"/>
      <c r="B3454" s="393"/>
      <c r="C3454" s="99" t="str">
        <f>IF(B3454="","",IF(NOT(ISNUMBER(B3454)),"DATA_PC invalida",IF(NOT(ISNUMBER(parametros!$C$2)),"Fora dos ciclos",IF(OR(B3454&lt;parametros!$C$2,(YEAR(B3454)-YEAR(parametros!$C$2))*12+MONTH(B3454)-MONTH(parametros!$C$2)&gt;59),"Fora dos ciclos","C"&amp;INT(((YEAR(B3454)-YEAR(parametros!$C$2))*12+MONTH(B3454)-MONTH(parametros!$C$2))/12)))))</f>
        <v/>
      </c>
      <c r="D3454" s="394"/>
      <c r="E3454" s="78" t="str">
        <f>IF(C3454="","",IFERROR(VLOOKUP(C3454,parametros!$A$11:$E$15,5,0),""))</f>
        <v/>
      </c>
      <c r="F3454" s="79" t="str">
        <f t="shared" si="267"/>
        <v/>
      </c>
      <c r="G3454" s="395"/>
      <c r="H3454" s="91">
        <f t="shared" si="268"/>
        <v>0</v>
      </c>
      <c r="I3454" s="91" t="str">
        <f t="shared" si="269"/>
        <v/>
      </c>
      <c r="J3454" s="91" t="str">
        <f t="shared" si="270"/>
        <v/>
      </c>
      <c r="K3454" s="92" t="str">
        <f>IF(AND(A3454="",B3454="",D3454="",G3454=""),"",IF(AND(A3454&lt;&gt;"",COUNTIF($A$2:$A$5001,A3454)&gt;1),"NUMERO_PC duplicado",IF(B3454="","DATA_PC vazia",IF(NOT(ISNUMBER(B3454)),"DATA_PC invalida",IF(OR(C3454="",C3454="Fora dos ciclos"),"CICLO_PC nao identificado",IF(OR(D3454="",D3454=0),"VALOR_PC vazio ou zero",IF(AND(G3454&lt;&gt;"Sim",G3454&lt;&gt;"Nao",G3454&lt;&gt;""),"PC_PAGO_A_CONTRATADA invalido",IF(AND(C3454&lt;&gt;"C0",IFERROR(INDEX(parametros!$A$2:$A$6,MATCH(C3454,parametros!$B$2:$B$6,0)),"")="Sim",IFERROR(INDEX(parametros!$H$2:$H$6,MATCH(C3454,parametros!$B$2:$B$6,0)),"")=""),"INICIO_EFEITO ausente: PC "&amp;A3454&amp;" - "&amp;C3454,IF(L3454="","EFEITO_PC nao calculado: PC "&amp;A3454&amp;" - "&amp;C3454,"OK")))))))))</f>
        <v/>
      </c>
      <c r="L3454" s="92" t="str">
        <f>IF(AND(A3454="",B3454="",D3454="",G3454=""),"",IF(OR(B3454="",NOT(ISNUMBER(B3454)),C3454="",C3454="Fora dos ciclos"),"",IF(C3454="C0","Nao",IF(IFERROR(INDEX(parametros!$A$2:$A$6,MATCH(C3454,parametros!$B$2:$B$6,0)),"")&lt;&gt;"Sim","Nao",IF(IFERROR(INDEX(parametros!$H$2:$H$6,MATCH(C3454,parametros!$B$2:$B$6,0)),"")="","",IF(B3454&gt;=IFERROR(INDEX(parametros!$H$2:$H$6,MATCH(C3454,parametros!$B$2:$B$6,0)),""),"Sim","Nao"))))))</f>
        <v/>
      </c>
      <c r="T3454" s="156"/>
      <c r="U3454" s="214" t="str">
        <f t="shared" si="271"/>
        <v/>
      </c>
      <c r="V3454" s="212" t="s">
        <v>50</v>
      </c>
      <c r="W3454" s="100" t="s">
        <v>168</v>
      </c>
      <c r="X3454" s="100" t="s">
        <v>169</v>
      </c>
      <c r="Y3454" s="101" t="s">
        <v>170</v>
      </c>
      <c r="Z3454" s="101" t="s">
        <v>171</v>
      </c>
      <c r="AA3454" s="101" t="s">
        <v>50</v>
      </c>
      <c r="AB3454" s="101" t="s">
        <v>172</v>
      </c>
      <c r="AC3454" s="102" t="s">
        <v>173</v>
      </c>
    </row>
    <row r="3455" spans="1:29" ht="25.5" customHeight="1" x14ac:dyDescent="0.35">
      <c r="A3455" s="392"/>
      <c r="B3455" s="393"/>
      <c r="C3455" s="99" t="str">
        <f>IF(B3455="","",IF(NOT(ISNUMBER(B3455)),"DATA_PC invalida",IF(NOT(ISNUMBER(parametros!$C$2)),"Fora dos ciclos",IF(OR(B3455&lt;parametros!$C$2,(YEAR(B3455)-YEAR(parametros!$C$2))*12+MONTH(B3455)-MONTH(parametros!$C$2)&gt;59),"Fora dos ciclos","C"&amp;INT(((YEAR(B3455)-YEAR(parametros!$C$2))*12+MONTH(B3455)-MONTH(parametros!$C$2))/12)))))</f>
        <v/>
      </c>
      <c r="D3455" s="394"/>
      <c r="E3455" s="78" t="str">
        <f>IF(C3455="","",IFERROR(VLOOKUP(C3455,parametros!$A$11:$E$15,5,0),""))</f>
        <v/>
      </c>
      <c r="F3455" s="79" t="str">
        <f t="shared" si="267"/>
        <v/>
      </c>
      <c r="G3455" s="395"/>
      <c r="H3455" s="91">
        <f t="shared" si="268"/>
        <v>0</v>
      </c>
      <c r="I3455" s="91" t="str">
        <f t="shared" si="269"/>
        <v/>
      </c>
      <c r="J3455" s="91" t="str">
        <f t="shared" si="270"/>
        <v/>
      </c>
      <c r="K3455" s="92" t="str">
        <f>IF(AND(A3455="",B3455="",D3455="",G3455=""),"",IF(AND(A3455&lt;&gt;"",COUNTIF($A$2:$A$5001,A3455)&gt;1),"NUMERO_PC duplicado",IF(B3455="","DATA_PC vazia",IF(NOT(ISNUMBER(B3455)),"DATA_PC invalida",IF(OR(C3455="",C3455="Fora dos ciclos"),"CICLO_PC nao identificado",IF(OR(D3455="",D3455=0),"VALOR_PC vazio ou zero",IF(AND(G3455&lt;&gt;"Sim",G3455&lt;&gt;"Nao",G3455&lt;&gt;""),"PC_PAGO_A_CONTRATADA invalido",IF(AND(C3455&lt;&gt;"C0",IFERROR(INDEX(parametros!$A$2:$A$6,MATCH(C3455,parametros!$B$2:$B$6,0)),"")="Sim",IFERROR(INDEX(parametros!$H$2:$H$6,MATCH(C3455,parametros!$B$2:$B$6,0)),"")=""),"INICIO_EFEITO ausente: PC "&amp;A3455&amp;" - "&amp;C3455,IF(L3455="","EFEITO_PC nao calculado: PC "&amp;A3455&amp;" - "&amp;C3455,"OK")))))))))</f>
        <v/>
      </c>
      <c r="L3455" s="92" t="str">
        <f>IF(AND(A3455="",B3455="",D3455="",G3455=""),"",IF(OR(B3455="",NOT(ISNUMBER(B3455)),C3455="",C3455="Fora dos ciclos"),"",IF(C3455="C0","Nao",IF(IFERROR(INDEX(parametros!$A$2:$A$6,MATCH(C3455,parametros!$B$2:$B$6,0)),"")&lt;&gt;"Sim","Nao",IF(IFERROR(INDEX(parametros!$H$2:$H$6,MATCH(C3455,parametros!$B$2:$B$6,0)),"")="","",IF(B3455&gt;=IFERROR(INDEX(parametros!$H$2:$H$6,MATCH(C3455,parametros!$B$2:$B$6,0)),""),"Sim","Nao"))))))</f>
        <v/>
      </c>
      <c r="T3455" s="156"/>
      <c r="U3455" s="214" t="str">
        <f t="shared" si="271"/>
        <v/>
      </c>
      <c r="V3455" s="212" t="s">
        <v>50</v>
      </c>
      <c r="W3455" s="100" t="s">
        <v>168</v>
      </c>
      <c r="X3455" s="100" t="s">
        <v>169</v>
      </c>
      <c r="Y3455" s="101" t="s">
        <v>170</v>
      </c>
      <c r="Z3455" s="101" t="s">
        <v>171</v>
      </c>
      <c r="AA3455" s="101" t="s">
        <v>50</v>
      </c>
      <c r="AB3455" s="101" t="s">
        <v>172</v>
      </c>
      <c r="AC3455" s="102" t="s">
        <v>173</v>
      </c>
    </row>
    <row r="3456" spans="1:29" ht="25.5" customHeight="1" x14ac:dyDescent="0.35">
      <c r="A3456" s="392"/>
      <c r="B3456" s="393"/>
      <c r="C3456" s="99" t="str">
        <f>IF(B3456="","",IF(NOT(ISNUMBER(B3456)),"DATA_PC invalida",IF(NOT(ISNUMBER(parametros!$C$2)),"Fora dos ciclos",IF(OR(B3456&lt;parametros!$C$2,(YEAR(B3456)-YEAR(parametros!$C$2))*12+MONTH(B3456)-MONTH(parametros!$C$2)&gt;59),"Fora dos ciclos","C"&amp;INT(((YEAR(B3456)-YEAR(parametros!$C$2))*12+MONTH(B3456)-MONTH(parametros!$C$2))/12)))))</f>
        <v/>
      </c>
      <c r="D3456" s="394"/>
      <c r="E3456" s="78" t="str">
        <f>IF(C3456="","",IFERROR(VLOOKUP(C3456,parametros!$A$11:$E$15,5,0),""))</f>
        <v/>
      </c>
      <c r="F3456" s="79" t="str">
        <f t="shared" si="267"/>
        <v/>
      </c>
      <c r="G3456" s="395"/>
      <c r="H3456" s="91">
        <f t="shared" si="268"/>
        <v>0</v>
      </c>
      <c r="I3456" s="91" t="str">
        <f t="shared" si="269"/>
        <v/>
      </c>
      <c r="J3456" s="91" t="str">
        <f t="shared" si="270"/>
        <v/>
      </c>
      <c r="K3456" s="92" t="str">
        <f>IF(AND(A3456="",B3456="",D3456="",G3456=""),"",IF(AND(A3456&lt;&gt;"",COUNTIF($A$2:$A$5001,A3456)&gt;1),"NUMERO_PC duplicado",IF(B3456="","DATA_PC vazia",IF(NOT(ISNUMBER(B3456)),"DATA_PC invalida",IF(OR(C3456="",C3456="Fora dos ciclos"),"CICLO_PC nao identificado",IF(OR(D3456="",D3456=0),"VALOR_PC vazio ou zero",IF(AND(G3456&lt;&gt;"Sim",G3456&lt;&gt;"Nao",G3456&lt;&gt;""),"PC_PAGO_A_CONTRATADA invalido",IF(AND(C3456&lt;&gt;"C0",IFERROR(INDEX(parametros!$A$2:$A$6,MATCH(C3456,parametros!$B$2:$B$6,0)),"")="Sim",IFERROR(INDEX(parametros!$H$2:$H$6,MATCH(C3456,parametros!$B$2:$B$6,0)),"")=""),"INICIO_EFEITO ausente: PC "&amp;A3456&amp;" - "&amp;C3456,IF(L3456="","EFEITO_PC nao calculado: PC "&amp;A3456&amp;" - "&amp;C3456,"OK")))))))))</f>
        <v/>
      </c>
      <c r="L3456" s="92" t="str">
        <f>IF(AND(A3456="",B3456="",D3456="",G3456=""),"",IF(OR(B3456="",NOT(ISNUMBER(B3456)),C3456="",C3456="Fora dos ciclos"),"",IF(C3456="C0","Nao",IF(IFERROR(INDEX(parametros!$A$2:$A$6,MATCH(C3456,parametros!$B$2:$B$6,0)),"")&lt;&gt;"Sim","Nao",IF(IFERROR(INDEX(parametros!$H$2:$H$6,MATCH(C3456,parametros!$B$2:$B$6,0)),"")="","",IF(B3456&gt;=IFERROR(INDEX(parametros!$H$2:$H$6,MATCH(C3456,parametros!$B$2:$B$6,0)),""),"Sim","Nao"))))))</f>
        <v/>
      </c>
      <c r="T3456" s="156"/>
      <c r="U3456" s="214" t="str">
        <f t="shared" si="271"/>
        <v/>
      </c>
      <c r="V3456" s="212" t="s">
        <v>50</v>
      </c>
      <c r="W3456" s="100" t="s">
        <v>168</v>
      </c>
      <c r="X3456" s="100" t="s">
        <v>169</v>
      </c>
      <c r="Y3456" s="101" t="s">
        <v>170</v>
      </c>
      <c r="Z3456" s="101" t="s">
        <v>171</v>
      </c>
      <c r="AA3456" s="101" t="s">
        <v>50</v>
      </c>
      <c r="AB3456" s="101" t="s">
        <v>172</v>
      </c>
      <c r="AC3456" s="102" t="s">
        <v>173</v>
      </c>
    </row>
    <row r="3457" spans="1:29" ht="25.5" customHeight="1" x14ac:dyDescent="0.35">
      <c r="A3457" s="392"/>
      <c r="B3457" s="393"/>
      <c r="C3457" s="99" t="str">
        <f>IF(B3457="","",IF(NOT(ISNUMBER(B3457)),"DATA_PC invalida",IF(NOT(ISNUMBER(parametros!$C$2)),"Fora dos ciclos",IF(OR(B3457&lt;parametros!$C$2,(YEAR(B3457)-YEAR(parametros!$C$2))*12+MONTH(B3457)-MONTH(parametros!$C$2)&gt;59),"Fora dos ciclos","C"&amp;INT(((YEAR(B3457)-YEAR(parametros!$C$2))*12+MONTH(B3457)-MONTH(parametros!$C$2))/12)))))</f>
        <v/>
      </c>
      <c r="D3457" s="394"/>
      <c r="E3457" s="78" t="str">
        <f>IF(C3457="","",IFERROR(VLOOKUP(C3457,parametros!$A$11:$E$15,5,0),""))</f>
        <v/>
      </c>
      <c r="F3457" s="79" t="str">
        <f t="shared" si="267"/>
        <v/>
      </c>
      <c r="G3457" s="395"/>
      <c r="H3457" s="91">
        <f t="shared" si="268"/>
        <v>0</v>
      </c>
      <c r="I3457" s="91" t="str">
        <f t="shared" si="269"/>
        <v/>
      </c>
      <c r="J3457" s="91" t="str">
        <f t="shared" si="270"/>
        <v/>
      </c>
      <c r="K3457" s="92" t="str">
        <f>IF(AND(A3457="",B3457="",D3457="",G3457=""),"",IF(AND(A3457&lt;&gt;"",COUNTIF($A$2:$A$5001,A3457)&gt;1),"NUMERO_PC duplicado",IF(B3457="","DATA_PC vazia",IF(NOT(ISNUMBER(B3457)),"DATA_PC invalida",IF(OR(C3457="",C3457="Fora dos ciclos"),"CICLO_PC nao identificado",IF(OR(D3457="",D3457=0),"VALOR_PC vazio ou zero",IF(AND(G3457&lt;&gt;"Sim",G3457&lt;&gt;"Nao",G3457&lt;&gt;""),"PC_PAGO_A_CONTRATADA invalido",IF(AND(C3457&lt;&gt;"C0",IFERROR(INDEX(parametros!$A$2:$A$6,MATCH(C3457,parametros!$B$2:$B$6,0)),"")="Sim",IFERROR(INDEX(parametros!$H$2:$H$6,MATCH(C3457,parametros!$B$2:$B$6,0)),"")=""),"INICIO_EFEITO ausente: PC "&amp;A3457&amp;" - "&amp;C3457,IF(L3457="","EFEITO_PC nao calculado: PC "&amp;A3457&amp;" - "&amp;C3457,"OK")))))))))</f>
        <v/>
      </c>
      <c r="L3457" s="92" t="str">
        <f>IF(AND(A3457="",B3457="",D3457="",G3457=""),"",IF(OR(B3457="",NOT(ISNUMBER(B3457)),C3457="",C3457="Fora dos ciclos"),"",IF(C3457="C0","Nao",IF(IFERROR(INDEX(parametros!$A$2:$A$6,MATCH(C3457,parametros!$B$2:$B$6,0)),"")&lt;&gt;"Sim","Nao",IF(IFERROR(INDEX(parametros!$H$2:$H$6,MATCH(C3457,parametros!$B$2:$B$6,0)),"")="","",IF(B3457&gt;=IFERROR(INDEX(parametros!$H$2:$H$6,MATCH(C3457,parametros!$B$2:$B$6,0)),""),"Sim","Nao"))))))</f>
        <v/>
      </c>
      <c r="T3457" s="156"/>
      <c r="U3457" s="214" t="str">
        <f t="shared" si="271"/>
        <v/>
      </c>
      <c r="V3457" s="212" t="s">
        <v>50</v>
      </c>
      <c r="W3457" s="100" t="s">
        <v>168</v>
      </c>
      <c r="X3457" s="100" t="s">
        <v>169</v>
      </c>
      <c r="Y3457" s="101" t="s">
        <v>170</v>
      </c>
      <c r="Z3457" s="101" t="s">
        <v>171</v>
      </c>
      <c r="AA3457" s="101" t="s">
        <v>50</v>
      </c>
      <c r="AB3457" s="101" t="s">
        <v>172</v>
      </c>
      <c r="AC3457" s="102" t="s">
        <v>173</v>
      </c>
    </row>
    <row r="3458" spans="1:29" ht="25.5" customHeight="1" x14ac:dyDescent="0.35">
      <c r="A3458" s="392"/>
      <c r="B3458" s="393"/>
      <c r="C3458" s="99" t="str">
        <f>IF(B3458="","",IF(NOT(ISNUMBER(B3458)),"DATA_PC invalida",IF(NOT(ISNUMBER(parametros!$C$2)),"Fora dos ciclos",IF(OR(B3458&lt;parametros!$C$2,(YEAR(B3458)-YEAR(parametros!$C$2))*12+MONTH(B3458)-MONTH(parametros!$C$2)&gt;59),"Fora dos ciclos","C"&amp;INT(((YEAR(B3458)-YEAR(parametros!$C$2))*12+MONTH(B3458)-MONTH(parametros!$C$2))/12)))))</f>
        <v/>
      </c>
      <c r="D3458" s="394"/>
      <c r="E3458" s="78" t="str">
        <f>IF(C3458="","",IFERROR(VLOOKUP(C3458,parametros!$A$11:$E$15,5,0),""))</f>
        <v/>
      </c>
      <c r="F3458" s="79" t="str">
        <f t="shared" ref="F3458:F3521" si="272">IF(OR(D3458="",E3458=""),"",ROUND(D3458*E3458,2))</f>
        <v/>
      </c>
      <c r="G3458" s="395"/>
      <c r="H3458" s="91">
        <f t="shared" ref="H3458:H3521" si="273">IF(G3458="Sim",IF(OR(F3458="",D3458="",L3458=""),"",IF(L3458="Sim",ROUND(F3458-D3458,2),0)),0)</f>
        <v>0</v>
      </c>
      <c r="I3458" s="91" t="str">
        <f t="shared" ref="I3458:I3521" si="274">IF(G3458="Sim",0,IF(OR(F3458="",L3458=""),"",F3458))</f>
        <v/>
      </c>
      <c r="J3458" s="91" t="str">
        <f t="shared" ref="J3458:J3521" si="275">IF(G3458="Sim",0,IF(OR(F3458="",D3458="",L3458=""),"",IF(L3458="Sim",ROUND(F3458-D3458,2),0)))</f>
        <v/>
      </c>
      <c r="K3458" s="92" t="str">
        <f>IF(AND(A3458="",B3458="",D3458="",G3458=""),"",IF(AND(A3458&lt;&gt;"",COUNTIF($A$2:$A$5001,A3458)&gt;1),"NUMERO_PC duplicado",IF(B3458="","DATA_PC vazia",IF(NOT(ISNUMBER(B3458)),"DATA_PC invalida",IF(OR(C3458="",C3458="Fora dos ciclos"),"CICLO_PC nao identificado",IF(OR(D3458="",D3458=0),"VALOR_PC vazio ou zero",IF(AND(G3458&lt;&gt;"Sim",G3458&lt;&gt;"Nao",G3458&lt;&gt;""),"PC_PAGO_A_CONTRATADA invalido",IF(AND(C3458&lt;&gt;"C0",IFERROR(INDEX(parametros!$A$2:$A$6,MATCH(C3458,parametros!$B$2:$B$6,0)),"")="Sim",IFERROR(INDEX(parametros!$H$2:$H$6,MATCH(C3458,parametros!$B$2:$B$6,0)),"")=""),"INICIO_EFEITO ausente: PC "&amp;A3458&amp;" - "&amp;C3458,IF(L3458="","EFEITO_PC nao calculado: PC "&amp;A3458&amp;" - "&amp;C3458,"OK")))))))))</f>
        <v/>
      </c>
      <c r="L3458" s="92" t="str">
        <f>IF(AND(A3458="",B3458="",D3458="",G3458=""),"",IF(OR(B3458="",NOT(ISNUMBER(B3458)),C3458="",C3458="Fora dos ciclos"),"",IF(C3458="C0","Nao",IF(IFERROR(INDEX(parametros!$A$2:$A$6,MATCH(C3458,parametros!$B$2:$B$6,0)),"")&lt;&gt;"Sim","Nao",IF(IFERROR(INDEX(parametros!$H$2:$H$6,MATCH(C3458,parametros!$B$2:$B$6,0)),"")="","",IF(B3458&gt;=IFERROR(INDEX(parametros!$H$2:$H$6,MATCH(C3458,parametros!$B$2:$B$6,0)),""),"Sim","Nao"))))))</f>
        <v/>
      </c>
      <c r="T3458" s="156"/>
      <c r="U3458" s="214" t="str">
        <f t="shared" ref="U3458:U3521" si="276">IF(OR($D3458="",$H3458=""),"",ROUND($D3458+$H3458,2))</f>
        <v/>
      </c>
      <c r="V3458" s="212" t="s">
        <v>50</v>
      </c>
      <c r="W3458" s="100" t="s">
        <v>168</v>
      </c>
      <c r="X3458" s="100" t="s">
        <v>169</v>
      </c>
      <c r="Y3458" s="101" t="s">
        <v>170</v>
      </c>
      <c r="Z3458" s="101" t="s">
        <v>171</v>
      </c>
      <c r="AA3458" s="101" t="s">
        <v>50</v>
      </c>
      <c r="AB3458" s="101" t="s">
        <v>172</v>
      </c>
      <c r="AC3458" s="102" t="s">
        <v>173</v>
      </c>
    </row>
    <row r="3459" spans="1:29" ht="25.5" customHeight="1" x14ac:dyDescent="0.35">
      <c r="A3459" s="392"/>
      <c r="B3459" s="393"/>
      <c r="C3459" s="99" t="str">
        <f>IF(B3459="","",IF(NOT(ISNUMBER(B3459)),"DATA_PC invalida",IF(NOT(ISNUMBER(parametros!$C$2)),"Fora dos ciclos",IF(OR(B3459&lt;parametros!$C$2,(YEAR(B3459)-YEAR(parametros!$C$2))*12+MONTH(B3459)-MONTH(parametros!$C$2)&gt;59),"Fora dos ciclos","C"&amp;INT(((YEAR(B3459)-YEAR(parametros!$C$2))*12+MONTH(B3459)-MONTH(parametros!$C$2))/12)))))</f>
        <v/>
      </c>
      <c r="D3459" s="394"/>
      <c r="E3459" s="78" t="str">
        <f>IF(C3459="","",IFERROR(VLOOKUP(C3459,parametros!$A$11:$E$15,5,0),""))</f>
        <v/>
      </c>
      <c r="F3459" s="79" t="str">
        <f t="shared" si="272"/>
        <v/>
      </c>
      <c r="G3459" s="395"/>
      <c r="H3459" s="91">
        <f t="shared" si="273"/>
        <v>0</v>
      </c>
      <c r="I3459" s="91" t="str">
        <f t="shared" si="274"/>
        <v/>
      </c>
      <c r="J3459" s="91" t="str">
        <f t="shared" si="275"/>
        <v/>
      </c>
      <c r="K3459" s="92" t="str">
        <f>IF(AND(A3459="",B3459="",D3459="",G3459=""),"",IF(AND(A3459&lt;&gt;"",COUNTIF($A$2:$A$5001,A3459)&gt;1),"NUMERO_PC duplicado",IF(B3459="","DATA_PC vazia",IF(NOT(ISNUMBER(B3459)),"DATA_PC invalida",IF(OR(C3459="",C3459="Fora dos ciclos"),"CICLO_PC nao identificado",IF(OR(D3459="",D3459=0),"VALOR_PC vazio ou zero",IF(AND(G3459&lt;&gt;"Sim",G3459&lt;&gt;"Nao",G3459&lt;&gt;""),"PC_PAGO_A_CONTRATADA invalido",IF(AND(C3459&lt;&gt;"C0",IFERROR(INDEX(parametros!$A$2:$A$6,MATCH(C3459,parametros!$B$2:$B$6,0)),"")="Sim",IFERROR(INDEX(parametros!$H$2:$H$6,MATCH(C3459,parametros!$B$2:$B$6,0)),"")=""),"INICIO_EFEITO ausente: PC "&amp;A3459&amp;" - "&amp;C3459,IF(L3459="","EFEITO_PC nao calculado: PC "&amp;A3459&amp;" - "&amp;C3459,"OK")))))))))</f>
        <v/>
      </c>
      <c r="L3459" s="92" t="str">
        <f>IF(AND(A3459="",B3459="",D3459="",G3459=""),"",IF(OR(B3459="",NOT(ISNUMBER(B3459)),C3459="",C3459="Fora dos ciclos"),"",IF(C3459="C0","Nao",IF(IFERROR(INDEX(parametros!$A$2:$A$6,MATCH(C3459,parametros!$B$2:$B$6,0)),"")&lt;&gt;"Sim","Nao",IF(IFERROR(INDEX(parametros!$H$2:$H$6,MATCH(C3459,parametros!$B$2:$B$6,0)),"")="","",IF(B3459&gt;=IFERROR(INDEX(parametros!$H$2:$H$6,MATCH(C3459,parametros!$B$2:$B$6,0)),""),"Sim","Nao"))))))</f>
        <v/>
      </c>
      <c r="T3459" s="156"/>
      <c r="U3459" s="214" t="str">
        <f t="shared" si="276"/>
        <v/>
      </c>
      <c r="V3459" s="212" t="s">
        <v>50</v>
      </c>
      <c r="W3459" s="100" t="s">
        <v>168</v>
      </c>
      <c r="X3459" s="100" t="s">
        <v>169</v>
      </c>
      <c r="Y3459" s="101" t="s">
        <v>170</v>
      </c>
      <c r="Z3459" s="101" t="s">
        <v>171</v>
      </c>
      <c r="AA3459" s="101" t="s">
        <v>50</v>
      </c>
      <c r="AB3459" s="101" t="s">
        <v>172</v>
      </c>
      <c r="AC3459" s="102" t="s">
        <v>173</v>
      </c>
    </row>
    <row r="3460" spans="1:29" ht="25.5" customHeight="1" x14ac:dyDescent="0.35">
      <c r="A3460" s="392"/>
      <c r="B3460" s="393"/>
      <c r="C3460" s="99" t="str">
        <f>IF(B3460="","",IF(NOT(ISNUMBER(B3460)),"DATA_PC invalida",IF(NOT(ISNUMBER(parametros!$C$2)),"Fora dos ciclos",IF(OR(B3460&lt;parametros!$C$2,(YEAR(B3460)-YEAR(parametros!$C$2))*12+MONTH(B3460)-MONTH(parametros!$C$2)&gt;59),"Fora dos ciclos","C"&amp;INT(((YEAR(B3460)-YEAR(parametros!$C$2))*12+MONTH(B3460)-MONTH(parametros!$C$2))/12)))))</f>
        <v/>
      </c>
      <c r="D3460" s="394"/>
      <c r="E3460" s="78" t="str">
        <f>IF(C3460="","",IFERROR(VLOOKUP(C3460,parametros!$A$11:$E$15,5,0),""))</f>
        <v/>
      </c>
      <c r="F3460" s="79" t="str">
        <f t="shared" si="272"/>
        <v/>
      </c>
      <c r="G3460" s="395"/>
      <c r="H3460" s="91">
        <f t="shared" si="273"/>
        <v>0</v>
      </c>
      <c r="I3460" s="91" t="str">
        <f t="shared" si="274"/>
        <v/>
      </c>
      <c r="J3460" s="91" t="str">
        <f t="shared" si="275"/>
        <v/>
      </c>
      <c r="K3460" s="92" t="str">
        <f>IF(AND(A3460="",B3460="",D3460="",G3460=""),"",IF(AND(A3460&lt;&gt;"",COUNTIF($A$2:$A$5001,A3460)&gt;1),"NUMERO_PC duplicado",IF(B3460="","DATA_PC vazia",IF(NOT(ISNUMBER(B3460)),"DATA_PC invalida",IF(OR(C3460="",C3460="Fora dos ciclos"),"CICLO_PC nao identificado",IF(OR(D3460="",D3460=0),"VALOR_PC vazio ou zero",IF(AND(G3460&lt;&gt;"Sim",G3460&lt;&gt;"Nao",G3460&lt;&gt;""),"PC_PAGO_A_CONTRATADA invalido",IF(AND(C3460&lt;&gt;"C0",IFERROR(INDEX(parametros!$A$2:$A$6,MATCH(C3460,parametros!$B$2:$B$6,0)),"")="Sim",IFERROR(INDEX(parametros!$H$2:$H$6,MATCH(C3460,parametros!$B$2:$B$6,0)),"")=""),"INICIO_EFEITO ausente: PC "&amp;A3460&amp;" - "&amp;C3460,IF(L3460="","EFEITO_PC nao calculado: PC "&amp;A3460&amp;" - "&amp;C3460,"OK")))))))))</f>
        <v/>
      </c>
      <c r="L3460" s="92" t="str">
        <f>IF(AND(A3460="",B3460="",D3460="",G3460=""),"",IF(OR(B3460="",NOT(ISNUMBER(B3460)),C3460="",C3460="Fora dos ciclos"),"",IF(C3460="C0","Nao",IF(IFERROR(INDEX(parametros!$A$2:$A$6,MATCH(C3460,parametros!$B$2:$B$6,0)),"")&lt;&gt;"Sim","Nao",IF(IFERROR(INDEX(parametros!$H$2:$H$6,MATCH(C3460,parametros!$B$2:$B$6,0)),"")="","",IF(B3460&gt;=IFERROR(INDEX(parametros!$H$2:$H$6,MATCH(C3460,parametros!$B$2:$B$6,0)),""),"Sim","Nao"))))))</f>
        <v/>
      </c>
      <c r="T3460" s="156"/>
      <c r="U3460" s="214" t="str">
        <f t="shared" si="276"/>
        <v/>
      </c>
      <c r="V3460" s="212" t="s">
        <v>50</v>
      </c>
      <c r="W3460" s="100" t="s">
        <v>168</v>
      </c>
      <c r="X3460" s="100" t="s">
        <v>169</v>
      </c>
      <c r="Y3460" s="101" t="s">
        <v>170</v>
      </c>
      <c r="Z3460" s="101" t="s">
        <v>171</v>
      </c>
      <c r="AA3460" s="101" t="s">
        <v>50</v>
      </c>
      <c r="AB3460" s="101" t="s">
        <v>172</v>
      </c>
      <c r="AC3460" s="102" t="s">
        <v>173</v>
      </c>
    </row>
    <row r="3461" spans="1:29" ht="25.5" customHeight="1" x14ac:dyDescent="0.35">
      <c r="A3461" s="392"/>
      <c r="B3461" s="393"/>
      <c r="C3461" s="99" t="str">
        <f>IF(B3461="","",IF(NOT(ISNUMBER(B3461)),"DATA_PC invalida",IF(NOT(ISNUMBER(parametros!$C$2)),"Fora dos ciclos",IF(OR(B3461&lt;parametros!$C$2,(YEAR(B3461)-YEAR(parametros!$C$2))*12+MONTH(B3461)-MONTH(parametros!$C$2)&gt;59),"Fora dos ciclos","C"&amp;INT(((YEAR(B3461)-YEAR(parametros!$C$2))*12+MONTH(B3461)-MONTH(parametros!$C$2))/12)))))</f>
        <v/>
      </c>
      <c r="D3461" s="394"/>
      <c r="E3461" s="78" t="str">
        <f>IF(C3461="","",IFERROR(VLOOKUP(C3461,parametros!$A$11:$E$15,5,0),""))</f>
        <v/>
      </c>
      <c r="F3461" s="79" t="str">
        <f t="shared" si="272"/>
        <v/>
      </c>
      <c r="G3461" s="395"/>
      <c r="H3461" s="91">
        <f t="shared" si="273"/>
        <v>0</v>
      </c>
      <c r="I3461" s="91" t="str">
        <f t="shared" si="274"/>
        <v/>
      </c>
      <c r="J3461" s="91" t="str">
        <f t="shared" si="275"/>
        <v/>
      </c>
      <c r="K3461" s="92" t="str">
        <f>IF(AND(A3461="",B3461="",D3461="",G3461=""),"",IF(AND(A3461&lt;&gt;"",COUNTIF($A$2:$A$5001,A3461)&gt;1),"NUMERO_PC duplicado",IF(B3461="","DATA_PC vazia",IF(NOT(ISNUMBER(B3461)),"DATA_PC invalida",IF(OR(C3461="",C3461="Fora dos ciclos"),"CICLO_PC nao identificado",IF(OR(D3461="",D3461=0),"VALOR_PC vazio ou zero",IF(AND(G3461&lt;&gt;"Sim",G3461&lt;&gt;"Nao",G3461&lt;&gt;""),"PC_PAGO_A_CONTRATADA invalido",IF(AND(C3461&lt;&gt;"C0",IFERROR(INDEX(parametros!$A$2:$A$6,MATCH(C3461,parametros!$B$2:$B$6,0)),"")="Sim",IFERROR(INDEX(parametros!$H$2:$H$6,MATCH(C3461,parametros!$B$2:$B$6,0)),"")=""),"INICIO_EFEITO ausente: PC "&amp;A3461&amp;" - "&amp;C3461,IF(L3461="","EFEITO_PC nao calculado: PC "&amp;A3461&amp;" - "&amp;C3461,"OK")))))))))</f>
        <v/>
      </c>
      <c r="L3461" s="92" t="str">
        <f>IF(AND(A3461="",B3461="",D3461="",G3461=""),"",IF(OR(B3461="",NOT(ISNUMBER(B3461)),C3461="",C3461="Fora dos ciclos"),"",IF(C3461="C0","Nao",IF(IFERROR(INDEX(parametros!$A$2:$A$6,MATCH(C3461,parametros!$B$2:$B$6,0)),"")&lt;&gt;"Sim","Nao",IF(IFERROR(INDEX(parametros!$H$2:$H$6,MATCH(C3461,parametros!$B$2:$B$6,0)),"")="","",IF(B3461&gt;=IFERROR(INDEX(parametros!$H$2:$H$6,MATCH(C3461,parametros!$B$2:$B$6,0)),""),"Sim","Nao"))))))</f>
        <v/>
      </c>
      <c r="T3461" s="156"/>
      <c r="U3461" s="214" t="str">
        <f t="shared" si="276"/>
        <v/>
      </c>
      <c r="V3461" s="212" t="s">
        <v>50</v>
      </c>
      <c r="W3461" s="100" t="s">
        <v>168</v>
      </c>
      <c r="X3461" s="100" t="s">
        <v>169</v>
      </c>
      <c r="Y3461" s="101" t="s">
        <v>170</v>
      </c>
      <c r="Z3461" s="101" t="s">
        <v>171</v>
      </c>
      <c r="AA3461" s="101" t="s">
        <v>50</v>
      </c>
      <c r="AB3461" s="101" t="s">
        <v>172</v>
      </c>
      <c r="AC3461" s="102" t="s">
        <v>173</v>
      </c>
    </row>
    <row r="3462" spans="1:29" ht="25.5" customHeight="1" x14ac:dyDescent="0.35">
      <c r="A3462" s="392"/>
      <c r="B3462" s="393"/>
      <c r="C3462" s="99" t="str">
        <f>IF(B3462="","",IF(NOT(ISNUMBER(B3462)),"DATA_PC invalida",IF(NOT(ISNUMBER(parametros!$C$2)),"Fora dos ciclos",IF(OR(B3462&lt;parametros!$C$2,(YEAR(B3462)-YEAR(parametros!$C$2))*12+MONTH(B3462)-MONTH(parametros!$C$2)&gt;59),"Fora dos ciclos","C"&amp;INT(((YEAR(B3462)-YEAR(parametros!$C$2))*12+MONTH(B3462)-MONTH(parametros!$C$2))/12)))))</f>
        <v/>
      </c>
      <c r="D3462" s="394"/>
      <c r="E3462" s="78" t="str">
        <f>IF(C3462="","",IFERROR(VLOOKUP(C3462,parametros!$A$11:$E$15,5,0),""))</f>
        <v/>
      </c>
      <c r="F3462" s="79" t="str">
        <f t="shared" si="272"/>
        <v/>
      </c>
      <c r="G3462" s="395"/>
      <c r="H3462" s="91">
        <f t="shared" si="273"/>
        <v>0</v>
      </c>
      <c r="I3462" s="91" t="str">
        <f t="shared" si="274"/>
        <v/>
      </c>
      <c r="J3462" s="91" t="str">
        <f t="shared" si="275"/>
        <v/>
      </c>
      <c r="K3462" s="92" t="str">
        <f>IF(AND(A3462="",B3462="",D3462="",G3462=""),"",IF(AND(A3462&lt;&gt;"",COUNTIF($A$2:$A$5001,A3462)&gt;1),"NUMERO_PC duplicado",IF(B3462="","DATA_PC vazia",IF(NOT(ISNUMBER(B3462)),"DATA_PC invalida",IF(OR(C3462="",C3462="Fora dos ciclos"),"CICLO_PC nao identificado",IF(OR(D3462="",D3462=0),"VALOR_PC vazio ou zero",IF(AND(G3462&lt;&gt;"Sim",G3462&lt;&gt;"Nao",G3462&lt;&gt;""),"PC_PAGO_A_CONTRATADA invalido",IF(AND(C3462&lt;&gt;"C0",IFERROR(INDEX(parametros!$A$2:$A$6,MATCH(C3462,parametros!$B$2:$B$6,0)),"")="Sim",IFERROR(INDEX(parametros!$H$2:$H$6,MATCH(C3462,parametros!$B$2:$B$6,0)),"")=""),"INICIO_EFEITO ausente: PC "&amp;A3462&amp;" - "&amp;C3462,IF(L3462="","EFEITO_PC nao calculado: PC "&amp;A3462&amp;" - "&amp;C3462,"OK")))))))))</f>
        <v/>
      </c>
      <c r="L3462" s="92" t="str">
        <f>IF(AND(A3462="",B3462="",D3462="",G3462=""),"",IF(OR(B3462="",NOT(ISNUMBER(B3462)),C3462="",C3462="Fora dos ciclos"),"",IF(C3462="C0","Nao",IF(IFERROR(INDEX(parametros!$A$2:$A$6,MATCH(C3462,parametros!$B$2:$B$6,0)),"")&lt;&gt;"Sim","Nao",IF(IFERROR(INDEX(parametros!$H$2:$H$6,MATCH(C3462,parametros!$B$2:$B$6,0)),"")="","",IF(B3462&gt;=IFERROR(INDEX(parametros!$H$2:$H$6,MATCH(C3462,parametros!$B$2:$B$6,0)),""),"Sim","Nao"))))))</f>
        <v/>
      </c>
      <c r="T3462" s="156"/>
      <c r="U3462" s="214" t="str">
        <f t="shared" si="276"/>
        <v/>
      </c>
      <c r="V3462" s="212" t="s">
        <v>50</v>
      </c>
      <c r="W3462" s="100" t="s">
        <v>168</v>
      </c>
      <c r="X3462" s="100" t="s">
        <v>169</v>
      </c>
      <c r="Y3462" s="101" t="s">
        <v>170</v>
      </c>
      <c r="Z3462" s="101" t="s">
        <v>171</v>
      </c>
      <c r="AA3462" s="101" t="s">
        <v>50</v>
      </c>
      <c r="AB3462" s="101" t="s">
        <v>172</v>
      </c>
      <c r="AC3462" s="102" t="s">
        <v>173</v>
      </c>
    </row>
    <row r="3463" spans="1:29" ht="25.5" customHeight="1" x14ac:dyDescent="0.35">
      <c r="A3463" s="392"/>
      <c r="B3463" s="393"/>
      <c r="C3463" s="99" t="str">
        <f>IF(B3463="","",IF(NOT(ISNUMBER(B3463)),"DATA_PC invalida",IF(NOT(ISNUMBER(parametros!$C$2)),"Fora dos ciclos",IF(OR(B3463&lt;parametros!$C$2,(YEAR(B3463)-YEAR(parametros!$C$2))*12+MONTH(B3463)-MONTH(parametros!$C$2)&gt;59),"Fora dos ciclos","C"&amp;INT(((YEAR(B3463)-YEAR(parametros!$C$2))*12+MONTH(B3463)-MONTH(parametros!$C$2))/12)))))</f>
        <v/>
      </c>
      <c r="D3463" s="394"/>
      <c r="E3463" s="78" t="str">
        <f>IF(C3463="","",IFERROR(VLOOKUP(C3463,parametros!$A$11:$E$15,5,0),""))</f>
        <v/>
      </c>
      <c r="F3463" s="79" t="str">
        <f t="shared" si="272"/>
        <v/>
      </c>
      <c r="G3463" s="395"/>
      <c r="H3463" s="91">
        <f t="shared" si="273"/>
        <v>0</v>
      </c>
      <c r="I3463" s="91" t="str">
        <f t="shared" si="274"/>
        <v/>
      </c>
      <c r="J3463" s="91" t="str">
        <f t="shared" si="275"/>
        <v/>
      </c>
      <c r="K3463" s="92" t="str">
        <f>IF(AND(A3463="",B3463="",D3463="",G3463=""),"",IF(AND(A3463&lt;&gt;"",COUNTIF($A$2:$A$5001,A3463)&gt;1),"NUMERO_PC duplicado",IF(B3463="","DATA_PC vazia",IF(NOT(ISNUMBER(B3463)),"DATA_PC invalida",IF(OR(C3463="",C3463="Fora dos ciclos"),"CICLO_PC nao identificado",IF(OR(D3463="",D3463=0),"VALOR_PC vazio ou zero",IF(AND(G3463&lt;&gt;"Sim",G3463&lt;&gt;"Nao",G3463&lt;&gt;""),"PC_PAGO_A_CONTRATADA invalido",IF(AND(C3463&lt;&gt;"C0",IFERROR(INDEX(parametros!$A$2:$A$6,MATCH(C3463,parametros!$B$2:$B$6,0)),"")="Sim",IFERROR(INDEX(parametros!$H$2:$H$6,MATCH(C3463,parametros!$B$2:$B$6,0)),"")=""),"INICIO_EFEITO ausente: PC "&amp;A3463&amp;" - "&amp;C3463,IF(L3463="","EFEITO_PC nao calculado: PC "&amp;A3463&amp;" - "&amp;C3463,"OK")))))))))</f>
        <v/>
      </c>
      <c r="L3463" s="92" t="str">
        <f>IF(AND(A3463="",B3463="",D3463="",G3463=""),"",IF(OR(B3463="",NOT(ISNUMBER(B3463)),C3463="",C3463="Fora dos ciclos"),"",IF(C3463="C0","Nao",IF(IFERROR(INDEX(parametros!$A$2:$A$6,MATCH(C3463,parametros!$B$2:$B$6,0)),"")&lt;&gt;"Sim","Nao",IF(IFERROR(INDEX(parametros!$H$2:$H$6,MATCH(C3463,parametros!$B$2:$B$6,0)),"")="","",IF(B3463&gt;=IFERROR(INDEX(parametros!$H$2:$H$6,MATCH(C3463,parametros!$B$2:$B$6,0)),""),"Sim","Nao"))))))</f>
        <v/>
      </c>
      <c r="T3463" s="156"/>
      <c r="U3463" s="214" t="str">
        <f t="shared" si="276"/>
        <v/>
      </c>
      <c r="V3463" s="212" t="s">
        <v>50</v>
      </c>
      <c r="W3463" s="100" t="s">
        <v>168</v>
      </c>
      <c r="X3463" s="100" t="s">
        <v>169</v>
      </c>
      <c r="Y3463" s="101" t="s">
        <v>170</v>
      </c>
      <c r="Z3463" s="101" t="s">
        <v>171</v>
      </c>
      <c r="AA3463" s="101" t="s">
        <v>50</v>
      </c>
      <c r="AB3463" s="101" t="s">
        <v>172</v>
      </c>
      <c r="AC3463" s="102" t="s">
        <v>173</v>
      </c>
    </row>
    <row r="3464" spans="1:29" ht="25.5" customHeight="1" x14ac:dyDescent="0.35">
      <c r="A3464" s="392"/>
      <c r="B3464" s="393"/>
      <c r="C3464" s="99" t="str">
        <f>IF(B3464="","",IF(NOT(ISNUMBER(B3464)),"DATA_PC invalida",IF(NOT(ISNUMBER(parametros!$C$2)),"Fora dos ciclos",IF(OR(B3464&lt;parametros!$C$2,(YEAR(B3464)-YEAR(parametros!$C$2))*12+MONTH(B3464)-MONTH(parametros!$C$2)&gt;59),"Fora dos ciclos","C"&amp;INT(((YEAR(B3464)-YEAR(parametros!$C$2))*12+MONTH(B3464)-MONTH(parametros!$C$2))/12)))))</f>
        <v/>
      </c>
      <c r="D3464" s="394"/>
      <c r="E3464" s="78" t="str">
        <f>IF(C3464="","",IFERROR(VLOOKUP(C3464,parametros!$A$11:$E$15,5,0),""))</f>
        <v/>
      </c>
      <c r="F3464" s="79" t="str">
        <f t="shared" si="272"/>
        <v/>
      </c>
      <c r="G3464" s="395"/>
      <c r="H3464" s="91">
        <f t="shared" si="273"/>
        <v>0</v>
      </c>
      <c r="I3464" s="91" t="str">
        <f t="shared" si="274"/>
        <v/>
      </c>
      <c r="J3464" s="91" t="str">
        <f t="shared" si="275"/>
        <v/>
      </c>
      <c r="K3464" s="92" t="str">
        <f>IF(AND(A3464="",B3464="",D3464="",G3464=""),"",IF(AND(A3464&lt;&gt;"",COUNTIF($A$2:$A$5001,A3464)&gt;1),"NUMERO_PC duplicado",IF(B3464="","DATA_PC vazia",IF(NOT(ISNUMBER(B3464)),"DATA_PC invalida",IF(OR(C3464="",C3464="Fora dos ciclos"),"CICLO_PC nao identificado",IF(OR(D3464="",D3464=0),"VALOR_PC vazio ou zero",IF(AND(G3464&lt;&gt;"Sim",G3464&lt;&gt;"Nao",G3464&lt;&gt;""),"PC_PAGO_A_CONTRATADA invalido",IF(AND(C3464&lt;&gt;"C0",IFERROR(INDEX(parametros!$A$2:$A$6,MATCH(C3464,parametros!$B$2:$B$6,0)),"")="Sim",IFERROR(INDEX(parametros!$H$2:$H$6,MATCH(C3464,parametros!$B$2:$B$6,0)),"")=""),"INICIO_EFEITO ausente: PC "&amp;A3464&amp;" - "&amp;C3464,IF(L3464="","EFEITO_PC nao calculado: PC "&amp;A3464&amp;" - "&amp;C3464,"OK")))))))))</f>
        <v/>
      </c>
      <c r="L3464" s="92" t="str">
        <f>IF(AND(A3464="",B3464="",D3464="",G3464=""),"",IF(OR(B3464="",NOT(ISNUMBER(B3464)),C3464="",C3464="Fora dos ciclos"),"",IF(C3464="C0","Nao",IF(IFERROR(INDEX(parametros!$A$2:$A$6,MATCH(C3464,parametros!$B$2:$B$6,0)),"")&lt;&gt;"Sim","Nao",IF(IFERROR(INDEX(parametros!$H$2:$H$6,MATCH(C3464,parametros!$B$2:$B$6,0)),"")="","",IF(B3464&gt;=IFERROR(INDEX(parametros!$H$2:$H$6,MATCH(C3464,parametros!$B$2:$B$6,0)),""),"Sim","Nao"))))))</f>
        <v/>
      </c>
      <c r="T3464" s="156"/>
      <c r="U3464" s="214" t="str">
        <f t="shared" si="276"/>
        <v/>
      </c>
      <c r="V3464" s="212" t="s">
        <v>50</v>
      </c>
      <c r="W3464" s="100" t="s">
        <v>168</v>
      </c>
      <c r="X3464" s="100" t="s">
        <v>169</v>
      </c>
      <c r="Y3464" s="101" t="s">
        <v>170</v>
      </c>
      <c r="Z3464" s="101" t="s">
        <v>171</v>
      </c>
      <c r="AA3464" s="101" t="s">
        <v>50</v>
      </c>
      <c r="AB3464" s="101" t="s">
        <v>172</v>
      </c>
      <c r="AC3464" s="102" t="s">
        <v>173</v>
      </c>
    </row>
    <row r="3465" spans="1:29" ht="25.5" customHeight="1" x14ac:dyDescent="0.35">
      <c r="A3465" s="392"/>
      <c r="B3465" s="393"/>
      <c r="C3465" s="99" t="str">
        <f>IF(B3465="","",IF(NOT(ISNUMBER(B3465)),"DATA_PC invalida",IF(NOT(ISNUMBER(parametros!$C$2)),"Fora dos ciclos",IF(OR(B3465&lt;parametros!$C$2,(YEAR(B3465)-YEAR(parametros!$C$2))*12+MONTH(B3465)-MONTH(parametros!$C$2)&gt;59),"Fora dos ciclos","C"&amp;INT(((YEAR(B3465)-YEAR(parametros!$C$2))*12+MONTH(B3465)-MONTH(parametros!$C$2))/12)))))</f>
        <v/>
      </c>
      <c r="D3465" s="394"/>
      <c r="E3465" s="78" t="str">
        <f>IF(C3465="","",IFERROR(VLOOKUP(C3465,parametros!$A$11:$E$15,5,0),""))</f>
        <v/>
      </c>
      <c r="F3465" s="79" t="str">
        <f t="shared" si="272"/>
        <v/>
      </c>
      <c r="G3465" s="395"/>
      <c r="H3465" s="91">
        <f t="shared" si="273"/>
        <v>0</v>
      </c>
      <c r="I3465" s="91" t="str">
        <f t="shared" si="274"/>
        <v/>
      </c>
      <c r="J3465" s="91" t="str">
        <f t="shared" si="275"/>
        <v/>
      </c>
      <c r="K3465" s="92" t="str">
        <f>IF(AND(A3465="",B3465="",D3465="",G3465=""),"",IF(AND(A3465&lt;&gt;"",COUNTIF($A$2:$A$5001,A3465)&gt;1),"NUMERO_PC duplicado",IF(B3465="","DATA_PC vazia",IF(NOT(ISNUMBER(B3465)),"DATA_PC invalida",IF(OR(C3465="",C3465="Fora dos ciclos"),"CICLO_PC nao identificado",IF(OR(D3465="",D3465=0),"VALOR_PC vazio ou zero",IF(AND(G3465&lt;&gt;"Sim",G3465&lt;&gt;"Nao",G3465&lt;&gt;""),"PC_PAGO_A_CONTRATADA invalido",IF(AND(C3465&lt;&gt;"C0",IFERROR(INDEX(parametros!$A$2:$A$6,MATCH(C3465,parametros!$B$2:$B$6,0)),"")="Sim",IFERROR(INDEX(parametros!$H$2:$H$6,MATCH(C3465,parametros!$B$2:$B$6,0)),"")=""),"INICIO_EFEITO ausente: PC "&amp;A3465&amp;" - "&amp;C3465,IF(L3465="","EFEITO_PC nao calculado: PC "&amp;A3465&amp;" - "&amp;C3465,"OK")))))))))</f>
        <v/>
      </c>
      <c r="L3465" s="92" t="str">
        <f>IF(AND(A3465="",B3465="",D3465="",G3465=""),"",IF(OR(B3465="",NOT(ISNUMBER(B3465)),C3465="",C3465="Fora dos ciclos"),"",IF(C3465="C0","Nao",IF(IFERROR(INDEX(parametros!$A$2:$A$6,MATCH(C3465,parametros!$B$2:$B$6,0)),"")&lt;&gt;"Sim","Nao",IF(IFERROR(INDEX(parametros!$H$2:$H$6,MATCH(C3465,parametros!$B$2:$B$6,0)),"")="","",IF(B3465&gt;=IFERROR(INDEX(parametros!$H$2:$H$6,MATCH(C3465,parametros!$B$2:$B$6,0)),""),"Sim","Nao"))))))</f>
        <v/>
      </c>
      <c r="T3465" s="156"/>
      <c r="U3465" s="214" t="str">
        <f t="shared" si="276"/>
        <v/>
      </c>
      <c r="V3465" s="212" t="s">
        <v>50</v>
      </c>
      <c r="W3465" s="100" t="s">
        <v>168</v>
      </c>
      <c r="X3465" s="100" t="s">
        <v>169</v>
      </c>
      <c r="Y3465" s="101" t="s">
        <v>170</v>
      </c>
      <c r="Z3465" s="101" t="s">
        <v>171</v>
      </c>
      <c r="AA3465" s="101" t="s">
        <v>50</v>
      </c>
      <c r="AB3465" s="101" t="s">
        <v>172</v>
      </c>
      <c r="AC3465" s="102" t="s">
        <v>173</v>
      </c>
    </row>
    <row r="3466" spans="1:29" ht="25.5" customHeight="1" x14ac:dyDescent="0.35">
      <c r="A3466" s="392"/>
      <c r="B3466" s="393"/>
      <c r="C3466" s="99" t="str">
        <f>IF(B3466="","",IF(NOT(ISNUMBER(B3466)),"DATA_PC invalida",IF(NOT(ISNUMBER(parametros!$C$2)),"Fora dos ciclos",IF(OR(B3466&lt;parametros!$C$2,(YEAR(B3466)-YEAR(parametros!$C$2))*12+MONTH(B3466)-MONTH(parametros!$C$2)&gt;59),"Fora dos ciclos","C"&amp;INT(((YEAR(B3466)-YEAR(parametros!$C$2))*12+MONTH(B3466)-MONTH(parametros!$C$2))/12)))))</f>
        <v/>
      </c>
      <c r="D3466" s="394"/>
      <c r="E3466" s="78" t="str">
        <f>IF(C3466="","",IFERROR(VLOOKUP(C3466,parametros!$A$11:$E$15,5,0),""))</f>
        <v/>
      </c>
      <c r="F3466" s="79" t="str">
        <f t="shared" si="272"/>
        <v/>
      </c>
      <c r="G3466" s="395"/>
      <c r="H3466" s="91">
        <f t="shared" si="273"/>
        <v>0</v>
      </c>
      <c r="I3466" s="91" t="str">
        <f t="shared" si="274"/>
        <v/>
      </c>
      <c r="J3466" s="91" t="str">
        <f t="shared" si="275"/>
        <v/>
      </c>
      <c r="K3466" s="92" t="str">
        <f>IF(AND(A3466="",B3466="",D3466="",G3466=""),"",IF(AND(A3466&lt;&gt;"",COUNTIF($A$2:$A$5001,A3466)&gt;1),"NUMERO_PC duplicado",IF(B3466="","DATA_PC vazia",IF(NOT(ISNUMBER(B3466)),"DATA_PC invalida",IF(OR(C3466="",C3466="Fora dos ciclos"),"CICLO_PC nao identificado",IF(OR(D3466="",D3466=0),"VALOR_PC vazio ou zero",IF(AND(G3466&lt;&gt;"Sim",G3466&lt;&gt;"Nao",G3466&lt;&gt;""),"PC_PAGO_A_CONTRATADA invalido",IF(AND(C3466&lt;&gt;"C0",IFERROR(INDEX(parametros!$A$2:$A$6,MATCH(C3466,parametros!$B$2:$B$6,0)),"")="Sim",IFERROR(INDEX(parametros!$H$2:$H$6,MATCH(C3466,parametros!$B$2:$B$6,0)),"")=""),"INICIO_EFEITO ausente: PC "&amp;A3466&amp;" - "&amp;C3466,IF(L3466="","EFEITO_PC nao calculado: PC "&amp;A3466&amp;" - "&amp;C3466,"OK")))))))))</f>
        <v/>
      </c>
      <c r="L3466" s="92" t="str">
        <f>IF(AND(A3466="",B3466="",D3466="",G3466=""),"",IF(OR(B3466="",NOT(ISNUMBER(B3466)),C3466="",C3466="Fora dos ciclos"),"",IF(C3466="C0","Nao",IF(IFERROR(INDEX(parametros!$A$2:$A$6,MATCH(C3466,parametros!$B$2:$B$6,0)),"")&lt;&gt;"Sim","Nao",IF(IFERROR(INDEX(parametros!$H$2:$H$6,MATCH(C3466,parametros!$B$2:$B$6,0)),"")="","",IF(B3466&gt;=IFERROR(INDEX(parametros!$H$2:$H$6,MATCH(C3466,parametros!$B$2:$B$6,0)),""),"Sim","Nao"))))))</f>
        <v/>
      </c>
      <c r="T3466" s="156"/>
      <c r="U3466" s="214" t="str">
        <f t="shared" si="276"/>
        <v/>
      </c>
      <c r="V3466" s="212" t="s">
        <v>50</v>
      </c>
      <c r="W3466" s="100" t="s">
        <v>168</v>
      </c>
      <c r="X3466" s="100" t="s">
        <v>169</v>
      </c>
      <c r="Y3466" s="101" t="s">
        <v>170</v>
      </c>
      <c r="Z3466" s="101" t="s">
        <v>171</v>
      </c>
      <c r="AA3466" s="101" t="s">
        <v>50</v>
      </c>
      <c r="AB3466" s="101" t="s">
        <v>172</v>
      </c>
      <c r="AC3466" s="102" t="s">
        <v>173</v>
      </c>
    </row>
    <row r="3467" spans="1:29" ht="25.5" customHeight="1" x14ac:dyDescent="0.35">
      <c r="A3467" s="392"/>
      <c r="B3467" s="393"/>
      <c r="C3467" s="99" t="str">
        <f>IF(B3467="","",IF(NOT(ISNUMBER(B3467)),"DATA_PC invalida",IF(NOT(ISNUMBER(parametros!$C$2)),"Fora dos ciclos",IF(OR(B3467&lt;parametros!$C$2,(YEAR(B3467)-YEAR(parametros!$C$2))*12+MONTH(B3467)-MONTH(parametros!$C$2)&gt;59),"Fora dos ciclos","C"&amp;INT(((YEAR(B3467)-YEAR(parametros!$C$2))*12+MONTH(B3467)-MONTH(parametros!$C$2))/12)))))</f>
        <v/>
      </c>
      <c r="D3467" s="394"/>
      <c r="E3467" s="78" t="str">
        <f>IF(C3467="","",IFERROR(VLOOKUP(C3467,parametros!$A$11:$E$15,5,0),""))</f>
        <v/>
      </c>
      <c r="F3467" s="79" t="str">
        <f t="shared" si="272"/>
        <v/>
      </c>
      <c r="G3467" s="395"/>
      <c r="H3467" s="91">
        <f t="shared" si="273"/>
        <v>0</v>
      </c>
      <c r="I3467" s="91" t="str">
        <f t="shared" si="274"/>
        <v/>
      </c>
      <c r="J3467" s="91" t="str">
        <f t="shared" si="275"/>
        <v/>
      </c>
      <c r="K3467" s="92" t="str">
        <f>IF(AND(A3467="",B3467="",D3467="",G3467=""),"",IF(AND(A3467&lt;&gt;"",COUNTIF($A$2:$A$5001,A3467)&gt;1),"NUMERO_PC duplicado",IF(B3467="","DATA_PC vazia",IF(NOT(ISNUMBER(B3467)),"DATA_PC invalida",IF(OR(C3467="",C3467="Fora dos ciclos"),"CICLO_PC nao identificado",IF(OR(D3467="",D3467=0),"VALOR_PC vazio ou zero",IF(AND(G3467&lt;&gt;"Sim",G3467&lt;&gt;"Nao",G3467&lt;&gt;""),"PC_PAGO_A_CONTRATADA invalido",IF(AND(C3467&lt;&gt;"C0",IFERROR(INDEX(parametros!$A$2:$A$6,MATCH(C3467,parametros!$B$2:$B$6,0)),"")="Sim",IFERROR(INDEX(parametros!$H$2:$H$6,MATCH(C3467,parametros!$B$2:$B$6,0)),"")=""),"INICIO_EFEITO ausente: PC "&amp;A3467&amp;" - "&amp;C3467,IF(L3467="","EFEITO_PC nao calculado: PC "&amp;A3467&amp;" - "&amp;C3467,"OK")))))))))</f>
        <v/>
      </c>
      <c r="L3467" s="92" t="str">
        <f>IF(AND(A3467="",B3467="",D3467="",G3467=""),"",IF(OR(B3467="",NOT(ISNUMBER(B3467)),C3467="",C3467="Fora dos ciclos"),"",IF(C3467="C0","Nao",IF(IFERROR(INDEX(parametros!$A$2:$A$6,MATCH(C3467,parametros!$B$2:$B$6,0)),"")&lt;&gt;"Sim","Nao",IF(IFERROR(INDEX(parametros!$H$2:$H$6,MATCH(C3467,parametros!$B$2:$B$6,0)),"")="","",IF(B3467&gt;=IFERROR(INDEX(parametros!$H$2:$H$6,MATCH(C3467,parametros!$B$2:$B$6,0)),""),"Sim","Nao"))))))</f>
        <v/>
      </c>
      <c r="T3467" s="156"/>
      <c r="U3467" s="214" t="str">
        <f t="shared" si="276"/>
        <v/>
      </c>
      <c r="V3467" s="212" t="s">
        <v>50</v>
      </c>
      <c r="W3467" s="100" t="s">
        <v>168</v>
      </c>
      <c r="X3467" s="100" t="s">
        <v>169</v>
      </c>
      <c r="Y3467" s="101" t="s">
        <v>170</v>
      </c>
      <c r="Z3467" s="101" t="s">
        <v>171</v>
      </c>
      <c r="AA3467" s="101" t="s">
        <v>50</v>
      </c>
      <c r="AB3467" s="101" t="s">
        <v>172</v>
      </c>
      <c r="AC3467" s="102" t="s">
        <v>173</v>
      </c>
    </row>
    <row r="3468" spans="1:29" ht="25.5" customHeight="1" x14ac:dyDescent="0.35">
      <c r="A3468" s="392"/>
      <c r="B3468" s="393"/>
      <c r="C3468" s="99" t="str">
        <f>IF(B3468="","",IF(NOT(ISNUMBER(B3468)),"DATA_PC invalida",IF(NOT(ISNUMBER(parametros!$C$2)),"Fora dos ciclos",IF(OR(B3468&lt;parametros!$C$2,(YEAR(B3468)-YEAR(parametros!$C$2))*12+MONTH(B3468)-MONTH(parametros!$C$2)&gt;59),"Fora dos ciclos","C"&amp;INT(((YEAR(B3468)-YEAR(parametros!$C$2))*12+MONTH(B3468)-MONTH(parametros!$C$2))/12)))))</f>
        <v/>
      </c>
      <c r="D3468" s="394"/>
      <c r="E3468" s="78" t="str">
        <f>IF(C3468="","",IFERROR(VLOOKUP(C3468,parametros!$A$11:$E$15,5,0),""))</f>
        <v/>
      </c>
      <c r="F3468" s="79" t="str">
        <f t="shared" si="272"/>
        <v/>
      </c>
      <c r="G3468" s="395"/>
      <c r="H3468" s="91">
        <f t="shared" si="273"/>
        <v>0</v>
      </c>
      <c r="I3468" s="91" t="str">
        <f t="shared" si="274"/>
        <v/>
      </c>
      <c r="J3468" s="91" t="str">
        <f t="shared" si="275"/>
        <v/>
      </c>
      <c r="K3468" s="92" t="str">
        <f>IF(AND(A3468="",B3468="",D3468="",G3468=""),"",IF(AND(A3468&lt;&gt;"",COUNTIF($A$2:$A$5001,A3468)&gt;1),"NUMERO_PC duplicado",IF(B3468="","DATA_PC vazia",IF(NOT(ISNUMBER(B3468)),"DATA_PC invalida",IF(OR(C3468="",C3468="Fora dos ciclos"),"CICLO_PC nao identificado",IF(OR(D3468="",D3468=0),"VALOR_PC vazio ou zero",IF(AND(G3468&lt;&gt;"Sim",G3468&lt;&gt;"Nao",G3468&lt;&gt;""),"PC_PAGO_A_CONTRATADA invalido",IF(AND(C3468&lt;&gt;"C0",IFERROR(INDEX(parametros!$A$2:$A$6,MATCH(C3468,parametros!$B$2:$B$6,0)),"")="Sim",IFERROR(INDEX(parametros!$H$2:$H$6,MATCH(C3468,parametros!$B$2:$B$6,0)),"")=""),"INICIO_EFEITO ausente: PC "&amp;A3468&amp;" - "&amp;C3468,IF(L3468="","EFEITO_PC nao calculado: PC "&amp;A3468&amp;" - "&amp;C3468,"OK")))))))))</f>
        <v/>
      </c>
      <c r="L3468" s="92" t="str">
        <f>IF(AND(A3468="",B3468="",D3468="",G3468=""),"",IF(OR(B3468="",NOT(ISNUMBER(B3468)),C3468="",C3468="Fora dos ciclos"),"",IF(C3468="C0","Nao",IF(IFERROR(INDEX(parametros!$A$2:$A$6,MATCH(C3468,parametros!$B$2:$B$6,0)),"")&lt;&gt;"Sim","Nao",IF(IFERROR(INDEX(parametros!$H$2:$H$6,MATCH(C3468,parametros!$B$2:$B$6,0)),"")="","",IF(B3468&gt;=IFERROR(INDEX(parametros!$H$2:$H$6,MATCH(C3468,parametros!$B$2:$B$6,0)),""),"Sim","Nao"))))))</f>
        <v/>
      </c>
      <c r="T3468" s="156"/>
      <c r="U3468" s="214" t="str">
        <f t="shared" si="276"/>
        <v/>
      </c>
      <c r="V3468" s="212" t="s">
        <v>50</v>
      </c>
      <c r="W3468" s="100" t="s">
        <v>168</v>
      </c>
      <c r="X3468" s="100" t="s">
        <v>169</v>
      </c>
      <c r="Y3468" s="101" t="s">
        <v>170</v>
      </c>
      <c r="Z3468" s="101" t="s">
        <v>171</v>
      </c>
      <c r="AA3468" s="101" t="s">
        <v>50</v>
      </c>
      <c r="AB3468" s="101" t="s">
        <v>172</v>
      </c>
      <c r="AC3468" s="102" t="s">
        <v>173</v>
      </c>
    </row>
    <row r="3469" spans="1:29" ht="25.5" customHeight="1" x14ac:dyDescent="0.35">
      <c r="A3469" s="392"/>
      <c r="B3469" s="393"/>
      <c r="C3469" s="99" t="str">
        <f>IF(B3469="","",IF(NOT(ISNUMBER(B3469)),"DATA_PC invalida",IF(NOT(ISNUMBER(parametros!$C$2)),"Fora dos ciclos",IF(OR(B3469&lt;parametros!$C$2,(YEAR(B3469)-YEAR(parametros!$C$2))*12+MONTH(B3469)-MONTH(parametros!$C$2)&gt;59),"Fora dos ciclos","C"&amp;INT(((YEAR(B3469)-YEAR(parametros!$C$2))*12+MONTH(B3469)-MONTH(parametros!$C$2))/12)))))</f>
        <v/>
      </c>
      <c r="D3469" s="394"/>
      <c r="E3469" s="78" t="str">
        <f>IF(C3469="","",IFERROR(VLOOKUP(C3469,parametros!$A$11:$E$15,5,0),""))</f>
        <v/>
      </c>
      <c r="F3469" s="79" t="str">
        <f t="shared" si="272"/>
        <v/>
      </c>
      <c r="G3469" s="395"/>
      <c r="H3469" s="91">
        <f t="shared" si="273"/>
        <v>0</v>
      </c>
      <c r="I3469" s="91" t="str">
        <f t="shared" si="274"/>
        <v/>
      </c>
      <c r="J3469" s="91" t="str">
        <f t="shared" si="275"/>
        <v/>
      </c>
      <c r="K3469" s="92" t="str">
        <f>IF(AND(A3469="",B3469="",D3469="",G3469=""),"",IF(AND(A3469&lt;&gt;"",COUNTIF($A$2:$A$5001,A3469)&gt;1),"NUMERO_PC duplicado",IF(B3469="","DATA_PC vazia",IF(NOT(ISNUMBER(B3469)),"DATA_PC invalida",IF(OR(C3469="",C3469="Fora dos ciclos"),"CICLO_PC nao identificado",IF(OR(D3469="",D3469=0),"VALOR_PC vazio ou zero",IF(AND(G3469&lt;&gt;"Sim",G3469&lt;&gt;"Nao",G3469&lt;&gt;""),"PC_PAGO_A_CONTRATADA invalido",IF(AND(C3469&lt;&gt;"C0",IFERROR(INDEX(parametros!$A$2:$A$6,MATCH(C3469,parametros!$B$2:$B$6,0)),"")="Sim",IFERROR(INDEX(parametros!$H$2:$H$6,MATCH(C3469,parametros!$B$2:$B$6,0)),"")=""),"INICIO_EFEITO ausente: PC "&amp;A3469&amp;" - "&amp;C3469,IF(L3469="","EFEITO_PC nao calculado: PC "&amp;A3469&amp;" - "&amp;C3469,"OK")))))))))</f>
        <v/>
      </c>
      <c r="L3469" s="92" t="str">
        <f>IF(AND(A3469="",B3469="",D3469="",G3469=""),"",IF(OR(B3469="",NOT(ISNUMBER(B3469)),C3469="",C3469="Fora dos ciclos"),"",IF(C3469="C0","Nao",IF(IFERROR(INDEX(parametros!$A$2:$A$6,MATCH(C3469,parametros!$B$2:$B$6,0)),"")&lt;&gt;"Sim","Nao",IF(IFERROR(INDEX(parametros!$H$2:$H$6,MATCH(C3469,parametros!$B$2:$B$6,0)),"")="","",IF(B3469&gt;=IFERROR(INDEX(parametros!$H$2:$H$6,MATCH(C3469,parametros!$B$2:$B$6,0)),""),"Sim","Nao"))))))</f>
        <v/>
      </c>
      <c r="T3469" s="156"/>
      <c r="U3469" s="214" t="str">
        <f t="shared" si="276"/>
        <v/>
      </c>
      <c r="V3469" s="212" t="s">
        <v>50</v>
      </c>
      <c r="W3469" s="100" t="s">
        <v>168</v>
      </c>
      <c r="X3469" s="100" t="s">
        <v>169</v>
      </c>
      <c r="Y3469" s="101" t="s">
        <v>170</v>
      </c>
      <c r="Z3469" s="101" t="s">
        <v>171</v>
      </c>
      <c r="AA3469" s="101" t="s">
        <v>50</v>
      </c>
      <c r="AB3469" s="101" t="s">
        <v>172</v>
      </c>
      <c r="AC3469" s="102" t="s">
        <v>173</v>
      </c>
    </row>
    <row r="3470" spans="1:29" ht="25.5" customHeight="1" x14ac:dyDescent="0.35">
      <c r="A3470" s="392"/>
      <c r="B3470" s="393"/>
      <c r="C3470" s="99" t="str">
        <f>IF(B3470="","",IF(NOT(ISNUMBER(B3470)),"DATA_PC invalida",IF(NOT(ISNUMBER(parametros!$C$2)),"Fora dos ciclos",IF(OR(B3470&lt;parametros!$C$2,(YEAR(B3470)-YEAR(parametros!$C$2))*12+MONTH(B3470)-MONTH(parametros!$C$2)&gt;59),"Fora dos ciclos","C"&amp;INT(((YEAR(B3470)-YEAR(parametros!$C$2))*12+MONTH(B3470)-MONTH(parametros!$C$2))/12)))))</f>
        <v/>
      </c>
      <c r="D3470" s="394"/>
      <c r="E3470" s="78" t="str">
        <f>IF(C3470="","",IFERROR(VLOOKUP(C3470,parametros!$A$11:$E$15,5,0),""))</f>
        <v/>
      </c>
      <c r="F3470" s="79" t="str">
        <f t="shared" si="272"/>
        <v/>
      </c>
      <c r="G3470" s="395"/>
      <c r="H3470" s="91">
        <f t="shared" si="273"/>
        <v>0</v>
      </c>
      <c r="I3470" s="91" t="str">
        <f t="shared" si="274"/>
        <v/>
      </c>
      <c r="J3470" s="91" t="str">
        <f t="shared" si="275"/>
        <v/>
      </c>
      <c r="K3470" s="92" t="str">
        <f>IF(AND(A3470="",B3470="",D3470="",G3470=""),"",IF(AND(A3470&lt;&gt;"",COUNTIF($A$2:$A$5001,A3470)&gt;1),"NUMERO_PC duplicado",IF(B3470="","DATA_PC vazia",IF(NOT(ISNUMBER(B3470)),"DATA_PC invalida",IF(OR(C3470="",C3470="Fora dos ciclos"),"CICLO_PC nao identificado",IF(OR(D3470="",D3470=0),"VALOR_PC vazio ou zero",IF(AND(G3470&lt;&gt;"Sim",G3470&lt;&gt;"Nao",G3470&lt;&gt;""),"PC_PAGO_A_CONTRATADA invalido",IF(AND(C3470&lt;&gt;"C0",IFERROR(INDEX(parametros!$A$2:$A$6,MATCH(C3470,parametros!$B$2:$B$6,0)),"")="Sim",IFERROR(INDEX(parametros!$H$2:$H$6,MATCH(C3470,parametros!$B$2:$B$6,0)),"")=""),"INICIO_EFEITO ausente: PC "&amp;A3470&amp;" - "&amp;C3470,IF(L3470="","EFEITO_PC nao calculado: PC "&amp;A3470&amp;" - "&amp;C3470,"OK")))))))))</f>
        <v/>
      </c>
      <c r="L3470" s="92" t="str">
        <f>IF(AND(A3470="",B3470="",D3470="",G3470=""),"",IF(OR(B3470="",NOT(ISNUMBER(B3470)),C3470="",C3470="Fora dos ciclos"),"",IF(C3470="C0","Nao",IF(IFERROR(INDEX(parametros!$A$2:$A$6,MATCH(C3470,parametros!$B$2:$B$6,0)),"")&lt;&gt;"Sim","Nao",IF(IFERROR(INDEX(parametros!$H$2:$H$6,MATCH(C3470,parametros!$B$2:$B$6,0)),"")="","",IF(B3470&gt;=IFERROR(INDEX(parametros!$H$2:$H$6,MATCH(C3470,parametros!$B$2:$B$6,0)),""),"Sim","Nao"))))))</f>
        <v/>
      </c>
      <c r="T3470" s="156"/>
      <c r="U3470" s="214" t="str">
        <f t="shared" si="276"/>
        <v/>
      </c>
      <c r="V3470" s="212" t="s">
        <v>50</v>
      </c>
      <c r="W3470" s="100" t="s">
        <v>168</v>
      </c>
      <c r="X3470" s="100" t="s">
        <v>169</v>
      </c>
      <c r="Y3470" s="101" t="s">
        <v>170</v>
      </c>
      <c r="Z3470" s="101" t="s">
        <v>171</v>
      </c>
      <c r="AA3470" s="101" t="s">
        <v>50</v>
      </c>
      <c r="AB3470" s="101" t="s">
        <v>172</v>
      </c>
      <c r="AC3470" s="102" t="s">
        <v>173</v>
      </c>
    </row>
    <row r="3471" spans="1:29" ht="25.5" customHeight="1" x14ac:dyDescent="0.35">
      <c r="A3471" s="392"/>
      <c r="B3471" s="393"/>
      <c r="C3471" s="99" t="str">
        <f>IF(B3471="","",IF(NOT(ISNUMBER(B3471)),"DATA_PC invalida",IF(NOT(ISNUMBER(parametros!$C$2)),"Fora dos ciclos",IF(OR(B3471&lt;parametros!$C$2,(YEAR(B3471)-YEAR(parametros!$C$2))*12+MONTH(B3471)-MONTH(parametros!$C$2)&gt;59),"Fora dos ciclos","C"&amp;INT(((YEAR(B3471)-YEAR(parametros!$C$2))*12+MONTH(B3471)-MONTH(parametros!$C$2))/12)))))</f>
        <v/>
      </c>
      <c r="D3471" s="394"/>
      <c r="E3471" s="78" t="str">
        <f>IF(C3471="","",IFERROR(VLOOKUP(C3471,parametros!$A$11:$E$15,5,0),""))</f>
        <v/>
      </c>
      <c r="F3471" s="79" t="str">
        <f t="shared" si="272"/>
        <v/>
      </c>
      <c r="G3471" s="395"/>
      <c r="H3471" s="91">
        <f t="shared" si="273"/>
        <v>0</v>
      </c>
      <c r="I3471" s="91" t="str">
        <f t="shared" si="274"/>
        <v/>
      </c>
      <c r="J3471" s="91" t="str">
        <f t="shared" si="275"/>
        <v/>
      </c>
      <c r="K3471" s="92" t="str">
        <f>IF(AND(A3471="",B3471="",D3471="",G3471=""),"",IF(AND(A3471&lt;&gt;"",COUNTIF($A$2:$A$5001,A3471)&gt;1),"NUMERO_PC duplicado",IF(B3471="","DATA_PC vazia",IF(NOT(ISNUMBER(B3471)),"DATA_PC invalida",IF(OR(C3471="",C3471="Fora dos ciclos"),"CICLO_PC nao identificado",IF(OR(D3471="",D3471=0),"VALOR_PC vazio ou zero",IF(AND(G3471&lt;&gt;"Sim",G3471&lt;&gt;"Nao",G3471&lt;&gt;""),"PC_PAGO_A_CONTRATADA invalido",IF(AND(C3471&lt;&gt;"C0",IFERROR(INDEX(parametros!$A$2:$A$6,MATCH(C3471,parametros!$B$2:$B$6,0)),"")="Sim",IFERROR(INDEX(parametros!$H$2:$H$6,MATCH(C3471,parametros!$B$2:$B$6,0)),"")=""),"INICIO_EFEITO ausente: PC "&amp;A3471&amp;" - "&amp;C3471,IF(L3471="","EFEITO_PC nao calculado: PC "&amp;A3471&amp;" - "&amp;C3471,"OK")))))))))</f>
        <v/>
      </c>
      <c r="L3471" s="92" t="str">
        <f>IF(AND(A3471="",B3471="",D3471="",G3471=""),"",IF(OR(B3471="",NOT(ISNUMBER(B3471)),C3471="",C3471="Fora dos ciclos"),"",IF(C3471="C0","Nao",IF(IFERROR(INDEX(parametros!$A$2:$A$6,MATCH(C3471,parametros!$B$2:$B$6,0)),"")&lt;&gt;"Sim","Nao",IF(IFERROR(INDEX(parametros!$H$2:$H$6,MATCH(C3471,parametros!$B$2:$B$6,0)),"")="","",IF(B3471&gt;=IFERROR(INDEX(parametros!$H$2:$H$6,MATCH(C3471,parametros!$B$2:$B$6,0)),""),"Sim","Nao"))))))</f>
        <v/>
      </c>
      <c r="T3471" s="156"/>
      <c r="U3471" s="214" t="str">
        <f t="shared" si="276"/>
        <v/>
      </c>
      <c r="V3471" s="212" t="s">
        <v>50</v>
      </c>
      <c r="W3471" s="100" t="s">
        <v>168</v>
      </c>
      <c r="X3471" s="100" t="s">
        <v>169</v>
      </c>
      <c r="Y3471" s="101" t="s">
        <v>170</v>
      </c>
      <c r="Z3471" s="101" t="s">
        <v>171</v>
      </c>
      <c r="AA3471" s="101" t="s">
        <v>50</v>
      </c>
      <c r="AB3471" s="101" t="s">
        <v>172</v>
      </c>
      <c r="AC3471" s="102" t="s">
        <v>173</v>
      </c>
    </row>
    <row r="3472" spans="1:29" ht="25.5" customHeight="1" x14ac:dyDescent="0.35">
      <c r="A3472" s="392"/>
      <c r="B3472" s="393"/>
      <c r="C3472" s="99" t="str">
        <f>IF(B3472="","",IF(NOT(ISNUMBER(B3472)),"DATA_PC invalida",IF(NOT(ISNUMBER(parametros!$C$2)),"Fora dos ciclos",IF(OR(B3472&lt;parametros!$C$2,(YEAR(B3472)-YEAR(parametros!$C$2))*12+MONTH(B3472)-MONTH(parametros!$C$2)&gt;59),"Fora dos ciclos","C"&amp;INT(((YEAR(B3472)-YEAR(parametros!$C$2))*12+MONTH(B3472)-MONTH(parametros!$C$2))/12)))))</f>
        <v/>
      </c>
      <c r="D3472" s="394"/>
      <c r="E3472" s="78" t="str">
        <f>IF(C3472="","",IFERROR(VLOOKUP(C3472,parametros!$A$11:$E$15,5,0),""))</f>
        <v/>
      </c>
      <c r="F3472" s="79" t="str">
        <f t="shared" si="272"/>
        <v/>
      </c>
      <c r="G3472" s="395"/>
      <c r="H3472" s="91">
        <f t="shared" si="273"/>
        <v>0</v>
      </c>
      <c r="I3472" s="91" t="str">
        <f t="shared" si="274"/>
        <v/>
      </c>
      <c r="J3472" s="91" t="str">
        <f t="shared" si="275"/>
        <v/>
      </c>
      <c r="K3472" s="92" t="str">
        <f>IF(AND(A3472="",B3472="",D3472="",G3472=""),"",IF(AND(A3472&lt;&gt;"",COUNTIF($A$2:$A$5001,A3472)&gt;1),"NUMERO_PC duplicado",IF(B3472="","DATA_PC vazia",IF(NOT(ISNUMBER(B3472)),"DATA_PC invalida",IF(OR(C3472="",C3472="Fora dos ciclos"),"CICLO_PC nao identificado",IF(OR(D3472="",D3472=0),"VALOR_PC vazio ou zero",IF(AND(G3472&lt;&gt;"Sim",G3472&lt;&gt;"Nao",G3472&lt;&gt;""),"PC_PAGO_A_CONTRATADA invalido",IF(AND(C3472&lt;&gt;"C0",IFERROR(INDEX(parametros!$A$2:$A$6,MATCH(C3472,parametros!$B$2:$B$6,0)),"")="Sim",IFERROR(INDEX(parametros!$H$2:$H$6,MATCH(C3472,parametros!$B$2:$B$6,0)),"")=""),"INICIO_EFEITO ausente: PC "&amp;A3472&amp;" - "&amp;C3472,IF(L3472="","EFEITO_PC nao calculado: PC "&amp;A3472&amp;" - "&amp;C3472,"OK")))))))))</f>
        <v/>
      </c>
      <c r="L3472" s="92" t="str">
        <f>IF(AND(A3472="",B3472="",D3472="",G3472=""),"",IF(OR(B3472="",NOT(ISNUMBER(B3472)),C3472="",C3472="Fora dos ciclos"),"",IF(C3472="C0","Nao",IF(IFERROR(INDEX(parametros!$A$2:$A$6,MATCH(C3472,parametros!$B$2:$B$6,0)),"")&lt;&gt;"Sim","Nao",IF(IFERROR(INDEX(parametros!$H$2:$H$6,MATCH(C3472,parametros!$B$2:$B$6,0)),"")="","",IF(B3472&gt;=IFERROR(INDEX(parametros!$H$2:$H$6,MATCH(C3472,parametros!$B$2:$B$6,0)),""),"Sim","Nao"))))))</f>
        <v/>
      </c>
      <c r="T3472" s="156"/>
      <c r="U3472" s="214" t="str">
        <f t="shared" si="276"/>
        <v/>
      </c>
      <c r="V3472" s="212" t="s">
        <v>50</v>
      </c>
      <c r="W3472" s="100" t="s">
        <v>168</v>
      </c>
      <c r="X3472" s="100" t="s">
        <v>169</v>
      </c>
      <c r="Y3472" s="101" t="s">
        <v>170</v>
      </c>
      <c r="Z3472" s="101" t="s">
        <v>171</v>
      </c>
      <c r="AA3472" s="101" t="s">
        <v>50</v>
      </c>
      <c r="AB3472" s="101" t="s">
        <v>172</v>
      </c>
      <c r="AC3472" s="102" t="s">
        <v>173</v>
      </c>
    </row>
    <row r="3473" spans="1:29" ht="25.5" customHeight="1" x14ac:dyDescent="0.35">
      <c r="A3473" s="392"/>
      <c r="B3473" s="393"/>
      <c r="C3473" s="99" t="str">
        <f>IF(B3473="","",IF(NOT(ISNUMBER(B3473)),"DATA_PC invalida",IF(NOT(ISNUMBER(parametros!$C$2)),"Fora dos ciclos",IF(OR(B3473&lt;parametros!$C$2,(YEAR(B3473)-YEAR(parametros!$C$2))*12+MONTH(B3473)-MONTH(parametros!$C$2)&gt;59),"Fora dos ciclos","C"&amp;INT(((YEAR(B3473)-YEAR(parametros!$C$2))*12+MONTH(B3473)-MONTH(parametros!$C$2))/12)))))</f>
        <v/>
      </c>
      <c r="D3473" s="394"/>
      <c r="E3473" s="78" t="str">
        <f>IF(C3473="","",IFERROR(VLOOKUP(C3473,parametros!$A$11:$E$15,5,0),""))</f>
        <v/>
      </c>
      <c r="F3473" s="79" t="str">
        <f t="shared" si="272"/>
        <v/>
      </c>
      <c r="G3473" s="395"/>
      <c r="H3473" s="91">
        <f t="shared" si="273"/>
        <v>0</v>
      </c>
      <c r="I3473" s="91" t="str">
        <f t="shared" si="274"/>
        <v/>
      </c>
      <c r="J3473" s="91" t="str">
        <f t="shared" si="275"/>
        <v/>
      </c>
      <c r="K3473" s="92" t="str">
        <f>IF(AND(A3473="",B3473="",D3473="",G3473=""),"",IF(AND(A3473&lt;&gt;"",COUNTIF($A$2:$A$5001,A3473)&gt;1),"NUMERO_PC duplicado",IF(B3473="","DATA_PC vazia",IF(NOT(ISNUMBER(B3473)),"DATA_PC invalida",IF(OR(C3473="",C3473="Fora dos ciclos"),"CICLO_PC nao identificado",IF(OR(D3473="",D3473=0),"VALOR_PC vazio ou zero",IF(AND(G3473&lt;&gt;"Sim",G3473&lt;&gt;"Nao",G3473&lt;&gt;""),"PC_PAGO_A_CONTRATADA invalido",IF(AND(C3473&lt;&gt;"C0",IFERROR(INDEX(parametros!$A$2:$A$6,MATCH(C3473,parametros!$B$2:$B$6,0)),"")="Sim",IFERROR(INDEX(parametros!$H$2:$H$6,MATCH(C3473,parametros!$B$2:$B$6,0)),"")=""),"INICIO_EFEITO ausente: PC "&amp;A3473&amp;" - "&amp;C3473,IF(L3473="","EFEITO_PC nao calculado: PC "&amp;A3473&amp;" - "&amp;C3473,"OK")))))))))</f>
        <v/>
      </c>
      <c r="L3473" s="92" t="str">
        <f>IF(AND(A3473="",B3473="",D3473="",G3473=""),"",IF(OR(B3473="",NOT(ISNUMBER(B3473)),C3473="",C3473="Fora dos ciclos"),"",IF(C3473="C0","Nao",IF(IFERROR(INDEX(parametros!$A$2:$A$6,MATCH(C3473,parametros!$B$2:$B$6,0)),"")&lt;&gt;"Sim","Nao",IF(IFERROR(INDEX(parametros!$H$2:$H$6,MATCH(C3473,parametros!$B$2:$B$6,0)),"")="","",IF(B3473&gt;=IFERROR(INDEX(parametros!$H$2:$H$6,MATCH(C3473,parametros!$B$2:$B$6,0)),""),"Sim","Nao"))))))</f>
        <v/>
      </c>
      <c r="T3473" s="156"/>
      <c r="U3473" s="214" t="str">
        <f t="shared" si="276"/>
        <v/>
      </c>
      <c r="V3473" s="212" t="s">
        <v>50</v>
      </c>
      <c r="W3473" s="100" t="s">
        <v>168</v>
      </c>
      <c r="X3473" s="100" t="s">
        <v>169</v>
      </c>
      <c r="Y3473" s="101" t="s">
        <v>170</v>
      </c>
      <c r="Z3473" s="101" t="s">
        <v>171</v>
      </c>
      <c r="AA3473" s="101" t="s">
        <v>50</v>
      </c>
      <c r="AB3473" s="101" t="s">
        <v>172</v>
      </c>
      <c r="AC3473" s="102" t="s">
        <v>173</v>
      </c>
    </row>
    <row r="3474" spans="1:29" ht="25.5" customHeight="1" x14ac:dyDescent="0.35">
      <c r="A3474" s="392"/>
      <c r="B3474" s="393"/>
      <c r="C3474" s="99" t="str">
        <f>IF(B3474="","",IF(NOT(ISNUMBER(B3474)),"DATA_PC invalida",IF(NOT(ISNUMBER(parametros!$C$2)),"Fora dos ciclos",IF(OR(B3474&lt;parametros!$C$2,(YEAR(B3474)-YEAR(parametros!$C$2))*12+MONTH(B3474)-MONTH(parametros!$C$2)&gt;59),"Fora dos ciclos","C"&amp;INT(((YEAR(B3474)-YEAR(parametros!$C$2))*12+MONTH(B3474)-MONTH(parametros!$C$2))/12)))))</f>
        <v/>
      </c>
      <c r="D3474" s="394"/>
      <c r="E3474" s="78" t="str">
        <f>IF(C3474="","",IFERROR(VLOOKUP(C3474,parametros!$A$11:$E$15,5,0),""))</f>
        <v/>
      </c>
      <c r="F3474" s="79" t="str">
        <f t="shared" si="272"/>
        <v/>
      </c>
      <c r="G3474" s="395"/>
      <c r="H3474" s="91">
        <f t="shared" si="273"/>
        <v>0</v>
      </c>
      <c r="I3474" s="91" t="str">
        <f t="shared" si="274"/>
        <v/>
      </c>
      <c r="J3474" s="91" t="str">
        <f t="shared" si="275"/>
        <v/>
      </c>
      <c r="K3474" s="92" t="str">
        <f>IF(AND(A3474="",B3474="",D3474="",G3474=""),"",IF(AND(A3474&lt;&gt;"",COUNTIF($A$2:$A$5001,A3474)&gt;1),"NUMERO_PC duplicado",IF(B3474="","DATA_PC vazia",IF(NOT(ISNUMBER(B3474)),"DATA_PC invalida",IF(OR(C3474="",C3474="Fora dos ciclos"),"CICLO_PC nao identificado",IF(OR(D3474="",D3474=0),"VALOR_PC vazio ou zero",IF(AND(G3474&lt;&gt;"Sim",G3474&lt;&gt;"Nao",G3474&lt;&gt;""),"PC_PAGO_A_CONTRATADA invalido",IF(AND(C3474&lt;&gt;"C0",IFERROR(INDEX(parametros!$A$2:$A$6,MATCH(C3474,parametros!$B$2:$B$6,0)),"")="Sim",IFERROR(INDEX(parametros!$H$2:$H$6,MATCH(C3474,parametros!$B$2:$B$6,0)),"")=""),"INICIO_EFEITO ausente: PC "&amp;A3474&amp;" - "&amp;C3474,IF(L3474="","EFEITO_PC nao calculado: PC "&amp;A3474&amp;" - "&amp;C3474,"OK")))))))))</f>
        <v/>
      </c>
      <c r="L3474" s="92" t="str">
        <f>IF(AND(A3474="",B3474="",D3474="",G3474=""),"",IF(OR(B3474="",NOT(ISNUMBER(B3474)),C3474="",C3474="Fora dos ciclos"),"",IF(C3474="C0","Nao",IF(IFERROR(INDEX(parametros!$A$2:$A$6,MATCH(C3474,parametros!$B$2:$B$6,0)),"")&lt;&gt;"Sim","Nao",IF(IFERROR(INDEX(parametros!$H$2:$H$6,MATCH(C3474,parametros!$B$2:$B$6,0)),"")="","",IF(B3474&gt;=IFERROR(INDEX(parametros!$H$2:$H$6,MATCH(C3474,parametros!$B$2:$B$6,0)),""),"Sim","Nao"))))))</f>
        <v/>
      </c>
      <c r="T3474" s="156"/>
      <c r="U3474" s="214" t="str">
        <f t="shared" si="276"/>
        <v/>
      </c>
      <c r="V3474" s="212" t="s">
        <v>50</v>
      </c>
      <c r="W3474" s="100" t="s">
        <v>168</v>
      </c>
      <c r="X3474" s="100" t="s">
        <v>169</v>
      </c>
      <c r="Y3474" s="101" t="s">
        <v>170</v>
      </c>
      <c r="Z3474" s="101" t="s">
        <v>171</v>
      </c>
      <c r="AA3474" s="101" t="s">
        <v>50</v>
      </c>
      <c r="AB3474" s="101" t="s">
        <v>172</v>
      </c>
      <c r="AC3474" s="102" t="s">
        <v>173</v>
      </c>
    </row>
    <row r="3475" spans="1:29" ht="25.5" customHeight="1" x14ac:dyDescent="0.35">
      <c r="A3475" s="392"/>
      <c r="B3475" s="393"/>
      <c r="C3475" s="99" t="str">
        <f>IF(B3475="","",IF(NOT(ISNUMBER(B3475)),"DATA_PC invalida",IF(NOT(ISNUMBER(parametros!$C$2)),"Fora dos ciclos",IF(OR(B3475&lt;parametros!$C$2,(YEAR(B3475)-YEAR(parametros!$C$2))*12+MONTH(B3475)-MONTH(parametros!$C$2)&gt;59),"Fora dos ciclos","C"&amp;INT(((YEAR(B3475)-YEAR(parametros!$C$2))*12+MONTH(B3475)-MONTH(parametros!$C$2))/12)))))</f>
        <v/>
      </c>
      <c r="D3475" s="394"/>
      <c r="E3475" s="78" t="str">
        <f>IF(C3475="","",IFERROR(VLOOKUP(C3475,parametros!$A$11:$E$15,5,0),""))</f>
        <v/>
      </c>
      <c r="F3475" s="79" t="str">
        <f t="shared" si="272"/>
        <v/>
      </c>
      <c r="G3475" s="395"/>
      <c r="H3475" s="91">
        <f t="shared" si="273"/>
        <v>0</v>
      </c>
      <c r="I3475" s="91" t="str">
        <f t="shared" si="274"/>
        <v/>
      </c>
      <c r="J3475" s="91" t="str">
        <f t="shared" si="275"/>
        <v/>
      </c>
      <c r="K3475" s="92" t="str">
        <f>IF(AND(A3475="",B3475="",D3475="",G3475=""),"",IF(AND(A3475&lt;&gt;"",COUNTIF($A$2:$A$5001,A3475)&gt;1),"NUMERO_PC duplicado",IF(B3475="","DATA_PC vazia",IF(NOT(ISNUMBER(B3475)),"DATA_PC invalida",IF(OR(C3475="",C3475="Fora dos ciclos"),"CICLO_PC nao identificado",IF(OR(D3475="",D3475=0),"VALOR_PC vazio ou zero",IF(AND(G3475&lt;&gt;"Sim",G3475&lt;&gt;"Nao",G3475&lt;&gt;""),"PC_PAGO_A_CONTRATADA invalido",IF(AND(C3475&lt;&gt;"C0",IFERROR(INDEX(parametros!$A$2:$A$6,MATCH(C3475,parametros!$B$2:$B$6,0)),"")="Sim",IFERROR(INDEX(parametros!$H$2:$H$6,MATCH(C3475,parametros!$B$2:$B$6,0)),"")=""),"INICIO_EFEITO ausente: PC "&amp;A3475&amp;" - "&amp;C3475,IF(L3475="","EFEITO_PC nao calculado: PC "&amp;A3475&amp;" - "&amp;C3475,"OK")))))))))</f>
        <v/>
      </c>
      <c r="L3475" s="92" t="str">
        <f>IF(AND(A3475="",B3475="",D3475="",G3475=""),"",IF(OR(B3475="",NOT(ISNUMBER(B3475)),C3475="",C3475="Fora dos ciclos"),"",IF(C3475="C0","Nao",IF(IFERROR(INDEX(parametros!$A$2:$A$6,MATCH(C3475,parametros!$B$2:$B$6,0)),"")&lt;&gt;"Sim","Nao",IF(IFERROR(INDEX(parametros!$H$2:$H$6,MATCH(C3475,parametros!$B$2:$B$6,0)),"")="","",IF(B3475&gt;=IFERROR(INDEX(parametros!$H$2:$H$6,MATCH(C3475,parametros!$B$2:$B$6,0)),""),"Sim","Nao"))))))</f>
        <v/>
      </c>
      <c r="T3475" s="156"/>
      <c r="U3475" s="214" t="str">
        <f t="shared" si="276"/>
        <v/>
      </c>
      <c r="V3475" s="212" t="s">
        <v>50</v>
      </c>
      <c r="W3475" s="100" t="s">
        <v>168</v>
      </c>
      <c r="X3475" s="100" t="s">
        <v>169</v>
      </c>
      <c r="Y3475" s="101" t="s">
        <v>170</v>
      </c>
      <c r="Z3475" s="101" t="s">
        <v>171</v>
      </c>
      <c r="AA3475" s="101" t="s">
        <v>50</v>
      </c>
      <c r="AB3475" s="101" t="s">
        <v>172</v>
      </c>
      <c r="AC3475" s="102" t="s">
        <v>173</v>
      </c>
    </row>
    <row r="3476" spans="1:29" ht="25.5" customHeight="1" x14ac:dyDescent="0.35">
      <c r="A3476" s="392"/>
      <c r="B3476" s="393"/>
      <c r="C3476" s="99" t="str">
        <f>IF(B3476="","",IF(NOT(ISNUMBER(B3476)),"DATA_PC invalida",IF(NOT(ISNUMBER(parametros!$C$2)),"Fora dos ciclos",IF(OR(B3476&lt;parametros!$C$2,(YEAR(B3476)-YEAR(parametros!$C$2))*12+MONTH(B3476)-MONTH(parametros!$C$2)&gt;59),"Fora dos ciclos","C"&amp;INT(((YEAR(B3476)-YEAR(parametros!$C$2))*12+MONTH(B3476)-MONTH(parametros!$C$2))/12)))))</f>
        <v/>
      </c>
      <c r="D3476" s="394"/>
      <c r="E3476" s="78" t="str">
        <f>IF(C3476="","",IFERROR(VLOOKUP(C3476,parametros!$A$11:$E$15,5,0),""))</f>
        <v/>
      </c>
      <c r="F3476" s="79" t="str">
        <f t="shared" si="272"/>
        <v/>
      </c>
      <c r="G3476" s="395"/>
      <c r="H3476" s="91">
        <f t="shared" si="273"/>
        <v>0</v>
      </c>
      <c r="I3476" s="91" t="str">
        <f t="shared" si="274"/>
        <v/>
      </c>
      <c r="J3476" s="91" t="str">
        <f t="shared" si="275"/>
        <v/>
      </c>
      <c r="K3476" s="92" t="str">
        <f>IF(AND(A3476="",B3476="",D3476="",G3476=""),"",IF(AND(A3476&lt;&gt;"",COUNTIF($A$2:$A$5001,A3476)&gt;1),"NUMERO_PC duplicado",IF(B3476="","DATA_PC vazia",IF(NOT(ISNUMBER(B3476)),"DATA_PC invalida",IF(OR(C3476="",C3476="Fora dos ciclos"),"CICLO_PC nao identificado",IF(OR(D3476="",D3476=0),"VALOR_PC vazio ou zero",IF(AND(G3476&lt;&gt;"Sim",G3476&lt;&gt;"Nao",G3476&lt;&gt;""),"PC_PAGO_A_CONTRATADA invalido",IF(AND(C3476&lt;&gt;"C0",IFERROR(INDEX(parametros!$A$2:$A$6,MATCH(C3476,parametros!$B$2:$B$6,0)),"")="Sim",IFERROR(INDEX(parametros!$H$2:$H$6,MATCH(C3476,parametros!$B$2:$B$6,0)),"")=""),"INICIO_EFEITO ausente: PC "&amp;A3476&amp;" - "&amp;C3476,IF(L3476="","EFEITO_PC nao calculado: PC "&amp;A3476&amp;" - "&amp;C3476,"OK")))))))))</f>
        <v/>
      </c>
      <c r="L3476" s="92" t="str">
        <f>IF(AND(A3476="",B3476="",D3476="",G3476=""),"",IF(OR(B3476="",NOT(ISNUMBER(B3476)),C3476="",C3476="Fora dos ciclos"),"",IF(C3476="C0","Nao",IF(IFERROR(INDEX(parametros!$A$2:$A$6,MATCH(C3476,parametros!$B$2:$B$6,0)),"")&lt;&gt;"Sim","Nao",IF(IFERROR(INDEX(parametros!$H$2:$H$6,MATCH(C3476,parametros!$B$2:$B$6,0)),"")="","",IF(B3476&gt;=IFERROR(INDEX(parametros!$H$2:$H$6,MATCH(C3476,parametros!$B$2:$B$6,0)),""),"Sim","Nao"))))))</f>
        <v/>
      </c>
      <c r="T3476" s="156"/>
      <c r="U3476" s="214" t="str">
        <f t="shared" si="276"/>
        <v/>
      </c>
      <c r="V3476" s="212" t="s">
        <v>50</v>
      </c>
      <c r="W3476" s="100" t="s">
        <v>168</v>
      </c>
      <c r="X3476" s="100" t="s">
        <v>169</v>
      </c>
      <c r="Y3476" s="101" t="s">
        <v>170</v>
      </c>
      <c r="Z3476" s="101" t="s">
        <v>171</v>
      </c>
      <c r="AA3476" s="101" t="s">
        <v>50</v>
      </c>
      <c r="AB3476" s="101" t="s">
        <v>172</v>
      </c>
      <c r="AC3476" s="102" t="s">
        <v>173</v>
      </c>
    </row>
    <row r="3477" spans="1:29" ht="25.5" customHeight="1" x14ac:dyDescent="0.35">
      <c r="A3477" s="392"/>
      <c r="B3477" s="393"/>
      <c r="C3477" s="99" t="str">
        <f>IF(B3477="","",IF(NOT(ISNUMBER(B3477)),"DATA_PC invalida",IF(NOT(ISNUMBER(parametros!$C$2)),"Fora dos ciclos",IF(OR(B3477&lt;parametros!$C$2,(YEAR(B3477)-YEAR(parametros!$C$2))*12+MONTH(B3477)-MONTH(parametros!$C$2)&gt;59),"Fora dos ciclos","C"&amp;INT(((YEAR(B3477)-YEAR(parametros!$C$2))*12+MONTH(B3477)-MONTH(parametros!$C$2))/12)))))</f>
        <v/>
      </c>
      <c r="D3477" s="394"/>
      <c r="E3477" s="78" t="str">
        <f>IF(C3477="","",IFERROR(VLOOKUP(C3477,parametros!$A$11:$E$15,5,0),""))</f>
        <v/>
      </c>
      <c r="F3477" s="79" t="str">
        <f t="shared" si="272"/>
        <v/>
      </c>
      <c r="G3477" s="395"/>
      <c r="H3477" s="91">
        <f t="shared" si="273"/>
        <v>0</v>
      </c>
      <c r="I3477" s="91" t="str">
        <f t="shared" si="274"/>
        <v/>
      </c>
      <c r="J3477" s="91" t="str">
        <f t="shared" si="275"/>
        <v/>
      </c>
      <c r="K3477" s="92" t="str">
        <f>IF(AND(A3477="",B3477="",D3477="",G3477=""),"",IF(AND(A3477&lt;&gt;"",COUNTIF($A$2:$A$5001,A3477)&gt;1),"NUMERO_PC duplicado",IF(B3477="","DATA_PC vazia",IF(NOT(ISNUMBER(B3477)),"DATA_PC invalida",IF(OR(C3477="",C3477="Fora dos ciclos"),"CICLO_PC nao identificado",IF(OR(D3477="",D3477=0),"VALOR_PC vazio ou zero",IF(AND(G3477&lt;&gt;"Sim",G3477&lt;&gt;"Nao",G3477&lt;&gt;""),"PC_PAGO_A_CONTRATADA invalido",IF(AND(C3477&lt;&gt;"C0",IFERROR(INDEX(parametros!$A$2:$A$6,MATCH(C3477,parametros!$B$2:$B$6,0)),"")="Sim",IFERROR(INDEX(parametros!$H$2:$H$6,MATCH(C3477,parametros!$B$2:$B$6,0)),"")=""),"INICIO_EFEITO ausente: PC "&amp;A3477&amp;" - "&amp;C3477,IF(L3477="","EFEITO_PC nao calculado: PC "&amp;A3477&amp;" - "&amp;C3477,"OK")))))))))</f>
        <v/>
      </c>
      <c r="L3477" s="92" t="str">
        <f>IF(AND(A3477="",B3477="",D3477="",G3477=""),"",IF(OR(B3477="",NOT(ISNUMBER(B3477)),C3477="",C3477="Fora dos ciclos"),"",IF(C3477="C0","Nao",IF(IFERROR(INDEX(parametros!$A$2:$A$6,MATCH(C3477,parametros!$B$2:$B$6,0)),"")&lt;&gt;"Sim","Nao",IF(IFERROR(INDEX(parametros!$H$2:$H$6,MATCH(C3477,parametros!$B$2:$B$6,0)),"")="","",IF(B3477&gt;=IFERROR(INDEX(parametros!$H$2:$H$6,MATCH(C3477,parametros!$B$2:$B$6,0)),""),"Sim","Nao"))))))</f>
        <v/>
      </c>
      <c r="T3477" s="156"/>
      <c r="U3477" s="214" t="str">
        <f t="shared" si="276"/>
        <v/>
      </c>
      <c r="V3477" s="212" t="s">
        <v>50</v>
      </c>
      <c r="W3477" s="100" t="s">
        <v>168</v>
      </c>
      <c r="X3477" s="100" t="s">
        <v>169</v>
      </c>
      <c r="Y3477" s="101" t="s">
        <v>170</v>
      </c>
      <c r="Z3477" s="101" t="s">
        <v>171</v>
      </c>
      <c r="AA3477" s="101" t="s">
        <v>50</v>
      </c>
      <c r="AB3477" s="101" t="s">
        <v>172</v>
      </c>
      <c r="AC3477" s="102" t="s">
        <v>173</v>
      </c>
    </row>
    <row r="3478" spans="1:29" ht="25.5" customHeight="1" x14ac:dyDescent="0.35">
      <c r="A3478" s="392"/>
      <c r="B3478" s="393"/>
      <c r="C3478" s="99" t="str">
        <f>IF(B3478="","",IF(NOT(ISNUMBER(B3478)),"DATA_PC invalida",IF(NOT(ISNUMBER(parametros!$C$2)),"Fora dos ciclos",IF(OR(B3478&lt;parametros!$C$2,(YEAR(B3478)-YEAR(parametros!$C$2))*12+MONTH(B3478)-MONTH(parametros!$C$2)&gt;59),"Fora dos ciclos","C"&amp;INT(((YEAR(B3478)-YEAR(parametros!$C$2))*12+MONTH(B3478)-MONTH(parametros!$C$2))/12)))))</f>
        <v/>
      </c>
      <c r="D3478" s="394"/>
      <c r="E3478" s="78" t="str">
        <f>IF(C3478="","",IFERROR(VLOOKUP(C3478,parametros!$A$11:$E$15,5,0),""))</f>
        <v/>
      </c>
      <c r="F3478" s="79" t="str">
        <f t="shared" si="272"/>
        <v/>
      </c>
      <c r="G3478" s="395"/>
      <c r="H3478" s="91">
        <f t="shared" si="273"/>
        <v>0</v>
      </c>
      <c r="I3478" s="91" t="str">
        <f t="shared" si="274"/>
        <v/>
      </c>
      <c r="J3478" s="91" t="str">
        <f t="shared" si="275"/>
        <v/>
      </c>
      <c r="K3478" s="92" t="str">
        <f>IF(AND(A3478="",B3478="",D3478="",G3478=""),"",IF(AND(A3478&lt;&gt;"",COUNTIF($A$2:$A$5001,A3478)&gt;1),"NUMERO_PC duplicado",IF(B3478="","DATA_PC vazia",IF(NOT(ISNUMBER(B3478)),"DATA_PC invalida",IF(OR(C3478="",C3478="Fora dos ciclos"),"CICLO_PC nao identificado",IF(OR(D3478="",D3478=0),"VALOR_PC vazio ou zero",IF(AND(G3478&lt;&gt;"Sim",G3478&lt;&gt;"Nao",G3478&lt;&gt;""),"PC_PAGO_A_CONTRATADA invalido",IF(AND(C3478&lt;&gt;"C0",IFERROR(INDEX(parametros!$A$2:$A$6,MATCH(C3478,parametros!$B$2:$B$6,0)),"")="Sim",IFERROR(INDEX(parametros!$H$2:$H$6,MATCH(C3478,parametros!$B$2:$B$6,0)),"")=""),"INICIO_EFEITO ausente: PC "&amp;A3478&amp;" - "&amp;C3478,IF(L3478="","EFEITO_PC nao calculado: PC "&amp;A3478&amp;" - "&amp;C3478,"OK")))))))))</f>
        <v/>
      </c>
      <c r="L3478" s="92" t="str">
        <f>IF(AND(A3478="",B3478="",D3478="",G3478=""),"",IF(OR(B3478="",NOT(ISNUMBER(B3478)),C3478="",C3478="Fora dos ciclos"),"",IF(C3478="C0","Nao",IF(IFERROR(INDEX(parametros!$A$2:$A$6,MATCH(C3478,parametros!$B$2:$B$6,0)),"")&lt;&gt;"Sim","Nao",IF(IFERROR(INDEX(parametros!$H$2:$H$6,MATCH(C3478,parametros!$B$2:$B$6,0)),"")="","",IF(B3478&gt;=IFERROR(INDEX(parametros!$H$2:$H$6,MATCH(C3478,parametros!$B$2:$B$6,0)),""),"Sim","Nao"))))))</f>
        <v/>
      </c>
      <c r="T3478" s="156"/>
      <c r="U3478" s="214" t="str">
        <f t="shared" si="276"/>
        <v/>
      </c>
      <c r="V3478" s="212" t="s">
        <v>50</v>
      </c>
      <c r="W3478" s="100" t="s">
        <v>168</v>
      </c>
      <c r="X3478" s="100" t="s">
        <v>169</v>
      </c>
      <c r="Y3478" s="101" t="s">
        <v>170</v>
      </c>
      <c r="Z3478" s="101" t="s">
        <v>171</v>
      </c>
      <c r="AA3478" s="101" t="s">
        <v>50</v>
      </c>
      <c r="AB3478" s="101" t="s">
        <v>172</v>
      </c>
      <c r="AC3478" s="102" t="s">
        <v>173</v>
      </c>
    </row>
    <row r="3479" spans="1:29" ht="25.5" customHeight="1" x14ac:dyDescent="0.35">
      <c r="A3479" s="392"/>
      <c r="B3479" s="393"/>
      <c r="C3479" s="99" t="str">
        <f>IF(B3479="","",IF(NOT(ISNUMBER(B3479)),"DATA_PC invalida",IF(NOT(ISNUMBER(parametros!$C$2)),"Fora dos ciclos",IF(OR(B3479&lt;parametros!$C$2,(YEAR(B3479)-YEAR(parametros!$C$2))*12+MONTH(B3479)-MONTH(parametros!$C$2)&gt;59),"Fora dos ciclos","C"&amp;INT(((YEAR(B3479)-YEAR(parametros!$C$2))*12+MONTH(B3479)-MONTH(parametros!$C$2))/12)))))</f>
        <v/>
      </c>
      <c r="D3479" s="394"/>
      <c r="E3479" s="78" t="str">
        <f>IF(C3479="","",IFERROR(VLOOKUP(C3479,parametros!$A$11:$E$15,5,0),""))</f>
        <v/>
      </c>
      <c r="F3479" s="79" t="str">
        <f t="shared" si="272"/>
        <v/>
      </c>
      <c r="G3479" s="395"/>
      <c r="H3479" s="91">
        <f t="shared" si="273"/>
        <v>0</v>
      </c>
      <c r="I3479" s="91" t="str">
        <f t="shared" si="274"/>
        <v/>
      </c>
      <c r="J3479" s="91" t="str">
        <f t="shared" si="275"/>
        <v/>
      </c>
      <c r="K3479" s="92" t="str">
        <f>IF(AND(A3479="",B3479="",D3479="",G3479=""),"",IF(AND(A3479&lt;&gt;"",COUNTIF($A$2:$A$5001,A3479)&gt;1),"NUMERO_PC duplicado",IF(B3479="","DATA_PC vazia",IF(NOT(ISNUMBER(B3479)),"DATA_PC invalida",IF(OR(C3479="",C3479="Fora dos ciclos"),"CICLO_PC nao identificado",IF(OR(D3479="",D3479=0),"VALOR_PC vazio ou zero",IF(AND(G3479&lt;&gt;"Sim",G3479&lt;&gt;"Nao",G3479&lt;&gt;""),"PC_PAGO_A_CONTRATADA invalido",IF(AND(C3479&lt;&gt;"C0",IFERROR(INDEX(parametros!$A$2:$A$6,MATCH(C3479,parametros!$B$2:$B$6,0)),"")="Sim",IFERROR(INDEX(parametros!$H$2:$H$6,MATCH(C3479,parametros!$B$2:$B$6,0)),"")=""),"INICIO_EFEITO ausente: PC "&amp;A3479&amp;" - "&amp;C3479,IF(L3479="","EFEITO_PC nao calculado: PC "&amp;A3479&amp;" - "&amp;C3479,"OK")))))))))</f>
        <v/>
      </c>
      <c r="L3479" s="92" t="str">
        <f>IF(AND(A3479="",B3479="",D3479="",G3479=""),"",IF(OR(B3479="",NOT(ISNUMBER(B3479)),C3479="",C3479="Fora dos ciclos"),"",IF(C3479="C0","Nao",IF(IFERROR(INDEX(parametros!$A$2:$A$6,MATCH(C3479,parametros!$B$2:$B$6,0)),"")&lt;&gt;"Sim","Nao",IF(IFERROR(INDEX(parametros!$H$2:$H$6,MATCH(C3479,parametros!$B$2:$B$6,0)),"")="","",IF(B3479&gt;=IFERROR(INDEX(parametros!$H$2:$H$6,MATCH(C3479,parametros!$B$2:$B$6,0)),""),"Sim","Nao"))))))</f>
        <v/>
      </c>
      <c r="T3479" s="156"/>
      <c r="U3479" s="214" t="str">
        <f t="shared" si="276"/>
        <v/>
      </c>
      <c r="V3479" s="212" t="s">
        <v>50</v>
      </c>
      <c r="W3479" s="100" t="s">
        <v>168</v>
      </c>
      <c r="X3479" s="100" t="s">
        <v>169</v>
      </c>
      <c r="Y3479" s="101" t="s">
        <v>170</v>
      </c>
      <c r="Z3479" s="101" t="s">
        <v>171</v>
      </c>
      <c r="AA3479" s="101" t="s">
        <v>50</v>
      </c>
      <c r="AB3479" s="101" t="s">
        <v>172</v>
      </c>
      <c r="AC3479" s="102" t="s">
        <v>173</v>
      </c>
    </row>
    <row r="3480" spans="1:29" ht="25.5" customHeight="1" x14ac:dyDescent="0.35">
      <c r="A3480" s="392"/>
      <c r="B3480" s="393"/>
      <c r="C3480" s="99" t="str">
        <f>IF(B3480="","",IF(NOT(ISNUMBER(B3480)),"DATA_PC invalida",IF(NOT(ISNUMBER(parametros!$C$2)),"Fora dos ciclos",IF(OR(B3480&lt;parametros!$C$2,(YEAR(B3480)-YEAR(parametros!$C$2))*12+MONTH(B3480)-MONTH(parametros!$C$2)&gt;59),"Fora dos ciclos","C"&amp;INT(((YEAR(B3480)-YEAR(parametros!$C$2))*12+MONTH(B3480)-MONTH(parametros!$C$2))/12)))))</f>
        <v/>
      </c>
      <c r="D3480" s="394"/>
      <c r="E3480" s="78" t="str">
        <f>IF(C3480="","",IFERROR(VLOOKUP(C3480,parametros!$A$11:$E$15,5,0),""))</f>
        <v/>
      </c>
      <c r="F3480" s="79" t="str">
        <f t="shared" si="272"/>
        <v/>
      </c>
      <c r="G3480" s="395"/>
      <c r="H3480" s="91">
        <f t="shared" si="273"/>
        <v>0</v>
      </c>
      <c r="I3480" s="91" t="str">
        <f t="shared" si="274"/>
        <v/>
      </c>
      <c r="J3480" s="91" t="str">
        <f t="shared" si="275"/>
        <v/>
      </c>
      <c r="K3480" s="92" t="str">
        <f>IF(AND(A3480="",B3480="",D3480="",G3480=""),"",IF(AND(A3480&lt;&gt;"",COUNTIF($A$2:$A$5001,A3480)&gt;1),"NUMERO_PC duplicado",IF(B3480="","DATA_PC vazia",IF(NOT(ISNUMBER(B3480)),"DATA_PC invalida",IF(OR(C3480="",C3480="Fora dos ciclos"),"CICLO_PC nao identificado",IF(OR(D3480="",D3480=0),"VALOR_PC vazio ou zero",IF(AND(G3480&lt;&gt;"Sim",G3480&lt;&gt;"Nao",G3480&lt;&gt;""),"PC_PAGO_A_CONTRATADA invalido",IF(AND(C3480&lt;&gt;"C0",IFERROR(INDEX(parametros!$A$2:$A$6,MATCH(C3480,parametros!$B$2:$B$6,0)),"")="Sim",IFERROR(INDEX(parametros!$H$2:$H$6,MATCH(C3480,parametros!$B$2:$B$6,0)),"")=""),"INICIO_EFEITO ausente: PC "&amp;A3480&amp;" - "&amp;C3480,IF(L3480="","EFEITO_PC nao calculado: PC "&amp;A3480&amp;" - "&amp;C3480,"OK")))))))))</f>
        <v/>
      </c>
      <c r="L3480" s="92" t="str">
        <f>IF(AND(A3480="",B3480="",D3480="",G3480=""),"",IF(OR(B3480="",NOT(ISNUMBER(B3480)),C3480="",C3480="Fora dos ciclos"),"",IF(C3480="C0","Nao",IF(IFERROR(INDEX(parametros!$A$2:$A$6,MATCH(C3480,parametros!$B$2:$B$6,0)),"")&lt;&gt;"Sim","Nao",IF(IFERROR(INDEX(parametros!$H$2:$H$6,MATCH(C3480,parametros!$B$2:$B$6,0)),"")="","",IF(B3480&gt;=IFERROR(INDEX(parametros!$H$2:$H$6,MATCH(C3480,parametros!$B$2:$B$6,0)),""),"Sim","Nao"))))))</f>
        <v/>
      </c>
      <c r="T3480" s="156"/>
      <c r="U3480" s="214" t="str">
        <f t="shared" si="276"/>
        <v/>
      </c>
      <c r="V3480" s="212" t="s">
        <v>50</v>
      </c>
      <c r="W3480" s="100" t="s">
        <v>168</v>
      </c>
      <c r="X3480" s="100" t="s">
        <v>169</v>
      </c>
      <c r="Y3480" s="101" t="s">
        <v>170</v>
      </c>
      <c r="Z3480" s="101" t="s">
        <v>171</v>
      </c>
      <c r="AA3480" s="101" t="s">
        <v>50</v>
      </c>
      <c r="AB3480" s="101" t="s">
        <v>172</v>
      </c>
      <c r="AC3480" s="102" t="s">
        <v>173</v>
      </c>
    </row>
    <row r="3481" spans="1:29" ht="25.5" customHeight="1" x14ac:dyDescent="0.35">
      <c r="A3481" s="392"/>
      <c r="B3481" s="393"/>
      <c r="C3481" s="99" t="str">
        <f>IF(B3481="","",IF(NOT(ISNUMBER(B3481)),"DATA_PC invalida",IF(NOT(ISNUMBER(parametros!$C$2)),"Fora dos ciclos",IF(OR(B3481&lt;parametros!$C$2,(YEAR(B3481)-YEAR(parametros!$C$2))*12+MONTH(B3481)-MONTH(parametros!$C$2)&gt;59),"Fora dos ciclos","C"&amp;INT(((YEAR(B3481)-YEAR(parametros!$C$2))*12+MONTH(B3481)-MONTH(parametros!$C$2))/12)))))</f>
        <v/>
      </c>
      <c r="D3481" s="394"/>
      <c r="E3481" s="78" t="str">
        <f>IF(C3481="","",IFERROR(VLOOKUP(C3481,parametros!$A$11:$E$15,5,0),""))</f>
        <v/>
      </c>
      <c r="F3481" s="79" t="str">
        <f t="shared" si="272"/>
        <v/>
      </c>
      <c r="G3481" s="395"/>
      <c r="H3481" s="91">
        <f t="shared" si="273"/>
        <v>0</v>
      </c>
      <c r="I3481" s="91" t="str">
        <f t="shared" si="274"/>
        <v/>
      </c>
      <c r="J3481" s="91" t="str">
        <f t="shared" si="275"/>
        <v/>
      </c>
      <c r="K3481" s="92" t="str">
        <f>IF(AND(A3481="",B3481="",D3481="",G3481=""),"",IF(AND(A3481&lt;&gt;"",COUNTIF($A$2:$A$5001,A3481)&gt;1),"NUMERO_PC duplicado",IF(B3481="","DATA_PC vazia",IF(NOT(ISNUMBER(B3481)),"DATA_PC invalida",IF(OR(C3481="",C3481="Fora dos ciclos"),"CICLO_PC nao identificado",IF(OR(D3481="",D3481=0),"VALOR_PC vazio ou zero",IF(AND(G3481&lt;&gt;"Sim",G3481&lt;&gt;"Nao",G3481&lt;&gt;""),"PC_PAGO_A_CONTRATADA invalido",IF(AND(C3481&lt;&gt;"C0",IFERROR(INDEX(parametros!$A$2:$A$6,MATCH(C3481,parametros!$B$2:$B$6,0)),"")="Sim",IFERROR(INDEX(parametros!$H$2:$H$6,MATCH(C3481,parametros!$B$2:$B$6,0)),"")=""),"INICIO_EFEITO ausente: PC "&amp;A3481&amp;" - "&amp;C3481,IF(L3481="","EFEITO_PC nao calculado: PC "&amp;A3481&amp;" - "&amp;C3481,"OK")))))))))</f>
        <v/>
      </c>
      <c r="L3481" s="92" t="str">
        <f>IF(AND(A3481="",B3481="",D3481="",G3481=""),"",IF(OR(B3481="",NOT(ISNUMBER(B3481)),C3481="",C3481="Fora dos ciclos"),"",IF(C3481="C0","Nao",IF(IFERROR(INDEX(parametros!$A$2:$A$6,MATCH(C3481,parametros!$B$2:$B$6,0)),"")&lt;&gt;"Sim","Nao",IF(IFERROR(INDEX(parametros!$H$2:$H$6,MATCH(C3481,parametros!$B$2:$B$6,0)),"")="","",IF(B3481&gt;=IFERROR(INDEX(parametros!$H$2:$H$6,MATCH(C3481,parametros!$B$2:$B$6,0)),""),"Sim","Nao"))))))</f>
        <v/>
      </c>
      <c r="T3481" s="156"/>
      <c r="U3481" s="214" t="str">
        <f t="shared" si="276"/>
        <v/>
      </c>
      <c r="V3481" s="212" t="s">
        <v>50</v>
      </c>
      <c r="W3481" s="100" t="s">
        <v>168</v>
      </c>
      <c r="X3481" s="100" t="s">
        <v>169</v>
      </c>
      <c r="Y3481" s="101" t="s">
        <v>170</v>
      </c>
      <c r="Z3481" s="101" t="s">
        <v>171</v>
      </c>
      <c r="AA3481" s="101" t="s">
        <v>50</v>
      </c>
      <c r="AB3481" s="101" t="s">
        <v>172</v>
      </c>
      <c r="AC3481" s="102" t="s">
        <v>173</v>
      </c>
    </row>
    <row r="3482" spans="1:29" ht="25.5" customHeight="1" x14ac:dyDescent="0.35">
      <c r="A3482" s="392"/>
      <c r="B3482" s="393"/>
      <c r="C3482" s="99" t="str">
        <f>IF(B3482="","",IF(NOT(ISNUMBER(B3482)),"DATA_PC invalida",IF(NOT(ISNUMBER(parametros!$C$2)),"Fora dos ciclos",IF(OR(B3482&lt;parametros!$C$2,(YEAR(B3482)-YEAR(parametros!$C$2))*12+MONTH(B3482)-MONTH(parametros!$C$2)&gt;59),"Fora dos ciclos","C"&amp;INT(((YEAR(B3482)-YEAR(parametros!$C$2))*12+MONTH(B3482)-MONTH(parametros!$C$2))/12)))))</f>
        <v/>
      </c>
      <c r="D3482" s="394"/>
      <c r="E3482" s="78" t="str">
        <f>IF(C3482="","",IFERROR(VLOOKUP(C3482,parametros!$A$11:$E$15,5,0),""))</f>
        <v/>
      </c>
      <c r="F3482" s="79" t="str">
        <f t="shared" si="272"/>
        <v/>
      </c>
      <c r="G3482" s="395"/>
      <c r="H3482" s="91">
        <f t="shared" si="273"/>
        <v>0</v>
      </c>
      <c r="I3482" s="91" t="str">
        <f t="shared" si="274"/>
        <v/>
      </c>
      <c r="J3482" s="91" t="str">
        <f t="shared" si="275"/>
        <v/>
      </c>
      <c r="K3482" s="92" t="str">
        <f>IF(AND(A3482="",B3482="",D3482="",G3482=""),"",IF(AND(A3482&lt;&gt;"",COUNTIF($A$2:$A$5001,A3482)&gt;1),"NUMERO_PC duplicado",IF(B3482="","DATA_PC vazia",IF(NOT(ISNUMBER(B3482)),"DATA_PC invalida",IF(OR(C3482="",C3482="Fora dos ciclos"),"CICLO_PC nao identificado",IF(OR(D3482="",D3482=0),"VALOR_PC vazio ou zero",IF(AND(G3482&lt;&gt;"Sim",G3482&lt;&gt;"Nao",G3482&lt;&gt;""),"PC_PAGO_A_CONTRATADA invalido",IF(AND(C3482&lt;&gt;"C0",IFERROR(INDEX(parametros!$A$2:$A$6,MATCH(C3482,parametros!$B$2:$B$6,0)),"")="Sim",IFERROR(INDEX(parametros!$H$2:$H$6,MATCH(C3482,parametros!$B$2:$B$6,0)),"")=""),"INICIO_EFEITO ausente: PC "&amp;A3482&amp;" - "&amp;C3482,IF(L3482="","EFEITO_PC nao calculado: PC "&amp;A3482&amp;" - "&amp;C3482,"OK")))))))))</f>
        <v/>
      </c>
      <c r="L3482" s="92" t="str">
        <f>IF(AND(A3482="",B3482="",D3482="",G3482=""),"",IF(OR(B3482="",NOT(ISNUMBER(B3482)),C3482="",C3482="Fora dos ciclos"),"",IF(C3482="C0","Nao",IF(IFERROR(INDEX(parametros!$A$2:$A$6,MATCH(C3482,parametros!$B$2:$B$6,0)),"")&lt;&gt;"Sim","Nao",IF(IFERROR(INDEX(parametros!$H$2:$H$6,MATCH(C3482,parametros!$B$2:$B$6,0)),"")="","",IF(B3482&gt;=IFERROR(INDEX(parametros!$H$2:$H$6,MATCH(C3482,parametros!$B$2:$B$6,0)),""),"Sim","Nao"))))))</f>
        <v/>
      </c>
      <c r="T3482" s="156"/>
      <c r="U3482" s="214" t="str">
        <f t="shared" si="276"/>
        <v/>
      </c>
      <c r="V3482" s="212" t="s">
        <v>50</v>
      </c>
      <c r="W3482" s="100" t="s">
        <v>168</v>
      </c>
      <c r="X3482" s="100" t="s">
        <v>169</v>
      </c>
      <c r="Y3482" s="101" t="s">
        <v>170</v>
      </c>
      <c r="Z3482" s="101" t="s">
        <v>171</v>
      </c>
      <c r="AA3482" s="101" t="s">
        <v>50</v>
      </c>
      <c r="AB3482" s="101" t="s">
        <v>172</v>
      </c>
      <c r="AC3482" s="102" t="s">
        <v>173</v>
      </c>
    </row>
    <row r="3483" spans="1:29" ht="25.5" customHeight="1" x14ac:dyDescent="0.35">
      <c r="A3483" s="392"/>
      <c r="B3483" s="393"/>
      <c r="C3483" s="99" t="str">
        <f>IF(B3483="","",IF(NOT(ISNUMBER(B3483)),"DATA_PC invalida",IF(NOT(ISNUMBER(parametros!$C$2)),"Fora dos ciclos",IF(OR(B3483&lt;parametros!$C$2,(YEAR(B3483)-YEAR(parametros!$C$2))*12+MONTH(B3483)-MONTH(parametros!$C$2)&gt;59),"Fora dos ciclos","C"&amp;INT(((YEAR(B3483)-YEAR(parametros!$C$2))*12+MONTH(B3483)-MONTH(parametros!$C$2))/12)))))</f>
        <v/>
      </c>
      <c r="D3483" s="394"/>
      <c r="E3483" s="78" t="str">
        <f>IF(C3483="","",IFERROR(VLOOKUP(C3483,parametros!$A$11:$E$15,5,0),""))</f>
        <v/>
      </c>
      <c r="F3483" s="79" t="str">
        <f t="shared" si="272"/>
        <v/>
      </c>
      <c r="G3483" s="395"/>
      <c r="H3483" s="91">
        <f t="shared" si="273"/>
        <v>0</v>
      </c>
      <c r="I3483" s="91" t="str">
        <f t="shared" si="274"/>
        <v/>
      </c>
      <c r="J3483" s="91" t="str">
        <f t="shared" si="275"/>
        <v/>
      </c>
      <c r="K3483" s="92" t="str">
        <f>IF(AND(A3483="",B3483="",D3483="",G3483=""),"",IF(AND(A3483&lt;&gt;"",COUNTIF($A$2:$A$5001,A3483)&gt;1),"NUMERO_PC duplicado",IF(B3483="","DATA_PC vazia",IF(NOT(ISNUMBER(B3483)),"DATA_PC invalida",IF(OR(C3483="",C3483="Fora dos ciclos"),"CICLO_PC nao identificado",IF(OR(D3483="",D3483=0),"VALOR_PC vazio ou zero",IF(AND(G3483&lt;&gt;"Sim",G3483&lt;&gt;"Nao",G3483&lt;&gt;""),"PC_PAGO_A_CONTRATADA invalido",IF(AND(C3483&lt;&gt;"C0",IFERROR(INDEX(parametros!$A$2:$A$6,MATCH(C3483,parametros!$B$2:$B$6,0)),"")="Sim",IFERROR(INDEX(parametros!$H$2:$H$6,MATCH(C3483,parametros!$B$2:$B$6,0)),"")=""),"INICIO_EFEITO ausente: PC "&amp;A3483&amp;" - "&amp;C3483,IF(L3483="","EFEITO_PC nao calculado: PC "&amp;A3483&amp;" - "&amp;C3483,"OK")))))))))</f>
        <v/>
      </c>
      <c r="L3483" s="92" t="str">
        <f>IF(AND(A3483="",B3483="",D3483="",G3483=""),"",IF(OR(B3483="",NOT(ISNUMBER(B3483)),C3483="",C3483="Fora dos ciclos"),"",IF(C3483="C0","Nao",IF(IFERROR(INDEX(parametros!$A$2:$A$6,MATCH(C3483,parametros!$B$2:$B$6,0)),"")&lt;&gt;"Sim","Nao",IF(IFERROR(INDEX(parametros!$H$2:$H$6,MATCH(C3483,parametros!$B$2:$B$6,0)),"")="","",IF(B3483&gt;=IFERROR(INDEX(parametros!$H$2:$H$6,MATCH(C3483,parametros!$B$2:$B$6,0)),""),"Sim","Nao"))))))</f>
        <v/>
      </c>
      <c r="T3483" s="156"/>
      <c r="U3483" s="214" t="str">
        <f t="shared" si="276"/>
        <v/>
      </c>
      <c r="V3483" s="212" t="s">
        <v>50</v>
      </c>
      <c r="W3483" s="100" t="s">
        <v>168</v>
      </c>
      <c r="X3483" s="100" t="s">
        <v>169</v>
      </c>
      <c r="Y3483" s="101" t="s">
        <v>170</v>
      </c>
      <c r="Z3483" s="101" t="s">
        <v>171</v>
      </c>
      <c r="AA3483" s="101" t="s">
        <v>50</v>
      </c>
      <c r="AB3483" s="101" t="s">
        <v>172</v>
      </c>
      <c r="AC3483" s="102" t="s">
        <v>173</v>
      </c>
    </row>
    <row r="3484" spans="1:29" ht="25.5" customHeight="1" x14ac:dyDescent="0.35">
      <c r="A3484" s="392"/>
      <c r="B3484" s="393"/>
      <c r="C3484" s="99" t="str">
        <f>IF(B3484="","",IF(NOT(ISNUMBER(B3484)),"DATA_PC invalida",IF(NOT(ISNUMBER(parametros!$C$2)),"Fora dos ciclos",IF(OR(B3484&lt;parametros!$C$2,(YEAR(B3484)-YEAR(parametros!$C$2))*12+MONTH(B3484)-MONTH(parametros!$C$2)&gt;59),"Fora dos ciclos","C"&amp;INT(((YEAR(B3484)-YEAR(parametros!$C$2))*12+MONTH(B3484)-MONTH(parametros!$C$2))/12)))))</f>
        <v/>
      </c>
      <c r="D3484" s="394"/>
      <c r="E3484" s="78" t="str">
        <f>IF(C3484="","",IFERROR(VLOOKUP(C3484,parametros!$A$11:$E$15,5,0),""))</f>
        <v/>
      </c>
      <c r="F3484" s="79" t="str">
        <f t="shared" si="272"/>
        <v/>
      </c>
      <c r="G3484" s="395"/>
      <c r="H3484" s="91">
        <f t="shared" si="273"/>
        <v>0</v>
      </c>
      <c r="I3484" s="91" t="str">
        <f t="shared" si="274"/>
        <v/>
      </c>
      <c r="J3484" s="91" t="str">
        <f t="shared" si="275"/>
        <v/>
      </c>
      <c r="K3484" s="92" t="str">
        <f>IF(AND(A3484="",B3484="",D3484="",G3484=""),"",IF(AND(A3484&lt;&gt;"",COUNTIF($A$2:$A$5001,A3484)&gt;1),"NUMERO_PC duplicado",IF(B3484="","DATA_PC vazia",IF(NOT(ISNUMBER(B3484)),"DATA_PC invalida",IF(OR(C3484="",C3484="Fora dos ciclos"),"CICLO_PC nao identificado",IF(OR(D3484="",D3484=0),"VALOR_PC vazio ou zero",IF(AND(G3484&lt;&gt;"Sim",G3484&lt;&gt;"Nao",G3484&lt;&gt;""),"PC_PAGO_A_CONTRATADA invalido",IF(AND(C3484&lt;&gt;"C0",IFERROR(INDEX(parametros!$A$2:$A$6,MATCH(C3484,parametros!$B$2:$B$6,0)),"")="Sim",IFERROR(INDEX(parametros!$H$2:$H$6,MATCH(C3484,parametros!$B$2:$B$6,0)),"")=""),"INICIO_EFEITO ausente: PC "&amp;A3484&amp;" - "&amp;C3484,IF(L3484="","EFEITO_PC nao calculado: PC "&amp;A3484&amp;" - "&amp;C3484,"OK")))))))))</f>
        <v/>
      </c>
      <c r="L3484" s="92" t="str">
        <f>IF(AND(A3484="",B3484="",D3484="",G3484=""),"",IF(OR(B3484="",NOT(ISNUMBER(B3484)),C3484="",C3484="Fora dos ciclos"),"",IF(C3484="C0","Nao",IF(IFERROR(INDEX(parametros!$A$2:$A$6,MATCH(C3484,parametros!$B$2:$B$6,0)),"")&lt;&gt;"Sim","Nao",IF(IFERROR(INDEX(parametros!$H$2:$H$6,MATCH(C3484,parametros!$B$2:$B$6,0)),"")="","",IF(B3484&gt;=IFERROR(INDEX(parametros!$H$2:$H$6,MATCH(C3484,parametros!$B$2:$B$6,0)),""),"Sim","Nao"))))))</f>
        <v/>
      </c>
      <c r="T3484" s="156"/>
      <c r="U3484" s="214" t="str">
        <f t="shared" si="276"/>
        <v/>
      </c>
      <c r="V3484" s="212" t="s">
        <v>50</v>
      </c>
      <c r="W3484" s="100" t="s">
        <v>168</v>
      </c>
      <c r="X3484" s="100" t="s">
        <v>169</v>
      </c>
      <c r="Y3484" s="101" t="s">
        <v>170</v>
      </c>
      <c r="Z3484" s="101" t="s">
        <v>171</v>
      </c>
      <c r="AA3484" s="101" t="s">
        <v>50</v>
      </c>
      <c r="AB3484" s="101" t="s">
        <v>172</v>
      </c>
      <c r="AC3484" s="102" t="s">
        <v>173</v>
      </c>
    </row>
    <row r="3485" spans="1:29" ht="25.5" customHeight="1" x14ac:dyDescent="0.35">
      <c r="A3485" s="392"/>
      <c r="B3485" s="393"/>
      <c r="C3485" s="99" t="str">
        <f>IF(B3485="","",IF(NOT(ISNUMBER(B3485)),"DATA_PC invalida",IF(NOT(ISNUMBER(parametros!$C$2)),"Fora dos ciclos",IF(OR(B3485&lt;parametros!$C$2,(YEAR(B3485)-YEAR(parametros!$C$2))*12+MONTH(B3485)-MONTH(parametros!$C$2)&gt;59),"Fora dos ciclos","C"&amp;INT(((YEAR(B3485)-YEAR(parametros!$C$2))*12+MONTH(B3485)-MONTH(parametros!$C$2))/12)))))</f>
        <v/>
      </c>
      <c r="D3485" s="394"/>
      <c r="E3485" s="78" t="str">
        <f>IF(C3485="","",IFERROR(VLOOKUP(C3485,parametros!$A$11:$E$15,5,0),""))</f>
        <v/>
      </c>
      <c r="F3485" s="79" t="str">
        <f t="shared" si="272"/>
        <v/>
      </c>
      <c r="G3485" s="395"/>
      <c r="H3485" s="91">
        <f t="shared" si="273"/>
        <v>0</v>
      </c>
      <c r="I3485" s="91" t="str">
        <f t="shared" si="274"/>
        <v/>
      </c>
      <c r="J3485" s="91" t="str">
        <f t="shared" si="275"/>
        <v/>
      </c>
      <c r="K3485" s="92" t="str">
        <f>IF(AND(A3485="",B3485="",D3485="",G3485=""),"",IF(AND(A3485&lt;&gt;"",COUNTIF($A$2:$A$5001,A3485)&gt;1),"NUMERO_PC duplicado",IF(B3485="","DATA_PC vazia",IF(NOT(ISNUMBER(B3485)),"DATA_PC invalida",IF(OR(C3485="",C3485="Fora dos ciclos"),"CICLO_PC nao identificado",IF(OR(D3485="",D3485=0),"VALOR_PC vazio ou zero",IF(AND(G3485&lt;&gt;"Sim",G3485&lt;&gt;"Nao",G3485&lt;&gt;""),"PC_PAGO_A_CONTRATADA invalido",IF(AND(C3485&lt;&gt;"C0",IFERROR(INDEX(parametros!$A$2:$A$6,MATCH(C3485,parametros!$B$2:$B$6,0)),"")="Sim",IFERROR(INDEX(parametros!$H$2:$H$6,MATCH(C3485,parametros!$B$2:$B$6,0)),"")=""),"INICIO_EFEITO ausente: PC "&amp;A3485&amp;" - "&amp;C3485,IF(L3485="","EFEITO_PC nao calculado: PC "&amp;A3485&amp;" - "&amp;C3485,"OK")))))))))</f>
        <v/>
      </c>
      <c r="L3485" s="92" t="str">
        <f>IF(AND(A3485="",B3485="",D3485="",G3485=""),"",IF(OR(B3485="",NOT(ISNUMBER(B3485)),C3485="",C3485="Fora dos ciclos"),"",IF(C3485="C0","Nao",IF(IFERROR(INDEX(parametros!$A$2:$A$6,MATCH(C3485,parametros!$B$2:$B$6,0)),"")&lt;&gt;"Sim","Nao",IF(IFERROR(INDEX(parametros!$H$2:$H$6,MATCH(C3485,parametros!$B$2:$B$6,0)),"")="","",IF(B3485&gt;=IFERROR(INDEX(parametros!$H$2:$H$6,MATCH(C3485,parametros!$B$2:$B$6,0)),""),"Sim","Nao"))))))</f>
        <v/>
      </c>
      <c r="T3485" s="156"/>
      <c r="U3485" s="214" t="str">
        <f t="shared" si="276"/>
        <v/>
      </c>
      <c r="V3485" s="212" t="s">
        <v>50</v>
      </c>
      <c r="W3485" s="100" t="s">
        <v>168</v>
      </c>
      <c r="X3485" s="100" t="s">
        <v>169</v>
      </c>
      <c r="Y3485" s="101" t="s">
        <v>170</v>
      </c>
      <c r="Z3485" s="101" t="s">
        <v>171</v>
      </c>
      <c r="AA3485" s="101" t="s">
        <v>50</v>
      </c>
      <c r="AB3485" s="101" t="s">
        <v>172</v>
      </c>
      <c r="AC3485" s="102" t="s">
        <v>173</v>
      </c>
    </row>
    <row r="3486" spans="1:29" ht="25.5" customHeight="1" x14ac:dyDescent="0.35">
      <c r="A3486" s="392"/>
      <c r="B3486" s="393"/>
      <c r="C3486" s="99" t="str">
        <f>IF(B3486="","",IF(NOT(ISNUMBER(B3486)),"DATA_PC invalida",IF(NOT(ISNUMBER(parametros!$C$2)),"Fora dos ciclos",IF(OR(B3486&lt;parametros!$C$2,(YEAR(B3486)-YEAR(parametros!$C$2))*12+MONTH(B3486)-MONTH(parametros!$C$2)&gt;59),"Fora dos ciclos","C"&amp;INT(((YEAR(B3486)-YEAR(parametros!$C$2))*12+MONTH(B3486)-MONTH(parametros!$C$2))/12)))))</f>
        <v/>
      </c>
      <c r="D3486" s="394"/>
      <c r="E3486" s="78" t="str">
        <f>IF(C3486="","",IFERROR(VLOOKUP(C3486,parametros!$A$11:$E$15,5,0),""))</f>
        <v/>
      </c>
      <c r="F3486" s="79" t="str">
        <f t="shared" si="272"/>
        <v/>
      </c>
      <c r="G3486" s="395"/>
      <c r="H3486" s="91">
        <f t="shared" si="273"/>
        <v>0</v>
      </c>
      <c r="I3486" s="91" t="str">
        <f t="shared" si="274"/>
        <v/>
      </c>
      <c r="J3486" s="91" t="str">
        <f t="shared" si="275"/>
        <v/>
      </c>
      <c r="K3486" s="92" t="str">
        <f>IF(AND(A3486="",B3486="",D3486="",G3486=""),"",IF(AND(A3486&lt;&gt;"",COUNTIF($A$2:$A$5001,A3486)&gt;1),"NUMERO_PC duplicado",IF(B3486="","DATA_PC vazia",IF(NOT(ISNUMBER(B3486)),"DATA_PC invalida",IF(OR(C3486="",C3486="Fora dos ciclos"),"CICLO_PC nao identificado",IF(OR(D3486="",D3486=0),"VALOR_PC vazio ou zero",IF(AND(G3486&lt;&gt;"Sim",G3486&lt;&gt;"Nao",G3486&lt;&gt;""),"PC_PAGO_A_CONTRATADA invalido",IF(AND(C3486&lt;&gt;"C0",IFERROR(INDEX(parametros!$A$2:$A$6,MATCH(C3486,parametros!$B$2:$B$6,0)),"")="Sim",IFERROR(INDEX(parametros!$H$2:$H$6,MATCH(C3486,parametros!$B$2:$B$6,0)),"")=""),"INICIO_EFEITO ausente: PC "&amp;A3486&amp;" - "&amp;C3486,IF(L3486="","EFEITO_PC nao calculado: PC "&amp;A3486&amp;" - "&amp;C3486,"OK")))))))))</f>
        <v/>
      </c>
      <c r="L3486" s="92" t="str">
        <f>IF(AND(A3486="",B3486="",D3486="",G3486=""),"",IF(OR(B3486="",NOT(ISNUMBER(B3486)),C3486="",C3486="Fora dos ciclos"),"",IF(C3486="C0","Nao",IF(IFERROR(INDEX(parametros!$A$2:$A$6,MATCH(C3486,parametros!$B$2:$B$6,0)),"")&lt;&gt;"Sim","Nao",IF(IFERROR(INDEX(parametros!$H$2:$H$6,MATCH(C3486,parametros!$B$2:$B$6,0)),"")="","",IF(B3486&gt;=IFERROR(INDEX(parametros!$H$2:$H$6,MATCH(C3486,parametros!$B$2:$B$6,0)),""),"Sim","Nao"))))))</f>
        <v/>
      </c>
      <c r="T3486" s="156"/>
      <c r="U3486" s="214" t="str">
        <f t="shared" si="276"/>
        <v/>
      </c>
      <c r="V3486" s="212" t="s">
        <v>50</v>
      </c>
      <c r="W3486" s="100" t="s">
        <v>168</v>
      </c>
      <c r="X3486" s="100" t="s">
        <v>169</v>
      </c>
      <c r="Y3486" s="101" t="s">
        <v>170</v>
      </c>
      <c r="Z3486" s="101" t="s">
        <v>171</v>
      </c>
      <c r="AA3486" s="101" t="s">
        <v>50</v>
      </c>
      <c r="AB3486" s="101" t="s">
        <v>172</v>
      </c>
      <c r="AC3486" s="102" t="s">
        <v>173</v>
      </c>
    </row>
    <row r="3487" spans="1:29" ht="25.5" customHeight="1" x14ac:dyDescent="0.35">
      <c r="A3487" s="392"/>
      <c r="B3487" s="393"/>
      <c r="C3487" s="99" t="str">
        <f>IF(B3487="","",IF(NOT(ISNUMBER(B3487)),"DATA_PC invalida",IF(NOT(ISNUMBER(parametros!$C$2)),"Fora dos ciclos",IF(OR(B3487&lt;parametros!$C$2,(YEAR(B3487)-YEAR(parametros!$C$2))*12+MONTH(B3487)-MONTH(parametros!$C$2)&gt;59),"Fora dos ciclos","C"&amp;INT(((YEAR(B3487)-YEAR(parametros!$C$2))*12+MONTH(B3487)-MONTH(parametros!$C$2))/12)))))</f>
        <v/>
      </c>
      <c r="D3487" s="394"/>
      <c r="E3487" s="78" t="str">
        <f>IF(C3487="","",IFERROR(VLOOKUP(C3487,parametros!$A$11:$E$15,5,0),""))</f>
        <v/>
      </c>
      <c r="F3487" s="79" t="str">
        <f t="shared" si="272"/>
        <v/>
      </c>
      <c r="G3487" s="395"/>
      <c r="H3487" s="91">
        <f t="shared" si="273"/>
        <v>0</v>
      </c>
      <c r="I3487" s="91" t="str">
        <f t="shared" si="274"/>
        <v/>
      </c>
      <c r="J3487" s="91" t="str">
        <f t="shared" si="275"/>
        <v/>
      </c>
      <c r="K3487" s="92" t="str">
        <f>IF(AND(A3487="",B3487="",D3487="",G3487=""),"",IF(AND(A3487&lt;&gt;"",COUNTIF($A$2:$A$5001,A3487)&gt;1),"NUMERO_PC duplicado",IF(B3487="","DATA_PC vazia",IF(NOT(ISNUMBER(B3487)),"DATA_PC invalida",IF(OR(C3487="",C3487="Fora dos ciclos"),"CICLO_PC nao identificado",IF(OR(D3487="",D3487=0),"VALOR_PC vazio ou zero",IF(AND(G3487&lt;&gt;"Sim",G3487&lt;&gt;"Nao",G3487&lt;&gt;""),"PC_PAGO_A_CONTRATADA invalido",IF(AND(C3487&lt;&gt;"C0",IFERROR(INDEX(parametros!$A$2:$A$6,MATCH(C3487,parametros!$B$2:$B$6,0)),"")="Sim",IFERROR(INDEX(parametros!$H$2:$H$6,MATCH(C3487,parametros!$B$2:$B$6,0)),"")=""),"INICIO_EFEITO ausente: PC "&amp;A3487&amp;" - "&amp;C3487,IF(L3487="","EFEITO_PC nao calculado: PC "&amp;A3487&amp;" - "&amp;C3487,"OK")))))))))</f>
        <v/>
      </c>
      <c r="L3487" s="92" t="str">
        <f>IF(AND(A3487="",B3487="",D3487="",G3487=""),"",IF(OR(B3487="",NOT(ISNUMBER(B3487)),C3487="",C3487="Fora dos ciclos"),"",IF(C3487="C0","Nao",IF(IFERROR(INDEX(parametros!$A$2:$A$6,MATCH(C3487,parametros!$B$2:$B$6,0)),"")&lt;&gt;"Sim","Nao",IF(IFERROR(INDEX(parametros!$H$2:$H$6,MATCH(C3487,parametros!$B$2:$B$6,0)),"")="","",IF(B3487&gt;=IFERROR(INDEX(parametros!$H$2:$H$6,MATCH(C3487,parametros!$B$2:$B$6,0)),""),"Sim","Nao"))))))</f>
        <v/>
      </c>
      <c r="T3487" s="156"/>
      <c r="U3487" s="214" t="str">
        <f t="shared" si="276"/>
        <v/>
      </c>
      <c r="V3487" s="212" t="s">
        <v>50</v>
      </c>
      <c r="W3487" s="100" t="s">
        <v>168</v>
      </c>
      <c r="X3487" s="100" t="s">
        <v>169</v>
      </c>
      <c r="Y3487" s="101" t="s">
        <v>170</v>
      </c>
      <c r="Z3487" s="101" t="s">
        <v>171</v>
      </c>
      <c r="AA3487" s="101" t="s">
        <v>50</v>
      </c>
      <c r="AB3487" s="101" t="s">
        <v>172</v>
      </c>
      <c r="AC3487" s="102" t="s">
        <v>173</v>
      </c>
    </row>
    <row r="3488" spans="1:29" ht="25.5" customHeight="1" x14ac:dyDescent="0.35">
      <c r="A3488" s="392"/>
      <c r="B3488" s="393"/>
      <c r="C3488" s="99" t="str">
        <f>IF(B3488="","",IF(NOT(ISNUMBER(B3488)),"DATA_PC invalida",IF(NOT(ISNUMBER(parametros!$C$2)),"Fora dos ciclos",IF(OR(B3488&lt;parametros!$C$2,(YEAR(B3488)-YEAR(parametros!$C$2))*12+MONTH(B3488)-MONTH(parametros!$C$2)&gt;59),"Fora dos ciclos","C"&amp;INT(((YEAR(B3488)-YEAR(parametros!$C$2))*12+MONTH(B3488)-MONTH(parametros!$C$2))/12)))))</f>
        <v/>
      </c>
      <c r="D3488" s="394"/>
      <c r="E3488" s="78" t="str">
        <f>IF(C3488="","",IFERROR(VLOOKUP(C3488,parametros!$A$11:$E$15,5,0),""))</f>
        <v/>
      </c>
      <c r="F3488" s="79" t="str">
        <f t="shared" si="272"/>
        <v/>
      </c>
      <c r="G3488" s="395"/>
      <c r="H3488" s="91">
        <f t="shared" si="273"/>
        <v>0</v>
      </c>
      <c r="I3488" s="91" t="str">
        <f t="shared" si="274"/>
        <v/>
      </c>
      <c r="J3488" s="91" t="str">
        <f t="shared" si="275"/>
        <v/>
      </c>
      <c r="K3488" s="92" t="str">
        <f>IF(AND(A3488="",B3488="",D3488="",G3488=""),"",IF(AND(A3488&lt;&gt;"",COUNTIF($A$2:$A$5001,A3488)&gt;1),"NUMERO_PC duplicado",IF(B3488="","DATA_PC vazia",IF(NOT(ISNUMBER(B3488)),"DATA_PC invalida",IF(OR(C3488="",C3488="Fora dos ciclos"),"CICLO_PC nao identificado",IF(OR(D3488="",D3488=0),"VALOR_PC vazio ou zero",IF(AND(G3488&lt;&gt;"Sim",G3488&lt;&gt;"Nao",G3488&lt;&gt;""),"PC_PAGO_A_CONTRATADA invalido",IF(AND(C3488&lt;&gt;"C0",IFERROR(INDEX(parametros!$A$2:$A$6,MATCH(C3488,parametros!$B$2:$B$6,0)),"")="Sim",IFERROR(INDEX(parametros!$H$2:$H$6,MATCH(C3488,parametros!$B$2:$B$6,0)),"")=""),"INICIO_EFEITO ausente: PC "&amp;A3488&amp;" - "&amp;C3488,IF(L3488="","EFEITO_PC nao calculado: PC "&amp;A3488&amp;" - "&amp;C3488,"OK")))))))))</f>
        <v/>
      </c>
      <c r="L3488" s="92" t="str">
        <f>IF(AND(A3488="",B3488="",D3488="",G3488=""),"",IF(OR(B3488="",NOT(ISNUMBER(B3488)),C3488="",C3488="Fora dos ciclos"),"",IF(C3488="C0","Nao",IF(IFERROR(INDEX(parametros!$A$2:$A$6,MATCH(C3488,parametros!$B$2:$B$6,0)),"")&lt;&gt;"Sim","Nao",IF(IFERROR(INDEX(parametros!$H$2:$H$6,MATCH(C3488,parametros!$B$2:$B$6,0)),"")="","",IF(B3488&gt;=IFERROR(INDEX(parametros!$H$2:$H$6,MATCH(C3488,parametros!$B$2:$B$6,0)),""),"Sim","Nao"))))))</f>
        <v/>
      </c>
      <c r="T3488" s="156"/>
      <c r="U3488" s="214" t="str">
        <f t="shared" si="276"/>
        <v/>
      </c>
      <c r="V3488" s="212" t="s">
        <v>50</v>
      </c>
      <c r="W3488" s="100" t="s">
        <v>168</v>
      </c>
      <c r="X3488" s="100" t="s">
        <v>169</v>
      </c>
      <c r="Y3488" s="101" t="s">
        <v>170</v>
      </c>
      <c r="Z3488" s="101" t="s">
        <v>171</v>
      </c>
      <c r="AA3488" s="101" t="s">
        <v>50</v>
      </c>
      <c r="AB3488" s="101" t="s">
        <v>172</v>
      </c>
      <c r="AC3488" s="102" t="s">
        <v>173</v>
      </c>
    </row>
    <row r="3489" spans="1:29" ht="25.5" customHeight="1" x14ac:dyDescent="0.35">
      <c r="A3489" s="392"/>
      <c r="B3489" s="393"/>
      <c r="C3489" s="99" t="str">
        <f>IF(B3489="","",IF(NOT(ISNUMBER(B3489)),"DATA_PC invalida",IF(NOT(ISNUMBER(parametros!$C$2)),"Fora dos ciclos",IF(OR(B3489&lt;parametros!$C$2,(YEAR(B3489)-YEAR(parametros!$C$2))*12+MONTH(B3489)-MONTH(parametros!$C$2)&gt;59),"Fora dos ciclos","C"&amp;INT(((YEAR(B3489)-YEAR(parametros!$C$2))*12+MONTH(B3489)-MONTH(parametros!$C$2))/12)))))</f>
        <v/>
      </c>
      <c r="D3489" s="394"/>
      <c r="E3489" s="78" t="str">
        <f>IF(C3489="","",IFERROR(VLOOKUP(C3489,parametros!$A$11:$E$15,5,0),""))</f>
        <v/>
      </c>
      <c r="F3489" s="79" t="str">
        <f t="shared" si="272"/>
        <v/>
      </c>
      <c r="G3489" s="395"/>
      <c r="H3489" s="91">
        <f t="shared" si="273"/>
        <v>0</v>
      </c>
      <c r="I3489" s="91" t="str">
        <f t="shared" si="274"/>
        <v/>
      </c>
      <c r="J3489" s="91" t="str">
        <f t="shared" si="275"/>
        <v/>
      </c>
      <c r="K3489" s="92" t="str">
        <f>IF(AND(A3489="",B3489="",D3489="",G3489=""),"",IF(AND(A3489&lt;&gt;"",COUNTIF($A$2:$A$5001,A3489)&gt;1),"NUMERO_PC duplicado",IF(B3489="","DATA_PC vazia",IF(NOT(ISNUMBER(B3489)),"DATA_PC invalida",IF(OR(C3489="",C3489="Fora dos ciclos"),"CICLO_PC nao identificado",IF(OR(D3489="",D3489=0),"VALOR_PC vazio ou zero",IF(AND(G3489&lt;&gt;"Sim",G3489&lt;&gt;"Nao",G3489&lt;&gt;""),"PC_PAGO_A_CONTRATADA invalido",IF(AND(C3489&lt;&gt;"C0",IFERROR(INDEX(parametros!$A$2:$A$6,MATCH(C3489,parametros!$B$2:$B$6,0)),"")="Sim",IFERROR(INDEX(parametros!$H$2:$H$6,MATCH(C3489,parametros!$B$2:$B$6,0)),"")=""),"INICIO_EFEITO ausente: PC "&amp;A3489&amp;" - "&amp;C3489,IF(L3489="","EFEITO_PC nao calculado: PC "&amp;A3489&amp;" - "&amp;C3489,"OK")))))))))</f>
        <v/>
      </c>
      <c r="L3489" s="92" t="str">
        <f>IF(AND(A3489="",B3489="",D3489="",G3489=""),"",IF(OR(B3489="",NOT(ISNUMBER(B3489)),C3489="",C3489="Fora dos ciclos"),"",IF(C3489="C0","Nao",IF(IFERROR(INDEX(parametros!$A$2:$A$6,MATCH(C3489,parametros!$B$2:$B$6,0)),"")&lt;&gt;"Sim","Nao",IF(IFERROR(INDEX(parametros!$H$2:$H$6,MATCH(C3489,parametros!$B$2:$B$6,0)),"")="","",IF(B3489&gt;=IFERROR(INDEX(parametros!$H$2:$H$6,MATCH(C3489,parametros!$B$2:$B$6,0)),""),"Sim","Nao"))))))</f>
        <v/>
      </c>
      <c r="T3489" s="156"/>
      <c r="U3489" s="214" t="str">
        <f t="shared" si="276"/>
        <v/>
      </c>
      <c r="V3489" s="212" t="s">
        <v>50</v>
      </c>
      <c r="W3489" s="100" t="s">
        <v>168</v>
      </c>
      <c r="X3489" s="100" t="s">
        <v>169</v>
      </c>
      <c r="Y3489" s="101" t="s">
        <v>170</v>
      </c>
      <c r="Z3489" s="101" t="s">
        <v>171</v>
      </c>
      <c r="AA3489" s="101" t="s">
        <v>50</v>
      </c>
      <c r="AB3489" s="101" t="s">
        <v>172</v>
      </c>
      <c r="AC3489" s="102" t="s">
        <v>173</v>
      </c>
    </row>
    <row r="3490" spans="1:29" ht="25.5" customHeight="1" x14ac:dyDescent="0.35">
      <c r="A3490" s="392"/>
      <c r="B3490" s="393"/>
      <c r="C3490" s="99" t="str">
        <f>IF(B3490="","",IF(NOT(ISNUMBER(B3490)),"DATA_PC invalida",IF(NOT(ISNUMBER(parametros!$C$2)),"Fora dos ciclos",IF(OR(B3490&lt;parametros!$C$2,(YEAR(B3490)-YEAR(parametros!$C$2))*12+MONTH(B3490)-MONTH(parametros!$C$2)&gt;59),"Fora dos ciclos","C"&amp;INT(((YEAR(B3490)-YEAR(parametros!$C$2))*12+MONTH(B3490)-MONTH(parametros!$C$2))/12)))))</f>
        <v/>
      </c>
      <c r="D3490" s="394"/>
      <c r="E3490" s="78" t="str">
        <f>IF(C3490="","",IFERROR(VLOOKUP(C3490,parametros!$A$11:$E$15,5,0),""))</f>
        <v/>
      </c>
      <c r="F3490" s="79" t="str">
        <f t="shared" si="272"/>
        <v/>
      </c>
      <c r="G3490" s="395"/>
      <c r="H3490" s="91">
        <f t="shared" si="273"/>
        <v>0</v>
      </c>
      <c r="I3490" s="91" t="str">
        <f t="shared" si="274"/>
        <v/>
      </c>
      <c r="J3490" s="91" t="str">
        <f t="shared" si="275"/>
        <v/>
      </c>
      <c r="K3490" s="92" t="str">
        <f>IF(AND(A3490="",B3490="",D3490="",G3490=""),"",IF(AND(A3490&lt;&gt;"",COUNTIF($A$2:$A$5001,A3490)&gt;1),"NUMERO_PC duplicado",IF(B3490="","DATA_PC vazia",IF(NOT(ISNUMBER(B3490)),"DATA_PC invalida",IF(OR(C3490="",C3490="Fora dos ciclos"),"CICLO_PC nao identificado",IF(OR(D3490="",D3490=0),"VALOR_PC vazio ou zero",IF(AND(G3490&lt;&gt;"Sim",G3490&lt;&gt;"Nao",G3490&lt;&gt;""),"PC_PAGO_A_CONTRATADA invalido",IF(AND(C3490&lt;&gt;"C0",IFERROR(INDEX(parametros!$A$2:$A$6,MATCH(C3490,parametros!$B$2:$B$6,0)),"")="Sim",IFERROR(INDEX(parametros!$H$2:$H$6,MATCH(C3490,parametros!$B$2:$B$6,0)),"")=""),"INICIO_EFEITO ausente: PC "&amp;A3490&amp;" - "&amp;C3490,IF(L3490="","EFEITO_PC nao calculado: PC "&amp;A3490&amp;" - "&amp;C3490,"OK")))))))))</f>
        <v/>
      </c>
      <c r="L3490" s="92" t="str">
        <f>IF(AND(A3490="",B3490="",D3490="",G3490=""),"",IF(OR(B3490="",NOT(ISNUMBER(B3490)),C3490="",C3490="Fora dos ciclos"),"",IF(C3490="C0","Nao",IF(IFERROR(INDEX(parametros!$A$2:$A$6,MATCH(C3490,parametros!$B$2:$B$6,0)),"")&lt;&gt;"Sim","Nao",IF(IFERROR(INDEX(parametros!$H$2:$H$6,MATCH(C3490,parametros!$B$2:$B$6,0)),"")="","",IF(B3490&gt;=IFERROR(INDEX(parametros!$H$2:$H$6,MATCH(C3490,parametros!$B$2:$B$6,0)),""),"Sim","Nao"))))))</f>
        <v/>
      </c>
      <c r="T3490" s="156"/>
      <c r="U3490" s="214" t="str">
        <f t="shared" si="276"/>
        <v/>
      </c>
      <c r="V3490" s="212" t="s">
        <v>50</v>
      </c>
      <c r="W3490" s="100" t="s">
        <v>168</v>
      </c>
      <c r="X3490" s="100" t="s">
        <v>169</v>
      </c>
      <c r="Y3490" s="101" t="s">
        <v>170</v>
      </c>
      <c r="Z3490" s="101" t="s">
        <v>171</v>
      </c>
      <c r="AA3490" s="101" t="s">
        <v>50</v>
      </c>
      <c r="AB3490" s="101" t="s">
        <v>172</v>
      </c>
      <c r="AC3490" s="102" t="s">
        <v>173</v>
      </c>
    </row>
    <row r="3491" spans="1:29" ht="25.5" customHeight="1" x14ac:dyDescent="0.35">
      <c r="A3491" s="392"/>
      <c r="B3491" s="393"/>
      <c r="C3491" s="99" t="str">
        <f>IF(B3491="","",IF(NOT(ISNUMBER(B3491)),"DATA_PC invalida",IF(NOT(ISNUMBER(parametros!$C$2)),"Fora dos ciclos",IF(OR(B3491&lt;parametros!$C$2,(YEAR(B3491)-YEAR(parametros!$C$2))*12+MONTH(B3491)-MONTH(parametros!$C$2)&gt;59),"Fora dos ciclos","C"&amp;INT(((YEAR(B3491)-YEAR(parametros!$C$2))*12+MONTH(B3491)-MONTH(parametros!$C$2))/12)))))</f>
        <v/>
      </c>
      <c r="D3491" s="394"/>
      <c r="E3491" s="78" t="str">
        <f>IF(C3491="","",IFERROR(VLOOKUP(C3491,parametros!$A$11:$E$15,5,0),""))</f>
        <v/>
      </c>
      <c r="F3491" s="79" t="str">
        <f t="shared" si="272"/>
        <v/>
      </c>
      <c r="G3491" s="395"/>
      <c r="H3491" s="91">
        <f t="shared" si="273"/>
        <v>0</v>
      </c>
      <c r="I3491" s="91" t="str">
        <f t="shared" si="274"/>
        <v/>
      </c>
      <c r="J3491" s="91" t="str">
        <f t="shared" si="275"/>
        <v/>
      </c>
      <c r="K3491" s="92" t="str">
        <f>IF(AND(A3491="",B3491="",D3491="",G3491=""),"",IF(AND(A3491&lt;&gt;"",COUNTIF($A$2:$A$5001,A3491)&gt;1),"NUMERO_PC duplicado",IF(B3491="","DATA_PC vazia",IF(NOT(ISNUMBER(B3491)),"DATA_PC invalida",IF(OR(C3491="",C3491="Fora dos ciclos"),"CICLO_PC nao identificado",IF(OR(D3491="",D3491=0),"VALOR_PC vazio ou zero",IF(AND(G3491&lt;&gt;"Sim",G3491&lt;&gt;"Nao",G3491&lt;&gt;""),"PC_PAGO_A_CONTRATADA invalido",IF(AND(C3491&lt;&gt;"C0",IFERROR(INDEX(parametros!$A$2:$A$6,MATCH(C3491,parametros!$B$2:$B$6,0)),"")="Sim",IFERROR(INDEX(parametros!$H$2:$H$6,MATCH(C3491,parametros!$B$2:$B$6,0)),"")=""),"INICIO_EFEITO ausente: PC "&amp;A3491&amp;" - "&amp;C3491,IF(L3491="","EFEITO_PC nao calculado: PC "&amp;A3491&amp;" - "&amp;C3491,"OK")))))))))</f>
        <v/>
      </c>
      <c r="L3491" s="92" t="str">
        <f>IF(AND(A3491="",B3491="",D3491="",G3491=""),"",IF(OR(B3491="",NOT(ISNUMBER(B3491)),C3491="",C3491="Fora dos ciclos"),"",IF(C3491="C0","Nao",IF(IFERROR(INDEX(parametros!$A$2:$A$6,MATCH(C3491,parametros!$B$2:$B$6,0)),"")&lt;&gt;"Sim","Nao",IF(IFERROR(INDEX(parametros!$H$2:$H$6,MATCH(C3491,parametros!$B$2:$B$6,0)),"")="","",IF(B3491&gt;=IFERROR(INDEX(parametros!$H$2:$H$6,MATCH(C3491,parametros!$B$2:$B$6,0)),""),"Sim","Nao"))))))</f>
        <v/>
      </c>
      <c r="T3491" s="156"/>
      <c r="U3491" s="214" t="str">
        <f t="shared" si="276"/>
        <v/>
      </c>
      <c r="V3491" s="212" t="s">
        <v>50</v>
      </c>
      <c r="W3491" s="100" t="s">
        <v>168</v>
      </c>
      <c r="X3491" s="100" t="s">
        <v>169</v>
      </c>
      <c r="Y3491" s="101" t="s">
        <v>170</v>
      </c>
      <c r="Z3491" s="101" t="s">
        <v>171</v>
      </c>
      <c r="AA3491" s="101" t="s">
        <v>50</v>
      </c>
      <c r="AB3491" s="101" t="s">
        <v>172</v>
      </c>
      <c r="AC3491" s="102" t="s">
        <v>173</v>
      </c>
    </row>
    <row r="3492" spans="1:29" ht="25.5" customHeight="1" x14ac:dyDescent="0.35">
      <c r="A3492" s="392"/>
      <c r="B3492" s="393"/>
      <c r="C3492" s="99" t="str">
        <f>IF(B3492="","",IF(NOT(ISNUMBER(B3492)),"DATA_PC invalida",IF(NOT(ISNUMBER(parametros!$C$2)),"Fora dos ciclos",IF(OR(B3492&lt;parametros!$C$2,(YEAR(B3492)-YEAR(parametros!$C$2))*12+MONTH(B3492)-MONTH(parametros!$C$2)&gt;59),"Fora dos ciclos","C"&amp;INT(((YEAR(B3492)-YEAR(parametros!$C$2))*12+MONTH(B3492)-MONTH(parametros!$C$2))/12)))))</f>
        <v/>
      </c>
      <c r="D3492" s="394"/>
      <c r="E3492" s="78" t="str">
        <f>IF(C3492="","",IFERROR(VLOOKUP(C3492,parametros!$A$11:$E$15,5,0),""))</f>
        <v/>
      </c>
      <c r="F3492" s="79" t="str">
        <f t="shared" si="272"/>
        <v/>
      </c>
      <c r="G3492" s="395"/>
      <c r="H3492" s="91">
        <f t="shared" si="273"/>
        <v>0</v>
      </c>
      <c r="I3492" s="91" t="str">
        <f t="shared" si="274"/>
        <v/>
      </c>
      <c r="J3492" s="91" t="str">
        <f t="shared" si="275"/>
        <v/>
      </c>
      <c r="K3492" s="92" t="str">
        <f>IF(AND(A3492="",B3492="",D3492="",G3492=""),"",IF(AND(A3492&lt;&gt;"",COUNTIF($A$2:$A$5001,A3492)&gt;1),"NUMERO_PC duplicado",IF(B3492="","DATA_PC vazia",IF(NOT(ISNUMBER(B3492)),"DATA_PC invalida",IF(OR(C3492="",C3492="Fora dos ciclos"),"CICLO_PC nao identificado",IF(OR(D3492="",D3492=0),"VALOR_PC vazio ou zero",IF(AND(G3492&lt;&gt;"Sim",G3492&lt;&gt;"Nao",G3492&lt;&gt;""),"PC_PAGO_A_CONTRATADA invalido",IF(AND(C3492&lt;&gt;"C0",IFERROR(INDEX(parametros!$A$2:$A$6,MATCH(C3492,parametros!$B$2:$B$6,0)),"")="Sim",IFERROR(INDEX(parametros!$H$2:$H$6,MATCH(C3492,parametros!$B$2:$B$6,0)),"")=""),"INICIO_EFEITO ausente: PC "&amp;A3492&amp;" - "&amp;C3492,IF(L3492="","EFEITO_PC nao calculado: PC "&amp;A3492&amp;" - "&amp;C3492,"OK")))))))))</f>
        <v/>
      </c>
      <c r="L3492" s="92" t="str">
        <f>IF(AND(A3492="",B3492="",D3492="",G3492=""),"",IF(OR(B3492="",NOT(ISNUMBER(B3492)),C3492="",C3492="Fora dos ciclos"),"",IF(C3492="C0","Nao",IF(IFERROR(INDEX(parametros!$A$2:$A$6,MATCH(C3492,parametros!$B$2:$B$6,0)),"")&lt;&gt;"Sim","Nao",IF(IFERROR(INDEX(parametros!$H$2:$H$6,MATCH(C3492,parametros!$B$2:$B$6,0)),"")="","",IF(B3492&gt;=IFERROR(INDEX(parametros!$H$2:$H$6,MATCH(C3492,parametros!$B$2:$B$6,0)),""),"Sim","Nao"))))))</f>
        <v/>
      </c>
      <c r="T3492" s="156"/>
      <c r="U3492" s="214" t="str">
        <f t="shared" si="276"/>
        <v/>
      </c>
      <c r="V3492" s="212" t="s">
        <v>50</v>
      </c>
      <c r="W3492" s="100" t="s">
        <v>168</v>
      </c>
      <c r="X3492" s="100" t="s">
        <v>169</v>
      </c>
      <c r="Y3492" s="101" t="s">
        <v>170</v>
      </c>
      <c r="Z3492" s="101" t="s">
        <v>171</v>
      </c>
      <c r="AA3492" s="101" t="s">
        <v>50</v>
      </c>
      <c r="AB3492" s="101" t="s">
        <v>172</v>
      </c>
      <c r="AC3492" s="102" t="s">
        <v>173</v>
      </c>
    </row>
    <row r="3493" spans="1:29" ht="25.5" customHeight="1" x14ac:dyDescent="0.35">
      <c r="A3493" s="392"/>
      <c r="B3493" s="393"/>
      <c r="C3493" s="99" t="str">
        <f>IF(B3493="","",IF(NOT(ISNUMBER(B3493)),"DATA_PC invalida",IF(NOT(ISNUMBER(parametros!$C$2)),"Fora dos ciclos",IF(OR(B3493&lt;parametros!$C$2,(YEAR(B3493)-YEAR(parametros!$C$2))*12+MONTH(B3493)-MONTH(parametros!$C$2)&gt;59),"Fora dos ciclos","C"&amp;INT(((YEAR(B3493)-YEAR(parametros!$C$2))*12+MONTH(B3493)-MONTH(parametros!$C$2))/12)))))</f>
        <v/>
      </c>
      <c r="D3493" s="394"/>
      <c r="E3493" s="78" t="str">
        <f>IF(C3493="","",IFERROR(VLOOKUP(C3493,parametros!$A$11:$E$15,5,0),""))</f>
        <v/>
      </c>
      <c r="F3493" s="79" t="str">
        <f t="shared" si="272"/>
        <v/>
      </c>
      <c r="G3493" s="395"/>
      <c r="H3493" s="91">
        <f t="shared" si="273"/>
        <v>0</v>
      </c>
      <c r="I3493" s="91" t="str">
        <f t="shared" si="274"/>
        <v/>
      </c>
      <c r="J3493" s="91" t="str">
        <f t="shared" si="275"/>
        <v/>
      </c>
      <c r="K3493" s="92" t="str">
        <f>IF(AND(A3493="",B3493="",D3493="",G3493=""),"",IF(AND(A3493&lt;&gt;"",COUNTIF($A$2:$A$5001,A3493)&gt;1),"NUMERO_PC duplicado",IF(B3493="","DATA_PC vazia",IF(NOT(ISNUMBER(B3493)),"DATA_PC invalida",IF(OR(C3493="",C3493="Fora dos ciclos"),"CICLO_PC nao identificado",IF(OR(D3493="",D3493=0),"VALOR_PC vazio ou zero",IF(AND(G3493&lt;&gt;"Sim",G3493&lt;&gt;"Nao",G3493&lt;&gt;""),"PC_PAGO_A_CONTRATADA invalido",IF(AND(C3493&lt;&gt;"C0",IFERROR(INDEX(parametros!$A$2:$A$6,MATCH(C3493,parametros!$B$2:$B$6,0)),"")="Sim",IFERROR(INDEX(parametros!$H$2:$H$6,MATCH(C3493,parametros!$B$2:$B$6,0)),"")=""),"INICIO_EFEITO ausente: PC "&amp;A3493&amp;" - "&amp;C3493,IF(L3493="","EFEITO_PC nao calculado: PC "&amp;A3493&amp;" - "&amp;C3493,"OK")))))))))</f>
        <v/>
      </c>
      <c r="L3493" s="92" t="str">
        <f>IF(AND(A3493="",B3493="",D3493="",G3493=""),"",IF(OR(B3493="",NOT(ISNUMBER(B3493)),C3493="",C3493="Fora dos ciclos"),"",IF(C3493="C0","Nao",IF(IFERROR(INDEX(parametros!$A$2:$A$6,MATCH(C3493,parametros!$B$2:$B$6,0)),"")&lt;&gt;"Sim","Nao",IF(IFERROR(INDEX(parametros!$H$2:$H$6,MATCH(C3493,parametros!$B$2:$B$6,0)),"")="","",IF(B3493&gt;=IFERROR(INDEX(parametros!$H$2:$H$6,MATCH(C3493,parametros!$B$2:$B$6,0)),""),"Sim","Nao"))))))</f>
        <v/>
      </c>
      <c r="T3493" s="156"/>
      <c r="U3493" s="214" t="str">
        <f t="shared" si="276"/>
        <v/>
      </c>
      <c r="V3493" s="212" t="s">
        <v>50</v>
      </c>
      <c r="W3493" s="100" t="s">
        <v>168</v>
      </c>
      <c r="X3493" s="100" t="s">
        <v>169</v>
      </c>
      <c r="Y3493" s="101" t="s">
        <v>170</v>
      </c>
      <c r="Z3493" s="101" t="s">
        <v>171</v>
      </c>
      <c r="AA3493" s="101" t="s">
        <v>50</v>
      </c>
      <c r="AB3493" s="101" t="s">
        <v>172</v>
      </c>
      <c r="AC3493" s="102" t="s">
        <v>173</v>
      </c>
    </row>
    <row r="3494" spans="1:29" ht="25.5" customHeight="1" x14ac:dyDescent="0.35">
      <c r="A3494" s="392"/>
      <c r="B3494" s="393"/>
      <c r="C3494" s="99" t="str">
        <f>IF(B3494="","",IF(NOT(ISNUMBER(B3494)),"DATA_PC invalida",IF(NOT(ISNUMBER(parametros!$C$2)),"Fora dos ciclos",IF(OR(B3494&lt;parametros!$C$2,(YEAR(B3494)-YEAR(parametros!$C$2))*12+MONTH(B3494)-MONTH(parametros!$C$2)&gt;59),"Fora dos ciclos","C"&amp;INT(((YEAR(B3494)-YEAR(parametros!$C$2))*12+MONTH(B3494)-MONTH(parametros!$C$2))/12)))))</f>
        <v/>
      </c>
      <c r="D3494" s="394"/>
      <c r="E3494" s="78" t="str">
        <f>IF(C3494="","",IFERROR(VLOOKUP(C3494,parametros!$A$11:$E$15,5,0),""))</f>
        <v/>
      </c>
      <c r="F3494" s="79" t="str">
        <f t="shared" si="272"/>
        <v/>
      </c>
      <c r="G3494" s="395"/>
      <c r="H3494" s="91">
        <f t="shared" si="273"/>
        <v>0</v>
      </c>
      <c r="I3494" s="91" t="str">
        <f t="shared" si="274"/>
        <v/>
      </c>
      <c r="J3494" s="91" t="str">
        <f t="shared" si="275"/>
        <v/>
      </c>
      <c r="K3494" s="92" t="str">
        <f>IF(AND(A3494="",B3494="",D3494="",G3494=""),"",IF(AND(A3494&lt;&gt;"",COUNTIF($A$2:$A$5001,A3494)&gt;1),"NUMERO_PC duplicado",IF(B3494="","DATA_PC vazia",IF(NOT(ISNUMBER(B3494)),"DATA_PC invalida",IF(OR(C3494="",C3494="Fora dos ciclos"),"CICLO_PC nao identificado",IF(OR(D3494="",D3494=0),"VALOR_PC vazio ou zero",IF(AND(G3494&lt;&gt;"Sim",G3494&lt;&gt;"Nao",G3494&lt;&gt;""),"PC_PAGO_A_CONTRATADA invalido",IF(AND(C3494&lt;&gt;"C0",IFERROR(INDEX(parametros!$A$2:$A$6,MATCH(C3494,parametros!$B$2:$B$6,0)),"")="Sim",IFERROR(INDEX(parametros!$H$2:$H$6,MATCH(C3494,parametros!$B$2:$B$6,0)),"")=""),"INICIO_EFEITO ausente: PC "&amp;A3494&amp;" - "&amp;C3494,IF(L3494="","EFEITO_PC nao calculado: PC "&amp;A3494&amp;" - "&amp;C3494,"OK")))))))))</f>
        <v/>
      </c>
      <c r="L3494" s="92" t="str">
        <f>IF(AND(A3494="",B3494="",D3494="",G3494=""),"",IF(OR(B3494="",NOT(ISNUMBER(B3494)),C3494="",C3494="Fora dos ciclos"),"",IF(C3494="C0","Nao",IF(IFERROR(INDEX(parametros!$A$2:$A$6,MATCH(C3494,parametros!$B$2:$B$6,0)),"")&lt;&gt;"Sim","Nao",IF(IFERROR(INDEX(parametros!$H$2:$H$6,MATCH(C3494,parametros!$B$2:$B$6,0)),"")="","",IF(B3494&gt;=IFERROR(INDEX(parametros!$H$2:$H$6,MATCH(C3494,parametros!$B$2:$B$6,0)),""),"Sim","Nao"))))))</f>
        <v/>
      </c>
      <c r="T3494" s="156"/>
      <c r="U3494" s="214" t="str">
        <f t="shared" si="276"/>
        <v/>
      </c>
      <c r="V3494" s="212" t="s">
        <v>50</v>
      </c>
      <c r="W3494" s="100" t="s">
        <v>168</v>
      </c>
      <c r="X3494" s="100" t="s">
        <v>169</v>
      </c>
      <c r="Y3494" s="101" t="s">
        <v>170</v>
      </c>
      <c r="Z3494" s="101" t="s">
        <v>171</v>
      </c>
      <c r="AA3494" s="101" t="s">
        <v>50</v>
      </c>
      <c r="AB3494" s="101" t="s">
        <v>172</v>
      </c>
      <c r="AC3494" s="102" t="s">
        <v>173</v>
      </c>
    </row>
    <row r="3495" spans="1:29" ht="25.5" customHeight="1" x14ac:dyDescent="0.35">
      <c r="A3495" s="392"/>
      <c r="B3495" s="393"/>
      <c r="C3495" s="99" t="str">
        <f>IF(B3495="","",IF(NOT(ISNUMBER(B3495)),"DATA_PC invalida",IF(NOT(ISNUMBER(parametros!$C$2)),"Fora dos ciclos",IF(OR(B3495&lt;parametros!$C$2,(YEAR(B3495)-YEAR(parametros!$C$2))*12+MONTH(B3495)-MONTH(parametros!$C$2)&gt;59),"Fora dos ciclos","C"&amp;INT(((YEAR(B3495)-YEAR(parametros!$C$2))*12+MONTH(B3495)-MONTH(parametros!$C$2))/12)))))</f>
        <v/>
      </c>
      <c r="D3495" s="394"/>
      <c r="E3495" s="78" t="str">
        <f>IF(C3495="","",IFERROR(VLOOKUP(C3495,parametros!$A$11:$E$15,5,0),""))</f>
        <v/>
      </c>
      <c r="F3495" s="79" t="str">
        <f t="shared" si="272"/>
        <v/>
      </c>
      <c r="G3495" s="395"/>
      <c r="H3495" s="91">
        <f t="shared" si="273"/>
        <v>0</v>
      </c>
      <c r="I3495" s="91" t="str">
        <f t="shared" si="274"/>
        <v/>
      </c>
      <c r="J3495" s="91" t="str">
        <f t="shared" si="275"/>
        <v/>
      </c>
      <c r="K3495" s="92" t="str">
        <f>IF(AND(A3495="",B3495="",D3495="",G3495=""),"",IF(AND(A3495&lt;&gt;"",COUNTIF($A$2:$A$5001,A3495)&gt;1),"NUMERO_PC duplicado",IF(B3495="","DATA_PC vazia",IF(NOT(ISNUMBER(B3495)),"DATA_PC invalida",IF(OR(C3495="",C3495="Fora dos ciclos"),"CICLO_PC nao identificado",IF(OR(D3495="",D3495=0),"VALOR_PC vazio ou zero",IF(AND(G3495&lt;&gt;"Sim",G3495&lt;&gt;"Nao",G3495&lt;&gt;""),"PC_PAGO_A_CONTRATADA invalido",IF(AND(C3495&lt;&gt;"C0",IFERROR(INDEX(parametros!$A$2:$A$6,MATCH(C3495,parametros!$B$2:$B$6,0)),"")="Sim",IFERROR(INDEX(parametros!$H$2:$H$6,MATCH(C3495,parametros!$B$2:$B$6,0)),"")=""),"INICIO_EFEITO ausente: PC "&amp;A3495&amp;" - "&amp;C3495,IF(L3495="","EFEITO_PC nao calculado: PC "&amp;A3495&amp;" - "&amp;C3495,"OK")))))))))</f>
        <v/>
      </c>
      <c r="L3495" s="92" t="str">
        <f>IF(AND(A3495="",B3495="",D3495="",G3495=""),"",IF(OR(B3495="",NOT(ISNUMBER(B3495)),C3495="",C3495="Fora dos ciclos"),"",IF(C3495="C0","Nao",IF(IFERROR(INDEX(parametros!$A$2:$A$6,MATCH(C3495,parametros!$B$2:$B$6,0)),"")&lt;&gt;"Sim","Nao",IF(IFERROR(INDEX(parametros!$H$2:$H$6,MATCH(C3495,parametros!$B$2:$B$6,0)),"")="","",IF(B3495&gt;=IFERROR(INDEX(parametros!$H$2:$H$6,MATCH(C3495,parametros!$B$2:$B$6,0)),""),"Sim","Nao"))))))</f>
        <v/>
      </c>
      <c r="T3495" s="156"/>
      <c r="U3495" s="214" t="str">
        <f t="shared" si="276"/>
        <v/>
      </c>
      <c r="V3495" s="212" t="s">
        <v>50</v>
      </c>
      <c r="W3495" s="100" t="s">
        <v>168</v>
      </c>
      <c r="X3495" s="100" t="s">
        <v>169</v>
      </c>
      <c r="Y3495" s="101" t="s">
        <v>170</v>
      </c>
      <c r="Z3495" s="101" t="s">
        <v>171</v>
      </c>
      <c r="AA3495" s="101" t="s">
        <v>50</v>
      </c>
      <c r="AB3495" s="101" t="s">
        <v>172</v>
      </c>
      <c r="AC3495" s="102" t="s">
        <v>173</v>
      </c>
    </row>
    <row r="3496" spans="1:29" ht="25.5" customHeight="1" x14ac:dyDescent="0.35">
      <c r="A3496" s="392"/>
      <c r="B3496" s="393"/>
      <c r="C3496" s="99" t="str">
        <f>IF(B3496="","",IF(NOT(ISNUMBER(B3496)),"DATA_PC invalida",IF(NOT(ISNUMBER(parametros!$C$2)),"Fora dos ciclos",IF(OR(B3496&lt;parametros!$C$2,(YEAR(B3496)-YEAR(parametros!$C$2))*12+MONTH(B3496)-MONTH(parametros!$C$2)&gt;59),"Fora dos ciclos","C"&amp;INT(((YEAR(B3496)-YEAR(parametros!$C$2))*12+MONTH(B3496)-MONTH(parametros!$C$2))/12)))))</f>
        <v/>
      </c>
      <c r="D3496" s="394"/>
      <c r="E3496" s="78" t="str">
        <f>IF(C3496="","",IFERROR(VLOOKUP(C3496,parametros!$A$11:$E$15,5,0),""))</f>
        <v/>
      </c>
      <c r="F3496" s="79" t="str">
        <f t="shared" si="272"/>
        <v/>
      </c>
      <c r="G3496" s="395"/>
      <c r="H3496" s="91">
        <f t="shared" si="273"/>
        <v>0</v>
      </c>
      <c r="I3496" s="91" t="str">
        <f t="shared" si="274"/>
        <v/>
      </c>
      <c r="J3496" s="91" t="str">
        <f t="shared" si="275"/>
        <v/>
      </c>
      <c r="K3496" s="92" t="str">
        <f>IF(AND(A3496="",B3496="",D3496="",G3496=""),"",IF(AND(A3496&lt;&gt;"",COUNTIF($A$2:$A$5001,A3496)&gt;1),"NUMERO_PC duplicado",IF(B3496="","DATA_PC vazia",IF(NOT(ISNUMBER(B3496)),"DATA_PC invalida",IF(OR(C3496="",C3496="Fora dos ciclos"),"CICLO_PC nao identificado",IF(OR(D3496="",D3496=0),"VALOR_PC vazio ou zero",IF(AND(G3496&lt;&gt;"Sim",G3496&lt;&gt;"Nao",G3496&lt;&gt;""),"PC_PAGO_A_CONTRATADA invalido",IF(AND(C3496&lt;&gt;"C0",IFERROR(INDEX(parametros!$A$2:$A$6,MATCH(C3496,parametros!$B$2:$B$6,0)),"")="Sim",IFERROR(INDEX(parametros!$H$2:$H$6,MATCH(C3496,parametros!$B$2:$B$6,0)),"")=""),"INICIO_EFEITO ausente: PC "&amp;A3496&amp;" - "&amp;C3496,IF(L3496="","EFEITO_PC nao calculado: PC "&amp;A3496&amp;" - "&amp;C3496,"OK")))))))))</f>
        <v/>
      </c>
      <c r="L3496" s="92" t="str">
        <f>IF(AND(A3496="",B3496="",D3496="",G3496=""),"",IF(OR(B3496="",NOT(ISNUMBER(B3496)),C3496="",C3496="Fora dos ciclos"),"",IF(C3496="C0","Nao",IF(IFERROR(INDEX(parametros!$A$2:$A$6,MATCH(C3496,parametros!$B$2:$B$6,0)),"")&lt;&gt;"Sim","Nao",IF(IFERROR(INDEX(parametros!$H$2:$H$6,MATCH(C3496,parametros!$B$2:$B$6,0)),"")="","",IF(B3496&gt;=IFERROR(INDEX(parametros!$H$2:$H$6,MATCH(C3496,parametros!$B$2:$B$6,0)),""),"Sim","Nao"))))))</f>
        <v/>
      </c>
      <c r="T3496" s="156"/>
      <c r="U3496" s="214" t="str">
        <f t="shared" si="276"/>
        <v/>
      </c>
      <c r="V3496" s="212" t="s">
        <v>50</v>
      </c>
      <c r="W3496" s="100" t="s">
        <v>168</v>
      </c>
      <c r="X3496" s="100" t="s">
        <v>169</v>
      </c>
      <c r="Y3496" s="101" t="s">
        <v>170</v>
      </c>
      <c r="Z3496" s="101" t="s">
        <v>171</v>
      </c>
      <c r="AA3496" s="101" t="s">
        <v>50</v>
      </c>
      <c r="AB3496" s="101" t="s">
        <v>172</v>
      </c>
      <c r="AC3496" s="102" t="s">
        <v>173</v>
      </c>
    </row>
    <row r="3497" spans="1:29" ht="25.5" customHeight="1" x14ac:dyDescent="0.35">
      <c r="A3497" s="392"/>
      <c r="B3497" s="393"/>
      <c r="C3497" s="99" t="str">
        <f>IF(B3497="","",IF(NOT(ISNUMBER(B3497)),"DATA_PC invalida",IF(NOT(ISNUMBER(parametros!$C$2)),"Fora dos ciclos",IF(OR(B3497&lt;parametros!$C$2,(YEAR(B3497)-YEAR(parametros!$C$2))*12+MONTH(B3497)-MONTH(parametros!$C$2)&gt;59),"Fora dos ciclos","C"&amp;INT(((YEAR(B3497)-YEAR(parametros!$C$2))*12+MONTH(B3497)-MONTH(parametros!$C$2))/12)))))</f>
        <v/>
      </c>
      <c r="D3497" s="394"/>
      <c r="E3497" s="78" t="str">
        <f>IF(C3497="","",IFERROR(VLOOKUP(C3497,parametros!$A$11:$E$15,5,0),""))</f>
        <v/>
      </c>
      <c r="F3497" s="79" t="str">
        <f t="shared" si="272"/>
        <v/>
      </c>
      <c r="G3497" s="395"/>
      <c r="H3497" s="91">
        <f t="shared" si="273"/>
        <v>0</v>
      </c>
      <c r="I3497" s="91" t="str">
        <f t="shared" si="274"/>
        <v/>
      </c>
      <c r="J3497" s="91" t="str">
        <f t="shared" si="275"/>
        <v/>
      </c>
      <c r="K3497" s="92" t="str">
        <f>IF(AND(A3497="",B3497="",D3497="",G3497=""),"",IF(AND(A3497&lt;&gt;"",COUNTIF($A$2:$A$5001,A3497)&gt;1),"NUMERO_PC duplicado",IF(B3497="","DATA_PC vazia",IF(NOT(ISNUMBER(B3497)),"DATA_PC invalida",IF(OR(C3497="",C3497="Fora dos ciclos"),"CICLO_PC nao identificado",IF(OR(D3497="",D3497=0),"VALOR_PC vazio ou zero",IF(AND(G3497&lt;&gt;"Sim",G3497&lt;&gt;"Nao",G3497&lt;&gt;""),"PC_PAGO_A_CONTRATADA invalido",IF(AND(C3497&lt;&gt;"C0",IFERROR(INDEX(parametros!$A$2:$A$6,MATCH(C3497,parametros!$B$2:$B$6,0)),"")="Sim",IFERROR(INDEX(parametros!$H$2:$H$6,MATCH(C3497,parametros!$B$2:$B$6,0)),"")=""),"INICIO_EFEITO ausente: PC "&amp;A3497&amp;" - "&amp;C3497,IF(L3497="","EFEITO_PC nao calculado: PC "&amp;A3497&amp;" - "&amp;C3497,"OK")))))))))</f>
        <v/>
      </c>
      <c r="L3497" s="92" t="str">
        <f>IF(AND(A3497="",B3497="",D3497="",G3497=""),"",IF(OR(B3497="",NOT(ISNUMBER(B3497)),C3497="",C3497="Fora dos ciclos"),"",IF(C3497="C0","Nao",IF(IFERROR(INDEX(parametros!$A$2:$A$6,MATCH(C3497,parametros!$B$2:$B$6,0)),"")&lt;&gt;"Sim","Nao",IF(IFERROR(INDEX(parametros!$H$2:$H$6,MATCH(C3497,parametros!$B$2:$B$6,0)),"")="","",IF(B3497&gt;=IFERROR(INDEX(parametros!$H$2:$H$6,MATCH(C3497,parametros!$B$2:$B$6,0)),""),"Sim","Nao"))))))</f>
        <v/>
      </c>
      <c r="T3497" s="156"/>
      <c r="U3497" s="214" t="str">
        <f t="shared" si="276"/>
        <v/>
      </c>
      <c r="V3497" s="212" t="s">
        <v>50</v>
      </c>
      <c r="W3497" s="100" t="s">
        <v>168</v>
      </c>
      <c r="X3497" s="100" t="s">
        <v>169</v>
      </c>
      <c r="Y3497" s="101" t="s">
        <v>170</v>
      </c>
      <c r="Z3497" s="101" t="s">
        <v>171</v>
      </c>
      <c r="AA3497" s="101" t="s">
        <v>50</v>
      </c>
      <c r="AB3497" s="101" t="s">
        <v>172</v>
      </c>
      <c r="AC3497" s="102" t="s">
        <v>173</v>
      </c>
    </row>
    <row r="3498" spans="1:29" ht="25.5" customHeight="1" x14ac:dyDescent="0.35">
      <c r="A3498" s="392"/>
      <c r="B3498" s="393"/>
      <c r="C3498" s="99" t="str">
        <f>IF(B3498="","",IF(NOT(ISNUMBER(B3498)),"DATA_PC invalida",IF(NOT(ISNUMBER(parametros!$C$2)),"Fora dos ciclos",IF(OR(B3498&lt;parametros!$C$2,(YEAR(B3498)-YEAR(parametros!$C$2))*12+MONTH(B3498)-MONTH(parametros!$C$2)&gt;59),"Fora dos ciclos","C"&amp;INT(((YEAR(B3498)-YEAR(parametros!$C$2))*12+MONTH(B3498)-MONTH(parametros!$C$2))/12)))))</f>
        <v/>
      </c>
      <c r="D3498" s="394"/>
      <c r="E3498" s="78" t="str">
        <f>IF(C3498="","",IFERROR(VLOOKUP(C3498,parametros!$A$11:$E$15,5,0),""))</f>
        <v/>
      </c>
      <c r="F3498" s="79" t="str">
        <f t="shared" si="272"/>
        <v/>
      </c>
      <c r="G3498" s="395"/>
      <c r="H3498" s="91">
        <f t="shared" si="273"/>
        <v>0</v>
      </c>
      <c r="I3498" s="91" t="str">
        <f t="shared" si="274"/>
        <v/>
      </c>
      <c r="J3498" s="91" t="str">
        <f t="shared" si="275"/>
        <v/>
      </c>
      <c r="K3498" s="92" t="str">
        <f>IF(AND(A3498="",B3498="",D3498="",G3498=""),"",IF(AND(A3498&lt;&gt;"",COUNTIF($A$2:$A$5001,A3498)&gt;1),"NUMERO_PC duplicado",IF(B3498="","DATA_PC vazia",IF(NOT(ISNUMBER(B3498)),"DATA_PC invalida",IF(OR(C3498="",C3498="Fora dos ciclos"),"CICLO_PC nao identificado",IF(OR(D3498="",D3498=0),"VALOR_PC vazio ou zero",IF(AND(G3498&lt;&gt;"Sim",G3498&lt;&gt;"Nao",G3498&lt;&gt;""),"PC_PAGO_A_CONTRATADA invalido",IF(AND(C3498&lt;&gt;"C0",IFERROR(INDEX(parametros!$A$2:$A$6,MATCH(C3498,parametros!$B$2:$B$6,0)),"")="Sim",IFERROR(INDEX(parametros!$H$2:$H$6,MATCH(C3498,parametros!$B$2:$B$6,0)),"")=""),"INICIO_EFEITO ausente: PC "&amp;A3498&amp;" - "&amp;C3498,IF(L3498="","EFEITO_PC nao calculado: PC "&amp;A3498&amp;" - "&amp;C3498,"OK")))))))))</f>
        <v/>
      </c>
      <c r="L3498" s="92" t="str">
        <f>IF(AND(A3498="",B3498="",D3498="",G3498=""),"",IF(OR(B3498="",NOT(ISNUMBER(B3498)),C3498="",C3498="Fora dos ciclos"),"",IF(C3498="C0","Nao",IF(IFERROR(INDEX(parametros!$A$2:$A$6,MATCH(C3498,parametros!$B$2:$B$6,0)),"")&lt;&gt;"Sim","Nao",IF(IFERROR(INDEX(parametros!$H$2:$H$6,MATCH(C3498,parametros!$B$2:$B$6,0)),"")="","",IF(B3498&gt;=IFERROR(INDEX(parametros!$H$2:$H$6,MATCH(C3498,parametros!$B$2:$B$6,0)),""),"Sim","Nao"))))))</f>
        <v/>
      </c>
      <c r="T3498" s="156"/>
      <c r="U3498" s="214" t="str">
        <f t="shared" si="276"/>
        <v/>
      </c>
      <c r="V3498" s="212" t="s">
        <v>50</v>
      </c>
      <c r="W3498" s="100" t="s">
        <v>168</v>
      </c>
      <c r="X3498" s="100" t="s">
        <v>169</v>
      </c>
      <c r="Y3498" s="101" t="s">
        <v>170</v>
      </c>
      <c r="Z3498" s="101" t="s">
        <v>171</v>
      </c>
      <c r="AA3498" s="101" t="s">
        <v>50</v>
      </c>
      <c r="AB3498" s="101" t="s">
        <v>172</v>
      </c>
      <c r="AC3498" s="102" t="s">
        <v>173</v>
      </c>
    </row>
    <row r="3499" spans="1:29" ht="25.5" customHeight="1" x14ac:dyDescent="0.35">
      <c r="A3499" s="392"/>
      <c r="B3499" s="393"/>
      <c r="C3499" s="99" t="str">
        <f>IF(B3499="","",IF(NOT(ISNUMBER(B3499)),"DATA_PC invalida",IF(NOT(ISNUMBER(parametros!$C$2)),"Fora dos ciclos",IF(OR(B3499&lt;parametros!$C$2,(YEAR(B3499)-YEAR(parametros!$C$2))*12+MONTH(B3499)-MONTH(parametros!$C$2)&gt;59),"Fora dos ciclos","C"&amp;INT(((YEAR(B3499)-YEAR(parametros!$C$2))*12+MONTH(B3499)-MONTH(parametros!$C$2))/12)))))</f>
        <v/>
      </c>
      <c r="D3499" s="394"/>
      <c r="E3499" s="78" t="str">
        <f>IF(C3499="","",IFERROR(VLOOKUP(C3499,parametros!$A$11:$E$15,5,0),""))</f>
        <v/>
      </c>
      <c r="F3499" s="79" t="str">
        <f t="shared" si="272"/>
        <v/>
      </c>
      <c r="G3499" s="395"/>
      <c r="H3499" s="91">
        <f t="shared" si="273"/>
        <v>0</v>
      </c>
      <c r="I3499" s="91" t="str">
        <f t="shared" si="274"/>
        <v/>
      </c>
      <c r="J3499" s="91" t="str">
        <f t="shared" si="275"/>
        <v/>
      </c>
      <c r="K3499" s="92" t="str">
        <f>IF(AND(A3499="",B3499="",D3499="",G3499=""),"",IF(AND(A3499&lt;&gt;"",COUNTIF($A$2:$A$5001,A3499)&gt;1),"NUMERO_PC duplicado",IF(B3499="","DATA_PC vazia",IF(NOT(ISNUMBER(B3499)),"DATA_PC invalida",IF(OR(C3499="",C3499="Fora dos ciclos"),"CICLO_PC nao identificado",IF(OR(D3499="",D3499=0),"VALOR_PC vazio ou zero",IF(AND(G3499&lt;&gt;"Sim",G3499&lt;&gt;"Nao",G3499&lt;&gt;""),"PC_PAGO_A_CONTRATADA invalido",IF(AND(C3499&lt;&gt;"C0",IFERROR(INDEX(parametros!$A$2:$A$6,MATCH(C3499,parametros!$B$2:$B$6,0)),"")="Sim",IFERROR(INDEX(parametros!$H$2:$H$6,MATCH(C3499,parametros!$B$2:$B$6,0)),"")=""),"INICIO_EFEITO ausente: PC "&amp;A3499&amp;" - "&amp;C3499,IF(L3499="","EFEITO_PC nao calculado: PC "&amp;A3499&amp;" - "&amp;C3499,"OK")))))))))</f>
        <v/>
      </c>
      <c r="L3499" s="92" t="str">
        <f>IF(AND(A3499="",B3499="",D3499="",G3499=""),"",IF(OR(B3499="",NOT(ISNUMBER(B3499)),C3499="",C3499="Fora dos ciclos"),"",IF(C3499="C0","Nao",IF(IFERROR(INDEX(parametros!$A$2:$A$6,MATCH(C3499,parametros!$B$2:$B$6,0)),"")&lt;&gt;"Sim","Nao",IF(IFERROR(INDEX(parametros!$H$2:$H$6,MATCH(C3499,parametros!$B$2:$B$6,0)),"")="","",IF(B3499&gt;=IFERROR(INDEX(parametros!$H$2:$H$6,MATCH(C3499,parametros!$B$2:$B$6,0)),""),"Sim","Nao"))))))</f>
        <v/>
      </c>
      <c r="T3499" s="156"/>
      <c r="U3499" s="214" t="str">
        <f t="shared" si="276"/>
        <v/>
      </c>
      <c r="V3499" s="212" t="s">
        <v>50</v>
      </c>
      <c r="W3499" s="100" t="s">
        <v>168</v>
      </c>
      <c r="X3499" s="100" t="s">
        <v>169</v>
      </c>
      <c r="Y3499" s="101" t="s">
        <v>170</v>
      </c>
      <c r="Z3499" s="101" t="s">
        <v>171</v>
      </c>
      <c r="AA3499" s="101" t="s">
        <v>50</v>
      </c>
      <c r="AB3499" s="101" t="s">
        <v>172</v>
      </c>
      <c r="AC3499" s="102" t="s">
        <v>173</v>
      </c>
    </row>
    <row r="3500" spans="1:29" ht="25.5" customHeight="1" x14ac:dyDescent="0.35">
      <c r="A3500" s="392"/>
      <c r="B3500" s="393"/>
      <c r="C3500" s="99" t="str">
        <f>IF(B3500="","",IF(NOT(ISNUMBER(B3500)),"DATA_PC invalida",IF(NOT(ISNUMBER(parametros!$C$2)),"Fora dos ciclos",IF(OR(B3500&lt;parametros!$C$2,(YEAR(B3500)-YEAR(parametros!$C$2))*12+MONTH(B3500)-MONTH(parametros!$C$2)&gt;59),"Fora dos ciclos","C"&amp;INT(((YEAR(B3500)-YEAR(parametros!$C$2))*12+MONTH(B3500)-MONTH(parametros!$C$2))/12)))))</f>
        <v/>
      </c>
      <c r="D3500" s="394"/>
      <c r="E3500" s="78" t="str">
        <f>IF(C3500="","",IFERROR(VLOOKUP(C3500,parametros!$A$11:$E$15,5,0),""))</f>
        <v/>
      </c>
      <c r="F3500" s="79" t="str">
        <f t="shared" si="272"/>
        <v/>
      </c>
      <c r="G3500" s="395"/>
      <c r="H3500" s="91">
        <f t="shared" si="273"/>
        <v>0</v>
      </c>
      <c r="I3500" s="91" t="str">
        <f t="shared" si="274"/>
        <v/>
      </c>
      <c r="J3500" s="91" t="str">
        <f t="shared" si="275"/>
        <v/>
      </c>
      <c r="K3500" s="92" t="str">
        <f>IF(AND(A3500="",B3500="",D3500="",G3500=""),"",IF(AND(A3500&lt;&gt;"",COUNTIF($A$2:$A$5001,A3500)&gt;1),"NUMERO_PC duplicado",IF(B3500="","DATA_PC vazia",IF(NOT(ISNUMBER(B3500)),"DATA_PC invalida",IF(OR(C3500="",C3500="Fora dos ciclos"),"CICLO_PC nao identificado",IF(OR(D3500="",D3500=0),"VALOR_PC vazio ou zero",IF(AND(G3500&lt;&gt;"Sim",G3500&lt;&gt;"Nao",G3500&lt;&gt;""),"PC_PAGO_A_CONTRATADA invalido",IF(AND(C3500&lt;&gt;"C0",IFERROR(INDEX(parametros!$A$2:$A$6,MATCH(C3500,parametros!$B$2:$B$6,0)),"")="Sim",IFERROR(INDEX(parametros!$H$2:$H$6,MATCH(C3500,parametros!$B$2:$B$6,0)),"")=""),"INICIO_EFEITO ausente: PC "&amp;A3500&amp;" - "&amp;C3500,IF(L3500="","EFEITO_PC nao calculado: PC "&amp;A3500&amp;" - "&amp;C3500,"OK")))))))))</f>
        <v/>
      </c>
      <c r="L3500" s="92" t="str">
        <f>IF(AND(A3500="",B3500="",D3500="",G3500=""),"",IF(OR(B3500="",NOT(ISNUMBER(B3500)),C3500="",C3500="Fora dos ciclos"),"",IF(C3500="C0","Nao",IF(IFERROR(INDEX(parametros!$A$2:$A$6,MATCH(C3500,parametros!$B$2:$B$6,0)),"")&lt;&gt;"Sim","Nao",IF(IFERROR(INDEX(parametros!$H$2:$H$6,MATCH(C3500,parametros!$B$2:$B$6,0)),"")="","",IF(B3500&gt;=IFERROR(INDEX(parametros!$H$2:$H$6,MATCH(C3500,parametros!$B$2:$B$6,0)),""),"Sim","Nao"))))))</f>
        <v/>
      </c>
      <c r="T3500" s="156"/>
      <c r="U3500" s="214" t="str">
        <f t="shared" si="276"/>
        <v/>
      </c>
      <c r="V3500" s="212" t="s">
        <v>50</v>
      </c>
      <c r="W3500" s="100" t="s">
        <v>168</v>
      </c>
      <c r="X3500" s="100" t="s">
        <v>169</v>
      </c>
      <c r="Y3500" s="101" t="s">
        <v>170</v>
      </c>
      <c r="Z3500" s="101" t="s">
        <v>171</v>
      </c>
      <c r="AA3500" s="101" t="s">
        <v>50</v>
      </c>
      <c r="AB3500" s="101" t="s">
        <v>172</v>
      </c>
      <c r="AC3500" s="102" t="s">
        <v>173</v>
      </c>
    </row>
    <row r="3501" spans="1:29" ht="25.5" customHeight="1" x14ac:dyDescent="0.35">
      <c r="A3501" s="392"/>
      <c r="B3501" s="393"/>
      <c r="C3501" s="99" t="str">
        <f>IF(B3501="","",IF(NOT(ISNUMBER(B3501)),"DATA_PC invalida",IF(NOT(ISNUMBER(parametros!$C$2)),"Fora dos ciclos",IF(OR(B3501&lt;parametros!$C$2,(YEAR(B3501)-YEAR(parametros!$C$2))*12+MONTH(B3501)-MONTH(parametros!$C$2)&gt;59),"Fora dos ciclos","C"&amp;INT(((YEAR(B3501)-YEAR(parametros!$C$2))*12+MONTH(B3501)-MONTH(parametros!$C$2))/12)))))</f>
        <v/>
      </c>
      <c r="D3501" s="394"/>
      <c r="E3501" s="78" t="str">
        <f>IF(C3501="","",IFERROR(VLOOKUP(C3501,parametros!$A$11:$E$15,5,0),""))</f>
        <v/>
      </c>
      <c r="F3501" s="79" t="str">
        <f t="shared" si="272"/>
        <v/>
      </c>
      <c r="G3501" s="395"/>
      <c r="H3501" s="91">
        <f t="shared" si="273"/>
        <v>0</v>
      </c>
      <c r="I3501" s="91" t="str">
        <f t="shared" si="274"/>
        <v/>
      </c>
      <c r="J3501" s="91" t="str">
        <f t="shared" si="275"/>
        <v/>
      </c>
      <c r="K3501" s="92" t="str">
        <f>IF(AND(A3501="",B3501="",D3501="",G3501=""),"",IF(AND(A3501&lt;&gt;"",COUNTIF($A$2:$A$5001,A3501)&gt;1),"NUMERO_PC duplicado",IF(B3501="","DATA_PC vazia",IF(NOT(ISNUMBER(B3501)),"DATA_PC invalida",IF(OR(C3501="",C3501="Fora dos ciclos"),"CICLO_PC nao identificado",IF(OR(D3501="",D3501=0),"VALOR_PC vazio ou zero",IF(AND(G3501&lt;&gt;"Sim",G3501&lt;&gt;"Nao",G3501&lt;&gt;""),"PC_PAGO_A_CONTRATADA invalido",IF(AND(C3501&lt;&gt;"C0",IFERROR(INDEX(parametros!$A$2:$A$6,MATCH(C3501,parametros!$B$2:$B$6,0)),"")="Sim",IFERROR(INDEX(parametros!$H$2:$H$6,MATCH(C3501,parametros!$B$2:$B$6,0)),"")=""),"INICIO_EFEITO ausente: PC "&amp;A3501&amp;" - "&amp;C3501,IF(L3501="","EFEITO_PC nao calculado: PC "&amp;A3501&amp;" - "&amp;C3501,"OK")))))))))</f>
        <v/>
      </c>
      <c r="L3501" s="92" t="str">
        <f>IF(AND(A3501="",B3501="",D3501="",G3501=""),"",IF(OR(B3501="",NOT(ISNUMBER(B3501)),C3501="",C3501="Fora dos ciclos"),"",IF(C3501="C0","Nao",IF(IFERROR(INDEX(parametros!$A$2:$A$6,MATCH(C3501,parametros!$B$2:$B$6,0)),"")&lt;&gt;"Sim","Nao",IF(IFERROR(INDEX(parametros!$H$2:$H$6,MATCH(C3501,parametros!$B$2:$B$6,0)),"")="","",IF(B3501&gt;=IFERROR(INDEX(parametros!$H$2:$H$6,MATCH(C3501,parametros!$B$2:$B$6,0)),""),"Sim","Nao"))))))</f>
        <v/>
      </c>
      <c r="T3501" s="156"/>
      <c r="U3501" s="214" t="str">
        <f t="shared" si="276"/>
        <v/>
      </c>
      <c r="V3501" s="212" t="s">
        <v>50</v>
      </c>
      <c r="W3501" s="100" t="s">
        <v>168</v>
      </c>
      <c r="X3501" s="100" t="s">
        <v>169</v>
      </c>
      <c r="Y3501" s="101" t="s">
        <v>170</v>
      </c>
      <c r="Z3501" s="101" t="s">
        <v>171</v>
      </c>
      <c r="AA3501" s="101" t="s">
        <v>50</v>
      </c>
      <c r="AB3501" s="101" t="s">
        <v>172</v>
      </c>
      <c r="AC3501" s="102" t="s">
        <v>173</v>
      </c>
    </row>
    <row r="3502" spans="1:29" ht="25.5" customHeight="1" x14ac:dyDescent="0.35">
      <c r="A3502" s="392"/>
      <c r="B3502" s="393"/>
      <c r="C3502" s="99" t="str">
        <f>IF(B3502="","",IF(NOT(ISNUMBER(B3502)),"DATA_PC invalida",IF(NOT(ISNUMBER(parametros!$C$2)),"Fora dos ciclos",IF(OR(B3502&lt;parametros!$C$2,(YEAR(B3502)-YEAR(parametros!$C$2))*12+MONTH(B3502)-MONTH(parametros!$C$2)&gt;59),"Fora dos ciclos","C"&amp;INT(((YEAR(B3502)-YEAR(parametros!$C$2))*12+MONTH(B3502)-MONTH(parametros!$C$2))/12)))))</f>
        <v/>
      </c>
      <c r="D3502" s="394"/>
      <c r="E3502" s="78" t="str">
        <f>IF(C3502="","",IFERROR(VLOOKUP(C3502,parametros!$A$11:$E$15,5,0),""))</f>
        <v/>
      </c>
      <c r="F3502" s="79" t="str">
        <f t="shared" si="272"/>
        <v/>
      </c>
      <c r="G3502" s="395"/>
      <c r="H3502" s="91">
        <f t="shared" si="273"/>
        <v>0</v>
      </c>
      <c r="I3502" s="91" t="str">
        <f t="shared" si="274"/>
        <v/>
      </c>
      <c r="J3502" s="91" t="str">
        <f t="shared" si="275"/>
        <v/>
      </c>
      <c r="K3502" s="92" t="str">
        <f>IF(AND(A3502="",B3502="",D3502="",G3502=""),"",IF(AND(A3502&lt;&gt;"",COUNTIF($A$2:$A$5001,A3502)&gt;1),"NUMERO_PC duplicado",IF(B3502="","DATA_PC vazia",IF(NOT(ISNUMBER(B3502)),"DATA_PC invalida",IF(OR(C3502="",C3502="Fora dos ciclos"),"CICLO_PC nao identificado",IF(OR(D3502="",D3502=0),"VALOR_PC vazio ou zero",IF(AND(G3502&lt;&gt;"Sim",G3502&lt;&gt;"Nao",G3502&lt;&gt;""),"PC_PAGO_A_CONTRATADA invalido",IF(AND(C3502&lt;&gt;"C0",IFERROR(INDEX(parametros!$A$2:$A$6,MATCH(C3502,parametros!$B$2:$B$6,0)),"")="Sim",IFERROR(INDEX(parametros!$H$2:$H$6,MATCH(C3502,parametros!$B$2:$B$6,0)),"")=""),"INICIO_EFEITO ausente: PC "&amp;A3502&amp;" - "&amp;C3502,IF(L3502="","EFEITO_PC nao calculado: PC "&amp;A3502&amp;" - "&amp;C3502,"OK")))))))))</f>
        <v/>
      </c>
      <c r="L3502" s="92" t="str">
        <f>IF(AND(A3502="",B3502="",D3502="",G3502=""),"",IF(OR(B3502="",NOT(ISNUMBER(B3502)),C3502="",C3502="Fora dos ciclos"),"",IF(C3502="C0","Nao",IF(IFERROR(INDEX(parametros!$A$2:$A$6,MATCH(C3502,parametros!$B$2:$B$6,0)),"")&lt;&gt;"Sim","Nao",IF(IFERROR(INDEX(parametros!$H$2:$H$6,MATCH(C3502,parametros!$B$2:$B$6,0)),"")="","",IF(B3502&gt;=IFERROR(INDEX(parametros!$H$2:$H$6,MATCH(C3502,parametros!$B$2:$B$6,0)),""),"Sim","Nao"))))))</f>
        <v/>
      </c>
      <c r="T3502" s="156"/>
      <c r="U3502" s="214" t="str">
        <f t="shared" si="276"/>
        <v/>
      </c>
      <c r="V3502" s="212" t="s">
        <v>50</v>
      </c>
      <c r="W3502" s="100" t="s">
        <v>168</v>
      </c>
      <c r="X3502" s="100" t="s">
        <v>169</v>
      </c>
      <c r="Y3502" s="101" t="s">
        <v>170</v>
      </c>
      <c r="Z3502" s="101" t="s">
        <v>171</v>
      </c>
      <c r="AA3502" s="101" t="s">
        <v>50</v>
      </c>
      <c r="AB3502" s="101" t="s">
        <v>172</v>
      </c>
      <c r="AC3502" s="102" t="s">
        <v>173</v>
      </c>
    </row>
    <row r="3503" spans="1:29" ht="25.5" customHeight="1" x14ac:dyDescent="0.35">
      <c r="A3503" s="392"/>
      <c r="B3503" s="393"/>
      <c r="C3503" s="99" t="str">
        <f>IF(B3503="","",IF(NOT(ISNUMBER(B3503)),"DATA_PC invalida",IF(NOT(ISNUMBER(parametros!$C$2)),"Fora dos ciclos",IF(OR(B3503&lt;parametros!$C$2,(YEAR(B3503)-YEAR(parametros!$C$2))*12+MONTH(B3503)-MONTH(parametros!$C$2)&gt;59),"Fora dos ciclos","C"&amp;INT(((YEAR(B3503)-YEAR(parametros!$C$2))*12+MONTH(B3503)-MONTH(parametros!$C$2))/12)))))</f>
        <v/>
      </c>
      <c r="D3503" s="394"/>
      <c r="E3503" s="78" t="str">
        <f>IF(C3503="","",IFERROR(VLOOKUP(C3503,parametros!$A$11:$E$15,5,0),""))</f>
        <v/>
      </c>
      <c r="F3503" s="79" t="str">
        <f t="shared" si="272"/>
        <v/>
      </c>
      <c r="G3503" s="395"/>
      <c r="H3503" s="91">
        <f t="shared" si="273"/>
        <v>0</v>
      </c>
      <c r="I3503" s="91" t="str">
        <f t="shared" si="274"/>
        <v/>
      </c>
      <c r="J3503" s="91" t="str">
        <f t="shared" si="275"/>
        <v/>
      </c>
      <c r="K3503" s="92" t="str">
        <f>IF(AND(A3503="",B3503="",D3503="",G3503=""),"",IF(AND(A3503&lt;&gt;"",COUNTIF($A$2:$A$5001,A3503)&gt;1),"NUMERO_PC duplicado",IF(B3503="","DATA_PC vazia",IF(NOT(ISNUMBER(B3503)),"DATA_PC invalida",IF(OR(C3503="",C3503="Fora dos ciclos"),"CICLO_PC nao identificado",IF(OR(D3503="",D3503=0),"VALOR_PC vazio ou zero",IF(AND(G3503&lt;&gt;"Sim",G3503&lt;&gt;"Nao",G3503&lt;&gt;""),"PC_PAGO_A_CONTRATADA invalido",IF(AND(C3503&lt;&gt;"C0",IFERROR(INDEX(parametros!$A$2:$A$6,MATCH(C3503,parametros!$B$2:$B$6,0)),"")="Sim",IFERROR(INDEX(parametros!$H$2:$H$6,MATCH(C3503,parametros!$B$2:$B$6,0)),"")=""),"INICIO_EFEITO ausente: PC "&amp;A3503&amp;" - "&amp;C3503,IF(L3503="","EFEITO_PC nao calculado: PC "&amp;A3503&amp;" - "&amp;C3503,"OK")))))))))</f>
        <v/>
      </c>
      <c r="L3503" s="92" t="str">
        <f>IF(AND(A3503="",B3503="",D3503="",G3503=""),"",IF(OR(B3503="",NOT(ISNUMBER(B3503)),C3503="",C3503="Fora dos ciclos"),"",IF(C3503="C0","Nao",IF(IFERROR(INDEX(parametros!$A$2:$A$6,MATCH(C3503,parametros!$B$2:$B$6,0)),"")&lt;&gt;"Sim","Nao",IF(IFERROR(INDEX(parametros!$H$2:$H$6,MATCH(C3503,parametros!$B$2:$B$6,0)),"")="","",IF(B3503&gt;=IFERROR(INDEX(parametros!$H$2:$H$6,MATCH(C3503,parametros!$B$2:$B$6,0)),""),"Sim","Nao"))))))</f>
        <v/>
      </c>
      <c r="T3503" s="156"/>
      <c r="U3503" s="214" t="str">
        <f t="shared" si="276"/>
        <v/>
      </c>
      <c r="V3503" s="212" t="s">
        <v>50</v>
      </c>
      <c r="W3503" s="100" t="s">
        <v>168</v>
      </c>
      <c r="X3503" s="100" t="s">
        <v>169</v>
      </c>
      <c r="Y3503" s="101" t="s">
        <v>170</v>
      </c>
      <c r="Z3503" s="101" t="s">
        <v>171</v>
      </c>
      <c r="AA3503" s="101" t="s">
        <v>50</v>
      </c>
      <c r="AB3503" s="101" t="s">
        <v>172</v>
      </c>
      <c r="AC3503" s="102" t="s">
        <v>173</v>
      </c>
    </row>
    <row r="3504" spans="1:29" ht="25.5" customHeight="1" x14ac:dyDescent="0.35">
      <c r="A3504" s="392"/>
      <c r="B3504" s="393"/>
      <c r="C3504" s="99" t="str">
        <f>IF(B3504="","",IF(NOT(ISNUMBER(B3504)),"DATA_PC invalida",IF(NOT(ISNUMBER(parametros!$C$2)),"Fora dos ciclos",IF(OR(B3504&lt;parametros!$C$2,(YEAR(B3504)-YEAR(parametros!$C$2))*12+MONTH(B3504)-MONTH(parametros!$C$2)&gt;59),"Fora dos ciclos","C"&amp;INT(((YEAR(B3504)-YEAR(parametros!$C$2))*12+MONTH(B3504)-MONTH(parametros!$C$2))/12)))))</f>
        <v/>
      </c>
      <c r="D3504" s="394"/>
      <c r="E3504" s="78" t="str">
        <f>IF(C3504="","",IFERROR(VLOOKUP(C3504,parametros!$A$11:$E$15,5,0),""))</f>
        <v/>
      </c>
      <c r="F3504" s="79" t="str">
        <f t="shared" si="272"/>
        <v/>
      </c>
      <c r="G3504" s="395"/>
      <c r="H3504" s="91">
        <f t="shared" si="273"/>
        <v>0</v>
      </c>
      <c r="I3504" s="91" t="str">
        <f t="shared" si="274"/>
        <v/>
      </c>
      <c r="J3504" s="91" t="str">
        <f t="shared" si="275"/>
        <v/>
      </c>
      <c r="K3504" s="92" t="str">
        <f>IF(AND(A3504="",B3504="",D3504="",G3504=""),"",IF(AND(A3504&lt;&gt;"",COUNTIF($A$2:$A$5001,A3504)&gt;1),"NUMERO_PC duplicado",IF(B3504="","DATA_PC vazia",IF(NOT(ISNUMBER(B3504)),"DATA_PC invalida",IF(OR(C3504="",C3504="Fora dos ciclos"),"CICLO_PC nao identificado",IF(OR(D3504="",D3504=0),"VALOR_PC vazio ou zero",IF(AND(G3504&lt;&gt;"Sim",G3504&lt;&gt;"Nao",G3504&lt;&gt;""),"PC_PAGO_A_CONTRATADA invalido",IF(AND(C3504&lt;&gt;"C0",IFERROR(INDEX(parametros!$A$2:$A$6,MATCH(C3504,parametros!$B$2:$B$6,0)),"")="Sim",IFERROR(INDEX(parametros!$H$2:$H$6,MATCH(C3504,parametros!$B$2:$B$6,0)),"")=""),"INICIO_EFEITO ausente: PC "&amp;A3504&amp;" - "&amp;C3504,IF(L3504="","EFEITO_PC nao calculado: PC "&amp;A3504&amp;" - "&amp;C3504,"OK")))))))))</f>
        <v/>
      </c>
      <c r="L3504" s="92" t="str">
        <f>IF(AND(A3504="",B3504="",D3504="",G3504=""),"",IF(OR(B3504="",NOT(ISNUMBER(B3504)),C3504="",C3504="Fora dos ciclos"),"",IF(C3504="C0","Nao",IF(IFERROR(INDEX(parametros!$A$2:$A$6,MATCH(C3504,parametros!$B$2:$B$6,0)),"")&lt;&gt;"Sim","Nao",IF(IFERROR(INDEX(parametros!$H$2:$H$6,MATCH(C3504,parametros!$B$2:$B$6,0)),"")="","",IF(B3504&gt;=IFERROR(INDEX(parametros!$H$2:$H$6,MATCH(C3504,parametros!$B$2:$B$6,0)),""),"Sim","Nao"))))))</f>
        <v/>
      </c>
      <c r="T3504" s="156"/>
      <c r="U3504" s="214" t="str">
        <f t="shared" si="276"/>
        <v/>
      </c>
      <c r="V3504" s="212" t="s">
        <v>50</v>
      </c>
      <c r="W3504" s="100" t="s">
        <v>168</v>
      </c>
      <c r="X3504" s="100" t="s">
        <v>169</v>
      </c>
      <c r="Y3504" s="101" t="s">
        <v>170</v>
      </c>
      <c r="Z3504" s="101" t="s">
        <v>171</v>
      </c>
      <c r="AA3504" s="101" t="s">
        <v>50</v>
      </c>
      <c r="AB3504" s="101" t="s">
        <v>172</v>
      </c>
      <c r="AC3504" s="102" t="s">
        <v>173</v>
      </c>
    </row>
    <row r="3505" spans="1:29" ht="25.5" customHeight="1" x14ac:dyDescent="0.35">
      <c r="A3505" s="392"/>
      <c r="B3505" s="393"/>
      <c r="C3505" s="99" t="str">
        <f>IF(B3505="","",IF(NOT(ISNUMBER(B3505)),"DATA_PC invalida",IF(NOT(ISNUMBER(parametros!$C$2)),"Fora dos ciclos",IF(OR(B3505&lt;parametros!$C$2,(YEAR(B3505)-YEAR(parametros!$C$2))*12+MONTH(B3505)-MONTH(parametros!$C$2)&gt;59),"Fora dos ciclos","C"&amp;INT(((YEAR(B3505)-YEAR(parametros!$C$2))*12+MONTH(B3505)-MONTH(parametros!$C$2))/12)))))</f>
        <v/>
      </c>
      <c r="D3505" s="394"/>
      <c r="E3505" s="78" t="str">
        <f>IF(C3505="","",IFERROR(VLOOKUP(C3505,parametros!$A$11:$E$15,5,0),""))</f>
        <v/>
      </c>
      <c r="F3505" s="79" t="str">
        <f t="shared" si="272"/>
        <v/>
      </c>
      <c r="G3505" s="395"/>
      <c r="H3505" s="91">
        <f t="shared" si="273"/>
        <v>0</v>
      </c>
      <c r="I3505" s="91" t="str">
        <f t="shared" si="274"/>
        <v/>
      </c>
      <c r="J3505" s="91" t="str">
        <f t="shared" si="275"/>
        <v/>
      </c>
      <c r="K3505" s="92" t="str">
        <f>IF(AND(A3505="",B3505="",D3505="",G3505=""),"",IF(AND(A3505&lt;&gt;"",COUNTIF($A$2:$A$5001,A3505)&gt;1),"NUMERO_PC duplicado",IF(B3505="","DATA_PC vazia",IF(NOT(ISNUMBER(B3505)),"DATA_PC invalida",IF(OR(C3505="",C3505="Fora dos ciclos"),"CICLO_PC nao identificado",IF(OR(D3505="",D3505=0),"VALOR_PC vazio ou zero",IF(AND(G3505&lt;&gt;"Sim",G3505&lt;&gt;"Nao",G3505&lt;&gt;""),"PC_PAGO_A_CONTRATADA invalido",IF(AND(C3505&lt;&gt;"C0",IFERROR(INDEX(parametros!$A$2:$A$6,MATCH(C3505,parametros!$B$2:$B$6,0)),"")="Sim",IFERROR(INDEX(parametros!$H$2:$H$6,MATCH(C3505,parametros!$B$2:$B$6,0)),"")=""),"INICIO_EFEITO ausente: PC "&amp;A3505&amp;" - "&amp;C3505,IF(L3505="","EFEITO_PC nao calculado: PC "&amp;A3505&amp;" - "&amp;C3505,"OK")))))))))</f>
        <v/>
      </c>
      <c r="L3505" s="92" t="str">
        <f>IF(AND(A3505="",B3505="",D3505="",G3505=""),"",IF(OR(B3505="",NOT(ISNUMBER(B3505)),C3505="",C3505="Fora dos ciclos"),"",IF(C3505="C0","Nao",IF(IFERROR(INDEX(parametros!$A$2:$A$6,MATCH(C3505,parametros!$B$2:$B$6,0)),"")&lt;&gt;"Sim","Nao",IF(IFERROR(INDEX(parametros!$H$2:$H$6,MATCH(C3505,parametros!$B$2:$B$6,0)),"")="","",IF(B3505&gt;=IFERROR(INDEX(parametros!$H$2:$H$6,MATCH(C3505,parametros!$B$2:$B$6,0)),""),"Sim","Nao"))))))</f>
        <v/>
      </c>
      <c r="T3505" s="156"/>
      <c r="U3505" s="214" t="str">
        <f t="shared" si="276"/>
        <v/>
      </c>
      <c r="V3505" s="212" t="s">
        <v>50</v>
      </c>
      <c r="W3505" s="100" t="s">
        <v>168</v>
      </c>
      <c r="X3505" s="100" t="s">
        <v>169</v>
      </c>
      <c r="Y3505" s="101" t="s">
        <v>170</v>
      </c>
      <c r="Z3505" s="101" t="s">
        <v>171</v>
      </c>
      <c r="AA3505" s="101" t="s">
        <v>50</v>
      </c>
      <c r="AB3505" s="101" t="s">
        <v>172</v>
      </c>
      <c r="AC3505" s="102" t="s">
        <v>173</v>
      </c>
    </row>
    <row r="3506" spans="1:29" ht="25.5" customHeight="1" x14ac:dyDescent="0.35">
      <c r="A3506" s="392"/>
      <c r="B3506" s="393"/>
      <c r="C3506" s="99" t="str">
        <f>IF(B3506="","",IF(NOT(ISNUMBER(B3506)),"DATA_PC invalida",IF(NOT(ISNUMBER(parametros!$C$2)),"Fora dos ciclos",IF(OR(B3506&lt;parametros!$C$2,(YEAR(B3506)-YEAR(parametros!$C$2))*12+MONTH(B3506)-MONTH(parametros!$C$2)&gt;59),"Fora dos ciclos","C"&amp;INT(((YEAR(B3506)-YEAR(parametros!$C$2))*12+MONTH(B3506)-MONTH(parametros!$C$2))/12)))))</f>
        <v/>
      </c>
      <c r="D3506" s="394"/>
      <c r="E3506" s="78" t="str">
        <f>IF(C3506="","",IFERROR(VLOOKUP(C3506,parametros!$A$11:$E$15,5,0),""))</f>
        <v/>
      </c>
      <c r="F3506" s="79" t="str">
        <f t="shared" si="272"/>
        <v/>
      </c>
      <c r="G3506" s="395"/>
      <c r="H3506" s="91">
        <f t="shared" si="273"/>
        <v>0</v>
      </c>
      <c r="I3506" s="91" t="str">
        <f t="shared" si="274"/>
        <v/>
      </c>
      <c r="J3506" s="91" t="str">
        <f t="shared" si="275"/>
        <v/>
      </c>
      <c r="K3506" s="92" t="str">
        <f>IF(AND(A3506="",B3506="",D3506="",G3506=""),"",IF(AND(A3506&lt;&gt;"",COUNTIF($A$2:$A$5001,A3506)&gt;1),"NUMERO_PC duplicado",IF(B3506="","DATA_PC vazia",IF(NOT(ISNUMBER(B3506)),"DATA_PC invalida",IF(OR(C3506="",C3506="Fora dos ciclos"),"CICLO_PC nao identificado",IF(OR(D3506="",D3506=0),"VALOR_PC vazio ou zero",IF(AND(G3506&lt;&gt;"Sim",G3506&lt;&gt;"Nao",G3506&lt;&gt;""),"PC_PAGO_A_CONTRATADA invalido",IF(AND(C3506&lt;&gt;"C0",IFERROR(INDEX(parametros!$A$2:$A$6,MATCH(C3506,parametros!$B$2:$B$6,0)),"")="Sim",IFERROR(INDEX(parametros!$H$2:$H$6,MATCH(C3506,parametros!$B$2:$B$6,0)),"")=""),"INICIO_EFEITO ausente: PC "&amp;A3506&amp;" - "&amp;C3506,IF(L3506="","EFEITO_PC nao calculado: PC "&amp;A3506&amp;" - "&amp;C3506,"OK")))))))))</f>
        <v/>
      </c>
      <c r="L3506" s="92" t="str">
        <f>IF(AND(A3506="",B3506="",D3506="",G3506=""),"",IF(OR(B3506="",NOT(ISNUMBER(B3506)),C3506="",C3506="Fora dos ciclos"),"",IF(C3506="C0","Nao",IF(IFERROR(INDEX(parametros!$A$2:$A$6,MATCH(C3506,parametros!$B$2:$B$6,0)),"")&lt;&gt;"Sim","Nao",IF(IFERROR(INDEX(parametros!$H$2:$H$6,MATCH(C3506,parametros!$B$2:$B$6,0)),"")="","",IF(B3506&gt;=IFERROR(INDEX(parametros!$H$2:$H$6,MATCH(C3506,parametros!$B$2:$B$6,0)),""),"Sim","Nao"))))))</f>
        <v/>
      </c>
      <c r="T3506" s="156"/>
      <c r="U3506" s="214" t="str">
        <f t="shared" si="276"/>
        <v/>
      </c>
      <c r="V3506" s="212" t="s">
        <v>50</v>
      </c>
      <c r="W3506" s="100" t="s">
        <v>168</v>
      </c>
      <c r="X3506" s="100" t="s">
        <v>169</v>
      </c>
      <c r="Y3506" s="101" t="s">
        <v>170</v>
      </c>
      <c r="Z3506" s="101" t="s">
        <v>171</v>
      </c>
      <c r="AA3506" s="101" t="s">
        <v>50</v>
      </c>
      <c r="AB3506" s="101" t="s">
        <v>172</v>
      </c>
      <c r="AC3506" s="102" t="s">
        <v>173</v>
      </c>
    </row>
    <row r="3507" spans="1:29" ht="25.5" customHeight="1" x14ac:dyDescent="0.35">
      <c r="A3507" s="392"/>
      <c r="B3507" s="393"/>
      <c r="C3507" s="99" t="str">
        <f>IF(B3507="","",IF(NOT(ISNUMBER(B3507)),"DATA_PC invalida",IF(NOT(ISNUMBER(parametros!$C$2)),"Fora dos ciclos",IF(OR(B3507&lt;parametros!$C$2,(YEAR(B3507)-YEAR(parametros!$C$2))*12+MONTH(B3507)-MONTH(parametros!$C$2)&gt;59),"Fora dos ciclos","C"&amp;INT(((YEAR(B3507)-YEAR(parametros!$C$2))*12+MONTH(B3507)-MONTH(parametros!$C$2))/12)))))</f>
        <v/>
      </c>
      <c r="D3507" s="394"/>
      <c r="E3507" s="78" t="str">
        <f>IF(C3507="","",IFERROR(VLOOKUP(C3507,parametros!$A$11:$E$15,5,0),""))</f>
        <v/>
      </c>
      <c r="F3507" s="79" t="str">
        <f t="shared" si="272"/>
        <v/>
      </c>
      <c r="G3507" s="395"/>
      <c r="H3507" s="91">
        <f t="shared" si="273"/>
        <v>0</v>
      </c>
      <c r="I3507" s="91" t="str">
        <f t="shared" si="274"/>
        <v/>
      </c>
      <c r="J3507" s="91" t="str">
        <f t="shared" si="275"/>
        <v/>
      </c>
      <c r="K3507" s="92" t="str">
        <f>IF(AND(A3507="",B3507="",D3507="",G3507=""),"",IF(AND(A3507&lt;&gt;"",COUNTIF($A$2:$A$5001,A3507)&gt;1),"NUMERO_PC duplicado",IF(B3507="","DATA_PC vazia",IF(NOT(ISNUMBER(B3507)),"DATA_PC invalida",IF(OR(C3507="",C3507="Fora dos ciclos"),"CICLO_PC nao identificado",IF(OR(D3507="",D3507=0),"VALOR_PC vazio ou zero",IF(AND(G3507&lt;&gt;"Sim",G3507&lt;&gt;"Nao",G3507&lt;&gt;""),"PC_PAGO_A_CONTRATADA invalido",IF(AND(C3507&lt;&gt;"C0",IFERROR(INDEX(parametros!$A$2:$A$6,MATCH(C3507,parametros!$B$2:$B$6,0)),"")="Sim",IFERROR(INDEX(parametros!$H$2:$H$6,MATCH(C3507,parametros!$B$2:$B$6,0)),"")=""),"INICIO_EFEITO ausente: PC "&amp;A3507&amp;" - "&amp;C3507,IF(L3507="","EFEITO_PC nao calculado: PC "&amp;A3507&amp;" - "&amp;C3507,"OK")))))))))</f>
        <v/>
      </c>
      <c r="L3507" s="92" t="str">
        <f>IF(AND(A3507="",B3507="",D3507="",G3507=""),"",IF(OR(B3507="",NOT(ISNUMBER(B3507)),C3507="",C3507="Fora dos ciclos"),"",IF(C3507="C0","Nao",IF(IFERROR(INDEX(parametros!$A$2:$A$6,MATCH(C3507,parametros!$B$2:$B$6,0)),"")&lt;&gt;"Sim","Nao",IF(IFERROR(INDEX(parametros!$H$2:$H$6,MATCH(C3507,parametros!$B$2:$B$6,0)),"")="","",IF(B3507&gt;=IFERROR(INDEX(parametros!$H$2:$H$6,MATCH(C3507,parametros!$B$2:$B$6,0)),""),"Sim","Nao"))))))</f>
        <v/>
      </c>
      <c r="T3507" s="156"/>
      <c r="U3507" s="214" t="str">
        <f t="shared" si="276"/>
        <v/>
      </c>
      <c r="V3507" s="212" t="s">
        <v>50</v>
      </c>
      <c r="W3507" s="100" t="s">
        <v>168</v>
      </c>
      <c r="X3507" s="100" t="s">
        <v>169</v>
      </c>
      <c r="Y3507" s="101" t="s">
        <v>170</v>
      </c>
      <c r="Z3507" s="101" t="s">
        <v>171</v>
      </c>
      <c r="AA3507" s="101" t="s">
        <v>50</v>
      </c>
      <c r="AB3507" s="101" t="s">
        <v>172</v>
      </c>
      <c r="AC3507" s="102" t="s">
        <v>173</v>
      </c>
    </row>
    <row r="3508" spans="1:29" ht="25.5" customHeight="1" x14ac:dyDescent="0.35">
      <c r="A3508" s="392"/>
      <c r="B3508" s="393"/>
      <c r="C3508" s="99" t="str">
        <f>IF(B3508="","",IF(NOT(ISNUMBER(B3508)),"DATA_PC invalida",IF(NOT(ISNUMBER(parametros!$C$2)),"Fora dos ciclos",IF(OR(B3508&lt;parametros!$C$2,(YEAR(B3508)-YEAR(parametros!$C$2))*12+MONTH(B3508)-MONTH(parametros!$C$2)&gt;59),"Fora dos ciclos","C"&amp;INT(((YEAR(B3508)-YEAR(parametros!$C$2))*12+MONTH(B3508)-MONTH(parametros!$C$2))/12)))))</f>
        <v/>
      </c>
      <c r="D3508" s="394"/>
      <c r="E3508" s="78" t="str">
        <f>IF(C3508="","",IFERROR(VLOOKUP(C3508,parametros!$A$11:$E$15,5,0),""))</f>
        <v/>
      </c>
      <c r="F3508" s="79" t="str">
        <f t="shared" si="272"/>
        <v/>
      </c>
      <c r="G3508" s="395"/>
      <c r="H3508" s="91">
        <f t="shared" si="273"/>
        <v>0</v>
      </c>
      <c r="I3508" s="91" t="str">
        <f t="shared" si="274"/>
        <v/>
      </c>
      <c r="J3508" s="91" t="str">
        <f t="shared" si="275"/>
        <v/>
      </c>
      <c r="K3508" s="92" t="str">
        <f>IF(AND(A3508="",B3508="",D3508="",G3508=""),"",IF(AND(A3508&lt;&gt;"",COUNTIF($A$2:$A$5001,A3508)&gt;1),"NUMERO_PC duplicado",IF(B3508="","DATA_PC vazia",IF(NOT(ISNUMBER(B3508)),"DATA_PC invalida",IF(OR(C3508="",C3508="Fora dos ciclos"),"CICLO_PC nao identificado",IF(OR(D3508="",D3508=0),"VALOR_PC vazio ou zero",IF(AND(G3508&lt;&gt;"Sim",G3508&lt;&gt;"Nao",G3508&lt;&gt;""),"PC_PAGO_A_CONTRATADA invalido",IF(AND(C3508&lt;&gt;"C0",IFERROR(INDEX(parametros!$A$2:$A$6,MATCH(C3508,parametros!$B$2:$B$6,0)),"")="Sim",IFERROR(INDEX(parametros!$H$2:$H$6,MATCH(C3508,parametros!$B$2:$B$6,0)),"")=""),"INICIO_EFEITO ausente: PC "&amp;A3508&amp;" - "&amp;C3508,IF(L3508="","EFEITO_PC nao calculado: PC "&amp;A3508&amp;" - "&amp;C3508,"OK")))))))))</f>
        <v/>
      </c>
      <c r="L3508" s="92" t="str">
        <f>IF(AND(A3508="",B3508="",D3508="",G3508=""),"",IF(OR(B3508="",NOT(ISNUMBER(B3508)),C3508="",C3508="Fora dos ciclos"),"",IF(C3508="C0","Nao",IF(IFERROR(INDEX(parametros!$A$2:$A$6,MATCH(C3508,parametros!$B$2:$B$6,0)),"")&lt;&gt;"Sim","Nao",IF(IFERROR(INDEX(parametros!$H$2:$H$6,MATCH(C3508,parametros!$B$2:$B$6,0)),"")="","",IF(B3508&gt;=IFERROR(INDEX(parametros!$H$2:$H$6,MATCH(C3508,parametros!$B$2:$B$6,0)),""),"Sim","Nao"))))))</f>
        <v/>
      </c>
      <c r="T3508" s="156"/>
      <c r="U3508" s="214" t="str">
        <f t="shared" si="276"/>
        <v/>
      </c>
      <c r="V3508" s="212" t="s">
        <v>50</v>
      </c>
      <c r="W3508" s="100" t="s">
        <v>168</v>
      </c>
      <c r="X3508" s="100" t="s">
        <v>169</v>
      </c>
      <c r="Y3508" s="101" t="s">
        <v>170</v>
      </c>
      <c r="Z3508" s="101" t="s">
        <v>171</v>
      </c>
      <c r="AA3508" s="101" t="s">
        <v>50</v>
      </c>
      <c r="AB3508" s="101" t="s">
        <v>172</v>
      </c>
      <c r="AC3508" s="102" t="s">
        <v>173</v>
      </c>
    </row>
    <row r="3509" spans="1:29" ht="25.5" customHeight="1" x14ac:dyDescent="0.35">
      <c r="A3509" s="392"/>
      <c r="B3509" s="393"/>
      <c r="C3509" s="99" t="str">
        <f>IF(B3509="","",IF(NOT(ISNUMBER(B3509)),"DATA_PC invalida",IF(NOT(ISNUMBER(parametros!$C$2)),"Fora dos ciclos",IF(OR(B3509&lt;parametros!$C$2,(YEAR(B3509)-YEAR(parametros!$C$2))*12+MONTH(B3509)-MONTH(parametros!$C$2)&gt;59),"Fora dos ciclos","C"&amp;INT(((YEAR(B3509)-YEAR(parametros!$C$2))*12+MONTH(B3509)-MONTH(parametros!$C$2))/12)))))</f>
        <v/>
      </c>
      <c r="D3509" s="394"/>
      <c r="E3509" s="78" t="str">
        <f>IF(C3509="","",IFERROR(VLOOKUP(C3509,parametros!$A$11:$E$15,5,0),""))</f>
        <v/>
      </c>
      <c r="F3509" s="79" t="str">
        <f t="shared" si="272"/>
        <v/>
      </c>
      <c r="G3509" s="395"/>
      <c r="H3509" s="91">
        <f t="shared" si="273"/>
        <v>0</v>
      </c>
      <c r="I3509" s="91" t="str">
        <f t="shared" si="274"/>
        <v/>
      </c>
      <c r="J3509" s="91" t="str">
        <f t="shared" si="275"/>
        <v/>
      </c>
      <c r="K3509" s="92" t="str">
        <f>IF(AND(A3509="",B3509="",D3509="",G3509=""),"",IF(AND(A3509&lt;&gt;"",COUNTIF($A$2:$A$5001,A3509)&gt;1),"NUMERO_PC duplicado",IF(B3509="","DATA_PC vazia",IF(NOT(ISNUMBER(B3509)),"DATA_PC invalida",IF(OR(C3509="",C3509="Fora dos ciclos"),"CICLO_PC nao identificado",IF(OR(D3509="",D3509=0),"VALOR_PC vazio ou zero",IF(AND(G3509&lt;&gt;"Sim",G3509&lt;&gt;"Nao",G3509&lt;&gt;""),"PC_PAGO_A_CONTRATADA invalido",IF(AND(C3509&lt;&gt;"C0",IFERROR(INDEX(parametros!$A$2:$A$6,MATCH(C3509,parametros!$B$2:$B$6,0)),"")="Sim",IFERROR(INDEX(parametros!$H$2:$H$6,MATCH(C3509,parametros!$B$2:$B$6,0)),"")=""),"INICIO_EFEITO ausente: PC "&amp;A3509&amp;" - "&amp;C3509,IF(L3509="","EFEITO_PC nao calculado: PC "&amp;A3509&amp;" - "&amp;C3509,"OK")))))))))</f>
        <v/>
      </c>
      <c r="L3509" s="92" t="str">
        <f>IF(AND(A3509="",B3509="",D3509="",G3509=""),"",IF(OR(B3509="",NOT(ISNUMBER(B3509)),C3509="",C3509="Fora dos ciclos"),"",IF(C3509="C0","Nao",IF(IFERROR(INDEX(parametros!$A$2:$A$6,MATCH(C3509,parametros!$B$2:$B$6,0)),"")&lt;&gt;"Sim","Nao",IF(IFERROR(INDEX(parametros!$H$2:$H$6,MATCH(C3509,parametros!$B$2:$B$6,0)),"")="","",IF(B3509&gt;=IFERROR(INDEX(parametros!$H$2:$H$6,MATCH(C3509,parametros!$B$2:$B$6,0)),""),"Sim","Nao"))))))</f>
        <v/>
      </c>
      <c r="T3509" s="156"/>
      <c r="U3509" s="214" t="str">
        <f t="shared" si="276"/>
        <v/>
      </c>
      <c r="V3509" s="212" t="s">
        <v>50</v>
      </c>
      <c r="W3509" s="100" t="s">
        <v>168</v>
      </c>
      <c r="X3509" s="100" t="s">
        <v>169</v>
      </c>
      <c r="Y3509" s="101" t="s">
        <v>170</v>
      </c>
      <c r="Z3509" s="101" t="s">
        <v>171</v>
      </c>
      <c r="AA3509" s="101" t="s">
        <v>50</v>
      </c>
      <c r="AB3509" s="101" t="s">
        <v>172</v>
      </c>
      <c r="AC3509" s="102" t="s">
        <v>173</v>
      </c>
    </row>
    <row r="3510" spans="1:29" ht="25.5" customHeight="1" x14ac:dyDescent="0.35">
      <c r="A3510" s="392"/>
      <c r="B3510" s="393"/>
      <c r="C3510" s="99" t="str">
        <f>IF(B3510="","",IF(NOT(ISNUMBER(B3510)),"DATA_PC invalida",IF(NOT(ISNUMBER(parametros!$C$2)),"Fora dos ciclos",IF(OR(B3510&lt;parametros!$C$2,(YEAR(B3510)-YEAR(parametros!$C$2))*12+MONTH(B3510)-MONTH(parametros!$C$2)&gt;59),"Fora dos ciclos","C"&amp;INT(((YEAR(B3510)-YEAR(parametros!$C$2))*12+MONTH(B3510)-MONTH(parametros!$C$2))/12)))))</f>
        <v/>
      </c>
      <c r="D3510" s="394"/>
      <c r="E3510" s="78" t="str">
        <f>IF(C3510="","",IFERROR(VLOOKUP(C3510,parametros!$A$11:$E$15,5,0),""))</f>
        <v/>
      </c>
      <c r="F3510" s="79" t="str">
        <f t="shared" si="272"/>
        <v/>
      </c>
      <c r="G3510" s="395"/>
      <c r="H3510" s="91">
        <f t="shared" si="273"/>
        <v>0</v>
      </c>
      <c r="I3510" s="91" t="str">
        <f t="shared" si="274"/>
        <v/>
      </c>
      <c r="J3510" s="91" t="str">
        <f t="shared" si="275"/>
        <v/>
      </c>
      <c r="K3510" s="92" t="str">
        <f>IF(AND(A3510="",B3510="",D3510="",G3510=""),"",IF(AND(A3510&lt;&gt;"",COUNTIF($A$2:$A$5001,A3510)&gt;1),"NUMERO_PC duplicado",IF(B3510="","DATA_PC vazia",IF(NOT(ISNUMBER(B3510)),"DATA_PC invalida",IF(OR(C3510="",C3510="Fora dos ciclos"),"CICLO_PC nao identificado",IF(OR(D3510="",D3510=0),"VALOR_PC vazio ou zero",IF(AND(G3510&lt;&gt;"Sim",G3510&lt;&gt;"Nao",G3510&lt;&gt;""),"PC_PAGO_A_CONTRATADA invalido",IF(AND(C3510&lt;&gt;"C0",IFERROR(INDEX(parametros!$A$2:$A$6,MATCH(C3510,parametros!$B$2:$B$6,0)),"")="Sim",IFERROR(INDEX(parametros!$H$2:$H$6,MATCH(C3510,parametros!$B$2:$B$6,0)),"")=""),"INICIO_EFEITO ausente: PC "&amp;A3510&amp;" - "&amp;C3510,IF(L3510="","EFEITO_PC nao calculado: PC "&amp;A3510&amp;" - "&amp;C3510,"OK")))))))))</f>
        <v/>
      </c>
      <c r="L3510" s="92" t="str">
        <f>IF(AND(A3510="",B3510="",D3510="",G3510=""),"",IF(OR(B3510="",NOT(ISNUMBER(B3510)),C3510="",C3510="Fora dos ciclos"),"",IF(C3510="C0","Nao",IF(IFERROR(INDEX(parametros!$A$2:$A$6,MATCH(C3510,parametros!$B$2:$B$6,0)),"")&lt;&gt;"Sim","Nao",IF(IFERROR(INDEX(parametros!$H$2:$H$6,MATCH(C3510,parametros!$B$2:$B$6,0)),"")="","",IF(B3510&gt;=IFERROR(INDEX(parametros!$H$2:$H$6,MATCH(C3510,parametros!$B$2:$B$6,0)),""),"Sim","Nao"))))))</f>
        <v/>
      </c>
      <c r="T3510" s="156"/>
      <c r="U3510" s="214" t="str">
        <f t="shared" si="276"/>
        <v/>
      </c>
      <c r="V3510" s="212" t="s">
        <v>50</v>
      </c>
      <c r="W3510" s="100" t="s">
        <v>168</v>
      </c>
      <c r="X3510" s="100" t="s">
        <v>169</v>
      </c>
      <c r="Y3510" s="101" t="s">
        <v>170</v>
      </c>
      <c r="Z3510" s="101" t="s">
        <v>171</v>
      </c>
      <c r="AA3510" s="101" t="s">
        <v>50</v>
      </c>
      <c r="AB3510" s="101" t="s">
        <v>172</v>
      </c>
      <c r="AC3510" s="102" t="s">
        <v>173</v>
      </c>
    </row>
    <row r="3511" spans="1:29" ht="25.5" customHeight="1" x14ac:dyDescent="0.35">
      <c r="A3511" s="392"/>
      <c r="B3511" s="393"/>
      <c r="C3511" s="99" t="str">
        <f>IF(B3511="","",IF(NOT(ISNUMBER(B3511)),"DATA_PC invalida",IF(NOT(ISNUMBER(parametros!$C$2)),"Fora dos ciclos",IF(OR(B3511&lt;parametros!$C$2,(YEAR(B3511)-YEAR(parametros!$C$2))*12+MONTH(B3511)-MONTH(parametros!$C$2)&gt;59),"Fora dos ciclos","C"&amp;INT(((YEAR(B3511)-YEAR(parametros!$C$2))*12+MONTH(B3511)-MONTH(parametros!$C$2))/12)))))</f>
        <v/>
      </c>
      <c r="D3511" s="394"/>
      <c r="E3511" s="78" t="str">
        <f>IF(C3511="","",IFERROR(VLOOKUP(C3511,parametros!$A$11:$E$15,5,0),""))</f>
        <v/>
      </c>
      <c r="F3511" s="79" t="str">
        <f t="shared" si="272"/>
        <v/>
      </c>
      <c r="G3511" s="395"/>
      <c r="H3511" s="91">
        <f t="shared" si="273"/>
        <v>0</v>
      </c>
      <c r="I3511" s="91" t="str">
        <f t="shared" si="274"/>
        <v/>
      </c>
      <c r="J3511" s="91" t="str">
        <f t="shared" si="275"/>
        <v/>
      </c>
      <c r="K3511" s="92" t="str">
        <f>IF(AND(A3511="",B3511="",D3511="",G3511=""),"",IF(AND(A3511&lt;&gt;"",COUNTIF($A$2:$A$5001,A3511)&gt;1),"NUMERO_PC duplicado",IF(B3511="","DATA_PC vazia",IF(NOT(ISNUMBER(B3511)),"DATA_PC invalida",IF(OR(C3511="",C3511="Fora dos ciclos"),"CICLO_PC nao identificado",IF(OR(D3511="",D3511=0),"VALOR_PC vazio ou zero",IF(AND(G3511&lt;&gt;"Sim",G3511&lt;&gt;"Nao",G3511&lt;&gt;""),"PC_PAGO_A_CONTRATADA invalido",IF(AND(C3511&lt;&gt;"C0",IFERROR(INDEX(parametros!$A$2:$A$6,MATCH(C3511,parametros!$B$2:$B$6,0)),"")="Sim",IFERROR(INDEX(parametros!$H$2:$H$6,MATCH(C3511,parametros!$B$2:$B$6,0)),"")=""),"INICIO_EFEITO ausente: PC "&amp;A3511&amp;" - "&amp;C3511,IF(L3511="","EFEITO_PC nao calculado: PC "&amp;A3511&amp;" - "&amp;C3511,"OK")))))))))</f>
        <v/>
      </c>
      <c r="L3511" s="92" t="str">
        <f>IF(AND(A3511="",B3511="",D3511="",G3511=""),"",IF(OR(B3511="",NOT(ISNUMBER(B3511)),C3511="",C3511="Fora dos ciclos"),"",IF(C3511="C0","Nao",IF(IFERROR(INDEX(parametros!$A$2:$A$6,MATCH(C3511,parametros!$B$2:$B$6,0)),"")&lt;&gt;"Sim","Nao",IF(IFERROR(INDEX(parametros!$H$2:$H$6,MATCH(C3511,parametros!$B$2:$B$6,0)),"")="","",IF(B3511&gt;=IFERROR(INDEX(parametros!$H$2:$H$6,MATCH(C3511,parametros!$B$2:$B$6,0)),""),"Sim","Nao"))))))</f>
        <v/>
      </c>
      <c r="T3511" s="156"/>
      <c r="U3511" s="214" t="str">
        <f t="shared" si="276"/>
        <v/>
      </c>
      <c r="V3511" s="212" t="s">
        <v>50</v>
      </c>
      <c r="W3511" s="100" t="s">
        <v>168</v>
      </c>
      <c r="X3511" s="100" t="s">
        <v>169</v>
      </c>
      <c r="Y3511" s="101" t="s">
        <v>170</v>
      </c>
      <c r="Z3511" s="101" t="s">
        <v>171</v>
      </c>
      <c r="AA3511" s="101" t="s">
        <v>50</v>
      </c>
      <c r="AB3511" s="101" t="s">
        <v>172</v>
      </c>
      <c r="AC3511" s="102" t="s">
        <v>173</v>
      </c>
    </row>
    <row r="3512" spans="1:29" ht="25.5" customHeight="1" x14ac:dyDescent="0.35">
      <c r="A3512" s="392"/>
      <c r="B3512" s="393"/>
      <c r="C3512" s="99" t="str">
        <f>IF(B3512="","",IF(NOT(ISNUMBER(B3512)),"DATA_PC invalida",IF(NOT(ISNUMBER(parametros!$C$2)),"Fora dos ciclos",IF(OR(B3512&lt;parametros!$C$2,(YEAR(B3512)-YEAR(parametros!$C$2))*12+MONTH(B3512)-MONTH(parametros!$C$2)&gt;59),"Fora dos ciclos","C"&amp;INT(((YEAR(B3512)-YEAR(parametros!$C$2))*12+MONTH(B3512)-MONTH(parametros!$C$2))/12)))))</f>
        <v/>
      </c>
      <c r="D3512" s="394"/>
      <c r="E3512" s="78" t="str">
        <f>IF(C3512="","",IFERROR(VLOOKUP(C3512,parametros!$A$11:$E$15,5,0),""))</f>
        <v/>
      </c>
      <c r="F3512" s="79" t="str">
        <f t="shared" si="272"/>
        <v/>
      </c>
      <c r="G3512" s="395"/>
      <c r="H3512" s="91">
        <f t="shared" si="273"/>
        <v>0</v>
      </c>
      <c r="I3512" s="91" t="str">
        <f t="shared" si="274"/>
        <v/>
      </c>
      <c r="J3512" s="91" t="str">
        <f t="shared" si="275"/>
        <v/>
      </c>
      <c r="K3512" s="92" t="str">
        <f>IF(AND(A3512="",B3512="",D3512="",G3512=""),"",IF(AND(A3512&lt;&gt;"",COUNTIF($A$2:$A$5001,A3512)&gt;1),"NUMERO_PC duplicado",IF(B3512="","DATA_PC vazia",IF(NOT(ISNUMBER(B3512)),"DATA_PC invalida",IF(OR(C3512="",C3512="Fora dos ciclos"),"CICLO_PC nao identificado",IF(OR(D3512="",D3512=0),"VALOR_PC vazio ou zero",IF(AND(G3512&lt;&gt;"Sim",G3512&lt;&gt;"Nao",G3512&lt;&gt;""),"PC_PAGO_A_CONTRATADA invalido",IF(AND(C3512&lt;&gt;"C0",IFERROR(INDEX(parametros!$A$2:$A$6,MATCH(C3512,parametros!$B$2:$B$6,0)),"")="Sim",IFERROR(INDEX(parametros!$H$2:$H$6,MATCH(C3512,parametros!$B$2:$B$6,0)),"")=""),"INICIO_EFEITO ausente: PC "&amp;A3512&amp;" - "&amp;C3512,IF(L3512="","EFEITO_PC nao calculado: PC "&amp;A3512&amp;" - "&amp;C3512,"OK")))))))))</f>
        <v/>
      </c>
      <c r="L3512" s="92" t="str">
        <f>IF(AND(A3512="",B3512="",D3512="",G3512=""),"",IF(OR(B3512="",NOT(ISNUMBER(B3512)),C3512="",C3512="Fora dos ciclos"),"",IF(C3512="C0","Nao",IF(IFERROR(INDEX(parametros!$A$2:$A$6,MATCH(C3512,parametros!$B$2:$B$6,0)),"")&lt;&gt;"Sim","Nao",IF(IFERROR(INDEX(parametros!$H$2:$H$6,MATCH(C3512,parametros!$B$2:$B$6,0)),"")="","",IF(B3512&gt;=IFERROR(INDEX(parametros!$H$2:$H$6,MATCH(C3512,parametros!$B$2:$B$6,0)),""),"Sim","Nao"))))))</f>
        <v/>
      </c>
      <c r="T3512" s="156"/>
      <c r="U3512" s="214" t="str">
        <f t="shared" si="276"/>
        <v/>
      </c>
      <c r="V3512" s="212" t="s">
        <v>50</v>
      </c>
      <c r="W3512" s="100" t="s">
        <v>168</v>
      </c>
      <c r="X3512" s="100" t="s">
        <v>169</v>
      </c>
      <c r="Y3512" s="101" t="s">
        <v>170</v>
      </c>
      <c r="Z3512" s="101" t="s">
        <v>171</v>
      </c>
      <c r="AA3512" s="101" t="s">
        <v>50</v>
      </c>
      <c r="AB3512" s="101" t="s">
        <v>172</v>
      </c>
      <c r="AC3512" s="102" t="s">
        <v>173</v>
      </c>
    </row>
    <row r="3513" spans="1:29" ht="25.5" customHeight="1" x14ac:dyDescent="0.35">
      <c r="A3513" s="392"/>
      <c r="B3513" s="393"/>
      <c r="C3513" s="99" t="str">
        <f>IF(B3513="","",IF(NOT(ISNUMBER(B3513)),"DATA_PC invalida",IF(NOT(ISNUMBER(parametros!$C$2)),"Fora dos ciclos",IF(OR(B3513&lt;parametros!$C$2,(YEAR(B3513)-YEAR(parametros!$C$2))*12+MONTH(B3513)-MONTH(parametros!$C$2)&gt;59),"Fora dos ciclos","C"&amp;INT(((YEAR(B3513)-YEAR(parametros!$C$2))*12+MONTH(B3513)-MONTH(parametros!$C$2))/12)))))</f>
        <v/>
      </c>
      <c r="D3513" s="394"/>
      <c r="E3513" s="78" t="str">
        <f>IF(C3513="","",IFERROR(VLOOKUP(C3513,parametros!$A$11:$E$15,5,0),""))</f>
        <v/>
      </c>
      <c r="F3513" s="79" t="str">
        <f t="shared" si="272"/>
        <v/>
      </c>
      <c r="G3513" s="395"/>
      <c r="H3513" s="91">
        <f t="shared" si="273"/>
        <v>0</v>
      </c>
      <c r="I3513" s="91" t="str">
        <f t="shared" si="274"/>
        <v/>
      </c>
      <c r="J3513" s="91" t="str">
        <f t="shared" si="275"/>
        <v/>
      </c>
      <c r="K3513" s="92" t="str">
        <f>IF(AND(A3513="",B3513="",D3513="",G3513=""),"",IF(AND(A3513&lt;&gt;"",COUNTIF($A$2:$A$5001,A3513)&gt;1),"NUMERO_PC duplicado",IF(B3513="","DATA_PC vazia",IF(NOT(ISNUMBER(B3513)),"DATA_PC invalida",IF(OR(C3513="",C3513="Fora dos ciclos"),"CICLO_PC nao identificado",IF(OR(D3513="",D3513=0),"VALOR_PC vazio ou zero",IF(AND(G3513&lt;&gt;"Sim",G3513&lt;&gt;"Nao",G3513&lt;&gt;""),"PC_PAGO_A_CONTRATADA invalido",IF(AND(C3513&lt;&gt;"C0",IFERROR(INDEX(parametros!$A$2:$A$6,MATCH(C3513,parametros!$B$2:$B$6,0)),"")="Sim",IFERROR(INDEX(parametros!$H$2:$H$6,MATCH(C3513,parametros!$B$2:$B$6,0)),"")=""),"INICIO_EFEITO ausente: PC "&amp;A3513&amp;" - "&amp;C3513,IF(L3513="","EFEITO_PC nao calculado: PC "&amp;A3513&amp;" - "&amp;C3513,"OK")))))))))</f>
        <v/>
      </c>
      <c r="L3513" s="92" t="str">
        <f>IF(AND(A3513="",B3513="",D3513="",G3513=""),"",IF(OR(B3513="",NOT(ISNUMBER(B3513)),C3513="",C3513="Fora dos ciclos"),"",IF(C3513="C0","Nao",IF(IFERROR(INDEX(parametros!$A$2:$A$6,MATCH(C3513,parametros!$B$2:$B$6,0)),"")&lt;&gt;"Sim","Nao",IF(IFERROR(INDEX(parametros!$H$2:$H$6,MATCH(C3513,parametros!$B$2:$B$6,0)),"")="","",IF(B3513&gt;=IFERROR(INDEX(parametros!$H$2:$H$6,MATCH(C3513,parametros!$B$2:$B$6,0)),""),"Sim","Nao"))))))</f>
        <v/>
      </c>
      <c r="T3513" s="156"/>
      <c r="U3513" s="214" t="str">
        <f t="shared" si="276"/>
        <v/>
      </c>
      <c r="V3513" s="212" t="s">
        <v>50</v>
      </c>
      <c r="W3513" s="100" t="s">
        <v>168</v>
      </c>
      <c r="X3513" s="100" t="s">
        <v>169</v>
      </c>
      <c r="Y3513" s="101" t="s">
        <v>170</v>
      </c>
      <c r="Z3513" s="101" t="s">
        <v>171</v>
      </c>
      <c r="AA3513" s="101" t="s">
        <v>50</v>
      </c>
      <c r="AB3513" s="101" t="s">
        <v>172</v>
      </c>
      <c r="AC3513" s="102" t="s">
        <v>173</v>
      </c>
    </row>
    <row r="3514" spans="1:29" ht="25.5" customHeight="1" x14ac:dyDescent="0.35">
      <c r="A3514" s="392"/>
      <c r="B3514" s="393"/>
      <c r="C3514" s="99" t="str">
        <f>IF(B3514="","",IF(NOT(ISNUMBER(B3514)),"DATA_PC invalida",IF(NOT(ISNUMBER(parametros!$C$2)),"Fora dos ciclos",IF(OR(B3514&lt;parametros!$C$2,(YEAR(B3514)-YEAR(parametros!$C$2))*12+MONTH(B3514)-MONTH(parametros!$C$2)&gt;59),"Fora dos ciclos","C"&amp;INT(((YEAR(B3514)-YEAR(parametros!$C$2))*12+MONTH(B3514)-MONTH(parametros!$C$2))/12)))))</f>
        <v/>
      </c>
      <c r="D3514" s="394"/>
      <c r="E3514" s="78" t="str">
        <f>IF(C3514="","",IFERROR(VLOOKUP(C3514,parametros!$A$11:$E$15,5,0),""))</f>
        <v/>
      </c>
      <c r="F3514" s="79" t="str">
        <f t="shared" si="272"/>
        <v/>
      </c>
      <c r="G3514" s="395"/>
      <c r="H3514" s="91">
        <f t="shared" si="273"/>
        <v>0</v>
      </c>
      <c r="I3514" s="91" t="str">
        <f t="shared" si="274"/>
        <v/>
      </c>
      <c r="J3514" s="91" t="str">
        <f t="shared" si="275"/>
        <v/>
      </c>
      <c r="K3514" s="92" t="str">
        <f>IF(AND(A3514="",B3514="",D3514="",G3514=""),"",IF(AND(A3514&lt;&gt;"",COUNTIF($A$2:$A$5001,A3514)&gt;1),"NUMERO_PC duplicado",IF(B3514="","DATA_PC vazia",IF(NOT(ISNUMBER(B3514)),"DATA_PC invalida",IF(OR(C3514="",C3514="Fora dos ciclos"),"CICLO_PC nao identificado",IF(OR(D3514="",D3514=0),"VALOR_PC vazio ou zero",IF(AND(G3514&lt;&gt;"Sim",G3514&lt;&gt;"Nao",G3514&lt;&gt;""),"PC_PAGO_A_CONTRATADA invalido",IF(AND(C3514&lt;&gt;"C0",IFERROR(INDEX(parametros!$A$2:$A$6,MATCH(C3514,parametros!$B$2:$B$6,0)),"")="Sim",IFERROR(INDEX(parametros!$H$2:$H$6,MATCH(C3514,parametros!$B$2:$B$6,0)),"")=""),"INICIO_EFEITO ausente: PC "&amp;A3514&amp;" - "&amp;C3514,IF(L3514="","EFEITO_PC nao calculado: PC "&amp;A3514&amp;" - "&amp;C3514,"OK")))))))))</f>
        <v/>
      </c>
      <c r="L3514" s="92" t="str">
        <f>IF(AND(A3514="",B3514="",D3514="",G3514=""),"",IF(OR(B3514="",NOT(ISNUMBER(B3514)),C3514="",C3514="Fora dos ciclos"),"",IF(C3514="C0","Nao",IF(IFERROR(INDEX(parametros!$A$2:$A$6,MATCH(C3514,parametros!$B$2:$B$6,0)),"")&lt;&gt;"Sim","Nao",IF(IFERROR(INDEX(parametros!$H$2:$H$6,MATCH(C3514,parametros!$B$2:$B$6,0)),"")="","",IF(B3514&gt;=IFERROR(INDEX(parametros!$H$2:$H$6,MATCH(C3514,parametros!$B$2:$B$6,0)),""),"Sim","Nao"))))))</f>
        <v/>
      </c>
      <c r="T3514" s="156"/>
      <c r="U3514" s="214" t="str">
        <f t="shared" si="276"/>
        <v/>
      </c>
      <c r="V3514" s="212" t="s">
        <v>50</v>
      </c>
      <c r="W3514" s="100" t="s">
        <v>168</v>
      </c>
      <c r="X3514" s="100" t="s">
        <v>169</v>
      </c>
      <c r="Y3514" s="101" t="s">
        <v>170</v>
      </c>
      <c r="Z3514" s="101" t="s">
        <v>171</v>
      </c>
      <c r="AA3514" s="101" t="s">
        <v>50</v>
      </c>
      <c r="AB3514" s="101" t="s">
        <v>172</v>
      </c>
      <c r="AC3514" s="102" t="s">
        <v>173</v>
      </c>
    </row>
    <row r="3515" spans="1:29" ht="25.5" customHeight="1" x14ac:dyDescent="0.35">
      <c r="A3515" s="392"/>
      <c r="B3515" s="393"/>
      <c r="C3515" s="99" t="str">
        <f>IF(B3515="","",IF(NOT(ISNUMBER(B3515)),"DATA_PC invalida",IF(NOT(ISNUMBER(parametros!$C$2)),"Fora dos ciclos",IF(OR(B3515&lt;parametros!$C$2,(YEAR(B3515)-YEAR(parametros!$C$2))*12+MONTH(B3515)-MONTH(parametros!$C$2)&gt;59),"Fora dos ciclos","C"&amp;INT(((YEAR(B3515)-YEAR(parametros!$C$2))*12+MONTH(B3515)-MONTH(parametros!$C$2))/12)))))</f>
        <v/>
      </c>
      <c r="D3515" s="394"/>
      <c r="E3515" s="78" t="str">
        <f>IF(C3515="","",IFERROR(VLOOKUP(C3515,parametros!$A$11:$E$15,5,0),""))</f>
        <v/>
      </c>
      <c r="F3515" s="79" t="str">
        <f t="shared" si="272"/>
        <v/>
      </c>
      <c r="G3515" s="395"/>
      <c r="H3515" s="91">
        <f t="shared" si="273"/>
        <v>0</v>
      </c>
      <c r="I3515" s="91" t="str">
        <f t="shared" si="274"/>
        <v/>
      </c>
      <c r="J3515" s="91" t="str">
        <f t="shared" si="275"/>
        <v/>
      </c>
      <c r="K3515" s="92" t="str">
        <f>IF(AND(A3515="",B3515="",D3515="",G3515=""),"",IF(AND(A3515&lt;&gt;"",COUNTIF($A$2:$A$5001,A3515)&gt;1),"NUMERO_PC duplicado",IF(B3515="","DATA_PC vazia",IF(NOT(ISNUMBER(B3515)),"DATA_PC invalida",IF(OR(C3515="",C3515="Fora dos ciclos"),"CICLO_PC nao identificado",IF(OR(D3515="",D3515=0),"VALOR_PC vazio ou zero",IF(AND(G3515&lt;&gt;"Sim",G3515&lt;&gt;"Nao",G3515&lt;&gt;""),"PC_PAGO_A_CONTRATADA invalido",IF(AND(C3515&lt;&gt;"C0",IFERROR(INDEX(parametros!$A$2:$A$6,MATCH(C3515,parametros!$B$2:$B$6,0)),"")="Sim",IFERROR(INDEX(parametros!$H$2:$H$6,MATCH(C3515,parametros!$B$2:$B$6,0)),"")=""),"INICIO_EFEITO ausente: PC "&amp;A3515&amp;" - "&amp;C3515,IF(L3515="","EFEITO_PC nao calculado: PC "&amp;A3515&amp;" - "&amp;C3515,"OK")))))))))</f>
        <v/>
      </c>
      <c r="L3515" s="92" t="str">
        <f>IF(AND(A3515="",B3515="",D3515="",G3515=""),"",IF(OR(B3515="",NOT(ISNUMBER(B3515)),C3515="",C3515="Fora dos ciclos"),"",IF(C3515="C0","Nao",IF(IFERROR(INDEX(parametros!$A$2:$A$6,MATCH(C3515,parametros!$B$2:$B$6,0)),"")&lt;&gt;"Sim","Nao",IF(IFERROR(INDEX(parametros!$H$2:$H$6,MATCH(C3515,parametros!$B$2:$B$6,0)),"")="","",IF(B3515&gt;=IFERROR(INDEX(parametros!$H$2:$H$6,MATCH(C3515,parametros!$B$2:$B$6,0)),""),"Sim","Nao"))))))</f>
        <v/>
      </c>
      <c r="T3515" s="156"/>
      <c r="U3515" s="214" t="str">
        <f t="shared" si="276"/>
        <v/>
      </c>
      <c r="V3515" s="212" t="s">
        <v>50</v>
      </c>
      <c r="W3515" s="100" t="s">
        <v>168</v>
      </c>
      <c r="X3515" s="100" t="s">
        <v>169</v>
      </c>
      <c r="Y3515" s="101" t="s">
        <v>170</v>
      </c>
      <c r="Z3515" s="101" t="s">
        <v>171</v>
      </c>
      <c r="AA3515" s="101" t="s">
        <v>50</v>
      </c>
      <c r="AB3515" s="101" t="s">
        <v>172</v>
      </c>
      <c r="AC3515" s="102" t="s">
        <v>173</v>
      </c>
    </row>
    <row r="3516" spans="1:29" ht="25.5" customHeight="1" x14ac:dyDescent="0.35">
      <c r="A3516" s="392"/>
      <c r="B3516" s="393"/>
      <c r="C3516" s="99" t="str">
        <f>IF(B3516="","",IF(NOT(ISNUMBER(B3516)),"DATA_PC invalida",IF(NOT(ISNUMBER(parametros!$C$2)),"Fora dos ciclos",IF(OR(B3516&lt;parametros!$C$2,(YEAR(B3516)-YEAR(parametros!$C$2))*12+MONTH(B3516)-MONTH(parametros!$C$2)&gt;59),"Fora dos ciclos","C"&amp;INT(((YEAR(B3516)-YEAR(parametros!$C$2))*12+MONTH(B3516)-MONTH(parametros!$C$2))/12)))))</f>
        <v/>
      </c>
      <c r="D3516" s="394"/>
      <c r="E3516" s="78" t="str">
        <f>IF(C3516="","",IFERROR(VLOOKUP(C3516,parametros!$A$11:$E$15,5,0),""))</f>
        <v/>
      </c>
      <c r="F3516" s="79" t="str">
        <f t="shared" si="272"/>
        <v/>
      </c>
      <c r="G3516" s="395"/>
      <c r="H3516" s="91">
        <f t="shared" si="273"/>
        <v>0</v>
      </c>
      <c r="I3516" s="91" t="str">
        <f t="shared" si="274"/>
        <v/>
      </c>
      <c r="J3516" s="91" t="str">
        <f t="shared" si="275"/>
        <v/>
      </c>
      <c r="K3516" s="92" t="str">
        <f>IF(AND(A3516="",B3516="",D3516="",G3516=""),"",IF(AND(A3516&lt;&gt;"",COUNTIF($A$2:$A$5001,A3516)&gt;1),"NUMERO_PC duplicado",IF(B3516="","DATA_PC vazia",IF(NOT(ISNUMBER(B3516)),"DATA_PC invalida",IF(OR(C3516="",C3516="Fora dos ciclos"),"CICLO_PC nao identificado",IF(OR(D3516="",D3516=0),"VALOR_PC vazio ou zero",IF(AND(G3516&lt;&gt;"Sim",G3516&lt;&gt;"Nao",G3516&lt;&gt;""),"PC_PAGO_A_CONTRATADA invalido",IF(AND(C3516&lt;&gt;"C0",IFERROR(INDEX(parametros!$A$2:$A$6,MATCH(C3516,parametros!$B$2:$B$6,0)),"")="Sim",IFERROR(INDEX(parametros!$H$2:$H$6,MATCH(C3516,parametros!$B$2:$B$6,0)),"")=""),"INICIO_EFEITO ausente: PC "&amp;A3516&amp;" - "&amp;C3516,IF(L3516="","EFEITO_PC nao calculado: PC "&amp;A3516&amp;" - "&amp;C3516,"OK")))))))))</f>
        <v/>
      </c>
      <c r="L3516" s="92" t="str">
        <f>IF(AND(A3516="",B3516="",D3516="",G3516=""),"",IF(OR(B3516="",NOT(ISNUMBER(B3516)),C3516="",C3516="Fora dos ciclos"),"",IF(C3516="C0","Nao",IF(IFERROR(INDEX(parametros!$A$2:$A$6,MATCH(C3516,parametros!$B$2:$B$6,0)),"")&lt;&gt;"Sim","Nao",IF(IFERROR(INDEX(parametros!$H$2:$H$6,MATCH(C3516,parametros!$B$2:$B$6,0)),"")="","",IF(B3516&gt;=IFERROR(INDEX(parametros!$H$2:$H$6,MATCH(C3516,parametros!$B$2:$B$6,0)),""),"Sim","Nao"))))))</f>
        <v/>
      </c>
      <c r="T3516" s="156"/>
      <c r="U3516" s="214" t="str">
        <f t="shared" si="276"/>
        <v/>
      </c>
      <c r="V3516" s="212" t="s">
        <v>50</v>
      </c>
      <c r="W3516" s="100" t="s">
        <v>168</v>
      </c>
      <c r="X3516" s="100" t="s">
        <v>169</v>
      </c>
      <c r="Y3516" s="101" t="s">
        <v>170</v>
      </c>
      <c r="Z3516" s="101" t="s">
        <v>171</v>
      </c>
      <c r="AA3516" s="101" t="s">
        <v>50</v>
      </c>
      <c r="AB3516" s="101" t="s">
        <v>172</v>
      </c>
      <c r="AC3516" s="102" t="s">
        <v>173</v>
      </c>
    </row>
    <row r="3517" spans="1:29" ht="25.5" customHeight="1" x14ac:dyDescent="0.35">
      <c r="A3517" s="392"/>
      <c r="B3517" s="393"/>
      <c r="C3517" s="99" t="str">
        <f>IF(B3517="","",IF(NOT(ISNUMBER(B3517)),"DATA_PC invalida",IF(NOT(ISNUMBER(parametros!$C$2)),"Fora dos ciclos",IF(OR(B3517&lt;parametros!$C$2,(YEAR(B3517)-YEAR(parametros!$C$2))*12+MONTH(B3517)-MONTH(parametros!$C$2)&gt;59),"Fora dos ciclos","C"&amp;INT(((YEAR(B3517)-YEAR(parametros!$C$2))*12+MONTH(B3517)-MONTH(parametros!$C$2))/12)))))</f>
        <v/>
      </c>
      <c r="D3517" s="394"/>
      <c r="E3517" s="78" t="str">
        <f>IF(C3517="","",IFERROR(VLOOKUP(C3517,parametros!$A$11:$E$15,5,0),""))</f>
        <v/>
      </c>
      <c r="F3517" s="79" t="str">
        <f t="shared" si="272"/>
        <v/>
      </c>
      <c r="G3517" s="395"/>
      <c r="H3517" s="91">
        <f t="shared" si="273"/>
        <v>0</v>
      </c>
      <c r="I3517" s="91" t="str">
        <f t="shared" si="274"/>
        <v/>
      </c>
      <c r="J3517" s="91" t="str">
        <f t="shared" si="275"/>
        <v/>
      </c>
      <c r="K3517" s="92" t="str">
        <f>IF(AND(A3517="",B3517="",D3517="",G3517=""),"",IF(AND(A3517&lt;&gt;"",COUNTIF($A$2:$A$5001,A3517)&gt;1),"NUMERO_PC duplicado",IF(B3517="","DATA_PC vazia",IF(NOT(ISNUMBER(B3517)),"DATA_PC invalida",IF(OR(C3517="",C3517="Fora dos ciclos"),"CICLO_PC nao identificado",IF(OR(D3517="",D3517=0),"VALOR_PC vazio ou zero",IF(AND(G3517&lt;&gt;"Sim",G3517&lt;&gt;"Nao",G3517&lt;&gt;""),"PC_PAGO_A_CONTRATADA invalido",IF(AND(C3517&lt;&gt;"C0",IFERROR(INDEX(parametros!$A$2:$A$6,MATCH(C3517,parametros!$B$2:$B$6,0)),"")="Sim",IFERROR(INDEX(parametros!$H$2:$H$6,MATCH(C3517,parametros!$B$2:$B$6,0)),"")=""),"INICIO_EFEITO ausente: PC "&amp;A3517&amp;" - "&amp;C3517,IF(L3517="","EFEITO_PC nao calculado: PC "&amp;A3517&amp;" - "&amp;C3517,"OK")))))))))</f>
        <v/>
      </c>
      <c r="L3517" s="92" t="str">
        <f>IF(AND(A3517="",B3517="",D3517="",G3517=""),"",IF(OR(B3517="",NOT(ISNUMBER(B3517)),C3517="",C3517="Fora dos ciclos"),"",IF(C3517="C0","Nao",IF(IFERROR(INDEX(parametros!$A$2:$A$6,MATCH(C3517,parametros!$B$2:$B$6,0)),"")&lt;&gt;"Sim","Nao",IF(IFERROR(INDEX(parametros!$H$2:$H$6,MATCH(C3517,parametros!$B$2:$B$6,0)),"")="","",IF(B3517&gt;=IFERROR(INDEX(parametros!$H$2:$H$6,MATCH(C3517,parametros!$B$2:$B$6,0)),""),"Sim","Nao"))))))</f>
        <v/>
      </c>
      <c r="T3517" s="156"/>
      <c r="U3517" s="214" t="str">
        <f t="shared" si="276"/>
        <v/>
      </c>
      <c r="V3517" s="212" t="s">
        <v>50</v>
      </c>
      <c r="W3517" s="100" t="s">
        <v>168</v>
      </c>
      <c r="X3517" s="100" t="s">
        <v>169</v>
      </c>
      <c r="Y3517" s="101" t="s">
        <v>170</v>
      </c>
      <c r="Z3517" s="101" t="s">
        <v>171</v>
      </c>
      <c r="AA3517" s="101" t="s">
        <v>50</v>
      </c>
      <c r="AB3517" s="101" t="s">
        <v>172</v>
      </c>
      <c r="AC3517" s="102" t="s">
        <v>173</v>
      </c>
    </row>
    <row r="3518" spans="1:29" ht="25.5" customHeight="1" x14ac:dyDescent="0.35">
      <c r="A3518" s="392"/>
      <c r="B3518" s="393"/>
      <c r="C3518" s="99" t="str">
        <f>IF(B3518="","",IF(NOT(ISNUMBER(B3518)),"DATA_PC invalida",IF(NOT(ISNUMBER(parametros!$C$2)),"Fora dos ciclos",IF(OR(B3518&lt;parametros!$C$2,(YEAR(B3518)-YEAR(parametros!$C$2))*12+MONTH(B3518)-MONTH(parametros!$C$2)&gt;59),"Fora dos ciclos","C"&amp;INT(((YEAR(B3518)-YEAR(parametros!$C$2))*12+MONTH(B3518)-MONTH(parametros!$C$2))/12)))))</f>
        <v/>
      </c>
      <c r="D3518" s="394"/>
      <c r="E3518" s="78" t="str">
        <f>IF(C3518="","",IFERROR(VLOOKUP(C3518,parametros!$A$11:$E$15,5,0),""))</f>
        <v/>
      </c>
      <c r="F3518" s="79" t="str">
        <f t="shared" si="272"/>
        <v/>
      </c>
      <c r="G3518" s="395"/>
      <c r="H3518" s="91">
        <f t="shared" si="273"/>
        <v>0</v>
      </c>
      <c r="I3518" s="91" t="str">
        <f t="shared" si="274"/>
        <v/>
      </c>
      <c r="J3518" s="91" t="str">
        <f t="shared" si="275"/>
        <v/>
      </c>
      <c r="K3518" s="92" t="str">
        <f>IF(AND(A3518="",B3518="",D3518="",G3518=""),"",IF(AND(A3518&lt;&gt;"",COUNTIF($A$2:$A$5001,A3518)&gt;1),"NUMERO_PC duplicado",IF(B3518="","DATA_PC vazia",IF(NOT(ISNUMBER(B3518)),"DATA_PC invalida",IF(OR(C3518="",C3518="Fora dos ciclos"),"CICLO_PC nao identificado",IF(OR(D3518="",D3518=0),"VALOR_PC vazio ou zero",IF(AND(G3518&lt;&gt;"Sim",G3518&lt;&gt;"Nao",G3518&lt;&gt;""),"PC_PAGO_A_CONTRATADA invalido",IF(AND(C3518&lt;&gt;"C0",IFERROR(INDEX(parametros!$A$2:$A$6,MATCH(C3518,parametros!$B$2:$B$6,0)),"")="Sim",IFERROR(INDEX(parametros!$H$2:$H$6,MATCH(C3518,parametros!$B$2:$B$6,0)),"")=""),"INICIO_EFEITO ausente: PC "&amp;A3518&amp;" - "&amp;C3518,IF(L3518="","EFEITO_PC nao calculado: PC "&amp;A3518&amp;" - "&amp;C3518,"OK")))))))))</f>
        <v/>
      </c>
      <c r="L3518" s="92" t="str">
        <f>IF(AND(A3518="",B3518="",D3518="",G3518=""),"",IF(OR(B3518="",NOT(ISNUMBER(B3518)),C3518="",C3518="Fora dos ciclos"),"",IF(C3518="C0","Nao",IF(IFERROR(INDEX(parametros!$A$2:$A$6,MATCH(C3518,parametros!$B$2:$B$6,0)),"")&lt;&gt;"Sim","Nao",IF(IFERROR(INDEX(parametros!$H$2:$H$6,MATCH(C3518,parametros!$B$2:$B$6,0)),"")="","",IF(B3518&gt;=IFERROR(INDEX(parametros!$H$2:$H$6,MATCH(C3518,parametros!$B$2:$B$6,0)),""),"Sim","Nao"))))))</f>
        <v/>
      </c>
      <c r="T3518" s="156"/>
      <c r="U3518" s="214" t="str">
        <f t="shared" si="276"/>
        <v/>
      </c>
      <c r="V3518" s="212" t="s">
        <v>50</v>
      </c>
      <c r="W3518" s="100" t="s">
        <v>168</v>
      </c>
      <c r="X3518" s="100" t="s">
        <v>169</v>
      </c>
      <c r="Y3518" s="101" t="s">
        <v>170</v>
      </c>
      <c r="Z3518" s="101" t="s">
        <v>171</v>
      </c>
      <c r="AA3518" s="101" t="s">
        <v>50</v>
      </c>
      <c r="AB3518" s="101" t="s">
        <v>172</v>
      </c>
      <c r="AC3518" s="102" t="s">
        <v>173</v>
      </c>
    </row>
    <row r="3519" spans="1:29" ht="25.5" customHeight="1" x14ac:dyDescent="0.35">
      <c r="A3519" s="392"/>
      <c r="B3519" s="393"/>
      <c r="C3519" s="99" t="str">
        <f>IF(B3519="","",IF(NOT(ISNUMBER(B3519)),"DATA_PC invalida",IF(NOT(ISNUMBER(parametros!$C$2)),"Fora dos ciclos",IF(OR(B3519&lt;parametros!$C$2,(YEAR(B3519)-YEAR(parametros!$C$2))*12+MONTH(B3519)-MONTH(parametros!$C$2)&gt;59),"Fora dos ciclos","C"&amp;INT(((YEAR(B3519)-YEAR(parametros!$C$2))*12+MONTH(B3519)-MONTH(parametros!$C$2))/12)))))</f>
        <v/>
      </c>
      <c r="D3519" s="394"/>
      <c r="E3519" s="78" t="str">
        <f>IF(C3519="","",IFERROR(VLOOKUP(C3519,parametros!$A$11:$E$15,5,0),""))</f>
        <v/>
      </c>
      <c r="F3519" s="79" t="str">
        <f t="shared" si="272"/>
        <v/>
      </c>
      <c r="G3519" s="395"/>
      <c r="H3519" s="91">
        <f t="shared" si="273"/>
        <v>0</v>
      </c>
      <c r="I3519" s="91" t="str">
        <f t="shared" si="274"/>
        <v/>
      </c>
      <c r="J3519" s="91" t="str">
        <f t="shared" si="275"/>
        <v/>
      </c>
      <c r="K3519" s="92" t="str">
        <f>IF(AND(A3519="",B3519="",D3519="",G3519=""),"",IF(AND(A3519&lt;&gt;"",COUNTIF($A$2:$A$5001,A3519)&gt;1),"NUMERO_PC duplicado",IF(B3519="","DATA_PC vazia",IF(NOT(ISNUMBER(B3519)),"DATA_PC invalida",IF(OR(C3519="",C3519="Fora dos ciclos"),"CICLO_PC nao identificado",IF(OR(D3519="",D3519=0),"VALOR_PC vazio ou zero",IF(AND(G3519&lt;&gt;"Sim",G3519&lt;&gt;"Nao",G3519&lt;&gt;""),"PC_PAGO_A_CONTRATADA invalido",IF(AND(C3519&lt;&gt;"C0",IFERROR(INDEX(parametros!$A$2:$A$6,MATCH(C3519,parametros!$B$2:$B$6,0)),"")="Sim",IFERROR(INDEX(parametros!$H$2:$H$6,MATCH(C3519,parametros!$B$2:$B$6,0)),"")=""),"INICIO_EFEITO ausente: PC "&amp;A3519&amp;" - "&amp;C3519,IF(L3519="","EFEITO_PC nao calculado: PC "&amp;A3519&amp;" - "&amp;C3519,"OK")))))))))</f>
        <v/>
      </c>
      <c r="L3519" s="92" t="str">
        <f>IF(AND(A3519="",B3519="",D3519="",G3519=""),"",IF(OR(B3519="",NOT(ISNUMBER(B3519)),C3519="",C3519="Fora dos ciclos"),"",IF(C3519="C0","Nao",IF(IFERROR(INDEX(parametros!$A$2:$A$6,MATCH(C3519,parametros!$B$2:$B$6,0)),"")&lt;&gt;"Sim","Nao",IF(IFERROR(INDEX(parametros!$H$2:$H$6,MATCH(C3519,parametros!$B$2:$B$6,0)),"")="","",IF(B3519&gt;=IFERROR(INDEX(parametros!$H$2:$H$6,MATCH(C3519,parametros!$B$2:$B$6,0)),""),"Sim","Nao"))))))</f>
        <v/>
      </c>
      <c r="T3519" s="156"/>
      <c r="U3519" s="214" t="str">
        <f t="shared" si="276"/>
        <v/>
      </c>
      <c r="V3519" s="212" t="s">
        <v>50</v>
      </c>
      <c r="W3519" s="100" t="s">
        <v>168</v>
      </c>
      <c r="X3519" s="100" t="s">
        <v>169</v>
      </c>
      <c r="Y3519" s="101" t="s">
        <v>170</v>
      </c>
      <c r="Z3519" s="101" t="s">
        <v>171</v>
      </c>
      <c r="AA3519" s="101" t="s">
        <v>50</v>
      </c>
      <c r="AB3519" s="101" t="s">
        <v>172</v>
      </c>
      <c r="AC3519" s="102" t="s">
        <v>173</v>
      </c>
    </row>
    <row r="3520" spans="1:29" ht="25.5" customHeight="1" x14ac:dyDescent="0.35">
      <c r="A3520" s="392"/>
      <c r="B3520" s="393"/>
      <c r="C3520" s="99" t="str">
        <f>IF(B3520="","",IF(NOT(ISNUMBER(B3520)),"DATA_PC invalida",IF(NOT(ISNUMBER(parametros!$C$2)),"Fora dos ciclos",IF(OR(B3520&lt;parametros!$C$2,(YEAR(B3520)-YEAR(parametros!$C$2))*12+MONTH(B3520)-MONTH(parametros!$C$2)&gt;59),"Fora dos ciclos","C"&amp;INT(((YEAR(B3520)-YEAR(parametros!$C$2))*12+MONTH(B3520)-MONTH(parametros!$C$2))/12)))))</f>
        <v/>
      </c>
      <c r="D3520" s="394"/>
      <c r="E3520" s="78" t="str">
        <f>IF(C3520="","",IFERROR(VLOOKUP(C3520,parametros!$A$11:$E$15,5,0),""))</f>
        <v/>
      </c>
      <c r="F3520" s="79" t="str">
        <f t="shared" si="272"/>
        <v/>
      </c>
      <c r="G3520" s="395"/>
      <c r="H3520" s="91">
        <f t="shared" si="273"/>
        <v>0</v>
      </c>
      <c r="I3520" s="91" t="str">
        <f t="shared" si="274"/>
        <v/>
      </c>
      <c r="J3520" s="91" t="str">
        <f t="shared" si="275"/>
        <v/>
      </c>
      <c r="K3520" s="92" t="str">
        <f>IF(AND(A3520="",B3520="",D3520="",G3520=""),"",IF(AND(A3520&lt;&gt;"",COUNTIF($A$2:$A$5001,A3520)&gt;1),"NUMERO_PC duplicado",IF(B3520="","DATA_PC vazia",IF(NOT(ISNUMBER(B3520)),"DATA_PC invalida",IF(OR(C3520="",C3520="Fora dos ciclos"),"CICLO_PC nao identificado",IF(OR(D3520="",D3520=0),"VALOR_PC vazio ou zero",IF(AND(G3520&lt;&gt;"Sim",G3520&lt;&gt;"Nao",G3520&lt;&gt;""),"PC_PAGO_A_CONTRATADA invalido",IF(AND(C3520&lt;&gt;"C0",IFERROR(INDEX(parametros!$A$2:$A$6,MATCH(C3520,parametros!$B$2:$B$6,0)),"")="Sim",IFERROR(INDEX(parametros!$H$2:$H$6,MATCH(C3520,parametros!$B$2:$B$6,0)),"")=""),"INICIO_EFEITO ausente: PC "&amp;A3520&amp;" - "&amp;C3520,IF(L3520="","EFEITO_PC nao calculado: PC "&amp;A3520&amp;" - "&amp;C3520,"OK")))))))))</f>
        <v/>
      </c>
      <c r="L3520" s="92" t="str">
        <f>IF(AND(A3520="",B3520="",D3520="",G3520=""),"",IF(OR(B3520="",NOT(ISNUMBER(B3520)),C3520="",C3520="Fora dos ciclos"),"",IF(C3520="C0","Nao",IF(IFERROR(INDEX(parametros!$A$2:$A$6,MATCH(C3520,parametros!$B$2:$B$6,0)),"")&lt;&gt;"Sim","Nao",IF(IFERROR(INDEX(parametros!$H$2:$H$6,MATCH(C3520,parametros!$B$2:$B$6,0)),"")="","",IF(B3520&gt;=IFERROR(INDEX(parametros!$H$2:$H$6,MATCH(C3520,parametros!$B$2:$B$6,0)),""),"Sim","Nao"))))))</f>
        <v/>
      </c>
      <c r="T3520" s="156"/>
      <c r="U3520" s="214" t="str">
        <f t="shared" si="276"/>
        <v/>
      </c>
      <c r="V3520" s="212" t="s">
        <v>50</v>
      </c>
      <c r="W3520" s="100" t="s">
        <v>168</v>
      </c>
      <c r="X3520" s="100" t="s">
        <v>169</v>
      </c>
      <c r="Y3520" s="101" t="s">
        <v>170</v>
      </c>
      <c r="Z3520" s="101" t="s">
        <v>171</v>
      </c>
      <c r="AA3520" s="101" t="s">
        <v>50</v>
      </c>
      <c r="AB3520" s="101" t="s">
        <v>172</v>
      </c>
      <c r="AC3520" s="102" t="s">
        <v>173</v>
      </c>
    </row>
    <row r="3521" spans="1:29" ht="25.5" customHeight="1" x14ac:dyDescent="0.35">
      <c r="A3521" s="392"/>
      <c r="B3521" s="393"/>
      <c r="C3521" s="99" t="str">
        <f>IF(B3521="","",IF(NOT(ISNUMBER(B3521)),"DATA_PC invalida",IF(NOT(ISNUMBER(parametros!$C$2)),"Fora dos ciclos",IF(OR(B3521&lt;parametros!$C$2,(YEAR(B3521)-YEAR(parametros!$C$2))*12+MONTH(B3521)-MONTH(parametros!$C$2)&gt;59),"Fora dos ciclos","C"&amp;INT(((YEAR(B3521)-YEAR(parametros!$C$2))*12+MONTH(B3521)-MONTH(parametros!$C$2))/12)))))</f>
        <v/>
      </c>
      <c r="D3521" s="394"/>
      <c r="E3521" s="78" t="str">
        <f>IF(C3521="","",IFERROR(VLOOKUP(C3521,parametros!$A$11:$E$15,5,0),""))</f>
        <v/>
      </c>
      <c r="F3521" s="79" t="str">
        <f t="shared" si="272"/>
        <v/>
      </c>
      <c r="G3521" s="395"/>
      <c r="H3521" s="91">
        <f t="shared" si="273"/>
        <v>0</v>
      </c>
      <c r="I3521" s="91" t="str">
        <f t="shared" si="274"/>
        <v/>
      </c>
      <c r="J3521" s="91" t="str">
        <f t="shared" si="275"/>
        <v/>
      </c>
      <c r="K3521" s="92" t="str">
        <f>IF(AND(A3521="",B3521="",D3521="",G3521=""),"",IF(AND(A3521&lt;&gt;"",COUNTIF($A$2:$A$5001,A3521)&gt;1),"NUMERO_PC duplicado",IF(B3521="","DATA_PC vazia",IF(NOT(ISNUMBER(B3521)),"DATA_PC invalida",IF(OR(C3521="",C3521="Fora dos ciclos"),"CICLO_PC nao identificado",IF(OR(D3521="",D3521=0),"VALOR_PC vazio ou zero",IF(AND(G3521&lt;&gt;"Sim",G3521&lt;&gt;"Nao",G3521&lt;&gt;""),"PC_PAGO_A_CONTRATADA invalido",IF(AND(C3521&lt;&gt;"C0",IFERROR(INDEX(parametros!$A$2:$A$6,MATCH(C3521,parametros!$B$2:$B$6,0)),"")="Sim",IFERROR(INDEX(parametros!$H$2:$H$6,MATCH(C3521,parametros!$B$2:$B$6,0)),"")=""),"INICIO_EFEITO ausente: PC "&amp;A3521&amp;" - "&amp;C3521,IF(L3521="","EFEITO_PC nao calculado: PC "&amp;A3521&amp;" - "&amp;C3521,"OK")))))))))</f>
        <v/>
      </c>
      <c r="L3521" s="92" t="str">
        <f>IF(AND(A3521="",B3521="",D3521="",G3521=""),"",IF(OR(B3521="",NOT(ISNUMBER(B3521)),C3521="",C3521="Fora dos ciclos"),"",IF(C3521="C0","Nao",IF(IFERROR(INDEX(parametros!$A$2:$A$6,MATCH(C3521,parametros!$B$2:$B$6,0)),"")&lt;&gt;"Sim","Nao",IF(IFERROR(INDEX(parametros!$H$2:$H$6,MATCH(C3521,parametros!$B$2:$B$6,0)),"")="","",IF(B3521&gt;=IFERROR(INDEX(parametros!$H$2:$H$6,MATCH(C3521,parametros!$B$2:$B$6,0)),""),"Sim","Nao"))))))</f>
        <v/>
      </c>
      <c r="T3521" s="156"/>
      <c r="U3521" s="214" t="str">
        <f t="shared" si="276"/>
        <v/>
      </c>
      <c r="V3521" s="212" t="s">
        <v>50</v>
      </c>
      <c r="W3521" s="100" t="s">
        <v>168</v>
      </c>
      <c r="X3521" s="100" t="s">
        <v>169</v>
      </c>
      <c r="Y3521" s="101" t="s">
        <v>170</v>
      </c>
      <c r="Z3521" s="101" t="s">
        <v>171</v>
      </c>
      <c r="AA3521" s="101" t="s">
        <v>50</v>
      </c>
      <c r="AB3521" s="101" t="s">
        <v>172</v>
      </c>
      <c r="AC3521" s="102" t="s">
        <v>173</v>
      </c>
    </row>
    <row r="3522" spans="1:29" ht="25.5" customHeight="1" x14ac:dyDescent="0.35">
      <c r="A3522" s="392"/>
      <c r="B3522" s="393"/>
      <c r="C3522" s="99" t="str">
        <f>IF(B3522="","",IF(NOT(ISNUMBER(B3522)),"DATA_PC invalida",IF(NOT(ISNUMBER(parametros!$C$2)),"Fora dos ciclos",IF(OR(B3522&lt;parametros!$C$2,(YEAR(B3522)-YEAR(parametros!$C$2))*12+MONTH(B3522)-MONTH(parametros!$C$2)&gt;59),"Fora dos ciclos","C"&amp;INT(((YEAR(B3522)-YEAR(parametros!$C$2))*12+MONTH(B3522)-MONTH(parametros!$C$2))/12)))))</f>
        <v/>
      </c>
      <c r="D3522" s="394"/>
      <c r="E3522" s="78" t="str">
        <f>IF(C3522="","",IFERROR(VLOOKUP(C3522,parametros!$A$11:$E$15,5,0),""))</f>
        <v/>
      </c>
      <c r="F3522" s="79" t="str">
        <f t="shared" ref="F3522:F3585" si="277">IF(OR(D3522="",E3522=""),"",ROUND(D3522*E3522,2))</f>
        <v/>
      </c>
      <c r="G3522" s="395"/>
      <c r="H3522" s="91">
        <f t="shared" ref="H3522:H3585" si="278">IF(G3522="Sim",IF(OR(F3522="",D3522="",L3522=""),"",IF(L3522="Sim",ROUND(F3522-D3522,2),0)),0)</f>
        <v>0</v>
      </c>
      <c r="I3522" s="91" t="str">
        <f t="shared" ref="I3522:I3585" si="279">IF(G3522="Sim",0,IF(OR(F3522="",L3522=""),"",F3522))</f>
        <v/>
      </c>
      <c r="J3522" s="91" t="str">
        <f t="shared" ref="J3522:J3585" si="280">IF(G3522="Sim",0,IF(OR(F3522="",D3522="",L3522=""),"",IF(L3522="Sim",ROUND(F3522-D3522,2),0)))</f>
        <v/>
      </c>
      <c r="K3522" s="92" t="str">
        <f>IF(AND(A3522="",B3522="",D3522="",G3522=""),"",IF(AND(A3522&lt;&gt;"",COUNTIF($A$2:$A$5001,A3522)&gt;1),"NUMERO_PC duplicado",IF(B3522="","DATA_PC vazia",IF(NOT(ISNUMBER(B3522)),"DATA_PC invalida",IF(OR(C3522="",C3522="Fora dos ciclos"),"CICLO_PC nao identificado",IF(OR(D3522="",D3522=0),"VALOR_PC vazio ou zero",IF(AND(G3522&lt;&gt;"Sim",G3522&lt;&gt;"Nao",G3522&lt;&gt;""),"PC_PAGO_A_CONTRATADA invalido",IF(AND(C3522&lt;&gt;"C0",IFERROR(INDEX(parametros!$A$2:$A$6,MATCH(C3522,parametros!$B$2:$B$6,0)),"")="Sim",IFERROR(INDEX(parametros!$H$2:$H$6,MATCH(C3522,parametros!$B$2:$B$6,0)),"")=""),"INICIO_EFEITO ausente: PC "&amp;A3522&amp;" - "&amp;C3522,IF(L3522="","EFEITO_PC nao calculado: PC "&amp;A3522&amp;" - "&amp;C3522,"OK")))))))))</f>
        <v/>
      </c>
      <c r="L3522" s="92" t="str">
        <f>IF(AND(A3522="",B3522="",D3522="",G3522=""),"",IF(OR(B3522="",NOT(ISNUMBER(B3522)),C3522="",C3522="Fora dos ciclos"),"",IF(C3522="C0","Nao",IF(IFERROR(INDEX(parametros!$A$2:$A$6,MATCH(C3522,parametros!$B$2:$B$6,0)),"")&lt;&gt;"Sim","Nao",IF(IFERROR(INDEX(parametros!$H$2:$H$6,MATCH(C3522,parametros!$B$2:$B$6,0)),"")="","",IF(B3522&gt;=IFERROR(INDEX(parametros!$H$2:$H$6,MATCH(C3522,parametros!$B$2:$B$6,0)),""),"Sim","Nao"))))))</f>
        <v/>
      </c>
      <c r="T3522" s="156"/>
      <c r="U3522" s="214" t="str">
        <f t="shared" ref="U3522:U3585" si="281">IF(OR($D3522="",$H3522=""),"",ROUND($D3522+$H3522,2))</f>
        <v/>
      </c>
      <c r="V3522" s="212" t="s">
        <v>50</v>
      </c>
      <c r="W3522" s="100" t="s">
        <v>168</v>
      </c>
      <c r="X3522" s="100" t="s">
        <v>169</v>
      </c>
      <c r="Y3522" s="101" t="s">
        <v>170</v>
      </c>
      <c r="Z3522" s="101" t="s">
        <v>171</v>
      </c>
      <c r="AA3522" s="101" t="s">
        <v>50</v>
      </c>
      <c r="AB3522" s="101" t="s">
        <v>172</v>
      </c>
      <c r="AC3522" s="102" t="s">
        <v>173</v>
      </c>
    </row>
    <row r="3523" spans="1:29" ht="25.5" customHeight="1" x14ac:dyDescent="0.35">
      <c r="A3523" s="392"/>
      <c r="B3523" s="393"/>
      <c r="C3523" s="99" t="str">
        <f>IF(B3523="","",IF(NOT(ISNUMBER(B3523)),"DATA_PC invalida",IF(NOT(ISNUMBER(parametros!$C$2)),"Fora dos ciclos",IF(OR(B3523&lt;parametros!$C$2,(YEAR(B3523)-YEAR(parametros!$C$2))*12+MONTH(B3523)-MONTH(parametros!$C$2)&gt;59),"Fora dos ciclos","C"&amp;INT(((YEAR(B3523)-YEAR(parametros!$C$2))*12+MONTH(B3523)-MONTH(parametros!$C$2))/12)))))</f>
        <v/>
      </c>
      <c r="D3523" s="394"/>
      <c r="E3523" s="78" t="str">
        <f>IF(C3523="","",IFERROR(VLOOKUP(C3523,parametros!$A$11:$E$15,5,0),""))</f>
        <v/>
      </c>
      <c r="F3523" s="79" t="str">
        <f t="shared" si="277"/>
        <v/>
      </c>
      <c r="G3523" s="395"/>
      <c r="H3523" s="91">
        <f t="shared" si="278"/>
        <v>0</v>
      </c>
      <c r="I3523" s="91" t="str">
        <f t="shared" si="279"/>
        <v/>
      </c>
      <c r="J3523" s="91" t="str">
        <f t="shared" si="280"/>
        <v/>
      </c>
      <c r="K3523" s="92" t="str">
        <f>IF(AND(A3523="",B3523="",D3523="",G3523=""),"",IF(AND(A3523&lt;&gt;"",COUNTIF($A$2:$A$5001,A3523)&gt;1),"NUMERO_PC duplicado",IF(B3523="","DATA_PC vazia",IF(NOT(ISNUMBER(B3523)),"DATA_PC invalida",IF(OR(C3523="",C3523="Fora dos ciclos"),"CICLO_PC nao identificado",IF(OR(D3523="",D3523=0),"VALOR_PC vazio ou zero",IF(AND(G3523&lt;&gt;"Sim",G3523&lt;&gt;"Nao",G3523&lt;&gt;""),"PC_PAGO_A_CONTRATADA invalido",IF(AND(C3523&lt;&gt;"C0",IFERROR(INDEX(parametros!$A$2:$A$6,MATCH(C3523,parametros!$B$2:$B$6,0)),"")="Sim",IFERROR(INDEX(parametros!$H$2:$H$6,MATCH(C3523,parametros!$B$2:$B$6,0)),"")=""),"INICIO_EFEITO ausente: PC "&amp;A3523&amp;" - "&amp;C3523,IF(L3523="","EFEITO_PC nao calculado: PC "&amp;A3523&amp;" - "&amp;C3523,"OK")))))))))</f>
        <v/>
      </c>
      <c r="L3523" s="92" t="str">
        <f>IF(AND(A3523="",B3523="",D3523="",G3523=""),"",IF(OR(B3523="",NOT(ISNUMBER(B3523)),C3523="",C3523="Fora dos ciclos"),"",IF(C3523="C0","Nao",IF(IFERROR(INDEX(parametros!$A$2:$A$6,MATCH(C3523,parametros!$B$2:$B$6,0)),"")&lt;&gt;"Sim","Nao",IF(IFERROR(INDEX(parametros!$H$2:$H$6,MATCH(C3523,parametros!$B$2:$B$6,0)),"")="","",IF(B3523&gt;=IFERROR(INDEX(parametros!$H$2:$H$6,MATCH(C3523,parametros!$B$2:$B$6,0)),""),"Sim","Nao"))))))</f>
        <v/>
      </c>
      <c r="T3523" s="156"/>
      <c r="U3523" s="214" t="str">
        <f t="shared" si="281"/>
        <v/>
      </c>
      <c r="V3523" s="212" t="s">
        <v>50</v>
      </c>
      <c r="W3523" s="100" t="s">
        <v>168</v>
      </c>
      <c r="X3523" s="100" t="s">
        <v>169</v>
      </c>
      <c r="Y3523" s="101" t="s">
        <v>170</v>
      </c>
      <c r="Z3523" s="101" t="s">
        <v>171</v>
      </c>
      <c r="AA3523" s="101" t="s">
        <v>50</v>
      </c>
      <c r="AB3523" s="101" t="s">
        <v>172</v>
      </c>
      <c r="AC3523" s="102" t="s">
        <v>173</v>
      </c>
    </row>
    <row r="3524" spans="1:29" ht="25.5" customHeight="1" x14ac:dyDescent="0.35">
      <c r="A3524" s="392"/>
      <c r="B3524" s="393"/>
      <c r="C3524" s="99" t="str">
        <f>IF(B3524="","",IF(NOT(ISNUMBER(B3524)),"DATA_PC invalida",IF(NOT(ISNUMBER(parametros!$C$2)),"Fora dos ciclos",IF(OR(B3524&lt;parametros!$C$2,(YEAR(B3524)-YEAR(parametros!$C$2))*12+MONTH(B3524)-MONTH(parametros!$C$2)&gt;59),"Fora dos ciclos","C"&amp;INT(((YEAR(B3524)-YEAR(parametros!$C$2))*12+MONTH(B3524)-MONTH(parametros!$C$2))/12)))))</f>
        <v/>
      </c>
      <c r="D3524" s="394"/>
      <c r="E3524" s="78" t="str">
        <f>IF(C3524="","",IFERROR(VLOOKUP(C3524,parametros!$A$11:$E$15,5,0),""))</f>
        <v/>
      </c>
      <c r="F3524" s="79" t="str">
        <f t="shared" si="277"/>
        <v/>
      </c>
      <c r="G3524" s="395"/>
      <c r="H3524" s="91">
        <f t="shared" si="278"/>
        <v>0</v>
      </c>
      <c r="I3524" s="91" t="str">
        <f t="shared" si="279"/>
        <v/>
      </c>
      <c r="J3524" s="91" t="str">
        <f t="shared" si="280"/>
        <v/>
      </c>
      <c r="K3524" s="92" t="str">
        <f>IF(AND(A3524="",B3524="",D3524="",G3524=""),"",IF(AND(A3524&lt;&gt;"",COUNTIF($A$2:$A$5001,A3524)&gt;1),"NUMERO_PC duplicado",IF(B3524="","DATA_PC vazia",IF(NOT(ISNUMBER(B3524)),"DATA_PC invalida",IF(OR(C3524="",C3524="Fora dos ciclos"),"CICLO_PC nao identificado",IF(OR(D3524="",D3524=0),"VALOR_PC vazio ou zero",IF(AND(G3524&lt;&gt;"Sim",G3524&lt;&gt;"Nao",G3524&lt;&gt;""),"PC_PAGO_A_CONTRATADA invalido",IF(AND(C3524&lt;&gt;"C0",IFERROR(INDEX(parametros!$A$2:$A$6,MATCH(C3524,parametros!$B$2:$B$6,0)),"")="Sim",IFERROR(INDEX(parametros!$H$2:$H$6,MATCH(C3524,parametros!$B$2:$B$6,0)),"")=""),"INICIO_EFEITO ausente: PC "&amp;A3524&amp;" - "&amp;C3524,IF(L3524="","EFEITO_PC nao calculado: PC "&amp;A3524&amp;" - "&amp;C3524,"OK")))))))))</f>
        <v/>
      </c>
      <c r="L3524" s="92" t="str">
        <f>IF(AND(A3524="",B3524="",D3524="",G3524=""),"",IF(OR(B3524="",NOT(ISNUMBER(B3524)),C3524="",C3524="Fora dos ciclos"),"",IF(C3524="C0","Nao",IF(IFERROR(INDEX(parametros!$A$2:$A$6,MATCH(C3524,parametros!$B$2:$B$6,0)),"")&lt;&gt;"Sim","Nao",IF(IFERROR(INDEX(parametros!$H$2:$H$6,MATCH(C3524,parametros!$B$2:$B$6,0)),"")="","",IF(B3524&gt;=IFERROR(INDEX(parametros!$H$2:$H$6,MATCH(C3524,parametros!$B$2:$B$6,0)),""),"Sim","Nao"))))))</f>
        <v/>
      </c>
      <c r="T3524" s="156"/>
      <c r="U3524" s="214" t="str">
        <f t="shared" si="281"/>
        <v/>
      </c>
      <c r="V3524" s="212" t="s">
        <v>50</v>
      </c>
      <c r="W3524" s="100" t="s">
        <v>168</v>
      </c>
      <c r="X3524" s="100" t="s">
        <v>169</v>
      </c>
      <c r="Y3524" s="101" t="s">
        <v>170</v>
      </c>
      <c r="Z3524" s="101" t="s">
        <v>171</v>
      </c>
      <c r="AA3524" s="101" t="s">
        <v>50</v>
      </c>
      <c r="AB3524" s="101" t="s">
        <v>172</v>
      </c>
      <c r="AC3524" s="102" t="s">
        <v>173</v>
      </c>
    </row>
    <row r="3525" spans="1:29" ht="25.5" customHeight="1" x14ac:dyDescent="0.35">
      <c r="A3525" s="392"/>
      <c r="B3525" s="393"/>
      <c r="C3525" s="99" t="str">
        <f>IF(B3525="","",IF(NOT(ISNUMBER(B3525)),"DATA_PC invalida",IF(NOT(ISNUMBER(parametros!$C$2)),"Fora dos ciclos",IF(OR(B3525&lt;parametros!$C$2,(YEAR(B3525)-YEAR(parametros!$C$2))*12+MONTH(B3525)-MONTH(parametros!$C$2)&gt;59),"Fora dos ciclos","C"&amp;INT(((YEAR(B3525)-YEAR(parametros!$C$2))*12+MONTH(B3525)-MONTH(parametros!$C$2))/12)))))</f>
        <v/>
      </c>
      <c r="D3525" s="394"/>
      <c r="E3525" s="78" t="str">
        <f>IF(C3525="","",IFERROR(VLOOKUP(C3525,parametros!$A$11:$E$15,5,0),""))</f>
        <v/>
      </c>
      <c r="F3525" s="79" t="str">
        <f t="shared" si="277"/>
        <v/>
      </c>
      <c r="G3525" s="395"/>
      <c r="H3525" s="91">
        <f t="shared" si="278"/>
        <v>0</v>
      </c>
      <c r="I3525" s="91" t="str">
        <f t="shared" si="279"/>
        <v/>
      </c>
      <c r="J3525" s="91" t="str">
        <f t="shared" si="280"/>
        <v/>
      </c>
      <c r="K3525" s="92" t="str">
        <f>IF(AND(A3525="",B3525="",D3525="",G3525=""),"",IF(AND(A3525&lt;&gt;"",COUNTIF($A$2:$A$5001,A3525)&gt;1),"NUMERO_PC duplicado",IF(B3525="","DATA_PC vazia",IF(NOT(ISNUMBER(B3525)),"DATA_PC invalida",IF(OR(C3525="",C3525="Fora dos ciclos"),"CICLO_PC nao identificado",IF(OR(D3525="",D3525=0),"VALOR_PC vazio ou zero",IF(AND(G3525&lt;&gt;"Sim",G3525&lt;&gt;"Nao",G3525&lt;&gt;""),"PC_PAGO_A_CONTRATADA invalido",IF(AND(C3525&lt;&gt;"C0",IFERROR(INDEX(parametros!$A$2:$A$6,MATCH(C3525,parametros!$B$2:$B$6,0)),"")="Sim",IFERROR(INDEX(parametros!$H$2:$H$6,MATCH(C3525,parametros!$B$2:$B$6,0)),"")=""),"INICIO_EFEITO ausente: PC "&amp;A3525&amp;" - "&amp;C3525,IF(L3525="","EFEITO_PC nao calculado: PC "&amp;A3525&amp;" - "&amp;C3525,"OK")))))))))</f>
        <v/>
      </c>
      <c r="L3525" s="92" t="str">
        <f>IF(AND(A3525="",B3525="",D3525="",G3525=""),"",IF(OR(B3525="",NOT(ISNUMBER(B3525)),C3525="",C3525="Fora dos ciclos"),"",IF(C3525="C0","Nao",IF(IFERROR(INDEX(parametros!$A$2:$A$6,MATCH(C3525,parametros!$B$2:$B$6,0)),"")&lt;&gt;"Sim","Nao",IF(IFERROR(INDEX(parametros!$H$2:$H$6,MATCH(C3525,parametros!$B$2:$B$6,0)),"")="","",IF(B3525&gt;=IFERROR(INDEX(parametros!$H$2:$H$6,MATCH(C3525,parametros!$B$2:$B$6,0)),""),"Sim","Nao"))))))</f>
        <v/>
      </c>
      <c r="T3525" s="156"/>
      <c r="U3525" s="214" t="str">
        <f t="shared" si="281"/>
        <v/>
      </c>
      <c r="V3525" s="212" t="s">
        <v>50</v>
      </c>
      <c r="W3525" s="100" t="s">
        <v>168</v>
      </c>
      <c r="X3525" s="100" t="s">
        <v>169</v>
      </c>
      <c r="Y3525" s="101" t="s">
        <v>170</v>
      </c>
      <c r="Z3525" s="101" t="s">
        <v>171</v>
      </c>
      <c r="AA3525" s="101" t="s">
        <v>50</v>
      </c>
      <c r="AB3525" s="101" t="s">
        <v>172</v>
      </c>
      <c r="AC3525" s="102" t="s">
        <v>173</v>
      </c>
    </row>
    <row r="3526" spans="1:29" ht="25.5" customHeight="1" x14ac:dyDescent="0.35">
      <c r="A3526" s="392"/>
      <c r="B3526" s="393"/>
      <c r="C3526" s="99" t="str">
        <f>IF(B3526="","",IF(NOT(ISNUMBER(B3526)),"DATA_PC invalida",IF(NOT(ISNUMBER(parametros!$C$2)),"Fora dos ciclos",IF(OR(B3526&lt;parametros!$C$2,(YEAR(B3526)-YEAR(parametros!$C$2))*12+MONTH(B3526)-MONTH(parametros!$C$2)&gt;59),"Fora dos ciclos","C"&amp;INT(((YEAR(B3526)-YEAR(parametros!$C$2))*12+MONTH(B3526)-MONTH(parametros!$C$2))/12)))))</f>
        <v/>
      </c>
      <c r="D3526" s="394"/>
      <c r="E3526" s="78" t="str">
        <f>IF(C3526="","",IFERROR(VLOOKUP(C3526,parametros!$A$11:$E$15,5,0),""))</f>
        <v/>
      </c>
      <c r="F3526" s="79" t="str">
        <f t="shared" si="277"/>
        <v/>
      </c>
      <c r="G3526" s="395"/>
      <c r="H3526" s="91">
        <f t="shared" si="278"/>
        <v>0</v>
      </c>
      <c r="I3526" s="91" t="str">
        <f t="shared" si="279"/>
        <v/>
      </c>
      <c r="J3526" s="91" t="str">
        <f t="shared" si="280"/>
        <v/>
      </c>
      <c r="K3526" s="92" t="str">
        <f>IF(AND(A3526="",B3526="",D3526="",G3526=""),"",IF(AND(A3526&lt;&gt;"",COUNTIF($A$2:$A$5001,A3526)&gt;1),"NUMERO_PC duplicado",IF(B3526="","DATA_PC vazia",IF(NOT(ISNUMBER(B3526)),"DATA_PC invalida",IF(OR(C3526="",C3526="Fora dos ciclos"),"CICLO_PC nao identificado",IF(OR(D3526="",D3526=0),"VALOR_PC vazio ou zero",IF(AND(G3526&lt;&gt;"Sim",G3526&lt;&gt;"Nao",G3526&lt;&gt;""),"PC_PAGO_A_CONTRATADA invalido",IF(AND(C3526&lt;&gt;"C0",IFERROR(INDEX(parametros!$A$2:$A$6,MATCH(C3526,parametros!$B$2:$B$6,0)),"")="Sim",IFERROR(INDEX(parametros!$H$2:$H$6,MATCH(C3526,parametros!$B$2:$B$6,0)),"")=""),"INICIO_EFEITO ausente: PC "&amp;A3526&amp;" - "&amp;C3526,IF(L3526="","EFEITO_PC nao calculado: PC "&amp;A3526&amp;" - "&amp;C3526,"OK")))))))))</f>
        <v/>
      </c>
      <c r="L3526" s="92" t="str">
        <f>IF(AND(A3526="",B3526="",D3526="",G3526=""),"",IF(OR(B3526="",NOT(ISNUMBER(B3526)),C3526="",C3526="Fora dos ciclos"),"",IF(C3526="C0","Nao",IF(IFERROR(INDEX(parametros!$A$2:$A$6,MATCH(C3526,parametros!$B$2:$B$6,0)),"")&lt;&gt;"Sim","Nao",IF(IFERROR(INDEX(parametros!$H$2:$H$6,MATCH(C3526,parametros!$B$2:$B$6,0)),"")="","",IF(B3526&gt;=IFERROR(INDEX(parametros!$H$2:$H$6,MATCH(C3526,parametros!$B$2:$B$6,0)),""),"Sim","Nao"))))))</f>
        <v/>
      </c>
      <c r="T3526" s="156"/>
      <c r="U3526" s="214" t="str">
        <f t="shared" si="281"/>
        <v/>
      </c>
      <c r="V3526" s="212" t="s">
        <v>50</v>
      </c>
      <c r="W3526" s="100" t="s">
        <v>168</v>
      </c>
      <c r="X3526" s="100" t="s">
        <v>169</v>
      </c>
      <c r="Y3526" s="101" t="s">
        <v>170</v>
      </c>
      <c r="Z3526" s="101" t="s">
        <v>171</v>
      </c>
      <c r="AA3526" s="101" t="s">
        <v>50</v>
      </c>
      <c r="AB3526" s="101" t="s">
        <v>172</v>
      </c>
      <c r="AC3526" s="102" t="s">
        <v>173</v>
      </c>
    </row>
    <row r="3527" spans="1:29" ht="25.5" customHeight="1" x14ac:dyDescent="0.35">
      <c r="A3527" s="392"/>
      <c r="B3527" s="393"/>
      <c r="C3527" s="99" t="str">
        <f>IF(B3527="","",IF(NOT(ISNUMBER(B3527)),"DATA_PC invalida",IF(NOT(ISNUMBER(parametros!$C$2)),"Fora dos ciclos",IF(OR(B3527&lt;parametros!$C$2,(YEAR(B3527)-YEAR(parametros!$C$2))*12+MONTH(B3527)-MONTH(parametros!$C$2)&gt;59),"Fora dos ciclos","C"&amp;INT(((YEAR(B3527)-YEAR(parametros!$C$2))*12+MONTH(B3527)-MONTH(parametros!$C$2))/12)))))</f>
        <v/>
      </c>
      <c r="D3527" s="394"/>
      <c r="E3527" s="78" t="str">
        <f>IF(C3527="","",IFERROR(VLOOKUP(C3527,parametros!$A$11:$E$15,5,0),""))</f>
        <v/>
      </c>
      <c r="F3527" s="79" t="str">
        <f t="shared" si="277"/>
        <v/>
      </c>
      <c r="G3527" s="395"/>
      <c r="H3527" s="91">
        <f t="shared" si="278"/>
        <v>0</v>
      </c>
      <c r="I3527" s="91" t="str">
        <f t="shared" si="279"/>
        <v/>
      </c>
      <c r="J3527" s="91" t="str">
        <f t="shared" si="280"/>
        <v/>
      </c>
      <c r="K3527" s="92" t="str">
        <f>IF(AND(A3527="",B3527="",D3527="",G3527=""),"",IF(AND(A3527&lt;&gt;"",COUNTIF($A$2:$A$5001,A3527)&gt;1),"NUMERO_PC duplicado",IF(B3527="","DATA_PC vazia",IF(NOT(ISNUMBER(B3527)),"DATA_PC invalida",IF(OR(C3527="",C3527="Fora dos ciclos"),"CICLO_PC nao identificado",IF(OR(D3527="",D3527=0),"VALOR_PC vazio ou zero",IF(AND(G3527&lt;&gt;"Sim",G3527&lt;&gt;"Nao",G3527&lt;&gt;""),"PC_PAGO_A_CONTRATADA invalido",IF(AND(C3527&lt;&gt;"C0",IFERROR(INDEX(parametros!$A$2:$A$6,MATCH(C3527,parametros!$B$2:$B$6,0)),"")="Sim",IFERROR(INDEX(parametros!$H$2:$H$6,MATCH(C3527,parametros!$B$2:$B$6,0)),"")=""),"INICIO_EFEITO ausente: PC "&amp;A3527&amp;" - "&amp;C3527,IF(L3527="","EFEITO_PC nao calculado: PC "&amp;A3527&amp;" - "&amp;C3527,"OK")))))))))</f>
        <v/>
      </c>
      <c r="L3527" s="92" t="str">
        <f>IF(AND(A3527="",B3527="",D3527="",G3527=""),"",IF(OR(B3527="",NOT(ISNUMBER(B3527)),C3527="",C3527="Fora dos ciclos"),"",IF(C3527="C0","Nao",IF(IFERROR(INDEX(parametros!$A$2:$A$6,MATCH(C3527,parametros!$B$2:$B$6,0)),"")&lt;&gt;"Sim","Nao",IF(IFERROR(INDEX(parametros!$H$2:$H$6,MATCH(C3527,parametros!$B$2:$B$6,0)),"")="","",IF(B3527&gt;=IFERROR(INDEX(parametros!$H$2:$H$6,MATCH(C3527,parametros!$B$2:$B$6,0)),""),"Sim","Nao"))))))</f>
        <v/>
      </c>
      <c r="T3527" s="156"/>
      <c r="U3527" s="214" t="str">
        <f t="shared" si="281"/>
        <v/>
      </c>
      <c r="V3527" s="212" t="s">
        <v>50</v>
      </c>
      <c r="W3527" s="100" t="s">
        <v>168</v>
      </c>
      <c r="X3527" s="100" t="s">
        <v>169</v>
      </c>
      <c r="Y3527" s="101" t="s">
        <v>170</v>
      </c>
      <c r="Z3527" s="101" t="s">
        <v>171</v>
      </c>
      <c r="AA3527" s="101" t="s">
        <v>50</v>
      </c>
      <c r="AB3527" s="101" t="s">
        <v>172</v>
      </c>
      <c r="AC3527" s="102" t="s">
        <v>173</v>
      </c>
    </row>
    <row r="3528" spans="1:29" ht="25.5" customHeight="1" x14ac:dyDescent="0.35">
      <c r="A3528" s="392"/>
      <c r="B3528" s="393"/>
      <c r="C3528" s="99" t="str">
        <f>IF(B3528="","",IF(NOT(ISNUMBER(B3528)),"DATA_PC invalida",IF(NOT(ISNUMBER(parametros!$C$2)),"Fora dos ciclos",IF(OR(B3528&lt;parametros!$C$2,(YEAR(B3528)-YEAR(parametros!$C$2))*12+MONTH(B3528)-MONTH(parametros!$C$2)&gt;59),"Fora dos ciclos","C"&amp;INT(((YEAR(B3528)-YEAR(parametros!$C$2))*12+MONTH(B3528)-MONTH(parametros!$C$2))/12)))))</f>
        <v/>
      </c>
      <c r="D3528" s="394"/>
      <c r="E3528" s="78" t="str">
        <f>IF(C3528="","",IFERROR(VLOOKUP(C3528,parametros!$A$11:$E$15,5,0),""))</f>
        <v/>
      </c>
      <c r="F3528" s="79" t="str">
        <f t="shared" si="277"/>
        <v/>
      </c>
      <c r="G3528" s="395"/>
      <c r="H3528" s="91">
        <f t="shared" si="278"/>
        <v>0</v>
      </c>
      <c r="I3528" s="91" t="str">
        <f t="shared" si="279"/>
        <v/>
      </c>
      <c r="J3528" s="91" t="str">
        <f t="shared" si="280"/>
        <v/>
      </c>
      <c r="K3528" s="92" t="str">
        <f>IF(AND(A3528="",B3528="",D3528="",G3528=""),"",IF(AND(A3528&lt;&gt;"",COUNTIF($A$2:$A$5001,A3528)&gt;1),"NUMERO_PC duplicado",IF(B3528="","DATA_PC vazia",IF(NOT(ISNUMBER(B3528)),"DATA_PC invalida",IF(OR(C3528="",C3528="Fora dos ciclos"),"CICLO_PC nao identificado",IF(OR(D3528="",D3528=0),"VALOR_PC vazio ou zero",IF(AND(G3528&lt;&gt;"Sim",G3528&lt;&gt;"Nao",G3528&lt;&gt;""),"PC_PAGO_A_CONTRATADA invalido",IF(AND(C3528&lt;&gt;"C0",IFERROR(INDEX(parametros!$A$2:$A$6,MATCH(C3528,parametros!$B$2:$B$6,0)),"")="Sim",IFERROR(INDEX(parametros!$H$2:$H$6,MATCH(C3528,parametros!$B$2:$B$6,0)),"")=""),"INICIO_EFEITO ausente: PC "&amp;A3528&amp;" - "&amp;C3528,IF(L3528="","EFEITO_PC nao calculado: PC "&amp;A3528&amp;" - "&amp;C3528,"OK")))))))))</f>
        <v/>
      </c>
      <c r="L3528" s="92" t="str">
        <f>IF(AND(A3528="",B3528="",D3528="",G3528=""),"",IF(OR(B3528="",NOT(ISNUMBER(B3528)),C3528="",C3528="Fora dos ciclos"),"",IF(C3528="C0","Nao",IF(IFERROR(INDEX(parametros!$A$2:$A$6,MATCH(C3528,parametros!$B$2:$B$6,0)),"")&lt;&gt;"Sim","Nao",IF(IFERROR(INDEX(parametros!$H$2:$H$6,MATCH(C3528,parametros!$B$2:$B$6,0)),"")="","",IF(B3528&gt;=IFERROR(INDEX(parametros!$H$2:$H$6,MATCH(C3528,parametros!$B$2:$B$6,0)),""),"Sim","Nao"))))))</f>
        <v/>
      </c>
      <c r="T3528" s="156"/>
      <c r="U3528" s="214" t="str">
        <f t="shared" si="281"/>
        <v/>
      </c>
      <c r="V3528" s="212" t="s">
        <v>50</v>
      </c>
      <c r="W3528" s="100" t="s">
        <v>168</v>
      </c>
      <c r="X3528" s="100" t="s">
        <v>169</v>
      </c>
      <c r="Y3528" s="101" t="s">
        <v>170</v>
      </c>
      <c r="Z3528" s="101" t="s">
        <v>171</v>
      </c>
      <c r="AA3528" s="101" t="s">
        <v>50</v>
      </c>
      <c r="AB3528" s="101" t="s">
        <v>172</v>
      </c>
      <c r="AC3528" s="102" t="s">
        <v>173</v>
      </c>
    </row>
    <row r="3529" spans="1:29" ht="25.5" customHeight="1" x14ac:dyDescent="0.35">
      <c r="A3529" s="392"/>
      <c r="B3529" s="393"/>
      <c r="C3529" s="99" t="str">
        <f>IF(B3529="","",IF(NOT(ISNUMBER(B3529)),"DATA_PC invalida",IF(NOT(ISNUMBER(parametros!$C$2)),"Fora dos ciclos",IF(OR(B3529&lt;parametros!$C$2,(YEAR(B3529)-YEAR(parametros!$C$2))*12+MONTH(B3529)-MONTH(parametros!$C$2)&gt;59),"Fora dos ciclos","C"&amp;INT(((YEAR(B3529)-YEAR(parametros!$C$2))*12+MONTH(B3529)-MONTH(parametros!$C$2))/12)))))</f>
        <v/>
      </c>
      <c r="D3529" s="394"/>
      <c r="E3529" s="78" t="str">
        <f>IF(C3529="","",IFERROR(VLOOKUP(C3529,parametros!$A$11:$E$15,5,0),""))</f>
        <v/>
      </c>
      <c r="F3529" s="79" t="str">
        <f t="shared" si="277"/>
        <v/>
      </c>
      <c r="G3529" s="395"/>
      <c r="H3529" s="91">
        <f t="shared" si="278"/>
        <v>0</v>
      </c>
      <c r="I3529" s="91" t="str">
        <f t="shared" si="279"/>
        <v/>
      </c>
      <c r="J3529" s="91" t="str">
        <f t="shared" si="280"/>
        <v/>
      </c>
      <c r="K3529" s="92" t="str">
        <f>IF(AND(A3529="",B3529="",D3529="",G3529=""),"",IF(AND(A3529&lt;&gt;"",COUNTIF($A$2:$A$5001,A3529)&gt;1),"NUMERO_PC duplicado",IF(B3529="","DATA_PC vazia",IF(NOT(ISNUMBER(B3529)),"DATA_PC invalida",IF(OR(C3529="",C3529="Fora dos ciclos"),"CICLO_PC nao identificado",IF(OR(D3529="",D3529=0),"VALOR_PC vazio ou zero",IF(AND(G3529&lt;&gt;"Sim",G3529&lt;&gt;"Nao",G3529&lt;&gt;""),"PC_PAGO_A_CONTRATADA invalido",IF(AND(C3529&lt;&gt;"C0",IFERROR(INDEX(parametros!$A$2:$A$6,MATCH(C3529,parametros!$B$2:$B$6,0)),"")="Sim",IFERROR(INDEX(parametros!$H$2:$H$6,MATCH(C3529,parametros!$B$2:$B$6,0)),"")=""),"INICIO_EFEITO ausente: PC "&amp;A3529&amp;" - "&amp;C3529,IF(L3529="","EFEITO_PC nao calculado: PC "&amp;A3529&amp;" - "&amp;C3529,"OK")))))))))</f>
        <v/>
      </c>
      <c r="L3529" s="92" t="str">
        <f>IF(AND(A3529="",B3529="",D3529="",G3529=""),"",IF(OR(B3529="",NOT(ISNUMBER(B3529)),C3529="",C3529="Fora dos ciclos"),"",IF(C3529="C0","Nao",IF(IFERROR(INDEX(parametros!$A$2:$A$6,MATCH(C3529,parametros!$B$2:$B$6,0)),"")&lt;&gt;"Sim","Nao",IF(IFERROR(INDEX(parametros!$H$2:$H$6,MATCH(C3529,parametros!$B$2:$B$6,0)),"")="","",IF(B3529&gt;=IFERROR(INDEX(parametros!$H$2:$H$6,MATCH(C3529,parametros!$B$2:$B$6,0)),""),"Sim","Nao"))))))</f>
        <v/>
      </c>
      <c r="T3529" s="156"/>
      <c r="U3529" s="214" t="str">
        <f t="shared" si="281"/>
        <v/>
      </c>
      <c r="V3529" s="212" t="s">
        <v>50</v>
      </c>
      <c r="W3529" s="100" t="s">
        <v>168</v>
      </c>
      <c r="X3529" s="100" t="s">
        <v>169</v>
      </c>
      <c r="Y3529" s="101" t="s">
        <v>170</v>
      </c>
      <c r="Z3529" s="101" t="s">
        <v>171</v>
      </c>
      <c r="AA3529" s="101" t="s">
        <v>50</v>
      </c>
      <c r="AB3529" s="101" t="s">
        <v>172</v>
      </c>
      <c r="AC3529" s="102" t="s">
        <v>173</v>
      </c>
    </row>
    <row r="3530" spans="1:29" ht="25.5" customHeight="1" x14ac:dyDescent="0.35">
      <c r="A3530" s="392"/>
      <c r="B3530" s="393"/>
      <c r="C3530" s="99" t="str">
        <f>IF(B3530="","",IF(NOT(ISNUMBER(B3530)),"DATA_PC invalida",IF(NOT(ISNUMBER(parametros!$C$2)),"Fora dos ciclos",IF(OR(B3530&lt;parametros!$C$2,(YEAR(B3530)-YEAR(parametros!$C$2))*12+MONTH(B3530)-MONTH(parametros!$C$2)&gt;59),"Fora dos ciclos","C"&amp;INT(((YEAR(B3530)-YEAR(parametros!$C$2))*12+MONTH(B3530)-MONTH(parametros!$C$2))/12)))))</f>
        <v/>
      </c>
      <c r="D3530" s="394"/>
      <c r="E3530" s="78" t="str">
        <f>IF(C3530="","",IFERROR(VLOOKUP(C3530,parametros!$A$11:$E$15,5,0),""))</f>
        <v/>
      </c>
      <c r="F3530" s="79" t="str">
        <f t="shared" si="277"/>
        <v/>
      </c>
      <c r="G3530" s="395"/>
      <c r="H3530" s="91">
        <f t="shared" si="278"/>
        <v>0</v>
      </c>
      <c r="I3530" s="91" t="str">
        <f t="shared" si="279"/>
        <v/>
      </c>
      <c r="J3530" s="91" t="str">
        <f t="shared" si="280"/>
        <v/>
      </c>
      <c r="K3530" s="92" t="str">
        <f>IF(AND(A3530="",B3530="",D3530="",G3530=""),"",IF(AND(A3530&lt;&gt;"",COUNTIF($A$2:$A$5001,A3530)&gt;1),"NUMERO_PC duplicado",IF(B3530="","DATA_PC vazia",IF(NOT(ISNUMBER(B3530)),"DATA_PC invalida",IF(OR(C3530="",C3530="Fora dos ciclos"),"CICLO_PC nao identificado",IF(OR(D3530="",D3530=0),"VALOR_PC vazio ou zero",IF(AND(G3530&lt;&gt;"Sim",G3530&lt;&gt;"Nao",G3530&lt;&gt;""),"PC_PAGO_A_CONTRATADA invalido",IF(AND(C3530&lt;&gt;"C0",IFERROR(INDEX(parametros!$A$2:$A$6,MATCH(C3530,parametros!$B$2:$B$6,0)),"")="Sim",IFERROR(INDEX(parametros!$H$2:$H$6,MATCH(C3530,parametros!$B$2:$B$6,0)),"")=""),"INICIO_EFEITO ausente: PC "&amp;A3530&amp;" - "&amp;C3530,IF(L3530="","EFEITO_PC nao calculado: PC "&amp;A3530&amp;" - "&amp;C3530,"OK")))))))))</f>
        <v/>
      </c>
      <c r="L3530" s="92" t="str">
        <f>IF(AND(A3530="",B3530="",D3530="",G3530=""),"",IF(OR(B3530="",NOT(ISNUMBER(B3530)),C3530="",C3530="Fora dos ciclos"),"",IF(C3530="C0","Nao",IF(IFERROR(INDEX(parametros!$A$2:$A$6,MATCH(C3530,parametros!$B$2:$B$6,0)),"")&lt;&gt;"Sim","Nao",IF(IFERROR(INDEX(parametros!$H$2:$H$6,MATCH(C3530,parametros!$B$2:$B$6,0)),"")="","",IF(B3530&gt;=IFERROR(INDEX(parametros!$H$2:$H$6,MATCH(C3530,parametros!$B$2:$B$6,0)),""),"Sim","Nao"))))))</f>
        <v/>
      </c>
      <c r="T3530" s="156"/>
      <c r="U3530" s="214" t="str">
        <f t="shared" si="281"/>
        <v/>
      </c>
      <c r="V3530" s="212" t="s">
        <v>50</v>
      </c>
      <c r="W3530" s="100" t="s">
        <v>168</v>
      </c>
      <c r="X3530" s="100" t="s">
        <v>169</v>
      </c>
      <c r="Y3530" s="101" t="s">
        <v>170</v>
      </c>
      <c r="Z3530" s="101" t="s">
        <v>171</v>
      </c>
      <c r="AA3530" s="101" t="s">
        <v>50</v>
      </c>
      <c r="AB3530" s="101" t="s">
        <v>172</v>
      </c>
      <c r="AC3530" s="102" t="s">
        <v>173</v>
      </c>
    </row>
    <row r="3531" spans="1:29" ht="25.5" customHeight="1" x14ac:dyDescent="0.35">
      <c r="A3531" s="392"/>
      <c r="B3531" s="393"/>
      <c r="C3531" s="99" t="str">
        <f>IF(B3531="","",IF(NOT(ISNUMBER(B3531)),"DATA_PC invalida",IF(NOT(ISNUMBER(parametros!$C$2)),"Fora dos ciclos",IF(OR(B3531&lt;parametros!$C$2,(YEAR(B3531)-YEAR(parametros!$C$2))*12+MONTH(B3531)-MONTH(parametros!$C$2)&gt;59),"Fora dos ciclos","C"&amp;INT(((YEAR(B3531)-YEAR(parametros!$C$2))*12+MONTH(B3531)-MONTH(parametros!$C$2))/12)))))</f>
        <v/>
      </c>
      <c r="D3531" s="394"/>
      <c r="E3531" s="78" t="str">
        <f>IF(C3531="","",IFERROR(VLOOKUP(C3531,parametros!$A$11:$E$15,5,0),""))</f>
        <v/>
      </c>
      <c r="F3531" s="79" t="str">
        <f t="shared" si="277"/>
        <v/>
      </c>
      <c r="G3531" s="395"/>
      <c r="H3531" s="91">
        <f t="shared" si="278"/>
        <v>0</v>
      </c>
      <c r="I3531" s="91" t="str">
        <f t="shared" si="279"/>
        <v/>
      </c>
      <c r="J3531" s="91" t="str">
        <f t="shared" si="280"/>
        <v/>
      </c>
      <c r="K3531" s="92" t="str">
        <f>IF(AND(A3531="",B3531="",D3531="",G3531=""),"",IF(AND(A3531&lt;&gt;"",COUNTIF($A$2:$A$5001,A3531)&gt;1),"NUMERO_PC duplicado",IF(B3531="","DATA_PC vazia",IF(NOT(ISNUMBER(B3531)),"DATA_PC invalida",IF(OR(C3531="",C3531="Fora dos ciclos"),"CICLO_PC nao identificado",IF(OR(D3531="",D3531=0),"VALOR_PC vazio ou zero",IF(AND(G3531&lt;&gt;"Sim",G3531&lt;&gt;"Nao",G3531&lt;&gt;""),"PC_PAGO_A_CONTRATADA invalido",IF(AND(C3531&lt;&gt;"C0",IFERROR(INDEX(parametros!$A$2:$A$6,MATCH(C3531,parametros!$B$2:$B$6,0)),"")="Sim",IFERROR(INDEX(parametros!$H$2:$H$6,MATCH(C3531,parametros!$B$2:$B$6,0)),"")=""),"INICIO_EFEITO ausente: PC "&amp;A3531&amp;" - "&amp;C3531,IF(L3531="","EFEITO_PC nao calculado: PC "&amp;A3531&amp;" - "&amp;C3531,"OK")))))))))</f>
        <v/>
      </c>
      <c r="L3531" s="92" t="str">
        <f>IF(AND(A3531="",B3531="",D3531="",G3531=""),"",IF(OR(B3531="",NOT(ISNUMBER(B3531)),C3531="",C3531="Fora dos ciclos"),"",IF(C3531="C0","Nao",IF(IFERROR(INDEX(parametros!$A$2:$A$6,MATCH(C3531,parametros!$B$2:$B$6,0)),"")&lt;&gt;"Sim","Nao",IF(IFERROR(INDEX(parametros!$H$2:$H$6,MATCH(C3531,parametros!$B$2:$B$6,0)),"")="","",IF(B3531&gt;=IFERROR(INDEX(parametros!$H$2:$H$6,MATCH(C3531,parametros!$B$2:$B$6,0)),""),"Sim","Nao"))))))</f>
        <v/>
      </c>
      <c r="T3531" s="156"/>
      <c r="U3531" s="214" t="str">
        <f t="shared" si="281"/>
        <v/>
      </c>
      <c r="V3531" s="212" t="s">
        <v>50</v>
      </c>
      <c r="W3531" s="100" t="s">
        <v>168</v>
      </c>
      <c r="X3531" s="100" t="s">
        <v>169</v>
      </c>
      <c r="Y3531" s="101" t="s">
        <v>170</v>
      </c>
      <c r="Z3531" s="101" t="s">
        <v>171</v>
      </c>
      <c r="AA3531" s="101" t="s">
        <v>50</v>
      </c>
      <c r="AB3531" s="101" t="s">
        <v>172</v>
      </c>
      <c r="AC3531" s="102" t="s">
        <v>173</v>
      </c>
    </row>
    <row r="3532" spans="1:29" ht="25.5" customHeight="1" x14ac:dyDescent="0.35">
      <c r="A3532" s="392"/>
      <c r="B3532" s="393"/>
      <c r="C3532" s="99" t="str">
        <f>IF(B3532="","",IF(NOT(ISNUMBER(B3532)),"DATA_PC invalida",IF(NOT(ISNUMBER(parametros!$C$2)),"Fora dos ciclos",IF(OR(B3532&lt;parametros!$C$2,(YEAR(B3532)-YEAR(parametros!$C$2))*12+MONTH(B3532)-MONTH(parametros!$C$2)&gt;59),"Fora dos ciclos","C"&amp;INT(((YEAR(B3532)-YEAR(parametros!$C$2))*12+MONTH(B3532)-MONTH(parametros!$C$2))/12)))))</f>
        <v/>
      </c>
      <c r="D3532" s="394"/>
      <c r="E3532" s="78" t="str">
        <f>IF(C3532="","",IFERROR(VLOOKUP(C3532,parametros!$A$11:$E$15,5,0),""))</f>
        <v/>
      </c>
      <c r="F3532" s="79" t="str">
        <f t="shared" si="277"/>
        <v/>
      </c>
      <c r="G3532" s="395"/>
      <c r="H3532" s="91">
        <f t="shared" si="278"/>
        <v>0</v>
      </c>
      <c r="I3532" s="91" t="str">
        <f t="shared" si="279"/>
        <v/>
      </c>
      <c r="J3532" s="91" t="str">
        <f t="shared" si="280"/>
        <v/>
      </c>
      <c r="K3532" s="92" t="str">
        <f>IF(AND(A3532="",B3532="",D3532="",G3532=""),"",IF(AND(A3532&lt;&gt;"",COUNTIF($A$2:$A$5001,A3532)&gt;1),"NUMERO_PC duplicado",IF(B3532="","DATA_PC vazia",IF(NOT(ISNUMBER(B3532)),"DATA_PC invalida",IF(OR(C3532="",C3532="Fora dos ciclos"),"CICLO_PC nao identificado",IF(OR(D3532="",D3532=0),"VALOR_PC vazio ou zero",IF(AND(G3532&lt;&gt;"Sim",G3532&lt;&gt;"Nao",G3532&lt;&gt;""),"PC_PAGO_A_CONTRATADA invalido",IF(AND(C3532&lt;&gt;"C0",IFERROR(INDEX(parametros!$A$2:$A$6,MATCH(C3532,parametros!$B$2:$B$6,0)),"")="Sim",IFERROR(INDEX(parametros!$H$2:$H$6,MATCH(C3532,parametros!$B$2:$B$6,0)),"")=""),"INICIO_EFEITO ausente: PC "&amp;A3532&amp;" - "&amp;C3532,IF(L3532="","EFEITO_PC nao calculado: PC "&amp;A3532&amp;" - "&amp;C3532,"OK")))))))))</f>
        <v/>
      </c>
      <c r="L3532" s="92" t="str">
        <f>IF(AND(A3532="",B3532="",D3532="",G3532=""),"",IF(OR(B3532="",NOT(ISNUMBER(B3532)),C3532="",C3532="Fora dos ciclos"),"",IF(C3532="C0","Nao",IF(IFERROR(INDEX(parametros!$A$2:$A$6,MATCH(C3532,parametros!$B$2:$B$6,0)),"")&lt;&gt;"Sim","Nao",IF(IFERROR(INDEX(parametros!$H$2:$H$6,MATCH(C3532,parametros!$B$2:$B$6,0)),"")="","",IF(B3532&gt;=IFERROR(INDEX(parametros!$H$2:$H$6,MATCH(C3532,parametros!$B$2:$B$6,0)),""),"Sim","Nao"))))))</f>
        <v/>
      </c>
      <c r="T3532" s="156"/>
      <c r="U3532" s="214" t="str">
        <f t="shared" si="281"/>
        <v/>
      </c>
      <c r="V3532" s="212" t="s">
        <v>50</v>
      </c>
      <c r="W3532" s="100" t="s">
        <v>168</v>
      </c>
      <c r="X3532" s="100" t="s">
        <v>169</v>
      </c>
      <c r="Y3532" s="101" t="s">
        <v>170</v>
      </c>
      <c r="Z3532" s="101" t="s">
        <v>171</v>
      </c>
      <c r="AA3532" s="101" t="s">
        <v>50</v>
      </c>
      <c r="AB3532" s="101" t="s">
        <v>172</v>
      </c>
      <c r="AC3532" s="102" t="s">
        <v>173</v>
      </c>
    </row>
    <row r="3533" spans="1:29" ht="25.5" customHeight="1" x14ac:dyDescent="0.35">
      <c r="A3533" s="392"/>
      <c r="B3533" s="393"/>
      <c r="C3533" s="99" t="str">
        <f>IF(B3533="","",IF(NOT(ISNUMBER(B3533)),"DATA_PC invalida",IF(NOT(ISNUMBER(parametros!$C$2)),"Fora dos ciclos",IF(OR(B3533&lt;parametros!$C$2,(YEAR(B3533)-YEAR(parametros!$C$2))*12+MONTH(B3533)-MONTH(parametros!$C$2)&gt;59),"Fora dos ciclos","C"&amp;INT(((YEAR(B3533)-YEAR(parametros!$C$2))*12+MONTH(B3533)-MONTH(parametros!$C$2))/12)))))</f>
        <v/>
      </c>
      <c r="D3533" s="394"/>
      <c r="E3533" s="78" t="str">
        <f>IF(C3533="","",IFERROR(VLOOKUP(C3533,parametros!$A$11:$E$15,5,0),""))</f>
        <v/>
      </c>
      <c r="F3533" s="79" t="str">
        <f t="shared" si="277"/>
        <v/>
      </c>
      <c r="G3533" s="395"/>
      <c r="H3533" s="91">
        <f t="shared" si="278"/>
        <v>0</v>
      </c>
      <c r="I3533" s="91" t="str">
        <f t="shared" si="279"/>
        <v/>
      </c>
      <c r="J3533" s="91" t="str">
        <f t="shared" si="280"/>
        <v/>
      </c>
      <c r="K3533" s="92" t="str">
        <f>IF(AND(A3533="",B3533="",D3533="",G3533=""),"",IF(AND(A3533&lt;&gt;"",COUNTIF($A$2:$A$5001,A3533)&gt;1),"NUMERO_PC duplicado",IF(B3533="","DATA_PC vazia",IF(NOT(ISNUMBER(B3533)),"DATA_PC invalida",IF(OR(C3533="",C3533="Fora dos ciclos"),"CICLO_PC nao identificado",IF(OR(D3533="",D3533=0),"VALOR_PC vazio ou zero",IF(AND(G3533&lt;&gt;"Sim",G3533&lt;&gt;"Nao",G3533&lt;&gt;""),"PC_PAGO_A_CONTRATADA invalido",IF(AND(C3533&lt;&gt;"C0",IFERROR(INDEX(parametros!$A$2:$A$6,MATCH(C3533,parametros!$B$2:$B$6,0)),"")="Sim",IFERROR(INDEX(parametros!$H$2:$H$6,MATCH(C3533,parametros!$B$2:$B$6,0)),"")=""),"INICIO_EFEITO ausente: PC "&amp;A3533&amp;" - "&amp;C3533,IF(L3533="","EFEITO_PC nao calculado: PC "&amp;A3533&amp;" - "&amp;C3533,"OK")))))))))</f>
        <v/>
      </c>
      <c r="L3533" s="92" t="str">
        <f>IF(AND(A3533="",B3533="",D3533="",G3533=""),"",IF(OR(B3533="",NOT(ISNUMBER(B3533)),C3533="",C3533="Fora dos ciclos"),"",IF(C3533="C0","Nao",IF(IFERROR(INDEX(parametros!$A$2:$A$6,MATCH(C3533,parametros!$B$2:$B$6,0)),"")&lt;&gt;"Sim","Nao",IF(IFERROR(INDEX(parametros!$H$2:$H$6,MATCH(C3533,parametros!$B$2:$B$6,0)),"")="","",IF(B3533&gt;=IFERROR(INDEX(parametros!$H$2:$H$6,MATCH(C3533,parametros!$B$2:$B$6,0)),""),"Sim","Nao"))))))</f>
        <v/>
      </c>
      <c r="T3533" s="156"/>
      <c r="U3533" s="214" t="str">
        <f t="shared" si="281"/>
        <v/>
      </c>
      <c r="V3533" s="212" t="s">
        <v>50</v>
      </c>
      <c r="W3533" s="100" t="s">
        <v>168</v>
      </c>
      <c r="X3533" s="100" t="s">
        <v>169</v>
      </c>
      <c r="Y3533" s="101" t="s">
        <v>170</v>
      </c>
      <c r="Z3533" s="101" t="s">
        <v>171</v>
      </c>
      <c r="AA3533" s="101" t="s">
        <v>50</v>
      </c>
      <c r="AB3533" s="101" t="s">
        <v>172</v>
      </c>
      <c r="AC3533" s="102" t="s">
        <v>173</v>
      </c>
    </row>
    <row r="3534" spans="1:29" ht="25.5" customHeight="1" x14ac:dyDescent="0.35">
      <c r="A3534" s="392"/>
      <c r="B3534" s="393"/>
      <c r="C3534" s="99" t="str">
        <f>IF(B3534="","",IF(NOT(ISNUMBER(B3534)),"DATA_PC invalida",IF(NOT(ISNUMBER(parametros!$C$2)),"Fora dos ciclos",IF(OR(B3534&lt;parametros!$C$2,(YEAR(B3534)-YEAR(parametros!$C$2))*12+MONTH(B3534)-MONTH(parametros!$C$2)&gt;59),"Fora dos ciclos","C"&amp;INT(((YEAR(B3534)-YEAR(parametros!$C$2))*12+MONTH(B3534)-MONTH(parametros!$C$2))/12)))))</f>
        <v/>
      </c>
      <c r="D3534" s="394"/>
      <c r="E3534" s="78" t="str">
        <f>IF(C3534="","",IFERROR(VLOOKUP(C3534,parametros!$A$11:$E$15,5,0),""))</f>
        <v/>
      </c>
      <c r="F3534" s="79" t="str">
        <f t="shared" si="277"/>
        <v/>
      </c>
      <c r="G3534" s="395"/>
      <c r="H3534" s="91">
        <f t="shared" si="278"/>
        <v>0</v>
      </c>
      <c r="I3534" s="91" t="str">
        <f t="shared" si="279"/>
        <v/>
      </c>
      <c r="J3534" s="91" t="str">
        <f t="shared" si="280"/>
        <v/>
      </c>
      <c r="K3534" s="92" t="str">
        <f>IF(AND(A3534="",B3534="",D3534="",G3534=""),"",IF(AND(A3534&lt;&gt;"",COUNTIF($A$2:$A$5001,A3534)&gt;1),"NUMERO_PC duplicado",IF(B3534="","DATA_PC vazia",IF(NOT(ISNUMBER(B3534)),"DATA_PC invalida",IF(OR(C3534="",C3534="Fora dos ciclos"),"CICLO_PC nao identificado",IF(OR(D3534="",D3534=0),"VALOR_PC vazio ou zero",IF(AND(G3534&lt;&gt;"Sim",G3534&lt;&gt;"Nao",G3534&lt;&gt;""),"PC_PAGO_A_CONTRATADA invalido",IF(AND(C3534&lt;&gt;"C0",IFERROR(INDEX(parametros!$A$2:$A$6,MATCH(C3534,parametros!$B$2:$B$6,0)),"")="Sim",IFERROR(INDEX(parametros!$H$2:$H$6,MATCH(C3534,parametros!$B$2:$B$6,0)),"")=""),"INICIO_EFEITO ausente: PC "&amp;A3534&amp;" - "&amp;C3534,IF(L3534="","EFEITO_PC nao calculado: PC "&amp;A3534&amp;" - "&amp;C3534,"OK")))))))))</f>
        <v/>
      </c>
      <c r="L3534" s="92" t="str">
        <f>IF(AND(A3534="",B3534="",D3534="",G3534=""),"",IF(OR(B3534="",NOT(ISNUMBER(B3534)),C3534="",C3534="Fora dos ciclos"),"",IF(C3534="C0","Nao",IF(IFERROR(INDEX(parametros!$A$2:$A$6,MATCH(C3534,parametros!$B$2:$B$6,0)),"")&lt;&gt;"Sim","Nao",IF(IFERROR(INDEX(parametros!$H$2:$H$6,MATCH(C3534,parametros!$B$2:$B$6,0)),"")="","",IF(B3534&gt;=IFERROR(INDEX(parametros!$H$2:$H$6,MATCH(C3534,parametros!$B$2:$B$6,0)),""),"Sim","Nao"))))))</f>
        <v/>
      </c>
      <c r="T3534" s="156"/>
      <c r="U3534" s="214" t="str">
        <f t="shared" si="281"/>
        <v/>
      </c>
      <c r="V3534" s="212" t="s">
        <v>50</v>
      </c>
      <c r="W3534" s="100" t="s">
        <v>168</v>
      </c>
      <c r="X3534" s="100" t="s">
        <v>169</v>
      </c>
      <c r="Y3534" s="101" t="s">
        <v>170</v>
      </c>
      <c r="Z3534" s="101" t="s">
        <v>171</v>
      </c>
      <c r="AA3534" s="101" t="s">
        <v>50</v>
      </c>
      <c r="AB3534" s="101" t="s">
        <v>172</v>
      </c>
      <c r="AC3534" s="102" t="s">
        <v>173</v>
      </c>
    </row>
    <row r="3535" spans="1:29" ht="25.5" customHeight="1" x14ac:dyDescent="0.35">
      <c r="A3535" s="392"/>
      <c r="B3535" s="393"/>
      <c r="C3535" s="99" t="str">
        <f>IF(B3535="","",IF(NOT(ISNUMBER(B3535)),"DATA_PC invalida",IF(NOT(ISNUMBER(parametros!$C$2)),"Fora dos ciclos",IF(OR(B3535&lt;parametros!$C$2,(YEAR(B3535)-YEAR(parametros!$C$2))*12+MONTH(B3535)-MONTH(parametros!$C$2)&gt;59),"Fora dos ciclos","C"&amp;INT(((YEAR(B3535)-YEAR(parametros!$C$2))*12+MONTH(B3535)-MONTH(parametros!$C$2))/12)))))</f>
        <v/>
      </c>
      <c r="D3535" s="394"/>
      <c r="E3535" s="78" t="str">
        <f>IF(C3535="","",IFERROR(VLOOKUP(C3535,parametros!$A$11:$E$15,5,0),""))</f>
        <v/>
      </c>
      <c r="F3535" s="79" t="str">
        <f t="shared" si="277"/>
        <v/>
      </c>
      <c r="G3535" s="395"/>
      <c r="H3535" s="91">
        <f t="shared" si="278"/>
        <v>0</v>
      </c>
      <c r="I3535" s="91" t="str">
        <f t="shared" si="279"/>
        <v/>
      </c>
      <c r="J3535" s="91" t="str">
        <f t="shared" si="280"/>
        <v/>
      </c>
      <c r="K3535" s="92" t="str">
        <f>IF(AND(A3535="",B3535="",D3535="",G3535=""),"",IF(AND(A3535&lt;&gt;"",COUNTIF($A$2:$A$5001,A3535)&gt;1),"NUMERO_PC duplicado",IF(B3535="","DATA_PC vazia",IF(NOT(ISNUMBER(B3535)),"DATA_PC invalida",IF(OR(C3535="",C3535="Fora dos ciclos"),"CICLO_PC nao identificado",IF(OR(D3535="",D3535=0),"VALOR_PC vazio ou zero",IF(AND(G3535&lt;&gt;"Sim",G3535&lt;&gt;"Nao",G3535&lt;&gt;""),"PC_PAGO_A_CONTRATADA invalido",IF(AND(C3535&lt;&gt;"C0",IFERROR(INDEX(parametros!$A$2:$A$6,MATCH(C3535,parametros!$B$2:$B$6,0)),"")="Sim",IFERROR(INDEX(parametros!$H$2:$H$6,MATCH(C3535,parametros!$B$2:$B$6,0)),"")=""),"INICIO_EFEITO ausente: PC "&amp;A3535&amp;" - "&amp;C3535,IF(L3535="","EFEITO_PC nao calculado: PC "&amp;A3535&amp;" - "&amp;C3535,"OK")))))))))</f>
        <v/>
      </c>
      <c r="L3535" s="92" t="str">
        <f>IF(AND(A3535="",B3535="",D3535="",G3535=""),"",IF(OR(B3535="",NOT(ISNUMBER(B3535)),C3535="",C3535="Fora dos ciclos"),"",IF(C3535="C0","Nao",IF(IFERROR(INDEX(parametros!$A$2:$A$6,MATCH(C3535,parametros!$B$2:$B$6,0)),"")&lt;&gt;"Sim","Nao",IF(IFERROR(INDEX(parametros!$H$2:$H$6,MATCH(C3535,parametros!$B$2:$B$6,0)),"")="","",IF(B3535&gt;=IFERROR(INDEX(parametros!$H$2:$H$6,MATCH(C3535,parametros!$B$2:$B$6,0)),""),"Sim","Nao"))))))</f>
        <v/>
      </c>
      <c r="T3535" s="156"/>
      <c r="U3535" s="214" t="str">
        <f t="shared" si="281"/>
        <v/>
      </c>
      <c r="V3535" s="212" t="s">
        <v>50</v>
      </c>
      <c r="W3535" s="100" t="s">
        <v>168</v>
      </c>
      <c r="X3535" s="100" t="s">
        <v>169</v>
      </c>
      <c r="Y3535" s="101" t="s">
        <v>170</v>
      </c>
      <c r="Z3535" s="101" t="s">
        <v>171</v>
      </c>
      <c r="AA3535" s="101" t="s">
        <v>50</v>
      </c>
      <c r="AB3535" s="101" t="s">
        <v>172</v>
      </c>
      <c r="AC3535" s="102" t="s">
        <v>173</v>
      </c>
    </row>
    <row r="3536" spans="1:29" ht="25.5" customHeight="1" x14ac:dyDescent="0.35">
      <c r="A3536" s="392"/>
      <c r="B3536" s="393"/>
      <c r="C3536" s="99" t="str">
        <f>IF(B3536="","",IF(NOT(ISNUMBER(B3536)),"DATA_PC invalida",IF(NOT(ISNUMBER(parametros!$C$2)),"Fora dos ciclos",IF(OR(B3536&lt;parametros!$C$2,(YEAR(B3536)-YEAR(parametros!$C$2))*12+MONTH(B3536)-MONTH(parametros!$C$2)&gt;59),"Fora dos ciclos","C"&amp;INT(((YEAR(B3536)-YEAR(parametros!$C$2))*12+MONTH(B3536)-MONTH(parametros!$C$2))/12)))))</f>
        <v/>
      </c>
      <c r="D3536" s="394"/>
      <c r="E3536" s="78" t="str">
        <f>IF(C3536="","",IFERROR(VLOOKUP(C3536,parametros!$A$11:$E$15,5,0),""))</f>
        <v/>
      </c>
      <c r="F3536" s="79" t="str">
        <f t="shared" si="277"/>
        <v/>
      </c>
      <c r="G3536" s="395"/>
      <c r="H3536" s="91">
        <f t="shared" si="278"/>
        <v>0</v>
      </c>
      <c r="I3536" s="91" t="str">
        <f t="shared" si="279"/>
        <v/>
      </c>
      <c r="J3536" s="91" t="str">
        <f t="shared" si="280"/>
        <v/>
      </c>
      <c r="K3536" s="92" t="str">
        <f>IF(AND(A3536="",B3536="",D3536="",G3536=""),"",IF(AND(A3536&lt;&gt;"",COUNTIF($A$2:$A$5001,A3536)&gt;1),"NUMERO_PC duplicado",IF(B3536="","DATA_PC vazia",IF(NOT(ISNUMBER(B3536)),"DATA_PC invalida",IF(OR(C3536="",C3536="Fora dos ciclos"),"CICLO_PC nao identificado",IF(OR(D3536="",D3536=0),"VALOR_PC vazio ou zero",IF(AND(G3536&lt;&gt;"Sim",G3536&lt;&gt;"Nao",G3536&lt;&gt;""),"PC_PAGO_A_CONTRATADA invalido",IF(AND(C3536&lt;&gt;"C0",IFERROR(INDEX(parametros!$A$2:$A$6,MATCH(C3536,parametros!$B$2:$B$6,0)),"")="Sim",IFERROR(INDEX(parametros!$H$2:$H$6,MATCH(C3536,parametros!$B$2:$B$6,0)),"")=""),"INICIO_EFEITO ausente: PC "&amp;A3536&amp;" - "&amp;C3536,IF(L3536="","EFEITO_PC nao calculado: PC "&amp;A3536&amp;" - "&amp;C3536,"OK")))))))))</f>
        <v/>
      </c>
      <c r="L3536" s="92" t="str">
        <f>IF(AND(A3536="",B3536="",D3536="",G3536=""),"",IF(OR(B3536="",NOT(ISNUMBER(B3536)),C3536="",C3536="Fora dos ciclos"),"",IF(C3536="C0","Nao",IF(IFERROR(INDEX(parametros!$A$2:$A$6,MATCH(C3536,parametros!$B$2:$B$6,0)),"")&lt;&gt;"Sim","Nao",IF(IFERROR(INDEX(parametros!$H$2:$H$6,MATCH(C3536,parametros!$B$2:$B$6,0)),"")="","",IF(B3536&gt;=IFERROR(INDEX(parametros!$H$2:$H$6,MATCH(C3536,parametros!$B$2:$B$6,0)),""),"Sim","Nao"))))))</f>
        <v/>
      </c>
      <c r="T3536" s="156"/>
      <c r="U3536" s="214" t="str">
        <f t="shared" si="281"/>
        <v/>
      </c>
      <c r="V3536" s="212" t="s">
        <v>50</v>
      </c>
      <c r="W3536" s="100" t="s">
        <v>168</v>
      </c>
      <c r="X3536" s="100" t="s">
        <v>169</v>
      </c>
      <c r="Y3536" s="101" t="s">
        <v>170</v>
      </c>
      <c r="Z3536" s="101" t="s">
        <v>171</v>
      </c>
      <c r="AA3536" s="101" t="s">
        <v>50</v>
      </c>
      <c r="AB3536" s="101" t="s">
        <v>172</v>
      </c>
      <c r="AC3536" s="102" t="s">
        <v>173</v>
      </c>
    </row>
    <row r="3537" spans="1:29" ht="25.5" customHeight="1" x14ac:dyDescent="0.35">
      <c r="A3537" s="392"/>
      <c r="B3537" s="393"/>
      <c r="C3537" s="99" t="str">
        <f>IF(B3537="","",IF(NOT(ISNUMBER(B3537)),"DATA_PC invalida",IF(NOT(ISNUMBER(parametros!$C$2)),"Fora dos ciclos",IF(OR(B3537&lt;parametros!$C$2,(YEAR(B3537)-YEAR(parametros!$C$2))*12+MONTH(B3537)-MONTH(parametros!$C$2)&gt;59),"Fora dos ciclos","C"&amp;INT(((YEAR(B3537)-YEAR(parametros!$C$2))*12+MONTH(B3537)-MONTH(parametros!$C$2))/12)))))</f>
        <v/>
      </c>
      <c r="D3537" s="394"/>
      <c r="E3537" s="78" t="str">
        <f>IF(C3537="","",IFERROR(VLOOKUP(C3537,parametros!$A$11:$E$15,5,0),""))</f>
        <v/>
      </c>
      <c r="F3537" s="79" t="str">
        <f t="shared" si="277"/>
        <v/>
      </c>
      <c r="G3537" s="395"/>
      <c r="H3537" s="91">
        <f t="shared" si="278"/>
        <v>0</v>
      </c>
      <c r="I3537" s="91" t="str">
        <f t="shared" si="279"/>
        <v/>
      </c>
      <c r="J3537" s="91" t="str">
        <f t="shared" si="280"/>
        <v/>
      </c>
      <c r="K3537" s="92" t="str">
        <f>IF(AND(A3537="",B3537="",D3537="",G3537=""),"",IF(AND(A3537&lt;&gt;"",COUNTIF($A$2:$A$5001,A3537)&gt;1),"NUMERO_PC duplicado",IF(B3537="","DATA_PC vazia",IF(NOT(ISNUMBER(B3537)),"DATA_PC invalida",IF(OR(C3537="",C3537="Fora dos ciclos"),"CICLO_PC nao identificado",IF(OR(D3537="",D3537=0),"VALOR_PC vazio ou zero",IF(AND(G3537&lt;&gt;"Sim",G3537&lt;&gt;"Nao",G3537&lt;&gt;""),"PC_PAGO_A_CONTRATADA invalido",IF(AND(C3537&lt;&gt;"C0",IFERROR(INDEX(parametros!$A$2:$A$6,MATCH(C3537,parametros!$B$2:$B$6,0)),"")="Sim",IFERROR(INDEX(parametros!$H$2:$H$6,MATCH(C3537,parametros!$B$2:$B$6,0)),"")=""),"INICIO_EFEITO ausente: PC "&amp;A3537&amp;" - "&amp;C3537,IF(L3537="","EFEITO_PC nao calculado: PC "&amp;A3537&amp;" - "&amp;C3537,"OK")))))))))</f>
        <v/>
      </c>
      <c r="L3537" s="92" t="str">
        <f>IF(AND(A3537="",B3537="",D3537="",G3537=""),"",IF(OR(B3537="",NOT(ISNUMBER(B3537)),C3537="",C3537="Fora dos ciclos"),"",IF(C3537="C0","Nao",IF(IFERROR(INDEX(parametros!$A$2:$A$6,MATCH(C3537,parametros!$B$2:$B$6,0)),"")&lt;&gt;"Sim","Nao",IF(IFERROR(INDEX(parametros!$H$2:$H$6,MATCH(C3537,parametros!$B$2:$B$6,0)),"")="","",IF(B3537&gt;=IFERROR(INDEX(parametros!$H$2:$H$6,MATCH(C3537,parametros!$B$2:$B$6,0)),""),"Sim","Nao"))))))</f>
        <v/>
      </c>
      <c r="T3537" s="156"/>
      <c r="U3537" s="214" t="str">
        <f t="shared" si="281"/>
        <v/>
      </c>
      <c r="V3537" s="212" t="s">
        <v>50</v>
      </c>
      <c r="W3537" s="100" t="s">
        <v>168</v>
      </c>
      <c r="X3537" s="100" t="s">
        <v>169</v>
      </c>
      <c r="Y3537" s="101" t="s">
        <v>170</v>
      </c>
      <c r="Z3537" s="101" t="s">
        <v>171</v>
      </c>
      <c r="AA3537" s="101" t="s">
        <v>50</v>
      </c>
      <c r="AB3537" s="101" t="s">
        <v>172</v>
      </c>
      <c r="AC3537" s="102" t="s">
        <v>173</v>
      </c>
    </row>
    <row r="3538" spans="1:29" ht="25.5" customHeight="1" x14ac:dyDescent="0.35">
      <c r="A3538" s="392"/>
      <c r="B3538" s="393"/>
      <c r="C3538" s="99" t="str">
        <f>IF(B3538="","",IF(NOT(ISNUMBER(B3538)),"DATA_PC invalida",IF(NOT(ISNUMBER(parametros!$C$2)),"Fora dos ciclos",IF(OR(B3538&lt;parametros!$C$2,(YEAR(B3538)-YEAR(parametros!$C$2))*12+MONTH(B3538)-MONTH(parametros!$C$2)&gt;59),"Fora dos ciclos","C"&amp;INT(((YEAR(B3538)-YEAR(parametros!$C$2))*12+MONTH(B3538)-MONTH(parametros!$C$2))/12)))))</f>
        <v/>
      </c>
      <c r="D3538" s="394"/>
      <c r="E3538" s="78" t="str">
        <f>IF(C3538="","",IFERROR(VLOOKUP(C3538,parametros!$A$11:$E$15,5,0),""))</f>
        <v/>
      </c>
      <c r="F3538" s="79" t="str">
        <f t="shared" si="277"/>
        <v/>
      </c>
      <c r="G3538" s="395"/>
      <c r="H3538" s="91">
        <f t="shared" si="278"/>
        <v>0</v>
      </c>
      <c r="I3538" s="91" t="str">
        <f t="shared" si="279"/>
        <v/>
      </c>
      <c r="J3538" s="91" t="str">
        <f t="shared" si="280"/>
        <v/>
      </c>
      <c r="K3538" s="92" t="str">
        <f>IF(AND(A3538="",B3538="",D3538="",G3538=""),"",IF(AND(A3538&lt;&gt;"",COUNTIF($A$2:$A$5001,A3538)&gt;1),"NUMERO_PC duplicado",IF(B3538="","DATA_PC vazia",IF(NOT(ISNUMBER(B3538)),"DATA_PC invalida",IF(OR(C3538="",C3538="Fora dos ciclos"),"CICLO_PC nao identificado",IF(OR(D3538="",D3538=0),"VALOR_PC vazio ou zero",IF(AND(G3538&lt;&gt;"Sim",G3538&lt;&gt;"Nao",G3538&lt;&gt;""),"PC_PAGO_A_CONTRATADA invalido",IF(AND(C3538&lt;&gt;"C0",IFERROR(INDEX(parametros!$A$2:$A$6,MATCH(C3538,parametros!$B$2:$B$6,0)),"")="Sim",IFERROR(INDEX(parametros!$H$2:$H$6,MATCH(C3538,parametros!$B$2:$B$6,0)),"")=""),"INICIO_EFEITO ausente: PC "&amp;A3538&amp;" - "&amp;C3538,IF(L3538="","EFEITO_PC nao calculado: PC "&amp;A3538&amp;" - "&amp;C3538,"OK")))))))))</f>
        <v/>
      </c>
      <c r="L3538" s="92" t="str">
        <f>IF(AND(A3538="",B3538="",D3538="",G3538=""),"",IF(OR(B3538="",NOT(ISNUMBER(B3538)),C3538="",C3538="Fora dos ciclos"),"",IF(C3538="C0","Nao",IF(IFERROR(INDEX(parametros!$A$2:$A$6,MATCH(C3538,parametros!$B$2:$B$6,0)),"")&lt;&gt;"Sim","Nao",IF(IFERROR(INDEX(parametros!$H$2:$H$6,MATCH(C3538,parametros!$B$2:$B$6,0)),"")="","",IF(B3538&gt;=IFERROR(INDEX(parametros!$H$2:$H$6,MATCH(C3538,parametros!$B$2:$B$6,0)),""),"Sim","Nao"))))))</f>
        <v/>
      </c>
      <c r="T3538" s="156"/>
      <c r="U3538" s="214" t="str">
        <f t="shared" si="281"/>
        <v/>
      </c>
      <c r="V3538" s="212" t="s">
        <v>50</v>
      </c>
      <c r="W3538" s="100" t="s">
        <v>168</v>
      </c>
      <c r="X3538" s="100" t="s">
        <v>169</v>
      </c>
      <c r="Y3538" s="101" t="s">
        <v>170</v>
      </c>
      <c r="Z3538" s="101" t="s">
        <v>171</v>
      </c>
      <c r="AA3538" s="101" t="s">
        <v>50</v>
      </c>
      <c r="AB3538" s="101" t="s">
        <v>172</v>
      </c>
      <c r="AC3538" s="102" t="s">
        <v>173</v>
      </c>
    </row>
    <row r="3539" spans="1:29" ht="25.5" customHeight="1" x14ac:dyDescent="0.35">
      <c r="A3539" s="392"/>
      <c r="B3539" s="393"/>
      <c r="C3539" s="99" t="str">
        <f>IF(B3539="","",IF(NOT(ISNUMBER(B3539)),"DATA_PC invalida",IF(NOT(ISNUMBER(parametros!$C$2)),"Fora dos ciclos",IF(OR(B3539&lt;parametros!$C$2,(YEAR(B3539)-YEAR(parametros!$C$2))*12+MONTH(B3539)-MONTH(parametros!$C$2)&gt;59),"Fora dos ciclos","C"&amp;INT(((YEAR(B3539)-YEAR(parametros!$C$2))*12+MONTH(B3539)-MONTH(parametros!$C$2))/12)))))</f>
        <v/>
      </c>
      <c r="D3539" s="394"/>
      <c r="E3539" s="78" t="str">
        <f>IF(C3539="","",IFERROR(VLOOKUP(C3539,parametros!$A$11:$E$15,5,0),""))</f>
        <v/>
      </c>
      <c r="F3539" s="79" t="str">
        <f t="shared" si="277"/>
        <v/>
      </c>
      <c r="G3539" s="395"/>
      <c r="H3539" s="91">
        <f t="shared" si="278"/>
        <v>0</v>
      </c>
      <c r="I3539" s="91" t="str">
        <f t="shared" si="279"/>
        <v/>
      </c>
      <c r="J3539" s="91" t="str">
        <f t="shared" si="280"/>
        <v/>
      </c>
      <c r="K3539" s="92" t="str">
        <f>IF(AND(A3539="",B3539="",D3539="",G3539=""),"",IF(AND(A3539&lt;&gt;"",COUNTIF($A$2:$A$5001,A3539)&gt;1),"NUMERO_PC duplicado",IF(B3539="","DATA_PC vazia",IF(NOT(ISNUMBER(B3539)),"DATA_PC invalida",IF(OR(C3539="",C3539="Fora dos ciclos"),"CICLO_PC nao identificado",IF(OR(D3539="",D3539=0),"VALOR_PC vazio ou zero",IF(AND(G3539&lt;&gt;"Sim",G3539&lt;&gt;"Nao",G3539&lt;&gt;""),"PC_PAGO_A_CONTRATADA invalido",IF(AND(C3539&lt;&gt;"C0",IFERROR(INDEX(parametros!$A$2:$A$6,MATCH(C3539,parametros!$B$2:$B$6,0)),"")="Sim",IFERROR(INDEX(parametros!$H$2:$H$6,MATCH(C3539,parametros!$B$2:$B$6,0)),"")=""),"INICIO_EFEITO ausente: PC "&amp;A3539&amp;" - "&amp;C3539,IF(L3539="","EFEITO_PC nao calculado: PC "&amp;A3539&amp;" - "&amp;C3539,"OK")))))))))</f>
        <v/>
      </c>
      <c r="L3539" s="92" t="str">
        <f>IF(AND(A3539="",B3539="",D3539="",G3539=""),"",IF(OR(B3539="",NOT(ISNUMBER(B3539)),C3539="",C3539="Fora dos ciclos"),"",IF(C3539="C0","Nao",IF(IFERROR(INDEX(parametros!$A$2:$A$6,MATCH(C3539,parametros!$B$2:$B$6,0)),"")&lt;&gt;"Sim","Nao",IF(IFERROR(INDEX(parametros!$H$2:$H$6,MATCH(C3539,parametros!$B$2:$B$6,0)),"")="","",IF(B3539&gt;=IFERROR(INDEX(parametros!$H$2:$H$6,MATCH(C3539,parametros!$B$2:$B$6,0)),""),"Sim","Nao"))))))</f>
        <v/>
      </c>
      <c r="T3539" s="156"/>
      <c r="U3539" s="214" t="str">
        <f t="shared" si="281"/>
        <v/>
      </c>
      <c r="V3539" s="212" t="s">
        <v>50</v>
      </c>
      <c r="W3539" s="100" t="s">
        <v>168</v>
      </c>
      <c r="X3539" s="100" t="s">
        <v>169</v>
      </c>
      <c r="Y3539" s="101" t="s">
        <v>170</v>
      </c>
      <c r="Z3539" s="101" t="s">
        <v>171</v>
      </c>
      <c r="AA3539" s="101" t="s">
        <v>50</v>
      </c>
      <c r="AB3539" s="101" t="s">
        <v>172</v>
      </c>
      <c r="AC3539" s="102" t="s">
        <v>173</v>
      </c>
    </row>
    <row r="3540" spans="1:29" ht="25.5" customHeight="1" x14ac:dyDescent="0.35">
      <c r="A3540" s="392"/>
      <c r="B3540" s="393"/>
      <c r="C3540" s="99" t="str">
        <f>IF(B3540="","",IF(NOT(ISNUMBER(B3540)),"DATA_PC invalida",IF(NOT(ISNUMBER(parametros!$C$2)),"Fora dos ciclos",IF(OR(B3540&lt;parametros!$C$2,(YEAR(B3540)-YEAR(parametros!$C$2))*12+MONTH(B3540)-MONTH(parametros!$C$2)&gt;59),"Fora dos ciclos","C"&amp;INT(((YEAR(B3540)-YEAR(parametros!$C$2))*12+MONTH(B3540)-MONTH(parametros!$C$2))/12)))))</f>
        <v/>
      </c>
      <c r="D3540" s="394"/>
      <c r="E3540" s="78" t="str">
        <f>IF(C3540="","",IFERROR(VLOOKUP(C3540,parametros!$A$11:$E$15,5,0),""))</f>
        <v/>
      </c>
      <c r="F3540" s="79" t="str">
        <f t="shared" si="277"/>
        <v/>
      </c>
      <c r="G3540" s="395"/>
      <c r="H3540" s="91">
        <f t="shared" si="278"/>
        <v>0</v>
      </c>
      <c r="I3540" s="91" t="str">
        <f t="shared" si="279"/>
        <v/>
      </c>
      <c r="J3540" s="91" t="str">
        <f t="shared" si="280"/>
        <v/>
      </c>
      <c r="K3540" s="92" t="str">
        <f>IF(AND(A3540="",B3540="",D3540="",G3540=""),"",IF(AND(A3540&lt;&gt;"",COUNTIF($A$2:$A$5001,A3540)&gt;1),"NUMERO_PC duplicado",IF(B3540="","DATA_PC vazia",IF(NOT(ISNUMBER(B3540)),"DATA_PC invalida",IF(OR(C3540="",C3540="Fora dos ciclos"),"CICLO_PC nao identificado",IF(OR(D3540="",D3540=0),"VALOR_PC vazio ou zero",IF(AND(G3540&lt;&gt;"Sim",G3540&lt;&gt;"Nao",G3540&lt;&gt;""),"PC_PAGO_A_CONTRATADA invalido",IF(AND(C3540&lt;&gt;"C0",IFERROR(INDEX(parametros!$A$2:$A$6,MATCH(C3540,parametros!$B$2:$B$6,0)),"")="Sim",IFERROR(INDEX(parametros!$H$2:$H$6,MATCH(C3540,parametros!$B$2:$B$6,0)),"")=""),"INICIO_EFEITO ausente: PC "&amp;A3540&amp;" - "&amp;C3540,IF(L3540="","EFEITO_PC nao calculado: PC "&amp;A3540&amp;" - "&amp;C3540,"OK")))))))))</f>
        <v/>
      </c>
      <c r="L3540" s="92" t="str">
        <f>IF(AND(A3540="",B3540="",D3540="",G3540=""),"",IF(OR(B3540="",NOT(ISNUMBER(B3540)),C3540="",C3540="Fora dos ciclos"),"",IF(C3540="C0","Nao",IF(IFERROR(INDEX(parametros!$A$2:$A$6,MATCH(C3540,parametros!$B$2:$B$6,0)),"")&lt;&gt;"Sim","Nao",IF(IFERROR(INDEX(parametros!$H$2:$H$6,MATCH(C3540,parametros!$B$2:$B$6,0)),"")="","",IF(B3540&gt;=IFERROR(INDEX(parametros!$H$2:$H$6,MATCH(C3540,parametros!$B$2:$B$6,0)),""),"Sim","Nao"))))))</f>
        <v/>
      </c>
      <c r="T3540" s="156"/>
      <c r="U3540" s="214" t="str">
        <f t="shared" si="281"/>
        <v/>
      </c>
      <c r="V3540" s="212" t="s">
        <v>50</v>
      </c>
      <c r="W3540" s="100" t="s">
        <v>168</v>
      </c>
      <c r="X3540" s="100" t="s">
        <v>169</v>
      </c>
      <c r="Y3540" s="101" t="s">
        <v>170</v>
      </c>
      <c r="Z3540" s="101" t="s">
        <v>171</v>
      </c>
      <c r="AA3540" s="101" t="s">
        <v>50</v>
      </c>
      <c r="AB3540" s="101" t="s">
        <v>172</v>
      </c>
      <c r="AC3540" s="102" t="s">
        <v>173</v>
      </c>
    </row>
    <row r="3541" spans="1:29" ht="25.5" customHeight="1" x14ac:dyDescent="0.35">
      <c r="A3541" s="392"/>
      <c r="B3541" s="393"/>
      <c r="C3541" s="99" t="str">
        <f>IF(B3541="","",IF(NOT(ISNUMBER(B3541)),"DATA_PC invalida",IF(NOT(ISNUMBER(parametros!$C$2)),"Fora dos ciclos",IF(OR(B3541&lt;parametros!$C$2,(YEAR(B3541)-YEAR(parametros!$C$2))*12+MONTH(B3541)-MONTH(parametros!$C$2)&gt;59),"Fora dos ciclos","C"&amp;INT(((YEAR(B3541)-YEAR(parametros!$C$2))*12+MONTH(B3541)-MONTH(parametros!$C$2))/12)))))</f>
        <v/>
      </c>
      <c r="D3541" s="394"/>
      <c r="E3541" s="78" t="str">
        <f>IF(C3541="","",IFERROR(VLOOKUP(C3541,parametros!$A$11:$E$15,5,0),""))</f>
        <v/>
      </c>
      <c r="F3541" s="79" t="str">
        <f t="shared" si="277"/>
        <v/>
      </c>
      <c r="G3541" s="395"/>
      <c r="H3541" s="91">
        <f t="shared" si="278"/>
        <v>0</v>
      </c>
      <c r="I3541" s="91" t="str">
        <f t="shared" si="279"/>
        <v/>
      </c>
      <c r="J3541" s="91" t="str">
        <f t="shared" si="280"/>
        <v/>
      </c>
      <c r="K3541" s="92" t="str">
        <f>IF(AND(A3541="",B3541="",D3541="",G3541=""),"",IF(AND(A3541&lt;&gt;"",COUNTIF($A$2:$A$5001,A3541)&gt;1),"NUMERO_PC duplicado",IF(B3541="","DATA_PC vazia",IF(NOT(ISNUMBER(B3541)),"DATA_PC invalida",IF(OR(C3541="",C3541="Fora dos ciclos"),"CICLO_PC nao identificado",IF(OR(D3541="",D3541=0),"VALOR_PC vazio ou zero",IF(AND(G3541&lt;&gt;"Sim",G3541&lt;&gt;"Nao",G3541&lt;&gt;""),"PC_PAGO_A_CONTRATADA invalido",IF(AND(C3541&lt;&gt;"C0",IFERROR(INDEX(parametros!$A$2:$A$6,MATCH(C3541,parametros!$B$2:$B$6,0)),"")="Sim",IFERROR(INDEX(parametros!$H$2:$H$6,MATCH(C3541,parametros!$B$2:$B$6,0)),"")=""),"INICIO_EFEITO ausente: PC "&amp;A3541&amp;" - "&amp;C3541,IF(L3541="","EFEITO_PC nao calculado: PC "&amp;A3541&amp;" - "&amp;C3541,"OK")))))))))</f>
        <v/>
      </c>
      <c r="L3541" s="92" t="str">
        <f>IF(AND(A3541="",B3541="",D3541="",G3541=""),"",IF(OR(B3541="",NOT(ISNUMBER(B3541)),C3541="",C3541="Fora dos ciclos"),"",IF(C3541="C0","Nao",IF(IFERROR(INDEX(parametros!$A$2:$A$6,MATCH(C3541,parametros!$B$2:$B$6,0)),"")&lt;&gt;"Sim","Nao",IF(IFERROR(INDEX(parametros!$H$2:$H$6,MATCH(C3541,parametros!$B$2:$B$6,0)),"")="","",IF(B3541&gt;=IFERROR(INDEX(parametros!$H$2:$H$6,MATCH(C3541,parametros!$B$2:$B$6,0)),""),"Sim","Nao"))))))</f>
        <v/>
      </c>
      <c r="T3541" s="156"/>
      <c r="U3541" s="214" t="str">
        <f t="shared" si="281"/>
        <v/>
      </c>
      <c r="V3541" s="212" t="s">
        <v>50</v>
      </c>
      <c r="W3541" s="100" t="s">
        <v>168</v>
      </c>
      <c r="X3541" s="100" t="s">
        <v>169</v>
      </c>
      <c r="Y3541" s="101" t="s">
        <v>170</v>
      </c>
      <c r="Z3541" s="101" t="s">
        <v>171</v>
      </c>
      <c r="AA3541" s="101" t="s">
        <v>50</v>
      </c>
      <c r="AB3541" s="101" t="s">
        <v>172</v>
      </c>
      <c r="AC3541" s="102" t="s">
        <v>173</v>
      </c>
    </row>
    <row r="3542" spans="1:29" ht="25.5" customHeight="1" x14ac:dyDescent="0.35">
      <c r="A3542" s="392"/>
      <c r="B3542" s="393"/>
      <c r="C3542" s="99" t="str">
        <f>IF(B3542="","",IF(NOT(ISNUMBER(B3542)),"DATA_PC invalida",IF(NOT(ISNUMBER(parametros!$C$2)),"Fora dos ciclos",IF(OR(B3542&lt;parametros!$C$2,(YEAR(B3542)-YEAR(parametros!$C$2))*12+MONTH(B3542)-MONTH(parametros!$C$2)&gt;59),"Fora dos ciclos","C"&amp;INT(((YEAR(B3542)-YEAR(parametros!$C$2))*12+MONTH(B3542)-MONTH(parametros!$C$2))/12)))))</f>
        <v/>
      </c>
      <c r="D3542" s="394"/>
      <c r="E3542" s="78" t="str">
        <f>IF(C3542="","",IFERROR(VLOOKUP(C3542,parametros!$A$11:$E$15,5,0),""))</f>
        <v/>
      </c>
      <c r="F3542" s="79" t="str">
        <f t="shared" si="277"/>
        <v/>
      </c>
      <c r="G3542" s="395"/>
      <c r="H3542" s="91">
        <f t="shared" si="278"/>
        <v>0</v>
      </c>
      <c r="I3542" s="91" t="str">
        <f t="shared" si="279"/>
        <v/>
      </c>
      <c r="J3542" s="91" t="str">
        <f t="shared" si="280"/>
        <v/>
      </c>
      <c r="K3542" s="92" t="str">
        <f>IF(AND(A3542="",B3542="",D3542="",G3542=""),"",IF(AND(A3542&lt;&gt;"",COUNTIF($A$2:$A$5001,A3542)&gt;1),"NUMERO_PC duplicado",IF(B3542="","DATA_PC vazia",IF(NOT(ISNUMBER(B3542)),"DATA_PC invalida",IF(OR(C3542="",C3542="Fora dos ciclos"),"CICLO_PC nao identificado",IF(OR(D3542="",D3542=0),"VALOR_PC vazio ou zero",IF(AND(G3542&lt;&gt;"Sim",G3542&lt;&gt;"Nao",G3542&lt;&gt;""),"PC_PAGO_A_CONTRATADA invalido",IF(AND(C3542&lt;&gt;"C0",IFERROR(INDEX(parametros!$A$2:$A$6,MATCH(C3542,parametros!$B$2:$B$6,0)),"")="Sim",IFERROR(INDEX(parametros!$H$2:$H$6,MATCH(C3542,parametros!$B$2:$B$6,0)),"")=""),"INICIO_EFEITO ausente: PC "&amp;A3542&amp;" - "&amp;C3542,IF(L3542="","EFEITO_PC nao calculado: PC "&amp;A3542&amp;" - "&amp;C3542,"OK")))))))))</f>
        <v/>
      </c>
      <c r="L3542" s="92" t="str">
        <f>IF(AND(A3542="",B3542="",D3542="",G3542=""),"",IF(OR(B3542="",NOT(ISNUMBER(B3542)),C3542="",C3542="Fora dos ciclos"),"",IF(C3542="C0","Nao",IF(IFERROR(INDEX(parametros!$A$2:$A$6,MATCH(C3542,parametros!$B$2:$B$6,0)),"")&lt;&gt;"Sim","Nao",IF(IFERROR(INDEX(parametros!$H$2:$H$6,MATCH(C3542,parametros!$B$2:$B$6,0)),"")="","",IF(B3542&gt;=IFERROR(INDEX(parametros!$H$2:$H$6,MATCH(C3542,parametros!$B$2:$B$6,0)),""),"Sim","Nao"))))))</f>
        <v/>
      </c>
      <c r="T3542" s="156"/>
      <c r="U3542" s="214" t="str">
        <f t="shared" si="281"/>
        <v/>
      </c>
      <c r="V3542" s="212" t="s">
        <v>50</v>
      </c>
      <c r="W3542" s="100" t="s">
        <v>168</v>
      </c>
      <c r="X3542" s="100" t="s">
        <v>169</v>
      </c>
      <c r="Y3542" s="101" t="s">
        <v>170</v>
      </c>
      <c r="Z3542" s="101" t="s">
        <v>171</v>
      </c>
      <c r="AA3542" s="101" t="s">
        <v>50</v>
      </c>
      <c r="AB3542" s="101" t="s">
        <v>172</v>
      </c>
      <c r="AC3542" s="102" t="s">
        <v>173</v>
      </c>
    </row>
    <row r="3543" spans="1:29" ht="25.5" customHeight="1" x14ac:dyDescent="0.35">
      <c r="A3543" s="392"/>
      <c r="B3543" s="393"/>
      <c r="C3543" s="99" t="str">
        <f>IF(B3543="","",IF(NOT(ISNUMBER(B3543)),"DATA_PC invalida",IF(NOT(ISNUMBER(parametros!$C$2)),"Fora dos ciclos",IF(OR(B3543&lt;parametros!$C$2,(YEAR(B3543)-YEAR(parametros!$C$2))*12+MONTH(B3543)-MONTH(parametros!$C$2)&gt;59),"Fora dos ciclos","C"&amp;INT(((YEAR(B3543)-YEAR(parametros!$C$2))*12+MONTH(B3543)-MONTH(parametros!$C$2))/12)))))</f>
        <v/>
      </c>
      <c r="D3543" s="394"/>
      <c r="E3543" s="78" t="str">
        <f>IF(C3543="","",IFERROR(VLOOKUP(C3543,parametros!$A$11:$E$15,5,0),""))</f>
        <v/>
      </c>
      <c r="F3543" s="79" t="str">
        <f t="shared" si="277"/>
        <v/>
      </c>
      <c r="G3543" s="395"/>
      <c r="H3543" s="91">
        <f t="shared" si="278"/>
        <v>0</v>
      </c>
      <c r="I3543" s="91" t="str">
        <f t="shared" si="279"/>
        <v/>
      </c>
      <c r="J3543" s="91" t="str">
        <f t="shared" si="280"/>
        <v/>
      </c>
      <c r="K3543" s="92" t="str">
        <f>IF(AND(A3543="",B3543="",D3543="",G3543=""),"",IF(AND(A3543&lt;&gt;"",COUNTIF($A$2:$A$5001,A3543)&gt;1),"NUMERO_PC duplicado",IF(B3543="","DATA_PC vazia",IF(NOT(ISNUMBER(B3543)),"DATA_PC invalida",IF(OR(C3543="",C3543="Fora dos ciclos"),"CICLO_PC nao identificado",IF(OR(D3543="",D3543=0),"VALOR_PC vazio ou zero",IF(AND(G3543&lt;&gt;"Sim",G3543&lt;&gt;"Nao",G3543&lt;&gt;""),"PC_PAGO_A_CONTRATADA invalido",IF(AND(C3543&lt;&gt;"C0",IFERROR(INDEX(parametros!$A$2:$A$6,MATCH(C3543,parametros!$B$2:$B$6,0)),"")="Sim",IFERROR(INDEX(parametros!$H$2:$H$6,MATCH(C3543,parametros!$B$2:$B$6,0)),"")=""),"INICIO_EFEITO ausente: PC "&amp;A3543&amp;" - "&amp;C3543,IF(L3543="","EFEITO_PC nao calculado: PC "&amp;A3543&amp;" - "&amp;C3543,"OK")))))))))</f>
        <v/>
      </c>
      <c r="L3543" s="92" t="str">
        <f>IF(AND(A3543="",B3543="",D3543="",G3543=""),"",IF(OR(B3543="",NOT(ISNUMBER(B3543)),C3543="",C3543="Fora dos ciclos"),"",IF(C3543="C0","Nao",IF(IFERROR(INDEX(parametros!$A$2:$A$6,MATCH(C3543,parametros!$B$2:$B$6,0)),"")&lt;&gt;"Sim","Nao",IF(IFERROR(INDEX(parametros!$H$2:$H$6,MATCH(C3543,parametros!$B$2:$B$6,0)),"")="","",IF(B3543&gt;=IFERROR(INDEX(parametros!$H$2:$H$6,MATCH(C3543,parametros!$B$2:$B$6,0)),""),"Sim","Nao"))))))</f>
        <v/>
      </c>
      <c r="T3543" s="156"/>
      <c r="U3543" s="214" t="str">
        <f t="shared" si="281"/>
        <v/>
      </c>
      <c r="V3543" s="212" t="s">
        <v>50</v>
      </c>
      <c r="W3543" s="100" t="s">
        <v>168</v>
      </c>
      <c r="X3543" s="100" t="s">
        <v>169</v>
      </c>
      <c r="Y3543" s="101" t="s">
        <v>170</v>
      </c>
      <c r="Z3543" s="101" t="s">
        <v>171</v>
      </c>
      <c r="AA3543" s="101" t="s">
        <v>50</v>
      </c>
      <c r="AB3543" s="101" t="s">
        <v>172</v>
      </c>
      <c r="AC3543" s="102" t="s">
        <v>173</v>
      </c>
    </row>
    <row r="3544" spans="1:29" ht="25.5" customHeight="1" x14ac:dyDescent="0.35">
      <c r="A3544" s="392"/>
      <c r="B3544" s="393"/>
      <c r="C3544" s="99" t="str">
        <f>IF(B3544="","",IF(NOT(ISNUMBER(B3544)),"DATA_PC invalida",IF(NOT(ISNUMBER(parametros!$C$2)),"Fora dos ciclos",IF(OR(B3544&lt;parametros!$C$2,(YEAR(B3544)-YEAR(parametros!$C$2))*12+MONTH(B3544)-MONTH(parametros!$C$2)&gt;59),"Fora dos ciclos","C"&amp;INT(((YEAR(B3544)-YEAR(parametros!$C$2))*12+MONTH(B3544)-MONTH(parametros!$C$2))/12)))))</f>
        <v/>
      </c>
      <c r="D3544" s="394"/>
      <c r="E3544" s="78" t="str">
        <f>IF(C3544="","",IFERROR(VLOOKUP(C3544,parametros!$A$11:$E$15,5,0),""))</f>
        <v/>
      </c>
      <c r="F3544" s="79" t="str">
        <f t="shared" si="277"/>
        <v/>
      </c>
      <c r="G3544" s="395"/>
      <c r="H3544" s="91">
        <f t="shared" si="278"/>
        <v>0</v>
      </c>
      <c r="I3544" s="91" t="str">
        <f t="shared" si="279"/>
        <v/>
      </c>
      <c r="J3544" s="91" t="str">
        <f t="shared" si="280"/>
        <v/>
      </c>
      <c r="K3544" s="92" t="str">
        <f>IF(AND(A3544="",B3544="",D3544="",G3544=""),"",IF(AND(A3544&lt;&gt;"",COUNTIF($A$2:$A$5001,A3544)&gt;1),"NUMERO_PC duplicado",IF(B3544="","DATA_PC vazia",IF(NOT(ISNUMBER(B3544)),"DATA_PC invalida",IF(OR(C3544="",C3544="Fora dos ciclos"),"CICLO_PC nao identificado",IF(OR(D3544="",D3544=0),"VALOR_PC vazio ou zero",IF(AND(G3544&lt;&gt;"Sim",G3544&lt;&gt;"Nao",G3544&lt;&gt;""),"PC_PAGO_A_CONTRATADA invalido",IF(AND(C3544&lt;&gt;"C0",IFERROR(INDEX(parametros!$A$2:$A$6,MATCH(C3544,parametros!$B$2:$B$6,0)),"")="Sim",IFERROR(INDEX(parametros!$H$2:$H$6,MATCH(C3544,parametros!$B$2:$B$6,0)),"")=""),"INICIO_EFEITO ausente: PC "&amp;A3544&amp;" - "&amp;C3544,IF(L3544="","EFEITO_PC nao calculado: PC "&amp;A3544&amp;" - "&amp;C3544,"OK")))))))))</f>
        <v/>
      </c>
      <c r="L3544" s="92" t="str">
        <f>IF(AND(A3544="",B3544="",D3544="",G3544=""),"",IF(OR(B3544="",NOT(ISNUMBER(B3544)),C3544="",C3544="Fora dos ciclos"),"",IF(C3544="C0","Nao",IF(IFERROR(INDEX(parametros!$A$2:$A$6,MATCH(C3544,parametros!$B$2:$B$6,0)),"")&lt;&gt;"Sim","Nao",IF(IFERROR(INDEX(parametros!$H$2:$H$6,MATCH(C3544,parametros!$B$2:$B$6,0)),"")="","",IF(B3544&gt;=IFERROR(INDEX(parametros!$H$2:$H$6,MATCH(C3544,parametros!$B$2:$B$6,0)),""),"Sim","Nao"))))))</f>
        <v/>
      </c>
      <c r="T3544" s="156"/>
      <c r="U3544" s="214" t="str">
        <f t="shared" si="281"/>
        <v/>
      </c>
      <c r="V3544" s="212" t="s">
        <v>50</v>
      </c>
      <c r="W3544" s="100" t="s">
        <v>168</v>
      </c>
      <c r="X3544" s="100" t="s">
        <v>169</v>
      </c>
      <c r="Y3544" s="101" t="s">
        <v>170</v>
      </c>
      <c r="Z3544" s="101" t="s">
        <v>171</v>
      </c>
      <c r="AA3544" s="101" t="s">
        <v>50</v>
      </c>
      <c r="AB3544" s="101" t="s">
        <v>172</v>
      </c>
      <c r="AC3544" s="102" t="s">
        <v>173</v>
      </c>
    </row>
    <row r="3545" spans="1:29" ht="25.5" customHeight="1" x14ac:dyDescent="0.35">
      <c r="A3545" s="392"/>
      <c r="B3545" s="393"/>
      <c r="C3545" s="99" t="str">
        <f>IF(B3545="","",IF(NOT(ISNUMBER(B3545)),"DATA_PC invalida",IF(NOT(ISNUMBER(parametros!$C$2)),"Fora dos ciclos",IF(OR(B3545&lt;parametros!$C$2,(YEAR(B3545)-YEAR(parametros!$C$2))*12+MONTH(B3545)-MONTH(parametros!$C$2)&gt;59),"Fora dos ciclos","C"&amp;INT(((YEAR(B3545)-YEAR(parametros!$C$2))*12+MONTH(B3545)-MONTH(parametros!$C$2))/12)))))</f>
        <v/>
      </c>
      <c r="D3545" s="394"/>
      <c r="E3545" s="78" t="str">
        <f>IF(C3545="","",IFERROR(VLOOKUP(C3545,parametros!$A$11:$E$15,5,0),""))</f>
        <v/>
      </c>
      <c r="F3545" s="79" t="str">
        <f t="shared" si="277"/>
        <v/>
      </c>
      <c r="G3545" s="395"/>
      <c r="H3545" s="91">
        <f t="shared" si="278"/>
        <v>0</v>
      </c>
      <c r="I3545" s="91" t="str">
        <f t="shared" si="279"/>
        <v/>
      </c>
      <c r="J3545" s="91" t="str">
        <f t="shared" si="280"/>
        <v/>
      </c>
      <c r="K3545" s="92" t="str">
        <f>IF(AND(A3545="",B3545="",D3545="",G3545=""),"",IF(AND(A3545&lt;&gt;"",COUNTIF($A$2:$A$5001,A3545)&gt;1),"NUMERO_PC duplicado",IF(B3545="","DATA_PC vazia",IF(NOT(ISNUMBER(B3545)),"DATA_PC invalida",IF(OR(C3545="",C3545="Fora dos ciclos"),"CICLO_PC nao identificado",IF(OR(D3545="",D3545=0),"VALOR_PC vazio ou zero",IF(AND(G3545&lt;&gt;"Sim",G3545&lt;&gt;"Nao",G3545&lt;&gt;""),"PC_PAGO_A_CONTRATADA invalido",IF(AND(C3545&lt;&gt;"C0",IFERROR(INDEX(parametros!$A$2:$A$6,MATCH(C3545,parametros!$B$2:$B$6,0)),"")="Sim",IFERROR(INDEX(parametros!$H$2:$H$6,MATCH(C3545,parametros!$B$2:$B$6,0)),"")=""),"INICIO_EFEITO ausente: PC "&amp;A3545&amp;" - "&amp;C3545,IF(L3545="","EFEITO_PC nao calculado: PC "&amp;A3545&amp;" - "&amp;C3545,"OK")))))))))</f>
        <v/>
      </c>
      <c r="L3545" s="92" t="str">
        <f>IF(AND(A3545="",B3545="",D3545="",G3545=""),"",IF(OR(B3545="",NOT(ISNUMBER(B3545)),C3545="",C3545="Fora dos ciclos"),"",IF(C3545="C0","Nao",IF(IFERROR(INDEX(parametros!$A$2:$A$6,MATCH(C3545,parametros!$B$2:$B$6,0)),"")&lt;&gt;"Sim","Nao",IF(IFERROR(INDEX(parametros!$H$2:$H$6,MATCH(C3545,parametros!$B$2:$B$6,0)),"")="","",IF(B3545&gt;=IFERROR(INDEX(parametros!$H$2:$H$6,MATCH(C3545,parametros!$B$2:$B$6,0)),""),"Sim","Nao"))))))</f>
        <v/>
      </c>
      <c r="T3545" s="156"/>
      <c r="U3545" s="214" t="str">
        <f t="shared" si="281"/>
        <v/>
      </c>
      <c r="V3545" s="212" t="s">
        <v>50</v>
      </c>
      <c r="W3545" s="100" t="s">
        <v>168</v>
      </c>
      <c r="X3545" s="100" t="s">
        <v>169</v>
      </c>
      <c r="Y3545" s="101" t="s">
        <v>170</v>
      </c>
      <c r="Z3545" s="101" t="s">
        <v>171</v>
      </c>
      <c r="AA3545" s="101" t="s">
        <v>50</v>
      </c>
      <c r="AB3545" s="101" t="s">
        <v>172</v>
      </c>
      <c r="AC3545" s="102" t="s">
        <v>173</v>
      </c>
    </row>
    <row r="3546" spans="1:29" ht="25.5" customHeight="1" x14ac:dyDescent="0.35">
      <c r="A3546" s="392"/>
      <c r="B3546" s="393"/>
      <c r="C3546" s="99" t="str">
        <f>IF(B3546="","",IF(NOT(ISNUMBER(B3546)),"DATA_PC invalida",IF(NOT(ISNUMBER(parametros!$C$2)),"Fora dos ciclos",IF(OR(B3546&lt;parametros!$C$2,(YEAR(B3546)-YEAR(parametros!$C$2))*12+MONTH(B3546)-MONTH(parametros!$C$2)&gt;59),"Fora dos ciclos","C"&amp;INT(((YEAR(B3546)-YEAR(parametros!$C$2))*12+MONTH(B3546)-MONTH(parametros!$C$2))/12)))))</f>
        <v/>
      </c>
      <c r="D3546" s="394"/>
      <c r="E3546" s="78" t="str">
        <f>IF(C3546="","",IFERROR(VLOOKUP(C3546,parametros!$A$11:$E$15,5,0),""))</f>
        <v/>
      </c>
      <c r="F3546" s="79" t="str">
        <f t="shared" si="277"/>
        <v/>
      </c>
      <c r="G3546" s="395"/>
      <c r="H3546" s="91">
        <f t="shared" si="278"/>
        <v>0</v>
      </c>
      <c r="I3546" s="91" t="str">
        <f t="shared" si="279"/>
        <v/>
      </c>
      <c r="J3546" s="91" t="str">
        <f t="shared" si="280"/>
        <v/>
      </c>
      <c r="K3546" s="92" t="str">
        <f>IF(AND(A3546="",B3546="",D3546="",G3546=""),"",IF(AND(A3546&lt;&gt;"",COUNTIF($A$2:$A$5001,A3546)&gt;1),"NUMERO_PC duplicado",IF(B3546="","DATA_PC vazia",IF(NOT(ISNUMBER(B3546)),"DATA_PC invalida",IF(OR(C3546="",C3546="Fora dos ciclos"),"CICLO_PC nao identificado",IF(OR(D3546="",D3546=0),"VALOR_PC vazio ou zero",IF(AND(G3546&lt;&gt;"Sim",G3546&lt;&gt;"Nao",G3546&lt;&gt;""),"PC_PAGO_A_CONTRATADA invalido",IF(AND(C3546&lt;&gt;"C0",IFERROR(INDEX(parametros!$A$2:$A$6,MATCH(C3546,parametros!$B$2:$B$6,0)),"")="Sim",IFERROR(INDEX(parametros!$H$2:$H$6,MATCH(C3546,parametros!$B$2:$B$6,0)),"")=""),"INICIO_EFEITO ausente: PC "&amp;A3546&amp;" - "&amp;C3546,IF(L3546="","EFEITO_PC nao calculado: PC "&amp;A3546&amp;" - "&amp;C3546,"OK")))))))))</f>
        <v/>
      </c>
      <c r="L3546" s="92" t="str">
        <f>IF(AND(A3546="",B3546="",D3546="",G3546=""),"",IF(OR(B3546="",NOT(ISNUMBER(B3546)),C3546="",C3546="Fora dos ciclos"),"",IF(C3546="C0","Nao",IF(IFERROR(INDEX(parametros!$A$2:$A$6,MATCH(C3546,parametros!$B$2:$B$6,0)),"")&lt;&gt;"Sim","Nao",IF(IFERROR(INDEX(parametros!$H$2:$H$6,MATCH(C3546,parametros!$B$2:$B$6,0)),"")="","",IF(B3546&gt;=IFERROR(INDEX(parametros!$H$2:$H$6,MATCH(C3546,parametros!$B$2:$B$6,0)),""),"Sim","Nao"))))))</f>
        <v/>
      </c>
      <c r="T3546" s="156"/>
      <c r="U3546" s="214" t="str">
        <f t="shared" si="281"/>
        <v/>
      </c>
      <c r="V3546" s="212" t="s">
        <v>50</v>
      </c>
      <c r="W3546" s="100" t="s">
        <v>168</v>
      </c>
      <c r="X3546" s="100" t="s">
        <v>169</v>
      </c>
      <c r="Y3546" s="101" t="s">
        <v>170</v>
      </c>
      <c r="Z3546" s="101" t="s">
        <v>171</v>
      </c>
      <c r="AA3546" s="101" t="s">
        <v>50</v>
      </c>
      <c r="AB3546" s="101" t="s">
        <v>172</v>
      </c>
      <c r="AC3546" s="102" t="s">
        <v>173</v>
      </c>
    </row>
    <row r="3547" spans="1:29" ht="25.5" customHeight="1" x14ac:dyDescent="0.35">
      <c r="A3547" s="392"/>
      <c r="B3547" s="393"/>
      <c r="C3547" s="99" t="str">
        <f>IF(B3547="","",IF(NOT(ISNUMBER(B3547)),"DATA_PC invalida",IF(NOT(ISNUMBER(parametros!$C$2)),"Fora dos ciclos",IF(OR(B3547&lt;parametros!$C$2,(YEAR(B3547)-YEAR(parametros!$C$2))*12+MONTH(B3547)-MONTH(parametros!$C$2)&gt;59),"Fora dos ciclos","C"&amp;INT(((YEAR(B3547)-YEAR(parametros!$C$2))*12+MONTH(B3547)-MONTH(parametros!$C$2))/12)))))</f>
        <v/>
      </c>
      <c r="D3547" s="394"/>
      <c r="E3547" s="78" t="str">
        <f>IF(C3547="","",IFERROR(VLOOKUP(C3547,parametros!$A$11:$E$15,5,0),""))</f>
        <v/>
      </c>
      <c r="F3547" s="79" t="str">
        <f t="shared" si="277"/>
        <v/>
      </c>
      <c r="G3547" s="395"/>
      <c r="H3547" s="91">
        <f t="shared" si="278"/>
        <v>0</v>
      </c>
      <c r="I3547" s="91" t="str">
        <f t="shared" si="279"/>
        <v/>
      </c>
      <c r="J3547" s="91" t="str">
        <f t="shared" si="280"/>
        <v/>
      </c>
      <c r="K3547" s="92" t="str">
        <f>IF(AND(A3547="",B3547="",D3547="",G3547=""),"",IF(AND(A3547&lt;&gt;"",COUNTIF($A$2:$A$5001,A3547)&gt;1),"NUMERO_PC duplicado",IF(B3547="","DATA_PC vazia",IF(NOT(ISNUMBER(B3547)),"DATA_PC invalida",IF(OR(C3547="",C3547="Fora dos ciclos"),"CICLO_PC nao identificado",IF(OR(D3547="",D3547=0),"VALOR_PC vazio ou zero",IF(AND(G3547&lt;&gt;"Sim",G3547&lt;&gt;"Nao",G3547&lt;&gt;""),"PC_PAGO_A_CONTRATADA invalido",IF(AND(C3547&lt;&gt;"C0",IFERROR(INDEX(parametros!$A$2:$A$6,MATCH(C3547,parametros!$B$2:$B$6,0)),"")="Sim",IFERROR(INDEX(parametros!$H$2:$H$6,MATCH(C3547,parametros!$B$2:$B$6,0)),"")=""),"INICIO_EFEITO ausente: PC "&amp;A3547&amp;" - "&amp;C3547,IF(L3547="","EFEITO_PC nao calculado: PC "&amp;A3547&amp;" - "&amp;C3547,"OK")))))))))</f>
        <v/>
      </c>
      <c r="L3547" s="92" t="str">
        <f>IF(AND(A3547="",B3547="",D3547="",G3547=""),"",IF(OR(B3547="",NOT(ISNUMBER(B3547)),C3547="",C3547="Fora dos ciclos"),"",IF(C3547="C0","Nao",IF(IFERROR(INDEX(parametros!$A$2:$A$6,MATCH(C3547,parametros!$B$2:$B$6,0)),"")&lt;&gt;"Sim","Nao",IF(IFERROR(INDEX(parametros!$H$2:$H$6,MATCH(C3547,parametros!$B$2:$B$6,0)),"")="","",IF(B3547&gt;=IFERROR(INDEX(parametros!$H$2:$H$6,MATCH(C3547,parametros!$B$2:$B$6,0)),""),"Sim","Nao"))))))</f>
        <v/>
      </c>
      <c r="T3547" s="156"/>
      <c r="U3547" s="214" t="str">
        <f t="shared" si="281"/>
        <v/>
      </c>
      <c r="V3547" s="212" t="s">
        <v>50</v>
      </c>
      <c r="W3547" s="100" t="s">
        <v>168</v>
      </c>
      <c r="X3547" s="100" t="s">
        <v>169</v>
      </c>
      <c r="Y3547" s="101" t="s">
        <v>170</v>
      </c>
      <c r="Z3547" s="101" t="s">
        <v>171</v>
      </c>
      <c r="AA3547" s="101" t="s">
        <v>50</v>
      </c>
      <c r="AB3547" s="101" t="s">
        <v>172</v>
      </c>
      <c r="AC3547" s="102" t="s">
        <v>173</v>
      </c>
    </row>
    <row r="3548" spans="1:29" ht="25.5" customHeight="1" x14ac:dyDescent="0.35">
      <c r="A3548" s="392"/>
      <c r="B3548" s="393"/>
      <c r="C3548" s="99" t="str">
        <f>IF(B3548="","",IF(NOT(ISNUMBER(B3548)),"DATA_PC invalida",IF(NOT(ISNUMBER(parametros!$C$2)),"Fora dos ciclos",IF(OR(B3548&lt;parametros!$C$2,(YEAR(B3548)-YEAR(parametros!$C$2))*12+MONTH(B3548)-MONTH(parametros!$C$2)&gt;59),"Fora dos ciclos","C"&amp;INT(((YEAR(B3548)-YEAR(parametros!$C$2))*12+MONTH(B3548)-MONTH(parametros!$C$2))/12)))))</f>
        <v/>
      </c>
      <c r="D3548" s="394"/>
      <c r="E3548" s="78" t="str">
        <f>IF(C3548="","",IFERROR(VLOOKUP(C3548,parametros!$A$11:$E$15,5,0),""))</f>
        <v/>
      </c>
      <c r="F3548" s="79" t="str">
        <f t="shared" si="277"/>
        <v/>
      </c>
      <c r="G3548" s="395"/>
      <c r="H3548" s="91">
        <f t="shared" si="278"/>
        <v>0</v>
      </c>
      <c r="I3548" s="91" t="str">
        <f t="shared" si="279"/>
        <v/>
      </c>
      <c r="J3548" s="91" t="str">
        <f t="shared" si="280"/>
        <v/>
      </c>
      <c r="K3548" s="92" t="str">
        <f>IF(AND(A3548="",B3548="",D3548="",G3548=""),"",IF(AND(A3548&lt;&gt;"",COUNTIF($A$2:$A$5001,A3548)&gt;1),"NUMERO_PC duplicado",IF(B3548="","DATA_PC vazia",IF(NOT(ISNUMBER(B3548)),"DATA_PC invalida",IF(OR(C3548="",C3548="Fora dos ciclos"),"CICLO_PC nao identificado",IF(OR(D3548="",D3548=0),"VALOR_PC vazio ou zero",IF(AND(G3548&lt;&gt;"Sim",G3548&lt;&gt;"Nao",G3548&lt;&gt;""),"PC_PAGO_A_CONTRATADA invalido",IF(AND(C3548&lt;&gt;"C0",IFERROR(INDEX(parametros!$A$2:$A$6,MATCH(C3548,parametros!$B$2:$B$6,0)),"")="Sim",IFERROR(INDEX(parametros!$H$2:$H$6,MATCH(C3548,parametros!$B$2:$B$6,0)),"")=""),"INICIO_EFEITO ausente: PC "&amp;A3548&amp;" - "&amp;C3548,IF(L3548="","EFEITO_PC nao calculado: PC "&amp;A3548&amp;" - "&amp;C3548,"OK")))))))))</f>
        <v/>
      </c>
      <c r="L3548" s="92" t="str">
        <f>IF(AND(A3548="",B3548="",D3548="",G3548=""),"",IF(OR(B3548="",NOT(ISNUMBER(B3548)),C3548="",C3548="Fora dos ciclos"),"",IF(C3548="C0","Nao",IF(IFERROR(INDEX(parametros!$A$2:$A$6,MATCH(C3548,parametros!$B$2:$B$6,0)),"")&lt;&gt;"Sim","Nao",IF(IFERROR(INDEX(parametros!$H$2:$H$6,MATCH(C3548,parametros!$B$2:$B$6,0)),"")="","",IF(B3548&gt;=IFERROR(INDEX(parametros!$H$2:$H$6,MATCH(C3548,parametros!$B$2:$B$6,0)),""),"Sim","Nao"))))))</f>
        <v/>
      </c>
      <c r="T3548" s="156"/>
      <c r="U3548" s="214" t="str">
        <f t="shared" si="281"/>
        <v/>
      </c>
      <c r="V3548" s="212" t="s">
        <v>50</v>
      </c>
      <c r="W3548" s="100" t="s">
        <v>168</v>
      </c>
      <c r="X3548" s="100" t="s">
        <v>169</v>
      </c>
      <c r="Y3548" s="101" t="s">
        <v>170</v>
      </c>
      <c r="Z3548" s="101" t="s">
        <v>171</v>
      </c>
      <c r="AA3548" s="101" t="s">
        <v>50</v>
      </c>
      <c r="AB3548" s="101" t="s">
        <v>172</v>
      </c>
      <c r="AC3548" s="102" t="s">
        <v>173</v>
      </c>
    </row>
    <row r="3549" spans="1:29" ht="25.5" customHeight="1" x14ac:dyDescent="0.35">
      <c r="A3549" s="392"/>
      <c r="B3549" s="393"/>
      <c r="C3549" s="99" t="str">
        <f>IF(B3549="","",IF(NOT(ISNUMBER(B3549)),"DATA_PC invalida",IF(NOT(ISNUMBER(parametros!$C$2)),"Fora dos ciclos",IF(OR(B3549&lt;parametros!$C$2,(YEAR(B3549)-YEAR(parametros!$C$2))*12+MONTH(B3549)-MONTH(parametros!$C$2)&gt;59),"Fora dos ciclos","C"&amp;INT(((YEAR(B3549)-YEAR(parametros!$C$2))*12+MONTH(B3549)-MONTH(parametros!$C$2))/12)))))</f>
        <v/>
      </c>
      <c r="D3549" s="394"/>
      <c r="E3549" s="78" t="str">
        <f>IF(C3549="","",IFERROR(VLOOKUP(C3549,parametros!$A$11:$E$15,5,0),""))</f>
        <v/>
      </c>
      <c r="F3549" s="79" t="str">
        <f t="shared" si="277"/>
        <v/>
      </c>
      <c r="G3549" s="395"/>
      <c r="H3549" s="91">
        <f t="shared" si="278"/>
        <v>0</v>
      </c>
      <c r="I3549" s="91" t="str">
        <f t="shared" si="279"/>
        <v/>
      </c>
      <c r="J3549" s="91" t="str">
        <f t="shared" si="280"/>
        <v/>
      </c>
      <c r="K3549" s="92" t="str">
        <f>IF(AND(A3549="",B3549="",D3549="",G3549=""),"",IF(AND(A3549&lt;&gt;"",COUNTIF($A$2:$A$5001,A3549)&gt;1),"NUMERO_PC duplicado",IF(B3549="","DATA_PC vazia",IF(NOT(ISNUMBER(B3549)),"DATA_PC invalida",IF(OR(C3549="",C3549="Fora dos ciclos"),"CICLO_PC nao identificado",IF(OR(D3549="",D3549=0),"VALOR_PC vazio ou zero",IF(AND(G3549&lt;&gt;"Sim",G3549&lt;&gt;"Nao",G3549&lt;&gt;""),"PC_PAGO_A_CONTRATADA invalido",IF(AND(C3549&lt;&gt;"C0",IFERROR(INDEX(parametros!$A$2:$A$6,MATCH(C3549,parametros!$B$2:$B$6,0)),"")="Sim",IFERROR(INDEX(parametros!$H$2:$H$6,MATCH(C3549,parametros!$B$2:$B$6,0)),"")=""),"INICIO_EFEITO ausente: PC "&amp;A3549&amp;" - "&amp;C3549,IF(L3549="","EFEITO_PC nao calculado: PC "&amp;A3549&amp;" - "&amp;C3549,"OK")))))))))</f>
        <v/>
      </c>
      <c r="L3549" s="92" t="str">
        <f>IF(AND(A3549="",B3549="",D3549="",G3549=""),"",IF(OR(B3549="",NOT(ISNUMBER(B3549)),C3549="",C3549="Fora dos ciclos"),"",IF(C3549="C0","Nao",IF(IFERROR(INDEX(parametros!$A$2:$A$6,MATCH(C3549,parametros!$B$2:$B$6,0)),"")&lt;&gt;"Sim","Nao",IF(IFERROR(INDEX(parametros!$H$2:$H$6,MATCH(C3549,parametros!$B$2:$B$6,0)),"")="","",IF(B3549&gt;=IFERROR(INDEX(parametros!$H$2:$H$6,MATCH(C3549,parametros!$B$2:$B$6,0)),""),"Sim","Nao"))))))</f>
        <v/>
      </c>
      <c r="T3549" s="156"/>
      <c r="U3549" s="214" t="str">
        <f t="shared" si="281"/>
        <v/>
      </c>
      <c r="V3549" s="212" t="s">
        <v>50</v>
      </c>
      <c r="W3549" s="100" t="s">
        <v>168</v>
      </c>
      <c r="X3549" s="100" t="s">
        <v>169</v>
      </c>
      <c r="Y3549" s="101" t="s">
        <v>170</v>
      </c>
      <c r="Z3549" s="101" t="s">
        <v>171</v>
      </c>
      <c r="AA3549" s="101" t="s">
        <v>50</v>
      </c>
      <c r="AB3549" s="101" t="s">
        <v>172</v>
      </c>
      <c r="AC3549" s="102" t="s">
        <v>173</v>
      </c>
    </row>
    <row r="3550" spans="1:29" ht="25.5" customHeight="1" x14ac:dyDescent="0.35">
      <c r="A3550" s="392"/>
      <c r="B3550" s="393"/>
      <c r="C3550" s="99" t="str">
        <f>IF(B3550="","",IF(NOT(ISNUMBER(B3550)),"DATA_PC invalida",IF(NOT(ISNUMBER(parametros!$C$2)),"Fora dos ciclos",IF(OR(B3550&lt;parametros!$C$2,(YEAR(B3550)-YEAR(parametros!$C$2))*12+MONTH(B3550)-MONTH(parametros!$C$2)&gt;59),"Fora dos ciclos","C"&amp;INT(((YEAR(B3550)-YEAR(parametros!$C$2))*12+MONTH(B3550)-MONTH(parametros!$C$2))/12)))))</f>
        <v/>
      </c>
      <c r="D3550" s="394"/>
      <c r="E3550" s="78" t="str">
        <f>IF(C3550="","",IFERROR(VLOOKUP(C3550,parametros!$A$11:$E$15,5,0),""))</f>
        <v/>
      </c>
      <c r="F3550" s="79" t="str">
        <f t="shared" si="277"/>
        <v/>
      </c>
      <c r="G3550" s="395"/>
      <c r="H3550" s="91">
        <f t="shared" si="278"/>
        <v>0</v>
      </c>
      <c r="I3550" s="91" t="str">
        <f t="shared" si="279"/>
        <v/>
      </c>
      <c r="J3550" s="91" t="str">
        <f t="shared" si="280"/>
        <v/>
      </c>
      <c r="K3550" s="92" t="str">
        <f>IF(AND(A3550="",B3550="",D3550="",G3550=""),"",IF(AND(A3550&lt;&gt;"",COUNTIF($A$2:$A$5001,A3550)&gt;1),"NUMERO_PC duplicado",IF(B3550="","DATA_PC vazia",IF(NOT(ISNUMBER(B3550)),"DATA_PC invalida",IF(OR(C3550="",C3550="Fora dos ciclos"),"CICLO_PC nao identificado",IF(OR(D3550="",D3550=0),"VALOR_PC vazio ou zero",IF(AND(G3550&lt;&gt;"Sim",G3550&lt;&gt;"Nao",G3550&lt;&gt;""),"PC_PAGO_A_CONTRATADA invalido",IF(AND(C3550&lt;&gt;"C0",IFERROR(INDEX(parametros!$A$2:$A$6,MATCH(C3550,parametros!$B$2:$B$6,0)),"")="Sim",IFERROR(INDEX(parametros!$H$2:$H$6,MATCH(C3550,parametros!$B$2:$B$6,0)),"")=""),"INICIO_EFEITO ausente: PC "&amp;A3550&amp;" - "&amp;C3550,IF(L3550="","EFEITO_PC nao calculado: PC "&amp;A3550&amp;" - "&amp;C3550,"OK")))))))))</f>
        <v/>
      </c>
      <c r="L3550" s="92" t="str">
        <f>IF(AND(A3550="",B3550="",D3550="",G3550=""),"",IF(OR(B3550="",NOT(ISNUMBER(B3550)),C3550="",C3550="Fora dos ciclos"),"",IF(C3550="C0","Nao",IF(IFERROR(INDEX(parametros!$A$2:$A$6,MATCH(C3550,parametros!$B$2:$B$6,0)),"")&lt;&gt;"Sim","Nao",IF(IFERROR(INDEX(parametros!$H$2:$H$6,MATCH(C3550,parametros!$B$2:$B$6,0)),"")="","",IF(B3550&gt;=IFERROR(INDEX(parametros!$H$2:$H$6,MATCH(C3550,parametros!$B$2:$B$6,0)),""),"Sim","Nao"))))))</f>
        <v/>
      </c>
      <c r="T3550" s="156"/>
      <c r="U3550" s="214" t="str">
        <f t="shared" si="281"/>
        <v/>
      </c>
      <c r="V3550" s="212" t="s">
        <v>50</v>
      </c>
      <c r="W3550" s="100" t="s">
        <v>168</v>
      </c>
      <c r="X3550" s="100" t="s">
        <v>169</v>
      </c>
      <c r="Y3550" s="101" t="s">
        <v>170</v>
      </c>
      <c r="Z3550" s="101" t="s">
        <v>171</v>
      </c>
      <c r="AA3550" s="101" t="s">
        <v>50</v>
      </c>
      <c r="AB3550" s="101" t="s">
        <v>172</v>
      </c>
      <c r="AC3550" s="102" t="s">
        <v>173</v>
      </c>
    </row>
    <row r="3551" spans="1:29" ht="25.5" customHeight="1" x14ac:dyDescent="0.35">
      <c r="A3551" s="392"/>
      <c r="B3551" s="393"/>
      <c r="C3551" s="99" t="str">
        <f>IF(B3551="","",IF(NOT(ISNUMBER(B3551)),"DATA_PC invalida",IF(NOT(ISNUMBER(parametros!$C$2)),"Fora dos ciclos",IF(OR(B3551&lt;parametros!$C$2,(YEAR(B3551)-YEAR(parametros!$C$2))*12+MONTH(B3551)-MONTH(parametros!$C$2)&gt;59),"Fora dos ciclos","C"&amp;INT(((YEAR(B3551)-YEAR(parametros!$C$2))*12+MONTH(B3551)-MONTH(parametros!$C$2))/12)))))</f>
        <v/>
      </c>
      <c r="D3551" s="394"/>
      <c r="E3551" s="78" t="str">
        <f>IF(C3551="","",IFERROR(VLOOKUP(C3551,parametros!$A$11:$E$15,5,0),""))</f>
        <v/>
      </c>
      <c r="F3551" s="79" t="str">
        <f t="shared" si="277"/>
        <v/>
      </c>
      <c r="G3551" s="395"/>
      <c r="H3551" s="91">
        <f t="shared" si="278"/>
        <v>0</v>
      </c>
      <c r="I3551" s="91" t="str">
        <f t="shared" si="279"/>
        <v/>
      </c>
      <c r="J3551" s="91" t="str">
        <f t="shared" si="280"/>
        <v/>
      </c>
      <c r="K3551" s="92" t="str">
        <f>IF(AND(A3551="",B3551="",D3551="",G3551=""),"",IF(AND(A3551&lt;&gt;"",COUNTIF($A$2:$A$5001,A3551)&gt;1),"NUMERO_PC duplicado",IF(B3551="","DATA_PC vazia",IF(NOT(ISNUMBER(B3551)),"DATA_PC invalida",IF(OR(C3551="",C3551="Fora dos ciclos"),"CICLO_PC nao identificado",IF(OR(D3551="",D3551=0),"VALOR_PC vazio ou zero",IF(AND(G3551&lt;&gt;"Sim",G3551&lt;&gt;"Nao",G3551&lt;&gt;""),"PC_PAGO_A_CONTRATADA invalido",IF(AND(C3551&lt;&gt;"C0",IFERROR(INDEX(parametros!$A$2:$A$6,MATCH(C3551,parametros!$B$2:$B$6,0)),"")="Sim",IFERROR(INDEX(parametros!$H$2:$H$6,MATCH(C3551,parametros!$B$2:$B$6,0)),"")=""),"INICIO_EFEITO ausente: PC "&amp;A3551&amp;" - "&amp;C3551,IF(L3551="","EFEITO_PC nao calculado: PC "&amp;A3551&amp;" - "&amp;C3551,"OK")))))))))</f>
        <v/>
      </c>
      <c r="L3551" s="92" t="str">
        <f>IF(AND(A3551="",B3551="",D3551="",G3551=""),"",IF(OR(B3551="",NOT(ISNUMBER(B3551)),C3551="",C3551="Fora dos ciclos"),"",IF(C3551="C0","Nao",IF(IFERROR(INDEX(parametros!$A$2:$A$6,MATCH(C3551,parametros!$B$2:$B$6,0)),"")&lt;&gt;"Sim","Nao",IF(IFERROR(INDEX(parametros!$H$2:$H$6,MATCH(C3551,parametros!$B$2:$B$6,0)),"")="","",IF(B3551&gt;=IFERROR(INDEX(parametros!$H$2:$H$6,MATCH(C3551,parametros!$B$2:$B$6,0)),""),"Sim","Nao"))))))</f>
        <v/>
      </c>
      <c r="T3551" s="156"/>
      <c r="U3551" s="214" t="str">
        <f t="shared" si="281"/>
        <v/>
      </c>
      <c r="V3551" s="212" t="s">
        <v>50</v>
      </c>
      <c r="W3551" s="100" t="s">
        <v>168</v>
      </c>
      <c r="X3551" s="100" t="s">
        <v>169</v>
      </c>
      <c r="Y3551" s="101" t="s">
        <v>170</v>
      </c>
      <c r="Z3551" s="101" t="s">
        <v>171</v>
      </c>
      <c r="AA3551" s="101" t="s">
        <v>50</v>
      </c>
      <c r="AB3551" s="101" t="s">
        <v>172</v>
      </c>
      <c r="AC3551" s="102" t="s">
        <v>173</v>
      </c>
    </row>
    <row r="3552" spans="1:29" ht="25.5" customHeight="1" x14ac:dyDescent="0.35">
      <c r="A3552" s="392"/>
      <c r="B3552" s="393"/>
      <c r="C3552" s="99" t="str">
        <f>IF(B3552="","",IF(NOT(ISNUMBER(B3552)),"DATA_PC invalida",IF(NOT(ISNUMBER(parametros!$C$2)),"Fora dos ciclos",IF(OR(B3552&lt;parametros!$C$2,(YEAR(B3552)-YEAR(parametros!$C$2))*12+MONTH(B3552)-MONTH(parametros!$C$2)&gt;59),"Fora dos ciclos","C"&amp;INT(((YEAR(B3552)-YEAR(parametros!$C$2))*12+MONTH(B3552)-MONTH(parametros!$C$2))/12)))))</f>
        <v/>
      </c>
      <c r="D3552" s="394"/>
      <c r="E3552" s="78" t="str">
        <f>IF(C3552="","",IFERROR(VLOOKUP(C3552,parametros!$A$11:$E$15,5,0),""))</f>
        <v/>
      </c>
      <c r="F3552" s="79" t="str">
        <f t="shared" si="277"/>
        <v/>
      </c>
      <c r="G3552" s="395"/>
      <c r="H3552" s="91">
        <f t="shared" si="278"/>
        <v>0</v>
      </c>
      <c r="I3552" s="91" t="str">
        <f t="shared" si="279"/>
        <v/>
      </c>
      <c r="J3552" s="91" t="str">
        <f t="shared" si="280"/>
        <v/>
      </c>
      <c r="K3552" s="92" t="str">
        <f>IF(AND(A3552="",B3552="",D3552="",G3552=""),"",IF(AND(A3552&lt;&gt;"",COUNTIF($A$2:$A$5001,A3552)&gt;1),"NUMERO_PC duplicado",IF(B3552="","DATA_PC vazia",IF(NOT(ISNUMBER(B3552)),"DATA_PC invalida",IF(OR(C3552="",C3552="Fora dos ciclos"),"CICLO_PC nao identificado",IF(OR(D3552="",D3552=0),"VALOR_PC vazio ou zero",IF(AND(G3552&lt;&gt;"Sim",G3552&lt;&gt;"Nao",G3552&lt;&gt;""),"PC_PAGO_A_CONTRATADA invalido",IF(AND(C3552&lt;&gt;"C0",IFERROR(INDEX(parametros!$A$2:$A$6,MATCH(C3552,parametros!$B$2:$B$6,0)),"")="Sim",IFERROR(INDEX(parametros!$H$2:$H$6,MATCH(C3552,parametros!$B$2:$B$6,0)),"")=""),"INICIO_EFEITO ausente: PC "&amp;A3552&amp;" - "&amp;C3552,IF(L3552="","EFEITO_PC nao calculado: PC "&amp;A3552&amp;" - "&amp;C3552,"OK")))))))))</f>
        <v/>
      </c>
      <c r="L3552" s="92" t="str">
        <f>IF(AND(A3552="",B3552="",D3552="",G3552=""),"",IF(OR(B3552="",NOT(ISNUMBER(B3552)),C3552="",C3552="Fora dos ciclos"),"",IF(C3552="C0","Nao",IF(IFERROR(INDEX(parametros!$A$2:$A$6,MATCH(C3552,parametros!$B$2:$B$6,0)),"")&lt;&gt;"Sim","Nao",IF(IFERROR(INDEX(parametros!$H$2:$H$6,MATCH(C3552,parametros!$B$2:$B$6,0)),"")="","",IF(B3552&gt;=IFERROR(INDEX(parametros!$H$2:$H$6,MATCH(C3552,parametros!$B$2:$B$6,0)),""),"Sim","Nao"))))))</f>
        <v/>
      </c>
      <c r="T3552" s="156"/>
      <c r="U3552" s="214" t="str">
        <f t="shared" si="281"/>
        <v/>
      </c>
      <c r="V3552" s="212" t="s">
        <v>50</v>
      </c>
      <c r="W3552" s="100" t="s">
        <v>168</v>
      </c>
      <c r="X3552" s="100" t="s">
        <v>169</v>
      </c>
      <c r="Y3552" s="101" t="s">
        <v>170</v>
      </c>
      <c r="Z3552" s="101" t="s">
        <v>171</v>
      </c>
      <c r="AA3552" s="101" t="s">
        <v>50</v>
      </c>
      <c r="AB3552" s="101" t="s">
        <v>172</v>
      </c>
      <c r="AC3552" s="102" t="s">
        <v>173</v>
      </c>
    </row>
    <row r="3553" spans="1:29" ht="25.5" customHeight="1" x14ac:dyDescent="0.35">
      <c r="A3553" s="392"/>
      <c r="B3553" s="393"/>
      <c r="C3553" s="99" t="str">
        <f>IF(B3553="","",IF(NOT(ISNUMBER(B3553)),"DATA_PC invalida",IF(NOT(ISNUMBER(parametros!$C$2)),"Fora dos ciclos",IF(OR(B3553&lt;parametros!$C$2,(YEAR(B3553)-YEAR(parametros!$C$2))*12+MONTH(B3553)-MONTH(parametros!$C$2)&gt;59),"Fora dos ciclos","C"&amp;INT(((YEAR(B3553)-YEAR(parametros!$C$2))*12+MONTH(B3553)-MONTH(parametros!$C$2))/12)))))</f>
        <v/>
      </c>
      <c r="D3553" s="394"/>
      <c r="E3553" s="78" t="str">
        <f>IF(C3553="","",IFERROR(VLOOKUP(C3553,parametros!$A$11:$E$15,5,0),""))</f>
        <v/>
      </c>
      <c r="F3553" s="79" t="str">
        <f t="shared" si="277"/>
        <v/>
      </c>
      <c r="G3553" s="395"/>
      <c r="H3553" s="91">
        <f t="shared" si="278"/>
        <v>0</v>
      </c>
      <c r="I3553" s="91" t="str">
        <f t="shared" si="279"/>
        <v/>
      </c>
      <c r="J3553" s="91" t="str">
        <f t="shared" si="280"/>
        <v/>
      </c>
      <c r="K3553" s="92" t="str">
        <f>IF(AND(A3553="",B3553="",D3553="",G3553=""),"",IF(AND(A3553&lt;&gt;"",COUNTIF($A$2:$A$5001,A3553)&gt;1),"NUMERO_PC duplicado",IF(B3553="","DATA_PC vazia",IF(NOT(ISNUMBER(B3553)),"DATA_PC invalida",IF(OR(C3553="",C3553="Fora dos ciclos"),"CICLO_PC nao identificado",IF(OR(D3553="",D3553=0),"VALOR_PC vazio ou zero",IF(AND(G3553&lt;&gt;"Sim",G3553&lt;&gt;"Nao",G3553&lt;&gt;""),"PC_PAGO_A_CONTRATADA invalido",IF(AND(C3553&lt;&gt;"C0",IFERROR(INDEX(parametros!$A$2:$A$6,MATCH(C3553,parametros!$B$2:$B$6,0)),"")="Sim",IFERROR(INDEX(parametros!$H$2:$H$6,MATCH(C3553,parametros!$B$2:$B$6,0)),"")=""),"INICIO_EFEITO ausente: PC "&amp;A3553&amp;" - "&amp;C3553,IF(L3553="","EFEITO_PC nao calculado: PC "&amp;A3553&amp;" - "&amp;C3553,"OK")))))))))</f>
        <v/>
      </c>
      <c r="L3553" s="92" t="str">
        <f>IF(AND(A3553="",B3553="",D3553="",G3553=""),"",IF(OR(B3553="",NOT(ISNUMBER(B3553)),C3553="",C3553="Fora dos ciclos"),"",IF(C3553="C0","Nao",IF(IFERROR(INDEX(parametros!$A$2:$A$6,MATCH(C3553,parametros!$B$2:$B$6,0)),"")&lt;&gt;"Sim","Nao",IF(IFERROR(INDEX(parametros!$H$2:$H$6,MATCH(C3553,parametros!$B$2:$B$6,0)),"")="","",IF(B3553&gt;=IFERROR(INDEX(parametros!$H$2:$H$6,MATCH(C3553,parametros!$B$2:$B$6,0)),""),"Sim","Nao"))))))</f>
        <v/>
      </c>
      <c r="T3553" s="156"/>
      <c r="U3553" s="214" t="str">
        <f t="shared" si="281"/>
        <v/>
      </c>
      <c r="V3553" s="212" t="s">
        <v>50</v>
      </c>
      <c r="W3553" s="100" t="s">
        <v>168</v>
      </c>
      <c r="X3553" s="100" t="s">
        <v>169</v>
      </c>
      <c r="Y3553" s="101" t="s">
        <v>170</v>
      </c>
      <c r="Z3553" s="101" t="s">
        <v>171</v>
      </c>
      <c r="AA3553" s="101" t="s">
        <v>50</v>
      </c>
      <c r="AB3553" s="101" t="s">
        <v>172</v>
      </c>
      <c r="AC3553" s="102" t="s">
        <v>173</v>
      </c>
    </row>
    <row r="3554" spans="1:29" ht="25.5" customHeight="1" x14ac:dyDescent="0.35">
      <c r="A3554" s="392"/>
      <c r="B3554" s="393"/>
      <c r="C3554" s="99" t="str">
        <f>IF(B3554="","",IF(NOT(ISNUMBER(B3554)),"DATA_PC invalida",IF(NOT(ISNUMBER(parametros!$C$2)),"Fora dos ciclos",IF(OR(B3554&lt;parametros!$C$2,(YEAR(B3554)-YEAR(parametros!$C$2))*12+MONTH(B3554)-MONTH(parametros!$C$2)&gt;59),"Fora dos ciclos","C"&amp;INT(((YEAR(B3554)-YEAR(parametros!$C$2))*12+MONTH(B3554)-MONTH(parametros!$C$2))/12)))))</f>
        <v/>
      </c>
      <c r="D3554" s="394"/>
      <c r="E3554" s="78" t="str">
        <f>IF(C3554="","",IFERROR(VLOOKUP(C3554,parametros!$A$11:$E$15,5,0),""))</f>
        <v/>
      </c>
      <c r="F3554" s="79" t="str">
        <f t="shared" si="277"/>
        <v/>
      </c>
      <c r="G3554" s="395"/>
      <c r="H3554" s="91">
        <f t="shared" si="278"/>
        <v>0</v>
      </c>
      <c r="I3554" s="91" t="str">
        <f t="shared" si="279"/>
        <v/>
      </c>
      <c r="J3554" s="91" t="str">
        <f t="shared" si="280"/>
        <v/>
      </c>
      <c r="K3554" s="92" t="str">
        <f>IF(AND(A3554="",B3554="",D3554="",G3554=""),"",IF(AND(A3554&lt;&gt;"",COUNTIF($A$2:$A$5001,A3554)&gt;1),"NUMERO_PC duplicado",IF(B3554="","DATA_PC vazia",IF(NOT(ISNUMBER(B3554)),"DATA_PC invalida",IF(OR(C3554="",C3554="Fora dos ciclos"),"CICLO_PC nao identificado",IF(OR(D3554="",D3554=0),"VALOR_PC vazio ou zero",IF(AND(G3554&lt;&gt;"Sim",G3554&lt;&gt;"Nao",G3554&lt;&gt;""),"PC_PAGO_A_CONTRATADA invalido",IF(AND(C3554&lt;&gt;"C0",IFERROR(INDEX(parametros!$A$2:$A$6,MATCH(C3554,parametros!$B$2:$B$6,0)),"")="Sim",IFERROR(INDEX(parametros!$H$2:$H$6,MATCH(C3554,parametros!$B$2:$B$6,0)),"")=""),"INICIO_EFEITO ausente: PC "&amp;A3554&amp;" - "&amp;C3554,IF(L3554="","EFEITO_PC nao calculado: PC "&amp;A3554&amp;" - "&amp;C3554,"OK")))))))))</f>
        <v/>
      </c>
      <c r="L3554" s="92" t="str">
        <f>IF(AND(A3554="",B3554="",D3554="",G3554=""),"",IF(OR(B3554="",NOT(ISNUMBER(B3554)),C3554="",C3554="Fora dos ciclos"),"",IF(C3554="C0","Nao",IF(IFERROR(INDEX(parametros!$A$2:$A$6,MATCH(C3554,parametros!$B$2:$B$6,0)),"")&lt;&gt;"Sim","Nao",IF(IFERROR(INDEX(parametros!$H$2:$H$6,MATCH(C3554,parametros!$B$2:$B$6,0)),"")="","",IF(B3554&gt;=IFERROR(INDEX(parametros!$H$2:$H$6,MATCH(C3554,parametros!$B$2:$B$6,0)),""),"Sim","Nao"))))))</f>
        <v/>
      </c>
      <c r="T3554" s="156"/>
      <c r="U3554" s="214" t="str">
        <f t="shared" si="281"/>
        <v/>
      </c>
      <c r="V3554" s="212" t="s">
        <v>50</v>
      </c>
      <c r="W3554" s="100" t="s">
        <v>168</v>
      </c>
      <c r="X3554" s="100" t="s">
        <v>169</v>
      </c>
      <c r="Y3554" s="101" t="s">
        <v>170</v>
      </c>
      <c r="Z3554" s="101" t="s">
        <v>171</v>
      </c>
      <c r="AA3554" s="101" t="s">
        <v>50</v>
      </c>
      <c r="AB3554" s="101" t="s">
        <v>172</v>
      </c>
      <c r="AC3554" s="102" t="s">
        <v>173</v>
      </c>
    </row>
    <row r="3555" spans="1:29" ht="25.5" customHeight="1" x14ac:dyDescent="0.35">
      <c r="A3555" s="392"/>
      <c r="B3555" s="393"/>
      <c r="C3555" s="99" t="str">
        <f>IF(B3555="","",IF(NOT(ISNUMBER(B3555)),"DATA_PC invalida",IF(NOT(ISNUMBER(parametros!$C$2)),"Fora dos ciclos",IF(OR(B3555&lt;parametros!$C$2,(YEAR(B3555)-YEAR(parametros!$C$2))*12+MONTH(B3555)-MONTH(parametros!$C$2)&gt;59),"Fora dos ciclos","C"&amp;INT(((YEAR(B3555)-YEAR(parametros!$C$2))*12+MONTH(B3555)-MONTH(parametros!$C$2))/12)))))</f>
        <v/>
      </c>
      <c r="D3555" s="394"/>
      <c r="E3555" s="78" t="str">
        <f>IF(C3555="","",IFERROR(VLOOKUP(C3555,parametros!$A$11:$E$15,5,0),""))</f>
        <v/>
      </c>
      <c r="F3555" s="79" t="str">
        <f t="shared" si="277"/>
        <v/>
      </c>
      <c r="G3555" s="395"/>
      <c r="H3555" s="91">
        <f t="shared" si="278"/>
        <v>0</v>
      </c>
      <c r="I3555" s="91" t="str">
        <f t="shared" si="279"/>
        <v/>
      </c>
      <c r="J3555" s="91" t="str">
        <f t="shared" si="280"/>
        <v/>
      </c>
      <c r="K3555" s="92" t="str">
        <f>IF(AND(A3555="",B3555="",D3555="",G3555=""),"",IF(AND(A3555&lt;&gt;"",COUNTIF($A$2:$A$5001,A3555)&gt;1),"NUMERO_PC duplicado",IF(B3555="","DATA_PC vazia",IF(NOT(ISNUMBER(B3555)),"DATA_PC invalida",IF(OR(C3555="",C3555="Fora dos ciclos"),"CICLO_PC nao identificado",IF(OR(D3555="",D3555=0),"VALOR_PC vazio ou zero",IF(AND(G3555&lt;&gt;"Sim",G3555&lt;&gt;"Nao",G3555&lt;&gt;""),"PC_PAGO_A_CONTRATADA invalido",IF(AND(C3555&lt;&gt;"C0",IFERROR(INDEX(parametros!$A$2:$A$6,MATCH(C3555,parametros!$B$2:$B$6,0)),"")="Sim",IFERROR(INDEX(parametros!$H$2:$H$6,MATCH(C3555,parametros!$B$2:$B$6,0)),"")=""),"INICIO_EFEITO ausente: PC "&amp;A3555&amp;" - "&amp;C3555,IF(L3555="","EFEITO_PC nao calculado: PC "&amp;A3555&amp;" - "&amp;C3555,"OK")))))))))</f>
        <v/>
      </c>
      <c r="L3555" s="92" t="str">
        <f>IF(AND(A3555="",B3555="",D3555="",G3555=""),"",IF(OR(B3555="",NOT(ISNUMBER(B3555)),C3555="",C3555="Fora dos ciclos"),"",IF(C3555="C0","Nao",IF(IFERROR(INDEX(parametros!$A$2:$A$6,MATCH(C3555,parametros!$B$2:$B$6,0)),"")&lt;&gt;"Sim","Nao",IF(IFERROR(INDEX(parametros!$H$2:$H$6,MATCH(C3555,parametros!$B$2:$B$6,0)),"")="","",IF(B3555&gt;=IFERROR(INDEX(parametros!$H$2:$H$6,MATCH(C3555,parametros!$B$2:$B$6,0)),""),"Sim","Nao"))))))</f>
        <v/>
      </c>
      <c r="T3555" s="156"/>
      <c r="U3555" s="214" t="str">
        <f t="shared" si="281"/>
        <v/>
      </c>
      <c r="V3555" s="212" t="s">
        <v>50</v>
      </c>
      <c r="W3555" s="100" t="s">
        <v>168</v>
      </c>
      <c r="X3555" s="100" t="s">
        <v>169</v>
      </c>
      <c r="Y3555" s="101" t="s">
        <v>170</v>
      </c>
      <c r="Z3555" s="101" t="s">
        <v>171</v>
      </c>
      <c r="AA3555" s="101" t="s">
        <v>50</v>
      </c>
      <c r="AB3555" s="101" t="s">
        <v>172</v>
      </c>
      <c r="AC3555" s="102" t="s">
        <v>173</v>
      </c>
    </row>
    <row r="3556" spans="1:29" ht="25.5" customHeight="1" x14ac:dyDescent="0.35">
      <c r="A3556" s="392"/>
      <c r="B3556" s="393"/>
      <c r="C3556" s="99" t="str">
        <f>IF(B3556="","",IF(NOT(ISNUMBER(B3556)),"DATA_PC invalida",IF(NOT(ISNUMBER(parametros!$C$2)),"Fora dos ciclos",IF(OR(B3556&lt;parametros!$C$2,(YEAR(B3556)-YEAR(parametros!$C$2))*12+MONTH(B3556)-MONTH(parametros!$C$2)&gt;59),"Fora dos ciclos","C"&amp;INT(((YEAR(B3556)-YEAR(parametros!$C$2))*12+MONTH(B3556)-MONTH(parametros!$C$2))/12)))))</f>
        <v/>
      </c>
      <c r="D3556" s="394"/>
      <c r="E3556" s="78" t="str">
        <f>IF(C3556="","",IFERROR(VLOOKUP(C3556,parametros!$A$11:$E$15,5,0),""))</f>
        <v/>
      </c>
      <c r="F3556" s="79" t="str">
        <f t="shared" si="277"/>
        <v/>
      </c>
      <c r="G3556" s="395"/>
      <c r="H3556" s="91">
        <f t="shared" si="278"/>
        <v>0</v>
      </c>
      <c r="I3556" s="91" t="str">
        <f t="shared" si="279"/>
        <v/>
      </c>
      <c r="J3556" s="91" t="str">
        <f t="shared" si="280"/>
        <v/>
      </c>
      <c r="K3556" s="92" t="str">
        <f>IF(AND(A3556="",B3556="",D3556="",G3556=""),"",IF(AND(A3556&lt;&gt;"",COUNTIF($A$2:$A$5001,A3556)&gt;1),"NUMERO_PC duplicado",IF(B3556="","DATA_PC vazia",IF(NOT(ISNUMBER(B3556)),"DATA_PC invalida",IF(OR(C3556="",C3556="Fora dos ciclos"),"CICLO_PC nao identificado",IF(OR(D3556="",D3556=0),"VALOR_PC vazio ou zero",IF(AND(G3556&lt;&gt;"Sim",G3556&lt;&gt;"Nao",G3556&lt;&gt;""),"PC_PAGO_A_CONTRATADA invalido",IF(AND(C3556&lt;&gt;"C0",IFERROR(INDEX(parametros!$A$2:$A$6,MATCH(C3556,parametros!$B$2:$B$6,0)),"")="Sim",IFERROR(INDEX(parametros!$H$2:$H$6,MATCH(C3556,parametros!$B$2:$B$6,0)),"")=""),"INICIO_EFEITO ausente: PC "&amp;A3556&amp;" - "&amp;C3556,IF(L3556="","EFEITO_PC nao calculado: PC "&amp;A3556&amp;" - "&amp;C3556,"OK")))))))))</f>
        <v/>
      </c>
      <c r="L3556" s="92" t="str">
        <f>IF(AND(A3556="",B3556="",D3556="",G3556=""),"",IF(OR(B3556="",NOT(ISNUMBER(B3556)),C3556="",C3556="Fora dos ciclos"),"",IF(C3556="C0","Nao",IF(IFERROR(INDEX(parametros!$A$2:$A$6,MATCH(C3556,parametros!$B$2:$B$6,0)),"")&lt;&gt;"Sim","Nao",IF(IFERROR(INDEX(parametros!$H$2:$H$6,MATCH(C3556,parametros!$B$2:$B$6,0)),"")="","",IF(B3556&gt;=IFERROR(INDEX(parametros!$H$2:$H$6,MATCH(C3556,parametros!$B$2:$B$6,0)),""),"Sim","Nao"))))))</f>
        <v/>
      </c>
      <c r="T3556" s="156"/>
      <c r="U3556" s="214" t="str">
        <f t="shared" si="281"/>
        <v/>
      </c>
      <c r="V3556" s="212" t="s">
        <v>50</v>
      </c>
      <c r="W3556" s="100" t="s">
        <v>168</v>
      </c>
      <c r="X3556" s="100" t="s">
        <v>169</v>
      </c>
      <c r="Y3556" s="101" t="s">
        <v>170</v>
      </c>
      <c r="Z3556" s="101" t="s">
        <v>171</v>
      </c>
      <c r="AA3556" s="101" t="s">
        <v>50</v>
      </c>
      <c r="AB3556" s="101" t="s">
        <v>172</v>
      </c>
      <c r="AC3556" s="102" t="s">
        <v>173</v>
      </c>
    </row>
    <row r="3557" spans="1:29" ht="25.5" customHeight="1" x14ac:dyDescent="0.35">
      <c r="A3557" s="392"/>
      <c r="B3557" s="393"/>
      <c r="C3557" s="99" t="str">
        <f>IF(B3557="","",IF(NOT(ISNUMBER(B3557)),"DATA_PC invalida",IF(NOT(ISNUMBER(parametros!$C$2)),"Fora dos ciclos",IF(OR(B3557&lt;parametros!$C$2,(YEAR(B3557)-YEAR(parametros!$C$2))*12+MONTH(B3557)-MONTH(parametros!$C$2)&gt;59),"Fora dos ciclos","C"&amp;INT(((YEAR(B3557)-YEAR(parametros!$C$2))*12+MONTH(B3557)-MONTH(parametros!$C$2))/12)))))</f>
        <v/>
      </c>
      <c r="D3557" s="394"/>
      <c r="E3557" s="78" t="str">
        <f>IF(C3557="","",IFERROR(VLOOKUP(C3557,parametros!$A$11:$E$15,5,0),""))</f>
        <v/>
      </c>
      <c r="F3557" s="79" t="str">
        <f t="shared" si="277"/>
        <v/>
      </c>
      <c r="G3557" s="395"/>
      <c r="H3557" s="91">
        <f t="shared" si="278"/>
        <v>0</v>
      </c>
      <c r="I3557" s="91" t="str">
        <f t="shared" si="279"/>
        <v/>
      </c>
      <c r="J3557" s="91" t="str">
        <f t="shared" si="280"/>
        <v/>
      </c>
      <c r="K3557" s="92" t="str">
        <f>IF(AND(A3557="",B3557="",D3557="",G3557=""),"",IF(AND(A3557&lt;&gt;"",COUNTIF($A$2:$A$5001,A3557)&gt;1),"NUMERO_PC duplicado",IF(B3557="","DATA_PC vazia",IF(NOT(ISNUMBER(B3557)),"DATA_PC invalida",IF(OR(C3557="",C3557="Fora dos ciclos"),"CICLO_PC nao identificado",IF(OR(D3557="",D3557=0),"VALOR_PC vazio ou zero",IF(AND(G3557&lt;&gt;"Sim",G3557&lt;&gt;"Nao",G3557&lt;&gt;""),"PC_PAGO_A_CONTRATADA invalido",IF(AND(C3557&lt;&gt;"C0",IFERROR(INDEX(parametros!$A$2:$A$6,MATCH(C3557,parametros!$B$2:$B$6,0)),"")="Sim",IFERROR(INDEX(parametros!$H$2:$H$6,MATCH(C3557,parametros!$B$2:$B$6,0)),"")=""),"INICIO_EFEITO ausente: PC "&amp;A3557&amp;" - "&amp;C3557,IF(L3557="","EFEITO_PC nao calculado: PC "&amp;A3557&amp;" - "&amp;C3557,"OK")))))))))</f>
        <v/>
      </c>
      <c r="L3557" s="92" t="str">
        <f>IF(AND(A3557="",B3557="",D3557="",G3557=""),"",IF(OR(B3557="",NOT(ISNUMBER(B3557)),C3557="",C3557="Fora dos ciclos"),"",IF(C3557="C0","Nao",IF(IFERROR(INDEX(parametros!$A$2:$A$6,MATCH(C3557,parametros!$B$2:$B$6,0)),"")&lt;&gt;"Sim","Nao",IF(IFERROR(INDEX(parametros!$H$2:$H$6,MATCH(C3557,parametros!$B$2:$B$6,0)),"")="","",IF(B3557&gt;=IFERROR(INDEX(parametros!$H$2:$H$6,MATCH(C3557,parametros!$B$2:$B$6,0)),""),"Sim","Nao"))))))</f>
        <v/>
      </c>
      <c r="T3557" s="156"/>
      <c r="U3557" s="214" t="str">
        <f t="shared" si="281"/>
        <v/>
      </c>
      <c r="V3557" s="212" t="s">
        <v>50</v>
      </c>
      <c r="W3557" s="100" t="s">
        <v>168</v>
      </c>
      <c r="X3557" s="100" t="s">
        <v>169</v>
      </c>
      <c r="Y3557" s="101" t="s">
        <v>170</v>
      </c>
      <c r="Z3557" s="101" t="s">
        <v>171</v>
      </c>
      <c r="AA3557" s="101" t="s">
        <v>50</v>
      </c>
      <c r="AB3557" s="101" t="s">
        <v>172</v>
      </c>
      <c r="AC3557" s="102" t="s">
        <v>173</v>
      </c>
    </row>
    <row r="3558" spans="1:29" ht="25.5" customHeight="1" x14ac:dyDescent="0.35">
      <c r="A3558" s="392"/>
      <c r="B3558" s="393"/>
      <c r="C3558" s="99" t="str">
        <f>IF(B3558="","",IF(NOT(ISNUMBER(B3558)),"DATA_PC invalida",IF(NOT(ISNUMBER(parametros!$C$2)),"Fora dos ciclos",IF(OR(B3558&lt;parametros!$C$2,(YEAR(B3558)-YEAR(parametros!$C$2))*12+MONTH(B3558)-MONTH(parametros!$C$2)&gt;59),"Fora dos ciclos","C"&amp;INT(((YEAR(B3558)-YEAR(parametros!$C$2))*12+MONTH(B3558)-MONTH(parametros!$C$2))/12)))))</f>
        <v/>
      </c>
      <c r="D3558" s="394"/>
      <c r="E3558" s="78" t="str">
        <f>IF(C3558="","",IFERROR(VLOOKUP(C3558,parametros!$A$11:$E$15,5,0),""))</f>
        <v/>
      </c>
      <c r="F3558" s="79" t="str">
        <f t="shared" si="277"/>
        <v/>
      </c>
      <c r="G3558" s="395"/>
      <c r="H3558" s="91">
        <f t="shared" si="278"/>
        <v>0</v>
      </c>
      <c r="I3558" s="91" t="str">
        <f t="shared" si="279"/>
        <v/>
      </c>
      <c r="J3558" s="91" t="str">
        <f t="shared" si="280"/>
        <v/>
      </c>
      <c r="K3558" s="92" t="str">
        <f>IF(AND(A3558="",B3558="",D3558="",G3558=""),"",IF(AND(A3558&lt;&gt;"",COUNTIF($A$2:$A$5001,A3558)&gt;1),"NUMERO_PC duplicado",IF(B3558="","DATA_PC vazia",IF(NOT(ISNUMBER(B3558)),"DATA_PC invalida",IF(OR(C3558="",C3558="Fora dos ciclos"),"CICLO_PC nao identificado",IF(OR(D3558="",D3558=0),"VALOR_PC vazio ou zero",IF(AND(G3558&lt;&gt;"Sim",G3558&lt;&gt;"Nao",G3558&lt;&gt;""),"PC_PAGO_A_CONTRATADA invalido",IF(AND(C3558&lt;&gt;"C0",IFERROR(INDEX(parametros!$A$2:$A$6,MATCH(C3558,parametros!$B$2:$B$6,0)),"")="Sim",IFERROR(INDEX(parametros!$H$2:$H$6,MATCH(C3558,parametros!$B$2:$B$6,0)),"")=""),"INICIO_EFEITO ausente: PC "&amp;A3558&amp;" - "&amp;C3558,IF(L3558="","EFEITO_PC nao calculado: PC "&amp;A3558&amp;" - "&amp;C3558,"OK")))))))))</f>
        <v/>
      </c>
      <c r="L3558" s="92" t="str">
        <f>IF(AND(A3558="",B3558="",D3558="",G3558=""),"",IF(OR(B3558="",NOT(ISNUMBER(B3558)),C3558="",C3558="Fora dos ciclos"),"",IF(C3558="C0","Nao",IF(IFERROR(INDEX(parametros!$A$2:$A$6,MATCH(C3558,parametros!$B$2:$B$6,0)),"")&lt;&gt;"Sim","Nao",IF(IFERROR(INDEX(parametros!$H$2:$H$6,MATCH(C3558,parametros!$B$2:$B$6,0)),"")="","",IF(B3558&gt;=IFERROR(INDEX(parametros!$H$2:$H$6,MATCH(C3558,parametros!$B$2:$B$6,0)),""),"Sim","Nao"))))))</f>
        <v/>
      </c>
      <c r="T3558" s="156"/>
      <c r="U3558" s="214" t="str">
        <f t="shared" si="281"/>
        <v/>
      </c>
      <c r="V3558" s="212" t="s">
        <v>50</v>
      </c>
      <c r="W3558" s="100" t="s">
        <v>168</v>
      </c>
      <c r="X3558" s="100" t="s">
        <v>169</v>
      </c>
      <c r="Y3558" s="101" t="s">
        <v>170</v>
      </c>
      <c r="Z3558" s="101" t="s">
        <v>171</v>
      </c>
      <c r="AA3558" s="101" t="s">
        <v>50</v>
      </c>
      <c r="AB3558" s="101" t="s">
        <v>172</v>
      </c>
      <c r="AC3558" s="102" t="s">
        <v>173</v>
      </c>
    </row>
    <row r="3559" spans="1:29" ht="25.5" customHeight="1" x14ac:dyDescent="0.35">
      <c r="A3559" s="392"/>
      <c r="B3559" s="393"/>
      <c r="C3559" s="99" t="str">
        <f>IF(B3559="","",IF(NOT(ISNUMBER(B3559)),"DATA_PC invalida",IF(NOT(ISNUMBER(parametros!$C$2)),"Fora dos ciclos",IF(OR(B3559&lt;parametros!$C$2,(YEAR(B3559)-YEAR(parametros!$C$2))*12+MONTH(B3559)-MONTH(parametros!$C$2)&gt;59),"Fora dos ciclos","C"&amp;INT(((YEAR(B3559)-YEAR(parametros!$C$2))*12+MONTH(B3559)-MONTH(parametros!$C$2))/12)))))</f>
        <v/>
      </c>
      <c r="D3559" s="394"/>
      <c r="E3559" s="78" t="str">
        <f>IF(C3559="","",IFERROR(VLOOKUP(C3559,parametros!$A$11:$E$15,5,0),""))</f>
        <v/>
      </c>
      <c r="F3559" s="79" t="str">
        <f t="shared" si="277"/>
        <v/>
      </c>
      <c r="G3559" s="395"/>
      <c r="H3559" s="91">
        <f t="shared" si="278"/>
        <v>0</v>
      </c>
      <c r="I3559" s="91" t="str">
        <f t="shared" si="279"/>
        <v/>
      </c>
      <c r="J3559" s="91" t="str">
        <f t="shared" si="280"/>
        <v/>
      </c>
      <c r="K3559" s="92" t="str">
        <f>IF(AND(A3559="",B3559="",D3559="",G3559=""),"",IF(AND(A3559&lt;&gt;"",COUNTIF($A$2:$A$5001,A3559)&gt;1),"NUMERO_PC duplicado",IF(B3559="","DATA_PC vazia",IF(NOT(ISNUMBER(B3559)),"DATA_PC invalida",IF(OR(C3559="",C3559="Fora dos ciclos"),"CICLO_PC nao identificado",IF(OR(D3559="",D3559=0),"VALOR_PC vazio ou zero",IF(AND(G3559&lt;&gt;"Sim",G3559&lt;&gt;"Nao",G3559&lt;&gt;""),"PC_PAGO_A_CONTRATADA invalido",IF(AND(C3559&lt;&gt;"C0",IFERROR(INDEX(parametros!$A$2:$A$6,MATCH(C3559,parametros!$B$2:$B$6,0)),"")="Sim",IFERROR(INDEX(parametros!$H$2:$H$6,MATCH(C3559,parametros!$B$2:$B$6,0)),"")=""),"INICIO_EFEITO ausente: PC "&amp;A3559&amp;" - "&amp;C3559,IF(L3559="","EFEITO_PC nao calculado: PC "&amp;A3559&amp;" - "&amp;C3559,"OK")))))))))</f>
        <v/>
      </c>
      <c r="L3559" s="92" t="str">
        <f>IF(AND(A3559="",B3559="",D3559="",G3559=""),"",IF(OR(B3559="",NOT(ISNUMBER(B3559)),C3559="",C3559="Fora dos ciclos"),"",IF(C3559="C0","Nao",IF(IFERROR(INDEX(parametros!$A$2:$A$6,MATCH(C3559,parametros!$B$2:$B$6,0)),"")&lt;&gt;"Sim","Nao",IF(IFERROR(INDEX(parametros!$H$2:$H$6,MATCH(C3559,parametros!$B$2:$B$6,0)),"")="","",IF(B3559&gt;=IFERROR(INDEX(parametros!$H$2:$H$6,MATCH(C3559,parametros!$B$2:$B$6,0)),""),"Sim","Nao"))))))</f>
        <v/>
      </c>
      <c r="T3559" s="156"/>
      <c r="U3559" s="214" t="str">
        <f t="shared" si="281"/>
        <v/>
      </c>
      <c r="V3559" s="212" t="s">
        <v>50</v>
      </c>
      <c r="W3559" s="100" t="s">
        <v>168</v>
      </c>
      <c r="X3559" s="100" t="s">
        <v>169</v>
      </c>
      <c r="Y3559" s="101" t="s">
        <v>170</v>
      </c>
      <c r="Z3559" s="101" t="s">
        <v>171</v>
      </c>
      <c r="AA3559" s="101" t="s">
        <v>50</v>
      </c>
      <c r="AB3559" s="101" t="s">
        <v>172</v>
      </c>
      <c r="AC3559" s="102" t="s">
        <v>173</v>
      </c>
    </row>
    <row r="3560" spans="1:29" ht="25.5" customHeight="1" x14ac:dyDescent="0.35">
      <c r="A3560" s="392"/>
      <c r="B3560" s="393"/>
      <c r="C3560" s="99" t="str">
        <f>IF(B3560="","",IF(NOT(ISNUMBER(B3560)),"DATA_PC invalida",IF(NOT(ISNUMBER(parametros!$C$2)),"Fora dos ciclos",IF(OR(B3560&lt;parametros!$C$2,(YEAR(B3560)-YEAR(parametros!$C$2))*12+MONTH(B3560)-MONTH(parametros!$C$2)&gt;59),"Fora dos ciclos","C"&amp;INT(((YEAR(B3560)-YEAR(parametros!$C$2))*12+MONTH(B3560)-MONTH(parametros!$C$2))/12)))))</f>
        <v/>
      </c>
      <c r="D3560" s="394"/>
      <c r="E3560" s="78" t="str">
        <f>IF(C3560="","",IFERROR(VLOOKUP(C3560,parametros!$A$11:$E$15,5,0),""))</f>
        <v/>
      </c>
      <c r="F3560" s="79" t="str">
        <f t="shared" si="277"/>
        <v/>
      </c>
      <c r="G3560" s="395"/>
      <c r="H3560" s="91">
        <f t="shared" si="278"/>
        <v>0</v>
      </c>
      <c r="I3560" s="91" t="str">
        <f t="shared" si="279"/>
        <v/>
      </c>
      <c r="J3560" s="91" t="str">
        <f t="shared" si="280"/>
        <v/>
      </c>
      <c r="K3560" s="92" t="str">
        <f>IF(AND(A3560="",B3560="",D3560="",G3560=""),"",IF(AND(A3560&lt;&gt;"",COUNTIF($A$2:$A$5001,A3560)&gt;1),"NUMERO_PC duplicado",IF(B3560="","DATA_PC vazia",IF(NOT(ISNUMBER(B3560)),"DATA_PC invalida",IF(OR(C3560="",C3560="Fora dos ciclos"),"CICLO_PC nao identificado",IF(OR(D3560="",D3560=0),"VALOR_PC vazio ou zero",IF(AND(G3560&lt;&gt;"Sim",G3560&lt;&gt;"Nao",G3560&lt;&gt;""),"PC_PAGO_A_CONTRATADA invalido",IF(AND(C3560&lt;&gt;"C0",IFERROR(INDEX(parametros!$A$2:$A$6,MATCH(C3560,parametros!$B$2:$B$6,0)),"")="Sim",IFERROR(INDEX(parametros!$H$2:$H$6,MATCH(C3560,parametros!$B$2:$B$6,0)),"")=""),"INICIO_EFEITO ausente: PC "&amp;A3560&amp;" - "&amp;C3560,IF(L3560="","EFEITO_PC nao calculado: PC "&amp;A3560&amp;" - "&amp;C3560,"OK")))))))))</f>
        <v/>
      </c>
      <c r="L3560" s="92" t="str">
        <f>IF(AND(A3560="",B3560="",D3560="",G3560=""),"",IF(OR(B3560="",NOT(ISNUMBER(B3560)),C3560="",C3560="Fora dos ciclos"),"",IF(C3560="C0","Nao",IF(IFERROR(INDEX(parametros!$A$2:$A$6,MATCH(C3560,parametros!$B$2:$B$6,0)),"")&lt;&gt;"Sim","Nao",IF(IFERROR(INDEX(parametros!$H$2:$H$6,MATCH(C3560,parametros!$B$2:$B$6,0)),"")="","",IF(B3560&gt;=IFERROR(INDEX(parametros!$H$2:$H$6,MATCH(C3560,parametros!$B$2:$B$6,0)),""),"Sim","Nao"))))))</f>
        <v/>
      </c>
      <c r="T3560" s="156"/>
      <c r="U3560" s="214" t="str">
        <f t="shared" si="281"/>
        <v/>
      </c>
      <c r="V3560" s="212" t="s">
        <v>50</v>
      </c>
      <c r="W3560" s="100" t="s">
        <v>168</v>
      </c>
      <c r="X3560" s="100" t="s">
        <v>169</v>
      </c>
      <c r="Y3560" s="101" t="s">
        <v>170</v>
      </c>
      <c r="Z3560" s="101" t="s">
        <v>171</v>
      </c>
      <c r="AA3560" s="101" t="s">
        <v>50</v>
      </c>
      <c r="AB3560" s="101" t="s">
        <v>172</v>
      </c>
      <c r="AC3560" s="102" t="s">
        <v>173</v>
      </c>
    </row>
    <row r="3561" spans="1:29" ht="25.5" customHeight="1" x14ac:dyDescent="0.35">
      <c r="A3561" s="392"/>
      <c r="B3561" s="393"/>
      <c r="C3561" s="99" t="str">
        <f>IF(B3561="","",IF(NOT(ISNUMBER(B3561)),"DATA_PC invalida",IF(NOT(ISNUMBER(parametros!$C$2)),"Fora dos ciclos",IF(OR(B3561&lt;parametros!$C$2,(YEAR(B3561)-YEAR(parametros!$C$2))*12+MONTH(B3561)-MONTH(parametros!$C$2)&gt;59),"Fora dos ciclos","C"&amp;INT(((YEAR(B3561)-YEAR(parametros!$C$2))*12+MONTH(B3561)-MONTH(parametros!$C$2))/12)))))</f>
        <v/>
      </c>
      <c r="D3561" s="394"/>
      <c r="E3561" s="78" t="str">
        <f>IF(C3561="","",IFERROR(VLOOKUP(C3561,parametros!$A$11:$E$15,5,0),""))</f>
        <v/>
      </c>
      <c r="F3561" s="79" t="str">
        <f t="shared" si="277"/>
        <v/>
      </c>
      <c r="G3561" s="395"/>
      <c r="H3561" s="91">
        <f t="shared" si="278"/>
        <v>0</v>
      </c>
      <c r="I3561" s="91" t="str">
        <f t="shared" si="279"/>
        <v/>
      </c>
      <c r="J3561" s="91" t="str">
        <f t="shared" si="280"/>
        <v/>
      </c>
      <c r="K3561" s="92" t="str">
        <f>IF(AND(A3561="",B3561="",D3561="",G3561=""),"",IF(AND(A3561&lt;&gt;"",COUNTIF($A$2:$A$5001,A3561)&gt;1),"NUMERO_PC duplicado",IF(B3561="","DATA_PC vazia",IF(NOT(ISNUMBER(B3561)),"DATA_PC invalida",IF(OR(C3561="",C3561="Fora dos ciclos"),"CICLO_PC nao identificado",IF(OR(D3561="",D3561=0),"VALOR_PC vazio ou zero",IF(AND(G3561&lt;&gt;"Sim",G3561&lt;&gt;"Nao",G3561&lt;&gt;""),"PC_PAGO_A_CONTRATADA invalido",IF(AND(C3561&lt;&gt;"C0",IFERROR(INDEX(parametros!$A$2:$A$6,MATCH(C3561,parametros!$B$2:$B$6,0)),"")="Sim",IFERROR(INDEX(parametros!$H$2:$H$6,MATCH(C3561,parametros!$B$2:$B$6,0)),"")=""),"INICIO_EFEITO ausente: PC "&amp;A3561&amp;" - "&amp;C3561,IF(L3561="","EFEITO_PC nao calculado: PC "&amp;A3561&amp;" - "&amp;C3561,"OK")))))))))</f>
        <v/>
      </c>
      <c r="L3561" s="92" t="str">
        <f>IF(AND(A3561="",B3561="",D3561="",G3561=""),"",IF(OR(B3561="",NOT(ISNUMBER(B3561)),C3561="",C3561="Fora dos ciclos"),"",IF(C3561="C0","Nao",IF(IFERROR(INDEX(parametros!$A$2:$A$6,MATCH(C3561,parametros!$B$2:$B$6,0)),"")&lt;&gt;"Sim","Nao",IF(IFERROR(INDEX(parametros!$H$2:$H$6,MATCH(C3561,parametros!$B$2:$B$6,0)),"")="","",IF(B3561&gt;=IFERROR(INDEX(parametros!$H$2:$H$6,MATCH(C3561,parametros!$B$2:$B$6,0)),""),"Sim","Nao"))))))</f>
        <v/>
      </c>
      <c r="T3561" s="156"/>
      <c r="U3561" s="214" t="str">
        <f t="shared" si="281"/>
        <v/>
      </c>
      <c r="V3561" s="212" t="s">
        <v>50</v>
      </c>
      <c r="W3561" s="100" t="s">
        <v>168</v>
      </c>
      <c r="X3561" s="100" t="s">
        <v>169</v>
      </c>
      <c r="Y3561" s="101" t="s">
        <v>170</v>
      </c>
      <c r="Z3561" s="101" t="s">
        <v>171</v>
      </c>
      <c r="AA3561" s="101" t="s">
        <v>50</v>
      </c>
      <c r="AB3561" s="101" t="s">
        <v>172</v>
      </c>
      <c r="AC3561" s="102" t="s">
        <v>173</v>
      </c>
    </row>
    <row r="3562" spans="1:29" ht="25.5" customHeight="1" x14ac:dyDescent="0.35">
      <c r="A3562" s="392"/>
      <c r="B3562" s="393"/>
      <c r="C3562" s="99" t="str">
        <f>IF(B3562="","",IF(NOT(ISNUMBER(B3562)),"DATA_PC invalida",IF(NOT(ISNUMBER(parametros!$C$2)),"Fora dos ciclos",IF(OR(B3562&lt;parametros!$C$2,(YEAR(B3562)-YEAR(parametros!$C$2))*12+MONTH(B3562)-MONTH(parametros!$C$2)&gt;59),"Fora dos ciclos","C"&amp;INT(((YEAR(B3562)-YEAR(parametros!$C$2))*12+MONTH(B3562)-MONTH(parametros!$C$2))/12)))))</f>
        <v/>
      </c>
      <c r="D3562" s="394"/>
      <c r="E3562" s="78" t="str">
        <f>IF(C3562="","",IFERROR(VLOOKUP(C3562,parametros!$A$11:$E$15,5,0),""))</f>
        <v/>
      </c>
      <c r="F3562" s="79" t="str">
        <f t="shared" si="277"/>
        <v/>
      </c>
      <c r="G3562" s="395"/>
      <c r="H3562" s="91">
        <f t="shared" si="278"/>
        <v>0</v>
      </c>
      <c r="I3562" s="91" t="str">
        <f t="shared" si="279"/>
        <v/>
      </c>
      <c r="J3562" s="91" t="str">
        <f t="shared" si="280"/>
        <v/>
      </c>
      <c r="K3562" s="92" t="str">
        <f>IF(AND(A3562="",B3562="",D3562="",G3562=""),"",IF(AND(A3562&lt;&gt;"",COUNTIF($A$2:$A$5001,A3562)&gt;1),"NUMERO_PC duplicado",IF(B3562="","DATA_PC vazia",IF(NOT(ISNUMBER(B3562)),"DATA_PC invalida",IF(OR(C3562="",C3562="Fora dos ciclos"),"CICLO_PC nao identificado",IF(OR(D3562="",D3562=0),"VALOR_PC vazio ou zero",IF(AND(G3562&lt;&gt;"Sim",G3562&lt;&gt;"Nao",G3562&lt;&gt;""),"PC_PAGO_A_CONTRATADA invalido",IF(AND(C3562&lt;&gt;"C0",IFERROR(INDEX(parametros!$A$2:$A$6,MATCH(C3562,parametros!$B$2:$B$6,0)),"")="Sim",IFERROR(INDEX(parametros!$H$2:$H$6,MATCH(C3562,parametros!$B$2:$B$6,0)),"")=""),"INICIO_EFEITO ausente: PC "&amp;A3562&amp;" - "&amp;C3562,IF(L3562="","EFEITO_PC nao calculado: PC "&amp;A3562&amp;" - "&amp;C3562,"OK")))))))))</f>
        <v/>
      </c>
      <c r="L3562" s="92" t="str">
        <f>IF(AND(A3562="",B3562="",D3562="",G3562=""),"",IF(OR(B3562="",NOT(ISNUMBER(B3562)),C3562="",C3562="Fora dos ciclos"),"",IF(C3562="C0","Nao",IF(IFERROR(INDEX(parametros!$A$2:$A$6,MATCH(C3562,parametros!$B$2:$B$6,0)),"")&lt;&gt;"Sim","Nao",IF(IFERROR(INDEX(parametros!$H$2:$H$6,MATCH(C3562,parametros!$B$2:$B$6,0)),"")="","",IF(B3562&gt;=IFERROR(INDEX(parametros!$H$2:$H$6,MATCH(C3562,parametros!$B$2:$B$6,0)),""),"Sim","Nao"))))))</f>
        <v/>
      </c>
      <c r="T3562" s="156"/>
      <c r="U3562" s="214" t="str">
        <f t="shared" si="281"/>
        <v/>
      </c>
      <c r="V3562" s="212" t="s">
        <v>50</v>
      </c>
      <c r="W3562" s="100" t="s">
        <v>168</v>
      </c>
      <c r="X3562" s="100" t="s">
        <v>169</v>
      </c>
      <c r="Y3562" s="101" t="s">
        <v>170</v>
      </c>
      <c r="Z3562" s="101" t="s">
        <v>171</v>
      </c>
      <c r="AA3562" s="101" t="s">
        <v>50</v>
      </c>
      <c r="AB3562" s="101" t="s">
        <v>172</v>
      </c>
      <c r="AC3562" s="102" t="s">
        <v>173</v>
      </c>
    </row>
    <row r="3563" spans="1:29" ht="25.5" customHeight="1" x14ac:dyDescent="0.35">
      <c r="A3563" s="392"/>
      <c r="B3563" s="393"/>
      <c r="C3563" s="99" t="str">
        <f>IF(B3563="","",IF(NOT(ISNUMBER(B3563)),"DATA_PC invalida",IF(NOT(ISNUMBER(parametros!$C$2)),"Fora dos ciclos",IF(OR(B3563&lt;parametros!$C$2,(YEAR(B3563)-YEAR(parametros!$C$2))*12+MONTH(B3563)-MONTH(parametros!$C$2)&gt;59),"Fora dos ciclos","C"&amp;INT(((YEAR(B3563)-YEAR(parametros!$C$2))*12+MONTH(B3563)-MONTH(parametros!$C$2))/12)))))</f>
        <v/>
      </c>
      <c r="D3563" s="394"/>
      <c r="E3563" s="78" t="str">
        <f>IF(C3563="","",IFERROR(VLOOKUP(C3563,parametros!$A$11:$E$15,5,0),""))</f>
        <v/>
      </c>
      <c r="F3563" s="79" t="str">
        <f t="shared" si="277"/>
        <v/>
      </c>
      <c r="G3563" s="395"/>
      <c r="H3563" s="91">
        <f t="shared" si="278"/>
        <v>0</v>
      </c>
      <c r="I3563" s="91" t="str">
        <f t="shared" si="279"/>
        <v/>
      </c>
      <c r="J3563" s="91" t="str">
        <f t="shared" si="280"/>
        <v/>
      </c>
      <c r="K3563" s="92" t="str">
        <f>IF(AND(A3563="",B3563="",D3563="",G3563=""),"",IF(AND(A3563&lt;&gt;"",COUNTIF($A$2:$A$5001,A3563)&gt;1),"NUMERO_PC duplicado",IF(B3563="","DATA_PC vazia",IF(NOT(ISNUMBER(B3563)),"DATA_PC invalida",IF(OR(C3563="",C3563="Fora dos ciclos"),"CICLO_PC nao identificado",IF(OR(D3563="",D3563=0),"VALOR_PC vazio ou zero",IF(AND(G3563&lt;&gt;"Sim",G3563&lt;&gt;"Nao",G3563&lt;&gt;""),"PC_PAGO_A_CONTRATADA invalido",IF(AND(C3563&lt;&gt;"C0",IFERROR(INDEX(parametros!$A$2:$A$6,MATCH(C3563,parametros!$B$2:$B$6,0)),"")="Sim",IFERROR(INDEX(parametros!$H$2:$H$6,MATCH(C3563,parametros!$B$2:$B$6,0)),"")=""),"INICIO_EFEITO ausente: PC "&amp;A3563&amp;" - "&amp;C3563,IF(L3563="","EFEITO_PC nao calculado: PC "&amp;A3563&amp;" - "&amp;C3563,"OK")))))))))</f>
        <v/>
      </c>
      <c r="L3563" s="92" t="str">
        <f>IF(AND(A3563="",B3563="",D3563="",G3563=""),"",IF(OR(B3563="",NOT(ISNUMBER(B3563)),C3563="",C3563="Fora dos ciclos"),"",IF(C3563="C0","Nao",IF(IFERROR(INDEX(parametros!$A$2:$A$6,MATCH(C3563,parametros!$B$2:$B$6,0)),"")&lt;&gt;"Sim","Nao",IF(IFERROR(INDEX(parametros!$H$2:$H$6,MATCH(C3563,parametros!$B$2:$B$6,0)),"")="","",IF(B3563&gt;=IFERROR(INDEX(parametros!$H$2:$H$6,MATCH(C3563,parametros!$B$2:$B$6,0)),""),"Sim","Nao"))))))</f>
        <v/>
      </c>
      <c r="T3563" s="156"/>
      <c r="U3563" s="214" t="str">
        <f t="shared" si="281"/>
        <v/>
      </c>
      <c r="V3563" s="212" t="s">
        <v>50</v>
      </c>
      <c r="W3563" s="100" t="s">
        <v>168</v>
      </c>
      <c r="X3563" s="100" t="s">
        <v>169</v>
      </c>
      <c r="Y3563" s="101" t="s">
        <v>170</v>
      </c>
      <c r="Z3563" s="101" t="s">
        <v>171</v>
      </c>
      <c r="AA3563" s="101" t="s">
        <v>50</v>
      </c>
      <c r="AB3563" s="101" t="s">
        <v>172</v>
      </c>
      <c r="AC3563" s="102" t="s">
        <v>173</v>
      </c>
    </row>
    <row r="3564" spans="1:29" ht="25.5" customHeight="1" x14ac:dyDescent="0.35">
      <c r="A3564" s="392"/>
      <c r="B3564" s="393"/>
      <c r="C3564" s="99" t="str">
        <f>IF(B3564="","",IF(NOT(ISNUMBER(B3564)),"DATA_PC invalida",IF(NOT(ISNUMBER(parametros!$C$2)),"Fora dos ciclos",IF(OR(B3564&lt;parametros!$C$2,(YEAR(B3564)-YEAR(parametros!$C$2))*12+MONTH(B3564)-MONTH(parametros!$C$2)&gt;59),"Fora dos ciclos","C"&amp;INT(((YEAR(B3564)-YEAR(parametros!$C$2))*12+MONTH(B3564)-MONTH(parametros!$C$2))/12)))))</f>
        <v/>
      </c>
      <c r="D3564" s="394"/>
      <c r="E3564" s="78" t="str">
        <f>IF(C3564="","",IFERROR(VLOOKUP(C3564,parametros!$A$11:$E$15,5,0),""))</f>
        <v/>
      </c>
      <c r="F3564" s="79" t="str">
        <f t="shared" si="277"/>
        <v/>
      </c>
      <c r="G3564" s="395"/>
      <c r="H3564" s="91">
        <f t="shared" si="278"/>
        <v>0</v>
      </c>
      <c r="I3564" s="91" t="str">
        <f t="shared" si="279"/>
        <v/>
      </c>
      <c r="J3564" s="91" t="str">
        <f t="shared" si="280"/>
        <v/>
      </c>
      <c r="K3564" s="92" t="str">
        <f>IF(AND(A3564="",B3564="",D3564="",G3564=""),"",IF(AND(A3564&lt;&gt;"",COUNTIF($A$2:$A$5001,A3564)&gt;1),"NUMERO_PC duplicado",IF(B3564="","DATA_PC vazia",IF(NOT(ISNUMBER(B3564)),"DATA_PC invalida",IF(OR(C3564="",C3564="Fora dos ciclos"),"CICLO_PC nao identificado",IF(OR(D3564="",D3564=0),"VALOR_PC vazio ou zero",IF(AND(G3564&lt;&gt;"Sim",G3564&lt;&gt;"Nao",G3564&lt;&gt;""),"PC_PAGO_A_CONTRATADA invalido",IF(AND(C3564&lt;&gt;"C0",IFERROR(INDEX(parametros!$A$2:$A$6,MATCH(C3564,parametros!$B$2:$B$6,0)),"")="Sim",IFERROR(INDEX(parametros!$H$2:$H$6,MATCH(C3564,parametros!$B$2:$B$6,0)),"")=""),"INICIO_EFEITO ausente: PC "&amp;A3564&amp;" - "&amp;C3564,IF(L3564="","EFEITO_PC nao calculado: PC "&amp;A3564&amp;" - "&amp;C3564,"OK")))))))))</f>
        <v/>
      </c>
      <c r="L3564" s="92" t="str">
        <f>IF(AND(A3564="",B3564="",D3564="",G3564=""),"",IF(OR(B3564="",NOT(ISNUMBER(B3564)),C3564="",C3564="Fora dos ciclos"),"",IF(C3564="C0","Nao",IF(IFERROR(INDEX(parametros!$A$2:$A$6,MATCH(C3564,parametros!$B$2:$B$6,0)),"")&lt;&gt;"Sim","Nao",IF(IFERROR(INDEX(parametros!$H$2:$H$6,MATCH(C3564,parametros!$B$2:$B$6,0)),"")="","",IF(B3564&gt;=IFERROR(INDEX(parametros!$H$2:$H$6,MATCH(C3564,parametros!$B$2:$B$6,0)),""),"Sim","Nao"))))))</f>
        <v/>
      </c>
      <c r="T3564" s="156"/>
      <c r="U3564" s="214" t="str">
        <f t="shared" si="281"/>
        <v/>
      </c>
      <c r="V3564" s="212" t="s">
        <v>50</v>
      </c>
      <c r="W3564" s="100" t="s">
        <v>168</v>
      </c>
      <c r="X3564" s="100" t="s">
        <v>169</v>
      </c>
      <c r="Y3564" s="101" t="s">
        <v>170</v>
      </c>
      <c r="Z3564" s="101" t="s">
        <v>171</v>
      </c>
      <c r="AA3564" s="101" t="s">
        <v>50</v>
      </c>
      <c r="AB3564" s="101" t="s">
        <v>172</v>
      </c>
      <c r="AC3564" s="102" t="s">
        <v>173</v>
      </c>
    </row>
    <row r="3565" spans="1:29" ht="25.5" customHeight="1" x14ac:dyDescent="0.35">
      <c r="A3565" s="392"/>
      <c r="B3565" s="393"/>
      <c r="C3565" s="99" t="str">
        <f>IF(B3565="","",IF(NOT(ISNUMBER(B3565)),"DATA_PC invalida",IF(NOT(ISNUMBER(parametros!$C$2)),"Fora dos ciclos",IF(OR(B3565&lt;parametros!$C$2,(YEAR(B3565)-YEAR(parametros!$C$2))*12+MONTH(B3565)-MONTH(parametros!$C$2)&gt;59),"Fora dos ciclos","C"&amp;INT(((YEAR(B3565)-YEAR(parametros!$C$2))*12+MONTH(B3565)-MONTH(parametros!$C$2))/12)))))</f>
        <v/>
      </c>
      <c r="D3565" s="394"/>
      <c r="E3565" s="78" t="str">
        <f>IF(C3565="","",IFERROR(VLOOKUP(C3565,parametros!$A$11:$E$15,5,0),""))</f>
        <v/>
      </c>
      <c r="F3565" s="79" t="str">
        <f t="shared" si="277"/>
        <v/>
      </c>
      <c r="G3565" s="395"/>
      <c r="H3565" s="91">
        <f t="shared" si="278"/>
        <v>0</v>
      </c>
      <c r="I3565" s="91" t="str">
        <f t="shared" si="279"/>
        <v/>
      </c>
      <c r="J3565" s="91" t="str">
        <f t="shared" si="280"/>
        <v/>
      </c>
      <c r="K3565" s="92" t="str">
        <f>IF(AND(A3565="",B3565="",D3565="",G3565=""),"",IF(AND(A3565&lt;&gt;"",COUNTIF($A$2:$A$5001,A3565)&gt;1),"NUMERO_PC duplicado",IF(B3565="","DATA_PC vazia",IF(NOT(ISNUMBER(B3565)),"DATA_PC invalida",IF(OR(C3565="",C3565="Fora dos ciclos"),"CICLO_PC nao identificado",IF(OR(D3565="",D3565=0),"VALOR_PC vazio ou zero",IF(AND(G3565&lt;&gt;"Sim",G3565&lt;&gt;"Nao",G3565&lt;&gt;""),"PC_PAGO_A_CONTRATADA invalido",IF(AND(C3565&lt;&gt;"C0",IFERROR(INDEX(parametros!$A$2:$A$6,MATCH(C3565,parametros!$B$2:$B$6,0)),"")="Sim",IFERROR(INDEX(parametros!$H$2:$H$6,MATCH(C3565,parametros!$B$2:$B$6,0)),"")=""),"INICIO_EFEITO ausente: PC "&amp;A3565&amp;" - "&amp;C3565,IF(L3565="","EFEITO_PC nao calculado: PC "&amp;A3565&amp;" - "&amp;C3565,"OK")))))))))</f>
        <v/>
      </c>
      <c r="L3565" s="92" t="str">
        <f>IF(AND(A3565="",B3565="",D3565="",G3565=""),"",IF(OR(B3565="",NOT(ISNUMBER(B3565)),C3565="",C3565="Fora dos ciclos"),"",IF(C3565="C0","Nao",IF(IFERROR(INDEX(parametros!$A$2:$A$6,MATCH(C3565,parametros!$B$2:$B$6,0)),"")&lt;&gt;"Sim","Nao",IF(IFERROR(INDEX(parametros!$H$2:$H$6,MATCH(C3565,parametros!$B$2:$B$6,0)),"")="","",IF(B3565&gt;=IFERROR(INDEX(parametros!$H$2:$H$6,MATCH(C3565,parametros!$B$2:$B$6,0)),""),"Sim","Nao"))))))</f>
        <v/>
      </c>
      <c r="T3565" s="156"/>
      <c r="U3565" s="214" t="str">
        <f t="shared" si="281"/>
        <v/>
      </c>
      <c r="V3565" s="212" t="s">
        <v>50</v>
      </c>
      <c r="W3565" s="100" t="s">
        <v>168</v>
      </c>
      <c r="X3565" s="100" t="s">
        <v>169</v>
      </c>
      <c r="Y3565" s="101" t="s">
        <v>170</v>
      </c>
      <c r="Z3565" s="101" t="s">
        <v>171</v>
      </c>
      <c r="AA3565" s="101" t="s">
        <v>50</v>
      </c>
      <c r="AB3565" s="101" t="s">
        <v>172</v>
      </c>
      <c r="AC3565" s="102" t="s">
        <v>173</v>
      </c>
    </row>
    <row r="3566" spans="1:29" ht="25.5" customHeight="1" x14ac:dyDescent="0.35">
      <c r="A3566" s="392"/>
      <c r="B3566" s="393"/>
      <c r="C3566" s="99" t="str">
        <f>IF(B3566="","",IF(NOT(ISNUMBER(B3566)),"DATA_PC invalida",IF(NOT(ISNUMBER(parametros!$C$2)),"Fora dos ciclos",IF(OR(B3566&lt;parametros!$C$2,(YEAR(B3566)-YEAR(parametros!$C$2))*12+MONTH(B3566)-MONTH(parametros!$C$2)&gt;59),"Fora dos ciclos","C"&amp;INT(((YEAR(B3566)-YEAR(parametros!$C$2))*12+MONTH(B3566)-MONTH(parametros!$C$2))/12)))))</f>
        <v/>
      </c>
      <c r="D3566" s="394"/>
      <c r="E3566" s="78" t="str">
        <f>IF(C3566="","",IFERROR(VLOOKUP(C3566,parametros!$A$11:$E$15,5,0),""))</f>
        <v/>
      </c>
      <c r="F3566" s="79" t="str">
        <f t="shared" si="277"/>
        <v/>
      </c>
      <c r="G3566" s="395"/>
      <c r="H3566" s="91">
        <f t="shared" si="278"/>
        <v>0</v>
      </c>
      <c r="I3566" s="91" t="str">
        <f t="shared" si="279"/>
        <v/>
      </c>
      <c r="J3566" s="91" t="str">
        <f t="shared" si="280"/>
        <v/>
      </c>
      <c r="K3566" s="92" t="str">
        <f>IF(AND(A3566="",B3566="",D3566="",G3566=""),"",IF(AND(A3566&lt;&gt;"",COUNTIF($A$2:$A$5001,A3566)&gt;1),"NUMERO_PC duplicado",IF(B3566="","DATA_PC vazia",IF(NOT(ISNUMBER(B3566)),"DATA_PC invalida",IF(OR(C3566="",C3566="Fora dos ciclos"),"CICLO_PC nao identificado",IF(OR(D3566="",D3566=0),"VALOR_PC vazio ou zero",IF(AND(G3566&lt;&gt;"Sim",G3566&lt;&gt;"Nao",G3566&lt;&gt;""),"PC_PAGO_A_CONTRATADA invalido",IF(AND(C3566&lt;&gt;"C0",IFERROR(INDEX(parametros!$A$2:$A$6,MATCH(C3566,parametros!$B$2:$B$6,0)),"")="Sim",IFERROR(INDEX(parametros!$H$2:$H$6,MATCH(C3566,parametros!$B$2:$B$6,0)),"")=""),"INICIO_EFEITO ausente: PC "&amp;A3566&amp;" - "&amp;C3566,IF(L3566="","EFEITO_PC nao calculado: PC "&amp;A3566&amp;" - "&amp;C3566,"OK")))))))))</f>
        <v/>
      </c>
      <c r="L3566" s="92" t="str">
        <f>IF(AND(A3566="",B3566="",D3566="",G3566=""),"",IF(OR(B3566="",NOT(ISNUMBER(B3566)),C3566="",C3566="Fora dos ciclos"),"",IF(C3566="C0","Nao",IF(IFERROR(INDEX(parametros!$A$2:$A$6,MATCH(C3566,parametros!$B$2:$B$6,0)),"")&lt;&gt;"Sim","Nao",IF(IFERROR(INDEX(parametros!$H$2:$H$6,MATCH(C3566,parametros!$B$2:$B$6,0)),"")="","",IF(B3566&gt;=IFERROR(INDEX(parametros!$H$2:$H$6,MATCH(C3566,parametros!$B$2:$B$6,0)),""),"Sim","Nao"))))))</f>
        <v/>
      </c>
      <c r="T3566" s="156"/>
      <c r="U3566" s="214" t="str">
        <f t="shared" si="281"/>
        <v/>
      </c>
      <c r="V3566" s="212" t="s">
        <v>50</v>
      </c>
      <c r="W3566" s="100" t="s">
        <v>168</v>
      </c>
      <c r="X3566" s="100" t="s">
        <v>169</v>
      </c>
      <c r="Y3566" s="101" t="s">
        <v>170</v>
      </c>
      <c r="Z3566" s="101" t="s">
        <v>171</v>
      </c>
      <c r="AA3566" s="101" t="s">
        <v>50</v>
      </c>
      <c r="AB3566" s="101" t="s">
        <v>172</v>
      </c>
      <c r="AC3566" s="102" t="s">
        <v>173</v>
      </c>
    </row>
    <row r="3567" spans="1:29" ht="25.5" customHeight="1" x14ac:dyDescent="0.35">
      <c r="A3567" s="392"/>
      <c r="B3567" s="393"/>
      <c r="C3567" s="99" t="str">
        <f>IF(B3567="","",IF(NOT(ISNUMBER(B3567)),"DATA_PC invalida",IF(NOT(ISNUMBER(parametros!$C$2)),"Fora dos ciclos",IF(OR(B3567&lt;parametros!$C$2,(YEAR(B3567)-YEAR(parametros!$C$2))*12+MONTH(B3567)-MONTH(parametros!$C$2)&gt;59),"Fora dos ciclos","C"&amp;INT(((YEAR(B3567)-YEAR(parametros!$C$2))*12+MONTH(B3567)-MONTH(parametros!$C$2))/12)))))</f>
        <v/>
      </c>
      <c r="D3567" s="394"/>
      <c r="E3567" s="78" t="str">
        <f>IF(C3567="","",IFERROR(VLOOKUP(C3567,parametros!$A$11:$E$15,5,0),""))</f>
        <v/>
      </c>
      <c r="F3567" s="79" t="str">
        <f t="shared" si="277"/>
        <v/>
      </c>
      <c r="G3567" s="395"/>
      <c r="H3567" s="91">
        <f t="shared" si="278"/>
        <v>0</v>
      </c>
      <c r="I3567" s="91" t="str">
        <f t="shared" si="279"/>
        <v/>
      </c>
      <c r="J3567" s="91" t="str">
        <f t="shared" si="280"/>
        <v/>
      </c>
      <c r="K3567" s="92" t="str">
        <f>IF(AND(A3567="",B3567="",D3567="",G3567=""),"",IF(AND(A3567&lt;&gt;"",COUNTIF($A$2:$A$5001,A3567)&gt;1),"NUMERO_PC duplicado",IF(B3567="","DATA_PC vazia",IF(NOT(ISNUMBER(B3567)),"DATA_PC invalida",IF(OR(C3567="",C3567="Fora dos ciclos"),"CICLO_PC nao identificado",IF(OR(D3567="",D3567=0),"VALOR_PC vazio ou zero",IF(AND(G3567&lt;&gt;"Sim",G3567&lt;&gt;"Nao",G3567&lt;&gt;""),"PC_PAGO_A_CONTRATADA invalido",IF(AND(C3567&lt;&gt;"C0",IFERROR(INDEX(parametros!$A$2:$A$6,MATCH(C3567,parametros!$B$2:$B$6,0)),"")="Sim",IFERROR(INDEX(parametros!$H$2:$H$6,MATCH(C3567,parametros!$B$2:$B$6,0)),"")=""),"INICIO_EFEITO ausente: PC "&amp;A3567&amp;" - "&amp;C3567,IF(L3567="","EFEITO_PC nao calculado: PC "&amp;A3567&amp;" - "&amp;C3567,"OK")))))))))</f>
        <v/>
      </c>
      <c r="L3567" s="92" t="str">
        <f>IF(AND(A3567="",B3567="",D3567="",G3567=""),"",IF(OR(B3567="",NOT(ISNUMBER(B3567)),C3567="",C3567="Fora dos ciclos"),"",IF(C3567="C0","Nao",IF(IFERROR(INDEX(parametros!$A$2:$A$6,MATCH(C3567,parametros!$B$2:$B$6,0)),"")&lt;&gt;"Sim","Nao",IF(IFERROR(INDEX(parametros!$H$2:$H$6,MATCH(C3567,parametros!$B$2:$B$6,0)),"")="","",IF(B3567&gt;=IFERROR(INDEX(parametros!$H$2:$H$6,MATCH(C3567,parametros!$B$2:$B$6,0)),""),"Sim","Nao"))))))</f>
        <v/>
      </c>
      <c r="T3567" s="156"/>
      <c r="U3567" s="214" t="str">
        <f t="shared" si="281"/>
        <v/>
      </c>
      <c r="V3567" s="212" t="s">
        <v>50</v>
      </c>
      <c r="W3567" s="100" t="s">
        <v>168</v>
      </c>
      <c r="X3567" s="100" t="s">
        <v>169</v>
      </c>
      <c r="Y3567" s="101" t="s">
        <v>170</v>
      </c>
      <c r="Z3567" s="101" t="s">
        <v>171</v>
      </c>
      <c r="AA3567" s="101" t="s">
        <v>50</v>
      </c>
      <c r="AB3567" s="101" t="s">
        <v>172</v>
      </c>
      <c r="AC3567" s="102" t="s">
        <v>173</v>
      </c>
    </row>
    <row r="3568" spans="1:29" ht="25.5" customHeight="1" x14ac:dyDescent="0.35">
      <c r="A3568" s="392"/>
      <c r="B3568" s="393"/>
      <c r="C3568" s="99" t="str">
        <f>IF(B3568="","",IF(NOT(ISNUMBER(B3568)),"DATA_PC invalida",IF(NOT(ISNUMBER(parametros!$C$2)),"Fora dos ciclos",IF(OR(B3568&lt;parametros!$C$2,(YEAR(B3568)-YEAR(parametros!$C$2))*12+MONTH(B3568)-MONTH(parametros!$C$2)&gt;59),"Fora dos ciclos","C"&amp;INT(((YEAR(B3568)-YEAR(parametros!$C$2))*12+MONTH(B3568)-MONTH(parametros!$C$2))/12)))))</f>
        <v/>
      </c>
      <c r="D3568" s="394"/>
      <c r="E3568" s="78" t="str">
        <f>IF(C3568="","",IFERROR(VLOOKUP(C3568,parametros!$A$11:$E$15,5,0),""))</f>
        <v/>
      </c>
      <c r="F3568" s="79" t="str">
        <f t="shared" si="277"/>
        <v/>
      </c>
      <c r="G3568" s="395"/>
      <c r="H3568" s="91">
        <f t="shared" si="278"/>
        <v>0</v>
      </c>
      <c r="I3568" s="91" t="str">
        <f t="shared" si="279"/>
        <v/>
      </c>
      <c r="J3568" s="91" t="str">
        <f t="shared" si="280"/>
        <v/>
      </c>
      <c r="K3568" s="92" t="str">
        <f>IF(AND(A3568="",B3568="",D3568="",G3568=""),"",IF(AND(A3568&lt;&gt;"",COUNTIF($A$2:$A$5001,A3568)&gt;1),"NUMERO_PC duplicado",IF(B3568="","DATA_PC vazia",IF(NOT(ISNUMBER(B3568)),"DATA_PC invalida",IF(OR(C3568="",C3568="Fora dos ciclos"),"CICLO_PC nao identificado",IF(OR(D3568="",D3568=0),"VALOR_PC vazio ou zero",IF(AND(G3568&lt;&gt;"Sim",G3568&lt;&gt;"Nao",G3568&lt;&gt;""),"PC_PAGO_A_CONTRATADA invalido",IF(AND(C3568&lt;&gt;"C0",IFERROR(INDEX(parametros!$A$2:$A$6,MATCH(C3568,parametros!$B$2:$B$6,0)),"")="Sim",IFERROR(INDEX(parametros!$H$2:$H$6,MATCH(C3568,parametros!$B$2:$B$6,0)),"")=""),"INICIO_EFEITO ausente: PC "&amp;A3568&amp;" - "&amp;C3568,IF(L3568="","EFEITO_PC nao calculado: PC "&amp;A3568&amp;" - "&amp;C3568,"OK")))))))))</f>
        <v/>
      </c>
      <c r="L3568" s="92" t="str">
        <f>IF(AND(A3568="",B3568="",D3568="",G3568=""),"",IF(OR(B3568="",NOT(ISNUMBER(B3568)),C3568="",C3568="Fora dos ciclos"),"",IF(C3568="C0","Nao",IF(IFERROR(INDEX(parametros!$A$2:$A$6,MATCH(C3568,parametros!$B$2:$B$6,0)),"")&lt;&gt;"Sim","Nao",IF(IFERROR(INDEX(parametros!$H$2:$H$6,MATCH(C3568,parametros!$B$2:$B$6,0)),"")="","",IF(B3568&gt;=IFERROR(INDEX(parametros!$H$2:$H$6,MATCH(C3568,parametros!$B$2:$B$6,0)),""),"Sim","Nao"))))))</f>
        <v/>
      </c>
      <c r="T3568" s="156"/>
      <c r="U3568" s="214" t="str">
        <f t="shared" si="281"/>
        <v/>
      </c>
      <c r="V3568" s="212" t="s">
        <v>50</v>
      </c>
      <c r="W3568" s="100" t="s">
        <v>168</v>
      </c>
      <c r="X3568" s="100" t="s">
        <v>169</v>
      </c>
      <c r="Y3568" s="101" t="s">
        <v>170</v>
      </c>
      <c r="Z3568" s="101" t="s">
        <v>171</v>
      </c>
      <c r="AA3568" s="101" t="s">
        <v>50</v>
      </c>
      <c r="AB3568" s="101" t="s">
        <v>172</v>
      </c>
      <c r="AC3568" s="102" t="s">
        <v>173</v>
      </c>
    </row>
    <row r="3569" spans="1:29" ht="25.5" customHeight="1" x14ac:dyDescent="0.35">
      <c r="A3569" s="392"/>
      <c r="B3569" s="393"/>
      <c r="C3569" s="99" t="str">
        <f>IF(B3569="","",IF(NOT(ISNUMBER(B3569)),"DATA_PC invalida",IF(NOT(ISNUMBER(parametros!$C$2)),"Fora dos ciclos",IF(OR(B3569&lt;parametros!$C$2,(YEAR(B3569)-YEAR(parametros!$C$2))*12+MONTH(B3569)-MONTH(parametros!$C$2)&gt;59),"Fora dos ciclos","C"&amp;INT(((YEAR(B3569)-YEAR(parametros!$C$2))*12+MONTH(B3569)-MONTH(parametros!$C$2))/12)))))</f>
        <v/>
      </c>
      <c r="D3569" s="394"/>
      <c r="E3569" s="78" t="str">
        <f>IF(C3569="","",IFERROR(VLOOKUP(C3569,parametros!$A$11:$E$15,5,0),""))</f>
        <v/>
      </c>
      <c r="F3569" s="79" t="str">
        <f t="shared" si="277"/>
        <v/>
      </c>
      <c r="G3569" s="395"/>
      <c r="H3569" s="91">
        <f t="shared" si="278"/>
        <v>0</v>
      </c>
      <c r="I3569" s="91" t="str">
        <f t="shared" si="279"/>
        <v/>
      </c>
      <c r="J3569" s="91" t="str">
        <f t="shared" si="280"/>
        <v/>
      </c>
      <c r="K3569" s="92" t="str">
        <f>IF(AND(A3569="",B3569="",D3569="",G3569=""),"",IF(AND(A3569&lt;&gt;"",COUNTIF($A$2:$A$5001,A3569)&gt;1),"NUMERO_PC duplicado",IF(B3569="","DATA_PC vazia",IF(NOT(ISNUMBER(B3569)),"DATA_PC invalida",IF(OR(C3569="",C3569="Fora dos ciclos"),"CICLO_PC nao identificado",IF(OR(D3569="",D3569=0),"VALOR_PC vazio ou zero",IF(AND(G3569&lt;&gt;"Sim",G3569&lt;&gt;"Nao",G3569&lt;&gt;""),"PC_PAGO_A_CONTRATADA invalido",IF(AND(C3569&lt;&gt;"C0",IFERROR(INDEX(parametros!$A$2:$A$6,MATCH(C3569,parametros!$B$2:$B$6,0)),"")="Sim",IFERROR(INDEX(parametros!$H$2:$H$6,MATCH(C3569,parametros!$B$2:$B$6,0)),"")=""),"INICIO_EFEITO ausente: PC "&amp;A3569&amp;" - "&amp;C3569,IF(L3569="","EFEITO_PC nao calculado: PC "&amp;A3569&amp;" - "&amp;C3569,"OK")))))))))</f>
        <v/>
      </c>
      <c r="L3569" s="92" t="str">
        <f>IF(AND(A3569="",B3569="",D3569="",G3569=""),"",IF(OR(B3569="",NOT(ISNUMBER(B3569)),C3569="",C3569="Fora dos ciclos"),"",IF(C3569="C0","Nao",IF(IFERROR(INDEX(parametros!$A$2:$A$6,MATCH(C3569,parametros!$B$2:$B$6,0)),"")&lt;&gt;"Sim","Nao",IF(IFERROR(INDEX(parametros!$H$2:$H$6,MATCH(C3569,parametros!$B$2:$B$6,0)),"")="","",IF(B3569&gt;=IFERROR(INDEX(parametros!$H$2:$H$6,MATCH(C3569,parametros!$B$2:$B$6,0)),""),"Sim","Nao"))))))</f>
        <v/>
      </c>
      <c r="T3569" s="156"/>
      <c r="U3569" s="214" t="str">
        <f t="shared" si="281"/>
        <v/>
      </c>
      <c r="V3569" s="212" t="s">
        <v>50</v>
      </c>
      <c r="W3569" s="100" t="s">
        <v>168</v>
      </c>
      <c r="X3569" s="100" t="s">
        <v>169</v>
      </c>
      <c r="Y3569" s="101" t="s">
        <v>170</v>
      </c>
      <c r="Z3569" s="101" t="s">
        <v>171</v>
      </c>
      <c r="AA3569" s="101" t="s">
        <v>50</v>
      </c>
      <c r="AB3569" s="101" t="s">
        <v>172</v>
      </c>
      <c r="AC3569" s="102" t="s">
        <v>173</v>
      </c>
    </row>
    <row r="3570" spans="1:29" ht="25.5" customHeight="1" x14ac:dyDescent="0.35">
      <c r="A3570" s="392"/>
      <c r="B3570" s="393"/>
      <c r="C3570" s="99" t="str">
        <f>IF(B3570="","",IF(NOT(ISNUMBER(B3570)),"DATA_PC invalida",IF(NOT(ISNUMBER(parametros!$C$2)),"Fora dos ciclos",IF(OR(B3570&lt;parametros!$C$2,(YEAR(B3570)-YEAR(parametros!$C$2))*12+MONTH(B3570)-MONTH(parametros!$C$2)&gt;59),"Fora dos ciclos","C"&amp;INT(((YEAR(B3570)-YEAR(parametros!$C$2))*12+MONTH(B3570)-MONTH(parametros!$C$2))/12)))))</f>
        <v/>
      </c>
      <c r="D3570" s="394"/>
      <c r="E3570" s="78" t="str">
        <f>IF(C3570="","",IFERROR(VLOOKUP(C3570,parametros!$A$11:$E$15,5,0),""))</f>
        <v/>
      </c>
      <c r="F3570" s="79" t="str">
        <f t="shared" si="277"/>
        <v/>
      </c>
      <c r="G3570" s="395"/>
      <c r="H3570" s="91">
        <f t="shared" si="278"/>
        <v>0</v>
      </c>
      <c r="I3570" s="91" t="str">
        <f t="shared" si="279"/>
        <v/>
      </c>
      <c r="J3570" s="91" t="str">
        <f t="shared" si="280"/>
        <v/>
      </c>
      <c r="K3570" s="92" t="str">
        <f>IF(AND(A3570="",B3570="",D3570="",G3570=""),"",IF(AND(A3570&lt;&gt;"",COUNTIF($A$2:$A$5001,A3570)&gt;1),"NUMERO_PC duplicado",IF(B3570="","DATA_PC vazia",IF(NOT(ISNUMBER(B3570)),"DATA_PC invalida",IF(OR(C3570="",C3570="Fora dos ciclos"),"CICLO_PC nao identificado",IF(OR(D3570="",D3570=0),"VALOR_PC vazio ou zero",IF(AND(G3570&lt;&gt;"Sim",G3570&lt;&gt;"Nao",G3570&lt;&gt;""),"PC_PAGO_A_CONTRATADA invalido",IF(AND(C3570&lt;&gt;"C0",IFERROR(INDEX(parametros!$A$2:$A$6,MATCH(C3570,parametros!$B$2:$B$6,0)),"")="Sim",IFERROR(INDEX(parametros!$H$2:$H$6,MATCH(C3570,parametros!$B$2:$B$6,0)),"")=""),"INICIO_EFEITO ausente: PC "&amp;A3570&amp;" - "&amp;C3570,IF(L3570="","EFEITO_PC nao calculado: PC "&amp;A3570&amp;" - "&amp;C3570,"OK")))))))))</f>
        <v/>
      </c>
      <c r="L3570" s="92" t="str">
        <f>IF(AND(A3570="",B3570="",D3570="",G3570=""),"",IF(OR(B3570="",NOT(ISNUMBER(B3570)),C3570="",C3570="Fora dos ciclos"),"",IF(C3570="C0","Nao",IF(IFERROR(INDEX(parametros!$A$2:$A$6,MATCH(C3570,parametros!$B$2:$B$6,0)),"")&lt;&gt;"Sim","Nao",IF(IFERROR(INDEX(parametros!$H$2:$H$6,MATCH(C3570,parametros!$B$2:$B$6,0)),"")="","",IF(B3570&gt;=IFERROR(INDEX(parametros!$H$2:$H$6,MATCH(C3570,parametros!$B$2:$B$6,0)),""),"Sim","Nao"))))))</f>
        <v/>
      </c>
      <c r="T3570" s="156"/>
      <c r="U3570" s="214" t="str">
        <f t="shared" si="281"/>
        <v/>
      </c>
      <c r="V3570" s="212" t="s">
        <v>50</v>
      </c>
      <c r="W3570" s="100" t="s">
        <v>168</v>
      </c>
      <c r="X3570" s="100" t="s">
        <v>169</v>
      </c>
      <c r="Y3570" s="101" t="s">
        <v>170</v>
      </c>
      <c r="Z3570" s="101" t="s">
        <v>171</v>
      </c>
      <c r="AA3570" s="101" t="s">
        <v>50</v>
      </c>
      <c r="AB3570" s="101" t="s">
        <v>172</v>
      </c>
      <c r="AC3570" s="102" t="s">
        <v>173</v>
      </c>
    </row>
    <row r="3571" spans="1:29" ht="25.5" customHeight="1" x14ac:dyDescent="0.35">
      <c r="A3571" s="392"/>
      <c r="B3571" s="393"/>
      <c r="C3571" s="99" t="str">
        <f>IF(B3571="","",IF(NOT(ISNUMBER(B3571)),"DATA_PC invalida",IF(NOT(ISNUMBER(parametros!$C$2)),"Fora dos ciclos",IF(OR(B3571&lt;parametros!$C$2,(YEAR(B3571)-YEAR(parametros!$C$2))*12+MONTH(B3571)-MONTH(parametros!$C$2)&gt;59),"Fora dos ciclos","C"&amp;INT(((YEAR(B3571)-YEAR(parametros!$C$2))*12+MONTH(B3571)-MONTH(parametros!$C$2))/12)))))</f>
        <v/>
      </c>
      <c r="D3571" s="394"/>
      <c r="E3571" s="78" t="str">
        <f>IF(C3571="","",IFERROR(VLOOKUP(C3571,parametros!$A$11:$E$15,5,0),""))</f>
        <v/>
      </c>
      <c r="F3571" s="79" t="str">
        <f t="shared" si="277"/>
        <v/>
      </c>
      <c r="G3571" s="395"/>
      <c r="H3571" s="91">
        <f t="shared" si="278"/>
        <v>0</v>
      </c>
      <c r="I3571" s="91" t="str">
        <f t="shared" si="279"/>
        <v/>
      </c>
      <c r="J3571" s="91" t="str">
        <f t="shared" si="280"/>
        <v/>
      </c>
      <c r="K3571" s="92" t="str">
        <f>IF(AND(A3571="",B3571="",D3571="",G3571=""),"",IF(AND(A3571&lt;&gt;"",COUNTIF($A$2:$A$5001,A3571)&gt;1),"NUMERO_PC duplicado",IF(B3571="","DATA_PC vazia",IF(NOT(ISNUMBER(B3571)),"DATA_PC invalida",IF(OR(C3571="",C3571="Fora dos ciclos"),"CICLO_PC nao identificado",IF(OR(D3571="",D3571=0),"VALOR_PC vazio ou zero",IF(AND(G3571&lt;&gt;"Sim",G3571&lt;&gt;"Nao",G3571&lt;&gt;""),"PC_PAGO_A_CONTRATADA invalido",IF(AND(C3571&lt;&gt;"C0",IFERROR(INDEX(parametros!$A$2:$A$6,MATCH(C3571,parametros!$B$2:$B$6,0)),"")="Sim",IFERROR(INDEX(parametros!$H$2:$H$6,MATCH(C3571,parametros!$B$2:$B$6,0)),"")=""),"INICIO_EFEITO ausente: PC "&amp;A3571&amp;" - "&amp;C3571,IF(L3571="","EFEITO_PC nao calculado: PC "&amp;A3571&amp;" - "&amp;C3571,"OK")))))))))</f>
        <v/>
      </c>
      <c r="L3571" s="92" t="str">
        <f>IF(AND(A3571="",B3571="",D3571="",G3571=""),"",IF(OR(B3571="",NOT(ISNUMBER(B3571)),C3571="",C3571="Fora dos ciclos"),"",IF(C3571="C0","Nao",IF(IFERROR(INDEX(parametros!$A$2:$A$6,MATCH(C3571,parametros!$B$2:$B$6,0)),"")&lt;&gt;"Sim","Nao",IF(IFERROR(INDEX(parametros!$H$2:$H$6,MATCH(C3571,parametros!$B$2:$B$6,0)),"")="","",IF(B3571&gt;=IFERROR(INDEX(parametros!$H$2:$H$6,MATCH(C3571,parametros!$B$2:$B$6,0)),""),"Sim","Nao"))))))</f>
        <v/>
      </c>
      <c r="T3571" s="156"/>
      <c r="U3571" s="214" t="str">
        <f t="shared" si="281"/>
        <v/>
      </c>
      <c r="V3571" s="212" t="s">
        <v>50</v>
      </c>
      <c r="W3571" s="100" t="s">
        <v>168</v>
      </c>
      <c r="X3571" s="100" t="s">
        <v>169</v>
      </c>
      <c r="Y3571" s="101" t="s">
        <v>170</v>
      </c>
      <c r="Z3571" s="101" t="s">
        <v>171</v>
      </c>
      <c r="AA3571" s="101" t="s">
        <v>50</v>
      </c>
      <c r="AB3571" s="101" t="s">
        <v>172</v>
      </c>
      <c r="AC3571" s="102" t="s">
        <v>173</v>
      </c>
    </row>
    <row r="3572" spans="1:29" ht="25.5" customHeight="1" x14ac:dyDescent="0.35">
      <c r="A3572" s="392"/>
      <c r="B3572" s="393"/>
      <c r="C3572" s="99" t="str">
        <f>IF(B3572="","",IF(NOT(ISNUMBER(B3572)),"DATA_PC invalida",IF(NOT(ISNUMBER(parametros!$C$2)),"Fora dos ciclos",IF(OR(B3572&lt;parametros!$C$2,(YEAR(B3572)-YEAR(parametros!$C$2))*12+MONTH(B3572)-MONTH(parametros!$C$2)&gt;59),"Fora dos ciclos","C"&amp;INT(((YEAR(B3572)-YEAR(parametros!$C$2))*12+MONTH(B3572)-MONTH(parametros!$C$2))/12)))))</f>
        <v/>
      </c>
      <c r="D3572" s="394"/>
      <c r="E3572" s="78" t="str">
        <f>IF(C3572="","",IFERROR(VLOOKUP(C3572,parametros!$A$11:$E$15,5,0),""))</f>
        <v/>
      </c>
      <c r="F3572" s="79" t="str">
        <f t="shared" si="277"/>
        <v/>
      </c>
      <c r="G3572" s="395"/>
      <c r="H3572" s="91">
        <f t="shared" si="278"/>
        <v>0</v>
      </c>
      <c r="I3572" s="91" t="str">
        <f t="shared" si="279"/>
        <v/>
      </c>
      <c r="J3572" s="91" t="str">
        <f t="shared" si="280"/>
        <v/>
      </c>
      <c r="K3572" s="92" t="str">
        <f>IF(AND(A3572="",B3572="",D3572="",G3572=""),"",IF(AND(A3572&lt;&gt;"",COUNTIF($A$2:$A$5001,A3572)&gt;1),"NUMERO_PC duplicado",IF(B3572="","DATA_PC vazia",IF(NOT(ISNUMBER(B3572)),"DATA_PC invalida",IF(OR(C3572="",C3572="Fora dos ciclos"),"CICLO_PC nao identificado",IF(OR(D3572="",D3572=0),"VALOR_PC vazio ou zero",IF(AND(G3572&lt;&gt;"Sim",G3572&lt;&gt;"Nao",G3572&lt;&gt;""),"PC_PAGO_A_CONTRATADA invalido",IF(AND(C3572&lt;&gt;"C0",IFERROR(INDEX(parametros!$A$2:$A$6,MATCH(C3572,parametros!$B$2:$B$6,0)),"")="Sim",IFERROR(INDEX(parametros!$H$2:$H$6,MATCH(C3572,parametros!$B$2:$B$6,0)),"")=""),"INICIO_EFEITO ausente: PC "&amp;A3572&amp;" - "&amp;C3572,IF(L3572="","EFEITO_PC nao calculado: PC "&amp;A3572&amp;" - "&amp;C3572,"OK")))))))))</f>
        <v/>
      </c>
      <c r="L3572" s="92" t="str">
        <f>IF(AND(A3572="",B3572="",D3572="",G3572=""),"",IF(OR(B3572="",NOT(ISNUMBER(B3572)),C3572="",C3572="Fora dos ciclos"),"",IF(C3572="C0","Nao",IF(IFERROR(INDEX(parametros!$A$2:$A$6,MATCH(C3572,parametros!$B$2:$B$6,0)),"")&lt;&gt;"Sim","Nao",IF(IFERROR(INDEX(parametros!$H$2:$H$6,MATCH(C3572,parametros!$B$2:$B$6,0)),"")="","",IF(B3572&gt;=IFERROR(INDEX(parametros!$H$2:$H$6,MATCH(C3572,parametros!$B$2:$B$6,0)),""),"Sim","Nao"))))))</f>
        <v/>
      </c>
      <c r="T3572" s="156"/>
      <c r="U3572" s="214" t="str">
        <f t="shared" si="281"/>
        <v/>
      </c>
      <c r="V3572" s="212" t="s">
        <v>50</v>
      </c>
      <c r="W3572" s="100" t="s">
        <v>168</v>
      </c>
      <c r="X3572" s="100" t="s">
        <v>169</v>
      </c>
      <c r="Y3572" s="101" t="s">
        <v>170</v>
      </c>
      <c r="Z3572" s="101" t="s">
        <v>171</v>
      </c>
      <c r="AA3572" s="101" t="s">
        <v>50</v>
      </c>
      <c r="AB3572" s="101" t="s">
        <v>172</v>
      </c>
      <c r="AC3572" s="102" t="s">
        <v>173</v>
      </c>
    </row>
    <row r="3573" spans="1:29" ht="25.5" customHeight="1" x14ac:dyDescent="0.35">
      <c r="A3573" s="392"/>
      <c r="B3573" s="393"/>
      <c r="C3573" s="99" t="str">
        <f>IF(B3573="","",IF(NOT(ISNUMBER(B3573)),"DATA_PC invalida",IF(NOT(ISNUMBER(parametros!$C$2)),"Fora dos ciclos",IF(OR(B3573&lt;parametros!$C$2,(YEAR(B3573)-YEAR(parametros!$C$2))*12+MONTH(B3573)-MONTH(parametros!$C$2)&gt;59),"Fora dos ciclos","C"&amp;INT(((YEAR(B3573)-YEAR(parametros!$C$2))*12+MONTH(B3573)-MONTH(parametros!$C$2))/12)))))</f>
        <v/>
      </c>
      <c r="D3573" s="394"/>
      <c r="E3573" s="78" t="str">
        <f>IF(C3573="","",IFERROR(VLOOKUP(C3573,parametros!$A$11:$E$15,5,0),""))</f>
        <v/>
      </c>
      <c r="F3573" s="79" t="str">
        <f t="shared" si="277"/>
        <v/>
      </c>
      <c r="G3573" s="395"/>
      <c r="H3573" s="91">
        <f t="shared" si="278"/>
        <v>0</v>
      </c>
      <c r="I3573" s="91" t="str">
        <f t="shared" si="279"/>
        <v/>
      </c>
      <c r="J3573" s="91" t="str">
        <f t="shared" si="280"/>
        <v/>
      </c>
      <c r="K3573" s="92" t="str">
        <f>IF(AND(A3573="",B3573="",D3573="",G3573=""),"",IF(AND(A3573&lt;&gt;"",COUNTIF($A$2:$A$5001,A3573)&gt;1),"NUMERO_PC duplicado",IF(B3573="","DATA_PC vazia",IF(NOT(ISNUMBER(B3573)),"DATA_PC invalida",IF(OR(C3573="",C3573="Fora dos ciclos"),"CICLO_PC nao identificado",IF(OR(D3573="",D3573=0),"VALOR_PC vazio ou zero",IF(AND(G3573&lt;&gt;"Sim",G3573&lt;&gt;"Nao",G3573&lt;&gt;""),"PC_PAGO_A_CONTRATADA invalido",IF(AND(C3573&lt;&gt;"C0",IFERROR(INDEX(parametros!$A$2:$A$6,MATCH(C3573,parametros!$B$2:$B$6,0)),"")="Sim",IFERROR(INDEX(parametros!$H$2:$H$6,MATCH(C3573,parametros!$B$2:$B$6,0)),"")=""),"INICIO_EFEITO ausente: PC "&amp;A3573&amp;" - "&amp;C3573,IF(L3573="","EFEITO_PC nao calculado: PC "&amp;A3573&amp;" - "&amp;C3573,"OK")))))))))</f>
        <v/>
      </c>
      <c r="L3573" s="92" t="str">
        <f>IF(AND(A3573="",B3573="",D3573="",G3573=""),"",IF(OR(B3573="",NOT(ISNUMBER(B3573)),C3573="",C3573="Fora dos ciclos"),"",IF(C3573="C0","Nao",IF(IFERROR(INDEX(parametros!$A$2:$A$6,MATCH(C3573,parametros!$B$2:$B$6,0)),"")&lt;&gt;"Sim","Nao",IF(IFERROR(INDEX(parametros!$H$2:$H$6,MATCH(C3573,parametros!$B$2:$B$6,0)),"")="","",IF(B3573&gt;=IFERROR(INDEX(parametros!$H$2:$H$6,MATCH(C3573,parametros!$B$2:$B$6,0)),""),"Sim","Nao"))))))</f>
        <v/>
      </c>
      <c r="T3573" s="156"/>
      <c r="U3573" s="214" t="str">
        <f t="shared" si="281"/>
        <v/>
      </c>
      <c r="V3573" s="212" t="s">
        <v>50</v>
      </c>
      <c r="W3573" s="100" t="s">
        <v>168</v>
      </c>
      <c r="X3573" s="100" t="s">
        <v>169</v>
      </c>
      <c r="Y3573" s="101" t="s">
        <v>170</v>
      </c>
      <c r="Z3573" s="101" t="s">
        <v>171</v>
      </c>
      <c r="AA3573" s="101" t="s">
        <v>50</v>
      </c>
      <c r="AB3573" s="101" t="s">
        <v>172</v>
      </c>
      <c r="AC3573" s="102" t="s">
        <v>173</v>
      </c>
    </row>
    <row r="3574" spans="1:29" ht="25.5" customHeight="1" x14ac:dyDescent="0.35">
      <c r="A3574" s="392"/>
      <c r="B3574" s="393"/>
      <c r="C3574" s="99" t="str">
        <f>IF(B3574="","",IF(NOT(ISNUMBER(B3574)),"DATA_PC invalida",IF(NOT(ISNUMBER(parametros!$C$2)),"Fora dos ciclos",IF(OR(B3574&lt;parametros!$C$2,(YEAR(B3574)-YEAR(parametros!$C$2))*12+MONTH(B3574)-MONTH(parametros!$C$2)&gt;59),"Fora dos ciclos","C"&amp;INT(((YEAR(B3574)-YEAR(parametros!$C$2))*12+MONTH(B3574)-MONTH(parametros!$C$2))/12)))))</f>
        <v/>
      </c>
      <c r="D3574" s="394"/>
      <c r="E3574" s="78" t="str">
        <f>IF(C3574="","",IFERROR(VLOOKUP(C3574,parametros!$A$11:$E$15,5,0),""))</f>
        <v/>
      </c>
      <c r="F3574" s="79" t="str">
        <f t="shared" si="277"/>
        <v/>
      </c>
      <c r="G3574" s="395"/>
      <c r="H3574" s="91">
        <f t="shared" si="278"/>
        <v>0</v>
      </c>
      <c r="I3574" s="91" t="str">
        <f t="shared" si="279"/>
        <v/>
      </c>
      <c r="J3574" s="91" t="str">
        <f t="shared" si="280"/>
        <v/>
      </c>
      <c r="K3574" s="92" t="str">
        <f>IF(AND(A3574="",B3574="",D3574="",G3574=""),"",IF(AND(A3574&lt;&gt;"",COUNTIF($A$2:$A$5001,A3574)&gt;1),"NUMERO_PC duplicado",IF(B3574="","DATA_PC vazia",IF(NOT(ISNUMBER(B3574)),"DATA_PC invalida",IF(OR(C3574="",C3574="Fora dos ciclos"),"CICLO_PC nao identificado",IF(OR(D3574="",D3574=0),"VALOR_PC vazio ou zero",IF(AND(G3574&lt;&gt;"Sim",G3574&lt;&gt;"Nao",G3574&lt;&gt;""),"PC_PAGO_A_CONTRATADA invalido",IF(AND(C3574&lt;&gt;"C0",IFERROR(INDEX(parametros!$A$2:$A$6,MATCH(C3574,parametros!$B$2:$B$6,0)),"")="Sim",IFERROR(INDEX(parametros!$H$2:$H$6,MATCH(C3574,parametros!$B$2:$B$6,0)),"")=""),"INICIO_EFEITO ausente: PC "&amp;A3574&amp;" - "&amp;C3574,IF(L3574="","EFEITO_PC nao calculado: PC "&amp;A3574&amp;" - "&amp;C3574,"OK")))))))))</f>
        <v/>
      </c>
      <c r="L3574" s="92" t="str">
        <f>IF(AND(A3574="",B3574="",D3574="",G3574=""),"",IF(OR(B3574="",NOT(ISNUMBER(B3574)),C3574="",C3574="Fora dos ciclos"),"",IF(C3574="C0","Nao",IF(IFERROR(INDEX(parametros!$A$2:$A$6,MATCH(C3574,parametros!$B$2:$B$6,0)),"")&lt;&gt;"Sim","Nao",IF(IFERROR(INDEX(parametros!$H$2:$H$6,MATCH(C3574,parametros!$B$2:$B$6,0)),"")="","",IF(B3574&gt;=IFERROR(INDEX(parametros!$H$2:$H$6,MATCH(C3574,parametros!$B$2:$B$6,0)),""),"Sim","Nao"))))))</f>
        <v/>
      </c>
      <c r="T3574" s="156"/>
      <c r="U3574" s="214" t="str">
        <f t="shared" si="281"/>
        <v/>
      </c>
      <c r="V3574" s="212" t="s">
        <v>50</v>
      </c>
      <c r="W3574" s="100" t="s">
        <v>168</v>
      </c>
      <c r="X3574" s="100" t="s">
        <v>169</v>
      </c>
      <c r="Y3574" s="101" t="s">
        <v>170</v>
      </c>
      <c r="Z3574" s="101" t="s">
        <v>171</v>
      </c>
      <c r="AA3574" s="101" t="s">
        <v>50</v>
      </c>
      <c r="AB3574" s="101" t="s">
        <v>172</v>
      </c>
      <c r="AC3574" s="102" t="s">
        <v>173</v>
      </c>
    </row>
    <row r="3575" spans="1:29" ht="25.5" customHeight="1" x14ac:dyDescent="0.35">
      <c r="A3575" s="392"/>
      <c r="B3575" s="393"/>
      <c r="C3575" s="99" t="str">
        <f>IF(B3575="","",IF(NOT(ISNUMBER(B3575)),"DATA_PC invalida",IF(NOT(ISNUMBER(parametros!$C$2)),"Fora dos ciclos",IF(OR(B3575&lt;parametros!$C$2,(YEAR(B3575)-YEAR(parametros!$C$2))*12+MONTH(B3575)-MONTH(parametros!$C$2)&gt;59),"Fora dos ciclos","C"&amp;INT(((YEAR(B3575)-YEAR(parametros!$C$2))*12+MONTH(B3575)-MONTH(parametros!$C$2))/12)))))</f>
        <v/>
      </c>
      <c r="D3575" s="394"/>
      <c r="E3575" s="78" t="str">
        <f>IF(C3575="","",IFERROR(VLOOKUP(C3575,parametros!$A$11:$E$15,5,0),""))</f>
        <v/>
      </c>
      <c r="F3575" s="79" t="str">
        <f t="shared" si="277"/>
        <v/>
      </c>
      <c r="G3575" s="395"/>
      <c r="H3575" s="91">
        <f t="shared" si="278"/>
        <v>0</v>
      </c>
      <c r="I3575" s="91" t="str">
        <f t="shared" si="279"/>
        <v/>
      </c>
      <c r="J3575" s="91" t="str">
        <f t="shared" si="280"/>
        <v/>
      </c>
      <c r="K3575" s="92" t="str">
        <f>IF(AND(A3575="",B3575="",D3575="",G3575=""),"",IF(AND(A3575&lt;&gt;"",COUNTIF($A$2:$A$5001,A3575)&gt;1),"NUMERO_PC duplicado",IF(B3575="","DATA_PC vazia",IF(NOT(ISNUMBER(B3575)),"DATA_PC invalida",IF(OR(C3575="",C3575="Fora dos ciclos"),"CICLO_PC nao identificado",IF(OR(D3575="",D3575=0),"VALOR_PC vazio ou zero",IF(AND(G3575&lt;&gt;"Sim",G3575&lt;&gt;"Nao",G3575&lt;&gt;""),"PC_PAGO_A_CONTRATADA invalido",IF(AND(C3575&lt;&gt;"C0",IFERROR(INDEX(parametros!$A$2:$A$6,MATCH(C3575,parametros!$B$2:$B$6,0)),"")="Sim",IFERROR(INDEX(parametros!$H$2:$H$6,MATCH(C3575,parametros!$B$2:$B$6,0)),"")=""),"INICIO_EFEITO ausente: PC "&amp;A3575&amp;" - "&amp;C3575,IF(L3575="","EFEITO_PC nao calculado: PC "&amp;A3575&amp;" - "&amp;C3575,"OK")))))))))</f>
        <v/>
      </c>
      <c r="L3575" s="92" t="str">
        <f>IF(AND(A3575="",B3575="",D3575="",G3575=""),"",IF(OR(B3575="",NOT(ISNUMBER(B3575)),C3575="",C3575="Fora dos ciclos"),"",IF(C3575="C0","Nao",IF(IFERROR(INDEX(parametros!$A$2:$A$6,MATCH(C3575,parametros!$B$2:$B$6,0)),"")&lt;&gt;"Sim","Nao",IF(IFERROR(INDEX(parametros!$H$2:$H$6,MATCH(C3575,parametros!$B$2:$B$6,0)),"")="","",IF(B3575&gt;=IFERROR(INDEX(parametros!$H$2:$H$6,MATCH(C3575,parametros!$B$2:$B$6,0)),""),"Sim","Nao"))))))</f>
        <v/>
      </c>
      <c r="T3575" s="156"/>
      <c r="U3575" s="214" t="str">
        <f t="shared" si="281"/>
        <v/>
      </c>
      <c r="V3575" s="212" t="s">
        <v>50</v>
      </c>
      <c r="W3575" s="100" t="s">
        <v>168</v>
      </c>
      <c r="X3575" s="100" t="s">
        <v>169</v>
      </c>
      <c r="Y3575" s="101" t="s">
        <v>170</v>
      </c>
      <c r="Z3575" s="101" t="s">
        <v>171</v>
      </c>
      <c r="AA3575" s="101" t="s">
        <v>50</v>
      </c>
      <c r="AB3575" s="101" t="s">
        <v>172</v>
      </c>
      <c r="AC3575" s="102" t="s">
        <v>173</v>
      </c>
    </row>
    <row r="3576" spans="1:29" ht="25.5" customHeight="1" x14ac:dyDescent="0.35">
      <c r="A3576" s="392"/>
      <c r="B3576" s="393"/>
      <c r="C3576" s="99" t="str">
        <f>IF(B3576="","",IF(NOT(ISNUMBER(B3576)),"DATA_PC invalida",IF(NOT(ISNUMBER(parametros!$C$2)),"Fora dos ciclos",IF(OR(B3576&lt;parametros!$C$2,(YEAR(B3576)-YEAR(parametros!$C$2))*12+MONTH(B3576)-MONTH(parametros!$C$2)&gt;59),"Fora dos ciclos","C"&amp;INT(((YEAR(B3576)-YEAR(parametros!$C$2))*12+MONTH(B3576)-MONTH(parametros!$C$2))/12)))))</f>
        <v/>
      </c>
      <c r="D3576" s="394"/>
      <c r="E3576" s="78" t="str">
        <f>IF(C3576="","",IFERROR(VLOOKUP(C3576,parametros!$A$11:$E$15,5,0),""))</f>
        <v/>
      </c>
      <c r="F3576" s="79" t="str">
        <f t="shared" si="277"/>
        <v/>
      </c>
      <c r="G3576" s="395"/>
      <c r="H3576" s="91">
        <f t="shared" si="278"/>
        <v>0</v>
      </c>
      <c r="I3576" s="91" t="str">
        <f t="shared" si="279"/>
        <v/>
      </c>
      <c r="J3576" s="91" t="str">
        <f t="shared" si="280"/>
        <v/>
      </c>
      <c r="K3576" s="92" t="str">
        <f>IF(AND(A3576="",B3576="",D3576="",G3576=""),"",IF(AND(A3576&lt;&gt;"",COUNTIF($A$2:$A$5001,A3576)&gt;1),"NUMERO_PC duplicado",IF(B3576="","DATA_PC vazia",IF(NOT(ISNUMBER(B3576)),"DATA_PC invalida",IF(OR(C3576="",C3576="Fora dos ciclos"),"CICLO_PC nao identificado",IF(OR(D3576="",D3576=0),"VALOR_PC vazio ou zero",IF(AND(G3576&lt;&gt;"Sim",G3576&lt;&gt;"Nao",G3576&lt;&gt;""),"PC_PAGO_A_CONTRATADA invalido",IF(AND(C3576&lt;&gt;"C0",IFERROR(INDEX(parametros!$A$2:$A$6,MATCH(C3576,parametros!$B$2:$B$6,0)),"")="Sim",IFERROR(INDEX(parametros!$H$2:$H$6,MATCH(C3576,parametros!$B$2:$B$6,0)),"")=""),"INICIO_EFEITO ausente: PC "&amp;A3576&amp;" - "&amp;C3576,IF(L3576="","EFEITO_PC nao calculado: PC "&amp;A3576&amp;" - "&amp;C3576,"OK")))))))))</f>
        <v/>
      </c>
      <c r="L3576" s="92" t="str">
        <f>IF(AND(A3576="",B3576="",D3576="",G3576=""),"",IF(OR(B3576="",NOT(ISNUMBER(B3576)),C3576="",C3576="Fora dos ciclos"),"",IF(C3576="C0","Nao",IF(IFERROR(INDEX(parametros!$A$2:$A$6,MATCH(C3576,parametros!$B$2:$B$6,0)),"")&lt;&gt;"Sim","Nao",IF(IFERROR(INDEX(parametros!$H$2:$H$6,MATCH(C3576,parametros!$B$2:$B$6,0)),"")="","",IF(B3576&gt;=IFERROR(INDEX(parametros!$H$2:$H$6,MATCH(C3576,parametros!$B$2:$B$6,0)),""),"Sim","Nao"))))))</f>
        <v/>
      </c>
      <c r="T3576" s="156"/>
      <c r="U3576" s="214" t="str">
        <f t="shared" si="281"/>
        <v/>
      </c>
      <c r="V3576" s="212" t="s">
        <v>50</v>
      </c>
      <c r="W3576" s="100" t="s">
        <v>168</v>
      </c>
      <c r="X3576" s="100" t="s">
        <v>169</v>
      </c>
      <c r="Y3576" s="101" t="s">
        <v>170</v>
      </c>
      <c r="Z3576" s="101" t="s">
        <v>171</v>
      </c>
      <c r="AA3576" s="101" t="s">
        <v>50</v>
      </c>
      <c r="AB3576" s="101" t="s">
        <v>172</v>
      </c>
      <c r="AC3576" s="102" t="s">
        <v>173</v>
      </c>
    </row>
    <row r="3577" spans="1:29" ht="25.5" customHeight="1" x14ac:dyDescent="0.35">
      <c r="A3577" s="392"/>
      <c r="B3577" s="393"/>
      <c r="C3577" s="99" t="str">
        <f>IF(B3577="","",IF(NOT(ISNUMBER(B3577)),"DATA_PC invalida",IF(NOT(ISNUMBER(parametros!$C$2)),"Fora dos ciclos",IF(OR(B3577&lt;parametros!$C$2,(YEAR(B3577)-YEAR(parametros!$C$2))*12+MONTH(B3577)-MONTH(parametros!$C$2)&gt;59),"Fora dos ciclos","C"&amp;INT(((YEAR(B3577)-YEAR(parametros!$C$2))*12+MONTH(B3577)-MONTH(parametros!$C$2))/12)))))</f>
        <v/>
      </c>
      <c r="D3577" s="394"/>
      <c r="E3577" s="78" t="str">
        <f>IF(C3577="","",IFERROR(VLOOKUP(C3577,parametros!$A$11:$E$15,5,0),""))</f>
        <v/>
      </c>
      <c r="F3577" s="79" t="str">
        <f t="shared" si="277"/>
        <v/>
      </c>
      <c r="G3577" s="395"/>
      <c r="H3577" s="91">
        <f t="shared" si="278"/>
        <v>0</v>
      </c>
      <c r="I3577" s="91" t="str">
        <f t="shared" si="279"/>
        <v/>
      </c>
      <c r="J3577" s="91" t="str">
        <f t="shared" si="280"/>
        <v/>
      </c>
      <c r="K3577" s="92" t="str">
        <f>IF(AND(A3577="",B3577="",D3577="",G3577=""),"",IF(AND(A3577&lt;&gt;"",COUNTIF($A$2:$A$5001,A3577)&gt;1),"NUMERO_PC duplicado",IF(B3577="","DATA_PC vazia",IF(NOT(ISNUMBER(B3577)),"DATA_PC invalida",IF(OR(C3577="",C3577="Fora dos ciclos"),"CICLO_PC nao identificado",IF(OR(D3577="",D3577=0),"VALOR_PC vazio ou zero",IF(AND(G3577&lt;&gt;"Sim",G3577&lt;&gt;"Nao",G3577&lt;&gt;""),"PC_PAGO_A_CONTRATADA invalido",IF(AND(C3577&lt;&gt;"C0",IFERROR(INDEX(parametros!$A$2:$A$6,MATCH(C3577,parametros!$B$2:$B$6,0)),"")="Sim",IFERROR(INDEX(parametros!$H$2:$H$6,MATCH(C3577,parametros!$B$2:$B$6,0)),"")=""),"INICIO_EFEITO ausente: PC "&amp;A3577&amp;" - "&amp;C3577,IF(L3577="","EFEITO_PC nao calculado: PC "&amp;A3577&amp;" - "&amp;C3577,"OK")))))))))</f>
        <v/>
      </c>
      <c r="L3577" s="92" t="str">
        <f>IF(AND(A3577="",B3577="",D3577="",G3577=""),"",IF(OR(B3577="",NOT(ISNUMBER(B3577)),C3577="",C3577="Fora dos ciclos"),"",IF(C3577="C0","Nao",IF(IFERROR(INDEX(parametros!$A$2:$A$6,MATCH(C3577,parametros!$B$2:$B$6,0)),"")&lt;&gt;"Sim","Nao",IF(IFERROR(INDEX(parametros!$H$2:$H$6,MATCH(C3577,parametros!$B$2:$B$6,0)),"")="","",IF(B3577&gt;=IFERROR(INDEX(parametros!$H$2:$H$6,MATCH(C3577,parametros!$B$2:$B$6,0)),""),"Sim","Nao"))))))</f>
        <v/>
      </c>
      <c r="T3577" s="156"/>
      <c r="U3577" s="214" t="str">
        <f t="shared" si="281"/>
        <v/>
      </c>
      <c r="V3577" s="212" t="s">
        <v>50</v>
      </c>
      <c r="W3577" s="100" t="s">
        <v>168</v>
      </c>
      <c r="X3577" s="100" t="s">
        <v>169</v>
      </c>
      <c r="Y3577" s="101" t="s">
        <v>170</v>
      </c>
      <c r="Z3577" s="101" t="s">
        <v>171</v>
      </c>
      <c r="AA3577" s="101" t="s">
        <v>50</v>
      </c>
      <c r="AB3577" s="101" t="s">
        <v>172</v>
      </c>
      <c r="AC3577" s="102" t="s">
        <v>173</v>
      </c>
    </row>
    <row r="3578" spans="1:29" ht="25.5" customHeight="1" x14ac:dyDescent="0.35">
      <c r="A3578" s="392"/>
      <c r="B3578" s="393"/>
      <c r="C3578" s="99" t="str">
        <f>IF(B3578="","",IF(NOT(ISNUMBER(B3578)),"DATA_PC invalida",IF(NOT(ISNUMBER(parametros!$C$2)),"Fora dos ciclos",IF(OR(B3578&lt;parametros!$C$2,(YEAR(B3578)-YEAR(parametros!$C$2))*12+MONTH(B3578)-MONTH(parametros!$C$2)&gt;59),"Fora dos ciclos","C"&amp;INT(((YEAR(B3578)-YEAR(parametros!$C$2))*12+MONTH(B3578)-MONTH(parametros!$C$2))/12)))))</f>
        <v/>
      </c>
      <c r="D3578" s="394"/>
      <c r="E3578" s="78" t="str">
        <f>IF(C3578="","",IFERROR(VLOOKUP(C3578,parametros!$A$11:$E$15,5,0),""))</f>
        <v/>
      </c>
      <c r="F3578" s="79" t="str">
        <f t="shared" si="277"/>
        <v/>
      </c>
      <c r="G3578" s="395"/>
      <c r="H3578" s="91">
        <f t="shared" si="278"/>
        <v>0</v>
      </c>
      <c r="I3578" s="91" t="str">
        <f t="shared" si="279"/>
        <v/>
      </c>
      <c r="J3578" s="91" t="str">
        <f t="shared" si="280"/>
        <v/>
      </c>
      <c r="K3578" s="92" t="str">
        <f>IF(AND(A3578="",B3578="",D3578="",G3578=""),"",IF(AND(A3578&lt;&gt;"",COUNTIF($A$2:$A$5001,A3578)&gt;1),"NUMERO_PC duplicado",IF(B3578="","DATA_PC vazia",IF(NOT(ISNUMBER(B3578)),"DATA_PC invalida",IF(OR(C3578="",C3578="Fora dos ciclos"),"CICLO_PC nao identificado",IF(OR(D3578="",D3578=0),"VALOR_PC vazio ou zero",IF(AND(G3578&lt;&gt;"Sim",G3578&lt;&gt;"Nao",G3578&lt;&gt;""),"PC_PAGO_A_CONTRATADA invalido",IF(AND(C3578&lt;&gt;"C0",IFERROR(INDEX(parametros!$A$2:$A$6,MATCH(C3578,parametros!$B$2:$B$6,0)),"")="Sim",IFERROR(INDEX(parametros!$H$2:$H$6,MATCH(C3578,parametros!$B$2:$B$6,0)),"")=""),"INICIO_EFEITO ausente: PC "&amp;A3578&amp;" - "&amp;C3578,IF(L3578="","EFEITO_PC nao calculado: PC "&amp;A3578&amp;" - "&amp;C3578,"OK")))))))))</f>
        <v/>
      </c>
      <c r="L3578" s="92" t="str">
        <f>IF(AND(A3578="",B3578="",D3578="",G3578=""),"",IF(OR(B3578="",NOT(ISNUMBER(B3578)),C3578="",C3578="Fora dos ciclos"),"",IF(C3578="C0","Nao",IF(IFERROR(INDEX(parametros!$A$2:$A$6,MATCH(C3578,parametros!$B$2:$B$6,0)),"")&lt;&gt;"Sim","Nao",IF(IFERROR(INDEX(parametros!$H$2:$H$6,MATCH(C3578,parametros!$B$2:$B$6,0)),"")="","",IF(B3578&gt;=IFERROR(INDEX(parametros!$H$2:$H$6,MATCH(C3578,parametros!$B$2:$B$6,0)),""),"Sim","Nao"))))))</f>
        <v/>
      </c>
      <c r="T3578" s="156"/>
      <c r="U3578" s="214" t="str">
        <f t="shared" si="281"/>
        <v/>
      </c>
      <c r="V3578" s="212" t="s">
        <v>50</v>
      </c>
      <c r="W3578" s="100" t="s">
        <v>168</v>
      </c>
      <c r="X3578" s="100" t="s">
        <v>169</v>
      </c>
      <c r="Y3578" s="101" t="s">
        <v>170</v>
      </c>
      <c r="Z3578" s="101" t="s">
        <v>171</v>
      </c>
      <c r="AA3578" s="101" t="s">
        <v>50</v>
      </c>
      <c r="AB3578" s="101" t="s">
        <v>172</v>
      </c>
      <c r="AC3578" s="102" t="s">
        <v>173</v>
      </c>
    </row>
    <row r="3579" spans="1:29" ht="25.5" customHeight="1" x14ac:dyDescent="0.35">
      <c r="A3579" s="392"/>
      <c r="B3579" s="393"/>
      <c r="C3579" s="99" t="str">
        <f>IF(B3579="","",IF(NOT(ISNUMBER(B3579)),"DATA_PC invalida",IF(NOT(ISNUMBER(parametros!$C$2)),"Fora dos ciclos",IF(OR(B3579&lt;parametros!$C$2,(YEAR(B3579)-YEAR(parametros!$C$2))*12+MONTH(B3579)-MONTH(parametros!$C$2)&gt;59),"Fora dos ciclos","C"&amp;INT(((YEAR(B3579)-YEAR(parametros!$C$2))*12+MONTH(B3579)-MONTH(parametros!$C$2))/12)))))</f>
        <v/>
      </c>
      <c r="D3579" s="394"/>
      <c r="E3579" s="78" t="str">
        <f>IF(C3579="","",IFERROR(VLOOKUP(C3579,parametros!$A$11:$E$15,5,0),""))</f>
        <v/>
      </c>
      <c r="F3579" s="79" t="str">
        <f t="shared" si="277"/>
        <v/>
      </c>
      <c r="G3579" s="395"/>
      <c r="H3579" s="91">
        <f t="shared" si="278"/>
        <v>0</v>
      </c>
      <c r="I3579" s="91" t="str">
        <f t="shared" si="279"/>
        <v/>
      </c>
      <c r="J3579" s="91" t="str">
        <f t="shared" si="280"/>
        <v/>
      </c>
      <c r="K3579" s="92" t="str">
        <f>IF(AND(A3579="",B3579="",D3579="",G3579=""),"",IF(AND(A3579&lt;&gt;"",COUNTIF($A$2:$A$5001,A3579)&gt;1),"NUMERO_PC duplicado",IF(B3579="","DATA_PC vazia",IF(NOT(ISNUMBER(B3579)),"DATA_PC invalida",IF(OR(C3579="",C3579="Fora dos ciclos"),"CICLO_PC nao identificado",IF(OR(D3579="",D3579=0),"VALOR_PC vazio ou zero",IF(AND(G3579&lt;&gt;"Sim",G3579&lt;&gt;"Nao",G3579&lt;&gt;""),"PC_PAGO_A_CONTRATADA invalido",IF(AND(C3579&lt;&gt;"C0",IFERROR(INDEX(parametros!$A$2:$A$6,MATCH(C3579,parametros!$B$2:$B$6,0)),"")="Sim",IFERROR(INDEX(parametros!$H$2:$H$6,MATCH(C3579,parametros!$B$2:$B$6,0)),"")=""),"INICIO_EFEITO ausente: PC "&amp;A3579&amp;" - "&amp;C3579,IF(L3579="","EFEITO_PC nao calculado: PC "&amp;A3579&amp;" - "&amp;C3579,"OK")))))))))</f>
        <v/>
      </c>
      <c r="L3579" s="92" t="str">
        <f>IF(AND(A3579="",B3579="",D3579="",G3579=""),"",IF(OR(B3579="",NOT(ISNUMBER(B3579)),C3579="",C3579="Fora dos ciclos"),"",IF(C3579="C0","Nao",IF(IFERROR(INDEX(parametros!$A$2:$A$6,MATCH(C3579,parametros!$B$2:$B$6,0)),"")&lt;&gt;"Sim","Nao",IF(IFERROR(INDEX(parametros!$H$2:$H$6,MATCH(C3579,parametros!$B$2:$B$6,0)),"")="","",IF(B3579&gt;=IFERROR(INDEX(parametros!$H$2:$H$6,MATCH(C3579,parametros!$B$2:$B$6,0)),""),"Sim","Nao"))))))</f>
        <v/>
      </c>
      <c r="T3579" s="156"/>
      <c r="U3579" s="214" t="str">
        <f t="shared" si="281"/>
        <v/>
      </c>
      <c r="V3579" s="212" t="s">
        <v>50</v>
      </c>
      <c r="W3579" s="100" t="s">
        <v>168</v>
      </c>
      <c r="X3579" s="100" t="s">
        <v>169</v>
      </c>
      <c r="Y3579" s="101" t="s">
        <v>170</v>
      </c>
      <c r="Z3579" s="101" t="s">
        <v>171</v>
      </c>
      <c r="AA3579" s="101" t="s">
        <v>50</v>
      </c>
      <c r="AB3579" s="101" t="s">
        <v>172</v>
      </c>
      <c r="AC3579" s="102" t="s">
        <v>173</v>
      </c>
    </row>
    <row r="3580" spans="1:29" ht="25.5" customHeight="1" x14ac:dyDescent="0.35">
      <c r="A3580" s="392"/>
      <c r="B3580" s="393"/>
      <c r="C3580" s="99" t="str">
        <f>IF(B3580="","",IF(NOT(ISNUMBER(B3580)),"DATA_PC invalida",IF(NOT(ISNUMBER(parametros!$C$2)),"Fora dos ciclos",IF(OR(B3580&lt;parametros!$C$2,(YEAR(B3580)-YEAR(parametros!$C$2))*12+MONTH(B3580)-MONTH(parametros!$C$2)&gt;59),"Fora dos ciclos","C"&amp;INT(((YEAR(B3580)-YEAR(parametros!$C$2))*12+MONTH(B3580)-MONTH(parametros!$C$2))/12)))))</f>
        <v/>
      </c>
      <c r="D3580" s="394"/>
      <c r="E3580" s="78" t="str">
        <f>IF(C3580="","",IFERROR(VLOOKUP(C3580,parametros!$A$11:$E$15,5,0),""))</f>
        <v/>
      </c>
      <c r="F3580" s="79" t="str">
        <f t="shared" si="277"/>
        <v/>
      </c>
      <c r="G3580" s="395"/>
      <c r="H3580" s="91">
        <f t="shared" si="278"/>
        <v>0</v>
      </c>
      <c r="I3580" s="91" t="str">
        <f t="shared" si="279"/>
        <v/>
      </c>
      <c r="J3580" s="91" t="str">
        <f t="shared" si="280"/>
        <v/>
      </c>
      <c r="K3580" s="92" t="str">
        <f>IF(AND(A3580="",B3580="",D3580="",G3580=""),"",IF(AND(A3580&lt;&gt;"",COUNTIF($A$2:$A$5001,A3580)&gt;1),"NUMERO_PC duplicado",IF(B3580="","DATA_PC vazia",IF(NOT(ISNUMBER(B3580)),"DATA_PC invalida",IF(OR(C3580="",C3580="Fora dos ciclos"),"CICLO_PC nao identificado",IF(OR(D3580="",D3580=0),"VALOR_PC vazio ou zero",IF(AND(G3580&lt;&gt;"Sim",G3580&lt;&gt;"Nao",G3580&lt;&gt;""),"PC_PAGO_A_CONTRATADA invalido",IF(AND(C3580&lt;&gt;"C0",IFERROR(INDEX(parametros!$A$2:$A$6,MATCH(C3580,parametros!$B$2:$B$6,0)),"")="Sim",IFERROR(INDEX(parametros!$H$2:$H$6,MATCH(C3580,parametros!$B$2:$B$6,0)),"")=""),"INICIO_EFEITO ausente: PC "&amp;A3580&amp;" - "&amp;C3580,IF(L3580="","EFEITO_PC nao calculado: PC "&amp;A3580&amp;" - "&amp;C3580,"OK")))))))))</f>
        <v/>
      </c>
      <c r="L3580" s="92" t="str">
        <f>IF(AND(A3580="",B3580="",D3580="",G3580=""),"",IF(OR(B3580="",NOT(ISNUMBER(B3580)),C3580="",C3580="Fora dos ciclos"),"",IF(C3580="C0","Nao",IF(IFERROR(INDEX(parametros!$A$2:$A$6,MATCH(C3580,parametros!$B$2:$B$6,0)),"")&lt;&gt;"Sim","Nao",IF(IFERROR(INDEX(parametros!$H$2:$H$6,MATCH(C3580,parametros!$B$2:$B$6,0)),"")="","",IF(B3580&gt;=IFERROR(INDEX(parametros!$H$2:$H$6,MATCH(C3580,parametros!$B$2:$B$6,0)),""),"Sim","Nao"))))))</f>
        <v/>
      </c>
      <c r="T3580" s="156"/>
      <c r="U3580" s="214" t="str">
        <f t="shared" si="281"/>
        <v/>
      </c>
      <c r="V3580" s="212" t="s">
        <v>50</v>
      </c>
      <c r="W3580" s="100" t="s">
        <v>168</v>
      </c>
      <c r="X3580" s="100" t="s">
        <v>169</v>
      </c>
      <c r="Y3580" s="101" t="s">
        <v>170</v>
      </c>
      <c r="Z3580" s="101" t="s">
        <v>171</v>
      </c>
      <c r="AA3580" s="101" t="s">
        <v>50</v>
      </c>
      <c r="AB3580" s="101" t="s">
        <v>172</v>
      </c>
      <c r="AC3580" s="102" t="s">
        <v>173</v>
      </c>
    </row>
    <row r="3581" spans="1:29" ht="25.5" customHeight="1" x14ac:dyDescent="0.35">
      <c r="A3581" s="392"/>
      <c r="B3581" s="393"/>
      <c r="C3581" s="99" t="str">
        <f>IF(B3581="","",IF(NOT(ISNUMBER(B3581)),"DATA_PC invalida",IF(NOT(ISNUMBER(parametros!$C$2)),"Fora dos ciclos",IF(OR(B3581&lt;parametros!$C$2,(YEAR(B3581)-YEAR(parametros!$C$2))*12+MONTH(B3581)-MONTH(parametros!$C$2)&gt;59),"Fora dos ciclos","C"&amp;INT(((YEAR(B3581)-YEAR(parametros!$C$2))*12+MONTH(B3581)-MONTH(parametros!$C$2))/12)))))</f>
        <v/>
      </c>
      <c r="D3581" s="394"/>
      <c r="E3581" s="78" t="str">
        <f>IF(C3581="","",IFERROR(VLOOKUP(C3581,parametros!$A$11:$E$15,5,0),""))</f>
        <v/>
      </c>
      <c r="F3581" s="79" t="str">
        <f t="shared" si="277"/>
        <v/>
      </c>
      <c r="G3581" s="395"/>
      <c r="H3581" s="91">
        <f t="shared" si="278"/>
        <v>0</v>
      </c>
      <c r="I3581" s="91" t="str">
        <f t="shared" si="279"/>
        <v/>
      </c>
      <c r="J3581" s="91" t="str">
        <f t="shared" si="280"/>
        <v/>
      </c>
      <c r="K3581" s="92" t="str">
        <f>IF(AND(A3581="",B3581="",D3581="",G3581=""),"",IF(AND(A3581&lt;&gt;"",COUNTIF($A$2:$A$5001,A3581)&gt;1),"NUMERO_PC duplicado",IF(B3581="","DATA_PC vazia",IF(NOT(ISNUMBER(B3581)),"DATA_PC invalida",IF(OR(C3581="",C3581="Fora dos ciclos"),"CICLO_PC nao identificado",IF(OR(D3581="",D3581=0),"VALOR_PC vazio ou zero",IF(AND(G3581&lt;&gt;"Sim",G3581&lt;&gt;"Nao",G3581&lt;&gt;""),"PC_PAGO_A_CONTRATADA invalido",IF(AND(C3581&lt;&gt;"C0",IFERROR(INDEX(parametros!$A$2:$A$6,MATCH(C3581,parametros!$B$2:$B$6,0)),"")="Sim",IFERROR(INDEX(parametros!$H$2:$H$6,MATCH(C3581,parametros!$B$2:$B$6,0)),"")=""),"INICIO_EFEITO ausente: PC "&amp;A3581&amp;" - "&amp;C3581,IF(L3581="","EFEITO_PC nao calculado: PC "&amp;A3581&amp;" - "&amp;C3581,"OK")))))))))</f>
        <v/>
      </c>
      <c r="L3581" s="92" t="str">
        <f>IF(AND(A3581="",B3581="",D3581="",G3581=""),"",IF(OR(B3581="",NOT(ISNUMBER(B3581)),C3581="",C3581="Fora dos ciclos"),"",IF(C3581="C0","Nao",IF(IFERROR(INDEX(parametros!$A$2:$A$6,MATCH(C3581,parametros!$B$2:$B$6,0)),"")&lt;&gt;"Sim","Nao",IF(IFERROR(INDEX(parametros!$H$2:$H$6,MATCH(C3581,parametros!$B$2:$B$6,0)),"")="","",IF(B3581&gt;=IFERROR(INDEX(parametros!$H$2:$H$6,MATCH(C3581,parametros!$B$2:$B$6,0)),""),"Sim","Nao"))))))</f>
        <v/>
      </c>
      <c r="T3581" s="156"/>
      <c r="U3581" s="214" t="str">
        <f t="shared" si="281"/>
        <v/>
      </c>
      <c r="V3581" s="212" t="s">
        <v>50</v>
      </c>
      <c r="W3581" s="100" t="s">
        <v>168</v>
      </c>
      <c r="X3581" s="100" t="s">
        <v>169</v>
      </c>
      <c r="Y3581" s="101" t="s">
        <v>170</v>
      </c>
      <c r="Z3581" s="101" t="s">
        <v>171</v>
      </c>
      <c r="AA3581" s="101" t="s">
        <v>50</v>
      </c>
      <c r="AB3581" s="101" t="s">
        <v>172</v>
      </c>
      <c r="AC3581" s="102" t="s">
        <v>173</v>
      </c>
    </row>
    <row r="3582" spans="1:29" ht="25.5" customHeight="1" x14ac:dyDescent="0.35">
      <c r="A3582" s="392"/>
      <c r="B3582" s="393"/>
      <c r="C3582" s="99" t="str">
        <f>IF(B3582="","",IF(NOT(ISNUMBER(B3582)),"DATA_PC invalida",IF(NOT(ISNUMBER(parametros!$C$2)),"Fora dos ciclos",IF(OR(B3582&lt;parametros!$C$2,(YEAR(B3582)-YEAR(parametros!$C$2))*12+MONTH(B3582)-MONTH(parametros!$C$2)&gt;59),"Fora dos ciclos","C"&amp;INT(((YEAR(B3582)-YEAR(parametros!$C$2))*12+MONTH(B3582)-MONTH(parametros!$C$2))/12)))))</f>
        <v/>
      </c>
      <c r="D3582" s="394"/>
      <c r="E3582" s="78" t="str">
        <f>IF(C3582="","",IFERROR(VLOOKUP(C3582,parametros!$A$11:$E$15,5,0),""))</f>
        <v/>
      </c>
      <c r="F3582" s="79" t="str">
        <f t="shared" si="277"/>
        <v/>
      </c>
      <c r="G3582" s="395"/>
      <c r="H3582" s="91">
        <f t="shared" si="278"/>
        <v>0</v>
      </c>
      <c r="I3582" s="91" t="str">
        <f t="shared" si="279"/>
        <v/>
      </c>
      <c r="J3582" s="91" t="str">
        <f t="shared" si="280"/>
        <v/>
      </c>
      <c r="K3582" s="92" t="str">
        <f>IF(AND(A3582="",B3582="",D3582="",G3582=""),"",IF(AND(A3582&lt;&gt;"",COUNTIF($A$2:$A$5001,A3582)&gt;1),"NUMERO_PC duplicado",IF(B3582="","DATA_PC vazia",IF(NOT(ISNUMBER(B3582)),"DATA_PC invalida",IF(OR(C3582="",C3582="Fora dos ciclos"),"CICLO_PC nao identificado",IF(OR(D3582="",D3582=0),"VALOR_PC vazio ou zero",IF(AND(G3582&lt;&gt;"Sim",G3582&lt;&gt;"Nao",G3582&lt;&gt;""),"PC_PAGO_A_CONTRATADA invalido",IF(AND(C3582&lt;&gt;"C0",IFERROR(INDEX(parametros!$A$2:$A$6,MATCH(C3582,parametros!$B$2:$B$6,0)),"")="Sim",IFERROR(INDEX(parametros!$H$2:$H$6,MATCH(C3582,parametros!$B$2:$B$6,0)),"")=""),"INICIO_EFEITO ausente: PC "&amp;A3582&amp;" - "&amp;C3582,IF(L3582="","EFEITO_PC nao calculado: PC "&amp;A3582&amp;" - "&amp;C3582,"OK")))))))))</f>
        <v/>
      </c>
      <c r="L3582" s="92" t="str">
        <f>IF(AND(A3582="",B3582="",D3582="",G3582=""),"",IF(OR(B3582="",NOT(ISNUMBER(B3582)),C3582="",C3582="Fora dos ciclos"),"",IF(C3582="C0","Nao",IF(IFERROR(INDEX(parametros!$A$2:$A$6,MATCH(C3582,parametros!$B$2:$B$6,0)),"")&lt;&gt;"Sim","Nao",IF(IFERROR(INDEX(parametros!$H$2:$H$6,MATCH(C3582,parametros!$B$2:$B$6,0)),"")="","",IF(B3582&gt;=IFERROR(INDEX(parametros!$H$2:$H$6,MATCH(C3582,parametros!$B$2:$B$6,0)),""),"Sim","Nao"))))))</f>
        <v/>
      </c>
      <c r="T3582" s="156"/>
      <c r="U3582" s="214" t="str">
        <f t="shared" si="281"/>
        <v/>
      </c>
      <c r="V3582" s="212" t="s">
        <v>50</v>
      </c>
      <c r="W3582" s="100" t="s">
        <v>168</v>
      </c>
      <c r="X3582" s="100" t="s">
        <v>169</v>
      </c>
      <c r="Y3582" s="101" t="s">
        <v>170</v>
      </c>
      <c r="Z3582" s="101" t="s">
        <v>171</v>
      </c>
      <c r="AA3582" s="101" t="s">
        <v>50</v>
      </c>
      <c r="AB3582" s="101" t="s">
        <v>172</v>
      </c>
      <c r="AC3582" s="102" t="s">
        <v>173</v>
      </c>
    </row>
    <row r="3583" spans="1:29" ht="25.5" customHeight="1" x14ac:dyDescent="0.35">
      <c r="A3583" s="392"/>
      <c r="B3583" s="393"/>
      <c r="C3583" s="99" t="str">
        <f>IF(B3583="","",IF(NOT(ISNUMBER(B3583)),"DATA_PC invalida",IF(NOT(ISNUMBER(parametros!$C$2)),"Fora dos ciclos",IF(OR(B3583&lt;parametros!$C$2,(YEAR(B3583)-YEAR(parametros!$C$2))*12+MONTH(B3583)-MONTH(parametros!$C$2)&gt;59),"Fora dos ciclos","C"&amp;INT(((YEAR(B3583)-YEAR(parametros!$C$2))*12+MONTH(B3583)-MONTH(parametros!$C$2))/12)))))</f>
        <v/>
      </c>
      <c r="D3583" s="394"/>
      <c r="E3583" s="78" t="str">
        <f>IF(C3583="","",IFERROR(VLOOKUP(C3583,parametros!$A$11:$E$15,5,0),""))</f>
        <v/>
      </c>
      <c r="F3583" s="79" t="str">
        <f t="shared" si="277"/>
        <v/>
      </c>
      <c r="G3583" s="395"/>
      <c r="H3583" s="91">
        <f t="shared" si="278"/>
        <v>0</v>
      </c>
      <c r="I3583" s="91" t="str">
        <f t="shared" si="279"/>
        <v/>
      </c>
      <c r="J3583" s="91" t="str">
        <f t="shared" si="280"/>
        <v/>
      </c>
      <c r="K3583" s="92" t="str">
        <f>IF(AND(A3583="",B3583="",D3583="",G3583=""),"",IF(AND(A3583&lt;&gt;"",COUNTIF($A$2:$A$5001,A3583)&gt;1),"NUMERO_PC duplicado",IF(B3583="","DATA_PC vazia",IF(NOT(ISNUMBER(B3583)),"DATA_PC invalida",IF(OR(C3583="",C3583="Fora dos ciclos"),"CICLO_PC nao identificado",IF(OR(D3583="",D3583=0),"VALOR_PC vazio ou zero",IF(AND(G3583&lt;&gt;"Sim",G3583&lt;&gt;"Nao",G3583&lt;&gt;""),"PC_PAGO_A_CONTRATADA invalido",IF(AND(C3583&lt;&gt;"C0",IFERROR(INDEX(parametros!$A$2:$A$6,MATCH(C3583,parametros!$B$2:$B$6,0)),"")="Sim",IFERROR(INDEX(parametros!$H$2:$H$6,MATCH(C3583,parametros!$B$2:$B$6,0)),"")=""),"INICIO_EFEITO ausente: PC "&amp;A3583&amp;" - "&amp;C3583,IF(L3583="","EFEITO_PC nao calculado: PC "&amp;A3583&amp;" - "&amp;C3583,"OK")))))))))</f>
        <v/>
      </c>
      <c r="L3583" s="92" t="str">
        <f>IF(AND(A3583="",B3583="",D3583="",G3583=""),"",IF(OR(B3583="",NOT(ISNUMBER(B3583)),C3583="",C3583="Fora dos ciclos"),"",IF(C3583="C0","Nao",IF(IFERROR(INDEX(parametros!$A$2:$A$6,MATCH(C3583,parametros!$B$2:$B$6,0)),"")&lt;&gt;"Sim","Nao",IF(IFERROR(INDEX(parametros!$H$2:$H$6,MATCH(C3583,parametros!$B$2:$B$6,0)),"")="","",IF(B3583&gt;=IFERROR(INDEX(parametros!$H$2:$H$6,MATCH(C3583,parametros!$B$2:$B$6,0)),""),"Sim","Nao"))))))</f>
        <v/>
      </c>
      <c r="T3583" s="156"/>
      <c r="U3583" s="214" t="str">
        <f t="shared" si="281"/>
        <v/>
      </c>
      <c r="V3583" s="212" t="s">
        <v>50</v>
      </c>
      <c r="W3583" s="100" t="s">
        <v>168</v>
      </c>
      <c r="X3583" s="100" t="s">
        <v>169</v>
      </c>
      <c r="Y3583" s="101" t="s">
        <v>170</v>
      </c>
      <c r="Z3583" s="101" t="s">
        <v>171</v>
      </c>
      <c r="AA3583" s="101" t="s">
        <v>50</v>
      </c>
      <c r="AB3583" s="101" t="s">
        <v>172</v>
      </c>
      <c r="AC3583" s="102" t="s">
        <v>173</v>
      </c>
    </row>
    <row r="3584" spans="1:29" ht="25.5" customHeight="1" x14ac:dyDescent="0.35">
      <c r="A3584" s="392"/>
      <c r="B3584" s="393"/>
      <c r="C3584" s="99" t="str">
        <f>IF(B3584="","",IF(NOT(ISNUMBER(B3584)),"DATA_PC invalida",IF(NOT(ISNUMBER(parametros!$C$2)),"Fora dos ciclos",IF(OR(B3584&lt;parametros!$C$2,(YEAR(B3584)-YEAR(parametros!$C$2))*12+MONTH(B3584)-MONTH(parametros!$C$2)&gt;59),"Fora dos ciclos","C"&amp;INT(((YEAR(B3584)-YEAR(parametros!$C$2))*12+MONTH(B3584)-MONTH(parametros!$C$2))/12)))))</f>
        <v/>
      </c>
      <c r="D3584" s="394"/>
      <c r="E3584" s="78" t="str">
        <f>IF(C3584="","",IFERROR(VLOOKUP(C3584,parametros!$A$11:$E$15,5,0),""))</f>
        <v/>
      </c>
      <c r="F3584" s="79" t="str">
        <f t="shared" si="277"/>
        <v/>
      </c>
      <c r="G3584" s="395"/>
      <c r="H3584" s="91">
        <f t="shared" si="278"/>
        <v>0</v>
      </c>
      <c r="I3584" s="91" t="str">
        <f t="shared" si="279"/>
        <v/>
      </c>
      <c r="J3584" s="91" t="str">
        <f t="shared" si="280"/>
        <v/>
      </c>
      <c r="K3584" s="92" t="str">
        <f>IF(AND(A3584="",B3584="",D3584="",G3584=""),"",IF(AND(A3584&lt;&gt;"",COUNTIF($A$2:$A$5001,A3584)&gt;1),"NUMERO_PC duplicado",IF(B3584="","DATA_PC vazia",IF(NOT(ISNUMBER(B3584)),"DATA_PC invalida",IF(OR(C3584="",C3584="Fora dos ciclos"),"CICLO_PC nao identificado",IF(OR(D3584="",D3584=0),"VALOR_PC vazio ou zero",IF(AND(G3584&lt;&gt;"Sim",G3584&lt;&gt;"Nao",G3584&lt;&gt;""),"PC_PAGO_A_CONTRATADA invalido",IF(AND(C3584&lt;&gt;"C0",IFERROR(INDEX(parametros!$A$2:$A$6,MATCH(C3584,parametros!$B$2:$B$6,0)),"")="Sim",IFERROR(INDEX(parametros!$H$2:$H$6,MATCH(C3584,parametros!$B$2:$B$6,0)),"")=""),"INICIO_EFEITO ausente: PC "&amp;A3584&amp;" - "&amp;C3584,IF(L3584="","EFEITO_PC nao calculado: PC "&amp;A3584&amp;" - "&amp;C3584,"OK")))))))))</f>
        <v/>
      </c>
      <c r="L3584" s="92" t="str">
        <f>IF(AND(A3584="",B3584="",D3584="",G3584=""),"",IF(OR(B3584="",NOT(ISNUMBER(B3584)),C3584="",C3584="Fora dos ciclos"),"",IF(C3584="C0","Nao",IF(IFERROR(INDEX(parametros!$A$2:$A$6,MATCH(C3584,parametros!$B$2:$B$6,0)),"")&lt;&gt;"Sim","Nao",IF(IFERROR(INDEX(parametros!$H$2:$H$6,MATCH(C3584,parametros!$B$2:$B$6,0)),"")="","",IF(B3584&gt;=IFERROR(INDEX(parametros!$H$2:$H$6,MATCH(C3584,parametros!$B$2:$B$6,0)),""),"Sim","Nao"))))))</f>
        <v/>
      </c>
      <c r="T3584" s="156"/>
      <c r="U3584" s="214" t="str">
        <f t="shared" si="281"/>
        <v/>
      </c>
      <c r="V3584" s="212" t="s">
        <v>50</v>
      </c>
      <c r="W3584" s="100" t="s">
        <v>168</v>
      </c>
      <c r="X3584" s="100" t="s">
        <v>169</v>
      </c>
      <c r="Y3584" s="101" t="s">
        <v>170</v>
      </c>
      <c r="Z3584" s="101" t="s">
        <v>171</v>
      </c>
      <c r="AA3584" s="101" t="s">
        <v>50</v>
      </c>
      <c r="AB3584" s="101" t="s">
        <v>172</v>
      </c>
      <c r="AC3584" s="102" t="s">
        <v>173</v>
      </c>
    </row>
    <row r="3585" spans="1:29" ht="25.5" customHeight="1" x14ac:dyDescent="0.35">
      <c r="A3585" s="392"/>
      <c r="B3585" s="393"/>
      <c r="C3585" s="99" t="str">
        <f>IF(B3585="","",IF(NOT(ISNUMBER(B3585)),"DATA_PC invalida",IF(NOT(ISNUMBER(parametros!$C$2)),"Fora dos ciclos",IF(OR(B3585&lt;parametros!$C$2,(YEAR(B3585)-YEAR(parametros!$C$2))*12+MONTH(B3585)-MONTH(parametros!$C$2)&gt;59),"Fora dos ciclos","C"&amp;INT(((YEAR(B3585)-YEAR(parametros!$C$2))*12+MONTH(B3585)-MONTH(parametros!$C$2))/12)))))</f>
        <v/>
      </c>
      <c r="D3585" s="394"/>
      <c r="E3585" s="78" t="str">
        <f>IF(C3585="","",IFERROR(VLOOKUP(C3585,parametros!$A$11:$E$15,5,0),""))</f>
        <v/>
      </c>
      <c r="F3585" s="79" t="str">
        <f t="shared" si="277"/>
        <v/>
      </c>
      <c r="G3585" s="395"/>
      <c r="H3585" s="91">
        <f t="shared" si="278"/>
        <v>0</v>
      </c>
      <c r="I3585" s="91" t="str">
        <f t="shared" si="279"/>
        <v/>
      </c>
      <c r="J3585" s="91" t="str">
        <f t="shared" si="280"/>
        <v/>
      </c>
      <c r="K3585" s="92" t="str">
        <f>IF(AND(A3585="",B3585="",D3585="",G3585=""),"",IF(AND(A3585&lt;&gt;"",COUNTIF($A$2:$A$5001,A3585)&gt;1),"NUMERO_PC duplicado",IF(B3585="","DATA_PC vazia",IF(NOT(ISNUMBER(B3585)),"DATA_PC invalida",IF(OR(C3585="",C3585="Fora dos ciclos"),"CICLO_PC nao identificado",IF(OR(D3585="",D3585=0),"VALOR_PC vazio ou zero",IF(AND(G3585&lt;&gt;"Sim",G3585&lt;&gt;"Nao",G3585&lt;&gt;""),"PC_PAGO_A_CONTRATADA invalido",IF(AND(C3585&lt;&gt;"C0",IFERROR(INDEX(parametros!$A$2:$A$6,MATCH(C3585,parametros!$B$2:$B$6,0)),"")="Sim",IFERROR(INDEX(parametros!$H$2:$H$6,MATCH(C3585,parametros!$B$2:$B$6,0)),"")=""),"INICIO_EFEITO ausente: PC "&amp;A3585&amp;" - "&amp;C3585,IF(L3585="","EFEITO_PC nao calculado: PC "&amp;A3585&amp;" - "&amp;C3585,"OK")))))))))</f>
        <v/>
      </c>
      <c r="L3585" s="92" t="str">
        <f>IF(AND(A3585="",B3585="",D3585="",G3585=""),"",IF(OR(B3585="",NOT(ISNUMBER(B3585)),C3585="",C3585="Fora dos ciclos"),"",IF(C3585="C0","Nao",IF(IFERROR(INDEX(parametros!$A$2:$A$6,MATCH(C3585,parametros!$B$2:$B$6,0)),"")&lt;&gt;"Sim","Nao",IF(IFERROR(INDEX(parametros!$H$2:$H$6,MATCH(C3585,parametros!$B$2:$B$6,0)),"")="","",IF(B3585&gt;=IFERROR(INDEX(parametros!$H$2:$H$6,MATCH(C3585,parametros!$B$2:$B$6,0)),""),"Sim","Nao"))))))</f>
        <v/>
      </c>
      <c r="T3585" s="156"/>
      <c r="U3585" s="214" t="str">
        <f t="shared" si="281"/>
        <v/>
      </c>
      <c r="V3585" s="212" t="s">
        <v>50</v>
      </c>
      <c r="W3585" s="100" t="s">
        <v>168</v>
      </c>
      <c r="X3585" s="100" t="s">
        <v>169</v>
      </c>
      <c r="Y3585" s="101" t="s">
        <v>170</v>
      </c>
      <c r="Z3585" s="101" t="s">
        <v>171</v>
      </c>
      <c r="AA3585" s="101" t="s">
        <v>50</v>
      </c>
      <c r="AB3585" s="101" t="s">
        <v>172</v>
      </c>
      <c r="AC3585" s="102" t="s">
        <v>173</v>
      </c>
    </row>
    <row r="3586" spans="1:29" ht="25.5" customHeight="1" x14ac:dyDescent="0.35">
      <c r="A3586" s="392"/>
      <c r="B3586" s="393"/>
      <c r="C3586" s="99" t="str">
        <f>IF(B3586="","",IF(NOT(ISNUMBER(B3586)),"DATA_PC invalida",IF(NOT(ISNUMBER(parametros!$C$2)),"Fora dos ciclos",IF(OR(B3586&lt;parametros!$C$2,(YEAR(B3586)-YEAR(parametros!$C$2))*12+MONTH(B3586)-MONTH(parametros!$C$2)&gt;59),"Fora dos ciclos","C"&amp;INT(((YEAR(B3586)-YEAR(parametros!$C$2))*12+MONTH(B3586)-MONTH(parametros!$C$2))/12)))))</f>
        <v/>
      </c>
      <c r="D3586" s="394"/>
      <c r="E3586" s="78" t="str">
        <f>IF(C3586="","",IFERROR(VLOOKUP(C3586,parametros!$A$11:$E$15,5,0),""))</f>
        <v/>
      </c>
      <c r="F3586" s="79" t="str">
        <f t="shared" ref="F3586:F3649" si="282">IF(OR(D3586="",E3586=""),"",ROUND(D3586*E3586,2))</f>
        <v/>
      </c>
      <c r="G3586" s="395"/>
      <c r="H3586" s="91">
        <f t="shared" ref="H3586:H3649" si="283">IF(G3586="Sim",IF(OR(F3586="",D3586="",L3586=""),"",IF(L3586="Sim",ROUND(F3586-D3586,2),0)),0)</f>
        <v>0</v>
      </c>
      <c r="I3586" s="91" t="str">
        <f t="shared" ref="I3586:I3649" si="284">IF(G3586="Sim",0,IF(OR(F3586="",L3586=""),"",F3586))</f>
        <v/>
      </c>
      <c r="J3586" s="91" t="str">
        <f t="shared" ref="J3586:J3649" si="285">IF(G3586="Sim",0,IF(OR(F3586="",D3586="",L3586=""),"",IF(L3586="Sim",ROUND(F3586-D3586,2),0)))</f>
        <v/>
      </c>
      <c r="K3586" s="92" t="str">
        <f>IF(AND(A3586="",B3586="",D3586="",G3586=""),"",IF(AND(A3586&lt;&gt;"",COUNTIF($A$2:$A$5001,A3586)&gt;1),"NUMERO_PC duplicado",IF(B3586="","DATA_PC vazia",IF(NOT(ISNUMBER(B3586)),"DATA_PC invalida",IF(OR(C3586="",C3586="Fora dos ciclos"),"CICLO_PC nao identificado",IF(OR(D3586="",D3586=0),"VALOR_PC vazio ou zero",IF(AND(G3586&lt;&gt;"Sim",G3586&lt;&gt;"Nao",G3586&lt;&gt;""),"PC_PAGO_A_CONTRATADA invalido",IF(AND(C3586&lt;&gt;"C0",IFERROR(INDEX(parametros!$A$2:$A$6,MATCH(C3586,parametros!$B$2:$B$6,0)),"")="Sim",IFERROR(INDEX(parametros!$H$2:$H$6,MATCH(C3586,parametros!$B$2:$B$6,0)),"")=""),"INICIO_EFEITO ausente: PC "&amp;A3586&amp;" - "&amp;C3586,IF(L3586="","EFEITO_PC nao calculado: PC "&amp;A3586&amp;" - "&amp;C3586,"OK")))))))))</f>
        <v/>
      </c>
      <c r="L3586" s="92" t="str">
        <f>IF(AND(A3586="",B3586="",D3586="",G3586=""),"",IF(OR(B3586="",NOT(ISNUMBER(B3586)),C3586="",C3586="Fora dos ciclos"),"",IF(C3586="C0","Nao",IF(IFERROR(INDEX(parametros!$A$2:$A$6,MATCH(C3586,parametros!$B$2:$B$6,0)),"")&lt;&gt;"Sim","Nao",IF(IFERROR(INDEX(parametros!$H$2:$H$6,MATCH(C3586,parametros!$B$2:$B$6,0)),"")="","",IF(B3586&gt;=IFERROR(INDEX(parametros!$H$2:$H$6,MATCH(C3586,parametros!$B$2:$B$6,0)),""),"Sim","Nao"))))))</f>
        <v/>
      </c>
      <c r="T3586" s="156"/>
      <c r="U3586" s="214" t="str">
        <f t="shared" ref="U3586:U3649" si="286">IF(OR($D3586="",$H3586=""),"",ROUND($D3586+$H3586,2))</f>
        <v/>
      </c>
      <c r="V3586" s="212" t="s">
        <v>50</v>
      </c>
      <c r="W3586" s="100" t="s">
        <v>168</v>
      </c>
      <c r="X3586" s="100" t="s">
        <v>169</v>
      </c>
      <c r="Y3586" s="101" t="s">
        <v>170</v>
      </c>
      <c r="Z3586" s="101" t="s">
        <v>171</v>
      </c>
      <c r="AA3586" s="101" t="s">
        <v>50</v>
      </c>
      <c r="AB3586" s="101" t="s">
        <v>172</v>
      </c>
      <c r="AC3586" s="102" t="s">
        <v>173</v>
      </c>
    </row>
    <row r="3587" spans="1:29" ht="25.5" customHeight="1" x14ac:dyDescent="0.35">
      <c r="A3587" s="392"/>
      <c r="B3587" s="393"/>
      <c r="C3587" s="99" t="str">
        <f>IF(B3587="","",IF(NOT(ISNUMBER(B3587)),"DATA_PC invalida",IF(NOT(ISNUMBER(parametros!$C$2)),"Fora dos ciclos",IF(OR(B3587&lt;parametros!$C$2,(YEAR(B3587)-YEAR(parametros!$C$2))*12+MONTH(B3587)-MONTH(parametros!$C$2)&gt;59),"Fora dos ciclos","C"&amp;INT(((YEAR(B3587)-YEAR(parametros!$C$2))*12+MONTH(B3587)-MONTH(parametros!$C$2))/12)))))</f>
        <v/>
      </c>
      <c r="D3587" s="394"/>
      <c r="E3587" s="78" t="str">
        <f>IF(C3587="","",IFERROR(VLOOKUP(C3587,parametros!$A$11:$E$15,5,0),""))</f>
        <v/>
      </c>
      <c r="F3587" s="79" t="str">
        <f t="shared" si="282"/>
        <v/>
      </c>
      <c r="G3587" s="395"/>
      <c r="H3587" s="91">
        <f t="shared" si="283"/>
        <v>0</v>
      </c>
      <c r="I3587" s="91" t="str">
        <f t="shared" si="284"/>
        <v/>
      </c>
      <c r="J3587" s="91" t="str">
        <f t="shared" si="285"/>
        <v/>
      </c>
      <c r="K3587" s="92" t="str">
        <f>IF(AND(A3587="",B3587="",D3587="",G3587=""),"",IF(AND(A3587&lt;&gt;"",COUNTIF($A$2:$A$5001,A3587)&gt;1),"NUMERO_PC duplicado",IF(B3587="","DATA_PC vazia",IF(NOT(ISNUMBER(B3587)),"DATA_PC invalida",IF(OR(C3587="",C3587="Fora dos ciclos"),"CICLO_PC nao identificado",IF(OR(D3587="",D3587=0),"VALOR_PC vazio ou zero",IF(AND(G3587&lt;&gt;"Sim",G3587&lt;&gt;"Nao",G3587&lt;&gt;""),"PC_PAGO_A_CONTRATADA invalido",IF(AND(C3587&lt;&gt;"C0",IFERROR(INDEX(parametros!$A$2:$A$6,MATCH(C3587,parametros!$B$2:$B$6,0)),"")="Sim",IFERROR(INDEX(parametros!$H$2:$H$6,MATCH(C3587,parametros!$B$2:$B$6,0)),"")=""),"INICIO_EFEITO ausente: PC "&amp;A3587&amp;" - "&amp;C3587,IF(L3587="","EFEITO_PC nao calculado: PC "&amp;A3587&amp;" - "&amp;C3587,"OK")))))))))</f>
        <v/>
      </c>
      <c r="L3587" s="92" t="str">
        <f>IF(AND(A3587="",B3587="",D3587="",G3587=""),"",IF(OR(B3587="",NOT(ISNUMBER(B3587)),C3587="",C3587="Fora dos ciclos"),"",IF(C3587="C0","Nao",IF(IFERROR(INDEX(parametros!$A$2:$A$6,MATCH(C3587,parametros!$B$2:$B$6,0)),"")&lt;&gt;"Sim","Nao",IF(IFERROR(INDEX(parametros!$H$2:$H$6,MATCH(C3587,parametros!$B$2:$B$6,0)),"")="","",IF(B3587&gt;=IFERROR(INDEX(parametros!$H$2:$H$6,MATCH(C3587,parametros!$B$2:$B$6,0)),""),"Sim","Nao"))))))</f>
        <v/>
      </c>
      <c r="T3587" s="156"/>
      <c r="U3587" s="214" t="str">
        <f t="shared" si="286"/>
        <v/>
      </c>
      <c r="V3587" s="212" t="s">
        <v>50</v>
      </c>
      <c r="W3587" s="100" t="s">
        <v>168</v>
      </c>
      <c r="X3587" s="100" t="s">
        <v>169</v>
      </c>
      <c r="Y3587" s="101" t="s">
        <v>170</v>
      </c>
      <c r="Z3587" s="101" t="s">
        <v>171</v>
      </c>
      <c r="AA3587" s="101" t="s">
        <v>50</v>
      </c>
      <c r="AB3587" s="101" t="s">
        <v>172</v>
      </c>
      <c r="AC3587" s="102" t="s">
        <v>173</v>
      </c>
    </row>
    <row r="3588" spans="1:29" ht="25.5" customHeight="1" x14ac:dyDescent="0.35">
      <c r="A3588" s="392"/>
      <c r="B3588" s="393"/>
      <c r="C3588" s="99" t="str">
        <f>IF(B3588="","",IF(NOT(ISNUMBER(B3588)),"DATA_PC invalida",IF(NOT(ISNUMBER(parametros!$C$2)),"Fora dos ciclos",IF(OR(B3588&lt;parametros!$C$2,(YEAR(B3588)-YEAR(parametros!$C$2))*12+MONTH(B3588)-MONTH(parametros!$C$2)&gt;59),"Fora dos ciclos","C"&amp;INT(((YEAR(B3588)-YEAR(parametros!$C$2))*12+MONTH(B3588)-MONTH(parametros!$C$2))/12)))))</f>
        <v/>
      </c>
      <c r="D3588" s="394"/>
      <c r="E3588" s="78" t="str">
        <f>IF(C3588="","",IFERROR(VLOOKUP(C3588,parametros!$A$11:$E$15,5,0),""))</f>
        <v/>
      </c>
      <c r="F3588" s="79" t="str">
        <f t="shared" si="282"/>
        <v/>
      </c>
      <c r="G3588" s="395"/>
      <c r="H3588" s="91">
        <f t="shared" si="283"/>
        <v>0</v>
      </c>
      <c r="I3588" s="91" t="str">
        <f t="shared" si="284"/>
        <v/>
      </c>
      <c r="J3588" s="91" t="str">
        <f t="shared" si="285"/>
        <v/>
      </c>
      <c r="K3588" s="92" t="str">
        <f>IF(AND(A3588="",B3588="",D3588="",G3588=""),"",IF(AND(A3588&lt;&gt;"",COUNTIF($A$2:$A$5001,A3588)&gt;1),"NUMERO_PC duplicado",IF(B3588="","DATA_PC vazia",IF(NOT(ISNUMBER(B3588)),"DATA_PC invalida",IF(OR(C3588="",C3588="Fora dos ciclos"),"CICLO_PC nao identificado",IF(OR(D3588="",D3588=0),"VALOR_PC vazio ou zero",IF(AND(G3588&lt;&gt;"Sim",G3588&lt;&gt;"Nao",G3588&lt;&gt;""),"PC_PAGO_A_CONTRATADA invalido",IF(AND(C3588&lt;&gt;"C0",IFERROR(INDEX(parametros!$A$2:$A$6,MATCH(C3588,parametros!$B$2:$B$6,0)),"")="Sim",IFERROR(INDEX(parametros!$H$2:$H$6,MATCH(C3588,parametros!$B$2:$B$6,0)),"")=""),"INICIO_EFEITO ausente: PC "&amp;A3588&amp;" - "&amp;C3588,IF(L3588="","EFEITO_PC nao calculado: PC "&amp;A3588&amp;" - "&amp;C3588,"OK")))))))))</f>
        <v/>
      </c>
      <c r="L3588" s="92" t="str">
        <f>IF(AND(A3588="",B3588="",D3588="",G3588=""),"",IF(OR(B3588="",NOT(ISNUMBER(B3588)),C3588="",C3588="Fora dos ciclos"),"",IF(C3588="C0","Nao",IF(IFERROR(INDEX(parametros!$A$2:$A$6,MATCH(C3588,parametros!$B$2:$B$6,0)),"")&lt;&gt;"Sim","Nao",IF(IFERROR(INDEX(parametros!$H$2:$H$6,MATCH(C3588,parametros!$B$2:$B$6,0)),"")="","",IF(B3588&gt;=IFERROR(INDEX(parametros!$H$2:$H$6,MATCH(C3588,parametros!$B$2:$B$6,0)),""),"Sim","Nao"))))))</f>
        <v/>
      </c>
      <c r="T3588" s="156"/>
      <c r="U3588" s="214" t="str">
        <f t="shared" si="286"/>
        <v/>
      </c>
      <c r="V3588" s="212" t="s">
        <v>50</v>
      </c>
      <c r="W3588" s="100" t="s">
        <v>168</v>
      </c>
      <c r="X3588" s="100" t="s">
        <v>169</v>
      </c>
      <c r="Y3588" s="101" t="s">
        <v>170</v>
      </c>
      <c r="Z3588" s="101" t="s">
        <v>171</v>
      </c>
      <c r="AA3588" s="101" t="s">
        <v>50</v>
      </c>
      <c r="AB3588" s="101" t="s">
        <v>172</v>
      </c>
      <c r="AC3588" s="102" t="s">
        <v>173</v>
      </c>
    </row>
    <row r="3589" spans="1:29" ht="25.5" customHeight="1" x14ac:dyDescent="0.35">
      <c r="A3589" s="392"/>
      <c r="B3589" s="393"/>
      <c r="C3589" s="99" t="str">
        <f>IF(B3589="","",IF(NOT(ISNUMBER(B3589)),"DATA_PC invalida",IF(NOT(ISNUMBER(parametros!$C$2)),"Fora dos ciclos",IF(OR(B3589&lt;parametros!$C$2,(YEAR(B3589)-YEAR(parametros!$C$2))*12+MONTH(B3589)-MONTH(parametros!$C$2)&gt;59),"Fora dos ciclos","C"&amp;INT(((YEAR(B3589)-YEAR(parametros!$C$2))*12+MONTH(B3589)-MONTH(parametros!$C$2))/12)))))</f>
        <v/>
      </c>
      <c r="D3589" s="394"/>
      <c r="E3589" s="78" t="str">
        <f>IF(C3589="","",IFERROR(VLOOKUP(C3589,parametros!$A$11:$E$15,5,0),""))</f>
        <v/>
      </c>
      <c r="F3589" s="79" t="str">
        <f t="shared" si="282"/>
        <v/>
      </c>
      <c r="G3589" s="395"/>
      <c r="H3589" s="91">
        <f t="shared" si="283"/>
        <v>0</v>
      </c>
      <c r="I3589" s="91" t="str">
        <f t="shared" si="284"/>
        <v/>
      </c>
      <c r="J3589" s="91" t="str">
        <f t="shared" si="285"/>
        <v/>
      </c>
      <c r="K3589" s="92" t="str">
        <f>IF(AND(A3589="",B3589="",D3589="",G3589=""),"",IF(AND(A3589&lt;&gt;"",COUNTIF($A$2:$A$5001,A3589)&gt;1),"NUMERO_PC duplicado",IF(B3589="","DATA_PC vazia",IF(NOT(ISNUMBER(B3589)),"DATA_PC invalida",IF(OR(C3589="",C3589="Fora dos ciclos"),"CICLO_PC nao identificado",IF(OR(D3589="",D3589=0),"VALOR_PC vazio ou zero",IF(AND(G3589&lt;&gt;"Sim",G3589&lt;&gt;"Nao",G3589&lt;&gt;""),"PC_PAGO_A_CONTRATADA invalido",IF(AND(C3589&lt;&gt;"C0",IFERROR(INDEX(parametros!$A$2:$A$6,MATCH(C3589,parametros!$B$2:$B$6,0)),"")="Sim",IFERROR(INDEX(parametros!$H$2:$H$6,MATCH(C3589,parametros!$B$2:$B$6,0)),"")=""),"INICIO_EFEITO ausente: PC "&amp;A3589&amp;" - "&amp;C3589,IF(L3589="","EFEITO_PC nao calculado: PC "&amp;A3589&amp;" - "&amp;C3589,"OK")))))))))</f>
        <v/>
      </c>
      <c r="L3589" s="92" t="str">
        <f>IF(AND(A3589="",B3589="",D3589="",G3589=""),"",IF(OR(B3589="",NOT(ISNUMBER(B3589)),C3589="",C3589="Fora dos ciclos"),"",IF(C3589="C0","Nao",IF(IFERROR(INDEX(parametros!$A$2:$A$6,MATCH(C3589,parametros!$B$2:$B$6,0)),"")&lt;&gt;"Sim","Nao",IF(IFERROR(INDEX(parametros!$H$2:$H$6,MATCH(C3589,parametros!$B$2:$B$6,0)),"")="","",IF(B3589&gt;=IFERROR(INDEX(parametros!$H$2:$H$6,MATCH(C3589,parametros!$B$2:$B$6,0)),""),"Sim","Nao"))))))</f>
        <v/>
      </c>
      <c r="T3589" s="156"/>
      <c r="U3589" s="214" t="str">
        <f t="shared" si="286"/>
        <v/>
      </c>
      <c r="V3589" s="212" t="s">
        <v>50</v>
      </c>
      <c r="W3589" s="100" t="s">
        <v>168</v>
      </c>
      <c r="X3589" s="100" t="s">
        <v>169</v>
      </c>
      <c r="Y3589" s="101" t="s">
        <v>170</v>
      </c>
      <c r="Z3589" s="101" t="s">
        <v>171</v>
      </c>
      <c r="AA3589" s="101" t="s">
        <v>50</v>
      </c>
      <c r="AB3589" s="101" t="s">
        <v>172</v>
      </c>
      <c r="AC3589" s="102" t="s">
        <v>173</v>
      </c>
    </row>
    <row r="3590" spans="1:29" ht="25.5" customHeight="1" x14ac:dyDescent="0.35">
      <c r="A3590" s="392"/>
      <c r="B3590" s="393"/>
      <c r="C3590" s="99" t="str">
        <f>IF(B3590="","",IF(NOT(ISNUMBER(B3590)),"DATA_PC invalida",IF(NOT(ISNUMBER(parametros!$C$2)),"Fora dos ciclos",IF(OR(B3590&lt;parametros!$C$2,(YEAR(B3590)-YEAR(parametros!$C$2))*12+MONTH(B3590)-MONTH(parametros!$C$2)&gt;59),"Fora dos ciclos","C"&amp;INT(((YEAR(B3590)-YEAR(parametros!$C$2))*12+MONTH(B3590)-MONTH(parametros!$C$2))/12)))))</f>
        <v/>
      </c>
      <c r="D3590" s="394"/>
      <c r="E3590" s="78" t="str">
        <f>IF(C3590="","",IFERROR(VLOOKUP(C3590,parametros!$A$11:$E$15,5,0),""))</f>
        <v/>
      </c>
      <c r="F3590" s="79" t="str">
        <f t="shared" si="282"/>
        <v/>
      </c>
      <c r="G3590" s="395"/>
      <c r="H3590" s="91">
        <f t="shared" si="283"/>
        <v>0</v>
      </c>
      <c r="I3590" s="91" t="str">
        <f t="shared" si="284"/>
        <v/>
      </c>
      <c r="J3590" s="91" t="str">
        <f t="shared" si="285"/>
        <v/>
      </c>
      <c r="K3590" s="92" t="str">
        <f>IF(AND(A3590="",B3590="",D3590="",G3590=""),"",IF(AND(A3590&lt;&gt;"",COUNTIF($A$2:$A$5001,A3590)&gt;1),"NUMERO_PC duplicado",IF(B3590="","DATA_PC vazia",IF(NOT(ISNUMBER(B3590)),"DATA_PC invalida",IF(OR(C3590="",C3590="Fora dos ciclos"),"CICLO_PC nao identificado",IF(OR(D3590="",D3590=0),"VALOR_PC vazio ou zero",IF(AND(G3590&lt;&gt;"Sim",G3590&lt;&gt;"Nao",G3590&lt;&gt;""),"PC_PAGO_A_CONTRATADA invalido",IF(AND(C3590&lt;&gt;"C0",IFERROR(INDEX(parametros!$A$2:$A$6,MATCH(C3590,parametros!$B$2:$B$6,0)),"")="Sim",IFERROR(INDEX(parametros!$H$2:$H$6,MATCH(C3590,parametros!$B$2:$B$6,0)),"")=""),"INICIO_EFEITO ausente: PC "&amp;A3590&amp;" - "&amp;C3590,IF(L3590="","EFEITO_PC nao calculado: PC "&amp;A3590&amp;" - "&amp;C3590,"OK")))))))))</f>
        <v/>
      </c>
      <c r="L3590" s="92" t="str">
        <f>IF(AND(A3590="",B3590="",D3590="",G3590=""),"",IF(OR(B3590="",NOT(ISNUMBER(B3590)),C3590="",C3590="Fora dos ciclos"),"",IF(C3590="C0","Nao",IF(IFERROR(INDEX(parametros!$A$2:$A$6,MATCH(C3590,parametros!$B$2:$B$6,0)),"")&lt;&gt;"Sim","Nao",IF(IFERROR(INDEX(parametros!$H$2:$H$6,MATCH(C3590,parametros!$B$2:$B$6,0)),"")="","",IF(B3590&gt;=IFERROR(INDEX(parametros!$H$2:$H$6,MATCH(C3590,parametros!$B$2:$B$6,0)),""),"Sim","Nao"))))))</f>
        <v/>
      </c>
      <c r="T3590" s="156"/>
      <c r="U3590" s="214" t="str">
        <f t="shared" si="286"/>
        <v/>
      </c>
      <c r="V3590" s="212" t="s">
        <v>50</v>
      </c>
      <c r="W3590" s="100" t="s">
        <v>168</v>
      </c>
      <c r="X3590" s="100" t="s">
        <v>169</v>
      </c>
      <c r="Y3590" s="101" t="s">
        <v>170</v>
      </c>
      <c r="Z3590" s="101" t="s">
        <v>171</v>
      </c>
      <c r="AA3590" s="101" t="s">
        <v>50</v>
      </c>
      <c r="AB3590" s="101" t="s">
        <v>172</v>
      </c>
      <c r="AC3590" s="102" t="s">
        <v>173</v>
      </c>
    </row>
    <row r="3591" spans="1:29" ht="25.5" customHeight="1" x14ac:dyDescent="0.35">
      <c r="A3591" s="392"/>
      <c r="B3591" s="393"/>
      <c r="C3591" s="99" t="str">
        <f>IF(B3591="","",IF(NOT(ISNUMBER(B3591)),"DATA_PC invalida",IF(NOT(ISNUMBER(parametros!$C$2)),"Fora dos ciclos",IF(OR(B3591&lt;parametros!$C$2,(YEAR(B3591)-YEAR(parametros!$C$2))*12+MONTH(B3591)-MONTH(parametros!$C$2)&gt;59),"Fora dos ciclos","C"&amp;INT(((YEAR(B3591)-YEAR(parametros!$C$2))*12+MONTH(B3591)-MONTH(parametros!$C$2))/12)))))</f>
        <v/>
      </c>
      <c r="D3591" s="394"/>
      <c r="E3591" s="78" t="str">
        <f>IF(C3591="","",IFERROR(VLOOKUP(C3591,parametros!$A$11:$E$15,5,0),""))</f>
        <v/>
      </c>
      <c r="F3591" s="79" t="str">
        <f t="shared" si="282"/>
        <v/>
      </c>
      <c r="G3591" s="395"/>
      <c r="H3591" s="91">
        <f t="shared" si="283"/>
        <v>0</v>
      </c>
      <c r="I3591" s="91" t="str">
        <f t="shared" si="284"/>
        <v/>
      </c>
      <c r="J3591" s="91" t="str">
        <f t="shared" si="285"/>
        <v/>
      </c>
      <c r="K3591" s="92" t="str">
        <f>IF(AND(A3591="",B3591="",D3591="",G3591=""),"",IF(AND(A3591&lt;&gt;"",COUNTIF($A$2:$A$5001,A3591)&gt;1),"NUMERO_PC duplicado",IF(B3591="","DATA_PC vazia",IF(NOT(ISNUMBER(B3591)),"DATA_PC invalida",IF(OR(C3591="",C3591="Fora dos ciclos"),"CICLO_PC nao identificado",IF(OR(D3591="",D3591=0),"VALOR_PC vazio ou zero",IF(AND(G3591&lt;&gt;"Sim",G3591&lt;&gt;"Nao",G3591&lt;&gt;""),"PC_PAGO_A_CONTRATADA invalido",IF(AND(C3591&lt;&gt;"C0",IFERROR(INDEX(parametros!$A$2:$A$6,MATCH(C3591,parametros!$B$2:$B$6,0)),"")="Sim",IFERROR(INDEX(parametros!$H$2:$H$6,MATCH(C3591,parametros!$B$2:$B$6,0)),"")=""),"INICIO_EFEITO ausente: PC "&amp;A3591&amp;" - "&amp;C3591,IF(L3591="","EFEITO_PC nao calculado: PC "&amp;A3591&amp;" - "&amp;C3591,"OK")))))))))</f>
        <v/>
      </c>
      <c r="L3591" s="92" t="str">
        <f>IF(AND(A3591="",B3591="",D3591="",G3591=""),"",IF(OR(B3591="",NOT(ISNUMBER(B3591)),C3591="",C3591="Fora dos ciclos"),"",IF(C3591="C0","Nao",IF(IFERROR(INDEX(parametros!$A$2:$A$6,MATCH(C3591,parametros!$B$2:$B$6,0)),"")&lt;&gt;"Sim","Nao",IF(IFERROR(INDEX(parametros!$H$2:$H$6,MATCH(C3591,parametros!$B$2:$B$6,0)),"")="","",IF(B3591&gt;=IFERROR(INDEX(parametros!$H$2:$H$6,MATCH(C3591,parametros!$B$2:$B$6,0)),""),"Sim","Nao"))))))</f>
        <v/>
      </c>
      <c r="T3591" s="156"/>
      <c r="U3591" s="214" t="str">
        <f t="shared" si="286"/>
        <v/>
      </c>
      <c r="V3591" s="212" t="s">
        <v>50</v>
      </c>
      <c r="W3591" s="100" t="s">
        <v>168</v>
      </c>
      <c r="X3591" s="100" t="s">
        <v>169</v>
      </c>
      <c r="Y3591" s="101" t="s">
        <v>170</v>
      </c>
      <c r="Z3591" s="101" t="s">
        <v>171</v>
      </c>
      <c r="AA3591" s="101" t="s">
        <v>50</v>
      </c>
      <c r="AB3591" s="101" t="s">
        <v>172</v>
      </c>
      <c r="AC3591" s="102" t="s">
        <v>173</v>
      </c>
    </row>
    <row r="3592" spans="1:29" ht="25.5" customHeight="1" x14ac:dyDescent="0.35">
      <c r="A3592" s="392"/>
      <c r="B3592" s="393"/>
      <c r="C3592" s="99" t="str">
        <f>IF(B3592="","",IF(NOT(ISNUMBER(B3592)),"DATA_PC invalida",IF(NOT(ISNUMBER(parametros!$C$2)),"Fora dos ciclos",IF(OR(B3592&lt;parametros!$C$2,(YEAR(B3592)-YEAR(parametros!$C$2))*12+MONTH(B3592)-MONTH(parametros!$C$2)&gt;59),"Fora dos ciclos","C"&amp;INT(((YEAR(B3592)-YEAR(parametros!$C$2))*12+MONTH(B3592)-MONTH(parametros!$C$2))/12)))))</f>
        <v/>
      </c>
      <c r="D3592" s="394"/>
      <c r="E3592" s="78" t="str">
        <f>IF(C3592="","",IFERROR(VLOOKUP(C3592,parametros!$A$11:$E$15,5,0),""))</f>
        <v/>
      </c>
      <c r="F3592" s="79" t="str">
        <f t="shared" si="282"/>
        <v/>
      </c>
      <c r="G3592" s="395"/>
      <c r="H3592" s="91">
        <f t="shared" si="283"/>
        <v>0</v>
      </c>
      <c r="I3592" s="91" t="str">
        <f t="shared" si="284"/>
        <v/>
      </c>
      <c r="J3592" s="91" t="str">
        <f t="shared" si="285"/>
        <v/>
      </c>
      <c r="K3592" s="92" t="str">
        <f>IF(AND(A3592="",B3592="",D3592="",G3592=""),"",IF(AND(A3592&lt;&gt;"",COUNTIF($A$2:$A$5001,A3592)&gt;1),"NUMERO_PC duplicado",IF(B3592="","DATA_PC vazia",IF(NOT(ISNUMBER(B3592)),"DATA_PC invalida",IF(OR(C3592="",C3592="Fora dos ciclos"),"CICLO_PC nao identificado",IF(OR(D3592="",D3592=0),"VALOR_PC vazio ou zero",IF(AND(G3592&lt;&gt;"Sim",G3592&lt;&gt;"Nao",G3592&lt;&gt;""),"PC_PAGO_A_CONTRATADA invalido",IF(AND(C3592&lt;&gt;"C0",IFERROR(INDEX(parametros!$A$2:$A$6,MATCH(C3592,parametros!$B$2:$B$6,0)),"")="Sim",IFERROR(INDEX(parametros!$H$2:$H$6,MATCH(C3592,parametros!$B$2:$B$6,0)),"")=""),"INICIO_EFEITO ausente: PC "&amp;A3592&amp;" - "&amp;C3592,IF(L3592="","EFEITO_PC nao calculado: PC "&amp;A3592&amp;" - "&amp;C3592,"OK")))))))))</f>
        <v/>
      </c>
      <c r="L3592" s="92" t="str">
        <f>IF(AND(A3592="",B3592="",D3592="",G3592=""),"",IF(OR(B3592="",NOT(ISNUMBER(B3592)),C3592="",C3592="Fora dos ciclos"),"",IF(C3592="C0","Nao",IF(IFERROR(INDEX(parametros!$A$2:$A$6,MATCH(C3592,parametros!$B$2:$B$6,0)),"")&lt;&gt;"Sim","Nao",IF(IFERROR(INDEX(parametros!$H$2:$H$6,MATCH(C3592,parametros!$B$2:$B$6,0)),"")="","",IF(B3592&gt;=IFERROR(INDEX(parametros!$H$2:$H$6,MATCH(C3592,parametros!$B$2:$B$6,0)),""),"Sim","Nao"))))))</f>
        <v/>
      </c>
      <c r="T3592" s="156"/>
      <c r="U3592" s="214" t="str">
        <f t="shared" si="286"/>
        <v/>
      </c>
      <c r="V3592" s="212" t="s">
        <v>50</v>
      </c>
      <c r="W3592" s="100" t="s">
        <v>168</v>
      </c>
      <c r="X3592" s="100" t="s">
        <v>169</v>
      </c>
      <c r="Y3592" s="101" t="s">
        <v>170</v>
      </c>
      <c r="Z3592" s="101" t="s">
        <v>171</v>
      </c>
      <c r="AA3592" s="101" t="s">
        <v>50</v>
      </c>
      <c r="AB3592" s="101" t="s">
        <v>172</v>
      </c>
      <c r="AC3592" s="102" t="s">
        <v>173</v>
      </c>
    </row>
    <row r="3593" spans="1:29" ht="25.5" customHeight="1" x14ac:dyDescent="0.35">
      <c r="A3593" s="392"/>
      <c r="B3593" s="393"/>
      <c r="C3593" s="99" t="str">
        <f>IF(B3593="","",IF(NOT(ISNUMBER(B3593)),"DATA_PC invalida",IF(NOT(ISNUMBER(parametros!$C$2)),"Fora dos ciclos",IF(OR(B3593&lt;parametros!$C$2,(YEAR(B3593)-YEAR(parametros!$C$2))*12+MONTH(B3593)-MONTH(parametros!$C$2)&gt;59),"Fora dos ciclos","C"&amp;INT(((YEAR(B3593)-YEAR(parametros!$C$2))*12+MONTH(B3593)-MONTH(parametros!$C$2))/12)))))</f>
        <v/>
      </c>
      <c r="D3593" s="394"/>
      <c r="E3593" s="78" t="str">
        <f>IF(C3593="","",IFERROR(VLOOKUP(C3593,parametros!$A$11:$E$15,5,0),""))</f>
        <v/>
      </c>
      <c r="F3593" s="79" t="str">
        <f t="shared" si="282"/>
        <v/>
      </c>
      <c r="G3593" s="395"/>
      <c r="H3593" s="91">
        <f t="shared" si="283"/>
        <v>0</v>
      </c>
      <c r="I3593" s="91" t="str">
        <f t="shared" si="284"/>
        <v/>
      </c>
      <c r="J3593" s="91" t="str">
        <f t="shared" si="285"/>
        <v/>
      </c>
      <c r="K3593" s="92" t="str">
        <f>IF(AND(A3593="",B3593="",D3593="",G3593=""),"",IF(AND(A3593&lt;&gt;"",COUNTIF($A$2:$A$5001,A3593)&gt;1),"NUMERO_PC duplicado",IF(B3593="","DATA_PC vazia",IF(NOT(ISNUMBER(B3593)),"DATA_PC invalida",IF(OR(C3593="",C3593="Fora dos ciclos"),"CICLO_PC nao identificado",IF(OR(D3593="",D3593=0),"VALOR_PC vazio ou zero",IF(AND(G3593&lt;&gt;"Sim",G3593&lt;&gt;"Nao",G3593&lt;&gt;""),"PC_PAGO_A_CONTRATADA invalido",IF(AND(C3593&lt;&gt;"C0",IFERROR(INDEX(parametros!$A$2:$A$6,MATCH(C3593,parametros!$B$2:$B$6,0)),"")="Sim",IFERROR(INDEX(parametros!$H$2:$H$6,MATCH(C3593,parametros!$B$2:$B$6,0)),"")=""),"INICIO_EFEITO ausente: PC "&amp;A3593&amp;" - "&amp;C3593,IF(L3593="","EFEITO_PC nao calculado: PC "&amp;A3593&amp;" - "&amp;C3593,"OK")))))))))</f>
        <v/>
      </c>
      <c r="L3593" s="92" t="str">
        <f>IF(AND(A3593="",B3593="",D3593="",G3593=""),"",IF(OR(B3593="",NOT(ISNUMBER(B3593)),C3593="",C3593="Fora dos ciclos"),"",IF(C3593="C0","Nao",IF(IFERROR(INDEX(parametros!$A$2:$A$6,MATCH(C3593,parametros!$B$2:$B$6,0)),"")&lt;&gt;"Sim","Nao",IF(IFERROR(INDEX(parametros!$H$2:$H$6,MATCH(C3593,parametros!$B$2:$B$6,0)),"")="","",IF(B3593&gt;=IFERROR(INDEX(parametros!$H$2:$H$6,MATCH(C3593,parametros!$B$2:$B$6,0)),""),"Sim","Nao"))))))</f>
        <v/>
      </c>
      <c r="T3593" s="156"/>
      <c r="U3593" s="214" t="str">
        <f t="shared" si="286"/>
        <v/>
      </c>
      <c r="V3593" s="212" t="s">
        <v>50</v>
      </c>
      <c r="W3593" s="100" t="s">
        <v>168</v>
      </c>
      <c r="X3593" s="100" t="s">
        <v>169</v>
      </c>
      <c r="Y3593" s="101" t="s">
        <v>170</v>
      </c>
      <c r="Z3593" s="101" t="s">
        <v>171</v>
      </c>
      <c r="AA3593" s="101" t="s">
        <v>50</v>
      </c>
      <c r="AB3593" s="101" t="s">
        <v>172</v>
      </c>
      <c r="AC3593" s="102" t="s">
        <v>173</v>
      </c>
    </row>
    <row r="3594" spans="1:29" ht="25.5" customHeight="1" x14ac:dyDescent="0.35">
      <c r="A3594" s="392"/>
      <c r="B3594" s="393"/>
      <c r="C3594" s="99" t="str">
        <f>IF(B3594="","",IF(NOT(ISNUMBER(B3594)),"DATA_PC invalida",IF(NOT(ISNUMBER(parametros!$C$2)),"Fora dos ciclos",IF(OR(B3594&lt;parametros!$C$2,(YEAR(B3594)-YEAR(parametros!$C$2))*12+MONTH(B3594)-MONTH(parametros!$C$2)&gt;59),"Fora dos ciclos","C"&amp;INT(((YEAR(B3594)-YEAR(parametros!$C$2))*12+MONTH(B3594)-MONTH(parametros!$C$2))/12)))))</f>
        <v/>
      </c>
      <c r="D3594" s="394"/>
      <c r="E3594" s="78" t="str">
        <f>IF(C3594="","",IFERROR(VLOOKUP(C3594,parametros!$A$11:$E$15,5,0),""))</f>
        <v/>
      </c>
      <c r="F3594" s="79" t="str">
        <f t="shared" si="282"/>
        <v/>
      </c>
      <c r="G3594" s="395"/>
      <c r="H3594" s="91">
        <f t="shared" si="283"/>
        <v>0</v>
      </c>
      <c r="I3594" s="91" t="str">
        <f t="shared" si="284"/>
        <v/>
      </c>
      <c r="J3594" s="91" t="str">
        <f t="shared" si="285"/>
        <v/>
      </c>
      <c r="K3594" s="92" t="str">
        <f>IF(AND(A3594="",B3594="",D3594="",G3594=""),"",IF(AND(A3594&lt;&gt;"",COUNTIF($A$2:$A$5001,A3594)&gt;1),"NUMERO_PC duplicado",IF(B3594="","DATA_PC vazia",IF(NOT(ISNUMBER(B3594)),"DATA_PC invalida",IF(OR(C3594="",C3594="Fora dos ciclos"),"CICLO_PC nao identificado",IF(OR(D3594="",D3594=0),"VALOR_PC vazio ou zero",IF(AND(G3594&lt;&gt;"Sim",G3594&lt;&gt;"Nao",G3594&lt;&gt;""),"PC_PAGO_A_CONTRATADA invalido",IF(AND(C3594&lt;&gt;"C0",IFERROR(INDEX(parametros!$A$2:$A$6,MATCH(C3594,parametros!$B$2:$B$6,0)),"")="Sim",IFERROR(INDEX(parametros!$H$2:$H$6,MATCH(C3594,parametros!$B$2:$B$6,0)),"")=""),"INICIO_EFEITO ausente: PC "&amp;A3594&amp;" - "&amp;C3594,IF(L3594="","EFEITO_PC nao calculado: PC "&amp;A3594&amp;" - "&amp;C3594,"OK")))))))))</f>
        <v/>
      </c>
      <c r="L3594" s="92" t="str">
        <f>IF(AND(A3594="",B3594="",D3594="",G3594=""),"",IF(OR(B3594="",NOT(ISNUMBER(B3594)),C3594="",C3594="Fora dos ciclos"),"",IF(C3594="C0","Nao",IF(IFERROR(INDEX(parametros!$A$2:$A$6,MATCH(C3594,parametros!$B$2:$B$6,0)),"")&lt;&gt;"Sim","Nao",IF(IFERROR(INDEX(parametros!$H$2:$H$6,MATCH(C3594,parametros!$B$2:$B$6,0)),"")="","",IF(B3594&gt;=IFERROR(INDEX(parametros!$H$2:$H$6,MATCH(C3594,parametros!$B$2:$B$6,0)),""),"Sim","Nao"))))))</f>
        <v/>
      </c>
      <c r="T3594" s="156"/>
      <c r="U3594" s="214" t="str">
        <f t="shared" si="286"/>
        <v/>
      </c>
      <c r="V3594" s="212" t="s">
        <v>50</v>
      </c>
      <c r="W3594" s="100" t="s">
        <v>168</v>
      </c>
      <c r="X3594" s="100" t="s">
        <v>169</v>
      </c>
      <c r="Y3594" s="101" t="s">
        <v>170</v>
      </c>
      <c r="Z3594" s="101" t="s">
        <v>171</v>
      </c>
      <c r="AA3594" s="101" t="s">
        <v>50</v>
      </c>
      <c r="AB3594" s="101" t="s">
        <v>172</v>
      </c>
      <c r="AC3594" s="102" t="s">
        <v>173</v>
      </c>
    </row>
    <row r="3595" spans="1:29" ht="25.5" customHeight="1" x14ac:dyDescent="0.35">
      <c r="A3595" s="392"/>
      <c r="B3595" s="393"/>
      <c r="C3595" s="99" t="str">
        <f>IF(B3595="","",IF(NOT(ISNUMBER(B3595)),"DATA_PC invalida",IF(NOT(ISNUMBER(parametros!$C$2)),"Fora dos ciclos",IF(OR(B3595&lt;parametros!$C$2,(YEAR(B3595)-YEAR(parametros!$C$2))*12+MONTH(B3595)-MONTH(parametros!$C$2)&gt;59),"Fora dos ciclos","C"&amp;INT(((YEAR(B3595)-YEAR(parametros!$C$2))*12+MONTH(B3595)-MONTH(parametros!$C$2))/12)))))</f>
        <v/>
      </c>
      <c r="D3595" s="394"/>
      <c r="E3595" s="78" t="str">
        <f>IF(C3595="","",IFERROR(VLOOKUP(C3595,parametros!$A$11:$E$15,5,0),""))</f>
        <v/>
      </c>
      <c r="F3595" s="79" t="str">
        <f t="shared" si="282"/>
        <v/>
      </c>
      <c r="G3595" s="395"/>
      <c r="H3595" s="91">
        <f t="shared" si="283"/>
        <v>0</v>
      </c>
      <c r="I3595" s="91" t="str">
        <f t="shared" si="284"/>
        <v/>
      </c>
      <c r="J3595" s="91" t="str">
        <f t="shared" si="285"/>
        <v/>
      </c>
      <c r="K3595" s="92" t="str">
        <f>IF(AND(A3595="",B3595="",D3595="",G3595=""),"",IF(AND(A3595&lt;&gt;"",COUNTIF($A$2:$A$5001,A3595)&gt;1),"NUMERO_PC duplicado",IF(B3595="","DATA_PC vazia",IF(NOT(ISNUMBER(B3595)),"DATA_PC invalida",IF(OR(C3595="",C3595="Fora dos ciclos"),"CICLO_PC nao identificado",IF(OR(D3595="",D3595=0),"VALOR_PC vazio ou zero",IF(AND(G3595&lt;&gt;"Sim",G3595&lt;&gt;"Nao",G3595&lt;&gt;""),"PC_PAGO_A_CONTRATADA invalido",IF(AND(C3595&lt;&gt;"C0",IFERROR(INDEX(parametros!$A$2:$A$6,MATCH(C3595,parametros!$B$2:$B$6,0)),"")="Sim",IFERROR(INDEX(parametros!$H$2:$H$6,MATCH(C3595,parametros!$B$2:$B$6,0)),"")=""),"INICIO_EFEITO ausente: PC "&amp;A3595&amp;" - "&amp;C3595,IF(L3595="","EFEITO_PC nao calculado: PC "&amp;A3595&amp;" - "&amp;C3595,"OK")))))))))</f>
        <v/>
      </c>
      <c r="L3595" s="92" t="str">
        <f>IF(AND(A3595="",B3595="",D3595="",G3595=""),"",IF(OR(B3595="",NOT(ISNUMBER(B3595)),C3595="",C3595="Fora dos ciclos"),"",IF(C3595="C0","Nao",IF(IFERROR(INDEX(parametros!$A$2:$A$6,MATCH(C3595,parametros!$B$2:$B$6,0)),"")&lt;&gt;"Sim","Nao",IF(IFERROR(INDEX(parametros!$H$2:$H$6,MATCH(C3595,parametros!$B$2:$B$6,0)),"")="","",IF(B3595&gt;=IFERROR(INDEX(parametros!$H$2:$H$6,MATCH(C3595,parametros!$B$2:$B$6,0)),""),"Sim","Nao"))))))</f>
        <v/>
      </c>
      <c r="T3595" s="156"/>
      <c r="U3595" s="214" t="str">
        <f t="shared" si="286"/>
        <v/>
      </c>
      <c r="V3595" s="212" t="s">
        <v>50</v>
      </c>
      <c r="W3595" s="100" t="s">
        <v>168</v>
      </c>
      <c r="X3595" s="100" t="s">
        <v>169</v>
      </c>
      <c r="Y3595" s="101" t="s">
        <v>170</v>
      </c>
      <c r="Z3595" s="101" t="s">
        <v>171</v>
      </c>
      <c r="AA3595" s="101" t="s">
        <v>50</v>
      </c>
      <c r="AB3595" s="101" t="s">
        <v>172</v>
      </c>
      <c r="AC3595" s="102" t="s">
        <v>173</v>
      </c>
    </row>
    <row r="3596" spans="1:29" ht="25.5" customHeight="1" x14ac:dyDescent="0.35">
      <c r="A3596" s="392"/>
      <c r="B3596" s="393"/>
      <c r="C3596" s="99" t="str">
        <f>IF(B3596="","",IF(NOT(ISNUMBER(B3596)),"DATA_PC invalida",IF(NOT(ISNUMBER(parametros!$C$2)),"Fora dos ciclos",IF(OR(B3596&lt;parametros!$C$2,(YEAR(B3596)-YEAR(parametros!$C$2))*12+MONTH(B3596)-MONTH(parametros!$C$2)&gt;59),"Fora dos ciclos","C"&amp;INT(((YEAR(B3596)-YEAR(parametros!$C$2))*12+MONTH(B3596)-MONTH(parametros!$C$2))/12)))))</f>
        <v/>
      </c>
      <c r="D3596" s="394"/>
      <c r="E3596" s="78" t="str">
        <f>IF(C3596="","",IFERROR(VLOOKUP(C3596,parametros!$A$11:$E$15,5,0),""))</f>
        <v/>
      </c>
      <c r="F3596" s="79" t="str">
        <f t="shared" si="282"/>
        <v/>
      </c>
      <c r="G3596" s="395"/>
      <c r="H3596" s="91">
        <f t="shared" si="283"/>
        <v>0</v>
      </c>
      <c r="I3596" s="91" t="str">
        <f t="shared" si="284"/>
        <v/>
      </c>
      <c r="J3596" s="91" t="str">
        <f t="shared" si="285"/>
        <v/>
      </c>
      <c r="K3596" s="92" t="str">
        <f>IF(AND(A3596="",B3596="",D3596="",G3596=""),"",IF(AND(A3596&lt;&gt;"",COUNTIF($A$2:$A$5001,A3596)&gt;1),"NUMERO_PC duplicado",IF(B3596="","DATA_PC vazia",IF(NOT(ISNUMBER(B3596)),"DATA_PC invalida",IF(OR(C3596="",C3596="Fora dos ciclos"),"CICLO_PC nao identificado",IF(OR(D3596="",D3596=0),"VALOR_PC vazio ou zero",IF(AND(G3596&lt;&gt;"Sim",G3596&lt;&gt;"Nao",G3596&lt;&gt;""),"PC_PAGO_A_CONTRATADA invalido",IF(AND(C3596&lt;&gt;"C0",IFERROR(INDEX(parametros!$A$2:$A$6,MATCH(C3596,parametros!$B$2:$B$6,0)),"")="Sim",IFERROR(INDEX(parametros!$H$2:$H$6,MATCH(C3596,parametros!$B$2:$B$6,0)),"")=""),"INICIO_EFEITO ausente: PC "&amp;A3596&amp;" - "&amp;C3596,IF(L3596="","EFEITO_PC nao calculado: PC "&amp;A3596&amp;" - "&amp;C3596,"OK")))))))))</f>
        <v/>
      </c>
      <c r="L3596" s="92" t="str">
        <f>IF(AND(A3596="",B3596="",D3596="",G3596=""),"",IF(OR(B3596="",NOT(ISNUMBER(B3596)),C3596="",C3596="Fora dos ciclos"),"",IF(C3596="C0","Nao",IF(IFERROR(INDEX(parametros!$A$2:$A$6,MATCH(C3596,parametros!$B$2:$B$6,0)),"")&lt;&gt;"Sim","Nao",IF(IFERROR(INDEX(parametros!$H$2:$H$6,MATCH(C3596,parametros!$B$2:$B$6,0)),"")="","",IF(B3596&gt;=IFERROR(INDEX(parametros!$H$2:$H$6,MATCH(C3596,parametros!$B$2:$B$6,0)),""),"Sim","Nao"))))))</f>
        <v/>
      </c>
      <c r="T3596" s="156"/>
      <c r="U3596" s="214" t="str">
        <f t="shared" si="286"/>
        <v/>
      </c>
      <c r="V3596" s="212" t="s">
        <v>50</v>
      </c>
      <c r="W3596" s="100" t="s">
        <v>168</v>
      </c>
      <c r="X3596" s="100" t="s">
        <v>169</v>
      </c>
      <c r="Y3596" s="101" t="s">
        <v>170</v>
      </c>
      <c r="Z3596" s="101" t="s">
        <v>171</v>
      </c>
      <c r="AA3596" s="101" t="s">
        <v>50</v>
      </c>
      <c r="AB3596" s="101" t="s">
        <v>172</v>
      </c>
      <c r="AC3596" s="102" t="s">
        <v>173</v>
      </c>
    </row>
    <row r="3597" spans="1:29" ht="25.5" customHeight="1" x14ac:dyDescent="0.35">
      <c r="A3597" s="392"/>
      <c r="B3597" s="393"/>
      <c r="C3597" s="99" t="str">
        <f>IF(B3597="","",IF(NOT(ISNUMBER(B3597)),"DATA_PC invalida",IF(NOT(ISNUMBER(parametros!$C$2)),"Fora dos ciclos",IF(OR(B3597&lt;parametros!$C$2,(YEAR(B3597)-YEAR(parametros!$C$2))*12+MONTH(B3597)-MONTH(parametros!$C$2)&gt;59),"Fora dos ciclos","C"&amp;INT(((YEAR(B3597)-YEAR(parametros!$C$2))*12+MONTH(B3597)-MONTH(parametros!$C$2))/12)))))</f>
        <v/>
      </c>
      <c r="D3597" s="394"/>
      <c r="E3597" s="78" t="str">
        <f>IF(C3597="","",IFERROR(VLOOKUP(C3597,parametros!$A$11:$E$15,5,0),""))</f>
        <v/>
      </c>
      <c r="F3597" s="79" t="str">
        <f t="shared" si="282"/>
        <v/>
      </c>
      <c r="G3597" s="395"/>
      <c r="H3597" s="91">
        <f t="shared" si="283"/>
        <v>0</v>
      </c>
      <c r="I3597" s="91" t="str">
        <f t="shared" si="284"/>
        <v/>
      </c>
      <c r="J3597" s="91" t="str">
        <f t="shared" si="285"/>
        <v/>
      </c>
      <c r="K3597" s="92" t="str">
        <f>IF(AND(A3597="",B3597="",D3597="",G3597=""),"",IF(AND(A3597&lt;&gt;"",COUNTIF($A$2:$A$5001,A3597)&gt;1),"NUMERO_PC duplicado",IF(B3597="","DATA_PC vazia",IF(NOT(ISNUMBER(B3597)),"DATA_PC invalida",IF(OR(C3597="",C3597="Fora dos ciclos"),"CICLO_PC nao identificado",IF(OR(D3597="",D3597=0),"VALOR_PC vazio ou zero",IF(AND(G3597&lt;&gt;"Sim",G3597&lt;&gt;"Nao",G3597&lt;&gt;""),"PC_PAGO_A_CONTRATADA invalido",IF(AND(C3597&lt;&gt;"C0",IFERROR(INDEX(parametros!$A$2:$A$6,MATCH(C3597,parametros!$B$2:$B$6,0)),"")="Sim",IFERROR(INDEX(parametros!$H$2:$H$6,MATCH(C3597,parametros!$B$2:$B$6,0)),"")=""),"INICIO_EFEITO ausente: PC "&amp;A3597&amp;" - "&amp;C3597,IF(L3597="","EFEITO_PC nao calculado: PC "&amp;A3597&amp;" - "&amp;C3597,"OK")))))))))</f>
        <v/>
      </c>
      <c r="L3597" s="92" t="str">
        <f>IF(AND(A3597="",B3597="",D3597="",G3597=""),"",IF(OR(B3597="",NOT(ISNUMBER(B3597)),C3597="",C3597="Fora dos ciclos"),"",IF(C3597="C0","Nao",IF(IFERROR(INDEX(parametros!$A$2:$A$6,MATCH(C3597,parametros!$B$2:$B$6,0)),"")&lt;&gt;"Sim","Nao",IF(IFERROR(INDEX(parametros!$H$2:$H$6,MATCH(C3597,parametros!$B$2:$B$6,0)),"")="","",IF(B3597&gt;=IFERROR(INDEX(parametros!$H$2:$H$6,MATCH(C3597,parametros!$B$2:$B$6,0)),""),"Sim","Nao"))))))</f>
        <v/>
      </c>
      <c r="T3597" s="156"/>
      <c r="U3597" s="214" t="str">
        <f t="shared" si="286"/>
        <v/>
      </c>
      <c r="V3597" s="212" t="s">
        <v>50</v>
      </c>
      <c r="W3597" s="100" t="s">
        <v>168</v>
      </c>
      <c r="X3597" s="100" t="s">
        <v>169</v>
      </c>
      <c r="Y3597" s="101" t="s">
        <v>170</v>
      </c>
      <c r="Z3597" s="101" t="s">
        <v>171</v>
      </c>
      <c r="AA3597" s="101" t="s">
        <v>50</v>
      </c>
      <c r="AB3597" s="101" t="s">
        <v>172</v>
      </c>
      <c r="AC3597" s="102" t="s">
        <v>173</v>
      </c>
    </row>
    <row r="3598" spans="1:29" ht="25.5" customHeight="1" x14ac:dyDescent="0.35">
      <c r="A3598" s="392"/>
      <c r="B3598" s="393"/>
      <c r="C3598" s="99" t="str">
        <f>IF(B3598="","",IF(NOT(ISNUMBER(B3598)),"DATA_PC invalida",IF(NOT(ISNUMBER(parametros!$C$2)),"Fora dos ciclos",IF(OR(B3598&lt;parametros!$C$2,(YEAR(B3598)-YEAR(parametros!$C$2))*12+MONTH(B3598)-MONTH(parametros!$C$2)&gt;59),"Fora dos ciclos","C"&amp;INT(((YEAR(B3598)-YEAR(parametros!$C$2))*12+MONTH(B3598)-MONTH(parametros!$C$2))/12)))))</f>
        <v/>
      </c>
      <c r="D3598" s="394"/>
      <c r="E3598" s="78" t="str">
        <f>IF(C3598="","",IFERROR(VLOOKUP(C3598,parametros!$A$11:$E$15,5,0),""))</f>
        <v/>
      </c>
      <c r="F3598" s="79" t="str">
        <f t="shared" si="282"/>
        <v/>
      </c>
      <c r="G3598" s="395"/>
      <c r="H3598" s="91">
        <f t="shared" si="283"/>
        <v>0</v>
      </c>
      <c r="I3598" s="91" t="str">
        <f t="shared" si="284"/>
        <v/>
      </c>
      <c r="J3598" s="91" t="str">
        <f t="shared" si="285"/>
        <v/>
      </c>
      <c r="K3598" s="92" t="str">
        <f>IF(AND(A3598="",B3598="",D3598="",G3598=""),"",IF(AND(A3598&lt;&gt;"",COUNTIF($A$2:$A$5001,A3598)&gt;1),"NUMERO_PC duplicado",IF(B3598="","DATA_PC vazia",IF(NOT(ISNUMBER(B3598)),"DATA_PC invalida",IF(OR(C3598="",C3598="Fora dos ciclos"),"CICLO_PC nao identificado",IF(OR(D3598="",D3598=0),"VALOR_PC vazio ou zero",IF(AND(G3598&lt;&gt;"Sim",G3598&lt;&gt;"Nao",G3598&lt;&gt;""),"PC_PAGO_A_CONTRATADA invalido",IF(AND(C3598&lt;&gt;"C0",IFERROR(INDEX(parametros!$A$2:$A$6,MATCH(C3598,parametros!$B$2:$B$6,0)),"")="Sim",IFERROR(INDEX(parametros!$H$2:$H$6,MATCH(C3598,parametros!$B$2:$B$6,0)),"")=""),"INICIO_EFEITO ausente: PC "&amp;A3598&amp;" - "&amp;C3598,IF(L3598="","EFEITO_PC nao calculado: PC "&amp;A3598&amp;" - "&amp;C3598,"OK")))))))))</f>
        <v/>
      </c>
      <c r="L3598" s="92" t="str">
        <f>IF(AND(A3598="",B3598="",D3598="",G3598=""),"",IF(OR(B3598="",NOT(ISNUMBER(B3598)),C3598="",C3598="Fora dos ciclos"),"",IF(C3598="C0","Nao",IF(IFERROR(INDEX(parametros!$A$2:$A$6,MATCH(C3598,parametros!$B$2:$B$6,0)),"")&lt;&gt;"Sim","Nao",IF(IFERROR(INDEX(parametros!$H$2:$H$6,MATCH(C3598,parametros!$B$2:$B$6,0)),"")="","",IF(B3598&gt;=IFERROR(INDEX(parametros!$H$2:$H$6,MATCH(C3598,parametros!$B$2:$B$6,0)),""),"Sim","Nao"))))))</f>
        <v/>
      </c>
      <c r="T3598" s="156"/>
      <c r="U3598" s="214" t="str">
        <f t="shared" si="286"/>
        <v/>
      </c>
      <c r="V3598" s="212" t="s">
        <v>50</v>
      </c>
      <c r="W3598" s="100" t="s">
        <v>168</v>
      </c>
      <c r="X3598" s="100" t="s">
        <v>169</v>
      </c>
      <c r="Y3598" s="101" t="s">
        <v>170</v>
      </c>
      <c r="Z3598" s="101" t="s">
        <v>171</v>
      </c>
      <c r="AA3598" s="101" t="s">
        <v>50</v>
      </c>
      <c r="AB3598" s="101" t="s">
        <v>172</v>
      </c>
      <c r="AC3598" s="102" t="s">
        <v>173</v>
      </c>
    </row>
    <row r="3599" spans="1:29" ht="25.5" customHeight="1" x14ac:dyDescent="0.35">
      <c r="A3599" s="392"/>
      <c r="B3599" s="393"/>
      <c r="C3599" s="99" t="str">
        <f>IF(B3599="","",IF(NOT(ISNUMBER(B3599)),"DATA_PC invalida",IF(NOT(ISNUMBER(parametros!$C$2)),"Fora dos ciclos",IF(OR(B3599&lt;parametros!$C$2,(YEAR(B3599)-YEAR(parametros!$C$2))*12+MONTH(B3599)-MONTH(parametros!$C$2)&gt;59),"Fora dos ciclos","C"&amp;INT(((YEAR(B3599)-YEAR(parametros!$C$2))*12+MONTH(B3599)-MONTH(parametros!$C$2))/12)))))</f>
        <v/>
      </c>
      <c r="D3599" s="394"/>
      <c r="E3599" s="78" t="str">
        <f>IF(C3599="","",IFERROR(VLOOKUP(C3599,parametros!$A$11:$E$15,5,0),""))</f>
        <v/>
      </c>
      <c r="F3599" s="79" t="str">
        <f t="shared" si="282"/>
        <v/>
      </c>
      <c r="G3599" s="395"/>
      <c r="H3599" s="91">
        <f t="shared" si="283"/>
        <v>0</v>
      </c>
      <c r="I3599" s="91" t="str">
        <f t="shared" si="284"/>
        <v/>
      </c>
      <c r="J3599" s="91" t="str">
        <f t="shared" si="285"/>
        <v/>
      </c>
      <c r="K3599" s="92" t="str">
        <f>IF(AND(A3599="",B3599="",D3599="",G3599=""),"",IF(AND(A3599&lt;&gt;"",COUNTIF($A$2:$A$5001,A3599)&gt;1),"NUMERO_PC duplicado",IF(B3599="","DATA_PC vazia",IF(NOT(ISNUMBER(B3599)),"DATA_PC invalida",IF(OR(C3599="",C3599="Fora dos ciclos"),"CICLO_PC nao identificado",IF(OR(D3599="",D3599=0),"VALOR_PC vazio ou zero",IF(AND(G3599&lt;&gt;"Sim",G3599&lt;&gt;"Nao",G3599&lt;&gt;""),"PC_PAGO_A_CONTRATADA invalido",IF(AND(C3599&lt;&gt;"C0",IFERROR(INDEX(parametros!$A$2:$A$6,MATCH(C3599,parametros!$B$2:$B$6,0)),"")="Sim",IFERROR(INDEX(parametros!$H$2:$H$6,MATCH(C3599,parametros!$B$2:$B$6,0)),"")=""),"INICIO_EFEITO ausente: PC "&amp;A3599&amp;" - "&amp;C3599,IF(L3599="","EFEITO_PC nao calculado: PC "&amp;A3599&amp;" - "&amp;C3599,"OK")))))))))</f>
        <v/>
      </c>
      <c r="L3599" s="92" t="str">
        <f>IF(AND(A3599="",B3599="",D3599="",G3599=""),"",IF(OR(B3599="",NOT(ISNUMBER(B3599)),C3599="",C3599="Fora dos ciclos"),"",IF(C3599="C0","Nao",IF(IFERROR(INDEX(parametros!$A$2:$A$6,MATCH(C3599,parametros!$B$2:$B$6,0)),"")&lt;&gt;"Sim","Nao",IF(IFERROR(INDEX(parametros!$H$2:$H$6,MATCH(C3599,parametros!$B$2:$B$6,0)),"")="","",IF(B3599&gt;=IFERROR(INDEX(parametros!$H$2:$H$6,MATCH(C3599,parametros!$B$2:$B$6,0)),""),"Sim","Nao"))))))</f>
        <v/>
      </c>
      <c r="T3599" s="156"/>
      <c r="U3599" s="214" t="str">
        <f t="shared" si="286"/>
        <v/>
      </c>
      <c r="V3599" s="212" t="s">
        <v>50</v>
      </c>
      <c r="W3599" s="100" t="s">
        <v>168</v>
      </c>
      <c r="X3599" s="100" t="s">
        <v>169</v>
      </c>
      <c r="Y3599" s="101" t="s">
        <v>170</v>
      </c>
      <c r="Z3599" s="101" t="s">
        <v>171</v>
      </c>
      <c r="AA3599" s="101" t="s">
        <v>50</v>
      </c>
      <c r="AB3599" s="101" t="s">
        <v>172</v>
      </c>
      <c r="AC3599" s="102" t="s">
        <v>173</v>
      </c>
    </row>
    <row r="3600" spans="1:29" ht="25.5" customHeight="1" x14ac:dyDescent="0.35">
      <c r="A3600" s="392"/>
      <c r="B3600" s="393"/>
      <c r="C3600" s="99" t="str">
        <f>IF(B3600="","",IF(NOT(ISNUMBER(B3600)),"DATA_PC invalida",IF(NOT(ISNUMBER(parametros!$C$2)),"Fora dos ciclos",IF(OR(B3600&lt;parametros!$C$2,(YEAR(B3600)-YEAR(parametros!$C$2))*12+MONTH(B3600)-MONTH(parametros!$C$2)&gt;59),"Fora dos ciclos","C"&amp;INT(((YEAR(B3600)-YEAR(parametros!$C$2))*12+MONTH(B3600)-MONTH(parametros!$C$2))/12)))))</f>
        <v/>
      </c>
      <c r="D3600" s="394"/>
      <c r="E3600" s="78" t="str">
        <f>IF(C3600="","",IFERROR(VLOOKUP(C3600,parametros!$A$11:$E$15,5,0),""))</f>
        <v/>
      </c>
      <c r="F3600" s="79" t="str">
        <f t="shared" si="282"/>
        <v/>
      </c>
      <c r="G3600" s="395"/>
      <c r="H3600" s="91">
        <f t="shared" si="283"/>
        <v>0</v>
      </c>
      <c r="I3600" s="91" t="str">
        <f t="shared" si="284"/>
        <v/>
      </c>
      <c r="J3600" s="91" t="str">
        <f t="shared" si="285"/>
        <v/>
      </c>
      <c r="K3600" s="92" t="str">
        <f>IF(AND(A3600="",B3600="",D3600="",G3600=""),"",IF(AND(A3600&lt;&gt;"",COUNTIF($A$2:$A$5001,A3600)&gt;1),"NUMERO_PC duplicado",IF(B3600="","DATA_PC vazia",IF(NOT(ISNUMBER(B3600)),"DATA_PC invalida",IF(OR(C3600="",C3600="Fora dos ciclos"),"CICLO_PC nao identificado",IF(OR(D3600="",D3600=0),"VALOR_PC vazio ou zero",IF(AND(G3600&lt;&gt;"Sim",G3600&lt;&gt;"Nao",G3600&lt;&gt;""),"PC_PAGO_A_CONTRATADA invalido",IF(AND(C3600&lt;&gt;"C0",IFERROR(INDEX(parametros!$A$2:$A$6,MATCH(C3600,parametros!$B$2:$B$6,0)),"")="Sim",IFERROR(INDEX(parametros!$H$2:$H$6,MATCH(C3600,parametros!$B$2:$B$6,0)),"")=""),"INICIO_EFEITO ausente: PC "&amp;A3600&amp;" - "&amp;C3600,IF(L3600="","EFEITO_PC nao calculado: PC "&amp;A3600&amp;" - "&amp;C3600,"OK")))))))))</f>
        <v/>
      </c>
      <c r="L3600" s="92" t="str">
        <f>IF(AND(A3600="",B3600="",D3600="",G3600=""),"",IF(OR(B3600="",NOT(ISNUMBER(B3600)),C3600="",C3600="Fora dos ciclos"),"",IF(C3600="C0","Nao",IF(IFERROR(INDEX(parametros!$A$2:$A$6,MATCH(C3600,parametros!$B$2:$B$6,0)),"")&lt;&gt;"Sim","Nao",IF(IFERROR(INDEX(parametros!$H$2:$H$6,MATCH(C3600,parametros!$B$2:$B$6,0)),"")="","",IF(B3600&gt;=IFERROR(INDEX(parametros!$H$2:$H$6,MATCH(C3600,parametros!$B$2:$B$6,0)),""),"Sim","Nao"))))))</f>
        <v/>
      </c>
      <c r="T3600" s="156"/>
      <c r="U3600" s="214" t="str">
        <f t="shared" si="286"/>
        <v/>
      </c>
      <c r="V3600" s="212" t="s">
        <v>50</v>
      </c>
      <c r="W3600" s="100" t="s">
        <v>168</v>
      </c>
      <c r="X3600" s="100" t="s">
        <v>169</v>
      </c>
      <c r="Y3600" s="101" t="s">
        <v>170</v>
      </c>
      <c r="Z3600" s="101" t="s">
        <v>171</v>
      </c>
      <c r="AA3600" s="101" t="s">
        <v>50</v>
      </c>
      <c r="AB3600" s="101" t="s">
        <v>172</v>
      </c>
      <c r="AC3600" s="102" t="s">
        <v>173</v>
      </c>
    </row>
    <row r="3601" spans="1:29" ht="25.5" customHeight="1" x14ac:dyDescent="0.35">
      <c r="A3601" s="392"/>
      <c r="B3601" s="393"/>
      <c r="C3601" s="99" t="str">
        <f>IF(B3601="","",IF(NOT(ISNUMBER(B3601)),"DATA_PC invalida",IF(NOT(ISNUMBER(parametros!$C$2)),"Fora dos ciclos",IF(OR(B3601&lt;parametros!$C$2,(YEAR(B3601)-YEAR(parametros!$C$2))*12+MONTH(B3601)-MONTH(parametros!$C$2)&gt;59),"Fora dos ciclos","C"&amp;INT(((YEAR(B3601)-YEAR(parametros!$C$2))*12+MONTH(B3601)-MONTH(parametros!$C$2))/12)))))</f>
        <v/>
      </c>
      <c r="D3601" s="394"/>
      <c r="E3601" s="78" t="str">
        <f>IF(C3601="","",IFERROR(VLOOKUP(C3601,parametros!$A$11:$E$15,5,0),""))</f>
        <v/>
      </c>
      <c r="F3601" s="79" t="str">
        <f t="shared" si="282"/>
        <v/>
      </c>
      <c r="G3601" s="395"/>
      <c r="H3601" s="91">
        <f t="shared" si="283"/>
        <v>0</v>
      </c>
      <c r="I3601" s="91" t="str">
        <f t="shared" si="284"/>
        <v/>
      </c>
      <c r="J3601" s="91" t="str">
        <f t="shared" si="285"/>
        <v/>
      </c>
      <c r="K3601" s="92" t="str">
        <f>IF(AND(A3601="",B3601="",D3601="",G3601=""),"",IF(AND(A3601&lt;&gt;"",COUNTIF($A$2:$A$5001,A3601)&gt;1),"NUMERO_PC duplicado",IF(B3601="","DATA_PC vazia",IF(NOT(ISNUMBER(B3601)),"DATA_PC invalida",IF(OR(C3601="",C3601="Fora dos ciclos"),"CICLO_PC nao identificado",IF(OR(D3601="",D3601=0),"VALOR_PC vazio ou zero",IF(AND(G3601&lt;&gt;"Sim",G3601&lt;&gt;"Nao",G3601&lt;&gt;""),"PC_PAGO_A_CONTRATADA invalido",IF(AND(C3601&lt;&gt;"C0",IFERROR(INDEX(parametros!$A$2:$A$6,MATCH(C3601,parametros!$B$2:$B$6,0)),"")="Sim",IFERROR(INDEX(parametros!$H$2:$H$6,MATCH(C3601,parametros!$B$2:$B$6,0)),"")=""),"INICIO_EFEITO ausente: PC "&amp;A3601&amp;" - "&amp;C3601,IF(L3601="","EFEITO_PC nao calculado: PC "&amp;A3601&amp;" - "&amp;C3601,"OK")))))))))</f>
        <v/>
      </c>
      <c r="L3601" s="92" t="str">
        <f>IF(AND(A3601="",B3601="",D3601="",G3601=""),"",IF(OR(B3601="",NOT(ISNUMBER(B3601)),C3601="",C3601="Fora dos ciclos"),"",IF(C3601="C0","Nao",IF(IFERROR(INDEX(parametros!$A$2:$A$6,MATCH(C3601,parametros!$B$2:$B$6,0)),"")&lt;&gt;"Sim","Nao",IF(IFERROR(INDEX(parametros!$H$2:$H$6,MATCH(C3601,parametros!$B$2:$B$6,0)),"")="","",IF(B3601&gt;=IFERROR(INDEX(parametros!$H$2:$H$6,MATCH(C3601,parametros!$B$2:$B$6,0)),""),"Sim","Nao"))))))</f>
        <v/>
      </c>
      <c r="T3601" s="156"/>
      <c r="U3601" s="214" t="str">
        <f t="shared" si="286"/>
        <v/>
      </c>
      <c r="V3601" s="212" t="s">
        <v>50</v>
      </c>
      <c r="W3601" s="100" t="s">
        <v>168</v>
      </c>
      <c r="X3601" s="100" t="s">
        <v>169</v>
      </c>
      <c r="Y3601" s="101" t="s">
        <v>170</v>
      </c>
      <c r="Z3601" s="101" t="s">
        <v>171</v>
      </c>
      <c r="AA3601" s="101" t="s">
        <v>50</v>
      </c>
      <c r="AB3601" s="101" t="s">
        <v>172</v>
      </c>
      <c r="AC3601" s="102" t="s">
        <v>173</v>
      </c>
    </row>
    <row r="3602" spans="1:29" ht="25.5" customHeight="1" x14ac:dyDescent="0.35">
      <c r="A3602" s="392"/>
      <c r="B3602" s="393"/>
      <c r="C3602" s="99" t="str">
        <f>IF(B3602="","",IF(NOT(ISNUMBER(B3602)),"DATA_PC invalida",IF(NOT(ISNUMBER(parametros!$C$2)),"Fora dos ciclos",IF(OR(B3602&lt;parametros!$C$2,(YEAR(B3602)-YEAR(parametros!$C$2))*12+MONTH(B3602)-MONTH(parametros!$C$2)&gt;59),"Fora dos ciclos","C"&amp;INT(((YEAR(B3602)-YEAR(parametros!$C$2))*12+MONTH(B3602)-MONTH(parametros!$C$2))/12)))))</f>
        <v/>
      </c>
      <c r="D3602" s="394"/>
      <c r="E3602" s="78" t="str">
        <f>IF(C3602="","",IFERROR(VLOOKUP(C3602,parametros!$A$11:$E$15,5,0),""))</f>
        <v/>
      </c>
      <c r="F3602" s="79" t="str">
        <f t="shared" si="282"/>
        <v/>
      </c>
      <c r="G3602" s="395"/>
      <c r="H3602" s="91">
        <f t="shared" si="283"/>
        <v>0</v>
      </c>
      <c r="I3602" s="91" t="str">
        <f t="shared" si="284"/>
        <v/>
      </c>
      <c r="J3602" s="91" t="str">
        <f t="shared" si="285"/>
        <v/>
      </c>
      <c r="K3602" s="92" t="str">
        <f>IF(AND(A3602="",B3602="",D3602="",G3602=""),"",IF(AND(A3602&lt;&gt;"",COUNTIF($A$2:$A$5001,A3602)&gt;1),"NUMERO_PC duplicado",IF(B3602="","DATA_PC vazia",IF(NOT(ISNUMBER(B3602)),"DATA_PC invalida",IF(OR(C3602="",C3602="Fora dos ciclos"),"CICLO_PC nao identificado",IF(OR(D3602="",D3602=0),"VALOR_PC vazio ou zero",IF(AND(G3602&lt;&gt;"Sim",G3602&lt;&gt;"Nao",G3602&lt;&gt;""),"PC_PAGO_A_CONTRATADA invalido",IF(AND(C3602&lt;&gt;"C0",IFERROR(INDEX(parametros!$A$2:$A$6,MATCH(C3602,parametros!$B$2:$B$6,0)),"")="Sim",IFERROR(INDEX(parametros!$H$2:$H$6,MATCH(C3602,parametros!$B$2:$B$6,0)),"")=""),"INICIO_EFEITO ausente: PC "&amp;A3602&amp;" - "&amp;C3602,IF(L3602="","EFEITO_PC nao calculado: PC "&amp;A3602&amp;" - "&amp;C3602,"OK")))))))))</f>
        <v/>
      </c>
      <c r="L3602" s="92" t="str">
        <f>IF(AND(A3602="",B3602="",D3602="",G3602=""),"",IF(OR(B3602="",NOT(ISNUMBER(B3602)),C3602="",C3602="Fora dos ciclos"),"",IF(C3602="C0","Nao",IF(IFERROR(INDEX(parametros!$A$2:$A$6,MATCH(C3602,parametros!$B$2:$B$6,0)),"")&lt;&gt;"Sim","Nao",IF(IFERROR(INDEX(parametros!$H$2:$H$6,MATCH(C3602,parametros!$B$2:$B$6,0)),"")="","",IF(B3602&gt;=IFERROR(INDEX(parametros!$H$2:$H$6,MATCH(C3602,parametros!$B$2:$B$6,0)),""),"Sim","Nao"))))))</f>
        <v/>
      </c>
      <c r="T3602" s="156"/>
      <c r="U3602" s="214" t="str">
        <f t="shared" si="286"/>
        <v/>
      </c>
      <c r="V3602" s="212" t="s">
        <v>50</v>
      </c>
      <c r="W3602" s="100" t="s">
        <v>168</v>
      </c>
      <c r="X3602" s="100" t="s">
        <v>169</v>
      </c>
      <c r="Y3602" s="101" t="s">
        <v>170</v>
      </c>
      <c r="Z3602" s="101" t="s">
        <v>171</v>
      </c>
      <c r="AA3602" s="101" t="s">
        <v>50</v>
      </c>
      <c r="AB3602" s="101" t="s">
        <v>172</v>
      </c>
      <c r="AC3602" s="102" t="s">
        <v>173</v>
      </c>
    </row>
    <row r="3603" spans="1:29" ht="25.5" customHeight="1" x14ac:dyDescent="0.35">
      <c r="A3603" s="392"/>
      <c r="B3603" s="393"/>
      <c r="C3603" s="99" t="str">
        <f>IF(B3603="","",IF(NOT(ISNUMBER(B3603)),"DATA_PC invalida",IF(NOT(ISNUMBER(parametros!$C$2)),"Fora dos ciclos",IF(OR(B3603&lt;parametros!$C$2,(YEAR(B3603)-YEAR(parametros!$C$2))*12+MONTH(B3603)-MONTH(parametros!$C$2)&gt;59),"Fora dos ciclos","C"&amp;INT(((YEAR(B3603)-YEAR(parametros!$C$2))*12+MONTH(B3603)-MONTH(parametros!$C$2))/12)))))</f>
        <v/>
      </c>
      <c r="D3603" s="394"/>
      <c r="E3603" s="78" t="str">
        <f>IF(C3603="","",IFERROR(VLOOKUP(C3603,parametros!$A$11:$E$15,5,0),""))</f>
        <v/>
      </c>
      <c r="F3603" s="79" t="str">
        <f t="shared" si="282"/>
        <v/>
      </c>
      <c r="G3603" s="395"/>
      <c r="H3603" s="91">
        <f t="shared" si="283"/>
        <v>0</v>
      </c>
      <c r="I3603" s="91" t="str">
        <f t="shared" si="284"/>
        <v/>
      </c>
      <c r="J3603" s="91" t="str">
        <f t="shared" si="285"/>
        <v/>
      </c>
      <c r="K3603" s="92" t="str">
        <f>IF(AND(A3603="",B3603="",D3603="",G3603=""),"",IF(AND(A3603&lt;&gt;"",COUNTIF($A$2:$A$5001,A3603)&gt;1),"NUMERO_PC duplicado",IF(B3603="","DATA_PC vazia",IF(NOT(ISNUMBER(B3603)),"DATA_PC invalida",IF(OR(C3603="",C3603="Fora dos ciclos"),"CICLO_PC nao identificado",IF(OR(D3603="",D3603=0),"VALOR_PC vazio ou zero",IF(AND(G3603&lt;&gt;"Sim",G3603&lt;&gt;"Nao",G3603&lt;&gt;""),"PC_PAGO_A_CONTRATADA invalido",IF(AND(C3603&lt;&gt;"C0",IFERROR(INDEX(parametros!$A$2:$A$6,MATCH(C3603,parametros!$B$2:$B$6,0)),"")="Sim",IFERROR(INDEX(parametros!$H$2:$H$6,MATCH(C3603,parametros!$B$2:$B$6,0)),"")=""),"INICIO_EFEITO ausente: PC "&amp;A3603&amp;" - "&amp;C3603,IF(L3603="","EFEITO_PC nao calculado: PC "&amp;A3603&amp;" - "&amp;C3603,"OK")))))))))</f>
        <v/>
      </c>
      <c r="L3603" s="92" t="str">
        <f>IF(AND(A3603="",B3603="",D3603="",G3603=""),"",IF(OR(B3603="",NOT(ISNUMBER(B3603)),C3603="",C3603="Fora dos ciclos"),"",IF(C3603="C0","Nao",IF(IFERROR(INDEX(parametros!$A$2:$A$6,MATCH(C3603,parametros!$B$2:$B$6,0)),"")&lt;&gt;"Sim","Nao",IF(IFERROR(INDEX(parametros!$H$2:$H$6,MATCH(C3603,parametros!$B$2:$B$6,0)),"")="","",IF(B3603&gt;=IFERROR(INDEX(parametros!$H$2:$H$6,MATCH(C3603,parametros!$B$2:$B$6,0)),""),"Sim","Nao"))))))</f>
        <v/>
      </c>
      <c r="T3603" s="156"/>
      <c r="U3603" s="214" t="str">
        <f t="shared" si="286"/>
        <v/>
      </c>
      <c r="V3603" s="212" t="s">
        <v>50</v>
      </c>
      <c r="W3603" s="100" t="s">
        <v>168</v>
      </c>
      <c r="X3603" s="100" t="s">
        <v>169</v>
      </c>
      <c r="Y3603" s="101" t="s">
        <v>170</v>
      </c>
      <c r="Z3603" s="101" t="s">
        <v>171</v>
      </c>
      <c r="AA3603" s="101" t="s">
        <v>50</v>
      </c>
      <c r="AB3603" s="101" t="s">
        <v>172</v>
      </c>
      <c r="AC3603" s="102" t="s">
        <v>173</v>
      </c>
    </row>
    <row r="3604" spans="1:29" ht="25.5" customHeight="1" x14ac:dyDescent="0.35">
      <c r="A3604" s="392"/>
      <c r="B3604" s="393"/>
      <c r="C3604" s="99" t="str">
        <f>IF(B3604="","",IF(NOT(ISNUMBER(B3604)),"DATA_PC invalida",IF(NOT(ISNUMBER(parametros!$C$2)),"Fora dos ciclos",IF(OR(B3604&lt;parametros!$C$2,(YEAR(B3604)-YEAR(parametros!$C$2))*12+MONTH(B3604)-MONTH(parametros!$C$2)&gt;59),"Fora dos ciclos","C"&amp;INT(((YEAR(B3604)-YEAR(parametros!$C$2))*12+MONTH(B3604)-MONTH(parametros!$C$2))/12)))))</f>
        <v/>
      </c>
      <c r="D3604" s="394"/>
      <c r="E3604" s="78" t="str">
        <f>IF(C3604="","",IFERROR(VLOOKUP(C3604,parametros!$A$11:$E$15,5,0),""))</f>
        <v/>
      </c>
      <c r="F3604" s="79" t="str">
        <f t="shared" si="282"/>
        <v/>
      </c>
      <c r="G3604" s="395"/>
      <c r="H3604" s="91">
        <f t="shared" si="283"/>
        <v>0</v>
      </c>
      <c r="I3604" s="91" t="str">
        <f t="shared" si="284"/>
        <v/>
      </c>
      <c r="J3604" s="91" t="str">
        <f t="shared" si="285"/>
        <v/>
      </c>
      <c r="K3604" s="92" t="str">
        <f>IF(AND(A3604="",B3604="",D3604="",G3604=""),"",IF(AND(A3604&lt;&gt;"",COUNTIF($A$2:$A$5001,A3604)&gt;1),"NUMERO_PC duplicado",IF(B3604="","DATA_PC vazia",IF(NOT(ISNUMBER(B3604)),"DATA_PC invalida",IF(OR(C3604="",C3604="Fora dos ciclos"),"CICLO_PC nao identificado",IF(OR(D3604="",D3604=0),"VALOR_PC vazio ou zero",IF(AND(G3604&lt;&gt;"Sim",G3604&lt;&gt;"Nao",G3604&lt;&gt;""),"PC_PAGO_A_CONTRATADA invalido",IF(AND(C3604&lt;&gt;"C0",IFERROR(INDEX(parametros!$A$2:$A$6,MATCH(C3604,parametros!$B$2:$B$6,0)),"")="Sim",IFERROR(INDEX(parametros!$H$2:$H$6,MATCH(C3604,parametros!$B$2:$B$6,0)),"")=""),"INICIO_EFEITO ausente: PC "&amp;A3604&amp;" - "&amp;C3604,IF(L3604="","EFEITO_PC nao calculado: PC "&amp;A3604&amp;" - "&amp;C3604,"OK")))))))))</f>
        <v/>
      </c>
      <c r="L3604" s="92" t="str">
        <f>IF(AND(A3604="",B3604="",D3604="",G3604=""),"",IF(OR(B3604="",NOT(ISNUMBER(B3604)),C3604="",C3604="Fora dos ciclos"),"",IF(C3604="C0","Nao",IF(IFERROR(INDEX(parametros!$A$2:$A$6,MATCH(C3604,parametros!$B$2:$B$6,0)),"")&lt;&gt;"Sim","Nao",IF(IFERROR(INDEX(parametros!$H$2:$H$6,MATCH(C3604,parametros!$B$2:$B$6,0)),"")="","",IF(B3604&gt;=IFERROR(INDEX(parametros!$H$2:$H$6,MATCH(C3604,parametros!$B$2:$B$6,0)),""),"Sim","Nao"))))))</f>
        <v/>
      </c>
      <c r="T3604" s="156"/>
      <c r="U3604" s="214" t="str">
        <f t="shared" si="286"/>
        <v/>
      </c>
      <c r="V3604" s="212" t="s">
        <v>50</v>
      </c>
      <c r="W3604" s="100" t="s">
        <v>168</v>
      </c>
      <c r="X3604" s="100" t="s">
        <v>169</v>
      </c>
      <c r="Y3604" s="101" t="s">
        <v>170</v>
      </c>
      <c r="Z3604" s="101" t="s">
        <v>171</v>
      </c>
      <c r="AA3604" s="101" t="s">
        <v>50</v>
      </c>
      <c r="AB3604" s="101" t="s">
        <v>172</v>
      </c>
      <c r="AC3604" s="102" t="s">
        <v>173</v>
      </c>
    </row>
    <row r="3605" spans="1:29" ht="25.5" customHeight="1" x14ac:dyDescent="0.35">
      <c r="A3605" s="392"/>
      <c r="B3605" s="393"/>
      <c r="C3605" s="99" t="str">
        <f>IF(B3605="","",IF(NOT(ISNUMBER(B3605)),"DATA_PC invalida",IF(NOT(ISNUMBER(parametros!$C$2)),"Fora dos ciclos",IF(OR(B3605&lt;parametros!$C$2,(YEAR(B3605)-YEAR(parametros!$C$2))*12+MONTH(B3605)-MONTH(parametros!$C$2)&gt;59),"Fora dos ciclos","C"&amp;INT(((YEAR(B3605)-YEAR(parametros!$C$2))*12+MONTH(B3605)-MONTH(parametros!$C$2))/12)))))</f>
        <v/>
      </c>
      <c r="D3605" s="394"/>
      <c r="E3605" s="78" t="str">
        <f>IF(C3605="","",IFERROR(VLOOKUP(C3605,parametros!$A$11:$E$15,5,0),""))</f>
        <v/>
      </c>
      <c r="F3605" s="79" t="str">
        <f t="shared" si="282"/>
        <v/>
      </c>
      <c r="G3605" s="395"/>
      <c r="H3605" s="91">
        <f t="shared" si="283"/>
        <v>0</v>
      </c>
      <c r="I3605" s="91" t="str">
        <f t="shared" si="284"/>
        <v/>
      </c>
      <c r="J3605" s="91" t="str">
        <f t="shared" si="285"/>
        <v/>
      </c>
      <c r="K3605" s="92" t="str">
        <f>IF(AND(A3605="",B3605="",D3605="",G3605=""),"",IF(AND(A3605&lt;&gt;"",COUNTIF($A$2:$A$5001,A3605)&gt;1),"NUMERO_PC duplicado",IF(B3605="","DATA_PC vazia",IF(NOT(ISNUMBER(B3605)),"DATA_PC invalida",IF(OR(C3605="",C3605="Fora dos ciclos"),"CICLO_PC nao identificado",IF(OR(D3605="",D3605=0),"VALOR_PC vazio ou zero",IF(AND(G3605&lt;&gt;"Sim",G3605&lt;&gt;"Nao",G3605&lt;&gt;""),"PC_PAGO_A_CONTRATADA invalido",IF(AND(C3605&lt;&gt;"C0",IFERROR(INDEX(parametros!$A$2:$A$6,MATCH(C3605,parametros!$B$2:$B$6,0)),"")="Sim",IFERROR(INDEX(parametros!$H$2:$H$6,MATCH(C3605,parametros!$B$2:$B$6,0)),"")=""),"INICIO_EFEITO ausente: PC "&amp;A3605&amp;" - "&amp;C3605,IF(L3605="","EFEITO_PC nao calculado: PC "&amp;A3605&amp;" - "&amp;C3605,"OK")))))))))</f>
        <v/>
      </c>
      <c r="L3605" s="92" t="str">
        <f>IF(AND(A3605="",B3605="",D3605="",G3605=""),"",IF(OR(B3605="",NOT(ISNUMBER(B3605)),C3605="",C3605="Fora dos ciclos"),"",IF(C3605="C0","Nao",IF(IFERROR(INDEX(parametros!$A$2:$A$6,MATCH(C3605,parametros!$B$2:$B$6,0)),"")&lt;&gt;"Sim","Nao",IF(IFERROR(INDEX(parametros!$H$2:$H$6,MATCH(C3605,parametros!$B$2:$B$6,0)),"")="","",IF(B3605&gt;=IFERROR(INDEX(parametros!$H$2:$H$6,MATCH(C3605,parametros!$B$2:$B$6,0)),""),"Sim","Nao"))))))</f>
        <v/>
      </c>
      <c r="T3605" s="156"/>
      <c r="U3605" s="214" t="str">
        <f t="shared" si="286"/>
        <v/>
      </c>
      <c r="V3605" s="212" t="s">
        <v>50</v>
      </c>
      <c r="W3605" s="100" t="s">
        <v>168</v>
      </c>
      <c r="X3605" s="100" t="s">
        <v>169</v>
      </c>
      <c r="Y3605" s="101" t="s">
        <v>170</v>
      </c>
      <c r="Z3605" s="101" t="s">
        <v>171</v>
      </c>
      <c r="AA3605" s="101" t="s">
        <v>50</v>
      </c>
      <c r="AB3605" s="101" t="s">
        <v>172</v>
      </c>
      <c r="AC3605" s="102" t="s">
        <v>173</v>
      </c>
    </row>
    <row r="3606" spans="1:29" ht="25.5" customHeight="1" x14ac:dyDescent="0.35">
      <c r="A3606" s="392"/>
      <c r="B3606" s="393"/>
      <c r="C3606" s="99" t="str">
        <f>IF(B3606="","",IF(NOT(ISNUMBER(B3606)),"DATA_PC invalida",IF(NOT(ISNUMBER(parametros!$C$2)),"Fora dos ciclos",IF(OR(B3606&lt;parametros!$C$2,(YEAR(B3606)-YEAR(parametros!$C$2))*12+MONTH(B3606)-MONTH(parametros!$C$2)&gt;59),"Fora dos ciclos","C"&amp;INT(((YEAR(B3606)-YEAR(parametros!$C$2))*12+MONTH(B3606)-MONTH(parametros!$C$2))/12)))))</f>
        <v/>
      </c>
      <c r="D3606" s="394"/>
      <c r="E3606" s="78" t="str">
        <f>IF(C3606="","",IFERROR(VLOOKUP(C3606,parametros!$A$11:$E$15,5,0),""))</f>
        <v/>
      </c>
      <c r="F3606" s="79" t="str">
        <f t="shared" si="282"/>
        <v/>
      </c>
      <c r="G3606" s="395"/>
      <c r="H3606" s="91">
        <f t="shared" si="283"/>
        <v>0</v>
      </c>
      <c r="I3606" s="91" t="str">
        <f t="shared" si="284"/>
        <v/>
      </c>
      <c r="J3606" s="91" t="str">
        <f t="shared" si="285"/>
        <v/>
      </c>
      <c r="K3606" s="92" t="str">
        <f>IF(AND(A3606="",B3606="",D3606="",G3606=""),"",IF(AND(A3606&lt;&gt;"",COUNTIF($A$2:$A$5001,A3606)&gt;1),"NUMERO_PC duplicado",IF(B3606="","DATA_PC vazia",IF(NOT(ISNUMBER(B3606)),"DATA_PC invalida",IF(OR(C3606="",C3606="Fora dos ciclos"),"CICLO_PC nao identificado",IF(OR(D3606="",D3606=0),"VALOR_PC vazio ou zero",IF(AND(G3606&lt;&gt;"Sim",G3606&lt;&gt;"Nao",G3606&lt;&gt;""),"PC_PAGO_A_CONTRATADA invalido",IF(AND(C3606&lt;&gt;"C0",IFERROR(INDEX(parametros!$A$2:$A$6,MATCH(C3606,parametros!$B$2:$B$6,0)),"")="Sim",IFERROR(INDEX(parametros!$H$2:$H$6,MATCH(C3606,parametros!$B$2:$B$6,0)),"")=""),"INICIO_EFEITO ausente: PC "&amp;A3606&amp;" - "&amp;C3606,IF(L3606="","EFEITO_PC nao calculado: PC "&amp;A3606&amp;" - "&amp;C3606,"OK")))))))))</f>
        <v/>
      </c>
      <c r="L3606" s="92" t="str">
        <f>IF(AND(A3606="",B3606="",D3606="",G3606=""),"",IF(OR(B3606="",NOT(ISNUMBER(B3606)),C3606="",C3606="Fora dos ciclos"),"",IF(C3606="C0","Nao",IF(IFERROR(INDEX(parametros!$A$2:$A$6,MATCH(C3606,parametros!$B$2:$B$6,0)),"")&lt;&gt;"Sim","Nao",IF(IFERROR(INDEX(parametros!$H$2:$H$6,MATCH(C3606,parametros!$B$2:$B$6,0)),"")="","",IF(B3606&gt;=IFERROR(INDEX(parametros!$H$2:$H$6,MATCH(C3606,parametros!$B$2:$B$6,0)),""),"Sim","Nao"))))))</f>
        <v/>
      </c>
      <c r="T3606" s="156"/>
      <c r="U3606" s="214" t="str">
        <f t="shared" si="286"/>
        <v/>
      </c>
      <c r="V3606" s="212" t="s">
        <v>50</v>
      </c>
      <c r="W3606" s="100" t="s">
        <v>168</v>
      </c>
      <c r="X3606" s="100" t="s">
        <v>169</v>
      </c>
      <c r="Y3606" s="101" t="s">
        <v>170</v>
      </c>
      <c r="Z3606" s="101" t="s">
        <v>171</v>
      </c>
      <c r="AA3606" s="101" t="s">
        <v>50</v>
      </c>
      <c r="AB3606" s="101" t="s">
        <v>172</v>
      </c>
      <c r="AC3606" s="102" t="s">
        <v>173</v>
      </c>
    </row>
    <row r="3607" spans="1:29" ht="25.5" customHeight="1" x14ac:dyDescent="0.35">
      <c r="A3607" s="392"/>
      <c r="B3607" s="393"/>
      <c r="C3607" s="99" t="str">
        <f>IF(B3607="","",IF(NOT(ISNUMBER(B3607)),"DATA_PC invalida",IF(NOT(ISNUMBER(parametros!$C$2)),"Fora dos ciclos",IF(OR(B3607&lt;parametros!$C$2,(YEAR(B3607)-YEAR(parametros!$C$2))*12+MONTH(B3607)-MONTH(parametros!$C$2)&gt;59),"Fora dos ciclos","C"&amp;INT(((YEAR(B3607)-YEAR(parametros!$C$2))*12+MONTH(B3607)-MONTH(parametros!$C$2))/12)))))</f>
        <v/>
      </c>
      <c r="D3607" s="394"/>
      <c r="E3607" s="78" t="str">
        <f>IF(C3607="","",IFERROR(VLOOKUP(C3607,parametros!$A$11:$E$15,5,0),""))</f>
        <v/>
      </c>
      <c r="F3607" s="79" t="str">
        <f t="shared" si="282"/>
        <v/>
      </c>
      <c r="G3607" s="395"/>
      <c r="H3607" s="91">
        <f t="shared" si="283"/>
        <v>0</v>
      </c>
      <c r="I3607" s="91" t="str">
        <f t="shared" si="284"/>
        <v/>
      </c>
      <c r="J3607" s="91" t="str">
        <f t="shared" si="285"/>
        <v/>
      </c>
      <c r="K3607" s="92" t="str">
        <f>IF(AND(A3607="",B3607="",D3607="",G3607=""),"",IF(AND(A3607&lt;&gt;"",COUNTIF($A$2:$A$5001,A3607)&gt;1),"NUMERO_PC duplicado",IF(B3607="","DATA_PC vazia",IF(NOT(ISNUMBER(B3607)),"DATA_PC invalida",IF(OR(C3607="",C3607="Fora dos ciclos"),"CICLO_PC nao identificado",IF(OR(D3607="",D3607=0),"VALOR_PC vazio ou zero",IF(AND(G3607&lt;&gt;"Sim",G3607&lt;&gt;"Nao",G3607&lt;&gt;""),"PC_PAGO_A_CONTRATADA invalido",IF(AND(C3607&lt;&gt;"C0",IFERROR(INDEX(parametros!$A$2:$A$6,MATCH(C3607,parametros!$B$2:$B$6,0)),"")="Sim",IFERROR(INDEX(parametros!$H$2:$H$6,MATCH(C3607,parametros!$B$2:$B$6,0)),"")=""),"INICIO_EFEITO ausente: PC "&amp;A3607&amp;" - "&amp;C3607,IF(L3607="","EFEITO_PC nao calculado: PC "&amp;A3607&amp;" - "&amp;C3607,"OK")))))))))</f>
        <v/>
      </c>
      <c r="L3607" s="92" t="str">
        <f>IF(AND(A3607="",B3607="",D3607="",G3607=""),"",IF(OR(B3607="",NOT(ISNUMBER(B3607)),C3607="",C3607="Fora dos ciclos"),"",IF(C3607="C0","Nao",IF(IFERROR(INDEX(parametros!$A$2:$A$6,MATCH(C3607,parametros!$B$2:$B$6,0)),"")&lt;&gt;"Sim","Nao",IF(IFERROR(INDEX(parametros!$H$2:$H$6,MATCH(C3607,parametros!$B$2:$B$6,0)),"")="","",IF(B3607&gt;=IFERROR(INDEX(parametros!$H$2:$H$6,MATCH(C3607,parametros!$B$2:$B$6,0)),""),"Sim","Nao"))))))</f>
        <v/>
      </c>
      <c r="T3607" s="156"/>
      <c r="U3607" s="214" t="str">
        <f t="shared" si="286"/>
        <v/>
      </c>
      <c r="V3607" s="212" t="s">
        <v>50</v>
      </c>
      <c r="W3607" s="100" t="s">
        <v>168</v>
      </c>
      <c r="X3607" s="100" t="s">
        <v>169</v>
      </c>
      <c r="Y3607" s="101" t="s">
        <v>170</v>
      </c>
      <c r="Z3607" s="101" t="s">
        <v>171</v>
      </c>
      <c r="AA3607" s="101" t="s">
        <v>50</v>
      </c>
      <c r="AB3607" s="101" t="s">
        <v>172</v>
      </c>
      <c r="AC3607" s="102" t="s">
        <v>173</v>
      </c>
    </row>
    <row r="3608" spans="1:29" ht="25.5" customHeight="1" x14ac:dyDescent="0.35">
      <c r="A3608" s="392"/>
      <c r="B3608" s="393"/>
      <c r="C3608" s="99" t="str">
        <f>IF(B3608="","",IF(NOT(ISNUMBER(B3608)),"DATA_PC invalida",IF(NOT(ISNUMBER(parametros!$C$2)),"Fora dos ciclos",IF(OR(B3608&lt;parametros!$C$2,(YEAR(B3608)-YEAR(parametros!$C$2))*12+MONTH(B3608)-MONTH(parametros!$C$2)&gt;59),"Fora dos ciclos","C"&amp;INT(((YEAR(B3608)-YEAR(parametros!$C$2))*12+MONTH(B3608)-MONTH(parametros!$C$2))/12)))))</f>
        <v/>
      </c>
      <c r="D3608" s="394"/>
      <c r="E3608" s="78" t="str">
        <f>IF(C3608="","",IFERROR(VLOOKUP(C3608,parametros!$A$11:$E$15,5,0),""))</f>
        <v/>
      </c>
      <c r="F3608" s="79" t="str">
        <f t="shared" si="282"/>
        <v/>
      </c>
      <c r="G3608" s="395"/>
      <c r="H3608" s="91">
        <f t="shared" si="283"/>
        <v>0</v>
      </c>
      <c r="I3608" s="91" t="str">
        <f t="shared" si="284"/>
        <v/>
      </c>
      <c r="J3608" s="91" t="str">
        <f t="shared" si="285"/>
        <v/>
      </c>
      <c r="K3608" s="92" t="str">
        <f>IF(AND(A3608="",B3608="",D3608="",G3608=""),"",IF(AND(A3608&lt;&gt;"",COUNTIF($A$2:$A$5001,A3608)&gt;1),"NUMERO_PC duplicado",IF(B3608="","DATA_PC vazia",IF(NOT(ISNUMBER(B3608)),"DATA_PC invalida",IF(OR(C3608="",C3608="Fora dos ciclos"),"CICLO_PC nao identificado",IF(OR(D3608="",D3608=0),"VALOR_PC vazio ou zero",IF(AND(G3608&lt;&gt;"Sim",G3608&lt;&gt;"Nao",G3608&lt;&gt;""),"PC_PAGO_A_CONTRATADA invalido",IF(AND(C3608&lt;&gt;"C0",IFERROR(INDEX(parametros!$A$2:$A$6,MATCH(C3608,parametros!$B$2:$B$6,0)),"")="Sim",IFERROR(INDEX(parametros!$H$2:$H$6,MATCH(C3608,parametros!$B$2:$B$6,0)),"")=""),"INICIO_EFEITO ausente: PC "&amp;A3608&amp;" - "&amp;C3608,IF(L3608="","EFEITO_PC nao calculado: PC "&amp;A3608&amp;" - "&amp;C3608,"OK")))))))))</f>
        <v/>
      </c>
      <c r="L3608" s="92" t="str">
        <f>IF(AND(A3608="",B3608="",D3608="",G3608=""),"",IF(OR(B3608="",NOT(ISNUMBER(B3608)),C3608="",C3608="Fora dos ciclos"),"",IF(C3608="C0","Nao",IF(IFERROR(INDEX(parametros!$A$2:$A$6,MATCH(C3608,parametros!$B$2:$B$6,0)),"")&lt;&gt;"Sim","Nao",IF(IFERROR(INDEX(parametros!$H$2:$H$6,MATCH(C3608,parametros!$B$2:$B$6,0)),"")="","",IF(B3608&gt;=IFERROR(INDEX(parametros!$H$2:$H$6,MATCH(C3608,parametros!$B$2:$B$6,0)),""),"Sim","Nao"))))))</f>
        <v/>
      </c>
      <c r="T3608" s="156"/>
      <c r="U3608" s="214" t="str">
        <f t="shared" si="286"/>
        <v/>
      </c>
      <c r="V3608" s="212" t="s">
        <v>50</v>
      </c>
      <c r="W3608" s="100" t="s">
        <v>168</v>
      </c>
      <c r="X3608" s="100" t="s">
        <v>169</v>
      </c>
      <c r="Y3608" s="101" t="s">
        <v>170</v>
      </c>
      <c r="Z3608" s="101" t="s">
        <v>171</v>
      </c>
      <c r="AA3608" s="101" t="s">
        <v>50</v>
      </c>
      <c r="AB3608" s="101" t="s">
        <v>172</v>
      </c>
      <c r="AC3608" s="102" t="s">
        <v>173</v>
      </c>
    </row>
    <row r="3609" spans="1:29" ht="25.5" customHeight="1" x14ac:dyDescent="0.35">
      <c r="A3609" s="392"/>
      <c r="B3609" s="393"/>
      <c r="C3609" s="99" t="str">
        <f>IF(B3609="","",IF(NOT(ISNUMBER(B3609)),"DATA_PC invalida",IF(NOT(ISNUMBER(parametros!$C$2)),"Fora dos ciclos",IF(OR(B3609&lt;parametros!$C$2,(YEAR(B3609)-YEAR(parametros!$C$2))*12+MONTH(B3609)-MONTH(parametros!$C$2)&gt;59),"Fora dos ciclos","C"&amp;INT(((YEAR(B3609)-YEAR(parametros!$C$2))*12+MONTH(B3609)-MONTH(parametros!$C$2))/12)))))</f>
        <v/>
      </c>
      <c r="D3609" s="394"/>
      <c r="E3609" s="78" t="str">
        <f>IF(C3609="","",IFERROR(VLOOKUP(C3609,parametros!$A$11:$E$15,5,0),""))</f>
        <v/>
      </c>
      <c r="F3609" s="79" t="str">
        <f t="shared" si="282"/>
        <v/>
      </c>
      <c r="G3609" s="395"/>
      <c r="H3609" s="91">
        <f t="shared" si="283"/>
        <v>0</v>
      </c>
      <c r="I3609" s="91" t="str">
        <f t="shared" si="284"/>
        <v/>
      </c>
      <c r="J3609" s="91" t="str">
        <f t="shared" si="285"/>
        <v/>
      </c>
      <c r="K3609" s="92" t="str">
        <f>IF(AND(A3609="",B3609="",D3609="",G3609=""),"",IF(AND(A3609&lt;&gt;"",COUNTIF($A$2:$A$5001,A3609)&gt;1),"NUMERO_PC duplicado",IF(B3609="","DATA_PC vazia",IF(NOT(ISNUMBER(B3609)),"DATA_PC invalida",IF(OR(C3609="",C3609="Fora dos ciclos"),"CICLO_PC nao identificado",IF(OR(D3609="",D3609=0),"VALOR_PC vazio ou zero",IF(AND(G3609&lt;&gt;"Sim",G3609&lt;&gt;"Nao",G3609&lt;&gt;""),"PC_PAGO_A_CONTRATADA invalido",IF(AND(C3609&lt;&gt;"C0",IFERROR(INDEX(parametros!$A$2:$A$6,MATCH(C3609,parametros!$B$2:$B$6,0)),"")="Sim",IFERROR(INDEX(parametros!$H$2:$H$6,MATCH(C3609,parametros!$B$2:$B$6,0)),"")=""),"INICIO_EFEITO ausente: PC "&amp;A3609&amp;" - "&amp;C3609,IF(L3609="","EFEITO_PC nao calculado: PC "&amp;A3609&amp;" - "&amp;C3609,"OK")))))))))</f>
        <v/>
      </c>
      <c r="L3609" s="92" t="str">
        <f>IF(AND(A3609="",B3609="",D3609="",G3609=""),"",IF(OR(B3609="",NOT(ISNUMBER(B3609)),C3609="",C3609="Fora dos ciclos"),"",IF(C3609="C0","Nao",IF(IFERROR(INDEX(parametros!$A$2:$A$6,MATCH(C3609,parametros!$B$2:$B$6,0)),"")&lt;&gt;"Sim","Nao",IF(IFERROR(INDEX(parametros!$H$2:$H$6,MATCH(C3609,parametros!$B$2:$B$6,0)),"")="","",IF(B3609&gt;=IFERROR(INDEX(parametros!$H$2:$H$6,MATCH(C3609,parametros!$B$2:$B$6,0)),""),"Sim","Nao"))))))</f>
        <v/>
      </c>
      <c r="T3609" s="156"/>
      <c r="U3609" s="214" t="str">
        <f t="shared" si="286"/>
        <v/>
      </c>
      <c r="V3609" s="212" t="s">
        <v>50</v>
      </c>
      <c r="W3609" s="100" t="s">
        <v>168</v>
      </c>
      <c r="X3609" s="100" t="s">
        <v>169</v>
      </c>
      <c r="Y3609" s="101" t="s">
        <v>170</v>
      </c>
      <c r="Z3609" s="101" t="s">
        <v>171</v>
      </c>
      <c r="AA3609" s="101" t="s">
        <v>50</v>
      </c>
      <c r="AB3609" s="101" t="s">
        <v>172</v>
      </c>
      <c r="AC3609" s="102" t="s">
        <v>173</v>
      </c>
    </row>
    <row r="3610" spans="1:29" ht="25.5" customHeight="1" x14ac:dyDescent="0.35">
      <c r="A3610" s="392"/>
      <c r="B3610" s="393"/>
      <c r="C3610" s="99" t="str">
        <f>IF(B3610="","",IF(NOT(ISNUMBER(B3610)),"DATA_PC invalida",IF(NOT(ISNUMBER(parametros!$C$2)),"Fora dos ciclos",IF(OR(B3610&lt;parametros!$C$2,(YEAR(B3610)-YEAR(parametros!$C$2))*12+MONTH(B3610)-MONTH(parametros!$C$2)&gt;59),"Fora dos ciclos","C"&amp;INT(((YEAR(B3610)-YEAR(parametros!$C$2))*12+MONTH(B3610)-MONTH(parametros!$C$2))/12)))))</f>
        <v/>
      </c>
      <c r="D3610" s="394"/>
      <c r="E3610" s="78" t="str">
        <f>IF(C3610="","",IFERROR(VLOOKUP(C3610,parametros!$A$11:$E$15,5,0),""))</f>
        <v/>
      </c>
      <c r="F3610" s="79" t="str">
        <f t="shared" si="282"/>
        <v/>
      </c>
      <c r="G3610" s="395"/>
      <c r="H3610" s="91">
        <f t="shared" si="283"/>
        <v>0</v>
      </c>
      <c r="I3610" s="91" t="str">
        <f t="shared" si="284"/>
        <v/>
      </c>
      <c r="J3610" s="91" t="str">
        <f t="shared" si="285"/>
        <v/>
      </c>
      <c r="K3610" s="92" t="str">
        <f>IF(AND(A3610="",B3610="",D3610="",G3610=""),"",IF(AND(A3610&lt;&gt;"",COUNTIF($A$2:$A$5001,A3610)&gt;1),"NUMERO_PC duplicado",IF(B3610="","DATA_PC vazia",IF(NOT(ISNUMBER(B3610)),"DATA_PC invalida",IF(OR(C3610="",C3610="Fora dos ciclos"),"CICLO_PC nao identificado",IF(OR(D3610="",D3610=0),"VALOR_PC vazio ou zero",IF(AND(G3610&lt;&gt;"Sim",G3610&lt;&gt;"Nao",G3610&lt;&gt;""),"PC_PAGO_A_CONTRATADA invalido",IF(AND(C3610&lt;&gt;"C0",IFERROR(INDEX(parametros!$A$2:$A$6,MATCH(C3610,parametros!$B$2:$B$6,0)),"")="Sim",IFERROR(INDEX(parametros!$H$2:$H$6,MATCH(C3610,parametros!$B$2:$B$6,0)),"")=""),"INICIO_EFEITO ausente: PC "&amp;A3610&amp;" - "&amp;C3610,IF(L3610="","EFEITO_PC nao calculado: PC "&amp;A3610&amp;" - "&amp;C3610,"OK")))))))))</f>
        <v/>
      </c>
      <c r="L3610" s="92" t="str">
        <f>IF(AND(A3610="",B3610="",D3610="",G3610=""),"",IF(OR(B3610="",NOT(ISNUMBER(B3610)),C3610="",C3610="Fora dos ciclos"),"",IF(C3610="C0","Nao",IF(IFERROR(INDEX(parametros!$A$2:$A$6,MATCH(C3610,parametros!$B$2:$B$6,0)),"")&lt;&gt;"Sim","Nao",IF(IFERROR(INDEX(parametros!$H$2:$H$6,MATCH(C3610,parametros!$B$2:$B$6,0)),"")="","",IF(B3610&gt;=IFERROR(INDEX(parametros!$H$2:$H$6,MATCH(C3610,parametros!$B$2:$B$6,0)),""),"Sim","Nao"))))))</f>
        <v/>
      </c>
      <c r="T3610" s="156"/>
      <c r="U3610" s="214" t="str">
        <f t="shared" si="286"/>
        <v/>
      </c>
      <c r="V3610" s="212" t="s">
        <v>50</v>
      </c>
      <c r="W3610" s="100" t="s">
        <v>168</v>
      </c>
      <c r="X3610" s="100" t="s">
        <v>169</v>
      </c>
      <c r="Y3610" s="101" t="s">
        <v>170</v>
      </c>
      <c r="Z3610" s="101" t="s">
        <v>171</v>
      </c>
      <c r="AA3610" s="101" t="s">
        <v>50</v>
      </c>
      <c r="AB3610" s="101" t="s">
        <v>172</v>
      </c>
      <c r="AC3610" s="102" t="s">
        <v>173</v>
      </c>
    </row>
    <row r="3611" spans="1:29" ht="25.5" customHeight="1" x14ac:dyDescent="0.35">
      <c r="A3611" s="392"/>
      <c r="B3611" s="393"/>
      <c r="C3611" s="99" t="str">
        <f>IF(B3611="","",IF(NOT(ISNUMBER(B3611)),"DATA_PC invalida",IF(NOT(ISNUMBER(parametros!$C$2)),"Fora dos ciclos",IF(OR(B3611&lt;parametros!$C$2,(YEAR(B3611)-YEAR(parametros!$C$2))*12+MONTH(B3611)-MONTH(parametros!$C$2)&gt;59),"Fora dos ciclos","C"&amp;INT(((YEAR(B3611)-YEAR(parametros!$C$2))*12+MONTH(B3611)-MONTH(parametros!$C$2))/12)))))</f>
        <v/>
      </c>
      <c r="D3611" s="394"/>
      <c r="E3611" s="78" t="str">
        <f>IF(C3611="","",IFERROR(VLOOKUP(C3611,parametros!$A$11:$E$15,5,0),""))</f>
        <v/>
      </c>
      <c r="F3611" s="79" t="str">
        <f t="shared" si="282"/>
        <v/>
      </c>
      <c r="G3611" s="395"/>
      <c r="H3611" s="91">
        <f t="shared" si="283"/>
        <v>0</v>
      </c>
      <c r="I3611" s="91" t="str">
        <f t="shared" si="284"/>
        <v/>
      </c>
      <c r="J3611" s="91" t="str">
        <f t="shared" si="285"/>
        <v/>
      </c>
      <c r="K3611" s="92" t="str">
        <f>IF(AND(A3611="",B3611="",D3611="",G3611=""),"",IF(AND(A3611&lt;&gt;"",COUNTIF($A$2:$A$5001,A3611)&gt;1),"NUMERO_PC duplicado",IF(B3611="","DATA_PC vazia",IF(NOT(ISNUMBER(B3611)),"DATA_PC invalida",IF(OR(C3611="",C3611="Fora dos ciclos"),"CICLO_PC nao identificado",IF(OR(D3611="",D3611=0),"VALOR_PC vazio ou zero",IF(AND(G3611&lt;&gt;"Sim",G3611&lt;&gt;"Nao",G3611&lt;&gt;""),"PC_PAGO_A_CONTRATADA invalido",IF(AND(C3611&lt;&gt;"C0",IFERROR(INDEX(parametros!$A$2:$A$6,MATCH(C3611,parametros!$B$2:$B$6,0)),"")="Sim",IFERROR(INDEX(parametros!$H$2:$H$6,MATCH(C3611,parametros!$B$2:$B$6,0)),"")=""),"INICIO_EFEITO ausente: PC "&amp;A3611&amp;" - "&amp;C3611,IF(L3611="","EFEITO_PC nao calculado: PC "&amp;A3611&amp;" - "&amp;C3611,"OK")))))))))</f>
        <v/>
      </c>
      <c r="L3611" s="92" t="str">
        <f>IF(AND(A3611="",B3611="",D3611="",G3611=""),"",IF(OR(B3611="",NOT(ISNUMBER(B3611)),C3611="",C3611="Fora dos ciclos"),"",IF(C3611="C0","Nao",IF(IFERROR(INDEX(parametros!$A$2:$A$6,MATCH(C3611,parametros!$B$2:$B$6,0)),"")&lt;&gt;"Sim","Nao",IF(IFERROR(INDEX(parametros!$H$2:$H$6,MATCH(C3611,parametros!$B$2:$B$6,0)),"")="","",IF(B3611&gt;=IFERROR(INDEX(parametros!$H$2:$H$6,MATCH(C3611,parametros!$B$2:$B$6,0)),""),"Sim","Nao"))))))</f>
        <v/>
      </c>
      <c r="T3611" s="156"/>
      <c r="U3611" s="214" t="str">
        <f t="shared" si="286"/>
        <v/>
      </c>
      <c r="V3611" s="212" t="s">
        <v>50</v>
      </c>
      <c r="W3611" s="100" t="s">
        <v>168</v>
      </c>
      <c r="X3611" s="100" t="s">
        <v>169</v>
      </c>
      <c r="Y3611" s="101" t="s">
        <v>170</v>
      </c>
      <c r="Z3611" s="101" t="s">
        <v>171</v>
      </c>
      <c r="AA3611" s="101" t="s">
        <v>50</v>
      </c>
      <c r="AB3611" s="101" t="s">
        <v>172</v>
      </c>
      <c r="AC3611" s="102" t="s">
        <v>173</v>
      </c>
    </row>
    <row r="3612" spans="1:29" ht="25.5" customHeight="1" x14ac:dyDescent="0.35">
      <c r="A3612" s="392"/>
      <c r="B3612" s="393"/>
      <c r="C3612" s="99" t="str">
        <f>IF(B3612="","",IF(NOT(ISNUMBER(B3612)),"DATA_PC invalida",IF(NOT(ISNUMBER(parametros!$C$2)),"Fora dos ciclos",IF(OR(B3612&lt;parametros!$C$2,(YEAR(B3612)-YEAR(parametros!$C$2))*12+MONTH(B3612)-MONTH(parametros!$C$2)&gt;59),"Fora dos ciclos","C"&amp;INT(((YEAR(B3612)-YEAR(parametros!$C$2))*12+MONTH(B3612)-MONTH(parametros!$C$2))/12)))))</f>
        <v/>
      </c>
      <c r="D3612" s="394"/>
      <c r="E3612" s="78" t="str">
        <f>IF(C3612="","",IFERROR(VLOOKUP(C3612,parametros!$A$11:$E$15,5,0),""))</f>
        <v/>
      </c>
      <c r="F3612" s="79" t="str">
        <f t="shared" si="282"/>
        <v/>
      </c>
      <c r="G3612" s="395"/>
      <c r="H3612" s="91">
        <f t="shared" si="283"/>
        <v>0</v>
      </c>
      <c r="I3612" s="91" t="str">
        <f t="shared" si="284"/>
        <v/>
      </c>
      <c r="J3612" s="91" t="str">
        <f t="shared" si="285"/>
        <v/>
      </c>
      <c r="K3612" s="92" t="str">
        <f>IF(AND(A3612="",B3612="",D3612="",G3612=""),"",IF(AND(A3612&lt;&gt;"",COUNTIF($A$2:$A$5001,A3612)&gt;1),"NUMERO_PC duplicado",IF(B3612="","DATA_PC vazia",IF(NOT(ISNUMBER(B3612)),"DATA_PC invalida",IF(OR(C3612="",C3612="Fora dos ciclos"),"CICLO_PC nao identificado",IF(OR(D3612="",D3612=0),"VALOR_PC vazio ou zero",IF(AND(G3612&lt;&gt;"Sim",G3612&lt;&gt;"Nao",G3612&lt;&gt;""),"PC_PAGO_A_CONTRATADA invalido",IF(AND(C3612&lt;&gt;"C0",IFERROR(INDEX(parametros!$A$2:$A$6,MATCH(C3612,parametros!$B$2:$B$6,0)),"")="Sim",IFERROR(INDEX(parametros!$H$2:$H$6,MATCH(C3612,parametros!$B$2:$B$6,0)),"")=""),"INICIO_EFEITO ausente: PC "&amp;A3612&amp;" - "&amp;C3612,IF(L3612="","EFEITO_PC nao calculado: PC "&amp;A3612&amp;" - "&amp;C3612,"OK")))))))))</f>
        <v/>
      </c>
      <c r="L3612" s="92" t="str">
        <f>IF(AND(A3612="",B3612="",D3612="",G3612=""),"",IF(OR(B3612="",NOT(ISNUMBER(B3612)),C3612="",C3612="Fora dos ciclos"),"",IF(C3612="C0","Nao",IF(IFERROR(INDEX(parametros!$A$2:$A$6,MATCH(C3612,parametros!$B$2:$B$6,0)),"")&lt;&gt;"Sim","Nao",IF(IFERROR(INDEX(parametros!$H$2:$H$6,MATCH(C3612,parametros!$B$2:$B$6,0)),"")="","",IF(B3612&gt;=IFERROR(INDEX(parametros!$H$2:$H$6,MATCH(C3612,parametros!$B$2:$B$6,0)),""),"Sim","Nao"))))))</f>
        <v/>
      </c>
      <c r="T3612" s="156"/>
      <c r="U3612" s="214" t="str">
        <f t="shared" si="286"/>
        <v/>
      </c>
      <c r="V3612" s="212" t="s">
        <v>50</v>
      </c>
      <c r="W3612" s="100" t="s">
        <v>168</v>
      </c>
      <c r="X3612" s="100" t="s">
        <v>169</v>
      </c>
      <c r="Y3612" s="101" t="s">
        <v>170</v>
      </c>
      <c r="Z3612" s="101" t="s">
        <v>171</v>
      </c>
      <c r="AA3612" s="101" t="s">
        <v>50</v>
      </c>
      <c r="AB3612" s="101" t="s">
        <v>172</v>
      </c>
      <c r="AC3612" s="102" t="s">
        <v>173</v>
      </c>
    </row>
    <row r="3613" spans="1:29" ht="25.5" customHeight="1" x14ac:dyDescent="0.35">
      <c r="A3613" s="392"/>
      <c r="B3613" s="393"/>
      <c r="C3613" s="99" t="str">
        <f>IF(B3613="","",IF(NOT(ISNUMBER(B3613)),"DATA_PC invalida",IF(NOT(ISNUMBER(parametros!$C$2)),"Fora dos ciclos",IF(OR(B3613&lt;parametros!$C$2,(YEAR(B3613)-YEAR(parametros!$C$2))*12+MONTH(B3613)-MONTH(parametros!$C$2)&gt;59),"Fora dos ciclos","C"&amp;INT(((YEAR(B3613)-YEAR(parametros!$C$2))*12+MONTH(B3613)-MONTH(parametros!$C$2))/12)))))</f>
        <v/>
      </c>
      <c r="D3613" s="394"/>
      <c r="E3613" s="78" t="str">
        <f>IF(C3613="","",IFERROR(VLOOKUP(C3613,parametros!$A$11:$E$15,5,0),""))</f>
        <v/>
      </c>
      <c r="F3613" s="79" t="str">
        <f t="shared" si="282"/>
        <v/>
      </c>
      <c r="G3613" s="395"/>
      <c r="H3613" s="91">
        <f t="shared" si="283"/>
        <v>0</v>
      </c>
      <c r="I3613" s="91" t="str">
        <f t="shared" si="284"/>
        <v/>
      </c>
      <c r="J3613" s="91" t="str">
        <f t="shared" si="285"/>
        <v/>
      </c>
      <c r="K3613" s="92" t="str">
        <f>IF(AND(A3613="",B3613="",D3613="",G3613=""),"",IF(AND(A3613&lt;&gt;"",COUNTIF($A$2:$A$5001,A3613)&gt;1),"NUMERO_PC duplicado",IF(B3613="","DATA_PC vazia",IF(NOT(ISNUMBER(B3613)),"DATA_PC invalida",IF(OR(C3613="",C3613="Fora dos ciclos"),"CICLO_PC nao identificado",IF(OR(D3613="",D3613=0),"VALOR_PC vazio ou zero",IF(AND(G3613&lt;&gt;"Sim",G3613&lt;&gt;"Nao",G3613&lt;&gt;""),"PC_PAGO_A_CONTRATADA invalido",IF(AND(C3613&lt;&gt;"C0",IFERROR(INDEX(parametros!$A$2:$A$6,MATCH(C3613,parametros!$B$2:$B$6,0)),"")="Sim",IFERROR(INDEX(parametros!$H$2:$H$6,MATCH(C3613,parametros!$B$2:$B$6,0)),"")=""),"INICIO_EFEITO ausente: PC "&amp;A3613&amp;" - "&amp;C3613,IF(L3613="","EFEITO_PC nao calculado: PC "&amp;A3613&amp;" - "&amp;C3613,"OK")))))))))</f>
        <v/>
      </c>
      <c r="L3613" s="92" t="str">
        <f>IF(AND(A3613="",B3613="",D3613="",G3613=""),"",IF(OR(B3613="",NOT(ISNUMBER(B3613)),C3613="",C3613="Fora dos ciclos"),"",IF(C3613="C0","Nao",IF(IFERROR(INDEX(parametros!$A$2:$A$6,MATCH(C3613,parametros!$B$2:$B$6,0)),"")&lt;&gt;"Sim","Nao",IF(IFERROR(INDEX(parametros!$H$2:$H$6,MATCH(C3613,parametros!$B$2:$B$6,0)),"")="","",IF(B3613&gt;=IFERROR(INDEX(parametros!$H$2:$H$6,MATCH(C3613,parametros!$B$2:$B$6,0)),""),"Sim","Nao"))))))</f>
        <v/>
      </c>
      <c r="T3613" s="156"/>
      <c r="U3613" s="214" t="str">
        <f t="shared" si="286"/>
        <v/>
      </c>
      <c r="V3613" s="212" t="s">
        <v>50</v>
      </c>
      <c r="W3613" s="100" t="s">
        <v>168</v>
      </c>
      <c r="X3613" s="100" t="s">
        <v>169</v>
      </c>
      <c r="Y3613" s="101" t="s">
        <v>170</v>
      </c>
      <c r="Z3613" s="101" t="s">
        <v>171</v>
      </c>
      <c r="AA3613" s="101" t="s">
        <v>50</v>
      </c>
      <c r="AB3613" s="101" t="s">
        <v>172</v>
      </c>
      <c r="AC3613" s="102" t="s">
        <v>173</v>
      </c>
    </row>
    <row r="3614" spans="1:29" ht="25.5" customHeight="1" x14ac:dyDescent="0.35">
      <c r="A3614" s="392"/>
      <c r="B3614" s="393"/>
      <c r="C3614" s="99" t="str">
        <f>IF(B3614="","",IF(NOT(ISNUMBER(B3614)),"DATA_PC invalida",IF(NOT(ISNUMBER(parametros!$C$2)),"Fora dos ciclos",IF(OR(B3614&lt;parametros!$C$2,(YEAR(B3614)-YEAR(parametros!$C$2))*12+MONTH(B3614)-MONTH(parametros!$C$2)&gt;59),"Fora dos ciclos","C"&amp;INT(((YEAR(B3614)-YEAR(parametros!$C$2))*12+MONTH(B3614)-MONTH(parametros!$C$2))/12)))))</f>
        <v/>
      </c>
      <c r="D3614" s="394"/>
      <c r="E3614" s="78" t="str">
        <f>IF(C3614="","",IFERROR(VLOOKUP(C3614,parametros!$A$11:$E$15,5,0),""))</f>
        <v/>
      </c>
      <c r="F3614" s="79" t="str">
        <f t="shared" si="282"/>
        <v/>
      </c>
      <c r="G3614" s="395"/>
      <c r="H3614" s="91">
        <f t="shared" si="283"/>
        <v>0</v>
      </c>
      <c r="I3614" s="91" t="str">
        <f t="shared" si="284"/>
        <v/>
      </c>
      <c r="J3614" s="91" t="str">
        <f t="shared" si="285"/>
        <v/>
      </c>
      <c r="K3614" s="92" t="str">
        <f>IF(AND(A3614="",B3614="",D3614="",G3614=""),"",IF(AND(A3614&lt;&gt;"",COUNTIF($A$2:$A$5001,A3614)&gt;1),"NUMERO_PC duplicado",IF(B3614="","DATA_PC vazia",IF(NOT(ISNUMBER(B3614)),"DATA_PC invalida",IF(OR(C3614="",C3614="Fora dos ciclos"),"CICLO_PC nao identificado",IF(OR(D3614="",D3614=0),"VALOR_PC vazio ou zero",IF(AND(G3614&lt;&gt;"Sim",G3614&lt;&gt;"Nao",G3614&lt;&gt;""),"PC_PAGO_A_CONTRATADA invalido",IF(AND(C3614&lt;&gt;"C0",IFERROR(INDEX(parametros!$A$2:$A$6,MATCH(C3614,parametros!$B$2:$B$6,0)),"")="Sim",IFERROR(INDEX(parametros!$H$2:$H$6,MATCH(C3614,parametros!$B$2:$B$6,0)),"")=""),"INICIO_EFEITO ausente: PC "&amp;A3614&amp;" - "&amp;C3614,IF(L3614="","EFEITO_PC nao calculado: PC "&amp;A3614&amp;" - "&amp;C3614,"OK")))))))))</f>
        <v/>
      </c>
      <c r="L3614" s="92" t="str">
        <f>IF(AND(A3614="",B3614="",D3614="",G3614=""),"",IF(OR(B3614="",NOT(ISNUMBER(B3614)),C3614="",C3614="Fora dos ciclos"),"",IF(C3614="C0","Nao",IF(IFERROR(INDEX(parametros!$A$2:$A$6,MATCH(C3614,parametros!$B$2:$B$6,0)),"")&lt;&gt;"Sim","Nao",IF(IFERROR(INDEX(parametros!$H$2:$H$6,MATCH(C3614,parametros!$B$2:$B$6,0)),"")="","",IF(B3614&gt;=IFERROR(INDEX(parametros!$H$2:$H$6,MATCH(C3614,parametros!$B$2:$B$6,0)),""),"Sim","Nao"))))))</f>
        <v/>
      </c>
      <c r="T3614" s="156"/>
      <c r="U3614" s="214" t="str">
        <f t="shared" si="286"/>
        <v/>
      </c>
      <c r="V3614" s="212" t="s">
        <v>50</v>
      </c>
      <c r="W3614" s="100" t="s">
        <v>168</v>
      </c>
      <c r="X3614" s="100" t="s">
        <v>169</v>
      </c>
      <c r="Y3614" s="101" t="s">
        <v>170</v>
      </c>
      <c r="Z3614" s="101" t="s">
        <v>171</v>
      </c>
      <c r="AA3614" s="101" t="s">
        <v>50</v>
      </c>
      <c r="AB3614" s="101" t="s">
        <v>172</v>
      </c>
      <c r="AC3614" s="102" t="s">
        <v>173</v>
      </c>
    </row>
    <row r="3615" spans="1:29" ht="25.5" customHeight="1" x14ac:dyDescent="0.35">
      <c r="A3615" s="392"/>
      <c r="B3615" s="393"/>
      <c r="C3615" s="99" t="str">
        <f>IF(B3615="","",IF(NOT(ISNUMBER(B3615)),"DATA_PC invalida",IF(NOT(ISNUMBER(parametros!$C$2)),"Fora dos ciclos",IF(OR(B3615&lt;parametros!$C$2,(YEAR(B3615)-YEAR(parametros!$C$2))*12+MONTH(B3615)-MONTH(parametros!$C$2)&gt;59),"Fora dos ciclos","C"&amp;INT(((YEAR(B3615)-YEAR(parametros!$C$2))*12+MONTH(B3615)-MONTH(parametros!$C$2))/12)))))</f>
        <v/>
      </c>
      <c r="D3615" s="394"/>
      <c r="E3615" s="78" t="str">
        <f>IF(C3615="","",IFERROR(VLOOKUP(C3615,parametros!$A$11:$E$15,5,0),""))</f>
        <v/>
      </c>
      <c r="F3615" s="79" t="str">
        <f t="shared" si="282"/>
        <v/>
      </c>
      <c r="G3615" s="395"/>
      <c r="H3615" s="91">
        <f t="shared" si="283"/>
        <v>0</v>
      </c>
      <c r="I3615" s="91" t="str">
        <f t="shared" si="284"/>
        <v/>
      </c>
      <c r="J3615" s="91" t="str">
        <f t="shared" si="285"/>
        <v/>
      </c>
      <c r="K3615" s="92" t="str">
        <f>IF(AND(A3615="",B3615="",D3615="",G3615=""),"",IF(AND(A3615&lt;&gt;"",COUNTIF($A$2:$A$5001,A3615)&gt;1),"NUMERO_PC duplicado",IF(B3615="","DATA_PC vazia",IF(NOT(ISNUMBER(B3615)),"DATA_PC invalida",IF(OR(C3615="",C3615="Fora dos ciclos"),"CICLO_PC nao identificado",IF(OR(D3615="",D3615=0),"VALOR_PC vazio ou zero",IF(AND(G3615&lt;&gt;"Sim",G3615&lt;&gt;"Nao",G3615&lt;&gt;""),"PC_PAGO_A_CONTRATADA invalido",IF(AND(C3615&lt;&gt;"C0",IFERROR(INDEX(parametros!$A$2:$A$6,MATCH(C3615,parametros!$B$2:$B$6,0)),"")="Sim",IFERROR(INDEX(parametros!$H$2:$H$6,MATCH(C3615,parametros!$B$2:$B$6,0)),"")=""),"INICIO_EFEITO ausente: PC "&amp;A3615&amp;" - "&amp;C3615,IF(L3615="","EFEITO_PC nao calculado: PC "&amp;A3615&amp;" - "&amp;C3615,"OK")))))))))</f>
        <v/>
      </c>
      <c r="L3615" s="92" t="str">
        <f>IF(AND(A3615="",B3615="",D3615="",G3615=""),"",IF(OR(B3615="",NOT(ISNUMBER(B3615)),C3615="",C3615="Fora dos ciclos"),"",IF(C3615="C0","Nao",IF(IFERROR(INDEX(parametros!$A$2:$A$6,MATCH(C3615,parametros!$B$2:$B$6,0)),"")&lt;&gt;"Sim","Nao",IF(IFERROR(INDEX(parametros!$H$2:$H$6,MATCH(C3615,parametros!$B$2:$B$6,0)),"")="","",IF(B3615&gt;=IFERROR(INDEX(parametros!$H$2:$H$6,MATCH(C3615,parametros!$B$2:$B$6,0)),""),"Sim","Nao"))))))</f>
        <v/>
      </c>
      <c r="T3615" s="156"/>
      <c r="U3615" s="214" t="str">
        <f t="shared" si="286"/>
        <v/>
      </c>
      <c r="V3615" s="212" t="s">
        <v>50</v>
      </c>
      <c r="W3615" s="100" t="s">
        <v>168</v>
      </c>
      <c r="X3615" s="100" t="s">
        <v>169</v>
      </c>
      <c r="Y3615" s="101" t="s">
        <v>170</v>
      </c>
      <c r="Z3615" s="101" t="s">
        <v>171</v>
      </c>
      <c r="AA3615" s="101" t="s">
        <v>50</v>
      </c>
      <c r="AB3615" s="101" t="s">
        <v>172</v>
      </c>
      <c r="AC3615" s="102" t="s">
        <v>173</v>
      </c>
    </row>
    <row r="3616" spans="1:29" ht="25.5" customHeight="1" x14ac:dyDescent="0.35">
      <c r="A3616" s="392"/>
      <c r="B3616" s="393"/>
      <c r="C3616" s="99" t="str">
        <f>IF(B3616="","",IF(NOT(ISNUMBER(B3616)),"DATA_PC invalida",IF(NOT(ISNUMBER(parametros!$C$2)),"Fora dos ciclos",IF(OR(B3616&lt;parametros!$C$2,(YEAR(B3616)-YEAR(parametros!$C$2))*12+MONTH(B3616)-MONTH(parametros!$C$2)&gt;59),"Fora dos ciclos","C"&amp;INT(((YEAR(B3616)-YEAR(parametros!$C$2))*12+MONTH(B3616)-MONTH(parametros!$C$2))/12)))))</f>
        <v/>
      </c>
      <c r="D3616" s="394"/>
      <c r="E3616" s="78" t="str">
        <f>IF(C3616="","",IFERROR(VLOOKUP(C3616,parametros!$A$11:$E$15,5,0),""))</f>
        <v/>
      </c>
      <c r="F3616" s="79" t="str">
        <f t="shared" si="282"/>
        <v/>
      </c>
      <c r="G3616" s="395"/>
      <c r="H3616" s="91">
        <f t="shared" si="283"/>
        <v>0</v>
      </c>
      <c r="I3616" s="91" t="str">
        <f t="shared" si="284"/>
        <v/>
      </c>
      <c r="J3616" s="91" t="str">
        <f t="shared" si="285"/>
        <v/>
      </c>
      <c r="K3616" s="92" t="str">
        <f>IF(AND(A3616="",B3616="",D3616="",G3616=""),"",IF(AND(A3616&lt;&gt;"",COUNTIF($A$2:$A$5001,A3616)&gt;1),"NUMERO_PC duplicado",IF(B3616="","DATA_PC vazia",IF(NOT(ISNUMBER(B3616)),"DATA_PC invalida",IF(OR(C3616="",C3616="Fora dos ciclos"),"CICLO_PC nao identificado",IF(OR(D3616="",D3616=0),"VALOR_PC vazio ou zero",IF(AND(G3616&lt;&gt;"Sim",G3616&lt;&gt;"Nao",G3616&lt;&gt;""),"PC_PAGO_A_CONTRATADA invalido",IF(AND(C3616&lt;&gt;"C0",IFERROR(INDEX(parametros!$A$2:$A$6,MATCH(C3616,parametros!$B$2:$B$6,0)),"")="Sim",IFERROR(INDEX(parametros!$H$2:$H$6,MATCH(C3616,parametros!$B$2:$B$6,0)),"")=""),"INICIO_EFEITO ausente: PC "&amp;A3616&amp;" - "&amp;C3616,IF(L3616="","EFEITO_PC nao calculado: PC "&amp;A3616&amp;" - "&amp;C3616,"OK")))))))))</f>
        <v/>
      </c>
      <c r="L3616" s="92" t="str">
        <f>IF(AND(A3616="",B3616="",D3616="",G3616=""),"",IF(OR(B3616="",NOT(ISNUMBER(B3616)),C3616="",C3616="Fora dos ciclos"),"",IF(C3616="C0","Nao",IF(IFERROR(INDEX(parametros!$A$2:$A$6,MATCH(C3616,parametros!$B$2:$B$6,0)),"")&lt;&gt;"Sim","Nao",IF(IFERROR(INDEX(parametros!$H$2:$H$6,MATCH(C3616,parametros!$B$2:$B$6,0)),"")="","",IF(B3616&gt;=IFERROR(INDEX(parametros!$H$2:$H$6,MATCH(C3616,parametros!$B$2:$B$6,0)),""),"Sim","Nao"))))))</f>
        <v/>
      </c>
      <c r="T3616" s="156"/>
      <c r="U3616" s="214" t="str">
        <f t="shared" si="286"/>
        <v/>
      </c>
      <c r="V3616" s="212" t="s">
        <v>50</v>
      </c>
      <c r="W3616" s="100" t="s">
        <v>168</v>
      </c>
      <c r="X3616" s="100" t="s">
        <v>169</v>
      </c>
      <c r="Y3616" s="101" t="s">
        <v>170</v>
      </c>
      <c r="Z3616" s="101" t="s">
        <v>171</v>
      </c>
      <c r="AA3616" s="101" t="s">
        <v>50</v>
      </c>
      <c r="AB3616" s="101" t="s">
        <v>172</v>
      </c>
      <c r="AC3616" s="102" t="s">
        <v>173</v>
      </c>
    </row>
    <row r="3617" spans="1:29" ht="25.5" customHeight="1" x14ac:dyDescent="0.35">
      <c r="A3617" s="392"/>
      <c r="B3617" s="393"/>
      <c r="C3617" s="99" t="str">
        <f>IF(B3617="","",IF(NOT(ISNUMBER(B3617)),"DATA_PC invalida",IF(NOT(ISNUMBER(parametros!$C$2)),"Fora dos ciclos",IF(OR(B3617&lt;parametros!$C$2,(YEAR(B3617)-YEAR(parametros!$C$2))*12+MONTH(B3617)-MONTH(parametros!$C$2)&gt;59),"Fora dos ciclos","C"&amp;INT(((YEAR(B3617)-YEAR(parametros!$C$2))*12+MONTH(B3617)-MONTH(parametros!$C$2))/12)))))</f>
        <v/>
      </c>
      <c r="D3617" s="394"/>
      <c r="E3617" s="78" t="str">
        <f>IF(C3617="","",IFERROR(VLOOKUP(C3617,parametros!$A$11:$E$15,5,0),""))</f>
        <v/>
      </c>
      <c r="F3617" s="79" t="str">
        <f t="shared" si="282"/>
        <v/>
      </c>
      <c r="G3617" s="395"/>
      <c r="H3617" s="91">
        <f t="shared" si="283"/>
        <v>0</v>
      </c>
      <c r="I3617" s="91" t="str">
        <f t="shared" si="284"/>
        <v/>
      </c>
      <c r="J3617" s="91" t="str">
        <f t="shared" si="285"/>
        <v/>
      </c>
      <c r="K3617" s="92" t="str">
        <f>IF(AND(A3617="",B3617="",D3617="",G3617=""),"",IF(AND(A3617&lt;&gt;"",COUNTIF($A$2:$A$5001,A3617)&gt;1),"NUMERO_PC duplicado",IF(B3617="","DATA_PC vazia",IF(NOT(ISNUMBER(B3617)),"DATA_PC invalida",IF(OR(C3617="",C3617="Fora dos ciclos"),"CICLO_PC nao identificado",IF(OR(D3617="",D3617=0),"VALOR_PC vazio ou zero",IF(AND(G3617&lt;&gt;"Sim",G3617&lt;&gt;"Nao",G3617&lt;&gt;""),"PC_PAGO_A_CONTRATADA invalido",IF(AND(C3617&lt;&gt;"C0",IFERROR(INDEX(parametros!$A$2:$A$6,MATCH(C3617,parametros!$B$2:$B$6,0)),"")="Sim",IFERROR(INDEX(parametros!$H$2:$H$6,MATCH(C3617,parametros!$B$2:$B$6,0)),"")=""),"INICIO_EFEITO ausente: PC "&amp;A3617&amp;" - "&amp;C3617,IF(L3617="","EFEITO_PC nao calculado: PC "&amp;A3617&amp;" - "&amp;C3617,"OK")))))))))</f>
        <v/>
      </c>
      <c r="L3617" s="92" t="str">
        <f>IF(AND(A3617="",B3617="",D3617="",G3617=""),"",IF(OR(B3617="",NOT(ISNUMBER(B3617)),C3617="",C3617="Fora dos ciclos"),"",IF(C3617="C0","Nao",IF(IFERROR(INDEX(parametros!$A$2:$A$6,MATCH(C3617,parametros!$B$2:$B$6,0)),"")&lt;&gt;"Sim","Nao",IF(IFERROR(INDEX(parametros!$H$2:$H$6,MATCH(C3617,parametros!$B$2:$B$6,0)),"")="","",IF(B3617&gt;=IFERROR(INDEX(parametros!$H$2:$H$6,MATCH(C3617,parametros!$B$2:$B$6,0)),""),"Sim","Nao"))))))</f>
        <v/>
      </c>
      <c r="T3617" s="156"/>
      <c r="U3617" s="214" t="str">
        <f t="shared" si="286"/>
        <v/>
      </c>
      <c r="V3617" s="212" t="s">
        <v>50</v>
      </c>
      <c r="W3617" s="100" t="s">
        <v>168</v>
      </c>
      <c r="X3617" s="100" t="s">
        <v>169</v>
      </c>
      <c r="Y3617" s="101" t="s">
        <v>170</v>
      </c>
      <c r="Z3617" s="101" t="s">
        <v>171</v>
      </c>
      <c r="AA3617" s="101" t="s">
        <v>50</v>
      </c>
      <c r="AB3617" s="101" t="s">
        <v>172</v>
      </c>
      <c r="AC3617" s="102" t="s">
        <v>173</v>
      </c>
    </row>
    <row r="3618" spans="1:29" ht="25.5" customHeight="1" x14ac:dyDescent="0.35">
      <c r="A3618" s="392"/>
      <c r="B3618" s="393"/>
      <c r="C3618" s="99" t="str">
        <f>IF(B3618="","",IF(NOT(ISNUMBER(B3618)),"DATA_PC invalida",IF(NOT(ISNUMBER(parametros!$C$2)),"Fora dos ciclos",IF(OR(B3618&lt;parametros!$C$2,(YEAR(B3618)-YEAR(parametros!$C$2))*12+MONTH(B3618)-MONTH(parametros!$C$2)&gt;59),"Fora dos ciclos","C"&amp;INT(((YEAR(B3618)-YEAR(parametros!$C$2))*12+MONTH(B3618)-MONTH(parametros!$C$2))/12)))))</f>
        <v/>
      </c>
      <c r="D3618" s="394"/>
      <c r="E3618" s="78" t="str">
        <f>IF(C3618="","",IFERROR(VLOOKUP(C3618,parametros!$A$11:$E$15,5,0),""))</f>
        <v/>
      </c>
      <c r="F3618" s="79" t="str">
        <f t="shared" si="282"/>
        <v/>
      </c>
      <c r="G3618" s="395"/>
      <c r="H3618" s="91">
        <f t="shared" si="283"/>
        <v>0</v>
      </c>
      <c r="I3618" s="91" t="str">
        <f t="shared" si="284"/>
        <v/>
      </c>
      <c r="J3618" s="91" t="str">
        <f t="shared" si="285"/>
        <v/>
      </c>
      <c r="K3618" s="92" t="str">
        <f>IF(AND(A3618="",B3618="",D3618="",G3618=""),"",IF(AND(A3618&lt;&gt;"",COUNTIF($A$2:$A$5001,A3618)&gt;1),"NUMERO_PC duplicado",IF(B3618="","DATA_PC vazia",IF(NOT(ISNUMBER(B3618)),"DATA_PC invalida",IF(OR(C3618="",C3618="Fora dos ciclos"),"CICLO_PC nao identificado",IF(OR(D3618="",D3618=0),"VALOR_PC vazio ou zero",IF(AND(G3618&lt;&gt;"Sim",G3618&lt;&gt;"Nao",G3618&lt;&gt;""),"PC_PAGO_A_CONTRATADA invalido",IF(AND(C3618&lt;&gt;"C0",IFERROR(INDEX(parametros!$A$2:$A$6,MATCH(C3618,parametros!$B$2:$B$6,0)),"")="Sim",IFERROR(INDEX(parametros!$H$2:$H$6,MATCH(C3618,parametros!$B$2:$B$6,0)),"")=""),"INICIO_EFEITO ausente: PC "&amp;A3618&amp;" - "&amp;C3618,IF(L3618="","EFEITO_PC nao calculado: PC "&amp;A3618&amp;" - "&amp;C3618,"OK")))))))))</f>
        <v/>
      </c>
      <c r="L3618" s="92" t="str">
        <f>IF(AND(A3618="",B3618="",D3618="",G3618=""),"",IF(OR(B3618="",NOT(ISNUMBER(B3618)),C3618="",C3618="Fora dos ciclos"),"",IF(C3618="C0","Nao",IF(IFERROR(INDEX(parametros!$A$2:$A$6,MATCH(C3618,parametros!$B$2:$B$6,0)),"")&lt;&gt;"Sim","Nao",IF(IFERROR(INDEX(parametros!$H$2:$H$6,MATCH(C3618,parametros!$B$2:$B$6,0)),"")="","",IF(B3618&gt;=IFERROR(INDEX(parametros!$H$2:$H$6,MATCH(C3618,parametros!$B$2:$B$6,0)),""),"Sim","Nao"))))))</f>
        <v/>
      </c>
      <c r="T3618" s="156"/>
      <c r="U3618" s="214" t="str">
        <f t="shared" si="286"/>
        <v/>
      </c>
      <c r="V3618" s="212" t="s">
        <v>50</v>
      </c>
      <c r="W3618" s="100" t="s">
        <v>168</v>
      </c>
      <c r="X3618" s="100" t="s">
        <v>169</v>
      </c>
      <c r="Y3618" s="101" t="s">
        <v>170</v>
      </c>
      <c r="Z3618" s="101" t="s">
        <v>171</v>
      </c>
      <c r="AA3618" s="101" t="s">
        <v>50</v>
      </c>
      <c r="AB3618" s="101" t="s">
        <v>172</v>
      </c>
      <c r="AC3618" s="102" t="s">
        <v>173</v>
      </c>
    </row>
    <row r="3619" spans="1:29" ht="25.5" customHeight="1" x14ac:dyDescent="0.35">
      <c r="A3619" s="392"/>
      <c r="B3619" s="393"/>
      <c r="C3619" s="99" t="str">
        <f>IF(B3619="","",IF(NOT(ISNUMBER(B3619)),"DATA_PC invalida",IF(NOT(ISNUMBER(parametros!$C$2)),"Fora dos ciclos",IF(OR(B3619&lt;parametros!$C$2,(YEAR(B3619)-YEAR(parametros!$C$2))*12+MONTH(B3619)-MONTH(parametros!$C$2)&gt;59),"Fora dos ciclos","C"&amp;INT(((YEAR(B3619)-YEAR(parametros!$C$2))*12+MONTH(B3619)-MONTH(parametros!$C$2))/12)))))</f>
        <v/>
      </c>
      <c r="D3619" s="394"/>
      <c r="E3619" s="78" t="str">
        <f>IF(C3619="","",IFERROR(VLOOKUP(C3619,parametros!$A$11:$E$15,5,0),""))</f>
        <v/>
      </c>
      <c r="F3619" s="79" t="str">
        <f t="shared" si="282"/>
        <v/>
      </c>
      <c r="G3619" s="395"/>
      <c r="H3619" s="91">
        <f t="shared" si="283"/>
        <v>0</v>
      </c>
      <c r="I3619" s="91" t="str">
        <f t="shared" si="284"/>
        <v/>
      </c>
      <c r="J3619" s="91" t="str">
        <f t="shared" si="285"/>
        <v/>
      </c>
      <c r="K3619" s="92" t="str">
        <f>IF(AND(A3619="",B3619="",D3619="",G3619=""),"",IF(AND(A3619&lt;&gt;"",COUNTIF($A$2:$A$5001,A3619)&gt;1),"NUMERO_PC duplicado",IF(B3619="","DATA_PC vazia",IF(NOT(ISNUMBER(B3619)),"DATA_PC invalida",IF(OR(C3619="",C3619="Fora dos ciclos"),"CICLO_PC nao identificado",IF(OR(D3619="",D3619=0),"VALOR_PC vazio ou zero",IF(AND(G3619&lt;&gt;"Sim",G3619&lt;&gt;"Nao",G3619&lt;&gt;""),"PC_PAGO_A_CONTRATADA invalido",IF(AND(C3619&lt;&gt;"C0",IFERROR(INDEX(parametros!$A$2:$A$6,MATCH(C3619,parametros!$B$2:$B$6,0)),"")="Sim",IFERROR(INDEX(parametros!$H$2:$H$6,MATCH(C3619,parametros!$B$2:$B$6,0)),"")=""),"INICIO_EFEITO ausente: PC "&amp;A3619&amp;" - "&amp;C3619,IF(L3619="","EFEITO_PC nao calculado: PC "&amp;A3619&amp;" - "&amp;C3619,"OK")))))))))</f>
        <v/>
      </c>
      <c r="L3619" s="92" t="str">
        <f>IF(AND(A3619="",B3619="",D3619="",G3619=""),"",IF(OR(B3619="",NOT(ISNUMBER(B3619)),C3619="",C3619="Fora dos ciclos"),"",IF(C3619="C0","Nao",IF(IFERROR(INDEX(parametros!$A$2:$A$6,MATCH(C3619,parametros!$B$2:$B$6,0)),"")&lt;&gt;"Sim","Nao",IF(IFERROR(INDEX(parametros!$H$2:$H$6,MATCH(C3619,parametros!$B$2:$B$6,0)),"")="","",IF(B3619&gt;=IFERROR(INDEX(parametros!$H$2:$H$6,MATCH(C3619,parametros!$B$2:$B$6,0)),""),"Sim","Nao"))))))</f>
        <v/>
      </c>
      <c r="T3619" s="156"/>
      <c r="U3619" s="214" t="str">
        <f t="shared" si="286"/>
        <v/>
      </c>
      <c r="V3619" s="212" t="s">
        <v>50</v>
      </c>
      <c r="W3619" s="100" t="s">
        <v>168</v>
      </c>
      <c r="X3619" s="100" t="s">
        <v>169</v>
      </c>
      <c r="Y3619" s="101" t="s">
        <v>170</v>
      </c>
      <c r="Z3619" s="101" t="s">
        <v>171</v>
      </c>
      <c r="AA3619" s="101" t="s">
        <v>50</v>
      </c>
      <c r="AB3619" s="101" t="s">
        <v>172</v>
      </c>
      <c r="AC3619" s="102" t="s">
        <v>173</v>
      </c>
    </row>
    <row r="3620" spans="1:29" ht="25.5" customHeight="1" x14ac:dyDescent="0.35">
      <c r="A3620" s="392"/>
      <c r="B3620" s="393"/>
      <c r="C3620" s="99" t="str">
        <f>IF(B3620="","",IF(NOT(ISNUMBER(B3620)),"DATA_PC invalida",IF(NOT(ISNUMBER(parametros!$C$2)),"Fora dos ciclos",IF(OR(B3620&lt;parametros!$C$2,(YEAR(B3620)-YEAR(parametros!$C$2))*12+MONTH(B3620)-MONTH(parametros!$C$2)&gt;59),"Fora dos ciclos","C"&amp;INT(((YEAR(B3620)-YEAR(parametros!$C$2))*12+MONTH(B3620)-MONTH(parametros!$C$2))/12)))))</f>
        <v/>
      </c>
      <c r="D3620" s="394"/>
      <c r="E3620" s="78" t="str">
        <f>IF(C3620="","",IFERROR(VLOOKUP(C3620,parametros!$A$11:$E$15,5,0),""))</f>
        <v/>
      </c>
      <c r="F3620" s="79" t="str">
        <f t="shared" si="282"/>
        <v/>
      </c>
      <c r="G3620" s="395"/>
      <c r="H3620" s="91">
        <f t="shared" si="283"/>
        <v>0</v>
      </c>
      <c r="I3620" s="91" t="str">
        <f t="shared" si="284"/>
        <v/>
      </c>
      <c r="J3620" s="91" t="str">
        <f t="shared" si="285"/>
        <v/>
      </c>
      <c r="K3620" s="92" t="str">
        <f>IF(AND(A3620="",B3620="",D3620="",G3620=""),"",IF(AND(A3620&lt;&gt;"",COUNTIF($A$2:$A$5001,A3620)&gt;1),"NUMERO_PC duplicado",IF(B3620="","DATA_PC vazia",IF(NOT(ISNUMBER(B3620)),"DATA_PC invalida",IF(OR(C3620="",C3620="Fora dos ciclos"),"CICLO_PC nao identificado",IF(OR(D3620="",D3620=0),"VALOR_PC vazio ou zero",IF(AND(G3620&lt;&gt;"Sim",G3620&lt;&gt;"Nao",G3620&lt;&gt;""),"PC_PAGO_A_CONTRATADA invalido",IF(AND(C3620&lt;&gt;"C0",IFERROR(INDEX(parametros!$A$2:$A$6,MATCH(C3620,parametros!$B$2:$B$6,0)),"")="Sim",IFERROR(INDEX(parametros!$H$2:$H$6,MATCH(C3620,parametros!$B$2:$B$6,0)),"")=""),"INICIO_EFEITO ausente: PC "&amp;A3620&amp;" - "&amp;C3620,IF(L3620="","EFEITO_PC nao calculado: PC "&amp;A3620&amp;" - "&amp;C3620,"OK")))))))))</f>
        <v/>
      </c>
      <c r="L3620" s="92" t="str">
        <f>IF(AND(A3620="",B3620="",D3620="",G3620=""),"",IF(OR(B3620="",NOT(ISNUMBER(B3620)),C3620="",C3620="Fora dos ciclos"),"",IF(C3620="C0","Nao",IF(IFERROR(INDEX(parametros!$A$2:$A$6,MATCH(C3620,parametros!$B$2:$B$6,0)),"")&lt;&gt;"Sim","Nao",IF(IFERROR(INDEX(parametros!$H$2:$H$6,MATCH(C3620,parametros!$B$2:$B$6,0)),"")="","",IF(B3620&gt;=IFERROR(INDEX(parametros!$H$2:$H$6,MATCH(C3620,parametros!$B$2:$B$6,0)),""),"Sim","Nao"))))))</f>
        <v/>
      </c>
      <c r="T3620" s="156"/>
      <c r="U3620" s="214" t="str">
        <f t="shared" si="286"/>
        <v/>
      </c>
      <c r="V3620" s="212" t="s">
        <v>50</v>
      </c>
      <c r="W3620" s="100" t="s">
        <v>168</v>
      </c>
      <c r="X3620" s="100" t="s">
        <v>169</v>
      </c>
      <c r="Y3620" s="101" t="s">
        <v>170</v>
      </c>
      <c r="Z3620" s="101" t="s">
        <v>171</v>
      </c>
      <c r="AA3620" s="101" t="s">
        <v>50</v>
      </c>
      <c r="AB3620" s="101" t="s">
        <v>172</v>
      </c>
      <c r="AC3620" s="102" t="s">
        <v>173</v>
      </c>
    </row>
    <row r="3621" spans="1:29" ht="25.5" customHeight="1" x14ac:dyDescent="0.35">
      <c r="A3621" s="392"/>
      <c r="B3621" s="393"/>
      <c r="C3621" s="99" t="str">
        <f>IF(B3621="","",IF(NOT(ISNUMBER(B3621)),"DATA_PC invalida",IF(NOT(ISNUMBER(parametros!$C$2)),"Fora dos ciclos",IF(OR(B3621&lt;parametros!$C$2,(YEAR(B3621)-YEAR(parametros!$C$2))*12+MONTH(B3621)-MONTH(parametros!$C$2)&gt;59),"Fora dos ciclos","C"&amp;INT(((YEAR(B3621)-YEAR(parametros!$C$2))*12+MONTH(B3621)-MONTH(parametros!$C$2))/12)))))</f>
        <v/>
      </c>
      <c r="D3621" s="394"/>
      <c r="E3621" s="78" t="str">
        <f>IF(C3621="","",IFERROR(VLOOKUP(C3621,parametros!$A$11:$E$15,5,0),""))</f>
        <v/>
      </c>
      <c r="F3621" s="79" t="str">
        <f t="shared" si="282"/>
        <v/>
      </c>
      <c r="G3621" s="395"/>
      <c r="H3621" s="91">
        <f t="shared" si="283"/>
        <v>0</v>
      </c>
      <c r="I3621" s="91" t="str">
        <f t="shared" si="284"/>
        <v/>
      </c>
      <c r="J3621" s="91" t="str">
        <f t="shared" si="285"/>
        <v/>
      </c>
      <c r="K3621" s="92" t="str">
        <f>IF(AND(A3621="",B3621="",D3621="",G3621=""),"",IF(AND(A3621&lt;&gt;"",COUNTIF($A$2:$A$5001,A3621)&gt;1),"NUMERO_PC duplicado",IF(B3621="","DATA_PC vazia",IF(NOT(ISNUMBER(B3621)),"DATA_PC invalida",IF(OR(C3621="",C3621="Fora dos ciclos"),"CICLO_PC nao identificado",IF(OR(D3621="",D3621=0),"VALOR_PC vazio ou zero",IF(AND(G3621&lt;&gt;"Sim",G3621&lt;&gt;"Nao",G3621&lt;&gt;""),"PC_PAGO_A_CONTRATADA invalido",IF(AND(C3621&lt;&gt;"C0",IFERROR(INDEX(parametros!$A$2:$A$6,MATCH(C3621,parametros!$B$2:$B$6,0)),"")="Sim",IFERROR(INDEX(parametros!$H$2:$H$6,MATCH(C3621,parametros!$B$2:$B$6,0)),"")=""),"INICIO_EFEITO ausente: PC "&amp;A3621&amp;" - "&amp;C3621,IF(L3621="","EFEITO_PC nao calculado: PC "&amp;A3621&amp;" - "&amp;C3621,"OK")))))))))</f>
        <v/>
      </c>
      <c r="L3621" s="92" t="str">
        <f>IF(AND(A3621="",B3621="",D3621="",G3621=""),"",IF(OR(B3621="",NOT(ISNUMBER(B3621)),C3621="",C3621="Fora dos ciclos"),"",IF(C3621="C0","Nao",IF(IFERROR(INDEX(parametros!$A$2:$A$6,MATCH(C3621,parametros!$B$2:$B$6,0)),"")&lt;&gt;"Sim","Nao",IF(IFERROR(INDEX(parametros!$H$2:$H$6,MATCH(C3621,parametros!$B$2:$B$6,0)),"")="","",IF(B3621&gt;=IFERROR(INDEX(parametros!$H$2:$H$6,MATCH(C3621,parametros!$B$2:$B$6,0)),""),"Sim","Nao"))))))</f>
        <v/>
      </c>
      <c r="T3621" s="156"/>
      <c r="U3621" s="214" t="str">
        <f t="shared" si="286"/>
        <v/>
      </c>
      <c r="V3621" s="212" t="s">
        <v>50</v>
      </c>
      <c r="W3621" s="100" t="s">
        <v>168</v>
      </c>
      <c r="X3621" s="100" t="s">
        <v>169</v>
      </c>
      <c r="Y3621" s="101" t="s">
        <v>170</v>
      </c>
      <c r="Z3621" s="101" t="s">
        <v>171</v>
      </c>
      <c r="AA3621" s="101" t="s">
        <v>50</v>
      </c>
      <c r="AB3621" s="101" t="s">
        <v>172</v>
      </c>
      <c r="AC3621" s="102" t="s">
        <v>173</v>
      </c>
    </row>
    <row r="3622" spans="1:29" ht="25.5" customHeight="1" x14ac:dyDescent="0.35">
      <c r="A3622" s="392"/>
      <c r="B3622" s="393"/>
      <c r="C3622" s="99" t="str">
        <f>IF(B3622="","",IF(NOT(ISNUMBER(B3622)),"DATA_PC invalida",IF(NOT(ISNUMBER(parametros!$C$2)),"Fora dos ciclos",IF(OR(B3622&lt;parametros!$C$2,(YEAR(B3622)-YEAR(parametros!$C$2))*12+MONTH(B3622)-MONTH(parametros!$C$2)&gt;59),"Fora dos ciclos","C"&amp;INT(((YEAR(B3622)-YEAR(parametros!$C$2))*12+MONTH(B3622)-MONTH(parametros!$C$2))/12)))))</f>
        <v/>
      </c>
      <c r="D3622" s="394"/>
      <c r="E3622" s="78" t="str">
        <f>IF(C3622="","",IFERROR(VLOOKUP(C3622,parametros!$A$11:$E$15,5,0),""))</f>
        <v/>
      </c>
      <c r="F3622" s="79" t="str">
        <f t="shared" si="282"/>
        <v/>
      </c>
      <c r="G3622" s="395"/>
      <c r="H3622" s="91">
        <f t="shared" si="283"/>
        <v>0</v>
      </c>
      <c r="I3622" s="91" t="str">
        <f t="shared" si="284"/>
        <v/>
      </c>
      <c r="J3622" s="91" t="str">
        <f t="shared" si="285"/>
        <v/>
      </c>
      <c r="K3622" s="92" t="str">
        <f>IF(AND(A3622="",B3622="",D3622="",G3622=""),"",IF(AND(A3622&lt;&gt;"",COUNTIF($A$2:$A$5001,A3622)&gt;1),"NUMERO_PC duplicado",IF(B3622="","DATA_PC vazia",IF(NOT(ISNUMBER(B3622)),"DATA_PC invalida",IF(OR(C3622="",C3622="Fora dos ciclos"),"CICLO_PC nao identificado",IF(OR(D3622="",D3622=0),"VALOR_PC vazio ou zero",IF(AND(G3622&lt;&gt;"Sim",G3622&lt;&gt;"Nao",G3622&lt;&gt;""),"PC_PAGO_A_CONTRATADA invalido",IF(AND(C3622&lt;&gt;"C0",IFERROR(INDEX(parametros!$A$2:$A$6,MATCH(C3622,parametros!$B$2:$B$6,0)),"")="Sim",IFERROR(INDEX(parametros!$H$2:$H$6,MATCH(C3622,parametros!$B$2:$B$6,0)),"")=""),"INICIO_EFEITO ausente: PC "&amp;A3622&amp;" - "&amp;C3622,IF(L3622="","EFEITO_PC nao calculado: PC "&amp;A3622&amp;" - "&amp;C3622,"OK")))))))))</f>
        <v/>
      </c>
      <c r="L3622" s="92" t="str">
        <f>IF(AND(A3622="",B3622="",D3622="",G3622=""),"",IF(OR(B3622="",NOT(ISNUMBER(B3622)),C3622="",C3622="Fora dos ciclos"),"",IF(C3622="C0","Nao",IF(IFERROR(INDEX(parametros!$A$2:$A$6,MATCH(C3622,parametros!$B$2:$B$6,0)),"")&lt;&gt;"Sim","Nao",IF(IFERROR(INDEX(parametros!$H$2:$H$6,MATCH(C3622,parametros!$B$2:$B$6,0)),"")="","",IF(B3622&gt;=IFERROR(INDEX(parametros!$H$2:$H$6,MATCH(C3622,parametros!$B$2:$B$6,0)),""),"Sim","Nao"))))))</f>
        <v/>
      </c>
      <c r="T3622" s="156"/>
      <c r="U3622" s="214" t="str">
        <f t="shared" si="286"/>
        <v/>
      </c>
      <c r="V3622" s="212" t="s">
        <v>50</v>
      </c>
      <c r="W3622" s="100" t="s">
        <v>168</v>
      </c>
      <c r="X3622" s="100" t="s">
        <v>169</v>
      </c>
      <c r="Y3622" s="101" t="s">
        <v>170</v>
      </c>
      <c r="Z3622" s="101" t="s">
        <v>171</v>
      </c>
      <c r="AA3622" s="101" t="s">
        <v>50</v>
      </c>
      <c r="AB3622" s="101" t="s">
        <v>172</v>
      </c>
      <c r="AC3622" s="102" t="s">
        <v>173</v>
      </c>
    </row>
    <row r="3623" spans="1:29" ht="25.5" customHeight="1" x14ac:dyDescent="0.35">
      <c r="A3623" s="392"/>
      <c r="B3623" s="393"/>
      <c r="C3623" s="99" t="str">
        <f>IF(B3623="","",IF(NOT(ISNUMBER(B3623)),"DATA_PC invalida",IF(NOT(ISNUMBER(parametros!$C$2)),"Fora dos ciclos",IF(OR(B3623&lt;parametros!$C$2,(YEAR(B3623)-YEAR(parametros!$C$2))*12+MONTH(B3623)-MONTH(parametros!$C$2)&gt;59),"Fora dos ciclos","C"&amp;INT(((YEAR(B3623)-YEAR(parametros!$C$2))*12+MONTH(B3623)-MONTH(parametros!$C$2))/12)))))</f>
        <v/>
      </c>
      <c r="D3623" s="394"/>
      <c r="E3623" s="78" t="str">
        <f>IF(C3623="","",IFERROR(VLOOKUP(C3623,parametros!$A$11:$E$15,5,0),""))</f>
        <v/>
      </c>
      <c r="F3623" s="79" t="str">
        <f t="shared" si="282"/>
        <v/>
      </c>
      <c r="G3623" s="395"/>
      <c r="H3623" s="91">
        <f t="shared" si="283"/>
        <v>0</v>
      </c>
      <c r="I3623" s="91" t="str">
        <f t="shared" si="284"/>
        <v/>
      </c>
      <c r="J3623" s="91" t="str">
        <f t="shared" si="285"/>
        <v/>
      </c>
      <c r="K3623" s="92" t="str">
        <f>IF(AND(A3623="",B3623="",D3623="",G3623=""),"",IF(AND(A3623&lt;&gt;"",COUNTIF($A$2:$A$5001,A3623)&gt;1),"NUMERO_PC duplicado",IF(B3623="","DATA_PC vazia",IF(NOT(ISNUMBER(B3623)),"DATA_PC invalida",IF(OR(C3623="",C3623="Fora dos ciclos"),"CICLO_PC nao identificado",IF(OR(D3623="",D3623=0),"VALOR_PC vazio ou zero",IF(AND(G3623&lt;&gt;"Sim",G3623&lt;&gt;"Nao",G3623&lt;&gt;""),"PC_PAGO_A_CONTRATADA invalido",IF(AND(C3623&lt;&gt;"C0",IFERROR(INDEX(parametros!$A$2:$A$6,MATCH(C3623,parametros!$B$2:$B$6,0)),"")="Sim",IFERROR(INDEX(parametros!$H$2:$H$6,MATCH(C3623,parametros!$B$2:$B$6,0)),"")=""),"INICIO_EFEITO ausente: PC "&amp;A3623&amp;" - "&amp;C3623,IF(L3623="","EFEITO_PC nao calculado: PC "&amp;A3623&amp;" - "&amp;C3623,"OK")))))))))</f>
        <v/>
      </c>
      <c r="L3623" s="92" t="str">
        <f>IF(AND(A3623="",B3623="",D3623="",G3623=""),"",IF(OR(B3623="",NOT(ISNUMBER(B3623)),C3623="",C3623="Fora dos ciclos"),"",IF(C3623="C0","Nao",IF(IFERROR(INDEX(parametros!$A$2:$A$6,MATCH(C3623,parametros!$B$2:$B$6,0)),"")&lt;&gt;"Sim","Nao",IF(IFERROR(INDEX(parametros!$H$2:$H$6,MATCH(C3623,parametros!$B$2:$B$6,0)),"")="","",IF(B3623&gt;=IFERROR(INDEX(parametros!$H$2:$H$6,MATCH(C3623,parametros!$B$2:$B$6,0)),""),"Sim","Nao"))))))</f>
        <v/>
      </c>
      <c r="T3623" s="156"/>
      <c r="U3623" s="214" t="str">
        <f t="shared" si="286"/>
        <v/>
      </c>
      <c r="V3623" s="212" t="s">
        <v>50</v>
      </c>
      <c r="W3623" s="100" t="s">
        <v>168</v>
      </c>
      <c r="X3623" s="100" t="s">
        <v>169</v>
      </c>
      <c r="Y3623" s="101" t="s">
        <v>170</v>
      </c>
      <c r="Z3623" s="101" t="s">
        <v>171</v>
      </c>
      <c r="AA3623" s="101" t="s">
        <v>50</v>
      </c>
      <c r="AB3623" s="101" t="s">
        <v>172</v>
      </c>
      <c r="AC3623" s="102" t="s">
        <v>173</v>
      </c>
    </row>
    <row r="3624" spans="1:29" ht="25.5" customHeight="1" x14ac:dyDescent="0.35">
      <c r="A3624" s="392"/>
      <c r="B3624" s="393"/>
      <c r="C3624" s="99" t="str">
        <f>IF(B3624="","",IF(NOT(ISNUMBER(B3624)),"DATA_PC invalida",IF(NOT(ISNUMBER(parametros!$C$2)),"Fora dos ciclos",IF(OR(B3624&lt;parametros!$C$2,(YEAR(B3624)-YEAR(parametros!$C$2))*12+MONTH(B3624)-MONTH(parametros!$C$2)&gt;59),"Fora dos ciclos","C"&amp;INT(((YEAR(B3624)-YEAR(parametros!$C$2))*12+MONTH(B3624)-MONTH(parametros!$C$2))/12)))))</f>
        <v/>
      </c>
      <c r="D3624" s="394"/>
      <c r="E3624" s="78" t="str">
        <f>IF(C3624="","",IFERROR(VLOOKUP(C3624,parametros!$A$11:$E$15,5,0),""))</f>
        <v/>
      </c>
      <c r="F3624" s="79" t="str">
        <f t="shared" si="282"/>
        <v/>
      </c>
      <c r="G3624" s="395"/>
      <c r="H3624" s="91">
        <f t="shared" si="283"/>
        <v>0</v>
      </c>
      <c r="I3624" s="91" t="str">
        <f t="shared" si="284"/>
        <v/>
      </c>
      <c r="J3624" s="91" t="str">
        <f t="shared" si="285"/>
        <v/>
      </c>
      <c r="K3624" s="92" t="str">
        <f>IF(AND(A3624="",B3624="",D3624="",G3624=""),"",IF(AND(A3624&lt;&gt;"",COUNTIF($A$2:$A$5001,A3624)&gt;1),"NUMERO_PC duplicado",IF(B3624="","DATA_PC vazia",IF(NOT(ISNUMBER(B3624)),"DATA_PC invalida",IF(OR(C3624="",C3624="Fora dos ciclos"),"CICLO_PC nao identificado",IF(OR(D3624="",D3624=0),"VALOR_PC vazio ou zero",IF(AND(G3624&lt;&gt;"Sim",G3624&lt;&gt;"Nao",G3624&lt;&gt;""),"PC_PAGO_A_CONTRATADA invalido",IF(AND(C3624&lt;&gt;"C0",IFERROR(INDEX(parametros!$A$2:$A$6,MATCH(C3624,parametros!$B$2:$B$6,0)),"")="Sim",IFERROR(INDEX(parametros!$H$2:$H$6,MATCH(C3624,parametros!$B$2:$B$6,0)),"")=""),"INICIO_EFEITO ausente: PC "&amp;A3624&amp;" - "&amp;C3624,IF(L3624="","EFEITO_PC nao calculado: PC "&amp;A3624&amp;" - "&amp;C3624,"OK")))))))))</f>
        <v/>
      </c>
      <c r="L3624" s="92" t="str">
        <f>IF(AND(A3624="",B3624="",D3624="",G3624=""),"",IF(OR(B3624="",NOT(ISNUMBER(B3624)),C3624="",C3624="Fora dos ciclos"),"",IF(C3624="C0","Nao",IF(IFERROR(INDEX(parametros!$A$2:$A$6,MATCH(C3624,parametros!$B$2:$B$6,0)),"")&lt;&gt;"Sim","Nao",IF(IFERROR(INDEX(parametros!$H$2:$H$6,MATCH(C3624,parametros!$B$2:$B$6,0)),"")="","",IF(B3624&gt;=IFERROR(INDEX(parametros!$H$2:$H$6,MATCH(C3624,parametros!$B$2:$B$6,0)),""),"Sim","Nao"))))))</f>
        <v/>
      </c>
      <c r="T3624" s="156"/>
      <c r="U3624" s="214" t="str">
        <f t="shared" si="286"/>
        <v/>
      </c>
      <c r="V3624" s="212" t="s">
        <v>50</v>
      </c>
      <c r="W3624" s="100" t="s">
        <v>168</v>
      </c>
      <c r="X3624" s="100" t="s">
        <v>169</v>
      </c>
      <c r="Y3624" s="101" t="s">
        <v>170</v>
      </c>
      <c r="Z3624" s="101" t="s">
        <v>171</v>
      </c>
      <c r="AA3624" s="101" t="s">
        <v>50</v>
      </c>
      <c r="AB3624" s="101" t="s">
        <v>172</v>
      </c>
      <c r="AC3624" s="102" t="s">
        <v>173</v>
      </c>
    </row>
    <row r="3625" spans="1:29" ht="25.5" customHeight="1" x14ac:dyDescent="0.35">
      <c r="A3625" s="392"/>
      <c r="B3625" s="393"/>
      <c r="C3625" s="99" t="str">
        <f>IF(B3625="","",IF(NOT(ISNUMBER(B3625)),"DATA_PC invalida",IF(NOT(ISNUMBER(parametros!$C$2)),"Fora dos ciclos",IF(OR(B3625&lt;parametros!$C$2,(YEAR(B3625)-YEAR(parametros!$C$2))*12+MONTH(B3625)-MONTH(parametros!$C$2)&gt;59),"Fora dos ciclos","C"&amp;INT(((YEAR(B3625)-YEAR(parametros!$C$2))*12+MONTH(B3625)-MONTH(parametros!$C$2))/12)))))</f>
        <v/>
      </c>
      <c r="D3625" s="394"/>
      <c r="E3625" s="78" t="str">
        <f>IF(C3625="","",IFERROR(VLOOKUP(C3625,parametros!$A$11:$E$15,5,0),""))</f>
        <v/>
      </c>
      <c r="F3625" s="79" t="str">
        <f t="shared" si="282"/>
        <v/>
      </c>
      <c r="G3625" s="395"/>
      <c r="H3625" s="91">
        <f t="shared" si="283"/>
        <v>0</v>
      </c>
      <c r="I3625" s="91" t="str">
        <f t="shared" si="284"/>
        <v/>
      </c>
      <c r="J3625" s="91" t="str">
        <f t="shared" si="285"/>
        <v/>
      </c>
      <c r="K3625" s="92" t="str">
        <f>IF(AND(A3625="",B3625="",D3625="",G3625=""),"",IF(AND(A3625&lt;&gt;"",COUNTIF($A$2:$A$5001,A3625)&gt;1),"NUMERO_PC duplicado",IF(B3625="","DATA_PC vazia",IF(NOT(ISNUMBER(B3625)),"DATA_PC invalida",IF(OR(C3625="",C3625="Fora dos ciclos"),"CICLO_PC nao identificado",IF(OR(D3625="",D3625=0),"VALOR_PC vazio ou zero",IF(AND(G3625&lt;&gt;"Sim",G3625&lt;&gt;"Nao",G3625&lt;&gt;""),"PC_PAGO_A_CONTRATADA invalido",IF(AND(C3625&lt;&gt;"C0",IFERROR(INDEX(parametros!$A$2:$A$6,MATCH(C3625,parametros!$B$2:$B$6,0)),"")="Sim",IFERROR(INDEX(parametros!$H$2:$H$6,MATCH(C3625,parametros!$B$2:$B$6,0)),"")=""),"INICIO_EFEITO ausente: PC "&amp;A3625&amp;" - "&amp;C3625,IF(L3625="","EFEITO_PC nao calculado: PC "&amp;A3625&amp;" - "&amp;C3625,"OK")))))))))</f>
        <v/>
      </c>
      <c r="L3625" s="92" t="str">
        <f>IF(AND(A3625="",B3625="",D3625="",G3625=""),"",IF(OR(B3625="",NOT(ISNUMBER(B3625)),C3625="",C3625="Fora dos ciclos"),"",IF(C3625="C0","Nao",IF(IFERROR(INDEX(parametros!$A$2:$A$6,MATCH(C3625,parametros!$B$2:$B$6,0)),"")&lt;&gt;"Sim","Nao",IF(IFERROR(INDEX(parametros!$H$2:$H$6,MATCH(C3625,parametros!$B$2:$B$6,0)),"")="","",IF(B3625&gt;=IFERROR(INDEX(parametros!$H$2:$H$6,MATCH(C3625,parametros!$B$2:$B$6,0)),""),"Sim","Nao"))))))</f>
        <v/>
      </c>
      <c r="T3625" s="156"/>
      <c r="U3625" s="214" t="str">
        <f t="shared" si="286"/>
        <v/>
      </c>
      <c r="V3625" s="212" t="s">
        <v>50</v>
      </c>
      <c r="W3625" s="100" t="s">
        <v>168</v>
      </c>
      <c r="X3625" s="100" t="s">
        <v>169</v>
      </c>
      <c r="Y3625" s="101" t="s">
        <v>170</v>
      </c>
      <c r="Z3625" s="101" t="s">
        <v>171</v>
      </c>
      <c r="AA3625" s="101" t="s">
        <v>50</v>
      </c>
      <c r="AB3625" s="101" t="s">
        <v>172</v>
      </c>
      <c r="AC3625" s="102" t="s">
        <v>173</v>
      </c>
    </row>
    <row r="3626" spans="1:29" ht="25.5" customHeight="1" x14ac:dyDescent="0.35">
      <c r="A3626" s="392"/>
      <c r="B3626" s="393"/>
      <c r="C3626" s="99" t="str">
        <f>IF(B3626="","",IF(NOT(ISNUMBER(B3626)),"DATA_PC invalida",IF(NOT(ISNUMBER(parametros!$C$2)),"Fora dos ciclos",IF(OR(B3626&lt;parametros!$C$2,(YEAR(B3626)-YEAR(parametros!$C$2))*12+MONTH(B3626)-MONTH(parametros!$C$2)&gt;59),"Fora dos ciclos","C"&amp;INT(((YEAR(B3626)-YEAR(parametros!$C$2))*12+MONTH(B3626)-MONTH(parametros!$C$2))/12)))))</f>
        <v/>
      </c>
      <c r="D3626" s="394"/>
      <c r="E3626" s="78" t="str">
        <f>IF(C3626="","",IFERROR(VLOOKUP(C3626,parametros!$A$11:$E$15,5,0),""))</f>
        <v/>
      </c>
      <c r="F3626" s="79" t="str">
        <f t="shared" si="282"/>
        <v/>
      </c>
      <c r="G3626" s="395"/>
      <c r="H3626" s="91">
        <f t="shared" si="283"/>
        <v>0</v>
      </c>
      <c r="I3626" s="91" t="str">
        <f t="shared" si="284"/>
        <v/>
      </c>
      <c r="J3626" s="91" t="str">
        <f t="shared" si="285"/>
        <v/>
      </c>
      <c r="K3626" s="92" t="str">
        <f>IF(AND(A3626="",B3626="",D3626="",G3626=""),"",IF(AND(A3626&lt;&gt;"",COUNTIF($A$2:$A$5001,A3626)&gt;1),"NUMERO_PC duplicado",IF(B3626="","DATA_PC vazia",IF(NOT(ISNUMBER(B3626)),"DATA_PC invalida",IF(OR(C3626="",C3626="Fora dos ciclos"),"CICLO_PC nao identificado",IF(OR(D3626="",D3626=0),"VALOR_PC vazio ou zero",IF(AND(G3626&lt;&gt;"Sim",G3626&lt;&gt;"Nao",G3626&lt;&gt;""),"PC_PAGO_A_CONTRATADA invalido",IF(AND(C3626&lt;&gt;"C0",IFERROR(INDEX(parametros!$A$2:$A$6,MATCH(C3626,parametros!$B$2:$B$6,0)),"")="Sim",IFERROR(INDEX(parametros!$H$2:$H$6,MATCH(C3626,parametros!$B$2:$B$6,0)),"")=""),"INICIO_EFEITO ausente: PC "&amp;A3626&amp;" - "&amp;C3626,IF(L3626="","EFEITO_PC nao calculado: PC "&amp;A3626&amp;" - "&amp;C3626,"OK")))))))))</f>
        <v/>
      </c>
      <c r="L3626" s="92" t="str">
        <f>IF(AND(A3626="",B3626="",D3626="",G3626=""),"",IF(OR(B3626="",NOT(ISNUMBER(B3626)),C3626="",C3626="Fora dos ciclos"),"",IF(C3626="C0","Nao",IF(IFERROR(INDEX(parametros!$A$2:$A$6,MATCH(C3626,parametros!$B$2:$B$6,0)),"")&lt;&gt;"Sim","Nao",IF(IFERROR(INDEX(parametros!$H$2:$H$6,MATCH(C3626,parametros!$B$2:$B$6,0)),"")="","",IF(B3626&gt;=IFERROR(INDEX(parametros!$H$2:$H$6,MATCH(C3626,parametros!$B$2:$B$6,0)),""),"Sim","Nao"))))))</f>
        <v/>
      </c>
      <c r="T3626" s="156"/>
      <c r="U3626" s="214" t="str">
        <f t="shared" si="286"/>
        <v/>
      </c>
      <c r="V3626" s="212" t="s">
        <v>50</v>
      </c>
      <c r="W3626" s="100" t="s">
        <v>168</v>
      </c>
      <c r="X3626" s="100" t="s">
        <v>169</v>
      </c>
      <c r="Y3626" s="101" t="s">
        <v>170</v>
      </c>
      <c r="Z3626" s="101" t="s">
        <v>171</v>
      </c>
      <c r="AA3626" s="101" t="s">
        <v>50</v>
      </c>
      <c r="AB3626" s="101" t="s">
        <v>172</v>
      </c>
      <c r="AC3626" s="102" t="s">
        <v>173</v>
      </c>
    </row>
    <row r="3627" spans="1:29" ht="25.5" customHeight="1" x14ac:dyDescent="0.35">
      <c r="A3627" s="392"/>
      <c r="B3627" s="393"/>
      <c r="C3627" s="99" t="str">
        <f>IF(B3627="","",IF(NOT(ISNUMBER(B3627)),"DATA_PC invalida",IF(NOT(ISNUMBER(parametros!$C$2)),"Fora dos ciclos",IF(OR(B3627&lt;parametros!$C$2,(YEAR(B3627)-YEAR(parametros!$C$2))*12+MONTH(B3627)-MONTH(parametros!$C$2)&gt;59),"Fora dos ciclos","C"&amp;INT(((YEAR(B3627)-YEAR(parametros!$C$2))*12+MONTH(B3627)-MONTH(parametros!$C$2))/12)))))</f>
        <v/>
      </c>
      <c r="D3627" s="394"/>
      <c r="E3627" s="78" t="str">
        <f>IF(C3627="","",IFERROR(VLOOKUP(C3627,parametros!$A$11:$E$15,5,0),""))</f>
        <v/>
      </c>
      <c r="F3627" s="79" t="str">
        <f t="shared" si="282"/>
        <v/>
      </c>
      <c r="G3627" s="395"/>
      <c r="H3627" s="91">
        <f t="shared" si="283"/>
        <v>0</v>
      </c>
      <c r="I3627" s="91" t="str">
        <f t="shared" si="284"/>
        <v/>
      </c>
      <c r="J3627" s="91" t="str">
        <f t="shared" si="285"/>
        <v/>
      </c>
      <c r="K3627" s="92" t="str">
        <f>IF(AND(A3627="",B3627="",D3627="",G3627=""),"",IF(AND(A3627&lt;&gt;"",COUNTIF($A$2:$A$5001,A3627)&gt;1),"NUMERO_PC duplicado",IF(B3627="","DATA_PC vazia",IF(NOT(ISNUMBER(B3627)),"DATA_PC invalida",IF(OR(C3627="",C3627="Fora dos ciclos"),"CICLO_PC nao identificado",IF(OR(D3627="",D3627=0),"VALOR_PC vazio ou zero",IF(AND(G3627&lt;&gt;"Sim",G3627&lt;&gt;"Nao",G3627&lt;&gt;""),"PC_PAGO_A_CONTRATADA invalido",IF(AND(C3627&lt;&gt;"C0",IFERROR(INDEX(parametros!$A$2:$A$6,MATCH(C3627,parametros!$B$2:$B$6,0)),"")="Sim",IFERROR(INDEX(parametros!$H$2:$H$6,MATCH(C3627,parametros!$B$2:$B$6,0)),"")=""),"INICIO_EFEITO ausente: PC "&amp;A3627&amp;" - "&amp;C3627,IF(L3627="","EFEITO_PC nao calculado: PC "&amp;A3627&amp;" - "&amp;C3627,"OK")))))))))</f>
        <v/>
      </c>
      <c r="L3627" s="92" t="str">
        <f>IF(AND(A3627="",B3627="",D3627="",G3627=""),"",IF(OR(B3627="",NOT(ISNUMBER(B3627)),C3627="",C3627="Fora dos ciclos"),"",IF(C3627="C0","Nao",IF(IFERROR(INDEX(parametros!$A$2:$A$6,MATCH(C3627,parametros!$B$2:$B$6,0)),"")&lt;&gt;"Sim","Nao",IF(IFERROR(INDEX(parametros!$H$2:$H$6,MATCH(C3627,parametros!$B$2:$B$6,0)),"")="","",IF(B3627&gt;=IFERROR(INDEX(parametros!$H$2:$H$6,MATCH(C3627,parametros!$B$2:$B$6,0)),""),"Sim","Nao"))))))</f>
        <v/>
      </c>
      <c r="T3627" s="156"/>
      <c r="U3627" s="214" t="str">
        <f t="shared" si="286"/>
        <v/>
      </c>
      <c r="V3627" s="212" t="s">
        <v>50</v>
      </c>
      <c r="W3627" s="100" t="s">
        <v>168</v>
      </c>
      <c r="X3627" s="100" t="s">
        <v>169</v>
      </c>
      <c r="Y3627" s="101" t="s">
        <v>170</v>
      </c>
      <c r="Z3627" s="101" t="s">
        <v>171</v>
      </c>
      <c r="AA3627" s="101" t="s">
        <v>50</v>
      </c>
      <c r="AB3627" s="101" t="s">
        <v>172</v>
      </c>
      <c r="AC3627" s="102" t="s">
        <v>173</v>
      </c>
    </row>
    <row r="3628" spans="1:29" ht="25.5" customHeight="1" x14ac:dyDescent="0.35">
      <c r="A3628" s="392"/>
      <c r="B3628" s="393"/>
      <c r="C3628" s="99" t="str">
        <f>IF(B3628="","",IF(NOT(ISNUMBER(B3628)),"DATA_PC invalida",IF(NOT(ISNUMBER(parametros!$C$2)),"Fora dos ciclos",IF(OR(B3628&lt;parametros!$C$2,(YEAR(B3628)-YEAR(parametros!$C$2))*12+MONTH(B3628)-MONTH(parametros!$C$2)&gt;59),"Fora dos ciclos","C"&amp;INT(((YEAR(B3628)-YEAR(parametros!$C$2))*12+MONTH(B3628)-MONTH(parametros!$C$2))/12)))))</f>
        <v/>
      </c>
      <c r="D3628" s="394"/>
      <c r="E3628" s="78" t="str">
        <f>IF(C3628="","",IFERROR(VLOOKUP(C3628,parametros!$A$11:$E$15,5,0),""))</f>
        <v/>
      </c>
      <c r="F3628" s="79" t="str">
        <f t="shared" si="282"/>
        <v/>
      </c>
      <c r="G3628" s="395"/>
      <c r="H3628" s="91">
        <f t="shared" si="283"/>
        <v>0</v>
      </c>
      <c r="I3628" s="91" t="str">
        <f t="shared" si="284"/>
        <v/>
      </c>
      <c r="J3628" s="91" t="str">
        <f t="shared" si="285"/>
        <v/>
      </c>
      <c r="K3628" s="92" t="str">
        <f>IF(AND(A3628="",B3628="",D3628="",G3628=""),"",IF(AND(A3628&lt;&gt;"",COUNTIF($A$2:$A$5001,A3628)&gt;1),"NUMERO_PC duplicado",IF(B3628="","DATA_PC vazia",IF(NOT(ISNUMBER(B3628)),"DATA_PC invalida",IF(OR(C3628="",C3628="Fora dos ciclos"),"CICLO_PC nao identificado",IF(OR(D3628="",D3628=0),"VALOR_PC vazio ou zero",IF(AND(G3628&lt;&gt;"Sim",G3628&lt;&gt;"Nao",G3628&lt;&gt;""),"PC_PAGO_A_CONTRATADA invalido",IF(AND(C3628&lt;&gt;"C0",IFERROR(INDEX(parametros!$A$2:$A$6,MATCH(C3628,parametros!$B$2:$B$6,0)),"")="Sim",IFERROR(INDEX(parametros!$H$2:$H$6,MATCH(C3628,parametros!$B$2:$B$6,0)),"")=""),"INICIO_EFEITO ausente: PC "&amp;A3628&amp;" - "&amp;C3628,IF(L3628="","EFEITO_PC nao calculado: PC "&amp;A3628&amp;" - "&amp;C3628,"OK")))))))))</f>
        <v/>
      </c>
      <c r="L3628" s="92" t="str">
        <f>IF(AND(A3628="",B3628="",D3628="",G3628=""),"",IF(OR(B3628="",NOT(ISNUMBER(B3628)),C3628="",C3628="Fora dos ciclos"),"",IF(C3628="C0","Nao",IF(IFERROR(INDEX(parametros!$A$2:$A$6,MATCH(C3628,parametros!$B$2:$B$6,0)),"")&lt;&gt;"Sim","Nao",IF(IFERROR(INDEX(parametros!$H$2:$H$6,MATCH(C3628,parametros!$B$2:$B$6,0)),"")="","",IF(B3628&gt;=IFERROR(INDEX(parametros!$H$2:$H$6,MATCH(C3628,parametros!$B$2:$B$6,0)),""),"Sim","Nao"))))))</f>
        <v/>
      </c>
      <c r="T3628" s="156"/>
      <c r="U3628" s="214" t="str">
        <f t="shared" si="286"/>
        <v/>
      </c>
      <c r="V3628" s="212" t="s">
        <v>50</v>
      </c>
      <c r="W3628" s="100" t="s">
        <v>168</v>
      </c>
      <c r="X3628" s="100" t="s">
        <v>169</v>
      </c>
      <c r="Y3628" s="101" t="s">
        <v>170</v>
      </c>
      <c r="Z3628" s="101" t="s">
        <v>171</v>
      </c>
      <c r="AA3628" s="101" t="s">
        <v>50</v>
      </c>
      <c r="AB3628" s="101" t="s">
        <v>172</v>
      </c>
      <c r="AC3628" s="102" t="s">
        <v>173</v>
      </c>
    </row>
    <row r="3629" spans="1:29" ht="25.5" customHeight="1" x14ac:dyDescent="0.35">
      <c r="A3629" s="392"/>
      <c r="B3629" s="393"/>
      <c r="C3629" s="99" t="str">
        <f>IF(B3629="","",IF(NOT(ISNUMBER(B3629)),"DATA_PC invalida",IF(NOT(ISNUMBER(parametros!$C$2)),"Fora dos ciclos",IF(OR(B3629&lt;parametros!$C$2,(YEAR(B3629)-YEAR(parametros!$C$2))*12+MONTH(B3629)-MONTH(parametros!$C$2)&gt;59),"Fora dos ciclos","C"&amp;INT(((YEAR(B3629)-YEAR(parametros!$C$2))*12+MONTH(B3629)-MONTH(parametros!$C$2))/12)))))</f>
        <v/>
      </c>
      <c r="D3629" s="394"/>
      <c r="E3629" s="78" t="str">
        <f>IF(C3629="","",IFERROR(VLOOKUP(C3629,parametros!$A$11:$E$15,5,0),""))</f>
        <v/>
      </c>
      <c r="F3629" s="79" t="str">
        <f t="shared" si="282"/>
        <v/>
      </c>
      <c r="G3629" s="395"/>
      <c r="H3629" s="91">
        <f t="shared" si="283"/>
        <v>0</v>
      </c>
      <c r="I3629" s="91" t="str">
        <f t="shared" si="284"/>
        <v/>
      </c>
      <c r="J3629" s="91" t="str">
        <f t="shared" si="285"/>
        <v/>
      </c>
      <c r="K3629" s="92" t="str">
        <f>IF(AND(A3629="",B3629="",D3629="",G3629=""),"",IF(AND(A3629&lt;&gt;"",COUNTIF($A$2:$A$5001,A3629)&gt;1),"NUMERO_PC duplicado",IF(B3629="","DATA_PC vazia",IF(NOT(ISNUMBER(B3629)),"DATA_PC invalida",IF(OR(C3629="",C3629="Fora dos ciclos"),"CICLO_PC nao identificado",IF(OR(D3629="",D3629=0),"VALOR_PC vazio ou zero",IF(AND(G3629&lt;&gt;"Sim",G3629&lt;&gt;"Nao",G3629&lt;&gt;""),"PC_PAGO_A_CONTRATADA invalido",IF(AND(C3629&lt;&gt;"C0",IFERROR(INDEX(parametros!$A$2:$A$6,MATCH(C3629,parametros!$B$2:$B$6,0)),"")="Sim",IFERROR(INDEX(parametros!$H$2:$H$6,MATCH(C3629,parametros!$B$2:$B$6,0)),"")=""),"INICIO_EFEITO ausente: PC "&amp;A3629&amp;" - "&amp;C3629,IF(L3629="","EFEITO_PC nao calculado: PC "&amp;A3629&amp;" - "&amp;C3629,"OK")))))))))</f>
        <v/>
      </c>
      <c r="L3629" s="92" t="str">
        <f>IF(AND(A3629="",B3629="",D3629="",G3629=""),"",IF(OR(B3629="",NOT(ISNUMBER(B3629)),C3629="",C3629="Fora dos ciclos"),"",IF(C3629="C0","Nao",IF(IFERROR(INDEX(parametros!$A$2:$A$6,MATCH(C3629,parametros!$B$2:$B$6,0)),"")&lt;&gt;"Sim","Nao",IF(IFERROR(INDEX(parametros!$H$2:$H$6,MATCH(C3629,parametros!$B$2:$B$6,0)),"")="","",IF(B3629&gt;=IFERROR(INDEX(parametros!$H$2:$H$6,MATCH(C3629,parametros!$B$2:$B$6,0)),""),"Sim","Nao"))))))</f>
        <v/>
      </c>
      <c r="T3629" s="156"/>
      <c r="U3629" s="214" t="str">
        <f t="shared" si="286"/>
        <v/>
      </c>
      <c r="V3629" s="212" t="s">
        <v>50</v>
      </c>
      <c r="W3629" s="100" t="s">
        <v>168</v>
      </c>
      <c r="X3629" s="100" t="s">
        <v>169</v>
      </c>
      <c r="Y3629" s="101" t="s">
        <v>170</v>
      </c>
      <c r="Z3629" s="101" t="s">
        <v>171</v>
      </c>
      <c r="AA3629" s="101" t="s">
        <v>50</v>
      </c>
      <c r="AB3629" s="101" t="s">
        <v>172</v>
      </c>
      <c r="AC3629" s="102" t="s">
        <v>173</v>
      </c>
    </row>
    <row r="3630" spans="1:29" ht="25.5" customHeight="1" x14ac:dyDescent="0.35">
      <c r="A3630" s="392"/>
      <c r="B3630" s="393"/>
      <c r="C3630" s="99" t="str">
        <f>IF(B3630="","",IF(NOT(ISNUMBER(B3630)),"DATA_PC invalida",IF(NOT(ISNUMBER(parametros!$C$2)),"Fora dos ciclos",IF(OR(B3630&lt;parametros!$C$2,(YEAR(B3630)-YEAR(parametros!$C$2))*12+MONTH(B3630)-MONTH(parametros!$C$2)&gt;59),"Fora dos ciclos","C"&amp;INT(((YEAR(B3630)-YEAR(parametros!$C$2))*12+MONTH(B3630)-MONTH(parametros!$C$2))/12)))))</f>
        <v/>
      </c>
      <c r="D3630" s="394"/>
      <c r="E3630" s="78" t="str">
        <f>IF(C3630="","",IFERROR(VLOOKUP(C3630,parametros!$A$11:$E$15,5,0),""))</f>
        <v/>
      </c>
      <c r="F3630" s="79" t="str">
        <f t="shared" si="282"/>
        <v/>
      </c>
      <c r="G3630" s="395"/>
      <c r="H3630" s="91">
        <f t="shared" si="283"/>
        <v>0</v>
      </c>
      <c r="I3630" s="91" t="str">
        <f t="shared" si="284"/>
        <v/>
      </c>
      <c r="J3630" s="91" t="str">
        <f t="shared" si="285"/>
        <v/>
      </c>
      <c r="K3630" s="92" t="str">
        <f>IF(AND(A3630="",B3630="",D3630="",G3630=""),"",IF(AND(A3630&lt;&gt;"",COUNTIF($A$2:$A$5001,A3630)&gt;1),"NUMERO_PC duplicado",IF(B3630="","DATA_PC vazia",IF(NOT(ISNUMBER(B3630)),"DATA_PC invalida",IF(OR(C3630="",C3630="Fora dos ciclos"),"CICLO_PC nao identificado",IF(OR(D3630="",D3630=0),"VALOR_PC vazio ou zero",IF(AND(G3630&lt;&gt;"Sim",G3630&lt;&gt;"Nao",G3630&lt;&gt;""),"PC_PAGO_A_CONTRATADA invalido",IF(AND(C3630&lt;&gt;"C0",IFERROR(INDEX(parametros!$A$2:$A$6,MATCH(C3630,parametros!$B$2:$B$6,0)),"")="Sim",IFERROR(INDEX(parametros!$H$2:$H$6,MATCH(C3630,parametros!$B$2:$B$6,0)),"")=""),"INICIO_EFEITO ausente: PC "&amp;A3630&amp;" - "&amp;C3630,IF(L3630="","EFEITO_PC nao calculado: PC "&amp;A3630&amp;" - "&amp;C3630,"OK")))))))))</f>
        <v/>
      </c>
      <c r="L3630" s="92" t="str">
        <f>IF(AND(A3630="",B3630="",D3630="",G3630=""),"",IF(OR(B3630="",NOT(ISNUMBER(B3630)),C3630="",C3630="Fora dos ciclos"),"",IF(C3630="C0","Nao",IF(IFERROR(INDEX(parametros!$A$2:$A$6,MATCH(C3630,parametros!$B$2:$B$6,0)),"")&lt;&gt;"Sim","Nao",IF(IFERROR(INDEX(parametros!$H$2:$H$6,MATCH(C3630,parametros!$B$2:$B$6,0)),"")="","",IF(B3630&gt;=IFERROR(INDEX(parametros!$H$2:$H$6,MATCH(C3630,parametros!$B$2:$B$6,0)),""),"Sim","Nao"))))))</f>
        <v/>
      </c>
      <c r="T3630" s="156"/>
      <c r="U3630" s="214" t="str">
        <f t="shared" si="286"/>
        <v/>
      </c>
      <c r="V3630" s="212" t="s">
        <v>50</v>
      </c>
      <c r="W3630" s="100" t="s">
        <v>168</v>
      </c>
      <c r="X3630" s="100" t="s">
        <v>169</v>
      </c>
      <c r="Y3630" s="101" t="s">
        <v>170</v>
      </c>
      <c r="Z3630" s="101" t="s">
        <v>171</v>
      </c>
      <c r="AA3630" s="101" t="s">
        <v>50</v>
      </c>
      <c r="AB3630" s="101" t="s">
        <v>172</v>
      </c>
      <c r="AC3630" s="102" t="s">
        <v>173</v>
      </c>
    </row>
    <row r="3631" spans="1:29" ht="25.5" customHeight="1" x14ac:dyDescent="0.35">
      <c r="A3631" s="392"/>
      <c r="B3631" s="393"/>
      <c r="C3631" s="99" t="str">
        <f>IF(B3631="","",IF(NOT(ISNUMBER(B3631)),"DATA_PC invalida",IF(NOT(ISNUMBER(parametros!$C$2)),"Fora dos ciclos",IF(OR(B3631&lt;parametros!$C$2,(YEAR(B3631)-YEAR(parametros!$C$2))*12+MONTH(B3631)-MONTH(parametros!$C$2)&gt;59),"Fora dos ciclos","C"&amp;INT(((YEAR(B3631)-YEAR(parametros!$C$2))*12+MONTH(B3631)-MONTH(parametros!$C$2))/12)))))</f>
        <v/>
      </c>
      <c r="D3631" s="394"/>
      <c r="E3631" s="78" t="str">
        <f>IF(C3631="","",IFERROR(VLOOKUP(C3631,parametros!$A$11:$E$15,5,0),""))</f>
        <v/>
      </c>
      <c r="F3631" s="79" t="str">
        <f t="shared" si="282"/>
        <v/>
      </c>
      <c r="G3631" s="395"/>
      <c r="H3631" s="91">
        <f t="shared" si="283"/>
        <v>0</v>
      </c>
      <c r="I3631" s="91" t="str">
        <f t="shared" si="284"/>
        <v/>
      </c>
      <c r="J3631" s="91" t="str">
        <f t="shared" si="285"/>
        <v/>
      </c>
      <c r="K3631" s="92" t="str">
        <f>IF(AND(A3631="",B3631="",D3631="",G3631=""),"",IF(AND(A3631&lt;&gt;"",COUNTIF($A$2:$A$5001,A3631)&gt;1),"NUMERO_PC duplicado",IF(B3631="","DATA_PC vazia",IF(NOT(ISNUMBER(B3631)),"DATA_PC invalida",IF(OR(C3631="",C3631="Fora dos ciclos"),"CICLO_PC nao identificado",IF(OR(D3631="",D3631=0),"VALOR_PC vazio ou zero",IF(AND(G3631&lt;&gt;"Sim",G3631&lt;&gt;"Nao",G3631&lt;&gt;""),"PC_PAGO_A_CONTRATADA invalido",IF(AND(C3631&lt;&gt;"C0",IFERROR(INDEX(parametros!$A$2:$A$6,MATCH(C3631,parametros!$B$2:$B$6,0)),"")="Sim",IFERROR(INDEX(parametros!$H$2:$H$6,MATCH(C3631,parametros!$B$2:$B$6,0)),"")=""),"INICIO_EFEITO ausente: PC "&amp;A3631&amp;" - "&amp;C3631,IF(L3631="","EFEITO_PC nao calculado: PC "&amp;A3631&amp;" - "&amp;C3631,"OK")))))))))</f>
        <v/>
      </c>
      <c r="L3631" s="92" t="str">
        <f>IF(AND(A3631="",B3631="",D3631="",G3631=""),"",IF(OR(B3631="",NOT(ISNUMBER(B3631)),C3631="",C3631="Fora dos ciclos"),"",IF(C3631="C0","Nao",IF(IFERROR(INDEX(parametros!$A$2:$A$6,MATCH(C3631,parametros!$B$2:$B$6,0)),"")&lt;&gt;"Sim","Nao",IF(IFERROR(INDEX(parametros!$H$2:$H$6,MATCH(C3631,parametros!$B$2:$B$6,0)),"")="","",IF(B3631&gt;=IFERROR(INDEX(parametros!$H$2:$H$6,MATCH(C3631,parametros!$B$2:$B$6,0)),""),"Sim","Nao"))))))</f>
        <v/>
      </c>
      <c r="T3631" s="156"/>
      <c r="U3631" s="214" t="str">
        <f t="shared" si="286"/>
        <v/>
      </c>
      <c r="V3631" s="212" t="s">
        <v>50</v>
      </c>
      <c r="W3631" s="100" t="s">
        <v>168</v>
      </c>
      <c r="X3631" s="100" t="s">
        <v>169</v>
      </c>
      <c r="Y3631" s="101" t="s">
        <v>170</v>
      </c>
      <c r="Z3631" s="101" t="s">
        <v>171</v>
      </c>
      <c r="AA3631" s="101" t="s">
        <v>50</v>
      </c>
      <c r="AB3631" s="101" t="s">
        <v>172</v>
      </c>
      <c r="AC3631" s="102" t="s">
        <v>173</v>
      </c>
    </row>
    <row r="3632" spans="1:29" ht="25.5" customHeight="1" x14ac:dyDescent="0.35">
      <c r="A3632" s="392"/>
      <c r="B3632" s="393"/>
      <c r="C3632" s="99" t="str">
        <f>IF(B3632="","",IF(NOT(ISNUMBER(B3632)),"DATA_PC invalida",IF(NOT(ISNUMBER(parametros!$C$2)),"Fora dos ciclos",IF(OR(B3632&lt;parametros!$C$2,(YEAR(B3632)-YEAR(parametros!$C$2))*12+MONTH(B3632)-MONTH(parametros!$C$2)&gt;59),"Fora dos ciclos","C"&amp;INT(((YEAR(B3632)-YEAR(parametros!$C$2))*12+MONTH(B3632)-MONTH(parametros!$C$2))/12)))))</f>
        <v/>
      </c>
      <c r="D3632" s="394"/>
      <c r="E3632" s="78" t="str">
        <f>IF(C3632="","",IFERROR(VLOOKUP(C3632,parametros!$A$11:$E$15,5,0),""))</f>
        <v/>
      </c>
      <c r="F3632" s="79" t="str">
        <f t="shared" si="282"/>
        <v/>
      </c>
      <c r="G3632" s="395"/>
      <c r="H3632" s="91">
        <f t="shared" si="283"/>
        <v>0</v>
      </c>
      <c r="I3632" s="91" t="str">
        <f t="shared" si="284"/>
        <v/>
      </c>
      <c r="J3632" s="91" t="str">
        <f t="shared" si="285"/>
        <v/>
      </c>
      <c r="K3632" s="92" t="str">
        <f>IF(AND(A3632="",B3632="",D3632="",G3632=""),"",IF(AND(A3632&lt;&gt;"",COUNTIF($A$2:$A$5001,A3632)&gt;1),"NUMERO_PC duplicado",IF(B3632="","DATA_PC vazia",IF(NOT(ISNUMBER(B3632)),"DATA_PC invalida",IF(OR(C3632="",C3632="Fora dos ciclos"),"CICLO_PC nao identificado",IF(OR(D3632="",D3632=0),"VALOR_PC vazio ou zero",IF(AND(G3632&lt;&gt;"Sim",G3632&lt;&gt;"Nao",G3632&lt;&gt;""),"PC_PAGO_A_CONTRATADA invalido",IF(AND(C3632&lt;&gt;"C0",IFERROR(INDEX(parametros!$A$2:$A$6,MATCH(C3632,parametros!$B$2:$B$6,0)),"")="Sim",IFERROR(INDEX(parametros!$H$2:$H$6,MATCH(C3632,parametros!$B$2:$B$6,0)),"")=""),"INICIO_EFEITO ausente: PC "&amp;A3632&amp;" - "&amp;C3632,IF(L3632="","EFEITO_PC nao calculado: PC "&amp;A3632&amp;" - "&amp;C3632,"OK")))))))))</f>
        <v/>
      </c>
      <c r="L3632" s="92" t="str">
        <f>IF(AND(A3632="",B3632="",D3632="",G3632=""),"",IF(OR(B3632="",NOT(ISNUMBER(B3632)),C3632="",C3632="Fora dos ciclos"),"",IF(C3632="C0","Nao",IF(IFERROR(INDEX(parametros!$A$2:$A$6,MATCH(C3632,parametros!$B$2:$B$6,0)),"")&lt;&gt;"Sim","Nao",IF(IFERROR(INDEX(parametros!$H$2:$H$6,MATCH(C3632,parametros!$B$2:$B$6,0)),"")="","",IF(B3632&gt;=IFERROR(INDEX(parametros!$H$2:$H$6,MATCH(C3632,parametros!$B$2:$B$6,0)),""),"Sim","Nao"))))))</f>
        <v/>
      </c>
      <c r="T3632" s="156"/>
      <c r="U3632" s="214" t="str">
        <f t="shared" si="286"/>
        <v/>
      </c>
      <c r="V3632" s="212" t="s">
        <v>50</v>
      </c>
      <c r="W3632" s="100" t="s">
        <v>168</v>
      </c>
      <c r="X3632" s="100" t="s">
        <v>169</v>
      </c>
      <c r="Y3632" s="101" t="s">
        <v>170</v>
      </c>
      <c r="Z3632" s="101" t="s">
        <v>171</v>
      </c>
      <c r="AA3632" s="101" t="s">
        <v>50</v>
      </c>
      <c r="AB3632" s="101" t="s">
        <v>172</v>
      </c>
      <c r="AC3632" s="102" t="s">
        <v>173</v>
      </c>
    </row>
    <row r="3633" spans="1:29" ht="25.5" customHeight="1" x14ac:dyDescent="0.35">
      <c r="A3633" s="392"/>
      <c r="B3633" s="393"/>
      <c r="C3633" s="99" t="str">
        <f>IF(B3633="","",IF(NOT(ISNUMBER(B3633)),"DATA_PC invalida",IF(NOT(ISNUMBER(parametros!$C$2)),"Fora dos ciclos",IF(OR(B3633&lt;parametros!$C$2,(YEAR(B3633)-YEAR(parametros!$C$2))*12+MONTH(B3633)-MONTH(parametros!$C$2)&gt;59),"Fora dos ciclos","C"&amp;INT(((YEAR(B3633)-YEAR(parametros!$C$2))*12+MONTH(B3633)-MONTH(parametros!$C$2))/12)))))</f>
        <v/>
      </c>
      <c r="D3633" s="394"/>
      <c r="E3633" s="78" t="str">
        <f>IF(C3633="","",IFERROR(VLOOKUP(C3633,parametros!$A$11:$E$15,5,0),""))</f>
        <v/>
      </c>
      <c r="F3633" s="79" t="str">
        <f t="shared" si="282"/>
        <v/>
      </c>
      <c r="G3633" s="395"/>
      <c r="H3633" s="91">
        <f t="shared" si="283"/>
        <v>0</v>
      </c>
      <c r="I3633" s="91" t="str">
        <f t="shared" si="284"/>
        <v/>
      </c>
      <c r="J3633" s="91" t="str">
        <f t="shared" si="285"/>
        <v/>
      </c>
      <c r="K3633" s="92" t="str">
        <f>IF(AND(A3633="",B3633="",D3633="",G3633=""),"",IF(AND(A3633&lt;&gt;"",COUNTIF($A$2:$A$5001,A3633)&gt;1),"NUMERO_PC duplicado",IF(B3633="","DATA_PC vazia",IF(NOT(ISNUMBER(B3633)),"DATA_PC invalida",IF(OR(C3633="",C3633="Fora dos ciclos"),"CICLO_PC nao identificado",IF(OR(D3633="",D3633=0),"VALOR_PC vazio ou zero",IF(AND(G3633&lt;&gt;"Sim",G3633&lt;&gt;"Nao",G3633&lt;&gt;""),"PC_PAGO_A_CONTRATADA invalido",IF(AND(C3633&lt;&gt;"C0",IFERROR(INDEX(parametros!$A$2:$A$6,MATCH(C3633,parametros!$B$2:$B$6,0)),"")="Sim",IFERROR(INDEX(parametros!$H$2:$H$6,MATCH(C3633,parametros!$B$2:$B$6,0)),"")=""),"INICIO_EFEITO ausente: PC "&amp;A3633&amp;" - "&amp;C3633,IF(L3633="","EFEITO_PC nao calculado: PC "&amp;A3633&amp;" - "&amp;C3633,"OK")))))))))</f>
        <v/>
      </c>
      <c r="L3633" s="92" t="str">
        <f>IF(AND(A3633="",B3633="",D3633="",G3633=""),"",IF(OR(B3633="",NOT(ISNUMBER(B3633)),C3633="",C3633="Fora dos ciclos"),"",IF(C3633="C0","Nao",IF(IFERROR(INDEX(parametros!$A$2:$A$6,MATCH(C3633,parametros!$B$2:$B$6,0)),"")&lt;&gt;"Sim","Nao",IF(IFERROR(INDEX(parametros!$H$2:$H$6,MATCH(C3633,parametros!$B$2:$B$6,0)),"")="","",IF(B3633&gt;=IFERROR(INDEX(parametros!$H$2:$H$6,MATCH(C3633,parametros!$B$2:$B$6,0)),""),"Sim","Nao"))))))</f>
        <v/>
      </c>
      <c r="T3633" s="156"/>
      <c r="U3633" s="214" t="str">
        <f t="shared" si="286"/>
        <v/>
      </c>
      <c r="V3633" s="212" t="s">
        <v>50</v>
      </c>
      <c r="W3633" s="100" t="s">
        <v>168</v>
      </c>
      <c r="X3633" s="100" t="s">
        <v>169</v>
      </c>
      <c r="Y3633" s="101" t="s">
        <v>170</v>
      </c>
      <c r="Z3633" s="101" t="s">
        <v>171</v>
      </c>
      <c r="AA3633" s="101" t="s">
        <v>50</v>
      </c>
      <c r="AB3633" s="101" t="s">
        <v>172</v>
      </c>
      <c r="AC3633" s="102" t="s">
        <v>173</v>
      </c>
    </row>
    <row r="3634" spans="1:29" ht="25.5" customHeight="1" x14ac:dyDescent="0.35">
      <c r="A3634" s="392"/>
      <c r="B3634" s="393"/>
      <c r="C3634" s="99" t="str">
        <f>IF(B3634="","",IF(NOT(ISNUMBER(B3634)),"DATA_PC invalida",IF(NOT(ISNUMBER(parametros!$C$2)),"Fora dos ciclos",IF(OR(B3634&lt;parametros!$C$2,(YEAR(B3634)-YEAR(parametros!$C$2))*12+MONTH(B3634)-MONTH(parametros!$C$2)&gt;59),"Fora dos ciclos","C"&amp;INT(((YEAR(B3634)-YEAR(parametros!$C$2))*12+MONTH(B3634)-MONTH(parametros!$C$2))/12)))))</f>
        <v/>
      </c>
      <c r="D3634" s="394"/>
      <c r="E3634" s="78" t="str">
        <f>IF(C3634="","",IFERROR(VLOOKUP(C3634,parametros!$A$11:$E$15,5,0),""))</f>
        <v/>
      </c>
      <c r="F3634" s="79" t="str">
        <f t="shared" si="282"/>
        <v/>
      </c>
      <c r="G3634" s="395"/>
      <c r="H3634" s="91">
        <f t="shared" si="283"/>
        <v>0</v>
      </c>
      <c r="I3634" s="91" t="str">
        <f t="shared" si="284"/>
        <v/>
      </c>
      <c r="J3634" s="91" t="str">
        <f t="shared" si="285"/>
        <v/>
      </c>
      <c r="K3634" s="92" t="str">
        <f>IF(AND(A3634="",B3634="",D3634="",G3634=""),"",IF(AND(A3634&lt;&gt;"",COUNTIF($A$2:$A$5001,A3634)&gt;1),"NUMERO_PC duplicado",IF(B3634="","DATA_PC vazia",IF(NOT(ISNUMBER(B3634)),"DATA_PC invalida",IF(OR(C3634="",C3634="Fora dos ciclos"),"CICLO_PC nao identificado",IF(OR(D3634="",D3634=0),"VALOR_PC vazio ou zero",IF(AND(G3634&lt;&gt;"Sim",G3634&lt;&gt;"Nao",G3634&lt;&gt;""),"PC_PAGO_A_CONTRATADA invalido",IF(AND(C3634&lt;&gt;"C0",IFERROR(INDEX(parametros!$A$2:$A$6,MATCH(C3634,parametros!$B$2:$B$6,0)),"")="Sim",IFERROR(INDEX(parametros!$H$2:$H$6,MATCH(C3634,parametros!$B$2:$B$6,0)),"")=""),"INICIO_EFEITO ausente: PC "&amp;A3634&amp;" - "&amp;C3634,IF(L3634="","EFEITO_PC nao calculado: PC "&amp;A3634&amp;" - "&amp;C3634,"OK")))))))))</f>
        <v/>
      </c>
      <c r="L3634" s="92" t="str">
        <f>IF(AND(A3634="",B3634="",D3634="",G3634=""),"",IF(OR(B3634="",NOT(ISNUMBER(B3634)),C3634="",C3634="Fora dos ciclos"),"",IF(C3634="C0","Nao",IF(IFERROR(INDEX(parametros!$A$2:$A$6,MATCH(C3634,parametros!$B$2:$B$6,0)),"")&lt;&gt;"Sim","Nao",IF(IFERROR(INDEX(parametros!$H$2:$H$6,MATCH(C3634,parametros!$B$2:$B$6,0)),"")="","",IF(B3634&gt;=IFERROR(INDEX(parametros!$H$2:$H$6,MATCH(C3634,parametros!$B$2:$B$6,0)),""),"Sim","Nao"))))))</f>
        <v/>
      </c>
      <c r="T3634" s="156"/>
      <c r="U3634" s="214" t="str">
        <f t="shared" si="286"/>
        <v/>
      </c>
      <c r="V3634" s="212" t="s">
        <v>50</v>
      </c>
      <c r="W3634" s="100" t="s">
        <v>168</v>
      </c>
      <c r="X3634" s="100" t="s">
        <v>169</v>
      </c>
      <c r="Y3634" s="101" t="s">
        <v>170</v>
      </c>
      <c r="Z3634" s="101" t="s">
        <v>171</v>
      </c>
      <c r="AA3634" s="101" t="s">
        <v>50</v>
      </c>
      <c r="AB3634" s="101" t="s">
        <v>172</v>
      </c>
      <c r="AC3634" s="102" t="s">
        <v>173</v>
      </c>
    </row>
    <row r="3635" spans="1:29" ht="25.5" customHeight="1" x14ac:dyDescent="0.35">
      <c r="A3635" s="392"/>
      <c r="B3635" s="393"/>
      <c r="C3635" s="99" t="str">
        <f>IF(B3635="","",IF(NOT(ISNUMBER(B3635)),"DATA_PC invalida",IF(NOT(ISNUMBER(parametros!$C$2)),"Fora dos ciclos",IF(OR(B3635&lt;parametros!$C$2,(YEAR(B3635)-YEAR(parametros!$C$2))*12+MONTH(B3635)-MONTH(parametros!$C$2)&gt;59),"Fora dos ciclos","C"&amp;INT(((YEAR(B3635)-YEAR(parametros!$C$2))*12+MONTH(B3635)-MONTH(parametros!$C$2))/12)))))</f>
        <v/>
      </c>
      <c r="D3635" s="394"/>
      <c r="E3635" s="78" t="str">
        <f>IF(C3635="","",IFERROR(VLOOKUP(C3635,parametros!$A$11:$E$15,5,0),""))</f>
        <v/>
      </c>
      <c r="F3635" s="79" t="str">
        <f t="shared" si="282"/>
        <v/>
      </c>
      <c r="G3635" s="395"/>
      <c r="H3635" s="91">
        <f t="shared" si="283"/>
        <v>0</v>
      </c>
      <c r="I3635" s="91" t="str">
        <f t="shared" si="284"/>
        <v/>
      </c>
      <c r="J3635" s="91" t="str">
        <f t="shared" si="285"/>
        <v/>
      </c>
      <c r="K3635" s="92" t="str">
        <f>IF(AND(A3635="",B3635="",D3635="",G3635=""),"",IF(AND(A3635&lt;&gt;"",COUNTIF($A$2:$A$5001,A3635)&gt;1),"NUMERO_PC duplicado",IF(B3635="","DATA_PC vazia",IF(NOT(ISNUMBER(B3635)),"DATA_PC invalida",IF(OR(C3635="",C3635="Fora dos ciclos"),"CICLO_PC nao identificado",IF(OR(D3635="",D3635=0),"VALOR_PC vazio ou zero",IF(AND(G3635&lt;&gt;"Sim",G3635&lt;&gt;"Nao",G3635&lt;&gt;""),"PC_PAGO_A_CONTRATADA invalido",IF(AND(C3635&lt;&gt;"C0",IFERROR(INDEX(parametros!$A$2:$A$6,MATCH(C3635,parametros!$B$2:$B$6,0)),"")="Sim",IFERROR(INDEX(parametros!$H$2:$H$6,MATCH(C3635,parametros!$B$2:$B$6,0)),"")=""),"INICIO_EFEITO ausente: PC "&amp;A3635&amp;" - "&amp;C3635,IF(L3635="","EFEITO_PC nao calculado: PC "&amp;A3635&amp;" - "&amp;C3635,"OK")))))))))</f>
        <v/>
      </c>
      <c r="L3635" s="92" t="str">
        <f>IF(AND(A3635="",B3635="",D3635="",G3635=""),"",IF(OR(B3635="",NOT(ISNUMBER(B3635)),C3635="",C3635="Fora dos ciclos"),"",IF(C3635="C0","Nao",IF(IFERROR(INDEX(parametros!$A$2:$A$6,MATCH(C3635,parametros!$B$2:$B$6,0)),"")&lt;&gt;"Sim","Nao",IF(IFERROR(INDEX(parametros!$H$2:$H$6,MATCH(C3635,parametros!$B$2:$B$6,0)),"")="","",IF(B3635&gt;=IFERROR(INDEX(parametros!$H$2:$H$6,MATCH(C3635,parametros!$B$2:$B$6,0)),""),"Sim","Nao"))))))</f>
        <v/>
      </c>
      <c r="T3635" s="156"/>
      <c r="U3635" s="214" t="str">
        <f t="shared" si="286"/>
        <v/>
      </c>
      <c r="V3635" s="212" t="s">
        <v>50</v>
      </c>
      <c r="W3635" s="100" t="s">
        <v>168</v>
      </c>
      <c r="X3635" s="100" t="s">
        <v>169</v>
      </c>
      <c r="Y3635" s="101" t="s">
        <v>170</v>
      </c>
      <c r="Z3635" s="101" t="s">
        <v>171</v>
      </c>
      <c r="AA3635" s="101" t="s">
        <v>50</v>
      </c>
      <c r="AB3635" s="101" t="s">
        <v>172</v>
      </c>
      <c r="AC3635" s="102" t="s">
        <v>173</v>
      </c>
    </row>
    <row r="3636" spans="1:29" ht="25.5" customHeight="1" x14ac:dyDescent="0.35">
      <c r="A3636" s="392"/>
      <c r="B3636" s="393"/>
      <c r="C3636" s="99" t="str">
        <f>IF(B3636="","",IF(NOT(ISNUMBER(B3636)),"DATA_PC invalida",IF(NOT(ISNUMBER(parametros!$C$2)),"Fora dos ciclos",IF(OR(B3636&lt;parametros!$C$2,(YEAR(B3636)-YEAR(parametros!$C$2))*12+MONTH(B3636)-MONTH(parametros!$C$2)&gt;59),"Fora dos ciclos","C"&amp;INT(((YEAR(B3636)-YEAR(parametros!$C$2))*12+MONTH(B3636)-MONTH(parametros!$C$2))/12)))))</f>
        <v/>
      </c>
      <c r="D3636" s="394"/>
      <c r="E3636" s="78" t="str">
        <f>IF(C3636="","",IFERROR(VLOOKUP(C3636,parametros!$A$11:$E$15,5,0),""))</f>
        <v/>
      </c>
      <c r="F3636" s="79" t="str">
        <f t="shared" si="282"/>
        <v/>
      </c>
      <c r="G3636" s="395"/>
      <c r="H3636" s="91">
        <f t="shared" si="283"/>
        <v>0</v>
      </c>
      <c r="I3636" s="91" t="str">
        <f t="shared" si="284"/>
        <v/>
      </c>
      <c r="J3636" s="91" t="str">
        <f t="shared" si="285"/>
        <v/>
      </c>
      <c r="K3636" s="92" t="str">
        <f>IF(AND(A3636="",B3636="",D3636="",G3636=""),"",IF(AND(A3636&lt;&gt;"",COUNTIF($A$2:$A$5001,A3636)&gt;1),"NUMERO_PC duplicado",IF(B3636="","DATA_PC vazia",IF(NOT(ISNUMBER(B3636)),"DATA_PC invalida",IF(OR(C3636="",C3636="Fora dos ciclos"),"CICLO_PC nao identificado",IF(OR(D3636="",D3636=0),"VALOR_PC vazio ou zero",IF(AND(G3636&lt;&gt;"Sim",G3636&lt;&gt;"Nao",G3636&lt;&gt;""),"PC_PAGO_A_CONTRATADA invalido",IF(AND(C3636&lt;&gt;"C0",IFERROR(INDEX(parametros!$A$2:$A$6,MATCH(C3636,parametros!$B$2:$B$6,0)),"")="Sim",IFERROR(INDEX(parametros!$H$2:$H$6,MATCH(C3636,parametros!$B$2:$B$6,0)),"")=""),"INICIO_EFEITO ausente: PC "&amp;A3636&amp;" - "&amp;C3636,IF(L3636="","EFEITO_PC nao calculado: PC "&amp;A3636&amp;" - "&amp;C3636,"OK")))))))))</f>
        <v/>
      </c>
      <c r="L3636" s="92" t="str">
        <f>IF(AND(A3636="",B3636="",D3636="",G3636=""),"",IF(OR(B3636="",NOT(ISNUMBER(B3636)),C3636="",C3636="Fora dos ciclos"),"",IF(C3636="C0","Nao",IF(IFERROR(INDEX(parametros!$A$2:$A$6,MATCH(C3636,parametros!$B$2:$B$6,0)),"")&lt;&gt;"Sim","Nao",IF(IFERROR(INDEX(parametros!$H$2:$H$6,MATCH(C3636,parametros!$B$2:$B$6,0)),"")="","",IF(B3636&gt;=IFERROR(INDEX(parametros!$H$2:$H$6,MATCH(C3636,parametros!$B$2:$B$6,0)),""),"Sim","Nao"))))))</f>
        <v/>
      </c>
      <c r="T3636" s="156"/>
      <c r="U3636" s="214" t="str">
        <f t="shared" si="286"/>
        <v/>
      </c>
      <c r="V3636" s="212" t="s">
        <v>50</v>
      </c>
      <c r="W3636" s="100" t="s">
        <v>168</v>
      </c>
      <c r="X3636" s="100" t="s">
        <v>169</v>
      </c>
      <c r="Y3636" s="101" t="s">
        <v>170</v>
      </c>
      <c r="Z3636" s="101" t="s">
        <v>171</v>
      </c>
      <c r="AA3636" s="101" t="s">
        <v>50</v>
      </c>
      <c r="AB3636" s="101" t="s">
        <v>172</v>
      </c>
      <c r="AC3636" s="102" t="s">
        <v>173</v>
      </c>
    </row>
    <row r="3637" spans="1:29" ht="25.5" customHeight="1" x14ac:dyDescent="0.35">
      <c r="A3637" s="392"/>
      <c r="B3637" s="393"/>
      <c r="C3637" s="99" t="str">
        <f>IF(B3637="","",IF(NOT(ISNUMBER(B3637)),"DATA_PC invalida",IF(NOT(ISNUMBER(parametros!$C$2)),"Fora dos ciclos",IF(OR(B3637&lt;parametros!$C$2,(YEAR(B3637)-YEAR(parametros!$C$2))*12+MONTH(B3637)-MONTH(parametros!$C$2)&gt;59),"Fora dos ciclos","C"&amp;INT(((YEAR(B3637)-YEAR(parametros!$C$2))*12+MONTH(B3637)-MONTH(parametros!$C$2))/12)))))</f>
        <v/>
      </c>
      <c r="D3637" s="394"/>
      <c r="E3637" s="78" t="str">
        <f>IF(C3637="","",IFERROR(VLOOKUP(C3637,parametros!$A$11:$E$15,5,0),""))</f>
        <v/>
      </c>
      <c r="F3637" s="79" t="str">
        <f t="shared" si="282"/>
        <v/>
      </c>
      <c r="G3637" s="395"/>
      <c r="H3637" s="91">
        <f t="shared" si="283"/>
        <v>0</v>
      </c>
      <c r="I3637" s="91" t="str">
        <f t="shared" si="284"/>
        <v/>
      </c>
      <c r="J3637" s="91" t="str">
        <f t="shared" si="285"/>
        <v/>
      </c>
      <c r="K3637" s="92" t="str">
        <f>IF(AND(A3637="",B3637="",D3637="",G3637=""),"",IF(AND(A3637&lt;&gt;"",COUNTIF($A$2:$A$5001,A3637)&gt;1),"NUMERO_PC duplicado",IF(B3637="","DATA_PC vazia",IF(NOT(ISNUMBER(B3637)),"DATA_PC invalida",IF(OR(C3637="",C3637="Fora dos ciclos"),"CICLO_PC nao identificado",IF(OR(D3637="",D3637=0),"VALOR_PC vazio ou zero",IF(AND(G3637&lt;&gt;"Sim",G3637&lt;&gt;"Nao",G3637&lt;&gt;""),"PC_PAGO_A_CONTRATADA invalido",IF(AND(C3637&lt;&gt;"C0",IFERROR(INDEX(parametros!$A$2:$A$6,MATCH(C3637,parametros!$B$2:$B$6,0)),"")="Sim",IFERROR(INDEX(parametros!$H$2:$H$6,MATCH(C3637,parametros!$B$2:$B$6,0)),"")=""),"INICIO_EFEITO ausente: PC "&amp;A3637&amp;" - "&amp;C3637,IF(L3637="","EFEITO_PC nao calculado: PC "&amp;A3637&amp;" - "&amp;C3637,"OK")))))))))</f>
        <v/>
      </c>
      <c r="L3637" s="92" t="str">
        <f>IF(AND(A3637="",B3637="",D3637="",G3637=""),"",IF(OR(B3637="",NOT(ISNUMBER(B3637)),C3637="",C3637="Fora dos ciclos"),"",IF(C3637="C0","Nao",IF(IFERROR(INDEX(parametros!$A$2:$A$6,MATCH(C3637,parametros!$B$2:$B$6,0)),"")&lt;&gt;"Sim","Nao",IF(IFERROR(INDEX(parametros!$H$2:$H$6,MATCH(C3637,parametros!$B$2:$B$6,0)),"")="","",IF(B3637&gt;=IFERROR(INDEX(parametros!$H$2:$H$6,MATCH(C3637,parametros!$B$2:$B$6,0)),""),"Sim","Nao"))))))</f>
        <v/>
      </c>
      <c r="T3637" s="156"/>
      <c r="U3637" s="214" t="str">
        <f t="shared" si="286"/>
        <v/>
      </c>
      <c r="V3637" s="212" t="s">
        <v>50</v>
      </c>
      <c r="W3637" s="100" t="s">
        <v>168</v>
      </c>
      <c r="X3637" s="100" t="s">
        <v>169</v>
      </c>
      <c r="Y3637" s="101" t="s">
        <v>170</v>
      </c>
      <c r="Z3637" s="101" t="s">
        <v>171</v>
      </c>
      <c r="AA3637" s="101" t="s">
        <v>50</v>
      </c>
      <c r="AB3637" s="101" t="s">
        <v>172</v>
      </c>
      <c r="AC3637" s="102" t="s">
        <v>173</v>
      </c>
    </row>
    <row r="3638" spans="1:29" ht="25.5" customHeight="1" x14ac:dyDescent="0.35">
      <c r="A3638" s="392"/>
      <c r="B3638" s="393"/>
      <c r="C3638" s="99" t="str">
        <f>IF(B3638="","",IF(NOT(ISNUMBER(B3638)),"DATA_PC invalida",IF(NOT(ISNUMBER(parametros!$C$2)),"Fora dos ciclos",IF(OR(B3638&lt;parametros!$C$2,(YEAR(B3638)-YEAR(parametros!$C$2))*12+MONTH(B3638)-MONTH(parametros!$C$2)&gt;59),"Fora dos ciclos","C"&amp;INT(((YEAR(B3638)-YEAR(parametros!$C$2))*12+MONTH(B3638)-MONTH(parametros!$C$2))/12)))))</f>
        <v/>
      </c>
      <c r="D3638" s="394"/>
      <c r="E3638" s="78" t="str">
        <f>IF(C3638="","",IFERROR(VLOOKUP(C3638,parametros!$A$11:$E$15,5,0),""))</f>
        <v/>
      </c>
      <c r="F3638" s="79" t="str">
        <f t="shared" si="282"/>
        <v/>
      </c>
      <c r="G3638" s="395"/>
      <c r="H3638" s="91">
        <f t="shared" si="283"/>
        <v>0</v>
      </c>
      <c r="I3638" s="91" t="str">
        <f t="shared" si="284"/>
        <v/>
      </c>
      <c r="J3638" s="91" t="str">
        <f t="shared" si="285"/>
        <v/>
      </c>
      <c r="K3638" s="92" t="str">
        <f>IF(AND(A3638="",B3638="",D3638="",G3638=""),"",IF(AND(A3638&lt;&gt;"",COUNTIF($A$2:$A$5001,A3638)&gt;1),"NUMERO_PC duplicado",IF(B3638="","DATA_PC vazia",IF(NOT(ISNUMBER(B3638)),"DATA_PC invalida",IF(OR(C3638="",C3638="Fora dos ciclos"),"CICLO_PC nao identificado",IF(OR(D3638="",D3638=0),"VALOR_PC vazio ou zero",IF(AND(G3638&lt;&gt;"Sim",G3638&lt;&gt;"Nao",G3638&lt;&gt;""),"PC_PAGO_A_CONTRATADA invalido",IF(AND(C3638&lt;&gt;"C0",IFERROR(INDEX(parametros!$A$2:$A$6,MATCH(C3638,parametros!$B$2:$B$6,0)),"")="Sim",IFERROR(INDEX(parametros!$H$2:$H$6,MATCH(C3638,parametros!$B$2:$B$6,0)),"")=""),"INICIO_EFEITO ausente: PC "&amp;A3638&amp;" - "&amp;C3638,IF(L3638="","EFEITO_PC nao calculado: PC "&amp;A3638&amp;" - "&amp;C3638,"OK")))))))))</f>
        <v/>
      </c>
      <c r="L3638" s="92" t="str">
        <f>IF(AND(A3638="",B3638="",D3638="",G3638=""),"",IF(OR(B3638="",NOT(ISNUMBER(B3638)),C3638="",C3638="Fora dos ciclos"),"",IF(C3638="C0","Nao",IF(IFERROR(INDEX(parametros!$A$2:$A$6,MATCH(C3638,parametros!$B$2:$B$6,0)),"")&lt;&gt;"Sim","Nao",IF(IFERROR(INDEX(parametros!$H$2:$H$6,MATCH(C3638,parametros!$B$2:$B$6,0)),"")="","",IF(B3638&gt;=IFERROR(INDEX(parametros!$H$2:$H$6,MATCH(C3638,parametros!$B$2:$B$6,0)),""),"Sim","Nao"))))))</f>
        <v/>
      </c>
      <c r="T3638" s="156"/>
      <c r="U3638" s="214" t="str">
        <f t="shared" si="286"/>
        <v/>
      </c>
      <c r="V3638" s="212" t="s">
        <v>50</v>
      </c>
      <c r="W3638" s="100" t="s">
        <v>168</v>
      </c>
      <c r="X3638" s="100" t="s">
        <v>169</v>
      </c>
      <c r="Y3638" s="101" t="s">
        <v>170</v>
      </c>
      <c r="Z3638" s="101" t="s">
        <v>171</v>
      </c>
      <c r="AA3638" s="101" t="s">
        <v>50</v>
      </c>
      <c r="AB3638" s="101" t="s">
        <v>172</v>
      </c>
      <c r="AC3638" s="102" t="s">
        <v>173</v>
      </c>
    </row>
    <row r="3639" spans="1:29" ht="25.5" customHeight="1" x14ac:dyDescent="0.35">
      <c r="A3639" s="392"/>
      <c r="B3639" s="393"/>
      <c r="C3639" s="99" t="str">
        <f>IF(B3639="","",IF(NOT(ISNUMBER(B3639)),"DATA_PC invalida",IF(NOT(ISNUMBER(parametros!$C$2)),"Fora dos ciclos",IF(OR(B3639&lt;parametros!$C$2,(YEAR(B3639)-YEAR(parametros!$C$2))*12+MONTH(B3639)-MONTH(parametros!$C$2)&gt;59),"Fora dos ciclos","C"&amp;INT(((YEAR(B3639)-YEAR(parametros!$C$2))*12+MONTH(B3639)-MONTH(parametros!$C$2))/12)))))</f>
        <v/>
      </c>
      <c r="D3639" s="394"/>
      <c r="E3639" s="78" t="str">
        <f>IF(C3639="","",IFERROR(VLOOKUP(C3639,parametros!$A$11:$E$15,5,0),""))</f>
        <v/>
      </c>
      <c r="F3639" s="79" t="str">
        <f t="shared" si="282"/>
        <v/>
      </c>
      <c r="G3639" s="395"/>
      <c r="H3639" s="91">
        <f t="shared" si="283"/>
        <v>0</v>
      </c>
      <c r="I3639" s="91" t="str">
        <f t="shared" si="284"/>
        <v/>
      </c>
      <c r="J3639" s="91" t="str">
        <f t="shared" si="285"/>
        <v/>
      </c>
      <c r="K3639" s="92" t="str">
        <f>IF(AND(A3639="",B3639="",D3639="",G3639=""),"",IF(AND(A3639&lt;&gt;"",COUNTIF($A$2:$A$5001,A3639)&gt;1),"NUMERO_PC duplicado",IF(B3639="","DATA_PC vazia",IF(NOT(ISNUMBER(B3639)),"DATA_PC invalida",IF(OR(C3639="",C3639="Fora dos ciclos"),"CICLO_PC nao identificado",IF(OR(D3639="",D3639=0),"VALOR_PC vazio ou zero",IF(AND(G3639&lt;&gt;"Sim",G3639&lt;&gt;"Nao",G3639&lt;&gt;""),"PC_PAGO_A_CONTRATADA invalido",IF(AND(C3639&lt;&gt;"C0",IFERROR(INDEX(parametros!$A$2:$A$6,MATCH(C3639,parametros!$B$2:$B$6,0)),"")="Sim",IFERROR(INDEX(parametros!$H$2:$H$6,MATCH(C3639,parametros!$B$2:$B$6,0)),"")=""),"INICIO_EFEITO ausente: PC "&amp;A3639&amp;" - "&amp;C3639,IF(L3639="","EFEITO_PC nao calculado: PC "&amp;A3639&amp;" - "&amp;C3639,"OK")))))))))</f>
        <v/>
      </c>
      <c r="L3639" s="92" t="str">
        <f>IF(AND(A3639="",B3639="",D3639="",G3639=""),"",IF(OR(B3639="",NOT(ISNUMBER(B3639)),C3639="",C3639="Fora dos ciclos"),"",IF(C3639="C0","Nao",IF(IFERROR(INDEX(parametros!$A$2:$A$6,MATCH(C3639,parametros!$B$2:$B$6,0)),"")&lt;&gt;"Sim","Nao",IF(IFERROR(INDEX(parametros!$H$2:$H$6,MATCH(C3639,parametros!$B$2:$B$6,0)),"")="","",IF(B3639&gt;=IFERROR(INDEX(parametros!$H$2:$H$6,MATCH(C3639,parametros!$B$2:$B$6,0)),""),"Sim","Nao"))))))</f>
        <v/>
      </c>
      <c r="T3639" s="156"/>
      <c r="U3639" s="214" t="str">
        <f t="shared" si="286"/>
        <v/>
      </c>
      <c r="V3639" s="212" t="s">
        <v>50</v>
      </c>
      <c r="W3639" s="100" t="s">
        <v>168</v>
      </c>
      <c r="X3639" s="100" t="s">
        <v>169</v>
      </c>
      <c r="Y3639" s="101" t="s">
        <v>170</v>
      </c>
      <c r="Z3639" s="101" t="s">
        <v>171</v>
      </c>
      <c r="AA3639" s="101" t="s">
        <v>50</v>
      </c>
      <c r="AB3639" s="101" t="s">
        <v>172</v>
      </c>
      <c r="AC3639" s="102" t="s">
        <v>173</v>
      </c>
    </row>
    <row r="3640" spans="1:29" ht="25.5" customHeight="1" x14ac:dyDescent="0.35">
      <c r="A3640" s="392"/>
      <c r="B3640" s="393"/>
      <c r="C3640" s="99" t="str">
        <f>IF(B3640="","",IF(NOT(ISNUMBER(B3640)),"DATA_PC invalida",IF(NOT(ISNUMBER(parametros!$C$2)),"Fora dos ciclos",IF(OR(B3640&lt;parametros!$C$2,(YEAR(B3640)-YEAR(parametros!$C$2))*12+MONTH(B3640)-MONTH(parametros!$C$2)&gt;59),"Fora dos ciclos","C"&amp;INT(((YEAR(B3640)-YEAR(parametros!$C$2))*12+MONTH(B3640)-MONTH(parametros!$C$2))/12)))))</f>
        <v/>
      </c>
      <c r="D3640" s="394"/>
      <c r="E3640" s="78" t="str">
        <f>IF(C3640="","",IFERROR(VLOOKUP(C3640,parametros!$A$11:$E$15,5,0),""))</f>
        <v/>
      </c>
      <c r="F3640" s="79" t="str">
        <f t="shared" si="282"/>
        <v/>
      </c>
      <c r="G3640" s="395"/>
      <c r="H3640" s="91">
        <f t="shared" si="283"/>
        <v>0</v>
      </c>
      <c r="I3640" s="91" t="str">
        <f t="shared" si="284"/>
        <v/>
      </c>
      <c r="J3640" s="91" t="str">
        <f t="shared" si="285"/>
        <v/>
      </c>
      <c r="K3640" s="92" t="str">
        <f>IF(AND(A3640="",B3640="",D3640="",G3640=""),"",IF(AND(A3640&lt;&gt;"",COUNTIF($A$2:$A$5001,A3640)&gt;1),"NUMERO_PC duplicado",IF(B3640="","DATA_PC vazia",IF(NOT(ISNUMBER(B3640)),"DATA_PC invalida",IF(OR(C3640="",C3640="Fora dos ciclos"),"CICLO_PC nao identificado",IF(OR(D3640="",D3640=0),"VALOR_PC vazio ou zero",IF(AND(G3640&lt;&gt;"Sim",G3640&lt;&gt;"Nao",G3640&lt;&gt;""),"PC_PAGO_A_CONTRATADA invalido",IF(AND(C3640&lt;&gt;"C0",IFERROR(INDEX(parametros!$A$2:$A$6,MATCH(C3640,parametros!$B$2:$B$6,0)),"")="Sim",IFERROR(INDEX(parametros!$H$2:$H$6,MATCH(C3640,parametros!$B$2:$B$6,0)),"")=""),"INICIO_EFEITO ausente: PC "&amp;A3640&amp;" - "&amp;C3640,IF(L3640="","EFEITO_PC nao calculado: PC "&amp;A3640&amp;" - "&amp;C3640,"OK")))))))))</f>
        <v/>
      </c>
      <c r="L3640" s="92" t="str">
        <f>IF(AND(A3640="",B3640="",D3640="",G3640=""),"",IF(OR(B3640="",NOT(ISNUMBER(B3640)),C3640="",C3640="Fora dos ciclos"),"",IF(C3640="C0","Nao",IF(IFERROR(INDEX(parametros!$A$2:$A$6,MATCH(C3640,parametros!$B$2:$B$6,0)),"")&lt;&gt;"Sim","Nao",IF(IFERROR(INDEX(parametros!$H$2:$H$6,MATCH(C3640,parametros!$B$2:$B$6,0)),"")="","",IF(B3640&gt;=IFERROR(INDEX(parametros!$H$2:$H$6,MATCH(C3640,parametros!$B$2:$B$6,0)),""),"Sim","Nao"))))))</f>
        <v/>
      </c>
      <c r="T3640" s="156"/>
      <c r="U3640" s="214" t="str">
        <f t="shared" si="286"/>
        <v/>
      </c>
      <c r="V3640" s="212" t="s">
        <v>50</v>
      </c>
      <c r="W3640" s="100" t="s">
        <v>168</v>
      </c>
      <c r="X3640" s="100" t="s">
        <v>169</v>
      </c>
      <c r="Y3640" s="101" t="s">
        <v>170</v>
      </c>
      <c r="Z3640" s="101" t="s">
        <v>171</v>
      </c>
      <c r="AA3640" s="101" t="s">
        <v>50</v>
      </c>
      <c r="AB3640" s="101" t="s">
        <v>172</v>
      </c>
      <c r="AC3640" s="102" t="s">
        <v>173</v>
      </c>
    </row>
    <row r="3641" spans="1:29" ht="25.5" customHeight="1" x14ac:dyDescent="0.35">
      <c r="A3641" s="392"/>
      <c r="B3641" s="393"/>
      <c r="C3641" s="99" t="str">
        <f>IF(B3641="","",IF(NOT(ISNUMBER(B3641)),"DATA_PC invalida",IF(NOT(ISNUMBER(parametros!$C$2)),"Fora dos ciclos",IF(OR(B3641&lt;parametros!$C$2,(YEAR(B3641)-YEAR(parametros!$C$2))*12+MONTH(B3641)-MONTH(parametros!$C$2)&gt;59),"Fora dos ciclos","C"&amp;INT(((YEAR(B3641)-YEAR(parametros!$C$2))*12+MONTH(B3641)-MONTH(parametros!$C$2))/12)))))</f>
        <v/>
      </c>
      <c r="D3641" s="394"/>
      <c r="E3641" s="78" t="str">
        <f>IF(C3641="","",IFERROR(VLOOKUP(C3641,parametros!$A$11:$E$15,5,0),""))</f>
        <v/>
      </c>
      <c r="F3641" s="79" t="str">
        <f t="shared" si="282"/>
        <v/>
      </c>
      <c r="G3641" s="395"/>
      <c r="H3641" s="91">
        <f t="shared" si="283"/>
        <v>0</v>
      </c>
      <c r="I3641" s="91" t="str">
        <f t="shared" si="284"/>
        <v/>
      </c>
      <c r="J3641" s="91" t="str">
        <f t="shared" si="285"/>
        <v/>
      </c>
      <c r="K3641" s="92" t="str">
        <f>IF(AND(A3641="",B3641="",D3641="",G3641=""),"",IF(AND(A3641&lt;&gt;"",COUNTIF($A$2:$A$5001,A3641)&gt;1),"NUMERO_PC duplicado",IF(B3641="","DATA_PC vazia",IF(NOT(ISNUMBER(B3641)),"DATA_PC invalida",IF(OR(C3641="",C3641="Fora dos ciclos"),"CICLO_PC nao identificado",IF(OR(D3641="",D3641=0),"VALOR_PC vazio ou zero",IF(AND(G3641&lt;&gt;"Sim",G3641&lt;&gt;"Nao",G3641&lt;&gt;""),"PC_PAGO_A_CONTRATADA invalido",IF(AND(C3641&lt;&gt;"C0",IFERROR(INDEX(parametros!$A$2:$A$6,MATCH(C3641,parametros!$B$2:$B$6,0)),"")="Sim",IFERROR(INDEX(parametros!$H$2:$H$6,MATCH(C3641,parametros!$B$2:$B$6,0)),"")=""),"INICIO_EFEITO ausente: PC "&amp;A3641&amp;" - "&amp;C3641,IF(L3641="","EFEITO_PC nao calculado: PC "&amp;A3641&amp;" - "&amp;C3641,"OK")))))))))</f>
        <v/>
      </c>
      <c r="L3641" s="92" t="str">
        <f>IF(AND(A3641="",B3641="",D3641="",G3641=""),"",IF(OR(B3641="",NOT(ISNUMBER(B3641)),C3641="",C3641="Fora dos ciclos"),"",IF(C3641="C0","Nao",IF(IFERROR(INDEX(parametros!$A$2:$A$6,MATCH(C3641,parametros!$B$2:$B$6,0)),"")&lt;&gt;"Sim","Nao",IF(IFERROR(INDEX(parametros!$H$2:$H$6,MATCH(C3641,parametros!$B$2:$B$6,0)),"")="","",IF(B3641&gt;=IFERROR(INDEX(parametros!$H$2:$H$6,MATCH(C3641,parametros!$B$2:$B$6,0)),""),"Sim","Nao"))))))</f>
        <v/>
      </c>
      <c r="T3641" s="156"/>
      <c r="U3641" s="214" t="str">
        <f t="shared" si="286"/>
        <v/>
      </c>
      <c r="V3641" s="212" t="s">
        <v>50</v>
      </c>
      <c r="W3641" s="100" t="s">
        <v>168</v>
      </c>
      <c r="X3641" s="100" t="s">
        <v>169</v>
      </c>
      <c r="Y3641" s="101" t="s">
        <v>170</v>
      </c>
      <c r="Z3641" s="101" t="s">
        <v>171</v>
      </c>
      <c r="AA3641" s="101" t="s">
        <v>50</v>
      </c>
      <c r="AB3641" s="101" t="s">
        <v>172</v>
      </c>
      <c r="AC3641" s="102" t="s">
        <v>173</v>
      </c>
    </row>
    <row r="3642" spans="1:29" ht="25.5" customHeight="1" x14ac:dyDescent="0.35">
      <c r="A3642" s="392"/>
      <c r="B3642" s="393"/>
      <c r="C3642" s="99" t="str">
        <f>IF(B3642="","",IF(NOT(ISNUMBER(B3642)),"DATA_PC invalida",IF(NOT(ISNUMBER(parametros!$C$2)),"Fora dos ciclos",IF(OR(B3642&lt;parametros!$C$2,(YEAR(B3642)-YEAR(parametros!$C$2))*12+MONTH(B3642)-MONTH(parametros!$C$2)&gt;59),"Fora dos ciclos","C"&amp;INT(((YEAR(B3642)-YEAR(parametros!$C$2))*12+MONTH(B3642)-MONTH(parametros!$C$2))/12)))))</f>
        <v/>
      </c>
      <c r="D3642" s="394"/>
      <c r="E3642" s="78" t="str">
        <f>IF(C3642="","",IFERROR(VLOOKUP(C3642,parametros!$A$11:$E$15,5,0),""))</f>
        <v/>
      </c>
      <c r="F3642" s="79" t="str">
        <f t="shared" si="282"/>
        <v/>
      </c>
      <c r="G3642" s="395"/>
      <c r="H3642" s="91">
        <f t="shared" si="283"/>
        <v>0</v>
      </c>
      <c r="I3642" s="91" t="str">
        <f t="shared" si="284"/>
        <v/>
      </c>
      <c r="J3642" s="91" t="str">
        <f t="shared" si="285"/>
        <v/>
      </c>
      <c r="K3642" s="92" t="str">
        <f>IF(AND(A3642="",B3642="",D3642="",G3642=""),"",IF(AND(A3642&lt;&gt;"",COUNTIF($A$2:$A$5001,A3642)&gt;1),"NUMERO_PC duplicado",IF(B3642="","DATA_PC vazia",IF(NOT(ISNUMBER(B3642)),"DATA_PC invalida",IF(OR(C3642="",C3642="Fora dos ciclos"),"CICLO_PC nao identificado",IF(OR(D3642="",D3642=0),"VALOR_PC vazio ou zero",IF(AND(G3642&lt;&gt;"Sim",G3642&lt;&gt;"Nao",G3642&lt;&gt;""),"PC_PAGO_A_CONTRATADA invalido",IF(AND(C3642&lt;&gt;"C0",IFERROR(INDEX(parametros!$A$2:$A$6,MATCH(C3642,parametros!$B$2:$B$6,0)),"")="Sim",IFERROR(INDEX(parametros!$H$2:$H$6,MATCH(C3642,parametros!$B$2:$B$6,0)),"")=""),"INICIO_EFEITO ausente: PC "&amp;A3642&amp;" - "&amp;C3642,IF(L3642="","EFEITO_PC nao calculado: PC "&amp;A3642&amp;" - "&amp;C3642,"OK")))))))))</f>
        <v/>
      </c>
      <c r="L3642" s="92" t="str">
        <f>IF(AND(A3642="",B3642="",D3642="",G3642=""),"",IF(OR(B3642="",NOT(ISNUMBER(B3642)),C3642="",C3642="Fora dos ciclos"),"",IF(C3642="C0","Nao",IF(IFERROR(INDEX(parametros!$A$2:$A$6,MATCH(C3642,parametros!$B$2:$B$6,0)),"")&lt;&gt;"Sim","Nao",IF(IFERROR(INDEX(parametros!$H$2:$H$6,MATCH(C3642,parametros!$B$2:$B$6,0)),"")="","",IF(B3642&gt;=IFERROR(INDEX(parametros!$H$2:$H$6,MATCH(C3642,parametros!$B$2:$B$6,0)),""),"Sim","Nao"))))))</f>
        <v/>
      </c>
      <c r="T3642" s="156"/>
      <c r="U3642" s="214" t="str">
        <f t="shared" si="286"/>
        <v/>
      </c>
      <c r="V3642" s="212" t="s">
        <v>50</v>
      </c>
      <c r="W3642" s="100" t="s">
        <v>168</v>
      </c>
      <c r="X3642" s="100" t="s">
        <v>169</v>
      </c>
      <c r="Y3642" s="101" t="s">
        <v>170</v>
      </c>
      <c r="Z3642" s="101" t="s">
        <v>171</v>
      </c>
      <c r="AA3642" s="101" t="s">
        <v>50</v>
      </c>
      <c r="AB3642" s="101" t="s">
        <v>172</v>
      </c>
      <c r="AC3642" s="102" t="s">
        <v>173</v>
      </c>
    </row>
    <row r="3643" spans="1:29" ht="25.5" customHeight="1" x14ac:dyDescent="0.35">
      <c r="A3643" s="392"/>
      <c r="B3643" s="393"/>
      <c r="C3643" s="99" t="str">
        <f>IF(B3643="","",IF(NOT(ISNUMBER(B3643)),"DATA_PC invalida",IF(NOT(ISNUMBER(parametros!$C$2)),"Fora dos ciclos",IF(OR(B3643&lt;parametros!$C$2,(YEAR(B3643)-YEAR(parametros!$C$2))*12+MONTH(B3643)-MONTH(parametros!$C$2)&gt;59),"Fora dos ciclos","C"&amp;INT(((YEAR(B3643)-YEAR(parametros!$C$2))*12+MONTH(B3643)-MONTH(parametros!$C$2))/12)))))</f>
        <v/>
      </c>
      <c r="D3643" s="394"/>
      <c r="E3643" s="78" t="str">
        <f>IF(C3643="","",IFERROR(VLOOKUP(C3643,parametros!$A$11:$E$15,5,0),""))</f>
        <v/>
      </c>
      <c r="F3643" s="79" t="str">
        <f t="shared" si="282"/>
        <v/>
      </c>
      <c r="G3643" s="395"/>
      <c r="H3643" s="91">
        <f t="shared" si="283"/>
        <v>0</v>
      </c>
      <c r="I3643" s="91" t="str">
        <f t="shared" si="284"/>
        <v/>
      </c>
      <c r="J3643" s="91" t="str">
        <f t="shared" si="285"/>
        <v/>
      </c>
      <c r="K3643" s="92" t="str">
        <f>IF(AND(A3643="",B3643="",D3643="",G3643=""),"",IF(AND(A3643&lt;&gt;"",COUNTIF($A$2:$A$5001,A3643)&gt;1),"NUMERO_PC duplicado",IF(B3643="","DATA_PC vazia",IF(NOT(ISNUMBER(B3643)),"DATA_PC invalida",IF(OR(C3643="",C3643="Fora dos ciclos"),"CICLO_PC nao identificado",IF(OR(D3643="",D3643=0),"VALOR_PC vazio ou zero",IF(AND(G3643&lt;&gt;"Sim",G3643&lt;&gt;"Nao",G3643&lt;&gt;""),"PC_PAGO_A_CONTRATADA invalido",IF(AND(C3643&lt;&gt;"C0",IFERROR(INDEX(parametros!$A$2:$A$6,MATCH(C3643,parametros!$B$2:$B$6,0)),"")="Sim",IFERROR(INDEX(parametros!$H$2:$H$6,MATCH(C3643,parametros!$B$2:$B$6,0)),"")=""),"INICIO_EFEITO ausente: PC "&amp;A3643&amp;" - "&amp;C3643,IF(L3643="","EFEITO_PC nao calculado: PC "&amp;A3643&amp;" - "&amp;C3643,"OK")))))))))</f>
        <v/>
      </c>
      <c r="L3643" s="92" t="str">
        <f>IF(AND(A3643="",B3643="",D3643="",G3643=""),"",IF(OR(B3643="",NOT(ISNUMBER(B3643)),C3643="",C3643="Fora dos ciclos"),"",IF(C3643="C0","Nao",IF(IFERROR(INDEX(parametros!$A$2:$A$6,MATCH(C3643,parametros!$B$2:$B$6,0)),"")&lt;&gt;"Sim","Nao",IF(IFERROR(INDEX(parametros!$H$2:$H$6,MATCH(C3643,parametros!$B$2:$B$6,0)),"")="","",IF(B3643&gt;=IFERROR(INDEX(parametros!$H$2:$H$6,MATCH(C3643,parametros!$B$2:$B$6,0)),""),"Sim","Nao"))))))</f>
        <v/>
      </c>
      <c r="T3643" s="156"/>
      <c r="U3643" s="214" t="str">
        <f t="shared" si="286"/>
        <v/>
      </c>
      <c r="V3643" s="212" t="s">
        <v>50</v>
      </c>
      <c r="W3643" s="100" t="s">
        <v>168</v>
      </c>
      <c r="X3643" s="100" t="s">
        <v>169</v>
      </c>
      <c r="Y3643" s="101" t="s">
        <v>170</v>
      </c>
      <c r="Z3643" s="101" t="s">
        <v>171</v>
      </c>
      <c r="AA3643" s="101" t="s">
        <v>50</v>
      </c>
      <c r="AB3643" s="101" t="s">
        <v>172</v>
      </c>
      <c r="AC3643" s="102" t="s">
        <v>173</v>
      </c>
    </row>
    <row r="3644" spans="1:29" ht="25.5" customHeight="1" x14ac:dyDescent="0.35">
      <c r="A3644" s="392"/>
      <c r="B3644" s="393"/>
      <c r="C3644" s="99" t="str">
        <f>IF(B3644="","",IF(NOT(ISNUMBER(B3644)),"DATA_PC invalida",IF(NOT(ISNUMBER(parametros!$C$2)),"Fora dos ciclos",IF(OR(B3644&lt;parametros!$C$2,(YEAR(B3644)-YEAR(parametros!$C$2))*12+MONTH(B3644)-MONTH(parametros!$C$2)&gt;59),"Fora dos ciclos","C"&amp;INT(((YEAR(B3644)-YEAR(parametros!$C$2))*12+MONTH(B3644)-MONTH(parametros!$C$2))/12)))))</f>
        <v/>
      </c>
      <c r="D3644" s="394"/>
      <c r="E3644" s="78" t="str">
        <f>IF(C3644="","",IFERROR(VLOOKUP(C3644,parametros!$A$11:$E$15,5,0),""))</f>
        <v/>
      </c>
      <c r="F3644" s="79" t="str">
        <f t="shared" si="282"/>
        <v/>
      </c>
      <c r="G3644" s="395"/>
      <c r="H3644" s="91">
        <f t="shared" si="283"/>
        <v>0</v>
      </c>
      <c r="I3644" s="91" t="str">
        <f t="shared" si="284"/>
        <v/>
      </c>
      <c r="J3644" s="91" t="str">
        <f t="shared" si="285"/>
        <v/>
      </c>
      <c r="K3644" s="92" t="str">
        <f>IF(AND(A3644="",B3644="",D3644="",G3644=""),"",IF(AND(A3644&lt;&gt;"",COUNTIF($A$2:$A$5001,A3644)&gt;1),"NUMERO_PC duplicado",IF(B3644="","DATA_PC vazia",IF(NOT(ISNUMBER(B3644)),"DATA_PC invalida",IF(OR(C3644="",C3644="Fora dos ciclos"),"CICLO_PC nao identificado",IF(OR(D3644="",D3644=0),"VALOR_PC vazio ou zero",IF(AND(G3644&lt;&gt;"Sim",G3644&lt;&gt;"Nao",G3644&lt;&gt;""),"PC_PAGO_A_CONTRATADA invalido",IF(AND(C3644&lt;&gt;"C0",IFERROR(INDEX(parametros!$A$2:$A$6,MATCH(C3644,parametros!$B$2:$B$6,0)),"")="Sim",IFERROR(INDEX(parametros!$H$2:$H$6,MATCH(C3644,parametros!$B$2:$B$6,0)),"")=""),"INICIO_EFEITO ausente: PC "&amp;A3644&amp;" - "&amp;C3644,IF(L3644="","EFEITO_PC nao calculado: PC "&amp;A3644&amp;" - "&amp;C3644,"OK")))))))))</f>
        <v/>
      </c>
      <c r="L3644" s="92" t="str">
        <f>IF(AND(A3644="",B3644="",D3644="",G3644=""),"",IF(OR(B3644="",NOT(ISNUMBER(B3644)),C3644="",C3644="Fora dos ciclos"),"",IF(C3644="C0","Nao",IF(IFERROR(INDEX(parametros!$A$2:$A$6,MATCH(C3644,parametros!$B$2:$B$6,0)),"")&lt;&gt;"Sim","Nao",IF(IFERROR(INDEX(parametros!$H$2:$H$6,MATCH(C3644,parametros!$B$2:$B$6,0)),"")="","",IF(B3644&gt;=IFERROR(INDEX(parametros!$H$2:$H$6,MATCH(C3644,parametros!$B$2:$B$6,0)),""),"Sim","Nao"))))))</f>
        <v/>
      </c>
      <c r="T3644" s="156"/>
      <c r="U3644" s="214" t="str">
        <f t="shared" si="286"/>
        <v/>
      </c>
      <c r="V3644" s="212" t="s">
        <v>50</v>
      </c>
      <c r="W3644" s="100" t="s">
        <v>168</v>
      </c>
      <c r="X3644" s="100" t="s">
        <v>169</v>
      </c>
      <c r="Y3644" s="101" t="s">
        <v>170</v>
      </c>
      <c r="Z3644" s="101" t="s">
        <v>171</v>
      </c>
      <c r="AA3644" s="101" t="s">
        <v>50</v>
      </c>
      <c r="AB3644" s="101" t="s">
        <v>172</v>
      </c>
      <c r="AC3644" s="102" t="s">
        <v>173</v>
      </c>
    </row>
    <row r="3645" spans="1:29" ht="25.5" customHeight="1" x14ac:dyDescent="0.35">
      <c r="A3645" s="392"/>
      <c r="B3645" s="393"/>
      <c r="C3645" s="99" t="str">
        <f>IF(B3645="","",IF(NOT(ISNUMBER(B3645)),"DATA_PC invalida",IF(NOT(ISNUMBER(parametros!$C$2)),"Fora dos ciclos",IF(OR(B3645&lt;parametros!$C$2,(YEAR(B3645)-YEAR(parametros!$C$2))*12+MONTH(B3645)-MONTH(parametros!$C$2)&gt;59),"Fora dos ciclos","C"&amp;INT(((YEAR(B3645)-YEAR(parametros!$C$2))*12+MONTH(B3645)-MONTH(parametros!$C$2))/12)))))</f>
        <v/>
      </c>
      <c r="D3645" s="394"/>
      <c r="E3645" s="78" t="str">
        <f>IF(C3645="","",IFERROR(VLOOKUP(C3645,parametros!$A$11:$E$15,5,0),""))</f>
        <v/>
      </c>
      <c r="F3645" s="79" t="str">
        <f t="shared" si="282"/>
        <v/>
      </c>
      <c r="G3645" s="395"/>
      <c r="H3645" s="91">
        <f t="shared" si="283"/>
        <v>0</v>
      </c>
      <c r="I3645" s="91" t="str">
        <f t="shared" si="284"/>
        <v/>
      </c>
      <c r="J3645" s="91" t="str">
        <f t="shared" si="285"/>
        <v/>
      </c>
      <c r="K3645" s="92" t="str">
        <f>IF(AND(A3645="",B3645="",D3645="",G3645=""),"",IF(AND(A3645&lt;&gt;"",COUNTIF($A$2:$A$5001,A3645)&gt;1),"NUMERO_PC duplicado",IF(B3645="","DATA_PC vazia",IF(NOT(ISNUMBER(B3645)),"DATA_PC invalida",IF(OR(C3645="",C3645="Fora dos ciclos"),"CICLO_PC nao identificado",IF(OR(D3645="",D3645=0),"VALOR_PC vazio ou zero",IF(AND(G3645&lt;&gt;"Sim",G3645&lt;&gt;"Nao",G3645&lt;&gt;""),"PC_PAGO_A_CONTRATADA invalido",IF(AND(C3645&lt;&gt;"C0",IFERROR(INDEX(parametros!$A$2:$A$6,MATCH(C3645,parametros!$B$2:$B$6,0)),"")="Sim",IFERROR(INDEX(parametros!$H$2:$H$6,MATCH(C3645,parametros!$B$2:$B$6,0)),"")=""),"INICIO_EFEITO ausente: PC "&amp;A3645&amp;" - "&amp;C3645,IF(L3645="","EFEITO_PC nao calculado: PC "&amp;A3645&amp;" - "&amp;C3645,"OK")))))))))</f>
        <v/>
      </c>
      <c r="L3645" s="92" t="str">
        <f>IF(AND(A3645="",B3645="",D3645="",G3645=""),"",IF(OR(B3645="",NOT(ISNUMBER(B3645)),C3645="",C3645="Fora dos ciclos"),"",IF(C3645="C0","Nao",IF(IFERROR(INDEX(parametros!$A$2:$A$6,MATCH(C3645,parametros!$B$2:$B$6,0)),"")&lt;&gt;"Sim","Nao",IF(IFERROR(INDEX(parametros!$H$2:$H$6,MATCH(C3645,parametros!$B$2:$B$6,0)),"")="","",IF(B3645&gt;=IFERROR(INDEX(parametros!$H$2:$H$6,MATCH(C3645,parametros!$B$2:$B$6,0)),""),"Sim","Nao"))))))</f>
        <v/>
      </c>
      <c r="T3645" s="156"/>
      <c r="U3645" s="214" t="str">
        <f t="shared" si="286"/>
        <v/>
      </c>
      <c r="V3645" s="212" t="s">
        <v>50</v>
      </c>
      <c r="W3645" s="100" t="s">
        <v>168</v>
      </c>
      <c r="X3645" s="100" t="s">
        <v>169</v>
      </c>
      <c r="Y3645" s="101" t="s">
        <v>170</v>
      </c>
      <c r="Z3645" s="101" t="s">
        <v>171</v>
      </c>
      <c r="AA3645" s="101" t="s">
        <v>50</v>
      </c>
      <c r="AB3645" s="101" t="s">
        <v>172</v>
      </c>
      <c r="AC3645" s="102" t="s">
        <v>173</v>
      </c>
    </row>
    <row r="3646" spans="1:29" ht="25.5" customHeight="1" x14ac:dyDescent="0.35">
      <c r="A3646" s="392"/>
      <c r="B3646" s="393"/>
      <c r="C3646" s="99" t="str">
        <f>IF(B3646="","",IF(NOT(ISNUMBER(B3646)),"DATA_PC invalida",IF(NOT(ISNUMBER(parametros!$C$2)),"Fora dos ciclos",IF(OR(B3646&lt;parametros!$C$2,(YEAR(B3646)-YEAR(parametros!$C$2))*12+MONTH(B3646)-MONTH(parametros!$C$2)&gt;59),"Fora dos ciclos","C"&amp;INT(((YEAR(B3646)-YEAR(parametros!$C$2))*12+MONTH(B3646)-MONTH(parametros!$C$2))/12)))))</f>
        <v/>
      </c>
      <c r="D3646" s="394"/>
      <c r="E3646" s="78" t="str">
        <f>IF(C3646="","",IFERROR(VLOOKUP(C3646,parametros!$A$11:$E$15,5,0),""))</f>
        <v/>
      </c>
      <c r="F3646" s="79" t="str">
        <f t="shared" si="282"/>
        <v/>
      </c>
      <c r="G3646" s="395"/>
      <c r="H3646" s="91">
        <f t="shared" si="283"/>
        <v>0</v>
      </c>
      <c r="I3646" s="91" t="str">
        <f t="shared" si="284"/>
        <v/>
      </c>
      <c r="J3646" s="91" t="str">
        <f t="shared" si="285"/>
        <v/>
      </c>
      <c r="K3646" s="92" t="str">
        <f>IF(AND(A3646="",B3646="",D3646="",G3646=""),"",IF(AND(A3646&lt;&gt;"",COUNTIF($A$2:$A$5001,A3646)&gt;1),"NUMERO_PC duplicado",IF(B3646="","DATA_PC vazia",IF(NOT(ISNUMBER(B3646)),"DATA_PC invalida",IF(OR(C3646="",C3646="Fora dos ciclos"),"CICLO_PC nao identificado",IF(OR(D3646="",D3646=0),"VALOR_PC vazio ou zero",IF(AND(G3646&lt;&gt;"Sim",G3646&lt;&gt;"Nao",G3646&lt;&gt;""),"PC_PAGO_A_CONTRATADA invalido",IF(AND(C3646&lt;&gt;"C0",IFERROR(INDEX(parametros!$A$2:$A$6,MATCH(C3646,parametros!$B$2:$B$6,0)),"")="Sim",IFERROR(INDEX(parametros!$H$2:$H$6,MATCH(C3646,parametros!$B$2:$B$6,0)),"")=""),"INICIO_EFEITO ausente: PC "&amp;A3646&amp;" - "&amp;C3646,IF(L3646="","EFEITO_PC nao calculado: PC "&amp;A3646&amp;" - "&amp;C3646,"OK")))))))))</f>
        <v/>
      </c>
      <c r="L3646" s="92" t="str">
        <f>IF(AND(A3646="",B3646="",D3646="",G3646=""),"",IF(OR(B3646="",NOT(ISNUMBER(B3646)),C3646="",C3646="Fora dos ciclos"),"",IF(C3646="C0","Nao",IF(IFERROR(INDEX(parametros!$A$2:$A$6,MATCH(C3646,parametros!$B$2:$B$6,0)),"")&lt;&gt;"Sim","Nao",IF(IFERROR(INDEX(parametros!$H$2:$H$6,MATCH(C3646,parametros!$B$2:$B$6,0)),"")="","",IF(B3646&gt;=IFERROR(INDEX(parametros!$H$2:$H$6,MATCH(C3646,parametros!$B$2:$B$6,0)),""),"Sim","Nao"))))))</f>
        <v/>
      </c>
      <c r="T3646" s="156"/>
      <c r="U3646" s="214" t="str">
        <f t="shared" si="286"/>
        <v/>
      </c>
      <c r="V3646" s="212" t="s">
        <v>50</v>
      </c>
      <c r="W3646" s="100" t="s">
        <v>168</v>
      </c>
      <c r="X3646" s="100" t="s">
        <v>169</v>
      </c>
      <c r="Y3646" s="101" t="s">
        <v>170</v>
      </c>
      <c r="Z3646" s="101" t="s">
        <v>171</v>
      </c>
      <c r="AA3646" s="101" t="s">
        <v>50</v>
      </c>
      <c r="AB3646" s="101" t="s">
        <v>172</v>
      </c>
      <c r="AC3646" s="102" t="s">
        <v>173</v>
      </c>
    </row>
    <row r="3647" spans="1:29" ht="25.5" customHeight="1" x14ac:dyDescent="0.35">
      <c r="A3647" s="392"/>
      <c r="B3647" s="393"/>
      <c r="C3647" s="99" t="str">
        <f>IF(B3647="","",IF(NOT(ISNUMBER(B3647)),"DATA_PC invalida",IF(NOT(ISNUMBER(parametros!$C$2)),"Fora dos ciclos",IF(OR(B3647&lt;parametros!$C$2,(YEAR(B3647)-YEAR(parametros!$C$2))*12+MONTH(B3647)-MONTH(parametros!$C$2)&gt;59),"Fora dos ciclos","C"&amp;INT(((YEAR(B3647)-YEAR(parametros!$C$2))*12+MONTH(B3647)-MONTH(parametros!$C$2))/12)))))</f>
        <v/>
      </c>
      <c r="D3647" s="394"/>
      <c r="E3647" s="78" t="str">
        <f>IF(C3647="","",IFERROR(VLOOKUP(C3647,parametros!$A$11:$E$15,5,0),""))</f>
        <v/>
      </c>
      <c r="F3647" s="79" t="str">
        <f t="shared" si="282"/>
        <v/>
      </c>
      <c r="G3647" s="395"/>
      <c r="H3647" s="91">
        <f t="shared" si="283"/>
        <v>0</v>
      </c>
      <c r="I3647" s="91" t="str">
        <f t="shared" si="284"/>
        <v/>
      </c>
      <c r="J3647" s="91" t="str">
        <f t="shared" si="285"/>
        <v/>
      </c>
      <c r="K3647" s="92" t="str">
        <f>IF(AND(A3647="",B3647="",D3647="",G3647=""),"",IF(AND(A3647&lt;&gt;"",COUNTIF($A$2:$A$5001,A3647)&gt;1),"NUMERO_PC duplicado",IF(B3647="","DATA_PC vazia",IF(NOT(ISNUMBER(B3647)),"DATA_PC invalida",IF(OR(C3647="",C3647="Fora dos ciclos"),"CICLO_PC nao identificado",IF(OR(D3647="",D3647=0),"VALOR_PC vazio ou zero",IF(AND(G3647&lt;&gt;"Sim",G3647&lt;&gt;"Nao",G3647&lt;&gt;""),"PC_PAGO_A_CONTRATADA invalido",IF(AND(C3647&lt;&gt;"C0",IFERROR(INDEX(parametros!$A$2:$A$6,MATCH(C3647,parametros!$B$2:$B$6,0)),"")="Sim",IFERROR(INDEX(parametros!$H$2:$H$6,MATCH(C3647,parametros!$B$2:$B$6,0)),"")=""),"INICIO_EFEITO ausente: PC "&amp;A3647&amp;" - "&amp;C3647,IF(L3647="","EFEITO_PC nao calculado: PC "&amp;A3647&amp;" - "&amp;C3647,"OK")))))))))</f>
        <v/>
      </c>
      <c r="L3647" s="92" t="str">
        <f>IF(AND(A3647="",B3647="",D3647="",G3647=""),"",IF(OR(B3647="",NOT(ISNUMBER(B3647)),C3647="",C3647="Fora dos ciclos"),"",IF(C3647="C0","Nao",IF(IFERROR(INDEX(parametros!$A$2:$A$6,MATCH(C3647,parametros!$B$2:$B$6,0)),"")&lt;&gt;"Sim","Nao",IF(IFERROR(INDEX(parametros!$H$2:$H$6,MATCH(C3647,parametros!$B$2:$B$6,0)),"")="","",IF(B3647&gt;=IFERROR(INDEX(parametros!$H$2:$H$6,MATCH(C3647,parametros!$B$2:$B$6,0)),""),"Sim","Nao"))))))</f>
        <v/>
      </c>
      <c r="T3647" s="156"/>
      <c r="U3647" s="214" t="str">
        <f t="shared" si="286"/>
        <v/>
      </c>
      <c r="V3647" s="212" t="s">
        <v>50</v>
      </c>
      <c r="W3647" s="100" t="s">
        <v>168</v>
      </c>
      <c r="X3647" s="100" t="s">
        <v>169</v>
      </c>
      <c r="Y3647" s="101" t="s">
        <v>170</v>
      </c>
      <c r="Z3647" s="101" t="s">
        <v>171</v>
      </c>
      <c r="AA3647" s="101" t="s">
        <v>50</v>
      </c>
      <c r="AB3647" s="101" t="s">
        <v>172</v>
      </c>
      <c r="AC3647" s="102" t="s">
        <v>173</v>
      </c>
    </row>
    <row r="3648" spans="1:29" ht="25.5" customHeight="1" x14ac:dyDescent="0.35">
      <c r="A3648" s="392"/>
      <c r="B3648" s="393"/>
      <c r="C3648" s="99" t="str">
        <f>IF(B3648="","",IF(NOT(ISNUMBER(B3648)),"DATA_PC invalida",IF(NOT(ISNUMBER(parametros!$C$2)),"Fora dos ciclos",IF(OR(B3648&lt;parametros!$C$2,(YEAR(B3648)-YEAR(parametros!$C$2))*12+MONTH(B3648)-MONTH(parametros!$C$2)&gt;59),"Fora dos ciclos","C"&amp;INT(((YEAR(B3648)-YEAR(parametros!$C$2))*12+MONTH(B3648)-MONTH(parametros!$C$2))/12)))))</f>
        <v/>
      </c>
      <c r="D3648" s="394"/>
      <c r="E3648" s="78" t="str">
        <f>IF(C3648="","",IFERROR(VLOOKUP(C3648,parametros!$A$11:$E$15,5,0),""))</f>
        <v/>
      </c>
      <c r="F3648" s="79" t="str">
        <f t="shared" si="282"/>
        <v/>
      </c>
      <c r="G3648" s="395"/>
      <c r="H3648" s="91">
        <f t="shared" si="283"/>
        <v>0</v>
      </c>
      <c r="I3648" s="91" t="str">
        <f t="shared" si="284"/>
        <v/>
      </c>
      <c r="J3648" s="91" t="str">
        <f t="shared" si="285"/>
        <v/>
      </c>
      <c r="K3648" s="92" t="str">
        <f>IF(AND(A3648="",B3648="",D3648="",G3648=""),"",IF(AND(A3648&lt;&gt;"",COUNTIF($A$2:$A$5001,A3648)&gt;1),"NUMERO_PC duplicado",IF(B3648="","DATA_PC vazia",IF(NOT(ISNUMBER(B3648)),"DATA_PC invalida",IF(OR(C3648="",C3648="Fora dos ciclos"),"CICLO_PC nao identificado",IF(OR(D3648="",D3648=0),"VALOR_PC vazio ou zero",IF(AND(G3648&lt;&gt;"Sim",G3648&lt;&gt;"Nao",G3648&lt;&gt;""),"PC_PAGO_A_CONTRATADA invalido",IF(AND(C3648&lt;&gt;"C0",IFERROR(INDEX(parametros!$A$2:$A$6,MATCH(C3648,parametros!$B$2:$B$6,0)),"")="Sim",IFERROR(INDEX(parametros!$H$2:$H$6,MATCH(C3648,parametros!$B$2:$B$6,0)),"")=""),"INICIO_EFEITO ausente: PC "&amp;A3648&amp;" - "&amp;C3648,IF(L3648="","EFEITO_PC nao calculado: PC "&amp;A3648&amp;" - "&amp;C3648,"OK")))))))))</f>
        <v/>
      </c>
      <c r="L3648" s="92" t="str">
        <f>IF(AND(A3648="",B3648="",D3648="",G3648=""),"",IF(OR(B3648="",NOT(ISNUMBER(B3648)),C3648="",C3648="Fora dos ciclos"),"",IF(C3648="C0","Nao",IF(IFERROR(INDEX(parametros!$A$2:$A$6,MATCH(C3648,parametros!$B$2:$B$6,0)),"")&lt;&gt;"Sim","Nao",IF(IFERROR(INDEX(parametros!$H$2:$H$6,MATCH(C3648,parametros!$B$2:$B$6,0)),"")="","",IF(B3648&gt;=IFERROR(INDEX(parametros!$H$2:$H$6,MATCH(C3648,parametros!$B$2:$B$6,0)),""),"Sim","Nao"))))))</f>
        <v/>
      </c>
      <c r="T3648" s="156"/>
      <c r="U3648" s="214" t="str">
        <f t="shared" si="286"/>
        <v/>
      </c>
      <c r="V3648" s="212" t="s">
        <v>50</v>
      </c>
      <c r="W3648" s="100" t="s">
        <v>168</v>
      </c>
      <c r="X3648" s="100" t="s">
        <v>169</v>
      </c>
      <c r="Y3648" s="101" t="s">
        <v>170</v>
      </c>
      <c r="Z3648" s="101" t="s">
        <v>171</v>
      </c>
      <c r="AA3648" s="101" t="s">
        <v>50</v>
      </c>
      <c r="AB3648" s="101" t="s">
        <v>172</v>
      </c>
      <c r="AC3648" s="102" t="s">
        <v>173</v>
      </c>
    </row>
    <row r="3649" spans="1:29" ht="25.5" customHeight="1" x14ac:dyDescent="0.35">
      <c r="A3649" s="392"/>
      <c r="B3649" s="393"/>
      <c r="C3649" s="99" t="str">
        <f>IF(B3649="","",IF(NOT(ISNUMBER(B3649)),"DATA_PC invalida",IF(NOT(ISNUMBER(parametros!$C$2)),"Fora dos ciclos",IF(OR(B3649&lt;parametros!$C$2,(YEAR(B3649)-YEAR(parametros!$C$2))*12+MONTH(B3649)-MONTH(parametros!$C$2)&gt;59),"Fora dos ciclos","C"&amp;INT(((YEAR(B3649)-YEAR(parametros!$C$2))*12+MONTH(B3649)-MONTH(parametros!$C$2))/12)))))</f>
        <v/>
      </c>
      <c r="D3649" s="394"/>
      <c r="E3649" s="78" t="str">
        <f>IF(C3649="","",IFERROR(VLOOKUP(C3649,parametros!$A$11:$E$15,5,0),""))</f>
        <v/>
      </c>
      <c r="F3649" s="79" t="str">
        <f t="shared" si="282"/>
        <v/>
      </c>
      <c r="G3649" s="395"/>
      <c r="H3649" s="91">
        <f t="shared" si="283"/>
        <v>0</v>
      </c>
      <c r="I3649" s="91" t="str">
        <f t="shared" si="284"/>
        <v/>
      </c>
      <c r="J3649" s="91" t="str">
        <f t="shared" si="285"/>
        <v/>
      </c>
      <c r="K3649" s="92" t="str">
        <f>IF(AND(A3649="",B3649="",D3649="",G3649=""),"",IF(AND(A3649&lt;&gt;"",COUNTIF($A$2:$A$5001,A3649)&gt;1),"NUMERO_PC duplicado",IF(B3649="","DATA_PC vazia",IF(NOT(ISNUMBER(B3649)),"DATA_PC invalida",IF(OR(C3649="",C3649="Fora dos ciclos"),"CICLO_PC nao identificado",IF(OR(D3649="",D3649=0),"VALOR_PC vazio ou zero",IF(AND(G3649&lt;&gt;"Sim",G3649&lt;&gt;"Nao",G3649&lt;&gt;""),"PC_PAGO_A_CONTRATADA invalido",IF(AND(C3649&lt;&gt;"C0",IFERROR(INDEX(parametros!$A$2:$A$6,MATCH(C3649,parametros!$B$2:$B$6,0)),"")="Sim",IFERROR(INDEX(parametros!$H$2:$H$6,MATCH(C3649,parametros!$B$2:$B$6,0)),"")=""),"INICIO_EFEITO ausente: PC "&amp;A3649&amp;" - "&amp;C3649,IF(L3649="","EFEITO_PC nao calculado: PC "&amp;A3649&amp;" - "&amp;C3649,"OK")))))))))</f>
        <v/>
      </c>
      <c r="L3649" s="92" t="str">
        <f>IF(AND(A3649="",B3649="",D3649="",G3649=""),"",IF(OR(B3649="",NOT(ISNUMBER(B3649)),C3649="",C3649="Fora dos ciclos"),"",IF(C3649="C0","Nao",IF(IFERROR(INDEX(parametros!$A$2:$A$6,MATCH(C3649,parametros!$B$2:$B$6,0)),"")&lt;&gt;"Sim","Nao",IF(IFERROR(INDEX(parametros!$H$2:$H$6,MATCH(C3649,parametros!$B$2:$B$6,0)),"")="","",IF(B3649&gt;=IFERROR(INDEX(parametros!$H$2:$H$6,MATCH(C3649,parametros!$B$2:$B$6,0)),""),"Sim","Nao"))))))</f>
        <v/>
      </c>
      <c r="T3649" s="156"/>
      <c r="U3649" s="214" t="str">
        <f t="shared" si="286"/>
        <v/>
      </c>
      <c r="V3649" s="212" t="s">
        <v>50</v>
      </c>
      <c r="W3649" s="100" t="s">
        <v>168</v>
      </c>
      <c r="X3649" s="100" t="s">
        <v>169</v>
      </c>
      <c r="Y3649" s="101" t="s">
        <v>170</v>
      </c>
      <c r="Z3649" s="101" t="s">
        <v>171</v>
      </c>
      <c r="AA3649" s="101" t="s">
        <v>50</v>
      </c>
      <c r="AB3649" s="101" t="s">
        <v>172</v>
      </c>
      <c r="AC3649" s="102" t="s">
        <v>173</v>
      </c>
    </row>
    <row r="3650" spans="1:29" ht="25.5" customHeight="1" x14ac:dyDescent="0.35">
      <c r="A3650" s="392"/>
      <c r="B3650" s="393"/>
      <c r="C3650" s="99" t="str">
        <f>IF(B3650="","",IF(NOT(ISNUMBER(B3650)),"DATA_PC invalida",IF(NOT(ISNUMBER(parametros!$C$2)),"Fora dos ciclos",IF(OR(B3650&lt;parametros!$C$2,(YEAR(B3650)-YEAR(parametros!$C$2))*12+MONTH(B3650)-MONTH(parametros!$C$2)&gt;59),"Fora dos ciclos","C"&amp;INT(((YEAR(B3650)-YEAR(parametros!$C$2))*12+MONTH(B3650)-MONTH(parametros!$C$2))/12)))))</f>
        <v/>
      </c>
      <c r="D3650" s="394"/>
      <c r="E3650" s="78" t="str">
        <f>IF(C3650="","",IFERROR(VLOOKUP(C3650,parametros!$A$11:$E$15,5,0),""))</f>
        <v/>
      </c>
      <c r="F3650" s="79" t="str">
        <f t="shared" ref="F3650:F3713" si="287">IF(OR(D3650="",E3650=""),"",ROUND(D3650*E3650,2))</f>
        <v/>
      </c>
      <c r="G3650" s="395"/>
      <c r="H3650" s="91">
        <f t="shared" ref="H3650:H3713" si="288">IF(G3650="Sim",IF(OR(F3650="",D3650="",L3650=""),"",IF(L3650="Sim",ROUND(F3650-D3650,2),0)),0)</f>
        <v>0</v>
      </c>
      <c r="I3650" s="91" t="str">
        <f t="shared" ref="I3650:I3713" si="289">IF(G3650="Sim",0,IF(OR(F3650="",L3650=""),"",F3650))</f>
        <v/>
      </c>
      <c r="J3650" s="91" t="str">
        <f t="shared" ref="J3650:J3713" si="290">IF(G3650="Sim",0,IF(OR(F3650="",D3650="",L3650=""),"",IF(L3650="Sim",ROUND(F3650-D3650,2),0)))</f>
        <v/>
      </c>
      <c r="K3650" s="92" t="str">
        <f>IF(AND(A3650="",B3650="",D3650="",G3650=""),"",IF(AND(A3650&lt;&gt;"",COUNTIF($A$2:$A$5001,A3650)&gt;1),"NUMERO_PC duplicado",IF(B3650="","DATA_PC vazia",IF(NOT(ISNUMBER(B3650)),"DATA_PC invalida",IF(OR(C3650="",C3650="Fora dos ciclos"),"CICLO_PC nao identificado",IF(OR(D3650="",D3650=0),"VALOR_PC vazio ou zero",IF(AND(G3650&lt;&gt;"Sim",G3650&lt;&gt;"Nao",G3650&lt;&gt;""),"PC_PAGO_A_CONTRATADA invalido",IF(AND(C3650&lt;&gt;"C0",IFERROR(INDEX(parametros!$A$2:$A$6,MATCH(C3650,parametros!$B$2:$B$6,0)),"")="Sim",IFERROR(INDEX(parametros!$H$2:$H$6,MATCH(C3650,parametros!$B$2:$B$6,0)),"")=""),"INICIO_EFEITO ausente: PC "&amp;A3650&amp;" - "&amp;C3650,IF(L3650="","EFEITO_PC nao calculado: PC "&amp;A3650&amp;" - "&amp;C3650,"OK")))))))))</f>
        <v/>
      </c>
      <c r="L3650" s="92" t="str">
        <f>IF(AND(A3650="",B3650="",D3650="",G3650=""),"",IF(OR(B3650="",NOT(ISNUMBER(B3650)),C3650="",C3650="Fora dos ciclos"),"",IF(C3650="C0","Nao",IF(IFERROR(INDEX(parametros!$A$2:$A$6,MATCH(C3650,parametros!$B$2:$B$6,0)),"")&lt;&gt;"Sim","Nao",IF(IFERROR(INDEX(parametros!$H$2:$H$6,MATCH(C3650,parametros!$B$2:$B$6,0)),"")="","",IF(B3650&gt;=IFERROR(INDEX(parametros!$H$2:$H$6,MATCH(C3650,parametros!$B$2:$B$6,0)),""),"Sim","Nao"))))))</f>
        <v/>
      </c>
      <c r="T3650" s="156"/>
      <c r="U3650" s="214" t="str">
        <f t="shared" ref="U3650:U3713" si="291">IF(OR($D3650="",$H3650=""),"",ROUND($D3650+$H3650,2))</f>
        <v/>
      </c>
      <c r="V3650" s="212" t="s">
        <v>50</v>
      </c>
      <c r="W3650" s="100" t="s">
        <v>168</v>
      </c>
      <c r="X3650" s="100" t="s">
        <v>169</v>
      </c>
      <c r="Y3650" s="101" t="s">
        <v>170</v>
      </c>
      <c r="Z3650" s="101" t="s">
        <v>171</v>
      </c>
      <c r="AA3650" s="101" t="s">
        <v>50</v>
      </c>
      <c r="AB3650" s="101" t="s">
        <v>172</v>
      </c>
      <c r="AC3650" s="102" t="s">
        <v>173</v>
      </c>
    </row>
    <row r="3651" spans="1:29" ht="25.5" customHeight="1" x14ac:dyDescent="0.35">
      <c r="A3651" s="392"/>
      <c r="B3651" s="393"/>
      <c r="C3651" s="99" t="str">
        <f>IF(B3651="","",IF(NOT(ISNUMBER(B3651)),"DATA_PC invalida",IF(NOT(ISNUMBER(parametros!$C$2)),"Fora dos ciclos",IF(OR(B3651&lt;parametros!$C$2,(YEAR(B3651)-YEAR(parametros!$C$2))*12+MONTH(B3651)-MONTH(parametros!$C$2)&gt;59),"Fora dos ciclos","C"&amp;INT(((YEAR(B3651)-YEAR(parametros!$C$2))*12+MONTH(B3651)-MONTH(parametros!$C$2))/12)))))</f>
        <v/>
      </c>
      <c r="D3651" s="394"/>
      <c r="E3651" s="78" t="str">
        <f>IF(C3651="","",IFERROR(VLOOKUP(C3651,parametros!$A$11:$E$15,5,0),""))</f>
        <v/>
      </c>
      <c r="F3651" s="79" t="str">
        <f t="shared" si="287"/>
        <v/>
      </c>
      <c r="G3651" s="395"/>
      <c r="H3651" s="91">
        <f t="shared" si="288"/>
        <v>0</v>
      </c>
      <c r="I3651" s="91" t="str">
        <f t="shared" si="289"/>
        <v/>
      </c>
      <c r="J3651" s="91" t="str">
        <f t="shared" si="290"/>
        <v/>
      </c>
      <c r="K3651" s="92" t="str">
        <f>IF(AND(A3651="",B3651="",D3651="",G3651=""),"",IF(AND(A3651&lt;&gt;"",COUNTIF($A$2:$A$5001,A3651)&gt;1),"NUMERO_PC duplicado",IF(B3651="","DATA_PC vazia",IF(NOT(ISNUMBER(B3651)),"DATA_PC invalida",IF(OR(C3651="",C3651="Fora dos ciclos"),"CICLO_PC nao identificado",IF(OR(D3651="",D3651=0),"VALOR_PC vazio ou zero",IF(AND(G3651&lt;&gt;"Sim",G3651&lt;&gt;"Nao",G3651&lt;&gt;""),"PC_PAGO_A_CONTRATADA invalido",IF(AND(C3651&lt;&gt;"C0",IFERROR(INDEX(parametros!$A$2:$A$6,MATCH(C3651,parametros!$B$2:$B$6,0)),"")="Sim",IFERROR(INDEX(parametros!$H$2:$H$6,MATCH(C3651,parametros!$B$2:$B$6,0)),"")=""),"INICIO_EFEITO ausente: PC "&amp;A3651&amp;" - "&amp;C3651,IF(L3651="","EFEITO_PC nao calculado: PC "&amp;A3651&amp;" - "&amp;C3651,"OK")))))))))</f>
        <v/>
      </c>
      <c r="L3651" s="92" t="str">
        <f>IF(AND(A3651="",B3651="",D3651="",G3651=""),"",IF(OR(B3651="",NOT(ISNUMBER(B3651)),C3651="",C3651="Fora dos ciclos"),"",IF(C3651="C0","Nao",IF(IFERROR(INDEX(parametros!$A$2:$A$6,MATCH(C3651,parametros!$B$2:$B$6,0)),"")&lt;&gt;"Sim","Nao",IF(IFERROR(INDEX(parametros!$H$2:$H$6,MATCH(C3651,parametros!$B$2:$B$6,0)),"")="","",IF(B3651&gt;=IFERROR(INDEX(parametros!$H$2:$H$6,MATCH(C3651,parametros!$B$2:$B$6,0)),""),"Sim","Nao"))))))</f>
        <v/>
      </c>
      <c r="T3651" s="156"/>
      <c r="U3651" s="214" t="str">
        <f t="shared" si="291"/>
        <v/>
      </c>
      <c r="V3651" s="212" t="s">
        <v>50</v>
      </c>
      <c r="W3651" s="100" t="s">
        <v>168</v>
      </c>
      <c r="X3651" s="100" t="s">
        <v>169</v>
      </c>
      <c r="Y3651" s="101" t="s">
        <v>170</v>
      </c>
      <c r="Z3651" s="101" t="s">
        <v>171</v>
      </c>
      <c r="AA3651" s="101" t="s">
        <v>50</v>
      </c>
      <c r="AB3651" s="101" t="s">
        <v>172</v>
      </c>
      <c r="AC3651" s="102" t="s">
        <v>173</v>
      </c>
    </row>
    <row r="3652" spans="1:29" ht="25.5" customHeight="1" x14ac:dyDescent="0.35">
      <c r="A3652" s="392"/>
      <c r="B3652" s="393"/>
      <c r="C3652" s="99" t="str">
        <f>IF(B3652="","",IF(NOT(ISNUMBER(B3652)),"DATA_PC invalida",IF(NOT(ISNUMBER(parametros!$C$2)),"Fora dos ciclos",IF(OR(B3652&lt;parametros!$C$2,(YEAR(B3652)-YEAR(parametros!$C$2))*12+MONTH(B3652)-MONTH(parametros!$C$2)&gt;59),"Fora dos ciclos","C"&amp;INT(((YEAR(B3652)-YEAR(parametros!$C$2))*12+MONTH(B3652)-MONTH(parametros!$C$2))/12)))))</f>
        <v/>
      </c>
      <c r="D3652" s="394"/>
      <c r="E3652" s="78" t="str">
        <f>IF(C3652="","",IFERROR(VLOOKUP(C3652,parametros!$A$11:$E$15,5,0),""))</f>
        <v/>
      </c>
      <c r="F3652" s="79" t="str">
        <f t="shared" si="287"/>
        <v/>
      </c>
      <c r="G3652" s="395"/>
      <c r="H3652" s="91">
        <f t="shared" si="288"/>
        <v>0</v>
      </c>
      <c r="I3652" s="91" t="str">
        <f t="shared" si="289"/>
        <v/>
      </c>
      <c r="J3652" s="91" t="str">
        <f t="shared" si="290"/>
        <v/>
      </c>
      <c r="K3652" s="92" t="str">
        <f>IF(AND(A3652="",B3652="",D3652="",G3652=""),"",IF(AND(A3652&lt;&gt;"",COUNTIF($A$2:$A$5001,A3652)&gt;1),"NUMERO_PC duplicado",IF(B3652="","DATA_PC vazia",IF(NOT(ISNUMBER(B3652)),"DATA_PC invalida",IF(OR(C3652="",C3652="Fora dos ciclos"),"CICLO_PC nao identificado",IF(OR(D3652="",D3652=0),"VALOR_PC vazio ou zero",IF(AND(G3652&lt;&gt;"Sim",G3652&lt;&gt;"Nao",G3652&lt;&gt;""),"PC_PAGO_A_CONTRATADA invalido",IF(AND(C3652&lt;&gt;"C0",IFERROR(INDEX(parametros!$A$2:$A$6,MATCH(C3652,parametros!$B$2:$B$6,0)),"")="Sim",IFERROR(INDEX(parametros!$H$2:$H$6,MATCH(C3652,parametros!$B$2:$B$6,0)),"")=""),"INICIO_EFEITO ausente: PC "&amp;A3652&amp;" - "&amp;C3652,IF(L3652="","EFEITO_PC nao calculado: PC "&amp;A3652&amp;" - "&amp;C3652,"OK")))))))))</f>
        <v/>
      </c>
      <c r="L3652" s="92" t="str">
        <f>IF(AND(A3652="",B3652="",D3652="",G3652=""),"",IF(OR(B3652="",NOT(ISNUMBER(B3652)),C3652="",C3652="Fora dos ciclos"),"",IF(C3652="C0","Nao",IF(IFERROR(INDEX(parametros!$A$2:$A$6,MATCH(C3652,parametros!$B$2:$B$6,0)),"")&lt;&gt;"Sim","Nao",IF(IFERROR(INDEX(parametros!$H$2:$H$6,MATCH(C3652,parametros!$B$2:$B$6,0)),"")="","",IF(B3652&gt;=IFERROR(INDEX(parametros!$H$2:$H$6,MATCH(C3652,parametros!$B$2:$B$6,0)),""),"Sim","Nao"))))))</f>
        <v/>
      </c>
      <c r="T3652" s="156"/>
      <c r="U3652" s="214" t="str">
        <f t="shared" si="291"/>
        <v/>
      </c>
      <c r="V3652" s="212" t="s">
        <v>50</v>
      </c>
      <c r="W3652" s="100" t="s">
        <v>168</v>
      </c>
      <c r="X3652" s="100" t="s">
        <v>169</v>
      </c>
      <c r="Y3652" s="101" t="s">
        <v>170</v>
      </c>
      <c r="Z3652" s="101" t="s">
        <v>171</v>
      </c>
      <c r="AA3652" s="101" t="s">
        <v>50</v>
      </c>
      <c r="AB3652" s="101" t="s">
        <v>172</v>
      </c>
      <c r="AC3652" s="102" t="s">
        <v>173</v>
      </c>
    </row>
    <row r="3653" spans="1:29" ht="25.5" customHeight="1" x14ac:dyDescent="0.35">
      <c r="A3653" s="392"/>
      <c r="B3653" s="393"/>
      <c r="C3653" s="99" t="str">
        <f>IF(B3653="","",IF(NOT(ISNUMBER(B3653)),"DATA_PC invalida",IF(NOT(ISNUMBER(parametros!$C$2)),"Fora dos ciclos",IF(OR(B3653&lt;parametros!$C$2,(YEAR(B3653)-YEAR(parametros!$C$2))*12+MONTH(B3653)-MONTH(parametros!$C$2)&gt;59),"Fora dos ciclos","C"&amp;INT(((YEAR(B3653)-YEAR(parametros!$C$2))*12+MONTH(B3653)-MONTH(parametros!$C$2))/12)))))</f>
        <v/>
      </c>
      <c r="D3653" s="394"/>
      <c r="E3653" s="78" t="str">
        <f>IF(C3653="","",IFERROR(VLOOKUP(C3653,parametros!$A$11:$E$15,5,0),""))</f>
        <v/>
      </c>
      <c r="F3653" s="79" t="str">
        <f t="shared" si="287"/>
        <v/>
      </c>
      <c r="G3653" s="395"/>
      <c r="H3653" s="91">
        <f t="shared" si="288"/>
        <v>0</v>
      </c>
      <c r="I3653" s="91" t="str">
        <f t="shared" si="289"/>
        <v/>
      </c>
      <c r="J3653" s="91" t="str">
        <f t="shared" si="290"/>
        <v/>
      </c>
      <c r="K3653" s="92" t="str">
        <f>IF(AND(A3653="",B3653="",D3653="",G3653=""),"",IF(AND(A3653&lt;&gt;"",COUNTIF($A$2:$A$5001,A3653)&gt;1),"NUMERO_PC duplicado",IF(B3653="","DATA_PC vazia",IF(NOT(ISNUMBER(B3653)),"DATA_PC invalida",IF(OR(C3653="",C3653="Fora dos ciclos"),"CICLO_PC nao identificado",IF(OR(D3653="",D3653=0),"VALOR_PC vazio ou zero",IF(AND(G3653&lt;&gt;"Sim",G3653&lt;&gt;"Nao",G3653&lt;&gt;""),"PC_PAGO_A_CONTRATADA invalido",IF(AND(C3653&lt;&gt;"C0",IFERROR(INDEX(parametros!$A$2:$A$6,MATCH(C3653,parametros!$B$2:$B$6,0)),"")="Sim",IFERROR(INDEX(parametros!$H$2:$H$6,MATCH(C3653,parametros!$B$2:$B$6,0)),"")=""),"INICIO_EFEITO ausente: PC "&amp;A3653&amp;" - "&amp;C3653,IF(L3653="","EFEITO_PC nao calculado: PC "&amp;A3653&amp;" - "&amp;C3653,"OK")))))))))</f>
        <v/>
      </c>
      <c r="L3653" s="92" t="str">
        <f>IF(AND(A3653="",B3653="",D3653="",G3653=""),"",IF(OR(B3653="",NOT(ISNUMBER(B3653)),C3653="",C3653="Fora dos ciclos"),"",IF(C3653="C0","Nao",IF(IFERROR(INDEX(parametros!$A$2:$A$6,MATCH(C3653,parametros!$B$2:$B$6,0)),"")&lt;&gt;"Sim","Nao",IF(IFERROR(INDEX(parametros!$H$2:$H$6,MATCH(C3653,parametros!$B$2:$B$6,0)),"")="","",IF(B3653&gt;=IFERROR(INDEX(parametros!$H$2:$H$6,MATCH(C3653,parametros!$B$2:$B$6,0)),""),"Sim","Nao"))))))</f>
        <v/>
      </c>
      <c r="T3653" s="156"/>
      <c r="U3653" s="214" t="str">
        <f t="shared" si="291"/>
        <v/>
      </c>
      <c r="V3653" s="212" t="s">
        <v>50</v>
      </c>
      <c r="W3653" s="100" t="s">
        <v>168</v>
      </c>
      <c r="X3653" s="100" t="s">
        <v>169</v>
      </c>
      <c r="Y3653" s="101" t="s">
        <v>170</v>
      </c>
      <c r="Z3653" s="101" t="s">
        <v>171</v>
      </c>
      <c r="AA3653" s="101" t="s">
        <v>50</v>
      </c>
      <c r="AB3653" s="101" t="s">
        <v>172</v>
      </c>
      <c r="AC3653" s="102" t="s">
        <v>173</v>
      </c>
    </row>
    <row r="3654" spans="1:29" ht="25.5" customHeight="1" x14ac:dyDescent="0.35">
      <c r="A3654" s="392"/>
      <c r="B3654" s="393"/>
      <c r="C3654" s="99" t="str">
        <f>IF(B3654="","",IF(NOT(ISNUMBER(B3654)),"DATA_PC invalida",IF(NOT(ISNUMBER(parametros!$C$2)),"Fora dos ciclos",IF(OR(B3654&lt;parametros!$C$2,(YEAR(B3654)-YEAR(parametros!$C$2))*12+MONTH(B3654)-MONTH(parametros!$C$2)&gt;59),"Fora dos ciclos","C"&amp;INT(((YEAR(B3654)-YEAR(parametros!$C$2))*12+MONTH(B3654)-MONTH(parametros!$C$2))/12)))))</f>
        <v/>
      </c>
      <c r="D3654" s="394"/>
      <c r="E3654" s="78" t="str">
        <f>IF(C3654="","",IFERROR(VLOOKUP(C3654,parametros!$A$11:$E$15,5,0),""))</f>
        <v/>
      </c>
      <c r="F3654" s="79" t="str">
        <f t="shared" si="287"/>
        <v/>
      </c>
      <c r="G3654" s="395"/>
      <c r="H3654" s="91">
        <f t="shared" si="288"/>
        <v>0</v>
      </c>
      <c r="I3654" s="91" t="str">
        <f t="shared" si="289"/>
        <v/>
      </c>
      <c r="J3654" s="91" t="str">
        <f t="shared" si="290"/>
        <v/>
      </c>
      <c r="K3654" s="92" t="str">
        <f>IF(AND(A3654="",B3654="",D3654="",G3654=""),"",IF(AND(A3654&lt;&gt;"",COUNTIF($A$2:$A$5001,A3654)&gt;1),"NUMERO_PC duplicado",IF(B3654="","DATA_PC vazia",IF(NOT(ISNUMBER(B3654)),"DATA_PC invalida",IF(OR(C3654="",C3654="Fora dos ciclos"),"CICLO_PC nao identificado",IF(OR(D3654="",D3654=0),"VALOR_PC vazio ou zero",IF(AND(G3654&lt;&gt;"Sim",G3654&lt;&gt;"Nao",G3654&lt;&gt;""),"PC_PAGO_A_CONTRATADA invalido",IF(AND(C3654&lt;&gt;"C0",IFERROR(INDEX(parametros!$A$2:$A$6,MATCH(C3654,parametros!$B$2:$B$6,0)),"")="Sim",IFERROR(INDEX(parametros!$H$2:$H$6,MATCH(C3654,parametros!$B$2:$B$6,0)),"")=""),"INICIO_EFEITO ausente: PC "&amp;A3654&amp;" - "&amp;C3654,IF(L3654="","EFEITO_PC nao calculado: PC "&amp;A3654&amp;" - "&amp;C3654,"OK")))))))))</f>
        <v/>
      </c>
      <c r="L3654" s="92" t="str">
        <f>IF(AND(A3654="",B3654="",D3654="",G3654=""),"",IF(OR(B3654="",NOT(ISNUMBER(B3654)),C3654="",C3654="Fora dos ciclos"),"",IF(C3654="C0","Nao",IF(IFERROR(INDEX(parametros!$A$2:$A$6,MATCH(C3654,parametros!$B$2:$B$6,0)),"")&lt;&gt;"Sim","Nao",IF(IFERROR(INDEX(parametros!$H$2:$H$6,MATCH(C3654,parametros!$B$2:$B$6,0)),"")="","",IF(B3654&gt;=IFERROR(INDEX(parametros!$H$2:$H$6,MATCH(C3654,parametros!$B$2:$B$6,0)),""),"Sim","Nao"))))))</f>
        <v/>
      </c>
      <c r="T3654" s="156"/>
      <c r="U3654" s="214" t="str">
        <f t="shared" si="291"/>
        <v/>
      </c>
      <c r="V3654" s="212" t="s">
        <v>50</v>
      </c>
      <c r="W3654" s="100" t="s">
        <v>168</v>
      </c>
      <c r="X3654" s="100" t="s">
        <v>169</v>
      </c>
      <c r="Y3654" s="101" t="s">
        <v>170</v>
      </c>
      <c r="Z3654" s="101" t="s">
        <v>171</v>
      </c>
      <c r="AA3654" s="101" t="s">
        <v>50</v>
      </c>
      <c r="AB3654" s="101" t="s">
        <v>172</v>
      </c>
      <c r="AC3654" s="102" t="s">
        <v>173</v>
      </c>
    </row>
    <row r="3655" spans="1:29" ht="25.5" customHeight="1" x14ac:dyDescent="0.35">
      <c r="A3655" s="392"/>
      <c r="B3655" s="393"/>
      <c r="C3655" s="99" t="str">
        <f>IF(B3655="","",IF(NOT(ISNUMBER(B3655)),"DATA_PC invalida",IF(NOT(ISNUMBER(parametros!$C$2)),"Fora dos ciclos",IF(OR(B3655&lt;parametros!$C$2,(YEAR(B3655)-YEAR(parametros!$C$2))*12+MONTH(B3655)-MONTH(parametros!$C$2)&gt;59),"Fora dos ciclos","C"&amp;INT(((YEAR(B3655)-YEAR(parametros!$C$2))*12+MONTH(B3655)-MONTH(parametros!$C$2))/12)))))</f>
        <v/>
      </c>
      <c r="D3655" s="394"/>
      <c r="E3655" s="78" t="str">
        <f>IF(C3655="","",IFERROR(VLOOKUP(C3655,parametros!$A$11:$E$15,5,0),""))</f>
        <v/>
      </c>
      <c r="F3655" s="79" t="str">
        <f t="shared" si="287"/>
        <v/>
      </c>
      <c r="G3655" s="395"/>
      <c r="H3655" s="91">
        <f t="shared" si="288"/>
        <v>0</v>
      </c>
      <c r="I3655" s="91" t="str">
        <f t="shared" si="289"/>
        <v/>
      </c>
      <c r="J3655" s="91" t="str">
        <f t="shared" si="290"/>
        <v/>
      </c>
      <c r="K3655" s="92" t="str">
        <f>IF(AND(A3655="",B3655="",D3655="",G3655=""),"",IF(AND(A3655&lt;&gt;"",COUNTIF($A$2:$A$5001,A3655)&gt;1),"NUMERO_PC duplicado",IF(B3655="","DATA_PC vazia",IF(NOT(ISNUMBER(B3655)),"DATA_PC invalida",IF(OR(C3655="",C3655="Fora dos ciclos"),"CICLO_PC nao identificado",IF(OR(D3655="",D3655=0),"VALOR_PC vazio ou zero",IF(AND(G3655&lt;&gt;"Sim",G3655&lt;&gt;"Nao",G3655&lt;&gt;""),"PC_PAGO_A_CONTRATADA invalido",IF(AND(C3655&lt;&gt;"C0",IFERROR(INDEX(parametros!$A$2:$A$6,MATCH(C3655,parametros!$B$2:$B$6,0)),"")="Sim",IFERROR(INDEX(parametros!$H$2:$H$6,MATCH(C3655,parametros!$B$2:$B$6,0)),"")=""),"INICIO_EFEITO ausente: PC "&amp;A3655&amp;" - "&amp;C3655,IF(L3655="","EFEITO_PC nao calculado: PC "&amp;A3655&amp;" - "&amp;C3655,"OK")))))))))</f>
        <v/>
      </c>
      <c r="L3655" s="92" t="str">
        <f>IF(AND(A3655="",B3655="",D3655="",G3655=""),"",IF(OR(B3655="",NOT(ISNUMBER(B3655)),C3655="",C3655="Fora dos ciclos"),"",IF(C3655="C0","Nao",IF(IFERROR(INDEX(parametros!$A$2:$A$6,MATCH(C3655,parametros!$B$2:$B$6,0)),"")&lt;&gt;"Sim","Nao",IF(IFERROR(INDEX(parametros!$H$2:$H$6,MATCH(C3655,parametros!$B$2:$B$6,0)),"")="","",IF(B3655&gt;=IFERROR(INDEX(parametros!$H$2:$H$6,MATCH(C3655,parametros!$B$2:$B$6,0)),""),"Sim","Nao"))))))</f>
        <v/>
      </c>
      <c r="T3655" s="156"/>
      <c r="U3655" s="214" t="str">
        <f t="shared" si="291"/>
        <v/>
      </c>
      <c r="V3655" s="212" t="s">
        <v>50</v>
      </c>
      <c r="W3655" s="100" t="s">
        <v>168</v>
      </c>
      <c r="X3655" s="100" t="s">
        <v>169</v>
      </c>
      <c r="Y3655" s="101" t="s">
        <v>170</v>
      </c>
      <c r="Z3655" s="101" t="s">
        <v>171</v>
      </c>
      <c r="AA3655" s="101" t="s">
        <v>50</v>
      </c>
      <c r="AB3655" s="101" t="s">
        <v>172</v>
      </c>
      <c r="AC3655" s="102" t="s">
        <v>173</v>
      </c>
    </row>
    <row r="3656" spans="1:29" ht="25.5" customHeight="1" x14ac:dyDescent="0.35">
      <c r="A3656" s="392"/>
      <c r="B3656" s="393"/>
      <c r="C3656" s="99" t="str">
        <f>IF(B3656="","",IF(NOT(ISNUMBER(B3656)),"DATA_PC invalida",IF(NOT(ISNUMBER(parametros!$C$2)),"Fora dos ciclos",IF(OR(B3656&lt;parametros!$C$2,(YEAR(B3656)-YEAR(parametros!$C$2))*12+MONTH(B3656)-MONTH(parametros!$C$2)&gt;59),"Fora dos ciclos","C"&amp;INT(((YEAR(B3656)-YEAR(parametros!$C$2))*12+MONTH(B3656)-MONTH(parametros!$C$2))/12)))))</f>
        <v/>
      </c>
      <c r="D3656" s="394"/>
      <c r="E3656" s="78" t="str">
        <f>IF(C3656="","",IFERROR(VLOOKUP(C3656,parametros!$A$11:$E$15,5,0),""))</f>
        <v/>
      </c>
      <c r="F3656" s="79" t="str">
        <f t="shared" si="287"/>
        <v/>
      </c>
      <c r="G3656" s="395"/>
      <c r="H3656" s="91">
        <f t="shared" si="288"/>
        <v>0</v>
      </c>
      <c r="I3656" s="91" t="str">
        <f t="shared" si="289"/>
        <v/>
      </c>
      <c r="J3656" s="91" t="str">
        <f t="shared" si="290"/>
        <v/>
      </c>
      <c r="K3656" s="92" t="str">
        <f>IF(AND(A3656="",B3656="",D3656="",G3656=""),"",IF(AND(A3656&lt;&gt;"",COUNTIF($A$2:$A$5001,A3656)&gt;1),"NUMERO_PC duplicado",IF(B3656="","DATA_PC vazia",IF(NOT(ISNUMBER(B3656)),"DATA_PC invalida",IF(OR(C3656="",C3656="Fora dos ciclos"),"CICLO_PC nao identificado",IF(OR(D3656="",D3656=0),"VALOR_PC vazio ou zero",IF(AND(G3656&lt;&gt;"Sim",G3656&lt;&gt;"Nao",G3656&lt;&gt;""),"PC_PAGO_A_CONTRATADA invalido",IF(AND(C3656&lt;&gt;"C0",IFERROR(INDEX(parametros!$A$2:$A$6,MATCH(C3656,parametros!$B$2:$B$6,0)),"")="Sim",IFERROR(INDEX(parametros!$H$2:$H$6,MATCH(C3656,parametros!$B$2:$B$6,0)),"")=""),"INICIO_EFEITO ausente: PC "&amp;A3656&amp;" - "&amp;C3656,IF(L3656="","EFEITO_PC nao calculado: PC "&amp;A3656&amp;" - "&amp;C3656,"OK")))))))))</f>
        <v/>
      </c>
      <c r="L3656" s="92" t="str">
        <f>IF(AND(A3656="",B3656="",D3656="",G3656=""),"",IF(OR(B3656="",NOT(ISNUMBER(B3656)),C3656="",C3656="Fora dos ciclos"),"",IF(C3656="C0","Nao",IF(IFERROR(INDEX(parametros!$A$2:$A$6,MATCH(C3656,parametros!$B$2:$B$6,0)),"")&lt;&gt;"Sim","Nao",IF(IFERROR(INDEX(parametros!$H$2:$H$6,MATCH(C3656,parametros!$B$2:$B$6,0)),"")="","",IF(B3656&gt;=IFERROR(INDEX(parametros!$H$2:$H$6,MATCH(C3656,parametros!$B$2:$B$6,0)),""),"Sim","Nao"))))))</f>
        <v/>
      </c>
      <c r="T3656" s="156"/>
      <c r="U3656" s="214" t="str">
        <f t="shared" si="291"/>
        <v/>
      </c>
      <c r="V3656" s="212" t="s">
        <v>50</v>
      </c>
      <c r="W3656" s="100" t="s">
        <v>168</v>
      </c>
      <c r="X3656" s="100" t="s">
        <v>169</v>
      </c>
      <c r="Y3656" s="101" t="s">
        <v>170</v>
      </c>
      <c r="Z3656" s="101" t="s">
        <v>171</v>
      </c>
      <c r="AA3656" s="101" t="s">
        <v>50</v>
      </c>
      <c r="AB3656" s="101" t="s">
        <v>172</v>
      </c>
      <c r="AC3656" s="102" t="s">
        <v>173</v>
      </c>
    </row>
    <row r="3657" spans="1:29" ht="25.5" customHeight="1" x14ac:dyDescent="0.35">
      <c r="A3657" s="392"/>
      <c r="B3657" s="393"/>
      <c r="C3657" s="99" t="str">
        <f>IF(B3657="","",IF(NOT(ISNUMBER(B3657)),"DATA_PC invalida",IF(NOT(ISNUMBER(parametros!$C$2)),"Fora dos ciclos",IF(OR(B3657&lt;parametros!$C$2,(YEAR(B3657)-YEAR(parametros!$C$2))*12+MONTH(B3657)-MONTH(parametros!$C$2)&gt;59),"Fora dos ciclos","C"&amp;INT(((YEAR(B3657)-YEAR(parametros!$C$2))*12+MONTH(B3657)-MONTH(parametros!$C$2))/12)))))</f>
        <v/>
      </c>
      <c r="D3657" s="394"/>
      <c r="E3657" s="78" t="str">
        <f>IF(C3657="","",IFERROR(VLOOKUP(C3657,parametros!$A$11:$E$15,5,0),""))</f>
        <v/>
      </c>
      <c r="F3657" s="79" t="str">
        <f t="shared" si="287"/>
        <v/>
      </c>
      <c r="G3657" s="395"/>
      <c r="H3657" s="91">
        <f t="shared" si="288"/>
        <v>0</v>
      </c>
      <c r="I3657" s="91" t="str">
        <f t="shared" si="289"/>
        <v/>
      </c>
      <c r="J3657" s="91" t="str">
        <f t="shared" si="290"/>
        <v/>
      </c>
      <c r="K3657" s="92" t="str">
        <f>IF(AND(A3657="",B3657="",D3657="",G3657=""),"",IF(AND(A3657&lt;&gt;"",COUNTIF($A$2:$A$5001,A3657)&gt;1),"NUMERO_PC duplicado",IF(B3657="","DATA_PC vazia",IF(NOT(ISNUMBER(B3657)),"DATA_PC invalida",IF(OR(C3657="",C3657="Fora dos ciclos"),"CICLO_PC nao identificado",IF(OR(D3657="",D3657=0),"VALOR_PC vazio ou zero",IF(AND(G3657&lt;&gt;"Sim",G3657&lt;&gt;"Nao",G3657&lt;&gt;""),"PC_PAGO_A_CONTRATADA invalido",IF(AND(C3657&lt;&gt;"C0",IFERROR(INDEX(parametros!$A$2:$A$6,MATCH(C3657,parametros!$B$2:$B$6,0)),"")="Sim",IFERROR(INDEX(parametros!$H$2:$H$6,MATCH(C3657,parametros!$B$2:$B$6,0)),"")=""),"INICIO_EFEITO ausente: PC "&amp;A3657&amp;" - "&amp;C3657,IF(L3657="","EFEITO_PC nao calculado: PC "&amp;A3657&amp;" - "&amp;C3657,"OK")))))))))</f>
        <v/>
      </c>
      <c r="L3657" s="92" t="str">
        <f>IF(AND(A3657="",B3657="",D3657="",G3657=""),"",IF(OR(B3657="",NOT(ISNUMBER(B3657)),C3657="",C3657="Fora dos ciclos"),"",IF(C3657="C0","Nao",IF(IFERROR(INDEX(parametros!$A$2:$A$6,MATCH(C3657,parametros!$B$2:$B$6,0)),"")&lt;&gt;"Sim","Nao",IF(IFERROR(INDEX(parametros!$H$2:$H$6,MATCH(C3657,parametros!$B$2:$B$6,0)),"")="","",IF(B3657&gt;=IFERROR(INDEX(parametros!$H$2:$H$6,MATCH(C3657,parametros!$B$2:$B$6,0)),""),"Sim","Nao"))))))</f>
        <v/>
      </c>
      <c r="T3657" s="156"/>
      <c r="U3657" s="214" t="str">
        <f t="shared" si="291"/>
        <v/>
      </c>
      <c r="V3657" s="212" t="s">
        <v>50</v>
      </c>
      <c r="W3657" s="100" t="s">
        <v>168</v>
      </c>
      <c r="X3657" s="100" t="s">
        <v>169</v>
      </c>
      <c r="Y3657" s="101" t="s">
        <v>170</v>
      </c>
      <c r="Z3657" s="101" t="s">
        <v>171</v>
      </c>
      <c r="AA3657" s="101" t="s">
        <v>50</v>
      </c>
      <c r="AB3657" s="101" t="s">
        <v>172</v>
      </c>
      <c r="AC3657" s="102" t="s">
        <v>173</v>
      </c>
    </row>
    <row r="3658" spans="1:29" ht="25.5" customHeight="1" x14ac:dyDescent="0.35">
      <c r="A3658" s="392"/>
      <c r="B3658" s="393"/>
      <c r="C3658" s="99" t="str">
        <f>IF(B3658="","",IF(NOT(ISNUMBER(B3658)),"DATA_PC invalida",IF(NOT(ISNUMBER(parametros!$C$2)),"Fora dos ciclos",IF(OR(B3658&lt;parametros!$C$2,(YEAR(B3658)-YEAR(parametros!$C$2))*12+MONTH(B3658)-MONTH(parametros!$C$2)&gt;59),"Fora dos ciclos","C"&amp;INT(((YEAR(B3658)-YEAR(parametros!$C$2))*12+MONTH(B3658)-MONTH(parametros!$C$2))/12)))))</f>
        <v/>
      </c>
      <c r="D3658" s="394"/>
      <c r="E3658" s="78" t="str">
        <f>IF(C3658="","",IFERROR(VLOOKUP(C3658,parametros!$A$11:$E$15,5,0),""))</f>
        <v/>
      </c>
      <c r="F3658" s="79" t="str">
        <f t="shared" si="287"/>
        <v/>
      </c>
      <c r="G3658" s="395"/>
      <c r="H3658" s="91">
        <f t="shared" si="288"/>
        <v>0</v>
      </c>
      <c r="I3658" s="91" t="str">
        <f t="shared" si="289"/>
        <v/>
      </c>
      <c r="J3658" s="91" t="str">
        <f t="shared" si="290"/>
        <v/>
      </c>
      <c r="K3658" s="92" t="str">
        <f>IF(AND(A3658="",B3658="",D3658="",G3658=""),"",IF(AND(A3658&lt;&gt;"",COUNTIF($A$2:$A$5001,A3658)&gt;1),"NUMERO_PC duplicado",IF(B3658="","DATA_PC vazia",IF(NOT(ISNUMBER(B3658)),"DATA_PC invalida",IF(OR(C3658="",C3658="Fora dos ciclos"),"CICLO_PC nao identificado",IF(OR(D3658="",D3658=0),"VALOR_PC vazio ou zero",IF(AND(G3658&lt;&gt;"Sim",G3658&lt;&gt;"Nao",G3658&lt;&gt;""),"PC_PAGO_A_CONTRATADA invalido",IF(AND(C3658&lt;&gt;"C0",IFERROR(INDEX(parametros!$A$2:$A$6,MATCH(C3658,parametros!$B$2:$B$6,0)),"")="Sim",IFERROR(INDEX(parametros!$H$2:$H$6,MATCH(C3658,parametros!$B$2:$B$6,0)),"")=""),"INICIO_EFEITO ausente: PC "&amp;A3658&amp;" - "&amp;C3658,IF(L3658="","EFEITO_PC nao calculado: PC "&amp;A3658&amp;" - "&amp;C3658,"OK")))))))))</f>
        <v/>
      </c>
      <c r="L3658" s="92" t="str">
        <f>IF(AND(A3658="",B3658="",D3658="",G3658=""),"",IF(OR(B3658="",NOT(ISNUMBER(B3658)),C3658="",C3658="Fora dos ciclos"),"",IF(C3658="C0","Nao",IF(IFERROR(INDEX(parametros!$A$2:$A$6,MATCH(C3658,parametros!$B$2:$B$6,0)),"")&lt;&gt;"Sim","Nao",IF(IFERROR(INDEX(parametros!$H$2:$H$6,MATCH(C3658,parametros!$B$2:$B$6,0)),"")="","",IF(B3658&gt;=IFERROR(INDEX(parametros!$H$2:$H$6,MATCH(C3658,parametros!$B$2:$B$6,0)),""),"Sim","Nao"))))))</f>
        <v/>
      </c>
      <c r="T3658" s="156"/>
      <c r="U3658" s="214" t="str">
        <f t="shared" si="291"/>
        <v/>
      </c>
      <c r="V3658" s="212" t="s">
        <v>50</v>
      </c>
      <c r="W3658" s="100" t="s">
        <v>168</v>
      </c>
      <c r="X3658" s="100" t="s">
        <v>169</v>
      </c>
      <c r="Y3658" s="101" t="s">
        <v>170</v>
      </c>
      <c r="Z3658" s="101" t="s">
        <v>171</v>
      </c>
      <c r="AA3658" s="101" t="s">
        <v>50</v>
      </c>
      <c r="AB3658" s="101" t="s">
        <v>172</v>
      </c>
      <c r="AC3658" s="102" t="s">
        <v>173</v>
      </c>
    </row>
    <row r="3659" spans="1:29" ht="25.5" customHeight="1" x14ac:dyDescent="0.35">
      <c r="A3659" s="392"/>
      <c r="B3659" s="393"/>
      <c r="C3659" s="99" t="str">
        <f>IF(B3659="","",IF(NOT(ISNUMBER(B3659)),"DATA_PC invalida",IF(NOT(ISNUMBER(parametros!$C$2)),"Fora dos ciclos",IF(OR(B3659&lt;parametros!$C$2,(YEAR(B3659)-YEAR(parametros!$C$2))*12+MONTH(B3659)-MONTH(parametros!$C$2)&gt;59),"Fora dos ciclos","C"&amp;INT(((YEAR(B3659)-YEAR(parametros!$C$2))*12+MONTH(B3659)-MONTH(parametros!$C$2))/12)))))</f>
        <v/>
      </c>
      <c r="D3659" s="394"/>
      <c r="E3659" s="78" t="str">
        <f>IF(C3659="","",IFERROR(VLOOKUP(C3659,parametros!$A$11:$E$15,5,0),""))</f>
        <v/>
      </c>
      <c r="F3659" s="79" t="str">
        <f t="shared" si="287"/>
        <v/>
      </c>
      <c r="G3659" s="395"/>
      <c r="H3659" s="91">
        <f t="shared" si="288"/>
        <v>0</v>
      </c>
      <c r="I3659" s="91" t="str">
        <f t="shared" si="289"/>
        <v/>
      </c>
      <c r="J3659" s="91" t="str">
        <f t="shared" si="290"/>
        <v/>
      </c>
      <c r="K3659" s="92" t="str">
        <f>IF(AND(A3659="",B3659="",D3659="",G3659=""),"",IF(AND(A3659&lt;&gt;"",COUNTIF($A$2:$A$5001,A3659)&gt;1),"NUMERO_PC duplicado",IF(B3659="","DATA_PC vazia",IF(NOT(ISNUMBER(B3659)),"DATA_PC invalida",IF(OR(C3659="",C3659="Fora dos ciclos"),"CICLO_PC nao identificado",IF(OR(D3659="",D3659=0),"VALOR_PC vazio ou zero",IF(AND(G3659&lt;&gt;"Sim",G3659&lt;&gt;"Nao",G3659&lt;&gt;""),"PC_PAGO_A_CONTRATADA invalido",IF(AND(C3659&lt;&gt;"C0",IFERROR(INDEX(parametros!$A$2:$A$6,MATCH(C3659,parametros!$B$2:$B$6,0)),"")="Sim",IFERROR(INDEX(parametros!$H$2:$H$6,MATCH(C3659,parametros!$B$2:$B$6,0)),"")=""),"INICIO_EFEITO ausente: PC "&amp;A3659&amp;" - "&amp;C3659,IF(L3659="","EFEITO_PC nao calculado: PC "&amp;A3659&amp;" - "&amp;C3659,"OK")))))))))</f>
        <v/>
      </c>
      <c r="L3659" s="92" t="str">
        <f>IF(AND(A3659="",B3659="",D3659="",G3659=""),"",IF(OR(B3659="",NOT(ISNUMBER(B3659)),C3659="",C3659="Fora dos ciclos"),"",IF(C3659="C0","Nao",IF(IFERROR(INDEX(parametros!$A$2:$A$6,MATCH(C3659,parametros!$B$2:$B$6,0)),"")&lt;&gt;"Sim","Nao",IF(IFERROR(INDEX(parametros!$H$2:$H$6,MATCH(C3659,parametros!$B$2:$B$6,0)),"")="","",IF(B3659&gt;=IFERROR(INDEX(parametros!$H$2:$H$6,MATCH(C3659,parametros!$B$2:$B$6,0)),""),"Sim","Nao"))))))</f>
        <v/>
      </c>
      <c r="T3659" s="156"/>
      <c r="U3659" s="214" t="str">
        <f t="shared" si="291"/>
        <v/>
      </c>
      <c r="V3659" s="212" t="s">
        <v>50</v>
      </c>
      <c r="W3659" s="100" t="s">
        <v>168</v>
      </c>
      <c r="X3659" s="100" t="s">
        <v>169</v>
      </c>
      <c r="Y3659" s="101" t="s">
        <v>170</v>
      </c>
      <c r="Z3659" s="101" t="s">
        <v>171</v>
      </c>
      <c r="AA3659" s="101" t="s">
        <v>50</v>
      </c>
      <c r="AB3659" s="101" t="s">
        <v>172</v>
      </c>
      <c r="AC3659" s="102" t="s">
        <v>173</v>
      </c>
    </row>
    <row r="3660" spans="1:29" ht="25.5" customHeight="1" x14ac:dyDescent="0.35">
      <c r="A3660" s="392"/>
      <c r="B3660" s="393"/>
      <c r="C3660" s="99" t="str">
        <f>IF(B3660="","",IF(NOT(ISNUMBER(B3660)),"DATA_PC invalida",IF(NOT(ISNUMBER(parametros!$C$2)),"Fora dos ciclos",IF(OR(B3660&lt;parametros!$C$2,(YEAR(B3660)-YEAR(parametros!$C$2))*12+MONTH(B3660)-MONTH(parametros!$C$2)&gt;59),"Fora dos ciclos","C"&amp;INT(((YEAR(B3660)-YEAR(parametros!$C$2))*12+MONTH(B3660)-MONTH(parametros!$C$2))/12)))))</f>
        <v/>
      </c>
      <c r="D3660" s="394"/>
      <c r="E3660" s="78" t="str">
        <f>IF(C3660="","",IFERROR(VLOOKUP(C3660,parametros!$A$11:$E$15,5,0),""))</f>
        <v/>
      </c>
      <c r="F3660" s="79" t="str">
        <f t="shared" si="287"/>
        <v/>
      </c>
      <c r="G3660" s="395"/>
      <c r="H3660" s="91">
        <f t="shared" si="288"/>
        <v>0</v>
      </c>
      <c r="I3660" s="91" t="str">
        <f t="shared" si="289"/>
        <v/>
      </c>
      <c r="J3660" s="91" t="str">
        <f t="shared" si="290"/>
        <v/>
      </c>
      <c r="K3660" s="92" t="str">
        <f>IF(AND(A3660="",B3660="",D3660="",G3660=""),"",IF(AND(A3660&lt;&gt;"",COUNTIF($A$2:$A$5001,A3660)&gt;1),"NUMERO_PC duplicado",IF(B3660="","DATA_PC vazia",IF(NOT(ISNUMBER(B3660)),"DATA_PC invalida",IF(OR(C3660="",C3660="Fora dos ciclos"),"CICLO_PC nao identificado",IF(OR(D3660="",D3660=0),"VALOR_PC vazio ou zero",IF(AND(G3660&lt;&gt;"Sim",G3660&lt;&gt;"Nao",G3660&lt;&gt;""),"PC_PAGO_A_CONTRATADA invalido",IF(AND(C3660&lt;&gt;"C0",IFERROR(INDEX(parametros!$A$2:$A$6,MATCH(C3660,parametros!$B$2:$B$6,0)),"")="Sim",IFERROR(INDEX(parametros!$H$2:$H$6,MATCH(C3660,parametros!$B$2:$B$6,0)),"")=""),"INICIO_EFEITO ausente: PC "&amp;A3660&amp;" - "&amp;C3660,IF(L3660="","EFEITO_PC nao calculado: PC "&amp;A3660&amp;" - "&amp;C3660,"OK")))))))))</f>
        <v/>
      </c>
      <c r="L3660" s="92" t="str">
        <f>IF(AND(A3660="",B3660="",D3660="",G3660=""),"",IF(OR(B3660="",NOT(ISNUMBER(B3660)),C3660="",C3660="Fora dos ciclos"),"",IF(C3660="C0","Nao",IF(IFERROR(INDEX(parametros!$A$2:$A$6,MATCH(C3660,parametros!$B$2:$B$6,0)),"")&lt;&gt;"Sim","Nao",IF(IFERROR(INDEX(parametros!$H$2:$H$6,MATCH(C3660,parametros!$B$2:$B$6,0)),"")="","",IF(B3660&gt;=IFERROR(INDEX(parametros!$H$2:$H$6,MATCH(C3660,parametros!$B$2:$B$6,0)),""),"Sim","Nao"))))))</f>
        <v/>
      </c>
      <c r="T3660" s="156"/>
      <c r="U3660" s="214" t="str">
        <f t="shared" si="291"/>
        <v/>
      </c>
      <c r="V3660" s="212" t="s">
        <v>50</v>
      </c>
      <c r="W3660" s="100" t="s">
        <v>168</v>
      </c>
      <c r="X3660" s="100" t="s">
        <v>169</v>
      </c>
      <c r="Y3660" s="101" t="s">
        <v>170</v>
      </c>
      <c r="Z3660" s="101" t="s">
        <v>171</v>
      </c>
      <c r="AA3660" s="101" t="s">
        <v>50</v>
      </c>
      <c r="AB3660" s="101" t="s">
        <v>172</v>
      </c>
      <c r="AC3660" s="102" t="s">
        <v>173</v>
      </c>
    </row>
    <row r="3661" spans="1:29" ht="25.5" customHeight="1" x14ac:dyDescent="0.35">
      <c r="A3661" s="392"/>
      <c r="B3661" s="393"/>
      <c r="C3661" s="99" t="str">
        <f>IF(B3661="","",IF(NOT(ISNUMBER(B3661)),"DATA_PC invalida",IF(NOT(ISNUMBER(parametros!$C$2)),"Fora dos ciclos",IF(OR(B3661&lt;parametros!$C$2,(YEAR(B3661)-YEAR(parametros!$C$2))*12+MONTH(B3661)-MONTH(parametros!$C$2)&gt;59),"Fora dos ciclos","C"&amp;INT(((YEAR(B3661)-YEAR(parametros!$C$2))*12+MONTH(B3661)-MONTH(parametros!$C$2))/12)))))</f>
        <v/>
      </c>
      <c r="D3661" s="394"/>
      <c r="E3661" s="78" t="str">
        <f>IF(C3661="","",IFERROR(VLOOKUP(C3661,parametros!$A$11:$E$15,5,0),""))</f>
        <v/>
      </c>
      <c r="F3661" s="79" t="str">
        <f t="shared" si="287"/>
        <v/>
      </c>
      <c r="G3661" s="395"/>
      <c r="H3661" s="91">
        <f t="shared" si="288"/>
        <v>0</v>
      </c>
      <c r="I3661" s="91" t="str">
        <f t="shared" si="289"/>
        <v/>
      </c>
      <c r="J3661" s="91" t="str">
        <f t="shared" si="290"/>
        <v/>
      </c>
      <c r="K3661" s="92" t="str">
        <f>IF(AND(A3661="",B3661="",D3661="",G3661=""),"",IF(AND(A3661&lt;&gt;"",COUNTIF($A$2:$A$5001,A3661)&gt;1),"NUMERO_PC duplicado",IF(B3661="","DATA_PC vazia",IF(NOT(ISNUMBER(B3661)),"DATA_PC invalida",IF(OR(C3661="",C3661="Fora dos ciclos"),"CICLO_PC nao identificado",IF(OR(D3661="",D3661=0),"VALOR_PC vazio ou zero",IF(AND(G3661&lt;&gt;"Sim",G3661&lt;&gt;"Nao",G3661&lt;&gt;""),"PC_PAGO_A_CONTRATADA invalido",IF(AND(C3661&lt;&gt;"C0",IFERROR(INDEX(parametros!$A$2:$A$6,MATCH(C3661,parametros!$B$2:$B$6,0)),"")="Sim",IFERROR(INDEX(parametros!$H$2:$H$6,MATCH(C3661,parametros!$B$2:$B$6,0)),"")=""),"INICIO_EFEITO ausente: PC "&amp;A3661&amp;" - "&amp;C3661,IF(L3661="","EFEITO_PC nao calculado: PC "&amp;A3661&amp;" - "&amp;C3661,"OK")))))))))</f>
        <v/>
      </c>
      <c r="L3661" s="92" t="str">
        <f>IF(AND(A3661="",B3661="",D3661="",G3661=""),"",IF(OR(B3661="",NOT(ISNUMBER(B3661)),C3661="",C3661="Fora dos ciclos"),"",IF(C3661="C0","Nao",IF(IFERROR(INDEX(parametros!$A$2:$A$6,MATCH(C3661,parametros!$B$2:$B$6,0)),"")&lt;&gt;"Sim","Nao",IF(IFERROR(INDEX(parametros!$H$2:$H$6,MATCH(C3661,parametros!$B$2:$B$6,0)),"")="","",IF(B3661&gt;=IFERROR(INDEX(parametros!$H$2:$H$6,MATCH(C3661,parametros!$B$2:$B$6,0)),""),"Sim","Nao"))))))</f>
        <v/>
      </c>
      <c r="T3661" s="156"/>
      <c r="U3661" s="214" t="str">
        <f t="shared" si="291"/>
        <v/>
      </c>
      <c r="V3661" s="212" t="s">
        <v>50</v>
      </c>
      <c r="W3661" s="100" t="s">
        <v>168</v>
      </c>
      <c r="X3661" s="100" t="s">
        <v>169</v>
      </c>
      <c r="Y3661" s="101" t="s">
        <v>170</v>
      </c>
      <c r="Z3661" s="101" t="s">
        <v>171</v>
      </c>
      <c r="AA3661" s="101" t="s">
        <v>50</v>
      </c>
      <c r="AB3661" s="101" t="s">
        <v>172</v>
      </c>
      <c r="AC3661" s="102" t="s">
        <v>173</v>
      </c>
    </row>
    <row r="3662" spans="1:29" ht="25.5" customHeight="1" x14ac:dyDescent="0.35">
      <c r="A3662" s="392"/>
      <c r="B3662" s="393"/>
      <c r="C3662" s="99" t="str">
        <f>IF(B3662="","",IF(NOT(ISNUMBER(B3662)),"DATA_PC invalida",IF(NOT(ISNUMBER(parametros!$C$2)),"Fora dos ciclos",IF(OR(B3662&lt;parametros!$C$2,(YEAR(B3662)-YEAR(parametros!$C$2))*12+MONTH(B3662)-MONTH(parametros!$C$2)&gt;59),"Fora dos ciclos","C"&amp;INT(((YEAR(B3662)-YEAR(parametros!$C$2))*12+MONTH(B3662)-MONTH(parametros!$C$2))/12)))))</f>
        <v/>
      </c>
      <c r="D3662" s="394"/>
      <c r="E3662" s="78" t="str">
        <f>IF(C3662="","",IFERROR(VLOOKUP(C3662,parametros!$A$11:$E$15,5,0),""))</f>
        <v/>
      </c>
      <c r="F3662" s="79" t="str">
        <f t="shared" si="287"/>
        <v/>
      </c>
      <c r="G3662" s="395"/>
      <c r="H3662" s="91">
        <f t="shared" si="288"/>
        <v>0</v>
      </c>
      <c r="I3662" s="91" t="str">
        <f t="shared" si="289"/>
        <v/>
      </c>
      <c r="J3662" s="91" t="str">
        <f t="shared" si="290"/>
        <v/>
      </c>
      <c r="K3662" s="92" t="str">
        <f>IF(AND(A3662="",B3662="",D3662="",G3662=""),"",IF(AND(A3662&lt;&gt;"",COUNTIF($A$2:$A$5001,A3662)&gt;1),"NUMERO_PC duplicado",IF(B3662="","DATA_PC vazia",IF(NOT(ISNUMBER(B3662)),"DATA_PC invalida",IF(OR(C3662="",C3662="Fora dos ciclos"),"CICLO_PC nao identificado",IF(OR(D3662="",D3662=0),"VALOR_PC vazio ou zero",IF(AND(G3662&lt;&gt;"Sim",G3662&lt;&gt;"Nao",G3662&lt;&gt;""),"PC_PAGO_A_CONTRATADA invalido",IF(AND(C3662&lt;&gt;"C0",IFERROR(INDEX(parametros!$A$2:$A$6,MATCH(C3662,parametros!$B$2:$B$6,0)),"")="Sim",IFERROR(INDEX(parametros!$H$2:$H$6,MATCH(C3662,parametros!$B$2:$B$6,0)),"")=""),"INICIO_EFEITO ausente: PC "&amp;A3662&amp;" - "&amp;C3662,IF(L3662="","EFEITO_PC nao calculado: PC "&amp;A3662&amp;" - "&amp;C3662,"OK")))))))))</f>
        <v/>
      </c>
      <c r="L3662" s="92" t="str">
        <f>IF(AND(A3662="",B3662="",D3662="",G3662=""),"",IF(OR(B3662="",NOT(ISNUMBER(B3662)),C3662="",C3662="Fora dos ciclos"),"",IF(C3662="C0","Nao",IF(IFERROR(INDEX(parametros!$A$2:$A$6,MATCH(C3662,parametros!$B$2:$B$6,0)),"")&lt;&gt;"Sim","Nao",IF(IFERROR(INDEX(parametros!$H$2:$H$6,MATCH(C3662,parametros!$B$2:$B$6,0)),"")="","",IF(B3662&gt;=IFERROR(INDEX(parametros!$H$2:$H$6,MATCH(C3662,parametros!$B$2:$B$6,0)),""),"Sim","Nao"))))))</f>
        <v/>
      </c>
      <c r="T3662" s="156"/>
      <c r="U3662" s="214" t="str">
        <f t="shared" si="291"/>
        <v/>
      </c>
      <c r="V3662" s="212" t="s">
        <v>50</v>
      </c>
      <c r="W3662" s="100" t="s">
        <v>168</v>
      </c>
      <c r="X3662" s="100" t="s">
        <v>169</v>
      </c>
      <c r="Y3662" s="101" t="s">
        <v>170</v>
      </c>
      <c r="Z3662" s="101" t="s">
        <v>171</v>
      </c>
      <c r="AA3662" s="101" t="s">
        <v>50</v>
      </c>
      <c r="AB3662" s="101" t="s">
        <v>172</v>
      </c>
      <c r="AC3662" s="102" t="s">
        <v>173</v>
      </c>
    </row>
    <row r="3663" spans="1:29" ht="25.5" customHeight="1" x14ac:dyDescent="0.35">
      <c r="A3663" s="392"/>
      <c r="B3663" s="393"/>
      <c r="C3663" s="99" t="str">
        <f>IF(B3663="","",IF(NOT(ISNUMBER(B3663)),"DATA_PC invalida",IF(NOT(ISNUMBER(parametros!$C$2)),"Fora dos ciclos",IF(OR(B3663&lt;parametros!$C$2,(YEAR(B3663)-YEAR(parametros!$C$2))*12+MONTH(B3663)-MONTH(parametros!$C$2)&gt;59),"Fora dos ciclos","C"&amp;INT(((YEAR(B3663)-YEAR(parametros!$C$2))*12+MONTH(B3663)-MONTH(parametros!$C$2))/12)))))</f>
        <v/>
      </c>
      <c r="D3663" s="394"/>
      <c r="E3663" s="78" t="str">
        <f>IF(C3663="","",IFERROR(VLOOKUP(C3663,parametros!$A$11:$E$15,5,0),""))</f>
        <v/>
      </c>
      <c r="F3663" s="79" t="str">
        <f t="shared" si="287"/>
        <v/>
      </c>
      <c r="G3663" s="395"/>
      <c r="H3663" s="91">
        <f t="shared" si="288"/>
        <v>0</v>
      </c>
      <c r="I3663" s="91" t="str">
        <f t="shared" si="289"/>
        <v/>
      </c>
      <c r="J3663" s="91" t="str">
        <f t="shared" si="290"/>
        <v/>
      </c>
      <c r="K3663" s="92" t="str">
        <f>IF(AND(A3663="",B3663="",D3663="",G3663=""),"",IF(AND(A3663&lt;&gt;"",COUNTIF($A$2:$A$5001,A3663)&gt;1),"NUMERO_PC duplicado",IF(B3663="","DATA_PC vazia",IF(NOT(ISNUMBER(B3663)),"DATA_PC invalida",IF(OR(C3663="",C3663="Fora dos ciclos"),"CICLO_PC nao identificado",IF(OR(D3663="",D3663=0),"VALOR_PC vazio ou zero",IF(AND(G3663&lt;&gt;"Sim",G3663&lt;&gt;"Nao",G3663&lt;&gt;""),"PC_PAGO_A_CONTRATADA invalido",IF(AND(C3663&lt;&gt;"C0",IFERROR(INDEX(parametros!$A$2:$A$6,MATCH(C3663,parametros!$B$2:$B$6,0)),"")="Sim",IFERROR(INDEX(parametros!$H$2:$H$6,MATCH(C3663,parametros!$B$2:$B$6,0)),"")=""),"INICIO_EFEITO ausente: PC "&amp;A3663&amp;" - "&amp;C3663,IF(L3663="","EFEITO_PC nao calculado: PC "&amp;A3663&amp;" - "&amp;C3663,"OK")))))))))</f>
        <v/>
      </c>
      <c r="L3663" s="92" t="str">
        <f>IF(AND(A3663="",B3663="",D3663="",G3663=""),"",IF(OR(B3663="",NOT(ISNUMBER(B3663)),C3663="",C3663="Fora dos ciclos"),"",IF(C3663="C0","Nao",IF(IFERROR(INDEX(parametros!$A$2:$A$6,MATCH(C3663,parametros!$B$2:$B$6,0)),"")&lt;&gt;"Sim","Nao",IF(IFERROR(INDEX(parametros!$H$2:$H$6,MATCH(C3663,parametros!$B$2:$B$6,0)),"")="","",IF(B3663&gt;=IFERROR(INDEX(parametros!$H$2:$H$6,MATCH(C3663,parametros!$B$2:$B$6,0)),""),"Sim","Nao"))))))</f>
        <v/>
      </c>
      <c r="T3663" s="156"/>
      <c r="U3663" s="214" t="str">
        <f t="shared" si="291"/>
        <v/>
      </c>
      <c r="V3663" s="212" t="s">
        <v>50</v>
      </c>
      <c r="W3663" s="100" t="s">
        <v>168</v>
      </c>
      <c r="X3663" s="100" t="s">
        <v>169</v>
      </c>
      <c r="Y3663" s="101" t="s">
        <v>170</v>
      </c>
      <c r="Z3663" s="101" t="s">
        <v>171</v>
      </c>
      <c r="AA3663" s="101" t="s">
        <v>50</v>
      </c>
      <c r="AB3663" s="101" t="s">
        <v>172</v>
      </c>
      <c r="AC3663" s="102" t="s">
        <v>173</v>
      </c>
    </row>
    <row r="3664" spans="1:29" ht="25.5" customHeight="1" x14ac:dyDescent="0.35">
      <c r="A3664" s="392"/>
      <c r="B3664" s="393"/>
      <c r="C3664" s="99" t="str">
        <f>IF(B3664="","",IF(NOT(ISNUMBER(B3664)),"DATA_PC invalida",IF(NOT(ISNUMBER(parametros!$C$2)),"Fora dos ciclos",IF(OR(B3664&lt;parametros!$C$2,(YEAR(B3664)-YEAR(parametros!$C$2))*12+MONTH(B3664)-MONTH(parametros!$C$2)&gt;59),"Fora dos ciclos","C"&amp;INT(((YEAR(B3664)-YEAR(parametros!$C$2))*12+MONTH(B3664)-MONTH(parametros!$C$2))/12)))))</f>
        <v/>
      </c>
      <c r="D3664" s="394"/>
      <c r="E3664" s="78" t="str">
        <f>IF(C3664="","",IFERROR(VLOOKUP(C3664,parametros!$A$11:$E$15,5,0),""))</f>
        <v/>
      </c>
      <c r="F3664" s="79" t="str">
        <f t="shared" si="287"/>
        <v/>
      </c>
      <c r="G3664" s="395"/>
      <c r="H3664" s="91">
        <f t="shared" si="288"/>
        <v>0</v>
      </c>
      <c r="I3664" s="91" t="str">
        <f t="shared" si="289"/>
        <v/>
      </c>
      <c r="J3664" s="91" t="str">
        <f t="shared" si="290"/>
        <v/>
      </c>
      <c r="K3664" s="92" t="str">
        <f>IF(AND(A3664="",B3664="",D3664="",G3664=""),"",IF(AND(A3664&lt;&gt;"",COUNTIF($A$2:$A$5001,A3664)&gt;1),"NUMERO_PC duplicado",IF(B3664="","DATA_PC vazia",IF(NOT(ISNUMBER(B3664)),"DATA_PC invalida",IF(OR(C3664="",C3664="Fora dos ciclos"),"CICLO_PC nao identificado",IF(OR(D3664="",D3664=0),"VALOR_PC vazio ou zero",IF(AND(G3664&lt;&gt;"Sim",G3664&lt;&gt;"Nao",G3664&lt;&gt;""),"PC_PAGO_A_CONTRATADA invalido",IF(AND(C3664&lt;&gt;"C0",IFERROR(INDEX(parametros!$A$2:$A$6,MATCH(C3664,parametros!$B$2:$B$6,0)),"")="Sim",IFERROR(INDEX(parametros!$H$2:$H$6,MATCH(C3664,parametros!$B$2:$B$6,0)),"")=""),"INICIO_EFEITO ausente: PC "&amp;A3664&amp;" - "&amp;C3664,IF(L3664="","EFEITO_PC nao calculado: PC "&amp;A3664&amp;" - "&amp;C3664,"OK")))))))))</f>
        <v/>
      </c>
      <c r="L3664" s="92" t="str">
        <f>IF(AND(A3664="",B3664="",D3664="",G3664=""),"",IF(OR(B3664="",NOT(ISNUMBER(B3664)),C3664="",C3664="Fora dos ciclos"),"",IF(C3664="C0","Nao",IF(IFERROR(INDEX(parametros!$A$2:$A$6,MATCH(C3664,parametros!$B$2:$B$6,0)),"")&lt;&gt;"Sim","Nao",IF(IFERROR(INDEX(parametros!$H$2:$H$6,MATCH(C3664,parametros!$B$2:$B$6,0)),"")="","",IF(B3664&gt;=IFERROR(INDEX(parametros!$H$2:$H$6,MATCH(C3664,parametros!$B$2:$B$6,0)),""),"Sim","Nao"))))))</f>
        <v/>
      </c>
      <c r="T3664" s="156"/>
      <c r="U3664" s="214" t="str">
        <f t="shared" si="291"/>
        <v/>
      </c>
      <c r="V3664" s="212" t="s">
        <v>50</v>
      </c>
      <c r="W3664" s="100" t="s">
        <v>168</v>
      </c>
      <c r="X3664" s="100" t="s">
        <v>169</v>
      </c>
      <c r="Y3664" s="101" t="s">
        <v>170</v>
      </c>
      <c r="Z3664" s="101" t="s">
        <v>171</v>
      </c>
      <c r="AA3664" s="101" t="s">
        <v>50</v>
      </c>
      <c r="AB3664" s="101" t="s">
        <v>172</v>
      </c>
      <c r="AC3664" s="102" t="s">
        <v>173</v>
      </c>
    </row>
    <row r="3665" spans="1:29" ht="25.5" customHeight="1" x14ac:dyDescent="0.35">
      <c r="A3665" s="392"/>
      <c r="B3665" s="393"/>
      <c r="C3665" s="99" t="str">
        <f>IF(B3665="","",IF(NOT(ISNUMBER(B3665)),"DATA_PC invalida",IF(NOT(ISNUMBER(parametros!$C$2)),"Fora dos ciclos",IF(OR(B3665&lt;parametros!$C$2,(YEAR(B3665)-YEAR(parametros!$C$2))*12+MONTH(B3665)-MONTH(parametros!$C$2)&gt;59),"Fora dos ciclos","C"&amp;INT(((YEAR(B3665)-YEAR(parametros!$C$2))*12+MONTH(B3665)-MONTH(parametros!$C$2))/12)))))</f>
        <v/>
      </c>
      <c r="D3665" s="394"/>
      <c r="E3665" s="78" t="str">
        <f>IF(C3665="","",IFERROR(VLOOKUP(C3665,parametros!$A$11:$E$15,5,0),""))</f>
        <v/>
      </c>
      <c r="F3665" s="79" t="str">
        <f t="shared" si="287"/>
        <v/>
      </c>
      <c r="G3665" s="395"/>
      <c r="H3665" s="91">
        <f t="shared" si="288"/>
        <v>0</v>
      </c>
      <c r="I3665" s="91" t="str">
        <f t="shared" si="289"/>
        <v/>
      </c>
      <c r="J3665" s="91" t="str">
        <f t="shared" si="290"/>
        <v/>
      </c>
      <c r="K3665" s="92" t="str">
        <f>IF(AND(A3665="",B3665="",D3665="",G3665=""),"",IF(AND(A3665&lt;&gt;"",COUNTIF($A$2:$A$5001,A3665)&gt;1),"NUMERO_PC duplicado",IF(B3665="","DATA_PC vazia",IF(NOT(ISNUMBER(B3665)),"DATA_PC invalida",IF(OR(C3665="",C3665="Fora dos ciclos"),"CICLO_PC nao identificado",IF(OR(D3665="",D3665=0),"VALOR_PC vazio ou zero",IF(AND(G3665&lt;&gt;"Sim",G3665&lt;&gt;"Nao",G3665&lt;&gt;""),"PC_PAGO_A_CONTRATADA invalido",IF(AND(C3665&lt;&gt;"C0",IFERROR(INDEX(parametros!$A$2:$A$6,MATCH(C3665,parametros!$B$2:$B$6,0)),"")="Sim",IFERROR(INDEX(parametros!$H$2:$H$6,MATCH(C3665,parametros!$B$2:$B$6,0)),"")=""),"INICIO_EFEITO ausente: PC "&amp;A3665&amp;" - "&amp;C3665,IF(L3665="","EFEITO_PC nao calculado: PC "&amp;A3665&amp;" - "&amp;C3665,"OK")))))))))</f>
        <v/>
      </c>
      <c r="L3665" s="92" t="str">
        <f>IF(AND(A3665="",B3665="",D3665="",G3665=""),"",IF(OR(B3665="",NOT(ISNUMBER(B3665)),C3665="",C3665="Fora dos ciclos"),"",IF(C3665="C0","Nao",IF(IFERROR(INDEX(parametros!$A$2:$A$6,MATCH(C3665,parametros!$B$2:$B$6,0)),"")&lt;&gt;"Sim","Nao",IF(IFERROR(INDEX(parametros!$H$2:$H$6,MATCH(C3665,parametros!$B$2:$B$6,0)),"")="","",IF(B3665&gt;=IFERROR(INDEX(parametros!$H$2:$H$6,MATCH(C3665,parametros!$B$2:$B$6,0)),""),"Sim","Nao"))))))</f>
        <v/>
      </c>
      <c r="T3665" s="156"/>
      <c r="U3665" s="214" t="str">
        <f t="shared" si="291"/>
        <v/>
      </c>
      <c r="V3665" s="212" t="s">
        <v>50</v>
      </c>
      <c r="W3665" s="100" t="s">
        <v>168</v>
      </c>
      <c r="X3665" s="100" t="s">
        <v>169</v>
      </c>
      <c r="Y3665" s="101" t="s">
        <v>170</v>
      </c>
      <c r="Z3665" s="101" t="s">
        <v>171</v>
      </c>
      <c r="AA3665" s="101" t="s">
        <v>50</v>
      </c>
      <c r="AB3665" s="101" t="s">
        <v>172</v>
      </c>
      <c r="AC3665" s="102" t="s">
        <v>173</v>
      </c>
    </row>
    <row r="3666" spans="1:29" ht="25.5" customHeight="1" x14ac:dyDescent="0.35">
      <c r="A3666" s="392"/>
      <c r="B3666" s="393"/>
      <c r="C3666" s="99" t="str">
        <f>IF(B3666="","",IF(NOT(ISNUMBER(B3666)),"DATA_PC invalida",IF(NOT(ISNUMBER(parametros!$C$2)),"Fora dos ciclos",IF(OR(B3666&lt;parametros!$C$2,(YEAR(B3666)-YEAR(parametros!$C$2))*12+MONTH(B3666)-MONTH(parametros!$C$2)&gt;59),"Fora dos ciclos","C"&amp;INT(((YEAR(B3666)-YEAR(parametros!$C$2))*12+MONTH(B3666)-MONTH(parametros!$C$2))/12)))))</f>
        <v/>
      </c>
      <c r="D3666" s="394"/>
      <c r="E3666" s="78" t="str">
        <f>IF(C3666="","",IFERROR(VLOOKUP(C3666,parametros!$A$11:$E$15,5,0),""))</f>
        <v/>
      </c>
      <c r="F3666" s="79" t="str">
        <f t="shared" si="287"/>
        <v/>
      </c>
      <c r="G3666" s="395"/>
      <c r="H3666" s="91">
        <f t="shared" si="288"/>
        <v>0</v>
      </c>
      <c r="I3666" s="91" t="str">
        <f t="shared" si="289"/>
        <v/>
      </c>
      <c r="J3666" s="91" t="str">
        <f t="shared" si="290"/>
        <v/>
      </c>
      <c r="K3666" s="92" t="str">
        <f>IF(AND(A3666="",B3666="",D3666="",G3666=""),"",IF(AND(A3666&lt;&gt;"",COUNTIF($A$2:$A$5001,A3666)&gt;1),"NUMERO_PC duplicado",IF(B3666="","DATA_PC vazia",IF(NOT(ISNUMBER(B3666)),"DATA_PC invalida",IF(OR(C3666="",C3666="Fora dos ciclos"),"CICLO_PC nao identificado",IF(OR(D3666="",D3666=0),"VALOR_PC vazio ou zero",IF(AND(G3666&lt;&gt;"Sim",G3666&lt;&gt;"Nao",G3666&lt;&gt;""),"PC_PAGO_A_CONTRATADA invalido",IF(AND(C3666&lt;&gt;"C0",IFERROR(INDEX(parametros!$A$2:$A$6,MATCH(C3666,parametros!$B$2:$B$6,0)),"")="Sim",IFERROR(INDEX(parametros!$H$2:$H$6,MATCH(C3666,parametros!$B$2:$B$6,0)),"")=""),"INICIO_EFEITO ausente: PC "&amp;A3666&amp;" - "&amp;C3666,IF(L3666="","EFEITO_PC nao calculado: PC "&amp;A3666&amp;" - "&amp;C3666,"OK")))))))))</f>
        <v/>
      </c>
      <c r="L3666" s="92" t="str">
        <f>IF(AND(A3666="",B3666="",D3666="",G3666=""),"",IF(OR(B3666="",NOT(ISNUMBER(B3666)),C3666="",C3666="Fora dos ciclos"),"",IF(C3666="C0","Nao",IF(IFERROR(INDEX(parametros!$A$2:$A$6,MATCH(C3666,parametros!$B$2:$B$6,0)),"")&lt;&gt;"Sim","Nao",IF(IFERROR(INDEX(parametros!$H$2:$H$6,MATCH(C3666,parametros!$B$2:$B$6,0)),"")="","",IF(B3666&gt;=IFERROR(INDEX(parametros!$H$2:$H$6,MATCH(C3666,parametros!$B$2:$B$6,0)),""),"Sim","Nao"))))))</f>
        <v/>
      </c>
      <c r="T3666" s="156"/>
      <c r="U3666" s="214" t="str">
        <f t="shared" si="291"/>
        <v/>
      </c>
      <c r="V3666" s="212" t="s">
        <v>50</v>
      </c>
      <c r="W3666" s="100" t="s">
        <v>168</v>
      </c>
      <c r="X3666" s="100" t="s">
        <v>169</v>
      </c>
      <c r="Y3666" s="101" t="s">
        <v>170</v>
      </c>
      <c r="Z3666" s="101" t="s">
        <v>171</v>
      </c>
      <c r="AA3666" s="101" t="s">
        <v>50</v>
      </c>
      <c r="AB3666" s="101" t="s">
        <v>172</v>
      </c>
      <c r="AC3666" s="102" t="s">
        <v>173</v>
      </c>
    </row>
    <row r="3667" spans="1:29" ht="25.5" customHeight="1" x14ac:dyDescent="0.35">
      <c r="A3667" s="392"/>
      <c r="B3667" s="393"/>
      <c r="C3667" s="99" t="str">
        <f>IF(B3667="","",IF(NOT(ISNUMBER(B3667)),"DATA_PC invalida",IF(NOT(ISNUMBER(parametros!$C$2)),"Fora dos ciclos",IF(OR(B3667&lt;parametros!$C$2,(YEAR(B3667)-YEAR(parametros!$C$2))*12+MONTH(B3667)-MONTH(parametros!$C$2)&gt;59),"Fora dos ciclos","C"&amp;INT(((YEAR(B3667)-YEAR(parametros!$C$2))*12+MONTH(B3667)-MONTH(parametros!$C$2))/12)))))</f>
        <v/>
      </c>
      <c r="D3667" s="394"/>
      <c r="E3667" s="78" t="str">
        <f>IF(C3667="","",IFERROR(VLOOKUP(C3667,parametros!$A$11:$E$15,5,0),""))</f>
        <v/>
      </c>
      <c r="F3667" s="79" t="str">
        <f t="shared" si="287"/>
        <v/>
      </c>
      <c r="G3667" s="395"/>
      <c r="H3667" s="91">
        <f t="shared" si="288"/>
        <v>0</v>
      </c>
      <c r="I3667" s="91" t="str">
        <f t="shared" si="289"/>
        <v/>
      </c>
      <c r="J3667" s="91" t="str">
        <f t="shared" si="290"/>
        <v/>
      </c>
      <c r="K3667" s="92" t="str">
        <f>IF(AND(A3667="",B3667="",D3667="",G3667=""),"",IF(AND(A3667&lt;&gt;"",COUNTIF($A$2:$A$5001,A3667)&gt;1),"NUMERO_PC duplicado",IF(B3667="","DATA_PC vazia",IF(NOT(ISNUMBER(B3667)),"DATA_PC invalida",IF(OR(C3667="",C3667="Fora dos ciclos"),"CICLO_PC nao identificado",IF(OR(D3667="",D3667=0),"VALOR_PC vazio ou zero",IF(AND(G3667&lt;&gt;"Sim",G3667&lt;&gt;"Nao",G3667&lt;&gt;""),"PC_PAGO_A_CONTRATADA invalido",IF(AND(C3667&lt;&gt;"C0",IFERROR(INDEX(parametros!$A$2:$A$6,MATCH(C3667,parametros!$B$2:$B$6,0)),"")="Sim",IFERROR(INDEX(parametros!$H$2:$H$6,MATCH(C3667,parametros!$B$2:$B$6,0)),"")=""),"INICIO_EFEITO ausente: PC "&amp;A3667&amp;" - "&amp;C3667,IF(L3667="","EFEITO_PC nao calculado: PC "&amp;A3667&amp;" - "&amp;C3667,"OK")))))))))</f>
        <v/>
      </c>
      <c r="L3667" s="92" t="str">
        <f>IF(AND(A3667="",B3667="",D3667="",G3667=""),"",IF(OR(B3667="",NOT(ISNUMBER(B3667)),C3667="",C3667="Fora dos ciclos"),"",IF(C3667="C0","Nao",IF(IFERROR(INDEX(parametros!$A$2:$A$6,MATCH(C3667,parametros!$B$2:$B$6,0)),"")&lt;&gt;"Sim","Nao",IF(IFERROR(INDEX(parametros!$H$2:$H$6,MATCH(C3667,parametros!$B$2:$B$6,0)),"")="","",IF(B3667&gt;=IFERROR(INDEX(parametros!$H$2:$H$6,MATCH(C3667,parametros!$B$2:$B$6,0)),""),"Sim","Nao"))))))</f>
        <v/>
      </c>
      <c r="T3667" s="156"/>
      <c r="U3667" s="214" t="str">
        <f t="shared" si="291"/>
        <v/>
      </c>
      <c r="V3667" s="212" t="s">
        <v>50</v>
      </c>
      <c r="W3667" s="100" t="s">
        <v>168</v>
      </c>
      <c r="X3667" s="100" t="s">
        <v>169</v>
      </c>
      <c r="Y3667" s="101" t="s">
        <v>170</v>
      </c>
      <c r="Z3667" s="101" t="s">
        <v>171</v>
      </c>
      <c r="AA3667" s="101" t="s">
        <v>50</v>
      </c>
      <c r="AB3667" s="101" t="s">
        <v>172</v>
      </c>
      <c r="AC3667" s="102" t="s">
        <v>173</v>
      </c>
    </row>
    <row r="3668" spans="1:29" ht="25.5" customHeight="1" x14ac:dyDescent="0.35">
      <c r="A3668" s="392"/>
      <c r="B3668" s="393"/>
      <c r="C3668" s="99" t="str">
        <f>IF(B3668="","",IF(NOT(ISNUMBER(B3668)),"DATA_PC invalida",IF(NOT(ISNUMBER(parametros!$C$2)),"Fora dos ciclos",IF(OR(B3668&lt;parametros!$C$2,(YEAR(B3668)-YEAR(parametros!$C$2))*12+MONTH(B3668)-MONTH(parametros!$C$2)&gt;59),"Fora dos ciclos","C"&amp;INT(((YEAR(B3668)-YEAR(parametros!$C$2))*12+MONTH(B3668)-MONTH(parametros!$C$2))/12)))))</f>
        <v/>
      </c>
      <c r="D3668" s="394"/>
      <c r="E3668" s="78" t="str">
        <f>IF(C3668="","",IFERROR(VLOOKUP(C3668,parametros!$A$11:$E$15,5,0),""))</f>
        <v/>
      </c>
      <c r="F3668" s="79" t="str">
        <f t="shared" si="287"/>
        <v/>
      </c>
      <c r="G3668" s="395"/>
      <c r="H3668" s="91">
        <f t="shared" si="288"/>
        <v>0</v>
      </c>
      <c r="I3668" s="91" t="str">
        <f t="shared" si="289"/>
        <v/>
      </c>
      <c r="J3668" s="91" t="str">
        <f t="shared" si="290"/>
        <v/>
      </c>
      <c r="K3668" s="92" t="str">
        <f>IF(AND(A3668="",B3668="",D3668="",G3668=""),"",IF(AND(A3668&lt;&gt;"",COUNTIF($A$2:$A$5001,A3668)&gt;1),"NUMERO_PC duplicado",IF(B3668="","DATA_PC vazia",IF(NOT(ISNUMBER(B3668)),"DATA_PC invalida",IF(OR(C3668="",C3668="Fora dos ciclos"),"CICLO_PC nao identificado",IF(OR(D3668="",D3668=0),"VALOR_PC vazio ou zero",IF(AND(G3668&lt;&gt;"Sim",G3668&lt;&gt;"Nao",G3668&lt;&gt;""),"PC_PAGO_A_CONTRATADA invalido",IF(AND(C3668&lt;&gt;"C0",IFERROR(INDEX(parametros!$A$2:$A$6,MATCH(C3668,parametros!$B$2:$B$6,0)),"")="Sim",IFERROR(INDEX(parametros!$H$2:$H$6,MATCH(C3668,parametros!$B$2:$B$6,0)),"")=""),"INICIO_EFEITO ausente: PC "&amp;A3668&amp;" - "&amp;C3668,IF(L3668="","EFEITO_PC nao calculado: PC "&amp;A3668&amp;" - "&amp;C3668,"OK")))))))))</f>
        <v/>
      </c>
      <c r="L3668" s="92" t="str">
        <f>IF(AND(A3668="",B3668="",D3668="",G3668=""),"",IF(OR(B3668="",NOT(ISNUMBER(B3668)),C3668="",C3668="Fora dos ciclos"),"",IF(C3668="C0","Nao",IF(IFERROR(INDEX(parametros!$A$2:$A$6,MATCH(C3668,parametros!$B$2:$B$6,0)),"")&lt;&gt;"Sim","Nao",IF(IFERROR(INDEX(parametros!$H$2:$H$6,MATCH(C3668,parametros!$B$2:$B$6,0)),"")="","",IF(B3668&gt;=IFERROR(INDEX(parametros!$H$2:$H$6,MATCH(C3668,parametros!$B$2:$B$6,0)),""),"Sim","Nao"))))))</f>
        <v/>
      </c>
      <c r="T3668" s="156"/>
      <c r="U3668" s="214" t="str">
        <f t="shared" si="291"/>
        <v/>
      </c>
      <c r="V3668" s="212" t="s">
        <v>50</v>
      </c>
      <c r="W3668" s="100" t="s">
        <v>168</v>
      </c>
      <c r="X3668" s="100" t="s">
        <v>169</v>
      </c>
      <c r="Y3668" s="101" t="s">
        <v>170</v>
      </c>
      <c r="Z3668" s="101" t="s">
        <v>171</v>
      </c>
      <c r="AA3668" s="101" t="s">
        <v>50</v>
      </c>
      <c r="AB3668" s="101" t="s">
        <v>172</v>
      </c>
      <c r="AC3668" s="102" t="s">
        <v>173</v>
      </c>
    </row>
    <row r="3669" spans="1:29" ht="25.5" customHeight="1" x14ac:dyDescent="0.35">
      <c r="A3669" s="392"/>
      <c r="B3669" s="393"/>
      <c r="C3669" s="99" t="str">
        <f>IF(B3669="","",IF(NOT(ISNUMBER(B3669)),"DATA_PC invalida",IF(NOT(ISNUMBER(parametros!$C$2)),"Fora dos ciclos",IF(OR(B3669&lt;parametros!$C$2,(YEAR(B3669)-YEAR(parametros!$C$2))*12+MONTH(B3669)-MONTH(parametros!$C$2)&gt;59),"Fora dos ciclos","C"&amp;INT(((YEAR(B3669)-YEAR(parametros!$C$2))*12+MONTH(B3669)-MONTH(parametros!$C$2))/12)))))</f>
        <v/>
      </c>
      <c r="D3669" s="394"/>
      <c r="E3669" s="78" t="str">
        <f>IF(C3669="","",IFERROR(VLOOKUP(C3669,parametros!$A$11:$E$15,5,0),""))</f>
        <v/>
      </c>
      <c r="F3669" s="79" t="str">
        <f t="shared" si="287"/>
        <v/>
      </c>
      <c r="G3669" s="395"/>
      <c r="H3669" s="91">
        <f t="shared" si="288"/>
        <v>0</v>
      </c>
      <c r="I3669" s="91" t="str">
        <f t="shared" si="289"/>
        <v/>
      </c>
      <c r="J3669" s="91" t="str">
        <f t="shared" si="290"/>
        <v/>
      </c>
      <c r="K3669" s="92" t="str">
        <f>IF(AND(A3669="",B3669="",D3669="",G3669=""),"",IF(AND(A3669&lt;&gt;"",COUNTIF($A$2:$A$5001,A3669)&gt;1),"NUMERO_PC duplicado",IF(B3669="","DATA_PC vazia",IF(NOT(ISNUMBER(B3669)),"DATA_PC invalida",IF(OR(C3669="",C3669="Fora dos ciclos"),"CICLO_PC nao identificado",IF(OR(D3669="",D3669=0),"VALOR_PC vazio ou zero",IF(AND(G3669&lt;&gt;"Sim",G3669&lt;&gt;"Nao",G3669&lt;&gt;""),"PC_PAGO_A_CONTRATADA invalido",IF(AND(C3669&lt;&gt;"C0",IFERROR(INDEX(parametros!$A$2:$A$6,MATCH(C3669,parametros!$B$2:$B$6,0)),"")="Sim",IFERROR(INDEX(parametros!$H$2:$H$6,MATCH(C3669,parametros!$B$2:$B$6,0)),"")=""),"INICIO_EFEITO ausente: PC "&amp;A3669&amp;" - "&amp;C3669,IF(L3669="","EFEITO_PC nao calculado: PC "&amp;A3669&amp;" - "&amp;C3669,"OK")))))))))</f>
        <v/>
      </c>
      <c r="L3669" s="92" t="str">
        <f>IF(AND(A3669="",B3669="",D3669="",G3669=""),"",IF(OR(B3669="",NOT(ISNUMBER(B3669)),C3669="",C3669="Fora dos ciclos"),"",IF(C3669="C0","Nao",IF(IFERROR(INDEX(parametros!$A$2:$A$6,MATCH(C3669,parametros!$B$2:$B$6,0)),"")&lt;&gt;"Sim","Nao",IF(IFERROR(INDEX(parametros!$H$2:$H$6,MATCH(C3669,parametros!$B$2:$B$6,0)),"")="","",IF(B3669&gt;=IFERROR(INDEX(parametros!$H$2:$H$6,MATCH(C3669,parametros!$B$2:$B$6,0)),""),"Sim","Nao"))))))</f>
        <v/>
      </c>
      <c r="T3669" s="156"/>
      <c r="U3669" s="214" t="str">
        <f t="shared" si="291"/>
        <v/>
      </c>
      <c r="V3669" s="212" t="s">
        <v>50</v>
      </c>
      <c r="W3669" s="100" t="s">
        <v>168</v>
      </c>
      <c r="X3669" s="100" t="s">
        <v>169</v>
      </c>
      <c r="Y3669" s="101" t="s">
        <v>170</v>
      </c>
      <c r="Z3669" s="101" t="s">
        <v>171</v>
      </c>
      <c r="AA3669" s="101" t="s">
        <v>50</v>
      </c>
      <c r="AB3669" s="101" t="s">
        <v>172</v>
      </c>
      <c r="AC3669" s="102" t="s">
        <v>173</v>
      </c>
    </row>
    <row r="3670" spans="1:29" ht="25.5" customHeight="1" x14ac:dyDescent="0.35">
      <c r="A3670" s="392"/>
      <c r="B3670" s="393"/>
      <c r="C3670" s="99" t="str">
        <f>IF(B3670="","",IF(NOT(ISNUMBER(B3670)),"DATA_PC invalida",IF(NOT(ISNUMBER(parametros!$C$2)),"Fora dos ciclos",IF(OR(B3670&lt;parametros!$C$2,(YEAR(B3670)-YEAR(parametros!$C$2))*12+MONTH(B3670)-MONTH(parametros!$C$2)&gt;59),"Fora dos ciclos","C"&amp;INT(((YEAR(B3670)-YEAR(parametros!$C$2))*12+MONTH(B3670)-MONTH(parametros!$C$2))/12)))))</f>
        <v/>
      </c>
      <c r="D3670" s="394"/>
      <c r="E3670" s="78" t="str">
        <f>IF(C3670="","",IFERROR(VLOOKUP(C3670,parametros!$A$11:$E$15,5,0),""))</f>
        <v/>
      </c>
      <c r="F3670" s="79" t="str">
        <f t="shared" si="287"/>
        <v/>
      </c>
      <c r="G3670" s="395"/>
      <c r="H3670" s="91">
        <f t="shared" si="288"/>
        <v>0</v>
      </c>
      <c r="I3670" s="91" t="str">
        <f t="shared" si="289"/>
        <v/>
      </c>
      <c r="J3670" s="91" t="str">
        <f t="shared" si="290"/>
        <v/>
      </c>
      <c r="K3670" s="92" t="str">
        <f>IF(AND(A3670="",B3670="",D3670="",G3670=""),"",IF(AND(A3670&lt;&gt;"",COUNTIF($A$2:$A$5001,A3670)&gt;1),"NUMERO_PC duplicado",IF(B3670="","DATA_PC vazia",IF(NOT(ISNUMBER(B3670)),"DATA_PC invalida",IF(OR(C3670="",C3670="Fora dos ciclos"),"CICLO_PC nao identificado",IF(OR(D3670="",D3670=0),"VALOR_PC vazio ou zero",IF(AND(G3670&lt;&gt;"Sim",G3670&lt;&gt;"Nao",G3670&lt;&gt;""),"PC_PAGO_A_CONTRATADA invalido",IF(AND(C3670&lt;&gt;"C0",IFERROR(INDEX(parametros!$A$2:$A$6,MATCH(C3670,parametros!$B$2:$B$6,0)),"")="Sim",IFERROR(INDEX(parametros!$H$2:$H$6,MATCH(C3670,parametros!$B$2:$B$6,0)),"")=""),"INICIO_EFEITO ausente: PC "&amp;A3670&amp;" - "&amp;C3670,IF(L3670="","EFEITO_PC nao calculado: PC "&amp;A3670&amp;" - "&amp;C3670,"OK")))))))))</f>
        <v/>
      </c>
      <c r="L3670" s="92" t="str">
        <f>IF(AND(A3670="",B3670="",D3670="",G3670=""),"",IF(OR(B3670="",NOT(ISNUMBER(B3670)),C3670="",C3670="Fora dos ciclos"),"",IF(C3670="C0","Nao",IF(IFERROR(INDEX(parametros!$A$2:$A$6,MATCH(C3670,parametros!$B$2:$B$6,0)),"")&lt;&gt;"Sim","Nao",IF(IFERROR(INDEX(parametros!$H$2:$H$6,MATCH(C3670,parametros!$B$2:$B$6,0)),"")="","",IF(B3670&gt;=IFERROR(INDEX(parametros!$H$2:$H$6,MATCH(C3670,parametros!$B$2:$B$6,0)),""),"Sim","Nao"))))))</f>
        <v/>
      </c>
      <c r="T3670" s="156"/>
      <c r="U3670" s="214" t="str">
        <f t="shared" si="291"/>
        <v/>
      </c>
      <c r="V3670" s="212" t="s">
        <v>50</v>
      </c>
      <c r="W3670" s="100" t="s">
        <v>168</v>
      </c>
      <c r="X3670" s="100" t="s">
        <v>169</v>
      </c>
      <c r="Y3670" s="101" t="s">
        <v>170</v>
      </c>
      <c r="Z3670" s="101" t="s">
        <v>171</v>
      </c>
      <c r="AA3670" s="101" t="s">
        <v>50</v>
      </c>
      <c r="AB3670" s="101" t="s">
        <v>172</v>
      </c>
      <c r="AC3670" s="102" t="s">
        <v>173</v>
      </c>
    </row>
    <row r="3671" spans="1:29" ht="25.5" customHeight="1" x14ac:dyDescent="0.35">
      <c r="A3671" s="392"/>
      <c r="B3671" s="393"/>
      <c r="C3671" s="99" t="str">
        <f>IF(B3671="","",IF(NOT(ISNUMBER(B3671)),"DATA_PC invalida",IF(NOT(ISNUMBER(parametros!$C$2)),"Fora dos ciclos",IF(OR(B3671&lt;parametros!$C$2,(YEAR(B3671)-YEAR(parametros!$C$2))*12+MONTH(B3671)-MONTH(parametros!$C$2)&gt;59),"Fora dos ciclos","C"&amp;INT(((YEAR(B3671)-YEAR(parametros!$C$2))*12+MONTH(B3671)-MONTH(parametros!$C$2))/12)))))</f>
        <v/>
      </c>
      <c r="D3671" s="394"/>
      <c r="E3671" s="78" t="str">
        <f>IF(C3671="","",IFERROR(VLOOKUP(C3671,parametros!$A$11:$E$15,5,0),""))</f>
        <v/>
      </c>
      <c r="F3671" s="79" t="str">
        <f t="shared" si="287"/>
        <v/>
      </c>
      <c r="G3671" s="395"/>
      <c r="H3671" s="91">
        <f t="shared" si="288"/>
        <v>0</v>
      </c>
      <c r="I3671" s="91" t="str">
        <f t="shared" si="289"/>
        <v/>
      </c>
      <c r="J3671" s="91" t="str">
        <f t="shared" si="290"/>
        <v/>
      </c>
      <c r="K3671" s="92" t="str">
        <f>IF(AND(A3671="",B3671="",D3671="",G3671=""),"",IF(AND(A3671&lt;&gt;"",COUNTIF($A$2:$A$5001,A3671)&gt;1),"NUMERO_PC duplicado",IF(B3671="","DATA_PC vazia",IF(NOT(ISNUMBER(B3671)),"DATA_PC invalida",IF(OR(C3671="",C3671="Fora dos ciclos"),"CICLO_PC nao identificado",IF(OR(D3671="",D3671=0),"VALOR_PC vazio ou zero",IF(AND(G3671&lt;&gt;"Sim",G3671&lt;&gt;"Nao",G3671&lt;&gt;""),"PC_PAGO_A_CONTRATADA invalido",IF(AND(C3671&lt;&gt;"C0",IFERROR(INDEX(parametros!$A$2:$A$6,MATCH(C3671,parametros!$B$2:$B$6,0)),"")="Sim",IFERROR(INDEX(parametros!$H$2:$H$6,MATCH(C3671,parametros!$B$2:$B$6,0)),"")=""),"INICIO_EFEITO ausente: PC "&amp;A3671&amp;" - "&amp;C3671,IF(L3671="","EFEITO_PC nao calculado: PC "&amp;A3671&amp;" - "&amp;C3671,"OK")))))))))</f>
        <v/>
      </c>
      <c r="L3671" s="92" t="str">
        <f>IF(AND(A3671="",B3671="",D3671="",G3671=""),"",IF(OR(B3671="",NOT(ISNUMBER(B3671)),C3671="",C3671="Fora dos ciclos"),"",IF(C3671="C0","Nao",IF(IFERROR(INDEX(parametros!$A$2:$A$6,MATCH(C3671,parametros!$B$2:$B$6,0)),"")&lt;&gt;"Sim","Nao",IF(IFERROR(INDEX(parametros!$H$2:$H$6,MATCH(C3671,parametros!$B$2:$B$6,0)),"")="","",IF(B3671&gt;=IFERROR(INDEX(parametros!$H$2:$H$6,MATCH(C3671,parametros!$B$2:$B$6,0)),""),"Sim","Nao"))))))</f>
        <v/>
      </c>
      <c r="T3671" s="156"/>
      <c r="U3671" s="214" t="str">
        <f t="shared" si="291"/>
        <v/>
      </c>
      <c r="V3671" s="212" t="s">
        <v>50</v>
      </c>
      <c r="W3671" s="100" t="s">
        <v>168</v>
      </c>
      <c r="X3671" s="100" t="s">
        <v>169</v>
      </c>
      <c r="Y3671" s="101" t="s">
        <v>170</v>
      </c>
      <c r="Z3671" s="101" t="s">
        <v>171</v>
      </c>
      <c r="AA3671" s="101" t="s">
        <v>50</v>
      </c>
      <c r="AB3671" s="101" t="s">
        <v>172</v>
      </c>
      <c r="AC3671" s="102" t="s">
        <v>173</v>
      </c>
    </row>
    <row r="3672" spans="1:29" ht="25.5" customHeight="1" x14ac:dyDescent="0.35">
      <c r="A3672" s="392"/>
      <c r="B3672" s="393"/>
      <c r="C3672" s="99" t="str">
        <f>IF(B3672="","",IF(NOT(ISNUMBER(B3672)),"DATA_PC invalida",IF(NOT(ISNUMBER(parametros!$C$2)),"Fora dos ciclos",IF(OR(B3672&lt;parametros!$C$2,(YEAR(B3672)-YEAR(parametros!$C$2))*12+MONTH(B3672)-MONTH(parametros!$C$2)&gt;59),"Fora dos ciclos","C"&amp;INT(((YEAR(B3672)-YEAR(parametros!$C$2))*12+MONTH(B3672)-MONTH(parametros!$C$2))/12)))))</f>
        <v/>
      </c>
      <c r="D3672" s="394"/>
      <c r="E3672" s="78" t="str">
        <f>IF(C3672="","",IFERROR(VLOOKUP(C3672,parametros!$A$11:$E$15,5,0),""))</f>
        <v/>
      </c>
      <c r="F3672" s="79" t="str">
        <f t="shared" si="287"/>
        <v/>
      </c>
      <c r="G3672" s="395"/>
      <c r="H3672" s="91">
        <f t="shared" si="288"/>
        <v>0</v>
      </c>
      <c r="I3672" s="91" t="str">
        <f t="shared" si="289"/>
        <v/>
      </c>
      <c r="J3672" s="91" t="str">
        <f t="shared" si="290"/>
        <v/>
      </c>
      <c r="K3672" s="92" t="str">
        <f>IF(AND(A3672="",B3672="",D3672="",G3672=""),"",IF(AND(A3672&lt;&gt;"",COUNTIF($A$2:$A$5001,A3672)&gt;1),"NUMERO_PC duplicado",IF(B3672="","DATA_PC vazia",IF(NOT(ISNUMBER(B3672)),"DATA_PC invalida",IF(OR(C3672="",C3672="Fora dos ciclos"),"CICLO_PC nao identificado",IF(OR(D3672="",D3672=0),"VALOR_PC vazio ou zero",IF(AND(G3672&lt;&gt;"Sim",G3672&lt;&gt;"Nao",G3672&lt;&gt;""),"PC_PAGO_A_CONTRATADA invalido",IF(AND(C3672&lt;&gt;"C0",IFERROR(INDEX(parametros!$A$2:$A$6,MATCH(C3672,parametros!$B$2:$B$6,0)),"")="Sim",IFERROR(INDEX(parametros!$H$2:$H$6,MATCH(C3672,parametros!$B$2:$B$6,0)),"")=""),"INICIO_EFEITO ausente: PC "&amp;A3672&amp;" - "&amp;C3672,IF(L3672="","EFEITO_PC nao calculado: PC "&amp;A3672&amp;" - "&amp;C3672,"OK")))))))))</f>
        <v/>
      </c>
      <c r="L3672" s="92" t="str">
        <f>IF(AND(A3672="",B3672="",D3672="",G3672=""),"",IF(OR(B3672="",NOT(ISNUMBER(B3672)),C3672="",C3672="Fora dos ciclos"),"",IF(C3672="C0","Nao",IF(IFERROR(INDEX(parametros!$A$2:$A$6,MATCH(C3672,parametros!$B$2:$B$6,0)),"")&lt;&gt;"Sim","Nao",IF(IFERROR(INDEX(parametros!$H$2:$H$6,MATCH(C3672,parametros!$B$2:$B$6,0)),"")="","",IF(B3672&gt;=IFERROR(INDEX(parametros!$H$2:$H$6,MATCH(C3672,parametros!$B$2:$B$6,0)),""),"Sim","Nao"))))))</f>
        <v/>
      </c>
      <c r="T3672" s="156"/>
      <c r="U3672" s="214" t="str">
        <f t="shared" si="291"/>
        <v/>
      </c>
      <c r="V3672" s="212" t="s">
        <v>50</v>
      </c>
      <c r="W3672" s="100" t="s">
        <v>168</v>
      </c>
      <c r="X3672" s="100" t="s">
        <v>169</v>
      </c>
      <c r="Y3672" s="101" t="s">
        <v>170</v>
      </c>
      <c r="Z3672" s="101" t="s">
        <v>171</v>
      </c>
      <c r="AA3672" s="101" t="s">
        <v>50</v>
      </c>
      <c r="AB3672" s="101" t="s">
        <v>172</v>
      </c>
      <c r="AC3672" s="102" t="s">
        <v>173</v>
      </c>
    </row>
    <row r="3673" spans="1:29" ht="25.5" customHeight="1" x14ac:dyDescent="0.35">
      <c r="A3673" s="392"/>
      <c r="B3673" s="393"/>
      <c r="C3673" s="99" t="str">
        <f>IF(B3673="","",IF(NOT(ISNUMBER(B3673)),"DATA_PC invalida",IF(NOT(ISNUMBER(parametros!$C$2)),"Fora dos ciclos",IF(OR(B3673&lt;parametros!$C$2,(YEAR(B3673)-YEAR(parametros!$C$2))*12+MONTH(B3673)-MONTH(parametros!$C$2)&gt;59),"Fora dos ciclos","C"&amp;INT(((YEAR(B3673)-YEAR(parametros!$C$2))*12+MONTH(B3673)-MONTH(parametros!$C$2))/12)))))</f>
        <v/>
      </c>
      <c r="D3673" s="394"/>
      <c r="E3673" s="78" t="str">
        <f>IF(C3673="","",IFERROR(VLOOKUP(C3673,parametros!$A$11:$E$15,5,0),""))</f>
        <v/>
      </c>
      <c r="F3673" s="79" t="str">
        <f t="shared" si="287"/>
        <v/>
      </c>
      <c r="G3673" s="395"/>
      <c r="H3673" s="91">
        <f t="shared" si="288"/>
        <v>0</v>
      </c>
      <c r="I3673" s="91" t="str">
        <f t="shared" si="289"/>
        <v/>
      </c>
      <c r="J3673" s="91" t="str">
        <f t="shared" si="290"/>
        <v/>
      </c>
      <c r="K3673" s="92" t="str">
        <f>IF(AND(A3673="",B3673="",D3673="",G3673=""),"",IF(AND(A3673&lt;&gt;"",COUNTIF($A$2:$A$5001,A3673)&gt;1),"NUMERO_PC duplicado",IF(B3673="","DATA_PC vazia",IF(NOT(ISNUMBER(B3673)),"DATA_PC invalida",IF(OR(C3673="",C3673="Fora dos ciclos"),"CICLO_PC nao identificado",IF(OR(D3673="",D3673=0),"VALOR_PC vazio ou zero",IF(AND(G3673&lt;&gt;"Sim",G3673&lt;&gt;"Nao",G3673&lt;&gt;""),"PC_PAGO_A_CONTRATADA invalido",IF(AND(C3673&lt;&gt;"C0",IFERROR(INDEX(parametros!$A$2:$A$6,MATCH(C3673,parametros!$B$2:$B$6,0)),"")="Sim",IFERROR(INDEX(parametros!$H$2:$H$6,MATCH(C3673,parametros!$B$2:$B$6,0)),"")=""),"INICIO_EFEITO ausente: PC "&amp;A3673&amp;" - "&amp;C3673,IF(L3673="","EFEITO_PC nao calculado: PC "&amp;A3673&amp;" - "&amp;C3673,"OK")))))))))</f>
        <v/>
      </c>
      <c r="L3673" s="92" t="str">
        <f>IF(AND(A3673="",B3673="",D3673="",G3673=""),"",IF(OR(B3673="",NOT(ISNUMBER(B3673)),C3673="",C3673="Fora dos ciclos"),"",IF(C3673="C0","Nao",IF(IFERROR(INDEX(parametros!$A$2:$A$6,MATCH(C3673,parametros!$B$2:$B$6,0)),"")&lt;&gt;"Sim","Nao",IF(IFERROR(INDEX(parametros!$H$2:$H$6,MATCH(C3673,parametros!$B$2:$B$6,0)),"")="","",IF(B3673&gt;=IFERROR(INDEX(parametros!$H$2:$H$6,MATCH(C3673,parametros!$B$2:$B$6,0)),""),"Sim","Nao"))))))</f>
        <v/>
      </c>
      <c r="T3673" s="156"/>
      <c r="U3673" s="214" t="str">
        <f t="shared" si="291"/>
        <v/>
      </c>
      <c r="V3673" s="212" t="s">
        <v>50</v>
      </c>
      <c r="W3673" s="100" t="s">
        <v>168</v>
      </c>
      <c r="X3673" s="100" t="s">
        <v>169</v>
      </c>
      <c r="Y3673" s="101" t="s">
        <v>170</v>
      </c>
      <c r="Z3673" s="101" t="s">
        <v>171</v>
      </c>
      <c r="AA3673" s="101" t="s">
        <v>50</v>
      </c>
      <c r="AB3673" s="101" t="s">
        <v>172</v>
      </c>
      <c r="AC3673" s="102" t="s">
        <v>173</v>
      </c>
    </row>
    <row r="3674" spans="1:29" ht="25.5" customHeight="1" x14ac:dyDescent="0.35">
      <c r="A3674" s="392"/>
      <c r="B3674" s="393"/>
      <c r="C3674" s="99" t="str">
        <f>IF(B3674="","",IF(NOT(ISNUMBER(B3674)),"DATA_PC invalida",IF(NOT(ISNUMBER(parametros!$C$2)),"Fora dos ciclos",IF(OR(B3674&lt;parametros!$C$2,(YEAR(B3674)-YEAR(parametros!$C$2))*12+MONTH(B3674)-MONTH(parametros!$C$2)&gt;59),"Fora dos ciclos","C"&amp;INT(((YEAR(B3674)-YEAR(parametros!$C$2))*12+MONTH(B3674)-MONTH(parametros!$C$2))/12)))))</f>
        <v/>
      </c>
      <c r="D3674" s="394"/>
      <c r="E3674" s="78" t="str">
        <f>IF(C3674="","",IFERROR(VLOOKUP(C3674,parametros!$A$11:$E$15,5,0),""))</f>
        <v/>
      </c>
      <c r="F3674" s="79" t="str">
        <f t="shared" si="287"/>
        <v/>
      </c>
      <c r="G3674" s="395"/>
      <c r="H3674" s="91">
        <f t="shared" si="288"/>
        <v>0</v>
      </c>
      <c r="I3674" s="91" t="str">
        <f t="shared" si="289"/>
        <v/>
      </c>
      <c r="J3674" s="91" t="str">
        <f t="shared" si="290"/>
        <v/>
      </c>
      <c r="K3674" s="92" t="str">
        <f>IF(AND(A3674="",B3674="",D3674="",G3674=""),"",IF(AND(A3674&lt;&gt;"",COUNTIF($A$2:$A$5001,A3674)&gt;1),"NUMERO_PC duplicado",IF(B3674="","DATA_PC vazia",IF(NOT(ISNUMBER(B3674)),"DATA_PC invalida",IF(OR(C3674="",C3674="Fora dos ciclos"),"CICLO_PC nao identificado",IF(OR(D3674="",D3674=0),"VALOR_PC vazio ou zero",IF(AND(G3674&lt;&gt;"Sim",G3674&lt;&gt;"Nao",G3674&lt;&gt;""),"PC_PAGO_A_CONTRATADA invalido",IF(AND(C3674&lt;&gt;"C0",IFERROR(INDEX(parametros!$A$2:$A$6,MATCH(C3674,parametros!$B$2:$B$6,0)),"")="Sim",IFERROR(INDEX(parametros!$H$2:$H$6,MATCH(C3674,parametros!$B$2:$B$6,0)),"")=""),"INICIO_EFEITO ausente: PC "&amp;A3674&amp;" - "&amp;C3674,IF(L3674="","EFEITO_PC nao calculado: PC "&amp;A3674&amp;" - "&amp;C3674,"OK")))))))))</f>
        <v/>
      </c>
      <c r="L3674" s="92" t="str">
        <f>IF(AND(A3674="",B3674="",D3674="",G3674=""),"",IF(OR(B3674="",NOT(ISNUMBER(B3674)),C3674="",C3674="Fora dos ciclos"),"",IF(C3674="C0","Nao",IF(IFERROR(INDEX(parametros!$A$2:$A$6,MATCH(C3674,parametros!$B$2:$B$6,0)),"")&lt;&gt;"Sim","Nao",IF(IFERROR(INDEX(parametros!$H$2:$H$6,MATCH(C3674,parametros!$B$2:$B$6,0)),"")="","",IF(B3674&gt;=IFERROR(INDEX(parametros!$H$2:$H$6,MATCH(C3674,parametros!$B$2:$B$6,0)),""),"Sim","Nao"))))))</f>
        <v/>
      </c>
      <c r="T3674" s="156"/>
      <c r="U3674" s="214" t="str">
        <f t="shared" si="291"/>
        <v/>
      </c>
      <c r="V3674" s="212" t="s">
        <v>50</v>
      </c>
      <c r="W3674" s="100" t="s">
        <v>168</v>
      </c>
      <c r="X3674" s="100" t="s">
        <v>169</v>
      </c>
      <c r="Y3674" s="101" t="s">
        <v>170</v>
      </c>
      <c r="Z3674" s="101" t="s">
        <v>171</v>
      </c>
      <c r="AA3674" s="101" t="s">
        <v>50</v>
      </c>
      <c r="AB3674" s="101" t="s">
        <v>172</v>
      </c>
      <c r="AC3674" s="102" t="s">
        <v>173</v>
      </c>
    </row>
    <row r="3675" spans="1:29" ht="25.5" customHeight="1" x14ac:dyDescent="0.35">
      <c r="A3675" s="392"/>
      <c r="B3675" s="393"/>
      <c r="C3675" s="99" t="str">
        <f>IF(B3675="","",IF(NOT(ISNUMBER(B3675)),"DATA_PC invalida",IF(NOT(ISNUMBER(parametros!$C$2)),"Fora dos ciclos",IF(OR(B3675&lt;parametros!$C$2,(YEAR(B3675)-YEAR(parametros!$C$2))*12+MONTH(B3675)-MONTH(parametros!$C$2)&gt;59),"Fora dos ciclos","C"&amp;INT(((YEAR(B3675)-YEAR(parametros!$C$2))*12+MONTH(B3675)-MONTH(parametros!$C$2))/12)))))</f>
        <v/>
      </c>
      <c r="D3675" s="394"/>
      <c r="E3675" s="78" t="str">
        <f>IF(C3675="","",IFERROR(VLOOKUP(C3675,parametros!$A$11:$E$15,5,0),""))</f>
        <v/>
      </c>
      <c r="F3675" s="79" t="str">
        <f t="shared" si="287"/>
        <v/>
      </c>
      <c r="G3675" s="395"/>
      <c r="H3675" s="91">
        <f t="shared" si="288"/>
        <v>0</v>
      </c>
      <c r="I3675" s="91" t="str">
        <f t="shared" si="289"/>
        <v/>
      </c>
      <c r="J3675" s="91" t="str">
        <f t="shared" si="290"/>
        <v/>
      </c>
      <c r="K3675" s="92" t="str">
        <f>IF(AND(A3675="",B3675="",D3675="",G3675=""),"",IF(AND(A3675&lt;&gt;"",COUNTIF($A$2:$A$5001,A3675)&gt;1),"NUMERO_PC duplicado",IF(B3675="","DATA_PC vazia",IF(NOT(ISNUMBER(B3675)),"DATA_PC invalida",IF(OR(C3675="",C3675="Fora dos ciclos"),"CICLO_PC nao identificado",IF(OR(D3675="",D3675=0),"VALOR_PC vazio ou zero",IF(AND(G3675&lt;&gt;"Sim",G3675&lt;&gt;"Nao",G3675&lt;&gt;""),"PC_PAGO_A_CONTRATADA invalido",IF(AND(C3675&lt;&gt;"C0",IFERROR(INDEX(parametros!$A$2:$A$6,MATCH(C3675,parametros!$B$2:$B$6,0)),"")="Sim",IFERROR(INDEX(parametros!$H$2:$H$6,MATCH(C3675,parametros!$B$2:$B$6,0)),"")=""),"INICIO_EFEITO ausente: PC "&amp;A3675&amp;" - "&amp;C3675,IF(L3675="","EFEITO_PC nao calculado: PC "&amp;A3675&amp;" - "&amp;C3675,"OK")))))))))</f>
        <v/>
      </c>
      <c r="L3675" s="92" t="str">
        <f>IF(AND(A3675="",B3675="",D3675="",G3675=""),"",IF(OR(B3675="",NOT(ISNUMBER(B3675)),C3675="",C3675="Fora dos ciclos"),"",IF(C3675="C0","Nao",IF(IFERROR(INDEX(parametros!$A$2:$A$6,MATCH(C3675,parametros!$B$2:$B$6,0)),"")&lt;&gt;"Sim","Nao",IF(IFERROR(INDEX(parametros!$H$2:$H$6,MATCH(C3675,parametros!$B$2:$B$6,0)),"")="","",IF(B3675&gt;=IFERROR(INDEX(parametros!$H$2:$H$6,MATCH(C3675,parametros!$B$2:$B$6,0)),""),"Sim","Nao"))))))</f>
        <v/>
      </c>
      <c r="T3675" s="156"/>
      <c r="U3675" s="214" t="str">
        <f t="shared" si="291"/>
        <v/>
      </c>
      <c r="V3675" s="212" t="s">
        <v>50</v>
      </c>
      <c r="W3675" s="100" t="s">
        <v>168</v>
      </c>
      <c r="X3675" s="100" t="s">
        <v>169</v>
      </c>
      <c r="Y3675" s="101" t="s">
        <v>170</v>
      </c>
      <c r="Z3675" s="101" t="s">
        <v>171</v>
      </c>
      <c r="AA3675" s="101" t="s">
        <v>50</v>
      </c>
      <c r="AB3675" s="101" t="s">
        <v>172</v>
      </c>
      <c r="AC3675" s="102" t="s">
        <v>173</v>
      </c>
    </row>
    <row r="3676" spans="1:29" ht="25.5" customHeight="1" x14ac:dyDescent="0.35">
      <c r="A3676" s="392"/>
      <c r="B3676" s="393"/>
      <c r="C3676" s="99" t="str">
        <f>IF(B3676="","",IF(NOT(ISNUMBER(B3676)),"DATA_PC invalida",IF(NOT(ISNUMBER(parametros!$C$2)),"Fora dos ciclos",IF(OR(B3676&lt;parametros!$C$2,(YEAR(B3676)-YEAR(parametros!$C$2))*12+MONTH(B3676)-MONTH(parametros!$C$2)&gt;59),"Fora dos ciclos","C"&amp;INT(((YEAR(B3676)-YEAR(parametros!$C$2))*12+MONTH(B3676)-MONTH(parametros!$C$2))/12)))))</f>
        <v/>
      </c>
      <c r="D3676" s="394"/>
      <c r="E3676" s="78" t="str">
        <f>IF(C3676="","",IFERROR(VLOOKUP(C3676,parametros!$A$11:$E$15,5,0),""))</f>
        <v/>
      </c>
      <c r="F3676" s="79" t="str">
        <f t="shared" si="287"/>
        <v/>
      </c>
      <c r="G3676" s="395"/>
      <c r="H3676" s="91">
        <f t="shared" si="288"/>
        <v>0</v>
      </c>
      <c r="I3676" s="91" t="str">
        <f t="shared" si="289"/>
        <v/>
      </c>
      <c r="J3676" s="91" t="str">
        <f t="shared" si="290"/>
        <v/>
      </c>
      <c r="K3676" s="92" t="str">
        <f>IF(AND(A3676="",B3676="",D3676="",G3676=""),"",IF(AND(A3676&lt;&gt;"",COUNTIF($A$2:$A$5001,A3676)&gt;1),"NUMERO_PC duplicado",IF(B3676="","DATA_PC vazia",IF(NOT(ISNUMBER(B3676)),"DATA_PC invalida",IF(OR(C3676="",C3676="Fora dos ciclos"),"CICLO_PC nao identificado",IF(OR(D3676="",D3676=0),"VALOR_PC vazio ou zero",IF(AND(G3676&lt;&gt;"Sim",G3676&lt;&gt;"Nao",G3676&lt;&gt;""),"PC_PAGO_A_CONTRATADA invalido",IF(AND(C3676&lt;&gt;"C0",IFERROR(INDEX(parametros!$A$2:$A$6,MATCH(C3676,parametros!$B$2:$B$6,0)),"")="Sim",IFERROR(INDEX(parametros!$H$2:$H$6,MATCH(C3676,parametros!$B$2:$B$6,0)),"")=""),"INICIO_EFEITO ausente: PC "&amp;A3676&amp;" - "&amp;C3676,IF(L3676="","EFEITO_PC nao calculado: PC "&amp;A3676&amp;" - "&amp;C3676,"OK")))))))))</f>
        <v/>
      </c>
      <c r="L3676" s="92" t="str">
        <f>IF(AND(A3676="",B3676="",D3676="",G3676=""),"",IF(OR(B3676="",NOT(ISNUMBER(B3676)),C3676="",C3676="Fora dos ciclos"),"",IF(C3676="C0","Nao",IF(IFERROR(INDEX(parametros!$A$2:$A$6,MATCH(C3676,parametros!$B$2:$B$6,0)),"")&lt;&gt;"Sim","Nao",IF(IFERROR(INDEX(parametros!$H$2:$H$6,MATCH(C3676,parametros!$B$2:$B$6,0)),"")="","",IF(B3676&gt;=IFERROR(INDEX(parametros!$H$2:$H$6,MATCH(C3676,parametros!$B$2:$B$6,0)),""),"Sim","Nao"))))))</f>
        <v/>
      </c>
      <c r="T3676" s="156"/>
      <c r="U3676" s="214" t="str">
        <f t="shared" si="291"/>
        <v/>
      </c>
      <c r="V3676" s="212" t="s">
        <v>50</v>
      </c>
      <c r="W3676" s="100" t="s">
        <v>168</v>
      </c>
      <c r="X3676" s="100" t="s">
        <v>169</v>
      </c>
      <c r="Y3676" s="101" t="s">
        <v>170</v>
      </c>
      <c r="Z3676" s="101" t="s">
        <v>171</v>
      </c>
      <c r="AA3676" s="101" t="s">
        <v>50</v>
      </c>
      <c r="AB3676" s="101" t="s">
        <v>172</v>
      </c>
      <c r="AC3676" s="102" t="s">
        <v>173</v>
      </c>
    </row>
    <row r="3677" spans="1:29" ht="25.5" customHeight="1" x14ac:dyDescent="0.35">
      <c r="A3677" s="392"/>
      <c r="B3677" s="393"/>
      <c r="C3677" s="99" t="str">
        <f>IF(B3677="","",IF(NOT(ISNUMBER(B3677)),"DATA_PC invalida",IF(NOT(ISNUMBER(parametros!$C$2)),"Fora dos ciclos",IF(OR(B3677&lt;parametros!$C$2,(YEAR(B3677)-YEAR(parametros!$C$2))*12+MONTH(B3677)-MONTH(parametros!$C$2)&gt;59),"Fora dos ciclos","C"&amp;INT(((YEAR(B3677)-YEAR(parametros!$C$2))*12+MONTH(B3677)-MONTH(parametros!$C$2))/12)))))</f>
        <v/>
      </c>
      <c r="D3677" s="394"/>
      <c r="E3677" s="78" t="str">
        <f>IF(C3677="","",IFERROR(VLOOKUP(C3677,parametros!$A$11:$E$15,5,0),""))</f>
        <v/>
      </c>
      <c r="F3677" s="79" t="str">
        <f t="shared" si="287"/>
        <v/>
      </c>
      <c r="G3677" s="395"/>
      <c r="H3677" s="91">
        <f t="shared" si="288"/>
        <v>0</v>
      </c>
      <c r="I3677" s="91" t="str">
        <f t="shared" si="289"/>
        <v/>
      </c>
      <c r="J3677" s="91" t="str">
        <f t="shared" si="290"/>
        <v/>
      </c>
      <c r="K3677" s="92" t="str">
        <f>IF(AND(A3677="",B3677="",D3677="",G3677=""),"",IF(AND(A3677&lt;&gt;"",COUNTIF($A$2:$A$5001,A3677)&gt;1),"NUMERO_PC duplicado",IF(B3677="","DATA_PC vazia",IF(NOT(ISNUMBER(B3677)),"DATA_PC invalida",IF(OR(C3677="",C3677="Fora dos ciclos"),"CICLO_PC nao identificado",IF(OR(D3677="",D3677=0),"VALOR_PC vazio ou zero",IF(AND(G3677&lt;&gt;"Sim",G3677&lt;&gt;"Nao",G3677&lt;&gt;""),"PC_PAGO_A_CONTRATADA invalido",IF(AND(C3677&lt;&gt;"C0",IFERROR(INDEX(parametros!$A$2:$A$6,MATCH(C3677,parametros!$B$2:$B$6,0)),"")="Sim",IFERROR(INDEX(parametros!$H$2:$H$6,MATCH(C3677,parametros!$B$2:$B$6,0)),"")=""),"INICIO_EFEITO ausente: PC "&amp;A3677&amp;" - "&amp;C3677,IF(L3677="","EFEITO_PC nao calculado: PC "&amp;A3677&amp;" - "&amp;C3677,"OK")))))))))</f>
        <v/>
      </c>
      <c r="L3677" s="92" t="str">
        <f>IF(AND(A3677="",B3677="",D3677="",G3677=""),"",IF(OR(B3677="",NOT(ISNUMBER(B3677)),C3677="",C3677="Fora dos ciclos"),"",IF(C3677="C0","Nao",IF(IFERROR(INDEX(parametros!$A$2:$A$6,MATCH(C3677,parametros!$B$2:$B$6,0)),"")&lt;&gt;"Sim","Nao",IF(IFERROR(INDEX(parametros!$H$2:$H$6,MATCH(C3677,parametros!$B$2:$B$6,0)),"")="","",IF(B3677&gt;=IFERROR(INDEX(parametros!$H$2:$H$6,MATCH(C3677,parametros!$B$2:$B$6,0)),""),"Sim","Nao"))))))</f>
        <v/>
      </c>
      <c r="T3677" s="156"/>
      <c r="U3677" s="214" t="str">
        <f t="shared" si="291"/>
        <v/>
      </c>
      <c r="V3677" s="212" t="s">
        <v>50</v>
      </c>
      <c r="W3677" s="100" t="s">
        <v>168</v>
      </c>
      <c r="X3677" s="100" t="s">
        <v>169</v>
      </c>
      <c r="Y3677" s="101" t="s">
        <v>170</v>
      </c>
      <c r="Z3677" s="101" t="s">
        <v>171</v>
      </c>
      <c r="AA3677" s="101" t="s">
        <v>50</v>
      </c>
      <c r="AB3677" s="101" t="s">
        <v>172</v>
      </c>
      <c r="AC3677" s="102" t="s">
        <v>173</v>
      </c>
    </row>
    <row r="3678" spans="1:29" ht="25.5" customHeight="1" x14ac:dyDescent="0.35">
      <c r="A3678" s="392"/>
      <c r="B3678" s="393"/>
      <c r="C3678" s="99" t="str">
        <f>IF(B3678="","",IF(NOT(ISNUMBER(B3678)),"DATA_PC invalida",IF(NOT(ISNUMBER(parametros!$C$2)),"Fora dos ciclos",IF(OR(B3678&lt;parametros!$C$2,(YEAR(B3678)-YEAR(parametros!$C$2))*12+MONTH(B3678)-MONTH(parametros!$C$2)&gt;59),"Fora dos ciclos","C"&amp;INT(((YEAR(B3678)-YEAR(parametros!$C$2))*12+MONTH(B3678)-MONTH(parametros!$C$2))/12)))))</f>
        <v/>
      </c>
      <c r="D3678" s="394"/>
      <c r="E3678" s="78" t="str">
        <f>IF(C3678="","",IFERROR(VLOOKUP(C3678,parametros!$A$11:$E$15,5,0),""))</f>
        <v/>
      </c>
      <c r="F3678" s="79" t="str">
        <f t="shared" si="287"/>
        <v/>
      </c>
      <c r="G3678" s="395"/>
      <c r="H3678" s="91">
        <f t="shared" si="288"/>
        <v>0</v>
      </c>
      <c r="I3678" s="91" t="str">
        <f t="shared" si="289"/>
        <v/>
      </c>
      <c r="J3678" s="91" t="str">
        <f t="shared" si="290"/>
        <v/>
      </c>
      <c r="K3678" s="92" t="str">
        <f>IF(AND(A3678="",B3678="",D3678="",G3678=""),"",IF(AND(A3678&lt;&gt;"",COUNTIF($A$2:$A$5001,A3678)&gt;1),"NUMERO_PC duplicado",IF(B3678="","DATA_PC vazia",IF(NOT(ISNUMBER(B3678)),"DATA_PC invalida",IF(OR(C3678="",C3678="Fora dos ciclos"),"CICLO_PC nao identificado",IF(OR(D3678="",D3678=0),"VALOR_PC vazio ou zero",IF(AND(G3678&lt;&gt;"Sim",G3678&lt;&gt;"Nao",G3678&lt;&gt;""),"PC_PAGO_A_CONTRATADA invalido",IF(AND(C3678&lt;&gt;"C0",IFERROR(INDEX(parametros!$A$2:$A$6,MATCH(C3678,parametros!$B$2:$B$6,0)),"")="Sim",IFERROR(INDEX(parametros!$H$2:$H$6,MATCH(C3678,parametros!$B$2:$B$6,0)),"")=""),"INICIO_EFEITO ausente: PC "&amp;A3678&amp;" - "&amp;C3678,IF(L3678="","EFEITO_PC nao calculado: PC "&amp;A3678&amp;" - "&amp;C3678,"OK")))))))))</f>
        <v/>
      </c>
      <c r="L3678" s="92" t="str">
        <f>IF(AND(A3678="",B3678="",D3678="",G3678=""),"",IF(OR(B3678="",NOT(ISNUMBER(B3678)),C3678="",C3678="Fora dos ciclos"),"",IF(C3678="C0","Nao",IF(IFERROR(INDEX(parametros!$A$2:$A$6,MATCH(C3678,parametros!$B$2:$B$6,0)),"")&lt;&gt;"Sim","Nao",IF(IFERROR(INDEX(parametros!$H$2:$H$6,MATCH(C3678,parametros!$B$2:$B$6,0)),"")="","",IF(B3678&gt;=IFERROR(INDEX(parametros!$H$2:$H$6,MATCH(C3678,parametros!$B$2:$B$6,0)),""),"Sim","Nao"))))))</f>
        <v/>
      </c>
      <c r="T3678" s="156"/>
      <c r="U3678" s="214" t="str">
        <f t="shared" si="291"/>
        <v/>
      </c>
      <c r="V3678" s="212" t="s">
        <v>50</v>
      </c>
      <c r="W3678" s="100" t="s">
        <v>168</v>
      </c>
      <c r="X3678" s="100" t="s">
        <v>169</v>
      </c>
      <c r="Y3678" s="101" t="s">
        <v>170</v>
      </c>
      <c r="Z3678" s="101" t="s">
        <v>171</v>
      </c>
      <c r="AA3678" s="101" t="s">
        <v>50</v>
      </c>
      <c r="AB3678" s="101" t="s">
        <v>172</v>
      </c>
      <c r="AC3678" s="102" t="s">
        <v>173</v>
      </c>
    </row>
    <row r="3679" spans="1:29" ht="25.5" customHeight="1" x14ac:dyDescent="0.35">
      <c r="A3679" s="392"/>
      <c r="B3679" s="393"/>
      <c r="C3679" s="99" t="str">
        <f>IF(B3679="","",IF(NOT(ISNUMBER(B3679)),"DATA_PC invalida",IF(NOT(ISNUMBER(parametros!$C$2)),"Fora dos ciclos",IF(OR(B3679&lt;parametros!$C$2,(YEAR(B3679)-YEAR(parametros!$C$2))*12+MONTH(B3679)-MONTH(parametros!$C$2)&gt;59),"Fora dos ciclos","C"&amp;INT(((YEAR(B3679)-YEAR(parametros!$C$2))*12+MONTH(B3679)-MONTH(parametros!$C$2))/12)))))</f>
        <v/>
      </c>
      <c r="D3679" s="394"/>
      <c r="E3679" s="78" t="str">
        <f>IF(C3679="","",IFERROR(VLOOKUP(C3679,parametros!$A$11:$E$15,5,0),""))</f>
        <v/>
      </c>
      <c r="F3679" s="79" t="str">
        <f t="shared" si="287"/>
        <v/>
      </c>
      <c r="G3679" s="395"/>
      <c r="H3679" s="91">
        <f t="shared" si="288"/>
        <v>0</v>
      </c>
      <c r="I3679" s="91" t="str">
        <f t="shared" si="289"/>
        <v/>
      </c>
      <c r="J3679" s="91" t="str">
        <f t="shared" si="290"/>
        <v/>
      </c>
      <c r="K3679" s="92" t="str">
        <f>IF(AND(A3679="",B3679="",D3679="",G3679=""),"",IF(AND(A3679&lt;&gt;"",COUNTIF($A$2:$A$5001,A3679)&gt;1),"NUMERO_PC duplicado",IF(B3679="","DATA_PC vazia",IF(NOT(ISNUMBER(B3679)),"DATA_PC invalida",IF(OR(C3679="",C3679="Fora dos ciclos"),"CICLO_PC nao identificado",IF(OR(D3679="",D3679=0),"VALOR_PC vazio ou zero",IF(AND(G3679&lt;&gt;"Sim",G3679&lt;&gt;"Nao",G3679&lt;&gt;""),"PC_PAGO_A_CONTRATADA invalido",IF(AND(C3679&lt;&gt;"C0",IFERROR(INDEX(parametros!$A$2:$A$6,MATCH(C3679,parametros!$B$2:$B$6,0)),"")="Sim",IFERROR(INDEX(parametros!$H$2:$H$6,MATCH(C3679,parametros!$B$2:$B$6,0)),"")=""),"INICIO_EFEITO ausente: PC "&amp;A3679&amp;" - "&amp;C3679,IF(L3679="","EFEITO_PC nao calculado: PC "&amp;A3679&amp;" - "&amp;C3679,"OK")))))))))</f>
        <v/>
      </c>
      <c r="L3679" s="92" t="str">
        <f>IF(AND(A3679="",B3679="",D3679="",G3679=""),"",IF(OR(B3679="",NOT(ISNUMBER(B3679)),C3679="",C3679="Fora dos ciclos"),"",IF(C3679="C0","Nao",IF(IFERROR(INDEX(parametros!$A$2:$A$6,MATCH(C3679,parametros!$B$2:$B$6,0)),"")&lt;&gt;"Sim","Nao",IF(IFERROR(INDEX(parametros!$H$2:$H$6,MATCH(C3679,parametros!$B$2:$B$6,0)),"")="","",IF(B3679&gt;=IFERROR(INDEX(parametros!$H$2:$H$6,MATCH(C3679,parametros!$B$2:$B$6,0)),""),"Sim","Nao"))))))</f>
        <v/>
      </c>
      <c r="T3679" s="156"/>
      <c r="U3679" s="214" t="str">
        <f t="shared" si="291"/>
        <v/>
      </c>
      <c r="V3679" s="212" t="s">
        <v>50</v>
      </c>
      <c r="W3679" s="100" t="s">
        <v>168</v>
      </c>
      <c r="X3679" s="100" t="s">
        <v>169</v>
      </c>
      <c r="Y3679" s="101" t="s">
        <v>170</v>
      </c>
      <c r="Z3679" s="101" t="s">
        <v>171</v>
      </c>
      <c r="AA3679" s="101" t="s">
        <v>50</v>
      </c>
      <c r="AB3679" s="101" t="s">
        <v>172</v>
      </c>
      <c r="AC3679" s="102" t="s">
        <v>173</v>
      </c>
    </row>
    <row r="3680" spans="1:29" ht="25.5" customHeight="1" x14ac:dyDescent="0.35">
      <c r="A3680" s="392"/>
      <c r="B3680" s="393"/>
      <c r="C3680" s="99" t="str">
        <f>IF(B3680="","",IF(NOT(ISNUMBER(B3680)),"DATA_PC invalida",IF(NOT(ISNUMBER(parametros!$C$2)),"Fora dos ciclos",IF(OR(B3680&lt;parametros!$C$2,(YEAR(B3680)-YEAR(parametros!$C$2))*12+MONTH(B3680)-MONTH(parametros!$C$2)&gt;59),"Fora dos ciclos","C"&amp;INT(((YEAR(B3680)-YEAR(parametros!$C$2))*12+MONTH(B3680)-MONTH(parametros!$C$2))/12)))))</f>
        <v/>
      </c>
      <c r="D3680" s="394"/>
      <c r="E3680" s="78" t="str">
        <f>IF(C3680="","",IFERROR(VLOOKUP(C3680,parametros!$A$11:$E$15,5,0),""))</f>
        <v/>
      </c>
      <c r="F3680" s="79" t="str">
        <f t="shared" si="287"/>
        <v/>
      </c>
      <c r="G3680" s="395"/>
      <c r="H3680" s="91">
        <f t="shared" si="288"/>
        <v>0</v>
      </c>
      <c r="I3680" s="91" t="str">
        <f t="shared" si="289"/>
        <v/>
      </c>
      <c r="J3680" s="91" t="str">
        <f t="shared" si="290"/>
        <v/>
      </c>
      <c r="K3680" s="92" t="str">
        <f>IF(AND(A3680="",B3680="",D3680="",G3680=""),"",IF(AND(A3680&lt;&gt;"",COUNTIF($A$2:$A$5001,A3680)&gt;1),"NUMERO_PC duplicado",IF(B3680="","DATA_PC vazia",IF(NOT(ISNUMBER(B3680)),"DATA_PC invalida",IF(OR(C3680="",C3680="Fora dos ciclos"),"CICLO_PC nao identificado",IF(OR(D3680="",D3680=0),"VALOR_PC vazio ou zero",IF(AND(G3680&lt;&gt;"Sim",G3680&lt;&gt;"Nao",G3680&lt;&gt;""),"PC_PAGO_A_CONTRATADA invalido",IF(AND(C3680&lt;&gt;"C0",IFERROR(INDEX(parametros!$A$2:$A$6,MATCH(C3680,parametros!$B$2:$B$6,0)),"")="Sim",IFERROR(INDEX(parametros!$H$2:$H$6,MATCH(C3680,parametros!$B$2:$B$6,0)),"")=""),"INICIO_EFEITO ausente: PC "&amp;A3680&amp;" - "&amp;C3680,IF(L3680="","EFEITO_PC nao calculado: PC "&amp;A3680&amp;" - "&amp;C3680,"OK")))))))))</f>
        <v/>
      </c>
      <c r="L3680" s="92" t="str">
        <f>IF(AND(A3680="",B3680="",D3680="",G3680=""),"",IF(OR(B3680="",NOT(ISNUMBER(B3680)),C3680="",C3680="Fora dos ciclos"),"",IF(C3680="C0","Nao",IF(IFERROR(INDEX(parametros!$A$2:$A$6,MATCH(C3680,parametros!$B$2:$B$6,0)),"")&lt;&gt;"Sim","Nao",IF(IFERROR(INDEX(parametros!$H$2:$H$6,MATCH(C3680,parametros!$B$2:$B$6,0)),"")="","",IF(B3680&gt;=IFERROR(INDEX(parametros!$H$2:$H$6,MATCH(C3680,parametros!$B$2:$B$6,0)),""),"Sim","Nao"))))))</f>
        <v/>
      </c>
      <c r="T3680" s="156"/>
      <c r="U3680" s="214" t="str">
        <f t="shared" si="291"/>
        <v/>
      </c>
      <c r="V3680" s="212" t="s">
        <v>50</v>
      </c>
      <c r="W3680" s="100" t="s">
        <v>168</v>
      </c>
      <c r="X3680" s="100" t="s">
        <v>169</v>
      </c>
      <c r="Y3680" s="101" t="s">
        <v>170</v>
      </c>
      <c r="Z3680" s="101" t="s">
        <v>171</v>
      </c>
      <c r="AA3680" s="101" t="s">
        <v>50</v>
      </c>
      <c r="AB3680" s="101" t="s">
        <v>172</v>
      </c>
      <c r="AC3680" s="102" t="s">
        <v>173</v>
      </c>
    </row>
    <row r="3681" spans="1:29" ht="25.5" customHeight="1" x14ac:dyDescent="0.35">
      <c r="A3681" s="392"/>
      <c r="B3681" s="393"/>
      <c r="C3681" s="99" t="str">
        <f>IF(B3681="","",IF(NOT(ISNUMBER(B3681)),"DATA_PC invalida",IF(NOT(ISNUMBER(parametros!$C$2)),"Fora dos ciclos",IF(OR(B3681&lt;parametros!$C$2,(YEAR(B3681)-YEAR(parametros!$C$2))*12+MONTH(B3681)-MONTH(parametros!$C$2)&gt;59),"Fora dos ciclos","C"&amp;INT(((YEAR(B3681)-YEAR(parametros!$C$2))*12+MONTH(B3681)-MONTH(parametros!$C$2))/12)))))</f>
        <v/>
      </c>
      <c r="D3681" s="394"/>
      <c r="E3681" s="78" t="str">
        <f>IF(C3681="","",IFERROR(VLOOKUP(C3681,parametros!$A$11:$E$15,5,0),""))</f>
        <v/>
      </c>
      <c r="F3681" s="79" t="str">
        <f t="shared" si="287"/>
        <v/>
      </c>
      <c r="G3681" s="395"/>
      <c r="H3681" s="91">
        <f t="shared" si="288"/>
        <v>0</v>
      </c>
      <c r="I3681" s="91" t="str">
        <f t="shared" si="289"/>
        <v/>
      </c>
      <c r="J3681" s="91" t="str">
        <f t="shared" si="290"/>
        <v/>
      </c>
      <c r="K3681" s="92" t="str">
        <f>IF(AND(A3681="",B3681="",D3681="",G3681=""),"",IF(AND(A3681&lt;&gt;"",COUNTIF($A$2:$A$5001,A3681)&gt;1),"NUMERO_PC duplicado",IF(B3681="","DATA_PC vazia",IF(NOT(ISNUMBER(B3681)),"DATA_PC invalida",IF(OR(C3681="",C3681="Fora dos ciclos"),"CICLO_PC nao identificado",IF(OR(D3681="",D3681=0),"VALOR_PC vazio ou zero",IF(AND(G3681&lt;&gt;"Sim",G3681&lt;&gt;"Nao",G3681&lt;&gt;""),"PC_PAGO_A_CONTRATADA invalido",IF(AND(C3681&lt;&gt;"C0",IFERROR(INDEX(parametros!$A$2:$A$6,MATCH(C3681,parametros!$B$2:$B$6,0)),"")="Sim",IFERROR(INDEX(parametros!$H$2:$H$6,MATCH(C3681,parametros!$B$2:$B$6,0)),"")=""),"INICIO_EFEITO ausente: PC "&amp;A3681&amp;" - "&amp;C3681,IF(L3681="","EFEITO_PC nao calculado: PC "&amp;A3681&amp;" - "&amp;C3681,"OK")))))))))</f>
        <v/>
      </c>
      <c r="L3681" s="92" t="str">
        <f>IF(AND(A3681="",B3681="",D3681="",G3681=""),"",IF(OR(B3681="",NOT(ISNUMBER(B3681)),C3681="",C3681="Fora dos ciclos"),"",IF(C3681="C0","Nao",IF(IFERROR(INDEX(parametros!$A$2:$A$6,MATCH(C3681,parametros!$B$2:$B$6,0)),"")&lt;&gt;"Sim","Nao",IF(IFERROR(INDEX(parametros!$H$2:$H$6,MATCH(C3681,parametros!$B$2:$B$6,0)),"")="","",IF(B3681&gt;=IFERROR(INDEX(parametros!$H$2:$H$6,MATCH(C3681,parametros!$B$2:$B$6,0)),""),"Sim","Nao"))))))</f>
        <v/>
      </c>
      <c r="T3681" s="156"/>
      <c r="U3681" s="214" t="str">
        <f t="shared" si="291"/>
        <v/>
      </c>
      <c r="V3681" s="212" t="s">
        <v>50</v>
      </c>
      <c r="W3681" s="100" t="s">
        <v>168</v>
      </c>
      <c r="X3681" s="100" t="s">
        <v>169</v>
      </c>
      <c r="Y3681" s="101" t="s">
        <v>170</v>
      </c>
      <c r="Z3681" s="101" t="s">
        <v>171</v>
      </c>
      <c r="AA3681" s="101" t="s">
        <v>50</v>
      </c>
      <c r="AB3681" s="101" t="s">
        <v>172</v>
      </c>
      <c r="AC3681" s="102" t="s">
        <v>173</v>
      </c>
    </row>
    <row r="3682" spans="1:29" ht="25.5" customHeight="1" x14ac:dyDescent="0.35">
      <c r="A3682" s="392"/>
      <c r="B3682" s="393"/>
      <c r="C3682" s="99" t="str">
        <f>IF(B3682="","",IF(NOT(ISNUMBER(B3682)),"DATA_PC invalida",IF(NOT(ISNUMBER(parametros!$C$2)),"Fora dos ciclos",IF(OR(B3682&lt;parametros!$C$2,(YEAR(B3682)-YEAR(parametros!$C$2))*12+MONTH(B3682)-MONTH(parametros!$C$2)&gt;59),"Fora dos ciclos","C"&amp;INT(((YEAR(B3682)-YEAR(parametros!$C$2))*12+MONTH(B3682)-MONTH(parametros!$C$2))/12)))))</f>
        <v/>
      </c>
      <c r="D3682" s="394"/>
      <c r="E3682" s="78" t="str">
        <f>IF(C3682="","",IFERROR(VLOOKUP(C3682,parametros!$A$11:$E$15,5,0),""))</f>
        <v/>
      </c>
      <c r="F3682" s="79" t="str">
        <f t="shared" si="287"/>
        <v/>
      </c>
      <c r="G3682" s="395"/>
      <c r="H3682" s="91">
        <f t="shared" si="288"/>
        <v>0</v>
      </c>
      <c r="I3682" s="91" t="str">
        <f t="shared" si="289"/>
        <v/>
      </c>
      <c r="J3682" s="91" t="str">
        <f t="shared" si="290"/>
        <v/>
      </c>
      <c r="K3682" s="92" t="str">
        <f>IF(AND(A3682="",B3682="",D3682="",G3682=""),"",IF(AND(A3682&lt;&gt;"",COUNTIF($A$2:$A$5001,A3682)&gt;1),"NUMERO_PC duplicado",IF(B3682="","DATA_PC vazia",IF(NOT(ISNUMBER(B3682)),"DATA_PC invalida",IF(OR(C3682="",C3682="Fora dos ciclos"),"CICLO_PC nao identificado",IF(OR(D3682="",D3682=0),"VALOR_PC vazio ou zero",IF(AND(G3682&lt;&gt;"Sim",G3682&lt;&gt;"Nao",G3682&lt;&gt;""),"PC_PAGO_A_CONTRATADA invalido",IF(AND(C3682&lt;&gt;"C0",IFERROR(INDEX(parametros!$A$2:$A$6,MATCH(C3682,parametros!$B$2:$B$6,0)),"")="Sim",IFERROR(INDEX(parametros!$H$2:$H$6,MATCH(C3682,parametros!$B$2:$B$6,0)),"")=""),"INICIO_EFEITO ausente: PC "&amp;A3682&amp;" - "&amp;C3682,IF(L3682="","EFEITO_PC nao calculado: PC "&amp;A3682&amp;" - "&amp;C3682,"OK")))))))))</f>
        <v/>
      </c>
      <c r="L3682" s="92" t="str">
        <f>IF(AND(A3682="",B3682="",D3682="",G3682=""),"",IF(OR(B3682="",NOT(ISNUMBER(B3682)),C3682="",C3682="Fora dos ciclos"),"",IF(C3682="C0","Nao",IF(IFERROR(INDEX(parametros!$A$2:$A$6,MATCH(C3682,parametros!$B$2:$B$6,0)),"")&lt;&gt;"Sim","Nao",IF(IFERROR(INDEX(parametros!$H$2:$H$6,MATCH(C3682,parametros!$B$2:$B$6,0)),"")="","",IF(B3682&gt;=IFERROR(INDEX(parametros!$H$2:$H$6,MATCH(C3682,parametros!$B$2:$B$6,0)),""),"Sim","Nao"))))))</f>
        <v/>
      </c>
      <c r="T3682" s="156"/>
      <c r="U3682" s="214" t="str">
        <f t="shared" si="291"/>
        <v/>
      </c>
      <c r="V3682" s="212" t="s">
        <v>50</v>
      </c>
      <c r="W3682" s="100" t="s">
        <v>168</v>
      </c>
      <c r="X3682" s="100" t="s">
        <v>169</v>
      </c>
      <c r="Y3682" s="101" t="s">
        <v>170</v>
      </c>
      <c r="Z3682" s="101" t="s">
        <v>171</v>
      </c>
      <c r="AA3682" s="101" t="s">
        <v>50</v>
      </c>
      <c r="AB3682" s="101" t="s">
        <v>172</v>
      </c>
      <c r="AC3682" s="102" t="s">
        <v>173</v>
      </c>
    </row>
    <row r="3683" spans="1:29" ht="25.5" customHeight="1" x14ac:dyDescent="0.35">
      <c r="A3683" s="392"/>
      <c r="B3683" s="393"/>
      <c r="C3683" s="99" t="str">
        <f>IF(B3683="","",IF(NOT(ISNUMBER(B3683)),"DATA_PC invalida",IF(NOT(ISNUMBER(parametros!$C$2)),"Fora dos ciclos",IF(OR(B3683&lt;parametros!$C$2,(YEAR(B3683)-YEAR(parametros!$C$2))*12+MONTH(B3683)-MONTH(parametros!$C$2)&gt;59),"Fora dos ciclos","C"&amp;INT(((YEAR(B3683)-YEAR(parametros!$C$2))*12+MONTH(B3683)-MONTH(parametros!$C$2))/12)))))</f>
        <v/>
      </c>
      <c r="D3683" s="394"/>
      <c r="E3683" s="78" t="str">
        <f>IF(C3683="","",IFERROR(VLOOKUP(C3683,parametros!$A$11:$E$15,5,0),""))</f>
        <v/>
      </c>
      <c r="F3683" s="79" t="str">
        <f t="shared" si="287"/>
        <v/>
      </c>
      <c r="G3683" s="395"/>
      <c r="H3683" s="91">
        <f t="shared" si="288"/>
        <v>0</v>
      </c>
      <c r="I3683" s="91" t="str">
        <f t="shared" si="289"/>
        <v/>
      </c>
      <c r="J3683" s="91" t="str">
        <f t="shared" si="290"/>
        <v/>
      </c>
      <c r="K3683" s="92" t="str">
        <f>IF(AND(A3683="",B3683="",D3683="",G3683=""),"",IF(AND(A3683&lt;&gt;"",COUNTIF($A$2:$A$5001,A3683)&gt;1),"NUMERO_PC duplicado",IF(B3683="","DATA_PC vazia",IF(NOT(ISNUMBER(B3683)),"DATA_PC invalida",IF(OR(C3683="",C3683="Fora dos ciclos"),"CICLO_PC nao identificado",IF(OR(D3683="",D3683=0),"VALOR_PC vazio ou zero",IF(AND(G3683&lt;&gt;"Sim",G3683&lt;&gt;"Nao",G3683&lt;&gt;""),"PC_PAGO_A_CONTRATADA invalido",IF(AND(C3683&lt;&gt;"C0",IFERROR(INDEX(parametros!$A$2:$A$6,MATCH(C3683,parametros!$B$2:$B$6,0)),"")="Sim",IFERROR(INDEX(parametros!$H$2:$H$6,MATCH(C3683,parametros!$B$2:$B$6,0)),"")=""),"INICIO_EFEITO ausente: PC "&amp;A3683&amp;" - "&amp;C3683,IF(L3683="","EFEITO_PC nao calculado: PC "&amp;A3683&amp;" - "&amp;C3683,"OK")))))))))</f>
        <v/>
      </c>
      <c r="L3683" s="92" t="str">
        <f>IF(AND(A3683="",B3683="",D3683="",G3683=""),"",IF(OR(B3683="",NOT(ISNUMBER(B3683)),C3683="",C3683="Fora dos ciclos"),"",IF(C3683="C0","Nao",IF(IFERROR(INDEX(parametros!$A$2:$A$6,MATCH(C3683,parametros!$B$2:$B$6,0)),"")&lt;&gt;"Sim","Nao",IF(IFERROR(INDEX(parametros!$H$2:$H$6,MATCH(C3683,parametros!$B$2:$B$6,0)),"")="","",IF(B3683&gt;=IFERROR(INDEX(parametros!$H$2:$H$6,MATCH(C3683,parametros!$B$2:$B$6,0)),""),"Sim","Nao"))))))</f>
        <v/>
      </c>
      <c r="T3683" s="156"/>
      <c r="U3683" s="214" t="str">
        <f t="shared" si="291"/>
        <v/>
      </c>
      <c r="V3683" s="212" t="s">
        <v>50</v>
      </c>
      <c r="W3683" s="100" t="s">
        <v>168</v>
      </c>
      <c r="X3683" s="100" t="s">
        <v>169</v>
      </c>
      <c r="Y3683" s="101" t="s">
        <v>170</v>
      </c>
      <c r="Z3683" s="101" t="s">
        <v>171</v>
      </c>
      <c r="AA3683" s="101" t="s">
        <v>50</v>
      </c>
      <c r="AB3683" s="101" t="s">
        <v>172</v>
      </c>
      <c r="AC3683" s="102" t="s">
        <v>173</v>
      </c>
    </row>
    <row r="3684" spans="1:29" ht="25.5" customHeight="1" x14ac:dyDescent="0.35">
      <c r="A3684" s="392"/>
      <c r="B3684" s="393"/>
      <c r="C3684" s="99" t="str">
        <f>IF(B3684="","",IF(NOT(ISNUMBER(B3684)),"DATA_PC invalida",IF(NOT(ISNUMBER(parametros!$C$2)),"Fora dos ciclos",IF(OR(B3684&lt;parametros!$C$2,(YEAR(B3684)-YEAR(parametros!$C$2))*12+MONTH(B3684)-MONTH(parametros!$C$2)&gt;59),"Fora dos ciclos","C"&amp;INT(((YEAR(B3684)-YEAR(parametros!$C$2))*12+MONTH(B3684)-MONTH(parametros!$C$2))/12)))))</f>
        <v/>
      </c>
      <c r="D3684" s="394"/>
      <c r="E3684" s="78" t="str">
        <f>IF(C3684="","",IFERROR(VLOOKUP(C3684,parametros!$A$11:$E$15,5,0),""))</f>
        <v/>
      </c>
      <c r="F3684" s="79" t="str">
        <f t="shared" si="287"/>
        <v/>
      </c>
      <c r="G3684" s="395"/>
      <c r="H3684" s="91">
        <f t="shared" si="288"/>
        <v>0</v>
      </c>
      <c r="I3684" s="91" t="str">
        <f t="shared" si="289"/>
        <v/>
      </c>
      <c r="J3684" s="91" t="str">
        <f t="shared" si="290"/>
        <v/>
      </c>
      <c r="K3684" s="92" t="str">
        <f>IF(AND(A3684="",B3684="",D3684="",G3684=""),"",IF(AND(A3684&lt;&gt;"",COUNTIF($A$2:$A$5001,A3684)&gt;1),"NUMERO_PC duplicado",IF(B3684="","DATA_PC vazia",IF(NOT(ISNUMBER(B3684)),"DATA_PC invalida",IF(OR(C3684="",C3684="Fora dos ciclos"),"CICLO_PC nao identificado",IF(OR(D3684="",D3684=0),"VALOR_PC vazio ou zero",IF(AND(G3684&lt;&gt;"Sim",G3684&lt;&gt;"Nao",G3684&lt;&gt;""),"PC_PAGO_A_CONTRATADA invalido",IF(AND(C3684&lt;&gt;"C0",IFERROR(INDEX(parametros!$A$2:$A$6,MATCH(C3684,parametros!$B$2:$B$6,0)),"")="Sim",IFERROR(INDEX(parametros!$H$2:$H$6,MATCH(C3684,parametros!$B$2:$B$6,0)),"")=""),"INICIO_EFEITO ausente: PC "&amp;A3684&amp;" - "&amp;C3684,IF(L3684="","EFEITO_PC nao calculado: PC "&amp;A3684&amp;" - "&amp;C3684,"OK")))))))))</f>
        <v/>
      </c>
      <c r="L3684" s="92" t="str">
        <f>IF(AND(A3684="",B3684="",D3684="",G3684=""),"",IF(OR(B3684="",NOT(ISNUMBER(B3684)),C3684="",C3684="Fora dos ciclos"),"",IF(C3684="C0","Nao",IF(IFERROR(INDEX(parametros!$A$2:$A$6,MATCH(C3684,parametros!$B$2:$B$6,0)),"")&lt;&gt;"Sim","Nao",IF(IFERROR(INDEX(parametros!$H$2:$H$6,MATCH(C3684,parametros!$B$2:$B$6,0)),"")="","",IF(B3684&gt;=IFERROR(INDEX(parametros!$H$2:$H$6,MATCH(C3684,parametros!$B$2:$B$6,0)),""),"Sim","Nao"))))))</f>
        <v/>
      </c>
      <c r="T3684" s="156"/>
      <c r="U3684" s="214" t="str">
        <f t="shared" si="291"/>
        <v/>
      </c>
      <c r="V3684" s="212" t="s">
        <v>50</v>
      </c>
      <c r="W3684" s="100" t="s">
        <v>168</v>
      </c>
      <c r="X3684" s="100" t="s">
        <v>169</v>
      </c>
      <c r="Y3684" s="101" t="s">
        <v>170</v>
      </c>
      <c r="Z3684" s="101" t="s">
        <v>171</v>
      </c>
      <c r="AA3684" s="101" t="s">
        <v>50</v>
      </c>
      <c r="AB3684" s="101" t="s">
        <v>172</v>
      </c>
      <c r="AC3684" s="102" t="s">
        <v>173</v>
      </c>
    </row>
    <row r="3685" spans="1:29" ht="25.5" customHeight="1" x14ac:dyDescent="0.35">
      <c r="A3685" s="392"/>
      <c r="B3685" s="393"/>
      <c r="C3685" s="99" t="str">
        <f>IF(B3685="","",IF(NOT(ISNUMBER(B3685)),"DATA_PC invalida",IF(NOT(ISNUMBER(parametros!$C$2)),"Fora dos ciclos",IF(OR(B3685&lt;parametros!$C$2,(YEAR(B3685)-YEAR(parametros!$C$2))*12+MONTH(B3685)-MONTH(parametros!$C$2)&gt;59),"Fora dos ciclos","C"&amp;INT(((YEAR(B3685)-YEAR(parametros!$C$2))*12+MONTH(B3685)-MONTH(parametros!$C$2))/12)))))</f>
        <v/>
      </c>
      <c r="D3685" s="394"/>
      <c r="E3685" s="78" t="str">
        <f>IF(C3685="","",IFERROR(VLOOKUP(C3685,parametros!$A$11:$E$15,5,0),""))</f>
        <v/>
      </c>
      <c r="F3685" s="79" t="str">
        <f t="shared" si="287"/>
        <v/>
      </c>
      <c r="G3685" s="395"/>
      <c r="H3685" s="91">
        <f t="shared" si="288"/>
        <v>0</v>
      </c>
      <c r="I3685" s="91" t="str">
        <f t="shared" si="289"/>
        <v/>
      </c>
      <c r="J3685" s="91" t="str">
        <f t="shared" si="290"/>
        <v/>
      </c>
      <c r="K3685" s="92" t="str">
        <f>IF(AND(A3685="",B3685="",D3685="",G3685=""),"",IF(AND(A3685&lt;&gt;"",COUNTIF($A$2:$A$5001,A3685)&gt;1),"NUMERO_PC duplicado",IF(B3685="","DATA_PC vazia",IF(NOT(ISNUMBER(B3685)),"DATA_PC invalida",IF(OR(C3685="",C3685="Fora dos ciclos"),"CICLO_PC nao identificado",IF(OR(D3685="",D3685=0),"VALOR_PC vazio ou zero",IF(AND(G3685&lt;&gt;"Sim",G3685&lt;&gt;"Nao",G3685&lt;&gt;""),"PC_PAGO_A_CONTRATADA invalido",IF(AND(C3685&lt;&gt;"C0",IFERROR(INDEX(parametros!$A$2:$A$6,MATCH(C3685,parametros!$B$2:$B$6,0)),"")="Sim",IFERROR(INDEX(parametros!$H$2:$H$6,MATCH(C3685,parametros!$B$2:$B$6,0)),"")=""),"INICIO_EFEITO ausente: PC "&amp;A3685&amp;" - "&amp;C3685,IF(L3685="","EFEITO_PC nao calculado: PC "&amp;A3685&amp;" - "&amp;C3685,"OK")))))))))</f>
        <v/>
      </c>
      <c r="L3685" s="92" t="str">
        <f>IF(AND(A3685="",B3685="",D3685="",G3685=""),"",IF(OR(B3685="",NOT(ISNUMBER(B3685)),C3685="",C3685="Fora dos ciclos"),"",IF(C3685="C0","Nao",IF(IFERROR(INDEX(parametros!$A$2:$A$6,MATCH(C3685,parametros!$B$2:$B$6,0)),"")&lt;&gt;"Sim","Nao",IF(IFERROR(INDEX(parametros!$H$2:$H$6,MATCH(C3685,parametros!$B$2:$B$6,0)),"")="","",IF(B3685&gt;=IFERROR(INDEX(parametros!$H$2:$H$6,MATCH(C3685,parametros!$B$2:$B$6,0)),""),"Sim","Nao"))))))</f>
        <v/>
      </c>
      <c r="T3685" s="156"/>
      <c r="U3685" s="214" t="str">
        <f t="shared" si="291"/>
        <v/>
      </c>
      <c r="V3685" s="212" t="s">
        <v>50</v>
      </c>
      <c r="W3685" s="100" t="s">
        <v>168</v>
      </c>
      <c r="X3685" s="100" t="s">
        <v>169</v>
      </c>
      <c r="Y3685" s="101" t="s">
        <v>170</v>
      </c>
      <c r="Z3685" s="101" t="s">
        <v>171</v>
      </c>
      <c r="AA3685" s="101" t="s">
        <v>50</v>
      </c>
      <c r="AB3685" s="101" t="s">
        <v>172</v>
      </c>
      <c r="AC3685" s="102" t="s">
        <v>173</v>
      </c>
    </row>
    <row r="3686" spans="1:29" ht="25.5" customHeight="1" x14ac:dyDescent="0.35">
      <c r="A3686" s="392"/>
      <c r="B3686" s="393"/>
      <c r="C3686" s="99" t="str">
        <f>IF(B3686="","",IF(NOT(ISNUMBER(B3686)),"DATA_PC invalida",IF(NOT(ISNUMBER(parametros!$C$2)),"Fora dos ciclos",IF(OR(B3686&lt;parametros!$C$2,(YEAR(B3686)-YEAR(parametros!$C$2))*12+MONTH(B3686)-MONTH(parametros!$C$2)&gt;59),"Fora dos ciclos","C"&amp;INT(((YEAR(B3686)-YEAR(parametros!$C$2))*12+MONTH(B3686)-MONTH(parametros!$C$2))/12)))))</f>
        <v/>
      </c>
      <c r="D3686" s="394"/>
      <c r="E3686" s="78" t="str">
        <f>IF(C3686="","",IFERROR(VLOOKUP(C3686,parametros!$A$11:$E$15,5,0),""))</f>
        <v/>
      </c>
      <c r="F3686" s="79" t="str">
        <f t="shared" si="287"/>
        <v/>
      </c>
      <c r="G3686" s="395"/>
      <c r="H3686" s="91">
        <f t="shared" si="288"/>
        <v>0</v>
      </c>
      <c r="I3686" s="91" t="str">
        <f t="shared" si="289"/>
        <v/>
      </c>
      <c r="J3686" s="91" t="str">
        <f t="shared" si="290"/>
        <v/>
      </c>
      <c r="K3686" s="92" t="str">
        <f>IF(AND(A3686="",B3686="",D3686="",G3686=""),"",IF(AND(A3686&lt;&gt;"",COUNTIF($A$2:$A$5001,A3686)&gt;1),"NUMERO_PC duplicado",IF(B3686="","DATA_PC vazia",IF(NOT(ISNUMBER(B3686)),"DATA_PC invalida",IF(OR(C3686="",C3686="Fora dos ciclos"),"CICLO_PC nao identificado",IF(OR(D3686="",D3686=0),"VALOR_PC vazio ou zero",IF(AND(G3686&lt;&gt;"Sim",G3686&lt;&gt;"Nao",G3686&lt;&gt;""),"PC_PAGO_A_CONTRATADA invalido",IF(AND(C3686&lt;&gt;"C0",IFERROR(INDEX(parametros!$A$2:$A$6,MATCH(C3686,parametros!$B$2:$B$6,0)),"")="Sim",IFERROR(INDEX(parametros!$H$2:$H$6,MATCH(C3686,parametros!$B$2:$B$6,0)),"")=""),"INICIO_EFEITO ausente: PC "&amp;A3686&amp;" - "&amp;C3686,IF(L3686="","EFEITO_PC nao calculado: PC "&amp;A3686&amp;" - "&amp;C3686,"OK")))))))))</f>
        <v/>
      </c>
      <c r="L3686" s="92" t="str">
        <f>IF(AND(A3686="",B3686="",D3686="",G3686=""),"",IF(OR(B3686="",NOT(ISNUMBER(B3686)),C3686="",C3686="Fora dos ciclos"),"",IF(C3686="C0","Nao",IF(IFERROR(INDEX(parametros!$A$2:$A$6,MATCH(C3686,parametros!$B$2:$B$6,0)),"")&lt;&gt;"Sim","Nao",IF(IFERROR(INDEX(parametros!$H$2:$H$6,MATCH(C3686,parametros!$B$2:$B$6,0)),"")="","",IF(B3686&gt;=IFERROR(INDEX(parametros!$H$2:$H$6,MATCH(C3686,parametros!$B$2:$B$6,0)),""),"Sim","Nao"))))))</f>
        <v/>
      </c>
      <c r="T3686" s="156"/>
      <c r="U3686" s="214" t="str">
        <f t="shared" si="291"/>
        <v/>
      </c>
      <c r="V3686" s="212" t="s">
        <v>50</v>
      </c>
      <c r="W3686" s="100" t="s">
        <v>168</v>
      </c>
      <c r="X3686" s="100" t="s">
        <v>169</v>
      </c>
      <c r="Y3686" s="101" t="s">
        <v>170</v>
      </c>
      <c r="Z3686" s="101" t="s">
        <v>171</v>
      </c>
      <c r="AA3686" s="101" t="s">
        <v>50</v>
      </c>
      <c r="AB3686" s="101" t="s">
        <v>172</v>
      </c>
      <c r="AC3686" s="102" t="s">
        <v>173</v>
      </c>
    </row>
    <row r="3687" spans="1:29" ht="25.5" customHeight="1" x14ac:dyDescent="0.35">
      <c r="A3687" s="392"/>
      <c r="B3687" s="393"/>
      <c r="C3687" s="99" t="str">
        <f>IF(B3687="","",IF(NOT(ISNUMBER(B3687)),"DATA_PC invalida",IF(NOT(ISNUMBER(parametros!$C$2)),"Fora dos ciclos",IF(OR(B3687&lt;parametros!$C$2,(YEAR(B3687)-YEAR(parametros!$C$2))*12+MONTH(B3687)-MONTH(parametros!$C$2)&gt;59),"Fora dos ciclos","C"&amp;INT(((YEAR(B3687)-YEAR(parametros!$C$2))*12+MONTH(B3687)-MONTH(parametros!$C$2))/12)))))</f>
        <v/>
      </c>
      <c r="D3687" s="394"/>
      <c r="E3687" s="78" t="str">
        <f>IF(C3687="","",IFERROR(VLOOKUP(C3687,parametros!$A$11:$E$15,5,0),""))</f>
        <v/>
      </c>
      <c r="F3687" s="79" t="str">
        <f t="shared" si="287"/>
        <v/>
      </c>
      <c r="G3687" s="395"/>
      <c r="H3687" s="91">
        <f t="shared" si="288"/>
        <v>0</v>
      </c>
      <c r="I3687" s="91" t="str">
        <f t="shared" si="289"/>
        <v/>
      </c>
      <c r="J3687" s="91" t="str">
        <f t="shared" si="290"/>
        <v/>
      </c>
      <c r="K3687" s="92" t="str">
        <f>IF(AND(A3687="",B3687="",D3687="",G3687=""),"",IF(AND(A3687&lt;&gt;"",COUNTIF($A$2:$A$5001,A3687)&gt;1),"NUMERO_PC duplicado",IF(B3687="","DATA_PC vazia",IF(NOT(ISNUMBER(B3687)),"DATA_PC invalida",IF(OR(C3687="",C3687="Fora dos ciclos"),"CICLO_PC nao identificado",IF(OR(D3687="",D3687=0),"VALOR_PC vazio ou zero",IF(AND(G3687&lt;&gt;"Sim",G3687&lt;&gt;"Nao",G3687&lt;&gt;""),"PC_PAGO_A_CONTRATADA invalido",IF(AND(C3687&lt;&gt;"C0",IFERROR(INDEX(parametros!$A$2:$A$6,MATCH(C3687,parametros!$B$2:$B$6,0)),"")="Sim",IFERROR(INDEX(parametros!$H$2:$H$6,MATCH(C3687,parametros!$B$2:$B$6,0)),"")=""),"INICIO_EFEITO ausente: PC "&amp;A3687&amp;" - "&amp;C3687,IF(L3687="","EFEITO_PC nao calculado: PC "&amp;A3687&amp;" - "&amp;C3687,"OK")))))))))</f>
        <v/>
      </c>
      <c r="L3687" s="92" t="str">
        <f>IF(AND(A3687="",B3687="",D3687="",G3687=""),"",IF(OR(B3687="",NOT(ISNUMBER(B3687)),C3687="",C3687="Fora dos ciclos"),"",IF(C3687="C0","Nao",IF(IFERROR(INDEX(parametros!$A$2:$A$6,MATCH(C3687,parametros!$B$2:$B$6,0)),"")&lt;&gt;"Sim","Nao",IF(IFERROR(INDEX(parametros!$H$2:$H$6,MATCH(C3687,parametros!$B$2:$B$6,0)),"")="","",IF(B3687&gt;=IFERROR(INDEX(parametros!$H$2:$H$6,MATCH(C3687,parametros!$B$2:$B$6,0)),""),"Sim","Nao"))))))</f>
        <v/>
      </c>
      <c r="T3687" s="156"/>
      <c r="U3687" s="214" t="str">
        <f t="shared" si="291"/>
        <v/>
      </c>
      <c r="V3687" s="212" t="s">
        <v>50</v>
      </c>
      <c r="W3687" s="100" t="s">
        <v>168</v>
      </c>
      <c r="X3687" s="100" t="s">
        <v>169</v>
      </c>
      <c r="Y3687" s="101" t="s">
        <v>170</v>
      </c>
      <c r="Z3687" s="101" t="s">
        <v>171</v>
      </c>
      <c r="AA3687" s="101" t="s">
        <v>50</v>
      </c>
      <c r="AB3687" s="101" t="s">
        <v>172</v>
      </c>
      <c r="AC3687" s="102" t="s">
        <v>173</v>
      </c>
    </row>
    <row r="3688" spans="1:29" ht="25.5" customHeight="1" x14ac:dyDescent="0.35">
      <c r="A3688" s="392"/>
      <c r="B3688" s="393"/>
      <c r="C3688" s="99" t="str">
        <f>IF(B3688="","",IF(NOT(ISNUMBER(B3688)),"DATA_PC invalida",IF(NOT(ISNUMBER(parametros!$C$2)),"Fora dos ciclos",IF(OR(B3688&lt;parametros!$C$2,(YEAR(B3688)-YEAR(parametros!$C$2))*12+MONTH(B3688)-MONTH(parametros!$C$2)&gt;59),"Fora dos ciclos","C"&amp;INT(((YEAR(B3688)-YEAR(parametros!$C$2))*12+MONTH(B3688)-MONTH(parametros!$C$2))/12)))))</f>
        <v/>
      </c>
      <c r="D3688" s="394"/>
      <c r="E3688" s="78" t="str">
        <f>IF(C3688="","",IFERROR(VLOOKUP(C3688,parametros!$A$11:$E$15,5,0),""))</f>
        <v/>
      </c>
      <c r="F3688" s="79" t="str">
        <f t="shared" si="287"/>
        <v/>
      </c>
      <c r="G3688" s="395"/>
      <c r="H3688" s="91">
        <f t="shared" si="288"/>
        <v>0</v>
      </c>
      <c r="I3688" s="91" t="str">
        <f t="shared" si="289"/>
        <v/>
      </c>
      <c r="J3688" s="91" t="str">
        <f t="shared" si="290"/>
        <v/>
      </c>
      <c r="K3688" s="92" t="str">
        <f>IF(AND(A3688="",B3688="",D3688="",G3688=""),"",IF(AND(A3688&lt;&gt;"",COUNTIF($A$2:$A$5001,A3688)&gt;1),"NUMERO_PC duplicado",IF(B3688="","DATA_PC vazia",IF(NOT(ISNUMBER(B3688)),"DATA_PC invalida",IF(OR(C3688="",C3688="Fora dos ciclos"),"CICLO_PC nao identificado",IF(OR(D3688="",D3688=0),"VALOR_PC vazio ou zero",IF(AND(G3688&lt;&gt;"Sim",G3688&lt;&gt;"Nao",G3688&lt;&gt;""),"PC_PAGO_A_CONTRATADA invalido",IF(AND(C3688&lt;&gt;"C0",IFERROR(INDEX(parametros!$A$2:$A$6,MATCH(C3688,parametros!$B$2:$B$6,0)),"")="Sim",IFERROR(INDEX(parametros!$H$2:$H$6,MATCH(C3688,parametros!$B$2:$B$6,0)),"")=""),"INICIO_EFEITO ausente: PC "&amp;A3688&amp;" - "&amp;C3688,IF(L3688="","EFEITO_PC nao calculado: PC "&amp;A3688&amp;" - "&amp;C3688,"OK")))))))))</f>
        <v/>
      </c>
      <c r="L3688" s="92" t="str">
        <f>IF(AND(A3688="",B3688="",D3688="",G3688=""),"",IF(OR(B3688="",NOT(ISNUMBER(B3688)),C3688="",C3688="Fora dos ciclos"),"",IF(C3688="C0","Nao",IF(IFERROR(INDEX(parametros!$A$2:$A$6,MATCH(C3688,parametros!$B$2:$B$6,0)),"")&lt;&gt;"Sim","Nao",IF(IFERROR(INDEX(parametros!$H$2:$H$6,MATCH(C3688,parametros!$B$2:$B$6,0)),"")="","",IF(B3688&gt;=IFERROR(INDEX(parametros!$H$2:$H$6,MATCH(C3688,parametros!$B$2:$B$6,0)),""),"Sim","Nao"))))))</f>
        <v/>
      </c>
      <c r="T3688" s="156"/>
      <c r="U3688" s="214" t="str">
        <f t="shared" si="291"/>
        <v/>
      </c>
      <c r="V3688" s="212" t="s">
        <v>50</v>
      </c>
      <c r="W3688" s="100" t="s">
        <v>168</v>
      </c>
      <c r="X3688" s="100" t="s">
        <v>169</v>
      </c>
      <c r="Y3688" s="101" t="s">
        <v>170</v>
      </c>
      <c r="Z3688" s="101" t="s">
        <v>171</v>
      </c>
      <c r="AA3688" s="101" t="s">
        <v>50</v>
      </c>
      <c r="AB3688" s="101" t="s">
        <v>172</v>
      </c>
      <c r="AC3688" s="102" t="s">
        <v>173</v>
      </c>
    </row>
    <row r="3689" spans="1:29" ht="25.5" customHeight="1" x14ac:dyDescent="0.35">
      <c r="A3689" s="392"/>
      <c r="B3689" s="393"/>
      <c r="C3689" s="99" t="str">
        <f>IF(B3689="","",IF(NOT(ISNUMBER(B3689)),"DATA_PC invalida",IF(NOT(ISNUMBER(parametros!$C$2)),"Fora dos ciclos",IF(OR(B3689&lt;parametros!$C$2,(YEAR(B3689)-YEAR(parametros!$C$2))*12+MONTH(B3689)-MONTH(parametros!$C$2)&gt;59),"Fora dos ciclos","C"&amp;INT(((YEAR(B3689)-YEAR(parametros!$C$2))*12+MONTH(B3689)-MONTH(parametros!$C$2))/12)))))</f>
        <v/>
      </c>
      <c r="D3689" s="394"/>
      <c r="E3689" s="78" t="str">
        <f>IF(C3689="","",IFERROR(VLOOKUP(C3689,parametros!$A$11:$E$15,5,0),""))</f>
        <v/>
      </c>
      <c r="F3689" s="79" t="str">
        <f t="shared" si="287"/>
        <v/>
      </c>
      <c r="G3689" s="395"/>
      <c r="H3689" s="91">
        <f t="shared" si="288"/>
        <v>0</v>
      </c>
      <c r="I3689" s="91" t="str">
        <f t="shared" si="289"/>
        <v/>
      </c>
      <c r="J3689" s="91" t="str">
        <f t="shared" si="290"/>
        <v/>
      </c>
      <c r="K3689" s="92" t="str">
        <f>IF(AND(A3689="",B3689="",D3689="",G3689=""),"",IF(AND(A3689&lt;&gt;"",COUNTIF($A$2:$A$5001,A3689)&gt;1),"NUMERO_PC duplicado",IF(B3689="","DATA_PC vazia",IF(NOT(ISNUMBER(B3689)),"DATA_PC invalida",IF(OR(C3689="",C3689="Fora dos ciclos"),"CICLO_PC nao identificado",IF(OR(D3689="",D3689=0),"VALOR_PC vazio ou zero",IF(AND(G3689&lt;&gt;"Sim",G3689&lt;&gt;"Nao",G3689&lt;&gt;""),"PC_PAGO_A_CONTRATADA invalido",IF(AND(C3689&lt;&gt;"C0",IFERROR(INDEX(parametros!$A$2:$A$6,MATCH(C3689,parametros!$B$2:$B$6,0)),"")="Sim",IFERROR(INDEX(parametros!$H$2:$H$6,MATCH(C3689,parametros!$B$2:$B$6,0)),"")=""),"INICIO_EFEITO ausente: PC "&amp;A3689&amp;" - "&amp;C3689,IF(L3689="","EFEITO_PC nao calculado: PC "&amp;A3689&amp;" - "&amp;C3689,"OK")))))))))</f>
        <v/>
      </c>
      <c r="L3689" s="92" t="str">
        <f>IF(AND(A3689="",B3689="",D3689="",G3689=""),"",IF(OR(B3689="",NOT(ISNUMBER(B3689)),C3689="",C3689="Fora dos ciclos"),"",IF(C3689="C0","Nao",IF(IFERROR(INDEX(parametros!$A$2:$A$6,MATCH(C3689,parametros!$B$2:$B$6,0)),"")&lt;&gt;"Sim","Nao",IF(IFERROR(INDEX(parametros!$H$2:$H$6,MATCH(C3689,parametros!$B$2:$B$6,0)),"")="","",IF(B3689&gt;=IFERROR(INDEX(parametros!$H$2:$H$6,MATCH(C3689,parametros!$B$2:$B$6,0)),""),"Sim","Nao"))))))</f>
        <v/>
      </c>
      <c r="T3689" s="156"/>
      <c r="U3689" s="214" t="str">
        <f t="shared" si="291"/>
        <v/>
      </c>
      <c r="V3689" s="212" t="s">
        <v>50</v>
      </c>
      <c r="W3689" s="100" t="s">
        <v>168</v>
      </c>
      <c r="X3689" s="100" t="s">
        <v>169</v>
      </c>
      <c r="Y3689" s="101" t="s">
        <v>170</v>
      </c>
      <c r="Z3689" s="101" t="s">
        <v>171</v>
      </c>
      <c r="AA3689" s="101" t="s">
        <v>50</v>
      </c>
      <c r="AB3689" s="101" t="s">
        <v>172</v>
      </c>
      <c r="AC3689" s="102" t="s">
        <v>173</v>
      </c>
    </row>
    <row r="3690" spans="1:29" ht="25.5" customHeight="1" x14ac:dyDescent="0.35">
      <c r="A3690" s="392"/>
      <c r="B3690" s="393"/>
      <c r="C3690" s="99" t="str">
        <f>IF(B3690="","",IF(NOT(ISNUMBER(B3690)),"DATA_PC invalida",IF(NOT(ISNUMBER(parametros!$C$2)),"Fora dos ciclos",IF(OR(B3690&lt;parametros!$C$2,(YEAR(B3690)-YEAR(parametros!$C$2))*12+MONTH(B3690)-MONTH(parametros!$C$2)&gt;59),"Fora dos ciclos","C"&amp;INT(((YEAR(B3690)-YEAR(parametros!$C$2))*12+MONTH(B3690)-MONTH(parametros!$C$2))/12)))))</f>
        <v/>
      </c>
      <c r="D3690" s="394"/>
      <c r="E3690" s="78" t="str">
        <f>IF(C3690="","",IFERROR(VLOOKUP(C3690,parametros!$A$11:$E$15,5,0),""))</f>
        <v/>
      </c>
      <c r="F3690" s="79" t="str">
        <f t="shared" si="287"/>
        <v/>
      </c>
      <c r="G3690" s="395"/>
      <c r="H3690" s="91">
        <f t="shared" si="288"/>
        <v>0</v>
      </c>
      <c r="I3690" s="91" t="str">
        <f t="shared" si="289"/>
        <v/>
      </c>
      <c r="J3690" s="91" t="str">
        <f t="shared" si="290"/>
        <v/>
      </c>
      <c r="K3690" s="92" t="str">
        <f>IF(AND(A3690="",B3690="",D3690="",G3690=""),"",IF(AND(A3690&lt;&gt;"",COUNTIF($A$2:$A$5001,A3690)&gt;1),"NUMERO_PC duplicado",IF(B3690="","DATA_PC vazia",IF(NOT(ISNUMBER(B3690)),"DATA_PC invalida",IF(OR(C3690="",C3690="Fora dos ciclos"),"CICLO_PC nao identificado",IF(OR(D3690="",D3690=0),"VALOR_PC vazio ou zero",IF(AND(G3690&lt;&gt;"Sim",G3690&lt;&gt;"Nao",G3690&lt;&gt;""),"PC_PAGO_A_CONTRATADA invalido",IF(AND(C3690&lt;&gt;"C0",IFERROR(INDEX(parametros!$A$2:$A$6,MATCH(C3690,parametros!$B$2:$B$6,0)),"")="Sim",IFERROR(INDEX(parametros!$H$2:$H$6,MATCH(C3690,parametros!$B$2:$B$6,0)),"")=""),"INICIO_EFEITO ausente: PC "&amp;A3690&amp;" - "&amp;C3690,IF(L3690="","EFEITO_PC nao calculado: PC "&amp;A3690&amp;" - "&amp;C3690,"OK")))))))))</f>
        <v/>
      </c>
      <c r="L3690" s="92" t="str">
        <f>IF(AND(A3690="",B3690="",D3690="",G3690=""),"",IF(OR(B3690="",NOT(ISNUMBER(B3690)),C3690="",C3690="Fora dos ciclos"),"",IF(C3690="C0","Nao",IF(IFERROR(INDEX(parametros!$A$2:$A$6,MATCH(C3690,parametros!$B$2:$B$6,0)),"")&lt;&gt;"Sim","Nao",IF(IFERROR(INDEX(parametros!$H$2:$H$6,MATCH(C3690,parametros!$B$2:$B$6,0)),"")="","",IF(B3690&gt;=IFERROR(INDEX(parametros!$H$2:$H$6,MATCH(C3690,parametros!$B$2:$B$6,0)),""),"Sim","Nao"))))))</f>
        <v/>
      </c>
      <c r="T3690" s="156"/>
      <c r="U3690" s="214" t="str">
        <f t="shared" si="291"/>
        <v/>
      </c>
      <c r="V3690" s="212" t="s">
        <v>50</v>
      </c>
      <c r="W3690" s="100" t="s">
        <v>168</v>
      </c>
      <c r="X3690" s="100" t="s">
        <v>169</v>
      </c>
      <c r="Y3690" s="101" t="s">
        <v>170</v>
      </c>
      <c r="Z3690" s="101" t="s">
        <v>171</v>
      </c>
      <c r="AA3690" s="101" t="s">
        <v>50</v>
      </c>
      <c r="AB3690" s="101" t="s">
        <v>172</v>
      </c>
      <c r="AC3690" s="102" t="s">
        <v>173</v>
      </c>
    </row>
    <row r="3691" spans="1:29" ht="25.5" customHeight="1" x14ac:dyDescent="0.35">
      <c r="A3691" s="392"/>
      <c r="B3691" s="393"/>
      <c r="C3691" s="99" t="str">
        <f>IF(B3691="","",IF(NOT(ISNUMBER(B3691)),"DATA_PC invalida",IF(NOT(ISNUMBER(parametros!$C$2)),"Fora dos ciclos",IF(OR(B3691&lt;parametros!$C$2,(YEAR(B3691)-YEAR(parametros!$C$2))*12+MONTH(B3691)-MONTH(parametros!$C$2)&gt;59),"Fora dos ciclos","C"&amp;INT(((YEAR(B3691)-YEAR(parametros!$C$2))*12+MONTH(B3691)-MONTH(parametros!$C$2))/12)))))</f>
        <v/>
      </c>
      <c r="D3691" s="394"/>
      <c r="E3691" s="78" t="str">
        <f>IF(C3691="","",IFERROR(VLOOKUP(C3691,parametros!$A$11:$E$15,5,0),""))</f>
        <v/>
      </c>
      <c r="F3691" s="79" t="str">
        <f t="shared" si="287"/>
        <v/>
      </c>
      <c r="G3691" s="395"/>
      <c r="H3691" s="91">
        <f t="shared" si="288"/>
        <v>0</v>
      </c>
      <c r="I3691" s="91" t="str">
        <f t="shared" si="289"/>
        <v/>
      </c>
      <c r="J3691" s="91" t="str">
        <f t="shared" si="290"/>
        <v/>
      </c>
      <c r="K3691" s="92" t="str">
        <f>IF(AND(A3691="",B3691="",D3691="",G3691=""),"",IF(AND(A3691&lt;&gt;"",COUNTIF($A$2:$A$5001,A3691)&gt;1),"NUMERO_PC duplicado",IF(B3691="","DATA_PC vazia",IF(NOT(ISNUMBER(B3691)),"DATA_PC invalida",IF(OR(C3691="",C3691="Fora dos ciclos"),"CICLO_PC nao identificado",IF(OR(D3691="",D3691=0),"VALOR_PC vazio ou zero",IF(AND(G3691&lt;&gt;"Sim",G3691&lt;&gt;"Nao",G3691&lt;&gt;""),"PC_PAGO_A_CONTRATADA invalido",IF(AND(C3691&lt;&gt;"C0",IFERROR(INDEX(parametros!$A$2:$A$6,MATCH(C3691,parametros!$B$2:$B$6,0)),"")="Sim",IFERROR(INDEX(parametros!$H$2:$H$6,MATCH(C3691,parametros!$B$2:$B$6,0)),"")=""),"INICIO_EFEITO ausente: PC "&amp;A3691&amp;" - "&amp;C3691,IF(L3691="","EFEITO_PC nao calculado: PC "&amp;A3691&amp;" - "&amp;C3691,"OK")))))))))</f>
        <v/>
      </c>
      <c r="L3691" s="92" t="str">
        <f>IF(AND(A3691="",B3691="",D3691="",G3691=""),"",IF(OR(B3691="",NOT(ISNUMBER(B3691)),C3691="",C3691="Fora dos ciclos"),"",IF(C3691="C0","Nao",IF(IFERROR(INDEX(parametros!$A$2:$A$6,MATCH(C3691,parametros!$B$2:$B$6,0)),"")&lt;&gt;"Sim","Nao",IF(IFERROR(INDEX(parametros!$H$2:$H$6,MATCH(C3691,parametros!$B$2:$B$6,0)),"")="","",IF(B3691&gt;=IFERROR(INDEX(parametros!$H$2:$H$6,MATCH(C3691,parametros!$B$2:$B$6,0)),""),"Sim","Nao"))))))</f>
        <v/>
      </c>
      <c r="T3691" s="156"/>
      <c r="U3691" s="214" t="str">
        <f t="shared" si="291"/>
        <v/>
      </c>
      <c r="V3691" s="212" t="s">
        <v>50</v>
      </c>
      <c r="W3691" s="100" t="s">
        <v>168</v>
      </c>
      <c r="X3691" s="100" t="s">
        <v>169</v>
      </c>
      <c r="Y3691" s="101" t="s">
        <v>170</v>
      </c>
      <c r="Z3691" s="101" t="s">
        <v>171</v>
      </c>
      <c r="AA3691" s="101" t="s">
        <v>50</v>
      </c>
      <c r="AB3691" s="101" t="s">
        <v>172</v>
      </c>
      <c r="AC3691" s="102" t="s">
        <v>173</v>
      </c>
    </row>
    <row r="3692" spans="1:29" ht="25.5" customHeight="1" x14ac:dyDescent="0.35">
      <c r="A3692" s="392"/>
      <c r="B3692" s="393"/>
      <c r="C3692" s="99" t="str">
        <f>IF(B3692="","",IF(NOT(ISNUMBER(B3692)),"DATA_PC invalida",IF(NOT(ISNUMBER(parametros!$C$2)),"Fora dos ciclos",IF(OR(B3692&lt;parametros!$C$2,(YEAR(B3692)-YEAR(parametros!$C$2))*12+MONTH(B3692)-MONTH(parametros!$C$2)&gt;59),"Fora dos ciclos","C"&amp;INT(((YEAR(B3692)-YEAR(parametros!$C$2))*12+MONTH(B3692)-MONTH(parametros!$C$2))/12)))))</f>
        <v/>
      </c>
      <c r="D3692" s="394"/>
      <c r="E3692" s="78" t="str">
        <f>IF(C3692="","",IFERROR(VLOOKUP(C3692,parametros!$A$11:$E$15,5,0),""))</f>
        <v/>
      </c>
      <c r="F3692" s="79" t="str">
        <f t="shared" si="287"/>
        <v/>
      </c>
      <c r="G3692" s="395"/>
      <c r="H3692" s="91">
        <f t="shared" si="288"/>
        <v>0</v>
      </c>
      <c r="I3692" s="91" t="str">
        <f t="shared" si="289"/>
        <v/>
      </c>
      <c r="J3692" s="91" t="str">
        <f t="shared" si="290"/>
        <v/>
      </c>
      <c r="K3692" s="92" t="str">
        <f>IF(AND(A3692="",B3692="",D3692="",G3692=""),"",IF(AND(A3692&lt;&gt;"",COUNTIF($A$2:$A$5001,A3692)&gt;1),"NUMERO_PC duplicado",IF(B3692="","DATA_PC vazia",IF(NOT(ISNUMBER(B3692)),"DATA_PC invalida",IF(OR(C3692="",C3692="Fora dos ciclos"),"CICLO_PC nao identificado",IF(OR(D3692="",D3692=0),"VALOR_PC vazio ou zero",IF(AND(G3692&lt;&gt;"Sim",G3692&lt;&gt;"Nao",G3692&lt;&gt;""),"PC_PAGO_A_CONTRATADA invalido",IF(AND(C3692&lt;&gt;"C0",IFERROR(INDEX(parametros!$A$2:$A$6,MATCH(C3692,parametros!$B$2:$B$6,0)),"")="Sim",IFERROR(INDEX(parametros!$H$2:$H$6,MATCH(C3692,parametros!$B$2:$B$6,0)),"")=""),"INICIO_EFEITO ausente: PC "&amp;A3692&amp;" - "&amp;C3692,IF(L3692="","EFEITO_PC nao calculado: PC "&amp;A3692&amp;" - "&amp;C3692,"OK")))))))))</f>
        <v/>
      </c>
      <c r="L3692" s="92" t="str">
        <f>IF(AND(A3692="",B3692="",D3692="",G3692=""),"",IF(OR(B3692="",NOT(ISNUMBER(B3692)),C3692="",C3692="Fora dos ciclos"),"",IF(C3692="C0","Nao",IF(IFERROR(INDEX(parametros!$A$2:$A$6,MATCH(C3692,parametros!$B$2:$B$6,0)),"")&lt;&gt;"Sim","Nao",IF(IFERROR(INDEX(parametros!$H$2:$H$6,MATCH(C3692,parametros!$B$2:$B$6,0)),"")="","",IF(B3692&gt;=IFERROR(INDEX(parametros!$H$2:$H$6,MATCH(C3692,parametros!$B$2:$B$6,0)),""),"Sim","Nao"))))))</f>
        <v/>
      </c>
      <c r="T3692" s="156"/>
      <c r="U3692" s="214" t="str">
        <f t="shared" si="291"/>
        <v/>
      </c>
      <c r="V3692" s="212" t="s">
        <v>50</v>
      </c>
      <c r="W3692" s="100" t="s">
        <v>168</v>
      </c>
      <c r="X3692" s="100" t="s">
        <v>169</v>
      </c>
      <c r="Y3692" s="101" t="s">
        <v>170</v>
      </c>
      <c r="Z3692" s="101" t="s">
        <v>171</v>
      </c>
      <c r="AA3692" s="101" t="s">
        <v>50</v>
      </c>
      <c r="AB3692" s="101" t="s">
        <v>172</v>
      </c>
      <c r="AC3692" s="102" t="s">
        <v>173</v>
      </c>
    </row>
    <row r="3693" spans="1:29" ht="25.5" customHeight="1" x14ac:dyDescent="0.35">
      <c r="A3693" s="392"/>
      <c r="B3693" s="393"/>
      <c r="C3693" s="99" t="str">
        <f>IF(B3693="","",IF(NOT(ISNUMBER(B3693)),"DATA_PC invalida",IF(NOT(ISNUMBER(parametros!$C$2)),"Fora dos ciclos",IF(OR(B3693&lt;parametros!$C$2,(YEAR(B3693)-YEAR(parametros!$C$2))*12+MONTH(B3693)-MONTH(parametros!$C$2)&gt;59),"Fora dos ciclos","C"&amp;INT(((YEAR(B3693)-YEAR(parametros!$C$2))*12+MONTH(B3693)-MONTH(parametros!$C$2))/12)))))</f>
        <v/>
      </c>
      <c r="D3693" s="394"/>
      <c r="E3693" s="78" t="str">
        <f>IF(C3693="","",IFERROR(VLOOKUP(C3693,parametros!$A$11:$E$15,5,0),""))</f>
        <v/>
      </c>
      <c r="F3693" s="79" t="str">
        <f t="shared" si="287"/>
        <v/>
      </c>
      <c r="G3693" s="395"/>
      <c r="H3693" s="91">
        <f t="shared" si="288"/>
        <v>0</v>
      </c>
      <c r="I3693" s="91" t="str">
        <f t="shared" si="289"/>
        <v/>
      </c>
      <c r="J3693" s="91" t="str">
        <f t="shared" si="290"/>
        <v/>
      </c>
      <c r="K3693" s="92" t="str">
        <f>IF(AND(A3693="",B3693="",D3693="",G3693=""),"",IF(AND(A3693&lt;&gt;"",COUNTIF($A$2:$A$5001,A3693)&gt;1),"NUMERO_PC duplicado",IF(B3693="","DATA_PC vazia",IF(NOT(ISNUMBER(B3693)),"DATA_PC invalida",IF(OR(C3693="",C3693="Fora dos ciclos"),"CICLO_PC nao identificado",IF(OR(D3693="",D3693=0),"VALOR_PC vazio ou zero",IF(AND(G3693&lt;&gt;"Sim",G3693&lt;&gt;"Nao",G3693&lt;&gt;""),"PC_PAGO_A_CONTRATADA invalido",IF(AND(C3693&lt;&gt;"C0",IFERROR(INDEX(parametros!$A$2:$A$6,MATCH(C3693,parametros!$B$2:$B$6,0)),"")="Sim",IFERROR(INDEX(parametros!$H$2:$H$6,MATCH(C3693,parametros!$B$2:$B$6,0)),"")=""),"INICIO_EFEITO ausente: PC "&amp;A3693&amp;" - "&amp;C3693,IF(L3693="","EFEITO_PC nao calculado: PC "&amp;A3693&amp;" - "&amp;C3693,"OK")))))))))</f>
        <v/>
      </c>
      <c r="L3693" s="92" t="str">
        <f>IF(AND(A3693="",B3693="",D3693="",G3693=""),"",IF(OR(B3693="",NOT(ISNUMBER(B3693)),C3693="",C3693="Fora dos ciclos"),"",IF(C3693="C0","Nao",IF(IFERROR(INDEX(parametros!$A$2:$A$6,MATCH(C3693,parametros!$B$2:$B$6,0)),"")&lt;&gt;"Sim","Nao",IF(IFERROR(INDEX(parametros!$H$2:$H$6,MATCH(C3693,parametros!$B$2:$B$6,0)),"")="","",IF(B3693&gt;=IFERROR(INDEX(parametros!$H$2:$H$6,MATCH(C3693,parametros!$B$2:$B$6,0)),""),"Sim","Nao"))))))</f>
        <v/>
      </c>
      <c r="T3693" s="156"/>
      <c r="U3693" s="214" t="str">
        <f t="shared" si="291"/>
        <v/>
      </c>
      <c r="V3693" s="212" t="s">
        <v>50</v>
      </c>
      <c r="W3693" s="100" t="s">
        <v>168</v>
      </c>
      <c r="X3693" s="100" t="s">
        <v>169</v>
      </c>
      <c r="Y3693" s="101" t="s">
        <v>170</v>
      </c>
      <c r="Z3693" s="101" t="s">
        <v>171</v>
      </c>
      <c r="AA3693" s="101" t="s">
        <v>50</v>
      </c>
      <c r="AB3693" s="101" t="s">
        <v>172</v>
      </c>
      <c r="AC3693" s="102" t="s">
        <v>173</v>
      </c>
    </row>
    <row r="3694" spans="1:29" ht="25.5" customHeight="1" x14ac:dyDescent="0.35">
      <c r="A3694" s="392"/>
      <c r="B3694" s="393"/>
      <c r="C3694" s="99" t="str">
        <f>IF(B3694="","",IF(NOT(ISNUMBER(B3694)),"DATA_PC invalida",IF(NOT(ISNUMBER(parametros!$C$2)),"Fora dos ciclos",IF(OR(B3694&lt;parametros!$C$2,(YEAR(B3694)-YEAR(parametros!$C$2))*12+MONTH(B3694)-MONTH(parametros!$C$2)&gt;59),"Fora dos ciclos","C"&amp;INT(((YEAR(B3694)-YEAR(parametros!$C$2))*12+MONTH(B3694)-MONTH(parametros!$C$2))/12)))))</f>
        <v/>
      </c>
      <c r="D3694" s="394"/>
      <c r="E3694" s="78" t="str">
        <f>IF(C3694="","",IFERROR(VLOOKUP(C3694,parametros!$A$11:$E$15,5,0),""))</f>
        <v/>
      </c>
      <c r="F3694" s="79" t="str">
        <f t="shared" si="287"/>
        <v/>
      </c>
      <c r="G3694" s="395"/>
      <c r="H3694" s="91">
        <f t="shared" si="288"/>
        <v>0</v>
      </c>
      <c r="I3694" s="91" t="str">
        <f t="shared" si="289"/>
        <v/>
      </c>
      <c r="J3694" s="91" t="str">
        <f t="shared" si="290"/>
        <v/>
      </c>
      <c r="K3694" s="92" t="str">
        <f>IF(AND(A3694="",B3694="",D3694="",G3694=""),"",IF(AND(A3694&lt;&gt;"",COUNTIF($A$2:$A$5001,A3694)&gt;1),"NUMERO_PC duplicado",IF(B3694="","DATA_PC vazia",IF(NOT(ISNUMBER(B3694)),"DATA_PC invalida",IF(OR(C3694="",C3694="Fora dos ciclos"),"CICLO_PC nao identificado",IF(OR(D3694="",D3694=0),"VALOR_PC vazio ou zero",IF(AND(G3694&lt;&gt;"Sim",G3694&lt;&gt;"Nao",G3694&lt;&gt;""),"PC_PAGO_A_CONTRATADA invalido",IF(AND(C3694&lt;&gt;"C0",IFERROR(INDEX(parametros!$A$2:$A$6,MATCH(C3694,parametros!$B$2:$B$6,0)),"")="Sim",IFERROR(INDEX(parametros!$H$2:$H$6,MATCH(C3694,parametros!$B$2:$B$6,0)),"")=""),"INICIO_EFEITO ausente: PC "&amp;A3694&amp;" - "&amp;C3694,IF(L3694="","EFEITO_PC nao calculado: PC "&amp;A3694&amp;" - "&amp;C3694,"OK")))))))))</f>
        <v/>
      </c>
      <c r="L3694" s="92" t="str">
        <f>IF(AND(A3694="",B3694="",D3694="",G3694=""),"",IF(OR(B3694="",NOT(ISNUMBER(B3694)),C3694="",C3694="Fora dos ciclos"),"",IF(C3694="C0","Nao",IF(IFERROR(INDEX(parametros!$A$2:$A$6,MATCH(C3694,parametros!$B$2:$B$6,0)),"")&lt;&gt;"Sim","Nao",IF(IFERROR(INDEX(parametros!$H$2:$H$6,MATCH(C3694,parametros!$B$2:$B$6,0)),"")="","",IF(B3694&gt;=IFERROR(INDEX(parametros!$H$2:$H$6,MATCH(C3694,parametros!$B$2:$B$6,0)),""),"Sim","Nao"))))))</f>
        <v/>
      </c>
      <c r="T3694" s="156"/>
      <c r="U3694" s="214" t="str">
        <f t="shared" si="291"/>
        <v/>
      </c>
      <c r="V3694" s="212" t="s">
        <v>50</v>
      </c>
      <c r="W3694" s="100" t="s">
        <v>168</v>
      </c>
      <c r="X3694" s="100" t="s">
        <v>169</v>
      </c>
      <c r="Y3694" s="101" t="s">
        <v>170</v>
      </c>
      <c r="Z3694" s="101" t="s">
        <v>171</v>
      </c>
      <c r="AA3694" s="101" t="s">
        <v>50</v>
      </c>
      <c r="AB3694" s="101" t="s">
        <v>172</v>
      </c>
      <c r="AC3694" s="102" t="s">
        <v>173</v>
      </c>
    </row>
    <row r="3695" spans="1:29" ht="25.5" customHeight="1" x14ac:dyDescent="0.35">
      <c r="A3695" s="392"/>
      <c r="B3695" s="393"/>
      <c r="C3695" s="99" t="str">
        <f>IF(B3695="","",IF(NOT(ISNUMBER(B3695)),"DATA_PC invalida",IF(NOT(ISNUMBER(parametros!$C$2)),"Fora dos ciclos",IF(OR(B3695&lt;parametros!$C$2,(YEAR(B3695)-YEAR(parametros!$C$2))*12+MONTH(B3695)-MONTH(parametros!$C$2)&gt;59),"Fora dos ciclos","C"&amp;INT(((YEAR(B3695)-YEAR(parametros!$C$2))*12+MONTH(B3695)-MONTH(parametros!$C$2))/12)))))</f>
        <v/>
      </c>
      <c r="D3695" s="394"/>
      <c r="E3695" s="78" t="str">
        <f>IF(C3695="","",IFERROR(VLOOKUP(C3695,parametros!$A$11:$E$15,5,0),""))</f>
        <v/>
      </c>
      <c r="F3695" s="79" t="str">
        <f t="shared" si="287"/>
        <v/>
      </c>
      <c r="G3695" s="395"/>
      <c r="H3695" s="91">
        <f t="shared" si="288"/>
        <v>0</v>
      </c>
      <c r="I3695" s="91" t="str">
        <f t="shared" si="289"/>
        <v/>
      </c>
      <c r="J3695" s="91" t="str">
        <f t="shared" si="290"/>
        <v/>
      </c>
      <c r="K3695" s="92" t="str">
        <f>IF(AND(A3695="",B3695="",D3695="",G3695=""),"",IF(AND(A3695&lt;&gt;"",COUNTIF($A$2:$A$5001,A3695)&gt;1),"NUMERO_PC duplicado",IF(B3695="","DATA_PC vazia",IF(NOT(ISNUMBER(B3695)),"DATA_PC invalida",IF(OR(C3695="",C3695="Fora dos ciclos"),"CICLO_PC nao identificado",IF(OR(D3695="",D3695=0),"VALOR_PC vazio ou zero",IF(AND(G3695&lt;&gt;"Sim",G3695&lt;&gt;"Nao",G3695&lt;&gt;""),"PC_PAGO_A_CONTRATADA invalido",IF(AND(C3695&lt;&gt;"C0",IFERROR(INDEX(parametros!$A$2:$A$6,MATCH(C3695,parametros!$B$2:$B$6,0)),"")="Sim",IFERROR(INDEX(parametros!$H$2:$H$6,MATCH(C3695,parametros!$B$2:$B$6,0)),"")=""),"INICIO_EFEITO ausente: PC "&amp;A3695&amp;" - "&amp;C3695,IF(L3695="","EFEITO_PC nao calculado: PC "&amp;A3695&amp;" - "&amp;C3695,"OK")))))))))</f>
        <v/>
      </c>
      <c r="L3695" s="92" t="str">
        <f>IF(AND(A3695="",B3695="",D3695="",G3695=""),"",IF(OR(B3695="",NOT(ISNUMBER(B3695)),C3695="",C3695="Fora dos ciclos"),"",IF(C3695="C0","Nao",IF(IFERROR(INDEX(parametros!$A$2:$A$6,MATCH(C3695,parametros!$B$2:$B$6,0)),"")&lt;&gt;"Sim","Nao",IF(IFERROR(INDEX(parametros!$H$2:$H$6,MATCH(C3695,parametros!$B$2:$B$6,0)),"")="","",IF(B3695&gt;=IFERROR(INDEX(parametros!$H$2:$H$6,MATCH(C3695,parametros!$B$2:$B$6,0)),""),"Sim","Nao"))))))</f>
        <v/>
      </c>
      <c r="T3695" s="156"/>
      <c r="U3695" s="214" t="str">
        <f t="shared" si="291"/>
        <v/>
      </c>
      <c r="V3695" s="212" t="s">
        <v>50</v>
      </c>
      <c r="W3695" s="100" t="s">
        <v>168</v>
      </c>
      <c r="X3695" s="100" t="s">
        <v>169</v>
      </c>
      <c r="Y3695" s="101" t="s">
        <v>170</v>
      </c>
      <c r="Z3695" s="101" t="s">
        <v>171</v>
      </c>
      <c r="AA3695" s="101" t="s">
        <v>50</v>
      </c>
      <c r="AB3695" s="101" t="s">
        <v>172</v>
      </c>
      <c r="AC3695" s="102" t="s">
        <v>173</v>
      </c>
    </row>
    <row r="3696" spans="1:29" ht="25.5" customHeight="1" x14ac:dyDescent="0.35">
      <c r="A3696" s="392"/>
      <c r="B3696" s="393"/>
      <c r="C3696" s="99" t="str">
        <f>IF(B3696="","",IF(NOT(ISNUMBER(B3696)),"DATA_PC invalida",IF(NOT(ISNUMBER(parametros!$C$2)),"Fora dos ciclos",IF(OR(B3696&lt;parametros!$C$2,(YEAR(B3696)-YEAR(parametros!$C$2))*12+MONTH(B3696)-MONTH(parametros!$C$2)&gt;59),"Fora dos ciclos","C"&amp;INT(((YEAR(B3696)-YEAR(parametros!$C$2))*12+MONTH(B3696)-MONTH(parametros!$C$2))/12)))))</f>
        <v/>
      </c>
      <c r="D3696" s="394"/>
      <c r="E3696" s="78" t="str">
        <f>IF(C3696="","",IFERROR(VLOOKUP(C3696,parametros!$A$11:$E$15,5,0),""))</f>
        <v/>
      </c>
      <c r="F3696" s="79" t="str">
        <f t="shared" si="287"/>
        <v/>
      </c>
      <c r="G3696" s="395"/>
      <c r="H3696" s="91">
        <f t="shared" si="288"/>
        <v>0</v>
      </c>
      <c r="I3696" s="91" t="str">
        <f t="shared" si="289"/>
        <v/>
      </c>
      <c r="J3696" s="91" t="str">
        <f t="shared" si="290"/>
        <v/>
      </c>
      <c r="K3696" s="92" t="str">
        <f>IF(AND(A3696="",B3696="",D3696="",G3696=""),"",IF(AND(A3696&lt;&gt;"",COUNTIF($A$2:$A$5001,A3696)&gt;1),"NUMERO_PC duplicado",IF(B3696="","DATA_PC vazia",IF(NOT(ISNUMBER(B3696)),"DATA_PC invalida",IF(OR(C3696="",C3696="Fora dos ciclos"),"CICLO_PC nao identificado",IF(OR(D3696="",D3696=0),"VALOR_PC vazio ou zero",IF(AND(G3696&lt;&gt;"Sim",G3696&lt;&gt;"Nao",G3696&lt;&gt;""),"PC_PAGO_A_CONTRATADA invalido",IF(AND(C3696&lt;&gt;"C0",IFERROR(INDEX(parametros!$A$2:$A$6,MATCH(C3696,parametros!$B$2:$B$6,0)),"")="Sim",IFERROR(INDEX(parametros!$H$2:$H$6,MATCH(C3696,parametros!$B$2:$B$6,0)),"")=""),"INICIO_EFEITO ausente: PC "&amp;A3696&amp;" - "&amp;C3696,IF(L3696="","EFEITO_PC nao calculado: PC "&amp;A3696&amp;" - "&amp;C3696,"OK")))))))))</f>
        <v/>
      </c>
      <c r="L3696" s="92" t="str">
        <f>IF(AND(A3696="",B3696="",D3696="",G3696=""),"",IF(OR(B3696="",NOT(ISNUMBER(B3696)),C3696="",C3696="Fora dos ciclos"),"",IF(C3696="C0","Nao",IF(IFERROR(INDEX(parametros!$A$2:$A$6,MATCH(C3696,parametros!$B$2:$B$6,0)),"")&lt;&gt;"Sim","Nao",IF(IFERROR(INDEX(parametros!$H$2:$H$6,MATCH(C3696,parametros!$B$2:$B$6,0)),"")="","",IF(B3696&gt;=IFERROR(INDEX(parametros!$H$2:$H$6,MATCH(C3696,parametros!$B$2:$B$6,0)),""),"Sim","Nao"))))))</f>
        <v/>
      </c>
      <c r="T3696" s="156"/>
      <c r="U3696" s="214" t="str">
        <f t="shared" si="291"/>
        <v/>
      </c>
      <c r="V3696" s="212" t="s">
        <v>50</v>
      </c>
      <c r="W3696" s="100" t="s">
        <v>168</v>
      </c>
      <c r="X3696" s="100" t="s">
        <v>169</v>
      </c>
      <c r="Y3696" s="101" t="s">
        <v>170</v>
      </c>
      <c r="Z3696" s="101" t="s">
        <v>171</v>
      </c>
      <c r="AA3696" s="101" t="s">
        <v>50</v>
      </c>
      <c r="AB3696" s="101" t="s">
        <v>172</v>
      </c>
      <c r="AC3696" s="102" t="s">
        <v>173</v>
      </c>
    </row>
    <row r="3697" spans="1:29" ht="25.5" customHeight="1" x14ac:dyDescent="0.35">
      <c r="A3697" s="392"/>
      <c r="B3697" s="393"/>
      <c r="C3697" s="99" t="str">
        <f>IF(B3697="","",IF(NOT(ISNUMBER(B3697)),"DATA_PC invalida",IF(NOT(ISNUMBER(parametros!$C$2)),"Fora dos ciclos",IF(OR(B3697&lt;parametros!$C$2,(YEAR(B3697)-YEAR(parametros!$C$2))*12+MONTH(B3697)-MONTH(parametros!$C$2)&gt;59),"Fora dos ciclos","C"&amp;INT(((YEAR(B3697)-YEAR(parametros!$C$2))*12+MONTH(B3697)-MONTH(parametros!$C$2))/12)))))</f>
        <v/>
      </c>
      <c r="D3697" s="394"/>
      <c r="E3697" s="78" t="str">
        <f>IF(C3697="","",IFERROR(VLOOKUP(C3697,parametros!$A$11:$E$15,5,0),""))</f>
        <v/>
      </c>
      <c r="F3697" s="79" t="str">
        <f t="shared" si="287"/>
        <v/>
      </c>
      <c r="G3697" s="395"/>
      <c r="H3697" s="91">
        <f t="shared" si="288"/>
        <v>0</v>
      </c>
      <c r="I3697" s="91" t="str">
        <f t="shared" si="289"/>
        <v/>
      </c>
      <c r="J3697" s="91" t="str">
        <f t="shared" si="290"/>
        <v/>
      </c>
      <c r="K3697" s="92" t="str">
        <f>IF(AND(A3697="",B3697="",D3697="",G3697=""),"",IF(AND(A3697&lt;&gt;"",COUNTIF($A$2:$A$5001,A3697)&gt;1),"NUMERO_PC duplicado",IF(B3697="","DATA_PC vazia",IF(NOT(ISNUMBER(B3697)),"DATA_PC invalida",IF(OR(C3697="",C3697="Fora dos ciclos"),"CICLO_PC nao identificado",IF(OR(D3697="",D3697=0),"VALOR_PC vazio ou zero",IF(AND(G3697&lt;&gt;"Sim",G3697&lt;&gt;"Nao",G3697&lt;&gt;""),"PC_PAGO_A_CONTRATADA invalido",IF(AND(C3697&lt;&gt;"C0",IFERROR(INDEX(parametros!$A$2:$A$6,MATCH(C3697,parametros!$B$2:$B$6,0)),"")="Sim",IFERROR(INDEX(parametros!$H$2:$H$6,MATCH(C3697,parametros!$B$2:$B$6,0)),"")=""),"INICIO_EFEITO ausente: PC "&amp;A3697&amp;" - "&amp;C3697,IF(L3697="","EFEITO_PC nao calculado: PC "&amp;A3697&amp;" - "&amp;C3697,"OK")))))))))</f>
        <v/>
      </c>
      <c r="L3697" s="92" t="str">
        <f>IF(AND(A3697="",B3697="",D3697="",G3697=""),"",IF(OR(B3697="",NOT(ISNUMBER(B3697)),C3697="",C3697="Fora dos ciclos"),"",IF(C3697="C0","Nao",IF(IFERROR(INDEX(parametros!$A$2:$A$6,MATCH(C3697,parametros!$B$2:$B$6,0)),"")&lt;&gt;"Sim","Nao",IF(IFERROR(INDEX(parametros!$H$2:$H$6,MATCH(C3697,parametros!$B$2:$B$6,0)),"")="","",IF(B3697&gt;=IFERROR(INDEX(parametros!$H$2:$H$6,MATCH(C3697,parametros!$B$2:$B$6,0)),""),"Sim","Nao"))))))</f>
        <v/>
      </c>
      <c r="T3697" s="156"/>
      <c r="U3697" s="214" t="str">
        <f t="shared" si="291"/>
        <v/>
      </c>
      <c r="V3697" s="212" t="s">
        <v>50</v>
      </c>
      <c r="W3697" s="100" t="s">
        <v>168</v>
      </c>
      <c r="X3697" s="100" t="s">
        <v>169</v>
      </c>
      <c r="Y3697" s="101" t="s">
        <v>170</v>
      </c>
      <c r="Z3697" s="101" t="s">
        <v>171</v>
      </c>
      <c r="AA3697" s="101" t="s">
        <v>50</v>
      </c>
      <c r="AB3697" s="101" t="s">
        <v>172</v>
      </c>
      <c r="AC3697" s="102" t="s">
        <v>173</v>
      </c>
    </row>
    <row r="3698" spans="1:29" ht="25.5" customHeight="1" x14ac:dyDescent="0.35">
      <c r="A3698" s="392"/>
      <c r="B3698" s="393"/>
      <c r="C3698" s="99" t="str">
        <f>IF(B3698="","",IF(NOT(ISNUMBER(B3698)),"DATA_PC invalida",IF(NOT(ISNUMBER(parametros!$C$2)),"Fora dos ciclos",IF(OR(B3698&lt;parametros!$C$2,(YEAR(B3698)-YEAR(parametros!$C$2))*12+MONTH(B3698)-MONTH(parametros!$C$2)&gt;59),"Fora dos ciclos","C"&amp;INT(((YEAR(B3698)-YEAR(parametros!$C$2))*12+MONTH(B3698)-MONTH(parametros!$C$2))/12)))))</f>
        <v/>
      </c>
      <c r="D3698" s="394"/>
      <c r="E3698" s="78" t="str">
        <f>IF(C3698="","",IFERROR(VLOOKUP(C3698,parametros!$A$11:$E$15,5,0),""))</f>
        <v/>
      </c>
      <c r="F3698" s="79" t="str">
        <f t="shared" si="287"/>
        <v/>
      </c>
      <c r="G3698" s="395"/>
      <c r="H3698" s="91">
        <f t="shared" si="288"/>
        <v>0</v>
      </c>
      <c r="I3698" s="91" t="str">
        <f t="shared" si="289"/>
        <v/>
      </c>
      <c r="J3698" s="91" t="str">
        <f t="shared" si="290"/>
        <v/>
      </c>
      <c r="K3698" s="92" t="str">
        <f>IF(AND(A3698="",B3698="",D3698="",G3698=""),"",IF(AND(A3698&lt;&gt;"",COUNTIF($A$2:$A$5001,A3698)&gt;1),"NUMERO_PC duplicado",IF(B3698="","DATA_PC vazia",IF(NOT(ISNUMBER(B3698)),"DATA_PC invalida",IF(OR(C3698="",C3698="Fora dos ciclos"),"CICLO_PC nao identificado",IF(OR(D3698="",D3698=0),"VALOR_PC vazio ou zero",IF(AND(G3698&lt;&gt;"Sim",G3698&lt;&gt;"Nao",G3698&lt;&gt;""),"PC_PAGO_A_CONTRATADA invalido",IF(AND(C3698&lt;&gt;"C0",IFERROR(INDEX(parametros!$A$2:$A$6,MATCH(C3698,parametros!$B$2:$B$6,0)),"")="Sim",IFERROR(INDEX(parametros!$H$2:$H$6,MATCH(C3698,parametros!$B$2:$B$6,0)),"")=""),"INICIO_EFEITO ausente: PC "&amp;A3698&amp;" - "&amp;C3698,IF(L3698="","EFEITO_PC nao calculado: PC "&amp;A3698&amp;" - "&amp;C3698,"OK")))))))))</f>
        <v/>
      </c>
      <c r="L3698" s="92" t="str">
        <f>IF(AND(A3698="",B3698="",D3698="",G3698=""),"",IF(OR(B3698="",NOT(ISNUMBER(B3698)),C3698="",C3698="Fora dos ciclos"),"",IF(C3698="C0","Nao",IF(IFERROR(INDEX(parametros!$A$2:$A$6,MATCH(C3698,parametros!$B$2:$B$6,0)),"")&lt;&gt;"Sim","Nao",IF(IFERROR(INDEX(parametros!$H$2:$H$6,MATCH(C3698,parametros!$B$2:$B$6,0)),"")="","",IF(B3698&gt;=IFERROR(INDEX(parametros!$H$2:$H$6,MATCH(C3698,parametros!$B$2:$B$6,0)),""),"Sim","Nao"))))))</f>
        <v/>
      </c>
      <c r="T3698" s="156"/>
      <c r="U3698" s="214" t="str">
        <f t="shared" si="291"/>
        <v/>
      </c>
      <c r="V3698" s="212" t="s">
        <v>50</v>
      </c>
      <c r="W3698" s="100" t="s">
        <v>168</v>
      </c>
      <c r="X3698" s="100" t="s">
        <v>169</v>
      </c>
      <c r="Y3698" s="101" t="s">
        <v>170</v>
      </c>
      <c r="Z3698" s="101" t="s">
        <v>171</v>
      </c>
      <c r="AA3698" s="101" t="s">
        <v>50</v>
      </c>
      <c r="AB3698" s="101" t="s">
        <v>172</v>
      </c>
      <c r="AC3698" s="102" t="s">
        <v>173</v>
      </c>
    </row>
    <row r="3699" spans="1:29" ht="25.5" customHeight="1" x14ac:dyDescent="0.35">
      <c r="A3699" s="392"/>
      <c r="B3699" s="393"/>
      <c r="C3699" s="99" t="str">
        <f>IF(B3699="","",IF(NOT(ISNUMBER(B3699)),"DATA_PC invalida",IF(NOT(ISNUMBER(parametros!$C$2)),"Fora dos ciclos",IF(OR(B3699&lt;parametros!$C$2,(YEAR(B3699)-YEAR(parametros!$C$2))*12+MONTH(B3699)-MONTH(parametros!$C$2)&gt;59),"Fora dos ciclos","C"&amp;INT(((YEAR(B3699)-YEAR(parametros!$C$2))*12+MONTH(B3699)-MONTH(parametros!$C$2))/12)))))</f>
        <v/>
      </c>
      <c r="D3699" s="394"/>
      <c r="E3699" s="78" t="str">
        <f>IF(C3699="","",IFERROR(VLOOKUP(C3699,parametros!$A$11:$E$15,5,0),""))</f>
        <v/>
      </c>
      <c r="F3699" s="79" t="str">
        <f t="shared" si="287"/>
        <v/>
      </c>
      <c r="G3699" s="395"/>
      <c r="H3699" s="91">
        <f t="shared" si="288"/>
        <v>0</v>
      </c>
      <c r="I3699" s="91" t="str">
        <f t="shared" si="289"/>
        <v/>
      </c>
      <c r="J3699" s="91" t="str">
        <f t="shared" si="290"/>
        <v/>
      </c>
      <c r="K3699" s="92" t="str">
        <f>IF(AND(A3699="",B3699="",D3699="",G3699=""),"",IF(AND(A3699&lt;&gt;"",COUNTIF($A$2:$A$5001,A3699)&gt;1),"NUMERO_PC duplicado",IF(B3699="","DATA_PC vazia",IF(NOT(ISNUMBER(B3699)),"DATA_PC invalida",IF(OR(C3699="",C3699="Fora dos ciclos"),"CICLO_PC nao identificado",IF(OR(D3699="",D3699=0),"VALOR_PC vazio ou zero",IF(AND(G3699&lt;&gt;"Sim",G3699&lt;&gt;"Nao",G3699&lt;&gt;""),"PC_PAGO_A_CONTRATADA invalido",IF(AND(C3699&lt;&gt;"C0",IFERROR(INDEX(parametros!$A$2:$A$6,MATCH(C3699,parametros!$B$2:$B$6,0)),"")="Sim",IFERROR(INDEX(parametros!$H$2:$H$6,MATCH(C3699,parametros!$B$2:$B$6,0)),"")=""),"INICIO_EFEITO ausente: PC "&amp;A3699&amp;" - "&amp;C3699,IF(L3699="","EFEITO_PC nao calculado: PC "&amp;A3699&amp;" - "&amp;C3699,"OK")))))))))</f>
        <v/>
      </c>
      <c r="L3699" s="92" t="str">
        <f>IF(AND(A3699="",B3699="",D3699="",G3699=""),"",IF(OR(B3699="",NOT(ISNUMBER(B3699)),C3699="",C3699="Fora dos ciclos"),"",IF(C3699="C0","Nao",IF(IFERROR(INDEX(parametros!$A$2:$A$6,MATCH(C3699,parametros!$B$2:$B$6,0)),"")&lt;&gt;"Sim","Nao",IF(IFERROR(INDEX(parametros!$H$2:$H$6,MATCH(C3699,parametros!$B$2:$B$6,0)),"")="","",IF(B3699&gt;=IFERROR(INDEX(parametros!$H$2:$H$6,MATCH(C3699,parametros!$B$2:$B$6,0)),""),"Sim","Nao"))))))</f>
        <v/>
      </c>
      <c r="T3699" s="156"/>
      <c r="U3699" s="214" t="str">
        <f t="shared" si="291"/>
        <v/>
      </c>
      <c r="V3699" s="212" t="s">
        <v>50</v>
      </c>
      <c r="W3699" s="100" t="s">
        <v>168</v>
      </c>
      <c r="X3699" s="100" t="s">
        <v>169</v>
      </c>
      <c r="Y3699" s="101" t="s">
        <v>170</v>
      </c>
      <c r="Z3699" s="101" t="s">
        <v>171</v>
      </c>
      <c r="AA3699" s="101" t="s">
        <v>50</v>
      </c>
      <c r="AB3699" s="101" t="s">
        <v>172</v>
      </c>
      <c r="AC3699" s="102" t="s">
        <v>173</v>
      </c>
    </row>
    <row r="3700" spans="1:29" ht="25.5" customHeight="1" x14ac:dyDescent="0.35">
      <c r="A3700" s="392"/>
      <c r="B3700" s="393"/>
      <c r="C3700" s="99" t="str">
        <f>IF(B3700="","",IF(NOT(ISNUMBER(B3700)),"DATA_PC invalida",IF(NOT(ISNUMBER(parametros!$C$2)),"Fora dos ciclos",IF(OR(B3700&lt;parametros!$C$2,(YEAR(B3700)-YEAR(parametros!$C$2))*12+MONTH(B3700)-MONTH(parametros!$C$2)&gt;59),"Fora dos ciclos","C"&amp;INT(((YEAR(B3700)-YEAR(parametros!$C$2))*12+MONTH(B3700)-MONTH(parametros!$C$2))/12)))))</f>
        <v/>
      </c>
      <c r="D3700" s="394"/>
      <c r="E3700" s="78" t="str">
        <f>IF(C3700="","",IFERROR(VLOOKUP(C3700,parametros!$A$11:$E$15,5,0),""))</f>
        <v/>
      </c>
      <c r="F3700" s="79" t="str">
        <f t="shared" si="287"/>
        <v/>
      </c>
      <c r="G3700" s="395"/>
      <c r="H3700" s="91">
        <f t="shared" si="288"/>
        <v>0</v>
      </c>
      <c r="I3700" s="91" t="str">
        <f t="shared" si="289"/>
        <v/>
      </c>
      <c r="J3700" s="91" t="str">
        <f t="shared" si="290"/>
        <v/>
      </c>
      <c r="K3700" s="92" t="str">
        <f>IF(AND(A3700="",B3700="",D3700="",G3700=""),"",IF(AND(A3700&lt;&gt;"",COUNTIF($A$2:$A$5001,A3700)&gt;1),"NUMERO_PC duplicado",IF(B3700="","DATA_PC vazia",IF(NOT(ISNUMBER(B3700)),"DATA_PC invalida",IF(OR(C3700="",C3700="Fora dos ciclos"),"CICLO_PC nao identificado",IF(OR(D3700="",D3700=0),"VALOR_PC vazio ou zero",IF(AND(G3700&lt;&gt;"Sim",G3700&lt;&gt;"Nao",G3700&lt;&gt;""),"PC_PAGO_A_CONTRATADA invalido",IF(AND(C3700&lt;&gt;"C0",IFERROR(INDEX(parametros!$A$2:$A$6,MATCH(C3700,parametros!$B$2:$B$6,0)),"")="Sim",IFERROR(INDEX(parametros!$H$2:$H$6,MATCH(C3700,parametros!$B$2:$B$6,0)),"")=""),"INICIO_EFEITO ausente: PC "&amp;A3700&amp;" - "&amp;C3700,IF(L3700="","EFEITO_PC nao calculado: PC "&amp;A3700&amp;" - "&amp;C3700,"OK")))))))))</f>
        <v/>
      </c>
      <c r="L3700" s="92" t="str">
        <f>IF(AND(A3700="",B3700="",D3700="",G3700=""),"",IF(OR(B3700="",NOT(ISNUMBER(B3700)),C3700="",C3700="Fora dos ciclos"),"",IF(C3700="C0","Nao",IF(IFERROR(INDEX(parametros!$A$2:$A$6,MATCH(C3700,parametros!$B$2:$B$6,0)),"")&lt;&gt;"Sim","Nao",IF(IFERROR(INDEX(parametros!$H$2:$H$6,MATCH(C3700,parametros!$B$2:$B$6,0)),"")="","",IF(B3700&gt;=IFERROR(INDEX(parametros!$H$2:$H$6,MATCH(C3700,parametros!$B$2:$B$6,0)),""),"Sim","Nao"))))))</f>
        <v/>
      </c>
      <c r="T3700" s="156"/>
      <c r="U3700" s="214" t="str">
        <f t="shared" si="291"/>
        <v/>
      </c>
      <c r="V3700" s="212" t="s">
        <v>50</v>
      </c>
      <c r="W3700" s="100" t="s">
        <v>168</v>
      </c>
      <c r="X3700" s="100" t="s">
        <v>169</v>
      </c>
      <c r="Y3700" s="101" t="s">
        <v>170</v>
      </c>
      <c r="Z3700" s="101" t="s">
        <v>171</v>
      </c>
      <c r="AA3700" s="101" t="s">
        <v>50</v>
      </c>
      <c r="AB3700" s="101" t="s">
        <v>172</v>
      </c>
      <c r="AC3700" s="102" t="s">
        <v>173</v>
      </c>
    </row>
    <row r="3701" spans="1:29" ht="25.5" customHeight="1" x14ac:dyDescent="0.35">
      <c r="A3701" s="392"/>
      <c r="B3701" s="393"/>
      <c r="C3701" s="99" t="str">
        <f>IF(B3701="","",IF(NOT(ISNUMBER(B3701)),"DATA_PC invalida",IF(NOT(ISNUMBER(parametros!$C$2)),"Fora dos ciclos",IF(OR(B3701&lt;parametros!$C$2,(YEAR(B3701)-YEAR(parametros!$C$2))*12+MONTH(B3701)-MONTH(parametros!$C$2)&gt;59),"Fora dos ciclos","C"&amp;INT(((YEAR(B3701)-YEAR(parametros!$C$2))*12+MONTH(B3701)-MONTH(parametros!$C$2))/12)))))</f>
        <v/>
      </c>
      <c r="D3701" s="394"/>
      <c r="E3701" s="78" t="str">
        <f>IF(C3701="","",IFERROR(VLOOKUP(C3701,parametros!$A$11:$E$15,5,0),""))</f>
        <v/>
      </c>
      <c r="F3701" s="79" t="str">
        <f t="shared" si="287"/>
        <v/>
      </c>
      <c r="G3701" s="395"/>
      <c r="H3701" s="91">
        <f t="shared" si="288"/>
        <v>0</v>
      </c>
      <c r="I3701" s="91" t="str">
        <f t="shared" si="289"/>
        <v/>
      </c>
      <c r="J3701" s="91" t="str">
        <f t="shared" si="290"/>
        <v/>
      </c>
      <c r="K3701" s="92" t="str">
        <f>IF(AND(A3701="",B3701="",D3701="",G3701=""),"",IF(AND(A3701&lt;&gt;"",COUNTIF($A$2:$A$5001,A3701)&gt;1),"NUMERO_PC duplicado",IF(B3701="","DATA_PC vazia",IF(NOT(ISNUMBER(B3701)),"DATA_PC invalida",IF(OR(C3701="",C3701="Fora dos ciclos"),"CICLO_PC nao identificado",IF(OR(D3701="",D3701=0),"VALOR_PC vazio ou zero",IF(AND(G3701&lt;&gt;"Sim",G3701&lt;&gt;"Nao",G3701&lt;&gt;""),"PC_PAGO_A_CONTRATADA invalido",IF(AND(C3701&lt;&gt;"C0",IFERROR(INDEX(parametros!$A$2:$A$6,MATCH(C3701,parametros!$B$2:$B$6,0)),"")="Sim",IFERROR(INDEX(parametros!$H$2:$H$6,MATCH(C3701,parametros!$B$2:$B$6,0)),"")=""),"INICIO_EFEITO ausente: PC "&amp;A3701&amp;" - "&amp;C3701,IF(L3701="","EFEITO_PC nao calculado: PC "&amp;A3701&amp;" - "&amp;C3701,"OK")))))))))</f>
        <v/>
      </c>
      <c r="L3701" s="92" t="str">
        <f>IF(AND(A3701="",B3701="",D3701="",G3701=""),"",IF(OR(B3701="",NOT(ISNUMBER(B3701)),C3701="",C3701="Fora dos ciclos"),"",IF(C3701="C0","Nao",IF(IFERROR(INDEX(parametros!$A$2:$A$6,MATCH(C3701,parametros!$B$2:$B$6,0)),"")&lt;&gt;"Sim","Nao",IF(IFERROR(INDEX(parametros!$H$2:$H$6,MATCH(C3701,parametros!$B$2:$B$6,0)),"")="","",IF(B3701&gt;=IFERROR(INDEX(parametros!$H$2:$H$6,MATCH(C3701,parametros!$B$2:$B$6,0)),""),"Sim","Nao"))))))</f>
        <v/>
      </c>
      <c r="T3701" s="156"/>
      <c r="U3701" s="214" t="str">
        <f t="shared" si="291"/>
        <v/>
      </c>
      <c r="V3701" s="212" t="s">
        <v>50</v>
      </c>
      <c r="W3701" s="100" t="s">
        <v>168</v>
      </c>
      <c r="X3701" s="100" t="s">
        <v>169</v>
      </c>
      <c r="Y3701" s="101" t="s">
        <v>170</v>
      </c>
      <c r="Z3701" s="101" t="s">
        <v>171</v>
      </c>
      <c r="AA3701" s="101" t="s">
        <v>50</v>
      </c>
      <c r="AB3701" s="101" t="s">
        <v>172</v>
      </c>
      <c r="AC3701" s="102" t="s">
        <v>173</v>
      </c>
    </row>
    <row r="3702" spans="1:29" ht="25.5" customHeight="1" x14ac:dyDescent="0.35">
      <c r="A3702" s="392"/>
      <c r="B3702" s="393"/>
      <c r="C3702" s="99" t="str">
        <f>IF(B3702="","",IF(NOT(ISNUMBER(B3702)),"DATA_PC invalida",IF(NOT(ISNUMBER(parametros!$C$2)),"Fora dos ciclos",IF(OR(B3702&lt;parametros!$C$2,(YEAR(B3702)-YEAR(parametros!$C$2))*12+MONTH(B3702)-MONTH(parametros!$C$2)&gt;59),"Fora dos ciclos","C"&amp;INT(((YEAR(B3702)-YEAR(parametros!$C$2))*12+MONTH(B3702)-MONTH(parametros!$C$2))/12)))))</f>
        <v/>
      </c>
      <c r="D3702" s="394"/>
      <c r="E3702" s="78" t="str">
        <f>IF(C3702="","",IFERROR(VLOOKUP(C3702,parametros!$A$11:$E$15,5,0),""))</f>
        <v/>
      </c>
      <c r="F3702" s="79" t="str">
        <f t="shared" si="287"/>
        <v/>
      </c>
      <c r="G3702" s="395"/>
      <c r="H3702" s="91">
        <f t="shared" si="288"/>
        <v>0</v>
      </c>
      <c r="I3702" s="91" t="str">
        <f t="shared" si="289"/>
        <v/>
      </c>
      <c r="J3702" s="91" t="str">
        <f t="shared" si="290"/>
        <v/>
      </c>
      <c r="K3702" s="92" t="str">
        <f>IF(AND(A3702="",B3702="",D3702="",G3702=""),"",IF(AND(A3702&lt;&gt;"",COUNTIF($A$2:$A$5001,A3702)&gt;1),"NUMERO_PC duplicado",IF(B3702="","DATA_PC vazia",IF(NOT(ISNUMBER(B3702)),"DATA_PC invalida",IF(OR(C3702="",C3702="Fora dos ciclos"),"CICLO_PC nao identificado",IF(OR(D3702="",D3702=0),"VALOR_PC vazio ou zero",IF(AND(G3702&lt;&gt;"Sim",G3702&lt;&gt;"Nao",G3702&lt;&gt;""),"PC_PAGO_A_CONTRATADA invalido",IF(AND(C3702&lt;&gt;"C0",IFERROR(INDEX(parametros!$A$2:$A$6,MATCH(C3702,parametros!$B$2:$B$6,0)),"")="Sim",IFERROR(INDEX(parametros!$H$2:$H$6,MATCH(C3702,parametros!$B$2:$B$6,0)),"")=""),"INICIO_EFEITO ausente: PC "&amp;A3702&amp;" - "&amp;C3702,IF(L3702="","EFEITO_PC nao calculado: PC "&amp;A3702&amp;" - "&amp;C3702,"OK")))))))))</f>
        <v/>
      </c>
      <c r="L3702" s="92" t="str">
        <f>IF(AND(A3702="",B3702="",D3702="",G3702=""),"",IF(OR(B3702="",NOT(ISNUMBER(B3702)),C3702="",C3702="Fora dos ciclos"),"",IF(C3702="C0","Nao",IF(IFERROR(INDEX(parametros!$A$2:$A$6,MATCH(C3702,parametros!$B$2:$B$6,0)),"")&lt;&gt;"Sim","Nao",IF(IFERROR(INDEX(parametros!$H$2:$H$6,MATCH(C3702,parametros!$B$2:$B$6,0)),"")="","",IF(B3702&gt;=IFERROR(INDEX(parametros!$H$2:$H$6,MATCH(C3702,parametros!$B$2:$B$6,0)),""),"Sim","Nao"))))))</f>
        <v/>
      </c>
      <c r="T3702" s="156"/>
      <c r="U3702" s="214" t="str">
        <f t="shared" si="291"/>
        <v/>
      </c>
      <c r="V3702" s="212" t="s">
        <v>50</v>
      </c>
      <c r="W3702" s="100" t="s">
        <v>168</v>
      </c>
      <c r="X3702" s="100" t="s">
        <v>169</v>
      </c>
      <c r="Y3702" s="101" t="s">
        <v>170</v>
      </c>
      <c r="Z3702" s="101" t="s">
        <v>171</v>
      </c>
      <c r="AA3702" s="101" t="s">
        <v>50</v>
      </c>
      <c r="AB3702" s="101" t="s">
        <v>172</v>
      </c>
      <c r="AC3702" s="102" t="s">
        <v>173</v>
      </c>
    </row>
    <row r="3703" spans="1:29" ht="25.5" customHeight="1" x14ac:dyDescent="0.35">
      <c r="A3703" s="392"/>
      <c r="B3703" s="393"/>
      <c r="C3703" s="99" t="str">
        <f>IF(B3703="","",IF(NOT(ISNUMBER(B3703)),"DATA_PC invalida",IF(NOT(ISNUMBER(parametros!$C$2)),"Fora dos ciclos",IF(OR(B3703&lt;parametros!$C$2,(YEAR(B3703)-YEAR(parametros!$C$2))*12+MONTH(B3703)-MONTH(parametros!$C$2)&gt;59),"Fora dos ciclos","C"&amp;INT(((YEAR(B3703)-YEAR(parametros!$C$2))*12+MONTH(B3703)-MONTH(parametros!$C$2))/12)))))</f>
        <v/>
      </c>
      <c r="D3703" s="394"/>
      <c r="E3703" s="78" t="str">
        <f>IF(C3703="","",IFERROR(VLOOKUP(C3703,parametros!$A$11:$E$15,5,0),""))</f>
        <v/>
      </c>
      <c r="F3703" s="79" t="str">
        <f t="shared" si="287"/>
        <v/>
      </c>
      <c r="G3703" s="395"/>
      <c r="H3703" s="91">
        <f t="shared" si="288"/>
        <v>0</v>
      </c>
      <c r="I3703" s="91" t="str">
        <f t="shared" si="289"/>
        <v/>
      </c>
      <c r="J3703" s="91" t="str">
        <f t="shared" si="290"/>
        <v/>
      </c>
      <c r="K3703" s="92" t="str">
        <f>IF(AND(A3703="",B3703="",D3703="",G3703=""),"",IF(AND(A3703&lt;&gt;"",COUNTIF($A$2:$A$5001,A3703)&gt;1),"NUMERO_PC duplicado",IF(B3703="","DATA_PC vazia",IF(NOT(ISNUMBER(B3703)),"DATA_PC invalida",IF(OR(C3703="",C3703="Fora dos ciclos"),"CICLO_PC nao identificado",IF(OR(D3703="",D3703=0),"VALOR_PC vazio ou zero",IF(AND(G3703&lt;&gt;"Sim",G3703&lt;&gt;"Nao",G3703&lt;&gt;""),"PC_PAGO_A_CONTRATADA invalido",IF(AND(C3703&lt;&gt;"C0",IFERROR(INDEX(parametros!$A$2:$A$6,MATCH(C3703,parametros!$B$2:$B$6,0)),"")="Sim",IFERROR(INDEX(parametros!$H$2:$H$6,MATCH(C3703,parametros!$B$2:$B$6,0)),"")=""),"INICIO_EFEITO ausente: PC "&amp;A3703&amp;" - "&amp;C3703,IF(L3703="","EFEITO_PC nao calculado: PC "&amp;A3703&amp;" - "&amp;C3703,"OK")))))))))</f>
        <v/>
      </c>
      <c r="L3703" s="92" t="str">
        <f>IF(AND(A3703="",B3703="",D3703="",G3703=""),"",IF(OR(B3703="",NOT(ISNUMBER(B3703)),C3703="",C3703="Fora dos ciclos"),"",IF(C3703="C0","Nao",IF(IFERROR(INDEX(parametros!$A$2:$A$6,MATCH(C3703,parametros!$B$2:$B$6,0)),"")&lt;&gt;"Sim","Nao",IF(IFERROR(INDEX(parametros!$H$2:$H$6,MATCH(C3703,parametros!$B$2:$B$6,0)),"")="","",IF(B3703&gt;=IFERROR(INDEX(parametros!$H$2:$H$6,MATCH(C3703,parametros!$B$2:$B$6,0)),""),"Sim","Nao"))))))</f>
        <v/>
      </c>
      <c r="T3703" s="156"/>
      <c r="U3703" s="214" t="str">
        <f t="shared" si="291"/>
        <v/>
      </c>
      <c r="V3703" s="212" t="s">
        <v>50</v>
      </c>
      <c r="W3703" s="100" t="s">
        <v>168</v>
      </c>
      <c r="X3703" s="100" t="s">
        <v>169</v>
      </c>
      <c r="Y3703" s="101" t="s">
        <v>170</v>
      </c>
      <c r="Z3703" s="101" t="s">
        <v>171</v>
      </c>
      <c r="AA3703" s="101" t="s">
        <v>50</v>
      </c>
      <c r="AB3703" s="101" t="s">
        <v>172</v>
      </c>
      <c r="AC3703" s="102" t="s">
        <v>173</v>
      </c>
    </row>
    <row r="3704" spans="1:29" ht="25.5" customHeight="1" x14ac:dyDescent="0.35">
      <c r="A3704" s="392"/>
      <c r="B3704" s="393"/>
      <c r="C3704" s="99" t="str">
        <f>IF(B3704="","",IF(NOT(ISNUMBER(B3704)),"DATA_PC invalida",IF(NOT(ISNUMBER(parametros!$C$2)),"Fora dos ciclos",IF(OR(B3704&lt;parametros!$C$2,(YEAR(B3704)-YEAR(parametros!$C$2))*12+MONTH(B3704)-MONTH(parametros!$C$2)&gt;59),"Fora dos ciclos","C"&amp;INT(((YEAR(B3704)-YEAR(parametros!$C$2))*12+MONTH(B3704)-MONTH(parametros!$C$2))/12)))))</f>
        <v/>
      </c>
      <c r="D3704" s="394"/>
      <c r="E3704" s="78" t="str">
        <f>IF(C3704="","",IFERROR(VLOOKUP(C3704,parametros!$A$11:$E$15,5,0),""))</f>
        <v/>
      </c>
      <c r="F3704" s="79" t="str">
        <f t="shared" si="287"/>
        <v/>
      </c>
      <c r="G3704" s="395"/>
      <c r="H3704" s="91">
        <f t="shared" si="288"/>
        <v>0</v>
      </c>
      <c r="I3704" s="91" t="str">
        <f t="shared" si="289"/>
        <v/>
      </c>
      <c r="J3704" s="91" t="str">
        <f t="shared" si="290"/>
        <v/>
      </c>
      <c r="K3704" s="92" t="str">
        <f>IF(AND(A3704="",B3704="",D3704="",G3704=""),"",IF(AND(A3704&lt;&gt;"",COUNTIF($A$2:$A$5001,A3704)&gt;1),"NUMERO_PC duplicado",IF(B3704="","DATA_PC vazia",IF(NOT(ISNUMBER(B3704)),"DATA_PC invalida",IF(OR(C3704="",C3704="Fora dos ciclos"),"CICLO_PC nao identificado",IF(OR(D3704="",D3704=0),"VALOR_PC vazio ou zero",IF(AND(G3704&lt;&gt;"Sim",G3704&lt;&gt;"Nao",G3704&lt;&gt;""),"PC_PAGO_A_CONTRATADA invalido",IF(AND(C3704&lt;&gt;"C0",IFERROR(INDEX(parametros!$A$2:$A$6,MATCH(C3704,parametros!$B$2:$B$6,0)),"")="Sim",IFERROR(INDEX(parametros!$H$2:$H$6,MATCH(C3704,parametros!$B$2:$B$6,0)),"")=""),"INICIO_EFEITO ausente: PC "&amp;A3704&amp;" - "&amp;C3704,IF(L3704="","EFEITO_PC nao calculado: PC "&amp;A3704&amp;" - "&amp;C3704,"OK")))))))))</f>
        <v/>
      </c>
      <c r="L3704" s="92" t="str">
        <f>IF(AND(A3704="",B3704="",D3704="",G3704=""),"",IF(OR(B3704="",NOT(ISNUMBER(B3704)),C3704="",C3704="Fora dos ciclos"),"",IF(C3704="C0","Nao",IF(IFERROR(INDEX(parametros!$A$2:$A$6,MATCH(C3704,parametros!$B$2:$B$6,0)),"")&lt;&gt;"Sim","Nao",IF(IFERROR(INDEX(parametros!$H$2:$H$6,MATCH(C3704,parametros!$B$2:$B$6,0)),"")="","",IF(B3704&gt;=IFERROR(INDEX(parametros!$H$2:$H$6,MATCH(C3704,parametros!$B$2:$B$6,0)),""),"Sim","Nao"))))))</f>
        <v/>
      </c>
      <c r="T3704" s="156"/>
      <c r="U3704" s="214" t="str">
        <f t="shared" si="291"/>
        <v/>
      </c>
      <c r="V3704" s="212" t="s">
        <v>50</v>
      </c>
      <c r="W3704" s="100" t="s">
        <v>168</v>
      </c>
      <c r="X3704" s="100" t="s">
        <v>169</v>
      </c>
      <c r="Y3704" s="101" t="s">
        <v>170</v>
      </c>
      <c r="Z3704" s="101" t="s">
        <v>171</v>
      </c>
      <c r="AA3704" s="101" t="s">
        <v>50</v>
      </c>
      <c r="AB3704" s="101" t="s">
        <v>172</v>
      </c>
      <c r="AC3704" s="102" t="s">
        <v>173</v>
      </c>
    </row>
    <row r="3705" spans="1:29" ht="25.5" customHeight="1" x14ac:dyDescent="0.35">
      <c r="A3705" s="392"/>
      <c r="B3705" s="393"/>
      <c r="C3705" s="99" t="str">
        <f>IF(B3705="","",IF(NOT(ISNUMBER(B3705)),"DATA_PC invalida",IF(NOT(ISNUMBER(parametros!$C$2)),"Fora dos ciclos",IF(OR(B3705&lt;parametros!$C$2,(YEAR(B3705)-YEAR(parametros!$C$2))*12+MONTH(B3705)-MONTH(parametros!$C$2)&gt;59),"Fora dos ciclos","C"&amp;INT(((YEAR(B3705)-YEAR(parametros!$C$2))*12+MONTH(B3705)-MONTH(parametros!$C$2))/12)))))</f>
        <v/>
      </c>
      <c r="D3705" s="394"/>
      <c r="E3705" s="78" t="str">
        <f>IF(C3705="","",IFERROR(VLOOKUP(C3705,parametros!$A$11:$E$15,5,0),""))</f>
        <v/>
      </c>
      <c r="F3705" s="79" t="str">
        <f t="shared" si="287"/>
        <v/>
      </c>
      <c r="G3705" s="395"/>
      <c r="H3705" s="91">
        <f t="shared" si="288"/>
        <v>0</v>
      </c>
      <c r="I3705" s="91" t="str">
        <f t="shared" si="289"/>
        <v/>
      </c>
      <c r="J3705" s="91" t="str">
        <f t="shared" si="290"/>
        <v/>
      </c>
      <c r="K3705" s="92" t="str">
        <f>IF(AND(A3705="",B3705="",D3705="",G3705=""),"",IF(AND(A3705&lt;&gt;"",COUNTIF($A$2:$A$5001,A3705)&gt;1),"NUMERO_PC duplicado",IF(B3705="","DATA_PC vazia",IF(NOT(ISNUMBER(B3705)),"DATA_PC invalida",IF(OR(C3705="",C3705="Fora dos ciclos"),"CICLO_PC nao identificado",IF(OR(D3705="",D3705=0),"VALOR_PC vazio ou zero",IF(AND(G3705&lt;&gt;"Sim",G3705&lt;&gt;"Nao",G3705&lt;&gt;""),"PC_PAGO_A_CONTRATADA invalido",IF(AND(C3705&lt;&gt;"C0",IFERROR(INDEX(parametros!$A$2:$A$6,MATCH(C3705,parametros!$B$2:$B$6,0)),"")="Sim",IFERROR(INDEX(parametros!$H$2:$H$6,MATCH(C3705,parametros!$B$2:$B$6,0)),"")=""),"INICIO_EFEITO ausente: PC "&amp;A3705&amp;" - "&amp;C3705,IF(L3705="","EFEITO_PC nao calculado: PC "&amp;A3705&amp;" - "&amp;C3705,"OK")))))))))</f>
        <v/>
      </c>
      <c r="L3705" s="92" t="str">
        <f>IF(AND(A3705="",B3705="",D3705="",G3705=""),"",IF(OR(B3705="",NOT(ISNUMBER(B3705)),C3705="",C3705="Fora dos ciclos"),"",IF(C3705="C0","Nao",IF(IFERROR(INDEX(parametros!$A$2:$A$6,MATCH(C3705,parametros!$B$2:$B$6,0)),"")&lt;&gt;"Sim","Nao",IF(IFERROR(INDEX(parametros!$H$2:$H$6,MATCH(C3705,parametros!$B$2:$B$6,0)),"")="","",IF(B3705&gt;=IFERROR(INDEX(parametros!$H$2:$H$6,MATCH(C3705,parametros!$B$2:$B$6,0)),""),"Sim","Nao"))))))</f>
        <v/>
      </c>
      <c r="T3705" s="156"/>
      <c r="U3705" s="214" t="str">
        <f t="shared" si="291"/>
        <v/>
      </c>
      <c r="V3705" s="212" t="s">
        <v>50</v>
      </c>
      <c r="W3705" s="100" t="s">
        <v>168</v>
      </c>
      <c r="X3705" s="100" t="s">
        <v>169</v>
      </c>
      <c r="Y3705" s="101" t="s">
        <v>170</v>
      </c>
      <c r="Z3705" s="101" t="s">
        <v>171</v>
      </c>
      <c r="AA3705" s="101" t="s">
        <v>50</v>
      </c>
      <c r="AB3705" s="101" t="s">
        <v>172</v>
      </c>
      <c r="AC3705" s="102" t="s">
        <v>173</v>
      </c>
    </row>
    <row r="3706" spans="1:29" ht="25.5" customHeight="1" x14ac:dyDescent="0.35">
      <c r="A3706" s="392"/>
      <c r="B3706" s="393"/>
      <c r="C3706" s="99" t="str">
        <f>IF(B3706="","",IF(NOT(ISNUMBER(B3706)),"DATA_PC invalida",IF(NOT(ISNUMBER(parametros!$C$2)),"Fora dos ciclos",IF(OR(B3706&lt;parametros!$C$2,(YEAR(B3706)-YEAR(parametros!$C$2))*12+MONTH(B3706)-MONTH(parametros!$C$2)&gt;59),"Fora dos ciclos","C"&amp;INT(((YEAR(B3706)-YEAR(parametros!$C$2))*12+MONTH(B3706)-MONTH(parametros!$C$2))/12)))))</f>
        <v/>
      </c>
      <c r="D3706" s="394"/>
      <c r="E3706" s="78" t="str">
        <f>IF(C3706="","",IFERROR(VLOOKUP(C3706,parametros!$A$11:$E$15,5,0),""))</f>
        <v/>
      </c>
      <c r="F3706" s="79" t="str">
        <f t="shared" si="287"/>
        <v/>
      </c>
      <c r="G3706" s="395"/>
      <c r="H3706" s="91">
        <f t="shared" si="288"/>
        <v>0</v>
      </c>
      <c r="I3706" s="91" t="str">
        <f t="shared" si="289"/>
        <v/>
      </c>
      <c r="J3706" s="91" t="str">
        <f t="shared" si="290"/>
        <v/>
      </c>
      <c r="K3706" s="92" t="str">
        <f>IF(AND(A3706="",B3706="",D3706="",G3706=""),"",IF(AND(A3706&lt;&gt;"",COUNTIF($A$2:$A$5001,A3706)&gt;1),"NUMERO_PC duplicado",IF(B3706="","DATA_PC vazia",IF(NOT(ISNUMBER(B3706)),"DATA_PC invalida",IF(OR(C3706="",C3706="Fora dos ciclos"),"CICLO_PC nao identificado",IF(OR(D3706="",D3706=0),"VALOR_PC vazio ou zero",IF(AND(G3706&lt;&gt;"Sim",G3706&lt;&gt;"Nao",G3706&lt;&gt;""),"PC_PAGO_A_CONTRATADA invalido",IF(AND(C3706&lt;&gt;"C0",IFERROR(INDEX(parametros!$A$2:$A$6,MATCH(C3706,parametros!$B$2:$B$6,0)),"")="Sim",IFERROR(INDEX(parametros!$H$2:$H$6,MATCH(C3706,parametros!$B$2:$B$6,0)),"")=""),"INICIO_EFEITO ausente: PC "&amp;A3706&amp;" - "&amp;C3706,IF(L3706="","EFEITO_PC nao calculado: PC "&amp;A3706&amp;" - "&amp;C3706,"OK")))))))))</f>
        <v/>
      </c>
      <c r="L3706" s="92" t="str">
        <f>IF(AND(A3706="",B3706="",D3706="",G3706=""),"",IF(OR(B3706="",NOT(ISNUMBER(B3706)),C3706="",C3706="Fora dos ciclos"),"",IF(C3706="C0","Nao",IF(IFERROR(INDEX(parametros!$A$2:$A$6,MATCH(C3706,parametros!$B$2:$B$6,0)),"")&lt;&gt;"Sim","Nao",IF(IFERROR(INDEX(parametros!$H$2:$H$6,MATCH(C3706,parametros!$B$2:$B$6,0)),"")="","",IF(B3706&gt;=IFERROR(INDEX(parametros!$H$2:$H$6,MATCH(C3706,parametros!$B$2:$B$6,0)),""),"Sim","Nao"))))))</f>
        <v/>
      </c>
      <c r="T3706" s="156"/>
      <c r="U3706" s="214" t="str">
        <f t="shared" si="291"/>
        <v/>
      </c>
      <c r="V3706" s="212" t="s">
        <v>50</v>
      </c>
      <c r="W3706" s="100" t="s">
        <v>168</v>
      </c>
      <c r="X3706" s="100" t="s">
        <v>169</v>
      </c>
      <c r="Y3706" s="101" t="s">
        <v>170</v>
      </c>
      <c r="Z3706" s="101" t="s">
        <v>171</v>
      </c>
      <c r="AA3706" s="101" t="s">
        <v>50</v>
      </c>
      <c r="AB3706" s="101" t="s">
        <v>172</v>
      </c>
      <c r="AC3706" s="102" t="s">
        <v>173</v>
      </c>
    </row>
    <row r="3707" spans="1:29" ht="25.5" customHeight="1" x14ac:dyDescent="0.35">
      <c r="A3707" s="392"/>
      <c r="B3707" s="393"/>
      <c r="C3707" s="99" t="str">
        <f>IF(B3707="","",IF(NOT(ISNUMBER(B3707)),"DATA_PC invalida",IF(NOT(ISNUMBER(parametros!$C$2)),"Fora dos ciclos",IF(OR(B3707&lt;parametros!$C$2,(YEAR(B3707)-YEAR(parametros!$C$2))*12+MONTH(B3707)-MONTH(parametros!$C$2)&gt;59),"Fora dos ciclos","C"&amp;INT(((YEAR(B3707)-YEAR(parametros!$C$2))*12+MONTH(B3707)-MONTH(parametros!$C$2))/12)))))</f>
        <v/>
      </c>
      <c r="D3707" s="394"/>
      <c r="E3707" s="78" t="str">
        <f>IF(C3707="","",IFERROR(VLOOKUP(C3707,parametros!$A$11:$E$15,5,0),""))</f>
        <v/>
      </c>
      <c r="F3707" s="79" t="str">
        <f t="shared" si="287"/>
        <v/>
      </c>
      <c r="G3707" s="395"/>
      <c r="H3707" s="91">
        <f t="shared" si="288"/>
        <v>0</v>
      </c>
      <c r="I3707" s="91" t="str">
        <f t="shared" si="289"/>
        <v/>
      </c>
      <c r="J3707" s="91" t="str">
        <f t="shared" si="290"/>
        <v/>
      </c>
      <c r="K3707" s="92" t="str">
        <f>IF(AND(A3707="",B3707="",D3707="",G3707=""),"",IF(AND(A3707&lt;&gt;"",COUNTIF($A$2:$A$5001,A3707)&gt;1),"NUMERO_PC duplicado",IF(B3707="","DATA_PC vazia",IF(NOT(ISNUMBER(B3707)),"DATA_PC invalida",IF(OR(C3707="",C3707="Fora dos ciclos"),"CICLO_PC nao identificado",IF(OR(D3707="",D3707=0),"VALOR_PC vazio ou zero",IF(AND(G3707&lt;&gt;"Sim",G3707&lt;&gt;"Nao",G3707&lt;&gt;""),"PC_PAGO_A_CONTRATADA invalido",IF(AND(C3707&lt;&gt;"C0",IFERROR(INDEX(parametros!$A$2:$A$6,MATCH(C3707,parametros!$B$2:$B$6,0)),"")="Sim",IFERROR(INDEX(parametros!$H$2:$H$6,MATCH(C3707,parametros!$B$2:$B$6,0)),"")=""),"INICIO_EFEITO ausente: PC "&amp;A3707&amp;" - "&amp;C3707,IF(L3707="","EFEITO_PC nao calculado: PC "&amp;A3707&amp;" - "&amp;C3707,"OK")))))))))</f>
        <v/>
      </c>
      <c r="L3707" s="92" t="str">
        <f>IF(AND(A3707="",B3707="",D3707="",G3707=""),"",IF(OR(B3707="",NOT(ISNUMBER(B3707)),C3707="",C3707="Fora dos ciclos"),"",IF(C3707="C0","Nao",IF(IFERROR(INDEX(parametros!$A$2:$A$6,MATCH(C3707,parametros!$B$2:$B$6,0)),"")&lt;&gt;"Sim","Nao",IF(IFERROR(INDEX(parametros!$H$2:$H$6,MATCH(C3707,parametros!$B$2:$B$6,0)),"")="","",IF(B3707&gt;=IFERROR(INDEX(parametros!$H$2:$H$6,MATCH(C3707,parametros!$B$2:$B$6,0)),""),"Sim","Nao"))))))</f>
        <v/>
      </c>
      <c r="T3707" s="156"/>
      <c r="U3707" s="214" t="str">
        <f t="shared" si="291"/>
        <v/>
      </c>
      <c r="V3707" s="212" t="s">
        <v>50</v>
      </c>
      <c r="W3707" s="100" t="s">
        <v>168</v>
      </c>
      <c r="X3707" s="100" t="s">
        <v>169</v>
      </c>
      <c r="Y3707" s="101" t="s">
        <v>170</v>
      </c>
      <c r="Z3707" s="101" t="s">
        <v>171</v>
      </c>
      <c r="AA3707" s="101" t="s">
        <v>50</v>
      </c>
      <c r="AB3707" s="101" t="s">
        <v>172</v>
      </c>
      <c r="AC3707" s="102" t="s">
        <v>173</v>
      </c>
    </row>
    <row r="3708" spans="1:29" ht="25.5" customHeight="1" x14ac:dyDescent="0.35">
      <c r="A3708" s="392"/>
      <c r="B3708" s="393"/>
      <c r="C3708" s="99" t="str">
        <f>IF(B3708="","",IF(NOT(ISNUMBER(B3708)),"DATA_PC invalida",IF(NOT(ISNUMBER(parametros!$C$2)),"Fora dos ciclos",IF(OR(B3708&lt;parametros!$C$2,(YEAR(B3708)-YEAR(parametros!$C$2))*12+MONTH(B3708)-MONTH(parametros!$C$2)&gt;59),"Fora dos ciclos","C"&amp;INT(((YEAR(B3708)-YEAR(parametros!$C$2))*12+MONTH(B3708)-MONTH(parametros!$C$2))/12)))))</f>
        <v/>
      </c>
      <c r="D3708" s="394"/>
      <c r="E3708" s="78" t="str">
        <f>IF(C3708="","",IFERROR(VLOOKUP(C3708,parametros!$A$11:$E$15,5,0),""))</f>
        <v/>
      </c>
      <c r="F3708" s="79" t="str">
        <f t="shared" si="287"/>
        <v/>
      </c>
      <c r="G3708" s="395"/>
      <c r="H3708" s="91">
        <f t="shared" si="288"/>
        <v>0</v>
      </c>
      <c r="I3708" s="91" t="str">
        <f t="shared" si="289"/>
        <v/>
      </c>
      <c r="J3708" s="91" t="str">
        <f t="shared" si="290"/>
        <v/>
      </c>
      <c r="K3708" s="92" t="str">
        <f>IF(AND(A3708="",B3708="",D3708="",G3708=""),"",IF(AND(A3708&lt;&gt;"",COUNTIF($A$2:$A$5001,A3708)&gt;1),"NUMERO_PC duplicado",IF(B3708="","DATA_PC vazia",IF(NOT(ISNUMBER(B3708)),"DATA_PC invalida",IF(OR(C3708="",C3708="Fora dos ciclos"),"CICLO_PC nao identificado",IF(OR(D3708="",D3708=0),"VALOR_PC vazio ou zero",IF(AND(G3708&lt;&gt;"Sim",G3708&lt;&gt;"Nao",G3708&lt;&gt;""),"PC_PAGO_A_CONTRATADA invalido",IF(AND(C3708&lt;&gt;"C0",IFERROR(INDEX(parametros!$A$2:$A$6,MATCH(C3708,parametros!$B$2:$B$6,0)),"")="Sim",IFERROR(INDEX(parametros!$H$2:$H$6,MATCH(C3708,parametros!$B$2:$B$6,0)),"")=""),"INICIO_EFEITO ausente: PC "&amp;A3708&amp;" - "&amp;C3708,IF(L3708="","EFEITO_PC nao calculado: PC "&amp;A3708&amp;" - "&amp;C3708,"OK")))))))))</f>
        <v/>
      </c>
      <c r="L3708" s="92" t="str">
        <f>IF(AND(A3708="",B3708="",D3708="",G3708=""),"",IF(OR(B3708="",NOT(ISNUMBER(B3708)),C3708="",C3708="Fora dos ciclos"),"",IF(C3708="C0","Nao",IF(IFERROR(INDEX(parametros!$A$2:$A$6,MATCH(C3708,parametros!$B$2:$B$6,0)),"")&lt;&gt;"Sim","Nao",IF(IFERROR(INDEX(parametros!$H$2:$H$6,MATCH(C3708,parametros!$B$2:$B$6,0)),"")="","",IF(B3708&gt;=IFERROR(INDEX(parametros!$H$2:$H$6,MATCH(C3708,parametros!$B$2:$B$6,0)),""),"Sim","Nao"))))))</f>
        <v/>
      </c>
      <c r="T3708" s="156"/>
      <c r="U3708" s="214" t="str">
        <f t="shared" si="291"/>
        <v/>
      </c>
      <c r="V3708" s="212" t="s">
        <v>50</v>
      </c>
      <c r="W3708" s="100" t="s">
        <v>168</v>
      </c>
      <c r="X3708" s="100" t="s">
        <v>169</v>
      </c>
      <c r="Y3708" s="101" t="s">
        <v>170</v>
      </c>
      <c r="Z3708" s="101" t="s">
        <v>171</v>
      </c>
      <c r="AA3708" s="101" t="s">
        <v>50</v>
      </c>
      <c r="AB3708" s="101" t="s">
        <v>172</v>
      </c>
      <c r="AC3708" s="102" t="s">
        <v>173</v>
      </c>
    </row>
    <row r="3709" spans="1:29" ht="25.5" customHeight="1" x14ac:dyDescent="0.35">
      <c r="A3709" s="392"/>
      <c r="B3709" s="393"/>
      <c r="C3709" s="99" t="str">
        <f>IF(B3709="","",IF(NOT(ISNUMBER(B3709)),"DATA_PC invalida",IF(NOT(ISNUMBER(parametros!$C$2)),"Fora dos ciclos",IF(OR(B3709&lt;parametros!$C$2,(YEAR(B3709)-YEAR(parametros!$C$2))*12+MONTH(B3709)-MONTH(parametros!$C$2)&gt;59),"Fora dos ciclos","C"&amp;INT(((YEAR(B3709)-YEAR(parametros!$C$2))*12+MONTH(B3709)-MONTH(parametros!$C$2))/12)))))</f>
        <v/>
      </c>
      <c r="D3709" s="394"/>
      <c r="E3709" s="78" t="str">
        <f>IF(C3709="","",IFERROR(VLOOKUP(C3709,parametros!$A$11:$E$15,5,0),""))</f>
        <v/>
      </c>
      <c r="F3709" s="79" t="str">
        <f t="shared" si="287"/>
        <v/>
      </c>
      <c r="G3709" s="395"/>
      <c r="H3709" s="91">
        <f t="shared" si="288"/>
        <v>0</v>
      </c>
      <c r="I3709" s="91" t="str">
        <f t="shared" si="289"/>
        <v/>
      </c>
      <c r="J3709" s="91" t="str">
        <f t="shared" si="290"/>
        <v/>
      </c>
      <c r="K3709" s="92" t="str">
        <f>IF(AND(A3709="",B3709="",D3709="",G3709=""),"",IF(AND(A3709&lt;&gt;"",COUNTIF($A$2:$A$5001,A3709)&gt;1),"NUMERO_PC duplicado",IF(B3709="","DATA_PC vazia",IF(NOT(ISNUMBER(B3709)),"DATA_PC invalida",IF(OR(C3709="",C3709="Fora dos ciclos"),"CICLO_PC nao identificado",IF(OR(D3709="",D3709=0),"VALOR_PC vazio ou zero",IF(AND(G3709&lt;&gt;"Sim",G3709&lt;&gt;"Nao",G3709&lt;&gt;""),"PC_PAGO_A_CONTRATADA invalido",IF(AND(C3709&lt;&gt;"C0",IFERROR(INDEX(parametros!$A$2:$A$6,MATCH(C3709,parametros!$B$2:$B$6,0)),"")="Sim",IFERROR(INDEX(parametros!$H$2:$H$6,MATCH(C3709,parametros!$B$2:$B$6,0)),"")=""),"INICIO_EFEITO ausente: PC "&amp;A3709&amp;" - "&amp;C3709,IF(L3709="","EFEITO_PC nao calculado: PC "&amp;A3709&amp;" - "&amp;C3709,"OK")))))))))</f>
        <v/>
      </c>
      <c r="L3709" s="92" t="str">
        <f>IF(AND(A3709="",B3709="",D3709="",G3709=""),"",IF(OR(B3709="",NOT(ISNUMBER(B3709)),C3709="",C3709="Fora dos ciclos"),"",IF(C3709="C0","Nao",IF(IFERROR(INDEX(parametros!$A$2:$A$6,MATCH(C3709,parametros!$B$2:$B$6,0)),"")&lt;&gt;"Sim","Nao",IF(IFERROR(INDEX(parametros!$H$2:$H$6,MATCH(C3709,parametros!$B$2:$B$6,0)),"")="","",IF(B3709&gt;=IFERROR(INDEX(parametros!$H$2:$H$6,MATCH(C3709,parametros!$B$2:$B$6,0)),""),"Sim","Nao"))))))</f>
        <v/>
      </c>
      <c r="T3709" s="156"/>
      <c r="U3709" s="214" t="str">
        <f t="shared" si="291"/>
        <v/>
      </c>
      <c r="V3709" s="212" t="s">
        <v>50</v>
      </c>
      <c r="W3709" s="100" t="s">
        <v>168</v>
      </c>
      <c r="X3709" s="100" t="s">
        <v>169</v>
      </c>
      <c r="Y3709" s="101" t="s">
        <v>170</v>
      </c>
      <c r="Z3709" s="101" t="s">
        <v>171</v>
      </c>
      <c r="AA3709" s="101" t="s">
        <v>50</v>
      </c>
      <c r="AB3709" s="101" t="s">
        <v>172</v>
      </c>
      <c r="AC3709" s="102" t="s">
        <v>173</v>
      </c>
    </row>
    <row r="3710" spans="1:29" ht="25.5" customHeight="1" x14ac:dyDescent="0.35">
      <c r="A3710" s="392"/>
      <c r="B3710" s="393"/>
      <c r="C3710" s="99" t="str">
        <f>IF(B3710="","",IF(NOT(ISNUMBER(B3710)),"DATA_PC invalida",IF(NOT(ISNUMBER(parametros!$C$2)),"Fora dos ciclos",IF(OR(B3710&lt;parametros!$C$2,(YEAR(B3710)-YEAR(parametros!$C$2))*12+MONTH(B3710)-MONTH(parametros!$C$2)&gt;59),"Fora dos ciclos","C"&amp;INT(((YEAR(B3710)-YEAR(parametros!$C$2))*12+MONTH(B3710)-MONTH(parametros!$C$2))/12)))))</f>
        <v/>
      </c>
      <c r="D3710" s="394"/>
      <c r="E3710" s="78" t="str">
        <f>IF(C3710="","",IFERROR(VLOOKUP(C3710,parametros!$A$11:$E$15,5,0),""))</f>
        <v/>
      </c>
      <c r="F3710" s="79" t="str">
        <f t="shared" si="287"/>
        <v/>
      </c>
      <c r="G3710" s="395"/>
      <c r="H3710" s="91">
        <f t="shared" si="288"/>
        <v>0</v>
      </c>
      <c r="I3710" s="91" t="str">
        <f t="shared" si="289"/>
        <v/>
      </c>
      <c r="J3710" s="91" t="str">
        <f t="shared" si="290"/>
        <v/>
      </c>
      <c r="K3710" s="92" t="str">
        <f>IF(AND(A3710="",B3710="",D3710="",G3710=""),"",IF(AND(A3710&lt;&gt;"",COUNTIF($A$2:$A$5001,A3710)&gt;1),"NUMERO_PC duplicado",IF(B3710="","DATA_PC vazia",IF(NOT(ISNUMBER(B3710)),"DATA_PC invalida",IF(OR(C3710="",C3710="Fora dos ciclos"),"CICLO_PC nao identificado",IF(OR(D3710="",D3710=0),"VALOR_PC vazio ou zero",IF(AND(G3710&lt;&gt;"Sim",G3710&lt;&gt;"Nao",G3710&lt;&gt;""),"PC_PAGO_A_CONTRATADA invalido",IF(AND(C3710&lt;&gt;"C0",IFERROR(INDEX(parametros!$A$2:$A$6,MATCH(C3710,parametros!$B$2:$B$6,0)),"")="Sim",IFERROR(INDEX(parametros!$H$2:$H$6,MATCH(C3710,parametros!$B$2:$B$6,0)),"")=""),"INICIO_EFEITO ausente: PC "&amp;A3710&amp;" - "&amp;C3710,IF(L3710="","EFEITO_PC nao calculado: PC "&amp;A3710&amp;" - "&amp;C3710,"OK")))))))))</f>
        <v/>
      </c>
      <c r="L3710" s="92" t="str">
        <f>IF(AND(A3710="",B3710="",D3710="",G3710=""),"",IF(OR(B3710="",NOT(ISNUMBER(B3710)),C3710="",C3710="Fora dos ciclos"),"",IF(C3710="C0","Nao",IF(IFERROR(INDEX(parametros!$A$2:$A$6,MATCH(C3710,parametros!$B$2:$B$6,0)),"")&lt;&gt;"Sim","Nao",IF(IFERROR(INDEX(parametros!$H$2:$H$6,MATCH(C3710,parametros!$B$2:$B$6,0)),"")="","",IF(B3710&gt;=IFERROR(INDEX(parametros!$H$2:$H$6,MATCH(C3710,parametros!$B$2:$B$6,0)),""),"Sim","Nao"))))))</f>
        <v/>
      </c>
      <c r="T3710" s="156"/>
      <c r="U3710" s="214" t="str">
        <f t="shared" si="291"/>
        <v/>
      </c>
      <c r="V3710" s="212" t="s">
        <v>50</v>
      </c>
      <c r="W3710" s="100" t="s">
        <v>168</v>
      </c>
      <c r="X3710" s="100" t="s">
        <v>169</v>
      </c>
      <c r="Y3710" s="101" t="s">
        <v>170</v>
      </c>
      <c r="Z3710" s="101" t="s">
        <v>171</v>
      </c>
      <c r="AA3710" s="101" t="s">
        <v>50</v>
      </c>
      <c r="AB3710" s="101" t="s">
        <v>172</v>
      </c>
      <c r="AC3710" s="102" t="s">
        <v>173</v>
      </c>
    </row>
    <row r="3711" spans="1:29" ht="25.5" customHeight="1" x14ac:dyDescent="0.35">
      <c r="A3711" s="392"/>
      <c r="B3711" s="393"/>
      <c r="C3711" s="99" t="str">
        <f>IF(B3711="","",IF(NOT(ISNUMBER(B3711)),"DATA_PC invalida",IF(NOT(ISNUMBER(parametros!$C$2)),"Fora dos ciclos",IF(OR(B3711&lt;parametros!$C$2,(YEAR(B3711)-YEAR(parametros!$C$2))*12+MONTH(B3711)-MONTH(parametros!$C$2)&gt;59),"Fora dos ciclos","C"&amp;INT(((YEAR(B3711)-YEAR(parametros!$C$2))*12+MONTH(B3711)-MONTH(parametros!$C$2))/12)))))</f>
        <v/>
      </c>
      <c r="D3711" s="394"/>
      <c r="E3711" s="78" t="str">
        <f>IF(C3711="","",IFERROR(VLOOKUP(C3711,parametros!$A$11:$E$15,5,0),""))</f>
        <v/>
      </c>
      <c r="F3711" s="79" t="str">
        <f t="shared" si="287"/>
        <v/>
      </c>
      <c r="G3711" s="395"/>
      <c r="H3711" s="91">
        <f t="shared" si="288"/>
        <v>0</v>
      </c>
      <c r="I3711" s="91" t="str">
        <f t="shared" si="289"/>
        <v/>
      </c>
      <c r="J3711" s="91" t="str">
        <f t="shared" si="290"/>
        <v/>
      </c>
      <c r="K3711" s="92" t="str">
        <f>IF(AND(A3711="",B3711="",D3711="",G3711=""),"",IF(AND(A3711&lt;&gt;"",COUNTIF($A$2:$A$5001,A3711)&gt;1),"NUMERO_PC duplicado",IF(B3711="","DATA_PC vazia",IF(NOT(ISNUMBER(B3711)),"DATA_PC invalida",IF(OR(C3711="",C3711="Fora dos ciclos"),"CICLO_PC nao identificado",IF(OR(D3711="",D3711=0),"VALOR_PC vazio ou zero",IF(AND(G3711&lt;&gt;"Sim",G3711&lt;&gt;"Nao",G3711&lt;&gt;""),"PC_PAGO_A_CONTRATADA invalido",IF(AND(C3711&lt;&gt;"C0",IFERROR(INDEX(parametros!$A$2:$A$6,MATCH(C3711,parametros!$B$2:$B$6,0)),"")="Sim",IFERROR(INDEX(parametros!$H$2:$H$6,MATCH(C3711,parametros!$B$2:$B$6,0)),"")=""),"INICIO_EFEITO ausente: PC "&amp;A3711&amp;" - "&amp;C3711,IF(L3711="","EFEITO_PC nao calculado: PC "&amp;A3711&amp;" - "&amp;C3711,"OK")))))))))</f>
        <v/>
      </c>
      <c r="L3711" s="92" t="str">
        <f>IF(AND(A3711="",B3711="",D3711="",G3711=""),"",IF(OR(B3711="",NOT(ISNUMBER(B3711)),C3711="",C3711="Fora dos ciclos"),"",IF(C3711="C0","Nao",IF(IFERROR(INDEX(parametros!$A$2:$A$6,MATCH(C3711,parametros!$B$2:$B$6,0)),"")&lt;&gt;"Sim","Nao",IF(IFERROR(INDEX(parametros!$H$2:$H$6,MATCH(C3711,parametros!$B$2:$B$6,0)),"")="","",IF(B3711&gt;=IFERROR(INDEX(parametros!$H$2:$H$6,MATCH(C3711,parametros!$B$2:$B$6,0)),""),"Sim","Nao"))))))</f>
        <v/>
      </c>
      <c r="T3711" s="156"/>
      <c r="U3711" s="214" t="str">
        <f t="shared" si="291"/>
        <v/>
      </c>
      <c r="V3711" s="212" t="s">
        <v>50</v>
      </c>
      <c r="W3711" s="100" t="s">
        <v>168</v>
      </c>
      <c r="X3711" s="100" t="s">
        <v>169</v>
      </c>
      <c r="Y3711" s="101" t="s">
        <v>170</v>
      </c>
      <c r="Z3711" s="101" t="s">
        <v>171</v>
      </c>
      <c r="AA3711" s="101" t="s">
        <v>50</v>
      </c>
      <c r="AB3711" s="101" t="s">
        <v>172</v>
      </c>
      <c r="AC3711" s="102" t="s">
        <v>173</v>
      </c>
    </row>
    <row r="3712" spans="1:29" ht="25.5" customHeight="1" x14ac:dyDescent="0.35">
      <c r="A3712" s="392"/>
      <c r="B3712" s="393"/>
      <c r="C3712" s="99" t="str">
        <f>IF(B3712="","",IF(NOT(ISNUMBER(B3712)),"DATA_PC invalida",IF(NOT(ISNUMBER(parametros!$C$2)),"Fora dos ciclos",IF(OR(B3712&lt;parametros!$C$2,(YEAR(B3712)-YEAR(parametros!$C$2))*12+MONTH(B3712)-MONTH(parametros!$C$2)&gt;59),"Fora dos ciclos","C"&amp;INT(((YEAR(B3712)-YEAR(parametros!$C$2))*12+MONTH(B3712)-MONTH(parametros!$C$2))/12)))))</f>
        <v/>
      </c>
      <c r="D3712" s="394"/>
      <c r="E3712" s="78" t="str">
        <f>IF(C3712="","",IFERROR(VLOOKUP(C3712,parametros!$A$11:$E$15,5,0),""))</f>
        <v/>
      </c>
      <c r="F3712" s="79" t="str">
        <f t="shared" si="287"/>
        <v/>
      </c>
      <c r="G3712" s="395"/>
      <c r="H3712" s="91">
        <f t="shared" si="288"/>
        <v>0</v>
      </c>
      <c r="I3712" s="91" t="str">
        <f t="shared" si="289"/>
        <v/>
      </c>
      <c r="J3712" s="91" t="str">
        <f t="shared" si="290"/>
        <v/>
      </c>
      <c r="K3712" s="92" t="str">
        <f>IF(AND(A3712="",B3712="",D3712="",G3712=""),"",IF(AND(A3712&lt;&gt;"",COUNTIF($A$2:$A$5001,A3712)&gt;1),"NUMERO_PC duplicado",IF(B3712="","DATA_PC vazia",IF(NOT(ISNUMBER(B3712)),"DATA_PC invalida",IF(OR(C3712="",C3712="Fora dos ciclos"),"CICLO_PC nao identificado",IF(OR(D3712="",D3712=0),"VALOR_PC vazio ou zero",IF(AND(G3712&lt;&gt;"Sim",G3712&lt;&gt;"Nao",G3712&lt;&gt;""),"PC_PAGO_A_CONTRATADA invalido",IF(AND(C3712&lt;&gt;"C0",IFERROR(INDEX(parametros!$A$2:$A$6,MATCH(C3712,parametros!$B$2:$B$6,0)),"")="Sim",IFERROR(INDEX(parametros!$H$2:$H$6,MATCH(C3712,parametros!$B$2:$B$6,0)),"")=""),"INICIO_EFEITO ausente: PC "&amp;A3712&amp;" - "&amp;C3712,IF(L3712="","EFEITO_PC nao calculado: PC "&amp;A3712&amp;" - "&amp;C3712,"OK")))))))))</f>
        <v/>
      </c>
      <c r="L3712" s="92" t="str">
        <f>IF(AND(A3712="",B3712="",D3712="",G3712=""),"",IF(OR(B3712="",NOT(ISNUMBER(B3712)),C3712="",C3712="Fora dos ciclos"),"",IF(C3712="C0","Nao",IF(IFERROR(INDEX(parametros!$A$2:$A$6,MATCH(C3712,parametros!$B$2:$B$6,0)),"")&lt;&gt;"Sim","Nao",IF(IFERROR(INDEX(parametros!$H$2:$H$6,MATCH(C3712,parametros!$B$2:$B$6,0)),"")="","",IF(B3712&gt;=IFERROR(INDEX(parametros!$H$2:$H$6,MATCH(C3712,parametros!$B$2:$B$6,0)),""),"Sim","Nao"))))))</f>
        <v/>
      </c>
      <c r="T3712" s="156"/>
      <c r="U3712" s="214" t="str">
        <f t="shared" si="291"/>
        <v/>
      </c>
      <c r="V3712" s="212" t="s">
        <v>50</v>
      </c>
      <c r="W3712" s="100" t="s">
        <v>168</v>
      </c>
      <c r="X3712" s="100" t="s">
        <v>169</v>
      </c>
      <c r="Y3712" s="101" t="s">
        <v>170</v>
      </c>
      <c r="Z3712" s="101" t="s">
        <v>171</v>
      </c>
      <c r="AA3712" s="101" t="s">
        <v>50</v>
      </c>
      <c r="AB3712" s="101" t="s">
        <v>172</v>
      </c>
      <c r="AC3712" s="102" t="s">
        <v>173</v>
      </c>
    </row>
    <row r="3713" spans="1:29" ht="25.5" customHeight="1" x14ac:dyDescent="0.35">
      <c r="A3713" s="392"/>
      <c r="B3713" s="393"/>
      <c r="C3713" s="99" t="str">
        <f>IF(B3713="","",IF(NOT(ISNUMBER(B3713)),"DATA_PC invalida",IF(NOT(ISNUMBER(parametros!$C$2)),"Fora dos ciclos",IF(OR(B3713&lt;parametros!$C$2,(YEAR(B3713)-YEAR(parametros!$C$2))*12+MONTH(B3713)-MONTH(parametros!$C$2)&gt;59),"Fora dos ciclos","C"&amp;INT(((YEAR(B3713)-YEAR(parametros!$C$2))*12+MONTH(B3713)-MONTH(parametros!$C$2))/12)))))</f>
        <v/>
      </c>
      <c r="D3713" s="394"/>
      <c r="E3713" s="78" t="str">
        <f>IF(C3713="","",IFERROR(VLOOKUP(C3713,parametros!$A$11:$E$15,5,0),""))</f>
        <v/>
      </c>
      <c r="F3713" s="79" t="str">
        <f t="shared" si="287"/>
        <v/>
      </c>
      <c r="G3713" s="395"/>
      <c r="H3713" s="91">
        <f t="shared" si="288"/>
        <v>0</v>
      </c>
      <c r="I3713" s="91" t="str">
        <f t="shared" si="289"/>
        <v/>
      </c>
      <c r="J3713" s="91" t="str">
        <f t="shared" si="290"/>
        <v/>
      </c>
      <c r="K3713" s="92" t="str">
        <f>IF(AND(A3713="",B3713="",D3713="",G3713=""),"",IF(AND(A3713&lt;&gt;"",COUNTIF($A$2:$A$5001,A3713)&gt;1),"NUMERO_PC duplicado",IF(B3713="","DATA_PC vazia",IF(NOT(ISNUMBER(B3713)),"DATA_PC invalida",IF(OR(C3713="",C3713="Fora dos ciclos"),"CICLO_PC nao identificado",IF(OR(D3713="",D3713=0),"VALOR_PC vazio ou zero",IF(AND(G3713&lt;&gt;"Sim",G3713&lt;&gt;"Nao",G3713&lt;&gt;""),"PC_PAGO_A_CONTRATADA invalido",IF(AND(C3713&lt;&gt;"C0",IFERROR(INDEX(parametros!$A$2:$A$6,MATCH(C3713,parametros!$B$2:$B$6,0)),"")="Sim",IFERROR(INDEX(parametros!$H$2:$H$6,MATCH(C3713,parametros!$B$2:$B$6,0)),"")=""),"INICIO_EFEITO ausente: PC "&amp;A3713&amp;" - "&amp;C3713,IF(L3713="","EFEITO_PC nao calculado: PC "&amp;A3713&amp;" - "&amp;C3713,"OK")))))))))</f>
        <v/>
      </c>
      <c r="L3713" s="92" t="str">
        <f>IF(AND(A3713="",B3713="",D3713="",G3713=""),"",IF(OR(B3713="",NOT(ISNUMBER(B3713)),C3713="",C3713="Fora dos ciclos"),"",IF(C3713="C0","Nao",IF(IFERROR(INDEX(parametros!$A$2:$A$6,MATCH(C3713,parametros!$B$2:$B$6,0)),"")&lt;&gt;"Sim","Nao",IF(IFERROR(INDEX(parametros!$H$2:$H$6,MATCH(C3713,parametros!$B$2:$B$6,0)),"")="","",IF(B3713&gt;=IFERROR(INDEX(parametros!$H$2:$H$6,MATCH(C3713,parametros!$B$2:$B$6,0)),""),"Sim","Nao"))))))</f>
        <v/>
      </c>
      <c r="T3713" s="156"/>
      <c r="U3713" s="214" t="str">
        <f t="shared" si="291"/>
        <v/>
      </c>
      <c r="V3713" s="212" t="s">
        <v>50</v>
      </c>
      <c r="W3713" s="100" t="s">
        <v>168</v>
      </c>
      <c r="X3713" s="100" t="s">
        <v>169</v>
      </c>
      <c r="Y3713" s="101" t="s">
        <v>170</v>
      </c>
      <c r="Z3713" s="101" t="s">
        <v>171</v>
      </c>
      <c r="AA3713" s="101" t="s">
        <v>50</v>
      </c>
      <c r="AB3713" s="101" t="s">
        <v>172</v>
      </c>
      <c r="AC3713" s="102" t="s">
        <v>173</v>
      </c>
    </row>
    <row r="3714" spans="1:29" ht="25.5" customHeight="1" x14ac:dyDescent="0.35">
      <c r="A3714" s="392"/>
      <c r="B3714" s="393"/>
      <c r="C3714" s="99" t="str">
        <f>IF(B3714="","",IF(NOT(ISNUMBER(B3714)),"DATA_PC invalida",IF(NOT(ISNUMBER(parametros!$C$2)),"Fora dos ciclos",IF(OR(B3714&lt;parametros!$C$2,(YEAR(B3714)-YEAR(parametros!$C$2))*12+MONTH(B3714)-MONTH(parametros!$C$2)&gt;59),"Fora dos ciclos","C"&amp;INT(((YEAR(B3714)-YEAR(parametros!$C$2))*12+MONTH(B3714)-MONTH(parametros!$C$2))/12)))))</f>
        <v/>
      </c>
      <c r="D3714" s="394"/>
      <c r="E3714" s="78" t="str">
        <f>IF(C3714="","",IFERROR(VLOOKUP(C3714,parametros!$A$11:$E$15,5,0),""))</f>
        <v/>
      </c>
      <c r="F3714" s="79" t="str">
        <f t="shared" ref="F3714:F3777" si="292">IF(OR(D3714="",E3714=""),"",ROUND(D3714*E3714,2))</f>
        <v/>
      </c>
      <c r="G3714" s="395"/>
      <c r="H3714" s="91">
        <f t="shared" ref="H3714:H3777" si="293">IF(G3714="Sim",IF(OR(F3714="",D3714="",L3714=""),"",IF(L3714="Sim",ROUND(F3714-D3714,2),0)),0)</f>
        <v>0</v>
      </c>
      <c r="I3714" s="91" t="str">
        <f t="shared" ref="I3714:I3777" si="294">IF(G3714="Sim",0,IF(OR(F3714="",L3714=""),"",F3714))</f>
        <v/>
      </c>
      <c r="J3714" s="91" t="str">
        <f t="shared" ref="J3714:J3777" si="295">IF(G3714="Sim",0,IF(OR(F3714="",D3714="",L3714=""),"",IF(L3714="Sim",ROUND(F3714-D3714,2),0)))</f>
        <v/>
      </c>
      <c r="K3714" s="92" t="str">
        <f>IF(AND(A3714="",B3714="",D3714="",G3714=""),"",IF(AND(A3714&lt;&gt;"",COUNTIF($A$2:$A$5001,A3714)&gt;1),"NUMERO_PC duplicado",IF(B3714="","DATA_PC vazia",IF(NOT(ISNUMBER(B3714)),"DATA_PC invalida",IF(OR(C3714="",C3714="Fora dos ciclos"),"CICLO_PC nao identificado",IF(OR(D3714="",D3714=0),"VALOR_PC vazio ou zero",IF(AND(G3714&lt;&gt;"Sim",G3714&lt;&gt;"Nao",G3714&lt;&gt;""),"PC_PAGO_A_CONTRATADA invalido",IF(AND(C3714&lt;&gt;"C0",IFERROR(INDEX(parametros!$A$2:$A$6,MATCH(C3714,parametros!$B$2:$B$6,0)),"")="Sim",IFERROR(INDEX(parametros!$H$2:$H$6,MATCH(C3714,parametros!$B$2:$B$6,0)),"")=""),"INICIO_EFEITO ausente: PC "&amp;A3714&amp;" - "&amp;C3714,IF(L3714="","EFEITO_PC nao calculado: PC "&amp;A3714&amp;" - "&amp;C3714,"OK")))))))))</f>
        <v/>
      </c>
      <c r="L3714" s="92" t="str">
        <f>IF(AND(A3714="",B3714="",D3714="",G3714=""),"",IF(OR(B3714="",NOT(ISNUMBER(B3714)),C3714="",C3714="Fora dos ciclos"),"",IF(C3714="C0","Nao",IF(IFERROR(INDEX(parametros!$A$2:$A$6,MATCH(C3714,parametros!$B$2:$B$6,0)),"")&lt;&gt;"Sim","Nao",IF(IFERROR(INDEX(parametros!$H$2:$H$6,MATCH(C3714,parametros!$B$2:$B$6,0)),"")="","",IF(B3714&gt;=IFERROR(INDEX(parametros!$H$2:$H$6,MATCH(C3714,parametros!$B$2:$B$6,0)),""),"Sim","Nao"))))))</f>
        <v/>
      </c>
      <c r="T3714" s="156"/>
      <c r="U3714" s="214" t="str">
        <f t="shared" ref="U3714:U3777" si="296">IF(OR($D3714="",$H3714=""),"",ROUND($D3714+$H3714,2))</f>
        <v/>
      </c>
      <c r="V3714" s="212" t="s">
        <v>50</v>
      </c>
      <c r="W3714" s="100" t="s">
        <v>168</v>
      </c>
      <c r="X3714" s="100" t="s">
        <v>169</v>
      </c>
      <c r="Y3714" s="101" t="s">
        <v>170</v>
      </c>
      <c r="Z3714" s="101" t="s">
        <v>171</v>
      </c>
      <c r="AA3714" s="101" t="s">
        <v>50</v>
      </c>
      <c r="AB3714" s="101" t="s">
        <v>172</v>
      </c>
      <c r="AC3714" s="102" t="s">
        <v>173</v>
      </c>
    </row>
    <row r="3715" spans="1:29" ht="25.5" customHeight="1" x14ac:dyDescent="0.35">
      <c r="A3715" s="392"/>
      <c r="B3715" s="393"/>
      <c r="C3715" s="99" t="str">
        <f>IF(B3715="","",IF(NOT(ISNUMBER(B3715)),"DATA_PC invalida",IF(NOT(ISNUMBER(parametros!$C$2)),"Fora dos ciclos",IF(OR(B3715&lt;parametros!$C$2,(YEAR(B3715)-YEAR(parametros!$C$2))*12+MONTH(B3715)-MONTH(parametros!$C$2)&gt;59),"Fora dos ciclos","C"&amp;INT(((YEAR(B3715)-YEAR(parametros!$C$2))*12+MONTH(B3715)-MONTH(parametros!$C$2))/12)))))</f>
        <v/>
      </c>
      <c r="D3715" s="394"/>
      <c r="E3715" s="78" t="str">
        <f>IF(C3715="","",IFERROR(VLOOKUP(C3715,parametros!$A$11:$E$15,5,0),""))</f>
        <v/>
      </c>
      <c r="F3715" s="79" t="str">
        <f t="shared" si="292"/>
        <v/>
      </c>
      <c r="G3715" s="395"/>
      <c r="H3715" s="91">
        <f t="shared" si="293"/>
        <v>0</v>
      </c>
      <c r="I3715" s="91" t="str">
        <f t="shared" si="294"/>
        <v/>
      </c>
      <c r="J3715" s="91" t="str">
        <f t="shared" si="295"/>
        <v/>
      </c>
      <c r="K3715" s="92" t="str">
        <f>IF(AND(A3715="",B3715="",D3715="",G3715=""),"",IF(AND(A3715&lt;&gt;"",COUNTIF($A$2:$A$5001,A3715)&gt;1),"NUMERO_PC duplicado",IF(B3715="","DATA_PC vazia",IF(NOT(ISNUMBER(B3715)),"DATA_PC invalida",IF(OR(C3715="",C3715="Fora dos ciclos"),"CICLO_PC nao identificado",IF(OR(D3715="",D3715=0),"VALOR_PC vazio ou zero",IF(AND(G3715&lt;&gt;"Sim",G3715&lt;&gt;"Nao",G3715&lt;&gt;""),"PC_PAGO_A_CONTRATADA invalido",IF(AND(C3715&lt;&gt;"C0",IFERROR(INDEX(parametros!$A$2:$A$6,MATCH(C3715,parametros!$B$2:$B$6,0)),"")="Sim",IFERROR(INDEX(parametros!$H$2:$H$6,MATCH(C3715,parametros!$B$2:$B$6,0)),"")=""),"INICIO_EFEITO ausente: PC "&amp;A3715&amp;" - "&amp;C3715,IF(L3715="","EFEITO_PC nao calculado: PC "&amp;A3715&amp;" - "&amp;C3715,"OK")))))))))</f>
        <v/>
      </c>
      <c r="L3715" s="92" t="str">
        <f>IF(AND(A3715="",B3715="",D3715="",G3715=""),"",IF(OR(B3715="",NOT(ISNUMBER(B3715)),C3715="",C3715="Fora dos ciclos"),"",IF(C3715="C0","Nao",IF(IFERROR(INDEX(parametros!$A$2:$A$6,MATCH(C3715,parametros!$B$2:$B$6,0)),"")&lt;&gt;"Sim","Nao",IF(IFERROR(INDEX(parametros!$H$2:$H$6,MATCH(C3715,parametros!$B$2:$B$6,0)),"")="","",IF(B3715&gt;=IFERROR(INDEX(parametros!$H$2:$H$6,MATCH(C3715,parametros!$B$2:$B$6,0)),""),"Sim","Nao"))))))</f>
        <v/>
      </c>
      <c r="T3715" s="156"/>
      <c r="U3715" s="214" t="str">
        <f t="shared" si="296"/>
        <v/>
      </c>
      <c r="V3715" s="212" t="s">
        <v>50</v>
      </c>
      <c r="W3715" s="100" t="s">
        <v>168</v>
      </c>
      <c r="X3715" s="100" t="s">
        <v>169</v>
      </c>
      <c r="Y3715" s="101" t="s">
        <v>170</v>
      </c>
      <c r="Z3715" s="101" t="s">
        <v>171</v>
      </c>
      <c r="AA3715" s="101" t="s">
        <v>50</v>
      </c>
      <c r="AB3715" s="101" t="s">
        <v>172</v>
      </c>
      <c r="AC3715" s="102" t="s">
        <v>173</v>
      </c>
    </row>
    <row r="3716" spans="1:29" ht="25.5" customHeight="1" x14ac:dyDescent="0.35">
      <c r="A3716" s="392"/>
      <c r="B3716" s="393"/>
      <c r="C3716" s="99" t="str">
        <f>IF(B3716="","",IF(NOT(ISNUMBER(B3716)),"DATA_PC invalida",IF(NOT(ISNUMBER(parametros!$C$2)),"Fora dos ciclos",IF(OR(B3716&lt;parametros!$C$2,(YEAR(B3716)-YEAR(parametros!$C$2))*12+MONTH(B3716)-MONTH(parametros!$C$2)&gt;59),"Fora dos ciclos","C"&amp;INT(((YEAR(B3716)-YEAR(parametros!$C$2))*12+MONTH(B3716)-MONTH(parametros!$C$2))/12)))))</f>
        <v/>
      </c>
      <c r="D3716" s="394"/>
      <c r="E3716" s="78" t="str">
        <f>IF(C3716="","",IFERROR(VLOOKUP(C3716,parametros!$A$11:$E$15,5,0),""))</f>
        <v/>
      </c>
      <c r="F3716" s="79" t="str">
        <f t="shared" si="292"/>
        <v/>
      </c>
      <c r="G3716" s="395"/>
      <c r="H3716" s="91">
        <f t="shared" si="293"/>
        <v>0</v>
      </c>
      <c r="I3716" s="91" t="str">
        <f t="shared" si="294"/>
        <v/>
      </c>
      <c r="J3716" s="91" t="str">
        <f t="shared" si="295"/>
        <v/>
      </c>
      <c r="K3716" s="92" t="str">
        <f>IF(AND(A3716="",B3716="",D3716="",G3716=""),"",IF(AND(A3716&lt;&gt;"",COUNTIF($A$2:$A$5001,A3716)&gt;1),"NUMERO_PC duplicado",IF(B3716="","DATA_PC vazia",IF(NOT(ISNUMBER(B3716)),"DATA_PC invalida",IF(OR(C3716="",C3716="Fora dos ciclos"),"CICLO_PC nao identificado",IF(OR(D3716="",D3716=0),"VALOR_PC vazio ou zero",IF(AND(G3716&lt;&gt;"Sim",G3716&lt;&gt;"Nao",G3716&lt;&gt;""),"PC_PAGO_A_CONTRATADA invalido",IF(AND(C3716&lt;&gt;"C0",IFERROR(INDEX(parametros!$A$2:$A$6,MATCH(C3716,parametros!$B$2:$B$6,0)),"")="Sim",IFERROR(INDEX(parametros!$H$2:$H$6,MATCH(C3716,parametros!$B$2:$B$6,0)),"")=""),"INICIO_EFEITO ausente: PC "&amp;A3716&amp;" - "&amp;C3716,IF(L3716="","EFEITO_PC nao calculado: PC "&amp;A3716&amp;" - "&amp;C3716,"OK")))))))))</f>
        <v/>
      </c>
      <c r="L3716" s="92" t="str">
        <f>IF(AND(A3716="",B3716="",D3716="",G3716=""),"",IF(OR(B3716="",NOT(ISNUMBER(B3716)),C3716="",C3716="Fora dos ciclos"),"",IF(C3716="C0","Nao",IF(IFERROR(INDEX(parametros!$A$2:$A$6,MATCH(C3716,parametros!$B$2:$B$6,0)),"")&lt;&gt;"Sim","Nao",IF(IFERROR(INDEX(parametros!$H$2:$H$6,MATCH(C3716,parametros!$B$2:$B$6,0)),"")="","",IF(B3716&gt;=IFERROR(INDEX(parametros!$H$2:$H$6,MATCH(C3716,parametros!$B$2:$B$6,0)),""),"Sim","Nao"))))))</f>
        <v/>
      </c>
      <c r="T3716" s="156"/>
      <c r="U3716" s="214" t="str">
        <f t="shared" si="296"/>
        <v/>
      </c>
      <c r="V3716" s="212" t="s">
        <v>50</v>
      </c>
      <c r="W3716" s="100" t="s">
        <v>168</v>
      </c>
      <c r="X3716" s="100" t="s">
        <v>169</v>
      </c>
      <c r="Y3716" s="101" t="s">
        <v>170</v>
      </c>
      <c r="Z3716" s="101" t="s">
        <v>171</v>
      </c>
      <c r="AA3716" s="101" t="s">
        <v>50</v>
      </c>
      <c r="AB3716" s="101" t="s">
        <v>172</v>
      </c>
      <c r="AC3716" s="102" t="s">
        <v>173</v>
      </c>
    </row>
    <row r="3717" spans="1:29" ht="25.5" customHeight="1" x14ac:dyDescent="0.35">
      <c r="A3717" s="392"/>
      <c r="B3717" s="393"/>
      <c r="C3717" s="99" t="str">
        <f>IF(B3717="","",IF(NOT(ISNUMBER(B3717)),"DATA_PC invalida",IF(NOT(ISNUMBER(parametros!$C$2)),"Fora dos ciclos",IF(OR(B3717&lt;parametros!$C$2,(YEAR(B3717)-YEAR(parametros!$C$2))*12+MONTH(B3717)-MONTH(parametros!$C$2)&gt;59),"Fora dos ciclos","C"&amp;INT(((YEAR(B3717)-YEAR(parametros!$C$2))*12+MONTH(B3717)-MONTH(parametros!$C$2))/12)))))</f>
        <v/>
      </c>
      <c r="D3717" s="394"/>
      <c r="E3717" s="78" t="str">
        <f>IF(C3717="","",IFERROR(VLOOKUP(C3717,parametros!$A$11:$E$15,5,0),""))</f>
        <v/>
      </c>
      <c r="F3717" s="79" t="str">
        <f t="shared" si="292"/>
        <v/>
      </c>
      <c r="G3717" s="395"/>
      <c r="H3717" s="91">
        <f t="shared" si="293"/>
        <v>0</v>
      </c>
      <c r="I3717" s="91" t="str">
        <f t="shared" si="294"/>
        <v/>
      </c>
      <c r="J3717" s="91" t="str">
        <f t="shared" si="295"/>
        <v/>
      </c>
      <c r="K3717" s="92" t="str">
        <f>IF(AND(A3717="",B3717="",D3717="",G3717=""),"",IF(AND(A3717&lt;&gt;"",COUNTIF($A$2:$A$5001,A3717)&gt;1),"NUMERO_PC duplicado",IF(B3717="","DATA_PC vazia",IF(NOT(ISNUMBER(B3717)),"DATA_PC invalida",IF(OR(C3717="",C3717="Fora dos ciclos"),"CICLO_PC nao identificado",IF(OR(D3717="",D3717=0),"VALOR_PC vazio ou zero",IF(AND(G3717&lt;&gt;"Sim",G3717&lt;&gt;"Nao",G3717&lt;&gt;""),"PC_PAGO_A_CONTRATADA invalido",IF(AND(C3717&lt;&gt;"C0",IFERROR(INDEX(parametros!$A$2:$A$6,MATCH(C3717,parametros!$B$2:$B$6,0)),"")="Sim",IFERROR(INDEX(parametros!$H$2:$H$6,MATCH(C3717,parametros!$B$2:$B$6,0)),"")=""),"INICIO_EFEITO ausente: PC "&amp;A3717&amp;" - "&amp;C3717,IF(L3717="","EFEITO_PC nao calculado: PC "&amp;A3717&amp;" - "&amp;C3717,"OK")))))))))</f>
        <v/>
      </c>
      <c r="L3717" s="92" t="str">
        <f>IF(AND(A3717="",B3717="",D3717="",G3717=""),"",IF(OR(B3717="",NOT(ISNUMBER(B3717)),C3717="",C3717="Fora dos ciclos"),"",IF(C3717="C0","Nao",IF(IFERROR(INDEX(parametros!$A$2:$A$6,MATCH(C3717,parametros!$B$2:$B$6,0)),"")&lt;&gt;"Sim","Nao",IF(IFERROR(INDEX(parametros!$H$2:$H$6,MATCH(C3717,parametros!$B$2:$B$6,0)),"")="","",IF(B3717&gt;=IFERROR(INDEX(parametros!$H$2:$H$6,MATCH(C3717,parametros!$B$2:$B$6,0)),""),"Sim","Nao"))))))</f>
        <v/>
      </c>
      <c r="T3717" s="156"/>
      <c r="U3717" s="214" t="str">
        <f t="shared" si="296"/>
        <v/>
      </c>
      <c r="V3717" s="212" t="s">
        <v>50</v>
      </c>
      <c r="W3717" s="100" t="s">
        <v>168</v>
      </c>
      <c r="X3717" s="100" t="s">
        <v>169</v>
      </c>
      <c r="Y3717" s="101" t="s">
        <v>170</v>
      </c>
      <c r="Z3717" s="101" t="s">
        <v>171</v>
      </c>
      <c r="AA3717" s="101" t="s">
        <v>50</v>
      </c>
      <c r="AB3717" s="101" t="s">
        <v>172</v>
      </c>
      <c r="AC3717" s="102" t="s">
        <v>173</v>
      </c>
    </row>
    <row r="3718" spans="1:29" ht="25.5" customHeight="1" x14ac:dyDescent="0.35">
      <c r="A3718" s="392"/>
      <c r="B3718" s="393"/>
      <c r="C3718" s="99" t="str">
        <f>IF(B3718="","",IF(NOT(ISNUMBER(B3718)),"DATA_PC invalida",IF(NOT(ISNUMBER(parametros!$C$2)),"Fora dos ciclos",IF(OR(B3718&lt;parametros!$C$2,(YEAR(B3718)-YEAR(parametros!$C$2))*12+MONTH(B3718)-MONTH(parametros!$C$2)&gt;59),"Fora dos ciclos","C"&amp;INT(((YEAR(B3718)-YEAR(parametros!$C$2))*12+MONTH(B3718)-MONTH(parametros!$C$2))/12)))))</f>
        <v/>
      </c>
      <c r="D3718" s="394"/>
      <c r="E3718" s="78" t="str">
        <f>IF(C3718="","",IFERROR(VLOOKUP(C3718,parametros!$A$11:$E$15,5,0),""))</f>
        <v/>
      </c>
      <c r="F3718" s="79" t="str">
        <f t="shared" si="292"/>
        <v/>
      </c>
      <c r="G3718" s="395"/>
      <c r="H3718" s="91">
        <f t="shared" si="293"/>
        <v>0</v>
      </c>
      <c r="I3718" s="91" t="str">
        <f t="shared" si="294"/>
        <v/>
      </c>
      <c r="J3718" s="91" t="str">
        <f t="shared" si="295"/>
        <v/>
      </c>
      <c r="K3718" s="92" t="str">
        <f>IF(AND(A3718="",B3718="",D3718="",G3718=""),"",IF(AND(A3718&lt;&gt;"",COUNTIF($A$2:$A$5001,A3718)&gt;1),"NUMERO_PC duplicado",IF(B3718="","DATA_PC vazia",IF(NOT(ISNUMBER(B3718)),"DATA_PC invalida",IF(OR(C3718="",C3718="Fora dos ciclos"),"CICLO_PC nao identificado",IF(OR(D3718="",D3718=0),"VALOR_PC vazio ou zero",IF(AND(G3718&lt;&gt;"Sim",G3718&lt;&gt;"Nao",G3718&lt;&gt;""),"PC_PAGO_A_CONTRATADA invalido",IF(AND(C3718&lt;&gt;"C0",IFERROR(INDEX(parametros!$A$2:$A$6,MATCH(C3718,parametros!$B$2:$B$6,0)),"")="Sim",IFERROR(INDEX(parametros!$H$2:$H$6,MATCH(C3718,parametros!$B$2:$B$6,0)),"")=""),"INICIO_EFEITO ausente: PC "&amp;A3718&amp;" - "&amp;C3718,IF(L3718="","EFEITO_PC nao calculado: PC "&amp;A3718&amp;" - "&amp;C3718,"OK")))))))))</f>
        <v/>
      </c>
      <c r="L3718" s="92" t="str">
        <f>IF(AND(A3718="",B3718="",D3718="",G3718=""),"",IF(OR(B3718="",NOT(ISNUMBER(B3718)),C3718="",C3718="Fora dos ciclos"),"",IF(C3718="C0","Nao",IF(IFERROR(INDEX(parametros!$A$2:$A$6,MATCH(C3718,parametros!$B$2:$B$6,0)),"")&lt;&gt;"Sim","Nao",IF(IFERROR(INDEX(parametros!$H$2:$H$6,MATCH(C3718,parametros!$B$2:$B$6,0)),"")="","",IF(B3718&gt;=IFERROR(INDEX(parametros!$H$2:$H$6,MATCH(C3718,parametros!$B$2:$B$6,0)),""),"Sim","Nao"))))))</f>
        <v/>
      </c>
      <c r="T3718" s="156"/>
      <c r="U3718" s="214" t="str">
        <f t="shared" si="296"/>
        <v/>
      </c>
      <c r="V3718" s="212" t="s">
        <v>50</v>
      </c>
      <c r="W3718" s="100" t="s">
        <v>168</v>
      </c>
      <c r="X3718" s="100" t="s">
        <v>169</v>
      </c>
      <c r="Y3718" s="101" t="s">
        <v>170</v>
      </c>
      <c r="Z3718" s="101" t="s">
        <v>171</v>
      </c>
      <c r="AA3718" s="101" t="s">
        <v>50</v>
      </c>
      <c r="AB3718" s="101" t="s">
        <v>172</v>
      </c>
      <c r="AC3718" s="102" t="s">
        <v>173</v>
      </c>
    </row>
    <row r="3719" spans="1:29" ht="25.5" customHeight="1" x14ac:dyDescent="0.35">
      <c r="A3719" s="392"/>
      <c r="B3719" s="393"/>
      <c r="C3719" s="99" t="str">
        <f>IF(B3719="","",IF(NOT(ISNUMBER(B3719)),"DATA_PC invalida",IF(NOT(ISNUMBER(parametros!$C$2)),"Fora dos ciclos",IF(OR(B3719&lt;parametros!$C$2,(YEAR(B3719)-YEAR(parametros!$C$2))*12+MONTH(B3719)-MONTH(parametros!$C$2)&gt;59),"Fora dos ciclos","C"&amp;INT(((YEAR(B3719)-YEAR(parametros!$C$2))*12+MONTH(B3719)-MONTH(parametros!$C$2))/12)))))</f>
        <v/>
      </c>
      <c r="D3719" s="394"/>
      <c r="E3719" s="78" t="str">
        <f>IF(C3719="","",IFERROR(VLOOKUP(C3719,parametros!$A$11:$E$15,5,0),""))</f>
        <v/>
      </c>
      <c r="F3719" s="79" t="str">
        <f t="shared" si="292"/>
        <v/>
      </c>
      <c r="G3719" s="395"/>
      <c r="H3719" s="91">
        <f t="shared" si="293"/>
        <v>0</v>
      </c>
      <c r="I3719" s="91" t="str">
        <f t="shared" si="294"/>
        <v/>
      </c>
      <c r="J3719" s="91" t="str">
        <f t="shared" si="295"/>
        <v/>
      </c>
      <c r="K3719" s="92" t="str">
        <f>IF(AND(A3719="",B3719="",D3719="",G3719=""),"",IF(AND(A3719&lt;&gt;"",COUNTIF($A$2:$A$5001,A3719)&gt;1),"NUMERO_PC duplicado",IF(B3719="","DATA_PC vazia",IF(NOT(ISNUMBER(B3719)),"DATA_PC invalida",IF(OR(C3719="",C3719="Fora dos ciclos"),"CICLO_PC nao identificado",IF(OR(D3719="",D3719=0),"VALOR_PC vazio ou zero",IF(AND(G3719&lt;&gt;"Sim",G3719&lt;&gt;"Nao",G3719&lt;&gt;""),"PC_PAGO_A_CONTRATADA invalido",IF(AND(C3719&lt;&gt;"C0",IFERROR(INDEX(parametros!$A$2:$A$6,MATCH(C3719,parametros!$B$2:$B$6,0)),"")="Sim",IFERROR(INDEX(parametros!$H$2:$H$6,MATCH(C3719,parametros!$B$2:$B$6,0)),"")=""),"INICIO_EFEITO ausente: PC "&amp;A3719&amp;" - "&amp;C3719,IF(L3719="","EFEITO_PC nao calculado: PC "&amp;A3719&amp;" - "&amp;C3719,"OK")))))))))</f>
        <v/>
      </c>
      <c r="L3719" s="92" t="str">
        <f>IF(AND(A3719="",B3719="",D3719="",G3719=""),"",IF(OR(B3719="",NOT(ISNUMBER(B3719)),C3719="",C3719="Fora dos ciclos"),"",IF(C3719="C0","Nao",IF(IFERROR(INDEX(parametros!$A$2:$A$6,MATCH(C3719,parametros!$B$2:$B$6,0)),"")&lt;&gt;"Sim","Nao",IF(IFERROR(INDEX(parametros!$H$2:$H$6,MATCH(C3719,parametros!$B$2:$B$6,0)),"")="","",IF(B3719&gt;=IFERROR(INDEX(parametros!$H$2:$H$6,MATCH(C3719,parametros!$B$2:$B$6,0)),""),"Sim","Nao"))))))</f>
        <v/>
      </c>
      <c r="T3719" s="156"/>
      <c r="U3719" s="214" t="str">
        <f t="shared" si="296"/>
        <v/>
      </c>
      <c r="V3719" s="212" t="s">
        <v>50</v>
      </c>
      <c r="W3719" s="100" t="s">
        <v>168</v>
      </c>
      <c r="X3719" s="100" t="s">
        <v>169</v>
      </c>
      <c r="Y3719" s="101" t="s">
        <v>170</v>
      </c>
      <c r="Z3719" s="101" t="s">
        <v>171</v>
      </c>
      <c r="AA3719" s="101" t="s">
        <v>50</v>
      </c>
      <c r="AB3719" s="101" t="s">
        <v>172</v>
      </c>
      <c r="AC3719" s="102" t="s">
        <v>173</v>
      </c>
    </row>
    <row r="3720" spans="1:29" ht="25.5" customHeight="1" x14ac:dyDescent="0.35">
      <c r="A3720" s="392"/>
      <c r="B3720" s="393"/>
      <c r="C3720" s="99" t="str">
        <f>IF(B3720="","",IF(NOT(ISNUMBER(B3720)),"DATA_PC invalida",IF(NOT(ISNUMBER(parametros!$C$2)),"Fora dos ciclos",IF(OR(B3720&lt;parametros!$C$2,(YEAR(B3720)-YEAR(parametros!$C$2))*12+MONTH(B3720)-MONTH(parametros!$C$2)&gt;59),"Fora dos ciclos","C"&amp;INT(((YEAR(B3720)-YEAR(parametros!$C$2))*12+MONTH(B3720)-MONTH(parametros!$C$2))/12)))))</f>
        <v/>
      </c>
      <c r="D3720" s="394"/>
      <c r="E3720" s="78" t="str">
        <f>IF(C3720="","",IFERROR(VLOOKUP(C3720,parametros!$A$11:$E$15,5,0),""))</f>
        <v/>
      </c>
      <c r="F3720" s="79" t="str">
        <f t="shared" si="292"/>
        <v/>
      </c>
      <c r="G3720" s="395"/>
      <c r="H3720" s="91">
        <f t="shared" si="293"/>
        <v>0</v>
      </c>
      <c r="I3720" s="91" t="str">
        <f t="shared" si="294"/>
        <v/>
      </c>
      <c r="J3720" s="91" t="str">
        <f t="shared" si="295"/>
        <v/>
      </c>
      <c r="K3720" s="92" t="str">
        <f>IF(AND(A3720="",B3720="",D3720="",G3720=""),"",IF(AND(A3720&lt;&gt;"",COUNTIF($A$2:$A$5001,A3720)&gt;1),"NUMERO_PC duplicado",IF(B3720="","DATA_PC vazia",IF(NOT(ISNUMBER(B3720)),"DATA_PC invalida",IF(OR(C3720="",C3720="Fora dos ciclos"),"CICLO_PC nao identificado",IF(OR(D3720="",D3720=0),"VALOR_PC vazio ou zero",IF(AND(G3720&lt;&gt;"Sim",G3720&lt;&gt;"Nao",G3720&lt;&gt;""),"PC_PAGO_A_CONTRATADA invalido",IF(AND(C3720&lt;&gt;"C0",IFERROR(INDEX(parametros!$A$2:$A$6,MATCH(C3720,parametros!$B$2:$B$6,0)),"")="Sim",IFERROR(INDEX(parametros!$H$2:$H$6,MATCH(C3720,parametros!$B$2:$B$6,0)),"")=""),"INICIO_EFEITO ausente: PC "&amp;A3720&amp;" - "&amp;C3720,IF(L3720="","EFEITO_PC nao calculado: PC "&amp;A3720&amp;" - "&amp;C3720,"OK")))))))))</f>
        <v/>
      </c>
      <c r="L3720" s="92" t="str">
        <f>IF(AND(A3720="",B3720="",D3720="",G3720=""),"",IF(OR(B3720="",NOT(ISNUMBER(B3720)),C3720="",C3720="Fora dos ciclos"),"",IF(C3720="C0","Nao",IF(IFERROR(INDEX(parametros!$A$2:$A$6,MATCH(C3720,parametros!$B$2:$B$6,0)),"")&lt;&gt;"Sim","Nao",IF(IFERROR(INDEX(parametros!$H$2:$H$6,MATCH(C3720,parametros!$B$2:$B$6,0)),"")="","",IF(B3720&gt;=IFERROR(INDEX(parametros!$H$2:$H$6,MATCH(C3720,parametros!$B$2:$B$6,0)),""),"Sim","Nao"))))))</f>
        <v/>
      </c>
      <c r="T3720" s="156"/>
      <c r="U3720" s="214" t="str">
        <f t="shared" si="296"/>
        <v/>
      </c>
      <c r="V3720" s="212" t="s">
        <v>50</v>
      </c>
      <c r="W3720" s="100" t="s">
        <v>168</v>
      </c>
      <c r="X3720" s="100" t="s">
        <v>169</v>
      </c>
      <c r="Y3720" s="101" t="s">
        <v>170</v>
      </c>
      <c r="Z3720" s="101" t="s">
        <v>171</v>
      </c>
      <c r="AA3720" s="101" t="s">
        <v>50</v>
      </c>
      <c r="AB3720" s="101" t="s">
        <v>172</v>
      </c>
      <c r="AC3720" s="102" t="s">
        <v>173</v>
      </c>
    </row>
    <row r="3721" spans="1:29" ht="25.5" customHeight="1" x14ac:dyDescent="0.35">
      <c r="A3721" s="392"/>
      <c r="B3721" s="393"/>
      <c r="C3721" s="99" t="str">
        <f>IF(B3721="","",IF(NOT(ISNUMBER(B3721)),"DATA_PC invalida",IF(NOT(ISNUMBER(parametros!$C$2)),"Fora dos ciclos",IF(OR(B3721&lt;parametros!$C$2,(YEAR(B3721)-YEAR(parametros!$C$2))*12+MONTH(B3721)-MONTH(parametros!$C$2)&gt;59),"Fora dos ciclos","C"&amp;INT(((YEAR(B3721)-YEAR(parametros!$C$2))*12+MONTH(B3721)-MONTH(parametros!$C$2))/12)))))</f>
        <v/>
      </c>
      <c r="D3721" s="394"/>
      <c r="E3721" s="78" t="str">
        <f>IF(C3721="","",IFERROR(VLOOKUP(C3721,parametros!$A$11:$E$15,5,0),""))</f>
        <v/>
      </c>
      <c r="F3721" s="79" t="str">
        <f t="shared" si="292"/>
        <v/>
      </c>
      <c r="G3721" s="395"/>
      <c r="H3721" s="91">
        <f t="shared" si="293"/>
        <v>0</v>
      </c>
      <c r="I3721" s="91" t="str">
        <f t="shared" si="294"/>
        <v/>
      </c>
      <c r="J3721" s="91" t="str">
        <f t="shared" si="295"/>
        <v/>
      </c>
      <c r="K3721" s="92" t="str">
        <f>IF(AND(A3721="",B3721="",D3721="",G3721=""),"",IF(AND(A3721&lt;&gt;"",COUNTIF($A$2:$A$5001,A3721)&gt;1),"NUMERO_PC duplicado",IF(B3721="","DATA_PC vazia",IF(NOT(ISNUMBER(B3721)),"DATA_PC invalida",IF(OR(C3721="",C3721="Fora dos ciclos"),"CICLO_PC nao identificado",IF(OR(D3721="",D3721=0),"VALOR_PC vazio ou zero",IF(AND(G3721&lt;&gt;"Sim",G3721&lt;&gt;"Nao",G3721&lt;&gt;""),"PC_PAGO_A_CONTRATADA invalido",IF(AND(C3721&lt;&gt;"C0",IFERROR(INDEX(parametros!$A$2:$A$6,MATCH(C3721,parametros!$B$2:$B$6,0)),"")="Sim",IFERROR(INDEX(parametros!$H$2:$H$6,MATCH(C3721,parametros!$B$2:$B$6,0)),"")=""),"INICIO_EFEITO ausente: PC "&amp;A3721&amp;" - "&amp;C3721,IF(L3721="","EFEITO_PC nao calculado: PC "&amp;A3721&amp;" - "&amp;C3721,"OK")))))))))</f>
        <v/>
      </c>
      <c r="L3721" s="92" t="str">
        <f>IF(AND(A3721="",B3721="",D3721="",G3721=""),"",IF(OR(B3721="",NOT(ISNUMBER(B3721)),C3721="",C3721="Fora dos ciclos"),"",IF(C3721="C0","Nao",IF(IFERROR(INDEX(parametros!$A$2:$A$6,MATCH(C3721,parametros!$B$2:$B$6,0)),"")&lt;&gt;"Sim","Nao",IF(IFERROR(INDEX(parametros!$H$2:$H$6,MATCH(C3721,parametros!$B$2:$B$6,0)),"")="","",IF(B3721&gt;=IFERROR(INDEX(parametros!$H$2:$H$6,MATCH(C3721,parametros!$B$2:$B$6,0)),""),"Sim","Nao"))))))</f>
        <v/>
      </c>
      <c r="T3721" s="156"/>
      <c r="U3721" s="214" t="str">
        <f t="shared" si="296"/>
        <v/>
      </c>
      <c r="V3721" s="212" t="s">
        <v>50</v>
      </c>
      <c r="W3721" s="100" t="s">
        <v>168</v>
      </c>
      <c r="X3721" s="100" t="s">
        <v>169</v>
      </c>
      <c r="Y3721" s="101" t="s">
        <v>170</v>
      </c>
      <c r="Z3721" s="101" t="s">
        <v>171</v>
      </c>
      <c r="AA3721" s="101" t="s">
        <v>50</v>
      </c>
      <c r="AB3721" s="101" t="s">
        <v>172</v>
      </c>
      <c r="AC3721" s="102" t="s">
        <v>173</v>
      </c>
    </row>
    <row r="3722" spans="1:29" ht="25.5" customHeight="1" x14ac:dyDescent="0.35">
      <c r="A3722" s="392"/>
      <c r="B3722" s="393"/>
      <c r="C3722" s="99" t="str">
        <f>IF(B3722="","",IF(NOT(ISNUMBER(B3722)),"DATA_PC invalida",IF(NOT(ISNUMBER(parametros!$C$2)),"Fora dos ciclos",IF(OR(B3722&lt;parametros!$C$2,(YEAR(B3722)-YEAR(parametros!$C$2))*12+MONTH(B3722)-MONTH(parametros!$C$2)&gt;59),"Fora dos ciclos","C"&amp;INT(((YEAR(B3722)-YEAR(parametros!$C$2))*12+MONTH(B3722)-MONTH(parametros!$C$2))/12)))))</f>
        <v/>
      </c>
      <c r="D3722" s="394"/>
      <c r="E3722" s="78" t="str">
        <f>IF(C3722="","",IFERROR(VLOOKUP(C3722,parametros!$A$11:$E$15,5,0),""))</f>
        <v/>
      </c>
      <c r="F3722" s="79" t="str">
        <f t="shared" si="292"/>
        <v/>
      </c>
      <c r="G3722" s="395"/>
      <c r="H3722" s="91">
        <f t="shared" si="293"/>
        <v>0</v>
      </c>
      <c r="I3722" s="91" t="str">
        <f t="shared" si="294"/>
        <v/>
      </c>
      <c r="J3722" s="91" t="str">
        <f t="shared" si="295"/>
        <v/>
      </c>
      <c r="K3722" s="92" t="str">
        <f>IF(AND(A3722="",B3722="",D3722="",G3722=""),"",IF(AND(A3722&lt;&gt;"",COUNTIF($A$2:$A$5001,A3722)&gt;1),"NUMERO_PC duplicado",IF(B3722="","DATA_PC vazia",IF(NOT(ISNUMBER(B3722)),"DATA_PC invalida",IF(OR(C3722="",C3722="Fora dos ciclos"),"CICLO_PC nao identificado",IF(OR(D3722="",D3722=0),"VALOR_PC vazio ou zero",IF(AND(G3722&lt;&gt;"Sim",G3722&lt;&gt;"Nao",G3722&lt;&gt;""),"PC_PAGO_A_CONTRATADA invalido",IF(AND(C3722&lt;&gt;"C0",IFERROR(INDEX(parametros!$A$2:$A$6,MATCH(C3722,parametros!$B$2:$B$6,0)),"")="Sim",IFERROR(INDEX(parametros!$H$2:$H$6,MATCH(C3722,parametros!$B$2:$B$6,0)),"")=""),"INICIO_EFEITO ausente: PC "&amp;A3722&amp;" - "&amp;C3722,IF(L3722="","EFEITO_PC nao calculado: PC "&amp;A3722&amp;" - "&amp;C3722,"OK")))))))))</f>
        <v/>
      </c>
      <c r="L3722" s="92" t="str">
        <f>IF(AND(A3722="",B3722="",D3722="",G3722=""),"",IF(OR(B3722="",NOT(ISNUMBER(B3722)),C3722="",C3722="Fora dos ciclos"),"",IF(C3722="C0","Nao",IF(IFERROR(INDEX(parametros!$A$2:$A$6,MATCH(C3722,parametros!$B$2:$B$6,0)),"")&lt;&gt;"Sim","Nao",IF(IFERROR(INDEX(parametros!$H$2:$H$6,MATCH(C3722,parametros!$B$2:$B$6,0)),"")="","",IF(B3722&gt;=IFERROR(INDEX(parametros!$H$2:$H$6,MATCH(C3722,parametros!$B$2:$B$6,0)),""),"Sim","Nao"))))))</f>
        <v/>
      </c>
      <c r="T3722" s="156"/>
      <c r="U3722" s="214" t="str">
        <f t="shared" si="296"/>
        <v/>
      </c>
      <c r="V3722" s="212" t="s">
        <v>50</v>
      </c>
      <c r="W3722" s="100" t="s">
        <v>168</v>
      </c>
      <c r="X3722" s="100" t="s">
        <v>169</v>
      </c>
      <c r="Y3722" s="101" t="s">
        <v>170</v>
      </c>
      <c r="Z3722" s="101" t="s">
        <v>171</v>
      </c>
      <c r="AA3722" s="101" t="s">
        <v>50</v>
      </c>
      <c r="AB3722" s="101" t="s">
        <v>172</v>
      </c>
      <c r="AC3722" s="102" t="s">
        <v>173</v>
      </c>
    </row>
    <row r="3723" spans="1:29" ht="25.5" customHeight="1" x14ac:dyDescent="0.35">
      <c r="A3723" s="392"/>
      <c r="B3723" s="393"/>
      <c r="C3723" s="99" t="str">
        <f>IF(B3723="","",IF(NOT(ISNUMBER(B3723)),"DATA_PC invalida",IF(NOT(ISNUMBER(parametros!$C$2)),"Fora dos ciclos",IF(OR(B3723&lt;parametros!$C$2,(YEAR(B3723)-YEAR(parametros!$C$2))*12+MONTH(B3723)-MONTH(parametros!$C$2)&gt;59),"Fora dos ciclos","C"&amp;INT(((YEAR(B3723)-YEAR(parametros!$C$2))*12+MONTH(B3723)-MONTH(parametros!$C$2))/12)))))</f>
        <v/>
      </c>
      <c r="D3723" s="394"/>
      <c r="E3723" s="78" t="str">
        <f>IF(C3723="","",IFERROR(VLOOKUP(C3723,parametros!$A$11:$E$15,5,0),""))</f>
        <v/>
      </c>
      <c r="F3723" s="79" t="str">
        <f t="shared" si="292"/>
        <v/>
      </c>
      <c r="G3723" s="395"/>
      <c r="H3723" s="91">
        <f t="shared" si="293"/>
        <v>0</v>
      </c>
      <c r="I3723" s="91" t="str">
        <f t="shared" si="294"/>
        <v/>
      </c>
      <c r="J3723" s="91" t="str">
        <f t="shared" si="295"/>
        <v/>
      </c>
      <c r="K3723" s="92" t="str">
        <f>IF(AND(A3723="",B3723="",D3723="",G3723=""),"",IF(AND(A3723&lt;&gt;"",COUNTIF($A$2:$A$5001,A3723)&gt;1),"NUMERO_PC duplicado",IF(B3723="","DATA_PC vazia",IF(NOT(ISNUMBER(B3723)),"DATA_PC invalida",IF(OR(C3723="",C3723="Fora dos ciclos"),"CICLO_PC nao identificado",IF(OR(D3723="",D3723=0),"VALOR_PC vazio ou zero",IF(AND(G3723&lt;&gt;"Sim",G3723&lt;&gt;"Nao",G3723&lt;&gt;""),"PC_PAGO_A_CONTRATADA invalido",IF(AND(C3723&lt;&gt;"C0",IFERROR(INDEX(parametros!$A$2:$A$6,MATCH(C3723,parametros!$B$2:$B$6,0)),"")="Sim",IFERROR(INDEX(parametros!$H$2:$H$6,MATCH(C3723,parametros!$B$2:$B$6,0)),"")=""),"INICIO_EFEITO ausente: PC "&amp;A3723&amp;" - "&amp;C3723,IF(L3723="","EFEITO_PC nao calculado: PC "&amp;A3723&amp;" - "&amp;C3723,"OK")))))))))</f>
        <v/>
      </c>
      <c r="L3723" s="92" t="str">
        <f>IF(AND(A3723="",B3723="",D3723="",G3723=""),"",IF(OR(B3723="",NOT(ISNUMBER(B3723)),C3723="",C3723="Fora dos ciclos"),"",IF(C3723="C0","Nao",IF(IFERROR(INDEX(parametros!$A$2:$A$6,MATCH(C3723,parametros!$B$2:$B$6,0)),"")&lt;&gt;"Sim","Nao",IF(IFERROR(INDEX(parametros!$H$2:$H$6,MATCH(C3723,parametros!$B$2:$B$6,0)),"")="","",IF(B3723&gt;=IFERROR(INDEX(parametros!$H$2:$H$6,MATCH(C3723,parametros!$B$2:$B$6,0)),""),"Sim","Nao"))))))</f>
        <v/>
      </c>
      <c r="T3723" s="156"/>
      <c r="U3723" s="214" t="str">
        <f t="shared" si="296"/>
        <v/>
      </c>
      <c r="V3723" s="212" t="s">
        <v>50</v>
      </c>
      <c r="W3723" s="100" t="s">
        <v>168</v>
      </c>
      <c r="X3723" s="100" t="s">
        <v>169</v>
      </c>
      <c r="Y3723" s="101" t="s">
        <v>170</v>
      </c>
      <c r="Z3723" s="101" t="s">
        <v>171</v>
      </c>
      <c r="AA3723" s="101" t="s">
        <v>50</v>
      </c>
      <c r="AB3723" s="101" t="s">
        <v>172</v>
      </c>
      <c r="AC3723" s="102" t="s">
        <v>173</v>
      </c>
    </row>
    <row r="3724" spans="1:29" ht="25.5" customHeight="1" x14ac:dyDescent="0.35">
      <c r="A3724" s="392"/>
      <c r="B3724" s="393"/>
      <c r="C3724" s="99" t="str">
        <f>IF(B3724="","",IF(NOT(ISNUMBER(B3724)),"DATA_PC invalida",IF(NOT(ISNUMBER(parametros!$C$2)),"Fora dos ciclos",IF(OR(B3724&lt;parametros!$C$2,(YEAR(B3724)-YEAR(parametros!$C$2))*12+MONTH(B3724)-MONTH(parametros!$C$2)&gt;59),"Fora dos ciclos","C"&amp;INT(((YEAR(B3724)-YEAR(parametros!$C$2))*12+MONTH(B3724)-MONTH(parametros!$C$2))/12)))))</f>
        <v/>
      </c>
      <c r="D3724" s="394"/>
      <c r="E3724" s="78" t="str">
        <f>IF(C3724="","",IFERROR(VLOOKUP(C3724,parametros!$A$11:$E$15,5,0),""))</f>
        <v/>
      </c>
      <c r="F3724" s="79" t="str">
        <f t="shared" si="292"/>
        <v/>
      </c>
      <c r="G3724" s="395"/>
      <c r="H3724" s="91">
        <f t="shared" si="293"/>
        <v>0</v>
      </c>
      <c r="I3724" s="91" t="str">
        <f t="shared" si="294"/>
        <v/>
      </c>
      <c r="J3724" s="91" t="str">
        <f t="shared" si="295"/>
        <v/>
      </c>
      <c r="K3724" s="92" t="str">
        <f>IF(AND(A3724="",B3724="",D3724="",G3724=""),"",IF(AND(A3724&lt;&gt;"",COUNTIF($A$2:$A$5001,A3724)&gt;1),"NUMERO_PC duplicado",IF(B3724="","DATA_PC vazia",IF(NOT(ISNUMBER(B3724)),"DATA_PC invalida",IF(OR(C3724="",C3724="Fora dos ciclos"),"CICLO_PC nao identificado",IF(OR(D3724="",D3724=0),"VALOR_PC vazio ou zero",IF(AND(G3724&lt;&gt;"Sim",G3724&lt;&gt;"Nao",G3724&lt;&gt;""),"PC_PAGO_A_CONTRATADA invalido",IF(AND(C3724&lt;&gt;"C0",IFERROR(INDEX(parametros!$A$2:$A$6,MATCH(C3724,parametros!$B$2:$B$6,0)),"")="Sim",IFERROR(INDEX(parametros!$H$2:$H$6,MATCH(C3724,parametros!$B$2:$B$6,0)),"")=""),"INICIO_EFEITO ausente: PC "&amp;A3724&amp;" - "&amp;C3724,IF(L3724="","EFEITO_PC nao calculado: PC "&amp;A3724&amp;" - "&amp;C3724,"OK")))))))))</f>
        <v/>
      </c>
      <c r="L3724" s="92" t="str">
        <f>IF(AND(A3724="",B3724="",D3724="",G3724=""),"",IF(OR(B3724="",NOT(ISNUMBER(B3724)),C3724="",C3724="Fora dos ciclos"),"",IF(C3724="C0","Nao",IF(IFERROR(INDEX(parametros!$A$2:$A$6,MATCH(C3724,parametros!$B$2:$B$6,0)),"")&lt;&gt;"Sim","Nao",IF(IFERROR(INDEX(parametros!$H$2:$H$6,MATCH(C3724,parametros!$B$2:$B$6,0)),"")="","",IF(B3724&gt;=IFERROR(INDEX(parametros!$H$2:$H$6,MATCH(C3724,parametros!$B$2:$B$6,0)),""),"Sim","Nao"))))))</f>
        <v/>
      </c>
      <c r="T3724" s="156"/>
      <c r="U3724" s="214" t="str">
        <f t="shared" si="296"/>
        <v/>
      </c>
      <c r="V3724" s="212" t="s">
        <v>50</v>
      </c>
      <c r="W3724" s="100" t="s">
        <v>168</v>
      </c>
      <c r="X3724" s="100" t="s">
        <v>169</v>
      </c>
      <c r="Y3724" s="101" t="s">
        <v>170</v>
      </c>
      <c r="Z3724" s="101" t="s">
        <v>171</v>
      </c>
      <c r="AA3724" s="101" t="s">
        <v>50</v>
      </c>
      <c r="AB3724" s="101" t="s">
        <v>172</v>
      </c>
      <c r="AC3724" s="102" t="s">
        <v>173</v>
      </c>
    </row>
    <row r="3725" spans="1:29" ht="25.5" customHeight="1" x14ac:dyDescent="0.35">
      <c r="A3725" s="392"/>
      <c r="B3725" s="393"/>
      <c r="C3725" s="99" t="str">
        <f>IF(B3725="","",IF(NOT(ISNUMBER(B3725)),"DATA_PC invalida",IF(NOT(ISNUMBER(parametros!$C$2)),"Fora dos ciclos",IF(OR(B3725&lt;parametros!$C$2,(YEAR(B3725)-YEAR(parametros!$C$2))*12+MONTH(B3725)-MONTH(parametros!$C$2)&gt;59),"Fora dos ciclos","C"&amp;INT(((YEAR(B3725)-YEAR(parametros!$C$2))*12+MONTH(B3725)-MONTH(parametros!$C$2))/12)))))</f>
        <v/>
      </c>
      <c r="D3725" s="394"/>
      <c r="E3725" s="78" t="str">
        <f>IF(C3725="","",IFERROR(VLOOKUP(C3725,parametros!$A$11:$E$15,5,0),""))</f>
        <v/>
      </c>
      <c r="F3725" s="79" t="str">
        <f t="shared" si="292"/>
        <v/>
      </c>
      <c r="G3725" s="395"/>
      <c r="H3725" s="91">
        <f t="shared" si="293"/>
        <v>0</v>
      </c>
      <c r="I3725" s="91" t="str">
        <f t="shared" si="294"/>
        <v/>
      </c>
      <c r="J3725" s="91" t="str">
        <f t="shared" si="295"/>
        <v/>
      </c>
      <c r="K3725" s="92" t="str">
        <f>IF(AND(A3725="",B3725="",D3725="",G3725=""),"",IF(AND(A3725&lt;&gt;"",COUNTIF($A$2:$A$5001,A3725)&gt;1),"NUMERO_PC duplicado",IF(B3725="","DATA_PC vazia",IF(NOT(ISNUMBER(B3725)),"DATA_PC invalida",IF(OR(C3725="",C3725="Fora dos ciclos"),"CICLO_PC nao identificado",IF(OR(D3725="",D3725=0),"VALOR_PC vazio ou zero",IF(AND(G3725&lt;&gt;"Sim",G3725&lt;&gt;"Nao",G3725&lt;&gt;""),"PC_PAGO_A_CONTRATADA invalido",IF(AND(C3725&lt;&gt;"C0",IFERROR(INDEX(parametros!$A$2:$A$6,MATCH(C3725,parametros!$B$2:$B$6,0)),"")="Sim",IFERROR(INDEX(parametros!$H$2:$H$6,MATCH(C3725,parametros!$B$2:$B$6,0)),"")=""),"INICIO_EFEITO ausente: PC "&amp;A3725&amp;" - "&amp;C3725,IF(L3725="","EFEITO_PC nao calculado: PC "&amp;A3725&amp;" - "&amp;C3725,"OK")))))))))</f>
        <v/>
      </c>
      <c r="L3725" s="92" t="str">
        <f>IF(AND(A3725="",B3725="",D3725="",G3725=""),"",IF(OR(B3725="",NOT(ISNUMBER(B3725)),C3725="",C3725="Fora dos ciclos"),"",IF(C3725="C0","Nao",IF(IFERROR(INDEX(parametros!$A$2:$A$6,MATCH(C3725,parametros!$B$2:$B$6,0)),"")&lt;&gt;"Sim","Nao",IF(IFERROR(INDEX(parametros!$H$2:$H$6,MATCH(C3725,parametros!$B$2:$B$6,0)),"")="","",IF(B3725&gt;=IFERROR(INDEX(parametros!$H$2:$H$6,MATCH(C3725,parametros!$B$2:$B$6,0)),""),"Sim","Nao"))))))</f>
        <v/>
      </c>
      <c r="T3725" s="156"/>
      <c r="U3725" s="214" t="str">
        <f t="shared" si="296"/>
        <v/>
      </c>
      <c r="V3725" s="212" t="s">
        <v>50</v>
      </c>
      <c r="W3725" s="100" t="s">
        <v>168</v>
      </c>
      <c r="X3725" s="100" t="s">
        <v>169</v>
      </c>
      <c r="Y3725" s="101" t="s">
        <v>170</v>
      </c>
      <c r="Z3725" s="101" t="s">
        <v>171</v>
      </c>
      <c r="AA3725" s="101" t="s">
        <v>50</v>
      </c>
      <c r="AB3725" s="101" t="s">
        <v>172</v>
      </c>
      <c r="AC3725" s="102" t="s">
        <v>173</v>
      </c>
    </row>
    <row r="3726" spans="1:29" ht="25.5" customHeight="1" x14ac:dyDescent="0.35">
      <c r="A3726" s="392"/>
      <c r="B3726" s="393"/>
      <c r="C3726" s="99" t="str">
        <f>IF(B3726="","",IF(NOT(ISNUMBER(B3726)),"DATA_PC invalida",IF(NOT(ISNUMBER(parametros!$C$2)),"Fora dos ciclos",IF(OR(B3726&lt;parametros!$C$2,(YEAR(B3726)-YEAR(parametros!$C$2))*12+MONTH(B3726)-MONTH(parametros!$C$2)&gt;59),"Fora dos ciclos","C"&amp;INT(((YEAR(B3726)-YEAR(parametros!$C$2))*12+MONTH(B3726)-MONTH(parametros!$C$2))/12)))))</f>
        <v/>
      </c>
      <c r="D3726" s="394"/>
      <c r="E3726" s="78" t="str">
        <f>IF(C3726="","",IFERROR(VLOOKUP(C3726,parametros!$A$11:$E$15,5,0),""))</f>
        <v/>
      </c>
      <c r="F3726" s="79" t="str">
        <f t="shared" si="292"/>
        <v/>
      </c>
      <c r="G3726" s="395"/>
      <c r="H3726" s="91">
        <f t="shared" si="293"/>
        <v>0</v>
      </c>
      <c r="I3726" s="91" t="str">
        <f t="shared" si="294"/>
        <v/>
      </c>
      <c r="J3726" s="91" t="str">
        <f t="shared" si="295"/>
        <v/>
      </c>
      <c r="K3726" s="92" t="str">
        <f>IF(AND(A3726="",B3726="",D3726="",G3726=""),"",IF(AND(A3726&lt;&gt;"",COUNTIF($A$2:$A$5001,A3726)&gt;1),"NUMERO_PC duplicado",IF(B3726="","DATA_PC vazia",IF(NOT(ISNUMBER(B3726)),"DATA_PC invalida",IF(OR(C3726="",C3726="Fora dos ciclos"),"CICLO_PC nao identificado",IF(OR(D3726="",D3726=0),"VALOR_PC vazio ou zero",IF(AND(G3726&lt;&gt;"Sim",G3726&lt;&gt;"Nao",G3726&lt;&gt;""),"PC_PAGO_A_CONTRATADA invalido",IF(AND(C3726&lt;&gt;"C0",IFERROR(INDEX(parametros!$A$2:$A$6,MATCH(C3726,parametros!$B$2:$B$6,0)),"")="Sim",IFERROR(INDEX(parametros!$H$2:$H$6,MATCH(C3726,parametros!$B$2:$B$6,0)),"")=""),"INICIO_EFEITO ausente: PC "&amp;A3726&amp;" - "&amp;C3726,IF(L3726="","EFEITO_PC nao calculado: PC "&amp;A3726&amp;" - "&amp;C3726,"OK")))))))))</f>
        <v/>
      </c>
      <c r="L3726" s="92" t="str">
        <f>IF(AND(A3726="",B3726="",D3726="",G3726=""),"",IF(OR(B3726="",NOT(ISNUMBER(B3726)),C3726="",C3726="Fora dos ciclos"),"",IF(C3726="C0","Nao",IF(IFERROR(INDEX(parametros!$A$2:$A$6,MATCH(C3726,parametros!$B$2:$B$6,0)),"")&lt;&gt;"Sim","Nao",IF(IFERROR(INDEX(parametros!$H$2:$H$6,MATCH(C3726,parametros!$B$2:$B$6,0)),"")="","",IF(B3726&gt;=IFERROR(INDEX(parametros!$H$2:$H$6,MATCH(C3726,parametros!$B$2:$B$6,0)),""),"Sim","Nao"))))))</f>
        <v/>
      </c>
      <c r="T3726" s="156"/>
      <c r="U3726" s="214" t="str">
        <f t="shared" si="296"/>
        <v/>
      </c>
      <c r="V3726" s="212" t="s">
        <v>50</v>
      </c>
      <c r="W3726" s="100" t="s">
        <v>168</v>
      </c>
      <c r="X3726" s="100" t="s">
        <v>169</v>
      </c>
      <c r="Y3726" s="101" t="s">
        <v>170</v>
      </c>
      <c r="Z3726" s="101" t="s">
        <v>171</v>
      </c>
      <c r="AA3726" s="101" t="s">
        <v>50</v>
      </c>
      <c r="AB3726" s="101" t="s">
        <v>172</v>
      </c>
      <c r="AC3726" s="102" t="s">
        <v>173</v>
      </c>
    </row>
    <row r="3727" spans="1:29" ht="25.5" customHeight="1" x14ac:dyDescent="0.35">
      <c r="A3727" s="392"/>
      <c r="B3727" s="393"/>
      <c r="C3727" s="99" t="str">
        <f>IF(B3727="","",IF(NOT(ISNUMBER(B3727)),"DATA_PC invalida",IF(NOT(ISNUMBER(parametros!$C$2)),"Fora dos ciclos",IF(OR(B3727&lt;parametros!$C$2,(YEAR(B3727)-YEAR(parametros!$C$2))*12+MONTH(B3727)-MONTH(parametros!$C$2)&gt;59),"Fora dos ciclos","C"&amp;INT(((YEAR(B3727)-YEAR(parametros!$C$2))*12+MONTH(B3727)-MONTH(parametros!$C$2))/12)))))</f>
        <v/>
      </c>
      <c r="D3727" s="394"/>
      <c r="E3727" s="78" t="str">
        <f>IF(C3727="","",IFERROR(VLOOKUP(C3727,parametros!$A$11:$E$15,5,0),""))</f>
        <v/>
      </c>
      <c r="F3727" s="79" t="str">
        <f t="shared" si="292"/>
        <v/>
      </c>
      <c r="G3727" s="395"/>
      <c r="H3727" s="91">
        <f t="shared" si="293"/>
        <v>0</v>
      </c>
      <c r="I3727" s="91" t="str">
        <f t="shared" si="294"/>
        <v/>
      </c>
      <c r="J3727" s="91" t="str">
        <f t="shared" si="295"/>
        <v/>
      </c>
      <c r="K3727" s="92" t="str">
        <f>IF(AND(A3727="",B3727="",D3727="",G3727=""),"",IF(AND(A3727&lt;&gt;"",COUNTIF($A$2:$A$5001,A3727)&gt;1),"NUMERO_PC duplicado",IF(B3727="","DATA_PC vazia",IF(NOT(ISNUMBER(B3727)),"DATA_PC invalida",IF(OR(C3727="",C3727="Fora dos ciclos"),"CICLO_PC nao identificado",IF(OR(D3727="",D3727=0),"VALOR_PC vazio ou zero",IF(AND(G3727&lt;&gt;"Sim",G3727&lt;&gt;"Nao",G3727&lt;&gt;""),"PC_PAGO_A_CONTRATADA invalido",IF(AND(C3727&lt;&gt;"C0",IFERROR(INDEX(parametros!$A$2:$A$6,MATCH(C3727,parametros!$B$2:$B$6,0)),"")="Sim",IFERROR(INDEX(parametros!$H$2:$H$6,MATCH(C3727,parametros!$B$2:$B$6,0)),"")=""),"INICIO_EFEITO ausente: PC "&amp;A3727&amp;" - "&amp;C3727,IF(L3727="","EFEITO_PC nao calculado: PC "&amp;A3727&amp;" - "&amp;C3727,"OK")))))))))</f>
        <v/>
      </c>
      <c r="L3727" s="92" t="str">
        <f>IF(AND(A3727="",B3727="",D3727="",G3727=""),"",IF(OR(B3727="",NOT(ISNUMBER(B3727)),C3727="",C3727="Fora dos ciclos"),"",IF(C3727="C0","Nao",IF(IFERROR(INDEX(parametros!$A$2:$A$6,MATCH(C3727,parametros!$B$2:$B$6,0)),"")&lt;&gt;"Sim","Nao",IF(IFERROR(INDEX(parametros!$H$2:$H$6,MATCH(C3727,parametros!$B$2:$B$6,0)),"")="","",IF(B3727&gt;=IFERROR(INDEX(parametros!$H$2:$H$6,MATCH(C3727,parametros!$B$2:$B$6,0)),""),"Sim","Nao"))))))</f>
        <v/>
      </c>
      <c r="T3727" s="156"/>
      <c r="U3727" s="214" t="str">
        <f t="shared" si="296"/>
        <v/>
      </c>
      <c r="V3727" s="212" t="s">
        <v>50</v>
      </c>
      <c r="W3727" s="100" t="s">
        <v>168</v>
      </c>
      <c r="X3727" s="100" t="s">
        <v>169</v>
      </c>
      <c r="Y3727" s="101" t="s">
        <v>170</v>
      </c>
      <c r="Z3727" s="101" t="s">
        <v>171</v>
      </c>
      <c r="AA3727" s="101" t="s">
        <v>50</v>
      </c>
      <c r="AB3727" s="101" t="s">
        <v>172</v>
      </c>
      <c r="AC3727" s="102" t="s">
        <v>173</v>
      </c>
    </row>
    <row r="3728" spans="1:29" ht="25.5" customHeight="1" x14ac:dyDescent="0.35">
      <c r="A3728" s="392"/>
      <c r="B3728" s="393"/>
      <c r="C3728" s="99" t="str">
        <f>IF(B3728="","",IF(NOT(ISNUMBER(B3728)),"DATA_PC invalida",IF(NOT(ISNUMBER(parametros!$C$2)),"Fora dos ciclos",IF(OR(B3728&lt;parametros!$C$2,(YEAR(B3728)-YEAR(parametros!$C$2))*12+MONTH(B3728)-MONTH(parametros!$C$2)&gt;59),"Fora dos ciclos","C"&amp;INT(((YEAR(B3728)-YEAR(parametros!$C$2))*12+MONTH(B3728)-MONTH(parametros!$C$2))/12)))))</f>
        <v/>
      </c>
      <c r="D3728" s="394"/>
      <c r="E3728" s="78" t="str">
        <f>IF(C3728="","",IFERROR(VLOOKUP(C3728,parametros!$A$11:$E$15,5,0),""))</f>
        <v/>
      </c>
      <c r="F3728" s="79" t="str">
        <f t="shared" si="292"/>
        <v/>
      </c>
      <c r="G3728" s="395"/>
      <c r="H3728" s="91">
        <f t="shared" si="293"/>
        <v>0</v>
      </c>
      <c r="I3728" s="91" t="str">
        <f t="shared" si="294"/>
        <v/>
      </c>
      <c r="J3728" s="91" t="str">
        <f t="shared" si="295"/>
        <v/>
      </c>
      <c r="K3728" s="92" t="str">
        <f>IF(AND(A3728="",B3728="",D3728="",G3728=""),"",IF(AND(A3728&lt;&gt;"",COUNTIF($A$2:$A$5001,A3728)&gt;1),"NUMERO_PC duplicado",IF(B3728="","DATA_PC vazia",IF(NOT(ISNUMBER(B3728)),"DATA_PC invalida",IF(OR(C3728="",C3728="Fora dos ciclos"),"CICLO_PC nao identificado",IF(OR(D3728="",D3728=0),"VALOR_PC vazio ou zero",IF(AND(G3728&lt;&gt;"Sim",G3728&lt;&gt;"Nao",G3728&lt;&gt;""),"PC_PAGO_A_CONTRATADA invalido",IF(AND(C3728&lt;&gt;"C0",IFERROR(INDEX(parametros!$A$2:$A$6,MATCH(C3728,parametros!$B$2:$B$6,0)),"")="Sim",IFERROR(INDEX(parametros!$H$2:$H$6,MATCH(C3728,parametros!$B$2:$B$6,0)),"")=""),"INICIO_EFEITO ausente: PC "&amp;A3728&amp;" - "&amp;C3728,IF(L3728="","EFEITO_PC nao calculado: PC "&amp;A3728&amp;" - "&amp;C3728,"OK")))))))))</f>
        <v/>
      </c>
      <c r="L3728" s="92" t="str">
        <f>IF(AND(A3728="",B3728="",D3728="",G3728=""),"",IF(OR(B3728="",NOT(ISNUMBER(B3728)),C3728="",C3728="Fora dos ciclos"),"",IF(C3728="C0","Nao",IF(IFERROR(INDEX(parametros!$A$2:$A$6,MATCH(C3728,parametros!$B$2:$B$6,0)),"")&lt;&gt;"Sim","Nao",IF(IFERROR(INDEX(parametros!$H$2:$H$6,MATCH(C3728,parametros!$B$2:$B$6,0)),"")="","",IF(B3728&gt;=IFERROR(INDEX(parametros!$H$2:$H$6,MATCH(C3728,parametros!$B$2:$B$6,0)),""),"Sim","Nao"))))))</f>
        <v/>
      </c>
      <c r="T3728" s="156"/>
      <c r="U3728" s="214" t="str">
        <f t="shared" si="296"/>
        <v/>
      </c>
      <c r="V3728" s="212" t="s">
        <v>50</v>
      </c>
      <c r="W3728" s="100" t="s">
        <v>168</v>
      </c>
      <c r="X3728" s="100" t="s">
        <v>169</v>
      </c>
      <c r="Y3728" s="101" t="s">
        <v>170</v>
      </c>
      <c r="Z3728" s="101" t="s">
        <v>171</v>
      </c>
      <c r="AA3728" s="101" t="s">
        <v>50</v>
      </c>
      <c r="AB3728" s="101" t="s">
        <v>172</v>
      </c>
      <c r="AC3728" s="102" t="s">
        <v>173</v>
      </c>
    </row>
    <row r="3729" spans="1:29" ht="25.5" customHeight="1" x14ac:dyDescent="0.35">
      <c r="A3729" s="392"/>
      <c r="B3729" s="393"/>
      <c r="C3729" s="99" t="str">
        <f>IF(B3729="","",IF(NOT(ISNUMBER(B3729)),"DATA_PC invalida",IF(NOT(ISNUMBER(parametros!$C$2)),"Fora dos ciclos",IF(OR(B3729&lt;parametros!$C$2,(YEAR(B3729)-YEAR(parametros!$C$2))*12+MONTH(B3729)-MONTH(parametros!$C$2)&gt;59),"Fora dos ciclos","C"&amp;INT(((YEAR(B3729)-YEAR(parametros!$C$2))*12+MONTH(B3729)-MONTH(parametros!$C$2))/12)))))</f>
        <v/>
      </c>
      <c r="D3729" s="394"/>
      <c r="E3729" s="78" t="str">
        <f>IF(C3729="","",IFERROR(VLOOKUP(C3729,parametros!$A$11:$E$15,5,0),""))</f>
        <v/>
      </c>
      <c r="F3729" s="79" t="str">
        <f t="shared" si="292"/>
        <v/>
      </c>
      <c r="G3729" s="395"/>
      <c r="H3729" s="91">
        <f t="shared" si="293"/>
        <v>0</v>
      </c>
      <c r="I3729" s="91" t="str">
        <f t="shared" si="294"/>
        <v/>
      </c>
      <c r="J3729" s="91" t="str">
        <f t="shared" si="295"/>
        <v/>
      </c>
      <c r="K3729" s="92" t="str">
        <f>IF(AND(A3729="",B3729="",D3729="",G3729=""),"",IF(AND(A3729&lt;&gt;"",COUNTIF($A$2:$A$5001,A3729)&gt;1),"NUMERO_PC duplicado",IF(B3729="","DATA_PC vazia",IF(NOT(ISNUMBER(B3729)),"DATA_PC invalida",IF(OR(C3729="",C3729="Fora dos ciclos"),"CICLO_PC nao identificado",IF(OR(D3729="",D3729=0),"VALOR_PC vazio ou zero",IF(AND(G3729&lt;&gt;"Sim",G3729&lt;&gt;"Nao",G3729&lt;&gt;""),"PC_PAGO_A_CONTRATADA invalido",IF(AND(C3729&lt;&gt;"C0",IFERROR(INDEX(parametros!$A$2:$A$6,MATCH(C3729,parametros!$B$2:$B$6,0)),"")="Sim",IFERROR(INDEX(parametros!$H$2:$H$6,MATCH(C3729,parametros!$B$2:$B$6,0)),"")=""),"INICIO_EFEITO ausente: PC "&amp;A3729&amp;" - "&amp;C3729,IF(L3729="","EFEITO_PC nao calculado: PC "&amp;A3729&amp;" - "&amp;C3729,"OK")))))))))</f>
        <v/>
      </c>
      <c r="L3729" s="92" t="str">
        <f>IF(AND(A3729="",B3729="",D3729="",G3729=""),"",IF(OR(B3729="",NOT(ISNUMBER(B3729)),C3729="",C3729="Fora dos ciclos"),"",IF(C3729="C0","Nao",IF(IFERROR(INDEX(parametros!$A$2:$A$6,MATCH(C3729,parametros!$B$2:$B$6,0)),"")&lt;&gt;"Sim","Nao",IF(IFERROR(INDEX(parametros!$H$2:$H$6,MATCH(C3729,parametros!$B$2:$B$6,0)),"")="","",IF(B3729&gt;=IFERROR(INDEX(parametros!$H$2:$H$6,MATCH(C3729,parametros!$B$2:$B$6,0)),""),"Sim","Nao"))))))</f>
        <v/>
      </c>
      <c r="T3729" s="156"/>
      <c r="U3729" s="214" t="str">
        <f t="shared" si="296"/>
        <v/>
      </c>
      <c r="V3729" s="212" t="s">
        <v>50</v>
      </c>
      <c r="W3729" s="100" t="s">
        <v>168</v>
      </c>
      <c r="X3729" s="100" t="s">
        <v>169</v>
      </c>
      <c r="Y3729" s="101" t="s">
        <v>170</v>
      </c>
      <c r="Z3729" s="101" t="s">
        <v>171</v>
      </c>
      <c r="AA3729" s="101" t="s">
        <v>50</v>
      </c>
      <c r="AB3729" s="101" t="s">
        <v>172</v>
      </c>
      <c r="AC3729" s="102" t="s">
        <v>173</v>
      </c>
    </row>
    <row r="3730" spans="1:29" ht="25.5" customHeight="1" x14ac:dyDescent="0.35">
      <c r="A3730" s="392"/>
      <c r="B3730" s="393"/>
      <c r="C3730" s="99" t="str">
        <f>IF(B3730="","",IF(NOT(ISNUMBER(B3730)),"DATA_PC invalida",IF(NOT(ISNUMBER(parametros!$C$2)),"Fora dos ciclos",IF(OR(B3730&lt;parametros!$C$2,(YEAR(B3730)-YEAR(parametros!$C$2))*12+MONTH(B3730)-MONTH(parametros!$C$2)&gt;59),"Fora dos ciclos","C"&amp;INT(((YEAR(B3730)-YEAR(parametros!$C$2))*12+MONTH(B3730)-MONTH(parametros!$C$2))/12)))))</f>
        <v/>
      </c>
      <c r="D3730" s="394"/>
      <c r="E3730" s="78" t="str">
        <f>IF(C3730="","",IFERROR(VLOOKUP(C3730,parametros!$A$11:$E$15,5,0),""))</f>
        <v/>
      </c>
      <c r="F3730" s="79" t="str">
        <f t="shared" si="292"/>
        <v/>
      </c>
      <c r="G3730" s="395"/>
      <c r="H3730" s="91">
        <f t="shared" si="293"/>
        <v>0</v>
      </c>
      <c r="I3730" s="91" t="str">
        <f t="shared" si="294"/>
        <v/>
      </c>
      <c r="J3730" s="91" t="str">
        <f t="shared" si="295"/>
        <v/>
      </c>
      <c r="K3730" s="92" t="str">
        <f>IF(AND(A3730="",B3730="",D3730="",G3730=""),"",IF(AND(A3730&lt;&gt;"",COUNTIF($A$2:$A$5001,A3730)&gt;1),"NUMERO_PC duplicado",IF(B3730="","DATA_PC vazia",IF(NOT(ISNUMBER(B3730)),"DATA_PC invalida",IF(OR(C3730="",C3730="Fora dos ciclos"),"CICLO_PC nao identificado",IF(OR(D3730="",D3730=0),"VALOR_PC vazio ou zero",IF(AND(G3730&lt;&gt;"Sim",G3730&lt;&gt;"Nao",G3730&lt;&gt;""),"PC_PAGO_A_CONTRATADA invalido",IF(AND(C3730&lt;&gt;"C0",IFERROR(INDEX(parametros!$A$2:$A$6,MATCH(C3730,parametros!$B$2:$B$6,0)),"")="Sim",IFERROR(INDEX(parametros!$H$2:$H$6,MATCH(C3730,parametros!$B$2:$B$6,0)),"")=""),"INICIO_EFEITO ausente: PC "&amp;A3730&amp;" - "&amp;C3730,IF(L3730="","EFEITO_PC nao calculado: PC "&amp;A3730&amp;" - "&amp;C3730,"OK")))))))))</f>
        <v/>
      </c>
      <c r="L3730" s="92" t="str">
        <f>IF(AND(A3730="",B3730="",D3730="",G3730=""),"",IF(OR(B3730="",NOT(ISNUMBER(B3730)),C3730="",C3730="Fora dos ciclos"),"",IF(C3730="C0","Nao",IF(IFERROR(INDEX(parametros!$A$2:$A$6,MATCH(C3730,parametros!$B$2:$B$6,0)),"")&lt;&gt;"Sim","Nao",IF(IFERROR(INDEX(parametros!$H$2:$H$6,MATCH(C3730,parametros!$B$2:$B$6,0)),"")="","",IF(B3730&gt;=IFERROR(INDEX(parametros!$H$2:$H$6,MATCH(C3730,parametros!$B$2:$B$6,0)),""),"Sim","Nao"))))))</f>
        <v/>
      </c>
      <c r="T3730" s="156"/>
      <c r="U3730" s="214" t="str">
        <f t="shared" si="296"/>
        <v/>
      </c>
      <c r="V3730" s="212" t="s">
        <v>50</v>
      </c>
      <c r="W3730" s="100" t="s">
        <v>168</v>
      </c>
      <c r="X3730" s="100" t="s">
        <v>169</v>
      </c>
      <c r="Y3730" s="101" t="s">
        <v>170</v>
      </c>
      <c r="Z3730" s="101" t="s">
        <v>171</v>
      </c>
      <c r="AA3730" s="101" t="s">
        <v>50</v>
      </c>
      <c r="AB3730" s="101" t="s">
        <v>172</v>
      </c>
      <c r="AC3730" s="102" t="s">
        <v>173</v>
      </c>
    </row>
    <row r="3731" spans="1:29" ht="25.5" customHeight="1" x14ac:dyDescent="0.35">
      <c r="A3731" s="392"/>
      <c r="B3731" s="393"/>
      <c r="C3731" s="99" t="str">
        <f>IF(B3731="","",IF(NOT(ISNUMBER(B3731)),"DATA_PC invalida",IF(NOT(ISNUMBER(parametros!$C$2)),"Fora dos ciclos",IF(OR(B3731&lt;parametros!$C$2,(YEAR(B3731)-YEAR(parametros!$C$2))*12+MONTH(B3731)-MONTH(parametros!$C$2)&gt;59),"Fora dos ciclos","C"&amp;INT(((YEAR(B3731)-YEAR(parametros!$C$2))*12+MONTH(B3731)-MONTH(parametros!$C$2))/12)))))</f>
        <v/>
      </c>
      <c r="D3731" s="394"/>
      <c r="E3731" s="78" t="str">
        <f>IF(C3731="","",IFERROR(VLOOKUP(C3731,parametros!$A$11:$E$15,5,0),""))</f>
        <v/>
      </c>
      <c r="F3731" s="79" t="str">
        <f t="shared" si="292"/>
        <v/>
      </c>
      <c r="G3731" s="395"/>
      <c r="H3731" s="91">
        <f t="shared" si="293"/>
        <v>0</v>
      </c>
      <c r="I3731" s="91" t="str">
        <f t="shared" si="294"/>
        <v/>
      </c>
      <c r="J3731" s="91" t="str">
        <f t="shared" si="295"/>
        <v/>
      </c>
      <c r="K3731" s="92" t="str">
        <f>IF(AND(A3731="",B3731="",D3731="",G3731=""),"",IF(AND(A3731&lt;&gt;"",COUNTIF($A$2:$A$5001,A3731)&gt;1),"NUMERO_PC duplicado",IF(B3731="","DATA_PC vazia",IF(NOT(ISNUMBER(B3731)),"DATA_PC invalida",IF(OR(C3731="",C3731="Fora dos ciclos"),"CICLO_PC nao identificado",IF(OR(D3731="",D3731=0),"VALOR_PC vazio ou zero",IF(AND(G3731&lt;&gt;"Sim",G3731&lt;&gt;"Nao",G3731&lt;&gt;""),"PC_PAGO_A_CONTRATADA invalido",IF(AND(C3731&lt;&gt;"C0",IFERROR(INDEX(parametros!$A$2:$A$6,MATCH(C3731,parametros!$B$2:$B$6,0)),"")="Sim",IFERROR(INDEX(parametros!$H$2:$H$6,MATCH(C3731,parametros!$B$2:$B$6,0)),"")=""),"INICIO_EFEITO ausente: PC "&amp;A3731&amp;" - "&amp;C3731,IF(L3731="","EFEITO_PC nao calculado: PC "&amp;A3731&amp;" - "&amp;C3731,"OK")))))))))</f>
        <v/>
      </c>
      <c r="L3731" s="92" t="str">
        <f>IF(AND(A3731="",B3731="",D3731="",G3731=""),"",IF(OR(B3731="",NOT(ISNUMBER(B3731)),C3731="",C3731="Fora dos ciclos"),"",IF(C3731="C0","Nao",IF(IFERROR(INDEX(parametros!$A$2:$A$6,MATCH(C3731,parametros!$B$2:$B$6,0)),"")&lt;&gt;"Sim","Nao",IF(IFERROR(INDEX(parametros!$H$2:$H$6,MATCH(C3731,parametros!$B$2:$B$6,0)),"")="","",IF(B3731&gt;=IFERROR(INDEX(parametros!$H$2:$H$6,MATCH(C3731,parametros!$B$2:$B$6,0)),""),"Sim","Nao"))))))</f>
        <v/>
      </c>
      <c r="T3731" s="156"/>
      <c r="U3731" s="214" t="str">
        <f t="shared" si="296"/>
        <v/>
      </c>
      <c r="V3731" s="212" t="s">
        <v>50</v>
      </c>
      <c r="W3731" s="100" t="s">
        <v>168</v>
      </c>
      <c r="X3731" s="100" t="s">
        <v>169</v>
      </c>
      <c r="Y3731" s="101" t="s">
        <v>170</v>
      </c>
      <c r="Z3731" s="101" t="s">
        <v>171</v>
      </c>
      <c r="AA3731" s="101" t="s">
        <v>50</v>
      </c>
      <c r="AB3731" s="101" t="s">
        <v>172</v>
      </c>
      <c r="AC3731" s="102" t="s">
        <v>173</v>
      </c>
    </row>
    <row r="3732" spans="1:29" ht="25.5" customHeight="1" x14ac:dyDescent="0.35">
      <c r="A3732" s="392"/>
      <c r="B3732" s="393"/>
      <c r="C3732" s="99" t="str">
        <f>IF(B3732="","",IF(NOT(ISNUMBER(B3732)),"DATA_PC invalida",IF(NOT(ISNUMBER(parametros!$C$2)),"Fora dos ciclos",IF(OR(B3732&lt;parametros!$C$2,(YEAR(B3732)-YEAR(parametros!$C$2))*12+MONTH(B3732)-MONTH(parametros!$C$2)&gt;59),"Fora dos ciclos","C"&amp;INT(((YEAR(B3732)-YEAR(parametros!$C$2))*12+MONTH(B3732)-MONTH(parametros!$C$2))/12)))))</f>
        <v/>
      </c>
      <c r="D3732" s="394"/>
      <c r="E3732" s="78" t="str">
        <f>IF(C3732="","",IFERROR(VLOOKUP(C3732,parametros!$A$11:$E$15,5,0),""))</f>
        <v/>
      </c>
      <c r="F3732" s="79" t="str">
        <f t="shared" si="292"/>
        <v/>
      </c>
      <c r="G3732" s="395"/>
      <c r="H3732" s="91">
        <f t="shared" si="293"/>
        <v>0</v>
      </c>
      <c r="I3732" s="91" t="str">
        <f t="shared" si="294"/>
        <v/>
      </c>
      <c r="J3732" s="91" t="str">
        <f t="shared" si="295"/>
        <v/>
      </c>
      <c r="K3732" s="92" t="str">
        <f>IF(AND(A3732="",B3732="",D3732="",G3732=""),"",IF(AND(A3732&lt;&gt;"",COUNTIF($A$2:$A$5001,A3732)&gt;1),"NUMERO_PC duplicado",IF(B3732="","DATA_PC vazia",IF(NOT(ISNUMBER(B3732)),"DATA_PC invalida",IF(OR(C3732="",C3732="Fora dos ciclos"),"CICLO_PC nao identificado",IF(OR(D3732="",D3732=0),"VALOR_PC vazio ou zero",IF(AND(G3732&lt;&gt;"Sim",G3732&lt;&gt;"Nao",G3732&lt;&gt;""),"PC_PAGO_A_CONTRATADA invalido",IF(AND(C3732&lt;&gt;"C0",IFERROR(INDEX(parametros!$A$2:$A$6,MATCH(C3732,parametros!$B$2:$B$6,0)),"")="Sim",IFERROR(INDEX(parametros!$H$2:$H$6,MATCH(C3732,parametros!$B$2:$B$6,0)),"")=""),"INICIO_EFEITO ausente: PC "&amp;A3732&amp;" - "&amp;C3732,IF(L3732="","EFEITO_PC nao calculado: PC "&amp;A3732&amp;" - "&amp;C3732,"OK")))))))))</f>
        <v/>
      </c>
      <c r="L3732" s="92" t="str">
        <f>IF(AND(A3732="",B3732="",D3732="",G3732=""),"",IF(OR(B3732="",NOT(ISNUMBER(B3732)),C3732="",C3732="Fora dos ciclos"),"",IF(C3732="C0","Nao",IF(IFERROR(INDEX(parametros!$A$2:$A$6,MATCH(C3732,parametros!$B$2:$B$6,0)),"")&lt;&gt;"Sim","Nao",IF(IFERROR(INDEX(parametros!$H$2:$H$6,MATCH(C3732,parametros!$B$2:$B$6,0)),"")="","",IF(B3732&gt;=IFERROR(INDEX(parametros!$H$2:$H$6,MATCH(C3732,parametros!$B$2:$B$6,0)),""),"Sim","Nao"))))))</f>
        <v/>
      </c>
      <c r="T3732" s="156"/>
      <c r="U3732" s="214" t="str">
        <f t="shared" si="296"/>
        <v/>
      </c>
      <c r="V3732" s="212" t="s">
        <v>50</v>
      </c>
      <c r="W3732" s="100" t="s">
        <v>168</v>
      </c>
      <c r="X3732" s="100" t="s">
        <v>169</v>
      </c>
      <c r="Y3732" s="101" t="s">
        <v>170</v>
      </c>
      <c r="Z3732" s="101" t="s">
        <v>171</v>
      </c>
      <c r="AA3732" s="101" t="s">
        <v>50</v>
      </c>
      <c r="AB3732" s="101" t="s">
        <v>172</v>
      </c>
      <c r="AC3732" s="102" t="s">
        <v>173</v>
      </c>
    </row>
    <row r="3733" spans="1:29" ht="25.5" customHeight="1" x14ac:dyDescent="0.35">
      <c r="A3733" s="392"/>
      <c r="B3733" s="393"/>
      <c r="C3733" s="99" t="str">
        <f>IF(B3733="","",IF(NOT(ISNUMBER(B3733)),"DATA_PC invalida",IF(NOT(ISNUMBER(parametros!$C$2)),"Fora dos ciclos",IF(OR(B3733&lt;parametros!$C$2,(YEAR(B3733)-YEAR(parametros!$C$2))*12+MONTH(B3733)-MONTH(parametros!$C$2)&gt;59),"Fora dos ciclos","C"&amp;INT(((YEAR(B3733)-YEAR(parametros!$C$2))*12+MONTH(B3733)-MONTH(parametros!$C$2))/12)))))</f>
        <v/>
      </c>
      <c r="D3733" s="394"/>
      <c r="E3733" s="78" t="str">
        <f>IF(C3733="","",IFERROR(VLOOKUP(C3733,parametros!$A$11:$E$15,5,0),""))</f>
        <v/>
      </c>
      <c r="F3733" s="79" t="str">
        <f t="shared" si="292"/>
        <v/>
      </c>
      <c r="G3733" s="395"/>
      <c r="H3733" s="91">
        <f t="shared" si="293"/>
        <v>0</v>
      </c>
      <c r="I3733" s="91" t="str">
        <f t="shared" si="294"/>
        <v/>
      </c>
      <c r="J3733" s="91" t="str">
        <f t="shared" si="295"/>
        <v/>
      </c>
      <c r="K3733" s="92" t="str">
        <f>IF(AND(A3733="",B3733="",D3733="",G3733=""),"",IF(AND(A3733&lt;&gt;"",COUNTIF($A$2:$A$5001,A3733)&gt;1),"NUMERO_PC duplicado",IF(B3733="","DATA_PC vazia",IF(NOT(ISNUMBER(B3733)),"DATA_PC invalida",IF(OR(C3733="",C3733="Fora dos ciclos"),"CICLO_PC nao identificado",IF(OR(D3733="",D3733=0),"VALOR_PC vazio ou zero",IF(AND(G3733&lt;&gt;"Sim",G3733&lt;&gt;"Nao",G3733&lt;&gt;""),"PC_PAGO_A_CONTRATADA invalido",IF(AND(C3733&lt;&gt;"C0",IFERROR(INDEX(parametros!$A$2:$A$6,MATCH(C3733,parametros!$B$2:$B$6,0)),"")="Sim",IFERROR(INDEX(parametros!$H$2:$H$6,MATCH(C3733,parametros!$B$2:$B$6,0)),"")=""),"INICIO_EFEITO ausente: PC "&amp;A3733&amp;" - "&amp;C3733,IF(L3733="","EFEITO_PC nao calculado: PC "&amp;A3733&amp;" - "&amp;C3733,"OK")))))))))</f>
        <v/>
      </c>
      <c r="L3733" s="92" t="str">
        <f>IF(AND(A3733="",B3733="",D3733="",G3733=""),"",IF(OR(B3733="",NOT(ISNUMBER(B3733)),C3733="",C3733="Fora dos ciclos"),"",IF(C3733="C0","Nao",IF(IFERROR(INDEX(parametros!$A$2:$A$6,MATCH(C3733,parametros!$B$2:$B$6,0)),"")&lt;&gt;"Sim","Nao",IF(IFERROR(INDEX(parametros!$H$2:$H$6,MATCH(C3733,parametros!$B$2:$B$6,0)),"")="","",IF(B3733&gt;=IFERROR(INDEX(parametros!$H$2:$H$6,MATCH(C3733,parametros!$B$2:$B$6,0)),""),"Sim","Nao"))))))</f>
        <v/>
      </c>
      <c r="T3733" s="156"/>
      <c r="U3733" s="214" t="str">
        <f t="shared" si="296"/>
        <v/>
      </c>
      <c r="V3733" s="212" t="s">
        <v>50</v>
      </c>
      <c r="W3733" s="100" t="s">
        <v>168</v>
      </c>
      <c r="X3733" s="100" t="s">
        <v>169</v>
      </c>
      <c r="Y3733" s="101" t="s">
        <v>170</v>
      </c>
      <c r="Z3733" s="101" t="s">
        <v>171</v>
      </c>
      <c r="AA3733" s="101" t="s">
        <v>50</v>
      </c>
      <c r="AB3733" s="101" t="s">
        <v>172</v>
      </c>
      <c r="AC3733" s="102" t="s">
        <v>173</v>
      </c>
    </row>
    <row r="3734" spans="1:29" ht="25.5" customHeight="1" x14ac:dyDescent="0.35">
      <c r="A3734" s="392"/>
      <c r="B3734" s="393"/>
      <c r="C3734" s="99" t="str">
        <f>IF(B3734="","",IF(NOT(ISNUMBER(B3734)),"DATA_PC invalida",IF(NOT(ISNUMBER(parametros!$C$2)),"Fora dos ciclos",IF(OR(B3734&lt;parametros!$C$2,(YEAR(B3734)-YEAR(parametros!$C$2))*12+MONTH(B3734)-MONTH(parametros!$C$2)&gt;59),"Fora dos ciclos","C"&amp;INT(((YEAR(B3734)-YEAR(parametros!$C$2))*12+MONTH(B3734)-MONTH(parametros!$C$2))/12)))))</f>
        <v/>
      </c>
      <c r="D3734" s="394"/>
      <c r="E3734" s="78" t="str">
        <f>IF(C3734="","",IFERROR(VLOOKUP(C3734,parametros!$A$11:$E$15,5,0),""))</f>
        <v/>
      </c>
      <c r="F3734" s="79" t="str">
        <f t="shared" si="292"/>
        <v/>
      </c>
      <c r="G3734" s="395"/>
      <c r="H3734" s="91">
        <f t="shared" si="293"/>
        <v>0</v>
      </c>
      <c r="I3734" s="91" t="str">
        <f t="shared" si="294"/>
        <v/>
      </c>
      <c r="J3734" s="91" t="str">
        <f t="shared" si="295"/>
        <v/>
      </c>
      <c r="K3734" s="92" t="str">
        <f>IF(AND(A3734="",B3734="",D3734="",G3734=""),"",IF(AND(A3734&lt;&gt;"",COUNTIF($A$2:$A$5001,A3734)&gt;1),"NUMERO_PC duplicado",IF(B3734="","DATA_PC vazia",IF(NOT(ISNUMBER(B3734)),"DATA_PC invalida",IF(OR(C3734="",C3734="Fora dos ciclos"),"CICLO_PC nao identificado",IF(OR(D3734="",D3734=0),"VALOR_PC vazio ou zero",IF(AND(G3734&lt;&gt;"Sim",G3734&lt;&gt;"Nao",G3734&lt;&gt;""),"PC_PAGO_A_CONTRATADA invalido",IF(AND(C3734&lt;&gt;"C0",IFERROR(INDEX(parametros!$A$2:$A$6,MATCH(C3734,parametros!$B$2:$B$6,0)),"")="Sim",IFERROR(INDEX(parametros!$H$2:$H$6,MATCH(C3734,parametros!$B$2:$B$6,0)),"")=""),"INICIO_EFEITO ausente: PC "&amp;A3734&amp;" - "&amp;C3734,IF(L3734="","EFEITO_PC nao calculado: PC "&amp;A3734&amp;" - "&amp;C3734,"OK")))))))))</f>
        <v/>
      </c>
      <c r="L3734" s="92" t="str">
        <f>IF(AND(A3734="",B3734="",D3734="",G3734=""),"",IF(OR(B3734="",NOT(ISNUMBER(B3734)),C3734="",C3734="Fora dos ciclos"),"",IF(C3734="C0","Nao",IF(IFERROR(INDEX(parametros!$A$2:$A$6,MATCH(C3734,parametros!$B$2:$B$6,0)),"")&lt;&gt;"Sim","Nao",IF(IFERROR(INDEX(parametros!$H$2:$H$6,MATCH(C3734,parametros!$B$2:$B$6,0)),"")="","",IF(B3734&gt;=IFERROR(INDEX(parametros!$H$2:$H$6,MATCH(C3734,parametros!$B$2:$B$6,0)),""),"Sim","Nao"))))))</f>
        <v/>
      </c>
      <c r="T3734" s="156"/>
      <c r="U3734" s="214" t="str">
        <f t="shared" si="296"/>
        <v/>
      </c>
      <c r="V3734" s="212" t="s">
        <v>50</v>
      </c>
      <c r="W3734" s="100" t="s">
        <v>168</v>
      </c>
      <c r="X3734" s="100" t="s">
        <v>169</v>
      </c>
      <c r="Y3734" s="101" t="s">
        <v>170</v>
      </c>
      <c r="Z3734" s="101" t="s">
        <v>171</v>
      </c>
      <c r="AA3734" s="101" t="s">
        <v>50</v>
      </c>
      <c r="AB3734" s="101" t="s">
        <v>172</v>
      </c>
      <c r="AC3734" s="102" t="s">
        <v>173</v>
      </c>
    </row>
    <row r="3735" spans="1:29" ht="25.5" customHeight="1" x14ac:dyDescent="0.35">
      <c r="A3735" s="392"/>
      <c r="B3735" s="393"/>
      <c r="C3735" s="99" t="str">
        <f>IF(B3735="","",IF(NOT(ISNUMBER(B3735)),"DATA_PC invalida",IF(NOT(ISNUMBER(parametros!$C$2)),"Fora dos ciclos",IF(OR(B3735&lt;parametros!$C$2,(YEAR(B3735)-YEAR(parametros!$C$2))*12+MONTH(B3735)-MONTH(parametros!$C$2)&gt;59),"Fora dos ciclos","C"&amp;INT(((YEAR(B3735)-YEAR(parametros!$C$2))*12+MONTH(B3735)-MONTH(parametros!$C$2))/12)))))</f>
        <v/>
      </c>
      <c r="D3735" s="394"/>
      <c r="E3735" s="78" t="str">
        <f>IF(C3735="","",IFERROR(VLOOKUP(C3735,parametros!$A$11:$E$15,5,0),""))</f>
        <v/>
      </c>
      <c r="F3735" s="79" t="str">
        <f t="shared" si="292"/>
        <v/>
      </c>
      <c r="G3735" s="395"/>
      <c r="H3735" s="91">
        <f t="shared" si="293"/>
        <v>0</v>
      </c>
      <c r="I3735" s="91" t="str">
        <f t="shared" si="294"/>
        <v/>
      </c>
      <c r="J3735" s="91" t="str">
        <f t="shared" si="295"/>
        <v/>
      </c>
      <c r="K3735" s="92" t="str">
        <f>IF(AND(A3735="",B3735="",D3735="",G3735=""),"",IF(AND(A3735&lt;&gt;"",COUNTIF($A$2:$A$5001,A3735)&gt;1),"NUMERO_PC duplicado",IF(B3735="","DATA_PC vazia",IF(NOT(ISNUMBER(B3735)),"DATA_PC invalida",IF(OR(C3735="",C3735="Fora dos ciclos"),"CICLO_PC nao identificado",IF(OR(D3735="",D3735=0),"VALOR_PC vazio ou zero",IF(AND(G3735&lt;&gt;"Sim",G3735&lt;&gt;"Nao",G3735&lt;&gt;""),"PC_PAGO_A_CONTRATADA invalido",IF(AND(C3735&lt;&gt;"C0",IFERROR(INDEX(parametros!$A$2:$A$6,MATCH(C3735,parametros!$B$2:$B$6,0)),"")="Sim",IFERROR(INDEX(parametros!$H$2:$H$6,MATCH(C3735,parametros!$B$2:$B$6,0)),"")=""),"INICIO_EFEITO ausente: PC "&amp;A3735&amp;" - "&amp;C3735,IF(L3735="","EFEITO_PC nao calculado: PC "&amp;A3735&amp;" - "&amp;C3735,"OK")))))))))</f>
        <v/>
      </c>
      <c r="L3735" s="92" t="str">
        <f>IF(AND(A3735="",B3735="",D3735="",G3735=""),"",IF(OR(B3735="",NOT(ISNUMBER(B3735)),C3735="",C3735="Fora dos ciclos"),"",IF(C3735="C0","Nao",IF(IFERROR(INDEX(parametros!$A$2:$A$6,MATCH(C3735,parametros!$B$2:$B$6,0)),"")&lt;&gt;"Sim","Nao",IF(IFERROR(INDEX(parametros!$H$2:$H$6,MATCH(C3735,parametros!$B$2:$B$6,0)),"")="","",IF(B3735&gt;=IFERROR(INDEX(parametros!$H$2:$H$6,MATCH(C3735,parametros!$B$2:$B$6,0)),""),"Sim","Nao"))))))</f>
        <v/>
      </c>
      <c r="T3735" s="156"/>
      <c r="U3735" s="214" t="str">
        <f t="shared" si="296"/>
        <v/>
      </c>
      <c r="V3735" s="212" t="s">
        <v>50</v>
      </c>
      <c r="W3735" s="100" t="s">
        <v>168</v>
      </c>
      <c r="X3735" s="100" t="s">
        <v>169</v>
      </c>
      <c r="Y3735" s="101" t="s">
        <v>170</v>
      </c>
      <c r="Z3735" s="101" t="s">
        <v>171</v>
      </c>
      <c r="AA3735" s="101" t="s">
        <v>50</v>
      </c>
      <c r="AB3735" s="101" t="s">
        <v>172</v>
      </c>
      <c r="AC3735" s="102" t="s">
        <v>173</v>
      </c>
    </row>
    <row r="3736" spans="1:29" ht="25.5" customHeight="1" x14ac:dyDescent="0.35">
      <c r="A3736" s="392"/>
      <c r="B3736" s="393"/>
      <c r="C3736" s="99" t="str">
        <f>IF(B3736="","",IF(NOT(ISNUMBER(B3736)),"DATA_PC invalida",IF(NOT(ISNUMBER(parametros!$C$2)),"Fora dos ciclos",IF(OR(B3736&lt;parametros!$C$2,(YEAR(B3736)-YEAR(parametros!$C$2))*12+MONTH(B3736)-MONTH(parametros!$C$2)&gt;59),"Fora dos ciclos","C"&amp;INT(((YEAR(B3736)-YEAR(parametros!$C$2))*12+MONTH(B3736)-MONTH(parametros!$C$2))/12)))))</f>
        <v/>
      </c>
      <c r="D3736" s="394"/>
      <c r="E3736" s="78" t="str">
        <f>IF(C3736="","",IFERROR(VLOOKUP(C3736,parametros!$A$11:$E$15,5,0),""))</f>
        <v/>
      </c>
      <c r="F3736" s="79" t="str">
        <f t="shared" si="292"/>
        <v/>
      </c>
      <c r="G3736" s="395"/>
      <c r="H3736" s="91">
        <f t="shared" si="293"/>
        <v>0</v>
      </c>
      <c r="I3736" s="91" t="str">
        <f t="shared" si="294"/>
        <v/>
      </c>
      <c r="J3736" s="91" t="str">
        <f t="shared" si="295"/>
        <v/>
      </c>
      <c r="K3736" s="92" t="str">
        <f>IF(AND(A3736="",B3736="",D3736="",G3736=""),"",IF(AND(A3736&lt;&gt;"",COUNTIF($A$2:$A$5001,A3736)&gt;1),"NUMERO_PC duplicado",IF(B3736="","DATA_PC vazia",IF(NOT(ISNUMBER(B3736)),"DATA_PC invalida",IF(OR(C3736="",C3736="Fora dos ciclos"),"CICLO_PC nao identificado",IF(OR(D3736="",D3736=0),"VALOR_PC vazio ou zero",IF(AND(G3736&lt;&gt;"Sim",G3736&lt;&gt;"Nao",G3736&lt;&gt;""),"PC_PAGO_A_CONTRATADA invalido",IF(AND(C3736&lt;&gt;"C0",IFERROR(INDEX(parametros!$A$2:$A$6,MATCH(C3736,parametros!$B$2:$B$6,0)),"")="Sim",IFERROR(INDEX(parametros!$H$2:$H$6,MATCH(C3736,parametros!$B$2:$B$6,0)),"")=""),"INICIO_EFEITO ausente: PC "&amp;A3736&amp;" - "&amp;C3736,IF(L3736="","EFEITO_PC nao calculado: PC "&amp;A3736&amp;" - "&amp;C3736,"OK")))))))))</f>
        <v/>
      </c>
      <c r="L3736" s="92" t="str">
        <f>IF(AND(A3736="",B3736="",D3736="",G3736=""),"",IF(OR(B3736="",NOT(ISNUMBER(B3736)),C3736="",C3736="Fora dos ciclos"),"",IF(C3736="C0","Nao",IF(IFERROR(INDEX(parametros!$A$2:$A$6,MATCH(C3736,parametros!$B$2:$B$6,0)),"")&lt;&gt;"Sim","Nao",IF(IFERROR(INDEX(parametros!$H$2:$H$6,MATCH(C3736,parametros!$B$2:$B$6,0)),"")="","",IF(B3736&gt;=IFERROR(INDEX(parametros!$H$2:$H$6,MATCH(C3736,parametros!$B$2:$B$6,0)),""),"Sim","Nao"))))))</f>
        <v/>
      </c>
      <c r="T3736" s="156"/>
      <c r="U3736" s="214" t="str">
        <f t="shared" si="296"/>
        <v/>
      </c>
      <c r="V3736" s="212" t="s">
        <v>50</v>
      </c>
      <c r="W3736" s="100" t="s">
        <v>168</v>
      </c>
      <c r="X3736" s="100" t="s">
        <v>169</v>
      </c>
      <c r="Y3736" s="101" t="s">
        <v>170</v>
      </c>
      <c r="Z3736" s="101" t="s">
        <v>171</v>
      </c>
      <c r="AA3736" s="101" t="s">
        <v>50</v>
      </c>
      <c r="AB3736" s="101" t="s">
        <v>172</v>
      </c>
      <c r="AC3736" s="102" t="s">
        <v>173</v>
      </c>
    </row>
    <row r="3737" spans="1:29" ht="25.5" customHeight="1" x14ac:dyDescent="0.35">
      <c r="A3737" s="392"/>
      <c r="B3737" s="393"/>
      <c r="C3737" s="99" t="str">
        <f>IF(B3737="","",IF(NOT(ISNUMBER(B3737)),"DATA_PC invalida",IF(NOT(ISNUMBER(parametros!$C$2)),"Fora dos ciclos",IF(OR(B3737&lt;parametros!$C$2,(YEAR(B3737)-YEAR(parametros!$C$2))*12+MONTH(B3737)-MONTH(parametros!$C$2)&gt;59),"Fora dos ciclos","C"&amp;INT(((YEAR(B3737)-YEAR(parametros!$C$2))*12+MONTH(B3737)-MONTH(parametros!$C$2))/12)))))</f>
        <v/>
      </c>
      <c r="D3737" s="394"/>
      <c r="E3737" s="78" t="str">
        <f>IF(C3737="","",IFERROR(VLOOKUP(C3737,parametros!$A$11:$E$15,5,0),""))</f>
        <v/>
      </c>
      <c r="F3737" s="79" t="str">
        <f t="shared" si="292"/>
        <v/>
      </c>
      <c r="G3737" s="395"/>
      <c r="H3737" s="91">
        <f t="shared" si="293"/>
        <v>0</v>
      </c>
      <c r="I3737" s="91" t="str">
        <f t="shared" si="294"/>
        <v/>
      </c>
      <c r="J3737" s="91" t="str">
        <f t="shared" si="295"/>
        <v/>
      </c>
      <c r="K3737" s="92" t="str">
        <f>IF(AND(A3737="",B3737="",D3737="",G3737=""),"",IF(AND(A3737&lt;&gt;"",COUNTIF($A$2:$A$5001,A3737)&gt;1),"NUMERO_PC duplicado",IF(B3737="","DATA_PC vazia",IF(NOT(ISNUMBER(B3737)),"DATA_PC invalida",IF(OR(C3737="",C3737="Fora dos ciclos"),"CICLO_PC nao identificado",IF(OR(D3737="",D3737=0),"VALOR_PC vazio ou zero",IF(AND(G3737&lt;&gt;"Sim",G3737&lt;&gt;"Nao",G3737&lt;&gt;""),"PC_PAGO_A_CONTRATADA invalido",IF(AND(C3737&lt;&gt;"C0",IFERROR(INDEX(parametros!$A$2:$A$6,MATCH(C3737,parametros!$B$2:$B$6,0)),"")="Sim",IFERROR(INDEX(parametros!$H$2:$H$6,MATCH(C3737,parametros!$B$2:$B$6,0)),"")=""),"INICIO_EFEITO ausente: PC "&amp;A3737&amp;" - "&amp;C3737,IF(L3737="","EFEITO_PC nao calculado: PC "&amp;A3737&amp;" - "&amp;C3737,"OK")))))))))</f>
        <v/>
      </c>
      <c r="L3737" s="92" t="str">
        <f>IF(AND(A3737="",B3737="",D3737="",G3737=""),"",IF(OR(B3737="",NOT(ISNUMBER(B3737)),C3737="",C3737="Fora dos ciclos"),"",IF(C3737="C0","Nao",IF(IFERROR(INDEX(parametros!$A$2:$A$6,MATCH(C3737,parametros!$B$2:$B$6,0)),"")&lt;&gt;"Sim","Nao",IF(IFERROR(INDEX(parametros!$H$2:$H$6,MATCH(C3737,parametros!$B$2:$B$6,0)),"")="","",IF(B3737&gt;=IFERROR(INDEX(parametros!$H$2:$H$6,MATCH(C3737,parametros!$B$2:$B$6,0)),""),"Sim","Nao"))))))</f>
        <v/>
      </c>
      <c r="T3737" s="156"/>
      <c r="U3737" s="214" t="str">
        <f t="shared" si="296"/>
        <v/>
      </c>
      <c r="V3737" s="212" t="s">
        <v>50</v>
      </c>
      <c r="W3737" s="100" t="s">
        <v>168</v>
      </c>
      <c r="X3737" s="100" t="s">
        <v>169</v>
      </c>
      <c r="Y3737" s="101" t="s">
        <v>170</v>
      </c>
      <c r="Z3737" s="101" t="s">
        <v>171</v>
      </c>
      <c r="AA3737" s="101" t="s">
        <v>50</v>
      </c>
      <c r="AB3737" s="101" t="s">
        <v>172</v>
      </c>
      <c r="AC3737" s="102" t="s">
        <v>173</v>
      </c>
    </row>
    <row r="3738" spans="1:29" ht="25.5" customHeight="1" x14ac:dyDescent="0.35">
      <c r="A3738" s="392"/>
      <c r="B3738" s="393"/>
      <c r="C3738" s="99" t="str">
        <f>IF(B3738="","",IF(NOT(ISNUMBER(B3738)),"DATA_PC invalida",IF(NOT(ISNUMBER(parametros!$C$2)),"Fora dos ciclos",IF(OR(B3738&lt;parametros!$C$2,(YEAR(B3738)-YEAR(parametros!$C$2))*12+MONTH(B3738)-MONTH(parametros!$C$2)&gt;59),"Fora dos ciclos","C"&amp;INT(((YEAR(B3738)-YEAR(parametros!$C$2))*12+MONTH(B3738)-MONTH(parametros!$C$2))/12)))))</f>
        <v/>
      </c>
      <c r="D3738" s="394"/>
      <c r="E3738" s="78" t="str">
        <f>IF(C3738="","",IFERROR(VLOOKUP(C3738,parametros!$A$11:$E$15,5,0),""))</f>
        <v/>
      </c>
      <c r="F3738" s="79" t="str">
        <f t="shared" si="292"/>
        <v/>
      </c>
      <c r="G3738" s="395"/>
      <c r="H3738" s="91">
        <f t="shared" si="293"/>
        <v>0</v>
      </c>
      <c r="I3738" s="91" t="str">
        <f t="shared" si="294"/>
        <v/>
      </c>
      <c r="J3738" s="91" t="str">
        <f t="shared" si="295"/>
        <v/>
      </c>
      <c r="K3738" s="92" t="str">
        <f>IF(AND(A3738="",B3738="",D3738="",G3738=""),"",IF(AND(A3738&lt;&gt;"",COUNTIF($A$2:$A$5001,A3738)&gt;1),"NUMERO_PC duplicado",IF(B3738="","DATA_PC vazia",IF(NOT(ISNUMBER(B3738)),"DATA_PC invalida",IF(OR(C3738="",C3738="Fora dos ciclos"),"CICLO_PC nao identificado",IF(OR(D3738="",D3738=0),"VALOR_PC vazio ou zero",IF(AND(G3738&lt;&gt;"Sim",G3738&lt;&gt;"Nao",G3738&lt;&gt;""),"PC_PAGO_A_CONTRATADA invalido",IF(AND(C3738&lt;&gt;"C0",IFERROR(INDEX(parametros!$A$2:$A$6,MATCH(C3738,parametros!$B$2:$B$6,0)),"")="Sim",IFERROR(INDEX(parametros!$H$2:$H$6,MATCH(C3738,parametros!$B$2:$B$6,0)),"")=""),"INICIO_EFEITO ausente: PC "&amp;A3738&amp;" - "&amp;C3738,IF(L3738="","EFEITO_PC nao calculado: PC "&amp;A3738&amp;" - "&amp;C3738,"OK")))))))))</f>
        <v/>
      </c>
      <c r="L3738" s="92" t="str">
        <f>IF(AND(A3738="",B3738="",D3738="",G3738=""),"",IF(OR(B3738="",NOT(ISNUMBER(B3738)),C3738="",C3738="Fora dos ciclos"),"",IF(C3738="C0","Nao",IF(IFERROR(INDEX(parametros!$A$2:$A$6,MATCH(C3738,parametros!$B$2:$B$6,0)),"")&lt;&gt;"Sim","Nao",IF(IFERROR(INDEX(parametros!$H$2:$H$6,MATCH(C3738,parametros!$B$2:$B$6,0)),"")="","",IF(B3738&gt;=IFERROR(INDEX(parametros!$H$2:$H$6,MATCH(C3738,parametros!$B$2:$B$6,0)),""),"Sim","Nao"))))))</f>
        <v/>
      </c>
      <c r="T3738" s="156"/>
      <c r="U3738" s="214" t="str">
        <f t="shared" si="296"/>
        <v/>
      </c>
      <c r="V3738" s="212" t="s">
        <v>50</v>
      </c>
      <c r="W3738" s="100" t="s">
        <v>168</v>
      </c>
      <c r="X3738" s="100" t="s">
        <v>169</v>
      </c>
      <c r="Y3738" s="101" t="s">
        <v>170</v>
      </c>
      <c r="Z3738" s="101" t="s">
        <v>171</v>
      </c>
      <c r="AA3738" s="101" t="s">
        <v>50</v>
      </c>
      <c r="AB3738" s="101" t="s">
        <v>172</v>
      </c>
      <c r="AC3738" s="102" t="s">
        <v>173</v>
      </c>
    </row>
    <row r="3739" spans="1:29" ht="25.5" customHeight="1" x14ac:dyDescent="0.35">
      <c r="A3739" s="392"/>
      <c r="B3739" s="393"/>
      <c r="C3739" s="99" t="str">
        <f>IF(B3739="","",IF(NOT(ISNUMBER(B3739)),"DATA_PC invalida",IF(NOT(ISNUMBER(parametros!$C$2)),"Fora dos ciclos",IF(OR(B3739&lt;parametros!$C$2,(YEAR(B3739)-YEAR(parametros!$C$2))*12+MONTH(B3739)-MONTH(parametros!$C$2)&gt;59),"Fora dos ciclos","C"&amp;INT(((YEAR(B3739)-YEAR(parametros!$C$2))*12+MONTH(B3739)-MONTH(parametros!$C$2))/12)))))</f>
        <v/>
      </c>
      <c r="D3739" s="394"/>
      <c r="E3739" s="78" t="str">
        <f>IF(C3739="","",IFERROR(VLOOKUP(C3739,parametros!$A$11:$E$15,5,0),""))</f>
        <v/>
      </c>
      <c r="F3739" s="79" t="str">
        <f t="shared" si="292"/>
        <v/>
      </c>
      <c r="G3739" s="395"/>
      <c r="H3739" s="91">
        <f t="shared" si="293"/>
        <v>0</v>
      </c>
      <c r="I3739" s="91" t="str">
        <f t="shared" si="294"/>
        <v/>
      </c>
      <c r="J3739" s="91" t="str">
        <f t="shared" si="295"/>
        <v/>
      </c>
      <c r="K3739" s="92" t="str">
        <f>IF(AND(A3739="",B3739="",D3739="",G3739=""),"",IF(AND(A3739&lt;&gt;"",COUNTIF($A$2:$A$5001,A3739)&gt;1),"NUMERO_PC duplicado",IF(B3739="","DATA_PC vazia",IF(NOT(ISNUMBER(B3739)),"DATA_PC invalida",IF(OR(C3739="",C3739="Fora dos ciclos"),"CICLO_PC nao identificado",IF(OR(D3739="",D3739=0),"VALOR_PC vazio ou zero",IF(AND(G3739&lt;&gt;"Sim",G3739&lt;&gt;"Nao",G3739&lt;&gt;""),"PC_PAGO_A_CONTRATADA invalido",IF(AND(C3739&lt;&gt;"C0",IFERROR(INDEX(parametros!$A$2:$A$6,MATCH(C3739,parametros!$B$2:$B$6,0)),"")="Sim",IFERROR(INDEX(parametros!$H$2:$H$6,MATCH(C3739,parametros!$B$2:$B$6,0)),"")=""),"INICIO_EFEITO ausente: PC "&amp;A3739&amp;" - "&amp;C3739,IF(L3739="","EFEITO_PC nao calculado: PC "&amp;A3739&amp;" - "&amp;C3739,"OK")))))))))</f>
        <v/>
      </c>
      <c r="L3739" s="92" t="str">
        <f>IF(AND(A3739="",B3739="",D3739="",G3739=""),"",IF(OR(B3739="",NOT(ISNUMBER(B3739)),C3739="",C3739="Fora dos ciclos"),"",IF(C3739="C0","Nao",IF(IFERROR(INDEX(parametros!$A$2:$A$6,MATCH(C3739,parametros!$B$2:$B$6,0)),"")&lt;&gt;"Sim","Nao",IF(IFERROR(INDEX(parametros!$H$2:$H$6,MATCH(C3739,parametros!$B$2:$B$6,0)),"")="","",IF(B3739&gt;=IFERROR(INDEX(parametros!$H$2:$H$6,MATCH(C3739,parametros!$B$2:$B$6,0)),""),"Sim","Nao"))))))</f>
        <v/>
      </c>
      <c r="T3739" s="156"/>
      <c r="U3739" s="214" t="str">
        <f t="shared" si="296"/>
        <v/>
      </c>
      <c r="V3739" s="212" t="s">
        <v>50</v>
      </c>
      <c r="W3739" s="100" t="s">
        <v>168</v>
      </c>
      <c r="X3739" s="100" t="s">
        <v>169</v>
      </c>
      <c r="Y3739" s="101" t="s">
        <v>170</v>
      </c>
      <c r="Z3739" s="101" t="s">
        <v>171</v>
      </c>
      <c r="AA3739" s="101" t="s">
        <v>50</v>
      </c>
      <c r="AB3739" s="101" t="s">
        <v>172</v>
      </c>
      <c r="AC3739" s="102" t="s">
        <v>173</v>
      </c>
    </row>
    <row r="3740" spans="1:29" ht="25.5" customHeight="1" x14ac:dyDescent="0.35">
      <c r="A3740" s="392"/>
      <c r="B3740" s="393"/>
      <c r="C3740" s="99" t="str">
        <f>IF(B3740="","",IF(NOT(ISNUMBER(B3740)),"DATA_PC invalida",IF(NOT(ISNUMBER(parametros!$C$2)),"Fora dos ciclos",IF(OR(B3740&lt;parametros!$C$2,(YEAR(B3740)-YEAR(parametros!$C$2))*12+MONTH(B3740)-MONTH(parametros!$C$2)&gt;59),"Fora dos ciclos","C"&amp;INT(((YEAR(B3740)-YEAR(parametros!$C$2))*12+MONTH(B3740)-MONTH(parametros!$C$2))/12)))))</f>
        <v/>
      </c>
      <c r="D3740" s="394"/>
      <c r="E3740" s="78" t="str">
        <f>IF(C3740="","",IFERROR(VLOOKUP(C3740,parametros!$A$11:$E$15,5,0),""))</f>
        <v/>
      </c>
      <c r="F3740" s="79" t="str">
        <f t="shared" si="292"/>
        <v/>
      </c>
      <c r="G3740" s="395"/>
      <c r="H3740" s="91">
        <f t="shared" si="293"/>
        <v>0</v>
      </c>
      <c r="I3740" s="91" t="str">
        <f t="shared" si="294"/>
        <v/>
      </c>
      <c r="J3740" s="91" t="str">
        <f t="shared" si="295"/>
        <v/>
      </c>
      <c r="K3740" s="92" t="str">
        <f>IF(AND(A3740="",B3740="",D3740="",G3740=""),"",IF(AND(A3740&lt;&gt;"",COUNTIF($A$2:$A$5001,A3740)&gt;1),"NUMERO_PC duplicado",IF(B3740="","DATA_PC vazia",IF(NOT(ISNUMBER(B3740)),"DATA_PC invalida",IF(OR(C3740="",C3740="Fora dos ciclos"),"CICLO_PC nao identificado",IF(OR(D3740="",D3740=0),"VALOR_PC vazio ou zero",IF(AND(G3740&lt;&gt;"Sim",G3740&lt;&gt;"Nao",G3740&lt;&gt;""),"PC_PAGO_A_CONTRATADA invalido",IF(AND(C3740&lt;&gt;"C0",IFERROR(INDEX(parametros!$A$2:$A$6,MATCH(C3740,parametros!$B$2:$B$6,0)),"")="Sim",IFERROR(INDEX(parametros!$H$2:$H$6,MATCH(C3740,parametros!$B$2:$B$6,0)),"")=""),"INICIO_EFEITO ausente: PC "&amp;A3740&amp;" - "&amp;C3740,IF(L3740="","EFEITO_PC nao calculado: PC "&amp;A3740&amp;" - "&amp;C3740,"OK")))))))))</f>
        <v/>
      </c>
      <c r="L3740" s="92" t="str">
        <f>IF(AND(A3740="",B3740="",D3740="",G3740=""),"",IF(OR(B3740="",NOT(ISNUMBER(B3740)),C3740="",C3740="Fora dos ciclos"),"",IF(C3740="C0","Nao",IF(IFERROR(INDEX(parametros!$A$2:$A$6,MATCH(C3740,parametros!$B$2:$B$6,0)),"")&lt;&gt;"Sim","Nao",IF(IFERROR(INDEX(parametros!$H$2:$H$6,MATCH(C3740,parametros!$B$2:$B$6,0)),"")="","",IF(B3740&gt;=IFERROR(INDEX(parametros!$H$2:$H$6,MATCH(C3740,parametros!$B$2:$B$6,0)),""),"Sim","Nao"))))))</f>
        <v/>
      </c>
      <c r="T3740" s="156"/>
      <c r="U3740" s="214" t="str">
        <f t="shared" si="296"/>
        <v/>
      </c>
      <c r="V3740" s="212" t="s">
        <v>50</v>
      </c>
      <c r="W3740" s="100" t="s">
        <v>168</v>
      </c>
      <c r="X3740" s="100" t="s">
        <v>169</v>
      </c>
      <c r="Y3740" s="101" t="s">
        <v>170</v>
      </c>
      <c r="Z3740" s="101" t="s">
        <v>171</v>
      </c>
      <c r="AA3740" s="101" t="s">
        <v>50</v>
      </c>
      <c r="AB3740" s="101" t="s">
        <v>172</v>
      </c>
      <c r="AC3740" s="102" t="s">
        <v>173</v>
      </c>
    </row>
    <row r="3741" spans="1:29" ht="25.5" customHeight="1" x14ac:dyDescent="0.35">
      <c r="A3741" s="392"/>
      <c r="B3741" s="393"/>
      <c r="C3741" s="99" t="str">
        <f>IF(B3741="","",IF(NOT(ISNUMBER(B3741)),"DATA_PC invalida",IF(NOT(ISNUMBER(parametros!$C$2)),"Fora dos ciclos",IF(OR(B3741&lt;parametros!$C$2,(YEAR(B3741)-YEAR(parametros!$C$2))*12+MONTH(B3741)-MONTH(parametros!$C$2)&gt;59),"Fora dos ciclos","C"&amp;INT(((YEAR(B3741)-YEAR(parametros!$C$2))*12+MONTH(B3741)-MONTH(parametros!$C$2))/12)))))</f>
        <v/>
      </c>
      <c r="D3741" s="394"/>
      <c r="E3741" s="78" t="str">
        <f>IF(C3741="","",IFERROR(VLOOKUP(C3741,parametros!$A$11:$E$15,5,0),""))</f>
        <v/>
      </c>
      <c r="F3741" s="79" t="str">
        <f t="shared" si="292"/>
        <v/>
      </c>
      <c r="G3741" s="395"/>
      <c r="H3741" s="91">
        <f t="shared" si="293"/>
        <v>0</v>
      </c>
      <c r="I3741" s="91" t="str">
        <f t="shared" si="294"/>
        <v/>
      </c>
      <c r="J3741" s="91" t="str">
        <f t="shared" si="295"/>
        <v/>
      </c>
      <c r="K3741" s="92" t="str">
        <f>IF(AND(A3741="",B3741="",D3741="",G3741=""),"",IF(AND(A3741&lt;&gt;"",COUNTIF($A$2:$A$5001,A3741)&gt;1),"NUMERO_PC duplicado",IF(B3741="","DATA_PC vazia",IF(NOT(ISNUMBER(B3741)),"DATA_PC invalida",IF(OR(C3741="",C3741="Fora dos ciclos"),"CICLO_PC nao identificado",IF(OR(D3741="",D3741=0),"VALOR_PC vazio ou zero",IF(AND(G3741&lt;&gt;"Sim",G3741&lt;&gt;"Nao",G3741&lt;&gt;""),"PC_PAGO_A_CONTRATADA invalido",IF(AND(C3741&lt;&gt;"C0",IFERROR(INDEX(parametros!$A$2:$A$6,MATCH(C3741,parametros!$B$2:$B$6,0)),"")="Sim",IFERROR(INDEX(parametros!$H$2:$H$6,MATCH(C3741,parametros!$B$2:$B$6,0)),"")=""),"INICIO_EFEITO ausente: PC "&amp;A3741&amp;" - "&amp;C3741,IF(L3741="","EFEITO_PC nao calculado: PC "&amp;A3741&amp;" - "&amp;C3741,"OK")))))))))</f>
        <v/>
      </c>
      <c r="L3741" s="92" t="str">
        <f>IF(AND(A3741="",B3741="",D3741="",G3741=""),"",IF(OR(B3741="",NOT(ISNUMBER(B3741)),C3741="",C3741="Fora dos ciclos"),"",IF(C3741="C0","Nao",IF(IFERROR(INDEX(parametros!$A$2:$A$6,MATCH(C3741,parametros!$B$2:$B$6,0)),"")&lt;&gt;"Sim","Nao",IF(IFERROR(INDEX(parametros!$H$2:$H$6,MATCH(C3741,parametros!$B$2:$B$6,0)),"")="","",IF(B3741&gt;=IFERROR(INDEX(parametros!$H$2:$H$6,MATCH(C3741,parametros!$B$2:$B$6,0)),""),"Sim","Nao"))))))</f>
        <v/>
      </c>
      <c r="T3741" s="156"/>
      <c r="U3741" s="214" t="str">
        <f t="shared" si="296"/>
        <v/>
      </c>
      <c r="V3741" s="212" t="s">
        <v>50</v>
      </c>
      <c r="W3741" s="100" t="s">
        <v>168</v>
      </c>
      <c r="X3741" s="100" t="s">
        <v>169</v>
      </c>
      <c r="Y3741" s="101" t="s">
        <v>170</v>
      </c>
      <c r="Z3741" s="101" t="s">
        <v>171</v>
      </c>
      <c r="AA3741" s="101" t="s">
        <v>50</v>
      </c>
      <c r="AB3741" s="101" t="s">
        <v>172</v>
      </c>
      <c r="AC3741" s="102" t="s">
        <v>173</v>
      </c>
    </row>
    <row r="3742" spans="1:29" ht="25.5" customHeight="1" x14ac:dyDescent="0.35">
      <c r="A3742" s="392"/>
      <c r="B3742" s="393"/>
      <c r="C3742" s="99" t="str">
        <f>IF(B3742="","",IF(NOT(ISNUMBER(B3742)),"DATA_PC invalida",IF(NOT(ISNUMBER(parametros!$C$2)),"Fora dos ciclos",IF(OR(B3742&lt;parametros!$C$2,(YEAR(B3742)-YEAR(parametros!$C$2))*12+MONTH(B3742)-MONTH(parametros!$C$2)&gt;59),"Fora dos ciclos","C"&amp;INT(((YEAR(B3742)-YEAR(parametros!$C$2))*12+MONTH(B3742)-MONTH(parametros!$C$2))/12)))))</f>
        <v/>
      </c>
      <c r="D3742" s="394"/>
      <c r="E3742" s="78" t="str">
        <f>IF(C3742="","",IFERROR(VLOOKUP(C3742,parametros!$A$11:$E$15,5,0),""))</f>
        <v/>
      </c>
      <c r="F3742" s="79" t="str">
        <f t="shared" si="292"/>
        <v/>
      </c>
      <c r="G3742" s="395"/>
      <c r="H3742" s="91">
        <f t="shared" si="293"/>
        <v>0</v>
      </c>
      <c r="I3742" s="91" t="str">
        <f t="shared" si="294"/>
        <v/>
      </c>
      <c r="J3742" s="91" t="str">
        <f t="shared" si="295"/>
        <v/>
      </c>
      <c r="K3742" s="92" t="str">
        <f>IF(AND(A3742="",B3742="",D3742="",G3742=""),"",IF(AND(A3742&lt;&gt;"",COUNTIF($A$2:$A$5001,A3742)&gt;1),"NUMERO_PC duplicado",IF(B3742="","DATA_PC vazia",IF(NOT(ISNUMBER(B3742)),"DATA_PC invalida",IF(OR(C3742="",C3742="Fora dos ciclos"),"CICLO_PC nao identificado",IF(OR(D3742="",D3742=0),"VALOR_PC vazio ou zero",IF(AND(G3742&lt;&gt;"Sim",G3742&lt;&gt;"Nao",G3742&lt;&gt;""),"PC_PAGO_A_CONTRATADA invalido",IF(AND(C3742&lt;&gt;"C0",IFERROR(INDEX(parametros!$A$2:$A$6,MATCH(C3742,parametros!$B$2:$B$6,0)),"")="Sim",IFERROR(INDEX(parametros!$H$2:$H$6,MATCH(C3742,parametros!$B$2:$B$6,0)),"")=""),"INICIO_EFEITO ausente: PC "&amp;A3742&amp;" - "&amp;C3742,IF(L3742="","EFEITO_PC nao calculado: PC "&amp;A3742&amp;" - "&amp;C3742,"OK")))))))))</f>
        <v/>
      </c>
      <c r="L3742" s="92" t="str">
        <f>IF(AND(A3742="",B3742="",D3742="",G3742=""),"",IF(OR(B3742="",NOT(ISNUMBER(B3742)),C3742="",C3742="Fora dos ciclos"),"",IF(C3742="C0","Nao",IF(IFERROR(INDEX(parametros!$A$2:$A$6,MATCH(C3742,parametros!$B$2:$B$6,0)),"")&lt;&gt;"Sim","Nao",IF(IFERROR(INDEX(parametros!$H$2:$H$6,MATCH(C3742,parametros!$B$2:$B$6,0)),"")="","",IF(B3742&gt;=IFERROR(INDEX(parametros!$H$2:$H$6,MATCH(C3742,parametros!$B$2:$B$6,0)),""),"Sim","Nao"))))))</f>
        <v/>
      </c>
      <c r="T3742" s="156"/>
      <c r="U3742" s="214" t="str">
        <f t="shared" si="296"/>
        <v/>
      </c>
      <c r="V3742" s="212" t="s">
        <v>50</v>
      </c>
      <c r="W3742" s="100" t="s">
        <v>168</v>
      </c>
      <c r="X3742" s="100" t="s">
        <v>169</v>
      </c>
      <c r="Y3742" s="101" t="s">
        <v>170</v>
      </c>
      <c r="Z3742" s="101" t="s">
        <v>171</v>
      </c>
      <c r="AA3742" s="101" t="s">
        <v>50</v>
      </c>
      <c r="AB3742" s="101" t="s">
        <v>172</v>
      </c>
      <c r="AC3742" s="102" t="s">
        <v>173</v>
      </c>
    </row>
    <row r="3743" spans="1:29" ht="25.5" customHeight="1" x14ac:dyDescent="0.35">
      <c r="A3743" s="392"/>
      <c r="B3743" s="393"/>
      <c r="C3743" s="99" t="str">
        <f>IF(B3743="","",IF(NOT(ISNUMBER(B3743)),"DATA_PC invalida",IF(NOT(ISNUMBER(parametros!$C$2)),"Fora dos ciclos",IF(OR(B3743&lt;parametros!$C$2,(YEAR(B3743)-YEAR(parametros!$C$2))*12+MONTH(B3743)-MONTH(parametros!$C$2)&gt;59),"Fora dos ciclos","C"&amp;INT(((YEAR(B3743)-YEAR(parametros!$C$2))*12+MONTH(B3743)-MONTH(parametros!$C$2))/12)))))</f>
        <v/>
      </c>
      <c r="D3743" s="394"/>
      <c r="E3743" s="78" t="str">
        <f>IF(C3743="","",IFERROR(VLOOKUP(C3743,parametros!$A$11:$E$15,5,0),""))</f>
        <v/>
      </c>
      <c r="F3743" s="79" t="str">
        <f t="shared" si="292"/>
        <v/>
      </c>
      <c r="G3743" s="395"/>
      <c r="H3743" s="91">
        <f t="shared" si="293"/>
        <v>0</v>
      </c>
      <c r="I3743" s="91" t="str">
        <f t="shared" si="294"/>
        <v/>
      </c>
      <c r="J3743" s="91" t="str">
        <f t="shared" si="295"/>
        <v/>
      </c>
      <c r="K3743" s="92" t="str">
        <f>IF(AND(A3743="",B3743="",D3743="",G3743=""),"",IF(AND(A3743&lt;&gt;"",COUNTIF($A$2:$A$5001,A3743)&gt;1),"NUMERO_PC duplicado",IF(B3743="","DATA_PC vazia",IF(NOT(ISNUMBER(B3743)),"DATA_PC invalida",IF(OR(C3743="",C3743="Fora dos ciclos"),"CICLO_PC nao identificado",IF(OR(D3743="",D3743=0),"VALOR_PC vazio ou zero",IF(AND(G3743&lt;&gt;"Sim",G3743&lt;&gt;"Nao",G3743&lt;&gt;""),"PC_PAGO_A_CONTRATADA invalido",IF(AND(C3743&lt;&gt;"C0",IFERROR(INDEX(parametros!$A$2:$A$6,MATCH(C3743,parametros!$B$2:$B$6,0)),"")="Sim",IFERROR(INDEX(parametros!$H$2:$H$6,MATCH(C3743,parametros!$B$2:$B$6,0)),"")=""),"INICIO_EFEITO ausente: PC "&amp;A3743&amp;" - "&amp;C3743,IF(L3743="","EFEITO_PC nao calculado: PC "&amp;A3743&amp;" - "&amp;C3743,"OK")))))))))</f>
        <v/>
      </c>
      <c r="L3743" s="92" t="str">
        <f>IF(AND(A3743="",B3743="",D3743="",G3743=""),"",IF(OR(B3743="",NOT(ISNUMBER(B3743)),C3743="",C3743="Fora dos ciclos"),"",IF(C3743="C0","Nao",IF(IFERROR(INDEX(parametros!$A$2:$A$6,MATCH(C3743,parametros!$B$2:$B$6,0)),"")&lt;&gt;"Sim","Nao",IF(IFERROR(INDEX(parametros!$H$2:$H$6,MATCH(C3743,parametros!$B$2:$B$6,0)),"")="","",IF(B3743&gt;=IFERROR(INDEX(parametros!$H$2:$H$6,MATCH(C3743,parametros!$B$2:$B$6,0)),""),"Sim","Nao"))))))</f>
        <v/>
      </c>
      <c r="T3743" s="156"/>
      <c r="U3743" s="214" t="str">
        <f t="shared" si="296"/>
        <v/>
      </c>
      <c r="V3743" s="212" t="s">
        <v>50</v>
      </c>
      <c r="W3743" s="100" t="s">
        <v>168</v>
      </c>
      <c r="X3743" s="100" t="s">
        <v>169</v>
      </c>
      <c r="Y3743" s="101" t="s">
        <v>170</v>
      </c>
      <c r="Z3743" s="101" t="s">
        <v>171</v>
      </c>
      <c r="AA3743" s="101" t="s">
        <v>50</v>
      </c>
      <c r="AB3743" s="101" t="s">
        <v>172</v>
      </c>
      <c r="AC3743" s="102" t="s">
        <v>173</v>
      </c>
    </row>
    <row r="3744" spans="1:29" ht="25.5" customHeight="1" x14ac:dyDescent="0.35">
      <c r="A3744" s="392"/>
      <c r="B3744" s="393"/>
      <c r="C3744" s="99" t="str">
        <f>IF(B3744="","",IF(NOT(ISNUMBER(B3744)),"DATA_PC invalida",IF(NOT(ISNUMBER(parametros!$C$2)),"Fora dos ciclos",IF(OR(B3744&lt;parametros!$C$2,(YEAR(B3744)-YEAR(parametros!$C$2))*12+MONTH(B3744)-MONTH(parametros!$C$2)&gt;59),"Fora dos ciclos","C"&amp;INT(((YEAR(B3744)-YEAR(parametros!$C$2))*12+MONTH(B3744)-MONTH(parametros!$C$2))/12)))))</f>
        <v/>
      </c>
      <c r="D3744" s="394"/>
      <c r="E3744" s="78" t="str">
        <f>IF(C3744="","",IFERROR(VLOOKUP(C3744,parametros!$A$11:$E$15,5,0),""))</f>
        <v/>
      </c>
      <c r="F3744" s="79" t="str">
        <f t="shared" si="292"/>
        <v/>
      </c>
      <c r="G3744" s="395"/>
      <c r="H3744" s="91">
        <f t="shared" si="293"/>
        <v>0</v>
      </c>
      <c r="I3744" s="91" t="str">
        <f t="shared" si="294"/>
        <v/>
      </c>
      <c r="J3744" s="91" t="str">
        <f t="shared" si="295"/>
        <v/>
      </c>
      <c r="K3744" s="92" t="str">
        <f>IF(AND(A3744="",B3744="",D3744="",G3744=""),"",IF(AND(A3744&lt;&gt;"",COUNTIF($A$2:$A$5001,A3744)&gt;1),"NUMERO_PC duplicado",IF(B3744="","DATA_PC vazia",IF(NOT(ISNUMBER(B3744)),"DATA_PC invalida",IF(OR(C3744="",C3744="Fora dos ciclos"),"CICLO_PC nao identificado",IF(OR(D3744="",D3744=0),"VALOR_PC vazio ou zero",IF(AND(G3744&lt;&gt;"Sim",G3744&lt;&gt;"Nao",G3744&lt;&gt;""),"PC_PAGO_A_CONTRATADA invalido",IF(AND(C3744&lt;&gt;"C0",IFERROR(INDEX(parametros!$A$2:$A$6,MATCH(C3744,parametros!$B$2:$B$6,0)),"")="Sim",IFERROR(INDEX(parametros!$H$2:$H$6,MATCH(C3744,parametros!$B$2:$B$6,0)),"")=""),"INICIO_EFEITO ausente: PC "&amp;A3744&amp;" - "&amp;C3744,IF(L3744="","EFEITO_PC nao calculado: PC "&amp;A3744&amp;" - "&amp;C3744,"OK")))))))))</f>
        <v/>
      </c>
      <c r="L3744" s="92" t="str">
        <f>IF(AND(A3744="",B3744="",D3744="",G3744=""),"",IF(OR(B3744="",NOT(ISNUMBER(B3744)),C3744="",C3744="Fora dos ciclos"),"",IF(C3744="C0","Nao",IF(IFERROR(INDEX(parametros!$A$2:$A$6,MATCH(C3744,parametros!$B$2:$B$6,0)),"")&lt;&gt;"Sim","Nao",IF(IFERROR(INDEX(parametros!$H$2:$H$6,MATCH(C3744,parametros!$B$2:$B$6,0)),"")="","",IF(B3744&gt;=IFERROR(INDEX(parametros!$H$2:$H$6,MATCH(C3744,parametros!$B$2:$B$6,0)),""),"Sim","Nao"))))))</f>
        <v/>
      </c>
      <c r="T3744" s="156"/>
      <c r="U3744" s="214" t="str">
        <f t="shared" si="296"/>
        <v/>
      </c>
      <c r="V3744" s="212" t="s">
        <v>50</v>
      </c>
      <c r="W3744" s="100" t="s">
        <v>168</v>
      </c>
      <c r="X3744" s="100" t="s">
        <v>169</v>
      </c>
      <c r="Y3744" s="101" t="s">
        <v>170</v>
      </c>
      <c r="Z3744" s="101" t="s">
        <v>171</v>
      </c>
      <c r="AA3744" s="101" t="s">
        <v>50</v>
      </c>
      <c r="AB3744" s="101" t="s">
        <v>172</v>
      </c>
      <c r="AC3744" s="102" t="s">
        <v>173</v>
      </c>
    </row>
    <row r="3745" spans="1:29" ht="25.5" customHeight="1" x14ac:dyDescent="0.35">
      <c r="A3745" s="392"/>
      <c r="B3745" s="393"/>
      <c r="C3745" s="99" t="str">
        <f>IF(B3745="","",IF(NOT(ISNUMBER(B3745)),"DATA_PC invalida",IF(NOT(ISNUMBER(parametros!$C$2)),"Fora dos ciclos",IF(OR(B3745&lt;parametros!$C$2,(YEAR(B3745)-YEAR(parametros!$C$2))*12+MONTH(B3745)-MONTH(parametros!$C$2)&gt;59),"Fora dos ciclos","C"&amp;INT(((YEAR(B3745)-YEAR(parametros!$C$2))*12+MONTH(B3745)-MONTH(parametros!$C$2))/12)))))</f>
        <v/>
      </c>
      <c r="D3745" s="394"/>
      <c r="E3745" s="78" t="str">
        <f>IF(C3745="","",IFERROR(VLOOKUP(C3745,parametros!$A$11:$E$15,5,0),""))</f>
        <v/>
      </c>
      <c r="F3745" s="79" t="str">
        <f t="shared" si="292"/>
        <v/>
      </c>
      <c r="G3745" s="395"/>
      <c r="H3745" s="91">
        <f t="shared" si="293"/>
        <v>0</v>
      </c>
      <c r="I3745" s="91" t="str">
        <f t="shared" si="294"/>
        <v/>
      </c>
      <c r="J3745" s="91" t="str">
        <f t="shared" si="295"/>
        <v/>
      </c>
      <c r="K3745" s="92" t="str">
        <f>IF(AND(A3745="",B3745="",D3745="",G3745=""),"",IF(AND(A3745&lt;&gt;"",COUNTIF($A$2:$A$5001,A3745)&gt;1),"NUMERO_PC duplicado",IF(B3745="","DATA_PC vazia",IF(NOT(ISNUMBER(B3745)),"DATA_PC invalida",IF(OR(C3745="",C3745="Fora dos ciclos"),"CICLO_PC nao identificado",IF(OR(D3745="",D3745=0),"VALOR_PC vazio ou zero",IF(AND(G3745&lt;&gt;"Sim",G3745&lt;&gt;"Nao",G3745&lt;&gt;""),"PC_PAGO_A_CONTRATADA invalido",IF(AND(C3745&lt;&gt;"C0",IFERROR(INDEX(parametros!$A$2:$A$6,MATCH(C3745,parametros!$B$2:$B$6,0)),"")="Sim",IFERROR(INDEX(parametros!$H$2:$H$6,MATCH(C3745,parametros!$B$2:$B$6,0)),"")=""),"INICIO_EFEITO ausente: PC "&amp;A3745&amp;" - "&amp;C3745,IF(L3745="","EFEITO_PC nao calculado: PC "&amp;A3745&amp;" - "&amp;C3745,"OK")))))))))</f>
        <v/>
      </c>
      <c r="L3745" s="92" t="str">
        <f>IF(AND(A3745="",B3745="",D3745="",G3745=""),"",IF(OR(B3745="",NOT(ISNUMBER(B3745)),C3745="",C3745="Fora dos ciclos"),"",IF(C3745="C0","Nao",IF(IFERROR(INDEX(parametros!$A$2:$A$6,MATCH(C3745,parametros!$B$2:$B$6,0)),"")&lt;&gt;"Sim","Nao",IF(IFERROR(INDEX(parametros!$H$2:$H$6,MATCH(C3745,parametros!$B$2:$B$6,0)),"")="","",IF(B3745&gt;=IFERROR(INDEX(parametros!$H$2:$H$6,MATCH(C3745,parametros!$B$2:$B$6,0)),""),"Sim","Nao"))))))</f>
        <v/>
      </c>
      <c r="T3745" s="156"/>
      <c r="U3745" s="214" t="str">
        <f t="shared" si="296"/>
        <v/>
      </c>
      <c r="V3745" s="212" t="s">
        <v>50</v>
      </c>
      <c r="W3745" s="100" t="s">
        <v>168</v>
      </c>
      <c r="X3745" s="100" t="s">
        <v>169</v>
      </c>
      <c r="Y3745" s="101" t="s">
        <v>170</v>
      </c>
      <c r="Z3745" s="101" t="s">
        <v>171</v>
      </c>
      <c r="AA3745" s="101" t="s">
        <v>50</v>
      </c>
      <c r="AB3745" s="101" t="s">
        <v>172</v>
      </c>
      <c r="AC3745" s="102" t="s">
        <v>173</v>
      </c>
    </row>
    <row r="3746" spans="1:29" ht="25.5" customHeight="1" x14ac:dyDescent="0.35">
      <c r="A3746" s="392"/>
      <c r="B3746" s="393"/>
      <c r="C3746" s="99" t="str">
        <f>IF(B3746="","",IF(NOT(ISNUMBER(B3746)),"DATA_PC invalida",IF(NOT(ISNUMBER(parametros!$C$2)),"Fora dos ciclos",IF(OR(B3746&lt;parametros!$C$2,(YEAR(B3746)-YEAR(parametros!$C$2))*12+MONTH(B3746)-MONTH(parametros!$C$2)&gt;59),"Fora dos ciclos","C"&amp;INT(((YEAR(B3746)-YEAR(parametros!$C$2))*12+MONTH(B3746)-MONTH(parametros!$C$2))/12)))))</f>
        <v/>
      </c>
      <c r="D3746" s="394"/>
      <c r="E3746" s="78" t="str">
        <f>IF(C3746="","",IFERROR(VLOOKUP(C3746,parametros!$A$11:$E$15,5,0),""))</f>
        <v/>
      </c>
      <c r="F3746" s="79" t="str">
        <f t="shared" si="292"/>
        <v/>
      </c>
      <c r="G3746" s="395"/>
      <c r="H3746" s="91">
        <f t="shared" si="293"/>
        <v>0</v>
      </c>
      <c r="I3746" s="91" t="str">
        <f t="shared" si="294"/>
        <v/>
      </c>
      <c r="J3746" s="91" t="str">
        <f t="shared" si="295"/>
        <v/>
      </c>
      <c r="K3746" s="92" t="str">
        <f>IF(AND(A3746="",B3746="",D3746="",G3746=""),"",IF(AND(A3746&lt;&gt;"",COUNTIF($A$2:$A$5001,A3746)&gt;1),"NUMERO_PC duplicado",IF(B3746="","DATA_PC vazia",IF(NOT(ISNUMBER(B3746)),"DATA_PC invalida",IF(OR(C3746="",C3746="Fora dos ciclos"),"CICLO_PC nao identificado",IF(OR(D3746="",D3746=0),"VALOR_PC vazio ou zero",IF(AND(G3746&lt;&gt;"Sim",G3746&lt;&gt;"Nao",G3746&lt;&gt;""),"PC_PAGO_A_CONTRATADA invalido",IF(AND(C3746&lt;&gt;"C0",IFERROR(INDEX(parametros!$A$2:$A$6,MATCH(C3746,parametros!$B$2:$B$6,0)),"")="Sim",IFERROR(INDEX(parametros!$H$2:$H$6,MATCH(C3746,parametros!$B$2:$B$6,0)),"")=""),"INICIO_EFEITO ausente: PC "&amp;A3746&amp;" - "&amp;C3746,IF(L3746="","EFEITO_PC nao calculado: PC "&amp;A3746&amp;" - "&amp;C3746,"OK")))))))))</f>
        <v/>
      </c>
      <c r="L3746" s="92" t="str">
        <f>IF(AND(A3746="",B3746="",D3746="",G3746=""),"",IF(OR(B3746="",NOT(ISNUMBER(B3746)),C3746="",C3746="Fora dos ciclos"),"",IF(C3746="C0","Nao",IF(IFERROR(INDEX(parametros!$A$2:$A$6,MATCH(C3746,parametros!$B$2:$B$6,0)),"")&lt;&gt;"Sim","Nao",IF(IFERROR(INDEX(parametros!$H$2:$H$6,MATCH(C3746,parametros!$B$2:$B$6,0)),"")="","",IF(B3746&gt;=IFERROR(INDEX(parametros!$H$2:$H$6,MATCH(C3746,parametros!$B$2:$B$6,0)),""),"Sim","Nao"))))))</f>
        <v/>
      </c>
      <c r="T3746" s="156"/>
      <c r="U3746" s="214" t="str">
        <f t="shared" si="296"/>
        <v/>
      </c>
      <c r="V3746" s="212" t="s">
        <v>50</v>
      </c>
      <c r="W3746" s="100" t="s">
        <v>168</v>
      </c>
      <c r="X3746" s="100" t="s">
        <v>169</v>
      </c>
      <c r="Y3746" s="101" t="s">
        <v>170</v>
      </c>
      <c r="Z3746" s="101" t="s">
        <v>171</v>
      </c>
      <c r="AA3746" s="101" t="s">
        <v>50</v>
      </c>
      <c r="AB3746" s="101" t="s">
        <v>172</v>
      </c>
      <c r="AC3746" s="102" t="s">
        <v>173</v>
      </c>
    </row>
    <row r="3747" spans="1:29" ht="25.5" customHeight="1" x14ac:dyDescent="0.35">
      <c r="A3747" s="392"/>
      <c r="B3747" s="393"/>
      <c r="C3747" s="99" t="str">
        <f>IF(B3747="","",IF(NOT(ISNUMBER(B3747)),"DATA_PC invalida",IF(NOT(ISNUMBER(parametros!$C$2)),"Fora dos ciclos",IF(OR(B3747&lt;parametros!$C$2,(YEAR(B3747)-YEAR(parametros!$C$2))*12+MONTH(B3747)-MONTH(parametros!$C$2)&gt;59),"Fora dos ciclos","C"&amp;INT(((YEAR(B3747)-YEAR(parametros!$C$2))*12+MONTH(B3747)-MONTH(parametros!$C$2))/12)))))</f>
        <v/>
      </c>
      <c r="D3747" s="394"/>
      <c r="E3747" s="78" t="str">
        <f>IF(C3747="","",IFERROR(VLOOKUP(C3747,parametros!$A$11:$E$15,5,0),""))</f>
        <v/>
      </c>
      <c r="F3747" s="79" t="str">
        <f t="shared" si="292"/>
        <v/>
      </c>
      <c r="G3747" s="395"/>
      <c r="H3747" s="91">
        <f t="shared" si="293"/>
        <v>0</v>
      </c>
      <c r="I3747" s="91" t="str">
        <f t="shared" si="294"/>
        <v/>
      </c>
      <c r="J3747" s="91" t="str">
        <f t="shared" si="295"/>
        <v/>
      </c>
      <c r="K3747" s="92" t="str">
        <f>IF(AND(A3747="",B3747="",D3747="",G3747=""),"",IF(AND(A3747&lt;&gt;"",COUNTIF($A$2:$A$5001,A3747)&gt;1),"NUMERO_PC duplicado",IF(B3747="","DATA_PC vazia",IF(NOT(ISNUMBER(B3747)),"DATA_PC invalida",IF(OR(C3747="",C3747="Fora dos ciclos"),"CICLO_PC nao identificado",IF(OR(D3747="",D3747=0),"VALOR_PC vazio ou zero",IF(AND(G3747&lt;&gt;"Sim",G3747&lt;&gt;"Nao",G3747&lt;&gt;""),"PC_PAGO_A_CONTRATADA invalido",IF(AND(C3747&lt;&gt;"C0",IFERROR(INDEX(parametros!$A$2:$A$6,MATCH(C3747,parametros!$B$2:$B$6,0)),"")="Sim",IFERROR(INDEX(parametros!$H$2:$H$6,MATCH(C3747,parametros!$B$2:$B$6,0)),"")=""),"INICIO_EFEITO ausente: PC "&amp;A3747&amp;" - "&amp;C3747,IF(L3747="","EFEITO_PC nao calculado: PC "&amp;A3747&amp;" - "&amp;C3747,"OK")))))))))</f>
        <v/>
      </c>
      <c r="L3747" s="92" t="str">
        <f>IF(AND(A3747="",B3747="",D3747="",G3747=""),"",IF(OR(B3747="",NOT(ISNUMBER(B3747)),C3747="",C3747="Fora dos ciclos"),"",IF(C3747="C0","Nao",IF(IFERROR(INDEX(parametros!$A$2:$A$6,MATCH(C3747,parametros!$B$2:$B$6,0)),"")&lt;&gt;"Sim","Nao",IF(IFERROR(INDEX(parametros!$H$2:$H$6,MATCH(C3747,parametros!$B$2:$B$6,0)),"")="","",IF(B3747&gt;=IFERROR(INDEX(parametros!$H$2:$H$6,MATCH(C3747,parametros!$B$2:$B$6,0)),""),"Sim","Nao"))))))</f>
        <v/>
      </c>
      <c r="T3747" s="156"/>
      <c r="U3747" s="214" t="str">
        <f t="shared" si="296"/>
        <v/>
      </c>
      <c r="V3747" s="212" t="s">
        <v>50</v>
      </c>
      <c r="W3747" s="100" t="s">
        <v>168</v>
      </c>
      <c r="X3747" s="100" t="s">
        <v>169</v>
      </c>
      <c r="Y3747" s="101" t="s">
        <v>170</v>
      </c>
      <c r="Z3747" s="101" t="s">
        <v>171</v>
      </c>
      <c r="AA3747" s="101" t="s">
        <v>50</v>
      </c>
      <c r="AB3747" s="101" t="s">
        <v>172</v>
      </c>
      <c r="AC3747" s="102" t="s">
        <v>173</v>
      </c>
    </row>
    <row r="3748" spans="1:29" ht="25.5" customHeight="1" x14ac:dyDescent="0.35">
      <c r="A3748" s="392"/>
      <c r="B3748" s="393"/>
      <c r="C3748" s="99" t="str">
        <f>IF(B3748="","",IF(NOT(ISNUMBER(B3748)),"DATA_PC invalida",IF(NOT(ISNUMBER(parametros!$C$2)),"Fora dos ciclos",IF(OR(B3748&lt;parametros!$C$2,(YEAR(B3748)-YEAR(parametros!$C$2))*12+MONTH(B3748)-MONTH(parametros!$C$2)&gt;59),"Fora dos ciclos","C"&amp;INT(((YEAR(B3748)-YEAR(parametros!$C$2))*12+MONTH(B3748)-MONTH(parametros!$C$2))/12)))))</f>
        <v/>
      </c>
      <c r="D3748" s="394"/>
      <c r="E3748" s="78" t="str">
        <f>IF(C3748="","",IFERROR(VLOOKUP(C3748,parametros!$A$11:$E$15,5,0),""))</f>
        <v/>
      </c>
      <c r="F3748" s="79" t="str">
        <f t="shared" si="292"/>
        <v/>
      </c>
      <c r="G3748" s="395"/>
      <c r="H3748" s="91">
        <f t="shared" si="293"/>
        <v>0</v>
      </c>
      <c r="I3748" s="91" t="str">
        <f t="shared" si="294"/>
        <v/>
      </c>
      <c r="J3748" s="91" t="str">
        <f t="shared" si="295"/>
        <v/>
      </c>
      <c r="K3748" s="92" t="str">
        <f>IF(AND(A3748="",B3748="",D3748="",G3748=""),"",IF(AND(A3748&lt;&gt;"",COUNTIF($A$2:$A$5001,A3748)&gt;1),"NUMERO_PC duplicado",IF(B3748="","DATA_PC vazia",IF(NOT(ISNUMBER(B3748)),"DATA_PC invalida",IF(OR(C3748="",C3748="Fora dos ciclos"),"CICLO_PC nao identificado",IF(OR(D3748="",D3748=0),"VALOR_PC vazio ou zero",IF(AND(G3748&lt;&gt;"Sim",G3748&lt;&gt;"Nao",G3748&lt;&gt;""),"PC_PAGO_A_CONTRATADA invalido",IF(AND(C3748&lt;&gt;"C0",IFERROR(INDEX(parametros!$A$2:$A$6,MATCH(C3748,parametros!$B$2:$B$6,0)),"")="Sim",IFERROR(INDEX(parametros!$H$2:$H$6,MATCH(C3748,parametros!$B$2:$B$6,0)),"")=""),"INICIO_EFEITO ausente: PC "&amp;A3748&amp;" - "&amp;C3748,IF(L3748="","EFEITO_PC nao calculado: PC "&amp;A3748&amp;" - "&amp;C3748,"OK")))))))))</f>
        <v/>
      </c>
      <c r="L3748" s="92" t="str">
        <f>IF(AND(A3748="",B3748="",D3748="",G3748=""),"",IF(OR(B3748="",NOT(ISNUMBER(B3748)),C3748="",C3748="Fora dos ciclos"),"",IF(C3748="C0","Nao",IF(IFERROR(INDEX(parametros!$A$2:$A$6,MATCH(C3748,parametros!$B$2:$B$6,0)),"")&lt;&gt;"Sim","Nao",IF(IFERROR(INDEX(parametros!$H$2:$H$6,MATCH(C3748,parametros!$B$2:$B$6,0)),"")="","",IF(B3748&gt;=IFERROR(INDEX(parametros!$H$2:$H$6,MATCH(C3748,parametros!$B$2:$B$6,0)),""),"Sim","Nao"))))))</f>
        <v/>
      </c>
      <c r="T3748" s="156"/>
      <c r="U3748" s="214" t="str">
        <f t="shared" si="296"/>
        <v/>
      </c>
      <c r="V3748" s="212" t="s">
        <v>50</v>
      </c>
      <c r="W3748" s="100" t="s">
        <v>168</v>
      </c>
      <c r="X3748" s="100" t="s">
        <v>169</v>
      </c>
      <c r="Y3748" s="101" t="s">
        <v>170</v>
      </c>
      <c r="Z3748" s="101" t="s">
        <v>171</v>
      </c>
      <c r="AA3748" s="101" t="s">
        <v>50</v>
      </c>
      <c r="AB3748" s="101" t="s">
        <v>172</v>
      </c>
      <c r="AC3748" s="102" t="s">
        <v>173</v>
      </c>
    </row>
    <row r="3749" spans="1:29" ht="25.5" customHeight="1" x14ac:dyDescent="0.35">
      <c r="A3749" s="392"/>
      <c r="B3749" s="393"/>
      <c r="C3749" s="99" t="str">
        <f>IF(B3749="","",IF(NOT(ISNUMBER(B3749)),"DATA_PC invalida",IF(NOT(ISNUMBER(parametros!$C$2)),"Fora dos ciclos",IF(OR(B3749&lt;parametros!$C$2,(YEAR(B3749)-YEAR(parametros!$C$2))*12+MONTH(B3749)-MONTH(parametros!$C$2)&gt;59),"Fora dos ciclos","C"&amp;INT(((YEAR(B3749)-YEAR(parametros!$C$2))*12+MONTH(B3749)-MONTH(parametros!$C$2))/12)))))</f>
        <v/>
      </c>
      <c r="D3749" s="394"/>
      <c r="E3749" s="78" t="str">
        <f>IF(C3749="","",IFERROR(VLOOKUP(C3749,parametros!$A$11:$E$15,5,0),""))</f>
        <v/>
      </c>
      <c r="F3749" s="79" t="str">
        <f t="shared" si="292"/>
        <v/>
      </c>
      <c r="G3749" s="395"/>
      <c r="H3749" s="91">
        <f t="shared" si="293"/>
        <v>0</v>
      </c>
      <c r="I3749" s="91" t="str">
        <f t="shared" si="294"/>
        <v/>
      </c>
      <c r="J3749" s="91" t="str">
        <f t="shared" si="295"/>
        <v/>
      </c>
      <c r="K3749" s="92" t="str">
        <f>IF(AND(A3749="",B3749="",D3749="",G3749=""),"",IF(AND(A3749&lt;&gt;"",COUNTIF($A$2:$A$5001,A3749)&gt;1),"NUMERO_PC duplicado",IF(B3749="","DATA_PC vazia",IF(NOT(ISNUMBER(B3749)),"DATA_PC invalida",IF(OR(C3749="",C3749="Fora dos ciclos"),"CICLO_PC nao identificado",IF(OR(D3749="",D3749=0),"VALOR_PC vazio ou zero",IF(AND(G3749&lt;&gt;"Sim",G3749&lt;&gt;"Nao",G3749&lt;&gt;""),"PC_PAGO_A_CONTRATADA invalido",IF(AND(C3749&lt;&gt;"C0",IFERROR(INDEX(parametros!$A$2:$A$6,MATCH(C3749,parametros!$B$2:$B$6,0)),"")="Sim",IFERROR(INDEX(parametros!$H$2:$H$6,MATCH(C3749,parametros!$B$2:$B$6,0)),"")=""),"INICIO_EFEITO ausente: PC "&amp;A3749&amp;" - "&amp;C3749,IF(L3749="","EFEITO_PC nao calculado: PC "&amp;A3749&amp;" - "&amp;C3749,"OK")))))))))</f>
        <v/>
      </c>
      <c r="L3749" s="92" t="str">
        <f>IF(AND(A3749="",B3749="",D3749="",G3749=""),"",IF(OR(B3749="",NOT(ISNUMBER(B3749)),C3749="",C3749="Fora dos ciclos"),"",IF(C3749="C0","Nao",IF(IFERROR(INDEX(parametros!$A$2:$A$6,MATCH(C3749,parametros!$B$2:$B$6,0)),"")&lt;&gt;"Sim","Nao",IF(IFERROR(INDEX(parametros!$H$2:$H$6,MATCH(C3749,parametros!$B$2:$B$6,0)),"")="","",IF(B3749&gt;=IFERROR(INDEX(parametros!$H$2:$H$6,MATCH(C3749,parametros!$B$2:$B$6,0)),""),"Sim","Nao"))))))</f>
        <v/>
      </c>
      <c r="T3749" s="156"/>
      <c r="U3749" s="214" t="str">
        <f t="shared" si="296"/>
        <v/>
      </c>
      <c r="V3749" s="212" t="s">
        <v>50</v>
      </c>
      <c r="W3749" s="100" t="s">
        <v>168</v>
      </c>
      <c r="X3749" s="100" t="s">
        <v>169</v>
      </c>
      <c r="Y3749" s="101" t="s">
        <v>170</v>
      </c>
      <c r="Z3749" s="101" t="s">
        <v>171</v>
      </c>
      <c r="AA3749" s="101" t="s">
        <v>50</v>
      </c>
      <c r="AB3749" s="101" t="s">
        <v>172</v>
      </c>
      <c r="AC3749" s="102" t="s">
        <v>173</v>
      </c>
    </row>
    <row r="3750" spans="1:29" ht="25.5" customHeight="1" x14ac:dyDescent="0.35">
      <c r="A3750" s="392"/>
      <c r="B3750" s="393"/>
      <c r="C3750" s="99" t="str">
        <f>IF(B3750="","",IF(NOT(ISNUMBER(B3750)),"DATA_PC invalida",IF(NOT(ISNUMBER(parametros!$C$2)),"Fora dos ciclos",IF(OR(B3750&lt;parametros!$C$2,(YEAR(B3750)-YEAR(parametros!$C$2))*12+MONTH(B3750)-MONTH(parametros!$C$2)&gt;59),"Fora dos ciclos","C"&amp;INT(((YEAR(B3750)-YEAR(parametros!$C$2))*12+MONTH(B3750)-MONTH(parametros!$C$2))/12)))))</f>
        <v/>
      </c>
      <c r="D3750" s="394"/>
      <c r="E3750" s="78" t="str">
        <f>IF(C3750="","",IFERROR(VLOOKUP(C3750,parametros!$A$11:$E$15,5,0),""))</f>
        <v/>
      </c>
      <c r="F3750" s="79" t="str">
        <f t="shared" si="292"/>
        <v/>
      </c>
      <c r="G3750" s="395"/>
      <c r="H3750" s="91">
        <f t="shared" si="293"/>
        <v>0</v>
      </c>
      <c r="I3750" s="91" t="str">
        <f t="shared" si="294"/>
        <v/>
      </c>
      <c r="J3750" s="91" t="str">
        <f t="shared" si="295"/>
        <v/>
      </c>
      <c r="K3750" s="92" t="str">
        <f>IF(AND(A3750="",B3750="",D3750="",G3750=""),"",IF(AND(A3750&lt;&gt;"",COUNTIF($A$2:$A$5001,A3750)&gt;1),"NUMERO_PC duplicado",IF(B3750="","DATA_PC vazia",IF(NOT(ISNUMBER(B3750)),"DATA_PC invalida",IF(OR(C3750="",C3750="Fora dos ciclos"),"CICLO_PC nao identificado",IF(OR(D3750="",D3750=0),"VALOR_PC vazio ou zero",IF(AND(G3750&lt;&gt;"Sim",G3750&lt;&gt;"Nao",G3750&lt;&gt;""),"PC_PAGO_A_CONTRATADA invalido",IF(AND(C3750&lt;&gt;"C0",IFERROR(INDEX(parametros!$A$2:$A$6,MATCH(C3750,parametros!$B$2:$B$6,0)),"")="Sim",IFERROR(INDEX(parametros!$H$2:$H$6,MATCH(C3750,parametros!$B$2:$B$6,0)),"")=""),"INICIO_EFEITO ausente: PC "&amp;A3750&amp;" - "&amp;C3750,IF(L3750="","EFEITO_PC nao calculado: PC "&amp;A3750&amp;" - "&amp;C3750,"OK")))))))))</f>
        <v/>
      </c>
      <c r="L3750" s="92" t="str">
        <f>IF(AND(A3750="",B3750="",D3750="",G3750=""),"",IF(OR(B3750="",NOT(ISNUMBER(B3750)),C3750="",C3750="Fora dos ciclos"),"",IF(C3750="C0","Nao",IF(IFERROR(INDEX(parametros!$A$2:$A$6,MATCH(C3750,parametros!$B$2:$B$6,0)),"")&lt;&gt;"Sim","Nao",IF(IFERROR(INDEX(parametros!$H$2:$H$6,MATCH(C3750,parametros!$B$2:$B$6,0)),"")="","",IF(B3750&gt;=IFERROR(INDEX(parametros!$H$2:$H$6,MATCH(C3750,parametros!$B$2:$B$6,0)),""),"Sim","Nao"))))))</f>
        <v/>
      </c>
      <c r="T3750" s="156"/>
      <c r="U3750" s="214" t="str">
        <f t="shared" si="296"/>
        <v/>
      </c>
      <c r="V3750" s="212" t="s">
        <v>50</v>
      </c>
      <c r="W3750" s="100" t="s">
        <v>168</v>
      </c>
      <c r="X3750" s="100" t="s">
        <v>169</v>
      </c>
      <c r="Y3750" s="101" t="s">
        <v>170</v>
      </c>
      <c r="Z3750" s="101" t="s">
        <v>171</v>
      </c>
      <c r="AA3750" s="101" t="s">
        <v>50</v>
      </c>
      <c r="AB3750" s="101" t="s">
        <v>172</v>
      </c>
      <c r="AC3750" s="102" t="s">
        <v>173</v>
      </c>
    </row>
    <row r="3751" spans="1:29" ht="25.5" customHeight="1" x14ac:dyDescent="0.35">
      <c r="A3751" s="392"/>
      <c r="B3751" s="393"/>
      <c r="C3751" s="99" t="str">
        <f>IF(B3751="","",IF(NOT(ISNUMBER(B3751)),"DATA_PC invalida",IF(NOT(ISNUMBER(parametros!$C$2)),"Fora dos ciclos",IF(OR(B3751&lt;parametros!$C$2,(YEAR(B3751)-YEAR(parametros!$C$2))*12+MONTH(B3751)-MONTH(parametros!$C$2)&gt;59),"Fora dos ciclos","C"&amp;INT(((YEAR(B3751)-YEAR(parametros!$C$2))*12+MONTH(B3751)-MONTH(parametros!$C$2))/12)))))</f>
        <v/>
      </c>
      <c r="D3751" s="394"/>
      <c r="E3751" s="78" t="str">
        <f>IF(C3751="","",IFERROR(VLOOKUP(C3751,parametros!$A$11:$E$15,5,0),""))</f>
        <v/>
      </c>
      <c r="F3751" s="79" t="str">
        <f t="shared" si="292"/>
        <v/>
      </c>
      <c r="G3751" s="395"/>
      <c r="H3751" s="91">
        <f t="shared" si="293"/>
        <v>0</v>
      </c>
      <c r="I3751" s="91" t="str">
        <f t="shared" si="294"/>
        <v/>
      </c>
      <c r="J3751" s="91" t="str">
        <f t="shared" si="295"/>
        <v/>
      </c>
      <c r="K3751" s="92" t="str">
        <f>IF(AND(A3751="",B3751="",D3751="",G3751=""),"",IF(AND(A3751&lt;&gt;"",COUNTIF($A$2:$A$5001,A3751)&gt;1),"NUMERO_PC duplicado",IF(B3751="","DATA_PC vazia",IF(NOT(ISNUMBER(B3751)),"DATA_PC invalida",IF(OR(C3751="",C3751="Fora dos ciclos"),"CICLO_PC nao identificado",IF(OR(D3751="",D3751=0),"VALOR_PC vazio ou zero",IF(AND(G3751&lt;&gt;"Sim",G3751&lt;&gt;"Nao",G3751&lt;&gt;""),"PC_PAGO_A_CONTRATADA invalido",IF(AND(C3751&lt;&gt;"C0",IFERROR(INDEX(parametros!$A$2:$A$6,MATCH(C3751,parametros!$B$2:$B$6,0)),"")="Sim",IFERROR(INDEX(parametros!$H$2:$H$6,MATCH(C3751,parametros!$B$2:$B$6,0)),"")=""),"INICIO_EFEITO ausente: PC "&amp;A3751&amp;" - "&amp;C3751,IF(L3751="","EFEITO_PC nao calculado: PC "&amp;A3751&amp;" - "&amp;C3751,"OK")))))))))</f>
        <v/>
      </c>
      <c r="L3751" s="92" t="str">
        <f>IF(AND(A3751="",B3751="",D3751="",G3751=""),"",IF(OR(B3751="",NOT(ISNUMBER(B3751)),C3751="",C3751="Fora dos ciclos"),"",IF(C3751="C0","Nao",IF(IFERROR(INDEX(parametros!$A$2:$A$6,MATCH(C3751,parametros!$B$2:$B$6,0)),"")&lt;&gt;"Sim","Nao",IF(IFERROR(INDEX(parametros!$H$2:$H$6,MATCH(C3751,parametros!$B$2:$B$6,0)),"")="","",IF(B3751&gt;=IFERROR(INDEX(parametros!$H$2:$H$6,MATCH(C3751,parametros!$B$2:$B$6,0)),""),"Sim","Nao"))))))</f>
        <v/>
      </c>
      <c r="T3751" s="156"/>
      <c r="U3751" s="214" t="str">
        <f t="shared" si="296"/>
        <v/>
      </c>
      <c r="V3751" s="212" t="s">
        <v>50</v>
      </c>
      <c r="W3751" s="100" t="s">
        <v>168</v>
      </c>
      <c r="X3751" s="100" t="s">
        <v>169</v>
      </c>
      <c r="Y3751" s="101" t="s">
        <v>170</v>
      </c>
      <c r="Z3751" s="101" t="s">
        <v>171</v>
      </c>
      <c r="AA3751" s="101" t="s">
        <v>50</v>
      </c>
      <c r="AB3751" s="101" t="s">
        <v>172</v>
      </c>
      <c r="AC3751" s="102" t="s">
        <v>173</v>
      </c>
    </row>
    <row r="3752" spans="1:29" ht="25.5" customHeight="1" x14ac:dyDescent="0.35">
      <c r="A3752" s="392"/>
      <c r="B3752" s="393"/>
      <c r="C3752" s="99" t="str">
        <f>IF(B3752="","",IF(NOT(ISNUMBER(B3752)),"DATA_PC invalida",IF(NOT(ISNUMBER(parametros!$C$2)),"Fora dos ciclos",IF(OR(B3752&lt;parametros!$C$2,(YEAR(B3752)-YEAR(parametros!$C$2))*12+MONTH(B3752)-MONTH(parametros!$C$2)&gt;59),"Fora dos ciclos","C"&amp;INT(((YEAR(B3752)-YEAR(parametros!$C$2))*12+MONTH(B3752)-MONTH(parametros!$C$2))/12)))))</f>
        <v/>
      </c>
      <c r="D3752" s="394"/>
      <c r="E3752" s="78" t="str">
        <f>IF(C3752="","",IFERROR(VLOOKUP(C3752,parametros!$A$11:$E$15,5,0),""))</f>
        <v/>
      </c>
      <c r="F3752" s="79" t="str">
        <f t="shared" si="292"/>
        <v/>
      </c>
      <c r="G3752" s="395"/>
      <c r="H3752" s="91">
        <f t="shared" si="293"/>
        <v>0</v>
      </c>
      <c r="I3752" s="91" t="str">
        <f t="shared" si="294"/>
        <v/>
      </c>
      <c r="J3752" s="91" t="str">
        <f t="shared" si="295"/>
        <v/>
      </c>
      <c r="K3752" s="92" t="str">
        <f>IF(AND(A3752="",B3752="",D3752="",G3752=""),"",IF(AND(A3752&lt;&gt;"",COUNTIF($A$2:$A$5001,A3752)&gt;1),"NUMERO_PC duplicado",IF(B3752="","DATA_PC vazia",IF(NOT(ISNUMBER(B3752)),"DATA_PC invalida",IF(OR(C3752="",C3752="Fora dos ciclos"),"CICLO_PC nao identificado",IF(OR(D3752="",D3752=0),"VALOR_PC vazio ou zero",IF(AND(G3752&lt;&gt;"Sim",G3752&lt;&gt;"Nao",G3752&lt;&gt;""),"PC_PAGO_A_CONTRATADA invalido",IF(AND(C3752&lt;&gt;"C0",IFERROR(INDEX(parametros!$A$2:$A$6,MATCH(C3752,parametros!$B$2:$B$6,0)),"")="Sim",IFERROR(INDEX(parametros!$H$2:$H$6,MATCH(C3752,parametros!$B$2:$B$6,0)),"")=""),"INICIO_EFEITO ausente: PC "&amp;A3752&amp;" - "&amp;C3752,IF(L3752="","EFEITO_PC nao calculado: PC "&amp;A3752&amp;" - "&amp;C3752,"OK")))))))))</f>
        <v/>
      </c>
      <c r="L3752" s="92" t="str">
        <f>IF(AND(A3752="",B3752="",D3752="",G3752=""),"",IF(OR(B3752="",NOT(ISNUMBER(B3752)),C3752="",C3752="Fora dos ciclos"),"",IF(C3752="C0","Nao",IF(IFERROR(INDEX(parametros!$A$2:$A$6,MATCH(C3752,parametros!$B$2:$B$6,0)),"")&lt;&gt;"Sim","Nao",IF(IFERROR(INDEX(parametros!$H$2:$H$6,MATCH(C3752,parametros!$B$2:$B$6,0)),"")="","",IF(B3752&gt;=IFERROR(INDEX(parametros!$H$2:$H$6,MATCH(C3752,parametros!$B$2:$B$6,0)),""),"Sim","Nao"))))))</f>
        <v/>
      </c>
      <c r="T3752" s="156"/>
      <c r="U3752" s="214" t="str">
        <f t="shared" si="296"/>
        <v/>
      </c>
      <c r="V3752" s="212" t="s">
        <v>50</v>
      </c>
      <c r="W3752" s="100" t="s">
        <v>168</v>
      </c>
      <c r="X3752" s="100" t="s">
        <v>169</v>
      </c>
      <c r="Y3752" s="101" t="s">
        <v>170</v>
      </c>
      <c r="Z3752" s="101" t="s">
        <v>171</v>
      </c>
      <c r="AA3752" s="101" t="s">
        <v>50</v>
      </c>
      <c r="AB3752" s="101" t="s">
        <v>172</v>
      </c>
      <c r="AC3752" s="102" t="s">
        <v>173</v>
      </c>
    </row>
    <row r="3753" spans="1:29" ht="25.5" customHeight="1" x14ac:dyDescent="0.35">
      <c r="A3753" s="392"/>
      <c r="B3753" s="393"/>
      <c r="C3753" s="99" t="str">
        <f>IF(B3753="","",IF(NOT(ISNUMBER(B3753)),"DATA_PC invalida",IF(NOT(ISNUMBER(parametros!$C$2)),"Fora dos ciclos",IF(OR(B3753&lt;parametros!$C$2,(YEAR(B3753)-YEAR(parametros!$C$2))*12+MONTH(B3753)-MONTH(parametros!$C$2)&gt;59),"Fora dos ciclos","C"&amp;INT(((YEAR(B3753)-YEAR(parametros!$C$2))*12+MONTH(B3753)-MONTH(parametros!$C$2))/12)))))</f>
        <v/>
      </c>
      <c r="D3753" s="394"/>
      <c r="E3753" s="78" t="str">
        <f>IF(C3753="","",IFERROR(VLOOKUP(C3753,parametros!$A$11:$E$15,5,0),""))</f>
        <v/>
      </c>
      <c r="F3753" s="79" t="str">
        <f t="shared" si="292"/>
        <v/>
      </c>
      <c r="G3753" s="395"/>
      <c r="H3753" s="91">
        <f t="shared" si="293"/>
        <v>0</v>
      </c>
      <c r="I3753" s="91" t="str">
        <f t="shared" si="294"/>
        <v/>
      </c>
      <c r="J3753" s="91" t="str">
        <f t="shared" si="295"/>
        <v/>
      </c>
      <c r="K3753" s="92" t="str">
        <f>IF(AND(A3753="",B3753="",D3753="",G3753=""),"",IF(AND(A3753&lt;&gt;"",COUNTIF($A$2:$A$5001,A3753)&gt;1),"NUMERO_PC duplicado",IF(B3753="","DATA_PC vazia",IF(NOT(ISNUMBER(B3753)),"DATA_PC invalida",IF(OR(C3753="",C3753="Fora dos ciclos"),"CICLO_PC nao identificado",IF(OR(D3753="",D3753=0),"VALOR_PC vazio ou zero",IF(AND(G3753&lt;&gt;"Sim",G3753&lt;&gt;"Nao",G3753&lt;&gt;""),"PC_PAGO_A_CONTRATADA invalido",IF(AND(C3753&lt;&gt;"C0",IFERROR(INDEX(parametros!$A$2:$A$6,MATCH(C3753,parametros!$B$2:$B$6,0)),"")="Sim",IFERROR(INDEX(parametros!$H$2:$H$6,MATCH(C3753,parametros!$B$2:$B$6,0)),"")=""),"INICIO_EFEITO ausente: PC "&amp;A3753&amp;" - "&amp;C3753,IF(L3753="","EFEITO_PC nao calculado: PC "&amp;A3753&amp;" - "&amp;C3753,"OK")))))))))</f>
        <v/>
      </c>
      <c r="L3753" s="92" t="str">
        <f>IF(AND(A3753="",B3753="",D3753="",G3753=""),"",IF(OR(B3753="",NOT(ISNUMBER(B3753)),C3753="",C3753="Fora dos ciclos"),"",IF(C3753="C0","Nao",IF(IFERROR(INDEX(parametros!$A$2:$A$6,MATCH(C3753,parametros!$B$2:$B$6,0)),"")&lt;&gt;"Sim","Nao",IF(IFERROR(INDEX(parametros!$H$2:$H$6,MATCH(C3753,parametros!$B$2:$B$6,0)),"")="","",IF(B3753&gt;=IFERROR(INDEX(parametros!$H$2:$H$6,MATCH(C3753,parametros!$B$2:$B$6,0)),""),"Sim","Nao"))))))</f>
        <v/>
      </c>
      <c r="T3753" s="156"/>
      <c r="U3753" s="214" t="str">
        <f t="shared" si="296"/>
        <v/>
      </c>
      <c r="V3753" s="212" t="s">
        <v>50</v>
      </c>
      <c r="W3753" s="100" t="s">
        <v>168</v>
      </c>
      <c r="X3753" s="100" t="s">
        <v>169</v>
      </c>
      <c r="Y3753" s="101" t="s">
        <v>170</v>
      </c>
      <c r="Z3753" s="101" t="s">
        <v>171</v>
      </c>
      <c r="AA3753" s="101" t="s">
        <v>50</v>
      </c>
      <c r="AB3753" s="101" t="s">
        <v>172</v>
      </c>
      <c r="AC3753" s="102" t="s">
        <v>173</v>
      </c>
    </row>
    <row r="3754" spans="1:29" ht="25.5" customHeight="1" x14ac:dyDescent="0.35">
      <c r="A3754" s="392"/>
      <c r="B3754" s="393"/>
      <c r="C3754" s="99" t="str">
        <f>IF(B3754="","",IF(NOT(ISNUMBER(B3754)),"DATA_PC invalida",IF(NOT(ISNUMBER(parametros!$C$2)),"Fora dos ciclos",IF(OR(B3754&lt;parametros!$C$2,(YEAR(B3754)-YEAR(parametros!$C$2))*12+MONTH(B3754)-MONTH(parametros!$C$2)&gt;59),"Fora dos ciclos","C"&amp;INT(((YEAR(B3754)-YEAR(parametros!$C$2))*12+MONTH(B3754)-MONTH(parametros!$C$2))/12)))))</f>
        <v/>
      </c>
      <c r="D3754" s="394"/>
      <c r="E3754" s="78" t="str">
        <f>IF(C3754="","",IFERROR(VLOOKUP(C3754,parametros!$A$11:$E$15,5,0),""))</f>
        <v/>
      </c>
      <c r="F3754" s="79" t="str">
        <f t="shared" si="292"/>
        <v/>
      </c>
      <c r="G3754" s="395"/>
      <c r="H3754" s="91">
        <f t="shared" si="293"/>
        <v>0</v>
      </c>
      <c r="I3754" s="91" t="str">
        <f t="shared" si="294"/>
        <v/>
      </c>
      <c r="J3754" s="91" t="str">
        <f t="shared" si="295"/>
        <v/>
      </c>
      <c r="K3754" s="92" t="str">
        <f>IF(AND(A3754="",B3754="",D3754="",G3754=""),"",IF(AND(A3754&lt;&gt;"",COUNTIF($A$2:$A$5001,A3754)&gt;1),"NUMERO_PC duplicado",IF(B3754="","DATA_PC vazia",IF(NOT(ISNUMBER(B3754)),"DATA_PC invalida",IF(OR(C3754="",C3754="Fora dos ciclos"),"CICLO_PC nao identificado",IF(OR(D3754="",D3754=0),"VALOR_PC vazio ou zero",IF(AND(G3754&lt;&gt;"Sim",G3754&lt;&gt;"Nao",G3754&lt;&gt;""),"PC_PAGO_A_CONTRATADA invalido",IF(AND(C3754&lt;&gt;"C0",IFERROR(INDEX(parametros!$A$2:$A$6,MATCH(C3754,parametros!$B$2:$B$6,0)),"")="Sim",IFERROR(INDEX(parametros!$H$2:$H$6,MATCH(C3754,parametros!$B$2:$B$6,0)),"")=""),"INICIO_EFEITO ausente: PC "&amp;A3754&amp;" - "&amp;C3754,IF(L3754="","EFEITO_PC nao calculado: PC "&amp;A3754&amp;" - "&amp;C3754,"OK")))))))))</f>
        <v/>
      </c>
      <c r="L3754" s="92" t="str">
        <f>IF(AND(A3754="",B3754="",D3754="",G3754=""),"",IF(OR(B3754="",NOT(ISNUMBER(B3754)),C3754="",C3754="Fora dos ciclos"),"",IF(C3754="C0","Nao",IF(IFERROR(INDEX(parametros!$A$2:$A$6,MATCH(C3754,parametros!$B$2:$B$6,0)),"")&lt;&gt;"Sim","Nao",IF(IFERROR(INDEX(parametros!$H$2:$H$6,MATCH(C3754,parametros!$B$2:$B$6,0)),"")="","",IF(B3754&gt;=IFERROR(INDEX(parametros!$H$2:$H$6,MATCH(C3754,parametros!$B$2:$B$6,0)),""),"Sim","Nao"))))))</f>
        <v/>
      </c>
      <c r="T3754" s="156"/>
      <c r="U3754" s="214" t="str">
        <f t="shared" si="296"/>
        <v/>
      </c>
      <c r="V3754" s="212" t="s">
        <v>50</v>
      </c>
      <c r="W3754" s="100" t="s">
        <v>168</v>
      </c>
      <c r="X3754" s="100" t="s">
        <v>169</v>
      </c>
      <c r="Y3754" s="101" t="s">
        <v>170</v>
      </c>
      <c r="Z3754" s="101" t="s">
        <v>171</v>
      </c>
      <c r="AA3754" s="101" t="s">
        <v>50</v>
      </c>
      <c r="AB3754" s="101" t="s">
        <v>172</v>
      </c>
      <c r="AC3754" s="102" t="s">
        <v>173</v>
      </c>
    </row>
    <row r="3755" spans="1:29" ht="25.5" customHeight="1" x14ac:dyDescent="0.35">
      <c r="A3755" s="392"/>
      <c r="B3755" s="393"/>
      <c r="C3755" s="99" t="str">
        <f>IF(B3755="","",IF(NOT(ISNUMBER(B3755)),"DATA_PC invalida",IF(NOT(ISNUMBER(parametros!$C$2)),"Fora dos ciclos",IF(OR(B3755&lt;parametros!$C$2,(YEAR(B3755)-YEAR(parametros!$C$2))*12+MONTH(B3755)-MONTH(parametros!$C$2)&gt;59),"Fora dos ciclos","C"&amp;INT(((YEAR(B3755)-YEAR(parametros!$C$2))*12+MONTH(B3755)-MONTH(parametros!$C$2))/12)))))</f>
        <v/>
      </c>
      <c r="D3755" s="394"/>
      <c r="E3755" s="78" t="str">
        <f>IF(C3755="","",IFERROR(VLOOKUP(C3755,parametros!$A$11:$E$15,5,0),""))</f>
        <v/>
      </c>
      <c r="F3755" s="79" t="str">
        <f t="shared" si="292"/>
        <v/>
      </c>
      <c r="G3755" s="395"/>
      <c r="H3755" s="91">
        <f t="shared" si="293"/>
        <v>0</v>
      </c>
      <c r="I3755" s="91" t="str">
        <f t="shared" si="294"/>
        <v/>
      </c>
      <c r="J3755" s="91" t="str">
        <f t="shared" si="295"/>
        <v/>
      </c>
      <c r="K3755" s="92" t="str">
        <f>IF(AND(A3755="",B3755="",D3755="",G3755=""),"",IF(AND(A3755&lt;&gt;"",COUNTIF($A$2:$A$5001,A3755)&gt;1),"NUMERO_PC duplicado",IF(B3755="","DATA_PC vazia",IF(NOT(ISNUMBER(B3755)),"DATA_PC invalida",IF(OR(C3755="",C3755="Fora dos ciclos"),"CICLO_PC nao identificado",IF(OR(D3755="",D3755=0),"VALOR_PC vazio ou zero",IF(AND(G3755&lt;&gt;"Sim",G3755&lt;&gt;"Nao",G3755&lt;&gt;""),"PC_PAGO_A_CONTRATADA invalido",IF(AND(C3755&lt;&gt;"C0",IFERROR(INDEX(parametros!$A$2:$A$6,MATCH(C3755,parametros!$B$2:$B$6,0)),"")="Sim",IFERROR(INDEX(parametros!$H$2:$H$6,MATCH(C3755,parametros!$B$2:$B$6,0)),"")=""),"INICIO_EFEITO ausente: PC "&amp;A3755&amp;" - "&amp;C3755,IF(L3755="","EFEITO_PC nao calculado: PC "&amp;A3755&amp;" - "&amp;C3755,"OK")))))))))</f>
        <v/>
      </c>
      <c r="L3755" s="92" t="str">
        <f>IF(AND(A3755="",B3755="",D3755="",G3755=""),"",IF(OR(B3755="",NOT(ISNUMBER(B3755)),C3755="",C3755="Fora dos ciclos"),"",IF(C3755="C0","Nao",IF(IFERROR(INDEX(parametros!$A$2:$A$6,MATCH(C3755,parametros!$B$2:$B$6,0)),"")&lt;&gt;"Sim","Nao",IF(IFERROR(INDEX(parametros!$H$2:$H$6,MATCH(C3755,parametros!$B$2:$B$6,0)),"")="","",IF(B3755&gt;=IFERROR(INDEX(parametros!$H$2:$H$6,MATCH(C3755,parametros!$B$2:$B$6,0)),""),"Sim","Nao"))))))</f>
        <v/>
      </c>
      <c r="T3755" s="156"/>
      <c r="U3755" s="214" t="str">
        <f t="shared" si="296"/>
        <v/>
      </c>
      <c r="V3755" s="212" t="s">
        <v>50</v>
      </c>
      <c r="W3755" s="100" t="s">
        <v>168</v>
      </c>
      <c r="X3755" s="100" t="s">
        <v>169</v>
      </c>
      <c r="Y3755" s="101" t="s">
        <v>170</v>
      </c>
      <c r="Z3755" s="101" t="s">
        <v>171</v>
      </c>
      <c r="AA3755" s="101" t="s">
        <v>50</v>
      </c>
      <c r="AB3755" s="101" t="s">
        <v>172</v>
      </c>
      <c r="AC3755" s="102" t="s">
        <v>173</v>
      </c>
    </row>
    <row r="3756" spans="1:29" ht="25.5" customHeight="1" x14ac:dyDescent="0.35">
      <c r="A3756" s="392"/>
      <c r="B3756" s="393"/>
      <c r="C3756" s="99" t="str">
        <f>IF(B3756="","",IF(NOT(ISNUMBER(B3756)),"DATA_PC invalida",IF(NOT(ISNUMBER(parametros!$C$2)),"Fora dos ciclos",IF(OR(B3756&lt;parametros!$C$2,(YEAR(B3756)-YEAR(parametros!$C$2))*12+MONTH(B3756)-MONTH(parametros!$C$2)&gt;59),"Fora dos ciclos","C"&amp;INT(((YEAR(B3756)-YEAR(parametros!$C$2))*12+MONTH(B3756)-MONTH(parametros!$C$2))/12)))))</f>
        <v/>
      </c>
      <c r="D3756" s="394"/>
      <c r="E3756" s="78" t="str">
        <f>IF(C3756="","",IFERROR(VLOOKUP(C3756,parametros!$A$11:$E$15,5,0),""))</f>
        <v/>
      </c>
      <c r="F3756" s="79" t="str">
        <f t="shared" si="292"/>
        <v/>
      </c>
      <c r="G3756" s="395"/>
      <c r="H3756" s="91">
        <f t="shared" si="293"/>
        <v>0</v>
      </c>
      <c r="I3756" s="91" t="str">
        <f t="shared" si="294"/>
        <v/>
      </c>
      <c r="J3756" s="91" t="str">
        <f t="shared" si="295"/>
        <v/>
      </c>
      <c r="K3756" s="92" t="str">
        <f>IF(AND(A3756="",B3756="",D3756="",G3756=""),"",IF(AND(A3756&lt;&gt;"",COUNTIF($A$2:$A$5001,A3756)&gt;1),"NUMERO_PC duplicado",IF(B3756="","DATA_PC vazia",IF(NOT(ISNUMBER(B3756)),"DATA_PC invalida",IF(OR(C3756="",C3756="Fora dos ciclos"),"CICLO_PC nao identificado",IF(OR(D3756="",D3756=0),"VALOR_PC vazio ou zero",IF(AND(G3756&lt;&gt;"Sim",G3756&lt;&gt;"Nao",G3756&lt;&gt;""),"PC_PAGO_A_CONTRATADA invalido",IF(AND(C3756&lt;&gt;"C0",IFERROR(INDEX(parametros!$A$2:$A$6,MATCH(C3756,parametros!$B$2:$B$6,0)),"")="Sim",IFERROR(INDEX(parametros!$H$2:$H$6,MATCH(C3756,parametros!$B$2:$B$6,0)),"")=""),"INICIO_EFEITO ausente: PC "&amp;A3756&amp;" - "&amp;C3756,IF(L3756="","EFEITO_PC nao calculado: PC "&amp;A3756&amp;" - "&amp;C3756,"OK")))))))))</f>
        <v/>
      </c>
      <c r="L3756" s="92" t="str">
        <f>IF(AND(A3756="",B3756="",D3756="",G3756=""),"",IF(OR(B3756="",NOT(ISNUMBER(B3756)),C3756="",C3756="Fora dos ciclos"),"",IF(C3756="C0","Nao",IF(IFERROR(INDEX(parametros!$A$2:$A$6,MATCH(C3756,parametros!$B$2:$B$6,0)),"")&lt;&gt;"Sim","Nao",IF(IFERROR(INDEX(parametros!$H$2:$H$6,MATCH(C3756,parametros!$B$2:$B$6,0)),"")="","",IF(B3756&gt;=IFERROR(INDEX(parametros!$H$2:$H$6,MATCH(C3756,parametros!$B$2:$B$6,0)),""),"Sim","Nao"))))))</f>
        <v/>
      </c>
      <c r="T3756" s="156"/>
      <c r="U3756" s="214" t="str">
        <f t="shared" si="296"/>
        <v/>
      </c>
      <c r="V3756" s="212" t="s">
        <v>50</v>
      </c>
      <c r="W3756" s="100" t="s">
        <v>168</v>
      </c>
      <c r="X3756" s="100" t="s">
        <v>169</v>
      </c>
      <c r="Y3756" s="101" t="s">
        <v>170</v>
      </c>
      <c r="Z3756" s="101" t="s">
        <v>171</v>
      </c>
      <c r="AA3756" s="101" t="s">
        <v>50</v>
      </c>
      <c r="AB3756" s="101" t="s">
        <v>172</v>
      </c>
      <c r="AC3756" s="102" t="s">
        <v>173</v>
      </c>
    </row>
    <row r="3757" spans="1:29" ht="25.5" customHeight="1" x14ac:dyDescent="0.35">
      <c r="A3757" s="392"/>
      <c r="B3757" s="393"/>
      <c r="C3757" s="99" t="str">
        <f>IF(B3757="","",IF(NOT(ISNUMBER(B3757)),"DATA_PC invalida",IF(NOT(ISNUMBER(parametros!$C$2)),"Fora dos ciclos",IF(OR(B3757&lt;parametros!$C$2,(YEAR(B3757)-YEAR(parametros!$C$2))*12+MONTH(B3757)-MONTH(parametros!$C$2)&gt;59),"Fora dos ciclos","C"&amp;INT(((YEAR(B3757)-YEAR(parametros!$C$2))*12+MONTH(B3757)-MONTH(parametros!$C$2))/12)))))</f>
        <v/>
      </c>
      <c r="D3757" s="394"/>
      <c r="E3757" s="78" t="str">
        <f>IF(C3757="","",IFERROR(VLOOKUP(C3757,parametros!$A$11:$E$15,5,0),""))</f>
        <v/>
      </c>
      <c r="F3757" s="79" t="str">
        <f t="shared" si="292"/>
        <v/>
      </c>
      <c r="G3757" s="395"/>
      <c r="H3757" s="91">
        <f t="shared" si="293"/>
        <v>0</v>
      </c>
      <c r="I3757" s="91" t="str">
        <f t="shared" si="294"/>
        <v/>
      </c>
      <c r="J3757" s="91" t="str">
        <f t="shared" si="295"/>
        <v/>
      </c>
      <c r="K3757" s="92" t="str">
        <f>IF(AND(A3757="",B3757="",D3757="",G3757=""),"",IF(AND(A3757&lt;&gt;"",COUNTIF($A$2:$A$5001,A3757)&gt;1),"NUMERO_PC duplicado",IF(B3757="","DATA_PC vazia",IF(NOT(ISNUMBER(B3757)),"DATA_PC invalida",IF(OR(C3757="",C3757="Fora dos ciclos"),"CICLO_PC nao identificado",IF(OR(D3757="",D3757=0),"VALOR_PC vazio ou zero",IF(AND(G3757&lt;&gt;"Sim",G3757&lt;&gt;"Nao",G3757&lt;&gt;""),"PC_PAGO_A_CONTRATADA invalido",IF(AND(C3757&lt;&gt;"C0",IFERROR(INDEX(parametros!$A$2:$A$6,MATCH(C3757,parametros!$B$2:$B$6,0)),"")="Sim",IFERROR(INDEX(parametros!$H$2:$H$6,MATCH(C3757,parametros!$B$2:$B$6,0)),"")=""),"INICIO_EFEITO ausente: PC "&amp;A3757&amp;" - "&amp;C3757,IF(L3757="","EFEITO_PC nao calculado: PC "&amp;A3757&amp;" - "&amp;C3757,"OK")))))))))</f>
        <v/>
      </c>
      <c r="L3757" s="92" t="str">
        <f>IF(AND(A3757="",B3757="",D3757="",G3757=""),"",IF(OR(B3757="",NOT(ISNUMBER(B3757)),C3757="",C3757="Fora dos ciclos"),"",IF(C3757="C0","Nao",IF(IFERROR(INDEX(parametros!$A$2:$A$6,MATCH(C3757,parametros!$B$2:$B$6,0)),"")&lt;&gt;"Sim","Nao",IF(IFERROR(INDEX(parametros!$H$2:$H$6,MATCH(C3757,parametros!$B$2:$B$6,0)),"")="","",IF(B3757&gt;=IFERROR(INDEX(parametros!$H$2:$H$6,MATCH(C3757,parametros!$B$2:$B$6,0)),""),"Sim","Nao"))))))</f>
        <v/>
      </c>
      <c r="T3757" s="156"/>
      <c r="U3757" s="214" t="str">
        <f t="shared" si="296"/>
        <v/>
      </c>
      <c r="V3757" s="212" t="s">
        <v>50</v>
      </c>
      <c r="W3757" s="100" t="s">
        <v>168</v>
      </c>
      <c r="X3757" s="100" t="s">
        <v>169</v>
      </c>
      <c r="Y3757" s="101" t="s">
        <v>170</v>
      </c>
      <c r="Z3757" s="101" t="s">
        <v>171</v>
      </c>
      <c r="AA3757" s="101" t="s">
        <v>50</v>
      </c>
      <c r="AB3757" s="101" t="s">
        <v>172</v>
      </c>
      <c r="AC3757" s="102" t="s">
        <v>173</v>
      </c>
    </row>
    <row r="3758" spans="1:29" ht="25.5" customHeight="1" x14ac:dyDescent="0.35">
      <c r="A3758" s="392"/>
      <c r="B3758" s="393"/>
      <c r="C3758" s="99" t="str">
        <f>IF(B3758="","",IF(NOT(ISNUMBER(B3758)),"DATA_PC invalida",IF(NOT(ISNUMBER(parametros!$C$2)),"Fora dos ciclos",IF(OR(B3758&lt;parametros!$C$2,(YEAR(B3758)-YEAR(parametros!$C$2))*12+MONTH(B3758)-MONTH(parametros!$C$2)&gt;59),"Fora dos ciclos","C"&amp;INT(((YEAR(B3758)-YEAR(parametros!$C$2))*12+MONTH(B3758)-MONTH(parametros!$C$2))/12)))))</f>
        <v/>
      </c>
      <c r="D3758" s="394"/>
      <c r="E3758" s="78" t="str">
        <f>IF(C3758="","",IFERROR(VLOOKUP(C3758,parametros!$A$11:$E$15,5,0),""))</f>
        <v/>
      </c>
      <c r="F3758" s="79" t="str">
        <f t="shared" si="292"/>
        <v/>
      </c>
      <c r="G3758" s="395"/>
      <c r="H3758" s="91">
        <f t="shared" si="293"/>
        <v>0</v>
      </c>
      <c r="I3758" s="91" t="str">
        <f t="shared" si="294"/>
        <v/>
      </c>
      <c r="J3758" s="91" t="str">
        <f t="shared" si="295"/>
        <v/>
      </c>
      <c r="K3758" s="92" t="str">
        <f>IF(AND(A3758="",B3758="",D3758="",G3758=""),"",IF(AND(A3758&lt;&gt;"",COUNTIF($A$2:$A$5001,A3758)&gt;1),"NUMERO_PC duplicado",IF(B3758="","DATA_PC vazia",IF(NOT(ISNUMBER(B3758)),"DATA_PC invalida",IF(OR(C3758="",C3758="Fora dos ciclos"),"CICLO_PC nao identificado",IF(OR(D3758="",D3758=0),"VALOR_PC vazio ou zero",IF(AND(G3758&lt;&gt;"Sim",G3758&lt;&gt;"Nao",G3758&lt;&gt;""),"PC_PAGO_A_CONTRATADA invalido",IF(AND(C3758&lt;&gt;"C0",IFERROR(INDEX(parametros!$A$2:$A$6,MATCH(C3758,parametros!$B$2:$B$6,0)),"")="Sim",IFERROR(INDEX(parametros!$H$2:$H$6,MATCH(C3758,parametros!$B$2:$B$6,0)),"")=""),"INICIO_EFEITO ausente: PC "&amp;A3758&amp;" - "&amp;C3758,IF(L3758="","EFEITO_PC nao calculado: PC "&amp;A3758&amp;" - "&amp;C3758,"OK")))))))))</f>
        <v/>
      </c>
      <c r="L3758" s="92" t="str">
        <f>IF(AND(A3758="",B3758="",D3758="",G3758=""),"",IF(OR(B3758="",NOT(ISNUMBER(B3758)),C3758="",C3758="Fora dos ciclos"),"",IF(C3758="C0","Nao",IF(IFERROR(INDEX(parametros!$A$2:$A$6,MATCH(C3758,parametros!$B$2:$B$6,0)),"")&lt;&gt;"Sim","Nao",IF(IFERROR(INDEX(parametros!$H$2:$H$6,MATCH(C3758,parametros!$B$2:$B$6,0)),"")="","",IF(B3758&gt;=IFERROR(INDEX(parametros!$H$2:$H$6,MATCH(C3758,parametros!$B$2:$B$6,0)),""),"Sim","Nao"))))))</f>
        <v/>
      </c>
      <c r="T3758" s="156"/>
      <c r="U3758" s="214" t="str">
        <f t="shared" si="296"/>
        <v/>
      </c>
      <c r="V3758" s="212" t="s">
        <v>50</v>
      </c>
      <c r="W3758" s="100" t="s">
        <v>168</v>
      </c>
      <c r="X3758" s="100" t="s">
        <v>169</v>
      </c>
      <c r="Y3758" s="101" t="s">
        <v>170</v>
      </c>
      <c r="Z3758" s="101" t="s">
        <v>171</v>
      </c>
      <c r="AA3758" s="101" t="s">
        <v>50</v>
      </c>
      <c r="AB3758" s="101" t="s">
        <v>172</v>
      </c>
      <c r="AC3758" s="102" t="s">
        <v>173</v>
      </c>
    </row>
    <row r="3759" spans="1:29" ht="25.5" customHeight="1" x14ac:dyDescent="0.35">
      <c r="A3759" s="392"/>
      <c r="B3759" s="393"/>
      <c r="C3759" s="99" t="str">
        <f>IF(B3759="","",IF(NOT(ISNUMBER(B3759)),"DATA_PC invalida",IF(NOT(ISNUMBER(parametros!$C$2)),"Fora dos ciclos",IF(OR(B3759&lt;parametros!$C$2,(YEAR(B3759)-YEAR(parametros!$C$2))*12+MONTH(B3759)-MONTH(parametros!$C$2)&gt;59),"Fora dos ciclos","C"&amp;INT(((YEAR(B3759)-YEAR(parametros!$C$2))*12+MONTH(B3759)-MONTH(parametros!$C$2))/12)))))</f>
        <v/>
      </c>
      <c r="D3759" s="394"/>
      <c r="E3759" s="78" t="str">
        <f>IF(C3759="","",IFERROR(VLOOKUP(C3759,parametros!$A$11:$E$15,5,0),""))</f>
        <v/>
      </c>
      <c r="F3759" s="79" t="str">
        <f t="shared" si="292"/>
        <v/>
      </c>
      <c r="G3759" s="395"/>
      <c r="H3759" s="91">
        <f t="shared" si="293"/>
        <v>0</v>
      </c>
      <c r="I3759" s="91" t="str">
        <f t="shared" si="294"/>
        <v/>
      </c>
      <c r="J3759" s="91" t="str">
        <f t="shared" si="295"/>
        <v/>
      </c>
      <c r="K3759" s="92" t="str">
        <f>IF(AND(A3759="",B3759="",D3759="",G3759=""),"",IF(AND(A3759&lt;&gt;"",COUNTIF($A$2:$A$5001,A3759)&gt;1),"NUMERO_PC duplicado",IF(B3759="","DATA_PC vazia",IF(NOT(ISNUMBER(B3759)),"DATA_PC invalida",IF(OR(C3759="",C3759="Fora dos ciclos"),"CICLO_PC nao identificado",IF(OR(D3759="",D3759=0),"VALOR_PC vazio ou zero",IF(AND(G3759&lt;&gt;"Sim",G3759&lt;&gt;"Nao",G3759&lt;&gt;""),"PC_PAGO_A_CONTRATADA invalido",IF(AND(C3759&lt;&gt;"C0",IFERROR(INDEX(parametros!$A$2:$A$6,MATCH(C3759,parametros!$B$2:$B$6,0)),"")="Sim",IFERROR(INDEX(parametros!$H$2:$H$6,MATCH(C3759,parametros!$B$2:$B$6,0)),"")=""),"INICIO_EFEITO ausente: PC "&amp;A3759&amp;" - "&amp;C3759,IF(L3759="","EFEITO_PC nao calculado: PC "&amp;A3759&amp;" - "&amp;C3759,"OK")))))))))</f>
        <v/>
      </c>
      <c r="L3759" s="92" t="str">
        <f>IF(AND(A3759="",B3759="",D3759="",G3759=""),"",IF(OR(B3759="",NOT(ISNUMBER(B3759)),C3759="",C3759="Fora dos ciclos"),"",IF(C3759="C0","Nao",IF(IFERROR(INDEX(parametros!$A$2:$A$6,MATCH(C3759,parametros!$B$2:$B$6,0)),"")&lt;&gt;"Sim","Nao",IF(IFERROR(INDEX(parametros!$H$2:$H$6,MATCH(C3759,parametros!$B$2:$B$6,0)),"")="","",IF(B3759&gt;=IFERROR(INDEX(parametros!$H$2:$H$6,MATCH(C3759,parametros!$B$2:$B$6,0)),""),"Sim","Nao"))))))</f>
        <v/>
      </c>
      <c r="T3759" s="156"/>
      <c r="U3759" s="214" t="str">
        <f t="shared" si="296"/>
        <v/>
      </c>
      <c r="V3759" s="212" t="s">
        <v>50</v>
      </c>
      <c r="W3759" s="100" t="s">
        <v>168</v>
      </c>
      <c r="X3759" s="100" t="s">
        <v>169</v>
      </c>
      <c r="Y3759" s="101" t="s">
        <v>170</v>
      </c>
      <c r="Z3759" s="101" t="s">
        <v>171</v>
      </c>
      <c r="AA3759" s="101" t="s">
        <v>50</v>
      </c>
      <c r="AB3759" s="101" t="s">
        <v>172</v>
      </c>
      <c r="AC3759" s="102" t="s">
        <v>173</v>
      </c>
    </row>
    <row r="3760" spans="1:29" ht="25.5" customHeight="1" x14ac:dyDescent="0.35">
      <c r="A3760" s="392"/>
      <c r="B3760" s="393"/>
      <c r="C3760" s="99" t="str">
        <f>IF(B3760="","",IF(NOT(ISNUMBER(B3760)),"DATA_PC invalida",IF(NOT(ISNUMBER(parametros!$C$2)),"Fora dos ciclos",IF(OR(B3760&lt;parametros!$C$2,(YEAR(B3760)-YEAR(parametros!$C$2))*12+MONTH(B3760)-MONTH(parametros!$C$2)&gt;59),"Fora dos ciclos","C"&amp;INT(((YEAR(B3760)-YEAR(parametros!$C$2))*12+MONTH(B3760)-MONTH(parametros!$C$2))/12)))))</f>
        <v/>
      </c>
      <c r="D3760" s="394"/>
      <c r="E3760" s="78" t="str">
        <f>IF(C3760="","",IFERROR(VLOOKUP(C3760,parametros!$A$11:$E$15,5,0),""))</f>
        <v/>
      </c>
      <c r="F3760" s="79" t="str">
        <f t="shared" si="292"/>
        <v/>
      </c>
      <c r="G3760" s="395"/>
      <c r="H3760" s="91">
        <f t="shared" si="293"/>
        <v>0</v>
      </c>
      <c r="I3760" s="91" t="str">
        <f t="shared" si="294"/>
        <v/>
      </c>
      <c r="J3760" s="91" t="str">
        <f t="shared" si="295"/>
        <v/>
      </c>
      <c r="K3760" s="92" t="str">
        <f>IF(AND(A3760="",B3760="",D3760="",G3760=""),"",IF(AND(A3760&lt;&gt;"",COUNTIF($A$2:$A$5001,A3760)&gt;1),"NUMERO_PC duplicado",IF(B3760="","DATA_PC vazia",IF(NOT(ISNUMBER(B3760)),"DATA_PC invalida",IF(OR(C3760="",C3760="Fora dos ciclos"),"CICLO_PC nao identificado",IF(OR(D3760="",D3760=0),"VALOR_PC vazio ou zero",IF(AND(G3760&lt;&gt;"Sim",G3760&lt;&gt;"Nao",G3760&lt;&gt;""),"PC_PAGO_A_CONTRATADA invalido",IF(AND(C3760&lt;&gt;"C0",IFERROR(INDEX(parametros!$A$2:$A$6,MATCH(C3760,parametros!$B$2:$B$6,0)),"")="Sim",IFERROR(INDEX(parametros!$H$2:$H$6,MATCH(C3760,parametros!$B$2:$B$6,0)),"")=""),"INICIO_EFEITO ausente: PC "&amp;A3760&amp;" - "&amp;C3760,IF(L3760="","EFEITO_PC nao calculado: PC "&amp;A3760&amp;" - "&amp;C3760,"OK")))))))))</f>
        <v/>
      </c>
      <c r="L3760" s="92" t="str">
        <f>IF(AND(A3760="",B3760="",D3760="",G3760=""),"",IF(OR(B3760="",NOT(ISNUMBER(B3760)),C3760="",C3760="Fora dos ciclos"),"",IF(C3760="C0","Nao",IF(IFERROR(INDEX(parametros!$A$2:$A$6,MATCH(C3760,parametros!$B$2:$B$6,0)),"")&lt;&gt;"Sim","Nao",IF(IFERROR(INDEX(parametros!$H$2:$H$6,MATCH(C3760,parametros!$B$2:$B$6,0)),"")="","",IF(B3760&gt;=IFERROR(INDEX(parametros!$H$2:$H$6,MATCH(C3760,parametros!$B$2:$B$6,0)),""),"Sim","Nao"))))))</f>
        <v/>
      </c>
      <c r="T3760" s="156"/>
      <c r="U3760" s="214" t="str">
        <f t="shared" si="296"/>
        <v/>
      </c>
      <c r="V3760" s="212" t="s">
        <v>50</v>
      </c>
      <c r="W3760" s="100" t="s">
        <v>168</v>
      </c>
      <c r="X3760" s="100" t="s">
        <v>169</v>
      </c>
      <c r="Y3760" s="101" t="s">
        <v>170</v>
      </c>
      <c r="Z3760" s="101" t="s">
        <v>171</v>
      </c>
      <c r="AA3760" s="101" t="s">
        <v>50</v>
      </c>
      <c r="AB3760" s="101" t="s">
        <v>172</v>
      </c>
      <c r="AC3760" s="102" t="s">
        <v>173</v>
      </c>
    </row>
    <row r="3761" spans="1:29" ht="25.5" customHeight="1" x14ac:dyDescent="0.35">
      <c r="A3761" s="392"/>
      <c r="B3761" s="393"/>
      <c r="C3761" s="99" t="str">
        <f>IF(B3761="","",IF(NOT(ISNUMBER(B3761)),"DATA_PC invalida",IF(NOT(ISNUMBER(parametros!$C$2)),"Fora dos ciclos",IF(OR(B3761&lt;parametros!$C$2,(YEAR(B3761)-YEAR(parametros!$C$2))*12+MONTH(B3761)-MONTH(parametros!$C$2)&gt;59),"Fora dos ciclos","C"&amp;INT(((YEAR(B3761)-YEAR(parametros!$C$2))*12+MONTH(B3761)-MONTH(parametros!$C$2))/12)))))</f>
        <v/>
      </c>
      <c r="D3761" s="394"/>
      <c r="E3761" s="78" t="str">
        <f>IF(C3761="","",IFERROR(VLOOKUP(C3761,parametros!$A$11:$E$15,5,0),""))</f>
        <v/>
      </c>
      <c r="F3761" s="79" t="str">
        <f t="shared" si="292"/>
        <v/>
      </c>
      <c r="G3761" s="395"/>
      <c r="H3761" s="91">
        <f t="shared" si="293"/>
        <v>0</v>
      </c>
      <c r="I3761" s="91" t="str">
        <f t="shared" si="294"/>
        <v/>
      </c>
      <c r="J3761" s="91" t="str">
        <f t="shared" si="295"/>
        <v/>
      </c>
      <c r="K3761" s="92" t="str">
        <f>IF(AND(A3761="",B3761="",D3761="",G3761=""),"",IF(AND(A3761&lt;&gt;"",COUNTIF($A$2:$A$5001,A3761)&gt;1),"NUMERO_PC duplicado",IF(B3761="","DATA_PC vazia",IF(NOT(ISNUMBER(B3761)),"DATA_PC invalida",IF(OR(C3761="",C3761="Fora dos ciclos"),"CICLO_PC nao identificado",IF(OR(D3761="",D3761=0),"VALOR_PC vazio ou zero",IF(AND(G3761&lt;&gt;"Sim",G3761&lt;&gt;"Nao",G3761&lt;&gt;""),"PC_PAGO_A_CONTRATADA invalido",IF(AND(C3761&lt;&gt;"C0",IFERROR(INDEX(parametros!$A$2:$A$6,MATCH(C3761,parametros!$B$2:$B$6,0)),"")="Sim",IFERROR(INDEX(parametros!$H$2:$H$6,MATCH(C3761,parametros!$B$2:$B$6,0)),"")=""),"INICIO_EFEITO ausente: PC "&amp;A3761&amp;" - "&amp;C3761,IF(L3761="","EFEITO_PC nao calculado: PC "&amp;A3761&amp;" - "&amp;C3761,"OK")))))))))</f>
        <v/>
      </c>
      <c r="L3761" s="92" t="str">
        <f>IF(AND(A3761="",B3761="",D3761="",G3761=""),"",IF(OR(B3761="",NOT(ISNUMBER(B3761)),C3761="",C3761="Fora dos ciclos"),"",IF(C3761="C0","Nao",IF(IFERROR(INDEX(parametros!$A$2:$A$6,MATCH(C3761,parametros!$B$2:$B$6,0)),"")&lt;&gt;"Sim","Nao",IF(IFERROR(INDEX(parametros!$H$2:$H$6,MATCH(C3761,parametros!$B$2:$B$6,0)),"")="","",IF(B3761&gt;=IFERROR(INDEX(parametros!$H$2:$H$6,MATCH(C3761,parametros!$B$2:$B$6,0)),""),"Sim","Nao"))))))</f>
        <v/>
      </c>
      <c r="T3761" s="156"/>
      <c r="U3761" s="214" t="str">
        <f t="shared" si="296"/>
        <v/>
      </c>
      <c r="V3761" s="212" t="s">
        <v>50</v>
      </c>
      <c r="W3761" s="100" t="s">
        <v>168</v>
      </c>
      <c r="X3761" s="100" t="s">
        <v>169</v>
      </c>
      <c r="Y3761" s="101" t="s">
        <v>170</v>
      </c>
      <c r="Z3761" s="101" t="s">
        <v>171</v>
      </c>
      <c r="AA3761" s="101" t="s">
        <v>50</v>
      </c>
      <c r="AB3761" s="101" t="s">
        <v>172</v>
      </c>
      <c r="AC3761" s="102" t="s">
        <v>173</v>
      </c>
    </row>
    <row r="3762" spans="1:29" ht="25.5" customHeight="1" x14ac:dyDescent="0.35">
      <c r="A3762" s="392"/>
      <c r="B3762" s="393"/>
      <c r="C3762" s="99" t="str">
        <f>IF(B3762="","",IF(NOT(ISNUMBER(B3762)),"DATA_PC invalida",IF(NOT(ISNUMBER(parametros!$C$2)),"Fora dos ciclos",IF(OR(B3762&lt;parametros!$C$2,(YEAR(B3762)-YEAR(parametros!$C$2))*12+MONTH(B3762)-MONTH(parametros!$C$2)&gt;59),"Fora dos ciclos","C"&amp;INT(((YEAR(B3762)-YEAR(parametros!$C$2))*12+MONTH(B3762)-MONTH(parametros!$C$2))/12)))))</f>
        <v/>
      </c>
      <c r="D3762" s="394"/>
      <c r="E3762" s="78" t="str">
        <f>IF(C3762="","",IFERROR(VLOOKUP(C3762,parametros!$A$11:$E$15,5,0),""))</f>
        <v/>
      </c>
      <c r="F3762" s="79" t="str">
        <f t="shared" si="292"/>
        <v/>
      </c>
      <c r="G3762" s="395"/>
      <c r="H3762" s="91">
        <f t="shared" si="293"/>
        <v>0</v>
      </c>
      <c r="I3762" s="91" t="str">
        <f t="shared" si="294"/>
        <v/>
      </c>
      <c r="J3762" s="91" t="str">
        <f t="shared" si="295"/>
        <v/>
      </c>
      <c r="K3762" s="92" t="str">
        <f>IF(AND(A3762="",B3762="",D3762="",G3762=""),"",IF(AND(A3762&lt;&gt;"",COUNTIF($A$2:$A$5001,A3762)&gt;1),"NUMERO_PC duplicado",IF(B3762="","DATA_PC vazia",IF(NOT(ISNUMBER(B3762)),"DATA_PC invalida",IF(OR(C3762="",C3762="Fora dos ciclos"),"CICLO_PC nao identificado",IF(OR(D3762="",D3762=0),"VALOR_PC vazio ou zero",IF(AND(G3762&lt;&gt;"Sim",G3762&lt;&gt;"Nao",G3762&lt;&gt;""),"PC_PAGO_A_CONTRATADA invalido",IF(AND(C3762&lt;&gt;"C0",IFERROR(INDEX(parametros!$A$2:$A$6,MATCH(C3762,parametros!$B$2:$B$6,0)),"")="Sim",IFERROR(INDEX(parametros!$H$2:$H$6,MATCH(C3762,parametros!$B$2:$B$6,0)),"")=""),"INICIO_EFEITO ausente: PC "&amp;A3762&amp;" - "&amp;C3762,IF(L3762="","EFEITO_PC nao calculado: PC "&amp;A3762&amp;" - "&amp;C3762,"OK")))))))))</f>
        <v/>
      </c>
      <c r="L3762" s="92" t="str">
        <f>IF(AND(A3762="",B3762="",D3762="",G3762=""),"",IF(OR(B3762="",NOT(ISNUMBER(B3762)),C3762="",C3762="Fora dos ciclos"),"",IF(C3762="C0","Nao",IF(IFERROR(INDEX(parametros!$A$2:$A$6,MATCH(C3762,parametros!$B$2:$B$6,0)),"")&lt;&gt;"Sim","Nao",IF(IFERROR(INDEX(parametros!$H$2:$H$6,MATCH(C3762,parametros!$B$2:$B$6,0)),"")="","",IF(B3762&gt;=IFERROR(INDEX(parametros!$H$2:$H$6,MATCH(C3762,parametros!$B$2:$B$6,0)),""),"Sim","Nao"))))))</f>
        <v/>
      </c>
      <c r="T3762" s="156"/>
      <c r="U3762" s="214" t="str">
        <f t="shared" si="296"/>
        <v/>
      </c>
      <c r="V3762" s="212" t="s">
        <v>50</v>
      </c>
      <c r="W3762" s="100" t="s">
        <v>168</v>
      </c>
      <c r="X3762" s="100" t="s">
        <v>169</v>
      </c>
      <c r="Y3762" s="101" t="s">
        <v>170</v>
      </c>
      <c r="Z3762" s="101" t="s">
        <v>171</v>
      </c>
      <c r="AA3762" s="101" t="s">
        <v>50</v>
      </c>
      <c r="AB3762" s="101" t="s">
        <v>172</v>
      </c>
      <c r="AC3762" s="102" t="s">
        <v>173</v>
      </c>
    </row>
    <row r="3763" spans="1:29" ht="25.5" customHeight="1" x14ac:dyDescent="0.35">
      <c r="A3763" s="392"/>
      <c r="B3763" s="393"/>
      <c r="C3763" s="99" t="str">
        <f>IF(B3763="","",IF(NOT(ISNUMBER(B3763)),"DATA_PC invalida",IF(NOT(ISNUMBER(parametros!$C$2)),"Fora dos ciclos",IF(OR(B3763&lt;parametros!$C$2,(YEAR(B3763)-YEAR(parametros!$C$2))*12+MONTH(B3763)-MONTH(parametros!$C$2)&gt;59),"Fora dos ciclos","C"&amp;INT(((YEAR(B3763)-YEAR(parametros!$C$2))*12+MONTH(B3763)-MONTH(parametros!$C$2))/12)))))</f>
        <v/>
      </c>
      <c r="D3763" s="394"/>
      <c r="E3763" s="78" t="str">
        <f>IF(C3763="","",IFERROR(VLOOKUP(C3763,parametros!$A$11:$E$15,5,0),""))</f>
        <v/>
      </c>
      <c r="F3763" s="79" t="str">
        <f t="shared" si="292"/>
        <v/>
      </c>
      <c r="G3763" s="395"/>
      <c r="H3763" s="91">
        <f t="shared" si="293"/>
        <v>0</v>
      </c>
      <c r="I3763" s="91" t="str">
        <f t="shared" si="294"/>
        <v/>
      </c>
      <c r="J3763" s="91" t="str">
        <f t="shared" si="295"/>
        <v/>
      </c>
      <c r="K3763" s="92" t="str">
        <f>IF(AND(A3763="",B3763="",D3763="",G3763=""),"",IF(AND(A3763&lt;&gt;"",COUNTIF($A$2:$A$5001,A3763)&gt;1),"NUMERO_PC duplicado",IF(B3763="","DATA_PC vazia",IF(NOT(ISNUMBER(B3763)),"DATA_PC invalida",IF(OR(C3763="",C3763="Fora dos ciclos"),"CICLO_PC nao identificado",IF(OR(D3763="",D3763=0),"VALOR_PC vazio ou zero",IF(AND(G3763&lt;&gt;"Sim",G3763&lt;&gt;"Nao",G3763&lt;&gt;""),"PC_PAGO_A_CONTRATADA invalido",IF(AND(C3763&lt;&gt;"C0",IFERROR(INDEX(parametros!$A$2:$A$6,MATCH(C3763,parametros!$B$2:$B$6,0)),"")="Sim",IFERROR(INDEX(parametros!$H$2:$H$6,MATCH(C3763,parametros!$B$2:$B$6,0)),"")=""),"INICIO_EFEITO ausente: PC "&amp;A3763&amp;" - "&amp;C3763,IF(L3763="","EFEITO_PC nao calculado: PC "&amp;A3763&amp;" - "&amp;C3763,"OK")))))))))</f>
        <v/>
      </c>
      <c r="L3763" s="92" t="str">
        <f>IF(AND(A3763="",B3763="",D3763="",G3763=""),"",IF(OR(B3763="",NOT(ISNUMBER(B3763)),C3763="",C3763="Fora dos ciclos"),"",IF(C3763="C0","Nao",IF(IFERROR(INDEX(parametros!$A$2:$A$6,MATCH(C3763,parametros!$B$2:$B$6,0)),"")&lt;&gt;"Sim","Nao",IF(IFERROR(INDEX(parametros!$H$2:$H$6,MATCH(C3763,parametros!$B$2:$B$6,0)),"")="","",IF(B3763&gt;=IFERROR(INDEX(parametros!$H$2:$H$6,MATCH(C3763,parametros!$B$2:$B$6,0)),""),"Sim","Nao"))))))</f>
        <v/>
      </c>
      <c r="T3763" s="156"/>
      <c r="U3763" s="214" t="str">
        <f t="shared" si="296"/>
        <v/>
      </c>
      <c r="V3763" s="212" t="s">
        <v>50</v>
      </c>
      <c r="W3763" s="100" t="s">
        <v>168</v>
      </c>
      <c r="X3763" s="100" t="s">
        <v>169</v>
      </c>
      <c r="Y3763" s="101" t="s">
        <v>170</v>
      </c>
      <c r="Z3763" s="101" t="s">
        <v>171</v>
      </c>
      <c r="AA3763" s="101" t="s">
        <v>50</v>
      </c>
      <c r="AB3763" s="101" t="s">
        <v>172</v>
      </c>
      <c r="AC3763" s="102" t="s">
        <v>173</v>
      </c>
    </row>
    <row r="3764" spans="1:29" ht="25.5" customHeight="1" x14ac:dyDescent="0.35">
      <c r="A3764" s="392"/>
      <c r="B3764" s="393"/>
      <c r="C3764" s="99" t="str">
        <f>IF(B3764="","",IF(NOT(ISNUMBER(B3764)),"DATA_PC invalida",IF(NOT(ISNUMBER(parametros!$C$2)),"Fora dos ciclos",IF(OR(B3764&lt;parametros!$C$2,(YEAR(B3764)-YEAR(parametros!$C$2))*12+MONTH(B3764)-MONTH(parametros!$C$2)&gt;59),"Fora dos ciclos","C"&amp;INT(((YEAR(B3764)-YEAR(parametros!$C$2))*12+MONTH(B3764)-MONTH(parametros!$C$2))/12)))))</f>
        <v/>
      </c>
      <c r="D3764" s="394"/>
      <c r="E3764" s="78" t="str">
        <f>IF(C3764="","",IFERROR(VLOOKUP(C3764,parametros!$A$11:$E$15,5,0),""))</f>
        <v/>
      </c>
      <c r="F3764" s="79" t="str">
        <f t="shared" si="292"/>
        <v/>
      </c>
      <c r="G3764" s="395"/>
      <c r="H3764" s="91">
        <f t="shared" si="293"/>
        <v>0</v>
      </c>
      <c r="I3764" s="91" t="str">
        <f t="shared" si="294"/>
        <v/>
      </c>
      <c r="J3764" s="91" t="str">
        <f t="shared" si="295"/>
        <v/>
      </c>
      <c r="K3764" s="92" t="str">
        <f>IF(AND(A3764="",B3764="",D3764="",G3764=""),"",IF(AND(A3764&lt;&gt;"",COUNTIF($A$2:$A$5001,A3764)&gt;1),"NUMERO_PC duplicado",IF(B3764="","DATA_PC vazia",IF(NOT(ISNUMBER(B3764)),"DATA_PC invalida",IF(OR(C3764="",C3764="Fora dos ciclos"),"CICLO_PC nao identificado",IF(OR(D3764="",D3764=0),"VALOR_PC vazio ou zero",IF(AND(G3764&lt;&gt;"Sim",G3764&lt;&gt;"Nao",G3764&lt;&gt;""),"PC_PAGO_A_CONTRATADA invalido",IF(AND(C3764&lt;&gt;"C0",IFERROR(INDEX(parametros!$A$2:$A$6,MATCH(C3764,parametros!$B$2:$B$6,0)),"")="Sim",IFERROR(INDEX(parametros!$H$2:$H$6,MATCH(C3764,parametros!$B$2:$B$6,0)),"")=""),"INICIO_EFEITO ausente: PC "&amp;A3764&amp;" - "&amp;C3764,IF(L3764="","EFEITO_PC nao calculado: PC "&amp;A3764&amp;" - "&amp;C3764,"OK")))))))))</f>
        <v/>
      </c>
      <c r="L3764" s="92" t="str">
        <f>IF(AND(A3764="",B3764="",D3764="",G3764=""),"",IF(OR(B3764="",NOT(ISNUMBER(B3764)),C3764="",C3764="Fora dos ciclos"),"",IF(C3764="C0","Nao",IF(IFERROR(INDEX(parametros!$A$2:$A$6,MATCH(C3764,parametros!$B$2:$B$6,0)),"")&lt;&gt;"Sim","Nao",IF(IFERROR(INDEX(parametros!$H$2:$H$6,MATCH(C3764,parametros!$B$2:$B$6,0)),"")="","",IF(B3764&gt;=IFERROR(INDEX(parametros!$H$2:$H$6,MATCH(C3764,parametros!$B$2:$B$6,0)),""),"Sim","Nao"))))))</f>
        <v/>
      </c>
      <c r="T3764" s="156"/>
      <c r="U3764" s="214" t="str">
        <f t="shared" si="296"/>
        <v/>
      </c>
      <c r="V3764" s="212" t="s">
        <v>50</v>
      </c>
      <c r="W3764" s="100" t="s">
        <v>168</v>
      </c>
      <c r="X3764" s="100" t="s">
        <v>169</v>
      </c>
      <c r="Y3764" s="101" t="s">
        <v>170</v>
      </c>
      <c r="Z3764" s="101" t="s">
        <v>171</v>
      </c>
      <c r="AA3764" s="101" t="s">
        <v>50</v>
      </c>
      <c r="AB3764" s="101" t="s">
        <v>172</v>
      </c>
      <c r="AC3764" s="102" t="s">
        <v>173</v>
      </c>
    </row>
    <row r="3765" spans="1:29" ht="25.5" customHeight="1" x14ac:dyDescent="0.35">
      <c r="A3765" s="392"/>
      <c r="B3765" s="393"/>
      <c r="C3765" s="99" t="str">
        <f>IF(B3765="","",IF(NOT(ISNUMBER(B3765)),"DATA_PC invalida",IF(NOT(ISNUMBER(parametros!$C$2)),"Fora dos ciclos",IF(OR(B3765&lt;parametros!$C$2,(YEAR(B3765)-YEAR(parametros!$C$2))*12+MONTH(B3765)-MONTH(parametros!$C$2)&gt;59),"Fora dos ciclos","C"&amp;INT(((YEAR(B3765)-YEAR(parametros!$C$2))*12+MONTH(B3765)-MONTH(parametros!$C$2))/12)))))</f>
        <v/>
      </c>
      <c r="D3765" s="394"/>
      <c r="E3765" s="78" t="str">
        <f>IF(C3765="","",IFERROR(VLOOKUP(C3765,parametros!$A$11:$E$15,5,0),""))</f>
        <v/>
      </c>
      <c r="F3765" s="79" t="str">
        <f t="shared" si="292"/>
        <v/>
      </c>
      <c r="G3765" s="395"/>
      <c r="H3765" s="91">
        <f t="shared" si="293"/>
        <v>0</v>
      </c>
      <c r="I3765" s="91" t="str">
        <f t="shared" si="294"/>
        <v/>
      </c>
      <c r="J3765" s="91" t="str">
        <f t="shared" si="295"/>
        <v/>
      </c>
      <c r="K3765" s="92" t="str">
        <f>IF(AND(A3765="",B3765="",D3765="",G3765=""),"",IF(AND(A3765&lt;&gt;"",COUNTIF($A$2:$A$5001,A3765)&gt;1),"NUMERO_PC duplicado",IF(B3765="","DATA_PC vazia",IF(NOT(ISNUMBER(B3765)),"DATA_PC invalida",IF(OR(C3765="",C3765="Fora dos ciclos"),"CICLO_PC nao identificado",IF(OR(D3765="",D3765=0),"VALOR_PC vazio ou zero",IF(AND(G3765&lt;&gt;"Sim",G3765&lt;&gt;"Nao",G3765&lt;&gt;""),"PC_PAGO_A_CONTRATADA invalido",IF(AND(C3765&lt;&gt;"C0",IFERROR(INDEX(parametros!$A$2:$A$6,MATCH(C3765,parametros!$B$2:$B$6,0)),"")="Sim",IFERROR(INDEX(parametros!$H$2:$H$6,MATCH(C3765,parametros!$B$2:$B$6,0)),"")=""),"INICIO_EFEITO ausente: PC "&amp;A3765&amp;" - "&amp;C3765,IF(L3765="","EFEITO_PC nao calculado: PC "&amp;A3765&amp;" - "&amp;C3765,"OK")))))))))</f>
        <v/>
      </c>
      <c r="L3765" s="92" t="str">
        <f>IF(AND(A3765="",B3765="",D3765="",G3765=""),"",IF(OR(B3765="",NOT(ISNUMBER(B3765)),C3765="",C3765="Fora dos ciclos"),"",IF(C3765="C0","Nao",IF(IFERROR(INDEX(parametros!$A$2:$A$6,MATCH(C3765,parametros!$B$2:$B$6,0)),"")&lt;&gt;"Sim","Nao",IF(IFERROR(INDEX(parametros!$H$2:$H$6,MATCH(C3765,parametros!$B$2:$B$6,0)),"")="","",IF(B3765&gt;=IFERROR(INDEX(parametros!$H$2:$H$6,MATCH(C3765,parametros!$B$2:$B$6,0)),""),"Sim","Nao"))))))</f>
        <v/>
      </c>
      <c r="T3765" s="156"/>
      <c r="U3765" s="214" t="str">
        <f t="shared" si="296"/>
        <v/>
      </c>
      <c r="V3765" s="212" t="s">
        <v>50</v>
      </c>
      <c r="W3765" s="100" t="s">
        <v>168</v>
      </c>
      <c r="X3765" s="100" t="s">
        <v>169</v>
      </c>
      <c r="Y3765" s="101" t="s">
        <v>170</v>
      </c>
      <c r="Z3765" s="101" t="s">
        <v>171</v>
      </c>
      <c r="AA3765" s="101" t="s">
        <v>50</v>
      </c>
      <c r="AB3765" s="101" t="s">
        <v>172</v>
      </c>
      <c r="AC3765" s="102" t="s">
        <v>173</v>
      </c>
    </row>
    <row r="3766" spans="1:29" ht="25.5" customHeight="1" x14ac:dyDescent="0.35">
      <c r="A3766" s="392"/>
      <c r="B3766" s="393"/>
      <c r="C3766" s="99" t="str">
        <f>IF(B3766="","",IF(NOT(ISNUMBER(B3766)),"DATA_PC invalida",IF(NOT(ISNUMBER(parametros!$C$2)),"Fora dos ciclos",IF(OR(B3766&lt;parametros!$C$2,(YEAR(B3766)-YEAR(parametros!$C$2))*12+MONTH(B3766)-MONTH(parametros!$C$2)&gt;59),"Fora dos ciclos","C"&amp;INT(((YEAR(B3766)-YEAR(parametros!$C$2))*12+MONTH(B3766)-MONTH(parametros!$C$2))/12)))))</f>
        <v/>
      </c>
      <c r="D3766" s="394"/>
      <c r="E3766" s="78" t="str">
        <f>IF(C3766="","",IFERROR(VLOOKUP(C3766,parametros!$A$11:$E$15,5,0),""))</f>
        <v/>
      </c>
      <c r="F3766" s="79" t="str">
        <f t="shared" si="292"/>
        <v/>
      </c>
      <c r="G3766" s="395"/>
      <c r="H3766" s="91">
        <f t="shared" si="293"/>
        <v>0</v>
      </c>
      <c r="I3766" s="91" t="str">
        <f t="shared" si="294"/>
        <v/>
      </c>
      <c r="J3766" s="91" t="str">
        <f t="shared" si="295"/>
        <v/>
      </c>
      <c r="K3766" s="92" t="str">
        <f>IF(AND(A3766="",B3766="",D3766="",G3766=""),"",IF(AND(A3766&lt;&gt;"",COUNTIF($A$2:$A$5001,A3766)&gt;1),"NUMERO_PC duplicado",IF(B3766="","DATA_PC vazia",IF(NOT(ISNUMBER(B3766)),"DATA_PC invalida",IF(OR(C3766="",C3766="Fora dos ciclos"),"CICLO_PC nao identificado",IF(OR(D3766="",D3766=0),"VALOR_PC vazio ou zero",IF(AND(G3766&lt;&gt;"Sim",G3766&lt;&gt;"Nao",G3766&lt;&gt;""),"PC_PAGO_A_CONTRATADA invalido",IF(AND(C3766&lt;&gt;"C0",IFERROR(INDEX(parametros!$A$2:$A$6,MATCH(C3766,parametros!$B$2:$B$6,0)),"")="Sim",IFERROR(INDEX(parametros!$H$2:$H$6,MATCH(C3766,parametros!$B$2:$B$6,0)),"")=""),"INICIO_EFEITO ausente: PC "&amp;A3766&amp;" - "&amp;C3766,IF(L3766="","EFEITO_PC nao calculado: PC "&amp;A3766&amp;" - "&amp;C3766,"OK")))))))))</f>
        <v/>
      </c>
      <c r="L3766" s="92" t="str">
        <f>IF(AND(A3766="",B3766="",D3766="",G3766=""),"",IF(OR(B3766="",NOT(ISNUMBER(B3766)),C3766="",C3766="Fora dos ciclos"),"",IF(C3766="C0","Nao",IF(IFERROR(INDEX(parametros!$A$2:$A$6,MATCH(C3766,parametros!$B$2:$B$6,0)),"")&lt;&gt;"Sim","Nao",IF(IFERROR(INDEX(parametros!$H$2:$H$6,MATCH(C3766,parametros!$B$2:$B$6,0)),"")="","",IF(B3766&gt;=IFERROR(INDEX(parametros!$H$2:$H$6,MATCH(C3766,parametros!$B$2:$B$6,0)),""),"Sim","Nao"))))))</f>
        <v/>
      </c>
      <c r="T3766" s="156"/>
      <c r="U3766" s="214" t="str">
        <f t="shared" si="296"/>
        <v/>
      </c>
      <c r="V3766" s="212" t="s">
        <v>50</v>
      </c>
      <c r="W3766" s="100" t="s">
        <v>168</v>
      </c>
      <c r="X3766" s="100" t="s">
        <v>169</v>
      </c>
      <c r="Y3766" s="101" t="s">
        <v>170</v>
      </c>
      <c r="Z3766" s="101" t="s">
        <v>171</v>
      </c>
      <c r="AA3766" s="101" t="s">
        <v>50</v>
      </c>
      <c r="AB3766" s="101" t="s">
        <v>172</v>
      </c>
      <c r="AC3766" s="102" t="s">
        <v>173</v>
      </c>
    </row>
    <row r="3767" spans="1:29" ht="25.5" customHeight="1" x14ac:dyDescent="0.35">
      <c r="A3767" s="392"/>
      <c r="B3767" s="393"/>
      <c r="C3767" s="99" t="str">
        <f>IF(B3767="","",IF(NOT(ISNUMBER(B3767)),"DATA_PC invalida",IF(NOT(ISNUMBER(parametros!$C$2)),"Fora dos ciclos",IF(OR(B3767&lt;parametros!$C$2,(YEAR(B3767)-YEAR(parametros!$C$2))*12+MONTH(B3767)-MONTH(parametros!$C$2)&gt;59),"Fora dos ciclos","C"&amp;INT(((YEAR(B3767)-YEAR(parametros!$C$2))*12+MONTH(B3767)-MONTH(parametros!$C$2))/12)))))</f>
        <v/>
      </c>
      <c r="D3767" s="394"/>
      <c r="E3767" s="78" t="str">
        <f>IF(C3767="","",IFERROR(VLOOKUP(C3767,parametros!$A$11:$E$15,5,0),""))</f>
        <v/>
      </c>
      <c r="F3767" s="79" t="str">
        <f t="shared" si="292"/>
        <v/>
      </c>
      <c r="G3767" s="395"/>
      <c r="H3767" s="91">
        <f t="shared" si="293"/>
        <v>0</v>
      </c>
      <c r="I3767" s="91" t="str">
        <f t="shared" si="294"/>
        <v/>
      </c>
      <c r="J3767" s="91" t="str">
        <f t="shared" si="295"/>
        <v/>
      </c>
      <c r="K3767" s="92" t="str">
        <f>IF(AND(A3767="",B3767="",D3767="",G3767=""),"",IF(AND(A3767&lt;&gt;"",COUNTIF($A$2:$A$5001,A3767)&gt;1),"NUMERO_PC duplicado",IF(B3767="","DATA_PC vazia",IF(NOT(ISNUMBER(B3767)),"DATA_PC invalida",IF(OR(C3767="",C3767="Fora dos ciclos"),"CICLO_PC nao identificado",IF(OR(D3767="",D3767=0),"VALOR_PC vazio ou zero",IF(AND(G3767&lt;&gt;"Sim",G3767&lt;&gt;"Nao",G3767&lt;&gt;""),"PC_PAGO_A_CONTRATADA invalido",IF(AND(C3767&lt;&gt;"C0",IFERROR(INDEX(parametros!$A$2:$A$6,MATCH(C3767,parametros!$B$2:$B$6,0)),"")="Sim",IFERROR(INDEX(parametros!$H$2:$H$6,MATCH(C3767,parametros!$B$2:$B$6,0)),"")=""),"INICIO_EFEITO ausente: PC "&amp;A3767&amp;" - "&amp;C3767,IF(L3767="","EFEITO_PC nao calculado: PC "&amp;A3767&amp;" - "&amp;C3767,"OK")))))))))</f>
        <v/>
      </c>
      <c r="L3767" s="92" t="str">
        <f>IF(AND(A3767="",B3767="",D3767="",G3767=""),"",IF(OR(B3767="",NOT(ISNUMBER(B3767)),C3767="",C3767="Fora dos ciclos"),"",IF(C3767="C0","Nao",IF(IFERROR(INDEX(parametros!$A$2:$A$6,MATCH(C3767,parametros!$B$2:$B$6,0)),"")&lt;&gt;"Sim","Nao",IF(IFERROR(INDEX(parametros!$H$2:$H$6,MATCH(C3767,parametros!$B$2:$B$6,0)),"")="","",IF(B3767&gt;=IFERROR(INDEX(parametros!$H$2:$H$6,MATCH(C3767,parametros!$B$2:$B$6,0)),""),"Sim","Nao"))))))</f>
        <v/>
      </c>
      <c r="T3767" s="156"/>
      <c r="U3767" s="214" t="str">
        <f t="shared" si="296"/>
        <v/>
      </c>
      <c r="V3767" s="212" t="s">
        <v>50</v>
      </c>
      <c r="W3767" s="100" t="s">
        <v>168</v>
      </c>
      <c r="X3767" s="100" t="s">
        <v>169</v>
      </c>
      <c r="Y3767" s="101" t="s">
        <v>170</v>
      </c>
      <c r="Z3767" s="101" t="s">
        <v>171</v>
      </c>
      <c r="AA3767" s="101" t="s">
        <v>50</v>
      </c>
      <c r="AB3767" s="101" t="s">
        <v>172</v>
      </c>
      <c r="AC3767" s="102" t="s">
        <v>173</v>
      </c>
    </row>
    <row r="3768" spans="1:29" ht="25.5" customHeight="1" x14ac:dyDescent="0.35">
      <c r="A3768" s="392"/>
      <c r="B3768" s="393"/>
      <c r="C3768" s="99" t="str">
        <f>IF(B3768="","",IF(NOT(ISNUMBER(B3768)),"DATA_PC invalida",IF(NOT(ISNUMBER(parametros!$C$2)),"Fora dos ciclos",IF(OR(B3768&lt;parametros!$C$2,(YEAR(B3768)-YEAR(parametros!$C$2))*12+MONTH(B3768)-MONTH(parametros!$C$2)&gt;59),"Fora dos ciclos","C"&amp;INT(((YEAR(B3768)-YEAR(parametros!$C$2))*12+MONTH(B3768)-MONTH(parametros!$C$2))/12)))))</f>
        <v/>
      </c>
      <c r="D3768" s="394"/>
      <c r="E3768" s="78" t="str">
        <f>IF(C3768="","",IFERROR(VLOOKUP(C3768,parametros!$A$11:$E$15,5,0),""))</f>
        <v/>
      </c>
      <c r="F3768" s="79" t="str">
        <f t="shared" si="292"/>
        <v/>
      </c>
      <c r="G3768" s="395"/>
      <c r="H3768" s="91">
        <f t="shared" si="293"/>
        <v>0</v>
      </c>
      <c r="I3768" s="91" t="str">
        <f t="shared" si="294"/>
        <v/>
      </c>
      <c r="J3768" s="91" t="str">
        <f t="shared" si="295"/>
        <v/>
      </c>
      <c r="K3768" s="92" t="str">
        <f>IF(AND(A3768="",B3768="",D3768="",G3768=""),"",IF(AND(A3768&lt;&gt;"",COUNTIF($A$2:$A$5001,A3768)&gt;1),"NUMERO_PC duplicado",IF(B3768="","DATA_PC vazia",IF(NOT(ISNUMBER(B3768)),"DATA_PC invalida",IF(OR(C3768="",C3768="Fora dos ciclos"),"CICLO_PC nao identificado",IF(OR(D3768="",D3768=0),"VALOR_PC vazio ou zero",IF(AND(G3768&lt;&gt;"Sim",G3768&lt;&gt;"Nao",G3768&lt;&gt;""),"PC_PAGO_A_CONTRATADA invalido",IF(AND(C3768&lt;&gt;"C0",IFERROR(INDEX(parametros!$A$2:$A$6,MATCH(C3768,parametros!$B$2:$B$6,0)),"")="Sim",IFERROR(INDEX(parametros!$H$2:$H$6,MATCH(C3768,parametros!$B$2:$B$6,0)),"")=""),"INICIO_EFEITO ausente: PC "&amp;A3768&amp;" - "&amp;C3768,IF(L3768="","EFEITO_PC nao calculado: PC "&amp;A3768&amp;" - "&amp;C3768,"OK")))))))))</f>
        <v/>
      </c>
      <c r="L3768" s="92" t="str">
        <f>IF(AND(A3768="",B3768="",D3768="",G3768=""),"",IF(OR(B3768="",NOT(ISNUMBER(B3768)),C3768="",C3768="Fora dos ciclos"),"",IF(C3768="C0","Nao",IF(IFERROR(INDEX(parametros!$A$2:$A$6,MATCH(C3768,parametros!$B$2:$B$6,0)),"")&lt;&gt;"Sim","Nao",IF(IFERROR(INDEX(parametros!$H$2:$H$6,MATCH(C3768,parametros!$B$2:$B$6,0)),"")="","",IF(B3768&gt;=IFERROR(INDEX(parametros!$H$2:$H$6,MATCH(C3768,parametros!$B$2:$B$6,0)),""),"Sim","Nao"))))))</f>
        <v/>
      </c>
      <c r="T3768" s="156"/>
      <c r="U3768" s="214" t="str">
        <f t="shared" si="296"/>
        <v/>
      </c>
      <c r="V3768" s="212" t="s">
        <v>50</v>
      </c>
      <c r="W3768" s="100" t="s">
        <v>168</v>
      </c>
      <c r="X3768" s="100" t="s">
        <v>169</v>
      </c>
      <c r="Y3768" s="101" t="s">
        <v>170</v>
      </c>
      <c r="Z3768" s="101" t="s">
        <v>171</v>
      </c>
      <c r="AA3768" s="101" t="s">
        <v>50</v>
      </c>
      <c r="AB3768" s="101" t="s">
        <v>172</v>
      </c>
      <c r="AC3768" s="102" t="s">
        <v>173</v>
      </c>
    </row>
    <row r="3769" spans="1:29" ht="25.5" customHeight="1" x14ac:dyDescent="0.35">
      <c r="A3769" s="392"/>
      <c r="B3769" s="393"/>
      <c r="C3769" s="99" t="str">
        <f>IF(B3769="","",IF(NOT(ISNUMBER(B3769)),"DATA_PC invalida",IF(NOT(ISNUMBER(parametros!$C$2)),"Fora dos ciclos",IF(OR(B3769&lt;parametros!$C$2,(YEAR(B3769)-YEAR(parametros!$C$2))*12+MONTH(B3769)-MONTH(parametros!$C$2)&gt;59),"Fora dos ciclos","C"&amp;INT(((YEAR(B3769)-YEAR(parametros!$C$2))*12+MONTH(B3769)-MONTH(parametros!$C$2))/12)))))</f>
        <v/>
      </c>
      <c r="D3769" s="394"/>
      <c r="E3769" s="78" t="str">
        <f>IF(C3769="","",IFERROR(VLOOKUP(C3769,parametros!$A$11:$E$15,5,0),""))</f>
        <v/>
      </c>
      <c r="F3769" s="79" t="str">
        <f t="shared" si="292"/>
        <v/>
      </c>
      <c r="G3769" s="395"/>
      <c r="H3769" s="91">
        <f t="shared" si="293"/>
        <v>0</v>
      </c>
      <c r="I3769" s="91" t="str">
        <f t="shared" si="294"/>
        <v/>
      </c>
      <c r="J3769" s="91" t="str">
        <f t="shared" si="295"/>
        <v/>
      </c>
      <c r="K3769" s="92" t="str">
        <f>IF(AND(A3769="",B3769="",D3769="",G3769=""),"",IF(AND(A3769&lt;&gt;"",COUNTIF($A$2:$A$5001,A3769)&gt;1),"NUMERO_PC duplicado",IF(B3769="","DATA_PC vazia",IF(NOT(ISNUMBER(B3769)),"DATA_PC invalida",IF(OR(C3769="",C3769="Fora dos ciclos"),"CICLO_PC nao identificado",IF(OR(D3769="",D3769=0),"VALOR_PC vazio ou zero",IF(AND(G3769&lt;&gt;"Sim",G3769&lt;&gt;"Nao",G3769&lt;&gt;""),"PC_PAGO_A_CONTRATADA invalido",IF(AND(C3769&lt;&gt;"C0",IFERROR(INDEX(parametros!$A$2:$A$6,MATCH(C3769,parametros!$B$2:$B$6,0)),"")="Sim",IFERROR(INDEX(parametros!$H$2:$H$6,MATCH(C3769,parametros!$B$2:$B$6,0)),"")=""),"INICIO_EFEITO ausente: PC "&amp;A3769&amp;" - "&amp;C3769,IF(L3769="","EFEITO_PC nao calculado: PC "&amp;A3769&amp;" - "&amp;C3769,"OK")))))))))</f>
        <v/>
      </c>
      <c r="L3769" s="92" t="str">
        <f>IF(AND(A3769="",B3769="",D3769="",G3769=""),"",IF(OR(B3769="",NOT(ISNUMBER(B3769)),C3769="",C3769="Fora dos ciclos"),"",IF(C3769="C0","Nao",IF(IFERROR(INDEX(parametros!$A$2:$A$6,MATCH(C3769,parametros!$B$2:$B$6,0)),"")&lt;&gt;"Sim","Nao",IF(IFERROR(INDEX(parametros!$H$2:$H$6,MATCH(C3769,parametros!$B$2:$B$6,0)),"")="","",IF(B3769&gt;=IFERROR(INDEX(parametros!$H$2:$H$6,MATCH(C3769,parametros!$B$2:$B$6,0)),""),"Sim","Nao"))))))</f>
        <v/>
      </c>
      <c r="T3769" s="156"/>
      <c r="U3769" s="214" t="str">
        <f t="shared" si="296"/>
        <v/>
      </c>
      <c r="V3769" s="212" t="s">
        <v>50</v>
      </c>
      <c r="W3769" s="100" t="s">
        <v>168</v>
      </c>
      <c r="X3769" s="100" t="s">
        <v>169</v>
      </c>
      <c r="Y3769" s="101" t="s">
        <v>170</v>
      </c>
      <c r="Z3769" s="101" t="s">
        <v>171</v>
      </c>
      <c r="AA3769" s="101" t="s">
        <v>50</v>
      </c>
      <c r="AB3769" s="101" t="s">
        <v>172</v>
      </c>
      <c r="AC3769" s="102" t="s">
        <v>173</v>
      </c>
    </row>
    <row r="3770" spans="1:29" ht="25.5" customHeight="1" x14ac:dyDescent="0.35">
      <c r="A3770" s="392"/>
      <c r="B3770" s="393"/>
      <c r="C3770" s="99" t="str">
        <f>IF(B3770="","",IF(NOT(ISNUMBER(B3770)),"DATA_PC invalida",IF(NOT(ISNUMBER(parametros!$C$2)),"Fora dos ciclos",IF(OR(B3770&lt;parametros!$C$2,(YEAR(B3770)-YEAR(parametros!$C$2))*12+MONTH(B3770)-MONTH(parametros!$C$2)&gt;59),"Fora dos ciclos","C"&amp;INT(((YEAR(B3770)-YEAR(parametros!$C$2))*12+MONTH(B3770)-MONTH(parametros!$C$2))/12)))))</f>
        <v/>
      </c>
      <c r="D3770" s="394"/>
      <c r="E3770" s="78" t="str">
        <f>IF(C3770="","",IFERROR(VLOOKUP(C3770,parametros!$A$11:$E$15,5,0),""))</f>
        <v/>
      </c>
      <c r="F3770" s="79" t="str">
        <f t="shared" si="292"/>
        <v/>
      </c>
      <c r="G3770" s="395"/>
      <c r="H3770" s="91">
        <f t="shared" si="293"/>
        <v>0</v>
      </c>
      <c r="I3770" s="91" t="str">
        <f t="shared" si="294"/>
        <v/>
      </c>
      <c r="J3770" s="91" t="str">
        <f t="shared" si="295"/>
        <v/>
      </c>
      <c r="K3770" s="92" t="str">
        <f>IF(AND(A3770="",B3770="",D3770="",G3770=""),"",IF(AND(A3770&lt;&gt;"",COUNTIF($A$2:$A$5001,A3770)&gt;1),"NUMERO_PC duplicado",IF(B3770="","DATA_PC vazia",IF(NOT(ISNUMBER(B3770)),"DATA_PC invalida",IF(OR(C3770="",C3770="Fora dos ciclos"),"CICLO_PC nao identificado",IF(OR(D3770="",D3770=0),"VALOR_PC vazio ou zero",IF(AND(G3770&lt;&gt;"Sim",G3770&lt;&gt;"Nao",G3770&lt;&gt;""),"PC_PAGO_A_CONTRATADA invalido",IF(AND(C3770&lt;&gt;"C0",IFERROR(INDEX(parametros!$A$2:$A$6,MATCH(C3770,parametros!$B$2:$B$6,0)),"")="Sim",IFERROR(INDEX(parametros!$H$2:$H$6,MATCH(C3770,parametros!$B$2:$B$6,0)),"")=""),"INICIO_EFEITO ausente: PC "&amp;A3770&amp;" - "&amp;C3770,IF(L3770="","EFEITO_PC nao calculado: PC "&amp;A3770&amp;" - "&amp;C3770,"OK")))))))))</f>
        <v/>
      </c>
      <c r="L3770" s="92" t="str">
        <f>IF(AND(A3770="",B3770="",D3770="",G3770=""),"",IF(OR(B3770="",NOT(ISNUMBER(B3770)),C3770="",C3770="Fora dos ciclos"),"",IF(C3770="C0","Nao",IF(IFERROR(INDEX(parametros!$A$2:$A$6,MATCH(C3770,parametros!$B$2:$B$6,0)),"")&lt;&gt;"Sim","Nao",IF(IFERROR(INDEX(parametros!$H$2:$H$6,MATCH(C3770,parametros!$B$2:$B$6,0)),"")="","",IF(B3770&gt;=IFERROR(INDEX(parametros!$H$2:$H$6,MATCH(C3770,parametros!$B$2:$B$6,0)),""),"Sim","Nao"))))))</f>
        <v/>
      </c>
      <c r="T3770" s="156"/>
      <c r="U3770" s="214" t="str">
        <f t="shared" si="296"/>
        <v/>
      </c>
      <c r="V3770" s="212" t="s">
        <v>50</v>
      </c>
      <c r="W3770" s="100" t="s">
        <v>168</v>
      </c>
      <c r="X3770" s="100" t="s">
        <v>169</v>
      </c>
      <c r="Y3770" s="101" t="s">
        <v>170</v>
      </c>
      <c r="Z3770" s="101" t="s">
        <v>171</v>
      </c>
      <c r="AA3770" s="101" t="s">
        <v>50</v>
      </c>
      <c r="AB3770" s="101" t="s">
        <v>172</v>
      </c>
      <c r="AC3770" s="102" t="s">
        <v>173</v>
      </c>
    </row>
    <row r="3771" spans="1:29" ht="25.5" customHeight="1" x14ac:dyDescent="0.35">
      <c r="A3771" s="392"/>
      <c r="B3771" s="393"/>
      <c r="C3771" s="99" t="str">
        <f>IF(B3771="","",IF(NOT(ISNUMBER(B3771)),"DATA_PC invalida",IF(NOT(ISNUMBER(parametros!$C$2)),"Fora dos ciclos",IF(OR(B3771&lt;parametros!$C$2,(YEAR(B3771)-YEAR(parametros!$C$2))*12+MONTH(B3771)-MONTH(parametros!$C$2)&gt;59),"Fora dos ciclos","C"&amp;INT(((YEAR(B3771)-YEAR(parametros!$C$2))*12+MONTH(B3771)-MONTH(parametros!$C$2))/12)))))</f>
        <v/>
      </c>
      <c r="D3771" s="394"/>
      <c r="E3771" s="78" t="str">
        <f>IF(C3771="","",IFERROR(VLOOKUP(C3771,parametros!$A$11:$E$15,5,0),""))</f>
        <v/>
      </c>
      <c r="F3771" s="79" t="str">
        <f t="shared" si="292"/>
        <v/>
      </c>
      <c r="G3771" s="395"/>
      <c r="H3771" s="91">
        <f t="shared" si="293"/>
        <v>0</v>
      </c>
      <c r="I3771" s="91" t="str">
        <f t="shared" si="294"/>
        <v/>
      </c>
      <c r="J3771" s="91" t="str">
        <f t="shared" si="295"/>
        <v/>
      </c>
      <c r="K3771" s="92" t="str">
        <f>IF(AND(A3771="",B3771="",D3771="",G3771=""),"",IF(AND(A3771&lt;&gt;"",COUNTIF($A$2:$A$5001,A3771)&gt;1),"NUMERO_PC duplicado",IF(B3771="","DATA_PC vazia",IF(NOT(ISNUMBER(B3771)),"DATA_PC invalida",IF(OR(C3771="",C3771="Fora dos ciclos"),"CICLO_PC nao identificado",IF(OR(D3771="",D3771=0),"VALOR_PC vazio ou zero",IF(AND(G3771&lt;&gt;"Sim",G3771&lt;&gt;"Nao",G3771&lt;&gt;""),"PC_PAGO_A_CONTRATADA invalido",IF(AND(C3771&lt;&gt;"C0",IFERROR(INDEX(parametros!$A$2:$A$6,MATCH(C3771,parametros!$B$2:$B$6,0)),"")="Sim",IFERROR(INDEX(parametros!$H$2:$H$6,MATCH(C3771,parametros!$B$2:$B$6,0)),"")=""),"INICIO_EFEITO ausente: PC "&amp;A3771&amp;" - "&amp;C3771,IF(L3771="","EFEITO_PC nao calculado: PC "&amp;A3771&amp;" - "&amp;C3771,"OK")))))))))</f>
        <v/>
      </c>
      <c r="L3771" s="92" t="str">
        <f>IF(AND(A3771="",B3771="",D3771="",G3771=""),"",IF(OR(B3771="",NOT(ISNUMBER(B3771)),C3771="",C3771="Fora dos ciclos"),"",IF(C3771="C0","Nao",IF(IFERROR(INDEX(parametros!$A$2:$A$6,MATCH(C3771,parametros!$B$2:$B$6,0)),"")&lt;&gt;"Sim","Nao",IF(IFERROR(INDEX(parametros!$H$2:$H$6,MATCH(C3771,parametros!$B$2:$B$6,0)),"")="","",IF(B3771&gt;=IFERROR(INDEX(parametros!$H$2:$H$6,MATCH(C3771,parametros!$B$2:$B$6,0)),""),"Sim","Nao"))))))</f>
        <v/>
      </c>
      <c r="T3771" s="156"/>
      <c r="U3771" s="214" t="str">
        <f t="shared" si="296"/>
        <v/>
      </c>
      <c r="V3771" s="212" t="s">
        <v>50</v>
      </c>
      <c r="W3771" s="100" t="s">
        <v>168</v>
      </c>
      <c r="X3771" s="100" t="s">
        <v>169</v>
      </c>
      <c r="Y3771" s="101" t="s">
        <v>170</v>
      </c>
      <c r="Z3771" s="101" t="s">
        <v>171</v>
      </c>
      <c r="AA3771" s="101" t="s">
        <v>50</v>
      </c>
      <c r="AB3771" s="101" t="s">
        <v>172</v>
      </c>
      <c r="AC3771" s="102" t="s">
        <v>173</v>
      </c>
    </row>
    <row r="3772" spans="1:29" ht="25.5" customHeight="1" x14ac:dyDescent="0.35">
      <c r="A3772" s="392"/>
      <c r="B3772" s="393"/>
      <c r="C3772" s="99" t="str">
        <f>IF(B3772="","",IF(NOT(ISNUMBER(B3772)),"DATA_PC invalida",IF(NOT(ISNUMBER(parametros!$C$2)),"Fora dos ciclos",IF(OR(B3772&lt;parametros!$C$2,(YEAR(B3772)-YEAR(parametros!$C$2))*12+MONTH(B3772)-MONTH(parametros!$C$2)&gt;59),"Fora dos ciclos","C"&amp;INT(((YEAR(B3772)-YEAR(parametros!$C$2))*12+MONTH(B3772)-MONTH(parametros!$C$2))/12)))))</f>
        <v/>
      </c>
      <c r="D3772" s="394"/>
      <c r="E3772" s="78" t="str">
        <f>IF(C3772="","",IFERROR(VLOOKUP(C3772,parametros!$A$11:$E$15,5,0),""))</f>
        <v/>
      </c>
      <c r="F3772" s="79" t="str">
        <f t="shared" si="292"/>
        <v/>
      </c>
      <c r="G3772" s="395"/>
      <c r="H3772" s="91">
        <f t="shared" si="293"/>
        <v>0</v>
      </c>
      <c r="I3772" s="91" t="str">
        <f t="shared" si="294"/>
        <v/>
      </c>
      <c r="J3772" s="91" t="str">
        <f t="shared" si="295"/>
        <v/>
      </c>
      <c r="K3772" s="92" t="str">
        <f>IF(AND(A3772="",B3772="",D3772="",G3772=""),"",IF(AND(A3772&lt;&gt;"",COUNTIF($A$2:$A$5001,A3772)&gt;1),"NUMERO_PC duplicado",IF(B3772="","DATA_PC vazia",IF(NOT(ISNUMBER(B3772)),"DATA_PC invalida",IF(OR(C3772="",C3772="Fora dos ciclos"),"CICLO_PC nao identificado",IF(OR(D3772="",D3772=0),"VALOR_PC vazio ou zero",IF(AND(G3772&lt;&gt;"Sim",G3772&lt;&gt;"Nao",G3772&lt;&gt;""),"PC_PAGO_A_CONTRATADA invalido",IF(AND(C3772&lt;&gt;"C0",IFERROR(INDEX(parametros!$A$2:$A$6,MATCH(C3772,parametros!$B$2:$B$6,0)),"")="Sim",IFERROR(INDEX(parametros!$H$2:$H$6,MATCH(C3772,parametros!$B$2:$B$6,0)),"")=""),"INICIO_EFEITO ausente: PC "&amp;A3772&amp;" - "&amp;C3772,IF(L3772="","EFEITO_PC nao calculado: PC "&amp;A3772&amp;" - "&amp;C3772,"OK")))))))))</f>
        <v/>
      </c>
      <c r="L3772" s="92" t="str">
        <f>IF(AND(A3772="",B3772="",D3772="",G3772=""),"",IF(OR(B3772="",NOT(ISNUMBER(B3772)),C3772="",C3772="Fora dos ciclos"),"",IF(C3772="C0","Nao",IF(IFERROR(INDEX(parametros!$A$2:$A$6,MATCH(C3772,parametros!$B$2:$B$6,0)),"")&lt;&gt;"Sim","Nao",IF(IFERROR(INDEX(parametros!$H$2:$H$6,MATCH(C3772,parametros!$B$2:$B$6,0)),"")="","",IF(B3772&gt;=IFERROR(INDEX(parametros!$H$2:$H$6,MATCH(C3772,parametros!$B$2:$B$6,0)),""),"Sim","Nao"))))))</f>
        <v/>
      </c>
      <c r="T3772" s="156"/>
      <c r="U3772" s="214" t="str">
        <f t="shared" si="296"/>
        <v/>
      </c>
      <c r="V3772" s="212" t="s">
        <v>50</v>
      </c>
      <c r="W3772" s="100" t="s">
        <v>168</v>
      </c>
      <c r="X3772" s="100" t="s">
        <v>169</v>
      </c>
      <c r="Y3772" s="101" t="s">
        <v>170</v>
      </c>
      <c r="Z3772" s="101" t="s">
        <v>171</v>
      </c>
      <c r="AA3772" s="101" t="s">
        <v>50</v>
      </c>
      <c r="AB3772" s="101" t="s">
        <v>172</v>
      </c>
      <c r="AC3772" s="102" t="s">
        <v>173</v>
      </c>
    </row>
    <row r="3773" spans="1:29" ht="25.5" customHeight="1" x14ac:dyDescent="0.35">
      <c r="A3773" s="392"/>
      <c r="B3773" s="393"/>
      <c r="C3773" s="99" t="str">
        <f>IF(B3773="","",IF(NOT(ISNUMBER(B3773)),"DATA_PC invalida",IF(NOT(ISNUMBER(parametros!$C$2)),"Fora dos ciclos",IF(OR(B3773&lt;parametros!$C$2,(YEAR(B3773)-YEAR(parametros!$C$2))*12+MONTH(B3773)-MONTH(parametros!$C$2)&gt;59),"Fora dos ciclos","C"&amp;INT(((YEAR(B3773)-YEAR(parametros!$C$2))*12+MONTH(B3773)-MONTH(parametros!$C$2))/12)))))</f>
        <v/>
      </c>
      <c r="D3773" s="394"/>
      <c r="E3773" s="78" t="str">
        <f>IF(C3773="","",IFERROR(VLOOKUP(C3773,parametros!$A$11:$E$15,5,0),""))</f>
        <v/>
      </c>
      <c r="F3773" s="79" t="str">
        <f t="shared" si="292"/>
        <v/>
      </c>
      <c r="G3773" s="395"/>
      <c r="H3773" s="91">
        <f t="shared" si="293"/>
        <v>0</v>
      </c>
      <c r="I3773" s="91" t="str">
        <f t="shared" si="294"/>
        <v/>
      </c>
      <c r="J3773" s="91" t="str">
        <f t="shared" si="295"/>
        <v/>
      </c>
      <c r="K3773" s="92" t="str">
        <f>IF(AND(A3773="",B3773="",D3773="",G3773=""),"",IF(AND(A3773&lt;&gt;"",COUNTIF($A$2:$A$5001,A3773)&gt;1),"NUMERO_PC duplicado",IF(B3773="","DATA_PC vazia",IF(NOT(ISNUMBER(B3773)),"DATA_PC invalida",IF(OR(C3773="",C3773="Fora dos ciclos"),"CICLO_PC nao identificado",IF(OR(D3773="",D3773=0),"VALOR_PC vazio ou zero",IF(AND(G3773&lt;&gt;"Sim",G3773&lt;&gt;"Nao",G3773&lt;&gt;""),"PC_PAGO_A_CONTRATADA invalido",IF(AND(C3773&lt;&gt;"C0",IFERROR(INDEX(parametros!$A$2:$A$6,MATCH(C3773,parametros!$B$2:$B$6,0)),"")="Sim",IFERROR(INDEX(parametros!$H$2:$H$6,MATCH(C3773,parametros!$B$2:$B$6,0)),"")=""),"INICIO_EFEITO ausente: PC "&amp;A3773&amp;" - "&amp;C3773,IF(L3773="","EFEITO_PC nao calculado: PC "&amp;A3773&amp;" - "&amp;C3773,"OK")))))))))</f>
        <v/>
      </c>
      <c r="L3773" s="92" t="str">
        <f>IF(AND(A3773="",B3773="",D3773="",G3773=""),"",IF(OR(B3773="",NOT(ISNUMBER(B3773)),C3773="",C3773="Fora dos ciclos"),"",IF(C3773="C0","Nao",IF(IFERROR(INDEX(parametros!$A$2:$A$6,MATCH(C3773,parametros!$B$2:$B$6,0)),"")&lt;&gt;"Sim","Nao",IF(IFERROR(INDEX(parametros!$H$2:$H$6,MATCH(C3773,parametros!$B$2:$B$6,0)),"")="","",IF(B3773&gt;=IFERROR(INDEX(parametros!$H$2:$H$6,MATCH(C3773,parametros!$B$2:$B$6,0)),""),"Sim","Nao"))))))</f>
        <v/>
      </c>
      <c r="T3773" s="156"/>
      <c r="U3773" s="214" t="str">
        <f t="shared" si="296"/>
        <v/>
      </c>
      <c r="V3773" s="212" t="s">
        <v>50</v>
      </c>
      <c r="W3773" s="100" t="s">
        <v>168</v>
      </c>
      <c r="X3773" s="100" t="s">
        <v>169</v>
      </c>
      <c r="Y3773" s="101" t="s">
        <v>170</v>
      </c>
      <c r="Z3773" s="101" t="s">
        <v>171</v>
      </c>
      <c r="AA3773" s="101" t="s">
        <v>50</v>
      </c>
      <c r="AB3773" s="101" t="s">
        <v>172</v>
      </c>
      <c r="AC3773" s="102" t="s">
        <v>173</v>
      </c>
    </row>
    <row r="3774" spans="1:29" ht="25.5" customHeight="1" x14ac:dyDescent="0.35">
      <c r="A3774" s="392"/>
      <c r="B3774" s="393"/>
      <c r="C3774" s="99" t="str">
        <f>IF(B3774="","",IF(NOT(ISNUMBER(B3774)),"DATA_PC invalida",IF(NOT(ISNUMBER(parametros!$C$2)),"Fora dos ciclos",IF(OR(B3774&lt;parametros!$C$2,(YEAR(B3774)-YEAR(parametros!$C$2))*12+MONTH(B3774)-MONTH(parametros!$C$2)&gt;59),"Fora dos ciclos","C"&amp;INT(((YEAR(B3774)-YEAR(parametros!$C$2))*12+MONTH(B3774)-MONTH(parametros!$C$2))/12)))))</f>
        <v/>
      </c>
      <c r="D3774" s="394"/>
      <c r="E3774" s="78" t="str">
        <f>IF(C3774="","",IFERROR(VLOOKUP(C3774,parametros!$A$11:$E$15,5,0),""))</f>
        <v/>
      </c>
      <c r="F3774" s="79" t="str">
        <f t="shared" si="292"/>
        <v/>
      </c>
      <c r="G3774" s="395"/>
      <c r="H3774" s="91">
        <f t="shared" si="293"/>
        <v>0</v>
      </c>
      <c r="I3774" s="91" t="str">
        <f t="shared" si="294"/>
        <v/>
      </c>
      <c r="J3774" s="91" t="str">
        <f t="shared" si="295"/>
        <v/>
      </c>
      <c r="K3774" s="92" t="str">
        <f>IF(AND(A3774="",B3774="",D3774="",G3774=""),"",IF(AND(A3774&lt;&gt;"",COUNTIF($A$2:$A$5001,A3774)&gt;1),"NUMERO_PC duplicado",IF(B3774="","DATA_PC vazia",IF(NOT(ISNUMBER(B3774)),"DATA_PC invalida",IF(OR(C3774="",C3774="Fora dos ciclos"),"CICLO_PC nao identificado",IF(OR(D3774="",D3774=0),"VALOR_PC vazio ou zero",IF(AND(G3774&lt;&gt;"Sim",G3774&lt;&gt;"Nao",G3774&lt;&gt;""),"PC_PAGO_A_CONTRATADA invalido",IF(AND(C3774&lt;&gt;"C0",IFERROR(INDEX(parametros!$A$2:$A$6,MATCH(C3774,parametros!$B$2:$B$6,0)),"")="Sim",IFERROR(INDEX(parametros!$H$2:$H$6,MATCH(C3774,parametros!$B$2:$B$6,0)),"")=""),"INICIO_EFEITO ausente: PC "&amp;A3774&amp;" - "&amp;C3774,IF(L3774="","EFEITO_PC nao calculado: PC "&amp;A3774&amp;" - "&amp;C3774,"OK")))))))))</f>
        <v/>
      </c>
      <c r="L3774" s="92" t="str">
        <f>IF(AND(A3774="",B3774="",D3774="",G3774=""),"",IF(OR(B3774="",NOT(ISNUMBER(B3774)),C3774="",C3774="Fora dos ciclos"),"",IF(C3774="C0","Nao",IF(IFERROR(INDEX(parametros!$A$2:$A$6,MATCH(C3774,parametros!$B$2:$B$6,0)),"")&lt;&gt;"Sim","Nao",IF(IFERROR(INDEX(parametros!$H$2:$H$6,MATCH(C3774,parametros!$B$2:$B$6,0)),"")="","",IF(B3774&gt;=IFERROR(INDEX(parametros!$H$2:$H$6,MATCH(C3774,parametros!$B$2:$B$6,0)),""),"Sim","Nao"))))))</f>
        <v/>
      </c>
      <c r="T3774" s="156"/>
      <c r="U3774" s="214" t="str">
        <f t="shared" si="296"/>
        <v/>
      </c>
      <c r="V3774" s="212" t="s">
        <v>50</v>
      </c>
      <c r="W3774" s="100" t="s">
        <v>168</v>
      </c>
      <c r="X3774" s="100" t="s">
        <v>169</v>
      </c>
      <c r="Y3774" s="101" t="s">
        <v>170</v>
      </c>
      <c r="Z3774" s="101" t="s">
        <v>171</v>
      </c>
      <c r="AA3774" s="101" t="s">
        <v>50</v>
      </c>
      <c r="AB3774" s="101" t="s">
        <v>172</v>
      </c>
      <c r="AC3774" s="102" t="s">
        <v>173</v>
      </c>
    </row>
    <row r="3775" spans="1:29" ht="25.5" customHeight="1" x14ac:dyDescent="0.35">
      <c r="A3775" s="392"/>
      <c r="B3775" s="393"/>
      <c r="C3775" s="99" t="str">
        <f>IF(B3775="","",IF(NOT(ISNUMBER(B3775)),"DATA_PC invalida",IF(NOT(ISNUMBER(parametros!$C$2)),"Fora dos ciclos",IF(OR(B3775&lt;parametros!$C$2,(YEAR(B3775)-YEAR(parametros!$C$2))*12+MONTH(B3775)-MONTH(parametros!$C$2)&gt;59),"Fora dos ciclos","C"&amp;INT(((YEAR(B3775)-YEAR(parametros!$C$2))*12+MONTH(B3775)-MONTH(parametros!$C$2))/12)))))</f>
        <v/>
      </c>
      <c r="D3775" s="394"/>
      <c r="E3775" s="78" t="str">
        <f>IF(C3775="","",IFERROR(VLOOKUP(C3775,parametros!$A$11:$E$15,5,0),""))</f>
        <v/>
      </c>
      <c r="F3775" s="79" t="str">
        <f t="shared" si="292"/>
        <v/>
      </c>
      <c r="G3775" s="395"/>
      <c r="H3775" s="91">
        <f t="shared" si="293"/>
        <v>0</v>
      </c>
      <c r="I3775" s="91" t="str">
        <f t="shared" si="294"/>
        <v/>
      </c>
      <c r="J3775" s="91" t="str">
        <f t="shared" si="295"/>
        <v/>
      </c>
      <c r="K3775" s="92" t="str">
        <f>IF(AND(A3775="",B3775="",D3775="",G3775=""),"",IF(AND(A3775&lt;&gt;"",COUNTIF($A$2:$A$5001,A3775)&gt;1),"NUMERO_PC duplicado",IF(B3775="","DATA_PC vazia",IF(NOT(ISNUMBER(B3775)),"DATA_PC invalida",IF(OR(C3775="",C3775="Fora dos ciclos"),"CICLO_PC nao identificado",IF(OR(D3775="",D3775=0),"VALOR_PC vazio ou zero",IF(AND(G3775&lt;&gt;"Sim",G3775&lt;&gt;"Nao",G3775&lt;&gt;""),"PC_PAGO_A_CONTRATADA invalido",IF(AND(C3775&lt;&gt;"C0",IFERROR(INDEX(parametros!$A$2:$A$6,MATCH(C3775,parametros!$B$2:$B$6,0)),"")="Sim",IFERROR(INDEX(parametros!$H$2:$H$6,MATCH(C3775,parametros!$B$2:$B$6,0)),"")=""),"INICIO_EFEITO ausente: PC "&amp;A3775&amp;" - "&amp;C3775,IF(L3775="","EFEITO_PC nao calculado: PC "&amp;A3775&amp;" - "&amp;C3775,"OK")))))))))</f>
        <v/>
      </c>
      <c r="L3775" s="92" t="str">
        <f>IF(AND(A3775="",B3775="",D3775="",G3775=""),"",IF(OR(B3775="",NOT(ISNUMBER(B3775)),C3775="",C3775="Fora dos ciclos"),"",IF(C3775="C0","Nao",IF(IFERROR(INDEX(parametros!$A$2:$A$6,MATCH(C3775,parametros!$B$2:$B$6,0)),"")&lt;&gt;"Sim","Nao",IF(IFERROR(INDEX(parametros!$H$2:$H$6,MATCH(C3775,parametros!$B$2:$B$6,0)),"")="","",IF(B3775&gt;=IFERROR(INDEX(parametros!$H$2:$H$6,MATCH(C3775,parametros!$B$2:$B$6,0)),""),"Sim","Nao"))))))</f>
        <v/>
      </c>
      <c r="T3775" s="156"/>
      <c r="U3775" s="214" t="str">
        <f t="shared" si="296"/>
        <v/>
      </c>
      <c r="V3775" s="212" t="s">
        <v>50</v>
      </c>
      <c r="W3775" s="100" t="s">
        <v>168</v>
      </c>
      <c r="X3775" s="100" t="s">
        <v>169</v>
      </c>
      <c r="Y3775" s="101" t="s">
        <v>170</v>
      </c>
      <c r="Z3775" s="101" t="s">
        <v>171</v>
      </c>
      <c r="AA3775" s="101" t="s">
        <v>50</v>
      </c>
      <c r="AB3775" s="101" t="s">
        <v>172</v>
      </c>
      <c r="AC3775" s="102" t="s">
        <v>173</v>
      </c>
    </row>
    <row r="3776" spans="1:29" ht="25.5" customHeight="1" x14ac:dyDescent="0.35">
      <c r="A3776" s="392"/>
      <c r="B3776" s="393"/>
      <c r="C3776" s="99" t="str">
        <f>IF(B3776="","",IF(NOT(ISNUMBER(B3776)),"DATA_PC invalida",IF(NOT(ISNUMBER(parametros!$C$2)),"Fora dos ciclos",IF(OR(B3776&lt;parametros!$C$2,(YEAR(B3776)-YEAR(parametros!$C$2))*12+MONTH(B3776)-MONTH(parametros!$C$2)&gt;59),"Fora dos ciclos","C"&amp;INT(((YEAR(B3776)-YEAR(parametros!$C$2))*12+MONTH(B3776)-MONTH(parametros!$C$2))/12)))))</f>
        <v/>
      </c>
      <c r="D3776" s="394"/>
      <c r="E3776" s="78" t="str">
        <f>IF(C3776="","",IFERROR(VLOOKUP(C3776,parametros!$A$11:$E$15,5,0),""))</f>
        <v/>
      </c>
      <c r="F3776" s="79" t="str">
        <f t="shared" si="292"/>
        <v/>
      </c>
      <c r="G3776" s="395"/>
      <c r="H3776" s="91">
        <f t="shared" si="293"/>
        <v>0</v>
      </c>
      <c r="I3776" s="91" t="str">
        <f t="shared" si="294"/>
        <v/>
      </c>
      <c r="J3776" s="91" t="str">
        <f t="shared" si="295"/>
        <v/>
      </c>
      <c r="K3776" s="92" t="str">
        <f>IF(AND(A3776="",B3776="",D3776="",G3776=""),"",IF(AND(A3776&lt;&gt;"",COUNTIF($A$2:$A$5001,A3776)&gt;1),"NUMERO_PC duplicado",IF(B3776="","DATA_PC vazia",IF(NOT(ISNUMBER(B3776)),"DATA_PC invalida",IF(OR(C3776="",C3776="Fora dos ciclos"),"CICLO_PC nao identificado",IF(OR(D3776="",D3776=0),"VALOR_PC vazio ou zero",IF(AND(G3776&lt;&gt;"Sim",G3776&lt;&gt;"Nao",G3776&lt;&gt;""),"PC_PAGO_A_CONTRATADA invalido",IF(AND(C3776&lt;&gt;"C0",IFERROR(INDEX(parametros!$A$2:$A$6,MATCH(C3776,parametros!$B$2:$B$6,0)),"")="Sim",IFERROR(INDEX(parametros!$H$2:$H$6,MATCH(C3776,parametros!$B$2:$B$6,0)),"")=""),"INICIO_EFEITO ausente: PC "&amp;A3776&amp;" - "&amp;C3776,IF(L3776="","EFEITO_PC nao calculado: PC "&amp;A3776&amp;" - "&amp;C3776,"OK")))))))))</f>
        <v/>
      </c>
      <c r="L3776" s="92" t="str">
        <f>IF(AND(A3776="",B3776="",D3776="",G3776=""),"",IF(OR(B3776="",NOT(ISNUMBER(B3776)),C3776="",C3776="Fora dos ciclos"),"",IF(C3776="C0","Nao",IF(IFERROR(INDEX(parametros!$A$2:$A$6,MATCH(C3776,parametros!$B$2:$B$6,0)),"")&lt;&gt;"Sim","Nao",IF(IFERROR(INDEX(parametros!$H$2:$H$6,MATCH(C3776,parametros!$B$2:$B$6,0)),"")="","",IF(B3776&gt;=IFERROR(INDEX(parametros!$H$2:$H$6,MATCH(C3776,parametros!$B$2:$B$6,0)),""),"Sim","Nao"))))))</f>
        <v/>
      </c>
      <c r="T3776" s="156"/>
      <c r="U3776" s="214" t="str">
        <f t="shared" si="296"/>
        <v/>
      </c>
      <c r="V3776" s="212" t="s">
        <v>50</v>
      </c>
      <c r="W3776" s="100" t="s">
        <v>168</v>
      </c>
      <c r="X3776" s="100" t="s">
        <v>169</v>
      </c>
      <c r="Y3776" s="101" t="s">
        <v>170</v>
      </c>
      <c r="Z3776" s="101" t="s">
        <v>171</v>
      </c>
      <c r="AA3776" s="101" t="s">
        <v>50</v>
      </c>
      <c r="AB3776" s="101" t="s">
        <v>172</v>
      </c>
      <c r="AC3776" s="102" t="s">
        <v>173</v>
      </c>
    </row>
    <row r="3777" spans="1:29" ht="25.5" customHeight="1" x14ac:dyDescent="0.35">
      <c r="A3777" s="392"/>
      <c r="B3777" s="393"/>
      <c r="C3777" s="99" t="str">
        <f>IF(B3777="","",IF(NOT(ISNUMBER(B3777)),"DATA_PC invalida",IF(NOT(ISNUMBER(parametros!$C$2)),"Fora dos ciclos",IF(OR(B3777&lt;parametros!$C$2,(YEAR(B3777)-YEAR(parametros!$C$2))*12+MONTH(B3777)-MONTH(parametros!$C$2)&gt;59),"Fora dos ciclos","C"&amp;INT(((YEAR(B3777)-YEAR(parametros!$C$2))*12+MONTH(B3777)-MONTH(parametros!$C$2))/12)))))</f>
        <v/>
      </c>
      <c r="D3777" s="394"/>
      <c r="E3777" s="78" t="str">
        <f>IF(C3777="","",IFERROR(VLOOKUP(C3777,parametros!$A$11:$E$15,5,0),""))</f>
        <v/>
      </c>
      <c r="F3777" s="79" t="str">
        <f t="shared" si="292"/>
        <v/>
      </c>
      <c r="G3777" s="395"/>
      <c r="H3777" s="91">
        <f t="shared" si="293"/>
        <v>0</v>
      </c>
      <c r="I3777" s="91" t="str">
        <f t="shared" si="294"/>
        <v/>
      </c>
      <c r="J3777" s="91" t="str">
        <f t="shared" si="295"/>
        <v/>
      </c>
      <c r="K3777" s="92" t="str">
        <f>IF(AND(A3777="",B3777="",D3777="",G3777=""),"",IF(AND(A3777&lt;&gt;"",COUNTIF($A$2:$A$5001,A3777)&gt;1),"NUMERO_PC duplicado",IF(B3777="","DATA_PC vazia",IF(NOT(ISNUMBER(B3777)),"DATA_PC invalida",IF(OR(C3777="",C3777="Fora dos ciclos"),"CICLO_PC nao identificado",IF(OR(D3777="",D3777=0),"VALOR_PC vazio ou zero",IF(AND(G3777&lt;&gt;"Sim",G3777&lt;&gt;"Nao",G3777&lt;&gt;""),"PC_PAGO_A_CONTRATADA invalido",IF(AND(C3777&lt;&gt;"C0",IFERROR(INDEX(parametros!$A$2:$A$6,MATCH(C3777,parametros!$B$2:$B$6,0)),"")="Sim",IFERROR(INDEX(parametros!$H$2:$H$6,MATCH(C3777,parametros!$B$2:$B$6,0)),"")=""),"INICIO_EFEITO ausente: PC "&amp;A3777&amp;" - "&amp;C3777,IF(L3777="","EFEITO_PC nao calculado: PC "&amp;A3777&amp;" - "&amp;C3777,"OK")))))))))</f>
        <v/>
      </c>
      <c r="L3777" s="92" t="str">
        <f>IF(AND(A3777="",B3777="",D3777="",G3777=""),"",IF(OR(B3777="",NOT(ISNUMBER(B3777)),C3777="",C3777="Fora dos ciclos"),"",IF(C3777="C0","Nao",IF(IFERROR(INDEX(parametros!$A$2:$A$6,MATCH(C3777,parametros!$B$2:$B$6,0)),"")&lt;&gt;"Sim","Nao",IF(IFERROR(INDEX(parametros!$H$2:$H$6,MATCH(C3777,parametros!$B$2:$B$6,0)),"")="","",IF(B3777&gt;=IFERROR(INDEX(parametros!$H$2:$H$6,MATCH(C3777,parametros!$B$2:$B$6,0)),""),"Sim","Nao"))))))</f>
        <v/>
      </c>
      <c r="T3777" s="156"/>
      <c r="U3777" s="214" t="str">
        <f t="shared" si="296"/>
        <v/>
      </c>
      <c r="V3777" s="212" t="s">
        <v>50</v>
      </c>
      <c r="W3777" s="100" t="s">
        <v>168</v>
      </c>
      <c r="X3777" s="100" t="s">
        <v>169</v>
      </c>
      <c r="Y3777" s="101" t="s">
        <v>170</v>
      </c>
      <c r="Z3777" s="101" t="s">
        <v>171</v>
      </c>
      <c r="AA3777" s="101" t="s">
        <v>50</v>
      </c>
      <c r="AB3777" s="101" t="s">
        <v>172</v>
      </c>
      <c r="AC3777" s="102" t="s">
        <v>173</v>
      </c>
    </row>
    <row r="3778" spans="1:29" ht="25.5" customHeight="1" x14ac:dyDescent="0.35">
      <c r="A3778" s="392"/>
      <c r="B3778" s="393"/>
      <c r="C3778" s="99" t="str">
        <f>IF(B3778="","",IF(NOT(ISNUMBER(B3778)),"DATA_PC invalida",IF(NOT(ISNUMBER(parametros!$C$2)),"Fora dos ciclos",IF(OR(B3778&lt;parametros!$C$2,(YEAR(B3778)-YEAR(parametros!$C$2))*12+MONTH(B3778)-MONTH(parametros!$C$2)&gt;59),"Fora dos ciclos","C"&amp;INT(((YEAR(B3778)-YEAR(parametros!$C$2))*12+MONTH(B3778)-MONTH(parametros!$C$2))/12)))))</f>
        <v/>
      </c>
      <c r="D3778" s="394"/>
      <c r="E3778" s="78" t="str">
        <f>IF(C3778="","",IFERROR(VLOOKUP(C3778,parametros!$A$11:$E$15,5,0),""))</f>
        <v/>
      </c>
      <c r="F3778" s="79" t="str">
        <f t="shared" ref="F3778:F3841" si="297">IF(OR(D3778="",E3778=""),"",ROUND(D3778*E3778,2))</f>
        <v/>
      </c>
      <c r="G3778" s="395"/>
      <c r="H3778" s="91">
        <f t="shared" ref="H3778:H3841" si="298">IF(G3778="Sim",IF(OR(F3778="",D3778="",L3778=""),"",IF(L3778="Sim",ROUND(F3778-D3778,2),0)),0)</f>
        <v>0</v>
      </c>
      <c r="I3778" s="91" t="str">
        <f t="shared" ref="I3778:I3841" si="299">IF(G3778="Sim",0,IF(OR(F3778="",L3778=""),"",F3778))</f>
        <v/>
      </c>
      <c r="J3778" s="91" t="str">
        <f t="shared" ref="J3778:J3841" si="300">IF(G3778="Sim",0,IF(OR(F3778="",D3778="",L3778=""),"",IF(L3778="Sim",ROUND(F3778-D3778,2),0)))</f>
        <v/>
      </c>
      <c r="K3778" s="92" t="str">
        <f>IF(AND(A3778="",B3778="",D3778="",G3778=""),"",IF(AND(A3778&lt;&gt;"",COUNTIF($A$2:$A$5001,A3778)&gt;1),"NUMERO_PC duplicado",IF(B3778="","DATA_PC vazia",IF(NOT(ISNUMBER(B3778)),"DATA_PC invalida",IF(OR(C3778="",C3778="Fora dos ciclos"),"CICLO_PC nao identificado",IF(OR(D3778="",D3778=0),"VALOR_PC vazio ou zero",IF(AND(G3778&lt;&gt;"Sim",G3778&lt;&gt;"Nao",G3778&lt;&gt;""),"PC_PAGO_A_CONTRATADA invalido",IF(AND(C3778&lt;&gt;"C0",IFERROR(INDEX(parametros!$A$2:$A$6,MATCH(C3778,parametros!$B$2:$B$6,0)),"")="Sim",IFERROR(INDEX(parametros!$H$2:$H$6,MATCH(C3778,parametros!$B$2:$B$6,0)),"")=""),"INICIO_EFEITO ausente: PC "&amp;A3778&amp;" - "&amp;C3778,IF(L3778="","EFEITO_PC nao calculado: PC "&amp;A3778&amp;" - "&amp;C3778,"OK")))))))))</f>
        <v/>
      </c>
      <c r="L3778" s="92" t="str">
        <f>IF(AND(A3778="",B3778="",D3778="",G3778=""),"",IF(OR(B3778="",NOT(ISNUMBER(B3778)),C3778="",C3778="Fora dos ciclos"),"",IF(C3778="C0","Nao",IF(IFERROR(INDEX(parametros!$A$2:$A$6,MATCH(C3778,parametros!$B$2:$B$6,0)),"")&lt;&gt;"Sim","Nao",IF(IFERROR(INDEX(parametros!$H$2:$H$6,MATCH(C3778,parametros!$B$2:$B$6,0)),"")="","",IF(B3778&gt;=IFERROR(INDEX(parametros!$H$2:$H$6,MATCH(C3778,parametros!$B$2:$B$6,0)),""),"Sim","Nao"))))))</f>
        <v/>
      </c>
      <c r="T3778" s="156"/>
      <c r="U3778" s="214" t="str">
        <f t="shared" ref="U3778:U3841" si="301">IF(OR($D3778="",$H3778=""),"",ROUND($D3778+$H3778,2))</f>
        <v/>
      </c>
      <c r="V3778" s="212" t="s">
        <v>50</v>
      </c>
      <c r="W3778" s="100" t="s">
        <v>168</v>
      </c>
      <c r="X3778" s="100" t="s">
        <v>169</v>
      </c>
      <c r="Y3778" s="101" t="s">
        <v>170</v>
      </c>
      <c r="Z3778" s="101" t="s">
        <v>171</v>
      </c>
      <c r="AA3778" s="101" t="s">
        <v>50</v>
      </c>
      <c r="AB3778" s="101" t="s">
        <v>172</v>
      </c>
      <c r="AC3778" s="102" t="s">
        <v>173</v>
      </c>
    </row>
    <row r="3779" spans="1:29" ht="25.5" customHeight="1" x14ac:dyDescent="0.35">
      <c r="A3779" s="392"/>
      <c r="B3779" s="393"/>
      <c r="C3779" s="99" t="str">
        <f>IF(B3779="","",IF(NOT(ISNUMBER(B3779)),"DATA_PC invalida",IF(NOT(ISNUMBER(parametros!$C$2)),"Fora dos ciclos",IF(OR(B3779&lt;parametros!$C$2,(YEAR(B3779)-YEAR(parametros!$C$2))*12+MONTH(B3779)-MONTH(parametros!$C$2)&gt;59),"Fora dos ciclos","C"&amp;INT(((YEAR(B3779)-YEAR(parametros!$C$2))*12+MONTH(B3779)-MONTH(parametros!$C$2))/12)))))</f>
        <v/>
      </c>
      <c r="D3779" s="394"/>
      <c r="E3779" s="78" t="str">
        <f>IF(C3779="","",IFERROR(VLOOKUP(C3779,parametros!$A$11:$E$15,5,0),""))</f>
        <v/>
      </c>
      <c r="F3779" s="79" t="str">
        <f t="shared" si="297"/>
        <v/>
      </c>
      <c r="G3779" s="395"/>
      <c r="H3779" s="91">
        <f t="shared" si="298"/>
        <v>0</v>
      </c>
      <c r="I3779" s="91" t="str">
        <f t="shared" si="299"/>
        <v/>
      </c>
      <c r="J3779" s="91" t="str">
        <f t="shared" si="300"/>
        <v/>
      </c>
      <c r="K3779" s="92" t="str">
        <f>IF(AND(A3779="",B3779="",D3779="",G3779=""),"",IF(AND(A3779&lt;&gt;"",COUNTIF($A$2:$A$5001,A3779)&gt;1),"NUMERO_PC duplicado",IF(B3779="","DATA_PC vazia",IF(NOT(ISNUMBER(B3779)),"DATA_PC invalida",IF(OR(C3779="",C3779="Fora dos ciclos"),"CICLO_PC nao identificado",IF(OR(D3779="",D3779=0),"VALOR_PC vazio ou zero",IF(AND(G3779&lt;&gt;"Sim",G3779&lt;&gt;"Nao",G3779&lt;&gt;""),"PC_PAGO_A_CONTRATADA invalido",IF(AND(C3779&lt;&gt;"C0",IFERROR(INDEX(parametros!$A$2:$A$6,MATCH(C3779,parametros!$B$2:$B$6,0)),"")="Sim",IFERROR(INDEX(parametros!$H$2:$H$6,MATCH(C3779,parametros!$B$2:$B$6,0)),"")=""),"INICIO_EFEITO ausente: PC "&amp;A3779&amp;" - "&amp;C3779,IF(L3779="","EFEITO_PC nao calculado: PC "&amp;A3779&amp;" - "&amp;C3779,"OK")))))))))</f>
        <v/>
      </c>
      <c r="L3779" s="92" t="str">
        <f>IF(AND(A3779="",B3779="",D3779="",G3779=""),"",IF(OR(B3779="",NOT(ISNUMBER(B3779)),C3779="",C3779="Fora dos ciclos"),"",IF(C3779="C0","Nao",IF(IFERROR(INDEX(parametros!$A$2:$A$6,MATCH(C3779,parametros!$B$2:$B$6,0)),"")&lt;&gt;"Sim","Nao",IF(IFERROR(INDEX(parametros!$H$2:$H$6,MATCH(C3779,parametros!$B$2:$B$6,0)),"")="","",IF(B3779&gt;=IFERROR(INDEX(parametros!$H$2:$H$6,MATCH(C3779,parametros!$B$2:$B$6,0)),""),"Sim","Nao"))))))</f>
        <v/>
      </c>
      <c r="T3779" s="156"/>
      <c r="U3779" s="214" t="str">
        <f t="shared" si="301"/>
        <v/>
      </c>
      <c r="V3779" s="212" t="s">
        <v>50</v>
      </c>
      <c r="W3779" s="100" t="s">
        <v>168</v>
      </c>
      <c r="X3779" s="100" t="s">
        <v>169</v>
      </c>
      <c r="Y3779" s="101" t="s">
        <v>170</v>
      </c>
      <c r="Z3779" s="101" t="s">
        <v>171</v>
      </c>
      <c r="AA3779" s="101" t="s">
        <v>50</v>
      </c>
      <c r="AB3779" s="101" t="s">
        <v>172</v>
      </c>
      <c r="AC3779" s="102" t="s">
        <v>173</v>
      </c>
    </row>
    <row r="3780" spans="1:29" ht="25.5" customHeight="1" x14ac:dyDescent="0.35">
      <c r="A3780" s="392"/>
      <c r="B3780" s="393"/>
      <c r="C3780" s="99" t="str">
        <f>IF(B3780="","",IF(NOT(ISNUMBER(B3780)),"DATA_PC invalida",IF(NOT(ISNUMBER(parametros!$C$2)),"Fora dos ciclos",IF(OR(B3780&lt;parametros!$C$2,(YEAR(B3780)-YEAR(parametros!$C$2))*12+MONTH(B3780)-MONTH(parametros!$C$2)&gt;59),"Fora dos ciclos","C"&amp;INT(((YEAR(B3780)-YEAR(parametros!$C$2))*12+MONTH(B3780)-MONTH(parametros!$C$2))/12)))))</f>
        <v/>
      </c>
      <c r="D3780" s="394"/>
      <c r="E3780" s="78" t="str">
        <f>IF(C3780="","",IFERROR(VLOOKUP(C3780,parametros!$A$11:$E$15,5,0),""))</f>
        <v/>
      </c>
      <c r="F3780" s="79" t="str">
        <f t="shared" si="297"/>
        <v/>
      </c>
      <c r="G3780" s="395"/>
      <c r="H3780" s="91">
        <f t="shared" si="298"/>
        <v>0</v>
      </c>
      <c r="I3780" s="91" t="str">
        <f t="shared" si="299"/>
        <v/>
      </c>
      <c r="J3780" s="91" t="str">
        <f t="shared" si="300"/>
        <v/>
      </c>
      <c r="K3780" s="92" t="str">
        <f>IF(AND(A3780="",B3780="",D3780="",G3780=""),"",IF(AND(A3780&lt;&gt;"",COUNTIF($A$2:$A$5001,A3780)&gt;1),"NUMERO_PC duplicado",IF(B3780="","DATA_PC vazia",IF(NOT(ISNUMBER(B3780)),"DATA_PC invalida",IF(OR(C3780="",C3780="Fora dos ciclos"),"CICLO_PC nao identificado",IF(OR(D3780="",D3780=0),"VALOR_PC vazio ou zero",IF(AND(G3780&lt;&gt;"Sim",G3780&lt;&gt;"Nao",G3780&lt;&gt;""),"PC_PAGO_A_CONTRATADA invalido",IF(AND(C3780&lt;&gt;"C0",IFERROR(INDEX(parametros!$A$2:$A$6,MATCH(C3780,parametros!$B$2:$B$6,0)),"")="Sim",IFERROR(INDEX(parametros!$H$2:$H$6,MATCH(C3780,parametros!$B$2:$B$6,0)),"")=""),"INICIO_EFEITO ausente: PC "&amp;A3780&amp;" - "&amp;C3780,IF(L3780="","EFEITO_PC nao calculado: PC "&amp;A3780&amp;" - "&amp;C3780,"OK")))))))))</f>
        <v/>
      </c>
      <c r="L3780" s="92" t="str">
        <f>IF(AND(A3780="",B3780="",D3780="",G3780=""),"",IF(OR(B3780="",NOT(ISNUMBER(B3780)),C3780="",C3780="Fora dos ciclos"),"",IF(C3780="C0","Nao",IF(IFERROR(INDEX(parametros!$A$2:$A$6,MATCH(C3780,parametros!$B$2:$B$6,0)),"")&lt;&gt;"Sim","Nao",IF(IFERROR(INDEX(parametros!$H$2:$H$6,MATCH(C3780,parametros!$B$2:$B$6,0)),"")="","",IF(B3780&gt;=IFERROR(INDEX(parametros!$H$2:$H$6,MATCH(C3780,parametros!$B$2:$B$6,0)),""),"Sim","Nao"))))))</f>
        <v/>
      </c>
      <c r="T3780" s="156"/>
      <c r="U3780" s="214" t="str">
        <f t="shared" si="301"/>
        <v/>
      </c>
      <c r="V3780" s="212" t="s">
        <v>50</v>
      </c>
      <c r="W3780" s="100" t="s">
        <v>168</v>
      </c>
      <c r="X3780" s="100" t="s">
        <v>169</v>
      </c>
      <c r="Y3780" s="101" t="s">
        <v>170</v>
      </c>
      <c r="Z3780" s="101" t="s">
        <v>171</v>
      </c>
      <c r="AA3780" s="101" t="s">
        <v>50</v>
      </c>
      <c r="AB3780" s="101" t="s">
        <v>172</v>
      </c>
      <c r="AC3780" s="102" t="s">
        <v>173</v>
      </c>
    </row>
    <row r="3781" spans="1:29" ht="25.5" customHeight="1" x14ac:dyDescent="0.35">
      <c r="A3781" s="392"/>
      <c r="B3781" s="393"/>
      <c r="C3781" s="99" t="str">
        <f>IF(B3781="","",IF(NOT(ISNUMBER(B3781)),"DATA_PC invalida",IF(NOT(ISNUMBER(parametros!$C$2)),"Fora dos ciclos",IF(OR(B3781&lt;parametros!$C$2,(YEAR(B3781)-YEAR(parametros!$C$2))*12+MONTH(B3781)-MONTH(parametros!$C$2)&gt;59),"Fora dos ciclos","C"&amp;INT(((YEAR(B3781)-YEAR(parametros!$C$2))*12+MONTH(B3781)-MONTH(parametros!$C$2))/12)))))</f>
        <v/>
      </c>
      <c r="D3781" s="394"/>
      <c r="E3781" s="78" t="str">
        <f>IF(C3781="","",IFERROR(VLOOKUP(C3781,parametros!$A$11:$E$15,5,0),""))</f>
        <v/>
      </c>
      <c r="F3781" s="79" t="str">
        <f t="shared" si="297"/>
        <v/>
      </c>
      <c r="G3781" s="395"/>
      <c r="H3781" s="91">
        <f t="shared" si="298"/>
        <v>0</v>
      </c>
      <c r="I3781" s="91" t="str">
        <f t="shared" si="299"/>
        <v/>
      </c>
      <c r="J3781" s="91" t="str">
        <f t="shared" si="300"/>
        <v/>
      </c>
      <c r="K3781" s="92" t="str">
        <f>IF(AND(A3781="",B3781="",D3781="",G3781=""),"",IF(AND(A3781&lt;&gt;"",COUNTIF($A$2:$A$5001,A3781)&gt;1),"NUMERO_PC duplicado",IF(B3781="","DATA_PC vazia",IF(NOT(ISNUMBER(B3781)),"DATA_PC invalida",IF(OR(C3781="",C3781="Fora dos ciclos"),"CICLO_PC nao identificado",IF(OR(D3781="",D3781=0),"VALOR_PC vazio ou zero",IF(AND(G3781&lt;&gt;"Sim",G3781&lt;&gt;"Nao",G3781&lt;&gt;""),"PC_PAGO_A_CONTRATADA invalido",IF(AND(C3781&lt;&gt;"C0",IFERROR(INDEX(parametros!$A$2:$A$6,MATCH(C3781,parametros!$B$2:$B$6,0)),"")="Sim",IFERROR(INDEX(parametros!$H$2:$H$6,MATCH(C3781,parametros!$B$2:$B$6,0)),"")=""),"INICIO_EFEITO ausente: PC "&amp;A3781&amp;" - "&amp;C3781,IF(L3781="","EFEITO_PC nao calculado: PC "&amp;A3781&amp;" - "&amp;C3781,"OK")))))))))</f>
        <v/>
      </c>
      <c r="L3781" s="92" t="str">
        <f>IF(AND(A3781="",B3781="",D3781="",G3781=""),"",IF(OR(B3781="",NOT(ISNUMBER(B3781)),C3781="",C3781="Fora dos ciclos"),"",IF(C3781="C0","Nao",IF(IFERROR(INDEX(parametros!$A$2:$A$6,MATCH(C3781,parametros!$B$2:$B$6,0)),"")&lt;&gt;"Sim","Nao",IF(IFERROR(INDEX(parametros!$H$2:$H$6,MATCH(C3781,parametros!$B$2:$B$6,0)),"")="","",IF(B3781&gt;=IFERROR(INDEX(parametros!$H$2:$H$6,MATCH(C3781,parametros!$B$2:$B$6,0)),""),"Sim","Nao"))))))</f>
        <v/>
      </c>
      <c r="T3781" s="156"/>
      <c r="U3781" s="214" t="str">
        <f t="shared" si="301"/>
        <v/>
      </c>
      <c r="V3781" s="212" t="s">
        <v>50</v>
      </c>
      <c r="W3781" s="100" t="s">
        <v>168</v>
      </c>
      <c r="X3781" s="100" t="s">
        <v>169</v>
      </c>
      <c r="Y3781" s="101" t="s">
        <v>170</v>
      </c>
      <c r="Z3781" s="101" t="s">
        <v>171</v>
      </c>
      <c r="AA3781" s="101" t="s">
        <v>50</v>
      </c>
      <c r="AB3781" s="101" t="s">
        <v>172</v>
      </c>
      <c r="AC3781" s="102" t="s">
        <v>173</v>
      </c>
    </row>
    <row r="3782" spans="1:29" ht="25.5" customHeight="1" x14ac:dyDescent="0.35">
      <c r="A3782" s="392"/>
      <c r="B3782" s="393"/>
      <c r="C3782" s="99" t="str">
        <f>IF(B3782="","",IF(NOT(ISNUMBER(B3782)),"DATA_PC invalida",IF(NOT(ISNUMBER(parametros!$C$2)),"Fora dos ciclos",IF(OR(B3782&lt;parametros!$C$2,(YEAR(B3782)-YEAR(parametros!$C$2))*12+MONTH(B3782)-MONTH(parametros!$C$2)&gt;59),"Fora dos ciclos","C"&amp;INT(((YEAR(B3782)-YEAR(parametros!$C$2))*12+MONTH(B3782)-MONTH(parametros!$C$2))/12)))))</f>
        <v/>
      </c>
      <c r="D3782" s="394"/>
      <c r="E3782" s="78" t="str">
        <f>IF(C3782="","",IFERROR(VLOOKUP(C3782,parametros!$A$11:$E$15,5,0),""))</f>
        <v/>
      </c>
      <c r="F3782" s="79" t="str">
        <f t="shared" si="297"/>
        <v/>
      </c>
      <c r="G3782" s="395"/>
      <c r="H3782" s="91">
        <f t="shared" si="298"/>
        <v>0</v>
      </c>
      <c r="I3782" s="91" t="str">
        <f t="shared" si="299"/>
        <v/>
      </c>
      <c r="J3782" s="91" t="str">
        <f t="shared" si="300"/>
        <v/>
      </c>
      <c r="K3782" s="92" t="str">
        <f>IF(AND(A3782="",B3782="",D3782="",G3782=""),"",IF(AND(A3782&lt;&gt;"",COUNTIF($A$2:$A$5001,A3782)&gt;1),"NUMERO_PC duplicado",IF(B3782="","DATA_PC vazia",IF(NOT(ISNUMBER(B3782)),"DATA_PC invalida",IF(OR(C3782="",C3782="Fora dos ciclos"),"CICLO_PC nao identificado",IF(OR(D3782="",D3782=0),"VALOR_PC vazio ou zero",IF(AND(G3782&lt;&gt;"Sim",G3782&lt;&gt;"Nao",G3782&lt;&gt;""),"PC_PAGO_A_CONTRATADA invalido",IF(AND(C3782&lt;&gt;"C0",IFERROR(INDEX(parametros!$A$2:$A$6,MATCH(C3782,parametros!$B$2:$B$6,0)),"")="Sim",IFERROR(INDEX(parametros!$H$2:$H$6,MATCH(C3782,parametros!$B$2:$B$6,0)),"")=""),"INICIO_EFEITO ausente: PC "&amp;A3782&amp;" - "&amp;C3782,IF(L3782="","EFEITO_PC nao calculado: PC "&amp;A3782&amp;" - "&amp;C3782,"OK")))))))))</f>
        <v/>
      </c>
      <c r="L3782" s="92" t="str">
        <f>IF(AND(A3782="",B3782="",D3782="",G3782=""),"",IF(OR(B3782="",NOT(ISNUMBER(B3782)),C3782="",C3782="Fora dos ciclos"),"",IF(C3782="C0","Nao",IF(IFERROR(INDEX(parametros!$A$2:$A$6,MATCH(C3782,parametros!$B$2:$B$6,0)),"")&lt;&gt;"Sim","Nao",IF(IFERROR(INDEX(parametros!$H$2:$H$6,MATCH(C3782,parametros!$B$2:$B$6,0)),"")="","",IF(B3782&gt;=IFERROR(INDEX(parametros!$H$2:$H$6,MATCH(C3782,parametros!$B$2:$B$6,0)),""),"Sim","Nao"))))))</f>
        <v/>
      </c>
      <c r="T3782" s="156"/>
      <c r="U3782" s="214" t="str">
        <f t="shared" si="301"/>
        <v/>
      </c>
      <c r="V3782" s="212" t="s">
        <v>50</v>
      </c>
      <c r="W3782" s="100" t="s">
        <v>168</v>
      </c>
      <c r="X3782" s="100" t="s">
        <v>169</v>
      </c>
      <c r="Y3782" s="101" t="s">
        <v>170</v>
      </c>
      <c r="Z3782" s="101" t="s">
        <v>171</v>
      </c>
      <c r="AA3782" s="101" t="s">
        <v>50</v>
      </c>
      <c r="AB3782" s="101" t="s">
        <v>172</v>
      </c>
      <c r="AC3782" s="102" t="s">
        <v>173</v>
      </c>
    </row>
    <row r="3783" spans="1:29" ht="25.5" customHeight="1" x14ac:dyDescent="0.35">
      <c r="A3783" s="392"/>
      <c r="B3783" s="393"/>
      <c r="C3783" s="99" t="str">
        <f>IF(B3783="","",IF(NOT(ISNUMBER(B3783)),"DATA_PC invalida",IF(NOT(ISNUMBER(parametros!$C$2)),"Fora dos ciclos",IF(OR(B3783&lt;parametros!$C$2,(YEAR(B3783)-YEAR(parametros!$C$2))*12+MONTH(B3783)-MONTH(parametros!$C$2)&gt;59),"Fora dos ciclos","C"&amp;INT(((YEAR(B3783)-YEAR(parametros!$C$2))*12+MONTH(B3783)-MONTH(parametros!$C$2))/12)))))</f>
        <v/>
      </c>
      <c r="D3783" s="394"/>
      <c r="E3783" s="78" t="str">
        <f>IF(C3783="","",IFERROR(VLOOKUP(C3783,parametros!$A$11:$E$15,5,0),""))</f>
        <v/>
      </c>
      <c r="F3783" s="79" t="str">
        <f t="shared" si="297"/>
        <v/>
      </c>
      <c r="G3783" s="395"/>
      <c r="H3783" s="91">
        <f t="shared" si="298"/>
        <v>0</v>
      </c>
      <c r="I3783" s="91" t="str">
        <f t="shared" si="299"/>
        <v/>
      </c>
      <c r="J3783" s="91" t="str">
        <f t="shared" si="300"/>
        <v/>
      </c>
      <c r="K3783" s="92" t="str">
        <f>IF(AND(A3783="",B3783="",D3783="",G3783=""),"",IF(AND(A3783&lt;&gt;"",COUNTIF($A$2:$A$5001,A3783)&gt;1),"NUMERO_PC duplicado",IF(B3783="","DATA_PC vazia",IF(NOT(ISNUMBER(B3783)),"DATA_PC invalida",IF(OR(C3783="",C3783="Fora dos ciclos"),"CICLO_PC nao identificado",IF(OR(D3783="",D3783=0),"VALOR_PC vazio ou zero",IF(AND(G3783&lt;&gt;"Sim",G3783&lt;&gt;"Nao",G3783&lt;&gt;""),"PC_PAGO_A_CONTRATADA invalido",IF(AND(C3783&lt;&gt;"C0",IFERROR(INDEX(parametros!$A$2:$A$6,MATCH(C3783,parametros!$B$2:$B$6,0)),"")="Sim",IFERROR(INDEX(parametros!$H$2:$H$6,MATCH(C3783,parametros!$B$2:$B$6,0)),"")=""),"INICIO_EFEITO ausente: PC "&amp;A3783&amp;" - "&amp;C3783,IF(L3783="","EFEITO_PC nao calculado: PC "&amp;A3783&amp;" - "&amp;C3783,"OK")))))))))</f>
        <v/>
      </c>
      <c r="L3783" s="92" t="str">
        <f>IF(AND(A3783="",B3783="",D3783="",G3783=""),"",IF(OR(B3783="",NOT(ISNUMBER(B3783)),C3783="",C3783="Fora dos ciclos"),"",IF(C3783="C0","Nao",IF(IFERROR(INDEX(parametros!$A$2:$A$6,MATCH(C3783,parametros!$B$2:$B$6,0)),"")&lt;&gt;"Sim","Nao",IF(IFERROR(INDEX(parametros!$H$2:$H$6,MATCH(C3783,parametros!$B$2:$B$6,0)),"")="","",IF(B3783&gt;=IFERROR(INDEX(parametros!$H$2:$H$6,MATCH(C3783,parametros!$B$2:$B$6,0)),""),"Sim","Nao"))))))</f>
        <v/>
      </c>
      <c r="T3783" s="156"/>
      <c r="U3783" s="214" t="str">
        <f t="shared" si="301"/>
        <v/>
      </c>
      <c r="V3783" s="212" t="s">
        <v>50</v>
      </c>
      <c r="W3783" s="100" t="s">
        <v>168</v>
      </c>
      <c r="X3783" s="100" t="s">
        <v>169</v>
      </c>
      <c r="Y3783" s="101" t="s">
        <v>170</v>
      </c>
      <c r="Z3783" s="101" t="s">
        <v>171</v>
      </c>
      <c r="AA3783" s="101" t="s">
        <v>50</v>
      </c>
      <c r="AB3783" s="101" t="s">
        <v>172</v>
      </c>
      <c r="AC3783" s="102" t="s">
        <v>173</v>
      </c>
    </row>
    <row r="3784" spans="1:29" ht="25.5" customHeight="1" x14ac:dyDescent="0.35">
      <c r="A3784" s="392"/>
      <c r="B3784" s="393"/>
      <c r="C3784" s="99" t="str">
        <f>IF(B3784="","",IF(NOT(ISNUMBER(B3784)),"DATA_PC invalida",IF(NOT(ISNUMBER(parametros!$C$2)),"Fora dos ciclos",IF(OR(B3784&lt;parametros!$C$2,(YEAR(B3784)-YEAR(parametros!$C$2))*12+MONTH(B3784)-MONTH(parametros!$C$2)&gt;59),"Fora dos ciclos","C"&amp;INT(((YEAR(B3784)-YEAR(parametros!$C$2))*12+MONTH(B3784)-MONTH(parametros!$C$2))/12)))))</f>
        <v/>
      </c>
      <c r="D3784" s="394"/>
      <c r="E3784" s="78" t="str">
        <f>IF(C3784="","",IFERROR(VLOOKUP(C3784,parametros!$A$11:$E$15,5,0),""))</f>
        <v/>
      </c>
      <c r="F3784" s="79" t="str">
        <f t="shared" si="297"/>
        <v/>
      </c>
      <c r="G3784" s="395"/>
      <c r="H3784" s="91">
        <f t="shared" si="298"/>
        <v>0</v>
      </c>
      <c r="I3784" s="91" t="str">
        <f t="shared" si="299"/>
        <v/>
      </c>
      <c r="J3784" s="91" t="str">
        <f t="shared" si="300"/>
        <v/>
      </c>
      <c r="K3784" s="92" t="str">
        <f>IF(AND(A3784="",B3784="",D3784="",G3784=""),"",IF(AND(A3784&lt;&gt;"",COUNTIF($A$2:$A$5001,A3784)&gt;1),"NUMERO_PC duplicado",IF(B3784="","DATA_PC vazia",IF(NOT(ISNUMBER(B3784)),"DATA_PC invalida",IF(OR(C3784="",C3784="Fora dos ciclos"),"CICLO_PC nao identificado",IF(OR(D3784="",D3784=0),"VALOR_PC vazio ou zero",IF(AND(G3784&lt;&gt;"Sim",G3784&lt;&gt;"Nao",G3784&lt;&gt;""),"PC_PAGO_A_CONTRATADA invalido",IF(AND(C3784&lt;&gt;"C0",IFERROR(INDEX(parametros!$A$2:$A$6,MATCH(C3784,parametros!$B$2:$B$6,0)),"")="Sim",IFERROR(INDEX(parametros!$H$2:$H$6,MATCH(C3784,parametros!$B$2:$B$6,0)),"")=""),"INICIO_EFEITO ausente: PC "&amp;A3784&amp;" - "&amp;C3784,IF(L3784="","EFEITO_PC nao calculado: PC "&amp;A3784&amp;" - "&amp;C3784,"OK")))))))))</f>
        <v/>
      </c>
      <c r="L3784" s="92" t="str">
        <f>IF(AND(A3784="",B3784="",D3784="",G3784=""),"",IF(OR(B3784="",NOT(ISNUMBER(B3784)),C3784="",C3784="Fora dos ciclos"),"",IF(C3784="C0","Nao",IF(IFERROR(INDEX(parametros!$A$2:$A$6,MATCH(C3784,parametros!$B$2:$B$6,0)),"")&lt;&gt;"Sim","Nao",IF(IFERROR(INDEX(parametros!$H$2:$H$6,MATCH(C3784,parametros!$B$2:$B$6,0)),"")="","",IF(B3784&gt;=IFERROR(INDEX(parametros!$H$2:$H$6,MATCH(C3784,parametros!$B$2:$B$6,0)),""),"Sim","Nao"))))))</f>
        <v/>
      </c>
      <c r="T3784" s="156"/>
      <c r="U3784" s="214" t="str">
        <f t="shared" si="301"/>
        <v/>
      </c>
      <c r="V3784" s="212" t="s">
        <v>50</v>
      </c>
      <c r="W3784" s="100" t="s">
        <v>168</v>
      </c>
      <c r="X3784" s="100" t="s">
        <v>169</v>
      </c>
      <c r="Y3784" s="101" t="s">
        <v>170</v>
      </c>
      <c r="Z3784" s="101" t="s">
        <v>171</v>
      </c>
      <c r="AA3784" s="101" t="s">
        <v>50</v>
      </c>
      <c r="AB3784" s="101" t="s">
        <v>172</v>
      </c>
      <c r="AC3784" s="102" t="s">
        <v>173</v>
      </c>
    </row>
    <row r="3785" spans="1:29" ht="25.5" customHeight="1" x14ac:dyDescent="0.35">
      <c r="A3785" s="392"/>
      <c r="B3785" s="393"/>
      <c r="C3785" s="99" t="str">
        <f>IF(B3785="","",IF(NOT(ISNUMBER(B3785)),"DATA_PC invalida",IF(NOT(ISNUMBER(parametros!$C$2)),"Fora dos ciclos",IF(OR(B3785&lt;parametros!$C$2,(YEAR(B3785)-YEAR(parametros!$C$2))*12+MONTH(B3785)-MONTH(parametros!$C$2)&gt;59),"Fora dos ciclos","C"&amp;INT(((YEAR(B3785)-YEAR(parametros!$C$2))*12+MONTH(B3785)-MONTH(parametros!$C$2))/12)))))</f>
        <v/>
      </c>
      <c r="D3785" s="394"/>
      <c r="E3785" s="78" t="str">
        <f>IF(C3785="","",IFERROR(VLOOKUP(C3785,parametros!$A$11:$E$15,5,0),""))</f>
        <v/>
      </c>
      <c r="F3785" s="79" t="str">
        <f t="shared" si="297"/>
        <v/>
      </c>
      <c r="G3785" s="395"/>
      <c r="H3785" s="91">
        <f t="shared" si="298"/>
        <v>0</v>
      </c>
      <c r="I3785" s="91" t="str">
        <f t="shared" si="299"/>
        <v/>
      </c>
      <c r="J3785" s="91" t="str">
        <f t="shared" si="300"/>
        <v/>
      </c>
      <c r="K3785" s="92" t="str">
        <f>IF(AND(A3785="",B3785="",D3785="",G3785=""),"",IF(AND(A3785&lt;&gt;"",COUNTIF($A$2:$A$5001,A3785)&gt;1),"NUMERO_PC duplicado",IF(B3785="","DATA_PC vazia",IF(NOT(ISNUMBER(B3785)),"DATA_PC invalida",IF(OR(C3785="",C3785="Fora dos ciclos"),"CICLO_PC nao identificado",IF(OR(D3785="",D3785=0),"VALOR_PC vazio ou zero",IF(AND(G3785&lt;&gt;"Sim",G3785&lt;&gt;"Nao",G3785&lt;&gt;""),"PC_PAGO_A_CONTRATADA invalido",IF(AND(C3785&lt;&gt;"C0",IFERROR(INDEX(parametros!$A$2:$A$6,MATCH(C3785,parametros!$B$2:$B$6,0)),"")="Sim",IFERROR(INDEX(parametros!$H$2:$H$6,MATCH(C3785,parametros!$B$2:$B$6,0)),"")=""),"INICIO_EFEITO ausente: PC "&amp;A3785&amp;" - "&amp;C3785,IF(L3785="","EFEITO_PC nao calculado: PC "&amp;A3785&amp;" - "&amp;C3785,"OK")))))))))</f>
        <v/>
      </c>
      <c r="L3785" s="92" t="str">
        <f>IF(AND(A3785="",B3785="",D3785="",G3785=""),"",IF(OR(B3785="",NOT(ISNUMBER(B3785)),C3785="",C3785="Fora dos ciclos"),"",IF(C3785="C0","Nao",IF(IFERROR(INDEX(parametros!$A$2:$A$6,MATCH(C3785,parametros!$B$2:$B$6,0)),"")&lt;&gt;"Sim","Nao",IF(IFERROR(INDEX(parametros!$H$2:$H$6,MATCH(C3785,parametros!$B$2:$B$6,0)),"")="","",IF(B3785&gt;=IFERROR(INDEX(parametros!$H$2:$H$6,MATCH(C3785,parametros!$B$2:$B$6,0)),""),"Sim","Nao"))))))</f>
        <v/>
      </c>
      <c r="T3785" s="156"/>
      <c r="U3785" s="214" t="str">
        <f t="shared" si="301"/>
        <v/>
      </c>
      <c r="V3785" s="212" t="s">
        <v>50</v>
      </c>
      <c r="W3785" s="100" t="s">
        <v>168</v>
      </c>
      <c r="X3785" s="100" t="s">
        <v>169</v>
      </c>
      <c r="Y3785" s="101" t="s">
        <v>170</v>
      </c>
      <c r="Z3785" s="101" t="s">
        <v>171</v>
      </c>
      <c r="AA3785" s="101" t="s">
        <v>50</v>
      </c>
      <c r="AB3785" s="101" t="s">
        <v>172</v>
      </c>
      <c r="AC3785" s="102" t="s">
        <v>173</v>
      </c>
    </row>
    <row r="3786" spans="1:29" ht="25.5" customHeight="1" x14ac:dyDescent="0.35">
      <c r="A3786" s="392"/>
      <c r="B3786" s="393"/>
      <c r="C3786" s="99" t="str">
        <f>IF(B3786="","",IF(NOT(ISNUMBER(B3786)),"DATA_PC invalida",IF(NOT(ISNUMBER(parametros!$C$2)),"Fora dos ciclos",IF(OR(B3786&lt;parametros!$C$2,(YEAR(B3786)-YEAR(parametros!$C$2))*12+MONTH(B3786)-MONTH(parametros!$C$2)&gt;59),"Fora dos ciclos","C"&amp;INT(((YEAR(B3786)-YEAR(parametros!$C$2))*12+MONTH(B3786)-MONTH(parametros!$C$2))/12)))))</f>
        <v/>
      </c>
      <c r="D3786" s="394"/>
      <c r="E3786" s="78" t="str">
        <f>IF(C3786="","",IFERROR(VLOOKUP(C3786,parametros!$A$11:$E$15,5,0),""))</f>
        <v/>
      </c>
      <c r="F3786" s="79" t="str">
        <f t="shared" si="297"/>
        <v/>
      </c>
      <c r="G3786" s="395"/>
      <c r="H3786" s="91">
        <f t="shared" si="298"/>
        <v>0</v>
      </c>
      <c r="I3786" s="91" t="str">
        <f t="shared" si="299"/>
        <v/>
      </c>
      <c r="J3786" s="91" t="str">
        <f t="shared" si="300"/>
        <v/>
      </c>
      <c r="K3786" s="92" t="str">
        <f>IF(AND(A3786="",B3786="",D3786="",G3786=""),"",IF(AND(A3786&lt;&gt;"",COUNTIF($A$2:$A$5001,A3786)&gt;1),"NUMERO_PC duplicado",IF(B3786="","DATA_PC vazia",IF(NOT(ISNUMBER(B3786)),"DATA_PC invalida",IF(OR(C3786="",C3786="Fora dos ciclos"),"CICLO_PC nao identificado",IF(OR(D3786="",D3786=0),"VALOR_PC vazio ou zero",IF(AND(G3786&lt;&gt;"Sim",G3786&lt;&gt;"Nao",G3786&lt;&gt;""),"PC_PAGO_A_CONTRATADA invalido",IF(AND(C3786&lt;&gt;"C0",IFERROR(INDEX(parametros!$A$2:$A$6,MATCH(C3786,parametros!$B$2:$B$6,0)),"")="Sim",IFERROR(INDEX(parametros!$H$2:$H$6,MATCH(C3786,parametros!$B$2:$B$6,0)),"")=""),"INICIO_EFEITO ausente: PC "&amp;A3786&amp;" - "&amp;C3786,IF(L3786="","EFEITO_PC nao calculado: PC "&amp;A3786&amp;" - "&amp;C3786,"OK")))))))))</f>
        <v/>
      </c>
      <c r="L3786" s="92" t="str">
        <f>IF(AND(A3786="",B3786="",D3786="",G3786=""),"",IF(OR(B3786="",NOT(ISNUMBER(B3786)),C3786="",C3786="Fora dos ciclos"),"",IF(C3786="C0","Nao",IF(IFERROR(INDEX(parametros!$A$2:$A$6,MATCH(C3786,parametros!$B$2:$B$6,0)),"")&lt;&gt;"Sim","Nao",IF(IFERROR(INDEX(parametros!$H$2:$H$6,MATCH(C3786,parametros!$B$2:$B$6,0)),"")="","",IF(B3786&gt;=IFERROR(INDEX(parametros!$H$2:$H$6,MATCH(C3786,parametros!$B$2:$B$6,0)),""),"Sim","Nao"))))))</f>
        <v/>
      </c>
      <c r="T3786" s="156"/>
      <c r="U3786" s="214" t="str">
        <f t="shared" si="301"/>
        <v/>
      </c>
      <c r="V3786" s="212" t="s">
        <v>50</v>
      </c>
      <c r="W3786" s="100" t="s">
        <v>168</v>
      </c>
      <c r="X3786" s="100" t="s">
        <v>169</v>
      </c>
      <c r="Y3786" s="101" t="s">
        <v>170</v>
      </c>
      <c r="Z3786" s="101" t="s">
        <v>171</v>
      </c>
      <c r="AA3786" s="101" t="s">
        <v>50</v>
      </c>
      <c r="AB3786" s="101" t="s">
        <v>172</v>
      </c>
      <c r="AC3786" s="102" t="s">
        <v>173</v>
      </c>
    </row>
    <row r="3787" spans="1:29" ht="25.5" customHeight="1" x14ac:dyDescent="0.35">
      <c r="A3787" s="392"/>
      <c r="B3787" s="393"/>
      <c r="C3787" s="99" t="str">
        <f>IF(B3787="","",IF(NOT(ISNUMBER(B3787)),"DATA_PC invalida",IF(NOT(ISNUMBER(parametros!$C$2)),"Fora dos ciclos",IF(OR(B3787&lt;parametros!$C$2,(YEAR(B3787)-YEAR(parametros!$C$2))*12+MONTH(B3787)-MONTH(parametros!$C$2)&gt;59),"Fora dos ciclos","C"&amp;INT(((YEAR(B3787)-YEAR(parametros!$C$2))*12+MONTH(B3787)-MONTH(parametros!$C$2))/12)))))</f>
        <v/>
      </c>
      <c r="D3787" s="394"/>
      <c r="E3787" s="78" t="str">
        <f>IF(C3787="","",IFERROR(VLOOKUP(C3787,parametros!$A$11:$E$15,5,0),""))</f>
        <v/>
      </c>
      <c r="F3787" s="79" t="str">
        <f t="shared" si="297"/>
        <v/>
      </c>
      <c r="G3787" s="395"/>
      <c r="H3787" s="91">
        <f t="shared" si="298"/>
        <v>0</v>
      </c>
      <c r="I3787" s="91" t="str">
        <f t="shared" si="299"/>
        <v/>
      </c>
      <c r="J3787" s="91" t="str">
        <f t="shared" si="300"/>
        <v/>
      </c>
      <c r="K3787" s="92" t="str">
        <f>IF(AND(A3787="",B3787="",D3787="",G3787=""),"",IF(AND(A3787&lt;&gt;"",COUNTIF($A$2:$A$5001,A3787)&gt;1),"NUMERO_PC duplicado",IF(B3787="","DATA_PC vazia",IF(NOT(ISNUMBER(B3787)),"DATA_PC invalida",IF(OR(C3787="",C3787="Fora dos ciclos"),"CICLO_PC nao identificado",IF(OR(D3787="",D3787=0),"VALOR_PC vazio ou zero",IF(AND(G3787&lt;&gt;"Sim",G3787&lt;&gt;"Nao",G3787&lt;&gt;""),"PC_PAGO_A_CONTRATADA invalido",IF(AND(C3787&lt;&gt;"C0",IFERROR(INDEX(parametros!$A$2:$A$6,MATCH(C3787,parametros!$B$2:$B$6,0)),"")="Sim",IFERROR(INDEX(parametros!$H$2:$H$6,MATCH(C3787,parametros!$B$2:$B$6,0)),"")=""),"INICIO_EFEITO ausente: PC "&amp;A3787&amp;" - "&amp;C3787,IF(L3787="","EFEITO_PC nao calculado: PC "&amp;A3787&amp;" - "&amp;C3787,"OK")))))))))</f>
        <v/>
      </c>
      <c r="L3787" s="92" t="str">
        <f>IF(AND(A3787="",B3787="",D3787="",G3787=""),"",IF(OR(B3787="",NOT(ISNUMBER(B3787)),C3787="",C3787="Fora dos ciclos"),"",IF(C3787="C0","Nao",IF(IFERROR(INDEX(parametros!$A$2:$A$6,MATCH(C3787,parametros!$B$2:$B$6,0)),"")&lt;&gt;"Sim","Nao",IF(IFERROR(INDEX(parametros!$H$2:$H$6,MATCH(C3787,parametros!$B$2:$B$6,0)),"")="","",IF(B3787&gt;=IFERROR(INDEX(parametros!$H$2:$H$6,MATCH(C3787,parametros!$B$2:$B$6,0)),""),"Sim","Nao"))))))</f>
        <v/>
      </c>
      <c r="T3787" s="156"/>
      <c r="U3787" s="214" t="str">
        <f t="shared" si="301"/>
        <v/>
      </c>
      <c r="V3787" s="212" t="s">
        <v>50</v>
      </c>
      <c r="W3787" s="100" t="s">
        <v>168</v>
      </c>
      <c r="X3787" s="100" t="s">
        <v>169</v>
      </c>
      <c r="Y3787" s="101" t="s">
        <v>170</v>
      </c>
      <c r="Z3787" s="101" t="s">
        <v>171</v>
      </c>
      <c r="AA3787" s="101" t="s">
        <v>50</v>
      </c>
      <c r="AB3787" s="101" t="s">
        <v>172</v>
      </c>
      <c r="AC3787" s="102" t="s">
        <v>173</v>
      </c>
    </row>
    <row r="3788" spans="1:29" ht="25.5" customHeight="1" x14ac:dyDescent="0.35">
      <c r="A3788" s="392"/>
      <c r="B3788" s="393"/>
      <c r="C3788" s="99" t="str">
        <f>IF(B3788="","",IF(NOT(ISNUMBER(B3788)),"DATA_PC invalida",IF(NOT(ISNUMBER(parametros!$C$2)),"Fora dos ciclos",IF(OR(B3788&lt;parametros!$C$2,(YEAR(B3788)-YEAR(parametros!$C$2))*12+MONTH(B3788)-MONTH(parametros!$C$2)&gt;59),"Fora dos ciclos","C"&amp;INT(((YEAR(B3788)-YEAR(parametros!$C$2))*12+MONTH(B3788)-MONTH(parametros!$C$2))/12)))))</f>
        <v/>
      </c>
      <c r="D3788" s="394"/>
      <c r="E3788" s="78" t="str">
        <f>IF(C3788="","",IFERROR(VLOOKUP(C3788,parametros!$A$11:$E$15,5,0),""))</f>
        <v/>
      </c>
      <c r="F3788" s="79" t="str">
        <f t="shared" si="297"/>
        <v/>
      </c>
      <c r="G3788" s="395"/>
      <c r="H3788" s="91">
        <f t="shared" si="298"/>
        <v>0</v>
      </c>
      <c r="I3788" s="91" t="str">
        <f t="shared" si="299"/>
        <v/>
      </c>
      <c r="J3788" s="91" t="str">
        <f t="shared" si="300"/>
        <v/>
      </c>
      <c r="K3788" s="92" t="str">
        <f>IF(AND(A3788="",B3788="",D3788="",G3788=""),"",IF(AND(A3788&lt;&gt;"",COUNTIF($A$2:$A$5001,A3788)&gt;1),"NUMERO_PC duplicado",IF(B3788="","DATA_PC vazia",IF(NOT(ISNUMBER(B3788)),"DATA_PC invalida",IF(OR(C3788="",C3788="Fora dos ciclos"),"CICLO_PC nao identificado",IF(OR(D3788="",D3788=0),"VALOR_PC vazio ou zero",IF(AND(G3788&lt;&gt;"Sim",G3788&lt;&gt;"Nao",G3788&lt;&gt;""),"PC_PAGO_A_CONTRATADA invalido",IF(AND(C3788&lt;&gt;"C0",IFERROR(INDEX(parametros!$A$2:$A$6,MATCH(C3788,parametros!$B$2:$B$6,0)),"")="Sim",IFERROR(INDEX(parametros!$H$2:$H$6,MATCH(C3788,parametros!$B$2:$B$6,0)),"")=""),"INICIO_EFEITO ausente: PC "&amp;A3788&amp;" - "&amp;C3788,IF(L3788="","EFEITO_PC nao calculado: PC "&amp;A3788&amp;" - "&amp;C3788,"OK")))))))))</f>
        <v/>
      </c>
      <c r="L3788" s="92" t="str">
        <f>IF(AND(A3788="",B3788="",D3788="",G3788=""),"",IF(OR(B3788="",NOT(ISNUMBER(B3788)),C3788="",C3788="Fora dos ciclos"),"",IF(C3788="C0","Nao",IF(IFERROR(INDEX(parametros!$A$2:$A$6,MATCH(C3788,parametros!$B$2:$B$6,0)),"")&lt;&gt;"Sim","Nao",IF(IFERROR(INDEX(parametros!$H$2:$H$6,MATCH(C3788,parametros!$B$2:$B$6,0)),"")="","",IF(B3788&gt;=IFERROR(INDEX(parametros!$H$2:$H$6,MATCH(C3788,parametros!$B$2:$B$6,0)),""),"Sim","Nao"))))))</f>
        <v/>
      </c>
      <c r="T3788" s="156"/>
      <c r="U3788" s="214" t="str">
        <f t="shared" si="301"/>
        <v/>
      </c>
      <c r="V3788" s="212" t="s">
        <v>50</v>
      </c>
      <c r="W3788" s="100" t="s">
        <v>168</v>
      </c>
      <c r="X3788" s="100" t="s">
        <v>169</v>
      </c>
      <c r="Y3788" s="101" t="s">
        <v>170</v>
      </c>
      <c r="Z3788" s="101" t="s">
        <v>171</v>
      </c>
      <c r="AA3788" s="101" t="s">
        <v>50</v>
      </c>
      <c r="AB3788" s="101" t="s">
        <v>172</v>
      </c>
      <c r="AC3788" s="102" t="s">
        <v>173</v>
      </c>
    </row>
    <row r="3789" spans="1:29" ht="25.5" customHeight="1" x14ac:dyDescent="0.35">
      <c r="A3789" s="392"/>
      <c r="B3789" s="393"/>
      <c r="C3789" s="99" t="str">
        <f>IF(B3789="","",IF(NOT(ISNUMBER(B3789)),"DATA_PC invalida",IF(NOT(ISNUMBER(parametros!$C$2)),"Fora dos ciclos",IF(OR(B3789&lt;parametros!$C$2,(YEAR(B3789)-YEAR(parametros!$C$2))*12+MONTH(B3789)-MONTH(parametros!$C$2)&gt;59),"Fora dos ciclos","C"&amp;INT(((YEAR(B3789)-YEAR(parametros!$C$2))*12+MONTH(B3789)-MONTH(parametros!$C$2))/12)))))</f>
        <v/>
      </c>
      <c r="D3789" s="394"/>
      <c r="E3789" s="78" t="str">
        <f>IF(C3789="","",IFERROR(VLOOKUP(C3789,parametros!$A$11:$E$15,5,0),""))</f>
        <v/>
      </c>
      <c r="F3789" s="79" t="str">
        <f t="shared" si="297"/>
        <v/>
      </c>
      <c r="G3789" s="395"/>
      <c r="H3789" s="91">
        <f t="shared" si="298"/>
        <v>0</v>
      </c>
      <c r="I3789" s="91" t="str">
        <f t="shared" si="299"/>
        <v/>
      </c>
      <c r="J3789" s="91" t="str">
        <f t="shared" si="300"/>
        <v/>
      </c>
      <c r="K3789" s="92" t="str">
        <f>IF(AND(A3789="",B3789="",D3789="",G3789=""),"",IF(AND(A3789&lt;&gt;"",COUNTIF($A$2:$A$5001,A3789)&gt;1),"NUMERO_PC duplicado",IF(B3789="","DATA_PC vazia",IF(NOT(ISNUMBER(B3789)),"DATA_PC invalida",IF(OR(C3789="",C3789="Fora dos ciclos"),"CICLO_PC nao identificado",IF(OR(D3789="",D3789=0),"VALOR_PC vazio ou zero",IF(AND(G3789&lt;&gt;"Sim",G3789&lt;&gt;"Nao",G3789&lt;&gt;""),"PC_PAGO_A_CONTRATADA invalido",IF(AND(C3789&lt;&gt;"C0",IFERROR(INDEX(parametros!$A$2:$A$6,MATCH(C3789,parametros!$B$2:$B$6,0)),"")="Sim",IFERROR(INDEX(parametros!$H$2:$H$6,MATCH(C3789,parametros!$B$2:$B$6,0)),"")=""),"INICIO_EFEITO ausente: PC "&amp;A3789&amp;" - "&amp;C3789,IF(L3789="","EFEITO_PC nao calculado: PC "&amp;A3789&amp;" - "&amp;C3789,"OK")))))))))</f>
        <v/>
      </c>
      <c r="L3789" s="92" t="str">
        <f>IF(AND(A3789="",B3789="",D3789="",G3789=""),"",IF(OR(B3789="",NOT(ISNUMBER(B3789)),C3789="",C3789="Fora dos ciclos"),"",IF(C3789="C0","Nao",IF(IFERROR(INDEX(parametros!$A$2:$A$6,MATCH(C3789,parametros!$B$2:$B$6,0)),"")&lt;&gt;"Sim","Nao",IF(IFERROR(INDEX(parametros!$H$2:$H$6,MATCH(C3789,parametros!$B$2:$B$6,0)),"")="","",IF(B3789&gt;=IFERROR(INDEX(parametros!$H$2:$H$6,MATCH(C3789,parametros!$B$2:$B$6,0)),""),"Sim","Nao"))))))</f>
        <v/>
      </c>
      <c r="T3789" s="156"/>
      <c r="U3789" s="214" t="str">
        <f t="shared" si="301"/>
        <v/>
      </c>
      <c r="V3789" s="212" t="s">
        <v>50</v>
      </c>
      <c r="W3789" s="100" t="s">
        <v>168</v>
      </c>
      <c r="X3789" s="100" t="s">
        <v>169</v>
      </c>
      <c r="Y3789" s="101" t="s">
        <v>170</v>
      </c>
      <c r="Z3789" s="101" t="s">
        <v>171</v>
      </c>
      <c r="AA3789" s="101" t="s">
        <v>50</v>
      </c>
      <c r="AB3789" s="101" t="s">
        <v>172</v>
      </c>
      <c r="AC3789" s="102" t="s">
        <v>173</v>
      </c>
    </row>
    <row r="3790" spans="1:29" ht="25.5" customHeight="1" x14ac:dyDescent="0.35">
      <c r="A3790" s="392"/>
      <c r="B3790" s="393"/>
      <c r="C3790" s="99" t="str">
        <f>IF(B3790="","",IF(NOT(ISNUMBER(B3790)),"DATA_PC invalida",IF(NOT(ISNUMBER(parametros!$C$2)),"Fora dos ciclos",IF(OR(B3790&lt;parametros!$C$2,(YEAR(B3790)-YEAR(parametros!$C$2))*12+MONTH(B3790)-MONTH(parametros!$C$2)&gt;59),"Fora dos ciclos","C"&amp;INT(((YEAR(B3790)-YEAR(parametros!$C$2))*12+MONTH(B3790)-MONTH(parametros!$C$2))/12)))))</f>
        <v/>
      </c>
      <c r="D3790" s="394"/>
      <c r="E3790" s="78" t="str">
        <f>IF(C3790="","",IFERROR(VLOOKUP(C3790,parametros!$A$11:$E$15,5,0),""))</f>
        <v/>
      </c>
      <c r="F3790" s="79" t="str">
        <f t="shared" si="297"/>
        <v/>
      </c>
      <c r="G3790" s="395"/>
      <c r="H3790" s="91">
        <f t="shared" si="298"/>
        <v>0</v>
      </c>
      <c r="I3790" s="91" t="str">
        <f t="shared" si="299"/>
        <v/>
      </c>
      <c r="J3790" s="91" t="str">
        <f t="shared" si="300"/>
        <v/>
      </c>
      <c r="K3790" s="92" t="str">
        <f>IF(AND(A3790="",B3790="",D3790="",G3790=""),"",IF(AND(A3790&lt;&gt;"",COUNTIF($A$2:$A$5001,A3790)&gt;1),"NUMERO_PC duplicado",IF(B3790="","DATA_PC vazia",IF(NOT(ISNUMBER(B3790)),"DATA_PC invalida",IF(OR(C3790="",C3790="Fora dos ciclos"),"CICLO_PC nao identificado",IF(OR(D3790="",D3790=0),"VALOR_PC vazio ou zero",IF(AND(G3790&lt;&gt;"Sim",G3790&lt;&gt;"Nao",G3790&lt;&gt;""),"PC_PAGO_A_CONTRATADA invalido",IF(AND(C3790&lt;&gt;"C0",IFERROR(INDEX(parametros!$A$2:$A$6,MATCH(C3790,parametros!$B$2:$B$6,0)),"")="Sim",IFERROR(INDEX(parametros!$H$2:$H$6,MATCH(C3790,parametros!$B$2:$B$6,0)),"")=""),"INICIO_EFEITO ausente: PC "&amp;A3790&amp;" - "&amp;C3790,IF(L3790="","EFEITO_PC nao calculado: PC "&amp;A3790&amp;" - "&amp;C3790,"OK")))))))))</f>
        <v/>
      </c>
      <c r="L3790" s="92" t="str">
        <f>IF(AND(A3790="",B3790="",D3790="",G3790=""),"",IF(OR(B3790="",NOT(ISNUMBER(B3790)),C3790="",C3790="Fora dos ciclos"),"",IF(C3790="C0","Nao",IF(IFERROR(INDEX(parametros!$A$2:$A$6,MATCH(C3790,parametros!$B$2:$B$6,0)),"")&lt;&gt;"Sim","Nao",IF(IFERROR(INDEX(parametros!$H$2:$H$6,MATCH(C3790,parametros!$B$2:$B$6,0)),"")="","",IF(B3790&gt;=IFERROR(INDEX(parametros!$H$2:$H$6,MATCH(C3790,parametros!$B$2:$B$6,0)),""),"Sim","Nao"))))))</f>
        <v/>
      </c>
      <c r="T3790" s="156"/>
      <c r="U3790" s="214" t="str">
        <f t="shared" si="301"/>
        <v/>
      </c>
      <c r="V3790" s="212" t="s">
        <v>50</v>
      </c>
      <c r="W3790" s="100" t="s">
        <v>168</v>
      </c>
      <c r="X3790" s="100" t="s">
        <v>169</v>
      </c>
      <c r="Y3790" s="101" t="s">
        <v>170</v>
      </c>
      <c r="Z3790" s="101" t="s">
        <v>171</v>
      </c>
      <c r="AA3790" s="101" t="s">
        <v>50</v>
      </c>
      <c r="AB3790" s="101" t="s">
        <v>172</v>
      </c>
      <c r="AC3790" s="102" t="s">
        <v>173</v>
      </c>
    </row>
    <row r="3791" spans="1:29" ht="25.5" customHeight="1" x14ac:dyDescent="0.35">
      <c r="A3791" s="392"/>
      <c r="B3791" s="393"/>
      <c r="C3791" s="99" t="str">
        <f>IF(B3791="","",IF(NOT(ISNUMBER(B3791)),"DATA_PC invalida",IF(NOT(ISNUMBER(parametros!$C$2)),"Fora dos ciclos",IF(OR(B3791&lt;parametros!$C$2,(YEAR(B3791)-YEAR(parametros!$C$2))*12+MONTH(B3791)-MONTH(parametros!$C$2)&gt;59),"Fora dos ciclos","C"&amp;INT(((YEAR(B3791)-YEAR(parametros!$C$2))*12+MONTH(B3791)-MONTH(parametros!$C$2))/12)))))</f>
        <v/>
      </c>
      <c r="D3791" s="394"/>
      <c r="E3791" s="78" t="str">
        <f>IF(C3791="","",IFERROR(VLOOKUP(C3791,parametros!$A$11:$E$15,5,0),""))</f>
        <v/>
      </c>
      <c r="F3791" s="79" t="str">
        <f t="shared" si="297"/>
        <v/>
      </c>
      <c r="G3791" s="395"/>
      <c r="H3791" s="91">
        <f t="shared" si="298"/>
        <v>0</v>
      </c>
      <c r="I3791" s="91" t="str">
        <f t="shared" si="299"/>
        <v/>
      </c>
      <c r="J3791" s="91" t="str">
        <f t="shared" si="300"/>
        <v/>
      </c>
      <c r="K3791" s="92" t="str">
        <f>IF(AND(A3791="",B3791="",D3791="",G3791=""),"",IF(AND(A3791&lt;&gt;"",COUNTIF($A$2:$A$5001,A3791)&gt;1),"NUMERO_PC duplicado",IF(B3791="","DATA_PC vazia",IF(NOT(ISNUMBER(B3791)),"DATA_PC invalida",IF(OR(C3791="",C3791="Fora dos ciclos"),"CICLO_PC nao identificado",IF(OR(D3791="",D3791=0),"VALOR_PC vazio ou zero",IF(AND(G3791&lt;&gt;"Sim",G3791&lt;&gt;"Nao",G3791&lt;&gt;""),"PC_PAGO_A_CONTRATADA invalido",IF(AND(C3791&lt;&gt;"C0",IFERROR(INDEX(parametros!$A$2:$A$6,MATCH(C3791,parametros!$B$2:$B$6,0)),"")="Sim",IFERROR(INDEX(parametros!$H$2:$H$6,MATCH(C3791,parametros!$B$2:$B$6,0)),"")=""),"INICIO_EFEITO ausente: PC "&amp;A3791&amp;" - "&amp;C3791,IF(L3791="","EFEITO_PC nao calculado: PC "&amp;A3791&amp;" - "&amp;C3791,"OK")))))))))</f>
        <v/>
      </c>
      <c r="L3791" s="92" t="str">
        <f>IF(AND(A3791="",B3791="",D3791="",G3791=""),"",IF(OR(B3791="",NOT(ISNUMBER(B3791)),C3791="",C3791="Fora dos ciclos"),"",IF(C3791="C0","Nao",IF(IFERROR(INDEX(parametros!$A$2:$A$6,MATCH(C3791,parametros!$B$2:$B$6,0)),"")&lt;&gt;"Sim","Nao",IF(IFERROR(INDEX(parametros!$H$2:$H$6,MATCH(C3791,parametros!$B$2:$B$6,0)),"")="","",IF(B3791&gt;=IFERROR(INDEX(parametros!$H$2:$H$6,MATCH(C3791,parametros!$B$2:$B$6,0)),""),"Sim","Nao"))))))</f>
        <v/>
      </c>
      <c r="T3791" s="156"/>
      <c r="U3791" s="214" t="str">
        <f t="shared" si="301"/>
        <v/>
      </c>
      <c r="V3791" s="212" t="s">
        <v>50</v>
      </c>
      <c r="W3791" s="100" t="s">
        <v>168</v>
      </c>
      <c r="X3791" s="100" t="s">
        <v>169</v>
      </c>
      <c r="Y3791" s="101" t="s">
        <v>170</v>
      </c>
      <c r="Z3791" s="101" t="s">
        <v>171</v>
      </c>
      <c r="AA3791" s="101" t="s">
        <v>50</v>
      </c>
      <c r="AB3791" s="101" t="s">
        <v>172</v>
      </c>
      <c r="AC3791" s="102" t="s">
        <v>173</v>
      </c>
    </row>
    <row r="3792" spans="1:29" ht="25.5" customHeight="1" x14ac:dyDescent="0.35">
      <c r="A3792" s="392"/>
      <c r="B3792" s="393"/>
      <c r="C3792" s="99" t="str">
        <f>IF(B3792="","",IF(NOT(ISNUMBER(B3792)),"DATA_PC invalida",IF(NOT(ISNUMBER(parametros!$C$2)),"Fora dos ciclos",IF(OR(B3792&lt;parametros!$C$2,(YEAR(B3792)-YEAR(parametros!$C$2))*12+MONTH(B3792)-MONTH(parametros!$C$2)&gt;59),"Fora dos ciclos","C"&amp;INT(((YEAR(B3792)-YEAR(parametros!$C$2))*12+MONTH(B3792)-MONTH(parametros!$C$2))/12)))))</f>
        <v/>
      </c>
      <c r="D3792" s="394"/>
      <c r="E3792" s="78" t="str">
        <f>IF(C3792="","",IFERROR(VLOOKUP(C3792,parametros!$A$11:$E$15,5,0),""))</f>
        <v/>
      </c>
      <c r="F3792" s="79" t="str">
        <f t="shared" si="297"/>
        <v/>
      </c>
      <c r="G3792" s="395"/>
      <c r="H3792" s="91">
        <f t="shared" si="298"/>
        <v>0</v>
      </c>
      <c r="I3792" s="91" t="str">
        <f t="shared" si="299"/>
        <v/>
      </c>
      <c r="J3792" s="91" t="str">
        <f t="shared" si="300"/>
        <v/>
      </c>
      <c r="K3792" s="92" t="str">
        <f>IF(AND(A3792="",B3792="",D3792="",G3792=""),"",IF(AND(A3792&lt;&gt;"",COUNTIF($A$2:$A$5001,A3792)&gt;1),"NUMERO_PC duplicado",IF(B3792="","DATA_PC vazia",IF(NOT(ISNUMBER(B3792)),"DATA_PC invalida",IF(OR(C3792="",C3792="Fora dos ciclos"),"CICLO_PC nao identificado",IF(OR(D3792="",D3792=0),"VALOR_PC vazio ou zero",IF(AND(G3792&lt;&gt;"Sim",G3792&lt;&gt;"Nao",G3792&lt;&gt;""),"PC_PAGO_A_CONTRATADA invalido",IF(AND(C3792&lt;&gt;"C0",IFERROR(INDEX(parametros!$A$2:$A$6,MATCH(C3792,parametros!$B$2:$B$6,0)),"")="Sim",IFERROR(INDEX(parametros!$H$2:$H$6,MATCH(C3792,parametros!$B$2:$B$6,0)),"")=""),"INICIO_EFEITO ausente: PC "&amp;A3792&amp;" - "&amp;C3792,IF(L3792="","EFEITO_PC nao calculado: PC "&amp;A3792&amp;" - "&amp;C3792,"OK")))))))))</f>
        <v/>
      </c>
      <c r="L3792" s="92" t="str">
        <f>IF(AND(A3792="",B3792="",D3792="",G3792=""),"",IF(OR(B3792="",NOT(ISNUMBER(B3792)),C3792="",C3792="Fora dos ciclos"),"",IF(C3792="C0","Nao",IF(IFERROR(INDEX(parametros!$A$2:$A$6,MATCH(C3792,parametros!$B$2:$B$6,0)),"")&lt;&gt;"Sim","Nao",IF(IFERROR(INDEX(parametros!$H$2:$H$6,MATCH(C3792,parametros!$B$2:$B$6,0)),"")="","",IF(B3792&gt;=IFERROR(INDEX(parametros!$H$2:$H$6,MATCH(C3792,parametros!$B$2:$B$6,0)),""),"Sim","Nao"))))))</f>
        <v/>
      </c>
      <c r="T3792" s="156"/>
      <c r="U3792" s="214" t="str">
        <f t="shared" si="301"/>
        <v/>
      </c>
      <c r="V3792" s="212" t="s">
        <v>50</v>
      </c>
      <c r="W3792" s="100" t="s">
        <v>168</v>
      </c>
      <c r="X3792" s="100" t="s">
        <v>169</v>
      </c>
      <c r="Y3792" s="101" t="s">
        <v>170</v>
      </c>
      <c r="Z3792" s="101" t="s">
        <v>171</v>
      </c>
      <c r="AA3792" s="101" t="s">
        <v>50</v>
      </c>
      <c r="AB3792" s="101" t="s">
        <v>172</v>
      </c>
      <c r="AC3792" s="102" t="s">
        <v>173</v>
      </c>
    </row>
    <row r="3793" spans="1:29" ht="25.5" customHeight="1" x14ac:dyDescent="0.35">
      <c r="A3793" s="392"/>
      <c r="B3793" s="393"/>
      <c r="C3793" s="99" t="str">
        <f>IF(B3793="","",IF(NOT(ISNUMBER(B3793)),"DATA_PC invalida",IF(NOT(ISNUMBER(parametros!$C$2)),"Fora dos ciclos",IF(OR(B3793&lt;parametros!$C$2,(YEAR(B3793)-YEAR(parametros!$C$2))*12+MONTH(B3793)-MONTH(parametros!$C$2)&gt;59),"Fora dos ciclos","C"&amp;INT(((YEAR(B3793)-YEAR(parametros!$C$2))*12+MONTH(B3793)-MONTH(parametros!$C$2))/12)))))</f>
        <v/>
      </c>
      <c r="D3793" s="394"/>
      <c r="E3793" s="78" t="str">
        <f>IF(C3793="","",IFERROR(VLOOKUP(C3793,parametros!$A$11:$E$15,5,0),""))</f>
        <v/>
      </c>
      <c r="F3793" s="79" t="str">
        <f t="shared" si="297"/>
        <v/>
      </c>
      <c r="G3793" s="395"/>
      <c r="H3793" s="91">
        <f t="shared" si="298"/>
        <v>0</v>
      </c>
      <c r="I3793" s="91" t="str">
        <f t="shared" si="299"/>
        <v/>
      </c>
      <c r="J3793" s="91" t="str">
        <f t="shared" si="300"/>
        <v/>
      </c>
      <c r="K3793" s="92" t="str">
        <f>IF(AND(A3793="",B3793="",D3793="",G3793=""),"",IF(AND(A3793&lt;&gt;"",COUNTIF($A$2:$A$5001,A3793)&gt;1),"NUMERO_PC duplicado",IF(B3793="","DATA_PC vazia",IF(NOT(ISNUMBER(B3793)),"DATA_PC invalida",IF(OR(C3793="",C3793="Fora dos ciclos"),"CICLO_PC nao identificado",IF(OR(D3793="",D3793=0),"VALOR_PC vazio ou zero",IF(AND(G3793&lt;&gt;"Sim",G3793&lt;&gt;"Nao",G3793&lt;&gt;""),"PC_PAGO_A_CONTRATADA invalido",IF(AND(C3793&lt;&gt;"C0",IFERROR(INDEX(parametros!$A$2:$A$6,MATCH(C3793,parametros!$B$2:$B$6,0)),"")="Sim",IFERROR(INDEX(parametros!$H$2:$H$6,MATCH(C3793,parametros!$B$2:$B$6,0)),"")=""),"INICIO_EFEITO ausente: PC "&amp;A3793&amp;" - "&amp;C3793,IF(L3793="","EFEITO_PC nao calculado: PC "&amp;A3793&amp;" - "&amp;C3793,"OK")))))))))</f>
        <v/>
      </c>
      <c r="L3793" s="92" t="str">
        <f>IF(AND(A3793="",B3793="",D3793="",G3793=""),"",IF(OR(B3793="",NOT(ISNUMBER(B3793)),C3793="",C3793="Fora dos ciclos"),"",IF(C3793="C0","Nao",IF(IFERROR(INDEX(parametros!$A$2:$A$6,MATCH(C3793,parametros!$B$2:$B$6,0)),"")&lt;&gt;"Sim","Nao",IF(IFERROR(INDEX(parametros!$H$2:$H$6,MATCH(C3793,parametros!$B$2:$B$6,0)),"")="","",IF(B3793&gt;=IFERROR(INDEX(parametros!$H$2:$H$6,MATCH(C3793,parametros!$B$2:$B$6,0)),""),"Sim","Nao"))))))</f>
        <v/>
      </c>
      <c r="T3793" s="156"/>
      <c r="U3793" s="214" t="str">
        <f t="shared" si="301"/>
        <v/>
      </c>
      <c r="V3793" s="212" t="s">
        <v>50</v>
      </c>
      <c r="W3793" s="100" t="s">
        <v>168</v>
      </c>
      <c r="X3793" s="100" t="s">
        <v>169</v>
      </c>
      <c r="Y3793" s="101" t="s">
        <v>170</v>
      </c>
      <c r="Z3793" s="101" t="s">
        <v>171</v>
      </c>
      <c r="AA3793" s="101" t="s">
        <v>50</v>
      </c>
      <c r="AB3793" s="101" t="s">
        <v>172</v>
      </c>
      <c r="AC3793" s="102" t="s">
        <v>173</v>
      </c>
    </row>
    <row r="3794" spans="1:29" ht="25.5" customHeight="1" x14ac:dyDescent="0.35">
      <c r="A3794" s="392"/>
      <c r="B3794" s="393"/>
      <c r="C3794" s="99" t="str">
        <f>IF(B3794="","",IF(NOT(ISNUMBER(B3794)),"DATA_PC invalida",IF(NOT(ISNUMBER(parametros!$C$2)),"Fora dos ciclos",IF(OR(B3794&lt;parametros!$C$2,(YEAR(B3794)-YEAR(parametros!$C$2))*12+MONTH(B3794)-MONTH(parametros!$C$2)&gt;59),"Fora dos ciclos","C"&amp;INT(((YEAR(B3794)-YEAR(parametros!$C$2))*12+MONTH(B3794)-MONTH(parametros!$C$2))/12)))))</f>
        <v/>
      </c>
      <c r="D3794" s="394"/>
      <c r="E3794" s="78" t="str">
        <f>IF(C3794="","",IFERROR(VLOOKUP(C3794,parametros!$A$11:$E$15,5,0),""))</f>
        <v/>
      </c>
      <c r="F3794" s="79" t="str">
        <f t="shared" si="297"/>
        <v/>
      </c>
      <c r="G3794" s="395"/>
      <c r="H3794" s="91">
        <f t="shared" si="298"/>
        <v>0</v>
      </c>
      <c r="I3794" s="91" t="str">
        <f t="shared" si="299"/>
        <v/>
      </c>
      <c r="J3794" s="91" t="str">
        <f t="shared" si="300"/>
        <v/>
      </c>
      <c r="K3794" s="92" t="str">
        <f>IF(AND(A3794="",B3794="",D3794="",G3794=""),"",IF(AND(A3794&lt;&gt;"",COUNTIF($A$2:$A$5001,A3794)&gt;1),"NUMERO_PC duplicado",IF(B3794="","DATA_PC vazia",IF(NOT(ISNUMBER(B3794)),"DATA_PC invalida",IF(OR(C3794="",C3794="Fora dos ciclos"),"CICLO_PC nao identificado",IF(OR(D3794="",D3794=0),"VALOR_PC vazio ou zero",IF(AND(G3794&lt;&gt;"Sim",G3794&lt;&gt;"Nao",G3794&lt;&gt;""),"PC_PAGO_A_CONTRATADA invalido",IF(AND(C3794&lt;&gt;"C0",IFERROR(INDEX(parametros!$A$2:$A$6,MATCH(C3794,parametros!$B$2:$B$6,0)),"")="Sim",IFERROR(INDEX(parametros!$H$2:$H$6,MATCH(C3794,parametros!$B$2:$B$6,0)),"")=""),"INICIO_EFEITO ausente: PC "&amp;A3794&amp;" - "&amp;C3794,IF(L3794="","EFEITO_PC nao calculado: PC "&amp;A3794&amp;" - "&amp;C3794,"OK")))))))))</f>
        <v/>
      </c>
      <c r="L3794" s="92" t="str">
        <f>IF(AND(A3794="",B3794="",D3794="",G3794=""),"",IF(OR(B3794="",NOT(ISNUMBER(B3794)),C3794="",C3794="Fora dos ciclos"),"",IF(C3794="C0","Nao",IF(IFERROR(INDEX(parametros!$A$2:$A$6,MATCH(C3794,parametros!$B$2:$B$6,0)),"")&lt;&gt;"Sim","Nao",IF(IFERROR(INDEX(parametros!$H$2:$H$6,MATCH(C3794,parametros!$B$2:$B$6,0)),"")="","",IF(B3794&gt;=IFERROR(INDEX(parametros!$H$2:$H$6,MATCH(C3794,parametros!$B$2:$B$6,0)),""),"Sim","Nao"))))))</f>
        <v/>
      </c>
      <c r="T3794" s="156"/>
      <c r="U3794" s="214" t="str">
        <f t="shared" si="301"/>
        <v/>
      </c>
      <c r="V3794" s="212" t="s">
        <v>50</v>
      </c>
      <c r="W3794" s="100" t="s">
        <v>168</v>
      </c>
      <c r="X3794" s="100" t="s">
        <v>169</v>
      </c>
      <c r="Y3794" s="101" t="s">
        <v>170</v>
      </c>
      <c r="Z3794" s="101" t="s">
        <v>171</v>
      </c>
      <c r="AA3794" s="101" t="s">
        <v>50</v>
      </c>
      <c r="AB3794" s="101" t="s">
        <v>172</v>
      </c>
      <c r="AC3794" s="102" t="s">
        <v>173</v>
      </c>
    </row>
    <row r="3795" spans="1:29" ht="25.5" customHeight="1" x14ac:dyDescent="0.35">
      <c r="A3795" s="392"/>
      <c r="B3795" s="393"/>
      <c r="C3795" s="99" t="str">
        <f>IF(B3795="","",IF(NOT(ISNUMBER(B3795)),"DATA_PC invalida",IF(NOT(ISNUMBER(parametros!$C$2)),"Fora dos ciclos",IF(OR(B3795&lt;parametros!$C$2,(YEAR(B3795)-YEAR(parametros!$C$2))*12+MONTH(B3795)-MONTH(parametros!$C$2)&gt;59),"Fora dos ciclos","C"&amp;INT(((YEAR(B3795)-YEAR(parametros!$C$2))*12+MONTH(B3795)-MONTH(parametros!$C$2))/12)))))</f>
        <v/>
      </c>
      <c r="D3795" s="394"/>
      <c r="E3795" s="78" t="str">
        <f>IF(C3795="","",IFERROR(VLOOKUP(C3795,parametros!$A$11:$E$15,5,0),""))</f>
        <v/>
      </c>
      <c r="F3795" s="79" t="str">
        <f t="shared" si="297"/>
        <v/>
      </c>
      <c r="G3795" s="395"/>
      <c r="H3795" s="91">
        <f t="shared" si="298"/>
        <v>0</v>
      </c>
      <c r="I3795" s="91" t="str">
        <f t="shared" si="299"/>
        <v/>
      </c>
      <c r="J3795" s="91" t="str">
        <f t="shared" si="300"/>
        <v/>
      </c>
      <c r="K3795" s="92" t="str">
        <f>IF(AND(A3795="",B3795="",D3795="",G3795=""),"",IF(AND(A3795&lt;&gt;"",COUNTIF($A$2:$A$5001,A3795)&gt;1),"NUMERO_PC duplicado",IF(B3795="","DATA_PC vazia",IF(NOT(ISNUMBER(B3795)),"DATA_PC invalida",IF(OR(C3795="",C3795="Fora dos ciclos"),"CICLO_PC nao identificado",IF(OR(D3795="",D3795=0),"VALOR_PC vazio ou zero",IF(AND(G3795&lt;&gt;"Sim",G3795&lt;&gt;"Nao",G3795&lt;&gt;""),"PC_PAGO_A_CONTRATADA invalido",IF(AND(C3795&lt;&gt;"C0",IFERROR(INDEX(parametros!$A$2:$A$6,MATCH(C3795,parametros!$B$2:$B$6,0)),"")="Sim",IFERROR(INDEX(parametros!$H$2:$H$6,MATCH(C3795,parametros!$B$2:$B$6,0)),"")=""),"INICIO_EFEITO ausente: PC "&amp;A3795&amp;" - "&amp;C3795,IF(L3795="","EFEITO_PC nao calculado: PC "&amp;A3795&amp;" - "&amp;C3795,"OK")))))))))</f>
        <v/>
      </c>
      <c r="L3795" s="92" t="str">
        <f>IF(AND(A3795="",B3795="",D3795="",G3795=""),"",IF(OR(B3795="",NOT(ISNUMBER(B3795)),C3795="",C3795="Fora dos ciclos"),"",IF(C3795="C0","Nao",IF(IFERROR(INDEX(parametros!$A$2:$A$6,MATCH(C3795,parametros!$B$2:$B$6,0)),"")&lt;&gt;"Sim","Nao",IF(IFERROR(INDEX(parametros!$H$2:$H$6,MATCH(C3795,parametros!$B$2:$B$6,0)),"")="","",IF(B3795&gt;=IFERROR(INDEX(parametros!$H$2:$H$6,MATCH(C3795,parametros!$B$2:$B$6,0)),""),"Sim","Nao"))))))</f>
        <v/>
      </c>
      <c r="T3795" s="156"/>
      <c r="U3795" s="214" t="str">
        <f t="shared" si="301"/>
        <v/>
      </c>
      <c r="V3795" s="212" t="s">
        <v>50</v>
      </c>
      <c r="W3795" s="100" t="s">
        <v>168</v>
      </c>
      <c r="X3795" s="100" t="s">
        <v>169</v>
      </c>
      <c r="Y3795" s="101" t="s">
        <v>170</v>
      </c>
      <c r="Z3795" s="101" t="s">
        <v>171</v>
      </c>
      <c r="AA3795" s="101" t="s">
        <v>50</v>
      </c>
      <c r="AB3795" s="101" t="s">
        <v>172</v>
      </c>
      <c r="AC3795" s="102" t="s">
        <v>173</v>
      </c>
    </row>
    <row r="3796" spans="1:29" ht="25.5" customHeight="1" x14ac:dyDescent="0.35">
      <c r="A3796" s="392"/>
      <c r="B3796" s="393"/>
      <c r="C3796" s="99" t="str">
        <f>IF(B3796="","",IF(NOT(ISNUMBER(B3796)),"DATA_PC invalida",IF(NOT(ISNUMBER(parametros!$C$2)),"Fora dos ciclos",IF(OR(B3796&lt;parametros!$C$2,(YEAR(B3796)-YEAR(parametros!$C$2))*12+MONTH(B3796)-MONTH(parametros!$C$2)&gt;59),"Fora dos ciclos","C"&amp;INT(((YEAR(B3796)-YEAR(parametros!$C$2))*12+MONTH(B3796)-MONTH(parametros!$C$2))/12)))))</f>
        <v/>
      </c>
      <c r="D3796" s="394"/>
      <c r="E3796" s="78" t="str">
        <f>IF(C3796="","",IFERROR(VLOOKUP(C3796,parametros!$A$11:$E$15,5,0),""))</f>
        <v/>
      </c>
      <c r="F3796" s="79" t="str">
        <f t="shared" si="297"/>
        <v/>
      </c>
      <c r="G3796" s="395"/>
      <c r="H3796" s="91">
        <f t="shared" si="298"/>
        <v>0</v>
      </c>
      <c r="I3796" s="91" t="str">
        <f t="shared" si="299"/>
        <v/>
      </c>
      <c r="J3796" s="91" t="str">
        <f t="shared" si="300"/>
        <v/>
      </c>
      <c r="K3796" s="92" t="str">
        <f>IF(AND(A3796="",B3796="",D3796="",G3796=""),"",IF(AND(A3796&lt;&gt;"",COUNTIF($A$2:$A$5001,A3796)&gt;1),"NUMERO_PC duplicado",IF(B3796="","DATA_PC vazia",IF(NOT(ISNUMBER(B3796)),"DATA_PC invalida",IF(OR(C3796="",C3796="Fora dos ciclos"),"CICLO_PC nao identificado",IF(OR(D3796="",D3796=0),"VALOR_PC vazio ou zero",IF(AND(G3796&lt;&gt;"Sim",G3796&lt;&gt;"Nao",G3796&lt;&gt;""),"PC_PAGO_A_CONTRATADA invalido",IF(AND(C3796&lt;&gt;"C0",IFERROR(INDEX(parametros!$A$2:$A$6,MATCH(C3796,parametros!$B$2:$B$6,0)),"")="Sim",IFERROR(INDEX(parametros!$H$2:$H$6,MATCH(C3796,parametros!$B$2:$B$6,0)),"")=""),"INICIO_EFEITO ausente: PC "&amp;A3796&amp;" - "&amp;C3796,IF(L3796="","EFEITO_PC nao calculado: PC "&amp;A3796&amp;" - "&amp;C3796,"OK")))))))))</f>
        <v/>
      </c>
      <c r="L3796" s="92" t="str">
        <f>IF(AND(A3796="",B3796="",D3796="",G3796=""),"",IF(OR(B3796="",NOT(ISNUMBER(B3796)),C3796="",C3796="Fora dos ciclos"),"",IF(C3796="C0","Nao",IF(IFERROR(INDEX(parametros!$A$2:$A$6,MATCH(C3796,parametros!$B$2:$B$6,0)),"")&lt;&gt;"Sim","Nao",IF(IFERROR(INDEX(parametros!$H$2:$H$6,MATCH(C3796,parametros!$B$2:$B$6,0)),"")="","",IF(B3796&gt;=IFERROR(INDEX(parametros!$H$2:$H$6,MATCH(C3796,parametros!$B$2:$B$6,0)),""),"Sim","Nao"))))))</f>
        <v/>
      </c>
      <c r="T3796" s="156"/>
      <c r="U3796" s="214" t="str">
        <f t="shared" si="301"/>
        <v/>
      </c>
      <c r="V3796" s="212" t="s">
        <v>50</v>
      </c>
      <c r="W3796" s="100" t="s">
        <v>168</v>
      </c>
      <c r="X3796" s="100" t="s">
        <v>169</v>
      </c>
      <c r="Y3796" s="101" t="s">
        <v>170</v>
      </c>
      <c r="Z3796" s="101" t="s">
        <v>171</v>
      </c>
      <c r="AA3796" s="101" t="s">
        <v>50</v>
      </c>
      <c r="AB3796" s="101" t="s">
        <v>172</v>
      </c>
      <c r="AC3796" s="102" t="s">
        <v>173</v>
      </c>
    </row>
    <row r="3797" spans="1:29" ht="25.5" customHeight="1" x14ac:dyDescent="0.35">
      <c r="A3797" s="392"/>
      <c r="B3797" s="393"/>
      <c r="C3797" s="99" t="str">
        <f>IF(B3797="","",IF(NOT(ISNUMBER(B3797)),"DATA_PC invalida",IF(NOT(ISNUMBER(parametros!$C$2)),"Fora dos ciclos",IF(OR(B3797&lt;parametros!$C$2,(YEAR(B3797)-YEAR(parametros!$C$2))*12+MONTH(B3797)-MONTH(parametros!$C$2)&gt;59),"Fora dos ciclos","C"&amp;INT(((YEAR(B3797)-YEAR(parametros!$C$2))*12+MONTH(B3797)-MONTH(parametros!$C$2))/12)))))</f>
        <v/>
      </c>
      <c r="D3797" s="394"/>
      <c r="E3797" s="78" t="str">
        <f>IF(C3797="","",IFERROR(VLOOKUP(C3797,parametros!$A$11:$E$15,5,0),""))</f>
        <v/>
      </c>
      <c r="F3797" s="79" t="str">
        <f t="shared" si="297"/>
        <v/>
      </c>
      <c r="G3797" s="395"/>
      <c r="H3797" s="91">
        <f t="shared" si="298"/>
        <v>0</v>
      </c>
      <c r="I3797" s="91" t="str">
        <f t="shared" si="299"/>
        <v/>
      </c>
      <c r="J3797" s="91" t="str">
        <f t="shared" si="300"/>
        <v/>
      </c>
      <c r="K3797" s="92" t="str">
        <f>IF(AND(A3797="",B3797="",D3797="",G3797=""),"",IF(AND(A3797&lt;&gt;"",COUNTIF($A$2:$A$5001,A3797)&gt;1),"NUMERO_PC duplicado",IF(B3797="","DATA_PC vazia",IF(NOT(ISNUMBER(B3797)),"DATA_PC invalida",IF(OR(C3797="",C3797="Fora dos ciclos"),"CICLO_PC nao identificado",IF(OR(D3797="",D3797=0),"VALOR_PC vazio ou zero",IF(AND(G3797&lt;&gt;"Sim",G3797&lt;&gt;"Nao",G3797&lt;&gt;""),"PC_PAGO_A_CONTRATADA invalido",IF(AND(C3797&lt;&gt;"C0",IFERROR(INDEX(parametros!$A$2:$A$6,MATCH(C3797,parametros!$B$2:$B$6,0)),"")="Sim",IFERROR(INDEX(parametros!$H$2:$H$6,MATCH(C3797,parametros!$B$2:$B$6,0)),"")=""),"INICIO_EFEITO ausente: PC "&amp;A3797&amp;" - "&amp;C3797,IF(L3797="","EFEITO_PC nao calculado: PC "&amp;A3797&amp;" - "&amp;C3797,"OK")))))))))</f>
        <v/>
      </c>
      <c r="L3797" s="92" t="str">
        <f>IF(AND(A3797="",B3797="",D3797="",G3797=""),"",IF(OR(B3797="",NOT(ISNUMBER(B3797)),C3797="",C3797="Fora dos ciclos"),"",IF(C3797="C0","Nao",IF(IFERROR(INDEX(parametros!$A$2:$A$6,MATCH(C3797,parametros!$B$2:$B$6,0)),"")&lt;&gt;"Sim","Nao",IF(IFERROR(INDEX(parametros!$H$2:$H$6,MATCH(C3797,parametros!$B$2:$B$6,0)),"")="","",IF(B3797&gt;=IFERROR(INDEX(parametros!$H$2:$H$6,MATCH(C3797,parametros!$B$2:$B$6,0)),""),"Sim","Nao"))))))</f>
        <v/>
      </c>
      <c r="T3797" s="156"/>
      <c r="U3797" s="214" t="str">
        <f t="shared" si="301"/>
        <v/>
      </c>
      <c r="V3797" s="212" t="s">
        <v>50</v>
      </c>
      <c r="W3797" s="100" t="s">
        <v>168</v>
      </c>
      <c r="X3797" s="100" t="s">
        <v>169</v>
      </c>
      <c r="Y3797" s="101" t="s">
        <v>170</v>
      </c>
      <c r="Z3797" s="101" t="s">
        <v>171</v>
      </c>
      <c r="AA3797" s="101" t="s">
        <v>50</v>
      </c>
      <c r="AB3797" s="101" t="s">
        <v>172</v>
      </c>
      <c r="AC3797" s="102" t="s">
        <v>173</v>
      </c>
    </row>
    <row r="3798" spans="1:29" ht="25.5" customHeight="1" x14ac:dyDescent="0.35">
      <c r="A3798" s="392"/>
      <c r="B3798" s="393"/>
      <c r="C3798" s="99" t="str">
        <f>IF(B3798="","",IF(NOT(ISNUMBER(B3798)),"DATA_PC invalida",IF(NOT(ISNUMBER(parametros!$C$2)),"Fora dos ciclos",IF(OR(B3798&lt;parametros!$C$2,(YEAR(B3798)-YEAR(parametros!$C$2))*12+MONTH(B3798)-MONTH(parametros!$C$2)&gt;59),"Fora dos ciclos","C"&amp;INT(((YEAR(B3798)-YEAR(parametros!$C$2))*12+MONTH(B3798)-MONTH(parametros!$C$2))/12)))))</f>
        <v/>
      </c>
      <c r="D3798" s="394"/>
      <c r="E3798" s="78" t="str">
        <f>IF(C3798="","",IFERROR(VLOOKUP(C3798,parametros!$A$11:$E$15,5,0),""))</f>
        <v/>
      </c>
      <c r="F3798" s="79" t="str">
        <f t="shared" si="297"/>
        <v/>
      </c>
      <c r="G3798" s="395"/>
      <c r="H3798" s="91">
        <f t="shared" si="298"/>
        <v>0</v>
      </c>
      <c r="I3798" s="91" t="str">
        <f t="shared" si="299"/>
        <v/>
      </c>
      <c r="J3798" s="91" t="str">
        <f t="shared" si="300"/>
        <v/>
      </c>
      <c r="K3798" s="92" t="str">
        <f>IF(AND(A3798="",B3798="",D3798="",G3798=""),"",IF(AND(A3798&lt;&gt;"",COUNTIF($A$2:$A$5001,A3798)&gt;1),"NUMERO_PC duplicado",IF(B3798="","DATA_PC vazia",IF(NOT(ISNUMBER(B3798)),"DATA_PC invalida",IF(OR(C3798="",C3798="Fora dos ciclos"),"CICLO_PC nao identificado",IF(OR(D3798="",D3798=0),"VALOR_PC vazio ou zero",IF(AND(G3798&lt;&gt;"Sim",G3798&lt;&gt;"Nao",G3798&lt;&gt;""),"PC_PAGO_A_CONTRATADA invalido",IF(AND(C3798&lt;&gt;"C0",IFERROR(INDEX(parametros!$A$2:$A$6,MATCH(C3798,parametros!$B$2:$B$6,0)),"")="Sim",IFERROR(INDEX(parametros!$H$2:$H$6,MATCH(C3798,parametros!$B$2:$B$6,0)),"")=""),"INICIO_EFEITO ausente: PC "&amp;A3798&amp;" - "&amp;C3798,IF(L3798="","EFEITO_PC nao calculado: PC "&amp;A3798&amp;" - "&amp;C3798,"OK")))))))))</f>
        <v/>
      </c>
      <c r="L3798" s="92" t="str">
        <f>IF(AND(A3798="",B3798="",D3798="",G3798=""),"",IF(OR(B3798="",NOT(ISNUMBER(B3798)),C3798="",C3798="Fora dos ciclos"),"",IF(C3798="C0","Nao",IF(IFERROR(INDEX(parametros!$A$2:$A$6,MATCH(C3798,parametros!$B$2:$B$6,0)),"")&lt;&gt;"Sim","Nao",IF(IFERROR(INDEX(parametros!$H$2:$H$6,MATCH(C3798,parametros!$B$2:$B$6,0)),"")="","",IF(B3798&gt;=IFERROR(INDEX(parametros!$H$2:$H$6,MATCH(C3798,parametros!$B$2:$B$6,0)),""),"Sim","Nao"))))))</f>
        <v/>
      </c>
      <c r="T3798" s="156"/>
      <c r="U3798" s="214" t="str">
        <f t="shared" si="301"/>
        <v/>
      </c>
      <c r="V3798" s="212" t="s">
        <v>50</v>
      </c>
      <c r="W3798" s="100" t="s">
        <v>168</v>
      </c>
      <c r="X3798" s="100" t="s">
        <v>169</v>
      </c>
      <c r="Y3798" s="101" t="s">
        <v>170</v>
      </c>
      <c r="Z3798" s="101" t="s">
        <v>171</v>
      </c>
      <c r="AA3798" s="101" t="s">
        <v>50</v>
      </c>
      <c r="AB3798" s="101" t="s">
        <v>172</v>
      </c>
      <c r="AC3798" s="102" t="s">
        <v>173</v>
      </c>
    </row>
    <row r="3799" spans="1:29" ht="25.5" customHeight="1" x14ac:dyDescent="0.35">
      <c r="A3799" s="392"/>
      <c r="B3799" s="393"/>
      <c r="C3799" s="99" t="str">
        <f>IF(B3799="","",IF(NOT(ISNUMBER(B3799)),"DATA_PC invalida",IF(NOT(ISNUMBER(parametros!$C$2)),"Fora dos ciclos",IF(OR(B3799&lt;parametros!$C$2,(YEAR(B3799)-YEAR(parametros!$C$2))*12+MONTH(B3799)-MONTH(parametros!$C$2)&gt;59),"Fora dos ciclos","C"&amp;INT(((YEAR(B3799)-YEAR(parametros!$C$2))*12+MONTH(B3799)-MONTH(parametros!$C$2))/12)))))</f>
        <v/>
      </c>
      <c r="D3799" s="394"/>
      <c r="E3799" s="78" t="str">
        <f>IF(C3799="","",IFERROR(VLOOKUP(C3799,parametros!$A$11:$E$15,5,0),""))</f>
        <v/>
      </c>
      <c r="F3799" s="79" t="str">
        <f t="shared" si="297"/>
        <v/>
      </c>
      <c r="G3799" s="395"/>
      <c r="H3799" s="91">
        <f t="shared" si="298"/>
        <v>0</v>
      </c>
      <c r="I3799" s="91" t="str">
        <f t="shared" si="299"/>
        <v/>
      </c>
      <c r="J3799" s="91" t="str">
        <f t="shared" si="300"/>
        <v/>
      </c>
      <c r="K3799" s="92" t="str">
        <f>IF(AND(A3799="",B3799="",D3799="",G3799=""),"",IF(AND(A3799&lt;&gt;"",COUNTIF($A$2:$A$5001,A3799)&gt;1),"NUMERO_PC duplicado",IF(B3799="","DATA_PC vazia",IF(NOT(ISNUMBER(B3799)),"DATA_PC invalida",IF(OR(C3799="",C3799="Fora dos ciclos"),"CICLO_PC nao identificado",IF(OR(D3799="",D3799=0),"VALOR_PC vazio ou zero",IF(AND(G3799&lt;&gt;"Sim",G3799&lt;&gt;"Nao",G3799&lt;&gt;""),"PC_PAGO_A_CONTRATADA invalido",IF(AND(C3799&lt;&gt;"C0",IFERROR(INDEX(parametros!$A$2:$A$6,MATCH(C3799,parametros!$B$2:$B$6,0)),"")="Sim",IFERROR(INDEX(parametros!$H$2:$H$6,MATCH(C3799,parametros!$B$2:$B$6,0)),"")=""),"INICIO_EFEITO ausente: PC "&amp;A3799&amp;" - "&amp;C3799,IF(L3799="","EFEITO_PC nao calculado: PC "&amp;A3799&amp;" - "&amp;C3799,"OK")))))))))</f>
        <v/>
      </c>
      <c r="L3799" s="92" t="str">
        <f>IF(AND(A3799="",B3799="",D3799="",G3799=""),"",IF(OR(B3799="",NOT(ISNUMBER(B3799)),C3799="",C3799="Fora dos ciclos"),"",IF(C3799="C0","Nao",IF(IFERROR(INDEX(parametros!$A$2:$A$6,MATCH(C3799,parametros!$B$2:$B$6,0)),"")&lt;&gt;"Sim","Nao",IF(IFERROR(INDEX(parametros!$H$2:$H$6,MATCH(C3799,parametros!$B$2:$B$6,0)),"")="","",IF(B3799&gt;=IFERROR(INDEX(parametros!$H$2:$H$6,MATCH(C3799,parametros!$B$2:$B$6,0)),""),"Sim","Nao"))))))</f>
        <v/>
      </c>
      <c r="T3799" s="156"/>
      <c r="U3799" s="214" t="str">
        <f t="shared" si="301"/>
        <v/>
      </c>
      <c r="V3799" s="212" t="s">
        <v>50</v>
      </c>
      <c r="W3799" s="100" t="s">
        <v>168</v>
      </c>
      <c r="X3799" s="100" t="s">
        <v>169</v>
      </c>
      <c r="Y3799" s="101" t="s">
        <v>170</v>
      </c>
      <c r="Z3799" s="101" t="s">
        <v>171</v>
      </c>
      <c r="AA3799" s="101" t="s">
        <v>50</v>
      </c>
      <c r="AB3799" s="101" t="s">
        <v>172</v>
      </c>
      <c r="AC3799" s="102" t="s">
        <v>173</v>
      </c>
    </row>
    <row r="3800" spans="1:29" ht="25.5" customHeight="1" x14ac:dyDescent="0.35">
      <c r="A3800" s="392"/>
      <c r="B3800" s="393"/>
      <c r="C3800" s="99" t="str">
        <f>IF(B3800="","",IF(NOT(ISNUMBER(B3800)),"DATA_PC invalida",IF(NOT(ISNUMBER(parametros!$C$2)),"Fora dos ciclos",IF(OR(B3800&lt;parametros!$C$2,(YEAR(B3800)-YEAR(parametros!$C$2))*12+MONTH(B3800)-MONTH(parametros!$C$2)&gt;59),"Fora dos ciclos","C"&amp;INT(((YEAR(B3800)-YEAR(parametros!$C$2))*12+MONTH(B3800)-MONTH(parametros!$C$2))/12)))))</f>
        <v/>
      </c>
      <c r="D3800" s="394"/>
      <c r="E3800" s="78" t="str">
        <f>IF(C3800="","",IFERROR(VLOOKUP(C3800,parametros!$A$11:$E$15,5,0),""))</f>
        <v/>
      </c>
      <c r="F3800" s="79" t="str">
        <f t="shared" si="297"/>
        <v/>
      </c>
      <c r="G3800" s="395"/>
      <c r="H3800" s="91">
        <f t="shared" si="298"/>
        <v>0</v>
      </c>
      <c r="I3800" s="91" t="str">
        <f t="shared" si="299"/>
        <v/>
      </c>
      <c r="J3800" s="91" t="str">
        <f t="shared" si="300"/>
        <v/>
      </c>
      <c r="K3800" s="92" t="str">
        <f>IF(AND(A3800="",B3800="",D3800="",G3800=""),"",IF(AND(A3800&lt;&gt;"",COUNTIF($A$2:$A$5001,A3800)&gt;1),"NUMERO_PC duplicado",IF(B3800="","DATA_PC vazia",IF(NOT(ISNUMBER(B3800)),"DATA_PC invalida",IF(OR(C3800="",C3800="Fora dos ciclos"),"CICLO_PC nao identificado",IF(OR(D3800="",D3800=0),"VALOR_PC vazio ou zero",IF(AND(G3800&lt;&gt;"Sim",G3800&lt;&gt;"Nao",G3800&lt;&gt;""),"PC_PAGO_A_CONTRATADA invalido",IF(AND(C3800&lt;&gt;"C0",IFERROR(INDEX(parametros!$A$2:$A$6,MATCH(C3800,parametros!$B$2:$B$6,0)),"")="Sim",IFERROR(INDEX(parametros!$H$2:$H$6,MATCH(C3800,parametros!$B$2:$B$6,0)),"")=""),"INICIO_EFEITO ausente: PC "&amp;A3800&amp;" - "&amp;C3800,IF(L3800="","EFEITO_PC nao calculado: PC "&amp;A3800&amp;" - "&amp;C3800,"OK")))))))))</f>
        <v/>
      </c>
      <c r="L3800" s="92" t="str">
        <f>IF(AND(A3800="",B3800="",D3800="",G3800=""),"",IF(OR(B3800="",NOT(ISNUMBER(B3800)),C3800="",C3800="Fora dos ciclos"),"",IF(C3800="C0","Nao",IF(IFERROR(INDEX(parametros!$A$2:$A$6,MATCH(C3800,parametros!$B$2:$B$6,0)),"")&lt;&gt;"Sim","Nao",IF(IFERROR(INDEX(parametros!$H$2:$H$6,MATCH(C3800,parametros!$B$2:$B$6,0)),"")="","",IF(B3800&gt;=IFERROR(INDEX(parametros!$H$2:$H$6,MATCH(C3800,parametros!$B$2:$B$6,0)),""),"Sim","Nao"))))))</f>
        <v/>
      </c>
      <c r="T3800" s="156"/>
      <c r="U3800" s="214" t="str">
        <f t="shared" si="301"/>
        <v/>
      </c>
      <c r="V3800" s="212" t="s">
        <v>50</v>
      </c>
      <c r="W3800" s="100" t="s">
        <v>168</v>
      </c>
      <c r="X3800" s="100" t="s">
        <v>169</v>
      </c>
      <c r="Y3800" s="101" t="s">
        <v>170</v>
      </c>
      <c r="Z3800" s="101" t="s">
        <v>171</v>
      </c>
      <c r="AA3800" s="101" t="s">
        <v>50</v>
      </c>
      <c r="AB3800" s="101" t="s">
        <v>172</v>
      </c>
      <c r="AC3800" s="102" t="s">
        <v>173</v>
      </c>
    </row>
    <row r="3801" spans="1:29" ht="25.5" customHeight="1" x14ac:dyDescent="0.35">
      <c r="A3801" s="392"/>
      <c r="B3801" s="393"/>
      <c r="C3801" s="99" t="str">
        <f>IF(B3801="","",IF(NOT(ISNUMBER(B3801)),"DATA_PC invalida",IF(NOT(ISNUMBER(parametros!$C$2)),"Fora dos ciclos",IF(OR(B3801&lt;parametros!$C$2,(YEAR(B3801)-YEAR(parametros!$C$2))*12+MONTH(B3801)-MONTH(parametros!$C$2)&gt;59),"Fora dos ciclos","C"&amp;INT(((YEAR(B3801)-YEAR(parametros!$C$2))*12+MONTH(B3801)-MONTH(parametros!$C$2))/12)))))</f>
        <v/>
      </c>
      <c r="D3801" s="394"/>
      <c r="E3801" s="78" t="str">
        <f>IF(C3801="","",IFERROR(VLOOKUP(C3801,parametros!$A$11:$E$15,5,0),""))</f>
        <v/>
      </c>
      <c r="F3801" s="79" t="str">
        <f t="shared" si="297"/>
        <v/>
      </c>
      <c r="G3801" s="395"/>
      <c r="H3801" s="91">
        <f t="shared" si="298"/>
        <v>0</v>
      </c>
      <c r="I3801" s="91" t="str">
        <f t="shared" si="299"/>
        <v/>
      </c>
      <c r="J3801" s="91" t="str">
        <f t="shared" si="300"/>
        <v/>
      </c>
      <c r="K3801" s="92" t="str">
        <f>IF(AND(A3801="",B3801="",D3801="",G3801=""),"",IF(AND(A3801&lt;&gt;"",COUNTIF($A$2:$A$5001,A3801)&gt;1),"NUMERO_PC duplicado",IF(B3801="","DATA_PC vazia",IF(NOT(ISNUMBER(B3801)),"DATA_PC invalida",IF(OR(C3801="",C3801="Fora dos ciclos"),"CICLO_PC nao identificado",IF(OR(D3801="",D3801=0),"VALOR_PC vazio ou zero",IF(AND(G3801&lt;&gt;"Sim",G3801&lt;&gt;"Nao",G3801&lt;&gt;""),"PC_PAGO_A_CONTRATADA invalido",IF(AND(C3801&lt;&gt;"C0",IFERROR(INDEX(parametros!$A$2:$A$6,MATCH(C3801,parametros!$B$2:$B$6,0)),"")="Sim",IFERROR(INDEX(parametros!$H$2:$H$6,MATCH(C3801,parametros!$B$2:$B$6,0)),"")=""),"INICIO_EFEITO ausente: PC "&amp;A3801&amp;" - "&amp;C3801,IF(L3801="","EFEITO_PC nao calculado: PC "&amp;A3801&amp;" - "&amp;C3801,"OK")))))))))</f>
        <v/>
      </c>
      <c r="L3801" s="92" t="str">
        <f>IF(AND(A3801="",B3801="",D3801="",G3801=""),"",IF(OR(B3801="",NOT(ISNUMBER(B3801)),C3801="",C3801="Fora dos ciclos"),"",IF(C3801="C0","Nao",IF(IFERROR(INDEX(parametros!$A$2:$A$6,MATCH(C3801,parametros!$B$2:$B$6,0)),"")&lt;&gt;"Sim","Nao",IF(IFERROR(INDEX(parametros!$H$2:$H$6,MATCH(C3801,parametros!$B$2:$B$6,0)),"")="","",IF(B3801&gt;=IFERROR(INDEX(parametros!$H$2:$H$6,MATCH(C3801,parametros!$B$2:$B$6,0)),""),"Sim","Nao"))))))</f>
        <v/>
      </c>
      <c r="T3801" s="156"/>
      <c r="U3801" s="214" t="str">
        <f t="shared" si="301"/>
        <v/>
      </c>
      <c r="V3801" s="212" t="s">
        <v>50</v>
      </c>
      <c r="W3801" s="100" t="s">
        <v>168</v>
      </c>
      <c r="X3801" s="100" t="s">
        <v>169</v>
      </c>
      <c r="Y3801" s="101" t="s">
        <v>170</v>
      </c>
      <c r="Z3801" s="101" t="s">
        <v>171</v>
      </c>
      <c r="AA3801" s="101" t="s">
        <v>50</v>
      </c>
      <c r="AB3801" s="101" t="s">
        <v>172</v>
      </c>
      <c r="AC3801" s="102" t="s">
        <v>173</v>
      </c>
    </row>
    <row r="3802" spans="1:29" ht="25.5" customHeight="1" x14ac:dyDescent="0.35">
      <c r="A3802" s="392"/>
      <c r="B3802" s="393"/>
      <c r="C3802" s="99" t="str">
        <f>IF(B3802="","",IF(NOT(ISNUMBER(B3802)),"DATA_PC invalida",IF(NOT(ISNUMBER(parametros!$C$2)),"Fora dos ciclos",IF(OR(B3802&lt;parametros!$C$2,(YEAR(B3802)-YEAR(parametros!$C$2))*12+MONTH(B3802)-MONTH(parametros!$C$2)&gt;59),"Fora dos ciclos","C"&amp;INT(((YEAR(B3802)-YEAR(parametros!$C$2))*12+MONTH(B3802)-MONTH(parametros!$C$2))/12)))))</f>
        <v/>
      </c>
      <c r="D3802" s="394"/>
      <c r="E3802" s="78" t="str">
        <f>IF(C3802="","",IFERROR(VLOOKUP(C3802,parametros!$A$11:$E$15,5,0),""))</f>
        <v/>
      </c>
      <c r="F3802" s="79" t="str">
        <f t="shared" si="297"/>
        <v/>
      </c>
      <c r="G3802" s="395"/>
      <c r="H3802" s="91">
        <f t="shared" si="298"/>
        <v>0</v>
      </c>
      <c r="I3802" s="91" t="str">
        <f t="shared" si="299"/>
        <v/>
      </c>
      <c r="J3802" s="91" t="str">
        <f t="shared" si="300"/>
        <v/>
      </c>
      <c r="K3802" s="92" t="str">
        <f>IF(AND(A3802="",B3802="",D3802="",G3802=""),"",IF(AND(A3802&lt;&gt;"",COUNTIF($A$2:$A$5001,A3802)&gt;1),"NUMERO_PC duplicado",IF(B3802="","DATA_PC vazia",IF(NOT(ISNUMBER(B3802)),"DATA_PC invalida",IF(OR(C3802="",C3802="Fora dos ciclos"),"CICLO_PC nao identificado",IF(OR(D3802="",D3802=0),"VALOR_PC vazio ou zero",IF(AND(G3802&lt;&gt;"Sim",G3802&lt;&gt;"Nao",G3802&lt;&gt;""),"PC_PAGO_A_CONTRATADA invalido",IF(AND(C3802&lt;&gt;"C0",IFERROR(INDEX(parametros!$A$2:$A$6,MATCH(C3802,parametros!$B$2:$B$6,0)),"")="Sim",IFERROR(INDEX(parametros!$H$2:$H$6,MATCH(C3802,parametros!$B$2:$B$6,0)),"")=""),"INICIO_EFEITO ausente: PC "&amp;A3802&amp;" - "&amp;C3802,IF(L3802="","EFEITO_PC nao calculado: PC "&amp;A3802&amp;" - "&amp;C3802,"OK")))))))))</f>
        <v/>
      </c>
      <c r="L3802" s="92" t="str">
        <f>IF(AND(A3802="",B3802="",D3802="",G3802=""),"",IF(OR(B3802="",NOT(ISNUMBER(B3802)),C3802="",C3802="Fora dos ciclos"),"",IF(C3802="C0","Nao",IF(IFERROR(INDEX(parametros!$A$2:$A$6,MATCH(C3802,parametros!$B$2:$B$6,0)),"")&lt;&gt;"Sim","Nao",IF(IFERROR(INDEX(parametros!$H$2:$H$6,MATCH(C3802,parametros!$B$2:$B$6,0)),"")="","",IF(B3802&gt;=IFERROR(INDEX(parametros!$H$2:$H$6,MATCH(C3802,parametros!$B$2:$B$6,0)),""),"Sim","Nao"))))))</f>
        <v/>
      </c>
      <c r="T3802" s="156"/>
      <c r="U3802" s="214" t="str">
        <f t="shared" si="301"/>
        <v/>
      </c>
      <c r="V3802" s="212" t="s">
        <v>50</v>
      </c>
      <c r="W3802" s="100" t="s">
        <v>168</v>
      </c>
      <c r="X3802" s="100" t="s">
        <v>169</v>
      </c>
      <c r="Y3802" s="101" t="s">
        <v>170</v>
      </c>
      <c r="Z3802" s="101" t="s">
        <v>171</v>
      </c>
      <c r="AA3802" s="101" t="s">
        <v>50</v>
      </c>
      <c r="AB3802" s="101" t="s">
        <v>172</v>
      </c>
      <c r="AC3802" s="102" t="s">
        <v>173</v>
      </c>
    </row>
    <row r="3803" spans="1:29" ht="25.5" customHeight="1" x14ac:dyDescent="0.35">
      <c r="A3803" s="392"/>
      <c r="B3803" s="393"/>
      <c r="C3803" s="99" t="str">
        <f>IF(B3803="","",IF(NOT(ISNUMBER(B3803)),"DATA_PC invalida",IF(NOT(ISNUMBER(parametros!$C$2)),"Fora dos ciclos",IF(OR(B3803&lt;parametros!$C$2,(YEAR(B3803)-YEAR(parametros!$C$2))*12+MONTH(B3803)-MONTH(parametros!$C$2)&gt;59),"Fora dos ciclos","C"&amp;INT(((YEAR(B3803)-YEAR(parametros!$C$2))*12+MONTH(B3803)-MONTH(parametros!$C$2))/12)))))</f>
        <v/>
      </c>
      <c r="D3803" s="394"/>
      <c r="E3803" s="78" t="str">
        <f>IF(C3803="","",IFERROR(VLOOKUP(C3803,parametros!$A$11:$E$15,5,0),""))</f>
        <v/>
      </c>
      <c r="F3803" s="79" t="str">
        <f t="shared" si="297"/>
        <v/>
      </c>
      <c r="G3803" s="395"/>
      <c r="H3803" s="91">
        <f t="shared" si="298"/>
        <v>0</v>
      </c>
      <c r="I3803" s="91" t="str">
        <f t="shared" si="299"/>
        <v/>
      </c>
      <c r="J3803" s="91" t="str">
        <f t="shared" si="300"/>
        <v/>
      </c>
      <c r="K3803" s="92" t="str">
        <f>IF(AND(A3803="",B3803="",D3803="",G3803=""),"",IF(AND(A3803&lt;&gt;"",COUNTIF($A$2:$A$5001,A3803)&gt;1),"NUMERO_PC duplicado",IF(B3803="","DATA_PC vazia",IF(NOT(ISNUMBER(B3803)),"DATA_PC invalida",IF(OR(C3803="",C3803="Fora dos ciclos"),"CICLO_PC nao identificado",IF(OR(D3803="",D3803=0),"VALOR_PC vazio ou zero",IF(AND(G3803&lt;&gt;"Sim",G3803&lt;&gt;"Nao",G3803&lt;&gt;""),"PC_PAGO_A_CONTRATADA invalido",IF(AND(C3803&lt;&gt;"C0",IFERROR(INDEX(parametros!$A$2:$A$6,MATCH(C3803,parametros!$B$2:$B$6,0)),"")="Sim",IFERROR(INDEX(parametros!$H$2:$H$6,MATCH(C3803,parametros!$B$2:$B$6,0)),"")=""),"INICIO_EFEITO ausente: PC "&amp;A3803&amp;" - "&amp;C3803,IF(L3803="","EFEITO_PC nao calculado: PC "&amp;A3803&amp;" - "&amp;C3803,"OK")))))))))</f>
        <v/>
      </c>
      <c r="L3803" s="92" t="str">
        <f>IF(AND(A3803="",B3803="",D3803="",G3803=""),"",IF(OR(B3803="",NOT(ISNUMBER(B3803)),C3803="",C3803="Fora dos ciclos"),"",IF(C3803="C0","Nao",IF(IFERROR(INDEX(parametros!$A$2:$A$6,MATCH(C3803,parametros!$B$2:$B$6,0)),"")&lt;&gt;"Sim","Nao",IF(IFERROR(INDEX(parametros!$H$2:$H$6,MATCH(C3803,parametros!$B$2:$B$6,0)),"")="","",IF(B3803&gt;=IFERROR(INDEX(parametros!$H$2:$H$6,MATCH(C3803,parametros!$B$2:$B$6,0)),""),"Sim","Nao"))))))</f>
        <v/>
      </c>
      <c r="T3803" s="156"/>
      <c r="U3803" s="214" t="str">
        <f t="shared" si="301"/>
        <v/>
      </c>
      <c r="V3803" s="212" t="s">
        <v>50</v>
      </c>
      <c r="W3803" s="100" t="s">
        <v>168</v>
      </c>
      <c r="X3803" s="100" t="s">
        <v>169</v>
      </c>
      <c r="Y3803" s="101" t="s">
        <v>170</v>
      </c>
      <c r="Z3803" s="101" t="s">
        <v>171</v>
      </c>
      <c r="AA3803" s="101" t="s">
        <v>50</v>
      </c>
      <c r="AB3803" s="101" t="s">
        <v>172</v>
      </c>
      <c r="AC3803" s="102" t="s">
        <v>173</v>
      </c>
    </row>
    <row r="3804" spans="1:29" ht="25.5" customHeight="1" x14ac:dyDescent="0.35">
      <c r="A3804" s="392"/>
      <c r="B3804" s="393"/>
      <c r="C3804" s="99" t="str">
        <f>IF(B3804="","",IF(NOT(ISNUMBER(B3804)),"DATA_PC invalida",IF(NOT(ISNUMBER(parametros!$C$2)),"Fora dos ciclos",IF(OR(B3804&lt;parametros!$C$2,(YEAR(B3804)-YEAR(parametros!$C$2))*12+MONTH(B3804)-MONTH(parametros!$C$2)&gt;59),"Fora dos ciclos","C"&amp;INT(((YEAR(B3804)-YEAR(parametros!$C$2))*12+MONTH(B3804)-MONTH(parametros!$C$2))/12)))))</f>
        <v/>
      </c>
      <c r="D3804" s="394"/>
      <c r="E3804" s="78" t="str">
        <f>IF(C3804="","",IFERROR(VLOOKUP(C3804,parametros!$A$11:$E$15,5,0),""))</f>
        <v/>
      </c>
      <c r="F3804" s="79" t="str">
        <f t="shared" si="297"/>
        <v/>
      </c>
      <c r="G3804" s="395"/>
      <c r="H3804" s="91">
        <f t="shared" si="298"/>
        <v>0</v>
      </c>
      <c r="I3804" s="91" t="str">
        <f t="shared" si="299"/>
        <v/>
      </c>
      <c r="J3804" s="91" t="str">
        <f t="shared" si="300"/>
        <v/>
      </c>
      <c r="K3804" s="92" t="str">
        <f>IF(AND(A3804="",B3804="",D3804="",G3804=""),"",IF(AND(A3804&lt;&gt;"",COUNTIF($A$2:$A$5001,A3804)&gt;1),"NUMERO_PC duplicado",IF(B3804="","DATA_PC vazia",IF(NOT(ISNUMBER(B3804)),"DATA_PC invalida",IF(OR(C3804="",C3804="Fora dos ciclos"),"CICLO_PC nao identificado",IF(OR(D3804="",D3804=0),"VALOR_PC vazio ou zero",IF(AND(G3804&lt;&gt;"Sim",G3804&lt;&gt;"Nao",G3804&lt;&gt;""),"PC_PAGO_A_CONTRATADA invalido",IF(AND(C3804&lt;&gt;"C0",IFERROR(INDEX(parametros!$A$2:$A$6,MATCH(C3804,parametros!$B$2:$B$6,0)),"")="Sim",IFERROR(INDEX(parametros!$H$2:$H$6,MATCH(C3804,parametros!$B$2:$B$6,0)),"")=""),"INICIO_EFEITO ausente: PC "&amp;A3804&amp;" - "&amp;C3804,IF(L3804="","EFEITO_PC nao calculado: PC "&amp;A3804&amp;" - "&amp;C3804,"OK")))))))))</f>
        <v/>
      </c>
      <c r="L3804" s="92" t="str">
        <f>IF(AND(A3804="",B3804="",D3804="",G3804=""),"",IF(OR(B3804="",NOT(ISNUMBER(B3804)),C3804="",C3804="Fora dos ciclos"),"",IF(C3804="C0","Nao",IF(IFERROR(INDEX(parametros!$A$2:$A$6,MATCH(C3804,parametros!$B$2:$B$6,0)),"")&lt;&gt;"Sim","Nao",IF(IFERROR(INDEX(parametros!$H$2:$H$6,MATCH(C3804,parametros!$B$2:$B$6,0)),"")="","",IF(B3804&gt;=IFERROR(INDEX(parametros!$H$2:$H$6,MATCH(C3804,parametros!$B$2:$B$6,0)),""),"Sim","Nao"))))))</f>
        <v/>
      </c>
      <c r="T3804" s="156"/>
      <c r="U3804" s="214" t="str">
        <f t="shared" si="301"/>
        <v/>
      </c>
      <c r="V3804" s="212" t="s">
        <v>50</v>
      </c>
      <c r="W3804" s="100" t="s">
        <v>168</v>
      </c>
      <c r="X3804" s="100" t="s">
        <v>169</v>
      </c>
      <c r="Y3804" s="101" t="s">
        <v>170</v>
      </c>
      <c r="Z3804" s="101" t="s">
        <v>171</v>
      </c>
      <c r="AA3804" s="101" t="s">
        <v>50</v>
      </c>
      <c r="AB3804" s="101" t="s">
        <v>172</v>
      </c>
      <c r="AC3804" s="102" t="s">
        <v>173</v>
      </c>
    </row>
    <row r="3805" spans="1:29" ht="25.5" customHeight="1" x14ac:dyDescent="0.35">
      <c r="A3805" s="392"/>
      <c r="B3805" s="393"/>
      <c r="C3805" s="99" t="str">
        <f>IF(B3805="","",IF(NOT(ISNUMBER(B3805)),"DATA_PC invalida",IF(NOT(ISNUMBER(parametros!$C$2)),"Fora dos ciclos",IF(OR(B3805&lt;parametros!$C$2,(YEAR(B3805)-YEAR(parametros!$C$2))*12+MONTH(B3805)-MONTH(parametros!$C$2)&gt;59),"Fora dos ciclos","C"&amp;INT(((YEAR(B3805)-YEAR(parametros!$C$2))*12+MONTH(B3805)-MONTH(parametros!$C$2))/12)))))</f>
        <v/>
      </c>
      <c r="D3805" s="394"/>
      <c r="E3805" s="78" t="str">
        <f>IF(C3805="","",IFERROR(VLOOKUP(C3805,parametros!$A$11:$E$15,5,0),""))</f>
        <v/>
      </c>
      <c r="F3805" s="79" t="str">
        <f t="shared" si="297"/>
        <v/>
      </c>
      <c r="G3805" s="395"/>
      <c r="H3805" s="91">
        <f t="shared" si="298"/>
        <v>0</v>
      </c>
      <c r="I3805" s="91" t="str">
        <f t="shared" si="299"/>
        <v/>
      </c>
      <c r="J3805" s="91" t="str">
        <f t="shared" si="300"/>
        <v/>
      </c>
      <c r="K3805" s="92" t="str">
        <f>IF(AND(A3805="",B3805="",D3805="",G3805=""),"",IF(AND(A3805&lt;&gt;"",COUNTIF($A$2:$A$5001,A3805)&gt;1),"NUMERO_PC duplicado",IF(B3805="","DATA_PC vazia",IF(NOT(ISNUMBER(B3805)),"DATA_PC invalida",IF(OR(C3805="",C3805="Fora dos ciclos"),"CICLO_PC nao identificado",IF(OR(D3805="",D3805=0),"VALOR_PC vazio ou zero",IF(AND(G3805&lt;&gt;"Sim",G3805&lt;&gt;"Nao",G3805&lt;&gt;""),"PC_PAGO_A_CONTRATADA invalido",IF(AND(C3805&lt;&gt;"C0",IFERROR(INDEX(parametros!$A$2:$A$6,MATCH(C3805,parametros!$B$2:$B$6,0)),"")="Sim",IFERROR(INDEX(parametros!$H$2:$H$6,MATCH(C3805,parametros!$B$2:$B$6,0)),"")=""),"INICIO_EFEITO ausente: PC "&amp;A3805&amp;" - "&amp;C3805,IF(L3805="","EFEITO_PC nao calculado: PC "&amp;A3805&amp;" - "&amp;C3805,"OK")))))))))</f>
        <v/>
      </c>
      <c r="L3805" s="92" t="str">
        <f>IF(AND(A3805="",B3805="",D3805="",G3805=""),"",IF(OR(B3805="",NOT(ISNUMBER(B3805)),C3805="",C3805="Fora dos ciclos"),"",IF(C3805="C0","Nao",IF(IFERROR(INDEX(parametros!$A$2:$A$6,MATCH(C3805,parametros!$B$2:$B$6,0)),"")&lt;&gt;"Sim","Nao",IF(IFERROR(INDEX(parametros!$H$2:$H$6,MATCH(C3805,parametros!$B$2:$B$6,0)),"")="","",IF(B3805&gt;=IFERROR(INDEX(parametros!$H$2:$H$6,MATCH(C3805,parametros!$B$2:$B$6,0)),""),"Sim","Nao"))))))</f>
        <v/>
      </c>
      <c r="T3805" s="156"/>
      <c r="U3805" s="214" t="str">
        <f t="shared" si="301"/>
        <v/>
      </c>
      <c r="V3805" s="212" t="s">
        <v>50</v>
      </c>
      <c r="W3805" s="100" t="s">
        <v>168</v>
      </c>
      <c r="X3805" s="100" t="s">
        <v>169</v>
      </c>
      <c r="Y3805" s="101" t="s">
        <v>170</v>
      </c>
      <c r="Z3805" s="101" t="s">
        <v>171</v>
      </c>
      <c r="AA3805" s="101" t="s">
        <v>50</v>
      </c>
      <c r="AB3805" s="101" t="s">
        <v>172</v>
      </c>
      <c r="AC3805" s="102" t="s">
        <v>173</v>
      </c>
    </row>
    <row r="3806" spans="1:29" ht="25.5" customHeight="1" x14ac:dyDescent="0.35">
      <c r="A3806" s="392"/>
      <c r="B3806" s="393"/>
      <c r="C3806" s="99" t="str">
        <f>IF(B3806="","",IF(NOT(ISNUMBER(B3806)),"DATA_PC invalida",IF(NOT(ISNUMBER(parametros!$C$2)),"Fora dos ciclos",IF(OR(B3806&lt;parametros!$C$2,(YEAR(B3806)-YEAR(parametros!$C$2))*12+MONTH(B3806)-MONTH(parametros!$C$2)&gt;59),"Fora dos ciclos","C"&amp;INT(((YEAR(B3806)-YEAR(parametros!$C$2))*12+MONTH(B3806)-MONTH(parametros!$C$2))/12)))))</f>
        <v/>
      </c>
      <c r="D3806" s="394"/>
      <c r="E3806" s="78" t="str">
        <f>IF(C3806="","",IFERROR(VLOOKUP(C3806,parametros!$A$11:$E$15,5,0),""))</f>
        <v/>
      </c>
      <c r="F3806" s="79" t="str">
        <f t="shared" si="297"/>
        <v/>
      </c>
      <c r="G3806" s="395"/>
      <c r="H3806" s="91">
        <f t="shared" si="298"/>
        <v>0</v>
      </c>
      <c r="I3806" s="91" t="str">
        <f t="shared" si="299"/>
        <v/>
      </c>
      <c r="J3806" s="91" t="str">
        <f t="shared" si="300"/>
        <v/>
      </c>
      <c r="K3806" s="92" t="str">
        <f>IF(AND(A3806="",B3806="",D3806="",G3806=""),"",IF(AND(A3806&lt;&gt;"",COUNTIF($A$2:$A$5001,A3806)&gt;1),"NUMERO_PC duplicado",IF(B3806="","DATA_PC vazia",IF(NOT(ISNUMBER(B3806)),"DATA_PC invalida",IF(OR(C3806="",C3806="Fora dos ciclos"),"CICLO_PC nao identificado",IF(OR(D3806="",D3806=0),"VALOR_PC vazio ou zero",IF(AND(G3806&lt;&gt;"Sim",G3806&lt;&gt;"Nao",G3806&lt;&gt;""),"PC_PAGO_A_CONTRATADA invalido",IF(AND(C3806&lt;&gt;"C0",IFERROR(INDEX(parametros!$A$2:$A$6,MATCH(C3806,parametros!$B$2:$B$6,0)),"")="Sim",IFERROR(INDEX(parametros!$H$2:$H$6,MATCH(C3806,parametros!$B$2:$B$6,0)),"")=""),"INICIO_EFEITO ausente: PC "&amp;A3806&amp;" - "&amp;C3806,IF(L3806="","EFEITO_PC nao calculado: PC "&amp;A3806&amp;" - "&amp;C3806,"OK")))))))))</f>
        <v/>
      </c>
      <c r="L3806" s="92" t="str">
        <f>IF(AND(A3806="",B3806="",D3806="",G3806=""),"",IF(OR(B3806="",NOT(ISNUMBER(B3806)),C3806="",C3806="Fora dos ciclos"),"",IF(C3806="C0","Nao",IF(IFERROR(INDEX(parametros!$A$2:$A$6,MATCH(C3806,parametros!$B$2:$B$6,0)),"")&lt;&gt;"Sim","Nao",IF(IFERROR(INDEX(parametros!$H$2:$H$6,MATCH(C3806,parametros!$B$2:$B$6,0)),"")="","",IF(B3806&gt;=IFERROR(INDEX(parametros!$H$2:$H$6,MATCH(C3806,parametros!$B$2:$B$6,0)),""),"Sim","Nao"))))))</f>
        <v/>
      </c>
      <c r="T3806" s="156"/>
      <c r="U3806" s="214" t="str">
        <f t="shared" si="301"/>
        <v/>
      </c>
      <c r="V3806" s="212" t="s">
        <v>50</v>
      </c>
      <c r="W3806" s="100" t="s">
        <v>168</v>
      </c>
      <c r="X3806" s="100" t="s">
        <v>169</v>
      </c>
      <c r="Y3806" s="101" t="s">
        <v>170</v>
      </c>
      <c r="Z3806" s="101" t="s">
        <v>171</v>
      </c>
      <c r="AA3806" s="101" t="s">
        <v>50</v>
      </c>
      <c r="AB3806" s="101" t="s">
        <v>172</v>
      </c>
      <c r="AC3806" s="102" t="s">
        <v>173</v>
      </c>
    </row>
    <row r="3807" spans="1:29" ht="25.5" customHeight="1" x14ac:dyDescent="0.35">
      <c r="A3807" s="392"/>
      <c r="B3807" s="393"/>
      <c r="C3807" s="99" t="str">
        <f>IF(B3807="","",IF(NOT(ISNUMBER(B3807)),"DATA_PC invalida",IF(NOT(ISNUMBER(parametros!$C$2)),"Fora dos ciclos",IF(OR(B3807&lt;parametros!$C$2,(YEAR(B3807)-YEAR(parametros!$C$2))*12+MONTH(B3807)-MONTH(parametros!$C$2)&gt;59),"Fora dos ciclos","C"&amp;INT(((YEAR(B3807)-YEAR(parametros!$C$2))*12+MONTH(B3807)-MONTH(parametros!$C$2))/12)))))</f>
        <v/>
      </c>
      <c r="D3807" s="394"/>
      <c r="E3807" s="78" t="str">
        <f>IF(C3807="","",IFERROR(VLOOKUP(C3807,parametros!$A$11:$E$15,5,0),""))</f>
        <v/>
      </c>
      <c r="F3807" s="79" t="str">
        <f t="shared" si="297"/>
        <v/>
      </c>
      <c r="G3807" s="395"/>
      <c r="H3807" s="91">
        <f t="shared" si="298"/>
        <v>0</v>
      </c>
      <c r="I3807" s="91" t="str">
        <f t="shared" si="299"/>
        <v/>
      </c>
      <c r="J3807" s="91" t="str">
        <f t="shared" si="300"/>
        <v/>
      </c>
      <c r="K3807" s="92" t="str">
        <f>IF(AND(A3807="",B3807="",D3807="",G3807=""),"",IF(AND(A3807&lt;&gt;"",COUNTIF($A$2:$A$5001,A3807)&gt;1),"NUMERO_PC duplicado",IF(B3807="","DATA_PC vazia",IF(NOT(ISNUMBER(B3807)),"DATA_PC invalida",IF(OR(C3807="",C3807="Fora dos ciclos"),"CICLO_PC nao identificado",IF(OR(D3807="",D3807=0),"VALOR_PC vazio ou zero",IF(AND(G3807&lt;&gt;"Sim",G3807&lt;&gt;"Nao",G3807&lt;&gt;""),"PC_PAGO_A_CONTRATADA invalido",IF(AND(C3807&lt;&gt;"C0",IFERROR(INDEX(parametros!$A$2:$A$6,MATCH(C3807,parametros!$B$2:$B$6,0)),"")="Sim",IFERROR(INDEX(parametros!$H$2:$H$6,MATCH(C3807,parametros!$B$2:$B$6,0)),"")=""),"INICIO_EFEITO ausente: PC "&amp;A3807&amp;" - "&amp;C3807,IF(L3807="","EFEITO_PC nao calculado: PC "&amp;A3807&amp;" - "&amp;C3807,"OK")))))))))</f>
        <v/>
      </c>
      <c r="L3807" s="92" t="str">
        <f>IF(AND(A3807="",B3807="",D3807="",G3807=""),"",IF(OR(B3807="",NOT(ISNUMBER(B3807)),C3807="",C3807="Fora dos ciclos"),"",IF(C3807="C0","Nao",IF(IFERROR(INDEX(parametros!$A$2:$A$6,MATCH(C3807,parametros!$B$2:$B$6,0)),"")&lt;&gt;"Sim","Nao",IF(IFERROR(INDEX(parametros!$H$2:$H$6,MATCH(C3807,parametros!$B$2:$B$6,0)),"")="","",IF(B3807&gt;=IFERROR(INDEX(parametros!$H$2:$H$6,MATCH(C3807,parametros!$B$2:$B$6,0)),""),"Sim","Nao"))))))</f>
        <v/>
      </c>
      <c r="T3807" s="156"/>
      <c r="U3807" s="214" t="str">
        <f t="shared" si="301"/>
        <v/>
      </c>
      <c r="V3807" s="212" t="s">
        <v>50</v>
      </c>
      <c r="W3807" s="100" t="s">
        <v>168</v>
      </c>
      <c r="X3807" s="100" t="s">
        <v>169</v>
      </c>
      <c r="Y3807" s="101" t="s">
        <v>170</v>
      </c>
      <c r="Z3807" s="101" t="s">
        <v>171</v>
      </c>
      <c r="AA3807" s="101" t="s">
        <v>50</v>
      </c>
      <c r="AB3807" s="101" t="s">
        <v>172</v>
      </c>
      <c r="AC3807" s="102" t="s">
        <v>173</v>
      </c>
    </row>
    <row r="3808" spans="1:29" ht="25.5" customHeight="1" x14ac:dyDescent="0.35">
      <c r="A3808" s="392"/>
      <c r="B3808" s="393"/>
      <c r="C3808" s="99" t="str">
        <f>IF(B3808="","",IF(NOT(ISNUMBER(B3808)),"DATA_PC invalida",IF(NOT(ISNUMBER(parametros!$C$2)),"Fora dos ciclos",IF(OR(B3808&lt;parametros!$C$2,(YEAR(B3808)-YEAR(parametros!$C$2))*12+MONTH(B3808)-MONTH(parametros!$C$2)&gt;59),"Fora dos ciclos","C"&amp;INT(((YEAR(B3808)-YEAR(parametros!$C$2))*12+MONTH(B3808)-MONTH(parametros!$C$2))/12)))))</f>
        <v/>
      </c>
      <c r="D3808" s="394"/>
      <c r="E3808" s="78" t="str">
        <f>IF(C3808="","",IFERROR(VLOOKUP(C3808,parametros!$A$11:$E$15,5,0),""))</f>
        <v/>
      </c>
      <c r="F3808" s="79" t="str">
        <f t="shared" si="297"/>
        <v/>
      </c>
      <c r="G3808" s="395"/>
      <c r="H3808" s="91">
        <f t="shared" si="298"/>
        <v>0</v>
      </c>
      <c r="I3808" s="91" t="str">
        <f t="shared" si="299"/>
        <v/>
      </c>
      <c r="J3808" s="91" t="str">
        <f t="shared" si="300"/>
        <v/>
      </c>
      <c r="K3808" s="92" t="str">
        <f>IF(AND(A3808="",B3808="",D3808="",G3808=""),"",IF(AND(A3808&lt;&gt;"",COUNTIF($A$2:$A$5001,A3808)&gt;1),"NUMERO_PC duplicado",IF(B3808="","DATA_PC vazia",IF(NOT(ISNUMBER(B3808)),"DATA_PC invalida",IF(OR(C3808="",C3808="Fora dos ciclos"),"CICLO_PC nao identificado",IF(OR(D3808="",D3808=0),"VALOR_PC vazio ou zero",IF(AND(G3808&lt;&gt;"Sim",G3808&lt;&gt;"Nao",G3808&lt;&gt;""),"PC_PAGO_A_CONTRATADA invalido",IF(AND(C3808&lt;&gt;"C0",IFERROR(INDEX(parametros!$A$2:$A$6,MATCH(C3808,parametros!$B$2:$B$6,0)),"")="Sim",IFERROR(INDEX(parametros!$H$2:$H$6,MATCH(C3808,parametros!$B$2:$B$6,0)),"")=""),"INICIO_EFEITO ausente: PC "&amp;A3808&amp;" - "&amp;C3808,IF(L3808="","EFEITO_PC nao calculado: PC "&amp;A3808&amp;" - "&amp;C3808,"OK")))))))))</f>
        <v/>
      </c>
      <c r="L3808" s="92" t="str">
        <f>IF(AND(A3808="",B3808="",D3808="",G3808=""),"",IF(OR(B3808="",NOT(ISNUMBER(B3808)),C3808="",C3808="Fora dos ciclos"),"",IF(C3808="C0","Nao",IF(IFERROR(INDEX(parametros!$A$2:$A$6,MATCH(C3808,parametros!$B$2:$B$6,0)),"")&lt;&gt;"Sim","Nao",IF(IFERROR(INDEX(parametros!$H$2:$H$6,MATCH(C3808,parametros!$B$2:$B$6,0)),"")="","",IF(B3808&gt;=IFERROR(INDEX(parametros!$H$2:$H$6,MATCH(C3808,parametros!$B$2:$B$6,0)),""),"Sim","Nao"))))))</f>
        <v/>
      </c>
      <c r="T3808" s="156"/>
      <c r="U3808" s="214" t="str">
        <f t="shared" si="301"/>
        <v/>
      </c>
      <c r="V3808" s="212" t="s">
        <v>50</v>
      </c>
      <c r="W3808" s="100" t="s">
        <v>168</v>
      </c>
      <c r="X3808" s="100" t="s">
        <v>169</v>
      </c>
      <c r="Y3808" s="101" t="s">
        <v>170</v>
      </c>
      <c r="Z3808" s="101" t="s">
        <v>171</v>
      </c>
      <c r="AA3808" s="101" t="s">
        <v>50</v>
      </c>
      <c r="AB3808" s="101" t="s">
        <v>172</v>
      </c>
      <c r="AC3808" s="102" t="s">
        <v>173</v>
      </c>
    </row>
    <row r="3809" spans="1:29" ht="25.5" customHeight="1" x14ac:dyDescent="0.35">
      <c r="A3809" s="392"/>
      <c r="B3809" s="393"/>
      <c r="C3809" s="99" t="str">
        <f>IF(B3809="","",IF(NOT(ISNUMBER(B3809)),"DATA_PC invalida",IF(NOT(ISNUMBER(parametros!$C$2)),"Fora dos ciclos",IF(OR(B3809&lt;parametros!$C$2,(YEAR(B3809)-YEAR(parametros!$C$2))*12+MONTH(B3809)-MONTH(parametros!$C$2)&gt;59),"Fora dos ciclos","C"&amp;INT(((YEAR(B3809)-YEAR(parametros!$C$2))*12+MONTH(B3809)-MONTH(parametros!$C$2))/12)))))</f>
        <v/>
      </c>
      <c r="D3809" s="394"/>
      <c r="E3809" s="78" t="str">
        <f>IF(C3809="","",IFERROR(VLOOKUP(C3809,parametros!$A$11:$E$15,5,0),""))</f>
        <v/>
      </c>
      <c r="F3809" s="79" t="str">
        <f t="shared" si="297"/>
        <v/>
      </c>
      <c r="G3809" s="395"/>
      <c r="H3809" s="91">
        <f t="shared" si="298"/>
        <v>0</v>
      </c>
      <c r="I3809" s="91" t="str">
        <f t="shared" si="299"/>
        <v/>
      </c>
      <c r="J3809" s="91" t="str">
        <f t="shared" si="300"/>
        <v/>
      </c>
      <c r="K3809" s="92" t="str">
        <f>IF(AND(A3809="",B3809="",D3809="",G3809=""),"",IF(AND(A3809&lt;&gt;"",COUNTIF($A$2:$A$5001,A3809)&gt;1),"NUMERO_PC duplicado",IF(B3809="","DATA_PC vazia",IF(NOT(ISNUMBER(B3809)),"DATA_PC invalida",IF(OR(C3809="",C3809="Fora dos ciclos"),"CICLO_PC nao identificado",IF(OR(D3809="",D3809=0),"VALOR_PC vazio ou zero",IF(AND(G3809&lt;&gt;"Sim",G3809&lt;&gt;"Nao",G3809&lt;&gt;""),"PC_PAGO_A_CONTRATADA invalido",IF(AND(C3809&lt;&gt;"C0",IFERROR(INDEX(parametros!$A$2:$A$6,MATCH(C3809,parametros!$B$2:$B$6,0)),"")="Sim",IFERROR(INDEX(parametros!$H$2:$H$6,MATCH(C3809,parametros!$B$2:$B$6,0)),"")=""),"INICIO_EFEITO ausente: PC "&amp;A3809&amp;" - "&amp;C3809,IF(L3809="","EFEITO_PC nao calculado: PC "&amp;A3809&amp;" - "&amp;C3809,"OK")))))))))</f>
        <v/>
      </c>
      <c r="L3809" s="92" t="str">
        <f>IF(AND(A3809="",B3809="",D3809="",G3809=""),"",IF(OR(B3809="",NOT(ISNUMBER(B3809)),C3809="",C3809="Fora dos ciclos"),"",IF(C3809="C0","Nao",IF(IFERROR(INDEX(parametros!$A$2:$A$6,MATCH(C3809,parametros!$B$2:$B$6,0)),"")&lt;&gt;"Sim","Nao",IF(IFERROR(INDEX(parametros!$H$2:$H$6,MATCH(C3809,parametros!$B$2:$B$6,0)),"")="","",IF(B3809&gt;=IFERROR(INDEX(parametros!$H$2:$H$6,MATCH(C3809,parametros!$B$2:$B$6,0)),""),"Sim","Nao"))))))</f>
        <v/>
      </c>
      <c r="T3809" s="156"/>
      <c r="U3809" s="214" t="str">
        <f t="shared" si="301"/>
        <v/>
      </c>
      <c r="V3809" s="212" t="s">
        <v>50</v>
      </c>
      <c r="W3809" s="100" t="s">
        <v>168</v>
      </c>
      <c r="X3809" s="100" t="s">
        <v>169</v>
      </c>
      <c r="Y3809" s="101" t="s">
        <v>170</v>
      </c>
      <c r="Z3809" s="101" t="s">
        <v>171</v>
      </c>
      <c r="AA3809" s="101" t="s">
        <v>50</v>
      </c>
      <c r="AB3809" s="101" t="s">
        <v>172</v>
      </c>
      <c r="AC3809" s="102" t="s">
        <v>173</v>
      </c>
    </row>
    <row r="3810" spans="1:29" ht="25.5" customHeight="1" x14ac:dyDescent="0.35">
      <c r="A3810" s="392"/>
      <c r="B3810" s="393"/>
      <c r="C3810" s="99" t="str">
        <f>IF(B3810="","",IF(NOT(ISNUMBER(B3810)),"DATA_PC invalida",IF(NOT(ISNUMBER(parametros!$C$2)),"Fora dos ciclos",IF(OR(B3810&lt;parametros!$C$2,(YEAR(B3810)-YEAR(parametros!$C$2))*12+MONTH(B3810)-MONTH(parametros!$C$2)&gt;59),"Fora dos ciclos","C"&amp;INT(((YEAR(B3810)-YEAR(parametros!$C$2))*12+MONTH(B3810)-MONTH(parametros!$C$2))/12)))))</f>
        <v/>
      </c>
      <c r="D3810" s="394"/>
      <c r="E3810" s="78" t="str">
        <f>IF(C3810="","",IFERROR(VLOOKUP(C3810,parametros!$A$11:$E$15,5,0),""))</f>
        <v/>
      </c>
      <c r="F3810" s="79" t="str">
        <f t="shared" si="297"/>
        <v/>
      </c>
      <c r="G3810" s="395"/>
      <c r="H3810" s="91">
        <f t="shared" si="298"/>
        <v>0</v>
      </c>
      <c r="I3810" s="91" t="str">
        <f t="shared" si="299"/>
        <v/>
      </c>
      <c r="J3810" s="91" t="str">
        <f t="shared" si="300"/>
        <v/>
      </c>
      <c r="K3810" s="92" t="str">
        <f>IF(AND(A3810="",B3810="",D3810="",G3810=""),"",IF(AND(A3810&lt;&gt;"",COUNTIF($A$2:$A$5001,A3810)&gt;1),"NUMERO_PC duplicado",IF(B3810="","DATA_PC vazia",IF(NOT(ISNUMBER(B3810)),"DATA_PC invalida",IF(OR(C3810="",C3810="Fora dos ciclos"),"CICLO_PC nao identificado",IF(OR(D3810="",D3810=0),"VALOR_PC vazio ou zero",IF(AND(G3810&lt;&gt;"Sim",G3810&lt;&gt;"Nao",G3810&lt;&gt;""),"PC_PAGO_A_CONTRATADA invalido",IF(AND(C3810&lt;&gt;"C0",IFERROR(INDEX(parametros!$A$2:$A$6,MATCH(C3810,parametros!$B$2:$B$6,0)),"")="Sim",IFERROR(INDEX(parametros!$H$2:$H$6,MATCH(C3810,parametros!$B$2:$B$6,0)),"")=""),"INICIO_EFEITO ausente: PC "&amp;A3810&amp;" - "&amp;C3810,IF(L3810="","EFEITO_PC nao calculado: PC "&amp;A3810&amp;" - "&amp;C3810,"OK")))))))))</f>
        <v/>
      </c>
      <c r="L3810" s="92" t="str">
        <f>IF(AND(A3810="",B3810="",D3810="",G3810=""),"",IF(OR(B3810="",NOT(ISNUMBER(B3810)),C3810="",C3810="Fora dos ciclos"),"",IF(C3810="C0","Nao",IF(IFERROR(INDEX(parametros!$A$2:$A$6,MATCH(C3810,parametros!$B$2:$B$6,0)),"")&lt;&gt;"Sim","Nao",IF(IFERROR(INDEX(parametros!$H$2:$H$6,MATCH(C3810,parametros!$B$2:$B$6,0)),"")="","",IF(B3810&gt;=IFERROR(INDEX(parametros!$H$2:$H$6,MATCH(C3810,parametros!$B$2:$B$6,0)),""),"Sim","Nao"))))))</f>
        <v/>
      </c>
      <c r="T3810" s="156"/>
      <c r="U3810" s="214" t="str">
        <f t="shared" si="301"/>
        <v/>
      </c>
      <c r="V3810" s="212" t="s">
        <v>50</v>
      </c>
      <c r="W3810" s="100" t="s">
        <v>168</v>
      </c>
      <c r="X3810" s="100" t="s">
        <v>169</v>
      </c>
      <c r="Y3810" s="101" t="s">
        <v>170</v>
      </c>
      <c r="Z3810" s="101" t="s">
        <v>171</v>
      </c>
      <c r="AA3810" s="101" t="s">
        <v>50</v>
      </c>
      <c r="AB3810" s="101" t="s">
        <v>172</v>
      </c>
      <c r="AC3810" s="102" t="s">
        <v>173</v>
      </c>
    </row>
    <row r="3811" spans="1:29" ht="25.5" customHeight="1" x14ac:dyDescent="0.35">
      <c r="A3811" s="392"/>
      <c r="B3811" s="393"/>
      <c r="C3811" s="99" t="str">
        <f>IF(B3811="","",IF(NOT(ISNUMBER(B3811)),"DATA_PC invalida",IF(NOT(ISNUMBER(parametros!$C$2)),"Fora dos ciclos",IF(OR(B3811&lt;parametros!$C$2,(YEAR(B3811)-YEAR(parametros!$C$2))*12+MONTH(B3811)-MONTH(parametros!$C$2)&gt;59),"Fora dos ciclos","C"&amp;INT(((YEAR(B3811)-YEAR(parametros!$C$2))*12+MONTH(B3811)-MONTH(parametros!$C$2))/12)))))</f>
        <v/>
      </c>
      <c r="D3811" s="394"/>
      <c r="E3811" s="78" t="str">
        <f>IF(C3811="","",IFERROR(VLOOKUP(C3811,parametros!$A$11:$E$15,5,0),""))</f>
        <v/>
      </c>
      <c r="F3811" s="79" t="str">
        <f t="shared" si="297"/>
        <v/>
      </c>
      <c r="G3811" s="395"/>
      <c r="H3811" s="91">
        <f t="shared" si="298"/>
        <v>0</v>
      </c>
      <c r="I3811" s="91" t="str">
        <f t="shared" si="299"/>
        <v/>
      </c>
      <c r="J3811" s="91" t="str">
        <f t="shared" si="300"/>
        <v/>
      </c>
      <c r="K3811" s="92" t="str">
        <f>IF(AND(A3811="",B3811="",D3811="",G3811=""),"",IF(AND(A3811&lt;&gt;"",COUNTIF($A$2:$A$5001,A3811)&gt;1),"NUMERO_PC duplicado",IF(B3811="","DATA_PC vazia",IF(NOT(ISNUMBER(B3811)),"DATA_PC invalida",IF(OR(C3811="",C3811="Fora dos ciclos"),"CICLO_PC nao identificado",IF(OR(D3811="",D3811=0),"VALOR_PC vazio ou zero",IF(AND(G3811&lt;&gt;"Sim",G3811&lt;&gt;"Nao",G3811&lt;&gt;""),"PC_PAGO_A_CONTRATADA invalido",IF(AND(C3811&lt;&gt;"C0",IFERROR(INDEX(parametros!$A$2:$A$6,MATCH(C3811,parametros!$B$2:$B$6,0)),"")="Sim",IFERROR(INDEX(parametros!$H$2:$H$6,MATCH(C3811,parametros!$B$2:$B$6,0)),"")=""),"INICIO_EFEITO ausente: PC "&amp;A3811&amp;" - "&amp;C3811,IF(L3811="","EFEITO_PC nao calculado: PC "&amp;A3811&amp;" - "&amp;C3811,"OK")))))))))</f>
        <v/>
      </c>
      <c r="L3811" s="92" t="str">
        <f>IF(AND(A3811="",B3811="",D3811="",G3811=""),"",IF(OR(B3811="",NOT(ISNUMBER(B3811)),C3811="",C3811="Fora dos ciclos"),"",IF(C3811="C0","Nao",IF(IFERROR(INDEX(parametros!$A$2:$A$6,MATCH(C3811,parametros!$B$2:$B$6,0)),"")&lt;&gt;"Sim","Nao",IF(IFERROR(INDEX(parametros!$H$2:$H$6,MATCH(C3811,parametros!$B$2:$B$6,0)),"")="","",IF(B3811&gt;=IFERROR(INDEX(parametros!$H$2:$H$6,MATCH(C3811,parametros!$B$2:$B$6,0)),""),"Sim","Nao"))))))</f>
        <v/>
      </c>
      <c r="T3811" s="156"/>
      <c r="U3811" s="214" t="str">
        <f t="shared" si="301"/>
        <v/>
      </c>
      <c r="V3811" s="212" t="s">
        <v>50</v>
      </c>
      <c r="W3811" s="100" t="s">
        <v>168</v>
      </c>
      <c r="X3811" s="100" t="s">
        <v>169</v>
      </c>
      <c r="Y3811" s="101" t="s">
        <v>170</v>
      </c>
      <c r="Z3811" s="101" t="s">
        <v>171</v>
      </c>
      <c r="AA3811" s="101" t="s">
        <v>50</v>
      </c>
      <c r="AB3811" s="101" t="s">
        <v>172</v>
      </c>
      <c r="AC3811" s="102" t="s">
        <v>173</v>
      </c>
    </row>
    <row r="3812" spans="1:29" ht="25.5" customHeight="1" x14ac:dyDescent="0.35">
      <c r="A3812" s="392"/>
      <c r="B3812" s="393"/>
      <c r="C3812" s="99" t="str">
        <f>IF(B3812="","",IF(NOT(ISNUMBER(B3812)),"DATA_PC invalida",IF(NOT(ISNUMBER(parametros!$C$2)),"Fora dos ciclos",IF(OR(B3812&lt;parametros!$C$2,(YEAR(B3812)-YEAR(parametros!$C$2))*12+MONTH(B3812)-MONTH(parametros!$C$2)&gt;59),"Fora dos ciclos","C"&amp;INT(((YEAR(B3812)-YEAR(parametros!$C$2))*12+MONTH(B3812)-MONTH(parametros!$C$2))/12)))))</f>
        <v/>
      </c>
      <c r="D3812" s="394"/>
      <c r="E3812" s="78" t="str">
        <f>IF(C3812="","",IFERROR(VLOOKUP(C3812,parametros!$A$11:$E$15,5,0),""))</f>
        <v/>
      </c>
      <c r="F3812" s="79" t="str">
        <f t="shared" si="297"/>
        <v/>
      </c>
      <c r="G3812" s="395"/>
      <c r="H3812" s="91">
        <f t="shared" si="298"/>
        <v>0</v>
      </c>
      <c r="I3812" s="91" t="str">
        <f t="shared" si="299"/>
        <v/>
      </c>
      <c r="J3812" s="91" t="str">
        <f t="shared" si="300"/>
        <v/>
      </c>
      <c r="K3812" s="92" t="str">
        <f>IF(AND(A3812="",B3812="",D3812="",G3812=""),"",IF(AND(A3812&lt;&gt;"",COUNTIF($A$2:$A$5001,A3812)&gt;1),"NUMERO_PC duplicado",IF(B3812="","DATA_PC vazia",IF(NOT(ISNUMBER(B3812)),"DATA_PC invalida",IF(OR(C3812="",C3812="Fora dos ciclos"),"CICLO_PC nao identificado",IF(OR(D3812="",D3812=0),"VALOR_PC vazio ou zero",IF(AND(G3812&lt;&gt;"Sim",G3812&lt;&gt;"Nao",G3812&lt;&gt;""),"PC_PAGO_A_CONTRATADA invalido",IF(AND(C3812&lt;&gt;"C0",IFERROR(INDEX(parametros!$A$2:$A$6,MATCH(C3812,parametros!$B$2:$B$6,0)),"")="Sim",IFERROR(INDEX(parametros!$H$2:$H$6,MATCH(C3812,parametros!$B$2:$B$6,0)),"")=""),"INICIO_EFEITO ausente: PC "&amp;A3812&amp;" - "&amp;C3812,IF(L3812="","EFEITO_PC nao calculado: PC "&amp;A3812&amp;" - "&amp;C3812,"OK")))))))))</f>
        <v/>
      </c>
      <c r="L3812" s="92" t="str">
        <f>IF(AND(A3812="",B3812="",D3812="",G3812=""),"",IF(OR(B3812="",NOT(ISNUMBER(B3812)),C3812="",C3812="Fora dos ciclos"),"",IF(C3812="C0","Nao",IF(IFERROR(INDEX(parametros!$A$2:$A$6,MATCH(C3812,parametros!$B$2:$B$6,0)),"")&lt;&gt;"Sim","Nao",IF(IFERROR(INDEX(parametros!$H$2:$H$6,MATCH(C3812,parametros!$B$2:$B$6,0)),"")="","",IF(B3812&gt;=IFERROR(INDEX(parametros!$H$2:$H$6,MATCH(C3812,parametros!$B$2:$B$6,0)),""),"Sim","Nao"))))))</f>
        <v/>
      </c>
      <c r="T3812" s="156"/>
      <c r="U3812" s="214" t="str">
        <f t="shared" si="301"/>
        <v/>
      </c>
      <c r="V3812" s="212" t="s">
        <v>50</v>
      </c>
      <c r="W3812" s="100" t="s">
        <v>168</v>
      </c>
      <c r="X3812" s="100" t="s">
        <v>169</v>
      </c>
      <c r="Y3812" s="101" t="s">
        <v>170</v>
      </c>
      <c r="Z3812" s="101" t="s">
        <v>171</v>
      </c>
      <c r="AA3812" s="101" t="s">
        <v>50</v>
      </c>
      <c r="AB3812" s="101" t="s">
        <v>172</v>
      </c>
      <c r="AC3812" s="102" t="s">
        <v>173</v>
      </c>
    </row>
    <row r="3813" spans="1:29" ht="25.5" customHeight="1" x14ac:dyDescent="0.35">
      <c r="A3813" s="392"/>
      <c r="B3813" s="393"/>
      <c r="C3813" s="99" t="str">
        <f>IF(B3813="","",IF(NOT(ISNUMBER(B3813)),"DATA_PC invalida",IF(NOT(ISNUMBER(parametros!$C$2)),"Fora dos ciclos",IF(OR(B3813&lt;parametros!$C$2,(YEAR(B3813)-YEAR(parametros!$C$2))*12+MONTH(B3813)-MONTH(parametros!$C$2)&gt;59),"Fora dos ciclos","C"&amp;INT(((YEAR(B3813)-YEAR(parametros!$C$2))*12+MONTH(B3813)-MONTH(parametros!$C$2))/12)))))</f>
        <v/>
      </c>
      <c r="D3813" s="394"/>
      <c r="E3813" s="78" t="str">
        <f>IF(C3813="","",IFERROR(VLOOKUP(C3813,parametros!$A$11:$E$15,5,0),""))</f>
        <v/>
      </c>
      <c r="F3813" s="79" t="str">
        <f t="shared" si="297"/>
        <v/>
      </c>
      <c r="G3813" s="395"/>
      <c r="H3813" s="91">
        <f t="shared" si="298"/>
        <v>0</v>
      </c>
      <c r="I3813" s="91" t="str">
        <f t="shared" si="299"/>
        <v/>
      </c>
      <c r="J3813" s="91" t="str">
        <f t="shared" si="300"/>
        <v/>
      </c>
      <c r="K3813" s="92" t="str">
        <f>IF(AND(A3813="",B3813="",D3813="",G3813=""),"",IF(AND(A3813&lt;&gt;"",COUNTIF($A$2:$A$5001,A3813)&gt;1),"NUMERO_PC duplicado",IF(B3813="","DATA_PC vazia",IF(NOT(ISNUMBER(B3813)),"DATA_PC invalida",IF(OR(C3813="",C3813="Fora dos ciclos"),"CICLO_PC nao identificado",IF(OR(D3813="",D3813=0),"VALOR_PC vazio ou zero",IF(AND(G3813&lt;&gt;"Sim",G3813&lt;&gt;"Nao",G3813&lt;&gt;""),"PC_PAGO_A_CONTRATADA invalido",IF(AND(C3813&lt;&gt;"C0",IFERROR(INDEX(parametros!$A$2:$A$6,MATCH(C3813,parametros!$B$2:$B$6,0)),"")="Sim",IFERROR(INDEX(parametros!$H$2:$H$6,MATCH(C3813,parametros!$B$2:$B$6,0)),"")=""),"INICIO_EFEITO ausente: PC "&amp;A3813&amp;" - "&amp;C3813,IF(L3813="","EFEITO_PC nao calculado: PC "&amp;A3813&amp;" - "&amp;C3813,"OK")))))))))</f>
        <v/>
      </c>
      <c r="L3813" s="92" t="str">
        <f>IF(AND(A3813="",B3813="",D3813="",G3813=""),"",IF(OR(B3813="",NOT(ISNUMBER(B3813)),C3813="",C3813="Fora dos ciclos"),"",IF(C3813="C0","Nao",IF(IFERROR(INDEX(parametros!$A$2:$A$6,MATCH(C3813,parametros!$B$2:$B$6,0)),"")&lt;&gt;"Sim","Nao",IF(IFERROR(INDEX(parametros!$H$2:$H$6,MATCH(C3813,parametros!$B$2:$B$6,0)),"")="","",IF(B3813&gt;=IFERROR(INDEX(parametros!$H$2:$H$6,MATCH(C3813,parametros!$B$2:$B$6,0)),""),"Sim","Nao"))))))</f>
        <v/>
      </c>
      <c r="T3813" s="156"/>
      <c r="U3813" s="214" t="str">
        <f t="shared" si="301"/>
        <v/>
      </c>
      <c r="V3813" s="212" t="s">
        <v>50</v>
      </c>
      <c r="W3813" s="100" t="s">
        <v>168</v>
      </c>
      <c r="X3813" s="100" t="s">
        <v>169</v>
      </c>
      <c r="Y3813" s="101" t="s">
        <v>170</v>
      </c>
      <c r="Z3813" s="101" t="s">
        <v>171</v>
      </c>
      <c r="AA3813" s="101" t="s">
        <v>50</v>
      </c>
      <c r="AB3813" s="101" t="s">
        <v>172</v>
      </c>
      <c r="AC3813" s="102" t="s">
        <v>173</v>
      </c>
    </row>
    <row r="3814" spans="1:29" ht="25.5" customHeight="1" x14ac:dyDescent="0.35">
      <c r="A3814" s="392"/>
      <c r="B3814" s="393"/>
      <c r="C3814" s="99" t="str">
        <f>IF(B3814="","",IF(NOT(ISNUMBER(B3814)),"DATA_PC invalida",IF(NOT(ISNUMBER(parametros!$C$2)),"Fora dos ciclos",IF(OR(B3814&lt;parametros!$C$2,(YEAR(B3814)-YEAR(parametros!$C$2))*12+MONTH(B3814)-MONTH(parametros!$C$2)&gt;59),"Fora dos ciclos","C"&amp;INT(((YEAR(B3814)-YEAR(parametros!$C$2))*12+MONTH(B3814)-MONTH(parametros!$C$2))/12)))))</f>
        <v/>
      </c>
      <c r="D3814" s="394"/>
      <c r="E3814" s="78" t="str">
        <f>IF(C3814="","",IFERROR(VLOOKUP(C3814,parametros!$A$11:$E$15,5,0),""))</f>
        <v/>
      </c>
      <c r="F3814" s="79" t="str">
        <f t="shared" si="297"/>
        <v/>
      </c>
      <c r="G3814" s="395"/>
      <c r="H3814" s="91">
        <f t="shared" si="298"/>
        <v>0</v>
      </c>
      <c r="I3814" s="91" t="str">
        <f t="shared" si="299"/>
        <v/>
      </c>
      <c r="J3814" s="91" t="str">
        <f t="shared" si="300"/>
        <v/>
      </c>
      <c r="K3814" s="92" t="str">
        <f>IF(AND(A3814="",B3814="",D3814="",G3814=""),"",IF(AND(A3814&lt;&gt;"",COUNTIF($A$2:$A$5001,A3814)&gt;1),"NUMERO_PC duplicado",IF(B3814="","DATA_PC vazia",IF(NOT(ISNUMBER(B3814)),"DATA_PC invalida",IF(OR(C3814="",C3814="Fora dos ciclos"),"CICLO_PC nao identificado",IF(OR(D3814="",D3814=0),"VALOR_PC vazio ou zero",IF(AND(G3814&lt;&gt;"Sim",G3814&lt;&gt;"Nao",G3814&lt;&gt;""),"PC_PAGO_A_CONTRATADA invalido",IF(AND(C3814&lt;&gt;"C0",IFERROR(INDEX(parametros!$A$2:$A$6,MATCH(C3814,parametros!$B$2:$B$6,0)),"")="Sim",IFERROR(INDEX(parametros!$H$2:$H$6,MATCH(C3814,parametros!$B$2:$B$6,0)),"")=""),"INICIO_EFEITO ausente: PC "&amp;A3814&amp;" - "&amp;C3814,IF(L3814="","EFEITO_PC nao calculado: PC "&amp;A3814&amp;" - "&amp;C3814,"OK")))))))))</f>
        <v/>
      </c>
      <c r="L3814" s="92" t="str">
        <f>IF(AND(A3814="",B3814="",D3814="",G3814=""),"",IF(OR(B3814="",NOT(ISNUMBER(B3814)),C3814="",C3814="Fora dos ciclos"),"",IF(C3814="C0","Nao",IF(IFERROR(INDEX(parametros!$A$2:$A$6,MATCH(C3814,parametros!$B$2:$B$6,0)),"")&lt;&gt;"Sim","Nao",IF(IFERROR(INDEX(parametros!$H$2:$H$6,MATCH(C3814,parametros!$B$2:$B$6,0)),"")="","",IF(B3814&gt;=IFERROR(INDEX(parametros!$H$2:$H$6,MATCH(C3814,parametros!$B$2:$B$6,0)),""),"Sim","Nao"))))))</f>
        <v/>
      </c>
      <c r="T3814" s="156"/>
      <c r="U3814" s="214" t="str">
        <f t="shared" si="301"/>
        <v/>
      </c>
      <c r="V3814" s="212" t="s">
        <v>50</v>
      </c>
      <c r="W3814" s="100" t="s">
        <v>168</v>
      </c>
      <c r="X3814" s="100" t="s">
        <v>169</v>
      </c>
      <c r="Y3814" s="101" t="s">
        <v>170</v>
      </c>
      <c r="Z3814" s="101" t="s">
        <v>171</v>
      </c>
      <c r="AA3814" s="101" t="s">
        <v>50</v>
      </c>
      <c r="AB3814" s="101" t="s">
        <v>172</v>
      </c>
      <c r="AC3814" s="102" t="s">
        <v>173</v>
      </c>
    </row>
    <row r="3815" spans="1:29" ht="25.5" customHeight="1" x14ac:dyDescent="0.35">
      <c r="A3815" s="392"/>
      <c r="B3815" s="393"/>
      <c r="C3815" s="99" t="str">
        <f>IF(B3815="","",IF(NOT(ISNUMBER(B3815)),"DATA_PC invalida",IF(NOT(ISNUMBER(parametros!$C$2)),"Fora dos ciclos",IF(OR(B3815&lt;parametros!$C$2,(YEAR(B3815)-YEAR(parametros!$C$2))*12+MONTH(B3815)-MONTH(parametros!$C$2)&gt;59),"Fora dos ciclos","C"&amp;INT(((YEAR(B3815)-YEAR(parametros!$C$2))*12+MONTH(B3815)-MONTH(parametros!$C$2))/12)))))</f>
        <v/>
      </c>
      <c r="D3815" s="394"/>
      <c r="E3815" s="78" t="str">
        <f>IF(C3815="","",IFERROR(VLOOKUP(C3815,parametros!$A$11:$E$15,5,0),""))</f>
        <v/>
      </c>
      <c r="F3815" s="79" t="str">
        <f t="shared" si="297"/>
        <v/>
      </c>
      <c r="G3815" s="395"/>
      <c r="H3815" s="91">
        <f t="shared" si="298"/>
        <v>0</v>
      </c>
      <c r="I3815" s="91" t="str">
        <f t="shared" si="299"/>
        <v/>
      </c>
      <c r="J3815" s="91" t="str">
        <f t="shared" si="300"/>
        <v/>
      </c>
      <c r="K3815" s="92" t="str">
        <f>IF(AND(A3815="",B3815="",D3815="",G3815=""),"",IF(AND(A3815&lt;&gt;"",COUNTIF($A$2:$A$5001,A3815)&gt;1),"NUMERO_PC duplicado",IF(B3815="","DATA_PC vazia",IF(NOT(ISNUMBER(B3815)),"DATA_PC invalida",IF(OR(C3815="",C3815="Fora dos ciclos"),"CICLO_PC nao identificado",IF(OR(D3815="",D3815=0),"VALOR_PC vazio ou zero",IF(AND(G3815&lt;&gt;"Sim",G3815&lt;&gt;"Nao",G3815&lt;&gt;""),"PC_PAGO_A_CONTRATADA invalido",IF(AND(C3815&lt;&gt;"C0",IFERROR(INDEX(parametros!$A$2:$A$6,MATCH(C3815,parametros!$B$2:$B$6,0)),"")="Sim",IFERROR(INDEX(parametros!$H$2:$H$6,MATCH(C3815,parametros!$B$2:$B$6,0)),"")=""),"INICIO_EFEITO ausente: PC "&amp;A3815&amp;" - "&amp;C3815,IF(L3815="","EFEITO_PC nao calculado: PC "&amp;A3815&amp;" - "&amp;C3815,"OK")))))))))</f>
        <v/>
      </c>
      <c r="L3815" s="92" t="str">
        <f>IF(AND(A3815="",B3815="",D3815="",G3815=""),"",IF(OR(B3815="",NOT(ISNUMBER(B3815)),C3815="",C3815="Fora dos ciclos"),"",IF(C3815="C0","Nao",IF(IFERROR(INDEX(parametros!$A$2:$A$6,MATCH(C3815,parametros!$B$2:$B$6,0)),"")&lt;&gt;"Sim","Nao",IF(IFERROR(INDEX(parametros!$H$2:$H$6,MATCH(C3815,parametros!$B$2:$B$6,0)),"")="","",IF(B3815&gt;=IFERROR(INDEX(parametros!$H$2:$H$6,MATCH(C3815,parametros!$B$2:$B$6,0)),""),"Sim","Nao"))))))</f>
        <v/>
      </c>
      <c r="T3815" s="156"/>
      <c r="U3815" s="214" t="str">
        <f t="shared" si="301"/>
        <v/>
      </c>
      <c r="V3815" s="212" t="s">
        <v>50</v>
      </c>
      <c r="W3815" s="100" t="s">
        <v>168</v>
      </c>
      <c r="X3815" s="100" t="s">
        <v>169</v>
      </c>
      <c r="Y3815" s="101" t="s">
        <v>170</v>
      </c>
      <c r="Z3815" s="101" t="s">
        <v>171</v>
      </c>
      <c r="AA3815" s="101" t="s">
        <v>50</v>
      </c>
      <c r="AB3815" s="101" t="s">
        <v>172</v>
      </c>
      <c r="AC3815" s="102" t="s">
        <v>173</v>
      </c>
    </row>
    <row r="3816" spans="1:29" ht="25.5" customHeight="1" x14ac:dyDescent="0.35">
      <c r="A3816" s="392"/>
      <c r="B3816" s="393"/>
      <c r="C3816" s="99" t="str">
        <f>IF(B3816="","",IF(NOT(ISNUMBER(B3816)),"DATA_PC invalida",IF(NOT(ISNUMBER(parametros!$C$2)),"Fora dos ciclos",IF(OR(B3816&lt;parametros!$C$2,(YEAR(B3816)-YEAR(parametros!$C$2))*12+MONTH(B3816)-MONTH(parametros!$C$2)&gt;59),"Fora dos ciclos","C"&amp;INT(((YEAR(B3816)-YEAR(parametros!$C$2))*12+MONTH(B3816)-MONTH(parametros!$C$2))/12)))))</f>
        <v/>
      </c>
      <c r="D3816" s="394"/>
      <c r="E3816" s="78" t="str">
        <f>IF(C3816="","",IFERROR(VLOOKUP(C3816,parametros!$A$11:$E$15,5,0),""))</f>
        <v/>
      </c>
      <c r="F3816" s="79" t="str">
        <f t="shared" si="297"/>
        <v/>
      </c>
      <c r="G3816" s="395"/>
      <c r="H3816" s="91">
        <f t="shared" si="298"/>
        <v>0</v>
      </c>
      <c r="I3816" s="91" t="str">
        <f t="shared" si="299"/>
        <v/>
      </c>
      <c r="J3816" s="91" t="str">
        <f t="shared" si="300"/>
        <v/>
      </c>
      <c r="K3816" s="92" t="str">
        <f>IF(AND(A3816="",B3816="",D3816="",G3816=""),"",IF(AND(A3816&lt;&gt;"",COUNTIF($A$2:$A$5001,A3816)&gt;1),"NUMERO_PC duplicado",IF(B3816="","DATA_PC vazia",IF(NOT(ISNUMBER(B3816)),"DATA_PC invalida",IF(OR(C3816="",C3816="Fora dos ciclos"),"CICLO_PC nao identificado",IF(OR(D3816="",D3816=0),"VALOR_PC vazio ou zero",IF(AND(G3816&lt;&gt;"Sim",G3816&lt;&gt;"Nao",G3816&lt;&gt;""),"PC_PAGO_A_CONTRATADA invalido",IF(AND(C3816&lt;&gt;"C0",IFERROR(INDEX(parametros!$A$2:$A$6,MATCH(C3816,parametros!$B$2:$B$6,0)),"")="Sim",IFERROR(INDEX(parametros!$H$2:$H$6,MATCH(C3816,parametros!$B$2:$B$6,0)),"")=""),"INICIO_EFEITO ausente: PC "&amp;A3816&amp;" - "&amp;C3816,IF(L3816="","EFEITO_PC nao calculado: PC "&amp;A3816&amp;" - "&amp;C3816,"OK")))))))))</f>
        <v/>
      </c>
      <c r="L3816" s="92" t="str">
        <f>IF(AND(A3816="",B3816="",D3816="",G3816=""),"",IF(OR(B3816="",NOT(ISNUMBER(B3816)),C3816="",C3816="Fora dos ciclos"),"",IF(C3816="C0","Nao",IF(IFERROR(INDEX(parametros!$A$2:$A$6,MATCH(C3816,parametros!$B$2:$B$6,0)),"")&lt;&gt;"Sim","Nao",IF(IFERROR(INDEX(parametros!$H$2:$H$6,MATCH(C3816,parametros!$B$2:$B$6,0)),"")="","",IF(B3816&gt;=IFERROR(INDEX(parametros!$H$2:$H$6,MATCH(C3816,parametros!$B$2:$B$6,0)),""),"Sim","Nao"))))))</f>
        <v/>
      </c>
      <c r="T3816" s="156"/>
      <c r="U3816" s="214" t="str">
        <f t="shared" si="301"/>
        <v/>
      </c>
      <c r="V3816" s="212" t="s">
        <v>50</v>
      </c>
      <c r="W3816" s="100" t="s">
        <v>168</v>
      </c>
      <c r="X3816" s="100" t="s">
        <v>169</v>
      </c>
      <c r="Y3816" s="101" t="s">
        <v>170</v>
      </c>
      <c r="Z3816" s="101" t="s">
        <v>171</v>
      </c>
      <c r="AA3816" s="101" t="s">
        <v>50</v>
      </c>
      <c r="AB3816" s="101" t="s">
        <v>172</v>
      </c>
      <c r="AC3816" s="102" t="s">
        <v>173</v>
      </c>
    </row>
    <row r="3817" spans="1:29" ht="25.5" customHeight="1" x14ac:dyDescent="0.35">
      <c r="A3817" s="392"/>
      <c r="B3817" s="393"/>
      <c r="C3817" s="99" t="str">
        <f>IF(B3817="","",IF(NOT(ISNUMBER(B3817)),"DATA_PC invalida",IF(NOT(ISNUMBER(parametros!$C$2)),"Fora dos ciclos",IF(OR(B3817&lt;parametros!$C$2,(YEAR(B3817)-YEAR(parametros!$C$2))*12+MONTH(B3817)-MONTH(parametros!$C$2)&gt;59),"Fora dos ciclos","C"&amp;INT(((YEAR(B3817)-YEAR(parametros!$C$2))*12+MONTH(B3817)-MONTH(parametros!$C$2))/12)))))</f>
        <v/>
      </c>
      <c r="D3817" s="394"/>
      <c r="E3817" s="78" t="str">
        <f>IF(C3817="","",IFERROR(VLOOKUP(C3817,parametros!$A$11:$E$15,5,0),""))</f>
        <v/>
      </c>
      <c r="F3817" s="79" t="str">
        <f t="shared" si="297"/>
        <v/>
      </c>
      <c r="G3817" s="395"/>
      <c r="H3817" s="91">
        <f t="shared" si="298"/>
        <v>0</v>
      </c>
      <c r="I3817" s="91" t="str">
        <f t="shared" si="299"/>
        <v/>
      </c>
      <c r="J3817" s="91" t="str">
        <f t="shared" si="300"/>
        <v/>
      </c>
      <c r="K3817" s="92" t="str">
        <f>IF(AND(A3817="",B3817="",D3817="",G3817=""),"",IF(AND(A3817&lt;&gt;"",COUNTIF($A$2:$A$5001,A3817)&gt;1),"NUMERO_PC duplicado",IF(B3817="","DATA_PC vazia",IF(NOT(ISNUMBER(B3817)),"DATA_PC invalida",IF(OR(C3817="",C3817="Fora dos ciclos"),"CICLO_PC nao identificado",IF(OR(D3817="",D3817=0),"VALOR_PC vazio ou zero",IF(AND(G3817&lt;&gt;"Sim",G3817&lt;&gt;"Nao",G3817&lt;&gt;""),"PC_PAGO_A_CONTRATADA invalido",IF(AND(C3817&lt;&gt;"C0",IFERROR(INDEX(parametros!$A$2:$A$6,MATCH(C3817,parametros!$B$2:$B$6,0)),"")="Sim",IFERROR(INDEX(parametros!$H$2:$H$6,MATCH(C3817,parametros!$B$2:$B$6,0)),"")=""),"INICIO_EFEITO ausente: PC "&amp;A3817&amp;" - "&amp;C3817,IF(L3817="","EFEITO_PC nao calculado: PC "&amp;A3817&amp;" - "&amp;C3817,"OK")))))))))</f>
        <v/>
      </c>
      <c r="L3817" s="92" t="str">
        <f>IF(AND(A3817="",B3817="",D3817="",G3817=""),"",IF(OR(B3817="",NOT(ISNUMBER(B3817)),C3817="",C3817="Fora dos ciclos"),"",IF(C3817="C0","Nao",IF(IFERROR(INDEX(parametros!$A$2:$A$6,MATCH(C3817,parametros!$B$2:$B$6,0)),"")&lt;&gt;"Sim","Nao",IF(IFERROR(INDEX(parametros!$H$2:$H$6,MATCH(C3817,parametros!$B$2:$B$6,0)),"")="","",IF(B3817&gt;=IFERROR(INDEX(parametros!$H$2:$H$6,MATCH(C3817,parametros!$B$2:$B$6,0)),""),"Sim","Nao"))))))</f>
        <v/>
      </c>
      <c r="T3817" s="156"/>
      <c r="U3817" s="214" t="str">
        <f t="shared" si="301"/>
        <v/>
      </c>
      <c r="V3817" s="212" t="s">
        <v>50</v>
      </c>
      <c r="W3817" s="100" t="s">
        <v>168</v>
      </c>
      <c r="X3817" s="100" t="s">
        <v>169</v>
      </c>
      <c r="Y3817" s="101" t="s">
        <v>170</v>
      </c>
      <c r="Z3817" s="101" t="s">
        <v>171</v>
      </c>
      <c r="AA3817" s="101" t="s">
        <v>50</v>
      </c>
      <c r="AB3817" s="101" t="s">
        <v>172</v>
      </c>
      <c r="AC3817" s="102" t="s">
        <v>173</v>
      </c>
    </row>
    <row r="3818" spans="1:29" ht="25.5" customHeight="1" x14ac:dyDescent="0.35">
      <c r="A3818" s="392"/>
      <c r="B3818" s="393"/>
      <c r="C3818" s="99" t="str">
        <f>IF(B3818="","",IF(NOT(ISNUMBER(B3818)),"DATA_PC invalida",IF(NOT(ISNUMBER(parametros!$C$2)),"Fora dos ciclos",IF(OR(B3818&lt;parametros!$C$2,(YEAR(B3818)-YEAR(parametros!$C$2))*12+MONTH(B3818)-MONTH(parametros!$C$2)&gt;59),"Fora dos ciclos","C"&amp;INT(((YEAR(B3818)-YEAR(parametros!$C$2))*12+MONTH(B3818)-MONTH(parametros!$C$2))/12)))))</f>
        <v/>
      </c>
      <c r="D3818" s="394"/>
      <c r="E3818" s="78" t="str">
        <f>IF(C3818="","",IFERROR(VLOOKUP(C3818,parametros!$A$11:$E$15,5,0),""))</f>
        <v/>
      </c>
      <c r="F3818" s="79" t="str">
        <f t="shared" si="297"/>
        <v/>
      </c>
      <c r="G3818" s="395"/>
      <c r="H3818" s="91">
        <f t="shared" si="298"/>
        <v>0</v>
      </c>
      <c r="I3818" s="91" t="str">
        <f t="shared" si="299"/>
        <v/>
      </c>
      <c r="J3818" s="91" t="str">
        <f t="shared" si="300"/>
        <v/>
      </c>
      <c r="K3818" s="92" t="str">
        <f>IF(AND(A3818="",B3818="",D3818="",G3818=""),"",IF(AND(A3818&lt;&gt;"",COUNTIF($A$2:$A$5001,A3818)&gt;1),"NUMERO_PC duplicado",IF(B3818="","DATA_PC vazia",IF(NOT(ISNUMBER(B3818)),"DATA_PC invalida",IF(OR(C3818="",C3818="Fora dos ciclos"),"CICLO_PC nao identificado",IF(OR(D3818="",D3818=0),"VALOR_PC vazio ou zero",IF(AND(G3818&lt;&gt;"Sim",G3818&lt;&gt;"Nao",G3818&lt;&gt;""),"PC_PAGO_A_CONTRATADA invalido",IF(AND(C3818&lt;&gt;"C0",IFERROR(INDEX(parametros!$A$2:$A$6,MATCH(C3818,parametros!$B$2:$B$6,0)),"")="Sim",IFERROR(INDEX(parametros!$H$2:$H$6,MATCH(C3818,parametros!$B$2:$B$6,0)),"")=""),"INICIO_EFEITO ausente: PC "&amp;A3818&amp;" - "&amp;C3818,IF(L3818="","EFEITO_PC nao calculado: PC "&amp;A3818&amp;" - "&amp;C3818,"OK")))))))))</f>
        <v/>
      </c>
      <c r="L3818" s="92" t="str">
        <f>IF(AND(A3818="",B3818="",D3818="",G3818=""),"",IF(OR(B3818="",NOT(ISNUMBER(B3818)),C3818="",C3818="Fora dos ciclos"),"",IF(C3818="C0","Nao",IF(IFERROR(INDEX(parametros!$A$2:$A$6,MATCH(C3818,parametros!$B$2:$B$6,0)),"")&lt;&gt;"Sim","Nao",IF(IFERROR(INDEX(parametros!$H$2:$H$6,MATCH(C3818,parametros!$B$2:$B$6,0)),"")="","",IF(B3818&gt;=IFERROR(INDEX(parametros!$H$2:$H$6,MATCH(C3818,parametros!$B$2:$B$6,0)),""),"Sim","Nao"))))))</f>
        <v/>
      </c>
      <c r="T3818" s="156"/>
      <c r="U3818" s="214" t="str">
        <f t="shared" si="301"/>
        <v/>
      </c>
      <c r="V3818" s="212" t="s">
        <v>50</v>
      </c>
      <c r="W3818" s="100" t="s">
        <v>168</v>
      </c>
      <c r="X3818" s="100" t="s">
        <v>169</v>
      </c>
      <c r="Y3818" s="101" t="s">
        <v>170</v>
      </c>
      <c r="Z3818" s="101" t="s">
        <v>171</v>
      </c>
      <c r="AA3818" s="101" t="s">
        <v>50</v>
      </c>
      <c r="AB3818" s="101" t="s">
        <v>172</v>
      </c>
      <c r="AC3818" s="102" t="s">
        <v>173</v>
      </c>
    </row>
    <row r="3819" spans="1:29" ht="25.5" customHeight="1" x14ac:dyDescent="0.35">
      <c r="A3819" s="392"/>
      <c r="B3819" s="393"/>
      <c r="C3819" s="99" t="str">
        <f>IF(B3819="","",IF(NOT(ISNUMBER(B3819)),"DATA_PC invalida",IF(NOT(ISNUMBER(parametros!$C$2)),"Fora dos ciclos",IF(OR(B3819&lt;parametros!$C$2,(YEAR(B3819)-YEAR(parametros!$C$2))*12+MONTH(B3819)-MONTH(parametros!$C$2)&gt;59),"Fora dos ciclos","C"&amp;INT(((YEAR(B3819)-YEAR(parametros!$C$2))*12+MONTH(B3819)-MONTH(parametros!$C$2))/12)))))</f>
        <v/>
      </c>
      <c r="D3819" s="394"/>
      <c r="E3819" s="78" t="str">
        <f>IF(C3819="","",IFERROR(VLOOKUP(C3819,parametros!$A$11:$E$15,5,0),""))</f>
        <v/>
      </c>
      <c r="F3819" s="79" t="str">
        <f t="shared" si="297"/>
        <v/>
      </c>
      <c r="G3819" s="395"/>
      <c r="H3819" s="91">
        <f t="shared" si="298"/>
        <v>0</v>
      </c>
      <c r="I3819" s="91" t="str">
        <f t="shared" si="299"/>
        <v/>
      </c>
      <c r="J3819" s="91" t="str">
        <f t="shared" si="300"/>
        <v/>
      </c>
      <c r="K3819" s="92" t="str">
        <f>IF(AND(A3819="",B3819="",D3819="",G3819=""),"",IF(AND(A3819&lt;&gt;"",COUNTIF($A$2:$A$5001,A3819)&gt;1),"NUMERO_PC duplicado",IF(B3819="","DATA_PC vazia",IF(NOT(ISNUMBER(B3819)),"DATA_PC invalida",IF(OR(C3819="",C3819="Fora dos ciclos"),"CICLO_PC nao identificado",IF(OR(D3819="",D3819=0),"VALOR_PC vazio ou zero",IF(AND(G3819&lt;&gt;"Sim",G3819&lt;&gt;"Nao",G3819&lt;&gt;""),"PC_PAGO_A_CONTRATADA invalido",IF(AND(C3819&lt;&gt;"C0",IFERROR(INDEX(parametros!$A$2:$A$6,MATCH(C3819,parametros!$B$2:$B$6,0)),"")="Sim",IFERROR(INDEX(parametros!$H$2:$H$6,MATCH(C3819,parametros!$B$2:$B$6,0)),"")=""),"INICIO_EFEITO ausente: PC "&amp;A3819&amp;" - "&amp;C3819,IF(L3819="","EFEITO_PC nao calculado: PC "&amp;A3819&amp;" - "&amp;C3819,"OK")))))))))</f>
        <v/>
      </c>
      <c r="L3819" s="92" t="str">
        <f>IF(AND(A3819="",B3819="",D3819="",G3819=""),"",IF(OR(B3819="",NOT(ISNUMBER(B3819)),C3819="",C3819="Fora dos ciclos"),"",IF(C3819="C0","Nao",IF(IFERROR(INDEX(parametros!$A$2:$A$6,MATCH(C3819,parametros!$B$2:$B$6,0)),"")&lt;&gt;"Sim","Nao",IF(IFERROR(INDEX(parametros!$H$2:$H$6,MATCH(C3819,parametros!$B$2:$B$6,0)),"")="","",IF(B3819&gt;=IFERROR(INDEX(parametros!$H$2:$H$6,MATCH(C3819,parametros!$B$2:$B$6,0)),""),"Sim","Nao"))))))</f>
        <v/>
      </c>
      <c r="T3819" s="156"/>
      <c r="U3819" s="214" t="str">
        <f t="shared" si="301"/>
        <v/>
      </c>
      <c r="V3819" s="212" t="s">
        <v>50</v>
      </c>
      <c r="W3819" s="100" t="s">
        <v>168</v>
      </c>
      <c r="X3819" s="100" t="s">
        <v>169</v>
      </c>
      <c r="Y3819" s="101" t="s">
        <v>170</v>
      </c>
      <c r="Z3819" s="101" t="s">
        <v>171</v>
      </c>
      <c r="AA3819" s="101" t="s">
        <v>50</v>
      </c>
      <c r="AB3819" s="101" t="s">
        <v>172</v>
      </c>
      <c r="AC3819" s="102" t="s">
        <v>173</v>
      </c>
    </row>
    <row r="3820" spans="1:29" ht="25.5" customHeight="1" x14ac:dyDescent="0.35">
      <c r="A3820" s="392"/>
      <c r="B3820" s="393"/>
      <c r="C3820" s="99" t="str">
        <f>IF(B3820="","",IF(NOT(ISNUMBER(B3820)),"DATA_PC invalida",IF(NOT(ISNUMBER(parametros!$C$2)),"Fora dos ciclos",IF(OR(B3820&lt;parametros!$C$2,(YEAR(B3820)-YEAR(parametros!$C$2))*12+MONTH(B3820)-MONTH(parametros!$C$2)&gt;59),"Fora dos ciclos","C"&amp;INT(((YEAR(B3820)-YEAR(parametros!$C$2))*12+MONTH(B3820)-MONTH(parametros!$C$2))/12)))))</f>
        <v/>
      </c>
      <c r="D3820" s="394"/>
      <c r="E3820" s="78" t="str">
        <f>IF(C3820="","",IFERROR(VLOOKUP(C3820,parametros!$A$11:$E$15,5,0),""))</f>
        <v/>
      </c>
      <c r="F3820" s="79" t="str">
        <f t="shared" si="297"/>
        <v/>
      </c>
      <c r="G3820" s="395"/>
      <c r="H3820" s="91">
        <f t="shared" si="298"/>
        <v>0</v>
      </c>
      <c r="I3820" s="91" t="str">
        <f t="shared" si="299"/>
        <v/>
      </c>
      <c r="J3820" s="91" t="str">
        <f t="shared" si="300"/>
        <v/>
      </c>
      <c r="K3820" s="92" t="str">
        <f>IF(AND(A3820="",B3820="",D3820="",G3820=""),"",IF(AND(A3820&lt;&gt;"",COUNTIF($A$2:$A$5001,A3820)&gt;1),"NUMERO_PC duplicado",IF(B3820="","DATA_PC vazia",IF(NOT(ISNUMBER(B3820)),"DATA_PC invalida",IF(OR(C3820="",C3820="Fora dos ciclos"),"CICLO_PC nao identificado",IF(OR(D3820="",D3820=0),"VALOR_PC vazio ou zero",IF(AND(G3820&lt;&gt;"Sim",G3820&lt;&gt;"Nao",G3820&lt;&gt;""),"PC_PAGO_A_CONTRATADA invalido",IF(AND(C3820&lt;&gt;"C0",IFERROR(INDEX(parametros!$A$2:$A$6,MATCH(C3820,parametros!$B$2:$B$6,0)),"")="Sim",IFERROR(INDEX(parametros!$H$2:$H$6,MATCH(C3820,parametros!$B$2:$B$6,0)),"")=""),"INICIO_EFEITO ausente: PC "&amp;A3820&amp;" - "&amp;C3820,IF(L3820="","EFEITO_PC nao calculado: PC "&amp;A3820&amp;" - "&amp;C3820,"OK")))))))))</f>
        <v/>
      </c>
      <c r="L3820" s="92" t="str">
        <f>IF(AND(A3820="",B3820="",D3820="",G3820=""),"",IF(OR(B3820="",NOT(ISNUMBER(B3820)),C3820="",C3820="Fora dos ciclos"),"",IF(C3820="C0","Nao",IF(IFERROR(INDEX(parametros!$A$2:$A$6,MATCH(C3820,parametros!$B$2:$B$6,0)),"")&lt;&gt;"Sim","Nao",IF(IFERROR(INDEX(parametros!$H$2:$H$6,MATCH(C3820,parametros!$B$2:$B$6,0)),"")="","",IF(B3820&gt;=IFERROR(INDEX(parametros!$H$2:$H$6,MATCH(C3820,parametros!$B$2:$B$6,0)),""),"Sim","Nao"))))))</f>
        <v/>
      </c>
      <c r="T3820" s="156"/>
      <c r="U3820" s="214" t="str">
        <f t="shared" si="301"/>
        <v/>
      </c>
      <c r="V3820" s="212" t="s">
        <v>50</v>
      </c>
      <c r="W3820" s="100" t="s">
        <v>168</v>
      </c>
      <c r="X3820" s="100" t="s">
        <v>169</v>
      </c>
      <c r="Y3820" s="101" t="s">
        <v>170</v>
      </c>
      <c r="Z3820" s="101" t="s">
        <v>171</v>
      </c>
      <c r="AA3820" s="101" t="s">
        <v>50</v>
      </c>
      <c r="AB3820" s="101" t="s">
        <v>172</v>
      </c>
      <c r="AC3820" s="102" t="s">
        <v>173</v>
      </c>
    </row>
    <row r="3821" spans="1:29" ht="25.5" customHeight="1" x14ac:dyDescent="0.35">
      <c r="A3821" s="392"/>
      <c r="B3821" s="393"/>
      <c r="C3821" s="99" t="str">
        <f>IF(B3821="","",IF(NOT(ISNUMBER(B3821)),"DATA_PC invalida",IF(NOT(ISNUMBER(parametros!$C$2)),"Fora dos ciclos",IF(OR(B3821&lt;parametros!$C$2,(YEAR(B3821)-YEAR(parametros!$C$2))*12+MONTH(B3821)-MONTH(parametros!$C$2)&gt;59),"Fora dos ciclos","C"&amp;INT(((YEAR(B3821)-YEAR(parametros!$C$2))*12+MONTH(B3821)-MONTH(parametros!$C$2))/12)))))</f>
        <v/>
      </c>
      <c r="D3821" s="394"/>
      <c r="E3821" s="78" t="str">
        <f>IF(C3821="","",IFERROR(VLOOKUP(C3821,parametros!$A$11:$E$15,5,0),""))</f>
        <v/>
      </c>
      <c r="F3821" s="79" t="str">
        <f t="shared" si="297"/>
        <v/>
      </c>
      <c r="G3821" s="395"/>
      <c r="H3821" s="91">
        <f t="shared" si="298"/>
        <v>0</v>
      </c>
      <c r="I3821" s="91" t="str">
        <f t="shared" si="299"/>
        <v/>
      </c>
      <c r="J3821" s="91" t="str">
        <f t="shared" si="300"/>
        <v/>
      </c>
      <c r="K3821" s="92" t="str">
        <f>IF(AND(A3821="",B3821="",D3821="",G3821=""),"",IF(AND(A3821&lt;&gt;"",COUNTIF($A$2:$A$5001,A3821)&gt;1),"NUMERO_PC duplicado",IF(B3821="","DATA_PC vazia",IF(NOT(ISNUMBER(B3821)),"DATA_PC invalida",IF(OR(C3821="",C3821="Fora dos ciclos"),"CICLO_PC nao identificado",IF(OR(D3821="",D3821=0),"VALOR_PC vazio ou zero",IF(AND(G3821&lt;&gt;"Sim",G3821&lt;&gt;"Nao",G3821&lt;&gt;""),"PC_PAGO_A_CONTRATADA invalido",IF(AND(C3821&lt;&gt;"C0",IFERROR(INDEX(parametros!$A$2:$A$6,MATCH(C3821,parametros!$B$2:$B$6,0)),"")="Sim",IFERROR(INDEX(parametros!$H$2:$H$6,MATCH(C3821,parametros!$B$2:$B$6,0)),"")=""),"INICIO_EFEITO ausente: PC "&amp;A3821&amp;" - "&amp;C3821,IF(L3821="","EFEITO_PC nao calculado: PC "&amp;A3821&amp;" - "&amp;C3821,"OK")))))))))</f>
        <v/>
      </c>
      <c r="L3821" s="92" t="str">
        <f>IF(AND(A3821="",B3821="",D3821="",G3821=""),"",IF(OR(B3821="",NOT(ISNUMBER(B3821)),C3821="",C3821="Fora dos ciclos"),"",IF(C3821="C0","Nao",IF(IFERROR(INDEX(parametros!$A$2:$A$6,MATCH(C3821,parametros!$B$2:$B$6,0)),"")&lt;&gt;"Sim","Nao",IF(IFERROR(INDEX(parametros!$H$2:$H$6,MATCH(C3821,parametros!$B$2:$B$6,0)),"")="","",IF(B3821&gt;=IFERROR(INDEX(parametros!$H$2:$H$6,MATCH(C3821,parametros!$B$2:$B$6,0)),""),"Sim","Nao"))))))</f>
        <v/>
      </c>
      <c r="T3821" s="156"/>
      <c r="U3821" s="214" t="str">
        <f t="shared" si="301"/>
        <v/>
      </c>
      <c r="V3821" s="212" t="s">
        <v>50</v>
      </c>
      <c r="W3821" s="100" t="s">
        <v>168</v>
      </c>
      <c r="X3821" s="100" t="s">
        <v>169</v>
      </c>
      <c r="Y3821" s="101" t="s">
        <v>170</v>
      </c>
      <c r="Z3821" s="101" t="s">
        <v>171</v>
      </c>
      <c r="AA3821" s="101" t="s">
        <v>50</v>
      </c>
      <c r="AB3821" s="101" t="s">
        <v>172</v>
      </c>
      <c r="AC3821" s="102" t="s">
        <v>173</v>
      </c>
    </row>
    <row r="3822" spans="1:29" ht="25.5" customHeight="1" x14ac:dyDescent="0.35">
      <c r="A3822" s="392"/>
      <c r="B3822" s="393"/>
      <c r="C3822" s="99" t="str">
        <f>IF(B3822="","",IF(NOT(ISNUMBER(B3822)),"DATA_PC invalida",IF(NOT(ISNUMBER(parametros!$C$2)),"Fora dos ciclos",IF(OR(B3822&lt;parametros!$C$2,(YEAR(B3822)-YEAR(parametros!$C$2))*12+MONTH(B3822)-MONTH(parametros!$C$2)&gt;59),"Fora dos ciclos","C"&amp;INT(((YEAR(B3822)-YEAR(parametros!$C$2))*12+MONTH(B3822)-MONTH(parametros!$C$2))/12)))))</f>
        <v/>
      </c>
      <c r="D3822" s="394"/>
      <c r="E3822" s="78" t="str">
        <f>IF(C3822="","",IFERROR(VLOOKUP(C3822,parametros!$A$11:$E$15,5,0),""))</f>
        <v/>
      </c>
      <c r="F3822" s="79" t="str">
        <f t="shared" si="297"/>
        <v/>
      </c>
      <c r="G3822" s="395"/>
      <c r="H3822" s="91">
        <f t="shared" si="298"/>
        <v>0</v>
      </c>
      <c r="I3822" s="91" t="str">
        <f t="shared" si="299"/>
        <v/>
      </c>
      <c r="J3822" s="91" t="str">
        <f t="shared" si="300"/>
        <v/>
      </c>
      <c r="K3822" s="92" t="str">
        <f>IF(AND(A3822="",B3822="",D3822="",G3822=""),"",IF(AND(A3822&lt;&gt;"",COUNTIF($A$2:$A$5001,A3822)&gt;1),"NUMERO_PC duplicado",IF(B3822="","DATA_PC vazia",IF(NOT(ISNUMBER(B3822)),"DATA_PC invalida",IF(OR(C3822="",C3822="Fora dos ciclos"),"CICLO_PC nao identificado",IF(OR(D3822="",D3822=0),"VALOR_PC vazio ou zero",IF(AND(G3822&lt;&gt;"Sim",G3822&lt;&gt;"Nao",G3822&lt;&gt;""),"PC_PAGO_A_CONTRATADA invalido",IF(AND(C3822&lt;&gt;"C0",IFERROR(INDEX(parametros!$A$2:$A$6,MATCH(C3822,parametros!$B$2:$B$6,0)),"")="Sim",IFERROR(INDEX(parametros!$H$2:$H$6,MATCH(C3822,parametros!$B$2:$B$6,0)),"")=""),"INICIO_EFEITO ausente: PC "&amp;A3822&amp;" - "&amp;C3822,IF(L3822="","EFEITO_PC nao calculado: PC "&amp;A3822&amp;" - "&amp;C3822,"OK")))))))))</f>
        <v/>
      </c>
      <c r="L3822" s="92" t="str">
        <f>IF(AND(A3822="",B3822="",D3822="",G3822=""),"",IF(OR(B3822="",NOT(ISNUMBER(B3822)),C3822="",C3822="Fora dos ciclos"),"",IF(C3822="C0","Nao",IF(IFERROR(INDEX(parametros!$A$2:$A$6,MATCH(C3822,parametros!$B$2:$B$6,0)),"")&lt;&gt;"Sim","Nao",IF(IFERROR(INDEX(parametros!$H$2:$H$6,MATCH(C3822,parametros!$B$2:$B$6,0)),"")="","",IF(B3822&gt;=IFERROR(INDEX(parametros!$H$2:$H$6,MATCH(C3822,parametros!$B$2:$B$6,0)),""),"Sim","Nao"))))))</f>
        <v/>
      </c>
      <c r="T3822" s="156"/>
      <c r="U3822" s="214" t="str">
        <f t="shared" si="301"/>
        <v/>
      </c>
      <c r="V3822" s="212" t="s">
        <v>50</v>
      </c>
      <c r="W3822" s="100" t="s">
        <v>168</v>
      </c>
      <c r="X3822" s="100" t="s">
        <v>169</v>
      </c>
      <c r="Y3822" s="101" t="s">
        <v>170</v>
      </c>
      <c r="Z3822" s="101" t="s">
        <v>171</v>
      </c>
      <c r="AA3822" s="101" t="s">
        <v>50</v>
      </c>
      <c r="AB3822" s="101" t="s">
        <v>172</v>
      </c>
      <c r="AC3822" s="102" t="s">
        <v>173</v>
      </c>
    </row>
    <row r="3823" spans="1:29" ht="25.5" customHeight="1" x14ac:dyDescent="0.35">
      <c r="A3823" s="392"/>
      <c r="B3823" s="393"/>
      <c r="C3823" s="99" t="str">
        <f>IF(B3823="","",IF(NOT(ISNUMBER(B3823)),"DATA_PC invalida",IF(NOT(ISNUMBER(parametros!$C$2)),"Fora dos ciclos",IF(OR(B3823&lt;parametros!$C$2,(YEAR(B3823)-YEAR(parametros!$C$2))*12+MONTH(B3823)-MONTH(parametros!$C$2)&gt;59),"Fora dos ciclos","C"&amp;INT(((YEAR(B3823)-YEAR(parametros!$C$2))*12+MONTH(B3823)-MONTH(parametros!$C$2))/12)))))</f>
        <v/>
      </c>
      <c r="D3823" s="394"/>
      <c r="E3823" s="78" t="str">
        <f>IF(C3823="","",IFERROR(VLOOKUP(C3823,parametros!$A$11:$E$15,5,0),""))</f>
        <v/>
      </c>
      <c r="F3823" s="79" t="str">
        <f t="shared" si="297"/>
        <v/>
      </c>
      <c r="G3823" s="395"/>
      <c r="H3823" s="91">
        <f t="shared" si="298"/>
        <v>0</v>
      </c>
      <c r="I3823" s="91" t="str">
        <f t="shared" si="299"/>
        <v/>
      </c>
      <c r="J3823" s="91" t="str">
        <f t="shared" si="300"/>
        <v/>
      </c>
      <c r="K3823" s="92" t="str">
        <f>IF(AND(A3823="",B3823="",D3823="",G3823=""),"",IF(AND(A3823&lt;&gt;"",COUNTIF($A$2:$A$5001,A3823)&gt;1),"NUMERO_PC duplicado",IF(B3823="","DATA_PC vazia",IF(NOT(ISNUMBER(B3823)),"DATA_PC invalida",IF(OR(C3823="",C3823="Fora dos ciclos"),"CICLO_PC nao identificado",IF(OR(D3823="",D3823=0),"VALOR_PC vazio ou zero",IF(AND(G3823&lt;&gt;"Sim",G3823&lt;&gt;"Nao",G3823&lt;&gt;""),"PC_PAGO_A_CONTRATADA invalido",IF(AND(C3823&lt;&gt;"C0",IFERROR(INDEX(parametros!$A$2:$A$6,MATCH(C3823,parametros!$B$2:$B$6,0)),"")="Sim",IFERROR(INDEX(parametros!$H$2:$H$6,MATCH(C3823,parametros!$B$2:$B$6,0)),"")=""),"INICIO_EFEITO ausente: PC "&amp;A3823&amp;" - "&amp;C3823,IF(L3823="","EFEITO_PC nao calculado: PC "&amp;A3823&amp;" - "&amp;C3823,"OK")))))))))</f>
        <v/>
      </c>
      <c r="L3823" s="92" t="str">
        <f>IF(AND(A3823="",B3823="",D3823="",G3823=""),"",IF(OR(B3823="",NOT(ISNUMBER(B3823)),C3823="",C3823="Fora dos ciclos"),"",IF(C3823="C0","Nao",IF(IFERROR(INDEX(parametros!$A$2:$A$6,MATCH(C3823,parametros!$B$2:$B$6,0)),"")&lt;&gt;"Sim","Nao",IF(IFERROR(INDEX(parametros!$H$2:$H$6,MATCH(C3823,parametros!$B$2:$B$6,0)),"")="","",IF(B3823&gt;=IFERROR(INDEX(parametros!$H$2:$H$6,MATCH(C3823,parametros!$B$2:$B$6,0)),""),"Sim","Nao"))))))</f>
        <v/>
      </c>
      <c r="T3823" s="156"/>
      <c r="U3823" s="214" t="str">
        <f t="shared" si="301"/>
        <v/>
      </c>
      <c r="V3823" s="212" t="s">
        <v>50</v>
      </c>
      <c r="W3823" s="100" t="s">
        <v>168</v>
      </c>
      <c r="X3823" s="100" t="s">
        <v>169</v>
      </c>
      <c r="Y3823" s="101" t="s">
        <v>170</v>
      </c>
      <c r="Z3823" s="101" t="s">
        <v>171</v>
      </c>
      <c r="AA3823" s="101" t="s">
        <v>50</v>
      </c>
      <c r="AB3823" s="101" t="s">
        <v>172</v>
      </c>
      <c r="AC3823" s="102" t="s">
        <v>173</v>
      </c>
    </row>
    <row r="3824" spans="1:29" ht="25.5" customHeight="1" x14ac:dyDescent="0.35">
      <c r="A3824" s="392"/>
      <c r="B3824" s="393"/>
      <c r="C3824" s="99" t="str">
        <f>IF(B3824="","",IF(NOT(ISNUMBER(B3824)),"DATA_PC invalida",IF(NOT(ISNUMBER(parametros!$C$2)),"Fora dos ciclos",IF(OR(B3824&lt;parametros!$C$2,(YEAR(B3824)-YEAR(parametros!$C$2))*12+MONTH(B3824)-MONTH(parametros!$C$2)&gt;59),"Fora dos ciclos","C"&amp;INT(((YEAR(B3824)-YEAR(parametros!$C$2))*12+MONTH(B3824)-MONTH(parametros!$C$2))/12)))))</f>
        <v/>
      </c>
      <c r="D3824" s="394"/>
      <c r="E3824" s="78" t="str">
        <f>IF(C3824="","",IFERROR(VLOOKUP(C3824,parametros!$A$11:$E$15,5,0),""))</f>
        <v/>
      </c>
      <c r="F3824" s="79" t="str">
        <f t="shared" si="297"/>
        <v/>
      </c>
      <c r="G3824" s="395"/>
      <c r="H3824" s="91">
        <f t="shared" si="298"/>
        <v>0</v>
      </c>
      <c r="I3824" s="91" t="str">
        <f t="shared" si="299"/>
        <v/>
      </c>
      <c r="J3824" s="91" t="str">
        <f t="shared" si="300"/>
        <v/>
      </c>
      <c r="K3824" s="92" t="str">
        <f>IF(AND(A3824="",B3824="",D3824="",G3824=""),"",IF(AND(A3824&lt;&gt;"",COUNTIF($A$2:$A$5001,A3824)&gt;1),"NUMERO_PC duplicado",IF(B3824="","DATA_PC vazia",IF(NOT(ISNUMBER(B3824)),"DATA_PC invalida",IF(OR(C3824="",C3824="Fora dos ciclos"),"CICLO_PC nao identificado",IF(OR(D3824="",D3824=0),"VALOR_PC vazio ou zero",IF(AND(G3824&lt;&gt;"Sim",G3824&lt;&gt;"Nao",G3824&lt;&gt;""),"PC_PAGO_A_CONTRATADA invalido",IF(AND(C3824&lt;&gt;"C0",IFERROR(INDEX(parametros!$A$2:$A$6,MATCH(C3824,parametros!$B$2:$B$6,0)),"")="Sim",IFERROR(INDEX(parametros!$H$2:$H$6,MATCH(C3824,parametros!$B$2:$B$6,0)),"")=""),"INICIO_EFEITO ausente: PC "&amp;A3824&amp;" - "&amp;C3824,IF(L3824="","EFEITO_PC nao calculado: PC "&amp;A3824&amp;" - "&amp;C3824,"OK")))))))))</f>
        <v/>
      </c>
      <c r="L3824" s="92" t="str">
        <f>IF(AND(A3824="",B3824="",D3824="",G3824=""),"",IF(OR(B3824="",NOT(ISNUMBER(B3824)),C3824="",C3824="Fora dos ciclos"),"",IF(C3824="C0","Nao",IF(IFERROR(INDEX(parametros!$A$2:$A$6,MATCH(C3824,parametros!$B$2:$B$6,0)),"")&lt;&gt;"Sim","Nao",IF(IFERROR(INDEX(parametros!$H$2:$H$6,MATCH(C3824,parametros!$B$2:$B$6,0)),"")="","",IF(B3824&gt;=IFERROR(INDEX(parametros!$H$2:$H$6,MATCH(C3824,parametros!$B$2:$B$6,0)),""),"Sim","Nao"))))))</f>
        <v/>
      </c>
      <c r="T3824" s="156"/>
      <c r="U3824" s="214" t="str">
        <f t="shared" si="301"/>
        <v/>
      </c>
      <c r="V3824" s="212" t="s">
        <v>50</v>
      </c>
      <c r="W3824" s="100" t="s">
        <v>168</v>
      </c>
      <c r="X3824" s="100" t="s">
        <v>169</v>
      </c>
      <c r="Y3824" s="101" t="s">
        <v>170</v>
      </c>
      <c r="Z3824" s="101" t="s">
        <v>171</v>
      </c>
      <c r="AA3824" s="101" t="s">
        <v>50</v>
      </c>
      <c r="AB3824" s="101" t="s">
        <v>172</v>
      </c>
      <c r="AC3824" s="102" t="s">
        <v>173</v>
      </c>
    </row>
    <row r="3825" spans="1:29" ht="25.5" customHeight="1" x14ac:dyDescent="0.35">
      <c r="A3825" s="392"/>
      <c r="B3825" s="393"/>
      <c r="C3825" s="99" t="str">
        <f>IF(B3825="","",IF(NOT(ISNUMBER(B3825)),"DATA_PC invalida",IF(NOT(ISNUMBER(parametros!$C$2)),"Fora dos ciclos",IF(OR(B3825&lt;parametros!$C$2,(YEAR(B3825)-YEAR(parametros!$C$2))*12+MONTH(B3825)-MONTH(parametros!$C$2)&gt;59),"Fora dos ciclos","C"&amp;INT(((YEAR(B3825)-YEAR(parametros!$C$2))*12+MONTH(B3825)-MONTH(parametros!$C$2))/12)))))</f>
        <v/>
      </c>
      <c r="D3825" s="394"/>
      <c r="E3825" s="78" t="str">
        <f>IF(C3825="","",IFERROR(VLOOKUP(C3825,parametros!$A$11:$E$15,5,0),""))</f>
        <v/>
      </c>
      <c r="F3825" s="79" t="str">
        <f t="shared" si="297"/>
        <v/>
      </c>
      <c r="G3825" s="395"/>
      <c r="H3825" s="91">
        <f t="shared" si="298"/>
        <v>0</v>
      </c>
      <c r="I3825" s="91" t="str">
        <f t="shared" si="299"/>
        <v/>
      </c>
      <c r="J3825" s="91" t="str">
        <f t="shared" si="300"/>
        <v/>
      </c>
      <c r="K3825" s="92" t="str">
        <f>IF(AND(A3825="",B3825="",D3825="",G3825=""),"",IF(AND(A3825&lt;&gt;"",COUNTIF($A$2:$A$5001,A3825)&gt;1),"NUMERO_PC duplicado",IF(B3825="","DATA_PC vazia",IF(NOT(ISNUMBER(B3825)),"DATA_PC invalida",IF(OR(C3825="",C3825="Fora dos ciclos"),"CICLO_PC nao identificado",IF(OR(D3825="",D3825=0),"VALOR_PC vazio ou zero",IF(AND(G3825&lt;&gt;"Sim",G3825&lt;&gt;"Nao",G3825&lt;&gt;""),"PC_PAGO_A_CONTRATADA invalido",IF(AND(C3825&lt;&gt;"C0",IFERROR(INDEX(parametros!$A$2:$A$6,MATCH(C3825,parametros!$B$2:$B$6,0)),"")="Sim",IFERROR(INDEX(parametros!$H$2:$H$6,MATCH(C3825,parametros!$B$2:$B$6,0)),"")=""),"INICIO_EFEITO ausente: PC "&amp;A3825&amp;" - "&amp;C3825,IF(L3825="","EFEITO_PC nao calculado: PC "&amp;A3825&amp;" - "&amp;C3825,"OK")))))))))</f>
        <v/>
      </c>
      <c r="L3825" s="92" t="str">
        <f>IF(AND(A3825="",B3825="",D3825="",G3825=""),"",IF(OR(B3825="",NOT(ISNUMBER(B3825)),C3825="",C3825="Fora dos ciclos"),"",IF(C3825="C0","Nao",IF(IFERROR(INDEX(parametros!$A$2:$A$6,MATCH(C3825,parametros!$B$2:$B$6,0)),"")&lt;&gt;"Sim","Nao",IF(IFERROR(INDEX(parametros!$H$2:$H$6,MATCH(C3825,parametros!$B$2:$B$6,0)),"")="","",IF(B3825&gt;=IFERROR(INDEX(parametros!$H$2:$H$6,MATCH(C3825,parametros!$B$2:$B$6,0)),""),"Sim","Nao"))))))</f>
        <v/>
      </c>
      <c r="T3825" s="156"/>
      <c r="U3825" s="214" t="str">
        <f t="shared" si="301"/>
        <v/>
      </c>
      <c r="V3825" s="212" t="s">
        <v>50</v>
      </c>
      <c r="W3825" s="100" t="s">
        <v>168</v>
      </c>
      <c r="X3825" s="100" t="s">
        <v>169</v>
      </c>
      <c r="Y3825" s="101" t="s">
        <v>170</v>
      </c>
      <c r="Z3825" s="101" t="s">
        <v>171</v>
      </c>
      <c r="AA3825" s="101" t="s">
        <v>50</v>
      </c>
      <c r="AB3825" s="101" t="s">
        <v>172</v>
      </c>
      <c r="AC3825" s="102" t="s">
        <v>173</v>
      </c>
    </row>
    <row r="3826" spans="1:29" ht="25.5" customHeight="1" x14ac:dyDescent="0.35">
      <c r="A3826" s="392"/>
      <c r="B3826" s="393"/>
      <c r="C3826" s="99" t="str">
        <f>IF(B3826="","",IF(NOT(ISNUMBER(B3826)),"DATA_PC invalida",IF(NOT(ISNUMBER(parametros!$C$2)),"Fora dos ciclos",IF(OR(B3826&lt;parametros!$C$2,(YEAR(B3826)-YEAR(parametros!$C$2))*12+MONTH(B3826)-MONTH(parametros!$C$2)&gt;59),"Fora dos ciclos","C"&amp;INT(((YEAR(B3826)-YEAR(parametros!$C$2))*12+MONTH(B3826)-MONTH(parametros!$C$2))/12)))))</f>
        <v/>
      </c>
      <c r="D3826" s="394"/>
      <c r="E3826" s="78" t="str">
        <f>IF(C3826="","",IFERROR(VLOOKUP(C3826,parametros!$A$11:$E$15,5,0),""))</f>
        <v/>
      </c>
      <c r="F3826" s="79" t="str">
        <f t="shared" si="297"/>
        <v/>
      </c>
      <c r="G3826" s="395"/>
      <c r="H3826" s="91">
        <f t="shared" si="298"/>
        <v>0</v>
      </c>
      <c r="I3826" s="91" t="str">
        <f t="shared" si="299"/>
        <v/>
      </c>
      <c r="J3826" s="91" t="str">
        <f t="shared" si="300"/>
        <v/>
      </c>
      <c r="K3826" s="92" t="str">
        <f>IF(AND(A3826="",B3826="",D3826="",G3826=""),"",IF(AND(A3826&lt;&gt;"",COUNTIF($A$2:$A$5001,A3826)&gt;1),"NUMERO_PC duplicado",IF(B3826="","DATA_PC vazia",IF(NOT(ISNUMBER(B3826)),"DATA_PC invalida",IF(OR(C3826="",C3826="Fora dos ciclos"),"CICLO_PC nao identificado",IF(OR(D3826="",D3826=0),"VALOR_PC vazio ou zero",IF(AND(G3826&lt;&gt;"Sim",G3826&lt;&gt;"Nao",G3826&lt;&gt;""),"PC_PAGO_A_CONTRATADA invalido",IF(AND(C3826&lt;&gt;"C0",IFERROR(INDEX(parametros!$A$2:$A$6,MATCH(C3826,parametros!$B$2:$B$6,0)),"")="Sim",IFERROR(INDEX(parametros!$H$2:$H$6,MATCH(C3826,parametros!$B$2:$B$6,0)),"")=""),"INICIO_EFEITO ausente: PC "&amp;A3826&amp;" - "&amp;C3826,IF(L3826="","EFEITO_PC nao calculado: PC "&amp;A3826&amp;" - "&amp;C3826,"OK")))))))))</f>
        <v/>
      </c>
      <c r="L3826" s="92" t="str">
        <f>IF(AND(A3826="",B3826="",D3826="",G3826=""),"",IF(OR(B3826="",NOT(ISNUMBER(B3826)),C3826="",C3826="Fora dos ciclos"),"",IF(C3826="C0","Nao",IF(IFERROR(INDEX(parametros!$A$2:$A$6,MATCH(C3826,parametros!$B$2:$B$6,0)),"")&lt;&gt;"Sim","Nao",IF(IFERROR(INDEX(parametros!$H$2:$H$6,MATCH(C3826,parametros!$B$2:$B$6,0)),"")="","",IF(B3826&gt;=IFERROR(INDEX(parametros!$H$2:$H$6,MATCH(C3826,parametros!$B$2:$B$6,0)),""),"Sim","Nao"))))))</f>
        <v/>
      </c>
      <c r="T3826" s="156"/>
      <c r="U3826" s="214" t="str">
        <f t="shared" si="301"/>
        <v/>
      </c>
      <c r="V3826" s="212" t="s">
        <v>50</v>
      </c>
      <c r="W3826" s="100" t="s">
        <v>168</v>
      </c>
      <c r="X3826" s="100" t="s">
        <v>169</v>
      </c>
      <c r="Y3826" s="101" t="s">
        <v>170</v>
      </c>
      <c r="Z3826" s="101" t="s">
        <v>171</v>
      </c>
      <c r="AA3826" s="101" t="s">
        <v>50</v>
      </c>
      <c r="AB3826" s="101" t="s">
        <v>172</v>
      </c>
      <c r="AC3826" s="102" t="s">
        <v>173</v>
      </c>
    </row>
    <row r="3827" spans="1:29" ht="25.5" customHeight="1" x14ac:dyDescent="0.35">
      <c r="A3827" s="392"/>
      <c r="B3827" s="393"/>
      <c r="C3827" s="99" t="str">
        <f>IF(B3827="","",IF(NOT(ISNUMBER(B3827)),"DATA_PC invalida",IF(NOT(ISNUMBER(parametros!$C$2)),"Fora dos ciclos",IF(OR(B3827&lt;parametros!$C$2,(YEAR(B3827)-YEAR(parametros!$C$2))*12+MONTH(B3827)-MONTH(parametros!$C$2)&gt;59),"Fora dos ciclos","C"&amp;INT(((YEAR(B3827)-YEAR(parametros!$C$2))*12+MONTH(B3827)-MONTH(parametros!$C$2))/12)))))</f>
        <v/>
      </c>
      <c r="D3827" s="394"/>
      <c r="E3827" s="78" t="str">
        <f>IF(C3827="","",IFERROR(VLOOKUP(C3827,parametros!$A$11:$E$15,5,0),""))</f>
        <v/>
      </c>
      <c r="F3827" s="79" t="str">
        <f t="shared" si="297"/>
        <v/>
      </c>
      <c r="G3827" s="395"/>
      <c r="H3827" s="91">
        <f t="shared" si="298"/>
        <v>0</v>
      </c>
      <c r="I3827" s="91" t="str">
        <f t="shared" si="299"/>
        <v/>
      </c>
      <c r="J3827" s="91" t="str">
        <f t="shared" si="300"/>
        <v/>
      </c>
      <c r="K3827" s="92" t="str">
        <f>IF(AND(A3827="",B3827="",D3827="",G3827=""),"",IF(AND(A3827&lt;&gt;"",COUNTIF($A$2:$A$5001,A3827)&gt;1),"NUMERO_PC duplicado",IF(B3827="","DATA_PC vazia",IF(NOT(ISNUMBER(B3827)),"DATA_PC invalida",IF(OR(C3827="",C3827="Fora dos ciclos"),"CICLO_PC nao identificado",IF(OR(D3827="",D3827=0),"VALOR_PC vazio ou zero",IF(AND(G3827&lt;&gt;"Sim",G3827&lt;&gt;"Nao",G3827&lt;&gt;""),"PC_PAGO_A_CONTRATADA invalido",IF(AND(C3827&lt;&gt;"C0",IFERROR(INDEX(parametros!$A$2:$A$6,MATCH(C3827,parametros!$B$2:$B$6,0)),"")="Sim",IFERROR(INDEX(parametros!$H$2:$H$6,MATCH(C3827,parametros!$B$2:$B$6,0)),"")=""),"INICIO_EFEITO ausente: PC "&amp;A3827&amp;" - "&amp;C3827,IF(L3827="","EFEITO_PC nao calculado: PC "&amp;A3827&amp;" - "&amp;C3827,"OK")))))))))</f>
        <v/>
      </c>
      <c r="L3827" s="92" t="str">
        <f>IF(AND(A3827="",B3827="",D3827="",G3827=""),"",IF(OR(B3827="",NOT(ISNUMBER(B3827)),C3827="",C3827="Fora dos ciclos"),"",IF(C3827="C0","Nao",IF(IFERROR(INDEX(parametros!$A$2:$A$6,MATCH(C3827,parametros!$B$2:$B$6,0)),"")&lt;&gt;"Sim","Nao",IF(IFERROR(INDEX(parametros!$H$2:$H$6,MATCH(C3827,parametros!$B$2:$B$6,0)),"")="","",IF(B3827&gt;=IFERROR(INDEX(parametros!$H$2:$H$6,MATCH(C3827,parametros!$B$2:$B$6,0)),""),"Sim","Nao"))))))</f>
        <v/>
      </c>
      <c r="T3827" s="156"/>
      <c r="U3827" s="214" t="str">
        <f t="shared" si="301"/>
        <v/>
      </c>
      <c r="V3827" s="212" t="s">
        <v>50</v>
      </c>
      <c r="W3827" s="100" t="s">
        <v>168</v>
      </c>
      <c r="X3827" s="100" t="s">
        <v>169</v>
      </c>
      <c r="Y3827" s="101" t="s">
        <v>170</v>
      </c>
      <c r="Z3827" s="101" t="s">
        <v>171</v>
      </c>
      <c r="AA3827" s="101" t="s">
        <v>50</v>
      </c>
      <c r="AB3827" s="101" t="s">
        <v>172</v>
      </c>
      <c r="AC3827" s="102" t="s">
        <v>173</v>
      </c>
    </row>
    <row r="3828" spans="1:29" ht="25.5" customHeight="1" x14ac:dyDescent="0.35">
      <c r="A3828" s="392"/>
      <c r="B3828" s="393"/>
      <c r="C3828" s="99" t="str">
        <f>IF(B3828="","",IF(NOT(ISNUMBER(B3828)),"DATA_PC invalida",IF(NOT(ISNUMBER(parametros!$C$2)),"Fora dos ciclos",IF(OR(B3828&lt;parametros!$C$2,(YEAR(B3828)-YEAR(parametros!$C$2))*12+MONTH(B3828)-MONTH(parametros!$C$2)&gt;59),"Fora dos ciclos","C"&amp;INT(((YEAR(B3828)-YEAR(parametros!$C$2))*12+MONTH(B3828)-MONTH(parametros!$C$2))/12)))))</f>
        <v/>
      </c>
      <c r="D3828" s="394"/>
      <c r="E3828" s="78" t="str">
        <f>IF(C3828="","",IFERROR(VLOOKUP(C3828,parametros!$A$11:$E$15,5,0),""))</f>
        <v/>
      </c>
      <c r="F3828" s="79" t="str">
        <f t="shared" si="297"/>
        <v/>
      </c>
      <c r="G3828" s="395"/>
      <c r="H3828" s="91">
        <f t="shared" si="298"/>
        <v>0</v>
      </c>
      <c r="I3828" s="91" t="str">
        <f t="shared" si="299"/>
        <v/>
      </c>
      <c r="J3828" s="91" t="str">
        <f t="shared" si="300"/>
        <v/>
      </c>
      <c r="K3828" s="92" t="str">
        <f>IF(AND(A3828="",B3828="",D3828="",G3828=""),"",IF(AND(A3828&lt;&gt;"",COUNTIF($A$2:$A$5001,A3828)&gt;1),"NUMERO_PC duplicado",IF(B3828="","DATA_PC vazia",IF(NOT(ISNUMBER(B3828)),"DATA_PC invalida",IF(OR(C3828="",C3828="Fora dos ciclos"),"CICLO_PC nao identificado",IF(OR(D3828="",D3828=0),"VALOR_PC vazio ou zero",IF(AND(G3828&lt;&gt;"Sim",G3828&lt;&gt;"Nao",G3828&lt;&gt;""),"PC_PAGO_A_CONTRATADA invalido",IF(AND(C3828&lt;&gt;"C0",IFERROR(INDEX(parametros!$A$2:$A$6,MATCH(C3828,parametros!$B$2:$B$6,0)),"")="Sim",IFERROR(INDEX(parametros!$H$2:$H$6,MATCH(C3828,parametros!$B$2:$B$6,0)),"")=""),"INICIO_EFEITO ausente: PC "&amp;A3828&amp;" - "&amp;C3828,IF(L3828="","EFEITO_PC nao calculado: PC "&amp;A3828&amp;" - "&amp;C3828,"OK")))))))))</f>
        <v/>
      </c>
      <c r="L3828" s="92" t="str">
        <f>IF(AND(A3828="",B3828="",D3828="",G3828=""),"",IF(OR(B3828="",NOT(ISNUMBER(B3828)),C3828="",C3828="Fora dos ciclos"),"",IF(C3828="C0","Nao",IF(IFERROR(INDEX(parametros!$A$2:$A$6,MATCH(C3828,parametros!$B$2:$B$6,0)),"")&lt;&gt;"Sim","Nao",IF(IFERROR(INDEX(parametros!$H$2:$H$6,MATCH(C3828,parametros!$B$2:$B$6,0)),"")="","",IF(B3828&gt;=IFERROR(INDEX(parametros!$H$2:$H$6,MATCH(C3828,parametros!$B$2:$B$6,0)),""),"Sim","Nao"))))))</f>
        <v/>
      </c>
      <c r="T3828" s="156"/>
      <c r="U3828" s="214" t="str">
        <f t="shared" si="301"/>
        <v/>
      </c>
      <c r="V3828" s="212" t="s">
        <v>50</v>
      </c>
      <c r="W3828" s="100" t="s">
        <v>168</v>
      </c>
      <c r="X3828" s="100" t="s">
        <v>169</v>
      </c>
      <c r="Y3828" s="101" t="s">
        <v>170</v>
      </c>
      <c r="Z3828" s="101" t="s">
        <v>171</v>
      </c>
      <c r="AA3828" s="101" t="s">
        <v>50</v>
      </c>
      <c r="AB3828" s="101" t="s">
        <v>172</v>
      </c>
      <c r="AC3828" s="102" t="s">
        <v>173</v>
      </c>
    </row>
    <row r="3829" spans="1:29" ht="25.5" customHeight="1" x14ac:dyDescent="0.35">
      <c r="A3829" s="392"/>
      <c r="B3829" s="393"/>
      <c r="C3829" s="99" t="str">
        <f>IF(B3829="","",IF(NOT(ISNUMBER(B3829)),"DATA_PC invalida",IF(NOT(ISNUMBER(parametros!$C$2)),"Fora dos ciclos",IF(OR(B3829&lt;parametros!$C$2,(YEAR(B3829)-YEAR(parametros!$C$2))*12+MONTH(B3829)-MONTH(parametros!$C$2)&gt;59),"Fora dos ciclos","C"&amp;INT(((YEAR(B3829)-YEAR(parametros!$C$2))*12+MONTH(B3829)-MONTH(parametros!$C$2))/12)))))</f>
        <v/>
      </c>
      <c r="D3829" s="394"/>
      <c r="E3829" s="78" t="str">
        <f>IF(C3829="","",IFERROR(VLOOKUP(C3829,parametros!$A$11:$E$15,5,0),""))</f>
        <v/>
      </c>
      <c r="F3829" s="79" t="str">
        <f t="shared" si="297"/>
        <v/>
      </c>
      <c r="G3829" s="395"/>
      <c r="H3829" s="91">
        <f t="shared" si="298"/>
        <v>0</v>
      </c>
      <c r="I3829" s="91" t="str">
        <f t="shared" si="299"/>
        <v/>
      </c>
      <c r="J3829" s="91" t="str">
        <f t="shared" si="300"/>
        <v/>
      </c>
      <c r="K3829" s="92" t="str">
        <f>IF(AND(A3829="",B3829="",D3829="",G3829=""),"",IF(AND(A3829&lt;&gt;"",COUNTIF($A$2:$A$5001,A3829)&gt;1),"NUMERO_PC duplicado",IF(B3829="","DATA_PC vazia",IF(NOT(ISNUMBER(B3829)),"DATA_PC invalida",IF(OR(C3829="",C3829="Fora dos ciclos"),"CICLO_PC nao identificado",IF(OR(D3829="",D3829=0),"VALOR_PC vazio ou zero",IF(AND(G3829&lt;&gt;"Sim",G3829&lt;&gt;"Nao",G3829&lt;&gt;""),"PC_PAGO_A_CONTRATADA invalido",IF(AND(C3829&lt;&gt;"C0",IFERROR(INDEX(parametros!$A$2:$A$6,MATCH(C3829,parametros!$B$2:$B$6,0)),"")="Sim",IFERROR(INDEX(parametros!$H$2:$H$6,MATCH(C3829,parametros!$B$2:$B$6,0)),"")=""),"INICIO_EFEITO ausente: PC "&amp;A3829&amp;" - "&amp;C3829,IF(L3829="","EFEITO_PC nao calculado: PC "&amp;A3829&amp;" - "&amp;C3829,"OK")))))))))</f>
        <v/>
      </c>
      <c r="L3829" s="92" t="str">
        <f>IF(AND(A3829="",B3829="",D3829="",G3829=""),"",IF(OR(B3829="",NOT(ISNUMBER(B3829)),C3829="",C3829="Fora dos ciclos"),"",IF(C3829="C0","Nao",IF(IFERROR(INDEX(parametros!$A$2:$A$6,MATCH(C3829,parametros!$B$2:$B$6,0)),"")&lt;&gt;"Sim","Nao",IF(IFERROR(INDEX(parametros!$H$2:$H$6,MATCH(C3829,parametros!$B$2:$B$6,0)),"")="","",IF(B3829&gt;=IFERROR(INDEX(parametros!$H$2:$H$6,MATCH(C3829,parametros!$B$2:$B$6,0)),""),"Sim","Nao"))))))</f>
        <v/>
      </c>
      <c r="T3829" s="156"/>
      <c r="U3829" s="214" t="str">
        <f t="shared" si="301"/>
        <v/>
      </c>
      <c r="V3829" s="212" t="s">
        <v>50</v>
      </c>
      <c r="W3829" s="100" t="s">
        <v>168</v>
      </c>
      <c r="X3829" s="100" t="s">
        <v>169</v>
      </c>
      <c r="Y3829" s="101" t="s">
        <v>170</v>
      </c>
      <c r="Z3829" s="101" t="s">
        <v>171</v>
      </c>
      <c r="AA3829" s="101" t="s">
        <v>50</v>
      </c>
      <c r="AB3829" s="101" t="s">
        <v>172</v>
      </c>
      <c r="AC3829" s="102" t="s">
        <v>173</v>
      </c>
    </row>
    <row r="3830" spans="1:29" ht="25.5" customHeight="1" x14ac:dyDescent="0.35">
      <c r="A3830" s="392"/>
      <c r="B3830" s="393"/>
      <c r="C3830" s="99" t="str">
        <f>IF(B3830="","",IF(NOT(ISNUMBER(B3830)),"DATA_PC invalida",IF(NOT(ISNUMBER(parametros!$C$2)),"Fora dos ciclos",IF(OR(B3830&lt;parametros!$C$2,(YEAR(B3830)-YEAR(parametros!$C$2))*12+MONTH(B3830)-MONTH(parametros!$C$2)&gt;59),"Fora dos ciclos","C"&amp;INT(((YEAR(B3830)-YEAR(parametros!$C$2))*12+MONTH(B3830)-MONTH(parametros!$C$2))/12)))))</f>
        <v/>
      </c>
      <c r="D3830" s="394"/>
      <c r="E3830" s="78" t="str">
        <f>IF(C3830="","",IFERROR(VLOOKUP(C3830,parametros!$A$11:$E$15,5,0),""))</f>
        <v/>
      </c>
      <c r="F3830" s="79" t="str">
        <f t="shared" si="297"/>
        <v/>
      </c>
      <c r="G3830" s="395"/>
      <c r="H3830" s="91">
        <f t="shared" si="298"/>
        <v>0</v>
      </c>
      <c r="I3830" s="91" t="str">
        <f t="shared" si="299"/>
        <v/>
      </c>
      <c r="J3830" s="91" t="str">
        <f t="shared" si="300"/>
        <v/>
      </c>
      <c r="K3830" s="92" t="str">
        <f>IF(AND(A3830="",B3830="",D3830="",G3830=""),"",IF(AND(A3830&lt;&gt;"",COUNTIF($A$2:$A$5001,A3830)&gt;1),"NUMERO_PC duplicado",IF(B3830="","DATA_PC vazia",IF(NOT(ISNUMBER(B3830)),"DATA_PC invalida",IF(OR(C3830="",C3830="Fora dos ciclos"),"CICLO_PC nao identificado",IF(OR(D3830="",D3830=0),"VALOR_PC vazio ou zero",IF(AND(G3830&lt;&gt;"Sim",G3830&lt;&gt;"Nao",G3830&lt;&gt;""),"PC_PAGO_A_CONTRATADA invalido",IF(AND(C3830&lt;&gt;"C0",IFERROR(INDEX(parametros!$A$2:$A$6,MATCH(C3830,parametros!$B$2:$B$6,0)),"")="Sim",IFERROR(INDEX(parametros!$H$2:$H$6,MATCH(C3830,parametros!$B$2:$B$6,0)),"")=""),"INICIO_EFEITO ausente: PC "&amp;A3830&amp;" - "&amp;C3830,IF(L3830="","EFEITO_PC nao calculado: PC "&amp;A3830&amp;" - "&amp;C3830,"OK")))))))))</f>
        <v/>
      </c>
      <c r="L3830" s="92" t="str">
        <f>IF(AND(A3830="",B3830="",D3830="",G3830=""),"",IF(OR(B3830="",NOT(ISNUMBER(B3830)),C3830="",C3830="Fora dos ciclos"),"",IF(C3830="C0","Nao",IF(IFERROR(INDEX(parametros!$A$2:$A$6,MATCH(C3830,parametros!$B$2:$B$6,0)),"")&lt;&gt;"Sim","Nao",IF(IFERROR(INDEX(parametros!$H$2:$H$6,MATCH(C3830,parametros!$B$2:$B$6,0)),"")="","",IF(B3830&gt;=IFERROR(INDEX(parametros!$H$2:$H$6,MATCH(C3830,parametros!$B$2:$B$6,0)),""),"Sim","Nao"))))))</f>
        <v/>
      </c>
      <c r="T3830" s="156"/>
      <c r="U3830" s="214" t="str">
        <f t="shared" si="301"/>
        <v/>
      </c>
      <c r="V3830" s="212" t="s">
        <v>50</v>
      </c>
      <c r="W3830" s="100" t="s">
        <v>168</v>
      </c>
      <c r="X3830" s="100" t="s">
        <v>169</v>
      </c>
      <c r="Y3830" s="101" t="s">
        <v>170</v>
      </c>
      <c r="Z3830" s="101" t="s">
        <v>171</v>
      </c>
      <c r="AA3830" s="101" t="s">
        <v>50</v>
      </c>
      <c r="AB3830" s="101" t="s">
        <v>172</v>
      </c>
      <c r="AC3830" s="102" t="s">
        <v>173</v>
      </c>
    </row>
    <row r="3831" spans="1:29" ht="25.5" customHeight="1" x14ac:dyDescent="0.35">
      <c r="A3831" s="392"/>
      <c r="B3831" s="393"/>
      <c r="C3831" s="99" t="str">
        <f>IF(B3831="","",IF(NOT(ISNUMBER(B3831)),"DATA_PC invalida",IF(NOT(ISNUMBER(parametros!$C$2)),"Fora dos ciclos",IF(OR(B3831&lt;parametros!$C$2,(YEAR(B3831)-YEAR(parametros!$C$2))*12+MONTH(B3831)-MONTH(parametros!$C$2)&gt;59),"Fora dos ciclos","C"&amp;INT(((YEAR(B3831)-YEAR(parametros!$C$2))*12+MONTH(B3831)-MONTH(parametros!$C$2))/12)))))</f>
        <v/>
      </c>
      <c r="D3831" s="394"/>
      <c r="E3831" s="78" t="str">
        <f>IF(C3831="","",IFERROR(VLOOKUP(C3831,parametros!$A$11:$E$15,5,0),""))</f>
        <v/>
      </c>
      <c r="F3831" s="79" t="str">
        <f t="shared" si="297"/>
        <v/>
      </c>
      <c r="G3831" s="395"/>
      <c r="H3831" s="91">
        <f t="shared" si="298"/>
        <v>0</v>
      </c>
      <c r="I3831" s="91" t="str">
        <f t="shared" si="299"/>
        <v/>
      </c>
      <c r="J3831" s="91" t="str">
        <f t="shared" si="300"/>
        <v/>
      </c>
      <c r="K3831" s="92" t="str">
        <f>IF(AND(A3831="",B3831="",D3831="",G3831=""),"",IF(AND(A3831&lt;&gt;"",COUNTIF($A$2:$A$5001,A3831)&gt;1),"NUMERO_PC duplicado",IF(B3831="","DATA_PC vazia",IF(NOT(ISNUMBER(B3831)),"DATA_PC invalida",IF(OR(C3831="",C3831="Fora dos ciclos"),"CICLO_PC nao identificado",IF(OR(D3831="",D3831=0),"VALOR_PC vazio ou zero",IF(AND(G3831&lt;&gt;"Sim",G3831&lt;&gt;"Nao",G3831&lt;&gt;""),"PC_PAGO_A_CONTRATADA invalido",IF(AND(C3831&lt;&gt;"C0",IFERROR(INDEX(parametros!$A$2:$A$6,MATCH(C3831,parametros!$B$2:$B$6,0)),"")="Sim",IFERROR(INDEX(parametros!$H$2:$H$6,MATCH(C3831,parametros!$B$2:$B$6,0)),"")=""),"INICIO_EFEITO ausente: PC "&amp;A3831&amp;" - "&amp;C3831,IF(L3831="","EFEITO_PC nao calculado: PC "&amp;A3831&amp;" - "&amp;C3831,"OK")))))))))</f>
        <v/>
      </c>
      <c r="L3831" s="92" t="str">
        <f>IF(AND(A3831="",B3831="",D3831="",G3831=""),"",IF(OR(B3831="",NOT(ISNUMBER(B3831)),C3831="",C3831="Fora dos ciclos"),"",IF(C3831="C0","Nao",IF(IFERROR(INDEX(parametros!$A$2:$A$6,MATCH(C3831,parametros!$B$2:$B$6,0)),"")&lt;&gt;"Sim","Nao",IF(IFERROR(INDEX(parametros!$H$2:$H$6,MATCH(C3831,parametros!$B$2:$B$6,0)),"")="","",IF(B3831&gt;=IFERROR(INDEX(parametros!$H$2:$H$6,MATCH(C3831,parametros!$B$2:$B$6,0)),""),"Sim","Nao"))))))</f>
        <v/>
      </c>
      <c r="T3831" s="156"/>
      <c r="U3831" s="214" t="str">
        <f t="shared" si="301"/>
        <v/>
      </c>
      <c r="V3831" s="212" t="s">
        <v>50</v>
      </c>
      <c r="W3831" s="100" t="s">
        <v>168</v>
      </c>
      <c r="X3831" s="100" t="s">
        <v>169</v>
      </c>
      <c r="Y3831" s="101" t="s">
        <v>170</v>
      </c>
      <c r="Z3831" s="101" t="s">
        <v>171</v>
      </c>
      <c r="AA3831" s="101" t="s">
        <v>50</v>
      </c>
      <c r="AB3831" s="101" t="s">
        <v>172</v>
      </c>
      <c r="AC3831" s="102" t="s">
        <v>173</v>
      </c>
    </row>
    <row r="3832" spans="1:29" ht="25.5" customHeight="1" x14ac:dyDescent="0.35">
      <c r="A3832" s="392"/>
      <c r="B3832" s="393"/>
      <c r="C3832" s="99" t="str">
        <f>IF(B3832="","",IF(NOT(ISNUMBER(B3832)),"DATA_PC invalida",IF(NOT(ISNUMBER(parametros!$C$2)),"Fora dos ciclos",IF(OR(B3832&lt;parametros!$C$2,(YEAR(B3832)-YEAR(parametros!$C$2))*12+MONTH(B3832)-MONTH(parametros!$C$2)&gt;59),"Fora dos ciclos","C"&amp;INT(((YEAR(B3832)-YEAR(parametros!$C$2))*12+MONTH(B3832)-MONTH(parametros!$C$2))/12)))))</f>
        <v/>
      </c>
      <c r="D3832" s="394"/>
      <c r="E3832" s="78" t="str">
        <f>IF(C3832="","",IFERROR(VLOOKUP(C3832,parametros!$A$11:$E$15,5,0),""))</f>
        <v/>
      </c>
      <c r="F3832" s="79" t="str">
        <f t="shared" si="297"/>
        <v/>
      </c>
      <c r="G3832" s="395"/>
      <c r="H3832" s="91">
        <f t="shared" si="298"/>
        <v>0</v>
      </c>
      <c r="I3832" s="91" t="str">
        <f t="shared" si="299"/>
        <v/>
      </c>
      <c r="J3832" s="91" t="str">
        <f t="shared" si="300"/>
        <v/>
      </c>
      <c r="K3832" s="92" t="str">
        <f>IF(AND(A3832="",B3832="",D3832="",G3832=""),"",IF(AND(A3832&lt;&gt;"",COUNTIF($A$2:$A$5001,A3832)&gt;1),"NUMERO_PC duplicado",IF(B3832="","DATA_PC vazia",IF(NOT(ISNUMBER(B3832)),"DATA_PC invalida",IF(OR(C3832="",C3832="Fora dos ciclos"),"CICLO_PC nao identificado",IF(OR(D3832="",D3832=0),"VALOR_PC vazio ou zero",IF(AND(G3832&lt;&gt;"Sim",G3832&lt;&gt;"Nao",G3832&lt;&gt;""),"PC_PAGO_A_CONTRATADA invalido",IF(AND(C3832&lt;&gt;"C0",IFERROR(INDEX(parametros!$A$2:$A$6,MATCH(C3832,parametros!$B$2:$B$6,0)),"")="Sim",IFERROR(INDEX(parametros!$H$2:$H$6,MATCH(C3832,parametros!$B$2:$B$6,0)),"")=""),"INICIO_EFEITO ausente: PC "&amp;A3832&amp;" - "&amp;C3832,IF(L3832="","EFEITO_PC nao calculado: PC "&amp;A3832&amp;" - "&amp;C3832,"OK")))))))))</f>
        <v/>
      </c>
      <c r="L3832" s="92" t="str">
        <f>IF(AND(A3832="",B3832="",D3832="",G3832=""),"",IF(OR(B3832="",NOT(ISNUMBER(B3832)),C3832="",C3832="Fora dos ciclos"),"",IF(C3832="C0","Nao",IF(IFERROR(INDEX(parametros!$A$2:$A$6,MATCH(C3832,parametros!$B$2:$B$6,0)),"")&lt;&gt;"Sim","Nao",IF(IFERROR(INDEX(parametros!$H$2:$H$6,MATCH(C3832,parametros!$B$2:$B$6,0)),"")="","",IF(B3832&gt;=IFERROR(INDEX(parametros!$H$2:$H$6,MATCH(C3832,parametros!$B$2:$B$6,0)),""),"Sim","Nao"))))))</f>
        <v/>
      </c>
      <c r="T3832" s="156"/>
      <c r="U3832" s="214" t="str">
        <f t="shared" si="301"/>
        <v/>
      </c>
      <c r="V3832" s="212" t="s">
        <v>50</v>
      </c>
      <c r="W3832" s="100" t="s">
        <v>168</v>
      </c>
      <c r="X3832" s="100" t="s">
        <v>169</v>
      </c>
      <c r="Y3832" s="101" t="s">
        <v>170</v>
      </c>
      <c r="Z3832" s="101" t="s">
        <v>171</v>
      </c>
      <c r="AA3832" s="101" t="s">
        <v>50</v>
      </c>
      <c r="AB3832" s="101" t="s">
        <v>172</v>
      </c>
      <c r="AC3832" s="102" t="s">
        <v>173</v>
      </c>
    </row>
    <row r="3833" spans="1:29" ht="25.5" customHeight="1" x14ac:dyDescent="0.35">
      <c r="A3833" s="392"/>
      <c r="B3833" s="393"/>
      <c r="C3833" s="99" t="str">
        <f>IF(B3833="","",IF(NOT(ISNUMBER(B3833)),"DATA_PC invalida",IF(NOT(ISNUMBER(parametros!$C$2)),"Fora dos ciclos",IF(OR(B3833&lt;parametros!$C$2,(YEAR(B3833)-YEAR(parametros!$C$2))*12+MONTH(B3833)-MONTH(parametros!$C$2)&gt;59),"Fora dos ciclos","C"&amp;INT(((YEAR(B3833)-YEAR(parametros!$C$2))*12+MONTH(B3833)-MONTH(parametros!$C$2))/12)))))</f>
        <v/>
      </c>
      <c r="D3833" s="394"/>
      <c r="E3833" s="78" t="str">
        <f>IF(C3833="","",IFERROR(VLOOKUP(C3833,parametros!$A$11:$E$15,5,0),""))</f>
        <v/>
      </c>
      <c r="F3833" s="79" t="str">
        <f t="shared" si="297"/>
        <v/>
      </c>
      <c r="G3833" s="395"/>
      <c r="H3833" s="91">
        <f t="shared" si="298"/>
        <v>0</v>
      </c>
      <c r="I3833" s="91" t="str">
        <f t="shared" si="299"/>
        <v/>
      </c>
      <c r="J3833" s="91" t="str">
        <f t="shared" si="300"/>
        <v/>
      </c>
      <c r="K3833" s="92" t="str">
        <f>IF(AND(A3833="",B3833="",D3833="",G3833=""),"",IF(AND(A3833&lt;&gt;"",COUNTIF($A$2:$A$5001,A3833)&gt;1),"NUMERO_PC duplicado",IF(B3833="","DATA_PC vazia",IF(NOT(ISNUMBER(B3833)),"DATA_PC invalida",IF(OR(C3833="",C3833="Fora dos ciclos"),"CICLO_PC nao identificado",IF(OR(D3833="",D3833=0),"VALOR_PC vazio ou zero",IF(AND(G3833&lt;&gt;"Sim",G3833&lt;&gt;"Nao",G3833&lt;&gt;""),"PC_PAGO_A_CONTRATADA invalido",IF(AND(C3833&lt;&gt;"C0",IFERROR(INDEX(parametros!$A$2:$A$6,MATCH(C3833,parametros!$B$2:$B$6,0)),"")="Sim",IFERROR(INDEX(parametros!$H$2:$H$6,MATCH(C3833,parametros!$B$2:$B$6,0)),"")=""),"INICIO_EFEITO ausente: PC "&amp;A3833&amp;" - "&amp;C3833,IF(L3833="","EFEITO_PC nao calculado: PC "&amp;A3833&amp;" - "&amp;C3833,"OK")))))))))</f>
        <v/>
      </c>
      <c r="L3833" s="92" t="str">
        <f>IF(AND(A3833="",B3833="",D3833="",G3833=""),"",IF(OR(B3833="",NOT(ISNUMBER(B3833)),C3833="",C3833="Fora dos ciclos"),"",IF(C3833="C0","Nao",IF(IFERROR(INDEX(parametros!$A$2:$A$6,MATCH(C3833,parametros!$B$2:$B$6,0)),"")&lt;&gt;"Sim","Nao",IF(IFERROR(INDEX(parametros!$H$2:$H$6,MATCH(C3833,parametros!$B$2:$B$6,0)),"")="","",IF(B3833&gt;=IFERROR(INDEX(parametros!$H$2:$H$6,MATCH(C3833,parametros!$B$2:$B$6,0)),""),"Sim","Nao"))))))</f>
        <v/>
      </c>
      <c r="T3833" s="156"/>
      <c r="U3833" s="214" t="str">
        <f t="shared" si="301"/>
        <v/>
      </c>
      <c r="V3833" s="212" t="s">
        <v>50</v>
      </c>
      <c r="W3833" s="100" t="s">
        <v>168</v>
      </c>
      <c r="X3833" s="100" t="s">
        <v>169</v>
      </c>
      <c r="Y3833" s="101" t="s">
        <v>170</v>
      </c>
      <c r="Z3833" s="101" t="s">
        <v>171</v>
      </c>
      <c r="AA3833" s="101" t="s">
        <v>50</v>
      </c>
      <c r="AB3833" s="101" t="s">
        <v>172</v>
      </c>
      <c r="AC3833" s="102" t="s">
        <v>173</v>
      </c>
    </row>
    <row r="3834" spans="1:29" ht="25.5" customHeight="1" x14ac:dyDescent="0.35">
      <c r="A3834" s="392"/>
      <c r="B3834" s="393"/>
      <c r="C3834" s="99" t="str">
        <f>IF(B3834="","",IF(NOT(ISNUMBER(B3834)),"DATA_PC invalida",IF(NOT(ISNUMBER(parametros!$C$2)),"Fora dos ciclos",IF(OR(B3834&lt;parametros!$C$2,(YEAR(B3834)-YEAR(parametros!$C$2))*12+MONTH(B3834)-MONTH(parametros!$C$2)&gt;59),"Fora dos ciclos","C"&amp;INT(((YEAR(B3834)-YEAR(parametros!$C$2))*12+MONTH(B3834)-MONTH(parametros!$C$2))/12)))))</f>
        <v/>
      </c>
      <c r="D3834" s="394"/>
      <c r="E3834" s="78" t="str">
        <f>IF(C3834="","",IFERROR(VLOOKUP(C3834,parametros!$A$11:$E$15,5,0),""))</f>
        <v/>
      </c>
      <c r="F3834" s="79" t="str">
        <f t="shared" si="297"/>
        <v/>
      </c>
      <c r="G3834" s="395"/>
      <c r="H3834" s="91">
        <f t="shared" si="298"/>
        <v>0</v>
      </c>
      <c r="I3834" s="91" t="str">
        <f t="shared" si="299"/>
        <v/>
      </c>
      <c r="J3834" s="91" t="str">
        <f t="shared" si="300"/>
        <v/>
      </c>
      <c r="K3834" s="92" t="str">
        <f>IF(AND(A3834="",B3834="",D3834="",G3834=""),"",IF(AND(A3834&lt;&gt;"",COUNTIF($A$2:$A$5001,A3834)&gt;1),"NUMERO_PC duplicado",IF(B3834="","DATA_PC vazia",IF(NOT(ISNUMBER(B3834)),"DATA_PC invalida",IF(OR(C3834="",C3834="Fora dos ciclos"),"CICLO_PC nao identificado",IF(OR(D3834="",D3834=0),"VALOR_PC vazio ou zero",IF(AND(G3834&lt;&gt;"Sim",G3834&lt;&gt;"Nao",G3834&lt;&gt;""),"PC_PAGO_A_CONTRATADA invalido",IF(AND(C3834&lt;&gt;"C0",IFERROR(INDEX(parametros!$A$2:$A$6,MATCH(C3834,parametros!$B$2:$B$6,0)),"")="Sim",IFERROR(INDEX(parametros!$H$2:$H$6,MATCH(C3834,parametros!$B$2:$B$6,0)),"")=""),"INICIO_EFEITO ausente: PC "&amp;A3834&amp;" - "&amp;C3834,IF(L3834="","EFEITO_PC nao calculado: PC "&amp;A3834&amp;" - "&amp;C3834,"OK")))))))))</f>
        <v/>
      </c>
      <c r="L3834" s="92" t="str">
        <f>IF(AND(A3834="",B3834="",D3834="",G3834=""),"",IF(OR(B3834="",NOT(ISNUMBER(B3834)),C3834="",C3834="Fora dos ciclos"),"",IF(C3834="C0","Nao",IF(IFERROR(INDEX(parametros!$A$2:$A$6,MATCH(C3834,parametros!$B$2:$B$6,0)),"")&lt;&gt;"Sim","Nao",IF(IFERROR(INDEX(parametros!$H$2:$H$6,MATCH(C3834,parametros!$B$2:$B$6,0)),"")="","",IF(B3834&gt;=IFERROR(INDEX(parametros!$H$2:$H$6,MATCH(C3834,parametros!$B$2:$B$6,0)),""),"Sim","Nao"))))))</f>
        <v/>
      </c>
      <c r="T3834" s="156"/>
      <c r="U3834" s="214" t="str">
        <f t="shared" si="301"/>
        <v/>
      </c>
      <c r="V3834" s="212" t="s">
        <v>50</v>
      </c>
      <c r="W3834" s="100" t="s">
        <v>168</v>
      </c>
      <c r="X3834" s="100" t="s">
        <v>169</v>
      </c>
      <c r="Y3834" s="101" t="s">
        <v>170</v>
      </c>
      <c r="Z3834" s="101" t="s">
        <v>171</v>
      </c>
      <c r="AA3834" s="101" t="s">
        <v>50</v>
      </c>
      <c r="AB3834" s="101" t="s">
        <v>172</v>
      </c>
      <c r="AC3834" s="102" t="s">
        <v>173</v>
      </c>
    </row>
    <row r="3835" spans="1:29" ht="25.5" customHeight="1" x14ac:dyDescent="0.35">
      <c r="A3835" s="392"/>
      <c r="B3835" s="393"/>
      <c r="C3835" s="99" t="str">
        <f>IF(B3835="","",IF(NOT(ISNUMBER(B3835)),"DATA_PC invalida",IF(NOT(ISNUMBER(parametros!$C$2)),"Fora dos ciclos",IF(OR(B3835&lt;parametros!$C$2,(YEAR(B3835)-YEAR(parametros!$C$2))*12+MONTH(B3835)-MONTH(parametros!$C$2)&gt;59),"Fora dos ciclos","C"&amp;INT(((YEAR(B3835)-YEAR(parametros!$C$2))*12+MONTH(B3835)-MONTH(parametros!$C$2))/12)))))</f>
        <v/>
      </c>
      <c r="D3835" s="394"/>
      <c r="E3835" s="78" t="str">
        <f>IF(C3835="","",IFERROR(VLOOKUP(C3835,parametros!$A$11:$E$15,5,0),""))</f>
        <v/>
      </c>
      <c r="F3835" s="79" t="str">
        <f t="shared" si="297"/>
        <v/>
      </c>
      <c r="G3835" s="395"/>
      <c r="H3835" s="91">
        <f t="shared" si="298"/>
        <v>0</v>
      </c>
      <c r="I3835" s="91" t="str">
        <f t="shared" si="299"/>
        <v/>
      </c>
      <c r="J3835" s="91" t="str">
        <f t="shared" si="300"/>
        <v/>
      </c>
      <c r="K3835" s="92" t="str">
        <f>IF(AND(A3835="",B3835="",D3835="",G3835=""),"",IF(AND(A3835&lt;&gt;"",COUNTIF($A$2:$A$5001,A3835)&gt;1),"NUMERO_PC duplicado",IF(B3835="","DATA_PC vazia",IF(NOT(ISNUMBER(B3835)),"DATA_PC invalida",IF(OR(C3835="",C3835="Fora dos ciclos"),"CICLO_PC nao identificado",IF(OR(D3835="",D3835=0),"VALOR_PC vazio ou zero",IF(AND(G3835&lt;&gt;"Sim",G3835&lt;&gt;"Nao",G3835&lt;&gt;""),"PC_PAGO_A_CONTRATADA invalido",IF(AND(C3835&lt;&gt;"C0",IFERROR(INDEX(parametros!$A$2:$A$6,MATCH(C3835,parametros!$B$2:$B$6,0)),"")="Sim",IFERROR(INDEX(parametros!$H$2:$H$6,MATCH(C3835,parametros!$B$2:$B$6,0)),"")=""),"INICIO_EFEITO ausente: PC "&amp;A3835&amp;" - "&amp;C3835,IF(L3835="","EFEITO_PC nao calculado: PC "&amp;A3835&amp;" - "&amp;C3835,"OK")))))))))</f>
        <v/>
      </c>
      <c r="L3835" s="92" t="str">
        <f>IF(AND(A3835="",B3835="",D3835="",G3835=""),"",IF(OR(B3835="",NOT(ISNUMBER(B3835)),C3835="",C3835="Fora dos ciclos"),"",IF(C3835="C0","Nao",IF(IFERROR(INDEX(parametros!$A$2:$A$6,MATCH(C3835,parametros!$B$2:$B$6,0)),"")&lt;&gt;"Sim","Nao",IF(IFERROR(INDEX(parametros!$H$2:$H$6,MATCH(C3835,parametros!$B$2:$B$6,0)),"")="","",IF(B3835&gt;=IFERROR(INDEX(parametros!$H$2:$H$6,MATCH(C3835,parametros!$B$2:$B$6,0)),""),"Sim","Nao"))))))</f>
        <v/>
      </c>
      <c r="T3835" s="156"/>
      <c r="U3835" s="214" t="str">
        <f t="shared" si="301"/>
        <v/>
      </c>
      <c r="V3835" s="212" t="s">
        <v>50</v>
      </c>
      <c r="W3835" s="100" t="s">
        <v>168</v>
      </c>
      <c r="X3835" s="100" t="s">
        <v>169</v>
      </c>
      <c r="Y3835" s="101" t="s">
        <v>170</v>
      </c>
      <c r="Z3835" s="101" t="s">
        <v>171</v>
      </c>
      <c r="AA3835" s="101" t="s">
        <v>50</v>
      </c>
      <c r="AB3835" s="101" t="s">
        <v>172</v>
      </c>
      <c r="AC3835" s="102" t="s">
        <v>173</v>
      </c>
    </row>
    <row r="3836" spans="1:29" ht="25.5" customHeight="1" x14ac:dyDescent="0.35">
      <c r="A3836" s="392"/>
      <c r="B3836" s="393"/>
      <c r="C3836" s="99" t="str">
        <f>IF(B3836="","",IF(NOT(ISNUMBER(B3836)),"DATA_PC invalida",IF(NOT(ISNUMBER(parametros!$C$2)),"Fora dos ciclos",IF(OR(B3836&lt;parametros!$C$2,(YEAR(B3836)-YEAR(parametros!$C$2))*12+MONTH(B3836)-MONTH(parametros!$C$2)&gt;59),"Fora dos ciclos","C"&amp;INT(((YEAR(B3836)-YEAR(parametros!$C$2))*12+MONTH(B3836)-MONTH(parametros!$C$2))/12)))))</f>
        <v/>
      </c>
      <c r="D3836" s="394"/>
      <c r="E3836" s="78" t="str">
        <f>IF(C3836="","",IFERROR(VLOOKUP(C3836,parametros!$A$11:$E$15,5,0),""))</f>
        <v/>
      </c>
      <c r="F3836" s="79" t="str">
        <f t="shared" si="297"/>
        <v/>
      </c>
      <c r="G3836" s="395"/>
      <c r="H3836" s="91">
        <f t="shared" si="298"/>
        <v>0</v>
      </c>
      <c r="I3836" s="91" t="str">
        <f t="shared" si="299"/>
        <v/>
      </c>
      <c r="J3836" s="91" t="str">
        <f t="shared" si="300"/>
        <v/>
      </c>
      <c r="K3836" s="92" t="str">
        <f>IF(AND(A3836="",B3836="",D3836="",G3836=""),"",IF(AND(A3836&lt;&gt;"",COUNTIF($A$2:$A$5001,A3836)&gt;1),"NUMERO_PC duplicado",IF(B3836="","DATA_PC vazia",IF(NOT(ISNUMBER(B3836)),"DATA_PC invalida",IF(OR(C3836="",C3836="Fora dos ciclos"),"CICLO_PC nao identificado",IF(OR(D3836="",D3836=0),"VALOR_PC vazio ou zero",IF(AND(G3836&lt;&gt;"Sim",G3836&lt;&gt;"Nao",G3836&lt;&gt;""),"PC_PAGO_A_CONTRATADA invalido",IF(AND(C3836&lt;&gt;"C0",IFERROR(INDEX(parametros!$A$2:$A$6,MATCH(C3836,parametros!$B$2:$B$6,0)),"")="Sim",IFERROR(INDEX(parametros!$H$2:$H$6,MATCH(C3836,parametros!$B$2:$B$6,0)),"")=""),"INICIO_EFEITO ausente: PC "&amp;A3836&amp;" - "&amp;C3836,IF(L3836="","EFEITO_PC nao calculado: PC "&amp;A3836&amp;" - "&amp;C3836,"OK")))))))))</f>
        <v/>
      </c>
      <c r="L3836" s="92" t="str">
        <f>IF(AND(A3836="",B3836="",D3836="",G3836=""),"",IF(OR(B3836="",NOT(ISNUMBER(B3836)),C3836="",C3836="Fora dos ciclos"),"",IF(C3836="C0","Nao",IF(IFERROR(INDEX(parametros!$A$2:$A$6,MATCH(C3836,parametros!$B$2:$B$6,0)),"")&lt;&gt;"Sim","Nao",IF(IFERROR(INDEX(parametros!$H$2:$H$6,MATCH(C3836,parametros!$B$2:$B$6,0)),"")="","",IF(B3836&gt;=IFERROR(INDEX(parametros!$H$2:$H$6,MATCH(C3836,parametros!$B$2:$B$6,0)),""),"Sim","Nao"))))))</f>
        <v/>
      </c>
      <c r="T3836" s="156"/>
      <c r="U3836" s="214" t="str">
        <f t="shared" si="301"/>
        <v/>
      </c>
      <c r="V3836" s="212" t="s">
        <v>50</v>
      </c>
      <c r="W3836" s="100" t="s">
        <v>168</v>
      </c>
      <c r="X3836" s="100" t="s">
        <v>169</v>
      </c>
      <c r="Y3836" s="101" t="s">
        <v>170</v>
      </c>
      <c r="Z3836" s="101" t="s">
        <v>171</v>
      </c>
      <c r="AA3836" s="101" t="s">
        <v>50</v>
      </c>
      <c r="AB3836" s="101" t="s">
        <v>172</v>
      </c>
      <c r="AC3836" s="102" t="s">
        <v>173</v>
      </c>
    </row>
    <row r="3837" spans="1:29" ht="25.5" customHeight="1" x14ac:dyDescent="0.35">
      <c r="A3837" s="392"/>
      <c r="B3837" s="393"/>
      <c r="C3837" s="99" t="str">
        <f>IF(B3837="","",IF(NOT(ISNUMBER(B3837)),"DATA_PC invalida",IF(NOT(ISNUMBER(parametros!$C$2)),"Fora dos ciclos",IF(OR(B3837&lt;parametros!$C$2,(YEAR(B3837)-YEAR(parametros!$C$2))*12+MONTH(B3837)-MONTH(parametros!$C$2)&gt;59),"Fora dos ciclos","C"&amp;INT(((YEAR(B3837)-YEAR(parametros!$C$2))*12+MONTH(B3837)-MONTH(parametros!$C$2))/12)))))</f>
        <v/>
      </c>
      <c r="D3837" s="394"/>
      <c r="E3837" s="78" t="str">
        <f>IF(C3837="","",IFERROR(VLOOKUP(C3837,parametros!$A$11:$E$15,5,0),""))</f>
        <v/>
      </c>
      <c r="F3837" s="79" t="str">
        <f t="shared" si="297"/>
        <v/>
      </c>
      <c r="G3837" s="395"/>
      <c r="H3837" s="91">
        <f t="shared" si="298"/>
        <v>0</v>
      </c>
      <c r="I3837" s="91" t="str">
        <f t="shared" si="299"/>
        <v/>
      </c>
      <c r="J3837" s="91" t="str">
        <f t="shared" si="300"/>
        <v/>
      </c>
      <c r="K3837" s="92" t="str">
        <f>IF(AND(A3837="",B3837="",D3837="",G3837=""),"",IF(AND(A3837&lt;&gt;"",COUNTIF($A$2:$A$5001,A3837)&gt;1),"NUMERO_PC duplicado",IF(B3837="","DATA_PC vazia",IF(NOT(ISNUMBER(B3837)),"DATA_PC invalida",IF(OR(C3837="",C3837="Fora dos ciclos"),"CICLO_PC nao identificado",IF(OR(D3837="",D3837=0),"VALOR_PC vazio ou zero",IF(AND(G3837&lt;&gt;"Sim",G3837&lt;&gt;"Nao",G3837&lt;&gt;""),"PC_PAGO_A_CONTRATADA invalido",IF(AND(C3837&lt;&gt;"C0",IFERROR(INDEX(parametros!$A$2:$A$6,MATCH(C3837,parametros!$B$2:$B$6,0)),"")="Sim",IFERROR(INDEX(parametros!$H$2:$H$6,MATCH(C3837,parametros!$B$2:$B$6,0)),"")=""),"INICIO_EFEITO ausente: PC "&amp;A3837&amp;" - "&amp;C3837,IF(L3837="","EFEITO_PC nao calculado: PC "&amp;A3837&amp;" - "&amp;C3837,"OK")))))))))</f>
        <v/>
      </c>
      <c r="L3837" s="92" t="str">
        <f>IF(AND(A3837="",B3837="",D3837="",G3837=""),"",IF(OR(B3837="",NOT(ISNUMBER(B3837)),C3837="",C3837="Fora dos ciclos"),"",IF(C3837="C0","Nao",IF(IFERROR(INDEX(parametros!$A$2:$A$6,MATCH(C3837,parametros!$B$2:$B$6,0)),"")&lt;&gt;"Sim","Nao",IF(IFERROR(INDEX(parametros!$H$2:$H$6,MATCH(C3837,parametros!$B$2:$B$6,0)),"")="","",IF(B3837&gt;=IFERROR(INDEX(parametros!$H$2:$H$6,MATCH(C3837,parametros!$B$2:$B$6,0)),""),"Sim","Nao"))))))</f>
        <v/>
      </c>
      <c r="T3837" s="156"/>
      <c r="U3837" s="214" t="str">
        <f t="shared" si="301"/>
        <v/>
      </c>
      <c r="V3837" s="212" t="s">
        <v>50</v>
      </c>
      <c r="W3837" s="100" t="s">
        <v>168</v>
      </c>
      <c r="X3837" s="100" t="s">
        <v>169</v>
      </c>
      <c r="Y3837" s="101" t="s">
        <v>170</v>
      </c>
      <c r="Z3837" s="101" t="s">
        <v>171</v>
      </c>
      <c r="AA3837" s="101" t="s">
        <v>50</v>
      </c>
      <c r="AB3837" s="101" t="s">
        <v>172</v>
      </c>
      <c r="AC3837" s="102" t="s">
        <v>173</v>
      </c>
    </row>
    <row r="3838" spans="1:29" ht="25.5" customHeight="1" x14ac:dyDescent="0.35">
      <c r="A3838" s="392"/>
      <c r="B3838" s="393"/>
      <c r="C3838" s="99" t="str">
        <f>IF(B3838="","",IF(NOT(ISNUMBER(B3838)),"DATA_PC invalida",IF(NOT(ISNUMBER(parametros!$C$2)),"Fora dos ciclos",IF(OR(B3838&lt;parametros!$C$2,(YEAR(B3838)-YEAR(parametros!$C$2))*12+MONTH(B3838)-MONTH(parametros!$C$2)&gt;59),"Fora dos ciclos","C"&amp;INT(((YEAR(B3838)-YEAR(parametros!$C$2))*12+MONTH(B3838)-MONTH(parametros!$C$2))/12)))))</f>
        <v/>
      </c>
      <c r="D3838" s="394"/>
      <c r="E3838" s="78" t="str">
        <f>IF(C3838="","",IFERROR(VLOOKUP(C3838,parametros!$A$11:$E$15,5,0),""))</f>
        <v/>
      </c>
      <c r="F3838" s="79" t="str">
        <f t="shared" si="297"/>
        <v/>
      </c>
      <c r="G3838" s="395"/>
      <c r="H3838" s="91">
        <f t="shared" si="298"/>
        <v>0</v>
      </c>
      <c r="I3838" s="91" t="str">
        <f t="shared" si="299"/>
        <v/>
      </c>
      <c r="J3838" s="91" t="str">
        <f t="shared" si="300"/>
        <v/>
      </c>
      <c r="K3838" s="92" t="str">
        <f>IF(AND(A3838="",B3838="",D3838="",G3838=""),"",IF(AND(A3838&lt;&gt;"",COUNTIF($A$2:$A$5001,A3838)&gt;1),"NUMERO_PC duplicado",IF(B3838="","DATA_PC vazia",IF(NOT(ISNUMBER(B3838)),"DATA_PC invalida",IF(OR(C3838="",C3838="Fora dos ciclos"),"CICLO_PC nao identificado",IF(OR(D3838="",D3838=0),"VALOR_PC vazio ou zero",IF(AND(G3838&lt;&gt;"Sim",G3838&lt;&gt;"Nao",G3838&lt;&gt;""),"PC_PAGO_A_CONTRATADA invalido",IF(AND(C3838&lt;&gt;"C0",IFERROR(INDEX(parametros!$A$2:$A$6,MATCH(C3838,parametros!$B$2:$B$6,0)),"")="Sim",IFERROR(INDEX(parametros!$H$2:$H$6,MATCH(C3838,parametros!$B$2:$B$6,0)),"")=""),"INICIO_EFEITO ausente: PC "&amp;A3838&amp;" - "&amp;C3838,IF(L3838="","EFEITO_PC nao calculado: PC "&amp;A3838&amp;" - "&amp;C3838,"OK")))))))))</f>
        <v/>
      </c>
      <c r="L3838" s="92" t="str">
        <f>IF(AND(A3838="",B3838="",D3838="",G3838=""),"",IF(OR(B3838="",NOT(ISNUMBER(B3838)),C3838="",C3838="Fora dos ciclos"),"",IF(C3838="C0","Nao",IF(IFERROR(INDEX(parametros!$A$2:$A$6,MATCH(C3838,parametros!$B$2:$B$6,0)),"")&lt;&gt;"Sim","Nao",IF(IFERROR(INDEX(parametros!$H$2:$H$6,MATCH(C3838,parametros!$B$2:$B$6,0)),"")="","",IF(B3838&gt;=IFERROR(INDEX(parametros!$H$2:$H$6,MATCH(C3838,parametros!$B$2:$B$6,0)),""),"Sim","Nao"))))))</f>
        <v/>
      </c>
      <c r="T3838" s="156"/>
      <c r="U3838" s="214" t="str">
        <f t="shared" si="301"/>
        <v/>
      </c>
      <c r="V3838" s="212" t="s">
        <v>50</v>
      </c>
      <c r="W3838" s="100" t="s">
        <v>168</v>
      </c>
      <c r="X3838" s="100" t="s">
        <v>169</v>
      </c>
      <c r="Y3838" s="101" t="s">
        <v>170</v>
      </c>
      <c r="Z3838" s="101" t="s">
        <v>171</v>
      </c>
      <c r="AA3838" s="101" t="s">
        <v>50</v>
      </c>
      <c r="AB3838" s="101" t="s">
        <v>172</v>
      </c>
      <c r="AC3838" s="102" t="s">
        <v>173</v>
      </c>
    </row>
    <row r="3839" spans="1:29" ht="25.5" customHeight="1" x14ac:dyDescent="0.35">
      <c r="A3839" s="392"/>
      <c r="B3839" s="393"/>
      <c r="C3839" s="99" t="str">
        <f>IF(B3839="","",IF(NOT(ISNUMBER(B3839)),"DATA_PC invalida",IF(NOT(ISNUMBER(parametros!$C$2)),"Fora dos ciclos",IF(OR(B3839&lt;parametros!$C$2,(YEAR(B3839)-YEAR(parametros!$C$2))*12+MONTH(B3839)-MONTH(parametros!$C$2)&gt;59),"Fora dos ciclos","C"&amp;INT(((YEAR(B3839)-YEAR(parametros!$C$2))*12+MONTH(B3839)-MONTH(parametros!$C$2))/12)))))</f>
        <v/>
      </c>
      <c r="D3839" s="394"/>
      <c r="E3839" s="78" t="str">
        <f>IF(C3839="","",IFERROR(VLOOKUP(C3839,parametros!$A$11:$E$15,5,0),""))</f>
        <v/>
      </c>
      <c r="F3839" s="79" t="str">
        <f t="shared" si="297"/>
        <v/>
      </c>
      <c r="G3839" s="395"/>
      <c r="H3839" s="91">
        <f t="shared" si="298"/>
        <v>0</v>
      </c>
      <c r="I3839" s="91" t="str">
        <f t="shared" si="299"/>
        <v/>
      </c>
      <c r="J3839" s="91" t="str">
        <f t="shared" si="300"/>
        <v/>
      </c>
      <c r="K3839" s="92" t="str">
        <f>IF(AND(A3839="",B3839="",D3839="",G3839=""),"",IF(AND(A3839&lt;&gt;"",COUNTIF($A$2:$A$5001,A3839)&gt;1),"NUMERO_PC duplicado",IF(B3839="","DATA_PC vazia",IF(NOT(ISNUMBER(B3839)),"DATA_PC invalida",IF(OR(C3839="",C3839="Fora dos ciclos"),"CICLO_PC nao identificado",IF(OR(D3839="",D3839=0),"VALOR_PC vazio ou zero",IF(AND(G3839&lt;&gt;"Sim",G3839&lt;&gt;"Nao",G3839&lt;&gt;""),"PC_PAGO_A_CONTRATADA invalido",IF(AND(C3839&lt;&gt;"C0",IFERROR(INDEX(parametros!$A$2:$A$6,MATCH(C3839,parametros!$B$2:$B$6,0)),"")="Sim",IFERROR(INDEX(parametros!$H$2:$H$6,MATCH(C3839,parametros!$B$2:$B$6,0)),"")=""),"INICIO_EFEITO ausente: PC "&amp;A3839&amp;" - "&amp;C3839,IF(L3839="","EFEITO_PC nao calculado: PC "&amp;A3839&amp;" - "&amp;C3839,"OK")))))))))</f>
        <v/>
      </c>
      <c r="L3839" s="92" t="str">
        <f>IF(AND(A3839="",B3839="",D3839="",G3839=""),"",IF(OR(B3839="",NOT(ISNUMBER(B3839)),C3839="",C3839="Fora dos ciclos"),"",IF(C3839="C0","Nao",IF(IFERROR(INDEX(parametros!$A$2:$A$6,MATCH(C3839,parametros!$B$2:$B$6,0)),"")&lt;&gt;"Sim","Nao",IF(IFERROR(INDEX(parametros!$H$2:$H$6,MATCH(C3839,parametros!$B$2:$B$6,0)),"")="","",IF(B3839&gt;=IFERROR(INDEX(parametros!$H$2:$H$6,MATCH(C3839,parametros!$B$2:$B$6,0)),""),"Sim","Nao"))))))</f>
        <v/>
      </c>
      <c r="T3839" s="156"/>
      <c r="U3839" s="214" t="str">
        <f t="shared" si="301"/>
        <v/>
      </c>
      <c r="V3839" s="212" t="s">
        <v>50</v>
      </c>
      <c r="W3839" s="100" t="s">
        <v>168</v>
      </c>
      <c r="X3839" s="100" t="s">
        <v>169</v>
      </c>
      <c r="Y3839" s="101" t="s">
        <v>170</v>
      </c>
      <c r="Z3839" s="101" t="s">
        <v>171</v>
      </c>
      <c r="AA3839" s="101" t="s">
        <v>50</v>
      </c>
      <c r="AB3839" s="101" t="s">
        <v>172</v>
      </c>
      <c r="AC3839" s="102" t="s">
        <v>173</v>
      </c>
    </row>
    <row r="3840" spans="1:29" ht="25.5" customHeight="1" x14ac:dyDescent="0.35">
      <c r="A3840" s="392"/>
      <c r="B3840" s="393"/>
      <c r="C3840" s="99" t="str">
        <f>IF(B3840="","",IF(NOT(ISNUMBER(B3840)),"DATA_PC invalida",IF(NOT(ISNUMBER(parametros!$C$2)),"Fora dos ciclos",IF(OR(B3840&lt;parametros!$C$2,(YEAR(B3840)-YEAR(parametros!$C$2))*12+MONTH(B3840)-MONTH(parametros!$C$2)&gt;59),"Fora dos ciclos","C"&amp;INT(((YEAR(B3840)-YEAR(parametros!$C$2))*12+MONTH(B3840)-MONTH(parametros!$C$2))/12)))))</f>
        <v/>
      </c>
      <c r="D3840" s="394"/>
      <c r="E3840" s="78" t="str">
        <f>IF(C3840="","",IFERROR(VLOOKUP(C3840,parametros!$A$11:$E$15,5,0),""))</f>
        <v/>
      </c>
      <c r="F3840" s="79" t="str">
        <f t="shared" si="297"/>
        <v/>
      </c>
      <c r="G3840" s="395"/>
      <c r="H3840" s="91">
        <f t="shared" si="298"/>
        <v>0</v>
      </c>
      <c r="I3840" s="91" t="str">
        <f t="shared" si="299"/>
        <v/>
      </c>
      <c r="J3840" s="91" t="str">
        <f t="shared" si="300"/>
        <v/>
      </c>
      <c r="K3840" s="92" t="str">
        <f>IF(AND(A3840="",B3840="",D3840="",G3840=""),"",IF(AND(A3840&lt;&gt;"",COUNTIF($A$2:$A$5001,A3840)&gt;1),"NUMERO_PC duplicado",IF(B3840="","DATA_PC vazia",IF(NOT(ISNUMBER(B3840)),"DATA_PC invalida",IF(OR(C3840="",C3840="Fora dos ciclos"),"CICLO_PC nao identificado",IF(OR(D3840="",D3840=0),"VALOR_PC vazio ou zero",IF(AND(G3840&lt;&gt;"Sim",G3840&lt;&gt;"Nao",G3840&lt;&gt;""),"PC_PAGO_A_CONTRATADA invalido",IF(AND(C3840&lt;&gt;"C0",IFERROR(INDEX(parametros!$A$2:$A$6,MATCH(C3840,parametros!$B$2:$B$6,0)),"")="Sim",IFERROR(INDEX(parametros!$H$2:$H$6,MATCH(C3840,parametros!$B$2:$B$6,0)),"")=""),"INICIO_EFEITO ausente: PC "&amp;A3840&amp;" - "&amp;C3840,IF(L3840="","EFEITO_PC nao calculado: PC "&amp;A3840&amp;" - "&amp;C3840,"OK")))))))))</f>
        <v/>
      </c>
      <c r="L3840" s="92" t="str">
        <f>IF(AND(A3840="",B3840="",D3840="",G3840=""),"",IF(OR(B3840="",NOT(ISNUMBER(B3840)),C3840="",C3840="Fora dos ciclos"),"",IF(C3840="C0","Nao",IF(IFERROR(INDEX(parametros!$A$2:$A$6,MATCH(C3840,parametros!$B$2:$B$6,0)),"")&lt;&gt;"Sim","Nao",IF(IFERROR(INDEX(parametros!$H$2:$H$6,MATCH(C3840,parametros!$B$2:$B$6,0)),"")="","",IF(B3840&gt;=IFERROR(INDEX(parametros!$H$2:$H$6,MATCH(C3840,parametros!$B$2:$B$6,0)),""),"Sim","Nao"))))))</f>
        <v/>
      </c>
      <c r="T3840" s="156"/>
      <c r="U3840" s="214" t="str">
        <f t="shared" si="301"/>
        <v/>
      </c>
      <c r="V3840" s="212" t="s">
        <v>50</v>
      </c>
      <c r="W3840" s="100" t="s">
        <v>168</v>
      </c>
      <c r="X3840" s="100" t="s">
        <v>169</v>
      </c>
      <c r="Y3840" s="101" t="s">
        <v>170</v>
      </c>
      <c r="Z3840" s="101" t="s">
        <v>171</v>
      </c>
      <c r="AA3840" s="101" t="s">
        <v>50</v>
      </c>
      <c r="AB3840" s="101" t="s">
        <v>172</v>
      </c>
      <c r="AC3840" s="102" t="s">
        <v>173</v>
      </c>
    </row>
    <row r="3841" spans="1:29" ht="25.5" customHeight="1" x14ac:dyDescent="0.35">
      <c r="A3841" s="392"/>
      <c r="B3841" s="393"/>
      <c r="C3841" s="99" t="str">
        <f>IF(B3841="","",IF(NOT(ISNUMBER(B3841)),"DATA_PC invalida",IF(NOT(ISNUMBER(parametros!$C$2)),"Fora dos ciclos",IF(OR(B3841&lt;parametros!$C$2,(YEAR(B3841)-YEAR(parametros!$C$2))*12+MONTH(B3841)-MONTH(parametros!$C$2)&gt;59),"Fora dos ciclos","C"&amp;INT(((YEAR(B3841)-YEAR(parametros!$C$2))*12+MONTH(B3841)-MONTH(parametros!$C$2))/12)))))</f>
        <v/>
      </c>
      <c r="D3841" s="394"/>
      <c r="E3841" s="78" t="str">
        <f>IF(C3841="","",IFERROR(VLOOKUP(C3841,parametros!$A$11:$E$15,5,0),""))</f>
        <v/>
      </c>
      <c r="F3841" s="79" t="str">
        <f t="shared" si="297"/>
        <v/>
      </c>
      <c r="G3841" s="395"/>
      <c r="H3841" s="91">
        <f t="shared" si="298"/>
        <v>0</v>
      </c>
      <c r="I3841" s="91" t="str">
        <f t="shared" si="299"/>
        <v/>
      </c>
      <c r="J3841" s="91" t="str">
        <f t="shared" si="300"/>
        <v/>
      </c>
      <c r="K3841" s="92" t="str">
        <f>IF(AND(A3841="",B3841="",D3841="",G3841=""),"",IF(AND(A3841&lt;&gt;"",COUNTIF($A$2:$A$5001,A3841)&gt;1),"NUMERO_PC duplicado",IF(B3841="","DATA_PC vazia",IF(NOT(ISNUMBER(B3841)),"DATA_PC invalida",IF(OR(C3841="",C3841="Fora dos ciclos"),"CICLO_PC nao identificado",IF(OR(D3841="",D3841=0),"VALOR_PC vazio ou zero",IF(AND(G3841&lt;&gt;"Sim",G3841&lt;&gt;"Nao",G3841&lt;&gt;""),"PC_PAGO_A_CONTRATADA invalido",IF(AND(C3841&lt;&gt;"C0",IFERROR(INDEX(parametros!$A$2:$A$6,MATCH(C3841,parametros!$B$2:$B$6,0)),"")="Sim",IFERROR(INDEX(parametros!$H$2:$H$6,MATCH(C3841,parametros!$B$2:$B$6,0)),"")=""),"INICIO_EFEITO ausente: PC "&amp;A3841&amp;" - "&amp;C3841,IF(L3841="","EFEITO_PC nao calculado: PC "&amp;A3841&amp;" - "&amp;C3841,"OK")))))))))</f>
        <v/>
      </c>
      <c r="L3841" s="92" t="str">
        <f>IF(AND(A3841="",B3841="",D3841="",G3841=""),"",IF(OR(B3841="",NOT(ISNUMBER(B3841)),C3841="",C3841="Fora dos ciclos"),"",IF(C3841="C0","Nao",IF(IFERROR(INDEX(parametros!$A$2:$A$6,MATCH(C3841,parametros!$B$2:$B$6,0)),"")&lt;&gt;"Sim","Nao",IF(IFERROR(INDEX(parametros!$H$2:$H$6,MATCH(C3841,parametros!$B$2:$B$6,0)),"")="","",IF(B3841&gt;=IFERROR(INDEX(parametros!$H$2:$H$6,MATCH(C3841,parametros!$B$2:$B$6,0)),""),"Sim","Nao"))))))</f>
        <v/>
      </c>
      <c r="T3841" s="156"/>
      <c r="U3841" s="214" t="str">
        <f t="shared" si="301"/>
        <v/>
      </c>
      <c r="V3841" s="212" t="s">
        <v>50</v>
      </c>
      <c r="W3841" s="100" t="s">
        <v>168</v>
      </c>
      <c r="X3841" s="100" t="s">
        <v>169</v>
      </c>
      <c r="Y3841" s="101" t="s">
        <v>170</v>
      </c>
      <c r="Z3841" s="101" t="s">
        <v>171</v>
      </c>
      <c r="AA3841" s="101" t="s">
        <v>50</v>
      </c>
      <c r="AB3841" s="101" t="s">
        <v>172</v>
      </c>
      <c r="AC3841" s="102" t="s">
        <v>173</v>
      </c>
    </row>
    <row r="3842" spans="1:29" ht="25.5" customHeight="1" x14ac:dyDescent="0.35">
      <c r="A3842" s="392"/>
      <c r="B3842" s="393"/>
      <c r="C3842" s="99" t="str">
        <f>IF(B3842="","",IF(NOT(ISNUMBER(B3842)),"DATA_PC invalida",IF(NOT(ISNUMBER(parametros!$C$2)),"Fora dos ciclos",IF(OR(B3842&lt;parametros!$C$2,(YEAR(B3842)-YEAR(parametros!$C$2))*12+MONTH(B3842)-MONTH(parametros!$C$2)&gt;59),"Fora dos ciclos","C"&amp;INT(((YEAR(B3842)-YEAR(parametros!$C$2))*12+MONTH(B3842)-MONTH(parametros!$C$2))/12)))))</f>
        <v/>
      </c>
      <c r="D3842" s="394"/>
      <c r="E3842" s="78" t="str">
        <f>IF(C3842="","",IFERROR(VLOOKUP(C3842,parametros!$A$11:$E$15,5,0),""))</f>
        <v/>
      </c>
      <c r="F3842" s="79" t="str">
        <f t="shared" ref="F3842:F3905" si="302">IF(OR(D3842="",E3842=""),"",ROUND(D3842*E3842,2))</f>
        <v/>
      </c>
      <c r="G3842" s="395"/>
      <c r="H3842" s="91">
        <f t="shared" ref="H3842:H3905" si="303">IF(G3842="Sim",IF(OR(F3842="",D3842="",L3842=""),"",IF(L3842="Sim",ROUND(F3842-D3842,2),0)),0)</f>
        <v>0</v>
      </c>
      <c r="I3842" s="91" t="str">
        <f t="shared" ref="I3842:I3905" si="304">IF(G3842="Sim",0,IF(OR(F3842="",L3842=""),"",F3842))</f>
        <v/>
      </c>
      <c r="J3842" s="91" t="str">
        <f t="shared" ref="J3842:J3905" si="305">IF(G3842="Sim",0,IF(OR(F3842="",D3842="",L3842=""),"",IF(L3842="Sim",ROUND(F3842-D3842,2),0)))</f>
        <v/>
      </c>
      <c r="K3842" s="92" t="str">
        <f>IF(AND(A3842="",B3842="",D3842="",G3842=""),"",IF(AND(A3842&lt;&gt;"",COUNTIF($A$2:$A$5001,A3842)&gt;1),"NUMERO_PC duplicado",IF(B3842="","DATA_PC vazia",IF(NOT(ISNUMBER(B3842)),"DATA_PC invalida",IF(OR(C3842="",C3842="Fora dos ciclos"),"CICLO_PC nao identificado",IF(OR(D3842="",D3842=0),"VALOR_PC vazio ou zero",IF(AND(G3842&lt;&gt;"Sim",G3842&lt;&gt;"Nao",G3842&lt;&gt;""),"PC_PAGO_A_CONTRATADA invalido",IF(AND(C3842&lt;&gt;"C0",IFERROR(INDEX(parametros!$A$2:$A$6,MATCH(C3842,parametros!$B$2:$B$6,0)),"")="Sim",IFERROR(INDEX(parametros!$H$2:$H$6,MATCH(C3842,parametros!$B$2:$B$6,0)),"")=""),"INICIO_EFEITO ausente: PC "&amp;A3842&amp;" - "&amp;C3842,IF(L3842="","EFEITO_PC nao calculado: PC "&amp;A3842&amp;" - "&amp;C3842,"OK")))))))))</f>
        <v/>
      </c>
      <c r="L3842" s="92" t="str">
        <f>IF(AND(A3842="",B3842="",D3842="",G3842=""),"",IF(OR(B3842="",NOT(ISNUMBER(B3842)),C3842="",C3842="Fora dos ciclos"),"",IF(C3842="C0","Nao",IF(IFERROR(INDEX(parametros!$A$2:$A$6,MATCH(C3842,parametros!$B$2:$B$6,0)),"")&lt;&gt;"Sim","Nao",IF(IFERROR(INDEX(parametros!$H$2:$H$6,MATCH(C3842,parametros!$B$2:$B$6,0)),"")="","",IF(B3842&gt;=IFERROR(INDEX(parametros!$H$2:$H$6,MATCH(C3842,parametros!$B$2:$B$6,0)),""),"Sim","Nao"))))))</f>
        <v/>
      </c>
      <c r="T3842" s="156"/>
      <c r="U3842" s="214" t="str">
        <f t="shared" ref="U3842:U3905" si="306">IF(OR($D3842="",$H3842=""),"",ROUND($D3842+$H3842,2))</f>
        <v/>
      </c>
      <c r="V3842" s="212" t="s">
        <v>50</v>
      </c>
      <c r="W3842" s="100" t="s">
        <v>168</v>
      </c>
      <c r="X3842" s="100" t="s">
        <v>169</v>
      </c>
      <c r="Y3842" s="101" t="s">
        <v>170</v>
      </c>
      <c r="Z3842" s="101" t="s">
        <v>171</v>
      </c>
      <c r="AA3842" s="101" t="s">
        <v>50</v>
      </c>
      <c r="AB3842" s="101" t="s">
        <v>172</v>
      </c>
      <c r="AC3842" s="102" t="s">
        <v>173</v>
      </c>
    </row>
    <row r="3843" spans="1:29" ht="25.5" customHeight="1" x14ac:dyDescent="0.35">
      <c r="A3843" s="392"/>
      <c r="B3843" s="393"/>
      <c r="C3843" s="99" t="str">
        <f>IF(B3843="","",IF(NOT(ISNUMBER(B3843)),"DATA_PC invalida",IF(NOT(ISNUMBER(parametros!$C$2)),"Fora dos ciclos",IF(OR(B3843&lt;parametros!$C$2,(YEAR(B3843)-YEAR(parametros!$C$2))*12+MONTH(B3843)-MONTH(parametros!$C$2)&gt;59),"Fora dos ciclos","C"&amp;INT(((YEAR(B3843)-YEAR(parametros!$C$2))*12+MONTH(B3843)-MONTH(parametros!$C$2))/12)))))</f>
        <v/>
      </c>
      <c r="D3843" s="394"/>
      <c r="E3843" s="78" t="str">
        <f>IF(C3843="","",IFERROR(VLOOKUP(C3843,parametros!$A$11:$E$15,5,0),""))</f>
        <v/>
      </c>
      <c r="F3843" s="79" t="str">
        <f t="shared" si="302"/>
        <v/>
      </c>
      <c r="G3843" s="395"/>
      <c r="H3843" s="91">
        <f t="shared" si="303"/>
        <v>0</v>
      </c>
      <c r="I3843" s="91" t="str">
        <f t="shared" si="304"/>
        <v/>
      </c>
      <c r="J3843" s="91" t="str">
        <f t="shared" si="305"/>
        <v/>
      </c>
      <c r="K3843" s="92" t="str">
        <f>IF(AND(A3843="",B3843="",D3843="",G3843=""),"",IF(AND(A3843&lt;&gt;"",COUNTIF($A$2:$A$5001,A3843)&gt;1),"NUMERO_PC duplicado",IF(B3843="","DATA_PC vazia",IF(NOT(ISNUMBER(B3843)),"DATA_PC invalida",IF(OR(C3843="",C3843="Fora dos ciclos"),"CICLO_PC nao identificado",IF(OR(D3843="",D3843=0),"VALOR_PC vazio ou zero",IF(AND(G3843&lt;&gt;"Sim",G3843&lt;&gt;"Nao",G3843&lt;&gt;""),"PC_PAGO_A_CONTRATADA invalido",IF(AND(C3843&lt;&gt;"C0",IFERROR(INDEX(parametros!$A$2:$A$6,MATCH(C3843,parametros!$B$2:$B$6,0)),"")="Sim",IFERROR(INDEX(parametros!$H$2:$H$6,MATCH(C3843,parametros!$B$2:$B$6,0)),"")=""),"INICIO_EFEITO ausente: PC "&amp;A3843&amp;" - "&amp;C3843,IF(L3843="","EFEITO_PC nao calculado: PC "&amp;A3843&amp;" - "&amp;C3843,"OK")))))))))</f>
        <v/>
      </c>
      <c r="L3843" s="92" t="str">
        <f>IF(AND(A3843="",B3843="",D3843="",G3843=""),"",IF(OR(B3843="",NOT(ISNUMBER(B3843)),C3843="",C3843="Fora dos ciclos"),"",IF(C3843="C0","Nao",IF(IFERROR(INDEX(parametros!$A$2:$A$6,MATCH(C3843,parametros!$B$2:$B$6,0)),"")&lt;&gt;"Sim","Nao",IF(IFERROR(INDEX(parametros!$H$2:$H$6,MATCH(C3843,parametros!$B$2:$B$6,0)),"")="","",IF(B3843&gt;=IFERROR(INDEX(parametros!$H$2:$H$6,MATCH(C3843,parametros!$B$2:$B$6,0)),""),"Sim","Nao"))))))</f>
        <v/>
      </c>
      <c r="T3843" s="156"/>
      <c r="U3843" s="214" t="str">
        <f t="shared" si="306"/>
        <v/>
      </c>
      <c r="V3843" s="212" t="s">
        <v>50</v>
      </c>
      <c r="W3843" s="100" t="s">
        <v>168</v>
      </c>
      <c r="X3843" s="100" t="s">
        <v>169</v>
      </c>
      <c r="Y3843" s="101" t="s">
        <v>170</v>
      </c>
      <c r="Z3843" s="101" t="s">
        <v>171</v>
      </c>
      <c r="AA3843" s="101" t="s">
        <v>50</v>
      </c>
      <c r="AB3843" s="101" t="s">
        <v>172</v>
      </c>
      <c r="AC3843" s="102" t="s">
        <v>173</v>
      </c>
    </row>
    <row r="3844" spans="1:29" ht="25.5" customHeight="1" x14ac:dyDescent="0.35">
      <c r="A3844" s="392"/>
      <c r="B3844" s="393"/>
      <c r="C3844" s="99" t="str">
        <f>IF(B3844="","",IF(NOT(ISNUMBER(B3844)),"DATA_PC invalida",IF(NOT(ISNUMBER(parametros!$C$2)),"Fora dos ciclos",IF(OR(B3844&lt;parametros!$C$2,(YEAR(B3844)-YEAR(parametros!$C$2))*12+MONTH(B3844)-MONTH(parametros!$C$2)&gt;59),"Fora dos ciclos","C"&amp;INT(((YEAR(B3844)-YEAR(parametros!$C$2))*12+MONTH(B3844)-MONTH(parametros!$C$2))/12)))))</f>
        <v/>
      </c>
      <c r="D3844" s="394"/>
      <c r="E3844" s="78" t="str">
        <f>IF(C3844="","",IFERROR(VLOOKUP(C3844,parametros!$A$11:$E$15,5,0),""))</f>
        <v/>
      </c>
      <c r="F3844" s="79" t="str">
        <f t="shared" si="302"/>
        <v/>
      </c>
      <c r="G3844" s="395"/>
      <c r="H3844" s="91">
        <f t="shared" si="303"/>
        <v>0</v>
      </c>
      <c r="I3844" s="91" t="str">
        <f t="shared" si="304"/>
        <v/>
      </c>
      <c r="J3844" s="91" t="str">
        <f t="shared" si="305"/>
        <v/>
      </c>
      <c r="K3844" s="92" t="str">
        <f>IF(AND(A3844="",B3844="",D3844="",G3844=""),"",IF(AND(A3844&lt;&gt;"",COUNTIF($A$2:$A$5001,A3844)&gt;1),"NUMERO_PC duplicado",IF(B3844="","DATA_PC vazia",IF(NOT(ISNUMBER(B3844)),"DATA_PC invalida",IF(OR(C3844="",C3844="Fora dos ciclos"),"CICLO_PC nao identificado",IF(OR(D3844="",D3844=0),"VALOR_PC vazio ou zero",IF(AND(G3844&lt;&gt;"Sim",G3844&lt;&gt;"Nao",G3844&lt;&gt;""),"PC_PAGO_A_CONTRATADA invalido",IF(AND(C3844&lt;&gt;"C0",IFERROR(INDEX(parametros!$A$2:$A$6,MATCH(C3844,parametros!$B$2:$B$6,0)),"")="Sim",IFERROR(INDEX(parametros!$H$2:$H$6,MATCH(C3844,parametros!$B$2:$B$6,0)),"")=""),"INICIO_EFEITO ausente: PC "&amp;A3844&amp;" - "&amp;C3844,IF(L3844="","EFEITO_PC nao calculado: PC "&amp;A3844&amp;" - "&amp;C3844,"OK")))))))))</f>
        <v/>
      </c>
      <c r="L3844" s="92" t="str">
        <f>IF(AND(A3844="",B3844="",D3844="",G3844=""),"",IF(OR(B3844="",NOT(ISNUMBER(B3844)),C3844="",C3844="Fora dos ciclos"),"",IF(C3844="C0","Nao",IF(IFERROR(INDEX(parametros!$A$2:$A$6,MATCH(C3844,parametros!$B$2:$B$6,0)),"")&lt;&gt;"Sim","Nao",IF(IFERROR(INDEX(parametros!$H$2:$H$6,MATCH(C3844,parametros!$B$2:$B$6,0)),"")="","",IF(B3844&gt;=IFERROR(INDEX(parametros!$H$2:$H$6,MATCH(C3844,parametros!$B$2:$B$6,0)),""),"Sim","Nao"))))))</f>
        <v/>
      </c>
      <c r="T3844" s="156"/>
      <c r="U3844" s="214" t="str">
        <f t="shared" si="306"/>
        <v/>
      </c>
      <c r="V3844" s="212" t="s">
        <v>50</v>
      </c>
      <c r="W3844" s="100" t="s">
        <v>168</v>
      </c>
      <c r="X3844" s="100" t="s">
        <v>169</v>
      </c>
      <c r="Y3844" s="101" t="s">
        <v>170</v>
      </c>
      <c r="Z3844" s="101" t="s">
        <v>171</v>
      </c>
      <c r="AA3844" s="101" t="s">
        <v>50</v>
      </c>
      <c r="AB3844" s="101" t="s">
        <v>172</v>
      </c>
      <c r="AC3844" s="102" t="s">
        <v>173</v>
      </c>
    </row>
    <row r="3845" spans="1:29" ht="25.5" customHeight="1" x14ac:dyDescent="0.35">
      <c r="A3845" s="392"/>
      <c r="B3845" s="393"/>
      <c r="C3845" s="99" t="str">
        <f>IF(B3845="","",IF(NOT(ISNUMBER(B3845)),"DATA_PC invalida",IF(NOT(ISNUMBER(parametros!$C$2)),"Fora dos ciclos",IF(OR(B3845&lt;parametros!$C$2,(YEAR(B3845)-YEAR(parametros!$C$2))*12+MONTH(B3845)-MONTH(parametros!$C$2)&gt;59),"Fora dos ciclos","C"&amp;INT(((YEAR(B3845)-YEAR(parametros!$C$2))*12+MONTH(B3845)-MONTH(parametros!$C$2))/12)))))</f>
        <v/>
      </c>
      <c r="D3845" s="394"/>
      <c r="E3845" s="78" t="str">
        <f>IF(C3845="","",IFERROR(VLOOKUP(C3845,parametros!$A$11:$E$15,5,0),""))</f>
        <v/>
      </c>
      <c r="F3845" s="79" t="str">
        <f t="shared" si="302"/>
        <v/>
      </c>
      <c r="G3845" s="395"/>
      <c r="H3845" s="91">
        <f t="shared" si="303"/>
        <v>0</v>
      </c>
      <c r="I3845" s="91" t="str">
        <f t="shared" si="304"/>
        <v/>
      </c>
      <c r="J3845" s="91" t="str">
        <f t="shared" si="305"/>
        <v/>
      </c>
      <c r="K3845" s="92" t="str">
        <f>IF(AND(A3845="",B3845="",D3845="",G3845=""),"",IF(AND(A3845&lt;&gt;"",COUNTIF($A$2:$A$5001,A3845)&gt;1),"NUMERO_PC duplicado",IF(B3845="","DATA_PC vazia",IF(NOT(ISNUMBER(B3845)),"DATA_PC invalida",IF(OR(C3845="",C3845="Fora dos ciclos"),"CICLO_PC nao identificado",IF(OR(D3845="",D3845=0),"VALOR_PC vazio ou zero",IF(AND(G3845&lt;&gt;"Sim",G3845&lt;&gt;"Nao",G3845&lt;&gt;""),"PC_PAGO_A_CONTRATADA invalido",IF(AND(C3845&lt;&gt;"C0",IFERROR(INDEX(parametros!$A$2:$A$6,MATCH(C3845,parametros!$B$2:$B$6,0)),"")="Sim",IFERROR(INDEX(parametros!$H$2:$H$6,MATCH(C3845,parametros!$B$2:$B$6,0)),"")=""),"INICIO_EFEITO ausente: PC "&amp;A3845&amp;" - "&amp;C3845,IF(L3845="","EFEITO_PC nao calculado: PC "&amp;A3845&amp;" - "&amp;C3845,"OK")))))))))</f>
        <v/>
      </c>
      <c r="L3845" s="92" t="str">
        <f>IF(AND(A3845="",B3845="",D3845="",G3845=""),"",IF(OR(B3845="",NOT(ISNUMBER(B3845)),C3845="",C3845="Fora dos ciclos"),"",IF(C3845="C0","Nao",IF(IFERROR(INDEX(parametros!$A$2:$A$6,MATCH(C3845,parametros!$B$2:$B$6,0)),"")&lt;&gt;"Sim","Nao",IF(IFERROR(INDEX(parametros!$H$2:$H$6,MATCH(C3845,parametros!$B$2:$B$6,0)),"")="","",IF(B3845&gt;=IFERROR(INDEX(parametros!$H$2:$H$6,MATCH(C3845,parametros!$B$2:$B$6,0)),""),"Sim","Nao"))))))</f>
        <v/>
      </c>
      <c r="T3845" s="156"/>
      <c r="U3845" s="214" t="str">
        <f t="shared" si="306"/>
        <v/>
      </c>
      <c r="V3845" s="212" t="s">
        <v>50</v>
      </c>
      <c r="W3845" s="100" t="s">
        <v>168</v>
      </c>
      <c r="X3845" s="100" t="s">
        <v>169</v>
      </c>
      <c r="Y3845" s="101" t="s">
        <v>170</v>
      </c>
      <c r="Z3845" s="101" t="s">
        <v>171</v>
      </c>
      <c r="AA3845" s="101" t="s">
        <v>50</v>
      </c>
      <c r="AB3845" s="101" t="s">
        <v>172</v>
      </c>
      <c r="AC3845" s="102" t="s">
        <v>173</v>
      </c>
    </row>
    <row r="3846" spans="1:29" ht="25.5" customHeight="1" x14ac:dyDescent="0.35">
      <c r="A3846" s="392"/>
      <c r="B3846" s="393"/>
      <c r="C3846" s="99" t="str">
        <f>IF(B3846="","",IF(NOT(ISNUMBER(B3846)),"DATA_PC invalida",IF(NOT(ISNUMBER(parametros!$C$2)),"Fora dos ciclos",IF(OR(B3846&lt;parametros!$C$2,(YEAR(B3846)-YEAR(parametros!$C$2))*12+MONTH(B3846)-MONTH(parametros!$C$2)&gt;59),"Fora dos ciclos","C"&amp;INT(((YEAR(B3846)-YEAR(parametros!$C$2))*12+MONTH(B3846)-MONTH(parametros!$C$2))/12)))))</f>
        <v/>
      </c>
      <c r="D3846" s="394"/>
      <c r="E3846" s="78" t="str">
        <f>IF(C3846="","",IFERROR(VLOOKUP(C3846,parametros!$A$11:$E$15,5,0),""))</f>
        <v/>
      </c>
      <c r="F3846" s="79" t="str">
        <f t="shared" si="302"/>
        <v/>
      </c>
      <c r="G3846" s="395"/>
      <c r="H3846" s="91">
        <f t="shared" si="303"/>
        <v>0</v>
      </c>
      <c r="I3846" s="91" t="str">
        <f t="shared" si="304"/>
        <v/>
      </c>
      <c r="J3846" s="91" t="str">
        <f t="shared" si="305"/>
        <v/>
      </c>
      <c r="K3846" s="92" t="str">
        <f>IF(AND(A3846="",B3846="",D3846="",G3846=""),"",IF(AND(A3846&lt;&gt;"",COUNTIF($A$2:$A$5001,A3846)&gt;1),"NUMERO_PC duplicado",IF(B3846="","DATA_PC vazia",IF(NOT(ISNUMBER(B3846)),"DATA_PC invalida",IF(OR(C3846="",C3846="Fora dos ciclos"),"CICLO_PC nao identificado",IF(OR(D3846="",D3846=0),"VALOR_PC vazio ou zero",IF(AND(G3846&lt;&gt;"Sim",G3846&lt;&gt;"Nao",G3846&lt;&gt;""),"PC_PAGO_A_CONTRATADA invalido",IF(AND(C3846&lt;&gt;"C0",IFERROR(INDEX(parametros!$A$2:$A$6,MATCH(C3846,parametros!$B$2:$B$6,0)),"")="Sim",IFERROR(INDEX(parametros!$H$2:$H$6,MATCH(C3846,parametros!$B$2:$B$6,0)),"")=""),"INICIO_EFEITO ausente: PC "&amp;A3846&amp;" - "&amp;C3846,IF(L3846="","EFEITO_PC nao calculado: PC "&amp;A3846&amp;" - "&amp;C3846,"OK")))))))))</f>
        <v/>
      </c>
      <c r="L3846" s="92" t="str">
        <f>IF(AND(A3846="",B3846="",D3846="",G3846=""),"",IF(OR(B3846="",NOT(ISNUMBER(B3846)),C3846="",C3846="Fora dos ciclos"),"",IF(C3846="C0","Nao",IF(IFERROR(INDEX(parametros!$A$2:$A$6,MATCH(C3846,parametros!$B$2:$B$6,0)),"")&lt;&gt;"Sim","Nao",IF(IFERROR(INDEX(parametros!$H$2:$H$6,MATCH(C3846,parametros!$B$2:$B$6,0)),"")="","",IF(B3846&gt;=IFERROR(INDEX(parametros!$H$2:$H$6,MATCH(C3846,parametros!$B$2:$B$6,0)),""),"Sim","Nao"))))))</f>
        <v/>
      </c>
      <c r="T3846" s="156"/>
      <c r="U3846" s="214" t="str">
        <f t="shared" si="306"/>
        <v/>
      </c>
      <c r="V3846" s="212" t="s">
        <v>50</v>
      </c>
      <c r="W3846" s="100" t="s">
        <v>168</v>
      </c>
      <c r="X3846" s="100" t="s">
        <v>169</v>
      </c>
      <c r="Y3846" s="101" t="s">
        <v>170</v>
      </c>
      <c r="Z3846" s="101" t="s">
        <v>171</v>
      </c>
      <c r="AA3846" s="101" t="s">
        <v>50</v>
      </c>
      <c r="AB3846" s="101" t="s">
        <v>172</v>
      </c>
      <c r="AC3846" s="102" t="s">
        <v>173</v>
      </c>
    </row>
    <row r="3847" spans="1:29" ht="25.5" customHeight="1" x14ac:dyDescent="0.35">
      <c r="A3847" s="392"/>
      <c r="B3847" s="393"/>
      <c r="C3847" s="99" t="str">
        <f>IF(B3847="","",IF(NOT(ISNUMBER(B3847)),"DATA_PC invalida",IF(NOT(ISNUMBER(parametros!$C$2)),"Fora dos ciclos",IF(OR(B3847&lt;parametros!$C$2,(YEAR(B3847)-YEAR(parametros!$C$2))*12+MONTH(B3847)-MONTH(parametros!$C$2)&gt;59),"Fora dos ciclos","C"&amp;INT(((YEAR(B3847)-YEAR(parametros!$C$2))*12+MONTH(B3847)-MONTH(parametros!$C$2))/12)))))</f>
        <v/>
      </c>
      <c r="D3847" s="394"/>
      <c r="E3847" s="78" t="str">
        <f>IF(C3847="","",IFERROR(VLOOKUP(C3847,parametros!$A$11:$E$15,5,0),""))</f>
        <v/>
      </c>
      <c r="F3847" s="79" t="str">
        <f t="shared" si="302"/>
        <v/>
      </c>
      <c r="G3847" s="395"/>
      <c r="H3847" s="91">
        <f t="shared" si="303"/>
        <v>0</v>
      </c>
      <c r="I3847" s="91" t="str">
        <f t="shared" si="304"/>
        <v/>
      </c>
      <c r="J3847" s="91" t="str">
        <f t="shared" si="305"/>
        <v/>
      </c>
      <c r="K3847" s="92" t="str">
        <f>IF(AND(A3847="",B3847="",D3847="",G3847=""),"",IF(AND(A3847&lt;&gt;"",COUNTIF($A$2:$A$5001,A3847)&gt;1),"NUMERO_PC duplicado",IF(B3847="","DATA_PC vazia",IF(NOT(ISNUMBER(B3847)),"DATA_PC invalida",IF(OR(C3847="",C3847="Fora dos ciclos"),"CICLO_PC nao identificado",IF(OR(D3847="",D3847=0),"VALOR_PC vazio ou zero",IF(AND(G3847&lt;&gt;"Sim",G3847&lt;&gt;"Nao",G3847&lt;&gt;""),"PC_PAGO_A_CONTRATADA invalido",IF(AND(C3847&lt;&gt;"C0",IFERROR(INDEX(parametros!$A$2:$A$6,MATCH(C3847,parametros!$B$2:$B$6,0)),"")="Sim",IFERROR(INDEX(parametros!$H$2:$H$6,MATCH(C3847,parametros!$B$2:$B$6,0)),"")=""),"INICIO_EFEITO ausente: PC "&amp;A3847&amp;" - "&amp;C3847,IF(L3847="","EFEITO_PC nao calculado: PC "&amp;A3847&amp;" - "&amp;C3847,"OK")))))))))</f>
        <v/>
      </c>
      <c r="L3847" s="92" t="str">
        <f>IF(AND(A3847="",B3847="",D3847="",G3847=""),"",IF(OR(B3847="",NOT(ISNUMBER(B3847)),C3847="",C3847="Fora dos ciclos"),"",IF(C3847="C0","Nao",IF(IFERROR(INDEX(parametros!$A$2:$A$6,MATCH(C3847,parametros!$B$2:$B$6,0)),"")&lt;&gt;"Sim","Nao",IF(IFERROR(INDEX(parametros!$H$2:$H$6,MATCH(C3847,parametros!$B$2:$B$6,0)),"")="","",IF(B3847&gt;=IFERROR(INDEX(parametros!$H$2:$H$6,MATCH(C3847,parametros!$B$2:$B$6,0)),""),"Sim","Nao"))))))</f>
        <v/>
      </c>
      <c r="T3847" s="156"/>
      <c r="U3847" s="214" t="str">
        <f t="shared" si="306"/>
        <v/>
      </c>
      <c r="V3847" s="212" t="s">
        <v>50</v>
      </c>
      <c r="W3847" s="100" t="s">
        <v>168</v>
      </c>
      <c r="X3847" s="100" t="s">
        <v>169</v>
      </c>
      <c r="Y3847" s="101" t="s">
        <v>170</v>
      </c>
      <c r="Z3847" s="101" t="s">
        <v>171</v>
      </c>
      <c r="AA3847" s="101" t="s">
        <v>50</v>
      </c>
      <c r="AB3847" s="101" t="s">
        <v>172</v>
      </c>
      <c r="AC3847" s="102" t="s">
        <v>173</v>
      </c>
    </row>
    <row r="3848" spans="1:29" ht="25.5" customHeight="1" x14ac:dyDescent="0.35">
      <c r="A3848" s="392"/>
      <c r="B3848" s="393"/>
      <c r="C3848" s="99" t="str">
        <f>IF(B3848="","",IF(NOT(ISNUMBER(B3848)),"DATA_PC invalida",IF(NOT(ISNUMBER(parametros!$C$2)),"Fora dos ciclos",IF(OR(B3848&lt;parametros!$C$2,(YEAR(B3848)-YEAR(parametros!$C$2))*12+MONTH(B3848)-MONTH(parametros!$C$2)&gt;59),"Fora dos ciclos","C"&amp;INT(((YEAR(B3848)-YEAR(parametros!$C$2))*12+MONTH(B3848)-MONTH(parametros!$C$2))/12)))))</f>
        <v/>
      </c>
      <c r="D3848" s="394"/>
      <c r="E3848" s="78" t="str">
        <f>IF(C3848="","",IFERROR(VLOOKUP(C3848,parametros!$A$11:$E$15,5,0),""))</f>
        <v/>
      </c>
      <c r="F3848" s="79" t="str">
        <f t="shared" si="302"/>
        <v/>
      </c>
      <c r="G3848" s="395"/>
      <c r="H3848" s="91">
        <f t="shared" si="303"/>
        <v>0</v>
      </c>
      <c r="I3848" s="91" t="str">
        <f t="shared" si="304"/>
        <v/>
      </c>
      <c r="J3848" s="91" t="str">
        <f t="shared" si="305"/>
        <v/>
      </c>
      <c r="K3848" s="92" t="str">
        <f>IF(AND(A3848="",B3848="",D3848="",G3848=""),"",IF(AND(A3848&lt;&gt;"",COUNTIF($A$2:$A$5001,A3848)&gt;1),"NUMERO_PC duplicado",IF(B3848="","DATA_PC vazia",IF(NOT(ISNUMBER(B3848)),"DATA_PC invalida",IF(OR(C3848="",C3848="Fora dos ciclos"),"CICLO_PC nao identificado",IF(OR(D3848="",D3848=0),"VALOR_PC vazio ou zero",IF(AND(G3848&lt;&gt;"Sim",G3848&lt;&gt;"Nao",G3848&lt;&gt;""),"PC_PAGO_A_CONTRATADA invalido",IF(AND(C3848&lt;&gt;"C0",IFERROR(INDEX(parametros!$A$2:$A$6,MATCH(C3848,parametros!$B$2:$B$6,0)),"")="Sim",IFERROR(INDEX(parametros!$H$2:$H$6,MATCH(C3848,parametros!$B$2:$B$6,0)),"")=""),"INICIO_EFEITO ausente: PC "&amp;A3848&amp;" - "&amp;C3848,IF(L3848="","EFEITO_PC nao calculado: PC "&amp;A3848&amp;" - "&amp;C3848,"OK")))))))))</f>
        <v/>
      </c>
      <c r="L3848" s="92" t="str">
        <f>IF(AND(A3848="",B3848="",D3848="",G3848=""),"",IF(OR(B3848="",NOT(ISNUMBER(B3848)),C3848="",C3848="Fora dos ciclos"),"",IF(C3848="C0","Nao",IF(IFERROR(INDEX(parametros!$A$2:$A$6,MATCH(C3848,parametros!$B$2:$B$6,0)),"")&lt;&gt;"Sim","Nao",IF(IFERROR(INDEX(parametros!$H$2:$H$6,MATCH(C3848,parametros!$B$2:$B$6,0)),"")="","",IF(B3848&gt;=IFERROR(INDEX(parametros!$H$2:$H$6,MATCH(C3848,parametros!$B$2:$B$6,0)),""),"Sim","Nao"))))))</f>
        <v/>
      </c>
      <c r="T3848" s="156"/>
      <c r="U3848" s="214" t="str">
        <f t="shared" si="306"/>
        <v/>
      </c>
      <c r="V3848" s="212" t="s">
        <v>50</v>
      </c>
      <c r="W3848" s="100" t="s">
        <v>168</v>
      </c>
      <c r="X3848" s="100" t="s">
        <v>169</v>
      </c>
      <c r="Y3848" s="101" t="s">
        <v>170</v>
      </c>
      <c r="Z3848" s="101" t="s">
        <v>171</v>
      </c>
      <c r="AA3848" s="101" t="s">
        <v>50</v>
      </c>
      <c r="AB3848" s="101" t="s">
        <v>172</v>
      </c>
      <c r="AC3848" s="102" t="s">
        <v>173</v>
      </c>
    </row>
    <row r="3849" spans="1:29" ht="25.5" customHeight="1" x14ac:dyDescent="0.35">
      <c r="A3849" s="392"/>
      <c r="B3849" s="393"/>
      <c r="C3849" s="99" t="str">
        <f>IF(B3849="","",IF(NOT(ISNUMBER(B3849)),"DATA_PC invalida",IF(NOT(ISNUMBER(parametros!$C$2)),"Fora dos ciclos",IF(OR(B3849&lt;parametros!$C$2,(YEAR(B3849)-YEAR(parametros!$C$2))*12+MONTH(B3849)-MONTH(parametros!$C$2)&gt;59),"Fora dos ciclos","C"&amp;INT(((YEAR(B3849)-YEAR(parametros!$C$2))*12+MONTH(B3849)-MONTH(parametros!$C$2))/12)))))</f>
        <v/>
      </c>
      <c r="D3849" s="394"/>
      <c r="E3849" s="78" t="str">
        <f>IF(C3849="","",IFERROR(VLOOKUP(C3849,parametros!$A$11:$E$15,5,0),""))</f>
        <v/>
      </c>
      <c r="F3849" s="79" t="str">
        <f t="shared" si="302"/>
        <v/>
      </c>
      <c r="G3849" s="395"/>
      <c r="H3849" s="91">
        <f t="shared" si="303"/>
        <v>0</v>
      </c>
      <c r="I3849" s="91" t="str">
        <f t="shared" si="304"/>
        <v/>
      </c>
      <c r="J3849" s="91" t="str">
        <f t="shared" si="305"/>
        <v/>
      </c>
      <c r="K3849" s="92" t="str">
        <f>IF(AND(A3849="",B3849="",D3849="",G3849=""),"",IF(AND(A3849&lt;&gt;"",COUNTIF($A$2:$A$5001,A3849)&gt;1),"NUMERO_PC duplicado",IF(B3849="","DATA_PC vazia",IF(NOT(ISNUMBER(B3849)),"DATA_PC invalida",IF(OR(C3849="",C3849="Fora dos ciclos"),"CICLO_PC nao identificado",IF(OR(D3849="",D3849=0),"VALOR_PC vazio ou zero",IF(AND(G3849&lt;&gt;"Sim",G3849&lt;&gt;"Nao",G3849&lt;&gt;""),"PC_PAGO_A_CONTRATADA invalido",IF(AND(C3849&lt;&gt;"C0",IFERROR(INDEX(parametros!$A$2:$A$6,MATCH(C3849,parametros!$B$2:$B$6,0)),"")="Sim",IFERROR(INDEX(parametros!$H$2:$H$6,MATCH(C3849,parametros!$B$2:$B$6,0)),"")=""),"INICIO_EFEITO ausente: PC "&amp;A3849&amp;" - "&amp;C3849,IF(L3849="","EFEITO_PC nao calculado: PC "&amp;A3849&amp;" - "&amp;C3849,"OK")))))))))</f>
        <v/>
      </c>
      <c r="L3849" s="92" t="str">
        <f>IF(AND(A3849="",B3849="",D3849="",G3849=""),"",IF(OR(B3849="",NOT(ISNUMBER(B3849)),C3849="",C3849="Fora dos ciclos"),"",IF(C3849="C0","Nao",IF(IFERROR(INDEX(parametros!$A$2:$A$6,MATCH(C3849,parametros!$B$2:$B$6,0)),"")&lt;&gt;"Sim","Nao",IF(IFERROR(INDEX(parametros!$H$2:$H$6,MATCH(C3849,parametros!$B$2:$B$6,0)),"")="","",IF(B3849&gt;=IFERROR(INDEX(parametros!$H$2:$H$6,MATCH(C3849,parametros!$B$2:$B$6,0)),""),"Sim","Nao"))))))</f>
        <v/>
      </c>
      <c r="T3849" s="156"/>
      <c r="U3849" s="214" t="str">
        <f t="shared" si="306"/>
        <v/>
      </c>
      <c r="V3849" s="212" t="s">
        <v>50</v>
      </c>
      <c r="W3849" s="100" t="s">
        <v>168</v>
      </c>
      <c r="X3849" s="100" t="s">
        <v>169</v>
      </c>
      <c r="Y3849" s="101" t="s">
        <v>170</v>
      </c>
      <c r="Z3849" s="101" t="s">
        <v>171</v>
      </c>
      <c r="AA3849" s="101" t="s">
        <v>50</v>
      </c>
      <c r="AB3849" s="101" t="s">
        <v>172</v>
      </c>
      <c r="AC3849" s="102" t="s">
        <v>173</v>
      </c>
    </row>
    <row r="3850" spans="1:29" ht="25.5" customHeight="1" x14ac:dyDescent="0.35">
      <c r="A3850" s="392"/>
      <c r="B3850" s="393"/>
      <c r="C3850" s="99" t="str">
        <f>IF(B3850="","",IF(NOT(ISNUMBER(B3850)),"DATA_PC invalida",IF(NOT(ISNUMBER(parametros!$C$2)),"Fora dos ciclos",IF(OR(B3850&lt;parametros!$C$2,(YEAR(B3850)-YEAR(parametros!$C$2))*12+MONTH(B3850)-MONTH(parametros!$C$2)&gt;59),"Fora dos ciclos","C"&amp;INT(((YEAR(B3850)-YEAR(parametros!$C$2))*12+MONTH(B3850)-MONTH(parametros!$C$2))/12)))))</f>
        <v/>
      </c>
      <c r="D3850" s="394"/>
      <c r="E3850" s="78" t="str">
        <f>IF(C3850="","",IFERROR(VLOOKUP(C3850,parametros!$A$11:$E$15,5,0),""))</f>
        <v/>
      </c>
      <c r="F3850" s="79" t="str">
        <f t="shared" si="302"/>
        <v/>
      </c>
      <c r="G3850" s="395"/>
      <c r="H3850" s="91">
        <f t="shared" si="303"/>
        <v>0</v>
      </c>
      <c r="I3850" s="91" t="str">
        <f t="shared" si="304"/>
        <v/>
      </c>
      <c r="J3850" s="91" t="str">
        <f t="shared" si="305"/>
        <v/>
      </c>
      <c r="K3850" s="92" t="str">
        <f>IF(AND(A3850="",B3850="",D3850="",G3850=""),"",IF(AND(A3850&lt;&gt;"",COUNTIF($A$2:$A$5001,A3850)&gt;1),"NUMERO_PC duplicado",IF(B3850="","DATA_PC vazia",IF(NOT(ISNUMBER(B3850)),"DATA_PC invalida",IF(OR(C3850="",C3850="Fora dos ciclos"),"CICLO_PC nao identificado",IF(OR(D3850="",D3850=0),"VALOR_PC vazio ou zero",IF(AND(G3850&lt;&gt;"Sim",G3850&lt;&gt;"Nao",G3850&lt;&gt;""),"PC_PAGO_A_CONTRATADA invalido",IF(AND(C3850&lt;&gt;"C0",IFERROR(INDEX(parametros!$A$2:$A$6,MATCH(C3850,parametros!$B$2:$B$6,0)),"")="Sim",IFERROR(INDEX(parametros!$H$2:$H$6,MATCH(C3850,parametros!$B$2:$B$6,0)),"")=""),"INICIO_EFEITO ausente: PC "&amp;A3850&amp;" - "&amp;C3850,IF(L3850="","EFEITO_PC nao calculado: PC "&amp;A3850&amp;" - "&amp;C3850,"OK")))))))))</f>
        <v/>
      </c>
      <c r="L3850" s="92" t="str">
        <f>IF(AND(A3850="",B3850="",D3850="",G3850=""),"",IF(OR(B3850="",NOT(ISNUMBER(B3850)),C3850="",C3850="Fora dos ciclos"),"",IF(C3850="C0","Nao",IF(IFERROR(INDEX(parametros!$A$2:$A$6,MATCH(C3850,parametros!$B$2:$B$6,0)),"")&lt;&gt;"Sim","Nao",IF(IFERROR(INDEX(parametros!$H$2:$H$6,MATCH(C3850,parametros!$B$2:$B$6,0)),"")="","",IF(B3850&gt;=IFERROR(INDEX(parametros!$H$2:$H$6,MATCH(C3850,parametros!$B$2:$B$6,0)),""),"Sim","Nao"))))))</f>
        <v/>
      </c>
      <c r="T3850" s="156"/>
      <c r="U3850" s="214" t="str">
        <f t="shared" si="306"/>
        <v/>
      </c>
      <c r="V3850" s="212" t="s">
        <v>50</v>
      </c>
      <c r="W3850" s="100" t="s">
        <v>168</v>
      </c>
      <c r="X3850" s="100" t="s">
        <v>169</v>
      </c>
      <c r="Y3850" s="101" t="s">
        <v>170</v>
      </c>
      <c r="Z3850" s="101" t="s">
        <v>171</v>
      </c>
      <c r="AA3850" s="101" t="s">
        <v>50</v>
      </c>
      <c r="AB3850" s="101" t="s">
        <v>172</v>
      </c>
      <c r="AC3850" s="102" t="s">
        <v>173</v>
      </c>
    </row>
    <row r="3851" spans="1:29" ht="25.5" customHeight="1" x14ac:dyDescent="0.35">
      <c r="A3851" s="392"/>
      <c r="B3851" s="393"/>
      <c r="C3851" s="99" t="str">
        <f>IF(B3851="","",IF(NOT(ISNUMBER(B3851)),"DATA_PC invalida",IF(NOT(ISNUMBER(parametros!$C$2)),"Fora dos ciclos",IF(OR(B3851&lt;parametros!$C$2,(YEAR(B3851)-YEAR(parametros!$C$2))*12+MONTH(B3851)-MONTH(parametros!$C$2)&gt;59),"Fora dos ciclos","C"&amp;INT(((YEAR(B3851)-YEAR(parametros!$C$2))*12+MONTH(B3851)-MONTH(parametros!$C$2))/12)))))</f>
        <v/>
      </c>
      <c r="D3851" s="394"/>
      <c r="E3851" s="78" t="str">
        <f>IF(C3851="","",IFERROR(VLOOKUP(C3851,parametros!$A$11:$E$15,5,0),""))</f>
        <v/>
      </c>
      <c r="F3851" s="79" t="str">
        <f t="shared" si="302"/>
        <v/>
      </c>
      <c r="G3851" s="395"/>
      <c r="H3851" s="91">
        <f t="shared" si="303"/>
        <v>0</v>
      </c>
      <c r="I3851" s="91" t="str">
        <f t="shared" si="304"/>
        <v/>
      </c>
      <c r="J3851" s="91" t="str">
        <f t="shared" si="305"/>
        <v/>
      </c>
      <c r="K3851" s="92" t="str">
        <f>IF(AND(A3851="",B3851="",D3851="",G3851=""),"",IF(AND(A3851&lt;&gt;"",COUNTIF($A$2:$A$5001,A3851)&gt;1),"NUMERO_PC duplicado",IF(B3851="","DATA_PC vazia",IF(NOT(ISNUMBER(B3851)),"DATA_PC invalida",IF(OR(C3851="",C3851="Fora dos ciclos"),"CICLO_PC nao identificado",IF(OR(D3851="",D3851=0),"VALOR_PC vazio ou zero",IF(AND(G3851&lt;&gt;"Sim",G3851&lt;&gt;"Nao",G3851&lt;&gt;""),"PC_PAGO_A_CONTRATADA invalido",IF(AND(C3851&lt;&gt;"C0",IFERROR(INDEX(parametros!$A$2:$A$6,MATCH(C3851,parametros!$B$2:$B$6,0)),"")="Sim",IFERROR(INDEX(parametros!$H$2:$H$6,MATCH(C3851,parametros!$B$2:$B$6,0)),"")=""),"INICIO_EFEITO ausente: PC "&amp;A3851&amp;" - "&amp;C3851,IF(L3851="","EFEITO_PC nao calculado: PC "&amp;A3851&amp;" - "&amp;C3851,"OK")))))))))</f>
        <v/>
      </c>
      <c r="L3851" s="92" t="str">
        <f>IF(AND(A3851="",B3851="",D3851="",G3851=""),"",IF(OR(B3851="",NOT(ISNUMBER(B3851)),C3851="",C3851="Fora dos ciclos"),"",IF(C3851="C0","Nao",IF(IFERROR(INDEX(parametros!$A$2:$A$6,MATCH(C3851,parametros!$B$2:$B$6,0)),"")&lt;&gt;"Sim","Nao",IF(IFERROR(INDEX(parametros!$H$2:$H$6,MATCH(C3851,parametros!$B$2:$B$6,0)),"")="","",IF(B3851&gt;=IFERROR(INDEX(parametros!$H$2:$H$6,MATCH(C3851,parametros!$B$2:$B$6,0)),""),"Sim","Nao"))))))</f>
        <v/>
      </c>
      <c r="T3851" s="156"/>
      <c r="U3851" s="214" t="str">
        <f t="shared" si="306"/>
        <v/>
      </c>
      <c r="V3851" s="212" t="s">
        <v>50</v>
      </c>
      <c r="W3851" s="100" t="s">
        <v>168</v>
      </c>
      <c r="X3851" s="100" t="s">
        <v>169</v>
      </c>
      <c r="Y3851" s="101" t="s">
        <v>170</v>
      </c>
      <c r="Z3851" s="101" t="s">
        <v>171</v>
      </c>
      <c r="AA3851" s="101" t="s">
        <v>50</v>
      </c>
      <c r="AB3851" s="101" t="s">
        <v>172</v>
      </c>
      <c r="AC3851" s="102" t="s">
        <v>173</v>
      </c>
    </row>
    <row r="3852" spans="1:29" ht="25.5" customHeight="1" x14ac:dyDescent="0.35">
      <c r="A3852" s="392"/>
      <c r="B3852" s="393"/>
      <c r="C3852" s="99" t="str">
        <f>IF(B3852="","",IF(NOT(ISNUMBER(B3852)),"DATA_PC invalida",IF(NOT(ISNUMBER(parametros!$C$2)),"Fora dos ciclos",IF(OR(B3852&lt;parametros!$C$2,(YEAR(B3852)-YEAR(parametros!$C$2))*12+MONTH(B3852)-MONTH(parametros!$C$2)&gt;59),"Fora dos ciclos","C"&amp;INT(((YEAR(B3852)-YEAR(parametros!$C$2))*12+MONTH(B3852)-MONTH(parametros!$C$2))/12)))))</f>
        <v/>
      </c>
      <c r="D3852" s="394"/>
      <c r="E3852" s="78" t="str">
        <f>IF(C3852="","",IFERROR(VLOOKUP(C3852,parametros!$A$11:$E$15,5,0),""))</f>
        <v/>
      </c>
      <c r="F3852" s="79" t="str">
        <f t="shared" si="302"/>
        <v/>
      </c>
      <c r="G3852" s="395"/>
      <c r="H3852" s="91">
        <f t="shared" si="303"/>
        <v>0</v>
      </c>
      <c r="I3852" s="91" t="str">
        <f t="shared" si="304"/>
        <v/>
      </c>
      <c r="J3852" s="91" t="str">
        <f t="shared" si="305"/>
        <v/>
      </c>
      <c r="K3852" s="92" t="str">
        <f>IF(AND(A3852="",B3852="",D3852="",G3852=""),"",IF(AND(A3852&lt;&gt;"",COUNTIF($A$2:$A$5001,A3852)&gt;1),"NUMERO_PC duplicado",IF(B3852="","DATA_PC vazia",IF(NOT(ISNUMBER(B3852)),"DATA_PC invalida",IF(OR(C3852="",C3852="Fora dos ciclos"),"CICLO_PC nao identificado",IF(OR(D3852="",D3852=0),"VALOR_PC vazio ou zero",IF(AND(G3852&lt;&gt;"Sim",G3852&lt;&gt;"Nao",G3852&lt;&gt;""),"PC_PAGO_A_CONTRATADA invalido",IF(AND(C3852&lt;&gt;"C0",IFERROR(INDEX(parametros!$A$2:$A$6,MATCH(C3852,parametros!$B$2:$B$6,0)),"")="Sim",IFERROR(INDEX(parametros!$H$2:$H$6,MATCH(C3852,parametros!$B$2:$B$6,0)),"")=""),"INICIO_EFEITO ausente: PC "&amp;A3852&amp;" - "&amp;C3852,IF(L3852="","EFEITO_PC nao calculado: PC "&amp;A3852&amp;" - "&amp;C3852,"OK")))))))))</f>
        <v/>
      </c>
      <c r="L3852" s="92" t="str">
        <f>IF(AND(A3852="",B3852="",D3852="",G3852=""),"",IF(OR(B3852="",NOT(ISNUMBER(B3852)),C3852="",C3852="Fora dos ciclos"),"",IF(C3852="C0","Nao",IF(IFERROR(INDEX(parametros!$A$2:$A$6,MATCH(C3852,parametros!$B$2:$B$6,0)),"")&lt;&gt;"Sim","Nao",IF(IFERROR(INDEX(parametros!$H$2:$H$6,MATCH(C3852,parametros!$B$2:$B$6,0)),"")="","",IF(B3852&gt;=IFERROR(INDEX(parametros!$H$2:$H$6,MATCH(C3852,parametros!$B$2:$B$6,0)),""),"Sim","Nao"))))))</f>
        <v/>
      </c>
      <c r="T3852" s="156"/>
      <c r="U3852" s="214" t="str">
        <f t="shared" si="306"/>
        <v/>
      </c>
      <c r="V3852" s="212" t="s">
        <v>50</v>
      </c>
      <c r="W3852" s="100" t="s">
        <v>168</v>
      </c>
      <c r="X3852" s="100" t="s">
        <v>169</v>
      </c>
      <c r="Y3852" s="101" t="s">
        <v>170</v>
      </c>
      <c r="Z3852" s="101" t="s">
        <v>171</v>
      </c>
      <c r="AA3852" s="101" t="s">
        <v>50</v>
      </c>
      <c r="AB3852" s="101" t="s">
        <v>172</v>
      </c>
      <c r="AC3852" s="102" t="s">
        <v>173</v>
      </c>
    </row>
    <row r="3853" spans="1:29" ht="25.5" customHeight="1" x14ac:dyDescent="0.35">
      <c r="A3853" s="392"/>
      <c r="B3853" s="393"/>
      <c r="C3853" s="99" t="str">
        <f>IF(B3853="","",IF(NOT(ISNUMBER(B3853)),"DATA_PC invalida",IF(NOT(ISNUMBER(parametros!$C$2)),"Fora dos ciclos",IF(OR(B3853&lt;parametros!$C$2,(YEAR(B3853)-YEAR(parametros!$C$2))*12+MONTH(B3853)-MONTH(parametros!$C$2)&gt;59),"Fora dos ciclos","C"&amp;INT(((YEAR(B3853)-YEAR(parametros!$C$2))*12+MONTH(B3853)-MONTH(parametros!$C$2))/12)))))</f>
        <v/>
      </c>
      <c r="D3853" s="394"/>
      <c r="E3853" s="78" t="str">
        <f>IF(C3853="","",IFERROR(VLOOKUP(C3853,parametros!$A$11:$E$15,5,0),""))</f>
        <v/>
      </c>
      <c r="F3853" s="79" t="str">
        <f t="shared" si="302"/>
        <v/>
      </c>
      <c r="G3853" s="395"/>
      <c r="H3853" s="91">
        <f t="shared" si="303"/>
        <v>0</v>
      </c>
      <c r="I3853" s="91" t="str">
        <f t="shared" si="304"/>
        <v/>
      </c>
      <c r="J3853" s="91" t="str">
        <f t="shared" si="305"/>
        <v/>
      </c>
      <c r="K3853" s="92" t="str">
        <f>IF(AND(A3853="",B3853="",D3853="",G3853=""),"",IF(AND(A3853&lt;&gt;"",COUNTIF($A$2:$A$5001,A3853)&gt;1),"NUMERO_PC duplicado",IF(B3853="","DATA_PC vazia",IF(NOT(ISNUMBER(B3853)),"DATA_PC invalida",IF(OR(C3853="",C3853="Fora dos ciclos"),"CICLO_PC nao identificado",IF(OR(D3853="",D3853=0),"VALOR_PC vazio ou zero",IF(AND(G3853&lt;&gt;"Sim",G3853&lt;&gt;"Nao",G3853&lt;&gt;""),"PC_PAGO_A_CONTRATADA invalido",IF(AND(C3853&lt;&gt;"C0",IFERROR(INDEX(parametros!$A$2:$A$6,MATCH(C3853,parametros!$B$2:$B$6,0)),"")="Sim",IFERROR(INDEX(parametros!$H$2:$H$6,MATCH(C3853,parametros!$B$2:$B$6,0)),"")=""),"INICIO_EFEITO ausente: PC "&amp;A3853&amp;" - "&amp;C3853,IF(L3853="","EFEITO_PC nao calculado: PC "&amp;A3853&amp;" - "&amp;C3853,"OK")))))))))</f>
        <v/>
      </c>
      <c r="L3853" s="92" t="str">
        <f>IF(AND(A3853="",B3853="",D3853="",G3853=""),"",IF(OR(B3853="",NOT(ISNUMBER(B3853)),C3853="",C3853="Fora dos ciclos"),"",IF(C3853="C0","Nao",IF(IFERROR(INDEX(parametros!$A$2:$A$6,MATCH(C3853,parametros!$B$2:$B$6,0)),"")&lt;&gt;"Sim","Nao",IF(IFERROR(INDEX(parametros!$H$2:$H$6,MATCH(C3853,parametros!$B$2:$B$6,0)),"")="","",IF(B3853&gt;=IFERROR(INDEX(parametros!$H$2:$H$6,MATCH(C3853,parametros!$B$2:$B$6,0)),""),"Sim","Nao"))))))</f>
        <v/>
      </c>
      <c r="T3853" s="156"/>
      <c r="U3853" s="214" t="str">
        <f t="shared" si="306"/>
        <v/>
      </c>
      <c r="V3853" s="212" t="s">
        <v>50</v>
      </c>
      <c r="W3853" s="100" t="s">
        <v>168</v>
      </c>
      <c r="X3853" s="100" t="s">
        <v>169</v>
      </c>
      <c r="Y3853" s="101" t="s">
        <v>170</v>
      </c>
      <c r="Z3853" s="101" t="s">
        <v>171</v>
      </c>
      <c r="AA3853" s="101" t="s">
        <v>50</v>
      </c>
      <c r="AB3853" s="101" t="s">
        <v>172</v>
      </c>
      <c r="AC3853" s="102" t="s">
        <v>173</v>
      </c>
    </row>
    <row r="3854" spans="1:29" ht="25.5" customHeight="1" x14ac:dyDescent="0.35">
      <c r="A3854" s="392"/>
      <c r="B3854" s="393"/>
      <c r="C3854" s="99" t="str">
        <f>IF(B3854="","",IF(NOT(ISNUMBER(B3854)),"DATA_PC invalida",IF(NOT(ISNUMBER(parametros!$C$2)),"Fora dos ciclos",IF(OR(B3854&lt;parametros!$C$2,(YEAR(B3854)-YEAR(parametros!$C$2))*12+MONTH(B3854)-MONTH(parametros!$C$2)&gt;59),"Fora dos ciclos","C"&amp;INT(((YEAR(B3854)-YEAR(parametros!$C$2))*12+MONTH(B3854)-MONTH(parametros!$C$2))/12)))))</f>
        <v/>
      </c>
      <c r="D3854" s="394"/>
      <c r="E3854" s="78" t="str">
        <f>IF(C3854="","",IFERROR(VLOOKUP(C3854,parametros!$A$11:$E$15,5,0),""))</f>
        <v/>
      </c>
      <c r="F3854" s="79" t="str">
        <f t="shared" si="302"/>
        <v/>
      </c>
      <c r="G3854" s="395"/>
      <c r="H3854" s="91">
        <f t="shared" si="303"/>
        <v>0</v>
      </c>
      <c r="I3854" s="91" t="str">
        <f t="shared" si="304"/>
        <v/>
      </c>
      <c r="J3854" s="91" t="str">
        <f t="shared" si="305"/>
        <v/>
      </c>
      <c r="K3854" s="92" t="str">
        <f>IF(AND(A3854="",B3854="",D3854="",G3854=""),"",IF(AND(A3854&lt;&gt;"",COUNTIF($A$2:$A$5001,A3854)&gt;1),"NUMERO_PC duplicado",IF(B3854="","DATA_PC vazia",IF(NOT(ISNUMBER(B3854)),"DATA_PC invalida",IF(OR(C3854="",C3854="Fora dos ciclos"),"CICLO_PC nao identificado",IF(OR(D3854="",D3854=0),"VALOR_PC vazio ou zero",IF(AND(G3854&lt;&gt;"Sim",G3854&lt;&gt;"Nao",G3854&lt;&gt;""),"PC_PAGO_A_CONTRATADA invalido",IF(AND(C3854&lt;&gt;"C0",IFERROR(INDEX(parametros!$A$2:$A$6,MATCH(C3854,parametros!$B$2:$B$6,0)),"")="Sim",IFERROR(INDEX(parametros!$H$2:$H$6,MATCH(C3854,parametros!$B$2:$B$6,0)),"")=""),"INICIO_EFEITO ausente: PC "&amp;A3854&amp;" - "&amp;C3854,IF(L3854="","EFEITO_PC nao calculado: PC "&amp;A3854&amp;" - "&amp;C3854,"OK")))))))))</f>
        <v/>
      </c>
      <c r="L3854" s="92" t="str">
        <f>IF(AND(A3854="",B3854="",D3854="",G3854=""),"",IF(OR(B3854="",NOT(ISNUMBER(B3854)),C3854="",C3854="Fora dos ciclos"),"",IF(C3854="C0","Nao",IF(IFERROR(INDEX(parametros!$A$2:$A$6,MATCH(C3854,parametros!$B$2:$B$6,0)),"")&lt;&gt;"Sim","Nao",IF(IFERROR(INDEX(parametros!$H$2:$H$6,MATCH(C3854,parametros!$B$2:$B$6,0)),"")="","",IF(B3854&gt;=IFERROR(INDEX(parametros!$H$2:$H$6,MATCH(C3854,parametros!$B$2:$B$6,0)),""),"Sim","Nao"))))))</f>
        <v/>
      </c>
      <c r="T3854" s="156"/>
      <c r="U3854" s="214" t="str">
        <f t="shared" si="306"/>
        <v/>
      </c>
      <c r="V3854" s="212" t="s">
        <v>50</v>
      </c>
      <c r="W3854" s="100" t="s">
        <v>168</v>
      </c>
      <c r="X3854" s="100" t="s">
        <v>169</v>
      </c>
      <c r="Y3854" s="101" t="s">
        <v>170</v>
      </c>
      <c r="Z3854" s="101" t="s">
        <v>171</v>
      </c>
      <c r="AA3854" s="101" t="s">
        <v>50</v>
      </c>
      <c r="AB3854" s="101" t="s">
        <v>172</v>
      </c>
      <c r="AC3854" s="102" t="s">
        <v>173</v>
      </c>
    </row>
    <row r="3855" spans="1:29" ht="25.5" customHeight="1" x14ac:dyDescent="0.35">
      <c r="A3855" s="392"/>
      <c r="B3855" s="393"/>
      <c r="C3855" s="99" t="str">
        <f>IF(B3855="","",IF(NOT(ISNUMBER(B3855)),"DATA_PC invalida",IF(NOT(ISNUMBER(parametros!$C$2)),"Fora dos ciclos",IF(OR(B3855&lt;parametros!$C$2,(YEAR(B3855)-YEAR(parametros!$C$2))*12+MONTH(B3855)-MONTH(parametros!$C$2)&gt;59),"Fora dos ciclos","C"&amp;INT(((YEAR(B3855)-YEAR(parametros!$C$2))*12+MONTH(B3855)-MONTH(parametros!$C$2))/12)))))</f>
        <v/>
      </c>
      <c r="D3855" s="394"/>
      <c r="E3855" s="78" t="str">
        <f>IF(C3855="","",IFERROR(VLOOKUP(C3855,parametros!$A$11:$E$15,5,0),""))</f>
        <v/>
      </c>
      <c r="F3855" s="79" t="str">
        <f t="shared" si="302"/>
        <v/>
      </c>
      <c r="G3855" s="395"/>
      <c r="H3855" s="91">
        <f t="shared" si="303"/>
        <v>0</v>
      </c>
      <c r="I3855" s="91" t="str">
        <f t="shared" si="304"/>
        <v/>
      </c>
      <c r="J3855" s="91" t="str">
        <f t="shared" si="305"/>
        <v/>
      </c>
      <c r="K3855" s="92" t="str">
        <f>IF(AND(A3855="",B3855="",D3855="",G3855=""),"",IF(AND(A3855&lt;&gt;"",COUNTIF($A$2:$A$5001,A3855)&gt;1),"NUMERO_PC duplicado",IF(B3855="","DATA_PC vazia",IF(NOT(ISNUMBER(B3855)),"DATA_PC invalida",IF(OR(C3855="",C3855="Fora dos ciclos"),"CICLO_PC nao identificado",IF(OR(D3855="",D3855=0),"VALOR_PC vazio ou zero",IF(AND(G3855&lt;&gt;"Sim",G3855&lt;&gt;"Nao",G3855&lt;&gt;""),"PC_PAGO_A_CONTRATADA invalido",IF(AND(C3855&lt;&gt;"C0",IFERROR(INDEX(parametros!$A$2:$A$6,MATCH(C3855,parametros!$B$2:$B$6,0)),"")="Sim",IFERROR(INDEX(parametros!$H$2:$H$6,MATCH(C3855,parametros!$B$2:$B$6,0)),"")=""),"INICIO_EFEITO ausente: PC "&amp;A3855&amp;" - "&amp;C3855,IF(L3855="","EFEITO_PC nao calculado: PC "&amp;A3855&amp;" - "&amp;C3855,"OK")))))))))</f>
        <v/>
      </c>
      <c r="L3855" s="92" t="str">
        <f>IF(AND(A3855="",B3855="",D3855="",G3855=""),"",IF(OR(B3855="",NOT(ISNUMBER(B3855)),C3855="",C3855="Fora dos ciclos"),"",IF(C3855="C0","Nao",IF(IFERROR(INDEX(parametros!$A$2:$A$6,MATCH(C3855,parametros!$B$2:$B$6,0)),"")&lt;&gt;"Sim","Nao",IF(IFERROR(INDEX(parametros!$H$2:$H$6,MATCH(C3855,parametros!$B$2:$B$6,0)),"")="","",IF(B3855&gt;=IFERROR(INDEX(parametros!$H$2:$H$6,MATCH(C3855,parametros!$B$2:$B$6,0)),""),"Sim","Nao"))))))</f>
        <v/>
      </c>
      <c r="T3855" s="156"/>
      <c r="U3855" s="214" t="str">
        <f t="shared" si="306"/>
        <v/>
      </c>
      <c r="V3855" s="212" t="s">
        <v>50</v>
      </c>
      <c r="W3855" s="100" t="s">
        <v>168</v>
      </c>
      <c r="X3855" s="100" t="s">
        <v>169</v>
      </c>
      <c r="Y3855" s="101" t="s">
        <v>170</v>
      </c>
      <c r="Z3855" s="101" t="s">
        <v>171</v>
      </c>
      <c r="AA3855" s="101" t="s">
        <v>50</v>
      </c>
      <c r="AB3855" s="101" t="s">
        <v>172</v>
      </c>
      <c r="AC3855" s="102" t="s">
        <v>173</v>
      </c>
    </row>
    <row r="3856" spans="1:29" ht="25.5" customHeight="1" x14ac:dyDescent="0.35">
      <c r="A3856" s="392"/>
      <c r="B3856" s="393"/>
      <c r="C3856" s="99" t="str">
        <f>IF(B3856="","",IF(NOT(ISNUMBER(B3856)),"DATA_PC invalida",IF(NOT(ISNUMBER(parametros!$C$2)),"Fora dos ciclos",IF(OR(B3856&lt;parametros!$C$2,(YEAR(B3856)-YEAR(parametros!$C$2))*12+MONTH(B3856)-MONTH(parametros!$C$2)&gt;59),"Fora dos ciclos","C"&amp;INT(((YEAR(B3856)-YEAR(parametros!$C$2))*12+MONTH(B3856)-MONTH(parametros!$C$2))/12)))))</f>
        <v/>
      </c>
      <c r="D3856" s="394"/>
      <c r="E3856" s="78" t="str">
        <f>IF(C3856="","",IFERROR(VLOOKUP(C3856,parametros!$A$11:$E$15,5,0),""))</f>
        <v/>
      </c>
      <c r="F3856" s="79" t="str">
        <f t="shared" si="302"/>
        <v/>
      </c>
      <c r="G3856" s="395"/>
      <c r="H3856" s="91">
        <f t="shared" si="303"/>
        <v>0</v>
      </c>
      <c r="I3856" s="91" t="str">
        <f t="shared" si="304"/>
        <v/>
      </c>
      <c r="J3856" s="91" t="str">
        <f t="shared" si="305"/>
        <v/>
      </c>
      <c r="K3856" s="92" t="str">
        <f>IF(AND(A3856="",B3856="",D3856="",G3856=""),"",IF(AND(A3856&lt;&gt;"",COUNTIF($A$2:$A$5001,A3856)&gt;1),"NUMERO_PC duplicado",IF(B3856="","DATA_PC vazia",IF(NOT(ISNUMBER(B3856)),"DATA_PC invalida",IF(OR(C3856="",C3856="Fora dos ciclos"),"CICLO_PC nao identificado",IF(OR(D3856="",D3856=0),"VALOR_PC vazio ou zero",IF(AND(G3856&lt;&gt;"Sim",G3856&lt;&gt;"Nao",G3856&lt;&gt;""),"PC_PAGO_A_CONTRATADA invalido",IF(AND(C3856&lt;&gt;"C0",IFERROR(INDEX(parametros!$A$2:$A$6,MATCH(C3856,parametros!$B$2:$B$6,0)),"")="Sim",IFERROR(INDEX(parametros!$H$2:$H$6,MATCH(C3856,parametros!$B$2:$B$6,0)),"")=""),"INICIO_EFEITO ausente: PC "&amp;A3856&amp;" - "&amp;C3856,IF(L3856="","EFEITO_PC nao calculado: PC "&amp;A3856&amp;" - "&amp;C3856,"OK")))))))))</f>
        <v/>
      </c>
      <c r="L3856" s="92" t="str">
        <f>IF(AND(A3856="",B3856="",D3856="",G3856=""),"",IF(OR(B3856="",NOT(ISNUMBER(B3856)),C3856="",C3856="Fora dos ciclos"),"",IF(C3856="C0","Nao",IF(IFERROR(INDEX(parametros!$A$2:$A$6,MATCH(C3856,parametros!$B$2:$B$6,0)),"")&lt;&gt;"Sim","Nao",IF(IFERROR(INDEX(parametros!$H$2:$H$6,MATCH(C3856,parametros!$B$2:$B$6,0)),"")="","",IF(B3856&gt;=IFERROR(INDEX(parametros!$H$2:$H$6,MATCH(C3856,parametros!$B$2:$B$6,0)),""),"Sim","Nao"))))))</f>
        <v/>
      </c>
      <c r="T3856" s="156"/>
      <c r="U3856" s="214" t="str">
        <f t="shared" si="306"/>
        <v/>
      </c>
      <c r="V3856" s="212" t="s">
        <v>50</v>
      </c>
      <c r="W3856" s="100" t="s">
        <v>168</v>
      </c>
      <c r="X3856" s="100" t="s">
        <v>169</v>
      </c>
      <c r="Y3856" s="101" t="s">
        <v>170</v>
      </c>
      <c r="Z3856" s="101" t="s">
        <v>171</v>
      </c>
      <c r="AA3856" s="101" t="s">
        <v>50</v>
      </c>
      <c r="AB3856" s="101" t="s">
        <v>172</v>
      </c>
      <c r="AC3856" s="102" t="s">
        <v>173</v>
      </c>
    </row>
    <row r="3857" spans="1:29" ht="25.5" customHeight="1" x14ac:dyDescent="0.35">
      <c r="A3857" s="392"/>
      <c r="B3857" s="393"/>
      <c r="C3857" s="99" t="str">
        <f>IF(B3857="","",IF(NOT(ISNUMBER(B3857)),"DATA_PC invalida",IF(NOT(ISNUMBER(parametros!$C$2)),"Fora dos ciclos",IF(OR(B3857&lt;parametros!$C$2,(YEAR(B3857)-YEAR(parametros!$C$2))*12+MONTH(B3857)-MONTH(parametros!$C$2)&gt;59),"Fora dos ciclos","C"&amp;INT(((YEAR(B3857)-YEAR(parametros!$C$2))*12+MONTH(B3857)-MONTH(parametros!$C$2))/12)))))</f>
        <v/>
      </c>
      <c r="D3857" s="394"/>
      <c r="E3857" s="78" t="str">
        <f>IF(C3857="","",IFERROR(VLOOKUP(C3857,parametros!$A$11:$E$15,5,0),""))</f>
        <v/>
      </c>
      <c r="F3857" s="79" t="str">
        <f t="shared" si="302"/>
        <v/>
      </c>
      <c r="G3857" s="395"/>
      <c r="H3857" s="91">
        <f t="shared" si="303"/>
        <v>0</v>
      </c>
      <c r="I3857" s="91" t="str">
        <f t="shared" si="304"/>
        <v/>
      </c>
      <c r="J3857" s="91" t="str">
        <f t="shared" si="305"/>
        <v/>
      </c>
      <c r="K3857" s="92" t="str">
        <f>IF(AND(A3857="",B3857="",D3857="",G3857=""),"",IF(AND(A3857&lt;&gt;"",COUNTIF($A$2:$A$5001,A3857)&gt;1),"NUMERO_PC duplicado",IF(B3857="","DATA_PC vazia",IF(NOT(ISNUMBER(B3857)),"DATA_PC invalida",IF(OR(C3857="",C3857="Fora dos ciclos"),"CICLO_PC nao identificado",IF(OR(D3857="",D3857=0),"VALOR_PC vazio ou zero",IF(AND(G3857&lt;&gt;"Sim",G3857&lt;&gt;"Nao",G3857&lt;&gt;""),"PC_PAGO_A_CONTRATADA invalido",IF(AND(C3857&lt;&gt;"C0",IFERROR(INDEX(parametros!$A$2:$A$6,MATCH(C3857,parametros!$B$2:$B$6,0)),"")="Sim",IFERROR(INDEX(parametros!$H$2:$H$6,MATCH(C3857,parametros!$B$2:$B$6,0)),"")=""),"INICIO_EFEITO ausente: PC "&amp;A3857&amp;" - "&amp;C3857,IF(L3857="","EFEITO_PC nao calculado: PC "&amp;A3857&amp;" - "&amp;C3857,"OK")))))))))</f>
        <v/>
      </c>
      <c r="L3857" s="92" t="str">
        <f>IF(AND(A3857="",B3857="",D3857="",G3857=""),"",IF(OR(B3857="",NOT(ISNUMBER(B3857)),C3857="",C3857="Fora dos ciclos"),"",IF(C3857="C0","Nao",IF(IFERROR(INDEX(parametros!$A$2:$A$6,MATCH(C3857,parametros!$B$2:$B$6,0)),"")&lt;&gt;"Sim","Nao",IF(IFERROR(INDEX(parametros!$H$2:$H$6,MATCH(C3857,parametros!$B$2:$B$6,0)),"")="","",IF(B3857&gt;=IFERROR(INDEX(parametros!$H$2:$H$6,MATCH(C3857,parametros!$B$2:$B$6,0)),""),"Sim","Nao"))))))</f>
        <v/>
      </c>
      <c r="T3857" s="156"/>
      <c r="U3857" s="214" t="str">
        <f t="shared" si="306"/>
        <v/>
      </c>
      <c r="V3857" s="212" t="s">
        <v>50</v>
      </c>
      <c r="W3857" s="100" t="s">
        <v>168</v>
      </c>
      <c r="X3857" s="100" t="s">
        <v>169</v>
      </c>
      <c r="Y3857" s="101" t="s">
        <v>170</v>
      </c>
      <c r="Z3857" s="101" t="s">
        <v>171</v>
      </c>
      <c r="AA3857" s="101" t="s">
        <v>50</v>
      </c>
      <c r="AB3857" s="101" t="s">
        <v>172</v>
      </c>
      <c r="AC3857" s="102" t="s">
        <v>173</v>
      </c>
    </row>
    <row r="3858" spans="1:29" ht="25.5" customHeight="1" x14ac:dyDescent="0.35">
      <c r="A3858" s="392"/>
      <c r="B3858" s="393"/>
      <c r="C3858" s="99" t="str">
        <f>IF(B3858="","",IF(NOT(ISNUMBER(B3858)),"DATA_PC invalida",IF(NOT(ISNUMBER(parametros!$C$2)),"Fora dos ciclos",IF(OR(B3858&lt;parametros!$C$2,(YEAR(B3858)-YEAR(parametros!$C$2))*12+MONTH(B3858)-MONTH(parametros!$C$2)&gt;59),"Fora dos ciclos","C"&amp;INT(((YEAR(B3858)-YEAR(parametros!$C$2))*12+MONTH(B3858)-MONTH(parametros!$C$2))/12)))))</f>
        <v/>
      </c>
      <c r="D3858" s="394"/>
      <c r="E3858" s="78" t="str">
        <f>IF(C3858="","",IFERROR(VLOOKUP(C3858,parametros!$A$11:$E$15,5,0),""))</f>
        <v/>
      </c>
      <c r="F3858" s="79" t="str">
        <f t="shared" si="302"/>
        <v/>
      </c>
      <c r="G3858" s="395"/>
      <c r="H3858" s="91">
        <f t="shared" si="303"/>
        <v>0</v>
      </c>
      <c r="I3858" s="91" t="str">
        <f t="shared" si="304"/>
        <v/>
      </c>
      <c r="J3858" s="91" t="str">
        <f t="shared" si="305"/>
        <v/>
      </c>
      <c r="K3858" s="92" t="str">
        <f>IF(AND(A3858="",B3858="",D3858="",G3858=""),"",IF(AND(A3858&lt;&gt;"",COUNTIF($A$2:$A$5001,A3858)&gt;1),"NUMERO_PC duplicado",IF(B3858="","DATA_PC vazia",IF(NOT(ISNUMBER(B3858)),"DATA_PC invalida",IF(OR(C3858="",C3858="Fora dos ciclos"),"CICLO_PC nao identificado",IF(OR(D3858="",D3858=0),"VALOR_PC vazio ou zero",IF(AND(G3858&lt;&gt;"Sim",G3858&lt;&gt;"Nao",G3858&lt;&gt;""),"PC_PAGO_A_CONTRATADA invalido",IF(AND(C3858&lt;&gt;"C0",IFERROR(INDEX(parametros!$A$2:$A$6,MATCH(C3858,parametros!$B$2:$B$6,0)),"")="Sim",IFERROR(INDEX(parametros!$H$2:$H$6,MATCH(C3858,parametros!$B$2:$B$6,0)),"")=""),"INICIO_EFEITO ausente: PC "&amp;A3858&amp;" - "&amp;C3858,IF(L3858="","EFEITO_PC nao calculado: PC "&amp;A3858&amp;" - "&amp;C3858,"OK")))))))))</f>
        <v/>
      </c>
      <c r="L3858" s="92" t="str">
        <f>IF(AND(A3858="",B3858="",D3858="",G3858=""),"",IF(OR(B3858="",NOT(ISNUMBER(B3858)),C3858="",C3858="Fora dos ciclos"),"",IF(C3858="C0","Nao",IF(IFERROR(INDEX(parametros!$A$2:$A$6,MATCH(C3858,parametros!$B$2:$B$6,0)),"")&lt;&gt;"Sim","Nao",IF(IFERROR(INDEX(parametros!$H$2:$H$6,MATCH(C3858,parametros!$B$2:$B$6,0)),"")="","",IF(B3858&gt;=IFERROR(INDEX(parametros!$H$2:$H$6,MATCH(C3858,parametros!$B$2:$B$6,0)),""),"Sim","Nao"))))))</f>
        <v/>
      </c>
      <c r="T3858" s="156"/>
      <c r="U3858" s="214" t="str">
        <f t="shared" si="306"/>
        <v/>
      </c>
      <c r="V3858" s="212" t="s">
        <v>50</v>
      </c>
      <c r="W3858" s="100" t="s">
        <v>168</v>
      </c>
      <c r="X3858" s="100" t="s">
        <v>169</v>
      </c>
      <c r="Y3858" s="101" t="s">
        <v>170</v>
      </c>
      <c r="Z3858" s="101" t="s">
        <v>171</v>
      </c>
      <c r="AA3858" s="101" t="s">
        <v>50</v>
      </c>
      <c r="AB3858" s="101" t="s">
        <v>172</v>
      </c>
      <c r="AC3858" s="102" t="s">
        <v>173</v>
      </c>
    </row>
    <row r="3859" spans="1:29" ht="25.5" customHeight="1" x14ac:dyDescent="0.35">
      <c r="A3859" s="392"/>
      <c r="B3859" s="393"/>
      <c r="C3859" s="99" t="str">
        <f>IF(B3859="","",IF(NOT(ISNUMBER(B3859)),"DATA_PC invalida",IF(NOT(ISNUMBER(parametros!$C$2)),"Fora dos ciclos",IF(OR(B3859&lt;parametros!$C$2,(YEAR(B3859)-YEAR(parametros!$C$2))*12+MONTH(B3859)-MONTH(parametros!$C$2)&gt;59),"Fora dos ciclos","C"&amp;INT(((YEAR(B3859)-YEAR(parametros!$C$2))*12+MONTH(B3859)-MONTH(parametros!$C$2))/12)))))</f>
        <v/>
      </c>
      <c r="D3859" s="394"/>
      <c r="E3859" s="78" t="str">
        <f>IF(C3859="","",IFERROR(VLOOKUP(C3859,parametros!$A$11:$E$15,5,0),""))</f>
        <v/>
      </c>
      <c r="F3859" s="79" t="str">
        <f t="shared" si="302"/>
        <v/>
      </c>
      <c r="G3859" s="395"/>
      <c r="H3859" s="91">
        <f t="shared" si="303"/>
        <v>0</v>
      </c>
      <c r="I3859" s="91" t="str">
        <f t="shared" si="304"/>
        <v/>
      </c>
      <c r="J3859" s="91" t="str">
        <f t="shared" si="305"/>
        <v/>
      </c>
      <c r="K3859" s="92" t="str">
        <f>IF(AND(A3859="",B3859="",D3859="",G3859=""),"",IF(AND(A3859&lt;&gt;"",COUNTIF($A$2:$A$5001,A3859)&gt;1),"NUMERO_PC duplicado",IF(B3859="","DATA_PC vazia",IF(NOT(ISNUMBER(B3859)),"DATA_PC invalida",IF(OR(C3859="",C3859="Fora dos ciclos"),"CICLO_PC nao identificado",IF(OR(D3859="",D3859=0),"VALOR_PC vazio ou zero",IF(AND(G3859&lt;&gt;"Sim",G3859&lt;&gt;"Nao",G3859&lt;&gt;""),"PC_PAGO_A_CONTRATADA invalido",IF(AND(C3859&lt;&gt;"C0",IFERROR(INDEX(parametros!$A$2:$A$6,MATCH(C3859,parametros!$B$2:$B$6,0)),"")="Sim",IFERROR(INDEX(parametros!$H$2:$H$6,MATCH(C3859,parametros!$B$2:$B$6,0)),"")=""),"INICIO_EFEITO ausente: PC "&amp;A3859&amp;" - "&amp;C3859,IF(L3859="","EFEITO_PC nao calculado: PC "&amp;A3859&amp;" - "&amp;C3859,"OK")))))))))</f>
        <v/>
      </c>
      <c r="L3859" s="92" t="str">
        <f>IF(AND(A3859="",B3859="",D3859="",G3859=""),"",IF(OR(B3859="",NOT(ISNUMBER(B3859)),C3859="",C3859="Fora dos ciclos"),"",IF(C3859="C0","Nao",IF(IFERROR(INDEX(parametros!$A$2:$A$6,MATCH(C3859,parametros!$B$2:$B$6,0)),"")&lt;&gt;"Sim","Nao",IF(IFERROR(INDEX(parametros!$H$2:$H$6,MATCH(C3859,parametros!$B$2:$B$6,0)),"")="","",IF(B3859&gt;=IFERROR(INDEX(parametros!$H$2:$H$6,MATCH(C3859,parametros!$B$2:$B$6,0)),""),"Sim","Nao"))))))</f>
        <v/>
      </c>
      <c r="T3859" s="156"/>
      <c r="U3859" s="214" t="str">
        <f t="shared" si="306"/>
        <v/>
      </c>
      <c r="V3859" s="212" t="s">
        <v>50</v>
      </c>
      <c r="W3859" s="100" t="s">
        <v>168</v>
      </c>
      <c r="X3859" s="100" t="s">
        <v>169</v>
      </c>
      <c r="Y3859" s="101" t="s">
        <v>170</v>
      </c>
      <c r="Z3859" s="101" t="s">
        <v>171</v>
      </c>
      <c r="AA3859" s="101" t="s">
        <v>50</v>
      </c>
      <c r="AB3859" s="101" t="s">
        <v>172</v>
      </c>
      <c r="AC3859" s="102" t="s">
        <v>173</v>
      </c>
    </row>
    <row r="3860" spans="1:29" ht="25.5" customHeight="1" x14ac:dyDescent="0.35">
      <c r="A3860" s="392"/>
      <c r="B3860" s="393"/>
      <c r="C3860" s="99" t="str">
        <f>IF(B3860="","",IF(NOT(ISNUMBER(B3860)),"DATA_PC invalida",IF(NOT(ISNUMBER(parametros!$C$2)),"Fora dos ciclos",IF(OR(B3860&lt;parametros!$C$2,(YEAR(B3860)-YEAR(parametros!$C$2))*12+MONTH(B3860)-MONTH(parametros!$C$2)&gt;59),"Fora dos ciclos","C"&amp;INT(((YEAR(B3860)-YEAR(parametros!$C$2))*12+MONTH(B3860)-MONTH(parametros!$C$2))/12)))))</f>
        <v/>
      </c>
      <c r="D3860" s="394"/>
      <c r="E3860" s="78" t="str">
        <f>IF(C3860="","",IFERROR(VLOOKUP(C3860,parametros!$A$11:$E$15,5,0),""))</f>
        <v/>
      </c>
      <c r="F3860" s="79" t="str">
        <f t="shared" si="302"/>
        <v/>
      </c>
      <c r="G3860" s="395"/>
      <c r="H3860" s="91">
        <f t="shared" si="303"/>
        <v>0</v>
      </c>
      <c r="I3860" s="91" t="str">
        <f t="shared" si="304"/>
        <v/>
      </c>
      <c r="J3860" s="91" t="str">
        <f t="shared" si="305"/>
        <v/>
      </c>
      <c r="K3860" s="92" t="str">
        <f>IF(AND(A3860="",B3860="",D3860="",G3860=""),"",IF(AND(A3860&lt;&gt;"",COUNTIF($A$2:$A$5001,A3860)&gt;1),"NUMERO_PC duplicado",IF(B3860="","DATA_PC vazia",IF(NOT(ISNUMBER(B3860)),"DATA_PC invalida",IF(OR(C3860="",C3860="Fora dos ciclos"),"CICLO_PC nao identificado",IF(OR(D3860="",D3860=0),"VALOR_PC vazio ou zero",IF(AND(G3860&lt;&gt;"Sim",G3860&lt;&gt;"Nao",G3860&lt;&gt;""),"PC_PAGO_A_CONTRATADA invalido",IF(AND(C3860&lt;&gt;"C0",IFERROR(INDEX(parametros!$A$2:$A$6,MATCH(C3860,parametros!$B$2:$B$6,0)),"")="Sim",IFERROR(INDEX(parametros!$H$2:$H$6,MATCH(C3860,parametros!$B$2:$B$6,0)),"")=""),"INICIO_EFEITO ausente: PC "&amp;A3860&amp;" - "&amp;C3860,IF(L3860="","EFEITO_PC nao calculado: PC "&amp;A3860&amp;" - "&amp;C3860,"OK")))))))))</f>
        <v/>
      </c>
      <c r="L3860" s="92" t="str">
        <f>IF(AND(A3860="",B3860="",D3860="",G3860=""),"",IF(OR(B3860="",NOT(ISNUMBER(B3860)),C3860="",C3860="Fora dos ciclos"),"",IF(C3860="C0","Nao",IF(IFERROR(INDEX(parametros!$A$2:$A$6,MATCH(C3860,parametros!$B$2:$B$6,0)),"")&lt;&gt;"Sim","Nao",IF(IFERROR(INDEX(parametros!$H$2:$H$6,MATCH(C3860,parametros!$B$2:$B$6,0)),"")="","",IF(B3860&gt;=IFERROR(INDEX(parametros!$H$2:$H$6,MATCH(C3860,parametros!$B$2:$B$6,0)),""),"Sim","Nao"))))))</f>
        <v/>
      </c>
      <c r="T3860" s="156"/>
      <c r="U3860" s="214" t="str">
        <f t="shared" si="306"/>
        <v/>
      </c>
      <c r="V3860" s="212" t="s">
        <v>50</v>
      </c>
      <c r="W3860" s="100" t="s">
        <v>168</v>
      </c>
      <c r="X3860" s="100" t="s">
        <v>169</v>
      </c>
      <c r="Y3860" s="101" t="s">
        <v>170</v>
      </c>
      <c r="Z3860" s="101" t="s">
        <v>171</v>
      </c>
      <c r="AA3860" s="101" t="s">
        <v>50</v>
      </c>
      <c r="AB3860" s="101" t="s">
        <v>172</v>
      </c>
      <c r="AC3860" s="102" t="s">
        <v>173</v>
      </c>
    </row>
    <row r="3861" spans="1:29" ht="25.5" customHeight="1" x14ac:dyDescent="0.35">
      <c r="A3861" s="392"/>
      <c r="B3861" s="393"/>
      <c r="C3861" s="99" t="str">
        <f>IF(B3861="","",IF(NOT(ISNUMBER(B3861)),"DATA_PC invalida",IF(NOT(ISNUMBER(parametros!$C$2)),"Fora dos ciclos",IF(OR(B3861&lt;parametros!$C$2,(YEAR(B3861)-YEAR(parametros!$C$2))*12+MONTH(B3861)-MONTH(parametros!$C$2)&gt;59),"Fora dos ciclos","C"&amp;INT(((YEAR(B3861)-YEAR(parametros!$C$2))*12+MONTH(B3861)-MONTH(parametros!$C$2))/12)))))</f>
        <v/>
      </c>
      <c r="D3861" s="394"/>
      <c r="E3861" s="78" t="str">
        <f>IF(C3861="","",IFERROR(VLOOKUP(C3861,parametros!$A$11:$E$15,5,0),""))</f>
        <v/>
      </c>
      <c r="F3861" s="79" t="str">
        <f t="shared" si="302"/>
        <v/>
      </c>
      <c r="G3861" s="395"/>
      <c r="H3861" s="91">
        <f t="shared" si="303"/>
        <v>0</v>
      </c>
      <c r="I3861" s="91" t="str">
        <f t="shared" si="304"/>
        <v/>
      </c>
      <c r="J3861" s="91" t="str">
        <f t="shared" si="305"/>
        <v/>
      </c>
      <c r="K3861" s="92" t="str">
        <f>IF(AND(A3861="",B3861="",D3861="",G3861=""),"",IF(AND(A3861&lt;&gt;"",COUNTIF($A$2:$A$5001,A3861)&gt;1),"NUMERO_PC duplicado",IF(B3861="","DATA_PC vazia",IF(NOT(ISNUMBER(B3861)),"DATA_PC invalida",IF(OR(C3861="",C3861="Fora dos ciclos"),"CICLO_PC nao identificado",IF(OR(D3861="",D3861=0),"VALOR_PC vazio ou zero",IF(AND(G3861&lt;&gt;"Sim",G3861&lt;&gt;"Nao",G3861&lt;&gt;""),"PC_PAGO_A_CONTRATADA invalido",IF(AND(C3861&lt;&gt;"C0",IFERROR(INDEX(parametros!$A$2:$A$6,MATCH(C3861,parametros!$B$2:$B$6,0)),"")="Sim",IFERROR(INDEX(parametros!$H$2:$H$6,MATCH(C3861,parametros!$B$2:$B$6,0)),"")=""),"INICIO_EFEITO ausente: PC "&amp;A3861&amp;" - "&amp;C3861,IF(L3861="","EFEITO_PC nao calculado: PC "&amp;A3861&amp;" - "&amp;C3861,"OK")))))))))</f>
        <v/>
      </c>
      <c r="L3861" s="92" t="str">
        <f>IF(AND(A3861="",B3861="",D3861="",G3861=""),"",IF(OR(B3861="",NOT(ISNUMBER(B3861)),C3861="",C3861="Fora dos ciclos"),"",IF(C3861="C0","Nao",IF(IFERROR(INDEX(parametros!$A$2:$A$6,MATCH(C3861,parametros!$B$2:$B$6,0)),"")&lt;&gt;"Sim","Nao",IF(IFERROR(INDEX(parametros!$H$2:$H$6,MATCH(C3861,parametros!$B$2:$B$6,0)),"")="","",IF(B3861&gt;=IFERROR(INDEX(parametros!$H$2:$H$6,MATCH(C3861,parametros!$B$2:$B$6,0)),""),"Sim","Nao"))))))</f>
        <v/>
      </c>
      <c r="T3861" s="156"/>
      <c r="U3861" s="214" t="str">
        <f t="shared" si="306"/>
        <v/>
      </c>
      <c r="V3861" s="212" t="s">
        <v>50</v>
      </c>
      <c r="W3861" s="100" t="s">
        <v>168</v>
      </c>
      <c r="X3861" s="100" t="s">
        <v>169</v>
      </c>
      <c r="Y3861" s="101" t="s">
        <v>170</v>
      </c>
      <c r="Z3861" s="101" t="s">
        <v>171</v>
      </c>
      <c r="AA3861" s="101" t="s">
        <v>50</v>
      </c>
      <c r="AB3861" s="101" t="s">
        <v>172</v>
      </c>
      <c r="AC3861" s="102" t="s">
        <v>173</v>
      </c>
    </row>
    <row r="3862" spans="1:29" ht="25.5" customHeight="1" x14ac:dyDescent="0.35">
      <c r="A3862" s="392"/>
      <c r="B3862" s="393"/>
      <c r="C3862" s="99" t="str">
        <f>IF(B3862="","",IF(NOT(ISNUMBER(B3862)),"DATA_PC invalida",IF(NOT(ISNUMBER(parametros!$C$2)),"Fora dos ciclos",IF(OR(B3862&lt;parametros!$C$2,(YEAR(B3862)-YEAR(parametros!$C$2))*12+MONTH(B3862)-MONTH(parametros!$C$2)&gt;59),"Fora dos ciclos","C"&amp;INT(((YEAR(B3862)-YEAR(parametros!$C$2))*12+MONTH(B3862)-MONTH(parametros!$C$2))/12)))))</f>
        <v/>
      </c>
      <c r="D3862" s="394"/>
      <c r="E3862" s="78" t="str">
        <f>IF(C3862="","",IFERROR(VLOOKUP(C3862,parametros!$A$11:$E$15,5,0),""))</f>
        <v/>
      </c>
      <c r="F3862" s="79" t="str">
        <f t="shared" si="302"/>
        <v/>
      </c>
      <c r="G3862" s="395"/>
      <c r="H3862" s="91">
        <f t="shared" si="303"/>
        <v>0</v>
      </c>
      <c r="I3862" s="91" t="str">
        <f t="shared" si="304"/>
        <v/>
      </c>
      <c r="J3862" s="91" t="str">
        <f t="shared" si="305"/>
        <v/>
      </c>
      <c r="K3862" s="92" t="str">
        <f>IF(AND(A3862="",B3862="",D3862="",G3862=""),"",IF(AND(A3862&lt;&gt;"",COUNTIF($A$2:$A$5001,A3862)&gt;1),"NUMERO_PC duplicado",IF(B3862="","DATA_PC vazia",IF(NOT(ISNUMBER(B3862)),"DATA_PC invalida",IF(OR(C3862="",C3862="Fora dos ciclos"),"CICLO_PC nao identificado",IF(OR(D3862="",D3862=0),"VALOR_PC vazio ou zero",IF(AND(G3862&lt;&gt;"Sim",G3862&lt;&gt;"Nao",G3862&lt;&gt;""),"PC_PAGO_A_CONTRATADA invalido",IF(AND(C3862&lt;&gt;"C0",IFERROR(INDEX(parametros!$A$2:$A$6,MATCH(C3862,parametros!$B$2:$B$6,0)),"")="Sim",IFERROR(INDEX(parametros!$H$2:$H$6,MATCH(C3862,parametros!$B$2:$B$6,0)),"")=""),"INICIO_EFEITO ausente: PC "&amp;A3862&amp;" - "&amp;C3862,IF(L3862="","EFEITO_PC nao calculado: PC "&amp;A3862&amp;" - "&amp;C3862,"OK")))))))))</f>
        <v/>
      </c>
      <c r="L3862" s="92" t="str">
        <f>IF(AND(A3862="",B3862="",D3862="",G3862=""),"",IF(OR(B3862="",NOT(ISNUMBER(B3862)),C3862="",C3862="Fora dos ciclos"),"",IF(C3862="C0","Nao",IF(IFERROR(INDEX(parametros!$A$2:$A$6,MATCH(C3862,parametros!$B$2:$B$6,0)),"")&lt;&gt;"Sim","Nao",IF(IFERROR(INDEX(parametros!$H$2:$H$6,MATCH(C3862,parametros!$B$2:$B$6,0)),"")="","",IF(B3862&gt;=IFERROR(INDEX(parametros!$H$2:$H$6,MATCH(C3862,parametros!$B$2:$B$6,0)),""),"Sim","Nao"))))))</f>
        <v/>
      </c>
      <c r="T3862" s="156"/>
      <c r="U3862" s="214" t="str">
        <f t="shared" si="306"/>
        <v/>
      </c>
      <c r="V3862" s="212" t="s">
        <v>50</v>
      </c>
      <c r="W3862" s="100" t="s">
        <v>168</v>
      </c>
      <c r="X3862" s="100" t="s">
        <v>169</v>
      </c>
      <c r="Y3862" s="101" t="s">
        <v>170</v>
      </c>
      <c r="Z3862" s="101" t="s">
        <v>171</v>
      </c>
      <c r="AA3862" s="101" t="s">
        <v>50</v>
      </c>
      <c r="AB3862" s="101" t="s">
        <v>172</v>
      </c>
      <c r="AC3862" s="102" t="s">
        <v>173</v>
      </c>
    </row>
    <row r="3863" spans="1:29" ht="25.5" customHeight="1" x14ac:dyDescent="0.35">
      <c r="A3863" s="392"/>
      <c r="B3863" s="393"/>
      <c r="C3863" s="99" t="str">
        <f>IF(B3863="","",IF(NOT(ISNUMBER(B3863)),"DATA_PC invalida",IF(NOT(ISNUMBER(parametros!$C$2)),"Fora dos ciclos",IF(OR(B3863&lt;parametros!$C$2,(YEAR(B3863)-YEAR(parametros!$C$2))*12+MONTH(B3863)-MONTH(parametros!$C$2)&gt;59),"Fora dos ciclos","C"&amp;INT(((YEAR(B3863)-YEAR(parametros!$C$2))*12+MONTH(B3863)-MONTH(parametros!$C$2))/12)))))</f>
        <v/>
      </c>
      <c r="D3863" s="394"/>
      <c r="E3863" s="78" t="str">
        <f>IF(C3863="","",IFERROR(VLOOKUP(C3863,parametros!$A$11:$E$15,5,0),""))</f>
        <v/>
      </c>
      <c r="F3863" s="79" t="str">
        <f t="shared" si="302"/>
        <v/>
      </c>
      <c r="G3863" s="395"/>
      <c r="H3863" s="91">
        <f t="shared" si="303"/>
        <v>0</v>
      </c>
      <c r="I3863" s="91" t="str">
        <f t="shared" si="304"/>
        <v/>
      </c>
      <c r="J3863" s="91" t="str">
        <f t="shared" si="305"/>
        <v/>
      </c>
      <c r="K3863" s="92" t="str">
        <f>IF(AND(A3863="",B3863="",D3863="",G3863=""),"",IF(AND(A3863&lt;&gt;"",COUNTIF($A$2:$A$5001,A3863)&gt;1),"NUMERO_PC duplicado",IF(B3863="","DATA_PC vazia",IF(NOT(ISNUMBER(B3863)),"DATA_PC invalida",IF(OR(C3863="",C3863="Fora dos ciclos"),"CICLO_PC nao identificado",IF(OR(D3863="",D3863=0),"VALOR_PC vazio ou zero",IF(AND(G3863&lt;&gt;"Sim",G3863&lt;&gt;"Nao",G3863&lt;&gt;""),"PC_PAGO_A_CONTRATADA invalido",IF(AND(C3863&lt;&gt;"C0",IFERROR(INDEX(parametros!$A$2:$A$6,MATCH(C3863,parametros!$B$2:$B$6,0)),"")="Sim",IFERROR(INDEX(parametros!$H$2:$H$6,MATCH(C3863,parametros!$B$2:$B$6,0)),"")=""),"INICIO_EFEITO ausente: PC "&amp;A3863&amp;" - "&amp;C3863,IF(L3863="","EFEITO_PC nao calculado: PC "&amp;A3863&amp;" - "&amp;C3863,"OK")))))))))</f>
        <v/>
      </c>
      <c r="L3863" s="92" t="str">
        <f>IF(AND(A3863="",B3863="",D3863="",G3863=""),"",IF(OR(B3863="",NOT(ISNUMBER(B3863)),C3863="",C3863="Fora dos ciclos"),"",IF(C3863="C0","Nao",IF(IFERROR(INDEX(parametros!$A$2:$A$6,MATCH(C3863,parametros!$B$2:$B$6,0)),"")&lt;&gt;"Sim","Nao",IF(IFERROR(INDEX(parametros!$H$2:$H$6,MATCH(C3863,parametros!$B$2:$B$6,0)),"")="","",IF(B3863&gt;=IFERROR(INDEX(parametros!$H$2:$H$6,MATCH(C3863,parametros!$B$2:$B$6,0)),""),"Sim","Nao"))))))</f>
        <v/>
      </c>
      <c r="T3863" s="156"/>
      <c r="U3863" s="214" t="str">
        <f t="shared" si="306"/>
        <v/>
      </c>
      <c r="V3863" s="212" t="s">
        <v>50</v>
      </c>
      <c r="W3863" s="100" t="s">
        <v>168</v>
      </c>
      <c r="X3863" s="100" t="s">
        <v>169</v>
      </c>
      <c r="Y3863" s="101" t="s">
        <v>170</v>
      </c>
      <c r="Z3863" s="101" t="s">
        <v>171</v>
      </c>
      <c r="AA3863" s="101" t="s">
        <v>50</v>
      </c>
      <c r="AB3863" s="101" t="s">
        <v>172</v>
      </c>
      <c r="AC3863" s="102" t="s">
        <v>173</v>
      </c>
    </row>
    <row r="3864" spans="1:29" ht="25.5" customHeight="1" x14ac:dyDescent="0.35">
      <c r="A3864" s="392"/>
      <c r="B3864" s="393"/>
      <c r="C3864" s="99" t="str">
        <f>IF(B3864="","",IF(NOT(ISNUMBER(B3864)),"DATA_PC invalida",IF(NOT(ISNUMBER(parametros!$C$2)),"Fora dos ciclos",IF(OR(B3864&lt;parametros!$C$2,(YEAR(B3864)-YEAR(parametros!$C$2))*12+MONTH(B3864)-MONTH(parametros!$C$2)&gt;59),"Fora dos ciclos","C"&amp;INT(((YEAR(B3864)-YEAR(parametros!$C$2))*12+MONTH(B3864)-MONTH(parametros!$C$2))/12)))))</f>
        <v/>
      </c>
      <c r="D3864" s="394"/>
      <c r="E3864" s="78" t="str">
        <f>IF(C3864="","",IFERROR(VLOOKUP(C3864,parametros!$A$11:$E$15,5,0),""))</f>
        <v/>
      </c>
      <c r="F3864" s="79" t="str">
        <f t="shared" si="302"/>
        <v/>
      </c>
      <c r="G3864" s="395"/>
      <c r="H3864" s="91">
        <f t="shared" si="303"/>
        <v>0</v>
      </c>
      <c r="I3864" s="91" t="str">
        <f t="shared" si="304"/>
        <v/>
      </c>
      <c r="J3864" s="91" t="str">
        <f t="shared" si="305"/>
        <v/>
      </c>
      <c r="K3864" s="92" t="str">
        <f>IF(AND(A3864="",B3864="",D3864="",G3864=""),"",IF(AND(A3864&lt;&gt;"",COUNTIF($A$2:$A$5001,A3864)&gt;1),"NUMERO_PC duplicado",IF(B3864="","DATA_PC vazia",IF(NOT(ISNUMBER(B3864)),"DATA_PC invalida",IF(OR(C3864="",C3864="Fora dos ciclos"),"CICLO_PC nao identificado",IF(OR(D3864="",D3864=0),"VALOR_PC vazio ou zero",IF(AND(G3864&lt;&gt;"Sim",G3864&lt;&gt;"Nao",G3864&lt;&gt;""),"PC_PAGO_A_CONTRATADA invalido",IF(AND(C3864&lt;&gt;"C0",IFERROR(INDEX(parametros!$A$2:$A$6,MATCH(C3864,parametros!$B$2:$B$6,0)),"")="Sim",IFERROR(INDEX(parametros!$H$2:$H$6,MATCH(C3864,parametros!$B$2:$B$6,0)),"")=""),"INICIO_EFEITO ausente: PC "&amp;A3864&amp;" - "&amp;C3864,IF(L3864="","EFEITO_PC nao calculado: PC "&amp;A3864&amp;" - "&amp;C3864,"OK")))))))))</f>
        <v/>
      </c>
      <c r="L3864" s="92" t="str">
        <f>IF(AND(A3864="",B3864="",D3864="",G3864=""),"",IF(OR(B3864="",NOT(ISNUMBER(B3864)),C3864="",C3864="Fora dos ciclos"),"",IF(C3864="C0","Nao",IF(IFERROR(INDEX(parametros!$A$2:$A$6,MATCH(C3864,parametros!$B$2:$B$6,0)),"")&lt;&gt;"Sim","Nao",IF(IFERROR(INDEX(parametros!$H$2:$H$6,MATCH(C3864,parametros!$B$2:$B$6,0)),"")="","",IF(B3864&gt;=IFERROR(INDEX(parametros!$H$2:$H$6,MATCH(C3864,parametros!$B$2:$B$6,0)),""),"Sim","Nao"))))))</f>
        <v/>
      </c>
      <c r="T3864" s="156"/>
      <c r="U3864" s="214" t="str">
        <f t="shared" si="306"/>
        <v/>
      </c>
      <c r="V3864" s="212" t="s">
        <v>50</v>
      </c>
      <c r="W3864" s="100" t="s">
        <v>168</v>
      </c>
      <c r="X3864" s="100" t="s">
        <v>169</v>
      </c>
      <c r="Y3864" s="101" t="s">
        <v>170</v>
      </c>
      <c r="Z3864" s="101" t="s">
        <v>171</v>
      </c>
      <c r="AA3864" s="101" t="s">
        <v>50</v>
      </c>
      <c r="AB3864" s="101" t="s">
        <v>172</v>
      </c>
      <c r="AC3864" s="102" t="s">
        <v>173</v>
      </c>
    </row>
    <row r="3865" spans="1:29" ht="25.5" customHeight="1" x14ac:dyDescent="0.35">
      <c r="A3865" s="392"/>
      <c r="B3865" s="393"/>
      <c r="C3865" s="99" t="str">
        <f>IF(B3865="","",IF(NOT(ISNUMBER(B3865)),"DATA_PC invalida",IF(NOT(ISNUMBER(parametros!$C$2)),"Fora dos ciclos",IF(OR(B3865&lt;parametros!$C$2,(YEAR(B3865)-YEAR(parametros!$C$2))*12+MONTH(B3865)-MONTH(parametros!$C$2)&gt;59),"Fora dos ciclos","C"&amp;INT(((YEAR(B3865)-YEAR(parametros!$C$2))*12+MONTH(B3865)-MONTH(parametros!$C$2))/12)))))</f>
        <v/>
      </c>
      <c r="D3865" s="394"/>
      <c r="E3865" s="78" t="str">
        <f>IF(C3865="","",IFERROR(VLOOKUP(C3865,parametros!$A$11:$E$15,5,0),""))</f>
        <v/>
      </c>
      <c r="F3865" s="79" t="str">
        <f t="shared" si="302"/>
        <v/>
      </c>
      <c r="G3865" s="395"/>
      <c r="H3865" s="91">
        <f t="shared" si="303"/>
        <v>0</v>
      </c>
      <c r="I3865" s="91" t="str">
        <f t="shared" si="304"/>
        <v/>
      </c>
      <c r="J3865" s="91" t="str">
        <f t="shared" si="305"/>
        <v/>
      </c>
      <c r="K3865" s="92" t="str">
        <f>IF(AND(A3865="",B3865="",D3865="",G3865=""),"",IF(AND(A3865&lt;&gt;"",COUNTIF($A$2:$A$5001,A3865)&gt;1),"NUMERO_PC duplicado",IF(B3865="","DATA_PC vazia",IF(NOT(ISNUMBER(B3865)),"DATA_PC invalida",IF(OR(C3865="",C3865="Fora dos ciclos"),"CICLO_PC nao identificado",IF(OR(D3865="",D3865=0),"VALOR_PC vazio ou zero",IF(AND(G3865&lt;&gt;"Sim",G3865&lt;&gt;"Nao",G3865&lt;&gt;""),"PC_PAGO_A_CONTRATADA invalido",IF(AND(C3865&lt;&gt;"C0",IFERROR(INDEX(parametros!$A$2:$A$6,MATCH(C3865,parametros!$B$2:$B$6,0)),"")="Sim",IFERROR(INDEX(parametros!$H$2:$H$6,MATCH(C3865,parametros!$B$2:$B$6,0)),"")=""),"INICIO_EFEITO ausente: PC "&amp;A3865&amp;" - "&amp;C3865,IF(L3865="","EFEITO_PC nao calculado: PC "&amp;A3865&amp;" - "&amp;C3865,"OK")))))))))</f>
        <v/>
      </c>
      <c r="L3865" s="92" t="str">
        <f>IF(AND(A3865="",B3865="",D3865="",G3865=""),"",IF(OR(B3865="",NOT(ISNUMBER(B3865)),C3865="",C3865="Fora dos ciclos"),"",IF(C3865="C0","Nao",IF(IFERROR(INDEX(parametros!$A$2:$A$6,MATCH(C3865,parametros!$B$2:$B$6,0)),"")&lt;&gt;"Sim","Nao",IF(IFERROR(INDEX(parametros!$H$2:$H$6,MATCH(C3865,parametros!$B$2:$B$6,0)),"")="","",IF(B3865&gt;=IFERROR(INDEX(parametros!$H$2:$H$6,MATCH(C3865,parametros!$B$2:$B$6,0)),""),"Sim","Nao"))))))</f>
        <v/>
      </c>
      <c r="T3865" s="156"/>
      <c r="U3865" s="214" t="str">
        <f t="shared" si="306"/>
        <v/>
      </c>
      <c r="V3865" s="212" t="s">
        <v>50</v>
      </c>
      <c r="W3865" s="100" t="s">
        <v>168</v>
      </c>
      <c r="X3865" s="100" t="s">
        <v>169</v>
      </c>
      <c r="Y3865" s="101" t="s">
        <v>170</v>
      </c>
      <c r="Z3865" s="101" t="s">
        <v>171</v>
      </c>
      <c r="AA3865" s="101" t="s">
        <v>50</v>
      </c>
      <c r="AB3865" s="101" t="s">
        <v>172</v>
      </c>
      <c r="AC3865" s="102" t="s">
        <v>173</v>
      </c>
    </row>
    <row r="3866" spans="1:29" ht="25.5" customHeight="1" x14ac:dyDescent="0.35">
      <c r="A3866" s="392"/>
      <c r="B3866" s="393"/>
      <c r="C3866" s="99" t="str">
        <f>IF(B3866="","",IF(NOT(ISNUMBER(B3866)),"DATA_PC invalida",IF(NOT(ISNUMBER(parametros!$C$2)),"Fora dos ciclos",IF(OR(B3866&lt;parametros!$C$2,(YEAR(B3866)-YEAR(parametros!$C$2))*12+MONTH(B3866)-MONTH(parametros!$C$2)&gt;59),"Fora dos ciclos","C"&amp;INT(((YEAR(B3866)-YEAR(parametros!$C$2))*12+MONTH(B3866)-MONTH(parametros!$C$2))/12)))))</f>
        <v/>
      </c>
      <c r="D3866" s="394"/>
      <c r="E3866" s="78" t="str">
        <f>IF(C3866="","",IFERROR(VLOOKUP(C3866,parametros!$A$11:$E$15,5,0),""))</f>
        <v/>
      </c>
      <c r="F3866" s="79" t="str">
        <f t="shared" si="302"/>
        <v/>
      </c>
      <c r="G3866" s="395"/>
      <c r="H3866" s="91">
        <f t="shared" si="303"/>
        <v>0</v>
      </c>
      <c r="I3866" s="91" t="str">
        <f t="shared" si="304"/>
        <v/>
      </c>
      <c r="J3866" s="91" t="str">
        <f t="shared" si="305"/>
        <v/>
      </c>
      <c r="K3866" s="92" t="str">
        <f>IF(AND(A3866="",B3866="",D3866="",G3866=""),"",IF(AND(A3866&lt;&gt;"",COUNTIF($A$2:$A$5001,A3866)&gt;1),"NUMERO_PC duplicado",IF(B3866="","DATA_PC vazia",IF(NOT(ISNUMBER(B3866)),"DATA_PC invalida",IF(OR(C3866="",C3866="Fora dos ciclos"),"CICLO_PC nao identificado",IF(OR(D3866="",D3866=0),"VALOR_PC vazio ou zero",IF(AND(G3866&lt;&gt;"Sim",G3866&lt;&gt;"Nao",G3866&lt;&gt;""),"PC_PAGO_A_CONTRATADA invalido",IF(AND(C3866&lt;&gt;"C0",IFERROR(INDEX(parametros!$A$2:$A$6,MATCH(C3866,parametros!$B$2:$B$6,0)),"")="Sim",IFERROR(INDEX(parametros!$H$2:$H$6,MATCH(C3866,parametros!$B$2:$B$6,0)),"")=""),"INICIO_EFEITO ausente: PC "&amp;A3866&amp;" - "&amp;C3866,IF(L3866="","EFEITO_PC nao calculado: PC "&amp;A3866&amp;" - "&amp;C3866,"OK")))))))))</f>
        <v/>
      </c>
      <c r="L3866" s="92" t="str">
        <f>IF(AND(A3866="",B3866="",D3866="",G3866=""),"",IF(OR(B3866="",NOT(ISNUMBER(B3866)),C3866="",C3866="Fora dos ciclos"),"",IF(C3866="C0","Nao",IF(IFERROR(INDEX(parametros!$A$2:$A$6,MATCH(C3866,parametros!$B$2:$B$6,0)),"")&lt;&gt;"Sim","Nao",IF(IFERROR(INDEX(parametros!$H$2:$H$6,MATCH(C3866,parametros!$B$2:$B$6,0)),"")="","",IF(B3866&gt;=IFERROR(INDEX(parametros!$H$2:$H$6,MATCH(C3866,parametros!$B$2:$B$6,0)),""),"Sim","Nao"))))))</f>
        <v/>
      </c>
      <c r="T3866" s="156"/>
      <c r="U3866" s="214" t="str">
        <f t="shared" si="306"/>
        <v/>
      </c>
      <c r="V3866" s="212" t="s">
        <v>50</v>
      </c>
      <c r="W3866" s="100" t="s">
        <v>168</v>
      </c>
      <c r="X3866" s="100" t="s">
        <v>169</v>
      </c>
      <c r="Y3866" s="101" t="s">
        <v>170</v>
      </c>
      <c r="Z3866" s="101" t="s">
        <v>171</v>
      </c>
      <c r="AA3866" s="101" t="s">
        <v>50</v>
      </c>
      <c r="AB3866" s="101" t="s">
        <v>172</v>
      </c>
      <c r="AC3866" s="102" t="s">
        <v>173</v>
      </c>
    </row>
    <row r="3867" spans="1:29" ht="25.5" customHeight="1" x14ac:dyDescent="0.35">
      <c r="A3867" s="392"/>
      <c r="B3867" s="393"/>
      <c r="C3867" s="99" t="str">
        <f>IF(B3867="","",IF(NOT(ISNUMBER(B3867)),"DATA_PC invalida",IF(NOT(ISNUMBER(parametros!$C$2)),"Fora dos ciclos",IF(OR(B3867&lt;parametros!$C$2,(YEAR(B3867)-YEAR(parametros!$C$2))*12+MONTH(B3867)-MONTH(parametros!$C$2)&gt;59),"Fora dos ciclos","C"&amp;INT(((YEAR(B3867)-YEAR(parametros!$C$2))*12+MONTH(B3867)-MONTH(parametros!$C$2))/12)))))</f>
        <v/>
      </c>
      <c r="D3867" s="394"/>
      <c r="E3867" s="78" t="str">
        <f>IF(C3867="","",IFERROR(VLOOKUP(C3867,parametros!$A$11:$E$15,5,0),""))</f>
        <v/>
      </c>
      <c r="F3867" s="79" t="str">
        <f t="shared" si="302"/>
        <v/>
      </c>
      <c r="G3867" s="395"/>
      <c r="H3867" s="91">
        <f t="shared" si="303"/>
        <v>0</v>
      </c>
      <c r="I3867" s="91" t="str">
        <f t="shared" si="304"/>
        <v/>
      </c>
      <c r="J3867" s="91" t="str">
        <f t="shared" si="305"/>
        <v/>
      </c>
      <c r="K3867" s="92" t="str">
        <f>IF(AND(A3867="",B3867="",D3867="",G3867=""),"",IF(AND(A3867&lt;&gt;"",COUNTIF($A$2:$A$5001,A3867)&gt;1),"NUMERO_PC duplicado",IF(B3867="","DATA_PC vazia",IF(NOT(ISNUMBER(B3867)),"DATA_PC invalida",IF(OR(C3867="",C3867="Fora dos ciclos"),"CICLO_PC nao identificado",IF(OR(D3867="",D3867=0),"VALOR_PC vazio ou zero",IF(AND(G3867&lt;&gt;"Sim",G3867&lt;&gt;"Nao",G3867&lt;&gt;""),"PC_PAGO_A_CONTRATADA invalido",IF(AND(C3867&lt;&gt;"C0",IFERROR(INDEX(parametros!$A$2:$A$6,MATCH(C3867,parametros!$B$2:$B$6,0)),"")="Sim",IFERROR(INDEX(parametros!$H$2:$H$6,MATCH(C3867,parametros!$B$2:$B$6,0)),"")=""),"INICIO_EFEITO ausente: PC "&amp;A3867&amp;" - "&amp;C3867,IF(L3867="","EFEITO_PC nao calculado: PC "&amp;A3867&amp;" - "&amp;C3867,"OK")))))))))</f>
        <v/>
      </c>
      <c r="L3867" s="92" t="str">
        <f>IF(AND(A3867="",B3867="",D3867="",G3867=""),"",IF(OR(B3867="",NOT(ISNUMBER(B3867)),C3867="",C3867="Fora dos ciclos"),"",IF(C3867="C0","Nao",IF(IFERROR(INDEX(parametros!$A$2:$A$6,MATCH(C3867,parametros!$B$2:$B$6,0)),"")&lt;&gt;"Sim","Nao",IF(IFERROR(INDEX(parametros!$H$2:$H$6,MATCH(C3867,parametros!$B$2:$B$6,0)),"")="","",IF(B3867&gt;=IFERROR(INDEX(parametros!$H$2:$H$6,MATCH(C3867,parametros!$B$2:$B$6,0)),""),"Sim","Nao"))))))</f>
        <v/>
      </c>
      <c r="T3867" s="156"/>
      <c r="U3867" s="214" t="str">
        <f t="shared" si="306"/>
        <v/>
      </c>
      <c r="V3867" s="212" t="s">
        <v>50</v>
      </c>
      <c r="W3867" s="100" t="s">
        <v>168</v>
      </c>
      <c r="X3867" s="100" t="s">
        <v>169</v>
      </c>
      <c r="Y3867" s="101" t="s">
        <v>170</v>
      </c>
      <c r="Z3867" s="101" t="s">
        <v>171</v>
      </c>
      <c r="AA3867" s="101" t="s">
        <v>50</v>
      </c>
      <c r="AB3867" s="101" t="s">
        <v>172</v>
      </c>
      <c r="AC3867" s="102" t="s">
        <v>173</v>
      </c>
    </row>
    <row r="3868" spans="1:29" ht="25.5" customHeight="1" x14ac:dyDescent="0.35">
      <c r="A3868" s="392"/>
      <c r="B3868" s="393"/>
      <c r="C3868" s="99" t="str">
        <f>IF(B3868="","",IF(NOT(ISNUMBER(B3868)),"DATA_PC invalida",IF(NOT(ISNUMBER(parametros!$C$2)),"Fora dos ciclos",IF(OR(B3868&lt;parametros!$C$2,(YEAR(B3868)-YEAR(parametros!$C$2))*12+MONTH(B3868)-MONTH(parametros!$C$2)&gt;59),"Fora dos ciclos","C"&amp;INT(((YEAR(B3868)-YEAR(parametros!$C$2))*12+MONTH(B3868)-MONTH(parametros!$C$2))/12)))))</f>
        <v/>
      </c>
      <c r="D3868" s="394"/>
      <c r="E3868" s="78" t="str">
        <f>IF(C3868="","",IFERROR(VLOOKUP(C3868,parametros!$A$11:$E$15,5,0),""))</f>
        <v/>
      </c>
      <c r="F3868" s="79" t="str">
        <f t="shared" si="302"/>
        <v/>
      </c>
      <c r="G3868" s="395"/>
      <c r="H3868" s="91">
        <f t="shared" si="303"/>
        <v>0</v>
      </c>
      <c r="I3868" s="91" t="str">
        <f t="shared" si="304"/>
        <v/>
      </c>
      <c r="J3868" s="91" t="str">
        <f t="shared" si="305"/>
        <v/>
      </c>
      <c r="K3868" s="92" t="str">
        <f>IF(AND(A3868="",B3868="",D3868="",G3868=""),"",IF(AND(A3868&lt;&gt;"",COUNTIF($A$2:$A$5001,A3868)&gt;1),"NUMERO_PC duplicado",IF(B3868="","DATA_PC vazia",IF(NOT(ISNUMBER(B3868)),"DATA_PC invalida",IF(OR(C3868="",C3868="Fora dos ciclos"),"CICLO_PC nao identificado",IF(OR(D3868="",D3868=0),"VALOR_PC vazio ou zero",IF(AND(G3868&lt;&gt;"Sim",G3868&lt;&gt;"Nao",G3868&lt;&gt;""),"PC_PAGO_A_CONTRATADA invalido",IF(AND(C3868&lt;&gt;"C0",IFERROR(INDEX(parametros!$A$2:$A$6,MATCH(C3868,parametros!$B$2:$B$6,0)),"")="Sim",IFERROR(INDEX(parametros!$H$2:$H$6,MATCH(C3868,parametros!$B$2:$B$6,0)),"")=""),"INICIO_EFEITO ausente: PC "&amp;A3868&amp;" - "&amp;C3868,IF(L3868="","EFEITO_PC nao calculado: PC "&amp;A3868&amp;" - "&amp;C3868,"OK")))))))))</f>
        <v/>
      </c>
      <c r="L3868" s="92" t="str">
        <f>IF(AND(A3868="",B3868="",D3868="",G3868=""),"",IF(OR(B3868="",NOT(ISNUMBER(B3868)),C3868="",C3868="Fora dos ciclos"),"",IF(C3868="C0","Nao",IF(IFERROR(INDEX(parametros!$A$2:$A$6,MATCH(C3868,parametros!$B$2:$B$6,0)),"")&lt;&gt;"Sim","Nao",IF(IFERROR(INDEX(parametros!$H$2:$H$6,MATCH(C3868,parametros!$B$2:$B$6,0)),"")="","",IF(B3868&gt;=IFERROR(INDEX(parametros!$H$2:$H$6,MATCH(C3868,parametros!$B$2:$B$6,0)),""),"Sim","Nao"))))))</f>
        <v/>
      </c>
      <c r="T3868" s="156"/>
      <c r="U3868" s="214" t="str">
        <f t="shared" si="306"/>
        <v/>
      </c>
      <c r="V3868" s="212" t="s">
        <v>50</v>
      </c>
      <c r="W3868" s="100" t="s">
        <v>168</v>
      </c>
      <c r="X3868" s="100" t="s">
        <v>169</v>
      </c>
      <c r="Y3868" s="101" t="s">
        <v>170</v>
      </c>
      <c r="Z3868" s="101" t="s">
        <v>171</v>
      </c>
      <c r="AA3868" s="101" t="s">
        <v>50</v>
      </c>
      <c r="AB3868" s="101" t="s">
        <v>172</v>
      </c>
      <c r="AC3868" s="102" t="s">
        <v>173</v>
      </c>
    </row>
    <row r="3869" spans="1:29" ht="25.5" customHeight="1" x14ac:dyDescent="0.35">
      <c r="A3869" s="392"/>
      <c r="B3869" s="393"/>
      <c r="C3869" s="99" t="str">
        <f>IF(B3869="","",IF(NOT(ISNUMBER(B3869)),"DATA_PC invalida",IF(NOT(ISNUMBER(parametros!$C$2)),"Fora dos ciclos",IF(OR(B3869&lt;parametros!$C$2,(YEAR(B3869)-YEAR(parametros!$C$2))*12+MONTH(B3869)-MONTH(parametros!$C$2)&gt;59),"Fora dos ciclos","C"&amp;INT(((YEAR(B3869)-YEAR(parametros!$C$2))*12+MONTH(B3869)-MONTH(parametros!$C$2))/12)))))</f>
        <v/>
      </c>
      <c r="D3869" s="394"/>
      <c r="E3869" s="78" t="str">
        <f>IF(C3869="","",IFERROR(VLOOKUP(C3869,parametros!$A$11:$E$15,5,0),""))</f>
        <v/>
      </c>
      <c r="F3869" s="79" t="str">
        <f t="shared" si="302"/>
        <v/>
      </c>
      <c r="G3869" s="395"/>
      <c r="H3869" s="91">
        <f t="shared" si="303"/>
        <v>0</v>
      </c>
      <c r="I3869" s="91" t="str">
        <f t="shared" si="304"/>
        <v/>
      </c>
      <c r="J3869" s="91" t="str">
        <f t="shared" si="305"/>
        <v/>
      </c>
      <c r="K3869" s="92" t="str">
        <f>IF(AND(A3869="",B3869="",D3869="",G3869=""),"",IF(AND(A3869&lt;&gt;"",COUNTIF($A$2:$A$5001,A3869)&gt;1),"NUMERO_PC duplicado",IF(B3869="","DATA_PC vazia",IF(NOT(ISNUMBER(B3869)),"DATA_PC invalida",IF(OR(C3869="",C3869="Fora dos ciclos"),"CICLO_PC nao identificado",IF(OR(D3869="",D3869=0),"VALOR_PC vazio ou zero",IF(AND(G3869&lt;&gt;"Sim",G3869&lt;&gt;"Nao",G3869&lt;&gt;""),"PC_PAGO_A_CONTRATADA invalido",IF(AND(C3869&lt;&gt;"C0",IFERROR(INDEX(parametros!$A$2:$A$6,MATCH(C3869,parametros!$B$2:$B$6,0)),"")="Sim",IFERROR(INDEX(parametros!$H$2:$H$6,MATCH(C3869,parametros!$B$2:$B$6,0)),"")=""),"INICIO_EFEITO ausente: PC "&amp;A3869&amp;" - "&amp;C3869,IF(L3869="","EFEITO_PC nao calculado: PC "&amp;A3869&amp;" - "&amp;C3869,"OK")))))))))</f>
        <v/>
      </c>
      <c r="L3869" s="92" t="str">
        <f>IF(AND(A3869="",B3869="",D3869="",G3869=""),"",IF(OR(B3869="",NOT(ISNUMBER(B3869)),C3869="",C3869="Fora dos ciclos"),"",IF(C3869="C0","Nao",IF(IFERROR(INDEX(parametros!$A$2:$A$6,MATCH(C3869,parametros!$B$2:$B$6,0)),"")&lt;&gt;"Sim","Nao",IF(IFERROR(INDEX(parametros!$H$2:$H$6,MATCH(C3869,parametros!$B$2:$B$6,0)),"")="","",IF(B3869&gt;=IFERROR(INDEX(parametros!$H$2:$H$6,MATCH(C3869,parametros!$B$2:$B$6,0)),""),"Sim","Nao"))))))</f>
        <v/>
      </c>
      <c r="T3869" s="156"/>
      <c r="U3869" s="214" t="str">
        <f t="shared" si="306"/>
        <v/>
      </c>
      <c r="V3869" s="212" t="s">
        <v>50</v>
      </c>
      <c r="W3869" s="100" t="s">
        <v>168</v>
      </c>
      <c r="X3869" s="100" t="s">
        <v>169</v>
      </c>
      <c r="Y3869" s="101" t="s">
        <v>170</v>
      </c>
      <c r="Z3869" s="101" t="s">
        <v>171</v>
      </c>
      <c r="AA3869" s="101" t="s">
        <v>50</v>
      </c>
      <c r="AB3869" s="101" t="s">
        <v>172</v>
      </c>
      <c r="AC3869" s="102" t="s">
        <v>173</v>
      </c>
    </row>
    <row r="3870" spans="1:29" ht="25.5" customHeight="1" x14ac:dyDescent="0.35">
      <c r="A3870" s="392"/>
      <c r="B3870" s="393"/>
      <c r="C3870" s="99" t="str">
        <f>IF(B3870="","",IF(NOT(ISNUMBER(B3870)),"DATA_PC invalida",IF(NOT(ISNUMBER(parametros!$C$2)),"Fora dos ciclos",IF(OR(B3870&lt;parametros!$C$2,(YEAR(B3870)-YEAR(parametros!$C$2))*12+MONTH(B3870)-MONTH(parametros!$C$2)&gt;59),"Fora dos ciclos","C"&amp;INT(((YEAR(B3870)-YEAR(parametros!$C$2))*12+MONTH(B3870)-MONTH(parametros!$C$2))/12)))))</f>
        <v/>
      </c>
      <c r="D3870" s="394"/>
      <c r="E3870" s="78" t="str">
        <f>IF(C3870="","",IFERROR(VLOOKUP(C3870,parametros!$A$11:$E$15,5,0),""))</f>
        <v/>
      </c>
      <c r="F3870" s="79" t="str">
        <f t="shared" si="302"/>
        <v/>
      </c>
      <c r="G3870" s="395"/>
      <c r="H3870" s="91">
        <f t="shared" si="303"/>
        <v>0</v>
      </c>
      <c r="I3870" s="91" t="str">
        <f t="shared" si="304"/>
        <v/>
      </c>
      <c r="J3870" s="91" t="str">
        <f t="shared" si="305"/>
        <v/>
      </c>
      <c r="K3870" s="92" t="str">
        <f>IF(AND(A3870="",B3870="",D3870="",G3870=""),"",IF(AND(A3870&lt;&gt;"",COUNTIF($A$2:$A$5001,A3870)&gt;1),"NUMERO_PC duplicado",IF(B3870="","DATA_PC vazia",IF(NOT(ISNUMBER(B3870)),"DATA_PC invalida",IF(OR(C3870="",C3870="Fora dos ciclos"),"CICLO_PC nao identificado",IF(OR(D3870="",D3870=0),"VALOR_PC vazio ou zero",IF(AND(G3870&lt;&gt;"Sim",G3870&lt;&gt;"Nao",G3870&lt;&gt;""),"PC_PAGO_A_CONTRATADA invalido",IF(AND(C3870&lt;&gt;"C0",IFERROR(INDEX(parametros!$A$2:$A$6,MATCH(C3870,parametros!$B$2:$B$6,0)),"")="Sim",IFERROR(INDEX(parametros!$H$2:$H$6,MATCH(C3870,parametros!$B$2:$B$6,0)),"")=""),"INICIO_EFEITO ausente: PC "&amp;A3870&amp;" - "&amp;C3870,IF(L3870="","EFEITO_PC nao calculado: PC "&amp;A3870&amp;" - "&amp;C3870,"OK")))))))))</f>
        <v/>
      </c>
      <c r="L3870" s="92" t="str">
        <f>IF(AND(A3870="",B3870="",D3870="",G3870=""),"",IF(OR(B3870="",NOT(ISNUMBER(B3870)),C3870="",C3870="Fora dos ciclos"),"",IF(C3870="C0","Nao",IF(IFERROR(INDEX(parametros!$A$2:$A$6,MATCH(C3870,parametros!$B$2:$B$6,0)),"")&lt;&gt;"Sim","Nao",IF(IFERROR(INDEX(parametros!$H$2:$H$6,MATCH(C3870,parametros!$B$2:$B$6,0)),"")="","",IF(B3870&gt;=IFERROR(INDEX(parametros!$H$2:$H$6,MATCH(C3870,parametros!$B$2:$B$6,0)),""),"Sim","Nao"))))))</f>
        <v/>
      </c>
      <c r="T3870" s="156"/>
      <c r="U3870" s="214" t="str">
        <f t="shared" si="306"/>
        <v/>
      </c>
      <c r="V3870" s="212" t="s">
        <v>50</v>
      </c>
      <c r="W3870" s="100" t="s">
        <v>168</v>
      </c>
      <c r="X3870" s="100" t="s">
        <v>169</v>
      </c>
      <c r="Y3870" s="101" t="s">
        <v>170</v>
      </c>
      <c r="Z3870" s="101" t="s">
        <v>171</v>
      </c>
      <c r="AA3870" s="101" t="s">
        <v>50</v>
      </c>
      <c r="AB3870" s="101" t="s">
        <v>172</v>
      </c>
      <c r="AC3870" s="102" t="s">
        <v>173</v>
      </c>
    </row>
    <row r="3871" spans="1:29" ht="25.5" customHeight="1" x14ac:dyDescent="0.35">
      <c r="A3871" s="392"/>
      <c r="B3871" s="393"/>
      <c r="C3871" s="99" t="str">
        <f>IF(B3871="","",IF(NOT(ISNUMBER(B3871)),"DATA_PC invalida",IF(NOT(ISNUMBER(parametros!$C$2)),"Fora dos ciclos",IF(OR(B3871&lt;parametros!$C$2,(YEAR(B3871)-YEAR(parametros!$C$2))*12+MONTH(B3871)-MONTH(parametros!$C$2)&gt;59),"Fora dos ciclos","C"&amp;INT(((YEAR(B3871)-YEAR(parametros!$C$2))*12+MONTH(B3871)-MONTH(parametros!$C$2))/12)))))</f>
        <v/>
      </c>
      <c r="D3871" s="394"/>
      <c r="E3871" s="78" t="str">
        <f>IF(C3871="","",IFERROR(VLOOKUP(C3871,parametros!$A$11:$E$15,5,0),""))</f>
        <v/>
      </c>
      <c r="F3871" s="79" t="str">
        <f t="shared" si="302"/>
        <v/>
      </c>
      <c r="G3871" s="395"/>
      <c r="H3871" s="91">
        <f t="shared" si="303"/>
        <v>0</v>
      </c>
      <c r="I3871" s="91" t="str">
        <f t="shared" si="304"/>
        <v/>
      </c>
      <c r="J3871" s="91" t="str">
        <f t="shared" si="305"/>
        <v/>
      </c>
      <c r="K3871" s="92" t="str">
        <f>IF(AND(A3871="",B3871="",D3871="",G3871=""),"",IF(AND(A3871&lt;&gt;"",COUNTIF($A$2:$A$5001,A3871)&gt;1),"NUMERO_PC duplicado",IF(B3871="","DATA_PC vazia",IF(NOT(ISNUMBER(B3871)),"DATA_PC invalida",IF(OR(C3871="",C3871="Fora dos ciclos"),"CICLO_PC nao identificado",IF(OR(D3871="",D3871=0),"VALOR_PC vazio ou zero",IF(AND(G3871&lt;&gt;"Sim",G3871&lt;&gt;"Nao",G3871&lt;&gt;""),"PC_PAGO_A_CONTRATADA invalido",IF(AND(C3871&lt;&gt;"C0",IFERROR(INDEX(parametros!$A$2:$A$6,MATCH(C3871,parametros!$B$2:$B$6,0)),"")="Sim",IFERROR(INDEX(parametros!$H$2:$H$6,MATCH(C3871,parametros!$B$2:$B$6,0)),"")=""),"INICIO_EFEITO ausente: PC "&amp;A3871&amp;" - "&amp;C3871,IF(L3871="","EFEITO_PC nao calculado: PC "&amp;A3871&amp;" - "&amp;C3871,"OK")))))))))</f>
        <v/>
      </c>
      <c r="L3871" s="92" t="str">
        <f>IF(AND(A3871="",B3871="",D3871="",G3871=""),"",IF(OR(B3871="",NOT(ISNUMBER(B3871)),C3871="",C3871="Fora dos ciclos"),"",IF(C3871="C0","Nao",IF(IFERROR(INDEX(parametros!$A$2:$A$6,MATCH(C3871,parametros!$B$2:$B$6,0)),"")&lt;&gt;"Sim","Nao",IF(IFERROR(INDEX(parametros!$H$2:$H$6,MATCH(C3871,parametros!$B$2:$B$6,0)),"")="","",IF(B3871&gt;=IFERROR(INDEX(parametros!$H$2:$H$6,MATCH(C3871,parametros!$B$2:$B$6,0)),""),"Sim","Nao"))))))</f>
        <v/>
      </c>
      <c r="T3871" s="156"/>
      <c r="U3871" s="214" t="str">
        <f t="shared" si="306"/>
        <v/>
      </c>
      <c r="V3871" s="212" t="s">
        <v>50</v>
      </c>
      <c r="W3871" s="100" t="s">
        <v>168</v>
      </c>
      <c r="X3871" s="100" t="s">
        <v>169</v>
      </c>
      <c r="Y3871" s="101" t="s">
        <v>170</v>
      </c>
      <c r="Z3871" s="101" t="s">
        <v>171</v>
      </c>
      <c r="AA3871" s="101" t="s">
        <v>50</v>
      </c>
      <c r="AB3871" s="101" t="s">
        <v>172</v>
      </c>
      <c r="AC3871" s="102" t="s">
        <v>173</v>
      </c>
    </row>
    <row r="3872" spans="1:29" ht="25.5" customHeight="1" x14ac:dyDescent="0.35">
      <c r="A3872" s="392"/>
      <c r="B3872" s="393"/>
      <c r="C3872" s="99" t="str">
        <f>IF(B3872="","",IF(NOT(ISNUMBER(B3872)),"DATA_PC invalida",IF(NOT(ISNUMBER(parametros!$C$2)),"Fora dos ciclos",IF(OR(B3872&lt;parametros!$C$2,(YEAR(B3872)-YEAR(parametros!$C$2))*12+MONTH(B3872)-MONTH(parametros!$C$2)&gt;59),"Fora dos ciclos","C"&amp;INT(((YEAR(B3872)-YEAR(parametros!$C$2))*12+MONTH(B3872)-MONTH(parametros!$C$2))/12)))))</f>
        <v/>
      </c>
      <c r="D3872" s="394"/>
      <c r="E3872" s="78" t="str">
        <f>IF(C3872="","",IFERROR(VLOOKUP(C3872,parametros!$A$11:$E$15,5,0),""))</f>
        <v/>
      </c>
      <c r="F3872" s="79" t="str">
        <f t="shared" si="302"/>
        <v/>
      </c>
      <c r="G3872" s="395"/>
      <c r="H3872" s="91">
        <f t="shared" si="303"/>
        <v>0</v>
      </c>
      <c r="I3872" s="91" t="str">
        <f t="shared" si="304"/>
        <v/>
      </c>
      <c r="J3872" s="91" t="str">
        <f t="shared" si="305"/>
        <v/>
      </c>
      <c r="K3872" s="92" t="str">
        <f>IF(AND(A3872="",B3872="",D3872="",G3872=""),"",IF(AND(A3872&lt;&gt;"",COUNTIF($A$2:$A$5001,A3872)&gt;1),"NUMERO_PC duplicado",IF(B3872="","DATA_PC vazia",IF(NOT(ISNUMBER(B3872)),"DATA_PC invalida",IF(OR(C3872="",C3872="Fora dos ciclos"),"CICLO_PC nao identificado",IF(OR(D3872="",D3872=0),"VALOR_PC vazio ou zero",IF(AND(G3872&lt;&gt;"Sim",G3872&lt;&gt;"Nao",G3872&lt;&gt;""),"PC_PAGO_A_CONTRATADA invalido",IF(AND(C3872&lt;&gt;"C0",IFERROR(INDEX(parametros!$A$2:$A$6,MATCH(C3872,parametros!$B$2:$B$6,0)),"")="Sim",IFERROR(INDEX(parametros!$H$2:$H$6,MATCH(C3872,parametros!$B$2:$B$6,0)),"")=""),"INICIO_EFEITO ausente: PC "&amp;A3872&amp;" - "&amp;C3872,IF(L3872="","EFEITO_PC nao calculado: PC "&amp;A3872&amp;" - "&amp;C3872,"OK")))))))))</f>
        <v/>
      </c>
      <c r="L3872" s="92" t="str">
        <f>IF(AND(A3872="",B3872="",D3872="",G3872=""),"",IF(OR(B3872="",NOT(ISNUMBER(B3872)),C3872="",C3872="Fora dos ciclos"),"",IF(C3872="C0","Nao",IF(IFERROR(INDEX(parametros!$A$2:$A$6,MATCH(C3872,parametros!$B$2:$B$6,0)),"")&lt;&gt;"Sim","Nao",IF(IFERROR(INDEX(parametros!$H$2:$H$6,MATCH(C3872,parametros!$B$2:$B$6,0)),"")="","",IF(B3872&gt;=IFERROR(INDEX(parametros!$H$2:$H$6,MATCH(C3872,parametros!$B$2:$B$6,0)),""),"Sim","Nao"))))))</f>
        <v/>
      </c>
      <c r="T3872" s="156"/>
      <c r="U3872" s="214" t="str">
        <f t="shared" si="306"/>
        <v/>
      </c>
      <c r="V3872" s="212" t="s">
        <v>50</v>
      </c>
      <c r="W3872" s="100" t="s">
        <v>168</v>
      </c>
      <c r="X3872" s="100" t="s">
        <v>169</v>
      </c>
      <c r="Y3872" s="101" t="s">
        <v>170</v>
      </c>
      <c r="Z3872" s="101" t="s">
        <v>171</v>
      </c>
      <c r="AA3872" s="101" t="s">
        <v>50</v>
      </c>
      <c r="AB3872" s="101" t="s">
        <v>172</v>
      </c>
      <c r="AC3872" s="102" t="s">
        <v>173</v>
      </c>
    </row>
    <row r="3873" spans="1:29" ht="25.5" customHeight="1" x14ac:dyDescent="0.35">
      <c r="A3873" s="392"/>
      <c r="B3873" s="393"/>
      <c r="C3873" s="99" t="str">
        <f>IF(B3873="","",IF(NOT(ISNUMBER(B3873)),"DATA_PC invalida",IF(NOT(ISNUMBER(parametros!$C$2)),"Fora dos ciclos",IF(OR(B3873&lt;parametros!$C$2,(YEAR(B3873)-YEAR(parametros!$C$2))*12+MONTH(B3873)-MONTH(parametros!$C$2)&gt;59),"Fora dos ciclos","C"&amp;INT(((YEAR(B3873)-YEAR(parametros!$C$2))*12+MONTH(B3873)-MONTH(parametros!$C$2))/12)))))</f>
        <v/>
      </c>
      <c r="D3873" s="394"/>
      <c r="E3873" s="78" t="str">
        <f>IF(C3873="","",IFERROR(VLOOKUP(C3873,parametros!$A$11:$E$15,5,0),""))</f>
        <v/>
      </c>
      <c r="F3873" s="79" t="str">
        <f t="shared" si="302"/>
        <v/>
      </c>
      <c r="G3873" s="395"/>
      <c r="H3873" s="91">
        <f t="shared" si="303"/>
        <v>0</v>
      </c>
      <c r="I3873" s="91" t="str">
        <f t="shared" si="304"/>
        <v/>
      </c>
      <c r="J3873" s="91" t="str">
        <f t="shared" si="305"/>
        <v/>
      </c>
      <c r="K3873" s="92" t="str">
        <f>IF(AND(A3873="",B3873="",D3873="",G3873=""),"",IF(AND(A3873&lt;&gt;"",COUNTIF($A$2:$A$5001,A3873)&gt;1),"NUMERO_PC duplicado",IF(B3873="","DATA_PC vazia",IF(NOT(ISNUMBER(B3873)),"DATA_PC invalida",IF(OR(C3873="",C3873="Fora dos ciclos"),"CICLO_PC nao identificado",IF(OR(D3873="",D3873=0),"VALOR_PC vazio ou zero",IF(AND(G3873&lt;&gt;"Sim",G3873&lt;&gt;"Nao",G3873&lt;&gt;""),"PC_PAGO_A_CONTRATADA invalido",IF(AND(C3873&lt;&gt;"C0",IFERROR(INDEX(parametros!$A$2:$A$6,MATCH(C3873,parametros!$B$2:$B$6,0)),"")="Sim",IFERROR(INDEX(parametros!$H$2:$H$6,MATCH(C3873,parametros!$B$2:$B$6,0)),"")=""),"INICIO_EFEITO ausente: PC "&amp;A3873&amp;" - "&amp;C3873,IF(L3873="","EFEITO_PC nao calculado: PC "&amp;A3873&amp;" - "&amp;C3873,"OK")))))))))</f>
        <v/>
      </c>
      <c r="L3873" s="92" t="str">
        <f>IF(AND(A3873="",B3873="",D3873="",G3873=""),"",IF(OR(B3873="",NOT(ISNUMBER(B3873)),C3873="",C3873="Fora dos ciclos"),"",IF(C3873="C0","Nao",IF(IFERROR(INDEX(parametros!$A$2:$A$6,MATCH(C3873,parametros!$B$2:$B$6,0)),"")&lt;&gt;"Sim","Nao",IF(IFERROR(INDEX(parametros!$H$2:$H$6,MATCH(C3873,parametros!$B$2:$B$6,0)),"")="","",IF(B3873&gt;=IFERROR(INDEX(parametros!$H$2:$H$6,MATCH(C3873,parametros!$B$2:$B$6,0)),""),"Sim","Nao"))))))</f>
        <v/>
      </c>
      <c r="T3873" s="156"/>
      <c r="U3873" s="214" t="str">
        <f t="shared" si="306"/>
        <v/>
      </c>
      <c r="V3873" s="212" t="s">
        <v>50</v>
      </c>
      <c r="W3873" s="100" t="s">
        <v>168</v>
      </c>
      <c r="X3873" s="100" t="s">
        <v>169</v>
      </c>
      <c r="Y3873" s="101" t="s">
        <v>170</v>
      </c>
      <c r="Z3873" s="101" t="s">
        <v>171</v>
      </c>
      <c r="AA3873" s="101" t="s">
        <v>50</v>
      </c>
      <c r="AB3873" s="101" t="s">
        <v>172</v>
      </c>
      <c r="AC3873" s="102" t="s">
        <v>173</v>
      </c>
    </row>
    <row r="3874" spans="1:29" ht="25.5" customHeight="1" x14ac:dyDescent="0.35">
      <c r="A3874" s="392"/>
      <c r="B3874" s="393"/>
      <c r="C3874" s="99" t="str">
        <f>IF(B3874="","",IF(NOT(ISNUMBER(B3874)),"DATA_PC invalida",IF(NOT(ISNUMBER(parametros!$C$2)),"Fora dos ciclos",IF(OR(B3874&lt;parametros!$C$2,(YEAR(B3874)-YEAR(parametros!$C$2))*12+MONTH(B3874)-MONTH(parametros!$C$2)&gt;59),"Fora dos ciclos","C"&amp;INT(((YEAR(B3874)-YEAR(parametros!$C$2))*12+MONTH(B3874)-MONTH(parametros!$C$2))/12)))))</f>
        <v/>
      </c>
      <c r="D3874" s="394"/>
      <c r="E3874" s="78" t="str">
        <f>IF(C3874="","",IFERROR(VLOOKUP(C3874,parametros!$A$11:$E$15,5,0),""))</f>
        <v/>
      </c>
      <c r="F3874" s="79" t="str">
        <f t="shared" si="302"/>
        <v/>
      </c>
      <c r="G3874" s="395"/>
      <c r="H3874" s="91">
        <f t="shared" si="303"/>
        <v>0</v>
      </c>
      <c r="I3874" s="91" t="str">
        <f t="shared" si="304"/>
        <v/>
      </c>
      <c r="J3874" s="91" t="str">
        <f t="shared" si="305"/>
        <v/>
      </c>
      <c r="K3874" s="92" t="str">
        <f>IF(AND(A3874="",B3874="",D3874="",G3874=""),"",IF(AND(A3874&lt;&gt;"",COUNTIF($A$2:$A$5001,A3874)&gt;1),"NUMERO_PC duplicado",IF(B3874="","DATA_PC vazia",IF(NOT(ISNUMBER(B3874)),"DATA_PC invalida",IF(OR(C3874="",C3874="Fora dos ciclos"),"CICLO_PC nao identificado",IF(OR(D3874="",D3874=0),"VALOR_PC vazio ou zero",IF(AND(G3874&lt;&gt;"Sim",G3874&lt;&gt;"Nao",G3874&lt;&gt;""),"PC_PAGO_A_CONTRATADA invalido",IF(AND(C3874&lt;&gt;"C0",IFERROR(INDEX(parametros!$A$2:$A$6,MATCH(C3874,parametros!$B$2:$B$6,0)),"")="Sim",IFERROR(INDEX(parametros!$H$2:$H$6,MATCH(C3874,parametros!$B$2:$B$6,0)),"")=""),"INICIO_EFEITO ausente: PC "&amp;A3874&amp;" - "&amp;C3874,IF(L3874="","EFEITO_PC nao calculado: PC "&amp;A3874&amp;" - "&amp;C3874,"OK")))))))))</f>
        <v/>
      </c>
      <c r="L3874" s="92" t="str">
        <f>IF(AND(A3874="",B3874="",D3874="",G3874=""),"",IF(OR(B3874="",NOT(ISNUMBER(B3874)),C3874="",C3874="Fora dos ciclos"),"",IF(C3874="C0","Nao",IF(IFERROR(INDEX(parametros!$A$2:$A$6,MATCH(C3874,parametros!$B$2:$B$6,0)),"")&lt;&gt;"Sim","Nao",IF(IFERROR(INDEX(parametros!$H$2:$H$6,MATCH(C3874,parametros!$B$2:$B$6,0)),"")="","",IF(B3874&gt;=IFERROR(INDEX(parametros!$H$2:$H$6,MATCH(C3874,parametros!$B$2:$B$6,0)),""),"Sim","Nao"))))))</f>
        <v/>
      </c>
      <c r="T3874" s="156"/>
      <c r="U3874" s="214" t="str">
        <f t="shared" si="306"/>
        <v/>
      </c>
      <c r="V3874" s="212" t="s">
        <v>50</v>
      </c>
      <c r="W3874" s="100" t="s">
        <v>168</v>
      </c>
      <c r="X3874" s="100" t="s">
        <v>169</v>
      </c>
      <c r="Y3874" s="101" t="s">
        <v>170</v>
      </c>
      <c r="Z3874" s="101" t="s">
        <v>171</v>
      </c>
      <c r="AA3874" s="101" t="s">
        <v>50</v>
      </c>
      <c r="AB3874" s="101" t="s">
        <v>172</v>
      </c>
      <c r="AC3874" s="102" t="s">
        <v>173</v>
      </c>
    </row>
    <row r="3875" spans="1:29" ht="25.5" customHeight="1" x14ac:dyDescent="0.35">
      <c r="A3875" s="392"/>
      <c r="B3875" s="393"/>
      <c r="C3875" s="99" t="str">
        <f>IF(B3875="","",IF(NOT(ISNUMBER(B3875)),"DATA_PC invalida",IF(NOT(ISNUMBER(parametros!$C$2)),"Fora dos ciclos",IF(OR(B3875&lt;parametros!$C$2,(YEAR(B3875)-YEAR(parametros!$C$2))*12+MONTH(B3875)-MONTH(parametros!$C$2)&gt;59),"Fora dos ciclos","C"&amp;INT(((YEAR(B3875)-YEAR(parametros!$C$2))*12+MONTH(B3875)-MONTH(parametros!$C$2))/12)))))</f>
        <v/>
      </c>
      <c r="D3875" s="394"/>
      <c r="E3875" s="78" t="str">
        <f>IF(C3875="","",IFERROR(VLOOKUP(C3875,parametros!$A$11:$E$15,5,0),""))</f>
        <v/>
      </c>
      <c r="F3875" s="79" t="str">
        <f t="shared" si="302"/>
        <v/>
      </c>
      <c r="G3875" s="395"/>
      <c r="H3875" s="91">
        <f t="shared" si="303"/>
        <v>0</v>
      </c>
      <c r="I3875" s="91" t="str">
        <f t="shared" si="304"/>
        <v/>
      </c>
      <c r="J3875" s="91" t="str">
        <f t="shared" si="305"/>
        <v/>
      </c>
      <c r="K3875" s="92" t="str">
        <f>IF(AND(A3875="",B3875="",D3875="",G3875=""),"",IF(AND(A3875&lt;&gt;"",COUNTIF($A$2:$A$5001,A3875)&gt;1),"NUMERO_PC duplicado",IF(B3875="","DATA_PC vazia",IF(NOT(ISNUMBER(B3875)),"DATA_PC invalida",IF(OR(C3875="",C3875="Fora dos ciclos"),"CICLO_PC nao identificado",IF(OR(D3875="",D3875=0),"VALOR_PC vazio ou zero",IF(AND(G3875&lt;&gt;"Sim",G3875&lt;&gt;"Nao",G3875&lt;&gt;""),"PC_PAGO_A_CONTRATADA invalido",IF(AND(C3875&lt;&gt;"C0",IFERROR(INDEX(parametros!$A$2:$A$6,MATCH(C3875,parametros!$B$2:$B$6,0)),"")="Sim",IFERROR(INDEX(parametros!$H$2:$H$6,MATCH(C3875,parametros!$B$2:$B$6,0)),"")=""),"INICIO_EFEITO ausente: PC "&amp;A3875&amp;" - "&amp;C3875,IF(L3875="","EFEITO_PC nao calculado: PC "&amp;A3875&amp;" - "&amp;C3875,"OK")))))))))</f>
        <v/>
      </c>
      <c r="L3875" s="92" t="str">
        <f>IF(AND(A3875="",B3875="",D3875="",G3875=""),"",IF(OR(B3875="",NOT(ISNUMBER(B3875)),C3875="",C3875="Fora dos ciclos"),"",IF(C3875="C0","Nao",IF(IFERROR(INDEX(parametros!$A$2:$A$6,MATCH(C3875,parametros!$B$2:$B$6,0)),"")&lt;&gt;"Sim","Nao",IF(IFERROR(INDEX(parametros!$H$2:$H$6,MATCH(C3875,parametros!$B$2:$B$6,0)),"")="","",IF(B3875&gt;=IFERROR(INDEX(parametros!$H$2:$H$6,MATCH(C3875,parametros!$B$2:$B$6,0)),""),"Sim","Nao"))))))</f>
        <v/>
      </c>
      <c r="T3875" s="156"/>
      <c r="U3875" s="214" t="str">
        <f t="shared" si="306"/>
        <v/>
      </c>
      <c r="V3875" s="212" t="s">
        <v>50</v>
      </c>
      <c r="W3875" s="100" t="s">
        <v>168</v>
      </c>
      <c r="X3875" s="100" t="s">
        <v>169</v>
      </c>
      <c r="Y3875" s="101" t="s">
        <v>170</v>
      </c>
      <c r="Z3875" s="101" t="s">
        <v>171</v>
      </c>
      <c r="AA3875" s="101" t="s">
        <v>50</v>
      </c>
      <c r="AB3875" s="101" t="s">
        <v>172</v>
      </c>
      <c r="AC3875" s="102" t="s">
        <v>173</v>
      </c>
    </row>
    <row r="3876" spans="1:29" ht="25.5" customHeight="1" x14ac:dyDescent="0.35">
      <c r="A3876" s="392"/>
      <c r="B3876" s="393"/>
      <c r="C3876" s="99" t="str">
        <f>IF(B3876="","",IF(NOT(ISNUMBER(B3876)),"DATA_PC invalida",IF(NOT(ISNUMBER(parametros!$C$2)),"Fora dos ciclos",IF(OR(B3876&lt;parametros!$C$2,(YEAR(B3876)-YEAR(parametros!$C$2))*12+MONTH(B3876)-MONTH(parametros!$C$2)&gt;59),"Fora dos ciclos","C"&amp;INT(((YEAR(B3876)-YEAR(parametros!$C$2))*12+MONTH(B3876)-MONTH(parametros!$C$2))/12)))))</f>
        <v/>
      </c>
      <c r="D3876" s="394"/>
      <c r="E3876" s="78" t="str">
        <f>IF(C3876="","",IFERROR(VLOOKUP(C3876,parametros!$A$11:$E$15,5,0),""))</f>
        <v/>
      </c>
      <c r="F3876" s="79" t="str">
        <f t="shared" si="302"/>
        <v/>
      </c>
      <c r="G3876" s="395"/>
      <c r="H3876" s="91">
        <f t="shared" si="303"/>
        <v>0</v>
      </c>
      <c r="I3876" s="91" t="str">
        <f t="shared" si="304"/>
        <v/>
      </c>
      <c r="J3876" s="91" t="str">
        <f t="shared" si="305"/>
        <v/>
      </c>
      <c r="K3876" s="92" t="str">
        <f>IF(AND(A3876="",B3876="",D3876="",G3876=""),"",IF(AND(A3876&lt;&gt;"",COUNTIF($A$2:$A$5001,A3876)&gt;1),"NUMERO_PC duplicado",IF(B3876="","DATA_PC vazia",IF(NOT(ISNUMBER(B3876)),"DATA_PC invalida",IF(OR(C3876="",C3876="Fora dos ciclos"),"CICLO_PC nao identificado",IF(OR(D3876="",D3876=0),"VALOR_PC vazio ou zero",IF(AND(G3876&lt;&gt;"Sim",G3876&lt;&gt;"Nao",G3876&lt;&gt;""),"PC_PAGO_A_CONTRATADA invalido",IF(AND(C3876&lt;&gt;"C0",IFERROR(INDEX(parametros!$A$2:$A$6,MATCH(C3876,parametros!$B$2:$B$6,0)),"")="Sim",IFERROR(INDEX(parametros!$H$2:$H$6,MATCH(C3876,parametros!$B$2:$B$6,0)),"")=""),"INICIO_EFEITO ausente: PC "&amp;A3876&amp;" - "&amp;C3876,IF(L3876="","EFEITO_PC nao calculado: PC "&amp;A3876&amp;" - "&amp;C3876,"OK")))))))))</f>
        <v/>
      </c>
      <c r="L3876" s="92" t="str">
        <f>IF(AND(A3876="",B3876="",D3876="",G3876=""),"",IF(OR(B3876="",NOT(ISNUMBER(B3876)),C3876="",C3876="Fora dos ciclos"),"",IF(C3876="C0","Nao",IF(IFERROR(INDEX(parametros!$A$2:$A$6,MATCH(C3876,parametros!$B$2:$B$6,0)),"")&lt;&gt;"Sim","Nao",IF(IFERROR(INDEX(parametros!$H$2:$H$6,MATCH(C3876,parametros!$B$2:$B$6,0)),"")="","",IF(B3876&gt;=IFERROR(INDEX(parametros!$H$2:$H$6,MATCH(C3876,parametros!$B$2:$B$6,0)),""),"Sim","Nao"))))))</f>
        <v/>
      </c>
      <c r="T3876" s="156"/>
      <c r="U3876" s="214" t="str">
        <f t="shared" si="306"/>
        <v/>
      </c>
      <c r="V3876" s="212" t="s">
        <v>50</v>
      </c>
      <c r="W3876" s="100" t="s">
        <v>168</v>
      </c>
      <c r="X3876" s="100" t="s">
        <v>169</v>
      </c>
      <c r="Y3876" s="101" t="s">
        <v>170</v>
      </c>
      <c r="Z3876" s="101" t="s">
        <v>171</v>
      </c>
      <c r="AA3876" s="101" t="s">
        <v>50</v>
      </c>
      <c r="AB3876" s="101" t="s">
        <v>172</v>
      </c>
      <c r="AC3876" s="102" t="s">
        <v>173</v>
      </c>
    </row>
    <row r="3877" spans="1:29" ht="25.5" customHeight="1" x14ac:dyDescent="0.35">
      <c r="A3877" s="392"/>
      <c r="B3877" s="393"/>
      <c r="C3877" s="99" t="str">
        <f>IF(B3877="","",IF(NOT(ISNUMBER(B3877)),"DATA_PC invalida",IF(NOT(ISNUMBER(parametros!$C$2)),"Fora dos ciclos",IF(OR(B3877&lt;parametros!$C$2,(YEAR(B3877)-YEAR(parametros!$C$2))*12+MONTH(B3877)-MONTH(parametros!$C$2)&gt;59),"Fora dos ciclos","C"&amp;INT(((YEAR(B3877)-YEAR(parametros!$C$2))*12+MONTH(B3877)-MONTH(parametros!$C$2))/12)))))</f>
        <v/>
      </c>
      <c r="D3877" s="394"/>
      <c r="E3877" s="78" t="str">
        <f>IF(C3877="","",IFERROR(VLOOKUP(C3877,parametros!$A$11:$E$15,5,0),""))</f>
        <v/>
      </c>
      <c r="F3877" s="79" t="str">
        <f t="shared" si="302"/>
        <v/>
      </c>
      <c r="G3877" s="395"/>
      <c r="H3877" s="91">
        <f t="shared" si="303"/>
        <v>0</v>
      </c>
      <c r="I3877" s="91" t="str">
        <f t="shared" si="304"/>
        <v/>
      </c>
      <c r="J3877" s="91" t="str">
        <f t="shared" si="305"/>
        <v/>
      </c>
      <c r="K3877" s="92" t="str">
        <f>IF(AND(A3877="",B3877="",D3877="",G3877=""),"",IF(AND(A3877&lt;&gt;"",COUNTIF($A$2:$A$5001,A3877)&gt;1),"NUMERO_PC duplicado",IF(B3877="","DATA_PC vazia",IF(NOT(ISNUMBER(B3877)),"DATA_PC invalida",IF(OR(C3877="",C3877="Fora dos ciclos"),"CICLO_PC nao identificado",IF(OR(D3877="",D3877=0),"VALOR_PC vazio ou zero",IF(AND(G3877&lt;&gt;"Sim",G3877&lt;&gt;"Nao",G3877&lt;&gt;""),"PC_PAGO_A_CONTRATADA invalido",IF(AND(C3877&lt;&gt;"C0",IFERROR(INDEX(parametros!$A$2:$A$6,MATCH(C3877,parametros!$B$2:$B$6,0)),"")="Sim",IFERROR(INDEX(parametros!$H$2:$H$6,MATCH(C3877,parametros!$B$2:$B$6,0)),"")=""),"INICIO_EFEITO ausente: PC "&amp;A3877&amp;" - "&amp;C3877,IF(L3877="","EFEITO_PC nao calculado: PC "&amp;A3877&amp;" - "&amp;C3877,"OK")))))))))</f>
        <v/>
      </c>
      <c r="L3877" s="92" t="str">
        <f>IF(AND(A3877="",B3877="",D3877="",G3877=""),"",IF(OR(B3877="",NOT(ISNUMBER(B3877)),C3877="",C3877="Fora dos ciclos"),"",IF(C3877="C0","Nao",IF(IFERROR(INDEX(parametros!$A$2:$A$6,MATCH(C3877,parametros!$B$2:$B$6,0)),"")&lt;&gt;"Sim","Nao",IF(IFERROR(INDEX(parametros!$H$2:$H$6,MATCH(C3877,parametros!$B$2:$B$6,0)),"")="","",IF(B3877&gt;=IFERROR(INDEX(parametros!$H$2:$H$6,MATCH(C3877,parametros!$B$2:$B$6,0)),""),"Sim","Nao"))))))</f>
        <v/>
      </c>
      <c r="T3877" s="156"/>
      <c r="U3877" s="214" t="str">
        <f t="shared" si="306"/>
        <v/>
      </c>
      <c r="V3877" s="212" t="s">
        <v>50</v>
      </c>
      <c r="W3877" s="100" t="s">
        <v>168</v>
      </c>
      <c r="X3877" s="100" t="s">
        <v>169</v>
      </c>
      <c r="Y3877" s="101" t="s">
        <v>170</v>
      </c>
      <c r="Z3877" s="101" t="s">
        <v>171</v>
      </c>
      <c r="AA3877" s="101" t="s">
        <v>50</v>
      </c>
      <c r="AB3877" s="101" t="s">
        <v>172</v>
      </c>
      <c r="AC3877" s="102" t="s">
        <v>173</v>
      </c>
    </row>
    <row r="3878" spans="1:29" ht="25.5" customHeight="1" x14ac:dyDescent="0.35">
      <c r="A3878" s="392"/>
      <c r="B3878" s="393"/>
      <c r="C3878" s="99" t="str">
        <f>IF(B3878="","",IF(NOT(ISNUMBER(B3878)),"DATA_PC invalida",IF(NOT(ISNUMBER(parametros!$C$2)),"Fora dos ciclos",IF(OR(B3878&lt;parametros!$C$2,(YEAR(B3878)-YEAR(parametros!$C$2))*12+MONTH(B3878)-MONTH(parametros!$C$2)&gt;59),"Fora dos ciclos","C"&amp;INT(((YEAR(B3878)-YEAR(parametros!$C$2))*12+MONTH(B3878)-MONTH(parametros!$C$2))/12)))))</f>
        <v/>
      </c>
      <c r="D3878" s="394"/>
      <c r="E3878" s="78" t="str">
        <f>IF(C3878="","",IFERROR(VLOOKUP(C3878,parametros!$A$11:$E$15,5,0),""))</f>
        <v/>
      </c>
      <c r="F3878" s="79" t="str">
        <f t="shared" si="302"/>
        <v/>
      </c>
      <c r="G3878" s="395"/>
      <c r="H3878" s="91">
        <f t="shared" si="303"/>
        <v>0</v>
      </c>
      <c r="I3878" s="91" t="str">
        <f t="shared" si="304"/>
        <v/>
      </c>
      <c r="J3878" s="91" t="str">
        <f t="shared" si="305"/>
        <v/>
      </c>
      <c r="K3878" s="92" t="str">
        <f>IF(AND(A3878="",B3878="",D3878="",G3878=""),"",IF(AND(A3878&lt;&gt;"",COUNTIF($A$2:$A$5001,A3878)&gt;1),"NUMERO_PC duplicado",IF(B3878="","DATA_PC vazia",IF(NOT(ISNUMBER(B3878)),"DATA_PC invalida",IF(OR(C3878="",C3878="Fora dos ciclos"),"CICLO_PC nao identificado",IF(OR(D3878="",D3878=0),"VALOR_PC vazio ou zero",IF(AND(G3878&lt;&gt;"Sim",G3878&lt;&gt;"Nao",G3878&lt;&gt;""),"PC_PAGO_A_CONTRATADA invalido",IF(AND(C3878&lt;&gt;"C0",IFERROR(INDEX(parametros!$A$2:$A$6,MATCH(C3878,parametros!$B$2:$B$6,0)),"")="Sim",IFERROR(INDEX(parametros!$H$2:$H$6,MATCH(C3878,parametros!$B$2:$B$6,0)),"")=""),"INICIO_EFEITO ausente: PC "&amp;A3878&amp;" - "&amp;C3878,IF(L3878="","EFEITO_PC nao calculado: PC "&amp;A3878&amp;" - "&amp;C3878,"OK")))))))))</f>
        <v/>
      </c>
      <c r="L3878" s="92" t="str">
        <f>IF(AND(A3878="",B3878="",D3878="",G3878=""),"",IF(OR(B3878="",NOT(ISNUMBER(B3878)),C3878="",C3878="Fora dos ciclos"),"",IF(C3878="C0","Nao",IF(IFERROR(INDEX(parametros!$A$2:$A$6,MATCH(C3878,parametros!$B$2:$B$6,0)),"")&lt;&gt;"Sim","Nao",IF(IFERROR(INDEX(parametros!$H$2:$H$6,MATCH(C3878,parametros!$B$2:$B$6,0)),"")="","",IF(B3878&gt;=IFERROR(INDEX(parametros!$H$2:$H$6,MATCH(C3878,parametros!$B$2:$B$6,0)),""),"Sim","Nao"))))))</f>
        <v/>
      </c>
      <c r="T3878" s="156"/>
      <c r="U3878" s="214" t="str">
        <f t="shared" si="306"/>
        <v/>
      </c>
      <c r="V3878" s="212" t="s">
        <v>50</v>
      </c>
      <c r="W3878" s="100" t="s">
        <v>168</v>
      </c>
      <c r="X3878" s="100" t="s">
        <v>169</v>
      </c>
      <c r="Y3878" s="101" t="s">
        <v>170</v>
      </c>
      <c r="Z3878" s="101" t="s">
        <v>171</v>
      </c>
      <c r="AA3878" s="101" t="s">
        <v>50</v>
      </c>
      <c r="AB3878" s="101" t="s">
        <v>172</v>
      </c>
      <c r="AC3878" s="102" t="s">
        <v>173</v>
      </c>
    </row>
    <row r="3879" spans="1:29" ht="25.5" customHeight="1" x14ac:dyDescent="0.35">
      <c r="A3879" s="392"/>
      <c r="B3879" s="393"/>
      <c r="C3879" s="99" t="str">
        <f>IF(B3879="","",IF(NOT(ISNUMBER(B3879)),"DATA_PC invalida",IF(NOT(ISNUMBER(parametros!$C$2)),"Fora dos ciclos",IF(OR(B3879&lt;parametros!$C$2,(YEAR(B3879)-YEAR(parametros!$C$2))*12+MONTH(B3879)-MONTH(parametros!$C$2)&gt;59),"Fora dos ciclos","C"&amp;INT(((YEAR(B3879)-YEAR(parametros!$C$2))*12+MONTH(B3879)-MONTH(parametros!$C$2))/12)))))</f>
        <v/>
      </c>
      <c r="D3879" s="394"/>
      <c r="E3879" s="78" t="str">
        <f>IF(C3879="","",IFERROR(VLOOKUP(C3879,parametros!$A$11:$E$15,5,0),""))</f>
        <v/>
      </c>
      <c r="F3879" s="79" t="str">
        <f t="shared" si="302"/>
        <v/>
      </c>
      <c r="G3879" s="395"/>
      <c r="H3879" s="91">
        <f t="shared" si="303"/>
        <v>0</v>
      </c>
      <c r="I3879" s="91" t="str">
        <f t="shared" si="304"/>
        <v/>
      </c>
      <c r="J3879" s="91" t="str">
        <f t="shared" si="305"/>
        <v/>
      </c>
      <c r="K3879" s="92" t="str">
        <f>IF(AND(A3879="",B3879="",D3879="",G3879=""),"",IF(AND(A3879&lt;&gt;"",COUNTIF($A$2:$A$5001,A3879)&gt;1),"NUMERO_PC duplicado",IF(B3879="","DATA_PC vazia",IF(NOT(ISNUMBER(B3879)),"DATA_PC invalida",IF(OR(C3879="",C3879="Fora dos ciclos"),"CICLO_PC nao identificado",IF(OR(D3879="",D3879=0),"VALOR_PC vazio ou zero",IF(AND(G3879&lt;&gt;"Sim",G3879&lt;&gt;"Nao",G3879&lt;&gt;""),"PC_PAGO_A_CONTRATADA invalido",IF(AND(C3879&lt;&gt;"C0",IFERROR(INDEX(parametros!$A$2:$A$6,MATCH(C3879,parametros!$B$2:$B$6,0)),"")="Sim",IFERROR(INDEX(parametros!$H$2:$H$6,MATCH(C3879,parametros!$B$2:$B$6,0)),"")=""),"INICIO_EFEITO ausente: PC "&amp;A3879&amp;" - "&amp;C3879,IF(L3879="","EFEITO_PC nao calculado: PC "&amp;A3879&amp;" - "&amp;C3879,"OK")))))))))</f>
        <v/>
      </c>
      <c r="L3879" s="92" t="str">
        <f>IF(AND(A3879="",B3879="",D3879="",G3879=""),"",IF(OR(B3879="",NOT(ISNUMBER(B3879)),C3879="",C3879="Fora dos ciclos"),"",IF(C3879="C0","Nao",IF(IFERROR(INDEX(parametros!$A$2:$A$6,MATCH(C3879,parametros!$B$2:$B$6,0)),"")&lt;&gt;"Sim","Nao",IF(IFERROR(INDEX(parametros!$H$2:$H$6,MATCH(C3879,parametros!$B$2:$B$6,0)),"")="","",IF(B3879&gt;=IFERROR(INDEX(parametros!$H$2:$H$6,MATCH(C3879,parametros!$B$2:$B$6,0)),""),"Sim","Nao"))))))</f>
        <v/>
      </c>
      <c r="T3879" s="156"/>
      <c r="U3879" s="214" t="str">
        <f t="shared" si="306"/>
        <v/>
      </c>
      <c r="V3879" s="212" t="s">
        <v>50</v>
      </c>
      <c r="W3879" s="100" t="s">
        <v>168</v>
      </c>
      <c r="X3879" s="100" t="s">
        <v>169</v>
      </c>
      <c r="Y3879" s="101" t="s">
        <v>170</v>
      </c>
      <c r="Z3879" s="101" t="s">
        <v>171</v>
      </c>
      <c r="AA3879" s="101" t="s">
        <v>50</v>
      </c>
      <c r="AB3879" s="101" t="s">
        <v>172</v>
      </c>
      <c r="AC3879" s="102" t="s">
        <v>173</v>
      </c>
    </row>
    <row r="3880" spans="1:29" ht="25.5" customHeight="1" x14ac:dyDescent="0.35">
      <c r="A3880" s="392"/>
      <c r="B3880" s="393"/>
      <c r="C3880" s="99" t="str">
        <f>IF(B3880="","",IF(NOT(ISNUMBER(B3880)),"DATA_PC invalida",IF(NOT(ISNUMBER(parametros!$C$2)),"Fora dos ciclos",IF(OR(B3880&lt;parametros!$C$2,(YEAR(B3880)-YEAR(parametros!$C$2))*12+MONTH(B3880)-MONTH(parametros!$C$2)&gt;59),"Fora dos ciclos","C"&amp;INT(((YEAR(B3880)-YEAR(parametros!$C$2))*12+MONTH(B3880)-MONTH(parametros!$C$2))/12)))))</f>
        <v/>
      </c>
      <c r="D3880" s="394"/>
      <c r="E3880" s="78" t="str">
        <f>IF(C3880="","",IFERROR(VLOOKUP(C3880,parametros!$A$11:$E$15,5,0),""))</f>
        <v/>
      </c>
      <c r="F3880" s="79" t="str">
        <f t="shared" si="302"/>
        <v/>
      </c>
      <c r="G3880" s="395"/>
      <c r="H3880" s="91">
        <f t="shared" si="303"/>
        <v>0</v>
      </c>
      <c r="I3880" s="91" t="str">
        <f t="shared" si="304"/>
        <v/>
      </c>
      <c r="J3880" s="91" t="str">
        <f t="shared" si="305"/>
        <v/>
      </c>
      <c r="K3880" s="92" t="str">
        <f>IF(AND(A3880="",B3880="",D3880="",G3880=""),"",IF(AND(A3880&lt;&gt;"",COUNTIF($A$2:$A$5001,A3880)&gt;1),"NUMERO_PC duplicado",IF(B3880="","DATA_PC vazia",IF(NOT(ISNUMBER(B3880)),"DATA_PC invalida",IF(OR(C3880="",C3880="Fora dos ciclos"),"CICLO_PC nao identificado",IF(OR(D3880="",D3880=0),"VALOR_PC vazio ou zero",IF(AND(G3880&lt;&gt;"Sim",G3880&lt;&gt;"Nao",G3880&lt;&gt;""),"PC_PAGO_A_CONTRATADA invalido",IF(AND(C3880&lt;&gt;"C0",IFERROR(INDEX(parametros!$A$2:$A$6,MATCH(C3880,parametros!$B$2:$B$6,0)),"")="Sim",IFERROR(INDEX(parametros!$H$2:$H$6,MATCH(C3880,parametros!$B$2:$B$6,0)),"")=""),"INICIO_EFEITO ausente: PC "&amp;A3880&amp;" - "&amp;C3880,IF(L3880="","EFEITO_PC nao calculado: PC "&amp;A3880&amp;" - "&amp;C3880,"OK")))))))))</f>
        <v/>
      </c>
      <c r="L3880" s="92" t="str">
        <f>IF(AND(A3880="",B3880="",D3880="",G3880=""),"",IF(OR(B3880="",NOT(ISNUMBER(B3880)),C3880="",C3880="Fora dos ciclos"),"",IF(C3880="C0","Nao",IF(IFERROR(INDEX(parametros!$A$2:$A$6,MATCH(C3880,parametros!$B$2:$B$6,0)),"")&lt;&gt;"Sim","Nao",IF(IFERROR(INDEX(parametros!$H$2:$H$6,MATCH(C3880,parametros!$B$2:$B$6,0)),"")="","",IF(B3880&gt;=IFERROR(INDEX(parametros!$H$2:$H$6,MATCH(C3880,parametros!$B$2:$B$6,0)),""),"Sim","Nao"))))))</f>
        <v/>
      </c>
      <c r="T3880" s="156"/>
      <c r="U3880" s="214" t="str">
        <f t="shared" si="306"/>
        <v/>
      </c>
      <c r="V3880" s="212" t="s">
        <v>50</v>
      </c>
      <c r="W3880" s="100" t="s">
        <v>168</v>
      </c>
      <c r="X3880" s="100" t="s">
        <v>169</v>
      </c>
      <c r="Y3880" s="101" t="s">
        <v>170</v>
      </c>
      <c r="Z3880" s="101" t="s">
        <v>171</v>
      </c>
      <c r="AA3880" s="101" t="s">
        <v>50</v>
      </c>
      <c r="AB3880" s="101" t="s">
        <v>172</v>
      </c>
      <c r="AC3880" s="102" t="s">
        <v>173</v>
      </c>
    </row>
    <row r="3881" spans="1:29" ht="25.5" customHeight="1" x14ac:dyDescent="0.35">
      <c r="A3881" s="392"/>
      <c r="B3881" s="393"/>
      <c r="C3881" s="99" t="str">
        <f>IF(B3881="","",IF(NOT(ISNUMBER(B3881)),"DATA_PC invalida",IF(NOT(ISNUMBER(parametros!$C$2)),"Fora dos ciclos",IF(OR(B3881&lt;parametros!$C$2,(YEAR(B3881)-YEAR(parametros!$C$2))*12+MONTH(B3881)-MONTH(parametros!$C$2)&gt;59),"Fora dos ciclos","C"&amp;INT(((YEAR(B3881)-YEAR(parametros!$C$2))*12+MONTH(B3881)-MONTH(parametros!$C$2))/12)))))</f>
        <v/>
      </c>
      <c r="D3881" s="394"/>
      <c r="E3881" s="78" t="str">
        <f>IF(C3881="","",IFERROR(VLOOKUP(C3881,parametros!$A$11:$E$15,5,0),""))</f>
        <v/>
      </c>
      <c r="F3881" s="79" t="str">
        <f t="shared" si="302"/>
        <v/>
      </c>
      <c r="G3881" s="395"/>
      <c r="H3881" s="91">
        <f t="shared" si="303"/>
        <v>0</v>
      </c>
      <c r="I3881" s="91" t="str">
        <f t="shared" si="304"/>
        <v/>
      </c>
      <c r="J3881" s="91" t="str">
        <f t="shared" si="305"/>
        <v/>
      </c>
      <c r="K3881" s="92" t="str">
        <f>IF(AND(A3881="",B3881="",D3881="",G3881=""),"",IF(AND(A3881&lt;&gt;"",COUNTIF($A$2:$A$5001,A3881)&gt;1),"NUMERO_PC duplicado",IF(B3881="","DATA_PC vazia",IF(NOT(ISNUMBER(B3881)),"DATA_PC invalida",IF(OR(C3881="",C3881="Fora dos ciclos"),"CICLO_PC nao identificado",IF(OR(D3881="",D3881=0),"VALOR_PC vazio ou zero",IF(AND(G3881&lt;&gt;"Sim",G3881&lt;&gt;"Nao",G3881&lt;&gt;""),"PC_PAGO_A_CONTRATADA invalido",IF(AND(C3881&lt;&gt;"C0",IFERROR(INDEX(parametros!$A$2:$A$6,MATCH(C3881,parametros!$B$2:$B$6,0)),"")="Sim",IFERROR(INDEX(parametros!$H$2:$H$6,MATCH(C3881,parametros!$B$2:$B$6,0)),"")=""),"INICIO_EFEITO ausente: PC "&amp;A3881&amp;" - "&amp;C3881,IF(L3881="","EFEITO_PC nao calculado: PC "&amp;A3881&amp;" - "&amp;C3881,"OK")))))))))</f>
        <v/>
      </c>
      <c r="L3881" s="92" t="str">
        <f>IF(AND(A3881="",B3881="",D3881="",G3881=""),"",IF(OR(B3881="",NOT(ISNUMBER(B3881)),C3881="",C3881="Fora dos ciclos"),"",IF(C3881="C0","Nao",IF(IFERROR(INDEX(parametros!$A$2:$A$6,MATCH(C3881,parametros!$B$2:$B$6,0)),"")&lt;&gt;"Sim","Nao",IF(IFERROR(INDEX(parametros!$H$2:$H$6,MATCH(C3881,parametros!$B$2:$B$6,0)),"")="","",IF(B3881&gt;=IFERROR(INDEX(parametros!$H$2:$H$6,MATCH(C3881,parametros!$B$2:$B$6,0)),""),"Sim","Nao"))))))</f>
        <v/>
      </c>
      <c r="T3881" s="156"/>
      <c r="U3881" s="214" t="str">
        <f t="shared" si="306"/>
        <v/>
      </c>
      <c r="V3881" s="212" t="s">
        <v>50</v>
      </c>
      <c r="W3881" s="100" t="s">
        <v>168</v>
      </c>
      <c r="X3881" s="100" t="s">
        <v>169</v>
      </c>
      <c r="Y3881" s="101" t="s">
        <v>170</v>
      </c>
      <c r="Z3881" s="101" t="s">
        <v>171</v>
      </c>
      <c r="AA3881" s="101" t="s">
        <v>50</v>
      </c>
      <c r="AB3881" s="101" t="s">
        <v>172</v>
      </c>
      <c r="AC3881" s="102" t="s">
        <v>173</v>
      </c>
    </row>
    <row r="3882" spans="1:29" ht="25.5" customHeight="1" x14ac:dyDescent="0.35">
      <c r="A3882" s="392"/>
      <c r="B3882" s="393"/>
      <c r="C3882" s="99" t="str">
        <f>IF(B3882="","",IF(NOT(ISNUMBER(B3882)),"DATA_PC invalida",IF(NOT(ISNUMBER(parametros!$C$2)),"Fora dos ciclos",IF(OR(B3882&lt;parametros!$C$2,(YEAR(B3882)-YEAR(parametros!$C$2))*12+MONTH(B3882)-MONTH(parametros!$C$2)&gt;59),"Fora dos ciclos","C"&amp;INT(((YEAR(B3882)-YEAR(parametros!$C$2))*12+MONTH(B3882)-MONTH(parametros!$C$2))/12)))))</f>
        <v/>
      </c>
      <c r="D3882" s="394"/>
      <c r="E3882" s="78" t="str">
        <f>IF(C3882="","",IFERROR(VLOOKUP(C3882,parametros!$A$11:$E$15,5,0),""))</f>
        <v/>
      </c>
      <c r="F3882" s="79" t="str">
        <f t="shared" si="302"/>
        <v/>
      </c>
      <c r="G3882" s="395"/>
      <c r="H3882" s="91">
        <f t="shared" si="303"/>
        <v>0</v>
      </c>
      <c r="I3882" s="91" t="str">
        <f t="shared" si="304"/>
        <v/>
      </c>
      <c r="J3882" s="91" t="str">
        <f t="shared" si="305"/>
        <v/>
      </c>
      <c r="K3882" s="92" t="str">
        <f>IF(AND(A3882="",B3882="",D3882="",G3882=""),"",IF(AND(A3882&lt;&gt;"",COUNTIF($A$2:$A$5001,A3882)&gt;1),"NUMERO_PC duplicado",IF(B3882="","DATA_PC vazia",IF(NOT(ISNUMBER(B3882)),"DATA_PC invalida",IF(OR(C3882="",C3882="Fora dos ciclos"),"CICLO_PC nao identificado",IF(OR(D3882="",D3882=0),"VALOR_PC vazio ou zero",IF(AND(G3882&lt;&gt;"Sim",G3882&lt;&gt;"Nao",G3882&lt;&gt;""),"PC_PAGO_A_CONTRATADA invalido",IF(AND(C3882&lt;&gt;"C0",IFERROR(INDEX(parametros!$A$2:$A$6,MATCH(C3882,parametros!$B$2:$B$6,0)),"")="Sim",IFERROR(INDEX(parametros!$H$2:$H$6,MATCH(C3882,parametros!$B$2:$B$6,0)),"")=""),"INICIO_EFEITO ausente: PC "&amp;A3882&amp;" - "&amp;C3882,IF(L3882="","EFEITO_PC nao calculado: PC "&amp;A3882&amp;" - "&amp;C3882,"OK")))))))))</f>
        <v/>
      </c>
      <c r="L3882" s="92" t="str">
        <f>IF(AND(A3882="",B3882="",D3882="",G3882=""),"",IF(OR(B3882="",NOT(ISNUMBER(B3882)),C3882="",C3882="Fora dos ciclos"),"",IF(C3882="C0","Nao",IF(IFERROR(INDEX(parametros!$A$2:$A$6,MATCH(C3882,parametros!$B$2:$B$6,0)),"")&lt;&gt;"Sim","Nao",IF(IFERROR(INDEX(parametros!$H$2:$H$6,MATCH(C3882,parametros!$B$2:$B$6,0)),"")="","",IF(B3882&gt;=IFERROR(INDEX(parametros!$H$2:$H$6,MATCH(C3882,parametros!$B$2:$B$6,0)),""),"Sim","Nao"))))))</f>
        <v/>
      </c>
      <c r="T3882" s="156"/>
      <c r="U3882" s="214" t="str">
        <f t="shared" si="306"/>
        <v/>
      </c>
      <c r="V3882" s="212" t="s">
        <v>50</v>
      </c>
      <c r="W3882" s="100" t="s">
        <v>168</v>
      </c>
      <c r="X3882" s="100" t="s">
        <v>169</v>
      </c>
      <c r="Y3882" s="101" t="s">
        <v>170</v>
      </c>
      <c r="Z3882" s="101" t="s">
        <v>171</v>
      </c>
      <c r="AA3882" s="101" t="s">
        <v>50</v>
      </c>
      <c r="AB3882" s="101" t="s">
        <v>172</v>
      </c>
      <c r="AC3882" s="102" t="s">
        <v>173</v>
      </c>
    </row>
    <row r="3883" spans="1:29" ht="25.5" customHeight="1" x14ac:dyDescent="0.35">
      <c r="A3883" s="392"/>
      <c r="B3883" s="393"/>
      <c r="C3883" s="99" t="str">
        <f>IF(B3883="","",IF(NOT(ISNUMBER(B3883)),"DATA_PC invalida",IF(NOT(ISNUMBER(parametros!$C$2)),"Fora dos ciclos",IF(OR(B3883&lt;parametros!$C$2,(YEAR(B3883)-YEAR(parametros!$C$2))*12+MONTH(B3883)-MONTH(parametros!$C$2)&gt;59),"Fora dos ciclos","C"&amp;INT(((YEAR(B3883)-YEAR(parametros!$C$2))*12+MONTH(B3883)-MONTH(parametros!$C$2))/12)))))</f>
        <v/>
      </c>
      <c r="D3883" s="394"/>
      <c r="E3883" s="78" t="str">
        <f>IF(C3883="","",IFERROR(VLOOKUP(C3883,parametros!$A$11:$E$15,5,0),""))</f>
        <v/>
      </c>
      <c r="F3883" s="79" t="str">
        <f t="shared" si="302"/>
        <v/>
      </c>
      <c r="G3883" s="395"/>
      <c r="H3883" s="91">
        <f t="shared" si="303"/>
        <v>0</v>
      </c>
      <c r="I3883" s="91" t="str">
        <f t="shared" si="304"/>
        <v/>
      </c>
      <c r="J3883" s="91" t="str">
        <f t="shared" si="305"/>
        <v/>
      </c>
      <c r="K3883" s="92" t="str">
        <f>IF(AND(A3883="",B3883="",D3883="",G3883=""),"",IF(AND(A3883&lt;&gt;"",COUNTIF($A$2:$A$5001,A3883)&gt;1),"NUMERO_PC duplicado",IF(B3883="","DATA_PC vazia",IF(NOT(ISNUMBER(B3883)),"DATA_PC invalida",IF(OR(C3883="",C3883="Fora dos ciclos"),"CICLO_PC nao identificado",IF(OR(D3883="",D3883=0),"VALOR_PC vazio ou zero",IF(AND(G3883&lt;&gt;"Sim",G3883&lt;&gt;"Nao",G3883&lt;&gt;""),"PC_PAGO_A_CONTRATADA invalido",IF(AND(C3883&lt;&gt;"C0",IFERROR(INDEX(parametros!$A$2:$A$6,MATCH(C3883,parametros!$B$2:$B$6,0)),"")="Sim",IFERROR(INDEX(parametros!$H$2:$H$6,MATCH(C3883,parametros!$B$2:$B$6,0)),"")=""),"INICIO_EFEITO ausente: PC "&amp;A3883&amp;" - "&amp;C3883,IF(L3883="","EFEITO_PC nao calculado: PC "&amp;A3883&amp;" - "&amp;C3883,"OK")))))))))</f>
        <v/>
      </c>
      <c r="L3883" s="92" t="str">
        <f>IF(AND(A3883="",B3883="",D3883="",G3883=""),"",IF(OR(B3883="",NOT(ISNUMBER(B3883)),C3883="",C3883="Fora dos ciclos"),"",IF(C3883="C0","Nao",IF(IFERROR(INDEX(parametros!$A$2:$A$6,MATCH(C3883,parametros!$B$2:$B$6,0)),"")&lt;&gt;"Sim","Nao",IF(IFERROR(INDEX(parametros!$H$2:$H$6,MATCH(C3883,parametros!$B$2:$B$6,0)),"")="","",IF(B3883&gt;=IFERROR(INDEX(parametros!$H$2:$H$6,MATCH(C3883,parametros!$B$2:$B$6,0)),""),"Sim","Nao"))))))</f>
        <v/>
      </c>
      <c r="T3883" s="156"/>
      <c r="U3883" s="214" t="str">
        <f t="shared" si="306"/>
        <v/>
      </c>
      <c r="V3883" s="212" t="s">
        <v>50</v>
      </c>
      <c r="W3883" s="100" t="s">
        <v>168</v>
      </c>
      <c r="X3883" s="100" t="s">
        <v>169</v>
      </c>
      <c r="Y3883" s="101" t="s">
        <v>170</v>
      </c>
      <c r="Z3883" s="101" t="s">
        <v>171</v>
      </c>
      <c r="AA3883" s="101" t="s">
        <v>50</v>
      </c>
      <c r="AB3883" s="101" t="s">
        <v>172</v>
      </c>
      <c r="AC3883" s="102" t="s">
        <v>173</v>
      </c>
    </row>
    <row r="3884" spans="1:29" ht="25.5" customHeight="1" x14ac:dyDescent="0.35">
      <c r="A3884" s="392"/>
      <c r="B3884" s="393"/>
      <c r="C3884" s="99" t="str">
        <f>IF(B3884="","",IF(NOT(ISNUMBER(B3884)),"DATA_PC invalida",IF(NOT(ISNUMBER(parametros!$C$2)),"Fora dos ciclos",IF(OR(B3884&lt;parametros!$C$2,(YEAR(B3884)-YEAR(parametros!$C$2))*12+MONTH(B3884)-MONTH(parametros!$C$2)&gt;59),"Fora dos ciclos","C"&amp;INT(((YEAR(B3884)-YEAR(parametros!$C$2))*12+MONTH(B3884)-MONTH(parametros!$C$2))/12)))))</f>
        <v/>
      </c>
      <c r="D3884" s="394"/>
      <c r="E3884" s="78" t="str">
        <f>IF(C3884="","",IFERROR(VLOOKUP(C3884,parametros!$A$11:$E$15,5,0),""))</f>
        <v/>
      </c>
      <c r="F3884" s="79" t="str">
        <f t="shared" si="302"/>
        <v/>
      </c>
      <c r="G3884" s="395"/>
      <c r="H3884" s="91">
        <f t="shared" si="303"/>
        <v>0</v>
      </c>
      <c r="I3884" s="91" t="str">
        <f t="shared" si="304"/>
        <v/>
      </c>
      <c r="J3884" s="91" t="str">
        <f t="shared" si="305"/>
        <v/>
      </c>
      <c r="K3884" s="92" t="str">
        <f>IF(AND(A3884="",B3884="",D3884="",G3884=""),"",IF(AND(A3884&lt;&gt;"",COUNTIF($A$2:$A$5001,A3884)&gt;1),"NUMERO_PC duplicado",IF(B3884="","DATA_PC vazia",IF(NOT(ISNUMBER(B3884)),"DATA_PC invalida",IF(OR(C3884="",C3884="Fora dos ciclos"),"CICLO_PC nao identificado",IF(OR(D3884="",D3884=0),"VALOR_PC vazio ou zero",IF(AND(G3884&lt;&gt;"Sim",G3884&lt;&gt;"Nao",G3884&lt;&gt;""),"PC_PAGO_A_CONTRATADA invalido",IF(AND(C3884&lt;&gt;"C0",IFERROR(INDEX(parametros!$A$2:$A$6,MATCH(C3884,parametros!$B$2:$B$6,0)),"")="Sim",IFERROR(INDEX(parametros!$H$2:$H$6,MATCH(C3884,parametros!$B$2:$B$6,0)),"")=""),"INICIO_EFEITO ausente: PC "&amp;A3884&amp;" - "&amp;C3884,IF(L3884="","EFEITO_PC nao calculado: PC "&amp;A3884&amp;" - "&amp;C3884,"OK")))))))))</f>
        <v/>
      </c>
      <c r="L3884" s="92" t="str">
        <f>IF(AND(A3884="",B3884="",D3884="",G3884=""),"",IF(OR(B3884="",NOT(ISNUMBER(B3884)),C3884="",C3884="Fora dos ciclos"),"",IF(C3884="C0","Nao",IF(IFERROR(INDEX(parametros!$A$2:$A$6,MATCH(C3884,parametros!$B$2:$B$6,0)),"")&lt;&gt;"Sim","Nao",IF(IFERROR(INDEX(parametros!$H$2:$H$6,MATCH(C3884,parametros!$B$2:$B$6,0)),"")="","",IF(B3884&gt;=IFERROR(INDEX(parametros!$H$2:$H$6,MATCH(C3884,parametros!$B$2:$B$6,0)),""),"Sim","Nao"))))))</f>
        <v/>
      </c>
      <c r="T3884" s="156"/>
      <c r="U3884" s="214" t="str">
        <f t="shared" si="306"/>
        <v/>
      </c>
      <c r="V3884" s="212" t="s">
        <v>50</v>
      </c>
      <c r="W3884" s="100" t="s">
        <v>168</v>
      </c>
      <c r="X3884" s="100" t="s">
        <v>169</v>
      </c>
      <c r="Y3884" s="101" t="s">
        <v>170</v>
      </c>
      <c r="Z3884" s="101" t="s">
        <v>171</v>
      </c>
      <c r="AA3884" s="101" t="s">
        <v>50</v>
      </c>
      <c r="AB3884" s="101" t="s">
        <v>172</v>
      </c>
      <c r="AC3884" s="102" t="s">
        <v>173</v>
      </c>
    </row>
    <row r="3885" spans="1:29" ht="25.5" customHeight="1" x14ac:dyDescent="0.35">
      <c r="A3885" s="392"/>
      <c r="B3885" s="393"/>
      <c r="C3885" s="99" t="str">
        <f>IF(B3885="","",IF(NOT(ISNUMBER(B3885)),"DATA_PC invalida",IF(NOT(ISNUMBER(parametros!$C$2)),"Fora dos ciclos",IF(OR(B3885&lt;parametros!$C$2,(YEAR(B3885)-YEAR(parametros!$C$2))*12+MONTH(B3885)-MONTH(parametros!$C$2)&gt;59),"Fora dos ciclos","C"&amp;INT(((YEAR(B3885)-YEAR(parametros!$C$2))*12+MONTH(B3885)-MONTH(parametros!$C$2))/12)))))</f>
        <v/>
      </c>
      <c r="D3885" s="394"/>
      <c r="E3885" s="78" t="str">
        <f>IF(C3885="","",IFERROR(VLOOKUP(C3885,parametros!$A$11:$E$15,5,0),""))</f>
        <v/>
      </c>
      <c r="F3885" s="79" t="str">
        <f t="shared" si="302"/>
        <v/>
      </c>
      <c r="G3885" s="395"/>
      <c r="H3885" s="91">
        <f t="shared" si="303"/>
        <v>0</v>
      </c>
      <c r="I3885" s="91" t="str">
        <f t="shared" si="304"/>
        <v/>
      </c>
      <c r="J3885" s="91" t="str">
        <f t="shared" si="305"/>
        <v/>
      </c>
      <c r="K3885" s="92" t="str">
        <f>IF(AND(A3885="",B3885="",D3885="",G3885=""),"",IF(AND(A3885&lt;&gt;"",COUNTIF($A$2:$A$5001,A3885)&gt;1),"NUMERO_PC duplicado",IF(B3885="","DATA_PC vazia",IF(NOT(ISNUMBER(B3885)),"DATA_PC invalida",IF(OR(C3885="",C3885="Fora dos ciclos"),"CICLO_PC nao identificado",IF(OR(D3885="",D3885=0),"VALOR_PC vazio ou zero",IF(AND(G3885&lt;&gt;"Sim",G3885&lt;&gt;"Nao",G3885&lt;&gt;""),"PC_PAGO_A_CONTRATADA invalido",IF(AND(C3885&lt;&gt;"C0",IFERROR(INDEX(parametros!$A$2:$A$6,MATCH(C3885,parametros!$B$2:$B$6,0)),"")="Sim",IFERROR(INDEX(parametros!$H$2:$H$6,MATCH(C3885,parametros!$B$2:$B$6,0)),"")=""),"INICIO_EFEITO ausente: PC "&amp;A3885&amp;" - "&amp;C3885,IF(L3885="","EFEITO_PC nao calculado: PC "&amp;A3885&amp;" - "&amp;C3885,"OK")))))))))</f>
        <v/>
      </c>
      <c r="L3885" s="92" t="str">
        <f>IF(AND(A3885="",B3885="",D3885="",G3885=""),"",IF(OR(B3885="",NOT(ISNUMBER(B3885)),C3885="",C3885="Fora dos ciclos"),"",IF(C3885="C0","Nao",IF(IFERROR(INDEX(parametros!$A$2:$A$6,MATCH(C3885,parametros!$B$2:$B$6,0)),"")&lt;&gt;"Sim","Nao",IF(IFERROR(INDEX(parametros!$H$2:$H$6,MATCH(C3885,parametros!$B$2:$B$6,0)),"")="","",IF(B3885&gt;=IFERROR(INDEX(parametros!$H$2:$H$6,MATCH(C3885,parametros!$B$2:$B$6,0)),""),"Sim","Nao"))))))</f>
        <v/>
      </c>
      <c r="T3885" s="156"/>
      <c r="U3885" s="214" t="str">
        <f t="shared" si="306"/>
        <v/>
      </c>
      <c r="V3885" s="212" t="s">
        <v>50</v>
      </c>
      <c r="W3885" s="100" t="s">
        <v>168</v>
      </c>
      <c r="X3885" s="100" t="s">
        <v>169</v>
      </c>
      <c r="Y3885" s="101" t="s">
        <v>170</v>
      </c>
      <c r="Z3885" s="101" t="s">
        <v>171</v>
      </c>
      <c r="AA3885" s="101" t="s">
        <v>50</v>
      </c>
      <c r="AB3885" s="101" t="s">
        <v>172</v>
      </c>
      <c r="AC3885" s="102" t="s">
        <v>173</v>
      </c>
    </row>
    <row r="3886" spans="1:29" ht="25.5" customHeight="1" x14ac:dyDescent="0.35">
      <c r="A3886" s="392"/>
      <c r="B3886" s="393"/>
      <c r="C3886" s="99" t="str">
        <f>IF(B3886="","",IF(NOT(ISNUMBER(B3886)),"DATA_PC invalida",IF(NOT(ISNUMBER(parametros!$C$2)),"Fora dos ciclos",IF(OR(B3886&lt;parametros!$C$2,(YEAR(B3886)-YEAR(parametros!$C$2))*12+MONTH(B3886)-MONTH(parametros!$C$2)&gt;59),"Fora dos ciclos","C"&amp;INT(((YEAR(B3886)-YEAR(parametros!$C$2))*12+MONTH(B3886)-MONTH(parametros!$C$2))/12)))))</f>
        <v/>
      </c>
      <c r="D3886" s="394"/>
      <c r="E3886" s="78" t="str">
        <f>IF(C3886="","",IFERROR(VLOOKUP(C3886,parametros!$A$11:$E$15,5,0),""))</f>
        <v/>
      </c>
      <c r="F3886" s="79" t="str">
        <f t="shared" si="302"/>
        <v/>
      </c>
      <c r="G3886" s="395"/>
      <c r="H3886" s="91">
        <f t="shared" si="303"/>
        <v>0</v>
      </c>
      <c r="I3886" s="91" t="str">
        <f t="shared" si="304"/>
        <v/>
      </c>
      <c r="J3886" s="91" t="str">
        <f t="shared" si="305"/>
        <v/>
      </c>
      <c r="K3886" s="92" t="str">
        <f>IF(AND(A3886="",B3886="",D3886="",G3886=""),"",IF(AND(A3886&lt;&gt;"",COUNTIF($A$2:$A$5001,A3886)&gt;1),"NUMERO_PC duplicado",IF(B3886="","DATA_PC vazia",IF(NOT(ISNUMBER(B3886)),"DATA_PC invalida",IF(OR(C3886="",C3886="Fora dos ciclos"),"CICLO_PC nao identificado",IF(OR(D3886="",D3886=0),"VALOR_PC vazio ou zero",IF(AND(G3886&lt;&gt;"Sim",G3886&lt;&gt;"Nao",G3886&lt;&gt;""),"PC_PAGO_A_CONTRATADA invalido",IF(AND(C3886&lt;&gt;"C0",IFERROR(INDEX(parametros!$A$2:$A$6,MATCH(C3886,parametros!$B$2:$B$6,0)),"")="Sim",IFERROR(INDEX(parametros!$H$2:$H$6,MATCH(C3886,parametros!$B$2:$B$6,0)),"")=""),"INICIO_EFEITO ausente: PC "&amp;A3886&amp;" - "&amp;C3886,IF(L3886="","EFEITO_PC nao calculado: PC "&amp;A3886&amp;" - "&amp;C3886,"OK")))))))))</f>
        <v/>
      </c>
      <c r="L3886" s="92" t="str">
        <f>IF(AND(A3886="",B3886="",D3886="",G3886=""),"",IF(OR(B3886="",NOT(ISNUMBER(B3886)),C3886="",C3886="Fora dos ciclos"),"",IF(C3886="C0","Nao",IF(IFERROR(INDEX(parametros!$A$2:$A$6,MATCH(C3886,parametros!$B$2:$B$6,0)),"")&lt;&gt;"Sim","Nao",IF(IFERROR(INDEX(parametros!$H$2:$H$6,MATCH(C3886,parametros!$B$2:$B$6,0)),"")="","",IF(B3886&gt;=IFERROR(INDEX(parametros!$H$2:$H$6,MATCH(C3886,parametros!$B$2:$B$6,0)),""),"Sim","Nao"))))))</f>
        <v/>
      </c>
      <c r="T3886" s="156"/>
      <c r="U3886" s="214" t="str">
        <f t="shared" si="306"/>
        <v/>
      </c>
      <c r="V3886" s="212" t="s">
        <v>50</v>
      </c>
      <c r="W3886" s="100" t="s">
        <v>168</v>
      </c>
      <c r="X3886" s="100" t="s">
        <v>169</v>
      </c>
      <c r="Y3886" s="101" t="s">
        <v>170</v>
      </c>
      <c r="Z3886" s="101" t="s">
        <v>171</v>
      </c>
      <c r="AA3886" s="101" t="s">
        <v>50</v>
      </c>
      <c r="AB3886" s="101" t="s">
        <v>172</v>
      </c>
      <c r="AC3886" s="102" t="s">
        <v>173</v>
      </c>
    </row>
    <row r="3887" spans="1:29" ht="25.5" customHeight="1" x14ac:dyDescent="0.35">
      <c r="A3887" s="392"/>
      <c r="B3887" s="393"/>
      <c r="C3887" s="99" t="str">
        <f>IF(B3887="","",IF(NOT(ISNUMBER(B3887)),"DATA_PC invalida",IF(NOT(ISNUMBER(parametros!$C$2)),"Fora dos ciclos",IF(OR(B3887&lt;parametros!$C$2,(YEAR(B3887)-YEAR(parametros!$C$2))*12+MONTH(B3887)-MONTH(parametros!$C$2)&gt;59),"Fora dos ciclos","C"&amp;INT(((YEAR(B3887)-YEAR(parametros!$C$2))*12+MONTH(B3887)-MONTH(parametros!$C$2))/12)))))</f>
        <v/>
      </c>
      <c r="D3887" s="394"/>
      <c r="E3887" s="78" t="str">
        <f>IF(C3887="","",IFERROR(VLOOKUP(C3887,parametros!$A$11:$E$15,5,0),""))</f>
        <v/>
      </c>
      <c r="F3887" s="79" t="str">
        <f t="shared" si="302"/>
        <v/>
      </c>
      <c r="G3887" s="395"/>
      <c r="H3887" s="91">
        <f t="shared" si="303"/>
        <v>0</v>
      </c>
      <c r="I3887" s="91" t="str">
        <f t="shared" si="304"/>
        <v/>
      </c>
      <c r="J3887" s="91" t="str">
        <f t="shared" si="305"/>
        <v/>
      </c>
      <c r="K3887" s="92" t="str">
        <f>IF(AND(A3887="",B3887="",D3887="",G3887=""),"",IF(AND(A3887&lt;&gt;"",COUNTIF($A$2:$A$5001,A3887)&gt;1),"NUMERO_PC duplicado",IF(B3887="","DATA_PC vazia",IF(NOT(ISNUMBER(B3887)),"DATA_PC invalida",IF(OR(C3887="",C3887="Fora dos ciclos"),"CICLO_PC nao identificado",IF(OR(D3887="",D3887=0),"VALOR_PC vazio ou zero",IF(AND(G3887&lt;&gt;"Sim",G3887&lt;&gt;"Nao",G3887&lt;&gt;""),"PC_PAGO_A_CONTRATADA invalido",IF(AND(C3887&lt;&gt;"C0",IFERROR(INDEX(parametros!$A$2:$A$6,MATCH(C3887,parametros!$B$2:$B$6,0)),"")="Sim",IFERROR(INDEX(parametros!$H$2:$H$6,MATCH(C3887,parametros!$B$2:$B$6,0)),"")=""),"INICIO_EFEITO ausente: PC "&amp;A3887&amp;" - "&amp;C3887,IF(L3887="","EFEITO_PC nao calculado: PC "&amp;A3887&amp;" - "&amp;C3887,"OK")))))))))</f>
        <v/>
      </c>
      <c r="L3887" s="92" t="str">
        <f>IF(AND(A3887="",B3887="",D3887="",G3887=""),"",IF(OR(B3887="",NOT(ISNUMBER(B3887)),C3887="",C3887="Fora dos ciclos"),"",IF(C3887="C0","Nao",IF(IFERROR(INDEX(parametros!$A$2:$A$6,MATCH(C3887,parametros!$B$2:$B$6,0)),"")&lt;&gt;"Sim","Nao",IF(IFERROR(INDEX(parametros!$H$2:$H$6,MATCH(C3887,parametros!$B$2:$B$6,0)),"")="","",IF(B3887&gt;=IFERROR(INDEX(parametros!$H$2:$H$6,MATCH(C3887,parametros!$B$2:$B$6,0)),""),"Sim","Nao"))))))</f>
        <v/>
      </c>
      <c r="T3887" s="156"/>
      <c r="U3887" s="214" t="str">
        <f t="shared" si="306"/>
        <v/>
      </c>
      <c r="V3887" s="212" t="s">
        <v>50</v>
      </c>
      <c r="W3887" s="100" t="s">
        <v>168</v>
      </c>
      <c r="X3887" s="100" t="s">
        <v>169</v>
      </c>
      <c r="Y3887" s="101" t="s">
        <v>170</v>
      </c>
      <c r="Z3887" s="101" t="s">
        <v>171</v>
      </c>
      <c r="AA3887" s="101" t="s">
        <v>50</v>
      </c>
      <c r="AB3887" s="101" t="s">
        <v>172</v>
      </c>
      <c r="AC3887" s="102" t="s">
        <v>173</v>
      </c>
    </row>
    <row r="3888" spans="1:29" ht="25.5" customHeight="1" x14ac:dyDescent="0.35">
      <c r="A3888" s="392"/>
      <c r="B3888" s="393"/>
      <c r="C3888" s="99" t="str">
        <f>IF(B3888="","",IF(NOT(ISNUMBER(B3888)),"DATA_PC invalida",IF(NOT(ISNUMBER(parametros!$C$2)),"Fora dos ciclos",IF(OR(B3888&lt;parametros!$C$2,(YEAR(B3888)-YEAR(parametros!$C$2))*12+MONTH(B3888)-MONTH(parametros!$C$2)&gt;59),"Fora dos ciclos","C"&amp;INT(((YEAR(B3888)-YEAR(parametros!$C$2))*12+MONTH(B3888)-MONTH(parametros!$C$2))/12)))))</f>
        <v/>
      </c>
      <c r="D3888" s="394"/>
      <c r="E3888" s="78" t="str">
        <f>IF(C3888="","",IFERROR(VLOOKUP(C3888,parametros!$A$11:$E$15,5,0),""))</f>
        <v/>
      </c>
      <c r="F3888" s="79" t="str">
        <f t="shared" si="302"/>
        <v/>
      </c>
      <c r="G3888" s="395"/>
      <c r="H3888" s="91">
        <f t="shared" si="303"/>
        <v>0</v>
      </c>
      <c r="I3888" s="91" t="str">
        <f t="shared" si="304"/>
        <v/>
      </c>
      <c r="J3888" s="91" t="str">
        <f t="shared" si="305"/>
        <v/>
      </c>
      <c r="K3888" s="92" t="str">
        <f>IF(AND(A3888="",B3888="",D3888="",G3888=""),"",IF(AND(A3888&lt;&gt;"",COUNTIF($A$2:$A$5001,A3888)&gt;1),"NUMERO_PC duplicado",IF(B3888="","DATA_PC vazia",IF(NOT(ISNUMBER(B3888)),"DATA_PC invalida",IF(OR(C3888="",C3888="Fora dos ciclos"),"CICLO_PC nao identificado",IF(OR(D3888="",D3888=0),"VALOR_PC vazio ou zero",IF(AND(G3888&lt;&gt;"Sim",G3888&lt;&gt;"Nao",G3888&lt;&gt;""),"PC_PAGO_A_CONTRATADA invalido",IF(AND(C3888&lt;&gt;"C0",IFERROR(INDEX(parametros!$A$2:$A$6,MATCH(C3888,parametros!$B$2:$B$6,0)),"")="Sim",IFERROR(INDEX(parametros!$H$2:$H$6,MATCH(C3888,parametros!$B$2:$B$6,0)),"")=""),"INICIO_EFEITO ausente: PC "&amp;A3888&amp;" - "&amp;C3888,IF(L3888="","EFEITO_PC nao calculado: PC "&amp;A3888&amp;" - "&amp;C3888,"OK")))))))))</f>
        <v/>
      </c>
      <c r="L3888" s="92" t="str">
        <f>IF(AND(A3888="",B3888="",D3888="",G3888=""),"",IF(OR(B3888="",NOT(ISNUMBER(B3888)),C3888="",C3888="Fora dos ciclos"),"",IF(C3888="C0","Nao",IF(IFERROR(INDEX(parametros!$A$2:$A$6,MATCH(C3888,parametros!$B$2:$B$6,0)),"")&lt;&gt;"Sim","Nao",IF(IFERROR(INDEX(parametros!$H$2:$H$6,MATCH(C3888,parametros!$B$2:$B$6,0)),"")="","",IF(B3888&gt;=IFERROR(INDEX(parametros!$H$2:$H$6,MATCH(C3888,parametros!$B$2:$B$6,0)),""),"Sim","Nao"))))))</f>
        <v/>
      </c>
      <c r="T3888" s="156"/>
      <c r="U3888" s="214" t="str">
        <f t="shared" si="306"/>
        <v/>
      </c>
      <c r="V3888" s="212" t="s">
        <v>50</v>
      </c>
      <c r="W3888" s="100" t="s">
        <v>168</v>
      </c>
      <c r="X3888" s="100" t="s">
        <v>169</v>
      </c>
      <c r="Y3888" s="101" t="s">
        <v>170</v>
      </c>
      <c r="Z3888" s="101" t="s">
        <v>171</v>
      </c>
      <c r="AA3888" s="101" t="s">
        <v>50</v>
      </c>
      <c r="AB3888" s="101" t="s">
        <v>172</v>
      </c>
      <c r="AC3888" s="102" t="s">
        <v>173</v>
      </c>
    </row>
    <row r="3889" spans="1:29" ht="25.5" customHeight="1" x14ac:dyDescent="0.35">
      <c r="A3889" s="392"/>
      <c r="B3889" s="393"/>
      <c r="C3889" s="99" t="str">
        <f>IF(B3889="","",IF(NOT(ISNUMBER(B3889)),"DATA_PC invalida",IF(NOT(ISNUMBER(parametros!$C$2)),"Fora dos ciclos",IF(OR(B3889&lt;parametros!$C$2,(YEAR(B3889)-YEAR(parametros!$C$2))*12+MONTH(B3889)-MONTH(parametros!$C$2)&gt;59),"Fora dos ciclos","C"&amp;INT(((YEAR(B3889)-YEAR(parametros!$C$2))*12+MONTH(B3889)-MONTH(parametros!$C$2))/12)))))</f>
        <v/>
      </c>
      <c r="D3889" s="394"/>
      <c r="E3889" s="78" t="str">
        <f>IF(C3889="","",IFERROR(VLOOKUP(C3889,parametros!$A$11:$E$15,5,0),""))</f>
        <v/>
      </c>
      <c r="F3889" s="79" t="str">
        <f t="shared" si="302"/>
        <v/>
      </c>
      <c r="G3889" s="395"/>
      <c r="H3889" s="91">
        <f t="shared" si="303"/>
        <v>0</v>
      </c>
      <c r="I3889" s="91" t="str">
        <f t="shared" si="304"/>
        <v/>
      </c>
      <c r="J3889" s="91" t="str">
        <f t="shared" si="305"/>
        <v/>
      </c>
      <c r="K3889" s="92" t="str">
        <f>IF(AND(A3889="",B3889="",D3889="",G3889=""),"",IF(AND(A3889&lt;&gt;"",COUNTIF($A$2:$A$5001,A3889)&gt;1),"NUMERO_PC duplicado",IF(B3889="","DATA_PC vazia",IF(NOT(ISNUMBER(B3889)),"DATA_PC invalida",IF(OR(C3889="",C3889="Fora dos ciclos"),"CICLO_PC nao identificado",IF(OR(D3889="",D3889=0),"VALOR_PC vazio ou zero",IF(AND(G3889&lt;&gt;"Sim",G3889&lt;&gt;"Nao",G3889&lt;&gt;""),"PC_PAGO_A_CONTRATADA invalido",IF(AND(C3889&lt;&gt;"C0",IFERROR(INDEX(parametros!$A$2:$A$6,MATCH(C3889,parametros!$B$2:$B$6,0)),"")="Sim",IFERROR(INDEX(parametros!$H$2:$H$6,MATCH(C3889,parametros!$B$2:$B$6,0)),"")=""),"INICIO_EFEITO ausente: PC "&amp;A3889&amp;" - "&amp;C3889,IF(L3889="","EFEITO_PC nao calculado: PC "&amp;A3889&amp;" - "&amp;C3889,"OK")))))))))</f>
        <v/>
      </c>
      <c r="L3889" s="92" t="str">
        <f>IF(AND(A3889="",B3889="",D3889="",G3889=""),"",IF(OR(B3889="",NOT(ISNUMBER(B3889)),C3889="",C3889="Fora dos ciclos"),"",IF(C3889="C0","Nao",IF(IFERROR(INDEX(parametros!$A$2:$A$6,MATCH(C3889,parametros!$B$2:$B$6,0)),"")&lt;&gt;"Sim","Nao",IF(IFERROR(INDEX(parametros!$H$2:$H$6,MATCH(C3889,parametros!$B$2:$B$6,0)),"")="","",IF(B3889&gt;=IFERROR(INDEX(parametros!$H$2:$H$6,MATCH(C3889,parametros!$B$2:$B$6,0)),""),"Sim","Nao"))))))</f>
        <v/>
      </c>
      <c r="T3889" s="156"/>
      <c r="U3889" s="214" t="str">
        <f t="shared" si="306"/>
        <v/>
      </c>
      <c r="V3889" s="212" t="s">
        <v>50</v>
      </c>
      <c r="W3889" s="100" t="s">
        <v>168</v>
      </c>
      <c r="X3889" s="100" t="s">
        <v>169</v>
      </c>
      <c r="Y3889" s="101" t="s">
        <v>170</v>
      </c>
      <c r="Z3889" s="101" t="s">
        <v>171</v>
      </c>
      <c r="AA3889" s="101" t="s">
        <v>50</v>
      </c>
      <c r="AB3889" s="101" t="s">
        <v>172</v>
      </c>
      <c r="AC3889" s="102" t="s">
        <v>173</v>
      </c>
    </row>
    <row r="3890" spans="1:29" ht="25.5" customHeight="1" x14ac:dyDescent="0.35">
      <c r="A3890" s="392"/>
      <c r="B3890" s="393"/>
      <c r="C3890" s="99" t="str">
        <f>IF(B3890="","",IF(NOT(ISNUMBER(B3890)),"DATA_PC invalida",IF(NOT(ISNUMBER(parametros!$C$2)),"Fora dos ciclos",IF(OR(B3890&lt;parametros!$C$2,(YEAR(B3890)-YEAR(parametros!$C$2))*12+MONTH(B3890)-MONTH(parametros!$C$2)&gt;59),"Fora dos ciclos","C"&amp;INT(((YEAR(B3890)-YEAR(parametros!$C$2))*12+MONTH(B3890)-MONTH(parametros!$C$2))/12)))))</f>
        <v/>
      </c>
      <c r="D3890" s="394"/>
      <c r="E3890" s="78" t="str">
        <f>IF(C3890="","",IFERROR(VLOOKUP(C3890,parametros!$A$11:$E$15,5,0),""))</f>
        <v/>
      </c>
      <c r="F3890" s="79" t="str">
        <f t="shared" si="302"/>
        <v/>
      </c>
      <c r="G3890" s="395"/>
      <c r="H3890" s="91">
        <f t="shared" si="303"/>
        <v>0</v>
      </c>
      <c r="I3890" s="91" t="str">
        <f t="shared" si="304"/>
        <v/>
      </c>
      <c r="J3890" s="91" t="str">
        <f t="shared" si="305"/>
        <v/>
      </c>
      <c r="K3890" s="92" t="str">
        <f>IF(AND(A3890="",B3890="",D3890="",G3890=""),"",IF(AND(A3890&lt;&gt;"",COUNTIF($A$2:$A$5001,A3890)&gt;1),"NUMERO_PC duplicado",IF(B3890="","DATA_PC vazia",IF(NOT(ISNUMBER(B3890)),"DATA_PC invalida",IF(OR(C3890="",C3890="Fora dos ciclos"),"CICLO_PC nao identificado",IF(OR(D3890="",D3890=0),"VALOR_PC vazio ou zero",IF(AND(G3890&lt;&gt;"Sim",G3890&lt;&gt;"Nao",G3890&lt;&gt;""),"PC_PAGO_A_CONTRATADA invalido",IF(AND(C3890&lt;&gt;"C0",IFERROR(INDEX(parametros!$A$2:$A$6,MATCH(C3890,parametros!$B$2:$B$6,0)),"")="Sim",IFERROR(INDEX(parametros!$H$2:$H$6,MATCH(C3890,parametros!$B$2:$B$6,0)),"")=""),"INICIO_EFEITO ausente: PC "&amp;A3890&amp;" - "&amp;C3890,IF(L3890="","EFEITO_PC nao calculado: PC "&amp;A3890&amp;" - "&amp;C3890,"OK")))))))))</f>
        <v/>
      </c>
      <c r="L3890" s="92" t="str">
        <f>IF(AND(A3890="",B3890="",D3890="",G3890=""),"",IF(OR(B3890="",NOT(ISNUMBER(B3890)),C3890="",C3890="Fora dos ciclos"),"",IF(C3890="C0","Nao",IF(IFERROR(INDEX(parametros!$A$2:$A$6,MATCH(C3890,parametros!$B$2:$B$6,0)),"")&lt;&gt;"Sim","Nao",IF(IFERROR(INDEX(parametros!$H$2:$H$6,MATCH(C3890,parametros!$B$2:$B$6,0)),"")="","",IF(B3890&gt;=IFERROR(INDEX(parametros!$H$2:$H$6,MATCH(C3890,parametros!$B$2:$B$6,0)),""),"Sim","Nao"))))))</f>
        <v/>
      </c>
      <c r="T3890" s="156"/>
      <c r="U3890" s="214" t="str">
        <f t="shared" si="306"/>
        <v/>
      </c>
      <c r="V3890" s="212" t="s">
        <v>50</v>
      </c>
      <c r="W3890" s="100" t="s">
        <v>168</v>
      </c>
      <c r="X3890" s="100" t="s">
        <v>169</v>
      </c>
      <c r="Y3890" s="101" t="s">
        <v>170</v>
      </c>
      <c r="Z3890" s="101" t="s">
        <v>171</v>
      </c>
      <c r="AA3890" s="101" t="s">
        <v>50</v>
      </c>
      <c r="AB3890" s="101" t="s">
        <v>172</v>
      </c>
      <c r="AC3890" s="102" t="s">
        <v>173</v>
      </c>
    </row>
    <row r="3891" spans="1:29" ht="25.5" customHeight="1" x14ac:dyDescent="0.35">
      <c r="A3891" s="392"/>
      <c r="B3891" s="393"/>
      <c r="C3891" s="99" t="str">
        <f>IF(B3891="","",IF(NOT(ISNUMBER(B3891)),"DATA_PC invalida",IF(NOT(ISNUMBER(parametros!$C$2)),"Fora dos ciclos",IF(OR(B3891&lt;parametros!$C$2,(YEAR(B3891)-YEAR(parametros!$C$2))*12+MONTH(B3891)-MONTH(parametros!$C$2)&gt;59),"Fora dos ciclos","C"&amp;INT(((YEAR(B3891)-YEAR(parametros!$C$2))*12+MONTH(B3891)-MONTH(parametros!$C$2))/12)))))</f>
        <v/>
      </c>
      <c r="D3891" s="394"/>
      <c r="E3891" s="78" t="str">
        <f>IF(C3891="","",IFERROR(VLOOKUP(C3891,parametros!$A$11:$E$15,5,0),""))</f>
        <v/>
      </c>
      <c r="F3891" s="79" t="str">
        <f t="shared" si="302"/>
        <v/>
      </c>
      <c r="G3891" s="395"/>
      <c r="H3891" s="91">
        <f t="shared" si="303"/>
        <v>0</v>
      </c>
      <c r="I3891" s="91" t="str">
        <f t="shared" si="304"/>
        <v/>
      </c>
      <c r="J3891" s="91" t="str">
        <f t="shared" si="305"/>
        <v/>
      </c>
      <c r="K3891" s="92" t="str">
        <f>IF(AND(A3891="",B3891="",D3891="",G3891=""),"",IF(AND(A3891&lt;&gt;"",COUNTIF($A$2:$A$5001,A3891)&gt;1),"NUMERO_PC duplicado",IF(B3891="","DATA_PC vazia",IF(NOT(ISNUMBER(B3891)),"DATA_PC invalida",IF(OR(C3891="",C3891="Fora dos ciclos"),"CICLO_PC nao identificado",IF(OR(D3891="",D3891=0),"VALOR_PC vazio ou zero",IF(AND(G3891&lt;&gt;"Sim",G3891&lt;&gt;"Nao",G3891&lt;&gt;""),"PC_PAGO_A_CONTRATADA invalido",IF(AND(C3891&lt;&gt;"C0",IFERROR(INDEX(parametros!$A$2:$A$6,MATCH(C3891,parametros!$B$2:$B$6,0)),"")="Sim",IFERROR(INDEX(parametros!$H$2:$H$6,MATCH(C3891,parametros!$B$2:$B$6,0)),"")=""),"INICIO_EFEITO ausente: PC "&amp;A3891&amp;" - "&amp;C3891,IF(L3891="","EFEITO_PC nao calculado: PC "&amp;A3891&amp;" - "&amp;C3891,"OK")))))))))</f>
        <v/>
      </c>
      <c r="L3891" s="92" t="str">
        <f>IF(AND(A3891="",B3891="",D3891="",G3891=""),"",IF(OR(B3891="",NOT(ISNUMBER(B3891)),C3891="",C3891="Fora dos ciclos"),"",IF(C3891="C0","Nao",IF(IFERROR(INDEX(parametros!$A$2:$A$6,MATCH(C3891,parametros!$B$2:$B$6,0)),"")&lt;&gt;"Sim","Nao",IF(IFERROR(INDEX(parametros!$H$2:$H$6,MATCH(C3891,parametros!$B$2:$B$6,0)),"")="","",IF(B3891&gt;=IFERROR(INDEX(parametros!$H$2:$H$6,MATCH(C3891,parametros!$B$2:$B$6,0)),""),"Sim","Nao"))))))</f>
        <v/>
      </c>
      <c r="T3891" s="156"/>
      <c r="U3891" s="214" t="str">
        <f t="shared" si="306"/>
        <v/>
      </c>
      <c r="V3891" s="212" t="s">
        <v>50</v>
      </c>
      <c r="W3891" s="100" t="s">
        <v>168</v>
      </c>
      <c r="X3891" s="100" t="s">
        <v>169</v>
      </c>
      <c r="Y3891" s="101" t="s">
        <v>170</v>
      </c>
      <c r="Z3891" s="101" t="s">
        <v>171</v>
      </c>
      <c r="AA3891" s="101" t="s">
        <v>50</v>
      </c>
      <c r="AB3891" s="101" t="s">
        <v>172</v>
      </c>
      <c r="AC3891" s="102" t="s">
        <v>173</v>
      </c>
    </row>
    <row r="3892" spans="1:29" ht="25.5" customHeight="1" x14ac:dyDescent="0.35">
      <c r="A3892" s="392"/>
      <c r="B3892" s="393"/>
      <c r="C3892" s="99" t="str">
        <f>IF(B3892="","",IF(NOT(ISNUMBER(B3892)),"DATA_PC invalida",IF(NOT(ISNUMBER(parametros!$C$2)),"Fora dos ciclos",IF(OR(B3892&lt;parametros!$C$2,(YEAR(B3892)-YEAR(parametros!$C$2))*12+MONTH(B3892)-MONTH(parametros!$C$2)&gt;59),"Fora dos ciclos","C"&amp;INT(((YEAR(B3892)-YEAR(parametros!$C$2))*12+MONTH(B3892)-MONTH(parametros!$C$2))/12)))))</f>
        <v/>
      </c>
      <c r="D3892" s="394"/>
      <c r="E3892" s="78" t="str">
        <f>IF(C3892="","",IFERROR(VLOOKUP(C3892,parametros!$A$11:$E$15,5,0),""))</f>
        <v/>
      </c>
      <c r="F3892" s="79" t="str">
        <f t="shared" si="302"/>
        <v/>
      </c>
      <c r="G3892" s="395"/>
      <c r="H3892" s="91">
        <f t="shared" si="303"/>
        <v>0</v>
      </c>
      <c r="I3892" s="91" t="str">
        <f t="shared" si="304"/>
        <v/>
      </c>
      <c r="J3892" s="91" t="str">
        <f t="shared" si="305"/>
        <v/>
      </c>
      <c r="K3892" s="92" t="str">
        <f>IF(AND(A3892="",B3892="",D3892="",G3892=""),"",IF(AND(A3892&lt;&gt;"",COUNTIF($A$2:$A$5001,A3892)&gt;1),"NUMERO_PC duplicado",IF(B3892="","DATA_PC vazia",IF(NOT(ISNUMBER(B3892)),"DATA_PC invalida",IF(OR(C3892="",C3892="Fora dos ciclos"),"CICLO_PC nao identificado",IF(OR(D3892="",D3892=0),"VALOR_PC vazio ou zero",IF(AND(G3892&lt;&gt;"Sim",G3892&lt;&gt;"Nao",G3892&lt;&gt;""),"PC_PAGO_A_CONTRATADA invalido",IF(AND(C3892&lt;&gt;"C0",IFERROR(INDEX(parametros!$A$2:$A$6,MATCH(C3892,parametros!$B$2:$B$6,0)),"")="Sim",IFERROR(INDEX(parametros!$H$2:$H$6,MATCH(C3892,parametros!$B$2:$B$6,0)),"")=""),"INICIO_EFEITO ausente: PC "&amp;A3892&amp;" - "&amp;C3892,IF(L3892="","EFEITO_PC nao calculado: PC "&amp;A3892&amp;" - "&amp;C3892,"OK")))))))))</f>
        <v/>
      </c>
      <c r="L3892" s="92" t="str">
        <f>IF(AND(A3892="",B3892="",D3892="",G3892=""),"",IF(OR(B3892="",NOT(ISNUMBER(B3892)),C3892="",C3892="Fora dos ciclos"),"",IF(C3892="C0","Nao",IF(IFERROR(INDEX(parametros!$A$2:$A$6,MATCH(C3892,parametros!$B$2:$B$6,0)),"")&lt;&gt;"Sim","Nao",IF(IFERROR(INDEX(parametros!$H$2:$H$6,MATCH(C3892,parametros!$B$2:$B$6,0)),"")="","",IF(B3892&gt;=IFERROR(INDEX(parametros!$H$2:$H$6,MATCH(C3892,parametros!$B$2:$B$6,0)),""),"Sim","Nao"))))))</f>
        <v/>
      </c>
      <c r="T3892" s="156"/>
      <c r="U3892" s="214" t="str">
        <f t="shared" si="306"/>
        <v/>
      </c>
      <c r="V3892" s="212" t="s">
        <v>50</v>
      </c>
      <c r="W3892" s="100" t="s">
        <v>168</v>
      </c>
      <c r="X3892" s="100" t="s">
        <v>169</v>
      </c>
      <c r="Y3892" s="101" t="s">
        <v>170</v>
      </c>
      <c r="Z3892" s="101" t="s">
        <v>171</v>
      </c>
      <c r="AA3892" s="101" t="s">
        <v>50</v>
      </c>
      <c r="AB3892" s="101" t="s">
        <v>172</v>
      </c>
      <c r="AC3892" s="102" t="s">
        <v>173</v>
      </c>
    </row>
    <row r="3893" spans="1:29" ht="25.5" customHeight="1" x14ac:dyDescent="0.35">
      <c r="A3893" s="392"/>
      <c r="B3893" s="393"/>
      <c r="C3893" s="99" t="str">
        <f>IF(B3893="","",IF(NOT(ISNUMBER(B3893)),"DATA_PC invalida",IF(NOT(ISNUMBER(parametros!$C$2)),"Fora dos ciclos",IF(OR(B3893&lt;parametros!$C$2,(YEAR(B3893)-YEAR(parametros!$C$2))*12+MONTH(B3893)-MONTH(parametros!$C$2)&gt;59),"Fora dos ciclos","C"&amp;INT(((YEAR(B3893)-YEAR(parametros!$C$2))*12+MONTH(B3893)-MONTH(parametros!$C$2))/12)))))</f>
        <v/>
      </c>
      <c r="D3893" s="394"/>
      <c r="E3893" s="78" t="str">
        <f>IF(C3893="","",IFERROR(VLOOKUP(C3893,parametros!$A$11:$E$15,5,0),""))</f>
        <v/>
      </c>
      <c r="F3893" s="79" t="str">
        <f t="shared" si="302"/>
        <v/>
      </c>
      <c r="G3893" s="395"/>
      <c r="H3893" s="91">
        <f t="shared" si="303"/>
        <v>0</v>
      </c>
      <c r="I3893" s="91" t="str">
        <f t="shared" si="304"/>
        <v/>
      </c>
      <c r="J3893" s="91" t="str">
        <f t="shared" si="305"/>
        <v/>
      </c>
      <c r="K3893" s="92" t="str">
        <f>IF(AND(A3893="",B3893="",D3893="",G3893=""),"",IF(AND(A3893&lt;&gt;"",COUNTIF($A$2:$A$5001,A3893)&gt;1),"NUMERO_PC duplicado",IF(B3893="","DATA_PC vazia",IF(NOT(ISNUMBER(B3893)),"DATA_PC invalida",IF(OR(C3893="",C3893="Fora dos ciclos"),"CICLO_PC nao identificado",IF(OR(D3893="",D3893=0),"VALOR_PC vazio ou zero",IF(AND(G3893&lt;&gt;"Sim",G3893&lt;&gt;"Nao",G3893&lt;&gt;""),"PC_PAGO_A_CONTRATADA invalido",IF(AND(C3893&lt;&gt;"C0",IFERROR(INDEX(parametros!$A$2:$A$6,MATCH(C3893,parametros!$B$2:$B$6,0)),"")="Sim",IFERROR(INDEX(parametros!$H$2:$H$6,MATCH(C3893,parametros!$B$2:$B$6,0)),"")=""),"INICIO_EFEITO ausente: PC "&amp;A3893&amp;" - "&amp;C3893,IF(L3893="","EFEITO_PC nao calculado: PC "&amp;A3893&amp;" - "&amp;C3893,"OK")))))))))</f>
        <v/>
      </c>
      <c r="L3893" s="92" t="str">
        <f>IF(AND(A3893="",B3893="",D3893="",G3893=""),"",IF(OR(B3893="",NOT(ISNUMBER(B3893)),C3893="",C3893="Fora dos ciclos"),"",IF(C3893="C0","Nao",IF(IFERROR(INDEX(parametros!$A$2:$A$6,MATCH(C3893,parametros!$B$2:$B$6,0)),"")&lt;&gt;"Sim","Nao",IF(IFERROR(INDEX(parametros!$H$2:$H$6,MATCH(C3893,parametros!$B$2:$B$6,0)),"")="","",IF(B3893&gt;=IFERROR(INDEX(parametros!$H$2:$H$6,MATCH(C3893,parametros!$B$2:$B$6,0)),""),"Sim","Nao"))))))</f>
        <v/>
      </c>
      <c r="T3893" s="156"/>
      <c r="U3893" s="214" t="str">
        <f t="shared" si="306"/>
        <v/>
      </c>
      <c r="V3893" s="212" t="s">
        <v>50</v>
      </c>
      <c r="W3893" s="100" t="s">
        <v>168</v>
      </c>
      <c r="X3893" s="100" t="s">
        <v>169</v>
      </c>
      <c r="Y3893" s="101" t="s">
        <v>170</v>
      </c>
      <c r="Z3893" s="101" t="s">
        <v>171</v>
      </c>
      <c r="AA3893" s="101" t="s">
        <v>50</v>
      </c>
      <c r="AB3893" s="101" t="s">
        <v>172</v>
      </c>
      <c r="AC3893" s="102" t="s">
        <v>173</v>
      </c>
    </row>
    <row r="3894" spans="1:29" ht="25.5" customHeight="1" x14ac:dyDescent="0.35">
      <c r="A3894" s="392"/>
      <c r="B3894" s="393"/>
      <c r="C3894" s="99" t="str">
        <f>IF(B3894="","",IF(NOT(ISNUMBER(B3894)),"DATA_PC invalida",IF(NOT(ISNUMBER(parametros!$C$2)),"Fora dos ciclos",IF(OR(B3894&lt;parametros!$C$2,(YEAR(B3894)-YEAR(parametros!$C$2))*12+MONTH(B3894)-MONTH(parametros!$C$2)&gt;59),"Fora dos ciclos","C"&amp;INT(((YEAR(B3894)-YEAR(parametros!$C$2))*12+MONTH(B3894)-MONTH(parametros!$C$2))/12)))))</f>
        <v/>
      </c>
      <c r="D3894" s="394"/>
      <c r="E3894" s="78" t="str">
        <f>IF(C3894="","",IFERROR(VLOOKUP(C3894,parametros!$A$11:$E$15,5,0),""))</f>
        <v/>
      </c>
      <c r="F3894" s="79" t="str">
        <f t="shared" si="302"/>
        <v/>
      </c>
      <c r="G3894" s="395"/>
      <c r="H3894" s="91">
        <f t="shared" si="303"/>
        <v>0</v>
      </c>
      <c r="I3894" s="91" t="str">
        <f t="shared" si="304"/>
        <v/>
      </c>
      <c r="J3894" s="91" t="str">
        <f t="shared" si="305"/>
        <v/>
      </c>
      <c r="K3894" s="92" t="str">
        <f>IF(AND(A3894="",B3894="",D3894="",G3894=""),"",IF(AND(A3894&lt;&gt;"",COUNTIF($A$2:$A$5001,A3894)&gt;1),"NUMERO_PC duplicado",IF(B3894="","DATA_PC vazia",IF(NOT(ISNUMBER(B3894)),"DATA_PC invalida",IF(OR(C3894="",C3894="Fora dos ciclos"),"CICLO_PC nao identificado",IF(OR(D3894="",D3894=0),"VALOR_PC vazio ou zero",IF(AND(G3894&lt;&gt;"Sim",G3894&lt;&gt;"Nao",G3894&lt;&gt;""),"PC_PAGO_A_CONTRATADA invalido",IF(AND(C3894&lt;&gt;"C0",IFERROR(INDEX(parametros!$A$2:$A$6,MATCH(C3894,parametros!$B$2:$B$6,0)),"")="Sim",IFERROR(INDEX(parametros!$H$2:$H$6,MATCH(C3894,parametros!$B$2:$B$6,0)),"")=""),"INICIO_EFEITO ausente: PC "&amp;A3894&amp;" - "&amp;C3894,IF(L3894="","EFEITO_PC nao calculado: PC "&amp;A3894&amp;" - "&amp;C3894,"OK")))))))))</f>
        <v/>
      </c>
      <c r="L3894" s="92" t="str">
        <f>IF(AND(A3894="",B3894="",D3894="",G3894=""),"",IF(OR(B3894="",NOT(ISNUMBER(B3894)),C3894="",C3894="Fora dos ciclos"),"",IF(C3894="C0","Nao",IF(IFERROR(INDEX(parametros!$A$2:$A$6,MATCH(C3894,parametros!$B$2:$B$6,0)),"")&lt;&gt;"Sim","Nao",IF(IFERROR(INDEX(parametros!$H$2:$H$6,MATCH(C3894,parametros!$B$2:$B$6,0)),"")="","",IF(B3894&gt;=IFERROR(INDEX(parametros!$H$2:$H$6,MATCH(C3894,parametros!$B$2:$B$6,0)),""),"Sim","Nao"))))))</f>
        <v/>
      </c>
      <c r="T3894" s="156"/>
      <c r="U3894" s="214" t="str">
        <f t="shared" si="306"/>
        <v/>
      </c>
      <c r="V3894" s="212" t="s">
        <v>50</v>
      </c>
      <c r="W3894" s="100" t="s">
        <v>168</v>
      </c>
      <c r="X3894" s="100" t="s">
        <v>169</v>
      </c>
      <c r="Y3894" s="101" t="s">
        <v>170</v>
      </c>
      <c r="Z3894" s="101" t="s">
        <v>171</v>
      </c>
      <c r="AA3894" s="101" t="s">
        <v>50</v>
      </c>
      <c r="AB3894" s="101" t="s">
        <v>172</v>
      </c>
      <c r="AC3894" s="102" t="s">
        <v>173</v>
      </c>
    </row>
    <row r="3895" spans="1:29" ht="25.5" customHeight="1" x14ac:dyDescent="0.35">
      <c r="A3895" s="392"/>
      <c r="B3895" s="393"/>
      <c r="C3895" s="99" t="str">
        <f>IF(B3895="","",IF(NOT(ISNUMBER(B3895)),"DATA_PC invalida",IF(NOT(ISNUMBER(parametros!$C$2)),"Fora dos ciclos",IF(OR(B3895&lt;parametros!$C$2,(YEAR(B3895)-YEAR(parametros!$C$2))*12+MONTH(B3895)-MONTH(parametros!$C$2)&gt;59),"Fora dos ciclos","C"&amp;INT(((YEAR(B3895)-YEAR(parametros!$C$2))*12+MONTH(B3895)-MONTH(parametros!$C$2))/12)))))</f>
        <v/>
      </c>
      <c r="D3895" s="394"/>
      <c r="E3895" s="78" t="str">
        <f>IF(C3895="","",IFERROR(VLOOKUP(C3895,parametros!$A$11:$E$15,5,0),""))</f>
        <v/>
      </c>
      <c r="F3895" s="79" t="str">
        <f t="shared" si="302"/>
        <v/>
      </c>
      <c r="G3895" s="395"/>
      <c r="H3895" s="91">
        <f t="shared" si="303"/>
        <v>0</v>
      </c>
      <c r="I3895" s="91" t="str">
        <f t="shared" si="304"/>
        <v/>
      </c>
      <c r="J3895" s="91" t="str">
        <f t="shared" si="305"/>
        <v/>
      </c>
      <c r="K3895" s="92" t="str">
        <f>IF(AND(A3895="",B3895="",D3895="",G3895=""),"",IF(AND(A3895&lt;&gt;"",COUNTIF($A$2:$A$5001,A3895)&gt;1),"NUMERO_PC duplicado",IF(B3895="","DATA_PC vazia",IF(NOT(ISNUMBER(B3895)),"DATA_PC invalida",IF(OR(C3895="",C3895="Fora dos ciclos"),"CICLO_PC nao identificado",IF(OR(D3895="",D3895=0),"VALOR_PC vazio ou zero",IF(AND(G3895&lt;&gt;"Sim",G3895&lt;&gt;"Nao",G3895&lt;&gt;""),"PC_PAGO_A_CONTRATADA invalido",IF(AND(C3895&lt;&gt;"C0",IFERROR(INDEX(parametros!$A$2:$A$6,MATCH(C3895,parametros!$B$2:$B$6,0)),"")="Sim",IFERROR(INDEX(parametros!$H$2:$H$6,MATCH(C3895,parametros!$B$2:$B$6,0)),"")=""),"INICIO_EFEITO ausente: PC "&amp;A3895&amp;" - "&amp;C3895,IF(L3895="","EFEITO_PC nao calculado: PC "&amp;A3895&amp;" - "&amp;C3895,"OK")))))))))</f>
        <v/>
      </c>
      <c r="L3895" s="92" t="str">
        <f>IF(AND(A3895="",B3895="",D3895="",G3895=""),"",IF(OR(B3895="",NOT(ISNUMBER(B3895)),C3895="",C3895="Fora dos ciclos"),"",IF(C3895="C0","Nao",IF(IFERROR(INDEX(parametros!$A$2:$A$6,MATCH(C3895,parametros!$B$2:$B$6,0)),"")&lt;&gt;"Sim","Nao",IF(IFERROR(INDEX(parametros!$H$2:$H$6,MATCH(C3895,parametros!$B$2:$B$6,0)),"")="","",IF(B3895&gt;=IFERROR(INDEX(parametros!$H$2:$H$6,MATCH(C3895,parametros!$B$2:$B$6,0)),""),"Sim","Nao"))))))</f>
        <v/>
      </c>
      <c r="T3895" s="156"/>
      <c r="U3895" s="214" t="str">
        <f t="shared" si="306"/>
        <v/>
      </c>
      <c r="V3895" s="212" t="s">
        <v>50</v>
      </c>
      <c r="W3895" s="100" t="s">
        <v>168</v>
      </c>
      <c r="X3895" s="100" t="s">
        <v>169</v>
      </c>
      <c r="Y3895" s="101" t="s">
        <v>170</v>
      </c>
      <c r="Z3895" s="101" t="s">
        <v>171</v>
      </c>
      <c r="AA3895" s="101" t="s">
        <v>50</v>
      </c>
      <c r="AB3895" s="101" t="s">
        <v>172</v>
      </c>
      <c r="AC3895" s="102" t="s">
        <v>173</v>
      </c>
    </row>
    <row r="3896" spans="1:29" ht="25.5" customHeight="1" x14ac:dyDescent="0.35">
      <c r="A3896" s="392"/>
      <c r="B3896" s="393"/>
      <c r="C3896" s="99" t="str">
        <f>IF(B3896="","",IF(NOT(ISNUMBER(B3896)),"DATA_PC invalida",IF(NOT(ISNUMBER(parametros!$C$2)),"Fora dos ciclos",IF(OR(B3896&lt;parametros!$C$2,(YEAR(B3896)-YEAR(parametros!$C$2))*12+MONTH(B3896)-MONTH(parametros!$C$2)&gt;59),"Fora dos ciclos","C"&amp;INT(((YEAR(B3896)-YEAR(parametros!$C$2))*12+MONTH(B3896)-MONTH(parametros!$C$2))/12)))))</f>
        <v/>
      </c>
      <c r="D3896" s="394"/>
      <c r="E3896" s="78" t="str">
        <f>IF(C3896="","",IFERROR(VLOOKUP(C3896,parametros!$A$11:$E$15,5,0),""))</f>
        <v/>
      </c>
      <c r="F3896" s="79" t="str">
        <f t="shared" si="302"/>
        <v/>
      </c>
      <c r="G3896" s="395"/>
      <c r="H3896" s="91">
        <f t="shared" si="303"/>
        <v>0</v>
      </c>
      <c r="I3896" s="91" t="str">
        <f t="shared" si="304"/>
        <v/>
      </c>
      <c r="J3896" s="91" t="str">
        <f t="shared" si="305"/>
        <v/>
      </c>
      <c r="K3896" s="92" t="str">
        <f>IF(AND(A3896="",B3896="",D3896="",G3896=""),"",IF(AND(A3896&lt;&gt;"",COUNTIF($A$2:$A$5001,A3896)&gt;1),"NUMERO_PC duplicado",IF(B3896="","DATA_PC vazia",IF(NOT(ISNUMBER(B3896)),"DATA_PC invalida",IF(OR(C3896="",C3896="Fora dos ciclos"),"CICLO_PC nao identificado",IF(OR(D3896="",D3896=0),"VALOR_PC vazio ou zero",IF(AND(G3896&lt;&gt;"Sim",G3896&lt;&gt;"Nao",G3896&lt;&gt;""),"PC_PAGO_A_CONTRATADA invalido",IF(AND(C3896&lt;&gt;"C0",IFERROR(INDEX(parametros!$A$2:$A$6,MATCH(C3896,parametros!$B$2:$B$6,0)),"")="Sim",IFERROR(INDEX(parametros!$H$2:$H$6,MATCH(C3896,parametros!$B$2:$B$6,0)),"")=""),"INICIO_EFEITO ausente: PC "&amp;A3896&amp;" - "&amp;C3896,IF(L3896="","EFEITO_PC nao calculado: PC "&amp;A3896&amp;" - "&amp;C3896,"OK")))))))))</f>
        <v/>
      </c>
      <c r="L3896" s="92" t="str">
        <f>IF(AND(A3896="",B3896="",D3896="",G3896=""),"",IF(OR(B3896="",NOT(ISNUMBER(B3896)),C3896="",C3896="Fora dos ciclos"),"",IF(C3896="C0","Nao",IF(IFERROR(INDEX(parametros!$A$2:$A$6,MATCH(C3896,parametros!$B$2:$B$6,0)),"")&lt;&gt;"Sim","Nao",IF(IFERROR(INDEX(parametros!$H$2:$H$6,MATCH(C3896,parametros!$B$2:$B$6,0)),"")="","",IF(B3896&gt;=IFERROR(INDEX(parametros!$H$2:$H$6,MATCH(C3896,parametros!$B$2:$B$6,0)),""),"Sim","Nao"))))))</f>
        <v/>
      </c>
      <c r="T3896" s="156"/>
      <c r="U3896" s="214" t="str">
        <f t="shared" si="306"/>
        <v/>
      </c>
      <c r="V3896" s="212" t="s">
        <v>50</v>
      </c>
      <c r="W3896" s="100" t="s">
        <v>168</v>
      </c>
      <c r="X3896" s="100" t="s">
        <v>169</v>
      </c>
      <c r="Y3896" s="101" t="s">
        <v>170</v>
      </c>
      <c r="Z3896" s="101" t="s">
        <v>171</v>
      </c>
      <c r="AA3896" s="101" t="s">
        <v>50</v>
      </c>
      <c r="AB3896" s="101" t="s">
        <v>172</v>
      </c>
      <c r="AC3896" s="102" t="s">
        <v>173</v>
      </c>
    </row>
    <row r="3897" spans="1:29" ht="25.5" customHeight="1" x14ac:dyDescent="0.35">
      <c r="A3897" s="392"/>
      <c r="B3897" s="393"/>
      <c r="C3897" s="99" t="str">
        <f>IF(B3897="","",IF(NOT(ISNUMBER(B3897)),"DATA_PC invalida",IF(NOT(ISNUMBER(parametros!$C$2)),"Fora dos ciclos",IF(OR(B3897&lt;parametros!$C$2,(YEAR(B3897)-YEAR(parametros!$C$2))*12+MONTH(B3897)-MONTH(parametros!$C$2)&gt;59),"Fora dos ciclos","C"&amp;INT(((YEAR(B3897)-YEAR(parametros!$C$2))*12+MONTH(B3897)-MONTH(parametros!$C$2))/12)))))</f>
        <v/>
      </c>
      <c r="D3897" s="394"/>
      <c r="E3897" s="78" t="str">
        <f>IF(C3897="","",IFERROR(VLOOKUP(C3897,parametros!$A$11:$E$15,5,0),""))</f>
        <v/>
      </c>
      <c r="F3897" s="79" t="str">
        <f t="shared" si="302"/>
        <v/>
      </c>
      <c r="G3897" s="395"/>
      <c r="H3897" s="91">
        <f t="shared" si="303"/>
        <v>0</v>
      </c>
      <c r="I3897" s="91" t="str">
        <f t="shared" si="304"/>
        <v/>
      </c>
      <c r="J3897" s="91" t="str">
        <f t="shared" si="305"/>
        <v/>
      </c>
      <c r="K3897" s="92" t="str">
        <f>IF(AND(A3897="",B3897="",D3897="",G3897=""),"",IF(AND(A3897&lt;&gt;"",COUNTIF($A$2:$A$5001,A3897)&gt;1),"NUMERO_PC duplicado",IF(B3897="","DATA_PC vazia",IF(NOT(ISNUMBER(B3897)),"DATA_PC invalida",IF(OR(C3897="",C3897="Fora dos ciclos"),"CICLO_PC nao identificado",IF(OR(D3897="",D3897=0),"VALOR_PC vazio ou zero",IF(AND(G3897&lt;&gt;"Sim",G3897&lt;&gt;"Nao",G3897&lt;&gt;""),"PC_PAGO_A_CONTRATADA invalido",IF(AND(C3897&lt;&gt;"C0",IFERROR(INDEX(parametros!$A$2:$A$6,MATCH(C3897,parametros!$B$2:$B$6,0)),"")="Sim",IFERROR(INDEX(parametros!$H$2:$H$6,MATCH(C3897,parametros!$B$2:$B$6,0)),"")=""),"INICIO_EFEITO ausente: PC "&amp;A3897&amp;" - "&amp;C3897,IF(L3897="","EFEITO_PC nao calculado: PC "&amp;A3897&amp;" - "&amp;C3897,"OK")))))))))</f>
        <v/>
      </c>
      <c r="L3897" s="92" t="str">
        <f>IF(AND(A3897="",B3897="",D3897="",G3897=""),"",IF(OR(B3897="",NOT(ISNUMBER(B3897)),C3897="",C3897="Fora dos ciclos"),"",IF(C3897="C0","Nao",IF(IFERROR(INDEX(parametros!$A$2:$A$6,MATCH(C3897,parametros!$B$2:$B$6,0)),"")&lt;&gt;"Sim","Nao",IF(IFERROR(INDEX(parametros!$H$2:$H$6,MATCH(C3897,parametros!$B$2:$B$6,0)),"")="","",IF(B3897&gt;=IFERROR(INDEX(parametros!$H$2:$H$6,MATCH(C3897,parametros!$B$2:$B$6,0)),""),"Sim","Nao"))))))</f>
        <v/>
      </c>
      <c r="T3897" s="156"/>
      <c r="U3897" s="214" t="str">
        <f t="shared" si="306"/>
        <v/>
      </c>
      <c r="V3897" s="212" t="s">
        <v>50</v>
      </c>
      <c r="W3897" s="100" t="s">
        <v>168</v>
      </c>
      <c r="X3897" s="100" t="s">
        <v>169</v>
      </c>
      <c r="Y3897" s="101" t="s">
        <v>170</v>
      </c>
      <c r="Z3897" s="101" t="s">
        <v>171</v>
      </c>
      <c r="AA3897" s="101" t="s">
        <v>50</v>
      </c>
      <c r="AB3897" s="101" t="s">
        <v>172</v>
      </c>
      <c r="AC3897" s="102" t="s">
        <v>173</v>
      </c>
    </row>
    <row r="3898" spans="1:29" ht="25.5" customHeight="1" x14ac:dyDescent="0.35">
      <c r="A3898" s="392"/>
      <c r="B3898" s="393"/>
      <c r="C3898" s="99" t="str">
        <f>IF(B3898="","",IF(NOT(ISNUMBER(B3898)),"DATA_PC invalida",IF(NOT(ISNUMBER(parametros!$C$2)),"Fora dos ciclos",IF(OR(B3898&lt;parametros!$C$2,(YEAR(B3898)-YEAR(parametros!$C$2))*12+MONTH(B3898)-MONTH(parametros!$C$2)&gt;59),"Fora dos ciclos","C"&amp;INT(((YEAR(B3898)-YEAR(parametros!$C$2))*12+MONTH(B3898)-MONTH(parametros!$C$2))/12)))))</f>
        <v/>
      </c>
      <c r="D3898" s="394"/>
      <c r="E3898" s="78" t="str">
        <f>IF(C3898="","",IFERROR(VLOOKUP(C3898,parametros!$A$11:$E$15,5,0),""))</f>
        <v/>
      </c>
      <c r="F3898" s="79" t="str">
        <f t="shared" si="302"/>
        <v/>
      </c>
      <c r="G3898" s="395"/>
      <c r="H3898" s="91">
        <f t="shared" si="303"/>
        <v>0</v>
      </c>
      <c r="I3898" s="91" t="str">
        <f t="shared" si="304"/>
        <v/>
      </c>
      <c r="J3898" s="91" t="str">
        <f t="shared" si="305"/>
        <v/>
      </c>
      <c r="K3898" s="92" t="str">
        <f>IF(AND(A3898="",B3898="",D3898="",G3898=""),"",IF(AND(A3898&lt;&gt;"",COUNTIF($A$2:$A$5001,A3898)&gt;1),"NUMERO_PC duplicado",IF(B3898="","DATA_PC vazia",IF(NOT(ISNUMBER(B3898)),"DATA_PC invalida",IF(OR(C3898="",C3898="Fora dos ciclos"),"CICLO_PC nao identificado",IF(OR(D3898="",D3898=0),"VALOR_PC vazio ou zero",IF(AND(G3898&lt;&gt;"Sim",G3898&lt;&gt;"Nao",G3898&lt;&gt;""),"PC_PAGO_A_CONTRATADA invalido",IF(AND(C3898&lt;&gt;"C0",IFERROR(INDEX(parametros!$A$2:$A$6,MATCH(C3898,parametros!$B$2:$B$6,0)),"")="Sim",IFERROR(INDEX(parametros!$H$2:$H$6,MATCH(C3898,parametros!$B$2:$B$6,0)),"")=""),"INICIO_EFEITO ausente: PC "&amp;A3898&amp;" - "&amp;C3898,IF(L3898="","EFEITO_PC nao calculado: PC "&amp;A3898&amp;" - "&amp;C3898,"OK")))))))))</f>
        <v/>
      </c>
      <c r="L3898" s="92" t="str">
        <f>IF(AND(A3898="",B3898="",D3898="",G3898=""),"",IF(OR(B3898="",NOT(ISNUMBER(B3898)),C3898="",C3898="Fora dos ciclos"),"",IF(C3898="C0","Nao",IF(IFERROR(INDEX(parametros!$A$2:$A$6,MATCH(C3898,parametros!$B$2:$B$6,0)),"")&lt;&gt;"Sim","Nao",IF(IFERROR(INDEX(parametros!$H$2:$H$6,MATCH(C3898,parametros!$B$2:$B$6,0)),"")="","",IF(B3898&gt;=IFERROR(INDEX(parametros!$H$2:$H$6,MATCH(C3898,parametros!$B$2:$B$6,0)),""),"Sim","Nao"))))))</f>
        <v/>
      </c>
      <c r="T3898" s="156"/>
      <c r="U3898" s="214" t="str">
        <f t="shared" si="306"/>
        <v/>
      </c>
      <c r="V3898" s="212" t="s">
        <v>50</v>
      </c>
      <c r="W3898" s="100" t="s">
        <v>168</v>
      </c>
      <c r="X3898" s="100" t="s">
        <v>169</v>
      </c>
      <c r="Y3898" s="101" t="s">
        <v>170</v>
      </c>
      <c r="Z3898" s="101" t="s">
        <v>171</v>
      </c>
      <c r="AA3898" s="101" t="s">
        <v>50</v>
      </c>
      <c r="AB3898" s="101" t="s">
        <v>172</v>
      </c>
      <c r="AC3898" s="102" t="s">
        <v>173</v>
      </c>
    </row>
    <row r="3899" spans="1:29" ht="25.5" customHeight="1" x14ac:dyDescent="0.35">
      <c r="A3899" s="392"/>
      <c r="B3899" s="393"/>
      <c r="C3899" s="99" t="str">
        <f>IF(B3899="","",IF(NOT(ISNUMBER(B3899)),"DATA_PC invalida",IF(NOT(ISNUMBER(parametros!$C$2)),"Fora dos ciclos",IF(OR(B3899&lt;parametros!$C$2,(YEAR(B3899)-YEAR(parametros!$C$2))*12+MONTH(B3899)-MONTH(parametros!$C$2)&gt;59),"Fora dos ciclos","C"&amp;INT(((YEAR(B3899)-YEAR(parametros!$C$2))*12+MONTH(B3899)-MONTH(parametros!$C$2))/12)))))</f>
        <v/>
      </c>
      <c r="D3899" s="394"/>
      <c r="E3899" s="78" t="str">
        <f>IF(C3899="","",IFERROR(VLOOKUP(C3899,parametros!$A$11:$E$15,5,0),""))</f>
        <v/>
      </c>
      <c r="F3899" s="79" t="str">
        <f t="shared" si="302"/>
        <v/>
      </c>
      <c r="G3899" s="395"/>
      <c r="H3899" s="91">
        <f t="shared" si="303"/>
        <v>0</v>
      </c>
      <c r="I3899" s="91" t="str">
        <f t="shared" si="304"/>
        <v/>
      </c>
      <c r="J3899" s="91" t="str">
        <f t="shared" si="305"/>
        <v/>
      </c>
      <c r="K3899" s="92" t="str">
        <f>IF(AND(A3899="",B3899="",D3899="",G3899=""),"",IF(AND(A3899&lt;&gt;"",COUNTIF($A$2:$A$5001,A3899)&gt;1),"NUMERO_PC duplicado",IF(B3899="","DATA_PC vazia",IF(NOT(ISNUMBER(B3899)),"DATA_PC invalida",IF(OR(C3899="",C3899="Fora dos ciclos"),"CICLO_PC nao identificado",IF(OR(D3899="",D3899=0),"VALOR_PC vazio ou zero",IF(AND(G3899&lt;&gt;"Sim",G3899&lt;&gt;"Nao",G3899&lt;&gt;""),"PC_PAGO_A_CONTRATADA invalido",IF(AND(C3899&lt;&gt;"C0",IFERROR(INDEX(parametros!$A$2:$A$6,MATCH(C3899,parametros!$B$2:$B$6,0)),"")="Sim",IFERROR(INDEX(parametros!$H$2:$H$6,MATCH(C3899,parametros!$B$2:$B$6,0)),"")=""),"INICIO_EFEITO ausente: PC "&amp;A3899&amp;" - "&amp;C3899,IF(L3899="","EFEITO_PC nao calculado: PC "&amp;A3899&amp;" - "&amp;C3899,"OK")))))))))</f>
        <v/>
      </c>
      <c r="L3899" s="92" t="str">
        <f>IF(AND(A3899="",B3899="",D3899="",G3899=""),"",IF(OR(B3899="",NOT(ISNUMBER(B3899)),C3899="",C3899="Fora dos ciclos"),"",IF(C3899="C0","Nao",IF(IFERROR(INDEX(parametros!$A$2:$A$6,MATCH(C3899,parametros!$B$2:$B$6,0)),"")&lt;&gt;"Sim","Nao",IF(IFERROR(INDEX(parametros!$H$2:$H$6,MATCH(C3899,parametros!$B$2:$B$6,0)),"")="","",IF(B3899&gt;=IFERROR(INDEX(parametros!$H$2:$H$6,MATCH(C3899,parametros!$B$2:$B$6,0)),""),"Sim","Nao"))))))</f>
        <v/>
      </c>
      <c r="T3899" s="156"/>
      <c r="U3899" s="214" t="str">
        <f t="shared" si="306"/>
        <v/>
      </c>
      <c r="V3899" s="212" t="s">
        <v>50</v>
      </c>
      <c r="W3899" s="100" t="s">
        <v>168</v>
      </c>
      <c r="X3899" s="100" t="s">
        <v>169</v>
      </c>
      <c r="Y3899" s="101" t="s">
        <v>170</v>
      </c>
      <c r="Z3899" s="101" t="s">
        <v>171</v>
      </c>
      <c r="AA3899" s="101" t="s">
        <v>50</v>
      </c>
      <c r="AB3899" s="101" t="s">
        <v>172</v>
      </c>
      <c r="AC3899" s="102" t="s">
        <v>173</v>
      </c>
    </row>
    <row r="3900" spans="1:29" ht="25.5" customHeight="1" x14ac:dyDescent="0.35">
      <c r="A3900" s="392"/>
      <c r="B3900" s="393"/>
      <c r="C3900" s="99" t="str">
        <f>IF(B3900="","",IF(NOT(ISNUMBER(B3900)),"DATA_PC invalida",IF(NOT(ISNUMBER(parametros!$C$2)),"Fora dos ciclos",IF(OR(B3900&lt;parametros!$C$2,(YEAR(B3900)-YEAR(parametros!$C$2))*12+MONTH(B3900)-MONTH(parametros!$C$2)&gt;59),"Fora dos ciclos","C"&amp;INT(((YEAR(B3900)-YEAR(parametros!$C$2))*12+MONTH(B3900)-MONTH(parametros!$C$2))/12)))))</f>
        <v/>
      </c>
      <c r="D3900" s="394"/>
      <c r="E3900" s="78" t="str">
        <f>IF(C3900="","",IFERROR(VLOOKUP(C3900,parametros!$A$11:$E$15,5,0),""))</f>
        <v/>
      </c>
      <c r="F3900" s="79" t="str">
        <f t="shared" si="302"/>
        <v/>
      </c>
      <c r="G3900" s="395"/>
      <c r="H3900" s="91">
        <f t="shared" si="303"/>
        <v>0</v>
      </c>
      <c r="I3900" s="91" t="str">
        <f t="shared" si="304"/>
        <v/>
      </c>
      <c r="J3900" s="91" t="str">
        <f t="shared" si="305"/>
        <v/>
      </c>
      <c r="K3900" s="92" t="str">
        <f>IF(AND(A3900="",B3900="",D3900="",G3900=""),"",IF(AND(A3900&lt;&gt;"",COUNTIF($A$2:$A$5001,A3900)&gt;1),"NUMERO_PC duplicado",IF(B3900="","DATA_PC vazia",IF(NOT(ISNUMBER(B3900)),"DATA_PC invalida",IF(OR(C3900="",C3900="Fora dos ciclos"),"CICLO_PC nao identificado",IF(OR(D3900="",D3900=0),"VALOR_PC vazio ou zero",IF(AND(G3900&lt;&gt;"Sim",G3900&lt;&gt;"Nao",G3900&lt;&gt;""),"PC_PAGO_A_CONTRATADA invalido",IF(AND(C3900&lt;&gt;"C0",IFERROR(INDEX(parametros!$A$2:$A$6,MATCH(C3900,parametros!$B$2:$B$6,0)),"")="Sim",IFERROR(INDEX(parametros!$H$2:$H$6,MATCH(C3900,parametros!$B$2:$B$6,0)),"")=""),"INICIO_EFEITO ausente: PC "&amp;A3900&amp;" - "&amp;C3900,IF(L3900="","EFEITO_PC nao calculado: PC "&amp;A3900&amp;" - "&amp;C3900,"OK")))))))))</f>
        <v/>
      </c>
      <c r="L3900" s="92" t="str">
        <f>IF(AND(A3900="",B3900="",D3900="",G3900=""),"",IF(OR(B3900="",NOT(ISNUMBER(B3900)),C3900="",C3900="Fora dos ciclos"),"",IF(C3900="C0","Nao",IF(IFERROR(INDEX(parametros!$A$2:$A$6,MATCH(C3900,parametros!$B$2:$B$6,0)),"")&lt;&gt;"Sim","Nao",IF(IFERROR(INDEX(parametros!$H$2:$H$6,MATCH(C3900,parametros!$B$2:$B$6,0)),"")="","",IF(B3900&gt;=IFERROR(INDEX(parametros!$H$2:$H$6,MATCH(C3900,parametros!$B$2:$B$6,0)),""),"Sim","Nao"))))))</f>
        <v/>
      </c>
      <c r="T3900" s="156"/>
      <c r="U3900" s="214" t="str">
        <f t="shared" si="306"/>
        <v/>
      </c>
      <c r="V3900" s="212" t="s">
        <v>50</v>
      </c>
      <c r="W3900" s="100" t="s">
        <v>168</v>
      </c>
      <c r="X3900" s="100" t="s">
        <v>169</v>
      </c>
      <c r="Y3900" s="101" t="s">
        <v>170</v>
      </c>
      <c r="Z3900" s="101" t="s">
        <v>171</v>
      </c>
      <c r="AA3900" s="101" t="s">
        <v>50</v>
      </c>
      <c r="AB3900" s="101" t="s">
        <v>172</v>
      </c>
      <c r="AC3900" s="102" t="s">
        <v>173</v>
      </c>
    </row>
    <row r="3901" spans="1:29" ht="25.5" customHeight="1" x14ac:dyDescent="0.35">
      <c r="A3901" s="392"/>
      <c r="B3901" s="393"/>
      <c r="C3901" s="99" t="str">
        <f>IF(B3901="","",IF(NOT(ISNUMBER(B3901)),"DATA_PC invalida",IF(NOT(ISNUMBER(parametros!$C$2)),"Fora dos ciclos",IF(OR(B3901&lt;parametros!$C$2,(YEAR(B3901)-YEAR(parametros!$C$2))*12+MONTH(B3901)-MONTH(parametros!$C$2)&gt;59),"Fora dos ciclos","C"&amp;INT(((YEAR(B3901)-YEAR(parametros!$C$2))*12+MONTH(B3901)-MONTH(parametros!$C$2))/12)))))</f>
        <v/>
      </c>
      <c r="D3901" s="394"/>
      <c r="E3901" s="78" t="str">
        <f>IF(C3901="","",IFERROR(VLOOKUP(C3901,parametros!$A$11:$E$15,5,0),""))</f>
        <v/>
      </c>
      <c r="F3901" s="79" t="str">
        <f t="shared" si="302"/>
        <v/>
      </c>
      <c r="G3901" s="395"/>
      <c r="H3901" s="91">
        <f t="shared" si="303"/>
        <v>0</v>
      </c>
      <c r="I3901" s="91" t="str">
        <f t="shared" si="304"/>
        <v/>
      </c>
      <c r="J3901" s="91" t="str">
        <f t="shared" si="305"/>
        <v/>
      </c>
      <c r="K3901" s="92" t="str">
        <f>IF(AND(A3901="",B3901="",D3901="",G3901=""),"",IF(AND(A3901&lt;&gt;"",COUNTIF($A$2:$A$5001,A3901)&gt;1),"NUMERO_PC duplicado",IF(B3901="","DATA_PC vazia",IF(NOT(ISNUMBER(B3901)),"DATA_PC invalida",IF(OR(C3901="",C3901="Fora dos ciclos"),"CICLO_PC nao identificado",IF(OR(D3901="",D3901=0),"VALOR_PC vazio ou zero",IF(AND(G3901&lt;&gt;"Sim",G3901&lt;&gt;"Nao",G3901&lt;&gt;""),"PC_PAGO_A_CONTRATADA invalido",IF(AND(C3901&lt;&gt;"C0",IFERROR(INDEX(parametros!$A$2:$A$6,MATCH(C3901,parametros!$B$2:$B$6,0)),"")="Sim",IFERROR(INDEX(parametros!$H$2:$H$6,MATCH(C3901,parametros!$B$2:$B$6,0)),"")=""),"INICIO_EFEITO ausente: PC "&amp;A3901&amp;" - "&amp;C3901,IF(L3901="","EFEITO_PC nao calculado: PC "&amp;A3901&amp;" - "&amp;C3901,"OK")))))))))</f>
        <v/>
      </c>
      <c r="L3901" s="92" t="str">
        <f>IF(AND(A3901="",B3901="",D3901="",G3901=""),"",IF(OR(B3901="",NOT(ISNUMBER(B3901)),C3901="",C3901="Fora dos ciclos"),"",IF(C3901="C0","Nao",IF(IFERROR(INDEX(parametros!$A$2:$A$6,MATCH(C3901,parametros!$B$2:$B$6,0)),"")&lt;&gt;"Sim","Nao",IF(IFERROR(INDEX(parametros!$H$2:$H$6,MATCH(C3901,parametros!$B$2:$B$6,0)),"")="","",IF(B3901&gt;=IFERROR(INDEX(parametros!$H$2:$H$6,MATCH(C3901,parametros!$B$2:$B$6,0)),""),"Sim","Nao"))))))</f>
        <v/>
      </c>
      <c r="T3901" s="156"/>
      <c r="U3901" s="214" t="str">
        <f t="shared" si="306"/>
        <v/>
      </c>
      <c r="V3901" s="212" t="s">
        <v>50</v>
      </c>
      <c r="W3901" s="100" t="s">
        <v>168</v>
      </c>
      <c r="X3901" s="100" t="s">
        <v>169</v>
      </c>
      <c r="Y3901" s="101" t="s">
        <v>170</v>
      </c>
      <c r="Z3901" s="101" t="s">
        <v>171</v>
      </c>
      <c r="AA3901" s="101" t="s">
        <v>50</v>
      </c>
      <c r="AB3901" s="101" t="s">
        <v>172</v>
      </c>
      <c r="AC3901" s="102" t="s">
        <v>173</v>
      </c>
    </row>
    <row r="3902" spans="1:29" ht="25.5" customHeight="1" x14ac:dyDescent="0.35">
      <c r="A3902" s="392"/>
      <c r="B3902" s="393"/>
      <c r="C3902" s="99" t="str">
        <f>IF(B3902="","",IF(NOT(ISNUMBER(B3902)),"DATA_PC invalida",IF(NOT(ISNUMBER(parametros!$C$2)),"Fora dos ciclos",IF(OR(B3902&lt;parametros!$C$2,(YEAR(B3902)-YEAR(parametros!$C$2))*12+MONTH(B3902)-MONTH(parametros!$C$2)&gt;59),"Fora dos ciclos","C"&amp;INT(((YEAR(B3902)-YEAR(parametros!$C$2))*12+MONTH(B3902)-MONTH(parametros!$C$2))/12)))))</f>
        <v/>
      </c>
      <c r="D3902" s="394"/>
      <c r="E3902" s="78" t="str">
        <f>IF(C3902="","",IFERROR(VLOOKUP(C3902,parametros!$A$11:$E$15,5,0),""))</f>
        <v/>
      </c>
      <c r="F3902" s="79" t="str">
        <f t="shared" si="302"/>
        <v/>
      </c>
      <c r="G3902" s="395"/>
      <c r="H3902" s="91">
        <f t="shared" si="303"/>
        <v>0</v>
      </c>
      <c r="I3902" s="91" t="str">
        <f t="shared" si="304"/>
        <v/>
      </c>
      <c r="J3902" s="91" t="str">
        <f t="shared" si="305"/>
        <v/>
      </c>
      <c r="K3902" s="92" t="str">
        <f>IF(AND(A3902="",B3902="",D3902="",G3902=""),"",IF(AND(A3902&lt;&gt;"",COUNTIF($A$2:$A$5001,A3902)&gt;1),"NUMERO_PC duplicado",IF(B3902="","DATA_PC vazia",IF(NOT(ISNUMBER(B3902)),"DATA_PC invalida",IF(OR(C3902="",C3902="Fora dos ciclos"),"CICLO_PC nao identificado",IF(OR(D3902="",D3902=0),"VALOR_PC vazio ou zero",IF(AND(G3902&lt;&gt;"Sim",G3902&lt;&gt;"Nao",G3902&lt;&gt;""),"PC_PAGO_A_CONTRATADA invalido",IF(AND(C3902&lt;&gt;"C0",IFERROR(INDEX(parametros!$A$2:$A$6,MATCH(C3902,parametros!$B$2:$B$6,0)),"")="Sim",IFERROR(INDEX(parametros!$H$2:$H$6,MATCH(C3902,parametros!$B$2:$B$6,0)),"")=""),"INICIO_EFEITO ausente: PC "&amp;A3902&amp;" - "&amp;C3902,IF(L3902="","EFEITO_PC nao calculado: PC "&amp;A3902&amp;" - "&amp;C3902,"OK")))))))))</f>
        <v/>
      </c>
      <c r="L3902" s="92" t="str">
        <f>IF(AND(A3902="",B3902="",D3902="",G3902=""),"",IF(OR(B3902="",NOT(ISNUMBER(B3902)),C3902="",C3902="Fora dos ciclos"),"",IF(C3902="C0","Nao",IF(IFERROR(INDEX(parametros!$A$2:$A$6,MATCH(C3902,parametros!$B$2:$B$6,0)),"")&lt;&gt;"Sim","Nao",IF(IFERROR(INDEX(parametros!$H$2:$H$6,MATCH(C3902,parametros!$B$2:$B$6,0)),"")="","",IF(B3902&gt;=IFERROR(INDEX(parametros!$H$2:$H$6,MATCH(C3902,parametros!$B$2:$B$6,0)),""),"Sim","Nao"))))))</f>
        <v/>
      </c>
      <c r="T3902" s="156"/>
      <c r="U3902" s="214" t="str">
        <f t="shared" si="306"/>
        <v/>
      </c>
      <c r="V3902" s="212" t="s">
        <v>50</v>
      </c>
      <c r="W3902" s="100" t="s">
        <v>168</v>
      </c>
      <c r="X3902" s="100" t="s">
        <v>169</v>
      </c>
      <c r="Y3902" s="101" t="s">
        <v>170</v>
      </c>
      <c r="Z3902" s="101" t="s">
        <v>171</v>
      </c>
      <c r="AA3902" s="101" t="s">
        <v>50</v>
      </c>
      <c r="AB3902" s="101" t="s">
        <v>172</v>
      </c>
      <c r="AC3902" s="102" t="s">
        <v>173</v>
      </c>
    </row>
    <row r="3903" spans="1:29" ht="25.5" customHeight="1" x14ac:dyDescent="0.35">
      <c r="A3903" s="392"/>
      <c r="B3903" s="393"/>
      <c r="C3903" s="99" t="str">
        <f>IF(B3903="","",IF(NOT(ISNUMBER(B3903)),"DATA_PC invalida",IF(NOT(ISNUMBER(parametros!$C$2)),"Fora dos ciclos",IF(OR(B3903&lt;parametros!$C$2,(YEAR(B3903)-YEAR(parametros!$C$2))*12+MONTH(B3903)-MONTH(parametros!$C$2)&gt;59),"Fora dos ciclos","C"&amp;INT(((YEAR(B3903)-YEAR(parametros!$C$2))*12+MONTH(B3903)-MONTH(parametros!$C$2))/12)))))</f>
        <v/>
      </c>
      <c r="D3903" s="394"/>
      <c r="E3903" s="78" t="str">
        <f>IF(C3903="","",IFERROR(VLOOKUP(C3903,parametros!$A$11:$E$15,5,0),""))</f>
        <v/>
      </c>
      <c r="F3903" s="79" t="str">
        <f t="shared" si="302"/>
        <v/>
      </c>
      <c r="G3903" s="395"/>
      <c r="H3903" s="91">
        <f t="shared" si="303"/>
        <v>0</v>
      </c>
      <c r="I3903" s="91" t="str">
        <f t="shared" si="304"/>
        <v/>
      </c>
      <c r="J3903" s="91" t="str">
        <f t="shared" si="305"/>
        <v/>
      </c>
      <c r="K3903" s="92" t="str">
        <f>IF(AND(A3903="",B3903="",D3903="",G3903=""),"",IF(AND(A3903&lt;&gt;"",COUNTIF($A$2:$A$5001,A3903)&gt;1),"NUMERO_PC duplicado",IF(B3903="","DATA_PC vazia",IF(NOT(ISNUMBER(B3903)),"DATA_PC invalida",IF(OR(C3903="",C3903="Fora dos ciclos"),"CICLO_PC nao identificado",IF(OR(D3903="",D3903=0),"VALOR_PC vazio ou zero",IF(AND(G3903&lt;&gt;"Sim",G3903&lt;&gt;"Nao",G3903&lt;&gt;""),"PC_PAGO_A_CONTRATADA invalido",IF(AND(C3903&lt;&gt;"C0",IFERROR(INDEX(parametros!$A$2:$A$6,MATCH(C3903,parametros!$B$2:$B$6,0)),"")="Sim",IFERROR(INDEX(parametros!$H$2:$H$6,MATCH(C3903,parametros!$B$2:$B$6,0)),"")=""),"INICIO_EFEITO ausente: PC "&amp;A3903&amp;" - "&amp;C3903,IF(L3903="","EFEITO_PC nao calculado: PC "&amp;A3903&amp;" - "&amp;C3903,"OK")))))))))</f>
        <v/>
      </c>
      <c r="L3903" s="92" t="str">
        <f>IF(AND(A3903="",B3903="",D3903="",G3903=""),"",IF(OR(B3903="",NOT(ISNUMBER(B3903)),C3903="",C3903="Fora dos ciclos"),"",IF(C3903="C0","Nao",IF(IFERROR(INDEX(parametros!$A$2:$A$6,MATCH(C3903,parametros!$B$2:$B$6,0)),"")&lt;&gt;"Sim","Nao",IF(IFERROR(INDEX(parametros!$H$2:$H$6,MATCH(C3903,parametros!$B$2:$B$6,0)),"")="","",IF(B3903&gt;=IFERROR(INDEX(parametros!$H$2:$H$6,MATCH(C3903,parametros!$B$2:$B$6,0)),""),"Sim","Nao"))))))</f>
        <v/>
      </c>
      <c r="T3903" s="156"/>
      <c r="U3903" s="214" t="str">
        <f t="shared" si="306"/>
        <v/>
      </c>
      <c r="V3903" s="212" t="s">
        <v>50</v>
      </c>
      <c r="W3903" s="100" t="s">
        <v>168</v>
      </c>
      <c r="X3903" s="100" t="s">
        <v>169</v>
      </c>
      <c r="Y3903" s="101" t="s">
        <v>170</v>
      </c>
      <c r="Z3903" s="101" t="s">
        <v>171</v>
      </c>
      <c r="AA3903" s="101" t="s">
        <v>50</v>
      </c>
      <c r="AB3903" s="101" t="s">
        <v>172</v>
      </c>
      <c r="AC3903" s="102" t="s">
        <v>173</v>
      </c>
    </row>
    <row r="3904" spans="1:29" ht="25.5" customHeight="1" x14ac:dyDescent="0.35">
      <c r="A3904" s="392"/>
      <c r="B3904" s="393"/>
      <c r="C3904" s="99" t="str">
        <f>IF(B3904="","",IF(NOT(ISNUMBER(B3904)),"DATA_PC invalida",IF(NOT(ISNUMBER(parametros!$C$2)),"Fora dos ciclos",IF(OR(B3904&lt;parametros!$C$2,(YEAR(B3904)-YEAR(parametros!$C$2))*12+MONTH(B3904)-MONTH(parametros!$C$2)&gt;59),"Fora dos ciclos","C"&amp;INT(((YEAR(B3904)-YEAR(parametros!$C$2))*12+MONTH(B3904)-MONTH(parametros!$C$2))/12)))))</f>
        <v/>
      </c>
      <c r="D3904" s="394"/>
      <c r="E3904" s="78" t="str">
        <f>IF(C3904="","",IFERROR(VLOOKUP(C3904,parametros!$A$11:$E$15,5,0),""))</f>
        <v/>
      </c>
      <c r="F3904" s="79" t="str">
        <f t="shared" si="302"/>
        <v/>
      </c>
      <c r="G3904" s="395"/>
      <c r="H3904" s="91">
        <f t="shared" si="303"/>
        <v>0</v>
      </c>
      <c r="I3904" s="91" t="str">
        <f t="shared" si="304"/>
        <v/>
      </c>
      <c r="J3904" s="91" t="str">
        <f t="shared" si="305"/>
        <v/>
      </c>
      <c r="K3904" s="92" t="str">
        <f>IF(AND(A3904="",B3904="",D3904="",G3904=""),"",IF(AND(A3904&lt;&gt;"",COUNTIF($A$2:$A$5001,A3904)&gt;1),"NUMERO_PC duplicado",IF(B3904="","DATA_PC vazia",IF(NOT(ISNUMBER(B3904)),"DATA_PC invalida",IF(OR(C3904="",C3904="Fora dos ciclos"),"CICLO_PC nao identificado",IF(OR(D3904="",D3904=0),"VALOR_PC vazio ou zero",IF(AND(G3904&lt;&gt;"Sim",G3904&lt;&gt;"Nao",G3904&lt;&gt;""),"PC_PAGO_A_CONTRATADA invalido",IF(AND(C3904&lt;&gt;"C0",IFERROR(INDEX(parametros!$A$2:$A$6,MATCH(C3904,parametros!$B$2:$B$6,0)),"")="Sim",IFERROR(INDEX(parametros!$H$2:$H$6,MATCH(C3904,parametros!$B$2:$B$6,0)),"")=""),"INICIO_EFEITO ausente: PC "&amp;A3904&amp;" - "&amp;C3904,IF(L3904="","EFEITO_PC nao calculado: PC "&amp;A3904&amp;" - "&amp;C3904,"OK")))))))))</f>
        <v/>
      </c>
      <c r="L3904" s="92" t="str">
        <f>IF(AND(A3904="",B3904="",D3904="",G3904=""),"",IF(OR(B3904="",NOT(ISNUMBER(B3904)),C3904="",C3904="Fora dos ciclos"),"",IF(C3904="C0","Nao",IF(IFERROR(INDEX(parametros!$A$2:$A$6,MATCH(C3904,parametros!$B$2:$B$6,0)),"")&lt;&gt;"Sim","Nao",IF(IFERROR(INDEX(parametros!$H$2:$H$6,MATCH(C3904,parametros!$B$2:$B$6,0)),"")="","",IF(B3904&gt;=IFERROR(INDEX(parametros!$H$2:$H$6,MATCH(C3904,parametros!$B$2:$B$6,0)),""),"Sim","Nao"))))))</f>
        <v/>
      </c>
      <c r="T3904" s="156"/>
      <c r="U3904" s="214" t="str">
        <f t="shared" si="306"/>
        <v/>
      </c>
      <c r="V3904" s="212" t="s">
        <v>50</v>
      </c>
      <c r="W3904" s="100" t="s">
        <v>168</v>
      </c>
      <c r="X3904" s="100" t="s">
        <v>169</v>
      </c>
      <c r="Y3904" s="101" t="s">
        <v>170</v>
      </c>
      <c r="Z3904" s="101" t="s">
        <v>171</v>
      </c>
      <c r="AA3904" s="101" t="s">
        <v>50</v>
      </c>
      <c r="AB3904" s="101" t="s">
        <v>172</v>
      </c>
      <c r="AC3904" s="102" t="s">
        <v>173</v>
      </c>
    </row>
    <row r="3905" spans="1:29" ht="25.5" customHeight="1" x14ac:dyDescent="0.35">
      <c r="A3905" s="392"/>
      <c r="B3905" s="393"/>
      <c r="C3905" s="99" t="str">
        <f>IF(B3905="","",IF(NOT(ISNUMBER(B3905)),"DATA_PC invalida",IF(NOT(ISNUMBER(parametros!$C$2)),"Fora dos ciclos",IF(OR(B3905&lt;parametros!$C$2,(YEAR(B3905)-YEAR(parametros!$C$2))*12+MONTH(B3905)-MONTH(parametros!$C$2)&gt;59),"Fora dos ciclos","C"&amp;INT(((YEAR(B3905)-YEAR(parametros!$C$2))*12+MONTH(B3905)-MONTH(parametros!$C$2))/12)))))</f>
        <v/>
      </c>
      <c r="D3905" s="394"/>
      <c r="E3905" s="78" t="str">
        <f>IF(C3905="","",IFERROR(VLOOKUP(C3905,parametros!$A$11:$E$15,5,0),""))</f>
        <v/>
      </c>
      <c r="F3905" s="79" t="str">
        <f t="shared" si="302"/>
        <v/>
      </c>
      <c r="G3905" s="395"/>
      <c r="H3905" s="91">
        <f t="shared" si="303"/>
        <v>0</v>
      </c>
      <c r="I3905" s="91" t="str">
        <f t="shared" si="304"/>
        <v/>
      </c>
      <c r="J3905" s="91" t="str">
        <f t="shared" si="305"/>
        <v/>
      </c>
      <c r="K3905" s="92" t="str">
        <f>IF(AND(A3905="",B3905="",D3905="",G3905=""),"",IF(AND(A3905&lt;&gt;"",COUNTIF($A$2:$A$5001,A3905)&gt;1),"NUMERO_PC duplicado",IF(B3905="","DATA_PC vazia",IF(NOT(ISNUMBER(B3905)),"DATA_PC invalida",IF(OR(C3905="",C3905="Fora dos ciclos"),"CICLO_PC nao identificado",IF(OR(D3905="",D3905=0),"VALOR_PC vazio ou zero",IF(AND(G3905&lt;&gt;"Sim",G3905&lt;&gt;"Nao",G3905&lt;&gt;""),"PC_PAGO_A_CONTRATADA invalido",IF(AND(C3905&lt;&gt;"C0",IFERROR(INDEX(parametros!$A$2:$A$6,MATCH(C3905,parametros!$B$2:$B$6,0)),"")="Sim",IFERROR(INDEX(parametros!$H$2:$H$6,MATCH(C3905,parametros!$B$2:$B$6,0)),"")=""),"INICIO_EFEITO ausente: PC "&amp;A3905&amp;" - "&amp;C3905,IF(L3905="","EFEITO_PC nao calculado: PC "&amp;A3905&amp;" - "&amp;C3905,"OK")))))))))</f>
        <v/>
      </c>
      <c r="L3905" s="92" t="str">
        <f>IF(AND(A3905="",B3905="",D3905="",G3905=""),"",IF(OR(B3905="",NOT(ISNUMBER(B3905)),C3905="",C3905="Fora dos ciclos"),"",IF(C3905="C0","Nao",IF(IFERROR(INDEX(parametros!$A$2:$A$6,MATCH(C3905,parametros!$B$2:$B$6,0)),"")&lt;&gt;"Sim","Nao",IF(IFERROR(INDEX(parametros!$H$2:$H$6,MATCH(C3905,parametros!$B$2:$B$6,0)),"")="","",IF(B3905&gt;=IFERROR(INDEX(parametros!$H$2:$H$6,MATCH(C3905,parametros!$B$2:$B$6,0)),""),"Sim","Nao"))))))</f>
        <v/>
      </c>
      <c r="T3905" s="156"/>
      <c r="U3905" s="214" t="str">
        <f t="shared" si="306"/>
        <v/>
      </c>
      <c r="V3905" s="212" t="s">
        <v>50</v>
      </c>
      <c r="W3905" s="100" t="s">
        <v>168</v>
      </c>
      <c r="X3905" s="100" t="s">
        <v>169</v>
      </c>
      <c r="Y3905" s="101" t="s">
        <v>170</v>
      </c>
      <c r="Z3905" s="101" t="s">
        <v>171</v>
      </c>
      <c r="AA3905" s="101" t="s">
        <v>50</v>
      </c>
      <c r="AB3905" s="101" t="s">
        <v>172</v>
      </c>
      <c r="AC3905" s="102" t="s">
        <v>173</v>
      </c>
    </row>
    <row r="3906" spans="1:29" ht="25.5" customHeight="1" x14ac:dyDescent="0.35">
      <c r="A3906" s="392"/>
      <c r="B3906" s="393"/>
      <c r="C3906" s="99" t="str">
        <f>IF(B3906="","",IF(NOT(ISNUMBER(B3906)),"DATA_PC invalida",IF(NOT(ISNUMBER(parametros!$C$2)),"Fora dos ciclos",IF(OR(B3906&lt;parametros!$C$2,(YEAR(B3906)-YEAR(parametros!$C$2))*12+MONTH(B3906)-MONTH(parametros!$C$2)&gt;59),"Fora dos ciclos","C"&amp;INT(((YEAR(B3906)-YEAR(parametros!$C$2))*12+MONTH(B3906)-MONTH(parametros!$C$2))/12)))))</f>
        <v/>
      </c>
      <c r="D3906" s="394"/>
      <c r="E3906" s="78" t="str">
        <f>IF(C3906="","",IFERROR(VLOOKUP(C3906,parametros!$A$11:$E$15,5,0),""))</f>
        <v/>
      </c>
      <c r="F3906" s="79" t="str">
        <f t="shared" ref="F3906:F3969" si="307">IF(OR(D3906="",E3906=""),"",ROUND(D3906*E3906,2))</f>
        <v/>
      </c>
      <c r="G3906" s="395"/>
      <c r="H3906" s="91">
        <f t="shared" ref="H3906:H3969" si="308">IF(G3906="Sim",IF(OR(F3906="",D3906="",L3906=""),"",IF(L3906="Sim",ROUND(F3906-D3906,2),0)),0)</f>
        <v>0</v>
      </c>
      <c r="I3906" s="91" t="str">
        <f t="shared" ref="I3906:I3969" si="309">IF(G3906="Sim",0,IF(OR(F3906="",L3906=""),"",F3906))</f>
        <v/>
      </c>
      <c r="J3906" s="91" t="str">
        <f t="shared" ref="J3906:J3969" si="310">IF(G3906="Sim",0,IF(OR(F3906="",D3906="",L3906=""),"",IF(L3906="Sim",ROUND(F3906-D3906,2),0)))</f>
        <v/>
      </c>
      <c r="K3906" s="92" t="str">
        <f>IF(AND(A3906="",B3906="",D3906="",G3906=""),"",IF(AND(A3906&lt;&gt;"",COUNTIF($A$2:$A$5001,A3906)&gt;1),"NUMERO_PC duplicado",IF(B3906="","DATA_PC vazia",IF(NOT(ISNUMBER(B3906)),"DATA_PC invalida",IF(OR(C3906="",C3906="Fora dos ciclos"),"CICLO_PC nao identificado",IF(OR(D3906="",D3906=0),"VALOR_PC vazio ou zero",IF(AND(G3906&lt;&gt;"Sim",G3906&lt;&gt;"Nao",G3906&lt;&gt;""),"PC_PAGO_A_CONTRATADA invalido",IF(AND(C3906&lt;&gt;"C0",IFERROR(INDEX(parametros!$A$2:$A$6,MATCH(C3906,parametros!$B$2:$B$6,0)),"")="Sim",IFERROR(INDEX(parametros!$H$2:$H$6,MATCH(C3906,parametros!$B$2:$B$6,0)),"")=""),"INICIO_EFEITO ausente: PC "&amp;A3906&amp;" - "&amp;C3906,IF(L3906="","EFEITO_PC nao calculado: PC "&amp;A3906&amp;" - "&amp;C3906,"OK")))))))))</f>
        <v/>
      </c>
      <c r="L3906" s="92" t="str">
        <f>IF(AND(A3906="",B3906="",D3906="",G3906=""),"",IF(OR(B3906="",NOT(ISNUMBER(B3906)),C3906="",C3906="Fora dos ciclos"),"",IF(C3906="C0","Nao",IF(IFERROR(INDEX(parametros!$A$2:$A$6,MATCH(C3906,parametros!$B$2:$B$6,0)),"")&lt;&gt;"Sim","Nao",IF(IFERROR(INDEX(parametros!$H$2:$H$6,MATCH(C3906,parametros!$B$2:$B$6,0)),"")="","",IF(B3906&gt;=IFERROR(INDEX(parametros!$H$2:$H$6,MATCH(C3906,parametros!$B$2:$B$6,0)),""),"Sim","Nao"))))))</f>
        <v/>
      </c>
      <c r="T3906" s="156"/>
      <c r="U3906" s="214" t="str">
        <f t="shared" ref="U3906:U3969" si="311">IF(OR($D3906="",$H3906=""),"",ROUND($D3906+$H3906,2))</f>
        <v/>
      </c>
      <c r="V3906" s="212" t="s">
        <v>50</v>
      </c>
      <c r="W3906" s="100" t="s">
        <v>168</v>
      </c>
      <c r="X3906" s="100" t="s">
        <v>169</v>
      </c>
      <c r="Y3906" s="101" t="s">
        <v>170</v>
      </c>
      <c r="Z3906" s="101" t="s">
        <v>171</v>
      </c>
      <c r="AA3906" s="101" t="s">
        <v>50</v>
      </c>
      <c r="AB3906" s="101" t="s">
        <v>172</v>
      </c>
      <c r="AC3906" s="102" t="s">
        <v>173</v>
      </c>
    </row>
    <row r="3907" spans="1:29" ht="25.5" customHeight="1" x14ac:dyDescent="0.35">
      <c r="A3907" s="392"/>
      <c r="B3907" s="393"/>
      <c r="C3907" s="99" t="str">
        <f>IF(B3907="","",IF(NOT(ISNUMBER(B3907)),"DATA_PC invalida",IF(NOT(ISNUMBER(parametros!$C$2)),"Fora dos ciclos",IF(OR(B3907&lt;parametros!$C$2,(YEAR(B3907)-YEAR(parametros!$C$2))*12+MONTH(B3907)-MONTH(parametros!$C$2)&gt;59),"Fora dos ciclos","C"&amp;INT(((YEAR(B3907)-YEAR(parametros!$C$2))*12+MONTH(B3907)-MONTH(parametros!$C$2))/12)))))</f>
        <v/>
      </c>
      <c r="D3907" s="394"/>
      <c r="E3907" s="78" t="str">
        <f>IF(C3907="","",IFERROR(VLOOKUP(C3907,parametros!$A$11:$E$15,5,0),""))</f>
        <v/>
      </c>
      <c r="F3907" s="79" t="str">
        <f t="shared" si="307"/>
        <v/>
      </c>
      <c r="G3907" s="395"/>
      <c r="H3907" s="91">
        <f t="shared" si="308"/>
        <v>0</v>
      </c>
      <c r="I3907" s="91" t="str">
        <f t="shared" si="309"/>
        <v/>
      </c>
      <c r="J3907" s="91" t="str">
        <f t="shared" si="310"/>
        <v/>
      </c>
      <c r="K3907" s="92" t="str">
        <f>IF(AND(A3907="",B3907="",D3907="",G3907=""),"",IF(AND(A3907&lt;&gt;"",COUNTIF($A$2:$A$5001,A3907)&gt;1),"NUMERO_PC duplicado",IF(B3907="","DATA_PC vazia",IF(NOT(ISNUMBER(B3907)),"DATA_PC invalida",IF(OR(C3907="",C3907="Fora dos ciclos"),"CICLO_PC nao identificado",IF(OR(D3907="",D3907=0),"VALOR_PC vazio ou zero",IF(AND(G3907&lt;&gt;"Sim",G3907&lt;&gt;"Nao",G3907&lt;&gt;""),"PC_PAGO_A_CONTRATADA invalido",IF(AND(C3907&lt;&gt;"C0",IFERROR(INDEX(parametros!$A$2:$A$6,MATCH(C3907,parametros!$B$2:$B$6,0)),"")="Sim",IFERROR(INDEX(parametros!$H$2:$H$6,MATCH(C3907,parametros!$B$2:$B$6,0)),"")=""),"INICIO_EFEITO ausente: PC "&amp;A3907&amp;" - "&amp;C3907,IF(L3907="","EFEITO_PC nao calculado: PC "&amp;A3907&amp;" - "&amp;C3907,"OK")))))))))</f>
        <v/>
      </c>
      <c r="L3907" s="92" t="str">
        <f>IF(AND(A3907="",B3907="",D3907="",G3907=""),"",IF(OR(B3907="",NOT(ISNUMBER(B3907)),C3907="",C3907="Fora dos ciclos"),"",IF(C3907="C0","Nao",IF(IFERROR(INDEX(parametros!$A$2:$A$6,MATCH(C3907,parametros!$B$2:$B$6,0)),"")&lt;&gt;"Sim","Nao",IF(IFERROR(INDEX(parametros!$H$2:$H$6,MATCH(C3907,parametros!$B$2:$B$6,0)),"")="","",IF(B3907&gt;=IFERROR(INDEX(parametros!$H$2:$H$6,MATCH(C3907,parametros!$B$2:$B$6,0)),""),"Sim","Nao"))))))</f>
        <v/>
      </c>
      <c r="T3907" s="156"/>
      <c r="U3907" s="214" t="str">
        <f t="shared" si="311"/>
        <v/>
      </c>
      <c r="V3907" s="212" t="s">
        <v>50</v>
      </c>
      <c r="W3907" s="100" t="s">
        <v>168</v>
      </c>
      <c r="X3907" s="100" t="s">
        <v>169</v>
      </c>
      <c r="Y3907" s="101" t="s">
        <v>170</v>
      </c>
      <c r="Z3907" s="101" t="s">
        <v>171</v>
      </c>
      <c r="AA3907" s="101" t="s">
        <v>50</v>
      </c>
      <c r="AB3907" s="101" t="s">
        <v>172</v>
      </c>
      <c r="AC3907" s="102" t="s">
        <v>173</v>
      </c>
    </row>
    <row r="3908" spans="1:29" ht="25.5" customHeight="1" x14ac:dyDescent="0.35">
      <c r="A3908" s="392"/>
      <c r="B3908" s="393"/>
      <c r="C3908" s="99" t="str">
        <f>IF(B3908="","",IF(NOT(ISNUMBER(B3908)),"DATA_PC invalida",IF(NOT(ISNUMBER(parametros!$C$2)),"Fora dos ciclos",IF(OR(B3908&lt;parametros!$C$2,(YEAR(B3908)-YEAR(parametros!$C$2))*12+MONTH(B3908)-MONTH(parametros!$C$2)&gt;59),"Fora dos ciclos","C"&amp;INT(((YEAR(B3908)-YEAR(parametros!$C$2))*12+MONTH(B3908)-MONTH(parametros!$C$2))/12)))))</f>
        <v/>
      </c>
      <c r="D3908" s="394"/>
      <c r="E3908" s="78" t="str">
        <f>IF(C3908="","",IFERROR(VLOOKUP(C3908,parametros!$A$11:$E$15,5,0),""))</f>
        <v/>
      </c>
      <c r="F3908" s="79" t="str">
        <f t="shared" si="307"/>
        <v/>
      </c>
      <c r="G3908" s="395"/>
      <c r="H3908" s="91">
        <f t="shared" si="308"/>
        <v>0</v>
      </c>
      <c r="I3908" s="91" t="str">
        <f t="shared" si="309"/>
        <v/>
      </c>
      <c r="J3908" s="91" t="str">
        <f t="shared" si="310"/>
        <v/>
      </c>
      <c r="K3908" s="92" t="str">
        <f>IF(AND(A3908="",B3908="",D3908="",G3908=""),"",IF(AND(A3908&lt;&gt;"",COUNTIF($A$2:$A$5001,A3908)&gt;1),"NUMERO_PC duplicado",IF(B3908="","DATA_PC vazia",IF(NOT(ISNUMBER(B3908)),"DATA_PC invalida",IF(OR(C3908="",C3908="Fora dos ciclos"),"CICLO_PC nao identificado",IF(OR(D3908="",D3908=0),"VALOR_PC vazio ou zero",IF(AND(G3908&lt;&gt;"Sim",G3908&lt;&gt;"Nao",G3908&lt;&gt;""),"PC_PAGO_A_CONTRATADA invalido",IF(AND(C3908&lt;&gt;"C0",IFERROR(INDEX(parametros!$A$2:$A$6,MATCH(C3908,parametros!$B$2:$B$6,0)),"")="Sim",IFERROR(INDEX(parametros!$H$2:$H$6,MATCH(C3908,parametros!$B$2:$B$6,0)),"")=""),"INICIO_EFEITO ausente: PC "&amp;A3908&amp;" - "&amp;C3908,IF(L3908="","EFEITO_PC nao calculado: PC "&amp;A3908&amp;" - "&amp;C3908,"OK")))))))))</f>
        <v/>
      </c>
      <c r="L3908" s="92" t="str">
        <f>IF(AND(A3908="",B3908="",D3908="",G3908=""),"",IF(OR(B3908="",NOT(ISNUMBER(B3908)),C3908="",C3908="Fora dos ciclos"),"",IF(C3908="C0","Nao",IF(IFERROR(INDEX(parametros!$A$2:$A$6,MATCH(C3908,parametros!$B$2:$B$6,0)),"")&lt;&gt;"Sim","Nao",IF(IFERROR(INDEX(parametros!$H$2:$H$6,MATCH(C3908,parametros!$B$2:$B$6,0)),"")="","",IF(B3908&gt;=IFERROR(INDEX(parametros!$H$2:$H$6,MATCH(C3908,parametros!$B$2:$B$6,0)),""),"Sim","Nao"))))))</f>
        <v/>
      </c>
      <c r="T3908" s="156"/>
      <c r="U3908" s="214" t="str">
        <f t="shared" si="311"/>
        <v/>
      </c>
      <c r="V3908" s="212" t="s">
        <v>50</v>
      </c>
      <c r="W3908" s="100" t="s">
        <v>168</v>
      </c>
      <c r="X3908" s="100" t="s">
        <v>169</v>
      </c>
      <c r="Y3908" s="101" t="s">
        <v>170</v>
      </c>
      <c r="Z3908" s="101" t="s">
        <v>171</v>
      </c>
      <c r="AA3908" s="101" t="s">
        <v>50</v>
      </c>
      <c r="AB3908" s="101" t="s">
        <v>172</v>
      </c>
      <c r="AC3908" s="102" t="s">
        <v>173</v>
      </c>
    </row>
    <row r="3909" spans="1:29" ht="25.5" customHeight="1" x14ac:dyDescent="0.35">
      <c r="A3909" s="392"/>
      <c r="B3909" s="393"/>
      <c r="C3909" s="99" t="str">
        <f>IF(B3909="","",IF(NOT(ISNUMBER(B3909)),"DATA_PC invalida",IF(NOT(ISNUMBER(parametros!$C$2)),"Fora dos ciclos",IF(OR(B3909&lt;parametros!$C$2,(YEAR(B3909)-YEAR(parametros!$C$2))*12+MONTH(B3909)-MONTH(parametros!$C$2)&gt;59),"Fora dos ciclos","C"&amp;INT(((YEAR(B3909)-YEAR(parametros!$C$2))*12+MONTH(B3909)-MONTH(parametros!$C$2))/12)))))</f>
        <v/>
      </c>
      <c r="D3909" s="394"/>
      <c r="E3909" s="78" t="str">
        <f>IF(C3909="","",IFERROR(VLOOKUP(C3909,parametros!$A$11:$E$15,5,0),""))</f>
        <v/>
      </c>
      <c r="F3909" s="79" t="str">
        <f t="shared" si="307"/>
        <v/>
      </c>
      <c r="G3909" s="395"/>
      <c r="H3909" s="91">
        <f t="shared" si="308"/>
        <v>0</v>
      </c>
      <c r="I3909" s="91" t="str">
        <f t="shared" si="309"/>
        <v/>
      </c>
      <c r="J3909" s="91" t="str">
        <f t="shared" si="310"/>
        <v/>
      </c>
      <c r="K3909" s="92" t="str">
        <f>IF(AND(A3909="",B3909="",D3909="",G3909=""),"",IF(AND(A3909&lt;&gt;"",COUNTIF($A$2:$A$5001,A3909)&gt;1),"NUMERO_PC duplicado",IF(B3909="","DATA_PC vazia",IF(NOT(ISNUMBER(B3909)),"DATA_PC invalida",IF(OR(C3909="",C3909="Fora dos ciclos"),"CICLO_PC nao identificado",IF(OR(D3909="",D3909=0),"VALOR_PC vazio ou zero",IF(AND(G3909&lt;&gt;"Sim",G3909&lt;&gt;"Nao",G3909&lt;&gt;""),"PC_PAGO_A_CONTRATADA invalido",IF(AND(C3909&lt;&gt;"C0",IFERROR(INDEX(parametros!$A$2:$A$6,MATCH(C3909,parametros!$B$2:$B$6,0)),"")="Sim",IFERROR(INDEX(parametros!$H$2:$H$6,MATCH(C3909,parametros!$B$2:$B$6,0)),"")=""),"INICIO_EFEITO ausente: PC "&amp;A3909&amp;" - "&amp;C3909,IF(L3909="","EFEITO_PC nao calculado: PC "&amp;A3909&amp;" - "&amp;C3909,"OK")))))))))</f>
        <v/>
      </c>
      <c r="L3909" s="92" t="str">
        <f>IF(AND(A3909="",B3909="",D3909="",G3909=""),"",IF(OR(B3909="",NOT(ISNUMBER(B3909)),C3909="",C3909="Fora dos ciclos"),"",IF(C3909="C0","Nao",IF(IFERROR(INDEX(parametros!$A$2:$A$6,MATCH(C3909,parametros!$B$2:$B$6,0)),"")&lt;&gt;"Sim","Nao",IF(IFERROR(INDEX(parametros!$H$2:$H$6,MATCH(C3909,parametros!$B$2:$B$6,0)),"")="","",IF(B3909&gt;=IFERROR(INDEX(parametros!$H$2:$H$6,MATCH(C3909,parametros!$B$2:$B$6,0)),""),"Sim","Nao"))))))</f>
        <v/>
      </c>
      <c r="T3909" s="156"/>
      <c r="U3909" s="214" t="str">
        <f t="shared" si="311"/>
        <v/>
      </c>
      <c r="V3909" s="212" t="s">
        <v>50</v>
      </c>
      <c r="W3909" s="100" t="s">
        <v>168</v>
      </c>
      <c r="X3909" s="100" t="s">
        <v>169</v>
      </c>
      <c r="Y3909" s="101" t="s">
        <v>170</v>
      </c>
      <c r="Z3909" s="101" t="s">
        <v>171</v>
      </c>
      <c r="AA3909" s="101" t="s">
        <v>50</v>
      </c>
      <c r="AB3909" s="101" t="s">
        <v>172</v>
      </c>
      <c r="AC3909" s="102" t="s">
        <v>173</v>
      </c>
    </row>
    <row r="3910" spans="1:29" ht="25.5" customHeight="1" x14ac:dyDescent="0.35">
      <c r="A3910" s="392"/>
      <c r="B3910" s="393"/>
      <c r="C3910" s="99" t="str">
        <f>IF(B3910="","",IF(NOT(ISNUMBER(B3910)),"DATA_PC invalida",IF(NOT(ISNUMBER(parametros!$C$2)),"Fora dos ciclos",IF(OR(B3910&lt;parametros!$C$2,(YEAR(B3910)-YEAR(parametros!$C$2))*12+MONTH(B3910)-MONTH(parametros!$C$2)&gt;59),"Fora dos ciclos","C"&amp;INT(((YEAR(B3910)-YEAR(parametros!$C$2))*12+MONTH(B3910)-MONTH(parametros!$C$2))/12)))))</f>
        <v/>
      </c>
      <c r="D3910" s="394"/>
      <c r="E3910" s="78" t="str">
        <f>IF(C3910="","",IFERROR(VLOOKUP(C3910,parametros!$A$11:$E$15,5,0),""))</f>
        <v/>
      </c>
      <c r="F3910" s="79" t="str">
        <f t="shared" si="307"/>
        <v/>
      </c>
      <c r="G3910" s="395"/>
      <c r="H3910" s="91">
        <f t="shared" si="308"/>
        <v>0</v>
      </c>
      <c r="I3910" s="91" t="str">
        <f t="shared" si="309"/>
        <v/>
      </c>
      <c r="J3910" s="91" t="str">
        <f t="shared" si="310"/>
        <v/>
      </c>
      <c r="K3910" s="92" t="str">
        <f>IF(AND(A3910="",B3910="",D3910="",G3910=""),"",IF(AND(A3910&lt;&gt;"",COUNTIF($A$2:$A$5001,A3910)&gt;1),"NUMERO_PC duplicado",IF(B3910="","DATA_PC vazia",IF(NOT(ISNUMBER(B3910)),"DATA_PC invalida",IF(OR(C3910="",C3910="Fora dos ciclos"),"CICLO_PC nao identificado",IF(OR(D3910="",D3910=0),"VALOR_PC vazio ou zero",IF(AND(G3910&lt;&gt;"Sim",G3910&lt;&gt;"Nao",G3910&lt;&gt;""),"PC_PAGO_A_CONTRATADA invalido",IF(AND(C3910&lt;&gt;"C0",IFERROR(INDEX(parametros!$A$2:$A$6,MATCH(C3910,parametros!$B$2:$B$6,0)),"")="Sim",IFERROR(INDEX(parametros!$H$2:$H$6,MATCH(C3910,parametros!$B$2:$B$6,0)),"")=""),"INICIO_EFEITO ausente: PC "&amp;A3910&amp;" - "&amp;C3910,IF(L3910="","EFEITO_PC nao calculado: PC "&amp;A3910&amp;" - "&amp;C3910,"OK")))))))))</f>
        <v/>
      </c>
      <c r="L3910" s="92" t="str">
        <f>IF(AND(A3910="",B3910="",D3910="",G3910=""),"",IF(OR(B3910="",NOT(ISNUMBER(B3910)),C3910="",C3910="Fora dos ciclos"),"",IF(C3910="C0","Nao",IF(IFERROR(INDEX(parametros!$A$2:$A$6,MATCH(C3910,parametros!$B$2:$B$6,0)),"")&lt;&gt;"Sim","Nao",IF(IFERROR(INDEX(parametros!$H$2:$H$6,MATCH(C3910,parametros!$B$2:$B$6,0)),"")="","",IF(B3910&gt;=IFERROR(INDEX(parametros!$H$2:$H$6,MATCH(C3910,parametros!$B$2:$B$6,0)),""),"Sim","Nao"))))))</f>
        <v/>
      </c>
      <c r="T3910" s="156"/>
      <c r="U3910" s="214" t="str">
        <f t="shared" si="311"/>
        <v/>
      </c>
      <c r="V3910" s="212" t="s">
        <v>50</v>
      </c>
      <c r="W3910" s="100" t="s">
        <v>168</v>
      </c>
      <c r="X3910" s="100" t="s">
        <v>169</v>
      </c>
      <c r="Y3910" s="101" t="s">
        <v>170</v>
      </c>
      <c r="Z3910" s="101" t="s">
        <v>171</v>
      </c>
      <c r="AA3910" s="101" t="s">
        <v>50</v>
      </c>
      <c r="AB3910" s="101" t="s">
        <v>172</v>
      </c>
      <c r="AC3910" s="102" t="s">
        <v>173</v>
      </c>
    </row>
    <row r="3911" spans="1:29" ht="25.5" customHeight="1" x14ac:dyDescent="0.35">
      <c r="A3911" s="392"/>
      <c r="B3911" s="393"/>
      <c r="C3911" s="99" t="str">
        <f>IF(B3911="","",IF(NOT(ISNUMBER(B3911)),"DATA_PC invalida",IF(NOT(ISNUMBER(parametros!$C$2)),"Fora dos ciclos",IF(OR(B3911&lt;parametros!$C$2,(YEAR(B3911)-YEAR(parametros!$C$2))*12+MONTH(B3911)-MONTH(parametros!$C$2)&gt;59),"Fora dos ciclos","C"&amp;INT(((YEAR(B3911)-YEAR(parametros!$C$2))*12+MONTH(B3911)-MONTH(parametros!$C$2))/12)))))</f>
        <v/>
      </c>
      <c r="D3911" s="394"/>
      <c r="E3911" s="78" t="str">
        <f>IF(C3911="","",IFERROR(VLOOKUP(C3911,parametros!$A$11:$E$15,5,0),""))</f>
        <v/>
      </c>
      <c r="F3911" s="79" t="str">
        <f t="shared" si="307"/>
        <v/>
      </c>
      <c r="G3911" s="395"/>
      <c r="H3911" s="91">
        <f t="shared" si="308"/>
        <v>0</v>
      </c>
      <c r="I3911" s="91" t="str">
        <f t="shared" si="309"/>
        <v/>
      </c>
      <c r="J3911" s="91" t="str">
        <f t="shared" si="310"/>
        <v/>
      </c>
      <c r="K3911" s="92" t="str">
        <f>IF(AND(A3911="",B3911="",D3911="",G3911=""),"",IF(AND(A3911&lt;&gt;"",COUNTIF($A$2:$A$5001,A3911)&gt;1),"NUMERO_PC duplicado",IF(B3911="","DATA_PC vazia",IF(NOT(ISNUMBER(B3911)),"DATA_PC invalida",IF(OR(C3911="",C3911="Fora dos ciclos"),"CICLO_PC nao identificado",IF(OR(D3911="",D3911=0),"VALOR_PC vazio ou zero",IF(AND(G3911&lt;&gt;"Sim",G3911&lt;&gt;"Nao",G3911&lt;&gt;""),"PC_PAGO_A_CONTRATADA invalido",IF(AND(C3911&lt;&gt;"C0",IFERROR(INDEX(parametros!$A$2:$A$6,MATCH(C3911,parametros!$B$2:$B$6,0)),"")="Sim",IFERROR(INDEX(parametros!$H$2:$H$6,MATCH(C3911,parametros!$B$2:$B$6,0)),"")=""),"INICIO_EFEITO ausente: PC "&amp;A3911&amp;" - "&amp;C3911,IF(L3911="","EFEITO_PC nao calculado: PC "&amp;A3911&amp;" - "&amp;C3911,"OK")))))))))</f>
        <v/>
      </c>
      <c r="L3911" s="92" t="str">
        <f>IF(AND(A3911="",B3911="",D3911="",G3911=""),"",IF(OR(B3911="",NOT(ISNUMBER(B3911)),C3911="",C3911="Fora dos ciclos"),"",IF(C3911="C0","Nao",IF(IFERROR(INDEX(parametros!$A$2:$A$6,MATCH(C3911,parametros!$B$2:$B$6,0)),"")&lt;&gt;"Sim","Nao",IF(IFERROR(INDEX(parametros!$H$2:$H$6,MATCH(C3911,parametros!$B$2:$B$6,0)),"")="","",IF(B3911&gt;=IFERROR(INDEX(parametros!$H$2:$H$6,MATCH(C3911,parametros!$B$2:$B$6,0)),""),"Sim","Nao"))))))</f>
        <v/>
      </c>
      <c r="T3911" s="156"/>
      <c r="U3911" s="214" t="str">
        <f t="shared" si="311"/>
        <v/>
      </c>
      <c r="V3911" s="212" t="s">
        <v>50</v>
      </c>
      <c r="W3911" s="100" t="s">
        <v>168</v>
      </c>
      <c r="X3911" s="100" t="s">
        <v>169</v>
      </c>
      <c r="Y3911" s="101" t="s">
        <v>170</v>
      </c>
      <c r="Z3911" s="101" t="s">
        <v>171</v>
      </c>
      <c r="AA3911" s="101" t="s">
        <v>50</v>
      </c>
      <c r="AB3911" s="101" t="s">
        <v>172</v>
      </c>
      <c r="AC3911" s="102" t="s">
        <v>173</v>
      </c>
    </row>
    <row r="3912" spans="1:29" ht="25.5" customHeight="1" x14ac:dyDescent="0.35">
      <c r="A3912" s="392"/>
      <c r="B3912" s="393"/>
      <c r="C3912" s="99" t="str">
        <f>IF(B3912="","",IF(NOT(ISNUMBER(B3912)),"DATA_PC invalida",IF(NOT(ISNUMBER(parametros!$C$2)),"Fora dos ciclos",IF(OR(B3912&lt;parametros!$C$2,(YEAR(B3912)-YEAR(parametros!$C$2))*12+MONTH(B3912)-MONTH(parametros!$C$2)&gt;59),"Fora dos ciclos","C"&amp;INT(((YEAR(B3912)-YEAR(parametros!$C$2))*12+MONTH(B3912)-MONTH(parametros!$C$2))/12)))))</f>
        <v/>
      </c>
      <c r="D3912" s="394"/>
      <c r="E3912" s="78" t="str">
        <f>IF(C3912="","",IFERROR(VLOOKUP(C3912,parametros!$A$11:$E$15,5,0),""))</f>
        <v/>
      </c>
      <c r="F3912" s="79" t="str">
        <f t="shared" si="307"/>
        <v/>
      </c>
      <c r="G3912" s="395"/>
      <c r="H3912" s="91">
        <f t="shared" si="308"/>
        <v>0</v>
      </c>
      <c r="I3912" s="91" t="str">
        <f t="shared" si="309"/>
        <v/>
      </c>
      <c r="J3912" s="91" t="str">
        <f t="shared" si="310"/>
        <v/>
      </c>
      <c r="K3912" s="92" t="str">
        <f>IF(AND(A3912="",B3912="",D3912="",G3912=""),"",IF(AND(A3912&lt;&gt;"",COUNTIF($A$2:$A$5001,A3912)&gt;1),"NUMERO_PC duplicado",IF(B3912="","DATA_PC vazia",IF(NOT(ISNUMBER(B3912)),"DATA_PC invalida",IF(OR(C3912="",C3912="Fora dos ciclos"),"CICLO_PC nao identificado",IF(OR(D3912="",D3912=0),"VALOR_PC vazio ou zero",IF(AND(G3912&lt;&gt;"Sim",G3912&lt;&gt;"Nao",G3912&lt;&gt;""),"PC_PAGO_A_CONTRATADA invalido",IF(AND(C3912&lt;&gt;"C0",IFERROR(INDEX(parametros!$A$2:$A$6,MATCH(C3912,parametros!$B$2:$B$6,0)),"")="Sim",IFERROR(INDEX(parametros!$H$2:$H$6,MATCH(C3912,parametros!$B$2:$B$6,0)),"")=""),"INICIO_EFEITO ausente: PC "&amp;A3912&amp;" - "&amp;C3912,IF(L3912="","EFEITO_PC nao calculado: PC "&amp;A3912&amp;" - "&amp;C3912,"OK")))))))))</f>
        <v/>
      </c>
      <c r="L3912" s="92" t="str">
        <f>IF(AND(A3912="",B3912="",D3912="",G3912=""),"",IF(OR(B3912="",NOT(ISNUMBER(B3912)),C3912="",C3912="Fora dos ciclos"),"",IF(C3912="C0","Nao",IF(IFERROR(INDEX(parametros!$A$2:$A$6,MATCH(C3912,parametros!$B$2:$B$6,0)),"")&lt;&gt;"Sim","Nao",IF(IFERROR(INDEX(parametros!$H$2:$H$6,MATCH(C3912,parametros!$B$2:$B$6,0)),"")="","",IF(B3912&gt;=IFERROR(INDEX(parametros!$H$2:$H$6,MATCH(C3912,parametros!$B$2:$B$6,0)),""),"Sim","Nao"))))))</f>
        <v/>
      </c>
      <c r="T3912" s="156"/>
      <c r="U3912" s="214" t="str">
        <f t="shared" si="311"/>
        <v/>
      </c>
      <c r="V3912" s="212" t="s">
        <v>50</v>
      </c>
      <c r="W3912" s="100" t="s">
        <v>168</v>
      </c>
      <c r="X3912" s="100" t="s">
        <v>169</v>
      </c>
      <c r="Y3912" s="101" t="s">
        <v>170</v>
      </c>
      <c r="Z3912" s="101" t="s">
        <v>171</v>
      </c>
      <c r="AA3912" s="101" t="s">
        <v>50</v>
      </c>
      <c r="AB3912" s="101" t="s">
        <v>172</v>
      </c>
      <c r="AC3912" s="102" t="s">
        <v>173</v>
      </c>
    </row>
    <row r="3913" spans="1:29" ht="25.5" customHeight="1" x14ac:dyDescent="0.35">
      <c r="A3913" s="392"/>
      <c r="B3913" s="393"/>
      <c r="C3913" s="99" t="str">
        <f>IF(B3913="","",IF(NOT(ISNUMBER(B3913)),"DATA_PC invalida",IF(NOT(ISNUMBER(parametros!$C$2)),"Fora dos ciclos",IF(OR(B3913&lt;parametros!$C$2,(YEAR(B3913)-YEAR(parametros!$C$2))*12+MONTH(B3913)-MONTH(parametros!$C$2)&gt;59),"Fora dos ciclos","C"&amp;INT(((YEAR(B3913)-YEAR(parametros!$C$2))*12+MONTH(B3913)-MONTH(parametros!$C$2))/12)))))</f>
        <v/>
      </c>
      <c r="D3913" s="394"/>
      <c r="E3913" s="78" t="str">
        <f>IF(C3913="","",IFERROR(VLOOKUP(C3913,parametros!$A$11:$E$15,5,0),""))</f>
        <v/>
      </c>
      <c r="F3913" s="79" t="str">
        <f t="shared" si="307"/>
        <v/>
      </c>
      <c r="G3913" s="395"/>
      <c r="H3913" s="91">
        <f t="shared" si="308"/>
        <v>0</v>
      </c>
      <c r="I3913" s="91" t="str">
        <f t="shared" si="309"/>
        <v/>
      </c>
      <c r="J3913" s="91" t="str">
        <f t="shared" si="310"/>
        <v/>
      </c>
      <c r="K3913" s="92" t="str">
        <f>IF(AND(A3913="",B3913="",D3913="",G3913=""),"",IF(AND(A3913&lt;&gt;"",COUNTIF($A$2:$A$5001,A3913)&gt;1),"NUMERO_PC duplicado",IF(B3913="","DATA_PC vazia",IF(NOT(ISNUMBER(B3913)),"DATA_PC invalida",IF(OR(C3913="",C3913="Fora dos ciclos"),"CICLO_PC nao identificado",IF(OR(D3913="",D3913=0),"VALOR_PC vazio ou zero",IF(AND(G3913&lt;&gt;"Sim",G3913&lt;&gt;"Nao",G3913&lt;&gt;""),"PC_PAGO_A_CONTRATADA invalido",IF(AND(C3913&lt;&gt;"C0",IFERROR(INDEX(parametros!$A$2:$A$6,MATCH(C3913,parametros!$B$2:$B$6,0)),"")="Sim",IFERROR(INDEX(parametros!$H$2:$H$6,MATCH(C3913,parametros!$B$2:$B$6,0)),"")=""),"INICIO_EFEITO ausente: PC "&amp;A3913&amp;" - "&amp;C3913,IF(L3913="","EFEITO_PC nao calculado: PC "&amp;A3913&amp;" - "&amp;C3913,"OK")))))))))</f>
        <v/>
      </c>
      <c r="L3913" s="92" t="str">
        <f>IF(AND(A3913="",B3913="",D3913="",G3913=""),"",IF(OR(B3913="",NOT(ISNUMBER(B3913)),C3913="",C3913="Fora dos ciclos"),"",IF(C3913="C0","Nao",IF(IFERROR(INDEX(parametros!$A$2:$A$6,MATCH(C3913,parametros!$B$2:$B$6,0)),"")&lt;&gt;"Sim","Nao",IF(IFERROR(INDEX(parametros!$H$2:$H$6,MATCH(C3913,parametros!$B$2:$B$6,0)),"")="","",IF(B3913&gt;=IFERROR(INDEX(parametros!$H$2:$H$6,MATCH(C3913,parametros!$B$2:$B$6,0)),""),"Sim","Nao"))))))</f>
        <v/>
      </c>
      <c r="T3913" s="156"/>
      <c r="U3913" s="214" t="str">
        <f t="shared" si="311"/>
        <v/>
      </c>
      <c r="V3913" s="212" t="s">
        <v>50</v>
      </c>
      <c r="W3913" s="100" t="s">
        <v>168</v>
      </c>
      <c r="X3913" s="100" t="s">
        <v>169</v>
      </c>
      <c r="Y3913" s="101" t="s">
        <v>170</v>
      </c>
      <c r="Z3913" s="101" t="s">
        <v>171</v>
      </c>
      <c r="AA3913" s="101" t="s">
        <v>50</v>
      </c>
      <c r="AB3913" s="101" t="s">
        <v>172</v>
      </c>
      <c r="AC3913" s="102" t="s">
        <v>173</v>
      </c>
    </row>
    <row r="3914" spans="1:29" ht="25.5" customHeight="1" x14ac:dyDescent="0.35">
      <c r="A3914" s="392"/>
      <c r="B3914" s="393"/>
      <c r="C3914" s="99" t="str">
        <f>IF(B3914="","",IF(NOT(ISNUMBER(B3914)),"DATA_PC invalida",IF(NOT(ISNUMBER(parametros!$C$2)),"Fora dos ciclos",IF(OR(B3914&lt;parametros!$C$2,(YEAR(B3914)-YEAR(parametros!$C$2))*12+MONTH(B3914)-MONTH(parametros!$C$2)&gt;59),"Fora dos ciclos","C"&amp;INT(((YEAR(B3914)-YEAR(parametros!$C$2))*12+MONTH(B3914)-MONTH(parametros!$C$2))/12)))))</f>
        <v/>
      </c>
      <c r="D3914" s="394"/>
      <c r="E3914" s="78" t="str">
        <f>IF(C3914="","",IFERROR(VLOOKUP(C3914,parametros!$A$11:$E$15,5,0),""))</f>
        <v/>
      </c>
      <c r="F3914" s="79" t="str">
        <f t="shared" si="307"/>
        <v/>
      </c>
      <c r="G3914" s="395"/>
      <c r="H3914" s="91">
        <f t="shared" si="308"/>
        <v>0</v>
      </c>
      <c r="I3914" s="91" t="str">
        <f t="shared" si="309"/>
        <v/>
      </c>
      <c r="J3914" s="91" t="str">
        <f t="shared" si="310"/>
        <v/>
      </c>
      <c r="K3914" s="92" t="str">
        <f>IF(AND(A3914="",B3914="",D3914="",G3914=""),"",IF(AND(A3914&lt;&gt;"",COUNTIF($A$2:$A$5001,A3914)&gt;1),"NUMERO_PC duplicado",IF(B3914="","DATA_PC vazia",IF(NOT(ISNUMBER(B3914)),"DATA_PC invalida",IF(OR(C3914="",C3914="Fora dos ciclos"),"CICLO_PC nao identificado",IF(OR(D3914="",D3914=0),"VALOR_PC vazio ou zero",IF(AND(G3914&lt;&gt;"Sim",G3914&lt;&gt;"Nao",G3914&lt;&gt;""),"PC_PAGO_A_CONTRATADA invalido",IF(AND(C3914&lt;&gt;"C0",IFERROR(INDEX(parametros!$A$2:$A$6,MATCH(C3914,parametros!$B$2:$B$6,0)),"")="Sim",IFERROR(INDEX(parametros!$H$2:$H$6,MATCH(C3914,parametros!$B$2:$B$6,0)),"")=""),"INICIO_EFEITO ausente: PC "&amp;A3914&amp;" - "&amp;C3914,IF(L3914="","EFEITO_PC nao calculado: PC "&amp;A3914&amp;" - "&amp;C3914,"OK")))))))))</f>
        <v/>
      </c>
      <c r="L3914" s="92" t="str">
        <f>IF(AND(A3914="",B3914="",D3914="",G3914=""),"",IF(OR(B3914="",NOT(ISNUMBER(B3914)),C3914="",C3914="Fora dos ciclos"),"",IF(C3914="C0","Nao",IF(IFERROR(INDEX(parametros!$A$2:$A$6,MATCH(C3914,parametros!$B$2:$B$6,0)),"")&lt;&gt;"Sim","Nao",IF(IFERROR(INDEX(parametros!$H$2:$H$6,MATCH(C3914,parametros!$B$2:$B$6,0)),"")="","",IF(B3914&gt;=IFERROR(INDEX(parametros!$H$2:$H$6,MATCH(C3914,parametros!$B$2:$B$6,0)),""),"Sim","Nao"))))))</f>
        <v/>
      </c>
      <c r="T3914" s="156"/>
      <c r="U3914" s="214" t="str">
        <f t="shared" si="311"/>
        <v/>
      </c>
      <c r="V3914" s="212" t="s">
        <v>50</v>
      </c>
      <c r="W3914" s="100" t="s">
        <v>168</v>
      </c>
      <c r="X3914" s="100" t="s">
        <v>169</v>
      </c>
      <c r="Y3914" s="101" t="s">
        <v>170</v>
      </c>
      <c r="Z3914" s="101" t="s">
        <v>171</v>
      </c>
      <c r="AA3914" s="101" t="s">
        <v>50</v>
      </c>
      <c r="AB3914" s="101" t="s">
        <v>172</v>
      </c>
      <c r="AC3914" s="102" t="s">
        <v>173</v>
      </c>
    </row>
    <row r="3915" spans="1:29" ht="25.5" customHeight="1" x14ac:dyDescent="0.35">
      <c r="A3915" s="392"/>
      <c r="B3915" s="393"/>
      <c r="C3915" s="99" t="str">
        <f>IF(B3915="","",IF(NOT(ISNUMBER(B3915)),"DATA_PC invalida",IF(NOT(ISNUMBER(parametros!$C$2)),"Fora dos ciclos",IF(OR(B3915&lt;parametros!$C$2,(YEAR(B3915)-YEAR(parametros!$C$2))*12+MONTH(B3915)-MONTH(parametros!$C$2)&gt;59),"Fora dos ciclos","C"&amp;INT(((YEAR(B3915)-YEAR(parametros!$C$2))*12+MONTH(B3915)-MONTH(parametros!$C$2))/12)))))</f>
        <v/>
      </c>
      <c r="D3915" s="394"/>
      <c r="E3915" s="78" t="str">
        <f>IF(C3915="","",IFERROR(VLOOKUP(C3915,parametros!$A$11:$E$15,5,0),""))</f>
        <v/>
      </c>
      <c r="F3915" s="79" t="str">
        <f t="shared" si="307"/>
        <v/>
      </c>
      <c r="G3915" s="395"/>
      <c r="H3915" s="91">
        <f t="shared" si="308"/>
        <v>0</v>
      </c>
      <c r="I3915" s="91" t="str">
        <f t="shared" si="309"/>
        <v/>
      </c>
      <c r="J3915" s="91" t="str">
        <f t="shared" si="310"/>
        <v/>
      </c>
      <c r="K3915" s="92" t="str">
        <f>IF(AND(A3915="",B3915="",D3915="",G3915=""),"",IF(AND(A3915&lt;&gt;"",COUNTIF($A$2:$A$5001,A3915)&gt;1),"NUMERO_PC duplicado",IF(B3915="","DATA_PC vazia",IF(NOT(ISNUMBER(B3915)),"DATA_PC invalida",IF(OR(C3915="",C3915="Fora dos ciclos"),"CICLO_PC nao identificado",IF(OR(D3915="",D3915=0),"VALOR_PC vazio ou zero",IF(AND(G3915&lt;&gt;"Sim",G3915&lt;&gt;"Nao",G3915&lt;&gt;""),"PC_PAGO_A_CONTRATADA invalido",IF(AND(C3915&lt;&gt;"C0",IFERROR(INDEX(parametros!$A$2:$A$6,MATCH(C3915,parametros!$B$2:$B$6,0)),"")="Sim",IFERROR(INDEX(parametros!$H$2:$H$6,MATCH(C3915,parametros!$B$2:$B$6,0)),"")=""),"INICIO_EFEITO ausente: PC "&amp;A3915&amp;" - "&amp;C3915,IF(L3915="","EFEITO_PC nao calculado: PC "&amp;A3915&amp;" - "&amp;C3915,"OK")))))))))</f>
        <v/>
      </c>
      <c r="L3915" s="92" t="str">
        <f>IF(AND(A3915="",B3915="",D3915="",G3915=""),"",IF(OR(B3915="",NOT(ISNUMBER(B3915)),C3915="",C3915="Fora dos ciclos"),"",IF(C3915="C0","Nao",IF(IFERROR(INDEX(parametros!$A$2:$A$6,MATCH(C3915,parametros!$B$2:$B$6,0)),"")&lt;&gt;"Sim","Nao",IF(IFERROR(INDEX(parametros!$H$2:$H$6,MATCH(C3915,parametros!$B$2:$B$6,0)),"")="","",IF(B3915&gt;=IFERROR(INDEX(parametros!$H$2:$H$6,MATCH(C3915,parametros!$B$2:$B$6,0)),""),"Sim","Nao"))))))</f>
        <v/>
      </c>
      <c r="T3915" s="156"/>
      <c r="U3915" s="214" t="str">
        <f t="shared" si="311"/>
        <v/>
      </c>
      <c r="V3915" s="212" t="s">
        <v>50</v>
      </c>
      <c r="W3915" s="100" t="s">
        <v>168</v>
      </c>
      <c r="X3915" s="100" t="s">
        <v>169</v>
      </c>
      <c r="Y3915" s="101" t="s">
        <v>170</v>
      </c>
      <c r="Z3915" s="101" t="s">
        <v>171</v>
      </c>
      <c r="AA3915" s="101" t="s">
        <v>50</v>
      </c>
      <c r="AB3915" s="101" t="s">
        <v>172</v>
      </c>
      <c r="AC3915" s="102" t="s">
        <v>173</v>
      </c>
    </row>
    <row r="3916" spans="1:29" ht="25.5" customHeight="1" x14ac:dyDescent="0.35">
      <c r="A3916" s="392"/>
      <c r="B3916" s="393"/>
      <c r="C3916" s="99" t="str">
        <f>IF(B3916="","",IF(NOT(ISNUMBER(B3916)),"DATA_PC invalida",IF(NOT(ISNUMBER(parametros!$C$2)),"Fora dos ciclos",IF(OR(B3916&lt;parametros!$C$2,(YEAR(B3916)-YEAR(parametros!$C$2))*12+MONTH(B3916)-MONTH(parametros!$C$2)&gt;59),"Fora dos ciclos","C"&amp;INT(((YEAR(B3916)-YEAR(parametros!$C$2))*12+MONTH(B3916)-MONTH(parametros!$C$2))/12)))))</f>
        <v/>
      </c>
      <c r="D3916" s="394"/>
      <c r="E3916" s="78" t="str">
        <f>IF(C3916="","",IFERROR(VLOOKUP(C3916,parametros!$A$11:$E$15,5,0),""))</f>
        <v/>
      </c>
      <c r="F3916" s="79" t="str">
        <f t="shared" si="307"/>
        <v/>
      </c>
      <c r="G3916" s="395"/>
      <c r="H3916" s="91">
        <f t="shared" si="308"/>
        <v>0</v>
      </c>
      <c r="I3916" s="91" t="str">
        <f t="shared" si="309"/>
        <v/>
      </c>
      <c r="J3916" s="91" t="str">
        <f t="shared" si="310"/>
        <v/>
      </c>
      <c r="K3916" s="92" t="str">
        <f>IF(AND(A3916="",B3916="",D3916="",G3916=""),"",IF(AND(A3916&lt;&gt;"",COUNTIF($A$2:$A$5001,A3916)&gt;1),"NUMERO_PC duplicado",IF(B3916="","DATA_PC vazia",IF(NOT(ISNUMBER(B3916)),"DATA_PC invalida",IF(OR(C3916="",C3916="Fora dos ciclos"),"CICLO_PC nao identificado",IF(OR(D3916="",D3916=0),"VALOR_PC vazio ou zero",IF(AND(G3916&lt;&gt;"Sim",G3916&lt;&gt;"Nao",G3916&lt;&gt;""),"PC_PAGO_A_CONTRATADA invalido",IF(AND(C3916&lt;&gt;"C0",IFERROR(INDEX(parametros!$A$2:$A$6,MATCH(C3916,parametros!$B$2:$B$6,0)),"")="Sim",IFERROR(INDEX(parametros!$H$2:$H$6,MATCH(C3916,parametros!$B$2:$B$6,0)),"")=""),"INICIO_EFEITO ausente: PC "&amp;A3916&amp;" - "&amp;C3916,IF(L3916="","EFEITO_PC nao calculado: PC "&amp;A3916&amp;" - "&amp;C3916,"OK")))))))))</f>
        <v/>
      </c>
      <c r="L3916" s="92" t="str">
        <f>IF(AND(A3916="",B3916="",D3916="",G3916=""),"",IF(OR(B3916="",NOT(ISNUMBER(B3916)),C3916="",C3916="Fora dos ciclos"),"",IF(C3916="C0","Nao",IF(IFERROR(INDEX(parametros!$A$2:$A$6,MATCH(C3916,parametros!$B$2:$B$6,0)),"")&lt;&gt;"Sim","Nao",IF(IFERROR(INDEX(parametros!$H$2:$H$6,MATCH(C3916,parametros!$B$2:$B$6,0)),"")="","",IF(B3916&gt;=IFERROR(INDEX(parametros!$H$2:$H$6,MATCH(C3916,parametros!$B$2:$B$6,0)),""),"Sim","Nao"))))))</f>
        <v/>
      </c>
      <c r="T3916" s="156"/>
      <c r="U3916" s="214" t="str">
        <f t="shared" si="311"/>
        <v/>
      </c>
      <c r="V3916" s="212" t="s">
        <v>50</v>
      </c>
      <c r="W3916" s="100" t="s">
        <v>168</v>
      </c>
      <c r="X3916" s="100" t="s">
        <v>169</v>
      </c>
      <c r="Y3916" s="101" t="s">
        <v>170</v>
      </c>
      <c r="Z3916" s="101" t="s">
        <v>171</v>
      </c>
      <c r="AA3916" s="101" t="s">
        <v>50</v>
      </c>
      <c r="AB3916" s="101" t="s">
        <v>172</v>
      </c>
      <c r="AC3916" s="102" t="s">
        <v>173</v>
      </c>
    </row>
    <row r="3917" spans="1:29" ht="25.5" customHeight="1" x14ac:dyDescent="0.35">
      <c r="A3917" s="392"/>
      <c r="B3917" s="393"/>
      <c r="C3917" s="99" t="str">
        <f>IF(B3917="","",IF(NOT(ISNUMBER(B3917)),"DATA_PC invalida",IF(NOT(ISNUMBER(parametros!$C$2)),"Fora dos ciclos",IF(OR(B3917&lt;parametros!$C$2,(YEAR(B3917)-YEAR(parametros!$C$2))*12+MONTH(B3917)-MONTH(parametros!$C$2)&gt;59),"Fora dos ciclos","C"&amp;INT(((YEAR(B3917)-YEAR(parametros!$C$2))*12+MONTH(B3917)-MONTH(parametros!$C$2))/12)))))</f>
        <v/>
      </c>
      <c r="D3917" s="394"/>
      <c r="E3917" s="78" t="str">
        <f>IF(C3917="","",IFERROR(VLOOKUP(C3917,parametros!$A$11:$E$15,5,0),""))</f>
        <v/>
      </c>
      <c r="F3917" s="79" t="str">
        <f t="shared" si="307"/>
        <v/>
      </c>
      <c r="G3917" s="395"/>
      <c r="H3917" s="91">
        <f t="shared" si="308"/>
        <v>0</v>
      </c>
      <c r="I3917" s="91" t="str">
        <f t="shared" si="309"/>
        <v/>
      </c>
      <c r="J3917" s="91" t="str">
        <f t="shared" si="310"/>
        <v/>
      </c>
      <c r="K3917" s="92" t="str">
        <f>IF(AND(A3917="",B3917="",D3917="",G3917=""),"",IF(AND(A3917&lt;&gt;"",COUNTIF($A$2:$A$5001,A3917)&gt;1),"NUMERO_PC duplicado",IF(B3917="","DATA_PC vazia",IF(NOT(ISNUMBER(B3917)),"DATA_PC invalida",IF(OR(C3917="",C3917="Fora dos ciclos"),"CICLO_PC nao identificado",IF(OR(D3917="",D3917=0),"VALOR_PC vazio ou zero",IF(AND(G3917&lt;&gt;"Sim",G3917&lt;&gt;"Nao",G3917&lt;&gt;""),"PC_PAGO_A_CONTRATADA invalido",IF(AND(C3917&lt;&gt;"C0",IFERROR(INDEX(parametros!$A$2:$A$6,MATCH(C3917,parametros!$B$2:$B$6,0)),"")="Sim",IFERROR(INDEX(parametros!$H$2:$H$6,MATCH(C3917,parametros!$B$2:$B$6,0)),"")=""),"INICIO_EFEITO ausente: PC "&amp;A3917&amp;" - "&amp;C3917,IF(L3917="","EFEITO_PC nao calculado: PC "&amp;A3917&amp;" - "&amp;C3917,"OK")))))))))</f>
        <v/>
      </c>
      <c r="L3917" s="92" t="str">
        <f>IF(AND(A3917="",B3917="",D3917="",G3917=""),"",IF(OR(B3917="",NOT(ISNUMBER(B3917)),C3917="",C3917="Fora dos ciclos"),"",IF(C3917="C0","Nao",IF(IFERROR(INDEX(parametros!$A$2:$A$6,MATCH(C3917,parametros!$B$2:$B$6,0)),"")&lt;&gt;"Sim","Nao",IF(IFERROR(INDEX(parametros!$H$2:$H$6,MATCH(C3917,parametros!$B$2:$B$6,0)),"")="","",IF(B3917&gt;=IFERROR(INDEX(parametros!$H$2:$H$6,MATCH(C3917,parametros!$B$2:$B$6,0)),""),"Sim","Nao"))))))</f>
        <v/>
      </c>
      <c r="T3917" s="156"/>
      <c r="U3917" s="214" t="str">
        <f t="shared" si="311"/>
        <v/>
      </c>
      <c r="V3917" s="212" t="s">
        <v>50</v>
      </c>
      <c r="W3917" s="100" t="s">
        <v>168</v>
      </c>
      <c r="X3917" s="100" t="s">
        <v>169</v>
      </c>
      <c r="Y3917" s="101" t="s">
        <v>170</v>
      </c>
      <c r="Z3917" s="101" t="s">
        <v>171</v>
      </c>
      <c r="AA3917" s="101" t="s">
        <v>50</v>
      </c>
      <c r="AB3917" s="101" t="s">
        <v>172</v>
      </c>
      <c r="AC3917" s="102" t="s">
        <v>173</v>
      </c>
    </row>
    <row r="3918" spans="1:29" ht="25.5" customHeight="1" x14ac:dyDescent="0.35">
      <c r="A3918" s="392"/>
      <c r="B3918" s="393"/>
      <c r="C3918" s="99" t="str">
        <f>IF(B3918="","",IF(NOT(ISNUMBER(B3918)),"DATA_PC invalida",IF(NOT(ISNUMBER(parametros!$C$2)),"Fora dos ciclos",IF(OR(B3918&lt;parametros!$C$2,(YEAR(B3918)-YEAR(parametros!$C$2))*12+MONTH(B3918)-MONTH(parametros!$C$2)&gt;59),"Fora dos ciclos","C"&amp;INT(((YEAR(B3918)-YEAR(parametros!$C$2))*12+MONTH(B3918)-MONTH(parametros!$C$2))/12)))))</f>
        <v/>
      </c>
      <c r="D3918" s="394"/>
      <c r="E3918" s="78" t="str">
        <f>IF(C3918="","",IFERROR(VLOOKUP(C3918,parametros!$A$11:$E$15,5,0),""))</f>
        <v/>
      </c>
      <c r="F3918" s="79" t="str">
        <f t="shared" si="307"/>
        <v/>
      </c>
      <c r="G3918" s="395"/>
      <c r="H3918" s="91">
        <f t="shared" si="308"/>
        <v>0</v>
      </c>
      <c r="I3918" s="91" t="str">
        <f t="shared" si="309"/>
        <v/>
      </c>
      <c r="J3918" s="91" t="str">
        <f t="shared" si="310"/>
        <v/>
      </c>
      <c r="K3918" s="92" t="str">
        <f>IF(AND(A3918="",B3918="",D3918="",G3918=""),"",IF(AND(A3918&lt;&gt;"",COUNTIF($A$2:$A$5001,A3918)&gt;1),"NUMERO_PC duplicado",IF(B3918="","DATA_PC vazia",IF(NOT(ISNUMBER(B3918)),"DATA_PC invalida",IF(OR(C3918="",C3918="Fora dos ciclos"),"CICLO_PC nao identificado",IF(OR(D3918="",D3918=0),"VALOR_PC vazio ou zero",IF(AND(G3918&lt;&gt;"Sim",G3918&lt;&gt;"Nao",G3918&lt;&gt;""),"PC_PAGO_A_CONTRATADA invalido",IF(AND(C3918&lt;&gt;"C0",IFERROR(INDEX(parametros!$A$2:$A$6,MATCH(C3918,parametros!$B$2:$B$6,0)),"")="Sim",IFERROR(INDEX(parametros!$H$2:$H$6,MATCH(C3918,parametros!$B$2:$B$6,0)),"")=""),"INICIO_EFEITO ausente: PC "&amp;A3918&amp;" - "&amp;C3918,IF(L3918="","EFEITO_PC nao calculado: PC "&amp;A3918&amp;" - "&amp;C3918,"OK")))))))))</f>
        <v/>
      </c>
      <c r="L3918" s="92" t="str">
        <f>IF(AND(A3918="",B3918="",D3918="",G3918=""),"",IF(OR(B3918="",NOT(ISNUMBER(B3918)),C3918="",C3918="Fora dos ciclos"),"",IF(C3918="C0","Nao",IF(IFERROR(INDEX(parametros!$A$2:$A$6,MATCH(C3918,parametros!$B$2:$B$6,0)),"")&lt;&gt;"Sim","Nao",IF(IFERROR(INDEX(parametros!$H$2:$H$6,MATCH(C3918,parametros!$B$2:$B$6,0)),"")="","",IF(B3918&gt;=IFERROR(INDEX(parametros!$H$2:$H$6,MATCH(C3918,parametros!$B$2:$B$6,0)),""),"Sim","Nao"))))))</f>
        <v/>
      </c>
      <c r="T3918" s="156"/>
      <c r="U3918" s="214" t="str">
        <f t="shared" si="311"/>
        <v/>
      </c>
      <c r="V3918" s="212" t="s">
        <v>50</v>
      </c>
      <c r="W3918" s="100" t="s">
        <v>168</v>
      </c>
      <c r="X3918" s="100" t="s">
        <v>169</v>
      </c>
      <c r="Y3918" s="101" t="s">
        <v>170</v>
      </c>
      <c r="Z3918" s="101" t="s">
        <v>171</v>
      </c>
      <c r="AA3918" s="101" t="s">
        <v>50</v>
      </c>
      <c r="AB3918" s="101" t="s">
        <v>172</v>
      </c>
      <c r="AC3918" s="102" t="s">
        <v>173</v>
      </c>
    </row>
    <row r="3919" spans="1:29" ht="25.5" customHeight="1" x14ac:dyDescent="0.35">
      <c r="A3919" s="392"/>
      <c r="B3919" s="393"/>
      <c r="C3919" s="99" t="str">
        <f>IF(B3919="","",IF(NOT(ISNUMBER(B3919)),"DATA_PC invalida",IF(NOT(ISNUMBER(parametros!$C$2)),"Fora dos ciclos",IF(OR(B3919&lt;parametros!$C$2,(YEAR(B3919)-YEAR(parametros!$C$2))*12+MONTH(B3919)-MONTH(parametros!$C$2)&gt;59),"Fora dos ciclos","C"&amp;INT(((YEAR(B3919)-YEAR(parametros!$C$2))*12+MONTH(B3919)-MONTH(parametros!$C$2))/12)))))</f>
        <v/>
      </c>
      <c r="D3919" s="394"/>
      <c r="E3919" s="78" t="str">
        <f>IF(C3919="","",IFERROR(VLOOKUP(C3919,parametros!$A$11:$E$15,5,0),""))</f>
        <v/>
      </c>
      <c r="F3919" s="79" t="str">
        <f t="shared" si="307"/>
        <v/>
      </c>
      <c r="G3919" s="395"/>
      <c r="H3919" s="91">
        <f t="shared" si="308"/>
        <v>0</v>
      </c>
      <c r="I3919" s="91" t="str">
        <f t="shared" si="309"/>
        <v/>
      </c>
      <c r="J3919" s="91" t="str">
        <f t="shared" si="310"/>
        <v/>
      </c>
      <c r="K3919" s="92" t="str">
        <f>IF(AND(A3919="",B3919="",D3919="",G3919=""),"",IF(AND(A3919&lt;&gt;"",COUNTIF($A$2:$A$5001,A3919)&gt;1),"NUMERO_PC duplicado",IF(B3919="","DATA_PC vazia",IF(NOT(ISNUMBER(B3919)),"DATA_PC invalida",IF(OR(C3919="",C3919="Fora dos ciclos"),"CICLO_PC nao identificado",IF(OR(D3919="",D3919=0),"VALOR_PC vazio ou zero",IF(AND(G3919&lt;&gt;"Sim",G3919&lt;&gt;"Nao",G3919&lt;&gt;""),"PC_PAGO_A_CONTRATADA invalido",IF(AND(C3919&lt;&gt;"C0",IFERROR(INDEX(parametros!$A$2:$A$6,MATCH(C3919,parametros!$B$2:$B$6,0)),"")="Sim",IFERROR(INDEX(parametros!$H$2:$H$6,MATCH(C3919,parametros!$B$2:$B$6,0)),"")=""),"INICIO_EFEITO ausente: PC "&amp;A3919&amp;" - "&amp;C3919,IF(L3919="","EFEITO_PC nao calculado: PC "&amp;A3919&amp;" - "&amp;C3919,"OK")))))))))</f>
        <v/>
      </c>
      <c r="L3919" s="92" t="str">
        <f>IF(AND(A3919="",B3919="",D3919="",G3919=""),"",IF(OR(B3919="",NOT(ISNUMBER(B3919)),C3919="",C3919="Fora dos ciclos"),"",IF(C3919="C0","Nao",IF(IFERROR(INDEX(parametros!$A$2:$A$6,MATCH(C3919,parametros!$B$2:$B$6,0)),"")&lt;&gt;"Sim","Nao",IF(IFERROR(INDEX(parametros!$H$2:$H$6,MATCH(C3919,parametros!$B$2:$B$6,0)),"")="","",IF(B3919&gt;=IFERROR(INDEX(parametros!$H$2:$H$6,MATCH(C3919,parametros!$B$2:$B$6,0)),""),"Sim","Nao"))))))</f>
        <v/>
      </c>
      <c r="T3919" s="156"/>
      <c r="U3919" s="214" t="str">
        <f t="shared" si="311"/>
        <v/>
      </c>
      <c r="V3919" s="212" t="s">
        <v>50</v>
      </c>
      <c r="W3919" s="100" t="s">
        <v>168</v>
      </c>
      <c r="X3919" s="100" t="s">
        <v>169</v>
      </c>
      <c r="Y3919" s="101" t="s">
        <v>170</v>
      </c>
      <c r="Z3919" s="101" t="s">
        <v>171</v>
      </c>
      <c r="AA3919" s="101" t="s">
        <v>50</v>
      </c>
      <c r="AB3919" s="101" t="s">
        <v>172</v>
      </c>
      <c r="AC3919" s="102" t="s">
        <v>173</v>
      </c>
    </row>
    <row r="3920" spans="1:29" ht="25.5" customHeight="1" x14ac:dyDescent="0.35">
      <c r="A3920" s="392"/>
      <c r="B3920" s="393"/>
      <c r="C3920" s="99" t="str">
        <f>IF(B3920="","",IF(NOT(ISNUMBER(B3920)),"DATA_PC invalida",IF(NOT(ISNUMBER(parametros!$C$2)),"Fora dos ciclos",IF(OR(B3920&lt;parametros!$C$2,(YEAR(B3920)-YEAR(parametros!$C$2))*12+MONTH(B3920)-MONTH(parametros!$C$2)&gt;59),"Fora dos ciclos","C"&amp;INT(((YEAR(B3920)-YEAR(parametros!$C$2))*12+MONTH(B3920)-MONTH(parametros!$C$2))/12)))))</f>
        <v/>
      </c>
      <c r="D3920" s="394"/>
      <c r="E3920" s="78" t="str">
        <f>IF(C3920="","",IFERROR(VLOOKUP(C3920,parametros!$A$11:$E$15,5,0),""))</f>
        <v/>
      </c>
      <c r="F3920" s="79" t="str">
        <f t="shared" si="307"/>
        <v/>
      </c>
      <c r="G3920" s="395"/>
      <c r="H3920" s="91">
        <f t="shared" si="308"/>
        <v>0</v>
      </c>
      <c r="I3920" s="91" t="str">
        <f t="shared" si="309"/>
        <v/>
      </c>
      <c r="J3920" s="91" t="str">
        <f t="shared" si="310"/>
        <v/>
      </c>
      <c r="K3920" s="92" t="str">
        <f>IF(AND(A3920="",B3920="",D3920="",G3920=""),"",IF(AND(A3920&lt;&gt;"",COUNTIF($A$2:$A$5001,A3920)&gt;1),"NUMERO_PC duplicado",IF(B3920="","DATA_PC vazia",IF(NOT(ISNUMBER(B3920)),"DATA_PC invalida",IF(OR(C3920="",C3920="Fora dos ciclos"),"CICLO_PC nao identificado",IF(OR(D3920="",D3920=0),"VALOR_PC vazio ou zero",IF(AND(G3920&lt;&gt;"Sim",G3920&lt;&gt;"Nao",G3920&lt;&gt;""),"PC_PAGO_A_CONTRATADA invalido",IF(AND(C3920&lt;&gt;"C0",IFERROR(INDEX(parametros!$A$2:$A$6,MATCH(C3920,parametros!$B$2:$B$6,0)),"")="Sim",IFERROR(INDEX(parametros!$H$2:$H$6,MATCH(C3920,parametros!$B$2:$B$6,0)),"")=""),"INICIO_EFEITO ausente: PC "&amp;A3920&amp;" - "&amp;C3920,IF(L3920="","EFEITO_PC nao calculado: PC "&amp;A3920&amp;" - "&amp;C3920,"OK")))))))))</f>
        <v/>
      </c>
      <c r="L3920" s="92" t="str">
        <f>IF(AND(A3920="",B3920="",D3920="",G3920=""),"",IF(OR(B3920="",NOT(ISNUMBER(B3920)),C3920="",C3920="Fora dos ciclos"),"",IF(C3920="C0","Nao",IF(IFERROR(INDEX(parametros!$A$2:$A$6,MATCH(C3920,parametros!$B$2:$B$6,0)),"")&lt;&gt;"Sim","Nao",IF(IFERROR(INDEX(parametros!$H$2:$H$6,MATCH(C3920,parametros!$B$2:$B$6,0)),"")="","",IF(B3920&gt;=IFERROR(INDEX(parametros!$H$2:$H$6,MATCH(C3920,parametros!$B$2:$B$6,0)),""),"Sim","Nao"))))))</f>
        <v/>
      </c>
      <c r="T3920" s="156"/>
      <c r="U3920" s="214" t="str">
        <f t="shared" si="311"/>
        <v/>
      </c>
      <c r="V3920" s="212" t="s">
        <v>50</v>
      </c>
      <c r="W3920" s="100" t="s">
        <v>168</v>
      </c>
      <c r="X3920" s="100" t="s">
        <v>169</v>
      </c>
      <c r="Y3920" s="101" t="s">
        <v>170</v>
      </c>
      <c r="Z3920" s="101" t="s">
        <v>171</v>
      </c>
      <c r="AA3920" s="101" t="s">
        <v>50</v>
      </c>
      <c r="AB3920" s="101" t="s">
        <v>172</v>
      </c>
      <c r="AC3920" s="102" t="s">
        <v>173</v>
      </c>
    </row>
    <row r="3921" spans="1:29" ht="25.5" customHeight="1" x14ac:dyDescent="0.35">
      <c r="A3921" s="392"/>
      <c r="B3921" s="393"/>
      <c r="C3921" s="99" t="str">
        <f>IF(B3921="","",IF(NOT(ISNUMBER(B3921)),"DATA_PC invalida",IF(NOT(ISNUMBER(parametros!$C$2)),"Fora dos ciclos",IF(OR(B3921&lt;parametros!$C$2,(YEAR(B3921)-YEAR(parametros!$C$2))*12+MONTH(B3921)-MONTH(parametros!$C$2)&gt;59),"Fora dos ciclos","C"&amp;INT(((YEAR(B3921)-YEAR(parametros!$C$2))*12+MONTH(B3921)-MONTH(parametros!$C$2))/12)))))</f>
        <v/>
      </c>
      <c r="D3921" s="394"/>
      <c r="E3921" s="78" t="str">
        <f>IF(C3921="","",IFERROR(VLOOKUP(C3921,parametros!$A$11:$E$15,5,0),""))</f>
        <v/>
      </c>
      <c r="F3921" s="79" t="str">
        <f t="shared" si="307"/>
        <v/>
      </c>
      <c r="G3921" s="395"/>
      <c r="H3921" s="91">
        <f t="shared" si="308"/>
        <v>0</v>
      </c>
      <c r="I3921" s="91" t="str">
        <f t="shared" si="309"/>
        <v/>
      </c>
      <c r="J3921" s="91" t="str">
        <f t="shared" si="310"/>
        <v/>
      </c>
      <c r="K3921" s="92" t="str">
        <f>IF(AND(A3921="",B3921="",D3921="",G3921=""),"",IF(AND(A3921&lt;&gt;"",COUNTIF($A$2:$A$5001,A3921)&gt;1),"NUMERO_PC duplicado",IF(B3921="","DATA_PC vazia",IF(NOT(ISNUMBER(B3921)),"DATA_PC invalida",IF(OR(C3921="",C3921="Fora dos ciclos"),"CICLO_PC nao identificado",IF(OR(D3921="",D3921=0),"VALOR_PC vazio ou zero",IF(AND(G3921&lt;&gt;"Sim",G3921&lt;&gt;"Nao",G3921&lt;&gt;""),"PC_PAGO_A_CONTRATADA invalido",IF(AND(C3921&lt;&gt;"C0",IFERROR(INDEX(parametros!$A$2:$A$6,MATCH(C3921,parametros!$B$2:$B$6,0)),"")="Sim",IFERROR(INDEX(parametros!$H$2:$H$6,MATCH(C3921,parametros!$B$2:$B$6,0)),"")=""),"INICIO_EFEITO ausente: PC "&amp;A3921&amp;" - "&amp;C3921,IF(L3921="","EFEITO_PC nao calculado: PC "&amp;A3921&amp;" - "&amp;C3921,"OK")))))))))</f>
        <v/>
      </c>
      <c r="L3921" s="92" t="str">
        <f>IF(AND(A3921="",B3921="",D3921="",G3921=""),"",IF(OR(B3921="",NOT(ISNUMBER(B3921)),C3921="",C3921="Fora dos ciclos"),"",IF(C3921="C0","Nao",IF(IFERROR(INDEX(parametros!$A$2:$A$6,MATCH(C3921,parametros!$B$2:$B$6,0)),"")&lt;&gt;"Sim","Nao",IF(IFERROR(INDEX(parametros!$H$2:$H$6,MATCH(C3921,parametros!$B$2:$B$6,0)),"")="","",IF(B3921&gt;=IFERROR(INDEX(parametros!$H$2:$H$6,MATCH(C3921,parametros!$B$2:$B$6,0)),""),"Sim","Nao"))))))</f>
        <v/>
      </c>
      <c r="T3921" s="156"/>
      <c r="U3921" s="214" t="str">
        <f t="shared" si="311"/>
        <v/>
      </c>
      <c r="V3921" s="212" t="s">
        <v>50</v>
      </c>
      <c r="W3921" s="100" t="s">
        <v>168</v>
      </c>
      <c r="X3921" s="100" t="s">
        <v>169</v>
      </c>
      <c r="Y3921" s="101" t="s">
        <v>170</v>
      </c>
      <c r="Z3921" s="101" t="s">
        <v>171</v>
      </c>
      <c r="AA3921" s="101" t="s">
        <v>50</v>
      </c>
      <c r="AB3921" s="101" t="s">
        <v>172</v>
      </c>
      <c r="AC3921" s="102" t="s">
        <v>173</v>
      </c>
    </row>
    <row r="3922" spans="1:29" ht="25.5" customHeight="1" x14ac:dyDescent="0.35">
      <c r="A3922" s="392"/>
      <c r="B3922" s="393"/>
      <c r="C3922" s="99" t="str">
        <f>IF(B3922="","",IF(NOT(ISNUMBER(B3922)),"DATA_PC invalida",IF(NOT(ISNUMBER(parametros!$C$2)),"Fora dos ciclos",IF(OR(B3922&lt;parametros!$C$2,(YEAR(B3922)-YEAR(parametros!$C$2))*12+MONTH(B3922)-MONTH(parametros!$C$2)&gt;59),"Fora dos ciclos","C"&amp;INT(((YEAR(B3922)-YEAR(parametros!$C$2))*12+MONTH(B3922)-MONTH(parametros!$C$2))/12)))))</f>
        <v/>
      </c>
      <c r="D3922" s="394"/>
      <c r="E3922" s="78" t="str">
        <f>IF(C3922="","",IFERROR(VLOOKUP(C3922,parametros!$A$11:$E$15,5,0),""))</f>
        <v/>
      </c>
      <c r="F3922" s="79" t="str">
        <f t="shared" si="307"/>
        <v/>
      </c>
      <c r="G3922" s="395"/>
      <c r="H3922" s="91">
        <f t="shared" si="308"/>
        <v>0</v>
      </c>
      <c r="I3922" s="91" t="str">
        <f t="shared" si="309"/>
        <v/>
      </c>
      <c r="J3922" s="91" t="str">
        <f t="shared" si="310"/>
        <v/>
      </c>
      <c r="K3922" s="92" t="str">
        <f>IF(AND(A3922="",B3922="",D3922="",G3922=""),"",IF(AND(A3922&lt;&gt;"",COUNTIF($A$2:$A$5001,A3922)&gt;1),"NUMERO_PC duplicado",IF(B3922="","DATA_PC vazia",IF(NOT(ISNUMBER(B3922)),"DATA_PC invalida",IF(OR(C3922="",C3922="Fora dos ciclos"),"CICLO_PC nao identificado",IF(OR(D3922="",D3922=0),"VALOR_PC vazio ou zero",IF(AND(G3922&lt;&gt;"Sim",G3922&lt;&gt;"Nao",G3922&lt;&gt;""),"PC_PAGO_A_CONTRATADA invalido",IF(AND(C3922&lt;&gt;"C0",IFERROR(INDEX(parametros!$A$2:$A$6,MATCH(C3922,parametros!$B$2:$B$6,0)),"")="Sim",IFERROR(INDEX(parametros!$H$2:$H$6,MATCH(C3922,parametros!$B$2:$B$6,0)),"")=""),"INICIO_EFEITO ausente: PC "&amp;A3922&amp;" - "&amp;C3922,IF(L3922="","EFEITO_PC nao calculado: PC "&amp;A3922&amp;" - "&amp;C3922,"OK")))))))))</f>
        <v/>
      </c>
      <c r="L3922" s="92" t="str">
        <f>IF(AND(A3922="",B3922="",D3922="",G3922=""),"",IF(OR(B3922="",NOT(ISNUMBER(B3922)),C3922="",C3922="Fora dos ciclos"),"",IF(C3922="C0","Nao",IF(IFERROR(INDEX(parametros!$A$2:$A$6,MATCH(C3922,parametros!$B$2:$B$6,0)),"")&lt;&gt;"Sim","Nao",IF(IFERROR(INDEX(parametros!$H$2:$H$6,MATCH(C3922,parametros!$B$2:$B$6,0)),"")="","",IF(B3922&gt;=IFERROR(INDEX(parametros!$H$2:$H$6,MATCH(C3922,parametros!$B$2:$B$6,0)),""),"Sim","Nao"))))))</f>
        <v/>
      </c>
      <c r="T3922" s="156"/>
      <c r="U3922" s="214" t="str">
        <f t="shared" si="311"/>
        <v/>
      </c>
      <c r="V3922" s="212" t="s">
        <v>50</v>
      </c>
      <c r="W3922" s="100" t="s">
        <v>168</v>
      </c>
      <c r="X3922" s="100" t="s">
        <v>169</v>
      </c>
      <c r="Y3922" s="101" t="s">
        <v>170</v>
      </c>
      <c r="Z3922" s="101" t="s">
        <v>171</v>
      </c>
      <c r="AA3922" s="101" t="s">
        <v>50</v>
      </c>
      <c r="AB3922" s="101" t="s">
        <v>172</v>
      </c>
      <c r="AC3922" s="102" t="s">
        <v>173</v>
      </c>
    </row>
    <row r="3923" spans="1:29" ht="25.5" customHeight="1" x14ac:dyDescent="0.35">
      <c r="A3923" s="392"/>
      <c r="B3923" s="393"/>
      <c r="C3923" s="99" t="str">
        <f>IF(B3923="","",IF(NOT(ISNUMBER(B3923)),"DATA_PC invalida",IF(NOT(ISNUMBER(parametros!$C$2)),"Fora dos ciclos",IF(OR(B3923&lt;parametros!$C$2,(YEAR(B3923)-YEAR(parametros!$C$2))*12+MONTH(B3923)-MONTH(parametros!$C$2)&gt;59),"Fora dos ciclos","C"&amp;INT(((YEAR(B3923)-YEAR(parametros!$C$2))*12+MONTH(B3923)-MONTH(parametros!$C$2))/12)))))</f>
        <v/>
      </c>
      <c r="D3923" s="394"/>
      <c r="E3923" s="78" t="str">
        <f>IF(C3923="","",IFERROR(VLOOKUP(C3923,parametros!$A$11:$E$15,5,0),""))</f>
        <v/>
      </c>
      <c r="F3923" s="79" t="str">
        <f t="shared" si="307"/>
        <v/>
      </c>
      <c r="G3923" s="395"/>
      <c r="H3923" s="91">
        <f t="shared" si="308"/>
        <v>0</v>
      </c>
      <c r="I3923" s="91" t="str">
        <f t="shared" si="309"/>
        <v/>
      </c>
      <c r="J3923" s="91" t="str">
        <f t="shared" si="310"/>
        <v/>
      </c>
      <c r="K3923" s="92" t="str">
        <f>IF(AND(A3923="",B3923="",D3923="",G3923=""),"",IF(AND(A3923&lt;&gt;"",COUNTIF($A$2:$A$5001,A3923)&gt;1),"NUMERO_PC duplicado",IF(B3923="","DATA_PC vazia",IF(NOT(ISNUMBER(B3923)),"DATA_PC invalida",IF(OR(C3923="",C3923="Fora dos ciclos"),"CICLO_PC nao identificado",IF(OR(D3923="",D3923=0),"VALOR_PC vazio ou zero",IF(AND(G3923&lt;&gt;"Sim",G3923&lt;&gt;"Nao",G3923&lt;&gt;""),"PC_PAGO_A_CONTRATADA invalido",IF(AND(C3923&lt;&gt;"C0",IFERROR(INDEX(parametros!$A$2:$A$6,MATCH(C3923,parametros!$B$2:$B$6,0)),"")="Sim",IFERROR(INDEX(parametros!$H$2:$H$6,MATCH(C3923,parametros!$B$2:$B$6,0)),"")=""),"INICIO_EFEITO ausente: PC "&amp;A3923&amp;" - "&amp;C3923,IF(L3923="","EFEITO_PC nao calculado: PC "&amp;A3923&amp;" - "&amp;C3923,"OK")))))))))</f>
        <v/>
      </c>
      <c r="L3923" s="92" t="str">
        <f>IF(AND(A3923="",B3923="",D3923="",G3923=""),"",IF(OR(B3923="",NOT(ISNUMBER(B3923)),C3923="",C3923="Fora dos ciclos"),"",IF(C3923="C0","Nao",IF(IFERROR(INDEX(parametros!$A$2:$A$6,MATCH(C3923,parametros!$B$2:$B$6,0)),"")&lt;&gt;"Sim","Nao",IF(IFERROR(INDEX(parametros!$H$2:$H$6,MATCH(C3923,parametros!$B$2:$B$6,0)),"")="","",IF(B3923&gt;=IFERROR(INDEX(parametros!$H$2:$H$6,MATCH(C3923,parametros!$B$2:$B$6,0)),""),"Sim","Nao"))))))</f>
        <v/>
      </c>
      <c r="T3923" s="156"/>
      <c r="U3923" s="214" t="str">
        <f t="shared" si="311"/>
        <v/>
      </c>
      <c r="V3923" s="212" t="s">
        <v>50</v>
      </c>
      <c r="W3923" s="100" t="s">
        <v>168</v>
      </c>
      <c r="X3923" s="100" t="s">
        <v>169</v>
      </c>
      <c r="Y3923" s="101" t="s">
        <v>170</v>
      </c>
      <c r="Z3923" s="101" t="s">
        <v>171</v>
      </c>
      <c r="AA3923" s="101" t="s">
        <v>50</v>
      </c>
      <c r="AB3923" s="101" t="s">
        <v>172</v>
      </c>
      <c r="AC3923" s="102" t="s">
        <v>173</v>
      </c>
    </row>
    <row r="3924" spans="1:29" ht="25.5" customHeight="1" x14ac:dyDescent="0.35">
      <c r="A3924" s="392"/>
      <c r="B3924" s="393"/>
      <c r="C3924" s="99" t="str">
        <f>IF(B3924="","",IF(NOT(ISNUMBER(B3924)),"DATA_PC invalida",IF(NOT(ISNUMBER(parametros!$C$2)),"Fora dos ciclos",IF(OR(B3924&lt;parametros!$C$2,(YEAR(B3924)-YEAR(parametros!$C$2))*12+MONTH(B3924)-MONTH(parametros!$C$2)&gt;59),"Fora dos ciclos","C"&amp;INT(((YEAR(B3924)-YEAR(parametros!$C$2))*12+MONTH(B3924)-MONTH(parametros!$C$2))/12)))))</f>
        <v/>
      </c>
      <c r="D3924" s="394"/>
      <c r="E3924" s="78" t="str">
        <f>IF(C3924="","",IFERROR(VLOOKUP(C3924,parametros!$A$11:$E$15,5,0),""))</f>
        <v/>
      </c>
      <c r="F3924" s="79" t="str">
        <f t="shared" si="307"/>
        <v/>
      </c>
      <c r="G3924" s="395"/>
      <c r="H3924" s="91">
        <f t="shared" si="308"/>
        <v>0</v>
      </c>
      <c r="I3924" s="91" t="str">
        <f t="shared" si="309"/>
        <v/>
      </c>
      <c r="J3924" s="91" t="str">
        <f t="shared" si="310"/>
        <v/>
      </c>
      <c r="K3924" s="92" t="str">
        <f>IF(AND(A3924="",B3924="",D3924="",G3924=""),"",IF(AND(A3924&lt;&gt;"",COUNTIF($A$2:$A$5001,A3924)&gt;1),"NUMERO_PC duplicado",IF(B3924="","DATA_PC vazia",IF(NOT(ISNUMBER(B3924)),"DATA_PC invalida",IF(OR(C3924="",C3924="Fora dos ciclos"),"CICLO_PC nao identificado",IF(OR(D3924="",D3924=0),"VALOR_PC vazio ou zero",IF(AND(G3924&lt;&gt;"Sim",G3924&lt;&gt;"Nao",G3924&lt;&gt;""),"PC_PAGO_A_CONTRATADA invalido",IF(AND(C3924&lt;&gt;"C0",IFERROR(INDEX(parametros!$A$2:$A$6,MATCH(C3924,parametros!$B$2:$B$6,0)),"")="Sim",IFERROR(INDEX(parametros!$H$2:$H$6,MATCH(C3924,parametros!$B$2:$B$6,0)),"")=""),"INICIO_EFEITO ausente: PC "&amp;A3924&amp;" - "&amp;C3924,IF(L3924="","EFEITO_PC nao calculado: PC "&amp;A3924&amp;" - "&amp;C3924,"OK")))))))))</f>
        <v/>
      </c>
      <c r="L3924" s="92" t="str">
        <f>IF(AND(A3924="",B3924="",D3924="",G3924=""),"",IF(OR(B3924="",NOT(ISNUMBER(B3924)),C3924="",C3924="Fora dos ciclos"),"",IF(C3924="C0","Nao",IF(IFERROR(INDEX(parametros!$A$2:$A$6,MATCH(C3924,parametros!$B$2:$B$6,0)),"")&lt;&gt;"Sim","Nao",IF(IFERROR(INDEX(parametros!$H$2:$H$6,MATCH(C3924,parametros!$B$2:$B$6,0)),"")="","",IF(B3924&gt;=IFERROR(INDEX(parametros!$H$2:$H$6,MATCH(C3924,parametros!$B$2:$B$6,0)),""),"Sim","Nao"))))))</f>
        <v/>
      </c>
      <c r="T3924" s="156"/>
      <c r="U3924" s="214" t="str">
        <f t="shared" si="311"/>
        <v/>
      </c>
      <c r="V3924" s="212" t="s">
        <v>50</v>
      </c>
      <c r="W3924" s="100" t="s">
        <v>168</v>
      </c>
      <c r="X3924" s="100" t="s">
        <v>169</v>
      </c>
      <c r="Y3924" s="101" t="s">
        <v>170</v>
      </c>
      <c r="Z3924" s="101" t="s">
        <v>171</v>
      </c>
      <c r="AA3924" s="101" t="s">
        <v>50</v>
      </c>
      <c r="AB3924" s="101" t="s">
        <v>172</v>
      </c>
      <c r="AC3924" s="102" t="s">
        <v>173</v>
      </c>
    </row>
    <row r="3925" spans="1:29" ht="25.5" customHeight="1" x14ac:dyDescent="0.35">
      <c r="A3925" s="392"/>
      <c r="B3925" s="393"/>
      <c r="C3925" s="99" t="str">
        <f>IF(B3925="","",IF(NOT(ISNUMBER(B3925)),"DATA_PC invalida",IF(NOT(ISNUMBER(parametros!$C$2)),"Fora dos ciclos",IF(OR(B3925&lt;parametros!$C$2,(YEAR(B3925)-YEAR(parametros!$C$2))*12+MONTH(B3925)-MONTH(parametros!$C$2)&gt;59),"Fora dos ciclos","C"&amp;INT(((YEAR(B3925)-YEAR(parametros!$C$2))*12+MONTH(B3925)-MONTH(parametros!$C$2))/12)))))</f>
        <v/>
      </c>
      <c r="D3925" s="394"/>
      <c r="E3925" s="78" t="str">
        <f>IF(C3925="","",IFERROR(VLOOKUP(C3925,parametros!$A$11:$E$15,5,0),""))</f>
        <v/>
      </c>
      <c r="F3925" s="79" t="str">
        <f t="shared" si="307"/>
        <v/>
      </c>
      <c r="G3925" s="395"/>
      <c r="H3925" s="91">
        <f t="shared" si="308"/>
        <v>0</v>
      </c>
      <c r="I3925" s="91" t="str">
        <f t="shared" si="309"/>
        <v/>
      </c>
      <c r="J3925" s="91" t="str">
        <f t="shared" si="310"/>
        <v/>
      </c>
      <c r="K3925" s="92" t="str">
        <f>IF(AND(A3925="",B3925="",D3925="",G3925=""),"",IF(AND(A3925&lt;&gt;"",COUNTIF($A$2:$A$5001,A3925)&gt;1),"NUMERO_PC duplicado",IF(B3925="","DATA_PC vazia",IF(NOT(ISNUMBER(B3925)),"DATA_PC invalida",IF(OR(C3925="",C3925="Fora dos ciclos"),"CICLO_PC nao identificado",IF(OR(D3925="",D3925=0),"VALOR_PC vazio ou zero",IF(AND(G3925&lt;&gt;"Sim",G3925&lt;&gt;"Nao",G3925&lt;&gt;""),"PC_PAGO_A_CONTRATADA invalido",IF(AND(C3925&lt;&gt;"C0",IFERROR(INDEX(parametros!$A$2:$A$6,MATCH(C3925,parametros!$B$2:$B$6,0)),"")="Sim",IFERROR(INDEX(parametros!$H$2:$H$6,MATCH(C3925,parametros!$B$2:$B$6,0)),"")=""),"INICIO_EFEITO ausente: PC "&amp;A3925&amp;" - "&amp;C3925,IF(L3925="","EFEITO_PC nao calculado: PC "&amp;A3925&amp;" - "&amp;C3925,"OK")))))))))</f>
        <v/>
      </c>
      <c r="L3925" s="92" t="str">
        <f>IF(AND(A3925="",B3925="",D3925="",G3925=""),"",IF(OR(B3925="",NOT(ISNUMBER(B3925)),C3925="",C3925="Fora dos ciclos"),"",IF(C3925="C0","Nao",IF(IFERROR(INDEX(parametros!$A$2:$A$6,MATCH(C3925,parametros!$B$2:$B$6,0)),"")&lt;&gt;"Sim","Nao",IF(IFERROR(INDEX(parametros!$H$2:$H$6,MATCH(C3925,parametros!$B$2:$B$6,0)),"")="","",IF(B3925&gt;=IFERROR(INDEX(parametros!$H$2:$H$6,MATCH(C3925,parametros!$B$2:$B$6,0)),""),"Sim","Nao"))))))</f>
        <v/>
      </c>
      <c r="T3925" s="156"/>
      <c r="U3925" s="214" t="str">
        <f t="shared" si="311"/>
        <v/>
      </c>
      <c r="V3925" s="212" t="s">
        <v>50</v>
      </c>
      <c r="W3925" s="100" t="s">
        <v>168</v>
      </c>
      <c r="X3925" s="100" t="s">
        <v>169</v>
      </c>
      <c r="Y3925" s="101" t="s">
        <v>170</v>
      </c>
      <c r="Z3925" s="101" t="s">
        <v>171</v>
      </c>
      <c r="AA3925" s="101" t="s">
        <v>50</v>
      </c>
      <c r="AB3925" s="101" t="s">
        <v>172</v>
      </c>
      <c r="AC3925" s="102" t="s">
        <v>173</v>
      </c>
    </row>
    <row r="3926" spans="1:29" ht="25.5" customHeight="1" x14ac:dyDescent="0.35">
      <c r="A3926" s="392"/>
      <c r="B3926" s="393"/>
      <c r="C3926" s="99" t="str">
        <f>IF(B3926="","",IF(NOT(ISNUMBER(B3926)),"DATA_PC invalida",IF(NOT(ISNUMBER(parametros!$C$2)),"Fora dos ciclos",IF(OR(B3926&lt;parametros!$C$2,(YEAR(B3926)-YEAR(parametros!$C$2))*12+MONTH(B3926)-MONTH(parametros!$C$2)&gt;59),"Fora dos ciclos","C"&amp;INT(((YEAR(B3926)-YEAR(parametros!$C$2))*12+MONTH(B3926)-MONTH(parametros!$C$2))/12)))))</f>
        <v/>
      </c>
      <c r="D3926" s="394"/>
      <c r="E3926" s="78" t="str">
        <f>IF(C3926="","",IFERROR(VLOOKUP(C3926,parametros!$A$11:$E$15,5,0),""))</f>
        <v/>
      </c>
      <c r="F3926" s="79" t="str">
        <f t="shared" si="307"/>
        <v/>
      </c>
      <c r="G3926" s="395"/>
      <c r="H3926" s="91">
        <f t="shared" si="308"/>
        <v>0</v>
      </c>
      <c r="I3926" s="91" t="str">
        <f t="shared" si="309"/>
        <v/>
      </c>
      <c r="J3926" s="91" t="str">
        <f t="shared" si="310"/>
        <v/>
      </c>
      <c r="K3926" s="92" t="str">
        <f>IF(AND(A3926="",B3926="",D3926="",G3926=""),"",IF(AND(A3926&lt;&gt;"",COUNTIF($A$2:$A$5001,A3926)&gt;1),"NUMERO_PC duplicado",IF(B3926="","DATA_PC vazia",IF(NOT(ISNUMBER(B3926)),"DATA_PC invalida",IF(OR(C3926="",C3926="Fora dos ciclos"),"CICLO_PC nao identificado",IF(OR(D3926="",D3926=0),"VALOR_PC vazio ou zero",IF(AND(G3926&lt;&gt;"Sim",G3926&lt;&gt;"Nao",G3926&lt;&gt;""),"PC_PAGO_A_CONTRATADA invalido",IF(AND(C3926&lt;&gt;"C0",IFERROR(INDEX(parametros!$A$2:$A$6,MATCH(C3926,parametros!$B$2:$B$6,0)),"")="Sim",IFERROR(INDEX(parametros!$H$2:$H$6,MATCH(C3926,parametros!$B$2:$B$6,0)),"")=""),"INICIO_EFEITO ausente: PC "&amp;A3926&amp;" - "&amp;C3926,IF(L3926="","EFEITO_PC nao calculado: PC "&amp;A3926&amp;" - "&amp;C3926,"OK")))))))))</f>
        <v/>
      </c>
      <c r="L3926" s="92" t="str">
        <f>IF(AND(A3926="",B3926="",D3926="",G3926=""),"",IF(OR(B3926="",NOT(ISNUMBER(B3926)),C3926="",C3926="Fora dos ciclos"),"",IF(C3926="C0","Nao",IF(IFERROR(INDEX(parametros!$A$2:$A$6,MATCH(C3926,parametros!$B$2:$B$6,0)),"")&lt;&gt;"Sim","Nao",IF(IFERROR(INDEX(parametros!$H$2:$H$6,MATCH(C3926,parametros!$B$2:$B$6,0)),"")="","",IF(B3926&gt;=IFERROR(INDEX(parametros!$H$2:$H$6,MATCH(C3926,parametros!$B$2:$B$6,0)),""),"Sim","Nao"))))))</f>
        <v/>
      </c>
      <c r="T3926" s="156"/>
      <c r="U3926" s="214" t="str">
        <f t="shared" si="311"/>
        <v/>
      </c>
      <c r="V3926" s="212" t="s">
        <v>50</v>
      </c>
      <c r="W3926" s="100" t="s">
        <v>168</v>
      </c>
      <c r="X3926" s="100" t="s">
        <v>169</v>
      </c>
      <c r="Y3926" s="101" t="s">
        <v>170</v>
      </c>
      <c r="Z3926" s="101" t="s">
        <v>171</v>
      </c>
      <c r="AA3926" s="101" t="s">
        <v>50</v>
      </c>
      <c r="AB3926" s="101" t="s">
        <v>172</v>
      </c>
      <c r="AC3926" s="102" t="s">
        <v>173</v>
      </c>
    </row>
    <row r="3927" spans="1:29" ht="25.5" customHeight="1" x14ac:dyDescent="0.35">
      <c r="A3927" s="392"/>
      <c r="B3927" s="393"/>
      <c r="C3927" s="99" t="str">
        <f>IF(B3927="","",IF(NOT(ISNUMBER(B3927)),"DATA_PC invalida",IF(NOT(ISNUMBER(parametros!$C$2)),"Fora dos ciclos",IF(OR(B3927&lt;parametros!$C$2,(YEAR(B3927)-YEAR(parametros!$C$2))*12+MONTH(B3927)-MONTH(parametros!$C$2)&gt;59),"Fora dos ciclos","C"&amp;INT(((YEAR(B3927)-YEAR(parametros!$C$2))*12+MONTH(B3927)-MONTH(parametros!$C$2))/12)))))</f>
        <v/>
      </c>
      <c r="D3927" s="394"/>
      <c r="E3927" s="78" t="str">
        <f>IF(C3927="","",IFERROR(VLOOKUP(C3927,parametros!$A$11:$E$15,5,0),""))</f>
        <v/>
      </c>
      <c r="F3927" s="79" t="str">
        <f t="shared" si="307"/>
        <v/>
      </c>
      <c r="G3927" s="395"/>
      <c r="H3927" s="91">
        <f t="shared" si="308"/>
        <v>0</v>
      </c>
      <c r="I3927" s="91" t="str">
        <f t="shared" si="309"/>
        <v/>
      </c>
      <c r="J3927" s="91" t="str">
        <f t="shared" si="310"/>
        <v/>
      </c>
      <c r="K3927" s="92" t="str">
        <f>IF(AND(A3927="",B3927="",D3927="",G3927=""),"",IF(AND(A3927&lt;&gt;"",COUNTIF($A$2:$A$5001,A3927)&gt;1),"NUMERO_PC duplicado",IF(B3927="","DATA_PC vazia",IF(NOT(ISNUMBER(B3927)),"DATA_PC invalida",IF(OR(C3927="",C3927="Fora dos ciclos"),"CICLO_PC nao identificado",IF(OR(D3927="",D3927=0),"VALOR_PC vazio ou zero",IF(AND(G3927&lt;&gt;"Sim",G3927&lt;&gt;"Nao",G3927&lt;&gt;""),"PC_PAGO_A_CONTRATADA invalido",IF(AND(C3927&lt;&gt;"C0",IFERROR(INDEX(parametros!$A$2:$A$6,MATCH(C3927,parametros!$B$2:$B$6,0)),"")="Sim",IFERROR(INDEX(parametros!$H$2:$H$6,MATCH(C3927,parametros!$B$2:$B$6,0)),"")=""),"INICIO_EFEITO ausente: PC "&amp;A3927&amp;" - "&amp;C3927,IF(L3927="","EFEITO_PC nao calculado: PC "&amp;A3927&amp;" - "&amp;C3927,"OK")))))))))</f>
        <v/>
      </c>
      <c r="L3927" s="92" t="str">
        <f>IF(AND(A3927="",B3927="",D3927="",G3927=""),"",IF(OR(B3927="",NOT(ISNUMBER(B3927)),C3927="",C3927="Fora dos ciclos"),"",IF(C3927="C0","Nao",IF(IFERROR(INDEX(parametros!$A$2:$A$6,MATCH(C3927,parametros!$B$2:$B$6,0)),"")&lt;&gt;"Sim","Nao",IF(IFERROR(INDEX(parametros!$H$2:$H$6,MATCH(C3927,parametros!$B$2:$B$6,0)),"")="","",IF(B3927&gt;=IFERROR(INDEX(parametros!$H$2:$H$6,MATCH(C3927,parametros!$B$2:$B$6,0)),""),"Sim","Nao"))))))</f>
        <v/>
      </c>
      <c r="T3927" s="156"/>
      <c r="U3927" s="214" t="str">
        <f t="shared" si="311"/>
        <v/>
      </c>
      <c r="V3927" s="212" t="s">
        <v>50</v>
      </c>
      <c r="W3927" s="100" t="s">
        <v>168</v>
      </c>
      <c r="X3927" s="100" t="s">
        <v>169</v>
      </c>
      <c r="Y3927" s="101" t="s">
        <v>170</v>
      </c>
      <c r="Z3927" s="101" t="s">
        <v>171</v>
      </c>
      <c r="AA3927" s="101" t="s">
        <v>50</v>
      </c>
      <c r="AB3927" s="101" t="s">
        <v>172</v>
      </c>
      <c r="AC3927" s="102" t="s">
        <v>173</v>
      </c>
    </row>
    <row r="3928" spans="1:29" ht="25.5" customHeight="1" x14ac:dyDescent="0.35">
      <c r="A3928" s="392"/>
      <c r="B3928" s="393"/>
      <c r="C3928" s="99" t="str">
        <f>IF(B3928="","",IF(NOT(ISNUMBER(B3928)),"DATA_PC invalida",IF(NOT(ISNUMBER(parametros!$C$2)),"Fora dos ciclos",IF(OR(B3928&lt;parametros!$C$2,(YEAR(B3928)-YEAR(parametros!$C$2))*12+MONTH(B3928)-MONTH(parametros!$C$2)&gt;59),"Fora dos ciclos","C"&amp;INT(((YEAR(B3928)-YEAR(parametros!$C$2))*12+MONTH(B3928)-MONTH(parametros!$C$2))/12)))))</f>
        <v/>
      </c>
      <c r="D3928" s="394"/>
      <c r="E3928" s="78" t="str">
        <f>IF(C3928="","",IFERROR(VLOOKUP(C3928,parametros!$A$11:$E$15,5,0),""))</f>
        <v/>
      </c>
      <c r="F3928" s="79" t="str">
        <f t="shared" si="307"/>
        <v/>
      </c>
      <c r="G3928" s="395"/>
      <c r="H3928" s="91">
        <f t="shared" si="308"/>
        <v>0</v>
      </c>
      <c r="I3928" s="91" t="str">
        <f t="shared" si="309"/>
        <v/>
      </c>
      <c r="J3928" s="91" t="str">
        <f t="shared" si="310"/>
        <v/>
      </c>
      <c r="K3928" s="92" t="str">
        <f>IF(AND(A3928="",B3928="",D3928="",G3928=""),"",IF(AND(A3928&lt;&gt;"",COUNTIF($A$2:$A$5001,A3928)&gt;1),"NUMERO_PC duplicado",IF(B3928="","DATA_PC vazia",IF(NOT(ISNUMBER(B3928)),"DATA_PC invalida",IF(OR(C3928="",C3928="Fora dos ciclos"),"CICLO_PC nao identificado",IF(OR(D3928="",D3928=0),"VALOR_PC vazio ou zero",IF(AND(G3928&lt;&gt;"Sim",G3928&lt;&gt;"Nao",G3928&lt;&gt;""),"PC_PAGO_A_CONTRATADA invalido",IF(AND(C3928&lt;&gt;"C0",IFERROR(INDEX(parametros!$A$2:$A$6,MATCH(C3928,parametros!$B$2:$B$6,0)),"")="Sim",IFERROR(INDEX(parametros!$H$2:$H$6,MATCH(C3928,parametros!$B$2:$B$6,0)),"")=""),"INICIO_EFEITO ausente: PC "&amp;A3928&amp;" - "&amp;C3928,IF(L3928="","EFEITO_PC nao calculado: PC "&amp;A3928&amp;" - "&amp;C3928,"OK")))))))))</f>
        <v/>
      </c>
      <c r="L3928" s="92" t="str">
        <f>IF(AND(A3928="",B3928="",D3928="",G3928=""),"",IF(OR(B3928="",NOT(ISNUMBER(B3928)),C3928="",C3928="Fora dos ciclos"),"",IF(C3928="C0","Nao",IF(IFERROR(INDEX(parametros!$A$2:$A$6,MATCH(C3928,parametros!$B$2:$B$6,0)),"")&lt;&gt;"Sim","Nao",IF(IFERROR(INDEX(parametros!$H$2:$H$6,MATCH(C3928,parametros!$B$2:$B$6,0)),"")="","",IF(B3928&gt;=IFERROR(INDEX(parametros!$H$2:$H$6,MATCH(C3928,parametros!$B$2:$B$6,0)),""),"Sim","Nao"))))))</f>
        <v/>
      </c>
      <c r="T3928" s="156"/>
      <c r="U3928" s="214" t="str">
        <f t="shared" si="311"/>
        <v/>
      </c>
      <c r="V3928" s="212" t="s">
        <v>50</v>
      </c>
      <c r="W3928" s="100" t="s">
        <v>168</v>
      </c>
      <c r="X3928" s="100" t="s">
        <v>169</v>
      </c>
      <c r="Y3928" s="101" t="s">
        <v>170</v>
      </c>
      <c r="Z3928" s="101" t="s">
        <v>171</v>
      </c>
      <c r="AA3928" s="101" t="s">
        <v>50</v>
      </c>
      <c r="AB3928" s="101" t="s">
        <v>172</v>
      </c>
      <c r="AC3928" s="102" t="s">
        <v>173</v>
      </c>
    </row>
    <row r="3929" spans="1:29" ht="25.5" customHeight="1" x14ac:dyDescent="0.35">
      <c r="A3929" s="392"/>
      <c r="B3929" s="393"/>
      <c r="C3929" s="99" t="str">
        <f>IF(B3929="","",IF(NOT(ISNUMBER(B3929)),"DATA_PC invalida",IF(NOT(ISNUMBER(parametros!$C$2)),"Fora dos ciclos",IF(OR(B3929&lt;parametros!$C$2,(YEAR(B3929)-YEAR(parametros!$C$2))*12+MONTH(B3929)-MONTH(parametros!$C$2)&gt;59),"Fora dos ciclos","C"&amp;INT(((YEAR(B3929)-YEAR(parametros!$C$2))*12+MONTH(B3929)-MONTH(parametros!$C$2))/12)))))</f>
        <v/>
      </c>
      <c r="D3929" s="394"/>
      <c r="E3929" s="78" t="str">
        <f>IF(C3929="","",IFERROR(VLOOKUP(C3929,parametros!$A$11:$E$15,5,0),""))</f>
        <v/>
      </c>
      <c r="F3929" s="79" t="str">
        <f t="shared" si="307"/>
        <v/>
      </c>
      <c r="G3929" s="395"/>
      <c r="H3929" s="91">
        <f t="shared" si="308"/>
        <v>0</v>
      </c>
      <c r="I3929" s="91" t="str">
        <f t="shared" si="309"/>
        <v/>
      </c>
      <c r="J3929" s="91" t="str">
        <f t="shared" si="310"/>
        <v/>
      </c>
      <c r="K3929" s="92" t="str">
        <f>IF(AND(A3929="",B3929="",D3929="",G3929=""),"",IF(AND(A3929&lt;&gt;"",COUNTIF($A$2:$A$5001,A3929)&gt;1),"NUMERO_PC duplicado",IF(B3929="","DATA_PC vazia",IF(NOT(ISNUMBER(B3929)),"DATA_PC invalida",IF(OR(C3929="",C3929="Fora dos ciclos"),"CICLO_PC nao identificado",IF(OR(D3929="",D3929=0),"VALOR_PC vazio ou zero",IF(AND(G3929&lt;&gt;"Sim",G3929&lt;&gt;"Nao",G3929&lt;&gt;""),"PC_PAGO_A_CONTRATADA invalido",IF(AND(C3929&lt;&gt;"C0",IFERROR(INDEX(parametros!$A$2:$A$6,MATCH(C3929,parametros!$B$2:$B$6,0)),"")="Sim",IFERROR(INDEX(parametros!$H$2:$H$6,MATCH(C3929,parametros!$B$2:$B$6,0)),"")=""),"INICIO_EFEITO ausente: PC "&amp;A3929&amp;" - "&amp;C3929,IF(L3929="","EFEITO_PC nao calculado: PC "&amp;A3929&amp;" - "&amp;C3929,"OK")))))))))</f>
        <v/>
      </c>
      <c r="L3929" s="92" t="str">
        <f>IF(AND(A3929="",B3929="",D3929="",G3929=""),"",IF(OR(B3929="",NOT(ISNUMBER(B3929)),C3929="",C3929="Fora dos ciclos"),"",IF(C3929="C0","Nao",IF(IFERROR(INDEX(parametros!$A$2:$A$6,MATCH(C3929,parametros!$B$2:$B$6,0)),"")&lt;&gt;"Sim","Nao",IF(IFERROR(INDEX(parametros!$H$2:$H$6,MATCH(C3929,parametros!$B$2:$B$6,0)),"")="","",IF(B3929&gt;=IFERROR(INDEX(parametros!$H$2:$H$6,MATCH(C3929,parametros!$B$2:$B$6,0)),""),"Sim","Nao"))))))</f>
        <v/>
      </c>
      <c r="T3929" s="156"/>
      <c r="U3929" s="214" t="str">
        <f t="shared" si="311"/>
        <v/>
      </c>
      <c r="V3929" s="212" t="s">
        <v>50</v>
      </c>
      <c r="W3929" s="100" t="s">
        <v>168</v>
      </c>
      <c r="X3929" s="100" t="s">
        <v>169</v>
      </c>
      <c r="Y3929" s="101" t="s">
        <v>170</v>
      </c>
      <c r="Z3929" s="101" t="s">
        <v>171</v>
      </c>
      <c r="AA3929" s="101" t="s">
        <v>50</v>
      </c>
      <c r="AB3929" s="101" t="s">
        <v>172</v>
      </c>
      <c r="AC3929" s="102" t="s">
        <v>173</v>
      </c>
    </row>
    <row r="3930" spans="1:29" ht="25.5" customHeight="1" x14ac:dyDescent="0.35">
      <c r="A3930" s="392"/>
      <c r="B3930" s="393"/>
      <c r="C3930" s="99" t="str">
        <f>IF(B3930="","",IF(NOT(ISNUMBER(B3930)),"DATA_PC invalida",IF(NOT(ISNUMBER(parametros!$C$2)),"Fora dos ciclos",IF(OR(B3930&lt;parametros!$C$2,(YEAR(B3930)-YEAR(parametros!$C$2))*12+MONTH(B3930)-MONTH(parametros!$C$2)&gt;59),"Fora dos ciclos","C"&amp;INT(((YEAR(B3930)-YEAR(parametros!$C$2))*12+MONTH(B3930)-MONTH(parametros!$C$2))/12)))))</f>
        <v/>
      </c>
      <c r="D3930" s="394"/>
      <c r="E3930" s="78" t="str">
        <f>IF(C3930="","",IFERROR(VLOOKUP(C3930,parametros!$A$11:$E$15,5,0),""))</f>
        <v/>
      </c>
      <c r="F3930" s="79" t="str">
        <f t="shared" si="307"/>
        <v/>
      </c>
      <c r="G3930" s="395"/>
      <c r="H3930" s="91">
        <f t="shared" si="308"/>
        <v>0</v>
      </c>
      <c r="I3930" s="91" t="str">
        <f t="shared" si="309"/>
        <v/>
      </c>
      <c r="J3930" s="91" t="str">
        <f t="shared" si="310"/>
        <v/>
      </c>
      <c r="K3930" s="92" t="str">
        <f>IF(AND(A3930="",B3930="",D3930="",G3930=""),"",IF(AND(A3930&lt;&gt;"",COUNTIF($A$2:$A$5001,A3930)&gt;1),"NUMERO_PC duplicado",IF(B3930="","DATA_PC vazia",IF(NOT(ISNUMBER(B3930)),"DATA_PC invalida",IF(OR(C3930="",C3930="Fora dos ciclos"),"CICLO_PC nao identificado",IF(OR(D3930="",D3930=0),"VALOR_PC vazio ou zero",IF(AND(G3930&lt;&gt;"Sim",G3930&lt;&gt;"Nao",G3930&lt;&gt;""),"PC_PAGO_A_CONTRATADA invalido",IF(AND(C3930&lt;&gt;"C0",IFERROR(INDEX(parametros!$A$2:$A$6,MATCH(C3930,parametros!$B$2:$B$6,0)),"")="Sim",IFERROR(INDEX(parametros!$H$2:$H$6,MATCH(C3930,parametros!$B$2:$B$6,0)),"")=""),"INICIO_EFEITO ausente: PC "&amp;A3930&amp;" - "&amp;C3930,IF(L3930="","EFEITO_PC nao calculado: PC "&amp;A3930&amp;" - "&amp;C3930,"OK")))))))))</f>
        <v/>
      </c>
      <c r="L3930" s="92" t="str">
        <f>IF(AND(A3930="",B3930="",D3930="",G3930=""),"",IF(OR(B3930="",NOT(ISNUMBER(B3930)),C3930="",C3930="Fora dos ciclos"),"",IF(C3930="C0","Nao",IF(IFERROR(INDEX(parametros!$A$2:$A$6,MATCH(C3930,parametros!$B$2:$B$6,0)),"")&lt;&gt;"Sim","Nao",IF(IFERROR(INDEX(parametros!$H$2:$H$6,MATCH(C3930,parametros!$B$2:$B$6,0)),"")="","",IF(B3930&gt;=IFERROR(INDEX(parametros!$H$2:$H$6,MATCH(C3930,parametros!$B$2:$B$6,0)),""),"Sim","Nao"))))))</f>
        <v/>
      </c>
      <c r="T3930" s="156"/>
      <c r="U3930" s="214" t="str">
        <f t="shared" si="311"/>
        <v/>
      </c>
      <c r="V3930" s="212" t="s">
        <v>50</v>
      </c>
      <c r="W3930" s="100" t="s">
        <v>168</v>
      </c>
      <c r="X3930" s="100" t="s">
        <v>169</v>
      </c>
      <c r="Y3930" s="101" t="s">
        <v>170</v>
      </c>
      <c r="Z3930" s="101" t="s">
        <v>171</v>
      </c>
      <c r="AA3930" s="101" t="s">
        <v>50</v>
      </c>
      <c r="AB3930" s="101" t="s">
        <v>172</v>
      </c>
      <c r="AC3930" s="102" t="s">
        <v>173</v>
      </c>
    </row>
    <row r="3931" spans="1:29" ht="25.5" customHeight="1" x14ac:dyDescent="0.35">
      <c r="A3931" s="392"/>
      <c r="B3931" s="393"/>
      <c r="C3931" s="99" t="str">
        <f>IF(B3931="","",IF(NOT(ISNUMBER(B3931)),"DATA_PC invalida",IF(NOT(ISNUMBER(parametros!$C$2)),"Fora dos ciclos",IF(OR(B3931&lt;parametros!$C$2,(YEAR(B3931)-YEAR(parametros!$C$2))*12+MONTH(B3931)-MONTH(parametros!$C$2)&gt;59),"Fora dos ciclos","C"&amp;INT(((YEAR(B3931)-YEAR(parametros!$C$2))*12+MONTH(B3931)-MONTH(parametros!$C$2))/12)))))</f>
        <v/>
      </c>
      <c r="D3931" s="394"/>
      <c r="E3931" s="78" t="str">
        <f>IF(C3931="","",IFERROR(VLOOKUP(C3931,parametros!$A$11:$E$15,5,0),""))</f>
        <v/>
      </c>
      <c r="F3931" s="79" t="str">
        <f t="shared" si="307"/>
        <v/>
      </c>
      <c r="G3931" s="395"/>
      <c r="H3931" s="91">
        <f t="shared" si="308"/>
        <v>0</v>
      </c>
      <c r="I3931" s="91" t="str">
        <f t="shared" si="309"/>
        <v/>
      </c>
      <c r="J3931" s="91" t="str">
        <f t="shared" si="310"/>
        <v/>
      </c>
      <c r="K3931" s="92" t="str">
        <f>IF(AND(A3931="",B3931="",D3931="",G3931=""),"",IF(AND(A3931&lt;&gt;"",COUNTIF($A$2:$A$5001,A3931)&gt;1),"NUMERO_PC duplicado",IF(B3931="","DATA_PC vazia",IF(NOT(ISNUMBER(B3931)),"DATA_PC invalida",IF(OR(C3931="",C3931="Fora dos ciclos"),"CICLO_PC nao identificado",IF(OR(D3931="",D3931=0),"VALOR_PC vazio ou zero",IF(AND(G3931&lt;&gt;"Sim",G3931&lt;&gt;"Nao",G3931&lt;&gt;""),"PC_PAGO_A_CONTRATADA invalido",IF(AND(C3931&lt;&gt;"C0",IFERROR(INDEX(parametros!$A$2:$A$6,MATCH(C3931,parametros!$B$2:$B$6,0)),"")="Sim",IFERROR(INDEX(parametros!$H$2:$H$6,MATCH(C3931,parametros!$B$2:$B$6,0)),"")=""),"INICIO_EFEITO ausente: PC "&amp;A3931&amp;" - "&amp;C3931,IF(L3931="","EFEITO_PC nao calculado: PC "&amp;A3931&amp;" - "&amp;C3931,"OK")))))))))</f>
        <v/>
      </c>
      <c r="L3931" s="92" t="str">
        <f>IF(AND(A3931="",B3931="",D3931="",G3931=""),"",IF(OR(B3931="",NOT(ISNUMBER(B3931)),C3931="",C3931="Fora dos ciclos"),"",IF(C3931="C0","Nao",IF(IFERROR(INDEX(parametros!$A$2:$A$6,MATCH(C3931,parametros!$B$2:$B$6,0)),"")&lt;&gt;"Sim","Nao",IF(IFERROR(INDEX(parametros!$H$2:$H$6,MATCH(C3931,parametros!$B$2:$B$6,0)),"")="","",IF(B3931&gt;=IFERROR(INDEX(parametros!$H$2:$H$6,MATCH(C3931,parametros!$B$2:$B$6,0)),""),"Sim","Nao"))))))</f>
        <v/>
      </c>
      <c r="T3931" s="156"/>
      <c r="U3931" s="214" t="str">
        <f t="shared" si="311"/>
        <v/>
      </c>
      <c r="V3931" s="212" t="s">
        <v>50</v>
      </c>
      <c r="W3931" s="100" t="s">
        <v>168</v>
      </c>
      <c r="X3931" s="100" t="s">
        <v>169</v>
      </c>
      <c r="Y3931" s="101" t="s">
        <v>170</v>
      </c>
      <c r="Z3931" s="101" t="s">
        <v>171</v>
      </c>
      <c r="AA3931" s="101" t="s">
        <v>50</v>
      </c>
      <c r="AB3931" s="101" t="s">
        <v>172</v>
      </c>
      <c r="AC3931" s="102" t="s">
        <v>173</v>
      </c>
    </row>
    <row r="3932" spans="1:29" ht="25.5" customHeight="1" x14ac:dyDescent="0.35">
      <c r="A3932" s="392"/>
      <c r="B3932" s="393"/>
      <c r="C3932" s="99" t="str">
        <f>IF(B3932="","",IF(NOT(ISNUMBER(B3932)),"DATA_PC invalida",IF(NOT(ISNUMBER(parametros!$C$2)),"Fora dos ciclos",IF(OR(B3932&lt;parametros!$C$2,(YEAR(B3932)-YEAR(parametros!$C$2))*12+MONTH(B3932)-MONTH(parametros!$C$2)&gt;59),"Fora dos ciclos","C"&amp;INT(((YEAR(B3932)-YEAR(parametros!$C$2))*12+MONTH(B3932)-MONTH(parametros!$C$2))/12)))))</f>
        <v/>
      </c>
      <c r="D3932" s="394"/>
      <c r="E3932" s="78" t="str">
        <f>IF(C3932="","",IFERROR(VLOOKUP(C3932,parametros!$A$11:$E$15,5,0),""))</f>
        <v/>
      </c>
      <c r="F3932" s="79" t="str">
        <f t="shared" si="307"/>
        <v/>
      </c>
      <c r="G3932" s="395"/>
      <c r="H3932" s="91">
        <f t="shared" si="308"/>
        <v>0</v>
      </c>
      <c r="I3932" s="91" t="str">
        <f t="shared" si="309"/>
        <v/>
      </c>
      <c r="J3932" s="91" t="str">
        <f t="shared" si="310"/>
        <v/>
      </c>
      <c r="K3932" s="92" t="str">
        <f>IF(AND(A3932="",B3932="",D3932="",G3932=""),"",IF(AND(A3932&lt;&gt;"",COUNTIF($A$2:$A$5001,A3932)&gt;1),"NUMERO_PC duplicado",IF(B3932="","DATA_PC vazia",IF(NOT(ISNUMBER(B3932)),"DATA_PC invalida",IF(OR(C3932="",C3932="Fora dos ciclos"),"CICLO_PC nao identificado",IF(OR(D3932="",D3932=0),"VALOR_PC vazio ou zero",IF(AND(G3932&lt;&gt;"Sim",G3932&lt;&gt;"Nao",G3932&lt;&gt;""),"PC_PAGO_A_CONTRATADA invalido",IF(AND(C3932&lt;&gt;"C0",IFERROR(INDEX(parametros!$A$2:$A$6,MATCH(C3932,parametros!$B$2:$B$6,0)),"")="Sim",IFERROR(INDEX(parametros!$H$2:$H$6,MATCH(C3932,parametros!$B$2:$B$6,0)),"")=""),"INICIO_EFEITO ausente: PC "&amp;A3932&amp;" - "&amp;C3932,IF(L3932="","EFEITO_PC nao calculado: PC "&amp;A3932&amp;" - "&amp;C3932,"OK")))))))))</f>
        <v/>
      </c>
      <c r="L3932" s="92" t="str">
        <f>IF(AND(A3932="",B3932="",D3932="",G3932=""),"",IF(OR(B3932="",NOT(ISNUMBER(B3932)),C3932="",C3932="Fora dos ciclos"),"",IF(C3932="C0","Nao",IF(IFERROR(INDEX(parametros!$A$2:$A$6,MATCH(C3932,parametros!$B$2:$B$6,0)),"")&lt;&gt;"Sim","Nao",IF(IFERROR(INDEX(parametros!$H$2:$H$6,MATCH(C3932,parametros!$B$2:$B$6,0)),"")="","",IF(B3932&gt;=IFERROR(INDEX(parametros!$H$2:$H$6,MATCH(C3932,parametros!$B$2:$B$6,0)),""),"Sim","Nao"))))))</f>
        <v/>
      </c>
      <c r="T3932" s="156"/>
      <c r="U3932" s="214" t="str">
        <f t="shared" si="311"/>
        <v/>
      </c>
      <c r="V3932" s="212" t="s">
        <v>50</v>
      </c>
      <c r="W3932" s="100" t="s">
        <v>168</v>
      </c>
      <c r="X3932" s="100" t="s">
        <v>169</v>
      </c>
      <c r="Y3932" s="101" t="s">
        <v>170</v>
      </c>
      <c r="Z3932" s="101" t="s">
        <v>171</v>
      </c>
      <c r="AA3932" s="101" t="s">
        <v>50</v>
      </c>
      <c r="AB3932" s="101" t="s">
        <v>172</v>
      </c>
      <c r="AC3932" s="102" t="s">
        <v>173</v>
      </c>
    </row>
    <row r="3933" spans="1:29" ht="25.5" customHeight="1" x14ac:dyDescent="0.35">
      <c r="A3933" s="392"/>
      <c r="B3933" s="393"/>
      <c r="C3933" s="99" t="str">
        <f>IF(B3933="","",IF(NOT(ISNUMBER(B3933)),"DATA_PC invalida",IF(NOT(ISNUMBER(parametros!$C$2)),"Fora dos ciclos",IF(OR(B3933&lt;parametros!$C$2,(YEAR(B3933)-YEAR(parametros!$C$2))*12+MONTH(B3933)-MONTH(parametros!$C$2)&gt;59),"Fora dos ciclos","C"&amp;INT(((YEAR(B3933)-YEAR(parametros!$C$2))*12+MONTH(B3933)-MONTH(parametros!$C$2))/12)))))</f>
        <v/>
      </c>
      <c r="D3933" s="394"/>
      <c r="E3933" s="78" t="str">
        <f>IF(C3933="","",IFERROR(VLOOKUP(C3933,parametros!$A$11:$E$15,5,0),""))</f>
        <v/>
      </c>
      <c r="F3933" s="79" t="str">
        <f t="shared" si="307"/>
        <v/>
      </c>
      <c r="G3933" s="395"/>
      <c r="H3933" s="91">
        <f t="shared" si="308"/>
        <v>0</v>
      </c>
      <c r="I3933" s="91" t="str">
        <f t="shared" si="309"/>
        <v/>
      </c>
      <c r="J3933" s="91" t="str">
        <f t="shared" si="310"/>
        <v/>
      </c>
      <c r="K3933" s="92" t="str">
        <f>IF(AND(A3933="",B3933="",D3933="",G3933=""),"",IF(AND(A3933&lt;&gt;"",COUNTIF($A$2:$A$5001,A3933)&gt;1),"NUMERO_PC duplicado",IF(B3933="","DATA_PC vazia",IF(NOT(ISNUMBER(B3933)),"DATA_PC invalida",IF(OR(C3933="",C3933="Fora dos ciclos"),"CICLO_PC nao identificado",IF(OR(D3933="",D3933=0),"VALOR_PC vazio ou zero",IF(AND(G3933&lt;&gt;"Sim",G3933&lt;&gt;"Nao",G3933&lt;&gt;""),"PC_PAGO_A_CONTRATADA invalido",IF(AND(C3933&lt;&gt;"C0",IFERROR(INDEX(parametros!$A$2:$A$6,MATCH(C3933,parametros!$B$2:$B$6,0)),"")="Sim",IFERROR(INDEX(parametros!$H$2:$H$6,MATCH(C3933,parametros!$B$2:$B$6,0)),"")=""),"INICIO_EFEITO ausente: PC "&amp;A3933&amp;" - "&amp;C3933,IF(L3933="","EFEITO_PC nao calculado: PC "&amp;A3933&amp;" - "&amp;C3933,"OK")))))))))</f>
        <v/>
      </c>
      <c r="L3933" s="92" t="str">
        <f>IF(AND(A3933="",B3933="",D3933="",G3933=""),"",IF(OR(B3933="",NOT(ISNUMBER(B3933)),C3933="",C3933="Fora dos ciclos"),"",IF(C3933="C0","Nao",IF(IFERROR(INDEX(parametros!$A$2:$A$6,MATCH(C3933,parametros!$B$2:$B$6,0)),"")&lt;&gt;"Sim","Nao",IF(IFERROR(INDEX(parametros!$H$2:$H$6,MATCH(C3933,parametros!$B$2:$B$6,0)),"")="","",IF(B3933&gt;=IFERROR(INDEX(parametros!$H$2:$H$6,MATCH(C3933,parametros!$B$2:$B$6,0)),""),"Sim","Nao"))))))</f>
        <v/>
      </c>
      <c r="T3933" s="156"/>
      <c r="U3933" s="214" t="str">
        <f t="shared" si="311"/>
        <v/>
      </c>
      <c r="V3933" s="212" t="s">
        <v>50</v>
      </c>
      <c r="W3933" s="100" t="s">
        <v>168</v>
      </c>
      <c r="X3933" s="100" t="s">
        <v>169</v>
      </c>
      <c r="Y3933" s="101" t="s">
        <v>170</v>
      </c>
      <c r="Z3933" s="101" t="s">
        <v>171</v>
      </c>
      <c r="AA3933" s="101" t="s">
        <v>50</v>
      </c>
      <c r="AB3933" s="101" t="s">
        <v>172</v>
      </c>
      <c r="AC3933" s="102" t="s">
        <v>173</v>
      </c>
    </row>
    <row r="3934" spans="1:29" ht="25.5" customHeight="1" x14ac:dyDescent="0.35">
      <c r="A3934" s="392"/>
      <c r="B3934" s="393"/>
      <c r="C3934" s="99" t="str">
        <f>IF(B3934="","",IF(NOT(ISNUMBER(B3934)),"DATA_PC invalida",IF(NOT(ISNUMBER(parametros!$C$2)),"Fora dos ciclos",IF(OR(B3934&lt;parametros!$C$2,(YEAR(B3934)-YEAR(parametros!$C$2))*12+MONTH(B3934)-MONTH(parametros!$C$2)&gt;59),"Fora dos ciclos","C"&amp;INT(((YEAR(B3934)-YEAR(parametros!$C$2))*12+MONTH(B3934)-MONTH(parametros!$C$2))/12)))))</f>
        <v/>
      </c>
      <c r="D3934" s="394"/>
      <c r="E3934" s="78" t="str">
        <f>IF(C3934="","",IFERROR(VLOOKUP(C3934,parametros!$A$11:$E$15,5,0),""))</f>
        <v/>
      </c>
      <c r="F3934" s="79" t="str">
        <f t="shared" si="307"/>
        <v/>
      </c>
      <c r="G3934" s="395"/>
      <c r="H3934" s="91">
        <f t="shared" si="308"/>
        <v>0</v>
      </c>
      <c r="I3934" s="91" t="str">
        <f t="shared" si="309"/>
        <v/>
      </c>
      <c r="J3934" s="91" t="str">
        <f t="shared" si="310"/>
        <v/>
      </c>
      <c r="K3934" s="92" t="str">
        <f>IF(AND(A3934="",B3934="",D3934="",G3934=""),"",IF(AND(A3934&lt;&gt;"",COUNTIF($A$2:$A$5001,A3934)&gt;1),"NUMERO_PC duplicado",IF(B3934="","DATA_PC vazia",IF(NOT(ISNUMBER(B3934)),"DATA_PC invalida",IF(OR(C3934="",C3934="Fora dos ciclos"),"CICLO_PC nao identificado",IF(OR(D3934="",D3934=0),"VALOR_PC vazio ou zero",IF(AND(G3934&lt;&gt;"Sim",G3934&lt;&gt;"Nao",G3934&lt;&gt;""),"PC_PAGO_A_CONTRATADA invalido",IF(AND(C3934&lt;&gt;"C0",IFERROR(INDEX(parametros!$A$2:$A$6,MATCH(C3934,parametros!$B$2:$B$6,0)),"")="Sim",IFERROR(INDEX(parametros!$H$2:$H$6,MATCH(C3934,parametros!$B$2:$B$6,0)),"")=""),"INICIO_EFEITO ausente: PC "&amp;A3934&amp;" - "&amp;C3934,IF(L3934="","EFEITO_PC nao calculado: PC "&amp;A3934&amp;" - "&amp;C3934,"OK")))))))))</f>
        <v/>
      </c>
      <c r="L3934" s="92" t="str">
        <f>IF(AND(A3934="",B3934="",D3934="",G3934=""),"",IF(OR(B3934="",NOT(ISNUMBER(B3934)),C3934="",C3934="Fora dos ciclos"),"",IF(C3934="C0","Nao",IF(IFERROR(INDEX(parametros!$A$2:$A$6,MATCH(C3934,parametros!$B$2:$B$6,0)),"")&lt;&gt;"Sim","Nao",IF(IFERROR(INDEX(parametros!$H$2:$H$6,MATCH(C3934,parametros!$B$2:$B$6,0)),"")="","",IF(B3934&gt;=IFERROR(INDEX(parametros!$H$2:$H$6,MATCH(C3934,parametros!$B$2:$B$6,0)),""),"Sim","Nao"))))))</f>
        <v/>
      </c>
      <c r="T3934" s="156"/>
      <c r="U3934" s="214" t="str">
        <f t="shared" si="311"/>
        <v/>
      </c>
      <c r="V3934" s="212" t="s">
        <v>50</v>
      </c>
      <c r="W3934" s="100" t="s">
        <v>168</v>
      </c>
      <c r="X3934" s="100" t="s">
        <v>169</v>
      </c>
      <c r="Y3934" s="101" t="s">
        <v>170</v>
      </c>
      <c r="Z3934" s="101" t="s">
        <v>171</v>
      </c>
      <c r="AA3934" s="101" t="s">
        <v>50</v>
      </c>
      <c r="AB3934" s="101" t="s">
        <v>172</v>
      </c>
      <c r="AC3934" s="102" t="s">
        <v>173</v>
      </c>
    </row>
    <row r="3935" spans="1:29" ht="25.5" customHeight="1" x14ac:dyDescent="0.35">
      <c r="A3935" s="392"/>
      <c r="B3935" s="393"/>
      <c r="C3935" s="99" t="str">
        <f>IF(B3935="","",IF(NOT(ISNUMBER(B3935)),"DATA_PC invalida",IF(NOT(ISNUMBER(parametros!$C$2)),"Fora dos ciclos",IF(OR(B3935&lt;parametros!$C$2,(YEAR(B3935)-YEAR(parametros!$C$2))*12+MONTH(B3935)-MONTH(parametros!$C$2)&gt;59),"Fora dos ciclos","C"&amp;INT(((YEAR(B3935)-YEAR(parametros!$C$2))*12+MONTH(B3935)-MONTH(parametros!$C$2))/12)))))</f>
        <v/>
      </c>
      <c r="D3935" s="394"/>
      <c r="E3935" s="78" t="str">
        <f>IF(C3935="","",IFERROR(VLOOKUP(C3935,parametros!$A$11:$E$15,5,0),""))</f>
        <v/>
      </c>
      <c r="F3935" s="79" t="str">
        <f t="shared" si="307"/>
        <v/>
      </c>
      <c r="G3935" s="395"/>
      <c r="H3935" s="91">
        <f t="shared" si="308"/>
        <v>0</v>
      </c>
      <c r="I3935" s="91" t="str">
        <f t="shared" si="309"/>
        <v/>
      </c>
      <c r="J3935" s="91" t="str">
        <f t="shared" si="310"/>
        <v/>
      </c>
      <c r="K3935" s="92" t="str">
        <f>IF(AND(A3935="",B3935="",D3935="",G3935=""),"",IF(AND(A3935&lt;&gt;"",COUNTIF($A$2:$A$5001,A3935)&gt;1),"NUMERO_PC duplicado",IF(B3935="","DATA_PC vazia",IF(NOT(ISNUMBER(B3935)),"DATA_PC invalida",IF(OR(C3935="",C3935="Fora dos ciclos"),"CICLO_PC nao identificado",IF(OR(D3935="",D3935=0),"VALOR_PC vazio ou zero",IF(AND(G3935&lt;&gt;"Sim",G3935&lt;&gt;"Nao",G3935&lt;&gt;""),"PC_PAGO_A_CONTRATADA invalido",IF(AND(C3935&lt;&gt;"C0",IFERROR(INDEX(parametros!$A$2:$A$6,MATCH(C3935,parametros!$B$2:$B$6,0)),"")="Sim",IFERROR(INDEX(parametros!$H$2:$H$6,MATCH(C3935,parametros!$B$2:$B$6,0)),"")=""),"INICIO_EFEITO ausente: PC "&amp;A3935&amp;" - "&amp;C3935,IF(L3935="","EFEITO_PC nao calculado: PC "&amp;A3935&amp;" - "&amp;C3935,"OK")))))))))</f>
        <v/>
      </c>
      <c r="L3935" s="92" t="str">
        <f>IF(AND(A3935="",B3935="",D3935="",G3935=""),"",IF(OR(B3935="",NOT(ISNUMBER(B3935)),C3935="",C3935="Fora dos ciclos"),"",IF(C3935="C0","Nao",IF(IFERROR(INDEX(parametros!$A$2:$A$6,MATCH(C3935,parametros!$B$2:$B$6,0)),"")&lt;&gt;"Sim","Nao",IF(IFERROR(INDEX(parametros!$H$2:$H$6,MATCH(C3935,parametros!$B$2:$B$6,0)),"")="","",IF(B3935&gt;=IFERROR(INDEX(parametros!$H$2:$H$6,MATCH(C3935,parametros!$B$2:$B$6,0)),""),"Sim","Nao"))))))</f>
        <v/>
      </c>
      <c r="T3935" s="156"/>
      <c r="U3935" s="214" t="str">
        <f t="shared" si="311"/>
        <v/>
      </c>
      <c r="V3935" s="212" t="s">
        <v>50</v>
      </c>
      <c r="W3935" s="100" t="s">
        <v>168</v>
      </c>
      <c r="X3935" s="100" t="s">
        <v>169</v>
      </c>
      <c r="Y3935" s="101" t="s">
        <v>170</v>
      </c>
      <c r="Z3935" s="101" t="s">
        <v>171</v>
      </c>
      <c r="AA3935" s="101" t="s">
        <v>50</v>
      </c>
      <c r="AB3935" s="101" t="s">
        <v>172</v>
      </c>
      <c r="AC3935" s="102" t="s">
        <v>173</v>
      </c>
    </row>
    <row r="3936" spans="1:29" ht="25.5" customHeight="1" x14ac:dyDescent="0.35">
      <c r="A3936" s="392"/>
      <c r="B3936" s="393"/>
      <c r="C3936" s="99" t="str">
        <f>IF(B3936="","",IF(NOT(ISNUMBER(B3936)),"DATA_PC invalida",IF(NOT(ISNUMBER(parametros!$C$2)),"Fora dos ciclos",IF(OR(B3936&lt;parametros!$C$2,(YEAR(B3936)-YEAR(parametros!$C$2))*12+MONTH(B3936)-MONTH(parametros!$C$2)&gt;59),"Fora dos ciclos","C"&amp;INT(((YEAR(B3936)-YEAR(parametros!$C$2))*12+MONTH(B3936)-MONTH(parametros!$C$2))/12)))))</f>
        <v/>
      </c>
      <c r="D3936" s="394"/>
      <c r="E3936" s="78" t="str">
        <f>IF(C3936="","",IFERROR(VLOOKUP(C3936,parametros!$A$11:$E$15,5,0),""))</f>
        <v/>
      </c>
      <c r="F3936" s="79" t="str">
        <f t="shared" si="307"/>
        <v/>
      </c>
      <c r="G3936" s="395"/>
      <c r="H3936" s="91">
        <f t="shared" si="308"/>
        <v>0</v>
      </c>
      <c r="I3936" s="91" t="str">
        <f t="shared" si="309"/>
        <v/>
      </c>
      <c r="J3936" s="91" t="str">
        <f t="shared" si="310"/>
        <v/>
      </c>
      <c r="K3936" s="92" t="str">
        <f>IF(AND(A3936="",B3936="",D3936="",G3936=""),"",IF(AND(A3936&lt;&gt;"",COUNTIF($A$2:$A$5001,A3936)&gt;1),"NUMERO_PC duplicado",IF(B3936="","DATA_PC vazia",IF(NOT(ISNUMBER(B3936)),"DATA_PC invalida",IF(OR(C3936="",C3936="Fora dos ciclos"),"CICLO_PC nao identificado",IF(OR(D3936="",D3936=0),"VALOR_PC vazio ou zero",IF(AND(G3936&lt;&gt;"Sim",G3936&lt;&gt;"Nao",G3936&lt;&gt;""),"PC_PAGO_A_CONTRATADA invalido",IF(AND(C3936&lt;&gt;"C0",IFERROR(INDEX(parametros!$A$2:$A$6,MATCH(C3936,parametros!$B$2:$B$6,0)),"")="Sim",IFERROR(INDEX(parametros!$H$2:$H$6,MATCH(C3936,parametros!$B$2:$B$6,0)),"")=""),"INICIO_EFEITO ausente: PC "&amp;A3936&amp;" - "&amp;C3936,IF(L3936="","EFEITO_PC nao calculado: PC "&amp;A3936&amp;" - "&amp;C3936,"OK")))))))))</f>
        <v/>
      </c>
      <c r="L3936" s="92" t="str">
        <f>IF(AND(A3936="",B3936="",D3936="",G3936=""),"",IF(OR(B3936="",NOT(ISNUMBER(B3936)),C3936="",C3936="Fora dos ciclos"),"",IF(C3936="C0","Nao",IF(IFERROR(INDEX(parametros!$A$2:$A$6,MATCH(C3936,parametros!$B$2:$B$6,0)),"")&lt;&gt;"Sim","Nao",IF(IFERROR(INDEX(parametros!$H$2:$H$6,MATCH(C3936,parametros!$B$2:$B$6,0)),"")="","",IF(B3936&gt;=IFERROR(INDEX(parametros!$H$2:$H$6,MATCH(C3936,parametros!$B$2:$B$6,0)),""),"Sim","Nao"))))))</f>
        <v/>
      </c>
      <c r="T3936" s="156"/>
      <c r="U3936" s="214" t="str">
        <f t="shared" si="311"/>
        <v/>
      </c>
      <c r="V3936" s="212" t="s">
        <v>50</v>
      </c>
      <c r="W3936" s="100" t="s">
        <v>168</v>
      </c>
      <c r="X3936" s="100" t="s">
        <v>169</v>
      </c>
      <c r="Y3936" s="101" t="s">
        <v>170</v>
      </c>
      <c r="Z3936" s="101" t="s">
        <v>171</v>
      </c>
      <c r="AA3936" s="101" t="s">
        <v>50</v>
      </c>
      <c r="AB3936" s="101" t="s">
        <v>172</v>
      </c>
      <c r="AC3936" s="102" t="s">
        <v>173</v>
      </c>
    </row>
    <row r="3937" spans="1:29" ht="25.5" customHeight="1" x14ac:dyDescent="0.35">
      <c r="A3937" s="392"/>
      <c r="B3937" s="393"/>
      <c r="C3937" s="99" t="str">
        <f>IF(B3937="","",IF(NOT(ISNUMBER(B3937)),"DATA_PC invalida",IF(NOT(ISNUMBER(parametros!$C$2)),"Fora dos ciclos",IF(OR(B3937&lt;parametros!$C$2,(YEAR(B3937)-YEAR(parametros!$C$2))*12+MONTH(B3937)-MONTH(parametros!$C$2)&gt;59),"Fora dos ciclos","C"&amp;INT(((YEAR(B3937)-YEAR(parametros!$C$2))*12+MONTH(B3937)-MONTH(parametros!$C$2))/12)))))</f>
        <v/>
      </c>
      <c r="D3937" s="394"/>
      <c r="E3937" s="78" t="str">
        <f>IF(C3937="","",IFERROR(VLOOKUP(C3937,parametros!$A$11:$E$15,5,0),""))</f>
        <v/>
      </c>
      <c r="F3937" s="79" t="str">
        <f t="shared" si="307"/>
        <v/>
      </c>
      <c r="G3937" s="395"/>
      <c r="H3937" s="91">
        <f t="shared" si="308"/>
        <v>0</v>
      </c>
      <c r="I3937" s="91" t="str">
        <f t="shared" si="309"/>
        <v/>
      </c>
      <c r="J3937" s="91" t="str">
        <f t="shared" si="310"/>
        <v/>
      </c>
      <c r="K3937" s="92" t="str">
        <f>IF(AND(A3937="",B3937="",D3937="",G3937=""),"",IF(AND(A3937&lt;&gt;"",COUNTIF($A$2:$A$5001,A3937)&gt;1),"NUMERO_PC duplicado",IF(B3937="","DATA_PC vazia",IF(NOT(ISNUMBER(B3937)),"DATA_PC invalida",IF(OR(C3937="",C3937="Fora dos ciclos"),"CICLO_PC nao identificado",IF(OR(D3937="",D3937=0),"VALOR_PC vazio ou zero",IF(AND(G3937&lt;&gt;"Sim",G3937&lt;&gt;"Nao",G3937&lt;&gt;""),"PC_PAGO_A_CONTRATADA invalido",IF(AND(C3937&lt;&gt;"C0",IFERROR(INDEX(parametros!$A$2:$A$6,MATCH(C3937,parametros!$B$2:$B$6,0)),"")="Sim",IFERROR(INDEX(parametros!$H$2:$H$6,MATCH(C3937,parametros!$B$2:$B$6,0)),"")=""),"INICIO_EFEITO ausente: PC "&amp;A3937&amp;" - "&amp;C3937,IF(L3937="","EFEITO_PC nao calculado: PC "&amp;A3937&amp;" - "&amp;C3937,"OK")))))))))</f>
        <v/>
      </c>
      <c r="L3937" s="92" t="str">
        <f>IF(AND(A3937="",B3937="",D3937="",G3937=""),"",IF(OR(B3937="",NOT(ISNUMBER(B3937)),C3937="",C3937="Fora dos ciclos"),"",IF(C3937="C0","Nao",IF(IFERROR(INDEX(parametros!$A$2:$A$6,MATCH(C3937,parametros!$B$2:$B$6,0)),"")&lt;&gt;"Sim","Nao",IF(IFERROR(INDEX(parametros!$H$2:$H$6,MATCH(C3937,parametros!$B$2:$B$6,0)),"")="","",IF(B3937&gt;=IFERROR(INDEX(parametros!$H$2:$H$6,MATCH(C3937,parametros!$B$2:$B$6,0)),""),"Sim","Nao"))))))</f>
        <v/>
      </c>
      <c r="T3937" s="156"/>
      <c r="U3937" s="214" t="str">
        <f t="shared" si="311"/>
        <v/>
      </c>
      <c r="V3937" s="212" t="s">
        <v>50</v>
      </c>
      <c r="W3937" s="100" t="s">
        <v>168</v>
      </c>
      <c r="X3937" s="100" t="s">
        <v>169</v>
      </c>
      <c r="Y3937" s="101" t="s">
        <v>170</v>
      </c>
      <c r="Z3937" s="101" t="s">
        <v>171</v>
      </c>
      <c r="AA3937" s="101" t="s">
        <v>50</v>
      </c>
      <c r="AB3937" s="101" t="s">
        <v>172</v>
      </c>
      <c r="AC3937" s="102" t="s">
        <v>173</v>
      </c>
    </row>
    <row r="3938" spans="1:29" ht="25.5" customHeight="1" x14ac:dyDescent="0.35">
      <c r="A3938" s="392"/>
      <c r="B3938" s="393"/>
      <c r="C3938" s="99" t="str">
        <f>IF(B3938="","",IF(NOT(ISNUMBER(B3938)),"DATA_PC invalida",IF(NOT(ISNUMBER(parametros!$C$2)),"Fora dos ciclos",IF(OR(B3938&lt;parametros!$C$2,(YEAR(B3938)-YEAR(parametros!$C$2))*12+MONTH(B3938)-MONTH(parametros!$C$2)&gt;59),"Fora dos ciclos","C"&amp;INT(((YEAR(B3938)-YEAR(parametros!$C$2))*12+MONTH(B3938)-MONTH(parametros!$C$2))/12)))))</f>
        <v/>
      </c>
      <c r="D3938" s="394"/>
      <c r="E3938" s="78" t="str">
        <f>IF(C3938="","",IFERROR(VLOOKUP(C3938,parametros!$A$11:$E$15,5,0),""))</f>
        <v/>
      </c>
      <c r="F3938" s="79" t="str">
        <f t="shared" si="307"/>
        <v/>
      </c>
      <c r="G3938" s="395"/>
      <c r="H3938" s="91">
        <f t="shared" si="308"/>
        <v>0</v>
      </c>
      <c r="I3938" s="91" t="str">
        <f t="shared" si="309"/>
        <v/>
      </c>
      <c r="J3938" s="91" t="str">
        <f t="shared" si="310"/>
        <v/>
      </c>
      <c r="K3938" s="92" t="str">
        <f>IF(AND(A3938="",B3938="",D3938="",G3938=""),"",IF(AND(A3938&lt;&gt;"",COUNTIF($A$2:$A$5001,A3938)&gt;1),"NUMERO_PC duplicado",IF(B3938="","DATA_PC vazia",IF(NOT(ISNUMBER(B3938)),"DATA_PC invalida",IF(OR(C3938="",C3938="Fora dos ciclos"),"CICLO_PC nao identificado",IF(OR(D3938="",D3938=0),"VALOR_PC vazio ou zero",IF(AND(G3938&lt;&gt;"Sim",G3938&lt;&gt;"Nao",G3938&lt;&gt;""),"PC_PAGO_A_CONTRATADA invalido",IF(AND(C3938&lt;&gt;"C0",IFERROR(INDEX(parametros!$A$2:$A$6,MATCH(C3938,parametros!$B$2:$B$6,0)),"")="Sim",IFERROR(INDEX(parametros!$H$2:$H$6,MATCH(C3938,parametros!$B$2:$B$6,0)),"")=""),"INICIO_EFEITO ausente: PC "&amp;A3938&amp;" - "&amp;C3938,IF(L3938="","EFEITO_PC nao calculado: PC "&amp;A3938&amp;" - "&amp;C3938,"OK")))))))))</f>
        <v/>
      </c>
      <c r="L3938" s="92" t="str">
        <f>IF(AND(A3938="",B3938="",D3938="",G3938=""),"",IF(OR(B3938="",NOT(ISNUMBER(B3938)),C3938="",C3938="Fora dos ciclos"),"",IF(C3938="C0","Nao",IF(IFERROR(INDEX(parametros!$A$2:$A$6,MATCH(C3938,parametros!$B$2:$B$6,0)),"")&lt;&gt;"Sim","Nao",IF(IFERROR(INDEX(parametros!$H$2:$H$6,MATCH(C3938,parametros!$B$2:$B$6,0)),"")="","",IF(B3938&gt;=IFERROR(INDEX(parametros!$H$2:$H$6,MATCH(C3938,parametros!$B$2:$B$6,0)),""),"Sim","Nao"))))))</f>
        <v/>
      </c>
      <c r="T3938" s="156"/>
      <c r="U3938" s="214" t="str">
        <f t="shared" si="311"/>
        <v/>
      </c>
      <c r="V3938" s="212" t="s">
        <v>50</v>
      </c>
      <c r="W3938" s="100" t="s">
        <v>168</v>
      </c>
      <c r="X3938" s="100" t="s">
        <v>169</v>
      </c>
      <c r="Y3938" s="101" t="s">
        <v>170</v>
      </c>
      <c r="Z3938" s="101" t="s">
        <v>171</v>
      </c>
      <c r="AA3938" s="101" t="s">
        <v>50</v>
      </c>
      <c r="AB3938" s="101" t="s">
        <v>172</v>
      </c>
      <c r="AC3938" s="102" t="s">
        <v>173</v>
      </c>
    </row>
    <row r="3939" spans="1:29" ht="25.5" customHeight="1" x14ac:dyDescent="0.35">
      <c r="A3939" s="392"/>
      <c r="B3939" s="393"/>
      <c r="C3939" s="99" t="str">
        <f>IF(B3939="","",IF(NOT(ISNUMBER(B3939)),"DATA_PC invalida",IF(NOT(ISNUMBER(parametros!$C$2)),"Fora dos ciclos",IF(OR(B3939&lt;parametros!$C$2,(YEAR(B3939)-YEAR(parametros!$C$2))*12+MONTH(B3939)-MONTH(parametros!$C$2)&gt;59),"Fora dos ciclos","C"&amp;INT(((YEAR(B3939)-YEAR(parametros!$C$2))*12+MONTH(B3939)-MONTH(parametros!$C$2))/12)))))</f>
        <v/>
      </c>
      <c r="D3939" s="394"/>
      <c r="E3939" s="78" t="str">
        <f>IF(C3939="","",IFERROR(VLOOKUP(C3939,parametros!$A$11:$E$15,5,0),""))</f>
        <v/>
      </c>
      <c r="F3939" s="79" t="str">
        <f t="shared" si="307"/>
        <v/>
      </c>
      <c r="G3939" s="395"/>
      <c r="H3939" s="91">
        <f t="shared" si="308"/>
        <v>0</v>
      </c>
      <c r="I3939" s="91" t="str">
        <f t="shared" si="309"/>
        <v/>
      </c>
      <c r="J3939" s="91" t="str">
        <f t="shared" si="310"/>
        <v/>
      </c>
      <c r="K3939" s="92" t="str">
        <f>IF(AND(A3939="",B3939="",D3939="",G3939=""),"",IF(AND(A3939&lt;&gt;"",COUNTIF($A$2:$A$5001,A3939)&gt;1),"NUMERO_PC duplicado",IF(B3939="","DATA_PC vazia",IF(NOT(ISNUMBER(B3939)),"DATA_PC invalida",IF(OR(C3939="",C3939="Fora dos ciclos"),"CICLO_PC nao identificado",IF(OR(D3939="",D3939=0),"VALOR_PC vazio ou zero",IF(AND(G3939&lt;&gt;"Sim",G3939&lt;&gt;"Nao",G3939&lt;&gt;""),"PC_PAGO_A_CONTRATADA invalido",IF(AND(C3939&lt;&gt;"C0",IFERROR(INDEX(parametros!$A$2:$A$6,MATCH(C3939,parametros!$B$2:$B$6,0)),"")="Sim",IFERROR(INDEX(parametros!$H$2:$H$6,MATCH(C3939,parametros!$B$2:$B$6,0)),"")=""),"INICIO_EFEITO ausente: PC "&amp;A3939&amp;" - "&amp;C3939,IF(L3939="","EFEITO_PC nao calculado: PC "&amp;A3939&amp;" - "&amp;C3939,"OK")))))))))</f>
        <v/>
      </c>
      <c r="L3939" s="92" t="str">
        <f>IF(AND(A3939="",B3939="",D3939="",G3939=""),"",IF(OR(B3939="",NOT(ISNUMBER(B3939)),C3939="",C3939="Fora dos ciclos"),"",IF(C3939="C0","Nao",IF(IFERROR(INDEX(parametros!$A$2:$A$6,MATCH(C3939,parametros!$B$2:$B$6,0)),"")&lt;&gt;"Sim","Nao",IF(IFERROR(INDEX(parametros!$H$2:$H$6,MATCH(C3939,parametros!$B$2:$B$6,0)),"")="","",IF(B3939&gt;=IFERROR(INDEX(parametros!$H$2:$H$6,MATCH(C3939,parametros!$B$2:$B$6,0)),""),"Sim","Nao"))))))</f>
        <v/>
      </c>
      <c r="T3939" s="156"/>
      <c r="U3939" s="214" t="str">
        <f t="shared" si="311"/>
        <v/>
      </c>
      <c r="V3939" s="212" t="s">
        <v>50</v>
      </c>
      <c r="W3939" s="100" t="s">
        <v>168</v>
      </c>
      <c r="X3939" s="100" t="s">
        <v>169</v>
      </c>
      <c r="Y3939" s="101" t="s">
        <v>170</v>
      </c>
      <c r="Z3939" s="101" t="s">
        <v>171</v>
      </c>
      <c r="AA3939" s="101" t="s">
        <v>50</v>
      </c>
      <c r="AB3939" s="101" t="s">
        <v>172</v>
      </c>
      <c r="AC3939" s="102" t="s">
        <v>173</v>
      </c>
    </row>
    <row r="3940" spans="1:29" ht="25.5" customHeight="1" x14ac:dyDescent="0.35">
      <c r="A3940" s="392"/>
      <c r="B3940" s="393"/>
      <c r="C3940" s="99" t="str">
        <f>IF(B3940="","",IF(NOT(ISNUMBER(B3940)),"DATA_PC invalida",IF(NOT(ISNUMBER(parametros!$C$2)),"Fora dos ciclos",IF(OR(B3940&lt;parametros!$C$2,(YEAR(B3940)-YEAR(parametros!$C$2))*12+MONTH(B3940)-MONTH(parametros!$C$2)&gt;59),"Fora dos ciclos","C"&amp;INT(((YEAR(B3940)-YEAR(parametros!$C$2))*12+MONTH(B3940)-MONTH(parametros!$C$2))/12)))))</f>
        <v/>
      </c>
      <c r="D3940" s="394"/>
      <c r="E3940" s="78" t="str">
        <f>IF(C3940="","",IFERROR(VLOOKUP(C3940,parametros!$A$11:$E$15,5,0),""))</f>
        <v/>
      </c>
      <c r="F3940" s="79" t="str">
        <f t="shared" si="307"/>
        <v/>
      </c>
      <c r="G3940" s="395"/>
      <c r="H3940" s="91">
        <f t="shared" si="308"/>
        <v>0</v>
      </c>
      <c r="I3940" s="91" t="str">
        <f t="shared" si="309"/>
        <v/>
      </c>
      <c r="J3940" s="91" t="str">
        <f t="shared" si="310"/>
        <v/>
      </c>
      <c r="K3940" s="92" t="str">
        <f>IF(AND(A3940="",B3940="",D3940="",G3940=""),"",IF(AND(A3940&lt;&gt;"",COUNTIF($A$2:$A$5001,A3940)&gt;1),"NUMERO_PC duplicado",IF(B3940="","DATA_PC vazia",IF(NOT(ISNUMBER(B3940)),"DATA_PC invalida",IF(OR(C3940="",C3940="Fora dos ciclos"),"CICLO_PC nao identificado",IF(OR(D3940="",D3940=0),"VALOR_PC vazio ou zero",IF(AND(G3940&lt;&gt;"Sim",G3940&lt;&gt;"Nao",G3940&lt;&gt;""),"PC_PAGO_A_CONTRATADA invalido",IF(AND(C3940&lt;&gt;"C0",IFERROR(INDEX(parametros!$A$2:$A$6,MATCH(C3940,parametros!$B$2:$B$6,0)),"")="Sim",IFERROR(INDEX(parametros!$H$2:$H$6,MATCH(C3940,parametros!$B$2:$B$6,0)),"")=""),"INICIO_EFEITO ausente: PC "&amp;A3940&amp;" - "&amp;C3940,IF(L3940="","EFEITO_PC nao calculado: PC "&amp;A3940&amp;" - "&amp;C3940,"OK")))))))))</f>
        <v/>
      </c>
      <c r="L3940" s="92" t="str">
        <f>IF(AND(A3940="",B3940="",D3940="",G3940=""),"",IF(OR(B3940="",NOT(ISNUMBER(B3940)),C3940="",C3940="Fora dos ciclos"),"",IF(C3940="C0","Nao",IF(IFERROR(INDEX(parametros!$A$2:$A$6,MATCH(C3940,parametros!$B$2:$B$6,0)),"")&lt;&gt;"Sim","Nao",IF(IFERROR(INDEX(parametros!$H$2:$H$6,MATCH(C3940,parametros!$B$2:$B$6,0)),"")="","",IF(B3940&gt;=IFERROR(INDEX(parametros!$H$2:$H$6,MATCH(C3940,parametros!$B$2:$B$6,0)),""),"Sim","Nao"))))))</f>
        <v/>
      </c>
      <c r="T3940" s="156"/>
      <c r="U3940" s="214" t="str">
        <f t="shared" si="311"/>
        <v/>
      </c>
      <c r="V3940" s="212" t="s">
        <v>50</v>
      </c>
      <c r="W3940" s="100" t="s">
        <v>168</v>
      </c>
      <c r="X3940" s="100" t="s">
        <v>169</v>
      </c>
      <c r="Y3940" s="101" t="s">
        <v>170</v>
      </c>
      <c r="Z3940" s="101" t="s">
        <v>171</v>
      </c>
      <c r="AA3940" s="101" t="s">
        <v>50</v>
      </c>
      <c r="AB3940" s="101" t="s">
        <v>172</v>
      </c>
      <c r="AC3940" s="102" t="s">
        <v>173</v>
      </c>
    </row>
    <row r="3941" spans="1:29" ht="25.5" customHeight="1" x14ac:dyDescent="0.35">
      <c r="A3941" s="392"/>
      <c r="B3941" s="393"/>
      <c r="C3941" s="99" t="str">
        <f>IF(B3941="","",IF(NOT(ISNUMBER(B3941)),"DATA_PC invalida",IF(NOT(ISNUMBER(parametros!$C$2)),"Fora dos ciclos",IF(OR(B3941&lt;parametros!$C$2,(YEAR(B3941)-YEAR(parametros!$C$2))*12+MONTH(B3941)-MONTH(parametros!$C$2)&gt;59),"Fora dos ciclos","C"&amp;INT(((YEAR(B3941)-YEAR(parametros!$C$2))*12+MONTH(B3941)-MONTH(parametros!$C$2))/12)))))</f>
        <v/>
      </c>
      <c r="D3941" s="394"/>
      <c r="E3941" s="78" t="str">
        <f>IF(C3941="","",IFERROR(VLOOKUP(C3941,parametros!$A$11:$E$15,5,0),""))</f>
        <v/>
      </c>
      <c r="F3941" s="79" t="str">
        <f t="shared" si="307"/>
        <v/>
      </c>
      <c r="G3941" s="395"/>
      <c r="H3941" s="91">
        <f t="shared" si="308"/>
        <v>0</v>
      </c>
      <c r="I3941" s="91" t="str">
        <f t="shared" si="309"/>
        <v/>
      </c>
      <c r="J3941" s="91" t="str">
        <f t="shared" si="310"/>
        <v/>
      </c>
      <c r="K3941" s="92" t="str">
        <f>IF(AND(A3941="",B3941="",D3941="",G3941=""),"",IF(AND(A3941&lt;&gt;"",COUNTIF($A$2:$A$5001,A3941)&gt;1),"NUMERO_PC duplicado",IF(B3941="","DATA_PC vazia",IF(NOT(ISNUMBER(B3941)),"DATA_PC invalida",IF(OR(C3941="",C3941="Fora dos ciclos"),"CICLO_PC nao identificado",IF(OR(D3941="",D3941=0),"VALOR_PC vazio ou zero",IF(AND(G3941&lt;&gt;"Sim",G3941&lt;&gt;"Nao",G3941&lt;&gt;""),"PC_PAGO_A_CONTRATADA invalido",IF(AND(C3941&lt;&gt;"C0",IFERROR(INDEX(parametros!$A$2:$A$6,MATCH(C3941,parametros!$B$2:$B$6,0)),"")="Sim",IFERROR(INDEX(parametros!$H$2:$H$6,MATCH(C3941,parametros!$B$2:$B$6,0)),"")=""),"INICIO_EFEITO ausente: PC "&amp;A3941&amp;" - "&amp;C3941,IF(L3941="","EFEITO_PC nao calculado: PC "&amp;A3941&amp;" - "&amp;C3941,"OK")))))))))</f>
        <v/>
      </c>
      <c r="L3941" s="92" t="str">
        <f>IF(AND(A3941="",B3941="",D3941="",G3941=""),"",IF(OR(B3941="",NOT(ISNUMBER(B3941)),C3941="",C3941="Fora dos ciclos"),"",IF(C3941="C0","Nao",IF(IFERROR(INDEX(parametros!$A$2:$A$6,MATCH(C3941,parametros!$B$2:$B$6,0)),"")&lt;&gt;"Sim","Nao",IF(IFERROR(INDEX(parametros!$H$2:$H$6,MATCH(C3941,parametros!$B$2:$B$6,0)),"")="","",IF(B3941&gt;=IFERROR(INDEX(parametros!$H$2:$H$6,MATCH(C3941,parametros!$B$2:$B$6,0)),""),"Sim","Nao"))))))</f>
        <v/>
      </c>
      <c r="T3941" s="156"/>
      <c r="U3941" s="214" t="str">
        <f t="shared" si="311"/>
        <v/>
      </c>
      <c r="V3941" s="212" t="s">
        <v>50</v>
      </c>
      <c r="W3941" s="100" t="s">
        <v>168</v>
      </c>
      <c r="X3941" s="100" t="s">
        <v>169</v>
      </c>
      <c r="Y3941" s="101" t="s">
        <v>170</v>
      </c>
      <c r="Z3941" s="101" t="s">
        <v>171</v>
      </c>
      <c r="AA3941" s="101" t="s">
        <v>50</v>
      </c>
      <c r="AB3941" s="101" t="s">
        <v>172</v>
      </c>
      <c r="AC3941" s="102" t="s">
        <v>173</v>
      </c>
    </row>
    <row r="3942" spans="1:29" ht="25.5" customHeight="1" x14ac:dyDescent="0.35">
      <c r="A3942" s="392"/>
      <c r="B3942" s="393"/>
      <c r="C3942" s="99" t="str">
        <f>IF(B3942="","",IF(NOT(ISNUMBER(B3942)),"DATA_PC invalida",IF(NOT(ISNUMBER(parametros!$C$2)),"Fora dos ciclos",IF(OR(B3942&lt;parametros!$C$2,(YEAR(B3942)-YEAR(parametros!$C$2))*12+MONTH(B3942)-MONTH(parametros!$C$2)&gt;59),"Fora dos ciclos","C"&amp;INT(((YEAR(B3942)-YEAR(parametros!$C$2))*12+MONTH(B3942)-MONTH(parametros!$C$2))/12)))))</f>
        <v/>
      </c>
      <c r="D3942" s="394"/>
      <c r="E3942" s="78" t="str">
        <f>IF(C3942="","",IFERROR(VLOOKUP(C3942,parametros!$A$11:$E$15,5,0),""))</f>
        <v/>
      </c>
      <c r="F3942" s="79" t="str">
        <f t="shared" si="307"/>
        <v/>
      </c>
      <c r="G3942" s="395"/>
      <c r="H3942" s="91">
        <f t="shared" si="308"/>
        <v>0</v>
      </c>
      <c r="I3942" s="91" t="str">
        <f t="shared" si="309"/>
        <v/>
      </c>
      <c r="J3942" s="91" t="str">
        <f t="shared" si="310"/>
        <v/>
      </c>
      <c r="K3942" s="92" t="str">
        <f>IF(AND(A3942="",B3942="",D3942="",G3942=""),"",IF(AND(A3942&lt;&gt;"",COUNTIF($A$2:$A$5001,A3942)&gt;1),"NUMERO_PC duplicado",IF(B3942="","DATA_PC vazia",IF(NOT(ISNUMBER(B3942)),"DATA_PC invalida",IF(OR(C3942="",C3942="Fora dos ciclos"),"CICLO_PC nao identificado",IF(OR(D3942="",D3942=0),"VALOR_PC vazio ou zero",IF(AND(G3942&lt;&gt;"Sim",G3942&lt;&gt;"Nao",G3942&lt;&gt;""),"PC_PAGO_A_CONTRATADA invalido",IF(AND(C3942&lt;&gt;"C0",IFERROR(INDEX(parametros!$A$2:$A$6,MATCH(C3942,parametros!$B$2:$B$6,0)),"")="Sim",IFERROR(INDEX(parametros!$H$2:$H$6,MATCH(C3942,parametros!$B$2:$B$6,0)),"")=""),"INICIO_EFEITO ausente: PC "&amp;A3942&amp;" - "&amp;C3942,IF(L3942="","EFEITO_PC nao calculado: PC "&amp;A3942&amp;" - "&amp;C3942,"OK")))))))))</f>
        <v/>
      </c>
      <c r="L3942" s="92" t="str">
        <f>IF(AND(A3942="",B3942="",D3942="",G3942=""),"",IF(OR(B3942="",NOT(ISNUMBER(B3942)),C3942="",C3942="Fora dos ciclos"),"",IF(C3942="C0","Nao",IF(IFERROR(INDEX(parametros!$A$2:$A$6,MATCH(C3942,parametros!$B$2:$B$6,0)),"")&lt;&gt;"Sim","Nao",IF(IFERROR(INDEX(parametros!$H$2:$H$6,MATCH(C3942,parametros!$B$2:$B$6,0)),"")="","",IF(B3942&gt;=IFERROR(INDEX(parametros!$H$2:$H$6,MATCH(C3942,parametros!$B$2:$B$6,0)),""),"Sim","Nao"))))))</f>
        <v/>
      </c>
      <c r="T3942" s="156"/>
      <c r="U3942" s="214" t="str">
        <f t="shared" si="311"/>
        <v/>
      </c>
      <c r="V3942" s="212" t="s">
        <v>50</v>
      </c>
      <c r="W3942" s="100" t="s">
        <v>168</v>
      </c>
      <c r="X3942" s="100" t="s">
        <v>169</v>
      </c>
      <c r="Y3942" s="101" t="s">
        <v>170</v>
      </c>
      <c r="Z3942" s="101" t="s">
        <v>171</v>
      </c>
      <c r="AA3942" s="101" t="s">
        <v>50</v>
      </c>
      <c r="AB3942" s="101" t="s">
        <v>172</v>
      </c>
      <c r="AC3942" s="102" t="s">
        <v>173</v>
      </c>
    </row>
    <row r="3943" spans="1:29" ht="25.5" customHeight="1" x14ac:dyDescent="0.35">
      <c r="A3943" s="392"/>
      <c r="B3943" s="393"/>
      <c r="C3943" s="99" t="str">
        <f>IF(B3943="","",IF(NOT(ISNUMBER(B3943)),"DATA_PC invalida",IF(NOT(ISNUMBER(parametros!$C$2)),"Fora dos ciclos",IF(OR(B3943&lt;parametros!$C$2,(YEAR(B3943)-YEAR(parametros!$C$2))*12+MONTH(B3943)-MONTH(parametros!$C$2)&gt;59),"Fora dos ciclos","C"&amp;INT(((YEAR(B3943)-YEAR(parametros!$C$2))*12+MONTH(B3943)-MONTH(parametros!$C$2))/12)))))</f>
        <v/>
      </c>
      <c r="D3943" s="394"/>
      <c r="E3943" s="78" t="str">
        <f>IF(C3943="","",IFERROR(VLOOKUP(C3943,parametros!$A$11:$E$15,5,0),""))</f>
        <v/>
      </c>
      <c r="F3943" s="79" t="str">
        <f t="shared" si="307"/>
        <v/>
      </c>
      <c r="G3943" s="395"/>
      <c r="H3943" s="91">
        <f t="shared" si="308"/>
        <v>0</v>
      </c>
      <c r="I3943" s="91" t="str">
        <f t="shared" si="309"/>
        <v/>
      </c>
      <c r="J3943" s="91" t="str">
        <f t="shared" si="310"/>
        <v/>
      </c>
      <c r="K3943" s="92" t="str">
        <f>IF(AND(A3943="",B3943="",D3943="",G3943=""),"",IF(AND(A3943&lt;&gt;"",COUNTIF($A$2:$A$5001,A3943)&gt;1),"NUMERO_PC duplicado",IF(B3943="","DATA_PC vazia",IF(NOT(ISNUMBER(B3943)),"DATA_PC invalida",IF(OR(C3943="",C3943="Fora dos ciclos"),"CICLO_PC nao identificado",IF(OR(D3943="",D3943=0),"VALOR_PC vazio ou zero",IF(AND(G3943&lt;&gt;"Sim",G3943&lt;&gt;"Nao",G3943&lt;&gt;""),"PC_PAGO_A_CONTRATADA invalido",IF(AND(C3943&lt;&gt;"C0",IFERROR(INDEX(parametros!$A$2:$A$6,MATCH(C3943,parametros!$B$2:$B$6,0)),"")="Sim",IFERROR(INDEX(parametros!$H$2:$H$6,MATCH(C3943,parametros!$B$2:$B$6,0)),"")=""),"INICIO_EFEITO ausente: PC "&amp;A3943&amp;" - "&amp;C3943,IF(L3943="","EFEITO_PC nao calculado: PC "&amp;A3943&amp;" - "&amp;C3943,"OK")))))))))</f>
        <v/>
      </c>
      <c r="L3943" s="92" t="str">
        <f>IF(AND(A3943="",B3943="",D3943="",G3943=""),"",IF(OR(B3943="",NOT(ISNUMBER(B3943)),C3943="",C3943="Fora dos ciclos"),"",IF(C3943="C0","Nao",IF(IFERROR(INDEX(parametros!$A$2:$A$6,MATCH(C3943,parametros!$B$2:$B$6,0)),"")&lt;&gt;"Sim","Nao",IF(IFERROR(INDEX(parametros!$H$2:$H$6,MATCH(C3943,parametros!$B$2:$B$6,0)),"")="","",IF(B3943&gt;=IFERROR(INDEX(parametros!$H$2:$H$6,MATCH(C3943,parametros!$B$2:$B$6,0)),""),"Sim","Nao"))))))</f>
        <v/>
      </c>
      <c r="T3943" s="156"/>
      <c r="U3943" s="214" t="str">
        <f t="shared" si="311"/>
        <v/>
      </c>
      <c r="V3943" s="212" t="s">
        <v>50</v>
      </c>
      <c r="W3943" s="100" t="s">
        <v>168</v>
      </c>
      <c r="X3943" s="100" t="s">
        <v>169</v>
      </c>
      <c r="Y3943" s="101" t="s">
        <v>170</v>
      </c>
      <c r="Z3943" s="101" t="s">
        <v>171</v>
      </c>
      <c r="AA3943" s="101" t="s">
        <v>50</v>
      </c>
      <c r="AB3943" s="101" t="s">
        <v>172</v>
      </c>
      <c r="AC3943" s="102" t="s">
        <v>173</v>
      </c>
    </row>
    <row r="3944" spans="1:29" ht="25.5" customHeight="1" x14ac:dyDescent="0.35">
      <c r="A3944" s="392"/>
      <c r="B3944" s="393"/>
      <c r="C3944" s="99" t="str">
        <f>IF(B3944="","",IF(NOT(ISNUMBER(B3944)),"DATA_PC invalida",IF(NOT(ISNUMBER(parametros!$C$2)),"Fora dos ciclos",IF(OR(B3944&lt;parametros!$C$2,(YEAR(B3944)-YEAR(parametros!$C$2))*12+MONTH(B3944)-MONTH(parametros!$C$2)&gt;59),"Fora dos ciclos","C"&amp;INT(((YEAR(B3944)-YEAR(parametros!$C$2))*12+MONTH(B3944)-MONTH(parametros!$C$2))/12)))))</f>
        <v/>
      </c>
      <c r="D3944" s="394"/>
      <c r="E3944" s="78" t="str">
        <f>IF(C3944="","",IFERROR(VLOOKUP(C3944,parametros!$A$11:$E$15,5,0),""))</f>
        <v/>
      </c>
      <c r="F3944" s="79" t="str">
        <f t="shared" si="307"/>
        <v/>
      </c>
      <c r="G3944" s="395"/>
      <c r="H3944" s="91">
        <f t="shared" si="308"/>
        <v>0</v>
      </c>
      <c r="I3944" s="91" t="str">
        <f t="shared" si="309"/>
        <v/>
      </c>
      <c r="J3944" s="91" t="str">
        <f t="shared" si="310"/>
        <v/>
      </c>
      <c r="K3944" s="92" t="str">
        <f>IF(AND(A3944="",B3944="",D3944="",G3944=""),"",IF(AND(A3944&lt;&gt;"",COUNTIF($A$2:$A$5001,A3944)&gt;1),"NUMERO_PC duplicado",IF(B3944="","DATA_PC vazia",IF(NOT(ISNUMBER(B3944)),"DATA_PC invalida",IF(OR(C3944="",C3944="Fora dos ciclos"),"CICLO_PC nao identificado",IF(OR(D3944="",D3944=0),"VALOR_PC vazio ou zero",IF(AND(G3944&lt;&gt;"Sim",G3944&lt;&gt;"Nao",G3944&lt;&gt;""),"PC_PAGO_A_CONTRATADA invalido",IF(AND(C3944&lt;&gt;"C0",IFERROR(INDEX(parametros!$A$2:$A$6,MATCH(C3944,parametros!$B$2:$B$6,0)),"")="Sim",IFERROR(INDEX(parametros!$H$2:$H$6,MATCH(C3944,parametros!$B$2:$B$6,0)),"")=""),"INICIO_EFEITO ausente: PC "&amp;A3944&amp;" - "&amp;C3944,IF(L3944="","EFEITO_PC nao calculado: PC "&amp;A3944&amp;" - "&amp;C3944,"OK")))))))))</f>
        <v/>
      </c>
      <c r="L3944" s="92" t="str">
        <f>IF(AND(A3944="",B3944="",D3944="",G3944=""),"",IF(OR(B3944="",NOT(ISNUMBER(B3944)),C3944="",C3944="Fora dos ciclos"),"",IF(C3944="C0","Nao",IF(IFERROR(INDEX(parametros!$A$2:$A$6,MATCH(C3944,parametros!$B$2:$B$6,0)),"")&lt;&gt;"Sim","Nao",IF(IFERROR(INDEX(parametros!$H$2:$H$6,MATCH(C3944,parametros!$B$2:$B$6,0)),"")="","",IF(B3944&gt;=IFERROR(INDEX(parametros!$H$2:$H$6,MATCH(C3944,parametros!$B$2:$B$6,0)),""),"Sim","Nao"))))))</f>
        <v/>
      </c>
      <c r="T3944" s="156"/>
      <c r="U3944" s="214" t="str">
        <f t="shared" si="311"/>
        <v/>
      </c>
      <c r="V3944" s="212" t="s">
        <v>50</v>
      </c>
      <c r="W3944" s="100" t="s">
        <v>168</v>
      </c>
      <c r="X3944" s="100" t="s">
        <v>169</v>
      </c>
      <c r="Y3944" s="101" t="s">
        <v>170</v>
      </c>
      <c r="Z3944" s="101" t="s">
        <v>171</v>
      </c>
      <c r="AA3944" s="101" t="s">
        <v>50</v>
      </c>
      <c r="AB3944" s="101" t="s">
        <v>172</v>
      </c>
      <c r="AC3944" s="102" t="s">
        <v>173</v>
      </c>
    </row>
    <row r="3945" spans="1:29" ht="25.5" customHeight="1" x14ac:dyDescent="0.35">
      <c r="A3945" s="392"/>
      <c r="B3945" s="393"/>
      <c r="C3945" s="99" t="str">
        <f>IF(B3945="","",IF(NOT(ISNUMBER(B3945)),"DATA_PC invalida",IF(NOT(ISNUMBER(parametros!$C$2)),"Fora dos ciclos",IF(OR(B3945&lt;parametros!$C$2,(YEAR(B3945)-YEAR(parametros!$C$2))*12+MONTH(B3945)-MONTH(parametros!$C$2)&gt;59),"Fora dos ciclos","C"&amp;INT(((YEAR(B3945)-YEAR(parametros!$C$2))*12+MONTH(B3945)-MONTH(parametros!$C$2))/12)))))</f>
        <v/>
      </c>
      <c r="D3945" s="394"/>
      <c r="E3945" s="78" t="str">
        <f>IF(C3945="","",IFERROR(VLOOKUP(C3945,parametros!$A$11:$E$15,5,0),""))</f>
        <v/>
      </c>
      <c r="F3945" s="79" t="str">
        <f t="shared" si="307"/>
        <v/>
      </c>
      <c r="G3945" s="395"/>
      <c r="H3945" s="91">
        <f t="shared" si="308"/>
        <v>0</v>
      </c>
      <c r="I3945" s="91" t="str">
        <f t="shared" si="309"/>
        <v/>
      </c>
      <c r="J3945" s="91" t="str">
        <f t="shared" si="310"/>
        <v/>
      </c>
      <c r="K3945" s="92" t="str">
        <f>IF(AND(A3945="",B3945="",D3945="",G3945=""),"",IF(AND(A3945&lt;&gt;"",COUNTIF($A$2:$A$5001,A3945)&gt;1),"NUMERO_PC duplicado",IF(B3945="","DATA_PC vazia",IF(NOT(ISNUMBER(B3945)),"DATA_PC invalida",IF(OR(C3945="",C3945="Fora dos ciclos"),"CICLO_PC nao identificado",IF(OR(D3945="",D3945=0),"VALOR_PC vazio ou zero",IF(AND(G3945&lt;&gt;"Sim",G3945&lt;&gt;"Nao",G3945&lt;&gt;""),"PC_PAGO_A_CONTRATADA invalido",IF(AND(C3945&lt;&gt;"C0",IFERROR(INDEX(parametros!$A$2:$A$6,MATCH(C3945,parametros!$B$2:$B$6,0)),"")="Sim",IFERROR(INDEX(parametros!$H$2:$H$6,MATCH(C3945,parametros!$B$2:$B$6,0)),"")=""),"INICIO_EFEITO ausente: PC "&amp;A3945&amp;" - "&amp;C3945,IF(L3945="","EFEITO_PC nao calculado: PC "&amp;A3945&amp;" - "&amp;C3945,"OK")))))))))</f>
        <v/>
      </c>
      <c r="L3945" s="92" t="str">
        <f>IF(AND(A3945="",B3945="",D3945="",G3945=""),"",IF(OR(B3945="",NOT(ISNUMBER(B3945)),C3945="",C3945="Fora dos ciclos"),"",IF(C3945="C0","Nao",IF(IFERROR(INDEX(parametros!$A$2:$A$6,MATCH(C3945,parametros!$B$2:$B$6,0)),"")&lt;&gt;"Sim","Nao",IF(IFERROR(INDEX(parametros!$H$2:$H$6,MATCH(C3945,parametros!$B$2:$B$6,0)),"")="","",IF(B3945&gt;=IFERROR(INDEX(parametros!$H$2:$H$6,MATCH(C3945,parametros!$B$2:$B$6,0)),""),"Sim","Nao"))))))</f>
        <v/>
      </c>
      <c r="T3945" s="156"/>
      <c r="U3945" s="214" t="str">
        <f t="shared" si="311"/>
        <v/>
      </c>
      <c r="V3945" s="212" t="s">
        <v>50</v>
      </c>
      <c r="W3945" s="100" t="s">
        <v>168</v>
      </c>
      <c r="X3945" s="100" t="s">
        <v>169</v>
      </c>
      <c r="Y3945" s="101" t="s">
        <v>170</v>
      </c>
      <c r="Z3945" s="101" t="s">
        <v>171</v>
      </c>
      <c r="AA3945" s="101" t="s">
        <v>50</v>
      </c>
      <c r="AB3945" s="101" t="s">
        <v>172</v>
      </c>
      <c r="AC3945" s="102" t="s">
        <v>173</v>
      </c>
    </row>
    <row r="3946" spans="1:29" ht="25.5" customHeight="1" x14ac:dyDescent="0.35">
      <c r="A3946" s="392"/>
      <c r="B3946" s="393"/>
      <c r="C3946" s="99" t="str">
        <f>IF(B3946="","",IF(NOT(ISNUMBER(B3946)),"DATA_PC invalida",IF(NOT(ISNUMBER(parametros!$C$2)),"Fora dos ciclos",IF(OR(B3946&lt;parametros!$C$2,(YEAR(B3946)-YEAR(parametros!$C$2))*12+MONTH(B3946)-MONTH(parametros!$C$2)&gt;59),"Fora dos ciclos","C"&amp;INT(((YEAR(B3946)-YEAR(parametros!$C$2))*12+MONTH(B3946)-MONTH(parametros!$C$2))/12)))))</f>
        <v/>
      </c>
      <c r="D3946" s="394"/>
      <c r="E3946" s="78" t="str">
        <f>IF(C3946="","",IFERROR(VLOOKUP(C3946,parametros!$A$11:$E$15,5,0),""))</f>
        <v/>
      </c>
      <c r="F3946" s="79" t="str">
        <f t="shared" si="307"/>
        <v/>
      </c>
      <c r="G3946" s="395"/>
      <c r="H3946" s="91">
        <f t="shared" si="308"/>
        <v>0</v>
      </c>
      <c r="I3946" s="91" t="str">
        <f t="shared" si="309"/>
        <v/>
      </c>
      <c r="J3946" s="91" t="str">
        <f t="shared" si="310"/>
        <v/>
      </c>
      <c r="K3946" s="92" t="str">
        <f>IF(AND(A3946="",B3946="",D3946="",G3946=""),"",IF(AND(A3946&lt;&gt;"",COUNTIF($A$2:$A$5001,A3946)&gt;1),"NUMERO_PC duplicado",IF(B3946="","DATA_PC vazia",IF(NOT(ISNUMBER(B3946)),"DATA_PC invalida",IF(OR(C3946="",C3946="Fora dos ciclos"),"CICLO_PC nao identificado",IF(OR(D3946="",D3946=0),"VALOR_PC vazio ou zero",IF(AND(G3946&lt;&gt;"Sim",G3946&lt;&gt;"Nao",G3946&lt;&gt;""),"PC_PAGO_A_CONTRATADA invalido",IF(AND(C3946&lt;&gt;"C0",IFERROR(INDEX(parametros!$A$2:$A$6,MATCH(C3946,parametros!$B$2:$B$6,0)),"")="Sim",IFERROR(INDEX(parametros!$H$2:$H$6,MATCH(C3946,parametros!$B$2:$B$6,0)),"")=""),"INICIO_EFEITO ausente: PC "&amp;A3946&amp;" - "&amp;C3946,IF(L3946="","EFEITO_PC nao calculado: PC "&amp;A3946&amp;" - "&amp;C3946,"OK")))))))))</f>
        <v/>
      </c>
      <c r="L3946" s="92" t="str">
        <f>IF(AND(A3946="",B3946="",D3946="",G3946=""),"",IF(OR(B3946="",NOT(ISNUMBER(B3946)),C3946="",C3946="Fora dos ciclos"),"",IF(C3946="C0","Nao",IF(IFERROR(INDEX(parametros!$A$2:$A$6,MATCH(C3946,parametros!$B$2:$B$6,0)),"")&lt;&gt;"Sim","Nao",IF(IFERROR(INDEX(parametros!$H$2:$H$6,MATCH(C3946,parametros!$B$2:$B$6,0)),"")="","",IF(B3946&gt;=IFERROR(INDEX(parametros!$H$2:$H$6,MATCH(C3946,parametros!$B$2:$B$6,0)),""),"Sim","Nao"))))))</f>
        <v/>
      </c>
      <c r="T3946" s="156"/>
      <c r="U3946" s="214" t="str">
        <f t="shared" si="311"/>
        <v/>
      </c>
      <c r="V3946" s="212" t="s">
        <v>50</v>
      </c>
      <c r="W3946" s="100" t="s">
        <v>168</v>
      </c>
      <c r="X3946" s="100" t="s">
        <v>169</v>
      </c>
      <c r="Y3946" s="101" t="s">
        <v>170</v>
      </c>
      <c r="Z3946" s="101" t="s">
        <v>171</v>
      </c>
      <c r="AA3946" s="101" t="s">
        <v>50</v>
      </c>
      <c r="AB3946" s="101" t="s">
        <v>172</v>
      </c>
      <c r="AC3946" s="102" t="s">
        <v>173</v>
      </c>
    </row>
    <row r="3947" spans="1:29" ht="25.5" customHeight="1" x14ac:dyDescent="0.35">
      <c r="A3947" s="392"/>
      <c r="B3947" s="393"/>
      <c r="C3947" s="99" t="str">
        <f>IF(B3947="","",IF(NOT(ISNUMBER(B3947)),"DATA_PC invalida",IF(NOT(ISNUMBER(parametros!$C$2)),"Fora dos ciclos",IF(OR(B3947&lt;parametros!$C$2,(YEAR(B3947)-YEAR(parametros!$C$2))*12+MONTH(B3947)-MONTH(parametros!$C$2)&gt;59),"Fora dos ciclos","C"&amp;INT(((YEAR(B3947)-YEAR(parametros!$C$2))*12+MONTH(B3947)-MONTH(parametros!$C$2))/12)))))</f>
        <v/>
      </c>
      <c r="D3947" s="394"/>
      <c r="E3947" s="78" t="str">
        <f>IF(C3947="","",IFERROR(VLOOKUP(C3947,parametros!$A$11:$E$15,5,0),""))</f>
        <v/>
      </c>
      <c r="F3947" s="79" t="str">
        <f t="shared" si="307"/>
        <v/>
      </c>
      <c r="G3947" s="395"/>
      <c r="H3947" s="91">
        <f t="shared" si="308"/>
        <v>0</v>
      </c>
      <c r="I3947" s="91" t="str">
        <f t="shared" si="309"/>
        <v/>
      </c>
      <c r="J3947" s="91" t="str">
        <f t="shared" si="310"/>
        <v/>
      </c>
      <c r="K3947" s="92" t="str">
        <f>IF(AND(A3947="",B3947="",D3947="",G3947=""),"",IF(AND(A3947&lt;&gt;"",COUNTIF($A$2:$A$5001,A3947)&gt;1),"NUMERO_PC duplicado",IF(B3947="","DATA_PC vazia",IF(NOT(ISNUMBER(B3947)),"DATA_PC invalida",IF(OR(C3947="",C3947="Fora dos ciclos"),"CICLO_PC nao identificado",IF(OR(D3947="",D3947=0),"VALOR_PC vazio ou zero",IF(AND(G3947&lt;&gt;"Sim",G3947&lt;&gt;"Nao",G3947&lt;&gt;""),"PC_PAGO_A_CONTRATADA invalido",IF(AND(C3947&lt;&gt;"C0",IFERROR(INDEX(parametros!$A$2:$A$6,MATCH(C3947,parametros!$B$2:$B$6,0)),"")="Sim",IFERROR(INDEX(parametros!$H$2:$H$6,MATCH(C3947,parametros!$B$2:$B$6,0)),"")=""),"INICIO_EFEITO ausente: PC "&amp;A3947&amp;" - "&amp;C3947,IF(L3947="","EFEITO_PC nao calculado: PC "&amp;A3947&amp;" - "&amp;C3947,"OK")))))))))</f>
        <v/>
      </c>
      <c r="L3947" s="92" t="str">
        <f>IF(AND(A3947="",B3947="",D3947="",G3947=""),"",IF(OR(B3947="",NOT(ISNUMBER(B3947)),C3947="",C3947="Fora dos ciclos"),"",IF(C3947="C0","Nao",IF(IFERROR(INDEX(parametros!$A$2:$A$6,MATCH(C3947,parametros!$B$2:$B$6,0)),"")&lt;&gt;"Sim","Nao",IF(IFERROR(INDEX(parametros!$H$2:$H$6,MATCH(C3947,parametros!$B$2:$B$6,0)),"")="","",IF(B3947&gt;=IFERROR(INDEX(parametros!$H$2:$H$6,MATCH(C3947,parametros!$B$2:$B$6,0)),""),"Sim","Nao"))))))</f>
        <v/>
      </c>
      <c r="T3947" s="156"/>
      <c r="U3947" s="214" t="str">
        <f t="shared" si="311"/>
        <v/>
      </c>
      <c r="V3947" s="212" t="s">
        <v>50</v>
      </c>
      <c r="W3947" s="100" t="s">
        <v>168</v>
      </c>
      <c r="X3947" s="100" t="s">
        <v>169</v>
      </c>
      <c r="Y3947" s="101" t="s">
        <v>170</v>
      </c>
      <c r="Z3947" s="101" t="s">
        <v>171</v>
      </c>
      <c r="AA3947" s="101" t="s">
        <v>50</v>
      </c>
      <c r="AB3947" s="101" t="s">
        <v>172</v>
      </c>
      <c r="AC3947" s="102" t="s">
        <v>173</v>
      </c>
    </row>
    <row r="3948" spans="1:29" ht="25.5" customHeight="1" x14ac:dyDescent="0.35">
      <c r="A3948" s="392"/>
      <c r="B3948" s="393"/>
      <c r="C3948" s="99" t="str">
        <f>IF(B3948="","",IF(NOT(ISNUMBER(B3948)),"DATA_PC invalida",IF(NOT(ISNUMBER(parametros!$C$2)),"Fora dos ciclos",IF(OR(B3948&lt;parametros!$C$2,(YEAR(B3948)-YEAR(parametros!$C$2))*12+MONTH(B3948)-MONTH(parametros!$C$2)&gt;59),"Fora dos ciclos","C"&amp;INT(((YEAR(B3948)-YEAR(parametros!$C$2))*12+MONTH(B3948)-MONTH(parametros!$C$2))/12)))))</f>
        <v/>
      </c>
      <c r="D3948" s="394"/>
      <c r="E3948" s="78" t="str">
        <f>IF(C3948="","",IFERROR(VLOOKUP(C3948,parametros!$A$11:$E$15,5,0),""))</f>
        <v/>
      </c>
      <c r="F3948" s="79" t="str">
        <f t="shared" si="307"/>
        <v/>
      </c>
      <c r="G3948" s="395"/>
      <c r="H3948" s="91">
        <f t="shared" si="308"/>
        <v>0</v>
      </c>
      <c r="I3948" s="91" t="str">
        <f t="shared" si="309"/>
        <v/>
      </c>
      <c r="J3948" s="91" t="str">
        <f t="shared" si="310"/>
        <v/>
      </c>
      <c r="K3948" s="92" t="str">
        <f>IF(AND(A3948="",B3948="",D3948="",G3948=""),"",IF(AND(A3948&lt;&gt;"",COUNTIF($A$2:$A$5001,A3948)&gt;1),"NUMERO_PC duplicado",IF(B3948="","DATA_PC vazia",IF(NOT(ISNUMBER(B3948)),"DATA_PC invalida",IF(OR(C3948="",C3948="Fora dos ciclos"),"CICLO_PC nao identificado",IF(OR(D3948="",D3948=0),"VALOR_PC vazio ou zero",IF(AND(G3948&lt;&gt;"Sim",G3948&lt;&gt;"Nao",G3948&lt;&gt;""),"PC_PAGO_A_CONTRATADA invalido",IF(AND(C3948&lt;&gt;"C0",IFERROR(INDEX(parametros!$A$2:$A$6,MATCH(C3948,parametros!$B$2:$B$6,0)),"")="Sim",IFERROR(INDEX(parametros!$H$2:$H$6,MATCH(C3948,parametros!$B$2:$B$6,0)),"")=""),"INICIO_EFEITO ausente: PC "&amp;A3948&amp;" - "&amp;C3948,IF(L3948="","EFEITO_PC nao calculado: PC "&amp;A3948&amp;" - "&amp;C3948,"OK")))))))))</f>
        <v/>
      </c>
      <c r="L3948" s="92" t="str">
        <f>IF(AND(A3948="",B3948="",D3948="",G3948=""),"",IF(OR(B3948="",NOT(ISNUMBER(B3948)),C3948="",C3948="Fora dos ciclos"),"",IF(C3948="C0","Nao",IF(IFERROR(INDEX(parametros!$A$2:$A$6,MATCH(C3948,parametros!$B$2:$B$6,0)),"")&lt;&gt;"Sim","Nao",IF(IFERROR(INDEX(parametros!$H$2:$H$6,MATCH(C3948,parametros!$B$2:$B$6,0)),"")="","",IF(B3948&gt;=IFERROR(INDEX(parametros!$H$2:$H$6,MATCH(C3948,parametros!$B$2:$B$6,0)),""),"Sim","Nao"))))))</f>
        <v/>
      </c>
      <c r="T3948" s="156"/>
      <c r="U3948" s="214" t="str">
        <f t="shared" si="311"/>
        <v/>
      </c>
      <c r="V3948" s="212" t="s">
        <v>50</v>
      </c>
      <c r="W3948" s="100" t="s">
        <v>168</v>
      </c>
      <c r="X3948" s="100" t="s">
        <v>169</v>
      </c>
      <c r="Y3948" s="101" t="s">
        <v>170</v>
      </c>
      <c r="Z3948" s="101" t="s">
        <v>171</v>
      </c>
      <c r="AA3948" s="101" t="s">
        <v>50</v>
      </c>
      <c r="AB3948" s="101" t="s">
        <v>172</v>
      </c>
      <c r="AC3948" s="102" t="s">
        <v>173</v>
      </c>
    </row>
    <row r="3949" spans="1:29" ht="25.5" customHeight="1" x14ac:dyDescent="0.35">
      <c r="A3949" s="392"/>
      <c r="B3949" s="393"/>
      <c r="C3949" s="99" t="str">
        <f>IF(B3949="","",IF(NOT(ISNUMBER(B3949)),"DATA_PC invalida",IF(NOT(ISNUMBER(parametros!$C$2)),"Fora dos ciclos",IF(OR(B3949&lt;parametros!$C$2,(YEAR(B3949)-YEAR(parametros!$C$2))*12+MONTH(B3949)-MONTH(parametros!$C$2)&gt;59),"Fora dos ciclos","C"&amp;INT(((YEAR(B3949)-YEAR(parametros!$C$2))*12+MONTH(B3949)-MONTH(parametros!$C$2))/12)))))</f>
        <v/>
      </c>
      <c r="D3949" s="394"/>
      <c r="E3949" s="78" t="str">
        <f>IF(C3949="","",IFERROR(VLOOKUP(C3949,parametros!$A$11:$E$15,5,0),""))</f>
        <v/>
      </c>
      <c r="F3949" s="79" t="str">
        <f t="shared" si="307"/>
        <v/>
      </c>
      <c r="G3949" s="395"/>
      <c r="H3949" s="91">
        <f t="shared" si="308"/>
        <v>0</v>
      </c>
      <c r="I3949" s="91" t="str">
        <f t="shared" si="309"/>
        <v/>
      </c>
      <c r="J3949" s="91" t="str">
        <f t="shared" si="310"/>
        <v/>
      </c>
      <c r="K3949" s="92" t="str">
        <f>IF(AND(A3949="",B3949="",D3949="",G3949=""),"",IF(AND(A3949&lt;&gt;"",COUNTIF($A$2:$A$5001,A3949)&gt;1),"NUMERO_PC duplicado",IF(B3949="","DATA_PC vazia",IF(NOT(ISNUMBER(B3949)),"DATA_PC invalida",IF(OR(C3949="",C3949="Fora dos ciclos"),"CICLO_PC nao identificado",IF(OR(D3949="",D3949=0),"VALOR_PC vazio ou zero",IF(AND(G3949&lt;&gt;"Sim",G3949&lt;&gt;"Nao",G3949&lt;&gt;""),"PC_PAGO_A_CONTRATADA invalido",IF(AND(C3949&lt;&gt;"C0",IFERROR(INDEX(parametros!$A$2:$A$6,MATCH(C3949,parametros!$B$2:$B$6,0)),"")="Sim",IFERROR(INDEX(parametros!$H$2:$H$6,MATCH(C3949,parametros!$B$2:$B$6,0)),"")=""),"INICIO_EFEITO ausente: PC "&amp;A3949&amp;" - "&amp;C3949,IF(L3949="","EFEITO_PC nao calculado: PC "&amp;A3949&amp;" - "&amp;C3949,"OK")))))))))</f>
        <v/>
      </c>
      <c r="L3949" s="92" t="str">
        <f>IF(AND(A3949="",B3949="",D3949="",G3949=""),"",IF(OR(B3949="",NOT(ISNUMBER(B3949)),C3949="",C3949="Fora dos ciclos"),"",IF(C3949="C0","Nao",IF(IFERROR(INDEX(parametros!$A$2:$A$6,MATCH(C3949,parametros!$B$2:$B$6,0)),"")&lt;&gt;"Sim","Nao",IF(IFERROR(INDEX(parametros!$H$2:$H$6,MATCH(C3949,parametros!$B$2:$B$6,0)),"")="","",IF(B3949&gt;=IFERROR(INDEX(parametros!$H$2:$H$6,MATCH(C3949,parametros!$B$2:$B$6,0)),""),"Sim","Nao"))))))</f>
        <v/>
      </c>
      <c r="T3949" s="156"/>
      <c r="U3949" s="214" t="str">
        <f t="shared" si="311"/>
        <v/>
      </c>
      <c r="V3949" s="212" t="s">
        <v>50</v>
      </c>
      <c r="W3949" s="100" t="s">
        <v>168</v>
      </c>
      <c r="X3949" s="100" t="s">
        <v>169</v>
      </c>
      <c r="Y3949" s="101" t="s">
        <v>170</v>
      </c>
      <c r="Z3949" s="101" t="s">
        <v>171</v>
      </c>
      <c r="AA3949" s="101" t="s">
        <v>50</v>
      </c>
      <c r="AB3949" s="101" t="s">
        <v>172</v>
      </c>
      <c r="AC3949" s="102" t="s">
        <v>173</v>
      </c>
    </row>
    <row r="3950" spans="1:29" ht="25.5" customHeight="1" x14ac:dyDescent="0.35">
      <c r="A3950" s="392"/>
      <c r="B3950" s="393"/>
      <c r="C3950" s="99" t="str">
        <f>IF(B3950="","",IF(NOT(ISNUMBER(B3950)),"DATA_PC invalida",IF(NOT(ISNUMBER(parametros!$C$2)),"Fora dos ciclos",IF(OR(B3950&lt;parametros!$C$2,(YEAR(B3950)-YEAR(parametros!$C$2))*12+MONTH(B3950)-MONTH(parametros!$C$2)&gt;59),"Fora dos ciclos","C"&amp;INT(((YEAR(B3950)-YEAR(parametros!$C$2))*12+MONTH(B3950)-MONTH(parametros!$C$2))/12)))))</f>
        <v/>
      </c>
      <c r="D3950" s="394"/>
      <c r="E3950" s="78" t="str">
        <f>IF(C3950="","",IFERROR(VLOOKUP(C3950,parametros!$A$11:$E$15,5,0),""))</f>
        <v/>
      </c>
      <c r="F3950" s="79" t="str">
        <f t="shared" si="307"/>
        <v/>
      </c>
      <c r="G3950" s="395"/>
      <c r="H3950" s="91">
        <f t="shared" si="308"/>
        <v>0</v>
      </c>
      <c r="I3950" s="91" t="str">
        <f t="shared" si="309"/>
        <v/>
      </c>
      <c r="J3950" s="91" t="str">
        <f t="shared" si="310"/>
        <v/>
      </c>
      <c r="K3950" s="92" t="str">
        <f>IF(AND(A3950="",B3950="",D3950="",G3950=""),"",IF(AND(A3950&lt;&gt;"",COUNTIF($A$2:$A$5001,A3950)&gt;1),"NUMERO_PC duplicado",IF(B3950="","DATA_PC vazia",IF(NOT(ISNUMBER(B3950)),"DATA_PC invalida",IF(OR(C3950="",C3950="Fora dos ciclos"),"CICLO_PC nao identificado",IF(OR(D3950="",D3950=0),"VALOR_PC vazio ou zero",IF(AND(G3950&lt;&gt;"Sim",G3950&lt;&gt;"Nao",G3950&lt;&gt;""),"PC_PAGO_A_CONTRATADA invalido",IF(AND(C3950&lt;&gt;"C0",IFERROR(INDEX(parametros!$A$2:$A$6,MATCH(C3950,parametros!$B$2:$B$6,0)),"")="Sim",IFERROR(INDEX(parametros!$H$2:$H$6,MATCH(C3950,parametros!$B$2:$B$6,0)),"")=""),"INICIO_EFEITO ausente: PC "&amp;A3950&amp;" - "&amp;C3950,IF(L3950="","EFEITO_PC nao calculado: PC "&amp;A3950&amp;" - "&amp;C3950,"OK")))))))))</f>
        <v/>
      </c>
      <c r="L3950" s="92" t="str">
        <f>IF(AND(A3950="",B3950="",D3950="",G3950=""),"",IF(OR(B3950="",NOT(ISNUMBER(B3950)),C3950="",C3950="Fora dos ciclos"),"",IF(C3950="C0","Nao",IF(IFERROR(INDEX(parametros!$A$2:$A$6,MATCH(C3950,parametros!$B$2:$B$6,0)),"")&lt;&gt;"Sim","Nao",IF(IFERROR(INDEX(parametros!$H$2:$H$6,MATCH(C3950,parametros!$B$2:$B$6,0)),"")="","",IF(B3950&gt;=IFERROR(INDEX(parametros!$H$2:$H$6,MATCH(C3950,parametros!$B$2:$B$6,0)),""),"Sim","Nao"))))))</f>
        <v/>
      </c>
      <c r="T3950" s="156"/>
      <c r="U3950" s="214" t="str">
        <f t="shared" si="311"/>
        <v/>
      </c>
      <c r="V3950" s="212" t="s">
        <v>50</v>
      </c>
      <c r="W3950" s="100" t="s">
        <v>168</v>
      </c>
      <c r="X3950" s="100" t="s">
        <v>169</v>
      </c>
      <c r="Y3950" s="101" t="s">
        <v>170</v>
      </c>
      <c r="Z3950" s="101" t="s">
        <v>171</v>
      </c>
      <c r="AA3950" s="101" t="s">
        <v>50</v>
      </c>
      <c r="AB3950" s="101" t="s">
        <v>172</v>
      </c>
      <c r="AC3950" s="102" t="s">
        <v>173</v>
      </c>
    </row>
    <row r="3951" spans="1:29" ht="25.5" customHeight="1" x14ac:dyDescent="0.35">
      <c r="A3951" s="392"/>
      <c r="B3951" s="393"/>
      <c r="C3951" s="99" t="str">
        <f>IF(B3951="","",IF(NOT(ISNUMBER(B3951)),"DATA_PC invalida",IF(NOT(ISNUMBER(parametros!$C$2)),"Fora dos ciclos",IF(OR(B3951&lt;parametros!$C$2,(YEAR(B3951)-YEAR(parametros!$C$2))*12+MONTH(B3951)-MONTH(parametros!$C$2)&gt;59),"Fora dos ciclos","C"&amp;INT(((YEAR(B3951)-YEAR(parametros!$C$2))*12+MONTH(B3951)-MONTH(parametros!$C$2))/12)))))</f>
        <v/>
      </c>
      <c r="D3951" s="394"/>
      <c r="E3951" s="78" t="str">
        <f>IF(C3951="","",IFERROR(VLOOKUP(C3951,parametros!$A$11:$E$15,5,0),""))</f>
        <v/>
      </c>
      <c r="F3951" s="79" t="str">
        <f t="shared" si="307"/>
        <v/>
      </c>
      <c r="G3951" s="395"/>
      <c r="H3951" s="91">
        <f t="shared" si="308"/>
        <v>0</v>
      </c>
      <c r="I3951" s="91" t="str">
        <f t="shared" si="309"/>
        <v/>
      </c>
      <c r="J3951" s="91" t="str">
        <f t="shared" si="310"/>
        <v/>
      </c>
      <c r="K3951" s="92" t="str">
        <f>IF(AND(A3951="",B3951="",D3951="",G3951=""),"",IF(AND(A3951&lt;&gt;"",COUNTIF($A$2:$A$5001,A3951)&gt;1),"NUMERO_PC duplicado",IF(B3951="","DATA_PC vazia",IF(NOT(ISNUMBER(B3951)),"DATA_PC invalida",IF(OR(C3951="",C3951="Fora dos ciclos"),"CICLO_PC nao identificado",IF(OR(D3951="",D3951=0),"VALOR_PC vazio ou zero",IF(AND(G3951&lt;&gt;"Sim",G3951&lt;&gt;"Nao",G3951&lt;&gt;""),"PC_PAGO_A_CONTRATADA invalido",IF(AND(C3951&lt;&gt;"C0",IFERROR(INDEX(parametros!$A$2:$A$6,MATCH(C3951,parametros!$B$2:$B$6,0)),"")="Sim",IFERROR(INDEX(parametros!$H$2:$H$6,MATCH(C3951,parametros!$B$2:$B$6,0)),"")=""),"INICIO_EFEITO ausente: PC "&amp;A3951&amp;" - "&amp;C3951,IF(L3951="","EFEITO_PC nao calculado: PC "&amp;A3951&amp;" - "&amp;C3951,"OK")))))))))</f>
        <v/>
      </c>
      <c r="L3951" s="92" t="str">
        <f>IF(AND(A3951="",B3951="",D3951="",G3951=""),"",IF(OR(B3951="",NOT(ISNUMBER(B3951)),C3951="",C3951="Fora dos ciclos"),"",IF(C3951="C0","Nao",IF(IFERROR(INDEX(parametros!$A$2:$A$6,MATCH(C3951,parametros!$B$2:$B$6,0)),"")&lt;&gt;"Sim","Nao",IF(IFERROR(INDEX(parametros!$H$2:$H$6,MATCH(C3951,parametros!$B$2:$B$6,0)),"")="","",IF(B3951&gt;=IFERROR(INDEX(parametros!$H$2:$H$6,MATCH(C3951,parametros!$B$2:$B$6,0)),""),"Sim","Nao"))))))</f>
        <v/>
      </c>
      <c r="T3951" s="156"/>
      <c r="U3951" s="214" t="str">
        <f t="shared" si="311"/>
        <v/>
      </c>
      <c r="V3951" s="212" t="s">
        <v>50</v>
      </c>
      <c r="W3951" s="100" t="s">
        <v>168</v>
      </c>
      <c r="X3951" s="100" t="s">
        <v>169</v>
      </c>
      <c r="Y3951" s="101" t="s">
        <v>170</v>
      </c>
      <c r="Z3951" s="101" t="s">
        <v>171</v>
      </c>
      <c r="AA3951" s="101" t="s">
        <v>50</v>
      </c>
      <c r="AB3951" s="101" t="s">
        <v>172</v>
      </c>
      <c r="AC3951" s="102" t="s">
        <v>173</v>
      </c>
    </row>
    <row r="3952" spans="1:29" ht="25.5" customHeight="1" x14ac:dyDescent="0.35">
      <c r="A3952" s="392"/>
      <c r="B3952" s="393"/>
      <c r="C3952" s="99" t="str">
        <f>IF(B3952="","",IF(NOT(ISNUMBER(B3952)),"DATA_PC invalida",IF(NOT(ISNUMBER(parametros!$C$2)),"Fora dos ciclos",IF(OR(B3952&lt;parametros!$C$2,(YEAR(B3952)-YEAR(parametros!$C$2))*12+MONTH(B3952)-MONTH(parametros!$C$2)&gt;59),"Fora dos ciclos","C"&amp;INT(((YEAR(B3952)-YEAR(parametros!$C$2))*12+MONTH(B3952)-MONTH(parametros!$C$2))/12)))))</f>
        <v/>
      </c>
      <c r="D3952" s="394"/>
      <c r="E3952" s="78" t="str">
        <f>IF(C3952="","",IFERROR(VLOOKUP(C3952,parametros!$A$11:$E$15,5,0),""))</f>
        <v/>
      </c>
      <c r="F3952" s="79" t="str">
        <f t="shared" si="307"/>
        <v/>
      </c>
      <c r="G3952" s="395"/>
      <c r="H3952" s="91">
        <f t="shared" si="308"/>
        <v>0</v>
      </c>
      <c r="I3952" s="91" t="str">
        <f t="shared" si="309"/>
        <v/>
      </c>
      <c r="J3952" s="91" t="str">
        <f t="shared" si="310"/>
        <v/>
      </c>
      <c r="K3952" s="92" t="str">
        <f>IF(AND(A3952="",B3952="",D3952="",G3952=""),"",IF(AND(A3952&lt;&gt;"",COUNTIF($A$2:$A$5001,A3952)&gt;1),"NUMERO_PC duplicado",IF(B3952="","DATA_PC vazia",IF(NOT(ISNUMBER(B3952)),"DATA_PC invalida",IF(OR(C3952="",C3952="Fora dos ciclos"),"CICLO_PC nao identificado",IF(OR(D3952="",D3952=0),"VALOR_PC vazio ou zero",IF(AND(G3952&lt;&gt;"Sim",G3952&lt;&gt;"Nao",G3952&lt;&gt;""),"PC_PAGO_A_CONTRATADA invalido",IF(AND(C3952&lt;&gt;"C0",IFERROR(INDEX(parametros!$A$2:$A$6,MATCH(C3952,parametros!$B$2:$B$6,0)),"")="Sim",IFERROR(INDEX(parametros!$H$2:$H$6,MATCH(C3952,parametros!$B$2:$B$6,0)),"")=""),"INICIO_EFEITO ausente: PC "&amp;A3952&amp;" - "&amp;C3952,IF(L3952="","EFEITO_PC nao calculado: PC "&amp;A3952&amp;" - "&amp;C3952,"OK")))))))))</f>
        <v/>
      </c>
      <c r="L3952" s="92" t="str">
        <f>IF(AND(A3952="",B3952="",D3952="",G3952=""),"",IF(OR(B3952="",NOT(ISNUMBER(B3952)),C3952="",C3952="Fora dos ciclos"),"",IF(C3952="C0","Nao",IF(IFERROR(INDEX(parametros!$A$2:$A$6,MATCH(C3952,parametros!$B$2:$B$6,0)),"")&lt;&gt;"Sim","Nao",IF(IFERROR(INDEX(parametros!$H$2:$H$6,MATCH(C3952,parametros!$B$2:$B$6,0)),"")="","",IF(B3952&gt;=IFERROR(INDEX(parametros!$H$2:$H$6,MATCH(C3952,parametros!$B$2:$B$6,0)),""),"Sim","Nao"))))))</f>
        <v/>
      </c>
      <c r="T3952" s="156"/>
      <c r="U3952" s="214" t="str">
        <f t="shared" si="311"/>
        <v/>
      </c>
      <c r="V3952" s="212" t="s">
        <v>50</v>
      </c>
      <c r="W3952" s="100" t="s">
        <v>168</v>
      </c>
      <c r="X3952" s="100" t="s">
        <v>169</v>
      </c>
      <c r="Y3952" s="101" t="s">
        <v>170</v>
      </c>
      <c r="Z3952" s="101" t="s">
        <v>171</v>
      </c>
      <c r="AA3952" s="101" t="s">
        <v>50</v>
      </c>
      <c r="AB3952" s="101" t="s">
        <v>172</v>
      </c>
      <c r="AC3952" s="102" t="s">
        <v>173</v>
      </c>
    </row>
    <row r="3953" spans="1:29" ht="25.5" customHeight="1" x14ac:dyDescent="0.35">
      <c r="A3953" s="392"/>
      <c r="B3953" s="393"/>
      <c r="C3953" s="99" t="str">
        <f>IF(B3953="","",IF(NOT(ISNUMBER(B3953)),"DATA_PC invalida",IF(NOT(ISNUMBER(parametros!$C$2)),"Fora dos ciclos",IF(OR(B3953&lt;parametros!$C$2,(YEAR(B3953)-YEAR(parametros!$C$2))*12+MONTH(B3953)-MONTH(parametros!$C$2)&gt;59),"Fora dos ciclos","C"&amp;INT(((YEAR(B3953)-YEAR(parametros!$C$2))*12+MONTH(B3953)-MONTH(parametros!$C$2))/12)))))</f>
        <v/>
      </c>
      <c r="D3953" s="394"/>
      <c r="E3953" s="78" t="str">
        <f>IF(C3953="","",IFERROR(VLOOKUP(C3953,parametros!$A$11:$E$15,5,0),""))</f>
        <v/>
      </c>
      <c r="F3953" s="79" t="str">
        <f t="shared" si="307"/>
        <v/>
      </c>
      <c r="G3953" s="395"/>
      <c r="H3953" s="91">
        <f t="shared" si="308"/>
        <v>0</v>
      </c>
      <c r="I3953" s="91" t="str">
        <f t="shared" si="309"/>
        <v/>
      </c>
      <c r="J3953" s="91" t="str">
        <f t="shared" si="310"/>
        <v/>
      </c>
      <c r="K3953" s="92" t="str">
        <f>IF(AND(A3953="",B3953="",D3953="",G3953=""),"",IF(AND(A3953&lt;&gt;"",COUNTIF($A$2:$A$5001,A3953)&gt;1),"NUMERO_PC duplicado",IF(B3953="","DATA_PC vazia",IF(NOT(ISNUMBER(B3953)),"DATA_PC invalida",IF(OR(C3953="",C3953="Fora dos ciclos"),"CICLO_PC nao identificado",IF(OR(D3953="",D3953=0),"VALOR_PC vazio ou zero",IF(AND(G3953&lt;&gt;"Sim",G3953&lt;&gt;"Nao",G3953&lt;&gt;""),"PC_PAGO_A_CONTRATADA invalido",IF(AND(C3953&lt;&gt;"C0",IFERROR(INDEX(parametros!$A$2:$A$6,MATCH(C3953,parametros!$B$2:$B$6,0)),"")="Sim",IFERROR(INDEX(parametros!$H$2:$H$6,MATCH(C3953,parametros!$B$2:$B$6,0)),"")=""),"INICIO_EFEITO ausente: PC "&amp;A3953&amp;" - "&amp;C3953,IF(L3953="","EFEITO_PC nao calculado: PC "&amp;A3953&amp;" - "&amp;C3953,"OK")))))))))</f>
        <v/>
      </c>
      <c r="L3953" s="92" t="str">
        <f>IF(AND(A3953="",B3953="",D3953="",G3953=""),"",IF(OR(B3953="",NOT(ISNUMBER(B3953)),C3953="",C3953="Fora dos ciclos"),"",IF(C3953="C0","Nao",IF(IFERROR(INDEX(parametros!$A$2:$A$6,MATCH(C3953,parametros!$B$2:$B$6,0)),"")&lt;&gt;"Sim","Nao",IF(IFERROR(INDEX(parametros!$H$2:$H$6,MATCH(C3953,parametros!$B$2:$B$6,0)),"")="","",IF(B3953&gt;=IFERROR(INDEX(parametros!$H$2:$H$6,MATCH(C3953,parametros!$B$2:$B$6,0)),""),"Sim","Nao"))))))</f>
        <v/>
      </c>
      <c r="T3953" s="156"/>
      <c r="U3953" s="214" t="str">
        <f t="shared" si="311"/>
        <v/>
      </c>
      <c r="V3953" s="212" t="s">
        <v>50</v>
      </c>
      <c r="W3953" s="100" t="s">
        <v>168</v>
      </c>
      <c r="X3953" s="100" t="s">
        <v>169</v>
      </c>
      <c r="Y3953" s="101" t="s">
        <v>170</v>
      </c>
      <c r="Z3953" s="101" t="s">
        <v>171</v>
      </c>
      <c r="AA3953" s="101" t="s">
        <v>50</v>
      </c>
      <c r="AB3953" s="101" t="s">
        <v>172</v>
      </c>
      <c r="AC3953" s="102" t="s">
        <v>173</v>
      </c>
    </row>
    <row r="3954" spans="1:29" ht="25.5" customHeight="1" x14ac:dyDescent="0.35">
      <c r="A3954" s="392"/>
      <c r="B3954" s="393"/>
      <c r="C3954" s="99" t="str">
        <f>IF(B3954="","",IF(NOT(ISNUMBER(B3954)),"DATA_PC invalida",IF(NOT(ISNUMBER(parametros!$C$2)),"Fora dos ciclos",IF(OR(B3954&lt;parametros!$C$2,(YEAR(B3954)-YEAR(parametros!$C$2))*12+MONTH(B3954)-MONTH(parametros!$C$2)&gt;59),"Fora dos ciclos","C"&amp;INT(((YEAR(B3954)-YEAR(parametros!$C$2))*12+MONTH(B3954)-MONTH(parametros!$C$2))/12)))))</f>
        <v/>
      </c>
      <c r="D3954" s="394"/>
      <c r="E3954" s="78" t="str">
        <f>IF(C3954="","",IFERROR(VLOOKUP(C3954,parametros!$A$11:$E$15,5,0),""))</f>
        <v/>
      </c>
      <c r="F3954" s="79" t="str">
        <f t="shared" si="307"/>
        <v/>
      </c>
      <c r="G3954" s="395"/>
      <c r="H3954" s="91">
        <f t="shared" si="308"/>
        <v>0</v>
      </c>
      <c r="I3954" s="91" t="str">
        <f t="shared" si="309"/>
        <v/>
      </c>
      <c r="J3954" s="91" t="str">
        <f t="shared" si="310"/>
        <v/>
      </c>
      <c r="K3954" s="92" t="str">
        <f>IF(AND(A3954="",B3954="",D3954="",G3954=""),"",IF(AND(A3954&lt;&gt;"",COUNTIF($A$2:$A$5001,A3954)&gt;1),"NUMERO_PC duplicado",IF(B3954="","DATA_PC vazia",IF(NOT(ISNUMBER(B3954)),"DATA_PC invalida",IF(OR(C3954="",C3954="Fora dos ciclos"),"CICLO_PC nao identificado",IF(OR(D3954="",D3954=0),"VALOR_PC vazio ou zero",IF(AND(G3954&lt;&gt;"Sim",G3954&lt;&gt;"Nao",G3954&lt;&gt;""),"PC_PAGO_A_CONTRATADA invalido",IF(AND(C3954&lt;&gt;"C0",IFERROR(INDEX(parametros!$A$2:$A$6,MATCH(C3954,parametros!$B$2:$B$6,0)),"")="Sim",IFERROR(INDEX(parametros!$H$2:$H$6,MATCH(C3954,parametros!$B$2:$B$6,0)),"")=""),"INICIO_EFEITO ausente: PC "&amp;A3954&amp;" - "&amp;C3954,IF(L3954="","EFEITO_PC nao calculado: PC "&amp;A3954&amp;" - "&amp;C3954,"OK")))))))))</f>
        <v/>
      </c>
      <c r="L3954" s="92" t="str">
        <f>IF(AND(A3954="",B3954="",D3954="",G3954=""),"",IF(OR(B3954="",NOT(ISNUMBER(B3954)),C3954="",C3954="Fora dos ciclos"),"",IF(C3954="C0","Nao",IF(IFERROR(INDEX(parametros!$A$2:$A$6,MATCH(C3954,parametros!$B$2:$B$6,0)),"")&lt;&gt;"Sim","Nao",IF(IFERROR(INDEX(parametros!$H$2:$H$6,MATCH(C3954,parametros!$B$2:$B$6,0)),"")="","",IF(B3954&gt;=IFERROR(INDEX(parametros!$H$2:$H$6,MATCH(C3954,parametros!$B$2:$B$6,0)),""),"Sim","Nao"))))))</f>
        <v/>
      </c>
      <c r="T3954" s="156"/>
      <c r="U3954" s="214" t="str">
        <f t="shared" si="311"/>
        <v/>
      </c>
      <c r="V3954" s="212" t="s">
        <v>50</v>
      </c>
      <c r="W3954" s="100" t="s">
        <v>168</v>
      </c>
      <c r="X3954" s="100" t="s">
        <v>169</v>
      </c>
      <c r="Y3954" s="101" t="s">
        <v>170</v>
      </c>
      <c r="Z3954" s="101" t="s">
        <v>171</v>
      </c>
      <c r="AA3954" s="101" t="s">
        <v>50</v>
      </c>
      <c r="AB3954" s="101" t="s">
        <v>172</v>
      </c>
      <c r="AC3954" s="102" t="s">
        <v>173</v>
      </c>
    </row>
    <row r="3955" spans="1:29" ht="25.5" customHeight="1" x14ac:dyDescent="0.35">
      <c r="A3955" s="392"/>
      <c r="B3955" s="393"/>
      <c r="C3955" s="99" t="str">
        <f>IF(B3955="","",IF(NOT(ISNUMBER(B3955)),"DATA_PC invalida",IF(NOT(ISNUMBER(parametros!$C$2)),"Fora dos ciclos",IF(OR(B3955&lt;parametros!$C$2,(YEAR(B3955)-YEAR(parametros!$C$2))*12+MONTH(B3955)-MONTH(parametros!$C$2)&gt;59),"Fora dos ciclos","C"&amp;INT(((YEAR(B3955)-YEAR(parametros!$C$2))*12+MONTH(B3955)-MONTH(parametros!$C$2))/12)))))</f>
        <v/>
      </c>
      <c r="D3955" s="394"/>
      <c r="E3955" s="78" t="str">
        <f>IF(C3955="","",IFERROR(VLOOKUP(C3955,parametros!$A$11:$E$15,5,0),""))</f>
        <v/>
      </c>
      <c r="F3955" s="79" t="str">
        <f t="shared" si="307"/>
        <v/>
      </c>
      <c r="G3955" s="395"/>
      <c r="H3955" s="91">
        <f t="shared" si="308"/>
        <v>0</v>
      </c>
      <c r="I3955" s="91" t="str">
        <f t="shared" si="309"/>
        <v/>
      </c>
      <c r="J3955" s="91" t="str">
        <f t="shared" si="310"/>
        <v/>
      </c>
      <c r="K3955" s="92" t="str">
        <f>IF(AND(A3955="",B3955="",D3955="",G3955=""),"",IF(AND(A3955&lt;&gt;"",COUNTIF($A$2:$A$5001,A3955)&gt;1),"NUMERO_PC duplicado",IF(B3955="","DATA_PC vazia",IF(NOT(ISNUMBER(B3955)),"DATA_PC invalida",IF(OR(C3955="",C3955="Fora dos ciclos"),"CICLO_PC nao identificado",IF(OR(D3955="",D3955=0),"VALOR_PC vazio ou zero",IF(AND(G3955&lt;&gt;"Sim",G3955&lt;&gt;"Nao",G3955&lt;&gt;""),"PC_PAGO_A_CONTRATADA invalido",IF(AND(C3955&lt;&gt;"C0",IFERROR(INDEX(parametros!$A$2:$A$6,MATCH(C3955,parametros!$B$2:$B$6,0)),"")="Sim",IFERROR(INDEX(parametros!$H$2:$H$6,MATCH(C3955,parametros!$B$2:$B$6,0)),"")=""),"INICIO_EFEITO ausente: PC "&amp;A3955&amp;" - "&amp;C3955,IF(L3955="","EFEITO_PC nao calculado: PC "&amp;A3955&amp;" - "&amp;C3955,"OK")))))))))</f>
        <v/>
      </c>
      <c r="L3955" s="92" t="str">
        <f>IF(AND(A3955="",B3955="",D3955="",G3955=""),"",IF(OR(B3955="",NOT(ISNUMBER(B3955)),C3955="",C3955="Fora dos ciclos"),"",IF(C3955="C0","Nao",IF(IFERROR(INDEX(parametros!$A$2:$A$6,MATCH(C3955,parametros!$B$2:$B$6,0)),"")&lt;&gt;"Sim","Nao",IF(IFERROR(INDEX(parametros!$H$2:$H$6,MATCH(C3955,parametros!$B$2:$B$6,0)),"")="","",IF(B3955&gt;=IFERROR(INDEX(parametros!$H$2:$H$6,MATCH(C3955,parametros!$B$2:$B$6,0)),""),"Sim","Nao"))))))</f>
        <v/>
      </c>
      <c r="T3955" s="156"/>
      <c r="U3955" s="214" t="str">
        <f t="shared" si="311"/>
        <v/>
      </c>
      <c r="V3955" s="212" t="s">
        <v>50</v>
      </c>
      <c r="W3955" s="100" t="s">
        <v>168</v>
      </c>
      <c r="X3955" s="100" t="s">
        <v>169</v>
      </c>
      <c r="Y3955" s="101" t="s">
        <v>170</v>
      </c>
      <c r="Z3955" s="101" t="s">
        <v>171</v>
      </c>
      <c r="AA3955" s="101" t="s">
        <v>50</v>
      </c>
      <c r="AB3955" s="101" t="s">
        <v>172</v>
      </c>
      <c r="AC3955" s="102" t="s">
        <v>173</v>
      </c>
    </row>
    <row r="3956" spans="1:29" ht="25.5" customHeight="1" x14ac:dyDescent="0.35">
      <c r="A3956" s="392"/>
      <c r="B3956" s="393"/>
      <c r="C3956" s="99" t="str">
        <f>IF(B3956="","",IF(NOT(ISNUMBER(B3956)),"DATA_PC invalida",IF(NOT(ISNUMBER(parametros!$C$2)),"Fora dos ciclos",IF(OR(B3956&lt;parametros!$C$2,(YEAR(B3956)-YEAR(parametros!$C$2))*12+MONTH(B3956)-MONTH(parametros!$C$2)&gt;59),"Fora dos ciclos","C"&amp;INT(((YEAR(B3956)-YEAR(parametros!$C$2))*12+MONTH(B3956)-MONTH(parametros!$C$2))/12)))))</f>
        <v/>
      </c>
      <c r="D3956" s="394"/>
      <c r="E3956" s="78" t="str">
        <f>IF(C3956="","",IFERROR(VLOOKUP(C3956,parametros!$A$11:$E$15,5,0),""))</f>
        <v/>
      </c>
      <c r="F3956" s="79" t="str">
        <f t="shared" si="307"/>
        <v/>
      </c>
      <c r="G3956" s="395"/>
      <c r="H3956" s="91">
        <f t="shared" si="308"/>
        <v>0</v>
      </c>
      <c r="I3956" s="91" t="str">
        <f t="shared" si="309"/>
        <v/>
      </c>
      <c r="J3956" s="91" t="str">
        <f t="shared" si="310"/>
        <v/>
      </c>
      <c r="K3956" s="92" t="str">
        <f>IF(AND(A3956="",B3956="",D3956="",G3956=""),"",IF(AND(A3956&lt;&gt;"",COUNTIF($A$2:$A$5001,A3956)&gt;1),"NUMERO_PC duplicado",IF(B3956="","DATA_PC vazia",IF(NOT(ISNUMBER(B3956)),"DATA_PC invalida",IF(OR(C3956="",C3956="Fora dos ciclos"),"CICLO_PC nao identificado",IF(OR(D3956="",D3956=0),"VALOR_PC vazio ou zero",IF(AND(G3956&lt;&gt;"Sim",G3956&lt;&gt;"Nao",G3956&lt;&gt;""),"PC_PAGO_A_CONTRATADA invalido",IF(AND(C3956&lt;&gt;"C0",IFERROR(INDEX(parametros!$A$2:$A$6,MATCH(C3956,parametros!$B$2:$B$6,0)),"")="Sim",IFERROR(INDEX(parametros!$H$2:$H$6,MATCH(C3956,parametros!$B$2:$B$6,0)),"")=""),"INICIO_EFEITO ausente: PC "&amp;A3956&amp;" - "&amp;C3956,IF(L3956="","EFEITO_PC nao calculado: PC "&amp;A3956&amp;" - "&amp;C3956,"OK")))))))))</f>
        <v/>
      </c>
      <c r="L3956" s="92" t="str">
        <f>IF(AND(A3956="",B3956="",D3956="",G3956=""),"",IF(OR(B3956="",NOT(ISNUMBER(B3956)),C3956="",C3956="Fora dos ciclos"),"",IF(C3956="C0","Nao",IF(IFERROR(INDEX(parametros!$A$2:$A$6,MATCH(C3956,parametros!$B$2:$B$6,0)),"")&lt;&gt;"Sim","Nao",IF(IFERROR(INDEX(parametros!$H$2:$H$6,MATCH(C3956,parametros!$B$2:$B$6,0)),"")="","",IF(B3956&gt;=IFERROR(INDEX(parametros!$H$2:$H$6,MATCH(C3956,parametros!$B$2:$B$6,0)),""),"Sim","Nao"))))))</f>
        <v/>
      </c>
      <c r="T3956" s="156"/>
      <c r="U3956" s="214" t="str">
        <f t="shared" si="311"/>
        <v/>
      </c>
      <c r="V3956" s="212" t="s">
        <v>50</v>
      </c>
      <c r="W3956" s="100" t="s">
        <v>168</v>
      </c>
      <c r="X3956" s="100" t="s">
        <v>169</v>
      </c>
      <c r="Y3956" s="101" t="s">
        <v>170</v>
      </c>
      <c r="Z3956" s="101" t="s">
        <v>171</v>
      </c>
      <c r="AA3956" s="101" t="s">
        <v>50</v>
      </c>
      <c r="AB3956" s="101" t="s">
        <v>172</v>
      </c>
      <c r="AC3956" s="102" t="s">
        <v>173</v>
      </c>
    </row>
    <row r="3957" spans="1:29" ht="25.5" customHeight="1" x14ac:dyDescent="0.35">
      <c r="A3957" s="392"/>
      <c r="B3957" s="393"/>
      <c r="C3957" s="99" t="str">
        <f>IF(B3957="","",IF(NOT(ISNUMBER(B3957)),"DATA_PC invalida",IF(NOT(ISNUMBER(parametros!$C$2)),"Fora dos ciclos",IF(OR(B3957&lt;parametros!$C$2,(YEAR(B3957)-YEAR(parametros!$C$2))*12+MONTH(B3957)-MONTH(parametros!$C$2)&gt;59),"Fora dos ciclos","C"&amp;INT(((YEAR(B3957)-YEAR(parametros!$C$2))*12+MONTH(B3957)-MONTH(parametros!$C$2))/12)))))</f>
        <v/>
      </c>
      <c r="D3957" s="394"/>
      <c r="E3957" s="78" t="str">
        <f>IF(C3957="","",IFERROR(VLOOKUP(C3957,parametros!$A$11:$E$15,5,0),""))</f>
        <v/>
      </c>
      <c r="F3957" s="79" t="str">
        <f t="shared" si="307"/>
        <v/>
      </c>
      <c r="G3957" s="395"/>
      <c r="H3957" s="91">
        <f t="shared" si="308"/>
        <v>0</v>
      </c>
      <c r="I3957" s="91" t="str">
        <f t="shared" si="309"/>
        <v/>
      </c>
      <c r="J3957" s="91" t="str">
        <f t="shared" si="310"/>
        <v/>
      </c>
      <c r="K3957" s="92" t="str">
        <f>IF(AND(A3957="",B3957="",D3957="",G3957=""),"",IF(AND(A3957&lt;&gt;"",COUNTIF($A$2:$A$5001,A3957)&gt;1),"NUMERO_PC duplicado",IF(B3957="","DATA_PC vazia",IF(NOT(ISNUMBER(B3957)),"DATA_PC invalida",IF(OR(C3957="",C3957="Fora dos ciclos"),"CICLO_PC nao identificado",IF(OR(D3957="",D3957=0),"VALOR_PC vazio ou zero",IF(AND(G3957&lt;&gt;"Sim",G3957&lt;&gt;"Nao",G3957&lt;&gt;""),"PC_PAGO_A_CONTRATADA invalido",IF(AND(C3957&lt;&gt;"C0",IFERROR(INDEX(parametros!$A$2:$A$6,MATCH(C3957,parametros!$B$2:$B$6,0)),"")="Sim",IFERROR(INDEX(parametros!$H$2:$H$6,MATCH(C3957,parametros!$B$2:$B$6,0)),"")=""),"INICIO_EFEITO ausente: PC "&amp;A3957&amp;" - "&amp;C3957,IF(L3957="","EFEITO_PC nao calculado: PC "&amp;A3957&amp;" - "&amp;C3957,"OK")))))))))</f>
        <v/>
      </c>
      <c r="L3957" s="92" t="str">
        <f>IF(AND(A3957="",B3957="",D3957="",G3957=""),"",IF(OR(B3957="",NOT(ISNUMBER(B3957)),C3957="",C3957="Fora dos ciclos"),"",IF(C3957="C0","Nao",IF(IFERROR(INDEX(parametros!$A$2:$A$6,MATCH(C3957,parametros!$B$2:$B$6,0)),"")&lt;&gt;"Sim","Nao",IF(IFERROR(INDEX(parametros!$H$2:$H$6,MATCH(C3957,parametros!$B$2:$B$6,0)),"")="","",IF(B3957&gt;=IFERROR(INDEX(parametros!$H$2:$H$6,MATCH(C3957,parametros!$B$2:$B$6,0)),""),"Sim","Nao"))))))</f>
        <v/>
      </c>
      <c r="T3957" s="156"/>
      <c r="U3957" s="214" t="str">
        <f t="shared" si="311"/>
        <v/>
      </c>
      <c r="V3957" s="212" t="s">
        <v>50</v>
      </c>
      <c r="W3957" s="100" t="s">
        <v>168</v>
      </c>
      <c r="X3957" s="100" t="s">
        <v>169</v>
      </c>
      <c r="Y3957" s="101" t="s">
        <v>170</v>
      </c>
      <c r="Z3957" s="101" t="s">
        <v>171</v>
      </c>
      <c r="AA3957" s="101" t="s">
        <v>50</v>
      </c>
      <c r="AB3957" s="101" t="s">
        <v>172</v>
      </c>
      <c r="AC3957" s="102" t="s">
        <v>173</v>
      </c>
    </row>
    <row r="3958" spans="1:29" ht="25.5" customHeight="1" x14ac:dyDescent="0.35">
      <c r="A3958" s="392"/>
      <c r="B3958" s="393"/>
      <c r="C3958" s="99" t="str">
        <f>IF(B3958="","",IF(NOT(ISNUMBER(B3958)),"DATA_PC invalida",IF(NOT(ISNUMBER(parametros!$C$2)),"Fora dos ciclos",IF(OR(B3958&lt;parametros!$C$2,(YEAR(B3958)-YEAR(parametros!$C$2))*12+MONTH(B3958)-MONTH(parametros!$C$2)&gt;59),"Fora dos ciclos","C"&amp;INT(((YEAR(B3958)-YEAR(parametros!$C$2))*12+MONTH(B3958)-MONTH(parametros!$C$2))/12)))))</f>
        <v/>
      </c>
      <c r="D3958" s="394"/>
      <c r="E3958" s="78" t="str">
        <f>IF(C3958="","",IFERROR(VLOOKUP(C3958,parametros!$A$11:$E$15,5,0),""))</f>
        <v/>
      </c>
      <c r="F3958" s="79" t="str">
        <f t="shared" si="307"/>
        <v/>
      </c>
      <c r="G3958" s="395"/>
      <c r="H3958" s="91">
        <f t="shared" si="308"/>
        <v>0</v>
      </c>
      <c r="I3958" s="91" t="str">
        <f t="shared" si="309"/>
        <v/>
      </c>
      <c r="J3958" s="91" t="str">
        <f t="shared" si="310"/>
        <v/>
      </c>
      <c r="K3958" s="92" t="str">
        <f>IF(AND(A3958="",B3958="",D3958="",G3958=""),"",IF(AND(A3958&lt;&gt;"",COUNTIF($A$2:$A$5001,A3958)&gt;1),"NUMERO_PC duplicado",IF(B3958="","DATA_PC vazia",IF(NOT(ISNUMBER(B3958)),"DATA_PC invalida",IF(OR(C3958="",C3958="Fora dos ciclos"),"CICLO_PC nao identificado",IF(OR(D3958="",D3958=0),"VALOR_PC vazio ou zero",IF(AND(G3958&lt;&gt;"Sim",G3958&lt;&gt;"Nao",G3958&lt;&gt;""),"PC_PAGO_A_CONTRATADA invalido",IF(AND(C3958&lt;&gt;"C0",IFERROR(INDEX(parametros!$A$2:$A$6,MATCH(C3958,parametros!$B$2:$B$6,0)),"")="Sim",IFERROR(INDEX(parametros!$H$2:$H$6,MATCH(C3958,parametros!$B$2:$B$6,0)),"")=""),"INICIO_EFEITO ausente: PC "&amp;A3958&amp;" - "&amp;C3958,IF(L3958="","EFEITO_PC nao calculado: PC "&amp;A3958&amp;" - "&amp;C3958,"OK")))))))))</f>
        <v/>
      </c>
      <c r="L3958" s="92" t="str">
        <f>IF(AND(A3958="",B3958="",D3958="",G3958=""),"",IF(OR(B3958="",NOT(ISNUMBER(B3958)),C3958="",C3958="Fora dos ciclos"),"",IF(C3958="C0","Nao",IF(IFERROR(INDEX(parametros!$A$2:$A$6,MATCH(C3958,parametros!$B$2:$B$6,0)),"")&lt;&gt;"Sim","Nao",IF(IFERROR(INDEX(parametros!$H$2:$H$6,MATCH(C3958,parametros!$B$2:$B$6,0)),"")="","",IF(B3958&gt;=IFERROR(INDEX(parametros!$H$2:$H$6,MATCH(C3958,parametros!$B$2:$B$6,0)),""),"Sim","Nao"))))))</f>
        <v/>
      </c>
      <c r="T3958" s="156"/>
      <c r="U3958" s="214" t="str">
        <f t="shared" si="311"/>
        <v/>
      </c>
      <c r="V3958" s="212" t="s">
        <v>50</v>
      </c>
      <c r="W3958" s="100" t="s">
        <v>168</v>
      </c>
      <c r="X3958" s="100" t="s">
        <v>169</v>
      </c>
      <c r="Y3958" s="101" t="s">
        <v>170</v>
      </c>
      <c r="Z3958" s="101" t="s">
        <v>171</v>
      </c>
      <c r="AA3958" s="101" t="s">
        <v>50</v>
      </c>
      <c r="AB3958" s="101" t="s">
        <v>172</v>
      </c>
      <c r="AC3958" s="102" t="s">
        <v>173</v>
      </c>
    </row>
    <row r="3959" spans="1:29" ht="25.5" customHeight="1" x14ac:dyDescent="0.35">
      <c r="A3959" s="392"/>
      <c r="B3959" s="393"/>
      <c r="C3959" s="99" t="str">
        <f>IF(B3959="","",IF(NOT(ISNUMBER(B3959)),"DATA_PC invalida",IF(NOT(ISNUMBER(parametros!$C$2)),"Fora dos ciclos",IF(OR(B3959&lt;parametros!$C$2,(YEAR(B3959)-YEAR(parametros!$C$2))*12+MONTH(B3959)-MONTH(parametros!$C$2)&gt;59),"Fora dos ciclos","C"&amp;INT(((YEAR(B3959)-YEAR(parametros!$C$2))*12+MONTH(B3959)-MONTH(parametros!$C$2))/12)))))</f>
        <v/>
      </c>
      <c r="D3959" s="394"/>
      <c r="E3959" s="78" t="str">
        <f>IF(C3959="","",IFERROR(VLOOKUP(C3959,parametros!$A$11:$E$15,5,0),""))</f>
        <v/>
      </c>
      <c r="F3959" s="79" t="str">
        <f t="shared" si="307"/>
        <v/>
      </c>
      <c r="G3959" s="395"/>
      <c r="H3959" s="91">
        <f t="shared" si="308"/>
        <v>0</v>
      </c>
      <c r="I3959" s="91" t="str">
        <f t="shared" si="309"/>
        <v/>
      </c>
      <c r="J3959" s="91" t="str">
        <f t="shared" si="310"/>
        <v/>
      </c>
      <c r="K3959" s="92" t="str">
        <f>IF(AND(A3959="",B3959="",D3959="",G3959=""),"",IF(AND(A3959&lt;&gt;"",COUNTIF($A$2:$A$5001,A3959)&gt;1),"NUMERO_PC duplicado",IF(B3959="","DATA_PC vazia",IF(NOT(ISNUMBER(B3959)),"DATA_PC invalida",IF(OR(C3959="",C3959="Fora dos ciclos"),"CICLO_PC nao identificado",IF(OR(D3959="",D3959=0),"VALOR_PC vazio ou zero",IF(AND(G3959&lt;&gt;"Sim",G3959&lt;&gt;"Nao",G3959&lt;&gt;""),"PC_PAGO_A_CONTRATADA invalido",IF(AND(C3959&lt;&gt;"C0",IFERROR(INDEX(parametros!$A$2:$A$6,MATCH(C3959,parametros!$B$2:$B$6,0)),"")="Sim",IFERROR(INDEX(parametros!$H$2:$H$6,MATCH(C3959,parametros!$B$2:$B$6,0)),"")=""),"INICIO_EFEITO ausente: PC "&amp;A3959&amp;" - "&amp;C3959,IF(L3959="","EFEITO_PC nao calculado: PC "&amp;A3959&amp;" - "&amp;C3959,"OK")))))))))</f>
        <v/>
      </c>
      <c r="L3959" s="92" t="str">
        <f>IF(AND(A3959="",B3959="",D3959="",G3959=""),"",IF(OR(B3959="",NOT(ISNUMBER(B3959)),C3959="",C3959="Fora dos ciclos"),"",IF(C3959="C0","Nao",IF(IFERROR(INDEX(parametros!$A$2:$A$6,MATCH(C3959,parametros!$B$2:$B$6,0)),"")&lt;&gt;"Sim","Nao",IF(IFERROR(INDEX(parametros!$H$2:$H$6,MATCH(C3959,parametros!$B$2:$B$6,0)),"")="","",IF(B3959&gt;=IFERROR(INDEX(parametros!$H$2:$H$6,MATCH(C3959,parametros!$B$2:$B$6,0)),""),"Sim","Nao"))))))</f>
        <v/>
      </c>
      <c r="T3959" s="156"/>
      <c r="U3959" s="214" t="str">
        <f t="shared" si="311"/>
        <v/>
      </c>
      <c r="V3959" s="212" t="s">
        <v>50</v>
      </c>
      <c r="W3959" s="100" t="s">
        <v>168</v>
      </c>
      <c r="X3959" s="100" t="s">
        <v>169</v>
      </c>
      <c r="Y3959" s="101" t="s">
        <v>170</v>
      </c>
      <c r="Z3959" s="101" t="s">
        <v>171</v>
      </c>
      <c r="AA3959" s="101" t="s">
        <v>50</v>
      </c>
      <c r="AB3959" s="101" t="s">
        <v>172</v>
      </c>
      <c r="AC3959" s="102" t="s">
        <v>173</v>
      </c>
    </row>
    <row r="3960" spans="1:29" ht="25.5" customHeight="1" x14ac:dyDescent="0.35">
      <c r="A3960" s="392"/>
      <c r="B3960" s="393"/>
      <c r="C3960" s="99" t="str">
        <f>IF(B3960="","",IF(NOT(ISNUMBER(B3960)),"DATA_PC invalida",IF(NOT(ISNUMBER(parametros!$C$2)),"Fora dos ciclos",IF(OR(B3960&lt;parametros!$C$2,(YEAR(B3960)-YEAR(parametros!$C$2))*12+MONTH(B3960)-MONTH(parametros!$C$2)&gt;59),"Fora dos ciclos","C"&amp;INT(((YEAR(B3960)-YEAR(parametros!$C$2))*12+MONTH(B3960)-MONTH(parametros!$C$2))/12)))))</f>
        <v/>
      </c>
      <c r="D3960" s="394"/>
      <c r="E3960" s="78" t="str">
        <f>IF(C3960="","",IFERROR(VLOOKUP(C3960,parametros!$A$11:$E$15,5,0),""))</f>
        <v/>
      </c>
      <c r="F3960" s="79" t="str">
        <f t="shared" si="307"/>
        <v/>
      </c>
      <c r="G3960" s="395"/>
      <c r="H3960" s="91">
        <f t="shared" si="308"/>
        <v>0</v>
      </c>
      <c r="I3960" s="91" t="str">
        <f t="shared" si="309"/>
        <v/>
      </c>
      <c r="J3960" s="91" t="str">
        <f t="shared" si="310"/>
        <v/>
      </c>
      <c r="K3960" s="92" t="str">
        <f>IF(AND(A3960="",B3960="",D3960="",G3960=""),"",IF(AND(A3960&lt;&gt;"",COUNTIF($A$2:$A$5001,A3960)&gt;1),"NUMERO_PC duplicado",IF(B3960="","DATA_PC vazia",IF(NOT(ISNUMBER(B3960)),"DATA_PC invalida",IF(OR(C3960="",C3960="Fora dos ciclos"),"CICLO_PC nao identificado",IF(OR(D3960="",D3960=0),"VALOR_PC vazio ou zero",IF(AND(G3960&lt;&gt;"Sim",G3960&lt;&gt;"Nao",G3960&lt;&gt;""),"PC_PAGO_A_CONTRATADA invalido",IF(AND(C3960&lt;&gt;"C0",IFERROR(INDEX(parametros!$A$2:$A$6,MATCH(C3960,parametros!$B$2:$B$6,0)),"")="Sim",IFERROR(INDEX(parametros!$H$2:$H$6,MATCH(C3960,parametros!$B$2:$B$6,0)),"")=""),"INICIO_EFEITO ausente: PC "&amp;A3960&amp;" - "&amp;C3960,IF(L3960="","EFEITO_PC nao calculado: PC "&amp;A3960&amp;" - "&amp;C3960,"OK")))))))))</f>
        <v/>
      </c>
      <c r="L3960" s="92" t="str">
        <f>IF(AND(A3960="",B3960="",D3960="",G3960=""),"",IF(OR(B3960="",NOT(ISNUMBER(B3960)),C3960="",C3960="Fora dos ciclos"),"",IF(C3960="C0","Nao",IF(IFERROR(INDEX(parametros!$A$2:$A$6,MATCH(C3960,parametros!$B$2:$B$6,0)),"")&lt;&gt;"Sim","Nao",IF(IFERROR(INDEX(parametros!$H$2:$H$6,MATCH(C3960,parametros!$B$2:$B$6,0)),"")="","",IF(B3960&gt;=IFERROR(INDEX(parametros!$H$2:$H$6,MATCH(C3960,parametros!$B$2:$B$6,0)),""),"Sim","Nao"))))))</f>
        <v/>
      </c>
      <c r="T3960" s="156"/>
      <c r="U3960" s="214" t="str">
        <f t="shared" si="311"/>
        <v/>
      </c>
      <c r="V3960" s="212" t="s">
        <v>50</v>
      </c>
      <c r="W3960" s="100" t="s">
        <v>168</v>
      </c>
      <c r="X3960" s="100" t="s">
        <v>169</v>
      </c>
      <c r="Y3960" s="101" t="s">
        <v>170</v>
      </c>
      <c r="Z3960" s="101" t="s">
        <v>171</v>
      </c>
      <c r="AA3960" s="101" t="s">
        <v>50</v>
      </c>
      <c r="AB3960" s="101" t="s">
        <v>172</v>
      </c>
      <c r="AC3960" s="102" t="s">
        <v>173</v>
      </c>
    </row>
    <row r="3961" spans="1:29" ht="25.5" customHeight="1" x14ac:dyDescent="0.35">
      <c r="A3961" s="392"/>
      <c r="B3961" s="393"/>
      <c r="C3961" s="99" t="str">
        <f>IF(B3961="","",IF(NOT(ISNUMBER(B3961)),"DATA_PC invalida",IF(NOT(ISNUMBER(parametros!$C$2)),"Fora dos ciclos",IF(OR(B3961&lt;parametros!$C$2,(YEAR(B3961)-YEAR(parametros!$C$2))*12+MONTH(B3961)-MONTH(parametros!$C$2)&gt;59),"Fora dos ciclos","C"&amp;INT(((YEAR(B3961)-YEAR(parametros!$C$2))*12+MONTH(B3961)-MONTH(parametros!$C$2))/12)))))</f>
        <v/>
      </c>
      <c r="D3961" s="394"/>
      <c r="E3961" s="78" t="str">
        <f>IF(C3961="","",IFERROR(VLOOKUP(C3961,parametros!$A$11:$E$15,5,0),""))</f>
        <v/>
      </c>
      <c r="F3961" s="79" t="str">
        <f t="shared" si="307"/>
        <v/>
      </c>
      <c r="G3961" s="395"/>
      <c r="H3961" s="91">
        <f t="shared" si="308"/>
        <v>0</v>
      </c>
      <c r="I3961" s="91" t="str">
        <f t="shared" si="309"/>
        <v/>
      </c>
      <c r="J3961" s="91" t="str">
        <f t="shared" si="310"/>
        <v/>
      </c>
      <c r="K3961" s="92" t="str">
        <f>IF(AND(A3961="",B3961="",D3961="",G3961=""),"",IF(AND(A3961&lt;&gt;"",COUNTIF($A$2:$A$5001,A3961)&gt;1),"NUMERO_PC duplicado",IF(B3961="","DATA_PC vazia",IF(NOT(ISNUMBER(B3961)),"DATA_PC invalida",IF(OR(C3961="",C3961="Fora dos ciclos"),"CICLO_PC nao identificado",IF(OR(D3961="",D3961=0),"VALOR_PC vazio ou zero",IF(AND(G3961&lt;&gt;"Sim",G3961&lt;&gt;"Nao",G3961&lt;&gt;""),"PC_PAGO_A_CONTRATADA invalido",IF(AND(C3961&lt;&gt;"C0",IFERROR(INDEX(parametros!$A$2:$A$6,MATCH(C3961,parametros!$B$2:$B$6,0)),"")="Sim",IFERROR(INDEX(parametros!$H$2:$H$6,MATCH(C3961,parametros!$B$2:$B$6,0)),"")=""),"INICIO_EFEITO ausente: PC "&amp;A3961&amp;" - "&amp;C3961,IF(L3961="","EFEITO_PC nao calculado: PC "&amp;A3961&amp;" - "&amp;C3961,"OK")))))))))</f>
        <v/>
      </c>
      <c r="L3961" s="92" t="str">
        <f>IF(AND(A3961="",B3961="",D3961="",G3961=""),"",IF(OR(B3961="",NOT(ISNUMBER(B3961)),C3961="",C3961="Fora dos ciclos"),"",IF(C3961="C0","Nao",IF(IFERROR(INDEX(parametros!$A$2:$A$6,MATCH(C3961,parametros!$B$2:$B$6,0)),"")&lt;&gt;"Sim","Nao",IF(IFERROR(INDEX(parametros!$H$2:$H$6,MATCH(C3961,parametros!$B$2:$B$6,0)),"")="","",IF(B3961&gt;=IFERROR(INDEX(parametros!$H$2:$H$6,MATCH(C3961,parametros!$B$2:$B$6,0)),""),"Sim","Nao"))))))</f>
        <v/>
      </c>
      <c r="T3961" s="156"/>
      <c r="U3961" s="214" t="str">
        <f t="shared" si="311"/>
        <v/>
      </c>
      <c r="V3961" s="212" t="s">
        <v>50</v>
      </c>
      <c r="W3961" s="100" t="s">
        <v>168</v>
      </c>
      <c r="X3961" s="100" t="s">
        <v>169</v>
      </c>
      <c r="Y3961" s="101" t="s">
        <v>170</v>
      </c>
      <c r="Z3961" s="101" t="s">
        <v>171</v>
      </c>
      <c r="AA3961" s="101" t="s">
        <v>50</v>
      </c>
      <c r="AB3961" s="101" t="s">
        <v>172</v>
      </c>
      <c r="AC3961" s="102" t="s">
        <v>173</v>
      </c>
    </row>
    <row r="3962" spans="1:29" ht="25.5" customHeight="1" x14ac:dyDescent="0.35">
      <c r="A3962" s="392"/>
      <c r="B3962" s="393"/>
      <c r="C3962" s="99" t="str">
        <f>IF(B3962="","",IF(NOT(ISNUMBER(B3962)),"DATA_PC invalida",IF(NOT(ISNUMBER(parametros!$C$2)),"Fora dos ciclos",IF(OR(B3962&lt;parametros!$C$2,(YEAR(B3962)-YEAR(parametros!$C$2))*12+MONTH(B3962)-MONTH(parametros!$C$2)&gt;59),"Fora dos ciclos","C"&amp;INT(((YEAR(B3962)-YEAR(parametros!$C$2))*12+MONTH(B3962)-MONTH(parametros!$C$2))/12)))))</f>
        <v/>
      </c>
      <c r="D3962" s="394"/>
      <c r="E3962" s="78" t="str">
        <f>IF(C3962="","",IFERROR(VLOOKUP(C3962,parametros!$A$11:$E$15,5,0),""))</f>
        <v/>
      </c>
      <c r="F3962" s="79" t="str">
        <f t="shared" si="307"/>
        <v/>
      </c>
      <c r="G3962" s="395"/>
      <c r="H3962" s="91">
        <f t="shared" si="308"/>
        <v>0</v>
      </c>
      <c r="I3962" s="91" t="str">
        <f t="shared" si="309"/>
        <v/>
      </c>
      <c r="J3962" s="91" t="str">
        <f t="shared" si="310"/>
        <v/>
      </c>
      <c r="K3962" s="92" t="str">
        <f>IF(AND(A3962="",B3962="",D3962="",G3962=""),"",IF(AND(A3962&lt;&gt;"",COUNTIF($A$2:$A$5001,A3962)&gt;1),"NUMERO_PC duplicado",IF(B3962="","DATA_PC vazia",IF(NOT(ISNUMBER(B3962)),"DATA_PC invalida",IF(OR(C3962="",C3962="Fora dos ciclos"),"CICLO_PC nao identificado",IF(OR(D3962="",D3962=0),"VALOR_PC vazio ou zero",IF(AND(G3962&lt;&gt;"Sim",G3962&lt;&gt;"Nao",G3962&lt;&gt;""),"PC_PAGO_A_CONTRATADA invalido",IF(AND(C3962&lt;&gt;"C0",IFERROR(INDEX(parametros!$A$2:$A$6,MATCH(C3962,parametros!$B$2:$B$6,0)),"")="Sim",IFERROR(INDEX(parametros!$H$2:$H$6,MATCH(C3962,parametros!$B$2:$B$6,0)),"")=""),"INICIO_EFEITO ausente: PC "&amp;A3962&amp;" - "&amp;C3962,IF(L3962="","EFEITO_PC nao calculado: PC "&amp;A3962&amp;" - "&amp;C3962,"OK")))))))))</f>
        <v/>
      </c>
      <c r="L3962" s="92" t="str">
        <f>IF(AND(A3962="",B3962="",D3962="",G3962=""),"",IF(OR(B3962="",NOT(ISNUMBER(B3962)),C3962="",C3962="Fora dos ciclos"),"",IF(C3962="C0","Nao",IF(IFERROR(INDEX(parametros!$A$2:$A$6,MATCH(C3962,parametros!$B$2:$B$6,0)),"")&lt;&gt;"Sim","Nao",IF(IFERROR(INDEX(parametros!$H$2:$H$6,MATCH(C3962,parametros!$B$2:$B$6,0)),"")="","",IF(B3962&gt;=IFERROR(INDEX(parametros!$H$2:$H$6,MATCH(C3962,parametros!$B$2:$B$6,0)),""),"Sim","Nao"))))))</f>
        <v/>
      </c>
      <c r="T3962" s="156"/>
      <c r="U3962" s="214" t="str">
        <f t="shared" si="311"/>
        <v/>
      </c>
      <c r="V3962" s="212" t="s">
        <v>50</v>
      </c>
      <c r="W3962" s="100" t="s">
        <v>168</v>
      </c>
      <c r="X3962" s="100" t="s">
        <v>169</v>
      </c>
      <c r="Y3962" s="101" t="s">
        <v>170</v>
      </c>
      <c r="Z3962" s="101" t="s">
        <v>171</v>
      </c>
      <c r="AA3962" s="101" t="s">
        <v>50</v>
      </c>
      <c r="AB3962" s="101" t="s">
        <v>172</v>
      </c>
      <c r="AC3962" s="102" t="s">
        <v>173</v>
      </c>
    </row>
    <row r="3963" spans="1:29" ht="25.5" customHeight="1" x14ac:dyDescent="0.35">
      <c r="A3963" s="392"/>
      <c r="B3963" s="393"/>
      <c r="C3963" s="99" t="str">
        <f>IF(B3963="","",IF(NOT(ISNUMBER(B3963)),"DATA_PC invalida",IF(NOT(ISNUMBER(parametros!$C$2)),"Fora dos ciclos",IF(OR(B3963&lt;parametros!$C$2,(YEAR(B3963)-YEAR(parametros!$C$2))*12+MONTH(B3963)-MONTH(parametros!$C$2)&gt;59),"Fora dos ciclos","C"&amp;INT(((YEAR(B3963)-YEAR(parametros!$C$2))*12+MONTH(B3963)-MONTH(parametros!$C$2))/12)))))</f>
        <v/>
      </c>
      <c r="D3963" s="394"/>
      <c r="E3963" s="78" t="str">
        <f>IF(C3963="","",IFERROR(VLOOKUP(C3963,parametros!$A$11:$E$15,5,0),""))</f>
        <v/>
      </c>
      <c r="F3963" s="79" t="str">
        <f t="shared" si="307"/>
        <v/>
      </c>
      <c r="G3963" s="395"/>
      <c r="H3963" s="91">
        <f t="shared" si="308"/>
        <v>0</v>
      </c>
      <c r="I3963" s="91" t="str">
        <f t="shared" si="309"/>
        <v/>
      </c>
      <c r="J3963" s="91" t="str">
        <f t="shared" si="310"/>
        <v/>
      </c>
      <c r="K3963" s="92" t="str">
        <f>IF(AND(A3963="",B3963="",D3963="",G3963=""),"",IF(AND(A3963&lt;&gt;"",COUNTIF($A$2:$A$5001,A3963)&gt;1),"NUMERO_PC duplicado",IF(B3963="","DATA_PC vazia",IF(NOT(ISNUMBER(B3963)),"DATA_PC invalida",IF(OR(C3963="",C3963="Fora dos ciclos"),"CICLO_PC nao identificado",IF(OR(D3963="",D3963=0),"VALOR_PC vazio ou zero",IF(AND(G3963&lt;&gt;"Sim",G3963&lt;&gt;"Nao",G3963&lt;&gt;""),"PC_PAGO_A_CONTRATADA invalido",IF(AND(C3963&lt;&gt;"C0",IFERROR(INDEX(parametros!$A$2:$A$6,MATCH(C3963,parametros!$B$2:$B$6,0)),"")="Sim",IFERROR(INDEX(parametros!$H$2:$H$6,MATCH(C3963,parametros!$B$2:$B$6,0)),"")=""),"INICIO_EFEITO ausente: PC "&amp;A3963&amp;" - "&amp;C3963,IF(L3963="","EFEITO_PC nao calculado: PC "&amp;A3963&amp;" - "&amp;C3963,"OK")))))))))</f>
        <v/>
      </c>
      <c r="L3963" s="92" t="str">
        <f>IF(AND(A3963="",B3963="",D3963="",G3963=""),"",IF(OR(B3963="",NOT(ISNUMBER(B3963)),C3963="",C3963="Fora dos ciclos"),"",IF(C3963="C0","Nao",IF(IFERROR(INDEX(parametros!$A$2:$A$6,MATCH(C3963,parametros!$B$2:$B$6,0)),"")&lt;&gt;"Sim","Nao",IF(IFERROR(INDEX(parametros!$H$2:$H$6,MATCH(C3963,parametros!$B$2:$B$6,0)),"")="","",IF(B3963&gt;=IFERROR(INDEX(parametros!$H$2:$H$6,MATCH(C3963,parametros!$B$2:$B$6,0)),""),"Sim","Nao"))))))</f>
        <v/>
      </c>
      <c r="T3963" s="156"/>
      <c r="U3963" s="214" t="str">
        <f t="shared" si="311"/>
        <v/>
      </c>
      <c r="V3963" s="212" t="s">
        <v>50</v>
      </c>
      <c r="W3963" s="100" t="s">
        <v>168</v>
      </c>
      <c r="X3963" s="100" t="s">
        <v>169</v>
      </c>
      <c r="Y3963" s="101" t="s">
        <v>170</v>
      </c>
      <c r="Z3963" s="101" t="s">
        <v>171</v>
      </c>
      <c r="AA3963" s="101" t="s">
        <v>50</v>
      </c>
      <c r="AB3963" s="101" t="s">
        <v>172</v>
      </c>
      <c r="AC3963" s="102" t="s">
        <v>173</v>
      </c>
    </row>
    <row r="3964" spans="1:29" ht="25.5" customHeight="1" x14ac:dyDescent="0.35">
      <c r="A3964" s="392"/>
      <c r="B3964" s="393"/>
      <c r="C3964" s="99" t="str">
        <f>IF(B3964="","",IF(NOT(ISNUMBER(B3964)),"DATA_PC invalida",IF(NOT(ISNUMBER(parametros!$C$2)),"Fora dos ciclos",IF(OR(B3964&lt;parametros!$C$2,(YEAR(B3964)-YEAR(parametros!$C$2))*12+MONTH(B3964)-MONTH(parametros!$C$2)&gt;59),"Fora dos ciclos","C"&amp;INT(((YEAR(B3964)-YEAR(parametros!$C$2))*12+MONTH(B3964)-MONTH(parametros!$C$2))/12)))))</f>
        <v/>
      </c>
      <c r="D3964" s="394"/>
      <c r="E3964" s="78" t="str">
        <f>IF(C3964="","",IFERROR(VLOOKUP(C3964,parametros!$A$11:$E$15,5,0),""))</f>
        <v/>
      </c>
      <c r="F3964" s="79" t="str">
        <f t="shared" si="307"/>
        <v/>
      </c>
      <c r="G3964" s="395"/>
      <c r="H3964" s="91">
        <f t="shared" si="308"/>
        <v>0</v>
      </c>
      <c r="I3964" s="91" t="str">
        <f t="shared" si="309"/>
        <v/>
      </c>
      <c r="J3964" s="91" t="str">
        <f t="shared" si="310"/>
        <v/>
      </c>
      <c r="K3964" s="92" t="str">
        <f>IF(AND(A3964="",B3964="",D3964="",G3964=""),"",IF(AND(A3964&lt;&gt;"",COUNTIF($A$2:$A$5001,A3964)&gt;1),"NUMERO_PC duplicado",IF(B3964="","DATA_PC vazia",IF(NOT(ISNUMBER(B3964)),"DATA_PC invalida",IF(OR(C3964="",C3964="Fora dos ciclos"),"CICLO_PC nao identificado",IF(OR(D3964="",D3964=0),"VALOR_PC vazio ou zero",IF(AND(G3964&lt;&gt;"Sim",G3964&lt;&gt;"Nao",G3964&lt;&gt;""),"PC_PAGO_A_CONTRATADA invalido",IF(AND(C3964&lt;&gt;"C0",IFERROR(INDEX(parametros!$A$2:$A$6,MATCH(C3964,parametros!$B$2:$B$6,0)),"")="Sim",IFERROR(INDEX(parametros!$H$2:$H$6,MATCH(C3964,parametros!$B$2:$B$6,0)),"")=""),"INICIO_EFEITO ausente: PC "&amp;A3964&amp;" - "&amp;C3964,IF(L3964="","EFEITO_PC nao calculado: PC "&amp;A3964&amp;" - "&amp;C3964,"OK")))))))))</f>
        <v/>
      </c>
      <c r="L3964" s="92" t="str">
        <f>IF(AND(A3964="",B3964="",D3964="",G3964=""),"",IF(OR(B3964="",NOT(ISNUMBER(B3964)),C3964="",C3964="Fora dos ciclos"),"",IF(C3964="C0","Nao",IF(IFERROR(INDEX(parametros!$A$2:$A$6,MATCH(C3964,parametros!$B$2:$B$6,0)),"")&lt;&gt;"Sim","Nao",IF(IFERROR(INDEX(parametros!$H$2:$H$6,MATCH(C3964,parametros!$B$2:$B$6,0)),"")="","",IF(B3964&gt;=IFERROR(INDEX(parametros!$H$2:$H$6,MATCH(C3964,parametros!$B$2:$B$6,0)),""),"Sim","Nao"))))))</f>
        <v/>
      </c>
      <c r="T3964" s="156"/>
      <c r="U3964" s="214" t="str">
        <f t="shared" si="311"/>
        <v/>
      </c>
      <c r="V3964" s="212" t="s">
        <v>50</v>
      </c>
      <c r="W3964" s="100" t="s">
        <v>168</v>
      </c>
      <c r="X3964" s="100" t="s">
        <v>169</v>
      </c>
      <c r="Y3964" s="101" t="s">
        <v>170</v>
      </c>
      <c r="Z3964" s="101" t="s">
        <v>171</v>
      </c>
      <c r="AA3964" s="101" t="s">
        <v>50</v>
      </c>
      <c r="AB3964" s="101" t="s">
        <v>172</v>
      </c>
      <c r="AC3964" s="102" t="s">
        <v>173</v>
      </c>
    </row>
    <row r="3965" spans="1:29" ht="25.5" customHeight="1" x14ac:dyDescent="0.35">
      <c r="A3965" s="392"/>
      <c r="B3965" s="393"/>
      <c r="C3965" s="99" t="str">
        <f>IF(B3965="","",IF(NOT(ISNUMBER(B3965)),"DATA_PC invalida",IF(NOT(ISNUMBER(parametros!$C$2)),"Fora dos ciclos",IF(OR(B3965&lt;parametros!$C$2,(YEAR(B3965)-YEAR(parametros!$C$2))*12+MONTH(B3965)-MONTH(parametros!$C$2)&gt;59),"Fora dos ciclos","C"&amp;INT(((YEAR(B3965)-YEAR(parametros!$C$2))*12+MONTH(B3965)-MONTH(parametros!$C$2))/12)))))</f>
        <v/>
      </c>
      <c r="D3965" s="394"/>
      <c r="E3965" s="78" t="str">
        <f>IF(C3965="","",IFERROR(VLOOKUP(C3965,parametros!$A$11:$E$15,5,0),""))</f>
        <v/>
      </c>
      <c r="F3965" s="79" t="str">
        <f t="shared" si="307"/>
        <v/>
      </c>
      <c r="G3965" s="395"/>
      <c r="H3965" s="91">
        <f t="shared" si="308"/>
        <v>0</v>
      </c>
      <c r="I3965" s="91" t="str">
        <f t="shared" si="309"/>
        <v/>
      </c>
      <c r="J3965" s="91" t="str">
        <f t="shared" si="310"/>
        <v/>
      </c>
      <c r="K3965" s="92" t="str">
        <f>IF(AND(A3965="",B3965="",D3965="",G3965=""),"",IF(AND(A3965&lt;&gt;"",COUNTIF($A$2:$A$5001,A3965)&gt;1),"NUMERO_PC duplicado",IF(B3965="","DATA_PC vazia",IF(NOT(ISNUMBER(B3965)),"DATA_PC invalida",IF(OR(C3965="",C3965="Fora dos ciclos"),"CICLO_PC nao identificado",IF(OR(D3965="",D3965=0),"VALOR_PC vazio ou zero",IF(AND(G3965&lt;&gt;"Sim",G3965&lt;&gt;"Nao",G3965&lt;&gt;""),"PC_PAGO_A_CONTRATADA invalido",IF(AND(C3965&lt;&gt;"C0",IFERROR(INDEX(parametros!$A$2:$A$6,MATCH(C3965,parametros!$B$2:$B$6,0)),"")="Sim",IFERROR(INDEX(parametros!$H$2:$H$6,MATCH(C3965,parametros!$B$2:$B$6,0)),"")=""),"INICIO_EFEITO ausente: PC "&amp;A3965&amp;" - "&amp;C3965,IF(L3965="","EFEITO_PC nao calculado: PC "&amp;A3965&amp;" - "&amp;C3965,"OK")))))))))</f>
        <v/>
      </c>
      <c r="L3965" s="92" t="str">
        <f>IF(AND(A3965="",B3965="",D3965="",G3965=""),"",IF(OR(B3965="",NOT(ISNUMBER(B3965)),C3965="",C3965="Fora dos ciclos"),"",IF(C3965="C0","Nao",IF(IFERROR(INDEX(parametros!$A$2:$A$6,MATCH(C3965,parametros!$B$2:$B$6,0)),"")&lt;&gt;"Sim","Nao",IF(IFERROR(INDEX(parametros!$H$2:$H$6,MATCH(C3965,parametros!$B$2:$B$6,0)),"")="","",IF(B3965&gt;=IFERROR(INDEX(parametros!$H$2:$H$6,MATCH(C3965,parametros!$B$2:$B$6,0)),""),"Sim","Nao"))))))</f>
        <v/>
      </c>
      <c r="T3965" s="156"/>
      <c r="U3965" s="214" t="str">
        <f t="shared" si="311"/>
        <v/>
      </c>
      <c r="V3965" s="212" t="s">
        <v>50</v>
      </c>
      <c r="W3965" s="100" t="s">
        <v>168</v>
      </c>
      <c r="X3965" s="100" t="s">
        <v>169</v>
      </c>
      <c r="Y3965" s="101" t="s">
        <v>170</v>
      </c>
      <c r="Z3965" s="101" t="s">
        <v>171</v>
      </c>
      <c r="AA3965" s="101" t="s">
        <v>50</v>
      </c>
      <c r="AB3965" s="101" t="s">
        <v>172</v>
      </c>
      <c r="AC3965" s="102" t="s">
        <v>173</v>
      </c>
    </row>
    <row r="3966" spans="1:29" ht="25.5" customHeight="1" x14ac:dyDescent="0.35">
      <c r="A3966" s="392"/>
      <c r="B3966" s="393"/>
      <c r="C3966" s="99" t="str">
        <f>IF(B3966="","",IF(NOT(ISNUMBER(B3966)),"DATA_PC invalida",IF(NOT(ISNUMBER(parametros!$C$2)),"Fora dos ciclos",IF(OR(B3966&lt;parametros!$C$2,(YEAR(B3966)-YEAR(parametros!$C$2))*12+MONTH(B3966)-MONTH(parametros!$C$2)&gt;59),"Fora dos ciclos","C"&amp;INT(((YEAR(B3966)-YEAR(parametros!$C$2))*12+MONTH(B3966)-MONTH(parametros!$C$2))/12)))))</f>
        <v/>
      </c>
      <c r="D3966" s="394"/>
      <c r="E3966" s="78" t="str">
        <f>IF(C3966="","",IFERROR(VLOOKUP(C3966,parametros!$A$11:$E$15,5,0),""))</f>
        <v/>
      </c>
      <c r="F3966" s="79" t="str">
        <f t="shared" si="307"/>
        <v/>
      </c>
      <c r="G3966" s="395"/>
      <c r="H3966" s="91">
        <f t="shared" si="308"/>
        <v>0</v>
      </c>
      <c r="I3966" s="91" t="str">
        <f t="shared" si="309"/>
        <v/>
      </c>
      <c r="J3966" s="91" t="str">
        <f t="shared" si="310"/>
        <v/>
      </c>
      <c r="K3966" s="92" t="str">
        <f>IF(AND(A3966="",B3966="",D3966="",G3966=""),"",IF(AND(A3966&lt;&gt;"",COUNTIF($A$2:$A$5001,A3966)&gt;1),"NUMERO_PC duplicado",IF(B3966="","DATA_PC vazia",IF(NOT(ISNUMBER(B3966)),"DATA_PC invalida",IF(OR(C3966="",C3966="Fora dos ciclos"),"CICLO_PC nao identificado",IF(OR(D3966="",D3966=0),"VALOR_PC vazio ou zero",IF(AND(G3966&lt;&gt;"Sim",G3966&lt;&gt;"Nao",G3966&lt;&gt;""),"PC_PAGO_A_CONTRATADA invalido",IF(AND(C3966&lt;&gt;"C0",IFERROR(INDEX(parametros!$A$2:$A$6,MATCH(C3966,parametros!$B$2:$B$6,0)),"")="Sim",IFERROR(INDEX(parametros!$H$2:$H$6,MATCH(C3966,parametros!$B$2:$B$6,0)),"")=""),"INICIO_EFEITO ausente: PC "&amp;A3966&amp;" - "&amp;C3966,IF(L3966="","EFEITO_PC nao calculado: PC "&amp;A3966&amp;" - "&amp;C3966,"OK")))))))))</f>
        <v/>
      </c>
      <c r="L3966" s="92" t="str">
        <f>IF(AND(A3966="",B3966="",D3966="",G3966=""),"",IF(OR(B3966="",NOT(ISNUMBER(B3966)),C3966="",C3966="Fora dos ciclos"),"",IF(C3966="C0","Nao",IF(IFERROR(INDEX(parametros!$A$2:$A$6,MATCH(C3966,parametros!$B$2:$B$6,0)),"")&lt;&gt;"Sim","Nao",IF(IFERROR(INDEX(parametros!$H$2:$H$6,MATCH(C3966,parametros!$B$2:$B$6,0)),"")="","",IF(B3966&gt;=IFERROR(INDEX(parametros!$H$2:$H$6,MATCH(C3966,parametros!$B$2:$B$6,0)),""),"Sim","Nao"))))))</f>
        <v/>
      </c>
      <c r="T3966" s="156"/>
      <c r="U3966" s="214" t="str">
        <f t="shared" si="311"/>
        <v/>
      </c>
      <c r="V3966" s="212" t="s">
        <v>50</v>
      </c>
      <c r="W3966" s="100" t="s">
        <v>168</v>
      </c>
      <c r="X3966" s="100" t="s">
        <v>169</v>
      </c>
      <c r="Y3966" s="101" t="s">
        <v>170</v>
      </c>
      <c r="Z3966" s="101" t="s">
        <v>171</v>
      </c>
      <c r="AA3966" s="101" t="s">
        <v>50</v>
      </c>
      <c r="AB3966" s="101" t="s">
        <v>172</v>
      </c>
      <c r="AC3966" s="102" t="s">
        <v>173</v>
      </c>
    </row>
    <row r="3967" spans="1:29" ht="25.5" customHeight="1" x14ac:dyDescent="0.35">
      <c r="A3967" s="392"/>
      <c r="B3967" s="393"/>
      <c r="C3967" s="99" t="str">
        <f>IF(B3967="","",IF(NOT(ISNUMBER(B3967)),"DATA_PC invalida",IF(NOT(ISNUMBER(parametros!$C$2)),"Fora dos ciclos",IF(OR(B3967&lt;parametros!$C$2,(YEAR(B3967)-YEAR(parametros!$C$2))*12+MONTH(B3967)-MONTH(parametros!$C$2)&gt;59),"Fora dos ciclos","C"&amp;INT(((YEAR(B3967)-YEAR(parametros!$C$2))*12+MONTH(B3967)-MONTH(parametros!$C$2))/12)))))</f>
        <v/>
      </c>
      <c r="D3967" s="394"/>
      <c r="E3967" s="78" t="str">
        <f>IF(C3967="","",IFERROR(VLOOKUP(C3967,parametros!$A$11:$E$15,5,0),""))</f>
        <v/>
      </c>
      <c r="F3967" s="79" t="str">
        <f t="shared" si="307"/>
        <v/>
      </c>
      <c r="G3967" s="395"/>
      <c r="H3967" s="91">
        <f t="shared" si="308"/>
        <v>0</v>
      </c>
      <c r="I3967" s="91" t="str">
        <f t="shared" si="309"/>
        <v/>
      </c>
      <c r="J3967" s="91" t="str">
        <f t="shared" si="310"/>
        <v/>
      </c>
      <c r="K3967" s="92" t="str">
        <f>IF(AND(A3967="",B3967="",D3967="",G3967=""),"",IF(AND(A3967&lt;&gt;"",COUNTIF($A$2:$A$5001,A3967)&gt;1),"NUMERO_PC duplicado",IF(B3967="","DATA_PC vazia",IF(NOT(ISNUMBER(B3967)),"DATA_PC invalida",IF(OR(C3967="",C3967="Fora dos ciclos"),"CICLO_PC nao identificado",IF(OR(D3967="",D3967=0),"VALOR_PC vazio ou zero",IF(AND(G3967&lt;&gt;"Sim",G3967&lt;&gt;"Nao",G3967&lt;&gt;""),"PC_PAGO_A_CONTRATADA invalido",IF(AND(C3967&lt;&gt;"C0",IFERROR(INDEX(parametros!$A$2:$A$6,MATCH(C3967,parametros!$B$2:$B$6,0)),"")="Sim",IFERROR(INDEX(parametros!$H$2:$H$6,MATCH(C3967,parametros!$B$2:$B$6,0)),"")=""),"INICIO_EFEITO ausente: PC "&amp;A3967&amp;" - "&amp;C3967,IF(L3967="","EFEITO_PC nao calculado: PC "&amp;A3967&amp;" - "&amp;C3967,"OK")))))))))</f>
        <v/>
      </c>
      <c r="L3967" s="92" t="str">
        <f>IF(AND(A3967="",B3967="",D3967="",G3967=""),"",IF(OR(B3967="",NOT(ISNUMBER(B3967)),C3967="",C3967="Fora dos ciclos"),"",IF(C3967="C0","Nao",IF(IFERROR(INDEX(parametros!$A$2:$A$6,MATCH(C3967,parametros!$B$2:$B$6,0)),"")&lt;&gt;"Sim","Nao",IF(IFERROR(INDEX(parametros!$H$2:$H$6,MATCH(C3967,parametros!$B$2:$B$6,0)),"")="","",IF(B3967&gt;=IFERROR(INDEX(parametros!$H$2:$H$6,MATCH(C3967,parametros!$B$2:$B$6,0)),""),"Sim","Nao"))))))</f>
        <v/>
      </c>
      <c r="T3967" s="156"/>
      <c r="U3967" s="214" t="str">
        <f t="shared" si="311"/>
        <v/>
      </c>
      <c r="V3967" s="212" t="s">
        <v>50</v>
      </c>
      <c r="W3967" s="100" t="s">
        <v>168</v>
      </c>
      <c r="X3967" s="100" t="s">
        <v>169</v>
      </c>
      <c r="Y3967" s="101" t="s">
        <v>170</v>
      </c>
      <c r="Z3967" s="101" t="s">
        <v>171</v>
      </c>
      <c r="AA3967" s="101" t="s">
        <v>50</v>
      </c>
      <c r="AB3967" s="101" t="s">
        <v>172</v>
      </c>
      <c r="AC3967" s="102" t="s">
        <v>173</v>
      </c>
    </row>
    <row r="3968" spans="1:29" ht="25.5" customHeight="1" x14ac:dyDescent="0.35">
      <c r="A3968" s="392"/>
      <c r="B3968" s="393"/>
      <c r="C3968" s="99" t="str">
        <f>IF(B3968="","",IF(NOT(ISNUMBER(B3968)),"DATA_PC invalida",IF(NOT(ISNUMBER(parametros!$C$2)),"Fora dos ciclos",IF(OR(B3968&lt;parametros!$C$2,(YEAR(B3968)-YEAR(parametros!$C$2))*12+MONTH(B3968)-MONTH(parametros!$C$2)&gt;59),"Fora dos ciclos","C"&amp;INT(((YEAR(B3968)-YEAR(parametros!$C$2))*12+MONTH(B3968)-MONTH(parametros!$C$2))/12)))))</f>
        <v/>
      </c>
      <c r="D3968" s="394"/>
      <c r="E3968" s="78" t="str">
        <f>IF(C3968="","",IFERROR(VLOOKUP(C3968,parametros!$A$11:$E$15,5,0),""))</f>
        <v/>
      </c>
      <c r="F3968" s="79" t="str">
        <f t="shared" si="307"/>
        <v/>
      </c>
      <c r="G3968" s="395"/>
      <c r="H3968" s="91">
        <f t="shared" si="308"/>
        <v>0</v>
      </c>
      <c r="I3968" s="91" t="str">
        <f t="shared" si="309"/>
        <v/>
      </c>
      <c r="J3968" s="91" t="str">
        <f t="shared" si="310"/>
        <v/>
      </c>
      <c r="K3968" s="92" t="str">
        <f>IF(AND(A3968="",B3968="",D3968="",G3968=""),"",IF(AND(A3968&lt;&gt;"",COUNTIF($A$2:$A$5001,A3968)&gt;1),"NUMERO_PC duplicado",IF(B3968="","DATA_PC vazia",IF(NOT(ISNUMBER(B3968)),"DATA_PC invalida",IF(OR(C3968="",C3968="Fora dos ciclos"),"CICLO_PC nao identificado",IF(OR(D3968="",D3968=0),"VALOR_PC vazio ou zero",IF(AND(G3968&lt;&gt;"Sim",G3968&lt;&gt;"Nao",G3968&lt;&gt;""),"PC_PAGO_A_CONTRATADA invalido",IF(AND(C3968&lt;&gt;"C0",IFERROR(INDEX(parametros!$A$2:$A$6,MATCH(C3968,parametros!$B$2:$B$6,0)),"")="Sim",IFERROR(INDEX(parametros!$H$2:$H$6,MATCH(C3968,parametros!$B$2:$B$6,0)),"")=""),"INICIO_EFEITO ausente: PC "&amp;A3968&amp;" - "&amp;C3968,IF(L3968="","EFEITO_PC nao calculado: PC "&amp;A3968&amp;" - "&amp;C3968,"OK")))))))))</f>
        <v/>
      </c>
      <c r="L3968" s="92" t="str">
        <f>IF(AND(A3968="",B3968="",D3968="",G3968=""),"",IF(OR(B3968="",NOT(ISNUMBER(B3968)),C3968="",C3968="Fora dos ciclos"),"",IF(C3968="C0","Nao",IF(IFERROR(INDEX(parametros!$A$2:$A$6,MATCH(C3968,parametros!$B$2:$B$6,0)),"")&lt;&gt;"Sim","Nao",IF(IFERROR(INDEX(parametros!$H$2:$H$6,MATCH(C3968,parametros!$B$2:$B$6,0)),"")="","",IF(B3968&gt;=IFERROR(INDEX(parametros!$H$2:$H$6,MATCH(C3968,parametros!$B$2:$B$6,0)),""),"Sim","Nao"))))))</f>
        <v/>
      </c>
      <c r="T3968" s="156"/>
      <c r="U3968" s="214" t="str">
        <f t="shared" si="311"/>
        <v/>
      </c>
      <c r="V3968" s="212" t="s">
        <v>50</v>
      </c>
      <c r="W3968" s="100" t="s">
        <v>168</v>
      </c>
      <c r="X3968" s="100" t="s">
        <v>169</v>
      </c>
      <c r="Y3968" s="101" t="s">
        <v>170</v>
      </c>
      <c r="Z3968" s="101" t="s">
        <v>171</v>
      </c>
      <c r="AA3968" s="101" t="s">
        <v>50</v>
      </c>
      <c r="AB3968" s="101" t="s">
        <v>172</v>
      </c>
      <c r="AC3968" s="102" t="s">
        <v>173</v>
      </c>
    </row>
    <row r="3969" spans="1:29" ht="25.5" customHeight="1" x14ac:dyDescent="0.35">
      <c r="A3969" s="392"/>
      <c r="B3969" s="393"/>
      <c r="C3969" s="99" t="str">
        <f>IF(B3969="","",IF(NOT(ISNUMBER(B3969)),"DATA_PC invalida",IF(NOT(ISNUMBER(parametros!$C$2)),"Fora dos ciclos",IF(OR(B3969&lt;parametros!$C$2,(YEAR(B3969)-YEAR(parametros!$C$2))*12+MONTH(B3969)-MONTH(parametros!$C$2)&gt;59),"Fora dos ciclos","C"&amp;INT(((YEAR(B3969)-YEAR(parametros!$C$2))*12+MONTH(B3969)-MONTH(parametros!$C$2))/12)))))</f>
        <v/>
      </c>
      <c r="D3969" s="394"/>
      <c r="E3969" s="78" t="str">
        <f>IF(C3969="","",IFERROR(VLOOKUP(C3969,parametros!$A$11:$E$15,5,0),""))</f>
        <v/>
      </c>
      <c r="F3969" s="79" t="str">
        <f t="shared" si="307"/>
        <v/>
      </c>
      <c r="G3969" s="395"/>
      <c r="H3969" s="91">
        <f t="shared" si="308"/>
        <v>0</v>
      </c>
      <c r="I3969" s="91" t="str">
        <f t="shared" si="309"/>
        <v/>
      </c>
      <c r="J3969" s="91" t="str">
        <f t="shared" si="310"/>
        <v/>
      </c>
      <c r="K3969" s="92" t="str">
        <f>IF(AND(A3969="",B3969="",D3969="",G3969=""),"",IF(AND(A3969&lt;&gt;"",COUNTIF($A$2:$A$5001,A3969)&gt;1),"NUMERO_PC duplicado",IF(B3969="","DATA_PC vazia",IF(NOT(ISNUMBER(B3969)),"DATA_PC invalida",IF(OR(C3969="",C3969="Fora dos ciclos"),"CICLO_PC nao identificado",IF(OR(D3969="",D3969=0),"VALOR_PC vazio ou zero",IF(AND(G3969&lt;&gt;"Sim",G3969&lt;&gt;"Nao",G3969&lt;&gt;""),"PC_PAGO_A_CONTRATADA invalido",IF(AND(C3969&lt;&gt;"C0",IFERROR(INDEX(parametros!$A$2:$A$6,MATCH(C3969,parametros!$B$2:$B$6,0)),"")="Sim",IFERROR(INDEX(parametros!$H$2:$H$6,MATCH(C3969,parametros!$B$2:$B$6,0)),"")=""),"INICIO_EFEITO ausente: PC "&amp;A3969&amp;" - "&amp;C3969,IF(L3969="","EFEITO_PC nao calculado: PC "&amp;A3969&amp;" - "&amp;C3969,"OK")))))))))</f>
        <v/>
      </c>
      <c r="L3969" s="92" t="str">
        <f>IF(AND(A3969="",B3969="",D3969="",G3969=""),"",IF(OR(B3969="",NOT(ISNUMBER(B3969)),C3969="",C3969="Fora dos ciclos"),"",IF(C3969="C0","Nao",IF(IFERROR(INDEX(parametros!$A$2:$A$6,MATCH(C3969,parametros!$B$2:$B$6,0)),"")&lt;&gt;"Sim","Nao",IF(IFERROR(INDEX(parametros!$H$2:$H$6,MATCH(C3969,parametros!$B$2:$B$6,0)),"")="","",IF(B3969&gt;=IFERROR(INDEX(parametros!$H$2:$H$6,MATCH(C3969,parametros!$B$2:$B$6,0)),""),"Sim","Nao"))))))</f>
        <v/>
      </c>
      <c r="T3969" s="156"/>
      <c r="U3969" s="214" t="str">
        <f t="shared" si="311"/>
        <v/>
      </c>
      <c r="V3969" s="212" t="s">
        <v>50</v>
      </c>
      <c r="W3969" s="100" t="s">
        <v>168</v>
      </c>
      <c r="X3969" s="100" t="s">
        <v>169</v>
      </c>
      <c r="Y3969" s="101" t="s">
        <v>170</v>
      </c>
      <c r="Z3969" s="101" t="s">
        <v>171</v>
      </c>
      <c r="AA3969" s="101" t="s">
        <v>50</v>
      </c>
      <c r="AB3969" s="101" t="s">
        <v>172</v>
      </c>
      <c r="AC3969" s="102" t="s">
        <v>173</v>
      </c>
    </row>
    <row r="3970" spans="1:29" ht="25.5" customHeight="1" x14ac:dyDescent="0.35">
      <c r="A3970" s="392"/>
      <c r="B3970" s="393"/>
      <c r="C3970" s="99" t="str">
        <f>IF(B3970="","",IF(NOT(ISNUMBER(B3970)),"DATA_PC invalida",IF(NOT(ISNUMBER(parametros!$C$2)),"Fora dos ciclos",IF(OR(B3970&lt;parametros!$C$2,(YEAR(B3970)-YEAR(parametros!$C$2))*12+MONTH(B3970)-MONTH(parametros!$C$2)&gt;59),"Fora dos ciclos","C"&amp;INT(((YEAR(B3970)-YEAR(parametros!$C$2))*12+MONTH(B3970)-MONTH(parametros!$C$2))/12)))))</f>
        <v/>
      </c>
      <c r="D3970" s="394"/>
      <c r="E3970" s="78" t="str">
        <f>IF(C3970="","",IFERROR(VLOOKUP(C3970,parametros!$A$11:$E$15,5,0),""))</f>
        <v/>
      </c>
      <c r="F3970" s="79" t="str">
        <f t="shared" ref="F3970:F4033" si="312">IF(OR(D3970="",E3970=""),"",ROUND(D3970*E3970,2))</f>
        <v/>
      </c>
      <c r="G3970" s="395"/>
      <c r="H3970" s="91">
        <f t="shared" ref="H3970:H4033" si="313">IF(G3970="Sim",IF(OR(F3970="",D3970="",L3970=""),"",IF(L3970="Sim",ROUND(F3970-D3970,2),0)),0)</f>
        <v>0</v>
      </c>
      <c r="I3970" s="91" t="str">
        <f t="shared" ref="I3970:I4033" si="314">IF(G3970="Sim",0,IF(OR(F3970="",L3970=""),"",F3970))</f>
        <v/>
      </c>
      <c r="J3970" s="91" t="str">
        <f t="shared" ref="J3970:J4033" si="315">IF(G3970="Sim",0,IF(OR(F3970="",D3970="",L3970=""),"",IF(L3970="Sim",ROUND(F3970-D3970,2),0)))</f>
        <v/>
      </c>
      <c r="K3970" s="92" t="str">
        <f>IF(AND(A3970="",B3970="",D3970="",G3970=""),"",IF(AND(A3970&lt;&gt;"",COUNTIF($A$2:$A$5001,A3970)&gt;1),"NUMERO_PC duplicado",IF(B3970="","DATA_PC vazia",IF(NOT(ISNUMBER(B3970)),"DATA_PC invalida",IF(OR(C3970="",C3970="Fora dos ciclos"),"CICLO_PC nao identificado",IF(OR(D3970="",D3970=0),"VALOR_PC vazio ou zero",IF(AND(G3970&lt;&gt;"Sim",G3970&lt;&gt;"Nao",G3970&lt;&gt;""),"PC_PAGO_A_CONTRATADA invalido",IF(AND(C3970&lt;&gt;"C0",IFERROR(INDEX(parametros!$A$2:$A$6,MATCH(C3970,parametros!$B$2:$B$6,0)),"")="Sim",IFERROR(INDEX(parametros!$H$2:$H$6,MATCH(C3970,parametros!$B$2:$B$6,0)),"")=""),"INICIO_EFEITO ausente: PC "&amp;A3970&amp;" - "&amp;C3970,IF(L3970="","EFEITO_PC nao calculado: PC "&amp;A3970&amp;" - "&amp;C3970,"OK")))))))))</f>
        <v/>
      </c>
      <c r="L3970" s="92" t="str">
        <f>IF(AND(A3970="",B3970="",D3970="",G3970=""),"",IF(OR(B3970="",NOT(ISNUMBER(B3970)),C3970="",C3970="Fora dos ciclos"),"",IF(C3970="C0","Nao",IF(IFERROR(INDEX(parametros!$A$2:$A$6,MATCH(C3970,parametros!$B$2:$B$6,0)),"")&lt;&gt;"Sim","Nao",IF(IFERROR(INDEX(parametros!$H$2:$H$6,MATCH(C3970,parametros!$B$2:$B$6,0)),"")="","",IF(B3970&gt;=IFERROR(INDEX(parametros!$H$2:$H$6,MATCH(C3970,parametros!$B$2:$B$6,0)),""),"Sim","Nao"))))))</f>
        <v/>
      </c>
      <c r="T3970" s="156"/>
      <c r="U3970" s="214" t="str">
        <f t="shared" ref="U3970:U4033" si="316">IF(OR($D3970="",$H3970=""),"",ROUND($D3970+$H3970,2))</f>
        <v/>
      </c>
      <c r="V3970" s="212" t="s">
        <v>50</v>
      </c>
      <c r="W3970" s="100" t="s">
        <v>168</v>
      </c>
      <c r="X3970" s="100" t="s">
        <v>169</v>
      </c>
      <c r="Y3970" s="101" t="s">
        <v>170</v>
      </c>
      <c r="Z3970" s="101" t="s">
        <v>171</v>
      </c>
      <c r="AA3970" s="101" t="s">
        <v>50</v>
      </c>
      <c r="AB3970" s="101" t="s">
        <v>172</v>
      </c>
      <c r="AC3970" s="102" t="s">
        <v>173</v>
      </c>
    </row>
    <row r="3971" spans="1:29" ht="25.5" customHeight="1" x14ac:dyDescent="0.35">
      <c r="A3971" s="392"/>
      <c r="B3971" s="393"/>
      <c r="C3971" s="99" t="str">
        <f>IF(B3971="","",IF(NOT(ISNUMBER(B3971)),"DATA_PC invalida",IF(NOT(ISNUMBER(parametros!$C$2)),"Fora dos ciclos",IF(OR(B3971&lt;parametros!$C$2,(YEAR(B3971)-YEAR(parametros!$C$2))*12+MONTH(B3971)-MONTH(parametros!$C$2)&gt;59),"Fora dos ciclos","C"&amp;INT(((YEAR(B3971)-YEAR(parametros!$C$2))*12+MONTH(B3971)-MONTH(parametros!$C$2))/12)))))</f>
        <v/>
      </c>
      <c r="D3971" s="394"/>
      <c r="E3971" s="78" t="str">
        <f>IF(C3971="","",IFERROR(VLOOKUP(C3971,parametros!$A$11:$E$15,5,0),""))</f>
        <v/>
      </c>
      <c r="F3971" s="79" t="str">
        <f t="shared" si="312"/>
        <v/>
      </c>
      <c r="G3971" s="395"/>
      <c r="H3971" s="91">
        <f t="shared" si="313"/>
        <v>0</v>
      </c>
      <c r="I3971" s="91" t="str">
        <f t="shared" si="314"/>
        <v/>
      </c>
      <c r="J3971" s="91" t="str">
        <f t="shared" si="315"/>
        <v/>
      </c>
      <c r="K3971" s="92" t="str">
        <f>IF(AND(A3971="",B3971="",D3971="",G3971=""),"",IF(AND(A3971&lt;&gt;"",COUNTIF($A$2:$A$5001,A3971)&gt;1),"NUMERO_PC duplicado",IF(B3971="","DATA_PC vazia",IF(NOT(ISNUMBER(B3971)),"DATA_PC invalida",IF(OR(C3971="",C3971="Fora dos ciclos"),"CICLO_PC nao identificado",IF(OR(D3971="",D3971=0),"VALOR_PC vazio ou zero",IF(AND(G3971&lt;&gt;"Sim",G3971&lt;&gt;"Nao",G3971&lt;&gt;""),"PC_PAGO_A_CONTRATADA invalido",IF(AND(C3971&lt;&gt;"C0",IFERROR(INDEX(parametros!$A$2:$A$6,MATCH(C3971,parametros!$B$2:$B$6,0)),"")="Sim",IFERROR(INDEX(parametros!$H$2:$H$6,MATCH(C3971,parametros!$B$2:$B$6,0)),"")=""),"INICIO_EFEITO ausente: PC "&amp;A3971&amp;" - "&amp;C3971,IF(L3971="","EFEITO_PC nao calculado: PC "&amp;A3971&amp;" - "&amp;C3971,"OK")))))))))</f>
        <v/>
      </c>
      <c r="L3971" s="92" t="str">
        <f>IF(AND(A3971="",B3971="",D3971="",G3971=""),"",IF(OR(B3971="",NOT(ISNUMBER(B3971)),C3971="",C3971="Fora dos ciclos"),"",IF(C3971="C0","Nao",IF(IFERROR(INDEX(parametros!$A$2:$A$6,MATCH(C3971,parametros!$B$2:$B$6,0)),"")&lt;&gt;"Sim","Nao",IF(IFERROR(INDEX(parametros!$H$2:$H$6,MATCH(C3971,parametros!$B$2:$B$6,0)),"")="","",IF(B3971&gt;=IFERROR(INDEX(parametros!$H$2:$H$6,MATCH(C3971,parametros!$B$2:$B$6,0)),""),"Sim","Nao"))))))</f>
        <v/>
      </c>
      <c r="T3971" s="156"/>
      <c r="U3971" s="214" t="str">
        <f t="shared" si="316"/>
        <v/>
      </c>
      <c r="V3971" s="212" t="s">
        <v>50</v>
      </c>
      <c r="W3971" s="100" t="s">
        <v>168</v>
      </c>
      <c r="X3971" s="100" t="s">
        <v>169</v>
      </c>
      <c r="Y3971" s="101" t="s">
        <v>170</v>
      </c>
      <c r="Z3971" s="101" t="s">
        <v>171</v>
      </c>
      <c r="AA3971" s="101" t="s">
        <v>50</v>
      </c>
      <c r="AB3971" s="101" t="s">
        <v>172</v>
      </c>
      <c r="AC3971" s="102" t="s">
        <v>173</v>
      </c>
    </row>
    <row r="3972" spans="1:29" ht="25.5" customHeight="1" x14ac:dyDescent="0.35">
      <c r="A3972" s="392"/>
      <c r="B3972" s="393"/>
      <c r="C3972" s="99" t="str">
        <f>IF(B3972="","",IF(NOT(ISNUMBER(B3972)),"DATA_PC invalida",IF(NOT(ISNUMBER(parametros!$C$2)),"Fora dos ciclos",IF(OR(B3972&lt;parametros!$C$2,(YEAR(B3972)-YEAR(parametros!$C$2))*12+MONTH(B3972)-MONTH(parametros!$C$2)&gt;59),"Fora dos ciclos","C"&amp;INT(((YEAR(B3972)-YEAR(parametros!$C$2))*12+MONTH(B3972)-MONTH(parametros!$C$2))/12)))))</f>
        <v/>
      </c>
      <c r="D3972" s="394"/>
      <c r="E3972" s="78" t="str">
        <f>IF(C3972="","",IFERROR(VLOOKUP(C3972,parametros!$A$11:$E$15,5,0),""))</f>
        <v/>
      </c>
      <c r="F3972" s="79" t="str">
        <f t="shared" si="312"/>
        <v/>
      </c>
      <c r="G3972" s="395"/>
      <c r="H3972" s="91">
        <f t="shared" si="313"/>
        <v>0</v>
      </c>
      <c r="I3972" s="91" t="str">
        <f t="shared" si="314"/>
        <v/>
      </c>
      <c r="J3972" s="91" t="str">
        <f t="shared" si="315"/>
        <v/>
      </c>
      <c r="K3972" s="92" t="str">
        <f>IF(AND(A3972="",B3972="",D3972="",G3972=""),"",IF(AND(A3972&lt;&gt;"",COUNTIF($A$2:$A$5001,A3972)&gt;1),"NUMERO_PC duplicado",IF(B3972="","DATA_PC vazia",IF(NOT(ISNUMBER(B3972)),"DATA_PC invalida",IF(OR(C3972="",C3972="Fora dos ciclos"),"CICLO_PC nao identificado",IF(OR(D3972="",D3972=0),"VALOR_PC vazio ou zero",IF(AND(G3972&lt;&gt;"Sim",G3972&lt;&gt;"Nao",G3972&lt;&gt;""),"PC_PAGO_A_CONTRATADA invalido",IF(AND(C3972&lt;&gt;"C0",IFERROR(INDEX(parametros!$A$2:$A$6,MATCH(C3972,parametros!$B$2:$B$6,0)),"")="Sim",IFERROR(INDEX(parametros!$H$2:$H$6,MATCH(C3972,parametros!$B$2:$B$6,0)),"")=""),"INICIO_EFEITO ausente: PC "&amp;A3972&amp;" - "&amp;C3972,IF(L3972="","EFEITO_PC nao calculado: PC "&amp;A3972&amp;" - "&amp;C3972,"OK")))))))))</f>
        <v/>
      </c>
      <c r="L3972" s="92" t="str">
        <f>IF(AND(A3972="",B3972="",D3972="",G3972=""),"",IF(OR(B3972="",NOT(ISNUMBER(B3972)),C3972="",C3972="Fora dos ciclos"),"",IF(C3972="C0","Nao",IF(IFERROR(INDEX(parametros!$A$2:$A$6,MATCH(C3972,parametros!$B$2:$B$6,0)),"")&lt;&gt;"Sim","Nao",IF(IFERROR(INDEX(parametros!$H$2:$H$6,MATCH(C3972,parametros!$B$2:$B$6,0)),"")="","",IF(B3972&gt;=IFERROR(INDEX(parametros!$H$2:$H$6,MATCH(C3972,parametros!$B$2:$B$6,0)),""),"Sim","Nao"))))))</f>
        <v/>
      </c>
      <c r="T3972" s="156"/>
      <c r="U3972" s="214" t="str">
        <f t="shared" si="316"/>
        <v/>
      </c>
      <c r="V3972" s="212" t="s">
        <v>50</v>
      </c>
      <c r="W3972" s="100" t="s">
        <v>168</v>
      </c>
      <c r="X3972" s="100" t="s">
        <v>169</v>
      </c>
      <c r="Y3972" s="101" t="s">
        <v>170</v>
      </c>
      <c r="Z3972" s="101" t="s">
        <v>171</v>
      </c>
      <c r="AA3972" s="101" t="s">
        <v>50</v>
      </c>
      <c r="AB3972" s="101" t="s">
        <v>172</v>
      </c>
      <c r="AC3972" s="102" t="s">
        <v>173</v>
      </c>
    </row>
    <row r="3973" spans="1:29" ht="25.5" customHeight="1" x14ac:dyDescent="0.35">
      <c r="A3973" s="392"/>
      <c r="B3973" s="393"/>
      <c r="C3973" s="99" t="str">
        <f>IF(B3973="","",IF(NOT(ISNUMBER(B3973)),"DATA_PC invalida",IF(NOT(ISNUMBER(parametros!$C$2)),"Fora dos ciclos",IF(OR(B3973&lt;parametros!$C$2,(YEAR(B3973)-YEAR(parametros!$C$2))*12+MONTH(B3973)-MONTH(parametros!$C$2)&gt;59),"Fora dos ciclos","C"&amp;INT(((YEAR(B3973)-YEAR(parametros!$C$2))*12+MONTH(B3973)-MONTH(parametros!$C$2))/12)))))</f>
        <v/>
      </c>
      <c r="D3973" s="394"/>
      <c r="E3973" s="78" t="str">
        <f>IF(C3973="","",IFERROR(VLOOKUP(C3973,parametros!$A$11:$E$15,5,0),""))</f>
        <v/>
      </c>
      <c r="F3973" s="79" t="str">
        <f t="shared" si="312"/>
        <v/>
      </c>
      <c r="G3973" s="395"/>
      <c r="H3973" s="91">
        <f t="shared" si="313"/>
        <v>0</v>
      </c>
      <c r="I3973" s="91" t="str">
        <f t="shared" si="314"/>
        <v/>
      </c>
      <c r="J3973" s="91" t="str">
        <f t="shared" si="315"/>
        <v/>
      </c>
      <c r="K3973" s="92" t="str">
        <f>IF(AND(A3973="",B3973="",D3973="",G3973=""),"",IF(AND(A3973&lt;&gt;"",COUNTIF($A$2:$A$5001,A3973)&gt;1),"NUMERO_PC duplicado",IF(B3973="","DATA_PC vazia",IF(NOT(ISNUMBER(B3973)),"DATA_PC invalida",IF(OR(C3973="",C3973="Fora dos ciclos"),"CICLO_PC nao identificado",IF(OR(D3973="",D3973=0),"VALOR_PC vazio ou zero",IF(AND(G3973&lt;&gt;"Sim",G3973&lt;&gt;"Nao",G3973&lt;&gt;""),"PC_PAGO_A_CONTRATADA invalido",IF(AND(C3973&lt;&gt;"C0",IFERROR(INDEX(parametros!$A$2:$A$6,MATCH(C3973,parametros!$B$2:$B$6,0)),"")="Sim",IFERROR(INDEX(parametros!$H$2:$H$6,MATCH(C3973,parametros!$B$2:$B$6,0)),"")=""),"INICIO_EFEITO ausente: PC "&amp;A3973&amp;" - "&amp;C3973,IF(L3973="","EFEITO_PC nao calculado: PC "&amp;A3973&amp;" - "&amp;C3973,"OK")))))))))</f>
        <v/>
      </c>
      <c r="L3973" s="92" t="str">
        <f>IF(AND(A3973="",B3973="",D3973="",G3973=""),"",IF(OR(B3973="",NOT(ISNUMBER(B3973)),C3973="",C3973="Fora dos ciclos"),"",IF(C3973="C0","Nao",IF(IFERROR(INDEX(parametros!$A$2:$A$6,MATCH(C3973,parametros!$B$2:$B$6,0)),"")&lt;&gt;"Sim","Nao",IF(IFERROR(INDEX(parametros!$H$2:$H$6,MATCH(C3973,parametros!$B$2:$B$6,0)),"")="","",IF(B3973&gt;=IFERROR(INDEX(parametros!$H$2:$H$6,MATCH(C3973,parametros!$B$2:$B$6,0)),""),"Sim","Nao"))))))</f>
        <v/>
      </c>
      <c r="T3973" s="156"/>
      <c r="U3973" s="214" t="str">
        <f t="shared" si="316"/>
        <v/>
      </c>
      <c r="V3973" s="212" t="s">
        <v>50</v>
      </c>
      <c r="W3973" s="100" t="s">
        <v>168</v>
      </c>
      <c r="X3973" s="100" t="s">
        <v>169</v>
      </c>
      <c r="Y3973" s="101" t="s">
        <v>170</v>
      </c>
      <c r="Z3973" s="101" t="s">
        <v>171</v>
      </c>
      <c r="AA3973" s="101" t="s">
        <v>50</v>
      </c>
      <c r="AB3973" s="101" t="s">
        <v>172</v>
      </c>
      <c r="AC3973" s="102" t="s">
        <v>173</v>
      </c>
    </row>
    <row r="3974" spans="1:29" ht="25.5" customHeight="1" x14ac:dyDescent="0.35">
      <c r="A3974" s="392"/>
      <c r="B3974" s="393"/>
      <c r="C3974" s="99" t="str">
        <f>IF(B3974="","",IF(NOT(ISNUMBER(B3974)),"DATA_PC invalida",IF(NOT(ISNUMBER(parametros!$C$2)),"Fora dos ciclos",IF(OR(B3974&lt;parametros!$C$2,(YEAR(B3974)-YEAR(parametros!$C$2))*12+MONTH(B3974)-MONTH(parametros!$C$2)&gt;59),"Fora dos ciclos","C"&amp;INT(((YEAR(B3974)-YEAR(parametros!$C$2))*12+MONTH(B3974)-MONTH(parametros!$C$2))/12)))))</f>
        <v/>
      </c>
      <c r="D3974" s="394"/>
      <c r="E3974" s="78" t="str">
        <f>IF(C3974="","",IFERROR(VLOOKUP(C3974,parametros!$A$11:$E$15,5,0),""))</f>
        <v/>
      </c>
      <c r="F3974" s="79" t="str">
        <f t="shared" si="312"/>
        <v/>
      </c>
      <c r="G3974" s="395"/>
      <c r="H3974" s="91">
        <f t="shared" si="313"/>
        <v>0</v>
      </c>
      <c r="I3974" s="91" t="str">
        <f t="shared" si="314"/>
        <v/>
      </c>
      <c r="J3974" s="91" t="str">
        <f t="shared" si="315"/>
        <v/>
      </c>
      <c r="K3974" s="92" t="str">
        <f>IF(AND(A3974="",B3974="",D3974="",G3974=""),"",IF(AND(A3974&lt;&gt;"",COUNTIF($A$2:$A$5001,A3974)&gt;1),"NUMERO_PC duplicado",IF(B3974="","DATA_PC vazia",IF(NOT(ISNUMBER(B3974)),"DATA_PC invalida",IF(OR(C3974="",C3974="Fora dos ciclos"),"CICLO_PC nao identificado",IF(OR(D3974="",D3974=0),"VALOR_PC vazio ou zero",IF(AND(G3974&lt;&gt;"Sim",G3974&lt;&gt;"Nao",G3974&lt;&gt;""),"PC_PAGO_A_CONTRATADA invalido",IF(AND(C3974&lt;&gt;"C0",IFERROR(INDEX(parametros!$A$2:$A$6,MATCH(C3974,parametros!$B$2:$B$6,0)),"")="Sim",IFERROR(INDEX(parametros!$H$2:$H$6,MATCH(C3974,parametros!$B$2:$B$6,0)),"")=""),"INICIO_EFEITO ausente: PC "&amp;A3974&amp;" - "&amp;C3974,IF(L3974="","EFEITO_PC nao calculado: PC "&amp;A3974&amp;" - "&amp;C3974,"OK")))))))))</f>
        <v/>
      </c>
      <c r="L3974" s="92" t="str">
        <f>IF(AND(A3974="",B3974="",D3974="",G3974=""),"",IF(OR(B3974="",NOT(ISNUMBER(B3974)),C3974="",C3974="Fora dos ciclos"),"",IF(C3974="C0","Nao",IF(IFERROR(INDEX(parametros!$A$2:$A$6,MATCH(C3974,parametros!$B$2:$B$6,0)),"")&lt;&gt;"Sim","Nao",IF(IFERROR(INDEX(parametros!$H$2:$H$6,MATCH(C3974,parametros!$B$2:$B$6,0)),"")="","",IF(B3974&gt;=IFERROR(INDEX(parametros!$H$2:$H$6,MATCH(C3974,parametros!$B$2:$B$6,0)),""),"Sim","Nao"))))))</f>
        <v/>
      </c>
      <c r="T3974" s="156"/>
      <c r="U3974" s="214" t="str">
        <f t="shared" si="316"/>
        <v/>
      </c>
      <c r="V3974" s="212" t="s">
        <v>50</v>
      </c>
      <c r="W3974" s="100" t="s">
        <v>168</v>
      </c>
      <c r="X3974" s="100" t="s">
        <v>169</v>
      </c>
      <c r="Y3974" s="101" t="s">
        <v>170</v>
      </c>
      <c r="Z3974" s="101" t="s">
        <v>171</v>
      </c>
      <c r="AA3974" s="101" t="s">
        <v>50</v>
      </c>
      <c r="AB3974" s="101" t="s">
        <v>172</v>
      </c>
      <c r="AC3974" s="102" t="s">
        <v>173</v>
      </c>
    </row>
    <row r="3975" spans="1:29" ht="25.5" customHeight="1" x14ac:dyDescent="0.35">
      <c r="A3975" s="392"/>
      <c r="B3975" s="393"/>
      <c r="C3975" s="99" t="str">
        <f>IF(B3975="","",IF(NOT(ISNUMBER(B3975)),"DATA_PC invalida",IF(NOT(ISNUMBER(parametros!$C$2)),"Fora dos ciclos",IF(OR(B3975&lt;parametros!$C$2,(YEAR(B3975)-YEAR(parametros!$C$2))*12+MONTH(B3975)-MONTH(parametros!$C$2)&gt;59),"Fora dos ciclos","C"&amp;INT(((YEAR(B3975)-YEAR(parametros!$C$2))*12+MONTH(B3975)-MONTH(parametros!$C$2))/12)))))</f>
        <v/>
      </c>
      <c r="D3975" s="394"/>
      <c r="E3975" s="78" t="str">
        <f>IF(C3975="","",IFERROR(VLOOKUP(C3975,parametros!$A$11:$E$15,5,0),""))</f>
        <v/>
      </c>
      <c r="F3975" s="79" t="str">
        <f t="shared" si="312"/>
        <v/>
      </c>
      <c r="G3975" s="395"/>
      <c r="H3975" s="91">
        <f t="shared" si="313"/>
        <v>0</v>
      </c>
      <c r="I3975" s="91" t="str">
        <f t="shared" si="314"/>
        <v/>
      </c>
      <c r="J3975" s="91" t="str">
        <f t="shared" si="315"/>
        <v/>
      </c>
      <c r="K3975" s="92" t="str">
        <f>IF(AND(A3975="",B3975="",D3975="",G3975=""),"",IF(AND(A3975&lt;&gt;"",COUNTIF($A$2:$A$5001,A3975)&gt;1),"NUMERO_PC duplicado",IF(B3975="","DATA_PC vazia",IF(NOT(ISNUMBER(B3975)),"DATA_PC invalida",IF(OR(C3975="",C3975="Fora dos ciclos"),"CICLO_PC nao identificado",IF(OR(D3975="",D3975=0),"VALOR_PC vazio ou zero",IF(AND(G3975&lt;&gt;"Sim",G3975&lt;&gt;"Nao",G3975&lt;&gt;""),"PC_PAGO_A_CONTRATADA invalido",IF(AND(C3975&lt;&gt;"C0",IFERROR(INDEX(parametros!$A$2:$A$6,MATCH(C3975,parametros!$B$2:$B$6,0)),"")="Sim",IFERROR(INDEX(parametros!$H$2:$H$6,MATCH(C3975,parametros!$B$2:$B$6,0)),"")=""),"INICIO_EFEITO ausente: PC "&amp;A3975&amp;" - "&amp;C3975,IF(L3975="","EFEITO_PC nao calculado: PC "&amp;A3975&amp;" - "&amp;C3975,"OK")))))))))</f>
        <v/>
      </c>
      <c r="L3975" s="92" t="str">
        <f>IF(AND(A3975="",B3975="",D3975="",G3975=""),"",IF(OR(B3975="",NOT(ISNUMBER(B3975)),C3975="",C3975="Fora dos ciclos"),"",IF(C3975="C0","Nao",IF(IFERROR(INDEX(parametros!$A$2:$A$6,MATCH(C3975,parametros!$B$2:$B$6,0)),"")&lt;&gt;"Sim","Nao",IF(IFERROR(INDEX(parametros!$H$2:$H$6,MATCH(C3975,parametros!$B$2:$B$6,0)),"")="","",IF(B3975&gt;=IFERROR(INDEX(parametros!$H$2:$H$6,MATCH(C3975,parametros!$B$2:$B$6,0)),""),"Sim","Nao"))))))</f>
        <v/>
      </c>
      <c r="T3975" s="156"/>
      <c r="U3975" s="214" t="str">
        <f t="shared" si="316"/>
        <v/>
      </c>
      <c r="V3975" s="212" t="s">
        <v>50</v>
      </c>
      <c r="W3975" s="100" t="s">
        <v>168</v>
      </c>
      <c r="X3975" s="100" t="s">
        <v>169</v>
      </c>
      <c r="Y3975" s="101" t="s">
        <v>170</v>
      </c>
      <c r="Z3975" s="101" t="s">
        <v>171</v>
      </c>
      <c r="AA3975" s="101" t="s">
        <v>50</v>
      </c>
      <c r="AB3975" s="101" t="s">
        <v>172</v>
      </c>
      <c r="AC3975" s="102" t="s">
        <v>173</v>
      </c>
    </row>
    <row r="3976" spans="1:29" ht="25.5" customHeight="1" x14ac:dyDescent="0.35">
      <c r="A3976" s="392"/>
      <c r="B3976" s="393"/>
      <c r="C3976" s="99" t="str">
        <f>IF(B3976="","",IF(NOT(ISNUMBER(B3976)),"DATA_PC invalida",IF(NOT(ISNUMBER(parametros!$C$2)),"Fora dos ciclos",IF(OR(B3976&lt;parametros!$C$2,(YEAR(B3976)-YEAR(parametros!$C$2))*12+MONTH(B3976)-MONTH(parametros!$C$2)&gt;59),"Fora dos ciclos","C"&amp;INT(((YEAR(B3976)-YEAR(parametros!$C$2))*12+MONTH(B3976)-MONTH(parametros!$C$2))/12)))))</f>
        <v/>
      </c>
      <c r="D3976" s="394"/>
      <c r="E3976" s="78" t="str">
        <f>IF(C3976="","",IFERROR(VLOOKUP(C3976,parametros!$A$11:$E$15,5,0),""))</f>
        <v/>
      </c>
      <c r="F3976" s="79" t="str">
        <f t="shared" si="312"/>
        <v/>
      </c>
      <c r="G3976" s="395"/>
      <c r="H3976" s="91">
        <f t="shared" si="313"/>
        <v>0</v>
      </c>
      <c r="I3976" s="91" t="str">
        <f t="shared" si="314"/>
        <v/>
      </c>
      <c r="J3976" s="91" t="str">
        <f t="shared" si="315"/>
        <v/>
      </c>
      <c r="K3976" s="92" t="str">
        <f>IF(AND(A3976="",B3976="",D3976="",G3976=""),"",IF(AND(A3976&lt;&gt;"",COUNTIF($A$2:$A$5001,A3976)&gt;1),"NUMERO_PC duplicado",IF(B3976="","DATA_PC vazia",IF(NOT(ISNUMBER(B3976)),"DATA_PC invalida",IF(OR(C3976="",C3976="Fora dos ciclos"),"CICLO_PC nao identificado",IF(OR(D3976="",D3976=0),"VALOR_PC vazio ou zero",IF(AND(G3976&lt;&gt;"Sim",G3976&lt;&gt;"Nao",G3976&lt;&gt;""),"PC_PAGO_A_CONTRATADA invalido",IF(AND(C3976&lt;&gt;"C0",IFERROR(INDEX(parametros!$A$2:$A$6,MATCH(C3976,parametros!$B$2:$B$6,0)),"")="Sim",IFERROR(INDEX(parametros!$H$2:$H$6,MATCH(C3976,parametros!$B$2:$B$6,0)),"")=""),"INICIO_EFEITO ausente: PC "&amp;A3976&amp;" - "&amp;C3976,IF(L3976="","EFEITO_PC nao calculado: PC "&amp;A3976&amp;" - "&amp;C3976,"OK")))))))))</f>
        <v/>
      </c>
      <c r="L3976" s="92" t="str">
        <f>IF(AND(A3976="",B3976="",D3976="",G3976=""),"",IF(OR(B3976="",NOT(ISNUMBER(B3976)),C3976="",C3976="Fora dos ciclos"),"",IF(C3976="C0","Nao",IF(IFERROR(INDEX(parametros!$A$2:$A$6,MATCH(C3976,parametros!$B$2:$B$6,0)),"")&lt;&gt;"Sim","Nao",IF(IFERROR(INDEX(parametros!$H$2:$H$6,MATCH(C3976,parametros!$B$2:$B$6,0)),"")="","",IF(B3976&gt;=IFERROR(INDEX(parametros!$H$2:$H$6,MATCH(C3976,parametros!$B$2:$B$6,0)),""),"Sim","Nao"))))))</f>
        <v/>
      </c>
      <c r="T3976" s="156"/>
      <c r="U3976" s="214" t="str">
        <f t="shared" si="316"/>
        <v/>
      </c>
      <c r="V3976" s="212" t="s">
        <v>50</v>
      </c>
      <c r="W3976" s="100" t="s">
        <v>168</v>
      </c>
      <c r="X3976" s="100" t="s">
        <v>169</v>
      </c>
      <c r="Y3976" s="101" t="s">
        <v>170</v>
      </c>
      <c r="Z3976" s="101" t="s">
        <v>171</v>
      </c>
      <c r="AA3976" s="101" t="s">
        <v>50</v>
      </c>
      <c r="AB3976" s="101" t="s">
        <v>172</v>
      </c>
      <c r="AC3976" s="102" t="s">
        <v>173</v>
      </c>
    </row>
    <row r="3977" spans="1:29" ht="25.5" customHeight="1" x14ac:dyDescent="0.35">
      <c r="A3977" s="392"/>
      <c r="B3977" s="393"/>
      <c r="C3977" s="99" t="str">
        <f>IF(B3977="","",IF(NOT(ISNUMBER(B3977)),"DATA_PC invalida",IF(NOT(ISNUMBER(parametros!$C$2)),"Fora dos ciclos",IF(OR(B3977&lt;parametros!$C$2,(YEAR(B3977)-YEAR(parametros!$C$2))*12+MONTH(B3977)-MONTH(parametros!$C$2)&gt;59),"Fora dos ciclos","C"&amp;INT(((YEAR(B3977)-YEAR(parametros!$C$2))*12+MONTH(B3977)-MONTH(parametros!$C$2))/12)))))</f>
        <v/>
      </c>
      <c r="D3977" s="394"/>
      <c r="E3977" s="78" t="str">
        <f>IF(C3977="","",IFERROR(VLOOKUP(C3977,parametros!$A$11:$E$15,5,0),""))</f>
        <v/>
      </c>
      <c r="F3977" s="79" t="str">
        <f t="shared" si="312"/>
        <v/>
      </c>
      <c r="G3977" s="395"/>
      <c r="H3977" s="91">
        <f t="shared" si="313"/>
        <v>0</v>
      </c>
      <c r="I3977" s="91" t="str">
        <f t="shared" si="314"/>
        <v/>
      </c>
      <c r="J3977" s="91" t="str">
        <f t="shared" si="315"/>
        <v/>
      </c>
      <c r="K3977" s="92" t="str">
        <f>IF(AND(A3977="",B3977="",D3977="",G3977=""),"",IF(AND(A3977&lt;&gt;"",COUNTIF($A$2:$A$5001,A3977)&gt;1),"NUMERO_PC duplicado",IF(B3977="","DATA_PC vazia",IF(NOT(ISNUMBER(B3977)),"DATA_PC invalida",IF(OR(C3977="",C3977="Fora dos ciclos"),"CICLO_PC nao identificado",IF(OR(D3977="",D3977=0),"VALOR_PC vazio ou zero",IF(AND(G3977&lt;&gt;"Sim",G3977&lt;&gt;"Nao",G3977&lt;&gt;""),"PC_PAGO_A_CONTRATADA invalido",IF(AND(C3977&lt;&gt;"C0",IFERROR(INDEX(parametros!$A$2:$A$6,MATCH(C3977,parametros!$B$2:$B$6,0)),"")="Sim",IFERROR(INDEX(parametros!$H$2:$H$6,MATCH(C3977,parametros!$B$2:$B$6,0)),"")=""),"INICIO_EFEITO ausente: PC "&amp;A3977&amp;" - "&amp;C3977,IF(L3977="","EFEITO_PC nao calculado: PC "&amp;A3977&amp;" - "&amp;C3977,"OK")))))))))</f>
        <v/>
      </c>
      <c r="L3977" s="92" t="str">
        <f>IF(AND(A3977="",B3977="",D3977="",G3977=""),"",IF(OR(B3977="",NOT(ISNUMBER(B3977)),C3977="",C3977="Fora dos ciclos"),"",IF(C3977="C0","Nao",IF(IFERROR(INDEX(parametros!$A$2:$A$6,MATCH(C3977,parametros!$B$2:$B$6,0)),"")&lt;&gt;"Sim","Nao",IF(IFERROR(INDEX(parametros!$H$2:$H$6,MATCH(C3977,parametros!$B$2:$B$6,0)),"")="","",IF(B3977&gt;=IFERROR(INDEX(parametros!$H$2:$H$6,MATCH(C3977,parametros!$B$2:$B$6,0)),""),"Sim","Nao"))))))</f>
        <v/>
      </c>
      <c r="T3977" s="156"/>
      <c r="U3977" s="214" t="str">
        <f t="shared" si="316"/>
        <v/>
      </c>
      <c r="V3977" s="212" t="s">
        <v>50</v>
      </c>
      <c r="W3977" s="100" t="s">
        <v>168</v>
      </c>
      <c r="X3977" s="100" t="s">
        <v>169</v>
      </c>
      <c r="Y3977" s="101" t="s">
        <v>170</v>
      </c>
      <c r="Z3977" s="101" t="s">
        <v>171</v>
      </c>
      <c r="AA3977" s="101" t="s">
        <v>50</v>
      </c>
      <c r="AB3977" s="101" t="s">
        <v>172</v>
      </c>
      <c r="AC3977" s="102" t="s">
        <v>173</v>
      </c>
    </row>
    <row r="3978" spans="1:29" ht="25.5" customHeight="1" x14ac:dyDescent="0.35">
      <c r="A3978" s="392"/>
      <c r="B3978" s="393"/>
      <c r="C3978" s="99" t="str">
        <f>IF(B3978="","",IF(NOT(ISNUMBER(B3978)),"DATA_PC invalida",IF(NOT(ISNUMBER(parametros!$C$2)),"Fora dos ciclos",IF(OR(B3978&lt;parametros!$C$2,(YEAR(B3978)-YEAR(parametros!$C$2))*12+MONTH(B3978)-MONTH(parametros!$C$2)&gt;59),"Fora dos ciclos","C"&amp;INT(((YEAR(B3978)-YEAR(parametros!$C$2))*12+MONTH(B3978)-MONTH(parametros!$C$2))/12)))))</f>
        <v/>
      </c>
      <c r="D3978" s="394"/>
      <c r="E3978" s="78" t="str">
        <f>IF(C3978="","",IFERROR(VLOOKUP(C3978,parametros!$A$11:$E$15,5,0),""))</f>
        <v/>
      </c>
      <c r="F3978" s="79" t="str">
        <f t="shared" si="312"/>
        <v/>
      </c>
      <c r="G3978" s="395"/>
      <c r="H3978" s="91">
        <f t="shared" si="313"/>
        <v>0</v>
      </c>
      <c r="I3978" s="91" t="str">
        <f t="shared" si="314"/>
        <v/>
      </c>
      <c r="J3978" s="91" t="str">
        <f t="shared" si="315"/>
        <v/>
      </c>
      <c r="K3978" s="92" t="str">
        <f>IF(AND(A3978="",B3978="",D3978="",G3978=""),"",IF(AND(A3978&lt;&gt;"",COUNTIF($A$2:$A$5001,A3978)&gt;1),"NUMERO_PC duplicado",IF(B3978="","DATA_PC vazia",IF(NOT(ISNUMBER(B3978)),"DATA_PC invalida",IF(OR(C3978="",C3978="Fora dos ciclos"),"CICLO_PC nao identificado",IF(OR(D3978="",D3978=0),"VALOR_PC vazio ou zero",IF(AND(G3978&lt;&gt;"Sim",G3978&lt;&gt;"Nao",G3978&lt;&gt;""),"PC_PAGO_A_CONTRATADA invalido",IF(AND(C3978&lt;&gt;"C0",IFERROR(INDEX(parametros!$A$2:$A$6,MATCH(C3978,parametros!$B$2:$B$6,0)),"")="Sim",IFERROR(INDEX(parametros!$H$2:$H$6,MATCH(C3978,parametros!$B$2:$B$6,0)),"")=""),"INICIO_EFEITO ausente: PC "&amp;A3978&amp;" - "&amp;C3978,IF(L3978="","EFEITO_PC nao calculado: PC "&amp;A3978&amp;" - "&amp;C3978,"OK")))))))))</f>
        <v/>
      </c>
      <c r="L3978" s="92" t="str">
        <f>IF(AND(A3978="",B3978="",D3978="",G3978=""),"",IF(OR(B3978="",NOT(ISNUMBER(B3978)),C3978="",C3978="Fora dos ciclos"),"",IF(C3978="C0","Nao",IF(IFERROR(INDEX(parametros!$A$2:$A$6,MATCH(C3978,parametros!$B$2:$B$6,0)),"")&lt;&gt;"Sim","Nao",IF(IFERROR(INDEX(parametros!$H$2:$H$6,MATCH(C3978,parametros!$B$2:$B$6,0)),"")="","",IF(B3978&gt;=IFERROR(INDEX(parametros!$H$2:$H$6,MATCH(C3978,parametros!$B$2:$B$6,0)),""),"Sim","Nao"))))))</f>
        <v/>
      </c>
      <c r="T3978" s="156"/>
      <c r="U3978" s="214" t="str">
        <f t="shared" si="316"/>
        <v/>
      </c>
      <c r="V3978" s="212" t="s">
        <v>50</v>
      </c>
      <c r="W3978" s="100" t="s">
        <v>168</v>
      </c>
      <c r="X3978" s="100" t="s">
        <v>169</v>
      </c>
      <c r="Y3978" s="101" t="s">
        <v>170</v>
      </c>
      <c r="Z3978" s="101" t="s">
        <v>171</v>
      </c>
      <c r="AA3978" s="101" t="s">
        <v>50</v>
      </c>
      <c r="AB3978" s="101" t="s">
        <v>172</v>
      </c>
      <c r="AC3978" s="102" t="s">
        <v>173</v>
      </c>
    </row>
    <row r="3979" spans="1:29" ht="25.5" customHeight="1" x14ac:dyDescent="0.35">
      <c r="A3979" s="392"/>
      <c r="B3979" s="393"/>
      <c r="C3979" s="99" t="str">
        <f>IF(B3979="","",IF(NOT(ISNUMBER(B3979)),"DATA_PC invalida",IF(NOT(ISNUMBER(parametros!$C$2)),"Fora dos ciclos",IF(OR(B3979&lt;parametros!$C$2,(YEAR(B3979)-YEAR(parametros!$C$2))*12+MONTH(B3979)-MONTH(parametros!$C$2)&gt;59),"Fora dos ciclos","C"&amp;INT(((YEAR(B3979)-YEAR(parametros!$C$2))*12+MONTH(B3979)-MONTH(parametros!$C$2))/12)))))</f>
        <v/>
      </c>
      <c r="D3979" s="394"/>
      <c r="E3979" s="78" t="str">
        <f>IF(C3979="","",IFERROR(VLOOKUP(C3979,parametros!$A$11:$E$15,5,0),""))</f>
        <v/>
      </c>
      <c r="F3979" s="79" t="str">
        <f t="shared" si="312"/>
        <v/>
      </c>
      <c r="G3979" s="395"/>
      <c r="H3979" s="91">
        <f t="shared" si="313"/>
        <v>0</v>
      </c>
      <c r="I3979" s="91" t="str">
        <f t="shared" si="314"/>
        <v/>
      </c>
      <c r="J3979" s="91" t="str">
        <f t="shared" si="315"/>
        <v/>
      </c>
      <c r="K3979" s="92" t="str">
        <f>IF(AND(A3979="",B3979="",D3979="",G3979=""),"",IF(AND(A3979&lt;&gt;"",COUNTIF($A$2:$A$5001,A3979)&gt;1),"NUMERO_PC duplicado",IF(B3979="","DATA_PC vazia",IF(NOT(ISNUMBER(B3979)),"DATA_PC invalida",IF(OR(C3979="",C3979="Fora dos ciclos"),"CICLO_PC nao identificado",IF(OR(D3979="",D3979=0),"VALOR_PC vazio ou zero",IF(AND(G3979&lt;&gt;"Sim",G3979&lt;&gt;"Nao",G3979&lt;&gt;""),"PC_PAGO_A_CONTRATADA invalido",IF(AND(C3979&lt;&gt;"C0",IFERROR(INDEX(parametros!$A$2:$A$6,MATCH(C3979,parametros!$B$2:$B$6,0)),"")="Sim",IFERROR(INDEX(parametros!$H$2:$H$6,MATCH(C3979,parametros!$B$2:$B$6,0)),"")=""),"INICIO_EFEITO ausente: PC "&amp;A3979&amp;" - "&amp;C3979,IF(L3979="","EFEITO_PC nao calculado: PC "&amp;A3979&amp;" - "&amp;C3979,"OK")))))))))</f>
        <v/>
      </c>
      <c r="L3979" s="92" t="str">
        <f>IF(AND(A3979="",B3979="",D3979="",G3979=""),"",IF(OR(B3979="",NOT(ISNUMBER(B3979)),C3979="",C3979="Fora dos ciclos"),"",IF(C3979="C0","Nao",IF(IFERROR(INDEX(parametros!$A$2:$A$6,MATCH(C3979,parametros!$B$2:$B$6,0)),"")&lt;&gt;"Sim","Nao",IF(IFERROR(INDEX(parametros!$H$2:$H$6,MATCH(C3979,parametros!$B$2:$B$6,0)),"")="","",IF(B3979&gt;=IFERROR(INDEX(parametros!$H$2:$H$6,MATCH(C3979,parametros!$B$2:$B$6,0)),""),"Sim","Nao"))))))</f>
        <v/>
      </c>
      <c r="T3979" s="156"/>
      <c r="U3979" s="214" t="str">
        <f t="shared" si="316"/>
        <v/>
      </c>
      <c r="V3979" s="212" t="s">
        <v>50</v>
      </c>
      <c r="W3979" s="100" t="s">
        <v>168</v>
      </c>
      <c r="X3979" s="100" t="s">
        <v>169</v>
      </c>
      <c r="Y3979" s="101" t="s">
        <v>170</v>
      </c>
      <c r="Z3979" s="101" t="s">
        <v>171</v>
      </c>
      <c r="AA3979" s="101" t="s">
        <v>50</v>
      </c>
      <c r="AB3979" s="101" t="s">
        <v>172</v>
      </c>
      <c r="AC3979" s="102" t="s">
        <v>173</v>
      </c>
    </row>
    <row r="3980" spans="1:29" ht="25.5" customHeight="1" x14ac:dyDescent="0.35">
      <c r="A3980" s="392"/>
      <c r="B3980" s="393"/>
      <c r="C3980" s="99" t="str">
        <f>IF(B3980="","",IF(NOT(ISNUMBER(B3980)),"DATA_PC invalida",IF(NOT(ISNUMBER(parametros!$C$2)),"Fora dos ciclos",IF(OR(B3980&lt;parametros!$C$2,(YEAR(B3980)-YEAR(parametros!$C$2))*12+MONTH(B3980)-MONTH(parametros!$C$2)&gt;59),"Fora dos ciclos","C"&amp;INT(((YEAR(B3980)-YEAR(parametros!$C$2))*12+MONTH(B3980)-MONTH(parametros!$C$2))/12)))))</f>
        <v/>
      </c>
      <c r="D3980" s="394"/>
      <c r="E3980" s="78" t="str">
        <f>IF(C3980="","",IFERROR(VLOOKUP(C3980,parametros!$A$11:$E$15,5,0),""))</f>
        <v/>
      </c>
      <c r="F3980" s="79" t="str">
        <f t="shared" si="312"/>
        <v/>
      </c>
      <c r="G3980" s="395"/>
      <c r="H3980" s="91">
        <f t="shared" si="313"/>
        <v>0</v>
      </c>
      <c r="I3980" s="91" t="str">
        <f t="shared" si="314"/>
        <v/>
      </c>
      <c r="J3980" s="91" t="str">
        <f t="shared" si="315"/>
        <v/>
      </c>
      <c r="K3980" s="92" t="str">
        <f>IF(AND(A3980="",B3980="",D3980="",G3980=""),"",IF(AND(A3980&lt;&gt;"",COUNTIF($A$2:$A$5001,A3980)&gt;1),"NUMERO_PC duplicado",IF(B3980="","DATA_PC vazia",IF(NOT(ISNUMBER(B3980)),"DATA_PC invalida",IF(OR(C3980="",C3980="Fora dos ciclos"),"CICLO_PC nao identificado",IF(OR(D3980="",D3980=0),"VALOR_PC vazio ou zero",IF(AND(G3980&lt;&gt;"Sim",G3980&lt;&gt;"Nao",G3980&lt;&gt;""),"PC_PAGO_A_CONTRATADA invalido",IF(AND(C3980&lt;&gt;"C0",IFERROR(INDEX(parametros!$A$2:$A$6,MATCH(C3980,parametros!$B$2:$B$6,0)),"")="Sim",IFERROR(INDEX(parametros!$H$2:$H$6,MATCH(C3980,parametros!$B$2:$B$6,0)),"")=""),"INICIO_EFEITO ausente: PC "&amp;A3980&amp;" - "&amp;C3980,IF(L3980="","EFEITO_PC nao calculado: PC "&amp;A3980&amp;" - "&amp;C3980,"OK")))))))))</f>
        <v/>
      </c>
      <c r="L3980" s="92" t="str">
        <f>IF(AND(A3980="",B3980="",D3980="",G3980=""),"",IF(OR(B3980="",NOT(ISNUMBER(B3980)),C3980="",C3980="Fora dos ciclos"),"",IF(C3980="C0","Nao",IF(IFERROR(INDEX(parametros!$A$2:$A$6,MATCH(C3980,parametros!$B$2:$B$6,0)),"")&lt;&gt;"Sim","Nao",IF(IFERROR(INDEX(parametros!$H$2:$H$6,MATCH(C3980,parametros!$B$2:$B$6,0)),"")="","",IF(B3980&gt;=IFERROR(INDEX(parametros!$H$2:$H$6,MATCH(C3980,parametros!$B$2:$B$6,0)),""),"Sim","Nao"))))))</f>
        <v/>
      </c>
      <c r="T3980" s="156"/>
      <c r="U3980" s="214" t="str">
        <f t="shared" si="316"/>
        <v/>
      </c>
      <c r="V3980" s="212" t="s">
        <v>50</v>
      </c>
      <c r="W3980" s="100" t="s">
        <v>168</v>
      </c>
      <c r="X3980" s="100" t="s">
        <v>169</v>
      </c>
      <c r="Y3980" s="101" t="s">
        <v>170</v>
      </c>
      <c r="Z3980" s="101" t="s">
        <v>171</v>
      </c>
      <c r="AA3980" s="101" t="s">
        <v>50</v>
      </c>
      <c r="AB3980" s="101" t="s">
        <v>172</v>
      </c>
      <c r="AC3980" s="102" t="s">
        <v>173</v>
      </c>
    </row>
    <row r="3981" spans="1:29" ht="25.5" customHeight="1" x14ac:dyDescent="0.35">
      <c r="A3981" s="392"/>
      <c r="B3981" s="393"/>
      <c r="C3981" s="99" t="str">
        <f>IF(B3981="","",IF(NOT(ISNUMBER(B3981)),"DATA_PC invalida",IF(NOT(ISNUMBER(parametros!$C$2)),"Fora dos ciclos",IF(OR(B3981&lt;parametros!$C$2,(YEAR(B3981)-YEAR(parametros!$C$2))*12+MONTH(B3981)-MONTH(parametros!$C$2)&gt;59),"Fora dos ciclos","C"&amp;INT(((YEAR(B3981)-YEAR(parametros!$C$2))*12+MONTH(B3981)-MONTH(parametros!$C$2))/12)))))</f>
        <v/>
      </c>
      <c r="D3981" s="394"/>
      <c r="E3981" s="78" t="str">
        <f>IF(C3981="","",IFERROR(VLOOKUP(C3981,parametros!$A$11:$E$15,5,0),""))</f>
        <v/>
      </c>
      <c r="F3981" s="79" t="str">
        <f t="shared" si="312"/>
        <v/>
      </c>
      <c r="G3981" s="395"/>
      <c r="H3981" s="91">
        <f t="shared" si="313"/>
        <v>0</v>
      </c>
      <c r="I3981" s="91" t="str">
        <f t="shared" si="314"/>
        <v/>
      </c>
      <c r="J3981" s="91" t="str">
        <f t="shared" si="315"/>
        <v/>
      </c>
      <c r="K3981" s="92" t="str">
        <f>IF(AND(A3981="",B3981="",D3981="",G3981=""),"",IF(AND(A3981&lt;&gt;"",COUNTIF($A$2:$A$5001,A3981)&gt;1),"NUMERO_PC duplicado",IF(B3981="","DATA_PC vazia",IF(NOT(ISNUMBER(B3981)),"DATA_PC invalida",IF(OR(C3981="",C3981="Fora dos ciclos"),"CICLO_PC nao identificado",IF(OR(D3981="",D3981=0),"VALOR_PC vazio ou zero",IF(AND(G3981&lt;&gt;"Sim",G3981&lt;&gt;"Nao",G3981&lt;&gt;""),"PC_PAGO_A_CONTRATADA invalido",IF(AND(C3981&lt;&gt;"C0",IFERROR(INDEX(parametros!$A$2:$A$6,MATCH(C3981,parametros!$B$2:$B$6,0)),"")="Sim",IFERROR(INDEX(parametros!$H$2:$H$6,MATCH(C3981,parametros!$B$2:$B$6,0)),"")=""),"INICIO_EFEITO ausente: PC "&amp;A3981&amp;" - "&amp;C3981,IF(L3981="","EFEITO_PC nao calculado: PC "&amp;A3981&amp;" - "&amp;C3981,"OK")))))))))</f>
        <v/>
      </c>
      <c r="L3981" s="92" t="str">
        <f>IF(AND(A3981="",B3981="",D3981="",G3981=""),"",IF(OR(B3981="",NOT(ISNUMBER(B3981)),C3981="",C3981="Fora dos ciclos"),"",IF(C3981="C0","Nao",IF(IFERROR(INDEX(parametros!$A$2:$A$6,MATCH(C3981,parametros!$B$2:$B$6,0)),"")&lt;&gt;"Sim","Nao",IF(IFERROR(INDEX(parametros!$H$2:$H$6,MATCH(C3981,parametros!$B$2:$B$6,0)),"")="","",IF(B3981&gt;=IFERROR(INDEX(parametros!$H$2:$H$6,MATCH(C3981,parametros!$B$2:$B$6,0)),""),"Sim","Nao"))))))</f>
        <v/>
      </c>
      <c r="T3981" s="156"/>
      <c r="U3981" s="214" t="str">
        <f t="shared" si="316"/>
        <v/>
      </c>
      <c r="V3981" s="212" t="s">
        <v>50</v>
      </c>
      <c r="W3981" s="100" t="s">
        <v>168</v>
      </c>
      <c r="X3981" s="100" t="s">
        <v>169</v>
      </c>
      <c r="Y3981" s="101" t="s">
        <v>170</v>
      </c>
      <c r="Z3981" s="101" t="s">
        <v>171</v>
      </c>
      <c r="AA3981" s="101" t="s">
        <v>50</v>
      </c>
      <c r="AB3981" s="101" t="s">
        <v>172</v>
      </c>
      <c r="AC3981" s="102" t="s">
        <v>173</v>
      </c>
    </row>
    <row r="3982" spans="1:29" ht="25.5" customHeight="1" x14ac:dyDescent="0.35">
      <c r="A3982" s="392"/>
      <c r="B3982" s="393"/>
      <c r="C3982" s="99" t="str">
        <f>IF(B3982="","",IF(NOT(ISNUMBER(B3982)),"DATA_PC invalida",IF(NOT(ISNUMBER(parametros!$C$2)),"Fora dos ciclos",IF(OR(B3982&lt;parametros!$C$2,(YEAR(B3982)-YEAR(parametros!$C$2))*12+MONTH(B3982)-MONTH(parametros!$C$2)&gt;59),"Fora dos ciclos","C"&amp;INT(((YEAR(B3982)-YEAR(parametros!$C$2))*12+MONTH(B3982)-MONTH(parametros!$C$2))/12)))))</f>
        <v/>
      </c>
      <c r="D3982" s="394"/>
      <c r="E3982" s="78" t="str">
        <f>IF(C3982="","",IFERROR(VLOOKUP(C3982,parametros!$A$11:$E$15,5,0),""))</f>
        <v/>
      </c>
      <c r="F3982" s="79" t="str">
        <f t="shared" si="312"/>
        <v/>
      </c>
      <c r="G3982" s="395"/>
      <c r="H3982" s="91">
        <f t="shared" si="313"/>
        <v>0</v>
      </c>
      <c r="I3982" s="91" t="str">
        <f t="shared" si="314"/>
        <v/>
      </c>
      <c r="J3982" s="91" t="str">
        <f t="shared" si="315"/>
        <v/>
      </c>
      <c r="K3982" s="92" t="str">
        <f>IF(AND(A3982="",B3982="",D3982="",G3982=""),"",IF(AND(A3982&lt;&gt;"",COUNTIF($A$2:$A$5001,A3982)&gt;1),"NUMERO_PC duplicado",IF(B3982="","DATA_PC vazia",IF(NOT(ISNUMBER(B3982)),"DATA_PC invalida",IF(OR(C3982="",C3982="Fora dos ciclos"),"CICLO_PC nao identificado",IF(OR(D3982="",D3982=0),"VALOR_PC vazio ou zero",IF(AND(G3982&lt;&gt;"Sim",G3982&lt;&gt;"Nao",G3982&lt;&gt;""),"PC_PAGO_A_CONTRATADA invalido",IF(AND(C3982&lt;&gt;"C0",IFERROR(INDEX(parametros!$A$2:$A$6,MATCH(C3982,parametros!$B$2:$B$6,0)),"")="Sim",IFERROR(INDEX(parametros!$H$2:$H$6,MATCH(C3982,parametros!$B$2:$B$6,0)),"")=""),"INICIO_EFEITO ausente: PC "&amp;A3982&amp;" - "&amp;C3982,IF(L3982="","EFEITO_PC nao calculado: PC "&amp;A3982&amp;" - "&amp;C3982,"OK")))))))))</f>
        <v/>
      </c>
      <c r="L3982" s="92" t="str">
        <f>IF(AND(A3982="",B3982="",D3982="",G3982=""),"",IF(OR(B3982="",NOT(ISNUMBER(B3982)),C3982="",C3982="Fora dos ciclos"),"",IF(C3982="C0","Nao",IF(IFERROR(INDEX(parametros!$A$2:$A$6,MATCH(C3982,parametros!$B$2:$B$6,0)),"")&lt;&gt;"Sim","Nao",IF(IFERROR(INDEX(parametros!$H$2:$H$6,MATCH(C3982,parametros!$B$2:$B$6,0)),"")="","",IF(B3982&gt;=IFERROR(INDEX(parametros!$H$2:$H$6,MATCH(C3982,parametros!$B$2:$B$6,0)),""),"Sim","Nao"))))))</f>
        <v/>
      </c>
      <c r="T3982" s="156"/>
      <c r="U3982" s="214" t="str">
        <f t="shared" si="316"/>
        <v/>
      </c>
      <c r="V3982" s="212" t="s">
        <v>50</v>
      </c>
      <c r="W3982" s="100" t="s">
        <v>168</v>
      </c>
      <c r="X3982" s="100" t="s">
        <v>169</v>
      </c>
      <c r="Y3982" s="101" t="s">
        <v>170</v>
      </c>
      <c r="Z3982" s="101" t="s">
        <v>171</v>
      </c>
      <c r="AA3982" s="101" t="s">
        <v>50</v>
      </c>
      <c r="AB3982" s="101" t="s">
        <v>172</v>
      </c>
      <c r="AC3982" s="102" t="s">
        <v>173</v>
      </c>
    </row>
    <row r="3983" spans="1:29" ht="25.5" customHeight="1" x14ac:dyDescent="0.35">
      <c r="A3983" s="392"/>
      <c r="B3983" s="393"/>
      <c r="C3983" s="99" t="str">
        <f>IF(B3983="","",IF(NOT(ISNUMBER(B3983)),"DATA_PC invalida",IF(NOT(ISNUMBER(parametros!$C$2)),"Fora dos ciclos",IF(OR(B3983&lt;parametros!$C$2,(YEAR(B3983)-YEAR(parametros!$C$2))*12+MONTH(B3983)-MONTH(parametros!$C$2)&gt;59),"Fora dos ciclos","C"&amp;INT(((YEAR(B3983)-YEAR(parametros!$C$2))*12+MONTH(B3983)-MONTH(parametros!$C$2))/12)))))</f>
        <v/>
      </c>
      <c r="D3983" s="394"/>
      <c r="E3983" s="78" t="str">
        <f>IF(C3983="","",IFERROR(VLOOKUP(C3983,parametros!$A$11:$E$15,5,0),""))</f>
        <v/>
      </c>
      <c r="F3983" s="79" t="str">
        <f t="shared" si="312"/>
        <v/>
      </c>
      <c r="G3983" s="395"/>
      <c r="H3983" s="91">
        <f t="shared" si="313"/>
        <v>0</v>
      </c>
      <c r="I3983" s="91" t="str">
        <f t="shared" si="314"/>
        <v/>
      </c>
      <c r="J3983" s="91" t="str">
        <f t="shared" si="315"/>
        <v/>
      </c>
      <c r="K3983" s="92" t="str">
        <f>IF(AND(A3983="",B3983="",D3983="",G3983=""),"",IF(AND(A3983&lt;&gt;"",COUNTIF($A$2:$A$5001,A3983)&gt;1),"NUMERO_PC duplicado",IF(B3983="","DATA_PC vazia",IF(NOT(ISNUMBER(B3983)),"DATA_PC invalida",IF(OR(C3983="",C3983="Fora dos ciclos"),"CICLO_PC nao identificado",IF(OR(D3983="",D3983=0),"VALOR_PC vazio ou zero",IF(AND(G3983&lt;&gt;"Sim",G3983&lt;&gt;"Nao",G3983&lt;&gt;""),"PC_PAGO_A_CONTRATADA invalido",IF(AND(C3983&lt;&gt;"C0",IFERROR(INDEX(parametros!$A$2:$A$6,MATCH(C3983,parametros!$B$2:$B$6,0)),"")="Sim",IFERROR(INDEX(parametros!$H$2:$H$6,MATCH(C3983,parametros!$B$2:$B$6,0)),"")=""),"INICIO_EFEITO ausente: PC "&amp;A3983&amp;" - "&amp;C3983,IF(L3983="","EFEITO_PC nao calculado: PC "&amp;A3983&amp;" - "&amp;C3983,"OK")))))))))</f>
        <v/>
      </c>
      <c r="L3983" s="92" t="str">
        <f>IF(AND(A3983="",B3983="",D3983="",G3983=""),"",IF(OR(B3983="",NOT(ISNUMBER(B3983)),C3983="",C3983="Fora dos ciclos"),"",IF(C3983="C0","Nao",IF(IFERROR(INDEX(parametros!$A$2:$A$6,MATCH(C3983,parametros!$B$2:$B$6,0)),"")&lt;&gt;"Sim","Nao",IF(IFERROR(INDEX(parametros!$H$2:$H$6,MATCH(C3983,parametros!$B$2:$B$6,0)),"")="","",IF(B3983&gt;=IFERROR(INDEX(parametros!$H$2:$H$6,MATCH(C3983,parametros!$B$2:$B$6,0)),""),"Sim","Nao"))))))</f>
        <v/>
      </c>
      <c r="T3983" s="156"/>
      <c r="U3983" s="214" t="str">
        <f t="shared" si="316"/>
        <v/>
      </c>
      <c r="V3983" s="212" t="s">
        <v>50</v>
      </c>
      <c r="W3983" s="100" t="s">
        <v>168</v>
      </c>
      <c r="X3983" s="100" t="s">
        <v>169</v>
      </c>
      <c r="Y3983" s="101" t="s">
        <v>170</v>
      </c>
      <c r="Z3983" s="101" t="s">
        <v>171</v>
      </c>
      <c r="AA3983" s="101" t="s">
        <v>50</v>
      </c>
      <c r="AB3983" s="101" t="s">
        <v>172</v>
      </c>
      <c r="AC3983" s="102" t="s">
        <v>173</v>
      </c>
    </row>
    <row r="3984" spans="1:29" ht="25.5" customHeight="1" x14ac:dyDescent="0.35">
      <c r="A3984" s="392"/>
      <c r="B3984" s="393"/>
      <c r="C3984" s="99" t="str">
        <f>IF(B3984="","",IF(NOT(ISNUMBER(B3984)),"DATA_PC invalida",IF(NOT(ISNUMBER(parametros!$C$2)),"Fora dos ciclos",IF(OR(B3984&lt;parametros!$C$2,(YEAR(B3984)-YEAR(parametros!$C$2))*12+MONTH(B3984)-MONTH(parametros!$C$2)&gt;59),"Fora dos ciclos","C"&amp;INT(((YEAR(B3984)-YEAR(parametros!$C$2))*12+MONTH(B3984)-MONTH(parametros!$C$2))/12)))))</f>
        <v/>
      </c>
      <c r="D3984" s="394"/>
      <c r="E3984" s="78" t="str">
        <f>IF(C3984="","",IFERROR(VLOOKUP(C3984,parametros!$A$11:$E$15,5,0),""))</f>
        <v/>
      </c>
      <c r="F3984" s="79" t="str">
        <f t="shared" si="312"/>
        <v/>
      </c>
      <c r="G3984" s="395"/>
      <c r="H3984" s="91">
        <f t="shared" si="313"/>
        <v>0</v>
      </c>
      <c r="I3984" s="91" t="str">
        <f t="shared" si="314"/>
        <v/>
      </c>
      <c r="J3984" s="91" t="str">
        <f t="shared" si="315"/>
        <v/>
      </c>
      <c r="K3984" s="92" t="str">
        <f>IF(AND(A3984="",B3984="",D3984="",G3984=""),"",IF(AND(A3984&lt;&gt;"",COUNTIF($A$2:$A$5001,A3984)&gt;1),"NUMERO_PC duplicado",IF(B3984="","DATA_PC vazia",IF(NOT(ISNUMBER(B3984)),"DATA_PC invalida",IF(OR(C3984="",C3984="Fora dos ciclos"),"CICLO_PC nao identificado",IF(OR(D3984="",D3984=0),"VALOR_PC vazio ou zero",IF(AND(G3984&lt;&gt;"Sim",G3984&lt;&gt;"Nao",G3984&lt;&gt;""),"PC_PAGO_A_CONTRATADA invalido",IF(AND(C3984&lt;&gt;"C0",IFERROR(INDEX(parametros!$A$2:$A$6,MATCH(C3984,parametros!$B$2:$B$6,0)),"")="Sim",IFERROR(INDEX(parametros!$H$2:$H$6,MATCH(C3984,parametros!$B$2:$B$6,0)),"")=""),"INICIO_EFEITO ausente: PC "&amp;A3984&amp;" - "&amp;C3984,IF(L3984="","EFEITO_PC nao calculado: PC "&amp;A3984&amp;" - "&amp;C3984,"OK")))))))))</f>
        <v/>
      </c>
      <c r="L3984" s="92" t="str">
        <f>IF(AND(A3984="",B3984="",D3984="",G3984=""),"",IF(OR(B3984="",NOT(ISNUMBER(B3984)),C3984="",C3984="Fora dos ciclos"),"",IF(C3984="C0","Nao",IF(IFERROR(INDEX(parametros!$A$2:$A$6,MATCH(C3984,parametros!$B$2:$B$6,0)),"")&lt;&gt;"Sim","Nao",IF(IFERROR(INDEX(parametros!$H$2:$H$6,MATCH(C3984,parametros!$B$2:$B$6,0)),"")="","",IF(B3984&gt;=IFERROR(INDEX(parametros!$H$2:$H$6,MATCH(C3984,parametros!$B$2:$B$6,0)),""),"Sim","Nao"))))))</f>
        <v/>
      </c>
      <c r="T3984" s="156"/>
      <c r="U3984" s="214" t="str">
        <f t="shared" si="316"/>
        <v/>
      </c>
      <c r="V3984" s="212" t="s">
        <v>50</v>
      </c>
      <c r="W3984" s="100" t="s">
        <v>168</v>
      </c>
      <c r="X3984" s="100" t="s">
        <v>169</v>
      </c>
      <c r="Y3984" s="101" t="s">
        <v>170</v>
      </c>
      <c r="Z3984" s="101" t="s">
        <v>171</v>
      </c>
      <c r="AA3984" s="101" t="s">
        <v>50</v>
      </c>
      <c r="AB3984" s="101" t="s">
        <v>172</v>
      </c>
      <c r="AC3984" s="102" t="s">
        <v>173</v>
      </c>
    </row>
    <row r="3985" spans="1:29" ht="25.5" customHeight="1" x14ac:dyDescent="0.35">
      <c r="A3985" s="392"/>
      <c r="B3985" s="393"/>
      <c r="C3985" s="99" t="str">
        <f>IF(B3985="","",IF(NOT(ISNUMBER(B3985)),"DATA_PC invalida",IF(NOT(ISNUMBER(parametros!$C$2)),"Fora dos ciclos",IF(OR(B3985&lt;parametros!$C$2,(YEAR(B3985)-YEAR(parametros!$C$2))*12+MONTH(B3985)-MONTH(parametros!$C$2)&gt;59),"Fora dos ciclos","C"&amp;INT(((YEAR(B3985)-YEAR(parametros!$C$2))*12+MONTH(B3985)-MONTH(parametros!$C$2))/12)))))</f>
        <v/>
      </c>
      <c r="D3985" s="394"/>
      <c r="E3985" s="78" t="str">
        <f>IF(C3985="","",IFERROR(VLOOKUP(C3985,parametros!$A$11:$E$15,5,0),""))</f>
        <v/>
      </c>
      <c r="F3985" s="79" t="str">
        <f t="shared" si="312"/>
        <v/>
      </c>
      <c r="G3985" s="395"/>
      <c r="H3985" s="91">
        <f t="shared" si="313"/>
        <v>0</v>
      </c>
      <c r="I3985" s="91" t="str">
        <f t="shared" si="314"/>
        <v/>
      </c>
      <c r="J3985" s="91" t="str">
        <f t="shared" si="315"/>
        <v/>
      </c>
      <c r="K3985" s="92" t="str">
        <f>IF(AND(A3985="",B3985="",D3985="",G3985=""),"",IF(AND(A3985&lt;&gt;"",COUNTIF($A$2:$A$5001,A3985)&gt;1),"NUMERO_PC duplicado",IF(B3985="","DATA_PC vazia",IF(NOT(ISNUMBER(B3985)),"DATA_PC invalida",IF(OR(C3985="",C3985="Fora dos ciclos"),"CICLO_PC nao identificado",IF(OR(D3985="",D3985=0),"VALOR_PC vazio ou zero",IF(AND(G3985&lt;&gt;"Sim",G3985&lt;&gt;"Nao",G3985&lt;&gt;""),"PC_PAGO_A_CONTRATADA invalido",IF(AND(C3985&lt;&gt;"C0",IFERROR(INDEX(parametros!$A$2:$A$6,MATCH(C3985,parametros!$B$2:$B$6,0)),"")="Sim",IFERROR(INDEX(parametros!$H$2:$H$6,MATCH(C3985,parametros!$B$2:$B$6,0)),"")=""),"INICIO_EFEITO ausente: PC "&amp;A3985&amp;" - "&amp;C3985,IF(L3985="","EFEITO_PC nao calculado: PC "&amp;A3985&amp;" - "&amp;C3985,"OK")))))))))</f>
        <v/>
      </c>
      <c r="L3985" s="92" t="str">
        <f>IF(AND(A3985="",B3985="",D3985="",G3985=""),"",IF(OR(B3985="",NOT(ISNUMBER(B3985)),C3985="",C3985="Fora dos ciclos"),"",IF(C3985="C0","Nao",IF(IFERROR(INDEX(parametros!$A$2:$A$6,MATCH(C3985,parametros!$B$2:$B$6,0)),"")&lt;&gt;"Sim","Nao",IF(IFERROR(INDEX(parametros!$H$2:$H$6,MATCH(C3985,parametros!$B$2:$B$6,0)),"")="","",IF(B3985&gt;=IFERROR(INDEX(parametros!$H$2:$H$6,MATCH(C3985,parametros!$B$2:$B$6,0)),""),"Sim","Nao"))))))</f>
        <v/>
      </c>
      <c r="T3985" s="156"/>
      <c r="U3985" s="214" t="str">
        <f t="shared" si="316"/>
        <v/>
      </c>
      <c r="V3985" s="212" t="s">
        <v>50</v>
      </c>
      <c r="W3985" s="100" t="s">
        <v>168</v>
      </c>
      <c r="X3985" s="100" t="s">
        <v>169</v>
      </c>
      <c r="Y3985" s="101" t="s">
        <v>170</v>
      </c>
      <c r="Z3985" s="101" t="s">
        <v>171</v>
      </c>
      <c r="AA3985" s="101" t="s">
        <v>50</v>
      </c>
      <c r="AB3985" s="101" t="s">
        <v>172</v>
      </c>
      <c r="AC3985" s="102" t="s">
        <v>173</v>
      </c>
    </row>
    <row r="3986" spans="1:29" ht="25.5" customHeight="1" x14ac:dyDescent="0.35">
      <c r="A3986" s="392"/>
      <c r="B3986" s="393"/>
      <c r="C3986" s="99" t="str">
        <f>IF(B3986="","",IF(NOT(ISNUMBER(B3986)),"DATA_PC invalida",IF(NOT(ISNUMBER(parametros!$C$2)),"Fora dos ciclos",IF(OR(B3986&lt;parametros!$C$2,(YEAR(B3986)-YEAR(parametros!$C$2))*12+MONTH(B3986)-MONTH(parametros!$C$2)&gt;59),"Fora dos ciclos","C"&amp;INT(((YEAR(B3986)-YEAR(parametros!$C$2))*12+MONTH(B3986)-MONTH(parametros!$C$2))/12)))))</f>
        <v/>
      </c>
      <c r="D3986" s="394"/>
      <c r="E3986" s="78" t="str">
        <f>IF(C3986="","",IFERROR(VLOOKUP(C3986,parametros!$A$11:$E$15,5,0),""))</f>
        <v/>
      </c>
      <c r="F3986" s="79" t="str">
        <f t="shared" si="312"/>
        <v/>
      </c>
      <c r="G3986" s="395"/>
      <c r="H3986" s="91">
        <f t="shared" si="313"/>
        <v>0</v>
      </c>
      <c r="I3986" s="91" t="str">
        <f t="shared" si="314"/>
        <v/>
      </c>
      <c r="J3986" s="91" t="str">
        <f t="shared" si="315"/>
        <v/>
      </c>
      <c r="K3986" s="92" t="str">
        <f>IF(AND(A3986="",B3986="",D3986="",G3986=""),"",IF(AND(A3986&lt;&gt;"",COUNTIF($A$2:$A$5001,A3986)&gt;1),"NUMERO_PC duplicado",IF(B3986="","DATA_PC vazia",IF(NOT(ISNUMBER(B3986)),"DATA_PC invalida",IF(OR(C3986="",C3986="Fora dos ciclos"),"CICLO_PC nao identificado",IF(OR(D3986="",D3986=0),"VALOR_PC vazio ou zero",IF(AND(G3986&lt;&gt;"Sim",G3986&lt;&gt;"Nao",G3986&lt;&gt;""),"PC_PAGO_A_CONTRATADA invalido",IF(AND(C3986&lt;&gt;"C0",IFERROR(INDEX(parametros!$A$2:$A$6,MATCH(C3986,parametros!$B$2:$B$6,0)),"")="Sim",IFERROR(INDEX(parametros!$H$2:$H$6,MATCH(C3986,parametros!$B$2:$B$6,0)),"")=""),"INICIO_EFEITO ausente: PC "&amp;A3986&amp;" - "&amp;C3986,IF(L3986="","EFEITO_PC nao calculado: PC "&amp;A3986&amp;" - "&amp;C3986,"OK")))))))))</f>
        <v/>
      </c>
      <c r="L3986" s="92" t="str">
        <f>IF(AND(A3986="",B3986="",D3986="",G3986=""),"",IF(OR(B3986="",NOT(ISNUMBER(B3986)),C3986="",C3986="Fora dos ciclos"),"",IF(C3986="C0","Nao",IF(IFERROR(INDEX(parametros!$A$2:$A$6,MATCH(C3986,parametros!$B$2:$B$6,0)),"")&lt;&gt;"Sim","Nao",IF(IFERROR(INDEX(parametros!$H$2:$H$6,MATCH(C3986,parametros!$B$2:$B$6,0)),"")="","",IF(B3986&gt;=IFERROR(INDEX(parametros!$H$2:$H$6,MATCH(C3986,parametros!$B$2:$B$6,0)),""),"Sim","Nao"))))))</f>
        <v/>
      </c>
      <c r="T3986" s="156"/>
      <c r="U3986" s="214" t="str">
        <f t="shared" si="316"/>
        <v/>
      </c>
      <c r="V3986" s="212" t="s">
        <v>50</v>
      </c>
      <c r="W3986" s="100" t="s">
        <v>168</v>
      </c>
      <c r="X3986" s="100" t="s">
        <v>169</v>
      </c>
      <c r="Y3986" s="101" t="s">
        <v>170</v>
      </c>
      <c r="Z3986" s="101" t="s">
        <v>171</v>
      </c>
      <c r="AA3986" s="101" t="s">
        <v>50</v>
      </c>
      <c r="AB3986" s="101" t="s">
        <v>172</v>
      </c>
      <c r="AC3986" s="102" t="s">
        <v>173</v>
      </c>
    </row>
    <row r="3987" spans="1:29" ht="25.5" customHeight="1" x14ac:dyDescent="0.35">
      <c r="A3987" s="392"/>
      <c r="B3987" s="393"/>
      <c r="C3987" s="99" t="str">
        <f>IF(B3987="","",IF(NOT(ISNUMBER(B3987)),"DATA_PC invalida",IF(NOT(ISNUMBER(parametros!$C$2)),"Fora dos ciclos",IF(OR(B3987&lt;parametros!$C$2,(YEAR(B3987)-YEAR(parametros!$C$2))*12+MONTH(B3987)-MONTH(parametros!$C$2)&gt;59),"Fora dos ciclos","C"&amp;INT(((YEAR(B3987)-YEAR(parametros!$C$2))*12+MONTH(B3987)-MONTH(parametros!$C$2))/12)))))</f>
        <v/>
      </c>
      <c r="D3987" s="394"/>
      <c r="E3987" s="78" t="str">
        <f>IF(C3987="","",IFERROR(VLOOKUP(C3987,parametros!$A$11:$E$15,5,0),""))</f>
        <v/>
      </c>
      <c r="F3987" s="79" t="str">
        <f t="shared" si="312"/>
        <v/>
      </c>
      <c r="G3987" s="395"/>
      <c r="H3987" s="91">
        <f t="shared" si="313"/>
        <v>0</v>
      </c>
      <c r="I3987" s="91" t="str">
        <f t="shared" si="314"/>
        <v/>
      </c>
      <c r="J3987" s="91" t="str">
        <f t="shared" si="315"/>
        <v/>
      </c>
      <c r="K3987" s="92" t="str">
        <f>IF(AND(A3987="",B3987="",D3987="",G3987=""),"",IF(AND(A3987&lt;&gt;"",COUNTIF($A$2:$A$5001,A3987)&gt;1),"NUMERO_PC duplicado",IF(B3987="","DATA_PC vazia",IF(NOT(ISNUMBER(B3987)),"DATA_PC invalida",IF(OR(C3987="",C3987="Fora dos ciclos"),"CICLO_PC nao identificado",IF(OR(D3987="",D3987=0),"VALOR_PC vazio ou zero",IF(AND(G3987&lt;&gt;"Sim",G3987&lt;&gt;"Nao",G3987&lt;&gt;""),"PC_PAGO_A_CONTRATADA invalido",IF(AND(C3987&lt;&gt;"C0",IFERROR(INDEX(parametros!$A$2:$A$6,MATCH(C3987,parametros!$B$2:$B$6,0)),"")="Sim",IFERROR(INDEX(parametros!$H$2:$H$6,MATCH(C3987,parametros!$B$2:$B$6,0)),"")=""),"INICIO_EFEITO ausente: PC "&amp;A3987&amp;" - "&amp;C3987,IF(L3987="","EFEITO_PC nao calculado: PC "&amp;A3987&amp;" - "&amp;C3987,"OK")))))))))</f>
        <v/>
      </c>
      <c r="L3987" s="92" t="str">
        <f>IF(AND(A3987="",B3987="",D3987="",G3987=""),"",IF(OR(B3987="",NOT(ISNUMBER(B3987)),C3987="",C3987="Fora dos ciclos"),"",IF(C3987="C0","Nao",IF(IFERROR(INDEX(parametros!$A$2:$A$6,MATCH(C3987,parametros!$B$2:$B$6,0)),"")&lt;&gt;"Sim","Nao",IF(IFERROR(INDEX(parametros!$H$2:$H$6,MATCH(C3987,parametros!$B$2:$B$6,0)),"")="","",IF(B3987&gt;=IFERROR(INDEX(parametros!$H$2:$H$6,MATCH(C3987,parametros!$B$2:$B$6,0)),""),"Sim","Nao"))))))</f>
        <v/>
      </c>
      <c r="T3987" s="156"/>
      <c r="U3987" s="214" t="str">
        <f t="shared" si="316"/>
        <v/>
      </c>
      <c r="V3987" s="212" t="s">
        <v>50</v>
      </c>
      <c r="W3987" s="100" t="s">
        <v>168</v>
      </c>
      <c r="X3987" s="100" t="s">
        <v>169</v>
      </c>
      <c r="Y3987" s="101" t="s">
        <v>170</v>
      </c>
      <c r="Z3987" s="101" t="s">
        <v>171</v>
      </c>
      <c r="AA3987" s="101" t="s">
        <v>50</v>
      </c>
      <c r="AB3987" s="101" t="s">
        <v>172</v>
      </c>
      <c r="AC3987" s="102" t="s">
        <v>173</v>
      </c>
    </row>
    <row r="3988" spans="1:29" ht="25.5" customHeight="1" x14ac:dyDescent="0.35">
      <c r="A3988" s="392"/>
      <c r="B3988" s="393"/>
      <c r="C3988" s="99" t="str">
        <f>IF(B3988="","",IF(NOT(ISNUMBER(B3988)),"DATA_PC invalida",IF(NOT(ISNUMBER(parametros!$C$2)),"Fora dos ciclos",IF(OR(B3988&lt;parametros!$C$2,(YEAR(B3988)-YEAR(parametros!$C$2))*12+MONTH(B3988)-MONTH(parametros!$C$2)&gt;59),"Fora dos ciclos","C"&amp;INT(((YEAR(B3988)-YEAR(parametros!$C$2))*12+MONTH(B3988)-MONTH(parametros!$C$2))/12)))))</f>
        <v/>
      </c>
      <c r="D3988" s="394"/>
      <c r="E3988" s="78" t="str">
        <f>IF(C3988="","",IFERROR(VLOOKUP(C3988,parametros!$A$11:$E$15,5,0),""))</f>
        <v/>
      </c>
      <c r="F3988" s="79" t="str">
        <f t="shared" si="312"/>
        <v/>
      </c>
      <c r="G3988" s="395"/>
      <c r="H3988" s="91">
        <f t="shared" si="313"/>
        <v>0</v>
      </c>
      <c r="I3988" s="91" t="str">
        <f t="shared" si="314"/>
        <v/>
      </c>
      <c r="J3988" s="91" t="str">
        <f t="shared" si="315"/>
        <v/>
      </c>
      <c r="K3988" s="92" t="str">
        <f>IF(AND(A3988="",B3988="",D3988="",G3988=""),"",IF(AND(A3988&lt;&gt;"",COUNTIF($A$2:$A$5001,A3988)&gt;1),"NUMERO_PC duplicado",IF(B3988="","DATA_PC vazia",IF(NOT(ISNUMBER(B3988)),"DATA_PC invalida",IF(OR(C3988="",C3988="Fora dos ciclos"),"CICLO_PC nao identificado",IF(OR(D3988="",D3988=0),"VALOR_PC vazio ou zero",IF(AND(G3988&lt;&gt;"Sim",G3988&lt;&gt;"Nao",G3988&lt;&gt;""),"PC_PAGO_A_CONTRATADA invalido",IF(AND(C3988&lt;&gt;"C0",IFERROR(INDEX(parametros!$A$2:$A$6,MATCH(C3988,parametros!$B$2:$B$6,0)),"")="Sim",IFERROR(INDEX(parametros!$H$2:$H$6,MATCH(C3988,parametros!$B$2:$B$6,0)),"")=""),"INICIO_EFEITO ausente: PC "&amp;A3988&amp;" - "&amp;C3988,IF(L3988="","EFEITO_PC nao calculado: PC "&amp;A3988&amp;" - "&amp;C3988,"OK")))))))))</f>
        <v/>
      </c>
      <c r="L3988" s="92" t="str">
        <f>IF(AND(A3988="",B3988="",D3988="",G3988=""),"",IF(OR(B3988="",NOT(ISNUMBER(B3988)),C3988="",C3988="Fora dos ciclos"),"",IF(C3988="C0","Nao",IF(IFERROR(INDEX(parametros!$A$2:$A$6,MATCH(C3988,parametros!$B$2:$B$6,0)),"")&lt;&gt;"Sim","Nao",IF(IFERROR(INDEX(parametros!$H$2:$H$6,MATCH(C3988,parametros!$B$2:$B$6,0)),"")="","",IF(B3988&gt;=IFERROR(INDEX(parametros!$H$2:$H$6,MATCH(C3988,parametros!$B$2:$B$6,0)),""),"Sim","Nao"))))))</f>
        <v/>
      </c>
      <c r="T3988" s="156"/>
      <c r="U3988" s="214" t="str">
        <f t="shared" si="316"/>
        <v/>
      </c>
      <c r="V3988" s="212" t="s">
        <v>50</v>
      </c>
      <c r="W3988" s="100" t="s">
        <v>168</v>
      </c>
      <c r="X3988" s="100" t="s">
        <v>169</v>
      </c>
      <c r="Y3988" s="101" t="s">
        <v>170</v>
      </c>
      <c r="Z3988" s="101" t="s">
        <v>171</v>
      </c>
      <c r="AA3988" s="101" t="s">
        <v>50</v>
      </c>
      <c r="AB3988" s="101" t="s">
        <v>172</v>
      </c>
      <c r="AC3988" s="102" t="s">
        <v>173</v>
      </c>
    </row>
    <row r="3989" spans="1:29" ht="25.5" customHeight="1" x14ac:dyDescent="0.35">
      <c r="A3989" s="392"/>
      <c r="B3989" s="393"/>
      <c r="C3989" s="99" t="str">
        <f>IF(B3989="","",IF(NOT(ISNUMBER(B3989)),"DATA_PC invalida",IF(NOT(ISNUMBER(parametros!$C$2)),"Fora dos ciclos",IF(OR(B3989&lt;parametros!$C$2,(YEAR(B3989)-YEAR(parametros!$C$2))*12+MONTH(B3989)-MONTH(parametros!$C$2)&gt;59),"Fora dos ciclos","C"&amp;INT(((YEAR(B3989)-YEAR(parametros!$C$2))*12+MONTH(B3989)-MONTH(parametros!$C$2))/12)))))</f>
        <v/>
      </c>
      <c r="D3989" s="394"/>
      <c r="E3989" s="78" t="str">
        <f>IF(C3989="","",IFERROR(VLOOKUP(C3989,parametros!$A$11:$E$15,5,0),""))</f>
        <v/>
      </c>
      <c r="F3989" s="79" t="str">
        <f t="shared" si="312"/>
        <v/>
      </c>
      <c r="G3989" s="395"/>
      <c r="H3989" s="91">
        <f t="shared" si="313"/>
        <v>0</v>
      </c>
      <c r="I3989" s="91" t="str">
        <f t="shared" si="314"/>
        <v/>
      </c>
      <c r="J3989" s="91" t="str">
        <f t="shared" si="315"/>
        <v/>
      </c>
      <c r="K3989" s="92" t="str">
        <f>IF(AND(A3989="",B3989="",D3989="",G3989=""),"",IF(AND(A3989&lt;&gt;"",COUNTIF($A$2:$A$5001,A3989)&gt;1),"NUMERO_PC duplicado",IF(B3989="","DATA_PC vazia",IF(NOT(ISNUMBER(B3989)),"DATA_PC invalida",IF(OR(C3989="",C3989="Fora dos ciclos"),"CICLO_PC nao identificado",IF(OR(D3989="",D3989=0),"VALOR_PC vazio ou zero",IF(AND(G3989&lt;&gt;"Sim",G3989&lt;&gt;"Nao",G3989&lt;&gt;""),"PC_PAGO_A_CONTRATADA invalido",IF(AND(C3989&lt;&gt;"C0",IFERROR(INDEX(parametros!$A$2:$A$6,MATCH(C3989,parametros!$B$2:$B$6,0)),"")="Sim",IFERROR(INDEX(parametros!$H$2:$H$6,MATCH(C3989,parametros!$B$2:$B$6,0)),"")=""),"INICIO_EFEITO ausente: PC "&amp;A3989&amp;" - "&amp;C3989,IF(L3989="","EFEITO_PC nao calculado: PC "&amp;A3989&amp;" - "&amp;C3989,"OK")))))))))</f>
        <v/>
      </c>
      <c r="L3989" s="92" t="str">
        <f>IF(AND(A3989="",B3989="",D3989="",G3989=""),"",IF(OR(B3989="",NOT(ISNUMBER(B3989)),C3989="",C3989="Fora dos ciclos"),"",IF(C3989="C0","Nao",IF(IFERROR(INDEX(parametros!$A$2:$A$6,MATCH(C3989,parametros!$B$2:$B$6,0)),"")&lt;&gt;"Sim","Nao",IF(IFERROR(INDEX(parametros!$H$2:$H$6,MATCH(C3989,parametros!$B$2:$B$6,0)),"")="","",IF(B3989&gt;=IFERROR(INDEX(parametros!$H$2:$H$6,MATCH(C3989,parametros!$B$2:$B$6,0)),""),"Sim","Nao"))))))</f>
        <v/>
      </c>
      <c r="T3989" s="156"/>
      <c r="U3989" s="214" t="str">
        <f t="shared" si="316"/>
        <v/>
      </c>
      <c r="V3989" s="212" t="s">
        <v>50</v>
      </c>
      <c r="W3989" s="100" t="s">
        <v>168</v>
      </c>
      <c r="X3989" s="100" t="s">
        <v>169</v>
      </c>
      <c r="Y3989" s="101" t="s">
        <v>170</v>
      </c>
      <c r="Z3989" s="101" t="s">
        <v>171</v>
      </c>
      <c r="AA3989" s="101" t="s">
        <v>50</v>
      </c>
      <c r="AB3989" s="101" t="s">
        <v>172</v>
      </c>
      <c r="AC3989" s="102" t="s">
        <v>173</v>
      </c>
    </row>
    <row r="3990" spans="1:29" ht="25.5" customHeight="1" x14ac:dyDescent="0.35">
      <c r="A3990" s="392"/>
      <c r="B3990" s="393"/>
      <c r="C3990" s="99" t="str">
        <f>IF(B3990="","",IF(NOT(ISNUMBER(B3990)),"DATA_PC invalida",IF(NOT(ISNUMBER(parametros!$C$2)),"Fora dos ciclos",IF(OR(B3990&lt;parametros!$C$2,(YEAR(B3990)-YEAR(parametros!$C$2))*12+MONTH(B3990)-MONTH(parametros!$C$2)&gt;59),"Fora dos ciclos","C"&amp;INT(((YEAR(B3990)-YEAR(parametros!$C$2))*12+MONTH(B3990)-MONTH(parametros!$C$2))/12)))))</f>
        <v/>
      </c>
      <c r="D3990" s="394"/>
      <c r="E3990" s="78" t="str">
        <f>IF(C3990="","",IFERROR(VLOOKUP(C3990,parametros!$A$11:$E$15,5,0),""))</f>
        <v/>
      </c>
      <c r="F3990" s="79" t="str">
        <f t="shared" si="312"/>
        <v/>
      </c>
      <c r="G3990" s="395"/>
      <c r="H3990" s="91">
        <f t="shared" si="313"/>
        <v>0</v>
      </c>
      <c r="I3990" s="91" t="str">
        <f t="shared" si="314"/>
        <v/>
      </c>
      <c r="J3990" s="91" t="str">
        <f t="shared" si="315"/>
        <v/>
      </c>
      <c r="K3990" s="92" t="str">
        <f>IF(AND(A3990="",B3990="",D3990="",G3990=""),"",IF(AND(A3990&lt;&gt;"",COUNTIF($A$2:$A$5001,A3990)&gt;1),"NUMERO_PC duplicado",IF(B3990="","DATA_PC vazia",IF(NOT(ISNUMBER(B3990)),"DATA_PC invalida",IF(OR(C3990="",C3990="Fora dos ciclos"),"CICLO_PC nao identificado",IF(OR(D3990="",D3990=0),"VALOR_PC vazio ou zero",IF(AND(G3990&lt;&gt;"Sim",G3990&lt;&gt;"Nao",G3990&lt;&gt;""),"PC_PAGO_A_CONTRATADA invalido",IF(AND(C3990&lt;&gt;"C0",IFERROR(INDEX(parametros!$A$2:$A$6,MATCH(C3990,parametros!$B$2:$B$6,0)),"")="Sim",IFERROR(INDEX(parametros!$H$2:$H$6,MATCH(C3990,parametros!$B$2:$B$6,0)),"")=""),"INICIO_EFEITO ausente: PC "&amp;A3990&amp;" - "&amp;C3990,IF(L3990="","EFEITO_PC nao calculado: PC "&amp;A3990&amp;" - "&amp;C3990,"OK")))))))))</f>
        <v/>
      </c>
      <c r="L3990" s="92" t="str">
        <f>IF(AND(A3990="",B3990="",D3990="",G3990=""),"",IF(OR(B3990="",NOT(ISNUMBER(B3990)),C3990="",C3990="Fora dos ciclos"),"",IF(C3990="C0","Nao",IF(IFERROR(INDEX(parametros!$A$2:$A$6,MATCH(C3990,parametros!$B$2:$B$6,0)),"")&lt;&gt;"Sim","Nao",IF(IFERROR(INDEX(parametros!$H$2:$H$6,MATCH(C3990,parametros!$B$2:$B$6,0)),"")="","",IF(B3990&gt;=IFERROR(INDEX(parametros!$H$2:$H$6,MATCH(C3990,parametros!$B$2:$B$6,0)),""),"Sim","Nao"))))))</f>
        <v/>
      </c>
      <c r="T3990" s="156"/>
      <c r="U3990" s="214" t="str">
        <f t="shared" si="316"/>
        <v/>
      </c>
      <c r="V3990" s="212" t="s">
        <v>50</v>
      </c>
      <c r="W3990" s="100" t="s">
        <v>168</v>
      </c>
      <c r="X3990" s="100" t="s">
        <v>169</v>
      </c>
      <c r="Y3990" s="101" t="s">
        <v>170</v>
      </c>
      <c r="Z3990" s="101" t="s">
        <v>171</v>
      </c>
      <c r="AA3990" s="101" t="s">
        <v>50</v>
      </c>
      <c r="AB3990" s="101" t="s">
        <v>172</v>
      </c>
      <c r="AC3990" s="102" t="s">
        <v>173</v>
      </c>
    </row>
    <row r="3991" spans="1:29" ht="25.5" customHeight="1" x14ac:dyDescent="0.35">
      <c r="A3991" s="392"/>
      <c r="B3991" s="393"/>
      <c r="C3991" s="99" t="str">
        <f>IF(B3991="","",IF(NOT(ISNUMBER(B3991)),"DATA_PC invalida",IF(NOT(ISNUMBER(parametros!$C$2)),"Fora dos ciclos",IF(OR(B3991&lt;parametros!$C$2,(YEAR(B3991)-YEAR(parametros!$C$2))*12+MONTH(B3991)-MONTH(parametros!$C$2)&gt;59),"Fora dos ciclos","C"&amp;INT(((YEAR(B3991)-YEAR(parametros!$C$2))*12+MONTH(B3991)-MONTH(parametros!$C$2))/12)))))</f>
        <v/>
      </c>
      <c r="D3991" s="394"/>
      <c r="E3991" s="78" t="str">
        <f>IF(C3991="","",IFERROR(VLOOKUP(C3991,parametros!$A$11:$E$15,5,0),""))</f>
        <v/>
      </c>
      <c r="F3991" s="79" t="str">
        <f t="shared" si="312"/>
        <v/>
      </c>
      <c r="G3991" s="395"/>
      <c r="H3991" s="91">
        <f t="shared" si="313"/>
        <v>0</v>
      </c>
      <c r="I3991" s="91" t="str">
        <f t="shared" si="314"/>
        <v/>
      </c>
      <c r="J3991" s="91" t="str">
        <f t="shared" si="315"/>
        <v/>
      </c>
      <c r="K3991" s="92" t="str">
        <f>IF(AND(A3991="",B3991="",D3991="",G3991=""),"",IF(AND(A3991&lt;&gt;"",COUNTIF($A$2:$A$5001,A3991)&gt;1),"NUMERO_PC duplicado",IF(B3991="","DATA_PC vazia",IF(NOT(ISNUMBER(B3991)),"DATA_PC invalida",IF(OR(C3991="",C3991="Fora dos ciclos"),"CICLO_PC nao identificado",IF(OR(D3991="",D3991=0),"VALOR_PC vazio ou zero",IF(AND(G3991&lt;&gt;"Sim",G3991&lt;&gt;"Nao",G3991&lt;&gt;""),"PC_PAGO_A_CONTRATADA invalido",IF(AND(C3991&lt;&gt;"C0",IFERROR(INDEX(parametros!$A$2:$A$6,MATCH(C3991,parametros!$B$2:$B$6,0)),"")="Sim",IFERROR(INDEX(parametros!$H$2:$H$6,MATCH(C3991,parametros!$B$2:$B$6,0)),"")=""),"INICIO_EFEITO ausente: PC "&amp;A3991&amp;" - "&amp;C3991,IF(L3991="","EFEITO_PC nao calculado: PC "&amp;A3991&amp;" - "&amp;C3991,"OK")))))))))</f>
        <v/>
      </c>
      <c r="L3991" s="92" t="str">
        <f>IF(AND(A3991="",B3991="",D3991="",G3991=""),"",IF(OR(B3991="",NOT(ISNUMBER(B3991)),C3991="",C3991="Fora dos ciclos"),"",IF(C3991="C0","Nao",IF(IFERROR(INDEX(parametros!$A$2:$A$6,MATCH(C3991,parametros!$B$2:$B$6,0)),"")&lt;&gt;"Sim","Nao",IF(IFERROR(INDEX(parametros!$H$2:$H$6,MATCH(C3991,parametros!$B$2:$B$6,0)),"")="","",IF(B3991&gt;=IFERROR(INDEX(parametros!$H$2:$H$6,MATCH(C3991,parametros!$B$2:$B$6,0)),""),"Sim","Nao"))))))</f>
        <v/>
      </c>
      <c r="T3991" s="156"/>
      <c r="U3991" s="214" t="str">
        <f t="shared" si="316"/>
        <v/>
      </c>
      <c r="V3991" s="212" t="s">
        <v>50</v>
      </c>
      <c r="W3991" s="100" t="s">
        <v>168</v>
      </c>
      <c r="X3991" s="100" t="s">
        <v>169</v>
      </c>
      <c r="Y3991" s="101" t="s">
        <v>170</v>
      </c>
      <c r="Z3991" s="101" t="s">
        <v>171</v>
      </c>
      <c r="AA3991" s="101" t="s">
        <v>50</v>
      </c>
      <c r="AB3991" s="101" t="s">
        <v>172</v>
      </c>
      <c r="AC3991" s="102" t="s">
        <v>173</v>
      </c>
    </row>
    <row r="3992" spans="1:29" ht="25.5" customHeight="1" x14ac:dyDescent="0.35">
      <c r="A3992" s="392"/>
      <c r="B3992" s="393"/>
      <c r="C3992" s="99" t="str">
        <f>IF(B3992="","",IF(NOT(ISNUMBER(B3992)),"DATA_PC invalida",IF(NOT(ISNUMBER(parametros!$C$2)),"Fora dos ciclos",IF(OR(B3992&lt;parametros!$C$2,(YEAR(B3992)-YEAR(parametros!$C$2))*12+MONTH(B3992)-MONTH(parametros!$C$2)&gt;59),"Fora dos ciclos","C"&amp;INT(((YEAR(B3992)-YEAR(parametros!$C$2))*12+MONTH(B3992)-MONTH(parametros!$C$2))/12)))))</f>
        <v/>
      </c>
      <c r="D3992" s="394"/>
      <c r="E3992" s="78" t="str">
        <f>IF(C3992="","",IFERROR(VLOOKUP(C3992,parametros!$A$11:$E$15,5,0),""))</f>
        <v/>
      </c>
      <c r="F3992" s="79" t="str">
        <f t="shared" si="312"/>
        <v/>
      </c>
      <c r="G3992" s="395"/>
      <c r="H3992" s="91">
        <f t="shared" si="313"/>
        <v>0</v>
      </c>
      <c r="I3992" s="91" t="str">
        <f t="shared" si="314"/>
        <v/>
      </c>
      <c r="J3992" s="91" t="str">
        <f t="shared" si="315"/>
        <v/>
      </c>
      <c r="K3992" s="92" t="str">
        <f>IF(AND(A3992="",B3992="",D3992="",G3992=""),"",IF(AND(A3992&lt;&gt;"",COUNTIF($A$2:$A$5001,A3992)&gt;1),"NUMERO_PC duplicado",IF(B3992="","DATA_PC vazia",IF(NOT(ISNUMBER(B3992)),"DATA_PC invalida",IF(OR(C3992="",C3992="Fora dos ciclos"),"CICLO_PC nao identificado",IF(OR(D3992="",D3992=0),"VALOR_PC vazio ou zero",IF(AND(G3992&lt;&gt;"Sim",G3992&lt;&gt;"Nao",G3992&lt;&gt;""),"PC_PAGO_A_CONTRATADA invalido",IF(AND(C3992&lt;&gt;"C0",IFERROR(INDEX(parametros!$A$2:$A$6,MATCH(C3992,parametros!$B$2:$B$6,0)),"")="Sim",IFERROR(INDEX(parametros!$H$2:$H$6,MATCH(C3992,parametros!$B$2:$B$6,0)),"")=""),"INICIO_EFEITO ausente: PC "&amp;A3992&amp;" - "&amp;C3992,IF(L3992="","EFEITO_PC nao calculado: PC "&amp;A3992&amp;" - "&amp;C3992,"OK")))))))))</f>
        <v/>
      </c>
      <c r="L3992" s="92" t="str">
        <f>IF(AND(A3992="",B3992="",D3992="",G3992=""),"",IF(OR(B3992="",NOT(ISNUMBER(B3992)),C3992="",C3992="Fora dos ciclos"),"",IF(C3992="C0","Nao",IF(IFERROR(INDEX(parametros!$A$2:$A$6,MATCH(C3992,parametros!$B$2:$B$6,0)),"")&lt;&gt;"Sim","Nao",IF(IFERROR(INDEX(parametros!$H$2:$H$6,MATCH(C3992,parametros!$B$2:$B$6,0)),"")="","",IF(B3992&gt;=IFERROR(INDEX(parametros!$H$2:$H$6,MATCH(C3992,parametros!$B$2:$B$6,0)),""),"Sim","Nao"))))))</f>
        <v/>
      </c>
      <c r="T3992" s="156"/>
      <c r="U3992" s="214" t="str">
        <f t="shared" si="316"/>
        <v/>
      </c>
      <c r="V3992" s="212" t="s">
        <v>50</v>
      </c>
      <c r="W3992" s="100" t="s">
        <v>168</v>
      </c>
      <c r="X3992" s="100" t="s">
        <v>169</v>
      </c>
      <c r="Y3992" s="101" t="s">
        <v>170</v>
      </c>
      <c r="Z3992" s="101" t="s">
        <v>171</v>
      </c>
      <c r="AA3992" s="101" t="s">
        <v>50</v>
      </c>
      <c r="AB3992" s="101" t="s">
        <v>172</v>
      </c>
      <c r="AC3992" s="102" t="s">
        <v>173</v>
      </c>
    </row>
    <row r="3993" spans="1:29" ht="25.5" customHeight="1" x14ac:dyDescent="0.35">
      <c r="A3993" s="392"/>
      <c r="B3993" s="393"/>
      <c r="C3993" s="99" t="str">
        <f>IF(B3993="","",IF(NOT(ISNUMBER(B3993)),"DATA_PC invalida",IF(NOT(ISNUMBER(parametros!$C$2)),"Fora dos ciclos",IF(OR(B3993&lt;parametros!$C$2,(YEAR(B3993)-YEAR(parametros!$C$2))*12+MONTH(B3993)-MONTH(parametros!$C$2)&gt;59),"Fora dos ciclos","C"&amp;INT(((YEAR(B3993)-YEAR(parametros!$C$2))*12+MONTH(B3993)-MONTH(parametros!$C$2))/12)))))</f>
        <v/>
      </c>
      <c r="D3993" s="394"/>
      <c r="E3993" s="78" t="str">
        <f>IF(C3993="","",IFERROR(VLOOKUP(C3993,parametros!$A$11:$E$15,5,0),""))</f>
        <v/>
      </c>
      <c r="F3993" s="79" t="str">
        <f t="shared" si="312"/>
        <v/>
      </c>
      <c r="G3993" s="395"/>
      <c r="H3993" s="91">
        <f t="shared" si="313"/>
        <v>0</v>
      </c>
      <c r="I3993" s="91" t="str">
        <f t="shared" si="314"/>
        <v/>
      </c>
      <c r="J3993" s="91" t="str">
        <f t="shared" si="315"/>
        <v/>
      </c>
      <c r="K3993" s="92" t="str">
        <f>IF(AND(A3993="",B3993="",D3993="",G3993=""),"",IF(AND(A3993&lt;&gt;"",COUNTIF($A$2:$A$5001,A3993)&gt;1),"NUMERO_PC duplicado",IF(B3993="","DATA_PC vazia",IF(NOT(ISNUMBER(B3993)),"DATA_PC invalida",IF(OR(C3993="",C3993="Fora dos ciclos"),"CICLO_PC nao identificado",IF(OR(D3993="",D3993=0),"VALOR_PC vazio ou zero",IF(AND(G3993&lt;&gt;"Sim",G3993&lt;&gt;"Nao",G3993&lt;&gt;""),"PC_PAGO_A_CONTRATADA invalido",IF(AND(C3993&lt;&gt;"C0",IFERROR(INDEX(parametros!$A$2:$A$6,MATCH(C3993,parametros!$B$2:$B$6,0)),"")="Sim",IFERROR(INDEX(parametros!$H$2:$H$6,MATCH(C3993,parametros!$B$2:$B$6,0)),"")=""),"INICIO_EFEITO ausente: PC "&amp;A3993&amp;" - "&amp;C3993,IF(L3993="","EFEITO_PC nao calculado: PC "&amp;A3993&amp;" - "&amp;C3993,"OK")))))))))</f>
        <v/>
      </c>
      <c r="L3993" s="92" t="str">
        <f>IF(AND(A3993="",B3993="",D3993="",G3993=""),"",IF(OR(B3993="",NOT(ISNUMBER(B3993)),C3993="",C3993="Fora dos ciclos"),"",IF(C3993="C0","Nao",IF(IFERROR(INDEX(parametros!$A$2:$A$6,MATCH(C3993,parametros!$B$2:$B$6,0)),"")&lt;&gt;"Sim","Nao",IF(IFERROR(INDEX(parametros!$H$2:$H$6,MATCH(C3993,parametros!$B$2:$B$6,0)),"")="","",IF(B3993&gt;=IFERROR(INDEX(parametros!$H$2:$H$6,MATCH(C3993,parametros!$B$2:$B$6,0)),""),"Sim","Nao"))))))</f>
        <v/>
      </c>
      <c r="T3993" s="156"/>
      <c r="U3993" s="214" t="str">
        <f t="shared" si="316"/>
        <v/>
      </c>
      <c r="V3993" s="212" t="s">
        <v>50</v>
      </c>
      <c r="W3993" s="100" t="s">
        <v>168</v>
      </c>
      <c r="X3993" s="100" t="s">
        <v>169</v>
      </c>
      <c r="Y3993" s="101" t="s">
        <v>170</v>
      </c>
      <c r="Z3993" s="101" t="s">
        <v>171</v>
      </c>
      <c r="AA3993" s="101" t="s">
        <v>50</v>
      </c>
      <c r="AB3993" s="101" t="s">
        <v>172</v>
      </c>
      <c r="AC3993" s="102" t="s">
        <v>173</v>
      </c>
    </row>
    <row r="3994" spans="1:29" ht="25.5" customHeight="1" x14ac:dyDescent="0.35">
      <c r="A3994" s="392"/>
      <c r="B3994" s="393"/>
      <c r="C3994" s="99" t="str">
        <f>IF(B3994="","",IF(NOT(ISNUMBER(B3994)),"DATA_PC invalida",IF(NOT(ISNUMBER(parametros!$C$2)),"Fora dos ciclos",IF(OR(B3994&lt;parametros!$C$2,(YEAR(B3994)-YEAR(parametros!$C$2))*12+MONTH(B3994)-MONTH(parametros!$C$2)&gt;59),"Fora dos ciclos","C"&amp;INT(((YEAR(B3994)-YEAR(parametros!$C$2))*12+MONTH(B3994)-MONTH(parametros!$C$2))/12)))))</f>
        <v/>
      </c>
      <c r="D3994" s="394"/>
      <c r="E3994" s="78" t="str">
        <f>IF(C3994="","",IFERROR(VLOOKUP(C3994,parametros!$A$11:$E$15,5,0),""))</f>
        <v/>
      </c>
      <c r="F3994" s="79" t="str">
        <f t="shared" si="312"/>
        <v/>
      </c>
      <c r="G3994" s="395"/>
      <c r="H3994" s="91">
        <f t="shared" si="313"/>
        <v>0</v>
      </c>
      <c r="I3994" s="91" t="str">
        <f t="shared" si="314"/>
        <v/>
      </c>
      <c r="J3994" s="91" t="str">
        <f t="shared" si="315"/>
        <v/>
      </c>
      <c r="K3994" s="92" t="str">
        <f>IF(AND(A3994="",B3994="",D3994="",G3994=""),"",IF(AND(A3994&lt;&gt;"",COUNTIF($A$2:$A$5001,A3994)&gt;1),"NUMERO_PC duplicado",IF(B3994="","DATA_PC vazia",IF(NOT(ISNUMBER(B3994)),"DATA_PC invalida",IF(OR(C3994="",C3994="Fora dos ciclos"),"CICLO_PC nao identificado",IF(OR(D3994="",D3994=0),"VALOR_PC vazio ou zero",IF(AND(G3994&lt;&gt;"Sim",G3994&lt;&gt;"Nao",G3994&lt;&gt;""),"PC_PAGO_A_CONTRATADA invalido",IF(AND(C3994&lt;&gt;"C0",IFERROR(INDEX(parametros!$A$2:$A$6,MATCH(C3994,parametros!$B$2:$B$6,0)),"")="Sim",IFERROR(INDEX(parametros!$H$2:$H$6,MATCH(C3994,parametros!$B$2:$B$6,0)),"")=""),"INICIO_EFEITO ausente: PC "&amp;A3994&amp;" - "&amp;C3994,IF(L3994="","EFEITO_PC nao calculado: PC "&amp;A3994&amp;" - "&amp;C3994,"OK")))))))))</f>
        <v/>
      </c>
      <c r="L3994" s="92" t="str">
        <f>IF(AND(A3994="",B3994="",D3994="",G3994=""),"",IF(OR(B3994="",NOT(ISNUMBER(B3994)),C3994="",C3994="Fora dos ciclos"),"",IF(C3994="C0","Nao",IF(IFERROR(INDEX(parametros!$A$2:$A$6,MATCH(C3994,parametros!$B$2:$B$6,0)),"")&lt;&gt;"Sim","Nao",IF(IFERROR(INDEX(parametros!$H$2:$H$6,MATCH(C3994,parametros!$B$2:$B$6,0)),"")="","",IF(B3994&gt;=IFERROR(INDEX(parametros!$H$2:$H$6,MATCH(C3994,parametros!$B$2:$B$6,0)),""),"Sim","Nao"))))))</f>
        <v/>
      </c>
      <c r="T3994" s="156"/>
      <c r="U3994" s="214" t="str">
        <f t="shared" si="316"/>
        <v/>
      </c>
      <c r="V3994" s="212" t="s">
        <v>50</v>
      </c>
      <c r="W3994" s="100" t="s">
        <v>168</v>
      </c>
      <c r="X3994" s="100" t="s">
        <v>169</v>
      </c>
      <c r="Y3994" s="101" t="s">
        <v>170</v>
      </c>
      <c r="Z3994" s="101" t="s">
        <v>171</v>
      </c>
      <c r="AA3994" s="101" t="s">
        <v>50</v>
      </c>
      <c r="AB3994" s="101" t="s">
        <v>172</v>
      </c>
      <c r="AC3994" s="102" t="s">
        <v>173</v>
      </c>
    </row>
    <row r="3995" spans="1:29" ht="25.5" customHeight="1" x14ac:dyDescent="0.35">
      <c r="A3995" s="392"/>
      <c r="B3995" s="393"/>
      <c r="C3995" s="99" t="str">
        <f>IF(B3995="","",IF(NOT(ISNUMBER(B3995)),"DATA_PC invalida",IF(NOT(ISNUMBER(parametros!$C$2)),"Fora dos ciclos",IF(OR(B3995&lt;parametros!$C$2,(YEAR(B3995)-YEAR(parametros!$C$2))*12+MONTH(B3995)-MONTH(parametros!$C$2)&gt;59),"Fora dos ciclos","C"&amp;INT(((YEAR(B3995)-YEAR(parametros!$C$2))*12+MONTH(B3995)-MONTH(parametros!$C$2))/12)))))</f>
        <v/>
      </c>
      <c r="D3995" s="394"/>
      <c r="E3995" s="78" t="str">
        <f>IF(C3995="","",IFERROR(VLOOKUP(C3995,parametros!$A$11:$E$15,5,0),""))</f>
        <v/>
      </c>
      <c r="F3995" s="79" t="str">
        <f t="shared" si="312"/>
        <v/>
      </c>
      <c r="G3995" s="395"/>
      <c r="H3995" s="91">
        <f t="shared" si="313"/>
        <v>0</v>
      </c>
      <c r="I3995" s="91" t="str">
        <f t="shared" si="314"/>
        <v/>
      </c>
      <c r="J3995" s="91" t="str">
        <f t="shared" si="315"/>
        <v/>
      </c>
      <c r="K3995" s="92" t="str">
        <f>IF(AND(A3995="",B3995="",D3995="",G3995=""),"",IF(AND(A3995&lt;&gt;"",COUNTIF($A$2:$A$5001,A3995)&gt;1),"NUMERO_PC duplicado",IF(B3995="","DATA_PC vazia",IF(NOT(ISNUMBER(B3995)),"DATA_PC invalida",IF(OR(C3995="",C3995="Fora dos ciclos"),"CICLO_PC nao identificado",IF(OR(D3995="",D3995=0),"VALOR_PC vazio ou zero",IF(AND(G3995&lt;&gt;"Sim",G3995&lt;&gt;"Nao",G3995&lt;&gt;""),"PC_PAGO_A_CONTRATADA invalido",IF(AND(C3995&lt;&gt;"C0",IFERROR(INDEX(parametros!$A$2:$A$6,MATCH(C3995,parametros!$B$2:$B$6,0)),"")="Sim",IFERROR(INDEX(parametros!$H$2:$H$6,MATCH(C3995,parametros!$B$2:$B$6,0)),"")=""),"INICIO_EFEITO ausente: PC "&amp;A3995&amp;" - "&amp;C3995,IF(L3995="","EFEITO_PC nao calculado: PC "&amp;A3995&amp;" - "&amp;C3995,"OK")))))))))</f>
        <v/>
      </c>
      <c r="L3995" s="92" t="str">
        <f>IF(AND(A3995="",B3995="",D3995="",G3995=""),"",IF(OR(B3995="",NOT(ISNUMBER(B3995)),C3995="",C3995="Fora dos ciclos"),"",IF(C3995="C0","Nao",IF(IFERROR(INDEX(parametros!$A$2:$A$6,MATCH(C3995,parametros!$B$2:$B$6,0)),"")&lt;&gt;"Sim","Nao",IF(IFERROR(INDEX(parametros!$H$2:$H$6,MATCH(C3995,parametros!$B$2:$B$6,0)),"")="","",IF(B3995&gt;=IFERROR(INDEX(parametros!$H$2:$H$6,MATCH(C3995,parametros!$B$2:$B$6,0)),""),"Sim","Nao"))))))</f>
        <v/>
      </c>
      <c r="T3995" s="156"/>
      <c r="U3995" s="214" t="str">
        <f t="shared" si="316"/>
        <v/>
      </c>
      <c r="V3995" s="212" t="s">
        <v>50</v>
      </c>
      <c r="W3995" s="100" t="s">
        <v>168</v>
      </c>
      <c r="X3995" s="100" t="s">
        <v>169</v>
      </c>
      <c r="Y3995" s="101" t="s">
        <v>170</v>
      </c>
      <c r="Z3995" s="101" t="s">
        <v>171</v>
      </c>
      <c r="AA3995" s="101" t="s">
        <v>50</v>
      </c>
      <c r="AB3995" s="101" t="s">
        <v>172</v>
      </c>
      <c r="AC3995" s="102" t="s">
        <v>173</v>
      </c>
    </row>
    <row r="3996" spans="1:29" ht="25.5" customHeight="1" x14ac:dyDescent="0.35">
      <c r="A3996" s="392"/>
      <c r="B3996" s="393"/>
      <c r="C3996" s="99" t="str">
        <f>IF(B3996="","",IF(NOT(ISNUMBER(B3996)),"DATA_PC invalida",IF(NOT(ISNUMBER(parametros!$C$2)),"Fora dos ciclos",IF(OR(B3996&lt;parametros!$C$2,(YEAR(B3996)-YEAR(parametros!$C$2))*12+MONTH(B3996)-MONTH(parametros!$C$2)&gt;59),"Fora dos ciclos","C"&amp;INT(((YEAR(B3996)-YEAR(parametros!$C$2))*12+MONTH(B3996)-MONTH(parametros!$C$2))/12)))))</f>
        <v/>
      </c>
      <c r="D3996" s="394"/>
      <c r="E3996" s="78" t="str">
        <f>IF(C3996="","",IFERROR(VLOOKUP(C3996,parametros!$A$11:$E$15,5,0),""))</f>
        <v/>
      </c>
      <c r="F3996" s="79" t="str">
        <f t="shared" si="312"/>
        <v/>
      </c>
      <c r="G3996" s="395"/>
      <c r="H3996" s="91">
        <f t="shared" si="313"/>
        <v>0</v>
      </c>
      <c r="I3996" s="91" t="str">
        <f t="shared" si="314"/>
        <v/>
      </c>
      <c r="J3996" s="91" t="str">
        <f t="shared" si="315"/>
        <v/>
      </c>
      <c r="K3996" s="92" t="str">
        <f>IF(AND(A3996="",B3996="",D3996="",G3996=""),"",IF(AND(A3996&lt;&gt;"",COUNTIF($A$2:$A$5001,A3996)&gt;1),"NUMERO_PC duplicado",IF(B3996="","DATA_PC vazia",IF(NOT(ISNUMBER(B3996)),"DATA_PC invalida",IF(OR(C3996="",C3996="Fora dos ciclos"),"CICLO_PC nao identificado",IF(OR(D3996="",D3996=0),"VALOR_PC vazio ou zero",IF(AND(G3996&lt;&gt;"Sim",G3996&lt;&gt;"Nao",G3996&lt;&gt;""),"PC_PAGO_A_CONTRATADA invalido",IF(AND(C3996&lt;&gt;"C0",IFERROR(INDEX(parametros!$A$2:$A$6,MATCH(C3996,parametros!$B$2:$B$6,0)),"")="Sim",IFERROR(INDEX(parametros!$H$2:$H$6,MATCH(C3996,parametros!$B$2:$B$6,0)),"")=""),"INICIO_EFEITO ausente: PC "&amp;A3996&amp;" - "&amp;C3996,IF(L3996="","EFEITO_PC nao calculado: PC "&amp;A3996&amp;" - "&amp;C3996,"OK")))))))))</f>
        <v/>
      </c>
      <c r="L3996" s="92" t="str">
        <f>IF(AND(A3996="",B3996="",D3996="",G3996=""),"",IF(OR(B3996="",NOT(ISNUMBER(B3996)),C3996="",C3996="Fora dos ciclos"),"",IF(C3996="C0","Nao",IF(IFERROR(INDEX(parametros!$A$2:$A$6,MATCH(C3996,parametros!$B$2:$B$6,0)),"")&lt;&gt;"Sim","Nao",IF(IFERROR(INDEX(parametros!$H$2:$H$6,MATCH(C3996,parametros!$B$2:$B$6,0)),"")="","",IF(B3996&gt;=IFERROR(INDEX(parametros!$H$2:$H$6,MATCH(C3996,parametros!$B$2:$B$6,0)),""),"Sim","Nao"))))))</f>
        <v/>
      </c>
      <c r="T3996" s="156"/>
      <c r="U3996" s="214" t="str">
        <f t="shared" si="316"/>
        <v/>
      </c>
      <c r="V3996" s="212" t="s">
        <v>50</v>
      </c>
      <c r="W3996" s="100" t="s">
        <v>168</v>
      </c>
      <c r="X3996" s="100" t="s">
        <v>169</v>
      </c>
      <c r="Y3996" s="101" t="s">
        <v>170</v>
      </c>
      <c r="Z3996" s="101" t="s">
        <v>171</v>
      </c>
      <c r="AA3996" s="101" t="s">
        <v>50</v>
      </c>
      <c r="AB3996" s="101" t="s">
        <v>172</v>
      </c>
      <c r="AC3996" s="102" t="s">
        <v>173</v>
      </c>
    </row>
    <row r="3997" spans="1:29" ht="25.5" customHeight="1" x14ac:dyDescent="0.35">
      <c r="A3997" s="392"/>
      <c r="B3997" s="393"/>
      <c r="C3997" s="99" t="str">
        <f>IF(B3997="","",IF(NOT(ISNUMBER(B3997)),"DATA_PC invalida",IF(NOT(ISNUMBER(parametros!$C$2)),"Fora dos ciclos",IF(OR(B3997&lt;parametros!$C$2,(YEAR(B3997)-YEAR(parametros!$C$2))*12+MONTH(B3997)-MONTH(parametros!$C$2)&gt;59),"Fora dos ciclos","C"&amp;INT(((YEAR(B3997)-YEAR(parametros!$C$2))*12+MONTH(B3997)-MONTH(parametros!$C$2))/12)))))</f>
        <v/>
      </c>
      <c r="D3997" s="394"/>
      <c r="E3997" s="78" t="str">
        <f>IF(C3997="","",IFERROR(VLOOKUP(C3997,parametros!$A$11:$E$15,5,0),""))</f>
        <v/>
      </c>
      <c r="F3997" s="79" t="str">
        <f t="shared" si="312"/>
        <v/>
      </c>
      <c r="G3997" s="395"/>
      <c r="H3997" s="91">
        <f t="shared" si="313"/>
        <v>0</v>
      </c>
      <c r="I3997" s="91" t="str">
        <f t="shared" si="314"/>
        <v/>
      </c>
      <c r="J3997" s="91" t="str">
        <f t="shared" si="315"/>
        <v/>
      </c>
      <c r="K3997" s="92" t="str">
        <f>IF(AND(A3997="",B3997="",D3997="",G3997=""),"",IF(AND(A3997&lt;&gt;"",COUNTIF($A$2:$A$5001,A3997)&gt;1),"NUMERO_PC duplicado",IF(B3997="","DATA_PC vazia",IF(NOT(ISNUMBER(B3997)),"DATA_PC invalida",IF(OR(C3997="",C3997="Fora dos ciclos"),"CICLO_PC nao identificado",IF(OR(D3997="",D3997=0),"VALOR_PC vazio ou zero",IF(AND(G3997&lt;&gt;"Sim",G3997&lt;&gt;"Nao",G3997&lt;&gt;""),"PC_PAGO_A_CONTRATADA invalido",IF(AND(C3997&lt;&gt;"C0",IFERROR(INDEX(parametros!$A$2:$A$6,MATCH(C3997,parametros!$B$2:$B$6,0)),"")="Sim",IFERROR(INDEX(parametros!$H$2:$H$6,MATCH(C3997,parametros!$B$2:$B$6,0)),"")=""),"INICIO_EFEITO ausente: PC "&amp;A3997&amp;" - "&amp;C3997,IF(L3997="","EFEITO_PC nao calculado: PC "&amp;A3997&amp;" - "&amp;C3997,"OK")))))))))</f>
        <v/>
      </c>
      <c r="L3997" s="92" t="str">
        <f>IF(AND(A3997="",B3997="",D3997="",G3997=""),"",IF(OR(B3997="",NOT(ISNUMBER(B3997)),C3997="",C3997="Fora dos ciclos"),"",IF(C3997="C0","Nao",IF(IFERROR(INDEX(parametros!$A$2:$A$6,MATCH(C3997,parametros!$B$2:$B$6,0)),"")&lt;&gt;"Sim","Nao",IF(IFERROR(INDEX(parametros!$H$2:$H$6,MATCH(C3997,parametros!$B$2:$B$6,0)),"")="","",IF(B3997&gt;=IFERROR(INDEX(parametros!$H$2:$H$6,MATCH(C3997,parametros!$B$2:$B$6,0)),""),"Sim","Nao"))))))</f>
        <v/>
      </c>
      <c r="T3997" s="156"/>
      <c r="U3997" s="214" t="str">
        <f t="shared" si="316"/>
        <v/>
      </c>
      <c r="V3997" s="212" t="s">
        <v>50</v>
      </c>
      <c r="W3997" s="100" t="s">
        <v>168</v>
      </c>
      <c r="X3997" s="100" t="s">
        <v>169</v>
      </c>
      <c r="Y3997" s="101" t="s">
        <v>170</v>
      </c>
      <c r="Z3997" s="101" t="s">
        <v>171</v>
      </c>
      <c r="AA3997" s="101" t="s">
        <v>50</v>
      </c>
      <c r="AB3997" s="101" t="s">
        <v>172</v>
      </c>
      <c r="AC3997" s="102" t="s">
        <v>173</v>
      </c>
    </row>
    <row r="3998" spans="1:29" ht="25.5" customHeight="1" x14ac:dyDescent="0.35">
      <c r="A3998" s="392"/>
      <c r="B3998" s="393"/>
      <c r="C3998" s="99" t="str">
        <f>IF(B3998="","",IF(NOT(ISNUMBER(B3998)),"DATA_PC invalida",IF(NOT(ISNUMBER(parametros!$C$2)),"Fora dos ciclos",IF(OR(B3998&lt;parametros!$C$2,(YEAR(B3998)-YEAR(parametros!$C$2))*12+MONTH(B3998)-MONTH(parametros!$C$2)&gt;59),"Fora dos ciclos","C"&amp;INT(((YEAR(B3998)-YEAR(parametros!$C$2))*12+MONTH(B3998)-MONTH(parametros!$C$2))/12)))))</f>
        <v/>
      </c>
      <c r="D3998" s="394"/>
      <c r="E3998" s="78" t="str">
        <f>IF(C3998="","",IFERROR(VLOOKUP(C3998,parametros!$A$11:$E$15,5,0),""))</f>
        <v/>
      </c>
      <c r="F3998" s="79" t="str">
        <f t="shared" si="312"/>
        <v/>
      </c>
      <c r="G3998" s="395"/>
      <c r="H3998" s="91">
        <f t="shared" si="313"/>
        <v>0</v>
      </c>
      <c r="I3998" s="91" t="str">
        <f t="shared" si="314"/>
        <v/>
      </c>
      <c r="J3998" s="91" t="str">
        <f t="shared" si="315"/>
        <v/>
      </c>
      <c r="K3998" s="92" t="str">
        <f>IF(AND(A3998="",B3998="",D3998="",G3998=""),"",IF(AND(A3998&lt;&gt;"",COUNTIF($A$2:$A$5001,A3998)&gt;1),"NUMERO_PC duplicado",IF(B3998="","DATA_PC vazia",IF(NOT(ISNUMBER(B3998)),"DATA_PC invalida",IF(OR(C3998="",C3998="Fora dos ciclos"),"CICLO_PC nao identificado",IF(OR(D3998="",D3998=0),"VALOR_PC vazio ou zero",IF(AND(G3998&lt;&gt;"Sim",G3998&lt;&gt;"Nao",G3998&lt;&gt;""),"PC_PAGO_A_CONTRATADA invalido",IF(AND(C3998&lt;&gt;"C0",IFERROR(INDEX(parametros!$A$2:$A$6,MATCH(C3998,parametros!$B$2:$B$6,0)),"")="Sim",IFERROR(INDEX(parametros!$H$2:$H$6,MATCH(C3998,parametros!$B$2:$B$6,0)),"")=""),"INICIO_EFEITO ausente: PC "&amp;A3998&amp;" - "&amp;C3998,IF(L3998="","EFEITO_PC nao calculado: PC "&amp;A3998&amp;" - "&amp;C3998,"OK")))))))))</f>
        <v/>
      </c>
      <c r="L3998" s="92" t="str">
        <f>IF(AND(A3998="",B3998="",D3998="",G3998=""),"",IF(OR(B3998="",NOT(ISNUMBER(B3998)),C3998="",C3998="Fora dos ciclos"),"",IF(C3998="C0","Nao",IF(IFERROR(INDEX(parametros!$A$2:$A$6,MATCH(C3998,parametros!$B$2:$B$6,0)),"")&lt;&gt;"Sim","Nao",IF(IFERROR(INDEX(parametros!$H$2:$H$6,MATCH(C3998,parametros!$B$2:$B$6,0)),"")="","",IF(B3998&gt;=IFERROR(INDEX(parametros!$H$2:$H$6,MATCH(C3998,parametros!$B$2:$B$6,0)),""),"Sim","Nao"))))))</f>
        <v/>
      </c>
      <c r="T3998" s="156"/>
      <c r="U3998" s="214" t="str">
        <f t="shared" si="316"/>
        <v/>
      </c>
      <c r="V3998" s="212" t="s">
        <v>50</v>
      </c>
      <c r="W3998" s="100" t="s">
        <v>168</v>
      </c>
      <c r="X3998" s="100" t="s">
        <v>169</v>
      </c>
      <c r="Y3998" s="101" t="s">
        <v>170</v>
      </c>
      <c r="Z3998" s="101" t="s">
        <v>171</v>
      </c>
      <c r="AA3998" s="101" t="s">
        <v>50</v>
      </c>
      <c r="AB3998" s="101" t="s">
        <v>172</v>
      </c>
      <c r="AC3998" s="102" t="s">
        <v>173</v>
      </c>
    </row>
    <row r="3999" spans="1:29" ht="25.5" customHeight="1" x14ac:dyDescent="0.35">
      <c r="A3999" s="392"/>
      <c r="B3999" s="393"/>
      <c r="C3999" s="99" t="str">
        <f>IF(B3999="","",IF(NOT(ISNUMBER(B3999)),"DATA_PC invalida",IF(NOT(ISNUMBER(parametros!$C$2)),"Fora dos ciclos",IF(OR(B3999&lt;parametros!$C$2,(YEAR(B3999)-YEAR(parametros!$C$2))*12+MONTH(B3999)-MONTH(parametros!$C$2)&gt;59),"Fora dos ciclos","C"&amp;INT(((YEAR(B3999)-YEAR(parametros!$C$2))*12+MONTH(B3999)-MONTH(parametros!$C$2))/12)))))</f>
        <v/>
      </c>
      <c r="D3999" s="394"/>
      <c r="E3999" s="78" t="str">
        <f>IF(C3999="","",IFERROR(VLOOKUP(C3999,parametros!$A$11:$E$15,5,0),""))</f>
        <v/>
      </c>
      <c r="F3999" s="79" t="str">
        <f t="shared" si="312"/>
        <v/>
      </c>
      <c r="G3999" s="395"/>
      <c r="H3999" s="91">
        <f t="shared" si="313"/>
        <v>0</v>
      </c>
      <c r="I3999" s="91" t="str">
        <f t="shared" si="314"/>
        <v/>
      </c>
      <c r="J3999" s="91" t="str">
        <f t="shared" si="315"/>
        <v/>
      </c>
      <c r="K3999" s="92" t="str">
        <f>IF(AND(A3999="",B3999="",D3999="",G3999=""),"",IF(AND(A3999&lt;&gt;"",COUNTIF($A$2:$A$5001,A3999)&gt;1),"NUMERO_PC duplicado",IF(B3999="","DATA_PC vazia",IF(NOT(ISNUMBER(B3999)),"DATA_PC invalida",IF(OR(C3999="",C3999="Fora dos ciclos"),"CICLO_PC nao identificado",IF(OR(D3999="",D3999=0),"VALOR_PC vazio ou zero",IF(AND(G3999&lt;&gt;"Sim",G3999&lt;&gt;"Nao",G3999&lt;&gt;""),"PC_PAGO_A_CONTRATADA invalido",IF(AND(C3999&lt;&gt;"C0",IFERROR(INDEX(parametros!$A$2:$A$6,MATCH(C3999,parametros!$B$2:$B$6,0)),"")="Sim",IFERROR(INDEX(parametros!$H$2:$H$6,MATCH(C3999,parametros!$B$2:$B$6,0)),"")=""),"INICIO_EFEITO ausente: PC "&amp;A3999&amp;" - "&amp;C3999,IF(L3999="","EFEITO_PC nao calculado: PC "&amp;A3999&amp;" - "&amp;C3999,"OK")))))))))</f>
        <v/>
      </c>
      <c r="L3999" s="92" t="str">
        <f>IF(AND(A3999="",B3999="",D3999="",G3999=""),"",IF(OR(B3999="",NOT(ISNUMBER(B3999)),C3999="",C3999="Fora dos ciclos"),"",IF(C3999="C0","Nao",IF(IFERROR(INDEX(parametros!$A$2:$A$6,MATCH(C3999,parametros!$B$2:$B$6,0)),"")&lt;&gt;"Sim","Nao",IF(IFERROR(INDEX(parametros!$H$2:$H$6,MATCH(C3999,parametros!$B$2:$B$6,0)),"")="","",IF(B3999&gt;=IFERROR(INDEX(parametros!$H$2:$H$6,MATCH(C3999,parametros!$B$2:$B$6,0)),""),"Sim","Nao"))))))</f>
        <v/>
      </c>
      <c r="T3999" s="156"/>
      <c r="U3999" s="214" t="str">
        <f t="shared" si="316"/>
        <v/>
      </c>
      <c r="V3999" s="212" t="s">
        <v>50</v>
      </c>
      <c r="W3999" s="100" t="s">
        <v>168</v>
      </c>
      <c r="X3999" s="100" t="s">
        <v>169</v>
      </c>
      <c r="Y3999" s="101" t="s">
        <v>170</v>
      </c>
      <c r="Z3999" s="101" t="s">
        <v>171</v>
      </c>
      <c r="AA3999" s="101" t="s">
        <v>50</v>
      </c>
      <c r="AB3999" s="101" t="s">
        <v>172</v>
      </c>
      <c r="AC3999" s="102" t="s">
        <v>173</v>
      </c>
    </row>
    <row r="4000" spans="1:29" ht="25.5" customHeight="1" x14ac:dyDescent="0.35">
      <c r="A4000" s="392"/>
      <c r="B4000" s="393"/>
      <c r="C4000" s="99" t="str">
        <f>IF(B4000="","",IF(NOT(ISNUMBER(B4000)),"DATA_PC invalida",IF(NOT(ISNUMBER(parametros!$C$2)),"Fora dos ciclos",IF(OR(B4000&lt;parametros!$C$2,(YEAR(B4000)-YEAR(parametros!$C$2))*12+MONTH(B4000)-MONTH(parametros!$C$2)&gt;59),"Fora dos ciclos","C"&amp;INT(((YEAR(B4000)-YEAR(parametros!$C$2))*12+MONTH(B4000)-MONTH(parametros!$C$2))/12)))))</f>
        <v/>
      </c>
      <c r="D4000" s="394"/>
      <c r="E4000" s="78" t="str">
        <f>IF(C4000="","",IFERROR(VLOOKUP(C4000,parametros!$A$11:$E$15,5,0),""))</f>
        <v/>
      </c>
      <c r="F4000" s="79" t="str">
        <f t="shared" si="312"/>
        <v/>
      </c>
      <c r="G4000" s="395"/>
      <c r="H4000" s="91">
        <f t="shared" si="313"/>
        <v>0</v>
      </c>
      <c r="I4000" s="91" t="str">
        <f t="shared" si="314"/>
        <v/>
      </c>
      <c r="J4000" s="91" t="str">
        <f t="shared" si="315"/>
        <v/>
      </c>
      <c r="K4000" s="92" t="str">
        <f>IF(AND(A4000="",B4000="",D4000="",G4000=""),"",IF(AND(A4000&lt;&gt;"",COUNTIF($A$2:$A$5001,A4000)&gt;1),"NUMERO_PC duplicado",IF(B4000="","DATA_PC vazia",IF(NOT(ISNUMBER(B4000)),"DATA_PC invalida",IF(OR(C4000="",C4000="Fora dos ciclos"),"CICLO_PC nao identificado",IF(OR(D4000="",D4000=0),"VALOR_PC vazio ou zero",IF(AND(G4000&lt;&gt;"Sim",G4000&lt;&gt;"Nao",G4000&lt;&gt;""),"PC_PAGO_A_CONTRATADA invalido",IF(AND(C4000&lt;&gt;"C0",IFERROR(INDEX(parametros!$A$2:$A$6,MATCH(C4000,parametros!$B$2:$B$6,0)),"")="Sim",IFERROR(INDEX(parametros!$H$2:$H$6,MATCH(C4000,parametros!$B$2:$B$6,0)),"")=""),"INICIO_EFEITO ausente: PC "&amp;A4000&amp;" - "&amp;C4000,IF(L4000="","EFEITO_PC nao calculado: PC "&amp;A4000&amp;" - "&amp;C4000,"OK")))))))))</f>
        <v/>
      </c>
      <c r="L4000" s="92" t="str">
        <f>IF(AND(A4000="",B4000="",D4000="",G4000=""),"",IF(OR(B4000="",NOT(ISNUMBER(B4000)),C4000="",C4000="Fora dos ciclos"),"",IF(C4000="C0","Nao",IF(IFERROR(INDEX(parametros!$A$2:$A$6,MATCH(C4000,parametros!$B$2:$B$6,0)),"")&lt;&gt;"Sim","Nao",IF(IFERROR(INDEX(parametros!$H$2:$H$6,MATCH(C4000,parametros!$B$2:$B$6,0)),"")="","",IF(B4000&gt;=IFERROR(INDEX(parametros!$H$2:$H$6,MATCH(C4000,parametros!$B$2:$B$6,0)),""),"Sim","Nao"))))))</f>
        <v/>
      </c>
      <c r="T4000" s="156"/>
      <c r="U4000" s="214" t="str">
        <f t="shared" si="316"/>
        <v/>
      </c>
      <c r="V4000" s="212" t="s">
        <v>50</v>
      </c>
      <c r="W4000" s="100" t="s">
        <v>168</v>
      </c>
      <c r="X4000" s="100" t="s">
        <v>169</v>
      </c>
      <c r="Y4000" s="101" t="s">
        <v>170</v>
      </c>
      <c r="Z4000" s="101" t="s">
        <v>171</v>
      </c>
      <c r="AA4000" s="101" t="s">
        <v>50</v>
      </c>
      <c r="AB4000" s="101" t="s">
        <v>172</v>
      </c>
      <c r="AC4000" s="102" t="s">
        <v>173</v>
      </c>
    </row>
    <row r="4001" spans="1:29" ht="25.5" customHeight="1" x14ac:dyDescent="0.35">
      <c r="A4001" s="392"/>
      <c r="B4001" s="393"/>
      <c r="C4001" s="99" t="str">
        <f>IF(B4001="","",IF(NOT(ISNUMBER(B4001)),"DATA_PC invalida",IF(NOT(ISNUMBER(parametros!$C$2)),"Fora dos ciclos",IF(OR(B4001&lt;parametros!$C$2,(YEAR(B4001)-YEAR(parametros!$C$2))*12+MONTH(B4001)-MONTH(parametros!$C$2)&gt;59),"Fora dos ciclos","C"&amp;INT(((YEAR(B4001)-YEAR(parametros!$C$2))*12+MONTH(B4001)-MONTH(parametros!$C$2))/12)))))</f>
        <v/>
      </c>
      <c r="D4001" s="394"/>
      <c r="E4001" s="78" t="str">
        <f>IF(C4001="","",IFERROR(VLOOKUP(C4001,parametros!$A$11:$E$15,5,0),""))</f>
        <v/>
      </c>
      <c r="F4001" s="79" t="str">
        <f t="shared" si="312"/>
        <v/>
      </c>
      <c r="G4001" s="395"/>
      <c r="H4001" s="91">
        <f t="shared" si="313"/>
        <v>0</v>
      </c>
      <c r="I4001" s="91" t="str">
        <f t="shared" si="314"/>
        <v/>
      </c>
      <c r="J4001" s="91" t="str">
        <f t="shared" si="315"/>
        <v/>
      </c>
      <c r="K4001" s="92" t="str">
        <f>IF(AND(A4001="",B4001="",D4001="",G4001=""),"",IF(AND(A4001&lt;&gt;"",COUNTIF($A$2:$A$5001,A4001)&gt;1),"NUMERO_PC duplicado",IF(B4001="","DATA_PC vazia",IF(NOT(ISNUMBER(B4001)),"DATA_PC invalida",IF(OR(C4001="",C4001="Fora dos ciclos"),"CICLO_PC nao identificado",IF(OR(D4001="",D4001=0),"VALOR_PC vazio ou zero",IF(AND(G4001&lt;&gt;"Sim",G4001&lt;&gt;"Nao",G4001&lt;&gt;""),"PC_PAGO_A_CONTRATADA invalido",IF(AND(C4001&lt;&gt;"C0",IFERROR(INDEX(parametros!$A$2:$A$6,MATCH(C4001,parametros!$B$2:$B$6,0)),"")="Sim",IFERROR(INDEX(parametros!$H$2:$H$6,MATCH(C4001,parametros!$B$2:$B$6,0)),"")=""),"INICIO_EFEITO ausente: PC "&amp;A4001&amp;" - "&amp;C4001,IF(L4001="","EFEITO_PC nao calculado: PC "&amp;A4001&amp;" - "&amp;C4001,"OK")))))))))</f>
        <v/>
      </c>
      <c r="L4001" s="92" t="str">
        <f>IF(AND(A4001="",B4001="",D4001="",G4001=""),"",IF(OR(B4001="",NOT(ISNUMBER(B4001)),C4001="",C4001="Fora dos ciclos"),"",IF(C4001="C0","Nao",IF(IFERROR(INDEX(parametros!$A$2:$A$6,MATCH(C4001,parametros!$B$2:$B$6,0)),"")&lt;&gt;"Sim","Nao",IF(IFERROR(INDEX(parametros!$H$2:$H$6,MATCH(C4001,parametros!$B$2:$B$6,0)),"")="","",IF(B4001&gt;=IFERROR(INDEX(parametros!$H$2:$H$6,MATCH(C4001,parametros!$B$2:$B$6,0)),""),"Sim","Nao"))))))</f>
        <v/>
      </c>
      <c r="T4001" s="156"/>
      <c r="U4001" s="214" t="str">
        <f t="shared" si="316"/>
        <v/>
      </c>
      <c r="V4001" s="212" t="s">
        <v>50</v>
      </c>
      <c r="W4001" s="100" t="s">
        <v>168</v>
      </c>
      <c r="X4001" s="100" t="s">
        <v>169</v>
      </c>
      <c r="Y4001" s="101" t="s">
        <v>170</v>
      </c>
      <c r="Z4001" s="101" t="s">
        <v>171</v>
      </c>
      <c r="AA4001" s="101" t="s">
        <v>50</v>
      </c>
      <c r="AB4001" s="101" t="s">
        <v>172</v>
      </c>
      <c r="AC4001" s="102" t="s">
        <v>173</v>
      </c>
    </row>
    <row r="4002" spans="1:29" ht="25.5" customHeight="1" x14ac:dyDescent="0.35">
      <c r="A4002" s="392"/>
      <c r="B4002" s="393"/>
      <c r="C4002" s="99" t="str">
        <f>IF(B4002="","",IF(NOT(ISNUMBER(B4002)),"DATA_PC invalida",IF(NOT(ISNUMBER(parametros!$C$2)),"Fora dos ciclos",IF(OR(B4002&lt;parametros!$C$2,(YEAR(B4002)-YEAR(parametros!$C$2))*12+MONTH(B4002)-MONTH(parametros!$C$2)&gt;59),"Fora dos ciclos","C"&amp;INT(((YEAR(B4002)-YEAR(parametros!$C$2))*12+MONTH(B4002)-MONTH(parametros!$C$2))/12)))))</f>
        <v/>
      </c>
      <c r="D4002" s="394"/>
      <c r="E4002" s="78" t="str">
        <f>IF(C4002="","",IFERROR(VLOOKUP(C4002,parametros!$A$11:$E$15,5,0),""))</f>
        <v/>
      </c>
      <c r="F4002" s="79" t="str">
        <f t="shared" si="312"/>
        <v/>
      </c>
      <c r="G4002" s="395"/>
      <c r="H4002" s="91">
        <f t="shared" si="313"/>
        <v>0</v>
      </c>
      <c r="I4002" s="91" t="str">
        <f t="shared" si="314"/>
        <v/>
      </c>
      <c r="J4002" s="91" t="str">
        <f t="shared" si="315"/>
        <v/>
      </c>
      <c r="K4002" s="92" t="str">
        <f>IF(AND(A4002="",B4002="",D4002="",G4002=""),"",IF(AND(A4002&lt;&gt;"",COUNTIF($A$2:$A$5001,A4002)&gt;1),"NUMERO_PC duplicado",IF(B4002="","DATA_PC vazia",IF(NOT(ISNUMBER(B4002)),"DATA_PC invalida",IF(OR(C4002="",C4002="Fora dos ciclos"),"CICLO_PC nao identificado",IF(OR(D4002="",D4002=0),"VALOR_PC vazio ou zero",IF(AND(G4002&lt;&gt;"Sim",G4002&lt;&gt;"Nao",G4002&lt;&gt;""),"PC_PAGO_A_CONTRATADA invalido",IF(AND(C4002&lt;&gt;"C0",IFERROR(INDEX(parametros!$A$2:$A$6,MATCH(C4002,parametros!$B$2:$B$6,0)),"")="Sim",IFERROR(INDEX(parametros!$H$2:$H$6,MATCH(C4002,parametros!$B$2:$B$6,0)),"")=""),"INICIO_EFEITO ausente: PC "&amp;A4002&amp;" - "&amp;C4002,IF(L4002="","EFEITO_PC nao calculado: PC "&amp;A4002&amp;" - "&amp;C4002,"OK")))))))))</f>
        <v/>
      </c>
      <c r="L4002" s="92" t="str">
        <f>IF(AND(A4002="",B4002="",D4002="",G4002=""),"",IF(OR(B4002="",NOT(ISNUMBER(B4002)),C4002="",C4002="Fora dos ciclos"),"",IF(C4002="C0","Nao",IF(IFERROR(INDEX(parametros!$A$2:$A$6,MATCH(C4002,parametros!$B$2:$B$6,0)),"")&lt;&gt;"Sim","Nao",IF(IFERROR(INDEX(parametros!$H$2:$H$6,MATCH(C4002,parametros!$B$2:$B$6,0)),"")="","",IF(B4002&gt;=IFERROR(INDEX(parametros!$H$2:$H$6,MATCH(C4002,parametros!$B$2:$B$6,0)),""),"Sim","Nao"))))))</f>
        <v/>
      </c>
      <c r="T4002" s="156"/>
      <c r="U4002" s="214" t="str">
        <f t="shared" si="316"/>
        <v/>
      </c>
      <c r="V4002" s="212" t="s">
        <v>50</v>
      </c>
      <c r="W4002" s="100" t="s">
        <v>168</v>
      </c>
      <c r="X4002" s="100" t="s">
        <v>169</v>
      </c>
      <c r="Y4002" s="101" t="s">
        <v>170</v>
      </c>
      <c r="Z4002" s="101" t="s">
        <v>171</v>
      </c>
      <c r="AA4002" s="101" t="s">
        <v>50</v>
      </c>
      <c r="AB4002" s="101" t="s">
        <v>172</v>
      </c>
      <c r="AC4002" s="102" t="s">
        <v>173</v>
      </c>
    </row>
    <row r="4003" spans="1:29" ht="25.5" customHeight="1" x14ac:dyDescent="0.35">
      <c r="A4003" s="392"/>
      <c r="B4003" s="393"/>
      <c r="C4003" s="99" t="str">
        <f>IF(B4003="","",IF(NOT(ISNUMBER(B4003)),"DATA_PC invalida",IF(NOT(ISNUMBER(parametros!$C$2)),"Fora dos ciclos",IF(OR(B4003&lt;parametros!$C$2,(YEAR(B4003)-YEAR(parametros!$C$2))*12+MONTH(B4003)-MONTH(parametros!$C$2)&gt;59),"Fora dos ciclos","C"&amp;INT(((YEAR(B4003)-YEAR(parametros!$C$2))*12+MONTH(B4003)-MONTH(parametros!$C$2))/12)))))</f>
        <v/>
      </c>
      <c r="D4003" s="394"/>
      <c r="E4003" s="78" t="str">
        <f>IF(C4003="","",IFERROR(VLOOKUP(C4003,parametros!$A$11:$E$15,5,0),""))</f>
        <v/>
      </c>
      <c r="F4003" s="79" t="str">
        <f t="shared" si="312"/>
        <v/>
      </c>
      <c r="G4003" s="395"/>
      <c r="H4003" s="91">
        <f t="shared" si="313"/>
        <v>0</v>
      </c>
      <c r="I4003" s="91" t="str">
        <f t="shared" si="314"/>
        <v/>
      </c>
      <c r="J4003" s="91" t="str">
        <f t="shared" si="315"/>
        <v/>
      </c>
      <c r="K4003" s="92" t="str">
        <f>IF(AND(A4003="",B4003="",D4003="",G4003=""),"",IF(AND(A4003&lt;&gt;"",COUNTIF($A$2:$A$5001,A4003)&gt;1),"NUMERO_PC duplicado",IF(B4003="","DATA_PC vazia",IF(NOT(ISNUMBER(B4003)),"DATA_PC invalida",IF(OR(C4003="",C4003="Fora dos ciclos"),"CICLO_PC nao identificado",IF(OR(D4003="",D4003=0),"VALOR_PC vazio ou zero",IF(AND(G4003&lt;&gt;"Sim",G4003&lt;&gt;"Nao",G4003&lt;&gt;""),"PC_PAGO_A_CONTRATADA invalido",IF(AND(C4003&lt;&gt;"C0",IFERROR(INDEX(parametros!$A$2:$A$6,MATCH(C4003,parametros!$B$2:$B$6,0)),"")="Sim",IFERROR(INDEX(parametros!$H$2:$H$6,MATCH(C4003,parametros!$B$2:$B$6,0)),"")=""),"INICIO_EFEITO ausente: PC "&amp;A4003&amp;" - "&amp;C4003,IF(L4003="","EFEITO_PC nao calculado: PC "&amp;A4003&amp;" - "&amp;C4003,"OK")))))))))</f>
        <v/>
      </c>
      <c r="L4003" s="92" t="str">
        <f>IF(AND(A4003="",B4003="",D4003="",G4003=""),"",IF(OR(B4003="",NOT(ISNUMBER(B4003)),C4003="",C4003="Fora dos ciclos"),"",IF(C4003="C0","Nao",IF(IFERROR(INDEX(parametros!$A$2:$A$6,MATCH(C4003,parametros!$B$2:$B$6,0)),"")&lt;&gt;"Sim","Nao",IF(IFERROR(INDEX(parametros!$H$2:$H$6,MATCH(C4003,parametros!$B$2:$B$6,0)),"")="","",IF(B4003&gt;=IFERROR(INDEX(parametros!$H$2:$H$6,MATCH(C4003,parametros!$B$2:$B$6,0)),""),"Sim","Nao"))))))</f>
        <v/>
      </c>
      <c r="T4003" s="156"/>
      <c r="U4003" s="214" t="str">
        <f t="shared" si="316"/>
        <v/>
      </c>
      <c r="V4003" s="212" t="s">
        <v>50</v>
      </c>
      <c r="W4003" s="100" t="s">
        <v>168</v>
      </c>
      <c r="X4003" s="100" t="s">
        <v>169</v>
      </c>
      <c r="Y4003" s="101" t="s">
        <v>170</v>
      </c>
      <c r="Z4003" s="101" t="s">
        <v>171</v>
      </c>
      <c r="AA4003" s="101" t="s">
        <v>50</v>
      </c>
      <c r="AB4003" s="101" t="s">
        <v>172</v>
      </c>
      <c r="AC4003" s="102" t="s">
        <v>173</v>
      </c>
    </row>
    <row r="4004" spans="1:29" ht="25.5" customHeight="1" x14ac:dyDescent="0.35">
      <c r="A4004" s="392"/>
      <c r="B4004" s="393"/>
      <c r="C4004" s="99" t="str">
        <f>IF(B4004="","",IF(NOT(ISNUMBER(B4004)),"DATA_PC invalida",IF(NOT(ISNUMBER(parametros!$C$2)),"Fora dos ciclos",IF(OR(B4004&lt;parametros!$C$2,(YEAR(B4004)-YEAR(parametros!$C$2))*12+MONTH(B4004)-MONTH(parametros!$C$2)&gt;59),"Fora dos ciclos","C"&amp;INT(((YEAR(B4004)-YEAR(parametros!$C$2))*12+MONTH(B4004)-MONTH(parametros!$C$2))/12)))))</f>
        <v/>
      </c>
      <c r="D4004" s="394"/>
      <c r="E4004" s="78" t="str">
        <f>IF(C4004="","",IFERROR(VLOOKUP(C4004,parametros!$A$11:$E$15,5,0),""))</f>
        <v/>
      </c>
      <c r="F4004" s="79" t="str">
        <f t="shared" si="312"/>
        <v/>
      </c>
      <c r="G4004" s="395"/>
      <c r="H4004" s="91">
        <f t="shared" si="313"/>
        <v>0</v>
      </c>
      <c r="I4004" s="91" t="str">
        <f t="shared" si="314"/>
        <v/>
      </c>
      <c r="J4004" s="91" t="str">
        <f t="shared" si="315"/>
        <v/>
      </c>
      <c r="K4004" s="92" t="str">
        <f>IF(AND(A4004="",B4004="",D4004="",G4004=""),"",IF(AND(A4004&lt;&gt;"",COUNTIF($A$2:$A$5001,A4004)&gt;1),"NUMERO_PC duplicado",IF(B4004="","DATA_PC vazia",IF(NOT(ISNUMBER(B4004)),"DATA_PC invalida",IF(OR(C4004="",C4004="Fora dos ciclos"),"CICLO_PC nao identificado",IF(OR(D4004="",D4004=0),"VALOR_PC vazio ou zero",IF(AND(G4004&lt;&gt;"Sim",G4004&lt;&gt;"Nao",G4004&lt;&gt;""),"PC_PAGO_A_CONTRATADA invalido",IF(AND(C4004&lt;&gt;"C0",IFERROR(INDEX(parametros!$A$2:$A$6,MATCH(C4004,parametros!$B$2:$B$6,0)),"")="Sim",IFERROR(INDEX(parametros!$H$2:$H$6,MATCH(C4004,parametros!$B$2:$B$6,0)),"")=""),"INICIO_EFEITO ausente: PC "&amp;A4004&amp;" - "&amp;C4004,IF(L4004="","EFEITO_PC nao calculado: PC "&amp;A4004&amp;" - "&amp;C4004,"OK")))))))))</f>
        <v/>
      </c>
      <c r="L4004" s="92" t="str">
        <f>IF(AND(A4004="",B4004="",D4004="",G4004=""),"",IF(OR(B4004="",NOT(ISNUMBER(B4004)),C4004="",C4004="Fora dos ciclos"),"",IF(C4004="C0","Nao",IF(IFERROR(INDEX(parametros!$A$2:$A$6,MATCH(C4004,parametros!$B$2:$B$6,0)),"")&lt;&gt;"Sim","Nao",IF(IFERROR(INDEX(parametros!$H$2:$H$6,MATCH(C4004,parametros!$B$2:$B$6,0)),"")="","",IF(B4004&gt;=IFERROR(INDEX(parametros!$H$2:$H$6,MATCH(C4004,parametros!$B$2:$B$6,0)),""),"Sim","Nao"))))))</f>
        <v/>
      </c>
      <c r="T4004" s="156"/>
      <c r="U4004" s="214" t="str">
        <f t="shared" si="316"/>
        <v/>
      </c>
      <c r="V4004" s="212" t="s">
        <v>50</v>
      </c>
      <c r="W4004" s="100" t="s">
        <v>168</v>
      </c>
      <c r="X4004" s="100" t="s">
        <v>169</v>
      </c>
      <c r="Y4004" s="101" t="s">
        <v>170</v>
      </c>
      <c r="Z4004" s="101" t="s">
        <v>171</v>
      </c>
      <c r="AA4004" s="101" t="s">
        <v>50</v>
      </c>
      <c r="AB4004" s="101" t="s">
        <v>172</v>
      </c>
      <c r="AC4004" s="102" t="s">
        <v>173</v>
      </c>
    </row>
    <row r="4005" spans="1:29" ht="25.5" customHeight="1" x14ac:dyDescent="0.35">
      <c r="A4005" s="392"/>
      <c r="B4005" s="393"/>
      <c r="C4005" s="99" t="str">
        <f>IF(B4005="","",IF(NOT(ISNUMBER(B4005)),"DATA_PC invalida",IF(NOT(ISNUMBER(parametros!$C$2)),"Fora dos ciclos",IF(OR(B4005&lt;parametros!$C$2,(YEAR(B4005)-YEAR(parametros!$C$2))*12+MONTH(B4005)-MONTH(parametros!$C$2)&gt;59),"Fora dos ciclos","C"&amp;INT(((YEAR(B4005)-YEAR(parametros!$C$2))*12+MONTH(B4005)-MONTH(parametros!$C$2))/12)))))</f>
        <v/>
      </c>
      <c r="D4005" s="394"/>
      <c r="E4005" s="78" t="str">
        <f>IF(C4005="","",IFERROR(VLOOKUP(C4005,parametros!$A$11:$E$15,5,0),""))</f>
        <v/>
      </c>
      <c r="F4005" s="79" t="str">
        <f t="shared" si="312"/>
        <v/>
      </c>
      <c r="G4005" s="395"/>
      <c r="H4005" s="91">
        <f t="shared" si="313"/>
        <v>0</v>
      </c>
      <c r="I4005" s="91" t="str">
        <f t="shared" si="314"/>
        <v/>
      </c>
      <c r="J4005" s="91" t="str">
        <f t="shared" si="315"/>
        <v/>
      </c>
      <c r="K4005" s="92" t="str">
        <f>IF(AND(A4005="",B4005="",D4005="",G4005=""),"",IF(AND(A4005&lt;&gt;"",COUNTIF($A$2:$A$5001,A4005)&gt;1),"NUMERO_PC duplicado",IF(B4005="","DATA_PC vazia",IF(NOT(ISNUMBER(B4005)),"DATA_PC invalida",IF(OR(C4005="",C4005="Fora dos ciclos"),"CICLO_PC nao identificado",IF(OR(D4005="",D4005=0),"VALOR_PC vazio ou zero",IF(AND(G4005&lt;&gt;"Sim",G4005&lt;&gt;"Nao",G4005&lt;&gt;""),"PC_PAGO_A_CONTRATADA invalido",IF(AND(C4005&lt;&gt;"C0",IFERROR(INDEX(parametros!$A$2:$A$6,MATCH(C4005,parametros!$B$2:$B$6,0)),"")="Sim",IFERROR(INDEX(parametros!$H$2:$H$6,MATCH(C4005,parametros!$B$2:$B$6,0)),"")=""),"INICIO_EFEITO ausente: PC "&amp;A4005&amp;" - "&amp;C4005,IF(L4005="","EFEITO_PC nao calculado: PC "&amp;A4005&amp;" - "&amp;C4005,"OK")))))))))</f>
        <v/>
      </c>
      <c r="L4005" s="92" t="str">
        <f>IF(AND(A4005="",B4005="",D4005="",G4005=""),"",IF(OR(B4005="",NOT(ISNUMBER(B4005)),C4005="",C4005="Fora dos ciclos"),"",IF(C4005="C0","Nao",IF(IFERROR(INDEX(parametros!$A$2:$A$6,MATCH(C4005,parametros!$B$2:$B$6,0)),"")&lt;&gt;"Sim","Nao",IF(IFERROR(INDEX(parametros!$H$2:$H$6,MATCH(C4005,parametros!$B$2:$B$6,0)),"")="","",IF(B4005&gt;=IFERROR(INDEX(parametros!$H$2:$H$6,MATCH(C4005,parametros!$B$2:$B$6,0)),""),"Sim","Nao"))))))</f>
        <v/>
      </c>
      <c r="T4005" s="156"/>
      <c r="U4005" s="214" t="str">
        <f t="shared" si="316"/>
        <v/>
      </c>
      <c r="V4005" s="212" t="s">
        <v>50</v>
      </c>
      <c r="W4005" s="100" t="s">
        <v>168</v>
      </c>
      <c r="X4005" s="100" t="s">
        <v>169</v>
      </c>
      <c r="Y4005" s="101" t="s">
        <v>170</v>
      </c>
      <c r="Z4005" s="101" t="s">
        <v>171</v>
      </c>
      <c r="AA4005" s="101" t="s">
        <v>50</v>
      </c>
      <c r="AB4005" s="101" t="s">
        <v>172</v>
      </c>
      <c r="AC4005" s="102" t="s">
        <v>173</v>
      </c>
    </row>
    <row r="4006" spans="1:29" ht="25.5" customHeight="1" x14ac:dyDescent="0.35">
      <c r="A4006" s="392"/>
      <c r="B4006" s="393"/>
      <c r="C4006" s="99" t="str">
        <f>IF(B4006="","",IF(NOT(ISNUMBER(B4006)),"DATA_PC invalida",IF(NOT(ISNUMBER(parametros!$C$2)),"Fora dos ciclos",IF(OR(B4006&lt;parametros!$C$2,(YEAR(B4006)-YEAR(parametros!$C$2))*12+MONTH(B4006)-MONTH(parametros!$C$2)&gt;59),"Fora dos ciclos","C"&amp;INT(((YEAR(B4006)-YEAR(parametros!$C$2))*12+MONTH(B4006)-MONTH(parametros!$C$2))/12)))))</f>
        <v/>
      </c>
      <c r="D4006" s="394"/>
      <c r="E4006" s="78" t="str">
        <f>IF(C4006="","",IFERROR(VLOOKUP(C4006,parametros!$A$11:$E$15,5,0),""))</f>
        <v/>
      </c>
      <c r="F4006" s="79" t="str">
        <f t="shared" si="312"/>
        <v/>
      </c>
      <c r="G4006" s="395"/>
      <c r="H4006" s="91">
        <f t="shared" si="313"/>
        <v>0</v>
      </c>
      <c r="I4006" s="91" t="str">
        <f t="shared" si="314"/>
        <v/>
      </c>
      <c r="J4006" s="91" t="str">
        <f t="shared" si="315"/>
        <v/>
      </c>
      <c r="K4006" s="92" t="str">
        <f>IF(AND(A4006="",B4006="",D4006="",G4006=""),"",IF(AND(A4006&lt;&gt;"",COUNTIF($A$2:$A$5001,A4006)&gt;1),"NUMERO_PC duplicado",IF(B4006="","DATA_PC vazia",IF(NOT(ISNUMBER(B4006)),"DATA_PC invalida",IF(OR(C4006="",C4006="Fora dos ciclos"),"CICLO_PC nao identificado",IF(OR(D4006="",D4006=0),"VALOR_PC vazio ou zero",IF(AND(G4006&lt;&gt;"Sim",G4006&lt;&gt;"Nao",G4006&lt;&gt;""),"PC_PAGO_A_CONTRATADA invalido",IF(AND(C4006&lt;&gt;"C0",IFERROR(INDEX(parametros!$A$2:$A$6,MATCH(C4006,parametros!$B$2:$B$6,0)),"")="Sim",IFERROR(INDEX(parametros!$H$2:$H$6,MATCH(C4006,parametros!$B$2:$B$6,0)),"")=""),"INICIO_EFEITO ausente: PC "&amp;A4006&amp;" - "&amp;C4006,IF(L4006="","EFEITO_PC nao calculado: PC "&amp;A4006&amp;" - "&amp;C4006,"OK")))))))))</f>
        <v/>
      </c>
      <c r="L4006" s="92" t="str">
        <f>IF(AND(A4006="",B4006="",D4006="",G4006=""),"",IF(OR(B4006="",NOT(ISNUMBER(B4006)),C4006="",C4006="Fora dos ciclos"),"",IF(C4006="C0","Nao",IF(IFERROR(INDEX(parametros!$A$2:$A$6,MATCH(C4006,parametros!$B$2:$B$6,0)),"")&lt;&gt;"Sim","Nao",IF(IFERROR(INDEX(parametros!$H$2:$H$6,MATCH(C4006,parametros!$B$2:$B$6,0)),"")="","",IF(B4006&gt;=IFERROR(INDEX(parametros!$H$2:$H$6,MATCH(C4006,parametros!$B$2:$B$6,0)),""),"Sim","Nao"))))))</f>
        <v/>
      </c>
      <c r="T4006" s="156"/>
      <c r="U4006" s="214" t="str">
        <f t="shared" si="316"/>
        <v/>
      </c>
      <c r="V4006" s="212" t="s">
        <v>50</v>
      </c>
      <c r="W4006" s="100" t="s">
        <v>168</v>
      </c>
      <c r="X4006" s="100" t="s">
        <v>169</v>
      </c>
      <c r="Y4006" s="101" t="s">
        <v>170</v>
      </c>
      <c r="Z4006" s="101" t="s">
        <v>171</v>
      </c>
      <c r="AA4006" s="101" t="s">
        <v>50</v>
      </c>
      <c r="AB4006" s="101" t="s">
        <v>172</v>
      </c>
      <c r="AC4006" s="102" t="s">
        <v>173</v>
      </c>
    </row>
    <row r="4007" spans="1:29" ht="25.5" customHeight="1" x14ac:dyDescent="0.35">
      <c r="A4007" s="392"/>
      <c r="B4007" s="393"/>
      <c r="C4007" s="99" t="str">
        <f>IF(B4007="","",IF(NOT(ISNUMBER(B4007)),"DATA_PC invalida",IF(NOT(ISNUMBER(parametros!$C$2)),"Fora dos ciclos",IF(OR(B4007&lt;parametros!$C$2,(YEAR(B4007)-YEAR(parametros!$C$2))*12+MONTH(B4007)-MONTH(parametros!$C$2)&gt;59),"Fora dos ciclos","C"&amp;INT(((YEAR(B4007)-YEAR(parametros!$C$2))*12+MONTH(B4007)-MONTH(parametros!$C$2))/12)))))</f>
        <v/>
      </c>
      <c r="D4007" s="394"/>
      <c r="E4007" s="78" t="str">
        <f>IF(C4007="","",IFERROR(VLOOKUP(C4007,parametros!$A$11:$E$15,5,0),""))</f>
        <v/>
      </c>
      <c r="F4007" s="79" t="str">
        <f t="shared" si="312"/>
        <v/>
      </c>
      <c r="G4007" s="395"/>
      <c r="H4007" s="91">
        <f t="shared" si="313"/>
        <v>0</v>
      </c>
      <c r="I4007" s="91" t="str">
        <f t="shared" si="314"/>
        <v/>
      </c>
      <c r="J4007" s="91" t="str">
        <f t="shared" si="315"/>
        <v/>
      </c>
      <c r="K4007" s="92" t="str">
        <f>IF(AND(A4007="",B4007="",D4007="",G4007=""),"",IF(AND(A4007&lt;&gt;"",COUNTIF($A$2:$A$5001,A4007)&gt;1),"NUMERO_PC duplicado",IF(B4007="","DATA_PC vazia",IF(NOT(ISNUMBER(B4007)),"DATA_PC invalida",IF(OR(C4007="",C4007="Fora dos ciclos"),"CICLO_PC nao identificado",IF(OR(D4007="",D4007=0),"VALOR_PC vazio ou zero",IF(AND(G4007&lt;&gt;"Sim",G4007&lt;&gt;"Nao",G4007&lt;&gt;""),"PC_PAGO_A_CONTRATADA invalido",IF(AND(C4007&lt;&gt;"C0",IFERROR(INDEX(parametros!$A$2:$A$6,MATCH(C4007,parametros!$B$2:$B$6,0)),"")="Sim",IFERROR(INDEX(parametros!$H$2:$H$6,MATCH(C4007,parametros!$B$2:$B$6,0)),"")=""),"INICIO_EFEITO ausente: PC "&amp;A4007&amp;" - "&amp;C4007,IF(L4007="","EFEITO_PC nao calculado: PC "&amp;A4007&amp;" - "&amp;C4007,"OK")))))))))</f>
        <v/>
      </c>
      <c r="L4007" s="92" t="str">
        <f>IF(AND(A4007="",B4007="",D4007="",G4007=""),"",IF(OR(B4007="",NOT(ISNUMBER(B4007)),C4007="",C4007="Fora dos ciclos"),"",IF(C4007="C0","Nao",IF(IFERROR(INDEX(parametros!$A$2:$A$6,MATCH(C4007,parametros!$B$2:$B$6,0)),"")&lt;&gt;"Sim","Nao",IF(IFERROR(INDEX(parametros!$H$2:$H$6,MATCH(C4007,parametros!$B$2:$B$6,0)),"")="","",IF(B4007&gt;=IFERROR(INDEX(parametros!$H$2:$H$6,MATCH(C4007,parametros!$B$2:$B$6,0)),""),"Sim","Nao"))))))</f>
        <v/>
      </c>
      <c r="T4007" s="156"/>
      <c r="U4007" s="214" t="str">
        <f t="shared" si="316"/>
        <v/>
      </c>
      <c r="V4007" s="212" t="s">
        <v>50</v>
      </c>
      <c r="W4007" s="100" t="s">
        <v>168</v>
      </c>
      <c r="X4007" s="100" t="s">
        <v>169</v>
      </c>
      <c r="Y4007" s="101" t="s">
        <v>170</v>
      </c>
      <c r="Z4007" s="101" t="s">
        <v>171</v>
      </c>
      <c r="AA4007" s="101" t="s">
        <v>50</v>
      </c>
      <c r="AB4007" s="101" t="s">
        <v>172</v>
      </c>
      <c r="AC4007" s="102" t="s">
        <v>173</v>
      </c>
    </row>
    <row r="4008" spans="1:29" ht="25.5" customHeight="1" x14ac:dyDescent="0.35">
      <c r="A4008" s="392"/>
      <c r="B4008" s="393"/>
      <c r="C4008" s="99" t="str">
        <f>IF(B4008="","",IF(NOT(ISNUMBER(B4008)),"DATA_PC invalida",IF(NOT(ISNUMBER(parametros!$C$2)),"Fora dos ciclos",IF(OR(B4008&lt;parametros!$C$2,(YEAR(B4008)-YEAR(parametros!$C$2))*12+MONTH(B4008)-MONTH(parametros!$C$2)&gt;59),"Fora dos ciclos","C"&amp;INT(((YEAR(B4008)-YEAR(parametros!$C$2))*12+MONTH(B4008)-MONTH(parametros!$C$2))/12)))))</f>
        <v/>
      </c>
      <c r="D4008" s="394"/>
      <c r="E4008" s="78" t="str">
        <f>IF(C4008="","",IFERROR(VLOOKUP(C4008,parametros!$A$11:$E$15,5,0),""))</f>
        <v/>
      </c>
      <c r="F4008" s="79" t="str">
        <f t="shared" si="312"/>
        <v/>
      </c>
      <c r="G4008" s="395"/>
      <c r="H4008" s="91">
        <f t="shared" si="313"/>
        <v>0</v>
      </c>
      <c r="I4008" s="91" t="str">
        <f t="shared" si="314"/>
        <v/>
      </c>
      <c r="J4008" s="91" t="str">
        <f t="shared" si="315"/>
        <v/>
      </c>
      <c r="K4008" s="92" t="str">
        <f>IF(AND(A4008="",B4008="",D4008="",G4008=""),"",IF(AND(A4008&lt;&gt;"",COUNTIF($A$2:$A$5001,A4008)&gt;1),"NUMERO_PC duplicado",IF(B4008="","DATA_PC vazia",IF(NOT(ISNUMBER(B4008)),"DATA_PC invalida",IF(OR(C4008="",C4008="Fora dos ciclos"),"CICLO_PC nao identificado",IF(OR(D4008="",D4008=0),"VALOR_PC vazio ou zero",IF(AND(G4008&lt;&gt;"Sim",G4008&lt;&gt;"Nao",G4008&lt;&gt;""),"PC_PAGO_A_CONTRATADA invalido",IF(AND(C4008&lt;&gt;"C0",IFERROR(INDEX(parametros!$A$2:$A$6,MATCH(C4008,parametros!$B$2:$B$6,0)),"")="Sim",IFERROR(INDEX(parametros!$H$2:$H$6,MATCH(C4008,parametros!$B$2:$B$6,0)),"")=""),"INICIO_EFEITO ausente: PC "&amp;A4008&amp;" - "&amp;C4008,IF(L4008="","EFEITO_PC nao calculado: PC "&amp;A4008&amp;" - "&amp;C4008,"OK")))))))))</f>
        <v/>
      </c>
      <c r="L4008" s="92" t="str">
        <f>IF(AND(A4008="",B4008="",D4008="",G4008=""),"",IF(OR(B4008="",NOT(ISNUMBER(B4008)),C4008="",C4008="Fora dos ciclos"),"",IF(C4008="C0","Nao",IF(IFERROR(INDEX(parametros!$A$2:$A$6,MATCH(C4008,parametros!$B$2:$B$6,0)),"")&lt;&gt;"Sim","Nao",IF(IFERROR(INDEX(parametros!$H$2:$H$6,MATCH(C4008,parametros!$B$2:$B$6,0)),"")="","",IF(B4008&gt;=IFERROR(INDEX(parametros!$H$2:$H$6,MATCH(C4008,parametros!$B$2:$B$6,0)),""),"Sim","Nao"))))))</f>
        <v/>
      </c>
      <c r="T4008" s="156"/>
      <c r="U4008" s="214" t="str">
        <f t="shared" si="316"/>
        <v/>
      </c>
      <c r="V4008" s="212" t="s">
        <v>50</v>
      </c>
      <c r="W4008" s="100" t="s">
        <v>168</v>
      </c>
      <c r="X4008" s="100" t="s">
        <v>169</v>
      </c>
      <c r="Y4008" s="101" t="s">
        <v>170</v>
      </c>
      <c r="Z4008" s="101" t="s">
        <v>171</v>
      </c>
      <c r="AA4008" s="101" t="s">
        <v>50</v>
      </c>
      <c r="AB4008" s="101" t="s">
        <v>172</v>
      </c>
      <c r="AC4008" s="102" t="s">
        <v>173</v>
      </c>
    </row>
    <row r="4009" spans="1:29" ht="25.5" customHeight="1" x14ac:dyDescent="0.35">
      <c r="A4009" s="392"/>
      <c r="B4009" s="393"/>
      <c r="C4009" s="99" t="str">
        <f>IF(B4009="","",IF(NOT(ISNUMBER(B4009)),"DATA_PC invalida",IF(NOT(ISNUMBER(parametros!$C$2)),"Fora dos ciclos",IF(OR(B4009&lt;parametros!$C$2,(YEAR(B4009)-YEAR(parametros!$C$2))*12+MONTH(B4009)-MONTH(parametros!$C$2)&gt;59),"Fora dos ciclos","C"&amp;INT(((YEAR(B4009)-YEAR(parametros!$C$2))*12+MONTH(B4009)-MONTH(parametros!$C$2))/12)))))</f>
        <v/>
      </c>
      <c r="D4009" s="394"/>
      <c r="E4009" s="78" t="str">
        <f>IF(C4009="","",IFERROR(VLOOKUP(C4009,parametros!$A$11:$E$15,5,0),""))</f>
        <v/>
      </c>
      <c r="F4009" s="79" t="str">
        <f t="shared" si="312"/>
        <v/>
      </c>
      <c r="G4009" s="395"/>
      <c r="H4009" s="91">
        <f t="shared" si="313"/>
        <v>0</v>
      </c>
      <c r="I4009" s="91" t="str">
        <f t="shared" si="314"/>
        <v/>
      </c>
      <c r="J4009" s="91" t="str">
        <f t="shared" si="315"/>
        <v/>
      </c>
      <c r="K4009" s="92" t="str">
        <f>IF(AND(A4009="",B4009="",D4009="",G4009=""),"",IF(AND(A4009&lt;&gt;"",COUNTIF($A$2:$A$5001,A4009)&gt;1),"NUMERO_PC duplicado",IF(B4009="","DATA_PC vazia",IF(NOT(ISNUMBER(B4009)),"DATA_PC invalida",IF(OR(C4009="",C4009="Fora dos ciclos"),"CICLO_PC nao identificado",IF(OR(D4009="",D4009=0),"VALOR_PC vazio ou zero",IF(AND(G4009&lt;&gt;"Sim",G4009&lt;&gt;"Nao",G4009&lt;&gt;""),"PC_PAGO_A_CONTRATADA invalido",IF(AND(C4009&lt;&gt;"C0",IFERROR(INDEX(parametros!$A$2:$A$6,MATCH(C4009,parametros!$B$2:$B$6,0)),"")="Sim",IFERROR(INDEX(parametros!$H$2:$H$6,MATCH(C4009,parametros!$B$2:$B$6,0)),"")=""),"INICIO_EFEITO ausente: PC "&amp;A4009&amp;" - "&amp;C4009,IF(L4009="","EFEITO_PC nao calculado: PC "&amp;A4009&amp;" - "&amp;C4009,"OK")))))))))</f>
        <v/>
      </c>
      <c r="L4009" s="92" t="str">
        <f>IF(AND(A4009="",B4009="",D4009="",G4009=""),"",IF(OR(B4009="",NOT(ISNUMBER(B4009)),C4009="",C4009="Fora dos ciclos"),"",IF(C4009="C0","Nao",IF(IFERROR(INDEX(parametros!$A$2:$A$6,MATCH(C4009,parametros!$B$2:$B$6,0)),"")&lt;&gt;"Sim","Nao",IF(IFERROR(INDEX(parametros!$H$2:$H$6,MATCH(C4009,parametros!$B$2:$B$6,0)),"")="","",IF(B4009&gt;=IFERROR(INDEX(parametros!$H$2:$H$6,MATCH(C4009,parametros!$B$2:$B$6,0)),""),"Sim","Nao"))))))</f>
        <v/>
      </c>
      <c r="T4009" s="156"/>
      <c r="U4009" s="214" t="str">
        <f t="shared" si="316"/>
        <v/>
      </c>
      <c r="V4009" s="212" t="s">
        <v>50</v>
      </c>
      <c r="W4009" s="100" t="s">
        <v>168</v>
      </c>
      <c r="X4009" s="100" t="s">
        <v>169</v>
      </c>
      <c r="Y4009" s="101" t="s">
        <v>170</v>
      </c>
      <c r="Z4009" s="101" t="s">
        <v>171</v>
      </c>
      <c r="AA4009" s="101" t="s">
        <v>50</v>
      </c>
      <c r="AB4009" s="101" t="s">
        <v>172</v>
      </c>
      <c r="AC4009" s="102" t="s">
        <v>173</v>
      </c>
    </row>
    <row r="4010" spans="1:29" ht="25.5" customHeight="1" x14ac:dyDescent="0.35">
      <c r="A4010" s="392"/>
      <c r="B4010" s="393"/>
      <c r="C4010" s="99" t="str">
        <f>IF(B4010="","",IF(NOT(ISNUMBER(B4010)),"DATA_PC invalida",IF(NOT(ISNUMBER(parametros!$C$2)),"Fora dos ciclos",IF(OR(B4010&lt;parametros!$C$2,(YEAR(B4010)-YEAR(parametros!$C$2))*12+MONTH(B4010)-MONTH(parametros!$C$2)&gt;59),"Fora dos ciclos","C"&amp;INT(((YEAR(B4010)-YEAR(parametros!$C$2))*12+MONTH(B4010)-MONTH(parametros!$C$2))/12)))))</f>
        <v/>
      </c>
      <c r="D4010" s="394"/>
      <c r="E4010" s="78" t="str">
        <f>IF(C4010="","",IFERROR(VLOOKUP(C4010,parametros!$A$11:$E$15,5,0),""))</f>
        <v/>
      </c>
      <c r="F4010" s="79" t="str">
        <f t="shared" si="312"/>
        <v/>
      </c>
      <c r="G4010" s="395"/>
      <c r="H4010" s="91">
        <f t="shared" si="313"/>
        <v>0</v>
      </c>
      <c r="I4010" s="91" t="str">
        <f t="shared" si="314"/>
        <v/>
      </c>
      <c r="J4010" s="91" t="str">
        <f t="shared" si="315"/>
        <v/>
      </c>
      <c r="K4010" s="92" t="str">
        <f>IF(AND(A4010="",B4010="",D4010="",G4010=""),"",IF(AND(A4010&lt;&gt;"",COUNTIF($A$2:$A$5001,A4010)&gt;1),"NUMERO_PC duplicado",IF(B4010="","DATA_PC vazia",IF(NOT(ISNUMBER(B4010)),"DATA_PC invalida",IF(OR(C4010="",C4010="Fora dos ciclos"),"CICLO_PC nao identificado",IF(OR(D4010="",D4010=0),"VALOR_PC vazio ou zero",IF(AND(G4010&lt;&gt;"Sim",G4010&lt;&gt;"Nao",G4010&lt;&gt;""),"PC_PAGO_A_CONTRATADA invalido",IF(AND(C4010&lt;&gt;"C0",IFERROR(INDEX(parametros!$A$2:$A$6,MATCH(C4010,parametros!$B$2:$B$6,0)),"")="Sim",IFERROR(INDEX(parametros!$H$2:$H$6,MATCH(C4010,parametros!$B$2:$B$6,0)),"")=""),"INICIO_EFEITO ausente: PC "&amp;A4010&amp;" - "&amp;C4010,IF(L4010="","EFEITO_PC nao calculado: PC "&amp;A4010&amp;" - "&amp;C4010,"OK")))))))))</f>
        <v/>
      </c>
      <c r="L4010" s="92" t="str">
        <f>IF(AND(A4010="",B4010="",D4010="",G4010=""),"",IF(OR(B4010="",NOT(ISNUMBER(B4010)),C4010="",C4010="Fora dos ciclos"),"",IF(C4010="C0","Nao",IF(IFERROR(INDEX(parametros!$A$2:$A$6,MATCH(C4010,parametros!$B$2:$B$6,0)),"")&lt;&gt;"Sim","Nao",IF(IFERROR(INDEX(parametros!$H$2:$H$6,MATCH(C4010,parametros!$B$2:$B$6,0)),"")="","",IF(B4010&gt;=IFERROR(INDEX(parametros!$H$2:$H$6,MATCH(C4010,parametros!$B$2:$B$6,0)),""),"Sim","Nao"))))))</f>
        <v/>
      </c>
      <c r="T4010" s="156"/>
      <c r="U4010" s="214" t="str">
        <f t="shared" si="316"/>
        <v/>
      </c>
      <c r="V4010" s="212" t="s">
        <v>50</v>
      </c>
      <c r="W4010" s="100" t="s">
        <v>168</v>
      </c>
      <c r="X4010" s="100" t="s">
        <v>169</v>
      </c>
      <c r="Y4010" s="101" t="s">
        <v>170</v>
      </c>
      <c r="Z4010" s="101" t="s">
        <v>171</v>
      </c>
      <c r="AA4010" s="101" t="s">
        <v>50</v>
      </c>
      <c r="AB4010" s="101" t="s">
        <v>172</v>
      </c>
      <c r="AC4010" s="102" t="s">
        <v>173</v>
      </c>
    </row>
    <row r="4011" spans="1:29" ht="25.5" customHeight="1" x14ac:dyDescent="0.35">
      <c r="A4011" s="392"/>
      <c r="B4011" s="393"/>
      <c r="C4011" s="99" t="str">
        <f>IF(B4011="","",IF(NOT(ISNUMBER(B4011)),"DATA_PC invalida",IF(NOT(ISNUMBER(parametros!$C$2)),"Fora dos ciclos",IF(OR(B4011&lt;parametros!$C$2,(YEAR(B4011)-YEAR(parametros!$C$2))*12+MONTH(B4011)-MONTH(parametros!$C$2)&gt;59),"Fora dos ciclos","C"&amp;INT(((YEAR(B4011)-YEAR(parametros!$C$2))*12+MONTH(B4011)-MONTH(parametros!$C$2))/12)))))</f>
        <v/>
      </c>
      <c r="D4011" s="394"/>
      <c r="E4011" s="78" t="str">
        <f>IF(C4011="","",IFERROR(VLOOKUP(C4011,parametros!$A$11:$E$15,5,0),""))</f>
        <v/>
      </c>
      <c r="F4011" s="79" t="str">
        <f t="shared" si="312"/>
        <v/>
      </c>
      <c r="G4011" s="395"/>
      <c r="H4011" s="91">
        <f t="shared" si="313"/>
        <v>0</v>
      </c>
      <c r="I4011" s="91" t="str">
        <f t="shared" si="314"/>
        <v/>
      </c>
      <c r="J4011" s="91" t="str">
        <f t="shared" si="315"/>
        <v/>
      </c>
      <c r="K4011" s="92" t="str">
        <f>IF(AND(A4011="",B4011="",D4011="",G4011=""),"",IF(AND(A4011&lt;&gt;"",COUNTIF($A$2:$A$5001,A4011)&gt;1),"NUMERO_PC duplicado",IF(B4011="","DATA_PC vazia",IF(NOT(ISNUMBER(B4011)),"DATA_PC invalida",IF(OR(C4011="",C4011="Fora dos ciclos"),"CICLO_PC nao identificado",IF(OR(D4011="",D4011=0),"VALOR_PC vazio ou zero",IF(AND(G4011&lt;&gt;"Sim",G4011&lt;&gt;"Nao",G4011&lt;&gt;""),"PC_PAGO_A_CONTRATADA invalido",IF(AND(C4011&lt;&gt;"C0",IFERROR(INDEX(parametros!$A$2:$A$6,MATCH(C4011,parametros!$B$2:$B$6,0)),"")="Sim",IFERROR(INDEX(parametros!$H$2:$H$6,MATCH(C4011,parametros!$B$2:$B$6,0)),"")=""),"INICIO_EFEITO ausente: PC "&amp;A4011&amp;" - "&amp;C4011,IF(L4011="","EFEITO_PC nao calculado: PC "&amp;A4011&amp;" - "&amp;C4011,"OK")))))))))</f>
        <v/>
      </c>
      <c r="L4011" s="92" t="str">
        <f>IF(AND(A4011="",B4011="",D4011="",G4011=""),"",IF(OR(B4011="",NOT(ISNUMBER(B4011)),C4011="",C4011="Fora dos ciclos"),"",IF(C4011="C0","Nao",IF(IFERROR(INDEX(parametros!$A$2:$A$6,MATCH(C4011,parametros!$B$2:$B$6,0)),"")&lt;&gt;"Sim","Nao",IF(IFERROR(INDEX(parametros!$H$2:$H$6,MATCH(C4011,parametros!$B$2:$B$6,0)),"")="","",IF(B4011&gt;=IFERROR(INDEX(parametros!$H$2:$H$6,MATCH(C4011,parametros!$B$2:$B$6,0)),""),"Sim","Nao"))))))</f>
        <v/>
      </c>
      <c r="T4011" s="156"/>
      <c r="U4011" s="214" t="str">
        <f t="shared" si="316"/>
        <v/>
      </c>
      <c r="V4011" s="212" t="s">
        <v>50</v>
      </c>
      <c r="W4011" s="100" t="s">
        <v>168</v>
      </c>
      <c r="X4011" s="100" t="s">
        <v>169</v>
      </c>
      <c r="Y4011" s="101" t="s">
        <v>170</v>
      </c>
      <c r="Z4011" s="101" t="s">
        <v>171</v>
      </c>
      <c r="AA4011" s="101" t="s">
        <v>50</v>
      </c>
      <c r="AB4011" s="101" t="s">
        <v>172</v>
      </c>
      <c r="AC4011" s="102" t="s">
        <v>173</v>
      </c>
    </row>
    <row r="4012" spans="1:29" ht="25.5" customHeight="1" x14ac:dyDescent="0.35">
      <c r="A4012" s="392"/>
      <c r="B4012" s="393"/>
      <c r="C4012" s="99" t="str">
        <f>IF(B4012="","",IF(NOT(ISNUMBER(B4012)),"DATA_PC invalida",IF(NOT(ISNUMBER(parametros!$C$2)),"Fora dos ciclos",IF(OR(B4012&lt;parametros!$C$2,(YEAR(B4012)-YEAR(parametros!$C$2))*12+MONTH(B4012)-MONTH(parametros!$C$2)&gt;59),"Fora dos ciclos","C"&amp;INT(((YEAR(B4012)-YEAR(parametros!$C$2))*12+MONTH(B4012)-MONTH(parametros!$C$2))/12)))))</f>
        <v/>
      </c>
      <c r="D4012" s="394"/>
      <c r="E4012" s="78" t="str">
        <f>IF(C4012="","",IFERROR(VLOOKUP(C4012,parametros!$A$11:$E$15,5,0),""))</f>
        <v/>
      </c>
      <c r="F4012" s="79" t="str">
        <f t="shared" si="312"/>
        <v/>
      </c>
      <c r="G4012" s="395"/>
      <c r="H4012" s="91">
        <f t="shared" si="313"/>
        <v>0</v>
      </c>
      <c r="I4012" s="91" t="str">
        <f t="shared" si="314"/>
        <v/>
      </c>
      <c r="J4012" s="91" t="str">
        <f t="shared" si="315"/>
        <v/>
      </c>
      <c r="K4012" s="92" t="str">
        <f>IF(AND(A4012="",B4012="",D4012="",G4012=""),"",IF(AND(A4012&lt;&gt;"",COUNTIF($A$2:$A$5001,A4012)&gt;1),"NUMERO_PC duplicado",IF(B4012="","DATA_PC vazia",IF(NOT(ISNUMBER(B4012)),"DATA_PC invalida",IF(OR(C4012="",C4012="Fora dos ciclos"),"CICLO_PC nao identificado",IF(OR(D4012="",D4012=0),"VALOR_PC vazio ou zero",IF(AND(G4012&lt;&gt;"Sim",G4012&lt;&gt;"Nao",G4012&lt;&gt;""),"PC_PAGO_A_CONTRATADA invalido",IF(AND(C4012&lt;&gt;"C0",IFERROR(INDEX(parametros!$A$2:$A$6,MATCH(C4012,parametros!$B$2:$B$6,0)),"")="Sim",IFERROR(INDEX(parametros!$H$2:$H$6,MATCH(C4012,parametros!$B$2:$B$6,0)),"")=""),"INICIO_EFEITO ausente: PC "&amp;A4012&amp;" - "&amp;C4012,IF(L4012="","EFEITO_PC nao calculado: PC "&amp;A4012&amp;" - "&amp;C4012,"OK")))))))))</f>
        <v/>
      </c>
      <c r="L4012" s="92" t="str">
        <f>IF(AND(A4012="",B4012="",D4012="",G4012=""),"",IF(OR(B4012="",NOT(ISNUMBER(B4012)),C4012="",C4012="Fora dos ciclos"),"",IF(C4012="C0","Nao",IF(IFERROR(INDEX(parametros!$A$2:$A$6,MATCH(C4012,parametros!$B$2:$B$6,0)),"")&lt;&gt;"Sim","Nao",IF(IFERROR(INDEX(parametros!$H$2:$H$6,MATCH(C4012,parametros!$B$2:$B$6,0)),"")="","",IF(B4012&gt;=IFERROR(INDEX(parametros!$H$2:$H$6,MATCH(C4012,parametros!$B$2:$B$6,0)),""),"Sim","Nao"))))))</f>
        <v/>
      </c>
      <c r="T4012" s="156"/>
      <c r="U4012" s="214" t="str">
        <f t="shared" si="316"/>
        <v/>
      </c>
      <c r="V4012" s="212" t="s">
        <v>50</v>
      </c>
      <c r="W4012" s="100" t="s">
        <v>168</v>
      </c>
      <c r="X4012" s="100" t="s">
        <v>169</v>
      </c>
      <c r="Y4012" s="101" t="s">
        <v>170</v>
      </c>
      <c r="Z4012" s="101" t="s">
        <v>171</v>
      </c>
      <c r="AA4012" s="101" t="s">
        <v>50</v>
      </c>
      <c r="AB4012" s="101" t="s">
        <v>172</v>
      </c>
      <c r="AC4012" s="102" t="s">
        <v>173</v>
      </c>
    </row>
    <row r="4013" spans="1:29" ht="25.5" customHeight="1" x14ac:dyDescent="0.35">
      <c r="A4013" s="392"/>
      <c r="B4013" s="393"/>
      <c r="C4013" s="99" t="str">
        <f>IF(B4013="","",IF(NOT(ISNUMBER(B4013)),"DATA_PC invalida",IF(NOT(ISNUMBER(parametros!$C$2)),"Fora dos ciclos",IF(OR(B4013&lt;parametros!$C$2,(YEAR(B4013)-YEAR(parametros!$C$2))*12+MONTH(B4013)-MONTH(parametros!$C$2)&gt;59),"Fora dos ciclos","C"&amp;INT(((YEAR(B4013)-YEAR(parametros!$C$2))*12+MONTH(B4013)-MONTH(parametros!$C$2))/12)))))</f>
        <v/>
      </c>
      <c r="D4013" s="394"/>
      <c r="E4013" s="78" t="str">
        <f>IF(C4013="","",IFERROR(VLOOKUP(C4013,parametros!$A$11:$E$15,5,0),""))</f>
        <v/>
      </c>
      <c r="F4013" s="79" t="str">
        <f t="shared" si="312"/>
        <v/>
      </c>
      <c r="G4013" s="395"/>
      <c r="H4013" s="91">
        <f t="shared" si="313"/>
        <v>0</v>
      </c>
      <c r="I4013" s="91" t="str">
        <f t="shared" si="314"/>
        <v/>
      </c>
      <c r="J4013" s="91" t="str">
        <f t="shared" si="315"/>
        <v/>
      </c>
      <c r="K4013" s="92" t="str">
        <f>IF(AND(A4013="",B4013="",D4013="",G4013=""),"",IF(AND(A4013&lt;&gt;"",COUNTIF($A$2:$A$5001,A4013)&gt;1),"NUMERO_PC duplicado",IF(B4013="","DATA_PC vazia",IF(NOT(ISNUMBER(B4013)),"DATA_PC invalida",IF(OR(C4013="",C4013="Fora dos ciclos"),"CICLO_PC nao identificado",IF(OR(D4013="",D4013=0),"VALOR_PC vazio ou zero",IF(AND(G4013&lt;&gt;"Sim",G4013&lt;&gt;"Nao",G4013&lt;&gt;""),"PC_PAGO_A_CONTRATADA invalido",IF(AND(C4013&lt;&gt;"C0",IFERROR(INDEX(parametros!$A$2:$A$6,MATCH(C4013,parametros!$B$2:$B$6,0)),"")="Sim",IFERROR(INDEX(parametros!$H$2:$H$6,MATCH(C4013,parametros!$B$2:$B$6,0)),"")=""),"INICIO_EFEITO ausente: PC "&amp;A4013&amp;" - "&amp;C4013,IF(L4013="","EFEITO_PC nao calculado: PC "&amp;A4013&amp;" - "&amp;C4013,"OK")))))))))</f>
        <v/>
      </c>
      <c r="L4013" s="92" t="str">
        <f>IF(AND(A4013="",B4013="",D4013="",G4013=""),"",IF(OR(B4013="",NOT(ISNUMBER(B4013)),C4013="",C4013="Fora dos ciclos"),"",IF(C4013="C0","Nao",IF(IFERROR(INDEX(parametros!$A$2:$A$6,MATCH(C4013,parametros!$B$2:$B$6,0)),"")&lt;&gt;"Sim","Nao",IF(IFERROR(INDEX(parametros!$H$2:$H$6,MATCH(C4013,parametros!$B$2:$B$6,0)),"")="","",IF(B4013&gt;=IFERROR(INDEX(parametros!$H$2:$H$6,MATCH(C4013,parametros!$B$2:$B$6,0)),""),"Sim","Nao"))))))</f>
        <v/>
      </c>
      <c r="T4013" s="156"/>
      <c r="U4013" s="214" t="str">
        <f t="shared" si="316"/>
        <v/>
      </c>
      <c r="V4013" s="212" t="s">
        <v>50</v>
      </c>
      <c r="W4013" s="100" t="s">
        <v>168</v>
      </c>
      <c r="X4013" s="100" t="s">
        <v>169</v>
      </c>
      <c r="Y4013" s="101" t="s">
        <v>170</v>
      </c>
      <c r="Z4013" s="101" t="s">
        <v>171</v>
      </c>
      <c r="AA4013" s="101" t="s">
        <v>50</v>
      </c>
      <c r="AB4013" s="101" t="s">
        <v>172</v>
      </c>
      <c r="AC4013" s="102" t="s">
        <v>173</v>
      </c>
    </row>
    <row r="4014" spans="1:29" ht="25.5" customHeight="1" x14ac:dyDescent="0.35">
      <c r="A4014" s="392"/>
      <c r="B4014" s="393"/>
      <c r="C4014" s="99" t="str">
        <f>IF(B4014="","",IF(NOT(ISNUMBER(B4014)),"DATA_PC invalida",IF(NOT(ISNUMBER(parametros!$C$2)),"Fora dos ciclos",IF(OR(B4014&lt;parametros!$C$2,(YEAR(B4014)-YEAR(parametros!$C$2))*12+MONTH(B4014)-MONTH(parametros!$C$2)&gt;59),"Fora dos ciclos","C"&amp;INT(((YEAR(B4014)-YEAR(parametros!$C$2))*12+MONTH(B4014)-MONTH(parametros!$C$2))/12)))))</f>
        <v/>
      </c>
      <c r="D4014" s="394"/>
      <c r="E4014" s="78" t="str">
        <f>IF(C4014="","",IFERROR(VLOOKUP(C4014,parametros!$A$11:$E$15,5,0),""))</f>
        <v/>
      </c>
      <c r="F4014" s="79" t="str">
        <f t="shared" si="312"/>
        <v/>
      </c>
      <c r="G4014" s="395"/>
      <c r="H4014" s="91">
        <f t="shared" si="313"/>
        <v>0</v>
      </c>
      <c r="I4014" s="91" t="str">
        <f t="shared" si="314"/>
        <v/>
      </c>
      <c r="J4014" s="91" t="str">
        <f t="shared" si="315"/>
        <v/>
      </c>
      <c r="K4014" s="92" t="str">
        <f>IF(AND(A4014="",B4014="",D4014="",G4014=""),"",IF(AND(A4014&lt;&gt;"",COUNTIF($A$2:$A$5001,A4014)&gt;1),"NUMERO_PC duplicado",IF(B4014="","DATA_PC vazia",IF(NOT(ISNUMBER(B4014)),"DATA_PC invalida",IF(OR(C4014="",C4014="Fora dos ciclos"),"CICLO_PC nao identificado",IF(OR(D4014="",D4014=0),"VALOR_PC vazio ou zero",IF(AND(G4014&lt;&gt;"Sim",G4014&lt;&gt;"Nao",G4014&lt;&gt;""),"PC_PAGO_A_CONTRATADA invalido",IF(AND(C4014&lt;&gt;"C0",IFERROR(INDEX(parametros!$A$2:$A$6,MATCH(C4014,parametros!$B$2:$B$6,0)),"")="Sim",IFERROR(INDEX(parametros!$H$2:$H$6,MATCH(C4014,parametros!$B$2:$B$6,0)),"")=""),"INICIO_EFEITO ausente: PC "&amp;A4014&amp;" - "&amp;C4014,IF(L4014="","EFEITO_PC nao calculado: PC "&amp;A4014&amp;" - "&amp;C4014,"OK")))))))))</f>
        <v/>
      </c>
      <c r="L4014" s="92" t="str">
        <f>IF(AND(A4014="",B4014="",D4014="",G4014=""),"",IF(OR(B4014="",NOT(ISNUMBER(B4014)),C4014="",C4014="Fora dos ciclos"),"",IF(C4014="C0","Nao",IF(IFERROR(INDEX(parametros!$A$2:$A$6,MATCH(C4014,parametros!$B$2:$B$6,0)),"")&lt;&gt;"Sim","Nao",IF(IFERROR(INDEX(parametros!$H$2:$H$6,MATCH(C4014,parametros!$B$2:$B$6,0)),"")="","",IF(B4014&gt;=IFERROR(INDEX(parametros!$H$2:$H$6,MATCH(C4014,parametros!$B$2:$B$6,0)),""),"Sim","Nao"))))))</f>
        <v/>
      </c>
      <c r="T4014" s="156"/>
      <c r="U4014" s="214" t="str">
        <f t="shared" si="316"/>
        <v/>
      </c>
      <c r="V4014" s="212" t="s">
        <v>50</v>
      </c>
      <c r="W4014" s="100" t="s">
        <v>168</v>
      </c>
      <c r="X4014" s="100" t="s">
        <v>169</v>
      </c>
      <c r="Y4014" s="101" t="s">
        <v>170</v>
      </c>
      <c r="Z4014" s="101" t="s">
        <v>171</v>
      </c>
      <c r="AA4014" s="101" t="s">
        <v>50</v>
      </c>
      <c r="AB4014" s="101" t="s">
        <v>172</v>
      </c>
      <c r="AC4014" s="102" t="s">
        <v>173</v>
      </c>
    </row>
    <row r="4015" spans="1:29" ht="25.5" customHeight="1" x14ac:dyDescent="0.35">
      <c r="A4015" s="392"/>
      <c r="B4015" s="393"/>
      <c r="C4015" s="99" t="str">
        <f>IF(B4015="","",IF(NOT(ISNUMBER(B4015)),"DATA_PC invalida",IF(NOT(ISNUMBER(parametros!$C$2)),"Fora dos ciclos",IF(OR(B4015&lt;parametros!$C$2,(YEAR(B4015)-YEAR(parametros!$C$2))*12+MONTH(B4015)-MONTH(parametros!$C$2)&gt;59),"Fora dos ciclos","C"&amp;INT(((YEAR(B4015)-YEAR(parametros!$C$2))*12+MONTH(B4015)-MONTH(parametros!$C$2))/12)))))</f>
        <v/>
      </c>
      <c r="D4015" s="394"/>
      <c r="E4015" s="78" t="str">
        <f>IF(C4015="","",IFERROR(VLOOKUP(C4015,parametros!$A$11:$E$15,5,0),""))</f>
        <v/>
      </c>
      <c r="F4015" s="79" t="str">
        <f t="shared" si="312"/>
        <v/>
      </c>
      <c r="G4015" s="395"/>
      <c r="H4015" s="91">
        <f t="shared" si="313"/>
        <v>0</v>
      </c>
      <c r="I4015" s="91" t="str">
        <f t="shared" si="314"/>
        <v/>
      </c>
      <c r="J4015" s="91" t="str">
        <f t="shared" si="315"/>
        <v/>
      </c>
      <c r="K4015" s="92" t="str">
        <f>IF(AND(A4015="",B4015="",D4015="",G4015=""),"",IF(AND(A4015&lt;&gt;"",COUNTIF($A$2:$A$5001,A4015)&gt;1),"NUMERO_PC duplicado",IF(B4015="","DATA_PC vazia",IF(NOT(ISNUMBER(B4015)),"DATA_PC invalida",IF(OR(C4015="",C4015="Fora dos ciclos"),"CICLO_PC nao identificado",IF(OR(D4015="",D4015=0),"VALOR_PC vazio ou zero",IF(AND(G4015&lt;&gt;"Sim",G4015&lt;&gt;"Nao",G4015&lt;&gt;""),"PC_PAGO_A_CONTRATADA invalido",IF(AND(C4015&lt;&gt;"C0",IFERROR(INDEX(parametros!$A$2:$A$6,MATCH(C4015,parametros!$B$2:$B$6,0)),"")="Sim",IFERROR(INDEX(parametros!$H$2:$H$6,MATCH(C4015,parametros!$B$2:$B$6,0)),"")=""),"INICIO_EFEITO ausente: PC "&amp;A4015&amp;" - "&amp;C4015,IF(L4015="","EFEITO_PC nao calculado: PC "&amp;A4015&amp;" - "&amp;C4015,"OK")))))))))</f>
        <v/>
      </c>
      <c r="L4015" s="92" t="str">
        <f>IF(AND(A4015="",B4015="",D4015="",G4015=""),"",IF(OR(B4015="",NOT(ISNUMBER(B4015)),C4015="",C4015="Fora dos ciclos"),"",IF(C4015="C0","Nao",IF(IFERROR(INDEX(parametros!$A$2:$A$6,MATCH(C4015,parametros!$B$2:$B$6,0)),"")&lt;&gt;"Sim","Nao",IF(IFERROR(INDEX(parametros!$H$2:$H$6,MATCH(C4015,parametros!$B$2:$B$6,0)),"")="","",IF(B4015&gt;=IFERROR(INDEX(parametros!$H$2:$H$6,MATCH(C4015,parametros!$B$2:$B$6,0)),""),"Sim","Nao"))))))</f>
        <v/>
      </c>
      <c r="T4015" s="156"/>
      <c r="U4015" s="214" t="str">
        <f t="shared" si="316"/>
        <v/>
      </c>
      <c r="V4015" s="212" t="s">
        <v>50</v>
      </c>
      <c r="W4015" s="100" t="s">
        <v>168</v>
      </c>
      <c r="X4015" s="100" t="s">
        <v>169</v>
      </c>
      <c r="Y4015" s="101" t="s">
        <v>170</v>
      </c>
      <c r="Z4015" s="101" t="s">
        <v>171</v>
      </c>
      <c r="AA4015" s="101" t="s">
        <v>50</v>
      </c>
      <c r="AB4015" s="101" t="s">
        <v>172</v>
      </c>
      <c r="AC4015" s="102" t="s">
        <v>173</v>
      </c>
    </row>
    <row r="4016" spans="1:29" ht="25.5" customHeight="1" x14ac:dyDescent="0.35">
      <c r="A4016" s="392"/>
      <c r="B4016" s="393"/>
      <c r="C4016" s="99" t="str">
        <f>IF(B4016="","",IF(NOT(ISNUMBER(B4016)),"DATA_PC invalida",IF(NOT(ISNUMBER(parametros!$C$2)),"Fora dos ciclos",IF(OR(B4016&lt;parametros!$C$2,(YEAR(B4016)-YEAR(parametros!$C$2))*12+MONTH(B4016)-MONTH(parametros!$C$2)&gt;59),"Fora dos ciclos","C"&amp;INT(((YEAR(B4016)-YEAR(parametros!$C$2))*12+MONTH(B4016)-MONTH(parametros!$C$2))/12)))))</f>
        <v/>
      </c>
      <c r="D4016" s="394"/>
      <c r="E4016" s="78" t="str">
        <f>IF(C4016="","",IFERROR(VLOOKUP(C4016,parametros!$A$11:$E$15,5,0),""))</f>
        <v/>
      </c>
      <c r="F4016" s="79" t="str">
        <f t="shared" si="312"/>
        <v/>
      </c>
      <c r="G4016" s="395"/>
      <c r="H4016" s="91">
        <f t="shared" si="313"/>
        <v>0</v>
      </c>
      <c r="I4016" s="91" t="str">
        <f t="shared" si="314"/>
        <v/>
      </c>
      <c r="J4016" s="91" t="str">
        <f t="shared" si="315"/>
        <v/>
      </c>
      <c r="K4016" s="92" t="str">
        <f>IF(AND(A4016="",B4016="",D4016="",G4016=""),"",IF(AND(A4016&lt;&gt;"",COUNTIF($A$2:$A$5001,A4016)&gt;1),"NUMERO_PC duplicado",IF(B4016="","DATA_PC vazia",IF(NOT(ISNUMBER(B4016)),"DATA_PC invalida",IF(OR(C4016="",C4016="Fora dos ciclos"),"CICLO_PC nao identificado",IF(OR(D4016="",D4016=0),"VALOR_PC vazio ou zero",IF(AND(G4016&lt;&gt;"Sim",G4016&lt;&gt;"Nao",G4016&lt;&gt;""),"PC_PAGO_A_CONTRATADA invalido",IF(AND(C4016&lt;&gt;"C0",IFERROR(INDEX(parametros!$A$2:$A$6,MATCH(C4016,parametros!$B$2:$B$6,0)),"")="Sim",IFERROR(INDEX(parametros!$H$2:$H$6,MATCH(C4016,parametros!$B$2:$B$6,0)),"")=""),"INICIO_EFEITO ausente: PC "&amp;A4016&amp;" - "&amp;C4016,IF(L4016="","EFEITO_PC nao calculado: PC "&amp;A4016&amp;" - "&amp;C4016,"OK")))))))))</f>
        <v/>
      </c>
      <c r="L4016" s="92" t="str">
        <f>IF(AND(A4016="",B4016="",D4016="",G4016=""),"",IF(OR(B4016="",NOT(ISNUMBER(B4016)),C4016="",C4016="Fora dos ciclos"),"",IF(C4016="C0","Nao",IF(IFERROR(INDEX(parametros!$A$2:$A$6,MATCH(C4016,parametros!$B$2:$B$6,0)),"")&lt;&gt;"Sim","Nao",IF(IFERROR(INDEX(parametros!$H$2:$H$6,MATCH(C4016,parametros!$B$2:$B$6,0)),"")="","",IF(B4016&gt;=IFERROR(INDEX(parametros!$H$2:$H$6,MATCH(C4016,parametros!$B$2:$B$6,0)),""),"Sim","Nao"))))))</f>
        <v/>
      </c>
      <c r="T4016" s="156"/>
      <c r="U4016" s="214" t="str">
        <f t="shared" si="316"/>
        <v/>
      </c>
      <c r="V4016" s="212" t="s">
        <v>50</v>
      </c>
      <c r="W4016" s="100" t="s">
        <v>168</v>
      </c>
      <c r="X4016" s="100" t="s">
        <v>169</v>
      </c>
      <c r="Y4016" s="101" t="s">
        <v>170</v>
      </c>
      <c r="Z4016" s="101" t="s">
        <v>171</v>
      </c>
      <c r="AA4016" s="101" t="s">
        <v>50</v>
      </c>
      <c r="AB4016" s="101" t="s">
        <v>172</v>
      </c>
      <c r="AC4016" s="102" t="s">
        <v>173</v>
      </c>
    </row>
    <row r="4017" spans="1:29" ht="25.5" customHeight="1" x14ac:dyDescent="0.35">
      <c r="A4017" s="392"/>
      <c r="B4017" s="393"/>
      <c r="C4017" s="99" t="str">
        <f>IF(B4017="","",IF(NOT(ISNUMBER(B4017)),"DATA_PC invalida",IF(NOT(ISNUMBER(parametros!$C$2)),"Fora dos ciclos",IF(OR(B4017&lt;parametros!$C$2,(YEAR(B4017)-YEAR(parametros!$C$2))*12+MONTH(B4017)-MONTH(parametros!$C$2)&gt;59),"Fora dos ciclos","C"&amp;INT(((YEAR(B4017)-YEAR(parametros!$C$2))*12+MONTH(B4017)-MONTH(parametros!$C$2))/12)))))</f>
        <v/>
      </c>
      <c r="D4017" s="394"/>
      <c r="E4017" s="78" t="str">
        <f>IF(C4017="","",IFERROR(VLOOKUP(C4017,parametros!$A$11:$E$15,5,0),""))</f>
        <v/>
      </c>
      <c r="F4017" s="79" t="str">
        <f t="shared" si="312"/>
        <v/>
      </c>
      <c r="G4017" s="395"/>
      <c r="H4017" s="91">
        <f t="shared" si="313"/>
        <v>0</v>
      </c>
      <c r="I4017" s="91" t="str">
        <f t="shared" si="314"/>
        <v/>
      </c>
      <c r="J4017" s="91" t="str">
        <f t="shared" si="315"/>
        <v/>
      </c>
      <c r="K4017" s="92" t="str">
        <f>IF(AND(A4017="",B4017="",D4017="",G4017=""),"",IF(AND(A4017&lt;&gt;"",COUNTIF($A$2:$A$5001,A4017)&gt;1),"NUMERO_PC duplicado",IF(B4017="","DATA_PC vazia",IF(NOT(ISNUMBER(B4017)),"DATA_PC invalida",IF(OR(C4017="",C4017="Fora dos ciclos"),"CICLO_PC nao identificado",IF(OR(D4017="",D4017=0),"VALOR_PC vazio ou zero",IF(AND(G4017&lt;&gt;"Sim",G4017&lt;&gt;"Nao",G4017&lt;&gt;""),"PC_PAGO_A_CONTRATADA invalido",IF(AND(C4017&lt;&gt;"C0",IFERROR(INDEX(parametros!$A$2:$A$6,MATCH(C4017,parametros!$B$2:$B$6,0)),"")="Sim",IFERROR(INDEX(parametros!$H$2:$H$6,MATCH(C4017,parametros!$B$2:$B$6,0)),"")=""),"INICIO_EFEITO ausente: PC "&amp;A4017&amp;" - "&amp;C4017,IF(L4017="","EFEITO_PC nao calculado: PC "&amp;A4017&amp;" - "&amp;C4017,"OK")))))))))</f>
        <v/>
      </c>
      <c r="L4017" s="92" t="str">
        <f>IF(AND(A4017="",B4017="",D4017="",G4017=""),"",IF(OR(B4017="",NOT(ISNUMBER(B4017)),C4017="",C4017="Fora dos ciclos"),"",IF(C4017="C0","Nao",IF(IFERROR(INDEX(parametros!$A$2:$A$6,MATCH(C4017,parametros!$B$2:$B$6,0)),"")&lt;&gt;"Sim","Nao",IF(IFERROR(INDEX(parametros!$H$2:$H$6,MATCH(C4017,parametros!$B$2:$B$6,0)),"")="","",IF(B4017&gt;=IFERROR(INDEX(parametros!$H$2:$H$6,MATCH(C4017,parametros!$B$2:$B$6,0)),""),"Sim","Nao"))))))</f>
        <v/>
      </c>
      <c r="T4017" s="156"/>
      <c r="U4017" s="214" t="str">
        <f t="shared" si="316"/>
        <v/>
      </c>
      <c r="V4017" s="212" t="s">
        <v>50</v>
      </c>
      <c r="W4017" s="100" t="s">
        <v>168</v>
      </c>
      <c r="X4017" s="100" t="s">
        <v>169</v>
      </c>
      <c r="Y4017" s="101" t="s">
        <v>170</v>
      </c>
      <c r="Z4017" s="101" t="s">
        <v>171</v>
      </c>
      <c r="AA4017" s="101" t="s">
        <v>50</v>
      </c>
      <c r="AB4017" s="101" t="s">
        <v>172</v>
      </c>
      <c r="AC4017" s="102" t="s">
        <v>173</v>
      </c>
    </row>
    <row r="4018" spans="1:29" ht="25.5" customHeight="1" x14ac:dyDescent="0.35">
      <c r="A4018" s="392"/>
      <c r="B4018" s="393"/>
      <c r="C4018" s="99" t="str">
        <f>IF(B4018="","",IF(NOT(ISNUMBER(B4018)),"DATA_PC invalida",IF(NOT(ISNUMBER(parametros!$C$2)),"Fora dos ciclos",IF(OR(B4018&lt;parametros!$C$2,(YEAR(B4018)-YEAR(parametros!$C$2))*12+MONTH(B4018)-MONTH(parametros!$C$2)&gt;59),"Fora dos ciclos","C"&amp;INT(((YEAR(B4018)-YEAR(parametros!$C$2))*12+MONTH(B4018)-MONTH(parametros!$C$2))/12)))))</f>
        <v/>
      </c>
      <c r="D4018" s="394"/>
      <c r="E4018" s="78" t="str">
        <f>IF(C4018="","",IFERROR(VLOOKUP(C4018,parametros!$A$11:$E$15,5,0),""))</f>
        <v/>
      </c>
      <c r="F4018" s="79" t="str">
        <f t="shared" si="312"/>
        <v/>
      </c>
      <c r="G4018" s="395"/>
      <c r="H4018" s="91">
        <f t="shared" si="313"/>
        <v>0</v>
      </c>
      <c r="I4018" s="91" t="str">
        <f t="shared" si="314"/>
        <v/>
      </c>
      <c r="J4018" s="91" t="str">
        <f t="shared" si="315"/>
        <v/>
      </c>
      <c r="K4018" s="92" t="str">
        <f>IF(AND(A4018="",B4018="",D4018="",G4018=""),"",IF(AND(A4018&lt;&gt;"",COUNTIF($A$2:$A$5001,A4018)&gt;1),"NUMERO_PC duplicado",IF(B4018="","DATA_PC vazia",IF(NOT(ISNUMBER(B4018)),"DATA_PC invalida",IF(OR(C4018="",C4018="Fora dos ciclos"),"CICLO_PC nao identificado",IF(OR(D4018="",D4018=0),"VALOR_PC vazio ou zero",IF(AND(G4018&lt;&gt;"Sim",G4018&lt;&gt;"Nao",G4018&lt;&gt;""),"PC_PAGO_A_CONTRATADA invalido",IF(AND(C4018&lt;&gt;"C0",IFERROR(INDEX(parametros!$A$2:$A$6,MATCH(C4018,parametros!$B$2:$B$6,0)),"")="Sim",IFERROR(INDEX(parametros!$H$2:$H$6,MATCH(C4018,parametros!$B$2:$B$6,0)),"")=""),"INICIO_EFEITO ausente: PC "&amp;A4018&amp;" - "&amp;C4018,IF(L4018="","EFEITO_PC nao calculado: PC "&amp;A4018&amp;" - "&amp;C4018,"OK")))))))))</f>
        <v/>
      </c>
      <c r="L4018" s="92" t="str">
        <f>IF(AND(A4018="",B4018="",D4018="",G4018=""),"",IF(OR(B4018="",NOT(ISNUMBER(B4018)),C4018="",C4018="Fora dos ciclos"),"",IF(C4018="C0","Nao",IF(IFERROR(INDEX(parametros!$A$2:$A$6,MATCH(C4018,parametros!$B$2:$B$6,0)),"")&lt;&gt;"Sim","Nao",IF(IFERROR(INDEX(parametros!$H$2:$H$6,MATCH(C4018,parametros!$B$2:$B$6,0)),"")="","",IF(B4018&gt;=IFERROR(INDEX(parametros!$H$2:$H$6,MATCH(C4018,parametros!$B$2:$B$6,0)),""),"Sim","Nao"))))))</f>
        <v/>
      </c>
      <c r="T4018" s="156"/>
      <c r="U4018" s="214" t="str">
        <f t="shared" si="316"/>
        <v/>
      </c>
      <c r="V4018" s="212" t="s">
        <v>50</v>
      </c>
      <c r="W4018" s="100" t="s">
        <v>168</v>
      </c>
      <c r="X4018" s="100" t="s">
        <v>169</v>
      </c>
      <c r="Y4018" s="101" t="s">
        <v>170</v>
      </c>
      <c r="Z4018" s="101" t="s">
        <v>171</v>
      </c>
      <c r="AA4018" s="101" t="s">
        <v>50</v>
      </c>
      <c r="AB4018" s="101" t="s">
        <v>172</v>
      </c>
      <c r="AC4018" s="102" t="s">
        <v>173</v>
      </c>
    </row>
    <row r="4019" spans="1:29" ht="25.5" customHeight="1" x14ac:dyDescent="0.35">
      <c r="A4019" s="392"/>
      <c r="B4019" s="393"/>
      <c r="C4019" s="99" t="str">
        <f>IF(B4019="","",IF(NOT(ISNUMBER(B4019)),"DATA_PC invalida",IF(NOT(ISNUMBER(parametros!$C$2)),"Fora dos ciclos",IF(OR(B4019&lt;parametros!$C$2,(YEAR(B4019)-YEAR(parametros!$C$2))*12+MONTH(B4019)-MONTH(parametros!$C$2)&gt;59),"Fora dos ciclos","C"&amp;INT(((YEAR(B4019)-YEAR(parametros!$C$2))*12+MONTH(B4019)-MONTH(parametros!$C$2))/12)))))</f>
        <v/>
      </c>
      <c r="D4019" s="394"/>
      <c r="E4019" s="78" t="str">
        <f>IF(C4019="","",IFERROR(VLOOKUP(C4019,parametros!$A$11:$E$15,5,0),""))</f>
        <v/>
      </c>
      <c r="F4019" s="79" t="str">
        <f t="shared" si="312"/>
        <v/>
      </c>
      <c r="G4019" s="395"/>
      <c r="H4019" s="91">
        <f t="shared" si="313"/>
        <v>0</v>
      </c>
      <c r="I4019" s="91" t="str">
        <f t="shared" si="314"/>
        <v/>
      </c>
      <c r="J4019" s="91" t="str">
        <f t="shared" si="315"/>
        <v/>
      </c>
      <c r="K4019" s="92" t="str">
        <f>IF(AND(A4019="",B4019="",D4019="",G4019=""),"",IF(AND(A4019&lt;&gt;"",COUNTIF($A$2:$A$5001,A4019)&gt;1),"NUMERO_PC duplicado",IF(B4019="","DATA_PC vazia",IF(NOT(ISNUMBER(B4019)),"DATA_PC invalida",IF(OR(C4019="",C4019="Fora dos ciclos"),"CICLO_PC nao identificado",IF(OR(D4019="",D4019=0),"VALOR_PC vazio ou zero",IF(AND(G4019&lt;&gt;"Sim",G4019&lt;&gt;"Nao",G4019&lt;&gt;""),"PC_PAGO_A_CONTRATADA invalido",IF(AND(C4019&lt;&gt;"C0",IFERROR(INDEX(parametros!$A$2:$A$6,MATCH(C4019,parametros!$B$2:$B$6,0)),"")="Sim",IFERROR(INDEX(parametros!$H$2:$H$6,MATCH(C4019,parametros!$B$2:$B$6,0)),"")=""),"INICIO_EFEITO ausente: PC "&amp;A4019&amp;" - "&amp;C4019,IF(L4019="","EFEITO_PC nao calculado: PC "&amp;A4019&amp;" - "&amp;C4019,"OK")))))))))</f>
        <v/>
      </c>
      <c r="L4019" s="92" t="str">
        <f>IF(AND(A4019="",B4019="",D4019="",G4019=""),"",IF(OR(B4019="",NOT(ISNUMBER(B4019)),C4019="",C4019="Fora dos ciclos"),"",IF(C4019="C0","Nao",IF(IFERROR(INDEX(parametros!$A$2:$A$6,MATCH(C4019,parametros!$B$2:$B$6,0)),"")&lt;&gt;"Sim","Nao",IF(IFERROR(INDEX(parametros!$H$2:$H$6,MATCH(C4019,parametros!$B$2:$B$6,0)),"")="","",IF(B4019&gt;=IFERROR(INDEX(parametros!$H$2:$H$6,MATCH(C4019,parametros!$B$2:$B$6,0)),""),"Sim","Nao"))))))</f>
        <v/>
      </c>
      <c r="T4019" s="156"/>
      <c r="U4019" s="214" t="str">
        <f t="shared" si="316"/>
        <v/>
      </c>
      <c r="V4019" s="212" t="s">
        <v>50</v>
      </c>
      <c r="W4019" s="100" t="s">
        <v>168</v>
      </c>
      <c r="X4019" s="100" t="s">
        <v>169</v>
      </c>
      <c r="Y4019" s="101" t="s">
        <v>170</v>
      </c>
      <c r="Z4019" s="101" t="s">
        <v>171</v>
      </c>
      <c r="AA4019" s="101" t="s">
        <v>50</v>
      </c>
      <c r="AB4019" s="101" t="s">
        <v>172</v>
      </c>
      <c r="AC4019" s="102" t="s">
        <v>173</v>
      </c>
    </row>
    <row r="4020" spans="1:29" ht="25.5" customHeight="1" x14ac:dyDescent="0.35">
      <c r="A4020" s="392"/>
      <c r="B4020" s="393"/>
      <c r="C4020" s="99" t="str">
        <f>IF(B4020="","",IF(NOT(ISNUMBER(B4020)),"DATA_PC invalida",IF(NOT(ISNUMBER(parametros!$C$2)),"Fora dos ciclos",IF(OR(B4020&lt;parametros!$C$2,(YEAR(B4020)-YEAR(parametros!$C$2))*12+MONTH(B4020)-MONTH(parametros!$C$2)&gt;59),"Fora dos ciclos","C"&amp;INT(((YEAR(B4020)-YEAR(parametros!$C$2))*12+MONTH(B4020)-MONTH(parametros!$C$2))/12)))))</f>
        <v/>
      </c>
      <c r="D4020" s="394"/>
      <c r="E4020" s="78" t="str">
        <f>IF(C4020="","",IFERROR(VLOOKUP(C4020,parametros!$A$11:$E$15,5,0),""))</f>
        <v/>
      </c>
      <c r="F4020" s="79" t="str">
        <f t="shared" si="312"/>
        <v/>
      </c>
      <c r="G4020" s="395"/>
      <c r="H4020" s="91">
        <f t="shared" si="313"/>
        <v>0</v>
      </c>
      <c r="I4020" s="91" t="str">
        <f t="shared" si="314"/>
        <v/>
      </c>
      <c r="J4020" s="91" t="str">
        <f t="shared" si="315"/>
        <v/>
      </c>
      <c r="K4020" s="92" t="str">
        <f>IF(AND(A4020="",B4020="",D4020="",G4020=""),"",IF(AND(A4020&lt;&gt;"",COUNTIF($A$2:$A$5001,A4020)&gt;1),"NUMERO_PC duplicado",IF(B4020="","DATA_PC vazia",IF(NOT(ISNUMBER(B4020)),"DATA_PC invalida",IF(OR(C4020="",C4020="Fora dos ciclos"),"CICLO_PC nao identificado",IF(OR(D4020="",D4020=0),"VALOR_PC vazio ou zero",IF(AND(G4020&lt;&gt;"Sim",G4020&lt;&gt;"Nao",G4020&lt;&gt;""),"PC_PAGO_A_CONTRATADA invalido",IF(AND(C4020&lt;&gt;"C0",IFERROR(INDEX(parametros!$A$2:$A$6,MATCH(C4020,parametros!$B$2:$B$6,0)),"")="Sim",IFERROR(INDEX(parametros!$H$2:$H$6,MATCH(C4020,parametros!$B$2:$B$6,0)),"")=""),"INICIO_EFEITO ausente: PC "&amp;A4020&amp;" - "&amp;C4020,IF(L4020="","EFEITO_PC nao calculado: PC "&amp;A4020&amp;" - "&amp;C4020,"OK")))))))))</f>
        <v/>
      </c>
      <c r="L4020" s="92" t="str">
        <f>IF(AND(A4020="",B4020="",D4020="",G4020=""),"",IF(OR(B4020="",NOT(ISNUMBER(B4020)),C4020="",C4020="Fora dos ciclos"),"",IF(C4020="C0","Nao",IF(IFERROR(INDEX(parametros!$A$2:$A$6,MATCH(C4020,parametros!$B$2:$B$6,0)),"")&lt;&gt;"Sim","Nao",IF(IFERROR(INDEX(parametros!$H$2:$H$6,MATCH(C4020,parametros!$B$2:$B$6,0)),"")="","",IF(B4020&gt;=IFERROR(INDEX(parametros!$H$2:$H$6,MATCH(C4020,parametros!$B$2:$B$6,0)),""),"Sim","Nao"))))))</f>
        <v/>
      </c>
      <c r="T4020" s="156"/>
      <c r="U4020" s="214" t="str">
        <f t="shared" si="316"/>
        <v/>
      </c>
      <c r="V4020" s="212" t="s">
        <v>50</v>
      </c>
      <c r="W4020" s="100" t="s">
        <v>168</v>
      </c>
      <c r="X4020" s="100" t="s">
        <v>169</v>
      </c>
      <c r="Y4020" s="101" t="s">
        <v>170</v>
      </c>
      <c r="Z4020" s="101" t="s">
        <v>171</v>
      </c>
      <c r="AA4020" s="101" t="s">
        <v>50</v>
      </c>
      <c r="AB4020" s="101" t="s">
        <v>172</v>
      </c>
      <c r="AC4020" s="102" t="s">
        <v>173</v>
      </c>
    </row>
    <row r="4021" spans="1:29" ht="25.5" customHeight="1" x14ac:dyDescent="0.35">
      <c r="A4021" s="392"/>
      <c r="B4021" s="393"/>
      <c r="C4021" s="99" t="str">
        <f>IF(B4021="","",IF(NOT(ISNUMBER(B4021)),"DATA_PC invalida",IF(NOT(ISNUMBER(parametros!$C$2)),"Fora dos ciclos",IF(OR(B4021&lt;parametros!$C$2,(YEAR(B4021)-YEAR(parametros!$C$2))*12+MONTH(B4021)-MONTH(parametros!$C$2)&gt;59),"Fora dos ciclos","C"&amp;INT(((YEAR(B4021)-YEAR(parametros!$C$2))*12+MONTH(B4021)-MONTH(parametros!$C$2))/12)))))</f>
        <v/>
      </c>
      <c r="D4021" s="394"/>
      <c r="E4021" s="78" t="str">
        <f>IF(C4021="","",IFERROR(VLOOKUP(C4021,parametros!$A$11:$E$15,5,0),""))</f>
        <v/>
      </c>
      <c r="F4021" s="79" t="str">
        <f t="shared" si="312"/>
        <v/>
      </c>
      <c r="G4021" s="395"/>
      <c r="H4021" s="91">
        <f t="shared" si="313"/>
        <v>0</v>
      </c>
      <c r="I4021" s="91" t="str">
        <f t="shared" si="314"/>
        <v/>
      </c>
      <c r="J4021" s="91" t="str">
        <f t="shared" si="315"/>
        <v/>
      </c>
      <c r="K4021" s="92" t="str">
        <f>IF(AND(A4021="",B4021="",D4021="",G4021=""),"",IF(AND(A4021&lt;&gt;"",COUNTIF($A$2:$A$5001,A4021)&gt;1),"NUMERO_PC duplicado",IF(B4021="","DATA_PC vazia",IF(NOT(ISNUMBER(B4021)),"DATA_PC invalida",IF(OR(C4021="",C4021="Fora dos ciclos"),"CICLO_PC nao identificado",IF(OR(D4021="",D4021=0),"VALOR_PC vazio ou zero",IF(AND(G4021&lt;&gt;"Sim",G4021&lt;&gt;"Nao",G4021&lt;&gt;""),"PC_PAGO_A_CONTRATADA invalido",IF(AND(C4021&lt;&gt;"C0",IFERROR(INDEX(parametros!$A$2:$A$6,MATCH(C4021,parametros!$B$2:$B$6,0)),"")="Sim",IFERROR(INDEX(parametros!$H$2:$H$6,MATCH(C4021,parametros!$B$2:$B$6,0)),"")=""),"INICIO_EFEITO ausente: PC "&amp;A4021&amp;" - "&amp;C4021,IF(L4021="","EFEITO_PC nao calculado: PC "&amp;A4021&amp;" - "&amp;C4021,"OK")))))))))</f>
        <v/>
      </c>
      <c r="L4021" s="92" t="str">
        <f>IF(AND(A4021="",B4021="",D4021="",G4021=""),"",IF(OR(B4021="",NOT(ISNUMBER(B4021)),C4021="",C4021="Fora dos ciclos"),"",IF(C4021="C0","Nao",IF(IFERROR(INDEX(parametros!$A$2:$A$6,MATCH(C4021,parametros!$B$2:$B$6,0)),"")&lt;&gt;"Sim","Nao",IF(IFERROR(INDEX(parametros!$H$2:$H$6,MATCH(C4021,parametros!$B$2:$B$6,0)),"")="","",IF(B4021&gt;=IFERROR(INDEX(parametros!$H$2:$H$6,MATCH(C4021,parametros!$B$2:$B$6,0)),""),"Sim","Nao"))))))</f>
        <v/>
      </c>
      <c r="T4021" s="156"/>
      <c r="U4021" s="214" t="str">
        <f t="shared" si="316"/>
        <v/>
      </c>
      <c r="V4021" s="212" t="s">
        <v>50</v>
      </c>
      <c r="W4021" s="100" t="s">
        <v>168</v>
      </c>
      <c r="X4021" s="100" t="s">
        <v>169</v>
      </c>
      <c r="Y4021" s="101" t="s">
        <v>170</v>
      </c>
      <c r="Z4021" s="101" t="s">
        <v>171</v>
      </c>
      <c r="AA4021" s="101" t="s">
        <v>50</v>
      </c>
      <c r="AB4021" s="101" t="s">
        <v>172</v>
      </c>
      <c r="AC4021" s="102" t="s">
        <v>173</v>
      </c>
    </row>
    <row r="4022" spans="1:29" ht="25.5" customHeight="1" x14ac:dyDescent="0.35">
      <c r="A4022" s="392"/>
      <c r="B4022" s="393"/>
      <c r="C4022" s="99" t="str">
        <f>IF(B4022="","",IF(NOT(ISNUMBER(B4022)),"DATA_PC invalida",IF(NOT(ISNUMBER(parametros!$C$2)),"Fora dos ciclos",IF(OR(B4022&lt;parametros!$C$2,(YEAR(B4022)-YEAR(parametros!$C$2))*12+MONTH(B4022)-MONTH(parametros!$C$2)&gt;59),"Fora dos ciclos","C"&amp;INT(((YEAR(B4022)-YEAR(parametros!$C$2))*12+MONTH(B4022)-MONTH(parametros!$C$2))/12)))))</f>
        <v/>
      </c>
      <c r="D4022" s="394"/>
      <c r="E4022" s="78" t="str">
        <f>IF(C4022="","",IFERROR(VLOOKUP(C4022,parametros!$A$11:$E$15,5,0),""))</f>
        <v/>
      </c>
      <c r="F4022" s="79" t="str">
        <f t="shared" si="312"/>
        <v/>
      </c>
      <c r="G4022" s="395"/>
      <c r="H4022" s="91">
        <f t="shared" si="313"/>
        <v>0</v>
      </c>
      <c r="I4022" s="91" t="str">
        <f t="shared" si="314"/>
        <v/>
      </c>
      <c r="J4022" s="91" t="str">
        <f t="shared" si="315"/>
        <v/>
      </c>
      <c r="K4022" s="92" t="str">
        <f>IF(AND(A4022="",B4022="",D4022="",G4022=""),"",IF(AND(A4022&lt;&gt;"",COUNTIF($A$2:$A$5001,A4022)&gt;1),"NUMERO_PC duplicado",IF(B4022="","DATA_PC vazia",IF(NOT(ISNUMBER(B4022)),"DATA_PC invalida",IF(OR(C4022="",C4022="Fora dos ciclos"),"CICLO_PC nao identificado",IF(OR(D4022="",D4022=0),"VALOR_PC vazio ou zero",IF(AND(G4022&lt;&gt;"Sim",G4022&lt;&gt;"Nao",G4022&lt;&gt;""),"PC_PAGO_A_CONTRATADA invalido",IF(AND(C4022&lt;&gt;"C0",IFERROR(INDEX(parametros!$A$2:$A$6,MATCH(C4022,parametros!$B$2:$B$6,0)),"")="Sim",IFERROR(INDEX(parametros!$H$2:$H$6,MATCH(C4022,parametros!$B$2:$B$6,0)),"")=""),"INICIO_EFEITO ausente: PC "&amp;A4022&amp;" - "&amp;C4022,IF(L4022="","EFEITO_PC nao calculado: PC "&amp;A4022&amp;" - "&amp;C4022,"OK")))))))))</f>
        <v/>
      </c>
      <c r="L4022" s="92" t="str">
        <f>IF(AND(A4022="",B4022="",D4022="",G4022=""),"",IF(OR(B4022="",NOT(ISNUMBER(B4022)),C4022="",C4022="Fora dos ciclos"),"",IF(C4022="C0","Nao",IF(IFERROR(INDEX(parametros!$A$2:$A$6,MATCH(C4022,parametros!$B$2:$B$6,0)),"")&lt;&gt;"Sim","Nao",IF(IFERROR(INDEX(parametros!$H$2:$H$6,MATCH(C4022,parametros!$B$2:$B$6,0)),"")="","",IF(B4022&gt;=IFERROR(INDEX(parametros!$H$2:$H$6,MATCH(C4022,parametros!$B$2:$B$6,0)),""),"Sim","Nao"))))))</f>
        <v/>
      </c>
      <c r="T4022" s="156"/>
      <c r="U4022" s="214" t="str">
        <f t="shared" si="316"/>
        <v/>
      </c>
      <c r="V4022" s="212" t="s">
        <v>50</v>
      </c>
      <c r="W4022" s="100" t="s">
        <v>168</v>
      </c>
      <c r="X4022" s="100" t="s">
        <v>169</v>
      </c>
      <c r="Y4022" s="101" t="s">
        <v>170</v>
      </c>
      <c r="Z4022" s="101" t="s">
        <v>171</v>
      </c>
      <c r="AA4022" s="101" t="s">
        <v>50</v>
      </c>
      <c r="AB4022" s="101" t="s">
        <v>172</v>
      </c>
      <c r="AC4022" s="102" t="s">
        <v>173</v>
      </c>
    </row>
    <row r="4023" spans="1:29" ht="25.5" customHeight="1" x14ac:dyDescent="0.35">
      <c r="A4023" s="392"/>
      <c r="B4023" s="393"/>
      <c r="C4023" s="99" t="str">
        <f>IF(B4023="","",IF(NOT(ISNUMBER(B4023)),"DATA_PC invalida",IF(NOT(ISNUMBER(parametros!$C$2)),"Fora dos ciclos",IF(OR(B4023&lt;parametros!$C$2,(YEAR(B4023)-YEAR(parametros!$C$2))*12+MONTH(B4023)-MONTH(parametros!$C$2)&gt;59),"Fora dos ciclos","C"&amp;INT(((YEAR(B4023)-YEAR(parametros!$C$2))*12+MONTH(B4023)-MONTH(parametros!$C$2))/12)))))</f>
        <v/>
      </c>
      <c r="D4023" s="394"/>
      <c r="E4023" s="78" t="str">
        <f>IF(C4023="","",IFERROR(VLOOKUP(C4023,parametros!$A$11:$E$15,5,0),""))</f>
        <v/>
      </c>
      <c r="F4023" s="79" t="str">
        <f t="shared" si="312"/>
        <v/>
      </c>
      <c r="G4023" s="395"/>
      <c r="H4023" s="91">
        <f t="shared" si="313"/>
        <v>0</v>
      </c>
      <c r="I4023" s="91" t="str">
        <f t="shared" si="314"/>
        <v/>
      </c>
      <c r="J4023" s="91" t="str">
        <f t="shared" si="315"/>
        <v/>
      </c>
      <c r="K4023" s="92" t="str">
        <f>IF(AND(A4023="",B4023="",D4023="",G4023=""),"",IF(AND(A4023&lt;&gt;"",COUNTIF($A$2:$A$5001,A4023)&gt;1),"NUMERO_PC duplicado",IF(B4023="","DATA_PC vazia",IF(NOT(ISNUMBER(B4023)),"DATA_PC invalida",IF(OR(C4023="",C4023="Fora dos ciclos"),"CICLO_PC nao identificado",IF(OR(D4023="",D4023=0),"VALOR_PC vazio ou zero",IF(AND(G4023&lt;&gt;"Sim",G4023&lt;&gt;"Nao",G4023&lt;&gt;""),"PC_PAGO_A_CONTRATADA invalido",IF(AND(C4023&lt;&gt;"C0",IFERROR(INDEX(parametros!$A$2:$A$6,MATCH(C4023,parametros!$B$2:$B$6,0)),"")="Sim",IFERROR(INDEX(parametros!$H$2:$H$6,MATCH(C4023,parametros!$B$2:$B$6,0)),"")=""),"INICIO_EFEITO ausente: PC "&amp;A4023&amp;" - "&amp;C4023,IF(L4023="","EFEITO_PC nao calculado: PC "&amp;A4023&amp;" - "&amp;C4023,"OK")))))))))</f>
        <v/>
      </c>
      <c r="L4023" s="92" t="str">
        <f>IF(AND(A4023="",B4023="",D4023="",G4023=""),"",IF(OR(B4023="",NOT(ISNUMBER(B4023)),C4023="",C4023="Fora dos ciclos"),"",IF(C4023="C0","Nao",IF(IFERROR(INDEX(parametros!$A$2:$A$6,MATCH(C4023,parametros!$B$2:$B$6,0)),"")&lt;&gt;"Sim","Nao",IF(IFERROR(INDEX(parametros!$H$2:$H$6,MATCH(C4023,parametros!$B$2:$B$6,0)),"")="","",IF(B4023&gt;=IFERROR(INDEX(parametros!$H$2:$H$6,MATCH(C4023,parametros!$B$2:$B$6,0)),""),"Sim","Nao"))))))</f>
        <v/>
      </c>
      <c r="T4023" s="156"/>
      <c r="U4023" s="214" t="str">
        <f t="shared" si="316"/>
        <v/>
      </c>
      <c r="V4023" s="212" t="s">
        <v>50</v>
      </c>
      <c r="W4023" s="100" t="s">
        <v>168</v>
      </c>
      <c r="X4023" s="100" t="s">
        <v>169</v>
      </c>
      <c r="Y4023" s="101" t="s">
        <v>170</v>
      </c>
      <c r="Z4023" s="101" t="s">
        <v>171</v>
      </c>
      <c r="AA4023" s="101" t="s">
        <v>50</v>
      </c>
      <c r="AB4023" s="101" t="s">
        <v>172</v>
      </c>
      <c r="AC4023" s="102" t="s">
        <v>173</v>
      </c>
    </row>
    <row r="4024" spans="1:29" ht="25.5" customHeight="1" x14ac:dyDescent="0.35">
      <c r="A4024" s="392"/>
      <c r="B4024" s="393"/>
      <c r="C4024" s="99" t="str">
        <f>IF(B4024="","",IF(NOT(ISNUMBER(B4024)),"DATA_PC invalida",IF(NOT(ISNUMBER(parametros!$C$2)),"Fora dos ciclos",IF(OR(B4024&lt;parametros!$C$2,(YEAR(B4024)-YEAR(parametros!$C$2))*12+MONTH(B4024)-MONTH(parametros!$C$2)&gt;59),"Fora dos ciclos","C"&amp;INT(((YEAR(B4024)-YEAR(parametros!$C$2))*12+MONTH(B4024)-MONTH(parametros!$C$2))/12)))))</f>
        <v/>
      </c>
      <c r="D4024" s="394"/>
      <c r="E4024" s="78" t="str">
        <f>IF(C4024="","",IFERROR(VLOOKUP(C4024,parametros!$A$11:$E$15,5,0),""))</f>
        <v/>
      </c>
      <c r="F4024" s="79" t="str">
        <f t="shared" si="312"/>
        <v/>
      </c>
      <c r="G4024" s="395"/>
      <c r="H4024" s="91">
        <f t="shared" si="313"/>
        <v>0</v>
      </c>
      <c r="I4024" s="91" t="str">
        <f t="shared" si="314"/>
        <v/>
      </c>
      <c r="J4024" s="91" t="str">
        <f t="shared" si="315"/>
        <v/>
      </c>
      <c r="K4024" s="92" t="str">
        <f>IF(AND(A4024="",B4024="",D4024="",G4024=""),"",IF(AND(A4024&lt;&gt;"",COUNTIF($A$2:$A$5001,A4024)&gt;1),"NUMERO_PC duplicado",IF(B4024="","DATA_PC vazia",IF(NOT(ISNUMBER(B4024)),"DATA_PC invalida",IF(OR(C4024="",C4024="Fora dos ciclos"),"CICLO_PC nao identificado",IF(OR(D4024="",D4024=0),"VALOR_PC vazio ou zero",IF(AND(G4024&lt;&gt;"Sim",G4024&lt;&gt;"Nao",G4024&lt;&gt;""),"PC_PAGO_A_CONTRATADA invalido",IF(AND(C4024&lt;&gt;"C0",IFERROR(INDEX(parametros!$A$2:$A$6,MATCH(C4024,parametros!$B$2:$B$6,0)),"")="Sim",IFERROR(INDEX(parametros!$H$2:$H$6,MATCH(C4024,parametros!$B$2:$B$6,0)),"")=""),"INICIO_EFEITO ausente: PC "&amp;A4024&amp;" - "&amp;C4024,IF(L4024="","EFEITO_PC nao calculado: PC "&amp;A4024&amp;" - "&amp;C4024,"OK")))))))))</f>
        <v/>
      </c>
      <c r="L4024" s="92" t="str">
        <f>IF(AND(A4024="",B4024="",D4024="",G4024=""),"",IF(OR(B4024="",NOT(ISNUMBER(B4024)),C4024="",C4024="Fora dos ciclos"),"",IF(C4024="C0","Nao",IF(IFERROR(INDEX(parametros!$A$2:$A$6,MATCH(C4024,parametros!$B$2:$B$6,0)),"")&lt;&gt;"Sim","Nao",IF(IFERROR(INDEX(parametros!$H$2:$H$6,MATCH(C4024,parametros!$B$2:$B$6,0)),"")="","",IF(B4024&gt;=IFERROR(INDEX(parametros!$H$2:$H$6,MATCH(C4024,parametros!$B$2:$B$6,0)),""),"Sim","Nao"))))))</f>
        <v/>
      </c>
      <c r="T4024" s="156"/>
      <c r="U4024" s="214" t="str">
        <f t="shared" si="316"/>
        <v/>
      </c>
      <c r="V4024" s="212" t="s">
        <v>50</v>
      </c>
      <c r="W4024" s="100" t="s">
        <v>168</v>
      </c>
      <c r="X4024" s="100" t="s">
        <v>169</v>
      </c>
      <c r="Y4024" s="101" t="s">
        <v>170</v>
      </c>
      <c r="Z4024" s="101" t="s">
        <v>171</v>
      </c>
      <c r="AA4024" s="101" t="s">
        <v>50</v>
      </c>
      <c r="AB4024" s="101" t="s">
        <v>172</v>
      </c>
      <c r="AC4024" s="102" t="s">
        <v>173</v>
      </c>
    </row>
    <row r="4025" spans="1:29" ht="25.5" customHeight="1" x14ac:dyDescent="0.35">
      <c r="A4025" s="392"/>
      <c r="B4025" s="393"/>
      <c r="C4025" s="99" t="str">
        <f>IF(B4025="","",IF(NOT(ISNUMBER(B4025)),"DATA_PC invalida",IF(NOT(ISNUMBER(parametros!$C$2)),"Fora dos ciclos",IF(OR(B4025&lt;parametros!$C$2,(YEAR(B4025)-YEAR(parametros!$C$2))*12+MONTH(B4025)-MONTH(parametros!$C$2)&gt;59),"Fora dos ciclos","C"&amp;INT(((YEAR(B4025)-YEAR(parametros!$C$2))*12+MONTH(B4025)-MONTH(parametros!$C$2))/12)))))</f>
        <v/>
      </c>
      <c r="D4025" s="394"/>
      <c r="E4025" s="78" t="str">
        <f>IF(C4025="","",IFERROR(VLOOKUP(C4025,parametros!$A$11:$E$15,5,0),""))</f>
        <v/>
      </c>
      <c r="F4025" s="79" t="str">
        <f t="shared" si="312"/>
        <v/>
      </c>
      <c r="G4025" s="395"/>
      <c r="H4025" s="91">
        <f t="shared" si="313"/>
        <v>0</v>
      </c>
      <c r="I4025" s="91" t="str">
        <f t="shared" si="314"/>
        <v/>
      </c>
      <c r="J4025" s="91" t="str">
        <f t="shared" si="315"/>
        <v/>
      </c>
      <c r="K4025" s="92" t="str">
        <f>IF(AND(A4025="",B4025="",D4025="",G4025=""),"",IF(AND(A4025&lt;&gt;"",COUNTIF($A$2:$A$5001,A4025)&gt;1),"NUMERO_PC duplicado",IF(B4025="","DATA_PC vazia",IF(NOT(ISNUMBER(B4025)),"DATA_PC invalida",IF(OR(C4025="",C4025="Fora dos ciclos"),"CICLO_PC nao identificado",IF(OR(D4025="",D4025=0),"VALOR_PC vazio ou zero",IF(AND(G4025&lt;&gt;"Sim",G4025&lt;&gt;"Nao",G4025&lt;&gt;""),"PC_PAGO_A_CONTRATADA invalido",IF(AND(C4025&lt;&gt;"C0",IFERROR(INDEX(parametros!$A$2:$A$6,MATCH(C4025,parametros!$B$2:$B$6,0)),"")="Sim",IFERROR(INDEX(parametros!$H$2:$H$6,MATCH(C4025,parametros!$B$2:$B$6,0)),"")=""),"INICIO_EFEITO ausente: PC "&amp;A4025&amp;" - "&amp;C4025,IF(L4025="","EFEITO_PC nao calculado: PC "&amp;A4025&amp;" - "&amp;C4025,"OK")))))))))</f>
        <v/>
      </c>
      <c r="L4025" s="92" t="str">
        <f>IF(AND(A4025="",B4025="",D4025="",G4025=""),"",IF(OR(B4025="",NOT(ISNUMBER(B4025)),C4025="",C4025="Fora dos ciclos"),"",IF(C4025="C0","Nao",IF(IFERROR(INDEX(parametros!$A$2:$A$6,MATCH(C4025,parametros!$B$2:$B$6,0)),"")&lt;&gt;"Sim","Nao",IF(IFERROR(INDEX(parametros!$H$2:$H$6,MATCH(C4025,parametros!$B$2:$B$6,0)),"")="","",IF(B4025&gt;=IFERROR(INDEX(parametros!$H$2:$H$6,MATCH(C4025,parametros!$B$2:$B$6,0)),""),"Sim","Nao"))))))</f>
        <v/>
      </c>
      <c r="T4025" s="156"/>
      <c r="U4025" s="214" t="str">
        <f t="shared" si="316"/>
        <v/>
      </c>
      <c r="V4025" s="212" t="s">
        <v>50</v>
      </c>
      <c r="W4025" s="100" t="s">
        <v>168</v>
      </c>
      <c r="X4025" s="100" t="s">
        <v>169</v>
      </c>
      <c r="Y4025" s="101" t="s">
        <v>170</v>
      </c>
      <c r="Z4025" s="101" t="s">
        <v>171</v>
      </c>
      <c r="AA4025" s="101" t="s">
        <v>50</v>
      </c>
      <c r="AB4025" s="101" t="s">
        <v>172</v>
      </c>
      <c r="AC4025" s="102" t="s">
        <v>173</v>
      </c>
    </row>
    <row r="4026" spans="1:29" ht="25.5" customHeight="1" x14ac:dyDescent="0.35">
      <c r="A4026" s="392"/>
      <c r="B4026" s="393"/>
      <c r="C4026" s="99" t="str">
        <f>IF(B4026="","",IF(NOT(ISNUMBER(B4026)),"DATA_PC invalida",IF(NOT(ISNUMBER(parametros!$C$2)),"Fora dos ciclos",IF(OR(B4026&lt;parametros!$C$2,(YEAR(B4026)-YEAR(parametros!$C$2))*12+MONTH(B4026)-MONTH(parametros!$C$2)&gt;59),"Fora dos ciclos","C"&amp;INT(((YEAR(B4026)-YEAR(parametros!$C$2))*12+MONTH(B4026)-MONTH(parametros!$C$2))/12)))))</f>
        <v/>
      </c>
      <c r="D4026" s="394"/>
      <c r="E4026" s="78" t="str">
        <f>IF(C4026="","",IFERROR(VLOOKUP(C4026,parametros!$A$11:$E$15,5,0),""))</f>
        <v/>
      </c>
      <c r="F4026" s="79" t="str">
        <f t="shared" si="312"/>
        <v/>
      </c>
      <c r="G4026" s="395"/>
      <c r="H4026" s="91">
        <f t="shared" si="313"/>
        <v>0</v>
      </c>
      <c r="I4026" s="91" t="str">
        <f t="shared" si="314"/>
        <v/>
      </c>
      <c r="J4026" s="91" t="str">
        <f t="shared" si="315"/>
        <v/>
      </c>
      <c r="K4026" s="92" t="str">
        <f>IF(AND(A4026="",B4026="",D4026="",G4026=""),"",IF(AND(A4026&lt;&gt;"",COUNTIF($A$2:$A$5001,A4026)&gt;1),"NUMERO_PC duplicado",IF(B4026="","DATA_PC vazia",IF(NOT(ISNUMBER(B4026)),"DATA_PC invalida",IF(OR(C4026="",C4026="Fora dos ciclos"),"CICLO_PC nao identificado",IF(OR(D4026="",D4026=0),"VALOR_PC vazio ou zero",IF(AND(G4026&lt;&gt;"Sim",G4026&lt;&gt;"Nao",G4026&lt;&gt;""),"PC_PAGO_A_CONTRATADA invalido",IF(AND(C4026&lt;&gt;"C0",IFERROR(INDEX(parametros!$A$2:$A$6,MATCH(C4026,parametros!$B$2:$B$6,0)),"")="Sim",IFERROR(INDEX(parametros!$H$2:$H$6,MATCH(C4026,parametros!$B$2:$B$6,0)),"")=""),"INICIO_EFEITO ausente: PC "&amp;A4026&amp;" - "&amp;C4026,IF(L4026="","EFEITO_PC nao calculado: PC "&amp;A4026&amp;" - "&amp;C4026,"OK")))))))))</f>
        <v/>
      </c>
      <c r="L4026" s="92" t="str">
        <f>IF(AND(A4026="",B4026="",D4026="",G4026=""),"",IF(OR(B4026="",NOT(ISNUMBER(B4026)),C4026="",C4026="Fora dos ciclos"),"",IF(C4026="C0","Nao",IF(IFERROR(INDEX(parametros!$A$2:$A$6,MATCH(C4026,parametros!$B$2:$B$6,0)),"")&lt;&gt;"Sim","Nao",IF(IFERROR(INDEX(parametros!$H$2:$H$6,MATCH(C4026,parametros!$B$2:$B$6,0)),"")="","",IF(B4026&gt;=IFERROR(INDEX(parametros!$H$2:$H$6,MATCH(C4026,parametros!$B$2:$B$6,0)),""),"Sim","Nao"))))))</f>
        <v/>
      </c>
      <c r="T4026" s="156"/>
      <c r="U4026" s="214" t="str">
        <f t="shared" si="316"/>
        <v/>
      </c>
      <c r="V4026" s="212" t="s">
        <v>50</v>
      </c>
      <c r="W4026" s="100" t="s">
        <v>168</v>
      </c>
      <c r="X4026" s="100" t="s">
        <v>169</v>
      </c>
      <c r="Y4026" s="101" t="s">
        <v>170</v>
      </c>
      <c r="Z4026" s="101" t="s">
        <v>171</v>
      </c>
      <c r="AA4026" s="101" t="s">
        <v>50</v>
      </c>
      <c r="AB4026" s="101" t="s">
        <v>172</v>
      </c>
      <c r="AC4026" s="102" t="s">
        <v>173</v>
      </c>
    </row>
    <row r="4027" spans="1:29" ht="25.5" customHeight="1" x14ac:dyDescent="0.35">
      <c r="A4027" s="392"/>
      <c r="B4027" s="393"/>
      <c r="C4027" s="99" t="str">
        <f>IF(B4027="","",IF(NOT(ISNUMBER(B4027)),"DATA_PC invalida",IF(NOT(ISNUMBER(parametros!$C$2)),"Fora dos ciclos",IF(OR(B4027&lt;parametros!$C$2,(YEAR(B4027)-YEAR(parametros!$C$2))*12+MONTH(B4027)-MONTH(parametros!$C$2)&gt;59),"Fora dos ciclos","C"&amp;INT(((YEAR(B4027)-YEAR(parametros!$C$2))*12+MONTH(B4027)-MONTH(parametros!$C$2))/12)))))</f>
        <v/>
      </c>
      <c r="D4027" s="394"/>
      <c r="E4027" s="78" t="str">
        <f>IF(C4027="","",IFERROR(VLOOKUP(C4027,parametros!$A$11:$E$15,5,0),""))</f>
        <v/>
      </c>
      <c r="F4027" s="79" t="str">
        <f t="shared" si="312"/>
        <v/>
      </c>
      <c r="G4027" s="395"/>
      <c r="H4027" s="91">
        <f t="shared" si="313"/>
        <v>0</v>
      </c>
      <c r="I4027" s="91" t="str">
        <f t="shared" si="314"/>
        <v/>
      </c>
      <c r="J4027" s="91" t="str">
        <f t="shared" si="315"/>
        <v/>
      </c>
      <c r="K4027" s="92" t="str">
        <f>IF(AND(A4027="",B4027="",D4027="",G4027=""),"",IF(AND(A4027&lt;&gt;"",COUNTIF($A$2:$A$5001,A4027)&gt;1),"NUMERO_PC duplicado",IF(B4027="","DATA_PC vazia",IF(NOT(ISNUMBER(B4027)),"DATA_PC invalida",IF(OR(C4027="",C4027="Fora dos ciclos"),"CICLO_PC nao identificado",IF(OR(D4027="",D4027=0),"VALOR_PC vazio ou zero",IF(AND(G4027&lt;&gt;"Sim",G4027&lt;&gt;"Nao",G4027&lt;&gt;""),"PC_PAGO_A_CONTRATADA invalido",IF(AND(C4027&lt;&gt;"C0",IFERROR(INDEX(parametros!$A$2:$A$6,MATCH(C4027,parametros!$B$2:$B$6,0)),"")="Sim",IFERROR(INDEX(parametros!$H$2:$H$6,MATCH(C4027,parametros!$B$2:$B$6,0)),"")=""),"INICIO_EFEITO ausente: PC "&amp;A4027&amp;" - "&amp;C4027,IF(L4027="","EFEITO_PC nao calculado: PC "&amp;A4027&amp;" - "&amp;C4027,"OK")))))))))</f>
        <v/>
      </c>
      <c r="L4027" s="92" t="str">
        <f>IF(AND(A4027="",B4027="",D4027="",G4027=""),"",IF(OR(B4027="",NOT(ISNUMBER(B4027)),C4027="",C4027="Fora dos ciclos"),"",IF(C4027="C0","Nao",IF(IFERROR(INDEX(parametros!$A$2:$A$6,MATCH(C4027,parametros!$B$2:$B$6,0)),"")&lt;&gt;"Sim","Nao",IF(IFERROR(INDEX(parametros!$H$2:$H$6,MATCH(C4027,parametros!$B$2:$B$6,0)),"")="","",IF(B4027&gt;=IFERROR(INDEX(parametros!$H$2:$H$6,MATCH(C4027,parametros!$B$2:$B$6,0)),""),"Sim","Nao"))))))</f>
        <v/>
      </c>
      <c r="T4027" s="156"/>
      <c r="U4027" s="214" t="str">
        <f t="shared" si="316"/>
        <v/>
      </c>
      <c r="V4027" s="212" t="s">
        <v>50</v>
      </c>
      <c r="W4027" s="100" t="s">
        <v>168</v>
      </c>
      <c r="X4027" s="100" t="s">
        <v>169</v>
      </c>
      <c r="Y4027" s="101" t="s">
        <v>170</v>
      </c>
      <c r="Z4027" s="101" t="s">
        <v>171</v>
      </c>
      <c r="AA4027" s="101" t="s">
        <v>50</v>
      </c>
      <c r="AB4027" s="101" t="s">
        <v>172</v>
      </c>
      <c r="AC4027" s="102" t="s">
        <v>173</v>
      </c>
    </row>
    <row r="4028" spans="1:29" ht="25.5" customHeight="1" x14ac:dyDescent="0.35">
      <c r="A4028" s="392"/>
      <c r="B4028" s="393"/>
      <c r="C4028" s="99" t="str">
        <f>IF(B4028="","",IF(NOT(ISNUMBER(B4028)),"DATA_PC invalida",IF(NOT(ISNUMBER(parametros!$C$2)),"Fora dos ciclos",IF(OR(B4028&lt;parametros!$C$2,(YEAR(B4028)-YEAR(parametros!$C$2))*12+MONTH(B4028)-MONTH(parametros!$C$2)&gt;59),"Fora dos ciclos","C"&amp;INT(((YEAR(B4028)-YEAR(parametros!$C$2))*12+MONTH(B4028)-MONTH(parametros!$C$2))/12)))))</f>
        <v/>
      </c>
      <c r="D4028" s="394"/>
      <c r="E4028" s="78" t="str">
        <f>IF(C4028="","",IFERROR(VLOOKUP(C4028,parametros!$A$11:$E$15,5,0),""))</f>
        <v/>
      </c>
      <c r="F4028" s="79" t="str">
        <f t="shared" si="312"/>
        <v/>
      </c>
      <c r="G4028" s="395"/>
      <c r="H4028" s="91">
        <f t="shared" si="313"/>
        <v>0</v>
      </c>
      <c r="I4028" s="91" t="str">
        <f t="shared" si="314"/>
        <v/>
      </c>
      <c r="J4028" s="91" t="str">
        <f t="shared" si="315"/>
        <v/>
      </c>
      <c r="K4028" s="92" t="str">
        <f>IF(AND(A4028="",B4028="",D4028="",G4028=""),"",IF(AND(A4028&lt;&gt;"",COUNTIF($A$2:$A$5001,A4028)&gt;1),"NUMERO_PC duplicado",IF(B4028="","DATA_PC vazia",IF(NOT(ISNUMBER(B4028)),"DATA_PC invalida",IF(OR(C4028="",C4028="Fora dos ciclos"),"CICLO_PC nao identificado",IF(OR(D4028="",D4028=0),"VALOR_PC vazio ou zero",IF(AND(G4028&lt;&gt;"Sim",G4028&lt;&gt;"Nao",G4028&lt;&gt;""),"PC_PAGO_A_CONTRATADA invalido",IF(AND(C4028&lt;&gt;"C0",IFERROR(INDEX(parametros!$A$2:$A$6,MATCH(C4028,parametros!$B$2:$B$6,0)),"")="Sim",IFERROR(INDEX(parametros!$H$2:$H$6,MATCH(C4028,parametros!$B$2:$B$6,0)),"")=""),"INICIO_EFEITO ausente: PC "&amp;A4028&amp;" - "&amp;C4028,IF(L4028="","EFEITO_PC nao calculado: PC "&amp;A4028&amp;" - "&amp;C4028,"OK")))))))))</f>
        <v/>
      </c>
      <c r="L4028" s="92" t="str">
        <f>IF(AND(A4028="",B4028="",D4028="",G4028=""),"",IF(OR(B4028="",NOT(ISNUMBER(B4028)),C4028="",C4028="Fora dos ciclos"),"",IF(C4028="C0","Nao",IF(IFERROR(INDEX(parametros!$A$2:$A$6,MATCH(C4028,parametros!$B$2:$B$6,0)),"")&lt;&gt;"Sim","Nao",IF(IFERROR(INDEX(parametros!$H$2:$H$6,MATCH(C4028,parametros!$B$2:$B$6,0)),"")="","",IF(B4028&gt;=IFERROR(INDEX(parametros!$H$2:$H$6,MATCH(C4028,parametros!$B$2:$B$6,0)),""),"Sim","Nao"))))))</f>
        <v/>
      </c>
      <c r="T4028" s="156"/>
      <c r="U4028" s="214" t="str">
        <f t="shared" si="316"/>
        <v/>
      </c>
      <c r="V4028" s="212" t="s">
        <v>50</v>
      </c>
      <c r="W4028" s="100" t="s">
        <v>168</v>
      </c>
      <c r="X4028" s="100" t="s">
        <v>169</v>
      </c>
      <c r="Y4028" s="101" t="s">
        <v>170</v>
      </c>
      <c r="Z4028" s="101" t="s">
        <v>171</v>
      </c>
      <c r="AA4028" s="101" t="s">
        <v>50</v>
      </c>
      <c r="AB4028" s="101" t="s">
        <v>172</v>
      </c>
      <c r="AC4028" s="102" t="s">
        <v>173</v>
      </c>
    </row>
    <row r="4029" spans="1:29" ht="25.5" customHeight="1" x14ac:dyDescent="0.35">
      <c r="A4029" s="392"/>
      <c r="B4029" s="393"/>
      <c r="C4029" s="99" t="str">
        <f>IF(B4029="","",IF(NOT(ISNUMBER(B4029)),"DATA_PC invalida",IF(NOT(ISNUMBER(parametros!$C$2)),"Fora dos ciclos",IF(OR(B4029&lt;parametros!$C$2,(YEAR(B4029)-YEAR(parametros!$C$2))*12+MONTH(B4029)-MONTH(parametros!$C$2)&gt;59),"Fora dos ciclos","C"&amp;INT(((YEAR(B4029)-YEAR(parametros!$C$2))*12+MONTH(B4029)-MONTH(parametros!$C$2))/12)))))</f>
        <v/>
      </c>
      <c r="D4029" s="394"/>
      <c r="E4029" s="78" t="str">
        <f>IF(C4029="","",IFERROR(VLOOKUP(C4029,parametros!$A$11:$E$15,5,0),""))</f>
        <v/>
      </c>
      <c r="F4029" s="79" t="str">
        <f t="shared" si="312"/>
        <v/>
      </c>
      <c r="G4029" s="395"/>
      <c r="H4029" s="91">
        <f t="shared" si="313"/>
        <v>0</v>
      </c>
      <c r="I4029" s="91" t="str">
        <f t="shared" si="314"/>
        <v/>
      </c>
      <c r="J4029" s="91" t="str">
        <f t="shared" si="315"/>
        <v/>
      </c>
      <c r="K4029" s="92" t="str">
        <f>IF(AND(A4029="",B4029="",D4029="",G4029=""),"",IF(AND(A4029&lt;&gt;"",COUNTIF($A$2:$A$5001,A4029)&gt;1),"NUMERO_PC duplicado",IF(B4029="","DATA_PC vazia",IF(NOT(ISNUMBER(B4029)),"DATA_PC invalida",IF(OR(C4029="",C4029="Fora dos ciclos"),"CICLO_PC nao identificado",IF(OR(D4029="",D4029=0),"VALOR_PC vazio ou zero",IF(AND(G4029&lt;&gt;"Sim",G4029&lt;&gt;"Nao",G4029&lt;&gt;""),"PC_PAGO_A_CONTRATADA invalido",IF(AND(C4029&lt;&gt;"C0",IFERROR(INDEX(parametros!$A$2:$A$6,MATCH(C4029,parametros!$B$2:$B$6,0)),"")="Sim",IFERROR(INDEX(parametros!$H$2:$H$6,MATCH(C4029,parametros!$B$2:$B$6,0)),"")=""),"INICIO_EFEITO ausente: PC "&amp;A4029&amp;" - "&amp;C4029,IF(L4029="","EFEITO_PC nao calculado: PC "&amp;A4029&amp;" - "&amp;C4029,"OK")))))))))</f>
        <v/>
      </c>
      <c r="L4029" s="92" t="str">
        <f>IF(AND(A4029="",B4029="",D4029="",G4029=""),"",IF(OR(B4029="",NOT(ISNUMBER(B4029)),C4029="",C4029="Fora dos ciclos"),"",IF(C4029="C0","Nao",IF(IFERROR(INDEX(parametros!$A$2:$A$6,MATCH(C4029,parametros!$B$2:$B$6,0)),"")&lt;&gt;"Sim","Nao",IF(IFERROR(INDEX(parametros!$H$2:$H$6,MATCH(C4029,parametros!$B$2:$B$6,0)),"")="","",IF(B4029&gt;=IFERROR(INDEX(parametros!$H$2:$H$6,MATCH(C4029,parametros!$B$2:$B$6,0)),""),"Sim","Nao"))))))</f>
        <v/>
      </c>
      <c r="T4029" s="156"/>
      <c r="U4029" s="214" t="str">
        <f t="shared" si="316"/>
        <v/>
      </c>
      <c r="V4029" s="212" t="s">
        <v>50</v>
      </c>
      <c r="W4029" s="100" t="s">
        <v>168</v>
      </c>
      <c r="X4029" s="100" t="s">
        <v>169</v>
      </c>
      <c r="Y4029" s="101" t="s">
        <v>170</v>
      </c>
      <c r="Z4029" s="101" t="s">
        <v>171</v>
      </c>
      <c r="AA4029" s="101" t="s">
        <v>50</v>
      </c>
      <c r="AB4029" s="101" t="s">
        <v>172</v>
      </c>
      <c r="AC4029" s="102" t="s">
        <v>173</v>
      </c>
    </row>
    <row r="4030" spans="1:29" ht="25.5" customHeight="1" x14ac:dyDescent="0.35">
      <c r="A4030" s="392"/>
      <c r="B4030" s="393"/>
      <c r="C4030" s="99" t="str">
        <f>IF(B4030="","",IF(NOT(ISNUMBER(B4030)),"DATA_PC invalida",IF(NOT(ISNUMBER(parametros!$C$2)),"Fora dos ciclos",IF(OR(B4030&lt;parametros!$C$2,(YEAR(B4030)-YEAR(parametros!$C$2))*12+MONTH(B4030)-MONTH(parametros!$C$2)&gt;59),"Fora dos ciclos","C"&amp;INT(((YEAR(B4030)-YEAR(parametros!$C$2))*12+MONTH(B4030)-MONTH(parametros!$C$2))/12)))))</f>
        <v/>
      </c>
      <c r="D4030" s="394"/>
      <c r="E4030" s="78" t="str">
        <f>IF(C4030="","",IFERROR(VLOOKUP(C4030,parametros!$A$11:$E$15,5,0),""))</f>
        <v/>
      </c>
      <c r="F4030" s="79" t="str">
        <f t="shared" si="312"/>
        <v/>
      </c>
      <c r="G4030" s="395"/>
      <c r="H4030" s="91">
        <f t="shared" si="313"/>
        <v>0</v>
      </c>
      <c r="I4030" s="91" t="str">
        <f t="shared" si="314"/>
        <v/>
      </c>
      <c r="J4030" s="91" t="str">
        <f t="shared" si="315"/>
        <v/>
      </c>
      <c r="K4030" s="92" t="str">
        <f>IF(AND(A4030="",B4030="",D4030="",G4030=""),"",IF(AND(A4030&lt;&gt;"",COUNTIF($A$2:$A$5001,A4030)&gt;1),"NUMERO_PC duplicado",IF(B4030="","DATA_PC vazia",IF(NOT(ISNUMBER(B4030)),"DATA_PC invalida",IF(OR(C4030="",C4030="Fora dos ciclos"),"CICLO_PC nao identificado",IF(OR(D4030="",D4030=0),"VALOR_PC vazio ou zero",IF(AND(G4030&lt;&gt;"Sim",G4030&lt;&gt;"Nao",G4030&lt;&gt;""),"PC_PAGO_A_CONTRATADA invalido",IF(AND(C4030&lt;&gt;"C0",IFERROR(INDEX(parametros!$A$2:$A$6,MATCH(C4030,parametros!$B$2:$B$6,0)),"")="Sim",IFERROR(INDEX(parametros!$H$2:$H$6,MATCH(C4030,parametros!$B$2:$B$6,0)),"")=""),"INICIO_EFEITO ausente: PC "&amp;A4030&amp;" - "&amp;C4030,IF(L4030="","EFEITO_PC nao calculado: PC "&amp;A4030&amp;" - "&amp;C4030,"OK")))))))))</f>
        <v/>
      </c>
      <c r="L4030" s="92" t="str">
        <f>IF(AND(A4030="",B4030="",D4030="",G4030=""),"",IF(OR(B4030="",NOT(ISNUMBER(B4030)),C4030="",C4030="Fora dos ciclos"),"",IF(C4030="C0","Nao",IF(IFERROR(INDEX(parametros!$A$2:$A$6,MATCH(C4030,parametros!$B$2:$B$6,0)),"")&lt;&gt;"Sim","Nao",IF(IFERROR(INDEX(parametros!$H$2:$H$6,MATCH(C4030,parametros!$B$2:$B$6,0)),"")="","",IF(B4030&gt;=IFERROR(INDEX(parametros!$H$2:$H$6,MATCH(C4030,parametros!$B$2:$B$6,0)),""),"Sim","Nao"))))))</f>
        <v/>
      </c>
      <c r="T4030" s="156"/>
      <c r="U4030" s="214" t="str">
        <f t="shared" si="316"/>
        <v/>
      </c>
      <c r="V4030" s="212" t="s">
        <v>50</v>
      </c>
      <c r="W4030" s="100" t="s">
        <v>168</v>
      </c>
      <c r="X4030" s="100" t="s">
        <v>169</v>
      </c>
      <c r="Y4030" s="101" t="s">
        <v>170</v>
      </c>
      <c r="Z4030" s="101" t="s">
        <v>171</v>
      </c>
      <c r="AA4030" s="101" t="s">
        <v>50</v>
      </c>
      <c r="AB4030" s="101" t="s">
        <v>172</v>
      </c>
      <c r="AC4030" s="102" t="s">
        <v>173</v>
      </c>
    </row>
    <row r="4031" spans="1:29" ht="25.5" customHeight="1" x14ac:dyDescent="0.35">
      <c r="A4031" s="392"/>
      <c r="B4031" s="393"/>
      <c r="C4031" s="99" t="str">
        <f>IF(B4031="","",IF(NOT(ISNUMBER(B4031)),"DATA_PC invalida",IF(NOT(ISNUMBER(parametros!$C$2)),"Fora dos ciclos",IF(OR(B4031&lt;parametros!$C$2,(YEAR(B4031)-YEAR(parametros!$C$2))*12+MONTH(B4031)-MONTH(parametros!$C$2)&gt;59),"Fora dos ciclos","C"&amp;INT(((YEAR(B4031)-YEAR(parametros!$C$2))*12+MONTH(B4031)-MONTH(parametros!$C$2))/12)))))</f>
        <v/>
      </c>
      <c r="D4031" s="394"/>
      <c r="E4031" s="78" t="str">
        <f>IF(C4031="","",IFERROR(VLOOKUP(C4031,parametros!$A$11:$E$15,5,0),""))</f>
        <v/>
      </c>
      <c r="F4031" s="79" t="str">
        <f t="shared" si="312"/>
        <v/>
      </c>
      <c r="G4031" s="395"/>
      <c r="H4031" s="91">
        <f t="shared" si="313"/>
        <v>0</v>
      </c>
      <c r="I4031" s="91" t="str">
        <f t="shared" si="314"/>
        <v/>
      </c>
      <c r="J4031" s="91" t="str">
        <f t="shared" si="315"/>
        <v/>
      </c>
      <c r="K4031" s="92" t="str">
        <f>IF(AND(A4031="",B4031="",D4031="",G4031=""),"",IF(AND(A4031&lt;&gt;"",COUNTIF($A$2:$A$5001,A4031)&gt;1),"NUMERO_PC duplicado",IF(B4031="","DATA_PC vazia",IF(NOT(ISNUMBER(B4031)),"DATA_PC invalida",IF(OR(C4031="",C4031="Fora dos ciclos"),"CICLO_PC nao identificado",IF(OR(D4031="",D4031=0),"VALOR_PC vazio ou zero",IF(AND(G4031&lt;&gt;"Sim",G4031&lt;&gt;"Nao",G4031&lt;&gt;""),"PC_PAGO_A_CONTRATADA invalido",IF(AND(C4031&lt;&gt;"C0",IFERROR(INDEX(parametros!$A$2:$A$6,MATCH(C4031,parametros!$B$2:$B$6,0)),"")="Sim",IFERROR(INDEX(parametros!$H$2:$H$6,MATCH(C4031,parametros!$B$2:$B$6,0)),"")=""),"INICIO_EFEITO ausente: PC "&amp;A4031&amp;" - "&amp;C4031,IF(L4031="","EFEITO_PC nao calculado: PC "&amp;A4031&amp;" - "&amp;C4031,"OK")))))))))</f>
        <v/>
      </c>
      <c r="L4031" s="92" t="str">
        <f>IF(AND(A4031="",B4031="",D4031="",G4031=""),"",IF(OR(B4031="",NOT(ISNUMBER(B4031)),C4031="",C4031="Fora dos ciclos"),"",IF(C4031="C0","Nao",IF(IFERROR(INDEX(parametros!$A$2:$A$6,MATCH(C4031,parametros!$B$2:$B$6,0)),"")&lt;&gt;"Sim","Nao",IF(IFERROR(INDEX(parametros!$H$2:$H$6,MATCH(C4031,parametros!$B$2:$B$6,0)),"")="","",IF(B4031&gt;=IFERROR(INDEX(parametros!$H$2:$H$6,MATCH(C4031,parametros!$B$2:$B$6,0)),""),"Sim","Nao"))))))</f>
        <v/>
      </c>
      <c r="T4031" s="156"/>
      <c r="U4031" s="214" t="str">
        <f t="shared" si="316"/>
        <v/>
      </c>
      <c r="V4031" s="212" t="s">
        <v>50</v>
      </c>
      <c r="W4031" s="100" t="s">
        <v>168</v>
      </c>
      <c r="X4031" s="100" t="s">
        <v>169</v>
      </c>
      <c r="Y4031" s="101" t="s">
        <v>170</v>
      </c>
      <c r="Z4031" s="101" t="s">
        <v>171</v>
      </c>
      <c r="AA4031" s="101" t="s">
        <v>50</v>
      </c>
      <c r="AB4031" s="101" t="s">
        <v>172</v>
      </c>
      <c r="AC4031" s="102" t="s">
        <v>173</v>
      </c>
    </row>
    <row r="4032" spans="1:29" ht="25.5" customHeight="1" x14ac:dyDescent="0.35">
      <c r="A4032" s="392"/>
      <c r="B4032" s="393"/>
      <c r="C4032" s="99" t="str">
        <f>IF(B4032="","",IF(NOT(ISNUMBER(B4032)),"DATA_PC invalida",IF(NOT(ISNUMBER(parametros!$C$2)),"Fora dos ciclos",IF(OR(B4032&lt;parametros!$C$2,(YEAR(B4032)-YEAR(parametros!$C$2))*12+MONTH(B4032)-MONTH(parametros!$C$2)&gt;59),"Fora dos ciclos","C"&amp;INT(((YEAR(B4032)-YEAR(parametros!$C$2))*12+MONTH(B4032)-MONTH(parametros!$C$2))/12)))))</f>
        <v/>
      </c>
      <c r="D4032" s="394"/>
      <c r="E4032" s="78" t="str">
        <f>IF(C4032="","",IFERROR(VLOOKUP(C4032,parametros!$A$11:$E$15,5,0),""))</f>
        <v/>
      </c>
      <c r="F4032" s="79" t="str">
        <f t="shared" si="312"/>
        <v/>
      </c>
      <c r="G4032" s="395"/>
      <c r="H4032" s="91">
        <f t="shared" si="313"/>
        <v>0</v>
      </c>
      <c r="I4032" s="91" t="str">
        <f t="shared" si="314"/>
        <v/>
      </c>
      <c r="J4032" s="91" t="str">
        <f t="shared" si="315"/>
        <v/>
      </c>
      <c r="K4032" s="92" t="str">
        <f>IF(AND(A4032="",B4032="",D4032="",G4032=""),"",IF(AND(A4032&lt;&gt;"",COUNTIF($A$2:$A$5001,A4032)&gt;1),"NUMERO_PC duplicado",IF(B4032="","DATA_PC vazia",IF(NOT(ISNUMBER(B4032)),"DATA_PC invalida",IF(OR(C4032="",C4032="Fora dos ciclos"),"CICLO_PC nao identificado",IF(OR(D4032="",D4032=0),"VALOR_PC vazio ou zero",IF(AND(G4032&lt;&gt;"Sim",G4032&lt;&gt;"Nao",G4032&lt;&gt;""),"PC_PAGO_A_CONTRATADA invalido",IF(AND(C4032&lt;&gt;"C0",IFERROR(INDEX(parametros!$A$2:$A$6,MATCH(C4032,parametros!$B$2:$B$6,0)),"")="Sim",IFERROR(INDEX(parametros!$H$2:$H$6,MATCH(C4032,parametros!$B$2:$B$6,0)),"")=""),"INICIO_EFEITO ausente: PC "&amp;A4032&amp;" - "&amp;C4032,IF(L4032="","EFEITO_PC nao calculado: PC "&amp;A4032&amp;" - "&amp;C4032,"OK")))))))))</f>
        <v/>
      </c>
      <c r="L4032" s="92" t="str">
        <f>IF(AND(A4032="",B4032="",D4032="",G4032=""),"",IF(OR(B4032="",NOT(ISNUMBER(B4032)),C4032="",C4032="Fora dos ciclos"),"",IF(C4032="C0","Nao",IF(IFERROR(INDEX(parametros!$A$2:$A$6,MATCH(C4032,parametros!$B$2:$B$6,0)),"")&lt;&gt;"Sim","Nao",IF(IFERROR(INDEX(parametros!$H$2:$H$6,MATCH(C4032,parametros!$B$2:$B$6,0)),"")="","",IF(B4032&gt;=IFERROR(INDEX(parametros!$H$2:$H$6,MATCH(C4032,parametros!$B$2:$B$6,0)),""),"Sim","Nao"))))))</f>
        <v/>
      </c>
      <c r="T4032" s="156"/>
      <c r="U4032" s="214" t="str">
        <f t="shared" si="316"/>
        <v/>
      </c>
      <c r="V4032" s="212" t="s">
        <v>50</v>
      </c>
      <c r="W4032" s="100" t="s">
        <v>168</v>
      </c>
      <c r="X4032" s="100" t="s">
        <v>169</v>
      </c>
      <c r="Y4032" s="101" t="s">
        <v>170</v>
      </c>
      <c r="Z4032" s="101" t="s">
        <v>171</v>
      </c>
      <c r="AA4032" s="101" t="s">
        <v>50</v>
      </c>
      <c r="AB4032" s="101" t="s">
        <v>172</v>
      </c>
      <c r="AC4032" s="102" t="s">
        <v>173</v>
      </c>
    </row>
    <row r="4033" spans="1:29" ht="25.5" customHeight="1" x14ac:dyDescent="0.35">
      <c r="A4033" s="392"/>
      <c r="B4033" s="393"/>
      <c r="C4033" s="99" t="str">
        <f>IF(B4033="","",IF(NOT(ISNUMBER(B4033)),"DATA_PC invalida",IF(NOT(ISNUMBER(parametros!$C$2)),"Fora dos ciclos",IF(OR(B4033&lt;parametros!$C$2,(YEAR(B4033)-YEAR(parametros!$C$2))*12+MONTH(B4033)-MONTH(parametros!$C$2)&gt;59),"Fora dos ciclos","C"&amp;INT(((YEAR(B4033)-YEAR(parametros!$C$2))*12+MONTH(B4033)-MONTH(parametros!$C$2))/12)))))</f>
        <v/>
      </c>
      <c r="D4033" s="394"/>
      <c r="E4033" s="78" t="str">
        <f>IF(C4033="","",IFERROR(VLOOKUP(C4033,parametros!$A$11:$E$15,5,0),""))</f>
        <v/>
      </c>
      <c r="F4033" s="79" t="str">
        <f t="shared" si="312"/>
        <v/>
      </c>
      <c r="G4033" s="395"/>
      <c r="H4033" s="91">
        <f t="shared" si="313"/>
        <v>0</v>
      </c>
      <c r="I4033" s="91" t="str">
        <f t="shared" si="314"/>
        <v/>
      </c>
      <c r="J4033" s="91" t="str">
        <f t="shared" si="315"/>
        <v/>
      </c>
      <c r="K4033" s="92" t="str">
        <f>IF(AND(A4033="",B4033="",D4033="",G4033=""),"",IF(AND(A4033&lt;&gt;"",COUNTIF($A$2:$A$5001,A4033)&gt;1),"NUMERO_PC duplicado",IF(B4033="","DATA_PC vazia",IF(NOT(ISNUMBER(B4033)),"DATA_PC invalida",IF(OR(C4033="",C4033="Fora dos ciclos"),"CICLO_PC nao identificado",IF(OR(D4033="",D4033=0),"VALOR_PC vazio ou zero",IF(AND(G4033&lt;&gt;"Sim",G4033&lt;&gt;"Nao",G4033&lt;&gt;""),"PC_PAGO_A_CONTRATADA invalido",IF(AND(C4033&lt;&gt;"C0",IFERROR(INDEX(parametros!$A$2:$A$6,MATCH(C4033,parametros!$B$2:$B$6,0)),"")="Sim",IFERROR(INDEX(parametros!$H$2:$H$6,MATCH(C4033,parametros!$B$2:$B$6,0)),"")=""),"INICIO_EFEITO ausente: PC "&amp;A4033&amp;" - "&amp;C4033,IF(L4033="","EFEITO_PC nao calculado: PC "&amp;A4033&amp;" - "&amp;C4033,"OK")))))))))</f>
        <v/>
      </c>
      <c r="L4033" s="92" t="str">
        <f>IF(AND(A4033="",B4033="",D4033="",G4033=""),"",IF(OR(B4033="",NOT(ISNUMBER(B4033)),C4033="",C4033="Fora dos ciclos"),"",IF(C4033="C0","Nao",IF(IFERROR(INDEX(parametros!$A$2:$A$6,MATCH(C4033,parametros!$B$2:$B$6,0)),"")&lt;&gt;"Sim","Nao",IF(IFERROR(INDEX(parametros!$H$2:$H$6,MATCH(C4033,parametros!$B$2:$B$6,0)),"")="","",IF(B4033&gt;=IFERROR(INDEX(parametros!$H$2:$H$6,MATCH(C4033,parametros!$B$2:$B$6,0)),""),"Sim","Nao"))))))</f>
        <v/>
      </c>
      <c r="T4033" s="156"/>
      <c r="U4033" s="214" t="str">
        <f t="shared" si="316"/>
        <v/>
      </c>
      <c r="V4033" s="212" t="s">
        <v>50</v>
      </c>
      <c r="W4033" s="100" t="s">
        <v>168</v>
      </c>
      <c r="X4033" s="100" t="s">
        <v>169</v>
      </c>
      <c r="Y4033" s="101" t="s">
        <v>170</v>
      </c>
      <c r="Z4033" s="101" t="s">
        <v>171</v>
      </c>
      <c r="AA4033" s="101" t="s">
        <v>50</v>
      </c>
      <c r="AB4033" s="101" t="s">
        <v>172</v>
      </c>
      <c r="AC4033" s="102" t="s">
        <v>173</v>
      </c>
    </row>
    <row r="4034" spans="1:29" ht="25.5" customHeight="1" x14ac:dyDescent="0.35">
      <c r="A4034" s="392"/>
      <c r="B4034" s="393"/>
      <c r="C4034" s="99" t="str">
        <f>IF(B4034="","",IF(NOT(ISNUMBER(B4034)),"DATA_PC invalida",IF(NOT(ISNUMBER(parametros!$C$2)),"Fora dos ciclos",IF(OR(B4034&lt;parametros!$C$2,(YEAR(B4034)-YEAR(parametros!$C$2))*12+MONTH(B4034)-MONTH(parametros!$C$2)&gt;59),"Fora dos ciclos","C"&amp;INT(((YEAR(B4034)-YEAR(parametros!$C$2))*12+MONTH(B4034)-MONTH(parametros!$C$2))/12)))))</f>
        <v/>
      </c>
      <c r="D4034" s="394"/>
      <c r="E4034" s="78" t="str">
        <f>IF(C4034="","",IFERROR(VLOOKUP(C4034,parametros!$A$11:$E$15,5,0),""))</f>
        <v/>
      </c>
      <c r="F4034" s="79" t="str">
        <f t="shared" ref="F4034:F4097" si="317">IF(OR(D4034="",E4034=""),"",ROUND(D4034*E4034,2))</f>
        <v/>
      </c>
      <c r="G4034" s="395"/>
      <c r="H4034" s="91">
        <f t="shared" ref="H4034:H4097" si="318">IF(G4034="Sim",IF(OR(F4034="",D4034="",L4034=""),"",IF(L4034="Sim",ROUND(F4034-D4034,2),0)),0)</f>
        <v>0</v>
      </c>
      <c r="I4034" s="91" t="str">
        <f t="shared" ref="I4034:I4097" si="319">IF(G4034="Sim",0,IF(OR(F4034="",L4034=""),"",F4034))</f>
        <v/>
      </c>
      <c r="J4034" s="91" t="str">
        <f t="shared" ref="J4034:J4097" si="320">IF(G4034="Sim",0,IF(OR(F4034="",D4034="",L4034=""),"",IF(L4034="Sim",ROUND(F4034-D4034,2),0)))</f>
        <v/>
      </c>
      <c r="K4034" s="92" t="str">
        <f>IF(AND(A4034="",B4034="",D4034="",G4034=""),"",IF(AND(A4034&lt;&gt;"",COUNTIF($A$2:$A$5001,A4034)&gt;1),"NUMERO_PC duplicado",IF(B4034="","DATA_PC vazia",IF(NOT(ISNUMBER(B4034)),"DATA_PC invalida",IF(OR(C4034="",C4034="Fora dos ciclos"),"CICLO_PC nao identificado",IF(OR(D4034="",D4034=0),"VALOR_PC vazio ou zero",IF(AND(G4034&lt;&gt;"Sim",G4034&lt;&gt;"Nao",G4034&lt;&gt;""),"PC_PAGO_A_CONTRATADA invalido",IF(AND(C4034&lt;&gt;"C0",IFERROR(INDEX(parametros!$A$2:$A$6,MATCH(C4034,parametros!$B$2:$B$6,0)),"")="Sim",IFERROR(INDEX(parametros!$H$2:$H$6,MATCH(C4034,parametros!$B$2:$B$6,0)),"")=""),"INICIO_EFEITO ausente: PC "&amp;A4034&amp;" - "&amp;C4034,IF(L4034="","EFEITO_PC nao calculado: PC "&amp;A4034&amp;" - "&amp;C4034,"OK")))))))))</f>
        <v/>
      </c>
      <c r="L4034" s="92" t="str">
        <f>IF(AND(A4034="",B4034="",D4034="",G4034=""),"",IF(OR(B4034="",NOT(ISNUMBER(B4034)),C4034="",C4034="Fora dos ciclos"),"",IF(C4034="C0","Nao",IF(IFERROR(INDEX(parametros!$A$2:$A$6,MATCH(C4034,parametros!$B$2:$B$6,0)),"")&lt;&gt;"Sim","Nao",IF(IFERROR(INDEX(parametros!$H$2:$H$6,MATCH(C4034,parametros!$B$2:$B$6,0)),"")="","",IF(B4034&gt;=IFERROR(INDEX(parametros!$H$2:$H$6,MATCH(C4034,parametros!$B$2:$B$6,0)),""),"Sim","Nao"))))))</f>
        <v/>
      </c>
      <c r="T4034" s="156"/>
      <c r="U4034" s="214" t="str">
        <f t="shared" ref="U4034:U4097" si="321">IF(OR($D4034="",$H4034=""),"",ROUND($D4034+$H4034,2))</f>
        <v/>
      </c>
      <c r="V4034" s="212" t="s">
        <v>50</v>
      </c>
      <c r="W4034" s="100" t="s">
        <v>168</v>
      </c>
      <c r="X4034" s="100" t="s">
        <v>169</v>
      </c>
      <c r="Y4034" s="101" t="s">
        <v>170</v>
      </c>
      <c r="Z4034" s="101" t="s">
        <v>171</v>
      </c>
      <c r="AA4034" s="101" t="s">
        <v>50</v>
      </c>
      <c r="AB4034" s="101" t="s">
        <v>172</v>
      </c>
      <c r="AC4034" s="102" t="s">
        <v>173</v>
      </c>
    </row>
    <row r="4035" spans="1:29" ht="25.5" customHeight="1" x14ac:dyDescent="0.35">
      <c r="A4035" s="392"/>
      <c r="B4035" s="393"/>
      <c r="C4035" s="99" t="str">
        <f>IF(B4035="","",IF(NOT(ISNUMBER(B4035)),"DATA_PC invalida",IF(NOT(ISNUMBER(parametros!$C$2)),"Fora dos ciclos",IF(OR(B4035&lt;parametros!$C$2,(YEAR(B4035)-YEAR(parametros!$C$2))*12+MONTH(B4035)-MONTH(parametros!$C$2)&gt;59),"Fora dos ciclos","C"&amp;INT(((YEAR(B4035)-YEAR(parametros!$C$2))*12+MONTH(B4035)-MONTH(parametros!$C$2))/12)))))</f>
        <v/>
      </c>
      <c r="D4035" s="394"/>
      <c r="E4035" s="78" t="str">
        <f>IF(C4035="","",IFERROR(VLOOKUP(C4035,parametros!$A$11:$E$15,5,0),""))</f>
        <v/>
      </c>
      <c r="F4035" s="79" t="str">
        <f t="shared" si="317"/>
        <v/>
      </c>
      <c r="G4035" s="395"/>
      <c r="H4035" s="91">
        <f t="shared" si="318"/>
        <v>0</v>
      </c>
      <c r="I4035" s="91" t="str">
        <f t="shared" si="319"/>
        <v/>
      </c>
      <c r="J4035" s="91" t="str">
        <f t="shared" si="320"/>
        <v/>
      </c>
      <c r="K4035" s="92" t="str">
        <f>IF(AND(A4035="",B4035="",D4035="",G4035=""),"",IF(AND(A4035&lt;&gt;"",COUNTIF($A$2:$A$5001,A4035)&gt;1),"NUMERO_PC duplicado",IF(B4035="","DATA_PC vazia",IF(NOT(ISNUMBER(B4035)),"DATA_PC invalida",IF(OR(C4035="",C4035="Fora dos ciclos"),"CICLO_PC nao identificado",IF(OR(D4035="",D4035=0),"VALOR_PC vazio ou zero",IF(AND(G4035&lt;&gt;"Sim",G4035&lt;&gt;"Nao",G4035&lt;&gt;""),"PC_PAGO_A_CONTRATADA invalido",IF(AND(C4035&lt;&gt;"C0",IFERROR(INDEX(parametros!$A$2:$A$6,MATCH(C4035,parametros!$B$2:$B$6,0)),"")="Sim",IFERROR(INDEX(parametros!$H$2:$H$6,MATCH(C4035,parametros!$B$2:$B$6,0)),"")=""),"INICIO_EFEITO ausente: PC "&amp;A4035&amp;" - "&amp;C4035,IF(L4035="","EFEITO_PC nao calculado: PC "&amp;A4035&amp;" - "&amp;C4035,"OK")))))))))</f>
        <v/>
      </c>
      <c r="L4035" s="92" t="str">
        <f>IF(AND(A4035="",B4035="",D4035="",G4035=""),"",IF(OR(B4035="",NOT(ISNUMBER(B4035)),C4035="",C4035="Fora dos ciclos"),"",IF(C4035="C0","Nao",IF(IFERROR(INDEX(parametros!$A$2:$A$6,MATCH(C4035,parametros!$B$2:$B$6,0)),"")&lt;&gt;"Sim","Nao",IF(IFERROR(INDEX(parametros!$H$2:$H$6,MATCH(C4035,parametros!$B$2:$B$6,0)),"")="","",IF(B4035&gt;=IFERROR(INDEX(parametros!$H$2:$H$6,MATCH(C4035,parametros!$B$2:$B$6,0)),""),"Sim","Nao"))))))</f>
        <v/>
      </c>
      <c r="T4035" s="156"/>
      <c r="U4035" s="214" t="str">
        <f t="shared" si="321"/>
        <v/>
      </c>
      <c r="V4035" s="212" t="s">
        <v>50</v>
      </c>
      <c r="W4035" s="100" t="s">
        <v>168</v>
      </c>
      <c r="X4035" s="100" t="s">
        <v>169</v>
      </c>
      <c r="Y4035" s="101" t="s">
        <v>170</v>
      </c>
      <c r="Z4035" s="101" t="s">
        <v>171</v>
      </c>
      <c r="AA4035" s="101" t="s">
        <v>50</v>
      </c>
      <c r="AB4035" s="101" t="s">
        <v>172</v>
      </c>
      <c r="AC4035" s="102" t="s">
        <v>173</v>
      </c>
    </row>
    <row r="4036" spans="1:29" ht="25.5" customHeight="1" x14ac:dyDescent="0.35">
      <c r="A4036" s="392"/>
      <c r="B4036" s="393"/>
      <c r="C4036" s="99" t="str">
        <f>IF(B4036="","",IF(NOT(ISNUMBER(B4036)),"DATA_PC invalida",IF(NOT(ISNUMBER(parametros!$C$2)),"Fora dos ciclos",IF(OR(B4036&lt;parametros!$C$2,(YEAR(B4036)-YEAR(parametros!$C$2))*12+MONTH(B4036)-MONTH(parametros!$C$2)&gt;59),"Fora dos ciclos","C"&amp;INT(((YEAR(B4036)-YEAR(parametros!$C$2))*12+MONTH(B4036)-MONTH(parametros!$C$2))/12)))))</f>
        <v/>
      </c>
      <c r="D4036" s="394"/>
      <c r="E4036" s="78" t="str">
        <f>IF(C4036="","",IFERROR(VLOOKUP(C4036,parametros!$A$11:$E$15,5,0),""))</f>
        <v/>
      </c>
      <c r="F4036" s="79" t="str">
        <f t="shared" si="317"/>
        <v/>
      </c>
      <c r="G4036" s="395"/>
      <c r="H4036" s="91">
        <f t="shared" si="318"/>
        <v>0</v>
      </c>
      <c r="I4036" s="91" t="str">
        <f t="shared" si="319"/>
        <v/>
      </c>
      <c r="J4036" s="91" t="str">
        <f t="shared" si="320"/>
        <v/>
      </c>
      <c r="K4036" s="92" t="str">
        <f>IF(AND(A4036="",B4036="",D4036="",G4036=""),"",IF(AND(A4036&lt;&gt;"",COUNTIF($A$2:$A$5001,A4036)&gt;1),"NUMERO_PC duplicado",IF(B4036="","DATA_PC vazia",IF(NOT(ISNUMBER(B4036)),"DATA_PC invalida",IF(OR(C4036="",C4036="Fora dos ciclos"),"CICLO_PC nao identificado",IF(OR(D4036="",D4036=0),"VALOR_PC vazio ou zero",IF(AND(G4036&lt;&gt;"Sim",G4036&lt;&gt;"Nao",G4036&lt;&gt;""),"PC_PAGO_A_CONTRATADA invalido",IF(AND(C4036&lt;&gt;"C0",IFERROR(INDEX(parametros!$A$2:$A$6,MATCH(C4036,parametros!$B$2:$B$6,0)),"")="Sim",IFERROR(INDEX(parametros!$H$2:$H$6,MATCH(C4036,parametros!$B$2:$B$6,0)),"")=""),"INICIO_EFEITO ausente: PC "&amp;A4036&amp;" - "&amp;C4036,IF(L4036="","EFEITO_PC nao calculado: PC "&amp;A4036&amp;" - "&amp;C4036,"OK")))))))))</f>
        <v/>
      </c>
      <c r="L4036" s="92" t="str">
        <f>IF(AND(A4036="",B4036="",D4036="",G4036=""),"",IF(OR(B4036="",NOT(ISNUMBER(B4036)),C4036="",C4036="Fora dos ciclos"),"",IF(C4036="C0","Nao",IF(IFERROR(INDEX(parametros!$A$2:$A$6,MATCH(C4036,parametros!$B$2:$B$6,0)),"")&lt;&gt;"Sim","Nao",IF(IFERROR(INDEX(parametros!$H$2:$H$6,MATCH(C4036,parametros!$B$2:$B$6,0)),"")="","",IF(B4036&gt;=IFERROR(INDEX(parametros!$H$2:$H$6,MATCH(C4036,parametros!$B$2:$B$6,0)),""),"Sim","Nao"))))))</f>
        <v/>
      </c>
      <c r="T4036" s="156"/>
      <c r="U4036" s="214" t="str">
        <f t="shared" si="321"/>
        <v/>
      </c>
      <c r="V4036" s="212" t="s">
        <v>50</v>
      </c>
      <c r="W4036" s="100" t="s">
        <v>168</v>
      </c>
      <c r="X4036" s="100" t="s">
        <v>169</v>
      </c>
      <c r="Y4036" s="101" t="s">
        <v>170</v>
      </c>
      <c r="Z4036" s="101" t="s">
        <v>171</v>
      </c>
      <c r="AA4036" s="101" t="s">
        <v>50</v>
      </c>
      <c r="AB4036" s="101" t="s">
        <v>172</v>
      </c>
      <c r="AC4036" s="102" t="s">
        <v>173</v>
      </c>
    </row>
    <row r="4037" spans="1:29" ht="25.5" customHeight="1" x14ac:dyDescent="0.35">
      <c r="A4037" s="392"/>
      <c r="B4037" s="393"/>
      <c r="C4037" s="99" t="str">
        <f>IF(B4037="","",IF(NOT(ISNUMBER(B4037)),"DATA_PC invalida",IF(NOT(ISNUMBER(parametros!$C$2)),"Fora dos ciclos",IF(OR(B4037&lt;parametros!$C$2,(YEAR(B4037)-YEAR(parametros!$C$2))*12+MONTH(B4037)-MONTH(parametros!$C$2)&gt;59),"Fora dos ciclos","C"&amp;INT(((YEAR(B4037)-YEAR(parametros!$C$2))*12+MONTH(B4037)-MONTH(parametros!$C$2))/12)))))</f>
        <v/>
      </c>
      <c r="D4037" s="394"/>
      <c r="E4037" s="78" t="str">
        <f>IF(C4037="","",IFERROR(VLOOKUP(C4037,parametros!$A$11:$E$15,5,0),""))</f>
        <v/>
      </c>
      <c r="F4037" s="79" t="str">
        <f t="shared" si="317"/>
        <v/>
      </c>
      <c r="G4037" s="395"/>
      <c r="H4037" s="91">
        <f t="shared" si="318"/>
        <v>0</v>
      </c>
      <c r="I4037" s="91" t="str">
        <f t="shared" si="319"/>
        <v/>
      </c>
      <c r="J4037" s="91" t="str">
        <f t="shared" si="320"/>
        <v/>
      </c>
      <c r="K4037" s="92" t="str">
        <f>IF(AND(A4037="",B4037="",D4037="",G4037=""),"",IF(AND(A4037&lt;&gt;"",COUNTIF($A$2:$A$5001,A4037)&gt;1),"NUMERO_PC duplicado",IF(B4037="","DATA_PC vazia",IF(NOT(ISNUMBER(B4037)),"DATA_PC invalida",IF(OR(C4037="",C4037="Fora dos ciclos"),"CICLO_PC nao identificado",IF(OR(D4037="",D4037=0),"VALOR_PC vazio ou zero",IF(AND(G4037&lt;&gt;"Sim",G4037&lt;&gt;"Nao",G4037&lt;&gt;""),"PC_PAGO_A_CONTRATADA invalido",IF(AND(C4037&lt;&gt;"C0",IFERROR(INDEX(parametros!$A$2:$A$6,MATCH(C4037,parametros!$B$2:$B$6,0)),"")="Sim",IFERROR(INDEX(parametros!$H$2:$H$6,MATCH(C4037,parametros!$B$2:$B$6,0)),"")=""),"INICIO_EFEITO ausente: PC "&amp;A4037&amp;" - "&amp;C4037,IF(L4037="","EFEITO_PC nao calculado: PC "&amp;A4037&amp;" - "&amp;C4037,"OK")))))))))</f>
        <v/>
      </c>
      <c r="L4037" s="92" t="str">
        <f>IF(AND(A4037="",B4037="",D4037="",G4037=""),"",IF(OR(B4037="",NOT(ISNUMBER(B4037)),C4037="",C4037="Fora dos ciclos"),"",IF(C4037="C0","Nao",IF(IFERROR(INDEX(parametros!$A$2:$A$6,MATCH(C4037,parametros!$B$2:$B$6,0)),"")&lt;&gt;"Sim","Nao",IF(IFERROR(INDEX(parametros!$H$2:$H$6,MATCH(C4037,parametros!$B$2:$B$6,0)),"")="","",IF(B4037&gt;=IFERROR(INDEX(parametros!$H$2:$H$6,MATCH(C4037,parametros!$B$2:$B$6,0)),""),"Sim","Nao"))))))</f>
        <v/>
      </c>
      <c r="T4037" s="156"/>
      <c r="U4037" s="214" t="str">
        <f t="shared" si="321"/>
        <v/>
      </c>
      <c r="V4037" s="212" t="s">
        <v>50</v>
      </c>
      <c r="W4037" s="100" t="s">
        <v>168</v>
      </c>
      <c r="X4037" s="100" t="s">
        <v>169</v>
      </c>
      <c r="Y4037" s="101" t="s">
        <v>170</v>
      </c>
      <c r="Z4037" s="101" t="s">
        <v>171</v>
      </c>
      <c r="AA4037" s="101" t="s">
        <v>50</v>
      </c>
      <c r="AB4037" s="101" t="s">
        <v>172</v>
      </c>
      <c r="AC4037" s="102" t="s">
        <v>173</v>
      </c>
    </row>
    <row r="4038" spans="1:29" ht="25.5" customHeight="1" x14ac:dyDescent="0.35">
      <c r="A4038" s="392"/>
      <c r="B4038" s="393"/>
      <c r="C4038" s="99" t="str">
        <f>IF(B4038="","",IF(NOT(ISNUMBER(B4038)),"DATA_PC invalida",IF(NOT(ISNUMBER(parametros!$C$2)),"Fora dos ciclos",IF(OR(B4038&lt;parametros!$C$2,(YEAR(B4038)-YEAR(parametros!$C$2))*12+MONTH(B4038)-MONTH(parametros!$C$2)&gt;59),"Fora dos ciclos","C"&amp;INT(((YEAR(B4038)-YEAR(parametros!$C$2))*12+MONTH(B4038)-MONTH(parametros!$C$2))/12)))))</f>
        <v/>
      </c>
      <c r="D4038" s="394"/>
      <c r="E4038" s="78" t="str">
        <f>IF(C4038="","",IFERROR(VLOOKUP(C4038,parametros!$A$11:$E$15,5,0),""))</f>
        <v/>
      </c>
      <c r="F4038" s="79" t="str">
        <f t="shared" si="317"/>
        <v/>
      </c>
      <c r="G4038" s="395"/>
      <c r="H4038" s="91">
        <f t="shared" si="318"/>
        <v>0</v>
      </c>
      <c r="I4038" s="91" t="str">
        <f t="shared" si="319"/>
        <v/>
      </c>
      <c r="J4038" s="91" t="str">
        <f t="shared" si="320"/>
        <v/>
      </c>
      <c r="K4038" s="92" t="str">
        <f>IF(AND(A4038="",B4038="",D4038="",G4038=""),"",IF(AND(A4038&lt;&gt;"",COUNTIF($A$2:$A$5001,A4038)&gt;1),"NUMERO_PC duplicado",IF(B4038="","DATA_PC vazia",IF(NOT(ISNUMBER(B4038)),"DATA_PC invalida",IF(OR(C4038="",C4038="Fora dos ciclos"),"CICLO_PC nao identificado",IF(OR(D4038="",D4038=0),"VALOR_PC vazio ou zero",IF(AND(G4038&lt;&gt;"Sim",G4038&lt;&gt;"Nao",G4038&lt;&gt;""),"PC_PAGO_A_CONTRATADA invalido",IF(AND(C4038&lt;&gt;"C0",IFERROR(INDEX(parametros!$A$2:$A$6,MATCH(C4038,parametros!$B$2:$B$6,0)),"")="Sim",IFERROR(INDEX(parametros!$H$2:$H$6,MATCH(C4038,parametros!$B$2:$B$6,0)),"")=""),"INICIO_EFEITO ausente: PC "&amp;A4038&amp;" - "&amp;C4038,IF(L4038="","EFEITO_PC nao calculado: PC "&amp;A4038&amp;" - "&amp;C4038,"OK")))))))))</f>
        <v/>
      </c>
      <c r="L4038" s="92" t="str">
        <f>IF(AND(A4038="",B4038="",D4038="",G4038=""),"",IF(OR(B4038="",NOT(ISNUMBER(B4038)),C4038="",C4038="Fora dos ciclos"),"",IF(C4038="C0","Nao",IF(IFERROR(INDEX(parametros!$A$2:$A$6,MATCH(C4038,parametros!$B$2:$B$6,0)),"")&lt;&gt;"Sim","Nao",IF(IFERROR(INDEX(parametros!$H$2:$H$6,MATCH(C4038,parametros!$B$2:$B$6,0)),"")="","",IF(B4038&gt;=IFERROR(INDEX(parametros!$H$2:$H$6,MATCH(C4038,parametros!$B$2:$B$6,0)),""),"Sim","Nao"))))))</f>
        <v/>
      </c>
      <c r="T4038" s="156"/>
      <c r="U4038" s="214" t="str">
        <f t="shared" si="321"/>
        <v/>
      </c>
      <c r="V4038" s="212" t="s">
        <v>50</v>
      </c>
      <c r="W4038" s="100" t="s">
        <v>168</v>
      </c>
      <c r="X4038" s="100" t="s">
        <v>169</v>
      </c>
      <c r="Y4038" s="101" t="s">
        <v>170</v>
      </c>
      <c r="Z4038" s="101" t="s">
        <v>171</v>
      </c>
      <c r="AA4038" s="101" t="s">
        <v>50</v>
      </c>
      <c r="AB4038" s="101" t="s">
        <v>172</v>
      </c>
      <c r="AC4038" s="102" t="s">
        <v>173</v>
      </c>
    </row>
    <row r="4039" spans="1:29" ht="25.5" customHeight="1" x14ac:dyDescent="0.35">
      <c r="A4039" s="392"/>
      <c r="B4039" s="393"/>
      <c r="C4039" s="99" t="str">
        <f>IF(B4039="","",IF(NOT(ISNUMBER(B4039)),"DATA_PC invalida",IF(NOT(ISNUMBER(parametros!$C$2)),"Fora dos ciclos",IF(OR(B4039&lt;parametros!$C$2,(YEAR(B4039)-YEAR(parametros!$C$2))*12+MONTH(B4039)-MONTH(parametros!$C$2)&gt;59),"Fora dos ciclos","C"&amp;INT(((YEAR(B4039)-YEAR(parametros!$C$2))*12+MONTH(B4039)-MONTH(parametros!$C$2))/12)))))</f>
        <v/>
      </c>
      <c r="D4039" s="394"/>
      <c r="E4039" s="78" t="str">
        <f>IF(C4039="","",IFERROR(VLOOKUP(C4039,parametros!$A$11:$E$15,5,0),""))</f>
        <v/>
      </c>
      <c r="F4039" s="79" t="str">
        <f t="shared" si="317"/>
        <v/>
      </c>
      <c r="G4039" s="395"/>
      <c r="H4039" s="91">
        <f t="shared" si="318"/>
        <v>0</v>
      </c>
      <c r="I4039" s="91" t="str">
        <f t="shared" si="319"/>
        <v/>
      </c>
      <c r="J4039" s="91" t="str">
        <f t="shared" si="320"/>
        <v/>
      </c>
      <c r="K4039" s="92" t="str">
        <f>IF(AND(A4039="",B4039="",D4039="",G4039=""),"",IF(AND(A4039&lt;&gt;"",COUNTIF($A$2:$A$5001,A4039)&gt;1),"NUMERO_PC duplicado",IF(B4039="","DATA_PC vazia",IF(NOT(ISNUMBER(B4039)),"DATA_PC invalida",IF(OR(C4039="",C4039="Fora dos ciclos"),"CICLO_PC nao identificado",IF(OR(D4039="",D4039=0),"VALOR_PC vazio ou zero",IF(AND(G4039&lt;&gt;"Sim",G4039&lt;&gt;"Nao",G4039&lt;&gt;""),"PC_PAGO_A_CONTRATADA invalido",IF(AND(C4039&lt;&gt;"C0",IFERROR(INDEX(parametros!$A$2:$A$6,MATCH(C4039,parametros!$B$2:$B$6,0)),"")="Sim",IFERROR(INDEX(parametros!$H$2:$H$6,MATCH(C4039,parametros!$B$2:$B$6,0)),"")=""),"INICIO_EFEITO ausente: PC "&amp;A4039&amp;" - "&amp;C4039,IF(L4039="","EFEITO_PC nao calculado: PC "&amp;A4039&amp;" - "&amp;C4039,"OK")))))))))</f>
        <v/>
      </c>
      <c r="L4039" s="92" t="str">
        <f>IF(AND(A4039="",B4039="",D4039="",G4039=""),"",IF(OR(B4039="",NOT(ISNUMBER(B4039)),C4039="",C4039="Fora dos ciclos"),"",IF(C4039="C0","Nao",IF(IFERROR(INDEX(parametros!$A$2:$A$6,MATCH(C4039,parametros!$B$2:$B$6,0)),"")&lt;&gt;"Sim","Nao",IF(IFERROR(INDEX(parametros!$H$2:$H$6,MATCH(C4039,parametros!$B$2:$B$6,0)),"")="","",IF(B4039&gt;=IFERROR(INDEX(parametros!$H$2:$H$6,MATCH(C4039,parametros!$B$2:$B$6,0)),""),"Sim","Nao"))))))</f>
        <v/>
      </c>
      <c r="T4039" s="156"/>
      <c r="U4039" s="214" t="str">
        <f t="shared" si="321"/>
        <v/>
      </c>
      <c r="V4039" s="212" t="s">
        <v>50</v>
      </c>
      <c r="W4039" s="100" t="s">
        <v>168</v>
      </c>
      <c r="X4039" s="100" t="s">
        <v>169</v>
      </c>
      <c r="Y4039" s="101" t="s">
        <v>170</v>
      </c>
      <c r="Z4039" s="101" t="s">
        <v>171</v>
      </c>
      <c r="AA4039" s="101" t="s">
        <v>50</v>
      </c>
      <c r="AB4039" s="101" t="s">
        <v>172</v>
      </c>
      <c r="AC4039" s="102" t="s">
        <v>173</v>
      </c>
    </row>
    <row r="4040" spans="1:29" ht="25.5" customHeight="1" x14ac:dyDescent="0.35">
      <c r="A4040" s="392"/>
      <c r="B4040" s="393"/>
      <c r="C4040" s="99" t="str">
        <f>IF(B4040="","",IF(NOT(ISNUMBER(B4040)),"DATA_PC invalida",IF(NOT(ISNUMBER(parametros!$C$2)),"Fora dos ciclos",IF(OR(B4040&lt;parametros!$C$2,(YEAR(B4040)-YEAR(parametros!$C$2))*12+MONTH(B4040)-MONTH(parametros!$C$2)&gt;59),"Fora dos ciclos","C"&amp;INT(((YEAR(B4040)-YEAR(parametros!$C$2))*12+MONTH(B4040)-MONTH(parametros!$C$2))/12)))))</f>
        <v/>
      </c>
      <c r="D4040" s="394"/>
      <c r="E4040" s="78" t="str">
        <f>IF(C4040="","",IFERROR(VLOOKUP(C4040,parametros!$A$11:$E$15,5,0),""))</f>
        <v/>
      </c>
      <c r="F4040" s="79" t="str">
        <f t="shared" si="317"/>
        <v/>
      </c>
      <c r="G4040" s="395"/>
      <c r="H4040" s="91">
        <f t="shared" si="318"/>
        <v>0</v>
      </c>
      <c r="I4040" s="91" t="str">
        <f t="shared" si="319"/>
        <v/>
      </c>
      <c r="J4040" s="91" t="str">
        <f t="shared" si="320"/>
        <v/>
      </c>
      <c r="K4040" s="92" t="str">
        <f>IF(AND(A4040="",B4040="",D4040="",G4040=""),"",IF(AND(A4040&lt;&gt;"",COUNTIF($A$2:$A$5001,A4040)&gt;1),"NUMERO_PC duplicado",IF(B4040="","DATA_PC vazia",IF(NOT(ISNUMBER(B4040)),"DATA_PC invalida",IF(OR(C4040="",C4040="Fora dos ciclos"),"CICLO_PC nao identificado",IF(OR(D4040="",D4040=0),"VALOR_PC vazio ou zero",IF(AND(G4040&lt;&gt;"Sim",G4040&lt;&gt;"Nao",G4040&lt;&gt;""),"PC_PAGO_A_CONTRATADA invalido",IF(AND(C4040&lt;&gt;"C0",IFERROR(INDEX(parametros!$A$2:$A$6,MATCH(C4040,parametros!$B$2:$B$6,0)),"")="Sim",IFERROR(INDEX(parametros!$H$2:$H$6,MATCH(C4040,parametros!$B$2:$B$6,0)),"")=""),"INICIO_EFEITO ausente: PC "&amp;A4040&amp;" - "&amp;C4040,IF(L4040="","EFEITO_PC nao calculado: PC "&amp;A4040&amp;" - "&amp;C4040,"OK")))))))))</f>
        <v/>
      </c>
      <c r="L4040" s="92" t="str">
        <f>IF(AND(A4040="",B4040="",D4040="",G4040=""),"",IF(OR(B4040="",NOT(ISNUMBER(B4040)),C4040="",C4040="Fora dos ciclos"),"",IF(C4040="C0","Nao",IF(IFERROR(INDEX(parametros!$A$2:$A$6,MATCH(C4040,parametros!$B$2:$B$6,0)),"")&lt;&gt;"Sim","Nao",IF(IFERROR(INDEX(parametros!$H$2:$H$6,MATCH(C4040,parametros!$B$2:$B$6,0)),"")="","",IF(B4040&gt;=IFERROR(INDEX(parametros!$H$2:$H$6,MATCH(C4040,parametros!$B$2:$B$6,0)),""),"Sim","Nao"))))))</f>
        <v/>
      </c>
      <c r="T4040" s="156"/>
      <c r="U4040" s="214" t="str">
        <f t="shared" si="321"/>
        <v/>
      </c>
      <c r="V4040" s="212" t="s">
        <v>50</v>
      </c>
      <c r="W4040" s="100" t="s">
        <v>168</v>
      </c>
      <c r="X4040" s="100" t="s">
        <v>169</v>
      </c>
      <c r="Y4040" s="101" t="s">
        <v>170</v>
      </c>
      <c r="Z4040" s="101" t="s">
        <v>171</v>
      </c>
      <c r="AA4040" s="101" t="s">
        <v>50</v>
      </c>
      <c r="AB4040" s="101" t="s">
        <v>172</v>
      </c>
      <c r="AC4040" s="102" t="s">
        <v>173</v>
      </c>
    </row>
    <row r="4041" spans="1:29" ht="25.5" customHeight="1" x14ac:dyDescent="0.35">
      <c r="A4041" s="392"/>
      <c r="B4041" s="393"/>
      <c r="C4041" s="99" t="str">
        <f>IF(B4041="","",IF(NOT(ISNUMBER(B4041)),"DATA_PC invalida",IF(NOT(ISNUMBER(parametros!$C$2)),"Fora dos ciclos",IF(OR(B4041&lt;parametros!$C$2,(YEAR(B4041)-YEAR(parametros!$C$2))*12+MONTH(B4041)-MONTH(parametros!$C$2)&gt;59),"Fora dos ciclos","C"&amp;INT(((YEAR(B4041)-YEAR(parametros!$C$2))*12+MONTH(B4041)-MONTH(parametros!$C$2))/12)))))</f>
        <v/>
      </c>
      <c r="D4041" s="394"/>
      <c r="E4041" s="78" t="str">
        <f>IF(C4041="","",IFERROR(VLOOKUP(C4041,parametros!$A$11:$E$15,5,0),""))</f>
        <v/>
      </c>
      <c r="F4041" s="79" t="str">
        <f t="shared" si="317"/>
        <v/>
      </c>
      <c r="G4041" s="395"/>
      <c r="H4041" s="91">
        <f t="shared" si="318"/>
        <v>0</v>
      </c>
      <c r="I4041" s="91" t="str">
        <f t="shared" si="319"/>
        <v/>
      </c>
      <c r="J4041" s="91" t="str">
        <f t="shared" si="320"/>
        <v/>
      </c>
      <c r="K4041" s="92" t="str">
        <f>IF(AND(A4041="",B4041="",D4041="",G4041=""),"",IF(AND(A4041&lt;&gt;"",COUNTIF($A$2:$A$5001,A4041)&gt;1),"NUMERO_PC duplicado",IF(B4041="","DATA_PC vazia",IF(NOT(ISNUMBER(B4041)),"DATA_PC invalida",IF(OR(C4041="",C4041="Fora dos ciclos"),"CICLO_PC nao identificado",IF(OR(D4041="",D4041=0),"VALOR_PC vazio ou zero",IF(AND(G4041&lt;&gt;"Sim",G4041&lt;&gt;"Nao",G4041&lt;&gt;""),"PC_PAGO_A_CONTRATADA invalido",IF(AND(C4041&lt;&gt;"C0",IFERROR(INDEX(parametros!$A$2:$A$6,MATCH(C4041,parametros!$B$2:$B$6,0)),"")="Sim",IFERROR(INDEX(parametros!$H$2:$H$6,MATCH(C4041,parametros!$B$2:$B$6,0)),"")=""),"INICIO_EFEITO ausente: PC "&amp;A4041&amp;" - "&amp;C4041,IF(L4041="","EFEITO_PC nao calculado: PC "&amp;A4041&amp;" - "&amp;C4041,"OK")))))))))</f>
        <v/>
      </c>
      <c r="L4041" s="92" t="str">
        <f>IF(AND(A4041="",B4041="",D4041="",G4041=""),"",IF(OR(B4041="",NOT(ISNUMBER(B4041)),C4041="",C4041="Fora dos ciclos"),"",IF(C4041="C0","Nao",IF(IFERROR(INDEX(parametros!$A$2:$A$6,MATCH(C4041,parametros!$B$2:$B$6,0)),"")&lt;&gt;"Sim","Nao",IF(IFERROR(INDEX(parametros!$H$2:$H$6,MATCH(C4041,parametros!$B$2:$B$6,0)),"")="","",IF(B4041&gt;=IFERROR(INDEX(parametros!$H$2:$H$6,MATCH(C4041,parametros!$B$2:$B$6,0)),""),"Sim","Nao"))))))</f>
        <v/>
      </c>
      <c r="T4041" s="156"/>
      <c r="U4041" s="214" t="str">
        <f t="shared" si="321"/>
        <v/>
      </c>
      <c r="V4041" s="212" t="s">
        <v>50</v>
      </c>
      <c r="W4041" s="100" t="s">
        <v>168</v>
      </c>
      <c r="X4041" s="100" t="s">
        <v>169</v>
      </c>
      <c r="Y4041" s="101" t="s">
        <v>170</v>
      </c>
      <c r="Z4041" s="101" t="s">
        <v>171</v>
      </c>
      <c r="AA4041" s="101" t="s">
        <v>50</v>
      </c>
      <c r="AB4041" s="101" t="s">
        <v>172</v>
      </c>
      <c r="AC4041" s="102" t="s">
        <v>173</v>
      </c>
    </row>
    <row r="4042" spans="1:29" ht="25.5" customHeight="1" x14ac:dyDescent="0.35">
      <c r="A4042" s="392"/>
      <c r="B4042" s="393"/>
      <c r="C4042" s="99" t="str">
        <f>IF(B4042="","",IF(NOT(ISNUMBER(B4042)),"DATA_PC invalida",IF(NOT(ISNUMBER(parametros!$C$2)),"Fora dos ciclos",IF(OR(B4042&lt;parametros!$C$2,(YEAR(B4042)-YEAR(parametros!$C$2))*12+MONTH(B4042)-MONTH(parametros!$C$2)&gt;59),"Fora dos ciclos","C"&amp;INT(((YEAR(B4042)-YEAR(parametros!$C$2))*12+MONTH(B4042)-MONTH(parametros!$C$2))/12)))))</f>
        <v/>
      </c>
      <c r="D4042" s="394"/>
      <c r="E4042" s="78" t="str">
        <f>IF(C4042="","",IFERROR(VLOOKUP(C4042,parametros!$A$11:$E$15,5,0),""))</f>
        <v/>
      </c>
      <c r="F4042" s="79" t="str">
        <f t="shared" si="317"/>
        <v/>
      </c>
      <c r="G4042" s="395"/>
      <c r="H4042" s="91">
        <f t="shared" si="318"/>
        <v>0</v>
      </c>
      <c r="I4042" s="91" t="str">
        <f t="shared" si="319"/>
        <v/>
      </c>
      <c r="J4042" s="91" t="str">
        <f t="shared" si="320"/>
        <v/>
      </c>
      <c r="K4042" s="92" t="str">
        <f>IF(AND(A4042="",B4042="",D4042="",G4042=""),"",IF(AND(A4042&lt;&gt;"",COUNTIF($A$2:$A$5001,A4042)&gt;1),"NUMERO_PC duplicado",IF(B4042="","DATA_PC vazia",IF(NOT(ISNUMBER(B4042)),"DATA_PC invalida",IF(OR(C4042="",C4042="Fora dos ciclos"),"CICLO_PC nao identificado",IF(OR(D4042="",D4042=0),"VALOR_PC vazio ou zero",IF(AND(G4042&lt;&gt;"Sim",G4042&lt;&gt;"Nao",G4042&lt;&gt;""),"PC_PAGO_A_CONTRATADA invalido",IF(AND(C4042&lt;&gt;"C0",IFERROR(INDEX(parametros!$A$2:$A$6,MATCH(C4042,parametros!$B$2:$B$6,0)),"")="Sim",IFERROR(INDEX(parametros!$H$2:$H$6,MATCH(C4042,parametros!$B$2:$B$6,0)),"")=""),"INICIO_EFEITO ausente: PC "&amp;A4042&amp;" - "&amp;C4042,IF(L4042="","EFEITO_PC nao calculado: PC "&amp;A4042&amp;" - "&amp;C4042,"OK")))))))))</f>
        <v/>
      </c>
      <c r="L4042" s="92" t="str">
        <f>IF(AND(A4042="",B4042="",D4042="",G4042=""),"",IF(OR(B4042="",NOT(ISNUMBER(B4042)),C4042="",C4042="Fora dos ciclos"),"",IF(C4042="C0","Nao",IF(IFERROR(INDEX(parametros!$A$2:$A$6,MATCH(C4042,parametros!$B$2:$B$6,0)),"")&lt;&gt;"Sim","Nao",IF(IFERROR(INDEX(parametros!$H$2:$H$6,MATCH(C4042,parametros!$B$2:$B$6,0)),"")="","",IF(B4042&gt;=IFERROR(INDEX(parametros!$H$2:$H$6,MATCH(C4042,parametros!$B$2:$B$6,0)),""),"Sim","Nao"))))))</f>
        <v/>
      </c>
      <c r="T4042" s="156"/>
      <c r="U4042" s="214" t="str">
        <f t="shared" si="321"/>
        <v/>
      </c>
      <c r="V4042" s="212" t="s">
        <v>50</v>
      </c>
      <c r="W4042" s="100" t="s">
        <v>168</v>
      </c>
      <c r="X4042" s="100" t="s">
        <v>169</v>
      </c>
      <c r="Y4042" s="101" t="s">
        <v>170</v>
      </c>
      <c r="Z4042" s="101" t="s">
        <v>171</v>
      </c>
      <c r="AA4042" s="101" t="s">
        <v>50</v>
      </c>
      <c r="AB4042" s="101" t="s">
        <v>172</v>
      </c>
      <c r="AC4042" s="102" t="s">
        <v>173</v>
      </c>
    </row>
    <row r="4043" spans="1:29" ht="25.5" customHeight="1" x14ac:dyDescent="0.35">
      <c r="A4043" s="392"/>
      <c r="B4043" s="393"/>
      <c r="C4043" s="99" t="str">
        <f>IF(B4043="","",IF(NOT(ISNUMBER(B4043)),"DATA_PC invalida",IF(NOT(ISNUMBER(parametros!$C$2)),"Fora dos ciclos",IF(OR(B4043&lt;parametros!$C$2,(YEAR(B4043)-YEAR(parametros!$C$2))*12+MONTH(B4043)-MONTH(parametros!$C$2)&gt;59),"Fora dos ciclos","C"&amp;INT(((YEAR(B4043)-YEAR(parametros!$C$2))*12+MONTH(B4043)-MONTH(parametros!$C$2))/12)))))</f>
        <v/>
      </c>
      <c r="D4043" s="394"/>
      <c r="E4043" s="78" t="str">
        <f>IF(C4043="","",IFERROR(VLOOKUP(C4043,parametros!$A$11:$E$15,5,0),""))</f>
        <v/>
      </c>
      <c r="F4043" s="79" t="str">
        <f t="shared" si="317"/>
        <v/>
      </c>
      <c r="G4043" s="395"/>
      <c r="H4043" s="91">
        <f t="shared" si="318"/>
        <v>0</v>
      </c>
      <c r="I4043" s="91" t="str">
        <f t="shared" si="319"/>
        <v/>
      </c>
      <c r="J4043" s="91" t="str">
        <f t="shared" si="320"/>
        <v/>
      </c>
      <c r="K4043" s="92" t="str">
        <f>IF(AND(A4043="",B4043="",D4043="",G4043=""),"",IF(AND(A4043&lt;&gt;"",COUNTIF($A$2:$A$5001,A4043)&gt;1),"NUMERO_PC duplicado",IF(B4043="","DATA_PC vazia",IF(NOT(ISNUMBER(B4043)),"DATA_PC invalida",IF(OR(C4043="",C4043="Fora dos ciclos"),"CICLO_PC nao identificado",IF(OR(D4043="",D4043=0),"VALOR_PC vazio ou zero",IF(AND(G4043&lt;&gt;"Sim",G4043&lt;&gt;"Nao",G4043&lt;&gt;""),"PC_PAGO_A_CONTRATADA invalido",IF(AND(C4043&lt;&gt;"C0",IFERROR(INDEX(parametros!$A$2:$A$6,MATCH(C4043,parametros!$B$2:$B$6,0)),"")="Sim",IFERROR(INDEX(parametros!$H$2:$H$6,MATCH(C4043,parametros!$B$2:$B$6,0)),"")=""),"INICIO_EFEITO ausente: PC "&amp;A4043&amp;" - "&amp;C4043,IF(L4043="","EFEITO_PC nao calculado: PC "&amp;A4043&amp;" - "&amp;C4043,"OK")))))))))</f>
        <v/>
      </c>
      <c r="L4043" s="92" t="str">
        <f>IF(AND(A4043="",B4043="",D4043="",G4043=""),"",IF(OR(B4043="",NOT(ISNUMBER(B4043)),C4043="",C4043="Fora dos ciclos"),"",IF(C4043="C0","Nao",IF(IFERROR(INDEX(parametros!$A$2:$A$6,MATCH(C4043,parametros!$B$2:$B$6,0)),"")&lt;&gt;"Sim","Nao",IF(IFERROR(INDEX(parametros!$H$2:$H$6,MATCH(C4043,parametros!$B$2:$B$6,0)),"")="","",IF(B4043&gt;=IFERROR(INDEX(parametros!$H$2:$H$6,MATCH(C4043,parametros!$B$2:$B$6,0)),""),"Sim","Nao"))))))</f>
        <v/>
      </c>
      <c r="T4043" s="156"/>
      <c r="U4043" s="214" t="str">
        <f t="shared" si="321"/>
        <v/>
      </c>
      <c r="V4043" s="212" t="s">
        <v>50</v>
      </c>
      <c r="W4043" s="100" t="s">
        <v>168</v>
      </c>
      <c r="X4043" s="100" t="s">
        <v>169</v>
      </c>
      <c r="Y4043" s="101" t="s">
        <v>170</v>
      </c>
      <c r="Z4043" s="101" t="s">
        <v>171</v>
      </c>
      <c r="AA4043" s="101" t="s">
        <v>50</v>
      </c>
      <c r="AB4043" s="101" t="s">
        <v>172</v>
      </c>
      <c r="AC4043" s="102" t="s">
        <v>173</v>
      </c>
    </row>
    <row r="4044" spans="1:29" ht="25.5" customHeight="1" x14ac:dyDescent="0.35">
      <c r="A4044" s="392"/>
      <c r="B4044" s="393"/>
      <c r="C4044" s="99" t="str">
        <f>IF(B4044="","",IF(NOT(ISNUMBER(B4044)),"DATA_PC invalida",IF(NOT(ISNUMBER(parametros!$C$2)),"Fora dos ciclos",IF(OR(B4044&lt;parametros!$C$2,(YEAR(B4044)-YEAR(parametros!$C$2))*12+MONTH(B4044)-MONTH(parametros!$C$2)&gt;59),"Fora dos ciclos","C"&amp;INT(((YEAR(B4044)-YEAR(parametros!$C$2))*12+MONTH(B4044)-MONTH(parametros!$C$2))/12)))))</f>
        <v/>
      </c>
      <c r="D4044" s="394"/>
      <c r="E4044" s="78" t="str">
        <f>IF(C4044="","",IFERROR(VLOOKUP(C4044,parametros!$A$11:$E$15,5,0),""))</f>
        <v/>
      </c>
      <c r="F4044" s="79" t="str">
        <f t="shared" si="317"/>
        <v/>
      </c>
      <c r="G4044" s="395"/>
      <c r="H4044" s="91">
        <f t="shared" si="318"/>
        <v>0</v>
      </c>
      <c r="I4044" s="91" t="str">
        <f t="shared" si="319"/>
        <v/>
      </c>
      <c r="J4044" s="91" t="str">
        <f t="shared" si="320"/>
        <v/>
      </c>
      <c r="K4044" s="92" t="str">
        <f>IF(AND(A4044="",B4044="",D4044="",G4044=""),"",IF(AND(A4044&lt;&gt;"",COUNTIF($A$2:$A$5001,A4044)&gt;1),"NUMERO_PC duplicado",IF(B4044="","DATA_PC vazia",IF(NOT(ISNUMBER(B4044)),"DATA_PC invalida",IF(OR(C4044="",C4044="Fora dos ciclos"),"CICLO_PC nao identificado",IF(OR(D4044="",D4044=0),"VALOR_PC vazio ou zero",IF(AND(G4044&lt;&gt;"Sim",G4044&lt;&gt;"Nao",G4044&lt;&gt;""),"PC_PAGO_A_CONTRATADA invalido",IF(AND(C4044&lt;&gt;"C0",IFERROR(INDEX(parametros!$A$2:$A$6,MATCH(C4044,parametros!$B$2:$B$6,0)),"")="Sim",IFERROR(INDEX(parametros!$H$2:$H$6,MATCH(C4044,parametros!$B$2:$B$6,0)),"")=""),"INICIO_EFEITO ausente: PC "&amp;A4044&amp;" - "&amp;C4044,IF(L4044="","EFEITO_PC nao calculado: PC "&amp;A4044&amp;" - "&amp;C4044,"OK")))))))))</f>
        <v/>
      </c>
      <c r="L4044" s="92" t="str">
        <f>IF(AND(A4044="",B4044="",D4044="",G4044=""),"",IF(OR(B4044="",NOT(ISNUMBER(B4044)),C4044="",C4044="Fora dos ciclos"),"",IF(C4044="C0","Nao",IF(IFERROR(INDEX(parametros!$A$2:$A$6,MATCH(C4044,parametros!$B$2:$B$6,0)),"")&lt;&gt;"Sim","Nao",IF(IFERROR(INDEX(parametros!$H$2:$H$6,MATCH(C4044,parametros!$B$2:$B$6,0)),"")="","",IF(B4044&gt;=IFERROR(INDEX(parametros!$H$2:$H$6,MATCH(C4044,parametros!$B$2:$B$6,0)),""),"Sim","Nao"))))))</f>
        <v/>
      </c>
      <c r="T4044" s="156"/>
      <c r="U4044" s="214" t="str">
        <f t="shared" si="321"/>
        <v/>
      </c>
      <c r="V4044" s="212" t="s">
        <v>50</v>
      </c>
      <c r="W4044" s="100" t="s">
        <v>168</v>
      </c>
      <c r="X4044" s="100" t="s">
        <v>169</v>
      </c>
      <c r="Y4044" s="101" t="s">
        <v>170</v>
      </c>
      <c r="Z4044" s="101" t="s">
        <v>171</v>
      </c>
      <c r="AA4044" s="101" t="s">
        <v>50</v>
      </c>
      <c r="AB4044" s="101" t="s">
        <v>172</v>
      </c>
      <c r="AC4044" s="102" t="s">
        <v>173</v>
      </c>
    </row>
    <row r="4045" spans="1:29" ht="25.5" customHeight="1" x14ac:dyDescent="0.35">
      <c r="A4045" s="392"/>
      <c r="B4045" s="393"/>
      <c r="C4045" s="99" t="str">
        <f>IF(B4045="","",IF(NOT(ISNUMBER(B4045)),"DATA_PC invalida",IF(NOT(ISNUMBER(parametros!$C$2)),"Fora dos ciclos",IF(OR(B4045&lt;parametros!$C$2,(YEAR(B4045)-YEAR(parametros!$C$2))*12+MONTH(B4045)-MONTH(parametros!$C$2)&gt;59),"Fora dos ciclos","C"&amp;INT(((YEAR(B4045)-YEAR(parametros!$C$2))*12+MONTH(B4045)-MONTH(parametros!$C$2))/12)))))</f>
        <v/>
      </c>
      <c r="D4045" s="394"/>
      <c r="E4045" s="78" t="str">
        <f>IF(C4045="","",IFERROR(VLOOKUP(C4045,parametros!$A$11:$E$15,5,0),""))</f>
        <v/>
      </c>
      <c r="F4045" s="79" t="str">
        <f t="shared" si="317"/>
        <v/>
      </c>
      <c r="G4045" s="395"/>
      <c r="H4045" s="91">
        <f t="shared" si="318"/>
        <v>0</v>
      </c>
      <c r="I4045" s="91" t="str">
        <f t="shared" si="319"/>
        <v/>
      </c>
      <c r="J4045" s="91" t="str">
        <f t="shared" si="320"/>
        <v/>
      </c>
      <c r="K4045" s="92" t="str">
        <f>IF(AND(A4045="",B4045="",D4045="",G4045=""),"",IF(AND(A4045&lt;&gt;"",COUNTIF($A$2:$A$5001,A4045)&gt;1),"NUMERO_PC duplicado",IF(B4045="","DATA_PC vazia",IF(NOT(ISNUMBER(B4045)),"DATA_PC invalida",IF(OR(C4045="",C4045="Fora dos ciclos"),"CICLO_PC nao identificado",IF(OR(D4045="",D4045=0),"VALOR_PC vazio ou zero",IF(AND(G4045&lt;&gt;"Sim",G4045&lt;&gt;"Nao",G4045&lt;&gt;""),"PC_PAGO_A_CONTRATADA invalido",IF(AND(C4045&lt;&gt;"C0",IFERROR(INDEX(parametros!$A$2:$A$6,MATCH(C4045,parametros!$B$2:$B$6,0)),"")="Sim",IFERROR(INDEX(parametros!$H$2:$H$6,MATCH(C4045,parametros!$B$2:$B$6,0)),"")=""),"INICIO_EFEITO ausente: PC "&amp;A4045&amp;" - "&amp;C4045,IF(L4045="","EFEITO_PC nao calculado: PC "&amp;A4045&amp;" - "&amp;C4045,"OK")))))))))</f>
        <v/>
      </c>
      <c r="L4045" s="92" t="str">
        <f>IF(AND(A4045="",B4045="",D4045="",G4045=""),"",IF(OR(B4045="",NOT(ISNUMBER(B4045)),C4045="",C4045="Fora dos ciclos"),"",IF(C4045="C0","Nao",IF(IFERROR(INDEX(parametros!$A$2:$A$6,MATCH(C4045,parametros!$B$2:$B$6,0)),"")&lt;&gt;"Sim","Nao",IF(IFERROR(INDEX(parametros!$H$2:$H$6,MATCH(C4045,parametros!$B$2:$B$6,0)),"")="","",IF(B4045&gt;=IFERROR(INDEX(parametros!$H$2:$H$6,MATCH(C4045,parametros!$B$2:$B$6,0)),""),"Sim","Nao"))))))</f>
        <v/>
      </c>
      <c r="T4045" s="156"/>
      <c r="U4045" s="214" t="str">
        <f t="shared" si="321"/>
        <v/>
      </c>
      <c r="V4045" s="212" t="s">
        <v>50</v>
      </c>
      <c r="W4045" s="100" t="s">
        <v>168</v>
      </c>
      <c r="X4045" s="100" t="s">
        <v>169</v>
      </c>
      <c r="Y4045" s="101" t="s">
        <v>170</v>
      </c>
      <c r="Z4045" s="101" t="s">
        <v>171</v>
      </c>
      <c r="AA4045" s="101" t="s">
        <v>50</v>
      </c>
      <c r="AB4045" s="101" t="s">
        <v>172</v>
      </c>
      <c r="AC4045" s="102" t="s">
        <v>173</v>
      </c>
    </row>
    <row r="4046" spans="1:29" ht="25.5" customHeight="1" x14ac:dyDescent="0.35">
      <c r="A4046" s="392"/>
      <c r="B4046" s="393"/>
      <c r="C4046" s="99" t="str">
        <f>IF(B4046="","",IF(NOT(ISNUMBER(B4046)),"DATA_PC invalida",IF(NOT(ISNUMBER(parametros!$C$2)),"Fora dos ciclos",IF(OR(B4046&lt;parametros!$C$2,(YEAR(B4046)-YEAR(parametros!$C$2))*12+MONTH(B4046)-MONTH(parametros!$C$2)&gt;59),"Fora dos ciclos","C"&amp;INT(((YEAR(B4046)-YEAR(parametros!$C$2))*12+MONTH(B4046)-MONTH(parametros!$C$2))/12)))))</f>
        <v/>
      </c>
      <c r="D4046" s="394"/>
      <c r="E4046" s="78" t="str">
        <f>IF(C4046="","",IFERROR(VLOOKUP(C4046,parametros!$A$11:$E$15,5,0),""))</f>
        <v/>
      </c>
      <c r="F4046" s="79" t="str">
        <f t="shared" si="317"/>
        <v/>
      </c>
      <c r="G4046" s="395"/>
      <c r="H4046" s="91">
        <f t="shared" si="318"/>
        <v>0</v>
      </c>
      <c r="I4046" s="91" t="str">
        <f t="shared" si="319"/>
        <v/>
      </c>
      <c r="J4046" s="91" t="str">
        <f t="shared" si="320"/>
        <v/>
      </c>
      <c r="K4046" s="92" t="str">
        <f>IF(AND(A4046="",B4046="",D4046="",G4046=""),"",IF(AND(A4046&lt;&gt;"",COUNTIF($A$2:$A$5001,A4046)&gt;1),"NUMERO_PC duplicado",IF(B4046="","DATA_PC vazia",IF(NOT(ISNUMBER(B4046)),"DATA_PC invalida",IF(OR(C4046="",C4046="Fora dos ciclos"),"CICLO_PC nao identificado",IF(OR(D4046="",D4046=0),"VALOR_PC vazio ou zero",IF(AND(G4046&lt;&gt;"Sim",G4046&lt;&gt;"Nao",G4046&lt;&gt;""),"PC_PAGO_A_CONTRATADA invalido",IF(AND(C4046&lt;&gt;"C0",IFERROR(INDEX(parametros!$A$2:$A$6,MATCH(C4046,parametros!$B$2:$B$6,0)),"")="Sim",IFERROR(INDEX(parametros!$H$2:$H$6,MATCH(C4046,parametros!$B$2:$B$6,0)),"")=""),"INICIO_EFEITO ausente: PC "&amp;A4046&amp;" - "&amp;C4046,IF(L4046="","EFEITO_PC nao calculado: PC "&amp;A4046&amp;" - "&amp;C4046,"OK")))))))))</f>
        <v/>
      </c>
      <c r="L4046" s="92" t="str">
        <f>IF(AND(A4046="",B4046="",D4046="",G4046=""),"",IF(OR(B4046="",NOT(ISNUMBER(B4046)),C4046="",C4046="Fora dos ciclos"),"",IF(C4046="C0","Nao",IF(IFERROR(INDEX(parametros!$A$2:$A$6,MATCH(C4046,parametros!$B$2:$B$6,0)),"")&lt;&gt;"Sim","Nao",IF(IFERROR(INDEX(parametros!$H$2:$H$6,MATCH(C4046,parametros!$B$2:$B$6,0)),"")="","",IF(B4046&gt;=IFERROR(INDEX(parametros!$H$2:$H$6,MATCH(C4046,parametros!$B$2:$B$6,0)),""),"Sim","Nao"))))))</f>
        <v/>
      </c>
      <c r="T4046" s="156"/>
      <c r="U4046" s="214" t="str">
        <f t="shared" si="321"/>
        <v/>
      </c>
      <c r="V4046" s="212" t="s">
        <v>50</v>
      </c>
      <c r="W4046" s="100" t="s">
        <v>168</v>
      </c>
      <c r="X4046" s="100" t="s">
        <v>169</v>
      </c>
      <c r="Y4046" s="101" t="s">
        <v>170</v>
      </c>
      <c r="Z4046" s="101" t="s">
        <v>171</v>
      </c>
      <c r="AA4046" s="101" t="s">
        <v>50</v>
      </c>
      <c r="AB4046" s="101" t="s">
        <v>172</v>
      </c>
      <c r="AC4046" s="102" t="s">
        <v>173</v>
      </c>
    </row>
    <row r="4047" spans="1:29" ht="25.5" customHeight="1" x14ac:dyDescent="0.35">
      <c r="A4047" s="392"/>
      <c r="B4047" s="393"/>
      <c r="C4047" s="99" t="str">
        <f>IF(B4047="","",IF(NOT(ISNUMBER(B4047)),"DATA_PC invalida",IF(NOT(ISNUMBER(parametros!$C$2)),"Fora dos ciclos",IF(OR(B4047&lt;parametros!$C$2,(YEAR(B4047)-YEAR(parametros!$C$2))*12+MONTH(B4047)-MONTH(parametros!$C$2)&gt;59),"Fora dos ciclos","C"&amp;INT(((YEAR(B4047)-YEAR(parametros!$C$2))*12+MONTH(B4047)-MONTH(parametros!$C$2))/12)))))</f>
        <v/>
      </c>
      <c r="D4047" s="394"/>
      <c r="E4047" s="78" t="str">
        <f>IF(C4047="","",IFERROR(VLOOKUP(C4047,parametros!$A$11:$E$15,5,0),""))</f>
        <v/>
      </c>
      <c r="F4047" s="79" t="str">
        <f t="shared" si="317"/>
        <v/>
      </c>
      <c r="G4047" s="395"/>
      <c r="H4047" s="91">
        <f t="shared" si="318"/>
        <v>0</v>
      </c>
      <c r="I4047" s="91" t="str">
        <f t="shared" si="319"/>
        <v/>
      </c>
      <c r="J4047" s="91" t="str">
        <f t="shared" si="320"/>
        <v/>
      </c>
      <c r="K4047" s="92" t="str">
        <f>IF(AND(A4047="",B4047="",D4047="",G4047=""),"",IF(AND(A4047&lt;&gt;"",COUNTIF($A$2:$A$5001,A4047)&gt;1),"NUMERO_PC duplicado",IF(B4047="","DATA_PC vazia",IF(NOT(ISNUMBER(B4047)),"DATA_PC invalida",IF(OR(C4047="",C4047="Fora dos ciclos"),"CICLO_PC nao identificado",IF(OR(D4047="",D4047=0),"VALOR_PC vazio ou zero",IF(AND(G4047&lt;&gt;"Sim",G4047&lt;&gt;"Nao",G4047&lt;&gt;""),"PC_PAGO_A_CONTRATADA invalido",IF(AND(C4047&lt;&gt;"C0",IFERROR(INDEX(parametros!$A$2:$A$6,MATCH(C4047,parametros!$B$2:$B$6,0)),"")="Sim",IFERROR(INDEX(parametros!$H$2:$H$6,MATCH(C4047,parametros!$B$2:$B$6,0)),"")=""),"INICIO_EFEITO ausente: PC "&amp;A4047&amp;" - "&amp;C4047,IF(L4047="","EFEITO_PC nao calculado: PC "&amp;A4047&amp;" - "&amp;C4047,"OK")))))))))</f>
        <v/>
      </c>
      <c r="L4047" s="92" t="str">
        <f>IF(AND(A4047="",B4047="",D4047="",G4047=""),"",IF(OR(B4047="",NOT(ISNUMBER(B4047)),C4047="",C4047="Fora dos ciclos"),"",IF(C4047="C0","Nao",IF(IFERROR(INDEX(parametros!$A$2:$A$6,MATCH(C4047,parametros!$B$2:$B$6,0)),"")&lt;&gt;"Sim","Nao",IF(IFERROR(INDEX(parametros!$H$2:$H$6,MATCH(C4047,parametros!$B$2:$B$6,0)),"")="","",IF(B4047&gt;=IFERROR(INDEX(parametros!$H$2:$H$6,MATCH(C4047,parametros!$B$2:$B$6,0)),""),"Sim","Nao"))))))</f>
        <v/>
      </c>
      <c r="T4047" s="156"/>
      <c r="U4047" s="214" t="str">
        <f t="shared" si="321"/>
        <v/>
      </c>
      <c r="V4047" s="212" t="s">
        <v>50</v>
      </c>
      <c r="W4047" s="100" t="s">
        <v>168</v>
      </c>
      <c r="X4047" s="100" t="s">
        <v>169</v>
      </c>
      <c r="Y4047" s="101" t="s">
        <v>170</v>
      </c>
      <c r="Z4047" s="101" t="s">
        <v>171</v>
      </c>
      <c r="AA4047" s="101" t="s">
        <v>50</v>
      </c>
      <c r="AB4047" s="101" t="s">
        <v>172</v>
      </c>
      <c r="AC4047" s="102" t="s">
        <v>173</v>
      </c>
    </row>
    <row r="4048" spans="1:29" ht="25.5" customHeight="1" x14ac:dyDescent="0.35">
      <c r="A4048" s="392"/>
      <c r="B4048" s="393"/>
      <c r="C4048" s="99" t="str">
        <f>IF(B4048="","",IF(NOT(ISNUMBER(B4048)),"DATA_PC invalida",IF(NOT(ISNUMBER(parametros!$C$2)),"Fora dos ciclos",IF(OR(B4048&lt;parametros!$C$2,(YEAR(B4048)-YEAR(parametros!$C$2))*12+MONTH(B4048)-MONTH(parametros!$C$2)&gt;59),"Fora dos ciclos","C"&amp;INT(((YEAR(B4048)-YEAR(parametros!$C$2))*12+MONTH(B4048)-MONTH(parametros!$C$2))/12)))))</f>
        <v/>
      </c>
      <c r="D4048" s="394"/>
      <c r="E4048" s="78" t="str">
        <f>IF(C4048="","",IFERROR(VLOOKUP(C4048,parametros!$A$11:$E$15,5,0),""))</f>
        <v/>
      </c>
      <c r="F4048" s="79" t="str">
        <f t="shared" si="317"/>
        <v/>
      </c>
      <c r="G4048" s="395"/>
      <c r="H4048" s="91">
        <f t="shared" si="318"/>
        <v>0</v>
      </c>
      <c r="I4048" s="91" t="str">
        <f t="shared" si="319"/>
        <v/>
      </c>
      <c r="J4048" s="91" t="str">
        <f t="shared" si="320"/>
        <v/>
      </c>
      <c r="K4048" s="92" t="str">
        <f>IF(AND(A4048="",B4048="",D4048="",G4048=""),"",IF(AND(A4048&lt;&gt;"",COUNTIF($A$2:$A$5001,A4048)&gt;1),"NUMERO_PC duplicado",IF(B4048="","DATA_PC vazia",IF(NOT(ISNUMBER(B4048)),"DATA_PC invalida",IF(OR(C4048="",C4048="Fora dos ciclos"),"CICLO_PC nao identificado",IF(OR(D4048="",D4048=0),"VALOR_PC vazio ou zero",IF(AND(G4048&lt;&gt;"Sim",G4048&lt;&gt;"Nao",G4048&lt;&gt;""),"PC_PAGO_A_CONTRATADA invalido",IF(AND(C4048&lt;&gt;"C0",IFERROR(INDEX(parametros!$A$2:$A$6,MATCH(C4048,parametros!$B$2:$B$6,0)),"")="Sim",IFERROR(INDEX(parametros!$H$2:$H$6,MATCH(C4048,parametros!$B$2:$B$6,0)),"")=""),"INICIO_EFEITO ausente: PC "&amp;A4048&amp;" - "&amp;C4048,IF(L4048="","EFEITO_PC nao calculado: PC "&amp;A4048&amp;" - "&amp;C4048,"OK")))))))))</f>
        <v/>
      </c>
      <c r="L4048" s="92" t="str">
        <f>IF(AND(A4048="",B4048="",D4048="",G4048=""),"",IF(OR(B4048="",NOT(ISNUMBER(B4048)),C4048="",C4048="Fora dos ciclos"),"",IF(C4048="C0","Nao",IF(IFERROR(INDEX(parametros!$A$2:$A$6,MATCH(C4048,parametros!$B$2:$B$6,0)),"")&lt;&gt;"Sim","Nao",IF(IFERROR(INDEX(parametros!$H$2:$H$6,MATCH(C4048,parametros!$B$2:$B$6,0)),"")="","",IF(B4048&gt;=IFERROR(INDEX(parametros!$H$2:$H$6,MATCH(C4048,parametros!$B$2:$B$6,0)),""),"Sim","Nao"))))))</f>
        <v/>
      </c>
      <c r="T4048" s="156"/>
      <c r="U4048" s="214" t="str">
        <f t="shared" si="321"/>
        <v/>
      </c>
      <c r="V4048" s="212" t="s">
        <v>50</v>
      </c>
      <c r="W4048" s="100" t="s">
        <v>168</v>
      </c>
      <c r="X4048" s="100" t="s">
        <v>169</v>
      </c>
      <c r="Y4048" s="101" t="s">
        <v>170</v>
      </c>
      <c r="Z4048" s="101" t="s">
        <v>171</v>
      </c>
      <c r="AA4048" s="101" t="s">
        <v>50</v>
      </c>
      <c r="AB4048" s="101" t="s">
        <v>172</v>
      </c>
      <c r="AC4048" s="102" t="s">
        <v>173</v>
      </c>
    </row>
    <row r="4049" spans="1:29" ht="25.5" customHeight="1" x14ac:dyDescent="0.35">
      <c r="A4049" s="392"/>
      <c r="B4049" s="393"/>
      <c r="C4049" s="99" t="str">
        <f>IF(B4049="","",IF(NOT(ISNUMBER(B4049)),"DATA_PC invalida",IF(NOT(ISNUMBER(parametros!$C$2)),"Fora dos ciclos",IF(OR(B4049&lt;parametros!$C$2,(YEAR(B4049)-YEAR(parametros!$C$2))*12+MONTH(B4049)-MONTH(parametros!$C$2)&gt;59),"Fora dos ciclos","C"&amp;INT(((YEAR(B4049)-YEAR(parametros!$C$2))*12+MONTH(B4049)-MONTH(parametros!$C$2))/12)))))</f>
        <v/>
      </c>
      <c r="D4049" s="394"/>
      <c r="E4049" s="78" t="str">
        <f>IF(C4049="","",IFERROR(VLOOKUP(C4049,parametros!$A$11:$E$15,5,0),""))</f>
        <v/>
      </c>
      <c r="F4049" s="79" t="str">
        <f t="shared" si="317"/>
        <v/>
      </c>
      <c r="G4049" s="395"/>
      <c r="H4049" s="91">
        <f t="shared" si="318"/>
        <v>0</v>
      </c>
      <c r="I4049" s="91" t="str">
        <f t="shared" si="319"/>
        <v/>
      </c>
      <c r="J4049" s="91" t="str">
        <f t="shared" si="320"/>
        <v/>
      </c>
      <c r="K4049" s="92" t="str">
        <f>IF(AND(A4049="",B4049="",D4049="",G4049=""),"",IF(AND(A4049&lt;&gt;"",COUNTIF($A$2:$A$5001,A4049)&gt;1),"NUMERO_PC duplicado",IF(B4049="","DATA_PC vazia",IF(NOT(ISNUMBER(B4049)),"DATA_PC invalida",IF(OR(C4049="",C4049="Fora dos ciclos"),"CICLO_PC nao identificado",IF(OR(D4049="",D4049=0),"VALOR_PC vazio ou zero",IF(AND(G4049&lt;&gt;"Sim",G4049&lt;&gt;"Nao",G4049&lt;&gt;""),"PC_PAGO_A_CONTRATADA invalido",IF(AND(C4049&lt;&gt;"C0",IFERROR(INDEX(parametros!$A$2:$A$6,MATCH(C4049,parametros!$B$2:$B$6,0)),"")="Sim",IFERROR(INDEX(parametros!$H$2:$H$6,MATCH(C4049,parametros!$B$2:$B$6,0)),"")=""),"INICIO_EFEITO ausente: PC "&amp;A4049&amp;" - "&amp;C4049,IF(L4049="","EFEITO_PC nao calculado: PC "&amp;A4049&amp;" - "&amp;C4049,"OK")))))))))</f>
        <v/>
      </c>
      <c r="L4049" s="92" t="str">
        <f>IF(AND(A4049="",B4049="",D4049="",G4049=""),"",IF(OR(B4049="",NOT(ISNUMBER(B4049)),C4049="",C4049="Fora dos ciclos"),"",IF(C4049="C0","Nao",IF(IFERROR(INDEX(parametros!$A$2:$A$6,MATCH(C4049,parametros!$B$2:$B$6,0)),"")&lt;&gt;"Sim","Nao",IF(IFERROR(INDEX(parametros!$H$2:$H$6,MATCH(C4049,parametros!$B$2:$B$6,0)),"")="","",IF(B4049&gt;=IFERROR(INDEX(parametros!$H$2:$H$6,MATCH(C4049,parametros!$B$2:$B$6,0)),""),"Sim","Nao"))))))</f>
        <v/>
      </c>
      <c r="T4049" s="156"/>
      <c r="U4049" s="214" t="str">
        <f t="shared" si="321"/>
        <v/>
      </c>
      <c r="V4049" s="212" t="s">
        <v>50</v>
      </c>
      <c r="W4049" s="100" t="s">
        <v>168</v>
      </c>
      <c r="X4049" s="100" t="s">
        <v>169</v>
      </c>
      <c r="Y4049" s="101" t="s">
        <v>170</v>
      </c>
      <c r="Z4049" s="101" t="s">
        <v>171</v>
      </c>
      <c r="AA4049" s="101" t="s">
        <v>50</v>
      </c>
      <c r="AB4049" s="101" t="s">
        <v>172</v>
      </c>
      <c r="AC4049" s="102" t="s">
        <v>173</v>
      </c>
    </row>
    <row r="4050" spans="1:29" ht="25.5" customHeight="1" x14ac:dyDescent="0.35">
      <c r="A4050" s="392"/>
      <c r="B4050" s="393"/>
      <c r="C4050" s="99" t="str">
        <f>IF(B4050="","",IF(NOT(ISNUMBER(B4050)),"DATA_PC invalida",IF(NOT(ISNUMBER(parametros!$C$2)),"Fora dos ciclos",IF(OR(B4050&lt;parametros!$C$2,(YEAR(B4050)-YEAR(parametros!$C$2))*12+MONTH(B4050)-MONTH(parametros!$C$2)&gt;59),"Fora dos ciclos","C"&amp;INT(((YEAR(B4050)-YEAR(parametros!$C$2))*12+MONTH(B4050)-MONTH(parametros!$C$2))/12)))))</f>
        <v/>
      </c>
      <c r="D4050" s="394"/>
      <c r="E4050" s="78" t="str">
        <f>IF(C4050="","",IFERROR(VLOOKUP(C4050,parametros!$A$11:$E$15,5,0),""))</f>
        <v/>
      </c>
      <c r="F4050" s="79" t="str">
        <f t="shared" si="317"/>
        <v/>
      </c>
      <c r="G4050" s="395"/>
      <c r="H4050" s="91">
        <f t="shared" si="318"/>
        <v>0</v>
      </c>
      <c r="I4050" s="91" t="str">
        <f t="shared" si="319"/>
        <v/>
      </c>
      <c r="J4050" s="91" t="str">
        <f t="shared" si="320"/>
        <v/>
      </c>
      <c r="K4050" s="92" t="str">
        <f>IF(AND(A4050="",B4050="",D4050="",G4050=""),"",IF(AND(A4050&lt;&gt;"",COUNTIF($A$2:$A$5001,A4050)&gt;1),"NUMERO_PC duplicado",IF(B4050="","DATA_PC vazia",IF(NOT(ISNUMBER(B4050)),"DATA_PC invalida",IF(OR(C4050="",C4050="Fora dos ciclos"),"CICLO_PC nao identificado",IF(OR(D4050="",D4050=0),"VALOR_PC vazio ou zero",IF(AND(G4050&lt;&gt;"Sim",G4050&lt;&gt;"Nao",G4050&lt;&gt;""),"PC_PAGO_A_CONTRATADA invalido",IF(AND(C4050&lt;&gt;"C0",IFERROR(INDEX(parametros!$A$2:$A$6,MATCH(C4050,parametros!$B$2:$B$6,0)),"")="Sim",IFERROR(INDEX(parametros!$H$2:$H$6,MATCH(C4050,parametros!$B$2:$B$6,0)),"")=""),"INICIO_EFEITO ausente: PC "&amp;A4050&amp;" - "&amp;C4050,IF(L4050="","EFEITO_PC nao calculado: PC "&amp;A4050&amp;" - "&amp;C4050,"OK")))))))))</f>
        <v/>
      </c>
      <c r="L4050" s="92" t="str">
        <f>IF(AND(A4050="",B4050="",D4050="",G4050=""),"",IF(OR(B4050="",NOT(ISNUMBER(B4050)),C4050="",C4050="Fora dos ciclos"),"",IF(C4050="C0","Nao",IF(IFERROR(INDEX(parametros!$A$2:$A$6,MATCH(C4050,parametros!$B$2:$B$6,0)),"")&lt;&gt;"Sim","Nao",IF(IFERROR(INDEX(parametros!$H$2:$H$6,MATCH(C4050,parametros!$B$2:$B$6,0)),"")="","",IF(B4050&gt;=IFERROR(INDEX(parametros!$H$2:$H$6,MATCH(C4050,parametros!$B$2:$B$6,0)),""),"Sim","Nao"))))))</f>
        <v/>
      </c>
      <c r="T4050" s="156"/>
      <c r="U4050" s="214" t="str">
        <f t="shared" si="321"/>
        <v/>
      </c>
      <c r="V4050" s="212" t="s">
        <v>50</v>
      </c>
      <c r="W4050" s="100" t="s">
        <v>168</v>
      </c>
      <c r="X4050" s="100" t="s">
        <v>169</v>
      </c>
      <c r="Y4050" s="101" t="s">
        <v>170</v>
      </c>
      <c r="Z4050" s="101" t="s">
        <v>171</v>
      </c>
      <c r="AA4050" s="101" t="s">
        <v>50</v>
      </c>
      <c r="AB4050" s="101" t="s">
        <v>172</v>
      </c>
      <c r="AC4050" s="102" t="s">
        <v>173</v>
      </c>
    </row>
    <row r="4051" spans="1:29" ht="25.5" customHeight="1" x14ac:dyDescent="0.35">
      <c r="A4051" s="392"/>
      <c r="B4051" s="393"/>
      <c r="C4051" s="99" t="str">
        <f>IF(B4051="","",IF(NOT(ISNUMBER(B4051)),"DATA_PC invalida",IF(NOT(ISNUMBER(parametros!$C$2)),"Fora dos ciclos",IF(OR(B4051&lt;parametros!$C$2,(YEAR(B4051)-YEAR(parametros!$C$2))*12+MONTH(B4051)-MONTH(parametros!$C$2)&gt;59),"Fora dos ciclos","C"&amp;INT(((YEAR(B4051)-YEAR(parametros!$C$2))*12+MONTH(B4051)-MONTH(parametros!$C$2))/12)))))</f>
        <v/>
      </c>
      <c r="D4051" s="394"/>
      <c r="E4051" s="78" t="str">
        <f>IF(C4051="","",IFERROR(VLOOKUP(C4051,parametros!$A$11:$E$15,5,0),""))</f>
        <v/>
      </c>
      <c r="F4051" s="79" t="str">
        <f t="shared" si="317"/>
        <v/>
      </c>
      <c r="G4051" s="395"/>
      <c r="H4051" s="91">
        <f t="shared" si="318"/>
        <v>0</v>
      </c>
      <c r="I4051" s="91" t="str">
        <f t="shared" si="319"/>
        <v/>
      </c>
      <c r="J4051" s="91" t="str">
        <f t="shared" si="320"/>
        <v/>
      </c>
      <c r="K4051" s="92" t="str">
        <f>IF(AND(A4051="",B4051="",D4051="",G4051=""),"",IF(AND(A4051&lt;&gt;"",COUNTIF($A$2:$A$5001,A4051)&gt;1),"NUMERO_PC duplicado",IF(B4051="","DATA_PC vazia",IF(NOT(ISNUMBER(B4051)),"DATA_PC invalida",IF(OR(C4051="",C4051="Fora dos ciclos"),"CICLO_PC nao identificado",IF(OR(D4051="",D4051=0),"VALOR_PC vazio ou zero",IF(AND(G4051&lt;&gt;"Sim",G4051&lt;&gt;"Nao",G4051&lt;&gt;""),"PC_PAGO_A_CONTRATADA invalido",IF(AND(C4051&lt;&gt;"C0",IFERROR(INDEX(parametros!$A$2:$A$6,MATCH(C4051,parametros!$B$2:$B$6,0)),"")="Sim",IFERROR(INDEX(parametros!$H$2:$H$6,MATCH(C4051,parametros!$B$2:$B$6,0)),"")=""),"INICIO_EFEITO ausente: PC "&amp;A4051&amp;" - "&amp;C4051,IF(L4051="","EFEITO_PC nao calculado: PC "&amp;A4051&amp;" - "&amp;C4051,"OK")))))))))</f>
        <v/>
      </c>
      <c r="L4051" s="92" t="str">
        <f>IF(AND(A4051="",B4051="",D4051="",G4051=""),"",IF(OR(B4051="",NOT(ISNUMBER(B4051)),C4051="",C4051="Fora dos ciclos"),"",IF(C4051="C0","Nao",IF(IFERROR(INDEX(parametros!$A$2:$A$6,MATCH(C4051,parametros!$B$2:$B$6,0)),"")&lt;&gt;"Sim","Nao",IF(IFERROR(INDEX(parametros!$H$2:$H$6,MATCH(C4051,parametros!$B$2:$B$6,0)),"")="","",IF(B4051&gt;=IFERROR(INDEX(parametros!$H$2:$H$6,MATCH(C4051,parametros!$B$2:$B$6,0)),""),"Sim","Nao"))))))</f>
        <v/>
      </c>
      <c r="T4051" s="156"/>
      <c r="U4051" s="214" t="str">
        <f t="shared" si="321"/>
        <v/>
      </c>
      <c r="V4051" s="212" t="s">
        <v>50</v>
      </c>
      <c r="W4051" s="100" t="s">
        <v>168</v>
      </c>
      <c r="X4051" s="100" t="s">
        <v>169</v>
      </c>
      <c r="Y4051" s="101" t="s">
        <v>170</v>
      </c>
      <c r="Z4051" s="101" t="s">
        <v>171</v>
      </c>
      <c r="AA4051" s="101" t="s">
        <v>50</v>
      </c>
      <c r="AB4051" s="101" t="s">
        <v>172</v>
      </c>
      <c r="AC4051" s="102" t="s">
        <v>173</v>
      </c>
    </row>
    <row r="4052" spans="1:29" ht="25.5" customHeight="1" x14ac:dyDescent="0.35">
      <c r="A4052" s="392"/>
      <c r="B4052" s="393"/>
      <c r="C4052" s="99" t="str">
        <f>IF(B4052="","",IF(NOT(ISNUMBER(B4052)),"DATA_PC invalida",IF(NOT(ISNUMBER(parametros!$C$2)),"Fora dos ciclos",IF(OR(B4052&lt;parametros!$C$2,(YEAR(B4052)-YEAR(parametros!$C$2))*12+MONTH(B4052)-MONTH(parametros!$C$2)&gt;59),"Fora dos ciclos","C"&amp;INT(((YEAR(B4052)-YEAR(parametros!$C$2))*12+MONTH(B4052)-MONTH(parametros!$C$2))/12)))))</f>
        <v/>
      </c>
      <c r="D4052" s="394"/>
      <c r="E4052" s="78" t="str">
        <f>IF(C4052="","",IFERROR(VLOOKUP(C4052,parametros!$A$11:$E$15,5,0),""))</f>
        <v/>
      </c>
      <c r="F4052" s="79" t="str">
        <f t="shared" si="317"/>
        <v/>
      </c>
      <c r="G4052" s="395"/>
      <c r="H4052" s="91">
        <f t="shared" si="318"/>
        <v>0</v>
      </c>
      <c r="I4052" s="91" t="str">
        <f t="shared" si="319"/>
        <v/>
      </c>
      <c r="J4052" s="91" t="str">
        <f t="shared" si="320"/>
        <v/>
      </c>
      <c r="K4052" s="92" t="str">
        <f>IF(AND(A4052="",B4052="",D4052="",G4052=""),"",IF(AND(A4052&lt;&gt;"",COUNTIF($A$2:$A$5001,A4052)&gt;1),"NUMERO_PC duplicado",IF(B4052="","DATA_PC vazia",IF(NOT(ISNUMBER(B4052)),"DATA_PC invalida",IF(OR(C4052="",C4052="Fora dos ciclos"),"CICLO_PC nao identificado",IF(OR(D4052="",D4052=0),"VALOR_PC vazio ou zero",IF(AND(G4052&lt;&gt;"Sim",G4052&lt;&gt;"Nao",G4052&lt;&gt;""),"PC_PAGO_A_CONTRATADA invalido",IF(AND(C4052&lt;&gt;"C0",IFERROR(INDEX(parametros!$A$2:$A$6,MATCH(C4052,parametros!$B$2:$B$6,0)),"")="Sim",IFERROR(INDEX(parametros!$H$2:$H$6,MATCH(C4052,parametros!$B$2:$B$6,0)),"")=""),"INICIO_EFEITO ausente: PC "&amp;A4052&amp;" - "&amp;C4052,IF(L4052="","EFEITO_PC nao calculado: PC "&amp;A4052&amp;" - "&amp;C4052,"OK")))))))))</f>
        <v/>
      </c>
      <c r="L4052" s="92" t="str">
        <f>IF(AND(A4052="",B4052="",D4052="",G4052=""),"",IF(OR(B4052="",NOT(ISNUMBER(B4052)),C4052="",C4052="Fora dos ciclos"),"",IF(C4052="C0","Nao",IF(IFERROR(INDEX(parametros!$A$2:$A$6,MATCH(C4052,parametros!$B$2:$B$6,0)),"")&lt;&gt;"Sim","Nao",IF(IFERROR(INDEX(parametros!$H$2:$H$6,MATCH(C4052,parametros!$B$2:$B$6,0)),"")="","",IF(B4052&gt;=IFERROR(INDEX(parametros!$H$2:$H$6,MATCH(C4052,parametros!$B$2:$B$6,0)),""),"Sim","Nao"))))))</f>
        <v/>
      </c>
      <c r="T4052" s="156"/>
      <c r="U4052" s="214" t="str">
        <f t="shared" si="321"/>
        <v/>
      </c>
      <c r="V4052" s="212" t="s">
        <v>50</v>
      </c>
      <c r="W4052" s="100" t="s">
        <v>168</v>
      </c>
      <c r="X4052" s="100" t="s">
        <v>169</v>
      </c>
      <c r="Y4052" s="101" t="s">
        <v>170</v>
      </c>
      <c r="Z4052" s="101" t="s">
        <v>171</v>
      </c>
      <c r="AA4052" s="101" t="s">
        <v>50</v>
      </c>
      <c r="AB4052" s="101" t="s">
        <v>172</v>
      </c>
      <c r="AC4052" s="102" t="s">
        <v>173</v>
      </c>
    </row>
    <row r="4053" spans="1:29" ht="25.5" customHeight="1" x14ac:dyDescent="0.35">
      <c r="A4053" s="392"/>
      <c r="B4053" s="393"/>
      <c r="C4053" s="99" t="str">
        <f>IF(B4053="","",IF(NOT(ISNUMBER(B4053)),"DATA_PC invalida",IF(NOT(ISNUMBER(parametros!$C$2)),"Fora dos ciclos",IF(OR(B4053&lt;parametros!$C$2,(YEAR(B4053)-YEAR(parametros!$C$2))*12+MONTH(B4053)-MONTH(parametros!$C$2)&gt;59),"Fora dos ciclos","C"&amp;INT(((YEAR(B4053)-YEAR(parametros!$C$2))*12+MONTH(B4053)-MONTH(parametros!$C$2))/12)))))</f>
        <v/>
      </c>
      <c r="D4053" s="394"/>
      <c r="E4053" s="78" t="str">
        <f>IF(C4053="","",IFERROR(VLOOKUP(C4053,parametros!$A$11:$E$15,5,0),""))</f>
        <v/>
      </c>
      <c r="F4053" s="79" t="str">
        <f t="shared" si="317"/>
        <v/>
      </c>
      <c r="G4053" s="395"/>
      <c r="H4053" s="91">
        <f t="shared" si="318"/>
        <v>0</v>
      </c>
      <c r="I4053" s="91" t="str">
        <f t="shared" si="319"/>
        <v/>
      </c>
      <c r="J4053" s="91" t="str">
        <f t="shared" si="320"/>
        <v/>
      </c>
      <c r="K4053" s="92" t="str">
        <f>IF(AND(A4053="",B4053="",D4053="",G4053=""),"",IF(AND(A4053&lt;&gt;"",COUNTIF($A$2:$A$5001,A4053)&gt;1),"NUMERO_PC duplicado",IF(B4053="","DATA_PC vazia",IF(NOT(ISNUMBER(B4053)),"DATA_PC invalida",IF(OR(C4053="",C4053="Fora dos ciclos"),"CICLO_PC nao identificado",IF(OR(D4053="",D4053=0),"VALOR_PC vazio ou zero",IF(AND(G4053&lt;&gt;"Sim",G4053&lt;&gt;"Nao",G4053&lt;&gt;""),"PC_PAGO_A_CONTRATADA invalido",IF(AND(C4053&lt;&gt;"C0",IFERROR(INDEX(parametros!$A$2:$A$6,MATCH(C4053,parametros!$B$2:$B$6,0)),"")="Sim",IFERROR(INDEX(parametros!$H$2:$H$6,MATCH(C4053,parametros!$B$2:$B$6,0)),"")=""),"INICIO_EFEITO ausente: PC "&amp;A4053&amp;" - "&amp;C4053,IF(L4053="","EFEITO_PC nao calculado: PC "&amp;A4053&amp;" - "&amp;C4053,"OK")))))))))</f>
        <v/>
      </c>
      <c r="L4053" s="92" t="str">
        <f>IF(AND(A4053="",B4053="",D4053="",G4053=""),"",IF(OR(B4053="",NOT(ISNUMBER(B4053)),C4053="",C4053="Fora dos ciclos"),"",IF(C4053="C0","Nao",IF(IFERROR(INDEX(parametros!$A$2:$A$6,MATCH(C4053,parametros!$B$2:$B$6,0)),"")&lt;&gt;"Sim","Nao",IF(IFERROR(INDEX(parametros!$H$2:$H$6,MATCH(C4053,parametros!$B$2:$B$6,0)),"")="","",IF(B4053&gt;=IFERROR(INDEX(parametros!$H$2:$H$6,MATCH(C4053,parametros!$B$2:$B$6,0)),""),"Sim","Nao"))))))</f>
        <v/>
      </c>
      <c r="T4053" s="156"/>
      <c r="U4053" s="214" t="str">
        <f t="shared" si="321"/>
        <v/>
      </c>
      <c r="V4053" s="212" t="s">
        <v>50</v>
      </c>
      <c r="W4053" s="100" t="s">
        <v>168</v>
      </c>
      <c r="X4053" s="100" t="s">
        <v>169</v>
      </c>
      <c r="Y4053" s="101" t="s">
        <v>170</v>
      </c>
      <c r="Z4053" s="101" t="s">
        <v>171</v>
      </c>
      <c r="AA4053" s="101" t="s">
        <v>50</v>
      </c>
      <c r="AB4053" s="101" t="s">
        <v>172</v>
      </c>
      <c r="AC4053" s="102" t="s">
        <v>173</v>
      </c>
    </row>
    <row r="4054" spans="1:29" ht="25.5" customHeight="1" x14ac:dyDescent="0.35">
      <c r="A4054" s="392"/>
      <c r="B4054" s="393"/>
      <c r="C4054" s="99" t="str">
        <f>IF(B4054="","",IF(NOT(ISNUMBER(B4054)),"DATA_PC invalida",IF(NOT(ISNUMBER(parametros!$C$2)),"Fora dos ciclos",IF(OR(B4054&lt;parametros!$C$2,(YEAR(B4054)-YEAR(parametros!$C$2))*12+MONTH(B4054)-MONTH(parametros!$C$2)&gt;59),"Fora dos ciclos","C"&amp;INT(((YEAR(B4054)-YEAR(parametros!$C$2))*12+MONTH(B4054)-MONTH(parametros!$C$2))/12)))))</f>
        <v/>
      </c>
      <c r="D4054" s="394"/>
      <c r="E4054" s="78" t="str">
        <f>IF(C4054="","",IFERROR(VLOOKUP(C4054,parametros!$A$11:$E$15,5,0),""))</f>
        <v/>
      </c>
      <c r="F4054" s="79" t="str">
        <f t="shared" si="317"/>
        <v/>
      </c>
      <c r="G4054" s="395"/>
      <c r="H4054" s="91">
        <f t="shared" si="318"/>
        <v>0</v>
      </c>
      <c r="I4054" s="91" t="str">
        <f t="shared" si="319"/>
        <v/>
      </c>
      <c r="J4054" s="91" t="str">
        <f t="shared" si="320"/>
        <v/>
      </c>
      <c r="K4054" s="92" t="str">
        <f>IF(AND(A4054="",B4054="",D4054="",G4054=""),"",IF(AND(A4054&lt;&gt;"",COUNTIF($A$2:$A$5001,A4054)&gt;1),"NUMERO_PC duplicado",IF(B4054="","DATA_PC vazia",IF(NOT(ISNUMBER(B4054)),"DATA_PC invalida",IF(OR(C4054="",C4054="Fora dos ciclos"),"CICLO_PC nao identificado",IF(OR(D4054="",D4054=0),"VALOR_PC vazio ou zero",IF(AND(G4054&lt;&gt;"Sim",G4054&lt;&gt;"Nao",G4054&lt;&gt;""),"PC_PAGO_A_CONTRATADA invalido",IF(AND(C4054&lt;&gt;"C0",IFERROR(INDEX(parametros!$A$2:$A$6,MATCH(C4054,parametros!$B$2:$B$6,0)),"")="Sim",IFERROR(INDEX(parametros!$H$2:$H$6,MATCH(C4054,parametros!$B$2:$B$6,0)),"")=""),"INICIO_EFEITO ausente: PC "&amp;A4054&amp;" - "&amp;C4054,IF(L4054="","EFEITO_PC nao calculado: PC "&amp;A4054&amp;" - "&amp;C4054,"OK")))))))))</f>
        <v/>
      </c>
      <c r="L4054" s="92" t="str">
        <f>IF(AND(A4054="",B4054="",D4054="",G4054=""),"",IF(OR(B4054="",NOT(ISNUMBER(B4054)),C4054="",C4054="Fora dos ciclos"),"",IF(C4054="C0","Nao",IF(IFERROR(INDEX(parametros!$A$2:$A$6,MATCH(C4054,parametros!$B$2:$B$6,0)),"")&lt;&gt;"Sim","Nao",IF(IFERROR(INDEX(parametros!$H$2:$H$6,MATCH(C4054,parametros!$B$2:$B$6,0)),"")="","",IF(B4054&gt;=IFERROR(INDEX(parametros!$H$2:$H$6,MATCH(C4054,parametros!$B$2:$B$6,0)),""),"Sim","Nao"))))))</f>
        <v/>
      </c>
      <c r="T4054" s="156"/>
      <c r="U4054" s="214" t="str">
        <f t="shared" si="321"/>
        <v/>
      </c>
      <c r="V4054" s="212" t="s">
        <v>50</v>
      </c>
      <c r="W4054" s="100" t="s">
        <v>168</v>
      </c>
      <c r="X4054" s="100" t="s">
        <v>169</v>
      </c>
      <c r="Y4054" s="101" t="s">
        <v>170</v>
      </c>
      <c r="Z4054" s="101" t="s">
        <v>171</v>
      </c>
      <c r="AA4054" s="101" t="s">
        <v>50</v>
      </c>
      <c r="AB4054" s="101" t="s">
        <v>172</v>
      </c>
      <c r="AC4054" s="102" t="s">
        <v>173</v>
      </c>
    </row>
    <row r="4055" spans="1:29" ht="25.5" customHeight="1" x14ac:dyDescent="0.35">
      <c r="A4055" s="392"/>
      <c r="B4055" s="393"/>
      <c r="C4055" s="99" t="str">
        <f>IF(B4055="","",IF(NOT(ISNUMBER(B4055)),"DATA_PC invalida",IF(NOT(ISNUMBER(parametros!$C$2)),"Fora dos ciclos",IF(OR(B4055&lt;parametros!$C$2,(YEAR(B4055)-YEAR(parametros!$C$2))*12+MONTH(B4055)-MONTH(parametros!$C$2)&gt;59),"Fora dos ciclos","C"&amp;INT(((YEAR(B4055)-YEAR(parametros!$C$2))*12+MONTH(B4055)-MONTH(parametros!$C$2))/12)))))</f>
        <v/>
      </c>
      <c r="D4055" s="394"/>
      <c r="E4055" s="78" t="str">
        <f>IF(C4055="","",IFERROR(VLOOKUP(C4055,parametros!$A$11:$E$15,5,0),""))</f>
        <v/>
      </c>
      <c r="F4055" s="79" t="str">
        <f t="shared" si="317"/>
        <v/>
      </c>
      <c r="G4055" s="395"/>
      <c r="H4055" s="91">
        <f t="shared" si="318"/>
        <v>0</v>
      </c>
      <c r="I4055" s="91" t="str">
        <f t="shared" si="319"/>
        <v/>
      </c>
      <c r="J4055" s="91" t="str">
        <f t="shared" si="320"/>
        <v/>
      </c>
      <c r="K4055" s="92" t="str">
        <f>IF(AND(A4055="",B4055="",D4055="",G4055=""),"",IF(AND(A4055&lt;&gt;"",COUNTIF($A$2:$A$5001,A4055)&gt;1),"NUMERO_PC duplicado",IF(B4055="","DATA_PC vazia",IF(NOT(ISNUMBER(B4055)),"DATA_PC invalida",IF(OR(C4055="",C4055="Fora dos ciclos"),"CICLO_PC nao identificado",IF(OR(D4055="",D4055=0),"VALOR_PC vazio ou zero",IF(AND(G4055&lt;&gt;"Sim",G4055&lt;&gt;"Nao",G4055&lt;&gt;""),"PC_PAGO_A_CONTRATADA invalido",IF(AND(C4055&lt;&gt;"C0",IFERROR(INDEX(parametros!$A$2:$A$6,MATCH(C4055,parametros!$B$2:$B$6,0)),"")="Sim",IFERROR(INDEX(parametros!$H$2:$H$6,MATCH(C4055,parametros!$B$2:$B$6,0)),"")=""),"INICIO_EFEITO ausente: PC "&amp;A4055&amp;" - "&amp;C4055,IF(L4055="","EFEITO_PC nao calculado: PC "&amp;A4055&amp;" - "&amp;C4055,"OK")))))))))</f>
        <v/>
      </c>
      <c r="L4055" s="92" t="str">
        <f>IF(AND(A4055="",B4055="",D4055="",G4055=""),"",IF(OR(B4055="",NOT(ISNUMBER(B4055)),C4055="",C4055="Fora dos ciclos"),"",IF(C4055="C0","Nao",IF(IFERROR(INDEX(parametros!$A$2:$A$6,MATCH(C4055,parametros!$B$2:$B$6,0)),"")&lt;&gt;"Sim","Nao",IF(IFERROR(INDEX(parametros!$H$2:$H$6,MATCH(C4055,parametros!$B$2:$B$6,0)),"")="","",IF(B4055&gt;=IFERROR(INDEX(parametros!$H$2:$H$6,MATCH(C4055,parametros!$B$2:$B$6,0)),""),"Sim","Nao"))))))</f>
        <v/>
      </c>
      <c r="T4055" s="156"/>
      <c r="U4055" s="214" t="str">
        <f t="shared" si="321"/>
        <v/>
      </c>
      <c r="V4055" s="212" t="s">
        <v>50</v>
      </c>
      <c r="W4055" s="100" t="s">
        <v>168</v>
      </c>
      <c r="X4055" s="100" t="s">
        <v>169</v>
      </c>
      <c r="Y4055" s="101" t="s">
        <v>170</v>
      </c>
      <c r="Z4055" s="101" t="s">
        <v>171</v>
      </c>
      <c r="AA4055" s="101" t="s">
        <v>50</v>
      </c>
      <c r="AB4055" s="101" t="s">
        <v>172</v>
      </c>
      <c r="AC4055" s="102" t="s">
        <v>173</v>
      </c>
    </row>
    <row r="4056" spans="1:29" ht="25.5" customHeight="1" x14ac:dyDescent="0.35">
      <c r="A4056" s="392"/>
      <c r="B4056" s="393"/>
      <c r="C4056" s="99" t="str">
        <f>IF(B4056="","",IF(NOT(ISNUMBER(B4056)),"DATA_PC invalida",IF(NOT(ISNUMBER(parametros!$C$2)),"Fora dos ciclos",IF(OR(B4056&lt;parametros!$C$2,(YEAR(B4056)-YEAR(parametros!$C$2))*12+MONTH(B4056)-MONTH(parametros!$C$2)&gt;59),"Fora dos ciclos","C"&amp;INT(((YEAR(B4056)-YEAR(parametros!$C$2))*12+MONTH(B4056)-MONTH(parametros!$C$2))/12)))))</f>
        <v/>
      </c>
      <c r="D4056" s="394"/>
      <c r="E4056" s="78" t="str">
        <f>IF(C4056="","",IFERROR(VLOOKUP(C4056,parametros!$A$11:$E$15,5,0),""))</f>
        <v/>
      </c>
      <c r="F4056" s="79" t="str">
        <f t="shared" si="317"/>
        <v/>
      </c>
      <c r="G4056" s="395"/>
      <c r="H4056" s="91">
        <f t="shared" si="318"/>
        <v>0</v>
      </c>
      <c r="I4056" s="91" t="str">
        <f t="shared" si="319"/>
        <v/>
      </c>
      <c r="J4056" s="91" t="str">
        <f t="shared" si="320"/>
        <v/>
      </c>
      <c r="K4056" s="92" t="str">
        <f>IF(AND(A4056="",B4056="",D4056="",G4056=""),"",IF(AND(A4056&lt;&gt;"",COUNTIF($A$2:$A$5001,A4056)&gt;1),"NUMERO_PC duplicado",IF(B4056="","DATA_PC vazia",IF(NOT(ISNUMBER(B4056)),"DATA_PC invalida",IF(OR(C4056="",C4056="Fora dos ciclos"),"CICLO_PC nao identificado",IF(OR(D4056="",D4056=0),"VALOR_PC vazio ou zero",IF(AND(G4056&lt;&gt;"Sim",G4056&lt;&gt;"Nao",G4056&lt;&gt;""),"PC_PAGO_A_CONTRATADA invalido",IF(AND(C4056&lt;&gt;"C0",IFERROR(INDEX(parametros!$A$2:$A$6,MATCH(C4056,parametros!$B$2:$B$6,0)),"")="Sim",IFERROR(INDEX(parametros!$H$2:$H$6,MATCH(C4056,parametros!$B$2:$B$6,0)),"")=""),"INICIO_EFEITO ausente: PC "&amp;A4056&amp;" - "&amp;C4056,IF(L4056="","EFEITO_PC nao calculado: PC "&amp;A4056&amp;" - "&amp;C4056,"OK")))))))))</f>
        <v/>
      </c>
      <c r="L4056" s="92" t="str">
        <f>IF(AND(A4056="",B4056="",D4056="",G4056=""),"",IF(OR(B4056="",NOT(ISNUMBER(B4056)),C4056="",C4056="Fora dos ciclos"),"",IF(C4056="C0","Nao",IF(IFERROR(INDEX(parametros!$A$2:$A$6,MATCH(C4056,parametros!$B$2:$B$6,0)),"")&lt;&gt;"Sim","Nao",IF(IFERROR(INDEX(parametros!$H$2:$H$6,MATCH(C4056,parametros!$B$2:$B$6,0)),"")="","",IF(B4056&gt;=IFERROR(INDEX(parametros!$H$2:$H$6,MATCH(C4056,parametros!$B$2:$B$6,0)),""),"Sim","Nao"))))))</f>
        <v/>
      </c>
      <c r="T4056" s="156"/>
      <c r="U4056" s="214" t="str">
        <f t="shared" si="321"/>
        <v/>
      </c>
      <c r="V4056" s="212" t="s">
        <v>50</v>
      </c>
      <c r="W4056" s="100" t="s">
        <v>168</v>
      </c>
      <c r="X4056" s="100" t="s">
        <v>169</v>
      </c>
      <c r="Y4056" s="101" t="s">
        <v>170</v>
      </c>
      <c r="Z4056" s="101" t="s">
        <v>171</v>
      </c>
      <c r="AA4056" s="101" t="s">
        <v>50</v>
      </c>
      <c r="AB4056" s="101" t="s">
        <v>172</v>
      </c>
      <c r="AC4056" s="102" t="s">
        <v>173</v>
      </c>
    </row>
    <row r="4057" spans="1:29" ht="25.5" customHeight="1" x14ac:dyDescent="0.35">
      <c r="A4057" s="392"/>
      <c r="B4057" s="393"/>
      <c r="C4057" s="99" t="str">
        <f>IF(B4057="","",IF(NOT(ISNUMBER(B4057)),"DATA_PC invalida",IF(NOT(ISNUMBER(parametros!$C$2)),"Fora dos ciclos",IF(OR(B4057&lt;parametros!$C$2,(YEAR(B4057)-YEAR(parametros!$C$2))*12+MONTH(B4057)-MONTH(parametros!$C$2)&gt;59),"Fora dos ciclos","C"&amp;INT(((YEAR(B4057)-YEAR(parametros!$C$2))*12+MONTH(B4057)-MONTH(parametros!$C$2))/12)))))</f>
        <v/>
      </c>
      <c r="D4057" s="394"/>
      <c r="E4057" s="78" t="str">
        <f>IF(C4057="","",IFERROR(VLOOKUP(C4057,parametros!$A$11:$E$15,5,0),""))</f>
        <v/>
      </c>
      <c r="F4057" s="79" t="str">
        <f t="shared" si="317"/>
        <v/>
      </c>
      <c r="G4057" s="395"/>
      <c r="H4057" s="91">
        <f t="shared" si="318"/>
        <v>0</v>
      </c>
      <c r="I4057" s="91" t="str">
        <f t="shared" si="319"/>
        <v/>
      </c>
      <c r="J4057" s="91" t="str">
        <f t="shared" si="320"/>
        <v/>
      </c>
      <c r="K4057" s="92" t="str">
        <f>IF(AND(A4057="",B4057="",D4057="",G4057=""),"",IF(AND(A4057&lt;&gt;"",COUNTIF($A$2:$A$5001,A4057)&gt;1),"NUMERO_PC duplicado",IF(B4057="","DATA_PC vazia",IF(NOT(ISNUMBER(B4057)),"DATA_PC invalida",IF(OR(C4057="",C4057="Fora dos ciclos"),"CICLO_PC nao identificado",IF(OR(D4057="",D4057=0),"VALOR_PC vazio ou zero",IF(AND(G4057&lt;&gt;"Sim",G4057&lt;&gt;"Nao",G4057&lt;&gt;""),"PC_PAGO_A_CONTRATADA invalido",IF(AND(C4057&lt;&gt;"C0",IFERROR(INDEX(parametros!$A$2:$A$6,MATCH(C4057,parametros!$B$2:$B$6,0)),"")="Sim",IFERROR(INDEX(parametros!$H$2:$H$6,MATCH(C4057,parametros!$B$2:$B$6,0)),"")=""),"INICIO_EFEITO ausente: PC "&amp;A4057&amp;" - "&amp;C4057,IF(L4057="","EFEITO_PC nao calculado: PC "&amp;A4057&amp;" - "&amp;C4057,"OK")))))))))</f>
        <v/>
      </c>
      <c r="L4057" s="92" t="str">
        <f>IF(AND(A4057="",B4057="",D4057="",G4057=""),"",IF(OR(B4057="",NOT(ISNUMBER(B4057)),C4057="",C4057="Fora dos ciclos"),"",IF(C4057="C0","Nao",IF(IFERROR(INDEX(parametros!$A$2:$A$6,MATCH(C4057,parametros!$B$2:$B$6,0)),"")&lt;&gt;"Sim","Nao",IF(IFERROR(INDEX(parametros!$H$2:$H$6,MATCH(C4057,parametros!$B$2:$B$6,0)),"")="","",IF(B4057&gt;=IFERROR(INDEX(parametros!$H$2:$H$6,MATCH(C4057,parametros!$B$2:$B$6,0)),""),"Sim","Nao"))))))</f>
        <v/>
      </c>
      <c r="T4057" s="156"/>
      <c r="U4057" s="214" t="str">
        <f t="shared" si="321"/>
        <v/>
      </c>
      <c r="V4057" s="212" t="s">
        <v>50</v>
      </c>
      <c r="W4057" s="100" t="s">
        <v>168</v>
      </c>
      <c r="X4057" s="100" t="s">
        <v>169</v>
      </c>
      <c r="Y4057" s="101" t="s">
        <v>170</v>
      </c>
      <c r="Z4057" s="101" t="s">
        <v>171</v>
      </c>
      <c r="AA4057" s="101" t="s">
        <v>50</v>
      </c>
      <c r="AB4057" s="101" t="s">
        <v>172</v>
      </c>
      <c r="AC4057" s="102" t="s">
        <v>173</v>
      </c>
    </row>
    <row r="4058" spans="1:29" ht="25.5" customHeight="1" x14ac:dyDescent="0.35">
      <c r="A4058" s="392"/>
      <c r="B4058" s="393"/>
      <c r="C4058" s="99" t="str">
        <f>IF(B4058="","",IF(NOT(ISNUMBER(B4058)),"DATA_PC invalida",IF(NOT(ISNUMBER(parametros!$C$2)),"Fora dos ciclos",IF(OR(B4058&lt;parametros!$C$2,(YEAR(B4058)-YEAR(parametros!$C$2))*12+MONTH(B4058)-MONTH(parametros!$C$2)&gt;59),"Fora dos ciclos","C"&amp;INT(((YEAR(B4058)-YEAR(parametros!$C$2))*12+MONTH(B4058)-MONTH(parametros!$C$2))/12)))))</f>
        <v/>
      </c>
      <c r="D4058" s="394"/>
      <c r="E4058" s="78" t="str">
        <f>IF(C4058="","",IFERROR(VLOOKUP(C4058,parametros!$A$11:$E$15,5,0),""))</f>
        <v/>
      </c>
      <c r="F4058" s="79" t="str">
        <f t="shared" si="317"/>
        <v/>
      </c>
      <c r="G4058" s="395"/>
      <c r="H4058" s="91">
        <f t="shared" si="318"/>
        <v>0</v>
      </c>
      <c r="I4058" s="91" t="str">
        <f t="shared" si="319"/>
        <v/>
      </c>
      <c r="J4058" s="91" t="str">
        <f t="shared" si="320"/>
        <v/>
      </c>
      <c r="K4058" s="92" t="str">
        <f>IF(AND(A4058="",B4058="",D4058="",G4058=""),"",IF(AND(A4058&lt;&gt;"",COUNTIF($A$2:$A$5001,A4058)&gt;1),"NUMERO_PC duplicado",IF(B4058="","DATA_PC vazia",IF(NOT(ISNUMBER(B4058)),"DATA_PC invalida",IF(OR(C4058="",C4058="Fora dos ciclos"),"CICLO_PC nao identificado",IF(OR(D4058="",D4058=0),"VALOR_PC vazio ou zero",IF(AND(G4058&lt;&gt;"Sim",G4058&lt;&gt;"Nao",G4058&lt;&gt;""),"PC_PAGO_A_CONTRATADA invalido",IF(AND(C4058&lt;&gt;"C0",IFERROR(INDEX(parametros!$A$2:$A$6,MATCH(C4058,parametros!$B$2:$B$6,0)),"")="Sim",IFERROR(INDEX(parametros!$H$2:$H$6,MATCH(C4058,parametros!$B$2:$B$6,0)),"")=""),"INICIO_EFEITO ausente: PC "&amp;A4058&amp;" - "&amp;C4058,IF(L4058="","EFEITO_PC nao calculado: PC "&amp;A4058&amp;" - "&amp;C4058,"OK")))))))))</f>
        <v/>
      </c>
      <c r="L4058" s="92" t="str">
        <f>IF(AND(A4058="",B4058="",D4058="",G4058=""),"",IF(OR(B4058="",NOT(ISNUMBER(B4058)),C4058="",C4058="Fora dos ciclos"),"",IF(C4058="C0","Nao",IF(IFERROR(INDEX(parametros!$A$2:$A$6,MATCH(C4058,parametros!$B$2:$B$6,0)),"")&lt;&gt;"Sim","Nao",IF(IFERROR(INDEX(parametros!$H$2:$H$6,MATCH(C4058,parametros!$B$2:$B$6,0)),"")="","",IF(B4058&gt;=IFERROR(INDEX(parametros!$H$2:$H$6,MATCH(C4058,parametros!$B$2:$B$6,0)),""),"Sim","Nao"))))))</f>
        <v/>
      </c>
      <c r="T4058" s="156"/>
      <c r="U4058" s="214" t="str">
        <f t="shared" si="321"/>
        <v/>
      </c>
      <c r="V4058" s="212" t="s">
        <v>50</v>
      </c>
      <c r="W4058" s="100" t="s">
        <v>168</v>
      </c>
      <c r="X4058" s="100" t="s">
        <v>169</v>
      </c>
      <c r="Y4058" s="101" t="s">
        <v>170</v>
      </c>
      <c r="Z4058" s="101" t="s">
        <v>171</v>
      </c>
      <c r="AA4058" s="101" t="s">
        <v>50</v>
      </c>
      <c r="AB4058" s="101" t="s">
        <v>172</v>
      </c>
      <c r="AC4058" s="102" t="s">
        <v>173</v>
      </c>
    </row>
    <row r="4059" spans="1:29" ht="25.5" customHeight="1" x14ac:dyDescent="0.35">
      <c r="A4059" s="392"/>
      <c r="B4059" s="393"/>
      <c r="C4059" s="99" t="str">
        <f>IF(B4059="","",IF(NOT(ISNUMBER(B4059)),"DATA_PC invalida",IF(NOT(ISNUMBER(parametros!$C$2)),"Fora dos ciclos",IF(OR(B4059&lt;parametros!$C$2,(YEAR(B4059)-YEAR(parametros!$C$2))*12+MONTH(B4059)-MONTH(parametros!$C$2)&gt;59),"Fora dos ciclos","C"&amp;INT(((YEAR(B4059)-YEAR(parametros!$C$2))*12+MONTH(B4059)-MONTH(parametros!$C$2))/12)))))</f>
        <v/>
      </c>
      <c r="D4059" s="394"/>
      <c r="E4059" s="78" t="str">
        <f>IF(C4059="","",IFERROR(VLOOKUP(C4059,parametros!$A$11:$E$15,5,0),""))</f>
        <v/>
      </c>
      <c r="F4059" s="79" t="str">
        <f t="shared" si="317"/>
        <v/>
      </c>
      <c r="G4059" s="395"/>
      <c r="H4059" s="91">
        <f t="shared" si="318"/>
        <v>0</v>
      </c>
      <c r="I4059" s="91" t="str">
        <f t="shared" si="319"/>
        <v/>
      </c>
      <c r="J4059" s="91" t="str">
        <f t="shared" si="320"/>
        <v/>
      </c>
      <c r="K4059" s="92" t="str">
        <f>IF(AND(A4059="",B4059="",D4059="",G4059=""),"",IF(AND(A4059&lt;&gt;"",COUNTIF($A$2:$A$5001,A4059)&gt;1),"NUMERO_PC duplicado",IF(B4059="","DATA_PC vazia",IF(NOT(ISNUMBER(B4059)),"DATA_PC invalida",IF(OR(C4059="",C4059="Fora dos ciclos"),"CICLO_PC nao identificado",IF(OR(D4059="",D4059=0),"VALOR_PC vazio ou zero",IF(AND(G4059&lt;&gt;"Sim",G4059&lt;&gt;"Nao",G4059&lt;&gt;""),"PC_PAGO_A_CONTRATADA invalido",IF(AND(C4059&lt;&gt;"C0",IFERROR(INDEX(parametros!$A$2:$A$6,MATCH(C4059,parametros!$B$2:$B$6,0)),"")="Sim",IFERROR(INDEX(parametros!$H$2:$H$6,MATCH(C4059,parametros!$B$2:$B$6,0)),"")=""),"INICIO_EFEITO ausente: PC "&amp;A4059&amp;" - "&amp;C4059,IF(L4059="","EFEITO_PC nao calculado: PC "&amp;A4059&amp;" - "&amp;C4059,"OK")))))))))</f>
        <v/>
      </c>
      <c r="L4059" s="92" t="str">
        <f>IF(AND(A4059="",B4059="",D4059="",G4059=""),"",IF(OR(B4059="",NOT(ISNUMBER(B4059)),C4059="",C4059="Fora dos ciclos"),"",IF(C4059="C0","Nao",IF(IFERROR(INDEX(parametros!$A$2:$A$6,MATCH(C4059,parametros!$B$2:$B$6,0)),"")&lt;&gt;"Sim","Nao",IF(IFERROR(INDEX(parametros!$H$2:$H$6,MATCH(C4059,parametros!$B$2:$B$6,0)),"")="","",IF(B4059&gt;=IFERROR(INDEX(parametros!$H$2:$H$6,MATCH(C4059,parametros!$B$2:$B$6,0)),""),"Sim","Nao"))))))</f>
        <v/>
      </c>
      <c r="T4059" s="156"/>
      <c r="U4059" s="214" t="str">
        <f t="shared" si="321"/>
        <v/>
      </c>
      <c r="V4059" s="212" t="s">
        <v>50</v>
      </c>
      <c r="W4059" s="100" t="s">
        <v>168</v>
      </c>
      <c r="X4059" s="100" t="s">
        <v>169</v>
      </c>
      <c r="Y4059" s="101" t="s">
        <v>170</v>
      </c>
      <c r="Z4059" s="101" t="s">
        <v>171</v>
      </c>
      <c r="AA4059" s="101" t="s">
        <v>50</v>
      </c>
      <c r="AB4059" s="101" t="s">
        <v>172</v>
      </c>
      <c r="AC4059" s="102" t="s">
        <v>173</v>
      </c>
    </row>
    <row r="4060" spans="1:29" ht="25.5" customHeight="1" x14ac:dyDescent="0.35">
      <c r="A4060" s="392"/>
      <c r="B4060" s="393"/>
      <c r="C4060" s="99" t="str">
        <f>IF(B4060="","",IF(NOT(ISNUMBER(B4060)),"DATA_PC invalida",IF(NOT(ISNUMBER(parametros!$C$2)),"Fora dos ciclos",IF(OR(B4060&lt;parametros!$C$2,(YEAR(B4060)-YEAR(parametros!$C$2))*12+MONTH(B4060)-MONTH(parametros!$C$2)&gt;59),"Fora dos ciclos","C"&amp;INT(((YEAR(B4060)-YEAR(parametros!$C$2))*12+MONTH(B4060)-MONTH(parametros!$C$2))/12)))))</f>
        <v/>
      </c>
      <c r="D4060" s="394"/>
      <c r="E4060" s="78" t="str">
        <f>IF(C4060="","",IFERROR(VLOOKUP(C4060,parametros!$A$11:$E$15,5,0),""))</f>
        <v/>
      </c>
      <c r="F4060" s="79" t="str">
        <f t="shared" si="317"/>
        <v/>
      </c>
      <c r="G4060" s="395"/>
      <c r="H4060" s="91">
        <f t="shared" si="318"/>
        <v>0</v>
      </c>
      <c r="I4060" s="91" t="str">
        <f t="shared" si="319"/>
        <v/>
      </c>
      <c r="J4060" s="91" t="str">
        <f t="shared" si="320"/>
        <v/>
      </c>
      <c r="K4060" s="92" t="str">
        <f>IF(AND(A4060="",B4060="",D4060="",G4060=""),"",IF(AND(A4060&lt;&gt;"",COUNTIF($A$2:$A$5001,A4060)&gt;1),"NUMERO_PC duplicado",IF(B4060="","DATA_PC vazia",IF(NOT(ISNUMBER(B4060)),"DATA_PC invalida",IF(OR(C4060="",C4060="Fora dos ciclos"),"CICLO_PC nao identificado",IF(OR(D4060="",D4060=0),"VALOR_PC vazio ou zero",IF(AND(G4060&lt;&gt;"Sim",G4060&lt;&gt;"Nao",G4060&lt;&gt;""),"PC_PAGO_A_CONTRATADA invalido",IF(AND(C4060&lt;&gt;"C0",IFERROR(INDEX(parametros!$A$2:$A$6,MATCH(C4060,parametros!$B$2:$B$6,0)),"")="Sim",IFERROR(INDEX(parametros!$H$2:$H$6,MATCH(C4060,parametros!$B$2:$B$6,0)),"")=""),"INICIO_EFEITO ausente: PC "&amp;A4060&amp;" - "&amp;C4060,IF(L4060="","EFEITO_PC nao calculado: PC "&amp;A4060&amp;" - "&amp;C4060,"OK")))))))))</f>
        <v/>
      </c>
      <c r="L4060" s="92" t="str">
        <f>IF(AND(A4060="",B4060="",D4060="",G4060=""),"",IF(OR(B4060="",NOT(ISNUMBER(B4060)),C4060="",C4060="Fora dos ciclos"),"",IF(C4060="C0","Nao",IF(IFERROR(INDEX(parametros!$A$2:$A$6,MATCH(C4060,parametros!$B$2:$B$6,0)),"")&lt;&gt;"Sim","Nao",IF(IFERROR(INDEX(parametros!$H$2:$H$6,MATCH(C4060,parametros!$B$2:$B$6,0)),"")="","",IF(B4060&gt;=IFERROR(INDEX(parametros!$H$2:$H$6,MATCH(C4060,parametros!$B$2:$B$6,0)),""),"Sim","Nao"))))))</f>
        <v/>
      </c>
      <c r="T4060" s="156"/>
      <c r="U4060" s="214" t="str">
        <f t="shared" si="321"/>
        <v/>
      </c>
      <c r="V4060" s="212" t="s">
        <v>50</v>
      </c>
      <c r="W4060" s="100" t="s">
        <v>168</v>
      </c>
      <c r="X4060" s="100" t="s">
        <v>169</v>
      </c>
      <c r="Y4060" s="101" t="s">
        <v>170</v>
      </c>
      <c r="Z4060" s="101" t="s">
        <v>171</v>
      </c>
      <c r="AA4060" s="101" t="s">
        <v>50</v>
      </c>
      <c r="AB4060" s="101" t="s">
        <v>172</v>
      </c>
      <c r="AC4060" s="102" t="s">
        <v>173</v>
      </c>
    </row>
    <row r="4061" spans="1:29" ht="25.5" customHeight="1" x14ac:dyDescent="0.35">
      <c r="A4061" s="392"/>
      <c r="B4061" s="393"/>
      <c r="C4061" s="99" t="str">
        <f>IF(B4061="","",IF(NOT(ISNUMBER(B4061)),"DATA_PC invalida",IF(NOT(ISNUMBER(parametros!$C$2)),"Fora dos ciclos",IF(OR(B4061&lt;parametros!$C$2,(YEAR(B4061)-YEAR(parametros!$C$2))*12+MONTH(B4061)-MONTH(parametros!$C$2)&gt;59),"Fora dos ciclos","C"&amp;INT(((YEAR(B4061)-YEAR(parametros!$C$2))*12+MONTH(B4061)-MONTH(parametros!$C$2))/12)))))</f>
        <v/>
      </c>
      <c r="D4061" s="394"/>
      <c r="E4061" s="78" t="str">
        <f>IF(C4061="","",IFERROR(VLOOKUP(C4061,parametros!$A$11:$E$15,5,0),""))</f>
        <v/>
      </c>
      <c r="F4061" s="79" t="str">
        <f t="shared" si="317"/>
        <v/>
      </c>
      <c r="G4061" s="395"/>
      <c r="H4061" s="91">
        <f t="shared" si="318"/>
        <v>0</v>
      </c>
      <c r="I4061" s="91" t="str">
        <f t="shared" si="319"/>
        <v/>
      </c>
      <c r="J4061" s="91" t="str">
        <f t="shared" si="320"/>
        <v/>
      </c>
      <c r="K4061" s="92" t="str">
        <f>IF(AND(A4061="",B4061="",D4061="",G4061=""),"",IF(AND(A4061&lt;&gt;"",COUNTIF($A$2:$A$5001,A4061)&gt;1),"NUMERO_PC duplicado",IF(B4061="","DATA_PC vazia",IF(NOT(ISNUMBER(B4061)),"DATA_PC invalida",IF(OR(C4061="",C4061="Fora dos ciclos"),"CICLO_PC nao identificado",IF(OR(D4061="",D4061=0),"VALOR_PC vazio ou zero",IF(AND(G4061&lt;&gt;"Sim",G4061&lt;&gt;"Nao",G4061&lt;&gt;""),"PC_PAGO_A_CONTRATADA invalido",IF(AND(C4061&lt;&gt;"C0",IFERROR(INDEX(parametros!$A$2:$A$6,MATCH(C4061,parametros!$B$2:$B$6,0)),"")="Sim",IFERROR(INDEX(parametros!$H$2:$H$6,MATCH(C4061,parametros!$B$2:$B$6,0)),"")=""),"INICIO_EFEITO ausente: PC "&amp;A4061&amp;" - "&amp;C4061,IF(L4061="","EFEITO_PC nao calculado: PC "&amp;A4061&amp;" - "&amp;C4061,"OK")))))))))</f>
        <v/>
      </c>
      <c r="L4061" s="92" t="str">
        <f>IF(AND(A4061="",B4061="",D4061="",G4061=""),"",IF(OR(B4061="",NOT(ISNUMBER(B4061)),C4061="",C4061="Fora dos ciclos"),"",IF(C4061="C0","Nao",IF(IFERROR(INDEX(parametros!$A$2:$A$6,MATCH(C4061,parametros!$B$2:$B$6,0)),"")&lt;&gt;"Sim","Nao",IF(IFERROR(INDEX(parametros!$H$2:$H$6,MATCH(C4061,parametros!$B$2:$B$6,0)),"")="","",IF(B4061&gt;=IFERROR(INDEX(parametros!$H$2:$H$6,MATCH(C4061,parametros!$B$2:$B$6,0)),""),"Sim","Nao"))))))</f>
        <v/>
      </c>
      <c r="T4061" s="156"/>
      <c r="U4061" s="214" t="str">
        <f t="shared" si="321"/>
        <v/>
      </c>
      <c r="V4061" s="212" t="s">
        <v>50</v>
      </c>
      <c r="W4061" s="100" t="s">
        <v>168</v>
      </c>
      <c r="X4061" s="100" t="s">
        <v>169</v>
      </c>
      <c r="Y4061" s="101" t="s">
        <v>170</v>
      </c>
      <c r="Z4061" s="101" t="s">
        <v>171</v>
      </c>
      <c r="AA4061" s="101" t="s">
        <v>50</v>
      </c>
      <c r="AB4061" s="101" t="s">
        <v>172</v>
      </c>
      <c r="AC4061" s="102" t="s">
        <v>173</v>
      </c>
    </row>
    <row r="4062" spans="1:29" ht="25.5" customHeight="1" x14ac:dyDescent="0.35">
      <c r="A4062" s="392"/>
      <c r="B4062" s="393"/>
      <c r="C4062" s="99" t="str">
        <f>IF(B4062="","",IF(NOT(ISNUMBER(B4062)),"DATA_PC invalida",IF(NOT(ISNUMBER(parametros!$C$2)),"Fora dos ciclos",IF(OR(B4062&lt;parametros!$C$2,(YEAR(B4062)-YEAR(parametros!$C$2))*12+MONTH(B4062)-MONTH(parametros!$C$2)&gt;59),"Fora dos ciclos","C"&amp;INT(((YEAR(B4062)-YEAR(parametros!$C$2))*12+MONTH(B4062)-MONTH(parametros!$C$2))/12)))))</f>
        <v/>
      </c>
      <c r="D4062" s="394"/>
      <c r="E4062" s="78" t="str">
        <f>IF(C4062="","",IFERROR(VLOOKUP(C4062,parametros!$A$11:$E$15,5,0),""))</f>
        <v/>
      </c>
      <c r="F4062" s="79" t="str">
        <f t="shared" si="317"/>
        <v/>
      </c>
      <c r="G4062" s="395"/>
      <c r="H4062" s="91">
        <f t="shared" si="318"/>
        <v>0</v>
      </c>
      <c r="I4062" s="91" t="str">
        <f t="shared" si="319"/>
        <v/>
      </c>
      <c r="J4062" s="91" t="str">
        <f t="shared" si="320"/>
        <v/>
      </c>
      <c r="K4062" s="92" t="str">
        <f>IF(AND(A4062="",B4062="",D4062="",G4062=""),"",IF(AND(A4062&lt;&gt;"",COUNTIF($A$2:$A$5001,A4062)&gt;1),"NUMERO_PC duplicado",IF(B4062="","DATA_PC vazia",IF(NOT(ISNUMBER(B4062)),"DATA_PC invalida",IF(OR(C4062="",C4062="Fora dos ciclos"),"CICLO_PC nao identificado",IF(OR(D4062="",D4062=0),"VALOR_PC vazio ou zero",IF(AND(G4062&lt;&gt;"Sim",G4062&lt;&gt;"Nao",G4062&lt;&gt;""),"PC_PAGO_A_CONTRATADA invalido",IF(AND(C4062&lt;&gt;"C0",IFERROR(INDEX(parametros!$A$2:$A$6,MATCH(C4062,parametros!$B$2:$B$6,0)),"")="Sim",IFERROR(INDEX(parametros!$H$2:$H$6,MATCH(C4062,parametros!$B$2:$B$6,0)),"")=""),"INICIO_EFEITO ausente: PC "&amp;A4062&amp;" - "&amp;C4062,IF(L4062="","EFEITO_PC nao calculado: PC "&amp;A4062&amp;" - "&amp;C4062,"OK")))))))))</f>
        <v/>
      </c>
      <c r="L4062" s="92" t="str">
        <f>IF(AND(A4062="",B4062="",D4062="",G4062=""),"",IF(OR(B4062="",NOT(ISNUMBER(B4062)),C4062="",C4062="Fora dos ciclos"),"",IF(C4062="C0","Nao",IF(IFERROR(INDEX(parametros!$A$2:$A$6,MATCH(C4062,parametros!$B$2:$B$6,0)),"")&lt;&gt;"Sim","Nao",IF(IFERROR(INDEX(parametros!$H$2:$H$6,MATCH(C4062,parametros!$B$2:$B$6,0)),"")="","",IF(B4062&gt;=IFERROR(INDEX(parametros!$H$2:$H$6,MATCH(C4062,parametros!$B$2:$B$6,0)),""),"Sim","Nao"))))))</f>
        <v/>
      </c>
      <c r="T4062" s="156"/>
      <c r="U4062" s="214" t="str">
        <f t="shared" si="321"/>
        <v/>
      </c>
      <c r="V4062" s="212" t="s">
        <v>50</v>
      </c>
      <c r="W4062" s="100" t="s">
        <v>168</v>
      </c>
      <c r="X4062" s="100" t="s">
        <v>169</v>
      </c>
      <c r="Y4062" s="101" t="s">
        <v>170</v>
      </c>
      <c r="Z4062" s="101" t="s">
        <v>171</v>
      </c>
      <c r="AA4062" s="101" t="s">
        <v>50</v>
      </c>
      <c r="AB4062" s="101" t="s">
        <v>172</v>
      </c>
      <c r="AC4062" s="102" t="s">
        <v>173</v>
      </c>
    </row>
    <row r="4063" spans="1:29" ht="25.5" customHeight="1" x14ac:dyDescent="0.35">
      <c r="A4063" s="392"/>
      <c r="B4063" s="393"/>
      <c r="C4063" s="99" t="str">
        <f>IF(B4063="","",IF(NOT(ISNUMBER(B4063)),"DATA_PC invalida",IF(NOT(ISNUMBER(parametros!$C$2)),"Fora dos ciclos",IF(OR(B4063&lt;parametros!$C$2,(YEAR(B4063)-YEAR(parametros!$C$2))*12+MONTH(B4063)-MONTH(parametros!$C$2)&gt;59),"Fora dos ciclos","C"&amp;INT(((YEAR(B4063)-YEAR(parametros!$C$2))*12+MONTH(B4063)-MONTH(parametros!$C$2))/12)))))</f>
        <v/>
      </c>
      <c r="D4063" s="394"/>
      <c r="E4063" s="78" t="str">
        <f>IF(C4063="","",IFERROR(VLOOKUP(C4063,parametros!$A$11:$E$15,5,0),""))</f>
        <v/>
      </c>
      <c r="F4063" s="79" t="str">
        <f t="shared" si="317"/>
        <v/>
      </c>
      <c r="G4063" s="395"/>
      <c r="H4063" s="91">
        <f t="shared" si="318"/>
        <v>0</v>
      </c>
      <c r="I4063" s="91" t="str">
        <f t="shared" si="319"/>
        <v/>
      </c>
      <c r="J4063" s="91" t="str">
        <f t="shared" si="320"/>
        <v/>
      </c>
      <c r="K4063" s="92" t="str">
        <f>IF(AND(A4063="",B4063="",D4063="",G4063=""),"",IF(AND(A4063&lt;&gt;"",COUNTIF($A$2:$A$5001,A4063)&gt;1),"NUMERO_PC duplicado",IF(B4063="","DATA_PC vazia",IF(NOT(ISNUMBER(B4063)),"DATA_PC invalida",IF(OR(C4063="",C4063="Fora dos ciclos"),"CICLO_PC nao identificado",IF(OR(D4063="",D4063=0),"VALOR_PC vazio ou zero",IF(AND(G4063&lt;&gt;"Sim",G4063&lt;&gt;"Nao",G4063&lt;&gt;""),"PC_PAGO_A_CONTRATADA invalido",IF(AND(C4063&lt;&gt;"C0",IFERROR(INDEX(parametros!$A$2:$A$6,MATCH(C4063,parametros!$B$2:$B$6,0)),"")="Sim",IFERROR(INDEX(parametros!$H$2:$H$6,MATCH(C4063,parametros!$B$2:$B$6,0)),"")=""),"INICIO_EFEITO ausente: PC "&amp;A4063&amp;" - "&amp;C4063,IF(L4063="","EFEITO_PC nao calculado: PC "&amp;A4063&amp;" - "&amp;C4063,"OK")))))))))</f>
        <v/>
      </c>
      <c r="L4063" s="92" t="str">
        <f>IF(AND(A4063="",B4063="",D4063="",G4063=""),"",IF(OR(B4063="",NOT(ISNUMBER(B4063)),C4063="",C4063="Fora dos ciclos"),"",IF(C4063="C0","Nao",IF(IFERROR(INDEX(parametros!$A$2:$A$6,MATCH(C4063,parametros!$B$2:$B$6,0)),"")&lt;&gt;"Sim","Nao",IF(IFERROR(INDEX(parametros!$H$2:$H$6,MATCH(C4063,parametros!$B$2:$B$6,0)),"")="","",IF(B4063&gt;=IFERROR(INDEX(parametros!$H$2:$H$6,MATCH(C4063,parametros!$B$2:$B$6,0)),""),"Sim","Nao"))))))</f>
        <v/>
      </c>
      <c r="T4063" s="156"/>
      <c r="U4063" s="214" t="str">
        <f t="shared" si="321"/>
        <v/>
      </c>
      <c r="V4063" s="212" t="s">
        <v>50</v>
      </c>
      <c r="W4063" s="100" t="s">
        <v>168</v>
      </c>
      <c r="X4063" s="100" t="s">
        <v>169</v>
      </c>
      <c r="Y4063" s="101" t="s">
        <v>170</v>
      </c>
      <c r="Z4063" s="101" t="s">
        <v>171</v>
      </c>
      <c r="AA4063" s="101" t="s">
        <v>50</v>
      </c>
      <c r="AB4063" s="101" t="s">
        <v>172</v>
      </c>
      <c r="AC4063" s="102" t="s">
        <v>173</v>
      </c>
    </row>
    <row r="4064" spans="1:29" ht="25.5" customHeight="1" x14ac:dyDescent="0.35">
      <c r="A4064" s="392"/>
      <c r="B4064" s="393"/>
      <c r="C4064" s="99" t="str">
        <f>IF(B4064="","",IF(NOT(ISNUMBER(B4064)),"DATA_PC invalida",IF(NOT(ISNUMBER(parametros!$C$2)),"Fora dos ciclos",IF(OR(B4064&lt;parametros!$C$2,(YEAR(B4064)-YEAR(parametros!$C$2))*12+MONTH(B4064)-MONTH(parametros!$C$2)&gt;59),"Fora dos ciclos","C"&amp;INT(((YEAR(B4064)-YEAR(parametros!$C$2))*12+MONTH(B4064)-MONTH(parametros!$C$2))/12)))))</f>
        <v/>
      </c>
      <c r="D4064" s="394"/>
      <c r="E4064" s="78" t="str">
        <f>IF(C4064="","",IFERROR(VLOOKUP(C4064,parametros!$A$11:$E$15,5,0),""))</f>
        <v/>
      </c>
      <c r="F4064" s="79" t="str">
        <f t="shared" si="317"/>
        <v/>
      </c>
      <c r="G4064" s="395"/>
      <c r="H4064" s="91">
        <f t="shared" si="318"/>
        <v>0</v>
      </c>
      <c r="I4064" s="91" t="str">
        <f t="shared" si="319"/>
        <v/>
      </c>
      <c r="J4064" s="91" t="str">
        <f t="shared" si="320"/>
        <v/>
      </c>
      <c r="K4064" s="92" t="str">
        <f>IF(AND(A4064="",B4064="",D4064="",G4064=""),"",IF(AND(A4064&lt;&gt;"",COUNTIF($A$2:$A$5001,A4064)&gt;1),"NUMERO_PC duplicado",IF(B4064="","DATA_PC vazia",IF(NOT(ISNUMBER(B4064)),"DATA_PC invalida",IF(OR(C4064="",C4064="Fora dos ciclos"),"CICLO_PC nao identificado",IF(OR(D4064="",D4064=0),"VALOR_PC vazio ou zero",IF(AND(G4064&lt;&gt;"Sim",G4064&lt;&gt;"Nao",G4064&lt;&gt;""),"PC_PAGO_A_CONTRATADA invalido",IF(AND(C4064&lt;&gt;"C0",IFERROR(INDEX(parametros!$A$2:$A$6,MATCH(C4064,parametros!$B$2:$B$6,0)),"")="Sim",IFERROR(INDEX(parametros!$H$2:$H$6,MATCH(C4064,parametros!$B$2:$B$6,0)),"")=""),"INICIO_EFEITO ausente: PC "&amp;A4064&amp;" - "&amp;C4064,IF(L4064="","EFEITO_PC nao calculado: PC "&amp;A4064&amp;" - "&amp;C4064,"OK")))))))))</f>
        <v/>
      </c>
      <c r="L4064" s="92" t="str">
        <f>IF(AND(A4064="",B4064="",D4064="",G4064=""),"",IF(OR(B4064="",NOT(ISNUMBER(B4064)),C4064="",C4064="Fora dos ciclos"),"",IF(C4064="C0","Nao",IF(IFERROR(INDEX(parametros!$A$2:$A$6,MATCH(C4064,parametros!$B$2:$B$6,0)),"")&lt;&gt;"Sim","Nao",IF(IFERROR(INDEX(parametros!$H$2:$H$6,MATCH(C4064,parametros!$B$2:$B$6,0)),"")="","",IF(B4064&gt;=IFERROR(INDEX(parametros!$H$2:$H$6,MATCH(C4064,parametros!$B$2:$B$6,0)),""),"Sim","Nao"))))))</f>
        <v/>
      </c>
      <c r="T4064" s="156"/>
      <c r="U4064" s="214" t="str">
        <f t="shared" si="321"/>
        <v/>
      </c>
      <c r="V4064" s="212" t="s">
        <v>50</v>
      </c>
      <c r="W4064" s="100" t="s">
        <v>168</v>
      </c>
      <c r="X4064" s="100" t="s">
        <v>169</v>
      </c>
      <c r="Y4064" s="101" t="s">
        <v>170</v>
      </c>
      <c r="Z4064" s="101" t="s">
        <v>171</v>
      </c>
      <c r="AA4064" s="101" t="s">
        <v>50</v>
      </c>
      <c r="AB4064" s="101" t="s">
        <v>172</v>
      </c>
      <c r="AC4064" s="102" t="s">
        <v>173</v>
      </c>
    </row>
    <row r="4065" spans="1:29" ht="25.5" customHeight="1" x14ac:dyDescent="0.35">
      <c r="A4065" s="392"/>
      <c r="B4065" s="393"/>
      <c r="C4065" s="99" t="str">
        <f>IF(B4065="","",IF(NOT(ISNUMBER(B4065)),"DATA_PC invalida",IF(NOT(ISNUMBER(parametros!$C$2)),"Fora dos ciclos",IF(OR(B4065&lt;parametros!$C$2,(YEAR(B4065)-YEAR(parametros!$C$2))*12+MONTH(B4065)-MONTH(parametros!$C$2)&gt;59),"Fora dos ciclos","C"&amp;INT(((YEAR(B4065)-YEAR(parametros!$C$2))*12+MONTH(B4065)-MONTH(parametros!$C$2))/12)))))</f>
        <v/>
      </c>
      <c r="D4065" s="394"/>
      <c r="E4065" s="78" t="str">
        <f>IF(C4065="","",IFERROR(VLOOKUP(C4065,parametros!$A$11:$E$15,5,0),""))</f>
        <v/>
      </c>
      <c r="F4065" s="79" t="str">
        <f t="shared" si="317"/>
        <v/>
      </c>
      <c r="G4065" s="395"/>
      <c r="H4065" s="91">
        <f t="shared" si="318"/>
        <v>0</v>
      </c>
      <c r="I4065" s="91" t="str">
        <f t="shared" si="319"/>
        <v/>
      </c>
      <c r="J4065" s="91" t="str">
        <f t="shared" si="320"/>
        <v/>
      </c>
      <c r="K4065" s="92" t="str">
        <f>IF(AND(A4065="",B4065="",D4065="",G4065=""),"",IF(AND(A4065&lt;&gt;"",COUNTIF($A$2:$A$5001,A4065)&gt;1),"NUMERO_PC duplicado",IF(B4065="","DATA_PC vazia",IF(NOT(ISNUMBER(B4065)),"DATA_PC invalida",IF(OR(C4065="",C4065="Fora dos ciclos"),"CICLO_PC nao identificado",IF(OR(D4065="",D4065=0),"VALOR_PC vazio ou zero",IF(AND(G4065&lt;&gt;"Sim",G4065&lt;&gt;"Nao",G4065&lt;&gt;""),"PC_PAGO_A_CONTRATADA invalido",IF(AND(C4065&lt;&gt;"C0",IFERROR(INDEX(parametros!$A$2:$A$6,MATCH(C4065,parametros!$B$2:$B$6,0)),"")="Sim",IFERROR(INDEX(parametros!$H$2:$H$6,MATCH(C4065,parametros!$B$2:$B$6,0)),"")=""),"INICIO_EFEITO ausente: PC "&amp;A4065&amp;" - "&amp;C4065,IF(L4065="","EFEITO_PC nao calculado: PC "&amp;A4065&amp;" - "&amp;C4065,"OK")))))))))</f>
        <v/>
      </c>
      <c r="L4065" s="92" t="str">
        <f>IF(AND(A4065="",B4065="",D4065="",G4065=""),"",IF(OR(B4065="",NOT(ISNUMBER(B4065)),C4065="",C4065="Fora dos ciclos"),"",IF(C4065="C0","Nao",IF(IFERROR(INDEX(parametros!$A$2:$A$6,MATCH(C4065,parametros!$B$2:$B$6,0)),"")&lt;&gt;"Sim","Nao",IF(IFERROR(INDEX(parametros!$H$2:$H$6,MATCH(C4065,parametros!$B$2:$B$6,0)),"")="","",IF(B4065&gt;=IFERROR(INDEX(parametros!$H$2:$H$6,MATCH(C4065,parametros!$B$2:$B$6,0)),""),"Sim","Nao"))))))</f>
        <v/>
      </c>
      <c r="T4065" s="156"/>
      <c r="U4065" s="214" t="str">
        <f t="shared" si="321"/>
        <v/>
      </c>
      <c r="V4065" s="212" t="s">
        <v>50</v>
      </c>
      <c r="W4065" s="100" t="s">
        <v>168</v>
      </c>
      <c r="X4065" s="100" t="s">
        <v>169</v>
      </c>
      <c r="Y4065" s="101" t="s">
        <v>170</v>
      </c>
      <c r="Z4065" s="101" t="s">
        <v>171</v>
      </c>
      <c r="AA4065" s="101" t="s">
        <v>50</v>
      </c>
      <c r="AB4065" s="101" t="s">
        <v>172</v>
      </c>
      <c r="AC4065" s="102" t="s">
        <v>173</v>
      </c>
    </row>
    <row r="4066" spans="1:29" ht="25.5" customHeight="1" x14ac:dyDescent="0.35">
      <c r="A4066" s="392"/>
      <c r="B4066" s="393"/>
      <c r="C4066" s="99" t="str">
        <f>IF(B4066="","",IF(NOT(ISNUMBER(B4066)),"DATA_PC invalida",IF(NOT(ISNUMBER(parametros!$C$2)),"Fora dos ciclos",IF(OR(B4066&lt;parametros!$C$2,(YEAR(B4066)-YEAR(parametros!$C$2))*12+MONTH(B4066)-MONTH(parametros!$C$2)&gt;59),"Fora dos ciclos","C"&amp;INT(((YEAR(B4066)-YEAR(parametros!$C$2))*12+MONTH(B4066)-MONTH(parametros!$C$2))/12)))))</f>
        <v/>
      </c>
      <c r="D4066" s="394"/>
      <c r="E4066" s="78" t="str">
        <f>IF(C4066="","",IFERROR(VLOOKUP(C4066,parametros!$A$11:$E$15,5,0),""))</f>
        <v/>
      </c>
      <c r="F4066" s="79" t="str">
        <f t="shared" si="317"/>
        <v/>
      </c>
      <c r="G4066" s="395"/>
      <c r="H4066" s="91">
        <f t="shared" si="318"/>
        <v>0</v>
      </c>
      <c r="I4066" s="91" t="str">
        <f t="shared" si="319"/>
        <v/>
      </c>
      <c r="J4066" s="91" t="str">
        <f t="shared" si="320"/>
        <v/>
      </c>
      <c r="K4066" s="92" t="str">
        <f>IF(AND(A4066="",B4066="",D4066="",G4066=""),"",IF(AND(A4066&lt;&gt;"",COUNTIF($A$2:$A$5001,A4066)&gt;1),"NUMERO_PC duplicado",IF(B4066="","DATA_PC vazia",IF(NOT(ISNUMBER(B4066)),"DATA_PC invalida",IF(OR(C4066="",C4066="Fora dos ciclos"),"CICLO_PC nao identificado",IF(OR(D4066="",D4066=0),"VALOR_PC vazio ou zero",IF(AND(G4066&lt;&gt;"Sim",G4066&lt;&gt;"Nao",G4066&lt;&gt;""),"PC_PAGO_A_CONTRATADA invalido",IF(AND(C4066&lt;&gt;"C0",IFERROR(INDEX(parametros!$A$2:$A$6,MATCH(C4066,parametros!$B$2:$B$6,0)),"")="Sim",IFERROR(INDEX(parametros!$H$2:$H$6,MATCH(C4066,parametros!$B$2:$B$6,0)),"")=""),"INICIO_EFEITO ausente: PC "&amp;A4066&amp;" - "&amp;C4066,IF(L4066="","EFEITO_PC nao calculado: PC "&amp;A4066&amp;" - "&amp;C4066,"OK")))))))))</f>
        <v/>
      </c>
      <c r="L4066" s="92" t="str">
        <f>IF(AND(A4066="",B4066="",D4066="",G4066=""),"",IF(OR(B4066="",NOT(ISNUMBER(B4066)),C4066="",C4066="Fora dos ciclos"),"",IF(C4066="C0","Nao",IF(IFERROR(INDEX(parametros!$A$2:$A$6,MATCH(C4066,parametros!$B$2:$B$6,0)),"")&lt;&gt;"Sim","Nao",IF(IFERROR(INDEX(parametros!$H$2:$H$6,MATCH(C4066,parametros!$B$2:$B$6,0)),"")="","",IF(B4066&gt;=IFERROR(INDEX(parametros!$H$2:$H$6,MATCH(C4066,parametros!$B$2:$B$6,0)),""),"Sim","Nao"))))))</f>
        <v/>
      </c>
      <c r="T4066" s="156"/>
      <c r="U4066" s="214" t="str">
        <f t="shared" si="321"/>
        <v/>
      </c>
      <c r="V4066" s="212" t="s">
        <v>50</v>
      </c>
      <c r="W4066" s="100" t="s">
        <v>168</v>
      </c>
      <c r="X4066" s="100" t="s">
        <v>169</v>
      </c>
      <c r="Y4066" s="101" t="s">
        <v>170</v>
      </c>
      <c r="Z4066" s="101" t="s">
        <v>171</v>
      </c>
      <c r="AA4066" s="101" t="s">
        <v>50</v>
      </c>
      <c r="AB4066" s="101" t="s">
        <v>172</v>
      </c>
      <c r="AC4066" s="102" t="s">
        <v>173</v>
      </c>
    </row>
    <row r="4067" spans="1:29" ht="25.5" customHeight="1" x14ac:dyDescent="0.35">
      <c r="A4067" s="392"/>
      <c r="B4067" s="393"/>
      <c r="C4067" s="99" t="str">
        <f>IF(B4067="","",IF(NOT(ISNUMBER(B4067)),"DATA_PC invalida",IF(NOT(ISNUMBER(parametros!$C$2)),"Fora dos ciclos",IF(OR(B4067&lt;parametros!$C$2,(YEAR(B4067)-YEAR(parametros!$C$2))*12+MONTH(B4067)-MONTH(parametros!$C$2)&gt;59),"Fora dos ciclos","C"&amp;INT(((YEAR(B4067)-YEAR(parametros!$C$2))*12+MONTH(B4067)-MONTH(parametros!$C$2))/12)))))</f>
        <v/>
      </c>
      <c r="D4067" s="394"/>
      <c r="E4067" s="78" t="str">
        <f>IF(C4067="","",IFERROR(VLOOKUP(C4067,parametros!$A$11:$E$15,5,0),""))</f>
        <v/>
      </c>
      <c r="F4067" s="79" t="str">
        <f t="shared" si="317"/>
        <v/>
      </c>
      <c r="G4067" s="395"/>
      <c r="H4067" s="91">
        <f t="shared" si="318"/>
        <v>0</v>
      </c>
      <c r="I4067" s="91" t="str">
        <f t="shared" si="319"/>
        <v/>
      </c>
      <c r="J4067" s="91" t="str">
        <f t="shared" si="320"/>
        <v/>
      </c>
      <c r="K4067" s="92" t="str">
        <f>IF(AND(A4067="",B4067="",D4067="",G4067=""),"",IF(AND(A4067&lt;&gt;"",COUNTIF($A$2:$A$5001,A4067)&gt;1),"NUMERO_PC duplicado",IF(B4067="","DATA_PC vazia",IF(NOT(ISNUMBER(B4067)),"DATA_PC invalida",IF(OR(C4067="",C4067="Fora dos ciclos"),"CICLO_PC nao identificado",IF(OR(D4067="",D4067=0),"VALOR_PC vazio ou zero",IF(AND(G4067&lt;&gt;"Sim",G4067&lt;&gt;"Nao",G4067&lt;&gt;""),"PC_PAGO_A_CONTRATADA invalido",IF(AND(C4067&lt;&gt;"C0",IFERROR(INDEX(parametros!$A$2:$A$6,MATCH(C4067,parametros!$B$2:$B$6,0)),"")="Sim",IFERROR(INDEX(parametros!$H$2:$H$6,MATCH(C4067,parametros!$B$2:$B$6,0)),"")=""),"INICIO_EFEITO ausente: PC "&amp;A4067&amp;" - "&amp;C4067,IF(L4067="","EFEITO_PC nao calculado: PC "&amp;A4067&amp;" - "&amp;C4067,"OK")))))))))</f>
        <v/>
      </c>
      <c r="L4067" s="92" t="str">
        <f>IF(AND(A4067="",B4067="",D4067="",G4067=""),"",IF(OR(B4067="",NOT(ISNUMBER(B4067)),C4067="",C4067="Fora dos ciclos"),"",IF(C4067="C0","Nao",IF(IFERROR(INDEX(parametros!$A$2:$A$6,MATCH(C4067,parametros!$B$2:$B$6,0)),"")&lt;&gt;"Sim","Nao",IF(IFERROR(INDEX(parametros!$H$2:$H$6,MATCH(C4067,parametros!$B$2:$B$6,0)),"")="","",IF(B4067&gt;=IFERROR(INDEX(parametros!$H$2:$H$6,MATCH(C4067,parametros!$B$2:$B$6,0)),""),"Sim","Nao"))))))</f>
        <v/>
      </c>
      <c r="T4067" s="156"/>
      <c r="U4067" s="214" t="str">
        <f t="shared" si="321"/>
        <v/>
      </c>
      <c r="V4067" s="212" t="s">
        <v>50</v>
      </c>
      <c r="W4067" s="100" t="s">
        <v>168</v>
      </c>
      <c r="X4067" s="100" t="s">
        <v>169</v>
      </c>
      <c r="Y4067" s="101" t="s">
        <v>170</v>
      </c>
      <c r="Z4067" s="101" t="s">
        <v>171</v>
      </c>
      <c r="AA4067" s="101" t="s">
        <v>50</v>
      </c>
      <c r="AB4067" s="101" t="s">
        <v>172</v>
      </c>
      <c r="AC4067" s="102" t="s">
        <v>173</v>
      </c>
    </row>
    <row r="4068" spans="1:29" ht="25.5" customHeight="1" x14ac:dyDescent="0.35">
      <c r="A4068" s="392"/>
      <c r="B4068" s="393"/>
      <c r="C4068" s="99" t="str">
        <f>IF(B4068="","",IF(NOT(ISNUMBER(B4068)),"DATA_PC invalida",IF(NOT(ISNUMBER(parametros!$C$2)),"Fora dos ciclos",IF(OR(B4068&lt;parametros!$C$2,(YEAR(B4068)-YEAR(parametros!$C$2))*12+MONTH(B4068)-MONTH(parametros!$C$2)&gt;59),"Fora dos ciclos","C"&amp;INT(((YEAR(B4068)-YEAR(parametros!$C$2))*12+MONTH(B4068)-MONTH(parametros!$C$2))/12)))))</f>
        <v/>
      </c>
      <c r="D4068" s="394"/>
      <c r="E4068" s="78" t="str">
        <f>IF(C4068="","",IFERROR(VLOOKUP(C4068,parametros!$A$11:$E$15,5,0),""))</f>
        <v/>
      </c>
      <c r="F4068" s="79" t="str">
        <f t="shared" si="317"/>
        <v/>
      </c>
      <c r="G4068" s="395"/>
      <c r="H4068" s="91">
        <f t="shared" si="318"/>
        <v>0</v>
      </c>
      <c r="I4068" s="91" t="str">
        <f t="shared" si="319"/>
        <v/>
      </c>
      <c r="J4068" s="91" t="str">
        <f t="shared" si="320"/>
        <v/>
      </c>
      <c r="K4068" s="92" t="str">
        <f>IF(AND(A4068="",B4068="",D4068="",G4068=""),"",IF(AND(A4068&lt;&gt;"",COUNTIF($A$2:$A$5001,A4068)&gt;1),"NUMERO_PC duplicado",IF(B4068="","DATA_PC vazia",IF(NOT(ISNUMBER(B4068)),"DATA_PC invalida",IF(OR(C4068="",C4068="Fora dos ciclos"),"CICLO_PC nao identificado",IF(OR(D4068="",D4068=0),"VALOR_PC vazio ou zero",IF(AND(G4068&lt;&gt;"Sim",G4068&lt;&gt;"Nao",G4068&lt;&gt;""),"PC_PAGO_A_CONTRATADA invalido",IF(AND(C4068&lt;&gt;"C0",IFERROR(INDEX(parametros!$A$2:$A$6,MATCH(C4068,parametros!$B$2:$B$6,0)),"")="Sim",IFERROR(INDEX(parametros!$H$2:$H$6,MATCH(C4068,parametros!$B$2:$B$6,0)),"")=""),"INICIO_EFEITO ausente: PC "&amp;A4068&amp;" - "&amp;C4068,IF(L4068="","EFEITO_PC nao calculado: PC "&amp;A4068&amp;" - "&amp;C4068,"OK")))))))))</f>
        <v/>
      </c>
      <c r="L4068" s="92" t="str">
        <f>IF(AND(A4068="",B4068="",D4068="",G4068=""),"",IF(OR(B4068="",NOT(ISNUMBER(B4068)),C4068="",C4068="Fora dos ciclos"),"",IF(C4068="C0","Nao",IF(IFERROR(INDEX(parametros!$A$2:$A$6,MATCH(C4068,parametros!$B$2:$B$6,0)),"")&lt;&gt;"Sim","Nao",IF(IFERROR(INDEX(parametros!$H$2:$H$6,MATCH(C4068,parametros!$B$2:$B$6,0)),"")="","",IF(B4068&gt;=IFERROR(INDEX(parametros!$H$2:$H$6,MATCH(C4068,parametros!$B$2:$B$6,0)),""),"Sim","Nao"))))))</f>
        <v/>
      </c>
      <c r="T4068" s="156"/>
      <c r="U4068" s="214" t="str">
        <f t="shared" si="321"/>
        <v/>
      </c>
      <c r="V4068" s="212" t="s">
        <v>50</v>
      </c>
      <c r="W4068" s="100" t="s">
        <v>168</v>
      </c>
      <c r="X4068" s="100" t="s">
        <v>169</v>
      </c>
      <c r="Y4068" s="101" t="s">
        <v>170</v>
      </c>
      <c r="Z4068" s="101" t="s">
        <v>171</v>
      </c>
      <c r="AA4068" s="101" t="s">
        <v>50</v>
      </c>
      <c r="AB4068" s="101" t="s">
        <v>172</v>
      </c>
      <c r="AC4068" s="102" t="s">
        <v>173</v>
      </c>
    </row>
    <row r="4069" spans="1:29" ht="25.5" customHeight="1" x14ac:dyDescent="0.35">
      <c r="A4069" s="392"/>
      <c r="B4069" s="393"/>
      <c r="C4069" s="99" t="str">
        <f>IF(B4069="","",IF(NOT(ISNUMBER(B4069)),"DATA_PC invalida",IF(NOT(ISNUMBER(parametros!$C$2)),"Fora dos ciclos",IF(OR(B4069&lt;parametros!$C$2,(YEAR(B4069)-YEAR(parametros!$C$2))*12+MONTH(B4069)-MONTH(parametros!$C$2)&gt;59),"Fora dos ciclos","C"&amp;INT(((YEAR(B4069)-YEAR(parametros!$C$2))*12+MONTH(B4069)-MONTH(parametros!$C$2))/12)))))</f>
        <v/>
      </c>
      <c r="D4069" s="394"/>
      <c r="E4069" s="78" t="str">
        <f>IF(C4069="","",IFERROR(VLOOKUP(C4069,parametros!$A$11:$E$15,5,0),""))</f>
        <v/>
      </c>
      <c r="F4069" s="79" t="str">
        <f t="shared" si="317"/>
        <v/>
      </c>
      <c r="G4069" s="395"/>
      <c r="H4069" s="91">
        <f t="shared" si="318"/>
        <v>0</v>
      </c>
      <c r="I4069" s="91" t="str">
        <f t="shared" si="319"/>
        <v/>
      </c>
      <c r="J4069" s="91" t="str">
        <f t="shared" si="320"/>
        <v/>
      </c>
      <c r="K4069" s="92" t="str">
        <f>IF(AND(A4069="",B4069="",D4069="",G4069=""),"",IF(AND(A4069&lt;&gt;"",COUNTIF($A$2:$A$5001,A4069)&gt;1),"NUMERO_PC duplicado",IF(B4069="","DATA_PC vazia",IF(NOT(ISNUMBER(B4069)),"DATA_PC invalida",IF(OR(C4069="",C4069="Fora dos ciclos"),"CICLO_PC nao identificado",IF(OR(D4069="",D4069=0),"VALOR_PC vazio ou zero",IF(AND(G4069&lt;&gt;"Sim",G4069&lt;&gt;"Nao",G4069&lt;&gt;""),"PC_PAGO_A_CONTRATADA invalido",IF(AND(C4069&lt;&gt;"C0",IFERROR(INDEX(parametros!$A$2:$A$6,MATCH(C4069,parametros!$B$2:$B$6,0)),"")="Sim",IFERROR(INDEX(parametros!$H$2:$H$6,MATCH(C4069,parametros!$B$2:$B$6,0)),"")=""),"INICIO_EFEITO ausente: PC "&amp;A4069&amp;" - "&amp;C4069,IF(L4069="","EFEITO_PC nao calculado: PC "&amp;A4069&amp;" - "&amp;C4069,"OK")))))))))</f>
        <v/>
      </c>
      <c r="L4069" s="92" t="str">
        <f>IF(AND(A4069="",B4069="",D4069="",G4069=""),"",IF(OR(B4069="",NOT(ISNUMBER(B4069)),C4069="",C4069="Fora dos ciclos"),"",IF(C4069="C0","Nao",IF(IFERROR(INDEX(parametros!$A$2:$A$6,MATCH(C4069,parametros!$B$2:$B$6,0)),"")&lt;&gt;"Sim","Nao",IF(IFERROR(INDEX(parametros!$H$2:$H$6,MATCH(C4069,parametros!$B$2:$B$6,0)),"")="","",IF(B4069&gt;=IFERROR(INDEX(parametros!$H$2:$H$6,MATCH(C4069,parametros!$B$2:$B$6,0)),""),"Sim","Nao"))))))</f>
        <v/>
      </c>
      <c r="T4069" s="156"/>
      <c r="U4069" s="214" t="str">
        <f t="shared" si="321"/>
        <v/>
      </c>
      <c r="V4069" s="212" t="s">
        <v>50</v>
      </c>
      <c r="W4069" s="100" t="s">
        <v>168</v>
      </c>
      <c r="X4069" s="100" t="s">
        <v>169</v>
      </c>
      <c r="Y4069" s="101" t="s">
        <v>170</v>
      </c>
      <c r="Z4069" s="101" t="s">
        <v>171</v>
      </c>
      <c r="AA4069" s="101" t="s">
        <v>50</v>
      </c>
      <c r="AB4069" s="101" t="s">
        <v>172</v>
      </c>
      <c r="AC4069" s="102" t="s">
        <v>173</v>
      </c>
    </row>
    <row r="4070" spans="1:29" ht="25.5" customHeight="1" x14ac:dyDescent="0.35">
      <c r="A4070" s="392"/>
      <c r="B4070" s="393"/>
      <c r="C4070" s="99" t="str">
        <f>IF(B4070="","",IF(NOT(ISNUMBER(B4070)),"DATA_PC invalida",IF(NOT(ISNUMBER(parametros!$C$2)),"Fora dos ciclos",IF(OR(B4070&lt;parametros!$C$2,(YEAR(B4070)-YEAR(parametros!$C$2))*12+MONTH(B4070)-MONTH(parametros!$C$2)&gt;59),"Fora dos ciclos","C"&amp;INT(((YEAR(B4070)-YEAR(parametros!$C$2))*12+MONTH(B4070)-MONTH(parametros!$C$2))/12)))))</f>
        <v/>
      </c>
      <c r="D4070" s="394"/>
      <c r="E4070" s="78" t="str">
        <f>IF(C4070="","",IFERROR(VLOOKUP(C4070,parametros!$A$11:$E$15,5,0),""))</f>
        <v/>
      </c>
      <c r="F4070" s="79" t="str">
        <f t="shared" si="317"/>
        <v/>
      </c>
      <c r="G4070" s="395"/>
      <c r="H4070" s="91">
        <f t="shared" si="318"/>
        <v>0</v>
      </c>
      <c r="I4070" s="91" t="str">
        <f t="shared" si="319"/>
        <v/>
      </c>
      <c r="J4070" s="91" t="str">
        <f t="shared" si="320"/>
        <v/>
      </c>
      <c r="K4070" s="92" t="str">
        <f>IF(AND(A4070="",B4070="",D4070="",G4070=""),"",IF(AND(A4070&lt;&gt;"",COUNTIF($A$2:$A$5001,A4070)&gt;1),"NUMERO_PC duplicado",IF(B4070="","DATA_PC vazia",IF(NOT(ISNUMBER(B4070)),"DATA_PC invalida",IF(OR(C4070="",C4070="Fora dos ciclos"),"CICLO_PC nao identificado",IF(OR(D4070="",D4070=0),"VALOR_PC vazio ou zero",IF(AND(G4070&lt;&gt;"Sim",G4070&lt;&gt;"Nao",G4070&lt;&gt;""),"PC_PAGO_A_CONTRATADA invalido",IF(AND(C4070&lt;&gt;"C0",IFERROR(INDEX(parametros!$A$2:$A$6,MATCH(C4070,parametros!$B$2:$B$6,0)),"")="Sim",IFERROR(INDEX(parametros!$H$2:$H$6,MATCH(C4070,parametros!$B$2:$B$6,0)),"")=""),"INICIO_EFEITO ausente: PC "&amp;A4070&amp;" - "&amp;C4070,IF(L4070="","EFEITO_PC nao calculado: PC "&amp;A4070&amp;" - "&amp;C4070,"OK")))))))))</f>
        <v/>
      </c>
      <c r="L4070" s="92" t="str">
        <f>IF(AND(A4070="",B4070="",D4070="",G4070=""),"",IF(OR(B4070="",NOT(ISNUMBER(B4070)),C4070="",C4070="Fora dos ciclos"),"",IF(C4070="C0","Nao",IF(IFERROR(INDEX(parametros!$A$2:$A$6,MATCH(C4070,parametros!$B$2:$B$6,0)),"")&lt;&gt;"Sim","Nao",IF(IFERROR(INDEX(parametros!$H$2:$H$6,MATCH(C4070,parametros!$B$2:$B$6,0)),"")="","",IF(B4070&gt;=IFERROR(INDEX(parametros!$H$2:$H$6,MATCH(C4070,parametros!$B$2:$B$6,0)),""),"Sim","Nao"))))))</f>
        <v/>
      </c>
      <c r="T4070" s="156"/>
      <c r="U4070" s="214" t="str">
        <f t="shared" si="321"/>
        <v/>
      </c>
      <c r="V4070" s="212" t="s">
        <v>50</v>
      </c>
      <c r="W4070" s="100" t="s">
        <v>168</v>
      </c>
      <c r="X4070" s="100" t="s">
        <v>169</v>
      </c>
      <c r="Y4070" s="101" t="s">
        <v>170</v>
      </c>
      <c r="Z4070" s="101" t="s">
        <v>171</v>
      </c>
      <c r="AA4070" s="101" t="s">
        <v>50</v>
      </c>
      <c r="AB4070" s="101" t="s">
        <v>172</v>
      </c>
      <c r="AC4070" s="102" t="s">
        <v>173</v>
      </c>
    </row>
    <row r="4071" spans="1:29" ht="25.5" customHeight="1" x14ac:dyDescent="0.35">
      <c r="A4071" s="392"/>
      <c r="B4071" s="393"/>
      <c r="C4071" s="99" t="str">
        <f>IF(B4071="","",IF(NOT(ISNUMBER(B4071)),"DATA_PC invalida",IF(NOT(ISNUMBER(parametros!$C$2)),"Fora dos ciclos",IF(OR(B4071&lt;parametros!$C$2,(YEAR(B4071)-YEAR(parametros!$C$2))*12+MONTH(B4071)-MONTH(parametros!$C$2)&gt;59),"Fora dos ciclos","C"&amp;INT(((YEAR(B4071)-YEAR(parametros!$C$2))*12+MONTH(B4071)-MONTH(parametros!$C$2))/12)))))</f>
        <v/>
      </c>
      <c r="D4071" s="394"/>
      <c r="E4071" s="78" t="str">
        <f>IF(C4071="","",IFERROR(VLOOKUP(C4071,parametros!$A$11:$E$15,5,0),""))</f>
        <v/>
      </c>
      <c r="F4071" s="79" t="str">
        <f t="shared" si="317"/>
        <v/>
      </c>
      <c r="G4071" s="395"/>
      <c r="H4071" s="91">
        <f t="shared" si="318"/>
        <v>0</v>
      </c>
      <c r="I4071" s="91" t="str">
        <f t="shared" si="319"/>
        <v/>
      </c>
      <c r="J4071" s="91" t="str">
        <f t="shared" si="320"/>
        <v/>
      </c>
      <c r="K4071" s="92" t="str">
        <f>IF(AND(A4071="",B4071="",D4071="",G4071=""),"",IF(AND(A4071&lt;&gt;"",COUNTIF($A$2:$A$5001,A4071)&gt;1),"NUMERO_PC duplicado",IF(B4071="","DATA_PC vazia",IF(NOT(ISNUMBER(B4071)),"DATA_PC invalida",IF(OR(C4071="",C4071="Fora dos ciclos"),"CICLO_PC nao identificado",IF(OR(D4071="",D4071=0),"VALOR_PC vazio ou zero",IF(AND(G4071&lt;&gt;"Sim",G4071&lt;&gt;"Nao",G4071&lt;&gt;""),"PC_PAGO_A_CONTRATADA invalido",IF(AND(C4071&lt;&gt;"C0",IFERROR(INDEX(parametros!$A$2:$A$6,MATCH(C4071,parametros!$B$2:$B$6,0)),"")="Sim",IFERROR(INDEX(parametros!$H$2:$H$6,MATCH(C4071,parametros!$B$2:$B$6,0)),"")=""),"INICIO_EFEITO ausente: PC "&amp;A4071&amp;" - "&amp;C4071,IF(L4071="","EFEITO_PC nao calculado: PC "&amp;A4071&amp;" - "&amp;C4071,"OK")))))))))</f>
        <v/>
      </c>
      <c r="L4071" s="92" t="str">
        <f>IF(AND(A4071="",B4071="",D4071="",G4071=""),"",IF(OR(B4071="",NOT(ISNUMBER(B4071)),C4071="",C4071="Fora dos ciclos"),"",IF(C4071="C0","Nao",IF(IFERROR(INDEX(parametros!$A$2:$A$6,MATCH(C4071,parametros!$B$2:$B$6,0)),"")&lt;&gt;"Sim","Nao",IF(IFERROR(INDEX(parametros!$H$2:$H$6,MATCH(C4071,parametros!$B$2:$B$6,0)),"")="","",IF(B4071&gt;=IFERROR(INDEX(parametros!$H$2:$H$6,MATCH(C4071,parametros!$B$2:$B$6,0)),""),"Sim","Nao"))))))</f>
        <v/>
      </c>
      <c r="T4071" s="156"/>
      <c r="U4071" s="214" t="str">
        <f t="shared" si="321"/>
        <v/>
      </c>
      <c r="V4071" s="212" t="s">
        <v>50</v>
      </c>
      <c r="W4071" s="100" t="s">
        <v>168</v>
      </c>
      <c r="X4071" s="100" t="s">
        <v>169</v>
      </c>
      <c r="Y4071" s="101" t="s">
        <v>170</v>
      </c>
      <c r="Z4071" s="101" t="s">
        <v>171</v>
      </c>
      <c r="AA4071" s="101" t="s">
        <v>50</v>
      </c>
      <c r="AB4071" s="101" t="s">
        <v>172</v>
      </c>
      <c r="AC4071" s="102" t="s">
        <v>173</v>
      </c>
    </row>
    <row r="4072" spans="1:29" ht="25.5" customHeight="1" x14ac:dyDescent="0.35">
      <c r="A4072" s="392"/>
      <c r="B4072" s="393"/>
      <c r="C4072" s="99" t="str">
        <f>IF(B4072="","",IF(NOT(ISNUMBER(B4072)),"DATA_PC invalida",IF(NOT(ISNUMBER(parametros!$C$2)),"Fora dos ciclos",IF(OR(B4072&lt;parametros!$C$2,(YEAR(B4072)-YEAR(parametros!$C$2))*12+MONTH(B4072)-MONTH(parametros!$C$2)&gt;59),"Fora dos ciclos","C"&amp;INT(((YEAR(B4072)-YEAR(parametros!$C$2))*12+MONTH(B4072)-MONTH(parametros!$C$2))/12)))))</f>
        <v/>
      </c>
      <c r="D4072" s="394"/>
      <c r="E4072" s="78" t="str">
        <f>IF(C4072="","",IFERROR(VLOOKUP(C4072,parametros!$A$11:$E$15,5,0),""))</f>
        <v/>
      </c>
      <c r="F4072" s="79" t="str">
        <f t="shared" si="317"/>
        <v/>
      </c>
      <c r="G4072" s="395"/>
      <c r="H4072" s="91">
        <f t="shared" si="318"/>
        <v>0</v>
      </c>
      <c r="I4072" s="91" t="str">
        <f t="shared" si="319"/>
        <v/>
      </c>
      <c r="J4072" s="91" t="str">
        <f t="shared" si="320"/>
        <v/>
      </c>
      <c r="K4072" s="92" t="str">
        <f>IF(AND(A4072="",B4072="",D4072="",G4072=""),"",IF(AND(A4072&lt;&gt;"",COUNTIF($A$2:$A$5001,A4072)&gt;1),"NUMERO_PC duplicado",IF(B4072="","DATA_PC vazia",IF(NOT(ISNUMBER(B4072)),"DATA_PC invalida",IF(OR(C4072="",C4072="Fora dos ciclos"),"CICLO_PC nao identificado",IF(OR(D4072="",D4072=0),"VALOR_PC vazio ou zero",IF(AND(G4072&lt;&gt;"Sim",G4072&lt;&gt;"Nao",G4072&lt;&gt;""),"PC_PAGO_A_CONTRATADA invalido",IF(AND(C4072&lt;&gt;"C0",IFERROR(INDEX(parametros!$A$2:$A$6,MATCH(C4072,parametros!$B$2:$B$6,0)),"")="Sim",IFERROR(INDEX(parametros!$H$2:$H$6,MATCH(C4072,parametros!$B$2:$B$6,0)),"")=""),"INICIO_EFEITO ausente: PC "&amp;A4072&amp;" - "&amp;C4072,IF(L4072="","EFEITO_PC nao calculado: PC "&amp;A4072&amp;" - "&amp;C4072,"OK")))))))))</f>
        <v/>
      </c>
      <c r="L4072" s="92" t="str">
        <f>IF(AND(A4072="",B4072="",D4072="",G4072=""),"",IF(OR(B4072="",NOT(ISNUMBER(B4072)),C4072="",C4072="Fora dos ciclos"),"",IF(C4072="C0","Nao",IF(IFERROR(INDEX(parametros!$A$2:$A$6,MATCH(C4072,parametros!$B$2:$B$6,0)),"")&lt;&gt;"Sim","Nao",IF(IFERROR(INDEX(parametros!$H$2:$H$6,MATCH(C4072,parametros!$B$2:$B$6,0)),"")="","",IF(B4072&gt;=IFERROR(INDEX(parametros!$H$2:$H$6,MATCH(C4072,parametros!$B$2:$B$6,0)),""),"Sim","Nao"))))))</f>
        <v/>
      </c>
      <c r="T4072" s="156"/>
      <c r="U4072" s="214" t="str">
        <f t="shared" si="321"/>
        <v/>
      </c>
      <c r="V4072" s="212" t="s">
        <v>50</v>
      </c>
      <c r="W4072" s="100" t="s">
        <v>168</v>
      </c>
      <c r="X4072" s="100" t="s">
        <v>169</v>
      </c>
      <c r="Y4072" s="101" t="s">
        <v>170</v>
      </c>
      <c r="Z4072" s="101" t="s">
        <v>171</v>
      </c>
      <c r="AA4072" s="101" t="s">
        <v>50</v>
      </c>
      <c r="AB4072" s="101" t="s">
        <v>172</v>
      </c>
      <c r="AC4072" s="102" t="s">
        <v>173</v>
      </c>
    </row>
    <row r="4073" spans="1:29" ht="25.5" customHeight="1" x14ac:dyDescent="0.35">
      <c r="A4073" s="392"/>
      <c r="B4073" s="393"/>
      <c r="C4073" s="99" t="str">
        <f>IF(B4073="","",IF(NOT(ISNUMBER(B4073)),"DATA_PC invalida",IF(NOT(ISNUMBER(parametros!$C$2)),"Fora dos ciclos",IF(OR(B4073&lt;parametros!$C$2,(YEAR(B4073)-YEAR(parametros!$C$2))*12+MONTH(B4073)-MONTH(parametros!$C$2)&gt;59),"Fora dos ciclos","C"&amp;INT(((YEAR(B4073)-YEAR(parametros!$C$2))*12+MONTH(B4073)-MONTH(parametros!$C$2))/12)))))</f>
        <v/>
      </c>
      <c r="D4073" s="394"/>
      <c r="E4073" s="78" t="str">
        <f>IF(C4073="","",IFERROR(VLOOKUP(C4073,parametros!$A$11:$E$15,5,0),""))</f>
        <v/>
      </c>
      <c r="F4073" s="79" t="str">
        <f t="shared" si="317"/>
        <v/>
      </c>
      <c r="G4073" s="395"/>
      <c r="H4073" s="91">
        <f t="shared" si="318"/>
        <v>0</v>
      </c>
      <c r="I4073" s="91" t="str">
        <f t="shared" si="319"/>
        <v/>
      </c>
      <c r="J4073" s="91" t="str">
        <f t="shared" si="320"/>
        <v/>
      </c>
      <c r="K4073" s="92" t="str">
        <f>IF(AND(A4073="",B4073="",D4073="",G4073=""),"",IF(AND(A4073&lt;&gt;"",COUNTIF($A$2:$A$5001,A4073)&gt;1),"NUMERO_PC duplicado",IF(B4073="","DATA_PC vazia",IF(NOT(ISNUMBER(B4073)),"DATA_PC invalida",IF(OR(C4073="",C4073="Fora dos ciclos"),"CICLO_PC nao identificado",IF(OR(D4073="",D4073=0),"VALOR_PC vazio ou zero",IF(AND(G4073&lt;&gt;"Sim",G4073&lt;&gt;"Nao",G4073&lt;&gt;""),"PC_PAGO_A_CONTRATADA invalido",IF(AND(C4073&lt;&gt;"C0",IFERROR(INDEX(parametros!$A$2:$A$6,MATCH(C4073,parametros!$B$2:$B$6,0)),"")="Sim",IFERROR(INDEX(parametros!$H$2:$H$6,MATCH(C4073,parametros!$B$2:$B$6,0)),"")=""),"INICIO_EFEITO ausente: PC "&amp;A4073&amp;" - "&amp;C4073,IF(L4073="","EFEITO_PC nao calculado: PC "&amp;A4073&amp;" - "&amp;C4073,"OK")))))))))</f>
        <v/>
      </c>
      <c r="L4073" s="92" t="str">
        <f>IF(AND(A4073="",B4073="",D4073="",G4073=""),"",IF(OR(B4073="",NOT(ISNUMBER(B4073)),C4073="",C4073="Fora dos ciclos"),"",IF(C4073="C0","Nao",IF(IFERROR(INDEX(parametros!$A$2:$A$6,MATCH(C4073,parametros!$B$2:$B$6,0)),"")&lt;&gt;"Sim","Nao",IF(IFERROR(INDEX(parametros!$H$2:$H$6,MATCH(C4073,parametros!$B$2:$B$6,0)),"")="","",IF(B4073&gt;=IFERROR(INDEX(parametros!$H$2:$H$6,MATCH(C4073,parametros!$B$2:$B$6,0)),""),"Sim","Nao"))))))</f>
        <v/>
      </c>
      <c r="T4073" s="156"/>
      <c r="U4073" s="214" t="str">
        <f t="shared" si="321"/>
        <v/>
      </c>
      <c r="V4073" s="212" t="s">
        <v>50</v>
      </c>
      <c r="W4073" s="100" t="s">
        <v>168</v>
      </c>
      <c r="X4073" s="100" t="s">
        <v>169</v>
      </c>
      <c r="Y4073" s="101" t="s">
        <v>170</v>
      </c>
      <c r="Z4073" s="101" t="s">
        <v>171</v>
      </c>
      <c r="AA4073" s="101" t="s">
        <v>50</v>
      </c>
      <c r="AB4073" s="101" t="s">
        <v>172</v>
      </c>
      <c r="AC4073" s="102" t="s">
        <v>173</v>
      </c>
    </row>
    <row r="4074" spans="1:29" ht="25.5" customHeight="1" x14ac:dyDescent="0.35">
      <c r="A4074" s="392"/>
      <c r="B4074" s="393"/>
      <c r="C4074" s="99" t="str">
        <f>IF(B4074="","",IF(NOT(ISNUMBER(B4074)),"DATA_PC invalida",IF(NOT(ISNUMBER(parametros!$C$2)),"Fora dos ciclos",IF(OR(B4074&lt;parametros!$C$2,(YEAR(B4074)-YEAR(parametros!$C$2))*12+MONTH(B4074)-MONTH(parametros!$C$2)&gt;59),"Fora dos ciclos","C"&amp;INT(((YEAR(B4074)-YEAR(parametros!$C$2))*12+MONTH(B4074)-MONTH(parametros!$C$2))/12)))))</f>
        <v/>
      </c>
      <c r="D4074" s="394"/>
      <c r="E4074" s="78" t="str">
        <f>IF(C4074="","",IFERROR(VLOOKUP(C4074,parametros!$A$11:$E$15,5,0),""))</f>
        <v/>
      </c>
      <c r="F4074" s="79" t="str">
        <f t="shared" si="317"/>
        <v/>
      </c>
      <c r="G4074" s="395"/>
      <c r="H4074" s="91">
        <f t="shared" si="318"/>
        <v>0</v>
      </c>
      <c r="I4074" s="91" t="str">
        <f t="shared" si="319"/>
        <v/>
      </c>
      <c r="J4074" s="91" t="str">
        <f t="shared" si="320"/>
        <v/>
      </c>
      <c r="K4074" s="92" t="str">
        <f>IF(AND(A4074="",B4074="",D4074="",G4074=""),"",IF(AND(A4074&lt;&gt;"",COUNTIF($A$2:$A$5001,A4074)&gt;1),"NUMERO_PC duplicado",IF(B4074="","DATA_PC vazia",IF(NOT(ISNUMBER(B4074)),"DATA_PC invalida",IF(OR(C4074="",C4074="Fora dos ciclos"),"CICLO_PC nao identificado",IF(OR(D4074="",D4074=0),"VALOR_PC vazio ou zero",IF(AND(G4074&lt;&gt;"Sim",G4074&lt;&gt;"Nao",G4074&lt;&gt;""),"PC_PAGO_A_CONTRATADA invalido",IF(AND(C4074&lt;&gt;"C0",IFERROR(INDEX(parametros!$A$2:$A$6,MATCH(C4074,parametros!$B$2:$B$6,0)),"")="Sim",IFERROR(INDEX(parametros!$H$2:$H$6,MATCH(C4074,parametros!$B$2:$B$6,0)),"")=""),"INICIO_EFEITO ausente: PC "&amp;A4074&amp;" - "&amp;C4074,IF(L4074="","EFEITO_PC nao calculado: PC "&amp;A4074&amp;" - "&amp;C4074,"OK")))))))))</f>
        <v/>
      </c>
      <c r="L4074" s="92" t="str">
        <f>IF(AND(A4074="",B4074="",D4074="",G4074=""),"",IF(OR(B4074="",NOT(ISNUMBER(B4074)),C4074="",C4074="Fora dos ciclos"),"",IF(C4074="C0","Nao",IF(IFERROR(INDEX(parametros!$A$2:$A$6,MATCH(C4074,parametros!$B$2:$B$6,0)),"")&lt;&gt;"Sim","Nao",IF(IFERROR(INDEX(parametros!$H$2:$H$6,MATCH(C4074,parametros!$B$2:$B$6,0)),"")="","",IF(B4074&gt;=IFERROR(INDEX(parametros!$H$2:$H$6,MATCH(C4074,parametros!$B$2:$B$6,0)),""),"Sim","Nao"))))))</f>
        <v/>
      </c>
      <c r="T4074" s="156"/>
      <c r="U4074" s="214" t="str">
        <f t="shared" si="321"/>
        <v/>
      </c>
      <c r="V4074" s="212" t="s">
        <v>50</v>
      </c>
      <c r="W4074" s="100" t="s">
        <v>168</v>
      </c>
      <c r="X4074" s="100" t="s">
        <v>169</v>
      </c>
      <c r="Y4074" s="101" t="s">
        <v>170</v>
      </c>
      <c r="Z4074" s="101" t="s">
        <v>171</v>
      </c>
      <c r="AA4074" s="101" t="s">
        <v>50</v>
      </c>
      <c r="AB4074" s="101" t="s">
        <v>172</v>
      </c>
      <c r="AC4074" s="102" t="s">
        <v>173</v>
      </c>
    </row>
    <row r="4075" spans="1:29" ht="25.5" customHeight="1" x14ac:dyDescent="0.35">
      <c r="A4075" s="392"/>
      <c r="B4075" s="393"/>
      <c r="C4075" s="99" t="str">
        <f>IF(B4075="","",IF(NOT(ISNUMBER(B4075)),"DATA_PC invalida",IF(NOT(ISNUMBER(parametros!$C$2)),"Fora dos ciclos",IF(OR(B4075&lt;parametros!$C$2,(YEAR(B4075)-YEAR(parametros!$C$2))*12+MONTH(B4075)-MONTH(parametros!$C$2)&gt;59),"Fora dos ciclos","C"&amp;INT(((YEAR(B4075)-YEAR(parametros!$C$2))*12+MONTH(B4075)-MONTH(parametros!$C$2))/12)))))</f>
        <v/>
      </c>
      <c r="D4075" s="394"/>
      <c r="E4075" s="78" t="str">
        <f>IF(C4075="","",IFERROR(VLOOKUP(C4075,parametros!$A$11:$E$15,5,0),""))</f>
        <v/>
      </c>
      <c r="F4075" s="79" t="str">
        <f t="shared" si="317"/>
        <v/>
      </c>
      <c r="G4075" s="395"/>
      <c r="H4075" s="91">
        <f t="shared" si="318"/>
        <v>0</v>
      </c>
      <c r="I4075" s="91" t="str">
        <f t="shared" si="319"/>
        <v/>
      </c>
      <c r="J4075" s="91" t="str">
        <f t="shared" si="320"/>
        <v/>
      </c>
      <c r="K4075" s="92" t="str">
        <f>IF(AND(A4075="",B4075="",D4075="",G4075=""),"",IF(AND(A4075&lt;&gt;"",COUNTIF($A$2:$A$5001,A4075)&gt;1),"NUMERO_PC duplicado",IF(B4075="","DATA_PC vazia",IF(NOT(ISNUMBER(B4075)),"DATA_PC invalida",IF(OR(C4075="",C4075="Fora dos ciclos"),"CICLO_PC nao identificado",IF(OR(D4075="",D4075=0),"VALOR_PC vazio ou zero",IF(AND(G4075&lt;&gt;"Sim",G4075&lt;&gt;"Nao",G4075&lt;&gt;""),"PC_PAGO_A_CONTRATADA invalido",IF(AND(C4075&lt;&gt;"C0",IFERROR(INDEX(parametros!$A$2:$A$6,MATCH(C4075,parametros!$B$2:$B$6,0)),"")="Sim",IFERROR(INDEX(parametros!$H$2:$H$6,MATCH(C4075,parametros!$B$2:$B$6,0)),"")=""),"INICIO_EFEITO ausente: PC "&amp;A4075&amp;" - "&amp;C4075,IF(L4075="","EFEITO_PC nao calculado: PC "&amp;A4075&amp;" - "&amp;C4075,"OK")))))))))</f>
        <v/>
      </c>
      <c r="L4075" s="92" t="str">
        <f>IF(AND(A4075="",B4075="",D4075="",G4075=""),"",IF(OR(B4075="",NOT(ISNUMBER(B4075)),C4075="",C4075="Fora dos ciclos"),"",IF(C4075="C0","Nao",IF(IFERROR(INDEX(parametros!$A$2:$A$6,MATCH(C4075,parametros!$B$2:$B$6,0)),"")&lt;&gt;"Sim","Nao",IF(IFERROR(INDEX(parametros!$H$2:$H$6,MATCH(C4075,parametros!$B$2:$B$6,0)),"")="","",IF(B4075&gt;=IFERROR(INDEX(parametros!$H$2:$H$6,MATCH(C4075,parametros!$B$2:$B$6,0)),""),"Sim","Nao"))))))</f>
        <v/>
      </c>
      <c r="T4075" s="156"/>
      <c r="U4075" s="214" t="str">
        <f t="shared" si="321"/>
        <v/>
      </c>
      <c r="V4075" s="212" t="s">
        <v>50</v>
      </c>
      <c r="W4075" s="100" t="s">
        <v>168</v>
      </c>
      <c r="X4075" s="100" t="s">
        <v>169</v>
      </c>
      <c r="Y4075" s="101" t="s">
        <v>170</v>
      </c>
      <c r="Z4075" s="101" t="s">
        <v>171</v>
      </c>
      <c r="AA4075" s="101" t="s">
        <v>50</v>
      </c>
      <c r="AB4075" s="101" t="s">
        <v>172</v>
      </c>
      <c r="AC4075" s="102" t="s">
        <v>173</v>
      </c>
    </row>
    <row r="4076" spans="1:29" ht="25.5" customHeight="1" x14ac:dyDescent="0.35">
      <c r="A4076" s="392"/>
      <c r="B4076" s="393"/>
      <c r="C4076" s="99" t="str">
        <f>IF(B4076="","",IF(NOT(ISNUMBER(B4076)),"DATA_PC invalida",IF(NOT(ISNUMBER(parametros!$C$2)),"Fora dos ciclos",IF(OR(B4076&lt;parametros!$C$2,(YEAR(B4076)-YEAR(parametros!$C$2))*12+MONTH(B4076)-MONTH(parametros!$C$2)&gt;59),"Fora dos ciclos","C"&amp;INT(((YEAR(B4076)-YEAR(parametros!$C$2))*12+MONTH(B4076)-MONTH(parametros!$C$2))/12)))))</f>
        <v/>
      </c>
      <c r="D4076" s="394"/>
      <c r="E4076" s="78" t="str">
        <f>IF(C4076="","",IFERROR(VLOOKUP(C4076,parametros!$A$11:$E$15,5,0),""))</f>
        <v/>
      </c>
      <c r="F4076" s="79" t="str">
        <f t="shared" si="317"/>
        <v/>
      </c>
      <c r="G4076" s="395"/>
      <c r="H4076" s="91">
        <f t="shared" si="318"/>
        <v>0</v>
      </c>
      <c r="I4076" s="91" t="str">
        <f t="shared" si="319"/>
        <v/>
      </c>
      <c r="J4076" s="91" t="str">
        <f t="shared" si="320"/>
        <v/>
      </c>
      <c r="K4076" s="92" t="str">
        <f>IF(AND(A4076="",B4076="",D4076="",G4076=""),"",IF(AND(A4076&lt;&gt;"",COUNTIF($A$2:$A$5001,A4076)&gt;1),"NUMERO_PC duplicado",IF(B4076="","DATA_PC vazia",IF(NOT(ISNUMBER(B4076)),"DATA_PC invalida",IF(OR(C4076="",C4076="Fora dos ciclos"),"CICLO_PC nao identificado",IF(OR(D4076="",D4076=0),"VALOR_PC vazio ou zero",IF(AND(G4076&lt;&gt;"Sim",G4076&lt;&gt;"Nao",G4076&lt;&gt;""),"PC_PAGO_A_CONTRATADA invalido",IF(AND(C4076&lt;&gt;"C0",IFERROR(INDEX(parametros!$A$2:$A$6,MATCH(C4076,parametros!$B$2:$B$6,0)),"")="Sim",IFERROR(INDEX(parametros!$H$2:$H$6,MATCH(C4076,parametros!$B$2:$B$6,0)),"")=""),"INICIO_EFEITO ausente: PC "&amp;A4076&amp;" - "&amp;C4076,IF(L4076="","EFEITO_PC nao calculado: PC "&amp;A4076&amp;" - "&amp;C4076,"OK")))))))))</f>
        <v/>
      </c>
      <c r="L4076" s="92" t="str">
        <f>IF(AND(A4076="",B4076="",D4076="",G4076=""),"",IF(OR(B4076="",NOT(ISNUMBER(B4076)),C4076="",C4076="Fora dos ciclos"),"",IF(C4076="C0","Nao",IF(IFERROR(INDEX(parametros!$A$2:$A$6,MATCH(C4076,parametros!$B$2:$B$6,0)),"")&lt;&gt;"Sim","Nao",IF(IFERROR(INDEX(parametros!$H$2:$H$6,MATCH(C4076,parametros!$B$2:$B$6,0)),"")="","",IF(B4076&gt;=IFERROR(INDEX(parametros!$H$2:$H$6,MATCH(C4076,parametros!$B$2:$B$6,0)),""),"Sim","Nao"))))))</f>
        <v/>
      </c>
      <c r="T4076" s="156"/>
      <c r="U4076" s="214" t="str">
        <f t="shared" si="321"/>
        <v/>
      </c>
      <c r="V4076" s="212" t="s">
        <v>50</v>
      </c>
      <c r="W4076" s="100" t="s">
        <v>168</v>
      </c>
      <c r="X4076" s="100" t="s">
        <v>169</v>
      </c>
      <c r="Y4076" s="101" t="s">
        <v>170</v>
      </c>
      <c r="Z4076" s="101" t="s">
        <v>171</v>
      </c>
      <c r="AA4076" s="101" t="s">
        <v>50</v>
      </c>
      <c r="AB4076" s="101" t="s">
        <v>172</v>
      </c>
      <c r="AC4076" s="102" t="s">
        <v>173</v>
      </c>
    </row>
    <row r="4077" spans="1:29" ht="25.5" customHeight="1" x14ac:dyDescent="0.35">
      <c r="A4077" s="392"/>
      <c r="B4077" s="393"/>
      <c r="C4077" s="99" t="str">
        <f>IF(B4077="","",IF(NOT(ISNUMBER(B4077)),"DATA_PC invalida",IF(NOT(ISNUMBER(parametros!$C$2)),"Fora dos ciclos",IF(OR(B4077&lt;parametros!$C$2,(YEAR(B4077)-YEAR(parametros!$C$2))*12+MONTH(B4077)-MONTH(parametros!$C$2)&gt;59),"Fora dos ciclos","C"&amp;INT(((YEAR(B4077)-YEAR(parametros!$C$2))*12+MONTH(B4077)-MONTH(parametros!$C$2))/12)))))</f>
        <v/>
      </c>
      <c r="D4077" s="394"/>
      <c r="E4077" s="78" t="str">
        <f>IF(C4077="","",IFERROR(VLOOKUP(C4077,parametros!$A$11:$E$15,5,0),""))</f>
        <v/>
      </c>
      <c r="F4077" s="79" t="str">
        <f t="shared" si="317"/>
        <v/>
      </c>
      <c r="G4077" s="395"/>
      <c r="H4077" s="91">
        <f t="shared" si="318"/>
        <v>0</v>
      </c>
      <c r="I4077" s="91" t="str">
        <f t="shared" si="319"/>
        <v/>
      </c>
      <c r="J4077" s="91" t="str">
        <f t="shared" si="320"/>
        <v/>
      </c>
      <c r="K4077" s="92" t="str">
        <f>IF(AND(A4077="",B4077="",D4077="",G4077=""),"",IF(AND(A4077&lt;&gt;"",COUNTIF($A$2:$A$5001,A4077)&gt;1),"NUMERO_PC duplicado",IF(B4077="","DATA_PC vazia",IF(NOT(ISNUMBER(B4077)),"DATA_PC invalida",IF(OR(C4077="",C4077="Fora dos ciclos"),"CICLO_PC nao identificado",IF(OR(D4077="",D4077=0),"VALOR_PC vazio ou zero",IF(AND(G4077&lt;&gt;"Sim",G4077&lt;&gt;"Nao",G4077&lt;&gt;""),"PC_PAGO_A_CONTRATADA invalido",IF(AND(C4077&lt;&gt;"C0",IFERROR(INDEX(parametros!$A$2:$A$6,MATCH(C4077,parametros!$B$2:$B$6,0)),"")="Sim",IFERROR(INDEX(parametros!$H$2:$H$6,MATCH(C4077,parametros!$B$2:$B$6,0)),"")=""),"INICIO_EFEITO ausente: PC "&amp;A4077&amp;" - "&amp;C4077,IF(L4077="","EFEITO_PC nao calculado: PC "&amp;A4077&amp;" - "&amp;C4077,"OK")))))))))</f>
        <v/>
      </c>
      <c r="L4077" s="92" t="str">
        <f>IF(AND(A4077="",B4077="",D4077="",G4077=""),"",IF(OR(B4077="",NOT(ISNUMBER(B4077)),C4077="",C4077="Fora dos ciclos"),"",IF(C4077="C0","Nao",IF(IFERROR(INDEX(parametros!$A$2:$A$6,MATCH(C4077,parametros!$B$2:$B$6,0)),"")&lt;&gt;"Sim","Nao",IF(IFERROR(INDEX(parametros!$H$2:$H$6,MATCH(C4077,parametros!$B$2:$B$6,0)),"")="","",IF(B4077&gt;=IFERROR(INDEX(parametros!$H$2:$H$6,MATCH(C4077,parametros!$B$2:$B$6,0)),""),"Sim","Nao"))))))</f>
        <v/>
      </c>
      <c r="T4077" s="156"/>
      <c r="U4077" s="214" t="str">
        <f t="shared" si="321"/>
        <v/>
      </c>
      <c r="V4077" s="212" t="s">
        <v>50</v>
      </c>
      <c r="W4077" s="100" t="s">
        <v>168</v>
      </c>
      <c r="X4077" s="100" t="s">
        <v>169</v>
      </c>
      <c r="Y4077" s="101" t="s">
        <v>170</v>
      </c>
      <c r="Z4077" s="101" t="s">
        <v>171</v>
      </c>
      <c r="AA4077" s="101" t="s">
        <v>50</v>
      </c>
      <c r="AB4077" s="101" t="s">
        <v>172</v>
      </c>
      <c r="AC4077" s="102" t="s">
        <v>173</v>
      </c>
    </row>
    <row r="4078" spans="1:29" ht="25.5" customHeight="1" x14ac:dyDescent="0.35">
      <c r="A4078" s="392"/>
      <c r="B4078" s="393"/>
      <c r="C4078" s="99" t="str">
        <f>IF(B4078="","",IF(NOT(ISNUMBER(B4078)),"DATA_PC invalida",IF(NOT(ISNUMBER(parametros!$C$2)),"Fora dos ciclos",IF(OR(B4078&lt;parametros!$C$2,(YEAR(B4078)-YEAR(parametros!$C$2))*12+MONTH(B4078)-MONTH(parametros!$C$2)&gt;59),"Fora dos ciclos","C"&amp;INT(((YEAR(B4078)-YEAR(parametros!$C$2))*12+MONTH(B4078)-MONTH(parametros!$C$2))/12)))))</f>
        <v/>
      </c>
      <c r="D4078" s="394"/>
      <c r="E4078" s="78" t="str">
        <f>IF(C4078="","",IFERROR(VLOOKUP(C4078,parametros!$A$11:$E$15,5,0),""))</f>
        <v/>
      </c>
      <c r="F4078" s="79" t="str">
        <f t="shared" si="317"/>
        <v/>
      </c>
      <c r="G4078" s="395"/>
      <c r="H4078" s="91">
        <f t="shared" si="318"/>
        <v>0</v>
      </c>
      <c r="I4078" s="91" t="str">
        <f t="shared" si="319"/>
        <v/>
      </c>
      <c r="J4078" s="91" t="str">
        <f t="shared" si="320"/>
        <v/>
      </c>
      <c r="K4078" s="92" t="str">
        <f>IF(AND(A4078="",B4078="",D4078="",G4078=""),"",IF(AND(A4078&lt;&gt;"",COUNTIF($A$2:$A$5001,A4078)&gt;1),"NUMERO_PC duplicado",IF(B4078="","DATA_PC vazia",IF(NOT(ISNUMBER(B4078)),"DATA_PC invalida",IF(OR(C4078="",C4078="Fora dos ciclos"),"CICLO_PC nao identificado",IF(OR(D4078="",D4078=0),"VALOR_PC vazio ou zero",IF(AND(G4078&lt;&gt;"Sim",G4078&lt;&gt;"Nao",G4078&lt;&gt;""),"PC_PAGO_A_CONTRATADA invalido",IF(AND(C4078&lt;&gt;"C0",IFERROR(INDEX(parametros!$A$2:$A$6,MATCH(C4078,parametros!$B$2:$B$6,0)),"")="Sim",IFERROR(INDEX(parametros!$H$2:$H$6,MATCH(C4078,parametros!$B$2:$B$6,0)),"")=""),"INICIO_EFEITO ausente: PC "&amp;A4078&amp;" - "&amp;C4078,IF(L4078="","EFEITO_PC nao calculado: PC "&amp;A4078&amp;" - "&amp;C4078,"OK")))))))))</f>
        <v/>
      </c>
      <c r="L4078" s="92" t="str">
        <f>IF(AND(A4078="",B4078="",D4078="",G4078=""),"",IF(OR(B4078="",NOT(ISNUMBER(B4078)),C4078="",C4078="Fora dos ciclos"),"",IF(C4078="C0","Nao",IF(IFERROR(INDEX(parametros!$A$2:$A$6,MATCH(C4078,parametros!$B$2:$B$6,0)),"")&lt;&gt;"Sim","Nao",IF(IFERROR(INDEX(parametros!$H$2:$H$6,MATCH(C4078,parametros!$B$2:$B$6,0)),"")="","",IF(B4078&gt;=IFERROR(INDEX(parametros!$H$2:$H$6,MATCH(C4078,parametros!$B$2:$B$6,0)),""),"Sim","Nao"))))))</f>
        <v/>
      </c>
      <c r="T4078" s="156"/>
      <c r="U4078" s="214" t="str">
        <f t="shared" si="321"/>
        <v/>
      </c>
      <c r="V4078" s="212" t="s">
        <v>50</v>
      </c>
      <c r="W4078" s="100" t="s">
        <v>168</v>
      </c>
      <c r="X4078" s="100" t="s">
        <v>169</v>
      </c>
      <c r="Y4078" s="101" t="s">
        <v>170</v>
      </c>
      <c r="Z4078" s="101" t="s">
        <v>171</v>
      </c>
      <c r="AA4078" s="101" t="s">
        <v>50</v>
      </c>
      <c r="AB4078" s="101" t="s">
        <v>172</v>
      </c>
      <c r="AC4078" s="102" t="s">
        <v>173</v>
      </c>
    </row>
    <row r="4079" spans="1:29" ht="25.5" customHeight="1" x14ac:dyDescent="0.35">
      <c r="A4079" s="392"/>
      <c r="B4079" s="393"/>
      <c r="C4079" s="99" t="str">
        <f>IF(B4079="","",IF(NOT(ISNUMBER(B4079)),"DATA_PC invalida",IF(NOT(ISNUMBER(parametros!$C$2)),"Fora dos ciclos",IF(OR(B4079&lt;parametros!$C$2,(YEAR(B4079)-YEAR(parametros!$C$2))*12+MONTH(B4079)-MONTH(parametros!$C$2)&gt;59),"Fora dos ciclos","C"&amp;INT(((YEAR(B4079)-YEAR(parametros!$C$2))*12+MONTH(B4079)-MONTH(parametros!$C$2))/12)))))</f>
        <v/>
      </c>
      <c r="D4079" s="394"/>
      <c r="E4079" s="78" t="str">
        <f>IF(C4079="","",IFERROR(VLOOKUP(C4079,parametros!$A$11:$E$15,5,0),""))</f>
        <v/>
      </c>
      <c r="F4079" s="79" t="str">
        <f t="shared" si="317"/>
        <v/>
      </c>
      <c r="G4079" s="395"/>
      <c r="H4079" s="91">
        <f t="shared" si="318"/>
        <v>0</v>
      </c>
      <c r="I4079" s="91" t="str">
        <f t="shared" si="319"/>
        <v/>
      </c>
      <c r="J4079" s="91" t="str">
        <f t="shared" si="320"/>
        <v/>
      </c>
      <c r="K4079" s="92" t="str">
        <f>IF(AND(A4079="",B4079="",D4079="",G4079=""),"",IF(AND(A4079&lt;&gt;"",COUNTIF($A$2:$A$5001,A4079)&gt;1),"NUMERO_PC duplicado",IF(B4079="","DATA_PC vazia",IF(NOT(ISNUMBER(B4079)),"DATA_PC invalida",IF(OR(C4079="",C4079="Fora dos ciclos"),"CICLO_PC nao identificado",IF(OR(D4079="",D4079=0),"VALOR_PC vazio ou zero",IF(AND(G4079&lt;&gt;"Sim",G4079&lt;&gt;"Nao",G4079&lt;&gt;""),"PC_PAGO_A_CONTRATADA invalido",IF(AND(C4079&lt;&gt;"C0",IFERROR(INDEX(parametros!$A$2:$A$6,MATCH(C4079,parametros!$B$2:$B$6,0)),"")="Sim",IFERROR(INDEX(parametros!$H$2:$H$6,MATCH(C4079,parametros!$B$2:$B$6,0)),"")=""),"INICIO_EFEITO ausente: PC "&amp;A4079&amp;" - "&amp;C4079,IF(L4079="","EFEITO_PC nao calculado: PC "&amp;A4079&amp;" - "&amp;C4079,"OK")))))))))</f>
        <v/>
      </c>
      <c r="L4079" s="92" t="str">
        <f>IF(AND(A4079="",B4079="",D4079="",G4079=""),"",IF(OR(B4079="",NOT(ISNUMBER(B4079)),C4079="",C4079="Fora dos ciclos"),"",IF(C4079="C0","Nao",IF(IFERROR(INDEX(parametros!$A$2:$A$6,MATCH(C4079,parametros!$B$2:$B$6,0)),"")&lt;&gt;"Sim","Nao",IF(IFERROR(INDEX(parametros!$H$2:$H$6,MATCH(C4079,parametros!$B$2:$B$6,0)),"")="","",IF(B4079&gt;=IFERROR(INDEX(parametros!$H$2:$H$6,MATCH(C4079,parametros!$B$2:$B$6,0)),""),"Sim","Nao"))))))</f>
        <v/>
      </c>
      <c r="T4079" s="156"/>
      <c r="U4079" s="214" t="str">
        <f t="shared" si="321"/>
        <v/>
      </c>
      <c r="V4079" s="212" t="s">
        <v>50</v>
      </c>
      <c r="W4079" s="100" t="s">
        <v>168</v>
      </c>
      <c r="X4079" s="100" t="s">
        <v>169</v>
      </c>
      <c r="Y4079" s="101" t="s">
        <v>170</v>
      </c>
      <c r="Z4079" s="101" t="s">
        <v>171</v>
      </c>
      <c r="AA4079" s="101" t="s">
        <v>50</v>
      </c>
      <c r="AB4079" s="101" t="s">
        <v>172</v>
      </c>
      <c r="AC4079" s="102" t="s">
        <v>173</v>
      </c>
    </row>
    <row r="4080" spans="1:29" ht="25.5" customHeight="1" x14ac:dyDescent="0.35">
      <c r="A4080" s="392"/>
      <c r="B4080" s="393"/>
      <c r="C4080" s="99" t="str">
        <f>IF(B4080="","",IF(NOT(ISNUMBER(B4080)),"DATA_PC invalida",IF(NOT(ISNUMBER(parametros!$C$2)),"Fora dos ciclos",IF(OR(B4080&lt;parametros!$C$2,(YEAR(B4080)-YEAR(parametros!$C$2))*12+MONTH(B4080)-MONTH(parametros!$C$2)&gt;59),"Fora dos ciclos","C"&amp;INT(((YEAR(B4080)-YEAR(parametros!$C$2))*12+MONTH(B4080)-MONTH(parametros!$C$2))/12)))))</f>
        <v/>
      </c>
      <c r="D4080" s="394"/>
      <c r="E4080" s="78" t="str">
        <f>IF(C4080="","",IFERROR(VLOOKUP(C4080,parametros!$A$11:$E$15,5,0),""))</f>
        <v/>
      </c>
      <c r="F4080" s="79" t="str">
        <f t="shared" si="317"/>
        <v/>
      </c>
      <c r="G4080" s="395"/>
      <c r="H4080" s="91">
        <f t="shared" si="318"/>
        <v>0</v>
      </c>
      <c r="I4080" s="91" t="str">
        <f t="shared" si="319"/>
        <v/>
      </c>
      <c r="J4080" s="91" t="str">
        <f t="shared" si="320"/>
        <v/>
      </c>
      <c r="K4080" s="92" t="str">
        <f>IF(AND(A4080="",B4080="",D4080="",G4080=""),"",IF(AND(A4080&lt;&gt;"",COUNTIF($A$2:$A$5001,A4080)&gt;1),"NUMERO_PC duplicado",IF(B4080="","DATA_PC vazia",IF(NOT(ISNUMBER(B4080)),"DATA_PC invalida",IF(OR(C4080="",C4080="Fora dos ciclos"),"CICLO_PC nao identificado",IF(OR(D4080="",D4080=0),"VALOR_PC vazio ou zero",IF(AND(G4080&lt;&gt;"Sim",G4080&lt;&gt;"Nao",G4080&lt;&gt;""),"PC_PAGO_A_CONTRATADA invalido",IF(AND(C4080&lt;&gt;"C0",IFERROR(INDEX(parametros!$A$2:$A$6,MATCH(C4080,parametros!$B$2:$B$6,0)),"")="Sim",IFERROR(INDEX(parametros!$H$2:$H$6,MATCH(C4080,parametros!$B$2:$B$6,0)),"")=""),"INICIO_EFEITO ausente: PC "&amp;A4080&amp;" - "&amp;C4080,IF(L4080="","EFEITO_PC nao calculado: PC "&amp;A4080&amp;" - "&amp;C4080,"OK")))))))))</f>
        <v/>
      </c>
      <c r="L4080" s="92" t="str">
        <f>IF(AND(A4080="",B4080="",D4080="",G4080=""),"",IF(OR(B4080="",NOT(ISNUMBER(B4080)),C4080="",C4080="Fora dos ciclos"),"",IF(C4080="C0","Nao",IF(IFERROR(INDEX(parametros!$A$2:$A$6,MATCH(C4080,parametros!$B$2:$B$6,0)),"")&lt;&gt;"Sim","Nao",IF(IFERROR(INDEX(parametros!$H$2:$H$6,MATCH(C4080,parametros!$B$2:$B$6,0)),"")="","",IF(B4080&gt;=IFERROR(INDEX(parametros!$H$2:$H$6,MATCH(C4080,parametros!$B$2:$B$6,0)),""),"Sim","Nao"))))))</f>
        <v/>
      </c>
      <c r="T4080" s="156"/>
      <c r="U4080" s="214" t="str">
        <f t="shared" si="321"/>
        <v/>
      </c>
      <c r="V4080" s="212" t="s">
        <v>50</v>
      </c>
      <c r="W4080" s="100" t="s">
        <v>168</v>
      </c>
      <c r="X4080" s="100" t="s">
        <v>169</v>
      </c>
      <c r="Y4080" s="101" t="s">
        <v>170</v>
      </c>
      <c r="Z4080" s="101" t="s">
        <v>171</v>
      </c>
      <c r="AA4080" s="101" t="s">
        <v>50</v>
      </c>
      <c r="AB4080" s="101" t="s">
        <v>172</v>
      </c>
      <c r="AC4080" s="102" t="s">
        <v>173</v>
      </c>
    </row>
    <row r="4081" spans="1:29" ht="25.5" customHeight="1" x14ac:dyDescent="0.35">
      <c r="A4081" s="392"/>
      <c r="B4081" s="393"/>
      <c r="C4081" s="99" t="str">
        <f>IF(B4081="","",IF(NOT(ISNUMBER(B4081)),"DATA_PC invalida",IF(NOT(ISNUMBER(parametros!$C$2)),"Fora dos ciclos",IF(OR(B4081&lt;parametros!$C$2,(YEAR(B4081)-YEAR(parametros!$C$2))*12+MONTH(B4081)-MONTH(parametros!$C$2)&gt;59),"Fora dos ciclos","C"&amp;INT(((YEAR(B4081)-YEAR(parametros!$C$2))*12+MONTH(B4081)-MONTH(parametros!$C$2))/12)))))</f>
        <v/>
      </c>
      <c r="D4081" s="394"/>
      <c r="E4081" s="78" t="str">
        <f>IF(C4081="","",IFERROR(VLOOKUP(C4081,parametros!$A$11:$E$15,5,0),""))</f>
        <v/>
      </c>
      <c r="F4081" s="79" t="str">
        <f t="shared" si="317"/>
        <v/>
      </c>
      <c r="G4081" s="395"/>
      <c r="H4081" s="91">
        <f t="shared" si="318"/>
        <v>0</v>
      </c>
      <c r="I4081" s="91" t="str">
        <f t="shared" si="319"/>
        <v/>
      </c>
      <c r="J4081" s="91" t="str">
        <f t="shared" si="320"/>
        <v/>
      </c>
      <c r="K4081" s="92" t="str">
        <f>IF(AND(A4081="",B4081="",D4081="",G4081=""),"",IF(AND(A4081&lt;&gt;"",COUNTIF($A$2:$A$5001,A4081)&gt;1),"NUMERO_PC duplicado",IF(B4081="","DATA_PC vazia",IF(NOT(ISNUMBER(B4081)),"DATA_PC invalida",IF(OR(C4081="",C4081="Fora dos ciclos"),"CICLO_PC nao identificado",IF(OR(D4081="",D4081=0),"VALOR_PC vazio ou zero",IF(AND(G4081&lt;&gt;"Sim",G4081&lt;&gt;"Nao",G4081&lt;&gt;""),"PC_PAGO_A_CONTRATADA invalido",IF(AND(C4081&lt;&gt;"C0",IFERROR(INDEX(parametros!$A$2:$A$6,MATCH(C4081,parametros!$B$2:$B$6,0)),"")="Sim",IFERROR(INDEX(parametros!$H$2:$H$6,MATCH(C4081,parametros!$B$2:$B$6,0)),"")=""),"INICIO_EFEITO ausente: PC "&amp;A4081&amp;" - "&amp;C4081,IF(L4081="","EFEITO_PC nao calculado: PC "&amp;A4081&amp;" - "&amp;C4081,"OK")))))))))</f>
        <v/>
      </c>
      <c r="L4081" s="92" t="str">
        <f>IF(AND(A4081="",B4081="",D4081="",G4081=""),"",IF(OR(B4081="",NOT(ISNUMBER(B4081)),C4081="",C4081="Fora dos ciclos"),"",IF(C4081="C0","Nao",IF(IFERROR(INDEX(parametros!$A$2:$A$6,MATCH(C4081,parametros!$B$2:$B$6,0)),"")&lt;&gt;"Sim","Nao",IF(IFERROR(INDEX(parametros!$H$2:$H$6,MATCH(C4081,parametros!$B$2:$B$6,0)),"")="","",IF(B4081&gt;=IFERROR(INDEX(parametros!$H$2:$H$6,MATCH(C4081,parametros!$B$2:$B$6,0)),""),"Sim","Nao"))))))</f>
        <v/>
      </c>
      <c r="T4081" s="156"/>
      <c r="U4081" s="214" t="str">
        <f t="shared" si="321"/>
        <v/>
      </c>
      <c r="V4081" s="212" t="s">
        <v>50</v>
      </c>
      <c r="W4081" s="100" t="s">
        <v>168</v>
      </c>
      <c r="X4081" s="100" t="s">
        <v>169</v>
      </c>
      <c r="Y4081" s="101" t="s">
        <v>170</v>
      </c>
      <c r="Z4081" s="101" t="s">
        <v>171</v>
      </c>
      <c r="AA4081" s="101" t="s">
        <v>50</v>
      </c>
      <c r="AB4081" s="101" t="s">
        <v>172</v>
      </c>
      <c r="AC4081" s="102" t="s">
        <v>173</v>
      </c>
    </row>
    <row r="4082" spans="1:29" ht="25.5" customHeight="1" x14ac:dyDescent="0.35">
      <c r="A4082" s="392"/>
      <c r="B4082" s="393"/>
      <c r="C4082" s="99" t="str">
        <f>IF(B4082="","",IF(NOT(ISNUMBER(B4082)),"DATA_PC invalida",IF(NOT(ISNUMBER(parametros!$C$2)),"Fora dos ciclos",IF(OR(B4082&lt;parametros!$C$2,(YEAR(B4082)-YEAR(parametros!$C$2))*12+MONTH(B4082)-MONTH(parametros!$C$2)&gt;59),"Fora dos ciclos","C"&amp;INT(((YEAR(B4082)-YEAR(parametros!$C$2))*12+MONTH(B4082)-MONTH(parametros!$C$2))/12)))))</f>
        <v/>
      </c>
      <c r="D4082" s="394"/>
      <c r="E4082" s="78" t="str">
        <f>IF(C4082="","",IFERROR(VLOOKUP(C4082,parametros!$A$11:$E$15,5,0),""))</f>
        <v/>
      </c>
      <c r="F4082" s="79" t="str">
        <f t="shared" si="317"/>
        <v/>
      </c>
      <c r="G4082" s="395"/>
      <c r="H4082" s="91">
        <f t="shared" si="318"/>
        <v>0</v>
      </c>
      <c r="I4082" s="91" t="str">
        <f t="shared" si="319"/>
        <v/>
      </c>
      <c r="J4082" s="91" t="str">
        <f t="shared" si="320"/>
        <v/>
      </c>
      <c r="K4082" s="92" t="str">
        <f>IF(AND(A4082="",B4082="",D4082="",G4082=""),"",IF(AND(A4082&lt;&gt;"",COUNTIF($A$2:$A$5001,A4082)&gt;1),"NUMERO_PC duplicado",IF(B4082="","DATA_PC vazia",IF(NOT(ISNUMBER(B4082)),"DATA_PC invalida",IF(OR(C4082="",C4082="Fora dos ciclos"),"CICLO_PC nao identificado",IF(OR(D4082="",D4082=0),"VALOR_PC vazio ou zero",IF(AND(G4082&lt;&gt;"Sim",G4082&lt;&gt;"Nao",G4082&lt;&gt;""),"PC_PAGO_A_CONTRATADA invalido",IF(AND(C4082&lt;&gt;"C0",IFERROR(INDEX(parametros!$A$2:$A$6,MATCH(C4082,parametros!$B$2:$B$6,0)),"")="Sim",IFERROR(INDEX(parametros!$H$2:$H$6,MATCH(C4082,parametros!$B$2:$B$6,0)),"")=""),"INICIO_EFEITO ausente: PC "&amp;A4082&amp;" - "&amp;C4082,IF(L4082="","EFEITO_PC nao calculado: PC "&amp;A4082&amp;" - "&amp;C4082,"OK")))))))))</f>
        <v/>
      </c>
      <c r="L4082" s="92" t="str">
        <f>IF(AND(A4082="",B4082="",D4082="",G4082=""),"",IF(OR(B4082="",NOT(ISNUMBER(B4082)),C4082="",C4082="Fora dos ciclos"),"",IF(C4082="C0","Nao",IF(IFERROR(INDEX(parametros!$A$2:$A$6,MATCH(C4082,parametros!$B$2:$B$6,0)),"")&lt;&gt;"Sim","Nao",IF(IFERROR(INDEX(parametros!$H$2:$H$6,MATCH(C4082,parametros!$B$2:$B$6,0)),"")="","",IF(B4082&gt;=IFERROR(INDEX(parametros!$H$2:$H$6,MATCH(C4082,parametros!$B$2:$B$6,0)),""),"Sim","Nao"))))))</f>
        <v/>
      </c>
      <c r="T4082" s="156"/>
      <c r="U4082" s="214" t="str">
        <f t="shared" si="321"/>
        <v/>
      </c>
      <c r="V4082" s="212" t="s">
        <v>50</v>
      </c>
      <c r="W4082" s="100" t="s">
        <v>168</v>
      </c>
      <c r="X4082" s="100" t="s">
        <v>169</v>
      </c>
      <c r="Y4082" s="101" t="s">
        <v>170</v>
      </c>
      <c r="Z4082" s="101" t="s">
        <v>171</v>
      </c>
      <c r="AA4082" s="101" t="s">
        <v>50</v>
      </c>
      <c r="AB4082" s="101" t="s">
        <v>172</v>
      </c>
      <c r="AC4082" s="102" t="s">
        <v>173</v>
      </c>
    </row>
    <row r="4083" spans="1:29" ht="25.5" customHeight="1" x14ac:dyDescent="0.35">
      <c r="A4083" s="392"/>
      <c r="B4083" s="393"/>
      <c r="C4083" s="99" t="str">
        <f>IF(B4083="","",IF(NOT(ISNUMBER(B4083)),"DATA_PC invalida",IF(NOT(ISNUMBER(parametros!$C$2)),"Fora dos ciclos",IF(OR(B4083&lt;parametros!$C$2,(YEAR(B4083)-YEAR(parametros!$C$2))*12+MONTH(B4083)-MONTH(parametros!$C$2)&gt;59),"Fora dos ciclos","C"&amp;INT(((YEAR(B4083)-YEAR(parametros!$C$2))*12+MONTH(B4083)-MONTH(parametros!$C$2))/12)))))</f>
        <v/>
      </c>
      <c r="D4083" s="394"/>
      <c r="E4083" s="78" t="str">
        <f>IF(C4083="","",IFERROR(VLOOKUP(C4083,parametros!$A$11:$E$15,5,0),""))</f>
        <v/>
      </c>
      <c r="F4083" s="79" t="str">
        <f t="shared" si="317"/>
        <v/>
      </c>
      <c r="G4083" s="395"/>
      <c r="H4083" s="91">
        <f t="shared" si="318"/>
        <v>0</v>
      </c>
      <c r="I4083" s="91" t="str">
        <f t="shared" si="319"/>
        <v/>
      </c>
      <c r="J4083" s="91" t="str">
        <f t="shared" si="320"/>
        <v/>
      </c>
      <c r="K4083" s="92" t="str">
        <f>IF(AND(A4083="",B4083="",D4083="",G4083=""),"",IF(AND(A4083&lt;&gt;"",COUNTIF($A$2:$A$5001,A4083)&gt;1),"NUMERO_PC duplicado",IF(B4083="","DATA_PC vazia",IF(NOT(ISNUMBER(B4083)),"DATA_PC invalida",IF(OR(C4083="",C4083="Fora dos ciclos"),"CICLO_PC nao identificado",IF(OR(D4083="",D4083=0),"VALOR_PC vazio ou zero",IF(AND(G4083&lt;&gt;"Sim",G4083&lt;&gt;"Nao",G4083&lt;&gt;""),"PC_PAGO_A_CONTRATADA invalido",IF(AND(C4083&lt;&gt;"C0",IFERROR(INDEX(parametros!$A$2:$A$6,MATCH(C4083,parametros!$B$2:$B$6,0)),"")="Sim",IFERROR(INDEX(parametros!$H$2:$H$6,MATCH(C4083,parametros!$B$2:$B$6,0)),"")=""),"INICIO_EFEITO ausente: PC "&amp;A4083&amp;" - "&amp;C4083,IF(L4083="","EFEITO_PC nao calculado: PC "&amp;A4083&amp;" - "&amp;C4083,"OK")))))))))</f>
        <v/>
      </c>
      <c r="L4083" s="92" t="str">
        <f>IF(AND(A4083="",B4083="",D4083="",G4083=""),"",IF(OR(B4083="",NOT(ISNUMBER(B4083)),C4083="",C4083="Fora dos ciclos"),"",IF(C4083="C0","Nao",IF(IFERROR(INDEX(parametros!$A$2:$A$6,MATCH(C4083,parametros!$B$2:$B$6,0)),"")&lt;&gt;"Sim","Nao",IF(IFERROR(INDEX(parametros!$H$2:$H$6,MATCH(C4083,parametros!$B$2:$B$6,0)),"")="","",IF(B4083&gt;=IFERROR(INDEX(parametros!$H$2:$H$6,MATCH(C4083,parametros!$B$2:$B$6,0)),""),"Sim","Nao"))))))</f>
        <v/>
      </c>
      <c r="T4083" s="156"/>
      <c r="U4083" s="214" t="str">
        <f t="shared" si="321"/>
        <v/>
      </c>
      <c r="V4083" s="212" t="s">
        <v>50</v>
      </c>
      <c r="W4083" s="100" t="s">
        <v>168</v>
      </c>
      <c r="X4083" s="100" t="s">
        <v>169</v>
      </c>
      <c r="Y4083" s="101" t="s">
        <v>170</v>
      </c>
      <c r="Z4083" s="101" t="s">
        <v>171</v>
      </c>
      <c r="AA4083" s="101" t="s">
        <v>50</v>
      </c>
      <c r="AB4083" s="101" t="s">
        <v>172</v>
      </c>
      <c r="AC4083" s="102" t="s">
        <v>173</v>
      </c>
    </row>
    <row r="4084" spans="1:29" ht="25.5" customHeight="1" x14ac:dyDescent="0.35">
      <c r="A4084" s="392"/>
      <c r="B4084" s="393"/>
      <c r="C4084" s="99" t="str">
        <f>IF(B4084="","",IF(NOT(ISNUMBER(B4084)),"DATA_PC invalida",IF(NOT(ISNUMBER(parametros!$C$2)),"Fora dos ciclos",IF(OR(B4084&lt;parametros!$C$2,(YEAR(B4084)-YEAR(parametros!$C$2))*12+MONTH(B4084)-MONTH(parametros!$C$2)&gt;59),"Fora dos ciclos","C"&amp;INT(((YEAR(B4084)-YEAR(parametros!$C$2))*12+MONTH(B4084)-MONTH(parametros!$C$2))/12)))))</f>
        <v/>
      </c>
      <c r="D4084" s="394"/>
      <c r="E4084" s="78" t="str">
        <f>IF(C4084="","",IFERROR(VLOOKUP(C4084,parametros!$A$11:$E$15,5,0),""))</f>
        <v/>
      </c>
      <c r="F4084" s="79" t="str">
        <f t="shared" si="317"/>
        <v/>
      </c>
      <c r="G4084" s="395"/>
      <c r="H4084" s="91">
        <f t="shared" si="318"/>
        <v>0</v>
      </c>
      <c r="I4084" s="91" t="str">
        <f t="shared" si="319"/>
        <v/>
      </c>
      <c r="J4084" s="91" t="str">
        <f t="shared" si="320"/>
        <v/>
      </c>
      <c r="K4084" s="92" t="str">
        <f>IF(AND(A4084="",B4084="",D4084="",G4084=""),"",IF(AND(A4084&lt;&gt;"",COUNTIF($A$2:$A$5001,A4084)&gt;1),"NUMERO_PC duplicado",IF(B4084="","DATA_PC vazia",IF(NOT(ISNUMBER(B4084)),"DATA_PC invalida",IF(OR(C4084="",C4084="Fora dos ciclos"),"CICLO_PC nao identificado",IF(OR(D4084="",D4084=0),"VALOR_PC vazio ou zero",IF(AND(G4084&lt;&gt;"Sim",G4084&lt;&gt;"Nao",G4084&lt;&gt;""),"PC_PAGO_A_CONTRATADA invalido",IF(AND(C4084&lt;&gt;"C0",IFERROR(INDEX(parametros!$A$2:$A$6,MATCH(C4084,parametros!$B$2:$B$6,0)),"")="Sim",IFERROR(INDEX(parametros!$H$2:$H$6,MATCH(C4084,parametros!$B$2:$B$6,0)),"")=""),"INICIO_EFEITO ausente: PC "&amp;A4084&amp;" - "&amp;C4084,IF(L4084="","EFEITO_PC nao calculado: PC "&amp;A4084&amp;" - "&amp;C4084,"OK")))))))))</f>
        <v/>
      </c>
      <c r="L4084" s="92" t="str">
        <f>IF(AND(A4084="",B4084="",D4084="",G4084=""),"",IF(OR(B4084="",NOT(ISNUMBER(B4084)),C4084="",C4084="Fora dos ciclos"),"",IF(C4084="C0","Nao",IF(IFERROR(INDEX(parametros!$A$2:$A$6,MATCH(C4084,parametros!$B$2:$B$6,0)),"")&lt;&gt;"Sim","Nao",IF(IFERROR(INDEX(parametros!$H$2:$H$6,MATCH(C4084,parametros!$B$2:$B$6,0)),"")="","",IF(B4084&gt;=IFERROR(INDEX(parametros!$H$2:$H$6,MATCH(C4084,parametros!$B$2:$B$6,0)),""),"Sim","Nao"))))))</f>
        <v/>
      </c>
      <c r="T4084" s="156"/>
      <c r="U4084" s="214" t="str">
        <f t="shared" si="321"/>
        <v/>
      </c>
      <c r="V4084" s="212" t="s">
        <v>50</v>
      </c>
      <c r="W4084" s="100" t="s">
        <v>168</v>
      </c>
      <c r="X4084" s="100" t="s">
        <v>169</v>
      </c>
      <c r="Y4084" s="101" t="s">
        <v>170</v>
      </c>
      <c r="Z4084" s="101" t="s">
        <v>171</v>
      </c>
      <c r="AA4084" s="101" t="s">
        <v>50</v>
      </c>
      <c r="AB4084" s="101" t="s">
        <v>172</v>
      </c>
      <c r="AC4084" s="102" t="s">
        <v>173</v>
      </c>
    </row>
    <row r="4085" spans="1:29" ht="25.5" customHeight="1" x14ac:dyDescent="0.35">
      <c r="A4085" s="392"/>
      <c r="B4085" s="393"/>
      <c r="C4085" s="99" t="str">
        <f>IF(B4085="","",IF(NOT(ISNUMBER(B4085)),"DATA_PC invalida",IF(NOT(ISNUMBER(parametros!$C$2)),"Fora dos ciclos",IF(OR(B4085&lt;parametros!$C$2,(YEAR(B4085)-YEAR(parametros!$C$2))*12+MONTH(B4085)-MONTH(parametros!$C$2)&gt;59),"Fora dos ciclos","C"&amp;INT(((YEAR(B4085)-YEAR(parametros!$C$2))*12+MONTH(B4085)-MONTH(parametros!$C$2))/12)))))</f>
        <v/>
      </c>
      <c r="D4085" s="394"/>
      <c r="E4085" s="78" t="str">
        <f>IF(C4085="","",IFERROR(VLOOKUP(C4085,parametros!$A$11:$E$15,5,0),""))</f>
        <v/>
      </c>
      <c r="F4085" s="79" t="str">
        <f t="shared" si="317"/>
        <v/>
      </c>
      <c r="G4085" s="395"/>
      <c r="H4085" s="91">
        <f t="shared" si="318"/>
        <v>0</v>
      </c>
      <c r="I4085" s="91" t="str">
        <f t="shared" si="319"/>
        <v/>
      </c>
      <c r="J4085" s="91" t="str">
        <f t="shared" si="320"/>
        <v/>
      </c>
      <c r="K4085" s="92" t="str">
        <f>IF(AND(A4085="",B4085="",D4085="",G4085=""),"",IF(AND(A4085&lt;&gt;"",COUNTIF($A$2:$A$5001,A4085)&gt;1),"NUMERO_PC duplicado",IF(B4085="","DATA_PC vazia",IF(NOT(ISNUMBER(B4085)),"DATA_PC invalida",IF(OR(C4085="",C4085="Fora dos ciclos"),"CICLO_PC nao identificado",IF(OR(D4085="",D4085=0),"VALOR_PC vazio ou zero",IF(AND(G4085&lt;&gt;"Sim",G4085&lt;&gt;"Nao",G4085&lt;&gt;""),"PC_PAGO_A_CONTRATADA invalido",IF(AND(C4085&lt;&gt;"C0",IFERROR(INDEX(parametros!$A$2:$A$6,MATCH(C4085,parametros!$B$2:$B$6,0)),"")="Sim",IFERROR(INDEX(parametros!$H$2:$H$6,MATCH(C4085,parametros!$B$2:$B$6,0)),"")=""),"INICIO_EFEITO ausente: PC "&amp;A4085&amp;" - "&amp;C4085,IF(L4085="","EFEITO_PC nao calculado: PC "&amp;A4085&amp;" - "&amp;C4085,"OK")))))))))</f>
        <v/>
      </c>
      <c r="L4085" s="92" t="str">
        <f>IF(AND(A4085="",B4085="",D4085="",G4085=""),"",IF(OR(B4085="",NOT(ISNUMBER(B4085)),C4085="",C4085="Fora dos ciclos"),"",IF(C4085="C0","Nao",IF(IFERROR(INDEX(parametros!$A$2:$A$6,MATCH(C4085,parametros!$B$2:$B$6,0)),"")&lt;&gt;"Sim","Nao",IF(IFERROR(INDEX(parametros!$H$2:$H$6,MATCH(C4085,parametros!$B$2:$B$6,0)),"")="","",IF(B4085&gt;=IFERROR(INDEX(parametros!$H$2:$H$6,MATCH(C4085,parametros!$B$2:$B$6,0)),""),"Sim","Nao"))))))</f>
        <v/>
      </c>
      <c r="T4085" s="156"/>
      <c r="U4085" s="214" t="str">
        <f t="shared" si="321"/>
        <v/>
      </c>
      <c r="V4085" s="212" t="s">
        <v>50</v>
      </c>
      <c r="W4085" s="100" t="s">
        <v>168</v>
      </c>
      <c r="X4085" s="100" t="s">
        <v>169</v>
      </c>
      <c r="Y4085" s="101" t="s">
        <v>170</v>
      </c>
      <c r="Z4085" s="101" t="s">
        <v>171</v>
      </c>
      <c r="AA4085" s="101" t="s">
        <v>50</v>
      </c>
      <c r="AB4085" s="101" t="s">
        <v>172</v>
      </c>
      <c r="AC4085" s="102" t="s">
        <v>173</v>
      </c>
    </row>
    <row r="4086" spans="1:29" ht="25.5" customHeight="1" x14ac:dyDescent="0.35">
      <c r="A4086" s="392"/>
      <c r="B4086" s="393"/>
      <c r="C4086" s="99" t="str">
        <f>IF(B4086="","",IF(NOT(ISNUMBER(B4086)),"DATA_PC invalida",IF(NOT(ISNUMBER(parametros!$C$2)),"Fora dos ciclos",IF(OR(B4086&lt;parametros!$C$2,(YEAR(B4086)-YEAR(parametros!$C$2))*12+MONTH(B4086)-MONTH(parametros!$C$2)&gt;59),"Fora dos ciclos","C"&amp;INT(((YEAR(B4086)-YEAR(parametros!$C$2))*12+MONTH(B4086)-MONTH(parametros!$C$2))/12)))))</f>
        <v/>
      </c>
      <c r="D4086" s="394"/>
      <c r="E4086" s="78" t="str">
        <f>IF(C4086="","",IFERROR(VLOOKUP(C4086,parametros!$A$11:$E$15,5,0),""))</f>
        <v/>
      </c>
      <c r="F4086" s="79" t="str">
        <f t="shared" si="317"/>
        <v/>
      </c>
      <c r="G4086" s="395"/>
      <c r="H4086" s="91">
        <f t="shared" si="318"/>
        <v>0</v>
      </c>
      <c r="I4086" s="91" t="str">
        <f t="shared" si="319"/>
        <v/>
      </c>
      <c r="J4086" s="91" t="str">
        <f t="shared" si="320"/>
        <v/>
      </c>
      <c r="K4086" s="92" t="str">
        <f>IF(AND(A4086="",B4086="",D4086="",G4086=""),"",IF(AND(A4086&lt;&gt;"",COUNTIF($A$2:$A$5001,A4086)&gt;1),"NUMERO_PC duplicado",IF(B4086="","DATA_PC vazia",IF(NOT(ISNUMBER(B4086)),"DATA_PC invalida",IF(OR(C4086="",C4086="Fora dos ciclos"),"CICLO_PC nao identificado",IF(OR(D4086="",D4086=0),"VALOR_PC vazio ou zero",IF(AND(G4086&lt;&gt;"Sim",G4086&lt;&gt;"Nao",G4086&lt;&gt;""),"PC_PAGO_A_CONTRATADA invalido",IF(AND(C4086&lt;&gt;"C0",IFERROR(INDEX(parametros!$A$2:$A$6,MATCH(C4086,parametros!$B$2:$B$6,0)),"")="Sim",IFERROR(INDEX(parametros!$H$2:$H$6,MATCH(C4086,parametros!$B$2:$B$6,0)),"")=""),"INICIO_EFEITO ausente: PC "&amp;A4086&amp;" - "&amp;C4086,IF(L4086="","EFEITO_PC nao calculado: PC "&amp;A4086&amp;" - "&amp;C4086,"OK")))))))))</f>
        <v/>
      </c>
      <c r="L4086" s="92" t="str">
        <f>IF(AND(A4086="",B4086="",D4086="",G4086=""),"",IF(OR(B4086="",NOT(ISNUMBER(B4086)),C4086="",C4086="Fora dos ciclos"),"",IF(C4086="C0","Nao",IF(IFERROR(INDEX(parametros!$A$2:$A$6,MATCH(C4086,parametros!$B$2:$B$6,0)),"")&lt;&gt;"Sim","Nao",IF(IFERROR(INDEX(parametros!$H$2:$H$6,MATCH(C4086,parametros!$B$2:$B$6,0)),"")="","",IF(B4086&gt;=IFERROR(INDEX(parametros!$H$2:$H$6,MATCH(C4086,parametros!$B$2:$B$6,0)),""),"Sim","Nao"))))))</f>
        <v/>
      </c>
      <c r="T4086" s="156"/>
      <c r="U4086" s="214" t="str">
        <f t="shared" si="321"/>
        <v/>
      </c>
      <c r="V4086" s="212" t="s">
        <v>50</v>
      </c>
      <c r="W4086" s="100" t="s">
        <v>168</v>
      </c>
      <c r="X4086" s="100" t="s">
        <v>169</v>
      </c>
      <c r="Y4086" s="101" t="s">
        <v>170</v>
      </c>
      <c r="Z4086" s="101" t="s">
        <v>171</v>
      </c>
      <c r="AA4086" s="101" t="s">
        <v>50</v>
      </c>
      <c r="AB4086" s="101" t="s">
        <v>172</v>
      </c>
      <c r="AC4086" s="102" t="s">
        <v>173</v>
      </c>
    </row>
    <row r="4087" spans="1:29" ht="25.5" customHeight="1" x14ac:dyDescent="0.35">
      <c r="A4087" s="392"/>
      <c r="B4087" s="393"/>
      <c r="C4087" s="99" t="str">
        <f>IF(B4087="","",IF(NOT(ISNUMBER(B4087)),"DATA_PC invalida",IF(NOT(ISNUMBER(parametros!$C$2)),"Fora dos ciclos",IF(OR(B4087&lt;parametros!$C$2,(YEAR(B4087)-YEAR(parametros!$C$2))*12+MONTH(B4087)-MONTH(parametros!$C$2)&gt;59),"Fora dos ciclos","C"&amp;INT(((YEAR(B4087)-YEAR(parametros!$C$2))*12+MONTH(B4087)-MONTH(parametros!$C$2))/12)))))</f>
        <v/>
      </c>
      <c r="D4087" s="394"/>
      <c r="E4087" s="78" t="str">
        <f>IF(C4087="","",IFERROR(VLOOKUP(C4087,parametros!$A$11:$E$15,5,0),""))</f>
        <v/>
      </c>
      <c r="F4087" s="79" t="str">
        <f t="shared" si="317"/>
        <v/>
      </c>
      <c r="G4087" s="395"/>
      <c r="H4087" s="91">
        <f t="shared" si="318"/>
        <v>0</v>
      </c>
      <c r="I4087" s="91" t="str">
        <f t="shared" si="319"/>
        <v/>
      </c>
      <c r="J4087" s="91" t="str">
        <f t="shared" si="320"/>
        <v/>
      </c>
      <c r="K4087" s="92" t="str">
        <f>IF(AND(A4087="",B4087="",D4087="",G4087=""),"",IF(AND(A4087&lt;&gt;"",COUNTIF($A$2:$A$5001,A4087)&gt;1),"NUMERO_PC duplicado",IF(B4087="","DATA_PC vazia",IF(NOT(ISNUMBER(B4087)),"DATA_PC invalida",IF(OR(C4087="",C4087="Fora dos ciclos"),"CICLO_PC nao identificado",IF(OR(D4087="",D4087=0),"VALOR_PC vazio ou zero",IF(AND(G4087&lt;&gt;"Sim",G4087&lt;&gt;"Nao",G4087&lt;&gt;""),"PC_PAGO_A_CONTRATADA invalido",IF(AND(C4087&lt;&gt;"C0",IFERROR(INDEX(parametros!$A$2:$A$6,MATCH(C4087,parametros!$B$2:$B$6,0)),"")="Sim",IFERROR(INDEX(parametros!$H$2:$H$6,MATCH(C4087,parametros!$B$2:$B$6,0)),"")=""),"INICIO_EFEITO ausente: PC "&amp;A4087&amp;" - "&amp;C4087,IF(L4087="","EFEITO_PC nao calculado: PC "&amp;A4087&amp;" - "&amp;C4087,"OK")))))))))</f>
        <v/>
      </c>
      <c r="L4087" s="92" t="str">
        <f>IF(AND(A4087="",B4087="",D4087="",G4087=""),"",IF(OR(B4087="",NOT(ISNUMBER(B4087)),C4087="",C4087="Fora dos ciclos"),"",IF(C4087="C0","Nao",IF(IFERROR(INDEX(parametros!$A$2:$A$6,MATCH(C4087,parametros!$B$2:$B$6,0)),"")&lt;&gt;"Sim","Nao",IF(IFERROR(INDEX(parametros!$H$2:$H$6,MATCH(C4087,parametros!$B$2:$B$6,0)),"")="","",IF(B4087&gt;=IFERROR(INDEX(parametros!$H$2:$H$6,MATCH(C4087,parametros!$B$2:$B$6,0)),""),"Sim","Nao"))))))</f>
        <v/>
      </c>
      <c r="T4087" s="156"/>
      <c r="U4087" s="214" t="str">
        <f t="shared" si="321"/>
        <v/>
      </c>
      <c r="V4087" s="212" t="s">
        <v>50</v>
      </c>
      <c r="W4087" s="100" t="s">
        <v>168</v>
      </c>
      <c r="X4087" s="100" t="s">
        <v>169</v>
      </c>
      <c r="Y4087" s="101" t="s">
        <v>170</v>
      </c>
      <c r="Z4087" s="101" t="s">
        <v>171</v>
      </c>
      <c r="AA4087" s="101" t="s">
        <v>50</v>
      </c>
      <c r="AB4087" s="101" t="s">
        <v>172</v>
      </c>
      <c r="AC4087" s="102" t="s">
        <v>173</v>
      </c>
    </row>
    <row r="4088" spans="1:29" ht="25.5" customHeight="1" x14ac:dyDescent="0.35">
      <c r="A4088" s="392"/>
      <c r="B4088" s="393"/>
      <c r="C4088" s="99" t="str">
        <f>IF(B4088="","",IF(NOT(ISNUMBER(B4088)),"DATA_PC invalida",IF(NOT(ISNUMBER(parametros!$C$2)),"Fora dos ciclos",IF(OR(B4088&lt;parametros!$C$2,(YEAR(B4088)-YEAR(parametros!$C$2))*12+MONTH(B4088)-MONTH(parametros!$C$2)&gt;59),"Fora dos ciclos","C"&amp;INT(((YEAR(B4088)-YEAR(parametros!$C$2))*12+MONTH(B4088)-MONTH(parametros!$C$2))/12)))))</f>
        <v/>
      </c>
      <c r="D4088" s="394"/>
      <c r="E4088" s="78" t="str">
        <f>IF(C4088="","",IFERROR(VLOOKUP(C4088,parametros!$A$11:$E$15,5,0),""))</f>
        <v/>
      </c>
      <c r="F4088" s="79" t="str">
        <f t="shared" si="317"/>
        <v/>
      </c>
      <c r="G4088" s="395"/>
      <c r="H4088" s="91">
        <f t="shared" si="318"/>
        <v>0</v>
      </c>
      <c r="I4088" s="91" t="str">
        <f t="shared" si="319"/>
        <v/>
      </c>
      <c r="J4088" s="91" t="str">
        <f t="shared" si="320"/>
        <v/>
      </c>
      <c r="K4088" s="92" t="str">
        <f>IF(AND(A4088="",B4088="",D4088="",G4088=""),"",IF(AND(A4088&lt;&gt;"",COUNTIF($A$2:$A$5001,A4088)&gt;1),"NUMERO_PC duplicado",IF(B4088="","DATA_PC vazia",IF(NOT(ISNUMBER(B4088)),"DATA_PC invalida",IF(OR(C4088="",C4088="Fora dos ciclos"),"CICLO_PC nao identificado",IF(OR(D4088="",D4088=0),"VALOR_PC vazio ou zero",IF(AND(G4088&lt;&gt;"Sim",G4088&lt;&gt;"Nao",G4088&lt;&gt;""),"PC_PAGO_A_CONTRATADA invalido",IF(AND(C4088&lt;&gt;"C0",IFERROR(INDEX(parametros!$A$2:$A$6,MATCH(C4088,parametros!$B$2:$B$6,0)),"")="Sim",IFERROR(INDEX(parametros!$H$2:$H$6,MATCH(C4088,parametros!$B$2:$B$6,0)),"")=""),"INICIO_EFEITO ausente: PC "&amp;A4088&amp;" - "&amp;C4088,IF(L4088="","EFEITO_PC nao calculado: PC "&amp;A4088&amp;" - "&amp;C4088,"OK")))))))))</f>
        <v/>
      </c>
      <c r="L4088" s="92" t="str">
        <f>IF(AND(A4088="",B4088="",D4088="",G4088=""),"",IF(OR(B4088="",NOT(ISNUMBER(B4088)),C4088="",C4088="Fora dos ciclos"),"",IF(C4088="C0","Nao",IF(IFERROR(INDEX(parametros!$A$2:$A$6,MATCH(C4088,parametros!$B$2:$B$6,0)),"")&lt;&gt;"Sim","Nao",IF(IFERROR(INDEX(parametros!$H$2:$H$6,MATCH(C4088,parametros!$B$2:$B$6,0)),"")="","",IF(B4088&gt;=IFERROR(INDEX(parametros!$H$2:$H$6,MATCH(C4088,parametros!$B$2:$B$6,0)),""),"Sim","Nao"))))))</f>
        <v/>
      </c>
      <c r="T4088" s="156"/>
      <c r="U4088" s="214" t="str">
        <f t="shared" si="321"/>
        <v/>
      </c>
      <c r="V4088" s="212" t="s">
        <v>50</v>
      </c>
      <c r="W4088" s="100" t="s">
        <v>168</v>
      </c>
      <c r="X4088" s="100" t="s">
        <v>169</v>
      </c>
      <c r="Y4088" s="101" t="s">
        <v>170</v>
      </c>
      <c r="Z4088" s="101" t="s">
        <v>171</v>
      </c>
      <c r="AA4088" s="101" t="s">
        <v>50</v>
      </c>
      <c r="AB4088" s="101" t="s">
        <v>172</v>
      </c>
      <c r="AC4088" s="102" t="s">
        <v>173</v>
      </c>
    </row>
    <row r="4089" spans="1:29" ht="25.5" customHeight="1" x14ac:dyDescent="0.35">
      <c r="A4089" s="392"/>
      <c r="B4089" s="393"/>
      <c r="C4089" s="99" t="str">
        <f>IF(B4089="","",IF(NOT(ISNUMBER(B4089)),"DATA_PC invalida",IF(NOT(ISNUMBER(parametros!$C$2)),"Fora dos ciclos",IF(OR(B4089&lt;parametros!$C$2,(YEAR(B4089)-YEAR(parametros!$C$2))*12+MONTH(B4089)-MONTH(parametros!$C$2)&gt;59),"Fora dos ciclos","C"&amp;INT(((YEAR(B4089)-YEAR(parametros!$C$2))*12+MONTH(B4089)-MONTH(parametros!$C$2))/12)))))</f>
        <v/>
      </c>
      <c r="D4089" s="394"/>
      <c r="E4089" s="78" t="str">
        <f>IF(C4089="","",IFERROR(VLOOKUP(C4089,parametros!$A$11:$E$15,5,0),""))</f>
        <v/>
      </c>
      <c r="F4089" s="79" t="str">
        <f t="shared" si="317"/>
        <v/>
      </c>
      <c r="G4089" s="395"/>
      <c r="H4089" s="91">
        <f t="shared" si="318"/>
        <v>0</v>
      </c>
      <c r="I4089" s="91" t="str">
        <f t="shared" si="319"/>
        <v/>
      </c>
      <c r="J4089" s="91" t="str">
        <f t="shared" si="320"/>
        <v/>
      </c>
      <c r="K4089" s="92" t="str">
        <f>IF(AND(A4089="",B4089="",D4089="",G4089=""),"",IF(AND(A4089&lt;&gt;"",COUNTIF($A$2:$A$5001,A4089)&gt;1),"NUMERO_PC duplicado",IF(B4089="","DATA_PC vazia",IF(NOT(ISNUMBER(B4089)),"DATA_PC invalida",IF(OR(C4089="",C4089="Fora dos ciclos"),"CICLO_PC nao identificado",IF(OR(D4089="",D4089=0),"VALOR_PC vazio ou zero",IF(AND(G4089&lt;&gt;"Sim",G4089&lt;&gt;"Nao",G4089&lt;&gt;""),"PC_PAGO_A_CONTRATADA invalido",IF(AND(C4089&lt;&gt;"C0",IFERROR(INDEX(parametros!$A$2:$A$6,MATCH(C4089,parametros!$B$2:$B$6,0)),"")="Sim",IFERROR(INDEX(parametros!$H$2:$H$6,MATCH(C4089,parametros!$B$2:$B$6,0)),"")=""),"INICIO_EFEITO ausente: PC "&amp;A4089&amp;" - "&amp;C4089,IF(L4089="","EFEITO_PC nao calculado: PC "&amp;A4089&amp;" - "&amp;C4089,"OK")))))))))</f>
        <v/>
      </c>
      <c r="L4089" s="92" t="str">
        <f>IF(AND(A4089="",B4089="",D4089="",G4089=""),"",IF(OR(B4089="",NOT(ISNUMBER(B4089)),C4089="",C4089="Fora dos ciclos"),"",IF(C4089="C0","Nao",IF(IFERROR(INDEX(parametros!$A$2:$A$6,MATCH(C4089,parametros!$B$2:$B$6,0)),"")&lt;&gt;"Sim","Nao",IF(IFERROR(INDEX(parametros!$H$2:$H$6,MATCH(C4089,parametros!$B$2:$B$6,0)),"")="","",IF(B4089&gt;=IFERROR(INDEX(parametros!$H$2:$H$6,MATCH(C4089,parametros!$B$2:$B$6,0)),""),"Sim","Nao"))))))</f>
        <v/>
      </c>
      <c r="T4089" s="156"/>
      <c r="U4089" s="214" t="str">
        <f t="shared" si="321"/>
        <v/>
      </c>
      <c r="V4089" s="212" t="s">
        <v>50</v>
      </c>
      <c r="W4089" s="100" t="s">
        <v>168</v>
      </c>
      <c r="X4089" s="100" t="s">
        <v>169</v>
      </c>
      <c r="Y4089" s="101" t="s">
        <v>170</v>
      </c>
      <c r="Z4089" s="101" t="s">
        <v>171</v>
      </c>
      <c r="AA4089" s="101" t="s">
        <v>50</v>
      </c>
      <c r="AB4089" s="101" t="s">
        <v>172</v>
      </c>
      <c r="AC4089" s="102" t="s">
        <v>173</v>
      </c>
    </row>
    <row r="4090" spans="1:29" ht="25.5" customHeight="1" x14ac:dyDescent="0.35">
      <c r="A4090" s="392"/>
      <c r="B4090" s="393"/>
      <c r="C4090" s="99" t="str">
        <f>IF(B4090="","",IF(NOT(ISNUMBER(B4090)),"DATA_PC invalida",IF(NOT(ISNUMBER(parametros!$C$2)),"Fora dos ciclos",IF(OR(B4090&lt;parametros!$C$2,(YEAR(B4090)-YEAR(parametros!$C$2))*12+MONTH(B4090)-MONTH(parametros!$C$2)&gt;59),"Fora dos ciclos","C"&amp;INT(((YEAR(B4090)-YEAR(parametros!$C$2))*12+MONTH(B4090)-MONTH(parametros!$C$2))/12)))))</f>
        <v/>
      </c>
      <c r="D4090" s="394"/>
      <c r="E4090" s="78" t="str">
        <f>IF(C4090="","",IFERROR(VLOOKUP(C4090,parametros!$A$11:$E$15,5,0),""))</f>
        <v/>
      </c>
      <c r="F4090" s="79" t="str">
        <f t="shared" si="317"/>
        <v/>
      </c>
      <c r="G4090" s="395"/>
      <c r="H4090" s="91">
        <f t="shared" si="318"/>
        <v>0</v>
      </c>
      <c r="I4090" s="91" t="str">
        <f t="shared" si="319"/>
        <v/>
      </c>
      <c r="J4090" s="91" t="str">
        <f t="shared" si="320"/>
        <v/>
      </c>
      <c r="K4090" s="92" t="str">
        <f>IF(AND(A4090="",B4090="",D4090="",G4090=""),"",IF(AND(A4090&lt;&gt;"",COUNTIF($A$2:$A$5001,A4090)&gt;1),"NUMERO_PC duplicado",IF(B4090="","DATA_PC vazia",IF(NOT(ISNUMBER(B4090)),"DATA_PC invalida",IF(OR(C4090="",C4090="Fora dos ciclos"),"CICLO_PC nao identificado",IF(OR(D4090="",D4090=0),"VALOR_PC vazio ou zero",IF(AND(G4090&lt;&gt;"Sim",G4090&lt;&gt;"Nao",G4090&lt;&gt;""),"PC_PAGO_A_CONTRATADA invalido",IF(AND(C4090&lt;&gt;"C0",IFERROR(INDEX(parametros!$A$2:$A$6,MATCH(C4090,parametros!$B$2:$B$6,0)),"")="Sim",IFERROR(INDEX(parametros!$H$2:$H$6,MATCH(C4090,parametros!$B$2:$B$6,0)),"")=""),"INICIO_EFEITO ausente: PC "&amp;A4090&amp;" - "&amp;C4090,IF(L4090="","EFEITO_PC nao calculado: PC "&amp;A4090&amp;" - "&amp;C4090,"OK")))))))))</f>
        <v/>
      </c>
      <c r="L4090" s="92" t="str">
        <f>IF(AND(A4090="",B4090="",D4090="",G4090=""),"",IF(OR(B4090="",NOT(ISNUMBER(B4090)),C4090="",C4090="Fora dos ciclos"),"",IF(C4090="C0","Nao",IF(IFERROR(INDEX(parametros!$A$2:$A$6,MATCH(C4090,parametros!$B$2:$B$6,0)),"")&lt;&gt;"Sim","Nao",IF(IFERROR(INDEX(parametros!$H$2:$H$6,MATCH(C4090,parametros!$B$2:$B$6,0)),"")="","",IF(B4090&gt;=IFERROR(INDEX(parametros!$H$2:$H$6,MATCH(C4090,parametros!$B$2:$B$6,0)),""),"Sim","Nao"))))))</f>
        <v/>
      </c>
      <c r="T4090" s="156"/>
      <c r="U4090" s="214" t="str">
        <f t="shared" si="321"/>
        <v/>
      </c>
      <c r="V4090" s="212" t="s">
        <v>50</v>
      </c>
      <c r="W4090" s="100" t="s">
        <v>168</v>
      </c>
      <c r="X4090" s="100" t="s">
        <v>169</v>
      </c>
      <c r="Y4090" s="101" t="s">
        <v>170</v>
      </c>
      <c r="Z4090" s="101" t="s">
        <v>171</v>
      </c>
      <c r="AA4090" s="101" t="s">
        <v>50</v>
      </c>
      <c r="AB4090" s="101" t="s">
        <v>172</v>
      </c>
      <c r="AC4090" s="102" t="s">
        <v>173</v>
      </c>
    </row>
    <row r="4091" spans="1:29" ht="25.5" customHeight="1" x14ac:dyDescent="0.35">
      <c r="A4091" s="392"/>
      <c r="B4091" s="393"/>
      <c r="C4091" s="99" t="str">
        <f>IF(B4091="","",IF(NOT(ISNUMBER(B4091)),"DATA_PC invalida",IF(NOT(ISNUMBER(parametros!$C$2)),"Fora dos ciclos",IF(OR(B4091&lt;parametros!$C$2,(YEAR(B4091)-YEAR(parametros!$C$2))*12+MONTH(B4091)-MONTH(parametros!$C$2)&gt;59),"Fora dos ciclos","C"&amp;INT(((YEAR(B4091)-YEAR(parametros!$C$2))*12+MONTH(B4091)-MONTH(parametros!$C$2))/12)))))</f>
        <v/>
      </c>
      <c r="D4091" s="394"/>
      <c r="E4091" s="78" t="str">
        <f>IF(C4091="","",IFERROR(VLOOKUP(C4091,parametros!$A$11:$E$15,5,0),""))</f>
        <v/>
      </c>
      <c r="F4091" s="79" t="str">
        <f t="shared" si="317"/>
        <v/>
      </c>
      <c r="G4091" s="395"/>
      <c r="H4091" s="91">
        <f t="shared" si="318"/>
        <v>0</v>
      </c>
      <c r="I4091" s="91" t="str">
        <f t="shared" si="319"/>
        <v/>
      </c>
      <c r="J4091" s="91" t="str">
        <f t="shared" si="320"/>
        <v/>
      </c>
      <c r="K4091" s="92" t="str">
        <f>IF(AND(A4091="",B4091="",D4091="",G4091=""),"",IF(AND(A4091&lt;&gt;"",COUNTIF($A$2:$A$5001,A4091)&gt;1),"NUMERO_PC duplicado",IF(B4091="","DATA_PC vazia",IF(NOT(ISNUMBER(B4091)),"DATA_PC invalida",IF(OR(C4091="",C4091="Fora dos ciclos"),"CICLO_PC nao identificado",IF(OR(D4091="",D4091=0),"VALOR_PC vazio ou zero",IF(AND(G4091&lt;&gt;"Sim",G4091&lt;&gt;"Nao",G4091&lt;&gt;""),"PC_PAGO_A_CONTRATADA invalido",IF(AND(C4091&lt;&gt;"C0",IFERROR(INDEX(parametros!$A$2:$A$6,MATCH(C4091,parametros!$B$2:$B$6,0)),"")="Sim",IFERROR(INDEX(parametros!$H$2:$H$6,MATCH(C4091,parametros!$B$2:$B$6,0)),"")=""),"INICIO_EFEITO ausente: PC "&amp;A4091&amp;" - "&amp;C4091,IF(L4091="","EFEITO_PC nao calculado: PC "&amp;A4091&amp;" - "&amp;C4091,"OK")))))))))</f>
        <v/>
      </c>
      <c r="L4091" s="92" t="str">
        <f>IF(AND(A4091="",B4091="",D4091="",G4091=""),"",IF(OR(B4091="",NOT(ISNUMBER(B4091)),C4091="",C4091="Fora dos ciclos"),"",IF(C4091="C0","Nao",IF(IFERROR(INDEX(parametros!$A$2:$A$6,MATCH(C4091,parametros!$B$2:$B$6,0)),"")&lt;&gt;"Sim","Nao",IF(IFERROR(INDEX(parametros!$H$2:$H$6,MATCH(C4091,parametros!$B$2:$B$6,0)),"")="","",IF(B4091&gt;=IFERROR(INDEX(parametros!$H$2:$H$6,MATCH(C4091,parametros!$B$2:$B$6,0)),""),"Sim","Nao"))))))</f>
        <v/>
      </c>
      <c r="T4091" s="156"/>
      <c r="U4091" s="214" t="str">
        <f t="shared" si="321"/>
        <v/>
      </c>
      <c r="V4091" s="212" t="s">
        <v>50</v>
      </c>
      <c r="W4091" s="100" t="s">
        <v>168</v>
      </c>
      <c r="X4091" s="100" t="s">
        <v>169</v>
      </c>
      <c r="Y4091" s="101" t="s">
        <v>170</v>
      </c>
      <c r="Z4091" s="101" t="s">
        <v>171</v>
      </c>
      <c r="AA4091" s="101" t="s">
        <v>50</v>
      </c>
      <c r="AB4091" s="101" t="s">
        <v>172</v>
      </c>
      <c r="AC4091" s="102" t="s">
        <v>173</v>
      </c>
    </row>
    <row r="4092" spans="1:29" ht="25.5" customHeight="1" x14ac:dyDescent="0.35">
      <c r="A4092" s="392"/>
      <c r="B4092" s="393"/>
      <c r="C4092" s="99" t="str">
        <f>IF(B4092="","",IF(NOT(ISNUMBER(B4092)),"DATA_PC invalida",IF(NOT(ISNUMBER(parametros!$C$2)),"Fora dos ciclos",IF(OR(B4092&lt;parametros!$C$2,(YEAR(B4092)-YEAR(parametros!$C$2))*12+MONTH(B4092)-MONTH(parametros!$C$2)&gt;59),"Fora dos ciclos","C"&amp;INT(((YEAR(B4092)-YEAR(parametros!$C$2))*12+MONTH(B4092)-MONTH(parametros!$C$2))/12)))))</f>
        <v/>
      </c>
      <c r="D4092" s="394"/>
      <c r="E4092" s="78" t="str">
        <f>IF(C4092="","",IFERROR(VLOOKUP(C4092,parametros!$A$11:$E$15,5,0),""))</f>
        <v/>
      </c>
      <c r="F4092" s="79" t="str">
        <f t="shared" si="317"/>
        <v/>
      </c>
      <c r="G4092" s="395"/>
      <c r="H4092" s="91">
        <f t="shared" si="318"/>
        <v>0</v>
      </c>
      <c r="I4092" s="91" t="str">
        <f t="shared" si="319"/>
        <v/>
      </c>
      <c r="J4092" s="91" t="str">
        <f t="shared" si="320"/>
        <v/>
      </c>
      <c r="K4092" s="92" t="str">
        <f>IF(AND(A4092="",B4092="",D4092="",G4092=""),"",IF(AND(A4092&lt;&gt;"",COUNTIF($A$2:$A$5001,A4092)&gt;1),"NUMERO_PC duplicado",IF(B4092="","DATA_PC vazia",IF(NOT(ISNUMBER(B4092)),"DATA_PC invalida",IF(OR(C4092="",C4092="Fora dos ciclos"),"CICLO_PC nao identificado",IF(OR(D4092="",D4092=0),"VALOR_PC vazio ou zero",IF(AND(G4092&lt;&gt;"Sim",G4092&lt;&gt;"Nao",G4092&lt;&gt;""),"PC_PAGO_A_CONTRATADA invalido",IF(AND(C4092&lt;&gt;"C0",IFERROR(INDEX(parametros!$A$2:$A$6,MATCH(C4092,parametros!$B$2:$B$6,0)),"")="Sim",IFERROR(INDEX(parametros!$H$2:$H$6,MATCH(C4092,parametros!$B$2:$B$6,0)),"")=""),"INICIO_EFEITO ausente: PC "&amp;A4092&amp;" - "&amp;C4092,IF(L4092="","EFEITO_PC nao calculado: PC "&amp;A4092&amp;" - "&amp;C4092,"OK")))))))))</f>
        <v/>
      </c>
      <c r="L4092" s="92" t="str">
        <f>IF(AND(A4092="",B4092="",D4092="",G4092=""),"",IF(OR(B4092="",NOT(ISNUMBER(B4092)),C4092="",C4092="Fora dos ciclos"),"",IF(C4092="C0","Nao",IF(IFERROR(INDEX(parametros!$A$2:$A$6,MATCH(C4092,parametros!$B$2:$B$6,0)),"")&lt;&gt;"Sim","Nao",IF(IFERROR(INDEX(parametros!$H$2:$H$6,MATCH(C4092,parametros!$B$2:$B$6,0)),"")="","",IF(B4092&gt;=IFERROR(INDEX(parametros!$H$2:$H$6,MATCH(C4092,parametros!$B$2:$B$6,0)),""),"Sim","Nao"))))))</f>
        <v/>
      </c>
      <c r="T4092" s="156"/>
      <c r="U4092" s="214" t="str">
        <f t="shared" si="321"/>
        <v/>
      </c>
      <c r="V4092" s="212" t="s">
        <v>50</v>
      </c>
      <c r="W4092" s="100" t="s">
        <v>168</v>
      </c>
      <c r="X4092" s="100" t="s">
        <v>169</v>
      </c>
      <c r="Y4092" s="101" t="s">
        <v>170</v>
      </c>
      <c r="Z4092" s="101" t="s">
        <v>171</v>
      </c>
      <c r="AA4092" s="101" t="s">
        <v>50</v>
      </c>
      <c r="AB4092" s="101" t="s">
        <v>172</v>
      </c>
      <c r="AC4092" s="102" t="s">
        <v>173</v>
      </c>
    </row>
    <row r="4093" spans="1:29" ht="25.5" customHeight="1" x14ac:dyDescent="0.35">
      <c r="A4093" s="392"/>
      <c r="B4093" s="393"/>
      <c r="C4093" s="99" t="str">
        <f>IF(B4093="","",IF(NOT(ISNUMBER(B4093)),"DATA_PC invalida",IF(NOT(ISNUMBER(parametros!$C$2)),"Fora dos ciclos",IF(OR(B4093&lt;parametros!$C$2,(YEAR(B4093)-YEAR(parametros!$C$2))*12+MONTH(B4093)-MONTH(parametros!$C$2)&gt;59),"Fora dos ciclos","C"&amp;INT(((YEAR(B4093)-YEAR(parametros!$C$2))*12+MONTH(B4093)-MONTH(parametros!$C$2))/12)))))</f>
        <v/>
      </c>
      <c r="D4093" s="394"/>
      <c r="E4093" s="78" t="str">
        <f>IF(C4093="","",IFERROR(VLOOKUP(C4093,parametros!$A$11:$E$15,5,0),""))</f>
        <v/>
      </c>
      <c r="F4093" s="79" t="str">
        <f t="shared" si="317"/>
        <v/>
      </c>
      <c r="G4093" s="395"/>
      <c r="H4093" s="91">
        <f t="shared" si="318"/>
        <v>0</v>
      </c>
      <c r="I4093" s="91" t="str">
        <f t="shared" si="319"/>
        <v/>
      </c>
      <c r="J4093" s="91" t="str">
        <f t="shared" si="320"/>
        <v/>
      </c>
      <c r="K4093" s="92" t="str">
        <f>IF(AND(A4093="",B4093="",D4093="",G4093=""),"",IF(AND(A4093&lt;&gt;"",COUNTIF($A$2:$A$5001,A4093)&gt;1),"NUMERO_PC duplicado",IF(B4093="","DATA_PC vazia",IF(NOT(ISNUMBER(B4093)),"DATA_PC invalida",IF(OR(C4093="",C4093="Fora dos ciclos"),"CICLO_PC nao identificado",IF(OR(D4093="",D4093=0),"VALOR_PC vazio ou zero",IF(AND(G4093&lt;&gt;"Sim",G4093&lt;&gt;"Nao",G4093&lt;&gt;""),"PC_PAGO_A_CONTRATADA invalido",IF(AND(C4093&lt;&gt;"C0",IFERROR(INDEX(parametros!$A$2:$A$6,MATCH(C4093,parametros!$B$2:$B$6,0)),"")="Sim",IFERROR(INDEX(parametros!$H$2:$H$6,MATCH(C4093,parametros!$B$2:$B$6,0)),"")=""),"INICIO_EFEITO ausente: PC "&amp;A4093&amp;" - "&amp;C4093,IF(L4093="","EFEITO_PC nao calculado: PC "&amp;A4093&amp;" - "&amp;C4093,"OK")))))))))</f>
        <v/>
      </c>
      <c r="L4093" s="92" t="str">
        <f>IF(AND(A4093="",B4093="",D4093="",G4093=""),"",IF(OR(B4093="",NOT(ISNUMBER(B4093)),C4093="",C4093="Fora dos ciclos"),"",IF(C4093="C0","Nao",IF(IFERROR(INDEX(parametros!$A$2:$A$6,MATCH(C4093,parametros!$B$2:$B$6,0)),"")&lt;&gt;"Sim","Nao",IF(IFERROR(INDEX(parametros!$H$2:$H$6,MATCH(C4093,parametros!$B$2:$B$6,0)),"")="","",IF(B4093&gt;=IFERROR(INDEX(parametros!$H$2:$H$6,MATCH(C4093,parametros!$B$2:$B$6,0)),""),"Sim","Nao"))))))</f>
        <v/>
      </c>
      <c r="T4093" s="156"/>
      <c r="U4093" s="214" t="str">
        <f t="shared" si="321"/>
        <v/>
      </c>
      <c r="V4093" s="212" t="s">
        <v>50</v>
      </c>
      <c r="W4093" s="100" t="s">
        <v>168</v>
      </c>
      <c r="X4093" s="100" t="s">
        <v>169</v>
      </c>
      <c r="Y4093" s="101" t="s">
        <v>170</v>
      </c>
      <c r="Z4093" s="101" t="s">
        <v>171</v>
      </c>
      <c r="AA4093" s="101" t="s">
        <v>50</v>
      </c>
      <c r="AB4093" s="101" t="s">
        <v>172</v>
      </c>
      <c r="AC4093" s="102" t="s">
        <v>173</v>
      </c>
    </row>
    <row r="4094" spans="1:29" ht="25.5" customHeight="1" x14ac:dyDescent="0.35">
      <c r="A4094" s="392"/>
      <c r="B4094" s="393"/>
      <c r="C4094" s="99" t="str">
        <f>IF(B4094="","",IF(NOT(ISNUMBER(B4094)),"DATA_PC invalida",IF(NOT(ISNUMBER(parametros!$C$2)),"Fora dos ciclos",IF(OR(B4094&lt;parametros!$C$2,(YEAR(B4094)-YEAR(parametros!$C$2))*12+MONTH(B4094)-MONTH(parametros!$C$2)&gt;59),"Fora dos ciclos","C"&amp;INT(((YEAR(B4094)-YEAR(parametros!$C$2))*12+MONTH(B4094)-MONTH(parametros!$C$2))/12)))))</f>
        <v/>
      </c>
      <c r="D4094" s="394"/>
      <c r="E4094" s="78" t="str">
        <f>IF(C4094="","",IFERROR(VLOOKUP(C4094,parametros!$A$11:$E$15,5,0),""))</f>
        <v/>
      </c>
      <c r="F4094" s="79" t="str">
        <f t="shared" si="317"/>
        <v/>
      </c>
      <c r="G4094" s="395"/>
      <c r="H4094" s="91">
        <f t="shared" si="318"/>
        <v>0</v>
      </c>
      <c r="I4094" s="91" t="str">
        <f t="shared" si="319"/>
        <v/>
      </c>
      <c r="J4094" s="91" t="str">
        <f t="shared" si="320"/>
        <v/>
      </c>
      <c r="K4094" s="92" t="str">
        <f>IF(AND(A4094="",B4094="",D4094="",G4094=""),"",IF(AND(A4094&lt;&gt;"",COUNTIF($A$2:$A$5001,A4094)&gt;1),"NUMERO_PC duplicado",IF(B4094="","DATA_PC vazia",IF(NOT(ISNUMBER(B4094)),"DATA_PC invalida",IF(OR(C4094="",C4094="Fora dos ciclos"),"CICLO_PC nao identificado",IF(OR(D4094="",D4094=0),"VALOR_PC vazio ou zero",IF(AND(G4094&lt;&gt;"Sim",G4094&lt;&gt;"Nao",G4094&lt;&gt;""),"PC_PAGO_A_CONTRATADA invalido",IF(AND(C4094&lt;&gt;"C0",IFERROR(INDEX(parametros!$A$2:$A$6,MATCH(C4094,parametros!$B$2:$B$6,0)),"")="Sim",IFERROR(INDEX(parametros!$H$2:$H$6,MATCH(C4094,parametros!$B$2:$B$6,0)),"")=""),"INICIO_EFEITO ausente: PC "&amp;A4094&amp;" - "&amp;C4094,IF(L4094="","EFEITO_PC nao calculado: PC "&amp;A4094&amp;" - "&amp;C4094,"OK")))))))))</f>
        <v/>
      </c>
      <c r="L4094" s="92" t="str">
        <f>IF(AND(A4094="",B4094="",D4094="",G4094=""),"",IF(OR(B4094="",NOT(ISNUMBER(B4094)),C4094="",C4094="Fora dos ciclos"),"",IF(C4094="C0","Nao",IF(IFERROR(INDEX(parametros!$A$2:$A$6,MATCH(C4094,parametros!$B$2:$B$6,0)),"")&lt;&gt;"Sim","Nao",IF(IFERROR(INDEX(parametros!$H$2:$H$6,MATCH(C4094,parametros!$B$2:$B$6,0)),"")="","",IF(B4094&gt;=IFERROR(INDEX(parametros!$H$2:$H$6,MATCH(C4094,parametros!$B$2:$B$6,0)),""),"Sim","Nao"))))))</f>
        <v/>
      </c>
      <c r="T4094" s="156"/>
      <c r="U4094" s="214" t="str">
        <f t="shared" si="321"/>
        <v/>
      </c>
      <c r="V4094" s="212" t="s">
        <v>50</v>
      </c>
      <c r="W4094" s="100" t="s">
        <v>168</v>
      </c>
      <c r="X4094" s="100" t="s">
        <v>169</v>
      </c>
      <c r="Y4094" s="101" t="s">
        <v>170</v>
      </c>
      <c r="Z4094" s="101" t="s">
        <v>171</v>
      </c>
      <c r="AA4094" s="101" t="s">
        <v>50</v>
      </c>
      <c r="AB4094" s="101" t="s">
        <v>172</v>
      </c>
      <c r="AC4094" s="102" t="s">
        <v>173</v>
      </c>
    </row>
    <row r="4095" spans="1:29" ht="25.5" customHeight="1" x14ac:dyDescent="0.35">
      <c r="A4095" s="392"/>
      <c r="B4095" s="393"/>
      <c r="C4095" s="99" t="str">
        <f>IF(B4095="","",IF(NOT(ISNUMBER(B4095)),"DATA_PC invalida",IF(NOT(ISNUMBER(parametros!$C$2)),"Fora dos ciclos",IF(OR(B4095&lt;parametros!$C$2,(YEAR(B4095)-YEAR(parametros!$C$2))*12+MONTH(B4095)-MONTH(parametros!$C$2)&gt;59),"Fora dos ciclos","C"&amp;INT(((YEAR(B4095)-YEAR(parametros!$C$2))*12+MONTH(B4095)-MONTH(parametros!$C$2))/12)))))</f>
        <v/>
      </c>
      <c r="D4095" s="394"/>
      <c r="E4095" s="78" t="str">
        <f>IF(C4095="","",IFERROR(VLOOKUP(C4095,parametros!$A$11:$E$15,5,0),""))</f>
        <v/>
      </c>
      <c r="F4095" s="79" t="str">
        <f t="shared" si="317"/>
        <v/>
      </c>
      <c r="G4095" s="395"/>
      <c r="H4095" s="91">
        <f t="shared" si="318"/>
        <v>0</v>
      </c>
      <c r="I4095" s="91" t="str">
        <f t="shared" si="319"/>
        <v/>
      </c>
      <c r="J4095" s="91" t="str">
        <f t="shared" si="320"/>
        <v/>
      </c>
      <c r="K4095" s="92" t="str">
        <f>IF(AND(A4095="",B4095="",D4095="",G4095=""),"",IF(AND(A4095&lt;&gt;"",COUNTIF($A$2:$A$5001,A4095)&gt;1),"NUMERO_PC duplicado",IF(B4095="","DATA_PC vazia",IF(NOT(ISNUMBER(B4095)),"DATA_PC invalida",IF(OR(C4095="",C4095="Fora dos ciclos"),"CICLO_PC nao identificado",IF(OR(D4095="",D4095=0),"VALOR_PC vazio ou zero",IF(AND(G4095&lt;&gt;"Sim",G4095&lt;&gt;"Nao",G4095&lt;&gt;""),"PC_PAGO_A_CONTRATADA invalido",IF(AND(C4095&lt;&gt;"C0",IFERROR(INDEX(parametros!$A$2:$A$6,MATCH(C4095,parametros!$B$2:$B$6,0)),"")="Sim",IFERROR(INDEX(parametros!$H$2:$H$6,MATCH(C4095,parametros!$B$2:$B$6,0)),"")=""),"INICIO_EFEITO ausente: PC "&amp;A4095&amp;" - "&amp;C4095,IF(L4095="","EFEITO_PC nao calculado: PC "&amp;A4095&amp;" - "&amp;C4095,"OK")))))))))</f>
        <v/>
      </c>
      <c r="L4095" s="92" t="str">
        <f>IF(AND(A4095="",B4095="",D4095="",G4095=""),"",IF(OR(B4095="",NOT(ISNUMBER(B4095)),C4095="",C4095="Fora dos ciclos"),"",IF(C4095="C0","Nao",IF(IFERROR(INDEX(parametros!$A$2:$A$6,MATCH(C4095,parametros!$B$2:$B$6,0)),"")&lt;&gt;"Sim","Nao",IF(IFERROR(INDEX(parametros!$H$2:$H$6,MATCH(C4095,parametros!$B$2:$B$6,0)),"")="","",IF(B4095&gt;=IFERROR(INDEX(parametros!$H$2:$H$6,MATCH(C4095,parametros!$B$2:$B$6,0)),""),"Sim","Nao"))))))</f>
        <v/>
      </c>
      <c r="T4095" s="156"/>
      <c r="U4095" s="214" t="str">
        <f t="shared" si="321"/>
        <v/>
      </c>
      <c r="V4095" s="212" t="s">
        <v>50</v>
      </c>
      <c r="W4095" s="100" t="s">
        <v>168</v>
      </c>
      <c r="X4095" s="100" t="s">
        <v>169</v>
      </c>
      <c r="Y4095" s="101" t="s">
        <v>170</v>
      </c>
      <c r="Z4095" s="101" t="s">
        <v>171</v>
      </c>
      <c r="AA4095" s="101" t="s">
        <v>50</v>
      </c>
      <c r="AB4095" s="101" t="s">
        <v>172</v>
      </c>
      <c r="AC4095" s="102" t="s">
        <v>173</v>
      </c>
    </row>
    <row r="4096" spans="1:29" ht="25.5" customHeight="1" x14ac:dyDescent="0.35">
      <c r="A4096" s="392"/>
      <c r="B4096" s="393"/>
      <c r="C4096" s="99" t="str">
        <f>IF(B4096="","",IF(NOT(ISNUMBER(B4096)),"DATA_PC invalida",IF(NOT(ISNUMBER(parametros!$C$2)),"Fora dos ciclos",IF(OR(B4096&lt;parametros!$C$2,(YEAR(B4096)-YEAR(parametros!$C$2))*12+MONTH(B4096)-MONTH(parametros!$C$2)&gt;59),"Fora dos ciclos","C"&amp;INT(((YEAR(B4096)-YEAR(parametros!$C$2))*12+MONTH(B4096)-MONTH(parametros!$C$2))/12)))))</f>
        <v/>
      </c>
      <c r="D4096" s="394"/>
      <c r="E4096" s="78" t="str">
        <f>IF(C4096="","",IFERROR(VLOOKUP(C4096,parametros!$A$11:$E$15,5,0),""))</f>
        <v/>
      </c>
      <c r="F4096" s="79" t="str">
        <f t="shared" si="317"/>
        <v/>
      </c>
      <c r="G4096" s="395"/>
      <c r="H4096" s="91">
        <f t="shared" si="318"/>
        <v>0</v>
      </c>
      <c r="I4096" s="91" t="str">
        <f t="shared" si="319"/>
        <v/>
      </c>
      <c r="J4096" s="91" t="str">
        <f t="shared" si="320"/>
        <v/>
      </c>
      <c r="K4096" s="92" t="str">
        <f>IF(AND(A4096="",B4096="",D4096="",G4096=""),"",IF(AND(A4096&lt;&gt;"",COUNTIF($A$2:$A$5001,A4096)&gt;1),"NUMERO_PC duplicado",IF(B4096="","DATA_PC vazia",IF(NOT(ISNUMBER(B4096)),"DATA_PC invalida",IF(OR(C4096="",C4096="Fora dos ciclos"),"CICLO_PC nao identificado",IF(OR(D4096="",D4096=0),"VALOR_PC vazio ou zero",IF(AND(G4096&lt;&gt;"Sim",G4096&lt;&gt;"Nao",G4096&lt;&gt;""),"PC_PAGO_A_CONTRATADA invalido",IF(AND(C4096&lt;&gt;"C0",IFERROR(INDEX(parametros!$A$2:$A$6,MATCH(C4096,parametros!$B$2:$B$6,0)),"")="Sim",IFERROR(INDEX(parametros!$H$2:$H$6,MATCH(C4096,parametros!$B$2:$B$6,0)),"")=""),"INICIO_EFEITO ausente: PC "&amp;A4096&amp;" - "&amp;C4096,IF(L4096="","EFEITO_PC nao calculado: PC "&amp;A4096&amp;" - "&amp;C4096,"OK")))))))))</f>
        <v/>
      </c>
      <c r="L4096" s="92" t="str">
        <f>IF(AND(A4096="",B4096="",D4096="",G4096=""),"",IF(OR(B4096="",NOT(ISNUMBER(B4096)),C4096="",C4096="Fora dos ciclos"),"",IF(C4096="C0","Nao",IF(IFERROR(INDEX(parametros!$A$2:$A$6,MATCH(C4096,parametros!$B$2:$B$6,0)),"")&lt;&gt;"Sim","Nao",IF(IFERROR(INDEX(parametros!$H$2:$H$6,MATCH(C4096,parametros!$B$2:$B$6,0)),"")="","",IF(B4096&gt;=IFERROR(INDEX(parametros!$H$2:$H$6,MATCH(C4096,parametros!$B$2:$B$6,0)),""),"Sim","Nao"))))))</f>
        <v/>
      </c>
      <c r="T4096" s="156"/>
      <c r="U4096" s="214" t="str">
        <f t="shared" si="321"/>
        <v/>
      </c>
      <c r="V4096" s="212" t="s">
        <v>50</v>
      </c>
      <c r="W4096" s="100" t="s">
        <v>168</v>
      </c>
      <c r="X4096" s="100" t="s">
        <v>169</v>
      </c>
      <c r="Y4096" s="101" t="s">
        <v>170</v>
      </c>
      <c r="Z4096" s="101" t="s">
        <v>171</v>
      </c>
      <c r="AA4096" s="101" t="s">
        <v>50</v>
      </c>
      <c r="AB4096" s="101" t="s">
        <v>172</v>
      </c>
      <c r="AC4096" s="102" t="s">
        <v>173</v>
      </c>
    </row>
    <row r="4097" spans="1:29" ht="25.5" customHeight="1" x14ac:dyDescent="0.35">
      <c r="A4097" s="392"/>
      <c r="B4097" s="393"/>
      <c r="C4097" s="99" t="str">
        <f>IF(B4097="","",IF(NOT(ISNUMBER(B4097)),"DATA_PC invalida",IF(NOT(ISNUMBER(parametros!$C$2)),"Fora dos ciclos",IF(OR(B4097&lt;parametros!$C$2,(YEAR(B4097)-YEAR(parametros!$C$2))*12+MONTH(B4097)-MONTH(parametros!$C$2)&gt;59),"Fora dos ciclos","C"&amp;INT(((YEAR(B4097)-YEAR(parametros!$C$2))*12+MONTH(B4097)-MONTH(parametros!$C$2))/12)))))</f>
        <v/>
      </c>
      <c r="D4097" s="394"/>
      <c r="E4097" s="78" t="str">
        <f>IF(C4097="","",IFERROR(VLOOKUP(C4097,parametros!$A$11:$E$15,5,0),""))</f>
        <v/>
      </c>
      <c r="F4097" s="79" t="str">
        <f t="shared" si="317"/>
        <v/>
      </c>
      <c r="G4097" s="395"/>
      <c r="H4097" s="91">
        <f t="shared" si="318"/>
        <v>0</v>
      </c>
      <c r="I4097" s="91" t="str">
        <f t="shared" si="319"/>
        <v/>
      </c>
      <c r="J4097" s="91" t="str">
        <f t="shared" si="320"/>
        <v/>
      </c>
      <c r="K4097" s="92" t="str">
        <f>IF(AND(A4097="",B4097="",D4097="",G4097=""),"",IF(AND(A4097&lt;&gt;"",COUNTIF($A$2:$A$5001,A4097)&gt;1),"NUMERO_PC duplicado",IF(B4097="","DATA_PC vazia",IF(NOT(ISNUMBER(B4097)),"DATA_PC invalida",IF(OR(C4097="",C4097="Fora dos ciclos"),"CICLO_PC nao identificado",IF(OR(D4097="",D4097=0),"VALOR_PC vazio ou zero",IF(AND(G4097&lt;&gt;"Sim",G4097&lt;&gt;"Nao",G4097&lt;&gt;""),"PC_PAGO_A_CONTRATADA invalido",IF(AND(C4097&lt;&gt;"C0",IFERROR(INDEX(parametros!$A$2:$A$6,MATCH(C4097,parametros!$B$2:$B$6,0)),"")="Sim",IFERROR(INDEX(parametros!$H$2:$H$6,MATCH(C4097,parametros!$B$2:$B$6,0)),"")=""),"INICIO_EFEITO ausente: PC "&amp;A4097&amp;" - "&amp;C4097,IF(L4097="","EFEITO_PC nao calculado: PC "&amp;A4097&amp;" - "&amp;C4097,"OK")))))))))</f>
        <v/>
      </c>
      <c r="L4097" s="92" t="str">
        <f>IF(AND(A4097="",B4097="",D4097="",G4097=""),"",IF(OR(B4097="",NOT(ISNUMBER(B4097)),C4097="",C4097="Fora dos ciclos"),"",IF(C4097="C0","Nao",IF(IFERROR(INDEX(parametros!$A$2:$A$6,MATCH(C4097,parametros!$B$2:$B$6,0)),"")&lt;&gt;"Sim","Nao",IF(IFERROR(INDEX(parametros!$H$2:$H$6,MATCH(C4097,parametros!$B$2:$B$6,0)),"")="","",IF(B4097&gt;=IFERROR(INDEX(parametros!$H$2:$H$6,MATCH(C4097,parametros!$B$2:$B$6,0)),""),"Sim","Nao"))))))</f>
        <v/>
      </c>
      <c r="T4097" s="156"/>
      <c r="U4097" s="214" t="str">
        <f t="shared" si="321"/>
        <v/>
      </c>
      <c r="V4097" s="212" t="s">
        <v>50</v>
      </c>
      <c r="W4097" s="100" t="s">
        <v>168</v>
      </c>
      <c r="X4097" s="100" t="s">
        <v>169</v>
      </c>
      <c r="Y4097" s="101" t="s">
        <v>170</v>
      </c>
      <c r="Z4097" s="101" t="s">
        <v>171</v>
      </c>
      <c r="AA4097" s="101" t="s">
        <v>50</v>
      </c>
      <c r="AB4097" s="101" t="s">
        <v>172</v>
      </c>
      <c r="AC4097" s="102" t="s">
        <v>173</v>
      </c>
    </row>
    <row r="4098" spans="1:29" ht="25.5" customHeight="1" x14ac:dyDescent="0.35">
      <c r="A4098" s="392"/>
      <c r="B4098" s="393"/>
      <c r="C4098" s="99" t="str">
        <f>IF(B4098="","",IF(NOT(ISNUMBER(B4098)),"DATA_PC invalida",IF(NOT(ISNUMBER(parametros!$C$2)),"Fora dos ciclos",IF(OR(B4098&lt;parametros!$C$2,(YEAR(B4098)-YEAR(parametros!$C$2))*12+MONTH(B4098)-MONTH(parametros!$C$2)&gt;59),"Fora dos ciclos","C"&amp;INT(((YEAR(B4098)-YEAR(parametros!$C$2))*12+MONTH(B4098)-MONTH(parametros!$C$2))/12)))))</f>
        <v/>
      </c>
      <c r="D4098" s="394"/>
      <c r="E4098" s="78" t="str">
        <f>IF(C4098="","",IFERROR(VLOOKUP(C4098,parametros!$A$11:$E$15,5,0),""))</f>
        <v/>
      </c>
      <c r="F4098" s="79" t="str">
        <f t="shared" ref="F4098:F4161" si="322">IF(OR(D4098="",E4098=""),"",ROUND(D4098*E4098,2))</f>
        <v/>
      </c>
      <c r="G4098" s="395"/>
      <c r="H4098" s="91">
        <f t="shared" ref="H4098:H4161" si="323">IF(G4098="Sim",IF(OR(F4098="",D4098="",L4098=""),"",IF(L4098="Sim",ROUND(F4098-D4098,2),0)),0)</f>
        <v>0</v>
      </c>
      <c r="I4098" s="91" t="str">
        <f t="shared" ref="I4098:I4161" si="324">IF(G4098="Sim",0,IF(OR(F4098="",L4098=""),"",F4098))</f>
        <v/>
      </c>
      <c r="J4098" s="91" t="str">
        <f t="shared" ref="J4098:J4161" si="325">IF(G4098="Sim",0,IF(OR(F4098="",D4098="",L4098=""),"",IF(L4098="Sim",ROUND(F4098-D4098,2),0)))</f>
        <v/>
      </c>
      <c r="K4098" s="92" t="str">
        <f>IF(AND(A4098="",B4098="",D4098="",G4098=""),"",IF(AND(A4098&lt;&gt;"",COUNTIF($A$2:$A$5001,A4098)&gt;1),"NUMERO_PC duplicado",IF(B4098="","DATA_PC vazia",IF(NOT(ISNUMBER(B4098)),"DATA_PC invalida",IF(OR(C4098="",C4098="Fora dos ciclos"),"CICLO_PC nao identificado",IF(OR(D4098="",D4098=0),"VALOR_PC vazio ou zero",IF(AND(G4098&lt;&gt;"Sim",G4098&lt;&gt;"Nao",G4098&lt;&gt;""),"PC_PAGO_A_CONTRATADA invalido",IF(AND(C4098&lt;&gt;"C0",IFERROR(INDEX(parametros!$A$2:$A$6,MATCH(C4098,parametros!$B$2:$B$6,0)),"")="Sim",IFERROR(INDEX(parametros!$H$2:$H$6,MATCH(C4098,parametros!$B$2:$B$6,0)),"")=""),"INICIO_EFEITO ausente: PC "&amp;A4098&amp;" - "&amp;C4098,IF(L4098="","EFEITO_PC nao calculado: PC "&amp;A4098&amp;" - "&amp;C4098,"OK")))))))))</f>
        <v/>
      </c>
      <c r="L4098" s="92" t="str">
        <f>IF(AND(A4098="",B4098="",D4098="",G4098=""),"",IF(OR(B4098="",NOT(ISNUMBER(B4098)),C4098="",C4098="Fora dos ciclos"),"",IF(C4098="C0","Nao",IF(IFERROR(INDEX(parametros!$A$2:$A$6,MATCH(C4098,parametros!$B$2:$B$6,0)),"")&lt;&gt;"Sim","Nao",IF(IFERROR(INDEX(parametros!$H$2:$H$6,MATCH(C4098,parametros!$B$2:$B$6,0)),"")="","",IF(B4098&gt;=IFERROR(INDEX(parametros!$H$2:$H$6,MATCH(C4098,parametros!$B$2:$B$6,0)),""),"Sim","Nao"))))))</f>
        <v/>
      </c>
      <c r="T4098" s="156"/>
      <c r="U4098" s="214" t="str">
        <f t="shared" ref="U4098:U4161" si="326">IF(OR($D4098="",$H4098=""),"",ROUND($D4098+$H4098,2))</f>
        <v/>
      </c>
      <c r="V4098" s="212" t="s">
        <v>50</v>
      </c>
      <c r="W4098" s="100" t="s">
        <v>168</v>
      </c>
      <c r="X4098" s="100" t="s">
        <v>169</v>
      </c>
      <c r="Y4098" s="101" t="s">
        <v>170</v>
      </c>
      <c r="Z4098" s="101" t="s">
        <v>171</v>
      </c>
      <c r="AA4098" s="101" t="s">
        <v>50</v>
      </c>
      <c r="AB4098" s="101" t="s">
        <v>172</v>
      </c>
      <c r="AC4098" s="102" t="s">
        <v>173</v>
      </c>
    </row>
    <row r="4099" spans="1:29" ht="25.5" customHeight="1" x14ac:dyDescent="0.35">
      <c r="A4099" s="392"/>
      <c r="B4099" s="393"/>
      <c r="C4099" s="99" t="str">
        <f>IF(B4099="","",IF(NOT(ISNUMBER(B4099)),"DATA_PC invalida",IF(NOT(ISNUMBER(parametros!$C$2)),"Fora dos ciclos",IF(OR(B4099&lt;parametros!$C$2,(YEAR(B4099)-YEAR(parametros!$C$2))*12+MONTH(B4099)-MONTH(parametros!$C$2)&gt;59),"Fora dos ciclos","C"&amp;INT(((YEAR(B4099)-YEAR(parametros!$C$2))*12+MONTH(B4099)-MONTH(parametros!$C$2))/12)))))</f>
        <v/>
      </c>
      <c r="D4099" s="394"/>
      <c r="E4099" s="78" t="str">
        <f>IF(C4099="","",IFERROR(VLOOKUP(C4099,parametros!$A$11:$E$15,5,0),""))</f>
        <v/>
      </c>
      <c r="F4099" s="79" t="str">
        <f t="shared" si="322"/>
        <v/>
      </c>
      <c r="G4099" s="395"/>
      <c r="H4099" s="91">
        <f t="shared" si="323"/>
        <v>0</v>
      </c>
      <c r="I4099" s="91" t="str">
        <f t="shared" si="324"/>
        <v/>
      </c>
      <c r="J4099" s="91" t="str">
        <f t="shared" si="325"/>
        <v/>
      </c>
      <c r="K4099" s="92" t="str">
        <f>IF(AND(A4099="",B4099="",D4099="",G4099=""),"",IF(AND(A4099&lt;&gt;"",COUNTIF($A$2:$A$5001,A4099)&gt;1),"NUMERO_PC duplicado",IF(B4099="","DATA_PC vazia",IF(NOT(ISNUMBER(B4099)),"DATA_PC invalida",IF(OR(C4099="",C4099="Fora dos ciclos"),"CICLO_PC nao identificado",IF(OR(D4099="",D4099=0),"VALOR_PC vazio ou zero",IF(AND(G4099&lt;&gt;"Sim",G4099&lt;&gt;"Nao",G4099&lt;&gt;""),"PC_PAGO_A_CONTRATADA invalido",IF(AND(C4099&lt;&gt;"C0",IFERROR(INDEX(parametros!$A$2:$A$6,MATCH(C4099,parametros!$B$2:$B$6,0)),"")="Sim",IFERROR(INDEX(parametros!$H$2:$H$6,MATCH(C4099,parametros!$B$2:$B$6,0)),"")=""),"INICIO_EFEITO ausente: PC "&amp;A4099&amp;" - "&amp;C4099,IF(L4099="","EFEITO_PC nao calculado: PC "&amp;A4099&amp;" - "&amp;C4099,"OK")))))))))</f>
        <v/>
      </c>
      <c r="L4099" s="92" t="str">
        <f>IF(AND(A4099="",B4099="",D4099="",G4099=""),"",IF(OR(B4099="",NOT(ISNUMBER(B4099)),C4099="",C4099="Fora dos ciclos"),"",IF(C4099="C0","Nao",IF(IFERROR(INDEX(parametros!$A$2:$A$6,MATCH(C4099,parametros!$B$2:$B$6,0)),"")&lt;&gt;"Sim","Nao",IF(IFERROR(INDEX(parametros!$H$2:$H$6,MATCH(C4099,parametros!$B$2:$B$6,0)),"")="","",IF(B4099&gt;=IFERROR(INDEX(parametros!$H$2:$H$6,MATCH(C4099,parametros!$B$2:$B$6,0)),""),"Sim","Nao"))))))</f>
        <v/>
      </c>
      <c r="T4099" s="156"/>
      <c r="U4099" s="214" t="str">
        <f t="shared" si="326"/>
        <v/>
      </c>
      <c r="V4099" s="212" t="s">
        <v>50</v>
      </c>
      <c r="W4099" s="100" t="s">
        <v>168</v>
      </c>
      <c r="X4099" s="100" t="s">
        <v>169</v>
      </c>
      <c r="Y4099" s="101" t="s">
        <v>170</v>
      </c>
      <c r="Z4099" s="101" t="s">
        <v>171</v>
      </c>
      <c r="AA4099" s="101" t="s">
        <v>50</v>
      </c>
      <c r="AB4099" s="101" t="s">
        <v>172</v>
      </c>
      <c r="AC4099" s="102" t="s">
        <v>173</v>
      </c>
    </row>
    <row r="4100" spans="1:29" ht="25.5" customHeight="1" x14ac:dyDescent="0.35">
      <c r="A4100" s="392"/>
      <c r="B4100" s="393"/>
      <c r="C4100" s="99" t="str">
        <f>IF(B4100="","",IF(NOT(ISNUMBER(B4100)),"DATA_PC invalida",IF(NOT(ISNUMBER(parametros!$C$2)),"Fora dos ciclos",IF(OR(B4100&lt;parametros!$C$2,(YEAR(B4100)-YEAR(parametros!$C$2))*12+MONTH(B4100)-MONTH(parametros!$C$2)&gt;59),"Fora dos ciclos","C"&amp;INT(((YEAR(B4100)-YEAR(parametros!$C$2))*12+MONTH(B4100)-MONTH(parametros!$C$2))/12)))))</f>
        <v/>
      </c>
      <c r="D4100" s="394"/>
      <c r="E4100" s="78" t="str">
        <f>IF(C4100="","",IFERROR(VLOOKUP(C4100,parametros!$A$11:$E$15,5,0),""))</f>
        <v/>
      </c>
      <c r="F4100" s="79" t="str">
        <f t="shared" si="322"/>
        <v/>
      </c>
      <c r="G4100" s="395"/>
      <c r="H4100" s="91">
        <f t="shared" si="323"/>
        <v>0</v>
      </c>
      <c r="I4100" s="91" t="str">
        <f t="shared" si="324"/>
        <v/>
      </c>
      <c r="J4100" s="91" t="str">
        <f t="shared" si="325"/>
        <v/>
      </c>
      <c r="K4100" s="92" t="str">
        <f>IF(AND(A4100="",B4100="",D4100="",G4100=""),"",IF(AND(A4100&lt;&gt;"",COUNTIF($A$2:$A$5001,A4100)&gt;1),"NUMERO_PC duplicado",IF(B4100="","DATA_PC vazia",IF(NOT(ISNUMBER(B4100)),"DATA_PC invalida",IF(OR(C4100="",C4100="Fora dos ciclos"),"CICLO_PC nao identificado",IF(OR(D4100="",D4100=0),"VALOR_PC vazio ou zero",IF(AND(G4100&lt;&gt;"Sim",G4100&lt;&gt;"Nao",G4100&lt;&gt;""),"PC_PAGO_A_CONTRATADA invalido",IF(AND(C4100&lt;&gt;"C0",IFERROR(INDEX(parametros!$A$2:$A$6,MATCH(C4100,parametros!$B$2:$B$6,0)),"")="Sim",IFERROR(INDEX(parametros!$H$2:$H$6,MATCH(C4100,parametros!$B$2:$B$6,0)),"")=""),"INICIO_EFEITO ausente: PC "&amp;A4100&amp;" - "&amp;C4100,IF(L4100="","EFEITO_PC nao calculado: PC "&amp;A4100&amp;" - "&amp;C4100,"OK")))))))))</f>
        <v/>
      </c>
      <c r="L4100" s="92" t="str">
        <f>IF(AND(A4100="",B4100="",D4100="",G4100=""),"",IF(OR(B4100="",NOT(ISNUMBER(B4100)),C4100="",C4100="Fora dos ciclos"),"",IF(C4100="C0","Nao",IF(IFERROR(INDEX(parametros!$A$2:$A$6,MATCH(C4100,parametros!$B$2:$B$6,0)),"")&lt;&gt;"Sim","Nao",IF(IFERROR(INDEX(parametros!$H$2:$H$6,MATCH(C4100,parametros!$B$2:$B$6,0)),"")="","",IF(B4100&gt;=IFERROR(INDEX(parametros!$H$2:$H$6,MATCH(C4100,parametros!$B$2:$B$6,0)),""),"Sim","Nao"))))))</f>
        <v/>
      </c>
      <c r="T4100" s="156"/>
      <c r="U4100" s="214" t="str">
        <f t="shared" si="326"/>
        <v/>
      </c>
      <c r="V4100" s="212" t="s">
        <v>50</v>
      </c>
      <c r="W4100" s="100" t="s">
        <v>168</v>
      </c>
      <c r="X4100" s="100" t="s">
        <v>169</v>
      </c>
      <c r="Y4100" s="101" t="s">
        <v>170</v>
      </c>
      <c r="Z4100" s="101" t="s">
        <v>171</v>
      </c>
      <c r="AA4100" s="101" t="s">
        <v>50</v>
      </c>
      <c r="AB4100" s="101" t="s">
        <v>172</v>
      </c>
      <c r="AC4100" s="102" t="s">
        <v>173</v>
      </c>
    </row>
    <row r="4101" spans="1:29" ht="25.5" customHeight="1" x14ac:dyDescent="0.35">
      <c r="A4101" s="392"/>
      <c r="B4101" s="393"/>
      <c r="C4101" s="99" t="str">
        <f>IF(B4101="","",IF(NOT(ISNUMBER(B4101)),"DATA_PC invalida",IF(NOT(ISNUMBER(parametros!$C$2)),"Fora dos ciclos",IF(OR(B4101&lt;parametros!$C$2,(YEAR(B4101)-YEAR(parametros!$C$2))*12+MONTH(B4101)-MONTH(parametros!$C$2)&gt;59),"Fora dos ciclos","C"&amp;INT(((YEAR(B4101)-YEAR(parametros!$C$2))*12+MONTH(B4101)-MONTH(parametros!$C$2))/12)))))</f>
        <v/>
      </c>
      <c r="D4101" s="394"/>
      <c r="E4101" s="78" t="str">
        <f>IF(C4101="","",IFERROR(VLOOKUP(C4101,parametros!$A$11:$E$15,5,0),""))</f>
        <v/>
      </c>
      <c r="F4101" s="79" t="str">
        <f t="shared" si="322"/>
        <v/>
      </c>
      <c r="G4101" s="395"/>
      <c r="H4101" s="91">
        <f t="shared" si="323"/>
        <v>0</v>
      </c>
      <c r="I4101" s="91" t="str">
        <f t="shared" si="324"/>
        <v/>
      </c>
      <c r="J4101" s="91" t="str">
        <f t="shared" si="325"/>
        <v/>
      </c>
      <c r="K4101" s="92" t="str">
        <f>IF(AND(A4101="",B4101="",D4101="",G4101=""),"",IF(AND(A4101&lt;&gt;"",COUNTIF($A$2:$A$5001,A4101)&gt;1),"NUMERO_PC duplicado",IF(B4101="","DATA_PC vazia",IF(NOT(ISNUMBER(B4101)),"DATA_PC invalida",IF(OR(C4101="",C4101="Fora dos ciclos"),"CICLO_PC nao identificado",IF(OR(D4101="",D4101=0),"VALOR_PC vazio ou zero",IF(AND(G4101&lt;&gt;"Sim",G4101&lt;&gt;"Nao",G4101&lt;&gt;""),"PC_PAGO_A_CONTRATADA invalido",IF(AND(C4101&lt;&gt;"C0",IFERROR(INDEX(parametros!$A$2:$A$6,MATCH(C4101,parametros!$B$2:$B$6,0)),"")="Sim",IFERROR(INDEX(parametros!$H$2:$H$6,MATCH(C4101,parametros!$B$2:$B$6,0)),"")=""),"INICIO_EFEITO ausente: PC "&amp;A4101&amp;" - "&amp;C4101,IF(L4101="","EFEITO_PC nao calculado: PC "&amp;A4101&amp;" - "&amp;C4101,"OK")))))))))</f>
        <v/>
      </c>
      <c r="L4101" s="92" t="str">
        <f>IF(AND(A4101="",B4101="",D4101="",G4101=""),"",IF(OR(B4101="",NOT(ISNUMBER(B4101)),C4101="",C4101="Fora dos ciclos"),"",IF(C4101="C0","Nao",IF(IFERROR(INDEX(parametros!$A$2:$A$6,MATCH(C4101,parametros!$B$2:$B$6,0)),"")&lt;&gt;"Sim","Nao",IF(IFERROR(INDEX(parametros!$H$2:$H$6,MATCH(C4101,parametros!$B$2:$B$6,0)),"")="","",IF(B4101&gt;=IFERROR(INDEX(parametros!$H$2:$H$6,MATCH(C4101,parametros!$B$2:$B$6,0)),""),"Sim","Nao"))))))</f>
        <v/>
      </c>
      <c r="T4101" s="156"/>
      <c r="U4101" s="214" t="str">
        <f t="shared" si="326"/>
        <v/>
      </c>
      <c r="V4101" s="212" t="s">
        <v>50</v>
      </c>
      <c r="W4101" s="100" t="s">
        <v>168</v>
      </c>
      <c r="X4101" s="100" t="s">
        <v>169</v>
      </c>
      <c r="Y4101" s="101" t="s">
        <v>170</v>
      </c>
      <c r="Z4101" s="101" t="s">
        <v>171</v>
      </c>
      <c r="AA4101" s="101" t="s">
        <v>50</v>
      </c>
      <c r="AB4101" s="101" t="s">
        <v>172</v>
      </c>
      <c r="AC4101" s="102" t="s">
        <v>173</v>
      </c>
    </row>
    <row r="4102" spans="1:29" ht="25.5" customHeight="1" x14ac:dyDescent="0.35">
      <c r="A4102" s="392"/>
      <c r="B4102" s="393"/>
      <c r="C4102" s="99" t="str">
        <f>IF(B4102="","",IF(NOT(ISNUMBER(B4102)),"DATA_PC invalida",IF(NOT(ISNUMBER(parametros!$C$2)),"Fora dos ciclos",IF(OR(B4102&lt;parametros!$C$2,(YEAR(B4102)-YEAR(parametros!$C$2))*12+MONTH(B4102)-MONTH(parametros!$C$2)&gt;59),"Fora dos ciclos","C"&amp;INT(((YEAR(B4102)-YEAR(parametros!$C$2))*12+MONTH(B4102)-MONTH(parametros!$C$2))/12)))))</f>
        <v/>
      </c>
      <c r="D4102" s="394"/>
      <c r="E4102" s="78" t="str">
        <f>IF(C4102="","",IFERROR(VLOOKUP(C4102,parametros!$A$11:$E$15,5,0),""))</f>
        <v/>
      </c>
      <c r="F4102" s="79" t="str">
        <f t="shared" si="322"/>
        <v/>
      </c>
      <c r="G4102" s="395"/>
      <c r="H4102" s="91">
        <f t="shared" si="323"/>
        <v>0</v>
      </c>
      <c r="I4102" s="91" t="str">
        <f t="shared" si="324"/>
        <v/>
      </c>
      <c r="J4102" s="91" t="str">
        <f t="shared" si="325"/>
        <v/>
      </c>
      <c r="K4102" s="92" t="str">
        <f>IF(AND(A4102="",B4102="",D4102="",G4102=""),"",IF(AND(A4102&lt;&gt;"",COUNTIF($A$2:$A$5001,A4102)&gt;1),"NUMERO_PC duplicado",IF(B4102="","DATA_PC vazia",IF(NOT(ISNUMBER(B4102)),"DATA_PC invalida",IF(OR(C4102="",C4102="Fora dos ciclos"),"CICLO_PC nao identificado",IF(OR(D4102="",D4102=0),"VALOR_PC vazio ou zero",IF(AND(G4102&lt;&gt;"Sim",G4102&lt;&gt;"Nao",G4102&lt;&gt;""),"PC_PAGO_A_CONTRATADA invalido",IF(AND(C4102&lt;&gt;"C0",IFERROR(INDEX(parametros!$A$2:$A$6,MATCH(C4102,parametros!$B$2:$B$6,0)),"")="Sim",IFERROR(INDEX(parametros!$H$2:$H$6,MATCH(C4102,parametros!$B$2:$B$6,0)),"")=""),"INICIO_EFEITO ausente: PC "&amp;A4102&amp;" - "&amp;C4102,IF(L4102="","EFEITO_PC nao calculado: PC "&amp;A4102&amp;" - "&amp;C4102,"OK")))))))))</f>
        <v/>
      </c>
      <c r="L4102" s="92" t="str">
        <f>IF(AND(A4102="",B4102="",D4102="",G4102=""),"",IF(OR(B4102="",NOT(ISNUMBER(B4102)),C4102="",C4102="Fora dos ciclos"),"",IF(C4102="C0","Nao",IF(IFERROR(INDEX(parametros!$A$2:$A$6,MATCH(C4102,parametros!$B$2:$B$6,0)),"")&lt;&gt;"Sim","Nao",IF(IFERROR(INDEX(parametros!$H$2:$H$6,MATCH(C4102,parametros!$B$2:$B$6,0)),"")="","",IF(B4102&gt;=IFERROR(INDEX(parametros!$H$2:$H$6,MATCH(C4102,parametros!$B$2:$B$6,0)),""),"Sim","Nao"))))))</f>
        <v/>
      </c>
      <c r="T4102" s="156"/>
      <c r="U4102" s="214" t="str">
        <f t="shared" si="326"/>
        <v/>
      </c>
      <c r="V4102" s="212" t="s">
        <v>50</v>
      </c>
      <c r="W4102" s="100" t="s">
        <v>168</v>
      </c>
      <c r="X4102" s="100" t="s">
        <v>169</v>
      </c>
      <c r="Y4102" s="101" t="s">
        <v>170</v>
      </c>
      <c r="Z4102" s="101" t="s">
        <v>171</v>
      </c>
      <c r="AA4102" s="101" t="s">
        <v>50</v>
      </c>
      <c r="AB4102" s="101" t="s">
        <v>172</v>
      </c>
      <c r="AC4102" s="102" t="s">
        <v>173</v>
      </c>
    </row>
    <row r="4103" spans="1:29" ht="25.5" customHeight="1" x14ac:dyDescent="0.35">
      <c r="A4103" s="392"/>
      <c r="B4103" s="393"/>
      <c r="C4103" s="99" t="str">
        <f>IF(B4103="","",IF(NOT(ISNUMBER(B4103)),"DATA_PC invalida",IF(NOT(ISNUMBER(parametros!$C$2)),"Fora dos ciclos",IF(OR(B4103&lt;parametros!$C$2,(YEAR(B4103)-YEAR(parametros!$C$2))*12+MONTH(B4103)-MONTH(parametros!$C$2)&gt;59),"Fora dos ciclos","C"&amp;INT(((YEAR(B4103)-YEAR(parametros!$C$2))*12+MONTH(B4103)-MONTH(parametros!$C$2))/12)))))</f>
        <v/>
      </c>
      <c r="D4103" s="394"/>
      <c r="E4103" s="78" t="str">
        <f>IF(C4103="","",IFERROR(VLOOKUP(C4103,parametros!$A$11:$E$15,5,0),""))</f>
        <v/>
      </c>
      <c r="F4103" s="79" t="str">
        <f t="shared" si="322"/>
        <v/>
      </c>
      <c r="G4103" s="395"/>
      <c r="H4103" s="91">
        <f t="shared" si="323"/>
        <v>0</v>
      </c>
      <c r="I4103" s="91" t="str">
        <f t="shared" si="324"/>
        <v/>
      </c>
      <c r="J4103" s="91" t="str">
        <f t="shared" si="325"/>
        <v/>
      </c>
      <c r="K4103" s="92" t="str">
        <f>IF(AND(A4103="",B4103="",D4103="",G4103=""),"",IF(AND(A4103&lt;&gt;"",COUNTIF($A$2:$A$5001,A4103)&gt;1),"NUMERO_PC duplicado",IF(B4103="","DATA_PC vazia",IF(NOT(ISNUMBER(B4103)),"DATA_PC invalida",IF(OR(C4103="",C4103="Fora dos ciclos"),"CICLO_PC nao identificado",IF(OR(D4103="",D4103=0),"VALOR_PC vazio ou zero",IF(AND(G4103&lt;&gt;"Sim",G4103&lt;&gt;"Nao",G4103&lt;&gt;""),"PC_PAGO_A_CONTRATADA invalido",IF(AND(C4103&lt;&gt;"C0",IFERROR(INDEX(parametros!$A$2:$A$6,MATCH(C4103,parametros!$B$2:$B$6,0)),"")="Sim",IFERROR(INDEX(parametros!$H$2:$H$6,MATCH(C4103,parametros!$B$2:$B$6,0)),"")=""),"INICIO_EFEITO ausente: PC "&amp;A4103&amp;" - "&amp;C4103,IF(L4103="","EFEITO_PC nao calculado: PC "&amp;A4103&amp;" - "&amp;C4103,"OK")))))))))</f>
        <v/>
      </c>
      <c r="L4103" s="92" t="str">
        <f>IF(AND(A4103="",B4103="",D4103="",G4103=""),"",IF(OR(B4103="",NOT(ISNUMBER(B4103)),C4103="",C4103="Fora dos ciclos"),"",IF(C4103="C0","Nao",IF(IFERROR(INDEX(parametros!$A$2:$A$6,MATCH(C4103,parametros!$B$2:$B$6,0)),"")&lt;&gt;"Sim","Nao",IF(IFERROR(INDEX(parametros!$H$2:$H$6,MATCH(C4103,parametros!$B$2:$B$6,0)),"")="","",IF(B4103&gt;=IFERROR(INDEX(parametros!$H$2:$H$6,MATCH(C4103,parametros!$B$2:$B$6,0)),""),"Sim","Nao"))))))</f>
        <v/>
      </c>
      <c r="T4103" s="156"/>
      <c r="U4103" s="214" t="str">
        <f t="shared" si="326"/>
        <v/>
      </c>
      <c r="V4103" s="212" t="s">
        <v>50</v>
      </c>
      <c r="W4103" s="100" t="s">
        <v>168</v>
      </c>
      <c r="X4103" s="100" t="s">
        <v>169</v>
      </c>
      <c r="Y4103" s="101" t="s">
        <v>170</v>
      </c>
      <c r="Z4103" s="101" t="s">
        <v>171</v>
      </c>
      <c r="AA4103" s="101" t="s">
        <v>50</v>
      </c>
      <c r="AB4103" s="101" t="s">
        <v>172</v>
      </c>
      <c r="AC4103" s="102" t="s">
        <v>173</v>
      </c>
    </row>
    <row r="4104" spans="1:29" ht="25.5" customHeight="1" x14ac:dyDescent="0.35">
      <c r="A4104" s="392"/>
      <c r="B4104" s="393"/>
      <c r="C4104" s="99" t="str">
        <f>IF(B4104="","",IF(NOT(ISNUMBER(B4104)),"DATA_PC invalida",IF(NOT(ISNUMBER(parametros!$C$2)),"Fora dos ciclos",IF(OR(B4104&lt;parametros!$C$2,(YEAR(B4104)-YEAR(parametros!$C$2))*12+MONTH(B4104)-MONTH(parametros!$C$2)&gt;59),"Fora dos ciclos","C"&amp;INT(((YEAR(B4104)-YEAR(parametros!$C$2))*12+MONTH(B4104)-MONTH(parametros!$C$2))/12)))))</f>
        <v/>
      </c>
      <c r="D4104" s="394"/>
      <c r="E4104" s="78" t="str">
        <f>IF(C4104="","",IFERROR(VLOOKUP(C4104,parametros!$A$11:$E$15,5,0),""))</f>
        <v/>
      </c>
      <c r="F4104" s="79" t="str">
        <f t="shared" si="322"/>
        <v/>
      </c>
      <c r="G4104" s="395"/>
      <c r="H4104" s="91">
        <f t="shared" si="323"/>
        <v>0</v>
      </c>
      <c r="I4104" s="91" t="str">
        <f t="shared" si="324"/>
        <v/>
      </c>
      <c r="J4104" s="91" t="str">
        <f t="shared" si="325"/>
        <v/>
      </c>
      <c r="K4104" s="92" t="str">
        <f>IF(AND(A4104="",B4104="",D4104="",G4104=""),"",IF(AND(A4104&lt;&gt;"",COUNTIF($A$2:$A$5001,A4104)&gt;1),"NUMERO_PC duplicado",IF(B4104="","DATA_PC vazia",IF(NOT(ISNUMBER(B4104)),"DATA_PC invalida",IF(OR(C4104="",C4104="Fora dos ciclos"),"CICLO_PC nao identificado",IF(OR(D4104="",D4104=0),"VALOR_PC vazio ou zero",IF(AND(G4104&lt;&gt;"Sim",G4104&lt;&gt;"Nao",G4104&lt;&gt;""),"PC_PAGO_A_CONTRATADA invalido",IF(AND(C4104&lt;&gt;"C0",IFERROR(INDEX(parametros!$A$2:$A$6,MATCH(C4104,parametros!$B$2:$B$6,0)),"")="Sim",IFERROR(INDEX(parametros!$H$2:$H$6,MATCH(C4104,parametros!$B$2:$B$6,0)),"")=""),"INICIO_EFEITO ausente: PC "&amp;A4104&amp;" - "&amp;C4104,IF(L4104="","EFEITO_PC nao calculado: PC "&amp;A4104&amp;" - "&amp;C4104,"OK")))))))))</f>
        <v/>
      </c>
      <c r="L4104" s="92" t="str">
        <f>IF(AND(A4104="",B4104="",D4104="",G4104=""),"",IF(OR(B4104="",NOT(ISNUMBER(B4104)),C4104="",C4104="Fora dos ciclos"),"",IF(C4104="C0","Nao",IF(IFERROR(INDEX(parametros!$A$2:$A$6,MATCH(C4104,parametros!$B$2:$B$6,0)),"")&lt;&gt;"Sim","Nao",IF(IFERROR(INDEX(parametros!$H$2:$H$6,MATCH(C4104,parametros!$B$2:$B$6,0)),"")="","",IF(B4104&gt;=IFERROR(INDEX(parametros!$H$2:$H$6,MATCH(C4104,parametros!$B$2:$B$6,0)),""),"Sim","Nao"))))))</f>
        <v/>
      </c>
      <c r="T4104" s="156"/>
      <c r="U4104" s="214" t="str">
        <f t="shared" si="326"/>
        <v/>
      </c>
      <c r="V4104" s="212" t="s">
        <v>50</v>
      </c>
      <c r="W4104" s="100" t="s">
        <v>168</v>
      </c>
      <c r="X4104" s="100" t="s">
        <v>169</v>
      </c>
      <c r="Y4104" s="101" t="s">
        <v>170</v>
      </c>
      <c r="Z4104" s="101" t="s">
        <v>171</v>
      </c>
      <c r="AA4104" s="101" t="s">
        <v>50</v>
      </c>
      <c r="AB4104" s="101" t="s">
        <v>172</v>
      </c>
      <c r="AC4104" s="102" t="s">
        <v>173</v>
      </c>
    </row>
    <row r="4105" spans="1:29" ht="25.5" customHeight="1" x14ac:dyDescent="0.35">
      <c r="A4105" s="392"/>
      <c r="B4105" s="393"/>
      <c r="C4105" s="99" t="str">
        <f>IF(B4105="","",IF(NOT(ISNUMBER(B4105)),"DATA_PC invalida",IF(NOT(ISNUMBER(parametros!$C$2)),"Fora dos ciclos",IF(OR(B4105&lt;parametros!$C$2,(YEAR(B4105)-YEAR(parametros!$C$2))*12+MONTH(B4105)-MONTH(parametros!$C$2)&gt;59),"Fora dos ciclos","C"&amp;INT(((YEAR(B4105)-YEAR(parametros!$C$2))*12+MONTH(B4105)-MONTH(parametros!$C$2))/12)))))</f>
        <v/>
      </c>
      <c r="D4105" s="394"/>
      <c r="E4105" s="78" t="str">
        <f>IF(C4105="","",IFERROR(VLOOKUP(C4105,parametros!$A$11:$E$15,5,0),""))</f>
        <v/>
      </c>
      <c r="F4105" s="79" t="str">
        <f t="shared" si="322"/>
        <v/>
      </c>
      <c r="G4105" s="395"/>
      <c r="H4105" s="91">
        <f t="shared" si="323"/>
        <v>0</v>
      </c>
      <c r="I4105" s="91" t="str">
        <f t="shared" si="324"/>
        <v/>
      </c>
      <c r="J4105" s="91" t="str">
        <f t="shared" si="325"/>
        <v/>
      </c>
      <c r="K4105" s="92" t="str">
        <f>IF(AND(A4105="",B4105="",D4105="",G4105=""),"",IF(AND(A4105&lt;&gt;"",COUNTIF($A$2:$A$5001,A4105)&gt;1),"NUMERO_PC duplicado",IF(B4105="","DATA_PC vazia",IF(NOT(ISNUMBER(B4105)),"DATA_PC invalida",IF(OR(C4105="",C4105="Fora dos ciclos"),"CICLO_PC nao identificado",IF(OR(D4105="",D4105=0),"VALOR_PC vazio ou zero",IF(AND(G4105&lt;&gt;"Sim",G4105&lt;&gt;"Nao",G4105&lt;&gt;""),"PC_PAGO_A_CONTRATADA invalido",IF(AND(C4105&lt;&gt;"C0",IFERROR(INDEX(parametros!$A$2:$A$6,MATCH(C4105,parametros!$B$2:$B$6,0)),"")="Sim",IFERROR(INDEX(parametros!$H$2:$H$6,MATCH(C4105,parametros!$B$2:$B$6,0)),"")=""),"INICIO_EFEITO ausente: PC "&amp;A4105&amp;" - "&amp;C4105,IF(L4105="","EFEITO_PC nao calculado: PC "&amp;A4105&amp;" - "&amp;C4105,"OK")))))))))</f>
        <v/>
      </c>
      <c r="L4105" s="92" t="str">
        <f>IF(AND(A4105="",B4105="",D4105="",G4105=""),"",IF(OR(B4105="",NOT(ISNUMBER(B4105)),C4105="",C4105="Fora dos ciclos"),"",IF(C4105="C0","Nao",IF(IFERROR(INDEX(parametros!$A$2:$A$6,MATCH(C4105,parametros!$B$2:$B$6,0)),"")&lt;&gt;"Sim","Nao",IF(IFERROR(INDEX(parametros!$H$2:$H$6,MATCH(C4105,parametros!$B$2:$B$6,0)),"")="","",IF(B4105&gt;=IFERROR(INDEX(parametros!$H$2:$H$6,MATCH(C4105,parametros!$B$2:$B$6,0)),""),"Sim","Nao"))))))</f>
        <v/>
      </c>
      <c r="T4105" s="156"/>
      <c r="U4105" s="214" t="str">
        <f t="shared" si="326"/>
        <v/>
      </c>
      <c r="V4105" s="212" t="s">
        <v>50</v>
      </c>
      <c r="W4105" s="100" t="s">
        <v>168</v>
      </c>
      <c r="X4105" s="100" t="s">
        <v>169</v>
      </c>
      <c r="Y4105" s="101" t="s">
        <v>170</v>
      </c>
      <c r="Z4105" s="101" t="s">
        <v>171</v>
      </c>
      <c r="AA4105" s="101" t="s">
        <v>50</v>
      </c>
      <c r="AB4105" s="101" t="s">
        <v>172</v>
      </c>
      <c r="AC4105" s="102" t="s">
        <v>173</v>
      </c>
    </row>
    <row r="4106" spans="1:29" ht="25.5" customHeight="1" x14ac:dyDescent="0.35">
      <c r="A4106" s="392"/>
      <c r="B4106" s="393"/>
      <c r="C4106" s="99" t="str">
        <f>IF(B4106="","",IF(NOT(ISNUMBER(B4106)),"DATA_PC invalida",IF(NOT(ISNUMBER(parametros!$C$2)),"Fora dos ciclos",IF(OR(B4106&lt;parametros!$C$2,(YEAR(B4106)-YEAR(parametros!$C$2))*12+MONTH(B4106)-MONTH(parametros!$C$2)&gt;59),"Fora dos ciclos","C"&amp;INT(((YEAR(B4106)-YEAR(parametros!$C$2))*12+MONTH(B4106)-MONTH(parametros!$C$2))/12)))))</f>
        <v/>
      </c>
      <c r="D4106" s="394"/>
      <c r="E4106" s="78" t="str">
        <f>IF(C4106="","",IFERROR(VLOOKUP(C4106,parametros!$A$11:$E$15,5,0),""))</f>
        <v/>
      </c>
      <c r="F4106" s="79" t="str">
        <f t="shared" si="322"/>
        <v/>
      </c>
      <c r="G4106" s="395"/>
      <c r="H4106" s="91">
        <f t="shared" si="323"/>
        <v>0</v>
      </c>
      <c r="I4106" s="91" t="str">
        <f t="shared" si="324"/>
        <v/>
      </c>
      <c r="J4106" s="91" t="str">
        <f t="shared" si="325"/>
        <v/>
      </c>
      <c r="K4106" s="92" t="str">
        <f>IF(AND(A4106="",B4106="",D4106="",G4106=""),"",IF(AND(A4106&lt;&gt;"",COUNTIF($A$2:$A$5001,A4106)&gt;1),"NUMERO_PC duplicado",IF(B4106="","DATA_PC vazia",IF(NOT(ISNUMBER(B4106)),"DATA_PC invalida",IF(OR(C4106="",C4106="Fora dos ciclos"),"CICLO_PC nao identificado",IF(OR(D4106="",D4106=0),"VALOR_PC vazio ou zero",IF(AND(G4106&lt;&gt;"Sim",G4106&lt;&gt;"Nao",G4106&lt;&gt;""),"PC_PAGO_A_CONTRATADA invalido",IF(AND(C4106&lt;&gt;"C0",IFERROR(INDEX(parametros!$A$2:$A$6,MATCH(C4106,parametros!$B$2:$B$6,0)),"")="Sim",IFERROR(INDEX(parametros!$H$2:$H$6,MATCH(C4106,parametros!$B$2:$B$6,0)),"")=""),"INICIO_EFEITO ausente: PC "&amp;A4106&amp;" - "&amp;C4106,IF(L4106="","EFEITO_PC nao calculado: PC "&amp;A4106&amp;" - "&amp;C4106,"OK")))))))))</f>
        <v/>
      </c>
      <c r="L4106" s="92" t="str">
        <f>IF(AND(A4106="",B4106="",D4106="",G4106=""),"",IF(OR(B4106="",NOT(ISNUMBER(B4106)),C4106="",C4106="Fora dos ciclos"),"",IF(C4106="C0","Nao",IF(IFERROR(INDEX(parametros!$A$2:$A$6,MATCH(C4106,parametros!$B$2:$B$6,0)),"")&lt;&gt;"Sim","Nao",IF(IFERROR(INDEX(parametros!$H$2:$H$6,MATCH(C4106,parametros!$B$2:$B$6,0)),"")="","",IF(B4106&gt;=IFERROR(INDEX(parametros!$H$2:$H$6,MATCH(C4106,parametros!$B$2:$B$6,0)),""),"Sim","Nao"))))))</f>
        <v/>
      </c>
      <c r="T4106" s="156"/>
      <c r="U4106" s="214" t="str">
        <f t="shared" si="326"/>
        <v/>
      </c>
      <c r="V4106" s="212" t="s">
        <v>50</v>
      </c>
      <c r="W4106" s="100" t="s">
        <v>168</v>
      </c>
      <c r="X4106" s="100" t="s">
        <v>169</v>
      </c>
      <c r="Y4106" s="101" t="s">
        <v>170</v>
      </c>
      <c r="Z4106" s="101" t="s">
        <v>171</v>
      </c>
      <c r="AA4106" s="101" t="s">
        <v>50</v>
      </c>
      <c r="AB4106" s="101" t="s">
        <v>172</v>
      </c>
      <c r="AC4106" s="102" t="s">
        <v>173</v>
      </c>
    </row>
    <row r="4107" spans="1:29" ht="25.5" customHeight="1" x14ac:dyDescent="0.35">
      <c r="A4107" s="392"/>
      <c r="B4107" s="393"/>
      <c r="C4107" s="99" t="str">
        <f>IF(B4107="","",IF(NOT(ISNUMBER(B4107)),"DATA_PC invalida",IF(NOT(ISNUMBER(parametros!$C$2)),"Fora dos ciclos",IF(OR(B4107&lt;parametros!$C$2,(YEAR(B4107)-YEAR(parametros!$C$2))*12+MONTH(B4107)-MONTH(parametros!$C$2)&gt;59),"Fora dos ciclos","C"&amp;INT(((YEAR(B4107)-YEAR(parametros!$C$2))*12+MONTH(B4107)-MONTH(parametros!$C$2))/12)))))</f>
        <v/>
      </c>
      <c r="D4107" s="394"/>
      <c r="E4107" s="78" t="str">
        <f>IF(C4107="","",IFERROR(VLOOKUP(C4107,parametros!$A$11:$E$15,5,0),""))</f>
        <v/>
      </c>
      <c r="F4107" s="79" t="str">
        <f t="shared" si="322"/>
        <v/>
      </c>
      <c r="G4107" s="395"/>
      <c r="H4107" s="91">
        <f t="shared" si="323"/>
        <v>0</v>
      </c>
      <c r="I4107" s="91" t="str">
        <f t="shared" si="324"/>
        <v/>
      </c>
      <c r="J4107" s="91" t="str">
        <f t="shared" si="325"/>
        <v/>
      </c>
      <c r="K4107" s="92" t="str">
        <f>IF(AND(A4107="",B4107="",D4107="",G4107=""),"",IF(AND(A4107&lt;&gt;"",COUNTIF($A$2:$A$5001,A4107)&gt;1),"NUMERO_PC duplicado",IF(B4107="","DATA_PC vazia",IF(NOT(ISNUMBER(B4107)),"DATA_PC invalida",IF(OR(C4107="",C4107="Fora dos ciclos"),"CICLO_PC nao identificado",IF(OR(D4107="",D4107=0),"VALOR_PC vazio ou zero",IF(AND(G4107&lt;&gt;"Sim",G4107&lt;&gt;"Nao",G4107&lt;&gt;""),"PC_PAGO_A_CONTRATADA invalido",IF(AND(C4107&lt;&gt;"C0",IFERROR(INDEX(parametros!$A$2:$A$6,MATCH(C4107,parametros!$B$2:$B$6,0)),"")="Sim",IFERROR(INDEX(parametros!$H$2:$H$6,MATCH(C4107,parametros!$B$2:$B$6,0)),"")=""),"INICIO_EFEITO ausente: PC "&amp;A4107&amp;" - "&amp;C4107,IF(L4107="","EFEITO_PC nao calculado: PC "&amp;A4107&amp;" - "&amp;C4107,"OK")))))))))</f>
        <v/>
      </c>
      <c r="L4107" s="92" t="str">
        <f>IF(AND(A4107="",B4107="",D4107="",G4107=""),"",IF(OR(B4107="",NOT(ISNUMBER(B4107)),C4107="",C4107="Fora dos ciclos"),"",IF(C4107="C0","Nao",IF(IFERROR(INDEX(parametros!$A$2:$A$6,MATCH(C4107,parametros!$B$2:$B$6,0)),"")&lt;&gt;"Sim","Nao",IF(IFERROR(INDEX(parametros!$H$2:$H$6,MATCH(C4107,parametros!$B$2:$B$6,0)),"")="","",IF(B4107&gt;=IFERROR(INDEX(parametros!$H$2:$H$6,MATCH(C4107,parametros!$B$2:$B$6,0)),""),"Sim","Nao"))))))</f>
        <v/>
      </c>
      <c r="T4107" s="156"/>
      <c r="U4107" s="214" t="str">
        <f t="shared" si="326"/>
        <v/>
      </c>
      <c r="V4107" s="212" t="s">
        <v>50</v>
      </c>
      <c r="W4107" s="100" t="s">
        <v>168</v>
      </c>
      <c r="X4107" s="100" t="s">
        <v>169</v>
      </c>
      <c r="Y4107" s="101" t="s">
        <v>170</v>
      </c>
      <c r="Z4107" s="101" t="s">
        <v>171</v>
      </c>
      <c r="AA4107" s="101" t="s">
        <v>50</v>
      </c>
      <c r="AB4107" s="101" t="s">
        <v>172</v>
      </c>
      <c r="AC4107" s="102" t="s">
        <v>173</v>
      </c>
    </row>
    <row r="4108" spans="1:29" ht="25.5" customHeight="1" x14ac:dyDescent="0.35">
      <c r="A4108" s="392"/>
      <c r="B4108" s="393"/>
      <c r="C4108" s="99" t="str">
        <f>IF(B4108="","",IF(NOT(ISNUMBER(B4108)),"DATA_PC invalida",IF(NOT(ISNUMBER(parametros!$C$2)),"Fora dos ciclos",IF(OR(B4108&lt;parametros!$C$2,(YEAR(B4108)-YEAR(parametros!$C$2))*12+MONTH(B4108)-MONTH(parametros!$C$2)&gt;59),"Fora dos ciclos","C"&amp;INT(((YEAR(B4108)-YEAR(parametros!$C$2))*12+MONTH(B4108)-MONTH(parametros!$C$2))/12)))))</f>
        <v/>
      </c>
      <c r="D4108" s="394"/>
      <c r="E4108" s="78" t="str">
        <f>IF(C4108="","",IFERROR(VLOOKUP(C4108,parametros!$A$11:$E$15,5,0),""))</f>
        <v/>
      </c>
      <c r="F4108" s="79" t="str">
        <f t="shared" si="322"/>
        <v/>
      </c>
      <c r="G4108" s="395"/>
      <c r="H4108" s="91">
        <f t="shared" si="323"/>
        <v>0</v>
      </c>
      <c r="I4108" s="91" t="str">
        <f t="shared" si="324"/>
        <v/>
      </c>
      <c r="J4108" s="91" t="str">
        <f t="shared" si="325"/>
        <v/>
      </c>
      <c r="K4108" s="92" t="str">
        <f>IF(AND(A4108="",B4108="",D4108="",G4108=""),"",IF(AND(A4108&lt;&gt;"",COUNTIF($A$2:$A$5001,A4108)&gt;1),"NUMERO_PC duplicado",IF(B4108="","DATA_PC vazia",IF(NOT(ISNUMBER(B4108)),"DATA_PC invalida",IF(OR(C4108="",C4108="Fora dos ciclos"),"CICLO_PC nao identificado",IF(OR(D4108="",D4108=0),"VALOR_PC vazio ou zero",IF(AND(G4108&lt;&gt;"Sim",G4108&lt;&gt;"Nao",G4108&lt;&gt;""),"PC_PAGO_A_CONTRATADA invalido",IF(AND(C4108&lt;&gt;"C0",IFERROR(INDEX(parametros!$A$2:$A$6,MATCH(C4108,parametros!$B$2:$B$6,0)),"")="Sim",IFERROR(INDEX(parametros!$H$2:$H$6,MATCH(C4108,parametros!$B$2:$B$6,0)),"")=""),"INICIO_EFEITO ausente: PC "&amp;A4108&amp;" - "&amp;C4108,IF(L4108="","EFEITO_PC nao calculado: PC "&amp;A4108&amp;" - "&amp;C4108,"OK")))))))))</f>
        <v/>
      </c>
      <c r="L4108" s="92" t="str">
        <f>IF(AND(A4108="",B4108="",D4108="",G4108=""),"",IF(OR(B4108="",NOT(ISNUMBER(B4108)),C4108="",C4108="Fora dos ciclos"),"",IF(C4108="C0","Nao",IF(IFERROR(INDEX(parametros!$A$2:$A$6,MATCH(C4108,parametros!$B$2:$B$6,0)),"")&lt;&gt;"Sim","Nao",IF(IFERROR(INDEX(parametros!$H$2:$H$6,MATCH(C4108,parametros!$B$2:$B$6,0)),"")="","",IF(B4108&gt;=IFERROR(INDEX(parametros!$H$2:$H$6,MATCH(C4108,parametros!$B$2:$B$6,0)),""),"Sim","Nao"))))))</f>
        <v/>
      </c>
      <c r="T4108" s="156"/>
      <c r="U4108" s="214" t="str">
        <f t="shared" si="326"/>
        <v/>
      </c>
      <c r="V4108" s="212" t="s">
        <v>50</v>
      </c>
      <c r="W4108" s="100" t="s">
        <v>168</v>
      </c>
      <c r="X4108" s="100" t="s">
        <v>169</v>
      </c>
      <c r="Y4108" s="101" t="s">
        <v>170</v>
      </c>
      <c r="Z4108" s="101" t="s">
        <v>171</v>
      </c>
      <c r="AA4108" s="101" t="s">
        <v>50</v>
      </c>
      <c r="AB4108" s="101" t="s">
        <v>172</v>
      </c>
      <c r="AC4108" s="102" t="s">
        <v>173</v>
      </c>
    </row>
    <row r="4109" spans="1:29" ht="25.5" customHeight="1" x14ac:dyDescent="0.35">
      <c r="A4109" s="392"/>
      <c r="B4109" s="393"/>
      <c r="C4109" s="99" t="str">
        <f>IF(B4109="","",IF(NOT(ISNUMBER(B4109)),"DATA_PC invalida",IF(NOT(ISNUMBER(parametros!$C$2)),"Fora dos ciclos",IF(OR(B4109&lt;parametros!$C$2,(YEAR(B4109)-YEAR(parametros!$C$2))*12+MONTH(B4109)-MONTH(parametros!$C$2)&gt;59),"Fora dos ciclos","C"&amp;INT(((YEAR(B4109)-YEAR(parametros!$C$2))*12+MONTH(B4109)-MONTH(parametros!$C$2))/12)))))</f>
        <v/>
      </c>
      <c r="D4109" s="394"/>
      <c r="E4109" s="78" t="str">
        <f>IF(C4109="","",IFERROR(VLOOKUP(C4109,parametros!$A$11:$E$15,5,0),""))</f>
        <v/>
      </c>
      <c r="F4109" s="79" t="str">
        <f t="shared" si="322"/>
        <v/>
      </c>
      <c r="G4109" s="395"/>
      <c r="H4109" s="91">
        <f t="shared" si="323"/>
        <v>0</v>
      </c>
      <c r="I4109" s="91" t="str">
        <f t="shared" si="324"/>
        <v/>
      </c>
      <c r="J4109" s="91" t="str">
        <f t="shared" si="325"/>
        <v/>
      </c>
      <c r="K4109" s="92" t="str">
        <f>IF(AND(A4109="",B4109="",D4109="",G4109=""),"",IF(AND(A4109&lt;&gt;"",COUNTIF($A$2:$A$5001,A4109)&gt;1),"NUMERO_PC duplicado",IF(B4109="","DATA_PC vazia",IF(NOT(ISNUMBER(B4109)),"DATA_PC invalida",IF(OR(C4109="",C4109="Fora dos ciclos"),"CICLO_PC nao identificado",IF(OR(D4109="",D4109=0),"VALOR_PC vazio ou zero",IF(AND(G4109&lt;&gt;"Sim",G4109&lt;&gt;"Nao",G4109&lt;&gt;""),"PC_PAGO_A_CONTRATADA invalido",IF(AND(C4109&lt;&gt;"C0",IFERROR(INDEX(parametros!$A$2:$A$6,MATCH(C4109,parametros!$B$2:$B$6,0)),"")="Sim",IFERROR(INDEX(parametros!$H$2:$H$6,MATCH(C4109,parametros!$B$2:$B$6,0)),"")=""),"INICIO_EFEITO ausente: PC "&amp;A4109&amp;" - "&amp;C4109,IF(L4109="","EFEITO_PC nao calculado: PC "&amp;A4109&amp;" - "&amp;C4109,"OK")))))))))</f>
        <v/>
      </c>
      <c r="L4109" s="92" t="str">
        <f>IF(AND(A4109="",B4109="",D4109="",G4109=""),"",IF(OR(B4109="",NOT(ISNUMBER(B4109)),C4109="",C4109="Fora dos ciclos"),"",IF(C4109="C0","Nao",IF(IFERROR(INDEX(parametros!$A$2:$A$6,MATCH(C4109,parametros!$B$2:$B$6,0)),"")&lt;&gt;"Sim","Nao",IF(IFERROR(INDEX(parametros!$H$2:$H$6,MATCH(C4109,parametros!$B$2:$B$6,0)),"")="","",IF(B4109&gt;=IFERROR(INDEX(parametros!$H$2:$H$6,MATCH(C4109,parametros!$B$2:$B$6,0)),""),"Sim","Nao"))))))</f>
        <v/>
      </c>
      <c r="T4109" s="156"/>
      <c r="U4109" s="214" t="str">
        <f t="shared" si="326"/>
        <v/>
      </c>
      <c r="V4109" s="212" t="s">
        <v>50</v>
      </c>
      <c r="W4109" s="100" t="s">
        <v>168</v>
      </c>
      <c r="X4109" s="100" t="s">
        <v>169</v>
      </c>
      <c r="Y4109" s="101" t="s">
        <v>170</v>
      </c>
      <c r="Z4109" s="101" t="s">
        <v>171</v>
      </c>
      <c r="AA4109" s="101" t="s">
        <v>50</v>
      </c>
      <c r="AB4109" s="101" t="s">
        <v>172</v>
      </c>
      <c r="AC4109" s="102" t="s">
        <v>173</v>
      </c>
    </row>
    <row r="4110" spans="1:29" ht="25.5" customHeight="1" x14ac:dyDescent="0.35">
      <c r="A4110" s="392"/>
      <c r="B4110" s="393"/>
      <c r="C4110" s="99" t="str">
        <f>IF(B4110="","",IF(NOT(ISNUMBER(B4110)),"DATA_PC invalida",IF(NOT(ISNUMBER(parametros!$C$2)),"Fora dos ciclos",IF(OR(B4110&lt;parametros!$C$2,(YEAR(B4110)-YEAR(parametros!$C$2))*12+MONTH(B4110)-MONTH(parametros!$C$2)&gt;59),"Fora dos ciclos","C"&amp;INT(((YEAR(B4110)-YEAR(parametros!$C$2))*12+MONTH(B4110)-MONTH(parametros!$C$2))/12)))))</f>
        <v/>
      </c>
      <c r="D4110" s="394"/>
      <c r="E4110" s="78" t="str">
        <f>IF(C4110="","",IFERROR(VLOOKUP(C4110,parametros!$A$11:$E$15,5,0),""))</f>
        <v/>
      </c>
      <c r="F4110" s="79" t="str">
        <f t="shared" si="322"/>
        <v/>
      </c>
      <c r="G4110" s="395"/>
      <c r="H4110" s="91">
        <f t="shared" si="323"/>
        <v>0</v>
      </c>
      <c r="I4110" s="91" t="str">
        <f t="shared" si="324"/>
        <v/>
      </c>
      <c r="J4110" s="91" t="str">
        <f t="shared" si="325"/>
        <v/>
      </c>
      <c r="K4110" s="92" t="str">
        <f>IF(AND(A4110="",B4110="",D4110="",G4110=""),"",IF(AND(A4110&lt;&gt;"",COUNTIF($A$2:$A$5001,A4110)&gt;1),"NUMERO_PC duplicado",IF(B4110="","DATA_PC vazia",IF(NOT(ISNUMBER(B4110)),"DATA_PC invalida",IF(OR(C4110="",C4110="Fora dos ciclos"),"CICLO_PC nao identificado",IF(OR(D4110="",D4110=0),"VALOR_PC vazio ou zero",IF(AND(G4110&lt;&gt;"Sim",G4110&lt;&gt;"Nao",G4110&lt;&gt;""),"PC_PAGO_A_CONTRATADA invalido",IF(AND(C4110&lt;&gt;"C0",IFERROR(INDEX(parametros!$A$2:$A$6,MATCH(C4110,parametros!$B$2:$B$6,0)),"")="Sim",IFERROR(INDEX(parametros!$H$2:$H$6,MATCH(C4110,parametros!$B$2:$B$6,0)),"")=""),"INICIO_EFEITO ausente: PC "&amp;A4110&amp;" - "&amp;C4110,IF(L4110="","EFEITO_PC nao calculado: PC "&amp;A4110&amp;" - "&amp;C4110,"OK")))))))))</f>
        <v/>
      </c>
      <c r="L4110" s="92" t="str">
        <f>IF(AND(A4110="",B4110="",D4110="",G4110=""),"",IF(OR(B4110="",NOT(ISNUMBER(B4110)),C4110="",C4110="Fora dos ciclos"),"",IF(C4110="C0","Nao",IF(IFERROR(INDEX(parametros!$A$2:$A$6,MATCH(C4110,parametros!$B$2:$B$6,0)),"")&lt;&gt;"Sim","Nao",IF(IFERROR(INDEX(parametros!$H$2:$H$6,MATCH(C4110,parametros!$B$2:$B$6,0)),"")="","",IF(B4110&gt;=IFERROR(INDEX(parametros!$H$2:$H$6,MATCH(C4110,parametros!$B$2:$B$6,0)),""),"Sim","Nao"))))))</f>
        <v/>
      </c>
      <c r="T4110" s="156"/>
      <c r="U4110" s="214" t="str">
        <f t="shared" si="326"/>
        <v/>
      </c>
      <c r="V4110" s="212" t="s">
        <v>50</v>
      </c>
      <c r="W4110" s="100" t="s">
        <v>168</v>
      </c>
      <c r="X4110" s="100" t="s">
        <v>169</v>
      </c>
      <c r="Y4110" s="101" t="s">
        <v>170</v>
      </c>
      <c r="Z4110" s="101" t="s">
        <v>171</v>
      </c>
      <c r="AA4110" s="101" t="s">
        <v>50</v>
      </c>
      <c r="AB4110" s="101" t="s">
        <v>172</v>
      </c>
      <c r="AC4110" s="102" t="s">
        <v>173</v>
      </c>
    </row>
    <row r="4111" spans="1:29" ht="25.5" customHeight="1" x14ac:dyDescent="0.35">
      <c r="A4111" s="392"/>
      <c r="B4111" s="393"/>
      <c r="C4111" s="99" t="str">
        <f>IF(B4111="","",IF(NOT(ISNUMBER(B4111)),"DATA_PC invalida",IF(NOT(ISNUMBER(parametros!$C$2)),"Fora dos ciclos",IF(OR(B4111&lt;parametros!$C$2,(YEAR(B4111)-YEAR(parametros!$C$2))*12+MONTH(B4111)-MONTH(parametros!$C$2)&gt;59),"Fora dos ciclos","C"&amp;INT(((YEAR(B4111)-YEAR(parametros!$C$2))*12+MONTH(B4111)-MONTH(parametros!$C$2))/12)))))</f>
        <v/>
      </c>
      <c r="D4111" s="394"/>
      <c r="E4111" s="78" t="str">
        <f>IF(C4111="","",IFERROR(VLOOKUP(C4111,parametros!$A$11:$E$15,5,0),""))</f>
        <v/>
      </c>
      <c r="F4111" s="79" t="str">
        <f t="shared" si="322"/>
        <v/>
      </c>
      <c r="G4111" s="395"/>
      <c r="H4111" s="91">
        <f t="shared" si="323"/>
        <v>0</v>
      </c>
      <c r="I4111" s="91" t="str">
        <f t="shared" si="324"/>
        <v/>
      </c>
      <c r="J4111" s="91" t="str">
        <f t="shared" si="325"/>
        <v/>
      </c>
      <c r="K4111" s="92" t="str">
        <f>IF(AND(A4111="",B4111="",D4111="",G4111=""),"",IF(AND(A4111&lt;&gt;"",COUNTIF($A$2:$A$5001,A4111)&gt;1),"NUMERO_PC duplicado",IF(B4111="","DATA_PC vazia",IF(NOT(ISNUMBER(B4111)),"DATA_PC invalida",IF(OR(C4111="",C4111="Fora dos ciclos"),"CICLO_PC nao identificado",IF(OR(D4111="",D4111=0),"VALOR_PC vazio ou zero",IF(AND(G4111&lt;&gt;"Sim",G4111&lt;&gt;"Nao",G4111&lt;&gt;""),"PC_PAGO_A_CONTRATADA invalido",IF(AND(C4111&lt;&gt;"C0",IFERROR(INDEX(parametros!$A$2:$A$6,MATCH(C4111,parametros!$B$2:$B$6,0)),"")="Sim",IFERROR(INDEX(parametros!$H$2:$H$6,MATCH(C4111,parametros!$B$2:$B$6,0)),"")=""),"INICIO_EFEITO ausente: PC "&amp;A4111&amp;" - "&amp;C4111,IF(L4111="","EFEITO_PC nao calculado: PC "&amp;A4111&amp;" - "&amp;C4111,"OK")))))))))</f>
        <v/>
      </c>
      <c r="L4111" s="92" t="str">
        <f>IF(AND(A4111="",B4111="",D4111="",G4111=""),"",IF(OR(B4111="",NOT(ISNUMBER(B4111)),C4111="",C4111="Fora dos ciclos"),"",IF(C4111="C0","Nao",IF(IFERROR(INDEX(parametros!$A$2:$A$6,MATCH(C4111,parametros!$B$2:$B$6,0)),"")&lt;&gt;"Sim","Nao",IF(IFERROR(INDEX(parametros!$H$2:$H$6,MATCH(C4111,parametros!$B$2:$B$6,0)),"")="","",IF(B4111&gt;=IFERROR(INDEX(parametros!$H$2:$H$6,MATCH(C4111,parametros!$B$2:$B$6,0)),""),"Sim","Nao"))))))</f>
        <v/>
      </c>
      <c r="T4111" s="156"/>
      <c r="U4111" s="214" t="str">
        <f t="shared" si="326"/>
        <v/>
      </c>
      <c r="V4111" s="212" t="s">
        <v>50</v>
      </c>
      <c r="W4111" s="100" t="s">
        <v>168</v>
      </c>
      <c r="X4111" s="100" t="s">
        <v>169</v>
      </c>
      <c r="Y4111" s="101" t="s">
        <v>170</v>
      </c>
      <c r="Z4111" s="101" t="s">
        <v>171</v>
      </c>
      <c r="AA4111" s="101" t="s">
        <v>50</v>
      </c>
      <c r="AB4111" s="101" t="s">
        <v>172</v>
      </c>
      <c r="AC4111" s="102" t="s">
        <v>173</v>
      </c>
    </row>
    <row r="4112" spans="1:29" ht="25.5" customHeight="1" x14ac:dyDescent="0.35">
      <c r="A4112" s="392"/>
      <c r="B4112" s="393"/>
      <c r="C4112" s="99" t="str">
        <f>IF(B4112="","",IF(NOT(ISNUMBER(B4112)),"DATA_PC invalida",IF(NOT(ISNUMBER(parametros!$C$2)),"Fora dos ciclos",IF(OR(B4112&lt;parametros!$C$2,(YEAR(B4112)-YEAR(parametros!$C$2))*12+MONTH(B4112)-MONTH(parametros!$C$2)&gt;59),"Fora dos ciclos","C"&amp;INT(((YEAR(B4112)-YEAR(parametros!$C$2))*12+MONTH(B4112)-MONTH(parametros!$C$2))/12)))))</f>
        <v/>
      </c>
      <c r="D4112" s="394"/>
      <c r="E4112" s="78" t="str">
        <f>IF(C4112="","",IFERROR(VLOOKUP(C4112,parametros!$A$11:$E$15,5,0),""))</f>
        <v/>
      </c>
      <c r="F4112" s="79" t="str">
        <f t="shared" si="322"/>
        <v/>
      </c>
      <c r="G4112" s="395"/>
      <c r="H4112" s="91">
        <f t="shared" si="323"/>
        <v>0</v>
      </c>
      <c r="I4112" s="91" t="str">
        <f t="shared" si="324"/>
        <v/>
      </c>
      <c r="J4112" s="91" t="str">
        <f t="shared" si="325"/>
        <v/>
      </c>
      <c r="K4112" s="92" t="str">
        <f>IF(AND(A4112="",B4112="",D4112="",G4112=""),"",IF(AND(A4112&lt;&gt;"",COUNTIF($A$2:$A$5001,A4112)&gt;1),"NUMERO_PC duplicado",IF(B4112="","DATA_PC vazia",IF(NOT(ISNUMBER(B4112)),"DATA_PC invalida",IF(OR(C4112="",C4112="Fora dos ciclos"),"CICLO_PC nao identificado",IF(OR(D4112="",D4112=0),"VALOR_PC vazio ou zero",IF(AND(G4112&lt;&gt;"Sim",G4112&lt;&gt;"Nao",G4112&lt;&gt;""),"PC_PAGO_A_CONTRATADA invalido",IF(AND(C4112&lt;&gt;"C0",IFERROR(INDEX(parametros!$A$2:$A$6,MATCH(C4112,parametros!$B$2:$B$6,0)),"")="Sim",IFERROR(INDEX(parametros!$H$2:$H$6,MATCH(C4112,parametros!$B$2:$B$6,0)),"")=""),"INICIO_EFEITO ausente: PC "&amp;A4112&amp;" - "&amp;C4112,IF(L4112="","EFEITO_PC nao calculado: PC "&amp;A4112&amp;" - "&amp;C4112,"OK")))))))))</f>
        <v/>
      </c>
      <c r="L4112" s="92" t="str">
        <f>IF(AND(A4112="",B4112="",D4112="",G4112=""),"",IF(OR(B4112="",NOT(ISNUMBER(B4112)),C4112="",C4112="Fora dos ciclos"),"",IF(C4112="C0","Nao",IF(IFERROR(INDEX(parametros!$A$2:$A$6,MATCH(C4112,parametros!$B$2:$B$6,0)),"")&lt;&gt;"Sim","Nao",IF(IFERROR(INDEX(parametros!$H$2:$H$6,MATCH(C4112,parametros!$B$2:$B$6,0)),"")="","",IF(B4112&gt;=IFERROR(INDEX(parametros!$H$2:$H$6,MATCH(C4112,parametros!$B$2:$B$6,0)),""),"Sim","Nao"))))))</f>
        <v/>
      </c>
      <c r="T4112" s="156"/>
      <c r="U4112" s="214" t="str">
        <f t="shared" si="326"/>
        <v/>
      </c>
      <c r="V4112" s="212" t="s">
        <v>50</v>
      </c>
      <c r="W4112" s="100" t="s">
        <v>168</v>
      </c>
      <c r="X4112" s="100" t="s">
        <v>169</v>
      </c>
      <c r="Y4112" s="101" t="s">
        <v>170</v>
      </c>
      <c r="Z4112" s="101" t="s">
        <v>171</v>
      </c>
      <c r="AA4112" s="101" t="s">
        <v>50</v>
      </c>
      <c r="AB4112" s="101" t="s">
        <v>172</v>
      </c>
      <c r="AC4112" s="102" t="s">
        <v>173</v>
      </c>
    </row>
    <row r="4113" spans="1:29" ht="25.5" customHeight="1" x14ac:dyDescent="0.35">
      <c r="A4113" s="392"/>
      <c r="B4113" s="393"/>
      <c r="C4113" s="99" t="str">
        <f>IF(B4113="","",IF(NOT(ISNUMBER(B4113)),"DATA_PC invalida",IF(NOT(ISNUMBER(parametros!$C$2)),"Fora dos ciclos",IF(OR(B4113&lt;parametros!$C$2,(YEAR(B4113)-YEAR(parametros!$C$2))*12+MONTH(B4113)-MONTH(parametros!$C$2)&gt;59),"Fora dos ciclos","C"&amp;INT(((YEAR(B4113)-YEAR(parametros!$C$2))*12+MONTH(B4113)-MONTH(parametros!$C$2))/12)))))</f>
        <v/>
      </c>
      <c r="D4113" s="394"/>
      <c r="E4113" s="78" t="str">
        <f>IF(C4113="","",IFERROR(VLOOKUP(C4113,parametros!$A$11:$E$15,5,0),""))</f>
        <v/>
      </c>
      <c r="F4113" s="79" t="str">
        <f t="shared" si="322"/>
        <v/>
      </c>
      <c r="G4113" s="395"/>
      <c r="H4113" s="91">
        <f t="shared" si="323"/>
        <v>0</v>
      </c>
      <c r="I4113" s="91" t="str">
        <f t="shared" si="324"/>
        <v/>
      </c>
      <c r="J4113" s="91" t="str">
        <f t="shared" si="325"/>
        <v/>
      </c>
      <c r="K4113" s="92" t="str">
        <f>IF(AND(A4113="",B4113="",D4113="",G4113=""),"",IF(AND(A4113&lt;&gt;"",COUNTIF($A$2:$A$5001,A4113)&gt;1),"NUMERO_PC duplicado",IF(B4113="","DATA_PC vazia",IF(NOT(ISNUMBER(B4113)),"DATA_PC invalida",IF(OR(C4113="",C4113="Fora dos ciclos"),"CICLO_PC nao identificado",IF(OR(D4113="",D4113=0),"VALOR_PC vazio ou zero",IF(AND(G4113&lt;&gt;"Sim",G4113&lt;&gt;"Nao",G4113&lt;&gt;""),"PC_PAGO_A_CONTRATADA invalido",IF(AND(C4113&lt;&gt;"C0",IFERROR(INDEX(parametros!$A$2:$A$6,MATCH(C4113,parametros!$B$2:$B$6,0)),"")="Sim",IFERROR(INDEX(parametros!$H$2:$H$6,MATCH(C4113,parametros!$B$2:$B$6,0)),"")=""),"INICIO_EFEITO ausente: PC "&amp;A4113&amp;" - "&amp;C4113,IF(L4113="","EFEITO_PC nao calculado: PC "&amp;A4113&amp;" - "&amp;C4113,"OK")))))))))</f>
        <v/>
      </c>
      <c r="L4113" s="92" t="str">
        <f>IF(AND(A4113="",B4113="",D4113="",G4113=""),"",IF(OR(B4113="",NOT(ISNUMBER(B4113)),C4113="",C4113="Fora dos ciclos"),"",IF(C4113="C0","Nao",IF(IFERROR(INDEX(parametros!$A$2:$A$6,MATCH(C4113,parametros!$B$2:$B$6,0)),"")&lt;&gt;"Sim","Nao",IF(IFERROR(INDEX(parametros!$H$2:$H$6,MATCH(C4113,parametros!$B$2:$B$6,0)),"")="","",IF(B4113&gt;=IFERROR(INDEX(parametros!$H$2:$H$6,MATCH(C4113,parametros!$B$2:$B$6,0)),""),"Sim","Nao"))))))</f>
        <v/>
      </c>
      <c r="T4113" s="156"/>
      <c r="U4113" s="214" t="str">
        <f t="shared" si="326"/>
        <v/>
      </c>
      <c r="V4113" s="212" t="s">
        <v>50</v>
      </c>
      <c r="W4113" s="100" t="s">
        <v>168</v>
      </c>
      <c r="X4113" s="100" t="s">
        <v>169</v>
      </c>
      <c r="Y4113" s="101" t="s">
        <v>170</v>
      </c>
      <c r="Z4113" s="101" t="s">
        <v>171</v>
      </c>
      <c r="AA4113" s="101" t="s">
        <v>50</v>
      </c>
      <c r="AB4113" s="101" t="s">
        <v>172</v>
      </c>
      <c r="AC4113" s="102" t="s">
        <v>173</v>
      </c>
    </row>
    <row r="4114" spans="1:29" ht="25.5" customHeight="1" x14ac:dyDescent="0.35">
      <c r="A4114" s="392"/>
      <c r="B4114" s="393"/>
      <c r="C4114" s="99" t="str">
        <f>IF(B4114="","",IF(NOT(ISNUMBER(B4114)),"DATA_PC invalida",IF(NOT(ISNUMBER(parametros!$C$2)),"Fora dos ciclos",IF(OR(B4114&lt;parametros!$C$2,(YEAR(B4114)-YEAR(parametros!$C$2))*12+MONTH(B4114)-MONTH(parametros!$C$2)&gt;59),"Fora dos ciclos","C"&amp;INT(((YEAR(B4114)-YEAR(parametros!$C$2))*12+MONTH(B4114)-MONTH(parametros!$C$2))/12)))))</f>
        <v/>
      </c>
      <c r="D4114" s="394"/>
      <c r="E4114" s="78" t="str">
        <f>IF(C4114="","",IFERROR(VLOOKUP(C4114,parametros!$A$11:$E$15,5,0),""))</f>
        <v/>
      </c>
      <c r="F4114" s="79" t="str">
        <f t="shared" si="322"/>
        <v/>
      </c>
      <c r="G4114" s="395"/>
      <c r="H4114" s="91">
        <f t="shared" si="323"/>
        <v>0</v>
      </c>
      <c r="I4114" s="91" t="str">
        <f t="shared" si="324"/>
        <v/>
      </c>
      <c r="J4114" s="91" t="str">
        <f t="shared" si="325"/>
        <v/>
      </c>
      <c r="K4114" s="92" t="str">
        <f>IF(AND(A4114="",B4114="",D4114="",G4114=""),"",IF(AND(A4114&lt;&gt;"",COUNTIF($A$2:$A$5001,A4114)&gt;1),"NUMERO_PC duplicado",IF(B4114="","DATA_PC vazia",IF(NOT(ISNUMBER(B4114)),"DATA_PC invalida",IF(OR(C4114="",C4114="Fora dos ciclos"),"CICLO_PC nao identificado",IF(OR(D4114="",D4114=0),"VALOR_PC vazio ou zero",IF(AND(G4114&lt;&gt;"Sim",G4114&lt;&gt;"Nao",G4114&lt;&gt;""),"PC_PAGO_A_CONTRATADA invalido",IF(AND(C4114&lt;&gt;"C0",IFERROR(INDEX(parametros!$A$2:$A$6,MATCH(C4114,parametros!$B$2:$B$6,0)),"")="Sim",IFERROR(INDEX(parametros!$H$2:$H$6,MATCH(C4114,parametros!$B$2:$B$6,0)),"")=""),"INICIO_EFEITO ausente: PC "&amp;A4114&amp;" - "&amp;C4114,IF(L4114="","EFEITO_PC nao calculado: PC "&amp;A4114&amp;" - "&amp;C4114,"OK")))))))))</f>
        <v/>
      </c>
      <c r="L4114" s="92" t="str">
        <f>IF(AND(A4114="",B4114="",D4114="",G4114=""),"",IF(OR(B4114="",NOT(ISNUMBER(B4114)),C4114="",C4114="Fora dos ciclos"),"",IF(C4114="C0","Nao",IF(IFERROR(INDEX(parametros!$A$2:$A$6,MATCH(C4114,parametros!$B$2:$B$6,0)),"")&lt;&gt;"Sim","Nao",IF(IFERROR(INDEX(parametros!$H$2:$H$6,MATCH(C4114,parametros!$B$2:$B$6,0)),"")="","",IF(B4114&gt;=IFERROR(INDEX(parametros!$H$2:$H$6,MATCH(C4114,parametros!$B$2:$B$6,0)),""),"Sim","Nao"))))))</f>
        <v/>
      </c>
      <c r="T4114" s="156"/>
      <c r="U4114" s="214" t="str">
        <f t="shared" si="326"/>
        <v/>
      </c>
      <c r="V4114" s="212" t="s">
        <v>50</v>
      </c>
      <c r="W4114" s="100" t="s">
        <v>168</v>
      </c>
      <c r="X4114" s="100" t="s">
        <v>169</v>
      </c>
      <c r="Y4114" s="101" t="s">
        <v>170</v>
      </c>
      <c r="Z4114" s="101" t="s">
        <v>171</v>
      </c>
      <c r="AA4114" s="101" t="s">
        <v>50</v>
      </c>
      <c r="AB4114" s="101" t="s">
        <v>172</v>
      </c>
      <c r="AC4114" s="102" t="s">
        <v>173</v>
      </c>
    </row>
    <row r="4115" spans="1:29" ht="25.5" customHeight="1" x14ac:dyDescent="0.35">
      <c r="A4115" s="392"/>
      <c r="B4115" s="393"/>
      <c r="C4115" s="99" t="str">
        <f>IF(B4115="","",IF(NOT(ISNUMBER(B4115)),"DATA_PC invalida",IF(NOT(ISNUMBER(parametros!$C$2)),"Fora dos ciclos",IF(OR(B4115&lt;parametros!$C$2,(YEAR(B4115)-YEAR(parametros!$C$2))*12+MONTH(B4115)-MONTH(parametros!$C$2)&gt;59),"Fora dos ciclos","C"&amp;INT(((YEAR(B4115)-YEAR(parametros!$C$2))*12+MONTH(B4115)-MONTH(parametros!$C$2))/12)))))</f>
        <v/>
      </c>
      <c r="D4115" s="394"/>
      <c r="E4115" s="78" t="str">
        <f>IF(C4115="","",IFERROR(VLOOKUP(C4115,parametros!$A$11:$E$15,5,0),""))</f>
        <v/>
      </c>
      <c r="F4115" s="79" t="str">
        <f t="shared" si="322"/>
        <v/>
      </c>
      <c r="G4115" s="395"/>
      <c r="H4115" s="91">
        <f t="shared" si="323"/>
        <v>0</v>
      </c>
      <c r="I4115" s="91" t="str">
        <f t="shared" si="324"/>
        <v/>
      </c>
      <c r="J4115" s="91" t="str">
        <f t="shared" si="325"/>
        <v/>
      </c>
      <c r="K4115" s="92" t="str">
        <f>IF(AND(A4115="",B4115="",D4115="",G4115=""),"",IF(AND(A4115&lt;&gt;"",COUNTIF($A$2:$A$5001,A4115)&gt;1),"NUMERO_PC duplicado",IF(B4115="","DATA_PC vazia",IF(NOT(ISNUMBER(B4115)),"DATA_PC invalida",IF(OR(C4115="",C4115="Fora dos ciclos"),"CICLO_PC nao identificado",IF(OR(D4115="",D4115=0),"VALOR_PC vazio ou zero",IF(AND(G4115&lt;&gt;"Sim",G4115&lt;&gt;"Nao",G4115&lt;&gt;""),"PC_PAGO_A_CONTRATADA invalido",IF(AND(C4115&lt;&gt;"C0",IFERROR(INDEX(parametros!$A$2:$A$6,MATCH(C4115,parametros!$B$2:$B$6,0)),"")="Sim",IFERROR(INDEX(parametros!$H$2:$H$6,MATCH(C4115,parametros!$B$2:$B$6,0)),"")=""),"INICIO_EFEITO ausente: PC "&amp;A4115&amp;" - "&amp;C4115,IF(L4115="","EFEITO_PC nao calculado: PC "&amp;A4115&amp;" - "&amp;C4115,"OK")))))))))</f>
        <v/>
      </c>
      <c r="L4115" s="92" t="str">
        <f>IF(AND(A4115="",B4115="",D4115="",G4115=""),"",IF(OR(B4115="",NOT(ISNUMBER(B4115)),C4115="",C4115="Fora dos ciclos"),"",IF(C4115="C0","Nao",IF(IFERROR(INDEX(parametros!$A$2:$A$6,MATCH(C4115,parametros!$B$2:$B$6,0)),"")&lt;&gt;"Sim","Nao",IF(IFERROR(INDEX(parametros!$H$2:$H$6,MATCH(C4115,parametros!$B$2:$B$6,0)),"")="","",IF(B4115&gt;=IFERROR(INDEX(parametros!$H$2:$H$6,MATCH(C4115,parametros!$B$2:$B$6,0)),""),"Sim","Nao"))))))</f>
        <v/>
      </c>
      <c r="T4115" s="156"/>
      <c r="U4115" s="214" t="str">
        <f t="shared" si="326"/>
        <v/>
      </c>
      <c r="V4115" s="212" t="s">
        <v>50</v>
      </c>
      <c r="W4115" s="100" t="s">
        <v>168</v>
      </c>
      <c r="X4115" s="100" t="s">
        <v>169</v>
      </c>
      <c r="Y4115" s="101" t="s">
        <v>170</v>
      </c>
      <c r="Z4115" s="101" t="s">
        <v>171</v>
      </c>
      <c r="AA4115" s="101" t="s">
        <v>50</v>
      </c>
      <c r="AB4115" s="101" t="s">
        <v>172</v>
      </c>
      <c r="AC4115" s="102" t="s">
        <v>173</v>
      </c>
    </row>
    <row r="4116" spans="1:29" ht="25.5" customHeight="1" x14ac:dyDescent="0.35">
      <c r="A4116" s="392"/>
      <c r="B4116" s="393"/>
      <c r="C4116" s="99" t="str">
        <f>IF(B4116="","",IF(NOT(ISNUMBER(B4116)),"DATA_PC invalida",IF(NOT(ISNUMBER(parametros!$C$2)),"Fora dos ciclos",IF(OR(B4116&lt;parametros!$C$2,(YEAR(B4116)-YEAR(parametros!$C$2))*12+MONTH(B4116)-MONTH(parametros!$C$2)&gt;59),"Fora dos ciclos","C"&amp;INT(((YEAR(B4116)-YEAR(parametros!$C$2))*12+MONTH(B4116)-MONTH(parametros!$C$2))/12)))))</f>
        <v/>
      </c>
      <c r="D4116" s="394"/>
      <c r="E4116" s="78" t="str">
        <f>IF(C4116="","",IFERROR(VLOOKUP(C4116,parametros!$A$11:$E$15,5,0),""))</f>
        <v/>
      </c>
      <c r="F4116" s="79" t="str">
        <f t="shared" si="322"/>
        <v/>
      </c>
      <c r="G4116" s="395"/>
      <c r="H4116" s="91">
        <f t="shared" si="323"/>
        <v>0</v>
      </c>
      <c r="I4116" s="91" t="str">
        <f t="shared" si="324"/>
        <v/>
      </c>
      <c r="J4116" s="91" t="str">
        <f t="shared" si="325"/>
        <v/>
      </c>
      <c r="K4116" s="92" t="str">
        <f>IF(AND(A4116="",B4116="",D4116="",G4116=""),"",IF(AND(A4116&lt;&gt;"",COUNTIF($A$2:$A$5001,A4116)&gt;1),"NUMERO_PC duplicado",IF(B4116="","DATA_PC vazia",IF(NOT(ISNUMBER(B4116)),"DATA_PC invalida",IF(OR(C4116="",C4116="Fora dos ciclos"),"CICLO_PC nao identificado",IF(OR(D4116="",D4116=0),"VALOR_PC vazio ou zero",IF(AND(G4116&lt;&gt;"Sim",G4116&lt;&gt;"Nao",G4116&lt;&gt;""),"PC_PAGO_A_CONTRATADA invalido",IF(AND(C4116&lt;&gt;"C0",IFERROR(INDEX(parametros!$A$2:$A$6,MATCH(C4116,parametros!$B$2:$B$6,0)),"")="Sim",IFERROR(INDEX(parametros!$H$2:$H$6,MATCH(C4116,parametros!$B$2:$B$6,0)),"")=""),"INICIO_EFEITO ausente: PC "&amp;A4116&amp;" - "&amp;C4116,IF(L4116="","EFEITO_PC nao calculado: PC "&amp;A4116&amp;" - "&amp;C4116,"OK")))))))))</f>
        <v/>
      </c>
      <c r="L4116" s="92" t="str">
        <f>IF(AND(A4116="",B4116="",D4116="",G4116=""),"",IF(OR(B4116="",NOT(ISNUMBER(B4116)),C4116="",C4116="Fora dos ciclos"),"",IF(C4116="C0","Nao",IF(IFERROR(INDEX(parametros!$A$2:$A$6,MATCH(C4116,parametros!$B$2:$B$6,0)),"")&lt;&gt;"Sim","Nao",IF(IFERROR(INDEX(parametros!$H$2:$H$6,MATCH(C4116,parametros!$B$2:$B$6,0)),"")="","",IF(B4116&gt;=IFERROR(INDEX(parametros!$H$2:$H$6,MATCH(C4116,parametros!$B$2:$B$6,0)),""),"Sim","Nao"))))))</f>
        <v/>
      </c>
      <c r="T4116" s="156"/>
      <c r="U4116" s="214" t="str">
        <f t="shared" si="326"/>
        <v/>
      </c>
      <c r="V4116" s="212" t="s">
        <v>50</v>
      </c>
      <c r="W4116" s="100" t="s">
        <v>168</v>
      </c>
      <c r="X4116" s="100" t="s">
        <v>169</v>
      </c>
      <c r="Y4116" s="101" t="s">
        <v>170</v>
      </c>
      <c r="Z4116" s="101" t="s">
        <v>171</v>
      </c>
      <c r="AA4116" s="101" t="s">
        <v>50</v>
      </c>
      <c r="AB4116" s="101" t="s">
        <v>172</v>
      </c>
      <c r="AC4116" s="102" t="s">
        <v>173</v>
      </c>
    </row>
    <row r="4117" spans="1:29" ht="25.5" customHeight="1" x14ac:dyDescent="0.35">
      <c r="A4117" s="392"/>
      <c r="B4117" s="393"/>
      <c r="C4117" s="99" t="str">
        <f>IF(B4117="","",IF(NOT(ISNUMBER(B4117)),"DATA_PC invalida",IF(NOT(ISNUMBER(parametros!$C$2)),"Fora dos ciclos",IF(OR(B4117&lt;parametros!$C$2,(YEAR(B4117)-YEAR(parametros!$C$2))*12+MONTH(B4117)-MONTH(parametros!$C$2)&gt;59),"Fora dos ciclos","C"&amp;INT(((YEAR(B4117)-YEAR(parametros!$C$2))*12+MONTH(B4117)-MONTH(parametros!$C$2))/12)))))</f>
        <v/>
      </c>
      <c r="D4117" s="394"/>
      <c r="E4117" s="78" t="str">
        <f>IF(C4117="","",IFERROR(VLOOKUP(C4117,parametros!$A$11:$E$15,5,0),""))</f>
        <v/>
      </c>
      <c r="F4117" s="79" t="str">
        <f t="shared" si="322"/>
        <v/>
      </c>
      <c r="G4117" s="395"/>
      <c r="H4117" s="91">
        <f t="shared" si="323"/>
        <v>0</v>
      </c>
      <c r="I4117" s="91" t="str">
        <f t="shared" si="324"/>
        <v/>
      </c>
      <c r="J4117" s="91" t="str">
        <f t="shared" si="325"/>
        <v/>
      </c>
      <c r="K4117" s="92" t="str">
        <f>IF(AND(A4117="",B4117="",D4117="",G4117=""),"",IF(AND(A4117&lt;&gt;"",COUNTIF($A$2:$A$5001,A4117)&gt;1),"NUMERO_PC duplicado",IF(B4117="","DATA_PC vazia",IF(NOT(ISNUMBER(B4117)),"DATA_PC invalida",IF(OR(C4117="",C4117="Fora dos ciclos"),"CICLO_PC nao identificado",IF(OR(D4117="",D4117=0),"VALOR_PC vazio ou zero",IF(AND(G4117&lt;&gt;"Sim",G4117&lt;&gt;"Nao",G4117&lt;&gt;""),"PC_PAGO_A_CONTRATADA invalido",IF(AND(C4117&lt;&gt;"C0",IFERROR(INDEX(parametros!$A$2:$A$6,MATCH(C4117,parametros!$B$2:$B$6,0)),"")="Sim",IFERROR(INDEX(parametros!$H$2:$H$6,MATCH(C4117,parametros!$B$2:$B$6,0)),"")=""),"INICIO_EFEITO ausente: PC "&amp;A4117&amp;" - "&amp;C4117,IF(L4117="","EFEITO_PC nao calculado: PC "&amp;A4117&amp;" - "&amp;C4117,"OK")))))))))</f>
        <v/>
      </c>
      <c r="L4117" s="92" t="str">
        <f>IF(AND(A4117="",B4117="",D4117="",G4117=""),"",IF(OR(B4117="",NOT(ISNUMBER(B4117)),C4117="",C4117="Fora dos ciclos"),"",IF(C4117="C0","Nao",IF(IFERROR(INDEX(parametros!$A$2:$A$6,MATCH(C4117,parametros!$B$2:$B$6,0)),"")&lt;&gt;"Sim","Nao",IF(IFERROR(INDEX(parametros!$H$2:$H$6,MATCH(C4117,parametros!$B$2:$B$6,0)),"")="","",IF(B4117&gt;=IFERROR(INDEX(parametros!$H$2:$H$6,MATCH(C4117,parametros!$B$2:$B$6,0)),""),"Sim","Nao"))))))</f>
        <v/>
      </c>
      <c r="T4117" s="156"/>
      <c r="U4117" s="214" t="str">
        <f t="shared" si="326"/>
        <v/>
      </c>
      <c r="V4117" s="212" t="s">
        <v>50</v>
      </c>
      <c r="W4117" s="100" t="s">
        <v>168</v>
      </c>
      <c r="X4117" s="100" t="s">
        <v>169</v>
      </c>
      <c r="Y4117" s="101" t="s">
        <v>170</v>
      </c>
      <c r="Z4117" s="101" t="s">
        <v>171</v>
      </c>
      <c r="AA4117" s="101" t="s">
        <v>50</v>
      </c>
      <c r="AB4117" s="101" t="s">
        <v>172</v>
      </c>
      <c r="AC4117" s="102" t="s">
        <v>173</v>
      </c>
    </row>
    <row r="4118" spans="1:29" ht="25.5" customHeight="1" x14ac:dyDescent="0.35">
      <c r="A4118" s="392"/>
      <c r="B4118" s="393"/>
      <c r="C4118" s="99" t="str">
        <f>IF(B4118="","",IF(NOT(ISNUMBER(B4118)),"DATA_PC invalida",IF(NOT(ISNUMBER(parametros!$C$2)),"Fora dos ciclos",IF(OR(B4118&lt;parametros!$C$2,(YEAR(B4118)-YEAR(parametros!$C$2))*12+MONTH(B4118)-MONTH(parametros!$C$2)&gt;59),"Fora dos ciclos","C"&amp;INT(((YEAR(B4118)-YEAR(parametros!$C$2))*12+MONTH(B4118)-MONTH(parametros!$C$2))/12)))))</f>
        <v/>
      </c>
      <c r="D4118" s="394"/>
      <c r="E4118" s="78" t="str">
        <f>IF(C4118="","",IFERROR(VLOOKUP(C4118,parametros!$A$11:$E$15,5,0),""))</f>
        <v/>
      </c>
      <c r="F4118" s="79" t="str">
        <f t="shared" si="322"/>
        <v/>
      </c>
      <c r="G4118" s="395"/>
      <c r="H4118" s="91">
        <f t="shared" si="323"/>
        <v>0</v>
      </c>
      <c r="I4118" s="91" t="str">
        <f t="shared" si="324"/>
        <v/>
      </c>
      <c r="J4118" s="91" t="str">
        <f t="shared" si="325"/>
        <v/>
      </c>
      <c r="K4118" s="92" t="str">
        <f>IF(AND(A4118="",B4118="",D4118="",G4118=""),"",IF(AND(A4118&lt;&gt;"",COUNTIF($A$2:$A$5001,A4118)&gt;1),"NUMERO_PC duplicado",IF(B4118="","DATA_PC vazia",IF(NOT(ISNUMBER(B4118)),"DATA_PC invalida",IF(OR(C4118="",C4118="Fora dos ciclos"),"CICLO_PC nao identificado",IF(OR(D4118="",D4118=0),"VALOR_PC vazio ou zero",IF(AND(G4118&lt;&gt;"Sim",G4118&lt;&gt;"Nao",G4118&lt;&gt;""),"PC_PAGO_A_CONTRATADA invalido",IF(AND(C4118&lt;&gt;"C0",IFERROR(INDEX(parametros!$A$2:$A$6,MATCH(C4118,parametros!$B$2:$B$6,0)),"")="Sim",IFERROR(INDEX(parametros!$H$2:$H$6,MATCH(C4118,parametros!$B$2:$B$6,0)),"")=""),"INICIO_EFEITO ausente: PC "&amp;A4118&amp;" - "&amp;C4118,IF(L4118="","EFEITO_PC nao calculado: PC "&amp;A4118&amp;" - "&amp;C4118,"OK")))))))))</f>
        <v/>
      </c>
      <c r="L4118" s="92" t="str">
        <f>IF(AND(A4118="",B4118="",D4118="",G4118=""),"",IF(OR(B4118="",NOT(ISNUMBER(B4118)),C4118="",C4118="Fora dos ciclos"),"",IF(C4118="C0","Nao",IF(IFERROR(INDEX(parametros!$A$2:$A$6,MATCH(C4118,parametros!$B$2:$B$6,0)),"")&lt;&gt;"Sim","Nao",IF(IFERROR(INDEX(parametros!$H$2:$H$6,MATCH(C4118,parametros!$B$2:$B$6,0)),"")="","",IF(B4118&gt;=IFERROR(INDEX(parametros!$H$2:$H$6,MATCH(C4118,parametros!$B$2:$B$6,0)),""),"Sim","Nao"))))))</f>
        <v/>
      </c>
      <c r="T4118" s="156"/>
      <c r="U4118" s="214" t="str">
        <f t="shared" si="326"/>
        <v/>
      </c>
      <c r="V4118" s="212" t="s">
        <v>50</v>
      </c>
      <c r="W4118" s="100" t="s">
        <v>168</v>
      </c>
      <c r="X4118" s="100" t="s">
        <v>169</v>
      </c>
      <c r="Y4118" s="101" t="s">
        <v>170</v>
      </c>
      <c r="Z4118" s="101" t="s">
        <v>171</v>
      </c>
      <c r="AA4118" s="101" t="s">
        <v>50</v>
      </c>
      <c r="AB4118" s="101" t="s">
        <v>172</v>
      </c>
      <c r="AC4118" s="102" t="s">
        <v>173</v>
      </c>
    </row>
    <row r="4119" spans="1:29" ht="25.5" customHeight="1" x14ac:dyDescent="0.35">
      <c r="A4119" s="392"/>
      <c r="B4119" s="393"/>
      <c r="C4119" s="99" t="str">
        <f>IF(B4119="","",IF(NOT(ISNUMBER(B4119)),"DATA_PC invalida",IF(NOT(ISNUMBER(parametros!$C$2)),"Fora dos ciclos",IF(OR(B4119&lt;parametros!$C$2,(YEAR(B4119)-YEAR(parametros!$C$2))*12+MONTH(B4119)-MONTH(parametros!$C$2)&gt;59),"Fora dos ciclos","C"&amp;INT(((YEAR(B4119)-YEAR(parametros!$C$2))*12+MONTH(B4119)-MONTH(parametros!$C$2))/12)))))</f>
        <v/>
      </c>
      <c r="D4119" s="394"/>
      <c r="E4119" s="78" t="str">
        <f>IF(C4119="","",IFERROR(VLOOKUP(C4119,parametros!$A$11:$E$15,5,0),""))</f>
        <v/>
      </c>
      <c r="F4119" s="79" t="str">
        <f t="shared" si="322"/>
        <v/>
      </c>
      <c r="G4119" s="395"/>
      <c r="H4119" s="91">
        <f t="shared" si="323"/>
        <v>0</v>
      </c>
      <c r="I4119" s="91" t="str">
        <f t="shared" si="324"/>
        <v/>
      </c>
      <c r="J4119" s="91" t="str">
        <f t="shared" si="325"/>
        <v/>
      </c>
      <c r="K4119" s="92" t="str">
        <f>IF(AND(A4119="",B4119="",D4119="",G4119=""),"",IF(AND(A4119&lt;&gt;"",COUNTIF($A$2:$A$5001,A4119)&gt;1),"NUMERO_PC duplicado",IF(B4119="","DATA_PC vazia",IF(NOT(ISNUMBER(B4119)),"DATA_PC invalida",IF(OR(C4119="",C4119="Fora dos ciclos"),"CICLO_PC nao identificado",IF(OR(D4119="",D4119=0),"VALOR_PC vazio ou zero",IF(AND(G4119&lt;&gt;"Sim",G4119&lt;&gt;"Nao",G4119&lt;&gt;""),"PC_PAGO_A_CONTRATADA invalido",IF(AND(C4119&lt;&gt;"C0",IFERROR(INDEX(parametros!$A$2:$A$6,MATCH(C4119,parametros!$B$2:$B$6,0)),"")="Sim",IFERROR(INDEX(parametros!$H$2:$H$6,MATCH(C4119,parametros!$B$2:$B$6,0)),"")=""),"INICIO_EFEITO ausente: PC "&amp;A4119&amp;" - "&amp;C4119,IF(L4119="","EFEITO_PC nao calculado: PC "&amp;A4119&amp;" - "&amp;C4119,"OK")))))))))</f>
        <v/>
      </c>
      <c r="L4119" s="92" t="str">
        <f>IF(AND(A4119="",B4119="",D4119="",G4119=""),"",IF(OR(B4119="",NOT(ISNUMBER(B4119)),C4119="",C4119="Fora dos ciclos"),"",IF(C4119="C0","Nao",IF(IFERROR(INDEX(parametros!$A$2:$A$6,MATCH(C4119,parametros!$B$2:$B$6,0)),"")&lt;&gt;"Sim","Nao",IF(IFERROR(INDEX(parametros!$H$2:$H$6,MATCH(C4119,parametros!$B$2:$B$6,0)),"")="","",IF(B4119&gt;=IFERROR(INDEX(parametros!$H$2:$H$6,MATCH(C4119,parametros!$B$2:$B$6,0)),""),"Sim","Nao"))))))</f>
        <v/>
      </c>
      <c r="T4119" s="156"/>
      <c r="U4119" s="214" t="str">
        <f t="shared" si="326"/>
        <v/>
      </c>
      <c r="V4119" s="212" t="s">
        <v>50</v>
      </c>
      <c r="W4119" s="100" t="s">
        <v>168</v>
      </c>
      <c r="X4119" s="100" t="s">
        <v>169</v>
      </c>
      <c r="Y4119" s="101" t="s">
        <v>170</v>
      </c>
      <c r="Z4119" s="101" t="s">
        <v>171</v>
      </c>
      <c r="AA4119" s="101" t="s">
        <v>50</v>
      </c>
      <c r="AB4119" s="101" t="s">
        <v>172</v>
      </c>
      <c r="AC4119" s="102" t="s">
        <v>173</v>
      </c>
    </row>
    <row r="4120" spans="1:29" ht="25.5" customHeight="1" x14ac:dyDescent="0.35">
      <c r="A4120" s="392"/>
      <c r="B4120" s="393"/>
      <c r="C4120" s="99" t="str">
        <f>IF(B4120="","",IF(NOT(ISNUMBER(B4120)),"DATA_PC invalida",IF(NOT(ISNUMBER(parametros!$C$2)),"Fora dos ciclos",IF(OR(B4120&lt;parametros!$C$2,(YEAR(B4120)-YEAR(parametros!$C$2))*12+MONTH(B4120)-MONTH(parametros!$C$2)&gt;59),"Fora dos ciclos","C"&amp;INT(((YEAR(B4120)-YEAR(parametros!$C$2))*12+MONTH(B4120)-MONTH(parametros!$C$2))/12)))))</f>
        <v/>
      </c>
      <c r="D4120" s="394"/>
      <c r="E4120" s="78" t="str">
        <f>IF(C4120="","",IFERROR(VLOOKUP(C4120,parametros!$A$11:$E$15,5,0),""))</f>
        <v/>
      </c>
      <c r="F4120" s="79" t="str">
        <f t="shared" si="322"/>
        <v/>
      </c>
      <c r="G4120" s="395"/>
      <c r="H4120" s="91">
        <f t="shared" si="323"/>
        <v>0</v>
      </c>
      <c r="I4120" s="91" t="str">
        <f t="shared" si="324"/>
        <v/>
      </c>
      <c r="J4120" s="91" t="str">
        <f t="shared" si="325"/>
        <v/>
      </c>
      <c r="K4120" s="92" t="str">
        <f>IF(AND(A4120="",B4120="",D4120="",G4120=""),"",IF(AND(A4120&lt;&gt;"",COUNTIF($A$2:$A$5001,A4120)&gt;1),"NUMERO_PC duplicado",IF(B4120="","DATA_PC vazia",IF(NOT(ISNUMBER(B4120)),"DATA_PC invalida",IF(OR(C4120="",C4120="Fora dos ciclos"),"CICLO_PC nao identificado",IF(OR(D4120="",D4120=0),"VALOR_PC vazio ou zero",IF(AND(G4120&lt;&gt;"Sim",G4120&lt;&gt;"Nao",G4120&lt;&gt;""),"PC_PAGO_A_CONTRATADA invalido",IF(AND(C4120&lt;&gt;"C0",IFERROR(INDEX(parametros!$A$2:$A$6,MATCH(C4120,parametros!$B$2:$B$6,0)),"")="Sim",IFERROR(INDEX(parametros!$H$2:$H$6,MATCH(C4120,parametros!$B$2:$B$6,0)),"")=""),"INICIO_EFEITO ausente: PC "&amp;A4120&amp;" - "&amp;C4120,IF(L4120="","EFEITO_PC nao calculado: PC "&amp;A4120&amp;" - "&amp;C4120,"OK")))))))))</f>
        <v/>
      </c>
      <c r="L4120" s="92" t="str">
        <f>IF(AND(A4120="",B4120="",D4120="",G4120=""),"",IF(OR(B4120="",NOT(ISNUMBER(B4120)),C4120="",C4120="Fora dos ciclos"),"",IF(C4120="C0","Nao",IF(IFERROR(INDEX(parametros!$A$2:$A$6,MATCH(C4120,parametros!$B$2:$B$6,0)),"")&lt;&gt;"Sim","Nao",IF(IFERROR(INDEX(parametros!$H$2:$H$6,MATCH(C4120,parametros!$B$2:$B$6,0)),"")="","",IF(B4120&gt;=IFERROR(INDEX(parametros!$H$2:$H$6,MATCH(C4120,parametros!$B$2:$B$6,0)),""),"Sim","Nao"))))))</f>
        <v/>
      </c>
      <c r="T4120" s="156"/>
      <c r="U4120" s="214" t="str">
        <f t="shared" si="326"/>
        <v/>
      </c>
      <c r="V4120" s="212" t="s">
        <v>50</v>
      </c>
      <c r="W4120" s="100" t="s">
        <v>168</v>
      </c>
      <c r="X4120" s="100" t="s">
        <v>169</v>
      </c>
      <c r="Y4120" s="101" t="s">
        <v>170</v>
      </c>
      <c r="Z4120" s="101" t="s">
        <v>171</v>
      </c>
      <c r="AA4120" s="101" t="s">
        <v>50</v>
      </c>
      <c r="AB4120" s="101" t="s">
        <v>172</v>
      </c>
      <c r="AC4120" s="102" t="s">
        <v>173</v>
      </c>
    </row>
    <row r="4121" spans="1:29" ht="25.5" customHeight="1" x14ac:dyDescent="0.35">
      <c r="A4121" s="392"/>
      <c r="B4121" s="393"/>
      <c r="C4121" s="99" t="str">
        <f>IF(B4121="","",IF(NOT(ISNUMBER(B4121)),"DATA_PC invalida",IF(NOT(ISNUMBER(parametros!$C$2)),"Fora dos ciclos",IF(OR(B4121&lt;parametros!$C$2,(YEAR(B4121)-YEAR(parametros!$C$2))*12+MONTH(B4121)-MONTH(parametros!$C$2)&gt;59),"Fora dos ciclos","C"&amp;INT(((YEAR(B4121)-YEAR(parametros!$C$2))*12+MONTH(B4121)-MONTH(parametros!$C$2))/12)))))</f>
        <v/>
      </c>
      <c r="D4121" s="394"/>
      <c r="E4121" s="78" t="str">
        <f>IF(C4121="","",IFERROR(VLOOKUP(C4121,parametros!$A$11:$E$15,5,0),""))</f>
        <v/>
      </c>
      <c r="F4121" s="79" t="str">
        <f t="shared" si="322"/>
        <v/>
      </c>
      <c r="G4121" s="395"/>
      <c r="H4121" s="91">
        <f t="shared" si="323"/>
        <v>0</v>
      </c>
      <c r="I4121" s="91" t="str">
        <f t="shared" si="324"/>
        <v/>
      </c>
      <c r="J4121" s="91" t="str">
        <f t="shared" si="325"/>
        <v/>
      </c>
      <c r="K4121" s="92" t="str">
        <f>IF(AND(A4121="",B4121="",D4121="",G4121=""),"",IF(AND(A4121&lt;&gt;"",COUNTIF($A$2:$A$5001,A4121)&gt;1),"NUMERO_PC duplicado",IF(B4121="","DATA_PC vazia",IF(NOT(ISNUMBER(B4121)),"DATA_PC invalida",IF(OR(C4121="",C4121="Fora dos ciclos"),"CICLO_PC nao identificado",IF(OR(D4121="",D4121=0),"VALOR_PC vazio ou zero",IF(AND(G4121&lt;&gt;"Sim",G4121&lt;&gt;"Nao",G4121&lt;&gt;""),"PC_PAGO_A_CONTRATADA invalido",IF(AND(C4121&lt;&gt;"C0",IFERROR(INDEX(parametros!$A$2:$A$6,MATCH(C4121,parametros!$B$2:$B$6,0)),"")="Sim",IFERROR(INDEX(parametros!$H$2:$H$6,MATCH(C4121,parametros!$B$2:$B$6,0)),"")=""),"INICIO_EFEITO ausente: PC "&amp;A4121&amp;" - "&amp;C4121,IF(L4121="","EFEITO_PC nao calculado: PC "&amp;A4121&amp;" - "&amp;C4121,"OK")))))))))</f>
        <v/>
      </c>
      <c r="L4121" s="92" t="str">
        <f>IF(AND(A4121="",B4121="",D4121="",G4121=""),"",IF(OR(B4121="",NOT(ISNUMBER(B4121)),C4121="",C4121="Fora dos ciclos"),"",IF(C4121="C0","Nao",IF(IFERROR(INDEX(parametros!$A$2:$A$6,MATCH(C4121,parametros!$B$2:$B$6,0)),"")&lt;&gt;"Sim","Nao",IF(IFERROR(INDEX(parametros!$H$2:$H$6,MATCH(C4121,parametros!$B$2:$B$6,0)),"")="","",IF(B4121&gt;=IFERROR(INDEX(parametros!$H$2:$H$6,MATCH(C4121,parametros!$B$2:$B$6,0)),""),"Sim","Nao"))))))</f>
        <v/>
      </c>
      <c r="T4121" s="156"/>
      <c r="U4121" s="214" t="str">
        <f t="shared" si="326"/>
        <v/>
      </c>
      <c r="V4121" s="212" t="s">
        <v>50</v>
      </c>
      <c r="W4121" s="100" t="s">
        <v>168</v>
      </c>
      <c r="X4121" s="100" t="s">
        <v>169</v>
      </c>
      <c r="Y4121" s="101" t="s">
        <v>170</v>
      </c>
      <c r="Z4121" s="101" t="s">
        <v>171</v>
      </c>
      <c r="AA4121" s="101" t="s">
        <v>50</v>
      </c>
      <c r="AB4121" s="101" t="s">
        <v>172</v>
      </c>
      <c r="AC4121" s="102" t="s">
        <v>173</v>
      </c>
    </row>
    <row r="4122" spans="1:29" ht="25.5" customHeight="1" x14ac:dyDescent="0.35">
      <c r="A4122" s="392"/>
      <c r="B4122" s="393"/>
      <c r="C4122" s="99" t="str">
        <f>IF(B4122="","",IF(NOT(ISNUMBER(B4122)),"DATA_PC invalida",IF(NOT(ISNUMBER(parametros!$C$2)),"Fora dos ciclos",IF(OR(B4122&lt;parametros!$C$2,(YEAR(B4122)-YEAR(parametros!$C$2))*12+MONTH(B4122)-MONTH(parametros!$C$2)&gt;59),"Fora dos ciclos","C"&amp;INT(((YEAR(B4122)-YEAR(parametros!$C$2))*12+MONTH(B4122)-MONTH(parametros!$C$2))/12)))))</f>
        <v/>
      </c>
      <c r="D4122" s="394"/>
      <c r="E4122" s="78" t="str">
        <f>IF(C4122="","",IFERROR(VLOOKUP(C4122,parametros!$A$11:$E$15,5,0),""))</f>
        <v/>
      </c>
      <c r="F4122" s="79" t="str">
        <f t="shared" si="322"/>
        <v/>
      </c>
      <c r="G4122" s="395"/>
      <c r="H4122" s="91">
        <f t="shared" si="323"/>
        <v>0</v>
      </c>
      <c r="I4122" s="91" t="str">
        <f t="shared" si="324"/>
        <v/>
      </c>
      <c r="J4122" s="91" t="str">
        <f t="shared" si="325"/>
        <v/>
      </c>
      <c r="K4122" s="92" t="str">
        <f>IF(AND(A4122="",B4122="",D4122="",G4122=""),"",IF(AND(A4122&lt;&gt;"",COUNTIF($A$2:$A$5001,A4122)&gt;1),"NUMERO_PC duplicado",IF(B4122="","DATA_PC vazia",IF(NOT(ISNUMBER(B4122)),"DATA_PC invalida",IF(OR(C4122="",C4122="Fora dos ciclos"),"CICLO_PC nao identificado",IF(OR(D4122="",D4122=0),"VALOR_PC vazio ou zero",IF(AND(G4122&lt;&gt;"Sim",G4122&lt;&gt;"Nao",G4122&lt;&gt;""),"PC_PAGO_A_CONTRATADA invalido",IF(AND(C4122&lt;&gt;"C0",IFERROR(INDEX(parametros!$A$2:$A$6,MATCH(C4122,parametros!$B$2:$B$6,0)),"")="Sim",IFERROR(INDEX(parametros!$H$2:$H$6,MATCH(C4122,parametros!$B$2:$B$6,0)),"")=""),"INICIO_EFEITO ausente: PC "&amp;A4122&amp;" - "&amp;C4122,IF(L4122="","EFEITO_PC nao calculado: PC "&amp;A4122&amp;" - "&amp;C4122,"OK")))))))))</f>
        <v/>
      </c>
      <c r="L4122" s="92" t="str">
        <f>IF(AND(A4122="",B4122="",D4122="",G4122=""),"",IF(OR(B4122="",NOT(ISNUMBER(B4122)),C4122="",C4122="Fora dos ciclos"),"",IF(C4122="C0","Nao",IF(IFERROR(INDEX(parametros!$A$2:$A$6,MATCH(C4122,parametros!$B$2:$B$6,0)),"")&lt;&gt;"Sim","Nao",IF(IFERROR(INDEX(parametros!$H$2:$H$6,MATCH(C4122,parametros!$B$2:$B$6,0)),"")="","",IF(B4122&gt;=IFERROR(INDEX(parametros!$H$2:$H$6,MATCH(C4122,parametros!$B$2:$B$6,0)),""),"Sim","Nao"))))))</f>
        <v/>
      </c>
      <c r="T4122" s="156"/>
      <c r="U4122" s="214" t="str">
        <f t="shared" si="326"/>
        <v/>
      </c>
      <c r="V4122" s="212" t="s">
        <v>50</v>
      </c>
      <c r="W4122" s="100" t="s">
        <v>168</v>
      </c>
      <c r="X4122" s="100" t="s">
        <v>169</v>
      </c>
      <c r="Y4122" s="101" t="s">
        <v>170</v>
      </c>
      <c r="Z4122" s="101" t="s">
        <v>171</v>
      </c>
      <c r="AA4122" s="101" t="s">
        <v>50</v>
      </c>
      <c r="AB4122" s="101" t="s">
        <v>172</v>
      </c>
      <c r="AC4122" s="102" t="s">
        <v>173</v>
      </c>
    </row>
    <row r="4123" spans="1:29" ht="25.5" customHeight="1" x14ac:dyDescent="0.35">
      <c r="A4123" s="392"/>
      <c r="B4123" s="393"/>
      <c r="C4123" s="99" t="str">
        <f>IF(B4123="","",IF(NOT(ISNUMBER(B4123)),"DATA_PC invalida",IF(NOT(ISNUMBER(parametros!$C$2)),"Fora dos ciclos",IF(OR(B4123&lt;parametros!$C$2,(YEAR(B4123)-YEAR(parametros!$C$2))*12+MONTH(B4123)-MONTH(parametros!$C$2)&gt;59),"Fora dos ciclos","C"&amp;INT(((YEAR(B4123)-YEAR(parametros!$C$2))*12+MONTH(B4123)-MONTH(parametros!$C$2))/12)))))</f>
        <v/>
      </c>
      <c r="D4123" s="394"/>
      <c r="E4123" s="78" t="str">
        <f>IF(C4123="","",IFERROR(VLOOKUP(C4123,parametros!$A$11:$E$15,5,0),""))</f>
        <v/>
      </c>
      <c r="F4123" s="79" t="str">
        <f t="shared" si="322"/>
        <v/>
      </c>
      <c r="G4123" s="395"/>
      <c r="H4123" s="91">
        <f t="shared" si="323"/>
        <v>0</v>
      </c>
      <c r="I4123" s="91" t="str">
        <f t="shared" si="324"/>
        <v/>
      </c>
      <c r="J4123" s="91" t="str">
        <f t="shared" si="325"/>
        <v/>
      </c>
      <c r="K4123" s="92" t="str">
        <f>IF(AND(A4123="",B4123="",D4123="",G4123=""),"",IF(AND(A4123&lt;&gt;"",COUNTIF($A$2:$A$5001,A4123)&gt;1),"NUMERO_PC duplicado",IF(B4123="","DATA_PC vazia",IF(NOT(ISNUMBER(B4123)),"DATA_PC invalida",IF(OR(C4123="",C4123="Fora dos ciclos"),"CICLO_PC nao identificado",IF(OR(D4123="",D4123=0),"VALOR_PC vazio ou zero",IF(AND(G4123&lt;&gt;"Sim",G4123&lt;&gt;"Nao",G4123&lt;&gt;""),"PC_PAGO_A_CONTRATADA invalido",IF(AND(C4123&lt;&gt;"C0",IFERROR(INDEX(parametros!$A$2:$A$6,MATCH(C4123,parametros!$B$2:$B$6,0)),"")="Sim",IFERROR(INDEX(parametros!$H$2:$H$6,MATCH(C4123,parametros!$B$2:$B$6,0)),"")=""),"INICIO_EFEITO ausente: PC "&amp;A4123&amp;" - "&amp;C4123,IF(L4123="","EFEITO_PC nao calculado: PC "&amp;A4123&amp;" - "&amp;C4123,"OK")))))))))</f>
        <v/>
      </c>
      <c r="L4123" s="92" t="str">
        <f>IF(AND(A4123="",B4123="",D4123="",G4123=""),"",IF(OR(B4123="",NOT(ISNUMBER(B4123)),C4123="",C4123="Fora dos ciclos"),"",IF(C4123="C0","Nao",IF(IFERROR(INDEX(parametros!$A$2:$A$6,MATCH(C4123,parametros!$B$2:$B$6,0)),"")&lt;&gt;"Sim","Nao",IF(IFERROR(INDEX(parametros!$H$2:$H$6,MATCH(C4123,parametros!$B$2:$B$6,0)),"")="","",IF(B4123&gt;=IFERROR(INDEX(parametros!$H$2:$H$6,MATCH(C4123,parametros!$B$2:$B$6,0)),""),"Sim","Nao"))))))</f>
        <v/>
      </c>
      <c r="T4123" s="156"/>
      <c r="U4123" s="214" t="str">
        <f t="shared" si="326"/>
        <v/>
      </c>
      <c r="V4123" s="212" t="s">
        <v>50</v>
      </c>
      <c r="W4123" s="100" t="s">
        <v>168</v>
      </c>
      <c r="X4123" s="100" t="s">
        <v>169</v>
      </c>
      <c r="Y4123" s="101" t="s">
        <v>170</v>
      </c>
      <c r="Z4123" s="101" t="s">
        <v>171</v>
      </c>
      <c r="AA4123" s="101" t="s">
        <v>50</v>
      </c>
      <c r="AB4123" s="101" t="s">
        <v>172</v>
      </c>
      <c r="AC4123" s="102" t="s">
        <v>173</v>
      </c>
    </row>
    <row r="4124" spans="1:29" ht="25.5" customHeight="1" x14ac:dyDescent="0.35">
      <c r="A4124" s="392"/>
      <c r="B4124" s="393"/>
      <c r="C4124" s="99" t="str">
        <f>IF(B4124="","",IF(NOT(ISNUMBER(B4124)),"DATA_PC invalida",IF(NOT(ISNUMBER(parametros!$C$2)),"Fora dos ciclos",IF(OR(B4124&lt;parametros!$C$2,(YEAR(B4124)-YEAR(parametros!$C$2))*12+MONTH(B4124)-MONTH(parametros!$C$2)&gt;59),"Fora dos ciclos","C"&amp;INT(((YEAR(B4124)-YEAR(parametros!$C$2))*12+MONTH(B4124)-MONTH(parametros!$C$2))/12)))))</f>
        <v/>
      </c>
      <c r="D4124" s="394"/>
      <c r="E4124" s="78" t="str">
        <f>IF(C4124="","",IFERROR(VLOOKUP(C4124,parametros!$A$11:$E$15,5,0),""))</f>
        <v/>
      </c>
      <c r="F4124" s="79" t="str">
        <f t="shared" si="322"/>
        <v/>
      </c>
      <c r="G4124" s="395"/>
      <c r="H4124" s="91">
        <f t="shared" si="323"/>
        <v>0</v>
      </c>
      <c r="I4124" s="91" t="str">
        <f t="shared" si="324"/>
        <v/>
      </c>
      <c r="J4124" s="91" t="str">
        <f t="shared" si="325"/>
        <v/>
      </c>
      <c r="K4124" s="92" t="str">
        <f>IF(AND(A4124="",B4124="",D4124="",G4124=""),"",IF(AND(A4124&lt;&gt;"",COUNTIF($A$2:$A$5001,A4124)&gt;1),"NUMERO_PC duplicado",IF(B4124="","DATA_PC vazia",IF(NOT(ISNUMBER(B4124)),"DATA_PC invalida",IF(OR(C4124="",C4124="Fora dos ciclos"),"CICLO_PC nao identificado",IF(OR(D4124="",D4124=0),"VALOR_PC vazio ou zero",IF(AND(G4124&lt;&gt;"Sim",G4124&lt;&gt;"Nao",G4124&lt;&gt;""),"PC_PAGO_A_CONTRATADA invalido",IF(AND(C4124&lt;&gt;"C0",IFERROR(INDEX(parametros!$A$2:$A$6,MATCH(C4124,parametros!$B$2:$B$6,0)),"")="Sim",IFERROR(INDEX(parametros!$H$2:$H$6,MATCH(C4124,parametros!$B$2:$B$6,0)),"")=""),"INICIO_EFEITO ausente: PC "&amp;A4124&amp;" - "&amp;C4124,IF(L4124="","EFEITO_PC nao calculado: PC "&amp;A4124&amp;" - "&amp;C4124,"OK")))))))))</f>
        <v/>
      </c>
      <c r="L4124" s="92" t="str">
        <f>IF(AND(A4124="",B4124="",D4124="",G4124=""),"",IF(OR(B4124="",NOT(ISNUMBER(B4124)),C4124="",C4124="Fora dos ciclos"),"",IF(C4124="C0","Nao",IF(IFERROR(INDEX(parametros!$A$2:$A$6,MATCH(C4124,parametros!$B$2:$B$6,0)),"")&lt;&gt;"Sim","Nao",IF(IFERROR(INDEX(parametros!$H$2:$H$6,MATCH(C4124,parametros!$B$2:$B$6,0)),"")="","",IF(B4124&gt;=IFERROR(INDEX(parametros!$H$2:$H$6,MATCH(C4124,parametros!$B$2:$B$6,0)),""),"Sim","Nao"))))))</f>
        <v/>
      </c>
      <c r="T4124" s="156"/>
      <c r="U4124" s="214" t="str">
        <f t="shared" si="326"/>
        <v/>
      </c>
      <c r="V4124" s="212" t="s">
        <v>50</v>
      </c>
      <c r="W4124" s="100" t="s">
        <v>168</v>
      </c>
      <c r="X4124" s="100" t="s">
        <v>169</v>
      </c>
      <c r="Y4124" s="101" t="s">
        <v>170</v>
      </c>
      <c r="Z4124" s="101" t="s">
        <v>171</v>
      </c>
      <c r="AA4124" s="101" t="s">
        <v>50</v>
      </c>
      <c r="AB4124" s="101" t="s">
        <v>172</v>
      </c>
      <c r="AC4124" s="102" t="s">
        <v>173</v>
      </c>
    </row>
    <row r="4125" spans="1:29" ht="25.5" customHeight="1" x14ac:dyDescent="0.35">
      <c r="A4125" s="392"/>
      <c r="B4125" s="393"/>
      <c r="C4125" s="99" t="str">
        <f>IF(B4125="","",IF(NOT(ISNUMBER(B4125)),"DATA_PC invalida",IF(NOT(ISNUMBER(parametros!$C$2)),"Fora dos ciclos",IF(OR(B4125&lt;parametros!$C$2,(YEAR(B4125)-YEAR(parametros!$C$2))*12+MONTH(B4125)-MONTH(parametros!$C$2)&gt;59),"Fora dos ciclos","C"&amp;INT(((YEAR(B4125)-YEAR(parametros!$C$2))*12+MONTH(B4125)-MONTH(parametros!$C$2))/12)))))</f>
        <v/>
      </c>
      <c r="D4125" s="394"/>
      <c r="E4125" s="78" t="str">
        <f>IF(C4125="","",IFERROR(VLOOKUP(C4125,parametros!$A$11:$E$15,5,0),""))</f>
        <v/>
      </c>
      <c r="F4125" s="79" t="str">
        <f t="shared" si="322"/>
        <v/>
      </c>
      <c r="G4125" s="395"/>
      <c r="H4125" s="91">
        <f t="shared" si="323"/>
        <v>0</v>
      </c>
      <c r="I4125" s="91" t="str">
        <f t="shared" si="324"/>
        <v/>
      </c>
      <c r="J4125" s="91" t="str">
        <f t="shared" si="325"/>
        <v/>
      </c>
      <c r="K4125" s="92" t="str">
        <f>IF(AND(A4125="",B4125="",D4125="",G4125=""),"",IF(AND(A4125&lt;&gt;"",COUNTIF($A$2:$A$5001,A4125)&gt;1),"NUMERO_PC duplicado",IF(B4125="","DATA_PC vazia",IF(NOT(ISNUMBER(B4125)),"DATA_PC invalida",IF(OR(C4125="",C4125="Fora dos ciclos"),"CICLO_PC nao identificado",IF(OR(D4125="",D4125=0),"VALOR_PC vazio ou zero",IF(AND(G4125&lt;&gt;"Sim",G4125&lt;&gt;"Nao",G4125&lt;&gt;""),"PC_PAGO_A_CONTRATADA invalido",IF(AND(C4125&lt;&gt;"C0",IFERROR(INDEX(parametros!$A$2:$A$6,MATCH(C4125,parametros!$B$2:$B$6,0)),"")="Sim",IFERROR(INDEX(parametros!$H$2:$H$6,MATCH(C4125,parametros!$B$2:$B$6,0)),"")=""),"INICIO_EFEITO ausente: PC "&amp;A4125&amp;" - "&amp;C4125,IF(L4125="","EFEITO_PC nao calculado: PC "&amp;A4125&amp;" - "&amp;C4125,"OK")))))))))</f>
        <v/>
      </c>
      <c r="L4125" s="92" t="str">
        <f>IF(AND(A4125="",B4125="",D4125="",G4125=""),"",IF(OR(B4125="",NOT(ISNUMBER(B4125)),C4125="",C4125="Fora dos ciclos"),"",IF(C4125="C0","Nao",IF(IFERROR(INDEX(parametros!$A$2:$A$6,MATCH(C4125,parametros!$B$2:$B$6,0)),"")&lt;&gt;"Sim","Nao",IF(IFERROR(INDEX(parametros!$H$2:$H$6,MATCH(C4125,parametros!$B$2:$B$6,0)),"")="","",IF(B4125&gt;=IFERROR(INDEX(parametros!$H$2:$H$6,MATCH(C4125,parametros!$B$2:$B$6,0)),""),"Sim","Nao"))))))</f>
        <v/>
      </c>
      <c r="T4125" s="156"/>
      <c r="U4125" s="214" t="str">
        <f t="shared" si="326"/>
        <v/>
      </c>
      <c r="V4125" s="212" t="s">
        <v>50</v>
      </c>
      <c r="W4125" s="100" t="s">
        <v>168</v>
      </c>
      <c r="X4125" s="100" t="s">
        <v>169</v>
      </c>
      <c r="Y4125" s="101" t="s">
        <v>170</v>
      </c>
      <c r="Z4125" s="101" t="s">
        <v>171</v>
      </c>
      <c r="AA4125" s="101" t="s">
        <v>50</v>
      </c>
      <c r="AB4125" s="101" t="s">
        <v>172</v>
      </c>
      <c r="AC4125" s="102" t="s">
        <v>173</v>
      </c>
    </row>
    <row r="4126" spans="1:29" ht="25.5" customHeight="1" x14ac:dyDescent="0.35">
      <c r="A4126" s="392"/>
      <c r="B4126" s="393"/>
      <c r="C4126" s="99" t="str">
        <f>IF(B4126="","",IF(NOT(ISNUMBER(B4126)),"DATA_PC invalida",IF(NOT(ISNUMBER(parametros!$C$2)),"Fora dos ciclos",IF(OR(B4126&lt;parametros!$C$2,(YEAR(B4126)-YEAR(parametros!$C$2))*12+MONTH(B4126)-MONTH(parametros!$C$2)&gt;59),"Fora dos ciclos","C"&amp;INT(((YEAR(B4126)-YEAR(parametros!$C$2))*12+MONTH(B4126)-MONTH(parametros!$C$2))/12)))))</f>
        <v/>
      </c>
      <c r="D4126" s="394"/>
      <c r="E4126" s="78" t="str">
        <f>IF(C4126="","",IFERROR(VLOOKUP(C4126,parametros!$A$11:$E$15,5,0),""))</f>
        <v/>
      </c>
      <c r="F4126" s="79" t="str">
        <f t="shared" si="322"/>
        <v/>
      </c>
      <c r="G4126" s="395"/>
      <c r="H4126" s="91">
        <f t="shared" si="323"/>
        <v>0</v>
      </c>
      <c r="I4126" s="91" t="str">
        <f t="shared" si="324"/>
        <v/>
      </c>
      <c r="J4126" s="91" t="str">
        <f t="shared" si="325"/>
        <v/>
      </c>
      <c r="K4126" s="92" t="str">
        <f>IF(AND(A4126="",B4126="",D4126="",G4126=""),"",IF(AND(A4126&lt;&gt;"",COUNTIF($A$2:$A$5001,A4126)&gt;1),"NUMERO_PC duplicado",IF(B4126="","DATA_PC vazia",IF(NOT(ISNUMBER(B4126)),"DATA_PC invalida",IF(OR(C4126="",C4126="Fora dos ciclos"),"CICLO_PC nao identificado",IF(OR(D4126="",D4126=0),"VALOR_PC vazio ou zero",IF(AND(G4126&lt;&gt;"Sim",G4126&lt;&gt;"Nao",G4126&lt;&gt;""),"PC_PAGO_A_CONTRATADA invalido",IF(AND(C4126&lt;&gt;"C0",IFERROR(INDEX(parametros!$A$2:$A$6,MATCH(C4126,parametros!$B$2:$B$6,0)),"")="Sim",IFERROR(INDEX(parametros!$H$2:$H$6,MATCH(C4126,parametros!$B$2:$B$6,0)),"")=""),"INICIO_EFEITO ausente: PC "&amp;A4126&amp;" - "&amp;C4126,IF(L4126="","EFEITO_PC nao calculado: PC "&amp;A4126&amp;" - "&amp;C4126,"OK")))))))))</f>
        <v/>
      </c>
      <c r="L4126" s="92" t="str">
        <f>IF(AND(A4126="",B4126="",D4126="",G4126=""),"",IF(OR(B4126="",NOT(ISNUMBER(B4126)),C4126="",C4126="Fora dos ciclos"),"",IF(C4126="C0","Nao",IF(IFERROR(INDEX(parametros!$A$2:$A$6,MATCH(C4126,parametros!$B$2:$B$6,0)),"")&lt;&gt;"Sim","Nao",IF(IFERROR(INDEX(parametros!$H$2:$H$6,MATCH(C4126,parametros!$B$2:$B$6,0)),"")="","",IF(B4126&gt;=IFERROR(INDEX(parametros!$H$2:$H$6,MATCH(C4126,parametros!$B$2:$B$6,0)),""),"Sim","Nao"))))))</f>
        <v/>
      </c>
      <c r="T4126" s="156"/>
      <c r="U4126" s="214" t="str">
        <f t="shared" si="326"/>
        <v/>
      </c>
      <c r="V4126" s="212" t="s">
        <v>50</v>
      </c>
      <c r="W4126" s="100" t="s">
        <v>168</v>
      </c>
      <c r="X4126" s="100" t="s">
        <v>169</v>
      </c>
      <c r="Y4126" s="101" t="s">
        <v>170</v>
      </c>
      <c r="Z4126" s="101" t="s">
        <v>171</v>
      </c>
      <c r="AA4126" s="101" t="s">
        <v>50</v>
      </c>
      <c r="AB4126" s="101" t="s">
        <v>172</v>
      </c>
      <c r="AC4126" s="102" t="s">
        <v>173</v>
      </c>
    </row>
    <row r="4127" spans="1:29" ht="25.5" customHeight="1" x14ac:dyDescent="0.35">
      <c r="A4127" s="392"/>
      <c r="B4127" s="393"/>
      <c r="C4127" s="99" t="str">
        <f>IF(B4127="","",IF(NOT(ISNUMBER(B4127)),"DATA_PC invalida",IF(NOT(ISNUMBER(parametros!$C$2)),"Fora dos ciclos",IF(OR(B4127&lt;parametros!$C$2,(YEAR(B4127)-YEAR(parametros!$C$2))*12+MONTH(B4127)-MONTH(parametros!$C$2)&gt;59),"Fora dos ciclos","C"&amp;INT(((YEAR(B4127)-YEAR(parametros!$C$2))*12+MONTH(B4127)-MONTH(parametros!$C$2))/12)))))</f>
        <v/>
      </c>
      <c r="D4127" s="394"/>
      <c r="E4127" s="78" t="str">
        <f>IF(C4127="","",IFERROR(VLOOKUP(C4127,parametros!$A$11:$E$15,5,0),""))</f>
        <v/>
      </c>
      <c r="F4127" s="79" t="str">
        <f t="shared" si="322"/>
        <v/>
      </c>
      <c r="G4127" s="395"/>
      <c r="H4127" s="91">
        <f t="shared" si="323"/>
        <v>0</v>
      </c>
      <c r="I4127" s="91" t="str">
        <f t="shared" si="324"/>
        <v/>
      </c>
      <c r="J4127" s="91" t="str">
        <f t="shared" si="325"/>
        <v/>
      </c>
      <c r="K4127" s="92" t="str">
        <f>IF(AND(A4127="",B4127="",D4127="",G4127=""),"",IF(AND(A4127&lt;&gt;"",COUNTIF($A$2:$A$5001,A4127)&gt;1),"NUMERO_PC duplicado",IF(B4127="","DATA_PC vazia",IF(NOT(ISNUMBER(B4127)),"DATA_PC invalida",IF(OR(C4127="",C4127="Fora dos ciclos"),"CICLO_PC nao identificado",IF(OR(D4127="",D4127=0),"VALOR_PC vazio ou zero",IF(AND(G4127&lt;&gt;"Sim",G4127&lt;&gt;"Nao",G4127&lt;&gt;""),"PC_PAGO_A_CONTRATADA invalido",IF(AND(C4127&lt;&gt;"C0",IFERROR(INDEX(parametros!$A$2:$A$6,MATCH(C4127,parametros!$B$2:$B$6,0)),"")="Sim",IFERROR(INDEX(parametros!$H$2:$H$6,MATCH(C4127,parametros!$B$2:$B$6,0)),"")=""),"INICIO_EFEITO ausente: PC "&amp;A4127&amp;" - "&amp;C4127,IF(L4127="","EFEITO_PC nao calculado: PC "&amp;A4127&amp;" - "&amp;C4127,"OK")))))))))</f>
        <v/>
      </c>
      <c r="L4127" s="92" t="str">
        <f>IF(AND(A4127="",B4127="",D4127="",G4127=""),"",IF(OR(B4127="",NOT(ISNUMBER(B4127)),C4127="",C4127="Fora dos ciclos"),"",IF(C4127="C0","Nao",IF(IFERROR(INDEX(parametros!$A$2:$A$6,MATCH(C4127,parametros!$B$2:$B$6,0)),"")&lt;&gt;"Sim","Nao",IF(IFERROR(INDEX(parametros!$H$2:$H$6,MATCH(C4127,parametros!$B$2:$B$6,0)),"")="","",IF(B4127&gt;=IFERROR(INDEX(parametros!$H$2:$H$6,MATCH(C4127,parametros!$B$2:$B$6,0)),""),"Sim","Nao"))))))</f>
        <v/>
      </c>
      <c r="T4127" s="156"/>
      <c r="U4127" s="214" t="str">
        <f t="shared" si="326"/>
        <v/>
      </c>
      <c r="V4127" s="212" t="s">
        <v>50</v>
      </c>
      <c r="W4127" s="100" t="s">
        <v>168</v>
      </c>
      <c r="X4127" s="100" t="s">
        <v>169</v>
      </c>
      <c r="Y4127" s="101" t="s">
        <v>170</v>
      </c>
      <c r="Z4127" s="101" t="s">
        <v>171</v>
      </c>
      <c r="AA4127" s="101" t="s">
        <v>50</v>
      </c>
      <c r="AB4127" s="101" t="s">
        <v>172</v>
      </c>
      <c r="AC4127" s="102" t="s">
        <v>173</v>
      </c>
    </row>
    <row r="4128" spans="1:29" ht="25.5" customHeight="1" x14ac:dyDescent="0.35">
      <c r="A4128" s="392"/>
      <c r="B4128" s="393"/>
      <c r="C4128" s="99" t="str">
        <f>IF(B4128="","",IF(NOT(ISNUMBER(B4128)),"DATA_PC invalida",IF(NOT(ISNUMBER(parametros!$C$2)),"Fora dos ciclos",IF(OR(B4128&lt;parametros!$C$2,(YEAR(B4128)-YEAR(parametros!$C$2))*12+MONTH(B4128)-MONTH(parametros!$C$2)&gt;59),"Fora dos ciclos","C"&amp;INT(((YEAR(B4128)-YEAR(parametros!$C$2))*12+MONTH(B4128)-MONTH(parametros!$C$2))/12)))))</f>
        <v/>
      </c>
      <c r="D4128" s="394"/>
      <c r="E4128" s="78" t="str">
        <f>IF(C4128="","",IFERROR(VLOOKUP(C4128,parametros!$A$11:$E$15,5,0),""))</f>
        <v/>
      </c>
      <c r="F4128" s="79" t="str">
        <f t="shared" si="322"/>
        <v/>
      </c>
      <c r="G4128" s="395"/>
      <c r="H4128" s="91">
        <f t="shared" si="323"/>
        <v>0</v>
      </c>
      <c r="I4128" s="91" t="str">
        <f t="shared" si="324"/>
        <v/>
      </c>
      <c r="J4128" s="91" t="str">
        <f t="shared" si="325"/>
        <v/>
      </c>
      <c r="K4128" s="92" t="str">
        <f>IF(AND(A4128="",B4128="",D4128="",G4128=""),"",IF(AND(A4128&lt;&gt;"",COUNTIF($A$2:$A$5001,A4128)&gt;1),"NUMERO_PC duplicado",IF(B4128="","DATA_PC vazia",IF(NOT(ISNUMBER(B4128)),"DATA_PC invalida",IF(OR(C4128="",C4128="Fora dos ciclos"),"CICLO_PC nao identificado",IF(OR(D4128="",D4128=0),"VALOR_PC vazio ou zero",IF(AND(G4128&lt;&gt;"Sim",G4128&lt;&gt;"Nao",G4128&lt;&gt;""),"PC_PAGO_A_CONTRATADA invalido",IF(AND(C4128&lt;&gt;"C0",IFERROR(INDEX(parametros!$A$2:$A$6,MATCH(C4128,parametros!$B$2:$B$6,0)),"")="Sim",IFERROR(INDEX(parametros!$H$2:$H$6,MATCH(C4128,parametros!$B$2:$B$6,0)),"")=""),"INICIO_EFEITO ausente: PC "&amp;A4128&amp;" - "&amp;C4128,IF(L4128="","EFEITO_PC nao calculado: PC "&amp;A4128&amp;" - "&amp;C4128,"OK")))))))))</f>
        <v/>
      </c>
      <c r="L4128" s="92" t="str">
        <f>IF(AND(A4128="",B4128="",D4128="",G4128=""),"",IF(OR(B4128="",NOT(ISNUMBER(B4128)),C4128="",C4128="Fora dos ciclos"),"",IF(C4128="C0","Nao",IF(IFERROR(INDEX(parametros!$A$2:$A$6,MATCH(C4128,parametros!$B$2:$B$6,0)),"")&lt;&gt;"Sim","Nao",IF(IFERROR(INDEX(parametros!$H$2:$H$6,MATCH(C4128,parametros!$B$2:$B$6,0)),"")="","",IF(B4128&gt;=IFERROR(INDEX(parametros!$H$2:$H$6,MATCH(C4128,parametros!$B$2:$B$6,0)),""),"Sim","Nao"))))))</f>
        <v/>
      </c>
      <c r="T4128" s="156"/>
      <c r="U4128" s="214" t="str">
        <f t="shared" si="326"/>
        <v/>
      </c>
      <c r="V4128" s="212" t="s">
        <v>50</v>
      </c>
      <c r="W4128" s="100" t="s">
        <v>168</v>
      </c>
      <c r="X4128" s="100" t="s">
        <v>169</v>
      </c>
      <c r="Y4128" s="101" t="s">
        <v>170</v>
      </c>
      <c r="Z4128" s="101" t="s">
        <v>171</v>
      </c>
      <c r="AA4128" s="101" t="s">
        <v>50</v>
      </c>
      <c r="AB4128" s="101" t="s">
        <v>172</v>
      </c>
      <c r="AC4128" s="102" t="s">
        <v>173</v>
      </c>
    </row>
    <row r="4129" spans="1:29" ht="25.5" customHeight="1" x14ac:dyDescent="0.35">
      <c r="A4129" s="392"/>
      <c r="B4129" s="393"/>
      <c r="C4129" s="99" t="str">
        <f>IF(B4129="","",IF(NOT(ISNUMBER(B4129)),"DATA_PC invalida",IF(NOT(ISNUMBER(parametros!$C$2)),"Fora dos ciclos",IF(OR(B4129&lt;parametros!$C$2,(YEAR(B4129)-YEAR(parametros!$C$2))*12+MONTH(B4129)-MONTH(parametros!$C$2)&gt;59),"Fora dos ciclos","C"&amp;INT(((YEAR(B4129)-YEAR(parametros!$C$2))*12+MONTH(B4129)-MONTH(parametros!$C$2))/12)))))</f>
        <v/>
      </c>
      <c r="D4129" s="394"/>
      <c r="E4129" s="78" t="str">
        <f>IF(C4129="","",IFERROR(VLOOKUP(C4129,parametros!$A$11:$E$15,5,0),""))</f>
        <v/>
      </c>
      <c r="F4129" s="79" t="str">
        <f t="shared" si="322"/>
        <v/>
      </c>
      <c r="G4129" s="395"/>
      <c r="H4129" s="91">
        <f t="shared" si="323"/>
        <v>0</v>
      </c>
      <c r="I4129" s="91" t="str">
        <f t="shared" si="324"/>
        <v/>
      </c>
      <c r="J4129" s="91" t="str">
        <f t="shared" si="325"/>
        <v/>
      </c>
      <c r="K4129" s="92" t="str">
        <f>IF(AND(A4129="",B4129="",D4129="",G4129=""),"",IF(AND(A4129&lt;&gt;"",COUNTIF($A$2:$A$5001,A4129)&gt;1),"NUMERO_PC duplicado",IF(B4129="","DATA_PC vazia",IF(NOT(ISNUMBER(B4129)),"DATA_PC invalida",IF(OR(C4129="",C4129="Fora dos ciclos"),"CICLO_PC nao identificado",IF(OR(D4129="",D4129=0),"VALOR_PC vazio ou zero",IF(AND(G4129&lt;&gt;"Sim",G4129&lt;&gt;"Nao",G4129&lt;&gt;""),"PC_PAGO_A_CONTRATADA invalido",IF(AND(C4129&lt;&gt;"C0",IFERROR(INDEX(parametros!$A$2:$A$6,MATCH(C4129,parametros!$B$2:$B$6,0)),"")="Sim",IFERROR(INDEX(parametros!$H$2:$H$6,MATCH(C4129,parametros!$B$2:$B$6,0)),"")=""),"INICIO_EFEITO ausente: PC "&amp;A4129&amp;" - "&amp;C4129,IF(L4129="","EFEITO_PC nao calculado: PC "&amp;A4129&amp;" - "&amp;C4129,"OK")))))))))</f>
        <v/>
      </c>
      <c r="L4129" s="92" t="str">
        <f>IF(AND(A4129="",B4129="",D4129="",G4129=""),"",IF(OR(B4129="",NOT(ISNUMBER(B4129)),C4129="",C4129="Fora dos ciclos"),"",IF(C4129="C0","Nao",IF(IFERROR(INDEX(parametros!$A$2:$A$6,MATCH(C4129,parametros!$B$2:$B$6,0)),"")&lt;&gt;"Sim","Nao",IF(IFERROR(INDEX(parametros!$H$2:$H$6,MATCH(C4129,parametros!$B$2:$B$6,0)),"")="","",IF(B4129&gt;=IFERROR(INDEX(parametros!$H$2:$H$6,MATCH(C4129,parametros!$B$2:$B$6,0)),""),"Sim","Nao"))))))</f>
        <v/>
      </c>
      <c r="T4129" s="156"/>
      <c r="U4129" s="214" t="str">
        <f t="shared" si="326"/>
        <v/>
      </c>
      <c r="V4129" s="212" t="s">
        <v>50</v>
      </c>
      <c r="W4129" s="100" t="s">
        <v>168</v>
      </c>
      <c r="X4129" s="100" t="s">
        <v>169</v>
      </c>
      <c r="Y4129" s="101" t="s">
        <v>170</v>
      </c>
      <c r="Z4129" s="101" t="s">
        <v>171</v>
      </c>
      <c r="AA4129" s="101" t="s">
        <v>50</v>
      </c>
      <c r="AB4129" s="101" t="s">
        <v>172</v>
      </c>
      <c r="AC4129" s="102" t="s">
        <v>173</v>
      </c>
    </row>
    <row r="4130" spans="1:29" ht="25.5" customHeight="1" x14ac:dyDescent="0.35">
      <c r="A4130" s="392"/>
      <c r="B4130" s="393"/>
      <c r="C4130" s="99" t="str">
        <f>IF(B4130="","",IF(NOT(ISNUMBER(B4130)),"DATA_PC invalida",IF(NOT(ISNUMBER(parametros!$C$2)),"Fora dos ciclos",IF(OR(B4130&lt;parametros!$C$2,(YEAR(B4130)-YEAR(parametros!$C$2))*12+MONTH(B4130)-MONTH(parametros!$C$2)&gt;59),"Fora dos ciclos","C"&amp;INT(((YEAR(B4130)-YEAR(parametros!$C$2))*12+MONTH(B4130)-MONTH(parametros!$C$2))/12)))))</f>
        <v/>
      </c>
      <c r="D4130" s="394"/>
      <c r="E4130" s="78" t="str">
        <f>IF(C4130="","",IFERROR(VLOOKUP(C4130,parametros!$A$11:$E$15,5,0),""))</f>
        <v/>
      </c>
      <c r="F4130" s="79" t="str">
        <f t="shared" si="322"/>
        <v/>
      </c>
      <c r="G4130" s="395"/>
      <c r="H4130" s="91">
        <f t="shared" si="323"/>
        <v>0</v>
      </c>
      <c r="I4130" s="91" t="str">
        <f t="shared" si="324"/>
        <v/>
      </c>
      <c r="J4130" s="91" t="str">
        <f t="shared" si="325"/>
        <v/>
      </c>
      <c r="K4130" s="92" t="str">
        <f>IF(AND(A4130="",B4130="",D4130="",G4130=""),"",IF(AND(A4130&lt;&gt;"",COUNTIF($A$2:$A$5001,A4130)&gt;1),"NUMERO_PC duplicado",IF(B4130="","DATA_PC vazia",IF(NOT(ISNUMBER(B4130)),"DATA_PC invalida",IF(OR(C4130="",C4130="Fora dos ciclos"),"CICLO_PC nao identificado",IF(OR(D4130="",D4130=0),"VALOR_PC vazio ou zero",IF(AND(G4130&lt;&gt;"Sim",G4130&lt;&gt;"Nao",G4130&lt;&gt;""),"PC_PAGO_A_CONTRATADA invalido",IF(AND(C4130&lt;&gt;"C0",IFERROR(INDEX(parametros!$A$2:$A$6,MATCH(C4130,parametros!$B$2:$B$6,0)),"")="Sim",IFERROR(INDEX(parametros!$H$2:$H$6,MATCH(C4130,parametros!$B$2:$B$6,0)),"")=""),"INICIO_EFEITO ausente: PC "&amp;A4130&amp;" - "&amp;C4130,IF(L4130="","EFEITO_PC nao calculado: PC "&amp;A4130&amp;" - "&amp;C4130,"OK")))))))))</f>
        <v/>
      </c>
      <c r="L4130" s="92" t="str">
        <f>IF(AND(A4130="",B4130="",D4130="",G4130=""),"",IF(OR(B4130="",NOT(ISNUMBER(B4130)),C4130="",C4130="Fora dos ciclos"),"",IF(C4130="C0","Nao",IF(IFERROR(INDEX(parametros!$A$2:$A$6,MATCH(C4130,parametros!$B$2:$B$6,0)),"")&lt;&gt;"Sim","Nao",IF(IFERROR(INDEX(parametros!$H$2:$H$6,MATCH(C4130,parametros!$B$2:$B$6,0)),"")="","",IF(B4130&gt;=IFERROR(INDEX(parametros!$H$2:$H$6,MATCH(C4130,parametros!$B$2:$B$6,0)),""),"Sim","Nao"))))))</f>
        <v/>
      </c>
      <c r="T4130" s="156"/>
      <c r="U4130" s="214" t="str">
        <f t="shared" si="326"/>
        <v/>
      </c>
      <c r="V4130" s="212" t="s">
        <v>50</v>
      </c>
      <c r="W4130" s="100" t="s">
        <v>168</v>
      </c>
      <c r="X4130" s="100" t="s">
        <v>169</v>
      </c>
      <c r="Y4130" s="101" t="s">
        <v>170</v>
      </c>
      <c r="Z4130" s="101" t="s">
        <v>171</v>
      </c>
      <c r="AA4130" s="101" t="s">
        <v>50</v>
      </c>
      <c r="AB4130" s="101" t="s">
        <v>172</v>
      </c>
      <c r="AC4130" s="102" t="s">
        <v>173</v>
      </c>
    </row>
    <row r="4131" spans="1:29" ht="25.5" customHeight="1" x14ac:dyDescent="0.35">
      <c r="A4131" s="392"/>
      <c r="B4131" s="393"/>
      <c r="C4131" s="99" t="str">
        <f>IF(B4131="","",IF(NOT(ISNUMBER(B4131)),"DATA_PC invalida",IF(NOT(ISNUMBER(parametros!$C$2)),"Fora dos ciclos",IF(OR(B4131&lt;parametros!$C$2,(YEAR(B4131)-YEAR(parametros!$C$2))*12+MONTH(B4131)-MONTH(parametros!$C$2)&gt;59),"Fora dos ciclos","C"&amp;INT(((YEAR(B4131)-YEAR(parametros!$C$2))*12+MONTH(B4131)-MONTH(parametros!$C$2))/12)))))</f>
        <v/>
      </c>
      <c r="D4131" s="394"/>
      <c r="E4131" s="78" t="str">
        <f>IF(C4131="","",IFERROR(VLOOKUP(C4131,parametros!$A$11:$E$15,5,0),""))</f>
        <v/>
      </c>
      <c r="F4131" s="79" t="str">
        <f t="shared" si="322"/>
        <v/>
      </c>
      <c r="G4131" s="395"/>
      <c r="H4131" s="91">
        <f t="shared" si="323"/>
        <v>0</v>
      </c>
      <c r="I4131" s="91" t="str">
        <f t="shared" si="324"/>
        <v/>
      </c>
      <c r="J4131" s="91" t="str">
        <f t="shared" si="325"/>
        <v/>
      </c>
      <c r="K4131" s="92" t="str">
        <f>IF(AND(A4131="",B4131="",D4131="",G4131=""),"",IF(AND(A4131&lt;&gt;"",COUNTIF($A$2:$A$5001,A4131)&gt;1),"NUMERO_PC duplicado",IF(B4131="","DATA_PC vazia",IF(NOT(ISNUMBER(B4131)),"DATA_PC invalida",IF(OR(C4131="",C4131="Fora dos ciclos"),"CICLO_PC nao identificado",IF(OR(D4131="",D4131=0),"VALOR_PC vazio ou zero",IF(AND(G4131&lt;&gt;"Sim",G4131&lt;&gt;"Nao",G4131&lt;&gt;""),"PC_PAGO_A_CONTRATADA invalido",IF(AND(C4131&lt;&gt;"C0",IFERROR(INDEX(parametros!$A$2:$A$6,MATCH(C4131,parametros!$B$2:$B$6,0)),"")="Sim",IFERROR(INDEX(parametros!$H$2:$H$6,MATCH(C4131,parametros!$B$2:$B$6,0)),"")=""),"INICIO_EFEITO ausente: PC "&amp;A4131&amp;" - "&amp;C4131,IF(L4131="","EFEITO_PC nao calculado: PC "&amp;A4131&amp;" - "&amp;C4131,"OK")))))))))</f>
        <v/>
      </c>
      <c r="L4131" s="92" t="str">
        <f>IF(AND(A4131="",B4131="",D4131="",G4131=""),"",IF(OR(B4131="",NOT(ISNUMBER(B4131)),C4131="",C4131="Fora dos ciclos"),"",IF(C4131="C0","Nao",IF(IFERROR(INDEX(parametros!$A$2:$A$6,MATCH(C4131,parametros!$B$2:$B$6,0)),"")&lt;&gt;"Sim","Nao",IF(IFERROR(INDEX(parametros!$H$2:$H$6,MATCH(C4131,parametros!$B$2:$B$6,0)),"")="","",IF(B4131&gt;=IFERROR(INDEX(parametros!$H$2:$H$6,MATCH(C4131,parametros!$B$2:$B$6,0)),""),"Sim","Nao"))))))</f>
        <v/>
      </c>
      <c r="T4131" s="156"/>
      <c r="U4131" s="214" t="str">
        <f t="shared" si="326"/>
        <v/>
      </c>
      <c r="V4131" s="212" t="s">
        <v>50</v>
      </c>
      <c r="W4131" s="100" t="s">
        <v>168</v>
      </c>
      <c r="X4131" s="100" t="s">
        <v>169</v>
      </c>
      <c r="Y4131" s="101" t="s">
        <v>170</v>
      </c>
      <c r="Z4131" s="101" t="s">
        <v>171</v>
      </c>
      <c r="AA4131" s="101" t="s">
        <v>50</v>
      </c>
      <c r="AB4131" s="101" t="s">
        <v>172</v>
      </c>
      <c r="AC4131" s="102" t="s">
        <v>173</v>
      </c>
    </row>
    <row r="4132" spans="1:29" ht="25.5" customHeight="1" x14ac:dyDescent="0.35">
      <c r="A4132" s="392"/>
      <c r="B4132" s="393"/>
      <c r="C4132" s="99" t="str">
        <f>IF(B4132="","",IF(NOT(ISNUMBER(B4132)),"DATA_PC invalida",IF(NOT(ISNUMBER(parametros!$C$2)),"Fora dos ciclos",IF(OR(B4132&lt;parametros!$C$2,(YEAR(B4132)-YEAR(parametros!$C$2))*12+MONTH(B4132)-MONTH(parametros!$C$2)&gt;59),"Fora dos ciclos","C"&amp;INT(((YEAR(B4132)-YEAR(parametros!$C$2))*12+MONTH(B4132)-MONTH(parametros!$C$2))/12)))))</f>
        <v/>
      </c>
      <c r="D4132" s="394"/>
      <c r="E4132" s="78" t="str">
        <f>IF(C4132="","",IFERROR(VLOOKUP(C4132,parametros!$A$11:$E$15,5,0),""))</f>
        <v/>
      </c>
      <c r="F4132" s="79" t="str">
        <f t="shared" si="322"/>
        <v/>
      </c>
      <c r="G4132" s="395"/>
      <c r="H4132" s="91">
        <f t="shared" si="323"/>
        <v>0</v>
      </c>
      <c r="I4132" s="91" t="str">
        <f t="shared" si="324"/>
        <v/>
      </c>
      <c r="J4132" s="91" t="str">
        <f t="shared" si="325"/>
        <v/>
      </c>
      <c r="K4132" s="92" t="str">
        <f>IF(AND(A4132="",B4132="",D4132="",G4132=""),"",IF(AND(A4132&lt;&gt;"",COUNTIF($A$2:$A$5001,A4132)&gt;1),"NUMERO_PC duplicado",IF(B4132="","DATA_PC vazia",IF(NOT(ISNUMBER(B4132)),"DATA_PC invalida",IF(OR(C4132="",C4132="Fora dos ciclos"),"CICLO_PC nao identificado",IF(OR(D4132="",D4132=0),"VALOR_PC vazio ou zero",IF(AND(G4132&lt;&gt;"Sim",G4132&lt;&gt;"Nao",G4132&lt;&gt;""),"PC_PAGO_A_CONTRATADA invalido",IF(AND(C4132&lt;&gt;"C0",IFERROR(INDEX(parametros!$A$2:$A$6,MATCH(C4132,parametros!$B$2:$B$6,0)),"")="Sim",IFERROR(INDEX(parametros!$H$2:$H$6,MATCH(C4132,parametros!$B$2:$B$6,0)),"")=""),"INICIO_EFEITO ausente: PC "&amp;A4132&amp;" - "&amp;C4132,IF(L4132="","EFEITO_PC nao calculado: PC "&amp;A4132&amp;" - "&amp;C4132,"OK")))))))))</f>
        <v/>
      </c>
      <c r="L4132" s="92" t="str">
        <f>IF(AND(A4132="",B4132="",D4132="",G4132=""),"",IF(OR(B4132="",NOT(ISNUMBER(B4132)),C4132="",C4132="Fora dos ciclos"),"",IF(C4132="C0","Nao",IF(IFERROR(INDEX(parametros!$A$2:$A$6,MATCH(C4132,parametros!$B$2:$B$6,0)),"")&lt;&gt;"Sim","Nao",IF(IFERROR(INDEX(parametros!$H$2:$H$6,MATCH(C4132,parametros!$B$2:$B$6,0)),"")="","",IF(B4132&gt;=IFERROR(INDEX(parametros!$H$2:$H$6,MATCH(C4132,parametros!$B$2:$B$6,0)),""),"Sim","Nao"))))))</f>
        <v/>
      </c>
      <c r="T4132" s="156"/>
      <c r="U4132" s="214" t="str">
        <f t="shared" si="326"/>
        <v/>
      </c>
      <c r="V4132" s="212" t="s">
        <v>50</v>
      </c>
      <c r="W4132" s="100" t="s">
        <v>168</v>
      </c>
      <c r="X4132" s="100" t="s">
        <v>169</v>
      </c>
      <c r="Y4132" s="101" t="s">
        <v>170</v>
      </c>
      <c r="Z4132" s="101" t="s">
        <v>171</v>
      </c>
      <c r="AA4132" s="101" t="s">
        <v>50</v>
      </c>
      <c r="AB4132" s="101" t="s">
        <v>172</v>
      </c>
      <c r="AC4132" s="102" t="s">
        <v>173</v>
      </c>
    </row>
    <row r="4133" spans="1:29" ht="25.5" customHeight="1" x14ac:dyDescent="0.35">
      <c r="A4133" s="392"/>
      <c r="B4133" s="393"/>
      <c r="C4133" s="99" t="str">
        <f>IF(B4133="","",IF(NOT(ISNUMBER(B4133)),"DATA_PC invalida",IF(NOT(ISNUMBER(parametros!$C$2)),"Fora dos ciclos",IF(OR(B4133&lt;parametros!$C$2,(YEAR(B4133)-YEAR(parametros!$C$2))*12+MONTH(B4133)-MONTH(parametros!$C$2)&gt;59),"Fora dos ciclos","C"&amp;INT(((YEAR(B4133)-YEAR(parametros!$C$2))*12+MONTH(B4133)-MONTH(parametros!$C$2))/12)))))</f>
        <v/>
      </c>
      <c r="D4133" s="394"/>
      <c r="E4133" s="78" t="str">
        <f>IF(C4133="","",IFERROR(VLOOKUP(C4133,parametros!$A$11:$E$15,5,0),""))</f>
        <v/>
      </c>
      <c r="F4133" s="79" t="str">
        <f t="shared" si="322"/>
        <v/>
      </c>
      <c r="G4133" s="395"/>
      <c r="H4133" s="91">
        <f t="shared" si="323"/>
        <v>0</v>
      </c>
      <c r="I4133" s="91" t="str">
        <f t="shared" si="324"/>
        <v/>
      </c>
      <c r="J4133" s="91" t="str">
        <f t="shared" si="325"/>
        <v/>
      </c>
      <c r="K4133" s="92" t="str">
        <f>IF(AND(A4133="",B4133="",D4133="",G4133=""),"",IF(AND(A4133&lt;&gt;"",COUNTIF($A$2:$A$5001,A4133)&gt;1),"NUMERO_PC duplicado",IF(B4133="","DATA_PC vazia",IF(NOT(ISNUMBER(B4133)),"DATA_PC invalida",IF(OR(C4133="",C4133="Fora dos ciclos"),"CICLO_PC nao identificado",IF(OR(D4133="",D4133=0),"VALOR_PC vazio ou zero",IF(AND(G4133&lt;&gt;"Sim",G4133&lt;&gt;"Nao",G4133&lt;&gt;""),"PC_PAGO_A_CONTRATADA invalido",IF(AND(C4133&lt;&gt;"C0",IFERROR(INDEX(parametros!$A$2:$A$6,MATCH(C4133,parametros!$B$2:$B$6,0)),"")="Sim",IFERROR(INDEX(parametros!$H$2:$H$6,MATCH(C4133,parametros!$B$2:$B$6,0)),"")=""),"INICIO_EFEITO ausente: PC "&amp;A4133&amp;" - "&amp;C4133,IF(L4133="","EFEITO_PC nao calculado: PC "&amp;A4133&amp;" - "&amp;C4133,"OK")))))))))</f>
        <v/>
      </c>
      <c r="L4133" s="92" t="str">
        <f>IF(AND(A4133="",B4133="",D4133="",G4133=""),"",IF(OR(B4133="",NOT(ISNUMBER(B4133)),C4133="",C4133="Fora dos ciclos"),"",IF(C4133="C0","Nao",IF(IFERROR(INDEX(parametros!$A$2:$A$6,MATCH(C4133,parametros!$B$2:$B$6,0)),"")&lt;&gt;"Sim","Nao",IF(IFERROR(INDEX(parametros!$H$2:$H$6,MATCH(C4133,parametros!$B$2:$B$6,0)),"")="","",IF(B4133&gt;=IFERROR(INDEX(parametros!$H$2:$H$6,MATCH(C4133,parametros!$B$2:$B$6,0)),""),"Sim","Nao"))))))</f>
        <v/>
      </c>
      <c r="T4133" s="156"/>
      <c r="U4133" s="214" t="str">
        <f t="shared" si="326"/>
        <v/>
      </c>
      <c r="V4133" s="212" t="s">
        <v>50</v>
      </c>
      <c r="W4133" s="100" t="s">
        <v>168</v>
      </c>
      <c r="X4133" s="100" t="s">
        <v>169</v>
      </c>
      <c r="Y4133" s="101" t="s">
        <v>170</v>
      </c>
      <c r="Z4133" s="101" t="s">
        <v>171</v>
      </c>
      <c r="AA4133" s="101" t="s">
        <v>50</v>
      </c>
      <c r="AB4133" s="101" t="s">
        <v>172</v>
      </c>
      <c r="AC4133" s="102" t="s">
        <v>173</v>
      </c>
    </row>
    <row r="4134" spans="1:29" ht="25.5" customHeight="1" x14ac:dyDescent="0.35">
      <c r="A4134" s="392"/>
      <c r="B4134" s="393"/>
      <c r="C4134" s="99" t="str">
        <f>IF(B4134="","",IF(NOT(ISNUMBER(B4134)),"DATA_PC invalida",IF(NOT(ISNUMBER(parametros!$C$2)),"Fora dos ciclos",IF(OR(B4134&lt;parametros!$C$2,(YEAR(B4134)-YEAR(parametros!$C$2))*12+MONTH(B4134)-MONTH(parametros!$C$2)&gt;59),"Fora dos ciclos","C"&amp;INT(((YEAR(B4134)-YEAR(parametros!$C$2))*12+MONTH(B4134)-MONTH(parametros!$C$2))/12)))))</f>
        <v/>
      </c>
      <c r="D4134" s="394"/>
      <c r="E4134" s="78" t="str">
        <f>IF(C4134="","",IFERROR(VLOOKUP(C4134,parametros!$A$11:$E$15,5,0),""))</f>
        <v/>
      </c>
      <c r="F4134" s="79" t="str">
        <f t="shared" si="322"/>
        <v/>
      </c>
      <c r="G4134" s="395"/>
      <c r="H4134" s="91">
        <f t="shared" si="323"/>
        <v>0</v>
      </c>
      <c r="I4134" s="91" t="str">
        <f t="shared" si="324"/>
        <v/>
      </c>
      <c r="J4134" s="91" t="str">
        <f t="shared" si="325"/>
        <v/>
      </c>
      <c r="K4134" s="92" t="str">
        <f>IF(AND(A4134="",B4134="",D4134="",G4134=""),"",IF(AND(A4134&lt;&gt;"",COUNTIF($A$2:$A$5001,A4134)&gt;1),"NUMERO_PC duplicado",IF(B4134="","DATA_PC vazia",IF(NOT(ISNUMBER(B4134)),"DATA_PC invalida",IF(OR(C4134="",C4134="Fora dos ciclos"),"CICLO_PC nao identificado",IF(OR(D4134="",D4134=0),"VALOR_PC vazio ou zero",IF(AND(G4134&lt;&gt;"Sim",G4134&lt;&gt;"Nao",G4134&lt;&gt;""),"PC_PAGO_A_CONTRATADA invalido",IF(AND(C4134&lt;&gt;"C0",IFERROR(INDEX(parametros!$A$2:$A$6,MATCH(C4134,parametros!$B$2:$B$6,0)),"")="Sim",IFERROR(INDEX(parametros!$H$2:$H$6,MATCH(C4134,parametros!$B$2:$B$6,0)),"")=""),"INICIO_EFEITO ausente: PC "&amp;A4134&amp;" - "&amp;C4134,IF(L4134="","EFEITO_PC nao calculado: PC "&amp;A4134&amp;" - "&amp;C4134,"OK")))))))))</f>
        <v/>
      </c>
      <c r="L4134" s="92" t="str">
        <f>IF(AND(A4134="",B4134="",D4134="",G4134=""),"",IF(OR(B4134="",NOT(ISNUMBER(B4134)),C4134="",C4134="Fora dos ciclos"),"",IF(C4134="C0","Nao",IF(IFERROR(INDEX(parametros!$A$2:$A$6,MATCH(C4134,parametros!$B$2:$B$6,0)),"")&lt;&gt;"Sim","Nao",IF(IFERROR(INDEX(parametros!$H$2:$H$6,MATCH(C4134,parametros!$B$2:$B$6,0)),"")="","",IF(B4134&gt;=IFERROR(INDEX(parametros!$H$2:$H$6,MATCH(C4134,parametros!$B$2:$B$6,0)),""),"Sim","Nao"))))))</f>
        <v/>
      </c>
      <c r="T4134" s="156"/>
      <c r="U4134" s="214" t="str">
        <f t="shared" si="326"/>
        <v/>
      </c>
      <c r="V4134" s="212" t="s">
        <v>50</v>
      </c>
      <c r="W4134" s="100" t="s">
        <v>168</v>
      </c>
      <c r="X4134" s="100" t="s">
        <v>169</v>
      </c>
      <c r="Y4134" s="101" t="s">
        <v>170</v>
      </c>
      <c r="Z4134" s="101" t="s">
        <v>171</v>
      </c>
      <c r="AA4134" s="101" t="s">
        <v>50</v>
      </c>
      <c r="AB4134" s="101" t="s">
        <v>172</v>
      </c>
      <c r="AC4134" s="102" t="s">
        <v>173</v>
      </c>
    </row>
    <row r="4135" spans="1:29" ht="25.5" customHeight="1" x14ac:dyDescent="0.35">
      <c r="A4135" s="392"/>
      <c r="B4135" s="393"/>
      <c r="C4135" s="99" t="str">
        <f>IF(B4135="","",IF(NOT(ISNUMBER(B4135)),"DATA_PC invalida",IF(NOT(ISNUMBER(parametros!$C$2)),"Fora dos ciclos",IF(OR(B4135&lt;parametros!$C$2,(YEAR(B4135)-YEAR(parametros!$C$2))*12+MONTH(B4135)-MONTH(parametros!$C$2)&gt;59),"Fora dos ciclos","C"&amp;INT(((YEAR(B4135)-YEAR(parametros!$C$2))*12+MONTH(B4135)-MONTH(parametros!$C$2))/12)))))</f>
        <v/>
      </c>
      <c r="D4135" s="394"/>
      <c r="E4135" s="78" t="str">
        <f>IF(C4135="","",IFERROR(VLOOKUP(C4135,parametros!$A$11:$E$15,5,0),""))</f>
        <v/>
      </c>
      <c r="F4135" s="79" t="str">
        <f t="shared" si="322"/>
        <v/>
      </c>
      <c r="G4135" s="395"/>
      <c r="H4135" s="91">
        <f t="shared" si="323"/>
        <v>0</v>
      </c>
      <c r="I4135" s="91" t="str">
        <f t="shared" si="324"/>
        <v/>
      </c>
      <c r="J4135" s="91" t="str">
        <f t="shared" si="325"/>
        <v/>
      </c>
      <c r="K4135" s="92" t="str">
        <f>IF(AND(A4135="",B4135="",D4135="",G4135=""),"",IF(AND(A4135&lt;&gt;"",COUNTIF($A$2:$A$5001,A4135)&gt;1),"NUMERO_PC duplicado",IF(B4135="","DATA_PC vazia",IF(NOT(ISNUMBER(B4135)),"DATA_PC invalida",IF(OR(C4135="",C4135="Fora dos ciclos"),"CICLO_PC nao identificado",IF(OR(D4135="",D4135=0),"VALOR_PC vazio ou zero",IF(AND(G4135&lt;&gt;"Sim",G4135&lt;&gt;"Nao",G4135&lt;&gt;""),"PC_PAGO_A_CONTRATADA invalido",IF(AND(C4135&lt;&gt;"C0",IFERROR(INDEX(parametros!$A$2:$A$6,MATCH(C4135,parametros!$B$2:$B$6,0)),"")="Sim",IFERROR(INDEX(parametros!$H$2:$H$6,MATCH(C4135,parametros!$B$2:$B$6,0)),"")=""),"INICIO_EFEITO ausente: PC "&amp;A4135&amp;" - "&amp;C4135,IF(L4135="","EFEITO_PC nao calculado: PC "&amp;A4135&amp;" - "&amp;C4135,"OK")))))))))</f>
        <v/>
      </c>
      <c r="L4135" s="92" t="str">
        <f>IF(AND(A4135="",B4135="",D4135="",G4135=""),"",IF(OR(B4135="",NOT(ISNUMBER(B4135)),C4135="",C4135="Fora dos ciclos"),"",IF(C4135="C0","Nao",IF(IFERROR(INDEX(parametros!$A$2:$A$6,MATCH(C4135,parametros!$B$2:$B$6,0)),"")&lt;&gt;"Sim","Nao",IF(IFERROR(INDEX(parametros!$H$2:$H$6,MATCH(C4135,parametros!$B$2:$B$6,0)),"")="","",IF(B4135&gt;=IFERROR(INDEX(parametros!$H$2:$H$6,MATCH(C4135,parametros!$B$2:$B$6,0)),""),"Sim","Nao"))))))</f>
        <v/>
      </c>
      <c r="T4135" s="156"/>
      <c r="U4135" s="214" t="str">
        <f t="shared" si="326"/>
        <v/>
      </c>
      <c r="V4135" s="212" t="s">
        <v>50</v>
      </c>
      <c r="W4135" s="100" t="s">
        <v>168</v>
      </c>
      <c r="X4135" s="100" t="s">
        <v>169</v>
      </c>
      <c r="Y4135" s="101" t="s">
        <v>170</v>
      </c>
      <c r="Z4135" s="101" t="s">
        <v>171</v>
      </c>
      <c r="AA4135" s="101" t="s">
        <v>50</v>
      </c>
      <c r="AB4135" s="101" t="s">
        <v>172</v>
      </c>
      <c r="AC4135" s="102" t="s">
        <v>173</v>
      </c>
    </row>
    <row r="4136" spans="1:29" ht="25.5" customHeight="1" x14ac:dyDescent="0.35">
      <c r="A4136" s="392"/>
      <c r="B4136" s="393"/>
      <c r="C4136" s="99" t="str">
        <f>IF(B4136="","",IF(NOT(ISNUMBER(B4136)),"DATA_PC invalida",IF(NOT(ISNUMBER(parametros!$C$2)),"Fora dos ciclos",IF(OR(B4136&lt;parametros!$C$2,(YEAR(B4136)-YEAR(parametros!$C$2))*12+MONTH(B4136)-MONTH(parametros!$C$2)&gt;59),"Fora dos ciclos","C"&amp;INT(((YEAR(B4136)-YEAR(parametros!$C$2))*12+MONTH(B4136)-MONTH(parametros!$C$2))/12)))))</f>
        <v/>
      </c>
      <c r="D4136" s="394"/>
      <c r="E4136" s="78" t="str">
        <f>IF(C4136="","",IFERROR(VLOOKUP(C4136,parametros!$A$11:$E$15,5,0),""))</f>
        <v/>
      </c>
      <c r="F4136" s="79" t="str">
        <f t="shared" si="322"/>
        <v/>
      </c>
      <c r="G4136" s="395"/>
      <c r="H4136" s="91">
        <f t="shared" si="323"/>
        <v>0</v>
      </c>
      <c r="I4136" s="91" t="str">
        <f t="shared" si="324"/>
        <v/>
      </c>
      <c r="J4136" s="91" t="str">
        <f t="shared" si="325"/>
        <v/>
      </c>
      <c r="K4136" s="92" t="str">
        <f>IF(AND(A4136="",B4136="",D4136="",G4136=""),"",IF(AND(A4136&lt;&gt;"",COUNTIF($A$2:$A$5001,A4136)&gt;1),"NUMERO_PC duplicado",IF(B4136="","DATA_PC vazia",IF(NOT(ISNUMBER(B4136)),"DATA_PC invalida",IF(OR(C4136="",C4136="Fora dos ciclos"),"CICLO_PC nao identificado",IF(OR(D4136="",D4136=0),"VALOR_PC vazio ou zero",IF(AND(G4136&lt;&gt;"Sim",G4136&lt;&gt;"Nao",G4136&lt;&gt;""),"PC_PAGO_A_CONTRATADA invalido",IF(AND(C4136&lt;&gt;"C0",IFERROR(INDEX(parametros!$A$2:$A$6,MATCH(C4136,parametros!$B$2:$B$6,0)),"")="Sim",IFERROR(INDEX(parametros!$H$2:$H$6,MATCH(C4136,parametros!$B$2:$B$6,0)),"")=""),"INICIO_EFEITO ausente: PC "&amp;A4136&amp;" - "&amp;C4136,IF(L4136="","EFEITO_PC nao calculado: PC "&amp;A4136&amp;" - "&amp;C4136,"OK")))))))))</f>
        <v/>
      </c>
      <c r="L4136" s="92" t="str">
        <f>IF(AND(A4136="",B4136="",D4136="",G4136=""),"",IF(OR(B4136="",NOT(ISNUMBER(B4136)),C4136="",C4136="Fora dos ciclos"),"",IF(C4136="C0","Nao",IF(IFERROR(INDEX(parametros!$A$2:$A$6,MATCH(C4136,parametros!$B$2:$B$6,0)),"")&lt;&gt;"Sim","Nao",IF(IFERROR(INDEX(parametros!$H$2:$H$6,MATCH(C4136,parametros!$B$2:$B$6,0)),"")="","",IF(B4136&gt;=IFERROR(INDEX(parametros!$H$2:$H$6,MATCH(C4136,parametros!$B$2:$B$6,0)),""),"Sim","Nao"))))))</f>
        <v/>
      </c>
      <c r="T4136" s="156"/>
      <c r="U4136" s="214" t="str">
        <f t="shared" si="326"/>
        <v/>
      </c>
      <c r="V4136" s="212" t="s">
        <v>50</v>
      </c>
      <c r="W4136" s="100" t="s">
        <v>168</v>
      </c>
      <c r="X4136" s="100" t="s">
        <v>169</v>
      </c>
      <c r="Y4136" s="101" t="s">
        <v>170</v>
      </c>
      <c r="Z4136" s="101" t="s">
        <v>171</v>
      </c>
      <c r="AA4136" s="101" t="s">
        <v>50</v>
      </c>
      <c r="AB4136" s="101" t="s">
        <v>172</v>
      </c>
      <c r="AC4136" s="102" t="s">
        <v>173</v>
      </c>
    </row>
    <row r="4137" spans="1:29" ht="25.5" customHeight="1" x14ac:dyDescent="0.35">
      <c r="A4137" s="392"/>
      <c r="B4137" s="393"/>
      <c r="C4137" s="99" t="str">
        <f>IF(B4137="","",IF(NOT(ISNUMBER(B4137)),"DATA_PC invalida",IF(NOT(ISNUMBER(parametros!$C$2)),"Fora dos ciclos",IF(OR(B4137&lt;parametros!$C$2,(YEAR(B4137)-YEAR(parametros!$C$2))*12+MONTH(B4137)-MONTH(parametros!$C$2)&gt;59),"Fora dos ciclos","C"&amp;INT(((YEAR(B4137)-YEAR(parametros!$C$2))*12+MONTH(B4137)-MONTH(parametros!$C$2))/12)))))</f>
        <v/>
      </c>
      <c r="D4137" s="394"/>
      <c r="E4137" s="78" t="str">
        <f>IF(C4137="","",IFERROR(VLOOKUP(C4137,parametros!$A$11:$E$15,5,0),""))</f>
        <v/>
      </c>
      <c r="F4137" s="79" t="str">
        <f t="shared" si="322"/>
        <v/>
      </c>
      <c r="G4137" s="395"/>
      <c r="H4137" s="91">
        <f t="shared" si="323"/>
        <v>0</v>
      </c>
      <c r="I4137" s="91" t="str">
        <f t="shared" si="324"/>
        <v/>
      </c>
      <c r="J4137" s="91" t="str">
        <f t="shared" si="325"/>
        <v/>
      </c>
      <c r="K4137" s="92" t="str">
        <f>IF(AND(A4137="",B4137="",D4137="",G4137=""),"",IF(AND(A4137&lt;&gt;"",COUNTIF($A$2:$A$5001,A4137)&gt;1),"NUMERO_PC duplicado",IF(B4137="","DATA_PC vazia",IF(NOT(ISNUMBER(B4137)),"DATA_PC invalida",IF(OR(C4137="",C4137="Fora dos ciclos"),"CICLO_PC nao identificado",IF(OR(D4137="",D4137=0),"VALOR_PC vazio ou zero",IF(AND(G4137&lt;&gt;"Sim",G4137&lt;&gt;"Nao",G4137&lt;&gt;""),"PC_PAGO_A_CONTRATADA invalido",IF(AND(C4137&lt;&gt;"C0",IFERROR(INDEX(parametros!$A$2:$A$6,MATCH(C4137,parametros!$B$2:$B$6,0)),"")="Sim",IFERROR(INDEX(parametros!$H$2:$H$6,MATCH(C4137,parametros!$B$2:$B$6,0)),"")=""),"INICIO_EFEITO ausente: PC "&amp;A4137&amp;" - "&amp;C4137,IF(L4137="","EFEITO_PC nao calculado: PC "&amp;A4137&amp;" - "&amp;C4137,"OK")))))))))</f>
        <v/>
      </c>
      <c r="L4137" s="92" t="str">
        <f>IF(AND(A4137="",B4137="",D4137="",G4137=""),"",IF(OR(B4137="",NOT(ISNUMBER(B4137)),C4137="",C4137="Fora dos ciclos"),"",IF(C4137="C0","Nao",IF(IFERROR(INDEX(parametros!$A$2:$A$6,MATCH(C4137,parametros!$B$2:$B$6,0)),"")&lt;&gt;"Sim","Nao",IF(IFERROR(INDEX(parametros!$H$2:$H$6,MATCH(C4137,parametros!$B$2:$B$6,0)),"")="","",IF(B4137&gt;=IFERROR(INDEX(parametros!$H$2:$H$6,MATCH(C4137,parametros!$B$2:$B$6,0)),""),"Sim","Nao"))))))</f>
        <v/>
      </c>
      <c r="T4137" s="156"/>
      <c r="U4137" s="214" t="str">
        <f t="shared" si="326"/>
        <v/>
      </c>
      <c r="V4137" s="212" t="s">
        <v>50</v>
      </c>
      <c r="W4137" s="100" t="s">
        <v>168</v>
      </c>
      <c r="X4137" s="100" t="s">
        <v>169</v>
      </c>
      <c r="Y4137" s="101" t="s">
        <v>170</v>
      </c>
      <c r="Z4137" s="101" t="s">
        <v>171</v>
      </c>
      <c r="AA4137" s="101" t="s">
        <v>50</v>
      </c>
      <c r="AB4137" s="101" t="s">
        <v>172</v>
      </c>
      <c r="AC4137" s="102" t="s">
        <v>173</v>
      </c>
    </row>
    <row r="4138" spans="1:29" ht="25.5" customHeight="1" x14ac:dyDescent="0.35">
      <c r="A4138" s="392"/>
      <c r="B4138" s="393"/>
      <c r="C4138" s="99" t="str">
        <f>IF(B4138="","",IF(NOT(ISNUMBER(B4138)),"DATA_PC invalida",IF(NOT(ISNUMBER(parametros!$C$2)),"Fora dos ciclos",IF(OR(B4138&lt;parametros!$C$2,(YEAR(B4138)-YEAR(parametros!$C$2))*12+MONTH(B4138)-MONTH(parametros!$C$2)&gt;59),"Fora dos ciclos","C"&amp;INT(((YEAR(B4138)-YEAR(parametros!$C$2))*12+MONTH(B4138)-MONTH(parametros!$C$2))/12)))))</f>
        <v/>
      </c>
      <c r="D4138" s="394"/>
      <c r="E4138" s="78" t="str">
        <f>IF(C4138="","",IFERROR(VLOOKUP(C4138,parametros!$A$11:$E$15,5,0),""))</f>
        <v/>
      </c>
      <c r="F4138" s="79" t="str">
        <f t="shared" si="322"/>
        <v/>
      </c>
      <c r="G4138" s="395"/>
      <c r="H4138" s="91">
        <f t="shared" si="323"/>
        <v>0</v>
      </c>
      <c r="I4138" s="91" t="str">
        <f t="shared" si="324"/>
        <v/>
      </c>
      <c r="J4138" s="91" t="str">
        <f t="shared" si="325"/>
        <v/>
      </c>
      <c r="K4138" s="92" t="str">
        <f>IF(AND(A4138="",B4138="",D4138="",G4138=""),"",IF(AND(A4138&lt;&gt;"",COUNTIF($A$2:$A$5001,A4138)&gt;1),"NUMERO_PC duplicado",IF(B4138="","DATA_PC vazia",IF(NOT(ISNUMBER(B4138)),"DATA_PC invalida",IF(OR(C4138="",C4138="Fora dos ciclos"),"CICLO_PC nao identificado",IF(OR(D4138="",D4138=0),"VALOR_PC vazio ou zero",IF(AND(G4138&lt;&gt;"Sim",G4138&lt;&gt;"Nao",G4138&lt;&gt;""),"PC_PAGO_A_CONTRATADA invalido",IF(AND(C4138&lt;&gt;"C0",IFERROR(INDEX(parametros!$A$2:$A$6,MATCH(C4138,parametros!$B$2:$B$6,0)),"")="Sim",IFERROR(INDEX(parametros!$H$2:$H$6,MATCH(C4138,parametros!$B$2:$B$6,0)),"")=""),"INICIO_EFEITO ausente: PC "&amp;A4138&amp;" - "&amp;C4138,IF(L4138="","EFEITO_PC nao calculado: PC "&amp;A4138&amp;" - "&amp;C4138,"OK")))))))))</f>
        <v/>
      </c>
      <c r="L4138" s="92" t="str">
        <f>IF(AND(A4138="",B4138="",D4138="",G4138=""),"",IF(OR(B4138="",NOT(ISNUMBER(B4138)),C4138="",C4138="Fora dos ciclos"),"",IF(C4138="C0","Nao",IF(IFERROR(INDEX(parametros!$A$2:$A$6,MATCH(C4138,parametros!$B$2:$B$6,0)),"")&lt;&gt;"Sim","Nao",IF(IFERROR(INDEX(parametros!$H$2:$H$6,MATCH(C4138,parametros!$B$2:$B$6,0)),"")="","",IF(B4138&gt;=IFERROR(INDEX(parametros!$H$2:$H$6,MATCH(C4138,parametros!$B$2:$B$6,0)),""),"Sim","Nao"))))))</f>
        <v/>
      </c>
      <c r="T4138" s="156"/>
      <c r="U4138" s="214" t="str">
        <f t="shared" si="326"/>
        <v/>
      </c>
      <c r="V4138" s="212" t="s">
        <v>50</v>
      </c>
      <c r="W4138" s="100" t="s">
        <v>168</v>
      </c>
      <c r="X4138" s="100" t="s">
        <v>169</v>
      </c>
      <c r="Y4138" s="101" t="s">
        <v>170</v>
      </c>
      <c r="Z4138" s="101" t="s">
        <v>171</v>
      </c>
      <c r="AA4138" s="101" t="s">
        <v>50</v>
      </c>
      <c r="AB4138" s="101" t="s">
        <v>172</v>
      </c>
      <c r="AC4138" s="102" t="s">
        <v>173</v>
      </c>
    </row>
    <row r="4139" spans="1:29" ht="25.5" customHeight="1" x14ac:dyDescent="0.35">
      <c r="A4139" s="392"/>
      <c r="B4139" s="393"/>
      <c r="C4139" s="99" t="str">
        <f>IF(B4139="","",IF(NOT(ISNUMBER(B4139)),"DATA_PC invalida",IF(NOT(ISNUMBER(parametros!$C$2)),"Fora dos ciclos",IF(OR(B4139&lt;parametros!$C$2,(YEAR(B4139)-YEAR(parametros!$C$2))*12+MONTH(B4139)-MONTH(parametros!$C$2)&gt;59),"Fora dos ciclos","C"&amp;INT(((YEAR(B4139)-YEAR(parametros!$C$2))*12+MONTH(B4139)-MONTH(parametros!$C$2))/12)))))</f>
        <v/>
      </c>
      <c r="D4139" s="394"/>
      <c r="E4139" s="78" t="str">
        <f>IF(C4139="","",IFERROR(VLOOKUP(C4139,parametros!$A$11:$E$15,5,0),""))</f>
        <v/>
      </c>
      <c r="F4139" s="79" t="str">
        <f t="shared" si="322"/>
        <v/>
      </c>
      <c r="G4139" s="395"/>
      <c r="H4139" s="91">
        <f t="shared" si="323"/>
        <v>0</v>
      </c>
      <c r="I4139" s="91" t="str">
        <f t="shared" si="324"/>
        <v/>
      </c>
      <c r="J4139" s="91" t="str">
        <f t="shared" si="325"/>
        <v/>
      </c>
      <c r="K4139" s="92" t="str">
        <f>IF(AND(A4139="",B4139="",D4139="",G4139=""),"",IF(AND(A4139&lt;&gt;"",COUNTIF($A$2:$A$5001,A4139)&gt;1),"NUMERO_PC duplicado",IF(B4139="","DATA_PC vazia",IF(NOT(ISNUMBER(B4139)),"DATA_PC invalida",IF(OR(C4139="",C4139="Fora dos ciclos"),"CICLO_PC nao identificado",IF(OR(D4139="",D4139=0),"VALOR_PC vazio ou zero",IF(AND(G4139&lt;&gt;"Sim",G4139&lt;&gt;"Nao",G4139&lt;&gt;""),"PC_PAGO_A_CONTRATADA invalido",IF(AND(C4139&lt;&gt;"C0",IFERROR(INDEX(parametros!$A$2:$A$6,MATCH(C4139,parametros!$B$2:$B$6,0)),"")="Sim",IFERROR(INDEX(parametros!$H$2:$H$6,MATCH(C4139,parametros!$B$2:$B$6,0)),"")=""),"INICIO_EFEITO ausente: PC "&amp;A4139&amp;" - "&amp;C4139,IF(L4139="","EFEITO_PC nao calculado: PC "&amp;A4139&amp;" - "&amp;C4139,"OK")))))))))</f>
        <v/>
      </c>
      <c r="L4139" s="92" t="str">
        <f>IF(AND(A4139="",B4139="",D4139="",G4139=""),"",IF(OR(B4139="",NOT(ISNUMBER(B4139)),C4139="",C4139="Fora dos ciclos"),"",IF(C4139="C0","Nao",IF(IFERROR(INDEX(parametros!$A$2:$A$6,MATCH(C4139,parametros!$B$2:$B$6,0)),"")&lt;&gt;"Sim","Nao",IF(IFERROR(INDEX(parametros!$H$2:$H$6,MATCH(C4139,parametros!$B$2:$B$6,0)),"")="","",IF(B4139&gt;=IFERROR(INDEX(parametros!$H$2:$H$6,MATCH(C4139,parametros!$B$2:$B$6,0)),""),"Sim","Nao"))))))</f>
        <v/>
      </c>
      <c r="T4139" s="156"/>
      <c r="U4139" s="214" t="str">
        <f t="shared" si="326"/>
        <v/>
      </c>
      <c r="V4139" s="212" t="s">
        <v>50</v>
      </c>
      <c r="W4139" s="100" t="s">
        <v>168</v>
      </c>
      <c r="X4139" s="100" t="s">
        <v>169</v>
      </c>
      <c r="Y4139" s="101" t="s">
        <v>170</v>
      </c>
      <c r="Z4139" s="101" t="s">
        <v>171</v>
      </c>
      <c r="AA4139" s="101" t="s">
        <v>50</v>
      </c>
      <c r="AB4139" s="101" t="s">
        <v>172</v>
      </c>
      <c r="AC4139" s="102" t="s">
        <v>173</v>
      </c>
    </row>
    <row r="4140" spans="1:29" ht="25.5" customHeight="1" x14ac:dyDescent="0.35">
      <c r="A4140" s="392"/>
      <c r="B4140" s="393"/>
      <c r="C4140" s="99" t="str">
        <f>IF(B4140="","",IF(NOT(ISNUMBER(B4140)),"DATA_PC invalida",IF(NOT(ISNUMBER(parametros!$C$2)),"Fora dos ciclos",IF(OR(B4140&lt;parametros!$C$2,(YEAR(B4140)-YEAR(parametros!$C$2))*12+MONTH(B4140)-MONTH(parametros!$C$2)&gt;59),"Fora dos ciclos","C"&amp;INT(((YEAR(B4140)-YEAR(parametros!$C$2))*12+MONTH(B4140)-MONTH(parametros!$C$2))/12)))))</f>
        <v/>
      </c>
      <c r="D4140" s="394"/>
      <c r="E4140" s="78" t="str">
        <f>IF(C4140="","",IFERROR(VLOOKUP(C4140,parametros!$A$11:$E$15,5,0),""))</f>
        <v/>
      </c>
      <c r="F4140" s="79" t="str">
        <f t="shared" si="322"/>
        <v/>
      </c>
      <c r="G4140" s="395"/>
      <c r="H4140" s="91">
        <f t="shared" si="323"/>
        <v>0</v>
      </c>
      <c r="I4140" s="91" t="str">
        <f t="shared" si="324"/>
        <v/>
      </c>
      <c r="J4140" s="91" t="str">
        <f t="shared" si="325"/>
        <v/>
      </c>
      <c r="K4140" s="92" t="str">
        <f>IF(AND(A4140="",B4140="",D4140="",G4140=""),"",IF(AND(A4140&lt;&gt;"",COUNTIF($A$2:$A$5001,A4140)&gt;1),"NUMERO_PC duplicado",IF(B4140="","DATA_PC vazia",IF(NOT(ISNUMBER(B4140)),"DATA_PC invalida",IF(OR(C4140="",C4140="Fora dos ciclos"),"CICLO_PC nao identificado",IF(OR(D4140="",D4140=0),"VALOR_PC vazio ou zero",IF(AND(G4140&lt;&gt;"Sim",G4140&lt;&gt;"Nao",G4140&lt;&gt;""),"PC_PAGO_A_CONTRATADA invalido",IF(AND(C4140&lt;&gt;"C0",IFERROR(INDEX(parametros!$A$2:$A$6,MATCH(C4140,parametros!$B$2:$B$6,0)),"")="Sim",IFERROR(INDEX(parametros!$H$2:$H$6,MATCH(C4140,parametros!$B$2:$B$6,0)),"")=""),"INICIO_EFEITO ausente: PC "&amp;A4140&amp;" - "&amp;C4140,IF(L4140="","EFEITO_PC nao calculado: PC "&amp;A4140&amp;" - "&amp;C4140,"OK")))))))))</f>
        <v/>
      </c>
      <c r="L4140" s="92" t="str">
        <f>IF(AND(A4140="",B4140="",D4140="",G4140=""),"",IF(OR(B4140="",NOT(ISNUMBER(B4140)),C4140="",C4140="Fora dos ciclos"),"",IF(C4140="C0","Nao",IF(IFERROR(INDEX(parametros!$A$2:$A$6,MATCH(C4140,parametros!$B$2:$B$6,0)),"")&lt;&gt;"Sim","Nao",IF(IFERROR(INDEX(parametros!$H$2:$H$6,MATCH(C4140,parametros!$B$2:$B$6,0)),"")="","",IF(B4140&gt;=IFERROR(INDEX(parametros!$H$2:$H$6,MATCH(C4140,parametros!$B$2:$B$6,0)),""),"Sim","Nao"))))))</f>
        <v/>
      </c>
      <c r="T4140" s="156"/>
      <c r="U4140" s="214" t="str">
        <f t="shared" si="326"/>
        <v/>
      </c>
      <c r="V4140" s="212" t="s">
        <v>50</v>
      </c>
      <c r="W4140" s="100" t="s">
        <v>168</v>
      </c>
      <c r="X4140" s="100" t="s">
        <v>169</v>
      </c>
      <c r="Y4140" s="101" t="s">
        <v>170</v>
      </c>
      <c r="Z4140" s="101" t="s">
        <v>171</v>
      </c>
      <c r="AA4140" s="101" t="s">
        <v>50</v>
      </c>
      <c r="AB4140" s="101" t="s">
        <v>172</v>
      </c>
      <c r="AC4140" s="102" t="s">
        <v>173</v>
      </c>
    </row>
    <row r="4141" spans="1:29" ht="25.5" customHeight="1" x14ac:dyDescent="0.35">
      <c r="A4141" s="392"/>
      <c r="B4141" s="393"/>
      <c r="C4141" s="99" t="str">
        <f>IF(B4141="","",IF(NOT(ISNUMBER(B4141)),"DATA_PC invalida",IF(NOT(ISNUMBER(parametros!$C$2)),"Fora dos ciclos",IF(OR(B4141&lt;parametros!$C$2,(YEAR(B4141)-YEAR(parametros!$C$2))*12+MONTH(B4141)-MONTH(parametros!$C$2)&gt;59),"Fora dos ciclos","C"&amp;INT(((YEAR(B4141)-YEAR(parametros!$C$2))*12+MONTH(B4141)-MONTH(parametros!$C$2))/12)))))</f>
        <v/>
      </c>
      <c r="D4141" s="394"/>
      <c r="E4141" s="78" t="str">
        <f>IF(C4141="","",IFERROR(VLOOKUP(C4141,parametros!$A$11:$E$15,5,0),""))</f>
        <v/>
      </c>
      <c r="F4141" s="79" t="str">
        <f t="shared" si="322"/>
        <v/>
      </c>
      <c r="G4141" s="395"/>
      <c r="H4141" s="91">
        <f t="shared" si="323"/>
        <v>0</v>
      </c>
      <c r="I4141" s="91" t="str">
        <f t="shared" si="324"/>
        <v/>
      </c>
      <c r="J4141" s="91" t="str">
        <f t="shared" si="325"/>
        <v/>
      </c>
      <c r="K4141" s="92" t="str">
        <f>IF(AND(A4141="",B4141="",D4141="",G4141=""),"",IF(AND(A4141&lt;&gt;"",COUNTIF($A$2:$A$5001,A4141)&gt;1),"NUMERO_PC duplicado",IF(B4141="","DATA_PC vazia",IF(NOT(ISNUMBER(B4141)),"DATA_PC invalida",IF(OR(C4141="",C4141="Fora dos ciclos"),"CICLO_PC nao identificado",IF(OR(D4141="",D4141=0),"VALOR_PC vazio ou zero",IF(AND(G4141&lt;&gt;"Sim",G4141&lt;&gt;"Nao",G4141&lt;&gt;""),"PC_PAGO_A_CONTRATADA invalido",IF(AND(C4141&lt;&gt;"C0",IFERROR(INDEX(parametros!$A$2:$A$6,MATCH(C4141,parametros!$B$2:$B$6,0)),"")="Sim",IFERROR(INDEX(parametros!$H$2:$H$6,MATCH(C4141,parametros!$B$2:$B$6,0)),"")=""),"INICIO_EFEITO ausente: PC "&amp;A4141&amp;" - "&amp;C4141,IF(L4141="","EFEITO_PC nao calculado: PC "&amp;A4141&amp;" - "&amp;C4141,"OK")))))))))</f>
        <v/>
      </c>
      <c r="L4141" s="92" t="str">
        <f>IF(AND(A4141="",B4141="",D4141="",G4141=""),"",IF(OR(B4141="",NOT(ISNUMBER(B4141)),C4141="",C4141="Fora dos ciclos"),"",IF(C4141="C0","Nao",IF(IFERROR(INDEX(parametros!$A$2:$A$6,MATCH(C4141,parametros!$B$2:$B$6,0)),"")&lt;&gt;"Sim","Nao",IF(IFERROR(INDEX(parametros!$H$2:$H$6,MATCH(C4141,parametros!$B$2:$B$6,0)),"")="","",IF(B4141&gt;=IFERROR(INDEX(parametros!$H$2:$H$6,MATCH(C4141,parametros!$B$2:$B$6,0)),""),"Sim","Nao"))))))</f>
        <v/>
      </c>
      <c r="T4141" s="156"/>
      <c r="U4141" s="214" t="str">
        <f t="shared" si="326"/>
        <v/>
      </c>
      <c r="V4141" s="212" t="s">
        <v>50</v>
      </c>
      <c r="W4141" s="100" t="s">
        <v>168</v>
      </c>
      <c r="X4141" s="100" t="s">
        <v>169</v>
      </c>
      <c r="Y4141" s="101" t="s">
        <v>170</v>
      </c>
      <c r="Z4141" s="101" t="s">
        <v>171</v>
      </c>
      <c r="AA4141" s="101" t="s">
        <v>50</v>
      </c>
      <c r="AB4141" s="101" t="s">
        <v>172</v>
      </c>
      <c r="AC4141" s="102" t="s">
        <v>173</v>
      </c>
    </row>
    <row r="4142" spans="1:29" ht="25.5" customHeight="1" x14ac:dyDescent="0.35">
      <c r="A4142" s="392"/>
      <c r="B4142" s="393"/>
      <c r="C4142" s="99" t="str">
        <f>IF(B4142="","",IF(NOT(ISNUMBER(B4142)),"DATA_PC invalida",IF(NOT(ISNUMBER(parametros!$C$2)),"Fora dos ciclos",IF(OR(B4142&lt;parametros!$C$2,(YEAR(B4142)-YEAR(parametros!$C$2))*12+MONTH(B4142)-MONTH(parametros!$C$2)&gt;59),"Fora dos ciclos","C"&amp;INT(((YEAR(B4142)-YEAR(parametros!$C$2))*12+MONTH(B4142)-MONTH(parametros!$C$2))/12)))))</f>
        <v/>
      </c>
      <c r="D4142" s="394"/>
      <c r="E4142" s="78" t="str">
        <f>IF(C4142="","",IFERROR(VLOOKUP(C4142,parametros!$A$11:$E$15,5,0),""))</f>
        <v/>
      </c>
      <c r="F4142" s="79" t="str">
        <f t="shared" si="322"/>
        <v/>
      </c>
      <c r="G4142" s="395"/>
      <c r="H4142" s="91">
        <f t="shared" si="323"/>
        <v>0</v>
      </c>
      <c r="I4142" s="91" t="str">
        <f t="shared" si="324"/>
        <v/>
      </c>
      <c r="J4142" s="91" t="str">
        <f t="shared" si="325"/>
        <v/>
      </c>
      <c r="K4142" s="92" t="str">
        <f>IF(AND(A4142="",B4142="",D4142="",G4142=""),"",IF(AND(A4142&lt;&gt;"",COUNTIF($A$2:$A$5001,A4142)&gt;1),"NUMERO_PC duplicado",IF(B4142="","DATA_PC vazia",IF(NOT(ISNUMBER(B4142)),"DATA_PC invalida",IF(OR(C4142="",C4142="Fora dos ciclos"),"CICLO_PC nao identificado",IF(OR(D4142="",D4142=0),"VALOR_PC vazio ou zero",IF(AND(G4142&lt;&gt;"Sim",G4142&lt;&gt;"Nao",G4142&lt;&gt;""),"PC_PAGO_A_CONTRATADA invalido",IF(AND(C4142&lt;&gt;"C0",IFERROR(INDEX(parametros!$A$2:$A$6,MATCH(C4142,parametros!$B$2:$B$6,0)),"")="Sim",IFERROR(INDEX(parametros!$H$2:$H$6,MATCH(C4142,parametros!$B$2:$B$6,0)),"")=""),"INICIO_EFEITO ausente: PC "&amp;A4142&amp;" - "&amp;C4142,IF(L4142="","EFEITO_PC nao calculado: PC "&amp;A4142&amp;" - "&amp;C4142,"OK")))))))))</f>
        <v/>
      </c>
      <c r="L4142" s="92" t="str">
        <f>IF(AND(A4142="",B4142="",D4142="",G4142=""),"",IF(OR(B4142="",NOT(ISNUMBER(B4142)),C4142="",C4142="Fora dos ciclos"),"",IF(C4142="C0","Nao",IF(IFERROR(INDEX(parametros!$A$2:$A$6,MATCH(C4142,parametros!$B$2:$B$6,0)),"")&lt;&gt;"Sim","Nao",IF(IFERROR(INDEX(parametros!$H$2:$H$6,MATCH(C4142,parametros!$B$2:$B$6,0)),"")="","",IF(B4142&gt;=IFERROR(INDEX(parametros!$H$2:$H$6,MATCH(C4142,parametros!$B$2:$B$6,0)),""),"Sim","Nao"))))))</f>
        <v/>
      </c>
      <c r="T4142" s="156"/>
      <c r="U4142" s="214" t="str">
        <f t="shared" si="326"/>
        <v/>
      </c>
      <c r="V4142" s="212" t="s">
        <v>50</v>
      </c>
      <c r="W4142" s="100" t="s">
        <v>168</v>
      </c>
      <c r="X4142" s="100" t="s">
        <v>169</v>
      </c>
      <c r="Y4142" s="101" t="s">
        <v>170</v>
      </c>
      <c r="Z4142" s="101" t="s">
        <v>171</v>
      </c>
      <c r="AA4142" s="101" t="s">
        <v>50</v>
      </c>
      <c r="AB4142" s="101" t="s">
        <v>172</v>
      </c>
      <c r="AC4142" s="102" t="s">
        <v>173</v>
      </c>
    </row>
    <row r="4143" spans="1:29" ht="25.5" customHeight="1" x14ac:dyDescent="0.35">
      <c r="A4143" s="392"/>
      <c r="B4143" s="393"/>
      <c r="C4143" s="99" t="str">
        <f>IF(B4143="","",IF(NOT(ISNUMBER(B4143)),"DATA_PC invalida",IF(NOT(ISNUMBER(parametros!$C$2)),"Fora dos ciclos",IF(OR(B4143&lt;parametros!$C$2,(YEAR(B4143)-YEAR(parametros!$C$2))*12+MONTH(B4143)-MONTH(parametros!$C$2)&gt;59),"Fora dos ciclos","C"&amp;INT(((YEAR(B4143)-YEAR(parametros!$C$2))*12+MONTH(B4143)-MONTH(parametros!$C$2))/12)))))</f>
        <v/>
      </c>
      <c r="D4143" s="394"/>
      <c r="E4143" s="78" t="str">
        <f>IF(C4143="","",IFERROR(VLOOKUP(C4143,parametros!$A$11:$E$15,5,0),""))</f>
        <v/>
      </c>
      <c r="F4143" s="79" t="str">
        <f t="shared" si="322"/>
        <v/>
      </c>
      <c r="G4143" s="395"/>
      <c r="H4143" s="91">
        <f t="shared" si="323"/>
        <v>0</v>
      </c>
      <c r="I4143" s="91" t="str">
        <f t="shared" si="324"/>
        <v/>
      </c>
      <c r="J4143" s="91" t="str">
        <f t="shared" si="325"/>
        <v/>
      </c>
      <c r="K4143" s="92" t="str">
        <f>IF(AND(A4143="",B4143="",D4143="",G4143=""),"",IF(AND(A4143&lt;&gt;"",COUNTIF($A$2:$A$5001,A4143)&gt;1),"NUMERO_PC duplicado",IF(B4143="","DATA_PC vazia",IF(NOT(ISNUMBER(B4143)),"DATA_PC invalida",IF(OR(C4143="",C4143="Fora dos ciclos"),"CICLO_PC nao identificado",IF(OR(D4143="",D4143=0),"VALOR_PC vazio ou zero",IF(AND(G4143&lt;&gt;"Sim",G4143&lt;&gt;"Nao",G4143&lt;&gt;""),"PC_PAGO_A_CONTRATADA invalido",IF(AND(C4143&lt;&gt;"C0",IFERROR(INDEX(parametros!$A$2:$A$6,MATCH(C4143,parametros!$B$2:$B$6,0)),"")="Sim",IFERROR(INDEX(parametros!$H$2:$H$6,MATCH(C4143,parametros!$B$2:$B$6,0)),"")=""),"INICIO_EFEITO ausente: PC "&amp;A4143&amp;" - "&amp;C4143,IF(L4143="","EFEITO_PC nao calculado: PC "&amp;A4143&amp;" - "&amp;C4143,"OK")))))))))</f>
        <v/>
      </c>
      <c r="L4143" s="92" t="str">
        <f>IF(AND(A4143="",B4143="",D4143="",G4143=""),"",IF(OR(B4143="",NOT(ISNUMBER(B4143)),C4143="",C4143="Fora dos ciclos"),"",IF(C4143="C0","Nao",IF(IFERROR(INDEX(parametros!$A$2:$A$6,MATCH(C4143,parametros!$B$2:$B$6,0)),"")&lt;&gt;"Sim","Nao",IF(IFERROR(INDEX(parametros!$H$2:$H$6,MATCH(C4143,parametros!$B$2:$B$6,0)),"")="","",IF(B4143&gt;=IFERROR(INDEX(parametros!$H$2:$H$6,MATCH(C4143,parametros!$B$2:$B$6,0)),""),"Sim","Nao"))))))</f>
        <v/>
      </c>
      <c r="T4143" s="156"/>
      <c r="U4143" s="214" t="str">
        <f t="shared" si="326"/>
        <v/>
      </c>
      <c r="V4143" s="212" t="s">
        <v>50</v>
      </c>
      <c r="W4143" s="100" t="s">
        <v>168</v>
      </c>
      <c r="X4143" s="100" t="s">
        <v>169</v>
      </c>
      <c r="Y4143" s="101" t="s">
        <v>170</v>
      </c>
      <c r="Z4143" s="101" t="s">
        <v>171</v>
      </c>
      <c r="AA4143" s="101" t="s">
        <v>50</v>
      </c>
      <c r="AB4143" s="101" t="s">
        <v>172</v>
      </c>
      <c r="AC4143" s="102" t="s">
        <v>173</v>
      </c>
    </row>
    <row r="4144" spans="1:29" ht="25.5" customHeight="1" x14ac:dyDescent="0.35">
      <c r="A4144" s="392"/>
      <c r="B4144" s="393"/>
      <c r="C4144" s="99" t="str">
        <f>IF(B4144="","",IF(NOT(ISNUMBER(B4144)),"DATA_PC invalida",IF(NOT(ISNUMBER(parametros!$C$2)),"Fora dos ciclos",IF(OR(B4144&lt;parametros!$C$2,(YEAR(B4144)-YEAR(parametros!$C$2))*12+MONTH(B4144)-MONTH(parametros!$C$2)&gt;59),"Fora dos ciclos","C"&amp;INT(((YEAR(B4144)-YEAR(parametros!$C$2))*12+MONTH(B4144)-MONTH(parametros!$C$2))/12)))))</f>
        <v/>
      </c>
      <c r="D4144" s="394"/>
      <c r="E4144" s="78" t="str">
        <f>IF(C4144="","",IFERROR(VLOOKUP(C4144,parametros!$A$11:$E$15,5,0),""))</f>
        <v/>
      </c>
      <c r="F4144" s="79" t="str">
        <f t="shared" si="322"/>
        <v/>
      </c>
      <c r="G4144" s="395"/>
      <c r="H4144" s="91">
        <f t="shared" si="323"/>
        <v>0</v>
      </c>
      <c r="I4144" s="91" t="str">
        <f t="shared" si="324"/>
        <v/>
      </c>
      <c r="J4144" s="91" t="str">
        <f t="shared" si="325"/>
        <v/>
      </c>
      <c r="K4144" s="92" t="str">
        <f>IF(AND(A4144="",B4144="",D4144="",G4144=""),"",IF(AND(A4144&lt;&gt;"",COUNTIF($A$2:$A$5001,A4144)&gt;1),"NUMERO_PC duplicado",IF(B4144="","DATA_PC vazia",IF(NOT(ISNUMBER(B4144)),"DATA_PC invalida",IF(OR(C4144="",C4144="Fora dos ciclos"),"CICLO_PC nao identificado",IF(OR(D4144="",D4144=0),"VALOR_PC vazio ou zero",IF(AND(G4144&lt;&gt;"Sim",G4144&lt;&gt;"Nao",G4144&lt;&gt;""),"PC_PAGO_A_CONTRATADA invalido",IF(AND(C4144&lt;&gt;"C0",IFERROR(INDEX(parametros!$A$2:$A$6,MATCH(C4144,parametros!$B$2:$B$6,0)),"")="Sim",IFERROR(INDEX(parametros!$H$2:$H$6,MATCH(C4144,parametros!$B$2:$B$6,0)),"")=""),"INICIO_EFEITO ausente: PC "&amp;A4144&amp;" - "&amp;C4144,IF(L4144="","EFEITO_PC nao calculado: PC "&amp;A4144&amp;" - "&amp;C4144,"OK")))))))))</f>
        <v/>
      </c>
      <c r="L4144" s="92" t="str">
        <f>IF(AND(A4144="",B4144="",D4144="",G4144=""),"",IF(OR(B4144="",NOT(ISNUMBER(B4144)),C4144="",C4144="Fora dos ciclos"),"",IF(C4144="C0","Nao",IF(IFERROR(INDEX(parametros!$A$2:$A$6,MATCH(C4144,parametros!$B$2:$B$6,0)),"")&lt;&gt;"Sim","Nao",IF(IFERROR(INDEX(parametros!$H$2:$H$6,MATCH(C4144,parametros!$B$2:$B$6,0)),"")="","",IF(B4144&gt;=IFERROR(INDEX(parametros!$H$2:$H$6,MATCH(C4144,parametros!$B$2:$B$6,0)),""),"Sim","Nao"))))))</f>
        <v/>
      </c>
      <c r="T4144" s="156"/>
      <c r="U4144" s="214" t="str">
        <f t="shared" si="326"/>
        <v/>
      </c>
      <c r="V4144" s="212" t="s">
        <v>50</v>
      </c>
      <c r="W4144" s="100" t="s">
        <v>168</v>
      </c>
      <c r="X4144" s="100" t="s">
        <v>169</v>
      </c>
      <c r="Y4144" s="101" t="s">
        <v>170</v>
      </c>
      <c r="Z4144" s="101" t="s">
        <v>171</v>
      </c>
      <c r="AA4144" s="101" t="s">
        <v>50</v>
      </c>
      <c r="AB4144" s="101" t="s">
        <v>172</v>
      </c>
      <c r="AC4144" s="102" t="s">
        <v>173</v>
      </c>
    </row>
    <row r="4145" spans="1:29" ht="25.5" customHeight="1" x14ac:dyDescent="0.35">
      <c r="A4145" s="392"/>
      <c r="B4145" s="393"/>
      <c r="C4145" s="99" t="str">
        <f>IF(B4145="","",IF(NOT(ISNUMBER(B4145)),"DATA_PC invalida",IF(NOT(ISNUMBER(parametros!$C$2)),"Fora dos ciclos",IF(OR(B4145&lt;parametros!$C$2,(YEAR(B4145)-YEAR(parametros!$C$2))*12+MONTH(B4145)-MONTH(parametros!$C$2)&gt;59),"Fora dos ciclos","C"&amp;INT(((YEAR(B4145)-YEAR(parametros!$C$2))*12+MONTH(B4145)-MONTH(parametros!$C$2))/12)))))</f>
        <v/>
      </c>
      <c r="D4145" s="394"/>
      <c r="E4145" s="78" t="str">
        <f>IF(C4145="","",IFERROR(VLOOKUP(C4145,parametros!$A$11:$E$15,5,0),""))</f>
        <v/>
      </c>
      <c r="F4145" s="79" t="str">
        <f t="shared" si="322"/>
        <v/>
      </c>
      <c r="G4145" s="395"/>
      <c r="H4145" s="91">
        <f t="shared" si="323"/>
        <v>0</v>
      </c>
      <c r="I4145" s="91" t="str">
        <f t="shared" si="324"/>
        <v/>
      </c>
      <c r="J4145" s="91" t="str">
        <f t="shared" si="325"/>
        <v/>
      </c>
      <c r="K4145" s="92" t="str">
        <f>IF(AND(A4145="",B4145="",D4145="",G4145=""),"",IF(AND(A4145&lt;&gt;"",COUNTIF($A$2:$A$5001,A4145)&gt;1),"NUMERO_PC duplicado",IF(B4145="","DATA_PC vazia",IF(NOT(ISNUMBER(B4145)),"DATA_PC invalida",IF(OR(C4145="",C4145="Fora dos ciclos"),"CICLO_PC nao identificado",IF(OR(D4145="",D4145=0),"VALOR_PC vazio ou zero",IF(AND(G4145&lt;&gt;"Sim",G4145&lt;&gt;"Nao",G4145&lt;&gt;""),"PC_PAGO_A_CONTRATADA invalido",IF(AND(C4145&lt;&gt;"C0",IFERROR(INDEX(parametros!$A$2:$A$6,MATCH(C4145,parametros!$B$2:$B$6,0)),"")="Sim",IFERROR(INDEX(parametros!$H$2:$H$6,MATCH(C4145,parametros!$B$2:$B$6,0)),"")=""),"INICIO_EFEITO ausente: PC "&amp;A4145&amp;" - "&amp;C4145,IF(L4145="","EFEITO_PC nao calculado: PC "&amp;A4145&amp;" - "&amp;C4145,"OK")))))))))</f>
        <v/>
      </c>
      <c r="L4145" s="92" t="str">
        <f>IF(AND(A4145="",B4145="",D4145="",G4145=""),"",IF(OR(B4145="",NOT(ISNUMBER(B4145)),C4145="",C4145="Fora dos ciclos"),"",IF(C4145="C0","Nao",IF(IFERROR(INDEX(parametros!$A$2:$A$6,MATCH(C4145,parametros!$B$2:$B$6,0)),"")&lt;&gt;"Sim","Nao",IF(IFERROR(INDEX(parametros!$H$2:$H$6,MATCH(C4145,parametros!$B$2:$B$6,0)),"")="","",IF(B4145&gt;=IFERROR(INDEX(parametros!$H$2:$H$6,MATCH(C4145,parametros!$B$2:$B$6,0)),""),"Sim","Nao"))))))</f>
        <v/>
      </c>
      <c r="T4145" s="156"/>
      <c r="U4145" s="214" t="str">
        <f t="shared" si="326"/>
        <v/>
      </c>
      <c r="V4145" s="212" t="s">
        <v>50</v>
      </c>
      <c r="W4145" s="100" t="s">
        <v>168</v>
      </c>
      <c r="X4145" s="100" t="s">
        <v>169</v>
      </c>
      <c r="Y4145" s="101" t="s">
        <v>170</v>
      </c>
      <c r="Z4145" s="101" t="s">
        <v>171</v>
      </c>
      <c r="AA4145" s="101" t="s">
        <v>50</v>
      </c>
      <c r="AB4145" s="101" t="s">
        <v>172</v>
      </c>
      <c r="AC4145" s="102" t="s">
        <v>173</v>
      </c>
    </row>
    <row r="4146" spans="1:29" ht="25.5" customHeight="1" x14ac:dyDescent="0.35">
      <c r="A4146" s="392"/>
      <c r="B4146" s="393"/>
      <c r="C4146" s="99" t="str">
        <f>IF(B4146="","",IF(NOT(ISNUMBER(B4146)),"DATA_PC invalida",IF(NOT(ISNUMBER(parametros!$C$2)),"Fora dos ciclos",IF(OR(B4146&lt;parametros!$C$2,(YEAR(B4146)-YEAR(parametros!$C$2))*12+MONTH(B4146)-MONTH(parametros!$C$2)&gt;59),"Fora dos ciclos","C"&amp;INT(((YEAR(B4146)-YEAR(parametros!$C$2))*12+MONTH(B4146)-MONTH(parametros!$C$2))/12)))))</f>
        <v/>
      </c>
      <c r="D4146" s="394"/>
      <c r="E4146" s="78" t="str">
        <f>IF(C4146="","",IFERROR(VLOOKUP(C4146,parametros!$A$11:$E$15,5,0),""))</f>
        <v/>
      </c>
      <c r="F4146" s="79" t="str">
        <f t="shared" si="322"/>
        <v/>
      </c>
      <c r="G4146" s="395"/>
      <c r="H4146" s="91">
        <f t="shared" si="323"/>
        <v>0</v>
      </c>
      <c r="I4146" s="91" t="str">
        <f t="shared" si="324"/>
        <v/>
      </c>
      <c r="J4146" s="91" t="str">
        <f t="shared" si="325"/>
        <v/>
      </c>
      <c r="K4146" s="92" t="str">
        <f>IF(AND(A4146="",B4146="",D4146="",G4146=""),"",IF(AND(A4146&lt;&gt;"",COUNTIF($A$2:$A$5001,A4146)&gt;1),"NUMERO_PC duplicado",IF(B4146="","DATA_PC vazia",IF(NOT(ISNUMBER(B4146)),"DATA_PC invalida",IF(OR(C4146="",C4146="Fora dos ciclos"),"CICLO_PC nao identificado",IF(OR(D4146="",D4146=0),"VALOR_PC vazio ou zero",IF(AND(G4146&lt;&gt;"Sim",G4146&lt;&gt;"Nao",G4146&lt;&gt;""),"PC_PAGO_A_CONTRATADA invalido",IF(AND(C4146&lt;&gt;"C0",IFERROR(INDEX(parametros!$A$2:$A$6,MATCH(C4146,parametros!$B$2:$B$6,0)),"")="Sim",IFERROR(INDEX(parametros!$H$2:$H$6,MATCH(C4146,parametros!$B$2:$B$6,0)),"")=""),"INICIO_EFEITO ausente: PC "&amp;A4146&amp;" - "&amp;C4146,IF(L4146="","EFEITO_PC nao calculado: PC "&amp;A4146&amp;" - "&amp;C4146,"OK")))))))))</f>
        <v/>
      </c>
      <c r="L4146" s="92" t="str">
        <f>IF(AND(A4146="",B4146="",D4146="",G4146=""),"",IF(OR(B4146="",NOT(ISNUMBER(B4146)),C4146="",C4146="Fora dos ciclos"),"",IF(C4146="C0","Nao",IF(IFERROR(INDEX(parametros!$A$2:$A$6,MATCH(C4146,parametros!$B$2:$B$6,0)),"")&lt;&gt;"Sim","Nao",IF(IFERROR(INDEX(parametros!$H$2:$H$6,MATCH(C4146,parametros!$B$2:$B$6,0)),"")="","",IF(B4146&gt;=IFERROR(INDEX(parametros!$H$2:$H$6,MATCH(C4146,parametros!$B$2:$B$6,0)),""),"Sim","Nao"))))))</f>
        <v/>
      </c>
      <c r="T4146" s="156"/>
      <c r="U4146" s="214" t="str">
        <f t="shared" si="326"/>
        <v/>
      </c>
      <c r="V4146" s="212" t="s">
        <v>50</v>
      </c>
      <c r="W4146" s="100" t="s">
        <v>168</v>
      </c>
      <c r="X4146" s="100" t="s">
        <v>169</v>
      </c>
      <c r="Y4146" s="101" t="s">
        <v>170</v>
      </c>
      <c r="Z4146" s="101" t="s">
        <v>171</v>
      </c>
      <c r="AA4146" s="101" t="s">
        <v>50</v>
      </c>
      <c r="AB4146" s="101" t="s">
        <v>172</v>
      </c>
      <c r="AC4146" s="102" t="s">
        <v>173</v>
      </c>
    </row>
    <row r="4147" spans="1:29" ht="25.5" customHeight="1" x14ac:dyDescent="0.35">
      <c r="A4147" s="392"/>
      <c r="B4147" s="393"/>
      <c r="C4147" s="99" t="str">
        <f>IF(B4147="","",IF(NOT(ISNUMBER(B4147)),"DATA_PC invalida",IF(NOT(ISNUMBER(parametros!$C$2)),"Fora dos ciclos",IF(OR(B4147&lt;parametros!$C$2,(YEAR(B4147)-YEAR(parametros!$C$2))*12+MONTH(B4147)-MONTH(parametros!$C$2)&gt;59),"Fora dos ciclos","C"&amp;INT(((YEAR(B4147)-YEAR(parametros!$C$2))*12+MONTH(B4147)-MONTH(parametros!$C$2))/12)))))</f>
        <v/>
      </c>
      <c r="D4147" s="394"/>
      <c r="E4147" s="78" t="str">
        <f>IF(C4147="","",IFERROR(VLOOKUP(C4147,parametros!$A$11:$E$15,5,0),""))</f>
        <v/>
      </c>
      <c r="F4147" s="79" t="str">
        <f t="shared" si="322"/>
        <v/>
      </c>
      <c r="G4147" s="395"/>
      <c r="H4147" s="91">
        <f t="shared" si="323"/>
        <v>0</v>
      </c>
      <c r="I4147" s="91" t="str">
        <f t="shared" si="324"/>
        <v/>
      </c>
      <c r="J4147" s="91" t="str">
        <f t="shared" si="325"/>
        <v/>
      </c>
      <c r="K4147" s="92" t="str">
        <f>IF(AND(A4147="",B4147="",D4147="",G4147=""),"",IF(AND(A4147&lt;&gt;"",COUNTIF($A$2:$A$5001,A4147)&gt;1),"NUMERO_PC duplicado",IF(B4147="","DATA_PC vazia",IF(NOT(ISNUMBER(B4147)),"DATA_PC invalida",IF(OR(C4147="",C4147="Fora dos ciclos"),"CICLO_PC nao identificado",IF(OR(D4147="",D4147=0),"VALOR_PC vazio ou zero",IF(AND(G4147&lt;&gt;"Sim",G4147&lt;&gt;"Nao",G4147&lt;&gt;""),"PC_PAGO_A_CONTRATADA invalido",IF(AND(C4147&lt;&gt;"C0",IFERROR(INDEX(parametros!$A$2:$A$6,MATCH(C4147,parametros!$B$2:$B$6,0)),"")="Sim",IFERROR(INDEX(parametros!$H$2:$H$6,MATCH(C4147,parametros!$B$2:$B$6,0)),"")=""),"INICIO_EFEITO ausente: PC "&amp;A4147&amp;" - "&amp;C4147,IF(L4147="","EFEITO_PC nao calculado: PC "&amp;A4147&amp;" - "&amp;C4147,"OK")))))))))</f>
        <v/>
      </c>
      <c r="L4147" s="92" t="str">
        <f>IF(AND(A4147="",B4147="",D4147="",G4147=""),"",IF(OR(B4147="",NOT(ISNUMBER(B4147)),C4147="",C4147="Fora dos ciclos"),"",IF(C4147="C0","Nao",IF(IFERROR(INDEX(parametros!$A$2:$A$6,MATCH(C4147,parametros!$B$2:$B$6,0)),"")&lt;&gt;"Sim","Nao",IF(IFERROR(INDEX(parametros!$H$2:$H$6,MATCH(C4147,parametros!$B$2:$B$6,0)),"")="","",IF(B4147&gt;=IFERROR(INDEX(parametros!$H$2:$H$6,MATCH(C4147,parametros!$B$2:$B$6,0)),""),"Sim","Nao"))))))</f>
        <v/>
      </c>
      <c r="T4147" s="156"/>
      <c r="U4147" s="214" t="str">
        <f t="shared" si="326"/>
        <v/>
      </c>
      <c r="V4147" s="212" t="s">
        <v>50</v>
      </c>
      <c r="W4147" s="100" t="s">
        <v>168</v>
      </c>
      <c r="X4147" s="100" t="s">
        <v>169</v>
      </c>
      <c r="Y4147" s="101" t="s">
        <v>170</v>
      </c>
      <c r="Z4147" s="101" t="s">
        <v>171</v>
      </c>
      <c r="AA4147" s="101" t="s">
        <v>50</v>
      </c>
      <c r="AB4147" s="101" t="s">
        <v>172</v>
      </c>
      <c r="AC4147" s="102" t="s">
        <v>173</v>
      </c>
    </row>
    <row r="4148" spans="1:29" ht="25.5" customHeight="1" x14ac:dyDescent="0.35">
      <c r="A4148" s="392"/>
      <c r="B4148" s="393"/>
      <c r="C4148" s="99" t="str">
        <f>IF(B4148="","",IF(NOT(ISNUMBER(B4148)),"DATA_PC invalida",IF(NOT(ISNUMBER(parametros!$C$2)),"Fora dos ciclos",IF(OR(B4148&lt;parametros!$C$2,(YEAR(B4148)-YEAR(parametros!$C$2))*12+MONTH(B4148)-MONTH(parametros!$C$2)&gt;59),"Fora dos ciclos","C"&amp;INT(((YEAR(B4148)-YEAR(parametros!$C$2))*12+MONTH(B4148)-MONTH(parametros!$C$2))/12)))))</f>
        <v/>
      </c>
      <c r="D4148" s="394"/>
      <c r="E4148" s="78" t="str">
        <f>IF(C4148="","",IFERROR(VLOOKUP(C4148,parametros!$A$11:$E$15,5,0),""))</f>
        <v/>
      </c>
      <c r="F4148" s="79" t="str">
        <f t="shared" si="322"/>
        <v/>
      </c>
      <c r="G4148" s="395"/>
      <c r="H4148" s="91">
        <f t="shared" si="323"/>
        <v>0</v>
      </c>
      <c r="I4148" s="91" t="str">
        <f t="shared" si="324"/>
        <v/>
      </c>
      <c r="J4148" s="91" t="str">
        <f t="shared" si="325"/>
        <v/>
      </c>
      <c r="K4148" s="92" t="str">
        <f>IF(AND(A4148="",B4148="",D4148="",G4148=""),"",IF(AND(A4148&lt;&gt;"",COUNTIF($A$2:$A$5001,A4148)&gt;1),"NUMERO_PC duplicado",IF(B4148="","DATA_PC vazia",IF(NOT(ISNUMBER(B4148)),"DATA_PC invalida",IF(OR(C4148="",C4148="Fora dos ciclos"),"CICLO_PC nao identificado",IF(OR(D4148="",D4148=0),"VALOR_PC vazio ou zero",IF(AND(G4148&lt;&gt;"Sim",G4148&lt;&gt;"Nao",G4148&lt;&gt;""),"PC_PAGO_A_CONTRATADA invalido",IF(AND(C4148&lt;&gt;"C0",IFERROR(INDEX(parametros!$A$2:$A$6,MATCH(C4148,parametros!$B$2:$B$6,0)),"")="Sim",IFERROR(INDEX(parametros!$H$2:$H$6,MATCH(C4148,parametros!$B$2:$B$6,0)),"")=""),"INICIO_EFEITO ausente: PC "&amp;A4148&amp;" - "&amp;C4148,IF(L4148="","EFEITO_PC nao calculado: PC "&amp;A4148&amp;" - "&amp;C4148,"OK")))))))))</f>
        <v/>
      </c>
      <c r="L4148" s="92" t="str">
        <f>IF(AND(A4148="",B4148="",D4148="",G4148=""),"",IF(OR(B4148="",NOT(ISNUMBER(B4148)),C4148="",C4148="Fora dos ciclos"),"",IF(C4148="C0","Nao",IF(IFERROR(INDEX(parametros!$A$2:$A$6,MATCH(C4148,parametros!$B$2:$B$6,0)),"")&lt;&gt;"Sim","Nao",IF(IFERROR(INDEX(parametros!$H$2:$H$6,MATCH(C4148,parametros!$B$2:$B$6,0)),"")="","",IF(B4148&gt;=IFERROR(INDEX(parametros!$H$2:$H$6,MATCH(C4148,parametros!$B$2:$B$6,0)),""),"Sim","Nao"))))))</f>
        <v/>
      </c>
      <c r="T4148" s="156"/>
      <c r="U4148" s="214" t="str">
        <f t="shared" si="326"/>
        <v/>
      </c>
      <c r="V4148" s="212" t="s">
        <v>50</v>
      </c>
      <c r="W4148" s="100" t="s">
        <v>168</v>
      </c>
      <c r="X4148" s="100" t="s">
        <v>169</v>
      </c>
      <c r="Y4148" s="101" t="s">
        <v>170</v>
      </c>
      <c r="Z4148" s="101" t="s">
        <v>171</v>
      </c>
      <c r="AA4148" s="101" t="s">
        <v>50</v>
      </c>
      <c r="AB4148" s="101" t="s">
        <v>172</v>
      </c>
      <c r="AC4148" s="102" t="s">
        <v>173</v>
      </c>
    </row>
    <row r="4149" spans="1:29" ht="25.5" customHeight="1" x14ac:dyDescent="0.35">
      <c r="A4149" s="392"/>
      <c r="B4149" s="393"/>
      <c r="C4149" s="99" t="str">
        <f>IF(B4149="","",IF(NOT(ISNUMBER(B4149)),"DATA_PC invalida",IF(NOT(ISNUMBER(parametros!$C$2)),"Fora dos ciclos",IF(OR(B4149&lt;parametros!$C$2,(YEAR(B4149)-YEAR(parametros!$C$2))*12+MONTH(B4149)-MONTH(parametros!$C$2)&gt;59),"Fora dos ciclos","C"&amp;INT(((YEAR(B4149)-YEAR(parametros!$C$2))*12+MONTH(B4149)-MONTH(parametros!$C$2))/12)))))</f>
        <v/>
      </c>
      <c r="D4149" s="394"/>
      <c r="E4149" s="78" t="str">
        <f>IF(C4149="","",IFERROR(VLOOKUP(C4149,parametros!$A$11:$E$15,5,0),""))</f>
        <v/>
      </c>
      <c r="F4149" s="79" t="str">
        <f t="shared" si="322"/>
        <v/>
      </c>
      <c r="G4149" s="395"/>
      <c r="H4149" s="91">
        <f t="shared" si="323"/>
        <v>0</v>
      </c>
      <c r="I4149" s="91" t="str">
        <f t="shared" si="324"/>
        <v/>
      </c>
      <c r="J4149" s="91" t="str">
        <f t="shared" si="325"/>
        <v/>
      </c>
      <c r="K4149" s="92" t="str">
        <f>IF(AND(A4149="",B4149="",D4149="",G4149=""),"",IF(AND(A4149&lt;&gt;"",COUNTIF($A$2:$A$5001,A4149)&gt;1),"NUMERO_PC duplicado",IF(B4149="","DATA_PC vazia",IF(NOT(ISNUMBER(B4149)),"DATA_PC invalida",IF(OR(C4149="",C4149="Fora dos ciclos"),"CICLO_PC nao identificado",IF(OR(D4149="",D4149=0),"VALOR_PC vazio ou zero",IF(AND(G4149&lt;&gt;"Sim",G4149&lt;&gt;"Nao",G4149&lt;&gt;""),"PC_PAGO_A_CONTRATADA invalido",IF(AND(C4149&lt;&gt;"C0",IFERROR(INDEX(parametros!$A$2:$A$6,MATCH(C4149,parametros!$B$2:$B$6,0)),"")="Sim",IFERROR(INDEX(parametros!$H$2:$H$6,MATCH(C4149,parametros!$B$2:$B$6,0)),"")=""),"INICIO_EFEITO ausente: PC "&amp;A4149&amp;" - "&amp;C4149,IF(L4149="","EFEITO_PC nao calculado: PC "&amp;A4149&amp;" - "&amp;C4149,"OK")))))))))</f>
        <v/>
      </c>
      <c r="L4149" s="92" t="str">
        <f>IF(AND(A4149="",B4149="",D4149="",G4149=""),"",IF(OR(B4149="",NOT(ISNUMBER(B4149)),C4149="",C4149="Fora dos ciclos"),"",IF(C4149="C0","Nao",IF(IFERROR(INDEX(parametros!$A$2:$A$6,MATCH(C4149,parametros!$B$2:$B$6,0)),"")&lt;&gt;"Sim","Nao",IF(IFERROR(INDEX(parametros!$H$2:$H$6,MATCH(C4149,parametros!$B$2:$B$6,0)),"")="","",IF(B4149&gt;=IFERROR(INDEX(parametros!$H$2:$H$6,MATCH(C4149,parametros!$B$2:$B$6,0)),""),"Sim","Nao"))))))</f>
        <v/>
      </c>
      <c r="T4149" s="156"/>
      <c r="U4149" s="214" t="str">
        <f t="shared" si="326"/>
        <v/>
      </c>
      <c r="V4149" s="212" t="s">
        <v>50</v>
      </c>
      <c r="W4149" s="100" t="s">
        <v>168</v>
      </c>
      <c r="X4149" s="100" t="s">
        <v>169</v>
      </c>
      <c r="Y4149" s="101" t="s">
        <v>170</v>
      </c>
      <c r="Z4149" s="101" t="s">
        <v>171</v>
      </c>
      <c r="AA4149" s="101" t="s">
        <v>50</v>
      </c>
      <c r="AB4149" s="101" t="s">
        <v>172</v>
      </c>
      <c r="AC4149" s="102" t="s">
        <v>173</v>
      </c>
    </row>
    <row r="4150" spans="1:29" ht="25.5" customHeight="1" x14ac:dyDescent="0.35">
      <c r="A4150" s="392"/>
      <c r="B4150" s="393"/>
      <c r="C4150" s="99" t="str">
        <f>IF(B4150="","",IF(NOT(ISNUMBER(B4150)),"DATA_PC invalida",IF(NOT(ISNUMBER(parametros!$C$2)),"Fora dos ciclos",IF(OR(B4150&lt;parametros!$C$2,(YEAR(B4150)-YEAR(parametros!$C$2))*12+MONTH(B4150)-MONTH(parametros!$C$2)&gt;59),"Fora dos ciclos","C"&amp;INT(((YEAR(B4150)-YEAR(parametros!$C$2))*12+MONTH(B4150)-MONTH(parametros!$C$2))/12)))))</f>
        <v/>
      </c>
      <c r="D4150" s="394"/>
      <c r="E4150" s="78" t="str">
        <f>IF(C4150="","",IFERROR(VLOOKUP(C4150,parametros!$A$11:$E$15,5,0),""))</f>
        <v/>
      </c>
      <c r="F4150" s="79" t="str">
        <f t="shared" si="322"/>
        <v/>
      </c>
      <c r="G4150" s="395"/>
      <c r="H4150" s="91">
        <f t="shared" si="323"/>
        <v>0</v>
      </c>
      <c r="I4150" s="91" t="str">
        <f t="shared" si="324"/>
        <v/>
      </c>
      <c r="J4150" s="91" t="str">
        <f t="shared" si="325"/>
        <v/>
      </c>
      <c r="K4150" s="92" t="str">
        <f>IF(AND(A4150="",B4150="",D4150="",G4150=""),"",IF(AND(A4150&lt;&gt;"",COUNTIF($A$2:$A$5001,A4150)&gt;1),"NUMERO_PC duplicado",IF(B4150="","DATA_PC vazia",IF(NOT(ISNUMBER(B4150)),"DATA_PC invalida",IF(OR(C4150="",C4150="Fora dos ciclos"),"CICLO_PC nao identificado",IF(OR(D4150="",D4150=0),"VALOR_PC vazio ou zero",IF(AND(G4150&lt;&gt;"Sim",G4150&lt;&gt;"Nao",G4150&lt;&gt;""),"PC_PAGO_A_CONTRATADA invalido",IF(AND(C4150&lt;&gt;"C0",IFERROR(INDEX(parametros!$A$2:$A$6,MATCH(C4150,parametros!$B$2:$B$6,0)),"")="Sim",IFERROR(INDEX(parametros!$H$2:$H$6,MATCH(C4150,parametros!$B$2:$B$6,0)),"")=""),"INICIO_EFEITO ausente: PC "&amp;A4150&amp;" - "&amp;C4150,IF(L4150="","EFEITO_PC nao calculado: PC "&amp;A4150&amp;" - "&amp;C4150,"OK")))))))))</f>
        <v/>
      </c>
      <c r="L4150" s="92" t="str">
        <f>IF(AND(A4150="",B4150="",D4150="",G4150=""),"",IF(OR(B4150="",NOT(ISNUMBER(B4150)),C4150="",C4150="Fora dos ciclos"),"",IF(C4150="C0","Nao",IF(IFERROR(INDEX(parametros!$A$2:$A$6,MATCH(C4150,parametros!$B$2:$B$6,0)),"")&lt;&gt;"Sim","Nao",IF(IFERROR(INDEX(parametros!$H$2:$H$6,MATCH(C4150,parametros!$B$2:$B$6,0)),"")="","",IF(B4150&gt;=IFERROR(INDEX(parametros!$H$2:$H$6,MATCH(C4150,parametros!$B$2:$B$6,0)),""),"Sim","Nao"))))))</f>
        <v/>
      </c>
      <c r="T4150" s="156"/>
      <c r="U4150" s="214" t="str">
        <f t="shared" si="326"/>
        <v/>
      </c>
      <c r="V4150" s="212" t="s">
        <v>50</v>
      </c>
      <c r="W4150" s="100" t="s">
        <v>168</v>
      </c>
      <c r="X4150" s="100" t="s">
        <v>169</v>
      </c>
      <c r="Y4150" s="101" t="s">
        <v>170</v>
      </c>
      <c r="Z4150" s="101" t="s">
        <v>171</v>
      </c>
      <c r="AA4150" s="101" t="s">
        <v>50</v>
      </c>
      <c r="AB4150" s="101" t="s">
        <v>172</v>
      </c>
      <c r="AC4150" s="102" t="s">
        <v>173</v>
      </c>
    </row>
    <row r="4151" spans="1:29" ht="25.5" customHeight="1" x14ac:dyDescent="0.35">
      <c r="A4151" s="392"/>
      <c r="B4151" s="393"/>
      <c r="C4151" s="99" t="str">
        <f>IF(B4151="","",IF(NOT(ISNUMBER(B4151)),"DATA_PC invalida",IF(NOT(ISNUMBER(parametros!$C$2)),"Fora dos ciclos",IF(OR(B4151&lt;parametros!$C$2,(YEAR(B4151)-YEAR(parametros!$C$2))*12+MONTH(B4151)-MONTH(parametros!$C$2)&gt;59),"Fora dos ciclos","C"&amp;INT(((YEAR(B4151)-YEAR(parametros!$C$2))*12+MONTH(B4151)-MONTH(parametros!$C$2))/12)))))</f>
        <v/>
      </c>
      <c r="D4151" s="394"/>
      <c r="E4151" s="78" t="str">
        <f>IF(C4151="","",IFERROR(VLOOKUP(C4151,parametros!$A$11:$E$15,5,0),""))</f>
        <v/>
      </c>
      <c r="F4151" s="79" t="str">
        <f t="shared" si="322"/>
        <v/>
      </c>
      <c r="G4151" s="395"/>
      <c r="H4151" s="91">
        <f t="shared" si="323"/>
        <v>0</v>
      </c>
      <c r="I4151" s="91" t="str">
        <f t="shared" si="324"/>
        <v/>
      </c>
      <c r="J4151" s="91" t="str">
        <f t="shared" si="325"/>
        <v/>
      </c>
      <c r="K4151" s="92" t="str">
        <f>IF(AND(A4151="",B4151="",D4151="",G4151=""),"",IF(AND(A4151&lt;&gt;"",COUNTIF($A$2:$A$5001,A4151)&gt;1),"NUMERO_PC duplicado",IF(B4151="","DATA_PC vazia",IF(NOT(ISNUMBER(B4151)),"DATA_PC invalida",IF(OR(C4151="",C4151="Fora dos ciclos"),"CICLO_PC nao identificado",IF(OR(D4151="",D4151=0),"VALOR_PC vazio ou zero",IF(AND(G4151&lt;&gt;"Sim",G4151&lt;&gt;"Nao",G4151&lt;&gt;""),"PC_PAGO_A_CONTRATADA invalido",IF(AND(C4151&lt;&gt;"C0",IFERROR(INDEX(parametros!$A$2:$A$6,MATCH(C4151,parametros!$B$2:$B$6,0)),"")="Sim",IFERROR(INDEX(parametros!$H$2:$H$6,MATCH(C4151,parametros!$B$2:$B$6,0)),"")=""),"INICIO_EFEITO ausente: PC "&amp;A4151&amp;" - "&amp;C4151,IF(L4151="","EFEITO_PC nao calculado: PC "&amp;A4151&amp;" - "&amp;C4151,"OK")))))))))</f>
        <v/>
      </c>
      <c r="L4151" s="92" t="str">
        <f>IF(AND(A4151="",B4151="",D4151="",G4151=""),"",IF(OR(B4151="",NOT(ISNUMBER(B4151)),C4151="",C4151="Fora dos ciclos"),"",IF(C4151="C0","Nao",IF(IFERROR(INDEX(parametros!$A$2:$A$6,MATCH(C4151,parametros!$B$2:$B$6,0)),"")&lt;&gt;"Sim","Nao",IF(IFERROR(INDEX(parametros!$H$2:$H$6,MATCH(C4151,parametros!$B$2:$B$6,0)),"")="","",IF(B4151&gt;=IFERROR(INDEX(parametros!$H$2:$H$6,MATCH(C4151,parametros!$B$2:$B$6,0)),""),"Sim","Nao"))))))</f>
        <v/>
      </c>
      <c r="T4151" s="156"/>
      <c r="U4151" s="214" t="str">
        <f t="shared" si="326"/>
        <v/>
      </c>
      <c r="V4151" s="212" t="s">
        <v>50</v>
      </c>
      <c r="W4151" s="100" t="s">
        <v>168</v>
      </c>
      <c r="X4151" s="100" t="s">
        <v>169</v>
      </c>
      <c r="Y4151" s="101" t="s">
        <v>170</v>
      </c>
      <c r="Z4151" s="101" t="s">
        <v>171</v>
      </c>
      <c r="AA4151" s="101" t="s">
        <v>50</v>
      </c>
      <c r="AB4151" s="101" t="s">
        <v>172</v>
      </c>
      <c r="AC4151" s="102" t="s">
        <v>173</v>
      </c>
    </row>
    <row r="4152" spans="1:29" ht="25.5" customHeight="1" x14ac:dyDescent="0.35">
      <c r="A4152" s="392"/>
      <c r="B4152" s="393"/>
      <c r="C4152" s="99" t="str">
        <f>IF(B4152="","",IF(NOT(ISNUMBER(B4152)),"DATA_PC invalida",IF(NOT(ISNUMBER(parametros!$C$2)),"Fora dos ciclos",IF(OR(B4152&lt;parametros!$C$2,(YEAR(B4152)-YEAR(parametros!$C$2))*12+MONTH(B4152)-MONTH(parametros!$C$2)&gt;59),"Fora dos ciclos","C"&amp;INT(((YEAR(B4152)-YEAR(parametros!$C$2))*12+MONTH(B4152)-MONTH(parametros!$C$2))/12)))))</f>
        <v/>
      </c>
      <c r="D4152" s="394"/>
      <c r="E4152" s="78" t="str">
        <f>IF(C4152="","",IFERROR(VLOOKUP(C4152,parametros!$A$11:$E$15,5,0),""))</f>
        <v/>
      </c>
      <c r="F4152" s="79" t="str">
        <f t="shared" si="322"/>
        <v/>
      </c>
      <c r="G4152" s="395"/>
      <c r="H4152" s="91">
        <f t="shared" si="323"/>
        <v>0</v>
      </c>
      <c r="I4152" s="91" t="str">
        <f t="shared" si="324"/>
        <v/>
      </c>
      <c r="J4152" s="91" t="str">
        <f t="shared" si="325"/>
        <v/>
      </c>
      <c r="K4152" s="92" t="str">
        <f>IF(AND(A4152="",B4152="",D4152="",G4152=""),"",IF(AND(A4152&lt;&gt;"",COUNTIF($A$2:$A$5001,A4152)&gt;1),"NUMERO_PC duplicado",IF(B4152="","DATA_PC vazia",IF(NOT(ISNUMBER(B4152)),"DATA_PC invalida",IF(OR(C4152="",C4152="Fora dos ciclos"),"CICLO_PC nao identificado",IF(OR(D4152="",D4152=0),"VALOR_PC vazio ou zero",IF(AND(G4152&lt;&gt;"Sim",G4152&lt;&gt;"Nao",G4152&lt;&gt;""),"PC_PAGO_A_CONTRATADA invalido",IF(AND(C4152&lt;&gt;"C0",IFERROR(INDEX(parametros!$A$2:$A$6,MATCH(C4152,parametros!$B$2:$B$6,0)),"")="Sim",IFERROR(INDEX(parametros!$H$2:$H$6,MATCH(C4152,parametros!$B$2:$B$6,0)),"")=""),"INICIO_EFEITO ausente: PC "&amp;A4152&amp;" - "&amp;C4152,IF(L4152="","EFEITO_PC nao calculado: PC "&amp;A4152&amp;" - "&amp;C4152,"OK")))))))))</f>
        <v/>
      </c>
      <c r="L4152" s="92" t="str">
        <f>IF(AND(A4152="",B4152="",D4152="",G4152=""),"",IF(OR(B4152="",NOT(ISNUMBER(B4152)),C4152="",C4152="Fora dos ciclos"),"",IF(C4152="C0","Nao",IF(IFERROR(INDEX(parametros!$A$2:$A$6,MATCH(C4152,parametros!$B$2:$B$6,0)),"")&lt;&gt;"Sim","Nao",IF(IFERROR(INDEX(parametros!$H$2:$H$6,MATCH(C4152,parametros!$B$2:$B$6,0)),"")="","",IF(B4152&gt;=IFERROR(INDEX(parametros!$H$2:$H$6,MATCH(C4152,parametros!$B$2:$B$6,0)),""),"Sim","Nao"))))))</f>
        <v/>
      </c>
      <c r="T4152" s="156"/>
      <c r="U4152" s="214" t="str">
        <f t="shared" si="326"/>
        <v/>
      </c>
      <c r="V4152" s="212" t="s">
        <v>50</v>
      </c>
      <c r="W4152" s="100" t="s">
        <v>168</v>
      </c>
      <c r="X4152" s="100" t="s">
        <v>169</v>
      </c>
      <c r="Y4152" s="101" t="s">
        <v>170</v>
      </c>
      <c r="Z4152" s="101" t="s">
        <v>171</v>
      </c>
      <c r="AA4152" s="101" t="s">
        <v>50</v>
      </c>
      <c r="AB4152" s="101" t="s">
        <v>172</v>
      </c>
      <c r="AC4152" s="102" t="s">
        <v>173</v>
      </c>
    </row>
    <row r="4153" spans="1:29" ht="25.5" customHeight="1" x14ac:dyDescent="0.35">
      <c r="A4153" s="392"/>
      <c r="B4153" s="393"/>
      <c r="C4153" s="99" t="str">
        <f>IF(B4153="","",IF(NOT(ISNUMBER(B4153)),"DATA_PC invalida",IF(NOT(ISNUMBER(parametros!$C$2)),"Fora dos ciclos",IF(OR(B4153&lt;parametros!$C$2,(YEAR(B4153)-YEAR(parametros!$C$2))*12+MONTH(B4153)-MONTH(parametros!$C$2)&gt;59),"Fora dos ciclos","C"&amp;INT(((YEAR(B4153)-YEAR(parametros!$C$2))*12+MONTH(B4153)-MONTH(parametros!$C$2))/12)))))</f>
        <v/>
      </c>
      <c r="D4153" s="394"/>
      <c r="E4153" s="78" t="str">
        <f>IF(C4153="","",IFERROR(VLOOKUP(C4153,parametros!$A$11:$E$15,5,0),""))</f>
        <v/>
      </c>
      <c r="F4153" s="79" t="str">
        <f t="shared" si="322"/>
        <v/>
      </c>
      <c r="G4153" s="395"/>
      <c r="H4153" s="91">
        <f t="shared" si="323"/>
        <v>0</v>
      </c>
      <c r="I4153" s="91" t="str">
        <f t="shared" si="324"/>
        <v/>
      </c>
      <c r="J4153" s="91" t="str">
        <f t="shared" si="325"/>
        <v/>
      </c>
      <c r="K4153" s="92" t="str">
        <f>IF(AND(A4153="",B4153="",D4153="",G4153=""),"",IF(AND(A4153&lt;&gt;"",COUNTIF($A$2:$A$5001,A4153)&gt;1),"NUMERO_PC duplicado",IF(B4153="","DATA_PC vazia",IF(NOT(ISNUMBER(B4153)),"DATA_PC invalida",IF(OR(C4153="",C4153="Fora dos ciclos"),"CICLO_PC nao identificado",IF(OR(D4153="",D4153=0),"VALOR_PC vazio ou zero",IF(AND(G4153&lt;&gt;"Sim",G4153&lt;&gt;"Nao",G4153&lt;&gt;""),"PC_PAGO_A_CONTRATADA invalido",IF(AND(C4153&lt;&gt;"C0",IFERROR(INDEX(parametros!$A$2:$A$6,MATCH(C4153,parametros!$B$2:$B$6,0)),"")="Sim",IFERROR(INDEX(parametros!$H$2:$H$6,MATCH(C4153,parametros!$B$2:$B$6,0)),"")=""),"INICIO_EFEITO ausente: PC "&amp;A4153&amp;" - "&amp;C4153,IF(L4153="","EFEITO_PC nao calculado: PC "&amp;A4153&amp;" - "&amp;C4153,"OK")))))))))</f>
        <v/>
      </c>
      <c r="L4153" s="92" t="str">
        <f>IF(AND(A4153="",B4153="",D4153="",G4153=""),"",IF(OR(B4153="",NOT(ISNUMBER(B4153)),C4153="",C4153="Fora dos ciclos"),"",IF(C4153="C0","Nao",IF(IFERROR(INDEX(parametros!$A$2:$A$6,MATCH(C4153,parametros!$B$2:$B$6,0)),"")&lt;&gt;"Sim","Nao",IF(IFERROR(INDEX(parametros!$H$2:$H$6,MATCH(C4153,parametros!$B$2:$B$6,0)),"")="","",IF(B4153&gt;=IFERROR(INDEX(parametros!$H$2:$H$6,MATCH(C4153,parametros!$B$2:$B$6,0)),""),"Sim","Nao"))))))</f>
        <v/>
      </c>
      <c r="T4153" s="156"/>
      <c r="U4153" s="214" t="str">
        <f t="shared" si="326"/>
        <v/>
      </c>
      <c r="V4153" s="212" t="s">
        <v>50</v>
      </c>
      <c r="W4153" s="100" t="s">
        <v>168</v>
      </c>
      <c r="X4153" s="100" t="s">
        <v>169</v>
      </c>
      <c r="Y4153" s="101" t="s">
        <v>170</v>
      </c>
      <c r="Z4153" s="101" t="s">
        <v>171</v>
      </c>
      <c r="AA4153" s="101" t="s">
        <v>50</v>
      </c>
      <c r="AB4153" s="101" t="s">
        <v>172</v>
      </c>
      <c r="AC4153" s="102" t="s">
        <v>173</v>
      </c>
    </row>
    <row r="4154" spans="1:29" ht="25.5" customHeight="1" x14ac:dyDescent="0.35">
      <c r="A4154" s="392"/>
      <c r="B4154" s="393"/>
      <c r="C4154" s="99" t="str">
        <f>IF(B4154="","",IF(NOT(ISNUMBER(B4154)),"DATA_PC invalida",IF(NOT(ISNUMBER(parametros!$C$2)),"Fora dos ciclos",IF(OR(B4154&lt;parametros!$C$2,(YEAR(B4154)-YEAR(parametros!$C$2))*12+MONTH(B4154)-MONTH(parametros!$C$2)&gt;59),"Fora dos ciclos","C"&amp;INT(((YEAR(B4154)-YEAR(parametros!$C$2))*12+MONTH(B4154)-MONTH(parametros!$C$2))/12)))))</f>
        <v/>
      </c>
      <c r="D4154" s="394"/>
      <c r="E4154" s="78" t="str">
        <f>IF(C4154="","",IFERROR(VLOOKUP(C4154,parametros!$A$11:$E$15,5,0),""))</f>
        <v/>
      </c>
      <c r="F4154" s="79" t="str">
        <f t="shared" si="322"/>
        <v/>
      </c>
      <c r="G4154" s="395"/>
      <c r="H4154" s="91">
        <f t="shared" si="323"/>
        <v>0</v>
      </c>
      <c r="I4154" s="91" t="str">
        <f t="shared" si="324"/>
        <v/>
      </c>
      <c r="J4154" s="91" t="str">
        <f t="shared" si="325"/>
        <v/>
      </c>
      <c r="K4154" s="92" t="str">
        <f>IF(AND(A4154="",B4154="",D4154="",G4154=""),"",IF(AND(A4154&lt;&gt;"",COUNTIF($A$2:$A$5001,A4154)&gt;1),"NUMERO_PC duplicado",IF(B4154="","DATA_PC vazia",IF(NOT(ISNUMBER(B4154)),"DATA_PC invalida",IF(OR(C4154="",C4154="Fora dos ciclos"),"CICLO_PC nao identificado",IF(OR(D4154="",D4154=0),"VALOR_PC vazio ou zero",IF(AND(G4154&lt;&gt;"Sim",G4154&lt;&gt;"Nao",G4154&lt;&gt;""),"PC_PAGO_A_CONTRATADA invalido",IF(AND(C4154&lt;&gt;"C0",IFERROR(INDEX(parametros!$A$2:$A$6,MATCH(C4154,parametros!$B$2:$B$6,0)),"")="Sim",IFERROR(INDEX(parametros!$H$2:$H$6,MATCH(C4154,parametros!$B$2:$B$6,0)),"")=""),"INICIO_EFEITO ausente: PC "&amp;A4154&amp;" - "&amp;C4154,IF(L4154="","EFEITO_PC nao calculado: PC "&amp;A4154&amp;" - "&amp;C4154,"OK")))))))))</f>
        <v/>
      </c>
      <c r="L4154" s="92" t="str">
        <f>IF(AND(A4154="",B4154="",D4154="",G4154=""),"",IF(OR(B4154="",NOT(ISNUMBER(B4154)),C4154="",C4154="Fora dos ciclos"),"",IF(C4154="C0","Nao",IF(IFERROR(INDEX(parametros!$A$2:$A$6,MATCH(C4154,parametros!$B$2:$B$6,0)),"")&lt;&gt;"Sim","Nao",IF(IFERROR(INDEX(parametros!$H$2:$H$6,MATCH(C4154,parametros!$B$2:$B$6,0)),"")="","",IF(B4154&gt;=IFERROR(INDEX(parametros!$H$2:$H$6,MATCH(C4154,parametros!$B$2:$B$6,0)),""),"Sim","Nao"))))))</f>
        <v/>
      </c>
      <c r="T4154" s="156"/>
      <c r="U4154" s="214" t="str">
        <f t="shared" si="326"/>
        <v/>
      </c>
      <c r="V4154" s="212" t="s">
        <v>50</v>
      </c>
      <c r="W4154" s="100" t="s">
        <v>168</v>
      </c>
      <c r="X4154" s="100" t="s">
        <v>169</v>
      </c>
      <c r="Y4154" s="101" t="s">
        <v>170</v>
      </c>
      <c r="Z4154" s="101" t="s">
        <v>171</v>
      </c>
      <c r="AA4154" s="101" t="s">
        <v>50</v>
      </c>
      <c r="AB4154" s="101" t="s">
        <v>172</v>
      </c>
      <c r="AC4154" s="102" t="s">
        <v>173</v>
      </c>
    </row>
    <row r="4155" spans="1:29" ht="25.5" customHeight="1" x14ac:dyDescent="0.35">
      <c r="A4155" s="392"/>
      <c r="B4155" s="393"/>
      <c r="C4155" s="99" t="str">
        <f>IF(B4155="","",IF(NOT(ISNUMBER(B4155)),"DATA_PC invalida",IF(NOT(ISNUMBER(parametros!$C$2)),"Fora dos ciclos",IF(OR(B4155&lt;parametros!$C$2,(YEAR(B4155)-YEAR(parametros!$C$2))*12+MONTH(B4155)-MONTH(parametros!$C$2)&gt;59),"Fora dos ciclos","C"&amp;INT(((YEAR(B4155)-YEAR(parametros!$C$2))*12+MONTH(B4155)-MONTH(parametros!$C$2))/12)))))</f>
        <v/>
      </c>
      <c r="D4155" s="394"/>
      <c r="E4155" s="78" t="str">
        <f>IF(C4155="","",IFERROR(VLOOKUP(C4155,parametros!$A$11:$E$15,5,0),""))</f>
        <v/>
      </c>
      <c r="F4155" s="79" t="str">
        <f t="shared" si="322"/>
        <v/>
      </c>
      <c r="G4155" s="395"/>
      <c r="H4155" s="91">
        <f t="shared" si="323"/>
        <v>0</v>
      </c>
      <c r="I4155" s="91" t="str">
        <f t="shared" si="324"/>
        <v/>
      </c>
      <c r="J4155" s="91" t="str">
        <f t="shared" si="325"/>
        <v/>
      </c>
      <c r="K4155" s="92" t="str">
        <f>IF(AND(A4155="",B4155="",D4155="",G4155=""),"",IF(AND(A4155&lt;&gt;"",COUNTIF($A$2:$A$5001,A4155)&gt;1),"NUMERO_PC duplicado",IF(B4155="","DATA_PC vazia",IF(NOT(ISNUMBER(B4155)),"DATA_PC invalida",IF(OR(C4155="",C4155="Fora dos ciclos"),"CICLO_PC nao identificado",IF(OR(D4155="",D4155=0),"VALOR_PC vazio ou zero",IF(AND(G4155&lt;&gt;"Sim",G4155&lt;&gt;"Nao",G4155&lt;&gt;""),"PC_PAGO_A_CONTRATADA invalido",IF(AND(C4155&lt;&gt;"C0",IFERROR(INDEX(parametros!$A$2:$A$6,MATCH(C4155,parametros!$B$2:$B$6,0)),"")="Sim",IFERROR(INDEX(parametros!$H$2:$H$6,MATCH(C4155,parametros!$B$2:$B$6,0)),"")=""),"INICIO_EFEITO ausente: PC "&amp;A4155&amp;" - "&amp;C4155,IF(L4155="","EFEITO_PC nao calculado: PC "&amp;A4155&amp;" - "&amp;C4155,"OK")))))))))</f>
        <v/>
      </c>
      <c r="L4155" s="92" t="str">
        <f>IF(AND(A4155="",B4155="",D4155="",G4155=""),"",IF(OR(B4155="",NOT(ISNUMBER(B4155)),C4155="",C4155="Fora dos ciclos"),"",IF(C4155="C0","Nao",IF(IFERROR(INDEX(parametros!$A$2:$A$6,MATCH(C4155,parametros!$B$2:$B$6,0)),"")&lt;&gt;"Sim","Nao",IF(IFERROR(INDEX(parametros!$H$2:$H$6,MATCH(C4155,parametros!$B$2:$B$6,0)),"")="","",IF(B4155&gt;=IFERROR(INDEX(parametros!$H$2:$H$6,MATCH(C4155,parametros!$B$2:$B$6,0)),""),"Sim","Nao"))))))</f>
        <v/>
      </c>
      <c r="T4155" s="156"/>
      <c r="U4155" s="214" t="str">
        <f t="shared" si="326"/>
        <v/>
      </c>
      <c r="V4155" s="212" t="s">
        <v>50</v>
      </c>
      <c r="W4155" s="100" t="s">
        <v>168</v>
      </c>
      <c r="X4155" s="100" t="s">
        <v>169</v>
      </c>
      <c r="Y4155" s="101" t="s">
        <v>170</v>
      </c>
      <c r="Z4155" s="101" t="s">
        <v>171</v>
      </c>
      <c r="AA4155" s="101" t="s">
        <v>50</v>
      </c>
      <c r="AB4155" s="101" t="s">
        <v>172</v>
      </c>
      <c r="AC4155" s="102" t="s">
        <v>173</v>
      </c>
    </row>
    <row r="4156" spans="1:29" ht="25.5" customHeight="1" x14ac:dyDescent="0.35">
      <c r="A4156" s="392"/>
      <c r="B4156" s="393"/>
      <c r="C4156" s="99" t="str">
        <f>IF(B4156="","",IF(NOT(ISNUMBER(B4156)),"DATA_PC invalida",IF(NOT(ISNUMBER(parametros!$C$2)),"Fora dos ciclos",IF(OR(B4156&lt;parametros!$C$2,(YEAR(B4156)-YEAR(parametros!$C$2))*12+MONTH(B4156)-MONTH(parametros!$C$2)&gt;59),"Fora dos ciclos","C"&amp;INT(((YEAR(B4156)-YEAR(parametros!$C$2))*12+MONTH(B4156)-MONTH(parametros!$C$2))/12)))))</f>
        <v/>
      </c>
      <c r="D4156" s="394"/>
      <c r="E4156" s="78" t="str">
        <f>IF(C4156="","",IFERROR(VLOOKUP(C4156,parametros!$A$11:$E$15,5,0),""))</f>
        <v/>
      </c>
      <c r="F4156" s="79" t="str">
        <f t="shared" si="322"/>
        <v/>
      </c>
      <c r="G4156" s="395"/>
      <c r="H4156" s="91">
        <f t="shared" si="323"/>
        <v>0</v>
      </c>
      <c r="I4156" s="91" t="str">
        <f t="shared" si="324"/>
        <v/>
      </c>
      <c r="J4156" s="91" t="str">
        <f t="shared" si="325"/>
        <v/>
      </c>
      <c r="K4156" s="92" t="str">
        <f>IF(AND(A4156="",B4156="",D4156="",G4156=""),"",IF(AND(A4156&lt;&gt;"",COUNTIF($A$2:$A$5001,A4156)&gt;1),"NUMERO_PC duplicado",IF(B4156="","DATA_PC vazia",IF(NOT(ISNUMBER(B4156)),"DATA_PC invalida",IF(OR(C4156="",C4156="Fora dos ciclos"),"CICLO_PC nao identificado",IF(OR(D4156="",D4156=0),"VALOR_PC vazio ou zero",IF(AND(G4156&lt;&gt;"Sim",G4156&lt;&gt;"Nao",G4156&lt;&gt;""),"PC_PAGO_A_CONTRATADA invalido",IF(AND(C4156&lt;&gt;"C0",IFERROR(INDEX(parametros!$A$2:$A$6,MATCH(C4156,parametros!$B$2:$B$6,0)),"")="Sim",IFERROR(INDEX(parametros!$H$2:$H$6,MATCH(C4156,parametros!$B$2:$B$6,0)),"")=""),"INICIO_EFEITO ausente: PC "&amp;A4156&amp;" - "&amp;C4156,IF(L4156="","EFEITO_PC nao calculado: PC "&amp;A4156&amp;" - "&amp;C4156,"OK")))))))))</f>
        <v/>
      </c>
      <c r="L4156" s="92" t="str">
        <f>IF(AND(A4156="",B4156="",D4156="",G4156=""),"",IF(OR(B4156="",NOT(ISNUMBER(B4156)),C4156="",C4156="Fora dos ciclos"),"",IF(C4156="C0","Nao",IF(IFERROR(INDEX(parametros!$A$2:$A$6,MATCH(C4156,parametros!$B$2:$B$6,0)),"")&lt;&gt;"Sim","Nao",IF(IFERROR(INDEX(parametros!$H$2:$H$6,MATCH(C4156,parametros!$B$2:$B$6,0)),"")="","",IF(B4156&gt;=IFERROR(INDEX(parametros!$H$2:$H$6,MATCH(C4156,parametros!$B$2:$B$6,0)),""),"Sim","Nao"))))))</f>
        <v/>
      </c>
      <c r="T4156" s="156"/>
      <c r="U4156" s="214" t="str">
        <f t="shared" si="326"/>
        <v/>
      </c>
      <c r="V4156" s="212" t="s">
        <v>50</v>
      </c>
      <c r="W4156" s="100" t="s">
        <v>168</v>
      </c>
      <c r="X4156" s="100" t="s">
        <v>169</v>
      </c>
      <c r="Y4156" s="101" t="s">
        <v>170</v>
      </c>
      <c r="Z4156" s="101" t="s">
        <v>171</v>
      </c>
      <c r="AA4156" s="101" t="s">
        <v>50</v>
      </c>
      <c r="AB4156" s="101" t="s">
        <v>172</v>
      </c>
      <c r="AC4156" s="102" t="s">
        <v>173</v>
      </c>
    </row>
    <row r="4157" spans="1:29" ht="25.5" customHeight="1" x14ac:dyDescent="0.35">
      <c r="A4157" s="392"/>
      <c r="B4157" s="393"/>
      <c r="C4157" s="99" t="str">
        <f>IF(B4157="","",IF(NOT(ISNUMBER(B4157)),"DATA_PC invalida",IF(NOT(ISNUMBER(parametros!$C$2)),"Fora dos ciclos",IF(OR(B4157&lt;parametros!$C$2,(YEAR(B4157)-YEAR(parametros!$C$2))*12+MONTH(B4157)-MONTH(parametros!$C$2)&gt;59),"Fora dos ciclos","C"&amp;INT(((YEAR(B4157)-YEAR(parametros!$C$2))*12+MONTH(B4157)-MONTH(parametros!$C$2))/12)))))</f>
        <v/>
      </c>
      <c r="D4157" s="394"/>
      <c r="E4157" s="78" t="str">
        <f>IF(C4157="","",IFERROR(VLOOKUP(C4157,parametros!$A$11:$E$15,5,0),""))</f>
        <v/>
      </c>
      <c r="F4157" s="79" t="str">
        <f t="shared" si="322"/>
        <v/>
      </c>
      <c r="G4157" s="395"/>
      <c r="H4157" s="91">
        <f t="shared" si="323"/>
        <v>0</v>
      </c>
      <c r="I4157" s="91" t="str">
        <f t="shared" si="324"/>
        <v/>
      </c>
      <c r="J4157" s="91" t="str">
        <f t="shared" si="325"/>
        <v/>
      </c>
      <c r="K4157" s="92" t="str">
        <f>IF(AND(A4157="",B4157="",D4157="",G4157=""),"",IF(AND(A4157&lt;&gt;"",COUNTIF($A$2:$A$5001,A4157)&gt;1),"NUMERO_PC duplicado",IF(B4157="","DATA_PC vazia",IF(NOT(ISNUMBER(B4157)),"DATA_PC invalida",IF(OR(C4157="",C4157="Fora dos ciclos"),"CICLO_PC nao identificado",IF(OR(D4157="",D4157=0),"VALOR_PC vazio ou zero",IF(AND(G4157&lt;&gt;"Sim",G4157&lt;&gt;"Nao",G4157&lt;&gt;""),"PC_PAGO_A_CONTRATADA invalido",IF(AND(C4157&lt;&gt;"C0",IFERROR(INDEX(parametros!$A$2:$A$6,MATCH(C4157,parametros!$B$2:$B$6,0)),"")="Sim",IFERROR(INDEX(parametros!$H$2:$H$6,MATCH(C4157,parametros!$B$2:$B$6,0)),"")=""),"INICIO_EFEITO ausente: PC "&amp;A4157&amp;" - "&amp;C4157,IF(L4157="","EFEITO_PC nao calculado: PC "&amp;A4157&amp;" - "&amp;C4157,"OK")))))))))</f>
        <v/>
      </c>
      <c r="L4157" s="92" t="str">
        <f>IF(AND(A4157="",B4157="",D4157="",G4157=""),"",IF(OR(B4157="",NOT(ISNUMBER(B4157)),C4157="",C4157="Fora dos ciclos"),"",IF(C4157="C0","Nao",IF(IFERROR(INDEX(parametros!$A$2:$A$6,MATCH(C4157,parametros!$B$2:$B$6,0)),"")&lt;&gt;"Sim","Nao",IF(IFERROR(INDEX(parametros!$H$2:$H$6,MATCH(C4157,parametros!$B$2:$B$6,0)),"")="","",IF(B4157&gt;=IFERROR(INDEX(parametros!$H$2:$H$6,MATCH(C4157,parametros!$B$2:$B$6,0)),""),"Sim","Nao"))))))</f>
        <v/>
      </c>
      <c r="T4157" s="156"/>
      <c r="U4157" s="214" t="str">
        <f t="shared" si="326"/>
        <v/>
      </c>
      <c r="V4157" s="212" t="s">
        <v>50</v>
      </c>
      <c r="W4157" s="100" t="s">
        <v>168</v>
      </c>
      <c r="X4157" s="100" t="s">
        <v>169</v>
      </c>
      <c r="Y4157" s="101" t="s">
        <v>170</v>
      </c>
      <c r="Z4157" s="101" t="s">
        <v>171</v>
      </c>
      <c r="AA4157" s="101" t="s">
        <v>50</v>
      </c>
      <c r="AB4157" s="101" t="s">
        <v>172</v>
      </c>
      <c r="AC4157" s="102" t="s">
        <v>173</v>
      </c>
    </row>
    <row r="4158" spans="1:29" ht="25.5" customHeight="1" x14ac:dyDescent="0.35">
      <c r="A4158" s="392"/>
      <c r="B4158" s="393"/>
      <c r="C4158" s="99" t="str">
        <f>IF(B4158="","",IF(NOT(ISNUMBER(B4158)),"DATA_PC invalida",IF(NOT(ISNUMBER(parametros!$C$2)),"Fora dos ciclos",IF(OR(B4158&lt;parametros!$C$2,(YEAR(B4158)-YEAR(parametros!$C$2))*12+MONTH(B4158)-MONTH(parametros!$C$2)&gt;59),"Fora dos ciclos","C"&amp;INT(((YEAR(B4158)-YEAR(parametros!$C$2))*12+MONTH(B4158)-MONTH(parametros!$C$2))/12)))))</f>
        <v/>
      </c>
      <c r="D4158" s="394"/>
      <c r="E4158" s="78" t="str">
        <f>IF(C4158="","",IFERROR(VLOOKUP(C4158,parametros!$A$11:$E$15,5,0),""))</f>
        <v/>
      </c>
      <c r="F4158" s="79" t="str">
        <f t="shared" si="322"/>
        <v/>
      </c>
      <c r="G4158" s="395"/>
      <c r="H4158" s="91">
        <f t="shared" si="323"/>
        <v>0</v>
      </c>
      <c r="I4158" s="91" t="str">
        <f t="shared" si="324"/>
        <v/>
      </c>
      <c r="J4158" s="91" t="str">
        <f t="shared" si="325"/>
        <v/>
      </c>
      <c r="K4158" s="92" t="str">
        <f>IF(AND(A4158="",B4158="",D4158="",G4158=""),"",IF(AND(A4158&lt;&gt;"",COUNTIF($A$2:$A$5001,A4158)&gt;1),"NUMERO_PC duplicado",IF(B4158="","DATA_PC vazia",IF(NOT(ISNUMBER(B4158)),"DATA_PC invalida",IF(OR(C4158="",C4158="Fora dos ciclos"),"CICLO_PC nao identificado",IF(OR(D4158="",D4158=0),"VALOR_PC vazio ou zero",IF(AND(G4158&lt;&gt;"Sim",G4158&lt;&gt;"Nao",G4158&lt;&gt;""),"PC_PAGO_A_CONTRATADA invalido",IF(AND(C4158&lt;&gt;"C0",IFERROR(INDEX(parametros!$A$2:$A$6,MATCH(C4158,parametros!$B$2:$B$6,0)),"")="Sim",IFERROR(INDEX(parametros!$H$2:$H$6,MATCH(C4158,parametros!$B$2:$B$6,0)),"")=""),"INICIO_EFEITO ausente: PC "&amp;A4158&amp;" - "&amp;C4158,IF(L4158="","EFEITO_PC nao calculado: PC "&amp;A4158&amp;" - "&amp;C4158,"OK")))))))))</f>
        <v/>
      </c>
      <c r="L4158" s="92" t="str">
        <f>IF(AND(A4158="",B4158="",D4158="",G4158=""),"",IF(OR(B4158="",NOT(ISNUMBER(B4158)),C4158="",C4158="Fora dos ciclos"),"",IF(C4158="C0","Nao",IF(IFERROR(INDEX(parametros!$A$2:$A$6,MATCH(C4158,parametros!$B$2:$B$6,0)),"")&lt;&gt;"Sim","Nao",IF(IFERROR(INDEX(parametros!$H$2:$H$6,MATCH(C4158,parametros!$B$2:$B$6,0)),"")="","",IF(B4158&gt;=IFERROR(INDEX(parametros!$H$2:$H$6,MATCH(C4158,parametros!$B$2:$B$6,0)),""),"Sim","Nao"))))))</f>
        <v/>
      </c>
      <c r="T4158" s="156"/>
      <c r="U4158" s="214" t="str">
        <f t="shared" si="326"/>
        <v/>
      </c>
      <c r="V4158" s="212" t="s">
        <v>50</v>
      </c>
      <c r="W4158" s="100" t="s">
        <v>168</v>
      </c>
      <c r="X4158" s="100" t="s">
        <v>169</v>
      </c>
      <c r="Y4158" s="101" t="s">
        <v>170</v>
      </c>
      <c r="Z4158" s="101" t="s">
        <v>171</v>
      </c>
      <c r="AA4158" s="101" t="s">
        <v>50</v>
      </c>
      <c r="AB4158" s="101" t="s">
        <v>172</v>
      </c>
      <c r="AC4158" s="102" t="s">
        <v>173</v>
      </c>
    </row>
    <row r="4159" spans="1:29" ht="25.5" customHeight="1" x14ac:dyDescent="0.35">
      <c r="A4159" s="392"/>
      <c r="B4159" s="393"/>
      <c r="C4159" s="99" t="str">
        <f>IF(B4159="","",IF(NOT(ISNUMBER(B4159)),"DATA_PC invalida",IF(NOT(ISNUMBER(parametros!$C$2)),"Fora dos ciclos",IF(OR(B4159&lt;parametros!$C$2,(YEAR(B4159)-YEAR(parametros!$C$2))*12+MONTH(B4159)-MONTH(parametros!$C$2)&gt;59),"Fora dos ciclos","C"&amp;INT(((YEAR(B4159)-YEAR(parametros!$C$2))*12+MONTH(B4159)-MONTH(parametros!$C$2))/12)))))</f>
        <v/>
      </c>
      <c r="D4159" s="394"/>
      <c r="E4159" s="78" t="str">
        <f>IF(C4159="","",IFERROR(VLOOKUP(C4159,parametros!$A$11:$E$15,5,0),""))</f>
        <v/>
      </c>
      <c r="F4159" s="79" t="str">
        <f t="shared" si="322"/>
        <v/>
      </c>
      <c r="G4159" s="395"/>
      <c r="H4159" s="91">
        <f t="shared" si="323"/>
        <v>0</v>
      </c>
      <c r="I4159" s="91" t="str">
        <f t="shared" si="324"/>
        <v/>
      </c>
      <c r="J4159" s="91" t="str">
        <f t="shared" si="325"/>
        <v/>
      </c>
      <c r="K4159" s="92" t="str">
        <f>IF(AND(A4159="",B4159="",D4159="",G4159=""),"",IF(AND(A4159&lt;&gt;"",COUNTIF($A$2:$A$5001,A4159)&gt;1),"NUMERO_PC duplicado",IF(B4159="","DATA_PC vazia",IF(NOT(ISNUMBER(B4159)),"DATA_PC invalida",IF(OR(C4159="",C4159="Fora dos ciclos"),"CICLO_PC nao identificado",IF(OR(D4159="",D4159=0),"VALOR_PC vazio ou zero",IF(AND(G4159&lt;&gt;"Sim",G4159&lt;&gt;"Nao",G4159&lt;&gt;""),"PC_PAGO_A_CONTRATADA invalido",IF(AND(C4159&lt;&gt;"C0",IFERROR(INDEX(parametros!$A$2:$A$6,MATCH(C4159,parametros!$B$2:$B$6,0)),"")="Sim",IFERROR(INDEX(parametros!$H$2:$H$6,MATCH(C4159,parametros!$B$2:$B$6,0)),"")=""),"INICIO_EFEITO ausente: PC "&amp;A4159&amp;" - "&amp;C4159,IF(L4159="","EFEITO_PC nao calculado: PC "&amp;A4159&amp;" - "&amp;C4159,"OK")))))))))</f>
        <v/>
      </c>
      <c r="L4159" s="92" t="str">
        <f>IF(AND(A4159="",B4159="",D4159="",G4159=""),"",IF(OR(B4159="",NOT(ISNUMBER(B4159)),C4159="",C4159="Fora dos ciclos"),"",IF(C4159="C0","Nao",IF(IFERROR(INDEX(parametros!$A$2:$A$6,MATCH(C4159,parametros!$B$2:$B$6,0)),"")&lt;&gt;"Sim","Nao",IF(IFERROR(INDEX(parametros!$H$2:$H$6,MATCH(C4159,parametros!$B$2:$B$6,0)),"")="","",IF(B4159&gt;=IFERROR(INDEX(parametros!$H$2:$H$6,MATCH(C4159,parametros!$B$2:$B$6,0)),""),"Sim","Nao"))))))</f>
        <v/>
      </c>
      <c r="T4159" s="156"/>
      <c r="U4159" s="214" t="str">
        <f t="shared" si="326"/>
        <v/>
      </c>
      <c r="V4159" s="212" t="s">
        <v>50</v>
      </c>
      <c r="W4159" s="100" t="s">
        <v>168</v>
      </c>
      <c r="X4159" s="100" t="s">
        <v>169</v>
      </c>
      <c r="Y4159" s="101" t="s">
        <v>170</v>
      </c>
      <c r="Z4159" s="101" t="s">
        <v>171</v>
      </c>
      <c r="AA4159" s="101" t="s">
        <v>50</v>
      </c>
      <c r="AB4159" s="101" t="s">
        <v>172</v>
      </c>
      <c r="AC4159" s="102" t="s">
        <v>173</v>
      </c>
    </row>
    <row r="4160" spans="1:29" ht="25.5" customHeight="1" x14ac:dyDescent="0.35">
      <c r="A4160" s="392"/>
      <c r="B4160" s="393"/>
      <c r="C4160" s="99" t="str">
        <f>IF(B4160="","",IF(NOT(ISNUMBER(B4160)),"DATA_PC invalida",IF(NOT(ISNUMBER(parametros!$C$2)),"Fora dos ciclos",IF(OR(B4160&lt;parametros!$C$2,(YEAR(B4160)-YEAR(parametros!$C$2))*12+MONTH(B4160)-MONTH(parametros!$C$2)&gt;59),"Fora dos ciclos","C"&amp;INT(((YEAR(B4160)-YEAR(parametros!$C$2))*12+MONTH(B4160)-MONTH(parametros!$C$2))/12)))))</f>
        <v/>
      </c>
      <c r="D4160" s="394"/>
      <c r="E4160" s="78" t="str">
        <f>IF(C4160="","",IFERROR(VLOOKUP(C4160,parametros!$A$11:$E$15,5,0),""))</f>
        <v/>
      </c>
      <c r="F4160" s="79" t="str">
        <f t="shared" si="322"/>
        <v/>
      </c>
      <c r="G4160" s="395"/>
      <c r="H4160" s="91">
        <f t="shared" si="323"/>
        <v>0</v>
      </c>
      <c r="I4160" s="91" t="str">
        <f t="shared" si="324"/>
        <v/>
      </c>
      <c r="J4160" s="91" t="str">
        <f t="shared" si="325"/>
        <v/>
      </c>
      <c r="K4160" s="92" t="str">
        <f>IF(AND(A4160="",B4160="",D4160="",G4160=""),"",IF(AND(A4160&lt;&gt;"",COUNTIF($A$2:$A$5001,A4160)&gt;1),"NUMERO_PC duplicado",IF(B4160="","DATA_PC vazia",IF(NOT(ISNUMBER(B4160)),"DATA_PC invalida",IF(OR(C4160="",C4160="Fora dos ciclos"),"CICLO_PC nao identificado",IF(OR(D4160="",D4160=0),"VALOR_PC vazio ou zero",IF(AND(G4160&lt;&gt;"Sim",G4160&lt;&gt;"Nao",G4160&lt;&gt;""),"PC_PAGO_A_CONTRATADA invalido",IF(AND(C4160&lt;&gt;"C0",IFERROR(INDEX(parametros!$A$2:$A$6,MATCH(C4160,parametros!$B$2:$B$6,0)),"")="Sim",IFERROR(INDEX(parametros!$H$2:$H$6,MATCH(C4160,parametros!$B$2:$B$6,0)),"")=""),"INICIO_EFEITO ausente: PC "&amp;A4160&amp;" - "&amp;C4160,IF(L4160="","EFEITO_PC nao calculado: PC "&amp;A4160&amp;" - "&amp;C4160,"OK")))))))))</f>
        <v/>
      </c>
      <c r="L4160" s="92" t="str">
        <f>IF(AND(A4160="",B4160="",D4160="",G4160=""),"",IF(OR(B4160="",NOT(ISNUMBER(B4160)),C4160="",C4160="Fora dos ciclos"),"",IF(C4160="C0","Nao",IF(IFERROR(INDEX(parametros!$A$2:$A$6,MATCH(C4160,parametros!$B$2:$B$6,0)),"")&lt;&gt;"Sim","Nao",IF(IFERROR(INDEX(parametros!$H$2:$H$6,MATCH(C4160,parametros!$B$2:$B$6,0)),"")="","",IF(B4160&gt;=IFERROR(INDEX(parametros!$H$2:$H$6,MATCH(C4160,parametros!$B$2:$B$6,0)),""),"Sim","Nao"))))))</f>
        <v/>
      </c>
      <c r="T4160" s="156"/>
      <c r="U4160" s="214" t="str">
        <f t="shared" si="326"/>
        <v/>
      </c>
      <c r="V4160" s="212" t="s">
        <v>50</v>
      </c>
      <c r="W4160" s="100" t="s">
        <v>168</v>
      </c>
      <c r="X4160" s="100" t="s">
        <v>169</v>
      </c>
      <c r="Y4160" s="101" t="s">
        <v>170</v>
      </c>
      <c r="Z4160" s="101" t="s">
        <v>171</v>
      </c>
      <c r="AA4160" s="101" t="s">
        <v>50</v>
      </c>
      <c r="AB4160" s="101" t="s">
        <v>172</v>
      </c>
      <c r="AC4160" s="102" t="s">
        <v>173</v>
      </c>
    </row>
    <row r="4161" spans="1:29" ht="25.5" customHeight="1" x14ac:dyDescent="0.35">
      <c r="A4161" s="392"/>
      <c r="B4161" s="393"/>
      <c r="C4161" s="99" t="str">
        <f>IF(B4161="","",IF(NOT(ISNUMBER(B4161)),"DATA_PC invalida",IF(NOT(ISNUMBER(parametros!$C$2)),"Fora dos ciclos",IF(OR(B4161&lt;parametros!$C$2,(YEAR(B4161)-YEAR(parametros!$C$2))*12+MONTH(B4161)-MONTH(parametros!$C$2)&gt;59),"Fora dos ciclos","C"&amp;INT(((YEAR(B4161)-YEAR(parametros!$C$2))*12+MONTH(B4161)-MONTH(parametros!$C$2))/12)))))</f>
        <v/>
      </c>
      <c r="D4161" s="394"/>
      <c r="E4161" s="78" t="str">
        <f>IF(C4161="","",IFERROR(VLOOKUP(C4161,parametros!$A$11:$E$15,5,0),""))</f>
        <v/>
      </c>
      <c r="F4161" s="79" t="str">
        <f t="shared" si="322"/>
        <v/>
      </c>
      <c r="G4161" s="395"/>
      <c r="H4161" s="91">
        <f t="shared" si="323"/>
        <v>0</v>
      </c>
      <c r="I4161" s="91" t="str">
        <f t="shared" si="324"/>
        <v/>
      </c>
      <c r="J4161" s="91" t="str">
        <f t="shared" si="325"/>
        <v/>
      </c>
      <c r="K4161" s="92" t="str">
        <f>IF(AND(A4161="",B4161="",D4161="",G4161=""),"",IF(AND(A4161&lt;&gt;"",COUNTIF($A$2:$A$5001,A4161)&gt;1),"NUMERO_PC duplicado",IF(B4161="","DATA_PC vazia",IF(NOT(ISNUMBER(B4161)),"DATA_PC invalida",IF(OR(C4161="",C4161="Fora dos ciclos"),"CICLO_PC nao identificado",IF(OR(D4161="",D4161=0),"VALOR_PC vazio ou zero",IF(AND(G4161&lt;&gt;"Sim",G4161&lt;&gt;"Nao",G4161&lt;&gt;""),"PC_PAGO_A_CONTRATADA invalido",IF(AND(C4161&lt;&gt;"C0",IFERROR(INDEX(parametros!$A$2:$A$6,MATCH(C4161,parametros!$B$2:$B$6,0)),"")="Sim",IFERROR(INDEX(parametros!$H$2:$H$6,MATCH(C4161,parametros!$B$2:$B$6,0)),"")=""),"INICIO_EFEITO ausente: PC "&amp;A4161&amp;" - "&amp;C4161,IF(L4161="","EFEITO_PC nao calculado: PC "&amp;A4161&amp;" - "&amp;C4161,"OK")))))))))</f>
        <v/>
      </c>
      <c r="L4161" s="92" t="str">
        <f>IF(AND(A4161="",B4161="",D4161="",G4161=""),"",IF(OR(B4161="",NOT(ISNUMBER(B4161)),C4161="",C4161="Fora dos ciclos"),"",IF(C4161="C0","Nao",IF(IFERROR(INDEX(parametros!$A$2:$A$6,MATCH(C4161,parametros!$B$2:$B$6,0)),"")&lt;&gt;"Sim","Nao",IF(IFERROR(INDEX(parametros!$H$2:$H$6,MATCH(C4161,parametros!$B$2:$B$6,0)),"")="","",IF(B4161&gt;=IFERROR(INDEX(parametros!$H$2:$H$6,MATCH(C4161,parametros!$B$2:$B$6,0)),""),"Sim","Nao"))))))</f>
        <v/>
      </c>
      <c r="T4161" s="156"/>
      <c r="U4161" s="214" t="str">
        <f t="shared" si="326"/>
        <v/>
      </c>
      <c r="V4161" s="212" t="s">
        <v>50</v>
      </c>
      <c r="W4161" s="100" t="s">
        <v>168</v>
      </c>
      <c r="X4161" s="100" t="s">
        <v>169</v>
      </c>
      <c r="Y4161" s="101" t="s">
        <v>170</v>
      </c>
      <c r="Z4161" s="101" t="s">
        <v>171</v>
      </c>
      <c r="AA4161" s="101" t="s">
        <v>50</v>
      </c>
      <c r="AB4161" s="101" t="s">
        <v>172</v>
      </c>
      <c r="AC4161" s="102" t="s">
        <v>173</v>
      </c>
    </row>
    <row r="4162" spans="1:29" ht="25.5" customHeight="1" x14ac:dyDescent="0.35">
      <c r="A4162" s="392"/>
      <c r="B4162" s="393"/>
      <c r="C4162" s="99" t="str">
        <f>IF(B4162="","",IF(NOT(ISNUMBER(B4162)),"DATA_PC invalida",IF(NOT(ISNUMBER(parametros!$C$2)),"Fora dos ciclos",IF(OR(B4162&lt;parametros!$C$2,(YEAR(B4162)-YEAR(parametros!$C$2))*12+MONTH(B4162)-MONTH(parametros!$C$2)&gt;59),"Fora dos ciclos","C"&amp;INT(((YEAR(B4162)-YEAR(parametros!$C$2))*12+MONTH(B4162)-MONTH(parametros!$C$2))/12)))))</f>
        <v/>
      </c>
      <c r="D4162" s="394"/>
      <c r="E4162" s="78" t="str">
        <f>IF(C4162="","",IFERROR(VLOOKUP(C4162,parametros!$A$11:$E$15,5,0),""))</f>
        <v/>
      </c>
      <c r="F4162" s="79" t="str">
        <f t="shared" ref="F4162:F4225" si="327">IF(OR(D4162="",E4162=""),"",ROUND(D4162*E4162,2))</f>
        <v/>
      </c>
      <c r="G4162" s="395"/>
      <c r="H4162" s="91">
        <f t="shared" ref="H4162:H4225" si="328">IF(G4162="Sim",IF(OR(F4162="",D4162="",L4162=""),"",IF(L4162="Sim",ROUND(F4162-D4162,2),0)),0)</f>
        <v>0</v>
      </c>
      <c r="I4162" s="91" t="str">
        <f t="shared" ref="I4162:I4225" si="329">IF(G4162="Sim",0,IF(OR(F4162="",L4162=""),"",F4162))</f>
        <v/>
      </c>
      <c r="J4162" s="91" t="str">
        <f t="shared" ref="J4162:J4225" si="330">IF(G4162="Sim",0,IF(OR(F4162="",D4162="",L4162=""),"",IF(L4162="Sim",ROUND(F4162-D4162,2),0)))</f>
        <v/>
      </c>
      <c r="K4162" s="92" t="str">
        <f>IF(AND(A4162="",B4162="",D4162="",G4162=""),"",IF(AND(A4162&lt;&gt;"",COUNTIF($A$2:$A$5001,A4162)&gt;1),"NUMERO_PC duplicado",IF(B4162="","DATA_PC vazia",IF(NOT(ISNUMBER(B4162)),"DATA_PC invalida",IF(OR(C4162="",C4162="Fora dos ciclos"),"CICLO_PC nao identificado",IF(OR(D4162="",D4162=0),"VALOR_PC vazio ou zero",IF(AND(G4162&lt;&gt;"Sim",G4162&lt;&gt;"Nao",G4162&lt;&gt;""),"PC_PAGO_A_CONTRATADA invalido",IF(AND(C4162&lt;&gt;"C0",IFERROR(INDEX(parametros!$A$2:$A$6,MATCH(C4162,parametros!$B$2:$B$6,0)),"")="Sim",IFERROR(INDEX(parametros!$H$2:$H$6,MATCH(C4162,parametros!$B$2:$B$6,0)),"")=""),"INICIO_EFEITO ausente: PC "&amp;A4162&amp;" - "&amp;C4162,IF(L4162="","EFEITO_PC nao calculado: PC "&amp;A4162&amp;" - "&amp;C4162,"OK")))))))))</f>
        <v/>
      </c>
      <c r="L4162" s="92" t="str">
        <f>IF(AND(A4162="",B4162="",D4162="",G4162=""),"",IF(OR(B4162="",NOT(ISNUMBER(B4162)),C4162="",C4162="Fora dos ciclos"),"",IF(C4162="C0","Nao",IF(IFERROR(INDEX(parametros!$A$2:$A$6,MATCH(C4162,parametros!$B$2:$B$6,0)),"")&lt;&gt;"Sim","Nao",IF(IFERROR(INDEX(parametros!$H$2:$H$6,MATCH(C4162,parametros!$B$2:$B$6,0)),"")="","",IF(B4162&gt;=IFERROR(INDEX(parametros!$H$2:$H$6,MATCH(C4162,parametros!$B$2:$B$6,0)),""),"Sim","Nao"))))))</f>
        <v/>
      </c>
      <c r="T4162" s="156"/>
      <c r="U4162" s="214" t="str">
        <f t="shared" ref="U4162:U4225" si="331">IF(OR($D4162="",$H4162=""),"",ROUND($D4162+$H4162,2))</f>
        <v/>
      </c>
      <c r="V4162" s="212" t="s">
        <v>50</v>
      </c>
      <c r="W4162" s="100" t="s">
        <v>168</v>
      </c>
      <c r="X4162" s="100" t="s">
        <v>169</v>
      </c>
      <c r="Y4162" s="101" t="s">
        <v>170</v>
      </c>
      <c r="Z4162" s="101" t="s">
        <v>171</v>
      </c>
      <c r="AA4162" s="101" t="s">
        <v>50</v>
      </c>
      <c r="AB4162" s="101" t="s">
        <v>172</v>
      </c>
      <c r="AC4162" s="102" t="s">
        <v>173</v>
      </c>
    </row>
    <row r="4163" spans="1:29" ht="25.5" customHeight="1" x14ac:dyDescent="0.35">
      <c r="A4163" s="392"/>
      <c r="B4163" s="393"/>
      <c r="C4163" s="99" t="str">
        <f>IF(B4163="","",IF(NOT(ISNUMBER(B4163)),"DATA_PC invalida",IF(NOT(ISNUMBER(parametros!$C$2)),"Fora dos ciclos",IF(OR(B4163&lt;parametros!$C$2,(YEAR(B4163)-YEAR(parametros!$C$2))*12+MONTH(B4163)-MONTH(parametros!$C$2)&gt;59),"Fora dos ciclos","C"&amp;INT(((YEAR(B4163)-YEAR(parametros!$C$2))*12+MONTH(B4163)-MONTH(parametros!$C$2))/12)))))</f>
        <v/>
      </c>
      <c r="D4163" s="394"/>
      <c r="E4163" s="78" t="str">
        <f>IF(C4163="","",IFERROR(VLOOKUP(C4163,parametros!$A$11:$E$15,5,0),""))</f>
        <v/>
      </c>
      <c r="F4163" s="79" t="str">
        <f t="shared" si="327"/>
        <v/>
      </c>
      <c r="G4163" s="395"/>
      <c r="H4163" s="91">
        <f t="shared" si="328"/>
        <v>0</v>
      </c>
      <c r="I4163" s="91" t="str">
        <f t="shared" si="329"/>
        <v/>
      </c>
      <c r="J4163" s="91" t="str">
        <f t="shared" si="330"/>
        <v/>
      </c>
      <c r="K4163" s="92" t="str">
        <f>IF(AND(A4163="",B4163="",D4163="",G4163=""),"",IF(AND(A4163&lt;&gt;"",COUNTIF($A$2:$A$5001,A4163)&gt;1),"NUMERO_PC duplicado",IF(B4163="","DATA_PC vazia",IF(NOT(ISNUMBER(B4163)),"DATA_PC invalida",IF(OR(C4163="",C4163="Fora dos ciclos"),"CICLO_PC nao identificado",IF(OR(D4163="",D4163=0),"VALOR_PC vazio ou zero",IF(AND(G4163&lt;&gt;"Sim",G4163&lt;&gt;"Nao",G4163&lt;&gt;""),"PC_PAGO_A_CONTRATADA invalido",IF(AND(C4163&lt;&gt;"C0",IFERROR(INDEX(parametros!$A$2:$A$6,MATCH(C4163,parametros!$B$2:$B$6,0)),"")="Sim",IFERROR(INDEX(parametros!$H$2:$H$6,MATCH(C4163,parametros!$B$2:$B$6,0)),"")=""),"INICIO_EFEITO ausente: PC "&amp;A4163&amp;" - "&amp;C4163,IF(L4163="","EFEITO_PC nao calculado: PC "&amp;A4163&amp;" - "&amp;C4163,"OK")))))))))</f>
        <v/>
      </c>
      <c r="L4163" s="92" t="str">
        <f>IF(AND(A4163="",B4163="",D4163="",G4163=""),"",IF(OR(B4163="",NOT(ISNUMBER(B4163)),C4163="",C4163="Fora dos ciclos"),"",IF(C4163="C0","Nao",IF(IFERROR(INDEX(parametros!$A$2:$A$6,MATCH(C4163,parametros!$B$2:$B$6,0)),"")&lt;&gt;"Sim","Nao",IF(IFERROR(INDEX(parametros!$H$2:$H$6,MATCH(C4163,parametros!$B$2:$B$6,0)),"")="","",IF(B4163&gt;=IFERROR(INDEX(parametros!$H$2:$H$6,MATCH(C4163,parametros!$B$2:$B$6,0)),""),"Sim","Nao"))))))</f>
        <v/>
      </c>
      <c r="T4163" s="156"/>
      <c r="U4163" s="214" t="str">
        <f t="shared" si="331"/>
        <v/>
      </c>
      <c r="V4163" s="212" t="s">
        <v>50</v>
      </c>
      <c r="W4163" s="100" t="s">
        <v>168</v>
      </c>
      <c r="X4163" s="100" t="s">
        <v>169</v>
      </c>
      <c r="Y4163" s="101" t="s">
        <v>170</v>
      </c>
      <c r="Z4163" s="101" t="s">
        <v>171</v>
      </c>
      <c r="AA4163" s="101" t="s">
        <v>50</v>
      </c>
      <c r="AB4163" s="101" t="s">
        <v>172</v>
      </c>
      <c r="AC4163" s="102" t="s">
        <v>173</v>
      </c>
    </row>
    <row r="4164" spans="1:29" ht="25.5" customHeight="1" x14ac:dyDescent="0.35">
      <c r="A4164" s="392"/>
      <c r="B4164" s="393"/>
      <c r="C4164" s="99" t="str">
        <f>IF(B4164="","",IF(NOT(ISNUMBER(B4164)),"DATA_PC invalida",IF(NOT(ISNUMBER(parametros!$C$2)),"Fora dos ciclos",IF(OR(B4164&lt;parametros!$C$2,(YEAR(B4164)-YEAR(parametros!$C$2))*12+MONTH(B4164)-MONTH(parametros!$C$2)&gt;59),"Fora dos ciclos","C"&amp;INT(((YEAR(B4164)-YEAR(parametros!$C$2))*12+MONTH(B4164)-MONTH(parametros!$C$2))/12)))))</f>
        <v/>
      </c>
      <c r="D4164" s="394"/>
      <c r="E4164" s="78" t="str">
        <f>IF(C4164="","",IFERROR(VLOOKUP(C4164,parametros!$A$11:$E$15,5,0),""))</f>
        <v/>
      </c>
      <c r="F4164" s="79" t="str">
        <f t="shared" si="327"/>
        <v/>
      </c>
      <c r="G4164" s="395"/>
      <c r="H4164" s="91">
        <f t="shared" si="328"/>
        <v>0</v>
      </c>
      <c r="I4164" s="91" t="str">
        <f t="shared" si="329"/>
        <v/>
      </c>
      <c r="J4164" s="91" t="str">
        <f t="shared" si="330"/>
        <v/>
      </c>
      <c r="K4164" s="92" t="str">
        <f>IF(AND(A4164="",B4164="",D4164="",G4164=""),"",IF(AND(A4164&lt;&gt;"",COUNTIF($A$2:$A$5001,A4164)&gt;1),"NUMERO_PC duplicado",IF(B4164="","DATA_PC vazia",IF(NOT(ISNUMBER(B4164)),"DATA_PC invalida",IF(OR(C4164="",C4164="Fora dos ciclos"),"CICLO_PC nao identificado",IF(OR(D4164="",D4164=0),"VALOR_PC vazio ou zero",IF(AND(G4164&lt;&gt;"Sim",G4164&lt;&gt;"Nao",G4164&lt;&gt;""),"PC_PAGO_A_CONTRATADA invalido",IF(AND(C4164&lt;&gt;"C0",IFERROR(INDEX(parametros!$A$2:$A$6,MATCH(C4164,parametros!$B$2:$B$6,0)),"")="Sim",IFERROR(INDEX(parametros!$H$2:$H$6,MATCH(C4164,parametros!$B$2:$B$6,0)),"")=""),"INICIO_EFEITO ausente: PC "&amp;A4164&amp;" - "&amp;C4164,IF(L4164="","EFEITO_PC nao calculado: PC "&amp;A4164&amp;" - "&amp;C4164,"OK")))))))))</f>
        <v/>
      </c>
      <c r="L4164" s="92" t="str">
        <f>IF(AND(A4164="",B4164="",D4164="",G4164=""),"",IF(OR(B4164="",NOT(ISNUMBER(B4164)),C4164="",C4164="Fora dos ciclos"),"",IF(C4164="C0","Nao",IF(IFERROR(INDEX(parametros!$A$2:$A$6,MATCH(C4164,parametros!$B$2:$B$6,0)),"")&lt;&gt;"Sim","Nao",IF(IFERROR(INDEX(parametros!$H$2:$H$6,MATCH(C4164,parametros!$B$2:$B$6,0)),"")="","",IF(B4164&gt;=IFERROR(INDEX(parametros!$H$2:$H$6,MATCH(C4164,parametros!$B$2:$B$6,0)),""),"Sim","Nao"))))))</f>
        <v/>
      </c>
      <c r="T4164" s="156"/>
      <c r="U4164" s="214" t="str">
        <f t="shared" si="331"/>
        <v/>
      </c>
      <c r="V4164" s="212" t="s">
        <v>50</v>
      </c>
      <c r="W4164" s="100" t="s">
        <v>168</v>
      </c>
      <c r="X4164" s="100" t="s">
        <v>169</v>
      </c>
      <c r="Y4164" s="101" t="s">
        <v>170</v>
      </c>
      <c r="Z4164" s="101" t="s">
        <v>171</v>
      </c>
      <c r="AA4164" s="101" t="s">
        <v>50</v>
      </c>
      <c r="AB4164" s="101" t="s">
        <v>172</v>
      </c>
      <c r="AC4164" s="102" t="s">
        <v>173</v>
      </c>
    </row>
    <row r="4165" spans="1:29" ht="25.5" customHeight="1" x14ac:dyDescent="0.35">
      <c r="A4165" s="392"/>
      <c r="B4165" s="393"/>
      <c r="C4165" s="99" t="str">
        <f>IF(B4165="","",IF(NOT(ISNUMBER(B4165)),"DATA_PC invalida",IF(NOT(ISNUMBER(parametros!$C$2)),"Fora dos ciclos",IF(OR(B4165&lt;parametros!$C$2,(YEAR(B4165)-YEAR(parametros!$C$2))*12+MONTH(B4165)-MONTH(parametros!$C$2)&gt;59),"Fora dos ciclos","C"&amp;INT(((YEAR(B4165)-YEAR(parametros!$C$2))*12+MONTH(B4165)-MONTH(parametros!$C$2))/12)))))</f>
        <v/>
      </c>
      <c r="D4165" s="394"/>
      <c r="E4165" s="78" t="str">
        <f>IF(C4165="","",IFERROR(VLOOKUP(C4165,parametros!$A$11:$E$15,5,0),""))</f>
        <v/>
      </c>
      <c r="F4165" s="79" t="str">
        <f t="shared" si="327"/>
        <v/>
      </c>
      <c r="G4165" s="395"/>
      <c r="H4165" s="91">
        <f t="shared" si="328"/>
        <v>0</v>
      </c>
      <c r="I4165" s="91" t="str">
        <f t="shared" si="329"/>
        <v/>
      </c>
      <c r="J4165" s="91" t="str">
        <f t="shared" si="330"/>
        <v/>
      </c>
      <c r="K4165" s="92" t="str">
        <f>IF(AND(A4165="",B4165="",D4165="",G4165=""),"",IF(AND(A4165&lt;&gt;"",COUNTIF($A$2:$A$5001,A4165)&gt;1),"NUMERO_PC duplicado",IF(B4165="","DATA_PC vazia",IF(NOT(ISNUMBER(B4165)),"DATA_PC invalida",IF(OR(C4165="",C4165="Fora dos ciclos"),"CICLO_PC nao identificado",IF(OR(D4165="",D4165=0),"VALOR_PC vazio ou zero",IF(AND(G4165&lt;&gt;"Sim",G4165&lt;&gt;"Nao",G4165&lt;&gt;""),"PC_PAGO_A_CONTRATADA invalido",IF(AND(C4165&lt;&gt;"C0",IFERROR(INDEX(parametros!$A$2:$A$6,MATCH(C4165,parametros!$B$2:$B$6,0)),"")="Sim",IFERROR(INDEX(parametros!$H$2:$H$6,MATCH(C4165,parametros!$B$2:$B$6,0)),"")=""),"INICIO_EFEITO ausente: PC "&amp;A4165&amp;" - "&amp;C4165,IF(L4165="","EFEITO_PC nao calculado: PC "&amp;A4165&amp;" - "&amp;C4165,"OK")))))))))</f>
        <v/>
      </c>
      <c r="L4165" s="92" t="str">
        <f>IF(AND(A4165="",B4165="",D4165="",G4165=""),"",IF(OR(B4165="",NOT(ISNUMBER(B4165)),C4165="",C4165="Fora dos ciclos"),"",IF(C4165="C0","Nao",IF(IFERROR(INDEX(parametros!$A$2:$A$6,MATCH(C4165,parametros!$B$2:$B$6,0)),"")&lt;&gt;"Sim","Nao",IF(IFERROR(INDEX(parametros!$H$2:$H$6,MATCH(C4165,parametros!$B$2:$B$6,0)),"")="","",IF(B4165&gt;=IFERROR(INDEX(parametros!$H$2:$H$6,MATCH(C4165,parametros!$B$2:$B$6,0)),""),"Sim","Nao"))))))</f>
        <v/>
      </c>
      <c r="T4165" s="156"/>
      <c r="U4165" s="214" t="str">
        <f t="shared" si="331"/>
        <v/>
      </c>
      <c r="V4165" s="212" t="s">
        <v>50</v>
      </c>
      <c r="W4165" s="100" t="s">
        <v>168</v>
      </c>
      <c r="X4165" s="100" t="s">
        <v>169</v>
      </c>
      <c r="Y4165" s="101" t="s">
        <v>170</v>
      </c>
      <c r="Z4165" s="101" t="s">
        <v>171</v>
      </c>
      <c r="AA4165" s="101" t="s">
        <v>50</v>
      </c>
      <c r="AB4165" s="101" t="s">
        <v>172</v>
      </c>
      <c r="AC4165" s="102" t="s">
        <v>173</v>
      </c>
    </row>
    <row r="4166" spans="1:29" ht="25.5" customHeight="1" x14ac:dyDescent="0.35">
      <c r="A4166" s="392"/>
      <c r="B4166" s="393"/>
      <c r="C4166" s="99" t="str">
        <f>IF(B4166="","",IF(NOT(ISNUMBER(B4166)),"DATA_PC invalida",IF(NOT(ISNUMBER(parametros!$C$2)),"Fora dos ciclos",IF(OR(B4166&lt;parametros!$C$2,(YEAR(B4166)-YEAR(parametros!$C$2))*12+MONTH(B4166)-MONTH(parametros!$C$2)&gt;59),"Fora dos ciclos","C"&amp;INT(((YEAR(B4166)-YEAR(parametros!$C$2))*12+MONTH(B4166)-MONTH(parametros!$C$2))/12)))))</f>
        <v/>
      </c>
      <c r="D4166" s="394"/>
      <c r="E4166" s="78" t="str">
        <f>IF(C4166="","",IFERROR(VLOOKUP(C4166,parametros!$A$11:$E$15,5,0),""))</f>
        <v/>
      </c>
      <c r="F4166" s="79" t="str">
        <f t="shared" si="327"/>
        <v/>
      </c>
      <c r="G4166" s="395"/>
      <c r="H4166" s="91">
        <f t="shared" si="328"/>
        <v>0</v>
      </c>
      <c r="I4166" s="91" t="str">
        <f t="shared" si="329"/>
        <v/>
      </c>
      <c r="J4166" s="91" t="str">
        <f t="shared" si="330"/>
        <v/>
      </c>
      <c r="K4166" s="92" t="str">
        <f>IF(AND(A4166="",B4166="",D4166="",G4166=""),"",IF(AND(A4166&lt;&gt;"",COUNTIF($A$2:$A$5001,A4166)&gt;1),"NUMERO_PC duplicado",IF(B4166="","DATA_PC vazia",IF(NOT(ISNUMBER(B4166)),"DATA_PC invalida",IF(OR(C4166="",C4166="Fora dos ciclos"),"CICLO_PC nao identificado",IF(OR(D4166="",D4166=0),"VALOR_PC vazio ou zero",IF(AND(G4166&lt;&gt;"Sim",G4166&lt;&gt;"Nao",G4166&lt;&gt;""),"PC_PAGO_A_CONTRATADA invalido",IF(AND(C4166&lt;&gt;"C0",IFERROR(INDEX(parametros!$A$2:$A$6,MATCH(C4166,parametros!$B$2:$B$6,0)),"")="Sim",IFERROR(INDEX(parametros!$H$2:$H$6,MATCH(C4166,parametros!$B$2:$B$6,0)),"")=""),"INICIO_EFEITO ausente: PC "&amp;A4166&amp;" - "&amp;C4166,IF(L4166="","EFEITO_PC nao calculado: PC "&amp;A4166&amp;" - "&amp;C4166,"OK")))))))))</f>
        <v/>
      </c>
      <c r="L4166" s="92" t="str">
        <f>IF(AND(A4166="",B4166="",D4166="",G4166=""),"",IF(OR(B4166="",NOT(ISNUMBER(B4166)),C4166="",C4166="Fora dos ciclos"),"",IF(C4166="C0","Nao",IF(IFERROR(INDEX(parametros!$A$2:$A$6,MATCH(C4166,parametros!$B$2:$B$6,0)),"")&lt;&gt;"Sim","Nao",IF(IFERROR(INDEX(parametros!$H$2:$H$6,MATCH(C4166,parametros!$B$2:$B$6,0)),"")="","",IF(B4166&gt;=IFERROR(INDEX(parametros!$H$2:$H$6,MATCH(C4166,parametros!$B$2:$B$6,0)),""),"Sim","Nao"))))))</f>
        <v/>
      </c>
      <c r="T4166" s="156"/>
      <c r="U4166" s="214" t="str">
        <f t="shared" si="331"/>
        <v/>
      </c>
      <c r="V4166" s="212" t="s">
        <v>50</v>
      </c>
      <c r="W4166" s="100" t="s">
        <v>168</v>
      </c>
      <c r="X4166" s="100" t="s">
        <v>169</v>
      </c>
      <c r="Y4166" s="101" t="s">
        <v>170</v>
      </c>
      <c r="Z4166" s="101" t="s">
        <v>171</v>
      </c>
      <c r="AA4166" s="101" t="s">
        <v>50</v>
      </c>
      <c r="AB4166" s="101" t="s">
        <v>172</v>
      </c>
      <c r="AC4166" s="102" t="s">
        <v>173</v>
      </c>
    </row>
    <row r="4167" spans="1:29" ht="25.5" customHeight="1" x14ac:dyDescent="0.35">
      <c r="A4167" s="392"/>
      <c r="B4167" s="393"/>
      <c r="C4167" s="99" t="str">
        <f>IF(B4167="","",IF(NOT(ISNUMBER(B4167)),"DATA_PC invalida",IF(NOT(ISNUMBER(parametros!$C$2)),"Fora dos ciclos",IF(OR(B4167&lt;parametros!$C$2,(YEAR(B4167)-YEAR(parametros!$C$2))*12+MONTH(B4167)-MONTH(parametros!$C$2)&gt;59),"Fora dos ciclos","C"&amp;INT(((YEAR(B4167)-YEAR(parametros!$C$2))*12+MONTH(B4167)-MONTH(parametros!$C$2))/12)))))</f>
        <v/>
      </c>
      <c r="D4167" s="394"/>
      <c r="E4167" s="78" t="str">
        <f>IF(C4167="","",IFERROR(VLOOKUP(C4167,parametros!$A$11:$E$15,5,0),""))</f>
        <v/>
      </c>
      <c r="F4167" s="79" t="str">
        <f t="shared" si="327"/>
        <v/>
      </c>
      <c r="G4167" s="395"/>
      <c r="H4167" s="91">
        <f t="shared" si="328"/>
        <v>0</v>
      </c>
      <c r="I4167" s="91" t="str">
        <f t="shared" si="329"/>
        <v/>
      </c>
      <c r="J4167" s="91" t="str">
        <f t="shared" si="330"/>
        <v/>
      </c>
      <c r="K4167" s="92" t="str">
        <f>IF(AND(A4167="",B4167="",D4167="",G4167=""),"",IF(AND(A4167&lt;&gt;"",COUNTIF($A$2:$A$5001,A4167)&gt;1),"NUMERO_PC duplicado",IF(B4167="","DATA_PC vazia",IF(NOT(ISNUMBER(B4167)),"DATA_PC invalida",IF(OR(C4167="",C4167="Fora dos ciclos"),"CICLO_PC nao identificado",IF(OR(D4167="",D4167=0),"VALOR_PC vazio ou zero",IF(AND(G4167&lt;&gt;"Sim",G4167&lt;&gt;"Nao",G4167&lt;&gt;""),"PC_PAGO_A_CONTRATADA invalido",IF(AND(C4167&lt;&gt;"C0",IFERROR(INDEX(parametros!$A$2:$A$6,MATCH(C4167,parametros!$B$2:$B$6,0)),"")="Sim",IFERROR(INDEX(parametros!$H$2:$H$6,MATCH(C4167,parametros!$B$2:$B$6,0)),"")=""),"INICIO_EFEITO ausente: PC "&amp;A4167&amp;" - "&amp;C4167,IF(L4167="","EFEITO_PC nao calculado: PC "&amp;A4167&amp;" - "&amp;C4167,"OK")))))))))</f>
        <v/>
      </c>
      <c r="L4167" s="92" t="str">
        <f>IF(AND(A4167="",B4167="",D4167="",G4167=""),"",IF(OR(B4167="",NOT(ISNUMBER(B4167)),C4167="",C4167="Fora dos ciclos"),"",IF(C4167="C0","Nao",IF(IFERROR(INDEX(parametros!$A$2:$A$6,MATCH(C4167,parametros!$B$2:$B$6,0)),"")&lt;&gt;"Sim","Nao",IF(IFERROR(INDEX(parametros!$H$2:$H$6,MATCH(C4167,parametros!$B$2:$B$6,0)),"")="","",IF(B4167&gt;=IFERROR(INDEX(parametros!$H$2:$H$6,MATCH(C4167,parametros!$B$2:$B$6,0)),""),"Sim","Nao"))))))</f>
        <v/>
      </c>
      <c r="T4167" s="156"/>
      <c r="U4167" s="214" t="str">
        <f t="shared" si="331"/>
        <v/>
      </c>
      <c r="V4167" s="212" t="s">
        <v>50</v>
      </c>
      <c r="W4167" s="100" t="s">
        <v>168</v>
      </c>
      <c r="X4167" s="100" t="s">
        <v>169</v>
      </c>
      <c r="Y4167" s="101" t="s">
        <v>170</v>
      </c>
      <c r="Z4167" s="101" t="s">
        <v>171</v>
      </c>
      <c r="AA4167" s="101" t="s">
        <v>50</v>
      </c>
      <c r="AB4167" s="101" t="s">
        <v>172</v>
      </c>
      <c r="AC4167" s="102" t="s">
        <v>173</v>
      </c>
    </row>
    <row r="4168" spans="1:29" ht="25.5" customHeight="1" x14ac:dyDescent="0.35">
      <c r="A4168" s="392"/>
      <c r="B4168" s="393"/>
      <c r="C4168" s="99" t="str">
        <f>IF(B4168="","",IF(NOT(ISNUMBER(B4168)),"DATA_PC invalida",IF(NOT(ISNUMBER(parametros!$C$2)),"Fora dos ciclos",IF(OR(B4168&lt;parametros!$C$2,(YEAR(B4168)-YEAR(parametros!$C$2))*12+MONTH(B4168)-MONTH(parametros!$C$2)&gt;59),"Fora dos ciclos","C"&amp;INT(((YEAR(B4168)-YEAR(parametros!$C$2))*12+MONTH(B4168)-MONTH(parametros!$C$2))/12)))))</f>
        <v/>
      </c>
      <c r="D4168" s="394"/>
      <c r="E4168" s="78" t="str">
        <f>IF(C4168="","",IFERROR(VLOOKUP(C4168,parametros!$A$11:$E$15,5,0),""))</f>
        <v/>
      </c>
      <c r="F4168" s="79" t="str">
        <f t="shared" si="327"/>
        <v/>
      </c>
      <c r="G4168" s="395"/>
      <c r="H4168" s="91">
        <f t="shared" si="328"/>
        <v>0</v>
      </c>
      <c r="I4168" s="91" t="str">
        <f t="shared" si="329"/>
        <v/>
      </c>
      <c r="J4168" s="91" t="str">
        <f t="shared" si="330"/>
        <v/>
      </c>
      <c r="K4168" s="92" t="str">
        <f>IF(AND(A4168="",B4168="",D4168="",G4168=""),"",IF(AND(A4168&lt;&gt;"",COUNTIF($A$2:$A$5001,A4168)&gt;1),"NUMERO_PC duplicado",IF(B4168="","DATA_PC vazia",IF(NOT(ISNUMBER(B4168)),"DATA_PC invalida",IF(OR(C4168="",C4168="Fora dos ciclos"),"CICLO_PC nao identificado",IF(OR(D4168="",D4168=0),"VALOR_PC vazio ou zero",IF(AND(G4168&lt;&gt;"Sim",G4168&lt;&gt;"Nao",G4168&lt;&gt;""),"PC_PAGO_A_CONTRATADA invalido",IF(AND(C4168&lt;&gt;"C0",IFERROR(INDEX(parametros!$A$2:$A$6,MATCH(C4168,parametros!$B$2:$B$6,0)),"")="Sim",IFERROR(INDEX(parametros!$H$2:$H$6,MATCH(C4168,parametros!$B$2:$B$6,0)),"")=""),"INICIO_EFEITO ausente: PC "&amp;A4168&amp;" - "&amp;C4168,IF(L4168="","EFEITO_PC nao calculado: PC "&amp;A4168&amp;" - "&amp;C4168,"OK")))))))))</f>
        <v/>
      </c>
      <c r="L4168" s="92" t="str">
        <f>IF(AND(A4168="",B4168="",D4168="",G4168=""),"",IF(OR(B4168="",NOT(ISNUMBER(B4168)),C4168="",C4168="Fora dos ciclos"),"",IF(C4168="C0","Nao",IF(IFERROR(INDEX(parametros!$A$2:$A$6,MATCH(C4168,parametros!$B$2:$B$6,0)),"")&lt;&gt;"Sim","Nao",IF(IFERROR(INDEX(parametros!$H$2:$H$6,MATCH(C4168,parametros!$B$2:$B$6,0)),"")="","",IF(B4168&gt;=IFERROR(INDEX(parametros!$H$2:$H$6,MATCH(C4168,parametros!$B$2:$B$6,0)),""),"Sim","Nao"))))))</f>
        <v/>
      </c>
      <c r="T4168" s="156"/>
      <c r="U4168" s="214" t="str">
        <f t="shared" si="331"/>
        <v/>
      </c>
      <c r="V4168" s="212" t="s">
        <v>50</v>
      </c>
      <c r="W4168" s="100" t="s">
        <v>168</v>
      </c>
      <c r="X4168" s="100" t="s">
        <v>169</v>
      </c>
      <c r="Y4168" s="101" t="s">
        <v>170</v>
      </c>
      <c r="Z4168" s="101" t="s">
        <v>171</v>
      </c>
      <c r="AA4168" s="101" t="s">
        <v>50</v>
      </c>
      <c r="AB4168" s="101" t="s">
        <v>172</v>
      </c>
      <c r="AC4168" s="102" t="s">
        <v>173</v>
      </c>
    </row>
    <row r="4169" spans="1:29" ht="25.5" customHeight="1" x14ac:dyDescent="0.35">
      <c r="A4169" s="392"/>
      <c r="B4169" s="393"/>
      <c r="C4169" s="99" t="str">
        <f>IF(B4169="","",IF(NOT(ISNUMBER(B4169)),"DATA_PC invalida",IF(NOT(ISNUMBER(parametros!$C$2)),"Fora dos ciclos",IF(OR(B4169&lt;parametros!$C$2,(YEAR(B4169)-YEAR(parametros!$C$2))*12+MONTH(B4169)-MONTH(parametros!$C$2)&gt;59),"Fora dos ciclos","C"&amp;INT(((YEAR(B4169)-YEAR(parametros!$C$2))*12+MONTH(B4169)-MONTH(parametros!$C$2))/12)))))</f>
        <v/>
      </c>
      <c r="D4169" s="394"/>
      <c r="E4169" s="78" t="str">
        <f>IF(C4169="","",IFERROR(VLOOKUP(C4169,parametros!$A$11:$E$15,5,0),""))</f>
        <v/>
      </c>
      <c r="F4169" s="79" t="str">
        <f t="shared" si="327"/>
        <v/>
      </c>
      <c r="G4169" s="395"/>
      <c r="H4169" s="91">
        <f t="shared" si="328"/>
        <v>0</v>
      </c>
      <c r="I4169" s="91" t="str">
        <f t="shared" si="329"/>
        <v/>
      </c>
      <c r="J4169" s="91" t="str">
        <f t="shared" si="330"/>
        <v/>
      </c>
      <c r="K4169" s="92" t="str">
        <f>IF(AND(A4169="",B4169="",D4169="",G4169=""),"",IF(AND(A4169&lt;&gt;"",COUNTIF($A$2:$A$5001,A4169)&gt;1),"NUMERO_PC duplicado",IF(B4169="","DATA_PC vazia",IF(NOT(ISNUMBER(B4169)),"DATA_PC invalida",IF(OR(C4169="",C4169="Fora dos ciclos"),"CICLO_PC nao identificado",IF(OR(D4169="",D4169=0),"VALOR_PC vazio ou zero",IF(AND(G4169&lt;&gt;"Sim",G4169&lt;&gt;"Nao",G4169&lt;&gt;""),"PC_PAGO_A_CONTRATADA invalido",IF(AND(C4169&lt;&gt;"C0",IFERROR(INDEX(parametros!$A$2:$A$6,MATCH(C4169,parametros!$B$2:$B$6,0)),"")="Sim",IFERROR(INDEX(parametros!$H$2:$H$6,MATCH(C4169,parametros!$B$2:$B$6,0)),"")=""),"INICIO_EFEITO ausente: PC "&amp;A4169&amp;" - "&amp;C4169,IF(L4169="","EFEITO_PC nao calculado: PC "&amp;A4169&amp;" - "&amp;C4169,"OK")))))))))</f>
        <v/>
      </c>
      <c r="L4169" s="92" t="str">
        <f>IF(AND(A4169="",B4169="",D4169="",G4169=""),"",IF(OR(B4169="",NOT(ISNUMBER(B4169)),C4169="",C4169="Fora dos ciclos"),"",IF(C4169="C0","Nao",IF(IFERROR(INDEX(parametros!$A$2:$A$6,MATCH(C4169,parametros!$B$2:$B$6,0)),"")&lt;&gt;"Sim","Nao",IF(IFERROR(INDEX(parametros!$H$2:$H$6,MATCH(C4169,parametros!$B$2:$B$6,0)),"")="","",IF(B4169&gt;=IFERROR(INDEX(parametros!$H$2:$H$6,MATCH(C4169,parametros!$B$2:$B$6,0)),""),"Sim","Nao"))))))</f>
        <v/>
      </c>
      <c r="T4169" s="156"/>
      <c r="U4169" s="214" t="str">
        <f t="shared" si="331"/>
        <v/>
      </c>
      <c r="V4169" s="212" t="s">
        <v>50</v>
      </c>
      <c r="W4169" s="100" t="s">
        <v>168</v>
      </c>
      <c r="X4169" s="100" t="s">
        <v>169</v>
      </c>
      <c r="Y4169" s="101" t="s">
        <v>170</v>
      </c>
      <c r="Z4169" s="101" t="s">
        <v>171</v>
      </c>
      <c r="AA4169" s="101" t="s">
        <v>50</v>
      </c>
      <c r="AB4169" s="101" t="s">
        <v>172</v>
      </c>
      <c r="AC4169" s="102" t="s">
        <v>173</v>
      </c>
    </row>
    <row r="4170" spans="1:29" ht="25.5" customHeight="1" x14ac:dyDescent="0.35">
      <c r="A4170" s="392"/>
      <c r="B4170" s="393"/>
      <c r="C4170" s="99" t="str">
        <f>IF(B4170="","",IF(NOT(ISNUMBER(B4170)),"DATA_PC invalida",IF(NOT(ISNUMBER(parametros!$C$2)),"Fora dos ciclos",IF(OR(B4170&lt;parametros!$C$2,(YEAR(B4170)-YEAR(parametros!$C$2))*12+MONTH(B4170)-MONTH(parametros!$C$2)&gt;59),"Fora dos ciclos","C"&amp;INT(((YEAR(B4170)-YEAR(parametros!$C$2))*12+MONTH(B4170)-MONTH(parametros!$C$2))/12)))))</f>
        <v/>
      </c>
      <c r="D4170" s="394"/>
      <c r="E4170" s="78" t="str">
        <f>IF(C4170="","",IFERROR(VLOOKUP(C4170,parametros!$A$11:$E$15,5,0),""))</f>
        <v/>
      </c>
      <c r="F4170" s="79" t="str">
        <f t="shared" si="327"/>
        <v/>
      </c>
      <c r="G4170" s="395"/>
      <c r="H4170" s="91">
        <f t="shared" si="328"/>
        <v>0</v>
      </c>
      <c r="I4170" s="91" t="str">
        <f t="shared" si="329"/>
        <v/>
      </c>
      <c r="J4170" s="91" t="str">
        <f t="shared" si="330"/>
        <v/>
      </c>
      <c r="K4170" s="92" t="str">
        <f>IF(AND(A4170="",B4170="",D4170="",G4170=""),"",IF(AND(A4170&lt;&gt;"",COUNTIF($A$2:$A$5001,A4170)&gt;1),"NUMERO_PC duplicado",IF(B4170="","DATA_PC vazia",IF(NOT(ISNUMBER(B4170)),"DATA_PC invalida",IF(OR(C4170="",C4170="Fora dos ciclos"),"CICLO_PC nao identificado",IF(OR(D4170="",D4170=0),"VALOR_PC vazio ou zero",IF(AND(G4170&lt;&gt;"Sim",G4170&lt;&gt;"Nao",G4170&lt;&gt;""),"PC_PAGO_A_CONTRATADA invalido",IF(AND(C4170&lt;&gt;"C0",IFERROR(INDEX(parametros!$A$2:$A$6,MATCH(C4170,parametros!$B$2:$B$6,0)),"")="Sim",IFERROR(INDEX(parametros!$H$2:$H$6,MATCH(C4170,parametros!$B$2:$B$6,0)),"")=""),"INICIO_EFEITO ausente: PC "&amp;A4170&amp;" - "&amp;C4170,IF(L4170="","EFEITO_PC nao calculado: PC "&amp;A4170&amp;" - "&amp;C4170,"OK")))))))))</f>
        <v/>
      </c>
      <c r="L4170" s="92" t="str">
        <f>IF(AND(A4170="",B4170="",D4170="",G4170=""),"",IF(OR(B4170="",NOT(ISNUMBER(B4170)),C4170="",C4170="Fora dos ciclos"),"",IF(C4170="C0","Nao",IF(IFERROR(INDEX(parametros!$A$2:$A$6,MATCH(C4170,parametros!$B$2:$B$6,0)),"")&lt;&gt;"Sim","Nao",IF(IFERROR(INDEX(parametros!$H$2:$H$6,MATCH(C4170,parametros!$B$2:$B$6,0)),"")="","",IF(B4170&gt;=IFERROR(INDEX(parametros!$H$2:$H$6,MATCH(C4170,parametros!$B$2:$B$6,0)),""),"Sim","Nao"))))))</f>
        <v/>
      </c>
      <c r="T4170" s="156"/>
      <c r="U4170" s="214" t="str">
        <f t="shared" si="331"/>
        <v/>
      </c>
      <c r="V4170" s="212" t="s">
        <v>50</v>
      </c>
      <c r="W4170" s="100" t="s">
        <v>168</v>
      </c>
      <c r="X4170" s="100" t="s">
        <v>169</v>
      </c>
      <c r="Y4170" s="101" t="s">
        <v>170</v>
      </c>
      <c r="Z4170" s="101" t="s">
        <v>171</v>
      </c>
      <c r="AA4170" s="101" t="s">
        <v>50</v>
      </c>
      <c r="AB4170" s="101" t="s">
        <v>172</v>
      </c>
      <c r="AC4170" s="102" t="s">
        <v>173</v>
      </c>
    </row>
    <row r="4171" spans="1:29" ht="25.5" customHeight="1" x14ac:dyDescent="0.35">
      <c r="A4171" s="392"/>
      <c r="B4171" s="393"/>
      <c r="C4171" s="99" t="str">
        <f>IF(B4171="","",IF(NOT(ISNUMBER(B4171)),"DATA_PC invalida",IF(NOT(ISNUMBER(parametros!$C$2)),"Fora dos ciclos",IF(OR(B4171&lt;parametros!$C$2,(YEAR(B4171)-YEAR(parametros!$C$2))*12+MONTH(B4171)-MONTH(parametros!$C$2)&gt;59),"Fora dos ciclos","C"&amp;INT(((YEAR(B4171)-YEAR(parametros!$C$2))*12+MONTH(B4171)-MONTH(parametros!$C$2))/12)))))</f>
        <v/>
      </c>
      <c r="D4171" s="394"/>
      <c r="E4171" s="78" t="str">
        <f>IF(C4171="","",IFERROR(VLOOKUP(C4171,parametros!$A$11:$E$15,5,0),""))</f>
        <v/>
      </c>
      <c r="F4171" s="79" t="str">
        <f t="shared" si="327"/>
        <v/>
      </c>
      <c r="G4171" s="395"/>
      <c r="H4171" s="91">
        <f t="shared" si="328"/>
        <v>0</v>
      </c>
      <c r="I4171" s="91" t="str">
        <f t="shared" si="329"/>
        <v/>
      </c>
      <c r="J4171" s="91" t="str">
        <f t="shared" si="330"/>
        <v/>
      </c>
      <c r="K4171" s="92" t="str">
        <f>IF(AND(A4171="",B4171="",D4171="",G4171=""),"",IF(AND(A4171&lt;&gt;"",COUNTIF($A$2:$A$5001,A4171)&gt;1),"NUMERO_PC duplicado",IF(B4171="","DATA_PC vazia",IF(NOT(ISNUMBER(B4171)),"DATA_PC invalida",IF(OR(C4171="",C4171="Fora dos ciclos"),"CICLO_PC nao identificado",IF(OR(D4171="",D4171=0),"VALOR_PC vazio ou zero",IF(AND(G4171&lt;&gt;"Sim",G4171&lt;&gt;"Nao",G4171&lt;&gt;""),"PC_PAGO_A_CONTRATADA invalido",IF(AND(C4171&lt;&gt;"C0",IFERROR(INDEX(parametros!$A$2:$A$6,MATCH(C4171,parametros!$B$2:$B$6,0)),"")="Sim",IFERROR(INDEX(parametros!$H$2:$H$6,MATCH(C4171,parametros!$B$2:$B$6,0)),"")=""),"INICIO_EFEITO ausente: PC "&amp;A4171&amp;" - "&amp;C4171,IF(L4171="","EFEITO_PC nao calculado: PC "&amp;A4171&amp;" - "&amp;C4171,"OK")))))))))</f>
        <v/>
      </c>
      <c r="L4171" s="92" t="str">
        <f>IF(AND(A4171="",B4171="",D4171="",G4171=""),"",IF(OR(B4171="",NOT(ISNUMBER(B4171)),C4171="",C4171="Fora dos ciclos"),"",IF(C4171="C0","Nao",IF(IFERROR(INDEX(parametros!$A$2:$A$6,MATCH(C4171,parametros!$B$2:$B$6,0)),"")&lt;&gt;"Sim","Nao",IF(IFERROR(INDEX(parametros!$H$2:$H$6,MATCH(C4171,parametros!$B$2:$B$6,0)),"")="","",IF(B4171&gt;=IFERROR(INDEX(parametros!$H$2:$H$6,MATCH(C4171,parametros!$B$2:$B$6,0)),""),"Sim","Nao"))))))</f>
        <v/>
      </c>
      <c r="T4171" s="156"/>
      <c r="U4171" s="214" t="str">
        <f t="shared" si="331"/>
        <v/>
      </c>
      <c r="V4171" s="212" t="s">
        <v>50</v>
      </c>
      <c r="W4171" s="100" t="s">
        <v>168</v>
      </c>
      <c r="X4171" s="100" t="s">
        <v>169</v>
      </c>
      <c r="Y4171" s="101" t="s">
        <v>170</v>
      </c>
      <c r="Z4171" s="101" t="s">
        <v>171</v>
      </c>
      <c r="AA4171" s="101" t="s">
        <v>50</v>
      </c>
      <c r="AB4171" s="101" t="s">
        <v>172</v>
      </c>
      <c r="AC4171" s="102" t="s">
        <v>173</v>
      </c>
    </row>
    <row r="4172" spans="1:29" ht="25.5" customHeight="1" x14ac:dyDescent="0.35">
      <c r="A4172" s="392"/>
      <c r="B4172" s="393"/>
      <c r="C4172" s="99" t="str">
        <f>IF(B4172="","",IF(NOT(ISNUMBER(B4172)),"DATA_PC invalida",IF(NOT(ISNUMBER(parametros!$C$2)),"Fora dos ciclos",IF(OR(B4172&lt;parametros!$C$2,(YEAR(B4172)-YEAR(parametros!$C$2))*12+MONTH(B4172)-MONTH(parametros!$C$2)&gt;59),"Fora dos ciclos","C"&amp;INT(((YEAR(B4172)-YEAR(parametros!$C$2))*12+MONTH(B4172)-MONTH(parametros!$C$2))/12)))))</f>
        <v/>
      </c>
      <c r="D4172" s="394"/>
      <c r="E4172" s="78" t="str">
        <f>IF(C4172="","",IFERROR(VLOOKUP(C4172,parametros!$A$11:$E$15,5,0),""))</f>
        <v/>
      </c>
      <c r="F4172" s="79" t="str">
        <f t="shared" si="327"/>
        <v/>
      </c>
      <c r="G4172" s="395"/>
      <c r="H4172" s="91">
        <f t="shared" si="328"/>
        <v>0</v>
      </c>
      <c r="I4172" s="91" t="str">
        <f t="shared" si="329"/>
        <v/>
      </c>
      <c r="J4172" s="91" t="str">
        <f t="shared" si="330"/>
        <v/>
      </c>
      <c r="K4172" s="92" t="str">
        <f>IF(AND(A4172="",B4172="",D4172="",G4172=""),"",IF(AND(A4172&lt;&gt;"",COUNTIF($A$2:$A$5001,A4172)&gt;1),"NUMERO_PC duplicado",IF(B4172="","DATA_PC vazia",IF(NOT(ISNUMBER(B4172)),"DATA_PC invalida",IF(OR(C4172="",C4172="Fora dos ciclos"),"CICLO_PC nao identificado",IF(OR(D4172="",D4172=0),"VALOR_PC vazio ou zero",IF(AND(G4172&lt;&gt;"Sim",G4172&lt;&gt;"Nao",G4172&lt;&gt;""),"PC_PAGO_A_CONTRATADA invalido",IF(AND(C4172&lt;&gt;"C0",IFERROR(INDEX(parametros!$A$2:$A$6,MATCH(C4172,parametros!$B$2:$B$6,0)),"")="Sim",IFERROR(INDEX(parametros!$H$2:$H$6,MATCH(C4172,parametros!$B$2:$B$6,0)),"")=""),"INICIO_EFEITO ausente: PC "&amp;A4172&amp;" - "&amp;C4172,IF(L4172="","EFEITO_PC nao calculado: PC "&amp;A4172&amp;" - "&amp;C4172,"OK")))))))))</f>
        <v/>
      </c>
      <c r="L4172" s="92" t="str">
        <f>IF(AND(A4172="",B4172="",D4172="",G4172=""),"",IF(OR(B4172="",NOT(ISNUMBER(B4172)),C4172="",C4172="Fora dos ciclos"),"",IF(C4172="C0","Nao",IF(IFERROR(INDEX(parametros!$A$2:$A$6,MATCH(C4172,parametros!$B$2:$B$6,0)),"")&lt;&gt;"Sim","Nao",IF(IFERROR(INDEX(parametros!$H$2:$H$6,MATCH(C4172,parametros!$B$2:$B$6,0)),"")="","",IF(B4172&gt;=IFERROR(INDEX(parametros!$H$2:$H$6,MATCH(C4172,parametros!$B$2:$B$6,0)),""),"Sim","Nao"))))))</f>
        <v/>
      </c>
      <c r="T4172" s="156"/>
      <c r="U4172" s="214" t="str">
        <f t="shared" si="331"/>
        <v/>
      </c>
      <c r="V4172" s="212" t="s">
        <v>50</v>
      </c>
      <c r="W4172" s="100" t="s">
        <v>168</v>
      </c>
      <c r="X4172" s="100" t="s">
        <v>169</v>
      </c>
      <c r="Y4172" s="101" t="s">
        <v>170</v>
      </c>
      <c r="Z4172" s="101" t="s">
        <v>171</v>
      </c>
      <c r="AA4172" s="101" t="s">
        <v>50</v>
      </c>
      <c r="AB4172" s="101" t="s">
        <v>172</v>
      </c>
      <c r="AC4172" s="102" t="s">
        <v>173</v>
      </c>
    </row>
    <row r="4173" spans="1:29" ht="25.5" customHeight="1" x14ac:dyDescent="0.35">
      <c r="A4173" s="392"/>
      <c r="B4173" s="393"/>
      <c r="C4173" s="99" t="str">
        <f>IF(B4173="","",IF(NOT(ISNUMBER(B4173)),"DATA_PC invalida",IF(NOT(ISNUMBER(parametros!$C$2)),"Fora dos ciclos",IF(OR(B4173&lt;parametros!$C$2,(YEAR(B4173)-YEAR(parametros!$C$2))*12+MONTH(B4173)-MONTH(parametros!$C$2)&gt;59),"Fora dos ciclos","C"&amp;INT(((YEAR(B4173)-YEAR(parametros!$C$2))*12+MONTH(B4173)-MONTH(parametros!$C$2))/12)))))</f>
        <v/>
      </c>
      <c r="D4173" s="394"/>
      <c r="E4173" s="78" t="str">
        <f>IF(C4173="","",IFERROR(VLOOKUP(C4173,parametros!$A$11:$E$15,5,0),""))</f>
        <v/>
      </c>
      <c r="F4173" s="79" t="str">
        <f t="shared" si="327"/>
        <v/>
      </c>
      <c r="G4173" s="395"/>
      <c r="H4173" s="91">
        <f t="shared" si="328"/>
        <v>0</v>
      </c>
      <c r="I4173" s="91" t="str">
        <f t="shared" si="329"/>
        <v/>
      </c>
      <c r="J4173" s="91" t="str">
        <f t="shared" si="330"/>
        <v/>
      </c>
      <c r="K4173" s="92" t="str">
        <f>IF(AND(A4173="",B4173="",D4173="",G4173=""),"",IF(AND(A4173&lt;&gt;"",COUNTIF($A$2:$A$5001,A4173)&gt;1),"NUMERO_PC duplicado",IF(B4173="","DATA_PC vazia",IF(NOT(ISNUMBER(B4173)),"DATA_PC invalida",IF(OR(C4173="",C4173="Fora dos ciclos"),"CICLO_PC nao identificado",IF(OR(D4173="",D4173=0),"VALOR_PC vazio ou zero",IF(AND(G4173&lt;&gt;"Sim",G4173&lt;&gt;"Nao",G4173&lt;&gt;""),"PC_PAGO_A_CONTRATADA invalido",IF(AND(C4173&lt;&gt;"C0",IFERROR(INDEX(parametros!$A$2:$A$6,MATCH(C4173,parametros!$B$2:$B$6,0)),"")="Sim",IFERROR(INDEX(parametros!$H$2:$H$6,MATCH(C4173,parametros!$B$2:$B$6,0)),"")=""),"INICIO_EFEITO ausente: PC "&amp;A4173&amp;" - "&amp;C4173,IF(L4173="","EFEITO_PC nao calculado: PC "&amp;A4173&amp;" - "&amp;C4173,"OK")))))))))</f>
        <v/>
      </c>
      <c r="L4173" s="92" t="str">
        <f>IF(AND(A4173="",B4173="",D4173="",G4173=""),"",IF(OR(B4173="",NOT(ISNUMBER(B4173)),C4173="",C4173="Fora dos ciclos"),"",IF(C4173="C0","Nao",IF(IFERROR(INDEX(parametros!$A$2:$A$6,MATCH(C4173,parametros!$B$2:$B$6,0)),"")&lt;&gt;"Sim","Nao",IF(IFERROR(INDEX(parametros!$H$2:$H$6,MATCH(C4173,parametros!$B$2:$B$6,0)),"")="","",IF(B4173&gt;=IFERROR(INDEX(parametros!$H$2:$H$6,MATCH(C4173,parametros!$B$2:$B$6,0)),""),"Sim","Nao"))))))</f>
        <v/>
      </c>
      <c r="T4173" s="156"/>
      <c r="U4173" s="214" t="str">
        <f t="shared" si="331"/>
        <v/>
      </c>
      <c r="V4173" s="212" t="s">
        <v>50</v>
      </c>
      <c r="W4173" s="100" t="s">
        <v>168</v>
      </c>
      <c r="X4173" s="100" t="s">
        <v>169</v>
      </c>
      <c r="Y4173" s="101" t="s">
        <v>170</v>
      </c>
      <c r="Z4173" s="101" t="s">
        <v>171</v>
      </c>
      <c r="AA4173" s="101" t="s">
        <v>50</v>
      </c>
      <c r="AB4173" s="101" t="s">
        <v>172</v>
      </c>
      <c r="AC4173" s="102" t="s">
        <v>173</v>
      </c>
    </row>
    <row r="4174" spans="1:29" ht="25.5" customHeight="1" x14ac:dyDescent="0.35">
      <c r="A4174" s="392"/>
      <c r="B4174" s="393"/>
      <c r="C4174" s="99" t="str">
        <f>IF(B4174="","",IF(NOT(ISNUMBER(B4174)),"DATA_PC invalida",IF(NOT(ISNUMBER(parametros!$C$2)),"Fora dos ciclos",IF(OR(B4174&lt;parametros!$C$2,(YEAR(B4174)-YEAR(parametros!$C$2))*12+MONTH(B4174)-MONTH(parametros!$C$2)&gt;59),"Fora dos ciclos","C"&amp;INT(((YEAR(B4174)-YEAR(parametros!$C$2))*12+MONTH(B4174)-MONTH(parametros!$C$2))/12)))))</f>
        <v/>
      </c>
      <c r="D4174" s="394"/>
      <c r="E4174" s="78" t="str">
        <f>IF(C4174="","",IFERROR(VLOOKUP(C4174,parametros!$A$11:$E$15,5,0),""))</f>
        <v/>
      </c>
      <c r="F4174" s="79" t="str">
        <f t="shared" si="327"/>
        <v/>
      </c>
      <c r="G4174" s="395"/>
      <c r="H4174" s="91">
        <f t="shared" si="328"/>
        <v>0</v>
      </c>
      <c r="I4174" s="91" t="str">
        <f t="shared" si="329"/>
        <v/>
      </c>
      <c r="J4174" s="91" t="str">
        <f t="shared" si="330"/>
        <v/>
      </c>
      <c r="K4174" s="92" t="str">
        <f>IF(AND(A4174="",B4174="",D4174="",G4174=""),"",IF(AND(A4174&lt;&gt;"",COUNTIF($A$2:$A$5001,A4174)&gt;1),"NUMERO_PC duplicado",IF(B4174="","DATA_PC vazia",IF(NOT(ISNUMBER(B4174)),"DATA_PC invalida",IF(OR(C4174="",C4174="Fora dos ciclos"),"CICLO_PC nao identificado",IF(OR(D4174="",D4174=0),"VALOR_PC vazio ou zero",IF(AND(G4174&lt;&gt;"Sim",G4174&lt;&gt;"Nao",G4174&lt;&gt;""),"PC_PAGO_A_CONTRATADA invalido",IF(AND(C4174&lt;&gt;"C0",IFERROR(INDEX(parametros!$A$2:$A$6,MATCH(C4174,parametros!$B$2:$B$6,0)),"")="Sim",IFERROR(INDEX(parametros!$H$2:$H$6,MATCH(C4174,parametros!$B$2:$B$6,0)),"")=""),"INICIO_EFEITO ausente: PC "&amp;A4174&amp;" - "&amp;C4174,IF(L4174="","EFEITO_PC nao calculado: PC "&amp;A4174&amp;" - "&amp;C4174,"OK")))))))))</f>
        <v/>
      </c>
      <c r="L4174" s="92" t="str">
        <f>IF(AND(A4174="",B4174="",D4174="",G4174=""),"",IF(OR(B4174="",NOT(ISNUMBER(B4174)),C4174="",C4174="Fora dos ciclos"),"",IF(C4174="C0","Nao",IF(IFERROR(INDEX(parametros!$A$2:$A$6,MATCH(C4174,parametros!$B$2:$B$6,0)),"")&lt;&gt;"Sim","Nao",IF(IFERROR(INDEX(parametros!$H$2:$H$6,MATCH(C4174,parametros!$B$2:$B$6,0)),"")="","",IF(B4174&gt;=IFERROR(INDEX(parametros!$H$2:$H$6,MATCH(C4174,parametros!$B$2:$B$6,0)),""),"Sim","Nao"))))))</f>
        <v/>
      </c>
      <c r="T4174" s="156"/>
      <c r="U4174" s="214" t="str">
        <f t="shared" si="331"/>
        <v/>
      </c>
      <c r="V4174" s="212" t="s">
        <v>50</v>
      </c>
      <c r="W4174" s="100" t="s">
        <v>168</v>
      </c>
      <c r="X4174" s="100" t="s">
        <v>169</v>
      </c>
      <c r="Y4174" s="101" t="s">
        <v>170</v>
      </c>
      <c r="Z4174" s="101" t="s">
        <v>171</v>
      </c>
      <c r="AA4174" s="101" t="s">
        <v>50</v>
      </c>
      <c r="AB4174" s="101" t="s">
        <v>172</v>
      </c>
      <c r="AC4174" s="102" t="s">
        <v>173</v>
      </c>
    </row>
    <row r="4175" spans="1:29" ht="25.5" customHeight="1" x14ac:dyDescent="0.35">
      <c r="A4175" s="392"/>
      <c r="B4175" s="393"/>
      <c r="C4175" s="99" t="str">
        <f>IF(B4175="","",IF(NOT(ISNUMBER(B4175)),"DATA_PC invalida",IF(NOT(ISNUMBER(parametros!$C$2)),"Fora dos ciclos",IF(OR(B4175&lt;parametros!$C$2,(YEAR(B4175)-YEAR(parametros!$C$2))*12+MONTH(B4175)-MONTH(parametros!$C$2)&gt;59),"Fora dos ciclos","C"&amp;INT(((YEAR(B4175)-YEAR(parametros!$C$2))*12+MONTH(B4175)-MONTH(parametros!$C$2))/12)))))</f>
        <v/>
      </c>
      <c r="D4175" s="394"/>
      <c r="E4175" s="78" t="str">
        <f>IF(C4175="","",IFERROR(VLOOKUP(C4175,parametros!$A$11:$E$15,5,0),""))</f>
        <v/>
      </c>
      <c r="F4175" s="79" t="str">
        <f t="shared" si="327"/>
        <v/>
      </c>
      <c r="G4175" s="395"/>
      <c r="H4175" s="91">
        <f t="shared" si="328"/>
        <v>0</v>
      </c>
      <c r="I4175" s="91" t="str">
        <f t="shared" si="329"/>
        <v/>
      </c>
      <c r="J4175" s="91" t="str">
        <f t="shared" si="330"/>
        <v/>
      </c>
      <c r="K4175" s="92" t="str">
        <f>IF(AND(A4175="",B4175="",D4175="",G4175=""),"",IF(AND(A4175&lt;&gt;"",COUNTIF($A$2:$A$5001,A4175)&gt;1),"NUMERO_PC duplicado",IF(B4175="","DATA_PC vazia",IF(NOT(ISNUMBER(B4175)),"DATA_PC invalida",IF(OR(C4175="",C4175="Fora dos ciclos"),"CICLO_PC nao identificado",IF(OR(D4175="",D4175=0),"VALOR_PC vazio ou zero",IF(AND(G4175&lt;&gt;"Sim",G4175&lt;&gt;"Nao",G4175&lt;&gt;""),"PC_PAGO_A_CONTRATADA invalido",IF(AND(C4175&lt;&gt;"C0",IFERROR(INDEX(parametros!$A$2:$A$6,MATCH(C4175,parametros!$B$2:$B$6,0)),"")="Sim",IFERROR(INDEX(parametros!$H$2:$H$6,MATCH(C4175,parametros!$B$2:$B$6,0)),"")=""),"INICIO_EFEITO ausente: PC "&amp;A4175&amp;" - "&amp;C4175,IF(L4175="","EFEITO_PC nao calculado: PC "&amp;A4175&amp;" - "&amp;C4175,"OK")))))))))</f>
        <v/>
      </c>
      <c r="L4175" s="92" t="str">
        <f>IF(AND(A4175="",B4175="",D4175="",G4175=""),"",IF(OR(B4175="",NOT(ISNUMBER(B4175)),C4175="",C4175="Fora dos ciclos"),"",IF(C4175="C0","Nao",IF(IFERROR(INDEX(parametros!$A$2:$A$6,MATCH(C4175,parametros!$B$2:$B$6,0)),"")&lt;&gt;"Sim","Nao",IF(IFERROR(INDEX(parametros!$H$2:$H$6,MATCH(C4175,parametros!$B$2:$B$6,0)),"")="","",IF(B4175&gt;=IFERROR(INDEX(parametros!$H$2:$H$6,MATCH(C4175,parametros!$B$2:$B$6,0)),""),"Sim","Nao"))))))</f>
        <v/>
      </c>
      <c r="T4175" s="156"/>
      <c r="U4175" s="214" t="str">
        <f t="shared" si="331"/>
        <v/>
      </c>
      <c r="V4175" s="212" t="s">
        <v>50</v>
      </c>
      <c r="W4175" s="100" t="s">
        <v>168</v>
      </c>
      <c r="X4175" s="100" t="s">
        <v>169</v>
      </c>
      <c r="Y4175" s="101" t="s">
        <v>170</v>
      </c>
      <c r="Z4175" s="101" t="s">
        <v>171</v>
      </c>
      <c r="AA4175" s="101" t="s">
        <v>50</v>
      </c>
      <c r="AB4175" s="101" t="s">
        <v>172</v>
      </c>
      <c r="AC4175" s="102" t="s">
        <v>173</v>
      </c>
    </row>
    <row r="4176" spans="1:29" ht="25.5" customHeight="1" x14ac:dyDescent="0.35">
      <c r="A4176" s="392"/>
      <c r="B4176" s="393"/>
      <c r="C4176" s="99" t="str">
        <f>IF(B4176="","",IF(NOT(ISNUMBER(B4176)),"DATA_PC invalida",IF(NOT(ISNUMBER(parametros!$C$2)),"Fora dos ciclos",IF(OR(B4176&lt;parametros!$C$2,(YEAR(B4176)-YEAR(parametros!$C$2))*12+MONTH(B4176)-MONTH(parametros!$C$2)&gt;59),"Fora dos ciclos","C"&amp;INT(((YEAR(B4176)-YEAR(parametros!$C$2))*12+MONTH(B4176)-MONTH(parametros!$C$2))/12)))))</f>
        <v/>
      </c>
      <c r="D4176" s="394"/>
      <c r="E4176" s="78" t="str">
        <f>IF(C4176="","",IFERROR(VLOOKUP(C4176,parametros!$A$11:$E$15,5,0),""))</f>
        <v/>
      </c>
      <c r="F4176" s="79" t="str">
        <f t="shared" si="327"/>
        <v/>
      </c>
      <c r="G4176" s="395"/>
      <c r="H4176" s="91">
        <f t="shared" si="328"/>
        <v>0</v>
      </c>
      <c r="I4176" s="91" t="str">
        <f t="shared" si="329"/>
        <v/>
      </c>
      <c r="J4176" s="91" t="str">
        <f t="shared" si="330"/>
        <v/>
      </c>
      <c r="K4176" s="92" t="str">
        <f>IF(AND(A4176="",B4176="",D4176="",G4176=""),"",IF(AND(A4176&lt;&gt;"",COUNTIF($A$2:$A$5001,A4176)&gt;1),"NUMERO_PC duplicado",IF(B4176="","DATA_PC vazia",IF(NOT(ISNUMBER(B4176)),"DATA_PC invalida",IF(OR(C4176="",C4176="Fora dos ciclos"),"CICLO_PC nao identificado",IF(OR(D4176="",D4176=0),"VALOR_PC vazio ou zero",IF(AND(G4176&lt;&gt;"Sim",G4176&lt;&gt;"Nao",G4176&lt;&gt;""),"PC_PAGO_A_CONTRATADA invalido",IF(AND(C4176&lt;&gt;"C0",IFERROR(INDEX(parametros!$A$2:$A$6,MATCH(C4176,parametros!$B$2:$B$6,0)),"")="Sim",IFERROR(INDEX(parametros!$H$2:$H$6,MATCH(C4176,parametros!$B$2:$B$6,0)),"")=""),"INICIO_EFEITO ausente: PC "&amp;A4176&amp;" - "&amp;C4176,IF(L4176="","EFEITO_PC nao calculado: PC "&amp;A4176&amp;" - "&amp;C4176,"OK")))))))))</f>
        <v/>
      </c>
      <c r="L4176" s="92" t="str">
        <f>IF(AND(A4176="",B4176="",D4176="",G4176=""),"",IF(OR(B4176="",NOT(ISNUMBER(B4176)),C4176="",C4176="Fora dos ciclos"),"",IF(C4176="C0","Nao",IF(IFERROR(INDEX(parametros!$A$2:$A$6,MATCH(C4176,parametros!$B$2:$B$6,0)),"")&lt;&gt;"Sim","Nao",IF(IFERROR(INDEX(parametros!$H$2:$H$6,MATCH(C4176,parametros!$B$2:$B$6,0)),"")="","",IF(B4176&gt;=IFERROR(INDEX(parametros!$H$2:$H$6,MATCH(C4176,parametros!$B$2:$B$6,0)),""),"Sim","Nao"))))))</f>
        <v/>
      </c>
      <c r="T4176" s="156"/>
      <c r="U4176" s="214" t="str">
        <f t="shared" si="331"/>
        <v/>
      </c>
      <c r="V4176" s="212" t="s">
        <v>50</v>
      </c>
      <c r="W4176" s="100" t="s">
        <v>168</v>
      </c>
      <c r="X4176" s="100" t="s">
        <v>169</v>
      </c>
      <c r="Y4176" s="101" t="s">
        <v>170</v>
      </c>
      <c r="Z4176" s="101" t="s">
        <v>171</v>
      </c>
      <c r="AA4176" s="101" t="s">
        <v>50</v>
      </c>
      <c r="AB4176" s="101" t="s">
        <v>172</v>
      </c>
      <c r="AC4176" s="102" t="s">
        <v>173</v>
      </c>
    </row>
    <row r="4177" spans="1:29" ht="25.5" customHeight="1" x14ac:dyDescent="0.35">
      <c r="A4177" s="392"/>
      <c r="B4177" s="393"/>
      <c r="C4177" s="99" t="str">
        <f>IF(B4177="","",IF(NOT(ISNUMBER(B4177)),"DATA_PC invalida",IF(NOT(ISNUMBER(parametros!$C$2)),"Fora dos ciclos",IF(OR(B4177&lt;parametros!$C$2,(YEAR(B4177)-YEAR(parametros!$C$2))*12+MONTH(B4177)-MONTH(parametros!$C$2)&gt;59),"Fora dos ciclos","C"&amp;INT(((YEAR(B4177)-YEAR(parametros!$C$2))*12+MONTH(B4177)-MONTH(parametros!$C$2))/12)))))</f>
        <v/>
      </c>
      <c r="D4177" s="394"/>
      <c r="E4177" s="78" t="str">
        <f>IF(C4177="","",IFERROR(VLOOKUP(C4177,parametros!$A$11:$E$15,5,0),""))</f>
        <v/>
      </c>
      <c r="F4177" s="79" t="str">
        <f t="shared" si="327"/>
        <v/>
      </c>
      <c r="G4177" s="395"/>
      <c r="H4177" s="91">
        <f t="shared" si="328"/>
        <v>0</v>
      </c>
      <c r="I4177" s="91" t="str">
        <f t="shared" si="329"/>
        <v/>
      </c>
      <c r="J4177" s="91" t="str">
        <f t="shared" si="330"/>
        <v/>
      </c>
      <c r="K4177" s="92" t="str">
        <f>IF(AND(A4177="",B4177="",D4177="",G4177=""),"",IF(AND(A4177&lt;&gt;"",COUNTIF($A$2:$A$5001,A4177)&gt;1),"NUMERO_PC duplicado",IF(B4177="","DATA_PC vazia",IF(NOT(ISNUMBER(B4177)),"DATA_PC invalida",IF(OR(C4177="",C4177="Fora dos ciclos"),"CICLO_PC nao identificado",IF(OR(D4177="",D4177=0),"VALOR_PC vazio ou zero",IF(AND(G4177&lt;&gt;"Sim",G4177&lt;&gt;"Nao",G4177&lt;&gt;""),"PC_PAGO_A_CONTRATADA invalido",IF(AND(C4177&lt;&gt;"C0",IFERROR(INDEX(parametros!$A$2:$A$6,MATCH(C4177,parametros!$B$2:$B$6,0)),"")="Sim",IFERROR(INDEX(parametros!$H$2:$H$6,MATCH(C4177,parametros!$B$2:$B$6,0)),"")=""),"INICIO_EFEITO ausente: PC "&amp;A4177&amp;" - "&amp;C4177,IF(L4177="","EFEITO_PC nao calculado: PC "&amp;A4177&amp;" - "&amp;C4177,"OK")))))))))</f>
        <v/>
      </c>
      <c r="L4177" s="92" t="str">
        <f>IF(AND(A4177="",B4177="",D4177="",G4177=""),"",IF(OR(B4177="",NOT(ISNUMBER(B4177)),C4177="",C4177="Fora dos ciclos"),"",IF(C4177="C0","Nao",IF(IFERROR(INDEX(parametros!$A$2:$A$6,MATCH(C4177,parametros!$B$2:$B$6,0)),"")&lt;&gt;"Sim","Nao",IF(IFERROR(INDEX(parametros!$H$2:$H$6,MATCH(C4177,parametros!$B$2:$B$6,0)),"")="","",IF(B4177&gt;=IFERROR(INDEX(parametros!$H$2:$H$6,MATCH(C4177,parametros!$B$2:$B$6,0)),""),"Sim","Nao"))))))</f>
        <v/>
      </c>
      <c r="T4177" s="156"/>
      <c r="U4177" s="214" t="str">
        <f t="shared" si="331"/>
        <v/>
      </c>
      <c r="V4177" s="212" t="s">
        <v>50</v>
      </c>
      <c r="W4177" s="100" t="s">
        <v>168</v>
      </c>
      <c r="X4177" s="100" t="s">
        <v>169</v>
      </c>
      <c r="Y4177" s="101" t="s">
        <v>170</v>
      </c>
      <c r="Z4177" s="101" t="s">
        <v>171</v>
      </c>
      <c r="AA4177" s="101" t="s">
        <v>50</v>
      </c>
      <c r="AB4177" s="101" t="s">
        <v>172</v>
      </c>
      <c r="AC4177" s="102" t="s">
        <v>173</v>
      </c>
    </row>
    <row r="4178" spans="1:29" ht="25.5" customHeight="1" x14ac:dyDescent="0.35">
      <c r="A4178" s="392"/>
      <c r="B4178" s="393"/>
      <c r="C4178" s="99" t="str">
        <f>IF(B4178="","",IF(NOT(ISNUMBER(B4178)),"DATA_PC invalida",IF(NOT(ISNUMBER(parametros!$C$2)),"Fora dos ciclos",IF(OR(B4178&lt;parametros!$C$2,(YEAR(B4178)-YEAR(parametros!$C$2))*12+MONTH(B4178)-MONTH(parametros!$C$2)&gt;59),"Fora dos ciclos","C"&amp;INT(((YEAR(B4178)-YEAR(parametros!$C$2))*12+MONTH(B4178)-MONTH(parametros!$C$2))/12)))))</f>
        <v/>
      </c>
      <c r="D4178" s="394"/>
      <c r="E4178" s="78" t="str">
        <f>IF(C4178="","",IFERROR(VLOOKUP(C4178,parametros!$A$11:$E$15,5,0),""))</f>
        <v/>
      </c>
      <c r="F4178" s="79" t="str">
        <f t="shared" si="327"/>
        <v/>
      </c>
      <c r="G4178" s="395"/>
      <c r="H4178" s="91">
        <f t="shared" si="328"/>
        <v>0</v>
      </c>
      <c r="I4178" s="91" t="str">
        <f t="shared" si="329"/>
        <v/>
      </c>
      <c r="J4178" s="91" t="str">
        <f t="shared" si="330"/>
        <v/>
      </c>
      <c r="K4178" s="92" t="str">
        <f>IF(AND(A4178="",B4178="",D4178="",G4178=""),"",IF(AND(A4178&lt;&gt;"",COUNTIF($A$2:$A$5001,A4178)&gt;1),"NUMERO_PC duplicado",IF(B4178="","DATA_PC vazia",IF(NOT(ISNUMBER(B4178)),"DATA_PC invalida",IF(OR(C4178="",C4178="Fora dos ciclos"),"CICLO_PC nao identificado",IF(OR(D4178="",D4178=0),"VALOR_PC vazio ou zero",IF(AND(G4178&lt;&gt;"Sim",G4178&lt;&gt;"Nao",G4178&lt;&gt;""),"PC_PAGO_A_CONTRATADA invalido",IF(AND(C4178&lt;&gt;"C0",IFERROR(INDEX(parametros!$A$2:$A$6,MATCH(C4178,parametros!$B$2:$B$6,0)),"")="Sim",IFERROR(INDEX(parametros!$H$2:$H$6,MATCH(C4178,parametros!$B$2:$B$6,0)),"")=""),"INICIO_EFEITO ausente: PC "&amp;A4178&amp;" - "&amp;C4178,IF(L4178="","EFEITO_PC nao calculado: PC "&amp;A4178&amp;" - "&amp;C4178,"OK")))))))))</f>
        <v/>
      </c>
      <c r="L4178" s="92" t="str">
        <f>IF(AND(A4178="",B4178="",D4178="",G4178=""),"",IF(OR(B4178="",NOT(ISNUMBER(B4178)),C4178="",C4178="Fora dos ciclos"),"",IF(C4178="C0","Nao",IF(IFERROR(INDEX(parametros!$A$2:$A$6,MATCH(C4178,parametros!$B$2:$B$6,0)),"")&lt;&gt;"Sim","Nao",IF(IFERROR(INDEX(parametros!$H$2:$H$6,MATCH(C4178,parametros!$B$2:$B$6,0)),"")="","",IF(B4178&gt;=IFERROR(INDEX(parametros!$H$2:$H$6,MATCH(C4178,parametros!$B$2:$B$6,0)),""),"Sim","Nao"))))))</f>
        <v/>
      </c>
      <c r="T4178" s="156"/>
      <c r="U4178" s="214" t="str">
        <f t="shared" si="331"/>
        <v/>
      </c>
      <c r="V4178" s="212" t="s">
        <v>50</v>
      </c>
      <c r="W4178" s="100" t="s">
        <v>168</v>
      </c>
      <c r="X4178" s="100" t="s">
        <v>169</v>
      </c>
      <c r="Y4178" s="101" t="s">
        <v>170</v>
      </c>
      <c r="Z4178" s="101" t="s">
        <v>171</v>
      </c>
      <c r="AA4178" s="101" t="s">
        <v>50</v>
      </c>
      <c r="AB4178" s="101" t="s">
        <v>172</v>
      </c>
      <c r="AC4178" s="102" t="s">
        <v>173</v>
      </c>
    </row>
    <row r="4179" spans="1:29" ht="25.5" customHeight="1" x14ac:dyDescent="0.35">
      <c r="A4179" s="392"/>
      <c r="B4179" s="393"/>
      <c r="C4179" s="99" t="str">
        <f>IF(B4179="","",IF(NOT(ISNUMBER(B4179)),"DATA_PC invalida",IF(NOT(ISNUMBER(parametros!$C$2)),"Fora dos ciclos",IF(OR(B4179&lt;parametros!$C$2,(YEAR(B4179)-YEAR(parametros!$C$2))*12+MONTH(B4179)-MONTH(parametros!$C$2)&gt;59),"Fora dos ciclos","C"&amp;INT(((YEAR(B4179)-YEAR(parametros!$C$2))*12+MONTH(B4179)-MONTH(parametros!$C$2))/12)))))</f>
        <v/>
      </c>
      <c r="D4179" s="394"/>
      <c r="E4179" s="78" t="str">
        <f>IF(C4179="","",IFERROR(VLOOKUP(C4179,parametros!$A$11:$E$15,5,0),""))</f>
        <v/>
      </c>
      <c r="F4179" s="79" t="str">
        <f t="shared" si="327"/>
        <v/>
      </c>
      <c r="G4179" s="395"/>
      <c r="H4179" s="91">
        <f t="shared" si="328"/>
        <v>0</v>
      </c>
      <c r="I4179" s="91" t="str">
        <f t="shared" si="329"/>
        <v/>
      </c>
      <c r="J4179" s="91" t="str">
        <f t="shared" si="330"/>
        <v/>
      </c>
      <c r="K4179" s="92" t="str">
        <f>IF(AND(A4179="",B4179="",D4179="",G4179=""),"",IF(AND(A4179&lt;&gt;"",COUNTIF($A$2:$A$5001,A4179)&gt;1),"NUMERO_PC duplicado",IF(B4179="","DATA_PC vazia",IF(NOT(ISNUMBER(B4179)),"DATA_PC invalida",IF(OR(C4179="",C4179="Fora dos ciclos"),"CICLO_PC nao identificado",IF(OR(D4179="",D4179=0),"VALOR_PC vazio ou zero",IF(AND(G4179&lt;&gt;"Sim",G4179&lt;&gt;"Nao",G4179&lt;&gt;""),"PC_PAGO_A_CONTRATADA invalido",IF(AND(C4179&lt;&gt;"C0",IFERROR(INDEX(parametros!$A$2:$A$6,MATCH(C4179,parametros!$B$2:$B$6,0)),"")="Sim",IFERROR(INDEX(parametros!$H$2:$H$6,MATCH(C4179,parametros!$B$2:$B$6,0)),"")=""),"INICIO_EFEITO ausente: PC "&amp;A4179&amp;" - "&amp;C4179,IF(L4179="","EFEITO_PC nao calculado: PC "&amp;A4179&amp;" - "&amp;C4179,"OK")))))))))</f>
        <v/>
      </c>
      <c r="L4179" s="92" t="str">
        <f>IF(AND(A4179="",B4179="",D4179="",G4179=""),"",IF(OR(B4179="",NOT(ISNUMBER(B4179)),C4179="",C4179="Fora dos ciclos"),"",IF(C4179="C0","Nao",IF(IFERROR(INDEX(parametros!$A$2:$A$6,MATCH(C4179,parametros!$B$2:$B$6,0)),"")&lt;&gt;"Sim","Nao",IF(IFERROR(INDEX(parametros!$H$2:$H$6,MATCH(C4179,parametros!$B$2:$B$6,0)),"")="","",IF(B4179&gt;=IFERROR(INDEX(parametros!$H$2:$H$6,MATCH(C4179,parametros!$B$2:$B$6,0)),""),"Sim","Nao"))))))</f>
        <v/>
      </c>
      <c r="T4179" s="156"/>
      <c r="U4179" s="214" t="str">
        <f t="shared" si="331"/>
        <v/>
      </c>
      <c r="V4179" s="212" t="s">
        <v>50</v>
      </c>
      <c r="W4179" s="100" t="s">
        <v>168</v>
      </c>
      <c r="X4179" s="100" t="s">
        <v>169</v>
      </c>
      <c r="Y4179" s="101" t="s">
        <v>170</v>
      </c>
      <c r="Z4179" s="101" t="s">
        <v>171</v>
      </c>
      <c r="AA4179" s="101" t="s">
        <v>50</v>
      </c>
      <c r="AB4179" s="101" t="s">
        <v>172</v>
      </c>
      <c r="AC4179" s="102" t="s">
        <v>173</v>
      </c>
    </row>
    <row r="4180" spans="1:29" ht="25.5" customHeight="1" x14ac:dyDescent="0.35">
      <c r="A4180" s="392"/>
      <c r="B4180" s="393"/>
      <c r="C4180" s="99" t="str">
        <f>IF(B4180="","",IF(NOT(ISNUMBER(B4180)),"DATA_PC invalida",IF(NOT(ISNUMBER(parametros!$C$2)),"Fora dos ciclos",IF(OR(B4180&lt;parametros!$C$2,(YEAR(B4180)-YEAR(parametros!$C$2))*12+MONTH(B4180)-MONTH(parametros!$C$2)&gt;59),"Fora dos ciclos","C"&amp;INT(((YEAR(B4180)-YEAR(parametros!$C$2))*12+MONTH(B4180)-MONTH(parametros!$C$2))/12)))))</f>
        <v/>
      </c>
      <c r="D4180" s="394"/>
      <c r="E4180" s="78" t="str">
        <f>IF(C4180="","",IFERROR(VLOOKUP(C4180,parametros!$A$11:$E$15,5,0),""))</f>
        <v/>
      </c>
      <c r="F4180" s="79" t="str">
        <f t="shared" si="327"/>
        <v/>
      </c>
      <c r="G4180" s="395"/>
      <c r="H4180" s="91">
        <f t="shared" si="328"/>
        <v>0</v>
      </c>
      <c r="I4180" s="91" t="str">
        <f t="shared" si="329"/>
        <v/>
      </c>
      <c r="J4180" s="91" t="str">
        <f t="shared" si="330"/>
        <v/>
      </c>
      <c r="K4180" s="92" t="str">
        <f>IF(AND(A4180="",B4180="",D4180="",G4180=""),"",IF(AND(A4180&lt;&gt;"",COUNTIF($A$2:$A$5001,A4180)&gt;1),"NUMERO_PC duplicado",IF(B4180="","DATA_PC vazia",IF(NOT(ISNUMBER(B4180)),"DATA_PC invalida",IF(OR(C4180="",C4180="Fora dos ciclos"),"CICLO_PC nao identificado",IF(OR(D4180="",D4180=0),"VALOR_PC vazio ou zero",IF(AND(G4180&lt;&gt;"Sim",G4180&lt;&gt;"Nao",G4180&lt;&gt;""),"PC_PAGO_A_CONTRATADA invalido",IF(AND(C4180&lt;&gt;"C0",IFERROR(INDEX(parametros!$A$2:$A$6,MATCH(C4180,parametros!$B$2:$B$6,0)),"")="Sim",IFERROR(INDEX(parametros!$H$2:$H$6,MATCH(C4180,parametros!$B$2:$B$6,0)),"")=""),"INICIO_EFEITO ausente: PC "&amp;A4180&amp;" - "&amp;C4180,IF(L4180="","EFEITO_PC nao calculado: PC "&amp;A4180&amp;" - "&amp;C4180,"OK")))))))))</f>
        <v/>
      </c>
      <c r="L4180" s="92" t="str">
        <f>IF(AND(A4180="",B4180="",D4180="",G4180=""),"",IF(OR(B4180="",NOT(ISNUMBER(B4180)),C4180="",C4180="Fora dos ciclos"),"",IF(C4180="C0","Nao",IF(IFERROR(INDEX(parametros!$A$2:$A$6,MATCH(C4180,parametros!$B$2:$B$6,0)),"")&lt;&gt;"Sim","Nao",IF(IFERROR(INDEX(parametros!$H$2:$H$6,MATCH(C4180,parametros!$B$2:$B$6,0)),"")="","",IF(B4180&gt;=IFERROR(INDEX(parametros!$H$2:$H$6,MATCH(C4180,parametros!$B$2:$B$6,0)),""),"Sim","Nao"))))))</f>
        <v/>
      </c>
      <c r="T4180" s="156"/>
      <c r="U4180" s="214" t="str">
        <f t="shared" si="331"/>
        <v/>
      </c>
      <c r="V4180" s="212" t="s">
        <v>50</v>
      </c>
      <c r="W4180" s="100" t="s">
        <v>168</v>
      </c>
      <c r="X4180" s="100" t="s">
        <v>169</v>
      </c>
      <c r="Y4180" s="101" t="s">
        <v>170</v>
      </c>
      <c r="Z4180" s="101" t="s">
        <v>171</v>
      </c>
      <c r="AA4180" s="101" t="s">
        <v>50</v>
      </c>
      <c r="AB4180" s="101" t="s">
        <v>172</v>
      </c>
      <c r="AC4180" s="102" t="s">
        <v>173</v>
      </c>
    </row>
    <row r="4181" spans="1:29" ht="25.5" customHeight="1" x14ac:dyDescent="0.35">
      <c r="A4181" s="392"/>
      <c r="B4181" s="393"/>
      <c r="C4181" s="99" t="str">
        <f>IF(B4181="","",IF(NOT(ISNUMBER(B4181)),"DATA_PC invalida",IF(NOT(ISNUMBER(parametros!$C$2)),"Fora dos ciclos",IF(OR(B4181&lt;parametros!$C$2,(YEAR(B4181)-YEAR(parametros!$C$2))*12+MONTH(B4181)-MONTH(parametros!$C$2)&gt;59),"Fora dos ciclos","C"&amp;INT(((YEAR(B4181)-YEAR(parametros!$C$2))*12+MONTH(B4181)-MONTH(parametros!$C$2))/12)))))</f>
        <v/>
      </c>
      <c r="D4181" s="394"/>
      <c r="E4181" s="78" t="str">
        <f>IF(C4181="","",IFERROR(VLOOKUP(C4181,parametros!$A$11:$E$15,5,0),""))</f>
        <v/>
      </c>
      <c r="F4181" s="79" t="str">
        <f t="shared" si="327"/>
        <v/>
      </c>
      <c r="G4181" s="395"/>
      <c r="H4181" s="91">
        <f t="shared" si="328"/>
        <v>0</v>
      </c>
      <c r="I4181" s="91" t="str">
        <f t="shared" si="329"/>
        <v/>
      </c>
      <c r="J4181" s="91" t="str">
        <f t="shared" si="330"/>
        <v/>
      </c>
      <c r="K4181" s="92" t="str">
        <f>IF(AND(A4181="",B4181="",D4181="",G4181=""),"",IF(AND(A4181&lt;&gt;"",COUNTIF($A$2:$A$5001,A4181)&gt;1),"NUMERO_PC duplicado",IF(B4181="","DATA_PC vazia",IF(NOT(ISNUMBER(B4181)),"DATA_PC invalida",IF(OR(C4181="",C4181="Fora dos ciclos"),"CICLO_PC nao identificado",IF(OR(D4181="",D4181=0),"VALOR_PC vazio ou zero",IF(AND(G4181&lt;&gt;"Sim",G4181&lt;&gt;"Nao",G4181&lt;&gt;""),"PC_PAGO_A_CONTRATADA invalido",IF(AND(C4181&lt;&gt;"C0",IFERROR(INDEX(parametros!$A$2:$A$6,MATCH(C4181,parametros!$B$2:$B$6,0)),"")="Sim",IFERROR(INDEX(parametros!$H$2:$H$6,MATCH(C4181,parametros!$B$2:$B$6,0)),"")=""),"INICIO_EFEITO ausente: PC "&amp;A4181&amp;" - "&amp;C4181,IF(L4181="","EFEITO_PC nao calculado: PC "&amp;A4181&amp;" - "&amp;C4181,"OK")))))))))</f>
        <v/>
      </c>
      <c r="L4181" s="92" t="str">
        <f>IF(AND(A4181="",B4181="",D4181="",G4181=""),"",IF(OR(B4181="",NOT(ISNUMBER(B4181)),C4181="",C4181="Fora dos ciclos"),"",IF(C4181="C0","Nao",IF(IFERROR(INDEX(parametros!$A$2:$A$6,MATCH(C4181,parametros!$B$2:$B$6,0)),"")&lt;&gt;"Sim","Nao",IF(IFERROR(INDEX(parametros!$H$2:$H$6,MATCH(C4181,parametros!$B$2:$B$6,0)),"")="","",IF(B4181&gt;=IFERROR(INDEX(parametros!$H$2:$H$6,MATCH(C4181,parametros!$B$2:$B$6,0)),""),"Sim","Nao"))))))</f>
        <v/>
      </c>
      <c r="T4181" s="156"/>
      <c r="U4181" s="214" t="str">
        <f t="shared" si="331"/>
        <v/>
      </c>
      <c r="V4181" s="212" t="s">
        <v>50</v>
      </c>
      <c r="W4181" s="100" t="s">
        <v>168</v>
      </c>
      <c r="X4181" s="100" t="s">
        <v>169</v>
      </c>
      <c r="Y4181" s="101" t="s">
        <v>170</v>
      </c>
      <c r="Z4181" s="101" t="s">
        <v>171</v>
      </c>
      <c r="AA4181" s="101" t="s">
        <v>50</v>
      </c>
      <c r="AB4181" s="101" t="s">
        <v>172</v>
      </c>
      <c r="AC4181" s="102" t="s">
        <v>173</v>
      </c>
    </row>
    <row r="4182" spans="1:29" ht="25.5" customHeight="1" x14ac:dyDescent="0.35">
      <c r="A4182" s="392"/>
      <c r="B4182" s="393"/>
      <c r="C4182" s="99" t="str">
        <f>IF(B4182="","",IF(NOT(ISNUMBER(B4182)),"DATA_PC invalida",IF(NOT(ISNUMBER(parametros!$C$2)),"Fora dos ciclos",IF(OR(B4182&lt;parametros!$C$2,(YEAR(B4182)-YEAR(parametros!$C$2))*12+MONTH(B4182)-MONTH(parametros!$C$2)&gt;59),"Fora dos ciclos","C"&amp;INT(((YEAR(B4182)-YEAR(parametros!$C$2))*12+MONTH(B4182)-MONTH(parametros!$C$2))/12)))))</f>
        <v/>
      </c>
      <c r="D4182" s="394"/>
      <c r="E4182" s="78" t="str">
        <f>IF(C4182="","",IFERROR(VLOOKUP(C4182,parametros!$A$11:$E$15,5,0),""))</f>
        <v/>
      </c>
      <c r="F4182" s="79" t="str">
        <f t="shared" si="327"/>
        <v/>
      </c>
      <c r="G4182" s="395"/>
      <c r="H4182" s="91">
        <f t="shared" si="328"/>
        <v>0</v>
      </c>
      <c r="I4182" s="91" t="str">
        <f t="shared" si="329"/>
        <v/>
      </c>
      <c r="J4182" s="91" t="str">
        <f t="shared" si="330"/>
        <v/>
      </c>
      <c r="K4182" s="92" t="str">
        <f>IF(AND(A4182="",B4182="",D4182="",G4182=""),"",IF(AND(A4182&lt;&gt;"",COUNTIF($A$2:$A$5001,A4182)&gt;1),"NUMERO_PC duplicado",IF(B4182="","DATA_PC vazia",IF(NOT(ISNUMBER(B4182)),"DATA_PC invalida",IF(OR(C4182="",C4182="Fora dos ciclos"),"CICLO_PC nao identificado",IF(OR(D4182="",D4182=0),"VALOR_PC vazio ou zero",IF(AND(G4182&lt;&gt;"Sim",G4182&lt;&gt;"Nao",G4182&lt;&gt;""),"PC_PAGO_A_CONTRATADA invalido",IF(AND(C4182&lt;&gt;"C0",IFERROR(INDEX(parametros!$A$2:$A$6,MATCH(C4182,parametros!$B$2:$B$6,0)),"")="Sim",IFERROR(INDEX(parametros!$H$2:$H$6,MATCH(C4182,parametros!$B$2:$B$6,0)),"")=""),"INICIO_EFEITO ausente: PC "&amp;A4182&amp;" - "&amp;C4182,IF(L4182="","EFEITO_PC nao calculado: PC "&amp;A4182&amp;" - "&amp;C4182,"OK")))))))))</f>
        <v/>
      </c>
      <c r="L4182" s="92" t="str">
        <f>IF(AND(A4182="",B4182="",D4182="",G4182=""),"",IF(OR(B4182="",NOT(ISNUMBER(B4182)),C4182="",C4182="Fora dos ciclos"),"",IF(C4182="C0","Nao",IF(IFERROR(INDEX(parametros!$A$2:$A$6,MATCH(C4182,parametros!$B$2:$B$6,0)),"")&lt;&gt;"Sim","Nao",IF(IFERROR(INDEX(parametros!$H$2:$H$6,MATCH(C4182,parametros!$B$2:$B$6,0)),"")="","",IF(B4182&gt;=IFERROR(INDEX(parametros!$H$2:$H$6,MATCH(C4182,parametros!$B$2:$B$6,0)),""),"Sim","Nao"))))))</f>
        <v/>
      </c>
      <c r="T4182" s="156"/>
      <c r="U4182" s="214" t="str">
        <f t="shared" si="331"/>
        <v/>
      </c>
      <c r="V4182" s="212" t="s">
        <v>50</v>
      </c>
      <c r="W4182" s="100" t="s">
        <v>168</v>
      </c>
      <c r="X4182" s="100" t="s">
        <v>169</v>
      </c>
      <c r="Y4182" s="101" t="s">
        <v>170</v>
      </c>
      <c r="Z4182" s="101" t="s">
        <v>171</v>
      </c>
      <c r="AA4182" s="101" t="s">
        <v>50</v>
      </c>
      <c r="AB4182" s="101" t="s">
        <v>172</v>
      </c>
      <c r="AC4182" s="102" t="s">
        <v>173</v>
      </c>
    </row>
    <row r="4183" spans="1:29" ht="25.5" customHeight="1" x14ac:dyDescent="0.35">
      <c r="A4183" s="392"/>
      <c r="B4183" s="393"/>
      <c r="C4183" s="99" t="str">
        <f>IF(B4183="","",IF(NOT(ISNUMBER(B4183)),"DATA_PC invalida",IF(NOT(ISNUMBER(parametros!$C$2)),"Fora dos ciclos",IF(OR(B4183&lt;parametros!$C$2,(YEAR(B4183)-YEAR(parametros!$C$2))*12+MONTH(B4183)-MONTH(parametros!$C$2)&gt;59),"Fora dos ciclos","C"&amp;INT(((YEAR(B4183)-YEAR(parametros!$C$2))*12+MONTH(B4183)-MONTH(parametros!$C$2))/12)))))</f>
        <v/>
      </c>
      <c r="D4183" s="394"/>
      <c r="E4183" s="78" t="str">
        <f>IF(C4183="","",IFERROR(VLOOKUP(C4183,parametros!$A$11:$E$15,5,0),""))</f>
        <v/>
      </c>
      <c r="F4183" s="79" t="str">
        <f t="shared" si="327"/>
        <v/>
      </c>
      <c r="G4183" s="395"/>
      <c r="H4183" s="91">
        <f t="shared" si="328"/>
        <v>0</v>
      </c>
      <c r="I4183" s="91" t="str">
        <f t="shared" si="329"/>
        <v/>
      </c>
      <c r="J4183" s="91" t="str">
        <f t="shared" si="330"/>
        <v/>
      </c>
      <c r="K4183" s="92" t="str">
        <f>IF(AND(A4183="",B4183="",D4183="",G4183=""),"",IF(AND(A4183&lt;&gt;"",COUNTIF($A$2:$A$5001,A4183)&gt;1),"NUMERO_PC duplicado",IF(B4183="","DATA_PC vazia",IF(NOT(ISNUMBER(B4183)),"DATA_PC invalida",IF(OR(C4183="",C4183="Fora dos ciclos"),"CICLO_PC nao identificado",IF(OR(D4183="",D4183=0),"VALOR_PC vazio ou zero",IF(AND(G4183&lt;&gt;"Sim",G4183&lt;&gt;"Nao",G4183&lt;&gt;""),"PC_PAGO_A_CONTRATADA invalido",IF(AND(C4183&lt;&gt;"C0",IFERROR(INDEX(parametros!$A$2:$A$6,MATCH(C4183,parametros!$B$2:$B$6,0)),"")="Sim",IFERROR(INDEX(parametros!$H$2:$H$6,MATCH(C4183,parametros!$B$2:$B$6,0)),"")=""),"INICIO_EFEITO ausente: PC "&amp;A4183&amp;" - "&amp;C4183,IF(L4183="","EFEITO_PC nao calculado: PC "&amp;A4183&amp;" - "&amp;C4183,"OK")))))))))</f>
        <v/>
      </c>
      <c r="L4183" s="92" t="str">
        <f>IF(AND(A4183="",B4183="",D4183="",G4183=""),"",IF(OR(B4183="",NOT(ISNUMBER(B4183)),C4183="",C4183="Fora dos ciclos"),"",IF(C4183="C0","Nao",IF(IFERROR(INDEX(parametros!$A$2:$A$6,MATCH(C4183,parametros!$B$2:$B$6,0)),"")&lt;&gt;"Sim","Nao",IF(IFERROR(INDEX(parametros!$H$2:$H$6,MATCH(C4183,parametros!$B$2:$B$6,0)),"")="","",IF(B4183&gt;=IFERROR(INDEX(parametros!$H$2:$H$6,MATCH(C4183,parametros!$B$2:$B$6,0)),""),"Sim","Nao"))))))</f>
        <v/>
      </c>
      <c r="T4183" s="156"/>
      <c r="U4183" s="214" t="str">
        <f t="shared" si="331"/>
        <v/>
      </c>
      <c r="V4183" s="212" t="s">
        <v>50</v>
      </c>
      <c r="W4183" s="100" t="s">
        <v>168</v>
      </c>
      <c r="X4183" s="100" t="s">
        <v>169</v>
      </c>
      <c r="Y4183" s="101" t="s">
        <v>170</v>
      </c>
      <c r="Z4183" s="101" t="s">
        <v>171</v>
      </c>
      <c r="AA4183" s="101" t="s">
        <v>50</v>
      </c>
      <c r="AB4183" s="101" t="s">
        <v>172</v>
      </c>
      <c r="AC4183" s="102" t="s">
        <v>173</v>
      </c>
    </row>
    <row r="4184" spans="1:29" ht="25.5" customHeight="1" x14ac:dyDescent="0.35">
      <c r="A4184" s="392"/>
      <c r="B4184" s="393"/>
      <c r="C4184" s="99" t="str">
        <f>IF(B4184="","",IF(NOT(ISNUMBER(B4184)),"DATA_PC invalida",IF(NOT(ISNUMBER(parametros!$C$2)),"Fora dos ciclos",IF(OR(B4184&lt;parametros!$C$2,(YEAR(B4184)-YEAR(parametros!$C$2))*12+MONTH(B4184)-MONTH(parametros!$C$2)&gt;59),"Fora dos ciclos","C"&amp;INT(((YEAR(B4184)-YEAR(parametros!$C$2))*12+MONTH(B4184)-MONTH(parametros!$C$2))/12)))))</f>
        <v/>
      </c>
      <c r="D4184" s="394"/>
      <c r="E4184" s="78" t="str">
        <f>IF(C4184="","",IFERROR(VLOOKUP(C4184,parametros!$A$11:$E$15,5,0),""))</f>
        <v/>
      </c>
      <c r="F4184" s="79" t="str">
        <f t="shared" si="327"/>
        <v/>
      </c>
      <c r="G4184" s="395"/>
      <c r="H4184" s="91">
        <f t="shared" si="328"/>
        <v>0</v>
      </c>
      <c r="I4184" s="91" t="str">
        <f t="shared" si="329"/>
        <v/>
      </c>
      <c r="J4184" s="91" t="str">
        <f t="shared" si="330"/>
        <v/>
      </c>
      <c r="K4184" s="92" t="str">
        <f>IF(AND(A4184="",B4184="",D4184="",G4184=""),"",IF(AND(A4184&lt;&gt;"",COUNTIF($A$2:$A$5001,A4184)&gt;1),"NUMERO_PC duplicado",IF(B4184="","DATA_PC vazia",IF(NOT(ISNUMBER(B4184)),"DATA_PC invalida",IF(OR(C4184="",C4184="Fora dos ciclos"),"CICLO_PC nao identificado",IF(OR(D4184="",D4184=0),"VALOR_PC vazio ou zero",IF(AND(G4184&lt;&gt;"Sim",G4184&lt;&gt;"Nao",G4184&lt;&gt;""),"PC_PAGO_A_CONTRATADA invalido",IF(AND(C4184&lt;&gt;"C0",IFERROR(INDEX(parametros!$A$2:$A$6,MATCH(C4184,parametros!$B$2:$B$6,0)),"")="Sim",IFERROR(INDEX(parametros!$H$2:$H$6,MATCH(C4184,parametros!$B$2:$B$6,0)),"")=""),"INICIO_EFEITO ausente: PC "&amp;A4184&amp;" - "&amp;C4184,IF(L4184="","EFEITO_PC nao calculado: PC "&amp;A4184&amp;" - "&amp;C4184,"OK")))))))))</f>
        <v/>
      </c>
      <c r="L4184" s="92" t="str">
        <f>IF(AND(A4184="",B4184="",D4184="",G4184=""),"",IF(OR(B4184="",NOT(ISNUMBER(B4184)),C4184="",C4184="Fora dos ciclos"),"",IF(C4184="C0","Nao",IF(IFERROR(INDEX(parametros!$A$2:$A$6,MATCH(C4184,parametros!$B$2:$B$6,0)),"")&lt;&gt;"Sim","Nao",IF(IFERROR(INDEX(parametros!$H$2:$H$6,MATCH(C4184,parametros!$B$2:$B$6,0)),"")="","",IF(B4184&gt;=IFERROR(INDEX(parametros!$H$2:$H$6,MATCH(C4184,parametros!$B$2:$B$6,0)),""),"Sim","Nao"))))))</f>
        <v/>
      </c>
      <c r="T4184" s="156"/>
      <c r="U4184" s="214" t="str">
        <f t="shared" si="331"/>
        <v/>
      </c>
      <c r="V4184" s="212" t="s">
        <v>50</v>
      </c>
      <c r="W4184" s="100" t="s">
        <v>168</v>
      </c>
      <c r="X4184" s="100" t="s">
        <v>169</v>
      </c>
      <c r="Y4184" s="101" t="s">
        <v>170</v>
      </c>
      <c r="Z4184" s="101" t="s">
        <v>171</v>
      </c>
      <c r="AA4184" s="101" t="s">
        <v>50</v>
      </c>
      <c r="AB4184" s="101" t="s">
        <v>172</v>
      </c>
      <c r="AC4184" s="102" t="s">
        <v>173</v>
      </c>
    </row>
    <row r="4185" spans="1:29" ht="25.5" customHeight="1" x14ac:dyDescent="0.35">
      <c r="A4185" s="392"/>
      <c r="B4185" s="393"/>
      <c r="C4185" s="99" t="str">
        <f>IF(B4185="","",IF(NOT(ISNUMBER(B4185)),"DATA_PC invalida",IF(NOT(ISNUMBER(parametros!$C$2)),"Fora dos ciclos",IF(OR(B4185&lt;parametros!$C$2,(YEAR(B4185)-YEAR(parametros!$C$2))*12+MONTH(B4185)-MONTH(parametros!$C$2)&gt;59),"Fora dos ciclos","C"&amp;INT(((YEAR(B4185)-YEAR(parametros!$C$2))*12+MONTH(B4185)-MONTH(parametros!$C$2))/12)))))</f>
        <v/>
      </c>
      <c r="D4185" s="394"/>
      <c r="E4185" s="78" t="str">
        <f>IF(C4185="","",IFERROR(VLOOKUP(C4185,parametros!$A$11:$E$15,5,0),""))</f>
        <v/>
      </c>
      <c r="F4185" s="79" t="str">
        <f t="shared" si="327"/>
        <v/>
      </c>
      <c r="G4185" s="395"/>
      <c r="H4185" s="91">
        <f t="shared" si="328"/>
        <v>0</v>
      </c>
      <c r="I4185" s="91" t="str">
        <f t="shared" si="329"/>
        <v/>
      </c>
      <c r="J4185" s="91" t="str">
        <f t="shared" si="330"/>
        <v/>
      </c>
      <c r="K4185" s="92" t="str">
        <f>IF(AND(A4185="",B4185="",D4185="",G4185=""),"",IF(AND(A4185&lt;&gt;"",COUNTIF($A$2:$A$5001,A4185)&gt;1),"NUMERO_PC duplicado",IF(B4185="","DATA_PC vazia",IF(NOT(ISNUMBER(B4185)),"DATA_PC invalida",IF(OR(C4185="",C4185="Fora dos ciclos"),"CICLO_PC nao identificado",IF(OR(D4185="",D4185=0),"VALOR_PC vazio ou zero",IF(AND(G4185&lt;&gt;"Sim",G4185&lt;&gt;"Nao",G4185&lt;&gt;""),"PC_PAGO_A_CONTRATADA invalido",IF(AND(C4185&lt;&gt;"C0",IFERROR(INDEX(parametros!$A$2:$A$6,MATCH(C4185,parametros!$B$2:$B$6,0)),"")="Sim",IFERROR(INDEX(parametros!$H$2:$H$6,MATCH(C4185,parametros!$B$2:$B$6,0)),"")=""),"INICIO_EFEITO ausente: PC "&amp;A4185&amp;" - "&amp;C4185,IF(L4185="","EFEITO_PC nao calculado: PC "&amp;A4185&amp;" - "&amp;C4185,"OK")))))))))</f>
        <v/>
      </c>
      <c r="L4185" s="92" t="str">
        <f>IF(AND(A4185="",B4185="",D4185="",G4185=""),"",IF(OR(B4185="",NOT(ISNUMBER(B4185)),C4185="",C4185="Fora dos ciclos"),"",IF(C4185="C0","Nao",IF(IFERROR(INDEX(parametros!$A$2:$A$6,MATCH(C4185,parametros!$B$2:$B$6,0)),"")&lt;&gt;"Sim","Nao",IF(IFERROR(INDEX(parametros!$H$2:$H$6,MATCH(C4185,parametros!$B$2:$B$6,0)),"")="","",IF(B4185&gt;=IFERROR(INDEX(parametros!$H$2:$H$6,MATCH(C4185,parametros!$B$2:$B$6,0)),""),"Sim","Nao"))))))</f>
        <v/>
      </c>
      <c r="T4185" s="156"/>
      <c r="U4185" s="214" t="str">
        <f t="shared" si="331"/>
        <v/>
      </c>
      <c r="V4185" s="212" t="s">
        <v>50</v>
      </c>
      <c r="W4185" s="100" t="s">
        <v>168</v>
      </c>
      <c r="X4185" s="100" t="s">
        <v>169</v>
      </c>
      <c r="Y4185" s="101" t="s">
        <v>170</v>
      </c>
      <c r="Z4185" s="101" t="s">
        <v>171</v>
      </c>
      <c r="AA4185" s="101" t="s">
        <v>50</v>
      </c>
      <c r="AB4185" s="101" t="s">
        <v>172</v>
      </c>
      <c r="AC4185" s="102" t="s">
        <v>173</v>
      </c>
    </row>
    <row r="4186" spans="1:29" ht="25.5" customHeight="1" x14ac:dyDescent="0.35">
      <c r="A4186" s="392"/>
      <c r="B4186" s="393"/>
      <c r="C4186" s="99" t="str">
        <f>IF(B4186="","",IF(NOT(ISNUMBER(B4186)),"DATA_PC invalida",IF(NOT(ISNUMBER(parametros!$C$2)),"Fora dos ciclos",IF(OR(B4186&lt;parametros!$C$2,(YEAR(B4186)-YEAR(parametros!$C$2))*12+MONTH(B4186)-MONTH(parametros!$C$2)&gt;59),"Fora dos ciclos","C"&amp;INT(((YEAR(B4186)-YEAR(parametros!$C$2))*12+MONTH(B4186)-MONTH(parametros!$C$2))/12)))))</f>
        <v/>
      </c>
      <c r="D4186" s="394"/>
      <c r="E4186" s="78" t="str">
        <f>IF(C4186="","",IFERROR(VLOOKUP(C4186,parametros!$A$11:$E$15,5,0),""))</f>
        <v/>
      </c>
      <c r="F4186" s="79" t="str">
        <f t="shared" si="327"/>
        <v/>
      </c>
      <c r="G4186" s="395"/>
      <c r="H4186" s="91">
        <f t="shared" si="328"/>
        <v>0</v>
      </c>
      <c r="I4186" s="91" t="str">
        <f t="shared" si="329"/>
        <v/>
      </c>
      <c r="J4186" s="91" t="str">
        <f t="shared" si="330"/>
        <v/>
      </c>
      <c r="K4186" s="92" t="str">
        <f>IF(AND(A4186="",B4186="",D4186="",G4186=""),"",IF(AND(A4186&lt;&gt;"",COUNTIF($A$2:$A$5001,A4186)&gt;1),"NUMERO_PC duplicado",IF(B4186="","DATA_PC vazia",IF(NOT(ISNUMBER(B4186)),"DATA_PC invalida",IF(OR(C4186="",C4186="Fora dos ciclos"),"CICLO_PC nao identificado",IF(OR(D4186="",D4186=0),"VALOR_PC vazio ou zero",IF(AND(G4186&lt;&gt;"Sim",G4186&lt;&gt;"Nao",G4186&lt;&gt;""),"PC_PAGO_A_CONTRATADA invalido",IF(AND(C4186&lt;&gt;"C0",IFERROR(INDEX(parametros!$A$2:$A$6,MATCH(C4186,parametros!$B$2:$B$6,0)),"")="Sim",IFERROR(INDEX(parametros!$H$2:$H$6,MATCH(C4186,parametros!$B$2:$B$6,0)),"")=""),"INICIO_EFEITO ausente: PC "&amp;A4186&amp;" - "&amp;C4186,IF(L4186="","EFEITO_PC nao calculado: PC "&amp;A4186&amp;" - "&amp;C4186,"OK")))))))))</f>
        <v/>
      </c>
      <c r="L4186" s="92" t="str">
        <f>IF(AND(A4186="",B4186="",D4186="",G4186=""),"",IF(OR(B4186="",NOT(ISNUMBER(B4186)),C4186="",C4186="Fora dos ciclos"),"",IF(C4186="C0","Nao",IF(IFERROR(INDEX(parametros!$A$2:$A$6,MATCH(C4186,parametros!$B$2:$B$6,0)),"")&lt;&gt;"Sim","Nao",IF(IFERROR(INDEX(parametros!$H$2:$H$6,MATCH(C4186,parametros!$B$2:$B$6,0)),"")="","",IF(B4186&gt;=IFERROR(INDEX(parametros!$H$2:$H$6,MATCH(C4186,parametros!$B$2:$B$6,0)),""),"Sim","Nao"))))))</f>
        <v/>
      </c>
      <c r="T4186" s="156"/>
      <c r="U4186" s="214" t="str">
        <f t="shared" si="331"/>
        <v/>
      </c>
      <c r="V4186" s="212" t="s">
        <v>50</v>
      </c>
      <c r="W4186" s="100" t="s">
        <v>168</v>
      </c>
      <c r="X4186" s="100" t="s">
        <v>169</v>
      </c>
      <c r="Y4186" s="101" t="s">
        <v>170</v>
      </c>
      <c r="Z4186" s="101" t="s">
        <v>171</v>
      </c>
      <c r="AA4186" s="101" t="s">
        <v>50</v>
      </c>
      <c r="AB4186" s="101" t="s">
        <v>172</v>
      </c>
      <c r="AC4186" s="102" t="s">
        <v>173</v>
      </c>
    </row>
    <row r="4187" spans="1:29" ht="25.5" customHeight="1" x14ac:dyDescent="0.35">
      <c r="A4187" s="392"/>
      <c r="B4187" s="393"/>
      <c r="C4187" s="99" t="str">
        <f>IF(B4187="","",IF(NOT(ISNUMBER(B4187)),"DATA_PC invalida",IF(NOT(ISNUMBER(parametros!$C$2)),"Fora dos ciclos",IF(OR(B4187&lt;parametros!$C$2,(YEAR(B4187)-YEAR(parametros!$C$2))*12+MONTH(B4187)-MONTH(parametros!$C$2)&gt;59),"Fora dos ciclos","C"&amp;INT(((YEAR(B4187)-YEAR(parametros!$C$2))*12+MONTH(B4187)-MONTH(parametros!$C$2))/12)))))</f>
        <v/>
      </c>
      <c r="D4187" s="394"/>
      <c r="E4187" s="78" t="str">
        <f>IF(C4187="","",IFERROR(VLOOKUP(C4187,parametros!$A$11:$E$15,5,0),""))</f>
        <v/>
      </c>
      <c r="F4187" s="79" t="str">
        <f t="shared" si="327"/>
        <v/>
      </c>
      <c r="G4187" s="395"/>
      <c r="H4187" s="91">
        <f t="shared" si="328"/>
        <v>0</v>
      </c>
      <c r="I4187" s="91" t="str">
        <f t="shared" si="329"/>
        <v/>
      </c>
      <c r="J4187" s="91" t="str">
        <f t="shared" si="330"/>
        <v/>
      </c>
      <c r="K4187" s="92" t="str">
        <f>IF(AND(A4187="",B4187="",D4187="",G4187=""),"",IF(AND(A4187&lt;&gt;"",COUNTIF($A$2:$A$5001,A4187)&gt;1),"NUMERO_PC duplicado",IF(B4187="","DATA_PC vazia",IF(NOT(ISNUMBER(B4187)),"DATA_PC invalida",IF(OR(C4187="",C4187="Fora dos ciclos"),"CICLO_PC nao identificado",IF(OR(D4187="",D4187=0),"VALOR_PC vazio ou zero",IF(AND(G4187&lt;&gt;"Sim",G4187&lt;&gt;"Nao",G4187&lt;&gt;""),"PC_PAGO_A_CONTRATADA invalido",IF(AND(C4187&lt;&gt;"C0",IFERROR(INDEX(parametros!$A$2:$A$6,MATCH(C4187,parametros!$B$2:$B$6,0)),"")="Sim",IFERROR(INDEX(parametros!$H$2:$H$6,MATCH(C4187,parametros!$B$2:$B$6,0)),"")=""),"INICIO_EFEITO ausente: PC "&amp;A4187&amp;" - "&amp;C4187,IF(L4187="","EFEITO_PC nao calculado: PC "&amp;A4187&amp;" - "&amp;C4187,"OK")))))))))</f>
        <v/>
      </c>
      <c r="L4187" s="92" t="str">
        <f>IF(AND(A4187="",B4187="",D4187="",G4187=""),"",IF(OR(B4187="",NOT(ISNUMBER(B4187)),C4187="",C4187="Fora dos ciclos"),"",IF(C4187="C0","Nao",IF(IFERROR(INDEX(parametros!$A$2:$A$6,MATCH(C4187,parametros!$B$2:$B$6,0)),"")&lt;&gt;"Sim","Nao",IF(IFERROR(INDEX(parametros!$H$2:$H$6,MATCH(C4187,parametros!$B$2:$B$6,0)),"")="","",IF(B4187&gt;=IFERROR(INDEX(parametros!$H$2:$H$6,MATCH(C4187,parametros!$B$2:$B$6,0)),""),"Sim","Nao"))))))</f>
        <v/>
      </c>
      <c r="T4187" s="156"/>
      <c r="U4187" s="214" t="str">
        <f t="shared" si="331"/>
        <v/>
      </c>
      <c r="V4187" s="212" t="s">
        <v>50</v>
      </c>
      <c r="W4187" s="100" t="s">
        <v>168</v>
      </c>
      <c r="X4187" s="100" t="s">
        <v>169</v>
      </c>
      <c r="Y4187" s="101" t="s">
        <v>170</v>
      </c>
      <c r="Z4187" s="101" t="s">
        <v>171</v>
      </c>
      <c r="AA4187" s="101" t="s">
        <v>50</v>
      </c>
      <c r="AB4187" s="101" t="s">
        <v>172</v>
      </c>
      <c r="AC4187" s="102" t="s">
        <v>173</v>
      </c>
    </row>
    <row r="4188" spans="1:29" ht="25.5" customHeight="1" x14ac:dyDescent="0.35">
      <c r="A4188" s="392"/>
      <c r="B4188" s="393"/>
      <c r="C4188" s="99" t="str">
        <f>IF(B4188="","",IF(NOT(ISNUMBER(B4188)),"DATA_PC invalida",IF(NOT(ISNUMBER(parametros!$C$2)),"Fora dos ciclos",IF(OR(B4188&lt;parametros!$C$2,(YEAR(B4188)-YEAR(parametros!$C$2))*12+MONTH(B4188)-MONTH(parametros!$C$2)&gt;59),"Fora dos ciclos","C"&amp;INT(((YEAR(B4188)-YEAR(parametros!$C$2))*12+MONTH(B4188)-MONTH(parametros!$C$2))/12)))))</f>
        <v/>
      </c>
      <c r="D4188" s="394"/>
      <c r="E4188" s="78" t="str">
        <f>IF(C4188="","",IFERROR(VLOOKUP(C4188,parametros!$A$11:$E$15,5,0),""))</f>
        <v/>
      </c>
      <c r="F4188" s="79" t="str">
        <f t="shared" si="327"/>
        <v/>
      </c>
      <c r="G4188" s="395"/>
      <c r="H4188" s="91">
        <f t="shared" si="328"/>
        <v>0</v>
      </c>
      <c r="I4188" s="91" t="str">
        <f t="shared" si="329"/>
        <v/>
      </c>
      <c r="J4188" s="91" t="str">
        <f t="shared" si="330"/>
        <v/>
      </c>
      <c r="K4188" s="92" t="str">
        <f>IF(AND(A4188="",B4188="",D4188="",G4188=""),"",IF(AND(A4188&lt;&gt;"",COUNTIF($A$2:$A$5001,A4188)&gt;1),"NUMERO_PC duplicado",IF(B4188="","DATA_PC vazia",IF(NOT(ISNUMBER(B4188)),"DATA_PC invalida",IF(OR(C4188="",C4188="Fora dos ciclos"),"CICLO_PC nao identificado",IF(OR(D4188="",D4188=0),"VALOR_PC vazio ou zero",IF(AND(G4188&lt;&gt;"Sim",G4188&lt;&gt;"Nao",G4188&lt;&gt;""),"PC_PAGO_A_CONTRATADA invalido",IF(AND(C4188&lt;&gt;"C0",IFERROR(INDEX(parametros!$A$2:$A$6,MATCH(C4188,parametros!$B$2:$B$6,0)),"")="Sim",IFERROR(INDEX(parametros!$H$2:$H$6,MATCH(C4188,parametros!$B$2:$B$6,0)),"")=""),"INICIO_EFEITO ausente: PC "&amp;A4188&amp;" - "&amp;C4188,IF(L4188="","EFEITO_PC nao calculado: PC "&amp;A4188&amp;" - "&amp;C4188,"OK")))))))))</f>
        <v/>
      </c>
      <c r="L4188" s="92" t="str">
        <f>IF(AND(A4188="",B4188="",D4188="",G4188=""),"",IF(OR(B4188="",NOT(ISNUMBER(B4188)),C4188="",C4188="Fora dos ciclos"),"",IF(C4188="C0","Nao",IF(IFERROR(INDEX(parametros!$A$2:$A$6,MATCH(C4188,parametros!$B$2:$B$6,0)),"")&lt;&gt;"Sim","Nao",IF(IFERROR(INDEX(parametros!$H$2:$H$6,MATCH(C4188,parametros!$B$2:$B$6,0)),"")="","",IF(B4188&gt;=IFERROR(INDEX(parametros!$H$2:$H$6,MATCH(C4188,parametros!$B$2:$B$6,0)),""),"Sim","Nao"))))))</f>
        <v/>
      </c>
      <c r="T4188" s="156"/>
      <c r="U4188" s="214" t="str">
        <f t="shared" si="331"/>
        <v/>
      </c>
      <c r="V4188" s="212" t="s">
        <v>50</v>
      </c>
      <c r="W4188" s="100" t="s">
        <v>168</v>
      </c>
      <c r="X4188" s="100" t="s">
        <v>169</v>
      </c>
      <c r="Y4188" s="101" t="s">
        <v>170</v>
      </c>
      <c r="Z4188" s="101" t="s">
        <v>171</v>
      </c>
      <c r="AA4188" s="101" t="s">
        <v>50</v>
      </c>
      <c r="AB4188" s="101" t="s">
        <v>172</v>
      </c>
      <c r="AC4188" s="102" t="s">
        <v>173</v>
      </c>
    </row>
    <row r="4189" spans="1:29" ht="25.5" customHeight="1" x14ac:dyDescent="0.35">
      <c r="A4189" s="392"/>
      <c r="B4189" s="393"/>
      <c r="C4189" s="99" t="str">
        <f>IF(B4189="","",IF(NOT(ISNUMBER(B4189)),"DATA_PC invalida",IF(NOT(ISNUMBER(parametros!$C$2)),"Fora dos ciclos",IF(OR(B4189&lt;parametros!$C$2,(YEAR(B4189)-YEAR(parametros!$C$2))*12+MONTH(B4189)-MONTH(parametros!$C$2)&gt;59),"Fora dos ciclos","C"&amp;INT(((YEAR(B4189)-YEAR(parametros!$C$2))*12+MONTH(B4189)-MONTH(parametros!$C$2))/12)))))</f>
        <v/>
      </c>
      <c r="D4189" s="394"/>
      <c r="E4189" s="78" t="str">
        <f>IF(C4189="","",IFERROR(VLOOKUP(C4189,parametros!$A$11:$E$15,5,0),""))</f>
        <v/>
      </c>
      <c r="F4189" s="79" t="str">
        <f t="shared" si="327"/>
        <v/>
      </c>
      <c r="G4189" s="395"/>
      <c r="H4189" s="91">
        <f t="shared" si="328"/>
        <v>0</v>
      </c>
      <c r="I4189" s="91" t="str">
        <f t="shared" si="329"/>
        <v/>
      </c>
      <c r="J4189" s="91" t="str">
        <f t="shared" si="330"/>
        <v/>
      </c>
      <c r="K4189" s="92" t="str">
        <f>IF(AND(A4189="",B4189="",D4189="",G4189=""),"",IF(AND(A4189&lt;&gt;"",COUNTIF($A$2:$A$5001,A4189)&gt;1),"NUMERO_PC duplicado",IF(B4189="","DATA_PC vazia",IF(NOT(ISNUMBER(B4189)),"DATA_PC invalida",IF(OR(C4189="",C4189="Fora dos ciclos"),"CICLO_PC nao identificado",IF(OR(D4189="",D4189=0),"VALOR_PC vazio ou zero",IF(AND(G4189&lt;&gt;"Sim",G4189&lt;&gt;"Nao",G4189&lt;&gt;""),"PC_PAGO_A_CONTRATADA invalido",IF(AND(C4189&lt;&gt;"C0",IFERROR(INDEX(parametros!$A$2:$A$6,MATCH(C4189,parametros!$B$2:$B$6,0)),"")="Sim",IFERROR(INDEX(parametros!$H$2:$H$6,MATCH(C4189,parametros!$B$2:$B$6,0)),"")=""),"INICIO_EFEITO ausente: PC "&amp;A4189&amp;" - "&amp;C4189,IF(L4189="","EFEITO_PC nao calculado: PC "&amp;A4189&amp;" - "&amp;C4189,"OK")))))))))</f>
        <v/>
      </c>
      <c r="L4189" s="92" t="str">
        <f>IF(AND(A4189="",B4189="",D4189="",G4189=""),"",IF(OR(B4189="",NOT(ISNUMBER(B4189)),C4189="",C4189="Fora dos ciclos"),"",IF(C4189="C0","Nao",IF(IFERROR(INDEX(parametros!$A$2:$A$6,MATCH(C4189,parametros!$B$2:$B$6,0)),"")&lt;&gt;"Sim","Nao",IF(IFERROR(INDEX(parametros!$H$2:$H$6,MATCH(C4189,parametros!$B$2:$B$6,0)),"")="","",IF(B4189&gt;=IFERROR(INDEX(parametros!$H$2:$H$6,MATCH(C4189,parametros!$B$2:$B$6,0)),""),"Sim","Nao"))))))</f>
        <v/>
      </c>
      <c r="T4189" s="156"/>
      <c r="U4189" s="214" t="str">
        <f t="shared" si="331"/>
        <v/>
      </c>
      <c r="V4189" s="212" t="s">
        <v>50</v>
      </c>
      <c r="W4189" s="100" t="s">
        <v>168</v>
      </c>
      <c r="X4189" s="100" t="s">
        <v>169</v>
      </c>
      <c r="Y4189" s="101" t="s">
        <v>170</v>
      </c>
      <c r="Z4189" s="101" t="s">
        <v>171</v>
      </c>
      <c r="AA4189" s="101" t="s">
        <v>50</v>
      </c>
      <c r="AB4189" s="101" t="s">
        <v>172</v>
      </c>
      <c r="AC4189" s="102" t="s">
        <v>173</v>
      </c>
    </row>
    <row r="4190" spans="1:29" ht="25.5" customHeight="1" x14ac:dyDescent="0.35">
      <c r="A4190" s="392"/>
      <c r="B4190" s="393"/>
      <c r="C4190" s="99" t="str">
        <f>IF(B4190="","",IF(NOT(ISNUMBER(B4190)),"DATA_PC invalida",IF(NOT(ISNUMBER(parametros!$C$2)),"Fora dos ciclos",IF(OR(B4190&lt;parametros!$C$2,(YEAR(B4190)-YEAR(parametros!$C$2))*12+MONTH(B4190)-MONTH(parametros!$C$2)&gt;59),"Fora dos ciclos","C"&amp;INT(((YEAR(B4190)-YEAR(parametros!$C$2))*12+MONTH(B4190)-MONTH(parametros!$C$2))/12)))))</f>
        <v/>
      </c>
      <c r="D4190" s="394"/>
      <c r="E4190" s="78" t="str">
        <f>IF(C4190="","",IFERROR(VLOOKUP(C4190,parametros!$A$11:$E$15,5,0),""))</f>
        <v/>
      </c>
      <c r="F4190" s="79" t="str">
        <f t="shared" si="327"/>
        <v/>
      </c>
      <c r="G4190" s="395"/>
      <c r="H4190" s="91">
        <f t="shared" si="328"/>
        <v>0</v>
      </c>
      <c r="I4190" s="91" t="str">
        <f t="shared" si="329"/>
        <v/>
      </c>
      <c r="J4190" s="91" t="str">
        <f t="shared" si="330"/>
        <v/>
      </c>
      <c r="K4190" s="92" t="str">
        <f>IF(AND(A4190="",B4190="",D4190="",G4190=""),"",IF(AND(A4190&lt;&gt;"",COUNTIF($A$2:$A$5001,A4190)&gt;1),"NUMERO_PC duplicado",IF(B4190="","DATA_PC vazia",IF(NOT(ISNUMBER(B4190)),"DATA_PC invalida",IF(OR(C4190="",C4190="Fora dos ciclos"),"CICLO_PC nao identificado",IF(OR(D4190="",D4190=0),"VALOR_PC vazio ou zero",IF(AND(G4190&lt;&gt;"Sim",G4190&lt;&gt;"Nao",G4190&lt;&gt;""),"PC_PAGO_A_CONTRATADA invalido",IF(AND(C4190&lt;&gt;"C0",IFERROR(INDEX(parametros!$A$2:$A$6,MATCH(C4190,parametros!$B$2:$B$6,0)),"")="Sim",IFERROR(INDEX(parametros!$H$2:$H$6,MATCH(C4190,parametros!$B$2:$B$6,0)),"")=""),"INICIO_EFEITO ausente: PC "&amp;A4190&amp;" - "&amp;C4190,IF(L4190="","EFEITO_PC nao calculado: PC "&amp;A4190&amp;" - "&amp;C4190,"OK")))))))))</f>
        <v/>
      </c>
      <c r="L4190" s="92" t="str">
        <f>IF(AND(A4190="",B4190="",D4190="",G4190=""),"",IF(OR(B4190="",NOT(ISNUMBER(B4190)),C4190="",C4190="Fora dos ciclos"),"",IF(C4190="C0","Nao",IF(IFERROR(INDEX(parametros!$A$2:$A$6,MATCH(C4190,parametros!$B$2:$B$6,0)),"")&lt;&gt;"Sim","Nao",IF(IFERROR(INDEX(parametros!$H$2:$H$6,MATCH(C4190,parametros!$B$2:$B$6,0)),"")="","",IF(B4190&gt;=IFERROR(INDEX(parametros!$H$2:$H$6,MATCH(C4190,parametros!$B$2:$B$6,0)),""),"Sim","Nao"))))))</f>
        <v/>
      </c>
      <c r="T4190" s="156"/>
      <c r="U4190" s="214" t="str">
        <f t="shared" si="331"/>
        <v/>
      </c>
      <c r="V4190" s="212" t="s">
        <v>50</v>
      </c>
      <c r="W4190" s="100" t="s">
        <v>168</v>
      </c>
      <c r="X4190" s="100" t="s">
        <v>169</v>
      </c>
      <c r="Y4190" s="101" t="s">
        <v>170</v>
      </c>
      <c r="Z4190" s="101" t="s">
        <v>171</v>
      </c>
      <c r="AA4190" s="101" t="s">
        <v>50</v>
      </c>
      <c r="AB4190" s="101" t="s">
        <v>172</v>
      </c>
      <c r="AC4190" s="102" t="s">
        <v>173</v>
      </c>
    </row>
    <row r="4191" spans="1:29" ht="25.5" customHeight="1" x14ac:dyDescent="0.35">
      <c r="A4191" s="392"/>
      <c r="B4191" s="393"/>
      <c r="C4191" s="99" t="str">
        <f>IF(B4191="","",IF(NOT(ISNUMBER(B4191)),"DATA_PC invalida",IF(NOT(ISNUMBER(parametros!$C$2)),"Fora dos ciclos",IF(OR(B4191&lt;parametros!$C$2,(YEAR(B4191)-YEAR(parametros!$C$2))*12+MONTH(B4191)-MONTH(parametros!$C$2)&gt;59),"Fora dos ciclos","C"&amp;INT(((YEAR(B4191)-YEAR(parametros!$C$2))*12+MONTH(B4191)-MONTH(parametros!$C$2))/12)))))</f>
        <v/>
      </c>
      <c r="D4191" s="394"/>
      <c r="E4191" s="78" t="str">
        <f>IF(C4191="","",IFERROR(VLOOKUP(C4191,parametros!$A$11:$E$15,5,0),""))</f>
        <v/>
      </c>
      <c r="F4191" s="79" t="str">
        <f t="shared" si="327"/>
        <v/>
      </c>
      <c r="G4191" s="395"/>
      <c r="H4191" s="91">
        <f t="shared" si="328"/>
        <v>0</v>
      </c>
      <c r="I4191" s="91" t="str">
        <f t="shared" si="329"/>
        <v/>
      </c>
      <c r="J4191" s="91" t="str">
        <f t="shared" si="330"/>
        <v/>
      </c>
      <c r="K4191" s="92" t="str">
        <f>IF(AND(A4191="",B4191="",D4191="",G4191=""),"",IF(AND(A4191&lt;&gt;"",COUNTIF($A$2:$A$5001,A4191)&gt;1),"NUMERO_PC duplicado",IF(B4191="","DATA_PC vazia",IF(NOT(ISNUMBER(B4191)),"DATA_PC invalida",IF(OR(C4191="",C4191="Fora dos ciclos"),"CICLO_PC nao identificado",IF(OR(D4191="",D4191=0),"VALOR_PC vazio ou zero",IF(AND(G4191&lt;&gt;"Sim",G4191&lt;&gt;"Nao",G4191&lt;&gt;""),"PC_PAGO_A_CONTRATADA invalido",IF(AND(C4191&lt;&gt;"C0",IFERROR(INDEX(parametros!$A$2:$A$6,MATCH(C4191,parametros!$B$2:$B$6,0)),"")="Sim",IFERROR(INDEX(parametros!$H$2:$H$6,MATCH(C4191,parametros!$B$2:$B$6,0)),"")=""),"INICIO_EFEITO ausente: PC "&amp;A4191&amp;" - "&amp;C4191,IF(L4191="","EFEITO_PC nao calculado: PC "&amp;A4191&amp;" - "&amp;C4191,"OK")))))))))</f>
        <v/>
      </c>
      <c r="L4191" s="92" t="str">
        <f>IF(AND(A4191="",B4191="",D4191="",G4191=""),"",IF(OR(B4191="",NOT(ISNUMBER(B4191)),C4191="",C4191="Fora dos ciclos"),"",IF(C4191="C0","Nao",IF(IFERROR(INDEX(parametros!$A$2:$A$6,MATCH(C4191,parametros!$B$2:$B$6,0)),"")&lt;&gt;"Sim","Nao",IF(IFERROR(INDEX(parametros!$H$2:$H$6,MATCH(C4191,parametros!$B$2:$B$6,0)),"")="","",IF(B4191&gt;=IFERROR(INDEX(parametros!$H$2:$H$6,MATCH(C4191,parametros!$B$2:$B$6,0)),""),"Sim","Nao"))))))</f>
        <v/>
      </c>
      <c r="T4191" s="156"/>
      <c r="U4191" s="214" t="str">
        <f t="shared" si="331"/>
        <v/>
      </c>
      <c r="V4191" s="212" t="s">
        <v>50</v>
      </c>
      <c r="W4191" s="100" t="s">
        <v>168</v>
      </c>
      <c r="X4191" s="100" t="s">
        <v>169</v>
      </c>
      <c r="Y4191" s="101" t="s">
        <v>170</v>
      </c>
      <c r="Z4191" s="101" t="s">
        <v>171</v>
      </c>
      <c r="AA4191" s="101" t="s">
        <v>50</v>
      </c>
      <c r="AB4191" s="101" t="s">
        <v>172</v>
      </c>
      <c r="AC4191" s="102" t="s">
        <v>173</v>
      </c>
    </row>
    <row r="4192" spans="1:29" ht="25.5" customHeight="1" x14ac:dyDescent="0.35">
      <c r="A4192" s="392"/>
      <c r="B4192" s="393"/>
      <c r="C4192" s="99" t="str">
        <f>IF(B4192="","",IF(NOT(ISNUMBER(B4192)),"DATA_PC invalida",IF(NOT(ISNUMBER(parametros!$C$2)),"Fora dos ciclos",IF(OR(B4192&lt;parametros!$C$2,(YEAR(B4192)-YEAR(parametros!$C$2))*12+MONTH(B4192)-MONTH(parametros!$C$2)&gt;59),"Fora dos ciclos","C"&amp;INT(((YEAR(B4192)-YEAR(parametros!$C$2))*12+MONTH(B4192)-MONTH(parametros!$C$2))/12)))))</f>
        <v/>
      </c>
      <c r="D4192" s="394"/>
      <c r="E4192" s="78" t="str">
        <f>IF(C4192="","",IFERROR(VLOOKUP(C4192,parametros!$A$11:$E$15,5,0),""))</f>
        <v/>
      </c>
      <c r="F4192" s="79" t="str">
        <f t="shared" si="327"/>
        <v/>
      </c>
      <c r="G4192" s="395"/>
      <c r="H4192" s="91">
        <f t="shared" si="328"/>
        <v>0</v>
      </c>
      <c r="I4192" s="91" t="str">
        <f t="shared" si="329"/>
        <v/>
      </c>
      <c r="J4192" s="91" t="str">
        <f t="shared" si="330"/>
        <v/>
      </c>
      <c r="K4192" s="92" t="str">
        <f>IF(AND(A4192="",B4192="",D4192="",G4192=""),"",IF(AND(A4192&lt;&gt;"",COUNTIF($A$2:$A$5001,A4192)&gt;1),"NUMERO_PC duplicado",IF(B4192="","DATA_PC vazia",IF(NOT(ISNUMBER(B4192)),"DATA_PC invalida",IF(OR(C4192="",C4192="Fora dos ciclos"),"CICLO_PC nao identificado",IF(OR(D4192="",D4192=0),"VALOR_PC vazio ou zero",IF(AND(G4192&lt;&gt;"Sim",G4192&lt;&gt;"Nao",G4192&lt;&gt;""),"PC_PAGO_A_CONTRATADA invalido",IF(AND(C4192&lt;&gt;"C0",IFERROR(INDEX(parametros!$A$2:$A$6,MATCH(C4192,parametros!$B$2:$B$6,0)),"")="Sim",IFERROR(INDEX(parametros!$H$2:$H$6,MATCH(C4192,parametros!$B$2:$B$6,0)),"")=""),"INICIO_EFEITO ausente: PC "&amp;A4192&amp;" - "&amp;C4192,IF(L4192="","EFEITO_PC nao calculado: PC "&amp;A4192&amp;" - "&amp;C4192,"OK")))))))))</f>
        <v/>
      </c>
      <c r="L4192" s="92" t="str">
        <f>IF(AND(A4192="",B4192="",D4192="",G4192=""),"",IF(OR(B4192="",NOT(ISNUMBER(B4192)),C4192="",C4192="Fora dos ciclos"),"",IF(C4192="C0","Nao",IF(IFERROR(INDEX(parametros!$A$2:$A$6,MATCH(C4192,parametros!$B$2:$B$6,0)),"")&lt;&gt;"Sim","Nao",IF(IFERROR(INDEX(parametros!$H$2:$H$6,MATCH(C4192,parametros!$B$2:$B$6,0)),"")="","",IF(B4192&gt;=IFERROR(INDEX(parametros!$H$2:$H$6,MATCH(C4192,parametros!$B$2:$B$6,0)),""),"Sim","Nao"))))))</f>
        <v/>
      </c>
      <c r="T4192" s="156"/>
      <c r="U4192" s="214" t="str">
        <f t="shared" si="331"/>
        <v/>
      </c>
      <c r="V4192" s="212" t="s">
        <v>50</v>
      </c>
      <c r="W4192" s="100" t="s">
        <v>168</v>
      </c>
      <c r="X4192" s="100" t="s">
        <v>169</v>
      </c>
      <c r="Y4192" s="101" t="s">
        <v>170</v>
      </c>
      <c r="Z4192" s="101" t="s">
        <v>171</v>
      </c>
      <c r="AA4192" s="101" t="s">
        <v>50</v>
      </c>
      <c r="AB4192" s="101" t="s">
        <v>172</v>
      </c>
      <c r="AC4192" s="102" t="s">
        <v>173</v>
      </c>
    </row>
    <row r="4193" spans="1:29" ht="25.5" customHeight="1" x14ac:dyDescent="0.35">
      <c r="A4193" s="392"/>
      <c r="B4193" s="393"/>
      <c r="C4193" s="99" t="str">
        <f>IF(B4193="","",IF(NOT(ISNUMBER(B4193)),"DATA_PC invalida",IF(NOT(ISNUMBER(parametros!$C$2)),"Fora dos ciclos",IF(OR(B4193&lt;parametros!$C$2,(YEAR(B4193)-YEAR(parametros!$C$2))*12+MONTH(B4193)-MONTH(parametros!$C$2)&gt;59),"Fora dos ciclos","C"&amp;INT(((YEAR(B4193)-YEAR(parametros!$C$2))*12+MONTH(B4193)-MONTH(parametros!$C$2))/12)))))</f>
        <v/>
      </c>
      <c r="D4193" s="394"/>
      <c r="E4193" s="78" t="str">
        <f>IF(C4193="","",IFERROR(VLOOKUP(C4193,parametros!$A$11:$E$15,5,0),""))</f>
        <v/>
      </c>
      <c r="F4193" s="79" t="str">
        <f t="shared" si="327"/>
        <v/>
      </c>
      <c r="G4193" s="395"/>
      <c r="H4193" s="91">
        <f t="shared" si="328"/>
        <v>0</v>
      </c>
      <c r="I4193" s="91" t="str">
        <f t="shared" si="329"/>
        <v/>
      </c>
      <c r="J4193" s="91" t="str">
        <f t="shared" si="330"/>
        <v/>
      </c>
      <c r="K4193" s="92" t="str">
        <f>IF(AND(A4193="",B4193="",D4193="",G4193=""),"",IF(AND(A4193&lt;&gt;"",COUNTIF($A$2:$A$5001,A4193)&gt;1),"NUMERO_PC duplicado",IF(B4193="","DATA_PC vazia",IF(NOT(ISNUMBER(B4193)),"DATA_PC invalida",IF(OR(C4193="",C4193="Fora dos ciclos"),"CICLO_PC nao identificado",IF(OR(D4193="",D4193=0),"VALOR_PC vazio ou zero",IF(AND(G4193&lt;&gt;"Sim",G4193&lt;&gt;"Nao",G4193&lt;&gt;""),"PC_PAGO_A_CONTRATADA invalido",IF(AND(C4193&lt;&gt;"C0",IFERROR(INDEX(parametros!$A$2:$A$6,MATCH(C4193,parametros!$B$2:$B$6,0)),"")="Sim",IFERROR(INDEX(parametros!$H$2:$H$6,MATCH(C4193,parametros!$B$2:$B$6,0)),"")=""),"INICIO_EFEITO ausente: PC "&amp;A4193&amp;" - "&amp;C4193,IF(L4193="","EFEITO_PC nao calculado: PC "&amp;A4193&amp;" - "&amp;C4193,"OK")))))))))</f>
        <v/>
      </c>
      <c r="L4193" s="92" t="str">
        <f>IF(AND(A4193="",B4193="",D4193="",G4193=""),"",IF(OR(B4193="",NOT(ISNUMBER(B4193)),C4193="",C4193="Fora dos ciclos"),"",IF(C4193="C0","Nao",IF(IFERROR(INDEX(parametros!$A$2:$A$6,MATCH(C4193,parametros!$B$2:$B$6,0)),"")&lt;&gt;"Sim","Nao",IF(IFERROR(INDEX(parametros!$H$2:$H$6,MATCH(C4193,parametros!$B$2:$B$6,0)),"")="","",IF(B4193&gt;=IFERROR(INDEX(parametros!$H$2:$H$6,MATCH(C4193,parametros!$B$2:$B$6,0)),""),"Sim","Nao"))))))</f>
        <v/>
      </c>
      <c r="T4193" s="156"/>
      <c r="U4193" s="214" t="str">
        <f t="shared" si="331"/>
        <v/>
      </c>
      <c r="V4193" s="212" t="s">
        <v>50</v>
      </c>
      <c r="W4193" s="100" t="s">
        <v>168</v>
      </c>
      <c r="X4193" s="100" t="s">
        <v>169</v>
      </c>
      <c r="Y4193" s="101" t="s">
        <v>170</v>
      </c>
      <c r="Z4193" s="101" t="s">
        <v>171</v>
      </c>
      <c r="AA4193" s="101" t="s">
        <v>50</v>
      </c>
      <c r="AB4193" s="101" t="s">
        <v>172</v>
      </c>
      <c r="AC4193" s="102" t="s">
        <v>173</v>
      </c>
    </row>
    <row r="4194" spans="1:29" ht="25.5" customHeight="1" x14ac:dyDescent="0.35">
      <c r="A4194" s="392"/>
      <c r="B4194" s="393"/>
      <c r="C4194" s="99" t="str">
        <f>IF(B4194="","",IF(NOT(ISNUMBER(B4194)),"DATA_PC invalida",IF(NOT(ISNUMBER(parametros!$C$2)),"Fora dos ciclos",IF(OR(B4194&lt;parametros!$C$2,(YEAR(B4194)-YEAR(parametros!$C$2))*12+MONTH(B4194)-MONTH(parametros!$C$2)&gt;59),"Fora dos ciclos","C"&amp;INT(((YEAR(B4194)-YEAR(parametros!$C$2))*12+MONTH(B4194)-MONTH(parametros!$C$2))/12)))))</f>
        <v/>
      </c>
      <c r="D4194" s="394"/>
      <c r="E4194" s="78" t="str">
        <f>IF(C4194="","",IFERROR(VLOOKUP(C4194,parametros!$A$11:$E$15,5,0),""))</f>
        <v/>
      </c>
      <c r="F4194" s="79" t="str">
        <f t="shared" si="327"/>
        <v/>
      </c>
      <c r="G4194" s="395"/>
      <c r="H4194" s="91">
        <f t="shared" si="328"/>
        <v>0</v>
      </c>
      <c r="I4194" s="91" t="str">
        <f t="shared" si="329"/>
        <v/>
      </c>
      <c r="J4194" s="91" t="str">
        <f t="shared" si="330"/>
        <v/>
      </c>
      <c r="K4194" s="92" t="str">
        <f>IF(AND(A4194="",B4194="",D4194="",G4194=""),"",IF(AND(A4194&lt;&gt;"",COUNTIF($A$2:$A$5001,A4194)&gt;1),"NUMERO_PC duplicado",IF(B4194="","DATA_PC vazia",IF(NOT(ISNUMBER(B4194)),"DATA_PC invalida",IF(OR(C4194="",C4194="Fora dos ciclos"),"CICLO_PC nao identificado",IF(OR(D4194="",D4194=0),"VALOR_PC vazio ou zero",IF(AND(G4194&lt;&gt;"Sim",G4194&lt;&gt;"Nao",G4194&lt;&gt;""),"PC_PAGO_A_CONTRATADA invalido",IF(AND(C4194&lt;&gt;"C0",IFERROR(INDEX(parametros!$A$2:$A$6,MATCH(C4194,parametros!$B$2:$B$6,0)),"")="Sim",IFERROR(INDEX(parametros!$H$2:$H$6,MATCH(C4194,parametros!$B$2:$B$6,0)),"")=""),"INICIO_EFEITO ausente: PC "&amp;A4194&amp;" - "&amp;C4194,IF(L4194="","EFEITO_PC nao calculado: PC "&amp;A4194&amp;" - "&amp;C4194,"OK")))))))))</f>
        <v/>
      </c>
      <c r="L4194" s="92" t="str">
        <f>IF(AND(A4194="",B4194="",D4194="",G4194=""),"",IF(OR(B4194="",NOT(ISNUMBER(B4194)),C4194="",C4194="Fora dos ciclos"),"",IF(C4194="C0","Nao",IF(IFERROR(INDEX(parametros!$A$2:$A$6,MATCH(C4194,parametros!$B$2:$B$6,0)),"")&lt;&gt;"Sim","Nao",IF(IFERROR(INDEX(parametros!$H$2:$H$6,MATCH(C4194,parametros!$B$2:$B$6,0)),"")="","",IF(B4194&gt;=IFERROR(INDEX(parametros!$H$2:$H$6,MATCH(C4194,parametros!$B$2:$B$6,0)),""),"Sim","Nao"))))))</f>
        <v/>
      </c>
      <c r="T4194" s="156"/>
      <c r="U4194" s="214" t="str">
        <f t="shared" si="331"/>
        <v/>
      </c>
      <c r="V4194" s="212" t="s">
        <v>50</v>
      </c>
      <c r="W4194" s="100" t="s">
        <v>168</v>
      </c>
      <c r="X4194" s="100" t="s">
        <v>169</v>
      </c>
      <c r="Y4194" s="101" t="s">
        <v>170</v>
      </c>
      <c r="Z4194" s="101" t="s">
        <v>171</v>
      </c>
      <c r="AA4194" s="101" t="s">
        <v>50</v>
      </c>
      <c r="AB4194" s="101" t="s">
        <v>172</v>
      </c>
      <c r="AC4194" s="102" t="s">
        <v>173</v>
      </c>
    </row>
    <row r="4195" spans="1:29" ht="25.5" customHeight="1" x14ac:dyDescent="0.35">
      <c r="A4195" s="392"/>
      <c r="B4195" s="393"/>
      <c r="C4195" s="99" t="str">
        <f>IF(B4195="","",IF(NOT(ISNUMBER(B4195)),"DATA_PC invalida",IF(NOT(ISNUMBER(parametros!$C$2)),"Fora dos ciclos",IF(OR(B4195&lt;parametros!$C$2,(YEAR(B4195)-YEAR(parametros!$C$2))*12+MONTH(B4195)-MONTH(parametros!$C$2)&gt;59),"Fora dos ciclos","C"&amp;INT(((YEAR(B4195)-YEAR(parametros!$C$2))*12+MONTH(B4195)-MONTH(parametros!$C$2))/12)))))</f>
        <v/>
      </c>
      <c r="D4195" s="394"/>
      <c r="E4195" s="78" t="str">
        <f>IF(C4195="","",IFERROR(VLOOKUP(C4195,parametros!$A$11:$E$15,5,0),""))</f>
        <v/>
      </c>
      <c r="F4195" s="79" t="str">
        <f t="shared" si="327"/>
        <v/>
      </c>
      <c r="G4195" s="395"/>
      <c r="H4195" s="91">
        <f t="shared" si="328"/>
        <v>0</v>
      </c>
      <c r="I4195" s="91" t="str">
        <f t="shared" si="329"/>
        <v/>
      </c>
      <c r="J4195" s="91" t="str">
        <f t="shared" si="330"/>
        <v/>
      </c>
      <c r="K4195" s="92" t="str">
        <f>IF(AND(A4195="",B4195="",D4195="",G4195=""),"",IF(AND(A4195&lt;&gt;"",COUNTIF($A$2:$A$5001,A4195)&gt;1),"NUMERO_PC duplicado",IF(B4195="","DATA_PC vazia",IF(NOT(ISNUMBER(B4195)),"DATA_PC invalida",IF(OR(C4195="",C4195="Fora dos ciclos"),"CICLO_PC nao identificado",IF(OR(D4195="",D4195=0),"VALOR_PC vazio ou zero",IF(AND(G4195&lt;&gt;"Sim",G4195&lt;&gt;"Nao",G4195&lt;&gt;""),"PC_PAGO_A_CONTRATADA invalido",IF(AND(C4195&lt;&gt;"C0",IFERROR(INDEX(parametros!$A$2:$A$6,MATCH(C4195,parametros!$B$2:$B$6,0)),"")="Sim",IFERROR(INDEX(parametros!$H$2:$H$6,MATCH(C4195,parametros!$B$2:$B$6,0)),"")=""),"INICIO_EFEITO ausente: PC "&amp;A4195&amp;" - "&amp;C4195,IF(L4195="","EFEITO_PC nao calculado: PC "&amp;A4195&amp;" - "&amp;C4195,"OK")))))))))</f>
        <v/>
      </c>
      <c r="L4195" s="92" t="str">
        <f>IF(AND(A4195="",B4195="",D4195="",G4195=""),"",IF(OR(B4195="",NOT(ISNUMBER(B4195)),C4195="",C4195="Fora dos ciclos"),"",IF(C4195="C0","Nao",IF(IFERROR(INDEX(parametros!$A$2:$A$6,MATCH(C4195,parametros!$B$2:$B$6,0)),"")&lt;&gt;"Sim","Nao",IF(IFERROR(INDEX(parametros!$H$2:$H$6,MATCH(C4195,parametros!$B$2:$B$6,0)),"")="","",IF(B4195&gt;=IFERROR(INDEX(parametros!$H$2:$H$6,MATCH(C4195,parametros!$B$2:$B$6,0)),""),"Sim","Nao"))))))</f>
        <v/>
      </c>
      <c r="T4195" s="156"/>
      <c r="U4195" s="214" t="str">
        <f t="shared" si="331"/>
        <v/>
      </c>
      <c r="V4195" s="212" t="s">
        <v>50</v>
      </c>
      <c r="W4195" s="100" t="s">
        <v>168</v>
      </c>
      <c r="X4195" s="100" t="s">
        <v>169</v>
      </c>
      <c r="Y4195" s="101" t="s">
        <v>170</v>
      </c>
      <c r="Z4195" s="101" t="s">
        <v>171</v>
      </c>
      <c r="AA4195" s="101" t="s">
        <v>50</v>
      </c>
      <c r="AB4195" s="101" t="s">
        <v>172</v>
      </c>
      <c r="AC4195" s="102" t="s">
        <v>173</v>
      </c>
    </row>
    <row r="4196" spans="1:29" ht="25.5" customHeight="1" x14ac:dyDescent="0.35">
      <c r="A4196" s="392"/>
      <c r="B4196" s="393"/>
      <c r="C4196" s="99" t="str">
        <f>IF(B4196="","",IF(NOT(ISNUMBER(B4196)),"DATA_PC invalida",IF(NOT(ISNUMBER(parametros!$C$2)),"Fora dos ciclos",IF(OR(B4196&lt;parametros!$C$2,(YEAR(B4196)-YEAR(parametros!$C$2))*12+MONTH(B4196)-MONTH(parametros!$C$2)&gt;59),"Fora dos ciclos","C"&amp;INT(((YEAR(B4196)-YEAR(parametros!$C$2))*12+MONTH(B4196)-MONTH(parametros!$C$2))/12)))))</f>
        <v/>
      </c>
      <c r="D4196" s="394"/>
      <c r="E4196" s="78" t="str">
        <f>IF(C4196="","",IFERROR(VLOOKUP(C4196,parametros!$A$11:$E$15,5,0),""))</f>
        <v/>
      </c>
      <c r="F4196" s="79" t="str">
        <f t="shared" si="327"/>
        <v/>
      </c>
      <c r="G4196" s="395"/>
      <c r="H4196" s="91">
        <f t="shared" si="328"/>
        <v>0</v>
      </c>
      <c r="I4196" s="91" t="str">
        <f t="shared" si="329"/>
        <v/>
      </c>
      <c r="J4196" s="91" t="str">
        <f t="shared" si="330"/>
        <v/>
      </c>
      <c r="K4196" s="92" t="str">
        <f>IF(AND(A4196="",B4196="",D4196="",G4196=""),"",IF(AND(A4196&lt;&gt;"",COUNTIF($A$2:$A$5001,A4196)&gt;1),"NUMERO_PC duplicado",IF(B4196="","DATA_PC vazia",IF(NOT(ISNUMBER(B4196)),"DATA_PC invalida",IF(OR(C4196="",C4196="Fora dos ciclos"),"CICLO_PC nao identificado",IF(OR(D4196="",D4196=0),"VALOR_PC vazio ou zero",IF(AND(G4196&lt;&gt;"Sim",G4196&lt;&gt;"Nao",G4196&lt;&gt;""),"PC_PAGO_A_CONTRATADA invalido",IF(AND(C4196&lt;&gt;"C0",IFERROR(INDEX(parametros!$A$2:$A$6,MATCH(C4196,parametros!$B$2:$B$6,0)),"")="Sim",IFERROR(INDEX(parametros!$H$2:$H$6,MATCH(C4196,parametros!$B$2:$B$6,0)),"")=""),"INICIO_EFEITO ausente: PC "&amp;A4196&amp;" - "&amp;C4196,IF(L4196="","EFEITO_PC nao calculado: PC "&amp;A4196&amp;" - "&amp;C4196,"OK")))))))))</f>
        <v/>
      </c>
      <c r="L4196" s="92" t="str">
        <f>IF(AND(A4196="",B4196="",D4196="",G4196=""),"",IF(OR(B4196="",NOT(ISNUMBER(B4196)),C4196="",C4196="Fora dos ciclos"),"",IF(C4196="C0","Nao",IF(IFERROR(INDEX(parametros!$A$2:$A$6,MATCH(C4196,parametros!$B$2:$B$6,0)),"")&lt;&gt;"Sim","Nao",IF(IFERROR(INDEX(parametros!$H$2:$H$6,MATCH(C4196,parametros!$B$2:$B$6,0)),"")="","",IF(B4196&gt;=IFERROR(INDEX(parametros!$H$2:$H$6,MATCH(C4196,parametros!$B$2:$B$6,0)),""),"Sim","Nao"))))))</f>
        <v/>
      </c>
      <c r="T4196" s="156"/>
      <c r="U4196" s="214" t="str">
        <f t="shared" si="331"/>
        <v/>
      </c>
      <c r="V4196" s="212" t="s">
        <v>50</v>
      </c>
      <c r="W4196" s="100" t="s">
        <v>168</v>
      </c>
      <c r="X4196" s="100" t="s">
        <v>169</v>
      </c>
      <c r="Y4196" s="101" t="s">
        <v>170</v>
      </c>
      <c r="Z4196" s="101" t="s">
        <v>171</v>
      </c>
      <c r="AA4196" s="101" t="s">
        <v>50</v>
      </c>
      <c r="AB4196" s="101" t="s">
        <v>172</v>
      </c>
      <c r="AC4196" s="102" t="s">
        <v>173</v>
      </c>
    </row>
    <row r="4197" spans="1:29" ht="25.5" customHeight="1" x14ac:dyDescent="0.35">
      <c r="A4197" s="392"/>
      <c r="B4197" s="393"/>
      <c r="C4197" s="99" t="str">
        <f>IF(B4197="","",IF(NOT(ISNUMBER(B4197)),"DATA_PC invalida",IF(NOT(ISNUMBER(parametros!$C$2)),"Fora dos ciclos",IF(OR(B4197&lt;parametros!$C$2,(YEAR(B4197)-YEAR(parametros!$C$2))*12+MONTH(B4197)-MONTH(parametros!$C$2)&gt;59),"Fora dos ciclos","C"&amp;INT(((YEAR(B4197)-YEAR(parametros!$C$2))*12+MONTH(B4197)-MONTH(parametros!$C$2))/12)))))</f>
        <v/>
      </c>
      <c r="D4197" s="394"/>
      <c r="E4197" s="78" t="str">
        <f>IF(C4197="","",IFERROR(VLOOKUP(C4197,parametros!$A$11:$E$15,5,0),""))</f>
        <v/>
      </c>
      <c r="F4197" s="79" t="str">
        <f t="shared" si="327"/>
        <v/>
      </c>
      <c r="G4197" s="395"/>
      <c r="H4197" s="91">
        <f t="shared" si="328"/>
        <v>0</v>
      </c>
      <c r="I4197" s="91" t="str">
        <f t="shared" si="329"/>
        <v/>
      </c>
      <c r="J4197" s="91" t="str">
        <f t="shared" si="330"/>
        <v/>
      </c>
      <c r="K4197" s="92" t="str">
        <f>IF(AND(A4197="",B4197="",D4197="",G4197=""),"",IF(AND(A4197&lt;&gt;"",COUNTIF($A$2:$A$5001,A4197)&gt;1),"NUMERO_PC duplicado",IF(B4197="","DATA_PC vazia",IF(NOT(ISNUMBER(B4197)),"DATA_PC invalida",IF(OR(C4197="",C4197="Fora dos ciclos"),"CICLO_PC nao identificado",IF(OR(D4197="",D4197=0),"VALOR_PC vazio ou zero",IF(AND(G4197&lt;&gt;"Sim",G4197&lt;&gt;"Nao",G4197&lt;&gt;""),"PC_PAGO_A_CONTRATADA invalido",IF(AND(C4197&lt;&gt;"C0",IFERROR(INDEX(parametros!$A$2:$A$6,MATCH(C4197,parametros!$B$2:$B$6,0)),"")="Sim",IFERROR(INDEX(parametros!$H$2:$H$6,MATCH(C4197,parametros!$B$2:$B$6,0)),"")=""),"INICIO_EFEITO ausente: PC "&amp;A4197&amp;" - "&amp;C4197,IF(L4197="","EFEITO_PC nao calculado: PC "&amp;A4197&amp;" - "&amp;C4197,"OK")))))))))</f>
        <v/>
      </c>
      <c r="L4197" s="92" t="str">
        <f>IF(AND(A4197="",B4197="",D4197="",G4197=""),"",IF(OR(B4197="",NOT(ISNUMBER(B4197)),C4197="",C4197="Fora dos ciclos"),"",IF(C4197="C0","Nao",IF(IFERROR(INDEX(parametros!$A$2:$A$6,MATCH(C4197,parametros!$B$2:$B$6,0)),"")&lt;&gt;"Sim","Nao",IF(IFERROR(INDEX(parametros!$H$2:$H$6,MATCH(C4197,parametros!$B$2:$B$6,0)),"")="","",IF(B4197&gt;=IFERROR(INDEX(parametros!$H$2:$H$6,MATCH(C4197,parametros!$B$2:$B$6,0)),""),"Sim","Nao"))))))</f>
        <v/>
      </c>
      <c r="T4197" s="156"/>
      <c r="U4197" s="214" t="str">
        <f t="shared" si="331"/>
        <v/>
      </c>
      <c r="V4197" s="212" t="s">
        <v>50</v>
      </c>
      <c r="W4197" s="100" t="s">
        <v>168</v>
      </c>
      <c r="X4197" s="100" t="s">
        <v>169</v>
      </c>
      <c r="Y4197" s="101" t="s">
        <v>170</v>
      </c>
      <c r="Z4197" s="101" t="s">
        <v>171</v>
      </c>
      <c r="AA4197" s="101" t="s">
        <v>50</v>
      </c>
      <c r="AB4197" s="101" t="s">
        <v>172</v>
      </c>
      <c r="AC4197" s="102" t="s">
        <v>173</v>
      </c>
    </row>
    <row r="4198" spans="1:29" ht="25.5" customHeight="1" x14ac:dyDescent="0.35">
      <c r="A4198" s="392"/>
      <c r="B4198" s="393"/>
      <c r="C4198" s="99" t="str">
        <f>IF(B4198="","",IF(NOT(ISNUMBER(B4198)),"DATA_PC invalida",IF(NOT(ISNUMBER(parametros!$C$2)),"Fora dos ciclos",IF(OR(B4198&lt;parametros!$C$2,(YEAR(B4198)-YEAR(parametros!$C$2))*12+MONTH(B4198)-MONTH(parametros!$C$2)&gt;59),"Fora dos ciclos","C"&amp;INT(((YEAR(B4198)-YEAR(parametros!$C$2))*12+MONTH(B4198)-MONTH(parametros!$C$2))/12)))))</f>
        <v/>
      </c>
      <c r="D4198" s="394"/>
      <c r="E4198" s="78" t="str">
        <f>IF(C4198="","",IFERROR(VLOOKUP(C4198,parametros!$A$11:$E$15,5,0),""))</f>
        <v/>
      </c>
      <c r="F4198" s="79" t="str">
        <f t="shared" si="327"/>
        <v/>
      </c>
      <c r="G4198" s="395"/>
      <c r="H4198" s="91">
        <f t="shared" si="328"/>
        <v>0</v>
      </c>
      <c r="I4198" s="91" t="str">
        <f t="shared" si="329"/>
        <v/>
      </c>
      <c r="J4198" s="91" t="str">
        <f t="shared" si="330"/>
        <v/>
      </c>
      <c r="K4198" s="92" t="str">
        <f>IF(AND(A4198="",B4198="",D4198="",G4198=""),"",IF(AND(A4198&lt;&gt;"",COUNTIF($A$2:$A$5001,A4198)&gt;1),"NUMERO_PC duplicado",IF(B4198="","DATA_PC vazia",IF(NOT(ISNUMBER(B4198)),"DATA_PC invalida",IF(OR(C4198="",C4198="Fora dos ciclos"),"CICLO_PC nao identificado",IF(OR(D4198="",D4198=0),"VALOR_PC vazio ou zero",IF(AND(G4198&lt;&gt;"Sim",G4198&lt;&gt;"Nao",G4198&lt;&gt;""),"PC_PAGO_A_CONTRATADA invalido",IF(AND(C4198&lt;&gt;"C0",IFERROR(INDEX(parametros!$A$2:$A$6,MATCH(C4198,parametros!$B$2:$B$6,0)),"")="Sim",IFERROR(INDEX(parametros!$H$2:$H$6,MATCH(C4198,parametros!$B$2:$B$6,0)),"")=""),"INICIO_EFEITO ausente: PC "&amp;A4198&amp;" - "&amp;C4198,IF(L4198="","EFEITO_PC nao calculado: PC "&amp;A4198&amp;" - "&amp;C4198,"OK")))))))))</f>
        <v/>
      </c>
      <c r="L4198" s="92" t="str">
        <f>IF(AND(A4198="",B4198="",D4198="",G4198=""),"",IF(OR(B4198="",NOT(ISNUMBER(B4198)),C4198="",C4198="Fora dos ciclos"),"",IF(C4198="C0","Nao",IF(IFERROR(INDEX(parametros!$A$2:$A$6,MATCH(C4198,parametros!$B$2:$B$6,0)),"")&lt;&gt;"Sim","Nao",IF(IFERROR(INDEX(parametros!$H$2:$H$6,MATCH(C4198,parametros!$B$2:$B$6,0)),"")="","",IF(B4198&gt;=IFERROR(INDEX(parametros!$H$2:$H$6,MATCH(C4198,parametros!$B$2:$B$6,0)),""),"Sim","Nao"))))))</f>
        <v/>
      </c>
      <c r="T4198" s="156"/>
      <c r="U4198" s="214" t="str">
        <f t="shared" si="331"/>
        <v/>
      </c>
      <c r="V4198" s="212" t="s">
        <v>50</v>
      </c>
      <c r="W4198" s="100" t="s">
        <v>168</v>
      </c>
      <c r="X4198" s="100" t="s">
        <v>169</v>
      </c>
      <c r="Y4198" s="101" t="s">
        <v>170</v>
      </c>
      <c r="Z4198" s="101" t="s">
        <v>171</v>
      </c>
      <c r="AA4198" s="101" t="s">
        <v>50</v>
      </c>
      <c r="AB4198" s="101" t="s">
        <v>172</v>
      </c>
      <c r="AC4198" s="102" t="s">
        <v>173</v>
      </c>
    </row>
    <row r="4199" spans="1:29" ht="25.5" customHeight="1" x14ac:dyDescent="0.35">
      <c r="A4199" s="392"/>
      <c r="B4199" s="393"/>
      <c r="C4199" s="99" t="str">
        <f>IF(B4199="","",IF(NOT(ISNUMBER(B4199)),"DATA_PC invalida",IF(NOT(ISNUMBER(parametros!$C$2)),"Fora dos ciclos",IF(OR(B4199&lt;parametros!$C$2,(YEAR(B4199)-YEAR(parametros!$C$2))*12+MONTH(B4199)-MONTH(parametros!$C$2)&gt;59),"Fora dos ciclos","C"&amp;INT(((YEAR(B4199)-YEAR(parametros!$C$2))*12+MONTH(B4199)-MONTH(parametros!$C$2))/12)))))</f>
        <v/>
      </c>
      <c r="D4199" s="394"/>
      <c r="E4199" s="78" t="str">
        <f>IF(C4199="","",IFERROR(VLOOKUP(C4199,parametros!$A$11:$E$15,5,0),""))</f>
        <v/>
      </c>
      <c r="F4199" s="79" t="str">
        <f t="shared" si="327"/>
        <v/>
      </c>
      <c r="G4199" s="395"/>
      <c r="H4199" s="91">
        <f t="shared" si="328"/>
        <v>0</v>
      </c>
      <c r="I4199" s="91" t="str">
        <f t="shared" si="329"/>
        <v/>
      </c>
      <c r="J4199" s="91" t="str">
        <f t="shared" si="330"/>
        <v/>
      </c>
      <c r="K4199" s="92" t="str">
        <f>IF(AND(A4199="",B4199="",D4199="",G4199=""),"",IF(AND(A4199&lt;&gt;"",COUNTIF($A$2:$A$5001,A4199)&gt;1),"NUMERO_PC duplicado",IF(B4199="","DATA_PC vazia",IF(NOT(ISNUMBER(B4199)),"DATA_PC invalida",IF(OR(C4199="",C4199="Fora dos ciclos"),"CICLO_PC nao identificado",IF(OR(D4199="",D4199=0),"VALOR_PC vazio ou zero",IF(AND(G4199&lt;&gt;"Sim",G4199&lt;&gt;"Nao",G4199&lt;&gt;""),"PC_PAGO_A_CONTRATADA invalido",IF(AND(C4199&lt;&gt;"C0",IFERROR(INDEX(parametros!$A$2:$A$6,MATCH(C4199,parametros!$B$2:$B$6,0)),"")="Sim",IFERROR(INDEX(parametros!$H$2:$H$6,MATCH(C4199,parametros!$B$2:$B$6,0)),"")=""),"INICIO_EFEITO ausente: PC "&amp;A4199&amp;" - "&amp;C4199,IF(L4199="","EFEITO_PC nao calculado: PC "&amp;A4199&amp;" - "&amp;C4199,"OK")))))))))</f>
        <v/>
      </c>
      <c r="L4199" s="92" t="str">
        <f>IF(AND(A4199="",B4199="",D4199="",G4199=""),"",IF(OR(B4199="",NOT(ISNUMBER(B4199)),C4199="",C4199="Fora dos ciclos"),"",IF(C4199="C0","Nao",IF(IFERROR(INDEX(parametros!$A$2:$A$6,MATCH(C4199,parametros!$B$2:$B$6,0)),"")&lt;&gt;"Sim","Nao",IF(IFERROR(INDEX(parametros!$H$2:$H$6,MATCH(C4199,parametros!$B$2:$B$6,0)),"")="","",IF(B4199&gt;=IFERROR(INDEX(parametros!$H$2:$H$6,MATCH(C4199,parametros!$B$2:$B$6,0)),""),"Sim","Nao"))))))</f>
        <v/>
      </c>
      <c r="T4199" s="156"/>
      <c r="U4199" s="214" t="str">
        <f t="shared" si="331"/>
        <v/>
      </c>
      <c r="V4199" s="212" t="s">
        <v>50</v>
      </c>
      <c r="W4199" s="100" t="s">
        <v>168</v>
      </c>
      <c r="X4199" s="100" t="s">
        <v>169</v>
      </c>
      <c r="Y4199" s="101" t="s">
        <v>170</v>
      </c>
      <c r="Z4199" s="101" t="s">
        <v>171</v>
      </c>
      <c r="AA4199" s="101" t="s">
        <v>50</v>
      </c>
      <c r="AB4199" s="101" t="s">
        <v>172</v>
      </c>
      <c r="AC4199" s="102" t="s">
        <v>173</v>
      </c>
    </row>
    <row r="4200" spans="1:29" ht="25.5" customHeight="1" x14ac:dyDescent="0.35">
      <c r="A4200" s="392"/>
      <c r="B4200" s="393"/>
      <c r="C4200" s="99" t="str">
        <f>IF(B4200="","",IF(NOT(ISNUMBER(B4200)),"DATA_PC invalida",IF(NOT(ISNUMBER(parametros!$C$2)),"Fora dos ciclos",IF(OR(B4200&lt;parametros!$C$2,(YEAR(B4200)-YEAR(parametros!$C$2))*12+MONTH(B4200)-MONTH(parametros!$C$2)&gt;59),"Fora dos ciclos","C"&amp;INT(((YEAR(B4200)-YEAR(parametros!$C$2))*12+MONTH(B4200)-MONTH(parametros!$C$2))/12)))))</f>
        <v/>
      </c>
      <c r="D4200" s="394"/>
      <c r="E4200" s="78" t="str">
        <f>IF(C4200="","",IFERROR(VLOOKUP(C4200,parametros!$A$11:$E$15,5,0),""))</f>
        <v/>
      </c>
      <c r="F4200" s="79" t="str">
        <f t="shared" si="327"/>
        <v/>
      </c>
      <c r="G4200" s="395"/>
      <c r="H4200" s="91">
        <f t="shared" si="328"/>
        <v>0</v>
      </c>
      <c r="I4200" s="91" t="str">
        <f t="shared" si="329"/>
        <v/>
      </c>
      <c r="J4200" s="91" t="str">
        <f t="shared" si="330"/>
        <v/>
      </c>
      <c r="K4200" s="92" t="str">
        <f>IF(AND(A4200="",B4200="",D4200="",G4200=""),"",IF(AND(A4200&lt;&gt;"",COUNTIF($A$2:$A$5001,A4200)&gt;1),"NUMERO_PC duplicado",IF(B4200="","DATA_PC vazia",IF(NOT(ISNUMBER(B4200)),"DATA_PC invalida",IF(OR(C4200="",C4200="Fora dos ciclos"),"CICLO_PC nao identificado",IF(OR(D4200="",D4200=0),"VALOR_PC vazio ou zero",IF(AND(G4200&lt;&gt;"Sim",G4200&lt;&gt;"Nao",G4200&lt;&gt;""),"PC_PAGO_A_CONTRATADA invalido",IF(AND(C4200&lt;&gt;"C0",IFERROR(INDEX(parametros!$A$2:$A$6,MATCH(C4200,parametros!$B$2:$B$6,0)),"")="Sim",IFERROR(INDEX(parametros!$H$2:$H$6,MATCH(C4200,parametros!$B$2:$B$6,0)),"")=""),"INICIO_EFEITO ausente: PC "&amp;A4200&amp;" - "&amp;C4200,IF(L4200="","EFEITO_PC nao calculado: PC "&amp;A4200&amp;" - "&amp;C4200,"OK")))))))))</f>
        <v/>
      </c>
      <c r="L4200" s="92" t="str">
        <f>IF(AND(A4200="",B4200="",D4200="",G4200=""),"",IF(OR(B4200="",NOT(ISNUMBER(B4200)),C4200="",C4200="Fora dos ciclos"),"",IF(C4200="C0","Nao",IF(IFERROR(INDEX(parametros!$A$2:$A$6,MATCH(C4200,parametros!$B$2:$B$6,0)),"")&lt;&gt;"Sim","Nao",IF(IFERROR(INDEX(parametros!$H$2:$H$6,MATCH(C4200,parametros!$B$2:$B$6,0)),"")="","",IF(B4200&gt;=IFERROR(INDEX(parametros!$H$2:$H$6,MATCH(C4200,parametros!$B$2:$B$6,0)),""),"Sim","Nao"))))))</f>
        <v/>
      </c>
      <c r="T4200" s="156"/>
      <c r="U4200" s="214" t="str">
        <f t="shared" si="331"/>
        <v/>
      </c>
      <c r="V4200" s="212" t="s">
        <v>50</v>
      </c>
      <c r="W4200" s="100" t="s">
        <v>168</v>
      </c>
      <c r="X4200" s="100" t="s">
        <v>169</v>
      </c>
      <c r="Y4200" s="101" t="s">
        <v>170</v>
      </c>
      <c r="Z4200" s="101" t="s">
        <v>171</v>
      </c>
      <c r="AA4200" s="101" t="s">
        <v>50</v>
      </c>
      <c r="AB4200" s="101" t="s">
        <v>172</v>
      </c>
      <c r="AC4200" s="102" t="s">
        <v>173</v>
      </c>
    </row>
    <row r="4201" spans="1:29" ht="25.5" customHeight="1" x14ac:dyDescent="0.35">
      <c r="A4201" s="392"/>
      <c r="B4201" s="393"/>
      <c r="C4201" s="99" t="str">
        <f>IF(B4201="","",IF(NOT(ISNUMBER(B4201)),"DATA_PC invalida",IF(NOT(ISNUMBER(parametros!$C$2)),"Fora dos ciclos",IF(OR(B4201&lt;parametros!$C$2,(YEAR(B4201)-YEAR(parametros!$C$2))*12+MONTH(B4201)-MONTH(parametros!$C$2)&gt;59),"Fora dos ciclos","C"&amp;INT(((YEAR(B4201)-YEAR(parametros!$C$2))*12+MONTH(B4201)-MONTH(parametros!$C$2))/12)))))</f>
        <v/>
      </c>
      <c r="D4201" s="394"/>
      <c r="E4201" s="78" t="str">
        <f>IF(C4201="","",IFERROR(VLOOKUP(C4201,parametros!$A$11:$E$15,5,0),""))</f>
        <v/>
      </c>
      <c r="F4201" s="79" t="str">
        <f t="shared" si="327"/>
        <v/>
      </c>
      <c r="G4201" s="395"/>
      <c r="H4201" s="91">
        <f t="shared" si="328"/>
        <v>0</v>
      </c>
      <c r="I4201" s="91" t="str">
        <f t="shared" si="329"/>
        <v/>
      </c>
      <c r="J4201" s="91" t="str">
        <f t="shared" si="330"/>
        <v/>
      </c>
      <c r="K4201" s="92" t="str">
        <f>IF(AND(A4201="",B4201="",D4201="",G4201=""),"",IF(AND(A4201&lt;&gt;"",COUNTIF($A$2:$A$5001,A4201)&gt;1),"NUMERO_PC duplicado",IF(B4201="","DATA_PC vazia",IF(NOT(ISNUMBER(B4201)),"DATA_PC invalida",IF(OR(C4201="",C4201="Fora dos ciclos"),"CICLO_PC nao identificado",IF(OR(D4201="",D4201=0),"VALOR_PC vazio ou zero",IF(AND(G4201&lt;&gt;"Sim",G4201&lt;&gt;"Nao",G4201&lt;&gt;""),"PC_PAGO_A_CONTRATADA invalido",IF(AND(C4201&lt;&gt;"C0",IFERROR(INDEX(parametros!$A$2:$A$6,MATCH(C4201,parametros!$B$2:$B$6,0)),"")="Sim",IFERROR(INDEX(parametros!$H$2:$H$6,MATCH(C4201,parametros!$B$2:$B$6,0)),"")=""),"INICIO_EFEITO ausente: PC "&amp;A4201&amp;" - "&amp;C4201,IF(L4201="","EFEITO_PC nao calculado: PC "&amp;A4201&amp;" - "&amp;C4201,"OK")))))))))</f>
        <v/>
      </c>
      <c r="L4201" s="92" t="str">
        <f>IF(AND(A4201="",B4201="",D4201="",G4201=""),"",IF(OR(B4201="",NOT(ISNUMBER(B4201)),C4201="",C4201="Fora dos ciclos"),"",IF(C4201="C0","Nao",IF(IFERROR(INDEX(parametros!$A$2:$A$6,MATCH(C4201,parametros!$B$2:$B$6,0)),"")&lt;&gt;"Sim","Nao",IF(IFERROR(INDEX(parametros!$H$2:$H$6,MATCH(C4201,parametros!$B$2:$B$6,0)),"")="","",IF(B4201&gt;=IFERROR(INDEX(parametros!$H$2:$H$6,MATCH(C4201,parametros!$B$2:$B$6,0)),""),"Sim","Nao"))))))</f>
        <v/>
      </c>
      <c r="T4201" s="156"/>
      <c r="U4201" s="214" t="str">
        <f t="shared" si="331"/>
        <v/>
      </c>
      <c r="V4201" s="212" t="s">
        <v>50</v>
      </c>
      <c r="W4201" s="100" t="s">
        <v>168</v>
      </c>
      <c r="X4201" s="100" t="s">
        <v>169</v>
      </c>
      <c r="Y4201" s="101" t="s">
        <v>170</v>
      </c>
      <c r="Z4201" s="101" t="s">
        <v>171</v>
      </c>
      <c r="AA4201" s="101" t="s">
        <v>50</v>
      </c>
      <c r="AB4201" s="101" t="s">
        <v>172</v>
      </c>
      <c r="AC4201" s="102" t="s">
        <v>173</v>
      </c>
    </row>
    <row r="4202" spans="1:29" ht="25.5" customHeight="1" x14ac:dyDescent="0.35">
      <c r="A4202" s="392"/>
      <c r="B4202" s="393"/>
      <c r="C4202" s="99" t="str">
        <f>IF(B4202="","",IF(NOT(ISNUMBER(B4202)),"DATA_PC invalida",IF(NOT(ISNUMBER(parametros!$C$2)),"Fora dos ciclos",IF(OR(B4202&lt;parametros!$C$2,(YEAR(B4202)-YEAR(parametros!$C$2))*12+MONTH(B4202)-MONTH(parametros!$C$2)&gt;59),"Fora dos ciclos","C"&amp;INT(((YEAR(B4202)-YEAR(parametros!$C$2))*12+MONTH(B4202)-MONTH(parametros!$C$2))/12)))))</f>
        <v/>
      </c>
      <c r="D4202" s="394"/>
      <c r="E4202" s="78" t="str">
        <f>IF(C4202="","",IFERROR(VLOOKUP(C4202,parametros!$A$11:$E$15,5,0),""))</f>
        <v/>
      </c>
      <c r="F4202" s="79" t="str">
        <f t="shared" si="327"/>
        <v/>
      </c>
      <c r="G4202" s="395"/>
      <c r="H4202" s="91">
        <f t="shared" si="328"/>
        <v>0</v>
      </c>
      <c r="I4202" s="91" t="str">
        <f t="shared" si="329"/>
        <v/>
      </c>
      <c r="J4202" s="91" t="str">
        <f t="shared" si="330"/>
        <v/>
      </c>
      <c r="K4202" s="92" t="str">
        <f>IF(AND(A4202="",B4202="",D4202="",G4202=""),"",IF(AND(A4202&lt;&gt;"",COUNTIF($A$2:$A$5001,A4202)&gt;1),"NUMERO_PC duplicado",IF(B4202="","DATA_PC vazia",IF(NOT(ISNUMBER(B4202)),"DATA_PC invalida",IF(OR(C4202="",C4202="Fora dos ciclos"),"CICLO_PC nao identificado",IF(OR(D4202="",D4202=0),"VALOR_PC vazio ou zero",IF(AND(G4202&lt;&gt;"Sim",G4202&lt;&gt;"Nao",G4202&lt;&gt;""),"PC_PAGO_A_CONTRATADA invalido",IF(AND(C4202&lt;&gt;"C0",IFERROR(INDEX(parametros!$A$2:$A$6,MATCH(C4202,parametros!$B$2:$B$6,0)),"")="Sim",IFERROR(INDEX(parametros!$H$2:$H$6,MATCH(C4202,parametros!$B$2:$B$6,0)),"")=""),"INICIO_EFEITO ausente: PC "&amp;A4202&amp;" - "&amp;C4202,IF(L4202="","EFEITO_PC nao calculado: PC "&amp;A4202&amp;" - "&amp;C4202,"OK")))))))))</f>
        <v/>
      </c>
      <c r="L4202" s="92" t="str">
        <f>IF(AND(A4202="",B4202="",D4202="",G4202=""),"",IF(OR(B4202="",NOT(ISNUMBER(B4202)),C4202="",C4202="Fora dos ciclos"),"",IF(C4202="C0","Nao",IF(IFERROR(INDEX(parametros!$A$2:$A$6,MATCH(C4202,parametros!$B$2:$B$6,0)),"")&lt;&gt;"Sim","Nao",IF(IFERROR(INDEX(parametros!$H$2:$H$6,MATCH(C4202,parametros!$B$2:$B$6,0)),"")="","",IF(B4202&gt;=IFERROR(INDEX(parametros!$H$2:$H$6,MATCH(C4202,parametros!$B$2:$B$6,0)),""),"Sim","Nao"))))))</f>
        <v/>
      </c>
      <c r="T4202" s="156"/>
      <c r="U4202" s="214" t="str">
        <f t="shared" si="331"/>
        <v/>
      </c>
      <c r="V4202" s="212" t="s">
        <v>50</v>
      </c>
      <c r="W4202" s="100" t="s">
        <v>168</v>
      </c>
      <c r="X4202" s="100" t="s">
        <v>169</v>
      </c>
      <c r="Y4202" s="101" t="s">
        <v>170</v>
      </c>
      <c r="Z4202" s="101" t="s">
        <v>171</v>
      </c>
      <c r="AA4202" s="101" t="s">
        <v>50</v>
      </c>
      <c r="AB4202" s="101" t="s">
        <v>172</v>
      </c>
      <c r="AC4202" s="102" t="s">
        <v>173</v>
      </c>
    </row>
    <row r="4203" spans="1:29" ht="25.5" customHeight="1" x14ac:dyDescent="0.35">
      <c r="A4203" s="392"/>
      <c r="B4203" s="393"/>
      <c r="C4203" s="99" t="str">
        <f>IF(B4203="","",IF(NOT(ISNUMBER(B4203)),"DATA_PC invalida",IF(NOT(ISNUMBER(parametros!$C$2)),"Fora dos ciclos",IF(OR(B4203&lt;parametros!$C$2,(YEAR(B4203)-YEAR(parametros!$C$2))*12+MONTH(B4203)-MONTH(parametros!$C$2)&gt;59),"Fora dos ciclos","C"&amp;INT(((YEAR(B4203)-YEAR(parametros!$C$2))*12+MONTH(B4203)-MONTH(parametros!$C$2))/12)))))</f>
        <v/>
      </c>
      <c r="D4203" s="394"/>
      <c r="E4203" s="78" t="str">
        <f>IF(C4203="","",IFERROR(VLOOKUP(C4203,parametros!$A$11:$E$15,5,0),""))</f>
        <v/>
      </c>
      <c r="F4203" s="79" t="str">
        <f t="shared" si="327"/>
        <v/>
      </c>
      <c r="G4203" s="395"/>
      <c r="H4203" s="91">
        <f t="shared" si="328"/>
        <v>0</v>
      </c>
      <c r="I4203" s="91" t="str">
        <f t="shared" si="329"/>
        <v/>
      </c>
      <c r="J4203" s="91" t="str">
        <f t="shared" si="330"/>
        <v/>
      </c>
      <c r="K4203" s="92" t="str">
        <f>IF(AND(A4203="",B4203="",D4203="",G4203=""),"",IF(AND(A4203&lt;&gt;"",COUNTIF($A$2:$A$5001,A4203)&gt;1),"NUMERO_PC duplicado",IF(B4203="","DATA_PC vazia",IF(NOT(ISNUMBER(B4203)),"DATA_PC invalida",IF(OR(C4203="",C4203="Fora dos ciclos"),"CICLO_PC nao identificado",IF(OR(D4203="",D4203=0),"VALOR_PC vazio ou zero",IF(AND(G4203&lt;&gt;"Sim",G4203&lt;&gt;"Nao",G4203&lt;&gt;""),"PC_PAGO_A_CONTRATADA invalido",IF(AND(C4203&lt;&gt;"C0",IFERROR(INDEX(parametros!$A$2:$A$6,MATCH(C4203,parametros!$B$2:$B$6,0)),"")="Sim",IFERROR(INDEX(parametros!$H$2:$H$6,MATCH(C4203,parametros!$B$2:$B$6,0)),"")=""),"INICIO_EFEITO ausente: PC "&amp;A4203&amp;" - "&amp;C4203,IF(L4203="","EFEITO_PC nao calculado: PC "&amp;A4203&amp;" - "&amp;C4203,"OK")))))))))</f>
        <v/>
      </c>
      <c r="L4203" s="92" t="str">
        <f>IF(AND(A4203="",B4203="",D4203="",G4203=""),"",IF(OR(B4203="",NOT(ISNUMBER(B4203)),C4203="",C4203="Fora dos ciclos"),"",IF(C4203="C0","Nao",IF(IFERROR(INDEX(parametros!$A$2:$A$6,MATCH(C4203,parametros!$B$2:$B$6,0)),"")&lt;&gt;"Sim","Nao",IF(IFERROR(INDEX(parametros!$H$2:$H$6,MATCH(C4203,parametros!$B$2:$B$6,0)),"")="","",IF(B4203&gt;=IFERROR(INDEX(parametros!$H$2:$H$6,MATCH(C4203,parametros!$B$2:$B$6,0)),""),"Sim","Nao"))))))</f>
        <v/>
      </c>
      <c r="T4203" s="156"/>
      <c r="U4203" s="214" t="str">
        <f t="shared" si="331"/>
        <v/>
      </c>
      <c r="V4203" s="212" t="s">
        <v>50</v>
      </c>
      <c r="W4203" s="100" t="s">
        <v>168</v>
      </c>
      <c r="X4203" s="100" t="s">
        <v>169</v>
      </c>
      <c r="Y4203" s="101" t="s">
        <v>170</v>
      </c>
      <c r="Z4203" s="101" t="s">
        <v>171</v>
      </c>
      <c r="AA4203" s="101" t="s">
        <v>50</v>
      </c>
      <c r="AB4203" s="101" t="s">
        <v>172</v>
      </c>
      <c r="AC4203" s="102" t="s">
        <v>173</v>
      </c>
    </row>
    <row r="4204" spans="1:29" ht="25.5" customHeight="1" x14ac:dyDescent="0.35">
      <c r="A4204" s="392"/>
      <c r="B4204" s="393"/>
      <c r="C4204" s="99" t="str">
        <f>IF(B4204="","",IF(NOT(ISNUMBER(B4204)),"DATA_PC invalida",IF(NOT(ISNUMBER(parametros!$C$2)),"Fora dos ciclos",IF(OR(B4204&lt;parametros!$C$2,(YEAR(B4204)-YEAR(parametros!$C$2))*12+MONTH(B4204)-MONTH(parametros!$C$2)&gt;59),"Fora dos ciclos","C"&amp;INT(((YEAR(B4204)-YEAR(parametros!$C$2))*12+MONTH(B4204)-MONTH(parametros!$C$2))/12)))))</f>
        <v/>
      </c>
      <c r="D4204" s="394"/>
      <c r="E4204" s="78" t="str">
        <f>IF(C4204="","",IFERROR(VLOOKUP(C4204,parametros!$A$11:$E$15,5,0),""))</f>
        <v/>
      </c>
      <c r="F4204" s="79" t="str">
        <f t="shared" si="327"/>
        <v/>
      </c>
      <c r="G4204" s="395"/>
      <c r="H4204" s="91">
        <f t="shared" si="328"/>
        <v>0</v>
      </c>
      <c r="I4204" s="91" t="str">
        <f t="shared" si="329"/>
        <v/>
      </c>
      <c r="J4204" s="91" t="str">
        <f t="shared" si="330"/>
        <v/>
      </c>
      <c r="K4204" s="92" t="str">
        <f>IF(AND(A4204="",B4204="",D4204="",G4204=""),"",IF(AND(A4204&lt;&gt;"",COUNTIF($A$2:$A$5001,A4204)&gt;1),"NUMERO_PC duplicado",IF(B4204="","DATA_PC vazia",IF(NOT(ISNUMBER(B4204)),"DATA_PC invalida",IF(OR(C4204="",C4204="Fora dos ciclos"),"CICLO_PC nao identificado",IF(OR(D4204="",D4204=0),"VALOR_PC vazio ou zero",IF(AND(G4204&lt;&gt;"Sim",G4204&lt;&gt;"Nao",G4204&lt;&gt;""),"PC_PAGO_A_CONTRATADA invalido",IF(AND(C4204&lt;&gt;"C0",IFERROR(INDEX(parametros!$A$2:$A$6,MATCH(C4204,parametros!$B$2:$B$6,0)),"")="Sim",IFERROR(INDEX(parametros!$H$2:$H$6,MATCH(C4204,parametros!$B$2:$B$6,0)),"")=""),"INICIO_EFEITO ausente: PC "&amp;A4204&amp;" - "&amp;C4204,IF(L4204="","EFEITO_PC nao calculado: PC "&amp;A4204&amp;" - "&amp;C4204,"OK")))))))))</f>
        <v/>
      </c>
      <c r="L4204" s="92" t="str">
        <f>IF(AND(A4204="",B4204="",D4204="",G4204=""),"",IF(OR(B4204="",NOT(ISNUMBER(B4204)),C4204="",C4204="Fora dos ciclos"),"",IF(C4204="C0","Nao",IF(IFERROR(INDEX(parametros!$A$2:$A$6,MATCH(C4204,parametros!$B$2:$B$6,0)),"")&lt;&gt;"Sim","Nao",IF(IFERROR(INDEX(parametros!$H$2:$H$6,MATCH(C4204,parametros!$B$2:$B$6,0)),"")="","",IF(B4204&gt;=IFERROR(INDEX(parametros!$H$2:$H$6,MATCH(C4204,parametros!$B$2:$B$6,0)),""),"Sim","Nao"))))))</f>
        <v/>
      </c>
      <c r="T4204" s="156"/>
      <c r="U4204" s="214" t="str">
        <f t="shared" si="331"/>
        <v/>
      </c>
      <c r="V4204" s="212" t="s">
        <v>50</v>
      </c>
      <c r="W4204" s="100" t="s">
        <v>168</v>
      </c>
      <c r="X4204" s="100" t="s">
        <v>169</v>
      </c>
      <c r="Y4204" s="101" t="s">
        <v>170</v>
      </c>
      <c r="Z4204" s="101" t="s">
        <v>171</v>
      </c>
      <c r="AA4204" s="101" t="s">
        <v>50</v>
      </c>
      <c r="AB4204" s="101" t="s">
        <v>172</v>
      </c>
      <c r="AC4204" s="102" t="s">
        <v>173</v>
      </c>
    </row>
    <row r="4205" spans="1:29" ht="25.5" customHeight="1" x14ac:dyDescent="0.35">
      <c r="A4205" s="392"/>
      <c r="B4205" s="393"/>
      <c r="C4205" s="99" t="str">
        <f>IF(B4205="","",IF(NOT(ISNUMBER(B4205)),"DATA_PC invalida",IF(NOT(ISNUMBER(parametros!$C$2)),"Fora dos ciclos",IF(OR(B4205&lt;parametros!$C$2,(YEAR(B4205)-YEAR(parametros!$C$2))*12+MONTH(B4205)-MONTH(parametros!$C$2)&gt;59),"Fora dos ciclos","C"&amp;INT(((YEAR(B4205)-YEAR(parametros!$C$2))*12+MONTH(B4205)-MONTH(parametros!$C$2))/12)))))</f>
        <v/>
      </c>
      <c r="D4205" s="394"/>
      <c r="E4205" s="78" t="str">
        <f>IF(C4205="","",IFERROR(VLOOKUP(C4205,parametros!$A$11:$E$15,5,0),""))</f>
        <v/>
      </c>
      <c r="F4205" s="79" t="str">
        <f t="shared" si="327"/>
        <v/>
      </c>
      <c r="G4205" s="395"/>
      <c r="H4205" s="91">
        <f t="shared" si="328"/>
        <v>0</v>
      </c>
      <c r="I4205" s="91" t="str">
        <f t="shared" si="329"/>
        <v/>
      </c>
      <c r="J4205" s="91" t="str">
        <f t="shared" si="330"/>
        <v/>
      </c>
      <c r="K4205" s="92" t="str">
        <f>IF(AND(A4205="",B4205="",D4205="",G4205=""),"",IF(AND(A4205&lt;&gt;"",COUNTIF($A$2:$A$5001,A4205)&gt;1),"NUMERO_PC duplicado",IF(B4205="","DATA_PC vazia",IF(NOT(ISNUMBER(B4205)),"DATA_PC invalida",IF(OR(C4205="",C4205="Fora dos ciclos"),"CICLO_PC nao identificado",IF(OR(D4205="",D4205=0),"VALOR_PC vazio ou zero",IF(AND(G4205&lt;&gt;"Sim",G4205&lt;&gt;"Nao",G4205&lt;&gt;""),"PC_PAGO_A_CONTRATADA invalido",IF(AND(C4205&lt;&gt;"C0",IFERROR(INDEX(parametros!$A$2:$A$6,MATCH(C4205,parametros!$B$2:$B$6,0)),"")="Sim",IFERROR(INDEX(parametros!$H$2:$H$6,MATCH(C4205,parametros!$B$2:$B$6,0)),"")=""),"INICIO_EFEITO ausente: PC "&amp;A4205&amp;" - "&amp;C4205,IF(L4205="","EFEITO_PC nao calculado: PC "&amp;A4205&amp;" - "&amp;C4205,"OK")))))))))</f>
        <v/>
      </c>
      <c r="L4205" s="92" t="str">
        <f>IF(AND(A4205="",B4205="",D4205="",G4205=""),"",IF(OR(B4205="",NOT(ISNUMBER(B4205)),C4205="",C4205="Fora dos ciclos"),"",IF(C4205="C0","Nao",IF(IFERROR(INDEX(parametros!$A$2:$A$6,MATCH(C4205,parametros!$B$2:$B$6,0)),"")&lt;&gt;"Sim","Nao",IF(IFERROR(INDEX(parametros!$H$2:$H$6,MATCH(C4205,parametros!$B$2:$B$6,0)),"")="","",IF(B4205&gt;=IFERROR(INDEX(parametros!$H$2:$H$6,MATCH(C4205,parametros!$B$2:$B$6,0)),""),"Sim","Nao"))))))</f>
        <v/>
      </c>
      <c r="T4205" s="156"/>
      <c r="U4205" s="214" t="str">
        <f t="shared" si="331"/>
        <v/>
      </c>
      <c r="V4205" s="212" t="s">
        <v>50</v>
      </c>
      <c r="W4205" s="100" t="s">
        <v>168</v>
      </c>
      <c r="X4205" s="100" t="s">
        <v>169</v>
      </c>
      <c r="Y4205" s="101" t="s">
        <v>170</v>
      </c>
      <c r="Z4205" s="101" t="s">
        <v>171</v>
      </c>
      <c r="AA4205" s="101" t="s">
        <v>50</v>
      </c>
      <c r="AB4205" s="101" t="s">
        <v>172</v>
      </c>
      <c r="AC4205" s="102" t="s">
        <v>173</v>
      </c>
    </row>
    <row r="4206" spans="1:29" ht="25.5" customHeight="1" x14ac:dyDescent="0.35">
      <c r="A4206" s="392"/>
      <c r="B4206" s="393"/>
      <c r="C4206" s="99" t="str">
        <f>IF(B4206="","",IF(NOT(ISNUMBER(B4206)),"DATA_PC invalida",IF(NOT(ISNUMBER(parametros!$C$2)),"Fora dos ciclos",IF(OR(B4206&lt;parametros!$C$2,(YEAR(B4206)-YEAR(parametros!$C$2))*12+MONTH(B4206)-MONTH(parametros!$C$2)&gt;59),"Fora dos ciclos","C"&amp;INT(((YEAR(B4206)-YEAR(parametros!$C$2))*12+MONTH(B4206)-MONTH(parametros!$C$2))/12)))))</f>
        <v/>
      </c>
      <c r="D4206" s="394"/>
      <c r="E4206" s="78" t="str">
        <f>IF(C4206="","",IFERROR(VLOOKUP(C4206,parametros!$A$11:$E$15,5,0),""))</f>
        <v/>
      </c>
      <c r="F4206" s="79" t="str">
        <f t="shared" si="327"/>
        <v/>
      </c>
      <c r="G4206" s="395"/>
      <c r="H4206" s="91">
        <f t="shared" si="328"/>
        <v>0</v>
      </c>
      <c r="I4206" s="91" t="str">
        <f t="shared" si="329"/>
        <v/>
      </c>
      <c r="J4206" s="91" t="str">
        <f t="shared" si="330"/>
        <v/>
      </c>
      <c r="K4206" s="92" t="str">
        <f>IF(AND(A4206="",B4206="",D4206="",G4206=""),"",IF(AND(A4206&lt;&gt;"",COUNTIF($A$2:$A$5001,A4206)&gt;1),"NUMERO_PC duplicado",IF(B4206="","DATA_PC vazia",IF(NOT(ISNUMBER(B4206)),"DATA_PC invalida",IF(OR(C4206="",C4206="Fora dos ciclos"),"CICLO_PC nao identificado",IF(OR(D4206="",D4206=0),"VALOR_PC vazio ou zero",IF(AND(G4206&lt;&gt;"Sim",G4206&lt;&gt;"Nao",G4206&lt;&gt;""),"PC_PAGO_A_CONTRATADA invalido",IF(AND(C4206&lt;&gt;"C0",IFERROR(INDEX(parametros!$A$2:$A$6,MATCH(C4206,parametros!$B$2:$B$6,0)),"")="Sim",IFERROR(INDEX(parametros!$H$2:$H$6,MATCH(C4206,parametros!$B$2:$B$6,0)),"")=""),"INICIO_EFEITO ausente: PC "&amp;A4206&amp;" - "&amp;C4206,IF(L4206="","EFEITO_PC nao calculado: PC "&amp;A4206&amp;" - "&amp;C4206,"OK")))))))))</f>
        <v/>
      </c>
      <c r="L4206" s="92" t="str">
        <f>IF(AND(A4206="",B4206="",D4206="",G4206=""),"",IF(OR(B4206="",NOT(ISNUMBER(B4206)),C4206="",C4206="Fora dos ciclos"),"",IF(C4206="C0","Nao",IF(IFERROR(INDEX(parametros!$A$2:$A$6,MATCH(C4206,parametros!$B$2:$B$6,0)),"")&lt;&gt;"Sim","Nao",IF(IFERROR(INDEX(parametros!$H$2:$H$6,MATCH(C4206,parametros!$B$2:$B$6,0)),"")="","",IF(B4206&gt;=IFERROR(INDEX(parametros!$H$2:$H$6,MATCH(C4206,parametros!$B$2:$B$6,0)),""),"Sim","Nao"))))))</f>
        <v/>
      </c>
      <c r="T4206" s="156"/>
      <c r="U4206" s="214" t="str">
        <f t="shared" si="331"/>
        <v/>
      </c>
      <c r="V4206" s="212" t="s">
        <v>50</v>
      </c>
      <c r="W4206" s="100" t="s">
        <v>168</v>
      </c>
      <c r="X4206" s="100" t="s">
        <v>169</v>
      </c>
      <c r="Y4206" s="101" t="s">
        <v>170</v>
      </c>
      <c r="Z4206" s="101" t="s">
        <v>171</v>
      </c>
      <c r="AA4206" s="101" t="s">
        <v>50</v>
      </c>
      <c r="AB4206" s="101" t="s">
        <v>172</v>
      </c>
      <c r="AC4206" s="102" t="s">
        <v>173</v>
      </c>
    </row>
    <row r="4207" spans="1:29" ht="25.5" customHeight="1" x14ac:dyDescent="0.35">
      <c r="A4207" s="392"/>
      <c r="B4207" s="393"/>
      <c r="C4207" s="99" t="str">
        <f>IF(B4207="","",IF(NOT(ISNUMBER(B4207)),"DATA_PC invalida",IF(NOT(ISNUMBER(parametros!$C$2)),"Fora dos ciclos",IF(OR(B4207&lt;parametros!$C$2,(YEAR(B4207)-YEAR(parametros!$C$2))*12+MONTH(B4207)-MONTH(parametros!$C$2)&gt;59),"Fora dos ciclos","C"&amp;INT(((YEAR(B4207)-YEAR(parametros!$C$2))*12+MONTH(B4207)-MONTH(parametros!$C$2))/12)))))</f>
        <v/>
      </c>
      <c r="D4207" s="394"/>
      <c r="E4207" s="78" t="str">
        <f>IF(C4207="","",IFERROR(VLOOKUP(C4207,parametros!$A$11:$E$15,5,0),""))</f>
        <v/>
      </c>
      <c r="F4207" s="79" t="str">
        <f t="shared" si="327"/>
        <v/>
      </c>
      <c r="G4207" s="395"/>
      <c r="H4207" s="91">
        <f t="shared" si="328"/>
        <v>0</v>
      </c>
      <c r="I4207" s="91" t="str">
        <f t="shared" si="329"/>
        <v/>
      </c>
      <c r="J4207" s="91" t="str">
        <f t="shared" si="330"/>
        <v/>
      </c>
      <c r="K4207" s="92" t="str">
        <f>IF(AND(A4207="",B4207="",D4207="",G4207=""),"",IF(AND(A4207&lt;&gt;"",COUNTIF($A$2:$A$5001,A4207)&gt;1),"NUMERO_PC duplicado",IF(B4207="","DATA_PC vazia",IF(NOT(ISNUMBER(B4207)),"DATA_PC invalida",IF(OR(C4207="",C4207="Fora dos ciclos"),"CICLO_PC nao identificado",IF(OR(D4207="",D4207=0),"VALOR_PC vazio ou zero",IF(AND(G4207&lt;&gt;"Sim",G4207&lt;&gt;"Nao",G4207&lt;&gt;""),"PC_PAGO_A_CONTRATADA invalido",IF(AND(C4207&lt;&gt;"C0",IFERROR(INDEX(parametros!$A$2:$A$6,MATCH(C4207,parametros!$B$2:$B$6,0)),"")="Sim",IFERROR(INDEX(parametros!$H$2:$H$6,MATCH(C4207,parametros!$B$2:$B$6,0)),"")=""),"INICIO_EFEITO ausente: PC "&amp;A4207&amp;" - "&amp;C4207,IF(L4207="","EFEITO_PC nao calculado: PC "&amp;A4207&amp;" - "&amp;C4207,"OK")))))))))</f>
        <v/>
      </c>
      <c r="L4207" s="92" t="str">
        <f>IF(AND(A4207="",B4207="",D4207="",G4207=""),"",IF(OR(B4207="",NOT(ISNUMBER(B4207)),C4207="",C4207="Fora dos ciclos"),"",IF(C4207="C0","Nao",IF(IFERROR(INDEX(parametros!$A$2:$A$6,MATCH(C4207,parametros!$B$2:$B$6,0)),"")&lt;&gt;"Sim","Nao",IF(IFERROR(INDEX(parametros!$H$2:$H$6,MATCH(C4207,parametros!$B$2:$B$6,0)),"")="","",IF(B4207&gt;=IFERROR(INDEX(parametros!$H$2:$H$6,MATCH(C4207,parametros!$B$2:$B$6,0)),""),"Sim","Nao"))))))</f>
        <v/>
      </c>
      <c r="T4207" s="156"/>
      <c r="U4207" s="214" t="str">
        <f t="shared" si="331"/>
        <v/>
      </c>
      <c r="V4207" s="212" t="s">
        <v>50</v>
      </c>
      <c r="W4207" s="100" t="s">
        <v>168</v>
      </c>
      <c r="X4207" s="100" t="s">
        <v>169</v>
      </c>
      <c r="Y4207" s="101" t="s">
        <v>170</v>
      </c>
      <c r="Z4207" s="101" t="s">
        <v>171</v>
      </c>
      <c r="AA4207" s="101" t="s">
        <v>50</v>
      </c>
      <c r="AB4207" s="101" t="s">
        <v>172</v>
      </c>
      <c r="AC4207" s="102" t="s">
        <v>173</v>
      </c>
    </row>
    <row r="4208" spans="1:29" ht="25.5" customHeight="1" x14ac:dyDescent="0.35">
      <c r="A4208" s="392"/>
      <c r="B4208" s="393"/>
      <c r="C4208" s="99" t="str">
        <f>IF(B4208="","",IF(NOT(ISNUMBER(B4208)),"DATA_PC invalida",IF(NOT(ISNUMBER(parametros!$C$2)),"Fora dos ciclos",IF(OR(B4208&lt;parametros!$C$2,(YEAR(B4208)-YEAR(parametros!$C$2))*12+MONTH(B4208)-MONTH(parametros!$C$2)&gt;59),"Fora dos ciclos","C"&amp;INT(((YEAR(B4208)-YEAR(parametros!$C$2))*12+MONTH(B4208)-MONTH(parametros!$C$2))/12)))))</f>
        <v/>
      </c>
      <c r="D4208" s="394"/>
      <c r="E4208" s="78" t="str">
        <f>IF(C4208="","",IFERROR(VLOOKUP(C4208,parametros!$A$11:$E$15,5,0),""))</f>
        <v/>
      </c>
      <c r="F4208" s="79" t="str">
        <f t="shared" si="327"/>
        <v/>
      </c>
      <c r="G4208" s="395"/>
      <c r="H4208" s="91">
        <f t="shared" si="328"/>
        <v>0</v>
      </c>
      <c r="I4208" s="91" t="str">
        <f t="shared" si="329"/>
        <v/>
      </c>
      <c r="J4208" s="91" t="str">
        <f t="shared" si="330"/>
        <v/>
      </c>
      <c r="K4208" s="92" t="str">
        <f>IF(AND(A4208="",B4208="",D4208="",G4208=""),"",IF(AND(A4208&lt;&gt;"",COUNTIF($A$2:$A$5001,A4208)&gt;1),"NUMERO_PC duplicado",IF(B4208="","DATA_PC vazia",IF(NOT(ISNUMBER(B4208)),"DATA_PC invalida",IF(OR(C4208="",C4208="Fora dos ciclos"),"CICLO_PC nao identificado",IF(OR(D4208="",D4208=0),"VALOR_PC vazio ou zero",IF(AND(G4208&lt;&gt;"Sim",G4208&lt;&gt;"Nao",G4208&lt;&gt;""),"PC_PAGO_A_CONTRATADA invalido",IF(AND(C4208&lt;&gt;"C0",IFERROR(INDEX(parametros!$A$2:$A$6,MATCH(C4208,parametros!$B$2:$B$6,0)),"")="Sim",IFERROR(INDEX(parametros!$H$2:$H$6,MATCH(C4208,parametros!$B$2:$B$6,0)),"")=""),"INICIO_EFEITO ausente: PC "&amp;A4208&amp;" - "&amp;C4208,IF(L4208="","EFEITO_PC nao calculado: PC "&amp;A4208&amp;" - "&amp;C4208,"OK")))))))))</f>
        <v/>
      </c>
      <c r="L4208" s="92" t="str">
        <f>IF(AND(A4208="",B4208="",D4208="",G4208=""),"",IF(OR(B4208="",NOT(ISNUMBER(B4208)),C4208="",C4208="Fora dos ciclos"),"",IF(C4208="C0","Nao",IF(IFERROR(INDEX(parametros!$A$2:$A$6,MATCH(C4208,parametros!$B$2:$B$6,0)),"")&lt;&gt;"Sim","Nao",IF(IFERROR(INDEX(parametros!$H$2:$H$6,MATCH(C4208,parametros!$B$2:$B$6,0)),"")="","",IF(B4208&gt;=IFERROR(INDEX(parametros!$H$2:$H$6,MATCH(C4208,parametros!$B$2:$B$6,0)),""),"Sim","Nao"))))))</f>
        <v/>
      </c>
      <c r="T4208" s="156"/>
      <c r="U4208" s="214" t="str">
        <f t="shared" si="331"/>
        <v/>
      </c>
      <c r="V4208" s="212" t="s">
        <v>50</v>
      </c>
      <c r="W4208" s="100" t="s">
        <v>168</v>
      </c>
      <c r="X4208" s="100" t="s">
        <v>169</v>
      </c>
      <c r="Y4208" s="101" t="s">
        <v>170</v>
      </c>
      <c r="Z4208" s="101" t="s">
        <v>171</v>
      </c>
      <c r="AA4208" s="101" t="s">
        <v>50</v>
      </c>
      <c r="AB4208" s="101" t="s">
        <v>172</v>
      </c>
      <c r="AC4208" s="102" t="s">
        <v>173</v>
      </c>
    </row>
    <row r="4209" spans="1:29" ht="25.5" customHeight="1" x14ac:dyDescent="0.35">
      <c r="A4209" s="392"/>
      <c r="B4209" s="393"/>
      <c r="C4209" s="99" t="str">
        <f>IF(B4209="","",IF(NOT(ISNUMBER(B4209)),"DATA_PC invalida",IF(NOT(ISNUMBER(parametros!$C$2)),"Fora dos ciclos",IF(OR(B4209&lt;parametros!$C$2,(YEAR(B4209)-YEAR(parametros!$C$2))*12+MONTH(B4209)-MONTH(parametros!$C$2)&gt;59),"Fora dos ciclos","C"&amp;INT(((YEAR(B4209)-YEAR(parametros!$C$2))*12+MONTH(B4209)-MONTH(parametros!$C$2))/12)))))</f>
        <v/>
      </c>
      <c r="D4209" s="394"/>
      <c r="E4209" s="78" t="str">
        <f>IF(C4209="","",IFERROR(VLOOKUP(C4209,parametros!$A$11:$E$15,5,0),""))</f>
        <v/>
      </c>
      <c r="F4209" s="79" t="str">
        <f t="shared" si="327"/>
        <v/>
      </c>
      <c r="G4209" s="395"/>
      <c r="H4209" s="91">
        <f t="shared" si="328"/>
        <v>0</v>
      </c>
      <c r="I4209" s="91" t="str">
        <f t="shared" si="329"/>
        <v/>
      </c>
      <c r="J4209" s="91" t="str">
        <f t="shared" si="330"/>
        <v/>
      </c>
      <c r="K4209" s="92" t="str">
        <f>IF(AND(A4209="",B4209="",D4209="",G4209=""),"",IF(AND(A4209&lt;&gt;"",COUNTIF($A$2:$A$5001,A4209)&gt;1),"NUMERO_PC duplicado",IF(B4209="","DATA_PC vazia",IF(NOT(ISNUMBER(B4209)),"DATA_PC invalida",IF(OR(C4209="",C4209="Fora dos ciclos"),"CICLO_PC nao identificado",IF(OR(D4209="",D4209=0),"VALOR_PC vazio ou zero",IF(AND(G4209&lt;&gt;"Sim",G4209&lt;&gt;"Nao",G4209&lt;&gt;""),"PC_PAGO_A_CONTRATADA invalido",IF(AND(C4209&lt;&gt;"C0",IFERROR(INDEX(parametros!$A$2:$A$6,MATCH(C4209,parametros!$B$2:$B$6,0)),"")="Sim",IFERROR(INDEX(parametros!$H$2:$H$6,MATCH(C4209,parametros!$B$2:$B$6,0)),"")=""),"INICIO_EFEITO ausente: PC "&amp;A4209&amp;" - "&amp;C4209,IF(L4209="","EFEITO_PC nao calculado: PC "&amp;A4209&amp;" - "&amp;C4209,"OK")))))))))</f>
        <v/>
      </c>
      <c r="L4209" s="92" t="str">
        <f>IF(AND(A4209="",B4209="",D4209="",G4209=""),"",IF(OR(B4209="",NOT(ISNUMBER(B4209)),C4209="",C4209="Fora dos ciclos"),"",IF(C4209="C0","Nao",IF(IFERROR(INDEX(parametros!$A$2:$A$6,MATCH(C4209,parametros!$B$2:$B$6,0)),"")&lt;&gt;"Sim","Nao",IF(IFERROR(INDEX(parametros!$H$2:$H$6,MATCH(C4209,parametros!$B$2:$B$6,0)),"")="","",IF(B4209&gt;=IFERROR(INDEX(parametros!$H$2:$H$6,MATCH(C4209,parametros!$B$2:$B$6,0)),""),"Sim","Nao"))))))</f>
        <v/>
      </c>
      <c r="T4209" s="156"/>
      <c r="U4209" s="214" t="str">
        <f t="shared" si="331"/>
        <v/>
      </c>
      <c r="V4209" s="212" t="s">
        <v>50</v>
      </c>
      <c r="W4209" s="100" t="s">
        <v>168</v>
      </c>
      <c r="X4209" s="100" t="s">
        <v>169</v>
      </c>
      <c r="Y4209" s="101" t="s">
        <v>170</v>
      </c>
      <c r="Z4209" s="101" t="s">
        <v>171</v>
      </c>
      <c r="AA4209" s="101" t="s">
        <v>50</v>
      </c>
      <c r="AB4209" s="101" t="s">
        <v>172</v>
      </c>
      <c r="AC4209" s="102" t="s">
        <v>173</v>
      </c>
    </row>
    <row r="4210" spans="1:29" ht="25.5" customHeight="1" x14ac:dyDescent="0.35">
      <c r="A4210" s="392"/>
      <c r="B4210" s="393"/>
      <c r="C4210" s="99" t="str">
        <f>IF(B4210="","",IF(NOT(ISNUMBER(B4210)),"DATA_PC invalida",IF(NOT(ISNUMBER(parametros!$C$2)),"Fora dos ciclos",IF(OR(B4210&lt;parametros!$C$2,(YEAR(B4210)-YEAR(parametros!$C$2))*12+MONTH(B4210)-MONTH(parametros!$C$2)&gt;59),"Fora dos ciclos","C"&amp;INT(((YEAR(B4210)-YEAR(parametros!$C$2))*12+MONTH(B4210)-MONTH(parametros!$C$2))/12)))))</f>
        <v/>
      </c>
      <c r="D4210" s="394"/>
      <c r="E4210" s="78" t="str">
        <f>IF(C4210="","",IFERROR(VLOOKUP(C4210,parametros!$A$11:$E$15,5,0),""))</f>
        <v/>
      </c>
      <c r="F4210" s="79" t="str">
        <f t="shared" si="327"/>
        <v/>
      </c>
      <c r="G4210" s="395"/>
      <c r="H4210" s="91">
        <f t="shared" si="328"/>
        <v>0</v>
      </c>
      <c r="I4210" s="91" t="str">
        <f t="shared" si="329"/>
        <v/>
      </c>
      <c r="J4210" s="91" t="str">
        <f t="shared" si="330"/>
        <v/>
      </c>
      <c r="K4210" s="92" t="str">
        <f>IF(AND(A4210="",B4210="",D4210="",G4210=""),"",IF(AND(A4210&lt;&gt;"",COUNTIF($A$2:$A$5001,A4210)&gt;1),"NUMERO_PC duplicado",IF(B4210="","DATA_PC vazia",IF(NOT(ISNUMBER(B4210)),"DATA_PC invalida",IF(OR(C4210="",C4210="Fora dos ciclos"),"CICLO_PC nao identificado",IF(OR(D4210="",D4210=0),"VALOR_PC vazio ou zero",IF(AND(G4210&lt;&gt;"Sim",G4210&lt;&gt;"Nao",G4210&lt;&gt;""),"PC_PAGO_A_CONTRATADA invalido",IF(AND(C4210&lt;&gt;"C0",IFERROR(INDEX(parametros!$A$2:$A$6,MATCH(C4210,parametros!$B$2:$B$6,0)),"")="Sim",IFERROR(INDEX(parametros!$H$2:$H$6,MATCH(C4210,parametros!$B$2:$B$6,0)),"")=""),"INICIO_EFEITO ausente: PC "&amp;A4210&amp;" - "&amp;C4210,IF(L4210="","EFEITO_PC nao calculado: PC "&amp;A4210&amp;" - "&amp;C4210,"OK")))))))))</f>
        <v/>
      </c>
      <c r="L4210" s="92" t="str">
        <f>IF(AND(A4210="",B4210="",D4210="",G4210=""),"",IF(OR(B4210="",NOT(ISNUMBER(B4210)),C4210="",C4210="Fora dos ciclos"),"",IF(C4210="C0","Nao",IF(IFERROR(INDEX(parametros!$A$2:$A$6,MATCH(C4210,parametros!$B$2:$B$6,0)),"")&lt;&gt;"Sim","Nao",IF(IFERROR(INDEX(parametros!$H$2:$H$6,MATCH(C4210,parametros!$B$2:$B$6,0)),"")="","",IF(B4210&gt;=IFERROR(INDEX(parametros!$H$2:$H$6,MATCH(C4210,parametros!$B$2:$B$6,0)),""),"Sim","Nao"))))))</f>
        <v/>
      </c>
      <c r="T4210" s="156"/>
      <c r="U4210" s="214" t="str">
        <f t="shared" si="331"/>
        <v/>
      </c>
      <c r="V4210" s="212" t="s">
        <v>50</v>
      </c>
      <c r="W4210" s="100" t="s">
        <v>168</v>
      </c>
      <c r="X4210" s="100" t="s">
        <v>169</v>
      </c>
      <c r="Y4210" s="101" t="s">
        <v>170</v>
      </c>
      <c r="Z4210" s="101" t="s">
        <v>171</v>
      </c>
      <c r="AA4210" s="101" t="s">
        <v>50</v>
      </c>
      <c r="AB4210" s="101" t="s">
        <v>172</v>
      </c>
      <c r="AC4210" s="102" t="s">
        <v>173</v>
      </c>
    </row>
    <row r="4211" spans="1:29" ht="25.5" customHeight="1" x14ac:dyDescent="0.35">
      <c r="A4211" s="392"/>
      <c r="B4211" s="393"/>
      <c r="C4211" s="99" t="str">
        <f>IF(B4211="","",IF(NOT(ISNUMBER(B4211)),"DATA_PC invalida",IF(NOT(ISNUMBER(parametros!$C$2)),"Fora dos ciclos",IF(OR(B4211&lt;parametros!$C$2,(YEAR(B4211)-YEAR(parametros!$C$2))*12+MONTH(B4211)-MONTH(parametros!$C$2)&gt;59),"Fora dos ciclos","C"&amp;INT(((YEAR(B4211)-YEAR(parametros!$C$2))*12+MONTH(B4211)-MONTH(parametros!$C$2))/12)))))</f>
        <v/>
      </c>
      <c r="D4211" s="394"/>
      <c r="E4211" s="78" t="str">
        <f>IF(C4211="","",IFERROR(VLOOKUP(C4211,parametros!$A$11:$E$15,5,0),""))</f>
        <v/>
      </c>
      <c r="F4211" s="79" t="str">
        <f t="shared" si="327"/>
        <v/>
      </c>
      <c r="G4211" s="395"/>
      <c r="H4211" s="91">
        <f t="shared" si="328"/>
        <v>0</v>
      </c>
      <c r="I4211" s="91" t="str">
        <f t="shared" si="329"/>
        <v/>
      </c>
      <c r="J4211" s="91" t="str">
        <f t="shared" si="330"/>
        <v/>
      </c>
      <c r="K4211" s="92" t="str">
        <f>IF(AND(A4211="",B4211="",D4211="",G4211=""),"",IF(AND(A4211&lt;&gt;"",COUNTIF($A$2:$A$5001,A4211)&gt;1),"NUMERO_PC duplicado",IF(B4211="","DATA_PC vazia",IF(NOT(ISNUMBER(B4211)),"DATA_PC invalida",IF(OR(C4211="",C4211="Fora dos ciclos"),"CICLO_PC nao identificado",IF(OR(D4211="",D4211=0),"VALOR_PC vazio ou zero",IF(AND(G4211&lt;&gt;"Sim",G4211&lt;&gt;"Nao",G4211&lt;&gt;""),"PC_PAGO_A_CONTRATADA invalido",IF(AND(C4211&lt;&gt;"C0",IFERROR(INDEX(parametros!$A$2:$A$6,MATCH(C4211,parametros!$B$2:$B$6,0)),"")="Sim",IFERROR(INDEX(parametros!$H$2:$H$6,MATCH(C4211,parametros!$B$2:$B$6,0)),"")=""),"INICIO_EFEITO ausente: PC "&amp;A4211&amp;" - "&amp;C4211,IF(L4211="","EFEITO_PC nao calculado: PC "&amp;A4211&amp;" - "&amp;C4211,"OK")))))))))</f>
        <v/>
      </c>
      <c r="L4211" s="92" t="str">
        <f>IF(AND(A4211="",B4211="",D4211="",G4211=""),"",IF(OR(B4211="",NOT(ISNUMBER(B4211)),C4211="",C4211="Fora dos ciclos"),"",IF(C4211="C0","Nao",IF(IFERROR(INDEX(parametros!$A$2:$A$6,MATCH(C4211,parametros!$B$2:$B$6,0)),"")&lt;&gt;"Sim","Nao",IF(IFERROR(INDEX(parametros!$H$2:$H$6,MATCH(C4211,parametros!$B$2:$B$6,0)),"")="","",IF(B4211&gt;=IFERROR(INDEX(parametros!$H$2:$H$6,MATCH(C4211,parametros!$B$2:$B$6,0)),""),"Sim","Nao"))))))</f>
        <v/>
      </c>
      <c r="T4211" s="156"/>
      <c r="U4211" s="214" t="str">
        <f t="shared" si="331"/>
        <v/>
      </c>
      <c r="V4211" s="212" t="s">
        <v>50</v>
      </c>
      <c r="W4211" s="100" t="s">
        <v>168</v>
      </c>
      <c r="X4211" s="100" t="s">
        <v>169</v>
      </c>
      <c r="Y4211" s="101" t="s">
        <v>170</v>
      </c>
      <c r="Z4211" s="101" t="s">
        <v>171</v>
      </c>
      <c r="AA4211" s="101" t="s">
        <v>50</v>
      </c>
      <c r="AB4211" s="101" t="s">
        <v>172</v>
      </c>
      <c r="AC4211" s="102" t="s">
        <v>173</v>
      </c>
    </row>
    <row r="4212" spans="1:29" ht="25.5" customHeight="1" x14ac:dyDescent="0.35">
      <c r="A4212" s="392"/>
      <c r="B4212" s="393"/>
      <c r="C4212" s="99" t="str">
        <f>IF(B4212="","",IF(NOT(ISNUMBER(B4212)),"DATA_PC invalida",IF(NOT(ISNUMBER(parametros!$C$2)),"Fora dos ciclos",IF(OR(B4212&lt;parametros!$C$2,(YEAR(B4212)-YEAR(parametros!$C$2))*12+MONTH(B4212)-MONTH(parametros!$C$2)&gt;59),"Fora dos ciclos","C"&amp;INT(((YEAR(B4212)-YEAR(parametros!$C$2))*12+MONTH(B4212)-MONTH(parametros!$C$2))/12)))))</f>
        <v/>
      </c>
      <c r="D4212" s="394"/>
      <c r="E4212" s="78" t="str">
        <f>IF(C4212="","",IFERROR(VLOOKUP(C4212,parametros!$A$11:$E$15,5,0),""))</f>
        <v/>
      </c>
      <c r="F4212" s="79" t="str">
        <f t="shared" si="327"/>
        <v/>
      </c>
      <c r="G4212" s="395"/>
      <c r="H4212" s="91">
        <f t="shared" si="328"/>
        <v>0</v>
      </c>
      <c r="I4212" s="91" t="str">
        <f t="shared" si="329"/>
        <v/>
      </c>
      <c r="J4212" s="91" t="str">
        <f t="shared" si="330"/>
        <v/>
      </c>
      <c r="K4212" s="92" t="str">
        <f>IF(AND(A4212="",B4212="",D4212="",G4212=""),"",IF(AND(A4212&lt;&gt;"",COUNTIF($A$2:$A$5001,A4212)&gt;1),"NUMERO_PC duplicado",IF(B4212="","DATA_PC vazia",IF(NOT(ISNUMBER(B4212)),"DATA_PC invalida",IF(OR(C4212="",C4212="Fora dos ciclos"),"CICLO_PC nao identificado",IF(OR(D4212="",D4212=0),"VALOR_PC vazio ou zero",IF(AND(G4212&lt;&gt;"Sim",G4212&lt;&gt;"Nao",G4212&lt;&gt;""),"PC_PAGO_A_CONTRATADA invalido",IF(AND(C4212&lt;&gt;"C0",IFERROR(INDEX(parametros!$A$2:$A$6,MATCH(C4212,parametros!$B$2:$B$6,0)),"")="Sim",IFERROR(INDEX(parametros!$H$2:$H$6,MATCH(C4212,parametros!$B$2:$B$6,0)),"")=""),"INICIO_EFEITO ausente: PC "&amp;A4212&amp;" - "&amp;C4212,IF(L4212="","EFEITO_PC nao calculado: PC "&amp;A4212&amp;" - "&amp;C4212,"OK")))))))))</f>
        <v/>
      </c>
      <c r="L4212" s="92" t="str">
        <f>IF(AND(A4212="",B4212="",D4212="",G4212=""),"",IF(OR(B4212="",NOT(ISNUMBER(B4212)),C4212="",C4212="Fora dos ciclos"),"",IF(C4212="C0","Nao",IF(IFERROR(INDEX(parametros!$A$2:$A$6,MATCH(C4212,parametros!$B$2:$B$6,0)),"")&lt;&gt;"Sim","Nao",IF(IFERROR(INDEX(parametros!$H$2:$H$6,MATCH(C4212,parametros!$B$2:$B$6,0)),"")="","",IF(B4212&gt;=IFERROR(INDEX(parametros!$H$2:$H$6,MATCH(C4212,parametros!$B$2:$B$6,0)),""),"Sim","Nao"))))))</f>
        <v/>
      </c>
      <c r="T4212" s="156"/>
      <c r="U4212" s="214" t="str">
        <f t="shared" si="331"/>
        <v/>
      </c>
      <c r="V4212" s="212" t="s">
        <v>50</v>
      </c>
      <c r="W4212" s="100" t="s">
        <v>168</v>
      </c>
      <c r="X4212" s="100" t="s">
        <v>169</v>
      </c>
      <c r="Y4212" s="101" t="s">
        <v>170</v>
      </c>
      <c r="Z4212" s="101" t="s">
        <v>171</v>
      </c>
      <c r="AA4212" s="101" t="s">
        <v>50</v>
      </c>
      <c r="AB4212" s="101" t="s">
        <v>172</v>
      </c>
      <c r="AC4212" s="102" t="s">
        <v>173</v>
      </c>
    </row>
    <row r="4213" spans="1:29" ht="25.5" customHeight="1" x14ac:dyDescent="0.35">
      <c r="A4213" s="392"/>
      <c r="B4213" s="393"/>
      <c r="C4213" s="99" t="str">
        <f>IF(B4213="","",IF(NOT(ISNUMBER(B4213)),"DATA_PC invalida",IF(NOT(ISNUMBER(parametros!$C$2)),"Fora dos ciclos",IF(OR(B4213&lt;parametros!$C$2,(YEAR(B4213)-YEAR(parametros!$C$2))*12+MONTH(B4213)-MONTH(parametros!$C$2)&gt;59),"Fora dos ciclos","C"&amp;INT(((YEAR(B4213)-YEAR(parametros!$C$2))*12+MONTH(B4213)-MONTH(parametros!$C$2))/12)))))</f>
        <v/>
      </c>
      <c r="D4213" s="394"/>
      <c r="E4213" s="78" t="str">
        <f>IF(C4213="","",IFERROR(VLOOKUP(C4213,parametros!$A$11:$E$15,5,0),""))</f>
        <v/>
      </c>
      <c r="F4213" s="79" t="str">
        <f t="shared" si="327"/>
        <v/>
      </c>
      <c r="G4213" s="395"/>
      <c r="H4213" s="91">
        <f t="shared" si="328"/>
        <v>0</v>
      </c>
      <c r="I4213" s="91" t="str">
        <f t="shared" si="329"/>
        <v/>
      </c>
      <c r="J4213" s="91" t="str">
        <f t="shared" si="330"/>
        <v/>
      </c>
      <c r="K4213" s="92" t="str">
        <f>IF(AND(A4213="",B4213="",D4213="",G4213=""),"",IF(AND(A4213&lt;&gt;"",COUNTIF($A$2:$A$5001,A4213)&gt;1),"NUMERO_PC duplicado",IF(B4213="","DATA_PC vazia",IF(NOT(ISNUMBER(B4213)),"DATA_PC invalida",IF(OR(C4213="",C4213="Fora dos ciclos"),"CICLO_PC nao identificado",IF(OR(D4213="",D4213=0),"VALOR_PC vazio ou zero",IF(AND(G4213&lt;&gt;"Sim",G4213&lt;&gt;"Nao",G4213&lt;&gt;""),"PC_PAGO_A_CONTRATADA invalido",IF(AND(C4213&lt;&gt;"C0",IFERROR(INDEX(parametros!$A$2:$A$6,MATCH(C4213,parametros!$B$2:$B$6,0)),"")="Sim",IFERROR(INDEX(parametros!$H$2:$H$6,MATCH(C4213,parametros!$B$2:$B$6,0)),"")=""),"INICIO_EFEITO ausente: PC "&amp;A4213&amp;" - "&amp;C4213,IF(L4213="","EFEITO_PC nao calculado: PC "&amp;A4213&amp;" - "&amp;C4213,"OK")))))))))</f>
        <v/>
      </c>
      <c r="L4213" s="92" t="str">
        <f>IF(AND(A4213="",B4213="",D4213="",G4213=""),"",IF(OR(B4213="",NOT(ISNUMBER(B4213)),C4213="",C4213="Fora dos ciclos"),"",IF(C4213="C0","Nao",IF(IFERROR(INDEX(parametros!$A$2:$A$6,MATCH(C4213,parametros!$B$2:$B$6,0)),"")&lt;&gt;"Sim","Nao",IF(IFERROR(INDEX(parametros!$H$2:$H$6,MATCH(C4213,parametros!$B$2:$B$6,0)),"")="","",IF(B4213&gt;=IFERROR(INDEX(parametros!$H$2:$H$6,MATCH(C4213,parametros!$B$2:$B$6,0)),""),"Sim","Nao"))))))</f>
        <v/>
      </c>
      <c r="T4213" s="156"/>
      <c r="U4213" s="214" t="str">
        <f t="shared" si="331"/>
        <v/>
      </c>
      <c r="V4213" s="212" t="s">
        <v>50</v>
      </c>
      <c r="W4213" s="100" t="s">
        <v>168</v>
      </c>
      <c r="X4213" s="100" t="s">
        <v>169</v>
      </c>
      <c r="Y4213" s="101" t="s">
        <v>170</v>
      </c>
      <c r="Z4213" s="101" t="s">
        <v>171</v>
      </c>
      <c r="AA4213" s="101" t="s">
        <v>50</v>
      </c>
      <c r="AB4213" s="101" t="s">
        <v>172</v>
      </c>
      <c r="AC4213" s="102" t="s">
        <v>173</v>
      </c>
    </row>
    <row r="4214" spans="1:29" ht="25.5" customHeight="1" x14ac:dyDescent="0.35">
      <c r="A4214" s="392"/>
      <c r="B4214" s="393"/>
      <c r="C4214" s="99" t="str">
        <f>IF(B4214="","",IF(NOT(ISNUMBER(B4214)),"DATA_PC invalida",IF(NOT(ISNUMBER(parametros!$C$2)),"Fora dos ciclos",IF(OR(B4214&lt;parametros!$C$2,(YEAR(B4214)-YEAR(parametros!$C$2))*12+MONTH(B4214)-MONTH(parametros!$C$2)&gt;59),"Fora dos ciclos","C"&amp;INT(((YEAR(B4214)-YEAR(parametros!$C$2))*12+MONTH(B4214)-MONTH(parametros!$C$2))/12)))))</f>
        <v/>
      </c>
      <c r="D4214" s="394"/>
      <c r="E4214" s="78" t="str">
        <f>IF(C4214="","",IFERROR(VLOOKUP(C4214,parametros!$A$11:$E$15,5,0),""))</f>
        <v/>
      </c>
      <c r="F4214" s="79" t="str">
        <f t="shared" si="327"/>
        <v/>
      </c>
      <c r="G4214" s="395"/>
      <c r="H4214" s="91">
        <f t="shared" si="328"/>
        <v>0</v>
      </c>
      <c r="I4214" s="91" t="str">
        <f t="shared" si="329"/>
        <v/>
      </c>
      <c r="J4214" s="91" t="str">
        <f t="shared" si="330"/>
        <v/>
      </c>
      <c r="K4214" s="92" t="str">
        <f>IF(AND(A4214="",B4214="",D4214="",G4214=""),"",IF(AND(A4214&lt;&gt;"",COUNTIF($A$2:$A$5001,A4214)&gt;1),"NUMERO_PC duplicado",IF(B4214="","DATA_PC vazia",IF(NOT(ISNUMBER(B4214)),"DATA_PC invalida",IF(OR(C4214="",C4214="Fora dos ciclos"),"CICLO_PC nao identificado",IF(OR(D4214="",D4214=0),"VALOR_PC vazio ou zero",IF(AND(G4214&lt;&gt;"Sim",G4214&lt;&gt;"Nao",G4214&lt;&gt;""),"PC_PAGO_A_CONTRATADA invalido",IF(AND(C4214&lt;&gt;"C0",IFERROR(INDEX(parametros!$A$2:$A$6,MATCH(C4214,parametros!$B$2:$B$6,0)),"")="Sim",IFERROR(INDEX(parametros!$H$2:$H$6,MATCH(C4214,parametros!$B$2:$B$6,0)),"")=""),"INICIO_EFEITO ausente: PC "&amp;A4214&amp;" - "&amp;C4214,IF(L4214="","EFEITO_PC nao calculado: PC "&amp;A4214&amp;" - "&amp;C4214,"OK")))))))))</f>
        <v/>
      </c>
      <c r="L4214" s="92" t="str">
        <f>IF(AND(A4214="",B4214="",D4214="",G4214=""),"",IF(OR(B4214="",NOT(ISNUMBER(B4214)),C4214="",C4214="Fora dos ciclos"),"",IF(C4214="C0","Nao",IF(IFERROR(INDEX(parametros!$A$2:$A$6,MATCH(C4214,parametros!$B$2:$B$6,0)),"")&lt;&gt;"Sim","Nao",IF(IFERROR(INDEX(parametros!$H$2:$H$6,MATCH(C4214,parametros!$B$2:$B$6,0)),"")="","",IF(B4214&gt;=IFERROR(INDEX(parametros!$H$2:$H$6,MATCH(C4214,parametros!$B$2:$B$6,0)),""),"Sim","Nao"))))))</f>
        <v/>
      </c>
      <c r="T4214" s="156"/>
      <c r="U4214" s="214" t="str">
        <f t="shared" si="331"/>
        <v/>
      </c>
      <c r="V4214" s="212" t="s">
        <v>50</v>
      </c>
      <c r="W4214" s="100" t="s">
        <v>168</v>
      </c>
      <c r="X4214" s="100" t="s">
        <v>169</v>
      </c>
      <c r="Y4214" s="101" t="s">
        <v>170</v>
      </c>
      <c r="Z4214" s="101" t="s">
        <v>171</v>
      </c>
      <c r="AA4214" s="101" t="s">
        <v>50</v>
      </c>
      <c r="AB4214" s="101" t="s">
        <v>172</v>
      </c>
      <c r="AC4214" s="102" t="s">
        <v>173</v>
      </c>
    </row>
    <row r="4215" spans="1:29" ht="25.5" customHeight="1" x14ac:dyDescent="0.35">
      <c r="A4215" s="392"/>
      <c r="B4215" s="393"/>
      <c r="C4215" s="99" t="str">
        <f>IF(B4215="","",IF(NOT(ISNUMBER(B4215)),"DATA_PC invalida",IF(NOT(ISNUMBER(parametros!$C$2)),"Fora dos ciclos",IF(OR(B4215&lt;parametros!$C$2,(YEAR(B4215)-YEAR(parametros!$C$2))*12+MONTH(B4215)-MONTH(parametros!$C$2)&gt;59),"Fora dos ciclos","C"&amp;INT(((YEAR(B4215)-YEAR(parametros!$C$2))*12+MONTH(B4215)-MONTH(parametros!$C$2))/12)))))</f>
        <v/>
      </c>
      <c r="D4215" s="394"/>
      <c r="E4215" s="78" t="str">
        <f>IF(C4215="","",IFERROR(VLOOKUP(C4215,parametros!$A$11:$E$15,5,0),""))</f>
        <v/>
      </c>
      <c r="F4215" s="79" t="str">
        <f t="shared" si="327"/>
        <v/>
      </c>
      <c r="G4215" s="395"/>
      <c r="H4215" s="91">
        <f t="shared" si="328"/>
        <v>0</v>
      </c>
      <c r="I4215" s="91" t="str">
        <f t="shared" si="329"/>
        <v/>
      </c>
      <c r="J4215" s="91" t="str">
        <f t="shared" si="330"/>
        <v/>
      </c>
      <c r="K4215" s="92" t="str">
        <f>IF(AND(A4215="",B4215="",D4215="",G4215=""),"",IF(AND(A4215&lt;&gt;"",COUNTIF($A$2:$A$5001,A4215)&gt;1),"NUMERO_PC duplicado",IF(B4215="","DATA_PC vazia",IF(NOT(ISNUMBER(B4215)),"DATA_PC invalida",IF(OR(C4215="",C4215="Fora dos ciclos"),"CICLO_PC nao identificado",IF(OR(D4215="",D4215=0),"VALOR_PC vazio ou zero",IF(AND(G4215&lt;&gt;"Sim",G4215&lt;&gt;"Nao",G4215&lt;&gt;""),"PC_PAGO_A_CONTRATADA invalido",IF(AND(C4215&lt;&gt;"C0",IFERROR(INDEX(parametros!$A$2:$A$6,MATCH(C4215,parametros!$B$2:$B$6,0)),"")="Sim",IFERROR(INDEX(parametros!$H$2:$H$6,MATCH(C4215,parametros!$B$2:$B$6,0)),"")=""),"INICIO_EFEITO ausente: PC "&amp;A4215&amp;" - "&amp;C4215,IF(L4215="","EFEITO_PC nao calculado: PC "&amp;A4215&amp;" - "&amp;C4215,"OK")))))))))</f>
        <v/>
      </c>
      <c r="L4215" s="92" t="str">
        <f>IF(AND(A4215="",B4215="",D4215="",G4215=""),"",IF(OR(B4215="",NOT(ISNUMBER(B4215)),C4215="",C4215="Fora dos ciclos"),"",IF(C4215="C0","Nao",IF(IFERROR(INDEX(parametros!$A$2:$A$6,MATCH(C4215,parametros!$B$2:$B$6,0)),"")&lt;&gt;"Sim","Nao",IF(IFERROR(INDEX(parametros!$H$2:$H$6,MATCH(C4215,parametros!$B$2:$B$6,0)),"")="","",IF(B4215&gt;=IFERROR(INDEX(parametros!$H$2:$H$6,MATCH(C4215,parametros!$B$2:$B$6,0)),""),"Sim","Nao"))))))</f>
        <v/>
      </c>
      <c r="T4215" s="156"/>
      <c r="U4215" s="214" t="str">
        <f t="shared" si="331"/>
        <v/>
      </c>
      <c r="V4215" s="212" t="s">
        <v>50</v>
      </c>
      <c r="W4215" s="100" t="s">
        <v>168</v>
      </c>
      <c r="X4215" s="100" t="s">
        <v>169</v>
      </c>
      <c r="Y4215" s="101" t="s">
        <v>170</v>
      </c>
      <c r="Z4215" s="101" t="s">
        <v>171</v>
      </c>
      <c r="AA4215" s="101" t="s">
        <v>50</v>
      </c>
      <c r="AB4215" s="101" t="s">
        <v>172</v>
      </c>
      <c r="AC4215" s="102" t="s">
        <v>173</v>
      </c>
    </row>
    <row r="4216" spans="1:29" ht="25.5" customHeight="1" x14ac:dyDescent="0.35">
      <c r="A4216" s="392"/>
      <c r="B4216" s="393"/>
      <c r="C4216" s="99" t="str">
        <f>IF(B4216="","",IF(NOT(ISNUMBER(B4216)),"DATA_PC invalida",IF(NOT(ISNUMBER(parametros!$C$2)),"Fora dos ciclos",IF(OR(B4216&lt;parametros!$C$2,(YEAR(B4216)-YEAR(parametros!$C$2))*12+MONTH(B4216)-MONTH(parametros!$C$2)&gt;59),"Fora dos ciclos","C"&amp;INT(((YEAR(B4216)-YEAR(parametros!$C$2))*12+MONTH(B4216)-MONTH(parametros!$C$2))/12)))))</f>
        <v/>
      </c>
      <c r="D4216" s="394"/>
      <c r="E4216" s="78" t="str">
        <f>IF(C4216="","",IFERROR(VLOOKUP(C4216,parametros!$A$11:$E$15,5,0),""))</f>
        <v/>
      </c>
      <c r="F4216" s="79" t="str">
        <f t="shared" si="327"/>
        <v/>
      </c>
      <c r="G4216" s="395"/>
      <c r="H4216" s="91">
        <f t="shared" si="328"/>
        <v>0</v>
      </c>
      <c r="I4216" s="91" t="str">
        <f t="shared" si="329"/>
        <v/>
      </c>
      <c r="J4216" s="91" t="str">
        <f t="shared" si="330"/>
        <v/>
      </c>
      <c r="K4216" s="92" t="str">
        <f>IF(AND(A4216="",B4216="",D4216="",G4216=""),"",IF(AND(A4216&lt;&gt;"",COUNTIF($A$2:$A$5001,A4216)&gt;1),"NUMERO_PC duplicado",IF(B4216="","DATA_PC vazia",IF(NOT(ISNUMBER(B4216)),"DATA_PC invalida",IF(OR(C4216="",C4216="Fora dos ciclos"),"CICLO_PC nao identificado",IF(OR(D4216="",D4216=0),"VALOR_PC vazio ou zero",IF(AND(G4216&lt;&gt;"Sim",G4216&lt;&gt;"Nao",G4216&lt;&gt;""),"PC_PAGO_A_CONTRATADA invalido",IF(AND(C4216&lt;&gt;"C0",IFERROR(INDEX(parametros!$A$2:$A$6,MATCH(C4216,parametros!$B$2:$B$6,0)),"")="Sim",IFERROR(INDEX(parametros!$H$2:$H$6,MATCH(C4216,parametros!$B$2:$B$6,0)),"")=""),"INICIO_EFEITO ausente: PC "&amp;A4216&amp;" - "&amp;C4216,IF(L4216="","EFEITO_PC nao calculado: PC "&amp;A4216&amp;" - "&amp;C4216,"OK")))))))))</f>
        <v/>
      </c>
      <c r="L4216" s="92" t="str">
        <f>IF(AND(A4216="",B4216="",D4216="",G4216=""),"",IF(OR(B4216="",NOT(ISNUMBER(B4216)),C4216="",C4216="Fora dos ciclos"),"",IF(C4216="C0","Nao",IF(IFERROR(INDEX(parametros!$A$2:$A$6,MATCH(C4216,parametros!$B$2:$B$6,0)),"")&lt;&gt;"Sim","Nao",IF(IFERROR(INDEX(parametros!$H$2:$H$6,MATCH(C4216,parametros!$B$2:$B$6,0)),"")="","",IF(B4216&gt;=IFERROR(INDEX(parametros!$H$2:$H$6,MATCH(C4216,parametros!$B$2:$B$6,0)),""),"Sim","Nao"))))))</f>
        <v/>
      </c>
      <c r="T4216" s="156"/>
      <c r="U4216" s="214" t="str">
        <f t="shared" si="331"/>
        <v/>
      </c>
      <c r="V4216" s="212" t="s">
        <v>50</v>
      </c>
      <c r="W4216" s="100" t="s">
        <v>168</v>
      </c>
      <c r="X4216" s="100" t="s">
        <v>169</v>
      </c>
      <c r="Y4216" s="101" t="s">
        <v>170</v>
      </c>
      <c r="Z4216" s="101" t="s">
        <v>171</v>
      </c>
      <c r="AA4216" s="101" t="s">
        <v>50</v>
      </c>
      <c r="AB4216" s="101" t="s">
        <v>172</v>
      </c>
      <c r="AC4216" s="102" t="s">
        <v>173</v>
      </c>
    </row>
    <row r="4217" spans="1:29" ht="25.5" customHeight="1" x14ac:dyDescent="0.35">
      <c r="A4217" s="392"/>
      <c r="B4217" s="393"/>
      <c r="C4217" s="99" t="str">
        <f>IF(B4217="","",IF(NOT(ISNUMBER(B4217)),"DATA_PC invalida",IF(NOT(ISNUMBER(parametros!$C$2)),"Fora dos ciclos",IF(OR(B4217&lt;parametros!$C$2,(YEAR(B4217)-YEAR(parametros!$C$2))*12+MONTH(B4217)-MONTH(parametros!$C$2)&gt;59),"Fora dos ciclos","C"&amp;INT(((YEAR(B4217)-YEAR(parametros!$C$2))*12+MONTH(B4217)-MONTH(parametros!$C$2))/12)))))</f>
        <v/>
      </c>
      <c r="D4217" s="394"/>
      <c r="E4217" s="78" t="str">
        <f>IF(C4217="","",IFERROR(VLOOKUP(C4217,parametros!$A$11:$E$15,5,0),""))</f>
        <v/>
      </c>
      <c r="F4217" s="79" t="str">
        <f t="shared" si="327"/>
        <v/>
      </c>
      <c r="G4217" s="395"/>
      <c r="H4217" s="91">
        <f t="shared" si="328"/>
        <v>0</v>
      </c>
      <c r="I4217" s="91" t="str">
        <f t="shared" si="329"/>
        <v/>
      </c>
      <c r="J4217" s="91" t="str">
        <f t="shared" si="330"/>
        <v/>
      </c>
      <c r="K4217" s="92" t="str">
        <f>IF(AND(A4217="",B4217="",D4217="",G4217=""),"",IF(AND(A4217&lt;&gt;"",COUNTIF($A$2:$A$5001,A4217)&gt;1),"NUMERO_PC duplicado",IF(B4217="","DATA_PC vazia",IF(NOT(ISNUMBER(B4217)),"DATA_PC invalida",IF(OR(C4217="",C4217="Fora dos ciclos"),"CICLO_PC nao identificado",IF(OR(D4217="",D4217=0),"VALOR_PC vazio ou zero",IF(AND(G4217&lt;&gt;"Sim",G4217&lt;&gt;"Nao",G4217&lt;&gt;""),"PC_PAGO_A_CONTRATADA invalido",IF(AND(C4217&lt;&gt;"C0",IFERROR(INDEX(parametros!$A$2:$A$6,MATCH(C4217,parametros!$B$2:$B$6,0)),"")="Sim",IFERROR(INDEX(parametros!$H$2:$H$6,MATCH(C4217,parametros!$B$2:$B$6,0)),"")=""),"INICIO_EFEITO ausente: PC "&amp;A4217&amp;" - "&amp;C4217,IF(L4217="","EFEITO_PC nao calculado: PC "&amp;A4217&amp;" - "&amp;C4217,"OK")))))))))</f>
        <v/>
      </c>
      <c r="L4217" s="92" t="str">
        <f>IF(AND(A4217="",B4217="",D4217="",G4217=""),"",IF(OR(B4217="",NOT(ISNUMBER(B4217)),C4217="",C4217="Fora dos ciclos"),"",IF(C4217="C0","Nao",IF(IFERROR(INDEX(parametros!$A$2:$A$6,MATCH(C4217,parametros!$B$2:$B$6,0)),"")&lt;&gt;"Sim","Nao",IF(IFERROR(INDEX(parametros!$H$2:$H$6,MATCH(C4217,parametros!$B$2:$B$6,0)),"")="","",IF(B4217&gt;=IFERROR(INDEX(parametros!$H$2:$H$6,MATCH(C4217,parametros!$B$2:$B$6,0)),""),"Sim","Nao"))))))</f>
        <v/>
      </c>
      <c r="T4217" s="156"/>
      <c r="U4217" s="214" t="str">
        <f t="shared" si="331"/>
        <v/>
      </c>
      <c r="V4217" s="212" t="s">
        <v>50</v>
      </c>
      <c r="W4217" s="100" t="s">
        <v>168</v>
      </c>
      <c r="X4217" s="100" t="s">
        <v>169</v>
      </c>
      <c r="Y4217" s="101" t="s">
        <v>170</v>
      </c>
      <c r="Z4217" s="101" t="s">
        <v>171</v>
      </c>
      <c r="AA4217" s="101" t="s">
        <v>50</v>
      </c>
      <c r="AB4217" s="101" t="s">
        <v>172</v>
      </c>
      <c r="AC4217" s="102" t="s">
        <v>173</v>
      </c>
    </row>
    <row r="4218" spans="1:29" ht="25.5" customHeight="1" x14ac:dyDescent="0.35">
      <c r="A4218" s="392"/>
      <c r="B4218" s="393"/>
      <c r="C4218" s="99" t="str">
        <f>IF(B4218="","",IF(NOT(ISNUMBER(B4218)),"DATA_PC invalida",IF(NOT(ISNUMBER(parametros!$C$2)),"Fora dos ciclos",IF(OR(B4218&lt;parametros!$C$2,(YEAR(B4218)-YEAR(parametros!$C$2))*12+MONTH(B4218)-MONTH(parametros!$C$2)&gt;59),"Fora dos ciclos","C"&amp;INT(((YEAR(B4218)-YEAR(parametros!$C$2))*12+MONTH(B4218)-MONTH(parametros!$C$2))/12)))))</f>
        <v/>
      </c>
      <c r="D4218" s="394"/>
      <c r="E4218" s="78" t="str">
        <f>IF(C4218="","",IFERROR(VLOOKUP(C4218,parametros!$A$11:$E$15,5,0),""))</f>
        <v/>
      </c>
      <c r="F4218" s="79" t="str">
        <f t="shared" si="327"/>
        <v/>
      </c>
      <c r="G4218" s="395"/>
      <c r="H4218" s="91">
        <f t="shared" si="328"/>
        <v>0</v>
      </c>
      <c r="I4218" s="91" t="str">
        <f t="shared" si="329"/>
        <v/>
      </c>
      <c r="J4218" s="91" t="str">
        <f t="shared" si="330"/>
        <v/>
      </c>
      <c r="K4218" s="92" t="str">
        <f>IF(AND(A4218="",B4218="",D4218="",G4218=""),"",IF(AND(A4218&lt;&gt;"",COUNTIF($A$2:$A$5001,A4218)&gt;1),"NUMERO_PC duplicado",IF(B4218="","DATA_PC vazia",IF(NOT(ISNUMBER(B4218)),"DATA_PC invalida",IF(OR(C4218="",C4218="Fora dos ciclos"),"CICLO_PC nao identificado",IF(OR(D4218="",D4218=0),"VALOR_PC vazio ou zero",IF(AND(G4218&lt;&gt;"Sim",G4218&lt;&gt;"Nao",G4218&lt;&gt;""),"PC_PAGO_A_CONTRATADA invalido",IF(AND(C4218&lt;&gt;"C0",IFERROR(INDEX(parametros!$A$2:$A$6,MATCH(C4218,parametros!$B$2:$B$6,0)),"")="Sim",IFERROR(INDEX(parametros!$H$2:$H$6,MATCH(C4218,parametros!$B$2:$B$6,0)),"")=""),"INICIO_EFEITO ausente: PC "&amp;A4218&amp;" - "&amp;C4218,IF(L4218="","EFEITO_PC nao calculado: PC "&amp;A4218&amp;" - "&amp;C4218,"OK")))))))))</f>
        <v/>
      </c>
      <c r="L4218" s="92" t="str">
        <f>IF(AND(A4218="",B4218="",D4218="",G4218=""),"",IF(OR(B4218="",NOT(ISNUMBER(B4218)),C4218="",C4218="Fora dos ciclos"),"",IF(C4218="C0","Nao",IF(IFERROR(INDEX(parametros!$A$2:$A$6,MATCH(C4218,parametros!$B$2:$B$6,0)),"")&lt;&gt;"Sim","Nao",IF(IFERROR(INDEX(parametros!$H$2:$H$6,MATCH(C4218,parametros!$B$2:$B$6,0)),"")="","",IF(B4218&gt;=IFERROR(INDEX(parametros!$H$2:$H$6,MATCH(C4218,parametros!$B$2:$B$6,0)),""),"Sim","Nao"))))))</f>
        <v/>
      </c>
      <c r="T4218" s="156"/>
      <c r="U4218" s="214" t="str">
        <f t="shared" si="331"/>
        <v/>
      </c>
      <c r="V4218" s="212" t="s">
        <v>50</v>
      </c>
      <c r="W4218" s="100" t="s">
        <v>168</v>
      </c>
      <c r="X4218" s="100" t="s">
        <v>169</v>
      </c>
      <c r="Y4218" s="101" t="s">
        <v>170</v>
      </c>
      <c r="Z4218" s="101" t="s">
        <v>171</v>
      </c>
      <c r="AA4218" s="101" t="s">
        <v>50</v>
      </c>
      <c r="AB4218" s="101" t="s">
        <v>172</v>
      </c>
      <c r="AC4218" s="102" t="s">
        <v>173</v>
      </c>
    </row>
    <row r="4219" spans="1:29" ht="25.5" customHeight="1" x14ac:dyDescent="0.35">
      <c r="A4219" s="392"/>
      <c r="B4219" s="393"/>
      <c r="C4219" s="99" t="str">
        <f>IF(B4219="","",IF(NOT(ISNUMBER(B4219)),"DATA_PC invalida",IF(NOT(ISNUMBER(parametros!$C$2)),"Fora dos ciclos",IF(OR(B4219&lt;parametros!$C$2,(YEAR(B4219)-YEAR(parametros!$C$2))*12+MONTH(B4219)-MONTH(parametros!$C$2)&gt;59),"Fora dos ciclos","C"&amp;INT(((YEAR(B4219)-YEAR(parametros!$C$2))*12+MONTH(B4219)-MONTH(parametros!$C$2))/12)))))</f>
        <v/>
      </c>
      <c r="D4219" s="394"/>
      <c r="E4219" s="78" t="str">
        <f>IF(C4219="","",IFERROR(VLOOKUP(C4219,parametros!$A$11:$E$15,5,0),""))</f>
        <v/>
      </c>
      <c r="F4219" s="79" t="str">
        <f t="shared" si="327"/>
        <v/>
      </c>
      <c r="G4219" s="395"/>
      <c r="H4219" s="91">
        <f t="shared" si="328"/>
        <v>0</v>
      </c>
      <c r="I4219" s="91" t="str">
        <f t="shared" si="329"/>
        <v/>
      </c>
      <c r="J4219" s="91" t="str">
        <f t="shared" si="330"/>
        <v/>
      </c>
      <c r="K4219" s="92" t="str">
        <f>IF(AND(A4219="",B4219="",D4219="",G4219=""),"",IF(AND(A4219&lt;&gt;"",COUNTIF($A$2:$A$5001,A4219)&gt;1),"NUMERO_PC duplicado",IF(B4219="","DATA_PC vazia",IF(NOT(ISNUMBER(B4219)),"DATA_PC invalida",IF(OR(C4219="",C4219="Fora dos ciclos"),"CICLO_PC nao identificado",IF(OR(D4219="",D4219=0),"VALOR_PC vazio ou zero",IF(AND(G4219&lt;&gt;"Sim",G4219&lt;&gt;"Nao",G4219&lt;&gt;""),"PC_PAGO_A_CONTRATADA invalido",IF(AND(C4219&lt;&gt;"C0",IFERROR(INDEX(parametros!$A$2:$A$6,MATCH(C4219,parametros!$B$2:$B$6,0)),"")="Sim",IFERROR(INDEX(parametros!$H$2:$H$6,MATCH(C4219,parametros!$B$2:$B$6,0)),"")=""),"INICIO_EFEITO ausente: PC "&amp;A4219&amp;" - "&amp;C4219,IF(L4219="","EFEITO_PC nao calculado: PC "&amp;A4219&amp;" - "&amp;C4219,"OK")))))))))</f>
        <v/>
      </c>
      <c r="L4219" s="92" t="str">
        <f>IF(AND(A4219="",B4219="",D4219="",G4219=""),"",IF(OR(B4219="",NOT(ISNUMBER(B4219)),C4219="",C4219="Fora dos ciclos"),"",IF(C4219="C0","Nao",IF(IFERROR(INDEX(parametros!$A$2:$A$6,MATCH(C4219,parametros!$B$2:$B$6,0)),"")&lt;&gt;"Sim","Nao",IF(IFERROR(INDEX(parametros!$H$2:$H$6,MATCH(C4219,parametros!$B$2:$B$6,0)),"")="","",IF(B4219&gt;=IFERROR(INDEX(parametros!$H$2:$H$6,MATCH(C4219,parametros!$B$2:$B$6,0)),""),"Sim","Nao"))))))</f>
        <v/>
      </c>
      <c r="T4219" s="156"/>
      <c r="U4219" s="214" t="str">
        <f t="shared" si="331"/>
        <v/>
      </c>
      <c r="V4219" s="212" t="s">
        <v>50</v>
      </c>
      <c r="W4219" s="100" t="s">
        <v>168</v>
      </c>
      <c r="X4219" s="100" t="s">
        <v>169</v>
      </c>
      <c r="Y4219" s="101" t="s">
        <v>170</v>
      </c>
      <c r="Z4219" s="101" t="s">
        <v>171</v>
      </c>
      <c r="AA4219" s="101" t="s">
        <v>50</v>
      </c>
      <c r="AB4219" s="101" t="s">
        <v>172</v>
      </c>
      <c r="AC4219" s="102" t="s">
        <v>173</v>
      </c>
    </row>
    <row r="4220" spans="1:29" ht="25.5" customHeight="1" x14ac:dyDescent="0.35">
      <c r="A4220" s="392"/>
      <c r="B4220" s="393"/>
      <c r="C4220" s="99" t="str">
        <f>IF(B4220="","",IF(NOT(ISNUMBER(B4220)),"DATA_PC invalida",IF(NOT(ISNUMBER(parametros!$C$2)),"Fora dos ciclos",IF(OR(B4220&lt;parametros!$C$2,(YEAR(B4220)-YEAR(parametros!$C$2))*12+MONTH(B4220)-MONTH(parametros!$C$2)&gt;59),"Fora dos ciclos","C"&amp;INT(((YEAR(B4220)-YEAR(parametros!$C$2))*12+MONTH(B4220)-MONTH(parametros!$C$2))/12)))))</f>
        <v/>
      </c>
      <c r="D4220" s="394"/>
      <c r="E4220" s="78" t="str">
        <f>IF(C4220="","",IFERROR(VLOOKUP(C4220,parametros!$A$11:$E$15,5,0),""))</f>
        <v/>
      </c>
      <c r="F4220" s="79" t="str">
        <f t="shared" si="327"/>
        <v/>
      </c>
      <c r="G4220" s="395"/>
      <c r="H4220" s="91">
        <f t="shared" si="328"/>
        <v>0</v>
      </c>
      <c r="I4220" s="91" t="str">
        <f t="shared" si="329"/>
        <v/>
      </c>
      <c r="J4220" s="91" t="str">
        <f t="shared" si="330"/>
        <v/>
      </c>
      <c r="K4220" s="92" t="str">
        <f>IF(AND(A4220="",B4220="",D4220="",G4220=""),"",IF(AND(A4220&lt;&gt;"",COUNTIF($A$2:$A$5001,A4220)&gt;1),"NUMERO_PC duplicado",IF(B4220="","DATA_PC vazia",IF(NOT(ISNUMBER(B4220)),"DATA_PC invalida",IF(OR(C4220="",C4220="Fora dos ciclos"),"CICLO_PC nao identificado",IF(OR(D4220="",D4220=0),"VALOR_PC vazio ou zero",IF(AND(G4220&lt;&gt;"Sim",G4220&lt;&gt;"Nao",G4220&lt;&gt;""),"PC_PAGO_A_CONTRATADA invalido",IF(AND(C4220&lt;&gt;"C0",IFERROR(INDEX(parametros!$A$2:$A$6,MATCH(C4220,parametros!$B$2:$B$6,0)),"")="Sim",IFERROR(INDEX(parametros!$H$2:$H$6,MATCH(C4220,parametros!$B$2:$B$6,0)),"")=""),"INICIO_EFEITO ausente: PC "&amp;A4220&amp;" - "&amp;C4220,IF(L4220="","EFEITO_PC nao calculado: PC "&amp;A4220&amp;" - "&amp;C4220,"OK")))))))))</f>
        <v/>
      </c>
      <c r="L4220" s="92" t="str">
        <f>IF(AND(A4220="",B4220="",D4220="",G4220=""),"",IF(OR(B4220="",NOT(ISNUMBER(B4220)),C4220="",C4220="Fora dos ciclos"),"",IF(C4220="C0","Nao",IF(IFERROR(INDEX(parametros!$A$2:$A$6,MATCH(C4220,parametros!$B$2:$B$6,0)),"")&lt;&gt;"Sim","Nao",IF(IFERROR(INDEX(parametros!$H$2:$H$6,MATCH(C4220,parametros!$B$2:$B$6,0)),"")="","",IF(B4220&gt;=IFERROR(INDEX(parametros!$H$2:$H$6,MATCH(C4220,parametros!$B$2:$B$6,0)),""),"Sim","Nao"))))))</f>
        <v/>
      </c>
      <c r="T4220" s="156"/>
      <c r="U4220" s="214" t="str">
        <f t="shared" si="331"/>
        <v/>
      </c>
      <c r="V4220" s="212" t="s">
        <v>50</v>
      </c>
      <c r="W4220" s="100" t="s">
        <v>168</v>
      </c>
      <c r="X4220" s="100" t="s">
        <v>169</v>
      </c>
      <c r="Y4220" s="101" t="s">
        <v>170</v>
      </c>
      <c r="Z4220" s="101" t="s">
        <v>171</v>
      </c>
      <c r="AA4220" s="101" t="s">
        <v>50</v>
      </c>
      <c r="AB4220" s="101" t="s">
        <v>172</v>
      </c>
      <c r="AC4220" s="102" t="s">
        <v>173</v>
      </c>
    </row>
    <row r="4221" spans="1:29" ht="25.5" customHeight="1" x14ac:dyDescent="0.35">
      <c r="A4221" s="392"/>
      <c r="B4221" s="393"/>
      <c r="C4221" s="99" t="str">
        <f>IF(B4221="","",IF(NOT(ISNUMBER(B4221)),"DATA_PC invalida",IF(NOT(ISNUMBER(parametros!$C$2)),"Fora dos ciclos",IF(OR(B4221&lt;parametros!$C$2,(YEAR(B4221)-YEAR(parametros!$C$2))*12+MONTH(B4221)-MONTH(parametros!$C$2)&gt;59),"Fora dos ciclos","C"&amp;INT(((YEAR(B4221)-YEAR(parametros!$C$2))*12+MONTH(B4221)-MONTH(parametros!$C$2))/12)))))</f>
        <v/>
      </c>
      <c r="D4221" s="394"/>
      <c r="E4221" s="78" t="str">
        <f>IF(C4221="","",IFERROR(VLOOKUP(C4221,parametros!$A$11:$E$15,5,0),""))</f>
        <v/>
      </c>
      <c r="F4221" s="79" t="str">
        <f t="shared" si="327"/>
        <v/>
      </c>
      <c r="G4221" s="395"/>
      <c r="H4221" s="91">
        <f t="shared" si="328"/>
        <v>0</v>
      </c>
      <c r="I4221" s="91" t="str">
        <f t="shared" si="329"/>
        <v/>
      </c>
      <c r="J4221" s="91" t="str">
        <f t="shared" si="330"/>
        <v/>
      </c>
      <c r="K4221" s="92" t="str">
        <f>IF(AND(A4221="",B4221="",D4221="",G4221=""),"",IF(AND(A4221&lt;&gt;"",COUNTIF($A$2:$A$5001,A4221)&gt;1),"NUMERO_PC duplicado",IF(B4221="","DATA_PC vazia",IF(NOT(ISNUMBER(B4221)),"DATA_PC invalida",IF(OR(C4221="",C4221="Fora dos ciclos"),"CICLO_PC nao identificado",IF(OR(D4221="",D4221=0),"VALOR_PC vazio ou zero",IF(AND(G4221&lt;&gt;"Sim",G4221&lt;&gt;"Nao",G4221&lt;&gt;""),"PC_PAGO_A_CONTRATADA invalido",IF(AND(C4221&lt;&gt;"C0",IFERROR(INDEX(parametros!$A$2:$A$6,MATCH(C4221,parametros!$B$2:$B$6,0)),"")="Sim",IFERROR(INDEX(parametros!$H$2:$H$6,MATCH(C4221,parametros!$B$2:$B$6,0)),"")=""),"INICIO_EFEITO ausente: PC "&amp;A4221&amp;" - "&amp;C4221,IF(L4221="","EFEITO_PC nao calculado: PC "&amp;A4221&amp;" - "&amp;C4221,"OK")))))))))</f>
        <v/>
      </c>
      <c r="L4221" s="92" t="str">
        <f>IF(AND(A4221="",B4221="",D4221="",G4221=""),"",IF(OR(B4221="",NOT(ISNUMBER(B4221)),C4221="",C4221="Fora dos ciclos"),"",IF(C4221="C0","Nao",IF(IFERROR(INDEX(parametros!$A$2:$A$6,MATCH(C4221,parametros!$B$2:$B$6,0)),"")&lt;&gt;"Sim","Nao",IF(IFERROR(INDEX(parametros!$H$2:$H$6,MATCH(C4221,parametros!$B$2:$B$6,0)),"")="","",IF(B4221&gt;=IFERROR(INDEX(parametros!$H$2:$H$6,MATCH(C4221,parametros!$B$2:$B$6,0)),""),"Sim","Nao"))))))</f>
        <v/>
      </c>
      <c r="T4221" s="156"/>
      <c r="U4221" s="214" t="str">
        <f t="shared" si="331"/>
        <v/>
      </c>
      <c r="V4221" s="212" t="s">
        <v>50</v>
      </c>
      <c r="W4221" s="100" t="s">
        <v>168</v>
      </c>
      <c r="X4221" s="100" t="s">
        <v>169</v>
      </c>
      <c r="Y4221" s="101" t="s">
        <v>170</v>
      </c>
      <c r="Z4221" s="101" t="s">
        <v>171</v>
      </c>
      <c r="AA4221" s="101" t="s">
        <v>50</v>
      </c>
      <c r="AB4221" s="101" t="s">
        <v>172</v>
      </c>
      <c r="AC4221" s="102" t="s">
        <v>173</v>
      </c>
    </row>
    <row r="4222" spans="1:29" ht="25.5" customHeight="1" x14ac:dyDescent="0.35">
      <c r="A4222" s="392"/>
      <c r="B4222" s="393"/>
      <c r="C4222" s="99" t="str">
        <f>IF(B4222="","",IF(NOT(ISNUMBER(B4222)),"DATA_PC invalida",IF(NOT(ISNUMBER(parametros!$C$2)),"Fora dos ciclos",IF(OR(B4222&lt;parametros!$C$2,(YEAR(B4222)-YEAR(parametros!$C$2))*12+MONTH(B4222)-MONTH(parametros!$C$2)&gt;59),"Fora dos ciclos","C"&amp;INT(((YEAR(B4222)-YEAR(parametros!$C$2))*12+MONTH(B4222)-MONTH(parametros!$C$2))/12)))))</f>
        <v/>
      </c>
      <c r="D4222" s="394"/>
      <c r="E4222" s="78" t="str">
        <f>IF(C4222="","",IFERROR(VLOOKUP(C4222,parametros!$A$11:$E$15,5,0),""))</f>
        <v/>
      </c>
      <c r="F4222" s="79" t="str">
        <f t="shared" si="327"/>
        <v/>
      </c>
      <c r="G4222" s="395"/>
      <c r="H4222" s="91">
        <f t="shared" si="328"/>
        <v>0</v>
      </c>
      <c r="I4222" s="91" t="str">
        <f t="shared" si="329"/>
        <v/>
      </c>
      <c r="J4222" s="91" t="str">
        <f t="shared" si="330"/>
        <v/>
      </c>
      <c r="K4222" s="92" t="str">
        <f>IF(AND(A4222="",B4222="",D4222="",G4222=""),"",IF(AND(A4222&lt;&gt;"",COUNTIF($A$2:$A$5001,A4222)&gt;1),"NUMERO_PC duplicado",IF(B4222="","DATA_PC vazia",IF(NOT(ISNUMBER(B4222)),"DATA_PC invalida",IF(OR(C4222="",C4222="Fora dos ciclos"),"CICLO_PC nao identificado",IF(OR(D4222="",D4222=0),"VALOR_PC vazio ou zero",IF(AND(G4222&lt;&gt;"Sim",G4222&lt;&gt;"Nao",G4222&lt;&gt;""),"PC_PAGO_A_CONTRATADA invalido",IF(AND(C4222&lt;&gt;"C0",IFERROR(INDEX(parametros!$A$2:$A$6,MATCH(C4222,parametros!$B$2:$B$6,0)),"")="Sim",IFERROR(INDEX(parametros!$H$2:$H$6,MATCH(C4222,parametros!$B$2:$B$6,0)),"")=""),"INICIO_EFEITO ausente: PC "&amp;A4222&amp;" - "&amp;C4222,IF(L4222="","EFEITO_PC nao calculado: PC "&amp;A4222&amp;" - "&amp;C4222,"OK")))))))))</f>
        <v/>
      </c>
      <c r="L4222" s="92" t="str">
        <f>IF(AND(A4222="",B4222="",D4222="",G4222=""),"",IF(OR(B4222="",NOT(ISNUMBER(B4222)),C4222="",C4222="Fora dos ciclos"),"",IF(C4222="C0","Nao",IF(IFERROR(INDEX(parametros!$A$2:$A$6,MATCH(C4222,parametros!$B$2:$B$6,0)),"")&lt;&gt;"Sim","Nao",IF(IFERROR(INDEX(parametros!$H$2:$H$6,MATCH(C4222,parametros!$B$2:$B$6,0)),"")="","",IF(B4222&gt;=IFERROR(INDEX(parametros!$H$2:$H$6,MATCH(C4222,parametros!$B$2:$B$6,0)),""),"Sim","Nao"))))))</f>
        <v/>
      </c>
      <c r="T4222" s="156"/>
      <c r="U4222" s="214" t="str">
        <f t="shared" si="331"/>
        <v/>
      </c>
      <c r="V4222" s="212" t="s">
        <v>50</v>
      </c>
      <c r="W4222" s="100" t="s">
        <v>168</v>
      </c>
      <c r="X4222" s="100" t="s">
        <v>169</v>
      </c>
      <c r="Y4222" s="101" t="s">
        <v>170</v>
      </c>
      <c r="Z4222" s="101" t="s">
        <v>171</v>
      </c>
      <c r="AA4222" s="101" t="s">
        <v>50</v>
      </c>
      <c r="AB4222" s="101" t="s">
        <v>172</v>
      </c>
      <c r="AC4222" s="102" t="s">
        <v>173</v>
      </c>
    </row>
    <row r="4223" spans="1:29" ht="25.5" customHeight="1" x14ac:dyDescent="0.35">
      <c r="A4223" s="392"/>
      <c r="B4223" s="393"/>
      <c r="C4223" s="99" t="str">
        <f>IF(B4223="","",IF(NOT(ISNUMBER(B4223)),"DATA_PC invalida",IF(NOT(ISNUMBER(parametros!$C$2)),"Fora dos ciclos",IF(OR(B4223&lt;parametros!$C$2,(YEAR(B4223)-YEAR(parametros!$C$2))*12+MONTH(B4223)-MONTH(parametros!$C$2)&gt;59),"Fora dos ciclos","C"&amp;INT(((YEAR(B4223)-YEAR(parametros!$C$2))*12+MONTH(B4223)-MONTH(parametros!$C$2))/12)))))</f>
        <v/>
      </c>
      <c r="D4223" s="394"/>
      <c r="E4223" s="78" t="str">
        <f>IF(C4223="","",IFERROR(VLOOKUP(C4223,parametros!$A$11:$E$15,5,0),""))</f>
        <v/>
      </c>
      <c r="F4223" s="79" t="str">
        <f t="shared" si="327"/>
        <v/>
      </c>
      <c r="G4223" s="395"/>
      <c r="H4223" s="91">
        <f t="shared" si="328"/>
        <v>0</v>
      </c>
      <c r="I4223" s="91" t="str">
        <f t="shared" si="329"/>
        <v/>
      </c>
      <c r="J4223" s="91" t="str">
        <f t="shared" si="330"/>
        <v/>
      </c>
      <c r="K4223" s="92" t="str">
        <f>IF(AND(A4223="",B4223="",D4223="",G4223=""),"",IF(AND(A4223&lt;&gt;"",COUNTIF($A$2:$A$5001,A4223)&gt;1),"NUMERO_PC duplicado",IF(B4223="","DATA_PC vazia",IF(NOT(ISNUMBER(B4223)),"DATA_PC invalida",IF(OR(C4223="",C4223="Fora dos ciclos"),"CICLO_PC nao identificado",IF(OR(D4223="",D4223=0),"VALOR_PC vazio ou zero",IF(AND(G4223&lt;&gt;"Sim",G4223&lt;&gt;"Nao",G4223&lt;&gt;""),"PC_PAGO_A_CONTRATADA invalido",IF(AND(C4223&lt;&gt;"C0",IFERROR(INDEX(parametros!$A$2:$A$6,MATCH(C4223,parametros!$B$2:$B$6,0)),"")="Sim",IFERROR(INDEX(parametros!$H$2:$H$6,MATCH(C4223,parametros!$B$2:$B$6,0)),"")=""),"INICIO_EFEITO ausente: PC "&amp;A4223&amp;" - "&amp;C4223,IF(L4223="","EFEITO_PC nao calculado: PC "&amp;A4223&amp;" - "&amp;C4223,"OK")))))))))</f>
        <v/>
      </c>
      <c r="L4223" s="92" t="str">
        <f>IF(AND(A4223="",B4223="",D4223="",G4223=""),"",IF(OR(B4223="",NOT(ISNUMBER(B4223)),C4223="",C4223="Fora dos ciclos"),"",IF(C4223="C0","Nao",IF(IFERROR(INDEX(parametros!$A$2:$A$6,MATCH(C4223,parametros!$B$2:$B$6,0)),"")&lt;&gt;"Sim","Nao",IF(IFERROR(INDEX(parametros!$H$2:$H$6,MATCH(C4223,parametros!$B$2:$B$6,0)),"")="","",IF(B4223&gt;=IFERROR(INDEX(parametros!$H$2:$H$6,MATCH(C4223,parametros!$B$2:$B$6,0)),""),"Sim","Nao"))))))</f>
        <v/>
      </c>
      <c r="T4223" s="156"/>
      <c r="U4223" s="214" t="str">
        <f t="shared" si="331"/>
        <v/>
      </c>
      <c r="V4223" s="212" t="s">
        <v>50</v>
      </c>
      <c r="W4223" s="100" t="s">
        <v>168</v>
      </c>
      <c r="X4223" s="100" t="s">
        <v>169</v>
      </c>
      <c r="Y4223" s="101" t="s">
        <v>170</v>
      </c>
      <c r="Z4223" s="101" t="s">
        <v>171</v>
      </c>
      <c r="AA4223" s="101" t="s">
        <v>50</v>
      </c>
      <c r="AB4223" s="101" t="s">
        <v>172</v>
      </c>
      <c r="AC4223" s="102" t="s">
        <v>173</v>
      </c>
    </row>
    <row r="4224" spans="1:29" ht="25.5" customHeight="1" x14ac:dyDescent="0.35">
      <c r="A4224" s="392"/>
      <c r="B4224" s="393"/>
      <c r="C4224" s="99" t="str">
        <f>IF(B4224="","",IF(NOT(ISNUMBER(B4224)),"DATA_PC invalida",IF(NOT(ISNUMBER(parametros!$C$2)),"Fora dos ciclos",IF(OR(B4224&lt;parametros!$C$2,(YEAR(B4224)-YEAR(parametros!$C$2))*12+MONTH(B4224)-MONTH(parametros!$C$2)&gt;59),"Fora dos ciclos","C"&amp;INT(((YEAR(B4224)-YEAR(parametros!$C$2))*12+MONTH(B4224)-MONTH(parametros!$C$2))/12)))))</f>
        <v/>
      </c>
      <c r="D4224" s="394"/>
      <c r="E4224" s="78" t="str">
        <f>IF(C4224="","",IFERROR(VLOOKUP(C4224,parametros!$A$11:$E$15,5,0),""))</f>
        <v/>
      </c>
      <c r="F4224" s="79" t="str">
        <f t="shared" si="327"/>
        <v/>
      </c>
      <c r="G4224" s="395"/>
      <c r="H4224" s="91">
        <f t="shared" si="328"/>
        <v>0</v>
      </c>
      <c r="I4224" s="91" t="str">
        <f t="shared" si="329"/>
        <v/>
      </c>
      <c r="J4224" s="91" t="str">
        <f t="shared" si="330"/>
        <v/>
      </c>
      <c r="K4224" s="92" t="str">
        <f>IF(AND(A4224="",B4224="",D4224="",G4224=""),"",IF(AND(A4224&lt;&gt;"",COUNTIF($A$2:$A$5001,A4224)&gt;1),"NUMERO_PC duplicado",IF(B4224="","DATA_PC vazia",IF(NOT(ISNUMBER(B4224)),"DATA_PC invalida",IF(OR(C4224="",C4224="Fora dos ciclos"),"CICLO_PC nao identificado",IF(OR(D4224="",D4224=0),"VALOR_PC vazio ou zero",IF(AND(G4224&lt;&gt;"Sim",G4224&lt;&gt;"Nao",G4224&lt;&gt;""),"PC_PAGO_A_CONTRATADA invalido",IF(AND(C4224&lt;&gt;"C0",IFERROR(INDEX(parametros!$A$2:$A$6,MATCH(C4224,parametros!$B$2:$B$6,0)),"")="Sim",IFERROR(INDEX(parametros!$H$2:$H$6,MATCH(C4224,parametros!$B$2:$B$6,0)),"")=""),"INICIO_EFEITO ausente: PC "&amp;A4224&amp;" - "&amp;C4224,IF(L4224="","EFEITO_PC nao calculado: PC "&amp;A4224&amp;" - "&amp;C4224,"OK")))))))))</f>
        <v/>
      </c>
      <c r="L4224" s="92" t="str">
        <f>IF(AND(A4224="",B4224="",D4224="",G4224=""),"",IF(OR(B4224="",NOT(ISNUMBER(B4224)),C4224="",C4224="Fora dos ciclos"),"",IF(C4224="C0","Nao",IF(IFERROR(INDEX(parametros!$A$2:$A$6,MATCH(C4224,parametros!$B$2:$B$6,0)),"")&lt;&gt;"Sim","Nao",IF(IFERROR(INDEX(parametros!$H$2:$H$6,MATCH(C4224,parametros!$B$2:$B$6,0)),"")="","",IF(B4224&gt;=IFERROR(INDEX(parametros!$H$2:$H$6,MATCH(C4224,parametros!$B$2:$B$6,0)),""),"Sim","Nao"))))))</f>
        <v/>
      </c>
      <c r="T4224" s="156"/>
      <c r="U4224" s="214" t="str">
        <f t="shared" si="331"/>
        <v/>
      </c>
      <c r="V4224" s="212" t="s">
        <v>50</v>
      </c>
      <c r="W4224" s="100" t="s">
        <v>168</v>
      </c>
      <c r="X4224" s="100" t="s">
        <v>169</v>
      </c>
      <c r="Y4224" s="101" t="s">
        <v>170</v>
      </c>
      <c r="Z4224" s="101" t="s">
        <v>171</v>
      </c>
      <c r="AA4224" s="101" t="s">
        <v>50</v>
      </c>
      <c r="AB4224" s="101" t="s">
        <v>172</v>
      </c>
      <c r="AC4224" s="102" t="s">
        <v>173</v>
      </c>
    </row>
    <row r="4225" spans="1:29" ht="25.5" customHeight="1" x14ac:dyDescent="0.35">
      <c r="A4225" s="392"/>
      <c r="B4225" s="393"/>
      <c r="C4225" s="99" t="str">
        <f>IF(B4225="","",IF(NOT(ISNUMBER(B4225)),"DATA_PC invalida",IF(NOT(ISNUMBER(parametros!$C$2)),"Fora dos ciclos",IF(OR(B4225&lt;parametros!$C$2,(YEAR(B4225)-YEAR(parametros!$C$2))*12+MONTH(B4225)-MONTH(parametros!$C$2)&gt;59),"Fora dos ciclos","C"&amp;INT(((YEAR(B4225)-YEAR(parametros!$C$2))*12+MONTH(B4225)-MONTH(parametros!$C$2))/12)))))</f>
        <v/>
      </c>
      <c r="D4225" s="394"/>
      <c r="E4225" s="78" t="str">
        <f>IF(C4225="","",IFERROR(VLOOKUP(C4225,parametros!$A$11:$E$15,5,0),""))</f>
        <v/>
      </c>
      <c r="F4225" s="79" t="str">
        <f t="shared" si="327"/>
        <v/>
      </c>
      <c r="G4225" s="395"/>
      <c r="H4225" s="91">
        <f t="shared" si="328"/>
        <v>0</v>
      </c>
      <c r="I4225" s="91" t="str">
        <f t="shared" si="329"/>
        <v/>
      </c>
      <c r="J4225" s="91" t="str">
        <f t="shared" si="330"/>
        <v/>
      </c>
      <c r="K4225" s="92" t="str">
        <f>IF(AND(A4225="",B4225="",D4225="",G4225=""),"",IF(AND(A4225&lt;&gt;"",COUNTIF($A$2:$A$5001,A4225)&gt;1),"NUMERO_PC duplicado",IF(B4225="","DATA_PC vazia",IF(NOT(ISNUMBER(B4225)),"DATA_PC invalida",IF(OR(C4225="",C4225="Fora dos ciclos"),"CICLO_PC nao identificado",IF(OR(D4225="",D4225=0),"VALOR_PC vazio ou zero",IF(AND(G4225&lt;&gt;"Sim",G4225&lt;&gt;"Nao",G4225&lt;&gt;""),"PC_PAGO_A_CONTRATADA invalido",IF(AND(C4225&lt;&gt;"C0",IFERROR(INDEX(parametros!$A$2:$A$6,MATCH(C4225,parametros!$B$2:$B$6,0)),"")="Sim",IFERROR(INDEX(parametros!$H$2:$H$6,MATCH(C4225,parametros!$B$2:$B$6,0)),"")=""),"INICIO_EFEITO ausente: PC "&amp;A4225&amp;" - "&amp;C4225,IF(L4225="","EFEITO_PC nao calculado: PC "&amp;A4225&amp;" - "&amp;C4225,"OK")))))))))</f>
        <v/>
      </c>
      <c r="L4225" s="92" t="str">
        <f>IF(AND(A4225="",B4225="",D4225="",G4225=""),"",IF(OR(B4225="",NOT(ISNUMBER(B4225)),C4225="",C4225="Fora dos ciclos"),"",IF(C4225="C0","Nao",IF(IFERROR(INDEX(parametros!$A$2:$A$6,MATCH(C4225,parametros!$B$2:$B$6,0)),"")&lt;&gt;"Sim","Nao",IF(IFERROR(INDEX(parametros!$H$2:$H$6,MATCH(C4225,parametros!$B$2:$B$6,0)),"")="","",IF(B4225&gt;=IFERROR(INDEX(parametros!$H$2:$H$6,MATCH(C4225,parametros!$B$2:$B$6,0)),""),"Sim","Nao"))))))</f>
        <v/>
      </c>
      <c r="T4225" s="156"/>
      <c r="U4225" s="214" t="str">
        <f t="shared" si="331"/>
        <v/>
      </c>
      <c r="V4225" s="212" t="s">
        <v>50</v>
      </c>
      <c r="W4225" s="100" t="s">
        <v>168</v>
      </c>
      <c r="X4225" s="100" t="s">
        <v>169</v>
      </c>
      <c r="Y4225" s="101" t="s">
        <v>170</v>
      </c>
      <c r="Z4225" s="101" t="s">
        <v>171</v>
      </c>
      <c r="AA4225" s="101" t="s">
        <v>50</v>
      </c>
      <c r="AB4225" s="101" t="s">
        <v>172</v>
      </c>
      <c r="AC4225" s="102" t="s">
        <v>173</v>
      </c>
    </row>
    <row r="4226" spans="1:29" ht="25.5" customHeight="1" x14ac:dyDescent="0.35">
      <c r="A4226" s="392"/>
      <c r="B4226" s="393"/>
      <c r="C4226" s="99" t="str">
        <f>IF(B4226="","",IF(NOT(ISNUMBER(B4226)),"DATA_PC invalida",IF(NOT(ISNUMBER(parametros!$C$2)),"Fora dos ciclos",IF(OR(B4226&lt;parametros!$C$2,(YEAR(B4226)-YEAR(parametros!$C$2))*12+MONTH(B4226)-MONTH(parametros!$C$2)&gt;59),"Fora dos ciclos","C"&amp;INT(((YEAR(B4226)-YEAR(parametros!$C$2))*12+MONTH(B4226)-MONTH(parametros!$C$2))/12)))))</f>
        <v/>
      </c>
      <c r="D4226" s="394"/>
      <c r="E4226" s="78" t="str">
        <f>IF(C4226="","",IFERROR(VLOOKUP(C4226,parametros!$A$11:$E$15,5,0),""))</f>
        <v/>
      </c>
      <c r="F4226" s="79" t="str">
        <f t="shared" ref="F4226:F4289" si="332">IF(OR(D4226="",E4226=""),"",ROUND(D4226*E4226,2))</f>
        <v/>
      </c>
      <c r="G4226" s="395"/>
      <c r="H4226" s="91">
        <f t="shared" ref="H4226:H4289" si="333">IF(G4226="Sim",IF(OR(F4226="",D4226="",L4226=""),"",IF(L4226="Sim",ROUND(F4226-D4226,2),0)),0)</f>
        <v>0</v>
      </c>
      <c r="I4226" s="91" t="str">
        <f t="shared" ref="I4226:I4289" si="334">IF(G4226="Sim",0,IF(OR(F4226="",L4226=""),"",F4226))</f>
        <v/>
      </c>
      <c r="J4226" s="91" t="str">
        <f t="shared" ref="J4226:J4289" si="335">IF(G4226="Sim",0,IF(OR(F4226="",D4226="",L4226=""),"",IF(L4226="Sim",ROUND(F4226-D4226,2),0)))</f>
        <v/>
      </c>
      <c r="K4226" s="92" t="str">
        <f>IF(AND(A4226="",B4226="",D4226="",G4226=""),"",IF(AND(A4226&lt;&gt;"",COUNTIF($A$2:$A$5001,A4226)&gt;1),"NUMERO_PC duplicado",IF(B4226="","DATA_PC vazia",IF(NOT(ISNUMBER(B4226)),"DATA_PC invalida",IF(OR(C4226="",C4226="Fora dos ciclos"),"CICLO_PC nao identificado",IF(OR(D4226="",D4226=0),"VALOR_PC vazio ou zero",IF(AND(G4226&lt;&gt;"Sim",G4226&lt;&gt;"Nao",G4226&lt;&gt;""),"PC_PAGO_A_CONTRATADA invalido",IF(AND(C4226&lt;&gt;"C0",IFERROR(INDEX(parametros!$A$2:$A$6,MATCH(C4226,parametros!$B$2:$B$6,0)),"")="Sim",IFERROR(INDEX(parametros!$H$2:$H$6,MATCH(C4226,parametros!$B$2:$B$6,0)),"")=""),"INICIO_EFEITO ausente: PC "&amp;A4226&amp;" - "&amp;C4226,IF(L4226="","EFEITO_PC nao calculado: PC "&amp;A4226&amp;" - "&amp;C4226,"OK")))))))))</f>
        <v/>
      </c>
      <c r="L4226" s="92" t="str">
        <f>IF(AND(A4226="",B4226="",D4226="",G4226=""),"",IF(OR(B4226="",NOT(ISNUMBER(B4226)),C4226="",C4226="Fora dos ciclos"),"",IF(C4226="C0","Nao",IF(IFERROR(INDEX(parametros!$A$2:$A$6,MATCH(C4226,parametros!$B$2:$B$6,0)),"")&lt;&gt;"Sim","Nao",IF(IFERROR(INDEX(parametros!$H$2:$H$6,MATCH(C4226,parametros!$B$2:$B$6,0)),"")="","",IF(B4226&gt;=IFERROR(INDEX(parametros!$H$2:$H$6,MATCH(C4226,parametros!$B$2:$B$6,0)),""),"Sim","Nao"))))))</f>
        <v/>
      </c>
      <c r="T4226" s="156"/>
      <c r="U4226" s="214" t="str">
        <f t="shared" ref="U4226:U4289" si="336">IF(OR($D4226="",$H4226=""),"",ROUND($D4226+$H4226,2))</f>
        <v/>
      </c>
      <c r="V4226" s="212" t="s">
        <v>50</v>
      </c>
      <c r="W4226" s="100" t="s">
        <v>168</v>
      </c>
      <c r="X4226" s="100" t="s">
        <v>169</v>
      </c>
      <c r="Y4226" s="101" t="s">
        <v>170</v>
      </c>
      <c r="Z4226" s="101" t="s">
        <v>171</v>
      </c>
      <c r="AA4226" s="101" t="s">
        <v>50</v>
      </c>
      <c r="AB4226" s="101" t="s">
        <v>172</v>
      </c>
      <c r="AC4226" s="102" t="s">
        <v>173</v>
      </c>
    </row>
    <row r="4227" spans="1:29" ht="25.5" customHeight="1" x14ac:dyDescent="0.35">
      <c r="A4227" s="392"/>
      <c r="B4227" s="393"/>
      <c r="C4227" s="99" t="str">
        <f>IF(B4227="","",IF(NOT(ISNUMBER(B4227)),"DATA_PC invalida",IF(NOT(ISNUMBER(parametros!$C$2)),"Fora dos ciclos",IF(OR(B4227&lt;parametros!$C$2,(YEAR(B4227)-YEAR(parametros!$C$2))*12+MONTH(B4227)-MONTH(parametros!$C$2)&gt;59),"Fora dos ciclos","C"&amp;INT(((YEAR(B4227)-YEAR(parametros!$C$2))*12+MONTH(B4227)-MONTH(parametros!$C$2))/12)))))</f>
        <v/>
      </c>
      <c r="D4227" s="394"/>
      <c r="E4227" s="78" t="str">
        <f>IF(C4227="","",IFERROR(VLOOKUP(C4227,parametros!$A$11:$E$15,5,0),""))</f>
        <v/>
      </c>
      <c r="F4227" s="79" t="str">
        <f t="shared" si="332"/>
        <v/>
      </c>
      <c r="G4227" s="395"/>
      <c r="H4227" s="91">
        <f t="shared" si="333"/>
        <v>0</v>
      </c>
      <c r="I4227" s="91" t="str">
        <f t="shared" si="334"/>
        <v/>
      </c>
      <c r="J4227" s="91" t="str">
        <f t="shared" si="335"/>
        <v/>
      </c>
      <c r="K4227" s="92" t="str">
        <f>IF(AND(A4227="",B4227="",D4227="",G4227=""),"",IF(AND(A4227&lt;&gt;"",COUNTIF($A$2:$A$5001,A4227)&gt;1),"NUMERO_PC duplicado",IF(B4227="","DATA_PC vazia",IF(NOT(ISNUMBER(B4227)),"DATA_PC invalida",IF(OR(C4227="",C4227="Fora dos ciclos"),"CICLO_PC nao identificado",IF(OR(D4227="",D4227=0),"VALOR_PC vazio ou zero",IF(AND(G4227&lt;&gt;"Sim",G4227&lt;&gt;"Nao",G4227&lt;&gt;""),"PC_PAGO_A_CONTRATADA invalido",IF(AND(C4227&lt;&gt;"C0",IFERROR(INDEX(parametros!$A$2:$A$6,MATCH(C4227,parametros!$B$2:$B$6,0)),"")="Sim",IFERROR(INDEX(parametros!$H$2:$H$6,MATCH(C4227,parametros!$B$2:$B$6,0)),"")=""),"INICIO_EFEITO ausente: PC "&amp;A4227&amp;" - "&amp;C4227,IF(L4227="","EFEITO_PC nao calculado: PC "&amp;A4227&amp;" - "&amp;C4227,"OK")))))))))</f>
        <v/>
      </c>
      <c r="L4227" s="92" t="str">
        <f>IF(AND(A4227="",B4227="",D4227="",G4227=""),"",IF(OR(B4227="",NOT(ISNUMBER(B4227)),C4227="",C4227="Fora dos ciclos"),"",IF(C4227="C0","Nao",IF(IFERROR(INDEX(parametros!$A$2:$A$6,MATCH(C4227,parametros!$B$2:$B$6,0)),"")&lt;&gt;"Sim","Nao",IF(IFERROR(INDEX(parametros!$H$2:$H$6,MATCH(C4227,parametros!$B$2:$B$6,0)),"")="","",IF(B4227&gt;=IFERROR(INDEX(parametros!$H$2:$H$6,MATCH(C4227,parametros!$B$2:$B$6,0)),""),"Sim","Nao"))))))</f>
        <v/>
      </c>
      <c r="T4227" s="156"/>
      <c r="U4227" s="214" t="str">
        <f t="shared" si="336"/>
        <v/>
      </c>
      <c r="V4227" s="212" t="s">
        <v>50</v>
      </c>
      <c r="W4227" s="100" t="s">
        <v>168</v>
      </c>
      <c r="X4227" s="100" t="s">
        <v>169</v>
      </c>
      <c r="Y4227" s="101" t="s">
        <v>170</v>
      </c>
      <c r="Z4227" s="101" t="s">
        <v>171</v>
      </c>
      <c r="AA4227" s="101" t="s">
        <v>50</v>
      </c>
      <c r="AB4227" s="101" t="s">
        <v>172</v>
      </c>
      <c r="AC4227" s="102" t="s">
        <v>173</v>
      </c>
    </row>
    <row r="4228" spans="1:29" ht="25.5" customHeight="1" x14ac:dyDescent="0.35">
      <c r="A4228" s="392"/>
      <c r="B4228" s="393"/>
      <c r="C4228" s="99" t="str">
        <f>IF(B4228="","",IF(NOT(ISNUMBER(B4228)),"DATA_PC invalida",IF(NOT(ISNUMBER(parametros!$C$2)),"Fora dos ciclos",IF(OR(B4228&lt;parametros!$C$2,(YEAR(B4228)-YEAR(parametros!$C$2))*12+MONTH(B4228)-MONTH(parametros!$C$2)&gt;59),"Fora dos ciclos","C"&amp;INT(((YEAR(B4228)-YEAR(parametros!$C$2))*12+MONTH(B4228)-MONTH(parametros!$C$2))/12)))))</f>
        <v/>
      </c>
      <c r="D4228" s="394"/>
      <c r="E4228" s="78" t="str">
        <f>IF(C4228="","",IFERROR(VLOOKUP(C4228,parametros!$A$11:$E$15,5,0),""))</f>
        <v/>
      </c>
      <c r="F4228" s="79" t="str">
        <f t="shared" si="332"/>
        <v/>
      </c>
      <c r="G4228" s="395"/>
      <c r="H4228" s="91">
        <f t="shared" si="333"/>
        <v>0</v>
      </c>
      <c r="I4228" s="91" t="str">
        <f t="shared" si="334"/>
        <v/>
      </c>
      <c r="J4228" s="91" t="str">
        <f t="shared" si="335"/>
        <v/>
      </c>
      <c r="K4228" s="92" t="str">
        <f>IF(AND(A4228="",B4228="",D4228="",G4228=""),"",IF(AND(A4228&lt;&gt;"",COUNTIF($A$2:$A$5001,A4228)&gt;1),"NUMERO_PC duplicado",IF(B4228="","DATA_PC vazia",IF(NOT(ISNUMBER(B4228)),"DATA_PC invalida",IF(OR(C4228="",C4228="Fora dos ciclos"),"CICLO_PC nao identificado",IF(OR(D4228="",D4228=0),"VALOR_PC vazio ou zero",IF(AND(G4228&lt;&gt;"Sim",G4228&lt;&gt;"Nao",G4228&lt;&gt;""),"PC_PAGO_A_CONTRATADA invalido",IF(AND(C4228&lt;&gt;"C0",IFERROR(INDEX(parametros!$A$2:$A$6,MATCH(C4228,parametros!$B$2:$B$6,0)),"")="Sim",IFERROR(INDEX(parametros!$H$2:$H$6,MATCH(C4228,parametros!$B$2:$B$6,0)),"")=""),"INICIO_EFEITO ausente: PC "&amp;A4228&amp;" - "&amp;C4228,IF(L4228="","EFEITO_PC nao calculado: PC "&amp;A4228&amp;" - "&amp;C4228,"OK")))))))))</f>
        <v/>
      </c>
      <c r="L4228" s="92" t="str">
        <f>IF(AND(A4228="",B4228="",D4228="",G4228=""),"",IF(OR(B4228="",NOT(ISNUMBER(B4228)),C4228="",C4228="Fora dos ciclos"),"",IF(C4228="C0","Nao",IF(IFERROR(INDEX(parametros!$A$2:$A$6,MATCH(C4228,parametros!$B$2:$B$6,0)),"")&lt;&gt;"Sim","Nao",IF(IFERROR(INDEX(parametros!$H$2:$H$6,MATCH(C4228,parametros!$B$2:$B$6,0)),"")="","",IF(B4228&gt;=IFERROR(INDEX(parametros!$H$2:$H$6,MATCH(C4228,parametros!$B$2:$B$6,0)),""),"Sim","Nao"))))))</f>
        <v/>
      </c>
      <c r="T4228" s="156"/>
      <c r="U4228" s="214" t="str">
        <f t="shared" si="336"/>
        <v/>
      </c>
      <c r="V4228" s="212" t="s">
        <v>50</v>
      </c>
      <c r="W4228" s="100" t="s">
        <v>168</v>
      </c>
      <c r="X4228" s="100" t="s">
        <v>169</v>
      </c>
      <c r="Y4228" s="101" t="s">
        <v>170</v>
      </c>
      <c r="Z4228" s="101" t="s">
        <v>171</v>
      </c>
      <c r="AA4228" s="101" t="s">
        <v>50</v>
      </c>
      <c r="AB4228" s="101" t="s">
        <v>172</v>
      </c>
      <c r="AC4228" s="102" t="s">
        <v>173</v>
      </c>
    </row>
    <row r="4229" spans="1:29" ht="25.5" customHeight="1" x14ac:dyDescent="0.35">
      <c r="A4229" s="392"/>
      <c r="B4229" s="393"/>
      <c r="C4229" s="99" t="str">
        <f>IF(B4229="","",IF(NOT(ISNUMBER(B4229)),"DATA_PC invalida",IF(NOT(ISNUMBER(parametros!$C$2)),"Fora dos ciclos",IF(OR(B4229&lt;parametros!$C$2,(YEAR(B4229)-YEAR(parametros!$C$2))*12+MONTH(B4229)-MONTH(parametros!$C$2)&gt;59),"Fora dos ciclos","C"&amp;INT(((YEAR(B4229)-YEAR(parametros!$C$2))*12+MONTH(B4229)-MONTH(parametros!$C$2))/12)))))</f>
        <v/>
      </c>
      <c r="D4229" s="394"/>
      <c r="E4229" s="78" t="str">
        <f>IF(C4229="","",IFERROR(VLOOKUP(C4229,parametros!$A$11:$E$15,5,0),""))</f>
        <v/>
      </c>
      <c r="F4229" s="79" t="str">
        <f t="shared" si="332"/>
        <v/>
      </c>
      <c r="G4229" s="395"/>
      <c r="H4229" s="91">
        <f t="shared" si="333"/>
        <v>0</v>
      </c>
      <c r="I4229" s="91" t="str">
        <f t="shared" si="334"/>
        <v/>
      </c>
      <c r="J4229" s="91" t="str">
        <f t="shared" si="335"/>
        <v/>
      </c>
      <c r="K4229" s="92" t="str">
        <f>IF(AND(A4229="",B4229="",D4229="",G4229=""),"",IF(AND(A4229&lt;&gt;"",COUNTIF($A$2:$A$5001,A4229)&gt;1),"NUMERO_PC duplicado",IF(B4229="","DATA_PC vazia",IF(NOT(ISNUMBER(B4229)),"DATA_PC invalida",IF(OR(C4229="",C4229="Fora dos ciclos"),"CICLO_PC nao identificado",IF(OR(D4229="",D4229=0),"VALOR_PC vazio ou zero",IF(AND(G4229&lt;&gt;"Sim",G4229&lt;&gt;"Nao",G4229&lt;&gt;""),"PC_PAGO_A_CONTRATADA invalido",IF(AND(C4229&lt;&gt;"C0",IFERROR(INDEX(parametros!$A$2:$A$6,MATCH(C4229,parametros!$B$2:$B$6,0)),"")="Sim",IFERROR(INDEX(parametros!$H$2:$H$6,MATCH(C4229,parametros!$B$2:$B$6,0)),"")=""),"INICIO_EFEITO ausente: PC "&amp;A4229&amp;" - "&amp;C4229,IF(L4229="","EFEITO_PC nao calculado: PC "&amp;A4229&amp;" - "&amp;C4229,"OK")))))))))</f>
        <v/>
      </c>
      <c r="L4229" s="92" t="str">
        <f>IF(AND(A4229="",B4229="",D4229="",G4229=""),"",IF(OR(B4229="",NOT(ISNUMBER(B4229)),C4229="",C4229="Fora dos ciclos"),"",IF(C4229="C0","Nao",IF(IFERROR(INDEX(parametros!$A$2:$A$6,MATCH(C4229,parametros!$B$2:$B$6,0)),"")&lt;&gt;"Sim","Nao",IF(IFERROR(INDEX(parametros!$H$2:$H$6,MATCH(C4229,parametros!$B$2:$B$6,0)),"")="","",IF(B4229&gt;=IFERROR(INDEX(parametros!$H$2:$H$6,MATCH(C4229,parametros!$B$2:$B$6,0)),""),"Sim","Nao"))))))</f>
        <v/>
      </c>
      <c r="T4229" s="156"/>
      <c r="U4229" s="214" t="str">
        <f t="shared" si="336"/>
        <v/>
      </c>
      <c r="V4229" s="212" t="s">
        <v>50</v>
      </c>
      <c r="W4229" s="100" t="s">
        <v>168</v>
      </c>
      <c r="X4229" s="100" t="s">
        <v>169</v>
      </c>
      <c r="Y4229" s="101" t="s">
        <v>170</v>
      </c>
      <c r="Z4229" s="101" t="s">
        <v>171</v>
      </c>
      <c r="AA4229" s="101" t="s">
        <v>50</v>
      </c>
      <c r="AB4229" s="101" t="s">
        <v>172</v>
      </c>
      <c r="AC4229" s="102" t="s">
        <v>173</v>
      </c>
    </row>
    <row r="4230" spans="1:29" ht="25.5" customHeight="1" x14ac:dyDescent="0.35">
      <c r="A4230" s="392"/>
      <c r="B4230" s="393"/>
      <c r="C4230" s="99" t="str">
        <f>IF(B4230="","",IF(NOT(ISNUMBER(B4230)),"DATA_PC invalida",IF(NOT(ISNUMBER(parametros!$C$2)),"Fora dos ciclos",IF(OR(B4230&lt;parametros!$C$2,(YEAR(B4230)-YEAR(parametros!$C$2))*12+MONTH(B4230)-MONTH(parametros!$C$2)&gt;59),"Fora dos ciclos","C"&amp;INT(((YEAR(B4230)-YEAR(parametros!$C$2))*12+MONTH(B4230)-MONTH(parametros!$C$2))/12)))))</f>
        <v/>
      </c>
      <c r="D4230" s="394"/>
      <c r="E4230" s="78" t="str">
        <f>IF(C4230="","",IFERROR(VLOOKUP(C4230,parametros!$A$11:$E$15,5,0),""))</f>
        <v/>
      </c>
      <c r="F4230" s="79" t="str">
        <f t="shared" si="332"/>
        <v/>
      </c>
      <c r="G4230" s="395"/>
      <c r="H4230" s="91">
        <f t="shared" si="333"/>
        <v>0</v>
      </c>
      <c r="I4230" s="91" t="str">
        <f t="shared" si="334"/>
        <v/>
      </c>
      <c r="J4230" s="91" t="str">
        <f t="shared" si="335"/>
        <v/>
      </c>
      <c r="K4230" s="92" t="str">
        <f>IF(AND(A4230="",B4230="",D4230="",G4230=""),"",IF(AND(A4230&lt;&gt;"",COUNTIF($A$2:$A$5001,A4230)&gt;1),"NUMERO_PC duplicado",IF(B4230="","DATA_PC vazia",IF(NOT(ISNUMBER(B4230)),"DATA_PC invalida",IF(OR(C4230="",C4230="Fora dos ciclos"),"CICLO_PC nao identificado",IF(OR(D4230="",D4230=0),"VALOR_PC vazio ou zero",IF(AND(G4230&lt;&gt;"Sim",G4230&lt;&gt;"Nao",G4230&lt;&gt;""),"PC_PAGO_A_CONTRATADA invalido",IF(AND(C4230&lt;&gt;"C0",IFERROR(INDEX(parametros!$A$2:$A$6,MATCH(C4230,parametros!$B$2:$B$6,0)),"")="Sim",IFERROR(INDEX(parametros!$H$2:$H$6,MATCH(C4230,parametros!$B$2:$B$6,0)),"")=""),"INICIO_EFEITO ausente: PC "&amp;A4230&amp;" - "&amp;C4230,IF(L4230="","EFEITO_PC nao calculado: PC "&amp;A4230&amp;" - "&amp;C4230,"OK")))))))))</f>
        <v/>
      </c>
      <c r="L4230" s="92" t="str">
        <f>IF(AND(A4230="",B4230="",D4230="",G4230=""),"",IF(OR(B4230="",NOT(ISNUMBER(B4230)),C4230="",C4230="Fora dos ciclos"),"",IF(C4230="C0","Nao",IF(IFERROR(INDEX(parametros!$A$2:$A$6,MATCH(C4230,parametros!$B$2:$B$6,0)),"")&lt;&gt;"Sim","Nao",IF(IFERROR(INDEX(parametros!$H$2:$H$6,MATCH(C4230,parametros!$B$2:$B$6,0)),"")="","",IF(B4230&gt;=IFERROR(INDEX(parametros!$H$2:$H$6,MATCH(C4230,parametros!$B$2:$B$6,0)),""),"Sim","Nao"))))))</f>
        <v/>
      </c>
      <c r="T4230" s="156"/>
      <c r="U4230" s="214" t="str">
        <f t="shared" si="336"/>
        <v/>
      </c>
      <c r="V4230" s="212" t="s">
        <v>50</v>
      </c>
      <c r="W4230" s="100" t="s">
        <v>168</v>
      </c>
      <c r="X4230" s="100" t="s">
        <v>169</v>
      </c>
      <c r="Y4230" s="101" t="s">
        <v>170</v>
      </c>
      <c r="Z4230" s="101" t="s">
        <v>171</v>
      </c>
      <c r="AA4230" s="101" t="s">
        <v>50</v>
      </c>
      <c r="AB4230" s="101" t="s">
        <v>172</v>
      </c>
      <c r="AC4230" s="102" t="s">
        <v>173</v>
      </c>
    </row>
    <row r="4231" spans="1:29" ht="25.5" customHeight="1" x14ac:dyDescent="0.35">
      <c r="A4231" s="392"/>
      <c r="B4231" s="393"/>
      <c r="C4231" s="99" t="str">
        <f>IF(B4231="","",IF(NOT(ISNUMBER(B4231)),"DATA_PC invalida",IF(NOT(ISNUMBER(parametros!$C$2)),"Fora dos ciclos",IF(OR(B4231&lt;parametros!$C$2,(YEAR(B4231)-YEAR(parametros!$C$2))*12+MONTH(B4231)-MONTH(parametros!$C$2)&gt;59),"Fora dos ciclos","C"&amp;INT(((YEAR(B4231)-YEAR(parametros!$C$2))*12+MONTH(B4231)-MONTH(parametros!$C$2))/12)))))</f>
        <v/>
      </c>
      <c r="D4231" s="394"/>
      <c r="E4231" s="78" t="str">
        <f>IF(C4231="","",IFERROR(VLOOKUP(C4231,parametros!$A$11:$E$15,5,0),""))</f>
        <v/>
      </c>
      <c r="F4231" s="79" t="str">
        <f t="shared" si="332"/>
        <v/>
      </c>
      <c r="G4231" s="395"/>
      <c r="H4231" s="91">
        <f t="shared" si="333"/>
        <v>0</v>
      </c>
      <c r="I4231" s="91" t="str">
        <f t="shared" si="334"/>
        <v/>
      </c>
      <c r="J4231" s="91" t="str">
        <f t="shared" si="335"/>
        <v/>
      </c>
      <c r="K4231" s="92" t="str">
        <f>IF(AND(A4231="",B4231="",D4231="",G4231=""),"",IF(AND(A4231&lt;&gt;"",COUNTIF($A$2:$A$5001,A4231)&gt;1),"NUMERO_PC duplicado",IF(B4231="","DATA_PC vazia",IF(NOT(ISNUMBER(B4231)),"DATA_PC invalida",IF(OR(C4231="",C4231="Fora dos ciclos"),"CICLO_PC nao identificado",IF(OR(D4231="",D4231=0),"VALOR_PC vazio ou zero",IF(AND(G4231&lt;&gt;"Sim",G4231&lt;&gt;"Nao",G4231&lt;&gt;""),"PC_PAGO_A_CONTRATADA invalido",IF(AND(C4231&lt;&gt;"C0",IFERROR(INDEX(parametros!$A$2:$A$6,MATCH(C4231,parametros!$B$2:$B$6,0)),"")="Sim",IFERROR(INDEX(parametros!$H$2:$H$6,MATCH(C4231,parametros!$B$2:$B$6,0)),"")=""),"INICIO_EFEITO ausente: PC "&amp;A4231&amp;" - "&amp;C4231,IF(L4231="","EFEITO_PC nao calculado: PC "&amp;A4231&amp;" - "&amp;C4231,"OK")))))))))</f>
        <v/>
      </c>
      <c r="L4231" s="92" t="str">
        <f>IF(AND(A4231="",B4231="",D4231="",G4231=""),"",IF(OR(B4231="",NOT(ISNUMBER(B4231)),C4231="",C4231="Fora dos ciclos"),"",IF(C4231="C0","Nao",IF(IFERROR(INDEX(parametros!$A$2:$A$6,MATCH(C4231,parametros!$B$2:$B$6,0)),"")&lt;&gt;"Sim","Nao",IF(IFERROR(INDEX(parametros!$H$2:$H$6,MATCH(C4231,parametros!$B$2:$B$6,0)),"")="","",IF(B4231&gt;=IFERROR(INDEX(parametros!$H$2:$H$6,MATCH(C4231,parametros!$B$2:$B$6,0)),""),"Sim","Nao"))))))</f>
        <v/>
      </c>
      <c r="T4231" s="156"/>
      <c r="U4231" s="214" t="str">
        <f t="shared" si="336"/>
        <v/>
      </c>
      <c r="V4231" s="212" t="s">
        <v>50</v>
      </c>
      <c r="W4231" s="100" t="s">
        <v>168</v>
      </c>
      <c r="X4231" s="100" t="s">
        <v>169</v>
      </c>
      <c r="Y4231" s="101" t="s">
        <v>170</v>
      </c>
      <c r="Z4231" s="101" t="s">
        <v>171</v>
      </c>
      <c r="AA4231" s="101" t="s">
        <v>50</v>
      </c>
      <c r="AB4231" s="101" t="s">
        <v>172</v>
      </c>
      <c r="AC4231" s="102" t="s">
        <v>173</v>
      </c>
    </row>
    <row r="4232" spans="1:29" ht="25.5" customHeight="1" x14ac:dyDescent="0.35">
      <c r="A4232" s="392"/>
      <c r="B4232" s="393"/>
      <c r="C4232" s="99" t="str">
        <f>IF(B4232="","",IF(NOT(ISNUMBER(B4232)),"DATA_PC invalida",IF(NOT(ISNUMBER(parametros!$C$2)),"Fora dos ciclos",IF(OR(B4232&lt;parametros!$C$2,(YEAR(B4232)-YEAR(parametros!$C$2))*12+MONTH(B4232)-MONTH(parametros!$C$2)&gt;59),"Fora dos ciclos","C"&amp;INT(((YEAR(B4232)-YEAR(parametros!$C$2))*12+MONTH(B4232)-MONTH(parametros!$C$2))/12)))))</f>
        <v/>
      </c>
      <c r="D4232" s="394"/>
      <c r="E4232" s="78" t="str">
        <f>IF(C4232="","",IFERROR(VLOOKUP(C4232,parametros!$A$11:$E$15,5,0),""))</f>
        <v/>
      </c>
      <c r="F4232" s="79" t="str">
        <f t="shared" si="332"/>
        <v/>
      </c>
      <c r="G4232" s="395"/>
      <c r="H4232" s="91">
        <f t="shared" si="333"/>
        <v>0</v>
      </c>
      <c r="I4232" s="91" t="str">
        <f t="shared" si="334"/>
        <v/>
      </c>
      <c r="J4232" s="91" t="str">
        <f t="shared" si="335"/>
        <v/>
      </c>
      <c r="K4232" s="92" t="str">
        <f>IF(AND(A4232="",B4232="",D4232="",G4232=""),"",IF(AND(A4232&lt;&gt;"",COUNTIF($A$2:$A$5001,A4232)&gt;1),"NUMERO_PC duplicado",IF(B4232="","DATA_PC vazia",IF(NOT(ISNUMBER(B4232)),"DATA_PC invalida",IF(OR(C4232="",C4232="Fora dos ciclos"),"CICLO_PC nao identificado",IF(OR(D4232="",D4232=0),"VALOR_PC vazio ou zero",IF(AND(G4232&lt;&gt;"Sim",G4232&lt;&gt;"Nao",G4232&lt;&gt;""),"PC_PAGO_A_CONTRATADA invalido",IF(AND(C4232&lt;&gt;"C0",IFERROR(INDEX(parametros!$A$2:$A$6,MATCH(C4232,parametros!$B$2:$B$6,0)),"")="Sim",IFERROR(INDEX(parametros!$H$2:$H$6,MATCH(C4232,parametros!$B$2:$B$6,0)),"")=""),"INICIO_EFEITO ausente: PC "&amp;A4232&amp;" - "&amp;C4232,IF(L4232="","EFEITO_PC nao calculado: PC "&amp;A4232&amp;" - "&amp;C4232,"OK")))))))))</f>
        <v/>
      </c>
      <c r="L4232" s="92" t="str">
        <f>IF(AND(A4232="",B4232="",D4232="",G4232=""),"",IF(OR(B4232="",NOT(ISNUMBER(B4232)),C4232="",C4232="Fora dos ciclos"),"",IF(C4232="C0","Nao",IF(IFERROR(INDEX(parametros!$A$2:$A$6,MATCH(C4232,parametros!$B$2:$B$6,0)),"")&lt;&gt;"Sim","Nao",IF(IFERROR(INDEX(parametros!$H$2:$H$6,MATCH(C4232,parametros!$B$2:$B$6,0)),"")="","",IF(B4232&gt;=IFERROR(INDEX(parametros!$H$2:$H$6,MATCH(C4232,parametros!$B$2:$B$6,0)),""),"Sim","Nao"))))))</f>
        <v/>
      </c>
      <c r="T4232" s="156"/>
      <c r="U4232" s="214" t="str">
        <f t="shared" si="336"/>
        <v/>
      </c>
      <c r="V4232" s="212" t="s">
        <v>50</v>
      </c>
      <c r="W4232" s="100" t="s">
        <v>168</v>
      </c>
      <c r="X4232" s="100" t="s">
        <v>169</v>
      </c>
      <c r="Y4232" s="101" t="s">
        <v>170</v>
      </c>
      <c r="Z4232" s="101" t="s">
        <v>171</v>
      </c>
      <c r="AA4232" s="101" t="s">
        <v>50</v>
      </c>
      <c r="AB4232" s="101" t="s">
        <v>172</v>
      </c>
      <c r="AC4232" s="102" t="s">
        <v>173</v>
      </c>
    </row>
    <row r="4233" spans="1:29" ht="25.5" customHeight="1" x14ac:dyDescent="0.35">
      <c r="A4233" s="392"/>
      <c r="B4233" s="393"/>
      <c r="C4233" s="99" t="str">
        <f>IF(B4233="","",IF(NOT(ISNUMBER(B4233)),"DATA_PC invalida",IF(NOT(ISNUMBER(parametros!$C$2)),"Fora dos ciclos",IF(OR(B4233&lt;parametros!$C$2,(YEAR(B4233)-YEAR(parametros!$C$2))*12+MONTH(B4233)-MONTH(parametros!$C$2)&gt;59),"Fora dos ciclos","C"&amp;INT(((YEAR(B4233)-YEAR(parametros!$C$2))*12+MONTH(B4233)-MONTH(parametros!$C$2))/12)))))</f>
        <v/>
      </c>
      <c r="D4233" s="394"/>
      <c r="E4233" s="78" t="str">
        <f>IF(C4233="","",IFERROR(VLOOKUP(C4233,parametros!$A$11:$E$15,5,0),""))</f>
        <v/>
      </c>
      <c r="F4233" s="79" t="str">
        <f t="shared" si="332"/>
        <v/>
      </c>
      <c r="G4233" s="395"/>
      <c r="H4233" s="91">
        <f t="shared" si="333"/>
        <v>0</v>
      </c>
      <c r="I4233" s="91" t="str">
        <f t="shared" si="334"/>
        <v/>
      </c>
      <c r="J4233" s="91" t="str">
        <f t="shared" si="335"/>
        <v/>
      </c>
      <c r="K4233" s="92" t="str">
        <f>IF(AND(A4233="",B4233="",D4233="",G4233=""),"",IF(AND(A4233&lt;&gt;"",COUNTIF($A$2:$A$5001,A4233)&gt;1),"NUMERO_PC duplicado",IF(B4233="","DATA_PC vazia",IF(NOT(ISNUMBER(B4233)),"DATA_PC invalida",IF(OR(C4233="",C4233="Fora dos ciclos"),"CICLO_PC nao identificado",IF(OR(D4233="",D4233=0),"VALOR_PC vazio ou zero",IF(AND(G4233&lt;&gt;"Sim",G4233&lt;&gt;"Nao",G4233&lt;&gt;""),"PC_PAGO_A_CONTRATADA invalido",IF(AND(C4233&lt;&gt;"C0",IFERROR(INDEX(parametros!$A$2:$A$6,MATCH(C4233,parametros!$B$2:$B$6,0)),"")="Sim",IFERROR(INDEX(parametros!$H$2:$H$6,MATCH(C4233,parametros!$B$2:$B$6,0)),"")=""),"INICIO_EFEITO ausente: PC "&amp;A4233&amp;" - "&amp;C4233,IF(L4233="","EFEITO_PC nao calculado: PC "&amp;A4233&amp;" - "&amp;C4233,"OK")))))))))</f>
        <v/>
      </c>
      <c r="L4233" s="92" t="str">
        <f>IF(AND(A4233="",B4233="",D4233="",G4233=""),"",IF(OR(B4233="",NOT(ISNUMBER(B4233)),C4233="",C4233="Fora dos ciclos"),"",IF(C4233="C0","Nao",IF(IFERROR(INDEX(parametros!$A$2:$A$6,MATCH(C4233,parametros!$B$2:$B$6,0)),"")&lt;&gt;"Sim","Nao",IF(IFERROR(INDEX(parametros!$H$2:$H$6,MATCH(C4233,parametros!$B$2:$B$6,0)),"")="","",IF(B4233&gt;=IFERROR(INDEX(parametros!$H$2:$H$6,MATCH(C4233,parametros!$B$2:$B$6,0)),""),"Sim","Nao"))))))</f>
        <v/>
      </c>
      <c r="T4233" s="156"/>
      <c r="U4233" s="214" t="str">
        <f t="shared" si="336"/>
        <v/>
      </c>
      <c r="V4233" s="212" t="s">
        <v>50</v>
      </c>
      <c r="W4233" s="100" t="s">
        <v>168</v>
      </c>
      <c r="X4233" s="100" t="s">
        <v>169</v>
      </c>
      <c r="Y4233" s="101" t="s">
        <v>170</v>
      </c>
      <c r="Z4233" s="101" t="s">
        <v>171</v>
      </c>
      <c r="AA4233" s="101" t="s">
        <v>50</v>
      </c>
      <c r="AB4233" s="101" t="s">
        <v>172</v>
      </c>
      <c r="AC4233" s="102" t="s">
        <v>173</v>
      </c>
    </row>
    <row r="4234" spans="1:29" ht="25.5" customHeight="1" x14ac:dyDescent="0.35">
      <c r="A4234" s="392"/>
      <c r="B4234" s="393"/>
      <c r="C4234" s="99" t="str">
        <f>IF(B4234="","",IF(NOT(ISNUMBER(B4234)),"DATA_PC invalida",IF(NOT(ISNUMBER(parametros!$C$2)),"Fora dos ciclos",IF(OR(B4234&lt;parametros!$C$2,(YEAR(B4234)-YEAR(parametros!$C$2))*12+MONTH(B4234)-MONTH(parametros!$C$2)&gt;59),"Fora dos ciclos","C"&amp;INT(((YEAR(B4234)-YEAR(parametros!$C$2))*12+MONTH(B4234)-MONTH(parametros!$C$2))/12)))))</f>
        <v/>
      </c>
      <c r="D4234" s="394"/>
      <c r="E4234" s="78" t="str">
        <f>IF(C4234="","",IFERROR(VLOOKUP(C4234,parametros!$A$11:$E$15,5,0),""))</f>
        <v/>
      </c>
      <c r="F4234" s="79" t="str">
        <f t="shared" si="332"/>
        <v/>
      </c>
      <c r="G4234" s="395"/>
      <c r="H4234" s="91">
        <f t="shared" si="333"/>
        <v>0</v>
      </c>
      <c r="I4234" s="91" t="str">
        <f t="shared" si="334"/>
        <v/>
      </c>
      <c r="J4234" s="91" t="str">
        <f t="shared" si="335"/>
        <v/>
      </c>
      <c r="K4234" s="92" t="str">
        <f>IF(AND(A4234="",B4234="",D4234="",G4234=""),"",IF(AND(A4234&lt;&gt;"",COUNTIF($A$2:$A$5001,A4234)&gt;1),"NUMERO_PC duplicado",IF(B4234="","DATA_PC vazia",IF(NOT(ISNUMBER(B4234)),"DATA_PC invalida",IF(OR(C4234="",C4234="Fora dos ciclos"),"CICLO_PC nao identificado",IF(OR(D4234="",D4234=0),"VALOR_PC vazio ou zero",IF(AND(G4234&lt;&gt;"Sim",G4234&lt;&gt;"Nao",G4234&lt;&gt;""),"PC_PAGO_A_CONTRATADA invalido",IF(AND(C4234&lt;&gt;"C0",IFERROR(INDEX(parametros!$A$2:$A$6,MATCH(C4234,parametros!$B$2:$B$6,0)),"")="Sim",IFERROR(INDEX(parametros!$H$2:$H$6,MATCH(C4234,parametros!$B$2:$B$6,0)),"")=""),"INICIO_EFEITO ausente: PC "&amp;A4234&amp;" - "&amp;C4234,IF(L4234="","EFEITO_PC nao calculado: PC "&amp;A4234&amp;" - "&amp;C4234,"OK")))))))))</f>
        <v/>
      </c>
      <c r="L4234" s="92" t="str">
        <f>IF(AND(A4234="",B4234="",D4234="",G4234=""),"",IF(OR(B4234="",NOT(ISNUMBER(B4234)),C4234="",C4234="Fora dos ciclos"),"",IF(C4234="C0","Nao",IF(IFERROR(INDEX(parametros!$A$2:$A$6,MATCH(C4234,parametros!$B$2:$B$6,0)),"")&lt;&gt;"Sim","Nao",IF(IFERROR(INDEX(parametros!$H$2:$H$6,MATCH(C4234,parametros!$B$2:$B$6,0)),"")="","",IF(B4234&gt;=IFERROR(INDEX(parametros!$H$2:$H$6,MATCH(C4234,parametros!$B$2:$B$6,0)),""),"Sim","Nao"))))))</f>
        <v/>
      </c>
      <c r="T4234" s="156"/>
      <c r="U4234" s="214" t="str">
        <f t="shared" si="336"/>
        <v/>
      </c>
      <c r="V4234" s="212" t="s">
        <v>50</v>
      </c>
      <c r="W4234" s="100" t="s">
        <v>168</v>
      </c>
      <c r="X4234" s="100" t="s">
        <v>169</v>
      </c>
      <c r="Y4234" s="101" t="s">
        <v>170</v>
      </c>
      <c r="Z4234" s="101" t="s">
        <v>171</v>
      </c>
      <c r="AA4234" s="101" t="s">
        <v>50</v>
      </c>
      <c r="AB4234" s="101" t="s">
        <v>172</v>
      </c>
      <c r="AC4234" s="102" t="s">
        <v>173</v>
      </c>
    </row>
    <row r="4235" spans="1:29" ht="25.5" customHeight="1" x14ac:dyDescent="0.35">
      <c r="A4235" s="392"/>
      <c r="B4235" s="393"/>
      <c r="C4235" s="99" t="str">
        <f>IF(B4235="","",IF(NOT(ISNUMBER(B4235)),"DATA_PC invalida",IF(NOT(ISNUMBER(parametros!$C$2)),"Fora dos ciclos",IF(OR(B4235&lt;parametros!$C$2,(YEAR(B4235)-YEAR(parametros!$C$2))*12+MONTH(B4235)-MONTH(parametros!$C$2)&gt;59),"Fora dos ciclos","C"&amp;INT(((YEAR(B4235)-YEAR(parametros!$C$2))*12+MONTH(B4235)-MONTH(parametros!$C$2))/12)))))</f>
        <v/>
      </c>
      <c r="D4235" s="394"/>
      <c r="E4235" s="78" t="str">
        <f>IF(C4235="","",IFERROR(VLOOKUP(C4235,parametros!$A$11:$E$15,5,0),""))</f>
        <v/>
      </c>
      <c r="F4235" s="79" t="str">
        <f t="shared" si="332"/>
        <v/>
      </c>
      <c r="G4235" s="395"/>
      <c r="H4235" s="91">
        <f t="shared" si="333"/>
        <v>0</v>
      </c>
      <c r="I4235" s="91" t="str">
        <f t="shared" si="334"/>
        <v/>
      </c>
      <c r="J4235" s="91" t="str">
        <f t="shared" si="335"/>
        <v/>
      </c>
      <c r="K4235" s="92" t="str">
        <f>IF(AND(A4235="",B4235="",D4235="",G4235=""),"",IF(AND(A4235&lt;&gt;"",COUNTIF($A$2:$A$5001,A4235)&gt;1),"NUMERO_PC duplicado",IF(B4235="","DATA_PC vazia",IF(NOT(ISNUMBER(B4235)),"DATA_PC invalida",IF(OR(C4235="",C4235="Fora dos ciclos"),"CICLO_PC nao identificado",IF(OR(D4235="",D4235=0),"VALOR_PC vazio ou zero",IF(AND(G4235&lt;&gt;"Sim",G4235&lt;&gt;"Nao",G4235&lt;&gt;""),"PC_PAGO_A_CONTRATADA invalido",IF(AND(C4235&lt;&gt;"C0",IFERROR(INDEX(parametros!$A$2:$A$6,MATCH(C4235,parametros!$B$2:$B$6,0)),"")="Sim",IFERROR(INDEX(parametros!$H$2:$H$6,MATCH(C4235,parametros!$B$2:$B$6,0)),"")=""),"INICIO_EFEITO ausente: PC "&amp;A4235&amp;" - "&amp;C4235,IF(L4235="","EFEITO_PC nao calculado: PC "&amp;A4235&amp;" - "&amp;C4235,"OK")))))))))</f>
        <v/>
      </c>
      <c r="L4235" s="92" t="str">
        <f>IF(AND(A4235="",B4235="",D4235="",G4235=""),"",IF(OR(B4235="",NOT(ISNUMBER(B4235)),C4235="",C4235="Fora dos ciclos"),"",IF(C4235="C0","Nao",IF(IFERROR(INDEX(parametros!$A$2:$A$6,MATCH(C4235,parametros!$B$2:$B$6,0)),"")&lt;&gt;"Sim","Nao",IF(IFERROR(INDEX(parametros!$H$2:$H$6,MATCH(C4235,parametros!$B$2:$B$6,0)),"")="","",IF(B4235&gt;=IFERROR(INDEX(parametros!$H$2:$H$6,MATCH(C4235,parametros!$B$2:$B$6,0)),""),"Sim","Nao"))))))</f>
        <v/>
      </c>
      <c r="T4235" s="156"/>
      <c r="U4235" s="214" t="str">
        <f t="shared" si="336"/>
        <v/>
      </c>
      <c r="V4235" s="212" t="s">
        <v>50</v>
      </c>
      <c r="W4235" s="100" t="s">
        <v>168</v>
      </c>
      <c r="X4235" s="100" t="s">
        <v>169</v>
      </c>
      <c r="Y4235" s="101" t="s">
        <v>170</v>
      </c>
      <c r="Z4235" s="101" t="s">
        <v>171</v>
      </c>
      <c r="AA4235" s="101" t="s">
        <v>50</v>
      </c>
      <c r="AB4235" s="101" t="s">
        <v>172</v>
      </c>
      <c r="AC4235" s="102" t="s">
        <v>173</v>
      </c>
    </row>
    <row r="4236" spans="1:29" ht="25.5" customHeight="1" x14ac:dyDescent="0.35">
      <c r="A4236" s="392"/>
      <c r="B4236" s="393"/>
      <c r="C4236" s="99" t="str">
        <f>IF(B4236="","",IF(NOT(ISNUMBER(B4236)),"DATA_PC invalida",IF(NOT(ISNUMBER(parametros!$C$2)),"Fora dos ciclos",IF(OR(B4236&lt;parametros!$C$2,(YEAR(B4236)-YEAR(parametros!$C$2))*12+MONTH(B4236)-MONTH(parametros!$C$2)&gt;59),"Fora dos ciclos","C"&amp;INT(((YEAR(B4236)-YEAR(parametros!$C$2))*12+MONTH(B4236)-MONTH(parametros!$C$2))/12)))))</f>
        <v/>
      </c>
      <c r="D4236" s="394"/>
      <c r="E4236" s="78" t="str">
        <f>IF(C4236="","",IFERROR(VLOOKUP(C4236,parametros!$A$11:$E$15,5,0),""))</f>
        <v/>
      </c>
      <c r="F4236" s="79" t="str">
        <f t="shared" si="332"/>
        <v/>
      </c>
      <c r="G4236" s="395"/>
      <c r="H4236" s="91">
        <f t="shared" si="333"/>
        <v>0</v>
      </c>
      <c r="I4236" s="91" t="str">
        <f t="shared" si="334"/>
        <v/>
      </c>
      <c r="J4236" s="91" t="str">
        <f t="shared" si="335"/>
        <v/>
      </c>
      <c r="K4236" s="92" t="str">
        <f>IF(AND(A4236="",B4236="",D4236="",G4236=""),"",IF(AND(A4236&lt;&gt;"",COUNTIF($A$2:$A$5001,A4236)&gt;1),"NUMERO_PC duplicado",IF(B4236="","DATA_PC vazia",IF(NOT(ISNUMBER(B4236)),"DATA_PC invalida",IF(OR(C4236="",C4236="Fora dos ciclos"),"CICLO_PC nao identificado",IF(OR(D4236="",D4236=0),"VALOR_PC vazio ou zero",IF(AND(G4236&lt;&gt;"Sim",G4236&lt;&gt;"Nao",G4236&lt;&gt;""),"PC_PAGO_A_CONTRATADA invalido",IF(AND(C4236&lt;&gt;"C0",IFERROR(INDEX(parametros!$A$2:$A$6,MATCH(C4236,parametros!$B$2:$B$6,0)),"")="Sim",IFERROR(INDEX(parametros!$H$2:$H$6,MATCH(C4236,parametros!$B$2:$B$6,0)),"")=""),"INICIO_EFEITO ausente: PC "&amp;A4236&amp;" - "&amp;C4236,IF(L4236="","EFEITO_PC nao calculado: PC "&amp;A4236&amp;" - "&amp;C4236,"OK")))))))))</f>
        <v/>
      </c>
      <c r="L4236" s="92" t="str">
        <f>IF(AND(A4236="",B4236="",D4236="",G4236=""),"",IF(OR(B4236="",NOT(ISNUMBER(B4236)),C4236="",C4236="Fora dos ciclos"),"",IF(C4236="C0","Nao",IF(IFERROR(INDEX(parametros!$A$2:$A$6,MATCH(C4236,parametros!$B$2:$B$6,0)),"")&lt;&gt;"Sim","Nao",IF(IFERROR(INDEX(parametros!$H$2:$H$6,MATCH(C4236,parametros!$B$2:$B$6,0)),"")="","",IF(B4236&gt;=IFERROR(INDEX(parametros!$H$2:$H$6,MATCH(C4236,parametros!$B$2:$B$6,0)),""),"Sim","Nao"))))))</f>
        <v/>
      </c>
      <c r="T4236" s="156"/>
      <c r="U4236" s="214" t="str">
        <f t="shared" si="336"/>
        <v/>
      </c>
      <c r="V4236" s="212" t="s">
        <v>50</v>
      </c>
      <c r="W4236" s="100" t="s">
        <v>168</v>
      </c>
      <c r="X4236" s="100" t="s">
        <v>169</v>
      </c>
      <c r="Y4236" s="101" t="s">
        <v>170</v>
      </c>
      <c r="Z4236" s="101" t="s">
        <v>171</v>
      </c>
      <c r="AA4236" s="101" t="s">
        <v>50</v>
      </c>
      <c r="AB4236" s="101" t="s">
        <v>172</v>
      </c>
      <c r="AC4236" s="102" t="s">
        <v>173</v>
      </c>
    </row>
    <row r="4237" spans="1:29" ht="25.5" customHeight="1" x14ac:dyDescent="0.35">
      <c r="A4237" s="392"/>
      <c r="B4237" s="393"/>
      <c r="C4237" s="99" t="str">
        <f>IF(B4237="","",IF(NOT(ISNUMBER(B4237)),"DATA_PC invalida",IF(NOT(ISNUMBER(parametros!$C$2)),"Fora dos ciclos",IF(OR(B4237&lt;parametros!$C$2,(YEAR(B4237)-YEAR(parametros!$C$2))*12+MONTH(B4237)-MONTH(parametros!$C$2)&gt;59),"Fora dos ciclos","C"&amp;INT(((YEAR(B4237)-YEAR(parametros!$C$2))*12+MONTH(B4237)-MONTH(parametros!$C$2))/12)))))</f>
        <v/>
      </c>
      <c r="D4237" s="394"/>
      <c r="E4237" s="78" t="str">
        <f>IF(C4237="","",IFERROR(VLOOKUP(C4237,parametros!$A$11:$E$15,5,0),""))</f>
        <v/>
      </c>
      <c r="F4237" s="79" t="str">
        <f t="shared" si="332"/>
        <v/>
      </c>
      <c r="G4237" s="395"/>
      <c r="H4237" s="91">
        <f t="shared" si="333"/>
        <v>0</v>
      </c>
      <c r="I4237" s="91" t="str">
        <f t="shared" si="334"/>
        <v/>
      </c>
      <c r="J4237" s="91" t="str">
        <f t="shared" si="335"/>
        <v/>
      </c>
      <c r="K4237" s="92" t="str">
        <f>IF(AND(A4237="",B4237="",D4237="",G4237=""),"",IF(AND(A4237&lt;&gt;"",COUNTIF($A$2:$A$5001,A4237)&gt;1),"NUMERO_PC duplicado",IF(B4237="","DATA_PC vazia",IF(NOT(ISNUMBER(B4237)),"DATA_PC invalida",IF(OR(C4237="",C4237="Fora dos ciclos"),"CICLO_PC nao identificado",IF(OR(D4237="",D4237=0),"VALOR_PC vazio ou zero",IF(AND(G4237&lt;&gt;"Sim",G4237&lt;&gt;"Nao",G4237&lt;&gt;""),"PC_PAGO_A_CONTRATADA invalido",IF(AND(C4237&lt;&gt;"C0",IFERROR(INDEX(parametros!$A$2:$A$6,MATCH(C4237,parametros!$B$2:$B$6,0)),"")="Sim",IFERROR(INDEX(parametros!$H$2:$H$6,MATCH(C4237,parametros!$B$2:$B$6,0)),"")=""),"INICIO_EFEITO ausente: PC "&amp;A4237&amp;" - "&amp;C4237,IF(L4237="","EFEITO_PC nao calculado: PC "&amp;A4237&amp;" - "&amp;C4237,"OK")))))))))</f>
        <v/>
      </c>
      <c r="L4237" s="92" t="str">
        <f>IF(AND(A4237="",B4237="",D4237="",G4237=""),"",IF(OR(B4237="",NOT(ISNUMBER(B4237)),C4237="",C4237="Fora dos ciclos"),"",IF(C4237="C0","Nao",IF(IFERROR(INDEX(parametros!$A$2:$A$6,MATCH(C4237,parametros!$B$2:$B$6,0)),"")&lt;&gt;"Sim","Nao",IF(IFERROR(INDEX(parametros!$H$2:$H$6,MATCH(C4237,parametros!$B$2:$B$6,0)),"")="","",IF(B4237&gt;=IFERROR(INDEX(parametros!$H$2:$H$6,MATCH(C4237,parametros!$B$2:$B$6,0)),""),"Sim","Nao"))))))</f>
        <v/>
      </c>
      <c r="T4237" s="156"/>
      <c r="U4237" s="214" t="str">
        <f t="shared" si="336"/>
        <v/>
      </c>
      <c r="V4237" s="212" t="s">
        <v>50</v>
      </c>
      <c r="W4237" s="100" t="s">
        <v>168</v>
      </c>
      <c r="X4237" s="100" t="s">
        <v>169</v>
      </c>
      <c r="Y4237" s="101" t="s">
        <v>170</v>
      </c>
      <c r="Z4237" s="101" t="s">
        <v>171</v>
      </c>
      <c r="AA4237" s="101" t="s">
        <v>50</v>
      </c>
      <c r="AB4237" s="101" t="s">
        <v>172</v>
      </c>
      <c r="AC4237" s="102" t="s">
        <v>173</v>
      </c>
    </row>
    <row r="4238" spans="1:29" ht="25.5" customHeight="1" x14ac:dyDescent="0.35">
      <c r="A4238" s="392"/>
      <c r="B4238" s="393"/>
      <c r="C4238" s="99" t="str">
        <f>IF(B4238="","",IF(NOT(ISNUMBER(B4238)),"DATA_PC invalida",IF(NOT(ISNUMBER(parametros!$C$2)),"Fora dos ciclos",IF(OR(B4238&lt;parametros!$C$2,(YEAR(B4238)-YEAR(parametros!$C$2))*12+MONTH(B4238)-MONTH(parametros!$C$2)&gt;59),"Fora dos ciclos","C"&amp;INT(((YEAR(B4238)-YEAR(parametros!$C$2))*12+MONTH(B4238)-MONTH(parametros!$C$2))/12)))))</f>
        <v/>
      </c>
      <c r="D4238" s="394"/>
      <c r="E4238" s="78" t="str">
        <f>IF(C4238="","",IFERROR(VLOOKUP(C4238,parametros!$A$11:$E$15,5,0),""))</f>
        <v/>
      </c>
      <c r="F4238" s="79" t="str">
        <f t="shared" si="332"/>
        <v/>
      </c>
      <c r="G4238" s="395"/>
      <c r="H4238" s="91">
        <f t="shared" si="333"/>
        <v>0</v>
      </c>
      <c r="I4238" s="91" t="str">
        <f t="shared" si="334"/>
        <v/>
      </c>
      <c r="J4238" s="91" t="str">
        <f t="shared" si="335"/>
        <v/>
      </c>
      <c r="K4238" s="92" t="str">
        <f>IF(AND(A4238="",B4238="",D4238="",G4238=""),"",IF(AND(A4238&lt;&gt;"",COUNTIF($A$2:$A$5001,A4238)&gt;1),"NUMERO_PC duplicado",IF(B4238="","DATA_PC vazia",IF(NOT(ISNUMBER(B4238)),"DATA_PC invalida",IF(OR(C4238="",C4238="Fora dos ciclos"),"CICLO_PC nao identificado",IF(OR(D4238="",D4238=0),"VALOR_PC vazio ou zero",IF(AND(G4238&lt;&gt;"Sim",G4238&lt;&gt;"Nao",G4238&lt;&gt;""),"PC_PAGO_A_CONTRATADA invalido",IF(AND(C4238&lt;&gt;"C0",IFERROR(INDEX(parametros!$A$2:$A$6,MATCH(C4238,parametros!$B$2:$B$6,0)),"")="Sim",IFERROR(INDEX(parametros!$H$2:$H$6,MATCH(C4238,parametros!$B$2:$B$6,0)),"")=""),"INICIO_EFEITO ausente: PC "&amp;A4238&amp;" - "&amp;C4238,IF(L4238="","EFEITO_PC nao calculado: PC "&amp;A4238&amp;" - "&amp;C4238,"OK")))))))))</f>
        <v/>
      </c>
      <c r="L4238" s="92" t="str">
        <f>IF(AND(A4238="",B4238="",D4238="",G4238=""),"",IF(OR(B4238="",NOT(ISNUMBER(B4238)),C4238="",C4238="Fora dos ciclos"),"",IF(C4238="C0","Nao",IF(IFERROR(INDEX(parametros!$A$2:$A$6,MATCH(C4238,parametros!$B$2:$B$6,0)),"")&lt;&gt;"Sim","Nao",IF(IFERROR(INDEX(parametros!$H$2:$H$6,MATCH(C4238,parametros!$B$2:$B$6,0)),"")="","",IF(B4238&gt;=IFERROR(INDEX(parametros!$H$2:$H$6,MATCH(C4238,parametros!$B$2:$B$6,0)),""),"Sim","Nao"))))))</f>
        <v/>
      </c>
      <c r="T4238" s="156"/>
      <c r="U4238" s="214" t="str">
        <f t="shared" si="336"/>
        <v/>
      </c>
      <c r="V4238" s="212" t="s">
        <v>50</v>
      </c>
      <c r="W4238" s="100" t="s">
        <v>168</v>
      </c>
      <c r="X4238" s="100" t="s">
        <v>169</v>
      </c>
      <c r="Y4238" s="101" t="s">
        <v>170</v>
      </c>
      <c r="Z4238" s="101" t="s">
        <v>171</v>
      </c>
      <c r="AA4238" s="101" t="s">
        <v>50</v>
      </c>
      <c r="AB4238" s="101" t="s">
        <v>172</v>
      </c>
      <c r="AC4238" s="102" t="s">
        <v>173</v>
      </c>
    </row>
    <row r="4239" spans="1:29" ht="25.5" customHeight="1" x14ac:dyDescent="0.35">
      <c r="A4239" s="392"/>
      <c r="B4239" s="393"/>
      <c r="C4239" s="99" t="str">
        <f>IF(B4239="","",IF(NOT(ISNUMBER(B4239)),"DATA_PC invalida",IF(NOT(ISNUMBER(parametros!$C$2)),"Fora dos ciclos",IF(OR(B4239&lt;parametros!$C$2,(YEAR(B4239)-YEAR(parametros!$C$2))*12+MONTH(B4239)-MONTH(parametros!$C$2)&gt;59),"Fora dos ciclos","C"&amp;INT(((YEAR(B4239)-YEAR(parametros!$C$2))*12+MONTH(B4239)-MONTH(parametros!$C$2))/12)))))</f>
        <v/>
      </c>
      <c r="D4239" s="394"/>
      <c r="E4239" s="78" t="str">
        <f>IF(C4239="","",IFERROR(VLOOKUP(C4239,parametros!$A$11:$E$15,5,0),""))</f>
        <v/>
      </c>
      <c r="F4239" s="79" t="str">
        <f t="shared" si="332"/>
        <v/>
      </c>
      <c r="G4239" s="395"/>
      <c r="H4239" s="91">
        <f t="shared" si="333"/>
        <v>0</v>
      </c>
      <c r="I4239" s="91" t="str">
        <f t="shared" si="334"/>
        <v/>
      </c>
      <c r="J4239" s="91" t="str">
        <f t="shared" si="335"/>
        <v/>
      </c>
      <c r="K4239" s="92" t="str">
        <f>IF(AND(A4239="",B4239="",D4239="",G4239=""),"",IF(AND(A4239&lt;&gt;"",COUNTIF($A$2:$A$5001,A4239)&gt;1),"NUMERO_PC duplicado",IF(B4239="","DATA_PC vazia",IF(NOT(ISNUMBER(B4239)),"DATA_PC invalida",IF(OR(C4239="",C4239="Fora dos ciclos"),"CICLO_PC nao identificado",IF(OR(D4239="",D4239=0),"VALOR_PC vazio ou zero",IF(AND(G4239&lt;&gt;"Sim",G4239&lt;&gt;"Nao",G4239&lt;&gt;""),"PC_PAGO_A_CONTRATADA invalido",IF(AND(C4239&lt;&gt;"C0",IFERROR(INDEX(parametros!$A$2:$A$6,MATCH(C4239,parametros!$B$2:$B$6,0)),"")="Sim",IFERROR(INDEX(parametros!$H$2:$H$6,MATCH(C4239,parametros!$B$2:$B$6,0)),"")=""),"INICIO_EFEITO ausente: PC "&amp;A4239&amp;" - "&amp;C4239,IF(L4239="","EFEITO_PC nao calculado: PC "&amp;A4239&amp;" - "&amp;C4239,"OK")))))))))</f>
        <v/>
      </c>
      <c r="L4239" s="92" t="str">
        <f>IF(AND(A4239="",B4239="",D4239="",G4239=""),"",IF(OR(B4239="",NOT(ISNUMBER(B4239)),C4239="",C4239="Fora dos ciclos"),"",IF(C4239="C0","Nao",IF(IFERROR(INDEX(parametros!$A$2:$A$6,MATCH(C4239,parametros!$B$2:$B$6,0)),"")&lt;&gt;"Sim","Nao",IF(IFERROR(INDEX(parametros!$H$2:$H$6,MATCH(C4239,parametros!$B$2:$B$6,0)),"")="","",IF(B4239&gt;=IFERROR(INDEX(parametros!$H$2:$H$6,MATCH(C4239,parametros!$B$2:$B$6,0)),""),"Sim","Nao"))))))</f>
        <v/>
      </c>
      <c r="T4239" s="156"/>
      <c r="U4239" s="214" t="str">
        <f t="shared" si="336"/>
        <v/>
      </c>
      <c r="V4239" s="212" t="s">
        <v>50</v>
      </c>
      <c r="W4239" s="100" t="s">
        <v>168</v>
      </c>
      <c r="X4239" s="100" t="s">
        <v>169</v>
      </c>
      <c r="Y4239" s="101" t="s">
        <v>170</v>
      </c>
      <c r="Z4239" s="101" t="s">
        <v>171</v>
      </c>
      <c r="AA4239" s="101" t="s">
        <v>50</v>
      </c>
      <c r="AB4239" s="101" t="s">
        <v>172</v>
      </c>
      <c r="AC4239" s="102" t="s">
        <v>173</v>
      </c>
    </row>
    <row r="4240" spans="1:29" ht="25.5" customHeight="1" x14ac:dyDescent="0.35">
      <c r="A4240" s="392"/>
      <c r="B4240" s="393"/>
      <c r="C4240" s="99" t="str">
        <f>IF(B4240="","",IF(NOT(ISNUMBER(B4240)),"DATA_PC invalida",IF(NOT(ISNUMBER(parametros!$C$2)),"Fora dos ciclos",IF(OR(B4240&lt;parametros!$C$2,(YEAR(B4240)-YEAR(parametros!$C$2))*12+MONTH(B4240)-MONTH(parametros!$C$2)&gt;59),"Fora dos ciclos","C"&amp;INT(((YEAR(B4240)-YEAR(parametros!$C$2))*12+MONTH(B4240)-MONTH(parametros!$C$2))/12)))))</f>
        <v/>
      </c>
      <c r="D4240" s="394"/>
      <c r="E4240" s="78" t="str">
        <f>IF(C4240="","",IFERROR(VLOOKUP(C4240,parametros!$A$11:$E$15,5,0),""))</f>
        <v/>
      </c>
      <c r="F4240" s="79" t="str">
        <f t="shared" si="332"/>
        <v/>
      </c>
      <c r="G4240" s="395"/>
      <c r="H4240" s="91">
        <f t="shared" si="333"/>
        <v>0</v>
      </c>
      <c r="I4240" s="91" t="str">
        <f t="shared" si="334"/>
        <v/>
      </c>
      <c r="J4240" s="91" t="str">
        <f t="shared" si="335"/>
        <v/>
      </c>
      <c r="K4240" s="92" t="str">
        <f>IF(AND(A4240="",B4240="",D4240="",G4240=""),"",IF(AND(A4240&lt;&gt;"",COUNTIF($A$2:$A$5001,A4240)&gt;1),"NUMERO_PC duplicado",IF(B4240="","DATA_PC vazia",IF(NOT(ISNUMBER(B4240)),"DATA_PC invalida",IF(OR(C4240="",C4240="Fora dos ciclos"),"CICLO_PC nao identificado",IF(OR(D4240="",D4240=0),"VALOR_PC vazio ou zero",IF(AND(G4240&lt;&gt;"Sim",G4240&lt;&gt;"Nao",G4240&lt;&gt;""),"PC_PAGO_A_CONTRATADA invalido",IF(AND(C4240&lt;&gt;"C0",IFERROR(INDEX(parametros!$A$2:$A$6,MATCH(C4240,parametros!$B$2:$B$6,0)),"")="Sim",IFERROR(INDEX(parametros!$H$2:$H$6,MATCH(C4240,parametros!$B$2:$B$6,0)),"")=""),"INICIO_EFEITO ausente: PC "&amp;A4240&amp;" - "&amp;C4240,IF(L4240="","EFEITO_PC nao calculado: PC "&amp;A4240&amp;" - "&amp;C4240,"OK")))))))))</f>
        <v/>
      </c>
      <c r="L4240" s="92" t="str">
        <f>IF(AND(A4240="",B4240="",D4240="",G4240=""),"",IF(OR(B4240="",NOT(ISNUMBER(B4240)),C4240="",C4240="Fora dos ciclos"),"",IF(C4240="C0","Nao",IF(IFERROR(INDEX(parametros!$A$2:$A$6,MATCH(C4240,parametros!$B$2:$B$6,0)),"")&lt;&gt;"Sim","Nao",IF(IFERROR(INDEX(parametros!$H$2:$H$6,MATCH(C4240,parametros!$B$2:$B$6,0)),"")="","",IF(B4240&gt;=IFERROR(INDEX(parametros!$H$2:$H$6,MATCH(C4240,parametros!$B$2:$B$6,0)),""),"Sim","Nao"))))))</f>
        <v/>
      </c>
      <c r="T4240" s="156"/>
      <c r="U4240" s="214" t="str">
        <f t="shared" si="336"/>
        <v/>
      </c>
      <c r="V4240" s="212" t="s">
        <v>50</v>
      </c>
      <c r="W4240" s="100" t="s">
        <v>168</v>
      </c>
      <c r="X4240" s="100" t="s">
        <v>169</v>
      </c>
      <c r="Y4240" s="101" t="s">
        <v>170</v>
      </c>
      <c r="Z4240" s="101" t="s">
        <v>171</v>
      </c>
      <c r="AA4240" s="101" t="s">
        <v>50</v>
      </c>
      <c r="AB4240" s="101" t="s">
        <v>172</v>
      </c>
      <c r="AC4240" s="102" t="s">
        <v>173</v>
      </c>
    </row>
    <row r="4241" spans="1:29" ht="25.5" customHeight="1" x14ac:dyDescent="0.35">
      <c r="A4241" s="392"/>
      <c r="B4241" s="393"/>
      <c r="C4241" s="99" t="str">
        <f>IF(B4241="","",IF(NOT(ISNUMBER(B4241)),"DATA_PC invalida",IF(NOT(ISNUMBER(parametros!$C$2)),"Fora dos ciclos",IF(OR(B4241&lt;parametros!$C$2,(YEAR(B4241)-YEAR(parametros!$C$2))*12+MONTH(B4241)-MONTH(parametros!$C$2)&gt;59),"Fora dos ciclos","C"&amp;INT(((YEAR(B4241)-YEAR(parametros!$C$2))*12+MONTH(B4241)-MONTH(parametros!$C$2))/12)))))</f>
        <v/>
      </c>
      <c r="D4241" s="394"/>
      <c r="E4241" s="78" t="str">
        <f>IF(C4241="","",IFERROR(VLOOKUP(C4241,parametros!$A$11:$E$15,5,0),""))</f>
        <v/>
      </c>
      <c r="F4241" s="79" t="str">
        <f t="shared" si="332"/>
        <v/>
      </c>
      <c r="G4241" s="395"/>
      <c r="H4241" s="91">
        <f t="shared" si="333"/>
        <v>0</v>
      </c>
      <c r="I4241" s="91" t="str">
        <f t="shared" si="334"/>
        <v/>
      </c>
      <c r="J4241" s="91" t="str">
        <f t="shared" si="335"/>
        <v/>
      </c>
      <c r="K4241" s="92" t="str">
        <f>IF(AND(A4241="",B4241="",D4241="",G4241=""),"",IF(AND(A4241&lt;&gt;"",COUNTIF($A$2:$A$5001,A4241)&gt;1),"NUMERO_PC duplicado",IF(B4241="","DATA_PC vazia",IF(NOT(ISNUMBER(B4241)),"DATA_PC invalida",IF(OR(C4241="",C4241="Fora dos ciclos"),"CICLO_PC nao identificado",IF(OR(D4241="",D4241=0),"VALOR_PC vazio ou zero",IF(AND(G4241&lt;&gt;"Sim",G4241&lt;&gt;"Nao",G4241&lt;&gt;""),"PC_PAGO_A_CONTRATADA invalido",IF(AND(C4241&lt;&gt;"C0",IFERROR(INDEX(parametros!$A$2:$A$6,MATCH(C4241,parametros!$B$2:$B$6,0)),"")="Sim",IFERROR(INDEX(parametros!$H$2:$H$6,MATCH(C4241,parametros!$B$2:$B$6,0)),"")=""),"INICIO_EFEITO ausente: PC "&amp;A4241&amp;" - "&amp;C4241,IF(L4241="","EFEITO_PC nao calculado: PC "&amp;A4241&amp;" - "&amp;C4241,"OK")))))))))</f>
        <v/>
      </c>
      <c r="L4241" s="92" t="str">
        <f>IF(AND(A4241="",B4241="",D4241="",G4241=""),"",IF(OR(B4241="",NOT(ISNUMBER(B4241)),C4241="",C4241="Fora dos ciclos"),"",IF(C4241="C0","Nao",IF(IFERROR(INDEX(parametros!$A$2:$A$6,MATCH(C4241,parametros!$B$2:$B$6,0)),"")&lt;&gt;"Sim","Nao",IF(IFERROR(INDEX(parametros!$H$2:$H$6,MATCH(C4241,parametros!$B$2:$B$6,0)),"")="","",IF(B4241&gt;=IFERROR(INDEX(parametros!$H$2:$H$6,MATCH(C4241,parametros!$B$2:$B$6,0)),""),"Sim","Nao"))))))</f>
        <v/>
      </c>
      <c r="T4241" s="156"/>
      <c r="U4241" s="214" t="str">
        <f t="shared" si="336"/>
        <v/>
      </c>
      <c r="V4241" s="212" t="s">
        <v>50</v>
      </c>
      <c r="W4241" s="100" t="s">
        <v>168</v>
      </c>
      <c r="X4241" s="100" t="s">
        <v>169</v>
      </c>
      <c r="Y4241" s="101" t="s">
        <v>170</v>
      </c>
      <c r="Z4241" s="101" t="s">
        <v>171</v>
      </c>
      <c r="AA4241" s="101" t="s">
        <v>50</v>
      </c>
      <c r="AB4241" s="101" t="s">
        <v>172</v>
      </c>
      <c r="AC4241" s="102" t="s">
        <v>173</v>
      </c>
    </row>
    <row r="4242" spans="1:29" ht="25.5" customHeight="1" x14ac:dyDescent="0.35">
      <c r="A4242" s="392"/>
      <c r="B4242" s="393"/>
      <c r="C4242" s="99" t="str">
        <f>IF(B4242="","",IF(NOT(ISNUMBER(B4242)),"DATA_PC invalida",IF(NOT(ISNUMBER(parametros!$C$2)),"Fora dos ciclos",IF(OR(B4242&lt;parametros!$C$2,(YEAR(B4242)-YEAR(parametros!$C$2))*12+MONTH(B4242)-MONTH(parametros!$C$2)&gt;59),"Fora dos ciclos","C"&amp;INT(((YEAR(B4242)-YEAR(parametros!$C$2))*12+MONTH(B4242)-MONTH(parametros!$C$2))/12)))))</f>
        <v/>
      </c>
      <c r="D4242" s="394"/>
      <c r="E4242" s="78" t="str">
        <f>IF(C4242="","",IFERROR(VLOOKUP(C4242,parametros!$A$11:$E$15,5,0),""))</f>
        <v/>
      </c>
      <c r="F4242" s="79" t="str">
        <f t="shared" si="332"/>
        <v/>
      </c>
      <c r="G4242" s="395"/>
      <c r="H4242" s="91">
        <f t="shared" si="333"/>
        <v>0</v>
      </c>
      <c r="I4242" s="91" t="str">
        <f t="shared" si="334"/>
        <v/>
      </c>
      <c r="J4242" s="91" t="str">
        <f t="shared" si="335"/>
        <v/>
      </c>
      <c r="K4242" s="92" t="str">
        <f>IF(AND(A4242="",B4242="",D4242="",G4242=""),"",IF(AND(A4242&lt;&gt;"",COUNTIF($A$2:$A$5001,A4242)&gt;1),"NUMERO_PC duplicado",IF(B4242="","DATA_PC vazia",IF(NOT(ISNUMBER(B4242)),"DATA_PC invalida",IF(OR(C4242="",C4242="Fora dos ciclos"),"CICLO_PC nao identificado",IF(OR(D4242="",D4242=0),"VALOR_PC vazio ou zero",IF(AND(G4242&lt;&gt;"Sim",G4242&lt;&gt;"Nao",G4242&lt;&gt;""),"PC_PAGO_A_CONTRATADA invalido",IF(AND(C4242&lt;&gt;"C0",IFERROR(INDEX(parametros!$A$2:$A$6,MATCH(C4242,parametros!$B$2:$B$6,0)),"")="Sim",IFERROR(INDEX(parametros!$H$2:$H$6,MATCH(C4242,parametros!$B$2:$B$6,0)),"")=""),"INICIO_EFEITO ausente: PC "&amp;A4242&amp;" - "&amp;C4242,IF(L4242="","EFEITO_PC nao calculado: PC "&amp;A4242&amp;" - "&amp;C4242,"OK")))))))))</f>
        <v/>
      </c>
      <c r="L4242" s="92" t="str">
        <f>IF(AND(A4242="",B4242="",D4242="",G4242=""),"",IF(OR(B4242="",NOT(ISNUMBER(B4242)),C4242="",C4242="Fora dos ciclos"),"",IF(C4242="C0","Nao",IF(IFERROR(INDEX(parametros!$A$2:$A$6,MATCH(C4242,parametros!$B$2:$B$6,0)),"")&lt;&gt;"Sim","Nao",IF(IFERROR(INDEX(parametros!$H$2:$H$6,MATCH(C4242,parametros!$B$2:$B$6,0)),"")="","",IF(B4242&gt;=IFERROR(INDEX(parametros!$H$2:$H$6,MATCH(C4242,parametros!$B$2:$B$6,0)),""),"Sim","Nao"))))))</f>
        <v/>
      </c>
      <c r="T4242" s="156"/>
      <c r="U4242" s="214" t="str">
        <f t="shared" si="336"/>
        <v/>
      </c>
      <c r="V4242" s="212" t="s">
        <v>50</v>
      </c>
      <c r="W4242" s="100" t="s">
        <v>168</v>
      </c>
      <c r="X4242" s="100" t="s">
        <v>169</v>
      </c>
      <c r="Y4242" s="101" t="s">
        <v>170</v>
      </c>
      <c r="Z4242" s="101" t="s">
        <v>171</v>
      </c>
      <c r="AA4242" s="101" t="s">
        <v>50</v>
      </c>
      <c r="AB4242" s="101" t="s">
        <v>172</v>
      </c>
      <c r="AC4242" s="102" t="s">
        <v>173</v>
      </c>
    </row>
    <row r="4243" spans="1:29" ht="25.5" customHeight="1" x14ac:dyDescent="0.35">
      <c r="A4243" s="392"/>
      <c r="B4243" s="393"/>
      <c r="C4243" s="99" t="str">
        <f>IF(B4243="","",IF(NOT(ISNUMBER(B4243)),"DATA_PC invalida",IF(NOT(ISNUMBER(parametros!$C$2)),"Fora dos ciclos",IF(OR(B4243&lt;parametros!$C$2,(YEAR(B4243)-YEAR(parametros!$C$2))*12+MONTH(B4243)-MONTH(parametros!$C$2)&gt;59),"Fora dos ciclos","C"&amp;INT(((YEAR(B4243)-YEAR(parametros!$C$2))*12+MONTH(B4243)-MONTH(parametros!$C$2))/12)))))</f>
        <v/>
      </c>
      <c r="D4243" s="394"/>
      <c r="E4243" s="78" t="str">
        <f>IF(C4243="","",IFERROR(VLOOKUP(C4243,parametros!$A$11:$E$15,5,0),""))</f>
        <v/>
      </c>
      <c r="F4243" s="79" t="str">
        <f t="shared" si="332"/>
        <v/>
      </c>
      <c r="G4243" s="395"/>
      <c r="H4243" s="91">
        <f t="shared" si="333"/>
        <v>0</v>
      </c>
      <c r="I4243" s="91" t="str">
        <f t="shared" si="334"/>
        <v/>
      </c>
      <c r="J4243" s="91" t="str">
        <f t="shared" si="335"/>
        <v/>
      </c>
      <c r="K4243" s="92" t="str">
        <f>IF(AND(A4243="",B4243="",D4243="",G4243=""),"",IF(AND(A4243&lt;&gt;"",COUNTIF($A$2:$A$5001,A4243)&gt;1),"NUMERO_PC duplicado",IF(B4243="","DATA_PC vazia",IF(NOT(ISNUMBER(B4243)),"DATA_PC invalida",IF(OR(C4243="",C4243="Fora dos ciclos"),"CICLO_PC nao identificado",IF(OR(D4243="",D4243=0),"VALOR_PC vazio ou zero",IF(AND(G4243&lt;&gt;"Sim",G4243&lt;&gt;"Nao",G4243&lt;&gt;""),"PC_PAGO_A_CONTRATADA invalido",IF(AND(C4243&lt;&gt;"C0",IFERROR(INDEX(parametros!$A$2:$A$6,MATCH(C4243,parametros!$B$2:$B$6,0)),"")="Sim",IFERROR(INDEX(parametros!$H$2:$H$6,MATCH(C4243,parametros!$B$2:$B$6,0)),"")=""),"INICIO_EFEITO ausente: PC "&amp;A4243&amp;" - "&amp;C4243,IF(L4243="","EFEITO_PC nao calculado: PC "&amp;A4243&amp;" - "&amp;C4243,"OK")))))))))</f>
        <v/>
      </c>
      <c r="L4243" s="92" t="str">
        <f>IF(AND(A4243="",B4243="",D4243="",G4243=""),"",IF(OR(B4243="",NOT(ISNUMBER(B4243)),C4243="",C4243="Fora dos ciclos"),"",IF(C4243="C0","Nao",IF(IFERROR(INDEX(parametros!$A$2:$A$6,MATCH(C4243,parametros!$B$2:$B$6,0)),"")&lt;&gt;"Sim","Nao",IF(IFERROR(INDEX(parametros!$H$2:$H$6,MATCH(C4243,parametros!$B$2:$B$6,0)),"")="","",IF(B4243&gt;=IFERROR(INDEX(parametros!$H$2:$H$6,MATCH(C4243,parametros!$B$2:$B$6,0)),""),"Sim","Nao"))))))</f>
        <v/>
      </c>
      <c r="T4243" s="156"/>
      <c r="U4243" s="214" t="str">
        <f t="shared" si="336"/>
        <v/>
      </c>
      <c r="V4243" s="212" t="s">
        <v>50</v>
      </c>
      <c r="W4243" s="100" t="s">
        <v>168</v>
      </c>
      <c r="X4243" s="100" t="s">
        <v>169</v>
      </c>
      <c r="Y4243" s="101" t="s">
        <v>170</v>
      </c>
      <c r="Z4243" s="101" t="s">
        <v>171</v>
      </c>
      <c r="AA4243" s="101" t="s">
        <v>50</v>
      </c>
      <c r="AB4243" s="101" t="s">
        <v>172</v>
      </c>
      <c r="AC4243" s="102" t="s">
        <v>173</v>
      </c>
    </row>
    <row r="4244" spans="1:29" ht="25.5" customHeight="1" x14ac:dyDescent="0.35">
      <c r="A4244" s="392"/>
      <c r="B4244" s="393"/>
      <c r="C4244" s="99" t="str">
        <f>IF(B4244="","",IF(NOT(ISNUMBER(B4244)),"DATA_PC invalida",IF(NOT(ISNUMBER(parametros!$C$2)),"Fora dos ciclos",IF(OR(B4244&lt;parametros!$C$2,(YEAR(B4244)-YEAR(parametros!$C$2))*12+MONTH(B4244)-MONTH(parametros!$C$2)&gt;59),"Fora dos ciclos","C"&amp;INT(((YEAR(B4244)-YEAR(parametros!$C$2))*12+MONTH(B4244)-MONTH(parametros!$C$2))/12)))))</f>
        <v/>
      </c>
      <c r="D4244" s="394"/>
      <c r="E4244" s="78" t="str">
        <f>IF(C4244="","",IFERROR(VLOOKUP(C4244,parametros!$A$11:$E$15,5,0),""))</f>
        <v/>
      </c>
      <c r="F4244" s="79" t="str">
        <f t="shared" si="332"/>
        <v/>
      </c>
      <c r="G4244" s="395"/>
      <c r="H4244" s="91">
        <f t="shared" si="333"/>
        <v>0</v>
      </c>
      <c r="I4244" s="91" t="str">
        <f t="shared" si="334"/>
        <v/>
      </c>
      <c r="J4244" s="91" t="str">
        <f t="shared" si="335"/>
        <v/>
      </c>
      <c r="K4244" s="92" t="str">
        <f>IF(AND(A4244="",B4244="",D4244="",G4244=""),"",IF(AND(A4244&lt;&gt;"",COUNTIF($A$2:$A$5001,A4244)&gt;1),"NUMERO_PC duplicado",IF(B4244="","DATA_PC vazia",IF(NOT(ISNUMBER(B4244)),"DATA_PC invalida",IF(OR(C4244="",C4244="Fora dos ciclos"),"CICLO_PC nao identificado",IF(OR(D4244="",D4244=0),"VALOR_PC vazio ou zero",IF(AND(G4244&lt;&gt;"Sim",G4244&lt;&gt;"Nao",G4244&lt;&gt;""),"PC_PAGO_A_CONTRATADA invalido",IF(AND(C4244&lt;&gt;"C0",IFERROR(INDEX(parametros!$A$2:$A$6,MATCH(C4244,parametros!$B$2:$B$6,0)),"")="Sim",IFERROR(INDEX(parametros!$H$2:$H$6,MATCH(C4244,parametros!$B$2:$B$6,0)),"")=""),"INICIO_EFEITO ausente: PC "&amp;A4244&amp;" - "&amp;C4244,IF(L4244="","EFEITO_PC nao calculado: PC "&amp;A4244&amp;" - "&amp;C4244,"OK")))))))))</f>
        <v/>
      </c>
      <c r="L4244" s="92" t="str">
        <f>IF(AND(A4244="",B4244="",D4244="",G4244=""),"",IF(OR(B4244="",NOT(ISNUMBER(B4244)),C4244="",C4244="Fora dos ciclos"),"",IF(C4244="C0","Nao",IF(IFERROR(INDEX(parametros!$A$2:$A$6,MATCH(C4244,parametros!$B$2:$B$6,0)),"")&lt;&gt;"Sim","Nao",IF(IFERROR(INDEX(parametros!$H$2:$H$6,MATCH(C4244,parametros!$B$2:$B$6,0)),"")="","",IF(B4244&gt;=IFERROR(INDEX(parametros!$H$2:$H$6,MATCH(C4244,parametros!$B$2:$B$6,0)),""),"Sim","Nao"))))))</f>
        <v/>
      </c>
      <c r="T4244" s="156"/>
      <c r="U4244" s="214" t="str">
        <f t="shared" si="336"/>
        <v/>
      </c>
      <c r="V4244" s="212" t="s">
        <v>50</v>
      </c>
      <c r="W4244" s="100" t="s">
        <v>168</v>
      </c>
      <c r="X4244" s="100" t="s">
        <v>169</v>
      </c>
      <c r="Y4244" s="101" t="s">
        <v>170</v>
      </c>
      <c r="Z4244" s="101" t="s">
        <v>171</v>
      </c>
      <c r="AA4244" s="101" t="s">
        <v>50</v>
      </c>
      <c r="AB4244" s="101" t="s">
        <v>172</v>
      </c>
      <c r="AC4244" s="102" t="s">
        <v>173</v>
      </c>
    </row>
    <row r="4245" spans="1:29" ht="25.5" customHeight="1" x14ac:dyDescent="0.35">
      <c r="A4245" s="392"/>
      <c r="B4245" s="393"/>
      <c r="C4245" s="99" t="str">
        <f>IF(B4245="","",IF(NOT(ISNUMBER(B4245)),"DATA_PC invalida",IF(NOT(ISNUMBER(parametros!$C$2)),"Fora dos ciclos",IF(OR(B4245&lt;parametros!$C$2,(YEAR(B4245)-YEAR(parametros!$C$2))*12+MONTH(B4245)-MONTH(parametros!$C$2)&gt;59),"Fora dos ciclos","C"&amp;INT(((YEAR(B4245)-YEAR(parametros!$C$2))*12+MONTH(B4245)-MONTH(parametros!$C$2))/12)))))</f>
        <v/>
      </c>
      <c r="D4245" s="394"/>
      <c r="E4245" s="78" t="str">
        <f>IF(C4245="","",IFERROR(VLOOKUP(C4245,parametros!$A$11:$E$15,5,0),""))</f>
        <v/>
      </c>
      <c r="F4245" s="79" t="str">
        <f t="shared" si="332"/>
        <v/>
      </c>
      <c r="G4245" s="395"/>
      <c r="H4245" s="91">
        <f t="shared" si="333"/>
        <v>0</v>
      </c>
      <c r="I4245" s="91" t="str">
        <f t="shared" si="334"/>
        <v/>
      </c>
      <c r="J4245" s="91" t="str">
        <f t="shared" si="335"/>
        <v/>
      </c>
      <c r="K4245" s="92" t="str">
        <f>IF(AND(A4245="",B4245="",D4245="",G4245=""),"",IF(AND(A4245&lt;&gt;"",COUNTIF($A$2:$A$5001,A4245)&gt;1),"NUMERO_PC duplicado",IF(B4245="","DATA_PC vazia",IF(NOT(ISNUMBER(B4245)),"DATA_PC invalida",IF(OR(C4245="",C4245="Fora dos ciclos"),"CICLO_PC nao identificado",IF(OR(D4245="",D4245=0),"VALOR_PC vazio ou zero",IF(AND(G4245&lt;&gt;"Sim",G4245&lt;&gt;"Nao",G4245&lt;&gt;""),"PC_PAGO_A_CONTRATADA invalido",IF(AND(C4245&lt;&gt;"C0",IFERROR(INDEX(parametros!$A$2:$A$6,MATCH(C4245,parametros!$B$2:$B$6,0)),"")="Sim",IFERROR(INDEX(parametros!$H$2:$H$6,MATCH(C4245,parametros!$B$2:$B$6,0)),"")=""),"INICIO_EFEITO ausente: PC "&amp;A4245&amp;" - "&amp;C4245,IF(L4245="","EFEITO_PC nao calculado: PC "&amp;A4245&amp;" - "&amp;C4245,"OK")))))))))</f>
        <v/>
      </c>
      <c r="L4245" s="92" t="str">
        <f>IF(AND(A4245="",B4245="",D4245="",G4245=""),"",IF(OR(B4245="",NOT(ISNUMBER(B4245)),C4245="",C4245="Fora dos ciclos"),"",IF(C4245="C0","Nao",IF(IFERROR(INDEX(parametros!$A$2:$A$6,MATCH(C4245,parametros!$B$2:$B$6,0)),"")&lt;&gt;"Sim","Nao",IF(IFERROR(INDEX(parametros!$H$2:$H$6,MATCH(C4245,parametros!$B$2:$B$6,0)),"")="","",IF(B4245&gt;=IFERROR(INDEX(parametros!$H$2:$H$6,MATCH(C4245,parametros!$B$2:$B$6,0)),""),"Sim","Nao"))))))</f>
        <v/>
      </c>
      <c r="T4245" s="156"/>
      <c r="U4245" s="214" t="str">
        <f t="shared" si="336"/>
        <v/>
      </c>
      <c r="V4245" s="212" t="s">
        <v>50</v>
      </c>
      <c r="W4245" s="100" t="s">
        <v>168</v>
      </c>
      <c r="X4245" s="100" t="s">
        <v>169</v>
      </c>
      <c r="Y4245" s="101" t="s">
        <v>170</v>
      </c>
      <c r="Z4245" s="101" t="s">
        <v>171</v>
      </c>
      <c r="AA4245" s="101" t="s">
        <v>50</v>
      </c>
      <c r="AB4245" s="101" t="s">
        <v>172</v>
      </c>
      <c r="AC4245" s="102" t="s">
        <v>173</v>
      </c>
    </row>
    <row r="4246" spans="1:29" ht="25.5" customHeight="1" x14ac:dyDescent="0.35">
      <c r="A4246" s="392"/>
      <c r="B4246" s="393"/>
      <c r="C4246" s="99" t="str">
        <f>IF(B4246="","",IF(NOT(ISNUMBER(B4246)),"DATA_PC invalida",IF(NOT(ISNUMBER(parametros!$C$2)),"Fora dos ciclos",IF(OR(B4246&lt;parametros!$C$2,(YEAR(B4246)-YEAR(parametros!$C$2))*12+MONTH(B4246)-MONTH(parametros!$C$2)&gt;59),"Fora dos ciclos","C"&amp;INT(((YEAR(B4246)-YEAR(parametros!$C$2))*12+MONTH(B4246)-MONTH(parametros!$C$2))/12)))))</f>
        <v/>
      </c>
      <c r="D4246" s="394"/>
      <c r="E4246" s="78" t="str">
        <f>IF(C4246="","",IFERROR(VLOOKUP(C4246,parametros!$A$11:$E$15,5,0),""))</f>
        <v/>
      </c>
      <c r="F4246" s="79" t="str">
        <f t="shared" si="332"/>
        <v/>
      </c>
      <c r="G4246" s="395"/>
      <c r="H4246" s="91">
        <f t="shared" si="333"/>
        <v>0</v>
      </c>
      <c r="I4246" s="91" t="str">
        <f t="shared" si="334"/>
        <v/>
      </c>
      <c r="J4246" s="91" t="str">
        <f t="shared" si="335"/>
        <v/>
      </c>
      <c r="K4246" s="92" t="str">
        <f>IF(AND(A4246="",B4246="",D4246="",G4246=""),"",IF(AND(A4246&lt;&gt;"",COUNTIF($A$2:$A$5001,A4246)&gt;1),"NUMERO_PC duplicado",IF(B4246="","DATA_PC vazia",IF(NOT(ISNUMBER(B4246)),"DATA_PC invalida",IF(OR(C4246="",C4246="Fora dos ciclos"),"CICLO_PC nao identificado",IF(OR(D4246="",D4246=0),"VALOR_PC vazio ou zero",IF(AND(G4246&lt;&gt;"Sim",G4246&lt;&gt;"Nao",G4246&lt;&gt;""),"PC_PAGO_A_CONTRATADA invalido",IF(AND(C4246&lt;&gt;"C0",IFERROR(INDEX(parametros!$A$2:$A$6,MATCH(C4246,parametros!$B$2:$B$6,0)),"")="Sim",IFERROR(INDEX(parametros!$H$2:$H$6,MATCH(C4246,parametros!$B$2:$B$6,0)),"")=""),"INICIO_EFEITO ausente: PC "&amp;A4246&amp;" - "&amp;C4246,IF(L4246="","EFEITO_PC nao calculado: PC "&amp;A4246&amp;" - "&amp;C4246,"OK")))))))))</f>
        <v/>
      </c>
      <c r="L4246" s="92" t="str">
        <f>IF(AND(A4246="",B4246="",D4246="",G4246=""),"",IF(OR(B4246="",NOT(ISNUMBER(B4246)),C4246="",C4246="Fora dos ciclos"),"",IF(C4246="C0","Nao",IF(IFERROR(INDEX(parametros!$A$2:$A$6,MATCH(C4246,parametros!$B$2:$B$6,0)),"")&lt;&gt;"Sim","Nao",IF(IFERROR(INDEX(parametros!$H$2:$H$6,MATCH(C4246,parametros!$B$2:$B$6,0)),"")="","",IF(B4246&gt;=IFERROR(INDEX(parametros!$H$2:$H$6,MATCH(C4246,parametros!$B$2:$B$6,0)),""),"Sim","Nao"))))))</f>
        <v/>
      </c>
      <c r="T4246" s="156"/>
      <c r="U4246" s="214" t="str">
        <f t="shared" si="336"/>
        <v/>
      </c>
      <c r="V4246" s="212" t="s">
        <v>50</v>
      </c>
      <c r="W4246" s="100" t="s">
        <v>168</v>
      </c>
      <c r="X4246" s="100" t="s">
        <v>169</v>
      </c>
      <c r="Y4246" s="101" t="s">
        <v>170</v>
      </c>
      <c r="Z4246" s="101" t="s">
        <v>171</v>
      </c>
      <c r="AA4246" s="101" t="s">
        <v>50</v>
      </c>
      <c r="AB4246" s="101" t="s">
        <v>172</v>
      </c>
      <c r="AC4246" s="102" t="s">
        <v>173</v>
      </c>
    </row>
    <row r="4247" spans="1:29" ht="25.5" customHeight="1" x14ac:dyDescent="0.35">
      <c r="A4247" s="392"/>
      <c r="B4247" s="393"/>
      <c r="C4247" s="99" t="str">
        <f>IF(B4247="","",IF(NOT(ISNUMBER(B4247)),"DATA_PC invalida",IF(NOT(ISNUMBER(parametros!$C$2)),"Fora dos ciclos",IF(OR(B4247&lt;parametros!$C$2,(YEAR(B4247)-YEAR(parametros!$C$2))*12+MONTH(B4247)-MONTH(parametros!$C$2)&gt;59),"Fora dos ciclos","C"&amp;INT(((YEAR(B4247)-YEAR(parametros!$C$2))*12+MONTH(B4247)-MONTH(parametros!$C$2))/12)))))</f>
        <v/>
      </c>
      <c r="D4247" s="394"/>
      <c r="E4247" s="78" t="str">
        <f>IF(C4247="","",IFERROR(VLOOKUP(C4247,parametros!$A$11:$E$15,5,0),""))</f>
        <v/>
      </c>
      <c r="F4247" s="79" t="str">
        <f t="shared" si="332"/>
        <v/>
      </c>
      <c r="G4247" s="395"/>
      <c r="H4247" s="91">
        <f t="shared" si="333"/>
        <v>0</v>
      </c>
      <c r="I4247" s="91" t="str">
        <f t="shared" si="334"/>
        <v/>
      </c>
      <c r="J4247" s="91" t="str">
        <f t="shared" si="335"/>
        <v/>
      </c>
      <c r="K4247" s="92" t="str">
        <f>IF(AND(A4247="",B4247="",D4247="",G4247=""),"",IF(AND(A4247&lt;&gt;"",COUNTIF($A$2:$A$5001,A4247)&gt;1),"NUMERO_PC duplicado",IF(B4247="","DATA_PC vazia",IF(NOT(ISNUMBER(B4247)),"DATA_PC invalida",IF(OR(C4247="",C4247="Fora dos ciclos"),"CICLO_PC nao identificado",IF(OR(D4247="",D4247=0),"VALOR_PC vazio ou zero",IF(AND(G4247&lt;&gt;"Sim",G4247&lt;&gt;"Nao",G4247&lt;&gt;""),"PC_PAGO_A_CONTRATADA invalido",IF(AND(C4247&lt;&gt;"C0",IFERROR(INDEX(parametros!$A$2:$A$6,MATCH(C4247,parametros!$B$2:$B$6,0)),"")="Sim",IFERROR(INDEX(parametros!$H$2:$H$6,MATCH(C4247,parametros!$B$2:$B$6,0)),"")=""),"INICIO_EFEITO ausente: PC "&amp;A4247&amp;" - "&amp;C4247,IF(L4247="","EFEITO_PC nao calculado: PC "&amp;A4247&amp;" - "&amp;C4247,"OK")))))))))</f>
        <v/>
      </c>
      <c r="L4247" s="92" t="str">
        <f>IF(AND(A4247="",B4247="",D4247="",G4247=""),"",IF(OR(B4247="",NOT(ISNUMBER(B4247)),C4247="",C4247="Fora dos ciclos"),"",IF(C4247="C0","Nao",IF(IFERROR(INDEX(parametros!$A$2:$A$6,MATCH(C4247,parametros!$B$2:$B$6,0)),"")&lt;&gt;"Sim","Nao",IF(IFERROR(INDEX(parametros!$H$2:$H$6,MATCH(C4247,parametros!$B$2:$B$6,0)),"")="","",IF(B4247&gt;=IFERROR(INDEX(parametros!$H$2:$H$6,MATCH(C4247,parametros!$B$2:$B$6,0)),""),"Sim","Nao"))))))</f>
        <v/>
      </c>
      <c r="T4247" s="156"/>
      <c r="U4247" s="214" t="str">
        <f t="shared" si="336"/>
        <v/>
      </c>
      <c r="V4247" s="212" t="s">
        <v>50</v>
      </c>
      <c r="W4247" s="100" t="s">
        <v>168</v>
      </c>
      <c r="X4247" s="100" t="s">
        <v>169</v>
      </c>
      <c r="Y4247" s="101" t="s">
        <v>170</v>
      </c>
      <c r="Z4247" s="101" t="s">
        <v>171</v>
      </c>
      <c r="AA4247" s="101" t="s">
        <v>50</v>
      </c>
      <c r="AB4247" s="101" t="s">
        <v>172</v>
      </c>
      <c r="AC4247" s="102" t="s">
        <v>173</v>
      </c>
    </row>
    <row r="4248" spans="1:29" ht="25.5" customHeight="1" x14ac:dyDescent="0.35">
      <c r="A4248" s="392"/>
      <c r="B4248" s="393"/>
      <c r="C4248" s="99" t="str">
        <f>IF(B4248="","",IF(NOT(ISNUMBER(B4248)),"DATA_PC invalida",IF(NOT(ISNUMBER(parametros!$C$2)),"Fora dos ciclos",IF(OR(B4248&lt;parametros!$C$2,(YEAR(B4248)-YEAR(parametros!$C$2))*12+MONTH(B4248)-MONTH(parametros!$C$2)&gt;59),"Fora dos ciclos","C"&amp;INT(((YEAR(B4248)-YEAR(parametros!$C$2))*12+MONTH(B4248)-MONTH(parametros!$C$2))/12)))))</f>
        <v/>
      </c>
      <c r="D4248" s="394"/>
      <c r="E4248" s="78" t="str">
        <f>IF(C4248="","",IFERROR(VLOOKUP(C4248,parametros!$A$11:$E$15,5,0),""))</f>
        <v/>
      </c>
      <c r="F4248" s="79" t="str">
        <f t="shared" si="332"/>
        <v/>
      </c>
      <c r="G4248" s="395"/>
      <c r="H4248" s="91">
        <f t="shared" si="333"/>
        <v>0</v>
      </c>
      <c r="I4248" s="91" t="str">
        <f t="shared" si="334"/>
        <v/>
      </c>
      <c r="J4248" s="91" t="str">
        <f t="shared" si="335"/>
        <v/>
      </c>
      <c r="K4248" s="92" t="str">
        <f>IF(AND(A4248="",B4248="",D4248="",G4248=""),"",IF(AND(A4248&lt;&gt;"",COUNTIF($A$2:$A$5001,A4248)&gt;1),"NUMERO_PC duplicado",IF(B4248="","DATA_PC vazia",IF(NOT(ISNUMBER(B4248)),"DATA_PC invalida",IF(OR(C4248="",C4248="Fora dos ciclos"),"CICLO_PC nao identificado",IF(OR(D4248="",D4248=0),"VALOR_PC vazio ou zero",IF(AND(G4248&lt;&gt;"Sim",G4248&lt;&gt;"Nao",G4248&lt;&gt;""),"PC_PAGO_A_CONTRATADA invalido",IF(AND(C4248&lt;&gt;"C0",IFERROR(INDEX(parametros!$A$2:$A$6,MATCH(C4248,parametros!$B$2:$B$6,0)),"")="Sim",IFERROR(INDEX(parametros!$H$2:$H$6,MATCH(C4248,parametros!$B$2:$B$6,0)),"")=""),"INICIO_EFEITO ausente: PC "&amp;A4248&amp;" - "&amp;C4248,IF(L4248="","EFEITO_PC nao calculado: PC "&amp;A4248&amp;" - "&amp;C4248,"OK")))))))))</f>
        <v/>
      </c>
      <c r="L4248" s="92" t="str">
        <f>IF(AND(A4248="",B4248="",D4248="",G4248=""),"",IF(OR(B4248="",NOT(ISNUMBER(B4248)),C4248="",C4248="Fora dos ciclos"),"",IF(C4248="C0","Nao",IF(IFERROR(INDEX(parametros!$A$2:$A$6,MATCH(C4248,parametros!$B$2:$B$6,0)),"")&lt;&gt;"Sim","Nao",IF(IFERROR(INDEX(parametros!$H$2:$H$6,MATCH(C4248,parametros!$B$2:$B$6,0)),"")="","",IF(B4248&gt;=IFERROR(INDEX(parametros!$H$2:$H$6,MATCH(C4248,parametros!$B$2:$B$6,0)),""),"Sim","Nao"))))))</f>
        <v/>
      </c>
      <c r="T4248" s="156"/>
      <c r="U4248" s="214" t="str">
        <f t="shared" si="336"/>
        <v/>
      </c>
      <c r="V4248" s="212" t="s">
        <v>50</v>
      </c>
      <c r="W4248" s="100" t="s">
        <v>168</v>
      </c>
      <c r="X4248" s="100" t="s">
        <v>169</v>
      </c>
      <c r="Y4248" s="101" t="s">
        <v>170</v>
      </c>
      <c r="Z4248" s="101" t="s">
        <v>171</v>
      </c>
      <c r="AA4248" s="101" t="s">
        <v>50</v>
      </c>
      <c r="AB4248" s="101" t="s">
        <v>172</v>
      </c>
      <c r="AC4248" s="102" t="s">
        <v>173</v>
      </c>
    </row>
    <row r="4249" spans="1:29" ht="25.5" customHeight="1" x14ac:dyDescent="0.35">
      <c r="A4249" s="392"/>
      <c r="B4249" s="393"/>
      <c r="C4249" s="99" t="str">
        <f>IF(B4249="","",IF(NOT(ISNUMBER(B4249)),"DATA_PC invalida",IF(NOT(ISNUMBER(parametros!$C$2)),"Fora dos ciclos",IF(OR(B4249&lt;parametros!$C$2,(YEAR(B4249)-YEAR(parametros!$C$2))*12+MONTH(B4249)-MONTH(parametros!$C$2)&gt;59),"Fora dos ciclos","C"&amp;INT(((YEAR(B4249)-YEAR(parametros!$C$2))*12+MONTH(B4249)-MONTH(parametros!$C$2))/12)))))</f>
        <v/>
      </c>
      <c r="D4249" s="394"/>
      <c r="E4249" s="78" t="str">
        <f>IF(C4249="","",IFERROR(VLOOKUP(C4249,parametros!$A$11:$E$15,5,0),""))</f>
        <v/>
      </c>
      <c r="F4249" s="79" t="str">
        <f t="shared" si="332"/>
        <v/>
      </c>
      <c r="G4249" s="395"/>
      <c r="H4249" s="91">
        <f t="shared" si="333"/>
        <v>0</v>
      </c>
      <c r="I4249" s="91" t="str">
        <f t="shared" si="334"/>
        <v/>
      </c>
      <c r="J4249" s="91" t="str">
        <f t="shared" si="335"/>
        <v/>
      </c>
      <c r="K4249" s="92" t="str">
        <f>IF(AND(A4249="",B4249="",D4249="",G4249=""),"",IF(AND(A4249&lt;&gt;"",COUNTIF($A$2:$A$5001,A4249)&gt;1),"NUMERO_PC duplicado",IF(B4249="","DATA_PC vazia",IF(NOT(ISNUMBER(B4249)),"DATA_PC invalida",IF(OR(C4249="",C4249="Fora dos ciclos"),"CICLO_PC nao identificado",IF(OR(D4249="",D4249=0),"VALOR_PC vazio ou zero",IF(AND(G4249&lt;&gt;"Sim",G4249&lt;&gt;"Nao",G4249&lt;&gt;""),"PC_PAGO_A_CONTRATADA invalido",IF(AND(C4249&lt;&gt;"C0",IFERROR(INDEX(parametros!$A$2:$A$6,MATCH(C4249,parametros!$B$2:$B$6,0)),"")="Sim",IFERROR(INDEX(parametros!$H$2:$H$6,MATCH(C4249,parametros!$B$2:$B$6,0)),"")=""),"INICIO_EFEITO ausente: PC "&amp;A4249&amp;" - "&amp;C4249,IF(L4249="","EFEITO_PC nao calculado: PC "&amp;A4249&amp;" - "&amp;C4249,"OK")))))))))</f>
        <v/>
      </c>
      <c r="L4249" s="92" t="str">
        <f>IF(AND(A4249="",B4249="",D4249="",G4249=""),"",IF(OR(B4249="",NOT(ISNUMBER(B4249)),C4249="",C4249="Fora dos ciclos"),"",IF(C4249="C0","Nao",IF(IFERROR(INDEX(parametros!$A$2:$A$6,MATCH(C4249,parametros!$B$2:$B$6,0)),"")&lt;&gt;"Sim","Nao",IF(IFERROR(INDEX(parametros!$H$2:$H$6,MATCH(C4249,parametros!$B$2:$B$6,0)),"")="","",IF(B4249&gt;=IFERROR(INDEX(parametros!$H$2:$H$6,MATCH(C4249,parametros!$B$2:$B$6,0)),""),"Sim","Nao"))))))</f>
        <v/>
      </c>
      <c r="T4249" s="156"/>
      <c r="U4249" s="214" t="str">
        <f t="shared" si="336"/>
        <v/>
      </c>
      <c r="V4249" s="212" t="s">
        <v>50</v>
      </c>
      <c r="W4249" s="100" t="s">
        <v>168</v>
      </c>
      <c r="X4249" s="100" t="s">
        <v>169</v>
      </c>
      <c r="Y4249" s="101" t="s">
        <v>170</v>
      </c>
      <c r="Z4249" s="101" t="s">
        <v>171</v>
      </c>
      <c r="AA4249" s="101" t="s">
        <v>50</v>
      </c>
      <c r="AB4249" s="101" t="s">
        <v>172</v>
      </c>
      <c r="AC4249" s="102" t="s">
        <v>173</v>
      </c>
    </row>
    <row r="4250" spans="1:29" ht="25.5" customHeight="1" x14ac:dyDescent="0.35">
      <c r="A4250" s="392"/>
      <c r="B4250" s="393"/>
      <c r="C4250" s="99" t="str">
        <f>IF(B4250="","",IF(NOT(ISNUMBER(B4250)),"DATA_PC invalida",IF(NOT(ISNUMBER(parametros!$C$2)),"Fora dos ciclos",IF(OR(B4250&lt;parametros!$C$2,(YEAR(B4250)-YEAR(parametros!$C$2))*12+MONTH(B4250)-MONTH(parametros!$C$2)&gt;59),"Fora dos ciclos","C"&amp;INT(((YEAR(B4250)-YEAR(parametros!$C$2))*12+MONTH(B4250)-MONTH(parametros!$C$2))/12)))))</f>
        <v/>
      </c>
      <c r="D4250" s="394"/>
      <c r="E4250" s="78" t="str">
        <f>IF(C4250="","",IFERROR(VLOOKUP(C4250,parametros!$A$11:$E$15,5,0),""))</f>
        <v/>
      </c>
      <c r="F4250" s="79" t="str">
        <f t="shared" si="332"/>
        <v/>
      </c>
      <c r="G4250" s="395"/>
      <c r="H4250" s="91">
        <f t="shared" si="333"/>
        <v>0</v>
      </c>
      <c r="I4250" s="91" t="str">
        <f t="shared" si="334"/>
        <v/>
      </c>
      <c r="J4250" s="91" t="str">
        <f t="shared" si="335"/>
        <v/>
      </c>
      <c r="K4250" s="92" t="str">
        <f>IF(AND(A4250="",B4250="",D4250="",G4250=""),"",IF(AND(A4250&lt;&gt;"",COUNTIF($A$2:$A$5001,A4250)&gt;1),"NUMERO_PC duplicado",IF(B4250="","DATA_PC vazia",IF(NOT(ISNUMBER(B4250)),"DATA_PC invalida",IF(OR(C4250="",C4250="Fora dos ciclos"),"CICLO_PC nao identificado",IF(OR(D4250="",D4250=0),"VALOR_PC vazio ou zero",IF(AND(G4250&lt;&gt;"Sim",G4250&lt;&gt;"Nao",G4250&lt;&gt;""),"PC_PAGO_A_CONTRATADA invalido",IF(AND(C4250&lt;&gt;"C0",IFERROR(INDEX(parametros!$A$2:$A$6,MATCH(C4250,parametros!$B$2:$B$6,0)),"")="Sim",IFERROR(INDEX(parametros!$H$2:$H$6,MATCH(C4250,parametros!$B$2:$B$6,0)),"")=""),"INICIO_EFEITO ausente: PC "&amp;A4250&amp;" - "&amp;C4250,IF(L4250="","EFEITO_PC nao calculado: PC "&amp;A4250&amp;" - "&amp;C4250,"OK")))))))))</f>
        <v/>
      </c>
      <c r="L4250" s="92" t="str">
        <f>IF(AND(A4250="",B4250="",D4250="",G4250=""),"",IF(OR(B4250="",NOT(ISNUMBER(B4250)),C4250="",C4250="Fora dos ciclos"),"",IF(C4250="C0","Nao",IF(IFERROR(INDEX(parametros!$A$2:$A$6,MATCH(C4250,parametros!$B$2:$B$6,0)),"")&lt;&gt;"Sim","Nao",IF(IFERROR(INDEX(parametros!$H$2:$H$6,MATCH(C4250,parametros!$B$2:$B$6,0)),"")="","",IF(B4250&gt;=IFERROR(INDEX(parametros!$H$2:$H$6,MATCH(C4250,parametros!$B$2:$B$6,0)),""),"Sim","Nao"))))))</f>
        <v/>
      </c>
      <c r="T4250" s="156"/>
      <c r="U4250" s="214" t="str">
        <f t="shared" si="336"/>
        <v/>
      </c>
      <c r="V4250" s="212" t="s">
        <v>50</v>
      </c>
      <c r="W4250" s="100" t="s">
        <v>168</v>
      </c>
      <c r="X4250" s="100" t="s">
        <v>169</v>
      </c>
      <c r="Y4250" s="101" t="s">
        <v>170</v>
      </c>
      <c r="Z4250" s="101" t="s">
        <v>171</v>
      </c>
      <c r="AA4250" s="101" t="s">
        <v>50</v>
      </c>
      <c r="AB4250" s="101" t="s">
        <v>172</v>
      </c>
      <c r="AC4250" s="102" t="s">
        <v>173</v>
      </c>
    </row>
    <row r="4251" spans="1:29" ht="25.5" customHeight="1" x14ac:dyDescent="0.35">
      <c r="A4251" s="392"/>
      <c r="B4251" s="393"/>
      <c r="C4251" s="99" t="str">
        <f>IF(B4251="","",IF(NOT(ISNUMBER(B4251)),"DATA_PC invalida",IF(NOT(ISNUMBER(parametros!$C$2)),"Fora dos ciclos",IF(OR(B4251&lt;parametros!$C$2,(YEAR(B4251)-YEAR(parametros!$C$2))*12+MONTH(B4251)-MONTH(parametros!$C$2)&gt;59),"Fora dos ciclos","C"&amp;INT(((YEAR(B4251)-YEAR(parametros!$C$2))*12+MONTH(B4251)-MONTH(parametros!$C$2))/12)))))</f>
        <v/>
      </c>
      <c r="D4251" s="394"/>
      <c r="E4251" s="78" t="str">
        <f>IF(C4251="","",IFERROR(VLOOKUP(C4251,parametros!$A$11:$E$15,5,0),""))</f>
        <v/>
      </c>
      <c r="F4251" s="79" t="str">
        <f t="shared" si="332"/>
        <v/>
      </c>
      <c r="G4251" s="395"/>
      <c r="H4251" s="91">
        <f t="shared" si="333"/>
        <v>0</v>
      </c>
      <c r="I4251" s="91" t="str">
        <f t="shared" si="334"/>
        <v/>
      </c>
      <c r="J4251" s="91" t="str">
        <f t="shared" si="335"/>
        <v/>
      </c>
      <c r="K4251" s="92" t="str">
        <f>IF(AND(A4251="",B4251="",D4251="",G4251=""),"",IF(AND(A4251&lt;&gt;"",COUNTIF($A$2:$A$5001,A4251)&gt;1),"NUMERO_PC duplicado",IF(B4251="","DATA_PC vazia",IF(NOT(ISNUMBER(B4251)),"DATA_PC invalida",IF(OR(C4251="",C4251="Fora dos ciclos"),"CICLO_PC nao identificado",IF(OR(D4251="",D4251=0),"VALOR_PC vazio ou zero",IF(AND(G4251&lt;&gt;"Sim",G4251&lt;&gt;"Nao",G4251&lt;&gt;""),"PC_PAGO_A_CONTRATADA invalido",IF(AND(C4251&lt;&gt;"C0",IFERROR(INDEX(parametros!$A$2:$A$6,MATCH(C4251,parametros!$B$2:$B$6,0)),"")="Sim",IFERROR(INDEX(parametros!$H$2:$H$6,MATCH(C4251,parametros!$B$2:$B$6,0)),"")=""),"INICIO_EFEITO ausente: PC "&amp;A4251&amp;" - "&amp;C4251,IF(L4251="","EFEITO_PC nao calculado: PC "&amp;A4251&amp;" - "&amp;C4251,"OK")))))))))</f>
        <v/>
      </c>
      <c r="L4251" s="92" t="str">
        <f>IF(AND(A4251="",B4251="",D4251="",G4251=""),"",IF(OR(B4251="",NOT(ISNUMBER(B4251)),C4251="",C4251="Fora dos ciclos"),"",IF(C4251="C0","Nao",IF(IFERROR(INDEX(parametros!$A$2:$A$6,MATCH(C4251,parametros!$B$2:$B$6,0)),"")&lt;&gt;"Sim","Nao",IF(IFERROR(INDEX(parametros!$H$2:$H$6,MATCH(C4251,parametros!$B$2:$B$6,0)),"")="","",IF(B4251&gt;=IFERROR(INDEX(parametros!$H$2:$H$6,MATCH(C4251,parametros!$B$2:$B$6,0)),""),"Sim","Nao"))))))</f>
        <v/>
      </c>
      <c r="T4251" s="156"/>
      <c r="U4251" s="214" t="str">
        <f t="shared" si="336"/>
        <v/>
      </c>
      <c r="V4251" s="212" t="s">
        <v>50</v>
      </c>
      <c r="W4251" s="100" t="s">
        <v>168</v>
      </c>
      <c r="X4251" s="100" t="s">
        <v>169</v>
      </c>
      <c r="Y4251" s="101" t="s">
        <v>170</v>
      </c>
      <c r="Z4251" s="101" t="s">
        <v>171</v>
      </c>
      <c r="AA4251" s="101" t="s">
        <v>50</v>
      </c>
      <c r="AB4251" s="101" t="s">
        <v>172</v>
      </c>
      <c r="AC4251" s="102" t="s">
        <v>173</v>
      </c>
    </row>
    <row r="4252" spans="1:29" ht="25.5" customHeight="1" x14ac:dyDescent="0.35">
      <c r="A4252" s="392"/>
      <c r="B4252" s="393"/>
      <c r="C4252" s="99" t="str">
        <f>IF(B4252="","",IF(NOT(ISNUMBER(B4252)),"DATA_PC invalida",IF(NOT(ISNUMBER(parametros!$C$2)),"Fora dos ciclos",IF(OR(B4252&lt;parametros!$C$2,(YEAR(B4252)-YEAR(parametros!$C$2))*12+MONTH(B4252)-MONTH(parametros!$C$2)&gt;59),"Fora dos ciclos","C"&amp;INT(((YEAR(B4252)-YEAR(parametros!$C$2))*12+MONTH(B4252)-MONTH(parametros!$C$2))/12)))))</f>
        <v/>
      </c>
      <c r="D4252" s="394"/>
      <c r="E4252" s="78" t="str">
        <f>IF(C4252="","",IFERROR(VLOOKUP(C4252,parametros!$A$11:$E$15,5,0),""))</f>
        <v/>
      </c>
      <c r="F4252" s="79" t="str">
        <f t="shared" si="332"/>
        <v/>
      </c>
      <c r="G4252" s="395"/>
      <c r="H4252" s="91">
        <f t="shared" si="333"/>
        <v>0</v>
      </c>
      <c r="I4252" s="91" t="str">
        <f t="shared" si="334"/>
        <v/>
      </c>
      <c r="J4252" s="91" t="str">
        <f t="shared" si="335"/>
        <v/>
      </c>
      <c r="K4252" s="92" t="str">
        <f>IF(AND(A4252="",B4252="",D4252="",G4252=""),"",IF(AND(A4252&lt;&gt;"",COUNTIF($A$2:$A$5001,A4252)&gt;1),"NUMERO_PC duplicado",IF(B4252="","DATA_PC vazia",IF(NOT(ISNUMBER(B4252)),"DATA_PC invalida",IF(OR(C4252="",C4252="Fora dos ciclos"),"CICLO_PC nao identificado",IF(OR(D4252="",D4252=0),"VALOR_PC vazio ou zero",IF(AND(G4252&lt;&gt;"Sim",G4252&lt;&gt;"Nao",G4252&lt;&gt;""),"PC_PAGO_A_CONTRATADA invalido",IF(AND(C4252&lt;&gt;"C0",IFERROR(INDEX(parametros!$A$2:$A$6,MATCH(C4252,parametros!$B$2:$B$6,0)),"")="Sim",IFERROR(INDEX(parametros!$H$2:$H$6,MATCH(C4252,parametros!$B$2:$B$6,0)),"")=""),"INICIO_EFEITO ausente: PC "&amp;A4252&amp;" - "&amp;C4252,IF(L4252="","EFEITO_PC nao calculado: PC "&amp;A4252&amp;" - "&amp;C4252,"OK")))))))))</f>
        <v/>
      </c>
      <c r="L4252" s="92" t="str">
        <f>IF(AND(A4252="",B4252="",D4252="",G4252=""),"",IF(OR(B4252="",NOT(ISNUMBER(B4252)),C4252="",C4252="Fora dos ciclos"),"",IF(C4252="C0","Nao",IF(IFERROR(INDEX(parametros!$A$2:$A$6,MATCH(C4252,parametros!$B$2:$B$6,0)),"")&lt;&gt;"Sim","Nao",IF(IFERROR(INDEX(parametros!$H$2:$H$6,MATCH(C4252,parametros!$B$2:$B$6,0)),"")="","",IF(B4252&gt;=IFERROR(INDEX(parametros!$H$2:$H$6,MATCH(C4252,parametros!$B$2:$B$6,0)),""),"Sim","Nao"))))))</f>
        <v/>
      </c>
      <c r="T4252" s="156"/>
      <c r="U4252" s="214" t="str">
        <f t="shared" si="336"/>
        <v/>
      </c>
      <c r="V4252" s="212" t="s">
        <v>50</v>
      </c>
      <c r="W4252" s="100" t="s">
        <v>168</v>
      </c>
      <c r="X4252" s="100" t="s">
        <v>169</v>
      </c>
      <c r="Y4252" s="101" t="s">
        <v>170</v>
      </c>
      <c r="Z4252" s="101" t="s">
        <v>171</v>
      </c>
      <c r="AA4252" s="101" t="s">
        <v>50</v>
      </c>
      <c r="AB4252" s="101" t="s">
        <v>172</v>
      </c>
      <c r="AC4252" s="102" t="s">
        <v>173</v>
      </c>
    </row>
    <row r="4253" spans="1:29" ht="25.5" customHeight="1" x14ac:dyDescent="0.35">
      <c r="A4253" s="392"/>
      <c r="B4253" s="393"/>
      <c r="C4253" s="99" t="str">
        <f>IF(B4253="","",IF(NOT(ISNUMBER(B4253)),"DATA_PC invalida",IF(NOT(ISNUMBER(parametros!$C$2)),"Fora dos ciclos",IF(OR(B4253&lt;parametros!$C$2,(YEAR(B4253)-YEAR(parametros!$C$2))*12+MONTH(B4253)-MONTH(parametros!$C$2)&gt;59),"Fora dos ciclos","C"&amp;INT(((YEAR(B4253)-YEAR(parametros!$C$2))*12+MONTH(B4253)-MONTH(parametros!$C$2))/12)))))</f>
        <v/>
      </c>
      <c r="D4253" s="394"/>
      <c r="E4253" s="78" t="str">
        <f>IF(C4253="","",IFERROR(VLOOKUP(C4253,parametros!$A$11:$E$15,5,0),""))</f>
        <v/>
      </c>
      <c r="F4253" s="79" t="str">
        <f t="shared" si="332"/>
        <v/>
      </c>
      <c r="G4253" s="395"/>
      <c r="H4253" s="91">
        <f t="shared" si="333"/>
        <v>0</v>
      </c>
      <c r="I4253" s="91" t="str">
        <f t="shared" si="334"/>
        <v/>
      </c>
      <c r="J4253" s="91" t="str">
        <f t="shared" si="335"/>
        <v/>
      </c>
      <c r="K4253" s="92" t="str">
        <f>IF(AND(A4253="",B4253="",D4253="",G4253=""),"",IF(AND(A4253&lt;&gt;"",COUNTIF($A$2:$A$5001,A4253)&gt;1),"NUMERO_PC duplicado",IF(B4253="","DATA_PC vazia",IF(NOT(ISNUMBER(B4253)),"DATA_PC invalida",IF(OR(C4253="",C4253="Fora dos ciclos"),"CICLO_PC nao identificado",IF(OR(D4253="",D4253=0),"VALOR_PC vazio ou zero",IF(AND(G4253&lt;&gt;"Sim",G4253&lt;&gt;"Nao",G4253&lt;&gt;""),"PC_PAGO_A_CONTRATADA invalido",IF(AND(C4253&lt;&gt;"C0",IFERROR(INDEX(parametros!$A$2:$A$6,MATCH(C4253,parametros!$B$2:$B$6,0)),"")="Sim",IFERROR(INDEX(parametros!$H$2:$H$6,MATCH(C4253,parametros!$B$2:$B$6,0)),"")=""),"INICIO_EFEITO ausente: PC "&amp;A4253&amp;" - "&amp;C4253,IF(L4253="","EFEITO_PC nao calculado: PC "&amp;A4253&amp;" - "&amp;C4253,"OK")))))))))</f>
        <v/>
      </c>
      <c r="L4253" s="92" t="str">
        <f>IF(AND(A4253="",B4253="",D4253="",G4253=""),"",IF(OR(B4253="",NOT(ISNUMBER(B4253)),C4253="",C4253="Fora dos ciclos"),"",IF(C4253="C0","Nao",IF(IFERROR(INDEX(parametros!$A$2:$A$6,MATCH(C4253,parametros!$B$2:$B$6,0)),"")&lt;&gt;"Sim","Nao",IF(IFERROR(INDEX(parametros!$H$2:$H$6,MATCH(C4253,parametros!$B$2:$B$6,0)),"")="","",IF(B4253&gt;=IFERROR(INDEX(parametros!$H$2:$H$6,MATCH(C4253,parametros!$B$2:$B$6,0)),""),"Sim","Nao"))))))</f>
        <v/>
      </c>
      <c r="T4253" s="156"/>
      <c r="U4253" s="214" t="str">
        <f t="shared" si="336"/>
        <v/>
      </c>
      <c r="V4253" s="212" t="s">
        <v>50</v>
      </c>
      <c r="W4253" s="100" t="s">
        <v>168</v>
      </c>
      <c r="X4253" s="100" t="s">
        <v>169</v>
      </c>
      <c r="Y4253" s="101" t="s">
        <v>170</v>
      </c>
      <c r="Z4253" s="101" t="s">
        <v>171</v>
      </c>
      <c r="AA4253" s="101" t="s">
        <v>50</v>
      </c>
      <c r="AB4253" s="101" t="s">
        <v>172</v>
      </c>
      <c r="AC4253" s="102" t="s">
        <v>173</v>
      </c>
    </row>
    <row r="4254" spans="1:29" ht="25.5" customHeight="1" x14ac:dyDescent="0.35">
      <c r="A4254" s="392"/>
      <c r="B4254" s="393"/>
      <c r="C4254" s="99" t="str">
        <f>IF(B4254="","",IF(NOT(ISNUMBER(B4254)),"DATA_PC invalida",IF(NOT(ISNUMBER(parametros!$C$2)),"Fora dos ciclos",IF(OR(B4254&lt;parametros!$C$2,(YEAR(B4254)-YEAR(parametros!$C$2))*12+MONTH(B4254)-MONTH(parametros!$C$2)&gt;59),"Fora dos ciclos","C"&amp;INT(((YEAR(B4254)-YEAR(parametros!$C$2))*12+MONTH(B4254)-MONTH(parametros!$C$2))/12)))))</f>
        <v/>
      </c>
      <c r="D4254" s="394"/>
      <c r="E4254" s="78" t="str">
        <f>IF(C4254="","",IFERROR(VLOOKUP(C4254,parametros!$A$11:$E$15,5,0),""))</f>
        <v/>
      </c>
      <c r="F4254" s="79" t="str">
        <f t="shared" si="332"/>
        <v/>
      </c>
      <c r="G4254" s="395"/>
      <c r="H4254" s="91">
        <f t="shared" si="333"/>
        <v>0</v>
      </c>
      <c r="I4254" s="91" t="str">
        <f t="shared" si="334"/>
        <v/>
      </c>
      <c r="J4254" s="91" t="str">
        <f t="shared" si="335"/>
        <v/>
      </c>
      <c r="K4254" s="92" t="str">
        <f>IF(AND(A4254="",B4254="",D4254="",G4254=""),"",IF(AND(A4254&lt;&gt;"",COUNTIF($A$2:$A$5001,A4254)&gt;1),"NUMERO_PC duplicado",IF(B4254="","DATA_PC vazia",IF(NOT(ISNUMBER(B4254)),"DATA_PC invalida",IF(OR(C4254="",C4254="Fora dos ciclos"),"CICLO_PC nao identificado",IF(OR(D4254="",D4254=0),"VALOR_PC vazio ou zero",IF(AND(G4254&lt;&gt;"Sim",G4254&lt;&gt;"Nao",G4254&lt;&gt;""),"PC_PAGO_A_CONTRATADA invalido",IF(AND(C4254&lt;&gt;"C0",IFERROR(INDEX(parametros!$A$2:$A$6,MATCH(C4254,parametros!$B$2:$B$6,0)),"")="Sim",IFERROR(INDEX(parametros!$H$2:$H$6,MATCH(C4254,parametros!$B$2:$B$6,0)),"")=""),"INICIO_EFEITO ausente: PC "&amp;A4254&amp;" - "&amp;C4254,IF(L4254="","EFEITO_PC nao calculado: PC "&amp;A4254&amp;" - "&amp;C4254,"OK")))))))))</f>
        <v/>
      </c>
      <c r="L4254" s="92" t="str">
        <f>IF(AND(A4254="",B4254="",D4254="",G4254=""),"",IF(OR(B4254="",NOT(ISNUMBER(B4254)),C4254="",C4254="Fora dos ciclos"),"",IF(C4254="C0","Nao",IF(IFERROR(INDEX(parametros!$A$2:$A$6,MATCH(C4254,parametros!$B$2:$B$6,0)),"")&lt;&gt;"Sim","Nao",IF(IFERROR(INDEX(parametros!$H$2:$H$6,MATCH(C4254,parametros!$B$2:$B$6,0)),"")="","",IF(B4254&gt;=IFERROR(INDEX(parametros!$H$2:$H$6,MATCH(C4254,parametros!$B$2:$B$6,0)),""),"Sim","Nao"))))))</f>
        <v/>
      </c>
      <c r="T4254" s="156"/>
      <c r="U4254" s="214" t="str">
        <f t="shared" si="336"/>
        <v/>
      </c>
      <c r="V4254" s="212" t="s">
        <v>50</v>
      </c>
      <c r="W4254" s="100" t="s">
        <v>168</v>
      </c>
      <c r="X4254" s="100" t="s">
        <v>169</v>
      </c>
      <c r="Y4254" s="101" t="s">
        <v>170</v>
      </c>
      <c r="Z4254" s="101" t="s">
        <v>171</v>
      </c>
      <c r="AA4254" s="101" t="s">
        <v>50</v>
      </c>
      <c r="AB4254" s="101" t="s">
        <v>172</v>
      </c>
      <c r="AC4254" s="102" t="s">
        <v>173</v>
      </c>
    </row>
    <row r="4255" spans="1:29" ht="25.5" customHeight="1" x14ac:dyDescent="0.35">
      <c r="A4255" s="392"/>
      <c r="B4255" s="393"/>
      <c r="C4255" s="99" t="str">
        <f>IF(B4255="","",IF(NOT(ISNUMBER(B4255)),"DATA_PC invalida",IF(NOT(ISNUMBER(parametros!$C$2)),"Fora dos ciclos",IF(OR(B4255&lt;parametros!$C$2,(YEAR(B4255)-YEAR(parametros!$C$2))*12+MONTH(B4255)-MONTH(parametros!$C$2)&gt;59),"Fora dos ciclos","C"&amp;INT(((YEAR(B4255)-YEAR(parametros!$C$2))*12+MONTH(B4255)-MONTH(parametros!$C$2))/12)))))</f>
        <v/>
      </c>
      <c r="D4255" s="394"/>
      <c r="E4255" s="78" t="str">
        <f>IF(C4255="","",IFERROR(VLOOKUP(C4255,parametros!$A$11:$E$15,5,0),""))</f>
        <v/>
      </c>
      <c r="F4255" s="79" t="str">
        <f t="shared" si="332"/>
        <v/>
      </c>
      <c r="G4255" s="395"/>
      <c r="H4255" s="91">
        <f t="shared" si="333"/>
        <v>0</v>
      </c>
      <c r="I4255" s="91" t="str">
        <f t="shared" si="334"/>
        <v/>
      </c>
      <c r="J4255" s="91" t="str">
        <f t="shared" si="335"/>
        <v/>
      </c>
      <c r="K4255" s="92" t="str">
        <f>IF(AND(A4255="",B4255="",D4255="",G4255=""),"",IF(AND(A4255&lt;&gt;"",COUNTIF($A$2:$A$5001,A4255)&gt;1),"NUMERO_PC duplicado",IF(B4255="","DATA_PC vazia",IF(NOT(ISNUMBER(B4255)),"DATA_PC invalida",IF(OR(C4255="",C4255="Fora dos ciclos"),"CICLO_PC nao identificado",IF(OR(D4255="",D4255=0),"VALOR_PC vazio ou zero",IF(AND(G4255&lt;&gt;"Sim",G4255&lt;&gt;"Nao",G4255&lt;&gt;""),"PC_PAGO_A_CONTRATADA invalido",IF(AND(C4255&lt;&gt;"C0",IFERROR(INDEX(parametros!$A$2:$A$6,MATCH(C4255,parametros!$B$2:$B$6,0)),"")="Sim",IFERROR(INDEX(parametros!$H$2:$H$6,MATCH(C4255,parametros!$B$2:$B$6,0)),"")=""),"INICIO_EFEITO ausente: PC "&amp;A4255&amp;" - "&amp;C4255,IF(L4255="","EFEITO_PC nao calculado: PC "&amp;A4255&amp;" - "&amp;C4255,"OK")))))))))</f>
        <v/>
      </c>
      <c r="L4255" s="92" t="str">
        <f>IF(AND(A4255="",B4255="",D4255="",G4255=""),"",IF(OR(B4255="",NOT(ISNUMBER(B4255)),C4255="",C4255="Fora dos ciclos"),"",IF(C4255="C0","Nao",IF(IFERROR(INDEX(parametros!$A$2:$A$6,MATCH(C4255,parametros!$B$2:$B$6,0)),"")&lt;&gt;"Sim","Nao",IF(IFERROR(INDEX(parametros!$H$2:$H$6,MATCH(C4255,parametros!$B$2:$B$6,0)),"")="","",IF(B4255&gt;=IFERROR(INDEX(parametros!$H$2:$H$6,MATCH(C4255,parametros!$B$2:$B$6,0)),""),"Sim","Nao"))))))</f>
        <v/>
      </c>
      <c r="T4255" s="156"/>
      <c r="U4255" s="214" t="str">
        <f t="shared" si="336"/>
        <v/>
      </c>
      <c r="V4255" s="212" t="s">
        <v>50</v>
      </c>
      <c r="W4255" s="100" t="s">
        <v>168</v>
      </c>
      <c r="X4255" s="100" t="s">
        <v>169</v>
      </c>
      <c r="Y4255" s="101" t="s">
        <v>170</v>
      </c>
      <c r="Z4255" s="101" t="s">
        <v>171</v>
      </c>
      <c r="AA4255" s="101" t="s">
        <v>50</v>
      </c>
      <c r="AB4255" s="101" t="s">
        <v>172</v>
      </c>
      <c r="AC4255" s="102" t="s">
        <v>173</v>
      </c>
    </row>
    <row r="4256" spans="1:29" ht="25.5" customHeight="1" x14ac:dyDescent="0.35">
      <c r="A4256" s="392"/>
      <c r="B4256" s="393"/>
      <c r="C4256" s="99" t="str">
        <f>IF(B4256="","",IF(NOT(ISNUMBER(B4256)),"DATA_PC invalida",IF(NOT(ISNUMBER(parametros!$C$2)),"Fora dos ciclos",IF(OR(B4256&lt;parametros!$C$2,(YEAR(B4256)-YEAR(parametros!$C$2))*12+MONTH(B4256)-MONTH(parametros!$C$2)&gt;59),"Fora dos ciclos","C"&amp;INT(((YEAR(B4256)-YEAR(parametros!$C$2))*12+MONTH(B4256)-MONTH(parametros!$C$2))/12)))))</f>
        <v/>
      </c>
      <c r="D4256" s="394"/>
      <c r="E4256" s="78" t="str">
        <f>IF(C4256="","",IFERROR(VLOOKUP(C4256,parametros!$A$11:$E$15,5,0),""))</f>
        <v/>
      </c>
      <c r="F4256" s="79" t="str">
        <f t="shared" si="332"/>
        <v/>
      </c>
      <c r="G4256" s="395"/>
      <c r="H4256" s="91">
        <f t="shared" si="333"/>
        <v>0</v>
      </c>
      <c r="I4256" s="91" t="str">
        <f t="shared" si="334"/>
        <v/>
      </c>
      <c r="J4256" s="91" t="str">
        <f t="shared" si="335"/>
        <v/>
      </c>
      <c r="K4256" s="92" t="str">
        <f>IF(AND(A4256="",B4256="",D4256="",G4256=""),"",IF(AND(A4256&lt;&gt;"",COUNTIF($A$2:$A$5001,A4256)&gt;1),"NUMERO_PC duplicado",IF(B4256="","DATA_PC vazia",IF(NOT(ISNUMBER(B4256)),"DATA_PC invalida",IF(OR(C4256="",C4256="Fora dos ciclos"),"CICLO_PC nao identificado",IF(OR(D4256="",D4256=0),"VALOR_PC vazio ou zero",IF(AND(G4256&lt;&gt;"Sim",G4256&lt;&gt;"Nao",G4256&lt;&gt;""),"PC_PAGO_A_CONTRATADA invalido",IF(AND(C4256&lt;&gt;"C0",IFERROR(INDEX(parametros!$A$2:$A$6,MATCH(C4256,parametros!$B$2:$B$6,0)),"")="Sim",IFERROR(INDEX(parametros!$H$2:$H$6,MATCH(C4256,parametros!$B$2:$B$6,0)),"")=""),"INICIO_EFEITO ausente: PC "&amp;A4256&amp;" - "&amp;C4256,IF(L4256="","EFEITO_PC nao calculado: PC "&amp;A4256&amp;" - "&amp;C4256,"OK")))))))))</f>
        <v/>
      </c>
      <c r="L4256" s="92" t="str">
        <f>IF(AND(A4256="",B4256="",D4256="",G4256=""),"",IF(OR(B4256="",NOT(ISNUMBER(B4256)),C4256="",C4256="Fora dos ciclos"),"",IF(C4256="C0","Nao",IF(IFERROR(INDEX(parametros!$A$2:$A$6,MATCH(C4256,parametros!$B$2:$B$6,0)),"")&lt;&gt;"Sim","Nao",IF(IFERROR(INDEX(parametros!$H$2:$H$6,MATCH(C4256,parametros!$B$2:$B$6,0)),"")="","",IF(B4256&gt;=IFERROR(INDEX(parametros!$H$2:$H$6,MATCH(C4256,parametros!$B$2:$B$6,0)),""),"Sim","Nao"))))))</f>
        <v/>
      </c>
      <c r="T4256" s="156"/>
      <c r="U4256" s="214" t="str">
        <f t="shared" si="336"/>
        <v/>
      </c>
      <c r="V4256" s="212" t="s">
        <v>50</v>
      </c>
      <c r="W4256" s="100" t="s">
        <v>168</v>
      </c>
      <c r="X4256" s="100" t="s">
        <v>169</v>
      </c>
      <c r="Y4256" s="101" t="s">
        <v>170</v>
      </c>
      <c r="Z4256" s="101" t="s">
        <v>171</v>
      </c>
      <c r="AA4256" s="101" t="s">
        <v>50</v>
      </c>
      <c r="AB4256" s="101" t="s">
        <v>172</v>
      </c>
      <c r="AC4256" s="102" t="s">
        <v>173</v>
      </c>
    </row>
    <row r="4257" spans="1:29" ht="25.5" customHeight="1" x14ac:dyDescent="0.35">
      <c r="A4257" s="392"/>
      <c r="B4257" s="393"/>
      <c r="C4257" s="99" t="str">
        <f>IF(B4257="","",IF(NOT(ISNUMBER(B4257)),"DATA_PC invalida",IF(NOT(ISNUMBER(parametros!$C$2)),"Fora dos ciclos",IF(OR(B4257&lt;parametros!$C$2,(YEAR(B4257)-YEAR(parametros!$C$2))*12+MONTH(B4257)-MONTH(parametros!$C$2)&gt;59),"Fora dos ciclos","C"&amp;INT(((YEAR(B4257)-YEAR(parametros!$C$2))*12+MONTH(B4257)-MONTH(parametros!$C$2))/12)))))</f>
        <v/>
      </c>
      <c r="D4257" s="394"/>
      <c r="E4257" s="78" t="str">
        <f>IF(C4257="","",IFERROR(VLOOKUP(C4257,parametros!$A$11:$E$15,5,0),""))</f>
        <v/>
      </c>
      <c r="F4257" s="79" t="str">
        <f t="shared" si="332"/>
        <v/>
      </c>
      <c r="G4257" s="395"/>
      <c r="H4257" s="91">
        <f t="shared" si="333"/>
        <v>0</v>
      </c>
      <c r="I4257" s="91" t="str">
        <f t="shared" si="334"/>
        <v/>
      </c>
      <c r="J4257" s="91" t="str">
        <f t="shared" si="335"/>
        <v/>
      </c>
      <c r="K4257" s="92" t="str">
        <f>IF(AND(A4257="",B4257="",D4257="",G4257=""),"",IF(AND(A4257&lt;&gt;"",COUNTIF($A$2:$A$5001,A4257)&gt;1),"NUMERO_PC duplicado",IF(B4257="","DATA_PC vazia",IF(NOT(ISNUMBER(B4257)),"DATA_PC invalida",IF(OR(C4257="",C4257="Fora dos ciclos"),"CICLO_PC nao identificado",IF(OR(D4257="",D4257=0),"VALOR_PC vazio ou zero",IF(AND(G4257&lt;&gt;"Sim",G4257&lt;&gt;"Nao",G4257&lt;&gt;""),"PC_PAGO_A_CONTRATADA invalido",IF(AND(C4257&lt;&gt;"C0",IFERROR(INDEX(parametros!$A$2:$A$6,MATCH(C4257,parametros!$B$2:$B$6,0)),"")="Sim",IFERROR(INDEX(parametros!$H$2:$H$6,MATCH(C4257,parametros!$B$2:$B$6,0)),"")=""),"INICIO_EFEITO ausente: PC "&amp;A4257&amp;" - "&amp;C4257,IF(L4257="","EFEITO_PC nao calculado: PC "&amp;A4257&amp;" - "&amp;C4257,"OK")))))))))</f>
        <v/>
      </c>
      <c r="L4257" s="92" t="str">
        <f>IF(AND(A4257="",B4257="",D4257="",G4257=""),"",IF(OR(B4257="",NOT(ISNUMBER(B4257)),C4257="",C4257="Fora dos ciclos"),"",IF(C4257="C0","Nao",IF(IFERROR(INDEX(parametros!$A$2:$A$6,MATCH(C4257,parametros!$B$2:$B$6,0)),"")&lt;&gt;"Sim","Nao",IF(IFERROR(INDEX(parametros!$H$2:$H$6,MATCH(C4257,parametros!$B$2:$B$6,0)),"")="","",IF(B4257&gt;=IFERROR(INDEX(parametros!$H$2:$H$6,MATCH(C4257,parametros!$B$2:$B$6,0)),""),"Sim","Nao"))))))</f>
        <v/>
      </c>
      <c r="T4257" s="156"/>
      <c r="U4257" s="214" t="str">
        <f t="shared" si="336"/>
        <v/>
      </c>
      <c r="V4257" s="212" t="s">
        <v>50</v>
      </c>
      <c r="W4257" s="100" t="s">
        <v>168</v>
      </c>
      <c r="X4257" s="100" t="s">
        <v>169</v>
      </c>
      <c r="Y4257" s="101" t="s">
        <v>170</v>
      </c>
      <c r="Z4257" s="101" t="s">
        <v>171</v>
      </c>
      <c r="AA4257" s="101" t="s">
        <v>50</v>
      </c>
      <c r="AB4257" s="101" t="s">
        <v>172</v>
      </c>
      <c r="AC4257" s="102" t="s">
        <v>173</v>
      </c>
    </row>
    <row r="4258" spans="1:29" ht="25.5" customHeight="1" x14ac:dyDescent="0.35">
      <c r="A4258" s="392"/>
      <c r="B4258" s="393"/>
      <c r="C4258" s="99" t="str">
        <f>IF(B4258="","",IF(NOT(ISNUMBER(B4258)),"DATA_PC invalida",IF(NOT(ISNUMBER(parametros!$C$2)),"Fora dos ciclos",IF(OR(B4258&lt;parametros!$C$2,(YEAR(B4258)-YEAR(parametros!$C$2))*12+MONTH(B4258)-MONTH(parametros!$C$2)&gt;59),"Fora dos ciclos","C"&amp;INT(((YEAR(B4258)-YEAR(parametros!$C$2))*12+MONTH(B4258)-MONTH(parametros!$C$2))/12)))))</f>
        <v/>
      </c>
      <c r="D4258" s="394"/>
      <c r="E4258" s="78" t="str">
        <f>IF(C4258="","",IFERROR(VLOOKUP(C4258,parametros!$A$11:$E$15,5,0),""))</f>
        <v/>
      </c>
      <c r="F4258" s="79" t="str">
        <f t="shared" si="332"/>
        <v/>
      </c>
      <c r="G4258" s="395"/>
      <c r="H4258" s="91">
        <f t="shared" si="333"/>
        <v>0</v>
      </c>
      <c r="I4258" s="91" t="str">
        <f t="shared" si="334"/>
        <v/>
      </c>
      <c r="J4258" s="91" t="str">
        <f t="shared" si="335"/>
        <v/>
      </c>
      <c r="K4258" s="92" t="str">
        <f>IF(AND(A4258="",B4258="",D4258="",G4258=""),"",IF(AND(A4258&lt;&gt;"",COUNTIF($A$2:$A$5001,A4258)&gt;1),"NUMERO_PC duplicado",IF(B4258="","DATA_PC vazia",IF(NOT(ISNUMBER(B4258)),"DATA_PC invalida",IF(OR(C4258="",C4258="Fora dos ciclos"),"CICLO_PC nao identificado",IF(OR(D4258="",D4258=0),"VALOR_PC vazio ou zero",IF(AND(G4258&lt;&gt;"Sim",G4258&lt;&gt;"Nao",G4258&lt;&gt;""),"PC_PAGO_A_CONTRATADA invalido",IF(AND(C4258&lt;&gt;"C0",IFERROR(INDEX(parametros!$A$2:$A$6,MATCH(C4258,parametros!$B$2:$B$6,0)),"")="Sim",IFERROR(INDEX(parametros!$H$2:$H$6,MATCH(C4258,parametros!$B$2:$B$6,0)),"")=""),"INICIO_EFEITO ausente: PC "&amp;A4258&amp;" - "&amp;C4258,IF(L4258="","EFEITO_PC nao calculado: PC "&amp;A4258&amp;" - "&amp;C4258,"OK")))))))))</f>
        <v/>
      </c>
      <c r="L4258" s="92" t="str">
        <f>IF(AND(A4258="",B4258="",D4258="",G4258=""),"",IF(OR(B4258="",NOT(ISNUMBER(B4258)),C4258="",C4258="Fora dos ciclos"),"",IF(C4258="C0","Nao",IF(IFERROR(INDEX(parametros!$A$2:$A$6,MATCH(C4258,parametros!$B$2:$B$6,0)),"")&lt;&gt;"Sim","Nao",IF(IFERROR(INDEX(parametros!$H$2:$H$6,MATCH(C4258,parametros!$B$2:$B$6,0)),"")="","",IF(B4258&gt;=IFERROR(INDEX(parametros!$H$2:$H$6,MATCH(C4258,parametros!$B$2:$B$6,0)),""),"Sim","Nao"))))))</f>
        <v/>
      </c>
      <c r="T4258" s="156"/>
      <c r="U4258" s="214" t="str">
        <f t="shared" si="336"/>
        <v/>
      </c>
      <c r="V4258" s="212" t="s">
        <v>50</v>
      </c>
      <c r="W4258" s="100" t="s">
        <v>168</v>
      </c>
      <c r="X4258" s="100" t="s">
        <v>169</v>
      </c>
      <c r="Y4258" s="101" t="s">
        <v>170</v>
      </c>
      <c r="Z4258" s="101" t="s">
        <v>171</v>
      </c>
      <c r="AA4258" s="101" t="s">
        <v>50</v>
      </c>
      <c r="AB4258" s="101" t="s">
        <v>172</v>
      </c>
      <c r="AC4258" s="102" t="s">
        <v>173</v>
      </c>
    </row>
    <row r="4259" spans="1:29" ht="25.5" customHeight="1" x14ac:dyDescent="0.35">
      <c r="A4259" s="392"/>
      <c r="B4259" s="393"/>
      <c r="C4259" s="99" t="str">
        <f>IF(B4259="","",IF(NOT(ISNUMBER(B4259)),"DATA_PC invalida",IF(NOT(ISNUMBER(parametros!$C$2)),"Fora dos ciclos",IF(OR(B4259&lt;parametros!$C$2,(YEAR(B4259)-YEAR(parametros!$C$2))*12+MONTH(B4259)-MONTH(parametros!$C$2)&gt;59),"Fora dos ciclos","C"&amp;INT(((YEAR(B4259)-YEAR(parametros!$C$2))*12+MONTH(B4259)-MONTH(parametros!$C$2))/12)))))</f>
        <v/>
      </c>
      <c r="D4259" s="394"/>
      <c r="E4259" s="78" t="str">
        <f>IF(C4259="","",IFERROR(VLOOKUP(C4259,parametros!$A$11:$E$15,5,0),""))</f>
        <v/>
      </c>
      <c r="F4259" s="79" t="str">
        <f t="shared" si="332"/>
        <v/>
      </c>
      <c r="G4259" s="395"/>
      <c r="H4259" s="91">
        <f t="shared" si="333"/>
        <v>0</v>
      </c>
      <c r="I4259" s="91" t="str">
        <f t="shared" si="334"/>
        <v/>
      </c>
      <c r="J4259" s="91" t="str">
        <f t="shared" si="335"/>
        <v/>
      </c>
      <c r="K4259" s="92" t="str">
        <f>IF(AND(A4259="",B4259="",D4259="",G4259=""),"",IF(AND(A4259&lt;&gt;"",COUNTIF($A$2:$A$5001,A4259)&gt;1),"NUMERO_PC duplicado",IF(B4259="","DATA_PC vazia",IF(NOT(ISNUMBER(B4259)),"DATA_PC invalida",IF(OR(C4259="",C4259="Fora dos ciclos"),"CICLO_PC nao identificado",IF(OR(D4259="",D4259=0),"VALOR_PC vazio ou zero",IF(AND(G4259&lt;&gt;"Sim",G4259&lt;&gt;"Nao",G4259&lt;&gt;""),"PC_PAGO_A_CONTRATADA invalido",IF(AND(C4259&lt;&gt;"C0",IFERROR(INDEX(parametros!$A$2:$A$6,MATCH(C4259,parametros!$B$2:$B$6,0)),"")="Sim",IFERROR(INDEX(parametros!$H$2:$H$6,MATCH(C4259,parametros!$B$2:$B$6,0)),"")=""),"INICIO_EFEITO ausente: PC "&amp;A4259&amp;" - "&amp;C4259,IF(L4259="","EFEITO_PC nao calculado: PC "&amp;A4259&amp;" - "&amp;C4259,"OK")))))))))</f>
        <v/>
      </c>
      <c r="L4259" s="92" t="str">
        <f>IF(AND(A4259="",B4259="",D4259="",G4259=""),"",IF(OR(B4259="",NOT(ISNUMBER(B4259)),C4259="",C4259="Fora dos ciclos"),"",IF(C4259="C0","Nao",IF(IFERROR(INDEX(parametros!$A$2:$A$6,MATCH(C4259,parametros!$B$2:$B$6,0)),"")&lt;&gt;"Sim","Nao",IF(IFERROR(INDEX(parametros!$H$2:$H$6,MATCH(C4259,parametros!$B$2:$B$6,0)),"")="","",IF(B4259&gt;=IFERROR(INDEX(parametros!$H$2:$H$6,MATCH(C4259,parametros!$B$2:$B$6,0)),""),"Sim","Nao"))))))</f>
        <v/>
      </c>
      <c r="T4259" s="156"/>
      <c r="U4259" s="214" t="str">
        <f t="shared" si="336"/>
        <v/>
      </c>
      <c r="V4259" s="212" t="s">
        <v>50</v>
      </c>
      <c r="W4259" s="100" t="s">
        <v>168</v>
      </c>
      <c r="X4259" s="100" t="s">
        <v>169</v>
      </c>
      <c r="Y4259" s="101" t="s">
        <v>170</v>
      </c>
      <c r="Z4259" s="101" t="s">
        <v>171</v>
      </c>
      <c r="AA4259" s="101" t="s">
        <v>50</v>
      </c>
      <c r="AB4259" s="101" t="s">
        <v>172</v>
      </c>
      <c r="AC4259" s="102" t="s">
        <v>173</v>
      </c>
    </row>
    <row r="4260" spans="1:29" ht="25.5" customHeight="1" x14ac:dyDescent="0.35">
      <c r="A4260" s="392"/>
      <c r="B4260" s="393"/>
      <c r="C4260" s="99" t="str">
        <f>IF(B4260="","",IF(NOT(ISNUMBER(B4260)),"DATA_PC invalida",IF(NOT(ISNUMBER(parametros!$C$2)),"Fora dos ciclos",IF(OR(B4260&lt;parametros!$C$2,(YEAR(B4260)-YEAR(parametros!$C$2))*12+MONTH(B4260)-MONTH(parametros!$C$2)&gt;59),"Fora dos ciclos","C"&amp;INT(((YEAR(B4260)-YEAR(parametros!$C$2))*12+MONTH(B4260)-MONTH(parametros!$C$2))/12)))))</f>
        <v/>
      </c>
      <c r="D4260" s="394"/>
      <c r="E4260" s="78" t="str">
        <f>IF(C4260="","",IFERROR(VLOOKUP(C4260,parametros!$A$11:$E$15,5,0),""))</f>
        <v/>
      </c>
      <c r="F4260" s="79" t="str">
        <f t="shared" si="332"/>
        <v/>
      </c>
      <c r="G4260" s="395"/>
      <c r="H4260" s="91">
        <f t="shared" si="333"/>
        <v>0</v>
      </c>
      <c r="I4260" s="91" t="str">
        <f t="shared" si="334"/>
        <v/>
      </c>
      <c r="J4260" s="91" t="str">
        <f t="shared" si="335"/>
        <v/>
      </c>
      <c r="K4260" s="92" t="str">
        <f>IF(AND(A4260="",B4260="",D4260="",G4260=""),"",IF(AND(A4260&lt;&gt;"",COUNTIF($A$2:$A$5001,A4260)&gt;1),"NUMERO_PC duplicado",IF(B4260="","DATA_PC vazia",IF(NOT(ISNUMBER(B4260)),"DATA_PC invalida",IF(OR(C4260="",C4260="Fora dos ciclos"),"CICLO_PC nao identificado",IF(OR(D4260="",D4260=0),"VALOR_PC vazio ou zero",IF(AND(G4260&lt;&gt;"Sim",G4260&lt;&gt;"Nao",G4260&lt;&gt;""),"PC_PAGO_A_CONTRATADA invalido",IF(AND(C4260&lt;&gt;"C0",IFERROR(INDEX(parametros!$A$2:$A$6,MATCH(C4260,parametros!$B$2:$B$6,0)),"")="Sim",IFERROR(INDEX(parametros!$H$2:$H$6,MATCH(C4260,parametros!$B$2:$B$6,0)),"")=""),"INICIO_EFEITO ausente: PC "&amp;A4260&amp;" - "&amp;C4260,IF(L4260="","EFEITO_PC nao calculado: PC "&amp;A4260&amp;" - "&amp;C4260,"OK")))))))))</f>
        <v/>
      </c>
      <c r="L4260" s="92" t="str">
        <f>IF(AND(A4260="",B4260="",D4260="",G4260=""),"",IF(OR(B4260="",NOT(ISNUMBER(B4260)),C4260="",C4260="Fora dos ciclos"),"",IF(C4260="C0","Nao",IF(IFERROR(INDEX(parametros!$A$2:$A$6,MATCH(C4260,parametros!$B$2:$B$6,0)),"")&lt;&gt;"Sim","Nao",IF(IFERROR(INDEX(parametros!$H$2:$H$6,MATCH(C4260,parametros!$B$2:$B$6,0)),"")="","",IF(B4260&gt;=IFERROR(INDEX(parametros!$H$2:$H$6,MATCH(C4260,parametros!$B$2:$B$6,0)),""),"Sim","Nao"))))))</f>
        <v/>
      </c>
      <c r="T4260" s="156"/>
      <c r="U4260" s="214" t="str">
        <f t="shared" si="336"/>
        <v/>
      </c>
      <c r="V4260" s="212" t="s">
        <v>50</v>
      </c>
      <c r="W4260" s="100" t="s">
        <v>168</v>
      </c>
      <c r="X4260" s="100" t="s">
        <v>169</v>
      </c>
      <c r="Y4260" s="101" t="s">
        <v>170</v>
      </c>
      <c r="Z4260" s="101" t="s">
        <v>171</v>
      </c>
      <c r="AA4260" s="101" t="s">
        <v>50</v>
      </c>
      <c r="AB4260" s="101" t="s">
        <v>172</v>
      </c>
      <c r="AC4260" s="102" t="s">
        <v>173</v>
      </c>
    </row>
    <row r="4261" spans="1:29" ht="25.5" customHeight="1" x14ac:dyDescent="0.35">
      <c r="A4261" s="392"/>
      <c r="B4261" s="393"/>
      <c r="C4261" s="99" t="str">
        <f>IF(B4261="","",IF(NOT(ISNUMBER(B4261)),"DATA_PC invalida",IF(NOT(ISNUMBER(parametros!$C$2)),"Fora dos ciclos",IF(OR(B4261&lt;parametros!$C$2,(YEAR(B4261)-YEAR(parametros!$C$2))*12+MONTH(B4261)-MONTH(parametros!$C$2)&gt;59),"Fora dos ciclos","C"&amp;INT(((YEAR(B4261)-YEAR(parametros!$C$2))*12+MONTH(B4261)-MONTH(parametros!$C$2))/12)))))</f>
        <v/>
      </c>
      <c r="D4261" s="394"/>
      <c r="E4261" s="78" t="str">
        <f>IF(C4261="","",IFERROR(VLOOKUP(C4261,parametros!$A$11:$E$15,5,0),""))</f>
        <v/>
      </c>
      <c r="F4261" s="79" t="str">
        <f t="shared" si="332"/>
        <v/>
      </c>
      <c r="G4261" s="395"/>
      <c r="H4261" s="91">
        <f t="shared" si="333"/>
        <v>0</v>
      </c>
      <c r="I4261" s="91" t="str">
        <f t="shared" si="334"/>
        <v/>
      </c>
      <c r="J4261" s="91" t="str">
        <f t="shared" si="335"/>
        <v/>
      </c>
      <c r="K4261" s="92" t="str">
        <f>IF(AND(A4261="",B4261="",D4261="",G4261=""),"",IF(AND(A4261&lt;&gt;"",COUNTIF($A$2:$A$5001,A4261)&gt;1),"NUMERO_PC duplicado",IF(B4261="","DATA_PC vazia",IF(NOT(ISNUMBER(B4261)),"DATA_PC invalida",IF(OR(C4261="",C4261="Fora dos ciclos"),"CICLO_PC nao identificado",IF(OR(D4261="",D4261=0),"VALOR_PC vazio ou zero",IF(AND(G4261&lt;&gt;"Sim",G4261&lt;&gt;"Nao",G4261&lt;&gt;""),"PC_PAGO_A_CONTRATADA invalido",IF(AND(C4261&lt;&gt;"C0",IFERROR(INDEX(parametros!$A$2:$A$6,MATCH(C4261,parametros!$B$2:$B$6,0)),"")="Sim",IFERROR(INDEX(parametros!$H$2:$H$6,MATCH(C4261,parametros!$B$2:$B$6,0)),"")=""),"INICIO_EFEITO ausente: PC "&amp;A4261&amp;" - "&amp;C4261,IF(L4261="","EFEITO_PC nao calculado: PC "&amp;A4261&amp;" - "&amp;C4261,"OK")))))))))</f>
        <v/>
      </c>
      <c r="L4261" s="92" t="str">
        <f>IF(AND(A4261="",B4261="",D4261="",G4261=""),"",IF(OR(B4261="",NOT(ISNUMBER(B4261)),C4261="",C4261="Fora dos ciclos"),"",IF(C4261="C0","Nao",IF(IFERROR(INDEX(parametros!$A$2:$A$6,MATCH(C4261,parametros!$B$2:$B$6,0)),"")&lt;&gt;"Sim","Nao",IF(IFERROR(INDEX(parametros!$H$2:$H$6,MATCH(C4261,parametros!$B$2:$B$6,0)),"")="","",IF(B4261&gt;=IFERROR(INDEX(parametros!$H$2:$H$6,MATCH(C4261,parametros!$B$2:$B$6,0)),""),"Sim","Nao"))))))</f>
        <v/>
      </c>
      <c r="T4261" s="156"/>
      <c r="U4261" s="214" t="str">
        <f t="shared" si="336"/>
        <v/>
      </c>
      <c r="V4261" s="212" t="s">
        <v>50</v>
      </c>
      <c r="W4261" s="100" t="s">
        <v>168</v>
      </c>
      <c r="X4261" s="100" t="s">
        <v>169</v>
      </c>
      <c r="Y4261" s="101" t="s">
        <v>170</v>
      </c>
      <c r="Z4261" s="101" t="s">
        <v>171</v>
      </c>
      <c r="AA4261" s="101" t="s">
        <v>50</v>
      </c>
      <c r="AB4261" s="101" t="s">
        <v>172</v>
      </c>
      <c r="AC4261" s="102" t="s">
        <v>173</v>
      </c>
    </row>
    <row r="4262" spans="1:29" ht="25.5" customHeight="1" x14ac:dyDescent="0.35">
      <c r="A4262" s="392"/>
      <c r="B4262" s="393"/>
      <c r="C4262" s="99" t="str">
        <f>IF(B4262="","",IF(NOT(ISNUMBER(B4262)),"DATA_PC invalida",IF(NOT(ISNUMBER(parametros!$C$2)),"Fora dos ciclos",IF(OR(B4262&lt;parametros!$C$2,(YEAR(B4262)-YEAR(parametros!$C$2))*12+MONTH(B4262)-MONTH(parametros!$C$2)&gt;59),"Fora dos ciclos","C"&amp;INT(((YEAR(B4262)-YEAR(parametros!$C$2))*12+MONTH(B4262)-MONTH(parametros!$C$2))/12)))))</f>
        <v/>
      </c>
      <c r="D4262" s="394"/>
      <c r="E4262" s="78" t="str">
        <f>IF(C4262="","",IFERROR(VLOOKUP(C4262,parametros!$A$11:$E$15,5,0),""))</f>
        <v/>
      </c>
      <c r="F4262" s="79" t="str">
        <f t="shared" si="332"/>
        <v/>
      </c>
      <c r="G4262" s="395"/>
      <c r="H4262" s="91">
        <f t="shared" si="333"/>
        <v>0</v>
      </c>
      <c r="I4262" s="91" t="str">
        <f t="shared" si="334"/>
        <v/>
      </c>
      <c r="J4262" s="91" t="str">
        <f t="shared" si="335"/>
        <v/>
      </c>
      <c r="K4262" s="92" t="str">
        <f>IF(AND(A4262="",B4262="",D4262="",G4262=""),"",IF(AND(A4262&lt;&gt;"",COUNTIF($A$2:$A$5001,A4262)&gt;1),"NUMERO_PC duplicado",IF(B4262="","DATA_PC vazia",IF(NOT(ISNUMBER(B4262)),"DATA_PC invalida",IF(OR(C4262="",C4262="Fora dos ciclos"),"CICLO_PC nao identificado",IF(OR(D4262="",D4262=0),"VALOR_PC vazio ou zero",IF(AND(G4262&lt;&gt;"Sim",G4262&lt;&gt;"Nao",G4262&lt;&gt;""),"PC_PAGO_A_CONTRATADA invalido",IF(AND(C4262&lt;&gt;"C0",IFERROR(INDEX(parametros!$A$2:$A$6,MATCH(C4262,parametros!$B$2:$B$6,0)),"")="Sim",IFERROR(INDEX(parametros!$H$2:$H$6,MATCH(C4262,parametros!$B$2:$B$6,0)),"")=""),"INICIO_EFEITO ausente: PC "&amp;A4262&amp;" - "&amp;C4262,IF(L4262="","EFEITO_PC nao calculado: PC "&amp;A4262&amp;" - "&amp;C4262,"OK")))))))))</f>
        <v/>
      </c>
      <c r="L4262" s="92" t="str">
        <f>IF(AND(A4262="",B4262="",D4262="",G4262=""),"",IF(OR(B4262="",NOT(ISNUMBER(B4262)),C4262="",C4262="Fora dos ciclos"),"",IF(C4262="C0","Nao",IF(IFERROR(INDEX(parametros!$A$2:$A$6,MATCH(C4262,parametros!$B$2:$B$6,0)),"")&lt;&gt;"Sim","Nao",IF(IFERROR(INDEX(parametros!$H$2:$H$6,MATCH(C4262,parametros!$B$2:$B$6,0)),"")="","",IF(B4262&gt;=IFERROR(INDEX(parametros!$H$2:$H$6,MATCH(C4262,parametros!$B$2:$B$6,0)),""),"Sim","Nao"))))))</f>
        <v/>
      </c>
      <c r="T4262" s="156"/>
      <c r="U4262" s="214" t="str">
        <f t="shared" si="336"/>
        <v/>
      </c>
      <c r="V4262" s="212" t="s">
        <v>50</v>
      </c>
      <c r="W4262" s="100" t="s">
        <v>168</v>
      </c>
      <c r="X4262" s="100" t="s">
        <v>169</v>
      </c>
      <c r="Y4262" s="101" t="s">
        <v>170</v>
      </c>
      <c r="Z4262" s="101" t="s">
        <v>171</v>
      </c>
      <c r="AA4262" s="101" t="s">
        <v>50</v>
      </c>
      <c r="AB4262" s="101" t="s">
        <v>172</v>
      </c>
      <c r="AC4262" s="102" t="s">
        <v>173</v>
      </c>
    </row>
    <row r="4263" spans="1:29" ht="25.5" customHeight="1" x14ac:dyDescent="0.35">
      <c r="A4263" s="392"/>
      <c r="B4263" s="393"/>
      <c r="C4263" s="99" t="str">
        <f>IF(B4263="","",IF(NOT(ISNUMBER(B4263)),"DATA_PC invalida",IF(NOT(ISNUMBER(parametros!$C$2)),"Fora dos ciclos",IF(OR(B4263&lt;parametros!$C$2,(YEAR(B4263)-YEAR(parametros!$C$2))*12+MONTH(B4263)-MONTH(parametros!$C$2)&gt;59),"Fora dos ciclos","C"&amp;INT(((YEAR(B4263)-YEAR(parametros!$C$2))*12+MONTH(B4263)-MONTH(parametros!$C$2))/12)))))</f>
        <v/>
      </c>
      <c r="D4263" s="394"/>
      <c r="E4263" s="78" t="str">
        <f>IF(C4263="","",IFERROR(VLOOKUP(C4263,parametros!$A$11:$E$15,5,0),""))</f>
        <v/>
      </c>
      <c r="F4263" s="79" t="str">
        <f t="shared" si="332"/>
        <v/>
      </c>
      <c r="G4263" s="395"/>
      <c r="H4263" s="91">
        <f t="shared" si="333"/>
        <v>0</v>
      </c>
      <c r="I4263" s="91" t="str">
        <f t="shared" si="334"/>
        <v/>
      </c>
      <c r="J4263" s="91" t="str">
        <f t="shared" si="335"/>
        <v/>
      </c>
      <c r="K4263" s="92" t="str">
        <f>IF(AND(A4263="",B4263="",D4263="",G4263=""),"",IF(AND(A4263&lt;&gt;"",COUNTIF($A$2:$A$5001,A4263)&gt;1),"NUMERO_PC duplicado",IF(B4263="","DATA_PC vazia",IF(NOT(ISNUMBER(B4263)),"DATA_PC invalida",IF(OR(C4263="",C4263="Fora dos ciclos"),"CICLO_PC nao identificado",IF(OR(D4263="",D4263=0),"VALOR_PC vazio ou zero",IF(AND(G4263&lt;&gt;"Sim",G4263&lt;&gt;"Nao",G4263&lt;&gt;""),"PC_PAGO_A_CONTRATADA invalido",IF(AND(C4263&lt;&gt;"C0",IFERROR(INDEX(parametros!$A$2:$A$6,MATCH(C4263,parametros!$B$2:$B$6,0)),"")="Sim",IFERROR(INDEX(parametros!$H$2:$H$6,MATCH(C4263,parametros!$B$2:$B$6,0)),"")=""),"INICIO_EFEITO ausente: PC "&amp;A4263&amp;" - "&amp;C4263,IF(L4263="","EFEITO_PC nao calculado: PC "&amp;A4263&amp;" - "&amp;C4263,"OK")))))))))</f>
        <v/>
      </c>
      <c r="L4263" s="92" t="str">
        <f>IF(AND(A4263="",B4263="",D4263="",G4263=""),"",IF(OR(B4263="",NOT(ISNUMBER(B4263)),C4263="",C4263="Fora dos ciclos"),"",IF(C4263="C0","Nao",IF(IFERROR(INDEX(parametros!$A$2:$A$6,MATCH(C4263,parametros!$B$2:$B$6,0)),"")&lt;&gt;"Sim","Nao",IF(IFERROR(INDEX(parametros!$H$2:$H$6,MATCH(C4263,parametros!$B$2:$B$6,0)),"")="","",IF(B4263&gt;=IFERROR(INDEX(parametros!$H$2:$H$6,MATCH(C4263,parametros!$B$2:$B$6,0)),""),"Sim","Nao"))))))</f>
        <v/>
      </c>
      <c r="T4263" s="156"/>
      <c r="U4263" s="214" t="str">
        <f t="shared" si="336"/>
        <v/>
      </c>
      <c r="V4263" s="212" t="s">
        <v>50</v>
      </c>
      <c r="W4263" s="100" t="s">
        <v>168</v>
      </c>
      <c r="X4263" s="100" t="s">
        <v>169</v>
      </c>
      <c r="Y4263" s="101" t="s">
        <v>170</v>
      </c>
      <c r="Z4263" s="101" t="s">
        <v>171</v>
      </c>
      <c r="AA4263" s="101" t="s">
        <v>50</v>
      </c>
      <c r="AB4263" s="101" t="s">
        <v>172</v>
      </c>
      <c r="AC4263" s="102" t="s">
        <v>173</v>
      </c>
    </row>
    <row r="4264" spans="1:29" ht="25.5" customHeight="1" x14ac:dyDescent="0.35">
      <c r="A4264" s="392"/>
      <c r="B4264" s="393"/>
      <c r="C4264" s="99" t="str">
        <f>IF(B4264="","",IF(NOT(ISNUMBER(B4264)),"DATA_PC invalida",IF(NOT(ISNUMBER(parametros!$C$2)),"Fora dos ciclos",IF(OR(B4264&lt;parametros!$C$2,(YEAR(B4264)-YEAR(parametros!$C$2))*12+MONTH(B4264)-MONTH(parametros!$C$2)&gt;59),"Fora dos ciclos","C"&amp;INT(((YEAR(B4264)-YEAR(parametros!$C$2))*12+MONTH(B4264)-MONTH(parametros!$C$2))/12)))))</f>
        <v/>
      </c>
      <c r="D4264" s="394"/>
      <c r="E4264" s="78" t="str">
        <f>IF(C4264="","",IFERROR(VLOOKUP(C4264,parametros!$A$11:$E$15,5,0),""))</f>
        <v/>
      </c>
      <c r="F4264" s="79" t="str">
        <f t="shared" si="332"/>
        <v/>
      </c>
      <c r="G4264" s="395"/>
      <c r="H4264" s="91">
        <f t="shared" si="333"/>
        <v>0</v>
      </c>
      <c r="I4264" s="91" t="str">
        <f t="shared" si="334"/>
        <v/>
      </c>
      <c r="J4264" s="91" t="str">
        <f t="shared" si="335"/>
        <v/>
      </c>
      <c r="K4264" s="92" t="str">
        <f>IF(AND(A4264="",B4264="",D4264="",G4264=""),"",IF(AND(A4264&lt;&gt;"",COUNTIF($A$2:$A$5001,A4264)&gt;1),"NUMERO_PC duplicado",IF(B4264="","DATA_PC vazia",IF(NOT(ISNUMBER(B4264)),"DATA_PC invalida",IF(OR(C4264="",C4264="Fora dos ciclos"),"CICLO_PC nao identificado",IF(OR(D4264="",D4264=0),"VALOR_PC vazio ou zero",IF(AND(G4264&lt;&gt;"Sim",G4264&lt;&gt;"Nao",G4264&lt;&gt;""),"PC_PAGO_A_CONTRATADA invalido",IF(AND(C4264&lt;&gt;"C0",IFERROR(INDEX(parametros!$A$2:$A$6,MATCH(C4264,parametros!$B$2:$B$6,0)),"")="Sim",IFERROR(INDEX(parametros!$H$2:$H$6,MATCH(C4264,parametros!$B$2:$B$6,0)),"")=""),"INICIO_EFEITO ausente: PC "&amp;A4264&amp;" - "&amp;C4264,IF(L4264="","EFEITO_PC nao calculado: PC "&amp;A4264&amp;" - "&amp;C4264,"OK")))))))))</f>
        <v/>
      </c>
      <c r="L4264" s="92" t="str">
        <f>IF(AND(A4264="",B4264="",D4264="",G4264=""),"",IF(OR(B4264="",NOT(ISNUMBER(B4264)),C4264="",C4264="Fora dos ciclos"),"",IF(C4264="C0","Nao",IF(IFERROR(INDEX(parametros!$A$2:$A$6,MATCH(C4264,parametros!$B$2:$B$6,0)),"")&lt;&gt;"Sim","Nao",IF(IFERROR(INDEX(parametros!$H$2:$H$6,MATCH(C4264,parametros!$B$2:$B$6,0)),"")="","",IF(B4264&gt;=IFERROR(INDEX(parametros!$H$2:$H$6,MATCH(C4264,parametros!$B$2:$B$6,0)),""),"Sim","Nao"))))))</f>
        <v/>
      </c>
      <c r="T4264" s="156"/>
      <c r="U4264" s="214" t="str">
        <f t="shared" si="336"/>
        <v/>
      </c>
      <c r="V4264" s="212" t="s">
        <v>50</v>
      </c>
      <c r="W4264" s="100" t="s">
        <v>168</v>
      </c>
      <c r="X4264" s="100" t="s">
        <v>169</v>
      </c>
      <c r="Y4264" s="101" t="s">
        <v>170</v>
      </c>
      <c r="Z4264" s="101" t="s">
        <v>171</v>
      </c>
      <c r="AA4264" s="101" t="s">
        <v>50</v>
      </c>
      <c r="AB4264" s="101" t="s">
        <v>172</v>
      </c>
      <c r="AC4264" s="102" t="s">
        <v>173</v>
      </c>
    </row>
    <row r="4265" spans="1:29" ht="25.5" customHeight="1" x14ac:dyDescent="0.35">
      <c r="A4265" s="392"/>
      <c r="B4265" s="393"/>
      <c r="C4265" s="99" t="str">
        <f>IF(B4265="","",IF(NOT(ISNUMBER(B4265)),"DATA_PC invalida",IF(NOT(ISNUMBER(parametros!$C$2)),"Fora dos ciclos",IF(OR(B4265&lt;parametros!$C$2,(YEAR(B4265)-YEAR(parametros!$C$2))*12+MONTH(B4265)-MONTH(parametros!$C$2)&gt;59),"Fora dos ciclos","C"&amp;INT(((YEAR(B4265)-YEAR(parametros!$C$2))*12+MONTH(B4265)-MONTH(parametros!$C$2))/12)))))</f>
        <v/>
      </c>
      <c r="D4265" s="394"/>
      <c r="E4265" s="78" t="str">
        <f>IF(C4265="","",IFERROR(VLOOKUP(C4265,parametros!$A$11:$E$15,5,0),""))</f>
        <v/>
      </c>
      <c r="F4265" s="79" t="str">
        <f t="shared" si="332"/>
        <v/>
      </c>
      <c r="G4265" s="395"/>
      <c r="H4265" s="91">
        <f t="shared" si="333"/>
        <v>0</v>
      </c>
      <c r="I4265" s="91" t="str">
        <f t="shared" si="334"/>
        <v/>
      </c>
      <c r="J4265" s="91" t="str">
        <f t="shared" si="335"/>
        <v/>
      </c>
      <c r="K4265" s="92" t="str">
        <f>IF(AND(A4265="",B4265="",D4265="",G4265=""),"",IF(AND(A4265&lt;&gt;"",COUNTIF($A$2:$A$5001,A4265)&gt;1),"NUMERO_PC duplicado",IF(B4265="","DATA_PC vazia",IF(NOT(ISNUMBER(B4265)),"DATA_PC invalida",IF(OR(C4265="",C4265="Fora dos ciclos"),"CICLO_PC nao identificado",IF(OR(D4265="",D4265=0),"VALOR_PC vazio ou zero",IF(AND(G4265&lt;&gt;"Sim",G4265&lt;&gt;"Nao",G4265&lt;&gt;""),"PC_PAGO_A_CONTRATADA invalido",IF(AND(C4265&lt;&gt;"C0",IFERROR(INDEX(parametros!$A$2:$A$6,MATCH(C4265,parametros!$B$2:$B$6,0)),"")="Sim",IFERROR(INDEX(parametros!$H$2:$H$6,MATCH(C4265,parametros!$B$2:$B$6,0)),"")=""),"INICIO_EFEITO ausente: PC "&amp;A4265&amp;" - "&amp;C4265,IF(L4265="","EFEITO_PC nao calculado: PC "&amp;A4265&amp;" - "&amp;C4265,"OK")))))))))</f>
        <v/>
      </c>
      <c r="L4265" s="92" t="str">
        <f>IF(AND(A4265="",B4265="",D4265="",G4265=""),"",IF(OR(B4265="",NOT(ISNUMBER(B4265)),C4265="",C4265="Fora dos ciclos"),"",IF(C4265="C0","Nao",IF(IFERROR(INDEX(parametros!$A$2:$A$6,MATCH(C4265,parametros!$B$2:$B$6,0)),"")&lt;&gt;"Sim","Nao",IF(IFERROR(INDEX(parametros!$H$2:$H$6,MATCH(C4265,parametros!$B$2:$B$6,0)),"")="","",IF(B4265&gt;=IFERROR(INDEX(parametros!$H$2:$H$6,MATCH(C4265,parametros!$B$2:$B$6,0)),""),"Sim","Nao"))))))</f>
        <v/>
      </c>
      <c r="T4265" s="156"/>
      <c r="U4265" s="214" t="str">
        <f t="shared" si="336"/>
        <v/>
      </c>
      <c r="V4265" s="212" t="s">
        <v>50</v>
      </c>
      <c r="W4265" s="100" t="s">
        <v>168</v>
      </c>
      <c r="X4265" s="100" t="s">
        <v>169</v>
      </c>
      <c r="Y4265" s="101" t="s">
        <v>170</v>
      </c>
      <c r="Z4265" s="101" t="s">
        <v>171</v>
      </c>
      <c r="AA4265" s="101" t="s">
        <v>50</v>
      </c>
      <c r="AB4265" s="101" t="s">
        <v>172</v>
      </c>
      <c r="AC4265" s="102" t="s">
        <v>173</v>
      </c>
    </row>
    <row r="4266" spans="1:29" ht="25.5" customHeight="1" x14ac:dyDescent="0.35">
      <c r="A4266" s="392"/>
      <c r="B4266" s="393"/>
      <c r="C4266" s="99" t="str">
        <f>IF(B4266="","",IF(NOT(ISNUMBER(B4266)),"DATA_PC invalida",IF(NOT(ISNUMBER(parametros!$C$2)),"Fora dos ciclos",IF(OR(B4266&lt;parametros!$C$2,(YEAR(B4266)-YEAR(parametros!$C$2))*12+MONTH(B4266)-MONTH(parametros!$C$2)&gt;59),"Fora dos ciclos","C"&amp;INT(((YEAR(B4266)-YEAR(parametros!$C$2))*12+MONTH(B4266)-MONTH(parametros!$C$2))/12)))))</f>
        <v/>
      </c>
      <c r="D4266" s="394"/>
      <c r="E4266" s="78" t="str">
        <f>IF(C4266="","",IFERROR(VLOOKUP(C4266,parametros!$A$11:$E$15,5,0),""))</f>
        <v/>
      </c>
      <c r="F4266" s="79" t="str">
        <f t="shared" si="332"/>
        <v/>
      </c>
      <c r="G4266" s="395"/>
      <c r="H4266" s="91">
        <f t="shared" si="333"/>
        <v>0</v>
      </c>
      <c r="I4266" s="91" t="str">
        <f t="shared" si="334"/>
        <v/>
      </c>
      <c r="J4266" s="91" t="str">
        <f t="shared" si="335"/>
        <v/>
      </c>
      <c r="K4266" s="92" t="str">
        <f>IF(AND(A4266="",B4266="",D4266="",G4266=""),"",IF(AND(A4266&lt;&gt;"",COUNTIF($A$2:$A$5001,A4266)&gt;1),"NUMERO_PC duplicado",IF(B4266="","DATA_PC vazia",IF(NOT(ISNUMBER(B4266)),"DATA_PC invalida",IF(OR(C4266="",C4266="Fora dos ciclos"),"CICLO_PC nao identificado",IF(OR(D4266="",D4266=0),"VALOR_PC vazio ou zero",IF(AND(G4266&lt;&gt;"Sim",G4266&lt;&gt;"Nao",G4266&lt;&gt;""),"PC_PAGO_A_CONTRATADA invalido",IF(AND(C4266&lt;&gt;"C0",IFERROR(INDEX(parametros!$A$2:$A$6,MATCH(C4266,parametros!$B$2:$B$6,0)),"")="Sim",IFERROR(INDEX(parametros!$H$2:$H$6,MATCH(C4266,parametros!$B$2:$B$6,0)),"")=""),"INICIO_EFEITO ausente: PC "&amp;A4266&amp;" - "&amp;C4266,IF(L4266="","EFEITO_PC nao calculado: PC "&amp;A4266&amp;" - "&amp;C4266,"OK")))))))))</f>
        <v/>
      </c>
      <c r="L4266" s="92" t="str">
        <f>IF(AND(A4266="",B4266="",D4266="",G4266=""),"",IF(OR(B4266="",NOT(ISNUMBER(B4266)),C4266="",C4266="Fora dos ciclos"),"",IF(C4266="C0","Nao",IF(IFERROR(INDEX(parametros!$A$2:$A$6,MATCH(C4266,parametros!$B$2:$B$6,0)),"")&lt;&gt;"Sim","Nao",IF(IFERROR(INDEX(parametros!$H$2:$H$6,MATCH(C4266,parametros!$B$2:$B$6,0)),"")="","",IF(B4266&gt;=IFERROR(INDEX(parametros!$H$2:$H$6,MATCH(C4266,parametros!$B$2:$B$6,0)),""),"Sim","Nao"))))))</f>
        <v/>
      </c>
      <c r="T4266" s="156"/>
      <c r="U4266" s="214" t="str">
        <f t="shared" si="336"/>
        <v/>
      </c>
      <c r="V4266" s="212" t="s">
        <v>50</v>
      </c>
      <c r="W4266" s="100" t="s">
        <v>168</v>
      </c>
      <c r="X4266" s="100" t="s">
        <v>169</v>
      </c>
      <c r="Y4266" s="101" t="s">
        <v>170</v>
      </c>
      <c r="Z4266" s="101" t="s">
        <v>171</v>
      </c>
      <c r="AA4266" s="101" t="s">
        <v>50</v>
      </c>
      <c r="AB4266" s="101" t="s">
        <v>172</v>
      </c>
      <c r="AC4266" s="102" t="s">
        <v>173</v>
      </c>
    </row>
    <row r="4267" spans="1:29" ht="25.5" customHeight="1" x14ac:dyDescent="0.35">
      <c r="A4267" s="392"/>
      <c r="B4267" s="393"/>
      <c r="C4267" s="99" t="str">
        <f>IF(B4267="","",IF(NOT(ISNUMBER(B4267)),"DATA_PC invalida",IF(NOT(ISNUMBER(parametros!$C$2)),"Fora dos ciclos",IF(OR(B4267&lt;parametros!$C$2,(YEAR(B4267)-YEAR(parametros!$C$2))*12+MONTH(B4267)-MONTH(parametros!$C$2)&gt;59),"Fora dos ciclos","C"&amp;INT(((YEAR(B4267)-YEAR(parametros!$C$2))*12+MONTH(B4267)-MONTH(parametros!$C$2))/12)))))</f>
        <v/>
      </c>
      <c r="D4267" s="394"/>
      <c r="E4267" s="78" t="str">
        <f>IF(C4267="","",IFERROR(VLOOKUP(C4267,parametros!$A$11:$E$15,5,0),""))</f>
        <v/>
      </c>
      <c r="F4267" s="79" t="str">
        <f t="shared" si="332"/>
        <v/>
      </c>
      <c r="G4267" s="395"/>
      <c r="H4267" s="91">
        <f t="shared" si="333"/>
        <v>0</v>
      </c>
      <c r="I4267" s="91" t="str">
        <f t="shared" si="334"/>
        <v/>
      </c>
      <c r="J4267" s="91" t="str">
        <f t="shared" si="335"/>
        <v/>
      </c>
      <c r="K4267" s="92" t="str">
        <f>IF(AND(A4267="",B4267="",D4267="",G4267=""),"",IF(AND(A4267&lt;&gt;"",COUNTIF($A$2:$A$5001,A4267)&gt;1),"NUMERO_PC duplicado",IF(B4267="","DATA_PC vazia",IF(NOT(ISNUMBER(B4267)),"DATA_PC invalida",IF(OR(C4267="",C4267="Fora dos ciclos"),"CICLO_PC nao identificado",IF(OR(D4267="",D4267=0),"VALOR_PC vazio ou zero",IF(AND(G4267&lt;&gt;"Sim",G4267&lt;&gt;"Nao",G4267&lt;&gt;""),"PC_PAGO_A_CONTRATADA invalido",IF(AND(C4267&lt;&gt;"C0",IFERROR(INDEX(parametros!$A$2:$A$6,MATCH(C4267,parametros!$B$2:$B$6,0)),"")="Sim",IFERROR(INDEX(parametros!$H$2:$H$6,MATCH(C4267,parametros!$B$2:$B$6,0)),"")=""),"INICIO_EFEITO ausente: PC "&amp;A4267&amp;" - "&amp;C4267,IF(L4267="","EFEITO_PC nao calculado: PC "&amp;A4267&amp;" - "&amp;C4267,"OK")))))))))</f>
        <v/>
      </c>
      <c r="L4267" s="92" t="str">
        <f>IF(AND(A4267="",B4267="",D4267="",G4267=""),"",IF(OR(B4267="",NOT(ISNUMBER(B4267)),C4267="",C4267="Fora dos ciclos"),"",IF(C4267="C0","Nao",IF(IFERROR(INDEX(parametros!$A$2:$A$6,MATCH(C4267,parametros!$B$2:$B$6,0)),"")&lt;&gt;"Sim","Nao",IF(IFERROR(INDEX(parametros!$H$2:$H$6,MATCH(C4267,parametros!$B$2:$B$6,0)),"")="","",IF(B4267&gt;=IFERROR(INDEX(parametros!$H$2:$H$6,MATCH(C4267,parametros!$B$2:$B$6,0)),""),"Sim","Nao"))))))</f>
        <v/>
      </c>
      <c r="T4267" s="156"/>
      <c r="U4267" s="214" t="str">
        <f t="shared" si="336"/>
        <v/>
      </c>
      <c r="V4267" s="212" t="s">
        <v>50</v>
      </c>
      <c r="W4267" s="100" t="s">
        <v>168</v>
      </c>
      <c r="X4267" s="100" t="s">
        <v>169</v>
      </c>
      <c r="Y4267" s="101" t="s">
        <v>170</v>
      </c>
      <c r="Z4267" s="101" t="s">
        <v>171</v>
      </c>
      <c r="AA4267" s="101" t="s">
        <v>50</v>
      </c>
      <c r="AB4267" s="101" t="s">
        <v>172</v>
      </c>
      <c r="AC4267" s="102" t="s">
        <v>173</v>
      </c>
    </row>
    <row r="4268" spans="1:29" ht="25.5" customHeight="1" x14ac:dyDescent="0.35">
      <c r="A4268" s="392"/>
      <c r="B4268" s="393"/>
      <c r="C4268" s="99" t="str">
        <f>IF(B4268="","",IF(NOT(ISNUMBER(B4268)),"DATA_PC invalida",IF(NOT(ISNUMBER(parametros!$C$2)),"Fora dos ciclos",IF(OR(B4268&lt;parametros!$C$2,(YEAR(B4268)-YEAR(parametros!$C$2))*12+MONTH(B4268)-MONTH(parametros!$C$2)&gt;59),"Fora dos ciclos","C"&amp;INT(((YEAR(B4268)-YEAR(parametros!$C$2))*12+MONTH(B4268)-MONTH(parametros!$C$2))/12)))))</f>
        <v/>
      </c>
      <c r="D4268" s="394"/>
      <c r="E4268" s="78" t="str">
        <f>IF(C4268="","",IFERROR(VLOOKUP(C4268,parametros!$A$11:$E$15,5,0),""))</f>
        <v/>
      </c>
      <c r="F4268" s="79" t="str">
        <f t="shared" si="332"/>
        <v/>
      </c>
      <c r="G4268" s="395"/>
      <c r="H4268" s="91">
        <f t="shared" si="333"/>
        <v>0</v>
      </c>
      <c r="I4268" s="91" t="str">
        <f t="shared" si="334"/>
        <v/>
      </c>
      <c r="J4268" s="91" t="str">
        <f t="shared" si="335"/>
        <v/>
      </c>
      <c r="K4268" s="92" t="str">
        <f>IF(AND(A4268="",B4268="",D4268="",G4268=""),"",IF(AND(A4268&lt;&gt;"",COUNTIF($A$2:$A$5001,A4268)&gt;1),"NUMERO_PC duplicado",IF(B4268="","DATA_PC vazia",IF(NOT(ISNUMBER(B4268)),"DATA_PC invalida",IF(OR(C4268="",C4268="Fora dos ciclos"),"CICLO_PC nao identificado",IF(OR(D4268="",D4268=0),"VALOR_PC vazio ou zero",IF(AND(G4268&lt;&gt;"Sim",G4268&lt;&gt;"Nao",G4268&lt;&gt;""),"PC_PAGO_A_CONTRATADA invalido",IF(AND(C4268&lt;&gt;"C0",IFERROR(INDEX(parametros!$A$2:$A$6,MATCH(C4268,parametros!$B$2:$B$6,0)),"")="Sim",IFERROR(INDEX(parametros!$H$2:$H$6,MATCH(C4268,parametros!$B$2:$B$6,0)),"")=""),"INICIO_EFEITO ausente: PC "&amp;A4268&amp;" - "&amp;C4268,IF(L4268="","EFEITO_PC nao calculado: PC "&amp;A4268&amp;" - "&amp;C4268,"OK")))))))))</f>
        <v/>
      </c>
      <c r="L4268" s="92" t="str">
        <f>IF(AND(A4268="",B4268="",D4268="",G4268=""),"",IF(OR(B4268="",NOT(ISNUMBER(B4268)),C4268="",C4268="Fora dos ciclos"),"",IF(C4268="C0","Nao",IF(IFERROR(INDEX(parametros!$A$2:$A$6,MATCH(C4268,parametros!$B$2:$B$6,0)),"")&lt;&gt;"Sim","Nao",IF(IFERROR(INDEX(parametros!$H$2:$H$6,MATCH(C4268,parametros!$B$2:$B$6,0)),"")="","",IF(B4268&gt;=IFERROR(INDEX(parametros!$H$2:$H$6,MATCH(C4268,parametros!$B$2:$B$6,0)),""),"Sim","Nao"))))))</f>
        <v/>
      </c>
      <c r="T4268" s="156"/>
      <c r="U4268" s="214" t="str">
        <f t="shared" si="336"/>
        <v/>
      </c>
      <c r="V4268" s="212" t="s">
        <v>50</v>
      </c>
      <c r="W4268" s="100" t="s">
        <v>168</v>
      </c>
      <c r="X4268" s="100" t="s">
        <v>169</v>
      </c>
      <c r="Y4268" s="101" t="s">
        <v>170</v>
      </c>
      <c r="Z4268" s="101" t="s">
        <v>171</v>
      </c>
      <c r="AA4268" s="101" t="s">
        <v>50</v>
      </c>
      <c r="AB4268" s="101" t="s">
        <v>172</v>
      </c>
      <c r="AC4268" s="102" t="s">
        <v>173</v>
      </c>
    </row>
    <row r="4269" spans="1:29" ht="25.5" customHeight="1" x14ac:dyDescent="0.35">
      <c r="A4269" s="392"/>
      <c r="B4269" s="393"/>
      <c r="C4269" s="99" t="str">
        <f>IF(B4269="","",IF(NOT(ISNUMBER(B4269)),"DATA_PC invalida",IF(NOT(ISNUMBER(parametros!$C$2)),"Fora dos ciclos",IF(OR(B4269&lt;parametros!$C$2,(YEAR(B4269)-YEAR(parametros!$C$2))*12+MONTH(B4269)-MONTH(parametros!$C$2)&gt;59),"Fora dos ciclos","C"&amp;INT(((YEAR(B4269)-YEAR(parametros!$C$2))*12+MONTH(B4269)-MONTH(parametros!$C$2))/12)))))</f>
        <v/>
      </c>
      <c r="D4269" s="394"/>
      <c r="E4269" s="78" t="str">
        <f>IF(C4269="","",IFERROR(VLOOKUP(C4269,parametros!$A$11:$E$15,5,0),""))</f>
        <v/>
      </c>
      <c r="F4269" s="79" t="str">
        <f t="shared" si="332"/>
        <v/>
      </c>
      <c r="G4269" s="395"/>
      <c r="H4269" s="91">
        <f t="shared" si="333"/>
        <v>0</v>
      </c>
      <c r="I4269" s="91" t="str">
        <f t="shared" si="334"/>
        <v/>
      </c>
      <c r="J4269" s="91" t="str">
        <f t="shared" si="335"/>
        <v/>
      </c>
      <c r="K4269" s="92" t="str">
        <f>IF(AND(A4269="",B4269="",D4269="",G4269=""),"",IF(AND(A4269&lt;&gt;"",COUNTIF($A$2:$A$5001,A4269)&gt;1),"NUMERO_PC duplicado",IF(B4269="","DATA_PC vazia",IF(NOT(ISNUMBER(B4269)),"DATA_PC invalida",IF(OR(C4269="",C4269="Fora dos ciclos"),"CICLO_PC nao identificado",IF(OR(D4269="",D4269=0),"VALOR_PC vazio ou zero",IF(AND(G4269&lt;&gt;"Sim",G4269&lt;&gt;"Nao",G4269&lt;&gt;""),"PC_PAGO_A_CONTRATADA invalido",IF(AND(C4269&lt;&gt;"C0",IFERROR(INDEX(parametros!$A$2:$A$6,MATCH(C4269,parametros!$B$2:$B$6,0)),"")="Sim",IFERROR(INDEX(parametros!$H$2:$H$6,MATCH(C4269,parametros!$B$2:$B$6,0)),"")=""),"INICIO_EFEITO ausente: PC "&amp;A4269&amp;" - "&amp;C4269,IF(L4269="","EFEITO_PC nao calculado: PC "&amp;A4269&amp;" - "&amp;C4269,"OK")))))))))</f>
        <v/>
      </c>
      <c r="L4269" s="92" t="str">
        <f>IF(AND(A4269="",B4269="",D4269="",G4269=""),"",IF(OR(B4269="",NOT(ISNUMBER(B4269)),C4269="",C4269="Fora dos ciclos"),"",IF(C4269="C0","Nao",IF(IFERROR(INDEX(parametros!$A$2:$A$6,MATCH(C4269,parametros!$B$2:$B$6,0)),"")&lt;&gt;"Sim","Nao",IF(IFERROR(INDEX(parametros!$H$2:$H$6,MATCH(C4269,parametros!$B$2:$B$6,0)),"")="","",IF(B4269&gt;=IFERROR(INDEX(parametros!$H$2:$H$6,MATCH(C4269,parametros!$B$2:$B$6,0)),""),"Sim","Nao"))))))</f>
        <v/>
      </c>
      <c r="T4269" s="156"/>
      <c r="U4269" s="214" t="str">
        <f t="shared" si="336"/>
        <v/>
      </c>
      <c r="V4269" s="212" t="s">
        <v>50</v>
      </c>
      <c r="W4269" s="100" t="s">
        <v>168</v>
      </c>
      <c r="X4269" s="100" t="s">
        <v>169</v>
      </c>
      <c r="Y4269" s="101" t="s">
        <v>170</v>
      </c>
      <c r="Z4269" s="101" t="s">
        <v>171</v>
      </c>
      <c r="AA4269" s="101" t="s">
        <v>50</v>
      </c>
      <c r="AB4269" s="101" t="s">
        <v>172</v>
      </c>
      <c r="AC4269" s="102" t="s">
        <v>173</v>
      </c>
    </row>
    <row r="4270" spans="1:29" ht="25.5" customHeight="1" x14ac:dyDescent="0.35">
      <c r="A4270" s="392"/>
      <c r="B4270" s="393"/>
      <c r="C4270" s="99" t="str">
        <f>IF(B4270="","",IF(NOT(ISNUMBER(B4270)),"DATA_PC invalida",IF(NOT(ISNUMBER(parametros!$C$2)),"Fora dos ciclos",IF(OR(B4270&lt;parametros!$C$2,(YEAR(B4270)-YEAR(parametros!$C$2))*12+MONTH(B4270)-MONTH(parametros!$C$2)&gt;59),"Fora dos ciclos","C"&amp;INT(((YEAR(B4270)-YEAR(parametros!$C$2))*12+MONTH(B4270)-MONTH(parametros!$C$2))/12)))))</f>
        <v/>
      </c>
      <c r="D4270" s="394"/>
      <c r="E4270" s="78" t="str">
        <f>IF(C4270="","",IFERROR(VLOOKUP(C4270,parametros!$A$11:$E$15,5,0),""))</f>
        <v/>
      </c>
      <c r="F4270" s="79" t="str">
        <f t="shared" si="332"/>
        <v/>
      </c>
      <c r="G4270" s="395"/>
      <c r="H4270" s="91">
        <f t="shared" si="333"/>
        <v>0</v>
      </c>
      <c r="I4270" s="91" t="str">
        <f t="shared" si="334"/>
        <v/>
      </c>
      <c r="J4270" s="91" t="str">
        <f t="shared" si="335"/>
        <v/>
      </c>
      <c r="K4270" s="92" t="str">
        <f>IF(AND(A4270="",B4270="",D4270="",G4270=""),"",IF(AND(A4270&lt;&gt;"",COUNTIF($A$2:$A$5001,A4270)&gt;1),"NUMERO_PC duplicado",IF(B4270="","DATA_PC vazia",IF(NOT(ISNUMBER(B4270)),"DATA_PC invalida",IF(OR(C4270="",C4270="Fora dos ciclos"),"CICLO_PC nao identificado",IF(OR(D4270="",D4270=0),"VALOR_PC vazio ou zero",IF(AND(G4270&lt;&gt;"Sim",G4270&lt;&gt;"Nao",G4270&lt;&gt;""),"PC_PAGO_A_CONTRATADA invalido",IF(AND(C4270&lt;&gt;"C0",IFERROR(INDEX(parametros!$A$2:$A$6,MATCH(C4270,parametros!$B$2:$B$6,0)),"")="Sim",IFERROR(INDEX(parametros!$H$2:$H$6,MATCH(C4270,parametros!$B$2:$B$6,0)),"")=""),"INICIO_EFEITO ausente: PC "&amp;A4270&amp;" - "&amp;C4270,IF(L4270="","EFEITO_PC nao calculado: PC "&amp;A4270&amp;" - "&amp;C4270,"OK")))))))))</f>
        <v/>
      </c>
      <c r="L4270" s="92" t="str">
        <f>IF(AND(A4270="",B4270="",D4270="",G4270=""),"",IF(OR(B4270="",NOT(ISNUMBER(B4270)),C4270="",C4270="Fora dos ciclos"),"",IF(C4270="C0","Nao",IF(IFERROR(INDEX(parametros!$A$2:$A$6,MATCH(C4270,parametros!$B$2:$B$6,0)),"")&lt;&gt;"Sim","Nao",IF(IFERROR(INDEX(parametros!$H$2:$H$6,MATCH(C4270,parametros!$B$2:$B$6,0)),"")="","",IF(B4270&gt;=IFERROR(INDEX(parametros!$H$2:$H$6,MATCH(C4270,parametros!$B$2:$B$6,0)),""),"Sim","Nao"))))))</f>
        <v/>
      </c>
      <c r="T4270" s="156"/>
      <c r="U4270" s="214" t="str">
        <f t="shared" si="336"/>
        <v/>
      </c>
      <c r="V4270" s="212" t="s">
        <v>50</v>
      </c>
      <c r="W4270" s="100" t="s">
        <v>168</v>
      </c>
      <c r="X4270" s="100" t="s">
        <v>169</v>
      </c>
      <c r="Y4270" s="101" t="s">
        <v>170</v>
      </c>
      <c r="Z4270" s="101" t="s">
        <v>171</v>
      </c>
      <c r="AA4270" s="101" t="s">
        <v>50</v>
      </c>
      <c r="AB4270" s="101" t="s">
        <v>172</v>
      </c>
      <c r="AC4270" s="102" t="s">
        <v>173</v>
      </c>
    </row>
    <row r="4271" spans="1:29" ht="25.5" customHeight="1" x14ac:dyDescent="0.35">
      <c r="A4271" s="392"/>
      <c r="B4271" s="393"/>
      <c r="C4271" s="99" t="str">
        <f>IF(B4271="","",IF(NOT(ISNUMBER(B4271)),"DATA_PC invalida",IF(NOT(ISNUMBER(parametros!$C$2)),"Fora dos ciclos",IF(OR(B4271&lt;parametros!$C$2,(YEAR(B4271)-YEAR(parametros!$C$2))*12+MONTH(B4271)-MONTH(parametros!$C$2)&gt;59),"Fora dos ciclos","C"&amp;INT(((YEAR(B4271)-YEAR(parametros!$C$2))*12+MONTH(B4271)-MONTH(parametros!$C$2))/12)))))</f>
        <v/>
      </c>
      <c r="D4271" s="394"/>
      <c r="E4271" s="78" t="str">
        <f>IF(C4271="","",IFERROR(VLOOKUP(C4271,parametros!$A$11:$E$15,5,0),""))</f>
        <v/>
      </c>
      <c r="F4271" s="79" t="str">
        <f t="shared" si="332"/>
        <v/>
      </c>
      <c r="G4271" s="395"/>
      <c r="H4271" s="91">
        <f t="shared" si="333"/>
        <v>0</v>
      </c>
      <c r="I4271" s="91" t="str">
        <f t="shared" si="334"/>
        <v/>
      </c>
      <c r="J4271" s="91" t="str">
        <f t="shared" si="335"/>
        <v/>
      </c>
      <c r="K4271" s="92" t="str">
        <f>IF(AND(A4271="",B4271="",D4271="",G4271=""),"",IF(AND(A4271&lt;&gt;"",COUNTIF($A$2:$A$5001,A4271)&gt;1),"NUMERO_PC duplicado",IF(B4271="","DATA_PC vazia",IF(NOT(ISNUMBER(B4271)),"DATA_PC invalida",IF(OR(C4271="",C4271="Fora dos ciclos"),"CICLO_PC nao identificado",IF(OR(D4271="",D4271=0),"VALOR_PC vazio ou zero",IF(AND(G4271&lt;&gt;"Sim",G4271&lt;&gt;"Nao",G4271&lt;&gt;""),"PC_PAGO_A_CONTRATADA invalido",IF(AND(C4271&lt;&gt;"C0",IFERROR(INDEX(parametros!$A$2:$A$6,MATCH(C4271,parametros!$B$2:$B$6,0)),"")="Sim",IFERROR(INDEX(parametros!$H$2:$H$6,MATCH(C4271,parametros!$B$2:$B$6,0)),"")=""),"INICIO_EFEITO ausente: PC "&amp;A4271&amp;" - "&amp;C4271,IF(L4271="","EFEITO_PC nao calculado: PC "&amp;A4271&amp;" - "&amp;C4271,"OK")))))))))</f>
        <v/>
      </c>
      <c r="L4271" s="92" t="str">
        <f>IF(AND(A4271="",B4271="",D4271="",G4271=""),"",IF(OR(B4271="",NOT(ISNUMBER(B4271)),C4271="",C4271="Fora dos ciclos"),"",IF(C4271="C0","Nao",IF(IFERROR(INDEX(parametros!$A$2:$A$6,MATCH(C4271,parametros!$B$2:$B$6,0)),"")&lt;&gt;"Sim","Nao",IF(IFERROR(INDEX(parametros!$H$2:$H$6,MATCH(C4271,parametros!$B$2:$B$6,0)),"")="","",IF(B4271&gt;=IFERROR(INDEX(parametros!$H$2:$H$6,MATCH(C4271,parametros!$B$2:$B$6,0)),""),"Sim","Nao"))))))</f>
        <v/>
      </c>
      <c r="T4271" s="156"/>
      <c r="U4271" s="214" t="str">
        <f t="shared" si="336"/>
        <v/>
      </c>
      <c r="V4271" s="212" t="s">
        <v>50</v>
      </c>
      <c r="W4271" s="100" t="s">
        <v>168</v>
      </c>
      <c r="X4271" s="100" t="s">
        <v>169</v>
      </c>
      <c r="Y4271" s="101" t="s">
        <v>170</v>
      </c>
      <c r="Z4271" s="101" t="s">
        <v>171</v>
      </c>
      <c r="AA4271" s="101" t="s">
        <v>50</v>
      </c>
      <c r="AB4271" s="101" t="s">
        <v>172</v>
      </c>
      <c r="AC4271" s="102" t="s">
        <v>173</v>
      </c>
    </row>
    <row r="4272" spans="1:29" ht="25.5" customHeight="1" x14ac:dyDescent="0.35">
      <c r="A4272" s="392"/>
      <c r="B4272" s="393"/>
      <c r="C4272" s="99" t="str">
        <f>IF(B4272="","",IF(NOT(ISNUMBER(B4272)),"DATA_PC invalida",IF(NOT(ISNUMBER(parametros!$C$2)),"Fora dos ciclos",IF(OR(B4272&lt;parametros!$C$2,(YEAR(B4272)-YEAR(parametros!$C$2))*12+MONTH(B4272)-MONTH(parametros!$C$2)&gt;59),"Fora dos ciclos","C"&amp;INT(((YEAR(B4272)-YEAR(parametros!$C$2))*12+MONTH(B4272)-MONTH(parametros!$C$2))/12)))))</f>
        <v/>
      </c>
      <c r="D4272" s="394"/>
      <c r="E4272" s="78" t="str">
        <f>IF(C4272="","",IFERROR(VLOOKUP(C4272,parametros!$A$11:$E$15,5,0),""))</f>
        <v/>
      </c>
      <c r="F4272" s="79" t="str">
        <f t="shared" si="332"/>
        <v/>
      </c>
      <c r="G4272" s="395"/>
      <c r="H4272" s="91">
        <f t="shared" si="333"/>
        <v>0</v>
      </c>
      <c r="I4272" s="91" t="str">
        <f t="shared" si="334"/>
        <v/>
      </c>
      <c r="J4272" s="91" t="str">
        <f t="shared" si="335"/>
        <v/>
      </c>
      <c r="K4272" s="92" t="str">
        <f>IF(AND(A4272="",B4272="",D4272="",G4272=""),"",IF(AND(A4272&lt;&gt;"",COUNTIF($A$2:$A$5001,A4272)&gt;1),"NUMERO_PC duplicado",IF(B4272="","DATA_PC vazia",IF(NOT(ISNUMBER(B4272)),"DATA_PC invalida",IF(OR(C4272="",C4272="Fora dos ciclos"),"CICLO_PC nao identificado",IF(OR(D4272="",D4272=0),"VALOR_PC vazio ou zero",IF(AND(G4272&lt;&gt;"Sim",G4272&lt;&gt;"Nao",G4272&lt;&gt;""),"PC_PAGO_A_CONTRATADA invalido",IF(AND(C4272&lt;&gt;"C0",IFERROR(INDEX(parametros!$A$2:$A$6,MATCH(C4272,parametros!$B$2:$B$6,0)),"")="Sim",IFERROR(INDEX(parametros!$H$2:$H$6,MATCH(C4272,parametros!$B$2:$B$6,0)),"")=""),"INICIO_EFEITO ausente: PC "&amp;A4272&amp;" - "&amp;C4272,IF(L4272="","EFEITO_PC nao calculado: PC "&amp;A4272&amp;" - "&amp;C4272,"OK")))))))))</f>
        <v/>
      </c>
      <c r="L4272" s="92" t="str">
        <f>IF(AND(A4272="",B4272="",D4272="",G4272=""),"",IF(OR(B4272="",NOT(ISNUMBER(B4272)),C4272="",C4272="Fora dos ciclos"),"",IF(C4272="C0","Nao",IF(IFERROR(INDEX(parametros!$A$2:$A$6,MATCH(C4272,parametros!$B$2:$B$6,0)),"")&lt;&gt;"Sim","Nao",IF(IFERROR(INDEX(parametros!$H$2:$H$6,MATCH(C4272,parametros!$B$2:$B$6,0)),"")="","",IF(B4272&gt;=IFERROR(INDEX(parametros!$H$2:$H$6,MATCH(C4272,parametros!$B$2:$B$6,0)),""),"Sim","Nao"))))))</f>
        <v/>
      </c>
      <c r="T4272" s="156"/>
      <c r="U4272" s="214" t="str">
        <f t="shared" si="336"/>
        <v/>
      </c>
      <c r="V4272" s="212" t="s">
        <v>50</v>
      </c>
      <c r="W4272" s="100" t="s">
        <v>168</v>
      </c>
      <c r="X4272" s="100" t="s">
        <v>169</v>
      </c>
      <c r="Y4272" s="101" t="s">
        <v>170</v>
      </c>
      <c r="Z4272" s="101" t="s">
        <v>171</v>
      </c>
      <c r="AA4272" s="101" t="s">
        <v>50</v>
      </c>
      <c r="AB4272" s="101" t="s">
        <v>172</v>
      </c>
      <c r="AC4272" s="102" t="s">
        <v>173</v>
      </c>
    </row>
    <row r="4273" spans="1:29" ht="25.5" customHeight="1" x14ac:dyDescent="0.35">
      <c r="A4273" s="392"/>
      <c r="B4273" s="393"/>
      <c r="C4273" s="99" t="str">
        <f>IF(B4273="","",IF(NOT(ISNUMBER(B4273)),"DATA_PC invalida",IF(NOT(ISNUMBER(parametros!$C$2)),"Fora dos ciclos",IF(OR(B4273&lt;parametros!$C$2,(YEAR(B4273)-YEAR(parametros!$C$2))*12+MONTH(B4273)-MONTH(parametros!$C$2)&gt;59),"Fora dos ciclos","C"&amp;INT(((YEAR(B4273)-YEAR(parametros!$C$2))*12+MONTH(B4273)-MONTH(parametros!$C$2))/12)))))</f>
        <v/>
      </c>
      <c r="D4273" s="394"/>
      <c r="E4273" s="78" t="str">
        <f>IF(C4273="","",IFERROR(VLOOKUP(C4273,parametros!$A$11:$E$15,5,0),""))</f>
        <v/>
      </c>
      <c r="F4273" s="79" t="str">
        <f t="shared" si="332"/>
        <v/>
      </c>
      <c r="G4273" s="395"/>
      <c r="H4273" s="91">
        <f t="shared" si="333"/>
        <v>0</v>
      </c>
      <c r="I4273" s="91" t="str">
        <f t="shared" si="334"/>
        <v/>
      </c>
      <c r="J4273" s="91" t="str">
        <f t="shared" si="335"/>
        <v/>
      </c>
      <c r="K4273" s="92" t="str">
        <f>IF(AND(A4273="",B4273="",D4273="",G4273=""),"",IF(AND(A4273&lt;&gt;"",COUNTIF($A$2:$A$5001,A4273)&gt;1),"NUMERO_PC duplicado",IF(B4273="","DATA_PC vazia",IF(NOT(ISNUMBER(B4273)),"DATA_PC invalida",IF(OR(C4273="",C4273="Fora dos ciclos"),"CICLO_PC nao identificado",IF(OR(D4273="",D4273=0),"VALOR_PC vazio ou zero",IF(AND(G4273&lt;&gt;"Sim",G4273&lt;&gt;"Nao",G4273&lt;&gt;""),"PC_PAGO_A_CONTRATADA invalido",IF(AND(C4273&lt;&gt;"C0",IFERROR(INDEX(parametros!$A$2:$A$6,MATCH(C4273,parametros!$B$2:$B$6,0)),"")="Sim",IFERROR(INDEX(parametros!$H$2:$H$6,MATCH(C4273,parametros!$B$2:$B$6,0)),"")=""),"INICIO_EFEITO ausente: PC "&amp;A4273&amp;" - "&amp;C4273,IF(L4273="","EFEITO_PC nao calculado: PC "&amp;A4273&amp;" - "&amp;C4273,"OK")))))))))</f>
        <v/>
      </c>
      <c r="L4273" s="92" t="str">
        <f>IF(AND(A4273="",B4273="",D4273="",G4273=""),"",IF(OR(B4273="",NOT(ISNUMBER(B4273)),C4273="",C4273="Fora dos ciclos"),"",IF(C4273="C0","Nao",IF(IFERROR(INDEX(parametros!$A$2:$A$6,MATCH(C4273,parametros!$B$2:$B$6,0)),"")&lt;&gt;"Sim","Nao",IF(IFERROR(INDEX(parametros!$H$2:$H$6,MATCH(C4273,parametros!$B$2:$B$6,0)),"")="","",IF(B4273&gt;=IFERROR(INDEX(parametros!$H$2:$H$6,MATCH(C4273,parametros!$B$2:$B$6,0)),""),"Sim","Nao"))))))</f>
        <v/>
      </c>
      <c r="T4273" s="156"/>
      <c r="U4273" s="214" t="str">
        <f t="shared" si="336"/>
        <v/>
      </c>
      <c r="V4273" s="212" t="s">
        <v>50</v>
      </c>
      <c r="W4273" s="100" t="s">
        <v>168</v>
      </c>
      <c r="X4273" s="100" t="s">
        <v>169</v>
      </c>
      <c r="Y4273" s="101" t="s">
        <v>170</v>
      </c>
      <c r="Z4273" s="101" t="s">
        <v>171</v>
      </c>
      <c r="AA4273" s="101" t="s">
        <v>50</v>
      </c>
      <c r="AB4273" s="101" t="s">
        <v>172</v>
      </c>
      <c r="AC4273" s="102" t="s">
        <v>173</v>
      </c>
    </row>
    <row r="4274" spans="1:29" ht="25.5" customHeight="1" x14ac:dyDescent="0.35">
      <c r="A4274" s="392"/>
      <c r="B4274" s="393"/>
      <c r="C4274" s="99" t="str">
        <f>IF(B4274="","",IF(NOT(ISNUMBER(B4274)),"DATA_PC invalida",IF(NOT(ISNUMBER(parametros!$C$2)),"Fora dos ciclos",IF(OR(B4274&lt;parametros!$C$2,(YEAR(B4274)-YEAR(parametros!$C$2))*12+MONTH(B4274)-MONTH(parametros!$C$2)&gt;59),"Fora dos ciclos","C"&amp;INT(((YEAR(B4274)-YEAR(parametros!$C$2))*12+MONTH(B4274)-MONTH(parametros!$C$2))/12)))))</f>
        <v/>
      </c>
      <c r="D4274" s="394"/>
      <c r="E4274" s="78" t="str">
        <f>IF(C4274="","",IFERROR(VLOOKUP(C4274,parametros!$A$11:$E$15,5,0),""))</f>
        <v/>
      </c>
      <c r="F4274" s="79" t="str">
        <f t="shared" si="332"/>
        <v/>
      </c>
      <c r="G4274" s="395"/>
      <c r="H4274" s="91">
        <f t="shared" si="333"/>
        <v>0</v>
      </c>
      <c r="I4274" s="91" t="str">
        <f t="shared" si="334"/>
        <v/>
      </c>
      <c r="J4274" s="91" t="str">
        <f t="shared" si="335"/>
        <v/>
      </c>
      <c r="K4274" s="92" t="str">
        <f>IF(AND(A4274="",B4274="",D4274="",G4274=""),"",IF(AND(A4274&lt;&gt;"",COUNTIF($A$2:$A$5001,A4274)&gt;1),"NUMERO_PC duplicado",IF(B4274="","DATA_PC vazia",IF(NOT(ISNUMBER(B4274)),"DATA_PC invalida",IF(OR(C4274="",C4274="Fora dos ciclos"),"CICLO_PC nao identificado",IF(OR(D4274="",D4274=0),"VALOR_PC vazio ou zero",IF(AND(G4274&lt;&gt;"Sim",G4274&lt;&gt;"Nao",G4274&lt;&gt;""),"PC_PAGO_A_CONTRATADA invalido",IF(AND(C4274&lt;&gt;"C0",IFERROR(INDEX(parametros!$A$2:$A$6,MATCH(C4274,parametros!$B$2:$B$6,0)),"")="Sim",IFERROR(INDEX(parametros!$H$2:$H$6,MATCH(C4274,parametros!$B$2:$B$6,0)),"")=""),"INICIO_EFEITO ausente: PC "&amp;A4274&amp;" - "&amp;C4274,IF(L4274="","EFEITO_PC nao calculado: PC "&amp;A4274&amp;" - "&amp;C4274,"OK")))))))))</f>
        <v/>
      </c>
      <c r="L4274" s="92" t="str">
        <f>IF(AND(A4274="",B4274="",D4274="",G4274=""),"",IF(OR(B4274="",NOT(ISNUMBER(B4274)),C4274="",C4274="Fora dos ciclos"),"",IF(C4274="C0","Nao",IF(IFERROR(INDEX(parametros!$A$2:$A$6,MATCH(C4274,parametros!$B$2:$B$6,0)),"")&lt;&gt;"Sim","Nao",IF(IFERROR(INDEX(parametros!$H$2:$H$6,MATCH(C4274,parametros!$B$2:$B$6,0)),"")="","",IF(B4274&gt;=IFERROR(INDEX(parametros!$H$2:$H$6,MATCH(C4274,parametros!$B$2:$B$6,0)),""),"Sim","Nao"))))))</f>
        <v/>
      </c>
      <c r="T4274" s="156"/>
      <c r="U4274" s="214" t="str">
        <f t="shared" si="336"/>
        <v/>
      </c>
      <c r="V4274" s="212" t="s">
        <v>50</v>
      </c>
      <c r="W4274" s="100" t="s">
        <v>168</v>
      </c>
      <c r="X4274" s="100" t="s">
        <v>169</v>
      </c>
      <c r="Y4274" s="101" t="s">
        <v>170</v>
      </c>
      <c r="Z4274" s="101" t="s">
        <v>171</v>
      </c>
      <c r="AA4274" s="101" t="s">
        <v>50</v>
      </c>
      <c r="AB4274" s="101" t="s">
        <v>172</v>
      </c>
      <c r="AC4274" s="102" t="s">
        <v>173</v>
      </c>
    </row>
    <row r="4275" spans="1:29" ht="25.5" customHeight="1" x14ac:dyDescent="0.35">
      <c r="A4275" s="392"/>
      <c r="B4275" s="393"/>
      <c r="C4275" s="99" t="str">
        <f>IF(B4275="","",IF(NOT(ISNUMBER(B4275)),"DATA_PC invalida",IF(NOT(ISNUMBER(parametros!$C$2)),"Fora dos ciclos",IF(OR(B4275&lt;parametros!$C$2,(YEAR(B4275)-YEAR(parametros!$C$2))*12+MONTH(B4275)-MONTH(parametros!$C$2)&gt;59),"Fora dos ciclos","C"&amp;INT(((YEAR(B4275)-YEAR(parametros!$C$2))*12+MONTH(B4275)-MONTH(parametros!$C$2))/12)))))</f>
        <v/>
      </c>
      <c r="D4275" s="394"/>
      <c r="E4275" s="78" t="str">
        <f>IF(C4275="","",IFERROR(VLOOKUP(C4275,parametros!$A$11:$E$15,5,0),""))</f>
        <v/>
      </c>
      <c r="F4275" s="79" t="str">
        <f t="shared" si="332"/>
        <v/>
      </c>
      <c r="G4275" s="395"/>
      <c r="H4275" s="91">
        <f t="shared" si="333"/>
        <v>0</v>
      </c>
      <c r="I4275" s="91" t="str">
        <f t="shared" si="334"/>
        <v/>
      </c>
      <c r="J4275" s="91" t="str">
        <f t="shared" si="335"/>
        <v/>
      </c>
      <c r="K4275" s="92" t="str">
        <f>IF(AND(A4275="",B4275="",D4275="",G4275=""),"",IF(AND(A4275&lt;&gt;"",COUNTIF($A$2:$A$5001,A4275)&gt;1),"NUMERO_PC duplicado",IF(B4275="","DATA_PC vazia",IF(NOT(ISNUMBER(B4275)),"DATA_PC invalida",IF(OR(C4275="",C4275="Fora dos ciclos"),"CICLO_PC nao identificado",IF(OR(D4275="",D4275=0),"VALOR_PC vazio ou zero",IF(AND(G4275&lt;&gt;"Sim",G4275&lt;&gt;"Nao",G4275&lt;&gt;""),"PC_PAGO_A_CONTRATADA invalido",IF(AND(C4275&lt;&gt;"C0",IFERROR(INDEX(parametros!$A$2:$A$6,MATCH(C4275,parametros!$B$2:$B$6,0)),"")="Sim",IFERROR(INDEX(parametros!$H$2:$H$6,MATCH(C4275,parametros!$B$2:$B$6,0)),"")=""),"INICIO_EFEITO ausente: PC "&amp;A4275&amp;" - "&amp;C4275,IF(L4275="","EFEITO_PC nao calculado: PC "&amp;A4275&amp;" - "&amp;C4275,"OK")))))))))</f>
        <v/>
      </c>
      <c r="L4275" s="92" t="str">
        <f>IF(AND(A4275="",B4275="",D4275="",G4275=""),"",IF(OR(B4275="",NOT(ISNUMBER(B4275)),C4275="",C4275="Fora dos ciclos"),"",IF(C4275="C0","Nao",IF(IFERROR(INDEX(parametros!$A$2:$A$6,MATCH(C4275,parametros!$B$2:$B$6,0)),"")&lt;&gt;"Sim","Nao",IF(IFERROR(INDEX(parametros!$H$2:$H$6,MATCH(C4275,parametros!$B$2:$B$6,0)),"")="","",IF(B4275&gt;=IFERROR(INDEX(parametros!$H$2:$H$6,MATCH(C4275,parametros!$B$2:$B$6,0)),""),"Sim","Nao"))))))</f>
        <v/>
      </c>
      <c r="T4275" s="156"/>
      <c r="U4275" s="214" t="str">
        <f t="shared" si="336"/>
        <v/>
      </c>
      <c r="V4275" s="212" t="s">
        <v>50</v>
      </c>
      <c r="W4275" s="100" t="s">
        <v>168</v>
      </c>
      <c r="X4275" s="100" t="s">
        <v>169</v>
      </c>
      <c r="Y4275" s="101" t="s">
        <v>170</v>
      </c>
      <c r="Z4275" s="101" t="s">
        <v>171</v>
      </c>
      <c r="AA4275" s="101" t="s">
        <v>50</v>
      </c>
      <c r="AB4275" s="101" t="s">
        <v>172</v>
      </c>
      <c r="AC4275" s="102" t="s">
        <v>173</v>
      </c>
    </row>
    <row r="4276" spans="1:29" ht="25.5" customHeight="1" x14ac:dyDescent="0.35">
      <c r="A4276" s="392"/>
      <c r="B4276" s="393"/>
      <c r="C4276" s="99" t="str">
        <f>IF(B4276="","",IF(NOT(ISNUMBER(B4276)),"DATA_PC invalida",IF(NOT(ISNUMBER(parametros!$C$2)),"Fora dos ciclos",IF(OR(B4276&lt;parametros!$C$2,(YEAR(B4276)-YEAR(parametros!$C$2))*12+MONTH(B4276)-MONTH(parametros!$C$2)&gt;59),"Fora dos ciclos","C"&amp;INT(((YEAR(B4276)-YEAR(parametros!$C$2))*12+MONTH(B4276)-MONTH(parametros!$C$2))/12)))))</f>
        <v/>
      </c>
      <c r="D4276" s="394"/>
      <c r="E4276" s="78" t="str">
        <f>IF(C4276="","",IFERROR(VLOOKUP(C4276,parametros!$A$11:$E$15,5,0),""))</f>
        <v/>
      </c>
      <c r="F4276" s="79" t="str">
        <f t="shared" si="332"/>
        <v/>
      </c>
      <c r="G4276" s="395"/>
      <c r="H4276" s="91">
        <f t="shared" si="333"/>
        <v>0</v>
      </c>
      <c r="I4276" s="91" t="str">
        <f t="shared" si="334"/>
        <v/>
      </c>
      <c r="J4276" s="91" t="str">
        <f t="shared" si="335"/>
        <v/>
      </c>
      <c r="K4276" s="92" t="str">
        <f>IF(AND(A4276="",B4276="",D4276="",G4276=""),"",IF(AND(A4276&lt;&gt;"",COUNTIF($A$2:$A$5001,A4276)&gt;1),"NUMERO_PC duplicado",IF(B4276="","DATA_PC vazia",IF(NOT(ISNUMBER(B4276)),"DATA_PC invalida",IF(OR(C4276="",C4276="Fora dos ciclos"),"CICLO_PC nao identificado",IF(OR(D4276="",D4276=0),"VALOR_PC vazio ou zero",IF(AND(G4276&lt;&gt;"Sim",G4276&lt;&gt;"Nao",G4276&lt;&gt;""),"PC_PAGO_A_CONTRATADA invalido",IF(AND(C4276&lt;&gt;"C0",IFERROR(INDEX(parametros!$A$2:$A$6,MATCH(C4276,parametros!$B$2:$B$6,0)),"")="Sim",IFERROR(INDEX(parametros!$H$2:$H$6,MATCH(C4276,parametros!$B$2:$B$6,0)),"")=""),"INICIO_EFEITO ausente: PC "&amp;A4276&amp;" - "&amp;C4276,IF(L4276="","EFEITO_PC nao calculado: PC "&amp;A4276&amp;" - "&amp;C4276,"OK")))))))))</f>
        <v/>
      </c>
      <c r="L4276" s="92" t="str">
        <f>IF(AND(A4276="",B4276="",D4276="",G4276=""),"",IF(OR(B4276="",NOT(ISNUMBER(B4276)),C4276="",C4276="Fora dos ciclos"),"",IF(C4276="C0","Nao",IF(IFERROR(INDEX(parametros!$A$2:$A$6,MATCH(C4276,parametros!$B$2:$B$6,0)),"")&lt;&gt;"Sim","Nao",IF(IFERROR(INDEX(parametros!$H$2:$H$6,MATCH(C4276,parametros!$B$2:$B$6,0)),"")="","",IF(B4276&gt;=IFERROR(INDEX(parametros!$H$2:$H$6,MATCH(C4276,parametros!$B$2:$B$6,0)),""),"Sim","Nao"))))))</f>
        <v/>
      </c>
      <c r="T4276" s="156"/>
      <c r="U4276" s="214" t="str">
        <f t="shared" si="336"/>
        <v/>
      </c>
      <c r="V4276" s="212" t="s">
        <v>50</v>
      </c>
      <c r="W4276" s="100" t="s">
        <v>168</v>
      </c>
      <c r="X4276" s="100" t="s">
        <v>169</v>
      </c>
      <c r="Y4276" s="101" t="s">
        <v>170</v>
      </c>
      <c r="Z4276" s="101" t="s">
        <v>171</v>
      </c>
      <c r="AA4276" s="101" t="s">
        <v>50</v>
      </c>
      <c r="AB4276" s="101" t="s">
        <v>172</v>
      </c>
      <c r="AC4276" s="102" t="s">
        <v>173</v>
      </c>
    </row>
    <row r="4277" spans="1:29" ht="25.5" customHeight="1" x14ac:dyDescent="0.35">
      <c r="A4277" s="392"/>
      <c r="B4277" s="393"/>
      <c r="C4277" s="99" t="str">
        <f>IF(B4277="","",IF(NOT(ISNUMBER(B4277)),"DATA_PC invalida",IF(NOT(ISNUMBER(parametros!$C$2)),"Fora dos ciclos",IF(OR(B4277&lt;parametros!$C$2,(YEAR(B4277)-YEAR(parametros!$C$2))*12+MONTH(B4277)-MONTH(parametros!$C$2)&gt;59),"Fora dos ciclos","C"&amp;INT(((YEAR(B4277)-YEAR(parametros!$C$2))*12+MONTH(B4277)-MONTH(parametros!$C$2))/12)))))</f>
        <v/>
      </c>
      <c r="D4277" s="394"/>
      <c r="E4277" s="78" t="str">
        <f>IF(C4277="","",IFERROR(VLOOKUP(C4277,parametros!$A$11:$E$15,5,0),""))</f>
        <v/>
      </c>
      <c r="F4277" s="79" t="str">
        <f t="shared" si="332"/>
        <v/>
      </c>
      <c r="G4277" s="395"/>
      <c r="H4277" s="91">
        <f t="shared" si="333"/>
        <v>0</v>
      </c>
      <c r="I4277" s="91" t="str">
        <f t="shared" si="334"/>
        <v/>
      </c>
      <c r="J4277" s="91" t="str">
        <f t="shared" si="335"/>
        <v/>
      </c>
      <c r="K4277" s="92" t="str">
        <f>IF(AND(A4277="",B4277="",D4277="",G4277=""),"",IF(AND(A4277&lt;&gt;"",COUNTIF($A$2:$A$5001,A4277)&gt;1),"NUMERO_PC duplicado",IF(B4277="","DATA_PC vazia",IF(NOT(ISNUMBER(B4277)),"DATA_PC invalida",IF(OR(C4277="",C4277="Fora dos ciclos"),"CICLO_PC nao identificado",IF(OR(D4277="",D4277=0),"VALOR_PC vazio ou zero",IF(AND(G4277&lt;&gt;"Sim",G4277&lt;&gt;"Nao",G4277&lt;&gt;""),"PC_PAGO_A_CONTRATADA invalido",IF(AND(C4277&lt;&gt;"C0",IFERROR(INDEX(parametros!$A$2:$A$6,MATCH(C4277,parametros!$B$2:$B$6,0)),"")="Sim",IFERROR(INDEX(parametros!$H$2:$H$6,MATCH(C4277,parametros!$B$2:$B$6,0)),"")=""),"INICIO_EFEITO ausente: PC "&amp;A4277&amp;" - "&amp;C4277,IF(L4277="","EFEITO_PC nao calculado: PC "&amp;A4277&amp;" - "&amp;C4277,"OK")))))))))</f>
        <v/>
      </c>
      <c r="L4277" s="92" t="str">
        <f>IF(AND(A4277="",B4277="",D4277="",G4277=""),"",IF(OR(B4277="",NOT(ISNUMBER(B4277)),C4277="",C4277="Fora dos ciclos"),"",IF(C4277="C0","Nao",IF(IFERROR(INDEX(parametros!$A$2:$A$6,MATCH(C4277,parametros!$B$2:$B$6,0)),"")&lt;&gt;"Sim","Nao",IF(IFERROR(INDEX(parametros!$H$2:$H$6,MATCH(C4277,parametros!$B$2:$B$6,0)),"")="","",IF(B4277&gt;=IFERROR(INDEX(parametros!$H$2:$H$6,MATCH(C4277,parametros!$B$2:$B$6,0)),""),"Sim","Nao"))))))</f>
        <v/>
      </c>
      <c r="T4277" s="156"/>
      <c r="U4277" s="214" t="str">
        <f t="shared" si="336"/>
        <v/>
      </c>
      <c r="V4277" s="212" t="s">
        <v>50</v>
      </c>
      <c r="W4277" s="100" t="s">
        <v>168</v>
      </c>
      <c r="X4277" s="100" t="s">
        <v>169</v>
      </c>
      <c r="Y4277" s="101" t="s">
        <v>170</v>
      </c>
      <c r="Z4277" s="101" t="s">
        <v>171</v>
      </c>
      <c r="AA4277" s="101" t="s">
        <v>50</v>
      </c>
      <c r="AB4277" s="101" t="s">
        <v>172</v>
      </c>
      <c r="AC4277" s="102" t="s">
        <v>173</v>
      </c>
    </row>
    <row r="4278" spans="1:29" ht="25.5" customHeight="1" x14ac:dyDescent="0.35">
      <c r="A4278" s="392"/>
      <c r="B4278" s="393"/>
      <c r="C4278" s="99" t="str">
        <f>IF(B4278="","",IF(NOT(ISNUMBER(B4278)),"DATA_PC invalida",IF(NOT(ISNUMBER(parametros!$C$2)),"Fora dos ciclos",IF(OR(B4278&lt;parametros!$C$2,(YEAR(B4278)-YEAR(parametros!$C$2))*12+MONTH(B4278)-MONTH(parametros!$C$2)&gt;59),"Fora dos ciclos","C"&amp;INT(((YEAR(B4278)-YEAR(parametros!$C$2))*12+MONTH(B4278)-MONTH(parametros!$C$2))/12)))))</f>
        <v/>
      </c>
      <c r="D4278" s="394"/>
      <c r="E4278" s="78" t="str">
        <f>IF(C4278="","",IFERROR(VLOOKUP(C4278,parametros!$A$11:$E$15,5,0),""))</f>
        <v/>
      </c>
      <c r="F4278" s="79" t="str">
        <f t="shared" si="332"/>
        <v/>
      </c>
      <c r="G4278" s="395"/>
      <c r="H4278" s="91">
        <f t="shared" si="333"/>
        <v>0</v>
      </c>
      <c r="I4278" s="91" t="str">
        <f t="shared" si="334"/>
        <v/>
      </c>
      <c r="J4278" s="91" t="str">
        <f t="shared" si="335"/>
        <v/>
      </c>
      <c r="K4278" s="92" t="str">
        <f>IF(AND(A4278="",B4278="",D4278="",G4278=""),"",IF(AND(A4278&lt;&gt;"",COUNTIF($A$2:$A$5001,A4278)&gt;1),"NUMERO_PC duplicado",IF(B4278="","DATA_PC vazia",IF(NOT(ISNUMBER(B4278)),"DATA_PC invalida",IF(OR(C4278="",C4278="Fora dos ciclos"),"CICLO_PC nao identificado",IF(OR(D4278="",D4278=0),"VALOR_PC vazio ou zero",IF(AND(G4278&lt;&gt;"Sim",G4278&lt;&gt;"Nao",G4278&lt;&gt;""),"PC_PAGO_A_CONTRATADA invalido",IF(AND(C4278&lt;&gt;"C0",IFERROR(INDEX(parametros!$A$2:$A$6,MATCH(C4278,parametros!$B$2:$B$6,0)),"")="Sim",IFERROR(INDEX(parametros!$H$2:$H$6,MATCH(C4278,parametros!$B$2:$B$6,0)),"")=""),"INICIO_EFEITO ausente: PC "&amp;A4278&amp;" - "&amp;C4278,IF(L4278="","EFEITO_PC nao calculado: PC "&amp;A4278&amp;" - "&amp;C4278,"OK")))))))))</f>
        <v/>
      </c>
      <c r="L4278" s="92" t="str">
        <f>IF(AND(A4278="",B4278="",D4278="",G4278=""),"",IF(OR(B4278="",NOT(ISNUMBER(B4278)),C4278="",C4278="Fora dos ciclos"),"",IF(C4278="C0","Nao",IF(IFERROR(INDEX(parametros!$A$2:$A$6,MATCH(C4278,parametros!$B$2:$B$6,0)),"")&lt;&gt;"Sim","Nao",IF(IFERROR(INDEX(parametros!$H$2:$H$6,MATCH(C4278,parametros!$B$2:$B$6,0)),"")="","",IF(B4278&gt;=IFERROR(INDEX(parametros!$H$2:$H$6,MATCH(C4278,parametros!$B$2:$B$6,0)),""),"Sim","Nao"))))))</f>
        <v/>
      </c>
      <c r="T4278" s="156"/>
      <c r="U4278" s="214" t="str">
        <f t="shared" si="336"/>
        <v/>
      </c>
      <c r="V4278" s="212" t="s">
        <v>50</v>
      </c>
      <c r="W4278" s="100" t="s">
        <v>168</v>
      </c>
      <c r="X4278" s="100" t="s">
        <v>169</v>
      </c>
      <c r="Y4278" s="101" t="s">
        <v>170</v>
      </c>
      <c r="Z4278" s="101" t="s">
        <v>171</v>
      </c>
      <c r="AA4278" s="101" t="s">
        <v>50</v>
      </c>
      <c r="AB4278" s="101" t="s">
        <v>172</v>
      </c>
      <c r="AC4278" s="102" t="s">
        <v>173</v>
      </c>
    </row>
    <row r="4279" spans="1:29" ht="25.5" customHeight="1" x14ac:dyDescent="0.35">
      <c r="A4279" s="392"/>
      <c r="B4279" s="393"/>
      <c r="C4279" s="99" t="str">
        <f>IF(B4279="","",IF(NOT(ISNUMBER(B4279)),"DATA_PC invalida",IF(NOT(ISNUMBER(parametros!$C$2)),"Fora dos ciclos",IF(OR(B4279&lt;parametros!$C$2,(YEAR(B4279)-YEAR(parametros!$C$2))*12+MONTH(B4279)-MONTH(parametros!$C$2)&gt;59),"Fora dos ciclos","C"&amp;INT(((YEAR(B4279)-YEAR(parametros!$C$2))*12+MONTH(B4279)-MONTH(parametros!$C$2))/12)))))</f>
        <v/>
      </c>
      <c r="D4279" s="394"/>
      <c r="E4279" s="78" t="str">
        <f>IF(C4279="","",IFERROR(VLOOKUP(C4279,parametros!$A$11:$E$15,5,0),""))</f>
        <v/>
      </c>
      <c r="F4279" s="79" t="str">
        <f t="shared" si="332"/>
        <v/>
      </c>
      <c r="G4279" s="395"/>
      <c r="H4279" s="91">
        <f t="shared" si="333"/>
        <v>0</v>
      </c>
      <c r="I4279" s="91" t="str">
        <f t="shared" si="334"/>
        <v/>
      </c>
      <c r="J4279" s="91" t="str">
        <f t="shared" si="335"/>
        <v/>
      </c>
      <c r="K4279" s="92" t="str">
        <f>IF(AND(A4279="",B4279="",D4279="",G4279=""),"",IF(AND(A4279&lt;&gt;"",COUNTIF($A$2:$A$5001,A4279)&gt;1),"NUMERO_PC duplicado",IF(B4279="","DATA_PC vazia",IF(NOT(ISNUMBER(B4279)),"DATA_PC invalida",IF(OR(C4279="",C4279="Fora dos ciclos"),"CICLO_PC nao identificado",IF(OR(D4279="",D4279=0),"VALOR_PC vazio ou zero",IF(AND(G4279&lt;&gt;"Sim",G4279&lt;&gt;"Nao",G4279&lt;&gt;""),"PC_PAGO_A_CONTRATADA invalido",IF(AND(C4279&lt;&gt;"C0",IFERROR(INDEX(parametros!$A$2:$A$6,MATCH(C4279,parametros!$B$2:$B$6,0)),"")="Sim",IFERROR(INDEX(parametros!$H$2:$H$6,MATCH(C4279,parametros!$B$2:$B$6,0)),"")=""),"INICIO_EFEITO ausente: PC "&amp;A4279&amp;" - "&amp;C4279,IF(L4279="","EFEITO_PC nao calculado: PC "&amp;A4279&amp;" - "&amp;C4279,"OK")))))))))</f>
        <v/>
      </c>
      <c r="L4279" s="92" t="str">
        <f>IF(AND(A4279="",B4279="",D4279="",G4279=""),"",IF(OR(B4279="",NOT(ISNUMBER(B4279)),C4279="",C4279="Fora dos ciclos"),"",IF(C4279="C0","Nao",IF(IFERROR(INDEX(parametros!$A$2:$A$6,MATCH(C4279,parametros!$B$2:$B$6,0)),"")&lt;&gt;"Sim","Nao",IF(IFERROR(INDEX(parametros!$H$2:$H$6,MATCH(C4279,parametros!$B$2:$B$6,0)),"")="","",IF(B4279&gt;=IFERROR(INDEX(parametros!$H$2:$H$6,MATCH(C4279,parametros!$B$2:$B$6,0)),""),"Sim","Nao"))))))</f>
        <v/>
      </c>
      <c r="T4279" s="156"/>
      <c r="U4279" s="214" t="str">
        <f t="shared" si="336"/>
        <v/>
      </c>
      <c r="V4279" s="212" t="s">
        <v>50</v>
      </c>
      <c r="W4279" s="100" t="s">
        <v>168</v>
      </c>
      <c r="X4279" s="100" t="s">
        <v>169</v>
      </c>
      <c r="Y4279" s="101" t="s">
        <v>170</v>
      </c>
      <c r="Z4279" s="101" t="s">
        <v>171</v>
      </c>
      <c r="AA4279" s="101" t="s">
        <v>50</v>
      </c>
      <c r="AB4279" s="101" t="s">
        <v>172</v>
      </c>
      <c r="AC4279" s="102" t="s">
        <v>173</v>
      </c>
    </row>
    <row r="4280" spans="1:29" ht="25.5" customHeight="1" x14ac:dyDescent="0.35">
      <c r="A4280" s="392"/>
      <c r="B4280" s="393"/>
      <c r="C4280" s="99" t="str">
        <f>IF(B4280="","",IF(NOT(ISNUMBER(B4280)),"DATA_PC invalida",IF(NOT(ISNUMBER(parametros!$C$2)),"Fora dos ciclos",IF(OR(B4280&lt;parametros!$C$2,(YEAR(B4280)-YEAR(parametros!$C$2))*12+MONTH(B4280)-MONTH(parametros!$C$2)&gt;59),"Fora dos ciclos","C"&amp;INT(((YEAR(B4280)-YEAR(parametros!$C$2))*12+MONTH(B4280)-MONTH(parametros!$C$2))/12)))))</f>
        <v/>
      </c>
      <c r="D4280" s="394"/>
      <c r="E4280" s="78" t="str">
        <f>IF(C4280="","",IFERROR(VLOOKUP(C4280,parametros!$A$11:$E$15,5,0),""))</f>
        <v/>
      </c>
      <c r="F4280" s="79" t="str">
        <f t="shared" si="332"/>
        <v/>
      </c>
      <c r="G4280" s="395"/>
      <c r="H4280" s="91">
        <f t="shared" si="333"/>
        <v>0</v>
      </c>
      <c r="I4280" s="91" t="str">
        <f t="shared" si="334"/>
        <v/>
      </c>
      <c r="J4280" s="91" t="str">
        <f t="shared" si="335"/>
        <v/>
      </c>
      <c r="K4280" s="92" t="str">
        <f>IF(AND(A4280="",B4280="",D4280="",G4280=""),"",IF(AND(A4280&lt;&gt;"",COUNTIF($A$2:$A$5001,A4280)&gt;1),"NUMERO_PC duplicado",IF(B4280="","DATA_PC vazia",IF(NOT(ISNUMBER(B4280)),"DATA_PC invalida",IF(OR(C4280="",C4280="Fora dos ciclos"),"CICLO_PC nao identificado",IF(OR(D4280="",D4280=0),"VALOR_PC vazio ou zero",IF(AND(G4280&lt;&gt;"Sim",G4280&lt;&gt;"Nao",G4280&lt;&gt;""),"PC_PAGO_A_CONTRATADA invalido",IF(AND(C4280&lt;&gt;"C0",IFERROR(INDEX(parametros!$A$2:$A$6,MATCH(C4280,parametros!$B$2:$B$6,0)),"")="Sim",IFERROR(INDEX(parametros!$H$2:$H$6,MATCH(C4280,parametros!$B$2:$B$6,0)),"")=""),"INICIO_EFEITO ausente: PC "&amp;A4280&amp;" - "&amp;C4280,IF(L4280="","EFEITO_PC nao calculado: PC "&amp;A4280&amp;" - "&amp;C4280,"OK")))))))))</f>
        <v/>
      </c>
      <c r="L4280" s="92" t="str">
        <f>IF(AND(A4280="",B4280="",D4280="",G4280=""),"",IF(OR(B4280="",NOT(ISNUMBER(B4280)),C4280="",C4280="Fora dos ciclos"),"",IF(C4280="C0","Nao",IF(IFERROR(INDEX(parametros!$A$2:$A$6,MATCH(C4280,parametros!$B$2:$B$6,0)),"")&lt;&gt;"Sim","Nao",IF(IFERROR(INDEX(parametros!$H$2:$H$6,MATCH(C4280,parametros!$B$2:$B$6,0)),"")="","",IF(B4280&gt;=IFERROR(INDEX(parametros!$H$2:$H$6,MATCH(C4280,parametros!$B$2:$B$6,0)),""),"Sim","Nao"))))))</f>
        <v/>
      </c>
      <c r="T4280" s="156"/>
      <c r="U4280" s="214" t="str">
        <f t="shared" si="336"/>
        <v/>
      </c>
      <c r="V4280" s="212" t="s">
        <v>50</v>
      </c>
      <c r="W4280" s="100" t="s">
        <v>168</v>
      </c>
      <c r="X4280" s="100" t="s">
        <v>169</v>
      </c>
      <c r="Y4280" s="101" t="s">
        <v>170</v>
      </c>
      <c r="Z4280" s="101" t="s">
        <v>171</v>
      </c>
      <c r="AA4280" s="101" t="s">
        <v>50</v>
      </c>
      <c r="AB4280" s="101" t="s">
        <v>172</v>
      </c>
      <c r="AC4280" s="102" t="s">
        <v>173</v>
      </c>
    </row>
    <row r="4281" spans="1:29" ht="25.5" customHeight="1" x14ac:dyDescent="0.35">
      <c r="A4281" s="392"/>
      <c r="B4281" s="393"/>
      <c r="C4281" s="99" t="str">
        <f>IF(B4281="","",IF(NOT(ISNUMBER(B4281)),"DATA_PC invalida",IF(NOT(ISNUMBER(parametros!$C$2)),"Fora dos ciclos",IF(OR(B4281&lt;parametros!$C$2,(YEAR(B4281)-YEAR(parametros!$C$2))*12+MONTH(B4281)-MONTH(parametros!$C$2)&gt;59),"Fora dos ciclos","C"&amp;INT(((YEAR(B4281)-YEAR(parametros!$C$2))*12+MONTH(B4281)-MONTH(parametros!$C$2))/12)))))</f>
        <v/>
      </c>
      <c r="D4281" s="394"/>
      <c r="E4281" s="78" t="str">
        <f>IF(C4281="","",IFERROR(VLOOKUP(C4281,parametros!$A$11:$E$15,5,0),""))</f>
        <v/>
      </c>
      <c r="F4281" s="79" t="str">
        <f t="shared" si="332"/>
        <v/>
      </c>
      <c r="G4281" s="395"/>
      <c r="H4281" s="91">
        <f t="shared" si="333"/>
        <v>0</v>
      </c>
      <c r="I4281" s="91" t="str">
        <f t="shared" si="334"/>
        <v/>
      </c>
      <c r="J4281" s="91" t="str">
        <f t="shared" si="335"/>
        <v/>
      </c>
      <c r="K4281" s="92" t="str">
        <f>IF(AND(A4281="",B4281="",D4281="",G4281=""),"",IF(AND(A4281&lt;&gt;"",COUNTIF($A$2:$A$5001,A4281)&gt;1),"NUMERO_PC duplicado",IF(B4281="","DATA_PC vazia",IF(NOT(ISNUMBER(B4281)),"DATA_PC invalida",IF(OR(C4281="",C4281="Fora dos ciclos"),"CICLO_PC nao identificado",IF(OR(D4281="",D4281=0),"VALOR_PC vazio ou zero",IF(AND(G4281&lt;&gt;"Sim",G4281&lt;&gt;"Nao",G4281&lt;&gt;""),"PC_PAGO_A_CONTRATADA invalido",IF(AND(C4281&lt;&gt;"C0",IFERROR(INDEX(parametros!$A$2:$A$6,MATCH(C4281,parametros!$B$2:$B$6,0)),"")="Sim",IFERROR(INDEX(parametros!$H$2:$H$6,MATCH(C4281,parametros!$B$2:$B$6,0)),"")=""),"INICIO_EFEITO ausente: PC "&amp;A4281&amp;" - "&amp;C4281,IF(L4281="","EFEITO_PC nao calculado: PC "&amp;A4281&amp;" - "&amp;C4281,"OK")))))))))</f>
        <v/>
      </c>
      <c r="L4281" s="92" t="str">
        <f>IF(AND(A4281="",B4281="",D4281="",G4281=""),"",IF(OR(B4281="",NOT(ISNUMBER(B4281)),C4281="",C4281="Fora dos ciclos"),"",IF(C4281="C0","Nao",IF(IFERROR(INDEX(parametros!$A$2:$A$6,MATCH(C4281,parametros!$B$2:$B$6,0)),"")&lt;&gt;"Sim","Nao",IF(IFERROR(INDEX(parametros!$H$2:$H$6,MATCH(C4281,parametros!$B$2:$B$6,0)),"")="","",IF(B4281&gt;=IFERROR(INDEX(parametros!$H$2:$H$6,MATCH(C4281,parametros!$B$2:$B$6,0)),""),"Sim","Nao"))))))</f>
        <v/>
      </c>
      <c r="T4281" s="156"/>
      <c r="U4281" s="214" t="str">
        <f t="shared" si="336"/>
        <v/>
      </c>
      <c r="V4281" s="212" t="s">
        <v>50</v>
      </c>
      <c r="W4281" s="100" t="s">
        <v>168</v>
      </c>
      <c r="X4281" s="100" t="s">
        <v>169</v>
      </c>
      <c r="Y4281" s="101" t="s">
        <v>170</v>
      </c>
      <c r="Z4281" s="101" t="s">
        <v>171</v>
      </c>
      <c r="AA4281" s="101" t="s">
        <v>50</v>
      </c>
      <c r="AB4281" s="101" t="s">
        <v>172</v>
      </c>
      <c r="AC4281" s="102" t="s">
        <v>173</v>
      </c>
    </row>
    <row r="4282" spans="1:29" ht="25.5" customHeight="1" x14ac:dyDescent="0.35">
      <c r="A4282" s="392"/>
      <c r="B4282" s="393"/>
      <c r="C4282" s="99" t="str">
        <f>IF(B4282="","",IF(NOT(ISNUMBER(B4282)),"DATA_PC invalida",IF(NOT(ISNUMBER(parametros!$C$2)),"Fora dos ciclos",IF(OR(B4282&lt;parametros!$C$2,(YEAR(B4282)-YEAR(parametros!$C$2))*12+MONTH(B4282)-MONTH(parametros!$C$2)&gt;59),"Fora dos ciclos","C"&amp;INT(((YEAR(B4282)-YEAR(parametros!$C$2))*12+MONTH(B4282)-MONTH(parametros!$C$2))/12)))))</f>
        <v/>
      </c>
      <c r="D4282" s="394"/>
      <c r="E4282" s="78" t="str">
        <f>IF(C4282="","",IFERROR(VLOOKUP(C4282,parametros!$A$11:$E$15,5,0),""))</f>
        <v/>
      </c>
      <c r="F4282" s="79" t="str">
        <f t="shared" si="332"/>
        <v/>
      </c>
      <c r="G4282" s="395"/>
      <c r="H4282" s="91">
        <f t="shared" si="333"/>
        <v>0</v>
      </c>
      <c r="I4282" s="91" t="str">
        <f t="shared" si="334"/>
        <v/>
      </c>
      <c r="J4282" s="91" t="str">
        <f t="shared" si="335"/>
        <v/>
      </c>
      <c r="K4282" s="92" t="str">
        <f>IF(AND(A4282="",B4282="",D4282="",G4282=""),"",IF(AND(A4282&lt;&gt;"",COUNTIF($A$2:$A$5001,A4282)&gt;1),"NUMERO_PC duplicado",IF(B4282="","DATA_PC vazia",IF(NOT(ISNUMBER(B4282)),"DATA_PC invalida",IF(OR(C4282="",C4282="Fora dos ciclos"),"CICLO_PC nao identificado",IF(OR(D4282="",D4282=0),"VALOR_PC vazio ou zero",IF(AND(G4282&lt;&gt;"Sim",G4282&lt;&gt;"Nao",G4282&lt;&gt;""),"PC_PAGO_A_CONTRATADA invalido",IF(AND(C4282&lt;&gt;"C0",IFERROR(INDEX(parametros!$A$2:$A$6,MATCH(C4282,parametros!$B$2:$B$6,0)),"")="Sim",IFERROR(INDEX(parametros!$H$2:$H$6,MATCH(C4282,parametros!$B$2:$B$6,0)),"")=""),"INICIO_EFEITO ausente: PC "&amp;A4282&amp;" - "&amp;C4282,IF(L4282="","EFEITO_PC nao calculado: PC "&amp;A4282&amp;" - "&amp;C4282,"OK")))))))))</f>
        <v/>
      </c>
      <c r="L4282" s="92" t="str">
        <f>IF(AND(A4282="",B4282="",D4282="",G4282=""),"",IF(OR(B4282="",NOT(ISNUMBER(B4282)),C4282="",C4282="Fora dos ciclos"),"",IF(C4282="C0","Nao",IF(IFERROR(INDEX(parametros!$A$2:$A$6,MATCH(C4282,parametros!$B$2:$B$6,0)),"")&lt;&gt;"Sim","Nao",IF(IFERROR(INDEX(parametros!$H$2:$H$6,MATCH(C4282,parametros!$B$2:$B$6,0)),"")="","",IF(B4282&gt;=IFERROR(INDEX(parametros!$H$2:$H$6,MATCH(C4282,parametros!$B$2:$B$6,0)),""),"Sim","Nao"))))))</f>
        <v/>
      </c>
      <c r="T4282" s="156"/>
      <c r="U4282" s="214" t="str">
        <f t="shared" si="336"/>
        <v/>
      </c>
      <c r="V4282" s="212" t="s">
        <v>50</v>
      </c>
      <c r="W4282" s="100" t="s">
        <v>168</v>
      </c>
      <c r="X4282" s="100" t="s">
        <v>169</v>
      </c>
      <c r="Y4282" s="101" t="s">
        <v>170</v>
      </c>
      <c r="Z4282" s="101" t="s">
        <v>171</v>
      </c>
      <c r="AA4282" s="101" t="s">
        <v>50</v>
      </c>
      <c r="AB4282" s="101" t="s">
        <v>172</v>
      </c>
      <c r="AC4282" s="102" t="s">
        <v>173</v>
      </c>
    </row>
    <row r="4283" spans="1:29" ht="25.5" customHeight="1" x14ac:dyDescent="0.35">
      <c r="A4283" s="392"/>
      <c r="B4283" s="393"/>
      <c r="C4283" s="99" t="str">
        <f>IF(B4283="","",IF(NOT(ISNUMBER(B4283)),"DATA_PC invalida",IF(NOT(ISNUMBER(parametros!$C$2)),"Fora dos ciclos",IF(OR(B4283&lt;parametros!$C$2,(YEAR(B4283)-YEAR(parametros!$C$2))*12+MONTH(B4283)-MONTH(parametros!$C$2)&gt;59),"Fora dos ciclos","C"&amp;INT(((YEAR(B4283)-YEAR(parametros!$C$2))*12+MONTH(B4283)-MONTH(parametros!$C$2))/12)))))</f>
        <v/>
      </c>
      <c r="D4283" s="394"/>
      <c r="E4283" s="78" t="str">
        <f>IF(C4283="","",IFERROR(VLOOKUP(C4283,parametros!$A$11:$E$15,5,0),""))</f>
        <v/>
      </c>
      <c r="F4283" s="79" t="str">
        <f t="shared" si="332"/>
        <v/>
      </c>
      <c r="G4283" s="395"/>
      <c r="H4283" s="91">
        <f t="shared" si="333"/>
        <v>0</v>
      </c>
      <c r="I4283" s="91" t="str">
        <f t="shared" si="334"/>
        <v/>
      </c>
      <c r="J4283" s="91" t="str">
        <f t="shared" si="335"/>
        <v/>
      </c>
      <c r="K4283" s="92" t="str">
        <f>IF(AND(A4283="",B4283="",D4283="",G4283=""),"",IF(AND(A4283&lt;&gt;"",COUNTIF($A$2:$A$5001,A4283)&gt;1),"NUMERO_PC duplicado",IF(B4283="","DATA_PC vazia",IF(NOT(ISNUMBER(B4283)),"DATA_PC invalida",IF(OR(C4283="",C4283="Fora dos ciclos"),"CICLO_PC nao identificado",IF(OR(D4283="",D4283=0),"VALOR_PC vazio ou zero",IF(AND(G4283&lt;&gt;"Sim",G4283&lt;&gt;"Nao",G4283&lt;&gt;""),"PC_PAGO_A_CONTRATADA invalido",IF(AND(C4283&lt;&gt;"C0",IFERROR(INDEX(parametros!$A$2:$A$6,MATCH(C4283,parametros!$B$2:$B$6,0)),"")="Sim",IFERROR(INDEX(parametros!$H$2:$H$6,MATCH(C4283,parametros!$B$2:$B$6,0)),"")=""),"INICIO_EFEITO ausente: PC "&amp;A4283&amp;" - "&amp;C4283,IF(L4283="","EFEITO_PC nao calculado: PC "&amp;A4283&amp;" - "&amp;C4283,"OK")))))))))</f>
        <v/>
      </c>
      <c r="L4283" s="92" t="str">
        <f>IF(AND(A4283="",B4283="",D4283="",G4283=""),"",IF(OR(B4283="",NOT(ISNUMBER(B4283)),C4283="",C4283="Fora dos ciclos"),"",IF(C4283="C0","Nao",IF(IFERROR(INDEX(parametros!$A$2:$A$6,MATCH(C4283,parametros!$B$2:$B$6,0)),"")&lt;&gt;"Sim","Nao",IF(IFERROR(INDEX(parametros!$H$2:$H$6,MATCH(C4283,parametros!$B$2:$B$6,0)),"")="","",IF(B4283&gt;=IFERROR(INDEX(parametros!$H$2:$H$6,MATCH(C4283,parametros!$B$2:$B$6,0)),""),"Sim","Nao"))))))</f>
        <v/>
      </c>
      <c r="T4283" s="156"/>
      <c r="U4283" s="214" t="str">
        <f t="shared" si="336"/>
        <v/>
      </c>
      <c r="V4283" s="212" t="s">
        <v>50</v>
      </c>
      <c r="W4283" s="100" t="s">
        <v>168</v>
      </c>
      <c r="X4283" s="100" t="s">
        <v>169</v>
      </c>
      <c r="Y4283" s="101" t="s">
        <v>170</v>
      </c>
      <c r="Z4283" s="101" t="s">
        <v>171</v>
      </c>
      <c r="AA4283" s="101" t="s">
        <v>50</v>
      </c>
      <c r="AB4283" s="101" t="s">
        <v>172</v>
      </c>
      <c r="AC4283" s="102" t="s">
        <v>173</v>
      </c>
    </row>
    <row r="4284" spans="1:29" ht="25.5" customHeight="1" x14ac:dyDescent="0.35">
      <c r="A4284" s="392"/>
      <c r="B4284" s="393"/>
      <c r="C4284" s="99" t="str">
        <f>IF(B4284="","",IF(NOT(ISNUMBER(B4284)),"DATA_PC invalida",IF(NOT(ISNUMBER(parametros!$C$2)),"Fora dos ciclos",IF(OR(B4284&lt;parametros!$C$2,(YEAR(B4284)-YEAR(parametros!$C$2))*12+MONTH(B4284)-MONTH(parametros!$C$2)&gt;59),"Fora dos ciclos","C"&amp;INT(((YEAR(B4284)-YEAR(parametros!$C$2))*12+MONTH(B4284)-MONTH(parametros!$C$2))/12)))))</f>
        <v/>
      </c>
      <c r="D4284" s="394"/>
      <c r="E4284" s="78" t="str">
        <f>IF(C4284="","",IFERROR(VLOOKUP(C4284,parametros!$A$11:$E$15,5,0),""))</f>
        <v/>
      </c>
      <c r="F4284" s="79" t="str">
        <f t="shared" si="332"/>
        <v/>
      </c>
      <c r="G4284" s="395"/>
      <c r="H4284" s="91">
        <f t="shared" si="333"/>
        <v>0</v>
      </c>
      <c r="I4284" s="91" t="str">
        <f t="shared" si="334"/>
        <v/>
      </c>
      <c r="J4284" s="91" t="str">
        <f t="shared" si="335"/>
        <v/>
      </c>
      <c r="K4284" s="92" t="str">
        <f>IF(AND(A4284="",B4284="",D4284="",G4284=""),"",IF(AND(A4284&lt;&gt;"",COUNTIF($A$2:$A$5001,A4284)&gt;1),"NUMERO_PC duplicado",IF(B4284="","DATA_PC vazia",IF(NOT(ISNUMBER(B4284)),"DATA_PC invalida",IF(OR(C4284="",C4284="Fora dos ciclos"),"CICLO_PC nao identificado",IF(OR(D4284="",D4284=0),"VALOR_PC vazio ou zero",IF(AND(G4284&lt;&gt;"Sim",G4284&lt;&gt;"Nao",G4284&lt;&gt;""),"PC_PAGO_A_CONTRATADA invalido",IF(AND(C4284&lt;&gt;"C0",IFERROR(INDEX(parametros!$A$2:$A$6,MATCH(C4284,parametros!$B$2:$B$6,0)),"")="Sim",IFERROR(INDEX(parametros!$H$2:$H$6,MATCH(C4284,parametros!$B$2:$B$6,0)),"")=""),"INICIO_EFEITO ausente: PC "&amp;A4284&amp;" - "&amp;C4284,IF(L4284="","EFEITO_PC nao calculado: PC "&amp;A4284&amp;" - "&amp;C4284,"OK")))))))))</f>
        <v/>
      </c>
      <c r="L4284" s="92" t="str">
        <f>IF(AND(A4284="",B4284="",D4284="",G4284=""),"",IF(OR(B4284="",NOT(ISNUMBER(B4284)),C4284="",C4284="Fora dos ciclos"),"",IF(C4284="C0","Nao",IF(IFERROR(INDEX(parametros!$A$2:$A$6,MATCH(C4284,parametros!$B$2:$B$6,0)),"")&lt;&gt;"Sim","Nao",IF(IFERROR(INDEX(parametros!$H$2:$H$6,MATCH(C4284,parametros!$B$2:$B$6,0)),"")="","",IF(B4284&gt;=IFERROR(INDEX(parametros!$H$2:$H$6,MATCH(C4284,parametros!$B$2:$B$6,0)),""),"Sim","Nao"))))))</f>
        <v/>
      </c>
      <c r="T4284" s="156"/>
      <c r="U4284" s="214" t="str">
        <f t="shared" si="336"/>
        <v/>
      </c>
      <c r="V4284" s="212" t="s">
        <v>50</v>
      </c>
      <c r="W4284" s="100" t="s">
        <v>168</v>
      </c>
      <c r="X4284" s="100" t="s">
        <v>169</v>
      </c>
      <c r="Y4284" s="101" t="s">
        <v>170</v>
      </c>
      <c r="Z4284" s="101" t="s">
        <v>171</v>
      </c>
      <c r="AA4284" s="101" t="s">
        <v>50</v>
      </c>
      <c r="AB4284" s="101" t="s">
        <v>172</v>
      </c>
      <c r="AC4284" s="102" t="s">
        <v>173</v>
      </c>
    </row>
    <row r="4285" spans="1:29" ht="25.5" customHeight="1" x14ac:dyDescent="0.35">
      <c r="A4285" s="392"/>
      <c r="B4285" s="393"/>
      <c r="C4285" s="99" t="str">
        <f>IF(B4285="","",IF(NOT(ISNUMBER(B4285)),"DATA_PC invalida",IF(NOT(ISNUMBER(parametros!$C$2)),"Fora dos ciclos",IF(OR(B4285&lt;parametros!$C$2,(YEAR(B4285)-YEAR(parametros!$C$2))*12+MONTH(B4285)-MONTH(parametros!$C$2)&gt;59),"Fora dos ciclos","C"&amp;INT(((YEAR(B4285)-YEAR(parametros!$C$2))*12+MONTH(B4285)-MONTH(parametros!$C$2))/12)))))</f>
        <v/>
      </c>
      <c r="D4285" s="394"/>
      <c r="E4285" s="78" t="str">
        <f>IF(C4285="","",IFERROR(VLOOKUP(C4285,parametros!$A$11:$E$15,5,0),""))</f>
        <v/>
      </c>
      <c r="F4285" s="79" t="str">
        <f t="shared" si="332"/>
        <v/>
      </c>
      <c r="G4285" s="395"/>
      <c r="H4285" s="91">
        <f t="shared" si="333"/>
        <v>0</v>
      </c>
      <c r="I4285" s="91" t="str">
        <f t="shared" si="334"/>
        <v/>
      </c>
      <c r="J4285" s="91" t="str">
        <f t="shared" si="335"/>
        <v/>
      </c>
      <c r="K4285" s="92" t="str">
        <f>IF(AND(A4285="",B4285="",D4285="",G4285=""),"",IF(AND(A4285&lt;&gt;"",COUNTIF($A$2:$A$5001,A4285)&gt;1),"NUMERO_PC duplicado",IF(B4285="","DATA_PC vazia",IF(NOT(ISNUMBER(B4285)),"DATA_PC invalida",IF(OR(C4285="",C4285="Fora dos ciclos"),"CICLO_PC nao identificado",IF(OR(D4285="",D4285=0),"VALOR_PC vazio ou zero",IF(AND(G4285&lt;&gt;"Sim",G4285&lt;&gt;"Nao",G4285&lt;&gt;""),"PC_PAGO_A_CONTRATADA invalido",IF(AND(C4285&lt;&gt;"C0",IFERROR(INDEX(parametros!$A$2:$A$6,MATCH(C4285,parametros!$B$2:$B$6,0)),"")="Sim",IFERROR(INDEX(parametros!$H$2:$H$6,MATCH(C4285,parametros!$B$2:$B$6,0)),"")=""),"INICIO_EFEITO ausente: PC "&amp;A4285&amp;" - "&amp;C4285,IF(L4285="","EFEITO_PC nao calculado: PC "&amp;A4285&amp;" - "&amp;C4285,"OK")))))))))</f>
        <v/>
      </c>
      <c r="L4285" s="92" t="str">
        <f>IF(AND(A4285="",B4285="",D4285="",G4285=""),"",IF(OR(B4285="",NOT(ISNUMBER(B4285)),C4285="",C4285="Fora dos ciclos"),"",IF(C4285="C0","Nao",IF(IFERROR(INDEX(parametros!$A$2:$A$6,MATCH(C4285,parametros!$B$2:$B$6,0)),"")&lt;&gt;"Sim","Nao",IF(IFERROR(INDEX(parametros!$H$2:$H$6,MATCH(C4285,parametros!$B$2:$B$6,0)),"")="","",IF(B4285&gt;=IFERROR(INDEX(parametros!$H$2:$H$6,MATCH(C4285,parametros!$B$2:$B$6,0)),""),"Sim","Nao"))))))</f>
        <v/>
      </c>
      <c r="T4285" s="156"/>
      <c r="U4285" s="214" t="str">
        <f t="shared" si="336"/>
        <v/>
      </c>
      <c r="V4285" s="212" t="s">
        <v>50</v>
      </c>
      <c r="W4285" s="100" t="s">
        <v>168</v>
      </c>
      <c r="X4285" s="100" t="s">
        <v>169</v>
      </c>
      <c r="Y4285" s="101" t="s">
        <v>170</v>
      </c>
      <c r="Z4285" s="101" t="s">
        <v>171</v>
      </c>
      <c r="AA4285" s="101" t="s">
        <v>50</v>
      </c>
      <c r="AB4285" s="101" t="s">
        <v>172</v>
      </c>
      <c r="AC4285" s="102" t="s">
        <v>173</v>
      </c>
    </row>
    <row r="4286" spans="1:29" ht="25.5" customHeight="1" x14ac:dyDescent="0.35">
      <c r="A4286" s="392"/>
      <c r="B4286" s="393"/>
      <c r="C4286" s="99" t="str">
        <f>IF(B4286="","",IF(NOT(ISNUMBER(B4286)),"DATA_PC invalida",IF(NOT(ISNUMBER(parametros!$C$2)),"Fora dos ciclos",IF(OR(B4286&lt;parametros!$C$2,(YEAR(B4286)-YEAR(parametros!$C$2))*12+MONTH(B4286)-MONTH(parametros!$C$2)&gt;59),"Fora dos ciclos","C"&amp;INT(((YEAR(B4286)-YEAR(parametros!$C$2))*12+MONTH(B4286)-MONTH(parametros!$C$2))/12)))))</f>
        <v/>
      </c>
      <c r="D4286" s="394"/>
      <c r="E4286" s="78" t="str">
        <f>IF(C4286="","",IFERROR(VLOOKUP(C4286,parametros!$A$11:$E$15,5,0),""))</f>
        <v/>
      </c>
      <c r="F4286" s="79" t="str">
        <f t="shared" si="332"/>
        <v/>
      </c>
      <c r="G4286" s="395"/>
      <c r="H4286" s="91">
        <f t="shared" si="333"/>
        <v>0</v>
      </c>
      <c r="I4286" s="91" t="str">
        <f t="shared" si="334"/>
        <v/>
      </c>
      <c r="J4286" s="91" t="str">
        <f t="shared" si="335"/>
        <v/>
      </c>
      <c r="K4286" s="92" t="str">
        <f>IF(AND(A4286="",B4286="",D4286="",G4286=""),"",IF(AND(A4286&lt;&gt;"",COUNTIF($A$2:$A$5001,A4286)&gt;1),"NUMERO_PC duplicado",IF(B4286="","DATA_PC vazia",IF(NOT(ISNUMBER(B4286)),"DATA_PC invalida",IF(OR(C4286="",C4286="Fora dos ciclos"),"CICLO_PC nao identificado",IF(OR(D4286="",D4286=0),"VALOR_PC vazio ou zero",IF(AND(G4286&lt;&gt;"Sim",G4286&lt;&gt;"Nao",G4286&lt;&gt;""),"PC_PAGO_A_CONTRATADA invalido",IF(AND(C4286&lt;&gt;"C0",IFERROR(INDEX(parametros!$A$2:$A$6,MATCH(C4286,parametros!$B$2:$B$6,0)),"")="Sim",IFERROR(INDEX(parametros!$H$2:$H$6,MATCH(C4286,parametros!$B$2:$B$6,0)),"")=""),"INICIO_EFEITO ausente: PC "&amp;A4286&amp;" - "&amp;C4286,IF(L4286="","EFEITO_PC nao calculado: PC "&amp;A4286&amp;" - "&amp;C4286,"OK")))))))))</f>
        <v/>
      </c>
      <c r="L4286" s="92" t="str">
        <f>IF(AND(A4286="",B4286="",D4286="",G4286=""),"",IF(OR(B4286="",NOT(ISNUMBER(B4286)),C4286="",C4286="Fora dos ciclos"),"",IF(C4286="C0","Nao",IF(IFERROR(INDEX(parametros!$A$2:$A$6,MATCH(C4286,parametros!$B$2:$B$6,0)),"")&lt;&gt;"Sim","Nao",IF(IFERROR(INDEX(parametros!$H$2:$H$6,MATCH(C4286,parametros!$B$2:$B$6,0)),"")="","",IF(B4286&gt;=IFERROR(INDEX(parametros!$H$2:$H$6,MATCH(C4286,parametros!$B$2:$B$6,0)),""),"Sim","Nao"))))))</f>
        <v/>
      </c>
      <c r="T4286" s="156"/>
      <c r="U4286" s="214" t="str">
        <f t="shared" si="336"/>
        <v/>
      </c>
      <c r="V4286" s="212" t="s">
        <v>50</v>
      </c>
      <c r="W4286" s="100" t="s">
        <v>168</v>
      </c>
      <c r="X4286" s="100" t="s">
        <v>169</v>
      </c>
      <c r="Y4286" s="101" t="s">
        <v>170</v>
      </c>
      <c r="Z4286" s="101" t="s">
        <v>171</v>
      </c>
      <c r="AA4286" s="101" t="s">
        <v>50</v>
      </c>
      <c r="AB4286" s="101" t="s">
        <v>172</v>
      </c>
      <c r="AC4286" s="102" t="s">
        <v>173</v>
      </c>
    </row>
    <row r="4287" spans="1:29" ht="25.5" customHeight="1" x14ac:dyDescent="0.35">
      <c r="A4287" s="392"/>
      <c r="B4287" s="393"/>
      <c r="C4287" s="99" t="str">
        <f>IF(B4287="","",IF(NOT(ISNUMBER(B4287)),"DATA_PC invalida",IF(NOT(ISNUMBER(parametros!$C$2)),"Fora dos ciclos",IF(OR(B4287&lt;parametros!$C$2,(YEAR(B4287)-YEAR(parametros!$C$2))*12+MONTH(B4287)-MONTH(parametros!$C$2)&gt;59),"Fora dos ciclos","C"&amp;INT(((YEAR(B4287)-YEAR(parametros!$C$2))*12+MONTH(B4287)-MONTH(parametros!$C$2))/12)))))</f>
        <v/>
      </c>
      <c r="D4287" s="394"/>
      <c r="E4287" s="78" t="str">
        <f>IF(C4287="","",IFERROR(VLOOKUP(C4287,parametros!$A$11:$E$15,5,0),""))</f>
        <v/>
      </c>
      <c r="F4287" s="79" t="str">
        <f t="shared" si="332"/>
        <v/>
      </c>
      <c r="G4287" s="395"/>
      <c r="H4287" s="91">
        <f t="shared" si="333"/>
        <v>0</v>
      </c>
      <c r="I4287" s="91" t="str">
        <f t="shared" si="334"/>
        <v/>
      </c>
      <c r="J4287" s="91" t="str">
        <f t="shared" si="335"/>
        <v/>
      </c>
      <c r="K4287" s="92" t="str">
        <f>IF(AND(A4287="",B4287="",D4287="",G4287=""),"",IF(AND(A4287&lt;&gt;"",COUNTIF($A$2:$A$5001,A4287)&gt;1),"NUMERO_PC duplicado",IF(B4287="","DATA_PC vazia",IF(NOT(ISNUMBER(B4287)),"DATA_PC invalida",IF(OR(C4287="",C4287="Fora dos ciclos"),"CICLO_PC nao identificado",IF(OR(D4287="",D4287=0),"VALOR_PC vazio ou zero",IF(AND(G4287&lt;&gt;"Sim",G4287&lt;&gt;"Nao",G4287&lt;&gt;""),"PC_PAGO_A_CONTRATADA invalido",IF(AND(C4287&lt;&gt;"C0",IFERROR(INDEX(parametros!$A$2:$A$6,MATCH(C4287,parametros!$B$2:$B$6,0)),"")="Sim",IFERROR(INDEX(parametros!$H$2:$H$6,MATCH(C4287,parametros!$B$2:$B$6,0)),"")=""),"INICIO_EFEITO ausente: PC "&amp;A4287&amp;" - "&amp;C4287,IF(L4287="","EFEITO_PC nao calculado: PC "&amp;A4287&amp;" - "&amp;C4287,"OK")))))))))</f>
        <v/>
      </c>
      <c r="L4287" s="92" t="str">
        <f>IF(AND(A4287="",B4287="",D4287="",G4287=""),"",IF(OR(B4287="",NOT(ISNUMBER(B4287)),C4287="",C4287="Fora dos ciclos"),"",IF(C4287="C0","Nao",IF(IFERROR(INDEX(parametros!$A$2:$A$6,MATCH(C4287,parametros!$B$2:$B$6,0)),"")&lt;&gt;"Sim","Nao",IF(IFERROR(INDEX(parametros!$H$2:$H$6,MATCH(C4287,parametros!$B$2:$B$6,0)),"")="","",IF(B4287&gt;=IFERROR(INDEX(parametros!$H$2:$H$6,MATCH(C4287,parametros!$B$2:$B$6,0)),""),"Sim","Nao"))))))</f>
        <v/>
      </c>
      <c r="T4287" s="156"/>
      <c r="U4287" s="214" t="str">
        <f t="shared" si="336"/>
        <v/>
      </c>
      <c r="V4287" s="212" t="s">
        <v>50</v>
      </c>
      <c r="W4287" s="100" t="s">
        <v>168</v>
      </c>
      <c r="X4287" s="100" t="s">
        <v>169</v>
      </c>
      <c r="Y4287" s="101" t="s">
        <v>170</v>
      </c>
      <c r="Z4287" s="101" t="s">
        <v>171</v>
      </c>
      <c r="AA4287" s="101" t="s">
        <v>50</v>
      </c>
      <c r="AB4287" s="101" t="s">
        <v>172</v>
      </c>
      <c r="AC4287" s="102" t="s">
        <v>173</v>
      </c>
    </row>
    <row r="4288" spans="1:29" ht="25.5" customHeight="1" x14ac:dyDescent="0.35">
      <c r="A4288" s="392"/>
      <c r="B4288" s="393"/>
      <c r="C4288" s="99" t="str">
        <f>IF(B4288="","",IF(NOT(ISNUMBER(B4288)),"DATA_PC invalida",IF(NOT(ISNUMBER(parametros!$C$2)),"Fora dos ciclos",IF(OR(B4288&lt;parametros!$C$2,(YEAR(B4288)-YEAR(parametros!$C$2))*12+MONTH(B4288)-MONTH(parametros!$C$2)&gt;59),"Fora dos ciclos","C"&amp;INT(((YEAR(B4288)-YEAR(parametros!$C$2))*12+MONTH(B4288)-MONTH(parametros!$C$2))/12)))))</f>
        <v/>
      </c>
      <c r="D4288" s="394"/>
      <c r="E4288" s="78" t="str">
        <f>IF(C4288="","",IFERROR(VLOOKUP(C4288,parametros!$A$11:$E$15,5,0),""))</f>
        <v/>
      </c>
      <c r="F4288" s="79" t="str">
        <f t="shared" si="332"/>
        <v/>
      </c>
      <c r="G4288" s="395"/>
      <c r="H4288" s="91">
        <f t="shared" si="333"/>
        <v>0</v>
      </c>
      <c r="I4288" s="91" t="str">
        <f t="shared" si="334"/>
        <v/>
      </c>
      <c r="J4288" s="91" t="str">
        <f t="shared" si="335"/>
        <v/>
      </c>
      <c r="K4288" s="92" t="str">
        <f>IF(AND(A4288="",B4288="",D4288="",G4288=""),"",IF(AND(A4288&lt;&gt;"",COUNTIF($A$2:$A$5001,A4288)&gt;1),"NUMERO_PC duplicado",IF(B4288="","DATA_PC vazia",IF(NOT(ISNUMBER(B4288)),"DATA_PC invalida",IF(OR(C4288="",C4288="Fora dos ciclos"),"CICLO_PC nao identificado",IF(OR(D4288="",D4288=0),"VALOR_PC vazio ou zero",IF(AND(G4288&lt;&gt;"Sim",G4288&lt;&gt;"Nao",G4288&lt;&gt;""),"PC_PAGO_A_CONTRATADA invalido",IF(AND(C4288&lt;&gt;"C0",IFERROR(INDEX(parametros!$A$2:$A$6,MATCH(C4288,parametros!$B$2:$B$6,0)),"")="Sim",IFERROR(INDEX(parametros!$H$2:$H$6,MATCH(C4288,parametros!$B$2:$B$6,0)),"")=""),"INICIO_EFEITO ausente: PC "&amp;A4288&amp;" - "&amp;C4288,IF(L4288="","EFEITO_PC nao calculado: PC "&amp;A4288&amp;" - "&amp;C4288,"OK")))))))))</f>
        <v/>
      </c>
      <c r="L4288" s="92" t="str">
        <f>IF(AND(A4288="",B4288="",D4288="",G4288=""),"",IF(OR(B4288="",NOT(ISNUMBER(B4288)),C4288="",C4288="Fora dos ciclos"),"",IF(C4288="C0","Nao",IF(IFERROR(INDEX(parametros!$A$2:$A$6,MATCH(C4288,parametros!$B$2:$B$6,0)),"")&lt;&gt;"Sim","Nao",IF(IFERROR(INDEX(parametros!$H$2:$H$6,MATCH(C4288,parametros!$B$2:$B$6,0)),"")="","",IF(B4288&gt;=IFERROR(INDEX(parametros!$H$2:$H$6,MATCH(C4288,parametros!$B$2:$B$6,0)),""),"Sim","Nao"))))))</f>
        <v/>
      </c>
      <c r="T4288" s="156"/>
      <c r="U4288" s="214" t="str">
        <f t="shared" si="336"/>
        <v/>
      </c>
      <c r="V4288" s="212" t="s">
        <v>50</v>
      </c>
      <c r="W4288" s="100" t="s">
        <v>168</v>
      </c>
      <c r="X4288" s="100" t="s">
        <v>169</v>
      </c>
      <c r="Y4288" s="101" t="s">
        <v>170</v>
      </c>
      <c r="Z4288" s="101" t="s">
        <v>171</v>
      </c>
      <c r="AA4288" s="101" t="s">
        <v>50</v>
      </c>
      <c r="AB4288" s="101" t="s">
        <v>172</v>
      </c>
      <c r="AC4288" s="102" t="s">
        <v>173</v>
      </c>
    </row>
    <row r="4289" spans="1:29" ht="25.5" customHeight="1" x14ac:dyDescent="0.35">
      <c r="A4289" s="392"/>
      <c r="B4289" s="393"/>
      <c r="C4289" s="99" t="str">
        <f>IF(B4289="","",IF(NOT(ISNUMBER(B4289)),"DATA_PC invalida",IF(NOT(ISNUMBER(parametros!$C$2)),"Fora dos ciclos",IF(OR(B4289&lt;parametros!$C$2,(YEAR(B4289)-YEAR(parametros!$C$2))*12+MONTH(B4289)-MONTH(parametros!$C$2)&gt;59),"Fora dos ciclos","C"&amp;INT(((YEAR(B4289)-YEAR(parametros!$C$2))*12+MONTH(B4289)-MONTH(parametros!$C$2))/12)))))</f>
        <v/>
      </c>
      <c r="D4289" s="394"/>
      <c r="E4289" s="78" t="str">
        <f>IF(C4289="","",IFERROR(VLOOKUP(C4289,parametros!$A$11:$E$15,5,0),""))</f>
        <v/>
      </c>
      <c r="F4289" s="79" t="str">
        <f t="shared" si="332"/>
        <v/>
      </c>
      <c r="G4289" s="395"/>
      <c r="H4289" s="91">
        <f t="shared" si="333"/>
        <v>0</v>
      </c>
      <c r="I4289" s="91" t="str">
        <f t="shared" si="334"/>
        <v/>
      </c>
      <c r="J4289" s="91" t="str">
        <f t="shared" si="335"/>
        <v/>
      </c>
      <c r="K4289" s="92" t="str">
        <f>IF(AND(A4289="",B4289="",D4289="",G4289=""),"",IF(AND(A4289&lt;&gt;"",COUNTIF($A$2:$A$5001,A4289)&gt;1),"NUMERO_PC duplicado",IF(B4289="","DATA_PC vazia",IF(NOT(ISNUMBER(B4289)),"DATA_PC invalida",IF(OR(C4289="",C4289="Fora dos ciclos"),"CICLO_PC nao identificado",IF(OR(D4289="",D4289=0),"VALOR_PC vazio ou zero",IF(AND(G4289&lt;&gt;"Sim",G4289&lt;&gt;"Nao",G4289&lt;&gt;""),"PC_PAGO_A_CONTRATADA invalido",IF(AND(C4289&lt;&gt;"C0",IFERROR(INDEX(parametros!$A$2:$A$6,MATCH(C4289,parametros!$B$2:$B$6,0)),"")="Sim",IFERROR(INDEX(parametros!$H$2:$H$6,MATCH(C4289,parametros!$B$2:$B$6,0)),"")=""),"INICIO_EFEITO ausente: PC "&amp;A4289&amp;" - "&amp;C4289,IF(L4289="","EFEITO_PC nao calculado: PC "&amp;A4289&amp;" - "&amp;C4289,"OK")))))))))</f>
        <v/>
      </c>
      <c r="L4289" s="92" t="str">
        <f>IF(AND(A4289="",B4289="",D4289="",G4289=""),"",IF(OR(B4289="",NOT(ISNUMBER(B4289)),C4289="",C4289="Fora dos ciclos"),"",IF(C4289="C0","Nao",IF(IFERROR(INDEX(parametros!$A$2:$A$6,MATCH(C4289,parametros!$B$2:$B$6,0)),"")&lt;&gt;"Sim","Nao",IF(IFERROR(INDEX(parametros!$H$2:$H$6,MATCH(C4289,parametros!$B$2:$B$6,0)),"")="","",IF(B4289&gt;=IFERROR(INDEX(parametros!$H$2:$H$6,MATCH(C4289,parametros!$B$2:$B$6,0)),""),"Sim","Nao"))))))</f>
        <v/>
      </c>
      <c r="T4289" s="156"/>
      <c r="U4289" s="214" t="str">
        <f t="shared" si="336"/>
        <v/>
      </c>
      <c r="V4289" s="212" t="s">
        <v>50</v>
      </c>
      <c r="W4289" s="100" t="s">
        <v>168</v>
      </c>
      <c r="X4289" s="100" t="s">
        <v>169</v>
      </c>
      <c r="Y4289" s="101" t="s">
        <v>170</v>
      </c>
      <c r="Z4289" s="101" t="s">
        <v>171</v>
      </c>
      <c r="AA4289" s="101" t="s">
        <v>50</v>
      </c>
      <c r="AB4289" s="101" t="s">
        <v>172</v>
      </c>
      <c r="AC4289" s="102" t="s">
        <v>173</v>
      </c>
    </row>
    <row r="4290" spans="1:29" ht="25.5" customHeight="1" x14ac:dyDescent="0.35">
      <c r="A4290" s="392"/>
      <c r="B4290" s="393"/>
      <c r="C4290" s="99" t="str">
        <f>IF(B4290="","",IF(NOT(ISNUMBER(B4290)),"DATA_PC invalida",IF(NOT(ISNUMBER(parametros!$C$2)),"Fora dos ciclos",IF(OR(B4290&lt;parametros!$C$2,(YEAR(B4290)-YEAR(parametros!$C$2))*12+MONTH(B4290)-MONTH(parametros!$C$2)&gt;59),"Fora dos ciclos","C"&amp;INT(((YEAR(B4290)-YEAR(parametros!$C$2))*12+MONTH(B4290)-MONTH(parametros!$C$2))/12)))))</f>
        <v/>
      </c>
      <c r="D4290" s="394"/>
      <c r="E4290" s="78" t="str">
        <f>IF(C4290="","",IFERROR(VLOOKUP(C4290,parametros!$A$11:$E$15,5,0),""))</f>
        <v/>
      </c>
      <c r="F4290" s="79" t="str">
        <f t="shared" ref="F4290:F4353" si="337">IF(OR(D4290="",E4290=""),"",ROUND(D4290*E4290,2))</f>
        <v/>
      </c>
      <c r="G4290" s="395"/>
      <c r="H4290" s="91">
        <f t="shared" ref="H4290:H4353" si="338">IF(G4290="Sim",IF(OR(F4290="",D4290="",L4290=""),"",IF(L4290="Sim",ROUND(F4290-D4290,2),0)),0)</f>
        <v>0</v>
      </c>
      <c r="I4290" s="91" t="str">
        <f t="shared" ref="I4290:I4353" si="339">IF(G4290="Sim",0,IF(OR(F4290="",L4290=""),"",F4290))</f>
        <v/>
      </c>
      <c r="J4290" s="91" t="str">
        <f t="shared" ref="J4290:J4353" si="340">IF(G4290="Sim",0,IF(OR(F4290="",D4290="",L4290=""),"",IF(L4290="Sim",ROUND(F4290-D4290,2),0)))</f>
        <v/>
      </c>
      <c r="K4290" s="92" t="str">
        <f>IF(AND(A4290="",B4290="",D4290="",G4290=""),"",IF(AND(A4290&lt;&gt;"",COUNTIF($A$2:$A$5001,A4290)&gt;1),"NUMERO_PC duplicado",IF(B4290="","DATA_PC vazia",IF(NOT(ISNUMBER(B4290)),"DATA_PC invalida",IF(OR(C4290="",C4290="Fora dos ciclos"),"CICLO_PC nao identificado",IF(OR(D4290="",D4290=0),"VALOR_PC vazio ou zero",IF(AND(G4290&lt;&gt;"Sim",G4290&lt;&gt;"Nao",G4290&lt;&gt;""),"PC_PAGO_A_CONTRATADA invalido",IF(AND(C4290&lt;&gt;"C0",IFERROR(INDEX(parametros!$A$2:$A$6,MATCH(C4290,parametros!$B$2:$B$6,0)),"")="Sim",IFERROR(INDEX(parametros!$H$2:$H$6,MATCH(C4290,parametros!$B$2:$B$6,0)),"")=""),"INICIO_EFEITO ausente: PC "&amp;A4290&amp;" - "&amp;C4290,IF(L4290="","EFEITO_PC nao calculado: PC "&amp;A4290&amp;" - "&amp;C4290,"OK")))))))))</f>
        <v/>
      </c>
      <c r="L4290" s="92" t="str">
        <f>IF(AND(A4290="",B4290="",D4290="",G4290=""),"",IF(OR(B4290="",NOT(ISNUMBER(B4290)),C4290="",C4290="Fora dos ciclos"),"",IF(C4290="C0","Nao",IF(IFERROR(INDEX(parametros!$A$2:$A$6,MATCH(C4290,parametros!$B$2:$B$6,0)),"")&lt;&gt;"Sim","Nao",IF(IFERROR(INDEX(parametros!$H$2:$H$6,MATCH(C4290,parametros!$B$2:$B$6,0)),"")="","",IF(B4290&gt;=IFERROR(INDEX(parametros!$H$2:$H$6,MATCH(C4290,parametros!$B$2:$B$6,0)),""),"Sim","Nao"))))))</f>
        <v/>
      </c>
      <c r="T4290" s="156"/>
      <c r="U4290" s="214" t="str">
        <f t="shared" ref="U4290:U4353" si="341">IF(OR($D4290="",$H4290=""),"",ROUND($D4290+$H4290,2))</f>
        <v/>
      </c>
      <c r="V4290" s="212" t="s">
        <v>50</v>
      </c>
      <c r="W4290" s="100" t="s">
        <v>168</v>
      </c>
      <c r="X4290" s="100" t="s">
        <v>169</v>
      </c>
      <c r="Y4290" s="101" t="s">
        <v>170</v>
      </c>
      <c r="Z4290" s="101" t="s">
        <v>171</v>
      </c>
      <c r="AA4290" s="101" t="s">
        <v>50</v>
      </c>
      <c r="AB4290" s="101" t="s">
        <v>172</v>
      </c>
      <c r="AC4290" s="102" t="s">
        <v>173</v>
      </c>
    </row>
    <row r="4291" spans="1:29" ht="25.5" customHeight="1" x14ac:dyDescent="0.35">
      <c r="A4291" s="392"/>
      <c r="B4291" s="393"/>
      <c r="C4291" s="99" t="str">
        <f>IF(B4291="","",IF(NOT(ISNUMBER(B4291)),"DATA_PC invalida",IF(NOT(ISNUMBER(parametros!$C$2)),"Fora dos ciclos",IF(OR(B4291&lt;parametros!$C$2,(YEAR(B4291)-YEAR(parametros!$C$2))*12+MONTH(B4291)-MONTH(parametros!$C$2)&gt;59),"Fora dos ciclos","C"&amp;INT(((YEAR(B4291)-YEAR(parametros!$C$2))*12+MONTH(B4291)-MONTH(parametros!$C$2))/12)))))</f>
        <v/>
      </c>
      <c r="D4291" s="394"/>
      <c r="E4291" s="78" t="str">
        <f>IF(C4291="","",IFERROR(VLOOKUP(C4291,parametros!$A$11:$E$15,5,0),""))</f>
        <v/>
      </c>
      <c r="F4291" s="79" t="str">
        <f t="shared" si="337"/>
        <v/>
      </c>
      <c r="G4291" s="395"/>
      <c r="H4291" s="91">
        <f t="shared" si="338"/>
        <v>0</v>
      </c>
      <c r="I4291" s="91" t="str">
        <f t="shared" si="339"/>
        <v/>
      </c>
      <c r="J4291" s="91" t="str">
        <f t="shared" si="340"/>
        <v/>
      </c>
      <c r="K4291" s="92" t="str">
        <f>IF(AND(A4291="",B4291="",D4291="",G4291=""),"",IF(AND(A4291&lt;&gt;"",COUNTIF($A$2:$A$5001,A4291)&gt;1),"NUMERO_PC duplicado",IF(B4291="","DATA_PC vazia",IF(NOT(ISNUMBER(B4291)),"DATA_PC invalida",IF(OR(C4291="",C4291="Fora dos ciclos"),"CICLO_PC nao identificado",IF(OR(D4291="",D4291=0),"VALOR_PC vazio ou zero",IF(AND(G4291&lt;&gt;"Sim",G4291&lt;&gt;"Nao",G4291&lt;&gt;""),"PC_PAGO_A_CONTRATADA invalido",IF(AND(C4291&lt;&gt;"C0",IFERROR(INDEX(parametros!$A$2:$A$6,MATCH(C4291,parametros!$B$2:$B$6,0)),"")="Sim",IFERROR(INDEX(parametros!$H$2:$H$6,MATCH(C4291,parametros!$B$2:$B$6,0)),"")=""),"INICIO_EFEITO ausente: PC "&amp;A4291&amp;" - "&amp;C4291,IF(L4291="","EFEITO_PC nao calculado: PC "&amp;A4291&amp;" - "&amp;C4291,"OK")))))))))</f>
        <v/>
      </c>
      <c r="L4291" s="92" t="str">
        <f>IF(AND(A4291="",B4291="",D4291="",G4291=""),"",IF(OR(B4291="",NOT(ISNUMBER(B4291)),C4291="",C4291="Fora dos ciclos"),"",IF(C4291="C0","Nao",IF(IFERROR(INDEX(parametros!$A$2:$A$6,MATCH(C4291,parametros!$B$2:$B$6,0)),"")&lt;&gt;"Sim","Nao",IF(IFERROR(INDEX(parametros!$H$2:$H$6,MATCH(C4291,parametros!$B$2:$B$6,0)),"")="","",IF(B4291&gt;=IFERROR(INDEX(parametros!$H$2:$H$6,MATCH(C4291,parametros!$B$2:$B$6,0)),""),"Sim","Nao"))))))</f>
        <v/>
      </c>
      <c r="T4291" s="156"/>
      <c r="U4291" s="214" t="str">
        <f t="shared" si="341"/>
        <v/>
      </c>
      <c r="V4291" s="212" t="s">
        <v>50</v>
      </c>
      <c r="W4291" s="100" t="s">
        <v>168</v>
      </c>
      <c r="X4291" s="100" t="s">
        <v>169</v>
      </c>
      <c r="Y4291" s="101" t="s">
        <v>170</v>
      </c>
      <c r="Z4291" s="101" t="s">
        <v>171</v>
      </c>
      <c r="AA4291" s="101" t="s">
        <v>50</v>
      </c>
      <c r="AB4291" s="101" t="s">
        <v>172</v>
      </c>
      <c r="AC4291" s="102" t="s">
        <v>173</v>
      </c>
    </row>
    <row r="4292" spans="1:29" ht="25.5" customHeight="1" x14ac:dyDescent="0.35">
      <c r="A4292" s="392"/>
      <c r="B4292" s="393"/>
      <c r="C4292" s="99" t="str">
        <f>IF(B4292="","",IF(NOT(ISNUMBER(B4292)),"DATA_PC invalida",IF(NOT(ISNUMBER(parametros!$C$2)),"Fora dos ciclos",IF(OR(B4292&lt;parametros!$C$2,(YEAR(B4292)-YEAR(parametros!$C$2))*12+MONTH(B4292)-MONTH(parametros!$C$2)&gt;59),"Fora dos ciclos","C"&amp;INT(((YEAR(B4292)-YEAR(parametros!$C$2))*12+MONTH(B4292)-MONTH(parametros!$C$2))/12)))))</f>
        <v/>
      </c>
      <c r="D4292" s="394"/>
      <c r="E4292" s="78" t="str">
        <f>IF(C4292="","",IFERROR(VLOOKUP(C4292,parametros!$A$11:$E$15,5,0),""))</f>
        <v/>
      </c>
      <c r="F4292" s="79" t="str">
        <f t="shared" si="337"/>
        <v/>
      </c>
      <c r="G4292" s="395"/>
      <c r="H4292" s="91">
        <f t="shared" si="338"/>
        <v>0</v>
      </c>
      <c r="I4292" s="91" t="str">
        <f t="shared" si="339"/>
        <v/>
      </c>
      <c r="J4292" s="91" t="str">
        <f t="shared" si="340"/>
        <v/>
      </c>
      <c r="K4292" s="92" t="str">
        <f>IF(AND(A4292="",B4292="",D4292="",G4292=""),"",IF(AND(A4292&lt;&gt;"",COUNTIF($A$2:$A$5001,A4292)&gt;1),"NUMERO_PC duplicado",IF(B4292="","DATA_PC vazia",IF(NOT(ISNUMBER(B4292)),"DATA_PC invalida",IF(OR(C4292="",C4292="Fora dos ciclos"),"CICLO_PC nao identificado",IF(OR(D4292="",D4292=0),"VALOR_PC vazio ou zero",IF(AND(G4292&lt;&gt;"Sim",G4292&lt;&gt;"Nao",G4292&lt;&gt;""),"PC_PAGO_A_CONTRATADA invalido",IF(AND(C4292&lt;&gt;"C0",IFERROR(INDEX(parametros!$A$2:$A$6,MATCH(C4292,parametros!$B$2:$B$6,0)),"")="Sim",IFERROR(INDEX(parametros!$H$2:$H$6,MATCH(C4292,parametros!$B$2:$B$6,0)),"")=""),"INICIO_EFEITO ausente: PC "&amp;A4292&amp;" - "&amp;C4292,IF(L4292="","EFEITO_PC nao calculado: PC "&amp;A4292&amp;" - "&amp;C4292,"OK")))))))))</f>
        <v/>
      </c>
      <c r="L4292" s="92" t="str">
        <f>IF(AND(A4292="",B4292="",D4292="",G4292=""),"",IF(OR(B4292="",NOT(ISNUMBER(B4292)),C4292="",C4292="Fora dos ciclos"),"",IF(C4292="C0","Nao",IF(IFERROR(INDEX(parametros!$A$2:$A$6,MATCH(C4292,parametros!$B$2:$B$6,0)),"")&lt;&gt;"Sim","Nao",IF(IFERROR(INDEX(parametros!$H$2:$H$6,MATCH(C4292,parametros!$B$2:$B$6,0)),"")="","",IF(B4292&gt;=IFERROR(INDEX(parametros!$H$2:$H$6,MATCH(C4292,parametros!$B$2:$B$6,0)),""),"Sim","Nao"))))))</f>
        <v/>
      </c>
      <c r="T4292" s="156"/>
      <c r="U4292" s="214" t="str">
        <f t="shared" si="341"/>
        <v/>
      </c>
      <c r="V4292" s="212" t="s">
        <v>50</v>
      </c>
      <c r="W4292" s="100" t="s">
        <v>168</v>
      </c>
      <c r="X4292" s="100" t="s">
        <v>169</v>
      </c>
      <c r="Y4292" s="101" t="s">
        <v>170</v>
      </c>
      <c r="Z4292" s="101" t="s">
        <v>171</v>
      </c>
      <c r="AA4292" s="101" t="s">
        <v>50</v>
      </c>
      <c r="AB4292" s="101" t="s">
        <v>172</v>
      </c>
      <c r="AC4292" s="102" t="s">
        <v>173</v>
      </c>
    </row>
    <row r="4293" spans="1:29" ht="25.5" customHeight="1" x14ac:dyDescent="0.35">
      <c r="A4293" s="392"/>
      <c r="B4293" s="393"/>
      <c r="C4293" s="99" t="str">
        <f>IF(B4293="","",IF(NOT(ISNUMBER(B4293)),"DATA_PC invalida",IF(NOT(ISNUMBER(parametros!$C$2)),"Fora dos ciclos",IF(OR(B4293&lt;parametros!$C$2,(YEAR(B4293)-YEAR(parametros!$C$2))*12+MONTH(B4293)-MONTH(parametros!$C$2)&gt;59),"Fora dos ciclos","C"&amp;INT(((YEAR(B4293)-YEAR(parametros!$C$2))*12+MONTH(B4293)-MONTH(parametros!$C$2))/12)))))</f>
        <v/>
      </c>
      <c r="D4293" s="394"/>
      <c r="E4293" s="78" t="str">
        <f>IF(C4293="","",IFERROR(VLOOKUP(C4293,parametros!$A$11:$E$15,5,0),""))</f>
        <v/>
      </c>
      <c r="F4293" s="79" t="str">
        <f t="shared" si="337"/>
        <v/>
      </c>
      <c r="G4293" s="395"/>
      <c r="H4293" s="91">
        <f t="shared" si="338"/>
        <v>0</v>
      </c>
      <c r="I4293" s="91" t="str">
        <f t="shared" si="339"/>
        <v/>
      </c>
      <c r="J4293" s="91" t="str">
        <f t="shared" si="340"/>
        <v/>
      </c>
      <c r="K4293" s="92" t="str">
        <f>IF(AND(A4293="",B4293="",D4293="",G4293=""),"",IF(AND(A4293&lt;&gt;"",COUNTIF($A$2:$A$5001,A4293)&gt;1),"NUMERO_PC duplicado",IF(B4293="","DATA_PC vazia",IF(NOT(ISNUMBER(B4293)),"DATA_PC invalida",IF(OR(C4293="",C4293="Fora dos ciclos"),"CICLO_PC nao identificado",IF(OR(D4293="",D4293=0),"VALOR_PC vazio ou zero",IF(AND(G4293&lt;&gt;"Sim",G4293&lt;&gt;"Nao",G4293&lt;&gt;""),"PC_PAGO_A_CONTRATADA invalido",IF(AND(C4293&lt;&gt;"C0",IFERROR(INDEX(parametros!$A$2:$A$6,MATCH(C4293,parametros!$B$2:$B$6,0)),"")="Sim",IFERROR(INDEX(parametros!$H$2:$H$6,MATCH(C4293,parametros!$B$2:$B$6,0)),"")=""),"INICIO_EFEITO ausente: PC "&amp;A4293&amp;" - "&amp;C4293,IF(L4293="","EFEITO_PC nao calculado: PC "&amp;A4293&amp;" - "&amp;C4293,"OK")))))))))</f>
        <v/>
      </c>
      <c r="L4293" s="92" t="str">
        <f>IF(AND(A4293="",B4293="",D4293="",G4293=""),"",IF(OR(B4293="",NOT(ISNUMBER(B4293)),C4293="",C4293="Fora dos ciclos"),"",IF(C4293="C0","Nao",IF(IFERROR(INDEX(parametros!$A$2:$A$6,MATCH(C4293,parametros!$B$2:$B$6,0)),"")&lt;&gt;"Sim","Nao",IF(IFERROR(INDEX(parametros!$H$2:$H$6,MATCH(C4293,parametros!$B$2:$B$6,0)),"")="","",IF(B4293&gt;=IFERROR(INDEX(parametros!$H$2:$H$6,MATCH(C4293,parametros!$B$2:$B$6,0)),""),"Sim","Nao"))))))</f>
        <v/>
      </c>
      <c r="T4293" s="156"/>
      <c r="U4293" s="214" t="str">
        <f t="shared" si="341"/>
        <v/>
      </c>
      <c r="V4293" s="212" t="s">
        <v>50</v>
      </c>
      <c r="W4293" s="100" t="s">
        <v>168</v>
      </c>
      <c r="X4293" s="100" t="s">
        <v>169</v>
      </c>
      <c r="Y4293" s="101" t="s">
        <v>170</v>
      </c>
      <c r="Z4293" s="101" t="s">
        <v>171</v>
      </c>
      <c r="AA4293" s="101" t="s">
        <v>50</v>
      </c>
      <c r="AB4293" s="101" t="s">
        <v>172</v>
      </c>
      <c r="AC4293" s="102" t="s">
        <v>173</v>
      </c>
    </row>
    <row r="4294" spans="1:29" ht="25.5" customHeight="1" x14ac:dyDescent="0.35">
      <c r="A4294" s="392"/>
      <c r="B4294" s="393"/>
      <c r="C4294" s="99" t="str">
        <f>IF(B4294="","",IF(NOT(ISNUMBER(B4294)),"DATA_PC invalida",IF(NOT(ISNUMBER(parametros!$C$2)),"Fora dos ciclos",IF(OR(B4294&lt;parametros!$C$2,(YEAR(B4294)-YEAR(parametros!$C$2))*12+MONTH(B4294)-MONTH(parametros!$C$2)&gt;59),"Fora dos ciclos","C"&amp;INT(((YEAR(B4294)-YEAR(parametros!$C$2))*12+MONTH(B4294)-MONTH(parametros!$C$2))/12)))))</f>
        <v/>
      </c>
      <c r="D4294" s="394"/>
      <c r="E4294" s="78" t="str">
        <f>IF(C4294="","",IFERROR(VLOOKUP(C4294,parametros!$A$11:$E$15,5,0),""))</f>
        <v/>
      </c>
      <c r="F4294" s="79" t="str">
        <f t="shared" si="337"/>
        <v/>
      </c>
      <c r="G4294" s="395"/>
      <c r="H4294" s="91">
        <f t="shared" si="338"/>
        <v>0</v>
      </c>
      <c r="I4294" s="91" t="str">
        <f t="shared" si="339"/>
        <v/>
      </c>
      <c r="J4294" s="91" t="str">
        <f t="shared" si="340"/>
        <v/>
      </c>
      <c r="K4294" s="92" t="str">
        <f>IF(AND(A4294="",B4294="",D4294="",G4294=""),"",IF(AND(A4294&lt;&gt;"",COUNTIF($A$2:$A$5001,A4294)&gt;1),"NUMERO_PC duplicado",IF(B4294="","DATA_PC vazia",IF(NOT(ISNUMBER(B4294)),"DATA_PC invalida",IF(OR(C4294="",C4294="Fora dos ciclos"),"CICLO_PC nao identificado",IF(OR(D4294="",D4294=0),"VALOR_PC vazio ou zero",IF(AND(G4294&lt;&gt;"Sim",G4294&lt;&gt;"Nao",G4294&lt;&gt;""),"PC_PAGO_A_CONTRATADA invalido",IF(AND(C4294&lt;&gt;"C0",IFERROR(INDEX(parametros!$A$2:$A$6,MATCH(C4294,parametros!$B$2:$B$6,0)),"")="Sim",IFERROR(INDEX(parametros!$H$2:$H$6,MATCH(C4294,parametros!$B$2:$B$6,0)),"")=""),"INICIO_EFEITO ausente: PC "&amp;A4294&amp;" - "&amp;C4294,IF(L4294="","EFEITO_PC nao calculado: PC "&amp;A4294&amp;" - "&amp;C4294,"OK")))))))))</f>
        <v/>
      </c>
      <c r="L4294" s="92" t="str">
        <f>IF(AND(A4294="",B4294="",D4294="",G4294=""),"",IF(OR(B4294="",NOT(ISNUMBER(B4294)),C4294="",C4294="Fora dos ciclos"),"",IF(C4294="C0","Nao",IF(IFERROR(INDEX(parametros!$A$2:$A$6,MATCH(C4294,parametros!$B$2:$B$6,0)),"")&lt;&gt;"Sim","Nao",IF(IFERROR(INDEX(parametros!$H$2:$H$6,MATCH(C4294,parametros!$B$2:$B$6,0)),"")="","",IF(B4294&gt;=IFERROR(INDEX(parametros!$H$2:$H$6,MATCH(C4294,parametros!$B$2:$B$6,0)),""),"Sim","Nao"))))))</f>
        <v/>
      </c>
      <c r="T4294" s="156"/>
      <c r="U4294" s="214" t="str">
        <f t="shared" si="341"/>
        <v/>
      </c>
      <c r="V4294" s="212" t="s">
        <v>50</v>
      </c>
      <c r="W4294" s="100" t="s">
        <v>168</v>
      </c>
      <c r="X4294" s="100" t="s">
        <v>169</v>
      </c>
      <c r="Y4294" s="101" t="s">
        <v>170</v>
      </c>
      <c r="Z4294" s="101" t="s">
        <v>171</v>
      </c>
      <c r="AA4294" s="101" t="s">
        <v>50</v>
      </c>
      <c r="AB4294" s="101" t="s">
        <v>172</v>
      </c>
      <c r="AC4294" s="102" t="s">
        <v>173</v>
      </c>
    </row>
    <row r="4295" spans="1:29" ht="25.5" customHeight="1" x14ac:dyDescent="0.35">
      <c r="A4295" s="392"/>
      <c r="B4295" s="393"/>
      <c r="C4295" s="99" t="str">
        <f>IF(B4295="","",IF(NOT(ISNUMBER(B4295)),"DATA_PC invalida",IF(NOT(ISNUMBER(parametros!$C$2)),"Fora dos ciclos",IF(OR(B4295&lt;parametros!$C$2,(YEAR(B4295)-YEAR(parametros!$C$2))*12+MONTH(B4295)-MONTH(parametros!$C$2)&gt;59),"Fora dos ciclos","C"&amp;INT(((YEAR(B4295)-YEAR(parametros!$C$2))*12+MONTH(B4295)-MONTH(parametros!$C$2))/12)))))</f>
        <v/>
      </c>
      <c r="D4295" s="394"/>
      <c r="E4295" s="78" t="str">
        <f>IF(C4295="","",IFERROR(VLOOKUP(C4295,parametros!$A$11:$E$15,5,0),""))</f>
        <v/>
      </c>
      <c r="F4295" s="79" t="str">
        <f t="shared" si="337"/>
        <v/>
      </c>
      <c r="G4295" s="395"/>
      <c r="H4295" s="91">
        <f t="shared" si="338"/>
        <v>0</v>
      </c>
      <c r="I4295" s="91" t="str">
        <f t="shared" si="339"/>
        <v/>
      </c>
      <c r="J4295" s="91" t="str">
        <f t="shared" si="340"/>
        <v/>
      </c>
      <c r="K4295" s="92" t="str">
        <f>IF(AND(A4295="",B4295="",D4295="",G4295=""),"",IF(AND(A4295&lt;&gt;"",COUNTIF($A$2:$A$5001,A4295)&gt;1),"NUMERO_PC duplicado",IF(B4295="","DATA_PC vazia",IF(NOT(ISNUMBER(B4295)),"DATA_PC invalida",IF(OR(C4295="",C4295="Fora dos ciclos"),"CICLO_PC nao identificado",IF(OR(D4295="",D4295=0),"VALOR_PC vazio ou zero",IF(AND(G4295&lt;&gt;"Sim",G4295&lt;&gt;"Nao",G4295&lt;&gt;""),"PC_PAGO_A_CONTRATADA invalido",IF(AND(C4295&lt;&gt;"C0",IFERROR(INDEX(parametros!$A$2:$A$6,MATCH(C4295,parametros!$B$2:$B$6,0)),"")="Sim",IFERROR(INDEX(parametros!$H$2:$H$6,MATCH(C4295,parametros!$B$2:$B$6,0)),"")=""),"INICIO_EFEITO ausente: PC "&amp;A4295&amp;" - "&amp;C4295,IF(L4295="","EFEITO_PC nao calculado: PC "&amp;A4295&amp;" - "&amp;C4295,"OK")))))))))</f>
        <v/>
      </c>
      <c r="L4295" s="92" t="str">
        <f>IF(AND(A4295="",B4295="",D4295="",G4295=""),"",IF(OR(B4295="",NOT(ISNUMBER(B4295)),C4295="",C4295="Fora dos ciclos"),"",IF(C4295="C0","Nao",IF(IFERROR(INDEX(parametros!$A$2:$A$6,MATCH(C4295,parametros!$B$2:$B$6,0)),"")&lt;&gt;"Sim","Nao",IF(IFERROR(INDEX(parametros!$H$2:$H$6,MATCH(C4295,parametros!$B$2:$B$6,0)),"")="","",IF(B4295&gt;=IFERROR(INDEX(parametros!$H$2:$H$6,MATCH(C4295,parametros!$B$2:$B$6,0)),""),"Sim","Nao"))))))</f>
        <v/>
      </c>
      <c r="T4295" s="156"/>
      <c r="U4295" s="214" t="str">
        <f t="shared" si="341"/>
        <v/>
      </c>
      <c r="V4295" s="212" t="s">
        <v>50</v>
      </c>
      <c r="W4295" s="100" t="s">
        <v>168</v>
      </c>
      <c r="X4295" s="100" t="s">
        <v>169</v>
      </c>
      <c r="Y4295" s="101" t="s">
        <v>170</v>
      </c>
      <c r="Z4295" s="101" t="s">
        <v>171</v>
      </c>
      <c r="AA4295" s="101" t="s">
        <v>50</v>
      </c>
      <c r="AB4295" s="101" t="s">
        <v>172</v>
      </c>
      <c r="AC4295" s="102" t="s">
        <v>173</v>
      </c>
    </row>
    <row r="4296" spans="1:29" ht="25.5" customHeight="1" x14ac:dyDescent="0.35">
      <c r="A4296" s="392"/>
      <c r="B4296" s="393"/>
      <c r="C4296" s="99" t="str">
        <f>IF(B4296="","",IF(NOT(ISNUMBER(B4296)),"DATA_PC invalida",IF(NOT(ISNUMBER(parametros!$C$2)),"Fora dos ciclos",IF(OR(B4296&lt;parametros!$C$2,(YEAR(B4296)-YEAR(parametros!$C$2))*12+MONTH(B4296)-MONTH(parametros!$C$2)&gt;59),"Fora dos ciclos","C"&amp;INT(((YEAR(B4296)-YEAR(parametros!$C$2))*12+MONTH(B4296)-MONTH(parametros!$C$2))/12)))))</f>
        <v/>
      </c>
      <c r="D4296" s="394"/>
      <c r="E4296" s="78" t="str">
        <f>IF(C4296="","",IFERROR(VLOOKUP(C4296,parametros!$A$11:$E$15,5,0),""))</f>
        <v/>
      </c>
      <c r="F4296" s="79" t="str">
        <f t="shared" si="337"/>
        <v/>
      </c>
      <c r="G4296" s="395"/>
      <c r="H4296" s="91">
        <f t="shared" si="338"/>
        <v>0</v>
      </c>
      <c r="I4296" s="91" t="str">
        <f t="shared" si="339"/>
        <v/>
      </c>
      <c r="J4296" s="91" t="str">
        <f t="shared" si="340"/>
        <v/>
      </c>
      <c r="K4296" s="92" t="str">
        <f>IF(AND(A4296="",B4296="",D4296="",G4296=""),"",IF(AND(A4296&lt;&gt;"",COUNTIF($A$2:$A$5001,A4296)&gt;1),"NUMERO_PC duplicado",IF(B4296="","DATA_PC vazia",IF(NOT(ISNUMBER(B4296)),"DATA_PC invalida",IF(OR(C4296="",C4296="Fora dos ciclos"),"CICLO_PC nao identificado",IF(OR(D4296="",D4296=0),"VALOR_PC vazio ou zero",IF(AND(G4296&lt;&gt;"Sim",G4296&lt;&gt;"Nao",G4296&lt;&gt;""),"PC_PAGO_A_CONTRATADA invalido",IF(AND(C4296&lt;&gt;"C0",IFERROR(INDEX(parametros!$A$2:$A$6,MATCH(C4296,parametros!$B$2:$B$6,0)),"")="Sim",IFERROR(INDEX(parametros!$H$2:$H$6,MATCH(C4296,parametros!$B$2:$B$6,0)),"")=""),"INICIO_EFEITO ausente: PC "&amp;A4296&amp;" - "&amp;C4296,IF(L4296="","EFEITO_PC nao calculado: PC "&amp;A4296&amp;" - "&amp;C4296,"OK")))))))))</f>
        <v/>
      </c>
      <c r="L4296" s="92" t="str">
        <f>IF(AND(A4296="",B4296="",D4296="",G4296=""),"",IF(OR(B4296="",NOT(ISNUMBER(B4296)),C4296="",C4296="Fora dos ciclos"),"",IF(C4296="C0","Nao",IF(IFERROR(INDEX(parametros!$A$2:$A$6,MATCH(C4296,parametros!$B$2:$B$6,0)),"")&lt;&gt;"Sim","Nao",IF(IFERROR(INDEX(parametros!$H$2:$H$6,MATCH(C4296,parametros!$B$2:$B$6,0)),"")="","",IF(B4296&gt;=IFERROR(INDEX(parametros!$H$2:$H$6,MATCH(C4296,parametros!$B$2:$B$6,0)),""),"Sim","Nao"))))))</f>
        <v/>
      </c>
      <c r="T4296" s="156"/>
      <c r="U4296" s="214" t="str">
        <f t="shared" si="341"/>
        <v/>
      </c>
      <c r="V4296" s="212" t="s">
        <v>50</v>
      </c>
      <c r="W4296" s="100" t="s">
        <v>168</v>
      </c>
      <c r="X4296" s="100" t="s">
        <v>169</v>
      </c>
      <c r="Y4296" s="101" t="s">
        <v>170</v>
      </c>
      <c r="Z4296" s="101" t="s">
        <v>171</v>
      </c>
      <c r="AA4296" s="101" t="s">
        <v>50</v>
      </c>
      <c r="AB4296" s="101" t="s">
        <v>172</v>
      </c>
      <c r="AC4296" s="102" t="s">
        <v>173</v>
      </c>
    </row>
    <row r="4297" spans="1:29" ht="25.5" customHeight="1" x14ac:dyDescent="0.35">
      <c r="A4297" s="392"/>
      <c r="B4297" s="393"/>
      <c r="C4297" s="99" t="str">
        <f>IF(B4297="","",IF(NOT(ISNUMBER(B4297)),"DATA_PC invalida",IF(NOT(ISNUMBER(parametros!$C$2)),"Fora dos ciclos",IF(OR(B4297&lt;parametros!$C$2,(YEAR(B4297)-YEAR(parametros!$C$2))*12+MONTH(B4297)-MONTH(parametros!$C$2)&gt;59),"Fora dos ciclos","C"&amp;INT(((YEAR(B4297)-YEAR(parametros!$C$2))*12+MONTH(B4297)-MONTH(parametros!$C$2))/12)))))</f>
        <v/>
      </c>
      <c r="D4297" s="394"/>
      <c r="E4297" s="78" t="str">
        <f>IF(C4297="","",IFERROR(VLOOKUP(C4297,parametros!$A$11:$E$15,5,0),""))</f>
        <v/>
      </c>
      <c r="F4297" s="79" t="str">
        <f t="shared" si="337"/>
        <v/>
      </c>
      <c r="G4297" s="395"/>
      <c r="H4297" s="91">
        <f t="shared" si="338"/>
        <v>0</v>
      </c>
      <c r="I4297" s="91" t="str">
        <f t="shared" si="339"/>
        <v/>
      </c>
      <c r="J4297" s="91" t="str">
        <f t="shared" si="340"/>
        <v/>
      </c>
      <c r="K4297" s="92" t="str">
        <f>IF(AND(A4297="",B4297="",D4297="",G4297=""),"",IF(AND(A4297&lt;&gt;"",COUNTIF($A$2:$A$5001,A4297)&gt;1),"NUMERO_PC duplicado",IF(B4297="","DATA_PC vazia",IF(NOT(ISNUMBER(B4297)),"DATA_PC invalida",IF(OR(C4297="",C4297="Fora dos ciclos"),"CICLO_PC nao identificado",IF(OR(D4297="",D4297=0),"VALOR_PC vazio ou zero",IF(AND(G4297&lt;&gt;"Sim",G4297&lt;&gt;"Nao",G4297&lt;&gt;""),"PC_PAGO_A_CONTRATADA invalido",IF(AND(C4297&lt;&gt;"C0",IFERROR(INDEX(parametros!$A$2:$A$6,MATCH(C4297,parametros!$B$2:$B$6,0)),"")="Sim",IFERROR(INDEX(parametros!$H$2:$H$6,MATCH(C4297,parametros!$B$2:$B$6,0)),"")=""),"INICIO_EFEITO ausente: PC "&amp;A4297&amp;" - "&amp;C4297,IF(L4297="","EFEITO_PC nao calculado: PC "&amp;A4297&amp;" - "&amp;C4297,"OK")))))))))</f>
        <v/>
      </c>
      <c r="L4297" s="92" t="str">
        <f>IF(AND(A4297="",B4297="",D4297="",G4297=""),"",IF(OR(B4297="",NOT(ISNUMBER(B4297)),C4297="",C4297="Fora dos ciclos"),"",IF(C4297="C0","Nao",IF(IFERROR(INDEX(parametros!$A$2:$A$6,MATCH(C4297,parametros!$B$2:$B$6,0)),"")&lt;&gt;"Sim","Nao",IF(IFERROR(INDEX(parametros!$H$2:$H$6,MATCH(C4297,parametros!$B$2:$B$6,0)),"")="","",IF(B4297&gt;=IFERROR(INDEX(parametros!$H$2:$H$6,MATCH(C4297,parametros!$B$2:$B$6,0)),""),"Sim","Nao"))))))</f>
        <v/>
      </c>
      <c r="T4297" s="156"/>
      <c r="U4297" s="214" t="str">
        <f t="shared" si="341"/>
        <v/>
      </c>
      <c r="V4297" s="212" t="s">
        <v>50</v>
      </c>
      <c r="W4297" s="100" t="s">
        <v>168</v>
      </c>
      <c r="X4297" s="100" t="s">
        <v>169</v>
      </c>
      <c r="Y4297" s="101" t="s">
        <v>170</v>
      </c>
      <c r="Z4297" s="101" t="s">
        <v>171</v>
      </c>
      <c r="AA4297" s="101" t="s">
        <v>50</v>
      </c>
      <c r="AB4297" s="101" t="s">
        <v>172</v>
      </c>
      <c r="AC4297" s="102" t="s">
        <v>173</v>
      </c>
    </row>
    <row r="4298" spans="1:29" ht="25.5" customHeight="1" x14ac:dyDescent="0.35">
      <c r="A4298" s="392"/>
      <c r="B4298" s="393"/>
      <c r="C4298" s="99" t="str">
        <f>IF(B4298="","",IF(NOT(ISNUMBER(B4298)),"DATA_PC invalida",IF(NOT(ISNUMBER(parametros!$C$2)),"Fora dos ciclos",IF(OR(B4298&lt;parametros!$C$2,(YEAR(B4298)-YEAR(parametros!$C$2))*12+MONTH(B4298)-MONTH(parametros!$C$2)&gt;59),"Fora dos ciclos","C"&amp;INT(((YEAR(B4298)-YEAR(parametros!$C$2))*12+MONTH(B4298)-MONTH(parametros!$C$2))/12)))))</f>
        <v/>
      </c>
      <c r="D4298" s="394"/>
      <c r="E4298" s="78" t="str">
        <f>IF(C4298="","",IFERROR(VLOOKUP(C4298,parametros!$A$11:$E$15,5,0),""))</f>
        <v/>
      </c>
      <c r="F4298" s="79" t="str">
        <f t="shared" si="337"/>
        <v/>
      </c>
      <c r="G4298" s="395"/>
      <c r="H4298" s="91">
        <f t="shared" si="338"/>
        <v>0</v>
      </c>
      <c r="I4298" s="91" t="str">
        <f t="shared" si="339"/>
        <v/>
      </c>
      <c r="J4298" s="91" t="str">
        <f t="shared" si="340"/>
        <v/>
      </c>
      <c r="K4298" s="92" t="str">
        <f>IF(AND(A4298="",B4298="",D4298="",G4298=""),"",IF(AND(A4298&lt;&gt;"",COUNTIF($A$2:$A$5001,A4298)&gt;1),"NUMERO_PC duplicado",IF(B4298="","DATA_PC vazia",IF(NOT(ISNUMBER(B4298)),"DATA_PC invalida",IF(OR(C4298="",C4298="Fora dos ciclos"),"CICLO_PC nao identificado",IF(OR(D4298="",D4298=0),"VALOR_PC vazio ou zero",IF(AND(G4298&lt;&gt;"Sim",G4298&lt;&gt;"Nao",G4298&lt;&gt;""),"PC_PAGO_A_CONTRATADA invalido",IF(AND(C4298&lt;&gt;"C0",IFERROR(INDEX(parametros!$A$2:$A$6,MATCH(C4298,parametros!$B$2:$B$6,0)),"")="Sim",IFERROR(INDEX(parametros!$H$2:$H$6,MATCH(C4298,parametros!$B$2:$B$6,0)),"")=""),"INICIO_EFEITO ausente: PC "&amp;A4298&amp;" - "&amp;C4298,IF(L4298="","EFEITO_PC nao calculado: PC "&amp;A4298&amp;" - "&amp;C4298,"OK")))))))))</f>
        <v/>
      </c>
      <c r="L4298" s="92" t="str">
        <f>IF(AND(A4298="",B4298="",D4298="",G4298=""),"",IF(OR(B4298="",NOT(ISNUMBER(B4298)),C4298="",C4298="Fora dos ciclos"),"",IF(C4298="C0","Nao",IF(IFERROR(INDEX(parametros!$A$2:$A$6,MATCH(C4298,parametros!$B$2:$B$6,0)),"")&lt;&gt;"Sim","Nao",IF(IFERROR(INDEX(parametros!$H$2:$H$6,MATCH(C4298,parametros!$B$2:$B$6,0)),"")="","",IF(B4298&gt;=IFERROR(INDEX(parametros!$H$2:$H$6,MATCH(C4298,parametros!$B$2:$B$6,0)),""),"Sim","Nao"))))))</f>
        <v/>
      </c>
      <c r="T4298" s="156"/>
      <c r="U4298" s="214" t="str">
        <f t="shared" si="341"/>
        <v/>
      </c>
      <c r="V4298" s="212" t="s">
        <v>50</v>
      </c>
      <c r="W4298" s="100" t="s">
        <v>168</v>
      </c>
      <c r="X4298" s="100" t="s">
        <v>169</v>
      </c>
      <c r="Y4298" s="101" t="s">
        <v>170</v>
      </c>
      <c r="Z4298" s="101" t="s">
        <v>171</v>
      </c>
      <c r="AA4298" s="101" t="s">
        <v>50</v>
      </c>
      <c r="AB4298" s="101" t="s">
        <v>172</v>
      </c>
      <c r="AC4298" s="102" t="s">
        <v>173</v>
      </c>
    </row>
    <row r="4299" spans="1:29" ht="25.5" customHeight="1" x14ac:dyDescent="0.35">
      <c r="A4299" s="392"/>
      <c r="B4299" s="393"/>
      <c r="C4299" s="99" t="str">
        <f>IF(B4299="","",IF(NOT(ISNUMBER(B4299)),"DATA_PC invalida",IF(NOT(ISNUMBER(parametros!$C$2)),"Fora dos ciclos",IF(OR(B4299&lt;parametros!$C$2,(YEAR(B4299)-YEAR(parametros!$C$2))*12+MONTH(B4299)-MONTH(parametros!$C$2)&gt;59),"Fora dos ciclos","C"&amp;INT(((YEAR(B4299)-YEAR(parametros!$C$2))*12+MONTH(B4299)-MONTH(parametros!$C$2))/12)))))</f>
        <v/>
      </c>
      <c r="D4299" s="394"/>
      <c r="E4299" s="78" t="str">
        <f>IF(C4299="","",IFERROR(VLOOKUP(C4299,parametros!$A$11:$E$15,5,0),""))</f>
        <v/>
      </c>
      <c r="F4299" s="79" t="str">
        <f t="shared" si="337"/>
        <v/>
      </c>
      <c r="G4299" s="395"/>
      <c r="H4299" s="91">
        <f t="shared" si="338"/>
        <v>0</v>
      </c>
      <c r="I4299" s="91" t="str">
        <f t="shared" si="339"/>
        <v/>
      </c>
      <c r="J4299" s="91" t="str">
        <f t="shared" si="340"/>
        <v/>
      </c>
      <c r="K4299" s="92" t="str">
        <f>IF(AND(A4299="",B4299="",D4299="",G4299=""),"",IF(AND(A4299&lt;&gt;"",COUNTIF($A$2:$A$5001,A4299)&gt;1),"NUMERO_PC duplicado",IF(B4299="","DATA_PC vazia",IF(NOT(ISNUMBER(B4299)),"DATA_PC invalida",IF(OR(C4299="",C4299="Fora dos ciclos"),"CICLO_PC nao identificado",IF(OR(D4299="",D4299=0),"VALOR_PC vazio ou zero",IF(AND(G4299&lt;&gt;"Sim",G4299&lt;&gt;"Nao",G4299&lt;&gt;""),"PC_PAGO_A_CONTRATADA invalido",IF(AND(C4299&lt;&gt;"C0",IFERROR(INDEX(parametros!$A$2:$A$6,MATCH(C4299,parametros!$B$2:$B$6,0)),"")="Sim",IFERROR(INDEX(parametros!$H$2:$H$6,MATCH(C4299,parametros!$B$2:$B$6,0)),"")=""),"INICIO_EFEITO ausente: PC "&amp;A4299&amp;" - "&amp;C4299,IF(L4299="","EFEITO_PC nao calculado: PC "&amp;A4299&amp;" - "&amp;C4299,"OK")))))))))</f>
        <v/>
      </c>
      <c r="L4299" s="92" t="str">
        <f>IF(AND(A4299="",B4299="",D4299="",G4299=""),"",IF(OR(B4299="",NOT(ISNUMBER(B4299)),C4299="",C4299="Fora dos ciclos"),"",IF(C4299="C0","Nao",IF(IFERROR(INDEX(parametros!$A$2:$A$6,MATCH(C4299,parametros!$B$2:$B$6,0)),"")&lt;&gt;"Sim","Nao",IF(IFERROR(INDEX(parametros!$H$2:$H$6,MATCH(C4299,parametros!$B$2:$B$6,0)),"")="","",IF(B4299&gt;=IFERROR(INDEX(parametros!$H$2:$H$6,MATCH(C4299,parametros!$B$2:$B$6,0)),""),"Sim","Nao"))))))</f>
        <v/>
      </c>
      <c r="T4299" s="156"/>
      <c r="U4299" s="214" t="str">
        <f t="shared" si="341"/>
        <v/>
      </c>
      <c r="V4299" s="212" t="s">
        <v>50</v>
      </c>
      <c r="W4299" s="100" t="s">
        <v>168</v>
      </c>
      <c r="X4299" s="100" t="s">
        <v>169</v>
      </c>
      <c r="Y4299" s="101" t="s">
        <v>170</v>
      </c>
      <c r="Z4299" s="101" t="s">
        <v>171</v>
      </c>
      <c r="AA4299" s="101" t="s">
        <v>50</v>
      </c>
      <c r="AB4299" s="101" t="s">
        <v>172</v>
      </c>
      <c r="AC4299" s="102" t="s">
        <v>173</v>
      </c>
    </row>
    <row r="4300" spans="1:29" ht="25.5" customHeight="1" x14ac:dyDescent="0.35">
      <c r="A4300" s="392"/>
      <c r="B4300" s="393"/>
      <c r="C4300" s="99" t="str">
        <f>IF(B4300="","",IF(NOT(ISNUMBER(B4300)),"DATA_PC invalida",IF(NOT(ISNUMBER(parametros!$C$2)),"Fora dos ciclos",IF(OR(B4300&lt;parametros!$C$2,(YEAR(B4300)-YEAR(parametros!$C$2))*12+MONTH(B4300)-MONTH(parametros!$C$2)&gt;59),"Fora dos ciclos","C"&amp;INT(((YEAR(B4300)-YEAR(parametros!$C$2))*12+MONTH(B4300)-MONTH(parametros!$C$2))/12)))))</f>
        <v/>
      </c>
      <c r="D4300" s="394"/>
      <c r="E4300" s="78" t="str">
        <f>IF(C4300="","",IFERROR(VLOOKUP(C4300,parametros!$A$11:$E$15,5,0),""))</f>
        <v/>
      </c>
      <c r="F4300" s="79" t="str">
        <f t="shared" si="337"/>
        <v/>
      </c>
      <c r="G4300" s="395"/>
      <c r="H4300" s="91">
        <f t="shared" si="338"/>
        <v>0</v>
      </c>
      <c r="I4300" s="91" t="str">
        <f t="shared" si="339"/>
        <v/>
      </c>
      <c r="J4300" s="91" t="str">
        <f t="shared" si="340"/>
        <v/>
      </c>
      <c r="K4300" s="92" t="str">
        <f>IF(AND(A4300="",B4300="",D4300="",G4300=""),"",IF(AND(A4300&lt;&gt;"",COUNTIF($A$2:$A$5001,A4300)&gt;1),"NUMERO_PC duplicado",IF(B4300="","DATA_PC vazia",IF(NOT(ISNUMBER(B4300)),"DATA_PC invalida",IF(OR(C4300="",C4300="Fora dos ciclos"),"CICLO_PC nao identificado",IF(OR(D4300="",D4300=0),"VALOR_PC vazio ou zero",IF(AND(G4300&lt;&gt;"Sim",G4300&lt;&gt;"Nao",G4300&lt;&gt;""),"PC_PAGO_A_CONTRATADA invalido",IF(AND(C4300&lt;&gt;"C0",IFERROR(INDEX(parametros!$A$2:$A$6,MATCH(C4300,parametros!$B$2:$B$6,0)),"")="Sim",IFERROR(INDEX(parametros!$H$2:$H$6,MATCH(C4300,parametros!$B$2:$B$6,0)),"")=""),"INICIO_EFEITO ausente: PC "&amp;A4300&amp;" - "&amp;C4300,IF(L4300="","EFEITO_PC nao calculado: PC "&amp;A4300&amp;" - "&amp;C4300,"OK")))))))))</f>
        <v/>
      </c>
      <c r="L4300" s="92" t="str">
        <f>IF(AND(A4300="",B4300="",D4300="",G4300=""),"",IF(OR(B4300="",NOT(ISNUMBER(B4300)),C4300="",C4300="Fora dos ciclos"),"",IF(C4300="C0","Nao",IF(IFERROR(INDEX(parametros!$A$2:$A$6,MATCH(C4300,parametros!$B$2:$B$6,0)),"")&lt;&gt;"Sim","Nao",IF(IFERROR(INDEX(parametros!$H$2:$H$6,MATCH(C4300,parametros!$B$2:$B$6,0)),"")="","",IF(B4300&gt;=IFERROR(INDEX(parametros!$H$2:$H$6,MATCH(C4300,parametros!$B$2:$B$6,0)),""),"Sim","Nao"))))))</f>
        <v/>
      </c>
      <c r="T4300" s="156"/>
      <c r="U4300" s="214" t="str">
        <f t="shared" si="341"/>
        <v/>
      </c>
      <c r="V4300" s="212" t="s">
        <v>50</v>
      </c>
      <c r="W4300" s="100" t="s">
        <v>168</v>
      </c>
      <c r="X4300" s="100" t="s">
        <v>169</v>
      </c>
      <c r="Y4300" s="101" t="s">
        <v>170</v>
      </c>
      <c r="Z4300" s="101" t="s">
        <v>171</v>
      </c>
      <c r="AA4300" s="101" t="s">
        <v>50</v>
      </c>
      <c r="AB4300" s="101" t="s">
        <v>172</v>
      </c>
      <c r="AC4300" s="102" t="s">
        <v>173</v>
      </c>
    </row>
    <row r="4301" spans="1:29" ht="25.5" customHeight="1" x14ac:dyDescent="0.35">
      <c r="A4301" s="392"/>
      <c r="B4301" s="393"/>
      <c r="C4301" s="99" t="str">
        <f>IF(B4301="","",IF(NOT(ISNUMBER(B4301)),"DATA_PC invalida",IF(NOT(ISNUMBER(parametros!$C$2)),"Fora dos ciclos",IF(OR(B4301&lt;parametros!$C$2,(YEAR(B4301)-YEAR(parametros!$C$2))*12+MONTH(B4301)-MONTH(parametros!$C$2)&gt;59),"Fora dos ciclos","C"&amp;INT(((YEAR(B4301)-YEAR(parametros!$C$2))*12+MONTH(B4301)-MONTH(parametros!$C$2))/12)))))</f>
        <v/>
      </c>
      <c r="D4301" s="394"/>
      <c r="E4301" s="78" t="str">
        <f>IF(C4301="","",IFERROR(VLOOKUP(C4301,parametros!$A$11:$E$15,5,0),""))</f>
        <v/>
      </c>
      <c r="F4301" s="79" t="str">
        <f t="shared" si="337"/>
        <v/>
      </c>
      <c r="G4301" s="395"/>
      <c r="H4301" s="91">
        <f t="shared" si="338"/>
        <v>0</v>
      </c>
      <c r="I4301" s="91" t="str">
        <f t="shared" si="339"/>
        <v/>
      </c>
      <c r="J4301" s="91" t="str">
        <f t="shared" si="340"/>
        <v/>
      </c>
      <c r="K4301" s="92" t="str">
        <f>IF(AND(A4301="",B4301="",D4301="",G4301=""),"",IF(AND(A4301&lt;&gt;"",COUNTIF($A$2:$A$5001,A4301)&gt;1),"NUMERO_PC duplicado",IF(B4301="","DATA_PC vazia",IF(NOT(ISNUMBER(B4301)),"DATA_PC invalida",IF(OR(C4301="",C4301="Fora dos ciclos"),"CICLO_PC nao identificado",IF(OR(D4301="",D4301=0),"VALOR_PC vazio ou zero",IF(AND(G4301&lt;&gt;"Sim",G4301&lt;&gt;"Nao",G4301&lt;&gt;""),"PC_PAGO_A_CONTRATADA invalido",IF(AND(C4301&lt;&gt;"C0",IFERROR(INDEX(parametros!$A$2:$A$6,MATCH(C4301,parametros!$B$2:$B$6,0)),"")="Sim",IFERROR(INDEX(parametros!$H$2:$H$6,MATCH(C4301,parametros!$B$2:$B$6,0)),"")=""),"INICIO_EFEITO ausente: PC "&amp;A4301&amp;" - "&amp;C4301,IF(L4301="","EFEITO_PC nao calculado: PC "&amp;A4301&amp;" - "&amp;C4301,"OK")))))))))</f>
        <v/>
      </c>
      <c r="L4301" s="92" t="str">
        <f>IF(AND(A4301="",B4301="",D4301="",G4301=""),"",IF(OR(B4301="",NOT(ISNUMBER(B4301)),C4301="",C4301="Fora dos ciclos"),"",IF(C4301="C0","Nao",IF(IFERROR(INDEX(parametros!$A$2:$A$6,MATCH(C4301,parametros!$B$2:$B$6,0)),"")&lt;&gt;"Sim","Nao",IF(IFERROR(INDEX(parametros!$H$2:$H$6,MATCH(C4301,parametros!$B$2:$B$6,0)),"")="","",IF(B4301&gt;=IFERROR(INDEX(parametros!$H$2:$H$6,MATCH(C4301,parametros!$B$2:$B$6,0)),""),"Sim","Nao"))))))</f>
        <v/>
      </c>
      <c r="T4301" s="156"/>
      <c r="U4301" s="214" t="str">
        <f t="shared" si="341"/>
        <v/>
      </c>
      <c r="V4301" s="212" t="s">
        <v>50</v>
      </c>
      <c r="W4301" s="100" t="s">
        <v>168</v>
      </c>
      <c r="X4301" s="100" t="s">
        <v>169</v>
      </c>
      <c r="Y4301" s="101" t="s">
        <v>170</v>
      </c>
      <c r="Z4301" s="101" t="s">
        <v>171</v>
      </c>
      <c r="AA4301" s="101" t="s">
        <v>50</v>
      </c>
      <c r="AB4301" s="101" t="s">
        <v>172</v>
      </c>
      <c r="AC4301" s="102" t="s">
        <v>173</v>
      </c>
    </row>
    <row r="4302" spans="1:29" ht="25.5" customHeight="1" x14ac:dyDescent="0.35">
      <c r="A4302" s="392"/>
      <c r="B4302" s="393"/>
      <c r="C4302" s="99" t="str">
        <f>IF(B4302="","",IF(NOT(ISNUMBER(B4302)),"DATA_PC invalida",IF(NOT(ISNUMBER(parametros!$C$2)),"Fora dos ciclos",IF(OR(B4302&lt;parametros!$C$2,(YEAR(B4302)-YEAR(parametros!$C$2))*12+MONTH(B4302)-MONTH(parametros!$C$2)&gt;59),"Fora dos ciclos","C"&amp;INT(((YEAR(B4302)-YEAR(parametros!$C$2))*12+MONTH(B4302)-MONTH(parametros!$C$2))/12)))))</f>
        <v/>
      </c>
      <c r="D4302" s="394"/>
      <c r="E4302" s="78" t="str">
        <f>IF(C4302="","",IFERROR(VLOOKUP(C4302,parametros!$A$11:$E$15,5,0),""))</f>
        <v/>
      </c>
      <c r="F4302" s="79" t="str">
        <f t="shared" si="337"/>
        <v/>
      </c>
      <c r="G4302" s="395"/>
      <c r="H4302" s="91">
        <f t="shared" si="338"/>
        <v>0</v>
      </c>
      <c r="I4302" s="91" t="str">
        <f t="shared" si="339"/>
        <v/>
      </c>
      <c r="J4302" s="91" t="str">
        <f t="shared" si="340"/>
        <v/>
      </c>
      <c r="K4302" s="92" t="str">
        <f>IF(AND(A4302="",B4302="",D4302="",G4302=""),"",IF(AND(A4302&lt;&gt;"",COUNTIF($A$2:$A$5001,A4302)&gt;1),"NUMERO_PC duplicado",IF(B4302="","DATA_PC vazia",IF(NOT(ISNUMBER(B4302)),"DATA_PC invalida",IF(OR(C4302="",C4302="Fora dos ciclos"),"CICLO_PC nao identificado",IF(OR(D4302="",D4302=0),"VALOR_PC vazio ou zero",IF(AND(G4302&lt;&gt;"Sim",G4302&lt;&gt;"Nao",G4302&lt;&gt;""),"PC_PAGO_A_CONTRATADA invalido",IF(AND(C4302&lt;&gt;"C0",IFERROR(INDEX(parametros!$A$2:$A$6,MATCH(C4302,parametros!$B$2:$B$6,0)),"")="Sim",IFERROR(INDEX(parametros!$H$2:$H$6,MATCH(C4302,parametros!$B$2:$B$6,0)),"")=""),"INICIO_EFEITO ausente: PC "&amp;A4302&amp;" - "&amp;C4302,IF(L4302="","EFEITO_PC nao calculado: PC "&amp;A4302&amp;" - "&amp;C4302,"OK")))))))))</f>
        <v/>
      </c>
      <c r="L4302" s="92" t="str">
        <f>IF(AND(A4302="",B4302="",D4302="",G4302=""),"",IF(OR(B4302="",NOT(ISNUMBER(B4302)),C4302="",C4302="Fora dos ciclos"),"",IF(C4302="C0","Nao",IF(IFERROR(INDEX(parametros!$A$2:$A$6,MATCH(C4302,parametros!$B$2:$B$6,0)),"")&lt;&gt;"Sim","Nao",IF(IFERROR(INDEX(parametros!$H$2:$H$6,MATCH(C4302,parametros!$B$2:$B$6,0)),"")="","",IF(B4302&gt;=IFERROR(INDEX(parametros!$H$2:$H$6,MATCH(C4302,parametros!$B$2:$B$6,0)),""),"Sim","Nao"))))))</f>
        <v/>
      </c>
      <c r="T4302" s="156"/>
      <c r="U4302" s="214" t="str">
        <f t="shared" si="341"/>
        <v/>
      </c>
      <c r="V4302" s="212" t="s">
        <v>50</v>
      </c>
      <c r="W4302" s="100" t="s">
        <v>168</v>
      </c>
      <c r="X4302" s="100" t="s">
        <v>169</v>
      </c>
      <c r="Y4302" s="101" t="s">
        <v>170</v>
      </c>
      <c r="Z4302" s="101" t="s">
        <v>171</v>
      </c>
      <c r="AA4302" s="101" t="s">
        <v>50</v>
      </c>
      <c r="AB4302" s="101" t="s">
        <v>172</v>
      </c>
      <c r="AC4302" s="102" t="s">
        <v>173</v>
      </c>
    </row>
    <row r="4303" spans="1:29" ht="25.5" customHeight="1" x14ac:dyDescent="0.35">
      <c r="A4303" s="392"/>
      <c r="B4303" s="393"/>
      <c r="C4303" s="99" t="str">
        <f>IF(B4303="","",IF(NOT(ISNUMBER(B4303)),"DATA_PC invalida",IF(NOT(ISNUMBER(parametros!$C$2)),"Fora dos ciclos",IF(OR(B4303&lt;parametros!$C$2,(YEAR(B4303)-YEAR(parametros!$C$2))*12+MONTH(B4303)-MONTH(parametros!$C$2)&gt;59),"Fora dos ciclos","C"&amp;INT(((YEAR(B4303)-YEAR(parametros!$C$2))*12+MONTH(B4303)-MONTH(parametros!$C$2))/12)))))</f>
        <v/>
      </c>
      <c r="D4303" s="394"/>
      <c r="E4303" s="78" t="str">
        <f>IF(C4303="","",IFERROR(VLOOKUP(C4303,parametros!$A$11:$E$15,5,0),""))</f>
        <v/>
      </c>
      <c r="F4303" s="79" t="str">
        <f t="shared" si="337"/>
        <v/>
      </c>
      <c r="G4303" s="395"/>
      <c r="H4303" s="91">
        <f t="shared" si="338"/>
        <v>0</v>
      </c>
      <c r="I4303" s="91" t="str">
        <f t="shared" si="339"/>
        <v/>
      </c>
      <c r="J4303" s="91" t="str">
        <f t="shared" si="340"/>
        <v/>
      </c>
      <c r="K4303" s="92" t="str">
        <f>IF(AND(A4303="",B4303="",D4303="",G4303=""),"",IF(AND(A4303&lt;&gt;"",COUNTIF($A$2:$A$5001,A4303)&gt;1),"NUMERO_PC duplicado",IF(B4303="","DATA_PC vazia",IF(NOT(ISNUMBER(B4303)),"DATA_PC invalida",IF(OR(C4303="",C4303="Fora dos ciclos"),"CICLO_PC nao identificado",IF(OR(D4303="",D4303=0),"VALOR_PC vazio ou zero",IF(AND(G4303&lt;&gt;"Sim",G4303&lt;&gt;"Nao",G4303&lt;&gt;""),"PC_PAGO_A_CONTRATADA invalido",IF(AND(C4303&lt;&gt;"C0",IFERROR(INDEX(parametros!$A$2:$A$6,MATCH(C4303,parametros!$B$2:$B$6,0)),"")="Sim",IFERROR(INDEX(parametros!$H$2:$H$6,MATCH(C4303,parametros!$B$2:$B$6,0)),"")=""),"INICIO_EFEITO ausente: PC "&amp;A4303&amp;" - "&amp;C4303,IF(L4303="","EFEITO_PC nao calculado: PC "&amp;A4303&amp;" - "&amp;C4303,"OK")))))))))</f>
        <v/>
      </c>
      <c r="L4303" s="92" t="str">
        <f>IF(AND(A4303="",B4303="",D4303="",G4303=""),"",IF(OR(B4303="",NOT(ISNUMBER(B4303)),C4303="",C4303="Fora dos ciclos"),"",IF(C4303="C0","Nao",IF(IFERROR(INDEX(parametros!$A$2:$A$6,MATCH(C4303,parametros!$B$2:$B$6,0)),"")&lt;&gt;"Sim","Nao",IF(IFERROR(INDEX(parametros!$H$2:$H$6,MATCH(C4303,parametros!$B$2:$B$6,0)),"")="","",IF(B4303&gt;=IFERROR(INDEX(parametros!$H$2:$H$6,MATCH(C4303,parametros!$B$2:$B$6,0)),""),"Sim","Nao"))))))</f>
        <v/>
      </c>
      <c r="T4303" s="156"/>
      <c r="U4303" s="214" t="str">
        <f t="shared" si="341"/>
        <v/>
      </c>
      <c r="V4303" s="212" t="s">
        <v>50</v>
      </c>
      <c r="W4303" s="100" t="s">
        <v>168</v>
      </c>
      <c r="X4303" s="100" t="s">
        <v>169</v>
      </c>
      <c r="Y4303" s="101" t="s">
        <v>170</v>
      </c>
      <c r="Z4303" s="101" t="s">
        <v>171</v>
      </c>
      <c r="AA4303" s="101" t="s">
        <v>50</v>
      </c>
      <c r="AB4303" s="101" t="s">
        <v>172</v>
      </c>
      <c r="AC4303" s="102" t="s">
        <v>173</v>
      </c>
    </row>
    <row r="4304" spans="1:29" ht="25.5" customHeight="1" x14ac:dyDescent="0.35">
      <c r="A4304" s="392"/>
      <c r="B4304" s="393"/>
      <c r="C4304" s="99" t="str">
        <f>IF(B4304="","",IF(NOT(ISNUMBER(B4304)),"DATA_PC invalida",IF(NOT(ISNUMBER(parametros!$C$2)),"Fora dos ciclos",IF(OR(B4304&lt;parametros!$C$2,(YEAR(B4304)-YEAR(parametros!$C$2))*12+MONTH(B4304)-MONTH(parametros!$C$2)&gt;59),"Fora dos ciclos","C"&amp;INT(((YEAR(B4304)-YEAR(parametros!$C$2))*12+MONTH(B4304)-MONTH(parametros!$C$2))/12)))))</f>
        <v/>
      </c>
      <c r="D4304" s="394"/>
      <c r="E4304" s="78" t="str">
        <f>IF(C4304="","",IFERROR(VLOOKUP(C4304,parametros!$A$11:$E$15,5,0),""))</f>
        <v/>
      </c>
      <c r="F4304" s="79" t="str">
        <f t="shared" si="337"/>
        <v/>
      </c>
      <c r="G4304" s="395"/>
      <c r="H4304" s="91">
        <f t="shared" si="338"/>
        <v>0</v>
      </c>
      <c r="I4304" s="91" t="str">
        <f t="shared" si="339"/>
        <v/>
      </c>
      <c r="J4304" s="91" t="str">
        <f t="shared" si="340"/>
        <v/>
      </c>
      <c r="K4304" s="92" t="str">
        <f>IF(AND(A4304="",B4304="",D4304="",G4304=""),"",IF(AND(A4304&lt;&gt;"",COUNTIF($A$2:$A$5001,A4304)&gt;1),"NUMERO_PC duplicado",IF(B4304="","DATA_PC vazia",IF(NOT(ISNUMBER(B4304)),"DATA_PC invalida",IF(OR(C4304="",C4304="Fora dos ciclos"),"CICLO_PC nao identificado",IF(OR(D4304="",D4304=0),"VALOR_PC vazio ou zero",IF(AND(G4304&lt;&gt;"Sim",G4304&lt;&gt;"Nao",G4304&lt;&gt;""),"PC_PAGO_A_CONTRATADA invalido",IF(AND(C4304&lt;&gt;"C0",IFERROR(INDEX(parametros!$A$2:$A$6,MATCH(C4304,parametros!$B$2:$B$6,0)),"")="Sim",IFERROR(INDEX(parametros!$H$2:$H$6,MATCH(C4304,parametros!$B$2:$B$6,0)),"")=""),"INICIO_EFEITO ausente: PC "&amp;A4304&amp;" - "&amp;C4304,IF(L4304="","EFEITO_PC nao calculado: PC "&amp;A4304&amp;" - "&amp;C4304,"OK")))))))))</f>
        <v/>
      </c>
      <c r="L4304" s="92" t="str">
        <f>IF(AND(A4304="",B4304="",D4304="",G4304=""),"",IF(OR(B4304="",NOT(ISNUMBER(B4304)),C4304="",C4304="Fora dos ciclos"),"",IF(C4304="C0","Nao",IF(IFERROR(INDEX(parametros!$A$2:$A$6,MATCH(C4304,parametros!$B$2:$B$6,0)),"")&lt;&gt;"Sim","Nao",IF(IFERROR(INDEX(parametros!$H$2:$H$6,MATCH(C4304,parametros!$B$2:$B$6,0)),"")="","",IF(B4304&gt;=IFERROR(INDEX(parametros!$H$2:$H$6,MATCH(C4304,parametros!$B$2:$B$6,0)),""),"Sim","Nao"))))))</f>
        <v/>
      </c>
      <c r="T4304" s="156"/>
      <c r="U4304" s="214" t="str">
        <f t="shared" si="341"/>
        <v/>
      </c>
      <c r="V4304" s="212" t="s">
        <v>50</v>
      </c>
      <c r="W4304" s="100" t="s">
        <v>168</v>
      </c>
      <c r="X4304" s="100" t="s">
        <v>169</v>
      </c>
      <c r="Y4304" s="101" t="s">
        <v>170</v>
      </c>
      <c r="Z4304" s="101" t="s">
        <v>171</v>
      </c>
      <c r="AA4304" s="101" t="s">
        <v>50</v>
      </c>
      <c r="AB4304" s="101" t="s">
        <v>172</v>
      </c>
      <c r="AC4304" s="102" t="s">
        <v>173</v>
      </c>
    </row>
    <row r="4305" spans="1:29" ht="25.5" customHeight="1" x14ac:dyDescent="0.35">
      <c r="A4305" s="392"/>
      <c r="B4305" s="393"/>
      <c r="C4305" s="99" t="str">
        <f>IF(B4305="","",IF(NOT(ISNUMBER(B4305)),"DATA_PC invalida",IF(NOT(ISNUMBER(parametros!$C$2)),"Fora dos ciclos",IF(OR(B4305&lt;parametros!$C$2,(YEAR(B4305)-YEAR(parametros!$C$2))*12+MONTH(B4305)-MONTH(parametros!$C$2)&gt;59),"Fora dos ciclos","C"&amp;INT(((YEAR(B4305)-YEAR(parametros!$C$2))*12+MONTH(B4305)-MONTH(parametros!$C$2))/12)))))</f>
        <v/>
      </c>
      <c r="D4305" s="394"/>
      <c r="E4305" s="78" t="str">
        <f>IF(C4305="","",IFERROR(VLOOKUP(C4305,parametros!$A$11:$E$15,5,0),""))</f>
        <v/>
      </c>
      <c r="F4305" s="79" t="str">
        <f t="shared" si="337"/>
        <v/>
      </c>
      <c r="G4305" s="395"/>
      <c r="H4305" s="91">
        <f t="shared" si="338"/>
        <v>0</v>
      </c>
      <c r="I4305" s="91" t="str">
        <f t="shared" si="339"/>
        <v/>
      </c>
      <c r="J4305" s="91" t="str">
        <f t="shared" si="340"/>
        <v/>
      </c>
      <c r="K4305" s="92" t="str">
        <f>IF(AND(A4305="",B4305="",D4305="",G4305=""),"",IF(AND(A4305&lt;&gt;"",COUNTIF($A$2:$A$5001,A4305)&gt;1),"NUMERO_PC duplicado",IF(B4305="","DATA_PC vazia",IF(NOT(ISNUMBER(B4305)),"DATA_PC invalida",IF(OR(C4305="",C4305="Fora dos ciclos"),"CICLO_PC nao identificado",IF(OR(D4305="",D4305=0),"VALOR_PC vazio ou zero",IF(AND(G4305&lt;&gt;"Sim",G4305&lt;&gt;"Nao",G4305&lt;&gt;""),"PC_PAGO_A_CONTRATADA invalido",IF(AND(C4305&lt;&gt;"C0",IFERROR(INDEX(parametros!$A$2:$A$6,MATCH(C4305,parametros!$B$2:$B$6,0)),"")="Sim",IFERROR(INDEX(parametros!$H$2:$H$6,MATCH(C4305,parametros!$B$2:$B$6,0)),"")=""),"INICIO_EFEITO ausente: PC "&amp;A4305&amp;" - "&amp;C4305,IF(L4305="","EFEITO_PC nao calculado: PC "&amp;A4305&amp;" - "&amp;C4305,"OK")))))))))</f>
        <v/>
      </c>
      <c r="L4305" s="92" t="str">
        <f>IF(AND(A4305="",B4305="",D4305="",G4305=""),"",IF(OR(B4305="",NOT(ISNUMBER(B4305)),C4305="",C4305="Fora dos ciclos"),"",IF(C4305="C0","Nao",IF(IFERROR(INDEX(parametros!$A$2:$A$6,MATCH(C4305,parametros!$B$2:$B$6,0)),"")&lt;&gt;"Sim","Nao",IF(IFERROR(INDEX(parametros!$H$2:$H$6,MATCH(C4305,parametros!$B$2:$B$6,0)),"")="","",IF(B4305&gt;=IFERROR(INDEX(parametros!$H$2:$H$6,MATCH(C4305,parametros!$B$2:$B$6,0)),""),"Sim","Nao"))))))</f>
        <v/>
      </c>
      <c r="T4305" s="156"/>
      <c r="U4305" s="214" t="str">
        <f t="shared" si="341"/>
        <v/>
      </c>
      <c r="V4305" s="212" t="s">
        <v>50</v>
      </c>
      <c r="W4305" s="100" t="s">
        <v>168</v>
      </c>
      <c r="X4305" s="100" t="s">
        <v>169</v>
      </c>
      <c r="Y4305" s="101" t="s">
        <v>170</v>
      </c>
      <c r="Z4305" s="101" t="s">
        <v>171</v>
      </c>
      <c r="AA4305" s="101" t="s">
        <v>50</v>
      </c>
      <c r="AB4305" s="101" t="s">
        <v>172</v>
      </c>
      <c r="AC4305" s="102" t="s">
        <v>173</v>
      </c>
    </row>
    <row r="4306" spans="1:29" ht="25.5" customHeight="1" x14ac:dyDescent="0.35">
      <c r="A4306" s="392"/>
      <c r="B4306" s="393"/>
      <c r="C4306" s="99" t="str">
        <f>IF(B4306="","",IF(NOT(ISNUMBER(B4306)),"DATA_PC invalida",IF(NOT(ISNUMBER(parametros!$C$2)),"Fora dos ciclos",IF(OR(B4306&lt;parametros!$C$2,(YEAR(B4306)-YEAR(parametros!$C$2))*12+MONTH(B4306)-MONTH(parametros!$C$2)&gt;59),"Fora dos ciclos","C"&amp;INT(((YEAR(B4306)-YEAR(parametros!$C$2))*12+MONTH(B4306)-MONTH(parametros!$C$2))/12)))))</f>
        <v/>
      </c>
      <c r="D4306" s="394"/>
      <c r="E4306" s="78" t="str">
        <f>IF(C4306="","",IFERROR(VLOOKUP(C4306,parametros!$A$11:$E$15,5,0),""))</f>
        <v/>
      </c>
      <c r="F4306" s="79" t="str">
        <f t="shared" si="337"/>
        <v/>
      </c>
      <c r="G4306" s="395"/>
      <c r="H4306" s="91">
        <f t="shared" si="338"/>
        <v>0</v>
      </c>
      <c r="I4306" s="91" t="str">
        <f t="shared" si="339"/>
        <v/>
      </c>
      <c r="J4306" s="91" t="str">
        <f t="shared" si="340"/>
        <v/>
      </c>
      <c r="K4306" s="92" t="str">
        <f>IF(AND(A4306="",B4306="",D4306="",G4306=""),"",IF(AND(A4306&lt;&gt;"",COUNTIF($A$2:$A$5001,A4306)&gt;1),"NUMERO_PC duplicado",IF(B4306="","DATA_PC vazia",IF(NOT(ISNUMBER(B4306)),"DATA_PC invalida",IF(OR(C4306="",C4306="Fora dos ciclos"),"CICLO_PC nao identificado",IF(OR(D4306="",D4306=0),"VALOR_PC vazio ou zero",IF(AND(G4306&lt;&gt;"Sim",G4306&lt;&gt;"Nao",G4306&lt;&gt;""),"PC_PAGO_A_CONTRATADA invalido",IF(AND(C4306&lt;&gt;"C0",IFERROR(INDEX(parametros!$A$2:$A$6,MATCH(C4306,parametros!$B$2:$B$6,0)),"")="Sim",IFERROR(INDEX(parametros!$H$2:$H$6,MATCH(C4306,parametros!$B$2:$B$6,0)),"")=""),"INICIO_EFEITO ausente: PC "&amp;A4306&amp;" - "&amp;C4306,IF(L4306="","EFEITO_PC nao calculado: PC "&amp;A4306&amp;" - "&amp;C4306,"OK")))))))))</f>
        <v/>
      </c>
      <c r="L4306" s="92" t="str">
        <f>IF(AND(A4306="",B4306="",D4306="",G4306=""),"",IF(OR(B4306="",NOT(ISNUMBER(B4306)),C4306="",C4306="Fora dos ciclos"),"",IF(C4306="C0","Nao",IF(IFERROR(INDEX(parametros!$A$2:$A$6,MATCH(C4306,parametros!$B$2:$B$6,0)),"")&lt;&gt;"Sim","Nao",IF(IFERROR(INDEX(parametros!$H$2:$H$6,MATCH(C4306,parametros!$B$2:$B$6,0)),"")="","",IF(B4306&gt;=IFERROR(INDEX(parametros!$H$2:$H$6,MATCH(C4306,parametros!$B$2:$B$6,0)),""),"Sim","Nao"))))))</f>
        <v/>
      </c>
      <c r="T4306" s="156"/>
      <c r="U4306" s="214" t="str">
        <f t="shared" si="341"/>
        <v/>
      </c>
      <c r="V4306" s="212" t="s">
        <v>50</v>
      </c>
      <c r="W4306" s="100" t="s">
        <v>168</v>
      </c>
      <c r="X4306" s="100" t="s">
        <v>169</v>
      </c>
      <c r="Y4306" s="101" t="s">
        <v>170</v>
      </c>
      <c r="Z4306" s="101" t="s">
        <v>171</v>
      </c>
      <c r="AA4306" s="101" t="s">
        <v>50</v>
      </c>
      <c r="AB4306" s="101" t="s">
        <v>172</v>
      </c>
      <c r="AC4306" s="102" t="s">
        <v>173</v>
      </c>
    </row>
    <row r="4307" spans="1:29" ht="25.5" customHeight="1" x14ac:dyDescent="0.35">
      <c r="A4307" s="392"/>
      <c r="B4307" s="393"/>
      <c r="C4307" s="99" t="str">
        <f>IF(B4307="","",IF(NOT(ISNUMBER(B4307)),"DATA_PC invalida",IF(NOT(ISNUMBER(parametros!$C$2)),"Fora dos ciclos",IF(OR(B4307&lt;parametros!$C$2,(YEAR(B4307)-YEAR(parametros!$C$2))*12+MONTH(B4307)-MONTH(parametros!$C$2)&gt;59),"Fora dos ciclos","C"&amp;INT(((YEAR(B4307)-YEAR(parametros!$C$2))*12+MONTH(B4307)-MONTH(parametros!$C$2))/12)))))</f>
        <v/>
      </c>
      <c r="D4307" s="394"/>
      <c r="E4307" s="78" t="str">
        <f>IF(C4307="","",IFERROR(VLOOKUP(C4307,parametros!$A$11:$E$15,5,0),""))</f>
        <v/>
      </c>
      <c r="F4307" s="79" t="str">
        <f t="shared" si="337"/>
        <v/>
      </c>
      <c r="G4307" s="395"/>
      <c r="H4307" s="91">
        <f t="shared" si="338"/>
        <v>0</v>
      </c>
      <c r="I4307" s="91" t="str">
        <f t="shared" si="339"/>
        <v/>
      </c>
      <c r="J4307" s="91" t="str">
        <f t="shared" si="340"/>
        <v/>
      </c>
      <c r="K4307" s="92" t="str">
        <f>IF(AND(A4307="",B4307="",D4307="",G4307=""),"",IF(AND(A4307&lt;&gt;"",COUNTIF($A$2:$A$5001,A4307)&gt;1),"NUMERO_PC duplicado",IF(B4307="","DATA_PC vazia",IF(NOT(ISNUMBER(B4307)),"DATA_PC invalida",IF(OR(C4307="",C4307="Fora dos ciclos"),"CICLO_PC nao identificado",IF(OR(D4307="",D4307=0),"VALOR_PC vazio ou zero",IF(AND(G4307&lt;&gt;"Sim",G4307&lt;&gt;"Nao",G4307&lt;&gt;""),"PC_PAGO_A_CONTRATADA invalido",IF(AND(C4307&lt;&gt;"C0",IFERROR(INDEX(parametros!$A$2:$A$6,MATCH(C4307,parametros!$B$2:$B$6,0)),"")="Sim",IFERROR(INDEX(parametros!$H$2:$H$6,MATCH(C4307,parametros!$B$2:$B$6,0)),"")=""),"INICIO_EFEITO ausente: PC "&amp;A4307&amp;" - "&amp;C4307,IF(L4307="","EFEITO_PC nao calculado: PC "&amp;A4307&amp;" - "&amp;C4307,"OK")))))))))</f>
        <v/>
      </c>
      <c r="L4307" s="92" t="str">
        <f>IF(AND(A4307="",B4307="",D4307="",G4307=""),"",IF(OR(B4307="",NOT(ISNUMBER(B4307)),C4307="",C4307="Fora dos ciclos"),"",IF(C4307="C0","Nao",IF(IFERROR(INDEX(parametros!$A$2:$A$6,MATCH(C4307,parametros!$B$2:$B$6,0)),"")&lt;&gt;"Sim","Nao",IF(IFERROR(INDEX(parametros!$H$2:$H$6,MATCH(C4307,parametros!$B$2:$B$6,0)),"")="","",IF(B4307&gt;=IFERROR(INDEX(parametros!$H$2:$H$6,MATCH(C4307,parametros!$B$2:$B$6,0)),""),"Sim","Nao"))))))</f>
        <v/>
      </c>
      <c r="T4307" s="156"/>
      <c r="U4307" s="214" t="str">
        <f t="shared" si="341"/>
        <v/>
      </c>
      <c r="V4307" s="212" t="s">
        <v>50</v>
      </c>
      <c r="W4307" s="100" t="s">
        <v>168</v>
      </c>
      <c r="X4307" s="100" t="s">
        <v>169</v>
      </c>
      <c r="Y4307" s="101" t="s">
        <v>170</v>
      </c>
      <c r="Z4307" s="101" t="s">
        <v>171</v>
      </c>
      <c r="AA4307" s="101" t="s">
        <v>50</v>
      </c>
      <c r="AB4307" s="101" t="s">
        <v>172</v>
      </c>
      <c r="AC4307" s="102" t="s">
        <v>173</v>
      </c>
    </row>
    <row r="4308" spans="1:29" ht="25.5" customHeight="1" x14ac:dyDescent="0.35">
      <c r="A4308" s="392"/>
      <c r="B4308" s="393"/>
      <c r="C4308" s="99" t="str">
        <f>IF(B4308="","",IF(NOT(ISNUMBER(B4308)),"DATA_PC invalida",IF(NOT(ISNUMBER(parametros!$C$2)),"Fora dos ciclos",IF(OR(B4308&lt;parametros!$C$2,(YEAR(B4308)-YEAR(parametros!$C$2))*12+MONTH(B4308)-MONTH(parametros!$C$2)&gt;59),"Fora dos ciclos","C"&amp;INT(((YEAR(B4308)-YEAR(parametros!$C$2))*12+MONTH(B4308)-MONTH(parametros!$C$2))/12)))))</f>
        <v/>
      </c>
      <c r="D4308" s="394"/>
      <c r="E4308" s="78" t="str">
        <f>IF(C4308="","",IFERROR(VLOOKUP(C4308,parametros!$A$11:$E$15,5,0),""))</f>
        <v/>
      </c>
      <c r="F4308" s="79" t="str">
        <f t="shared" si="337"/>
        <v/>
      </c>
      <c r="G4308" s="395"/>
      <c r="H4308" s="91">
        <f t="shared" si="338"/>
        <v>0</v>
      </c>
      <c r="I4308" s="91" t="str">
        <f t="shared" si="339"/>
        <v/>
      </c>
      <c r="J4308" s="91" t="str">
        <f t="shared" si="340"/>
        <v/>
      </c>
      <c r="K4308" s="92" t="str">
        <f>IF(AND(A4308="",B4308="",D4308="",G4308=""),"",IF(AND(A4308&lt;&gt;"",COUNTIF($A$2:$A$5001,A4308)&gt;1),"NUMERO_PC duplicado",IF(B4308="","DATA_PC vazia",IF(NOT(ISNUMBER(B4308)),"DATA_PC invalida",IF(OR(C4308="",C4308="Fora dos ciclos"),"CICLO_PC nao identificado",IF(OR(D4308="",D4308=0),"VALOR_PC vazio ou zero",IF(AND(G4308&lt;&gt;"Sim",G4308&lt;&gt;"Nao",G4308&lt;&gt;""),"PC_PAGO_A_CONTRATADA invalido",IF(AND(C4308&lt;&gt;"C0",IFERROR(INDEX(parametros!$A$2:$A$6,MATCH(C4308,parametros!$B$2:$B$6,0)),"")="Sim",IFERROR(INDEX(parametros!$H$2:$H$6,MATCH(C4308,parametros!$B$2:$B$6,0)),"")=""),"INICIO_EFEITO ausente: PC "&amp;A4308&amp;" - "&amp;C4308,IF(L4308="","EFEITO_PC nao calculado: PC "&amp;A4308&amp;" - "&amp;C4308,"OK")))))))))</f>
        <v/>
      </c>
      <c r="L4308" s="92" t="str">
        <f>IF(AND(A4308="",B4308="",D4308="",G4308=""),"",IF(OR(B4308="",NOT(ISNUMBER(B4308)),C4308="",C4308="Fora dos ciclos"),"",IF(C4308="C0","Nao",IF(IFERROR(INDEX(parametros!$A$2:$A$6,MATCH(C4308,parametros!$B$2:$B$6,0)),"")&lt;&gt;"Sim","Nao",IF(IFERROR(INDEX(parametros!$H$2:$H$6,MATCH(C4308,parametros!$B$2:$B$6,0)),"")="","",IF(B4308&gt;=IFERROR(INDEX(parametros!$H$2:$H$6,MATCH(C4308,parametros!$B$2:$B$6,0)),""),"Sim","Nao"))))))</f>
        <v/>
      </c>
      <c r="T4308" s="156"/>
      <c r="U4308" s="214" t="str">
        <f t="shared" si="341"/>
        <v/>
      </c>
      <c r="V4308" s="212" t="s">
        <v>50</v>
      </c>
      <c r="W4308" s="100" t="s">
        <v>168</v>
      </c>
      <c r="X4308" s="100" t="s">
        <v>169</v>
      </c>
      <c r="Y4308" s="101" t="s">
        <v>170</v>
      </c>
      <c r="Z4308" s="101" t="s">
        <v>171</v>
      </c>
      <c r="AA4308" s="101" t="s">
        <v>50</v>
      </c>
      <c r="AB4308" s="101" t="s">
        <v>172</v>
      </c>
      <c r="AC4308" s="102" t="s">
        <v>173</v>
      </c>
    </row>
    <row r="4309" spans="1:29" ht="25.5" customHeight="1" x14ac:dyDescent="0.35">
      <c r="A4309" s="392"/>
      <c r="B4309" s="393"/>
      <c r="C4309" s="99" t="str">
        <f>IF(B4309="","",IF(NOT(ISNUMBER(B4309)),"DATA_PC invalida",IF(NOT(ISNUMBER(parametros!$C$2)),"Fora dos ciclos",IF(OR(B4309&lt;parametros!$C$2,(YEAR(B4309)-YEAR(parametros!$C$2))*12+MONTH(B4309)-MONTH(parametros!$C$2)&gt;59),"Fora dos ciclos","C"&amp;INT(((YEAR(B4309)-YEAR(parametros!$C$2))*12+MONTH(B4309)-MONTH(parametros!$C$2))/12)))))</f>
        <v/>
      </c>
      <c r="D4309" s="394"/>
      <c r="E4309" s="78" t="str">
        <f>IF(C4309="","",IFERROR(VLOOKUP(C4309,parametros!$A$11:$E$15,5,0),""))</f>
        <v/>
      </c>
      <c r="F4309" s="79" t="str">
        <f t="shared" si="337"/>
        <v/>
      </c>
      <c r="G4309" s="395"/>
      <c r="H4309" s="91">
        <f t="shared" si="338"/>
        <v>0</v>
      </c>
      <c r="I4309" s="91" t="str">
        <f t="shared" si="339"/>
        <v/>
      </c>
      <c r="J4309" s="91" t="str">
        <f t="shared" si="340"/>
        <v/>
      </c>
      <c r="K4309" s="92" t="str">
        <f>IF(AND(A4309="",B4309="",D4309="",G4309=""),"",IF(AND(A4309&lt;&gt;"",COUNTIF($A$2:$A$5001,A4309)&gt;1),"NUMERO_PC duplicado",IF(B4309="","DATA_PC vazia",IF(NOT(ISNUMBER(B4309)),"DATA_PC invalida",IF(OR(C4309="",C4309="Fora dos ciclos"),"CICLO_PC nao identificado",IF(OR(D4309="",D4309=0),"VALOR_PC vazio ou zero",IF(AND(G4309&lt;&gt;"Sim",G4309&lt;&gt;"Nao",G4309&lt;&gt;""),"PC_PAGO_A_CONTRATADA invalido",IF(AND(C4309&lt;&gt;"C0",IFERROR(INDEX(parametros!$A$2:$A$6,MATCH(C4309,parametros!$B$2:$B$6,0)),"")="Sim",IFERROR(INDEX(parametros!$H$2:$H$6,MATCH(C4309,parametros!$B$2:$B$6,0)),"")=""),"INICIO_EFEITO ausente: PC "&amp;A4309&amp;" - "&amp;C4309,IF(L4309="","EFEITO_PC nao calculado: PC "&amp;A4309&amp;" - "&amp;C4309,"OK")))))))))</f>
        <v/>
      </c>
      <c r="L4309" s="92" t="str">
        <f>IF(AND(A4309="",B4309="",D4309="",G4309=""),"",IF(OR(B4309="",NOT(ISNUMBER(B4309)),C4309="",C4309="Fora dos ciclos"),"",IF(C4309="C0","Nao",IF(IFERROR(INDEX(parametros!$A$2:$A$6,MATCH(C4309,parametros!$B$2:$B$6,0)),"")&lt;&gt;"Sim","Nao",IF(IFERROR(INDEX(parametros!$H$2:$H$6,MATCH(C4309,parametros!$B$2:$B$6,0)),"")="","",IF(B4309&gt;=IFERROR(INDEX(parametros!$H$2:$H$6,MATCH(C4309,parametros!$B$2:$B$6,0)),""),"Sim","Nao"))))))</f>
        <v/>
      </c>
      <c r="T4309" s="156"/>
      <c r="U4309" s="214" t="str">
        <f t="shared" si="341"/>
        <v/>
      </c>
      <c r="V4309" s="212" t="s">
        <v>50</v>
      </c>
      <c r="W4309" s="100" t="s">
        <v>168</v>
      </c>
      <c r="X4309" s="100" t="s">
        <v>169</v>
      </c>
      <c r="Y4309" s="101" t="s">
        <v>170</v>
      </c>
      <c r="Z4309" s="101" t="s">
        <v>171</v>
      </c>
      <c r="AA4309" s="101" t="s">
        <v>50</v>
      </c>
      <c r="AB4309" s="101" t="s">
        <v>172</v>
      </c>
      <c r="AC4309" s="102" t="s">
        <v>173</v>
      </c>
    </row>
    <row r="4310" spans="1:29" ht="25.5" customHeight="1" x14ac:dyDescent="0.35">
      <c r="A4310" s="392"/>
      <c r="B4310" s="393"/>
      <c r="C4310" s="99" t="str">
        <f>IF(B4310="","",IF(NOT(ISNUMBER(B4310)),"DATA_PC invalida",IF(NOT(ISNUMBER(parametros!$C$2)),"Fora dos ciclos",IF(OR(B4310&lt;parametros!$C$2,(YEAR(B4310)-YEAR(parametros!$C$2))*12+MONTH(B4310)-MONTH(parametros!$C$2)&gt;59),"Fora dos ciclos","C"&amp;INT(((YEAR(B4310)-YEAR(parametros!$C$2))*12+MONTH(B4310)-MONTH(parametros!$C$2))/12)))))</f>
        <v/>
      </c>
      <c r="D4310" s="394"/>
      <c r="E4310" s="78" t="str">
        <f>IF(C4310="","",IFERROR(VLOOKUP(C4310,parametros!$A$11:$E$15,5,0),""))</f>
        <v/>
      </c>
      <c r="F4310" s="79" t="str">
        <f t="shared" si="337"/>
        <v/>
      </c>
      <c r="G4310" s="395"/>
      <c r="H4310" s="91">
        <f t="shared" si="338"/>
        <v>0</v>
      </c>
      <c r="I4310" s="91" t="str">
        <f t="shared" si="339"/>
        <v/>
      </c>
      <c r="J4310" s="91" t="str">
        <f t="shared" si="340"/>
        <v/>
      </c>
      <c r="K4310" s="92" t="str">
        <f>IF(AND(A4310="",B4310="",D4310="",G4310=""),"",IF(AND(A4310&lt;&gt;"",COUNTIF($A$2:$A$5001,A4310)&gt;1),"NUMERO_PC duplicado",IF(B4310="","DATA_PC vazia",IF(NOT(ISNUMBER(B4310)),"DATA_PC invalida",IF(OR(C4310="",C4310="Fora dos ciclos"),"CICLO_PC nao identificado",IF(OR(D4310="",D4310=0),"VALOR_PC vazio ou zero",IF(AND(G4310&lt;&gt;"Sim",G4310&lt;&gt;"Nao",G4310&lt;&gt;""),"PC_PAGO_A_CONTRATADA invalido",IF(AND(C4310&lt;&gt;"C0",IFERROR(INDEX(parametros!$A$2:$A$6,MATCH(C4310,parametros!$B$2:$B$6,0)),"")="Sim",IFERROR(INDEX(parametros!$H$2:$H$6,MATCH(C4310,parametros!$B$2:$B$6,0)),"")=""),"INICIO_EFEITO ausente: PC "&amp;A4310&amp;" - "&amp;C4310,IF(L4310="","EFEITO_PC nao calculado: PC "&amp;A4310&amp;" - "&amp;C4310,"OK")))))))))</f>
        <v/>
      </c>
      <c r="L4310" s="92" t="str">
        <f>IF(AND(A4310="",B4310="",D4310="",G4310=""),"",IF(OR(B4310="",NOT(ISNUMBER(B4310)),C4310="",C4310="Fora dos ciclos"),"",IF(C4310="C0","Nao",IF(IFERROR(INDEX(parametros!$A$2:$A$6,MATCH(C4310,parametros!$B$2:$B$6,0)),"")&lt;&gt;"Sim","Nao",IF(IFERROR(INDEX(parametros!$H$2:$H$6,MATCH(C4310,parametros!$B$2:$B$6,0)),"")="","",IF(B4310&gt;=IFERROR(INDEX(parametros!$H$2:$H$6,MATCH(C4310,parametros!$B$2:$B$6,0)),""),"Sim","Nao"))))))</f>
        <v/>
      </c>
      <c r="T4310" s="156"/>
      <c r="U4310" s="214" t="str">
        <f t="shared" si="341"/>
        <v/>
      </c>
      <c r="V4310" s="212" t="s">
        <v>50</v>
      </c>
      <c r="W4310" s="100" t="s">
        <v>168</v>
      </c>
      <c r="X4310" s="100" t="s">
        <v>169</v>
      </c>
      <c r="Y4310" s="101" t="s">
        <v>170</v>
      </c>
      <c r="Z4310" s="101" t="s">
        <v>171</v>
      </c>
      <c r="AA4310" s="101" t="s">
        <v>50</v>
      </c>
      <c r="AB4310" s="101" t="s">
        <v>172</v>
      </c>
      <c r="AC4310" s="102" t="s">
        <v>173</v>
      </c>
    </row>
    <row r="4311" spans="1:29" ht="25.5" customHeight="1" x14ac:dyDescent="0.35">
      <c r="A4311" s="392"/>
      <c r="B4311" s="393"/>
      <c r="C4311" s="99" t="str">
        <f>IF(B4311="","",IF(NOT(ISNUMBER(B4311)),"DATA_PC invalida",IF(NOT(ISNUMBER(parametros!$C$2)),"Fora dos ciclos",IF(OR(B4311&lt;parametros!$C$2,(YEAR(B4311)-YEAR(parametros!$C$2))*12+MONTH(B4311)-MONTH(parametros!$C$2)&gt;59),"Fora dos ciclos","C"&amp;INT(((YEAR(B4311)-YEAR(parametros!$C$2))*12+MONTH(B4311)-MONTH(parametros!$C$2))/12)))))</f>
        <v/>
      </c>
      <c r="D4311" s="394"/>
      <c r="E4311" s="78" t="str">
        <f>IF(C4311="","",IFERROR(VLOOKUP(C4311,parametros!$A$11:$E$15,5,0),""))</f>
        <v/>
      </c>
      <c r="F4311" s="79" t="str">
        <f t="shared" si="337"/>
        <v/>
      </c>
      <c r="G4311" s="395"/>
      <c r="H4311" s="91">
        <f t="shared" si="338"/>
        <v>0</v>
      </c>
      <c r="I4311" s="91" t="str">
        <f t="shared" si="339"/>
        <v/>
      </c>
      <c r="J4311" s="91" t="str">
        <f t="shared" si="340"/>
        <v/>
      </c>
      <c r="K4311" s="92" t="str">
        <f>IF(AND(A4311="",B4311="",D4311="",G4311=""),"",IF(AND(A4311&lt;&gt;"",COUNTIF($A$2:$A$5001,A4311)&gt;1),"NUMERO_PC duplicado",IF(B4311="","DATA_PC vazia",IF(NOT(ISNUMBER(B4311)),"DATA_PC invalida",IF(OR(C4311="",C4311="Fora dos ciclos"),"CICLO_PC nao identificado",IF(OR(D4311="",D4311=0),"VALOR_PC vazio ou zero",IF(AND(G4311&lt;&gt;"Sim",G4311&lt;&gt;"Nao",G4311&lt;&gt;""),"PC_PAGO_A_CONTRATADA invalido",IF(AND(C4311&lt;&gt;"C0",IFERROR(INDEX(parametros!$A$2:$A$6,MATCH(C4311,parametros!$B$2:$B$6,0)),"")="Sim",IFERROR(INDEX(parametros!$H$2:$H$6,MATCH(C4311,parametros!$B$2:$B$6,0)),"")=""),"INICIO_EFEITO ausente: PC "&amp;A4311&amp;" - "&amp;C4311,IF(L4311="","EFEITO_PC nao calculado: PC "&amp;A4311&amp;" - "&amp;C4311,"OK")))))))))</f>
        <v/>
      </c>
      <c r="L4311" s="92" t="str">
        <f>IF(AND(A4311="",B4311="",D4311="",G4311=""),"",IF(OR(B4311="",NOT(ISNUMBER(B4311)),C4311="",C4311="Fora dos ciclos"),"",IF(C4311="C0","Nao",IF(IFERROR(INDEX(parametros!$A$2:$A$6,MATCH(C4311,parametros!$B$2:$B$6,0)),"")&lt;&gt;"Sim","Nao",IF(IFERROR(INDEX(parametros!$H$2:$H$6,MATCH(C4311,parametros!$B$2:$B$6,0)),"")="","",IF(B4311&gt;=IFERROR(INDEX(parametros!$H$2:$H$6,MATCH(C4311,parametros!$B$2:$B$6,0)),""),"Sim","Nao"))))))</f>
        <v/>
      </c>
      <c r="T4311" s="156"/>
      <c r="U4311" s="214" t="str">
        <f t="shared" si="341"/>
        <v/>
      </c>
      <c r="V4311" s="212" t="s">
        <v>50</v>
      </c>
      <c r="W4311" s="100" t="s">
        <v>168</v>
      </c>
      <c r="X4311" s="100" t="s">
        <v>169</v>
      </c>
      <c r="Y4311" s="101" t="s">
        <v>170</v>
      </c>
      <c r="Z4311" s="101" t="s">
        <v>171</v>
      </c>
      <c r="AA4311" s="101" t="s">
        <v>50</v>
      </c>
      <c r="AB4311" s="101" t="s">
        <v>172</v>
      </c>
      <c r="AC4311" s="102" t="s">
        <v>173</v>
      </c>
    </row>
    <row r="4312" spans="1:29" ht="25.5" customHeight="1" x14ac:dyDescent="0.35">
      <c r="A4312" s="392"/>
      <c r="B4312" s="393"/>
      <c r="C4312" s="99" t="str">
        <f>IF(B4312="","",IF(NOT(ISNUMBER(B4312)),"DATA_PC invalida",IF(NOT(ISNUMBER(parametros!$C$2)),"Fora dos ciclos",IF(OR(B4312&lt;parametros!$C$2,(YEAR(B4312)-YEAR(parametros!$C$2))*12+MONTH(B4312)-MONTH(parametros!$C$2)&gt;59),"Fora dos ciclos","C"&amp;INT(((YEAR(B4312)-YEAR(parametros!$C$2))*12+MONTH(B4312)-MONTH(parametros!$C$2))/12)))))</f>
        <v/>
      </c>
      <c r="D4312" s="394"/>
      <c r="E4312" s="78" t="str">
        <f>IF(C4312="","",IFERROR(VLOOKUP(C4312,parametros!$A$11:$E$15,5,0),""))</f>
        <v/>
      </c>
      <c r="F4312" s="79" t="str">
        <f t="shared" si="337"/>
        <v/>
      </c>
      <c r="G4312" s="395"/>
      <c r="H4312" s="91">
        <f t="shared" si="338"/>
        <v>0</v>
      </c>
      <c r="I4312" s="91" t="str">
        <f t="shared" si="339"/>
        <v/>
      </c>
      <c r="J4312" s="91" t="str">
        <f t="shared" si="340"/>
        <v/>
      </c>
      <c r="K4312" s="92" t="str">
        <f>IF(AND(A4312="",B4312="",D4312="",G4312=""),"",IF(AND(A4312&lt;&gt;"",COUNTIF($A$2:$A$5001,A4312)&gt;1),"NUMERO_PC duplicado",IF(B4312="","DATA_PC vazia",IF(NOT(ISNUMBER(B4312)),"DATA_PC invalida",IF(OR(C4312="",C4312="Fora dos ciclos"),"CICLO_PC nao identificado",IF(OR(D4312="",D4312=0),"VALOR_PC vazio ou zero",IF(AND(G4312&lt;&gt;"Sim",G4312&lt;&gt;"Nao",G4312&lt;&gt;""),"PC_PAGO_A_CONTRATADA invalido",IF(AND(C4312&lt;&gt;"C0",IFERROR(INDEX(parametros!$A$2:$A$6,MATCH(C4312,parametros!$B$2:$B$6,0)),"")="Sim",IFERROR(INDEX(parametros!$H$2:$H$6,MATCH(C4312,parametros!$B$2:$B$6,0)),"")=""),"INICIO_EFEITO ausente: PC "&amp;A4312&amp;" - "&amp;C4312,IF(L4312="","EFEITO_PC nao calculado: PC "&amp;A4312&amp;" - "&amp;C4312,"OK")))))))))</f>
        <v/>
      </c>
      <c r="L4312" s="92" t="str">
        <f>IF(AND(A4312="",B4312="",D4312="",G4312=""),"",IF(OR(B4312="",NOT(ISNUMBER(B4312)),C4312="",C4312="Fora dos ciclos"),"",IF(C4312="C0","Nao",IF(IFERROR(INDEX(parametros!$A$2:$A$6,MATCH(C4312,parametros!$B$2:$B$6,0)),"")&lt;&gt;"Sim","Nao",IF(IFERROR(INDEX(parametros!$H$2:$H$6,MATCH(C4312,parametros!$B$2:$B$6,0)),"")="","",IF(B4312&gt;=IFERROR(INDEX(parametros!$H$2:$H$6,MATCH(C4312,parametros!$B$2:$B$6,0)),""),"Sim","Nao"))))))</f>
        <v/>
      </c>
      <c r="T4312" s="156"/>
      <c r="U4312" s="214" t="str">
        <f t="shared" si="341"/>
        <v/>
      </c>
      <c r="V4312" s="212" t="s">
        <v>50</v>
      </c>
      <c r="W4312" s="100" t="s">
        <v>168</v>
      </c>
      <c r="X4312" s="100" t="s">
        <v>169</v>
      </c>
      <c r="Y4312" s="101" t="s">
        <v>170</v>
      </c>
      <c r="Z4312" s="101" t="s">
        <v>171</v>
      </c>
      <c r="AA4312" s="101" t="s">
        <v>50</v>
      </c>
      <c r="AB4312" s="101" t="s">
        <v>172</v>
      </c>
      <c r="AC4312" s="102" t="s">
        <v>173</v>
      </c>
    </row>
    <row r="4313" spans="1:29" ht="25.5" customHeight="1" x14ac:dyDescent="0.35">
      <c r="A4313" s="392"/>
      <c r="B4313" s="393"/>
      <c r="C4313" s="99" t="str">
        <f>IF(B4313="","",IF(NOT(ISNUMBER(B4313)),"DATA_PC invalida",IF(NOT(ISNUMBER(parametros!$C$2)),"Fora dos ciclos",IF(OR(B4313&lt;parametros!$C$2,(YEAR(B4313)-YEAR(parametros!$C$2))*12+MONTH(B4313)-MONTH(parametros!$C$2)&gt;59),"Fora dos ciclos","C"&amp;INT(((YEAR(B4313)-YEAR(parametros!$C$2))*12+MONTH(B4313)-MONTH(parametros!$C$2))/12)))))</f>
        <v/>
      </c>
      <c r="D4313" s="394"/>
      <c r="E4313" s="78" t="str">
        <f>IF(C4313="","",IFERROR(VLOOKUP(C4313,parametros!$A$11:$E$15,5,0),""))</f>
        <v/>
      </c>
      <c r="F4313" s="79" t="str">
        <f t="shared" si="337"/>
        <v/>
      </c>
      <c r="G4313" s="395"/>
      <c r="H4313" s="91">
        <f t="shared" si="338"/>
        <v>0</v>
      </c>
      <c r="I4313" s="91" t="str">
        <f t="shared" si="339"/>
        <v/>
      </c>
      <c r="J4313" s="91" t="str">
        <f t="shared" si="340"/>
        <v/>
      </c>
      <c r="K4313" s="92" t="str">
        <f>IF(AND(A4313="",B4313="",D4313="",G4313=""),"",IF(AND(A4313&lt;&gt;"",COUNTIF($A$2:$A$5001,A4313)&gt;1),"NUMERO_PC duplicado",IF(B4313="","DATA_PC vazia",IF(NOT(ISNUMBER(B4313)),"DATA_PC invalida",IF(OR(C4313="",C4313="Fora dos ciclos"),"CICLO_PC nao identificado",IF(OR(D4313="",D4313=0),"VALOR_PC vazio ou zero",IF(AND(G4313&lt;&gt;"Sim",G4313&lt;&gt;"Nao",G4313&lt;&gt;""),"PC_PAGO_A_CONTRATADA invalido",IF(AND(C4313&lt;&gt;"C0",IFERROR(INDEX(parametros!$A$2:$A$6,MATCH(C4313,parametros!$B$2:$B$6,0)),"")="Sim",IFERROR(INDEX(parametros!$H$2:$H$6,MATCH(C4313,parametros!$B$2:$B$6,0)),"")=""),"INICIO_EFEITO ausente: PC "&amp;A4313&amp;" - "&amp;C4313,IF(L4313="","EFEITO_PC nao calculado: PC "&amp;A4313&amp;" - "&amp;C4313,"OK")))))))))</f>
        <v/>
      </c>
      <c r="L4313" s="92" t="str">
        <f>IF(AND(A4313="",B4313="",D4313="",G4313=""),"",IF(OR(B4313="",NOT(ISNUMBER(B4313)),C4313="",C4313="Fora dos ciclos"),"",IF(C4313="C0","Nao",IF(IFERROR(INDEX(parametros!$A$2:$A$6,MATCH(C4313,parametros!$B$2:$B$6,0)),"")&lt;&gt;"Sim","Nao",IF(IFERROR(INDEX(parametros!$H$2:$H$6,MATCH(C4313,parametros!$B$2:$B$6,0)),"")="","",IF(B4313&gt;=IFERROR(INDEX(parametros!$H$2:$H$6,MATCH(C4313,parametros!$B$2:$B$6,0)),""),"Sim","Nao"))))))</f>
        <v/>
      </c>
      <c r="T4313" s="156"/>
      <c r="U4313" s="214" t="str">
        <f t="shared" si="341"/>
        <v/>
      </c>
      <c r="V4313" s="212" t="s">
        <v>50</v>
      </c>
      <c r="W4313" s="100" t="s">
        <v>168</v>
      </c>
      <c r="X4313" s="100" t="s">
        <v>169</v>
      </c>
      <c r="Y4313" s="101" t="s">
        <v>170</v>
      </c>
      <c r="Z4313" s="101" t="s">
        <v>171</v>
      </c>
      <c r="AA4313" s="101" t="s">
        <v>50</v>
      </c>
      <c r="AB4313" s="101" t="s">
        <v>172</v>
      </c>
      <c r="AC4313" s="102" t="s">
        <v>173</v>
      </c>
    </row>
    <row r="4314" spans="1:29" ht="25.5" customHeight="1" x14ac:dyDescent="0.35">
      <c r="A4314" s="392"/>
      <c r="B4314" s="393"/>
      <c r="C4314" s="99" t="str">
        <f>IF(B4314="","",IF(NOT(ISNUMBER(B4314)),"DATA_PC invalida",IF(NOT(ISNUMBER(parametros!$C$2)),"Fora dos ciclos",IF(OR(B4314&lt;parametros!$C$2,(YEAR(B4314)-YEAR(parametros!$C$2))*12+MONTH(B4314)-MONTH(parametros!$C$2)&gt;59),"Fora dos ciclos","C"&amp;INT(((YEAR(B4314)-YEAR(parametros!$C$2))*12+MONTH(B4314)-MONTH(parametros!$C$2))/12)))))</f>
        <v/>
      </c>
      <c r="D4314" s="394"/>
      <c r="E4314" s="78" t="str">
        <f>IF(C4314="","",IFERROR(VLOOKUP(C4314,parametros!$A$11:$E$15,5,0),""))</f>
        <v/>
      </c>
      <c r="F4314" s="79" t="str">
        <f t="shared" si="337"/>
        <v/>
      </c>
      <c r="G4314" s="395"/>
      <c r="H4314" s="91">
        <f t="shared" si="338"/>
        <v>0</v>
      </c>
      <c r="I4314" s="91" t="str">
        <f t="shared" si="339"/>
        <v/>
      </c>
      <c r="J4314" s="91" t="str">
        <f t="shared" si="340"/>
        <v/>
      </c>
      <c r="K4314" s="92" t="str">
        <f>IF(AND(A4314="",B4314="",D4314="",G4314=""),"",IF(AND(A4314&lt;&gt;"",COUNTIF($A$2:$A$5001,A4314)&gt;1),"NUMERO_PC duplicado",IF(B4314="","DATA_PC vazia",IF(NOT(ISNUMBER(B4314)),"DATA_PC invalida",IF(OR(C4314="",C4314="Fora dos ciclos"),"CICLO_PC nao identificado",IF(OR(D4314="",D4314=0),"VALOR_PC vazio ou zero",IF(AND(G4314&lt;&gt;"Sim",G4314&lt;&gt;"Nao",G4314&lt;&gt;""),"PC_PAGO_A_CONTRATADA invalido",IF(AND(C4314&lt;&gt;"C0",IFERROR(INDEX(parametros!$A$2:$A$6,MATCH(C4314,parametros!$B$2:$B$6,0)),"")="Sim",IFERROR(INDEX(parametros!$H$2:$H$6,MATCH(C4314,parametros!$B$2:$B$6,0)),"")=""),"INICIO_EFEITO ausente: PC "&amp;A4314&amp;" - "&amp;C4314,IF(L4314="","EFEITO_PC nao calculado: PC "&amp;A4314&amp;" - "&amp;C4314,"OK")))))))))</f>
        <v/>
      </c>
      <c r="L4314" s="92" t="str">
        <f>IF(AND(A4314="",B4314="",D4314="",G4314=""),"",IF(OR(B4314="",NOT(ISNUMBER(B4314)),C4314="",C4314="Fora dos ciclos"),"",IF(C4314="C0","Nao",IF(IFERROR(INDEX(parametros!$A$2:$A$6,MATCH(C4314,parametros!$B$2:$B$6,0)),"")&lt;&gt;"Sim","Nao",IF(IFERROR(INDEX(parametros!$H$2:$H$6,MATCH(C4314,parametros!$B$2:$B$6,0)),"")="","",IF(B4314&gt;=IFERROR(INDEX(parametros!$H$2:$H$6,MATCH(C4314,parametros!$B$2:$B$6,0)),""),"Sim","Nao"))))))</f>
        <v/>
      </c>
      <c r="T4314" s="156"/>
      <c r="U4314" s="214" t="str">
        <f t="shared" si="341"/>
        <v/>
      </c>
      <c r="V4314" s="212" t="s">
        <v>50</v>
      </c>
      <c r="W4314" s="100" t="s">
        <v>168</v>
      </c>
      <c r="X4314" s="100" t="s">
        <v>169</v>
      </c>
      <c r="Y4314" s="101" t="s">
        <v>170</v>
      </c>
      <c r="Z4314" s="101" t="s">
        <v>171</v>
      </c>
      <c r="AA4314" s="101" t="s">
        <v>50</v>
      </c>
      <c r="AB4314" s="101" t="s">
        <v>172</v>
      </c>
      <c r="AC4314" s="102" t="s">
        <v>173</v>
      </c>
    </row>
    <row r="4315" spans="1:29" ht="25.5" customHeight="1" x14ac:dyDescent="0.35">
      <c r="A4315" s="392"/>
      <c r="B4315" s="393"/>
      <c r="C4315" s="99" t="str">
        <f>IF(B4315="","",IF(NOT(ISNUMBER(B4315)),"DATA_PC invalida",IF(NOT(ISNUMBER(parametros!$C$2)),"Fora dos ciclos",IF(OR(B4315&lt;parametros!$C$2,(YEAR(B4315)-YEAR(parametros!$C$2))*12+MONTH(B4315)-MONTH(parametros!$C$2)&gt;59),"Fora dos ciclos","C"&amp;INT(((YEAR(B4315)-YEAR(parametros!$C$2))*12+MONTH(B4315)-MONTH(parametros!$C$2))/12)))))</f>
        <v/>
      </c>
      <c r="D4315" s="394"/>
      <c r="E4315" s="78" t="str">
        <f>IF(C4315="","",IFERROR(VLOOKUP(C4315,parametros!$A$11:$E$15,5,0),""))</f>
        <v/>
      </c>
      <c r="F4315" s="79" t="str">
        <f t="shared" si="337"/>
        <v/>
      </c>
      <c r="G4315" s="395"/>
      <c r="H4315" s="91">
        <f t="shared" si="338"/>
        <v>0</v>
      </c>
      <c r="I4315" s="91" t="str">
        <f t="shared" si="339"/>
        <v/>
      </c>
      <c r="J4315" s="91" t="str">
        <f t="shared" si="340"/>
        <v/>
      </c>
      <c r="K4315" s="92" t="str">
        <f>IF(AND(A4315="",B4315="",D4315="",G4315=""),"",IF(AND(A4315&lt;&gt;"",COUNTIF($A$2:$A$5001,A4315)&gt;1),"NUMERO_PC duplicado",IF(B4315="","DATA_PC vazia",IF(NOT(ISNUMBER(B4315)),"DATA_PC invalida",IF(OR(C4315="",C4315="Fora dos ciclos"),"CICLO_PC nao identificado",IF(OR(D4315="",D4315=0),"VALOR_PC vazio ou zero",IF(AND(G4315&lt;&gt;"Sim",G4315&lt;&gt;"Nao",G4315&lt;&gt;""),"PC_PAGO_A_CONTRATADA invalido",IF(AND(C4315&lt;&gt;"C0",IFERROR(INDEX(parametros!$A$2:$A$6,MATCH(C4315,parametros!$B$2:$B$6,0)),"")="Sim",IFERROR(INDEX(parametros!$H$2:$H$6,MATCH(C4315,parametros!$B$2:$B$6,0)),"")=""),"INICIO_EFEITO ausente: PC "&amp;A4315&amp;" - "&amp;C4315,IF(L4315="","EFEITO_PC nao calculado: PC "&amp;A4315&amp;" - "&amp;C4315,"OK")))))))))</f>
        <v/>
      </c>
      <c r="L4315" s="92" t="str">
        <f>IF(AND(A4315="",B4315="",D4315="",G4315=""),"",IF(OR(B4315="",NOT(ISNUMBER(B4315)),C4315="",C4315="Fora dos ciclos"),"",IF(C4315="C0","Nao",IF(IFERROR(INDEX(parametros!$A$2:$A$6,MATCH(C4315,parametros!$B$2:$B$6,0)),"")&lt;&gt;"Sim","Nao",IF(IFERROR(INDEX(parametros!$H$2:$H$6,MATCH(C4315,parametros!$B$2:$B$6,0)),"")="","",IF(B4315&gt;=IFERROR(INDEX(parametros!$H$2:$H$6,MATCH(C4315,parametros!$B$2:$B$6,0)),""),"Sim","Nao"))))))</f>
        <v/>
      </c>
      <c r="T4315" s="156"/>
      <c r="U4315" s="214" t="str">
        <f t="shared" si="341"/>
        <v/>
      </c>
      <c r="V4315" s="212" t="s">
        <v>50</v>
      </c>
      <c r="W4315" s="100" t="s">
        <v>168</v>
      </c>
      <c r="X4315" s="100" t="s">
        <v>169</v>
      </c>
      <c r="Y4315" s="101" t="s">
        <v>170</v>
      </c>
      <c r="Z4315" s="101" t="s">
        <v>171</v>
      </c>
      <c r="AA4315" s="101" t="s">
        <v>50</v>
      </c>
      <c r="AB4315" s="101" t="s">
        <v>172</v>
      </c>
      <c r="AC4315" s="102" t="s">
        <v>173</v>
      </c>
    </row>
    <row r="4316" spans="1:29" ht="25.5" customHeight="1" x14ac:dyDescent="0.35">
      <c r="A4316" s="392"/>
      <c r="B4316" s="393"/>
      <c r="C4316" s="99" t="str">
        <f>IF(B4316="","",IF(NOT(ISNUMBER(B4316)),"DATA_PC invalida",IF(NOT(ISNUMBER(parametros!$C$2)),"Fora dos ciclos",IF(OR(B4316&lt;parametros!$C$2,(YEAR(B4316)-YEAR(parametros!$C$2))*12+MONTH(B4316)-MONTH(parametros!$C$2)&gt;59),"Fora dos ciclos","C"&amp;INT(((YEAR(B4316)-YEAR(parametros!$C$2))*12+MONTH(B4316)-MONTH(parametros!$C$2))/12)))))</f>
        <v/>
      </c>
      <c r="D4316" s="394"/>
      <c r="E4316" s="78" t="str">
        <f>IF(C4316="","",IFERROR(VLOOKUP(C4316,parametros!$A$11:$E$15,5,0),""))</f>
        <v/>
      </c>
      <c r="F4316" s="79" t="str">
        <f t="shared" si="337"/>
        <v/>
      </c>
      <c r="G4316" s="395"/>
      <c r="H4316" s="91">
        <f t="shared" si="338"/>
        <v>0</v>
      </c>
      <c r="I4316" s="91" t="str">
        <f t="shared" si="339"/>
        <v/>
      </c>
      <c r="J4316" s="91" t="str">
        <f t="shared" si="340"/>
        <v/>
      </c>
      <c r="K4316" s="92" t="str">
        <f>IF(AND(A4316="",B4316="",D4316="",G4316=""),"",IF(AND(A4316&lt;&gt;"",COUNTIF($A$2:$A$5001,A4316)&gt;1),"NUMERO_PC duplicado",IF(B4316="","DATA_PC vazia",IF(NOT(ISNUMBER(B4316)),"DATA_PC invalida",IF(OR(C4316="",C4316="Fora dos ciclos"),"CICLO_PC nao identificado",IF(OR(D4316="",D4316=0),"VALOR_PC vazio ou zero",IF(AND(G4316&lt;&gt;"Sim",G4316&lt;&gt;"Nao",G4316&lt;&gt;""),"PC_PAGO_A_CONTRATADA invalido",IF(AND(C4316&lt;&gt;"C0",IFERROR(INDEX(parametros!$A$2:$A$6,MATCH(C4316,parametros!$B$2:$B$6,0)),"")="Sim",IFERROR(INDEX(parametros!$H$2:$H$6,MATCH(C4316,parametros!$B$2:$B$6,0)),"")=""),"INICIO_EFEITO ausente: PC "&amp;A4316&amp;" - "&amp;C4316,IF(L4316="","EFEITO_PC nao calculado: PC "&amp;A4316&amp;" - "&amp;C4316,"OK")))))))))</f>
        <v/>
      </c>
      <c r="L4316" s="92" t="str">
        <f>IF(AND(A4316="",B4316="",D4316="",G4316=""),"",IF(OR(B4316="",NOT(ISNUMBER(B4316)),C4316="",C4316="Fora dos ciclos"),"",IF(C4316="C0","Nao",IF(IFERROR(INDEX(parametros!$A$2:$A$6,MATCH(C4316,parametros!$B$2:$B$6,0)),"")&lt;&gt;"Sim","Nao",IF(IFERROR(INDEX(parametros!$H$2:$H$6,MATCH(C4316,parametros!$B$2:$B$6,0)),"")="","",IF(B4316&gt;=IFERROR(INDEX(parametros!$H$2:$H$6,MATCH(C4316,parametros!$B$2:$B$6,0)),""),"Sim","Nao"))))))</f>
        <v/>
      </c>
      <c r="T4316" s="156"/>
      <c r="U4316" s="214" t="str">
        <f t="shared" si="341"/>
        <v/>
      </c>
      <c r="V4316" s="212" t="s">
        <v>50</v>
      </c>
      <c r="W4316" s="100" t="s">
        <v>168</v>
      </c>
      <c r="X4316" s="100" t="s">
        <v>169</v>
      </c>
      <c r="Y4316" s="101" t="s">
        <v>170</v>
      </c>
      <c r="Z4316" s="101" t="s">
        <v>171</v>
      </c>
      <c r="AA4316" s="101" t="s">
        <v>50</v>
      </c>
      <c r="AB4316" s="101" t="s">
        <v>172</v>
      </c>
      <c r="AC4316" s="102" t="s">
        <v>173</v>
      </c>
    </row>
    <row r="4317" spans="1:29" ht="25.5" customHeight="1" x14ac:dyDescent="0.35">
      <c r="A4317" s="392"/>
      <c r="B4317" s="393"/>
      <c r="C4317" s="99" t="str">
        <f>IF(B4317="","",IF(NOT(ISNUMBER(B4317)),"DATA_PC invalida",IF(NOT(ISNUMBER(parametros!$C$2)),"Fora dos ciclos",IF(OR(B4317&lt;parametros!$C$2,(YEAR(B4317)-YEAR(parametros!$C$2))*12+MONTH(B4317)-MONTH(parametros!$C$2)&gt;59),"Fora dos ciclos","C"&amp;INT(((YEAR(B4317)-YEAR(parametros!$C$2))*12+MONTH(B4317)-MONTH(parametros!$C$2))/12)))))</f>
        <v/>
      </c>
      <c r="D4317" s="394"/>
      <c r="E4317" s="78" t="str">
        <f>IF(C4317="","",IFERROR(VLOOKUP(C4317,parametros!$A$11:$E$15,5,0),""))</f>
        <v/>
      </c>
      <c r="F4317" s="79" t="str">
        <f t="shared" si="337"/>
        <v/>
      </c>
      <c r="G4317" s="395"/>
      <c r="H4317" s="91">
        <f t="shared" si="338"/>
        <v>0</v>
      </c>
      <c r="I4317" s="91" t="str">
        <f t="shared" si="339"/>
        <v/>
      </c>
      <c r="J4317" s="91" t="str">
        <f t="shared" si="340"/>
        <v/>
      </c>
      <c r="K4317" s="92" t="str">
        <f>IF(AND(A4317="",B4317="",D4317="",G4317=""),"",IF(AND(A4317&lt;&gt;"",COUNTIF($A$2:$A$5001,A4317)&gt;1),"NUMERO_PC duplicado",IF(B4317="","DATA_PC vazia",IF(NOT(ISNUMBER(B4317)),"DATA_PC invalida",IF(OR(C4317="",C4317="Fora dos ciclos"),"CICLO_PC nao identificado",IF(OR(D4317="",D4317=0),"VALOR_PC vazio ou zero",IF(AND(G4317&lt;&gt;"Sim",G4317&lt;&gt;"Nao",G4317&lt;&gt;""),"PC_PAGO_A_CONTRATADA invalido",IF(AND(C4317&lt;&gt;"C0",IFERROR(INDEX(parametros!$A$2:$A$6,MATCH(C4317,parametros!$B$2:$B$6,0)),"")="Sim",IFERROR(INDEX(parametros!$H$2:$H$6,MATCH(C4317,parametros!$B$2:$B$6,0)),"")=""),"INICIO_EFEITO ausente: PC "&amp;A4317&amp;" - "&amp;C4317,IF(L4317="","EFEITO_PC nao calculado: PC "&amp;A4317&amp;" - "&amp;C4317,"OK")))))))))</f>
        <v/>
      </c>
      <c r="L4317" s="92" t="str">
        <f>IF(AND(A4317="",B4317="",D4317="",G4317=""),"",IF(OR(B4317="",NOT(ISNUMBER(B4317)),C4317="",C4317="Fora dos ciclos"),"",IF(C4317="C0","Nao",IF(IFERROR(INDEX(parametros!$A$2:$A$6,MATCH(C4317,parametros!$B$2:$B$6,0)),"")&lt;&gt;"Sim","Nao",IF(IFERROR(INDEX(parametros!$H$2:$H$6,MATCH(C4317,parametros!$B$2:$B$6,0)),"")="","",IF(B4317&gt;=IFERROR(INDEX(parametros!$H$2:$H$6,MATCH(C4317,parametros!$B$2:$B$6,0)),""),"Sim","Nao"))))))</f>
        <v/>
      </c>
      <c r="T4317" s="156"/>
      <c r="U4317" s="214" t="str">
        <f t="shared" si="341"/>
        <v/>
      </c>
      <c r="V4317" s="212" t="s">
        <v>50</v>
      </c>
      <c r="W4317" s="100" t="s">
        <v>168</v>
      </c>
      <c r="X4317" s="100" t="s">
        <v>169</v>
      </c>
      <c r="Y4317" s="101" t="s">
        <v>170</v>
      </c>
      <c r="Z4317" s="101" t="s">
        <v>171</v>
      </c>
      <c r="AA4317" s="101" t="s">
        <v>50</v>
      </c>
      <c r="AB4317" s="101" t="s">
        <v>172</v>
      </c>
      <c r="AC4317" s="102" t="s">
        <v>173</v>
      </c>
    </row>
    <row r="4318" spans="1:29" ht="25.5" customHeight="1" x14ac:dyDescent="0.35">
      <c r="A4318" s="392"/>
      <c r="B4318" s="393"/>
      <c r="C4318" s="99" t="str">
        <f>IF(B4318="","",IF(NOT(ISNUMBER(B4318)),"DATA_PC invalida",IF(NOT(ISNUMBER(parametros!$C$2)),"Fora dos ciclos",IF(OR(B4318&lt;parametros!$C$2,(YEAR(B4318)-YEAR(parametros!$C$2))*12+MONTH(B4318)-MONTH(parametros!$C$2)&gt;59),"Fora dos ciclos","C"&amp;INT(((YEAR(B4318)-YEAR(parametros!$C$2))*12+MONTH(B4318)-MONTH(parametros!$C$2))/12)))))</f>
        <v/>
      </c>
      <c r="D4318" s="394"/>
      <c r="E4318" s="78" t="str">
        <f>IF(C4318="","",IFERROR(VLOOKUP(C4318,parametros!$A$11:$E$15,5,0),""))</f>
        <v/>
      </c>
      <c r="F4318" s="79" t="str">
        <f t="shared" si="337"/>
        <v/>
      </c>
      <c r="G4318" s="395"/>
      <c r="H4318" s="91">
        <f t="shared" si="338"/>
        <v>0</v>
      </c>
      <c r="I4318" s="91" t="str">
        <f t="shared" si="339"/>
        <v/>
      </c>
      <c r="J4318" s="91" t="str">
        <f t="shared" si="340"/>
        <v/>
      </c>
      <c r="K4318" s="92" t="str">
        <f>IF(AND(A4318="",B4318="",D4318="",G4318=""),"",IF(AND(A4318&lt;&gt;"",COUNTIF($A$2:$A$5001,A4318)&gt;1),"NUMERO_PC duplicado",IF(B4318="","DATA_PC vazia",IF(NOT(ISNUMBER(B4318)),"DATA_PC invalida",IF(OR(C4318="",C4318="Fora dos ciclos"),"CICLO_PC nao identificado",IF(OR(D4318="",D4318=0),"VALOR_PC vazio ou zero",IF(AND(G4318&lt;&gt;"Sim",G4318&lt;&gt;"Nao",G4318&lt;&gt;""),"PC_PAGO_A_CONTRATADA invalido",IF(AND(C4318&lt;&gt;"C0",IFERROR(INDEX(parametros!$A$2:$A$6,MATCH(C4318,parametros!$B$2:$B$6,0)),"")="Sim",IFERROR(INDEX(parametros!$H$2:$H$6,MATCH(C4318,parametros!$B$2:$B$6,0)),"")=""),"INICIO_EFEITO ausente: PC "&amp;A4318&amp;" - "&amp;C4318,IF(L4318="","EFEITO_PC nao calculado: PC "&amp;A4318&amp;" - "&amp;C4318,"OK")))))))))</f>
        <v/>
      </c>
      <c r="L4318" s="92" t="str">
        <f>IF(AND(A4318="",B4318="",D4318="",G4318=""),"",IF(OR(B4318="",NOT(ISNUMBER(B4318)),C4318="",C4318="Fora dos ciclos"),"",IF(C4318="C0","Nao",IF(IFERROR(INDEX(parametros!$A$2:$A$6,MATCH(C4318,parametros!$B$2:$B$6,0)),"")&lt;&gt;"Sim","Nao",IF(IFERROR(INDEX(parametros!$H$2:$H$6,MATCH(C4318,parametros!$B$2:$B$6,0)),"")="","",IF(B4318&gt;=IFERROR(INDEX(parametros!$H$2:$H$6,MATCH(C4318,parametros!$B$2:$B$6,0)),""),"Sim","Nao"))))))</f>
        <v/>
      </c>
      <c r="T4318" s="156"/>
      <c r="U4318" s="214" t="str">
        <f t="shared" si="341"/>
        <v/>
      </c>
      <c r="V4318" s="212" t="s">
        <v>50</v>
      </c>
      <c r="W4318" s="100" t="s">
        <v>168</v>
      </c>
      <c r="X4318" s="100" t="s">
        <v>169</v>
      </c>
      <c r="Y4318" s="101" t="s">
        <v>170</v>
      </c>
      <c r="Z4318" s="101" t="s">
        <v>171</v>
      </c>
      <c r="AA4318" s="101" t="s">
        <v>50</v>
      </c>
      <c r="AB4318" s="101" t="s">
        <v>172</v>
      </c>
      <c r="AC4318" s="102" t="s">
        <v>173</v>
      </c>
    </row>
    <row r="4319" spans="1:29" ht="25.5" customHeight="1" x14ac:dyDescent="0.35">
      <c r="A4319" s="392"/>
      <c r="B4319" s="393"/>
      <c r="C4319" s="99" t="str">
        <f>IF(B4319="","",IF(NOT(ISNUMBER(B4319)),"DATA_PC invalida",IF(NOT(ISNUMBER(parametros!$C$2)),"Fora dos ciclos",IF(OR(B4319&lt;parametros!$C$2,(YEAR(B4319)-YEAR(parametros!$C$2))*12+MONTH(B4319)-MONTH(parametros!$C$2)&gt;59),"Fora dos ciclos","C"&amp;INT(((YEAR(B4319)-YEAR(parametros!$C$2))*12+MONTH(B4319)-MONTH(parametros!$C$2))/12)))))</f>
        <v/>
      </c>
      <c r="D4319" s="394"/>
      <c r="E4319" s="78" t="str">
        <f>IF(C4319="","",IFERROR(VLOOKUP(C4319,parametros!$A$11:$E$15,5,0),""))</f>
        <v/>
      </c>
      <c r="F4319" s="79" t="str">
        <f t="shared" si="337"/>
        <v/>
      </c>
      <c r="G4319" s="395"/>
      <c r="H4319" s="91">
        <f t="shared" si="338"/>
        <v>0</v>
      </c>
      <c r="I4319" s="91" t="str">
        <f t="shared" si="339"/>
        <v/>
      </c>
      <c r="J4319" s="91" t="str">
        <f t="shared" si="340"/>
        <v/>
      </c>
      <c r="K4319" s="92" t="str">
        <f>IF(AND(A4319="",B4319="",D4319="",G4319=""),"",IF(AND(A4319&lt;&gt;"",COUNTIF($A$2:$A$5001,A4319)&gt;1),"NUMERO_PC duplicado",IF(B4319="","DATA_PC vazia",IF(NOT(ISNUMBER(B4319)),"DATA_PC invalida",IF(OR(C4319="",C4319="Fora dos ciclos"),"CICLO_PC nao identificado",IF(OR(D4319="",D4319=0),"VALOR_PC vazio ou zero",IF(AND(G4319&lt;&gt;"Sim",G4319&lt;&gt;"Nao",G4319&lt;&gt;""),"PC_PAGO_A_CONTRATADA invalido",IF(AND(C4319&lt;&gt;"C0",IFERROR(INDEX(parametros!$A$2:$A$6,MATCH(C4319,parametros!$B$2:$B$6,0)),"")="Sim",IFERROR(INDEX(parametros!$H$2:$H$6,MATCH(C4319,parametros!$B$2:$B$6,0)),"")=""),"INICIO_EFEITO ausente: PC "&amp;A4319&amp;" - "&amp;C4319,IF(L4319="","EFEITO_PC nao calculado: PC "&amp;A4319&amp;" - "&amp;C4319,"OK")))))))))</f>
        <v/>
      </c>
      <c r="L4319" s="92" t="str">
        <f>IF(AND(A4319="",B4319="",D4319="",G4319=""),"",IF(OR(B4319="",NOT(ISNUMBER(B4319)),C4319="",C4319="Fora dos ciclos"),"",IF(C4319="C0","Nao",IF(IFERROR(INDEX(parametros!$A$2:$A$6,MATCH(C4319,parametros!$B$2:$B$6,0)),"")&lt;&gt;"Sim","Nao",IF(IFERROR(INDEX(parametros!$H$2:$H$6,MATCH(C4319,parametros!$B$2:$B$6,0)),"")="","",IF(B4319&gt;=IFERROR(INDEX(parametros!$H$2:$H$6,MATCH(C4319,parametros!$B$2:$B$6,0)),""),"Sim","Nao"))))))</f>
        <v/>
      </c>
      <c r="T4319" s="156"/>
      <c r="U4319" s="214" t="str">
        <f t="shared" si="341"/>
        <v/>
      </c>
      <c r="V4319" s="212" t="s">
        <v>50</v>
      </c>
      <c r="W4319" s="100" t="s">
        <v>168</v>
      </c>
      <c r="X4319" s="100" t="s">
        <v>169</v>
      </c>
      <c r="Y4319" s="101" t="s">
        <v>170</v>
      </c>
      <c r="Z4319" s="101" t="s">
        <v>171</v>
      </c>
      <c r="AA4319" s="101" t="s">
        <v>50</v>
      </c>
      <c r="AB4319" s="101" t="s">
        <v>172</v>
      </c>
      <c r="AC4319" s="102" t="s">
        <v>173</v>
      </c>
    </row>
    <row r="4320" spans="1:29" ht="25.5" customHeight="1" x14ac:dyDescent="0.35">
      <c r="A4320" s="392"/>
      <c r="B4320" s="393"/>
      <c r="C4320" s="99" t="str">
        <f>IF(B4320="","",IF(NOT(ISNUMBER(B4320)),"DATA_PC invalida",IF(NOT(ISNUMBER(parametros!$C$2)),"Fora dos ciclos",IF(OR(B4320&lt;parametros!$C$2,(YEAR(B4320)-YEAR(parametros!$C$2))*12+MONTH(B4320)-MONTH(parametros!$C$2)&gt;59),"Fora dos ciclos","C"&amp;INT(((YEAR(B4320)-YEAR(parametros!$C$2))*12+MONTH(B4320)-MONTH(parametros!$C$2))/12)))))</f>
        <v/>
      </c>
      <c r="D4320" s="394"/>
      <c r="E4320" s="78" t="str">
        <f>IF(C4320="","",IFERROR(VLOOKUP(C4320,parametros!$A$11:$E$15,5,0),""))</f>
        <v/>
      </c>
      <c r="F4320" s="79" t="str">
        <f t="shared" si="337"/>
        <v/>
      </c>
      <c r="G4320" s="395"/>
      <c r="H4320" s="91">
        <f t="shared" si="338"/>
        <v>0</v>
      </c>
      <c r="I4320" s="91" t="str">
        <f t="shared" si="339"/>
        <v/>
      </c>
      <c r="J4320" s="91" t="str">
        <f t="shared" si="340"/>
        <v/>
      </c>
      <c r="K4320" s="92" t="str">
        <f>IF(AND(A4320="",B4320="",D4320="",G4320=""),"",IF(AND(A4320&lt;&gt;"",COUNTIF($A$2:$A$5001,A4320)&gt;1),"NUMERO_PC duplicado",IF(B4320="","DATA_PC vazia",IF(NOT(ISNUMBER(B4320)),"DATA_PC invalida",IF(OR(C4320="",C4320="Fora dos ciclos"),"CICLO_PC nao identificado",IF(OR(D4320="",D4320=0),"VALOR_PC vazio ou zero",IF(AND(G4320&lt;&gt;"Sim",G4320&lt;&gt;"Nao",G4320&lt;&gt;""),"PC_PAGO_A_CONTRATADA invalido",IF(AND(C4320&lt;&gt;"C0",IFERROR(INDEX(parametros!$A$2:$A$6,MATCH(C4320,parametros!$B$2:$B$6,0)),"")="Sim",IFERROR(INDEX(parametros!$H$2:$H$6,MATCH(C4320,parametros!$B$2:$B$6,0)),"")=""),"INICIO_EFEITO ausente: PC "&amp;A4320&amp;" - "&amp;C4320,IF(L4320="","EFEITO_PC nao calculado: PC "&amp;A4320&amp;" - "&amp;C4320,"OK")))))))))</f>
        <v/>
      </c>
      <c r="L4320" s="92" t="str">
        <f>IF(AND(A4320="",B4320="",D4320="",G4320=""),"",IF(OR(B4320="",NOT(ISNUMBER(B4320)),C4320="",C4320="Fora dos ciclos"),"",IF(C4320="C0","Nao",IF(IFERROR(INDEX(parametros!$A$2:$A$6,MATCH(C4320,parametros!$B$2:$B$6,0)),"")&lt;&gt;"Sim","Nao",IF(IFERROR(INDEX(parametros!$H$2:$H$6,MATCH(C4320,parametros!$B$2:$B$6,0)),"")="","",IF(B4320&gt;=IFERROR(INDEX(parametros!$H$2:$H$6,MATCH(C4320,parametros!$B$2:$B$6,0)),""),"Sim","Nao"))))))</f>
        <v/>
      </c>
      <c r="T4320" s="156"/>
      <c r="U4320" s="214" t="str">
        <f t="shared" si="341"/>
        <v/>
      </c>
      <c r="V4320" s="212" t="s">
        <v>50</v>
      </c>
      <c r="W4320" s="100" t="s">
        <v>168</v>
      </c>
      <c r="X4320" s="100" t="s">
        <v>169</v>
      </c>
      <c r="Y4320" s="101" t="s">
        <v>170</v>
      </c>
      <c r="Z4320" s="101" t="s">
        <v>171</v>
      </c>
      <c r="AA4320" s="101" t="s">
        <v>50</v>
      </c>
      <c r="AB4320" s="101" t="s">
        <v>172</v>
      </c>
      <c r="AC4320" s="102" t="s">
        <v>173</v>
      </c>
    </row>
    <row r="4321" spans="1:29" ht="25.5" customHeight="1" x14ac:dyDescent="0.35">
      <c r="A4321" s="392"/>
      <c r="B4321" s="393"/>
      <c r="C4321" s="99" t="str">
        <f>IF(B4321="","",IF(NOT(ISNUMBER(B4321)),"DATA_PC invalida",IF(NOT(ISNUMBER(parametros!$C$2)),"Fora dos ciclos",IF(OR(B4321&lt;parametros!$C$2,(YEAR(B4321)-YEAR(parametros!$C$2))*12+MONTH(B4321)-MONTH(parametros!$C$2)&gt;59),"Fora dos ciclos","C"&amp;INT(((YEAR(B4321)-YEAR(parametros!$C$2))*12+MONTH(B4321)-MONTH(parametros!$C$2))/12)))))</f>
        <v/>
      </c>
      <c r="D4321" s="394"/>
      <c r="E4321" s="78" t="str">
        <f>IF(C4321="","",IFERROR(VLOOKUP(C4321,parametros!$A$11:$E$15,5,0),""))</f>
        <v/>
      </c>
      <c r="F4321" s="79" t="str">
        <f t="shared" si="337"/>
        <v/>
      </c>
      <c r="G4321" s="395"/>
      <c r="H4321" s="91">
        <f t="shared" si="338"/>
        <v>0</v>
      </c>
      <c r="I4321" s="91" t="str">
        <f t="shared" si="339"/>
        <v/>
      </c>
      <c r="J4321" s="91" t="str">
        <f t="shared" si="340"/>
        <v/>
      </c>
      <c r="K4321" s="92" t="str">
        <f>IF(AND(A4321="",B4321="",D4321="",G4321=""),"",IF(AND(A4321&lt;&gt;"",COUNTIF($A$2:$A$5001,A4321)&gt;1),"NUMERO_PC duplicado",IF(B4321="","DATA_PC vazia",IF(NOT(ISNUMBER(B4321)),"DATA_PC invalida",IF(OR(C4321="",C4321="Fora dos ciclos"),"CICLO_PC nao identificado",IF(OR(D4321="",D4321=0),"VALOR_PC vazio ou zero",IF(AND(G4321&lt;&gt;"Sim",G4321&lt;&gt;"Nao",G4321&lt;&gt;""),"PC_PAGO_A_CONTRATADA invalido",IF(AND(C4321&lt;&gt;"C0",IFERROR(INDEX(parametros!$A$2:$A$6,MATCH(C4321,parametros!$B$2:$B$6,0)),"")="Sim",IFERROR(INDEX(parametros!$H$2:$H$6,MATCH(C4321,parametros!$B$2:$B$6,0)),"")=""),"INICIO_EFEITO ausente: PC "&amp;A4321&amp;" - "&amp;C4321,IF(L4321="","EFEITO_PC nao calculado: PC "&amp;A4321&amp;" - "&amp;C4321,"OK")))))))))</f>
        <v/>
      </c>
      <c r="L4321" s="92" t="str">
        <f>IF(AND(A4321="",B4321="",D4321="",G4321=""),"",IF(OR(B4321="",NOT(ISNUMBER(B4321)),C4321="",C4321="Fora dos ciclos"),"",IF(C4321="C0","Nao",IF(IFERROR(INDEX(parametros!$A$2:$A$6,MATCH(C4321,parametros!$B$2:$B$6,0)),"")&lt;&gt;"Sim","Nao",IF(IFERROR(INDEX(parametros!$H$2:$H$6,MATCH(C4321,parametros!$B$2:$B$6,0)),"")="","",IF(B4321&gt;=IFERROR(INDEX(parametros!$H$2:$H$6,MATCH(C4321,parametros!$B$2:$B$6,0)),""),"Sim","Nao"))))))</f>
        <v/>
      </c>
      <c r="T4321" s="156"/>
      <c r="U4321" s="214" t="str">
        <f t="shared" si="341"/>
        <v/>
      </c>
      <c r="V4321" s="212" t="s">
        <v>50</v>
      </c>
      <c r="W4321" s="100" t="s">
        <v>168</v>
      </c>
      <c r="X4321" s="100" t="s">
        <v>169</v>
      </c>
      <c r="Y4321" s="101" t="s">
        <v>170</v>
      </c>
      <c r="Z4321" s="101" t="s">
        <v>171</v>
      </c>
      <c r="AA4321" s="101" t="s">
        <v>50</v>
      </c>
      <c r="AB4321" s="101" t="s">
        <v>172</v>
      </c>
      <c r="AC4321" s="102" t="s">
        <v>173</v>
      </c>
    </row>
    <row r="4322" spans="1:29" ht="25.5" customHeight="1" x14ac:dyDescent="0.35">
      <c r="A4322" s="392"/>
      <c r="B4322" s="393"/>
      <c r="C4322" s="99" t="str">
        <f>IF(B4322="","",IF(NOT(ISNUMBER(B4322)),"DATA_PC invalida",IF(NOT(ISNUMBER(parametros!$C$2)),"Fora dos ciclos",IF(OR(B4322&lt;parametros!$C$2,(YEAR(B4322)-YEAR(parametros!$C$2))*12+MONTH(B4322)-MONTH(parametros!$C$2)&gt;59),"Fora dos ciclos","C"&amp;INT(((YEAR(B4322)-YEAR(parametros!$C$2))*12+MONTH(B4322)-MONTH(parametros!$C$2))/12)))))</f>
        <v/>
      </c>
      <c r="D4322" s="394"/>
      <c r="E4322" s="78" t="str">
        <f>IF(C4322="","",IFERROR(VLOOKUP(C4322,parametros!$A$11:$E$15,5,0),""))</f>
        <v/>
      </c>
      <c r="F4322" s="79" t="str">
        <f t="shared" si="337"/>
        <v/>
      </c>
      <c r="G4322" s="395"/>
      <c r="H4322" s="91">
        <f t="shared" si="338"/>
        <v>0</v>
      </c>
      <c r="I4322" s="91" t="str">
        <f t="shared" si="339"/>
        <v/>
      </c>
      <c r="J4322" s="91" t="str">
        <f t="shared" si="340"/>
        <v/>
      </c>
      <c r="K4322" s="92" t="str">
        <f>IF(AND(A4322="",B4322="",D4322="",G4322=""),"",IF(AND(A4322&lt;&gt;"",COUNTIF($A$2:$A$5001,A4322)&gt;1),"NUMERO_PC duplicado",IF(B4322="","DATA_PC vazia",IF(NOT(ISNUMBER(B4322)),"DATA_PC invalida",IF(OR(C4322="",C4322="Fora dos ciclos"),"CICLO_PC nao identificado",IF(OR(D4322="",D4322=0),"VALOR_PC vazio ou zero",IF(AND(G4322&lt;&gt;"Sim",G4322&lt;&gt;"Nao",G4322&lt;&gt;""),"PC_PAGO_A_CONTRATADA invalido",IF(AND(C4322&lt;&gt;"C0",IFERROR(INDEX(parametros!$A$2:$A$6,MATCH(C4322,parametros!$B$2:$B$6,0)),"")="Sim",IFERROR(INDEX(parametros!$H$2:$H$6,MATCH(C4322,parametros!$B$2:$B$6,0)),"")=""),"INICIO_EFEITO ausente: PC "&amp;A4322&amp;" - "&amp;C4322,IF(L4322="","EFEITO_PC nao calculado: PC "&amp;A4322&amp;" - "&amp;C4322,"OK")))))))))</f>
        <v/>
      </c>
      <c r="L4322" s="92" t="str">
        <f>IF(AND(A4322="",B4322="",D4322="",G4322=""),"",IF(OR(B4322="",NOT(ISNUMBER(B4322)),C4322="",C4322="Fora dos ciclos"),"",IF(C4322="C0","Nao",IF(IFERROR(INDEX(parametros!$A$2:$A$6,MATCH(C4322,parametros!$B$2:$B$6,0)),"")&lt;&gt;"Sim","Nao",IF(IFERROR(INDEX(parametros!$H$2:$H$6,MATCH(C4322,parametros!$B$2:$B$6,0)),"")="","",IF(B4322&gt;=IFERROR(INDEX(parametros!$H$2:$H$6,MATCH(C4322,parametros!$B$2:$B$6,0)),""),"Sim","Nao"))))))</f>
        <v/>
      </c>
      <c r="T4322" s="156"/>
      <c r="U4322" s="214" t="str">
        <f t="shared" si="341"/>
        <v/>
      </c>
      <c r="V4322" s="212" t="s">
        <v>50</v>
      </c>
      <c r="W4322" s="100" t="s">
        <v>168</v>
      </c>
      <c r="X4322" s="100" t="s">
        <v>169</v>
      </c>
      <c r="Y4322" s="101" t="s">
        <v>170</v>
      </c>
      <c r="Z4322" s="101" t="s">
        <v>171</v>
      </c>
      <c r="AA4322" s="101" t="s">
        <v>50</v>
      </c>
      <c r="AB4322" s="101" t="s">
        <v>172</v>
      </c>
      <c r="AC4322" s="102" t="s">
        <v>173</v>
      </c>
    </row>
    <row r="4323" spans="1:29" ht="25.5" customHeight="1" x14ac:dyDescent="0.35">
      <c r="A4323" s="392"/>
      <c r="B4323" s="393"/>
      <c r="C4323" s="99" t="str">
        <f>IF(B4323="","",IF(NOT(ISNUMBER(B4323)),"DATA_PC invalida",IF(NOT(ISNUMBER(parametros!$C$2)),"Fora dos ciclos",IF(OR(B4323&lt;parametros!$C$2,(YEAR(B4323)-YEAR(parametros!$C$2))*12+MONTH(B4323)-MONTH(parametros!$C$2)&gt;59),"Fora dos ciclos","C"&amp;INT(((YEAR(B4323)-YEAR(parametros!$C$2))*12+MONTH(B4323)-MONTH(parametros!$C$2))/12)))))</f>
        <v/>
      </c>
      <c r="D4323" s="394"/>
      <c r="E4323" s="78" t="str">
        <f>IF(C4323="","",IFERROR(VLOOKUP(C4323,parametros!$A$11:$E$15,5,0),""))</f>
        <v/>
      </c>
      <c r="F4323" s="79" t="str">
        <f t="shared" si="337"/>
        <v/>
      </c>
      <c r="G4323" s="395"/>
      <c r="H4323" s="91">
        <f t="shared" si="338"/>
        <v>0</v>
      </c>
      <c r="I4323" s="91" t="str">
        <f t="shared" si="339"/>
        <v/>
      </c>
      <c r="J4323" s="91" t="str">
        <f t="shared" si="340"/>
        <v/>
      </c>
      <c r="K4323" s="92" t="str">
        <f>IF(AND(A4323="",B4323="",D4323="",G4323=""),"",IF(AND(A4323&lt;&gt;"",COUNTIF($A$2:$A$5001,A4323)&gt;1),"NUMERO_PC duplicado",IF(B4323="","DATA_PC vazia",IF(NOT(ISNUMBER(B4323)),"DATA_PC invalida",IF(OR(C4323="",C4323="Fora dos ciclos"),"CICLO_PC nao identificado",IF(OR(D4323="",D4323=0),"VALOR_PC vazio ou zero",IF(AND(G4323&lt;&gt;"Sim",G4323&lt;&gt;"Nao",G4323&lt;&gt;""),"PC_PAGO_A_CONTRATADA invalido",IF(AND(C4323&lt;&gt;"C0",IFERROR(INDEX(parametros!$A$2:$A$6,MATCH(C4323,parametros!$B$2:$B$6,0)),"")="Sim",IFERROR(INDEX(parametros!$H$2:$H$6,MATCH(C4323,parametros!$B$2:$B$6,0)),"")=""),"INICIO_EFEITO ausente: PC "&amp;A4323&amp;" - "&amp;C4323,IF(L4323="","EFEITO_PC nao calculado: PC "&amp;A4323&amp;" - "&amp;C4323,"OK")))))))))</f>
        <v/>
      </c>
      <c r="L4323" s="92" t="str">
        <f>IF(AND(A4323="",B4323="",D4323="",G4323=""),"",IF(OR(B4323="",NOT(ISNUMBER(B4323)),C4323="",C4323="Fora dos ciclos"),"",IF(C4323="C0","Nao",IF(IFERROR(INDEX(parametros!$A$2:$A$6,MATCH(C4323,parametros!$B$2:$B$6,0)),"")&lt;&gt;"Sim","Nao",IF(IFERROR(INDEX(parametros!$H$2:$H$6,MATCH(C4323,parametros!$B$2:$B$6,0)),"")="","",IF(B4323&gt;=IFERROR(INDEX(parametros!$H$2:$H$6,MATCH(C4323,parametros!$B$2:$B$6,0)),""),"Sim","Nao"))))))</f>
        <v/>
      </c>
      <c r="T4323" s="156"/>
      <c r="U4323" s="214" t="str">
        <f t="shared" si="341"/>
        <v/>
      </c>
      <c r="V4323" s="212" t="s">
        <v>50</v>
      </c>
      <c r="W4323" s="100" t="s">
        <v>168</v>
      </c>
      <c r="X4323" s="100" t="s">
        <v>169</v>
      </c>
      <c r="Y4323" s="101" t="s">
        <v>170</v>
      </c>
      <c r="Z4323" s="101" t="s">
        <v>171</v>
      </c>
      <c r="AA4323" s="101" t="s">
        <v>50</v>
      </c>
      <c r="AB4323" s="101" t="s">
        <v>172</v>
      </c>
      <c r="AC4323" s="102" t="s">
        <v>173</v>
      </c>
    </row>
    <row r="4324" spans="1:29" ht="25.5" customHeight="1" x14ac:dyDescent="0.35">
      <c r="A4324" s="392"/>
      <c r="B4324" s="393"/>
      <c r="C4324" s="99" t="str">
        <f>IF(B4324="","",IF(NOT(ISNUMBER(B4324)),"DATA_PC invalida",IF(NOT(ISNUMBER(parametros!$C$2)),"Fora dos ciclos",IF(OR(B4324&lt;parametros!$C$2,(YEAR(B4324)-YEAR(parametros!$C$2))*12+MONTH(B4324)-MONTH(parametros!$C$2)&gt;59),"Fora dos ciclos","C"&amp;INT(((YEAR(B4324)-YEAR(parametros!$C$2))*12+MONTH(B4324)-MONTH(parametros!$C$2))/12)))))</f>
        <v/>
      </c>
      <c r="D4324" s="394"/>
      <c r="E4324" s="78" t="str">
        <f>IF(C4324="","",IFERROR(VLOOKUP(C4324,parametros!$A$11:$E$15,5,0),""))</f>
        <v/>
      </c>
      <c r="F4324" s="79" t="str">
        <f t="shared" si="337"/>
        <v/>
      </c>
      <c r="G4324" s="395"/>
      <c r="H4324" s="91">
        <f t="shared" si="338"/>
        <v>0</v>
      </c>
      <c r="I4324" s="91" t="str">
        <f t="shared" si="339"/>
        <v/>
      </c>
      <c r="J4324" s="91" t="str">
        <f t="shared" si="340"/>
        <v/>
      </c>
      <c r="K4324" s="92" t="str">
        <f>IF(AND(A4324="",B4324="",D4324="",G4324=""),"",IF(AND(A4324&lt;&gt;"",COUNTIF($A$2:$A$5001,A4324)&gt;1),"NUMERO_PC duplicado",IF(B4324="","DATA_PC vazia",IF(NOT(ISNUMBER(B4324)),"DATA_PC invalida",IF(OR(C4324="",C4324="Fora dos ciclos"),"CICLO_PC nao identificado",IF(OR(D4324="",D4324=0),"VALOR_PC vazio ou zero",IF(AND(G4324&lt;&gt;"Sim",G4324&lt;&gt;"Nao",G4324&lt;&gt;""),"PC_PAGO_A_CONTRATADA invalido",IF(AND(C4324&lt;&gt;"C0",IFERROR(INDEX(parametros!$A$2:$A$6,MATCH(C4324,parametros!$B$2:$B$6,0)),"")="Sim",IFERROR(INDEX(parametros!$H$2:$H$6,MATCH(C4324,parametros!$B$2:$B$6,0)),"")=""),"INICIO_EFEITO ausente: PC "&amp;A4324&amp;" - "&amp;C4324,IF(L4324="","EFEITO_PC nao calculado: PC "&amp;A4324&amp;" - "&amp;C4324,"OK")))))))))</f>
        <v/>
      </c>
      <c r="L4324" s="92" t="str">
        <f>IF(AND(A4324="",B4324="",D4324="",G4324=""),"",IF(OR(B4324="",NOT(ISNUMBER(B4324)),C4324="",C4324="Fora dos ciclos"),"",IF(C4324="C0","Nao",IF(IFERROR(INDEX(parametros!$A$2:$A$6,MATCH(C4324,parametros!$B$2:$B$6,0)),"")&lt;&gt;"Sim","Nao",IF(IFERROR(INDEX(parametros!$H$2:$H$6,MATCH(C4324,parametros!$B$2:$B$6,0)),"")="","",IF(B4324&gt;=IFERROR(INDEX(parametros!$H$2:$H$6,MATCH(C4324,parametros!$B$2:$B$6,0)),""),"Sim","Nao"))))))</f>
        <v/>
      </c>
      <c r="T4324" s="156"/>
      <c r="U4324" s="214" t="str">
        <f t="shared" si="341"/>
        <v/>
      </c>
      <c r="V4324" s="212" t="s">
        <v>50</v>
      </c>
      <c r="W4324" s="100" t="s">
        <v>168</v>
      </c>
      <c r="X4324" s="100" t="s">
        <v>169</v>
      </c>
      <c r="Y4324" s="101" t="s">
        <v>170</v>
      </c>
      <c r="Z4324" s="101" t="s">
        <v>171</v>
      </c>
      <c r="AA4324" s="101" t="s">
        <v>50</v>
      </c>
      <c r="AB4324" s="101" t="s">
        <v>172</v>
      </c>
      <c r="AC4324" s="102" t="s">
        <v>173</v>
      </c>
    </row>
    <row r="4325" spans="1:29" ht="25.5" customHeight="1" x14ac:dyDescent="0.35">
      <c r="A4325" s="392"/>
      <c r="B4325" s="393"/>
      <c r="C4325" s="99" t="str">
        <f>IF(B4325="","",IF(NOT(ISNUMBER(B4325)),"DATA_PC invalida",IF(NOT(ISNUMBER(parametros!$C$2)),"Fora dos ciclos",IF(OR(B4325&lt;parametros!$C$2,(YEAR(B4325)-YEAR(parametros!$C$2))*12+MONTH(B4325)-MONTH(parametros!$C$2)&gt;59),"Fora dos ciclos","C"&amp;INT(((YEAR(B4325)-YEAR(parametros!$C$2))*12+MONTH(B4325)-MONTH(parametros!$C$2))/12)))))</f>
        <v/>
      </c>
      <c r="D4325" s="394"/>
      <c r="E4325" s="78" t="str">
        <f>IF(C4325="","",IFERROR(VLOOKUP(C4325,parametros!$A$11:$E$15,5,0),""))</f>
        <v/>
      </c>
      <c r="F4325" s="79" t="str">
        <f t="shared" si="337"/>
        <v/>
      </c>
      <c r="G4325" s="395"/>
      <c r="H4325" s="91">
        <f t="shared" si="338"/>
        <v>0</v>
      </c>
      <c r="I4325" s="91" t="str">
        <f t="shared" si="339"/>
        <v/>
      </c>
      <c r="J4325" s="91" t="str">
        <f t="shared" si="340"/>
        <v/>
      </c>
      <c r="K4325" s="92" t="str">
        <f>IF(AND(A4325="",B4325="",D4325="",G4325=""),"",IF(AND(A4325&lt;&gt;"",COUNTIF($A$2:$A$5001,A4325)&gt;1),"NUMERO_PC duplicado",IF(B4325="","DATA_PC vazia",IF(NOT(ISNUMBER(B4325)),"DATA_PC invalida",IF(OR(C4325="",C4325="Fora dos ciclos"),"CICLO_PC nao identificado",IF(OR(D4325="",D4325=0),"VALOR_PC vazio ou zero",IF(AND(G4325&lt;&gt;"Sim",G4325&lt;&gt;"Nao",G4325&lt;&gt;""),"PC_PAGO_A_CONTRATADA invalido",IF(AND(C4325&lt;&gt;"C0",IFERROR(INDEX(parametros!$A$2:$A$6,MATCH(C4325,parametros!$B$2:$B$6,0)),"")="Sim",IFERROR(INDEX(parametros!$H$2:$H$6,MATCH(C4325,parametros!$B$2:$B$6,0)),"")=""),"INICIO_EFEITO ausente: PC "&amp;A4325&amp;" - "&amp;C4325,IF(L4325="","EFEITO_PC nao calculado: PC "&amp;A4325&amp;" - "&amp;C4325,"OK")))))))))</f>
        <v/>
      </c>
      <c r="L4325" s="92" t="str">
        <f>IF(AND(A4325="",B4325="",D4325="",G4325=""),"",IF(OR(B4325="",NOT(ISNUMBER(B4325)),C4325="",C4325="Fora dos ciclos"),"",IF(C4325="C0","Nao",IF(IFERROR(INDEX(parametros!$A$2:$A$6,MATCH(C4325,parametros!$B$2:$B$6,0)),"")&lt;&gt;"Sim","Nao",IF(IFERROR(INDEX(parametros!$H$2:$H$6,MATCH(C4325,parametros!$B$2:$B$6,0)),"")="","",IF(B4325&gt;=IFERROR(INDEX(parametros!$H$2:$H$6,MATCH(C4325,parametros!$B$2:$B$6,0)),""),"Sim","Nao"))))))</f>
        <v/>
      </c>
      <c r="T4325" s="156"/>
      <c r="U4325" s="214" t="str">
        <f t="shared" si="341"/>
        <v/>
      </c>
      <c r="V4325" s="212" t="s">
        <v>50</v>
      </c>
      <c r="W4325" s="100" t="s">
        <v>168</v>
      </c>
      <c r="X4325" s="100" t="s">
        <v>169</v>
      </c>
      <c r="Y4325" s="101" t="s">
        <v>170</v>
      </c>
      <c r="Z4325" s="101" t="s">
        <v>171</v>
      </c>
      <c r="AA4325" s="101" t="s">
        <v>50</v>
      </c>
      <c r="AB4325" s="101" t="s">
        <v>172</v>
      </c>
      <c r="AC4325" s="102" t="s">
        <v>173</v>
      </c>
    </row>
    <row r="4326" spans="1:29" ht="25.5" customHeight="1" x14ac:dyDescent="0.35">
      <c r="A4326" s="392"/>
      <c r="B4326" s="393"/>
      <c r="C4326" s="99" t="str">
        <f>IF(B4326="","",IF(NOT(ISNUMBER(B4326)),"DATA_PC invalida",IF(NOT(ISNUMBER(parametros!$C$2)),"Fora dos ciclos",IF(OR(B4326&lt;parametros!$C$2,(YEAR(B4326)-YEAR(parametros!$C$2))*12+MONTH(B4326)-MONTH(parametros!$C$2)&gt;59),"Fora dos ciclos","C"&amp;INT(((YEAR(B4326)-YEAR(parametros!$C$2))*12+MONTH(B4326)-MONTH(parametros!$C$2))/12)))))</f>
        <v/>
      </c>
      <c r="D4326" s="394"/>
      <c r="E4326" s="78" t="str">
        <f>IF(C4326="","",IFERROR(VLOOKUP(C4326,parametros!$A$11:$E$15,5,0),""))</f>
        <v/>
      </c>
      <c r="F4326" s="79" t="str">
        <f t="shared" si="337"/>
        <v/>
      </c>
      <c r="G4326" s="395"/>
      <c r="H4326" s="91">
        <f t="shared" si="338"/>
        <v>0</v>
      </c>
      <c r="I4326" s="91" t="str">
        <f t="shared" si="339"/>
        <v/>
      </c>
      <c r="J4326" s="91" t="str">
        <f t="shared" si="340"/>
        <v/>
      </c>
      <c r="K4326" s="92" t="str">
        <f>IF(AND(A4326="",B4326="",D4326="",G4326=""),"",IF(AND(A4326&lt;&gt;"",COUNTIF($A$2:$A$5001,A4326)&gt;1),"NUMERO_PC duplicado",IF(B4326="","DATA_PC vazia",IF(NOT(ISNUMBER(B4326)),"DATA_PC invalida",IF(OR(C4326="",C4326="Fora dos ciclos"),"CICLO_PC nao identificado",IF(OR(D4326="",D4326=0),"VALOR_PC vazio ou zero",IF(AND(G4326&lt;&gt;"Sim",G4326&lt;&gt;"Nao",G4326&lt;&gt;""),"PC_PAGO_A_CONTRATADA invalido",IF(AND(C4326&lt;&gt;"C0",IFERROR(INDEX(parametros!$A$2:$A$6,MATCH(C4326,parametros!$B$2:$B$6,0)),"")="Sim",IFERROR(INDEX(parametros!$H$2:$H$6,MATCH(C4326,parametros!$B$2:$B$6,0)),"")=""),"INICIO_EFEITO ausente: PC "&amp;A4326&amp;" - "&amp;C4326,IF(L4326="","EFEITO_PC nao calculado: PC "&amp;A4326&amp;" - "&amp;C4326,"OK")))))))))</f>
        <v/>
      </c>
      <c r="L4326" s="92" t="str">
        <f>IF(AND(A4326="",B4326="",D4326="",G4326=""),"",IF(OR(B4326="",NOT(ISNUMBER(B4326)),C4326="",C4326="Fora dos ciclos"),"",IF(C4326="C0","Nao",IF(IFERROR(INDEX(parametros!$A$2:$A$6,MATCH(C4326,parametros!$B$2:$B$6,0)),"")&lt;&gt;"Sim","Nao",IF(IFERROR(INDEX(parametros!$H$2:$H$6,MATCH(C4326,parametros!$B$2:$B$6,0)),"")="","",IF(B4326&gt;=IFERROR(INDEX(parametros!$H$2:$H$6,MATCH(C4326,parametros!$B$2:$B$6,0)),""),"Sim","Nao"))))))</f>
        <v/>
      </c>
      <c r="T4326" s="156"/>
      <c r="U4326" s="214" t="str">
        <f t="shared" si="341"/>
        <v/>
      </c>
      <c r="V4326" s="212" t="s">
        <v>50</v>
      </c>
      <c r="W4326" s="100" t="s">
        <v>168</v>
      </c>
      <c r="X4326" s="100" t="s">
        <v>169</v>
      </c>
      <c r="Y4326" s="101" t="s">
        <v>170</v>
      </c>
      <c r="Z4326" s="101" t="s">
        <v>171</v>
      </c>
      <c r="AA4326" s="101" t="s">
        <v>50</v>
      </c>
      <c r="AB4326" s="101" t="s">
        <v>172</v>
      </c>
      <c r="AC4326" s="102" t="s">
        <v>173</v>
      </c>
    </row>
    <row r="4327" spans="1:29" ht="25.5" customHeight="1" x14ac:dyDescent="0.35">
      <c r="A4327" s="392"/>
      <c r="B4327" s="393"/>
      <c r="C4327" s="99" t="str">
        <f>IF(B4327="","",IF(NOT(ISNUMBER(B4327)),"DATA_PC invalida",IF(NOT(ISNUMBER(parametros!$C$2)),"Fora dos ciclos",IF(OR(B4327&lt;parametros!$C$2,(YEAR(B4327)-YEAR(parametros!$C$2))*12+MONTH(B4327)-MONTH(parametros!$C$2)&gt;59),"Fora dos ciclos","C"&amp;INT(((YEAR(B4327)-YEAR(parametros!$C$2))*12+MONTH(B4327)-MONTH(parametros!$C$2))/12)))))</f>
        <v/>
      </c>
      <c r="D4327" s="394"/>
      <c r="E4327" s="78" t="str">
        <f>IF(C4327="","",IFERROR(VLOOKUP(C4327,parametros!$A$11:$E$15,5,0),""))</f>
        <v/>
      </c>
      <c r="F4327" s="79" t="str">
        <f t="shared" si="337"/>
        <v/>
      </c>
      <c r="G4327" s="395"/>
      <c r="H4327" s="91">
        <f t="shared" si="338"/>
        <v>0</v>
      </c>
      <c r="I4327" s="91" t="str">
        <f t="shared" si="339"/>
        <v/>
      </c>
      <c r="J4327" s="91" t="str">
        <f t="shared" si="340"/>
        <v/>
      </c>
      <c r="K4327" s="92" t="str">
        <f>IF(AND(A4327="",B4327="",D4327="",G4327=""),"",IF(AND(A4327&lt;&gt;"",COUNTIF($A$2:$A$5001,A4327)&gt;1),"NUMERO_PC duplicado",IF(B4327="","DATA_PC vazia",IF(NOT(ISNUMBER(B4327)),"DATA_PC invalida",IF(OR(C4327="",C4327="Fora dos ciclos"),"CICLO_PC nao identificado",IF(OR(D4327="",D4327=0),"VALOR_PC vazio ou zero",IF(AND(G4327&lt;&gt;"Sim",G4327&lt;&gt;"Nao",G4327&lt;&gt;""),"PC_PAGO_A_CONTRATADA invalido",IF(AND(C4327&lt;&gt;"C0",IFERROR(INDEX(parametros!$A$2:$A$6,MATCH(C4327,parametros!$B$2:$B$6,0)),"")="Sim",IFERROR(INDEX(parametros!$H$2:$H$6,MATCH(C4327,parametros!$B$2:$B$6,0)),"")=""),"INICIO_EFEITO ausente: PC "&amp;A4327&amp;" - "&amp;C4327,IF(L4327="","EFEITO_PC nao calculado: PC "&amp;A4327&amp;" - "&amp;C4327,"OK")))))))))</f>
        <v/>
      </c>
      <c r="L4327" s="92" t="str">
        <f>IF(AND(A4327="",B4327="",D4327="",G4327=""),"",IF(OR(B4327="",NOT(ISNUMBER(B4327)),C4327="",C4327="Fora dos ciclos"),"",IF(C4327="C0","Nao",IF(IFERROR(INDEX(parametros!$A$2:$A$6,MATCH(C4327,parametros!$B$2:$B$6,0)),"")&lt;&gt;"Sim","Nao",IF(IFERROR(INDEX(parametros!$H$2:$H$6,MATCH(C4327,parametros!$B$2:$B$6,0)),"")="","",IF(B4327&gt;=IFERROR(INDEX(parametros!$H$2:$H$6,MATCH(C4327,parametros!$B$2:$B$6,0)),""),"Sim","Nao"))))))</f>
        <v/>
      </c>
      <c r="T4327" s="156"/>
      <c r="U4327" s="214" t="str">
        <f t="shared" si="341"/>
        <v/>
      </c>
      <c r="V4327" s="212" t="s">
        <v>50</v>
      </c>
      <c r="W4327" s="100" t="s">
        <v>168</v>
      </c>
      <c r="X4327" s="100" t="s">
        <v>169</v>
      </c>
      <c r="Y4327" s="101" t="s">
        <v>170</v>
      </c>
      <c r="Z4327" s="101" t="s">
        <v>171</v>
      </c>
      <c r="AA4327" s="101" t="s">
        <v>50</v>
      </c>
      <c r="AB4327" s="101" t="s">
        <v>172</v>
      </c>
      <c r="AC4327" s="102" t="s">
        <v>173</v>
      </c>
    </row>
    <row r="4328" spans="1:29" ht="25.5" customHeight="1" x14ac:dyDescent="0.35">
      <c r="A4328" s="392"/>
      <c r="B4328" s="393"/>
      <c r="C4328" s="99" t="str">
        <f>IF(B4328="","",IF(NOT(ISNUMBER(B4328)),"DATA_PC invalida",IF(NOT(ISNUMBER(parametros!$C$2)),"Fora dos ciclos",IF(OR(B4328&lt;parametros!$C$2,(YEAR(B4328)-YEAR(parametros!$C$2))*12+MONTH(B4328)-MONTH(parametros!$C$2)&gt;59),"Fora dos ciclos","C"&amp;INT(((YEAR(B4328)-YEAR(parametros!$C$2))*12+MONTH(B4328)-MONTH(parametros!$C$2))/12)))))</f>
        <v/>
      </c>
      <c r="D4328" s="394"/>
      <c r="E4328" s="78" t="str">
        <f>IF(C4328="","",IFERROR(VLOOKUP(C4328,parametros!$A$11:$E$15,5,0),""))</f>
        <v/>
      </c>
      <c r="F4328" s="79" t="str">
        <f t="shared" si="337"/>
        <v/>
      </c>
      <c r="G4328" s="395"/>
      <c r="H4328" s="91">
        <f t="shared" si="338"/>
        <v>0</v>
      </c>
      <c r="I4328" s="91" t="str">
        <f t="shared" si="339"/>
        <v/>
      </c>
      <c r="J4328" s="91" t="str">
        <f t="shared" si="340"/>
        <v/>
      </c>
      <c r="K4328" s="92" t="str">
        <f>IF(AND(A4328="",B4328="",D4328="",G4328=""),"",IF(AND(A4328&lt;&gt;"",COUNTIF($A$2:$A$5001,A4328)&gt;1),"NUMERO_PC duplicado",IF(B4328="","DATA_PC vazia",IF(NOT(ISNUMBER(B4328)),"DATA_PC invalida",IF(OR(C4328="",C4328="Fora dos ciclos"),"CICLO_PC nao identificado",IF(OR(D4328="",D4328=0),"VALOR_PC vazio ou zero",IF(AND(G4328&lt;&gt;"Sim",G4328&lt;&gt;"Nao",G4328&lt;&gt;""),"PC_PAGO_A_CONTRATADA invalido",IF(AND(C4328&lt;&gt;"C0",IFERROR(INDEX(parametros!$A$2:$A$6,MATCH(C4328,parametros!$B$2:$B$6,0)),"")="Sim",IFERROR(INDEX(parametros!$H$2:$H$6,MATCH(C4328,parametros!$B$2:$B$6,0)),"")=""),"INICIO_EFEITO ausente: PC "&amp;A4328&amp;" - "&amp;C4328,IF(L4328="","EFEITO_PC nao calculado: PC "&amp;A4328&amp;" - "&amp;C4328,"OK")))))))))</f>
        <v/>
      </c>
      <c r="L4328" s="92" t="str">
        <f>IF(AND(A4328="",B4328="",D4328="",G4328=""),"",IF(OR(B4328="",NOT(ISNUMBER(B4328)),C4328="",C4328="Fora dos ciclos"),"",IF(C4328="C0","Nao",IF(IFERROR(INDEX(parametros!$A$2:$A$6,MATCH(C4328,parametros!$B$2:$B$6,0)),"")&lt;&gt;"Sim","Nao",IF(IFERROR(INDEX(parametros!$H$2:$H$6,MATCH(C4328,parametros!$B$2:$B$6,0)),"")="","",IF(B4328&gt;=IFERROR(INDEX(parametros!$H$2:$H$6,MATCH(C4328,parametros!$B$2:$B$6,0)),""),"Sim","Nao"))))))</f>
        <v/>
      </c>
      <c r="T4328" s="156"/>
      <c r="U4328" s="214" t="str">
        <f t="shared" si="341"/>
        <v/>
      </c>
      <c r="V4328" s="212" t="s">
        <v>50</v>
      </c>
      <c r="W4328" s="100" t="s">
        <v>168</v>
      </c>
      <c r="X4328" s="100" t="s">
        <v>169</v>
      </c>
      <c r="Y4328" s="101" t="s">
        <v>170</v>
      </c>
      <c r="Z4328" s="101" t="s">
        <v>171</v>
      </c>
      <c r="AA4328" s="101" t="s">
        <v>50</v>
      </c>
      <c r="AB4328" s="101" t="s">
        <v>172</v>
      </c>
      <c r="AC4328" s="102" t="s">
        <v>173</v>
      </c>
    </row>
    <row r="4329" spans="1:29" ht="25.5" customHeight="1" x14ac:dyDescent="0.35">
      <c r="A4329" s="392"/>
      <c r="B4329" s="393"/>
      <c r="C4329" s="99" t="str">
        <f>IF(B4329="","",IF(NOT(ISNUMBER(B4329)),"DATA_PC invalida",IF(NOT(ISNUMBER(parametros!$C$2)),"Fora dos ciclos",IF(OR(B4329&lt;parametros!$C$2,(YEAR(B4329)-YEAR(parametros!$C$2))*12+MONTH(B4329)-MONTH(parametros!$C$2)&gt;59),"Fora dos ciclos","C"&amp;INT(((YEAR(B4329)-YEAR(parametros!$C$2))*12+MONTH(B4329)-MONTH(parametros!$C$2))/12)))))</f>
        <v/>
      </c>
      <c r="D4329" s="394"/>
      <c r="E4329" s="78" t="str">
        <f>IF(C4329="","",IFERROR(VLOOKUP(C4329,parametros!$A$11:$E$15,5,0),""))</f>
        <v/>
      </c>
      <c r="F4329" s="79" t="str">
        <f t="shared" si="337"/>
        <v/>
      </c>
      <c r="G4329" s="395"/>
      <c r="H4329" s="91">
        <f t="shared" si="338"/>
        <v>0</v>
      </c>
      <c r="I4329" s="91" t="str">
        <f t="shared" si="339"/>
        <v/>
      </c>
      <c r="J4329" s="91" t="str">
        <f t="shared" si="340"/>
        <v/>
      </c>
      <c r="K4329" s="92" t="str">
        <f>IF(AND(A4329="",B4329="",D4329="",G4329=""),"",IF(AND(A4329&lt;&gt;"",COUNTIF($A$2:$A$5001,A4329)&gt;1),"NUMERO_PC duplicado",IF(B4329="","DATA_PC vazia",IF(NOT(ISNUMBER(B4329)),"DATA_PC invalida",IF(OR(C4329="",C4329="Fora dos ciclos"),"CICLO_PC nao identificado",IF(OR(D4329="",D4329=0),"VALOR_PC vazio ou zero",IF(AND(G4329&lt;&gt;"Sim",G4329&lt;&gt;"Nao",G4329&lt;&gt;""),"PC_PAGO_A_CONTRATADA invalido",IF(AND(C4329&lt;&gt;"C0",IFERROR(INDEX(parametros!$A$2:$A$6,MATCH(C4329,parametros!$B$2:$B$6,0)),"")="Sim",IFERROR(INDEX(parametros!$H$2:$H$6,MATCH(C4329,parametros!$B$2:$B$6,0)),"")=""),"INICIO_EFEITO ausente: PC "&amp;A4329&amp;" - "&amp;C4329,IF(L4329="","EFEITO_PC nao calculado: PC "&amp;A4329&amp;" - "&amp;C4329,"OK")))))))))</f>
        <v/>
      </c>
      <c r="L4329" s="92" t="str">
        <f>IF(AND(A4329="",B4329="",D4329="",G4329=""),"",IF(OR(B4329="",NOT(ISNUMBER(B4329)),C4329="",C4329="Fora dos ciclos"),"",IF(C4329="C0","Nao",IF(IFERROR(INDEX(parametros!$A$2:$A$6,MATCH(C4329,parametros!$B$2:$B$6,0)),"")&lt;&gt;"Sim","Nao",IF(IFERROR(INDEX(parametros!$H$2:$H$6,MATCH(C4329,parametros!$B$2:$B$6,0)),"")="","",IF(B4329&gt;=IFERROR(INDEX(parametros!$H$2:$H$6,MATCH(C4329,parametros!$B$2:$B$6,0)),""),"Sim","Nao"))))))</f>
        <v/>
      </c>
      <c r="T4329" s="156"/>
      <c r="U4329" s="214" t="str">
        <f t="shared" si="341"/>
        <v/>
      </c>
      <c r="V4329" s="212" t="s">
        <v>50</v>
      </c>
      <c r="W4329" s="100" t="s">
        <v>168</v>
      </c>
      <c r="X4329" s="100" t="s">
        <v>169</v>
      </c>
      <c r="Y4329" s="101" t="s">
        <v>170</v>
      </c>
      <c r="Z4329" s="101" t="s">
        <v>171</v>
      </c>
      <c r="AA4329" s="101" t="s">
        <v>50</v>
      </c>
      <c r="AB4329" s="101" t="s">
        <v>172</v>
      </c>
      <c r="AC4329" s="102" t="s">
        <v>173</v>
      </c>
    </row>
    <row r="4330" spans="1:29" ht="25.5" customHeight="1" x14ac:dyDescent="0.35">
      <c r="A4330" s="392"/>
      <c r="B4330" s="393"/>
      <c r="C4330" s="99" t="str">
        <f>IF(B4330="","",IF(NOT(ISNUMBER(B4330)),"DATA_PC invalida",IF(NOT(ISNUMBER(parametros!$C$2)),"Fora dos ciclos",IF(OR(B4330&lt;parametros!$C$2,(YEAR(B4330)-YEAR(parametros!$C$2))*12+MONTH(B4330)-MONTH(parametros!$C$2)&gt;59),"Fora dos ciclos","C"&amp;INT(((YEAR(B4330)-YEAR(parametros!$C$2))*12+MONTH(B4330)-MONTH(parametros!$C$2))/12)))))</f>
        <v/>
      </c>
      <c r="D4330" s="394"/>
      <c r="E4330" s="78" t="str">
        <f>IF(C4330="","",IFERROR(VLOOKUP(C4330,parametros!$A$11:$E$15,5,0),""))</f>
        <v/>
      </c>
      <c r="F4330" s="79" t="str">
        <f t="shared" si="337"/>
        <v/>
      </c>
      <c r="G4330" s="395"/>
      <c r="H4330" s="91">
        <f t="shared" si="338"/>
        <v>0</v>
      </c>
      <c r="I4330" s="91" t="str">
        <f t="shared" si="339"/>
        <v/>
      </c>
      <c r="J4330" s="91" t="str">
        <f t="shared" si="340"/>
        <v/>
      </c>
      <c r="K4330" s="92" t="str">
        <f>IF(AND(A4330="",B4330="",D4330="",G4330=""),"",IF(AND(A4330&lt;&gt;"",COUNTIF($A$2:$A$5001,A4330)&gt;1),"NUMERO_PC duplicado",IF(B4330="","DATA_PC vazia",IF(NOT(ISNUMBER(B4330)),"DATA_PC invalida",IF(OR(C4330="",C4330="Fora dos ciclos"),"CICLO_PC nao identificado",IF(OR(D4330="",D4330=0),"VALOR_PC vazio ou zero",IF(AND(G4330&lt;&gt;"Sim",G4330&lt;&gt;"Nao",G4330&lt;&gt;""),"PC_PAGO_A_CONTRATADA invalido",IF(AND(C4330&lt;&gt;"C0",IFERROR(INDEX(parametros!$A$2:$A$6,MATCH(C4330,parametros!$B$2:$B$6,0)),"")="Sim",IFERROR(INDEX(parametros!$H$2:$H$6,MATCH(C4330,parametros!$B$2:$B$6,0)),"")=""),"INICIO_EFEITO ausente: PC "&amp;A4330&amp;" - "&amp;C4330,IF(L4330="","EFEITO_PC nao calculado: PC "&amp;A4330&amp;" - "&amp;C4330,"OK")))))))))</f>
        <v/>
      </c>
      <c r="L4330" s="92" t="str">
        <f>IF(AND(A4330="",B4330="",D4330="",G4330=""),"",IF(OR(B4330="",NOT(ISNUMBER(B4330)),C4330="",C4330="Fora dos ciclos"),"",IF(C4330="C0","Nao",IF(IFERROR(INDEX(parametros!$A$2:$A$6,MATCH(C4330,parametros!$B$2:$B$6,0)),"")&lt;&gt;"Sim","Nao",IF(IFERROR(INDEX(parametros!$H$2:$H$6,MATCH(C4330,parametros!$B$2:$B$6,0)),"")="","",IF(B4330&gt;=IFERROR(INDEX(parametros!$H$2:$H$6,MATCH(C4330,parametros!$B$2:$B$6,0)),""),"Sim","Nao"))))))</f>
        <v/>
      </c>
      <c r="T4330" s="156"/>
      <c r="U4330" s="214" t="str">
        <f t="shared" si="341"/>
        <v/>
      </c>
      <c r="V4330" s="212" t="s">
        <v>50</v>
      </c>
      <c r="W4330" s="100" t="s">
        <v>168</v>
      </c>
      <c r="X4330" s="100" t="s">
        <v>169</v>
      </c>
      <c r="Y4330" s="101" t="s">
        <v>170</v>
      </c>
      <c r="Z4330" s="101" t="s">
        <v>171</v>
      </c>
      <c r="AA4330" s="101" t="s">
        <v>50</v>
      </c>
      <c r="AB4330" s="101" t="s">
        <v>172</v>
      </c>
      <c r="AC4330" s="102" t="s">
        <v>173</v>
      </c>
    </row>
    <row r="4331" spans="1:29" ht="25.5" customHeight="1" x14ac:dyDescent="0.35">
      <c r="A4331" s="392"/>
      <c r="B4331" s="393"/>
      <c r="C4331" s="99" t="str">
        <f>IF(B4331="","",IF(NOT(ISNUMBER(B4331)),"DATA_PC invalida",IF(NOT(ISNUMBER(parametros!$C$2)),"Fora dos ciclos",IF(OR(B4331&lt;parametros!$C$2,(YEAR(B4331)-YEAR(parametros!$C$2))*12+MONTH(B4331)-MONTH(parametros!$C$2)&gt;59),"Fora dos ciclos","C"&amp;INT(((YEAR(B4331)-YEAR(parametros!$C$2))*12+MONTH(B4331)-MONTH(parametros!$C$2))/12)))))</f>
        <v/>
      </c>
      <c r="D4331" s="394"/>
      <c r="E4331" s="78" t="str">
        <f>IF(C4331="","",IFERROR(VLOOKUP(C4331,parametros!$A$11:$E$15,5,0),""))</f>
        <v/>
      </c>
      <c r="F4331" s="79" t="str">
        <f t="shared" si="337"/>
        <v/>
      </c>
      <c r="G4331" s="395"/>
      <c r="H4331" s="91">
        <f t="shared" si="338"/>
        <v>0</v>
      </c>
      <c r="I4331" s="91" t="str">
        <f t="shared" si="339"/>
        <v/>
      </c>
      <c r="J4331" s="91" t="str">
        <f t="shared" si="340"/>
        <v/>
      </c>
      <c r="K4331" s="92" t="str">
        <f>IF(AND(A4331="",B4331="",D4331="",G4331=""),"",IF(AND(A4331&lt;&gt;"",COUNTIF($A$2:$A$5001,A4331)&gt;1),"NUMERO_PC duplicado",IF(B4331="","DATA_PC vazia",IF(NOT(ISNUMBER(B4331)),"DATA_PC invalida",IF(OR(C4331="",C4331="Fora dos ciclos"),"CICLO_PC nao identificado",IF(OR(D4331="",D4331=0),"VALOR_PC vazio ou zero",IF(AND(G4331&lt;&gt;"Sim",G4331&lt;&gt;"Nao",G4331&lt;&gt;""),"PC_PAGO_A_CONTRATADA invalido",IF(AND(C4331&lt;&gt;"C0",IFERROR(INDEX(parametros!$A$2:$A$6,MATCH(C4331,parametros!$B$2:$B$6,0)),"")="Sim",IFERROR(INDEX(parametros!$H$2:$H$6,MATCH(C4331,parametros!$B$2:$B$6,0)),"")=""),"INICIO_EFEITO ausente: PC "&amp;A4331&amp;" - "&amp;C4331,IF(L4331="","EFEITO_PC nao calculado: PC "&amp;A4331&amp;" - "&amp;C4331,"OK")))))))))</f>
        <v/>
      </c>
      <c r="L4331" s="92" t="str">
        <f>IF(AND(A4331="",B4331="",D4331="",G4331=""),"",IF(OR(B4331="",NOT(ISNUMBER(B4331)),C4331="",C4331="Fora dos ciclos"),"",IF(C4331="C0","Nao",IF(IFERROR(INDEX(parametros!$A$2:$A$6,MATCH(C4331,parametros!$B$2:$B$6,0)),"")&lt;&gt;"Sim","Nao",IF(IFERROR(INDEX(parametros!$H$2:$H$6,MATCH(C4331,parametros!$B$2:$B$6,0)),"")="","",IF(B4331&gt;=IFERROR(INDEX(parametros!$H$2:$H$6,MATCH(C4331,parametros!$B$2:$B$6,0)),""),"Sim","Nao"))))))</f>
        <v/>
      </c>
      <c r="T4331" s="156"/>
      <c r="U4331" s="214" t="str">
        <f t="shared" si="341"/>
        <v/>
      </c>
      <c r="V4331" s="212" t="s">
        <v>50</v>
      </c>
      <c r="W4331" s="100" t="s">
        <v>168</v>
      </c>
      <c r="X4331" s="100" t="s">
        <v>169</v>
      </c>
      <c r="Y4331" s="101" t="s">
        <v>170</v>
      </c>
      <c r="Z4331" s="101" t="s">
        <v>171</v>
      </c>
      <c r="AA4331" s="101" t="s">
        <v>50</v>
      </c>
      <c r="AB4331" s="101" t="s">
        <v>172</v>
      </c>
      <c r="AC4331" s="102" t="s">
        <v>173</v>
      </c>
    </row>
    <row r="4332" spans="1:29" ht="25.5" customHeight="1" x14ac:dyDescent="0.35">
      <c r="A4332" s="392"/>
      <c r="B4332" s="393"/>
      <c r="C4332" s="99" t="str">
        <f>IF(B4332="","",IF(NOT(ISNUMBER(B4332)),"DATA_PC invalida",IF(NOT(ISNUMBER(parametros!$C$2)),"Fora dos ciclos",IF(OR(B4332&lt;parametros!$C$2,(YEAR(B4332)-YEAR(parametros!$C$2))*12+MONTH(B4332)-MONTH(parametros!$C$2)&gt;59),"Fora dos ciclos","C"&amp;INT(((YEAR(B4332)-YEAR(parametros!$C$2))*12+MONTH(B4332)-MONTH(parametros!$C$2))/12)))))</f>
        <v/>
      </c>
      <c r="D4332" s="394"/>
      <c r="E4332" s="78" t="str">
        <f>IF(C4332="","",IFERROR(VLOOKUP(C4332,parametros!$A$11:$E$15,5,0),""))</f>
        <v/>
      </c>
      <c r="F4332" s="79" t="str">
        <f t="shared" si="337"/>
        <v/>
      </c>
      <c r="G4332" s="395"/>
      <c r="H4332" s="91">
        <f t="shared" si="338"/>
        <v>0</v>
      </c>
      <c r="I4332" s="91" t="str">
        <f t="shared" si="339"/>
        <v/>
      </c>
      <c r="J4332" s="91" t="str">
        <f t="shared" si="340"/>
        <v/>
      </c>
      <c r="K4332" s="92" t="str">
        <f>IF(AND(A4332="",B4332="",D4332="",G4332=""),"",IF(AND(A4332&lt;&gt;"",COUNTIF($A$2:$A$5001,A4332)&gt;1),"NUMERO_PC duplicado",IF(B4332="","DATA_PC vazia",IF(NOT(ISNUMBER(B4332)),"DATA_PC invalida",IF(OR(C4332="",C4332="Fora dos ciclos"),"CICLO_PC nao identificado",IF(OR(D4332="",D4332=0),"VALOR_PC vazio ou zero",IF(AND(G4332&lt;&gt;"Sim",G4332&lt;&gt;"Nao",G4332&lt;&gt;""),"PC_PAGO_A_CONTRATADA invalido",IF(AND(C4332&lt;&gt;"C0",IFERROR(INDEX(parametros!$A$2:$A$6,MATCH(C4332,parametros!$B$2:$B$6,0)),"")="Sim",IFERROR(INDEX(parametros!$H$2:$H$6,MATCH(C4332,parametros!$B$2:$B$6,0)),"")=""),"INICIO_EFEITO ausente: PC "&amp;A4332&amp;" - "&amp;C4332,IF(L4332="","EFEITO_PC nao calculado: PC "&amp;A4332&amp;" - "&amp;C4332,"OK")))))))))</f>
        <v/>
      </c>
      <c r="L4332" s="92" t="str">
        <f>IF(AND(A4332="",B4332="",D4332="",G4332=""),"",IF(OR(B4332="",NOT(ISNUMBER(B4332)),C4332="",C4332="Fora dos ciclos"),"",IF(C4332="C0","Nao",IF(IFERROR(INDEX(parametros!$A$2:$A$6,MATCH(C4332,parametros!$B$2:$B$6,0)),"")&lt;&gt;"Sim","Nao",IF(IFERROR(INDEX(parametros!$H$2:$H$6,MATCH(C4332,parametros!$B$2:$B$6,0)),"")="","",IF(B4332&gt;=IFERROR(INDEX(parametros!$H$2:$H$6,MATCH(C4332,parametros!$B$2:$B$6,0)),""),"Sim","Nao"))))))</f>
        <v/>
      </c>
      <c r="T4332" s="156"/>
      <c r="U4332" s="214" t="str">
        <f t="shared" si="341"/>
        <v/>
      </c>
      <c r="V4332" s="212" t="s">
        <v>50</v>
      </c>
      <c r="W4332" s="100" t="s">
        <v>168</v>
      </c>
      <c r="X4332" s="100" t="s">
        <v>169</v>
      </c>
      <c r="Y4332" s="101" t="s">
        <v>170</v>
      </c>
      <c r="Z4332" s="101" t="s">
        <v>171</v>
      </c>
      <c r="AA4332" s="101" t="s">
        <v>50</v>
      </c>
      <c r="AB4332" s="101" t="s">
        <v>172</v>
      </c>
      <c r="AC4332" s="102" t="s">
        <v>173</v>
      </c>
    </row>
    <row r="4333" spans="1:29" ht="25.5" customHeight="1" x14ac:dyDescent="0.35">
      <c r="A4333" s="392"/>
      <c r="B4333" s="393"/>
      <c r="C4333" s="99" t="str">
        <f>IF(B4333="","",IF(NOT(ISNUMBER(B4333)),"DATA_PC invalida",IF(NOT(ISNUMBER(parametros!$C$2)),"Fora dos ciclos",IF(OR(B4333&lt;parametros!$C$2,(YEAR(B4333)-YEAR(parametros!$C$2))*12+MONTH(B4333)-MONTH(parametros!$C$2)&gt;59),"Fora dos ciclos","C"&amp;INT(((YEAR(B4333)-YEAR(parametros!$C$2))*12+MONTH(B4333)-MONTH(parametros!$C$2))/12)))))</f>
        <v/>
      </c>
      <c r="D4333" s="394"/>
      <c r="E4333" s="78" t="str">
        <f>IF(C4333="","",IFERROR(VLOOKUP(C4333,parametros!$A$11:$E$15,5,0),""))</f>
        <v/>
      </c>
      <c r="F4333" s="79" t="str">
        <f t="shared" si="337"/>
        <v/>
      </c>
      <c r="G4333" s="395"/>
      <c r="H4333" s="91">
        <f t="shared" si="338"/>
        <v>0</v>
      </c>
      <c r="I4333" s="91" t="str">
        <f t="shared" si="339"/>
        <v/>
      </c>
      <c r="J4333" s="91" t="str">
        <f t="shared" si="340"/>
        <v/>
      </c>
      <c r="K4333" s="92" t="str">
        <f>IF(AND(A4333="",B4333="",D4333="",G4333=""),"",IF(AND(A4333&lt;&gt;"",COUNTIF($A$2:$A$5001,A4333)&gt;1),"NUMERO_PC duplicado",IF(B4333="","DATA_PC vazia",IF(NOT(ISNUMBER(B4333)),"DATA_PC invalida",IF(OR(C4333="",C4333="Fora dos ciclos"),"CICLO_PC nao identificado",IF(OR(D4333="",D4333=0),"VALOR_PC vazio ou zero",IF(AND(G4333&lt;&gt;"Sim",G4333&lt;&gt;"Nao",G4333&lt;&gt;""),"PC_PAGO_A_CONTRATADA invalido",IF(AND(C4333&lt;&gt;"C0",IFERROR(INDEX(parametros!$A$2:$A$6,MATCH(C4333,parametros!$B$2:$B$6,0)),"")="Sim",IFERROR(INDEX(parametros!$H$2:$H$6,MATCH(C4333,parametros!$B$2:$B$6,0)),"")=""),"INICIO_EFEITO ausente: PC "&amp;A4333&amp;" - "&amp;C4333,IF(L4333="","EFEITO_PC nao calculado: PC "&amp;A4333&amp;" - "&amp;C4333,"OK")))))))))</f>
        <v/>
      </c>
      <c r="L4333" s="92" t="str">
        <f>IF(AND(A4333="",B4333="",D4333="",G4333=""),"",IF(OR(B4333="",NOT(ISNUMBER(B4333)),C4333="",C4333="Fora dos ciclos"),"",IF(C4333="C0","Nao",IF(IFERROR(INDEX(parametros!$A$2:$A$6,MATCH(C4333,parametros!$B$2:$B$6,0)),"")&lt;&gt;"Sim","Nao",IF(IFERROR(INDEX(parametros!$H$2:$H$6,MATCH(C4333,parametros!$B$2:$B$6,0)),"")="","",IF(B4333&gt;=IFERROR(INDEX(parametros!$H$2:$H$6,MATCH(C4333,parametros!$B$2:$B$6,0)),""),"Sim","Nao"))))))</f>
        <v/>
      </c>
      <c r="T4333" s="156"/>
      <c r="U4333" s="214" t="str">
        <f t="shared" si="341"/>
        <v/>
      </c>
      <c r="V4333" s="212" t="s">
        <v>50</v>
      </c>
      <c r="W4333" s="100" t="s">
        <v>168</v>
      </c>
      <c r="X4333" s="100" t="s">
        <v>169</v>
      </c>
      <c r="Y4333" s="101" t="s">
        <v>170</v>
      </c>
      <c r="Z4333" s="101" t="s">
        <v>171</v>
      </c>
      <c r="AA4333" s="101" t="s">
        <v>50</v>
      </c>
      <c r="AB4333" s="101" t="s">
        <v>172</v>
      </c>
      <c r="AC4333" s="102" t="s">
        <v>173</v>
      </c>
    </row>
    <row r="4334" spans="1:29" ht="25.5" customHeight="1" x14ac:dyDescent="0.35">
      <c r="A4334" s="392"/>
      <c r="B4334" s="393"/>
      <c r="C4334" s="99" t="str">
        <f>IF(B4334="","",IF(NOT(ISNUMBER(B4334)),"DATA_PC invalida",IF(NOT(ISNUMBER(parametros!$C$2)),"Fora dos ciclos",IF(OR(B4334&lt;parametros!$C$2,(YEAR(B4334)-YEAR(parametros!$C$2))*12+MONTH(B4334)-MONTH(parametros!$C$2)&gt;59),"Fora dos ciclos","C"&amp;INT(((YEAR(B4334)-YEAR(parametros!$C$2))*12+MONTH(B4334)-MONTH(parametros!$C$2))/12)))))</f>
        <v/>
      </c>
      <c r="D4334" s="394"/>
      <c r="E4334" s="78" t="str">
        <f>IF(C4334="","",IFERROR(VLOOKUP(C4334,parametros!$A$11:$E$15,5,0),""))</f>
        <v/>
      </c>
      <c r="F4334" s="79" t="str">
        <f t="shared" si="337"/>
        <v/>
      </c>
      <c r="G4334" s="395"/>
      <c r="H4334" s="91">
        <f t="shared" si="338"/>
        <v>0</v>
      </c>
      <c r="I4334" s="91" t="str">
        <f t="shared" si="339"/>
        <v/>
      </c>
      <c r="J4334" s="91" t="str">
        <f t="shared" si="340"/>
        <v/>
      </c>
      <c r="K4334" s="92" t="str">
        <f>IF(AND(A4334="",B4334="",D4334="",G4334=""),"",IF(AND(A4334&lt;&gt;"",COUNTIF($A$2:$A$5001,A4334)&gt;1),"NUMERO_PC duplicado",IF(B4334="","DATA_PC vazia",IF(NOT(ISNUMBER(B4334)),"DATA_PC invalida",IF(OR(C4334="",C4334="Fora dos ciclos"),"CICLO_PC nao identificado",IF(OR(D4334="",D4334=0),"VALOR_PC vazio ou zero",IF(AND(G4334&lt;&gt;"Sim",G4334&lt;&gt;"Nao",G4334&lt;&gt;""),"PC_PAGO_A_CONTRATADA invalido",IF(AND(C4334&lt;&gt;"C0",IFERROR(INDEX(parametros!$A$2:$A$6,MATCH(C4334,parametros!$B$2:$B$6,0)),"")="Sim",IFERROR(INDEX(parametros!$H$2:$H$6,MATCH(C4334,parametros!$B$2:$B$6,0)),"")=""),"INICIO_EFEITO ausente: PC "&amp;A4334&amp;" - "&amp;C4334,IF(L4334="","EFEITO_PC nao calculado: PC "&amp;A4334&amp;" - "&amp;C4334,"OK")))))))))</f>
        <v/>
      </c>
      <c r="L4334" s="92" t="str">
        <f>IF(AND(A4334="",B4334="",D4334="",G4334=""),"",IF(OR(B4334="",NOT(ISNUMBER(B4334)),C4334="",C4334="Fora dos ciclos"),"",IF(C4334="C0","Nao",IF(IFERROR(INDEX(parametros!$A$2:$A$6,MATCH(C4334,parametros!$B$2:$B$6,0)),"")&lt;&gt;"Sim","Nao",IF(IFERROR(INDEX(parametros!$H$2:$H$6,MATCH(C4334,parametros!$B$2:$B$6,0)),"")="","",IF(B4334&gt;=IFERROR(INDEX(parametros!$H$2:$H$6,MATCH(C4334,parametros!$B$2:$B$6,0)),""),"Sim","Nao"))))))</f>
        <v/>
      </c>
      <c r="T4334" s="156"/>
      <c r="U4334" s="214" t="str">
        <f t="shared" si="341"/>
        <v/>
      </c>
      <c r="V4334" s="212" t="s">
        <v>50</v>
      </c>
      <c r="W4334" s="100" t="s">
        <v>168</v>
      </c>
      <c r="X4334" s="100" t="s">
        <v>169</v>
      </c>
      <c r="Y4334" s="101" t="s">
        <v>170</v>
      </c>
      <c r="Z4334" s="101" t="s">
        <v>171</v>
      </c>
      <c r="AA4334" s="101" t="s">
        <v>50</v>
      </c>
      <c r="AB4334" s="101" t="s">
        <v>172</v>
      </c>
      <c r="AC4334" s="102" t="s">
        <v>173</v>
      </c>
    </row>
    <row r="4335" spans="1:29" ht="25.5" customHeight="1" x14ac:dyDescent="0.35">
      <c r="A4335" s="392"/>
      <c r="B4335" s="393"/>
      <c r="C4335" s="99" t="str">
        <f>IF(B4335="","",IF(NOT(ISNUMBER(B4335)),"DATA_PC invalida",IF(NOT(ISNUMBER(parametros!$C$2)),"Fora dos ciclos",IF(OR(B4335&lt;parametros!$C$2,(YEAR(B4335)-YEAR(parametros!$C$2))*12+MONTH(B4335)-MONTH(parametros!$C$2)&gt;59),"Fora dos ciclos","C"&amp;INT(((YEAR(B4335)-YEAR(parametros!$C$2))*12+MONTH(B4335)-MONTH(parametros!$C$2))/12)))))</f>
        <v/>
      </c>
      <c r="D4335" s="394"/>
      <c r="E4335" s="78" t="str">
        <f>IF(C4335="","",IFERROR(VLOOKUP(C4335,parametros!$A$11:$E$15,5,0),""))</f>
        <v/>
      </c>
      <c r="F4335" s="79" t="str">
        <f t="shared" si="337"/>
        <v/>
      </c>
      <c r="G4335" s="395"/>
      <c r="H4335" s="91">
        <f t="shared" si="338"/>
        <v>0</v>
      </c>
      <c r="I4335" s="91" t="str">
        <f t="shared" si="339"/>
        <v/>
      </c>
      <c r="J4335" s="91" t="str">
        <f t="shared" si="340"/>
        <v/>
      </c>
      <c r="K4335" s="92" t="str">
        <f>IF(AND(A4335="",B4335="",D4335="",G4335=""),"",IF(AND(A4335&lt;&gt;"",COUNTIF($A$2:$A$5001,A4335)&gt;1),"NUMERO_PC duplicado",IF(B4335="","DATA_PC vazia",IF(NOT(ISNUMBER(B4335)),"DATA_PC invalida",IF(OR(C4335="",C4335="Fora dos ciclos"),"CICLO_PC nao identificado",IF(OR(D4335="",D4335=0),"VALOR_PC vazio ou zero",IF(AND(G4335&lt;&gt;"Sim",G4335&lt;&gt;"Nao",G4335&lt;&gt;""),"PC_PAGO_A_CONTRATADA invalido",IF(AND(C4335&lt;&gt;"C0",IFERROR(INDEX(parametros!$A$2:$A$6,MATCH(C4335,parametros!$B$2:$B$6,0)),"")="Sim",IFERROR(INDEX(parametros!$H$2:$H$6,MATCH(C4335,parametros!$B$2:$B$6,0)),"")=""),"INICIO_EFEITO ausente: PC "&amp;A4335&amp;" - "&amp;C4335,IF(L4335="","EFEITO_PC nao calculado: PC "&amp;A4335&amp;" - "&amp;C4335,"OK")))))))))</f>
        <v/>
      </c>
      <c r="L4335" s="92" t="str">
        <f>IF(AND(A4335="",B4335="",D4335="",G4335=""),"",IF(OR(B4335="",NOT(ISNUMBER(B4335)),C4335="",C4335="Fora dos ciclos"),"",IF(C4335="C0","Nao",IF(IFERROR(INDEX(parametros!$A$2:$A$6,MATCH(C4335,parametros!$B$2:$B$6,0)),"")&lt;&gt;"Sim","Nao",IF(IFERROR(INDEX(parametros!$H$2:$H$6,MATCH(C4335,parametros!$B$2:$B$6,0)),"")="","",IF(B4335&gt;=IFERROR(INDEX(parametros!$H$2:$H$6,MATCH(C4335,parametros!$B$2:$B$6,0)),""),"Sim","Nao"))))))</f>
        <v/>
      </c>
      <c r="T4335" s="156"/>
      <c r="U4335" s="214" t="str">
        <f t="shared" si="341"/>
        <v/>
      </c>
      <c r="V4335" s="212" t="s">
        <v>50</v>
      </c>
      <c r="W4335" s="100" t="s">
        <v>168</v>
      </c>
      <c r="X4335" s="100" t="s">
        <v>169</v>
      </c>
      <c r="Y4335" s="101" t="s">
        <v>170</v>
      </c>
      <c r="Z4335" s="101" t="s">
        <v>171</v>
      </c>
      <c r="AA4335" s="101" t="s">
        <v>50</v>
      </c>
      <c r="AB4335" s="101" t="s">
        <v>172</v>
      </c>
      <c r="AC4335" s="102" t="s">
        <v>173</v>
      </c>
    </row>
    <row r="4336" spans="1:29" ht="25.5" customHeight="1" x14ac:dyDescent="0.35">
      <c r="A4336" s="392"/>
      <c r="B4336" s="393"/>
      <c r="C4336" s="99" t="str">
        <f>IF(B4336="","",IF(NOT(ISNUMBER(B4336)),"DATA_PC invalida",IF(NOT(ISNUMBER(parametros!$C$2)),"Fora dos ciclos",IF(OR(B4336&lt;parametros!$C$2,(YEAR(B4336)-YEAR(parametros!$C$2))*12+MONTH(B4336)-MONTH(parametros!$C$2)&gt;59),"Fora dos ciclos","C"&amp;INT(((YEAR(B4336)-YEAR(parametros!$C$2))*12+MONTH(B4336)-MONTH(parametros!$C$2))/12)))))</f>
        <v/>
      </c>
      <c r="D4336" s="394"/>
      <c r="E4336" s="78" t="str">
        <f>IF(C4336="","",IFERROR(VLOOKUP(C4336,parametros!$A$11:$E$15,5,0),""))</f>
        <v/>
      </c>
      <c r="F4336" s="79" t="str">
        <f t="shared" si="337"/>
        <v/>
      </c>
      <c r="G4336" s="395"/>
      <c r="H4336" s="91">
        <f t="shared" si="338"/>
        <v>0</v>
      </c>
      <c r="I4336" s="91" t="str">
        <f t="shared" si="339"/>
        <v/>
      </c>
      <c r="J4336" s="91" t="str">
        <f t="shared" si="340"/>
        <v/>
      </c>
      <c r="K4336" s="92" t="str">
        <f>IF(AND(A4336="",B4336="",D4336="",G4336=""),"",IF(AND(A4336&lt;&gt;"",COUNTIF($A$2:$A$5001,A4336)&gt;1),"NUMERO_PC duplicado",IF(B4336="","DATA_PC vazia",IF(NOT(ISNUMBER(B4336)),"DATA_PC invalida",IF(OR(C4336="",C4336="Fora dos ciclos"),"CICLO_PC nao identificado",IF(OR(D4336="",D4336=0),"VALOR_PC vazio ou zero",IF(AND(G4336&lt;&gt;"Sim",G4336&lt;&gt;"Nao",G4336&lt;&gt;""),"PC_PAGO_A_CONTRATADA invalido",IF(AND(C4336&lt;&gt;"C0",IFERROR(INDEX(parametros!$A$2:$A$6,MATCH(C4336,parametros!$B$2:$B$6,0)),"")="Sim",IFERROR(INDEX(parametros!$H$2:$H$6,MATCH(C4336,parametros!$B$2:$B$6,0)),"")=""),"INICIO_EFEITO ausente: PC "&amp;A4336&amp;" - "&amp;C4336,IF(L4336="","EFEITO_PC nao calculado: PC "&amp;A4336&amp;" - "&amp;C4336,"OK")))))))))</f>
        <v/>
      </c>
      <c r="L4336" s="92" t="str">
        <f>IF(AND(A4336="",B4336="",D4336="",G4336=""),"",IF(OR(B4336="",NOT(ISNUMBER(B4336)),C4336="",C4336="Fora dos ciclos"),"",IF(C4336="C0","Nao",IF(IFERROR(INDEX(parametros!$A$2:$A$6,MATCH(C4336,parametros!$B$2:$B$6,0)),"")&lt;&gt;"Sim","Nao",IF(IFERROR(INDEX(parametros!$H$2:$H$6,MATCH(C4336,parametros!$B$2:$B$6,0)),"")="","",IF(B4336&gt;=IFERROR(INDEX(parametros!$H$2:$H$6,MATCH(C4336,parametros!$B$2:$B$6,0)),""),"Sim","Nao"))))))</f>
        <v/>
      </c>
      <c r="T4336" s="156"/>
      <c r="U4336" s="214" t="str">
        <f t="shared" si="341"/>
        <v/>
      </c>
      <c r="V4336" s="212" t="s">
        <v>50</v>
      </c>
      <c r="W4336" s="100" t="s">
        <v>168</v>
      </c>
      <c r="X4336" s="100" t="s">
        <v>169</v>
      </c>
      <c r="Y4336" s="101" t="s">
        <v>170</v>
      </c>
      <c r="Z4336" s="101" t="s">
        <v>171</v>
      </c>
      <c r="AA4336" s="101" t="s">
        <v>50</v>
      </c>
      <c r="AB4336" s="101" t="s">
        <v>172</v>
      </c>
      <c r="AC4336" s="102" t="s">
        <v>173</v>
      </c>
    </row>
    <row r="4337" spans="1:29" ht="25.5" customHeight="1" x14ac:dyDescent="0.35">
      <c r="A4337" s="392"/>
      <c r="B4337" s="393"/>
      <c r="C4337" s="99" t="str">
        <f>IF(B4337="","",IF(NOT(ISNUMBER(B4337)),"DATA_PC invalida",IF(NOT(ISNUMBER(parametros!$C$2)),"Fora dos ciclos",IF(OR(B4337&lt;parametros!$C$2,(YEAR(B4337)-YEAR(parametros!$C$2))*12+MONTH(B4337)-MONTH(parametros!$C$2)&gt;59),"Fora dos ciclos","C"&amp;INT(((YEAR(B4337)-YEAR(parametros!$C$2))*12+MONTH(B4337)-MONTH(parametros!$C$2))/12)))))</f>
        <v/>
      </c>
      <c r="D4337" s="394"/>
      <c r="E4337" s="78" t="str">
        <f>IF(C4337="","",IFERROR(VLOOKUP(C4337,parametros!$A$11:$E$15,5,0),""))</f>
        <v/>
      </c>
      <c r="F4337" s="79" t="str">
        <f t="shared" si="337"/>
        <v/>
      </c>
      <c r="G4337" s="395"/>
      <c r="H4337" s="91">
        <f t="shared" si="338"/>
        <v>0</v>
      </c>
      <c r="I4337" s="91" t="str">
        <f t="shared" si="339"/>
        <v/>
      </c>
      <c r="J4337" s="91" t="str">
        <f t="shared" si="340"/>
        <v/>
      </c>
      <c r="K4337" s="92" t="str">
        <f>IF(AND(A4337="",B4337="",D4337="",G4337=""),"",IF(AND(A4337&lt;&gt;"",COUNTIF($A$2:$A$5001,A4337)&gt;1),"NUMERO_PC duplicado",IF(B4337="","DATA_PC vazia",IF(NOT(ISNUMBER(B4337)),"DATA_PC invalida",IF(OR(C4337="",C4337="Fora dos ciclos"),"CICLO_PC nao identificado",IF(OR(D4337="",D4337=0),"VALOR_PC vazio ou zero",IF(AND(G4337&lt;&gt;"Sim",G4337&lt;&gt;"Nao",G4337&lt;&gt;""),"PC_PAGO_A_CONTRATADA invalido",IF(AND(C4337&lt;&gt;"C0",IFERROR(INDEX(parametros!$A$2:$A$6,MATCH(C4337,parametros!$B$2:$B$6,0)),"")="Sim",IFERROR(INDEX(parametros!$H$2:$H$6,MATCH(C4337,parametros!$B$2:$B$6,0)),"")=""),"INICIO_EFEITO ausente: PC "&amp;A4337&amp;" - "&amp;C4337,IF(L4337="","EFEITO_PC nao calculado: PC "&amp;A4337&amp;" - "&amp;C4337,"OK")))))))))</f>
        <v/>
      </c>
      <c r="L4337" s="92" t="str">
        <f>IF(AND(A4337="",B4337="",D4337="",G4337=""),"",IF(OR(B4337="",NOT(ISNUMBER(B4337)),C4337="",C4337="Fora dos ciclos"),"",IF(C4337="C0","Nao",IF(IFERROR(INDEX(parametros!$A$2:$A$6,MATCH(C4337,parametros!$B$2:$B$6,0)),"")&lt;&gt;"Sim","Nao",IF(IFERROR(INDEX(parametros!$H$2:$H$6,MATCH(C4337,parametros!$B$2:$B$6,0)),"")="","",IF(B4337&gt;=IFERROR(INDEX(parametros!$H$2:$H$6,MATCH(C4337,parametros!$B$2:$B$6,0)),""),"Sim","Nao"))))))</f>
        <v/>
      </c>
      <c r="T4337" s="156"/>
      <c r="U4337" s="214" t="str">
        <f t="shared" si="341"/>
        <v/>
      </c>
      <c r="V4337" s="212" t="s">
        <v>50</v>
      </c>
      <c r="W4337" s="100" t="s">
        <v>168</v>
      </c>
      <c r="X4337" s="100" t="s">
        <v>169</v>
      </c>
      <c r="Y4337" s="101" t="s">
        <v>170</v>
      </c>
      <c r="Z4337" s="101" t="s">
        <v>171</v>
      </c>
      <c r="AA4337" s="101" t="s">
        <v>50</v>
      </c>
      <c r="AB4337" s="101" t="s">
        <v>172</v>
      </c>
      <c r="AC4337" s="102" t="s">
        <v>173</v>
      </c>
    </row>
    <row r="4338" spans="1:29" ht="25.5" customHeight="1" x14ac:dyDescent="0.35">
      <c r="A4338" s="392"/>
      <c r="B4338" s="393"/>
      <c r="C4338" s="99" t="str">
        <f>IF(B4338="","",IF(NOT(ISNUMBER(B4338)),"DATA_PC invalida",IF(NOT(ISNUMBER(parametros!$C$2)),"Fora dos ciclos",IF(OR(B4338&lt;parametros!$C$2,(YEAR(B4338)-YEAR(parametros!$C$2))*12+MONTH(B4338)-MONTH(parametros!$C$2)&gt;59),"Fora dos ciclos","C"&amp;INT(((YEAR(B4338)-YEAR(parametros!$C$2))*12+MONTH(B4338)-MONTH(parametros!$C$2))/12)))))</f>
        <v/>
      </c>
      <c r="D4338" s="394"/>
      <c r="E4338" s="78" t="str">
        <f>IF(C4338="","",IFERROR(VLOOKUP(C4338,parametros!$A$11:$E$15,5,0),""))</f>
        <v/>
      </c>
      <c r="F4338" s="79" t="str">
        <f t="shared" si="337"/>
        <v/>
      </c>
      <c r="G4338" s="395"/>
      <c r="H4338" s="91">
        <f t="shared" si="338"/>
        <v>0</v>
      </c>
      <c r="I4338" s="91" t="str">
        <f t="shared" si="339"/>
        <v/>
      </c>
      <c r="J4338" s="91" t="str">
        <f t="shared" si="340"/>
        <v/>
      </c>
      <c r="K4338" s="92" t="str">
        <f>IF(AND(A4338="",B4338="",D4338="",G4338=""),"",IF(AND(A4338&lt;&gt;"",COUNTIF($A$2:$A$5001,A4338)&gt;1),"NUMERO_PC duplicado",IF(B4338="","DATA_PC vazia",IF(NOT(ISNUMBER(B4338)),"DATA_PC invalida",IF(OR(C4338="",C4338="Fora dos ciclos"),"CICLO_PC nao identificado",IF(OR(D4338="",D4338=0),"VALOR_PC vazio ou zero",IF(AND(G4338&lt;&gt;"Sim",G4338&lt;&gt;"Nao",G4338&lt;&gt;""),"PC_PAGO_A_CONTRATADA invalido",IF(AND(C4338&lt;&gt;"C0",IFERROR(INDEX(parametros!$A$2:$A$6,MATCH(C4338,parametros!$B$2:$B$6,0)),"")="Sim",IFERROR(INDEX(parametros!$H$2:$H$6,MATCH(C4338,parametros!$B$2:$B$6,0)),"")=""),"INICIO_EFEITO ausente: PC "&amp;A4338&amp;" - "&amp;C4338,IF(L4338="","EFEITO_PC nao calculado: PC "&amp;A4338&amp;" - "&amp;C4338,"OK")))))))))</f>
        <v/>
      </c>
      <c r="L4338" s="92" t="str">
        <f>IF(AND(A4338="",B4338="",D4338="",G4338=""),"",IF(OR(B4338="",NOT(ISNUMBER(B4338)),C4338="",C4338="Fora dos ciclos"),"",IF(C4338="C0","Nao",IF(IFERROR(INDEX(parametros!$A$2:$A$6,MATCH(C4338,parametros!$B$2:$B$6,0)),"")&lt;&gt;"Sim","Nao",IF(IFERROR(INDEX(parametros!$H$2:$H$6,MATCH(C4338,parametros!$B$2:$B$6,0)),"")="","",IF(B4338&gt;=IFERROR(INDEX(parametros!$H$2:$H$6,MATCH(C4338,parametros!$B$2:$B$6,0)),""),"Sim","Nao"))))))</f>
        <v/>
      </c>
      <c r="T4338" s="156"/>
      <c r="U4338" s="214" t="str">
        <f t="shared" si="341"/>
        <v/>
      </c>
      <c r="V4338" s="212" t="s">
        <v>50</v>
      </c>
      <c r="W4338" s="100" t="s">
        <v>168</v>
      </c>
      <c r="X4338" s="100" t="s">
        <v>169</v>
      </c>
      <c r="Y4338" s="101" t="s">
        <v>170</v>
      </c>
      <c r="Z4338" s="101" t="s">
        <v>171</v>
      </c>
      <c r="AA4338" s="101" t="s">
        <v>50</v>
      </c>
      <c r="AB4338" s="101" t="s">
        <v>172</v>
      </c>
      <c r="AC4338" s="102" t="s">
        <v>173</v>
      </c>
    </row>
    <row r="4339" spans="1:29" ht="25.5" customHeight="1" x14ac:dyDescent="0.35">
      <c r="A4339" s="392"/>
      <c r="B4339" s="393"/>
      <c r="C4339" s="99" t="str">
        <f>IF(B4339="","",IF(NOT(ISNUMBER(B4339)),"DATA_PC invalida",IF(NOT(ISNUMBER(parametros!$C$2)),"Fora dos ciclos",IF(OR(B4339&lt;parametros!$C$2,(YEAR(B4339)-YEAR(parametros!$C$2))*12+MONTH(B4339)-MONTH(parametros!$C$2)&gt;59),"Fora dos ciclos","C"&amp;INT(((YEAR(B4339)-YEAR(parametros!$C$2))*12+MONTH(B4339)-MONTH(parametros!$C$2))/12)))))</f>
        <v/>
      </c>
      <c r="D4339" s="394"/>
      <c r="E4339" s="78" t="str">
        <f>IF(C4339="","",IFERROR(VLOOKUP(C4339,parametros!$A$11:$E$15,5,0),""))</f>
        <v/>
      </c>
      <c r="F4339" s="79" t="str">
        <f t="shared" si="337"/>
        <v/>
      </c>
      <c r="G4339" s="395"/>
      <c r="H4339" s="91">
        <f t="shared" si="338"/>
        <v>0</v>
      </c>
      <c r="I4339" s="91" t="str">
        <f t="shared" si="339"/>
        <v/>
      </c>
      <c r="J4339" s="91" t="str">
        <f t="shared" si="340"/>
        <v/>
      </c>
      <c r="K4339" s="92" t="str">
        <f>IF(AND(A4339="",B4339="",D4339="",G4339=""),"",IF(AND(A4339&lt;&gt;"",COUNTIF($A$2:$A$5001,A4339)&gt;1),"NUMERO_PC duplicado",IF(B4339="","DATA_PC vazia",IF(NOT(ISNUMBER(B4339)),"DATA_PC invalida",IF(OR(C4339="",C4339="Fora dos ciclos"),"CICLO_PC nao identificado",IF(OR(D4339="",D4339=0),"VALOR_PC vazio ou zero",IF(AND(G4339&lt;&gt;"Sim",G4339&lt;&gt;"Nao",G4339&lt;&gt;""),"PC_PAGO_A_CONTRATADA invalido",IF(AND(C4339&lt;&gt;"C0",IFERROR(INDEX(parametros!$A$2:$A$6,MATCH(C4339,parametros!$B$2:$B$6,0)),"")="Sim",IFERROR(INDEX(parametros!$H$2:$H$6,MATCH(C4339,parametros!$B$2:$B$6,0)),"")=""),"INICIO_EFEITO ausente: PC "&amp;A4339&amp;" - "&amp;C4339,IF(L4339="","EFEITO_PC nao calculado: PC "&amp;A4339&amp;" - "&amp;C4339,"OK")))))))))</f>
        <v/>
      </c>
      <c r="L4339" s="92" t="str">
        <f>IF(AND(A4339="",B4339="",D4339="",G4339=""),"",IF(OR(B4339="",NOT(ISNUMBER(B4339)),C4339="",C4339="Fora dos ciclos"),"",IF(C4339="C0","Nao",IF(IFERROR(INDEX(parametros!$A$2:$A$6,MATCH(C4339,parametros!$B$2:$B$6,0)),"")&lt;&gt;"Sim","Nao",IF(IFERROR(INDEX(parametros!$H$2:$H$6,MATCH(C4339,parametros!$B$2:$B$6,0)),"")="","",IF(B4339&gt;=IFERROR(INDEX(parametros!$H$2:$H$6,MATCH(C4339,parametros!$B$2:$B$6,0)),""),"Sim","Nao"))))))</f>
        <v/>
      </c>
      <c r="T4339" s="156"/>
      <c r="U4339" s="214" t="str">
        <f t="shared" si="341"/>
        <v/>
      </c>
      <c r="V4339" s="212" t="s">
        <v>50</v>
      </c>
      <c r="W4339" s="100" t="s">
        <v>168</v>
      </c>
      <c r="X4339" s="100" t="s">
        <v>169</v>
      </c>
      <c r="Y4339" s="101" t="s">
        <v>170</v>
      </c>
      <c r="Z4339" s="101" t="s">
        <v>171</v>
      </c>
      <c r="AA4339" s="101" t="s">
        <v>50</v>
      </c>
      <c r="AB4339" s="101" t="s">
        <v>172</v>
      </c>
      <c r="AC4339" s="102" t="s">
        <v>173</v>
      </c>
    </row>
    <row r="4340" spans="1:29" ht="25.5" customHeight="1" x14ac:dyDescent="0.35">
      <c r="A4340" s="392"/>
      <c r="B4340" s="393"/>
      <c r="C4340" s="99" t="str">
        <f>IF(B4340="","",IF(NOT(ISNUMBER(B4340)),"DATA_PC invalida",IF(NOT(ISNUMBER(parametros!$C$2)),"Fora dos ciclos",IF(OR(B4340&lt;parametros!$C$2,(YEAR(B4340)-YEAR(parametros!$C$2))*12+MONTH(B4340)-MONTH(parametros!$C$2)&gt;59),"Fora dos ciclos","C"&amp;INT(((YEAR(B4340)-YEAR(parametros!$C$2))*12+MONTH(B4340)-MONTH(parametros!$C$2))/12)))))</f>
        <v/>
      </c>
      <c r="D4340" s="394"/>
      <c r="E4340" s="78" t="str">
        <f>IF(C4340="","",IFERROR(VLOOKUP(C4340,parametros!$A$11:$E$15,5,0),""))</f>
        <v/>
      </c>
      <c r="F4340" s="79" t="str">
        <f t="shared" si="337"/>
        <v/>
      </c>
      <c r="G4340" s="395"/>
      <c r="H4340" s="91">
        <f t="shared" si="338"/>
        <v>0</v>
      </c>
      <c r="I4340" s="91" t="str">
        <f t="shared" si="339"/>
        <v/>
      </c>
      <c r="J4340" s="91" t="str">
        <f t="shared" si="340"/>
        <v/>
      </c>
      <c r="K4340" s="92" t="str">
        <f>IF(AND(A4340="",B4340="",D4340="",G4340=""),"",IF(AND(A4340&lt;&gt;"",COUNTIF($A$2:$A$5001,A4340)&gt;1),"NUMERO_PC duplicado",IF(B4340="","DATA_PC vazia",IF(NOT(ISNUMBER(B4340)),"DATA_PC invalida",IF(OR(C4340="",C4340="Fora dos ciclos"),"CICLO_PC nao identificado",IF(OR(D4340="",D4340=0),"VALOR_PC vazio ou zero",IF(AND(G4340&lt;&gt;"Sim",G4340&lt;&gt;"Nao",G4340&lt;&gt;""),"PC_PAGO_A_CONTRATADA invalido",IF(AND(C4340&lt;&gt;"C0",IFERROR(INDEX(parametros!$A$2:$A$6,MATCH(C4340,parametros!$B$2:$B$6,0)),"")="Sim",IFERROR(INDEX(parametros!$H$2:$H$6,MATCH(C4340,parametros!$B$2:$B$6,0)),"")=""),"INICIO_EFEITO ausente: PC "&amp;A4340&amp;" - "&amp;C4340,IF(L4340="","EFEITO_PC nao calculado: PC "&amp;A4340&amp;" - "&amp;C4340,"OK")))))))))</f>
        <v/>
      </c>
      <c r="L4340" s="92" t="str">
        <f>IF(AND(A4340="",B4340="",D4340="",G4340=""),"",IF(OR(B4340="",NOT(ISNUMBER(B4340)),C4340="",C4340="Fora dos ciclos"),"",IF(C4340="C0","Nao",IF(IFERROR(INDEX(parametros!$A$2:$A$6,MATCH(C4340,parametros!$B$2:$B$6,0)),"")&lt;&gt;"Sim","Nao",IF(IFERROR(INDEX(parametros!$H$2:$H$6,MATCH(C4340,parametros!$B$2:$B$6,0)),"")="","",IF(B4340&gt;=IFERROR(INDEX(parametros!$H$2:$H$6,MATCH(C4340,parametros!$B$2:$B$6,0)),""),"Sim","Nao"))))))</f>
        <v/>
      </c>
      <c r="T4340" s="156"/>
      <c r="U4340" s="214" t="str">
        <f t="shared" si="341"/>
        <v/>
      </c>
      <c r="V4340" s="212" t="s">
        <v>50</v>
      </c>
      <c r="W4340" s="100" t="s">
        <v>168</v>
      </c>
      <c r="X4340" s="100" t="s">
        <v>169</v>
      </c>
      <c r="Y4340" s="101" t="s">
        <v>170</v>
      </c>
      <c r="Z4340" s="101" t="s">
        <v>171</v>
      </c>
      <c r="AA4340" s="101" t="s">
        <v>50</v>
      </c>
      <c r="AB4340" s="101" t="s">
        <v>172</v>
      </c>
      <c r="AC4340" s="102" t="s">
        <v>173</v>
      </c>
    </row>
    <row r="4341" spans="1:29" ht="25.5" customHeight="1" x14ac:dyDescent="0.35">
      <c r="A4341" s="392"/>
      <c r="B4341" s="393"/>
      <c r="C4341" s="99" t="str">
        <f>IF(B4341="","",IF(NOT(ISNUMBER(B4341)),"DATA_PC invalida",IF(NOT(ISNUMBER(parametros!$C$2)),"Fora dos ciclos",IF(OR(B4341&lt;parametros!$C$2,(YEAR(B4341)-YEAR(parametros!$C$2))*12+MONTH(B4341)-MONTH(parametros!$C$2)&gt;59),"Fora dos ciclos","C"&amp;INT(((YEAR(B4341)-YEAR(parametros!$C$2))*12+MONTH(B4341)-MONTH(parametros!$C$2))/12)))))</f>
        <v/>
      </c>
      <c r="D4341" s="394"/>
      <c r="E4341" s="78" t="str">
        <f>IF(C4341="","",IFERROR(VLOOKUP(C4341,parametros!$A$11:$E$15,5,0),""))</f>
        <v/>
      </c>
      <c r="F4341" s="79" t="str">
        <f t="shared" si="337"/>
        <v/>
      </c>
      <c r="G4341" s="395"/>
      <c r="H4341" s="91">
        <f t="shared" si="338"/>
        <v>0</v>
      </c>
      <c r="I4341" s="91" t="str">
        <f t="shared" si="339"/>
        <v/>
      </c>
      <c r="J4341" s="91" t="str">
        <f t="shared" si="340"/>
        <v/>
      </c>
      <c r="K4341" s="92" t="str">
        <f>IF(AND(A4341="",B4341="",D4341="",G4341=""),"",IF(AND(A4341&lt;&gt;"",COUNTIF($A$2:$A$5001,A4341)&gt;1),"NUMERO_PC duplicado",IF(B4341="","DATA_PC vazia",IF(NOT(ISNUMBER(B4341)),"DATA_PC invalida",IF(OR(C4341="",C4341="Fora dos ciclos"),"CICLO_PC nao identificado",IF(OR(D4341="",D4341=0),"VALOR_PC vazio ou zero",IF(AND(G4341&lt;&gt;"Sim",G4341&lt;&gt;"Nao",G4341&lt;&gt;""),"PC_PAGO_A_CONTRATADA invalido",IF(AND(C4341&lt;&gt;"C0",IFERROR(INDEX(parametros!$A$2:$A$6,MATCH(C4341,parametros!$B$2:$B$6,0)),"")="Sim",IFERROR(INDEX(parametros!$H$2:$H$6,MATCH(C4341,parametros!$B$2:$B$6,0)),"")=""),"INICIO_EFEITO ausente: PC "&amp;A4341&amp;" - "&amp;C4341,IF(L4341="","EFEITO_PC nao calculado: PC "&amp;A4341&amp;" - "&amp;C4341,"OK")))))))))</f>
        <v/>
      </c>
      <c r="L4341" s="92" t="str">
        <f>IF(AND(A4341="",B4341="",D4341="",G4341=""),"",IF(OR(B4341="",NOT(ISNUMBER(B4341)),C4341="",C4341="Fora dos ciclos"),"",IF(C4341="C0","Nao",IF(IFERROR(INDEX(parametros!$A$2:$A$6,MATCH(C4341,parametros!$B$2:$B$6,0)),"")&lt;&gt;"Sim","Nao",IF(IFERROR(INDEX(parametros!$H$2:$H$6,MATCH(C4341,parametros!$B$2:$B$6,0)),"")="","",IF(B4341&gt;=IFERROR(INDEX(parametros!$H$2:$H$6,MATCH(C4341,parametros!$B$2:$B$6,0)),""),"Sim","Nao"))))))</f>
        <v/>
      </c>
      <c r="T4341" s="156"/>
      <c r="U4341" s="214" t="str">
        <f t="shared" si="341"/>
        <v/>
      </c>
      <c r="V4341" s="212" t="s">
        <v>50</v>
      </c>
      <c r="W4341" s="100" t="s">
        <v>168</v>
      </c>
      <c r="X4341" s="100" t="s">
        <v>169</v>
      </c>
      <c r="Y4341" s="101" t="s">
        <v>170</v>
      </c>
      <c r="Z4341" s="101" t="s">
        <v>171</v>
      </c>
      <c r="AA4341" s="101" t="s">
        <v>50</v>
      </c>
      <c r="AB4341" s="101" t="s">
        <v>172</v>
      </c>
      <c r="AC4341" s="102" t="s">
        <v>173</v>
      </c>
    </row>
    <row r="4342" spans="1:29" ht="25.5" customHeight="1" x14ac:dyDescent="0.35">
      <c r="A4342" s="392"/>
      <c r="B4342" s="393"/>
      <c r="C4342" s="99" t="str">
        <f>IF(B4342="","",IF(NOT(ISNUMBER(B4342)),"DATA_PC invalida",IF(NOT(ISNUMBER(parametros!$C$2)),"Fora dos ciclos",IF(OR(B4342&lt;parametros!$C$2,(YEAR(B4342)-YEAR(parametros!$C$2))*12+MONTH(B4342)-MONTH(parametros!$C$2)&gt;59),"Fora dos ciclos","C"&amp;INT(((YEAR(B4342)-YEAR(parametros!$C$2))*12+MONTH(B4342)-MONTH(parametros!$C$2))/12)))))</f>
        <v/>
      </c>
      <c r="D4342" s="394"/>
      <c r="E4342" s="78" t="str">
        <f>IF(C4342="","",IFERROR(VLOOKUP(C4342,parametros!$A$11:$E$15,5,0),""))</f>
        <v/>
      </c>
      <c r="F4342" s="79" t="str">
        <f t="shared" si="337"/>
        <v/>
      </c>
      <c r="G4342" s="395"/>
      <c r="H4342" s="91">
        <f t="shared" si="338"/>
        <v>0</v>
      </c>
      <c r="I4342" s="91" t="str">
        <f t="shared" si="339"/>
        <v/>
      </c>
      <c r="J4342" s="91" t="str">
        <f t="shared" si="340"/>
        <v/>
      </c>
      <c r="K4342" s="92" t="str">
        <f>IF(AND(A4342="",B4342="",D4342="",G4342=""),"",IF(AND(A4342&lt;&gt;"",COUNTIF($A$2:$A$5001,A4342)&gt;1),"NUMERO_PC duplicado",IF(B4342="","DATA_PC vazia",IF(NOT(ISNUMBER(B4342)),"DATA_PC invalida",IF(OR(C4342="",C4342="Fora dos ciclos"),"CICLO_PC nao identificado",IF(OR(D4342="",D4342=0),"VALOR_PC vazio ou zero",IF(AND(G4342&lt;&gt;"Sim",G4342&lt;&gt;"Nao",G4342&lt;&gt;""),"PC_PAGO_A_CONTRATADA invalido",IF(AND(C4342&lt;&gt;"C0",IFERROR(INDEX(parametros!$A$2:$A$6,MATCH(C4342,parametros!$B$2:$B$6,0)),"")="Sim",IFERROR(INDEX(parametros!$H$2:$H$6,MATCH(C4342,parametros!$B$2:$B$6,0)),"")=""),"INICIO_EFEITO ausente: PC "&amp;A4342&amp;" - "&amp;C4342,IF(L4342="","EFEITO_PC nao calculado: PC "&amp;A4342&amp;" - "&amp;C4342,"OK")))))))))</f>
        <v/>
      </c>
      <c r="L4342" s="92" t="str">
        <f>IF(AND(A4342="",B4342="",D4342="",G4342=""),"",IF(OR(B4342="",NOT(ISNUMBER(B4342)),C4342="",C4342="Fora dos ciclos"),"",IF(C4342="C0","Nao",IF(IFERROR(INDEX(parametros!$A$2:$A$6,MATCH(C4342,parametros!$B$2:$B$6,0)),"")&lt;&gt;"Sim","Nao",IF(IFERROR(INDEX(parametros!$H$2:$H$6,MATCH(C4342,parametros!$B$2:$B$6,0)),"")="","",IF(B4342&gt;=IFERROR(INDEX(parametros!$H$2:$H$6,MATCH(C4342,parametros!$B$2:$B$6,0)),""),"Sim","Nao"))))))</f>
        <v/>
      </c>
      <c r="T4342" s="156"/>
      <c r="U4342" s="214" t="str">
        <f t="shared" si="341"/>
        <v/>
      </c>
      <c r="V4342" s="212" t="s">
        <v>50</v>
      </c>
      <c r="W4342" s="100" t="s">
        <v>168</v>
      </c>
      <c r="X4342" s="100" t="s">
        <v>169</v>
      </c>
      <c r="Y4342" s="101" t="s">
        <v>170</v>
      </c>
      <c r="Z4342" s="101" t="s">
        <v>171</v>
      </c>
      <c r="AA4342" s="101" t="s">
        <v>50</v>
      </c>
      <c r="AB4342" s="101" t="s">
        <v>172</v>
      </c>
      <c r="AC4342" s="102" t="s">
        <v>173</v>
      </c>
    </row>
    <row r="4343" spans="1:29" ht="25.5" customHeight="1" x14ac:dyDescent="0.35">
      <c r="A4343" s="392"/>
      <c r="B4343" s="393"/>
      <c r="C4343" s="99" t="str">
        <f>IF(B4343="","",IF(NOT(ISNUMBER(B4343)),"DATA_PC invalida",IF(NOT(ISNUMBER(parametros!$C$2)),"Fora dos ciclos",IF(OR(B4343&lt;parametros!$C$2,(YEAR(B4343)-YEAR(parametros!$C$2))*12+MONTH(B4343)-MONTH(parametros!$C$2)&gt;59),"Fora dos ciclos","C"&amp;INT(((YEAR(B4343)-YEAR(parametros!$C$2))*12+MONTH(B4343)-MONTH(parametros!$C$2))/12)))))</f>
        <v/>
      </c>
      <c r="D4343" s="394"/>
      <c r="E4343" s="78" t="str">
        <f>IF(C4343="","",IFERROR(VLOOKUP(C4343,parametros!$A$11:$E$15,5,0),""))</f>
        <v/>
      </c>
      <c r="F4343" s="79" t="str">
        <f t="shared" si="337"/>
        <v/>
      </c>
      <c r="G4343" s="395"/>
      <c r="H4343" s="91">
        <f t="shared" si="338"/>
        <v>0</v>
      </c>
      <c r="I4343" s="91" t="str">
        <f t="shared" si="339"/>
        <v/>
      </c>
      <c r="J4343" s="91" t="str">
        <f t="shared" si="340"/>
        <v/>
      </c>
      <c r="K4343" s="92" t="str">
        <f>IF(AND(A4343="",B4343="",D4343="",G4343=""),"",IF(AND(A4343&lt;&gt;"",COUNTIF($A$2:$A$5001,A4343)&gt;1),"NUMERO_PC duplicado",IF(B4343="","DATA_PC vazia",IF(NOT(ISNUMBER(B4343)),"DATA_PC invalida",IF(OR(C4343="",C4343="Fora dos ciclos"),"CICLO_PC nao identificado",IF(OR(D4343="",D4343=0),"VALOR_PC vazio ou zero",IF(AND(G4343&lt;&gt;"Sim",G4343&lt;&gt;"Nao",G4343&lt;&gt;""),"PC_PAGO_A_CONTRATADA invalido",IF(AND(C4343&lt;&gt;"C0",IFERROR(INDEX(parametros!$A$2:$A$6,MATCH(C4343,parametros!$B$2:$B$6,0)),"")="Sim",IFERROR(INDEX(parametros!$H$2:$H$6,MATCH(C4343,parametros!$B$2:$B$6,0)),"")=""),"INICIO_EFEITO ausente: PC "&amp;A4343&amp;" - "&amp;C4343,IF(L4343="","EFEITO_PC nao calculado: PC "&amp;A4343&amp;" - "&amp;C4343,"OK")))))))))</f>
        <v/>
      </c>
      <c r="L4343" s="92" t="str">
        <f>IF(AND(A4343="",B4343="",D4343="",G4343=""),"",IF(OR(B4343="",NOT(ISNUMBER(B4343)),C4343="",C4343="Fora dos ciclos"),"",IF(C4343="C0","Nao",IF(IFERROR(INDEX(parametros!$A$2:$A$6,MATCH(C4343,parametros!$B$2:$B$6,0)),"")&lt;&gt;"Sim","Nao",IF(IFERROR(INDEX(parametros!$H$2:$H$6,MATCH(C4343,parametros!$B$2:$B$6,0)),"")="","",IF(B4343&gt;=IFERROR(INDEX(parametros!$H$2:$H$6,MATCH(C4343,parametros!$B$2:$B$6,0)),""),"Sim","Nao"))))))</f>
        <v/>
      </c>
      <c r="T4343" s="156"/>
      <c r="U4343" s="214" t="str">
        <f t="shared" si="341"/>
        <v/>
      </c>
      <c r="V4343" s="212" t="s">
        <v>50</v>
      </c>
      <c r="W4343" s="100" t="s">
        <v>168</v>
      </c>
      <c r="X4343" s="100" t="s">
        <v>169</v>
      </c>
      <c r="Y4343" s="101" t="s">
        <v>170</v>
      </c>
      <c r="Z4343" s="101" t="s">
        <v>171</v>
      </c>
      <c r="AA4343" s="101" t="s">
        <v>50</v>
      </c>
      <c r="AB4343" s="101" t="s">
        <v>172</v>
      </c>
      <c r="AC4343" s="102" t="s">
        <v>173</v>
      </c>
    </row>
    <row r="4344" spans="1:29" ht="25.5" customHeight="1" x14ac:dyDescent="0.35">
      <c r="A4344" s="392"/>
      <c r="B4344" s="393"/>
      <c r="C4344" s="99" t="str">
        <f>IF(B4344="","",IF(NOT(ISNUMBER(B4344)),"DATA_PC invalida",IF(NOT(ISNUMBER(parametros!$C$2)),"Fora dos ciclos",IF(OR(B4344&lt;parametros!$C$2,(YEAR(B4344)-YEAR(parametros!$C$2))*12+MONTH(B4344)-MONTH(parametros!$C$2)&gt;59),"Fora dos ciclos","C"&amp;INT(((YEAR(B4344)-YEAR(parametros!$C$2))*12+MONTH(B4344)-MONTH(parametros!$C$2))/12)))))</f>
        <v/>
      </c>
      <c r="D4344" s="394"/>
      <c r="E4344" s="78" t="str">
        <f>IF(C4344="","",IFERROR(VLOOKUP(C4344,parametros!$A$11:$E$15,5,0),""))</f>
        <v/>
      </c>
      <c r="F4344" s="79" t="str">
        <f t="shared" si="337"/>
        <v/>
      </c>
      <c r="G4344" s="395"/>
      <c r="H4344" s="91">
        <f t="shared" si="338"/>
        <v>0</v>
      </c>
      <c r="I4344" s="91" t="str">
        <f t="shared" si="339"/>
        <v/>
      </c>
      <c r="J4344" s="91" t="str">
        <f t="shared" si="340"/>
        <v/>
      </c>
      <c r="K4344" s="92" t="str">
        <f>IF(AND(A4344="",B4344="",D4344="",G4344=""),"",IF(AND(A4344&lt;&gt;"",COUNTIF($A$2:$A$5001,A4344)&gt;1),"NUMERO_PC duplicado",IF(B4344="","DATA_PC vazia",IF(NOT(ISNUMBER(B4344)),"DATA_PC invalida",IF(OR(C4344="",C4344="Fora dos ciclos"),"CICLO_PC nao identificado",IF(OR(D4344="",D4344=0),"VALOR_PC vazio ou zero",IF(AND(G4344&lt;&gt;"Sim",G4344&lt;&gt;"Nao",G4344&lt;&gt;""),"PC_PAGO_A_CONTRATADA invalido",IF(AND(C4344&lt;&gt;"C0",IFERROR(INDEX(parametros!$A$2:$A$6,MATCH(C4344,parametros!$B$2:$B$6,0)),"")="Sim",IFERROR(INDEX(parametros!$H$2:$H$6,MATCH(C4344,parametros!$B$2:$B$6,0)),"")=""),"INICIO_EFEITO ausente: PC "&amp;A4344&amp;" - "&amp;C4344,IF(L4344="","EFEITO_PC nao calculado: PC "&amp;A4344&amp;" - "&amp;C4344,"OK")))))))))</f>
        <v/>
      </c>
      <c r="L4344" s="92" t="str">
        <f>IF(AND(A4344="",B4344="",D4344="",G4344=""),"",IF(OR(B4344="",NOT(ISNUMBER(B4344)),C4344="",C4344="Fora dos ciclos"),"",IF(C4344="C0","Nao",IF(IFERROR(INDEX(parametros!$A$2:$A$6,MATCH(C4344,parametros!$B$2:$B$6,0)),"")&lt;&gt;"Sim","Nao",IF(IFERROR(INDEX(parametros!$H$2:$H$6,MATCH(C4344,parametros!$B$2:$B$6,0)),"")="","",IF(B4344&gt;=IFERROR(INDEX(parametros!$H$2:$H$6,MATCH(C4344,parametros!$B$2:$B$6,0)),""),"Sim","Nao"))))))</f>
        <v/>
      </c>
      <c r="T4344" s="156"/>
      <c r="U4344" s="214" t="str">
        <f t="shared" si="341"/>
        <v/>
      </c>
      <c r="V4344" s="212" t="s">
        <v>50</v>
      </c>
      <c r="W4344" s="100" t="s">
        <v>168</v>
      </c>
      <c r="X4344" s="100" t="s">
        <v>169</v>
      </c>
      <c r="Y4344" s="101" t="s">
        <v>170</v>
      </c>
      <c r="Z4344" s="101" t="s">
        <v>171</v>
      </c>
      <c r="AA4344" s="101" t="s">
        <v>50</v>
      </c>
      <c r="AB4344" s="101" t="s">
        <v>172</v>
      </c>
      <c r="AC4344" s="102" t="s">
        <v>173</v>
      </c>
    </row>
    <row r="4345" spans="1:29" ht="25.5" customHeight="1" x14ac:dyDescent="0.35">
      <c r="A4345" s="392"/>
      <c r="B4345" s="393"/>
      <c r="C4345" s="99" t="str">
        <f>IF(B4345="","",IF(NOT(ISNUMBER(B4345)),"DATA_PC invalida",IF(NOT(ISNUMBER(parametros!$C$2)),"Fora dos ciclos",IF(OR(B4345&lt;parametros!$C$2,(YEAR(B4345)-YEAR(parametros!$C$2))*12+MONTH(B4345)-MONTH(parametros!$C$2)&gt;59),"Fora dos ciclos","C"&amp;INT(((YEAR(B4345)-YEAR(parametros!$C$2))*12+MONTH(B4345)-MONTH(parametros!$C$2))/12)))))</f>
        <v/>
      </c>
      <c r="D4345" s="394"/>
      <c r="E4345" s="78" t="str">
        <f>IF(C4345="","",IFERROR(VLOOKUP(C4345,parametros!$A$11:$E$15,5,0),""))</f>
        <v/>
      </c>
      <c r="F4345" s="79" t="str">
        <f t="shared" si="337"/>
        <v/>
      </c>
      <c r="G4345" s="395"/>
      <c r="H4345" s="91">
        <f t="shared" si="338"/>
        <v>0</v>
      </c>
      <c r="I4345" s="91" t="str">
        <f t="shared" si="339"/>
        <v/>
      </c>
      <c r="J4345" s="91" t="str">
        <f t="shared" si="340"/>
        <v/>
      </c>
      <c r="K4345" s="92" t="str">
        <f>IF(AND(A4345="",B4345="",D4345="",G4345=""),"",IF(AND(A4345&lt;&gt;"",COUNTIF($A$2:$A$5001,A4345)&gt;1),"NUMERO_PC duplicado",IF(B4345="","DATA_PC vazia",IF(NOT(ISNUMBER(B4345)),"DATA_PC invalida",IF(OR(C4345="",C4345="Fora dos ciclos"),"CICLO_PC nao identificado",IF(OR(D4345="",D4345=0),"VALOR_PC vazio ou zero",IF(AND(G4345&lt;&gt;"Sim",G4345&lt;&gt;"Nao",G4345&lt;&gt;""),"PC_PAGO_A_CONTRATADA invalido",IF(AND(C4345&lt;&gt;"C0",IFERROR(INDEX(parametros!$A$2:$A$6,MATCH(C4345,parametros!$B$2:$B$6,0)),"")="Sim",IFERROR(INDEX(parametros!$H$2:$H$6,MATCH(C4345,parametros!$B$2:$B$6,0)),"")=""),"INICIO_EFEITO ausente: PC "&amp;A4345&amp;" - "&amp;C4345,IF(L4345="","EFEITO_PC nao calculado: PC "&amp;A4345&amp;" - "&amp;C4345,"OK")))))))))</f>
        <v/>
      </c>
      <c r="L4345" s="92" t="str">
        <f>IF(AND(A4345="",B4345="",D4345="",G4345=""),"",IF(OR(B4345="",NOT(ISNUMBER(B4345)),C4345="",C4345="Fora dos ciclos"),"",IF(C4345="C0","Nao",IF(IFERROR(INDEX(parametros!$A$2:$A$6,MATCH(C4345,parametros!$B$2:$B$6,0)),"")&lt;&gt;"Sim","Nao",IF(IFERROR(INDEX(parametros!$H$2:$H$6,MATCH(C4345,parametros!$B$2:$B$6,0)),"")="","",IF(B4345&gt;=IFERROR(INDEX(parametros!$H$2:$H$6,MATCH(C4345,parametros!$B$2:$B$6,0)),""),"Sim","Nao"))))))</f>
        <v/>
      </c>
      <c r="T4345" s="156"/>
      <c r="U4345" s="214" t="str">
        <f t="shared" si="341"/>
        <v/>
      </c>
      <c r="V4345" s="212" t="s">
        <v>50</v>
      </c>
      <c r="W4345" s="100" t="s">
        <v>168</v>
      </c>
      <c r="X4345" s="100" t="s">
        <v>169</v>
      </c>
      <c r="Y4345" s="101" t="s">
        <v>170</v>
      </c>
      <c r="Z4345" s="101" t="s">
        <v>171</v>
      </c>
      <c r="AA4345" s="101" t="s">
        <v>50</v>
      </c>
      <c r="AB4345" s="101" t="s">
        <v>172</v>
      </c>
      <c r="AC4345" s="102" t="s">
        <v>173</v>
      </c>
    </row>
    <row r="4346" spans="1:29" ht="25.5" customHeight="1" x14ac:dyDescent="0.35">
      <c r="A4346" s="392"/>
      <c r="B4346" s="393"/>
      <c r="C4346" s="99" t="str">
        <f>IF(B4346="","",IF(NOT(ISNUMBER(B4346)),"DATA_PC invalida",IF(NOT(ISNUMBER(parametros!$C$2)),"Fora dos ciclos",IF(OR(B4346&lt;parametros!$C$2,(YEAR(B4346)-YEAR(parametros!$C$2))*12+MONTH(B4346)-MONTH(parametros!$C$2)&gt;59),"Fora dos ciclos","C"&amp;INT(((YEAR(B4346)-YEAR(parametros!$C$2))*12+MONTH(B4346)-MONTH(parametros!$C$2))/12)))))</f>
        <v/>
      </c>
      <c r="D4346" s="394"/>
      <c r="E4346" s="78" t="str">
        <f>IF(C4346="","",IFERROR(VLOOKUP(C4346,parametros!$A$11:$E$15,5,0),""))</f>
        <v/>
      </c>
      <c r="F4346" s="79" t="str">
        <f t="shared" si="337"/>
        <v/>
      </c>
      <c r="G4346" s="395"/>
      <c r="H4346" s="91">
        <f t="shared" si="338"/>
        <v>0</v>
      </c>
      <c r="I4346" s="91" t="str">
        <f t="shared" si="339"/>
        <v/>
      </c>
      <c r="J4346" s="91" t="str">
        <f t="shared" si="340"/>
        <v/>
      </c>
      <c r="K4346" s="92" t="str">
        <f>IF(AND(A4346="",B4346="",D4346="",G4346=""),"",IF(AND(A4346&lt;&gt;"",COUNTIF($A$2:$A$5001,A4346)&gt;1),"NUMERO_PC duplicado",IF(B4346="","DATA_PC vazia",IF(NOT(ISNUMBER(B4346)),"DATA_PC invalida",IF(OR(C4346="",C4346="Fora dos ciclos"),"CICLO_PC nao identificado",IF(OR(D4346="",D4346=0),"VALOR_PC vazio ou zero",IF(AND(G4346&lt;&gt;"Sim",G4346&lt;&gt;"Nao",G4346&lt;&gt;""),"PC_PAGO_A_CONTRATADA invalido",IF(AND(C4346&lt;&gt;"C0",IFERROR(INDEX(parametros!$A$2:$A$6,MATCH(C4346,parametros!$B$2:$B$6,0)),"")="Sim",IFERROR(INDEX(parametros!$H$2:$H$6,MATCH(C4346,parametros!$B$2:$B$6,0)),"")=""),"INICIO_EFEITO ausente: PC "&amp;A4346&amp;" - "&amp;C4346,IF(L4346="","EFEITO_PC nao calculado: PC "&amp;A4346&amp;" - "&amp;C4346,"OK")))))))))</f>
        <v/>
      </c>
      <c r="L4346" s="92" t="str">
        <f>IF(AND(A4346="",B4346="",D4346="",G4346=""),"",IF(OR(B4346="",NOT(ISNUMBER(B4346)),C4346="",C4346="Fora dos ciclos"),"",IF(C4346="C0","Nao",IF(IFERROR(INDEX(parametros!$A$2:$A$6,MATCH(C4346,parametros!$B$2:$B$6,0)),"")&lt;&gt;"Sim","Nao",IF(IFERROR(INDEX(parametros!$H$2:$H$6,MATCH(C4346,parametros!$B$2:$B$6,0)),"")="","",IF(B4346&gt;=IFERROR(INDEX(parametros!$H$2:$H$6,MATCH(C4346,parametros!$B$2:$B$6,0)),""),"Sim","Nao"))))))</f>
        <v/>
      </c>
      <c r="T4346" s="156"/>
      <c r="U4346" s="214" t="str">
        <f t="shared" si="341"/>
        <v/>
      </c>
      <c r="V4346" s="212" t="s">
        <v>50</v>
      </c>
      <c r="W4346" s="100" t="s">
        <v>168</v>
      </c>
      <c r="X4346" s="100" t="s">
        <v>169</v>
      </c>
      <c r="Y4346" s="101" t="s">
        <v>170</v>
      </c>
      <c r="Z4346" s="101" t="s">
        <v>171</v>
      </c>
      <c r="AA4346" s="101" t="s">
        <v>50</v>
      </c>
      <c r="AB4346" s="101" t="s">
        <v>172</v>
      </c>
      <c r="AC4346" s="102" t="s">
        <v>173</v>
      </c>
    </row>
    <row r="4347" spans="1:29" ht="25.5" customHeight="1" x14ac:dyDescent="0.35">
      <c r="A4347" s="392"/>
      <c r="B4347" s="393"/>
      <c r="C4347" s="99" t="str">
        <f>IF(B4347="","",IF(NOT(ISNUMBER(B4347)),"DATA_PC invalida",IF(NOT(ISNUMBER(parametros!$C$2)),"Fora dos ciclos",IF(OR(B4347&lt;parametros!$C$2,(YEAR(B4347)-YEAR(parametros!$C$2))*12+MONTH(B4347)-MONTH(parametros!$C$2)&gt;59),"Fora dos ciclos","C"&amp;INT(((YEAR(B4347)-YEAR(parametros!$C$2))*12+MONTH(B4347)-MONTH(parametros!$C$2))/12)))))</f>
        <v/>
      </c>
      <c r="D4347" s="394"/>
      <c r="E4347" s="78" t="str">
        <f>IF(C4347="","",IFERROR(VLOOKUP(C4347,parametros!$A$11:$E$15,5,0),""))</f>
        <v/>
      </c>
      <c r="F4347" s="79" t="str">
        <f t="shared" si="337"/>
        <v/>
      </c>
      <c r="G4347" s="395"/>
      <c r="H4347" s="91">
        <f t="shared" si="338"/>
        <v>0</v>
      </c>
      <c r="I4347" s="91" t="str">
        <f t="shared" si="339"/>
        <v/>
      </c>
      <c r="J4347" s="91" t="str">
        <f t="shared" si="340"/>
        <v/>
      </c>
      <c r="K4347" s="92" t="str">
        <f>IF(AND(A4347="",B4347="",D4347="",G4347=""),"",IF(AND(A4347&lt;&gt;"",COUNTIF($A$2:$A$5001,A4347)&gt;1),"NUMERO_PC duplicado",IF(B4347="","DATA_PC vazia",IF(NOT(ISNUMBER(B4347)),"DATA_PC invalida",IF(OR(C4347="",C4347="Fora dos ciclos"),"CICLO_PC nao identificado",IF(OR(D4347="",D4347=0),"VALOR_PC vazio ou zero",IF(AND(G4347&lt;&gt;"Sim",G4347&lt;&gt;"Nao",G4347&lt;&gt;""),"PC_PAGO_A_CONTRATADA invalido",IF(AND(C4347&lt;&gt;"C0",IFERROR(INDEX(parametros!$A$2:$A$6,MATCH(C4347,parametros!$B$2:$B$6,0)),"")="Sim",IFERROR(INDEX(parametros!$H$2:$H$6,MATCH(C4347,parametros!$B$2:$B$6,0)),"")=""),"INICIO_EFEITO ausente: PC "&amp;A4347&amp;" - "&amp;C4347,IF(L4347="","EFEITO_PC nao calculado: PC "&amp;A4347&amp;" - "&amp;C4347,"OK")))))))))</f>
        <v/>
      </c>
      <c r="L4347" s="92" t="str">
        <f>IF(AND(A4347="",B4347="",D4347="",G4347=""),"",IF(OR(B4347="",NOT(ISNUMBER(B4347)),C4347="",C4347="Fora dos ciclos"),"",IF(C4347="C0","Nao",IF(IFERROR(INDEX(parametros!$A$2:$A$6,MATCH(C4347,parametros!$B$2:$B$6,0)),"")&lt;&gt;"Sim","Nao",IF(IFERROR(INDEX(parametros!$H$2:$H$6,MATCH(C4347,parametros!$B$2:$B$6,0)),"")="","",IF(B4347&gt;=IFERROR(INDEX(parametros!$H$2:$H$6,MATCH(C4347,parametros!$B$2:$B$6,0)),""),"Sim","Nao"))))))</f>
        <v/>
      </c>
      <c r="T4347" s="156"/>
      <c r="U4347" s="214" t="str">
        <f t="shared" si="341"/>
        <v/>
      </c>
      <c r="V4347" s="212" t="s">
        <v>50</v>
      </c>
      <c r="W4347" s="100" t="s">
        <v>168</v>
      </c>
      <c r="X4347" s="100" t="s">
        <v>169</v>
      </c>
      <c r="Y4347" s="101" t="s">
        <v>170</v>
      </c>
      <c r="Z4347" s="101" t="s">
        <v>171</v>
      </c>
      <c r="AA4347" s="101" t="s">
        <v>50</v>
      </c>
      <c r="AB4347" s="101" t="s">
        <v>172</v>
      </c>
      <c r="AC4347" s="102" t="s">
        <v>173</v>
      </c>
    </row>
    <row r="4348" spans="1:29" ht="25.5" customHeight="1" x14ac:dyDescent="0.35">
      <c r="A4348" s="392"/>
      <c r="B4348" s="393"/>
      <c r="C4348" s="99" t="str">
        <f>IF(B4348="","",IF(NOT(ISNUMBER(B4348)),"DATA_PC invalida",IF(NOT(ISNUMBER(parametros!$C$2)),"Fora dos ciclos",IF(OR(B4348&lt;parametros!$C$2,(YEAR(B4348)-YEAR(parametros!$C$2))*12+MONTH(B4348)-MONTH(parametros!$C$2)&gt;59),"Fora dos ciclos","C"&amp;INT(((YEAR(B4348)-YEAR(parametros!$C$2))*12+MONTH(B4348)-MONTH(parametros!$C$2))/12)))))</f>
        <v/>
      </c>
      <c r="D4348" s="394"/>
      <c r="E4348" s="78" t="str">
        <f>IF(C4348="","",IFERROR(VLOOKUP(C4348,parametros!$A$11:$E$15,5,0),""))</f>
        <v/>
      </c>
      <c r="F4348" s="79" t="str">
        <f t="shared" si="337"/>
        <v/>
      </c>
      <c r="G4348" s="395"/>
      <c r="H4348" s="91">
        <f t="shared" si="338"/>
        <v>0</v>
      </c>
      <c r="I4348" s="91" t="str">
        <f t="shared" si="339"/>
        <v/>
      </c>
      <c r="J4348" s="91" t="str">
        <f t="shared" si="340"/>
        <v/>
      </c>
      <c r="K4348" s="92" t="str">
        <f>IF(AND(A4348="",B4348="",D4348="",G4348=""),"",IF(AND(A4348&lt;&gt;"",COUNTIF($A$2:$A$5001,A4348)&gt;1),"NUMERO_PC duplicado",IF(B4348="","DATA_PC vazia",IF(NOT(ISNUMBER(B4348)),"DATA_PC invalida",IF(OR(C4348="",C4348="Fora dos ciclos"),"CICLO_PC nao identificado",IF(OR(D4348="",D4348=0),"VALOR_PC vazio ou zero",IF(AND(G4348&lt;&gt;"Sim",G4348&lt;&gt;"Nao",G4348&lt;&gt;""),"PC_PAGO_A_CONTRATADA invalido",IF(AND(C4348&lt;&gt;"C0",IFERROR(INDEX(parametros!$A$2:$A$6,MATCH(C4348,parametros!$B$2:$B$6,0)),"")="Sim",IFERROR(INDEX(parametros!$H$2:$H$6,MATCH(C4348,parametros!$B$2:$B$6,0)),"")=""),"INICIO_EFEITO ausente: PC "&amp;A4348&amp;" - "&amp;C4348,IF(L4348="","EFEITO_PC nao calculado: PC "&amp;A4348&amp;" - "&amp;C4348,"OK")))))))))</f>
        <v/>
      </c>
      <c r="L4348" s="92" t="str">
        <f>IF(AND(A4348="",B4348="",D4348="",G4348=""),"",IF(OR(B4348="",NOT(ISNUMBER(B4348)),C4348="",C4348="Fora dos ciclos"),"",IF(C4348="C0","Nao",IF(IFERROR(INDEX(parametros!$A$2:$A$6,MATCH(C4348,parametros!$B$2:$B$6,0)),"")&lt;&gt;"Sim","Nao",IF(IFERROR(INDEX(parametros!$H$2:$H$6,MATCH(C4348,parametros!$B$2:$B$6,0)),"")="","",IF(B4348&gt;=IFERROR(INDEX(parametros!$H$2:$H$6,MATCH(C4348,parametros!$B$2:$B$6,0)),""),"Sim","Nao"))))))</f>
        <v/>
      </c>
      <c r="T4348" s="156"/>
      <c r="U4348" s="214" t="str">
        <f t="shared" si="341"/>
        <v/>
      </c>
      <c r="V4348" s="212" t="s">
        <v>50</v>
      </c>
      <c r="W4348" s="100" t="s">
        <v>168</v>
      </c>
      <c r="X4348" s="100" t="s">
        <v>169</v>
      </c>
      <c r="Y4348" s="101" t="s">
        <v>170</v>
      </c>
      <c r="Z4348" s="101" t="s">
        <v>171</v>
      </c>
      <c r="AA4348" s="101" t="s">
        <v>50</v>
      </c>
      <c r="AB4348" s="101" t="s">
        <v>172</v>
      </c>
      <c r="AC4348" s="102" t="s">
        <v>173</v>
      </c>
    </row>
    <row r="4349" spans="1:29" ht="25.5" customHeight="1" x14ac:dyDescent="0.35">
      <c r="A4349" s="392"/>
      <c r="B4349" s="393"/>
      <c r="C4349" s="99" t="str">
        <f>IF(B4349="","",IF(NOT(ISNUMBER(B4349)),"DATA_PC invalida",IF(NOT(ISNUMBER(parametros!$C$2)),"Fora dos ciclos",IF(OR(B4349&lt;parametros!$C$2,(YEAR(B4349)-YEAR(parametros!$C$2))*12+MONTH(B4349)-MONTH(parametros!$C$2)&gt;59),"Fora dos ciclos","C"&amp;INT(((YEAR(B4349)-YEAR(parametros!$C$2))*12+MONTH(B4349)-MONTH(parametros!$C$2))/12)))))</f>
        <v/>
      </c>
      <c r="D4349" s="394"/>
      <c r="E4349" s="78" t="str">
        <f>IF(C4349="","",IFERROR(VLOOKUP(C4349,parametros!$A$11:$E$15,5,0),""))</f>
        <v/>
      </c>
      <c r="F4349" s="79" t="str">
        <f t="shared" si="337"/>
        <v/>
      </c>
      <c r="G4349" s="395"/>
      <c r="H4349" s="91">
        <f t="shared" si="338"/>
        <v>0</v>
      </c>
      <c r="I4349" s="91" t="str">
        <f t="shared" si="339"/>
        <v/>
      </c>
      <c r="J4349" s="91" t="str">
        <f t="shared" si="340"/>
        <v/>
      </c>
      <c r="K4349" s="92" t="str">
        <f>IF(AND(A4349="",B4349="",D4349="",G4349=""),"",IF(AND(A4349&lt;&gt;"",COUNTIF($A$2:$A$5001,A4349)&gt;1),"NUMERO_PC duplicado",IF(B4349="","DATA_PC vazia",IF(NOT(ISNUMBER(B4349)),"DATA_PC invalida",IF(OR(C4349="",C4349="Fora dos ciclos"),"CICLO_PC nao identificado",IF(OR(D4349="",D4349=0),"VALOR_PC vazio ou zero",IF(AND(G4349&lt;&gt;"Sim",G4349&lt;&gt;"Nao",G4349&lt;&gt;""),"PC_PAGO_A_CONTRATADA invalido",IF(AND(C4349&lt;&gt;"C0",IFERROR(INDEX(parametros!$A$2:$A$6,MATCH(C4349,parametros!$B$2:$B$6,0)),"")="Sim",IFERROR(INDEX(parametros!$H$2:$H$6,MATCH(C4349,parametros!$B$2:$B$6,0)),"")=""),"INICIO_EFEITO ausente: PC "&amp;A4349&amp;" - "&amp;C4349,IF(L4349="","EFEITO_PC nao calculado: PC "&amp;A4349&amp;" - "&amp;C4349,"OK")))))))))</f>
        <v/>
      </c>
      <c r="L4349" s="92" t="str">
        <f>IF(AND(A4349="",B4349="",D4349="",G4349=""),"",IF(OR(B4349="",NOT(ISNUMBER(B4349)),C4349="",C4349="Fora dos ciclos"),"",IF(C4349="C0","Nao",IF(IFERROR(INDEX(parametros!$A$2:$A$6,MATCH(C4349,parametros!$B$2:$B$6,0)),"")&lt;&gt;"Sim","Nao",IF(IFERROR(INDEX(parametros!$H$2:$H$6,MATCH(C4349,parametros!$B$2:$B$6,0)),"")="","",IF(B4349&gt;=IFERROR(INDEX(parametros!$H$2:$H$6,MATCH(C4349,parametros!$B$2:$B$6,0)),""),"Sim","Nao"))))))</f>
        <v/>
      </c>
      <c r="T4349" s="156"/>
      <c r="U4349" s="214" t="str">
        <f t="shared" si="341"/>
        <v/>
      </c>
      <c r="V4349" s="212" t="s">
        <v>50</v>
      </c>
      <c r="W4349" s="100" t="s">
        <v>168</v>
      </c>
      <c r="X4349" s="100" t="s">
        <v>169</v>
      </c>
      <c r="Y4349" s="101" t="s">
        <v>170</v>
      </c>
      <c r="Z4349" s="101" t="s">
        <v>171</v>
      </c>
      <c r="AA4349" s="101" t="s">
        <v>50</v>
      </c>
      <c r="AB4349" s="101" t="s">
        <v>172</v>
      </c>
      <c r="AC4349" s="102" t="s">
        <v>173</v>
      </c>
    </row>
    <row r="4350" spans="1:29" ht="25.5" customHeight="1" x14ac:dyDescent="0.35">
      <c r="A4350" s="392"/>
      <c r="B4350" s="393"/>
      <c r="C4350" s="99" t="str">
        <f>IF(B4350="","",IF(NOT(ISNUMBER(B4350)),"DATA_PC invalida",IF(NOT(ISNUMBER(parametros!$C$2)),"Fora dos ciclos",IF(OR(B4350&lt;parametros!$C$2,(YEAR(B4350)-YEAR(parametros!$C$2))*12+MONTH(B4350)-MONTH(parametros!$C$2)&gt;59),"Fora dos ciclos","C"&amp;INT(((YEAR(B4350)-YEAR(parametros!$C$2))*12+MONTH(B4350)-MONTH(parametros!$C$2))/12)))))</f>
        <v/>
      </c>
      <c r="D4350" s="394"/>
      <c r="E4350" s="78" t="str">
        <f>IF(C4350="","",IFERROR(VLOOKUP(C4350,parametros!$A$11:$E$15,5,0),""))</f>
        <v/>
      </c>
      <c r="F4350" s="79" t="str">
        <f t="shared" si="337"/>
        <v/>
      </c>
      <c r="G4350" s="395"/>
      <c r="H4350" s="91">
        <f t="shared" si="338"/>
        <v>0</v>
      </c>
      <c r="I4350" s="91" t="str">
        <f t="shared" si="339"/>
        <v/>
      </c>
      <c r="J4350" s="91" t="str">
        <f t="shared" si="340"/>
        <v/>
      </c>
      <c r="K4350" s="92" t="str">
        <f>IF(AND(A4350="",B4350="",D4350="",G4350=""),"",IF(AND(A4350&lt;&gt;"",COUNTIF($A$2:$A$5001,A4350)&gt;1),"NUMERO_PC duplicado",IF(B4350="","DATA_PC vazia",IF(NOT(ISNUMBER(B4350)),"DATA_PC invalida",IF(OR(C4350="",C4350="Fora dos ciclos"),"CICLO_PC nao identificado",IF(OR(D4350="",D4350=0),"VALOR_PC vazio ou zero",IF(AND(G4350&lt;&gt;"Sim",G4350&lt;&gt;"Nao",G4350&lt;&gt;""),"PC_PAGO_A_CONTRATADA invalido",IF(AND(C4350&lt;&gt;"C0",IFERROR(INDEX(parametros!$A$2:$A$6,MATCH(C4350,parametros!$B$2:$B$6,0)),"")="Sim",IFERROR(INDEX(parametros!$H$2:$H$6,MATCH(C4350,parametros!$B$2:$B$6,0)),"")=""),"INICIO_EFEITO ausente: PC "&amp;A4350&amp;" - "&amp;C4350,IF(L4350="","EFEITO_PC nao calculado: PC "&amp;A4350&amp;" - "&amp;C4350,"OK")))))))))</f>
        <v/>
      </c>
      <c r="L4350" s="92" t="str">
        <f>IF(AND(A4350="",B4350="",D4350="",G4350=""),"",IF(OR(B4350="",NOT(ISNUMBER(B4350)),C4350="",C4350="Fora dos ciclos"),"",IF(C4350="C0","Nao",IF(IFERROR(INDEX(parametros!$A$2:$A$6,MATCH(C4350,parametros!$B$2:$B$6,0)),"")&lt;&gt;"Sim","Nao",IF(IFERROR(INDEX(parametros!$H$2:$H$6,MATCH(C4350,parametros!$B$2:$B$6,0)),"")="","",IF(B4350&gt;=IFERROR(INDEX(parametros!$H$2:$H$6,MATCH(C4350,parametros!$B$2:$B$6,0)),""),"Sim","Nao"))))))</f>
        <v/>
      </c>
      <c r="T4350" s="156"/>
      <c r="U4350" s="214" t="str">
        <f t="shared" si="341"/>
        <v/>
      </c>
      <c r="V4350" s="212" t="s">
        <v>50</v>
      </c>
      <c r="W4350" s="100" t="s">
        <v>168</v>
      </c>
      <c r="X4350" s="100" t="s">
        <v>169</v>
      </c>
      <c r="Y4350" s="101" t="s">
        <v>170</v>
      </c>
      <c r="Z4350" s="101" t="s">
        <v>171</v>
      </c>
      <c r="AA4350" s="101" t="s">
        <v>50</v>
      </c>
      <c r="AB4350" s="101" t="s">
        <v>172</v>
      </c>
      <c r="AC4350" s="102" t="s">
        <v>173</v>
      </c>
    </row>
    <row r="4351" spans="1:29" ht="25.5" customHeight="1" x14ac:dyDescent="0.35">
      <c r="A4351" s="392"/>
      <c r="B4351" s="393"/>
      <c r="C4351" s="99" t="str">
        <f>IF(B4351="","",IF(NOT(ISNUMBER(B4351)),"DATA_PC invalida",IF(NOT(ISNUMBER(parametros!$C$2)),"Fora dos ciclos",IF(OR(B4351&lt;parametros!$C$2,(YEAR(B4351)-YEAR(parametros!$C$2))*12+MONTH(B4351)-MONTH(parametros!$C$2)&gt;59),"Fora dos ciclos","C"&amp;INT(((YEAR(B4351)-YEAR(parametros!$C$2))*12+MONTH(B4351)-MONTH(parametros!$C$2))/12)))))</f>
        <v/>
      </c>
      <c r="D4351" s="394"/>
      <c r="E4351" s="78" t="str">
        <f>IF(C4351="","",IFERROR(VLOOKUP(C4351,parametros!$A$11:$E$15,5,0),""))</f>
        <v/>
      </c>
      <c r="F4351" s="79" t="str">
        <f t="shared" si="337"/>
        <v/>
      </c>
      <c r="G4351" s="395"/>
      <c r="H4351" s="91">
        <f t="shared" si="338"/>
        <v>0</v>
      </c>
      <c r="I4351" s="91" t="str">
        <f t="shared" si="339"/>
        <v/>
      </c>
      <c r="J4351" s="91" t="str">
        <f t="shared" si="340"/>
        <v/>
      </c>
      <c r="K4351" s="92" t="str">
        <f>IF(AND(A4351="",B4351="",D4351="",G4351=""),"",IF(AND(A4351&lt;&gt;"",COUNTIF($A$2:$A$5001,A4351)&gt;1),"NUMERO_PC duplicado",IF(B4351="","DATA_PC vazia",IF(NOT(ISNUMBER(B4351)),"DATA_PC invalida",IF(OR(C4351="",C4351="Fora dos ciclos"),"CICLO_PC nao identificado",IF(OR(D4351="",D4351=0),"VALOR_PC vazio ou zero",IF(AND(G4351&lt;&gt;"Sim",G4351&lt;&gt;"Nao",G4351&lt;&gt;""),"PC_PAGO_A_CONTRATADA invalido",IF(AND(C4351&lt;&gt;"C0",IFERROR(INDEX(parametros!$A$2:$A$6,MATCH(C4351,parametros!$B$2:$B$6,0)),"")="Sim",IFERROR(INDEX(parametros!$H$2:$H$6,MATCH(C4351,parametros!$B$2:$B$6,0)),"")=""),"INICIO_EFEITO ausente: PC "&amp;A4351&amp;" - "&amp;C4351,IF(L4351="","EFEITO_PC nao calculado: PC "&amp;A4351&amp;" - "&amp;C4351,"OK")))))))))</f>
        <v/>
      </c>
      <c r="L4351" s="92" t="str">
        <f>IF(AND(A4351="",B4351="",D4351="",G4351=""),"",IF(OR(B4351="",NOT(ISNUMBER(B4351)),C4351="",C4351="Fora dos ciclos"),"",IF(C4351="C0","Nao",IF(IFERROR(INDEX(parametros!$A$2:$A$6,MATCH(C4351,parametros!$B$2:$B$6,0)),"")&lt;&gt;"Sim","Nao",IF(IFERROR(INDEX(parametros!$H$2:$H$6,MATCH(C4351,parametros!$B$2:$B$6,0)),"")="","",IF(B4351&gt;=IFERROR(INDEX(parametros!$H$2:$H$6,MATCH(C4351,parametros!$B$2:$B$6,0)),""),"Sim","Nao"))))))</f>
        <v/>
      </c>
      <c r="T4351" s="156"/>
      <c r="U4351" s="214" t="str">
        <f t="shared" si="341"/>
        <v/>
      </c>
      <c r="V4351" s="212" t="s">
        <v>50</v>
      </c>
      <c r="W4351" s="100" t="s">
        <v>168</v>
      </c>
      <c r="X4351" s="100" t="s">
        <v>169</v>
      </c>
      <c r="Y4351" s="101" t="s">
        <v>170</v>
      </c>
      <c r="Z4351" s="101" t="s">
        <v>171</v>
      </c>
      <c r="AA4351" s="101" t="s">
        <v>50</v>
      </c>
      <c r="AB4351" s="101" t="s">
        <v>172</v>
      </c>
      <c r="AC4351" s="102" t="s">
        <v>173</v>
      </c>
    </row>
    <row r="4352" spans="1:29" ht="25.5" customHeight="1" x14ac:dyDescent="0.35">
      <c r="A4352" s="392"/>
      <c r="B4352" s="393"/>
      <c r="C4352" s="99" t="str">
        <f>IF(B4352="","",IF(NOT(ISNUMBER(B4352)),"DATA_PC invalida",IF(NOT(ISNUMBER(parametros!$C$2)),"Fora dos ciclos",IF(OR(B4352&lt;parametros!$C$2,(YEAR(B4352)-YEAR(parametros!$C$2))*12+MONTH(B4352)-MONTH(parametros!$C$2)&gt;59),"Fora dos ciclos","C"&amp;INT(((YEAR(B4352)-YEAR(parametros!$C$2))*12+MONTH(B4352)-MONTH(parametros!$C$2))/12)))))</f>
        <v/>
      </c>
      <c r="D4352" s="394"/>
      <c r="E4352" s="78" t="str">
        <f>IF(C4352="","",IFERROR(VLOOKUP(C4352,parametros!$A$11:$E$15,5,0),""))</f>
        <v/>
      </c>
      <c r="F4352" s="79" t="str">
        <f t="shared" si="337"/>
        <v/>
      </c>
      <c r="G4352" s="395"/>
      <c r="H4352" s="91">
        <f t="shared" si="338"/>
        <v>0</v>
      </c>
      <c r="I4352" s="91" t="str">
        <f t="shared" si="339"/>
        <v/>
      </c>
      <c r="J4352" s="91" t="str">
        <f t="shared" si="340"/>
        <v/>
      </c>
      <c r="K4352" s="92" t="str">
        <f>IF(AND(A4352="",B4352="",D4352="",G4352=""),"",IF(AND(A4352&lt;&gt;"",COUNTIF($A$2:$A$5001,A4352)&gt;1),"NUMERO_PC duplicado",IF(B4352="","DATA_PC vazia",IF(NOT(ISNUMBER(B4352)),"DATA_PC invalida",IF(OR(C4352="",C4352="Fora dos ciclos"),"CICLO_PC nao identificado",IF(OR(D4352="",D4352=0),"VALOR_PC vazio ou zero",IF(AND(G4352&lt;&gt;"Sim",G4352&lt;&gt;"Nao",G4352&lt;&gt;""),"PC_PAGO_A_CONTRATADA invalido",IF(AND(C4352&lt;&gt;"C0",IFERROR(INDEX(parametros!$A$2:$A$6,MATCH(C4352,parametros!$B$2:$B$6,0)),"")="Sim",IFERROR(INDEX(parametros!$H$2:$H$6,MATCH(C4352,parametros!$B$2:$B$6,0)),"")=""),"INICIO_EFEITO ausente: PC "&amp;A4352&amp;" - "&amp;C4352,IF(L4352="","EFEITO_PC nao calculado: PC "&amp;A4352&amp;" - "&amp;C4352,"OK")))))))))</f>
        <v/>
      </c>
      <c r="L4352" s="92" t="str">
        <f>IF(AND(A4352="",B4352="",D4352="",G4352=""),"",IF(OR(B4352="",NOT(ISNUMBER(B4352)),C4352="",C4352="Fora dos ciclos"),"",IF(C4352="C0","Nao",IF(IFERROR(INDEX(parametros!$A$2:$A$6,MATCH(C4352,parametros!$B$2:$B$6,0)),"")&lt;&gt;"Sim","Nao",IF(IFERROR(INDEX(parametros!$H$2:$H$6,MATCH(C4352,parametros!$B$2:$B$6,0)),"")="","",IF(B4352&gt;=IFERROR(INDEX(parametros!$H$2:$H$6,MATCH(C4352,parametros!$B$2:$B$6,0)),""),"Sim","Nao"))))))</f>
        <v/>
      </c>
      <c r="T4352" s="156"/>
      <c r="U4352" s="214" t="str">
        <f t="shared" si="341"/>
        <v/>
      </c>
      <c r="V4352" s="212" t="s">
        <v>50</v>
      </c>
      <c r="W4352" s="100" t="s">
        <v>168</v>
      </c>
      <c r="X4352" s="100" t="s">
        <v>169</v>
      </c>
      <c r="Y4352" s="101" t="s">
        <v>170</v>
      </c>
      <c r="Z4352" s="101" t="s">
        <v>171</v>
      </c>
      <c r="AA4352" s="101" t="s">
        <v>50</v>
      </c>
      <c r="AB4352" s="101" t="s">
        <v>172</v>
      </c>
      <c r="AC4352" s="102" t="s">
        <v>173</v>
      </c>
    </row>
    <row r="4353" spans="1:29" ht="25.5" customHeight="1" x14ac:dyDescent="0.35">
      <c r="A4353" s="392"/>
      <c r="B4353" s="393"/>
      <c r="C4353" s="99" t="str">
        <f>IF(B4353="","",IF(NOT(ISNUMBER(B4353)),"DATA_PC invalida",IF(NOT(ISNUMBER(parametros!$C$2)),"Fora dos ciclos",IF(OR(B4353&lt;parametros!$C$2,(YEAR(B4353)-YEAR(parametros!$C$2))*12+MONTH(B4353)-MONTH(parametros!$C$2)&gt;59),"Fora dos ciclos","C"&amp;INT(((YEAR(B4353)-YEAR(parametros!$C$2))*12+MONTH(B4353)-MONTH(parametros!$C$2))/12)))))</f>
        <v/>
      </c>
      <c r="D4353" s="394"/>
      <c r="E4353" s="78" t="str">
        <f>IF(C4353="","",IFERROR(VLOOKUP(C4353,parametros!$A$11:$E$15,5,0),""))</f>
        <v/>
      </c>
      <c r="F4353" s="79" t="str">
        <f t="shared" si="337"/>
        <v/>
      </c>
      <c r="G4353" s="395"/>
      <c r="H4353" s="91">
        <f t="shared" si="338"/>
        <v>0</v>
      </c>
      <c r="I4353" s="91" t="str">
        <f t="shared" si="339"/>
        <v/>
      </c>
      <c r="J4353" s="91" t="str">
        <f t="shared" si="340"/>
        <v/>
      </c>
      <c r="K4353" s="92" t="str">
        <f>IF(AND(A4353="",B4353="",D4353="",G4353=""),"",IF(AND(A4353&lt;&gt;"",COUNTIF($A$2:$A$5001,A4353)&gt;1),"NUMERO_PC duplicado",IF(B4353="","DATA_PC vazia",IF(NOT(ISNUMBER(B4353)),"DATA_PC invalida",IF(OR(C4353="",C4353="Fora dos ciclos"),"CICLO_PC nao identificado",IF(OR(D4353="",D4353=0),"VALOR_PC vazio ou zero",IF(AND(G4353&lt;&gt;"Sim",G4353&lt;&gt;"Nao",G4353&lt;&gt;""),"PC_PAGO_A_CONTRATADA invalido",IF(AND(C4353&lt;&gt;"C0",IFERROR(INDEX(parametros!$A$2:$A$6,MATCH(C4353,parametros!$B$2:$B$6,0)),"")="Sim",IFERROR(INDEX(parametros!$H$2:$H$6,MATCH(C4353,parametros!$B$2:$B$6,0)),"")=""),"INICIO_EFEITO ausente: PC "&amp;A4353&amp;" - "&amp;C4353,IF(L4353="","EFEITO_PC nao calculado: PC "&amp;A4353&amp;" - "&amp;C4353,"OK")))))))))</f>
        <v/>
      </c>
      <c r="L4353" s="92" t="str">
        <f>IF(AND(A4353="",B4353="",D4353="",G4353=""),"",IF(OR(B4353="",NOT(ISNUMBER(B4353)),C4353="",C4353="Fora dos ciclos"),"",IF(C4353="C0","Nao",IF(IFERROR(INDEX(parametros!$A$2:$A$6,MATCH(C4353,parametros!$B$2:$B$6,0)),"")&lt;&gt;"Sim","Nao",IF(IFERROR(INDEX(parametros!$H$2:$H$6,MATCH(C4353,parametros!$B$2:$B$6,0)),"")="","",IF(B4353&gt;=IFERROR(INDEX(parametros!$H$2:$H$6,MATCH(C4353,parametros!$B$2:$B$6,0)),""),"Sim","Nao"))))))</f>
        <v/>
      </c>
      <c r="T4353" s="156"/>
      <c r="U4353" s="214" t="str">
        <f t="shared" si="341"/>
        <v/>
      </c>
      <c r="V4353" s="212" t="s">
        <v>50</v>
      </c>
      <c r="W4353" s="100" t="s">
        <v>168</v>
      </c>
      <c r="X4353" s="100" t="s">
        <v>169</v>
      </c>
      <c r="Y4353" s="101" t="s">
        <v>170</v>
      </c>
      <c r="Z4353" s="101" t="s">
        <v>171</v>
      </c>
      <c r="AA4353" s="101" t="s">
        <v>50</v>
      </c>
      <c r="AB4353" s="101" t="s">
        <v>172</v>
      </c>
      <c r="AC4353" s="102" t="s">
        <v>173</v>
      </c>
    </row>
    <row r="4354" spans="1:29" ht="25.5" customHeight="1" x14ac:dyDescent="0.35">
      <c r="A4354" s="392"/>
      <c r="B4354" s="393"/>
      <c r="C4354" s="99" t="str">
        <f>IF(B4354="","",IF(NOT(ISNUMBER(B4354)),"DATA_PC invalida",IF(NOT(ISNUMBER(parametros!$C$2)),"Fora dos ciclos",IF(OR(B4354&lt;parametros!$C$2,(YEAR(B4354)-YEAR(parametros!$C$2))*12+MONTH(B4354)-MONTH(parametros!$C$2)&gt;59),"Fora dos ciclos","C"&amp;INT(((YEAR(B4354)-YEAR(parametros!$C$2))*12+MONTH(B4354)-MONTH(parametros!$C$2))/12)))))</f>
        <v/>
      </c>
      <c r="D4354" s="394"/>
      <c r="E4354" s="78" t="str">
        <f>IF(C4354="","",IFERROR(VLOOKUP(C4354,parametros!$A$11:$E$15,5,0),""))</f>
        <v/>
      </c>
      <c r="F4354" s="79" t="str">
        <f t="shared" ref="F4354:F4417" si="342">IF(OR(D4354="",E4354=""),"",ROUND(D4354*E4354,2))</f>
        <v/>
      </c>
      <c r="G4354" s="395"/>
      <c r="H4354" s="91">
        <f t="shared" ref="H4354:H4417" si="343">IF(G4354="Sim",IF(OR(F4354="",D4354="",L4354=""),"",IF(L4354="Sim",ROUND(F4354-D4354,2),0)),0)</f>
        <v>0</v>
      </c>
      <c r="I4354" s="91" t="str">
        <f t="shared" ref="I4354:I4417" si="344">IF(G4354="Sim",0,IF(OR(F4354="",L4354=""),"",F4354))</f>
        <v/>
      </c>
      <c r="J4354" s="91" t="str">
        <f t="shared" ref="J4354:J4417" si="345">IF(G4354="Sim",0,IF(OR(F4354="",D4354="",L4354=""),"",IF(L4354="Sim",ROUND(F4354-D4354,2),0)))</f>
        <v/>
      </c>
      <c r="K4354" s="92" t="str">
        <f>IF(AND(A4354="",B4354="",D4354="",G4354=""),"",IF(AND(A4354&lt;&gt;"",COUNTIF($A$2:$A$5001,A4354)&gt;1),"NUMERO_PC duplicado",IF(B4354="","DATA_PC vazia",IF(NOT(ISNUMBER(B4354)),"DATA_PC invalida",IF(OR(C4354="",C4354="Fora dos ciclos"),"CICLO_PC nao identificado",IF(OR(D4354="",D4354=0),"VALOR_PC vazio ou zero",IF(AND(G4354&lt;&gt;"Sim",G4354&lt;&gt;"Nao",G4354&lt;&gt;""),"PC_PAGO_A_CONTRATADA invalido",IF(AND(C4354&lt;&gt;"C0",IFERROR(INDEX(parametros!$A$2:$A$6,MATCH(C4354,parametros!$B$2:$B$6,0)),"")="Sim",IFERROR(INDEX(parametros!$H$2:$H$6,MATCH(C4354,parametros!$B$2:$B$6,0)),"")=""),"INICIO_EFEITO ausente: PC "&amp;A4354&amp;" - "&amp;C4354,IF(L4354="","EFEITO_PC nao calculado: PC "&amp;A4354&amp;" - "&amp;C4354,"OK")))))))))</f>
        <v/>
      </c>
      <c r="L4354" s="92" t="str">
        <f>IF(AND(A4354="",B4354="",D4354="",G4354=""),"",IF(OR(B4354="",NOT(ISNUMBER(B4354)),C4354="",C4354="Fora dos ciclos"),"",IF(C4354="C0","Nao",IF(IFERROR(INDEX(parametros!$A$2:$A$6,MATCH(C4354,parametros!$B$2:$B$6,0)),"")&lt;&gt;"Sim","Nao",IF(IFERROR(INDEX(parametros!$H$2:$H$6,MATCH(C4354,parametros!$B$2:$B$6,0)),"")="","",IF(B4354&gt;=IFERROR(INDEX(parametros!$H$2:$H$6,MATCH(C4354,parametros!$B$2:$B$6,0)),""),"Sim","Nao"))))))</f>
        <v/>
      </c>
      <c r="T4354" s="156"/>
      <c r="U4354" s="214" t="str">
        <f t="shared" ref="U4354:U4417" si="346">IF(OR($D4354="",$H4354=""),"",ROUND($D4354+$H4354,2))</f>
        <v/>
      </c>
      <c r="V4354" s="212" t="s">
        <v>50</v>
      </c>
      <c r="W4354" s="100" t="s">
        <v>168</v>
      </c>
      <c r="X4354" s="100" t="s">
        <v>169</v>
      </c>
      <c r="Y4354" s="101" t="s">
        <v>170</v>
      </c>
      <c r="Z4354" s="101" t="s">
        <v>171</v>
      </c>
      <c r="AA4354" s="101" t="s">
        <v>50</v>
      </c>
      <c r="AB4354" s="101" t="s">
        <v>172</v>
      </c>
      <c r="AC4354" s="102" t="s">
        <v>173</v>
      </c>
    </row>
    <row r="4355" spans="1:29" ht="25.5" customHeight="1" x14ac:dyDescent="0.35">
      <c r="A4355" s="392"/>
      <c r="B4355" s="393"/>
      <c r="C4355" s="99" t="str">
        <f>IF(B4355="","",IF(NOT(ISNUMBER(B4355)),"DATA_PC invalida",IF(NOT(ISNUMBER(parametros!$C$2)),"Fora dos ciclos",IF(OR(B4355&lt;parametros!$C$2,(YEAR(B4355)-YEAR(parametros!$C$2))*12+MONTH(B4355)-MONTH(parametros!$C$2)&gt;59),"Fora dos ciclos","C"&amp;INT(((YEAR(B4355)-YEAR(parametros!$C$2))*12+MONTH(B4355)-MONTH(parametros!$C$2))/12)))))</f>
        <v/>
      </c>
      <c r="D4355" s="394"/>
      <c r="E4355" s="78" t="str">
        <f>IF(C4355="","",IFERROR(VLOOKUP(C4355,parametros!$A$11:$E$15,5,0),""))</f>
        <v/>
      </c>
      <c r="F4355" s="79" t="str">
        <f t="shared" si="342"/>
        <v/>
      </c>
      <c r="G4355" s="395"/>
      <c r="H4355" s="91">
        <f t="shared" si="343"/>
        <v>0</v>
      </c>
      <c r="I4355" s="91" t="str">
        <f t="shared" si="344"/>
        <v/>
      </c>
      <c r="J4355" s="91" t="str">
        <f t="shared" si="345"/>
        <v/>
      </c>
      <c r="K4355" s="92" t="str">
        <f>IF(AND(A4355="",B4355="",D4355="",G4355=""),"",IF(AND(A4355&lt;&gt;"",COUNTIF($A$2:$A$5001,A4355)&gt;1),"NUMERO_PC duplicado",IF(B4355="","DATA_PC vazia",IF(NOT(ISNUMBER(B4355)),"DATA_PC invalida",IF(OR(C4355="",C4355="Fora dos ciclos"),"CICLO_PC nao identificado",IF(OR(D4355="",D4355=0),"VALOR_PC vazio ou zero",IF(AND(G4355&lt;&gt;"Sim",G4355&lt;&gt;"Nao",G4355&lt;&gt;""),"PC_PAGO_A_CONTRATADA invalido",IF(AND(C4355&lt;&gt;"C0",IFERROR(INDEX(parametros!$A$2:$A$6,MATCH(C4355,parametros!$B$2:$B$6,0)),"")="Sim",IFERROR(INDEX(parametros!$H$2:$H$6,MATCH(C4355,parametros!$B$2:$B$6,0)),"")=""),"INICIO_EFEITO ausente: PC "&amp;A4355&amp;" - "&amp;C4355,IF(L4355="","EFEITO_PC nao calculado: PC "&amp;A4355&amp;" - "&amp;C4355,"OK")))))))))</f>
        <v/>
      </c>
      <c r="L4355" s="92" t="str">
        <f>IF(AND(A4355="",B4355="",D4355="",G4355=""),"",IF(OR(B4355="",NOT(ISNUMBER(B4355)),C4355="",C4355="Fora dos ciclos"),"",IF(C4355="C0","Nao",IF(IFERROR(INDEX(parametros!$A$2:$A$6,MATCH(C4355,parametros!$B$2:$B$6,0)),"")&lt;&gt;"Sim","Nao",IF(IFERROR(INDEX(parametros!$H$2:$H$6,MATCH(C4355,parametros!$B$2:$B$6,0)),"")="","",IF(B4355&gt;=IFERROR(INDEX(parametros!$H$2:$H$6,MATCH(C4355,parametros!$B$2:$B$6,0)),""),"Sim","Nao"))))))</f>
        <v/>
      </c>
      <c r="T4355" s="156"/>
      <c r="U4355" s="214" t="str">
        <f t="shared" si="346"/>
        <v/>
      </c>
      <c r="V4355" s="212" t="s">
        <v>50</v>
      </c>
      <c r="W4355" s="100" t="s">
        <v>168</v>
      </c>
      <c r="X4355" s="100" t="s">
        <v>169</v>
      </c>
      <c r="Y4355" s="101" t="s">
        <v>170</v>
      </c>
      <c r="Z4355" s="101" t="s">
        <v>171</v>
      </c>
      <c r="AA4355" s="101" t="s">
        <v>50</v>
      </c>
      <c r="AB4355" s="101" t="s">
        <v>172</v>
      </c>
      <c r="AC4355" s="102" t="s">
        <v>173</v>
      </c>
    </row>
    <row r="4356" spans="1:29" ht="25.5" customHeight="1" x14ac:dyDescent="0.35">
      <c r="A4356" s="392"/>
      <c r="B4356" s="393"/>
      <c r="C4356" s="99" t="str">
        <f>IF(B4356="","",IF(NOT(ISNUMBER(B4356)),"DATA_PC invalida",IF(NOT(ISNUMBER(parametros!$C$2)),"Fora dos ciclos",IF(OR(B4356&lt;parametros!$C$2,(YEAR(B4356)-YEAR(parametros!$C$2))*12+MONTH(B4356)-MONTH(parametros!$C$2)&gt;59),"Fora dos ciclos","C"&amp;INT(((YEAR(B4356)-YEAR(parametros!$C$2))*12+MONTH(B4356)-MONTH(parametros!$C$2))/12)))))</f>
        <v/>
      </c>
      <c r="D4356" s="394"/>
      <c r="E4356" s="78" t="str">
        <f>IF(C4356="","",IFERROR(VLOOKUP(C4356,parametros!$A$11:$E$15,5,0),""))</f>
        <v/>
      </c>
      <c r="F4356" s="79" t="str">
        <f t="shared" si="342"/>
        <v/>
      </c>
      <c r="G4356" s="395"/>
      <c r="H4356" s="91">
        <f t="shared" si="343"/>
        <v>0</v>
      </c>
      <c r="I4356" s="91" t="str">
        <f t="shared" si="344"/>
        <v/>
      </c>
      <c r="J4356" s="91" t="str">
        <f t="shared" si="345"/>
        <v/>
      </c>
      <c r="K4356" s="92" t="str">
        <f>IF(AND(A4356="",B4356="",D4356="",G4356=""),"",IF(AND(A4356&lt;&gt;"",COUNTIF($A$2:$A$5001,A4356)&gt;1),"NUMERO_PC duplicado",IF(B4356="","DATA_PC vazia",IF(NOT(ISNUMBER(B4356)),"DATA_PC invalida",IF(OR(C4356="",C4356="Fora dos ciclos"),"CICLO_PC nao identificado",IF(OR(D4356="",D4356=0),"VALOR_PC vazio ou zero",IF(AND(G4356&lt;&gt;"Sim",G4356&lt;&gt;"Nao",G4356&lt;&gt;""),"PC_PAGO_A_CONTRATADA invalido",IF(AND(C4356&lt;&gt;"C0",IFERROR(INDEX(parametros!$A$2:$A$6,MATCH(C4356,parametros!$B$2:$B$6,0)),"")="Sim",IFERROR(INDEX(parametros!$H$2:$H$6,MATCH(C4356,parametros!$B$2:$B$6,0)),"")=""),"INICIO_EFEITO ausente: PC "&amp;A4356&amp;" - "&amp;C4356,IF(L4356="","EFEITO_PC nao calculado: PC "&amp;A4356&amp;" - "&amp;C4356,"OK")))))))))</f>
        <v/>
      </c>
      <c r="L4356" s="92" t="str">
        <f>IF(AND(A4356="",B4356="",D4356="",G4356=""),"",IF(OR(B4356="",NOT(ISNUMBER(B4356)),C4356="",C4356="Fora dos ciclos"),"",IF(C4356="C0","Nao",IF(IFERROR(INDEX(parametros!$A$2:$A$6,MATCH(C4356,parametros!$B$2:$B$6,0)),"")&lt;&gt;"Sim","Nao",IF(IFERROR(INDEX(parametros!$H$2:$H$6,MATCH(C4356,parametros!$B$2:$B$6,0)),"")="","",IF(B4356&gt;=IFERROR(INDEX(parametros!$H$2:$H$6,MATCH(C4356,parametros!$B$2:$B$6,0)),""),"Sim","Nao"))))))</f>
        <v/>
      </c>
      <c r="T4356" s="156"/>
      <c r="U4356" s="214" t="str">
        <f t="shared" si="346"/>
        <v/>
      </c>
      <c r="V4356" s="212" t="s">
        <v>50</v>
      </c>
      <c r="W4356" s="100" t="s">
        <v>168</v>
      </c>
      <c r="X4356" s="100" t="s">
        <v>169</v>
      </c>
      <c r="Y4356" s="101" t="s">
        <v>170</v>
      </c>
      <c r="Z4356" s="101" t="s">
        <v>171</v>
      </c>
      <c r="AA4356" s="101" t="s">
        <v>50</v>
      </c>
      <c r="AB4356" s="101" t="s">
        <v>172</v>
      </c>
      <c r="AC4356" s="102" t="s">
        <v>173</v>
      </c>
    </row>
    <row r="4357" spans="1:29" ht="25.5" customHeight="1" x14ac:dyDescent="0.35">
      <c r="A4357" s="392"/>
      <c r="B4357" s="393"/>
      <c r="C4357" s="99" t="str">
        <f>IF(B4357="","",IF(NOT(ISNUMBER(B4357)),"DATA_PC invalida",IF(NOT(ISNUMBER(parametros!$C$2)),"Fora dos ciclos",IF(OR(B4357&lt;parametros!$C$2,(YEAR(B4357)-YEAR(parametros!$C$2))*12+MONTH(B4357)-MONTH(parametros!$C$2)&gt;59),"Fora dos ciclos","C"&amp;INT(((YEAR(B4357)-YEAR(parametros!$C$2))*12+MONTH(B4357)-MONTH(parametros!$C$2))/12)))))</f>
        <v/>
      </c>
      <c r="D4357" s="394"/>
      <c r="E4357" s="78" t="str">
        <f>IF(C4357="","",IFERROR(VLOOKUP(C4357,parametros!$A$11:$E$15,5,0),""))</f>
        <v/>
      </c>
      <c r="F4357" s="79" t="str">
        <f t="shared" si="342"/>
        <v/>
      </c>
      <c r="G4357" s="395"/>
      <c r="H4357" s="91">
        <f t="shared" si="343"/>
        <v>0</v>
      </c>
      <c r="I4357" s="91" t="str">
        <f t="shared" si="344"/>
        <v/>
      </c>
      <c r="J4357" s="91" t="str">
        <f t="shared" si="345"/>
        <v/>
      </c>
      <c r="K4357" s="92" t="str">
        <f>IF(AND(A4357="",B4357="",D4357="",G4357=""),"",IF(AND(A4357&lt;&gt;"",COUNTIF($A$2:$A$5001,A4357)&gt;1),"NUMERO_PC duplicado",IF(B4357="","DATA_PC vazia",IF(NOT(ISNUMBER(B4357)),"DATA_PC invalida",IF(OR(C4357="",C4357="Fora dos ciclos"),"CICLO_PC nao identificado",IF(OR(D4357="",D4357=0),"VALOR_PC vazio ou zero",IF(AND(G4357&lt;&gt;"Sim",G4357&lt;&gt;"Nao",G4357&lt;&gt;""),"PC_PAGO_A_CONTRATADA invalido",IF(AND(C4357&lt;&gt;"C0",IFERROR(INDEX(parametros!$A$2:$A$6,MATCH(C4357,parametros!$B$2:$B$6,0)),"")="Sim",IFERROR(INDEX(parametros!$H$2:$H$6,MATCH(C4357,parametros!$B$2:$B$6,0)),"")=""),"INICIO_EFEITO ausente: PC "&amp;A4357&amp;" - "&amp;C4357,IF(L4357="","EFEITO_PC nao calculado: PC "&amp;A4357&amp;" - "&amp;C4357,"OK")))))))))</f>
        <v/>
      </c>
      <c r="L4357" s="92" t="str">
        <f>IF(AND(A4357="",B4357="",D4357="",G4357=""),"",IF(OR(B4357="",NOT(ISNUMBER(B4357)),C4357="",C4357="Fora dos ciclos"),"",IF(C4357="C0","Nao",IF(IFERROR(INDEX(parametros!$A$2:$A$6,MATCH(C4357,parametros!$B$2:$B$6,0)),"")&lt;&gt;"Sim","Nao",IF(IFERROR(INDEX(parametros!$H$2:$H$6,MATCH(C4357,parametros!$B$2:$B$6,0)),"")="","",IF(B4357&gt;=IFERROR(INDEX(parametros!$H$2:$H$6,MATCH(C4357,parametros!$B$2:$B$6,0)),""),"Sim","Nao"))))))</f>
        <v/>
      </c>
      <c r="T4357" s="156"/>
      <c r="U4357" s="214" t="str">
        <f t="shared" si="346"/>
        <v/>
      </c>
      <c r="V4357" s="212" t="s">
        <v>50</v>
      </c>
      <c r="W4357" s="100" t="s">
        <v>168</v>
      </c>
      <c r="X4357" s="100" t="s">
        <v>169</v>
      </c>
      <c r="Y4357" s="101" t="s">
        <v>170</v>
      </c>
      <c r="Z4357" s="101" t="s">
        <v>171</v>
      </c>
      <c r="AA4357" s="101" t="s">
        <v>50</v>
      </c>
      <c r="AB4357" s="101" t="s">
        <v>172</v>
      </c>
      <c r="AC4357" s="102" t="s">
        <v>173</v>
      </c>
    </row>
    <row r="4358" spans="1:29" ht="25.5" customHeight="1" x14ac:dyDescent="0.35">
      <c r="A4358" s="392"/>
      <c r="B4358" s="393"/>
      <c r="C4358" s="99" t="str">
        <f>IF(B4358="","",IF(NOT(ISNUMBER(B4358)),"DATA_PC invalida",IF(NOT(ISNUMBER(parametros!$C$2)),"Fora dos ciclos",IF(OR(B4358&lt;parametros!$C$2,(YEAR(B4358)-YEAR(parametros!$C$2))*12+MONTH(B4358)-MONTH(parametros!$C$2)&gt;59),"Fora dos ciclos","C"&amp;INT(((YEAR(B4358)-YEAR(parametros!$C$2))*12+MONTH(B4358)-MONTH(parametros!$C$2))/12)))))</f>
        <v/>
      </c>
      <c r="D4358" s="394"/>
      <c r="E4358" s="78" t="str">
        <f>IF(C4358="","",IFERROR(VLOOKUP(C4358,parametros!$A$11:$E$15,5,0),""))</f>
        <v/>
      </c>
      <c r="F4358" s="79" t="str">
        <f t="shared" si="342"/>
        <v/>
      </c>
      <c r="G4358" s="395"/>
      <c r="H4358" s="91">
        <f t="shared" si="343"/>
        <v>0</v>
      </c>
      <c r="I4358" s="91" t="str">
        <f t="shared" si="344"/>
        <v/>
      </c>
      <c r="J4358" s="91" t="str">
        <f t="shared" si="345"/>
        <v/>
      </c>
      <c r="K4358" s="92" t="str">
        <f>IF(AND(A4358="",B4358="",D4358="",G4358=""),"",IF(AND(A4358&lt;&gt;"",COUNTIF($A$2:$A$5001,A4358)&gt;1),"NUMERO_PC duplicado",IF(B4358="","DATA_PC vazia",IF(NOT(ISNUMBER(B4358)),"DATA_PC invalida",IF(OR(C4358="",C4358="Fora dos ciclos"),"CICLO_PC nao identificado",IF(OR(D4358="",D4358=0),"VALOR_PC vazio ou zero",IF(AND(G4358&lt;&gt;"Sim",G4358&lt;&gt;"Nao",G4358&lt;&gt;""),"PC_PAGO_A_CONTRATADA invalido",IF(AND(C4358&lt;&gt;"C0",IFERROR(INDEX(parametros!$A$2:$A$6,MATCH(C4358,parametros!$B$2:$B$6,0)),"")="Sim",IFERROR(INDEX(parametros!$H$2:$H$6,MATCH(C4358,parametros!$B$2:$B$6,0)),"")=""),"INICIO_EFEITO ausente: PC "&amp;A4358&amp;" - "&amp;C4358,IF(L4358="","EFEITO_PC nao calculado: PC "&amp;A4358&amp;" - "&amp;C4358,"OK")))))))))</f>
        <v/>
      </c>
      <c r="L4358" s="92" t="str">
        <f>IF(AND(A4358="",B4358="",D4358="",G4358=""),"",IF(OR(B4358="",NOT(ISNUMBER(B4358)),C4358="",C4358="Fora dos ciclos"),"",IF(C4358="C0","Nao",IF(IFERROR(INDEX(parametros!$A$2:$A$6,MATCH(C4358,parametros!$B$2:$B$6,0)),"")&lt;&gt;"Sim","Nao",IF(IFERROR(INDEX(parametros!$H$2:$H$6,MATCH(C4358,parametros!$B$2:$B$6,0)),"")="","",IF(B4358&gt;=IFERROR(INDEX(parametros!$H$2:$H$6,MATCH(C4358,parametros!$B$2:$B$6,0)),""),"Sim","Nao"))))))</f>
        <v/>
      </c>
      <c r="T4358" s="156"/>
      <c r="U4358" s="214" t="str">
        <f t="shared" si="346"/>
        <v/>
      </c>
      <c r="V4358" s="212" t="s">
        <v>50</v>
      </c>
      <c r="W4358" s="100" t="s">
        <v>168</v>
      </c>
      <c r="X4358" s="100" t="s">
        <v>169</v>
      </c>
      <c r="Y4358" s="101" t="s">
        <v>170</v>
      </c>
      <c r="Z4358" s="101" t="s">
        <v>171</v>
      </c>
      <c r="AA4358" s="101" t="s">
        <v>50</v>
      </c>
      <c r="AB4358" s="101" t="s">
        <v>172</v>
      </c>
      <c r="AC4358" s="102" t="s">
        <v>173</v>
      </c>
    </row>
    <row r="4359" spans="1:29" ht="25.5" customHeight="1" x14ac:dyDescent="0.35">
      <c r="A4359" s="392"/>
      <c r="B4359" s="393"/>
      <c r="C4359" s="99" t="str">
        <f>IF(B4359="","",IF(NOT(ISNUMBER(B4359)),"DATA_PC invalida",IF(NOT(ISNUMBER(parametros!$C$2)),"Fora dos ciclos",IF(OR(B4359&lt;parametros!$C$2,(YEAR(B4359)-YEAR(parametros!$C$2))*12+MONTH(B4359)-MONTH(parametros!$C$2)&gt;59),"Fora dos ciclos","C"&amp;INT(((YEAR(B4359)-YEAR(parametros!$C$2))*12+MONTH(B4359)-MONTH(parametros!$C$2))/12)))))</f>
        <v/>
      </c>
      <c r="D4359" s="394"/>
      <c r="E4359" s="78" t="str">
        <f>IF(C4359="","",IFERROR(VLOOKUP(C4359,parametros!$A$11:$E$15,5,0),""))</f>
        <v/>
      </c>
      <c r="F4359" s="79" t="str">
        <f t="shared" si="342"/>
        <v/>
      </c>
      <c r="G4359" s="395"/>
      <c r="H4359" s="91">
        <f t="shared" si="343"/>
        <v>0</v>
      </c>
      <c r="I4359" s="91" t="str">
        <f t="shared" si="344"/>
        <v/>
      </c>
      <c r="J4359" s="91" t="str">
        <f t="shared" si="345"/>
        <v/>
      </c>
      <c r="K4359" s="92" t="str">
        <f>IF(AND(A4359="",B4359="",D4359="",G4359=""),"",IF(AND(A4359&lt;&gt;"",COUNTIF($A$2:$A$5001,A4359)&gt;1),"NUMERO_PC duplicado",IF(B4359="","DATA_PC vazia",IF(NOT(ISNUMBER(B4359)),"DATA_PC invalida",IF(OR(C4359="",C4359="Fora dos ciclos"),"CICLO_PC nao identificado",IF(OR(D4359="",D4359=0),"VALOR_PC vazio ou zero",IF(AND(G4359&lt;&gt;"Sim",G4359&lt;&gt;"Nao",G4359&lt;&gt;""),"PC_PAGO_A_CONTRATADA invalido",IF(AND(C4359&lt;&gt;"C0",IFERROR(INDEX(parametros!$A$2:$A$6,MATCH(C4359,parametros!$B$2:$B$6,0)),"")="Sim",IFERROR(INDEX(parametros!$H$2:$H$6,MATCH(C4359,parametros!$B$2:$B$6,0)),"")=""),"INICIO_EFEITO ausente: PC "&amp;A4359&amp;" - "&amp;C4359,IF(L4359="","EFEITO_PC nao calculado: PC "&amp;A4359&amp;" - "&amp;C4359,"OK")))))))))</f>
        <v/>
      </c>
      <c r="L4359" s="92" t="str">
        <f>IF(AND(A4359="",B4359="",D4359="",G4359=""),"",IF(OR(B4359="",NOT(ISNUMBER(B4359)),C4359="",C4359="Fora dos ciclos"),"",IF(C4359="C0","Nao",IF(IFERROR(INDEX(parametros!$A$2:$A$6,MATCH(C4359,parametros!$B$2:$B$6,0)),"")&lt;&gt;"Sim","Nao",IF(IFERROR(INDEX(parametros!$H$2:$H$6,MATCH(C4359,parametros!$B$2:$B$6,0)),"")="","",IF(B4359&gt;=IFERROR(INDEX(parametros!$H$2:$H$6,MATCH(C4359,parametros!$B$2:$B$6,0)),""),"Sim","Nao"))))))</f>
        <v/>
      </c>
      <c r="T4359" s="156"/>
      <c r="U4359" s="214" t="str">
        <f t="shared" si="346"/>
        <v/>
      </c>
      <c r="V4359" s="212" t="s">
        <v>50</v>
      </c>
      <c r="W4359" s="100" t="s">
        <v>168</v>
      </c>
      <c r="X4359" s="100" t="s">
        <v>169</v>
      </c>
      <c r="Y4359" s="101" t="s">
        <v>170</v>
      </c>
      <c r="Z4359" s="101" t="s">
        <v>171</v>
      </c>
      <c r="AA4359" s="101" t="s">
        <v>50</v>
      </c>
      <c r="AB4359" s="101" t="s">
        <v>172</v>
      </c>
      <c r="AC4359" s="102" t="s">
        <v>173</v>
      </c>
    </row>
    <row r="4360" spans="1:29" ht="25.5" customHeight="1" x14ac:dyDescent="0.35">
      <c r="A4360" s="392"/>
      <c r="B4360" s="393"/>
      <c r="C4360" s="99" t="str">
        <f>IF(B4360="","",IF(NOT(ISNUMBER(B4360)),"DATA_PC invalida",IF(NOT(ISNUMBER(parametros!$C$2)),"Fora dos ciclos",IF(OR(B4360&lt;parametros!$C$2,(YEAR(B4360)-YEAR(parametros!$C$2))*12+MONTH(B4360)-MONTH(parametros!$C$2)&gt;59),"Fora dos ciclos","C"&amp;INT(((YEAR(B4360)-YEAR(parametros!$C$2))*12+MONTH(B4360)-MONTH(parametros!$C$2))/12)))))</f>
        <v/>
      </c>
      <c r="D4360" s="394"/>
      <c r="E4360" s="78" t="str">
        <f>IF(C4360="","",IFERROR(VLOOKUP(C4360,parametros!$A$11:$E$15,5,0),""))</f>
        <v/>
      </c>
      <c r="F4360" s="79" t="str">
        <f t="shared" si="342"/>
        <v/>
      </c>
      <c r="G4360" s="395"/>
      <c r="H4360" s="91">
        <f t="shared" si="343"/>
        <v>0</v>
      </c>
      <c r="I4360" s="91" t="str">
        <f t="shared" si="344"/>
        <v/>
      </c>
      <c r="J4360" s="91" t="str">
        <f t="shared" si="345"/>
        <v/>
      </c>
      <c r="K4360" s="92" t="str">
        <f>IF(AND(A4360="",B4360="",D4360="",G4360=""),"",IF(AND(A4360&lt;&gt;"",COUNTIF($A$2:$A$5001,A4360)&gt;1),"NUMERO_PC duplicado",IF(B4360="","DATA_PC vazia",IF(NOT(ISNUMBER(B4360)),"DATA_PC invalida",IF(OR(C4360="",C4360="Fora dos ciclos"),"CICLO_PC nao identificado",IF(OR(D4360="",D4360=0),"VALOR_PC vazio ou zero",IF(AND(G4360&lt;&gt;"Sim",G4360&lt;&gt;"Nao",G4360&lt;&gt;""),"PC_PAGO_A_CONTRATADA invalido",IF(AND(C4360&lt;&gt;"C0",IFERROR(INDEX(parametros!$A$2:$A$6,MATCH(C4360,parametros!$B$2:$B$6,0)),"")="Sim",IFERROR(INDEX(parametros!$H$2:$H$6,MATCH(C4360,parametros!$B$2:$B$6,0)),"")=""),"INICIO_EFEITO ausente: PC "&amp;A4360&amp;" - "&amp;C4360,IF(L4360="","EFEITO_PC nao calculado: PC "&amp;A4360&amp;" - "&amp;C4360,"OK")))))))))</f>
        <v/>
      </c>
      <c r="L4360" s="92" t="str">
        <f>IF(AND(A4360="",B4360="",D4360="",G4360=""),"",IF(OR(B4360="",NOT(ISNUMBER(B4360)),C4360="",C4360="Fora dos ciclos"),"",IF(C4360="C0","Nao",IF(IFERROR(INDEX(parametros!$A$2:$A$6,MATCH(C4360,parametros!$B$2:$B$6,0)),"")&lt;&gt;"Sim","Nao",IF(IFERROR(INDEX(parametros!$H$2:$H$6,MATCH(C4360,parametros!$B$2:$B$6,0)),"")="","",IF(B4360&gt;=IFERROR(INDEX(parametros!$H$2:$H$6,MATCH(C4360,parametros!$B$2:$B$6,0)),""),"Sim","Nao"))))))</f>
        <v/>
      </c>
      <c r="T4360" s="156"/>
      <c r="U4360" s="214" t="str">
        <f t="shared" si="346"/>
        <v/>
      </c>
      <c r="V4360" s="212" t="s">
        <v>50</v>
      </c>
      <c r="W4360" s="100" t="s">
        <v>168</v>
      </c>
      <c r="X4360" s="100" t="s">
        <v>169</v>
      </c>
      <c r="Y4360" s="101" t="s">
        <v>170</v>
      </c>
      <c r="Z4360" s="101" t="s">
        <v>171</v>
      </c>
      <c r="AA4360" s="101" t="s">
        <v>50</v>
      </c>
      <c r="AB4360" s="101" t="s">
        <v>172</v>
      </c>
      <c r="AC4360" s="102" t="s">
        <v>173</v>
      </c>
    </row>
    <row r="4361" spans="1:29" ht="25.5" customHeight="1" x14ac:dyDescent="0.35">
      <c r="A4361" s="392"/>
      <c r="B4361" s="393"/>
      <c r="C4361" s="99" t="str">
        <f>IF(B4361="","",IF(NOT(ISNUMBER(B4361)),"DATA_PC invalida",IF(NOT(ISNUMBER(parametros!$C$2)),"Fora dos ciclos",IF(OR(B4361&lt;parametros!$C$2,(YEAR(B4361)-YEAR(parametros!$C$2))*12+MONTH(B4361)-MONTH(parametros!$C$2)&gt;59),"Fora dos ciclos","C"&amp;INT(((YEAR(B4361)-YEAR(parametros!$C$2))*12+MONTH(B4361)-MONTH(parametros!$C$2))/12)))))</f>
        <v/>
      </c>
      <c r="D4361" s="394"/>
      <c r="E4361" s="78" t="str">
        <f>IF(C4361="","",IFERROR(VLOOKUP(C4361,parametros!$A$11:$E$15,5,0),""))</f>
        <v/>
      </c>
      <c r="F4361" s="79" t="str">
        <f t="shared" si="342"/>
        <v/>
      </c>
      <c r="G4361" s="395"/>
      <c r="H4361" s="91">
        <f t="shared" si="343"/>
        <v>0</v>
      </c>
      <c r="I4361" s="91" t="str">
        <f t="shared" si="344"/>
        <v/>
      </c>
      <c r="J4361" s="91" t="str">
        <f t="shared" si="345"/>
        <v/>
      </c>
      <c r="K4361" s="92" t="str">
        <f>IF(AND(A4361="",B4361="",D4361="",G4361=""),"",IF(AND(A4361&lt;&gt;"",COUNTIF($A$2:$A$5001,A4361)&gt;1),"NUMERO_PC duplicado",IF(B4361="","DATA_PC vazia",IF(NOT(ISNUMBER(B4361)),"DATA_PC invalida",IF(OR(C4361="",C4361="Fora dos ciclos"),"CICLO_PC nao identificado",IF(OR(D4361="",D4361=0),"VALOR_PC vazio ou zero",IF(AND(G4361&lt;&gt;"Sim",G4361&lt;&gt;"Nao",G4361&lt;&gt;""),"PC_PAGO_A_CONTRATADA invalido",IF(AND(C4361&lt;&gt;"C0",IFERROR(INDEX(parametros!$A$2:$A$6,MATCH(C4361,parametros!$B$2:$B$6,0)),"")="Sim",IFERROR(INDEX(parametros!$H$2:$H$6,MATCH(C4361,parametros!$B$2:$B$6,0)),"")=""),"INICIO_EFEITO ausente: PC "&amp;A4361&amp;" - "&amp;C4361,IF(L4361="","EFEITO_PC nao calculado: PC "&amp;A4361&amp;" - "&amp;C4361,"OK")))))))))</f>
        <v/>
      </c>
      <c r="L4361" s="92" t="str">
        <f>IF(AND(A4361="",B4361="",D4361="",G4361=""),"",IF(OR(B4361="",NOT(ISNUMBER(B4361)),C4361="",C4361="Fora dos ciclos"),"",IF(C4361="C0","Nao",IF(IFERROR(INDEX(parametros!$A$2:$A$6,MATCH(C4361,parametros!$B$2:$B$6,0)),"")&lt;&gt;"Sim","Nao",IF(IFERROR(INDEX(parametros!$H$2:$H$6,MATCH(C4361,parametros!$B$2:$B$6,0)),"")="","",IF(B4361&gt;=IFERROR(INDEX(parametros!$H$2:$H$6,MATCH(C4361,parametros!$B$2:$B$6,0)),""),"Sim","Nao"))))))</f>
        <v/>
      </c>
      <c r="T4361" s="156"/>
      <c r="U4361" s="214" t="str">
        <f t="shared" si="346"/>
        <v/>
      </c>
      <c r="V4361" s="212" t="s">
        <v>50</v>
      </c>
      <c r="W4361" s="100" t="s">
        <v>168</v>
      </c>
      <c r="X4361" s="100" t="s">
        <v>169</v>
      </c>
      <c r="Y4361" s="101" t="s">
        <v>170</v>
      </c>
      <c r="Z4361" s="101" t="s">
        <v>171</v>
      </c>
      <c r="AA4361" s="101" t="s">
        <v>50</v>
      </c>
      <c r="AB4361" s="101" t="s">
        <v>172</v>
      </c>
      <c r="AC4361" s="102" t="s">
        <v>173</v>
      </c>
    </row>
    <row r="4362" spans="1:29" ht="25.5" customHeight="1" x14ac:dyDescent="0.35">
      <c r="A4362" s="392"/>
      <c r="B4362" s="393"/>
      <c r="C4362" s="99" t="str">
        <f>IF(B4362="","",IF(NOT(ISNUMBER(B4362)),"DATA_PC invalida",IF(NOT(ISNUMBER(parametros!$C$2)),"Fora dos ciclos",IF(OR(B4362&lt;parametros!$C$2,(YEAR(B4362)-YEAR(parametros!$C$2))*12+MONTH(B4362)-MONTH(parametros!$C$2)&gt;59),"Fora dos ciclos","C"&amp;INT(((YEAR(B4362)-YEAR(parametros!$C$2))*12+MONTH(B4362)-MONTH(parametros!$C$2))/12)))))</f>
        <v/>
      </c>
      <c r="D4362" s="394"/>
      <c r="E4362" s="78" t="str">
        <f>IF(C4362="","",IFERROR(VLOOKUP(C4362,parametros!$A$11:$E$15,5,0),""))</f>
        <v/>
      </c>
      <c r="F4362" s="79" t="str">
        <f t="shared" si="342"/>
        <v/>
      </c>
      <c r="G4362" s="395"/>
      <c r="H4362" s="91">
        <f t="shared" si="343"/>
        <v>0</v>
      </c>
      <c r="I4362" s="91" t="str">
        <f t="shared" si="344"/>
        <v/>
      </c>
      <c r="J4362" s="91" t="str">
        <f t="shared" si="345"/>
        <v/>
      </c>
      <c r="K4362" s="92" t="str">
        <f>IF(AND(A4362="",B4362="",D4362="",G4362=""),"",IF(AND(A4362&lt;&gt;"",COUNTIF($A$2:$A$5001,A4362)&gt;1),"NUMERO_PC duplicado",IF(B4362="","DATA_PC vazia",IF(NOT(ISNUMBER(B4362)),"DATA_PC invalida",IF(OR(C4362="",C4362="Fora dos ciclos"),"CICLO_PC nao identificado",IF(OR(D4362="",D4362=0),"VALOR_PC vazio ou zero",IF(AND(G4362&lt;&gt;"Sim",G4362&lt;&gt;"Nao",G4362&lt;&gt;""),"PC_PAGO_A_CONTRATADA invalido",IF(AND(C4362&lt;&gt;"C0",IFERROR(INDEX(parametros!$A$2:$A$6,MATCH(C4362,parametros!$B$2:$B$6,0)),"")="Sim",IFERROR(INDEX(parametros!$H$2:$H$6,MATCH(C4362,parametros!$B$2:$B$6,0)),"")=""),"INICIO_EFEITO ausente: PC "&amp;A4362&amp;" - "&amp;C4362,IF(L4362="","EFEITO_PC nao calculado: PC "&amp;A4362&amp;" - "&amp;C4362,"OK")))))))))</f>
        <v/>
      </c>
      <c r="L4362" s="92" t="str">
        <f>IF(AND(A4362="",B4362="",D4362="",G4362=""),"",IF(OR(B4362="",NOT(ISNUMBER(B4362)),C4362="",C4362="Fora dos ciclos"),"",IF(C4362="C0","Nao",IF(IFERROR(INDEX(parametros!$A$2:$A$6,MATCH(C4362,parametros!$B$2:$B$6,0)),"")&lt;&gt;"Sim","Nao",IF(IFERROR(INDEX(parametros!$H$2:$H$6,MATCH(C4362,parametros!$B$2:$B$6,0)),"")="","",IF(B4362&gt;=IFERROR(INDEX(parametros!$H$2:$H$6,MATCH(C4362,parametros!$B$2:$B$6,0)),""),"Sim","Nao"))))))</f>
        <v/>
      </c>
      <c r="T4362" s="156"/>
      <c r="U4362" s="214" t="str">
        <f t="shared" si="346"/>
        <v/>
      </c>
      <c r="V4362" s="212" t="s">
        <v>50</v>
      </c>
      <c r="W4362" s="100" t="s">
        <v>168</v>
      </c>
      <c r="X4362" s="100" t="s">
        <v>169</v>
      </c>
      <c r="Y4362" s="101" t="s">
        <v>170</v>
      </c>
      <c r="Z4362" s="101" t="s">
        <v>171</v>
      </c>
      <c r="AA4362" s="101" t="s">
        <v>50</v>
      </c>
      <c r="AB4362" s="101" t="s">
        <v>172</v>
      </c>
      <c r="AC4362" s="102" t="s">
        <v>173</v>
      </c>
    </row>
    <row r="4363" spans="1:29" ht="25.5" customHeight="1" x14ac:dyDescent="0.35">
      <c r="A4363" s="392"/>
      <c r="B4363" s="393"/>
      <c r="C4363" s="99" t="str">
        <f>IF(B4363="","",IF(NOT(ISNUMBER(B4363)),"DATA_PC invalida",IF(NOT(ISNUMBER(parametros!$C$2)),"Fora dos ciclos",IF(OR(B4363&lt;parametros!$C$2,(YEAR(B4363)-YEAR(parametros!$C$2))*12+MONTH(B4363)-MONTH(parametros!$C$2)&gt;59),"Fora dos ciclos","C"&amp;INT(((YEAR(B4363)-YEAR(parametros!$C$2))*12+MONTH(B4363)-MONTH(parametros!$C$2))/12)))))</f>
        <v/>
      </c>
      <c r="D4363" s="394"/>
      <c r="E4363" s="78" t="str">
        <f>IF(C4363="","",IFERROR(VLOOKUP(C4363,parametros!$A$11:$E$15,5,0),""))</f>
        <v/>
      </c>
      <c r="F4363" s="79" t="str">
        <f t="shared" si="342"/>
        <v/>
      </c>
      <c r="G4363" s="395"/>
      <c r="H4363" s="91">
        <f t="shared" si="343"/>
        <v>0</v>
      </c>
      <c r="I4363" s="91" t="str">
        <f t="shared" si="344"/>
        <v/>
      </c>
      <c r="J4363" s="91" t="str">
        <f t="shared" si="345"/>
        <v/>
      </c>
      <c r="K4363" s="92" t="str">
        <f>IF(AND(A4363="",B4363="",D4363="",G4363=""),"",IF(AND(A4363&lt;&gt;"",COUNTIF($A$2:$A$5001,A4363)&gt;1),"NUMERO_PC duplicado",IF(B4363="","DATA_PC vazia",IF(NOT(ISNUMBER(B4363)),"DATA_PC invalida",IF(OR(C4363="",C4363="Fora dos ciclos"),"CICLO_PC nao identificado",IF(OR(D4363="",D4363=0),"VALOR_PC vazio ou zero",IF(AND(G4363&lt;&gt;"Sim",G4363&lt;&gt;"Nao",G4363&lt;&gt;""),"PC_PAGO_A_CONTRATADA invalido",IF(AND(C4363&lt;&gt;"C0",IFERROR(INDEX(parametros!$A$2:$A$6,MATCH(C4363,parametros!$B$2:$B$6,0)),"")="Sim",IFERROR(INDEX(parametros!$H$2:$H$6,MATCH(C4363,parametros!$B$2:$B$6,0)),"")=""),"INICIO_EFEITO ausente: PC "&amp;A4363&amp;" - "&amp;C4363,IF(L4363="","EFEITO_PC nao calculado: PC "&amp;A4363&amp;" - "&amp;C4363,"OK")))))))))</f>
        <v/>
      </c>
      <c r="L4363" s="92" t="str">
        <f>IF(AND(A4363="",B4363="",D4363="",G4363=""),"",IF(OR(B4363="",NOT(ISNUMBER(B4363)),C4363="",C4363="Fora dos ciclos"),"",IF(C4363="C0","Nao",IF(IFERROR(INDEX(parametros!$A$2:$A$6,MATCH(C4363,parametros!$B$2:$B$6,0)),"")&lt;&gt;"Sim","Nao",IF(IFERROR(INDEX(parametros!$H$2:$H$6,MATCH(C4363,parametros!$B$2:$B$6,0)),"")="","",IF(B4363&gt;=IFERROR(INDEX(parametros!$H$2:$H$6,MATCH(C4363,parametros!$B$2:$B$6,0)),""),"Sim","Nao"))))))</f>
        <v/>
      </c>
      <c r="T4363" s="156"/>
      <c r="U4363" s="214" t="str">
        <f t="shared" si="346"/>
        <v/>
      </c>
      <c r="V4363" s="212" t="s">
        <v>50</v>
      </c>
      <c r="W4363" s="100" t="s">
        <v>168</v>
      </c>
      <c r="X4363" s="100" t="s">
        <v>169</v>
      </c>
      <c r="Y4363" s="101" t="s">
        <v>170</v>
      </c>
      <c r="Z4363" s="101" t="s">
        <v>171</v>
      </c>
      <c r="AA4363" s="101" t="s">
        <v>50</v>
      </c>
      <c r="AB4363" s="101" t="s">
        <v>172</v>
      </c>
      <c r="AC4363" s="102" t="s">
        <v>173</v>
      </c>
    </row>
    <row r="4364" spans="1:29" ht="25.5" customHeight="1" x14ac:dyDescent="0.35">
      <c r="A4364" s="392"/>
      <c r="B4364" s="393"/>
      <c r="C4364" s="99" t="str">
        <f>IF(B4364="","",IF(NOT(ISNUMBER(B4364)),"DATA_PC invalida",IF(NOT(ISNUMBER(parametros!$C$2)),"Fora dos ciclos",IF(OR(B4364&lt;parametros!$C$2,(YEAR(B4364)-YEAR(parametros!$C$2))*12+MONTH(B4364)-MONTH(parametros!$C$2)&gt;59),"Fora dos ciclos","C"&amp;INT(((YEAR(B4364)-YEAR(parametros!$C$2))*12+MONTH(B4364)-MONTH(parametros!$C$2))/12)))))</f>
        <v/>
      </c>
      <c r="D4364" s="394"/>
      <c r="E4364" s="78" t="str">
        <f>IF(C4364="","",IFERROR(VLOOKUP(C4364,parametros!$A$11:$E$15,5,0),""))</f>
        <v/>
      </c>
      <c r="F4364" s="79" t="str">
        <f t="shared" si="342"/>
        <v/>
      </c>
      <c r="G4364" s="395"/>
      <c r="H4364" s="91">
        <f t="shared" si="343"/>
        <v>0</v>
      </c>
      <c r="I4364" s="91" t="str">
        <f t="shared" si="344"/>
        <v/>
      </c>
      <c r="J4364" s="91" t="str">
        <f t="shared" si="345"/>
        <v/>
      </c>
      <c r="K4364" s="92" t="str">
        <f>IF(AND(A4364="",B4364="",D4364="",G4364=""),"",IF(AND(A4364&lt;&gt;"",COUNTIF($A$2:$A$5001,A4364)&gt;1),"NUMERO_PC duplicado",IF(B4364="","DATA_PC vazia",IF(NOT(ISNUMBER(B4364)),"DATA_PC invalida",IF(OR(C4364="",C4364="Fora dos ciclos"),"CICLO_PC nao identificado",IF(OR(D4364="",D4364=0),"VALOR_PC vazio ou zero",IF(AND(G4364&lt;&gt;"Sim",G4364&lt;&gt;"Nao",G4364&lt;&gt;""),"PC_PAGO_A_CONTRATADA invalido",IF(AND(C4364&lt;&gt;"C0",IFERROR(INDEX(parametros!$A$2:$A$6,MATCH(C4364,parametros!$B$2:$B$6,0)),"")="Sim",IFERROR(INDEX(parametros!$H$2:$H$6,MATCH(C4364,parametros!$B$2:$B$6,0)),"")=""),"INICIO_EFEITO ausente: PC "&amp;A4364&amp;" - "&amp;C4364,IF(L4364="","EFEITO_PC nao calculado: PC "&amp;A4364&amp;" - "&amp;C4364,"OK")))))))))</f>
        <v/>
      </c>
      <c r="L4364" s="92" t="str">
        <f>IF(AND(A4364="",B4364="",D4364="",G4364=""),"",IF(OR(B4364="",NOT(ISNUMBER(B4364)),C4364="",C4364="Fora dos ciclos"),"",IF(C4364="C0","Nao",IF(IFERROR(INDEX(parametros!$A$2:$A$6,MATCH(C4364,parametros!$B$2:$B$6,0)),"")&lt;&gt;"Sim","Nao",IF(IFERROR(INDEX(parametros!$H$2:$H$6,MATCH(C4364,parametros!$B$2:$B$6,0)),"")="","",IF(B4364&gt;=IFERROR(INDEX(parametros!$H$2:$H$6,MATCH(C4364,parametros!$B$2:$B$6,0)),""),"Sim","Nao"))))))</f>
        <v/>
      </c>
      <c r="T4364" s="156"/>
      <c r="U4364" s="214" t="str">
        <f t="shared" si="346"/>
        <v/>
      </c>
      <c r="V4364" s="212" t="s">
        <v>50</v>
      </c>
      <c r="W4364" s="100" t="s">
        <v>168</v>
      </c>
      <c r="X4364" s="100" t="s">
        <v>169</v>
      </c>
      <c r="Y4364" s="101" t="s">
        <v>170</v>
      </c>
      <c r="Z4364" s="101" t="s">
        <v>171</v>
      </c>
      <c r="AA4364" s="101" t="s">
        <v>50</v>
      </c>
      <c r="AB4364" s="101" t="s">
        <v>172</v>
      </c>
      <c r="AC4364" s="102" t="s">
        <v>173</v>
      </c>
    </row>
    <row r="4365" spans="1:29" ht="25.5" customHeight="1" x14ac:dyDescent="0.35">
      <c r="A4365" s="392"/>
      <c r="B4365" s="393"/>
      <c r="C4365" s="99" t="str">
        <f>IF(B4365="","",IF(NOT(ISNUMBER(B4365)),"DATA_PC invalida",IF(NOT(ISNUMBER(parametros!$C$2)),"Fora dos ciclos",IF(OR(B4365&lt;parametros!$C$2,(YEAR(B4365)-YEAR(parametros!$C$2))*12+MONTH(B4365)-MONTH(parametros!$C$2)&gt;59),"Fora dos ciclos","C"&amp;INT(((YEAR(B4365)-YEAR(parametros!$C$2))*12+MONTH(B4365)-MONTH(parametros!$C$2))/12)))))</f>
        <v/>
      </c>
      <c r="D4365" s="394"/>
      <c r="E4365" s="78" t="str">
        <f>IF(C4365="","",IFERROR(VLOOKUP(C4365,parametros!$A$11:$E$15,5,0),""))</f>
        <v/>
      </c>
      <c r="F4365" s="79" t="str">
        <f t="shared" si="342"/>
        <v/>
      </c>
      <c r="G4365" s="395"/>
      <c r="H4365" s="91">
        <f t="shared" si="343"/>
        <v>0</v>
      </c>
      <c r="I4365" s="91" t="str">
        <f t="shared" si="344"/>
        <v/>
      </c>
      <c r="J4365" s="91" t="str">
        <f t="shared" si="345"/>
        <v/>
      </c>
      <c r="K4365" s="92" t="str">
        <f>IF(AND(A4365="",B4365="",D4365="",G4365=""),"",IF(AND(A4365&lt;&gt;"",COUNTIF($A$2:$A$5001,A4365)&gt;1),"NUMERO_PC duplicado",IF(B4365="","DATA_PC vazia",IF(NOT(ISNUMBER(B4365)),"DATA_PC invalida",IF(OR(C4365="",C4365="Fora dos ciclos"),"CICLO_PC nao identificado",IF(OR(D4365="",D4365=0),"VALOR_PC vazio ou zero",IF(AND(G4365&lt;&gt;"Sim",G4365&lt;&gt;"Nao",G4365&lt;&gt;""),"PC_PAGO_A_CONTRATADA invalido",IF(AND(C4365&lt;&gt;"C0",IFERROR(INDEX(parametros!$A$2:$A$6,MATCH(C4365,parametros!$B$2:$B$6,0)),"")="Sim",IFERROR(INDEX(parametros!$H$2:$H$6,MATCH(C4365,parametros!$B$2:$B$6,0)),"")=""),"INICIO_EFEITO ausente: PC "&amp;A4365&amp;" - "&amp;C4365,IF(L4365="","EFEITO_PC nao calculado: PC "&amp;A4365&amp;" - "&amp;C4365,"OK")))))))))</f>
        <v/>
      </c>
      <c r="L4365" s="92" t="str">
        <f>IF(AND(A4365="",B4365="",D4365="",G4365=""),"",IF(OR(B4365="",NOT(ISNUMBER(B4365)),C4365="",C4365="Fora dos ciclos"),"",IF(C4365="C0","Nao",IF(IFERROR(INDEX(parametros!$A$2:$A$6,MATCH(C4365,parametros!$B$2:$B$6,0)),"")&lt;&gt;"Sim","Nao",IF(IFERROR(INDEX(parametros!$H$2:$H$6,MATCH(C4365,parametros!$B$2:$B$6,0)),"")="","",IF(B4365&gt;=IFERROR(INDEX(parametros!$H$2:$H$6,MATCH(C4365,parametros!$B$2:$B$6,0)),""),"Sim","Nao"))))))</f>
        <v/>
      </c>
      <c r="T4365" s="156"/>
      <c r="U4365" s="214" t="str">
        <f t="shared" si="346"/>
        <v/>
      </c>
      <c r="V4365" s="212" t="s">
        <v>50</v>
      </c>
      <c r="W4365" s="100" t="s">
        <v>168</v>
      </c>
      <c r="X4365" s="100" t="s">
        <v>169</v>
      </c>
      <c r="Y4365" s="101" t="s">
        <v>170</v>
      </c>
      <c r="Z4365" s="101" t="s">
        <v>171</v>
      </c>
      <c r="AA4365" s="101" t="s">
        <v>50</v>
      </c>
      <c r="AB4365" s="101" t="s">
        <v>172</v>
      </c>
      <c r="AC4365" s="102" t="s">
        <v>173</v>
      </c>
    </row>
    <row r="4366" spans="1:29" ht="25.5" customHeight="1" x14ac:dyDescent="0.35">
      <c r="A4366" s="392"/>
      <c r="B4366" s="393"/>
      <c r="C4366" s="99" t="str">
        <f>IF(B4366="","",IF(NOT(ISNUMBER(B4366)),"DATA_PC invalida",IF(NOT(ISNUMBER(parametros!$C$2)),"Fora dos ciclos",IF(OR(B4366&lt;parametros!$C$2,(YEAR(B4366)-YEAR(parametros!$C$2))*12+MONTH(B4366)-MONTH(parametros!$C$2)&gt;59),"Fora dos ciclos","C"&amp;INT(((YEAR(B4366)-YEAR(parametros!$C$2))*12+MONTH(B4366)-MONTH(parametros!$C$2))/12)))))</f>
        <v/>
      </c>
      <c r="D4366" s="394"/>
      <c r="E4366" s="78" t="str">
        <f>IF(C4366="","",IFERROR(VLOOKUP(C4366,parametros!$A$11:$E$15,5,0),""))</f>
        <v/>
      </c>
      <c r="F4366" s="79" t="str">
        <f t="shared" si="342"/>
        <v/>
      </c>
      <c r="G4366" s="395"/>
      <c r="H4366" s="91">
        <f t="shared" si="343"/>
        <v>0</v>
      </c>
      <c r="I4366" s="91" t="str">
        <f t="shared" si="344"/>
        <v/>
      </c>
      <c r="J4366" s="91" t="str">
        <f t="shared" si="345"/>
        <v/>
      </c>
      <c r="K4366" s="92" t="str">
        <f>IF(AND(A4366="",B4366="",D4366="",G4366=""),"",IF(AND(A4366&lt;&gt;"",COUNTIF($A$2:$A$5001,A4366)&gt;1),"NUMERO_PC duplicado",IF(B4366="","DATA_PC vazia",IF(NOT(ISNUMBER(B4366)),"DATA_PC invalida",IF(OR(C4366="",C4366="Fora dos ciclos"),"CICLO_PC nao identificado",IF(OR(D4366="",D4366=0),"VALOR_PC vazio ou zero",IF(AND(G4366&lt;&gt;"Sim",G4366&lt;&gt;"Nao",G4366&lt;&gt;""),"PC_PAGO_A_CONTRATADA invalido",IF(AND(C4366&lt;&gt;"C0",IFERROR(INDEX(parametros!$A$2:$A$6,MATCH(C4366,parametros!$B$2:$B$6,0)),"")="Sim",IFERROR(INDEX(parametros!$H$2:$H$6,MATCH(C4366,parametros!$B$2:$B$6,0)),"")=""),"INICIO_EFEITO ausente: PC "&amp;A4366&amp;" - "&amp;C4366,IF(L4366="","EFEITO_PC nao calculado: PC "&amp;A4366&amp;" - "&amp;C4366,"OK")))))))))</f>
        <v/>
      </c>
      <c r="L4366" s="92" t="str">
        <f>IF(AND(A4366="",B4366="",D4366="",G4366=""),"",IF(OR(B4366="",NOT(ISNUMBER(B4366)),C4366="",C4366="Fora dos ciclos"),"",IF(C4366="C0","Nao",IF(IFERROR(INDEX(parametros!$A$2:$A$6,MATCH(C4366,parametros!$B$2:$B$6,0)),"")&lt;&gt;"Sim","Nao",IF(IFERROR(INDEX(parametros!$H$2:$H$6,MATCH(C4366,parametros!$B$2:$B$6,0)),"")="","",IF(B4366&gt;=IFERROR(INDEX(parametros!$H$2:$H$6,MATCH(C4366,parametros!$B$2:$B$6,0)),""),"Sim","Nao"))))))</f>
        <v/>
      </c>
      <c r="T4366" s="156"/>
      <c r="U4366" s="214" t="str">
        <f t="shared" si="346"/>
        <v/>
      </c>
      <c r="V4366" s="212" t="s">
        <v>50</v>
      </c>
      <c r="W4366" s="100" t="s">
        <v>168</v>
      </c>
      <c r="X4366" s="100" t="s">
        <v>169</v>
      </c>
      <c r="Y4366" s="101" t="s">
        <v>170</v>
      </c>
      <c r="Z4366" s="101" t="s">
        <v>171</v>
      </c>
      <c r="AA4366" s="101" t="s">
        <v>50</v>
      </c>
      <c r="AB4366" s="101" t="s">
        <v>172</v>
      </c>
      <c r="AC4366" s="102" t="s">
        <v>173</v>
      </c>
    </row>
    <row r="4367" spans="1:29" ht="25.5" customHeight="1" x14ac:dyDescent="0.35">
      <c r="A4367" s="392"/>
      <c r="B4367" s="393"/>
      <c r="C4367" s="99" t="str">
        <f>IF(B4367="","",IF(NOT(ISNUMBER(B4367)),"DATA_PC invalida",IF(NOT(ISNUMBER(parametros!$C$2)),"Fora dos ciclos",IF(OR(B4367&lt;parametros!$C$2,(YEAR(B4367)-YEAR(parametros!$C$2))*12+MONTH(B4367)-MONTH(parametros!$C$2)&gt;59),"Fora dos ciclos","C"&amp;INT(((YEAR(B4367)-YEAR(parametros!$C$2))*12+MONTH(B4367)-MONTH(parametros!$C$2))/12)))))</f>
        <v/>
      </c>
      <c r="D4367" s="394"/>
      <c r="E4367" s="78" t="str">
        <f>IF(C4367="","",IFERROR(VLOOKUP(C4367,parametros!$A$11:$E$15,5,0),""))</f>
        <v/>
      </c>
      <c r="F4367" s="79" t="str">
        <f t="shared" si="342"/>
        <v/>
      </c>
      <c r="G4367" s="395"/>
      <c r="H4367" s="91">
        <f t="shared" si="343"/>
        <v>0</v>
      </c>
      <c r="I4367" s="91" t="str">
        <f t="shared" si="344"/>
        <v/>
      </c>
      <c r="J4367" s="91" t="str">
        <f t="shared" si="345"/>
        <v/>
      </c>
      <c r="K4367" s="92" t="str">
        <f>IF(AND(A4367="",B4367="",D4367="",G4367=""),"",IF(AND(A4367&lt;&gt;"",COUNTIF($A$2:$A$5001,A4367)&gt;1),"NUMERO_PC duplicado",IF(B4367="","DATA_PC vazia",IF(NOT(ISNUMBER(B4367)),"DATA_PC invalida",IF(OR(C4367="",C4367="Fora dos ciclos"),"CICLO_PC nao identificado",IF(OR(D4367="",D4367=0),"VALOR_PC vazio ou zero",IF(AND(G4367&lt;&gt;"Sim",G4367&lt;&gt;"Nao",G4367&lt;&gt;""),"PC_PAGO_A_CONTRATADA invalido",IF(AND(C4367&lt;&gt;"C0",IFERROR(INDEX(parametros!$A$2:$A$6,MATCH(C4367,parametros!$B$2:$B$6,0)),"")="Sim",IFERROR(INDEX(parametros!$H$2:$H$6,MATCH(C4367,parametros!$B$2:$B$6,0)),"")=""),"INICIO_EFEITO ausente: PC "&amp;A4367&amp;" - "&amp;C4367,IF(L4367="","EFEITO_PC nao calculado: PC "&amp;A4367&amp;" - "&amp;C4367,"OK")))))))))</f>
        <v/>
      </c>
      <c r="L4367" s="92" t="str">
        <f>IF(AND(A4367="",B4367="",D4367="",G4367=""),"",IF(OR(B4367="",NOT(ISNUMBER(B4367)),C4367="",C4367="Fora dos ciclos"),"",IF(C4367="C0","Nao",IF(IFERROR(INDEX(parametros!$A$2:$A$6,MATCH(C4367,parametros!$B$2:$B$6,0)),"")&lt;&gt;"Sim","Nao",IF(IFERROR(INDEX(parametros!$H$2:$H$6,MATCH(C4367,parametros!$B$2:$B$6,0)),"")="","",IF(B4367&gt;=IFERROR(INDEX(parametros!$H$2:$H$6,MATCH(C4367,parametros!$B$2:$B$6,0)),""),"Sim","Nao"))))))</f>
        <v/>
      </c>
      <c r="T4367" s="156"/>
      <c r="U4367" s="214" t="str">
        <f t="shared" si="346"/>
        <v/>
      </c>
      <c r="V4367" s="212" t="s">
        <v>50</v>
      </c>
      <c r="W4367" s="100" t="s">
        <v>168</v>
      </c>
      <c r="X4367" s="100" t="s">
        <v>169</v>
      </c>
      <c r="Y4367" s="101" t="s">
        <v>170</v>
      </c>
      <c r="Z4367" s="101" t="s">
        <v>171</v>
      </c>
      <c r="AA4367" s="101" t="s">
        <v>50</v>
      </c>
      <c r="AB4367" s="101" t="s">
        <v>172</v>
      </c>
      <c r="AC4367" s="102" t="s">
        <v>173</v>
      </c>
    </row>
    <row r="4368" spans="1:29" ht="25.5" customHeight="1" x14ac:dyDescent="0.35">
      <c r="A4368" s="392"/>
      <c r="B4368" s="393"/>
      <c r="C4368" s="99" t="str">
        <f>IF(B4368="","",IF(NOT(ISNUMBER(B4368)),"DATA_PC invalida",IF(NOT(ISNUMBER(parametros!$C$2)),"Fora dos ciclos",IF(OR(B4368&lt;parametros!$C$2,(YEAR(B4368)-YEAR(parametros!$C$2))*12+MONTH(B4368)-MONTH(parametros!$C$2)&gt;59),"Fora dos ciclos","C"&amp;INT(((YEAR(B4368)-YEAR(parametros!$C$2))*12+MONTH(B4368)-MONTH(parametros!$C$2))/12)))))</f>
        <v/>
      </c>
      <c r="D4368" s="394"/>
      <c r="E4368" s="78" t="str">
        <f>IF(C4368="","",IFERROR(VLOOKUP(C4368,parametros!$A$11:$E$15,5,0),""))</f>
        <v/>
      </c>
      <c r="F4368" s="79" t="str">
        <f t="shared" si="342"/>
        <v/>
      </c>
      <c r="G4368" s="395"/>
      <c r="H4368" s="91">
        <f t="shared" si="343"/>
        <v>0</v>
      </c>
      <c r="I4368" s="91" t="str">
        <f t="shared" si="344"/>
        <v/>
      </c>
      <c r="J4368" s="91" t="str">
        <f t="shared" si="345"/>
        <v/>
      </c>
      <c r="K4368" s="92" t="str">
        <f>IF(AND(A4368="",B4368="",D4368="",G4368=""),"",IF(AND(A4368&lt;&gt;"",COUNTIF($A$2:$A$5001,A4368)&gt;1),"NUMERO_PC duplicado",IF(B4368="","DATA_PC vazia",IF(NOT(ISNUMBER(B4368)),"DATA_PC invalida",IF(OR(C4368="",C4368="Fora dos ciclos"),"CICLO_PC nao identificado",IF(OR(D4368="",D4368=0),"VALOR_PC vazio ou zero",IF(AND(G4368&lt;&gt;"Sim",G4368&lt;&gt;"Nao",G4368&lt;&gt;""),"PC_PAGO_A_CONTRATADA invalido",IF(AND(C4368&lt;&gt;"C0",IFERROR(INDEX(parametros!$A$2:$A$6,MATCH(C4368,parametros!$B$2:$B$6,0)),"")="Sim",IFERROR(INDEX(parametros!$H$2:$H$6,MATCH(C4368,parametros!$B$2:$B$6,0)),"")=""),"INICIO_EFEITO ausente: PC "&amp;A4368&amp;" - "&amp;C4368,IF(L4368="","EFEITO_PC nao calculado: PC "&amp;A4368&amp;" - "&amp;C4368,"OK")))))))))</f>
        <v/>
      </c>
      <c r="L4368" s="92" t="str">
        <f>IF(AND(A4368="",B4368="",D4368="",G4368=""),"",IF(OR(B4368="",NOT(ISNUMBER(B4368)),C4368="",C4368="Fora dos ciclos"),"",IF(C4368="C0","Nao",IF(IFERROR(INDEX(parametros!$A$2:$A$6,MATCH(C4368,parametros!$B$2:$B$6,0)),"")&lt;&gt;"Sim","Nao",IF(IFERROR(INDEX(parametros!$H$2:$H$6,MATCH(C4368,parametros!$B$2:$B$6,0)),"")="","",IF(B4368&gt;=IFERROR(INDEX(parametros!$H$2:$H$6,MATCH(C4368,parametros!$B$2:$B$6,0)),""),"Sim","Nao"))))))</f>
        <v/>
      </c>
      <c r="T4368" s="156"/>
      <c r="U4368" s="214" t="str">
        <f t="shared" si="346"/>
        <v/>
      </c>
      <c r="V4368" s="212" t="s">
        <v>50</v>
      </c>
      <c r="W4368" s="100" t="s">
        <v>168</v>
      </c>
      <c r="X4368" s="100" t="s">
        <v>169</v>
      </c>
      <c r="Y4368" s="101" t="s">
        <v>170</v>
      </c>
      <c r="Z4368" s="101" t="s">
        <v>171</v>
      </c>
      <c r="AA4368" s="101" t="s">
        <v>50</v>
      </c>
      <c r="AB4368" s="101" t="s">
        <v>172</v>
      </c>
      <c r="AC4368" s="102" t="s">
        <v>173</v>
      </c>
    </row>
    <row r="4369" spans="1:29" ht="25.5" customHeight="1" x14ac:dyDescent="0.35">
      <c r="A4369" s="392"/>
      <c r="B4369" s="393"/>
      <c r="C4369" s="99" t="str">
        <f>IF(B4369="","",IF(NOT(ISNUMBER(B4369)),"DATA_PC invalida",IF(NOT(ISNUMBER(parametros!$C$2)),"Fora dos ciclos",IF(OR(B4369&lt;parametros!$C$2,(YEAR(B4369)-YEAR(parametros!$C$2))*12+MONTH(B4369)-MONTH(parametros!$C$2)&gt;59),"Fora dos ciclos","C"&amp;INT(((YEAR(B4369)-YEAR(parametros!$C$2))*12+MONTH(B4369)-MONTH(parametros!$C$2))/12)))))</f>
        <v/>
      </c>
      <c r="D4369" s="394"/>
      <c r="E4369" s="78" t="str">
        <f>IF(C4369="","",IFERROR(VLOOKUP(C4369,parametros!$A$11:$E$15,5,0),""))</f>
        <v/>
      </c>
      <c r="F4369" s="79" t="str">
        <f t="shared" si="342"/>
        <v/>
      </c>
      <c r="G4369" s="395"/>
      <c r="H4369" s="91">
        <f t="shared" si="343"/>
        <v>0</v>
      </c>
      <c r="I4369" s="91" t="str">
        <f t="shared" si="344"/>
        <v/>
      </c>
      <c r="J4369" s="91" t="str">
        <f t="shared" si="345"/>
        <v/>
      </c>
      <c r="K4369" s="92" t="str">
        <f>IF(AND(A4369="",B4369="",D4369="",G4369=""),"",IF(AND(A4369&lt;&gt;"",COUNTIF($A$2:$A$5001,A4369)&gt;1),"NUMERO_PC duplicado",IF(B4369="","DATA_PC vazia",IF(NOT(ISNUMBER(B4369)),"DATA_PC invalida",IF(OR(C4369="",C4369="Fora dos ciclos"),"CICLO_PC nao identificado",IF(OR(D4369="",D4369=0),"VALOR_PC vazio ou zero",IF(AND(G4369&lt;&gt;"Sim",G4369&lt;&gt;"Nao",G4369&lt;&gt;""),"PC_PAGO_A_CONTRATADA invalido",IF(AND(C4369&lt;&gt;"C0",IFERROR(INDEX(parametros!$A$2:$A$6,MATCH(C4369,parametros!$B$2:$B$6,0)),"")="Sim",IFERROR(INDEX(parametros!$H$2:$H$6,MATCH(C4369,parametros!$B$2:$B$6,0)),"")=""),"INICIO_EFEITO ausente: PC "&amp;A4369&amp;" - "&amp;C4369,IF(L4369="","EFEITO_PC nao calculado: PC "&amp;A4369&amp;" - "&amp;C4369,"OK")))))))))</f>
        <v/>
      </c>
      <c r="L4369" s="92" t="str">
        <f>IF(AND(A4369="",B4369="",D4369="",G4369=""),"",IF(OR(B4369="",NOT(ISNUMBER(B4369)),C4369="",C4369="Fora dos ciclos"),"",IF(C4369="C0","Nao",IF(IFERROR(INDEX(parametros!$A$2:$A$6,MATCH(C4369,parametros!$B$2:$B$6,0)),"")&lt;&gt;"Sim","Nao",IF(IFERROR(INDEX(parametros!$H$2:$H$6,MATCH(C4369,parametros!$B$2:$B$6,0)),"")="","",IF(B4369&gt;=IFERROR(INDEX(parametros!$H$2:$H$6,MATCH(C4369,parametros!$B$2:$B$6,0)),""),"Sim","Nao"))))))</f>
        <v/>
      </c>
      <c r="T4369" s="156"/>
      <c r="U4369" s="214" t="str">
        <f t="shared" si="346"/>
        <v/>
      </c>
      <c r="V4369" s="212" t="s">
        <v>50</v>
      </c>
      <c r="W4369" s="100" t="s">
        <v>168</v>
      </c>
      <c r="X4369" s="100" t="s">
        <v>169</v>
      </c>
      <c r="Y4369" s="101" t="s">
        <v>170</v>
      </c>
      <c r="Z4369" s="101" t="s">
        <v>171</v>
      </c>
      <c r="AA4369" s="101" t="s">
        <v>50</v>
      </c>
      <c r="AB4369" s="101" t="s">
        <v>172</v>
      </c>
      <c r="AC4369" s="102" t="s">
        <v>173</v>
      </c>
    </row>
    <row r="4370" spans="1:29" ht="25.5" customHeight="1" x14ac:dyDescent="0.35">
      <c r="A4370" s="392"/>
      <c r="B4370" s="393"/>
      <c r="C4370" s="99" t="str">
        <f>IF(B4370="","",IF(NOT(ISNUMBER(B4370)),"DATA_PC invalida",IF(NOT(ISNUMBER(parametros!$C$2)),"Fora dos ciclos",IF(OR(B4370&lt;parametros!$C$2,(YEAR(B4370)-YEAR(parametros!$C$2))*12+MONTH(B4370)-MONTH(parametros!$C$2)&gt;59),"Fora dos ciclos","C"&amp;INT(((YEAR(B4370)-YEAR(parametros!$C$2))*12+MONTH(B4370)-MONTH(parametros!$C$2))/12)))))</f>
        <v/>
      </c>
      <c r="D4370" s="394"/>
      <c r="E4370" s="78" t="str">
        <f>IF(C4370="","",IFERROR(VLOOKUP(C4370,parametros!$A$11:$E$15,5,0),""))</f>
        <v/>
      </c>
      <c r="F4370" s="79" t="str">
        <f t="shared" si="342"/>
        <v/>
      </c>
      <c r="G4370" s="395"/>
      <c r="H4370" s="91">
        <f t="shared" si="343"/>
        <v>0</v>
      </c>
      <c r="I4370" s="91" t="str">
        <f t="shared" si="344"/>
        <v/>
      </c>
      <c r="J4370" s="91" t="str">
        <f t="shared" si="345"/>
        <v/>
      </c>
      <c r="K4370" s="92" t="str">
        <f>IF(AND(A4370="",B4370="",D4370="",G4370=""),"",IF(AND(A4370&lt;&gt;"",COUNTIF($A$2:$A$5001,A4370)&gt;1),"NUMERO_PC duplicado",IF(B4370="","DATA_PC vazia",IF(NOT(ISNUMBER(B4370)),"DATA_PC invalida",IF(OR(C4370="",C4370="Fora dos ciclos"),"CICLO_PC nao identificado",IF(OR(D4370="",D4370=0),"VALOR_PC vazio ou zero",IF(AND(G4370&lt;&gt;"Sim",G4370&lt;&gt;"Nao",G4370&lt;&gt;""),"PC_PAGO_A_CONTRATADA invalido",IF(AND(C4370&lt;&gt;"C0",IFERROR(INDEX(parametros!$A$2:$A$6,MATCH(C4370,parametros!$B$2:$B$6,0)),"")="Sim",IFERROR(INDEX(parametros!$H$2:$H$6,MATCH(C4370,parametros!$B$2:$B$6,0)),"")=""),"INICIO_EFEITO ausente: PC "&amp;A4370&amp;" - "&amp;C4370,IF(L4370="","EFEITO_PC nao calculado: PC "&amp;A4370&amp;" - "&amp;C4370,"OK")))))))))</f>
        <v/>
      </c>
      <c r="L4370" s="92" t="str">
        <f>IF(AND(A4370="",B4370="",D4370="",G4370=""),"",IF(OR(B4370="",NOT(ISNUMBER(B4370)),C4370="",C4370="Fora dos ciclos"),"",IF(C4370="C0","Nao",IF(IFERROR(INDEX(parametros!$A$2:$A$6,MATCH(C4370,parametros!$B$2:$B$6,0)),"")&lt;&gt;"Sim","Nao",IF(IFERROR(INDEX(parametros!$H$2:$H$6,MATCH(C4370,parametros!$B$2:$B$6,0)),"")="","",IF(B4370&gt;=IFERROR(INDEX(parametros!$H$2:$H$6,MATCH(C4370,parametros!$B$2:$B$6,0)),""),"Sim","Nao"))))))</f>
        <v/>
      </c>
      <c r="T4370" s="156"/>
      <c r="U4370" s="214" t="str">
        <f t="shared" si="346"/>
        <v/>
      </c>
      <c r="V4370" s="212" t="s">
        <v>50</v>
      </c>
      <c r="W4370" s="100" t="s">
        <v>168</v>
      </c>
      <c r="X4370" s="100" t="s">
        <v>169</v>
      </c>
      <c r="Y4370" s="101" t="s">
        <v>170</v>
      </c>
      <c r="Z4370" s="101" t="s">
        <v>171</v>
      </c>
      <c r="AA4370" s="101" t="s">
        <v>50</v>
      </c>
      <c r="AB4370" s="101" t="s">
        <v>172</v>
      </c>
      <c r="AC4370" s="102" t="s">
        <v>173</v>
      </c>
    </row>
    <row r="4371" spans="1:29" ht="25.5" customHeight="1" x14ac:dyDescent="0.35">
      <c r="A4371" s="392"/>
      <c r="B4371" s="393"/>
      <c r="C4371" s="99" t="str">
        <f>IF(B4371="","",IF(NOT(ISNUMBER(B4371)),"DATA_PC invalida",IF(NOT(ISNUMBER(parametros!$C$2)),"Fora dos ciclos",IF(OR(B4371&lt;parametros!$C$2,(YEAR(B4371)-YEAR(parametros!$C$2))*12+MONTH(B4371)-MONTH(parametros!$C$2)&gt;59),"Fora dos ciclos","C"&amp;INT(((YEAR(B4371)-YEAR(parametros!$C$2))*12+MONTH(B4371)-MONTH(parametros!$C$2))/12)))))</f>
        <v/>
      </c>
      <c r="D4371" s="394"/>
      <c r="E4371" s="78" t="str">
        <f>IF(C4371="","",IFERROR(VLOOKUP(C4371,parametros!$A$11:$E$15,5,0),""))</f>
        <v/>
      </c>
      <c r="F4371" s="79" t="str">
        <f t="shared" si="342"/>
        <v/>
      </c>
      <c r="G4371" s="395"/>
      <c r="H4371" s="91">
        <f t="shared" si="343"/>
        <v>0</v>
      </c>
      <c r="I4371" s="91" t="str">
        <f t="shared" si="344"/>
        <v/>
      </c>
      <c r="J4371" s="91" t="str">
        <f t="shared" si="345"/>
        <v/>
      </c>
      <c r="K4371" s="92" t="str">
        <f>IF(AND(A4371="",B4371="",D4371="",G4371=""),"",IF(AND(A4371&lt;&gt;"",COUNTIF($A$2:$A$5001,A4371)&gt;1),"NUMERO_PC duplicado",IF(B4371="","DATA_PC vazia",IF(NOT(ISNUMBER(B4371)),"DATA_PC invalida",IF(OR(C4371="",C4371="Fora dos ciclos"),"CICLO_PC nao identificado",IF(OR(D4371="",D4371=0),"VALOR_PC vazio ou zero",IF(AND(G4371&lt;&gt;"Sim",G4371&lt;&gt;"Nao",G4371&lt;&gt;""),"PC_PAGO_A_CONTRATADA invalido",IF(AND(C4371&lt;&gt;"C0",IFERROR(INDEX(parametros!$A$2:$A$6,MATCH(C4371,parametros!$B$2:$B$6,0)),"")="Sim",IFERROR(INDEX(parametros!$H$2:$H$6,MATCH(C4371,parametros!$B$2:$B$6,0)),"")=""),"INICIO_EFEITO ausente: PC "&amp;A4371&amp;" - "&amp;C4371,IF(L4371="","EFEITO_PC nao calculado: PC "&amp;A4371&amp;" - "&amp;C4371,"OK")))))))))</f>
        <v/>
      </c>
      <c r="L4371" s="92" t="str">
        <f>IF(AND(A4371="",B4371="",D4371="",G4371=""),"",IF(OR(B4371="",NOT(ISNUMBER(B4371)),C4371="",C4371="Fora dos ciclos"),"",IF(C4371="C0","Nao",IF(IFERROR(INDEX(parametros!$A$2:$A$6,MATCH(C4371,parametros!$B$2:$B$6,0)),"")&lt;&gt;"Sim","Nao",IF(IFERROR(INDEX(parametros!$H$2:$H$6,MATCH(C4371,parametros!$B$2:$B$6,0)),"")="","",IF(B4371&gt;=IFERROR(INDEX(parametros!$H$2:$H$6,MATCH(C4371,parametros!$B$2:$B$6,0)),""),"Sim","Nao"))))))</f>
        <v/>
      </c>
      <c r="T4371" s="156"/>
      <c r="U4371" s="214" t="str">
        <f t="shared" si="346"/>
        <v/>
      </c>
      <c r="V4371" s="212" t="s">
        <v>50</v>
      </c>
      <c r="W4371" s="100" t="s">
        <v>168</v>
      </c>
      <c r="X4371" s="100" t="s">
        <v>169</v>
      </c>
      <c r="Y4371" s="101" t="s">
        <v>170</v>
      </c>
      <c r="Z4371" s="101" t="s">
        <v>171</v>
      </c>
      <c r="AA4371" s="101" t="s">
        <v>50</v>
      </c>
      <c r="AB4371" s="101" t="s">
        <v>172</v>
      </c>
      <c r="AC4371" s="102" t="s">
        <v>173</v>
      </c>
    </row>
    <row r="4372" spans="1:29" ht="25.5" customHeight="1" x14ac:dyDescent="0.35">
      <c r="A4372" s="392"/>
      <c r="B4372" s="393"/>
      <c r="C4372" s="99" t="str">
        <f>IF(B4372="","",IF(NOT(ISNUMBER(B4372)),"DATA_PC invalida",IF(NOT(ISNUMBER(parametros!$C$2)),"Fora dos ciclos",IF(OR(B4372&lt;parametros!$C$2,(YEAR(B4372)-YEAR(parametros!$C$2))*12+MONTH(B4372)-MONTH(parametros!$C$2)&gt;59),"Fora dos ciclos","C"&amp;INT(((YEAR(B4372)-YEAR(parametros!$C$2))*12+MONTH(B4372)-MONTH(parametros!$C$2))/12)))))</f>
        <v/>
      </c>
      <c r="D4372" s="394"/>
      <c r="E4372" s="78" t="str">
        <f>IF(C4372="","",IFERROR(VLOOKUP(C4372,parametros!$A$11:$E$15,5,0),""))</f>
        <v/>
      </c>
      <c r="F4372" s="79" t="str">
        <f t="shared" si="342"/>
        <v/>
      </c>
      <c r="G4372" s="395"/>
      <c r="H4372" s="91">
        <f t="shared" si="343"/>
        <v>0</v>
      </c>
      <c r="I4372" s="91" t="str">
        <f t="shared" si="344"/>
        <v/>
      </c>
      <c r="J4372" s="91" t="str">
        <f t="shared" si="345"/>
        <v/>
      </c>
      <c r="K4372" s="92" t="str">
        <f>IF(AND(A4372="",B4372="",D4372="",G4372=""),"",IF(AND(A4372&lt;&gt;"",COUNTIF($A$2:$A$5001,A4372)&gt;1),"NUMERO_PC duplicado",IF(B4372="","DATA_PC vazia",IF(NOT(ISNUMBER(B4372)),"DATA_PC invalida",IF(OR(C4372="",C4372="Fora dos ciclos"),"CICLO_PC nao identificado",IF(OR(D4372="",D4372=0),"VALOR_PC vazio ou zero",IF(AND(G4372&lt;&gt;"Sim",G4372&lt;&gt;"Nao",G4372&lt;&gt;""),"PC_PAGO_A_CONTRATADA invalido",IF(AND(C4372&lt;&gt;"C0",IFERROR(INDEX(parametros!$A$2:$A$6,MATCH(C4372,parametros!$B$2:$B$6,0)),"")="Sim",IFERROR(INDEX(parametros!$H$2:$H$6,MATCH(C4372,parametros!$B$2:$B$6,0)),"")=""),"INICIO_EFEITO ausente: PC "&amp;A4372&amp;" - "&amp;C4372,IF(L4372="","EFEITO_PC nao calculado: PC "&amp;A4372&amp;" - "&amp;C4372,"OK")))))))))</f>
        <v/>
      </c>
      <c r="L4372" s="92" t="str">
        <f>IF(AND(A4372="",B4372="",D4372="",G4372=""),"",IF(OR(B4372="",NOT(ISNUMBER(B4372)),C4372="",C4372="Fora dos ciclos"),"",IF(C4372="C0","Nao",IF(IFERROR(INDEX(parametros!$A$2:$A$6,MATCH(C4372,parametros!$B$2:$B$6,0)),"")&lt;&gt;"Sim","Nao",IF(IFERROR(INDEX(parametros!$H$2:$H$6,MATCH(C4372,parametros!$B$2:$B$6,0)),"")="","",IF(B4372&gt;=IFERROR(INDEX(parametros!$H$2:$H$6,MATCH(C4372,parametros!$B$2:$B$6,0)),""),"Sim","Nao"))))))</f>
        <v/>
      </c>
      <c r="T4372" s="156"/>
      <c r="U4372" s="214" t="str">
        <f t="shared" si="346"/>
        <v/>
      </c>
      <c r="V4372" s="212" t="s">
        <v>50</v>
      </c>
      <c r="W4372" s="100" t="s">
        <v>168</v>
      </c>
      <c r="X4372" s="100" t="s">
        <v>169</v>
      </c>
      <c r="Y4372" s="101" t="s">
        <v>170</v>
      </c>
      <c r="Z4372" s="101" t="s">
        <v>171</v>
      </c>
      <c r="AA4372" s="101" t="s">
        <v>50</v>
      </c>
      <c r="AB4372" s="101" t="s">
        <v>172</v>
      </c>
      <c r="AC4372" s="102" t="s">
        <v>173</v>
      </c>
    </row>
    <row r="4373" spans="1:29" ht="25.5" customHeight="1" x14ac:dyDescent="0.35">
      <c r="A4373" s="392"/>
      <c r="B4373" s="393"/>
      <c r="C4373" s="99" t="str">
        <f>IF(B4373="","",IF(NOT(ISNUMBER(B4373)),"DATA_PC invalida",IF(NOT(ISNUMBER(parametros!$C$2)),"Fora dos ciclos",IF(OR(B4373&lt;parametros!$C$2,(YEAR(B4373)-YEAR(parametros!$C$2))*12+MONTH(B4373)-MONTH(parametros!$C$2)&gt;59),"Fora dos ciclos","C"&amp;INT(((YEAR(B4373)-YEAR(parametros!$C$2))*12+MONTH(B4373)-MONTH(parametros!$C$2))/12)))))</f>
        <v/>
      </c>
      <c r="D4373" s="394"/>
      <c r="E4373" s="78" t="str">
        <f>IF(C4373="","",IFERROR(VLOOKUP(C4373,parametros!$A$11:$E$15,5,0),""))</f>
        <v/>
      </c>
      <c r="F4373" s="79" t="str">
        <f t="shared" si="342"/>
        <v/>
      </c>
      <c r="G4373" s="395"/>
      <c r="H4373" s="91">
        <f t="shared" si="343"/>
        <v>0</v>
      </c>
      <c r="I4373" s="91" t="str">
        <f t="shared" si="344"/>
        <v/>
      </c>
      <c r="J4373" s="91" t="str">
        <f t="shared" si="345"/>
        <v/>
      </c>
      <c r="K4373" s="92" t="str">
        <f>IF(AND(A4373="",B4373="",D4373="",G4373=""),"",IF(AND(A4373&lt;&gt;"",COUNTIF($A$2:$A$5001,A4373)&gt;1),"NUMERO_PC duplicado",IF(B4373="","DATA_PC vazia",IF(NOT(ISNUMBER(B4373)),"DATA_PC invalida",IF(OR(C4373="",C4373="Fora dos ciclos"),"CICLO_PC nao identificado",IF(OR(D4373="",D4373=0),"VALOR_PC vazio ou zero",IF(AND(G4373&lt;&gt;"Sim",G4373&lt;&gt;"Nao",G4373&lt;&gt;""),"PC_PAGO_A_CONTRATADA invalido",IF(AND(C4373&lt;&gt;"C0",IFERROR(INDEX(parametros!$A$2:$A$6,MATCH(C4373,parametros!$B$2:$B$6,0)),"")="Sim",IFERROR(INDEX(parametros!$H$2:$H$6,MATCH(C4373,parametros!$B$2:$B$6,0)),"")=""),"INICIO_EFEITO ausente: PC "&amp;A4373&amp;" - "&amp;C4373,IF(L4373="","EFEITO_PC nao calculado: PC "&amp;A4373&amp;" - "&amp;C4373,"OK")))))))))</f>
        <v/>
      </c>
      <c r="L4373" s="92" t="str">
        <f>IF(AND(A4373="",B4373="",D4373="",G4373=""),"",IF(OR(B4373="",NOT(ISNUMBER(B4373)),C4373="",C4373="Fora dos ciclos"),"",IF(C4373="C0","Nao",IF(IFERROR(INDEX(parametros!$A$2:$A$6,MATCH(C4373,parametros!$B$2:$B$6,0)),"")&lt;&gt;"Sim","Nao",IF(IFERROR(INDEX(parametros!$H$2:$H$6,MATCH(C4373,parametros!$B$2:$B$6,0)),"")="","",IF(B4373&gt;=IFERROR(INDEX(parametros!$H$2:$H$6,MATCH(C4373,parametros!$B$2:$B$6,0)),""),"Sim","Nao"))))))</f>
        <v/>
      </c>
      <c r="T4373" s="156"/>
      <c r="U4373" s="214" t="str">
        <f t="shared" si="346"/>
        <v/>
      </c>
      <c r="V4373" s="212" t="s">
        <v>50</v>
      </c>
      <c r="W4373" s="100" t="s">
        <v>168</v>
      </c>
      <c r="X4373" s="100" t="s">
        <v>169</v>
      </c>
      <c r="Y4373" s="101" t="s">
        <v>170</v>
      </c>
      <c r="Z4373" s="101" t="s">
        <v>171</v>
      </c>
      <c r="AA4373" s="101" t="s">
        <v>50</v>
      </c>
      <c r="AB4373" s="101" t="s">
        <v>172</v>
      </c>
      <c r="AC4373" s="102" t="s">
        <v>173</v>
      </c>
    </row>
    <row r="4374" spans="1:29" ht="25.5" customHeight="1" x14ac:dyDescent="0.35">
      <c r="A4374" s="392"/>
      <c r="B4374" s="393"/>
      <c r="C4374" s="99" t="str">
        <f>IF(B4374="","",IF(NOT(ISNUMBER(B4374)),"DATA_PC invalida",IF(NOT(ISNUMBER(parametros!$C$2)),"Fora dos ciclos",IF(OR(B4374&lt;parametros!$C$2,(YEAR(B4374)-YEAR(parametros!$C$2))*12+MONTH(B4374)-MONTH(parametros!$C$2)&gt;59),"Fora dos ciclos","C"&amp;INT(((YEAR(B4374)-YEAR(parametros!$C$2))*12+MONTH(B4374)-MONTH(parametros!$C$2))/12)))))</f>
        <v/>
      </c>
      <c r="D4374" s="394"/>
      <c r="E4374" s="78" t="str">
        <f>IF(C4374="","",IFERROR(VLOOKUP(C4374,parametros!$A$11:$E$15,5,0),""))</f>
        <v/>
      </c>
      <c r="F4374" s="79" t="str">
        <f t="shared" si="342"/>
        <v/>
      </c>
      <c r="G4374" s="395"/>
      <c r="H4374" s="91">
        <f t="shared" si="343"/>
        <v>0</v>
      </c>
      <c r="I4374" s="91" t="str">
        <f t="shared" si="344"/>
        <v/>
      </c>
      <c r="J4374" s="91" t="str">
        <f t="shared" si="345"/>
        <v/>
      </c>
      <c r="K4374" s="92" t="str">
        <f>IF(AND(A4374="",B4374="",D4374="",G4374=""),"",IF(AND(A4374&lt;&gt;"",COUNTIF($A$2:$A$5001,A4374)&gt;1),"NUMERO_PC duplicado",IF(B4374="","DATA_PC vazia",IF(NOT(ISNUMBER(B4374)),"DATA_PC invalida",IF(OR(C4374="",C4374="Fora dos ciclos"),"CICLO_PC nao identificado",IF(OR(D4374="",D4374=0),"VALOR_PC vazio ou zero",IF(AND(G4374&lt;&gt;"Sim",G4374&lt;&gt;"Nao",G4374&lt;&gt;""),"PC_PAGO_A_CONTRATADA invalido",IF(AND(C4374&lt;&gt;"C0",IFERROR(INDEX(parametros!$A$2:$A$6,MATCH(C4374,parametros!$B$2:$B$6,0)),"")="Sim",IFERROR(INDEX(parametros!$H$2:$H$6,MATCH(C4374,parametros!$B$2:$B$6,0)),"")=""),"INICIO_EFEITO ausente: PC "&amp;A4374&amp;" - "&amp;C4374,IF(L4374="","EFEITO_PC nao calculado: PC "&amp;A4374&amp;" - "&amp;C4374,"OK")))))))))</f>
        <v/>
      </c>
      <c r="L4374" s="92" t="str">
        <f>IF(AND(A4374="",B4374="",D4374="",G4374=""),"",IF(OR(B4374="",NOT(ISNUMBER(B4374)),C4374="",C4374="Fora dos ciclos"),"",IF(C4374="C0","Nao",IF(IFERROR(INDEX(parametros!$A$2:$A$6,MATCH(C4374,parametros!$B$2:$B$6,0)),"")&lt;&gt;"Sim","Nao",IF(IFERROR(INDEX(parametros!$H$2:$H$6,MATCH(C4374,parametros!$B$2:$B$6,0)),"")="","",IF(B4374&gt;=IFERROR(INDEX(parametros!$H$2:$H$6,MATCH(C4374,parametros!$B$2:$B$6,0)),""),"Sim","Nao"))))))</f>
        <v/>
      </c>
      <c r="T4374" s="156"/>
      <c r="U4374" s="214" t="str">
        <f t="shared" si="346"/>
        <v/>
      </c>
      <c r="V4374" s="212" t="s">
        <v>50</v>
      </c>
      <c r="W4374" s="100" t="s">
        <v>168</v>
      </c>
      <c r="X4374" s="100" t="s">
        <v>169</v>
      </c>
      <c r="Y4374" s="101" t="s">
        <v>170</v>
      </c>
      <c r="Z4374" s="101" t="s">
        <v>171</v>
      </c>
      <c r="AA4374" s="101" t="s">
        <v>50</v>
      </c>
      <c r="AB4374" s="101" t="s">
        <v>172</v>
      </c>
      <c r="AC4374" s="102" t="s">
        <v>173</v>
      </c>
    </row>
    <row r="4375" spans="1:29" ht="25.5" customHeight="1" x14ac:dyDescent="0.35">
      <c r="A4375" s="392"/>
      <c r="B4375" s="393"/>
      <c r="C4375" s="99" t="str">
        <f>IF(B4375="","",IF(NOT(ISNUMBER(B4375)),"DATA_PC invalida",IF(NOT(ISNUMBER(parametros!$C$2)),"Fora dos ciclos",IF(OR(B4375&lt;parametros!$C$2,(YEAR(B4375)-YEAR(parametros!$C$2))*12+MONTH(B4375)-MONTH(parametros!$C$2)&gt;59),"Fora dos ciclos","C"&amp;INT(((YEAR(B4375)-YEAR(parametros!$C$2))*12+MONTH(B4375)-MONTH(parametros!$C$2))/12)))))</f>
        <v/>
      </c>
      <c r="D4375" s="394"/>
      <c r="E4375" s="78" t="str">
        <f>IF(C4375="","",IFERROR(VLOOKUP(C4375,parametros!$A$11:$E$15,5,0),""))</f>
        <v/>
      </c>
      <c r="F4375" s="79" t="str">
        <f t="shared" si="342"/>
        <v/>
      </c>
      <c r="G4375" s="395"/>
      <c r="H4375" s="91">
        <f t="shared" si="343"/>
        <v>0</v>
      </c>
      <c r="I4375" s="91" t="str">
        <f t="shared" si="344"/>
        <v/>
      </c>
      <c r="J4375" s="91" t="str">
        <f t="shared" si="345"/>
        <v/>
      </c>
      <c r="K4375" s="92" t="str">
        <f>IF(AND(A4375="",B4375="",D4375="",G4375=""),"",IF(AND(A4375&lt;&gt;"",COUNTIF($A$2:$A$5001,A4375)&gt;1),"NUMERO_PC duplicado",IF(B4375="","DATA_PC vazia",IF(NOT(ISNUMBER(B4375)),"DATA_PC invalida",IF(OR(C4375="",C4375="Fora dos ciclos"),"CICLO_PC nao identificado",IF(OR(D4375="",D4375=0),"VALOR_PC vazio ou zero",IF(AND(G4375&lt;&gt;"Sim",G4375&lt;&gt;"Nao",G4375&lt;&gt;""),"PC_PAGO_A_CONTRATADA invalido",IF(AND(C4375&lt;&gt;"C0",IFERROR(INDEX(parametros!$A$2:$A$6,MATCH(C4375,parametros!$B$2:$B$6,0)),"")="Sim",IFERROR(INDEX(parametros!$H$2:$H$6,MATCH(C4375,parametros!$B$2:$B$6,0)),"")=""),"INICIO_EFEITO ausente: PC "&amp;A4375&amp;" - "&amp;C4375,IF(L4375="","EFEITO_PC nao calculado: PC "&amp;A4375&amp;" - "&amp;C4375,"OK")))))))))</f>
        <v/>
      </c>
      <c r="L4375" s="92" t="str">
        <f>IF(AND(A4375="",B4375="",D4375="",G4375=""),"",IF(OR(B4375="",NOT(ISNUMBER(B4375)),C4375="",C4375="Fora dos ciclos"),"",IF(C4375="C0","Nao",IF(IFERROR(INDEX(parametros!$A$2:$A$6,MATCH(C4375,parametros!$B$2:$B$6,0)),"")&lt;&gt;"Sim","Nao",IF(IFERROR(INDEX(parametros!$H$2:$H$6,MATCH(C4375,parametros!$B$2:$B$6,0)),"")="","",IF(B4375&gt;=IFERROR(INDEX(parametros!$H$2:$H$6,MATCH(C4375,parametros!$B$2:$B$6,0)),""),"Sim","Nao"))))))</f>
        <v/>
      </c>
      <c r="T4375" s="156"/>
      <c r="U4375" s="214" t="str">
        <f t="shared" si="346"/>
        <v/>
      </c>
      <c r="V4375" s="212" t="s">
        <v>50</v>
      </c>
      <c r="W4375" s="100" t="s">
        <v>168</v>
      </c>
      <c r="X4375" s="100" t="s">
        <v>169</v>
      </c>
      <c r="Y4375" s="101" t="s">
        <v>170</v>
      </c>
      <c r="Z4375" s="101" t="s">
        <v>171</v>
      </c>
      <c r="AA4375" s="101" t="s">
        <v>50</v>
      </c>
      <c r="AB4375" s="101" t="s">
        <v>172</v>
      </c>
      <c r="AC4375" s="102" t="s">
        <v>173</v>
      </c>
    </row>
    <row r="4376" spans="1:29" ht="25.5" customHeight="1" x14ac:dyDescent="0.35">
      <c r="A4376" s="392"/>
      <c r="B4376" s="393"/>
      <c r="C4376" s="99" t="str">
        <f>IF(B4376="","",IF(NOT(ISNUMBER(B4376)),"DATA_PC invalida",IF(NOT(ISNUMBER(parametros!$C$2)),"Fora dos ciclos",IF(OR(B4376&lt;parametros!$C$2,(YEAR(B4376)-YEAR(parametros!$C$2))*12+MONTH(B4376)-MONTH(parametros!$C$2)&gt;59),"Fora dos ciclos","C"&amp;INT(((YEAR(B4376)-YEAR(parametros!$C$2))*12+MONTH(B4376)-MONTH(parametros!$C$2))/12)))))</f>
        <v/>
      </c>
      <c r="D4376" s="394"/>
      <c r="E4376" s="78" t="str">
        <f>IF(C4376="","",IFERROR(VLOOKUP(C4376,parametros!$A$11:$E$15,5,0),""))</f>
        <v/>
      </c>
      <c r="F4376" s="79" t="str">
        <f t="shared" si="342"/>
        <v/>
      </c>
      <c r="G4376" s="395"/>
      <c r="H4376" s="91">
        <f t="shared" si="343"/>
        <v>0</v>
      </c>
      <c r="I4376" s="91" t="str">
        <f t="shared" si="344"/>
        <v/>
      </c>
      <c r="J4376" s="91" t="str">
        <f t="shared" si="345"/>
        <v/>
      </c>
      <c r="K4376" s="92" t="str">
        <f>IF(AND(A4376="",B4376="",D4376="",G4376=""),"",IF(AND(A4376&lt;&gt;"",COUNTIF($A$2:$A$5001,A4376)&gt;1),"NUMERO_PC duplicado",IF(B4376="","DATA_PC vazia",IF(NOT(ISNUMBER(B4376)),"DATA_PC invalida",IF(OR(C4376="",C4376="Fora dos ciclos"),"CICLO_PC nao identificado",IF(OR(D4376="",D4376=0),"VALOR_PC vazio ou zero",IF(AND(G4376&lt;&gt;"Sim",G4376&lt;&gt;"Nao",G4376&lt;&gt;""),"PC_PAGO_A_CONTRATADA invalido",IF(AND(C4376&lt;&gt;"C0",IFERROR(INDEX(parametros!$A$2:$A$6,MATCH(C4376,parametros!$B$2:$B$6,0)),"")="Sim",IFERROR(INDEX(parametros!$H$2:$H$6,MATCH(C4376,parametros!$B$2:$B$6,0)),"")=""),"INICIO_EFEITO ausente: PC "&amp;A4376&amp;" - "&amp;C4376,IF(L4376="","EFEITO_PC nao calculado: PC "&amp;A4376&amp;" - "&amp;C4376,"OK")))))))))</f>
        <v/>
      </c>
      <c r="L4376" s="92" t="str">
        <f>IF(AND(A4376="",B4376="",D4376="",G4376=""),"",IF(OR(B4376="",NOT(ISNUMBER(B4376)),C4376="",C4376="Fora dos ciclos"),"",IF(C4376="C0","Nao",IF(IFERROR(INDEX(parametros!$A$2:$A$6,MATCH(C4376,parametros!$B$2:$B$6,0)),"")&lt;&gt;"Sim","Nao",IF(IFERROR(INDEX(parametros!$H$2:$H$6,MATCH(C4376,parametros!$B$2:$B$6,0)),"")="","",IF(B4376&gt;=IFERROR(INDEX(parametros!$H$2:$H$6,MATCH(C4376,parametros!$B$2:$B$6,0)),""),"Sim","Nao"))))))</f>
        <v/>
      </c>
      <c r="T4376" s="156"/>
      <c r="U4376" s="214" t="str">
        <f t="shared" si="346"/>
        <v/>
      </c>
      <c r="V4376" s="212" t="s">
        <v>50</v>
      </c>
      <c r="W4376" s="100" t="s">
        <v>168</v>
      </c>
      <c r="X4376" s="100" t="s">
        <v>169</v>
      </c>
      <c r="Y4376" s="101" t="s">
        <v>170</v>
      </c>
      <c r="Z4376" s="101" t="s">
        <v>171</v>
      </c>
      <c r="AA4376" s="101" t="s">
        <v>50</v>
      </c>
      <c r="AB4376" s="101" t="s">
        <v>172</v>
      </c>
      <c r="AC4376" s="102" t="s">
        <v>173</v>
      </c>
    </row>
    <row r="4377" spans="1:29" ht="25.5" customHeight="1" x14ac:dyDescent="0.35">
      <c r="A4377" s="392"/>
      <c r="B4377" s="393"/>
      <c r="C4377" s="99" t="str">
        <f>IF(B4377="","",IF(NOT(ISNUMBER(B4377)),"DATA_PC invalida",IF(NOT(ISNUMBER(parametros!$C$2)),"Fora dos ciclos",IF(OR(B4377&lt;parametros!$C$2,(YEAR(B4377)-YEAR(parametros!$C$2))*12+MONTH(B4377)-MONTH(parametros!$C$2)&gt;59),"Fora dos ciclos","C"&amp;INT(((YEAR(B4377)-YEAR(parametros!$C$2))*12+MONTH(B4377)-MONTH(parametros!$C$2))/12)))))</f>
        <v/>
      </c>
      <c r="D4377" s="394"/>
      <c r="E4377" s="78" t="str">
        <f>IF(C4377="","",IFERROR(VLOOKUP(C4377,parametros!$A$11:$E$15,5,0),""))</f>
        <v/>
      </c>
      <c r="F4377" s="79" t="str">
        <f t="shared" si="342"/>
        <v/>
      </c>
      <c r="G4377" s="395"/>
      <c r="H4377" s="91">
        <f t="shared" si="343"/>
        <v>0</v>
      </c>
      <c r="I4377" s="91" t="str">
        <f t="shared" si="344"/>
        <v/>
      </c>
      <c r="J4377" s="91" t="str">
        <f t="shared" si="345"/>
        <v/>
      </c>
      <c r="K4377" s="92" t="str">
        <f>IF(AND(A4377="",B4377="",D4377="",G4377=""),"",IF(AND(A4377&lt;&gt;"",COUNTIF($A$2:$A$5001,A4377)&gt;1),"NUMERO_PC duplicado",IF(B4377="","DATA_PC vazia",IF(NOT(ISNUMBER(B4377)),"DATA_PC invalida",IF(OR(C4377="",C4377="Fora dos ciclos"),"CICLO_PC nao identificado",IF(OR(D4377="",D4377=0),"VALOR_PC vazio ou zero",IF(AND(G4377&lt;&gt;"Sim",G4377&lt;&gt;"Nao",G4377&lt;&gt;""),"PC_PAGO_A_CONTRATADA invalido",IF(AND(C4377&lt;&gt;"C0",IFERROR(INDEX(parametros!$A$2:$A$6,MATCH(C4377,parametros!$B$2:$B$6,0)),"")="Sim",IFERROR(INDEX(parametros!$H$2:$H$6,MATCH(C4377,parametros!$B$2:$B$6,0)),"")=""),"INICIO_EFEITO ausente: PC "&amp;A4377&amp;" - "&amp;C4377,IF(L4377="","EFEITO_PC nao calculado: PC "&amp;A4377&amp;" - "&amp;C4377,"OK")))))))))</f>
        <v/>
      </c>
      <c r="L4377" s="92" t="str">
        <f>IF(AND(A4377="",B4377="",D4377="",G4377=""),"",IF(OR(B4377="",NOT(ISNUMBER(B4377)),C4377="",C4377="Fora dos ciclos"),"",IF(C4377="C0","Nao",IF(IFERROR(INDEX(parametros!$A$2:$A$6,MATCH(C4377,parametros!$B$2:$B$6,0)),"")&lt;&gt;"Sim","Nao",IF(IFERROR(INDEX(parametros!$H$2:$H$6,MATCH(C4377,parametros!$B$2:$B$6,0)),"")="","",IF(B4377&gt;=IFERROR(INDEX(parametros!$H$2:$H$6,MATCH(C4377,parametros!$B$2:$B$6,0)),""),"Sim","Nao"))))))</f>
        <v/>
      </c>
      <c r="T4377" s="156"/>
      <c r="U4377" s="214" t="str">
        <f t="shared" si="346"/>
        <v/>
      </c>
      <c r="V4377" s="212" t="s">
        <v>50</v>
      </c>
      <c r="W4377" s="100" t="s">
        <v>168</v>
      </c>
      <c r="X4377" s="100" t="s">
        <v>169</v>
      </c>
      <c r="Y4377" s="101" t="s">
        <v>170</v>
      </c>
      <c r="Z4377" s="101" t="s">
        <v>171</v>
      </c>
      <c r="AA4377" s="101" t="s">
        <v>50</v>
      </c>
      <c r="AB4377" s="101" t="s">
        <v>172</v>
      </c>
      <c r="AC4377" s="102" t="s">
        <v>173</v>
      </c>
    </row>
    <row r="4378" spans="1:29" ht="25.5" customHeight="1" x14ac:dyDescent="0.35">
      <c r="A4378" s="392"/>
      <c r="B4378" s="393"/>
      <c r="C4378" s="99" t="str">
        <f>IF(B4378="","",IF(NOT(ISNUMBER(B4378)),"DATA_PC invalida",IF(NOT(ISNUMBER(parametros!$C$2)),"Fora dos ciclos",IF(OR(B4378&lt;parametros!$C$2,(YEAR(B4378)-YEAR(parametros!$C$2))*12+MONTH(B4378)-MONTH(parametros!$C$2)&gt;59),"Fora dos ciclos","C"&amp;INT(((YEAR(B4378)-YEAR(parametros!$C$2))*12+MONTH(B4378)-MONTH(parametros!$C$2))/12)))))</f>
        <v/>
      </c>
      <c r="D4378" s="394"/>
      <c r="E4378" s="78" t="str">
        <f>IF(C4378="","",IFERROR(VLOOKUP(C4378,parametros!$A$11:$E$15,5,0),""))</f>
        <v/>
      </c>
      <c r="F4378" s="79" t="str">
        <f t="shared" si="342"/>
        <v/>
      </c>
      <c r="G4378" s="395"/>
      <c r="H4378" s="91">
        <f t="shared" si="343"/>
        <v>0</v>
      </c>
      <c r="I4378" s="91" t="str">
        <f t="shared" si="344"/>
        <v/>
      </c>
      <c r="J4378" s="91" t="str">
        <f t="shared" si="345"/>
        <v/>
      </c>
      <c r="K4378" s="92" t="str">
        <f>IF(AND(A4378="",B4378="",D4378="",G4378=""),"",IF(AND(A4378&lt;&gt;"",COUNTIF($A$2:$A$5001,A4378)&gt;1),"NUMERO_PC duplicado",IF(B4378="","DATA_PC vazia",IF(NOT(ISNUMBER(B4378)),"DATA_PC invalida",IF(OR(C4378="",C4378="Fora dos ciclos"),"CICLO_PC nao identificado",IF(OR(D4378="",D4378=0),"VALOR_PC vazio ou zero",IF(AND(G4378&lt;&gt;"Sim",G4378&lt;&gt;"Nao",G4378&lt;&gt;""),"PC_PAGO_A_CONTRATADA invalido",IF(AND(C4378&lt;&gt;"C0",IFERROR(INDEX(parametros!$A$2:$A$6,MATCH(C4378,parametros!$B$2:$B$6,0)),"")="Sim",IFERROR(INDEX(parametros!$H$2:$H$6,MATCH(C4378,parametros!$B$2:$B$6,0)),"")=""),"INICIO_EFEITO ausente: PC "&amp;A4378&amp;" - "&amp;C4378,IF(L4378="","EFEITO_PC nao calculado: PC "&amp;A4378&amp;" - "&amp;C4378,"OK")))))))))</f>
        <v/>
      </c>
      <c r="L4378" s="92" t="str">
        <f>IF(AND(A4378="",B4378="",D4378="",G4378=""),"",IF(OR(B4378="",NOT(ISNUMBER(B4378)),C4378="",C4378="Fora dos ciclos"),"",IF(C4378="C0","Nao",IF(IFERROR(INDEX(parametros!$A$2:$A$6,MATCH(C4378,parametros!$B$2:$B$6,0)),"")&lt;&gt;"Sim","Nao",IF(IFERROR(INDEX(parametros!$H$2:$H$6,MATCH(C4378,parametros!$B$2:$B$6,0)),"")="","",IF(B4378&gt;=IFERROR(INDEX(parametros!$H$2:$H$6,MATCH(C4378,parametros!$B$2:$B$6,0)),""),"Sim","Nao"))))))</f>
        <v/>
      </c>
      <c r="T4378" s="156"/>
      <c r="U4378" s="214" t="str">
        <f t="shared" si="346"/>
        <v/>
      </c>
      <c r="V4378" s="212" t="s">
        <v>50</v>
      </c>
      <c r="W4378" s="100" t="s">
        <v>168</v>
      </c>
      <c r="X4378" s="100" t="s">
        <v>169</v>
      </c>
      <c r="Y4378" s="101" t="s">
        <v>170</v>
      </c>
      <c r="Z4378" s="101" t="s">
        <v>171</v>
      </c>
      <c r="AA4378" s="101" t="s">
        <v>50</v>
      </c>
      <c r="AB4378" s="101" t="s">
        <v>172</v>
      </c>
      <c r="AC4378" s="102" t="s">
        <v>173</v>
      </c>
    </row>
    <row r="4379" spans="1:29" ht="25.5" customHeight="1" x14ac:dyDescent="0.35">
      <c r="A4379" s="392"/>
      <c r="B4379" s="393"/>
      <c r="C4379" s="99" t="str">
        <f>IF(B4379="","",IF(NOT(ISNUMBER(B4379)),"DATA_PC invalida",IF(NOT(ISNUMBER(parametros!$C$2)),"Fora dos ciclos",IF(OR(B4379&lt;parametros!$C$2,(YEAR(B4379)-YEAR(parametros!$C$2))*12+MONTH(B4379)-MONTH(parametros!$C$2)&gt;59),"Fora dos ciclos","C"&amp;INT(((YEAR(B4379)-YEAR(parametros!$C$2))*12+MONTH(B4379)-MONTH(parametros!$C$2))/12)))))</f>
        <v/>
      </c>
      <c r="D4379" s="394"/>
      <c r="E4379" s="78" t="str">
        <f>IF(C4379="","",IFERROR(VLOOKUP(C4379,parametros!$A$11:$E$15,5,0),""))</f>
        <v/>
      </c>
      <c r="F4379" s="79" t="str">
        <f t="shared" si="342"/>
        <v/>
      </c>
      <c r="G4379" s="395"/>
      <c r="H4379" s="91">
        <f t="shared" si="343"/>
        <v>0</v>
      </c>
      <c r="I4379" s="91" t="str">
        <f t="shared" si="344"/>
        <v/>
      </c>
      <c r="J4379" s="91" t="str">
        <f t="shared" si="345"/>
        <v/>
      </c>
      <c r="K4379" s="92" t="str">
        <f>IF(AND(A4379="",B4379="",D4379="",G4379=""),"",IF(AND(A4379&lt;&gt;"",COUNTIF($A$2:$A$5001,A4379)&gt;1),"NUMERO_PC duplicado",IF(B4379="","DATA_PC vazia",IF(NOT(ISNUMBER(B4379)),"DATA_PC invalida",IF(OR(C4379="",C4379="Fora dos ciclos"),"CICLO_PC nao identificado",IF(OR(D4379="",D4379=0),"VALOR_PC vazio ou zero",IF(AND(G4379&lt;&gt;"Sim",G4379&lt;&gt;"Nao",G4379&lt;&gt;""),"PC_PAGO_A_CONTRATADA invalido",IF(AND(C4379&lt;&gt;"C0",IFERROR(INDEX(parametros!$A$2:$A$6,MATCH(C4379,parametros!$B$2:$B$6,0)),"")="Sim",IFERROR(INDEX(parametros!$H$2:$H$6,MATCH(C4379,parametros!$B$2:$B$6,0)),"")=""),"INICIO_EFEITO ausente: PC "&amp;A4379&amp;" - "&amp;C4379,IF(L4379="","EFEITO_PC nao calculado: PC "&amp;A4379&amp;" - "&amp;C4379,"OK")))))))))</f>
        <v/>
      </c>
      <c r="L4379" s="92" t="str">
        <f>IF(AND(A4379="",B4379="",D4379="",G4379=""),"",IF(OR(B4379="",NOT(ISNUMBER(B4379)),C4379="",C4379="Fora dos ciclos"),"",IF(C4379="C0","Nao",IF(IFERROR(INDEX(parametros!$A$2:$A$6,MATCH(C4379,parametros!$B$2:$B$6,0)),"")&lt;&gt;"Sim","Nao",IF(IFERROR(INDEX(parametros!$H$2:$H$6,MATCH(C4379,parametros!$B$2:$B$6,0)),"")="","",IF(B4379&gt;=IFERROR(INDEX(parametros!$H$2:$H$6,MATCH(C4379,parametros!$B$2:$B$6,0)),""),"Sim","Nao"))))))</f>
        <v/>
      </c>
      <c r="T4379" s="156"/>
      <c r="U4379" s="214" t="str">
        <f t="shared" si="346"/>
        <v/>
      </c>
      <c r="V4379" s="212" t="s">
        <v>50</v>
      </c>
      <c r="W4379" s="100" t="s">
        <v>168</v>
      </c>
      <c r="X4379" s="100" t="s">
        <v>169</v>
      </c>
      <c r="Y4379" s="101" t="s">
        <v>170</v>
      </c>
      <c r="Z4379" s="101" t="s">
        <v>171</v>
      </c>
      <c r="AA4379" s="101" t="s">
        <v>50</v>
      </c>
      <c r="AB4379" s="101" t="s">
        <v>172</v>
      </c>
      <c r="AC4379" s="102" t="s">
        <v>173</v>
      </c>
    </row>
    <row r="4380" spans="1:29" ht="25.5" customHeight="1" x14ac:dyDescent="0.35">
      <c r="A4380" s="392"/>
      <c r="B4380" s="393"/>
      <c r="C4380" s="99" t="str">
        <f>IF(B4380="","",IF(NOT(ISNUMBER(B4380)),"DATA_PC invalida",IF(NOT(ISNUMBER(parametros!$C$2)),"Fora dos ciclos",IF(OR(B4380&lt;parametros!$C$2,(YEAR(B4380)-YEAR(parametros!$C$2))*12+MONTH(B4380)-MONTH(parametros!$C$2)&gt;59),"Fora dos ciclos","C"&amp;INT(((YEAR(B4380)-YEAR(parametros!$C$2))*12+MONTH(B4380)-MONTH(parametros!$C$2))/12)))))</f>
        <v/>
      </c>
      <c r="D4380" s="394"/>
      <c r="E4380" s="78" t="str">
        <f>IF(C4380="","",IFERROR(VLOOKUP(C4380,parametros!$A$11:$E$15,5,0),""))</f>
        <v/>
      </c>
      <c r="F4380" s="79" t="str">
        <f t="shared" si="342"/>
        <v/>
      </c>
      <c r="G4380" s="395"/>
      <c r="H4380" s="91">
        <f t="shared" si="343"/>
        <v>0</v>
      </c>
      <c r="I4380" s="91" t="str">
        <f t="shared" si="344"/>
        <v/>
      </c>
      <c r="J4380" s="91" t="str">
        <f t="shared" si="345"/>
        <v/>
      </c>
      <c r="K4380" s="92" t="str">
        <f>IF(AND(A4380="",B4380="",D4380="",G4380=""),"",IF(AND(A4380&lt;&gt;"",COUNTIF($A$2:$A$5001,A4380)&gt;1),"NUMERO_PC duplicado",IF(B4380="","DATA_PC vazia",IF(NOT(ISNUMBER(B4380)),"DATA_PC invalida",IF(OR(C4380="",C4380="Fora dos ciclos"),"CICLO_PC nao identificado",IF(OR(D4380="",D4380=0),"VALOR_PC vazio ou zero",IF(AND(G4380&lt;&gt;"Sim",G4380&lt;&gt;"Nao",G4380&lt;&gt;""),"PC_PAGO_A_CONTRATADA invalido",IF(AND(C4380&lt;&gt;"C0",IFERROR(INDEX(parametros!$A$2:$A$6,MATCH(C4380,parametros!$B$2:$B$6,0)),"")="Sim",IFERROR(INDEX(parametros!$H$2:$H$6,MATCH(C4380,parametros!$B$2:$B$6,0)),"")=""),"INICIO_EFEITO ausente: PC "&amp;A4380&amp;" - "&amp;C4380,IF(L4380="","EFEITO_PC nao calculado: PC "&amp;A4380&amp;" - "&amp;C4380,"OK")))))))))</f>
        <v/>
      </c>
      <c r="L4380" s="92" t="str">
        <f>IF(AND(A4380="",B4380="",D4380="",G4380=""),"",IF(OR(B4380="",NOT(ISNUMBER(B4380)),C4380="",C4380="Fora dos ciclos"),"",IF(C4380="C0","Nao",IF(IFERROR(INDEX(parametros!$A$2:$A$6,MATCH(C4380,parametros!$B$2:$B$6,0)),"")&lt;&gt;"Sim","Nao",IF(IFERROR(INDEX(parametros!$H$2:$H$6,MATCH(C4380,parametros!$B$2:$B$6,0)),"")="","",IF(B4380&gt;=IFERROR(INDEX(parametros!$H$2:$H$6,MATCH(C4380,parametros!$B$2:$B$6,0)),""),"Sim","Nao"))))))</f>
        <v/>
      </c>
      <c r="T4380" s="156"/>
      <c r="U4380" s="214" t="str">
        <f t="shared" si="346"/>
        <v/>
      </c>
      <c r="V4380" s="212" t="s">
        <v>50</v>
      </c>
      <c r="W4380" s="100" t="s">
        <v>168</v>
      </c>
      <c r="X4380" s="100" t="s">
        <v>169</v>
      </c>
      <c r="Y4380" s="101" t="s">
        <v>170</v>
      </c>
      <c r="Z4380" s="101" t="s">
        <v>171</v>
      </c>
      <c r="AA4380" s="101" t="s">
        <v>50</v>
      </c>
      <c r="AB4380" s="101" t="s">
        <v>172</v>
      </c>
      <c r="AC4380" s="102" t="s">
        <v>173</v>
      </c>
    </row>
    <row r="4381" spans="1:29" ht="25.5" customHeight="1" x14ac:dyDescent="0.35">
      <c r="A4381" s="392"/>
      <c r="B4381" s="393"/>
      <c r="C4381" s="99" t="str">
        <f>IF(B4381="","",IF(NOT(ISNUMBER(B4381)),"DATA_PC invalida",IF(NOT(ISNUMBER(parametros!$C$2)),"Fora dos ciclos",IF(OR(B4381&lt;parametros!$C$2,(YEAR(B4381)-YEAR(parametros!$C$2))*12+MONTH(B4381)-MONTH(parametros!$C$2)&gt;59),"Fora dos ciclos","C"&amp;INT(((YEAR(B4381)-YEAR(parametros!$C$2))*12+MONTH(B4381)-MONTH(parametros!$C$2))/12)))))</f>
        <v/>
      </c>
      <c r="D4381" s="394"/>
      <c r="E4381" s="78" t="str">
        <f>IF(C4381="","",IFERROR(VLOOKUP(C4381,parametros!$A$11:$E$15,5,0),""))</f>
        <v/>
      </c>
      <c r="F4381" s="79" t="str">
        <f t="shared" si="342"/>
        <v/>
      </c>
      <c r="G4381" s="395"/>
      <c r="H4381" s="91">
        <f t="shared" si="343"/>
        <v>0</v>
      </c>
      <c r="I4381" s="91" t="str">
        <f t="shared" si="344"/>
        <v/>
      </c>
      <c r="J4381" s="91" t="str">
        <f t="shared" si="345"/>
        <v/>
      </c>
      <c r="K4381" s="92" t="str">
        <f>IF(AND(A4381="",B4381="",D4381="",G4381=""),"",IF(AND(A4381&lt;&gt;"",COUNTIF($A$2:$A$5001,A4381)&gt;1),"NUMERO_PC duplicado",IF(B4381="","DATA_PC vazia",IF(NOT(ISNUMBER(B4381)),"DATA_PC invalida",IF(OR(C4381="",C4381="Fora dos ciclos"),"CICLO_PC nao identificado",IF(OR(D4381="",D4381=0),"VALOR_PC vazio ou zero",IF(AND(G4381&lt;&gt;"Sim",G4381&lt;&gt;"Nao",G4381&lt;&gt;""),"PC_PAGO_A_CONTRATADA invalido",IF(AND(C4381&lt;&gt;"C0",IFERROR(INDEX(parametros!$A$2:$A$6,MATCH(C4381,parametros!$B$2:$B$6,0)),"")="Sim",IFERROR(INDEX(parametros!$H$2:$H$6,MATCH(C4381,parametros!$B$2:$B$6,0)),"")=""),"INICIO_EFEITO ausente: PC "&amp;A4381&amp;" - "&amp;C4381,IF(L4381="","EFEITO_PC nao calculado: PC "&amp;A4381&amp;" - "&amp;C4381,"OK")))))))))</f>
        <v/>
      </c>
      <c r="L4381" s="92" t="str">
        <f>IF(AND(A4381="",B4381="",D4381="",G4381=""),"",IF(OR(B4381="",NOT(ISNUMBER(B4381)),C4381="",C4381="Fora dos ciclos"),"",IF(C4381="C0","Nao",IF(IFERROR(INDEX(parametros!$A$2:$A$6,MATCH(C4381,parametros!$B$2:$B$6,0)),"")&lt;&gt;"Sim","Nao",IF(IFERROR(INDEX(parametros!$H$2:$H$6,MATCH(C4381,parametros!$B$2:$B$6,0)),"")="","",IF(B4381&gt;=IFERROR(INDEX(parametros!$H$2:$H$6,MATCH(C4381,parametros!$B$2:$B$6,0)),""),"Sim","Nao"))))))</f>
        <v/>
      </c>
      <c r="T4381" s="156"/>
      <c r="U4381" s="214" t="str">
        <f t="shared" si="346"/>
        <v/>
      </c>
      <c r="V4381" s="212" t="s">
        <v>50</v>
      </c>
      <c r="W4381" s="100" t="s">
        <v>168</v>
      </c>
      <c r="X4381" s="100" t="s">
        <v>169</v>
      </c>
      <c r="Y4381" s="101" t="s">
        <v>170</v>
      </c>
      <c r="Z4381" s="101" t="s">
        <v>171</v>
      </c>
      <c r="AA4381" s="101" t="s">
        <v>50</v>
      </c>
      <c r="AB4381" s="101" t="s">
        <v>172</v>
      </c>
      <c r="AC4381" s="102" t="s">
        <v>173</v>
      </c>
    </row>
    <row r="4382" spans="1:29" ht="25.5" customHeight="1" x14ac:dyDescent="0.35">
      <c r="A4382" s="392"/>
      <c r="B4382" s="393"/>
      <c r="C4382" s="99" t="str">
        <f>IF(B4382="","",IF(NOT(ISNUMBER(B4382)),"DATA_PC invalida",IF(NOT(ISNUMBER(parametros!$C$2)),"Fora dos ciclos",IF(OR(B4382&lt;parametros!$C$2,(YEAR(B4382)-YEAR(parametros!$C$2))*12+MONTH(B4382)-MONTH(parametros!$C$2)&gt;59),"Fora dos ciclos","C"&amp;INT(((YEAR(B4382)-YEAR(parametros!$C$2))*12+MONTH(B4382)-MONTH(parametros!$C$2))/12)))))</f>
        <v/>
      </c>
      <c r="D4382" s="394"/>
      <c r="E4382" s="78" t="str">
        <f>IF(C4382="","",IFERROR(VLOOKUP(C4382,parametros!$A$11:$E$15,5,0),""))</f>
        <v/>
      </c>
      <c r="F4382" s="79" t="str">
        <f t="shared" si="342"/>
        <v/>
      </c>
      <c r="G4382" s="395"/>
      <c r="H4382" s="91">
        <f t="shared" si="343"/>
        <v>0</v>
      </c>
      <c r="I4382" s="91" t="str">
        <f t="shared" si="344"/>
        <v/>
      </c>
      <c r="J4382" s="91" t="str">
        <f t="shared" si="345"/>
        <v/>
      </c>
      <c r="K4382" s="92" t="str">
        <f>IF(AND(A4382="",B4382="",D4382="",G4382=""),"",IF(AND(A4382&lt;&gt;"",COUNTIF($A$2:$A$5001,A4382)&gt;1),"NUMERO_PC duplicado",IF(B4382="","DATA_PC vazia",IF(NOT(ISNUMBER(B4382)),"DATA_PC invalida",IF(OR(C4382="",C4382="Fora dos ciclos"),"CICLO_PC nao identificado",IF(OR(D4382="",D4382=0),"VALOR_PC vazio ou zero",IF(AND(G4382&lt;&gt;"Sim",G4382&lt;&gt;"Nao",G4382&lt;&gt;""),"PC_PAGO_A_CONTRATADA invalido",IF(AND(C4382&lt;&gt;"C0",IFERROR(INDEX(parametros!$A$2:$A$6,MATCH(C4382,parametros!$B$2:$B$6,0)),"")="Sim",IFERROR(INDEX(parametros!$H$2:$H$6,MATCH(C4382,parametros!$B$2:$B$6,0)),"")=""),"INICIO_EFEITO ausente: PC "&amp;A4382&amp;" - "&amp;C4382,IF(L4382="","EFEITO_PC nao calculado: PC "&amp;A4382&amp;" - "&amp;C4382,"OK")))))))))</f>
        <v/>
      </c>
      <c r="L4382" s="92" t="str">
        <f>IF(AND(A4382="",B4382="",D4382="",G4382=""),"",IF(OR(B4382="",NOT(ISNUMBER(B4382)),C4382="",C4382="Fora dos ciclos"),"",IF(C4382="C0","Nao",IF(IFERROR(INDEX(parametros!$A$2:$A$6,MATCH(C4382,parametros!$B$2:$B$6,0)),"")&lt;&gt;"Sim","Nao",IF(IFERROR(INDEX(parametros!$H$2:$H$6,MATCH(C4382,parametros!$B$2:$B$6,0)),"")="","",IF(B4382&gt;=IFERROR(INDEX(parametros!$H$2:$H$6,MATCH(C4382,parametros!$B$2:$B$6,0)),""),"Sim","Nao"))))))</f>
        <v/>
      </c>
      <c r="T4382" s="156"/>
      <c r="U4382" s="214" t="str">
        <f t="shared" si="346"/>
        <v/>
      </c>
      <c r="V4382" s="212" t="s">
        <v>50</v>
      </c>
      <c r="W4382" s="100" t="s">
        <v>168</v>
      </c>
      <c r="X4382" s="100" t="s">
        <v>169</v>
      </c>
      <c r="Y4382" s="101" t="s">
        <v>170</v>
      </c>
      <c r="Z4382" s="101" t="s">
        <v>171</v>
      </c>
      <c r="AA4382" s="101" t="s">
        <v>50</v>
      </c>
      <c r="AB4382" s="101" t="s">
        <v>172</v>
      </c>
      <c r="AC4382" s="102" t="s">
        <v>173</v>
      </c>
    </row>
    <row r="4383" spans="1:29" ht="25.5" customHeight="1" x14ac:dyDescent="0.35">
      <c r="A4383" s="392"/>
      <c r="B4383" s="393"/>
      <c r="C4383" s="99" t="str">
        <f>IF(B4383="","",IF(NOT(ISNUMBER(B4383)),"DATA_PC invalida",IF(NOT(ISNUMBER(parametros!$C$2)),"Fora dos ciclos",IF(OR(B4383&lt;parametros!$C$2,(YEAR(B4383)-YEAR(parametros!$C$2))*12+MONTH(B4383)-MONTH(parametros!$C$2)&gt;59),"Fora dos ciclos","C"&amp;INT(((YEAR(B4383)-YEAR(parametros!$C$2))*12+MONTH(B4383)-MONTH(parametros!$C$2))/12)))))</f>
        <v/>
      </c>
      <c r="D4383" s="394"/>
      <c r="E4383" s="78" t="str">
        <f>IF(C4383="","",IFERROR(VLOOKUP(C4383,parametros!$A$11:$E$15,5,0),""))</f>
        <v/>
      </c>
      <c r="F4383" s="79" t="str">
        <f t="shared" si="342"/>
        <v/>
      </c>
      <c r="G4383" s="395"/>
      <c r="H4383" s="91">
        <f t="shared" si="343"/>
        <v>0</v>
      </c>
      <c r="I4383" s="91" t="str">
        <f t="shared" si="344"/>
        <v/>
      </c>
      <c r="J4383" s="91" t="str">
        <f t="shared" si="345"/>
        <v/>
      </c>
      <c r="K4383" s="92" t="str">
        <f>IF(AND(A4383="",B4383="",D4383="",G4383=""),"",IF(AND(A4383&lt;&gt;"",COUNTIF($A$2:$A$5001,A4383)&gt;1),"NUMERO_PC duplicado",IF(B4383="","DATA_PC vazia",IF(NOT(ISNUMBER(B4383)),"DATA_PC invalida",IF(OR(C4383="",C4383="Fora dos ciclos"),"CICLO_PC nao identificado",IF(OR(D4383="",D4383=0),"VALOR_PC vazio ou zero",IF(AND(G4383&lt;&gt;"Sim",G4383&lt;&gt;"Nao",G4383&lt;&gt;""),"PC_PAGO_A_CONTRATADA invalido",IF(AND(C4383&lt;&gt;"C0",IFERROR(INDEX(parametros!$A$2:$A$6,MATCH(C4383,parametros!$B$2:$B$6,0)),"")="Sim",IFERROR(INDEX(parametros!$H$2:$H$6,MATCH(C4383,parametros!$B$2:$B$6,0)),"")=""),"INICIO_EFEITO ausente: PC "&amp;A4383&amp;" - "&amp;C4383,IF(L4383="","EFEITO_PC nao calculado: PC "&amp;A4383&amp;" - "&amp;C4383,"OK")))))))))</f>
        <v/>
      </c>
      <c r="L4383" s="92" t="str">
        <f>IF(AND(A4383="",B4383="",D4383="",G4383=""),"",IF(OR(B4383="",NOT(ISNUMBER(B4383)),C4383="",C4383="Fora dos ciclos"),"",IF(C4383="C0","Nao",IF(IFERROR(INDEX(parametros!$A$2:$A$6,MATCH(C4383,parametros!$B$2:$B$6,0)),"")&lt;&gt;"Sim","Nao",IF(IFERROR(INDEX(parametros!$H$2:$H$6,MATCH(C4383,parametros!$B$2:$B$6,0)),"")="","",IF(B4383&gt;=IFERROR(INDEX(parametros!$H$2:$H$6,MATCH(C4383,parametros!$B$2:$B$6,0)),""),"Sim","Nao"))))))</f>
        <v/>
      </c>
      <c r="T4383" s="156"/>
      <c r="U4383" s="214" t="str">
        <f t="shared" si="346"/>
        <v/>
      </c>
      <c r="V4383" s="212" t="s">
        <v>50</v>
      </c>
      <c r="W4383" s="100" t="s">
        <v>168</v>
      </c>
      <c r="X4383" s="100" t="s">
        <v>169</v>
      </c>
      <c r="Y4383" s="101" t="s">
        <v>170</v>
      </c>
      <c r="Z4383" s="101" t="s">
        <v>171</v>
      </c>
      <c r="AA4383" s="101" t="s">
        <v>50</v>
      </c>
      <c r="AB4383" s="101" t="s">
        <v>172</v>
      </c>
      <c r="AC4383" s="102" t="s">
        <v>173</v>
      </c>
    </row>
    <row r="4384" spans="1:29" ht="25.5" customHeight="1" x14ac:dyDescent="0.35">
      <c r="A4384" s="392"/>
      <c r="B4384" s="393"/>
      <c r="C4384" s="99" t="str">
        <f>IF(B4384="","",IF(NOT(ISNUMBER(B4384)),"DATA_PC invalida",IF(NOT(ISNUMBER(parametros!$C$2)),"Fora dos ciclos",IF(OR(B4384&lt;parametros!$C$2,(YEAR(B4384)-YEAR(parametros!$C$2))*12+MONTH(B4384)-MONTH(parametros!$C$2)&gt;59),"Fora dos ciclos","C"&amp;INT(((YEAR(B4384)-YEAR(parametros!$C$2))*12+MONTH(B4384)-MONTH(parametros!$C$2))/12)))))</f>
        <v/>
      </c>
      <c r="D4384" s="394"/>
      <c r="E4384" s="78" t="str">
        <f>IF(C4384="","",IFERROR(VLOOKUP(C4384,parametros!$A$11:$E$15,5,0),""))</f>
        <v/>
      </c>
      <c r="F4384" s="79" t="str">
        <f t="shared" si="342"/>
        <v/>
      </c>
      <c r="G4384" s="395"/>
      <c r="H4384" s="91">
        <f t="shared" si="343"/>
        <v>0</v>
      </c>
      <c r="I4384" s="91" t="str">
        <f t="shared" si="344"/>
        <v/>
      </c>
      <c r="J4384" s="91" t="str">
        <f t="shared" si="345"/>
        <v/>
      </c>
      <c r="K4384" s="92" t="str">
        <f>IF(AND(A4384="",B4384="",D4384="",G4384=""),"",IF(AND(A4384&lt;&gt;"",COUNTIF($A$2:$A$5001,A4384)&gt;1),"NUMERO_PC duplicado",IF(B4384="","DATA_PC vazia",IF(NOT(ISNUMBER(B4384)),"DATA_PC invalida",IF(OR(C4384="",C4384="Fora dos ciclos"),"CICLO_PC nao identificado",IF(OR(D4384="",D4384=0),"VALOR_PC vazio ou zero",IF(AND(G4384&lt;&gt;"Sim",G4384&lt;&gt;"Nao",G4384&lt;&gt;""),"PC_PAGO_A_CONTRATADA invalido",IF(AND(C4384&lt;&gt;"C0",IFERROR(INDEX(parametros!$A$2:$A$6,MATCH(C4384,parametros!$B$2:$B$6,0)),"")="Sim",IFERROR(INDEX(parametros!$H$2:$H$6,MATCH(C4384,parametros!$B$2:$B$6,0)),"")=""),"INICIO_EFEITO ausente: PC "&amp;A4384&amp;" - "&amp;C4384,IF(L4384="","EFEITO_PC nao calculado: PC "&amp;A4384&amp;" - "&amp;C4384,"OK")))))))))</f>
        <v/>
      </c>
      <c r="L4384" s="92" t="str">
        <f>IF(AND(A4384="",B4384="",D4384="",G4384=""),"",IF(OR(B4384="",NOT(ISNUMBER(B4384)),C4384="",C4384="Fora dos ciclos"),"",IF(C4384="C0","Nao",IF(IFERROR(INDEX(parametros!$A$2:$A$6,MATCH(C4384,parametros!$B$2:$B$6,0)),"")&lt;&gt;"Sim","Nao",IF(IFERROR(INDEX(parametros!$H$2:$H$6,MATCH(C4384,parametros!$B$2:$B$6,0)),"")="","",IF(B4384&gt;=IFERROR(INDEX(parametros!$H$2:$H$6,MATCH(C4384,parametros!$B$2:$B$6,0)),""),"Sim","Nao"))))))</f>
        <v/>
      </c>
      <c r="T4384" s="156"/>
      <c r="U4384" s="214" t="str">
        <f t="shared" si="346"/>
        <v/>
      </c>
      <c r="V4384" s="212" t="s">
        <v>50</v>
      </c>
      <c r="W4384" s="100" t="s">
        <v>168</v>
      </c>
      <c r="X4384" s="100" t="s">
        <v>169</v>
      </c>
      <c r="Y4384" s="101" t="s">
        <v>170</v>
      </c>
      <c r="Z4384" s="101" t="s">
        <v>171</v>
      </c>
      <c r="AA4384" s="101" t="s">
        <v>50</v>
      </c>
      <c r="AB4384" s="101" t="s">
        <v>172</v>
      </c>
      <c r="AC4384" s="102" t="s">
        <v>173</v>
      </c>
    </row>
    <row r="4385" spans="1:29" ht="25.5" customHeight="1" x14ac:dyDescent="0.35">
      <c r="A4385" s="392"/>
      <c r="B4385" s="393"/>
      <c r="C4385" s="99" t="str">
        <f>IF(B4385="","",IF(NOT(ISNUMBER(B4385)),"DATA_PC invalida",IF(NOT(ISNUMBER(parametros!$C$2)),"Fora dos ciclos",IF(OR(B4385&lt;parametros!$C$2,(YEAR(B4385)-YEAR(parametros!$C$2))*12+MONTH(B4385)-MONTH(parametros!$C$2)&gt;59),"Fora dos ciclos","C"&amp;INT(((YEAR(B4385)-YEAR(parametros!$C$2))*12+MONTH(B4385)-MONTH(parametros!$C$2))/12)))))</f>
        <v/>
      </c>
      <c r="D4385" s="394"/>
      <c r="E4385" s="78" t="str">
        <f>IF(C4385="","",IFERROR(VLOOKUP(C4385,parametros!$A$11:$E$15,5,0),""))</f>
        <v/>
      </c>
      <c r="F4385" s="79" t="str">
        <f t="shared" si="342"/>
        <v/>
      </c>
      <c r="G4385" s="395"/>
      <c r="H4385" s="91">
        <f t="shared" si="343"/>
        <v>0</v>
      </c>
      <c r="I4385" s="91" t="str">
        <f t="shared" si="344"/>
        <v/>
      </c>
      <c r="J4385" s="91" t="str">
        <f t="shared" si="345"/>
        <v/>
      </c>
      <c r="K4385" s="92" t="str">
        <f>IF(AND(A4385="",B4385="",D4385="",G4385=""),"",IF(AND(A4385&lt;&gt;"",COUNTIF($A$2:$A$5001,A4385)&gt;1),"NUMERO_PC duplicado",IF(B4385="","DATA_PC vazia",IF(NOT(ISNUMBER(B4385)),"DATA_PC invalida",IF(OR(C4385="",C4385="Fora dos ciclos"),"CICLO_PC nao identificado",IF(OR(D4385="",D4385=0),"VALOR_PC vazio ou zero",IF(AND(G4385&lt;&gt;"Sim",G4385&lt;&gt;"Nao",G4385&lt;&gt;""),"PC_PAGO_A_CONTRATADA invalido",IF(AND(C4385&lt;&gt;"C0",IFERROR(INDEX(parametros!$A$2:$A$6,MATCH(C4385,parametros!$B$2:$B$6,0)),"")="Sim",IFERROR(INDEX(parametros!$H$2:$H$6,MATCH(C4385,parametros!$B$2:$B$6,0)),"")=""),"INICIO_EFEITO ausente: PC "&amp;A4385&amp;" - "&amp;C4385,IF(L4385="","EFEITO_PC nao calculado: PC "&amp;A4385&amp;" - "&amp;C4385,"OK")))))))))</f>
        <v/>
      </c>
      <c r="L4385" s="92" t="str">
        <f>IF(AND(A4385="",B4385="",D4385="",G4385=""),"",IF(OR(B4385="",NOT(ISNUMBER(B4385)),C4385="",C4385="Fora dos ciclos"),"",IF(C4385="C0","Nao",IF(IFERROR(INDEX(parametros!$A$2:$A$6,MATCH(C4385,parametros!$B$2:$B$6,0)),"")&lt;&gt;"Sim","Nao",IF(IFERROR(INDEX(parametros!$H$2:$H$6,MATCH(C4385,parametros!$B$2:$B$6,0)),"")="","",IF(B4385&gt;=IFERROR(INDEX(parametros!$H$2:$H$6,MATCH(C4385,parametros!$B$2:$B$6,0)),""),"Sim","Nao"))))))</f>
        <v/>
      </c>
      <c r="T4385" s="156"/>
      <c r="U4385" s="214" t="str">
        <f t="shared" si="346"/>
        <v/>
      </c>
      <c r="V4385" s="212" t="s">
        <v>50</v>
      </c>
      <c r="W4385" s="100" t="s">
        <v>168</v>
      </c>
      <c r="X4385" s="100" t="s">
        <v>169</v>
      </c>
      <c r="Y4385" s="101" t="s">
        <v>170</v>
      </c>
      <c r="Z4385" s="101" t="s">
        <v>171</v>
      </c>
      <c r="AA4385" s="101" t="s">
        <v>50</v>
      </c>
      <c r="AB4385" s="101" t="s">
        <v>172</v>
      </c>
      <c r="AC4385" s="102" t="s">
        <v>173</v>
      </c>
    </row>
    <row r="4386" spans="1:29" ht="25.5" customHeight="1" x14ac:dyDescent="0.35">
      <c r="A4386" s="392"/>
      <c r="B4386" s="393"/>
      <c r="C4386" s="99" t="str">
        <f>IF(B4386="","",IF(NOT(ISNUMBER(B4386)),"DATA_PC invalida",IF(NOT(ISNUMBER(parametros!$C$2)),"Fora dos ciclos",IF(OR(B4386&lt;parametros!$C$2,(YEAR(B4386)-YEAR(parametros!$C$2))*12+MONTH(B4386)-MONTH(parametros!$C$2)&gt;59),"Fora dos ciclos","C"&amp;INT(((YEAR(B4386)-YEAR(parametros!$C$2))*12+MONTH(B4386)-MONTH(parametros!$C$2))/12)))))</f>
        <v/>
      </c>
      <c r="D4386" s="394"/>
      <c r="E4386" s="78" t="str">
        <f>IF(C4386="","",IFERROR(VLOOKUP(C4386,parametros!$A$11:$E$15,5,0),""))</f>
        <v/>
      </c>
      <c r="F4386" s="79" t="str">
        <f t="shared" si="342"/>
        <v/>
      </c>
      <c r="G4386" s="395"/>
      <c r="H4386" s="91">
        <f t="shared" si="343"/>
        <v>0</v>
      </c>
      <c r="I4386" s="91" t="str">
        <f t="shared" si="344"/>
        <v/>
      </c>
      <c r="J4386" s="91" t="str">
        <f t="shared" si="345"/>
        <v/>
      </c>
      <c r="K4386" s="92" t="str">
        <f>IF(AND(A4386="",B4386="",D4386="",G4386=""),"",IF(AND(A4386&lt;&gt;"",COUNTIF($A$2:$A$5001,A4386)&gt;1),"NUMERO_PC duplicado",IF(B4386="","DATA_PC vazia",IF(NOT(ISNUMBER(B4386)),"DATA_PC invalida",IF(OR(C4386="",C4386="Fora dos ciclos"),"CICLO_PC nao identificado",IF(OR(D4386="",D4386=0),"VALOR_PC vazio ou zero",IF(AND(G4386&lt;&gt;"Sim",G4386&lt;&gt;"Nao",G4386&lt;&gt;""),"PC_PAGO_A_CONTRATADA invalido",IF(AND(C4386&lt;&gt;"C0",IFERROR(INDEX(parametros!$A$2:$A$6,MATCH(C4386,parametros!$B$2:$B$6,0)),"")="Sim",IFERROR(INDEX(parametros!$H$2:$H$6,MATCH(C4386,parametros!$B$2:$B$6,0)),"")=""),"INICIO_EFEITO ausente: PC "&amp;A4386&amp;" - "&amp;C4386,IF(L4386="","EFEITO_PC nao calculado: PC "&amp;A4386&amp;" - "&amp;C4386,"OK")))))))))</f>
        <v/>
      </c>
      <c r="L4386" s="92" t="str">
        <f>IF(AND(A4386="",B4386="",D4386="",G4386=""),"",IF(OR(B4386="",NOT(ISNUMBER(B4386)),C4386="",C4386="Fora dos ciclos"),"",IF(C4386="C0","Nao",IF(IFERROR(INDEX(parametros!$A$2:$A$6,MATCH(C4386,parametros!$B$2:$B$6,0)),"")&lt;&gt;"Sim","Nao",IF(IFERROR(INDEX(parametros!$H$2:$H$6,MATCH(C4386,parametros!$B$2:$B$6,0)),"")="","",IF(B4386&gt;=IFERROR(INDEX(parametros!$H$2:$H$6,MATCH(C4386,parametros!$B$2:$B$6,0)),""),"Sim","Nao"))))))</f>
        <v/>
      </c>
      <c r="T4386" s="156"/>
      <c r="U4386" s="214" t="str">
        <f t="shared" si="346"/>
        <v/>
      </c>
      <c r="V4386" s="212" t="s">
        <v>50</v>
      </c>
      <c r="W4386" s="100" t="s">
        <v>168</v>
      </c>
      <c r="X4386" s="100" t="s">
        <v>169</v>
      </c>
      <c r="Y4386" s="101" t="s">
        <v>170</v>
      </c>
      <c r="Z4386" s="101" t="s">
        <v>171</v>
      </c>
      <c r="AA4386" s="101" t="s">
        <v>50</v>
      </c>
      <c r="AB4386" s="101" t="s">
        <v>172</v>
      </c>
      <c r="AC4386" s="102" t="s">
        <v>173</v>
      </c>
    </row>
    <row r="4387" spans="1:29" ht="25.5" customHeight="1" x14ac:dyDescent="0.35">
      <c r="A4387" s="392"/>
      <c r="B4387" s="393"/>
      <c r="C4387" s="99" t="str">
        <f>IF(B4387="","",IF(NOT(ISNUMBER(B4387)),"DATA_PC invalida",IF(NOT(ISNUMBER(parametros!$C$2)),"Fora dos ciclos",IF(OR(B4387&lt;parametros!$C$2,(YEAR(B4387)-YEAR(parametros!$C$2))*12+MONTH(B4387)-MONTH(parametros!$C$2)&gt;59),"Fora dos ciclos","C"&amp;INT(((YEAR(B4387)-YEAR(parametros!$C$2))*12+MONTH(B4387)-MONTH(parametros!$C$2))/12)))))</f>
        <v/>
      </c>
      <c r="D4387" s="394"/>
      <c r="E4387" s="78" t="str">
        <f>IF(C4387="","",IFERROR(VLOOKUP(C4387,parametros!$A$11:$E$15,5,0),""))</f>
        <v/>
      </c>
      <c r="F4387" s="79" t="str">
        <f t="shared" si="342"/>
        <v/>
      </c>
      <c r="G4387" s="395"/>
      <c r="H4387" s="91">
        <f t="shared" si="343"/>
        <v>0</v>
      </c>
      <c r="I4387" s="91" t="str">
        <f t="shared" si="344"/>
        <v/>
      </c>
      <c r="J4387" s="91" t="str">
        <f t="shared" si="345"/>
        <v/>
      </c>
      <c r="K4387" s="92" t="str">
        <f>IF(AND(A4387="",B4387="",D4387="",G4387=""),"",IF(AND(A4387&lt;&gt;"",COUNTIF($A$2:$A$5001,A4387)&gt;1),"NUMERO_PC duplicado",IF(B4387="","DATA_PC vazia",IF(NOT(ISNUMBER(B4387)),"DATA_PC invalida",IF(OR(C4387="",C4387="Fora dos ciclos"),"CICLO_PC nao identificado",IF(OR(D4387="",D4387=0),"VALOR_PC vazio ou zero",IF(AND(G4387&lt;&gt;"Sim",G4387&lt;&gt;"Nao",G4387&lt;&gt;""),"PC_PAGO_A_CONTRATADA invalido",IF(AND(C4387&lt;&gt;"C0",IFERROR(INDEX(parametros!$A$2:$A$6,MATCH(C4387,parametros!$B$2:$B$6,0)),"")="Sim",IFERROR(INDEX(parametros!$H$2:$H$6,MATCH(C4387,parametros!$B$2:$B$6,0)),"")=""),"INICIO_EFEITO ausente: PC "&amp;A4387&amp;" - "&amp;C4387,IF(L4387="","EFEITO_PC nao calculado: PC "&amp;A4387&amp;" - "&amp;C4387,"OK")))))))))</f>
        <v/>
      </c>
      <c r="L4387" s="92" t="str">
        <f>IF(AND(A4387="",B4387="",D4387="",G4387=""),"",IF(OR(B4387="",NOT(ISNUMBER(B4387)),C4387="",C4387="Fora dos ciclos"),"",IF(C4387="C0","Nao",IF(IFERROR(INDEX(parametros!$A$2:$A$6,MATCH(C4387,parametros!$B$2:$B$6,0)),"")&lt;&gt;"Sim","Nao",IF(IFERROR(INDEX(parametros!$H$2:$H$6,MATCH(C4387,parametros!$B$2:$B$6,0)),"")="","",IF(B4387&gt;=IFERROR(INDEX(parametros!$H$2:$H$6,MATCH(C4387,parametros!$B$2:$B$6,0)),""),"Sim","Nao"))))))</f>
        <v/>
      </c>
      <c r="T4387" s="156"/>
      <c r="U4387" s="214" t="str">
        <f t="shared" si="346"/>
        <v/>
      </c>
      <c r="V4387" s="212" t="s">
        <v>50</v>
      </c>
      <c r="W4387" s="100" t="s">
        <v>168</v>
      </c>
      <c r="X4387" s="100" t="s">
        <v>169</v>
      </c>
      <c r="Y4387" s="101" t="s">
        <v>170</v>
      </c>
      <c r="Z4387" s="101" t="s">
        <v>171</v>
      </c>
      <c r="AA4387" s="101" t="s">
        <v>50</v>
      </c>
      <c r="AB4387" s="101" t="s">
        <v>172</v>
      </c>
      <c r="AC4387" s="102" t="s">
        <v>173</v>
      </c>
    </row>
    <row r="4388" spans="1:29" ht="25.5" customHeight="1" x14ac:dyDescent="0.35">
      <c r="A4388" s="392"/>
      <c r="B4388" s="393"/>
      <c r="C4388" s="99" t="str">
        <f>IF(B4388="","",IF(NOT(ISNUMBER(B4388)),"DATA_PC invalida",IF(NOT(ISNUMBER(parametros!$C$2)),"Fora dos ciclos",IF(OR(B4388&lt;parametros!$C$2,(YEAR(B4388)-YEAR(parametros!$C$2))*12+MONTH(B4388)-MONTH(parametros!$C$2)&gt;59),"Fora dos ciclos","C"&amp;INT(((YEAR(B4388)-YEAR(parametros!$C$2))*12+MONTH(B4388)-MONTH(parametros!$C$2))/12)))))</f>
        <v/>
      </c>
      <c r="D4388" s="394"/>
      <c r="E4388" s="78" t="str">
        <f>IF(C4388="","",IFERROR(VLOOKUP(C4388,parametros!$A$11:$E$15,5,0),""))</f>
        <v/>
      </c>
      <c r="F4388" s="79" t="str">
        <f t="shared" si="342"/>
        <v/>
      </c>
      <c r="G4388" s="395"/>
      <c r="H4388" s="91">
        <f t="shared" si="343"/>
        <v>0</v>
      </c>
      <c r="I4388" s="91" t="str">
        <f t="shared" si="344"/>
        <v/>
      </c>
      <c r="J4388" s="91" t="str">
        <f t="shared" si="345"/>
        <v/>
      </c>
      <c r="K4388" s="92" t="str">
        <f>IF(AND(A4388="",B4388="",D4388="",G4388=""),"",IF(AND(A4388&lt;&gt;"",COUNTIF($A$2:$A$5001,A4388)&gt;1),"NUMERO_PC duplicado",IF(B4388="","DATA_PC vazia",IF(NOT(ISNUMBER(B4388)),"DATA_PC invalida",IF(OR(C4388="",C4388="Fora dos ciclos"),"CICLO_PC nao identificado",IF(OR(D4388="",D4388=0),"VALOR_PC vazio ou zero",IF(AND(G4388&lt;&gt;"Sim",G4388&lt;&gt;"Nao",G4388&lt;&gt;""),"PC_PAGO_A_CONTRATADA invalido",IF(AND(C4388&lt;&gt;"C0",IFERROR(INDEX(parametros!$A$2:$A$6,MATCH(C4388,parametros!$B$2:$B$6,0)),"")="Sim",IFERROR(INDEX(parametros!$H$2:$H$6,MATCH(C4388,parametros!$B$2:$B$6,0)),"")=""),"INICIO_EFEITO ausente: PC "&amp;A4388&amp;" - "&amp;C4388,IF(L4388="","EFEITO_PC nao calculado: PC "&amp;A4388&amp;" - "&amp;C4388,"OK")))))))))</f>
        <v/>
      </c>
      <c r="L4388" s="92" t="str">
        <f>IF(AND(A4388="",B4388="",D4388="",G4388=""),"",IF(OR(B4388="",NOT(ISNUMBER(B4388)),C4388="",C4388="Fora dos ciclos"),"",IF(C4388="C0","Nao",IF(IFERROR(INDEX(parametros!$A$2:$A$6,MATCH(C4388,parametros!$B$2:$B$6,0)),"")&lt;&gt;"Sim","Nao",IF(IFERROR(INDEX(parametros!$H$2:$H$6,MATCH(C4388,parametros!$B$2:$B$6,0)),"")="","",IF(B4388&gt;=IFERROR(INDEX(parametros!$H$2:$H$6,MATCH(C4388,parametros!$B$2:$B$6,0)),""),"Sim","Nao"))))))</f>
        <v/>
      </c>
      <c r="T4388" s="156"/>
      <c r="U4388" s="214" t="str">
        <f t="shared" si="346"/>
        <v/>
      </c>
      <c r="V4388" s="212" t="s">
        <v>50</v>
      </c>
      <c r="W4388" s="100" t="s">
        <v>168</v>
      </c>
      <c r="X4388" s="100" t="s">
        <v>169</v>
      </c>
      <c r="Y4388" s="101" t="s">
        <v>170</v>
      </c>
      <c r="Z4388" s="101" t="s">
        <v>171</v>
      </c>
      <c r="AA4388" s="101" t="s">
        <v>50</v>
      </c>
      <c r="AB4388" s="101" t="s">
        <v>172</v>
      </c>
      <c r="AC4388" s="102" t="s">
        <v>173</v>
      </c>
    </row>
    <row r="4389" spans="1:29" ht="25.5" customHeight="1" x14ac:dyDescent="0.35">
      <c r="A4389" s="392"/>
      <c r="B4389" s="393"/>
      <c r="C4389" s="99" t="str">
        <f>IF(B4389="","",IF(NOT(ISNUMBER(B4389)),"DATA_PC invalida",IF(NOT(ISNUMBER(parametros!$C$2)),"Fora dos ciclos",IF(OR(B4389&lt;parametros!$C$2,(YEAR(B4389)-YEAR(parametros!$C$2))*12+MONTH(B4389)-MONTH(parametros!$C$2)&gt;59),"Fora dos ciclos","C"&amp;INT(((YEAR(B4389)-YEAR(parametros!$C$2))*12+MONTH(B4389)-MONTH(parametros!$C$2))/12)))))</f>
        <v/>
      </c>
      <c r="D4389" s="394"/>
      <c r="E4389" s="78" t="str">
        <f>IF(C4389="","",IFERROR(VLOOKUP(C4389,parametros!$A$11:$E$15,5,0),""))</f>
        <v/>
      </c>
      <c r="F4389" s="79" t="str">
        <f t="shared" si="342"/>
        <v/>
      </c>
      <c r="G4389" s="395"/>
      <c r="H4389" s="91">
        <f t="shared" si="343"/>
        <v>0</v>
      </c>
      <c r="I4389" s="91" t="str">
        <f t="shared" si="344"/>
        <v/>
      </c>
      <c r="J4389" s="91" t="str">
        <f t="shared" si="345"/>
        <v/>
      </c>
      <c r="K4389" s="92" t="str">
        <f>IF(AND(A4389="",B4389="",D4389="",G4389=""),"",IF(AND(A4389&lt;&gt;"",COUNTIF($A$2:$A$5001,A4389)&gt;1),"NUMERO_PC duplicado",IF(B4389="","DATA_PC vazia",IF(NOT(ISNUMBER(B4389)),"DATA_PC invalida",IF(OR(C4389="",C4389="Fora dos ciclos"),"CICLO_PC nao identificado",IF(OR(D4389="",D4389=0),"VALOR_PC vazio ou zero",IF(AND(G4389&lt;&gt;"Sim",G4389&lt;&gt;"Nao",G4389&lt;&gt;""),"PC_PAGO_A_CONTRATADA invalido",IF(AND(C4389&lt;&gt;"C0",IFERROR(INDEX(parametros!$A$2:$A$6,MATCH(C4389,parametros!$B$2:$B$6,0)),"")="Sim",IFERROR(INDEX(parametros!$H$2:$H$6,MATCH(C4389,parametros!$B$2:$B$6,0)),"")=""),"INICIO_EFEITO ausente: PC "&amp;A4389&amp;" - "&amp;C4389,IF(L4389="","EFEITO_PC nao calculado: PC "&amp;A4389&amp;" - "&amp;C4389,"OK")))))))))</f>
        <v/>
      </c>
      <c r="L4389" s="92" t="str">
        <f>IF(AND(A4389="",B4389="",D4389="",G4389=""),"",IF(OR(B4389="",NOT(ISNUMBER(B4389)),C4389="",C4389="Fora dos ciclos"),"",IF(C4389="C0","Nao",IF(IFERROR(INDEX(parametros!$A$2:$A$6,MATCH(C4389,parametros!$B$2:$B$6,0)),"")&lt;&gt;"Sim","Nao",IF(IFERROR(INDEX(parametros!$H$2:$H$6,MATCH(C4389,parametros!$B$2:$B$6,0)),"")="","",IF(B4389&gt;=IFERROR(INDEX(parametros!$H$2:$H$6,MATCH(C4389,parametros!$B$2:$B$6,0)),""),"Sim","Nao"))))))</f>
        <v/>
      </c>
      <c r="T4389" s="156"/>
      <c r="U4389" s="214" t="str">
        <f t="shared" si="346"/>
        <v/>
      </c>
      <c r="V4389" s="212" t="s">
        <v>50</v>
      </c>
      <c r="W4389" s="100" t="s">
        <v>168</v>
      </c>
      <c r="X4389" s="100" t="s">
        <v>169</v>
      </c>
      <c r="Y4389" s="101" t="s">
        <v>170</v>
      </c>
      <c r="Z4389" s="101" t="s">
        <v>171</v>
      </c>
      <c r="AA4389" s="101" t="s">
        <v>50</v>
      </c>
      <c r="AB4389" s="101" t="s">
        <v>172</v>
      </c>
      <c r="AC4389" s="102" t="s">
        <v>173</v>
      </c>
    </row>
    <row r="4390" spans="1:29" ht="25.5" customHeight="1" x14ac:dyDescent="0.35">
      <c r="A4390" s="392"/>
      <c r="B4390" s="393"/>
      <c r="C4390" s="99" t="str">
        <f>IF(B4390="","",IF(NOT(ISNUMBER(B4390)),"DATA_PC invalida",IF(NOT(ISNUMBER(parametros!$C$2)),"Fora dos ciclos",IF(OR(B4390&lt;parametros!$C$2,(YEAR(B4390)-YEAR(parametros!$C$2))*12+MONTH(B4390)-MONTH(parametros!$C$2)&gt;59),"Fora dos ciclos","C"&amp;INT(((YEAR(B4390)-YEAR(parametros!$C$2))*12+MONTH(B4390)-MONTH(parametros!$C$2))/12)))))</f>
        <v/>
      </c>
      <c r="D4390" s="394"/>
      <c r="E4390" s="78" t="str">
        <f>IF(C4390="","",IFERROR(VLOOKUP(C4390,parametros!$A$11:$E$15,5,0),""))</f>
        <v/>
      </c>
      <c r="F4390" s="79" t="str">
        <f t="shared" si="342"/>
        <v/>
      </c>
      <c r="G4390" s="395"/>
      <c r="H4390" s="91">
        <f t="shared" si="343"/>
        <v>0</v>
      </c>
      <c r="I4390" s="91" t="str">
        <f t="shared" si="344"/>
        <v/>
      </c>
      <c r="J4390" s="91" t="str">
        <f t="shared" si="345"/>
        <v/>
      </c>
      <c r="K4390" s="92" t="str">
        <f>IF(AND(A4390="",B4390="",D4390="",G4390=""),"",IF(AND(A4390&lt;&gt;"",COUNTIF($A$2:$A$5001,A4390)&gt;1),"NUMERO_PC duplicado",IF(B4390="","DATA_PC vazia",IF(NOT(ISNUMBER(B4390)),"DATA_PC invalida",IF(OR(C4390="",C4390="Fora dos ciclos"),"CICLO_PC nao identificado",IF(OR(D4390="",D4390=0),"VALOR_PC vazio ou zero",IF(AND(G4390&lt;&gt;"Sim",G4390&lt;&gt;"Nao",G4390&lt;&gt;""),"PC_PAGO_A_CONTRATADA invalido",IF(AND(C4390&lt;&gt;"C0",IFERROR(INDEX(parametros!$A$2:$A$6,MATCH(C4390,parametros!$B$2:$B$6,0)),"")="Sim",IFERROR(INDEX(parametros!$H$2:$H$6,MATCH(C4390,parametros!$B$2:$B$6,0)),"")=""),"INICIO_EFEITO ausente: PC "&amp;A4390&amp;" - "&amp;C4390,IF(L4390="","EFEITO_PC nao calculado: PC "&amp;A4390&amp;" - "&amp;C4390,"OK")))))))))</f>
        <v/>
      </c>
      <c r="L4390" s="92" t="str">
        <f>IF(AND(A4390="",B4390="",D4390="",G4390=""),"",IF(OR(B4390="",NOT(ISNUMBER(B4390)),C4390="",C4390="Fora dos ciclos"),"",IF(C4390="C0","Nao",IF(IFERROR(INDEX(parametros!$A$2:$A$6,MATCH(C4390,parametros!$B$2:$B$6,0)),"")&lt;&gt;"Sim","Nao",IF(IFERROR(INDEX(parametros!$H$2:$H$6,MATCH(C4390,parametros!$B$2:$B$6,0)),"")="","",IF(B4390&gt;=IFERROR(INDEX(parametros!$H$2:$H$6,MATCH(C4390,parametros!$B$2:$B$6,0)),""),"Sim","Nao"))))))</f>
        <v/>
      </c>
      <c r="T4390" s="156"/>
      <c r="U4390" s="214" t="str">
        <f t="shared" si="346"/>
        <v/>
      </c>
      <c r="V4390" s="212" t="s">
        <v>50</v>
      </c>
      <c r="W4390" s="100" t="s">
        <v>168</v>
      </c>
      <c r="X4390" s="100" t="s">
        <v>169</v>
      </c>
      <c r="Y4390" s="101" t="s">
        <v>170</v>
      </c>
      <c r="Z4390" s="101" t="s">
        <v>171</v>
      </c>
      <c r="AA4390" s="101" t="s">
        <v>50</v>
      </c>
      <c r="AB4390" s="101" t="s">
        <v>172</v>
      </c>
      <c r="AC4390" s="102" t="s">
        <v>173</v>
      </c>
    </row>
    <row r="4391" spans="1:29" ht="25.5" customHeight="1" x14ac:dyDescent="0.35">
      <c r="A4391" s="392"/>
      <c r="B4391" s="393"/>
      <c r="C4391" s="99" t="str">
        <f>IF(B4391="","",IF(NOT(ISNUMBER(B4391)),"DATA_PC invalida",IF(NOT(ISNUMBER(parametros!$C$2)),"Fora dos ciclos",IF(OR(B4391&lt;parametros!$C$2,(YEAR(B4391)-YEAR(parametros!$C$2))*12+MONTH(B4391)-MONTH(parametros!$C$2)&gt;59),"Fora dos ciclos","C"&amp;INT(((YEAR(B4391)-YEAR(parametros!$C$2))*12+MONTH(B4391)-MONTH(parametros!$C$2))/12)))))</f>
        <v/>
      </c>
      <c r="D4391" s="394"/>
      <c r="E4391" s="78" t="str">
        <f>IF(C4391="","",IFERROR(VLOOKUP(C4391,parametros!$A$11:$E$15,5,0),""))</f>
        <v/>
      </c>
      <c r="F4391" s="79" t="str">
        <f t="shared" si="342"/>
        <v/>
      </c>
      <c r="G4391" s="395"/>
      <c r="H4391" s="91">
        <f t="shared" si="343"/>
        <v>0</v>
      </c>
      <c r="I4391" s="91" t="str">
        <f t="shared" si="344"/>
        <v/>
      </c>
      <c r="J4391" s="91" t="str">
        <f t="shared" si="345"/>
        <v/>
      </c>
      <c r="K4391" s="92" t="str">
        <f>IF(AND(A4391="",B4391="",D4391="",G4391=""),"",IF(AND(A4391&lt;&gt;"",COUNTIF($A$2:$A$5001,A4391)&gt;1),"NUMERO_PC duplicado",IF(B4391="","DATA_PC vazia",IF(NOT(ISNUMBER(B4391)),"DATA_PC invalida",IF(OR(C4391="",C4391="Fora dos ciclos"),"CICLO_PC nao identificado",IF(OR(D4391="",D4391=0),"VALOR_PC vazio ou zero",IF(AND(G4391&lt;&gt;"Sim",G4391&lt;&gt;"Nao",G4391&lt;&gt;""),"PC_PAGO_A_CONTRATADA invalido",IF(AND(C4391&lt;&gt;"C0",IFERROR(INDEX(parametros!$A$2:$A$6,MATCH(C4391,parametros!$B$2:$B$6,0)),"")="Sim",IFERROR(INDEX(parametros!$H$2:$H$6,MATCH(C4391,parametros!$B$2:$B$6,0)),"")=""),"INICIO_EFEITO ausente: PC "&amp;A4391&amp;" - "&amp;C4391,IF(L4391="","EFEITO_PC nao calculado: PC "&amp;A4391&amp;" - "&amp;C4391,"OK")))))))))</f>
        <v/>
      </c>
      <c r="L4391" s="92" t="str">
        <f>IF(AND(A4391="",B4391="",D4391="",G4391=""),"",IF(OR(B4391="",NOT(ISNUMBER(B4391)),C4391="",C4391="Fora dos ciclos"),"",IF(C4391="C0","Nao",IF(IFERROR(INDEX(parametros!$A$2:$A$6,MATCH(C4391,parametros!$B$2:$B$6,0)),"")&lt;&gt;"Sim","Nao",IF(IFERROR(INDEX(parametros!$H$2:$H$6,MATCH(C4391,parametros!$B$2:$B$6,0)),"")="","",IF(B4391&gt;=IFERROR(INDEX(parametros!$H$2:$H$6,MATCH(C4391,parametros!$B$2:$B$6,0)),""),"Sim","Nao"))))))</f>
        <v/>
      </c>
      <c r="T4391" s="156"/>
      <c r="U4391" s="214" t="str">
        <f t="shared" si="346"/>
        <v/>
      </c>
      <c r="V4391" s="212" t="s">
        <v>50</v>
      </c>
      <c r="W4391" s="100" t="s">
        <v>168</v>
      </c>
      <c r="X4391" s="100" t="s">
        <v>169</v>
      </c>
      <c r="Y4391" s="101" t="s">
        <v>170</v>
      </c>
      <c r="Z4391" s="101" t="s">
        <v>171</v>
      </c>
      <c r="AA4391" s="101" t="s">
        <v>50</v>
      </c>
      <c r="AB4391" s="101" t="s">
        <v>172</v>
      </c>
      <c r="AC4391" s="102" t="s">
        <v>173</v>
      </c>
    </row>
    <row r="4392" spans="1:29" ht="25.5" customHeight="1" x14ac:dyDescent="0.35">
      <c r="A4392" s="392"/>
      <c r="B4392" s="393"/>
      <c r="C4392" s="99" t="str">
        <f>IF(B4392="","",IF(NOT(ISNUMBER(B4392)),"DATA_PC invalida",IF(NOT(ISNUMBER(parametros!$C$2)),"Fora dos ciclos",IF(OR(B4392&lt;parametros!$C$2,(YEAR(B4392)-YEAR(parametros!$C$2))*12+MONTH(B4392)-MONTH(parametros!$C$2)&gt;59),"Fora dos ciclos","C"&amp;INT(((YEAR(B4392)-YEAR(parametros!$C$2))*12+MONTH(B4392)-MONTH(parametros!$C$2))/12)))))</f>
        <v/>
      </c>
      <c r="D4392" s="394"/>
      <c r="E4392" s="78" t="str">
        <f>IF(C4392="","",IFERROR(VLOOKUP(C4392,parametros!$A$11:$E$15,5,0),""))</f>
        <v/>
      </c>
      <c r="F4392" s="79" t="str">
        <f t="shared" si="342"/>
        <v/>
      </c>
      <c r="G4392" s="395"/>
      <c r="H4392" s="91">
        <f t="shared" si="343"/>
        <v>0</v>
      </c>
      <c r="I4392" s="91" t="str">
        <f t="shared" si="344"/>
        <v/>
      </c>
      <c r="J4392" s="91" t="str">
        <f t="shared" si="345"/>
        <v/>
      </c>
      <c r="K4392" s="92" t="str">
        <f>IF(AND(A4392="",B4392="",D4392="",G4392=""),"",IF(AND(A4392&lt;&gt;"",COUNTIF($A$2:$A$5001,A4392)&gt;1),"NUMERO_PC duplicado",IF(B4392="","DATA_PC vazia",IF(NOT(ISNUMBER(B4392)),"DATA_PC invalida",IF(OR(C4392="",C4392="Fora dos ciclos"),"CICLO_PC nao identificado",IF(OR(D4392="",D4392=0),"VALOR_PC vazio ou zero",IF(AND(G4392&lt;&gt;"Sim",G4392&lt;&gt;"Nao",G4392&lt;&gt;""),"PC_PAGO_A_CONTRATADA invalido",IF(AND(C4392&lt;&gt;"C0",IFERROR(INDEX(parametros!$A$2:$A$6,MATCH(C4392,parametros!$B$2:$B$6,0)),"")="Sim",IFERROR(INDEX(parametros!$H$2:$H$6,MATCH(C4392,parametros!$B$2:$B$6,0)),"")=""),"INICIO_EFEITO ausente: PC "&amp;A4392&amp;" - "&amp;C4392,IF(L4392="","EFEITO_PC nao calculado: PC "&amp;A4392&amp;" - "&amp;C4392,"OK")))))))))</f>
        <v/>
      </c>
      <c r="L4392" s="92" t="str">
        <f>IF(AND(A4392="",B4392="",D4392="",G4392=""),"",IF(OR(B4392="",NOT(ISNUMBER(B4392)),C4392="",C4392="Fora dos ciclos"),"",IF(C4392="C0","Nao",IF(IFERROR(INDEX(parametros!$A$2:$A$6,MATCH(C4392,parametros!$B$2:$B$6,0)),"")&lt;&gt;"Sim","Nao",IF(IFERROR(INDEX(parametros!$H$2:$H$6,MATCH(C4392,parametros!$B$2:$B$6,0)),"")="","",IF(B4392&gt;=IFERROR(INDEX(parametros!$H$2:$H$6,MATCH(C4392,parametros!$B$2:$B$6,0)),""),"Sim","Nao"))))))</f>
        <v/>
      </c>
      <c r="T4392" s="156"/>
      <c r="U4392" s="214" t="str">
        <f t="shared" si="346"/>
        <v/>
      </c>
      <c r="V4392" s="212" t="s">
        <v>50</v>
      </c>
      <c r="W4392" s="100" t="s">
        <v>168</v>
      </c>
      <c r="X4392" s="100" t="s">
        <v>169</v>
      </c>
      <c r="Y4392" s="101" t="s">
        <v>170</v>
      </c>
      <c r="Z4392" s="101" t="s">
        <v>171</v>
      </c>
      <c r="AA4392" s="101" t="s">
        <v>50</v>
      </c>
      <c r="AB4392" s="101" t="s">
        <v>172</v>
      </c>
      <c r="AC4392" s="102" t="s">
        <v>173</v>
      </c>
    </row>
    <row r="4393" spans="1:29" ht="25.5" customHeight="1" x14ac:dyDescent="0.35">
      <c r="A4393" s="392"/>
      <c r="B4393" s="393"/>
      <c r="C4393" s="99" t="str">
        <f>IF(B4393="","",IF(NOT(ISNUMBER(B4393)),"DATA_PC invalida",IF(NOT(ISNUMBER(parametros!$C$2)),"Fora dos ciclos",IF(OR(B4393&lt;parametros!$C$2,(YEAR(B4393)-YEAR(parametros!$C$2))*12+MONTH(B4393)-MONTH(parametros!$C$2)&gt;59),"Fora dos ciclos","C"&amp;INT(((YEAR(B4393)-YEAR(parametros!$C$2))*12+MONTH(B4393)-MONTH(parametros!$C$2))/12)))))</f>
        <v/>
      </c>
      <c r="D4393" s="394"/>
      <c r="E4393" s="78" t="str">
        <f>IF(C4393="","",IFERROR(VLOOKUP(C4393,parametros!$A$11:$E$15,5,0),""))</f>
        <v/>
      </c>
      <c r="F4393" s="79" t="str">
        <f t="shared" si="342"/>
        <v/>
      </c>
      <c r="G4393" s="395"/>
      <c r="H4393" s="91">
        <f t="shared" si="343"/>
        <v>0</v>
      </c>
      <c r="I4393" s="91" t="str">
        <f t="shared" si="344"/>
        <v/>
      </c>
      <c r="J4393" s="91" t="str">
        <f t="shared" si="345"/>
        <v/>
      </c>
      <c r="K4393" s="92" t="str">
        <f>IF(AND(A4393="",B4393="",D4393="",G4393=""),"",IF(AND(A4393&lt;&gt;"",COUNTIF($A$2:$A$5001,A4393)&gt;1),"NUMERO_PC duplicado",IF(B4393="","DATA_PC vazia",IF(NOT(ISNUMBER(B4393)),"DATA_PC invalida",IF(OR(C4393="",C4393="Fora dos ciclos"),"CICLO_PC nao identificado",IF(OR(D4393="",D4393=0),"VALOR_PC vazio ou zero",IF(AND(G4393&lt;&gt;"Sim",G4393&lt;&gt;"Nao",G4393&lt;&gt;""),"PC_PAGO_A_CONTRATADA invalido",IF(AND(C4393&lt;&gt;"C0",IFERROR(INDEX(parametros!$A$2:$A$6,MATCH(C4393,parametros!$B$2:$B$6,0)),"")="Sim",IFERROR(INDEX(parametros!$H$2:$H$6,MATCH(C4393,parametros!$B$2:$B$6,0)),"")=""),"INICIO_EFEITO ausente: PC "&amp;A4393&amp;" - "&amp;C4393,IF(L4393="","EFEITO_PC nao calculado: PC "&amp;A4393&amp;" - "&amp;C4393,"OK")))))))))</f>
        <v/>
      </c>
      <c r="L4393" s="92" t="str">
        <f>IF(AND(A4393="",B4393="",D4393="",G4393=""),"",IF(OR(B4393="",NOT(ISNUMBER(B4393)),C4393="",C4393="Fora dos ciclos"),"",IF(C4393="C0","Nao",IF(IFERROR(INDEX(parametros!$A$2:$A$6,MATCH(C4393,parametros!$B$2:$B$6,0)),"")&lt;&gt;"Sim","Nao",IF(IFERROR(INDEX(parametros!$H$2:$H$6,MATCH(C4393,parametros!$B$2:$B$6,0)),"")="","",IF(B4393&gt;=IFERROR(INDEX(parametros!$H$2:$H$6,MATCH(C4393,parametros!$B$2:$B$6,0)),""),"Sim","Nao"))))))</f>
        <v/>
      </c>
      <c r="T4393" s="156"/>
      <c r="U4393" s="214" t="str">
        <f t="shared" si="346"/>
        <v/>
      </c>
      <c r="V4393" s="212" t="s">
        <v>50</v>
      </c>
      <c r="W4393" s="100" t="s">
        <v>168</v>
      </c>
      <c r="X4393" s="100" t="s">
        <v>169</v>
      </c>
      <c r="Y4393" s="101" t="s">
        <v>170</v>
      </c>
      <c r="Z4393" s="101" t="s">
        <v>171</v>
      </c>
      <c r="AA4393" s="101" t="s">
        <v>50</v>
      </c>
      <c r="AB4393" s="101" t="s">
        <v>172</v>
      </c>
      <c r="AC4393" s="102" t="s">
        <v>173</v>
      </c>
    </row>
    <row r="4394" spans="1:29" ht="25.5" customHeight="1" x14ac:dyDescent="0.35">
      <c r="A4394" s="392"/>
      <c r="B4394" s="393"/>
      <c r="C4394" s="99" t="str">
        <f>IF(B4394="","",IF(NOT(ISNUMBER(B4394)),"DATA_PC invalida",IF(NOT(ISNUMBER(parametros!$C$2)),"Fora dos ciclos",IF(OR(B4394&lt;parametros!$C$2,(YEAR(B4394)-YEAR(parametros!$C$2))*12+MONTH(B4394)-MONTH(parametros!$C$2)&gt;59),"Fora dos ciclos","C"&amp;INT(((YEAR(B4394)-YEAR(parametros!$C$2))*12+MONTH(B4394)-MONTH(parametros!$C$2))/12)))))</f>
        <v/>
      </c>
      <c r="D4394" s="394"/>
      <c r="E4394" s="78" t="str">
        <f>IF(C4394="","",IFERROR(VLOOKUP(C4394,parametros!$A$11:$E$15,5,0),""))</f>
        <v/>
      </c>
      <c r="F4394" s="79" t="str">
        <f t="shared" si="342"/>
        <v/>
      </c>
      <c r="G4394" s="395"/>
      <c r="H4394" s="91">
        <f t="shared" si="343"/>
        <v>0</v>
      </c>
      <c r="I4394" s="91" t="str">
        <f t="shared" si="344"/>
        <v/>
      </c>
      <c r="J4394" s="91" t="str">
        <f t="shared" si="345"/>
        <v/>
      </c>
      <c r="K4394" s="92" t="str">
        <f>IF(AND(A4394="",B4394="",D4394="",G4394=""),"",IF(AND(A4394&lt;&gt;"",COUNTIF($A$2:$A$5001,A4394)&gt;1),"NUMERO_PC duplicado",IF(B4394="","DATA_PC vazia",IF(NOT(ISNUMBER(B4394)),"DATA_PC invalida",IF(OR(C4394="",C4394="Fora dos ciclos"),"CICLO_PC nao identificado",IF(OR(D4394="",D4394=0),"VALOR_PC vazio ou zero",IF(AND(G4394&lt;&gt;"Sim",G4394&lt;&gt;"Nao",G4394&lt;&gt;""),"PC_PAGO_A_CONTRATADA invalido",IF(AND(C4394&lt;&gt;"C0",IFERROR(INDEX(parametros!$A$2:$A$6,MATCH(C4394,parametros!$B$2:$B$6,0)),"")="Sim",IFERROR(INDEX(parametros!$H$2:$H$6,MATCH(C4394,parametros!$B$2:$B$6,0)),"")=""),"INICIO_EFEITO ausente: PC "&amp;A4394&amp;" - "&amp;C4394,IF(L4394="","EFEITO_PC nao calculado: PC "&amp;A4394&amp;" - "&amp;C4394,"OK")))))))))</f>
        <v/>
      </c>
      <c r="L4394" s="92" t="str">
        <f>IF(AND(A4394="",B4394="",D4394="",G4394=""),"",IF(OR(B4394="",NOT(ISNUMBER(B4394)),C4394="",C4394="Fora dos ciclos"),"",IF(C4394="C0","Nao",IF(IFERROR(INDEX(parametros!$A$2:$A$6,MATCH(C4394,parametros!$B$2:$B$6,0)),"")&lt;&gt;"Sim","Nao",IF(IFERROR(INDEX(parametros!$H$2:$H$6,MATCH(C4394,parametros!$B$2:$B$6,0)),"")="","",IF(B4394&gt;=IFERROR(INDEX(parametros!$H$2:$H$6,MATCH(C4394,parametros!$B$2:$B$6,0)),""),"Sim","Nao"))))))</f>
        <v/>
      </c>
      <c r="T4394" s="156"/>
      <c r="U4394" s="214" t="str">
        <f t="shared" si="346"/>
        <v/>
      </c>
      <c r="V4394" s="212" t="s">
        <v>50</v>
      </c>
      <c r="W4394" s="100" t="s">
        <v>168</v>
      </c>
      <c r="X4394" s="100" t="s">
        <v>169</v>
      </c>
      <c r="Y4394" s="101" t="s">
        <v>170</v>
      </c>
      <c r="Z4394" s="101" t="s">
        <v>171</v>
      </c>
      <c r="AA4394" s="101" t="s">
        <v>50</v>
      </c>
      <c r="AB4394" s="101" t="s">
        <v>172</v>
      </c>
      <c r="AC4394" s="102" t="s">
        <v>173</v>
      </c>
    </row>
    <row r="4395" spans="1:29" ht="25.5" customHeight="1" x14ac:dyDescent="0.35">
      <c r="A4395" s="392"/>
      <c r="B4395" s="393"/>
      <c r="C4395" s="99" t="str">
        <f>IF(B4395="","",IF(NOT(ISNUMBER(B4395)),"DATA_PC invalida",IF(NOT(ISNUMBER(parametros!$C$2)),"Fora dos ciclos",IF(OR(B4395&lt;parametros!$C$2,(YEAR(B4395)-YEAR(parametros!$C$2))*12+MONTH(B4395)-MONTH(parametros!$C$2)&gt;59),"Fora dos ciclos","C"&amp;INT(((YEAR(B4395)-YEAR(parametros!$C$2))*12+MONTH(B4395)-MONTH(parametros!$C$2))/12)))))</f>
        <v/>
      </c>
      <c r="D4395" s="394"/>
      <c r="E4395" s="78" t="str">
        <f>IF(C4395="","",IFERROR(VLOOKUP(C4395,parametros!$A$11:$E$15,5,0),""))</f>
        <v/>
      </c>
      <c r="F4395" s="79" t="str">
        <f t="shared" si="342"/>
        <v/>
      </c>
      <c r="G4395" s="395"/>
      <c r="H4395" s="91">
        <f t="shared" si="343"/>
        <v>0</v>
      </c>
      <c r="I4395" s="91" t="str">
        <f t="shared" si="344"/>
        <v/>
      </c>
      <c r="J4395" s="91" t="str">
        <f t="shared" si="345"/>
        <v/>
      </c>
      <c r="K4395" s="92" t="str">
        <f>IF(AND(A4395="",B4395="",D4395="",G4395=""),"",IF(AND(A4395&lt;&gt;"",COUNTIF($A$2:$A$5001,A4395)&gt;1),"NUMERO_PC duplicado",IF(B4395="","DATA_PC vazia",IF(NOT(ISNUMBER(B4395)),"DATA_PC invalida",IF(OR(C4395="",C4395="Fora dos ciclos"),"CICLO_PC nao identificado",IF(OR(D4395="",D4395=0),"VALOR_PC vazio ou zero",IF(AND(G4395&lt;&gt;"Sim",G4395&lt;&gt;"Nao",G4395&lt;&gt;""),"PC_PAGO_A_CONTRATADA invalido",IF(AND(C4395&lt;&gt;"C0",IFERROR(INDEX(parametros!$A$2:$A$6,MATCH(C4395,parametros!$B$2:$B$6,0)),"")="Sim",IFERROR(INDEX(parametros!$H$2:$H$6,MATCH(C4395,parametros!$B$2:$B$6,0)),"")=""),"INICIO_EFEITO ausente: PC "&amp;A4395&amp;" - "&amp;C4395,IF(L4395="","EFEITO_PC nao calculado: PC "&amp;A4395&amp;" - "&amp;C4395,"OK")))))))))</f>
        <v/>
      </c>
      <c r="L4395" s="92" t="str">
        <f>IF(AND(A4395="",B4395="",D4395="",G4395=""),"",IF(OR(B4395="",NOT(ISNUMBER(B4395)),C4395="",C4395="Fora dos ciclos"),"",IF(C4395="C0","Nao",IF(IFERROR(INDEX(parametros!$A$2:$A$6,MATCH(C4395,parametros!$B$2:$B$6,0)),"")&lt;&gt;"Sim","Nao",IF(IFERROR(INDEX(parametros!$H$2:$H$6,MATCH(C4395,parametros!$B$2:$B$6,0)),"")="","",IF(B4395&gt;=IFERROR(INDEX(parametros!$H$2:$H$6,MATCH(C4395,parametros!$B$2:$B$6,0)),""),"Sim","Nao"))))))</f>
        <v/>
      </c>
      <c r="T4395" s="156"/>
      <c r="U4395" s="214" t="str">
        <f t="shared" si="346"/>
        <v/>
      </c>
      <c r="V4395" s="212" t="s">
        <v>50</v>
      </c>
      <c r="W4395" s="100" t="s">
        <v>168</v>
      </c>
      <c r="X4395" s="100" t="s">
        <v>169</v>
      </c>
      <c r="Y4395" s="101" t="s">
        <v>170</v>
      </c>
      <c r="Z4395" s="101" t="s">
        <v>171</v>
      </c>
      <c r="AA4395" s="101" t="s">
        <v>50</v>
      </c>
      <c r="AB4395" s="101" t="s">
        <v>172</v>
      </c>
      <c r="AC4395" s="102" t="s">
        <v>173</v>
      </c>
    </row>
    <row r="4396" spans="1:29" ht="25.5" customHeight="1" x14ac:dyDescent="0.35">
      <c r="A4396" s="392"/>
      <c r="B4396" s="393"/>
      <c r="C4396" s="99" t="str">
        <f>IF(B4396="","",IF(NOT(ISNUMBER(B4396)),"DATA_PC invalida",IF(NOT(ISNUMBER(parametros!$C$2)),"Fora dos ciclos",IF(OR(B4396&lt;parametros!$C$2,(YEAR(B4396)-YEAR(parametros!$C$2))*12+MONTH(B4396)-MONTH(parametros!$C$2)&gt;59),"Fora dos ciclos","C"&amp;INT(((YEAR(B4396)-YEAR(parametros!$C$2))*12+MONTH(B4396)-MONTH(parametros!$C$2))/12)))))</f>
        <v/>
      </c>
      <c r="D4396" s="394"/>
      <c r="E4396" s="78" t="str">
        <f>IF(C4396="","",IFERROR(VLOOKUP(C4396,parametros!$A$11:$E$15,5,0),""))</f>
        <v/>
      </c>
      <c r="F4396" s="79" t="str">
        <f t="shared" si="342"/>
        <v/>
      </c>
      <c r="G4396" s="395"/>
      <c r="H4396" s="91">
        <f t="shared" si="343"/>
        <v>0</v>
      </c>
      <c r="I4396" s="91" t="str">
        <f t="shared" si="344"/>
        <v/>
      </c>
      <c r="J4396" s="91" t="str">
        <f t="shared" si="345"/>
        <v/>
      </c>
      <c r="K4396" s="92" t="str">
        <f>IF(AND(A4396="",B4396="",D4396="",G4396=""),"",IF(AND(A4396&lt;&gt;"",COUNTIF($A$2:$A$5001,A4396)&gt;1),"NUMERO_PC duplicado",IF(B4396="","DATA_PC vazia",IF(NOT(ISNUMBER(B4396)),"DATA_PC invalida",IF(OR(C4396="",C4396="Fora dos ciclos"),"CICLO_PC nao identificado",IF(OR(D4396="",D4396=0),"VALOR_PC vazio ou zero",IF(AND(G4396&lt;&gt;"Sim",G4396&lt;&gt;"Nao",G4396&lt;&gt;""),"PC_PAGO_A_CONTRATADA invalido",IF(AND(C4396&lt;&gt;"C0",IFERROR(INDEX(parametros!$A$2:$A$6,MATCH(C4396,parametros!$B$2:$B$6,0)),"")="Sim",IFERROR(INDEX(parametros!$H$2:$H$6,MATCH(C4396,parametros!$B$2:$B$6,0)),"")=""),"INICIO_EFEITO ausente: PC "&amp;A4396&amp;" - "&amp;C4396,IF(L4396="","EFEITO_PC nao calculado: PC "&amp;A4396&amp;" - "&amp;C4396,"OK")))))))))</f>
        <v/>
      </c>
      <c r="L4396" s="92" t="str">
        <f>IF(AND(A4396="",B4396="",D4396="",G4396=""),"",IF(OR(B4396="",NOT(ISNUMBER(B4396)),C4396="",C4396="Fora dos ciclos"),"",IF(C4396="C0","Nao",IF(IFERROR(INDEX(parametros!$A$2:$A$6,MATCH(C4396,parametros!$B$2:$B$6,0)),"")&lt;&gt;"Sim","Nao",IF(IFERROR(INDEX(parametros!$H$2:$H$6,MATCH(C4396,parametros!$B$2:$B$6,0)),"")="","",IF(B4396&gt;=IFERROR(INDEX(parametros!$H$2:$H$6,MATCH(C4396,parametros!$B$2:$B$6,0)),""),"Sim","Nao"))))))</f>
        <v/>
      </c>
      <c r="T4396" s="156"/>
      <c r="U4396" s="214" t="str">
        <f t="shared" si="346"/>
        <v/>
      </c>
      <c r="V4396" s="212" t="s">
        <v>50</v>
      </c>
      <c r="W4396" s="100" t="s">
        <v>168</v>
      </c>
      <c r="X4396" s="100" t="s">
        <v>169</v>
      </c>
      <c r="Y4396" s="101" t="s">
        <v>170</v>
      </c>
      <c r="Z4396" s="101" t="s">
        <v>171</v>
      </c>
      <c r="AA4396" s="101" t="s">
        <v>50</v>
      </c>
      <c r="AB4396" s="101" t="s">
        <v>172</v>
      </c>
      <c r="AC4396" s="102" t="s">
        <v>173</v>
      </c>
    </row>
    <row r="4397" spans="1:29" ht="25.5" customHeight="1" x14ac:dyDescent="0.35">
      <c r="A4397" s="392"/>
      <c r="B4397" s="393"/>
      <c r="C4397" s="99" t="str">
        <f>IF(B4397="","",IF(NOT(ISNUMBER(B4397)),"DATA_PC invalida",IF(NOT(ISNUMBER(parametros!$C$2)),"Fora dos ciclos",IF(OR(B4397&lt;parametros!$C$2,(YEAR(B4397)-YEAR(parametros!$C$2))*12+MONTH(B4397)-MONTH(parametros!$C$2)&gt;59),"Fora dos ciclos","C"&amp;INT(((YEAR(B4397)-YEAR(parametros!$C$2))*12+MONTH(B4397)-MONTH(parametros!$C$2))/12)))))</f>
        <v/>
      </c>
      <c r="D4397" s="394"/>
      <c r="E4397" s="78" t="str">
        <f>IF(C4397="","",IFERROR(VLOOKUP(C4397,parametros!$A$11:$E$15,5,0),""))</f>
        <v/>
      </c>
      <c r="F4397" s="79" t="str">
        <f t="shared" si="342"/>
        <v/>
      </c>
      <c r="G4397" s="395"/>
      <c r="H4397" s="91">
        <f t="shared" si="343"/>
        <v>0</v>
      </c>
      <c r="I4397" s="91" t="str">
        <f t="shared" si="344"/>
        <v/>
      </c>
      <c r="J4397" s="91" t="str">
        <f t="shared" si="345"/>
        <v/>
      </c>
      <c r="K4397" s="92" t="str">
        <f>IF(AND(A4397="",B4397="",D4397="",G4397=""),"",IF(AND(A4397&lt;&gt;"",COUNTIF($A$2:$A$5001,A4397)&gt;1),"NUMERO_PC duplicado",IF(B4397="","DATA_PC vazia",IF(NOT(ISNUMBER(B4397)),"DATA_PC invalida",IF(OR(C4397="",C4397="Fora dos ciclos"),"CICLO_PC nao identificado",IF(OR(D4397="",D4397=0),"VALOR_PC vazio ou zero",IF(AND(G4397&lt;&gt;"Sim",G4397&lt;&gt;"Nao",G4397&lt;&gt;""),"PC_PAGO_A_CONTRATADA invalido",IF(AND(C4397&lt;&gt;"C0",IFERROR(INDEX(parametros!$A$2:$A$6,MATCH(C4397,parametros!$B$2:$B$6,0)),"")="Sim",IFERROR(INDEX(parametros!$H$2:$H$6,MATCH(C4397,parametros!$B$2:$B$6,0)),"")=""),"INICIO_EFEITO ausente: PC "&amp;A4397&amp;" - "&amp;C4397,IF(L4397="","EFEITO_PC nao calculado: PC "&amp;A4397&amp;" - "&amp;C4397,"OK")))))))))</f>
        <v/>
      </c>
      <c r="L4397" s="92" t="str">
        <f>IF(AND(A4397="",B4397="",D4397="",G4397=""),"",IF(OR(B4397="",NOT(ISNUMBER(B4397)),C4397="",C4397="Fora dos ciclos"),"",IF(C4397="C0","Nao",IF(IFERROR(INDEX(parametros!$A$2:$A$6,MATCH(C4397,parametros!$B$2:$B$6,0)),"")&lt;&gt;"Sim","Nao",IF(IFERROR(INDEX(parametros!$H$2:$H$6,MATCH(C4397,parametros!$B$2:$B$6,0)),"")="","",IF(B4397&gt;=IFERROR(INDEX(parametros!$H$2:$H$6,MATCH(C4397,parametros!$B$2:$B$6,0)),""),"Sim","Nao"))))))</f>
        <v/>
      </c>
      <c r="T4397" s="156"/>
      <c r="U4397" s="214" t="str">
        <f t="shared" si="346"/>
        <v/>
      </c>
      <c r="V4397" s="212" t="s">
        <v>50</v>
      </c>
      <c r="W4397" s="100" t="s">
        <v>168</v>
      </c>
      <c r="X4397" s="100" t="s">
        <v>169</v>
      </c>
      <c r="Y4397" s="101" t="s">
        <v>170</v>
      </c>
      <c r="Z4397" s="101" t="s">
        <v>171</v>
      </c>
      <c r="AA4397" s="101" t="s">
        <v>50</v>
      </c>
      <c r="AB4397" s="101" t="s">
        <v>172</v>
      </c>
      <c r="AC4397" s="102" t="s">
        <v>173</v>
      </c>
    </row>
    <row r="4398" spans="1:29" ht="25.5" customHeight="1" x14ac:dyDescent="0.35">
      <c r="A4398" s="392"/>
      <c r="B4398" s="393"/>
      <c r="C4398" s="99" t="str">
        <f>IF(B4398="","",IF(NOT(ISNUMBER(B4398)),"DATA_PC invalida",IF(NOT(ISNUMBER(parametros!$C$2)),"Fora dos ciclos",IF(OR(B4398&lt;parametros!$C$2,(YEAR(B4398)-YEAR(parametros!$C$2))*12+MONTH(B4398)-MONTH(parametros!$C$2)&gt;59),"Fora dos ciclos","C"&amp;INT(((YEAR(B4398)-YEAR(parametros!$C$2))*12+MONTH(B4398)-MONTH(parametros!$C$2))/12)))))</f>
        <v/>
      </c>
      <c r="D4398" s="394"/>
      <c r="E4398" s="78" t="str">
        <f>IF(C4398="","",IFERROR(VLOOKUP(C4398,parametros!$A$11:$E$15,5,0),""))</f>
        <v/>
      </c>
      <c r="F4398" s="79" t="str">
        <f t="shared" si="342"/>
        <v/>
      </c>
      <c r="G4398" s="395"/>
      <c r="H4398" s="91">
        <f t="shared" si="343"/>
        <v>0</v>
      </c>
      <c r="I4398" s="91" t="str">
        <f t="shared" si="344"/>
        <v/>
      </c>
      <c r="J4398" s="91" t="str">
        <f t="shared" si="345"/>
        <v/>
      </c>
      <c r="K4398" s="92" t="str">
        <f>IF(AND(A4398="",B4398="",D4398="",G4398=""),"",IF(AND(A4398&lt;&gt;"",COUNTIF($A$2:$A$5001,A4398)&gt;1),"NUMERO_PC duplicado",IF(B4398="","DATA_PC vazia",IF(NOT(ISNUMBER(B4398)),"DATA_PC invalida",IF(OR(C4398="",C4398="Fora dos ciclos"),"CICLO_PC nao identificado",IF(OR(D4398="",D4398=0),"VALOR_PC vazio ou zero",IF(AND(G4398&lt;&gt;"Sim",G4398&lt;&gt;"Nao",G4398&lt;&gt;""),"PC_PAGO_A_CONTRATADA invalido",IF(AND(C4398&lt;&gt;"C0",IFERROR(INDEX(parametros!$A$2:$A$6,MATCH(C4398,parametros!$B$2:$B$6,0)),"")="Sim",IFERROR(INDEX(parametros!$H$2:$H$6,MATCH(C4398,parametros!$B$2:$B$6,0)),"")=""),"INICIO_EFEITO ausente: PC "&amp;A4398&amp;" - "&amp;C4398,IF(L4398="","EFEITO_PC nao calculado: PC "&amp;A4398&amp;" - "&amp;C4398,"OK")))))))))</f>
        <v/>
      </c>
      <c r="L4398" s="92" t="str">
        <f>IF(AND(A4398="",B4398="",D4398="",G4398=""),"",IF(OR(B4398="",NOT(ISNUMBER(B4398)),C4398="",C4398="Fora dos ciclos"),"",IF(C4398="C0","Nao",IF(IFERROR(INDEX(parametros!$A$2:$A$6,MATCH(C4398,parametros!$B$2:$B$6,0)),"")&lt;&gt;"Sim","Nao",IF(IFERROR(INDEX(parametros!$H$2:$H$6,MATCH(C4398,parametros!$B$2:$B$6,0)),"")="","",IF(B4398&gt;=IFERROR(INDEX(parametros!$H$2:$H$6,MATCH(C4398,parametros!$B$2:$B$6,0)),""),"Sim","Nao"))))))</f>
        <v/>
      </c>
      <c r="T4398" s="156"/>
      <c r="U4398" s="214" t="str">
        <f t="shared" si="346"/>
        <v/>
      </c>
      <c r="V4398" s="212" t="s">
        <v>50</v>
      </c>
      <c r="W4398" s="100" t="s">
        <v>168</v>
      </c>
      <c r="X4398" s="100" t="s">
        <v>169</v>
      </c>
      <c r="Y4398" s="101" t="s">
        <v>170</v>
      </c>
      <c r="Z4398" s="101" t="s">
        <v>171</v>
      </c>
      <c r="AA4398" s="101" t="s">
        <v>50</v>
      </c>
      <c r="AB4398" s="101" t="s">
        <v>172</v>
      </c>
      <c r="AC4398" s="102" t="s">
        <v>173</v>
      </c>
    </row>
    <row r="4399" spans="1:29" ht="25.5" customHeight="1" x14ac:dyDescent="0.35">
      <c r="A4399" s="392"/>
      <c r="B4399" s="393"/>
      <c r="C4399" s="99" t="str">
        <f>IF(B4399="","",IF(NOT(ISNUMBER(B4399)),"DATA_PC invalida",IF(NOT(ISNUMBER(parametros!$C$2)),"Fora dos ciclos",IF(OR(B4399&lt;parametros!$C$2,(YEAR(B4399)-YEAR(parametros!$C$2))*12+MONTH(B4399)-MONTH(parametros!$C$2)&gt;59),"Fora dos ciclos","C"&amp;INT(((YEAR(B4399)-YEAR(parametros!$C$2))*12+MONTH(B4399)-MONTH(parametros!$C$2))/12)))))</f>
        <v/>
      </c>
      <c r="D4399" s="394"/>
      <c r="E4399" s="78" t="str">
        <f>IF(C4399="","",IFERROR(VLOOKUP(C4399,parametros!$A$11:$E$15,5,0),""))</f>
        <v/>
      </c>
      <c r="F4399" s="79" t="str">
        <f t="shared" si="342"/>
        <v/>
      </c>
      <c r="G4399" s="395"/>
      <c r="H4399" s="91">
        <f t="shared" si="343"/>
        <v>0</v>
      </c>
      <c r="I4399" s="91" t="str">
        <f t="shared" si="344"/>
        <v/>
      </c>
      <c r="J4399" s="91" t="str">
        <f t="shared" si="345"/>
        <v/>
      </c>
      <c r="K4399" s="92" t="str">
        <f>IF(AND(A4399="",B4399="",D4399="",G4399=""),"",IF(AND(A4399&lt;&gt;"",COUNTIF($A$2:$A$5001,A4399)&gt;1),"NUMERO_PC duplicado",IF(B4399="","DATA_PC vazia",IF(NOT(ISNUMBER(B4399)),"DATA_PC invalida",IF(OR(C4399="",C4399="Fora dos ciclos"),"CICLO_PC nao identificado",IF(OR(D4399="",D4399=0),"VALOR_PC vazio ou zero",IF(AND(G4399&lt;&gt;"Sim",G4399&lt;&gt;"Nao",G4399&lt;&gt;""),"PC_PAGO_A_CONTRATADA invalido",IF(AND(C4399&lt;&gt;"C0",IFERROR(INDEX(parametros!$A$2:$A$6,MATCH(C4399,parametros!$B$2:$B$6,0)),"")="Sim",IFERROR(INDEX(parametros!$H$2:$H$6,MATCH(C4399,parametros!$B$2:$B$6,0)),"")=""),"INICIO_EFEITO ausente: PC "&amp;A4399&amp;" - "&amp;C4399,IF(L4399="","EFEITO_PC nao calculado: PC "&amp;A4399&amp;" - "&amp;C4399,"OK")))))))))</f>
        <v/>
      </c>
      <c r="L4399" s="92" t="str">
        <f>IF(AND(A4399="",B4399="",D4399="",G4399=""),"",IF(OR(B4399="",NOT(ISNUMBER(B4399)),C4399="",C4399="Fora dos ciclos"),"",IF(C4399="C0","Nao",IF(IFERROR(INDEX(parametros!$A$2:$A$6,MATCH(C4399,parametros!$B$2:$B$6,0)),"")&lt;&gt;"Sim","Nao",IF(IFERROR(INDEX(parametros!$H$2:$H$6,MATCH(C4399,parametros!$B$2:$B$6,0)),"")="","",IF(B4399&gt;=IFERROR(INDEX(parametros!$H$2:$H$6,MATCH(C4399,parametros!$B$2:$B$6,0)),""),"Sim","Nao"))))))</f>
        <v/>
      </c>
      <c r="T4399" s="156"/>
      <c r="U4399" s="214" t="str">
        <f t="shared" si="346"/>
        <v/>
      </c>
      <c r="V4399" s="212" t="s">
        <v>50</v>
      </c>
      <c r="W4399" s="100" t="s">
        <v>168</v>
      </c>
      <c r="X4399" s="100" t="s">
        <v>169</v>
      </c>
      <c r="Y4399" s="101" t="s">
        <v>170</v>
      </c>
      <c r="Z4399" s="101" t="s">
        <v>171</v>
      </c>
      <c r="AA4399" s="101" t="s">
        <v>50</v>
      </c>
      <c r="AB4399" s="101" t="s">
        <v>172</v>
      </c>
      <c r="AC4399" s="102" t="s">
        <v>173</v>
      </c>
    </row>
    <row r="4400" spans="1:29" ht="25.5" customHeight="1" x14ac:dyDescent="0.35">
      <c r="A4400" s="392"/>
      <c r="B4400" s="393"/>
      <c r="C4400" s="99" t="str">
        <f>IF(B4400="","",IF(NOT(ISNUMBER(B4400)),"DATA_PC invalida",IF(NOT(ISNUMBER(parametros!$C$2)),"Fora dos ciclos",IF(OR(B4400&lt;parametros!$C$2,(YEAR(B4400)-YEAR(parametros!$C$2))*12+MONTH(B4400)-MONTH(parametros!$C$2)&gt;59),"Fora dos ciclos","C"&amp;INT(((YEAR(B4400)-YEAR(parametros!$C$2))*12+MONTH(B4400)-MONTH(parametros!$C$2))/12)))))</f>
        <v/>
      </c>
      <c r="D4400" s="394"/>
      <c r="E4400" s="78" t="str">
        <f>IF(C4400="","",IFERROR(VLOOKUP(C4400,parametros!$A$11:$E$15,5,0),""))</f>
        <v/>
      </c>
      <c r="F4400" s="79" t="str">
        <f t="shared" si="342"/>
        <v/>
      </c>
      <c r="G4400" s="395"/>
      <c r="H4400" s="91">
        <f t="shared" si="343"/>
        <v>0</v>
      </c>
      <c r="I4400" s="91" t="str">
        <f t="shared" si="344"/>
        <v/>
      </c>
      <c r="J4400" s="91" t="str">
        <f t="shared" si="345"/>
        <v/>
      </c>
      <c r="K4400" s="92" t="str">
        <f>IF(AND(A4400="",B4400="",D4400="",G4400=""),"",IF(AND(A4400&lt;&gt;"",COUNTIF($A$2:$A$5001,A4400)&gt;1),"NUMERO_PC duplicado",IF(B4400="","DATA_PC vazia",IF(NOT(ISNUMBER(B4400)),"DATA_PC invalida",IF(OR(C4400="",C4400="Fora dos ciclos"),"CICLO_PC nao identificado",IF(OR(D4400="",D4400=0),"VALOR_PC vazio ou zero",IF(AND(G4400&lt;&gt;"Sim",G4400&lt;&gt;"Nao",G4400&lt;&gt;""),"PC_PAGO_A_CONTRATADA invalido",IF(AND(C4400&lt;&gt;"C0",IFERROR(INDEX(parametros!$A$2:$A$6,MATCH(C4400,parametros!$B$2:$B$6,0)),"")="Sim",IFERROR(INDEX(parametros!$H$2:$H$6,MATCH(C4400,parametros!$B$2:$B$6,0)),"")=""),"INICIO_EFEITO ausente: PC "&amp;A4400&amp;" - "&amp;C4400,IF(L4400="","EFEITO_PC nao calculado: PC "&amp;A4400&amp;" - "&amp;C4400,"OK")))))))))</f>
        <v/>
      </c>
      <c r="L4400" s="92" t="str">
        <f>IF(AND(A4400="",B4400="",D4400="",G4400=""),"",IF(OR(B4400="",NOT(ISNUMBER(B4400)),C4400="",C4400="Fora dos ciclos"),"",IF(C4400="C0","Nao",IF(IFERROR(INDEX(parametros!$A$2:$A$6,MATCH(C4400,parametros!$B$2:$B$6,0)),"")&lt;&gt;"Sim","Nao",IF(IFERROR(INDEX(parametros!$H$2:$H$6,MATCH(C4400,parametros!$B$2:$B$6,0)),"")="","",IF(B4400&gt;=IFERROR(INDEX(parametros!$H$2:$H$6,MATCH(C4400,parametros!$B$2:$B$6,0)),""),"Sim","Nao"))))))</f>
        <v/>
      </c>
      <c r="T4400" s="156"/>
      <c r="U4400" s="214" t="str">
        <f t="shared" si="346"/>
        <v/>
      </c>
      <c r="V4400" s="212" t="s">
        <v>50</v>
      </c>
      <c r="W4400" s="100" t="s">
        <v>168</v>
      </c>
      <c r="X4400" s="100" t="s">
        <v>169</v>
      </c>
      <c r="Y4400" s="101" t="s">
        <v>170</v>
      </c>
      <c r="Z4400" s="101" t="s">
        <v>171</v>
      </c>
      <c r="AA4400" s="101" t="s">
        <v>50</v>
      </c>
      <c r="AB4400" s="101" t="s">
        <v>172</v>
      </c>
      <c r="AC4400" s="102" t="s">
        <v>173</v>
      </c>
    </row>
    <row r="4401" spans="1:29" ht="25.5" customHeight="1" x14ac:dyDescent="0.35">
      <c r="A4401" s="392"/>
      <c r="B4401" s="393"/>
      <c r="C4401" s="99" t="str">
        <f>IF(B4401="","",IF(NOT(ISNUMBER(B4401)),"DATA_PC invalida",IF(NOT(ISNUMBER(parametros!$C$2)),"Fora dos ciclos",IF(OR(B4401&lt;parametros!$C$2,(YEAR(B4401)-YEAR(parametros!$C$2))*12+MONTH(B4401)-MONTH(parametros!$C$2)&gt;59),"Fora dos ciclos","C"&amp;INT(((YEAR(B4401)-YEAR(parametros!$C$2))*12+MONTH(B4401)-MONTH(parametros!$C$2))/12)))))</f>
        <v/>
      </c>
      <c r="D4401" s="394"/>
      <c r="E4401" s="78" t="str">
        <f>IF(C4401="","",IFERROR(VLOOKUP(C4401,parametros!$A$11:$E$15,5,0),""))</f>
        <v/>
      </c>
      <c r="F4401" s="79" t="str">
        <f t="shared" si="342"/>
        <v/>
      </c>
      <c r="G4401" s="395"/>
      <c r="H4401" s="91">
        <f t="shared" si="343"/>
        <v>0</v>
      </c>
      <c r="I4401" s="91" t="str">
        <f t="shared" si="344"/>
        <v/>
      </c>
      <c r="J4401" s="91" t="str">
        <f t="shared" si="345"/>
        <v/>
      </c>
      <c r="K4401" s="92" t="str">
        <f>IF(AND(A4401="",B4401="",D4401="",G4401=""),"",IF(AND(A4401&lt;&gt;"",COUNTIF($A$2:$A$5001,A4401)&gt;1),"NUMERO_PC duplicado",IF(B4401="","DATA_PC vazia",IF(NOT(ISNUMBER(B4401)),"DATA_PC invalida",IF(OR(C4401="",C4401="Fora dos ciclos"),"CICLO_PC nao identificado",IF(OR(D4401="",D4401=0),"VALOR_PC vazio ou zero",IF(AND(G4401&lt;&gt;"Sim",G4401&lt;&gt;"Nao",G4401&lt;&gt;""),"PC_PAGO_A_CONTRATADA invalido",IF(AND(C4401&lt;&gt;"C0",IFERROR(INDEX(parametros!$A$2:$A$6,MATCH(C4401,parametros!$B$2:$B$6,0)),"")="Sim",IFERROR(INDEX(parametros!$H$2:$H$6,MATCH(C4401,parametros!$B$2:$B$6,0)),"")=""),"INICIO_EFEITO ausente: PC "&amp;A4401&amp;" - "&amp;C4401,IF(L4401="","EFEITO_PC nao calculado: PC "&amp;A4401&amp;" - "&amp;C4401,"OK")))))))))</f>
        <v/>
      </c>
      <c r="L4401" s="92" t="str">
        <f>IF(AND(A4401="",B4401="",D4401="",G4401=""),"",IF(OR(B4401="",NOT(ISNUMBER(B4401)),C4401="",C4401="Fora dos ciclos"),"",IF(C4401="C0","Nao",IF(IFERROR(INDEX(parametros!$A$2:$A$6,MATCH(C4401,parametros!$B$2:$B$6,0)),"")&lt;&gt;"Sim","Nao",IF(IFERROR(INDEX(parametros!$H$2:$H$6,MATCH(C4401,parametros!$B$2:$B$6,0)),"")="","",IF(B4401&gt;=IFERROR(INDEX(parametros!$H$2:$H$6,MATCH(C4401,parametros!$B$2:$B$6,0)),""),"Sim","Nao"))))))</f>
        <v/>
      </c>
      <c r="T4401" s="156"/>
      <c r="U4401" s="214" t="str">
        <f t="shared" si="346"/>
        <v/>
      </c>
      <c r="V4401" s="212" t="s">
        <v>50</v>
      </c>
      <c r="W4401" s="100" t="s">
        <v>168</v>
      </c>
      <c r="X4401" s="100" t="s">
        <v>169</v>
      </c>
      <c r="Y4401" s="101" t="s">
        <v>170</v>
      </c>
      <c r="Z4401" s="101" t="s">
        <v>171</v>
      </c>
      <c r="AA4401" s="101" t="s">
        <v>50</v>
      </c>
      <c r="AB4401" s="101" t="s">
        <v>172</v>
      </c>
      <c r="AC4401" s="102" t="s">
        <v>173</v>
      </c>
    </row>
    <row r="4402" spans="1:29" ht="25.5" customHeight="1" x14ac:dyDescent="0.35">
      <c r="A4402" s="392"/>
      <c r="B4402" s="393"/>
      <c r="C4402" s="99" t="str">
        <f>IF(B4402="","",IF(NOT(ISNUMBER(B4402)),"DATA_PC invalida",IF(NOT(ISNUMBER(parametros!$C$2)),"Fora dos ciclos",IF(OR(B4402&lt;parametros!$C$2,(YEAR(B4402)-YEAR(parametros!$C$2))*12+MONTH(B4402)-MONTH(parametros!$C$2)&gt;59),"Fora dos ciclos","C"&amp;INT(((YEAR(B4402)-YEAR(parametros!$C$2))*12+MONTH(B4402)-MONTH(parametros!$C$2))/12)))))</f>
        <v/>
      </c>
      <c r="D4402" s="394"/>
      <c r="E4402" s="78" t="str">
        <f>IF(C4402="","",IFERROR(VLOOKUP(C4402,parametros!$A$11:$E$15,5,0),""))</f>
        <v/>
      </c>
      <c r="F4402" s="79" t="str">
        <f t="shared" si="342"/>
        <v/>
      </c>
      <c r="G4402" s="395"/>
      <c r="H4402" s="91">
        <f t="shared" si="343"/>
        <v>0</v>
      </c>
      <c r="I4402" s="91" t="str">
        <f t="shared" si="344"/>
        <v/>
      </c>
      <c r="J4402" s="91" t="str">
        <f t="shared" si="345"/>
        <v/>
      </c>
      <c r="K4402" s="92" t="str">
        <f>IF(AND(A4402="",B4402="",D4402="",G4402=""),"",IF(AND(A4402&lt;&gt;"",COUNTIF($A$2:$A$5001,A4402)&gt;1),"NUMERO_PC duplicado",IF(B4402="","DATA_PC vazia",IF(NOT(ISNUMBER(B4402)),"DATA_PC invalida",IF(OR(C4402="",C4402="Fora dos ciclos"),"CICLO_PC nao identificado",IF(OR(D4402="",D4402=0),"VALOR_PC vazio ou zero",IF(AND(G4402&lt;&gt;"Sim",G4402&lt;&gt;"Nao",G4402&lt;&gt;""),"PC_PAGO_A_CONTRATADA invalido",IF(AND(C4402&lt;&gt;"C0",IFERROR(INDEX(parametros!$A$2:$A$6,MATCH(C4402,parametros!$B$2:$B$6,0)),"")="Sim",IFERROR(INDEX(parametros!$H$2:$H$6,MATCH(C4402,parametros!$B$2:$B$6,0)),"")=""),"INICIO_EFEITO ausente: PC "&amp;A4402&amp;" - "&amp;C4402,IF(L4402="","EFEITO_PC nao calculado: PC "&amp;A4402&amp;" - "&amp;C4402,"OK")))))))))</f>
        <v/>
      </c>
      <c r="L4402" s="92" t="str">
        <f>IF(AND(A4402="",B4402="",D4402="",G4402=""),"",IF(OR(B4402="",NOT(ISNUMBER(B4402)),C4402="",C4402="Fora dos ciclos"),"",IF(C4402="C0","Nao",IF(IFERROR(INDEX(parametros!$A$2:$A$6,MATCH(C4402,parametros!$B$2:$B$6,0)),"")&lt;&gt;"Sim","Nao",IF(IFERROR(INDEX(parametros!$H$2:$H$6,MATCH(C4402,parametros!$B$2:$B$6,0)),"")="","",IF(B4402&gt;=IFERROR(INDEX(parametros!$H$2:$H$6,MATCH(C4402,parametros!$B$2:$B$6,0)),""),"Sim","Nao"))))))</f>
        <v/>
      </c>
      <c r="T4402" s="156"/>
      <c r="U4402" s="214" t="str">
        <f t="shared" si="346"/>
        <v/>
      </c>
      <c r="V4402" s="212" t="s">
        <v>50</v>
      </c>
      <c r="W4402" s="100" t="s">
        <v>168</v>
      </c>
      <c r="X4402" s="100" t="s">
        <v>169</v>
      </c>
      <c r="Y4402" s="101" t="s">
        <v>170</v>
      </c>
      <c r="Z4402" s="101" t="s">
        <v>171</v>
      </c>
      <c r="AA4402" s="101" t="s">
        <v>50</v>
      </c>
      <c r="AB4402" s="101" t="s">
        <v>172</v>
      </c>
      <c r="AC4402" s="102" t="s">
        <v>173</v>
      </c>
    </row>
    <row r="4403" spans="1:29" ht="25.5" customHeight="1" x14ac:dyDescent="0.35">
      <c r="A4403" s="392"/>
      <c r="B4403" s="393"/>
      <c r="C4403" s="99" t="str">
        <f>IF(B4403="","",IF(NOT(ISNUMBER(B4403)),"DATA_PC invalida",IF(NOT(ISNUMBER(parametros!$C$2)),"Fora dos ciclos",IF(OR(B4403&lt;parametros!$C$2,(YEAR(B4403)-YEAR(parametros!$C$2))*12+MONTH(B4403)-MONTH(parametros!$C$2)&gt;59),"Fora dos ciclos","C"&amp;INT(((YEAR(B4403)-YEAR(parametros!$C$2))*12+MONTH(B4403)-MONTH(parametros!$C$2))/12)))))</f>
        <v/>
      </c>
      <c r="D4403" s="394"/>
      <c r="E4403" s="78" t="str">
        <f>IF(C4403="","",IFERROR(VLOOKUP(C4403,parametros!$A$11:$E$15,5,0),""))</f>
        <v/>
      </c>
      <c r="F4403" s="79" t="str">
        <f t="shared" si="342"/>
        <v/>
      </c>
      <c r="G4403" s="395"/>
      <c r="H4403" s="91">
        <f t="shared" si="343"/>
        <v>0</v>
      </c>
      <c r="I4403" s="91" t="str">
        <f t="shared" si="344"/>
        <v/>
      </c>
      <c r="J4403" s="91" t="str">
        <f t="shared" si="345"/>
        <v/>
      </c>
      <c r="K4403" s="92" t="str">
        <f>IF(AND(A4403="",B4403="",D4403="",G4403=""),"",IF(AND(A4403&lt;&gt;"",COUNTIF($A$2:$A$5001,A4403)&gt;1),"NUMERO_PC duplicado",IF(B4403="","DATA_PC vazia",IF(NOT(ISNUMBER(B4403)),"DATA_PC invalida",IF(OR(C4403="",C4403="Fora dos ciclos"),"CICLO_PC nao identificado",IF(OR(D4403="",D4403=0),"VALOR_PC vazio ou zero",IF(AND(G4403&lt;&gt;"Sim",G4403&lt;&gt;"Nao",G4403&lt;&gt;""),"PC_PAGO_A_CONTRATADA invalido",IF(AND(C4403&lt;&gt;"C0",IFERROR(INDEX(parametros!$A$2:$A$6,MATCH(C4403,parametros!$B$2:$B$6,0)),"")="Sim",IFERROR(INDEX(parametros!$H$2:$H$6,MATCH(C4403,parametros!$B$2:$B$6,0)),"")=""),"INICIO_EFEITO ausente: PC "&amp;A4403&amp;" - "&amp;C4403,IF(L4403="","EFEITO_PC nao calculado: PC "&amp;A4403&amp;" - "&amp;C4403,"OK")))))))))</f>
        <v/>
      </c>
      <c r="L4403" s="92" t="str">
        <f>IF(AND(A4403="",B4403="",D4403="",G4403=""),"",IF(OR(B4403="",NOT(ISNUMBER(B4403)),C4403="",C4403="Fora dos ciclos"),"",IF(C4403="C0","Nao",IF(IFERROR(INDEX(parametros!$A$2:$A$6,MATCH(C4403,parametros!$B$2:$B$6,0)),"")&lt;&gt;"Sim","Nao",IF(IFERROR(INDEX(parametros!$H$2:$H$6,MATCH(C4403,parametros!$B$2:$B$6,0)),"")="","",IF(B4403&gt;=IFERROR(INDEX(parametros!$H$2:$H$6,MATCH(C4403,parametros!$B$2:$B$6,0)),""),"Sim","Nao"))))))</f>
        <v/>
      </c>
      <c r="T4403" s="156"/>
      <c r="U4403" s="214" t="str">
        <f t="shared" si="346"/>
        <v/>
      </c>
      <c r="V4403" s="212" t="s">
        <v>50</v>
      </c>
      <c r="W4403" s="100" t="s">
        <v>168</v>
      </c>
      <c r="X4403" s="100" t="s">
        <v>169</v>
      </c>
      <c r="Y4403" s="101" t="s">
        <v>170</v>
      </c>
      <c r="Z4403" s="101" t="s">
        <v>171</v>
      </c>
      <c r="AA4403" s="101" t="s">
        <v>50</v>
      </c>
      <c r="AB4403" s="101" t="s">
        <v>172</v>
      </c>
      <c r="AC4403" s="102" t="s">
        <v>173</v>
      </c>
    </row>
    <row r="4404" spans="1:29" ht="25.5" customHeight="1" x14ac:dyDescent="0.35">
      <c r="A4404" s="392"/>
      <c r="B4404" s="393"/>
      <c r="C4404" s="99" t="str">
        <f>IF(B4404="","",IF(NOT(ISNUMBER(B4404)),"DATA_PC invalida",IF(NOT(ISNUMBER(parametros!$C$2)),"Fora dos ciclos",IF(OR(B4404&lt;parametros!$C$2,(YEAR(B4404)-YEAR(parametros!$C$2))*12+MONTH(B4404)-MONTH(parametros!$C$2)&gt;59),"Fora dos ciclos","C"&amp;INT(((YEAR(B4404)-YEAR(parametros!$C$2))*12+MONTH(B4404)-MONTH(parametros!$C$2))/12)))))</f>
        <v/>
      </c>
      <c r="D4404" s="394"/>
      <c r="E4404" s="78" t="str">
        <f>IF(C4404="","",IFERROR(VLOOKUP(C4404,parametros!$A$11:$E$15,5,0),""))</f>
        <v/>
      </c>
      <c r="F4404" s="79" t="str">
        <f t="shared" si="342"/>
        <v/>
      </c>
      <c r="G4404" s="395"/>
      <c r="H4404" s="91">
        <f t="shared" si="343"/>
        <v>0</v>
      </c>
      <c r="I4404" s="91" t="str">
        <f t="shared" si="344"/>
        <v/>
      </c>
      <c r="J4404" s="91" t="str">
        <f t="shared" si="345"/>
        <v/>
      </c>
      <c r="K4404" s="92" t="str">
        <f>IF(AND(A4404="",B4404="",D4404="",G4404=""),"",IF(AND(A4404&lt;&gt;"",COUNTIF($A$2:$A$5001,A4404)&gt;1),"NUMERO_PC duplicado",IF(B4404="","DATA_PC vazia",IF(NOT(ISNUMBER(B4404)),"DATA_PC invalida",IF(OR(C4404="",C4404="Fora dos ciclos"),"CICLO_PC nao identificado",IF(OR(D4404="",D4404=0),"VALOR_PC vazio ou zero",IF(AND(G4404&lt;&gt;"Sim",G4404&lt;&gt;"Nao",G4404&lt;&gt;""),"PC_PAGO_A_CONTRATADA invalido",IF(AND(C4404&lt;&gt;"C0",IFERROR(INDEX(parametros!$A$2:$A$6,MATCH(C4404,parametros!$B$2:$B$6,0)),"")="Sim",IFERROR(INDEX(parametros!$H$2:$H$6,MATCH(C4404,parametros!$B$2:$B$6,0)),"")=""),"INICIO_EFEITO ausente: PC "&amp;A4404&amp;" - "&amp;C4404,IF(L4404="","EFEITO_PC nao calculado: PC "&amp;A4404&amp;" - "&amp;C4404,"OK")))))))))</f>
        <v/>
      </c>
      <c r="L4404" s="92" t="str">
        <f>IF(AND(A4404="",B4404="",D4404="",G4404=""),"",IF(OR(B4404="",NOT(ISNUMBER(B4404)),C4404="",C4404="Fora dos ciclos"),"",IF(C4404="C0","Nao",IF(IFERROR(INDEX(parametros!$A$2:$A$6,MATCH(C4404,parametros!$B$2:$B$6,0)),"")&lt;&gt;"Sim","Nao",IF(IFERROR(INDEX(parametros!$H$2:$H$6,MATCH(C4404,parametros!$B$2:$B$6,0)),"")="","",IF(B4404&gt;=IFERROR(INDEX(parametros!$H$2:$H$6,MATCH(C4404,parametros!$B$2:$B$6,0)),""),"Sim","Nao"))))))</f>
        <v/>
      </c>
      <c r="T4404" s="156"/>
      <c r="U4404" s="214" t="str">
        <f t="shared" si="346"/>
        <v/>
      </c>
      <c r="V4404" s="212" t="s">
        <v>50</v>
      </c>
      <c r="W4404" s="100" t="s">
        <v>168</v>
      </c>
      <c r="X4404" s="100" t="s">
        <v>169</v>
      </c>
      <c r="Y4404" s="101" t="s">
        <v>170</v>
      </c>
      <c r="Z4404" s="101" t="s">
        <v>171</v>
      </c>
      <c r="AA4404" s="101" t="s">
        <v>50</v>
      </c>
      <c r="AB4404" s="101" t="s">
        <v>172</v>
      </c>
      <c r="AC4404" s="102" t="s">
        <v>173</v>
      </c>
    </row>
    <row r="4405" spans="1:29" ht="25.5" customHeight="1" x14ac:dyDescent="0.35">
      <c r="A4405" s="392"/>
      <c r="B4405" s="393"/>
      <c r="C4405" s="99" t="str">
        <f>IF(B4405="","",IF(NOT(ISNUMBER(B4405)),"DATA_PC invalida",IF(NOT(ISNUMBER(parametros!$C$2)),"Fora dos ciclos",IF(OR(B4405&lt;parametros!$C$2,(YEAR(B4405)-YEAR(parametros!$C$2))*12+MONTH(B4405)-MONTH(parametros!$C$2)&gt;59),"Fora dos ciclos","C"&amp;INT(((YEAR(B4405)-YEAR(parametros!$C$2))*12+MONTH(B4405)-MONTH(parametros!$C$2))/12)))))</f>
        <v/>
      </c>
      <c r="D4405" s="394"/>
      <c r="E4405" s="78" t="str">
        <f>IF(C4405="","",IFERROR(VLOOKUP(C4405,parametros!$A$11:$E$15,5,0),""))</f>
        <v/>
      </c>
      <c r="F4405" s="79" t="str">
        <f t="shared" si="342"/>
        <v/>
      </c>
      <c r="G4405" s="395"/>
      <c r="H4405" s="91">
        <f t="shared" si="343"/>
        <v>0</v>
      </c>
      <c r="I4405" s="91" t="str">
        <f t="shared" si="344"/>
        <v/>
      </c>
      <c r="J4405" s="91" t="str">
        <f t="shared" si="345"/>
        <v/>
      </c>
      <c r="K4405" s="92" t="str">
        <f>IF(AND(A4405="",B4405="",D4405="",G4405=""),"",IF(AND(A4405&lt;&gt;"",COUNTIF($A$2:$A$5001,A4405)&gt;1),"NUMERO_PC duplicado",IF(B4405="","DATA_PC vazia",IF(NOT(ISNUMBER(B4405)),"DATA_PC invalida",IF(OR(C4405="",C4405="Fora dos ciclos"),"CICLO_PC nao identificado",IF(OR(D4405="",D4405=0),"VALOR_PC vazio ou zero",IF(AND(G4405&lt;&gt;"Sim",G4405&lt;&gt;"Nao",G4405&lt;&gt;""),"PC_PAGO_A_CONTRATADA invalido",IF(AND(C4405&lt;&gt;"C0",IFERROR(INDEX(parametros!$A$2:$A$6,MATCH(C4405,parametros!$B$2:$B$6,0)),"")="Sim",IFERROR(INDEX(parametros!$H$2:$H$6,MATCH(C4405,parametros!$B$2:$B$6,0)),"")=""),"INICIO_EFEITO ausente: PC "&amp;A4405&amp;" - "&amp;C4405,IF(L4405="","EFEITO_PC nao calculado: PC "&amp;A4405&amp;" - "&amp;C4405,"OK")))))))))</f>
        <v/>
      </c>
      <c r="L4405" s="92" t="str">
        <f>IF(AND(A4405="",B4405="",D4405="",G4405=""),"",IF(OR(B4405="",NOT(ISNUMBER(B4405)),C4405="",C4405="Fora dos ciclos"),"",IF(C4405="C0","Nao",IF(IFERROR(INDEX(parametros!$A$2:$A$6,MATCH(C4405,parametros!$B$2:$B$6,0)),"")&lt;&gt;"Sim","Nao",IF(IFERROR(INDEX(parametros!$H$2:$H$6,MATCH(C4405,parametros!$B$2:$B$6,0)),"")="","",IF(B4405&gt;=IFERROR(INDEX(parametros!$H$2:$H$6,MATCH(C4405,parametros!$B$2:$B$6,0)),""),"Sim","Nao"))))))</f>
        <v/>
      </c>
      <c r="T4405" s="156"/>
      <c r="U4405" s="214" t="str">
        <f t="shared" si="346"/>
        <v/>
      </c>
      <c r="V4405" s="212" t="s">
        <v>50</v>
      </c>
      <c r="W4405" s="100" t="s">
        <v>168</v>
      </c>
      <c r="X4405" s="100" t="s">
        <v>169</v>
      </c>
      <c r="Y4405" s="101" t="s">
        <v>170</v>
      </c>
      <c r="Z4405" s="101" t="s">
        <v>171</v>
      </c>
      <c r="AA4405" s="101" t="s">
        <v>50</v>
      </c>
      <c r="AB4405" s="101" t="s">
        <v>172</v>
      </c>
      <c r="AC4405" s="102" t="s">
        <v>173</v>
      </c>
    </row>
    <row r="4406" spans="1:29" ht="25.5" customHeight="1" x14ac:dyDescent="0.35">
      <c r="A4406" s="392"/>
      <c r="B4406" s="393"/>
      <c r="C4406" s="99" t="str">
        <f>IF(B4406="","",IF(NOT(ISNUMBER(B4406)),"DATA_PC invalida",IF(NOT(ISNUMBER(parametros!$C$2)),"Fora dos ciclos",IF(OR(B4406&lt;parametros!$C$2,(YEAR(B4406)-YEAR(parametros!$C$2))*12+MONTH(B4406)-MONTH(parametros!$C$2)&gt;59),"Fora dos ciclos","C"&amp;INT(((YEAR(B4406)-YEAR(parametros!$C$2))*12+MONTH(B4406)-MONTH(parametros!$C$2))/12)))))</f>
        <v/>
      </c>
      <c r="D4406" s="394"/>
      <c r="E4406" s="78" t="str">
        <f>IF(C4406="","",IFERROR(VLOOKUP(C4406,parametros!$A$11:$E$15,5,0),""))</f>
        <v/>
      </c>
      <c r="F4406" s="79" t="str">
        <f t="shared" si="342"/>
        <v/>
      </c>
      <c r="G4406" s="395"/>
      <c r="H4406" s="91">
        <f t="shared" si="343"/>
        <v>0</v>
      </c>
      <c r="I4406" s="91" t="str">
        <f t="shared" si="344"/>
        <v/>
      </c>
      <c r="J4406" s="91" t="str">
        <f t="shared" si="345"/>
        <v/>
      </c>
      <c r="K4406" s="92" t="str">
        <f>IF(AND(A4406="",B4406="",D4406="",G4406=""),"",IF(AND(A4406&lt;&gt;"",COUNTIF($A$2:$A$5001,A4406)&gt;1),"NUMERO_PC duplicado",IF(B4406="","DATA_PC vazia",IF(NOT(ISNUMBER(B4406)),"DATA_PC invalida",IF(OR(C4406="",C4406="Fora dos ciclos"),"CICLO_PC nao identificado",IF(OR(D4406="",D4406=0),"VALOR_PC vazio ou zero",IF(AND(G4406&lt;&gt;"Sim",G4406&lt;&gt;"Nao",G4406&lt;&gt;""),"PC_PAGO_A_CONTRATADA invalido",IF(AND(C4406&lt;&gt;"C0",IFERROR(INDEX(parametros!$A$2:$A$6,MATCH(C4406,parametros!$B$2:$B$6,0)),"")="Sim",IFERROR(INDEX(parametros!$H$2:$H$6,MATCH(C4406,parametros!$B$2:$B$6,0)),"")=""),"INICIO_EFEITO ausente: PC "&amp;A4406&amp;" - "&amp;C4406,IF(L4406="","EFEITO_PC nao calculado: PC "&amp;A4406&amp;" - "&amp;C4406,"OK")))))))))</f>
        <v/>
      </c>
      <c r="L4406" s="92" t="str">
        <f>IF(AND(A4406="",B4406="",D4406="",G4406=""),"",IF(OR(B4406="",NOT(ISNUMBER(B4406)),C4406="",C4406="Fora dos ciclos"),"",IF(C4406="C0","Nao",IF(IFERROR(INDEX(parametros!$A$2:$A$6,MATCH(C4406,parametros!$B$2:$B$6,0)),"")&lt;&gt;"Sim","Nao",IF(IFERROR(INDEX(parametros!$H$2:$H$6,MATCH(C4406,parametros!$B$2:$B$6,0)),"")="","",IF(B4406&gt;=IFERROR(INDEX(parametros!$H$2:$H$6,MATCH(C4406,parametros!$B$2:$B$6,0)),""),"Sim","Nao"))))))</f>
        <v/>
      </c>
      <c r="T4406" s="156"/>
      <c r="U4406" s="214" t="str">
        <f t="shared" si="346"/>
        <v/>
      </c>
      <c r="V4406" s="212" t="s">
        <v>50</v>
      </c>
      <c r="W4406" s="100" t="s">
        <v>168</v>
      </c>
      <c r="X4406" s="100" t="s">
        <v>169</v>
      </c>
      <c r="Y4406" s="101" t="s">
        <v>170</v>
      </c>
      <c r="Z4406" s="101" t="s">
        <v>171</v>
      </c>
      <c r="AA4406" s="101" t="s">
        <v>50</v>
      </c>
      <c r="AB4406" s="101" t="s">
        <v>172</v>
      </c>
      <c r="AC4406" s="102" t="s">
        <v>173</v>
      </c>
    </row>
    <row r="4407" spans="1:29" ht="25.5" customHeight="1" x14ac:dyDescent="0.35">
      <c r="A4407" s="392"/>
      <c r="B4407" s="393"/>
      <c r="C4407" s="99" t="str">
        <f>IF(B4407="","",IF(NOT(ISNUMBER(B4407)),"DATA_PC invalida",IF(NOT(ISNUMBER(parametros!$C$2)),"Fora dos ciclos",IF(OR(B4407&lt;parametros!$C$2,(YEAR(B4407)-YEAR(parametros!$C$2))*12+MONTH(B4407)-MONTH(parametros!$C$2)&gt;59),"Fora dos ciclos","C"&amp;INT(((YEAR(B4407)-YEAR(parametros!$C$2))*12+MONTH(B4407)-MONTH(parametros!$C$2))/12)))))</f>
        <v/>
      </c>
      <c r="D4407" s="394"/>
      <c r="E4407" s="78" t="str">
        <f>IF(C4407="","",IFERROR(VLOOKUP(C4407,parametros!$A$11:$E$15,5,0),""))</f>
        <v/>
      </c>
      <c r="F4407" s="79" t="str">
        <f t="shared" si="342"/>
        <v/>
      </c>
      <c r="G4407" s="395"/>
      <c r="H4407" s="91">
        <f t="shared" si="343"/>
        <v>0</v>
      </c>
      <c r="I4407" s="91" t="str">
        <f t="shared" si="344"/>
        <v/>
      </c>
      <c r="J4407" s="91" t="str">
        <f t="shared" si="345"/>
        <v/>
      </c>
      <c r="K4407" s="92" t="str">
        <f>IF(AND(A4407="",B4407="",D4407="",G4407=""),"",IF(AND(A4407&lt;&gt;"",COUNTIF($A$2:$A$5001,A4407)&gt;1),"NUMERO_PC duplicado",IF(B4407="","DATA_PC vazia",IF(NOT(ISNUMBER(B4407)),"DATA_PC invalida",IF(OR(C4407="",C4407="Fora dos ciclos"),"CICLO_PC nao identificado",IF(OR(D4407="",D4407=0),"VALOR_PC vazio ou zero",IF(AND(G4407&lt;&gt;"Sim",G4407&lt;&gt;"Nao",G4407&lt;&gt;""),"PC_PAGO_A_CONTRATADA invalido",IF(AND(C4407&lt;&gt;"C0",IFERROR(INDEX(parametros!$A$2:$A$6,MATCH(C4407,parametros!$B$2:$B$6,0)),"")="Sim",IFERROR(INDEX(parametros!$H$2:$H$6,MATCH(C4407,parametros!$B$2:$B$6,0)),"")=""),"INICIO_EFEITO ausente: PC "&amp;A4407&amp;" - "&amp;C4407,IF(L4407="","EFEITO_PC nao calculado: PC "&amp;A4407&amp;" - "&amp;C4407,"OK")))))))))</f>
        <v/>
      </c>
      <c r="L4407" s="92" t="str">
        <f>IF(AND(A4407="",B4407="",D4407="",G4407=""),"",IF(OR(B4407="",NOT(ISNUMBER(B4407)),C4407="",C4407="Fora dos ciclos"),"",IF(C4407="C0","Nao",IF(IFERROR(INDEX(parametros!$A$2:$A$6,MATCH(C4407,parametros!$B$2:$B$6,0)),"")&lt;&gt;"Sim","Nao",IF(IFERROR(INDEX(parametros!$H$2:$H$6,MATCH(C4407,parametros!$B$2:$B$6,0)),"")="","",IF(B4407&gt;=IFERROR(INDEX(parametros!$H$2:$H$6,MATCH(C4407,parametros!$B$2:$B$6,0)),""),"Sim","Nao"))))))</f>
        <v/>
      </c>
      <c r="T4407" s="156"/>
      <c r="U4407" s="214" t="str">
        <f t="shared" si="346"/>
        <v/>
      </c>
      <c r="V4407" s="212" t="s">
        <v>50</v>
      </c>
      <c r="W4407" s="100" t="s">
        <v>168</v>
      </c>
      <c r="X4407" s="100" t="s">
        <v>169</v>
      </c>
      <c r="Y4407" s="101" t="s">
        <v>170</v>
      </c>
      <c r="Z4407" s="101" t="s">
        <v>171</v>
      </c>
      <c r="AA4407" s="101" t="s">
        <v>50</v>
      </c>
      <c r="AB4407" s="101" t="s">
        <v>172</v>
      </c>
      <c r="AC4407" s="102" t="s">
        <v>173</v>
      </c>
    </row>
    <row r="4408" spans="1:29" ht="25.5" customHeight="1" x14ac:dyDescent="0.35">
      <c r="A4408" s="392"/>
      <c r="B4408" s="393"/>
      <c r="C4408" s="99" t="str">
        <f>IF(B4408="","",IF(NOT(ISNUMBER(B4408)),"DATA_PC invalida",IF(NOT(ISNUMBER(parametros!$C$2)),"Fora dos ciclos",IF(OR(B4408&lt;parametros!$C$2,(YEAR(B4408)-YEAR(parametros!$C$2))*12+MONTH(B4408)-MONTH(parametros!$C$2)&gt;59),"Fora dos ciclos","C"&amp;INT(((YEAR(B4408)-YEAR(parametros!$C$2))*12+MONTH(B4408)-MONTH(parametros!$C$2))/12)))))</f>
        <v/>
      </c>
      <c r="D4408" s="394"/>
      <c r="E4408" s="78" t="str">
        <f>IF(C4408="","",IFERROR(VLOOKUP(C4408,parametros!$A$11:$E$15,5,0),""))</f>
        <v/>
      </c>
      <c r="F4408" s="79" t="str">
        <f t="shared" si="342"/>
        <v/>
      </c>
      <c r="G4408" s="395"/>
      <c r="H4408" s="91">
        <f t="shared" si="343"/>
        <v>0</v>
      </c>
      <c r="I4408" s="91" t="str">
        <f t="shared" si="344"/>
        <v/>
      </c>
      <c r="J4408" s="91" t="str">
        <f t="shared" si="345"/>
        <v/>
      </c>
      <c r="K4408" s="92" t="str">
        <f>IF(AND(A4408="",B4408="",D4408="",G4408=""),"",IF(AND(A4408&lt;&gt;"",COUNTIF($A$2:$A$5001,A4408)&gt;1),"NUMERO_PC duplicado",IF(B4408="","DATA_PC vazia",IF(NOT(ISNUMBER(B4408)),"DATA_PC invalida",IF(OR(C4408="",C4408="Fora dos ciclos"),"CICLO_PC nao identificado",IF(OR(D4408="",D4408=0),"VALOR_PC vazio ou zero",IF(AND(G4408&lt;&gt;"Sim",G4408&lt;&gt;"Nao",G4408&lt;&gt;""),"PC_PAGO_A_CONTRATADA invalido",IF(AND(C4408&lt;&gt;"C0",IFERROR(INDEX(parametros!$A$2:$A$6,MATCH(C4408,parametros!$B$2:$B$6,0)),"")="Sim",IFERROR(INDEX(parametros!$H$2:$H$6,MATCH(C4408,parametros!$B$2:$B$6,0)),"")=""),"INICIO_EFEITO ausente: PC "&amp;A4408&amp;" - "&amp;C4408,IF(L4408="","EFEITO_PC nao calculado: PC "&amp;A4408&amp;" - "&amp;C4408,"OK")))))))))</f>
        <v/>
      </c>
      <c r="L4408" s="92" t="str">
        <f>IF(AND(A4408="",B4408="",D4408="",G4408=""),"",IF(OR(B4408="",NOT(ISNUMBER(B4408)),C4408="",C4408="Fora dos ciclos"),"",IF(C4408="C0","Nao",IF(IFERROR(INDEX(parametros!$A$2:$A$6,MATCH(C4408,parametros!$B$2:$B$6,0)),"")&lt;&gt;"Sim","Nao",IF(IFERROR(INDEX(parametros!$H$2:$H$6,MATCH(C4408,parametros!$B$2:$B$6,0)),"")="","",IF(B4408&gt;=IFERROR(INDEX(parametros!$H$2:$H$6,MATCH(C4408,parametros!$B$2:$B$6,0)),""),"Sim","Nao"))))))</f>
        <v/>
      </c>
      <c r="T4408" s="156"/>
      <c r="U4408" s="214" t="str">
        <f t="shared" si="346"/>
        <v/>
      </c>
      <c r="V4408" s="212" t="s">
        <v>50</v>
      </c>
      <c r="W4408" s="100" t="s">
        <v>168</v>
      </c>
      <c r="X4408" s="100" t="s">
        <v>169</v>
      </c>
      <c r="Y4408" s="101" t="s">
        <v>170</v>
      </c>
      <c r="Z4408" s="101" t="s">
        <v>171</v>
      </c>
      <c r="AA4408" s="101" t="s">
        <v>50</v>
      </c>
      <c r="AB4408" s="101" t="s">
        <v>172</v>
      </c>
      <c r="AC4408" s="102" t="s">
        <v>173</v>
      </c>
    </row>
    <row r="4409" spans="1:29" ht="25.5" customHeight="1" x14ac:dyDescent="0.35">
      <c r="A4409" s="392"/>
      <c r="B4409" s="393"/>
      <c r="C4409" s="99" t="str">
        <f>IF(B4409="","",IF(NOT(ISNUMBER(B4409)),"DATA_PC invalida",IF(NOT(ISNUMBER(parametros!$C$2)),"Fora dos ciclos",IF(OR(B4409&lt;parametros!$C$2,(YEAR(B4409)-YEAR(parametros!$C$2))*12+MONTH(B4409)-MONTH(parametros!$C$2)&gt;59),"Fora dos ciclos","C"&amp;INT(((YEAR(B4409)-YEAR(parametros!$C$2))*12+MONTH(B4409)-MONTH(parametros!$C$2))/12)))))</f>
        <v/>
      </c>
      <c r="D4409" s="394"/>
      <c r="E4409" s="78" t="str">
        <f>IF(C4409="","",IFERROR(VLOOKUP(C4409,parametros!$A$11:$E$15,5,0),""))</f>
        <v/>
      </c>
      <c r="F4409" s="79" t="str">
        <f t="shared" si="342"/>
        <v/>
      </c>
      <c r="G4409" s="395"/>
      <c r="H4409" s="91">
        <f t="shared" si="343"/>
        <v>0</v>
      </c>
      <c r="I4409" s="91" t="str">
        <f t="shared" si="344"/>
        <v/>
      </c>
      <c r="J4409" s="91" t="str">
        <f t="shared" si="345"/>
        <v/>
      </c>
      <c r="K4409" s="92" t="str">
        <f>IF(AND(A4409="",B4409="",D4409="",G4409=""),"",IF(AND(A4409&lt;&gt;"",COUNTIF($A$2:$A$5001,A4409)&gt;1),"NUMERO_PC duplicado",IF(B4409="","DATA_PC vazia",IF(NOT(ISNUMBER(B4409)),"DATA_PC invalida",IF(OR(C4409="",C4409="Fora dos ciclos"),"CICLO_PC nao identificado",IF(OR(D4409="",D4409=0),"VALOR_PC vazio ou zero",IF(AND(G4409&lt;&gt;"Sim",G4409&lt;&gt;"Nao",G4409&lt;&gt;""),"PC_PAGO_A_CONTRATADA invalido",IF(AND(C4409&lt;&gt;"C0",IFERROR(INDEX(parametros!$A$2:$A$6,MATCH(C4409,parametros!$B$2:$B$6,0)),"")="Sim",IFERROR(INDEX(parametros!$H$2:$H$6,MATCH(C4409,parametros!$B$2:$B$6,0)),"")=""),"INICIO_EFEITO ausente: PC "&amp;A4409&amp;" - "&amp;C4409,IF(L4409="","EFEITO_PC nao calculado: PC "&amp;A4409&amp;" - "&amp;C4409,"OK")))))))))</f>
        <v/>
      </c>
      <c r="L4409" s="92" t="str">
        <f>IF(AND(A4409="",B4409="",D4409="",G4409=""),"",IF(OR(B4409="",NOT(ISNUMBER(B4409)),C4409="",C4409="Fora dos ciclos"),"",IF(C4409="C0","Nao",IF(IFERROR(INDEX(parametros!$A$2:$A$6,MATCH(C4409,parametros!$B$2:$B$6,0)),"")&lt;&gt;"Sim","Nao",IF(IFERROR(INDEX(parametros!$H$2:$H$6,MATCH(C4409,parametros!$B$2:$B$6,0)),"")="","",IF(B4409&gt;=IFERROR(INDEX(parametros!$H$2:$H$6,MATCH(C4409,parametros!$B$2:$B$6,0)),""),"Sim","Nao"))))))</f>
        <v/>
      </c>
      <c r="T4409" s="156"/>
      <c r="U4409" s="214" t="str">
        <f t="shared" si="346"/>
        <v/>
      </c>
      <c r="V4409" s="212" t="s">
        <v>50</v>
      </c>
      <c r="W4409" s="100" t="s">
        <v>168</v>
      </c>
      <c r="X4409" s="100" t="s">
        <v>169</v>
      </c>
      <c r="Y4409" s="101" t="s">
        <v>170</v>
      </c>
      <c r="Z4409" s="101" t="s">
        <v>171</v>
      </c>
      <c r="AA4409" s="101" t="s">
        <v>50</v>
      </c>
      <c r="AB4409" s="101" t="s">
        <v>172</v>
      </c>
      <c r="AC4409" s="102" t="s">
        <v>173</v>
      </c>
    </row>
    <row r="4410" spans="1:29" ht="25.5" customHeight="1" x14ac:dyDescent="0.35">
      <c r="A4410" s="392"/>
      <c r="B4410" s="393"/>
      <c r="C4410" s="99" t="str">
        <f>IF(B4410="","",IF(NOT(ISNUMBER(B4410)),"DATA_PC invalida",IF(NOT(ISNUMBER(parametros!$C$2)),"Fora dos ciclos",IF(OR(B4410&lt;parametros!$C$2,(YEAR(B4410)-YEAR(parametros!$C$2))*12+MONTH(B4410)-MONTH(parametros!$C$2)&gt;59),"Fora dos ciclos","C"&amp;INT(((YEAR(B4410)-YEAR(parametros!$C$2))*12+MONTH(B4410)-MONTH(parametros!$C$2))/12)))))</f>
        <v/>
      </c>
      <c r="D4410" s="394"/>
      <c r="E4410" s="78" t="str">
        <f>IF(C4410="","",IFERROR(VLOOKUP(C4410,parametros!$A$11:$E$15,5,0),""))</f>
        <v/>
      </c>
      <c r="F4410" s="79" t="str">
        <f t="shared" si="342"/>
        <v/>
      </c>
      <c r="G4410" s="395"/>
      <c r="H4410" s="91">
        <f t="shared" si="343"/>
        <v>0</v>
      </c>
      <c r="I4410" s="91" t="str">
        <f t="shared" si="344"/>
        <v/>
      </c>
      <c r="J4410" s="91" t="str">
        <f t="shared" si="345"/>
        <v/>
      </c>
      <c r="K4410" s="92" t="str">
        <f>IF(AND(A4410="",B4410="",D4410="",G4410=""),"",IF(AND(A4410&lt;&gt;"",COUNTIF($A$2:$A$5001,A4410)&gt;1),"NUMERO_PC duplicado",IF(B4410="","DATA_PC vazia",IF(NOT(ISNUMBER(B4410)),"DATA_PC invalida",IF(OR(C4410="",C4410="Fora dos ciclos"),"CICLO_PC nao identificado",IF(OR(D4410="",D4410=0),"VALOR_PC vazio ou zero",IF(AND(G4410&lt;&gt;"Sim",G4410&lt;&gt;"Nao",G4410&lt;&gt;""),"PC_PAGO_A_CONTRATADA invalido",IF(AND(C4410&lt;&gt;"C0",IFERROR(INDEX(parametros!$A$2:$A$6,MATCH(C4410,parametros!$B$2:$B$6,0)),"")="Sim",IFERROR(INDEX(parametros!$H$2:$H$6,MATCH(C4410,parametros!$B$2:$B$6,0)),"")=""),"INICIO_EFEITO ausente: PC "&amp;A4410&amp;" - "&amp;C4410,IF(L4410="","EFEITO_PC nao calculado: PC "&amp;A4410&amp;" - "&amp;C4410,"OK")))))))))</f>
        <v/>
      </c>
      <c r="L4410" s="92" t="str">
        <f>IF(AND(A4410="",B4410="",D4410="",G4410=""),"",IF(OR(B4410="",NOT(ISNUMBER(B4410)),C4410="",C4410="Fora dos ciclos"),"",IF(C4410="C0","Nao",IF(IFERROR(INDEX(parametros!$A$2:$A$6,MATCH(C4410,parametros!$B$2:$B$6,0)),"")&lt;&gt;"Sim","Nao",IF(IFERROR(INDEX(parametros!$H$2:$H$6,MATCH(C4410,parametros!$B$2:$B$6,0)),"")="","",IF(B4410&gt;=IFERROR(INDEX(parametros!$H$2:$H$6,MATCH(C4410,parametros!$B$2:$B$6,0)),""),"Sim","Nao"))))))</f>
        <v/>
      </c>
      <c r="T4410" s="156"/>
      <c r="U4410" s="214" t="str">
        <f t="shared" si="346"/>
        <v/>
      </c>
      <c r="V4410" s="212" t="s">
        <v>50</v>
      </c>
      <c r="W4410" s="100" t="s">
        <v>168</v>
      </c>
      <c r="X4410" s="100" t="s">
        <v>169</v>
      </c>
      <c r="Y4410" s="101" t="s">
        <v>170</v>
      </c>
      <c r="Z4410" s="101" t="s">
        <v>171</v>
      </c>
      <c r="AA4410" s="101" t="s">
        <v>50</v>
      </c>
      <c r="AB4410" s="101" t="s">
        <v>172</v>
      </c>
      <c r="AC4410" s="102" t="s">
        <v>173</v>
      </c>
    </row>
    <row r="4411" spans="1:29" ht="25.5" customHeight="1" x14ac:dyDescent="0.35">
      <c r="A4411" s="392"/>
      <c r="B4411" s="393"/>
      <c r="C4411" s="99" t="str">
        <f>IF(B4411="","",IF(NOT(ISNUMBER(B4411)),"DATA_PC invalida",IF(NOT(ISNUMBER(parametros!$C$2)),"Fora dos ciclos",IF(OR(B4411&lt;parametros!$C$2,(YEAR(B4411)-YEAR(parametros!$C$2))*12+MONTH(B4411)-MONTH(parametros!$C$2)&gt;59),"Fora dos ciclos","C"&amp;INT(((YEAR(B4411)-YEAR(parametros!$C$2))*12+MONTH(B4411)-MONTH(parametros!$C$2))/12)))))</f>
        <v/>
      </c>
      <c r="D4411" s="394"/>
      <c r="E4411" s="78" t="str">
        <f>IF(C4411="","",IFERROR(VLOOKUP(C4411,parametros!$A$11:$E$15,5,0),""))</f>
        <v/>
      </c>
      <c r="F4411" s="79" t="str">
        <f t="shared" si="342"/>
        <v/>
      </c>
      <c r="G4411" s="395"/>
      <c r="H4411" s="91">
        <f t="shared" si="343"/>
        <v>0</v>
      </c>
      <c r="I4411" s="91" t="str">
        <f t="shared" si="344"/>
        <v/>
      </c>
      <c r="J4411" s="91" t="str">
        <f t="shared" si="345"/>
        <v/>
      </c>
      <c r="K4411" s="92" t="str">
        <f>IF(AND(A4411="",B4411="",D4411="",G4411=""),"",IF(AND(A4411&lt;&gt;"",COUNTIF($A$2:$A$5001,A4411)&gt;1),"NUMERO_PC duplicado",IF(B4411="","DATA_PC vazia",IF(NOT(ISNUMBER(B4411)),"DATA_PC invalida",IF(OR(C4411="",C4411="Fora dos ciclos"),"CICLO_PC nao identificado",IF(OR(D4411="",D4411=0),"VALOR_PC vazio ou zero",IF(AND(G4411&lt;&gt;"Sim",G4411&lt;&gt;"Nao",G4411&lt;&gt;""),"PC_PAGO_A_CONTRATADA invalido",IF(AND(C4411&lt;&gt;"C0",IFERROR(INDEX(parametros!$A$2:$A$6,MATCH(C4411,parametros!$B$2:$B$6,0)),"")="Sim",IFERROR(INDEX(parametros!$H$2:$H$6,MATCH(C4411,parametros!$B$2:$B$6,0)),"")=""),"INICIO_EFEITO ausente: PC "&amp;A4411&amp;" - "&amp;C4411,IF(L4411="","EFEITO_PC nao calculado: PC "&amp;A4411&amp;" - "&amp;C4411,"OK")))))))))</f>
        <v/>
      </c>
      <c r="L4411" s="92" t="str">
        <f>IF(AND(A4411="",B4411="",D4411="",G4411=""),"",IF(OR(B4411="",NOT(ISNUMBER(B4411)),C4411="",C4411="Fora dos ciclos"),"",IF(C4411="C0","Nao",IF(IFERROR(INDEX(parametros!$A$2:$A$6,MATCH(C4411,parametros!$B$2:$B$6,0)),"")&lt;&gt;"Sim","Nao",IF(IFERROR(INDEX(parametros!$H$2:$H$6,MATCH(C4411,parametros!$B$2:$B$6,0)),"")="","",IF(B4411&gt;=IFERROR(INDEX(parametros!$H$2:$H$6,MATCH(C4411,parametros!$B$2:$B$6,0)),""),"Sim","Nao"))))))</f>
        <v/>
      </c>
      <c r="T4411" s="156"/>
      <c r="U4411" s="214" t="str">
        <f t="shared" si="346"/>
        <v/>
      </c>
      <c r="V4411" s="212" t="s">
        <v>50</v>
      </c>
      <c r="W4411" s="100" t="s">
        <v>168</v>
      </c>
      <c r="X4411" s="100" t="s">
        <v>169</v>
      </c>
      <c r="Y4411" s="101" t="s">
        <v>170</v>
      </c>
      <c r="Z4411" s="101" t="s">
        <v>171</v>
      </c>
      <c r="AA4411" s="101" t="s">
        <v>50</v>
      </c>
      <c r="AB4411" s="101" t="s">
        <v>172</v>
      </c>
      <c r="AC4411" s="102" t="s">
        <v>173</v>
      </c>
    </row>
    <row r="4412" spans="1:29" ht="25.5" customHeight="1" x14ac:dyDescent="0.35">
      <c r="A4412" s="392"/>
      <c r="B4412" s="393"/>
      <c r="C4412" s="99" t="str">
        <f>IF(B4412="","",IF(NOT(ISNUMBER(B4412)),"DATA_PC invalida",IF(NOT(ISNUMBER(parametros!$C$2)),"Fora dos ciclos",IF(OR(B4412&lt;parametros!$C$2,(YEAR(B4412)-YEAR(parametros!$C$2))*12+MONTH(B4412)-MONTH(parametros!$C$2)&gt;59),"Fora dos ciclos","C"&amp;INT(((YEAR(B4412)-YEAR(parametros!$C$2))*12+MONTH(B4412)-MONTH(parametros!$C$2))/12)))))</f>
        <v/>
      </c>
      <c r="D4412" s="394"/>
      <c r="E4412" s="78" t="str">
        <f>IF(C4412="","",IFERROR(VLOOKUP(C4412,parametros!$A$11:$E$15,5,0),""))</f>
        <v/>
      </c>
      <c r="F4412" s="79" t="str">
        <f t="shared" si="342"/>
        <v/>
      </c>
      <c r="G4412" s="395"/>
      <c r="H4412" s="91">
        <f t="shared" si="343"/>
        <v>0</v>
      </c>
      <c r="I4412" s="91" t="str">
        <f t="shared" si="344"/>
        <v/>
      </c>
      <c r="J4412" s="91" t="str">
        <f t="shared" si="345"/>
        <v/>
      </c>
      <c r="K4412" s="92" t="str">
        <f>IF(AND(A4412="",B4412="",D4412="",G4412=""),"",IF(AND(A4412&lt;&gt;"",COUNTIF($A$2:$A$5001,A4412)&gt;1),"NUMERO_PC duplicado",IF(B4412="","DATA_PC vazia",IF(NOT(ISNUMBER(B4412)),"DATA_PC invalida",IF(OR(C4412="",C4412="Fora dos ciclos"),"CICLO_PC nao identificado",IF(OR(D4412="",D4412=0),"VALOR_PC vazio ou zero",IF(AND(G4412&lt;&gt;"Sim",G4412&lt;&gt;"Nao",G4412&lt;&gt;""),"PC_PAGO_A_CONTRATADA invalido",IF(AND(C4412&lt;&gt;"C0",IFERROR(INDEX(parametros!$A$2:$A$6,MATCH(C4412,parametros!$B$2:$B$6,0)),"")="Sim",IFERROR(INDEX(parametros!$H$2:$H$6,MATCH(C4412,parametros!$B$2:$B$6,0)),"")=""),"INICIO_EFEITO ausente: PC "&amp;A4412&amp;" - "&amp;C4412,IF(L4412="","EFEITO_PC nao calculado: PC "&amp;A4412&amp;" - "&amp;C4412,"OK")))))))))</f>
        <v/>
      </c>
      <c r="L4412" s="92" t="str">
        <f>IF(AND(A4412="",B4412="",D4412="",G4412=""),"",IF(OR(B4412="",NOT(ISNUMBER(B4412)),C4412="",C4412="Fora dos ciclos"),"",IF(C4412="C0","Nao",IF(IFERROR(INDEX(parametros!$A$2:$A$6,MATCH(C4412,parametros!$B$2:$B$6,0)),"")&lt;&gt;"Sim","Nao",IF(IFERROR(INDEX(parametros!$H$2:$H$6,MATCH(C4412,parametros!$B$2:$B$6,0)),"")="","",IF(B4412&gt;=IFERROR(INDEX(parametros!$H$2:$H$6,MATCH(C4412,parametros!$B$2:$B$6,0)),""),"Sim","Nao"))))))</f>
        <v/>
      </c>
      <c r="T4412" s="156"/>
      <c r="U4412" s="214" t="str">
        <f t="shared" si="346"/>
        <v/>
      </c>
      <c r="V4412" s="212" t="s">
        <v>50</v>
      </c>
      <c r="W4412" s="100" t="s">
        <v>168</v>
      </c>
      <c r="X4412" s="100" t="s">
        <v>169</v>
      </c>
      <c r="Y4412" s="101" t="s">
        <v>170</v>
      </c>
      <c r="Z4412" s="101" t="s">
        <v>171</v>
      </c>
      <c r="AA4412" s="101" t="s">
        <v>50</v>
      </c>
      <c r="AB4412" s="101" t="s">
        <v>172</v>
      </c>
      <c r="AC4412" s="102" t="s">
        <v>173</v>
      </c>
    </row>
    <row r="4413" spans="1:29" ht="25.5" customHeight="1" x14ac:dyDescent="0.35">
      <c r="A4413" s="392"/>
      <c r="B4413" s="393"/>
      <c r="C4413" s="99" t="str">
        <f>IF(B4413="","",IF(NOT(ISNUMBER(B4413)),"DATA_PC invalida",IF(NOT(ISNUMBER(parametros!$C$2)),"Fora dos ciclos",IF(OR(B4413&lt;parametros!$C$2,(YEAR(B4413)-YEAR(parametros!$C$2))*12+MONTH(B4413)-MONTH(parametros!$C$2)&gt;59),"Fora dos ciclos","C"&amp;INT(((YEAR(B4413)-YEAR(parametros!$C$2))*12+MONTH(B4413)-MONTH(parametros!$C$2))/12)))))</f>
        <v/>
      </c>
      <c r="D4413" s="394"/>
      <c r="E4413" s="78" t="str">
        <f>IF(C4413="","",IFERROR(VLOOKUP(C4413,parametros!$A$11:$E$15,5,0),""))</f>
        <v/>
      </c>
      <c r="F4413" s="79" t="str">
        <f t="shared" si="342"/>
        <v/>
      </c>
      <c r="G4413" s="395"/>
      <c r="H4413" s="91">
        <f t="shared" si="343"/>
        <v>0</v>
      </c>
      <c r="I4413" s="91" t="str">
        <f t="shared" si="344"/>
        <v/>
      </c>
      <c r="J4413" s="91" t="str">
        <f t="shared" si="345"/>
        <v/>
      </c>
      <c r="K4413" s="92" t="str">
        <f>IF(AND(A4413="",B4413="",D4413="",G4413=""),"",IF(AND(A4413&lt;&gt;"",COUNTIF($A$2:$A$5001,A4413)&gt;1),"NUMERO_PC duplicado",IF(B4413="","DATA_PC vazia",IF(NOT(ISNUMBER(B4413)),"DATA_PC invalida",IF(OR(C4413="",C4413="Fora dos ciclos"),"CICLO_PC nao identificado",IF(OR(D4413="",D4413=0),"VALOR_PC vazio ou zero",IF(AND(G4413&lt;&gt;"Sim",G4413&lt;&gt;"Nao",G4413&lt;&gt;""),"PC_PAGO_A_CONTRATADA invalido",IF(AND(C4413&lt;&gt;"C0",IFERROR(INDEX(parametros!$A$2:$A$6,MATCH(C4413,parametros!$B$2:$B$6,0)),"")="Sim",IFERROR(INDEX(parametros!$H$2:$H$6,MATCH(C4413,parametros!$B$2:$B$6,0)),"")=""),"INICIO_EFEITO ausente: PC "&amp;A4413&amp;" - "&amp;C4413,IF(L4413="","EFEITO_PC nao calculado: PC "&amp;A4413&amp;" - "&amp;C4413,"OK")))))))))</f>
        <v/>
      </c>
      <c r="L4413" s="92" t="str">
        <f>IF(AND(A4413="",B4413="",D4413="",G4413=""),"",IF(OR(B4413="",NOT(ISNUMBER(B4413)),C4413="",C4413="Fora dos ciclos"),"",IF(C4413="C0","Nao",IF(IFERROR(INDEX(parametros!$A$2:$A$6,MATCH(C4413,parametros!$B$2:$B$6,0)),"")&lt;&gt;"Sim","Nao",IF(IFERROR(INDEX(parametros!$H$2:$H$6,MATCH(C4413,parametros!$B$2:$B$6,0)),"")="","",IF(B4413&gt;=IFERROR(INDEX(parametros!$H$2:$H$6,MATCH(C4413,parametros!$B$2:$B$6,0)),""),"Sim","Nao"))))))</f>
        <v/>
      </c>
      <c r="T4413" s="156"/>
      <c r="U4413" s="214" t="str">
        <f t="shared" si="346"/>
        <v/>
      </c>
      <c r="V4413" s="212" t="s">
        <v>50</v>
      </c>
      <c r="W4413" s="100" t="s">
        <v>168</v>
      </c>
      <c r="X4413" s="100" t="s">
        <v>169</v>
      </c>
      <c r="Y4413" s="101" t="s">
        <v>170</v>
      </c>
      <c r="Z4413" s="101" t="s">
        <v>171</v>
      </c>
      <c r="AA4413" s="101" t="s">
        <v>50</v>
      </c>
      <c r="AB4413" s="101" t="s">
        <v>172</v>
      </c>
      <c r="AC4413" s="102" t="s">
        <v>173</v>
      </c>
    </row>
    <row r="4414" spans="1:29" ht="25.5" customHeight="1" x14ac:dyDescent="0.35">
      <c r="A4414" s="392"/>
      <c r="B4414" s="393"/>
      <c r="C4414" s="99" t="str">
        <f>IF(B4414="","",IF(NOT(ISNUMBER(B4414)),"DATA_PC invalida",IF(NOT(ISNUMBER(parametros!$C$2)),"Fora dos ciclos",IF(OR(B4414&lt;parametros!$C$2,(YEAR(B4414)-YEAR(parametros!$C$2))*12+MONTH(B4414)-MONTH(parametros!$C$2)&gt;59),"Fora dos ciclos","C"&amp;INT(((YEAR(B4414)-YEAR(parametros!$C$2))*12+MONTH(B4414)-MONTH(parametros!$C$2))/12)))))</f>
        <v/>
      </c>
      <c r="D4414" s="394"/>
      <c r="E4414" s="78" t="str">
        <f>IF(C4414="","",IFERROR(VLOOKUP(C4414,parametros!$A$11:$E$15,5,0),""))</f>
        <v/>
      </c>
      <c r="F4414" s="79" t="str">
        <f t="shared" si="342"/>
        <v/>
      </c>
      <c r="G4414" s="395"/>
      <c r="H4414" s="91">
        <f t="shared" si="343"/>
        <v>0</v>
      </c>
      <c r="I4414" s="91" t="str">
        <f t="shared" si="344"/>
        <v/>
      </c>
      <c r="J4414" s="91" t="str">
        <f t="shared" si="345"/>
        <v/>
      </c>
      <c r="K4414" s="92" t="str">
        <f>IF(AND(A4414="",B4414="",D4414="",G4414=""),"",IF(AND(A4414&lt;&gt;"",COUNTIF($A$2:$A$5001,A4414)&gt;1),"NUMERO_PC duplicado",IF(B4414="","DATA_PC vazia",IF(NOT(ISNUMBER(B4414)),"DATA_PC invalida",IF(OR(C4414="",C4414="Fora dos ciclos"),"CICLO_PC nao identificado",IF(OR(D4414="",D4414=0),"VALOR_PC vazio ou zero",IF(AND(G4414&lt;&gt;"Sim",G4414&lt;&gt;"Nao",G4414&lt;&gt;""),"PC_PAGO_A_CONTRATADA invalido",IF(AND(C4414&lt;&gt;"C0",IFERROR(INDEX(parametros!$A$2:$A$6,MATCH(C4414,parametros!$B$2:$B$6,0)),"")="Sim",IFERROR(INDEX(parametros!$H$2:$H$6,MATCH(C4414,parametros!$B$2:$B$6,0)),"")=""),"INICIO_EFEITO ausente: PC "&amp;A4414&amp;" - "&amp;C4414,IF(L4414="","EFEITO_PC nao calculado: PC "&amp;A4414&amp;" - "&amp;C4414,"OK")))))))))</f>
        <v/>
      </c>
      <c r="L4414" s="92" t="str">
        <f>IF(AND(A4414="",B4414="",D4414="",G4414=""),"",IF(OR(B4414="",NOT(ISNUMBER(B4414)),C4414="",C4414="Fora dos ciclos"),"",IF(C4414="C0","Nao",IF(IFERROR(INDEX(parametros!$A$2:$A$6,MATCH(C4414,parametros!$B$2:$B$6,0)),"")&lt;&gt;"Sim","Nao",IF(IFERROR(INDEX(parametros!$H$2:$H$6,MATCH(C4414,parametros!$B$2:$B$6,0)),"")="","",IF(B4414&gt;=IFERROR(INDEX(parametros!$H$2:$H$6,MATCH(C4414,parametros!$B$2:$B$6,0)),""),"Sim","Nao"))))))</f>
        <v/>
      </c>
      <c r="T4414" s="156"/>
      <c r="U4414" s="214" t="str">
        <f t="shared" si="346"/>
        <v/>
      </c>
      <c r="V4414" s="212" t="s">
        <v>50</v>
      </c>
      <c r="W4414" s="100" t="s">
        <v>168</v>
      </c>
      <c r="X4414" s="100" t="s">
        <v>169</v>
      </c>
      <c r="Y4414" s="101" t="s">
        <v>170</v>
      </c>
      <c r="Z4414" s="101" t="s">
        <v>171</v>
      </c>
      <c r="AA4414" s="101" t="s">
        <v>50</v>
      </c>
      <c r="AB4414" s="101" t="s">
        <v>172</v>
      </c>
      <c r="AC4414" s="102" t="s">
        <v>173</v>
      </c>
    </row>
    <row r="4415" spans="1:29" ht="25.5" customHeight="1" x14ac:dyDescent="0.35">
      <c r="A4415" s="392"/>
      <c r="B4415" s="393"/>
      <c r="C4415" s="99" t="str">
        <f>IF(B4415="","",IF(NOT(ISNUMBER(B4415)),"DATA_PC invalida",IF(NOT(ISNUMBER(parametros!$C$2)),"Fora dos ciclos",IF(OR(B4415&lt;parametros!$C$2,(YEAR(B4415)-YEAR(parametros!$C$2))*12+MONTH(B4415)-MONTH(parametros!$C$2)&gt;59),"Fora dos ciclos","C"&amp;INT(((YEAR(B4415)-YEAR(parametros!$C$2))*12+MONTH(B4415)-MONTH(parametros!$C$2))/12)))))</f>
        <v/>
      </c>
      <c r="D4415" s="394"/>
      <c r="E4415" s="78" t="str">
        <f>IF(C4415="","",IFERROR(VLOOKUP(C4415,parametros!$A$11:$E$15,5,0),""))</f>
        <v/>
      </c>
      <c r="F4415" s="79" t="str">
        <f t="shared" si="342"/>
        <v/>
      </c>
      <c r="G4415" s="395"/>
      <c r="H4415" s="91">
        <f t="shared" si="343"/>
        <v>0</v>
      </c>
      <c r="I4415" s="91" t="str">
        <f t="shared" si="344"/>
        <v/>
      </c>
      <c r="J4415" s="91" t="str">
        <f t="shared" si="345"/>
        <v/>
      </c>
      <c r="K4415" s="92" t="str">
        <f>IF(AND(A4415="",B4415="",D4415="",G4415=""),"",IF(AND(A4415&lt;&gt;"",COUNTIF($A$2:$A$5001,A4415)&gt;1),"NUMERO_PC duplicado",IF(B4415="","DATA_PC vazia",IF(NOT(ISNUMBER(B4415)),"DATA_PC invalida",IF(OR(C4415="",C4415="Fora dos ciclos"),"CICLO_PC nao identificado",IF(OR(D4415="",D4415=0),"VALOR_PC vazio ou zero",IF(AND(G4415&lt;&gt;"Sim",G4415&lt;&gt;"Nao",G4415&lt;&gt;""),"PC_PAGO_A_CONTRATADA invalido",IF(AND(C4415&lt;&gt;"C0",IFERROR(INDEX(parametros!$A$2:$A$6,MATCH(C4415,parametros!$B$2:$B$6,0)),"")="Sim",IFERROR(INDEX(parametros!$H$2:$H$6,MATCH(C4415,parametros!$B$2:$B$6,0)),"")=""),"INICIO_EFEITO ausente: PC "&amp;A4415&amp;" - "&amp;C4415,IF(L4415="","EFEITO_PC nao calculado: PC "&amp;A4415&amp;" - "&amp;C4415,"OK")))))))))</f>
        <v/>
      </c>
      <c r="L4415" s="92" t="str">
        <f>IF(AND(A4415="",B4415="",D4415="",G4415=""),"",IF(OR(B4415="",NOT(ISNUMBER(B4415)),C4415="",C4415="Fora dos ciclos"),"",IF(C4415="C0","Nao",IF(IFERROR(INDEX(parametros!$A$2:$A$6,MATCH(C4415,parametros!$B$2:$B$6,0)),"")&lt;&gt;"Sim","Nao",IF(IFERROR(INDEX(parametros!$H$2:$H$6,MATCH(C4415,parametros!$B$2:$B$6,0)),"")="","",IF(B4415&gt;=IFERROR(INDEX(parametros!$H$2:$H$6,MATCH(C4415,parametros!$B$2:$B$6,0)),""),"Sim","Nao"))))))</f>
        <v/>
      </c>
      <c r="T4415" s="156"/>
      <c r="U4415" s="214" t="str">
        <f t="shared" si="346"/>
        <v/>
      </c>
      <c r="V4415" s="212" t="s">
        <v>50</v>
      </c>
      <c r="W4415" s="100" t="s">
        <v>168</v>
      </c>
      <c r="X4415" s="100" t="s">
        <v>169</v>
      </c>
      <c r="Y4415" s="101" t="s">
        <v>170</v>
      </c>
      <c r="Z4415" s="101" t="s">
        <v>171</v>
      </c>
      <c r="AA4415" s="101" t="s">
        <v>50</v>
      </c>
      <c r="AB4415" s="101" t="s">
        <v>172</v>
      </c>
      <c r="AC4415" s="102" t="s">
        <v>173</v>
      </c>
    </row>
    <row r="4416" spans="1:29" ht="25.5" customHeight="1" x14ac:dyDescent="0.35">
      <c r="A4416" s="392"/>
      <c r="B4416" s="393"/>
      <c r="C4416" s="99" t="str">
        <f>IF(B4416="","",IF(NOT(ISNUMBER(B4416)),"DATA_PC invalida",IF(NOT(ISNUMBER(parametros!$C$2)),"Fora dos ciclos",IF(OR(B4416&lt;parametros!$C$2,(YEAR(B4416)-YEAR(parametros!$C$2))*12+MONTH(B4416)-MONTH(parametros!$C$2)&gt;59),"Fora dos ciclos","C"&amp;INT(((YEAR(B4416)-YEAR(parametros!$C$2))*12+MONTH(B4416)-MONTH(parametros!$C$2))/12)))))</f>
        <v/>
      </c>
      <c r="D4416" s="394"/>
      <c r="E4416" s="78" t="str">
        <f>IF(C4416="","",IFERROR(VLOOKUP(C4416,parametros!$A$11:$E$15,5,0),""))</f>
        <v/>
      </c>
      <c r="F4416" s="79" t="str">
        <f t="shared" si="342"/>
        <v/>
      </c>
      <c r="G4416" s="395"/>
      <c r="H4416" s="91">
        <f t="shared" si="343"/>
        <v>0</v>
      </c>
      <c r="I4416" s="91" t="str">
        <f t="shared" si="344"/>
        <v/>
      </c>
      <c r="J4416" s="91" t="str">
        <f t="shared" si="345"/>
        <v/>
      </c>
      <c r="K4416" s="92" t="str">
        <f>IF(AND(A4416="",B4416="",D4416="",G4416=""),"",IF(AND(A4416&lt;&gt;"",COUNTIF($A$2:$A$5001,A4416)&gt;1),"NUMERO_PC duplicado",IF(B4416="","DATA_PC vazia",IF(NOT(ISNUMBER(B4416)),"DATA_PC invalida",IF(OR(C4416="",C4416="Fora dos ciclos"),"CICLO_PC nao identificado",IF(OR(D4416="",D4416=0),"VALOR_PC vazio ou zero",IF(AND(G4416&lt;&gt;"Sim",G4416&lt;&gt;"Nao",G4416&lt;&gt;""),"PC_PAGO_A_CONTRATADA invalido",IF(AND(C4416&lt;&gt;"C0",IFERROR(INDEX(parametros!$A$2:$A$6,MATCH(C4416,parametros!$B$2:$B$6,0)),"")="Sim",IFERROR(INDEX(parametros!$H$2:$H$6,MATCH(C4416,parametros!$B$2:$B$6,0)),"")=""),"INICIO_EFEITO ausente: PC "&amp;A4416&amp;" - "&amp;C4416,IF(L4416="","EFEITO_PC nao calculado: PC "&amp;A4416&amp;" - "&amp;C4416,"OK")))))))))</f>
        <v/>
      </c>
      <c r="L4416" s="92" t="str">
        <f>IF(AND(A4416="",B4416="",D4416="",G4416=""),"",IF(OR(B4416="",NOT(ISNUMBER(B4416)),C4416="",C4416="Fora dos ciclos"),"",IF(C4416="C0","Nao",IF(IFERROR(INDEX(parametros!$A$2:$A$6,MATCH(C4416,parametros!$B$2:$B$6,0)),"")&lt;&gt;"Sim","Nao",IF(IFERROR(INDEX(parametros!$H$2:$H$6,MATCH(C4416,parametros!$B$2:$B$6,0)),"")="","",IF(B4416&gt;=IFERROR(INDEX(parametros!$H$2:$H$6,MATCH(C4416,parametros!$B$2:$B$6,0)),""),"Sim","Nao"))))))</f>
        <v/>
      </c>
      <c r="T4416" s="156"/>
      <c r="U4416" s="214" t="str">
        <f t="shared" si="346"/>
        <v/>
      </c>
      <c r="V4416" s="212" t="s">
        <v>50</v>
      </c>
      <c r="W4416" s="100" t="s">
        <v>168</v>
      </c>
      <c r="X4416" s="100" t="s">
        <v>169</v>
      </c>
      <c r="Y4416" s="101" t="s">
        <v>170</v>
      </c>
      <c r="Z4416" s="101" t="s">
        <v>171</v>
      </c>
      <c r="AA4416" s="101" t="s">
        <v>50</v>
      </c>
      <c r="AB4416" s="101" t="s">
        <v>172</v>
      </c>
      <c r="AC4416" s="102" t="s">
        <v>173</v>
      </c>
    </row>
    <row r="4417" spans="1:29" ht="25.5" customHeight="1" x14ac:dyDescent="0.35">
      <c r="A4417" s="392"/>
      <c r="B4417" s="393"/>
      <c r="C4417" s="99" t="str">
        <f>IF(B4417="","",IF(NOT(ISNUMBER(B4417)),"DATA_PC invalida",IF(NOT(ISNUMBER(parametros!$C$2)),"Fora dos ciclos",IF(OR(B4417&lt;parametros!$C$2,(YEAR(B4417)-YEAR(parametros!$C$2))*12+MONTH(B4417)-MONTH(parametros!$C$2)&gt;59),"Fora dos ciclos","C"&amp;INT(((YEAR(B4417)-YEAR(parametros!$C$2))*12+MONTH(B4417)-MONTH(parametros!$C$2))/12)))))</f>
        <v/>
      </c>
      <c r="D4417" s="394"/>
      <c r="E4417" s="78" t="str">
        <f>IF(C4417="","",IFERROR(VLOOKUP(C4417,parametros!$A$11:$E$15,5,0),""))</f>
        <v/>
      </c>
      <c r="F4417" s="79" t="str">
        <f t="shared" si="342"/>
        <v/>
      </c>
      <c r="G4417" s="395"/>
      <c r="H4417" s="91">
        <f t="shared" si="343"/>
        <v>0</v>
      </c>
      <c r="I4417" s="91" t="str">
        <f t="shared" si="344"/>
        <v/>
      </c>
      <c r="J4417" s="91" t="str">
        <f t="shared" si="345"/>
        <v/>
      </c>
      <c r="K4417" s="92" t="str">
        <f>IF(AND(A4417="",B4417="",D4417="",G4417=""),"",IF(AND(A4417&lt;&gt;"",COUNTIF($A$2:$A$5001,A4417)&gt;1),"NUMERO_PC duplicado",IF(B4417="","DATA_PC vazia",IF(NOT(ISNUMBER(B4417)),"DATA_PC invalida",IF(OR(C4417="",C4417="Fora dos ciclos"),"CICLO_PC nao identificado",IF(OR(D4417="",D4417=0),"VALOR_PC vazio ou zero",IF(AND(G4417&lt;&gt;"Sim",G4417&lt;&gt;"Nao",G4417&lt;&gt;""),"PC_PAGO_A_CONTRATADA invalido",IF(AND(C4417&lt;&gt;"C0",IFERROR(INDEX(parametros!$A$2:$A$6,MATCH(C4417,parametros!$B$2:$B$6,0)),"")="Sim",IFERROR(INDEX(parametros!$H$2:$H$6,MATCH(C4417,parametros!$B$2:$B$6,0)),"")=""),"INICIO_EFEITO ausente: PC "&amp;A4417&amp;" - "&amp;C4417,IF(L4417="","EFEITO_PC nao calculado: PC "&amp;A4417&amp;" - "&amp;C4417,"OK")))))))))</f>
        <v/>
      </c>
      <c r="L4417" s="92" t="str">
        <f>IF(AND(A4417="",B4417="",D4417="",G4417=""),"",IF(OR(B4417="",NOT(ISNUMBER(B4417)),C4417="",C4417="Fora dos ciclos"),"",IF(C4417="C0","Nao",IF(IFERROR(INDEX(parametros!$A$2:$A$6,MATCH(C4417,parametros!$B$2:$B$6,0)),"")&lt;&gt;"Sim","Nao",IF(IFERROR(INDEX(parametros!$H$2:$H$6,MATCH(C4417,parametros!$B$2:$B$6,0)),"")="","",IF(B4417&gt;=IFERROR(INDEX(parametros!$H$2:$H$6,MATCH(C4417,parametros!$B$2:$B$6,0)),""),"Sim","Nao"))))))</f>
        <v/>
      </c>
      <c r="T4417" s="156"/>
      <c r="U4417" s="214" t="str">
        <f t="shared" si="346"/>
        <v/>
      </c>
      <c r="V4417" s="212" t="s">
        <v>50</v>
      </c>
      <c r="W4417" s="100" t="s">
        <v>168</v>
      </c>
      <c r="X4417" s="100" t="s">
        <v>169</v>
      </c>
      <c r="Y4417" s="101" t="s">
        <v>170</v>
      </c>
      <c r="Z4417" s="101" t="s">
        <v>171</v>
      </c>
      <c r="AA4417" s="101" t="s">
        <v>50</v>
      </c>
      <c r="AB4417" s="101" t="s">
        <v>172</v>
      </c>
      <c r="AC4417" s="102" t="s">
        <v>173</v>
      </c>
    </row>
    <row r="4418" spans="1:29" ht="25.5" customHeight="1" x14ac:dyDescent="0.35">
      <c r="A4418" s="392"/>
      <c r="B4418" s="393"/>
      <c r="C4418" s="99" t="str">
        <f>IF(B4418="","",IF(NOT(ISNUMBER(B4418)),"DATA_PC invalida",IF(NOT(ISNUMBER(parametros!$C$2)),"Fora dos ciclos",IF(OR(B4418&lt;parametros!$C$2,(YEAR(B4418)-YEAR(parametros!$C$2))*12+MONTH(B4418)-MONTH(parametros!$C$2)&gt;59),"Fora dos ciclos","C"&amp;INT(((YEAR(B4418)-YEAR(parametros!$C$2))*12+MONTH(B4418)-MONTH(parametros!$C$2))/12)))))</f>
        <v/>
      </c>
      <c r="D4418" s="394"/>
      <c r="E4418" s="78" t="str">
        <f>IF(C4418="","",IFERROR(VLOOKUP(C4418,parametros!$A$11:$E$15,5,0),""))</f>
        <v/>
      </c>
      <c r="F4418" s="79" t="str">
        <f t="shared" ref="F4418:F4481" si="347">IF(OR(D4418="",E4418=""),"",ROUND(D4418*E4418,2))</f>
        <v/>
      </c>
      <c r="G4418" s="395"/>
      <c r="H4418" s="91">
        <f t="shared" ref="H4418:H4481" si="348">IF(G4418="Sim",IF(OR(F4418="",D4418="",L4418=""),"",IF(L4418="Sim",ROUND(F4418-D4418,2),0)),0)</f>
        <v>0</v>
      </c>
      <c r="I4418" s="91" t="str">
        <f t="shared" ref="I4418:I4481" si="349">IF(G4418="Sim",0,IF(OR(F4418="",L4418=""),"",F4418))</f>
        <v/>
      </c>
      <c r="J4418" s="91" t="str">
        <f t="shared" ref="J4418:J4481" si="350">IF(G4418="Sim",0,IF(OR(F4418="",D4418="",L4418=""),"",IF(L4418="Sim",ROUND(F4418-D4418,2),0)))</f>
        <v/>
      </c>
      <c r="K4418" s="92" t="str">
        <f>IF(AND(A4418="",B4418="",D4418="",G4418=""),"",IF(AND(A4418&lt;&gt;"",COUNTIF($A$2:$A$5001,A4418)&gt;1),"NUMERO_PC duplicado",IF(B4418="","DATA_PC vazia",IF(NOT(ISNUMBER(B4418)),"DATA_PC invalida",IF(OR(C4418="",C4418="Fora dos ciclos"),"CICLO_PC nao identificado",IF(OR(D4418="",D4418=0),"VALOR_PC vazio ou zero",IF(AND(G4418&lt;&gt;"Sim",G4418&lt;&gt;"Nao",G4418&lt;&gt;""),"PC_PAGO_A_CONTRATADA invalido",IF(AND(C4418&lt;&gt;"C0",IFERROR(INDEX(parametros!$A$2:$A$6,MATCH(C4418,parametros!$B$2:$B$6,0)),"")="Sim",IFERROR(INDEX(parametros!$H$2:$H$6,MATCH(C4418,parametros!$B$2:$B$6,0)),"")=""),"INICIO_EFEITO ausente: PC "&amp;A4418&amp;" - "&amp;C4418,IF(L4418="","EFEITO_PC nao calculado: PC "&amp;A4418&amp;" - "&amp;C4418,"OK")))))))))</f>
        <v/>
      </c>
      <c r="L4418" s="92" t="str">
        <f>IF(AND(A4418="",B4418="",D4418="",G4418=""),"",IF(OR(B4418="",NOT(ISNUMBER(B4418)),C4418="",C4418="Fora dos ciclos"),"",IF(C4418="C0","Nao",IF(IFERROR(INDEX(parametros!$A$2:$A$6,MATCH(C4418,parametros!$B$2:$B$6,0)),"")&lt;&gt;"Sim","Nao",IF(IFERROR(INDEX(parametros!$H$2:$H$6,MATCH(C4418,parametros!$B$2:$B$6,0)),"")="","",IF(B4418&gt;=IFERROR(INDEX(parametros!$H$2:$H$6,MATCH(C4418,parametros!$B$2:$B$6,0)),""),"Sim","Nao"))))))</f>
        <v/>
      </c>
      <c r="T4418" s="156"/>
      <c r="U4418" s="214" t="str">
        <f t="shared" ref="U4418:U4481" si="351">IF(OR($D4418="",$H4418=""),"",ROUND($D4418+$H4418,2))</f>
        <v/>
      </c>
      <c r="V4418" s="212" t="s">
        <v>50</v>
      </c>
      <c r="W4418" s="100" t="s">
        <v>168</v>
      </c>
      <c r="X4418" s="100" t="s">
        <v>169</v>
      </c>
      <c r="Y4418" s="101" t="s">
        <v>170</v>
      </c>
      <c r="Z4418" s="101" t="s">
        <v>171</v>
      </c>
      <c r="AA4418" s="101" t="s">
        <v>50</v>
      </c>
      <c r="AB4418" s="101" t="s">
        <v>172</v>
      </c>
      <c r="AC4418" s="102" t="s">
        <v>173</v>
      </c>
    </row>
    <row r="4419" spans="1:29" ht="25.5" customHeight="1" x14ac:dyDescent="0.35">
      <c r="A4419" s="392"/>
      <c r="B4419" s="393"/>
      <c r="C4419" s="99" t="str">
        <f>IF(B4419="","",IF(NOT(ISNUMBER(B4419)),"DATA_PC invalida",IF(NOT(ISNUMBER(parametros!$C$2)),"Fora dos ciclos",IF(OR(B4419&lt;parametros!$C$2,(YEAR(B4419)-YEAR(parametros!$C$2))*12+MONTH(B4419)-MONTH(parametros!$C$2)&gt;59),"Fora dos ciclos","C"&amp;INT(((YEAR(B4419)-YEAR(parametros!$C$2))*12+MONTH(B4419)-MONTH(parametros!$C$2))/12)))))</f>
        <v/>
      </c>
      <c r="D4419" s="394"/>
      <c r="E4419" s="78" t="str">
        <f>IF(C4419="","",IFERROR(VLOOKUP(C4419,parametros!$A$11:$E$15,5,0),""))</f>
        <v/>
      </c>
      <c r="F4419" s="79" t="str">
        <f t="shared" si="347"/>
        <v/>
      </c>
      <c r="G4419" s="395"/>
      <c r="H4419" s="91">
        <f t="shared" si="348"/>
        <v>0</v>
      </c>
      <c r="I4419" s="91" t="str">
        <f t="shared" si="349"/>
        <v/>
      </c>
      <c r="J4419" s="91" t="str">
        <f t="shared" si="350"/>
        <v/>
      </c>
      <c r="K4419" s="92" t="str">
        <f>IF(AND(A4419="",B4419="",D4419="",G4419=""),"",IF(AND(A4419&lt;&gt;"",COUNTIF($A$2:$A$5001,A4419)&gt;1),"NUMERO_PC duplicado",IF(B4419="","DATA_PC vazia",IF(NOT(ISNUMBER(B4419)),"DATA_PC invalida",IF(OR(C4419="",C4419="Fora dos ciclos"),"CICLO_PC nao identificado",IF(OR(D4419="",D4419=0),"VALOR_PC vazio ou zero",IF(AND(G4419&lt;&gt;"Sim",G4419&lt;&gt;"Nao",G4419&lt;&gt;""),"PC_PAGO_A_CONTRATADA invalido",IF(AND(C4419&lt;&gt;"C0",IFERROR(INDEX(parametros!$A$2:$A$6,MATCH(C4419,parametros!$B$2:$B$6,0)),"")="Sim",IFERROR(INDEX(parametros!$H$2:$H$6,MATCH(C4419,parametros!$B$2:$B$6,0)),"")=""),"INICIO_EFEITO ausente: PC "&amp;A4419&amp;" - "&amp;C4419,IF(L4419="","EFEITO_PC nao calculado: PC "&amp;A4419&amp;" - "&amp;C4419,"OK")))))))))</f>
        <v/>
      </c>
      <c r="L4419" s="92" t="str">
        <f>IF(AND(A4419="",B4419="",D4419="",G4419=""),"",IF(OR(B4419="",NOT(ISNUMBER(B4419)),C4419="",C4419="Fora dos ciclos"),"",IF(C4419="C0","Nao",IF(IFERROR(INDEX(parametros!$A$2:$A$6,MATCH(C4419,parametros!$B$2:$B$6,0)),"")&lt;&gt;"Sim","Nao",IF(IFERROR(INDEX(parametros!$H$2:$H$6,MATCH(C4419,parametros!$B$2:$B$6,0)),"")="","",IF(B4419&gt;=IFERROR(INDEX(parametros!$H$2:$H$6,MATCH(C4419,parametros!$B$2:$B$6,0)),""),"Sim","Nao"))))))</f>
        <v/>
      </c>
      <c r="T4419" s="156"/>
      <c r="U4419" s="214" t="str">
        <f t="shared" si="351"/>
        <v/>
      </c>
      <c r="V4419" s="212" t="s">
        <v>50</v>
      </c>
      <c r="W4419" s="100" t="s">
        <v>168</v>
      </c>
      <c r="X4419" s="100" t="s">
        <v>169</v>
      </c>
      <c r="Y4419" s="101" t="s">
        <v>170</v>
      </c>
      <c r="Z4419" s="101" t="s">
        <v>171</v>
      </c>
      <c r="AA4419" s="101" t="s">
        <v>50</v>
      </c>
      <c r="AB4419" s="101" t="s">
        <v>172</v>
      </c>
      <c r="AC4419" s="102" t="s">
        <v>173</v>
      </c>
    </row>
    <row r="4420" spans="1:29" ht="25.5" customHeight="1" x14ac:dyDescent="0.35">
      <c r="A4420" s="392"/>
      <c r="B4420" s="393"/>
      <c r="C4420" s="99" t="str">
        <f>IF(B4420="","",IF(NOT(ISNUMBER(B4420)),"DATA_PC invalida",IF(NOT(ISNUMBER(parametros!$C$2)),"Fora dos ciclos",IF(OR(B4420&lt;parametros!$C$2,(YEAR(B4420)-YEAR(parametros!$C$2))*12+MONTH(B4420)-MONTH(parametros!$C$2)&gt;59),"Fora dos ciclos","C"&amp;INT(((YEAR(B4420)-YEAR(parametros!$C$2))*12+MONTH(B4420)-MONTH(parametros!$C$2))/12)))))</f>
        <v/>
      </c>
      <c r="D4420" s="394"/>
      <c r="E4420" s="78" t="str">
        <f>IF(C4420="","",IFERROR(VLOOKUP(C4420,parametros!$A$11:$E$15,5,0),""))</f>
        <v/>
      </c>
      <c r="F4420" s="79" t="str">
        <f t="shared" si="347"/>
        <v/>
      </c>
      <c r="G4420" s="395"/>
      <c r="H4420" s="91">
        <f t="shared" si="348"/>
        <v>0</v>
      </c>
      <c r="I4420" s="91" t="str">
        <f t="shared" si="349"/>
        <v/>
      </c>
      <c r="J4420" s="91" t="str">
        <f t="shared" si="350"/>
        <v/>
      </c>
      <c r="K4420" s="92" t="str">
        <f>IF(AND(A4420="",B4420="",D4420="",G4420=""),"",IF(AND(A4420&lt;&gt;"",COUNTIF($A$2:$A$5001,A4420)&gt;1),"NUMERO_PC duplicado",IF(B4420="","DATA_PC vazia",IF(NOT(ISNUMBER(B4420)),"DATA_PC invalida",IF(OR(C4420="",C4420="Fora dos ciclos"),"CICLO_PC nao identificado",IF(OR(D4420="",D4420=0),"VALOR_PC vazio ou zero",IF(AND(G4420&lt;&gt;"Sim",G4420&lt;&gt;"Nao",G4420&lt;&gt;""),"PC_PAGO_A_CONTRATADA invalido",IF(AND(C4420&lt;&gt;"C0",IFERROR(INDEX(parametros!$A$2:$A$6,MATCH(C4420,parametros!$B$2:$B$6,0)),"")="Sim",IFERROR(INDEX(parametros!$H$2:$H$6,MATCH(C4420,parametros!$B$2:$B$6,0)),"")=""),"INICIO_EFEITO ausente: PC "&amp;A4420&amp;" - "&amp;C4420,IF(L4420="","EFEITO_PC nao calculado: PC "&amp;A4420&amp;" - "&amp;C4420,"OK")))))))))</f>
        <v/>
      </c>
      <c r="L4420" s="92" t="str">
        <f>IF(AND(A4420="",B4420="",D4420="",G4420=""),"",IF(OR(B4420="",NOT(ISNUMBER(B4420)),C4420="",C4420="Fora dos ciclos"),"",IF(C4420="C0","Nao",IF(IFERROR(INDEX(parametros!$A$2:$A$6,MATCH(C4420,parametros!$B$2:$B$6,0)),"")&lt;&gt;"Sim","Nao",IF(IFERROR(INDEX(parametros!$H$2:$H$6,MATCH(C4420,parametros!$B$2:$B$6,0)),"")="","",IF(B4420&gt;=IFERROR(INDEX(parametros!$H$2:$H$6,MATCH(C4420,parametros!$B$2:$B$6,0)),""),"Sim","Nao"))))))</f>
        <v/>
      </c>
      <c r="T4420" s="156"/>
      <c r="U4420" s="214" t="str">
        <f t="shared" si="351"/>
        <v/>
      </c>
      <c r="V4420" s="212" t="s">
        <v>50</v>
      </c>
      <c r="W4420" s="100" t="s">
        <v>168</v>
      </c>
      <c r="X4420" s="100" t="s">
        <v>169</v>
      </c>
      <c r="Y4420" s="101" t="s">
        <v>170</v>
      </c>
      <c r="Z4420" s="101" t="s">
        <v>171</v>
      </c>
      <c r="AA4420" s="101" t="s">
        <v>50</v>
      </c>
      <c r="AB4420" s="101" t="s">
        <v>172</v>
      </c>
      <c r="AC4420" s="102" t="s">
        <v>173</v>
      </c>
    </row>
    <row r="4421" spans="1:29" ht="25.5" customHeight="1" x14ac:dyDescent="0.35">
      <c r="A4421" s="392"/>
      <c r="B4421" s="393"/>
      <c r="C4421" s="99" t="str">
        <f>IF(B4421="","",IF(NOT(ISNUMBER(B4421)),"DATA_PC invalida",IF(NOT(ISNUMBER(parametros!$C$2)),"Fora dos ciclos",IF(OR(B4421&lt;parametros!$C$2,(YEAR(B4421)-YEAR(parametros!$C$2))*12+MONTH(B4421)-MONTH(parametros!$C$2)&gt;59),"Fora dos ciclos","C"&amp;INT(((YEAR(B4421)-YEAR(parametros!$C$2))*12+MONTH(B4421)-MONTH(parametros!$C$2))/12)))))</f>
        <v/>
      </c>
      <c r="D4421" s="394"/>
      <c r="E4421" s="78" t="str">
        <f>IF(C4421="","",IFERROR(VLOOKUP(C4421,parametros!$A$11:$E$15,5,0),""))</f>
        <v/>
      </c>
      <c r="F4421" s="79" t="str">
        <f t="shared" si="347"/>
        <v/>
      </c>
      <c r="G4421" s="395"/>
      <c r="H4421" s="91">
        <f t="shared" si="348"/>
        <v>0</v>
      </c>
      <c r="I4421" s="91" t="str">
        <f t="shared" si="349"/>
        <v/>
      </c>
      <c r="J4421" s="91" t="str">
        <f t="shared" si="350"/>
        <v/>
      </c>
      <c r="K4421" s="92" t="str">
        <f>IF(AND(A4421="",B4421="",D4421="",G4421=""),"",IF(AND(A4421&lt;&gt;"",COUNTIF($A$2:$A$5001,A4421)&gt;1),"NUMERO_PC duplicado",IF(B4421="","DATA_PC vazia",IF(NOT(ISNUMBER(B4421)),"DATA_PC invalida",IF(OR(C4421="",C4421="Fora dos ciclos"),"CICLO_PC nao identificado",IF(OR(D4421="",D4421=0),"VALOR_PC vazio ou zero",IF(AND(G4421&lt;&gt;"Sim",G4421&lt;&gt;"Nao",G4421&lt;&gt;""),"PC_PAGO_A_CONTRATADA invalido",IF(AND(C4421&lt;&gt;"C0",IFERROR(INDEX(parametros!$A$2:$A$6,MATCH(C4421,parametros!$B$2:$B$6,0)),"")="Sim",IFERROR(INDEX(parametros!$H$2:$H$6,MATCH(C4421,parametros!$B$2:$B$6,0)),"")=""),"INICIO_EFEITO ausente: PC "&amp;A4421&amp;" - "&amp;C4421,IF(L4421="","EFEITO_PC nao calculado: PC "&amp;A4421&amp;" - "&amp;C4421,"OK")))))))))</f>
        <v/>
      </c>
      <c r="L4421" s="92" t="str">
        <f>IF(AND(A4421="",B4421="",D4421="",G4421=""),"",IF(OR(B4421="",NOT(ISNUMBER(B4421)),C4421="",C4421="Fora dos ciclos"),"",IF(C4421="C0","Nao",IF(IFERROR(INDEX(parametros!$A$2:$A$6,MATCH(C4421,parametros!$B$2:$B$6,0)),"")&lt;&gt;"Sim","Nao",IF(IFERROR(INDEX(parametros!$H$2:$H$6,MATCH(C4421,parametros!$B$2:$B$6,0)),"")="","",IF(B4421&gt;=IFERROR(INDEX(parametros!$H$2:$H$6,MATCH(C4421,parametros!$B$2:$B$6,0)),""),"Sim","Nao"))))))</f>
        <v/>
      </c>
      <c r="T4421" s="156"/>
      <c r="U4421" s="214" t="str">
        <f t="shared" si="351"/>
        <v/>
      </c>
      <c r="V4421" s="212" t="s">
        <v>50</v>
      </c>
      <c r="W4421" s="100" t="s">
        <v>168</v>
      </c>
      <c r="X4421" s="100" t="s">
        <v>169</v>
      </c>
      <c r="Y4421" s="101" t="s">
        <v>170</v>
      </c>
      <c r="Z4421" s="101" t="s">
        <v>171</v>
      </c>
      <c r="AA4421" s="101" t="s">
        <v>50</v>
      </c>
      <c r="AB4421" s="101" t="s">
        <v>172</v>
      </c>
      <c r="AC4421" s="102" t="s">
        <v>173</v>
      </c>
    </row>
    <row r="4422" spans="1:29" ht="25.5" customHeight="1" x14ac:dyDescent="0.35">
      <c r="A4422" s="392"/>
      <c r="B4422" s="393"/>
      <c r="C4422" s="99" t="str">
        <f>IF(B4422="","",IF(NOT(ISNUMBER(B4422)),"DATA_PC invalida",IF(NOT(ISNUMBER(parametros!$C$2)),"Fora dos ciclos",IF(OR(B4422&lt;parametros!$C$2,(YEAR(B4422)-YEAR(parametros!$C$2))*12+MONTH(B4422)-MONTH(parametros!$C$2)&gt;59),"Fora dos ciclos","C"&amp;INT(((YEAR(B4422)-YEAR(parametros!$C$2))*12+MONTH(B4422)-MONTH(parametros!$C$2))/12)))))</f>
        <v/>
      </c>
      <c r="D4422" s="394"/>
      <c r="E4422" s="78" t="str">
        <f>IF(C4422="","",IFERROR(VLOOKUP(C4422,parametros!$A$11:$E$15,5,0),""))</f>
        <v/>
      </c>
      <c r="F4422" s="79" t="str">
        <f t="shared" si="347"/>
        <v/>
      </c>
      <c r="G4422" s="395"/>
      <c r="H4422" s="91">
        <f t="shared" si="348"/>
        <v>0</v>
      </c>
      <c r="I4422" s="91" t="str">
        <f t="shared" si="349"/>
        <v/>
      </c>
      <c r="J4422" s="91" t="str">
        <f t="shared" si="350"/>
        <v/>
      </c>
      <c r="K4422" s="92" t="str">
        <f>IF(AND(A4422="",B4422="",D4422="",G4422=""),"",IF(AND(A4422&lt;&gt;"",COUNTIF($A$2:$A$5001,A4422)&gt;1),"NUMERO_PC duplicado",IF(B4422="","DATA_PC vazia",IF(NOT(ISNUMBER(B4422)),"DATA_PC invalida",IF(OR(C4422="",C4422="Fora dos ciclos"),"CICLO_PC nao identificado",IF(OR(D4422="",D4422=0),"VALOR_PC vazio ou zero",IF(AND(G4422&lt;&gt;"Sim",G4422&lt;&gt;"Nao",G4422&lt;&gt;""),"PC_PAGO_A_CONTRATADA invalido",IF(AND(C4422&lt;&gt;"C0",IFERROR(INDEX(parametros!$A$2:$A$6,MATCH(C4422,parametros!$B$2:$B$6,0)),"")="Sim",IFERROR(INDEX(parametros!$H$2:$H$6,MATCH(C4422,parametros!$B$2:$B$6,0)),"")=""),"INICIO_EFEITO ausente: PC "&amp;A4422&amp;" - "&amp;C4422,IF(L4422="","EFEITO_PC nao calculado: PC "&amp;A4422&amp;" - "&amp;C4422,"OK")))))))))</f>
        <v/>
      </c>
      <c r="L4422" s="92" t="str">
        <f>IF(AND(A4422="",B4422="",D4422="",G4422=""),"",IF(OR(B4422="",NOT(ISNUMBER(B4422)),C4422="",C4422="Fora dos ciclos"),"",IF(C4422="C0","Nao",IF(IFERROR(INDEX(parametros!$A$2:$A$6,MATCH(C4422,parametros!$B$2:$B$6,0)),"")&lt;&gt;"Sim","Nao",IF(IFERROR(INDEX(parametros!$H$2:$H$6,MATCH(C4422,parametros!$B$2:$B$6,0)),"")="","",IF(B4422&gt;=IFERROR(INDEX(parametros!$H$2:$H$6,MATCH(C4422,parametros!$B$2:$B$6,0)),""),"Sim","Nao"))))))</f>
        <v/>
      </c>
      <c r="T4422" s="156"/>
      <c r="U4422" s="214" t="str">
        <f t="shared" si="351"/>
        <v/>
      </c>
      <c r="V4422" s="212" t="s">
        <v>50</v>
      </c>
      <c r="W4422" s="100" t="s">
        <v>168</v>
      </c>
      <c r="X4422" s="100" t="s">
        <v>169</v>
      </c>
      <c r="Y4422" s="101" t="s">
        <v>170</v>
      </c>
      <c r="Z4422" s="101" t="s">
        <v>171</v>
      </c>
      <c r="AA4422" s="101" t="s">
        <v>50</v>
      </c>
      <c r="AB4422" s="101" t="s">
        <v>172</v>
      </c>
      <c r="AC4422" s="102" t="s">
        <v>173</v>
      </c>
    </row>
    <row r="4423" spans="1:29" ht="25.5" customHeight="1" x14ac:dyDescent="0.35">
      <c r="A4423" s="392"/>
      <c r="B4423" s="393"/>
      <c r="C4423" s="99" t="str">
        <f>IF(B4423="","",IF(NOT(ISNUMBER(B4423)),"DATA_PC invalida",IF(NOT(ISNUMBER(parametros!$C$2)),"Fora dos ciclos",IF(OR(B4423&lt;parametros!$C$2,(YEAR(B4423)-YEAR(parametros!$C$2))*12+MONTH(B4423)-MONTH(parametros!$C$2)&gt;59),"Fora dos ciclos","C"&amp;INT(((YEAR(B4423)-YEAR(parametros!$C$2))*12+MONTH(B4423)-MONTH(parametros!$C$2))/12)))))</f>
        <v/>
      </c>
      <c r="D4423" s="394"/>
      <c r="E4423" s="78" t="str">
        <f>IF(C4423="","",IFERROR(VLOOKUP(C4423,parametros!$A$11:$E$15,5,0),""))</f>
        <v/>
      </c>
      <c r="F4423" s="79" t="str">
        <f t="shared" si="347"/>
        <v/>
      </c>
      <c r="G4423" s="395"/>
      <c r="H4423" s="91">
        <f t="shared" si="348"/>
        <v>0</v>
      </c>
      <c r="I4423" s="91" t="str">
        <f t="shared" si="349"/>
        <v/>
      </c>
      <c r="J4423" s="91" t="str">
        <f t="shared" si="350"/>
        <v/>
      </c>
      <c r="K4423" s="92" t="str">
        <f>IF(AND(A4423="",B4423="",D4423="",G4423=""),"",IF(AND(A4423&lt;&gt;"",COUNTIF($A$2:$A$5001,A4423)&gt;1),"NUMERO_PC duplicado",IF(B4423="","DATA_PC vazia",IF(NOT(ISNUMBER(B4423)),"DATA_PC invalida",IF(OR(C4423="",C4423="Fora dos ciclos"),"CICLO_PC nao identificado",IF(OR(D4423="",D4423=0),"VALOR_PC vazio ou zero",IF(AND(G4423&lt;&gt;"Sim",G4423&lt;&gt;"Nao",G4423&lt;&gt;""),"PC_PAGO_A_CONTRATADA invalido",IF(AND(C4423&lt;&gt;"C0",IFERROR(INDEX(parametros!$A$2:$A$6,MATCH(C4423,parametros!$B$2:$B$6,0)),"")="Sim",IFERROR(INDEX(parametros!$H$2:$H$6,MATCH(C4423,parametros!$B$2:$B$6,0)),"")=""),"INICIO_EFEITO ausente: PC "&amp;A4423&amp;" - "&amp;C4423,IF(L4423="","EFEITO_PC nao calculado: PC "&amp;A4423&amp;" - "&amp;C4423,"OK")))))))))</f>
        <v/>
      </c>
      <c r="L4423" s="92" t="str">
        <f>IF(AND(A4423="",B4423="",D4423="",G4423=""),"",IF(OR(B4423="",NOT(ISNUMBER(B4423)),C4423="",C4423="Fora dos ciclos"),"",IF(C4423="C0","Nao",IF(IFERROR(INDEX(parametros!$A$2:$A$6,MATCH(C4423,parametros!$B$2:$B$6,0)),"")&lt;&gt;"Sim","Nao",IF(IFERROR(INDEX(parametros!$H$2:$H$6,MATCH(C4423,parametros!$B$2:$B$6,0)),"")="","",IF(B4423&gt;=IFERROR(INDEX(parametros!$H$2:$H$6,MATCH(C4423,parametros!$B$2:$B$6,0)),""),"Sim","Nao"))))))</f>
        <v/>
      </c>
      <c r="T4423" s="156"/>
      <c r="U4423" s="214" t="str">
        <f t="shared" si="351"/>
        <v/>
      </c>
      <c r="V4423" s="212" t="s">
        <v>50</v>
      </c>
      <c r="W4423" s="100" t="s">
        <v>168</v>
      </c>
      <c r="X4423" s="100" t="s">
        <v>169</v>
      </c>
      <c r="Y4423" s="101" t="s">
        <v>170</v>
      </c>
      <c r="Z4423" s="101" t="s">
        <v>171</v>
      </c>
      <c r="AA4423" s="101" t="s">
        <v>50</v>
      </c>
      <c r="AB4423" s="101" t="s">
        <v>172</v>
      </c>
      <c r="AC4423" s="102" t="s">
        <v>173</v>
      </c>
    </row>
    <row r="4424" spans="1:29" ht="25.5" customHeight="1" x14ac:dyDescent="0.35">
      <c r="A4424" s="392"/>
      <c r="B4424" s="393"/>
      <c r="C4424" s="99" t="str">
        <f>IF(B4424="","",IF(NOT(ISNUMBER(B4424)),"DATA_PC invalida",IF(NOT(ISNUMBER(parametros!$C$2)),"Fora dos ciclos",IF(OR(B4424&lt;parametros!$C$2,(YEAR(B4424)-YEAR(parametros!$C$2))*12+MONTH(B4424)-MONTH(parametros!$C$2)&gt;59),"Fora dos ciclos","C"&amp;INT(((YEAR(B4424)-YEAR(parametros!$C$2))*12+MONTH(B4424)-MONTH(parametros!$C$2))/12)))))</f>
        <v/>
      </c>
      <c r="D4424" s="394"/>
      <c r="E4424" s="78" t="str">
        <f>IF(C4424="","",IFERROR(VLOOKUP(C4424,parametros!$A$11:$E$15,5,0),""))</f>
        <v/>
      </c>
      <c r="F4424" s="79" t="str">
        <f t="shared" si="347"/>
        <v/>
      </c>
      <c r="G4424" s="395"/>
      <c r="H4424" s="91">
        <f t="shared" si="348"/>
        <v>0</v>
      </c>
      <c r="I4424" s="91" t="str">
        <f t="shared" si="349"/>
        <v/>
      </c>
      <c r="J4424" s="91" t="str">
        <f t="shared" si="350"/>
        <v/>
      </c>
      <c r="K4424" s="92" t="str">
        <f>IF(AND(A4424="",B4424="",D4424="",G4424=""),"",IF(AND(A4424&lt;&gt;"",COUNTIF($A$2:$A$5001,A4424)&gt;1),"NUMERO_PC duplicado",IF(B4424="","DATA_PC vazia",IF(NOT(ISNUMBER(B4424)),"DATA_PC invalida",IF(OR(C4424="",C4424="Fora dos ciclos"),"CICLO_PC nao identificado",IF(OR(D4424="",D4424=0),"VALOR_PC vazio ou zero",IF(AND(G4424&lt;&gt;"Sim",G4424&lt;&gt;"Nao",G4424&lt;&gt;""),"PC_PAGO_A_CONTRATADA invalido",IF(AND(C4424&lt;&gt;"C0",IFERROR(INDEX(parametros!$A$2:$A$6,MATCH(C4424,parametros!$B$2:$B$6,0)),"")="Sim",IFERROR(INDEX(parametros!$H$2:$H$6,MATCH(C4424,parametros!$B$2:$B$6,0)),"")=""),"INICIO_EFEITO ausente: PC "&amp;A4424&amp;" - "&amp;C4424,IF(L4424="","EFEITO_PC nao calculado: PC "&amp;A4424&amp;" - "&amp;C4424,"OK")))))))))</f>
        <v/>
      </c>
      <c r="L4424" s="92" t="str">
        <f>IF(AND(A4424="",B4424="",D4424="",G4424=""),"",IF(OR(B4424="",NOT(ISNUMBER(B4424)),C4424="",C4424="Fora dos ciclos"),"",IF(C4424="C0","Nao",IF(IFERROR(INDEX(parametros!$A$2:$A$6,MATCH(C4424,parametros!$B$2:$B$6,0)),"")&lt;&gt;"Sim","Nao",IF(IFERROR(INDEX(parametros!$H$2:$H$6,MATCH(C4424,parametros!$B$2:$B$6,0)),"")="","",IF(B4424&gt;=IFERROR(INDEX(parametros!$H$2:$H$6,MATCH(C4424,parametros!$B$2:$B$6,0)),""),"Sim","Nao"))))))</f>
        <v/>
      </c>
      <c r="T4424" s="156"/>
      <c r="U4424" s="214" t="str">
        <f t="shared" si="351"/>
        <v/>
      </c>
      <c r="V4424" s="212" t="s">
        <v>50</v>
      </c>
      <c r="W4424" s="100" t="s">
        <v>168</v>
      </c>
      <c r="X4424" s="100" t="s">
        <v>169</v>
      </c>
      <c r="Y4424" s="101" t="s">
        <v>170</v>
      </c>
      <c r="Z4424" s="101" t="s">
        <v>171</v>
      </c>
      <c r="AA4424" s="101" t="s">
        <v>50</v>
      </c>
      <c r="AB4424" s="101" t="s">
        <v>172</v>
      </c>
      <c r="AC4424" s="102" t="s">
        <v>173</v>
      </c>
    </row>
    <row r="4425" spans="1:29" ht="25.5" customHeight="1" x14ac:dyDescent="0.35">
      <c r="A4425" s="392"/>
      <c r="B4425" s="393"/>
      <c r="C4425" s="99" t="str">
        <f>IF(B4425="","",IF(NOT(ISNUMBER(B4425)),"DATA_PC invalida",IF(NOT(ISNUMBER(parametros!$C$2)),"Fora dos ciclos",IF(OR(B4425&lt;parametros!$C$2,(YEAR(B4425)-YEAR(parametros!$C$2))*12+MONTH(B4425)-MONTH(parametros!$C$2)&gt;59),"Fora dos ciclos","C"&amp;INT(((YEAR(B4425)-YEAR(parametros!$C$2))*12+MONTH(B4425)-MONTH(parametros!$C$2))/12)))))</f>
        <v/>
      </c>
      <c r="D4425" s="394"/>
      <c r="E4425" s="78" t="str">
        <f>IF(C4425="","",IFERROR(VLOOKUP(C4425,parametros!$A$11:$E$15,5,0),""))</f>
        <v/>
      </c>
      <c r="F4425" s="79" t="str">
        <f t="shared" si="347"/>
        <v/>
      </c>
      <c r="G4425" s="395"/>
      <c r="H4425" s="91">
        <f t="shared" si="348"/>
        <v>0</v>
      </c>
      <c r="I4425" s="91" t="str">
        <f t="shared" si="349"/>
        <v/>
      </c>
      <c r="J4425" s="91" t="str">
        <f t="shared" si="350"/>
        <v/>
      </c>
      <c r="K4425" s="92" t="str">
        <f>IF(AND(A4425="",B4425="",D4425="",G4425=""),"",IF(AND(A4425&lt;&gt;"",COUNTIF($A$2:$A$5001,A4425)&gt;1),"NUMERO_PC duplicado",IF(B4425="","DATA_PC vazia",IF(NOT(ISNUMBER(B4425)),"DATA_PC invalida",IF(OR(C4425="",C4425="Fora dos ciclos"),"CICLO_PC nao identificado",IF(OR(D4425="",D4425=0),"VALOR_PC vazio ou zero",IF(AND(G4425&lt;&gt;"Sim",G4425&lt;&gt;"Nao",G4425&lt;&gt;""),"PC_PAGO_A_CONTRATADA invalido",IF(AND(C4425&lt;&gt;"C0",IFERROR(INDEX(parametros!$A$2:$A$6,MATCH(C4425,parametros!$B$2:$B$6,0)),"")="Sim",IFERROR(INDEX(parametros!$H$2:$H$6,MATCH(C4425,parametros!$B$2:$B$6,0)),"")=""),"INICIO_EFEITO ausente: PC "&amp;A4425&amp;" - "&amp;C4425,IF(L4425="","EFEITO_PC nao calculado: PC "&amp;A4425&amp;" - "&amp;C4425,"OK")))))))))</f>
        <v/>
      </c>
      <c r="L4425" s="92" t="str">
        <f>IF(AND(A4425="",B4425="",D4425="",G4425=""),"",IF(OR(B4425="",NOT(ISNUMBER(B4425)),C4425="",C4425="Fora dos ciclos"),"",IF(C4425="C0","Nao",IF(IFERROR(INDEX(parametros!$A$2:$A$6,MATCH(C4425,parametros!$B$2:$B$6,0)),"")&lt;&gt;"Sim","Nao",IF(IFERROR(INDEX(parametros!$H$2:$H$6,MATCH(C4425,parametros!$B$2:$B$6,0)),"")="","",IF(B4425&gt;=IFERROR(INDEX(parametros!$H$2:$H$6,MATCH(C4425,parametros!$B$2:$B$6,0)),""),"Sim","Nao"))))))</f>
        <v/>
      </c>
      <c r="T4425" s="156"/>
      <c r="U4425" s="214" t="str">
        <f t="shared" si="351"/>
        <v/>
      </c>
      <c r="V4425" s="212" t="s">
        <v>50</v>
      </c>
      <c r="W4425" s="100" t="s">
        <v>168</v>
      </c>
      <c r="X4425" s="100" t="s">
        <v>169</v>
      </c>
      <c r="Y4425" s="101" t="s">
        <v>170</v>
      </c>
      <c r="Z4425" s="101" t="s">
        <v>171</v>
      </c>
      <c r="AA4425" s="101" t="s">
        <v>50</v>
      </c>
      <c r="AB4425" s="101" t="s">
        <v>172</v>
      </c>
      <c r="AC4425" s="102" t="s">
        <v>173</v>
      </c>
    </row>
    <row r="4426" spans="1:29" ht="25.5" customHeight="1" x14ac:dyDescent="0.35">
      <c r="A4426" s="392"/>
      <c r="B4426" s="393"/>
      <c r="C4426" s="99" t="str">
        <f>IF(B4426="","",IF(NOT(ISNUMBER(B4426)),"DATA_PC invalida",IF(NOT(ISNUMBER(parametros!$C$2)),"Fora dos ciclos",IF(OR(B4426&lt;parametros!$C$2,(YEAR(B4426)-YEAR(parametros!$C$2))*12+MONTH(B4426)-MONTH(parametros!$C$2)&gt;59),"Fora dos ciclos","C"&amp;INT(((YEAR(B4426)-YEAR(parametros!$C$2))*12+MONTH(B4426)-MONTH(parametros!$C$2))/12)))))</f>
        <v/>
      </c>
      <c r="D4426" s="394"/>
      <c r="E4426" s="78" t="str">
        <f>IF(C4426="","",IFERROR(VLOOKUP(C4426,parametros!$A$11:$E$15,5,0),""))</f>
        <v/>
      </c>
      <c r="F4426" s="79" t="str">
        <f t="shared" si="347"/>
        <v/>
      </c>
      <c r="G4426" s="395"/>
      <c r="H4426" s="91">
        <f t="shared" si="348"/>
        <v>0</v>
      </c>
      <c r="I4426" s="91" t="str">
        <f t="shared" si="349"/>
        <v/>
      </c>
      <c r="J4426" s="91" t="str">
        <f t="shared" si="350"/>
        <v/>
      </c>
      <c r="K4426" s="92" t="str">
        <f>IF(AND(A4426="",B4426="",D4426="",G4426=""),"",IF(AND(A4426&lt;&gt;"",COUNTIF($A$2:$A$5001,A4426)&gt;1),"NUMERO_PC duplicado",IF(B4426="","DATA_PC vazia",IF(NOT(ISNUMBER(B4426)),"DATA_PC invalida",IF(OR(C4426="",C4426="Fora dos ciclos"),"CICLO_PC nao identificado",IF(OR(D4426="",D4426=0),"VALOR_PC vazio ou zero",IF(AND(G4426&lt;&gt;"Sim",G4426&lt;&gt;"Nao",G4426&lt;&gt;""),"PC_PAGO_A_CONTRATADA invalido",IF(AND(C4426&lt;&gt;"C0",IFERROR(INDEX(parametros!$A$2:$A$6,MATCH(C4426,parametros!$B$2:$B$6,0)),"")="Sim",IFERROR(INDEX(parametros!$H$2:$H$6,MATCH(C4426,parametros!$B$2:$B$6,0)),"")=""),"INICIO_EFEITO ausente: PC "&amp;A4426&amp;" - "&amp;C4426,IF(L4426="","EFEITO_PC nao calculado: PC "&amp;A4426&amp;" - "&amp;C4426,"OK")))))))))</f>
        <v/>
      </c>
      <c r="L4426" s="92" t="str">
        <f>IF(AND(A4426="",B4426="",D4426="",G4426=""),"",IF(OR(B4426="",NOT(ISNUMBER(B4426)),C4426="",C4426="Fora dos ciclos"),"",IF(C4426="C0","Nao",IF(IFERROR(INDEX(parametros!$A$2:$A$6,MATCH(C4426,parametros!$B$2:$B$6,0)),"")&lt;&gt;"Sim","Nao",IF(IFERROR(INDEX(parametros!$H$2:$H$6,MATCH(C4426,parametros!$B$2:$B$6,0)),"")="","",IF(B4426&gt;=IFERROR(INDEX(parametros!$H$2:$H$6,MATCH(C4426,parametros!$B$2:$B$6,0)),""),"Sim","Nao"))))))</f>
        <v/>
      </c>
      <c r="T4426" s="156"/>
      <c r="U4426" s="214" t="str">
        <f t="shared" si="351"/>
        <v/>
      </c>
      <c r="V4426" s="212" t="s">
        <v>50</v>
      </c>
      <c r="W4426" s="100" t="s">
        <v>168</v>
      </c>
      <c r="X4426" s="100" t="s">
        <v>169</v>
      </c>
      <c r="Y4426" s="101" t="s">
        <v>170</v>
      </c>
      <c r="Z4426" s="101" t="s">
        <v>171</v>
      </c>
      <c r="AA4426" s="101" t="s">
        <v>50</v>
      </c>
      <c r="AB4426" s="101" t="s">
        <v>172</v>
      </c>
      <c r="AC4426" s="102" t="s">
        <v>173</v>
      </c>
    </row>
    <row r="4427" spans="1:29" ht="25.5" customHeight="1" x14ac:dyDescent="0.35">
      <c r="A4427" s="392"/>
      <c r="B4427" s="393"/>
      <c r="C4427" s="99" t="str">
        <f>IF(B4427="","",IF(NOT(ISNUMBER(B4427)),"DATA_PC invalida",IF(NOT(ISNUMBER(parametros!$C$2)),"Fora dos ciclos",IF(OR(B4427&lt;parametros!$C$2,(YEAR(B4427)-YEAR(parametros!$C$2))*12+MONTH(B4427)-MONTH(parametros!$C$2)&gt;59),"Fora dos ciclos","C"&amp;INT(((YEAR(B4427)-YEAR(parametros!$C$2))*12+MONTH(B4427)-MONTH(parametros!$C$2))/12)))))</f>
        <v/>
      </c>
      <c r="D4427" s="394"/>
      <c r="E4427" s="78" t="str">
        <f>IF(C4427="","",IFERROR(VLOOKUP(C4427,parametros!$A$11:$E$15,5,0),""))</f>
        <v/>
      </c>
      <c r="F4427" s="79" t="str">
        <f t="shared" si="347"/>
        <v/>
      </c>
      <c r="G4427" s="395"/>
      <c r="H4427" s="91">
        <f t="shared" si="348"/>
        <v>0</v>
      </c>
      <c r="I4427" s="91" t="str">
        <f t="shared" si="349"/>
        <v/>
      </c>
      <c r="J4427" s="91" t="str">
        <f t="shared" si="350"/>
        <v/>
      </c>
      <c r="K4427" s="92" t="str">
        <f>IF(AND(A4427="",B4427="",D4427="",G4427=""),"",IF(AND(A4427&lt;&gt;"",COUNTIF($A$2:$A$5001,A4427)&gt;1),"NUMERO_PC duplicado",IF(B4427="","DATA_PC vazia",IF(NOT(ISNUMBER(B4427)),"DATA_PC invalida",IF(OR(C4427="",C4427="Fora dos ciclos"),"CICLO_PC nao identificado",IF(OR(D4427="",D4427=0),"VALOR_PC vazio ou zero",IF(AND(G4427&lt;&gt;"Sim",G4427&lt;&gt;"Nao",G4427&lt;&gt;""),"PC_PAGO_A_CONTRATADA invalido",IF(AND(C4427&lt;&gt;"C0",IFERROR(INDEX(parametros!$A$2:$A$6,MATCH(C4427,parametros!$B$2:$B$6,0)),"")="Sim",IFERROR(INDEX(parametros!$H$2:$H$6,MATCH(C4427,parametros!$B$2:$B$6,0)),"")=""),"INICIO_EFEITO ausente: PC "&amp;A4427&amp;" - "&amp;C4427,IF(L4427="","EFEITO_PC nao calculado: PC "&amp;A4427&amp;" - "&amp;C4427,"OK")))))))))</f>
        <v/>
      </c>
      <c r="L4427" s="92" t="str">
        <f>IF(AND(A4427="",B4427="",D4427="",G4427=""),"",IF(OR(B4427="",NOT(ISNUMBER(B4427)),C4427="",C4427="Fora dos ciclos"),"",IF(C4427="C0","Nao",IF(IFERROR(INDEX(parametros!$A$2:$A$6,MATCH(C4427,parametros!$B$2:$B$6,0)),"")&lt;&gt;"Sim","Nao",IF(IFERROR(INDEX(parametros!$H$2:$H$6,MATCH(C4427,parametros!$B$2:$B$6,0)),"")="","",IF(B4427&gt;=IFERROR(INDEX(parametros!$H$2:$H$6,MATCH(C4427,parametros!$B$2:$B$6,0)),""),"Sim","Nao"))))))</f>
        <v/>
      </c>
      <c r="T4427" s="156"/>
      <c r="U4427" s="214" t="str">
        <f t="shared" si="351"/>
        <v/>
      </c>
      <c r="V4427" s="212" t="s">
        <v>50</v>
      </c>
      <c r="W4427" s="100" t="s">
        <v>168</v>
      </c>
      <c r="X4427" s="100" t="s">
        <v>169</v>
      </c>
      <c r="Y4427" s="101" t="s">
        <v>170</v>
      </c>
      <c r="Z4427" s="101" t="s">
        <v>171</v>
      </c>
      <c r="AA4427" s="101" t="s">
        <v>50</v>
      </c>
      <c r="AB4427" s="101" t="s">
        <v>172</v>
      </c>
      <c r="AC4427" s="102" t="s">
        <v>173</v>
      </c>
    </row>
    <row r="4428" spans="1:29" ht="25.5" customHeight="1" x14ac:dyDescent="0.35">
      <c r="A4428" s="392"/>
      <c r="B4428" s="393"/>
      <c r="C4428" s="99" t="str">
        <f>IF(B4428="","",IF(NOT(ISNUMBER(B4428)),"DATA_PC invalida",IF(NOT(ISNUMBER(parametros!$C$2)),"Fora dos ciclos",IF(OR(B4428&lt;parametros!$C$2,(YEAR(B4428)-YEAR(parametros!$C$2))*12+MONTH(B4428)-MONTH(parametros!$C$2)&gt;59),"Fora dos ciclos","C"&amp;INT(((YEAR(B4428)-YEAR(parametros!$C$2))*12+MONTH(B4428)-MONTH(parametros!$C$2))/12)))))</f>
        <v/>
      </c>
      <c r="D4428" s="394"/>
      <c r="E4428" s="78" t="str">
        <f>IF(C4428="","",IFERROR(VLOOKUP(C4428,parametros!$A$11:$E$15,5,0),""))</f>
        <v/>
      </c>
      <c r="F4428" s="79" t="str">
        <f t="shared" si="347"/>
        <v/>
      </c>
      <c r="G4428" s="395"/>
      <c r="H4428" s="91">
        <f t="shared" si="348"/>
        <v>0</v>
      </c>
      <c r="I4428" s="91" t="str">
        <f t="shared" si="349"/>
        <v/>
      </c>
      <c r="J4428" s="91" t="str">
        <f t="shared" si="350"/>
        <v/>
      </c>
      <c r="K4428" s="92" t="str">
        <f>IF(AND(A4428="",B4428="",D4428="",G4428=""),"",IF(AND(A4428&lt;&gt;"",COUNTIF($A$2:$A$5001,A4428)&gt;1),"NUMERO_PC duplicado",IF(B4428="","DATA_PC vazia",IF(NOT(ISNUMBER(B4428)),"DATA_PC invalida",IF(OR(C4428="",C4428="Fora dos ciclos"),"CICLO_PC nao identificado",IF(OR(D4428="",D4428=0),"VALOR_PC vazio ou zero",IF(AND(G4428&lt;&gt;"Sim",G4428&lt;&gt;"Nao",G4428&lt;&gt;""),"PC_PAGO_A_CONTRATADA invalido",IF(AND(C4428&lt;&gt;"C0",IFERROR(INDEX(parametros!$A$2:$A$6,MATCH(C4428,parametros!$B$2:$B$6,0)),"")="Sim",IFERROR(INDEX(parametros!$H$2:$H$6,MATCH(C4428,parametros!$B$2:$B$6,0)),"")=""),"INICIO_EFEITO ausente: PC "&amp;A4428&amp;" - "&amp;C4428,IF(L4428="","EFEITO_PC nao calculado: PC "&amp;A4428&amp;" - "&amp;C4428,"OK")))))))))</f>
        <v/>
      </c>
      <c r="L4428" s="92" t="str">
        <f>IF(AND(A4428="",B4428="",D4428="",G4428=""),"",IF(OR(B4428="",NOT(ISNUMBER(B4428)),C4428="",C4428="Fora dos ciclos"),"",IF(C4428="C0","Nao",IF(IFERROR(INDEX(parametros!$A$2:$A$6,MATCH(C4428,parametros!$B$2:$B$6,0)),"")&lt;&gt;"Sim","Nao",IF(IFERROR(INDEX(parametros!$H$2:$H$6,MATCH(C4428,parametros!$B$2:$B$6,0)),"")="","",IF(B4428&gt;=IFERROR(INDEX(parametros!$H$2:$H$6,MATCH(C4428,parametros!$B$2:$B$6,0)),""),"Sim","Nao"))))))</f>
        <v/>
      </c>
      <c r="T4428" s="156"/>
      <c r="U4428" s="214" t="str">
        <f t="shared" si="351"/>
        <v/>
      </c>
      <c r="V4428" s="212" t="s">
        <v>50</v>
      </c>
      <c r="W4428" s="100" t="s">
        <v>168</v>
      </c>
      <c r="X4428" s="100" t="s">
        <v>169</v>
      </c>
      <c r="Y4428" s="101" t="s">
        <v>170</v>
      </c>
      <c r="Z4428" s="101" t="s">
        <v>171</v>
      </c>
      <c r="AA4428" s="101" t="s">
        <v>50</v>
      </c>
      <c r="AB4428" s="101" t="s">
        <v>172</v>
      </c>
      <c r="AC4428" s="102" t="s">
        <v>173</v>
      </c>
    </row>
    <row r="4429" spans="1:29" ht="25.5" customHeight="1" x14ac:dyDescent="0.35">
      <c r="A4429" s="392"/>
      <c r="B4429" s="393"/>
      <c r="C4429" s="99" t="str">
        <f>IF(B4429="","",IF(NOT(ISNUMBER(B4429)),"DATA_PC invalida",IF(NOT(ISNUMBER(parametros!$C$2)),"Fora dos ciclos",IF(OR(B4429&lt;parametros!$C$2,(YEAR(B4429)-YEAR(parametros!$C$2))*12+MONTH(B4429)-MONTH(parametros!$C$2)&gt;59),"Fora dos ciclos","C"&amp;INT(((YEAR(B4429)-YEAR(parametros!$C$2))*12+MONTH(B4429)-MONTH(parametros!$C$2))/12)))))</f>
        <v/>
      </c>
      <c r="D4429" s="394"/>
      <c r="E4429" s="78" t="str">
        <f>IF(C4429="","",IFERROR(VLOOKUP(C4429,parametros!$A$11:$E$15,5,0),""))</f>
        <v/>
      </c>
      <c r="F4429" s="79" t="str">
        <f t="shared" si="347"/>
        <v/>
      </c>
      <c r="G4429" s="395"/>
      <c r="H4429" s="91">
        <f t="shared" si="348"/>
        <v>0</v>
      </c>
      <c r="I4429" s="91" t="str">
        <f t="shared" si="349"/>
        <v/>
      </c>
      <c r="J4429" s="91" t="str">
        <f t="shared" si="350"/>
        <v/>
      </c>
      <c r="K4429" s="92" t="str">
        <f>IF(AND(A4429="",B4429="",D4429="",G4429=""),"",IF(AND(A4429&lt;&gt;"",COUNTIF($A$2:$A$5001,A4429)&gt;1),"NUMERO_PC duplicado",IF(B4429="","DATA_PC vazia",IF(NOT(ISNUMBER(B4429)),"DATA_PC invalida",IF(OR(C4429="",C4429="Fora dos ciclos"),"CICLO_PC nao identificado",IF(OR(D4429="",D4429=0),"VALOR_PC vazio ou zero",IF(AND(G4429&lt;&gt;"Sim",G4429&lt;&gt;"Nao",G4429&lt;&gt;""),"PC_PAGO_A_CONTRATADA invalido",IF(AND(C4429&lt;&gt;"C0",IFERROR(INDEX(parametros!$A$2:$A$6,MATCH(C4429,parametros!$B$2:$B$6,0)),"")="Sim",IFERROR(INDEX(parametros!$H$2:$H$6,MATCH(C4429,parametros!$B$2:$B$6,0)),"")=""),"INICIO_EFEITO ausente: PC "&amp;A4429&amp;" - "&amp;C4429,IF(L4429="","EFEITO_PC nao calculado: PC "&amp;A4429&amp;" - "&amp;C4429,"OK")))))))))</f>
        <v/>
      </c>
      <c r="L4429" s="92" t="str">
        <f>IF(AND(A4429="",B4429="",D4429="",G4429=""),"",IF(OR(B4429="",NOT(ISNUMBER(B4429)),C4429="",C4429="Fora dos ciclos"),"",IF(C4429="C0","Nao",IF(IFERROR(INDEX(parametros!$A$2:$A$6,MATCH(C4429,parametros!$B$2:$B$6,0)),"")&lt;&gt;"Sim","Nao",IF(IFERROR(INDEX(parametros!$H$2:$H$6,MATCH(C4429,parametros!$B$2:$B$6,0)),"")="","",IF(B4429&gt;=IFERROR(INDEX(parametros!$H$2:$H$6,MATCH(C4429,parametros!$B$2:$B$6,0)),""),"Sim","Nao"))))))</f>
        <v/>
      </c>
      <c r="T4429" s="156"/>
      <c r="U4429" s="214" t="str">
        <f t="shared" si="351"/>
        <v/>
      </c>
      <c r="V4429" s="212" t="s">
        <v>50</v>
      </c>
      <c r="W4429" s="100" t="s">
        <v>168</v>
      </c>
      <c r="X4429" s="100" t="s">
        <v>169</v>
      </c>
      <c r="Y4429" s="101" t="s">
        <v>170</v>
      </c>
      <c r="Z4429" s="101" t="s">
        <v>171</v>
      </c>
      <c r="AA4429" s="101" t="s">
        <v>50</v>
      </c>
      <c r="AB4429" s="101" t="s">
        <v>172</v>
      </c>
      <c r="AC4429" s="102" t="s">
        <v>173</v>
      </c>
    </row>
    <row r="4430" spans="1:29" ht="25.5" customHeight="1" x14ac:dyDescent="0.35">
      <c r="A4430" s="392"/>
      <c r="B4430" s="393"/>
      <c r="C4430" s="99" t="str">
        <f>IF(B4430="","",IF(NOT(ISNUMBER(B4430)),"DATA_PC invalida",IF(NOT(ISNUMBER(parametros!$C$2)),"Fora dos ciclos",IF(OR(B4430&lt;parametros!$C$2,(YEAR(B4430)-YEAR(parametros!$C$2))*12+MONTH(B4430)-MONTH(parametros!$C$2)&gt;59),"Fora dos ciclos","C"&amp;INT(((YEAR(B4430)-YEAR(parametros!$C$2))*12+MONTH(B4430)-MONTH(parametros!$C$2))/12)))))</f>
        <v/>
      </c>
      <c r="D4430" s="394"/>
      <c r="E4430" s="78" t="str">
        <f>IF(C4430="","",IFERROR(VLOOKUP(C4430,parametros!$A$11:$E$15,5,0),""))</f>
        <v/>
      </c>
      <c r="F4430" s="79" t="str">
        <f t="shared" si="347"/>
        <v/>
      </c>
      <c r="G4430" s="395"/>
      <c r="H4430" s="91">
        <f t="shared" si="348"/>
        <v>0</v>
      </c>
      <c r="I4430" s="91" t="str">
        <f t="shared" si="349"/>
        <v/>
      </c>
      <c r="J4430" s="91" t="str">
        <f t="shared" si="350"/>
        <v/>
      </c>
      <c r="K4430" s="92" t="str">
        <f>IF(AND(A4430="",B4430="",D4430="",G4430=""),"",IF(AND(A4430&lt;&gt;"",COUNTIF($A$2:$A$5001,A4430)&gt;1),"NUMERO_PC duplicado",IF(B4430="","DATA_PC vazia",IF(NOT(ISNUMBER(B4430)),"DATA_PC invalida",IF(OR(C4430="",C4430="Fora dos ciclos"),"CICLO_PC nao identificado",IF(OR(D4430="",D4430=0),"VALOR_PC vazio ou zero",IF(AND(G4430&lt;&gt;"Sim",G4430&lt;&gt;"Nao",G4430&lt;&gt;""),"PC_PAGO_A_CONTRATADA invalido",IF(AND(C4430&lt;&gt;"C0",IFERROR(INDEX(parametros!$A$2:$A$6,MATCH(C4430,parametros!$B$2:$B$6,0)),"")="Sim",IFERROR(INDEX(parametros!$H$2:$H$6,MATCH(C4430,parametros!$B$2:$B$6,0)),"")=""),"INICIO_EFEITO ausente: PC "&amp;A4430&amp;" - "&amp;C4430,IF(L4430="","EFEITO_PC nao calculado: PC "&amp;A4430&amp;" - "&amp;C4430,"OK")))))))))</f>
        <v/>
      </c>
      <c r="L4430" s="92" t="str">
        <f>IF(AND(A4430="",B4430="",D4430="",G4430=""),"",IF(OR(B4430="",NOT(ISNUMBER(B4430)),C4430="",C4430="Fora dos ciclos"),"",IF(C4430="C0","Nao",IF(IFERROR(INDEX(parametros!$A$2:$A$6,MATCH(C4430,parametros!$B$2:$B$6,0)),"")&lt;&gt;"Sim","Nao",IF(IFERROR(INDEX(parametros!$H$2:$H$6,MATCH(C4430,parametros!$B$2:$B$6,0)),"")="","",IF(B4430&gt;=IFERROR(INDEX(parametros!$H$2:$H$6,MATCH(C4430,parametros!$B$2:$B$6,0)),""),"Sim","Nao"))))))</f>
        <v/>
      </c>
      <c r="T4430" s="156"/>
      <c r="U4430" s="214" t="str">
        <f t="shared" si="351"/>
        <v/>
      </c>
      <c r="V4430" s="212" t="s">
        <v>50</v>
      </c>
      <c r="W4430" s="100" t="s">
        <v>168</v>
      </c>
      <c r="X4430" s="100" t="s">
        <v>169</v>
      </c>
      <c r="Y4430" s="101" t="s">
        <v>170</v>
      </c>
      <c r="Z4430" s="101" t="s">
        <v>171</v>
      </c>
      <c r="AA4430" s="101" t="s">
        <v>50</v>
      </c>
      <c r="AB4430" s="101" t="s">
        <v>172</v>
      </c>
      <c r="AC4430" s="102" t="s">
        <v>173</v>
      </c>
    </row>
    <row r="4431" spans="1:29" ht="25.5" customHeight="1" x14ac:dyDescent="0.35">
      <c r="A4431" s="392"/>
      <c r="B4431" s="393"/>
      <c r="C4431" s="99" t="str">
        <f>IF(B4431="","",IF(NOT(ISNUMBER(B4431)),"DATA_PC invalida",IF(NOT(ISNUMBER(parametros!$C$2)),"Fora dos ciclos",IF(OR(B4431&lt;parametros!$C$2,(YEAR(B4431)-YEAR(parametros!$C$2))*12+MONTH(B4431)-MONTH(parametros!$C$2)&gt;59),"Fora dos ciclos","C"&amp;INT(((YEAR(B4431)-YEAR(parametros!$C$2))*12+MONTH(B4431)-MONTH(parametros!$C$2))/12)))))</f>
        <v/>
      </c>
      <c r="D4431" s="394"/>
      <c r="E4431" s="78" t="str">
        <f>IF(C4431="","",IFERROR(VLOOKUP(C4431,parametros!$A$11:$E$15,5,0),""))</f>
        <v/>
      </c>
      <c r="F4431" s="79" t="str">
        <f t="shared" si="347"/>
        <v/>
      </c>
      <c r="G4431" s="395"/>
      <c r="H4431" s="91">
        <f t="shared" si="348"/>
        <v>0</v>
      </c>
      <c r="I4431" s="91" t="str">
        <f t="shared" si="349"/>
        <v/>
      </c>
      <c r="J4431" s="91" t="str">
        <f t="shared" si="350"/>
        <v/>
      </c>
      <c r="K4431" s="92" t="str">
        <f>IF(AND(A4431="",B4431="",D4431="",G4431=""),"",IF(AND(A4431&lt;&gt;"",COUNTIF($A$2:$A$5001,A4431)&gt;1),"NUMERO_PC duplicado",IF(B4431="","DATA_PC vazia",IF(NOT(ISNUMBER(B4431)),"DATA_PC invalida",IF(OR(C4431="",C4431="Fora dos ciclos"),"CICLO_PC nao identificado",IF(OR(D4431="",D4431=0),"VALOR_PC vazio ou zero",IF(AND(G4431&lt;&gt;"Sim",G4431&lt;&gt;"Nao",G4431&lt;&gt;""),"PC_PAGO_A_CONTRATADA invalido",IF(AND(C4431&lt;&gt;"C0",IFERROR(INDEX(parametros!$A$2:$A$6,MATCH(C4431,parametros!$B$2:$B$6,0)),"")="Sim",IFERROR(INDEX(parametros!$H$2:$H$6,MATCH(C4431,parametros!$B$2:$B$6,0)),"")=""),"INICIO_EFEITO ausente: PC "&amp;A4431&amp;" - "&amp;C4431,IF(L4431="","EFEITO_PC nao calculado: PC "&amp;A4431&amp;" - "&amp;C4431,"OK")))))))))</f>
        <v/>
      </c>
      <c r="L4431" s="92" t="str">
        <f>IF(AND(A4431="",B4431="",D4431="",G4431=""),"",IF(OR(B4431="",NOT(ISNUMBER(B4431)),C4431="",C4431="Fora dos ciclos"),"",IF(C4431="C0","Nao",IF(IFERROR(INDEX(parametros!$A$2:$A$6,MATCH(C4431,parametros!$B$2:$B$6,0)),"")&lt;&gt;"Sim","Nao",IF(IFERROR(INDEX(parametros!$H$2:$H$6,MATCH(C4431,parametros!$B$2:$B$6,0)),"")="","",IF(B4431&gt;=IFERROR(INDEX(parametros!$H$2:$H$6,MATCH(C4431,parametros!$B$2:$B$6,0)),""),"Sim","Nao"))))))</f>
        <v/>
      </c>
      <c r="T4431" s="156"/>
      <c r="U4431" s="214" t="str">
        <f t="shared" si="351"/>
        <v/>
      </c>
      <c r="V4431" s="212" t="s">
        <v>50</v>
      </c>
      <c r="W4431" s="100" t="s">
        <v>168</v>
      </c>
      <c r="X4431" s="100" t="s">
        <v>169</v>
      </c>
      <c r="Y4431" s="101" t="s">
        <v>170</v>
      </c>
      <c r="Z4431" s="101" t="s">
        <v>171</v>
      </c>
      <c r="AA4431" s="101" t="s">
        <v>50</v>
      </c>
      <c r="AB4431" s="101" t="s">
        <v>172</v>
      </c>
      <c r="AC4431" s="102" t="s">
        <v>173</v>
      </c>
    </row>
    <row r="4432" spans="1:29" ht="25.5" customHeight="1" x14ac:dyDescent="0.35">
      <c r="A4432" s="392"/>
      <c r="B4432" s="393"/>
      <c r="C4432" s="99" t="str">
        <f>IF(B4432="","",IF(NOT(ISNUMBER(B4432)),"DATA_PC invalida",IF(NOT(ISNUMBER(parametros!$C$2)),"Fora dos ciclos",IF(OR(B4432&lt;parametros!$C$2,(YEAR(B4432)-YEAR(parametros!$C$2))*12+MONTH(B4432)-MONTH(parametros!$C$2)&gt;59),"Fora dos ciclos","C"&amp;INT(((YEAR(B4432)-YEAR(parametros!$C$2))*12+MONTH(B4432)-MONTH(parametros!$C$2))/12)))))</f>
        <v/>
      </c>
      <c r="D4432" s="394"/>
      <c r="E4432" s="78" t="str">
        <f>IF(C4432="","",IFERROR(VLOOKUP(C4432,parametros!$A$11:$E$15,5,0),""))</f>
        <v/>
      </c>
      <c r="F4432" s="79" t="str">
        <f t="shared" si="347"/>
        <v/>
      </c>
      <c r="G4432" s="395"/>
      <c r="H4432" s="91">
        <f t="shared" si="348"/>
        <v>0</v>
      </c>
      <c r="I4432" s="91" t="str">
        <f t="shared" si="349"/>
        <v/>
      </c>
      <c r="J4432" s="91" t="str">
        <f t="shared" si="350"/>
        <v/>
      </c>
      <c r="K4432" s="92" t="str">
        <f>IF(AND(A4432="",B4432="",D4432="",G4432=""),"",IF(AND(A4432&lt;&gt;"",COUNTIF($A$2:$A$5001,A4432)&gt;1),"NUMERO_PC duplicado",IF(B4432="","DATA_PC vazia",IF(NOT(ISNUMBER(B4432)),"DATA_PC invalida",IF(OR(C4432="",C4432="Fora dos ciclos"),"CICLO_PC nao identificado",IF(OR(D4432="",D4432=0),"VALOR_PC vazio ou zero",IF(AND(G4432&lt;&gt;"Sim",G4432&lt;&gt;"Nao",G4432&lt;&gt;""),"PC_PAGO_A_CONTRATADA invalido",IF(AND(C4432&lt;&gt;"C0",IFERROR(INDEX(parametros!$A$2:$A$6,MATCH(C4432,parametros!$B$2:$B$6,0)),"")="Sim",IFERROR(INDEX(parametros!$H$2:$H$6,MATCH(C4432,parametros!$B$2:$B$6,0)),"")=""),"INICIO_EFEITO ausente: PC "&amp;A4432&amp;" - "&amp;C4432,IF(L4432="","EFEITO_PC nao calculado: PC "&amp;A4432&amp;" - "&amp;C4432,"OK")))))))))</f>
        <v/>
      </c>
      <c r="L4432" s="92" t="str">
        <f>IF(AND(A4432="",B4432="",D4432="",G4432=""),"",IF(OR(B4432="",NOT(ISNUMBER(B4432)),C4432="",C4432="Fora dos ciclos"),"",IF(C4432="C0","Nao",IF(IFERROR(INDEX(parametros!$A$2:$A$6,MATCH(C4432,parametros!$B$2:$B$6,0)),"")&lt;&gt;"Sim","Nao",IF(IFERROR(INDEX(parametros!$H$2:$H$6,MATCH(C4432,parametros!$B$2:$B$6,0)),"")="","",IF(B4432&gt;=IFERROR(INDEX(parametros!$H$2:$H$6,MATCH(C4432,parametros!$B$2:$B$6,0)),""),"Sim","Nao"))))))</f>
        <v/>
      </c>
      <c r="T4432" s="156"/>
      <c r="U4432" s="214" t="str">
        <f t="shared" si="351"/>
        <v/>
      </c>
      <c r="V4432" s="212" t="s">
        <v>50</v>
      </c>
      <c r="W4432" s="100" t="s">
        <v>168</v>
      </c>
      <c r="X4432" s="100" t="s">
        <v>169</v>
      </c>
      <c r="Y4432" s="101" t="s">
        <v>170</v>
      </c>
      <c r="Z4432" s="101" t="s">
        <v>171</v>
      </c>
      <c r="AA4432" s="101" t="s">
        <v>50</v>
      </c>
      <c r="AB4432" s="101" t="s">
        <v>172</v>
      </c>
      <c r="AC4432" s="102" t="s">
        <v>173</v>
      </c>
    </row>
    <row r="4433" spans="1:29" ht="25.5" customHeight="1" x14ac:dyDescent="0.35">
      <c r="A4433" s="392"/>
      <c r="B4433" s="393"/>
      <c r="C4433" s="99" t="str">
        <f>IF(B4433="","",IF(NOT(ISNUMBER(B4433)),"DATA_PC invalida",IF(NOT(ISNUMBER(parametros!$C$2)),"Fora dos ciclos",IF(OR(B4433&lt;parametros!$C$2,(YEAR(B4433)-YEAR(parametros!$C$2))*12+MONTH(B4433)-MONTH(parametros!$C$2)&gt;59),"Fora dos ciclos","C"&amp;INT(((YEAR(B4433)-YEAR(parametros!$C$2))*12+MONTH(B4433)-MONTH(parametros!$C$2))/12)))))</f>
        <v/>
      </c>
      <c r="D4433" s="394"/>
      <c r="E4433" s="78" t="str">
        <f>IF(C4433="","",IFERROR(VLOOKUP(C4433,parametros!$A$11:$E$15,5,0),""))</f>
        <v/>
      </c>
      <c r="F4433" s="79" t="str">
        <f t="shared" si="347"/>
        <v/>
      </c>
      <c r="G4433" s="395"/>
      <c r="H4433" s="91">
        <f t="shared" si="348"/>
        <v>0</v>
      </c>
      <c r="I4433" s="91" t="str">
        <f t="shared" si="349"/>
        <v/>
      </c>
      <c r="J4433" s="91" t="str">
        <f t="shared" si="350"/>
        <v/>
      </c>
      <c r="K4433" s="92" t="str">
        <f>IF(AND(A4433="",B4433="",D4433="",G4433=""),"",IF(AND(A4433&lt;&gt;"",COUNTIF($A$2:$A$5001,A4433)&gt;1),"NUMERO_PC duplicado",IF(B4433="","DATA_PC vazia",IF(NOT(ISNUMBER(B4433)),"DATA_PC invalida",IF(OR(C4433="",C4433="Fora dos ciclos"),"CICLO_PC nao identificado",IF(OR(D4433="",D4433=0),"VALOR_PC vazio ou zero",IF(AND(G4433&lt;&gt;"Sim",G4433&lt;&gt;"Nao",G4433&lt;&gt;""),"PC_PAGO_A_CONTRATADA invalido",IF(AND(C4433&lt;&gt;"C0",IFERROR(INDEX(parametros!$A$2:$A$6,MATCH(C4433,parametros!$B$2:$B$6,0)),"")="Sim",IFERROR(INDEX(parametros!$H$2:$H$6,MATCH(C4433,parametros!$B$2:$B$6,0)),"")=""),"INICIO_EFEITO ausente: PC "&amp;A4433&amp;" - "&amp;C4433,IF(L4433="","EFEITO_PC nao calculado: PC "&amp;A4433&amp;" - "&amp;C4433,"OK")))))))))</f>
        <v/>
      </c>
      <c r="L4433" s="92" t="str">
        <f>IF(AND(A4433="",B4433="",D4433="",G4433=""),"",IF(OR(B4433="",NOT(ISNUMBER(B4433)),C4433="",C4433="Fora dos ciclos"),"",IF(C4433="C0","Nao",IF(IFERROR(INDEX(parametros!$A$2:$A$6,MATCH(C4433,parametros!$B$2:$B$6,0)),"")&lt;&gt;"Sim","Nao",IF(IFERROR(INDEX(parametros!$H$2:$H$6,MATCH(C4433,parametros!$B$2:$B$6,0)),"")="","",IF(B4433&gt;=IFERROR(INDEX(parametros!$H$2:$H$6,MATCH(C4433,parametros!$B$2:$B$6,0)),""),"Sim","Nao"))))))</f>
        <v/>
      </c>
      <c r="T4433" s="156"/>
      <c r="U4433" s="214" t="str">
        <f t="shared" si="351"/>
        <v/>
      </c>
      <c r="V4433" s="212" t="s">
        <v>50</v>
      </c>
      <c r="W4433" s="100" t="s">
        <v>168</v>
      </c>
      <c r="X4433" s="100" t="s">
        <v>169</v>
      </c>
      <c r="Y4433" s="101" t="s">
        <v>170</v>
      </c>
      <c r="Z4433" s="101" t="s">
        <v>171</v>
      </c>
      <c r="AA4433" s="101" t="s">
        <v>50</v>
      </c>
      <c r="AB4433" s="101" t="s">
        <v>172</v>
      </c>
      <c r="AC4433" s="102" t="s">
        <v>173</v>
      </c>
    </row>
    <row r="4434" spans="1:29" ht="25.5" customHeight="1" x14ac:dyDescent="0.35">
      <c r="A4434" s="392"/>
      <c r="B4434" s="393"/>
      <c r="C4434" s="99" t="str">
        <f>IF(B4434="","",IF(NOT(ISNUMBER(B4434)),"DATA_PC invalida",IF(NOT(ISNUMBER(parametros!$C$2)),"Fora dos ciclos",IF(OR(B4434&lt;parametros!$C$2,(YEAR(B4434)-YEAR(parametros!$C$2))*12+MONTH(B4434)-MONTH(parametros!$C$2)&gt;59),"Fora dos ciclos","C"&amp;INT(((YEAR(B4434)-YEAR(parametros!$C$2))*12+MONTH(B4434)-MONTH(parametros!$C$2))/12)))))</f>
        <v/>
      </c>
      <c r="D4434" s="394"/>
      <c r="E4434" s="78" t="str">
        <f>IF(C4434="","",IFERROR(VLOOKUP(C4434,parametros!$A$11:$E$15,5,0),""))</f>
        <v/>
      </c>
      <c r="F4434" s="79" t="str">
        <f t="shared" si="347"/>
        <v/>
      </c>
      <c r="G4434" s="395"/>
      <c r="H4434" s="91">
        <f t="shared" si="348"/>
        <v>0</v>
      </c>
      <c r="I4434" s="91" t="str">
        <f t="shared" si="349"/>
        <v/>
      </c>
      <c r="J4434" s="91" t="str">
        <f t="shared" si="350"/>
        <v/>
      </c>
      <c r="K4434" s="92" t="str">
        <f>IF(AND(A4434="",B4434="",D4434="",G4434=""),"",IF(AND(A4434&lt;&gt;"",COUNTIF($A$2:$A$5001,A4434)&gt;1),"NUMERO_PC duplicado",IF(B4434="","DATA_PC vazia",IF(NOT(ISNUMBER(B4434)),"DATA_PC invalida",IF(OR(C4434="",C4434="Fora dos ciclos"),"CICLO_PC nao identificado",IF(OR(D4434="",D4434=0),"VALOR_PC vazio ou zero",IF(AND(G4434&lt;&gt;"Sim",G4434&lt;&gt;"Nao",G4434&lt;&gt;""),"PC_PAGO_A_CONTRATADA invalido",IF(AND(C4434&lt;&gt;"C0",IFERROR(INDEX(parametros!$A$2:$A$6,MATCH(C4434,parametros!$B$2:$B$6,0)),"")="Sim",IFERROR(INDEX(parametros!$H$2:$H$6,MATCH(C4434,parametros!$B$2:$B$6,0)),"")=""),"INICIO_EFEITO ausente: PC "&amp;A4434&amp;" - "&amp;C4434,IF(L4434="","EFEITO_PC nao calculado: PC "&amp;A4434&amp;" - "&amp;C4434,"OK")))))))))</f>
        <v/>
      </c>
      <c r="L4434" s="92" t="str">
        <f>IF(AND(A4434="",B4434="",D4434="",G4434=""),"",IF(OR(B4434="",NOT(ISNUMBER(B4434)),C4434="",C4434="Fora dos ciclos"),"",IF(C4434="C0","Nao",IF(IFERROR(INDEX(parametros!$A$2:$A$6,MATCH(C4434,parametros!$B$2:$B$6,0)),"")&lt;&gt;"Sim","Nao",IF(IFERROR(INDEX(parametros!$H$2:$H$6,MATCH(C4434,parametros!$B$2:$B$6,0)),"")="","",IF(B4434&gt;=IFERROR(INDEX(parametros!$H$2:$H$6,MATCH(C4434,parametros!$B$2:$B$6,0)),""),"Sim","Nao"))))))</f>
        <v/>
      </c>
      <c r="T4434" s="156"/>
      <c r="U4434" s="214" t="str">
        <f t="shared" si="351"/>
        <v/>
      </c>
      <c r="V4434" s="212" t="s">
        <v>50</v>
      </c>
      <c r="W4434" s="100" t="s">
        <v>168</v>
      </c>
      <c r="X4434" s="100" t="s">
        <v>169</v>
      </c>
      <c r="Y4434" s="101" t="s">
        <v>170</v>
      </c>
      <c r="Z4434" s="101" t="s">
        <v>171</v>
      </c>
      <c r="AA4434" s="101" t="s">
        <v>50</v>
      </c>
      <c r="AB4434" s="101" t="s">
        <v>172</v>
      </c>
      <c r="AC4434" s="102" t="s">
        <v>173</v>
      </c>
    </row>
    <row r="4435" spans="1:29" ht="25.5" customHeight="1" x14ac:dyDescent="0.35">
      <c r="A4435" s="392"/>
      <c r="B4435" s="393"/>
      <c r="C4435" s="99" t="str">
        <f>IF(B4435="","",IF(NOT(ISNUMBER(B4435)),"DATA_PC invalida",IF(NOT(ISNUMBER(parametros!$C$2)),"Fora dos ciclos",IF(OR(B4435&lt;parametros!$C$2,(YEAR(B4435)-YEAR(parametros!$C$2))*12+MONTH(B4435)-MONTH(parametros!$C$2)&gt;59),"Fora dos ciclos","C"&amp;INT(((YEAR(B4435)-YEAR(parametros!$C$2))*12+MONTH(B4435)-MONTH(parametros!$C$2))/12)))))</f>
        <v/>
      </c>
      <c r="D4435" s="394"/>
      <c r="E4435" s="78" t="str">
        <f>IF(C4435="","",IFERROR(VLOOKUP(C4435,parametros!$A$11:$E$15,5,0),""))</f>
        <v/>
      </c>
      <c r="F4435" s="79" t="str">
        <f t="shared" si="347"/>
        <v/>
      </c>
      <c r="G4435" s="395"/>
      <c r="H4435" s="91">
        <f t="shared" si="348"/>
        <v>0</v>
      </c>
      <c r="I4435" s="91" t="str">
        <f t="shared" si="349"/>
        <v/>
      </c>
      <c r="J4435" s="91" t="str">
        <f t="shared" si="350"/>
        <v/>
      </c>
      <c r="K4435" s="92" t="str">
        <f>IF(AND(A4435="",B4435="",D4435="",G4435=""),"",IF(AND(A4435&lt;&gt;"",COUNTIF($A$2:$A$5001,A4435)&gt;1),"NUMERO_PC duplicado",IF(B4435="","DATA_PC vazia",IF(NOT(ISNUMBER(B4435)),"DATA_PC invalida",IF(OR(C4435="",C4435="Fora dos ciclos"),"CICLO_PC nao identificado",IF(OR(D4435="",D4435=0),"VALOR_PC vazio ou zero",IF(AND(G4435&lt;&gt;"Sim",G4435&lt;&gt;"Nao",G4435&lt;&gt;""),"PC_PAGO_A_CONTRATADA invalido",IF(AND(C4435&lt;&gt;"C0",IFERROR(INDEX(parametros!$A$2:$A$6,MATCH(C4435,parametros!$B$2:$B$6,0)),"")="Sim",IFERROR(INDEX(parametros!$H$2:$H$6,MATCH(C4435,parametros!$B$2:$B$6,0)),"")=""),"INICIO_EFEITO ausente: PC "&amp;A4435&amp;" - "&amp;C4435,IF(L4435="","EFEITO_PC nao calculado: PC "&amp;A4435&amp;" - "&amp;C4435,"OK")))))))))</f>
        <v/>
      </c>
      <c r="L4435" s="92" t="str">
        <f>IF(AND(A4435="",B4435="",D4435="",G4435=""),"",IF(OR(B4435="",NOT(ISNUMBER(B4435)),C4435="",C4435="Fora dos ciclos"),"",IF(C4435="C0","Nao",IF(IFERROR(INDEX(parametros!$A$2:$A$6,MATCH(C4435,parametros!$B$2:$B$6,0)),"")&lt;&gt;"Sim","Nao",IF(IFERROR(INDEX(parametros!$H$2:$H$6,MATCH(C4435,parametros!$B$2:$B$6,0)),"")="","",IF(B4435&gt;=IFERROR(INDEX(parametros!$H$2:$H$6,MATCH(C4435,parametros!$B$2:$B$6,0)),""),"Sim","Nao"))))))</f>
        <v/>
      </c>
      <c r="T4435" s="156"/>
      <c r="U4435" s="214" t="str">
        <f t="shared" si="351"/>
        <v/>
      </c>
      <c r="V4435" s="212" t="s">
        <v>50</v>
      </c>
      <c r="W4435" s="100" t="s">
        <v>168</v>
      </c>
      <c r="X4435" s="100" t="s">
        <v>169</v>
      </c>
      <c r="Y4435" s="101" t="s">
        <v>170</v>
      </c>
      <c r="Z4435" s="101" t="s">
        <v>171</v>
      </c>
      <c r="AA4435" s="101" t="s">
        <v>50</v>
      </c>
      <c r="AB4435" s="101" t="s">
        <v>172</v>
      </c>
      <c r="AC4435" s="102" t="s">
        <v>173</v>
      </c>
    </row>
    <row r="4436" spans="1:29" ht="25.5" customHeight="1" x14ac:dyDescent="0.35">
      <c r="A4436" s="392"/>
      <c r="B4436" s="393"/>
      <c r="C4436" s="99" t="str">
        <f>IF(B4436="","",IF(NOT(ISNUMBER(B4436)),"DATA_PC invalida",IF(NOT(ISNUMBER(parametros!$C$2)),"Fora dos ciclos",IF(OR(B4436&lt;parametros!$C$2,(YEAR(B4436)-YEAR(parametros!$C$2))*12+MONTH(B4436)-MONTH(parametros!$C$2)&gt;59),"Fora dos ciclos","C"&amp;INT(((YEAR(B4436)-YEAR(parametros!$C$2))*12+MONTH(B4436)-MONTH(parametros!$C$2))/12)))))</f>
        <v/>
      </c>
      <c r="D4436" s="394"/>
      <c r="E4436" s="78" t="str">
        <f>IF(C4436="","",IFERROR(VLOOKUP(C4436,parametros!$A$11:$E$15,5,0),""))</f>
        <v/>
      </c>
      <c r="F4436" s="79" t="str">
        <f t="shared" si="347"/>
        <v/>
      </c>
      <c r="G4436" s="395"/>
      <c r="H4436" s="91">
        <f t="shared" si="348"/>
        <v>0</v>
      </c>
      <c r="I4436" s="91" t="str">
        <f t="shared" si="349"/>
        <v/>
      </c>
      <c r="J4436" s="91" t="str">
        <f t="shared" si="350"/>
        <v/>
      </c>
      <c r="K4436" s="92" t="str">
        <f>IF(AND(A4436="",B4436="",D4436="",G4436=""),"",IF(AND(A4436&lt;&gt;"",COUNTIF($A$2:$A$5001,A4436)&gt;1),"NUMERO_PC duplicado",IF(B4436="","DATA_PC vazia",IF(NOT(ISNUMBER(B4436)),"DATA_PC invalida",IF(OR(C4436="",C4436="Fora dos ciclos"),"CICLO_PC nao identificado",IF(OR(D4436="",D4436=0),"VALOR_PC vazio ou zero",IF(AND(G4436&lt;&gt;"Sim",G4436&lt;&gt;"Nao",G4436&lt;&gt;""),"PC_PAGO_A_CONTRATADA invalido",IF(AND(C4436&lt;&gt;"C0",IFERROR(INDEX(parametros!$A$2:$A$6,MATCH(C4436,parametros!$B$2:$B$6,0)),"")="Sim",IFERROR(INDEX(parametros!$H$2:$H$6,MATCH(C4436,parametros!$B$2:$B$6,0)),"")=""),"INICIO_EFEITO ausente: PC "&amp;A4436&amp;" - "&amp;C4436,IF(L4436="","EFEITO_PC nao calculado: PC "&amp;A4436&amp;" - "&amp;C4436,"OK")))))))))</f>
        <v/>
      </c>
      <c r="L4436" s="92" t="str">
        <f>IF(AND(A4436="",B4436="",D4436="",G4436=""),"",IF(OR(B4436="",NOT(ISNUMBER(B4436)),C4436="",C4436="Fora dos ciclos"),"",IF(C4436="C0","Nao",IF(IFERROR(INDEX(parametros!$A$2:$A$6,MATCH(C4436,parametros!$B$2:$B$6,0)),"")&lt;&gt;"Sim","Nao",IF(IFERROR(INDEX(parametros!$H$2:$H$6,MATCH(C4436,parametros!$B$2:$B$6,0)),"")="","",IF(B4436&gt;=IFERROR(INDEX(parametros!$H$2:$H$6,MATCH(C4436,parametros!$B$2:$B$6,0)),""),"Sim","Nao"))))))</f>
        <v/>
      </c>
      <c r="T4436" s="156"/>
      <c r="U4436" s="214" t="str">
        <f t="shared" si="351"/>
        <v/>
      </c>
      <c r="V4436" s="212" t="s">
        <v>50</v>
      </c>
      <c r="W4436" s="100" t="s">
        <v>168</v>
      </c>
      <c r="X4436" s="100" t="s">
        <v>169</v>
      </c>
      <c r="Y4436" s="101" t="s">
        <v>170</v>
      </c>
      <c r="Z4436" s="101" t="s">
        <v>171</v>
      </c>
      <c r="AA4436" s="101" t="s">
        <v>50</v>
      </c>
      <c r="AB4436" s="101" t="s">
        <v>172</v>
      </c>
      <c r="AC4436" s="102" t="s">
        <v>173</v>
      </c>
    </row>
    <row r="4437" spans="1:29" ht="25.5" customHeight="1" x14ac:dyDescent="0.35">
      <c r="A4437" s="392"/>
      <c r="B4437" s="393"/>
      <c r="C4437" s="99" t="str">
        <f>IF(B4437="","",IF(NOT(ISNUMBER(B4437)),"DATA_PC invalida",IF(NOT(ISNUMBER(parametros!$C$2)),"Fora dos ciclos",IF(OR(B4437&lt;parametros!$C$2,(YEAR(B4437)-YEAR(parametros!$C$2))*12+MONTH(B4437)-MONTH(parametros!$C$2)&gt;59),"Fora dos ciclos","C"&amp;INT(((YEAR(B4437)-YEAR(parametros!$C$2))*12+MONTH(B4437)-MONTH(parametros!$C$2))/12)))))</f>
        <v/>
      </c>
      <c r="D4437" s="394"/>
      <c r="E4437" s="78" t="str">
        <f>IF(C4437="","",IFERROR(VLOOKUP(C4437,parametros!$A$11:$E$15,5,0),""))</f>
        <v/>
      </c>
      <c r="F4437" s="79" t="str">
        <f t="shared" si="347"/>
        <v/>
      </c>
      <c r="G4437" s="395"/>
      <c r="H4437" s="91">
        <f t="shared" si="348"/>
        <v>0</v>
      </c>
      <c r="I4437" s="91" t="str">
        <f t="shared" si="349"/>
        <v/>
      </c>
      <c r="J4437" s="91" t="str">
        <f t="shared" si="350"/>
        <v/>
      </c>
      <c r="K4437" s="92" t="str">
        <f>IF(AND(A4437="",B4437="",D4437="",G4437=""),"",IF(AND(A4437&lt;&gt;"",COUNTIF($A$2:$A$5001,A4437)&gt;1),"NUMERO_PC duplicado",IF(B4437="","DATA_PC vazia",IF(NOT(ISNUMBER(B4437)),"DATA_PC invalida",IF(OR(C4437="",C4437="Fora dos ciclos"),"CICLO_PC nao identificado",IF(OR(D4437="",D4437=0),"VALOR_PC vazio ou zero",IF(AND(G4437&lt;&gt;"Sim",G4437&lt;&gt;"Nao",G4437&lt;&gt;""),"PC_PAGO_A_CONTRATADA invalido",IF(AND(C4437&lt;&gt;"C0",IFERROR(INDEX(parametros!$A$2:$A$6,MATCH(C4437,parametros!$B$2:$B$6,0)),"")="Sim",IFERROR(INDEX(parametros!$H$2:$H$6,MATCH(C4437,parametros!$B$2:$B$6,0)),"")=""),"INICIO_EFEITO ausente: PC "&amp;A4437&amp;" - "&amp;C4437,IF(L4437="","EFEITO_PC nao calculado: PC "&amp;A4437&amp;" - "&amp;C4437,"OK")))))))))</f>
        <v/>
      </c>
      <c r="L4437" s="92" t="str">
        <f>IF(AND(A4437="",B4437="",D4437="",G4437=""),"",IF(OR(B4437="",NOT(ISNUMBER(B4437)),C4437="",C4437="Fora dos ciclos"),"",IF(C4437="C0","Nao",IF(IFERROR(INDEX(parametros!$A$2:$A$6,MATCH(C4437,parametros!$B$2:$B$6,0)),"")&lt;&gt;"Sim","Nao",IF(IFERROR(INDEX(parametros!$H$2:$H$6,MATCH(C4437,parametros!$B$2:$B$6,0)),"")="","",IF(B4437&gt;=IFERROR(INDEX(parametros!$H$2:$H$6,MATCH(C4437,parametros!$B$2:$B$6,0)),""),"Sim","Nao"))))))</f>
        <v/>
      </c>
      <c r="T4437" s="156"/>
      <c r="U4437" s="214" t="str">
        <f t="shared" si="351"/>
        <v/>
      </c>
      <c r="V4437" s="212" t="s">
        <v>50</v>
      </c>
      <c r="W4437" s="100" t="s">
        <v>168</v>
      </c>
      <c r="X4437" s="100" t="s">
        <v>169</v>
      </c>
      <c r="Y4437" s="101" t="s">
        <v>170</v>
      </c>
      <c r="Z4437" s="101" t="s">
        <v>171</v>
      </c>
      <c r="AA4437" s="101" t="s">
        <v>50</v>
      </c>
      <c r="AB4437" s="101" t="s">
        <v>172</v>
      </c>
      <c r="AC4437" s="102" t="s">
        <v>173</v>
      </c>
    </row>
    <row r="4438" spans="1:29" ht="25.5" customHeight="1" x14ac:dyDescent="0.35">
      <c r="A4438" s="392"/>
      <c r="B4438" s="393"/>
      <c r="C4438" s="99" t="str">
        <f>IF(B4438="","",IF(NOT(ISNUMBER(B4438)),"DATA_PC invalida",IF(NOT(ISNUMBER(parametros!$C$2)),"Fora dos ciclos",IF(OR(B4438&lt;parametros!$C$2,(YEAR(B4438)-YEAR(parametros!$C$2))*12+MONTH(B4438)-MONTH(parametros!$C$2)&gt;59),"Fora dos ciclos","C"&amp;INT(((YEAR(B4438)-YEAR(parametros!$C$2))*12+MONTH(B4438)-MONTH(parametros!$C$2))/12)))))</f>
        <v/>
      </c>
      <c r="D4438" s="394"/>
      <c r="E4438" s="78" t="str">
        <f>IF(C4438="","",IFERROR(VLOOKUP(C4438,parametros!$A$11:$E$15,5,0),""))</f>
        <v/>
      </c>
      <c r="F4438" s="79" t="str">
        <f t="shared" si="347"/>
        <v/>
      </c>
      <c r="G4438" s="395"/>
      <c r="H4438" s="91">
        <f t="shared" si="348"/>
        <v>0</v>
      </c>
      <c r="I4438" s="91" t="str">
        <f t="shared" si="349"/>
        <v/>
      </c>
      <c r="J4438" s="91" t="str">
        <f t="shared" si="350"/>
        <v/>
      </c>
      <c r="K4438" s="92" t="str">
        <f>IF(AND(A4438="",B4438="",D4438="",G4438=""),"",IF(AND(A4438&lt;&gt;"",COUNTIF($A$2:$A$5001,A4438)&gt;1),"NUMERO_PC duplicado",IF(B4438="","DATA_PC vazia",IF(NOT(ISNUMBER(B4438)),"DATA_PC invalida",IF(OR(C4438="",C4438="Fora dos ciclos"),"CICLO_PC nao identificado",IF(OR(D4438="",D4438=0),"VALOR_PC vazio ou zero",IF(AND(G4438&lt;&gt;"Sim",G4438&lt;&gt;"Nao",G4438&lt;&gt;""),"PC_PAGO_A_CONTRATADA invalido",IF(AND(C4438&lt;&gt;"C0",IFERROR(INDEX(parametros!$A$2:$A$6,MATCH(C4438,parametros!$B$2:$B$6,0)),"")="Sim",IFERROR(INDEX(parametros!$H$2:$H$6,MATCH(C4438,parametros!$B$2:$B$6,0)),"")=""),"INICIO_EFEITO ausente: PC "&amp;A4438&amp;" - "&amp;C4438,IF(L4438="","EFEITO_PC nao calculado: PC "&amp;A4438&amp;" - "&amp;C4438,"OK")))))))))</f>
        <v/>
      </c>
      <c r="L4438" s="92" t="str">
        <f>IF(AND(A4438="",B4438="",D4438="",G4438=""),"",IF(OR(B4438="",NOT(ISNUMBER(B4438)),C4438="",C4438="Fora dos ciclos"),"",IF(C4438="C0","Nao",IF(IFERROR(INDEX(parametros!$A$2:$A$6,MATCH(C4438,parametros!$B$2:$B$6,0)),"")&lt;&gt;"Sim","Nao",IF(IFERROR(INDEX(parametros!$H$2:$H$6,MATCH(C4438,parametros!$B$2:$B$6,0)),"")="","",IF(B4438&gt;=IFERROR(INDEX(parametros!$H$2:$H$6,MATCH(C4438,parametros!$B$2:$B$6,0)),""),"Sim","Nao"))))))</f>
        <v/>
      </c>
      <c r="T4438" s="156"/>
      <c r="U4438" s="214" t="str">
        <f t="shared" si="351"/>
        <v/>
      </c>
      <c r="V4438" s="212" t="s">
        <v>50</v>
      </c>
      <c r="W4438" s="100" t="s">
        <v>168</v>
      </c>
      <c r="X4438" s="100" t="s">
        <v>169</v>
      </c>
      <c r="Y4438" s="101" t="s">
        <v>170</v>
      </c>
      <c r="Z4438" s="101" t="s">
        <v>171</v>
      </c>
      <c r="AA4438" s="101" t="s">
        <v>50</v>
      </c>
      <c r="AB4438" s="101" t="s">
        <v>172</v>
      </c>
      <c r="AC4438" s="102" t="s">
        <v>173</v>
      </c>
    </row>
    <row r="4439" spans="1:29" ht="25.5" customHeight="1" x14ac:dyDescent="0.35">
      <c r="A4439" s="392"/>
      <c r="B4439" s="393"/>
      <c r="C4439" s="99" t="str">
        <f>IF(B4439="","",IF(NOT(ISNUMBER(B4439)),"DATA_PC invalida",IF(NOT(ISNUMBER(parametros!$C$2)),"Fora dos ciclos",IF(OR(B4439&lt;parametros!$C$2,(YEAR(B4439)-YEAR(parametros!$C$2))*12+MONTH(B4439)-MONTH(parametros!$C$2)&gt;59),"Fora dos ciclos","C"&amp;INT(((YEAR(B4439)-YEAR(parametros!$C$2))*12+MONTH(B4439)-MONTH(parametros!$C$2))/12)))))</f>
        <v/>
      </c>
      <c r="D4439" s="394"/>
      <c r="E4439" s="78" t="str">
        <f>IF(C4439="","",IFERROR(VLOOKUP(C4439,parametros!$A$11:$E$15,5,0),""))</f>
        <v/>
      </c>
      <c r="F4439" s="79" t="str">
        <f t="shared" si="347"/>
        <v/>
      </c>
      <c r="G4439" s="395"/>
      <c r="H4439" s="91">
        <f t="shared" si="348"/>
        <v>0</v>
      </c>
      <c r="I4439" s="91" t="str">
        <f t="shared" si="349"/>
        <v/>
      </c>
      <c r="J4439" s="91" t="str">
        <f t="shared" si="350"/>
        <v/>
      </c>
      <c r="K4439" s="92" t="str">
        <f>IF(AND(A4439="",B4439="",D4439="",G4439=""),"",IF(AND(A4439&lt;&gt;"",COUNTIF($A$2:$A$5001,A4439)&gt;1),"NUMERO_PC duplicado",IF(B4439="","DATA_PC vazia",IF(NOT(ISNUMBER(B4439)),"DATA_PC invalida",IF(OR(C4439="",C4439="Fora dos ciclos"),"CICLO_PC nao identificado",IF(OR(D4439="",D4439=0),"VALOR_PC vazio ou zero",IF(AND(G4439&lt;&gt;"Sim",G4439&lt;&gt;"Nao",G4439&lt;&gt;""),"PC_PAGO_A_CONTRATADA invalido",IF(AND(C4439&lt;&gt;"C0",IFERROR(INDEX(parametros!$A$2:$A$6,MATCH(C4439,parametros!$B$2:$B$6,0)),"")="Sim",IFERROR(INDEX(parametros!$H$2:$H$6,MATCH(C4439,parametros!$B$2:$B$6,0)),"")=""),"INICIO_EFEITO ausente: PC "&amp;A4439&amp;" - "&amp;C4439,IF(L4439="","EFEITO_PC nao calculado: PC "&amp;A4439&amp;" - "&amp;C4439,"OK")))))))))</f>
        <v/>
      </c>
      <c r="L4439" s="92" t="str">
        <f>IF(AND(A4439="",B4439="",D4439="",G4439=""),"",IF(OR(B4439="",NOT(ISNUMBER(B4439)),C4439="",C4439="Fora dos ciclos"),"",IF(C4439="C0","Nao",IF(IFERROR(INDEX(parametros!$A$2:$A$6,MATCH(C4439,parametros!$B$2:$B$6,0)),"")&lt;&gt;"Sim","Nao",IF(IFERROR(INDEX(parametros!$H$2:$H$6,MATCH(C4439,parametros!$B$2:$B$6,0)),"")="","",IF(B4439&gt;=IFERROR(INDEX(parametros!$H$2:$H$6,MATCH(C4439,parametros!$B$2:$B$6,0)),""),"Sim","Nao"))))))</f>
        <v/>
      </c>
      <c r="T4439" s="156"/>
      <c r="U4439" s="214" t="str">
        <f t="shared" si="351"/>
        <v/>
      </c>
      <c r="V4439" s="212" t="s">
        <v>50</v>
      </c>
      <c r="W4439" s="100" t="s">
        <v>168</v>
      </c>
      <c r="X4439" s="100" t="s">
        <v>169</v>
      </c>
      <c r="Y4439" s="101" t="s">
        <v>170</v>
      </c>
      <c r="Z4439" s="101" t="s">
        <v>171</v>
      </c>
      <c r="AA4439" s="101" t="s">
        <v>50</v>
      </c>
      <c r="AB4439" s="101" t="s">
        <v>172</v>
      </c>
      <c r="AC4439" s="102" t="s">
        <v>173</v>
      </c>
    </row>
    <row r="4440" spans="1:29" ht="25.5" customHeight="1" x14ac:dyDescent="0.35">
      <c r="A4440" s="392"/>
      <c r="B4440" s="393"/>
      <c r="C4440" s="99" t="str">
        <f>IF(B4440="","",IF(NOT(ISNUMBER(B4440)),"DATA_PC invalida",IF(NOT(ISNUMBER(parametros!$C$2)),"Fora dos ciclos",IF(OR(B4440&lt;parametros!$C$2,(YEAR(B4440)-YEAR(parametros!$C$2))*12+MONTH(B4440)-MONTH(parametros!$C$2)&gt;59),"Fora dos ciclos","C"&amp;INT(((YEAR(B4440)-YEAR(parametros!$C$2))*12+MONTH(B4440)-MONTH(parametros!$C$2))/12)))))</f>
        <v/>
      </c>
      <c r="D4440" s="394"/>
      <c r="E4440" s="78" t="str">
        <f>IF(C4440="","",IFERROR(VLOOKUP(C4440,parametros!$A$11:$E$15,5,0),""))</f>
        <v/>
      </c>
      <c r="F4440" s="79" t="str">
        <f t="shared" si="347"/>
        <v/>
      </c>
      <c r="G4440" s="395"/>
      <c r="H4440" s="91">
        <f t="shared" si="348"/>
        <v>0</v>
      </c>
      <c r="I4440" s="91" t="str">
        <f t="shared" si="349"/>
        <v/>
      </c>
      <c r="J4440" s="91" t="str">
        <f t="shared" si="350"/>
        <v/>
      </c>
      <c r="K4440" s="92" t="str">
        <f>IF(AND(A4440="",B4440="",D4440="",G4440=""),"",IF(AND(A4440&lt;&gt;"",COUNTIF($A$2:$A$5001,A4440)&gt;1),"NUMERO_PC duplicado",IF(B4440="","DATA_PC vazia",IF(NOT(ISNUMBER(B4440)),"DATA_PC invalida",IF(OR(C4440="",C4440="Fora dos ciclos"),"CICLO_PC nao identificado",IF(OR(D4440="",D4440=0),"VALOR_PC vazio ou zero",IF(AND(G4440&lt;&gt;"Sim",G4440&lt;&gt;"Nao",G4440&lt;&gt;""),"PC_PAGO_A_CONTRATADA invalido",IF(AND(C4440&lt;&gt;"C0",IFERROR(INDEX(parametros!$A$2:$A$6,MATCH(C4440,parametros!$B$2:$B$6,0)),"")="Sim",IFERROR(INDEX(parametros!$H$2:$H$6,MATCH(C4440,parametros!$B$2:$B$6,0)),"")=""),"INICIO_EFEITO ausente: PC "&amp;A4440&amp;" - "&amp;C4440,IF(L4440="","EFEITO_PC nao calculado: PC "&amp;A4440&amp;" - "&amp;C4440,"OK")))))))))</f>
        <v/>
      </c>
      <c r="L4440" s="92" t="str">
        <f>IF(AND(A4440="",B4440="",D4440="",G4440=""),"",IF(OR(B4440="",NOT(ISNUMBER(B4440)),C4440="",C4440="Fora dos ciclos"),"",IF(C4440="C0","Nao",IF(IFERROR(INDEX(parametros!$A$2:$A$6,MATCH(C4440,parametros!$B$2:$B$6,0)),"")&lt;&gt;"Sim","Nao",IF(IFERROR(INDEX(parametros!$H$2:$H$6,MATCH(C4440,parametros!$B$2:$B$6,0)),"")="","",IF(B4440&gt;=IFERROR(INDEX(parametros!$H$2:$H$6,MATCH(C4440,parametros!$B$2:$B$6,0)),""),"Sim","Nao"))))))</f>
        <v/>
      </c>
      <c r="T4440" s="156"/>
      <c r="U4440" s="214" t="str">
        <f t="shared" si="351"/>
        <v/>
      </c>
      <c r="V4440" s="212" t="s">
        <v>50</v>
      </c>
      <c r="W4440" s="100" t="s">
        <v>168</v>
      </c>
      <c r="X4440" s="100" t="s">
        <v>169</v>
      </c>
      <c r="Y4440" s="101" t="s">
        <v>170</v>
      </c>
      <c r="Z4440" s="101" t="s">
        <v>171</v>
      </c>
      <c r="AA4440" s="101" t="s">
        <v>50</v>
      </c>
      <c r="AB4440" s="101" t="s">
        <v>172</v>
      </c>
      <c r="AC4440" s="102" t="s">
        <v>173</v>
      </c>
    </row>
    <row r="4441" spans="1:29" ht="25.5" customHeight="1" x14ac:dyDescent="0.35">
      <c r="A4441" s="392"/>
      <c r="B4441" s="393"/>
      <c r="C4441" s="99" t="str">
        <f>IF(B4441="","",IF(NOT(ISNUMBER(B4441)),"DATA_PC invalida",IF(NOT(ISNUMBER(parametros!$C$2)),"Fora dos ciclos",IF(OR(B4441&lt;parametros!$C$2,(YEAR(B4441)-YEAR(parametros!$C$2))*12+MONTH(B4441)-MONTH(parametros!$C$2)&gt;59),"Fora dos ciclos","C"&amp;INT(((YEAR(B4441)-YEAR(parametros!$C$2))*12+MONTH(B4441)-MONTH(parametros!$C$2))/12)))))</f>
        <v/>
      </c>
      <c r="D4441" s="394"/>
      <c r="E4441" s="78" t="str">
        <f>IF(C4441="","",IFERROR(VLOOKUP(C4441,parametros!$A$11:$E$15,5,0),""))</f>
        <v/>
      </c>
      <c r="F4441" s="79" t="str">
        <f t="shared" si="347"/>
        <v/>
      </c>
      <c r="G4441" s="395"/>
      <c r="H4441" s="91">
        <f t="shared" si="348"/>
        <v>0</v>
      </c>
      <c r="I4441" s="91" t="str">
        <f t="shared" si="349"/>
        <v/>
      </c>
      <c r="J4441" s="91" t="str">
        <f t="shared" si="350"/>
        <v/>
      </c>
      <c r="K4441" s="92" t="str">
        <f>IF(AND(A4441="",B4441="",D4441="",G4441=""),"",IF(AND(A4441&lt;&gt;"",COUNTIF($A$2:$A$5001,A4441)&gt;1),"NUMERO_PC duplicado",IF(B4441="","DATA_PC vazia",IF(NOT(ISNUMBER(B4441)),"DATA_PC invalida",IF(OR(C4441="",C4441="Fora dos ciclos"),"CICLO_PC nao identificado",IF(OR(D4441="",D4441=0),"VALOR_PC vazio ou zero",IF(AND(G4441&lt;&gt;"Sim",G4441&lt;&gt;"Nao",G4441&lt;&gt;""),"PC_PAGO_A_CONTRATADA invalido",IF(AND(C4441&lt;&gt;"C0",IFERROR(INDEX(parametros!$A$2:$A$6,MATCH(C4441,parametros!$B$2:$B$6,0)),"")="Sim",IFERROR(INDEX(parametros!$H$2:$H$6,MATCH(C4441,parametros!$B$2:$B$6,0)),"")=""),"INICIO_EFEITO ausente: PC "&amp;A4441&amp;" - "&amp;C4441,IF(L4441="","EFEITO_PC nao calculado: PC "&amp;A4441&amp;" - "&amp;C4441,"OK")))))))))</f>
        <v/>
      </c>
      <c r="L4441" s="92" t="str">
        <f>IF(AND(A4441="",B4441="",D4441="",G4441=""),"",IF(OR(B4441="",NOT(ISNUMBER(B4441)),C4441="",C4441="Fora dos ciclos"),"",IF(C4441="C0","Nao",IF(IFERROR(INDEX(parametros!$A$2:$A$6,MATCH(C4441,parametros!$B$2:$B$6,0)),"")&lt;&gt;"Sim","Nao",IF(IFERROR(INDEX(parametros!$H$2:$H$6,MATCH(C4441,parametros!$B$2:$B$6,0)),"")="","",IF(B4441&gt;=IFERROR(INDEX(parametros!$H$2:$H$6,MATCH(C4441,parametros!$B$2:$B$6,0)),""),"Sim","Nao"))))))</f>
        <v/>
      </c>
      <c r="T4441" s="156"/>
      <c r="U4441" s="214" t="str">
        <f t="shared" si="351"/>
        <v/>
      </c>
      <c r="V4441" s="212" t="s">
        <v>50</v>
      </c>
      <c r="W4441" s="100" t="s">
        <v>168</v>
      </c>
      <c r="X4441" s="100" t="s">
        <v>169</v>
      </c>
      <c r="Y4441" s="101" t="s">
        <v>170</v>
      </c>
      <c r="Z4441" s="101" t="s">
        <v>171</v>
      </c>
      <c r="AA4441" s="101" t="s">
        <v>50</v>
      </c>
      <c r="AB4441" s="101" t="s">
        <v>172</v>
      </c>
      <c r="AC4441" s="102" t="s">
        <v>173</v>
      </c>
    </row>
    <row r="4442" spans="1:29" ht="25.5" customHeight="1" x14ac:dyDescent="0.35">
      <c r="A4442" s="392"/>
      <c r="B4442" s="393"/>
      <c r="C4442" s="99" t="str">
        <f>IF(B4442="","",IF(NOT(ISNUMBER(B4442)),"DATA_PC invalida",IF(NOT(ISNUMBER(parametros!$C$2)),"Fora dos ciclos",IF(OR(B4442&lt;parametros!$C$2,(YEAR(B4442)-YEAR(parametros!$C$2))*12+MONTH(B4442)-MONTH(parametros!$C$2)&gt;59),"Fora dos ciclos","C"&amp;INT(((YEAR(B4442)-YEAR(parametros!$C$2))*12+MONTH(B4442)-MONTH(parametros!$C$2))/12)))))</f>
        <v/>
      </c>
      <c r="D4442" s="394"/>
      <c r="E4442" s="78" t="str">
        <f>IF(C4442="","",IFERROR(VLOOKUP(C4442,parametros!$A$11:$E$15,5,0),""))</f>
        <v/>
      </c>
      <c r="F4442" s="79" t="str">
        <f t="shared" si="347"/>
        <v/>
      </c>
      <c r="G4442" s="395"/>
      <c r="H4442" s="91">
        <f t="shared" si="348"/>
        <v>0</v>
      </c>
      <c r="I4442" s="91" t="str">
        <f t="shared" si="349"/>
        <v/>
      </c>
      <c r="J4442" s="91" t="str">
        <f t="shared" si="350"/>
        <v/>
      </c>
      <c r="K4442" s="92" t="str">
        <f>IF(AND(A4442="",B4442="",D4442="",G4442=""),"",IF(AND(A4442&lt;&gt;"",COUNTIF($A$2:$A$5001,A4442)&gt;1),"NUMERO_PC duplicado",IF(B4442="","DATA_PC vazia",IF(NOT(ISNUMBER(B4442)),"DATA_PC invalida",IF(OR(C4442="",C4442="Fora dos ciclos"),"CICLO_PC nao identificado",IF(OR(D4442="",D4442=0),"VALOR_PC vazio ou zero",IF(AND(G4442&lt;&gt;"Sim",G4442&lt;&gt;"Nao",G4442&lt;&gt;""),"PC_PAGO_A_CONTRATADA invalido",IF(AND(C4442&lt;&gt;"C0",IFERROR(INDEX(parametros!$A$2:$A$6,MATCH(C4442,parametros!$B$2:$B$6,0)),"")="Sim",IFERROR(INDEX(parametros!$H$2:$H$6,MATCH(C4442,parametros!$B$2:$B$6,0)),"")=""),"INICIO_EFEITO ausente: PC "&amp;A4442&amp;" - "&amp;C4442,IF(L4442="","EFEITO_PC nao calculado: PC "&amp;A4442&amp;" - "&amp;C4442,"OK")))))))))</f>
        <v/>
      </c>
      <c r="L4442" s="92" t="str">
        <f>IF(AND(A4442="",B4442="",D4442="",G4442=""),"",IF(OR(B4442="",NOT(ISNUMBER(B4442)),C4442="",C4442="Fora dos ciclos"),"",IF(C4442="C0","Nao",IF(IFERROR(INDEX(parametros!$A$2:$A$6,MATCH(C4442,parametros!$B$2:$B$6,0)),"")&lt;&gt;"Sim","Nao",IF(IFERROR(INDEX(parametros!$H$2:$H$6,MATCH(C4442,parametros!$B$2:$B$6,0)),"")="","",IF(B4442&gt;=IFERROR(INDEX(parametros!$H$2:$H$6,MATCH(C4442,parametros!$B$2:$B$6,0)),""),"Sim","Nao"))))))</f>
        <v/>
      </c>
      <c r="T4442" s="156"/>
      <c r="U4442" s="214" t="str">
        <f t="shared" si="351"/>
        <v/>
      </c>
      <c r="V4442" s="212" t="s">
        <v>50</v>
      </c>
      <c r="W4442" s="100" t="s">
        <v>168</v>
      </c>
      <c r="X4442" s="100" t="s">
        <v>169</v>
      </c>
      <c r="Y4442" s="101" t="s">
        <v>170</v>
      </c>
      <c r="Z4442" s="101" t="s">
        <v>171</v>
      </c>
      <c r="AA4442" s="101" t="s">
        <v>50</v>
      </c>
      <c r="AB4442" s="101" t="s">
        <v>172</v>
      </c>
      <c r="AC4442" s="102" t="s">
        <v>173</v>
      </c>
    </row>
    <row r="4443" spans="1:29" ht="25.5" customHeight="1" x14ac:dyDescent="0.35">
      <c r="A4443" s="392"/>
      <c r="B4443" s="393"/>
      <c r="C4443" s="99" t="str">
        <f>IF(B4443="","",IF(NOT(ISNUMBER(B4443)),"DATA_PC invalida",IF(NOT(ISNUMBER(parametros!$C$2)),"Fora dos ciclos",IF(OR(B4443&lt;parametros!$C$2,(YEAR(B4443)-YEAR(parametros!$C$2))*12+MONTH(B4443)-MONTH(parametros!$C$2)&gt;59),"Fora dos ciclos","C"&amp;INT(((YEAR(B4443)-YEAR(parametros!$C$2))*12+MONTH(B4443)-MONTH(parametros!$C$2))/12)))))</f>
        <v/>
      </c>
      <c r="D4443" s="394"/>
      <c r="E4443" s="78" t="str">
        <f>IF(C4443="","",IFERROR(VLOOKUP(C4443,parametros!$A$11:$E$15,5,0),""))</f>
        <v/>
      </c>
      <c r="F4443" s="79" t="str">
        <f t="shared" si="347"/>
        <v/>
      </c>
      <c r="G4443" s="395"/>
      <c r="H4443" s="91">
        <f t="shared" si="348"/>
        <v>0</v>
      </c>
      <c r="I4443" s="91" t="str">
        <f t="shared" si="349"/>
        <v/>
      </c>
      <c r="J4443" s="91" t="str">
        <f t="shared" si="350"/>
        <v/>
      </c>
      <c r="K4443" s="92" t="str">
        <f>IF(AND(A4443="",B4443="",D4443="",G4443=""),"",IF(AND(A4443&lt;&gt;"",COUNTIF($A$2:$A$5001,A4443)&gt;1),"NUMERO_PC duplicado",IF(B4443="","DATA_PC vazia",IF(NOT(ISNUMBER(B4443)),"DATA_PC invalida",IF(OR(C4443="",C4443="Fora dos ciclos"),"CICLO_PC nao identificado",IF(OR(D4443="",D4443=0),"VALOR_PC vazio ou zero",IF(AND(G4443&lt;&gt;"Sim",G4443&lt;&gt;"Nao",G4443&lt;&gt;""),"PC_PAGO_A_CONTRATADA invalido",IF(AND(C4443&lt;&gt;"C0",IFERROR(INDEX(parametros!$A$2:$A$6,MATCH(C4443,parametros!$B$2:$B$6,0)),"")="Sim",IFERROR(INDEX(parametros!$H$2:$H$6,MATCH(C4443,parametros!$B$2:$B$6,0)),"")=""),"INICIO_EFEITO ausente: PC "&amp;A4443&amp;" - "&amp;C4443,IF(L4443="","EFEITO_PC nao calculado: PC "&amp;A4443&amp;" - "&amp;C4443,"OK")))))))))</f>
        <v/>
      </c>
      <c r="L4443" s="92" t="str">
        <f>IF(AND(A4443="",B4443="",D4443="",G4443=""),"",IF(OR(B4443="",NOT(ISNUMBER(B4443)),C4443="",C4443="Fora dos ciclos"),"",IF(C4443="C0","Nao",IF(IFERROR(INDEX(parametros!$A$2:$A$6,MATCH(C4443,parametros!$B$2:$B$6,0)),"")&lt;&gt;"Sim","Nao",IF(IFERROR(INDEX(parametros!$H$2:$H$6,MATCH(C4443,parametros!$B$2:$B$6,0)),"")="","",IF(B4443&gt;=IFERROR(INDEX(parametros!$H$2:$H$6,MATCH(C4443,parametros!$B$2:$B$6,0)),""),"Sim","Nao"))))))</f>
        <v/>
      </c>
      <c r="T4443" s="156"/>
      <c r="U4443" s="214" t="str">
        <f t="shared" si="351"/>
        <v/>
      </c>
      <c r="V4443" s="212" t="s">
        <v>50</v>
      </c>
      <c r="W4443" s="100" t="s">
        <v>168</v>
      </c>
      <c r="X4443" s="100" t="s">
        <v>169</v>
      </c>
      <c r="Y4443" s="101" t="s">
        <v>170</v>
      </c>
      <c r="Z4443" s="101" t="s">
        <v>171</v>
      </c>
      <c r="AA4443" s="101" t="s">
        <v>50</v>
      </c>
      <c r="AB4443" s="101" t="s">
        <v>172</v>
      </c>
      <c r="AC4443" s="102" t="s">
        <v>173</v>
      </c>
    </row>
    <row r="4444" spans="1:29" ht="25.5" customHeight="1" x14ac:dyDescent="0.35">
      <c r="A4444" s="392"/>
      <c r="B4444" s="393"/>
      <c r="C4444" s="99" t="str">
        <f>IF(B4444="","",IF(NOT(ISNUMBER(B4444)),"DATA_PC invalida",IF(NOT(ISNUMBER(parametros!$C$2)),"Fora dos ciclos",IF(OR(B4444&lt;parametros!$C$2,(YEAR(B4444)-YEAR(parametros!$C$2))*12+MONTH(B4444)-MONTH(parametros!$C$2)&gt;59),"Fora dos ciclos","C"&amp;INT(((YEAR(B4444)-YEAR(parametros!$C$2))*12+MONTH(B4444)-MONTH(parametros!$C$2))/12)))))</f>
        <v/>
      </c>
      <c r="D4444" s="394"/>
      <c r="E4444" s="78" t="str">
        <f>IF(C4444="","",IFERROR(VLOOKUP(C4444,parametros!$A$11:$E$15,5,0),""))</f>
        <v/>
      </c>
      <c r="F4444" s="79" t="str">
        <f t="shared" si="347"/>
        <v/>
      </c>
      <c r="G4444" s="395"/>
      <c r="H4444" s="91">
        <f t="shared" si="348"/>
        <v>0</v>
      </c>
      <c r="I4444" s="91" t="str">
        <f t="shared" si="349"/>
        <v/>
      </c>
      <c r="J4444" s="91" t="str">
        <f t="shared" si="350"/>
        <v/>
      </c>
      <c r="K4444" s="92" t="str">
        <f>IF(AND(A4444="",B4444="",D4444="",G4444=""),"",IF(AND(A4444&lt;&gt;"",COUNTIF($A$2:$A$5001,A4444)&gt;1),"NUMERO_PC duplicado",IF(B4444="","DATA_PC vazia",IF(NOT(ISNUMBER(B4444)),"DATA_PC invalida",IF(OR(C4444="",C4444="Fora dos ciclos"),"CICLO_PC nao identificado",IF(OR(D4444="",D4444=0),"VALOR_PC vazio ou zero",IF(AND(G4444&lt;&gt;"Sim",G4444&lt;&gt;"Nao",G4444&lt;&gt;""),"PC_PAGO_A_CONTRATADA invalido",IF(AND(C4444&lt;&gt;"C0",IFERROR(INDEX(parametros!$A$2:$A$6,MATCH(C4444,parametros!$B$2:$B$6,0)),"")="Sim",IFERROR(INDEX(parametros!$H$2:$H$6,MATCH(C4444,parametros!$B$2:$B$6,0)),"")=""),"INICIO_EFEITO ausente: PC "&amp;A4444&amp;" - "&amp;C4444,IF(L4444="","EFEITO_PC nao calculado: PC "&amp;A4444&amp;" - "&amp;C4444,"OK")))))))))</f>
        <v/>
      </c>
      <c r="L4444" s="92" t="str">
        <f>IF(AND(A4444="",B4444="",D4444="",G4444=""),"",IF(OR(B4444="",NOT(ISNUMBER(B4444)),C4444="",C4444="Fora dos ciclos"),"",IF(C4444="C0","Nao",IF(IFERROR(INDEX(parametros!$A$2:$A$6,MATCH(C4444,parametros!$B$2:$B$6,0)),"")&lt;&gt;"Sim","Nao",IF(IFERROR(INDEX(parametros!$H$2:$H$6,MATCH(C4444,parametros!$B$2:$B$6,0)),"")="","",IF(B4444&gt;=IFERROR(INDEX(parametros!$H$2:$H$6,MATCH(C4444,parametros!$B$2:$B$6,0)),""),"Sim","Nao"))))))</f>
        <v/>
      </c>
      <c r="T4444" s="156"/>
      <c r="U4444" s="214" t="str">
        <f t="shared" si="351"/>
        <v/>
      </c>
      <c r="V4444" s="212" t="s">
        <v>50</v>
      </c>
      <c r="W4444" s="100" t="s">
        <v>168</v>
      </c>
      <c r="X4444" s="100" t="s">
        <v>169</v>
      </c>
      <c r="Y4444" s="101" t="s">
        <v>170</v>
      </c>
      <c r="Z4444" s="101" t="s">
        <v>171</v>
      </c>
      <c r="AA4444" s="101" t="s">
        <v>50</v>
      </c>
      <c r="AB4444" s="101" t="s">
        <v>172</v>
      </c>
      <c r="AC4444" s="102" t="s">
        <v>173</v>
      </c>
    </row>
    <row r="4445" spans="1:29" ht="25.5" customHeight="1" x14ac:dyDescent="0.35">
      <c r="A4445" s="392"/>
      <c r="B4445" s="393"/>
      <c r="C4445" s="99" t="str">
        <f>IF(B4445="","",IF(NOT(ISNUMBER(B4445)),"DATA_PC invalida",IF(NOT(ISNUMBER(parametros!$C$2)),"Fora dos ciclos",IF(OR(B4445&lt;parametros!$C$2,(YEAR(B4445)-YEAR(parametros!$C$2))*12+MONTH(B4445)-MONTH(parametros!$C$2)&gt;59),"Fora dos ciclos","C"&amp;INT(((YEAR(B4445)-YEAR(parametros!$C$2))*12+MONTH(B4445)-MONTH(parametros!$C$2))/12)))))</f>
        <v/>
      </c>
      <c r="D4445" s="394"/>
      <c r="E4445" s="78" t="str">
        <f>IF(C4445="","",IFERROR(VLOOKUP(C4445,parametros!$A$11:$E$15,5,0),""))</f>
        <v/>
      </c>
      <c r="F4445" s="79" t="str">
        <f t="shared" si="347"/>
        <v/>
      </c>
      <c r="G4445" s="395"/>
      <c r="H4445" s="91">
        <f t="shared" si="348"/>
        <v>0</v>
      </c>
      <c r="I4445" s="91" t="str">
        <f t="shared" si="349"/>
        <v/>
      </c>
      <c r="J4445" s="91" t="str">
        <f t="shared" si="350"/>
        <v/>
      </c>
      <c r="K4445" s="92" t="str">
        <f>IF(AND(A4445="",B4445="",D4445="",G4445=""),"",IF(AND(A4445&lt;&gt;"",COUNTIF($A$2:$A$5001,A4445)&gt;1),"NUMERO_PC duplicado",IF(B4445="","DATA_PC vazia",IF(NOT(ISNUMBER(B4445)),"DATA_PC invalida",IF(OR(C4445="",C4445="Fora dos ciclos"),"CICLO_PC nao identificado",IF(OR(D4445="",D4445=0),"VALOR_PC vazio ou zero",IF(AND(G4445&lt;&gt;"Sim",G4445&lt;&gt;"Nao",G4445&lt;&gt;""),"PC_PAGO_A_CONTRATADA invalido",IF(AND(C4445&lt;&gt;"C0",IFERROR(INDEX(parametros!$A$2:$A$6,MATCH(C4445,parametros!$B$2:$B$6,0)),"")="Sim",IFERROR(INDEX(parametros!$H$2:$H$6,MATCH(C4445,parametros!$B$2:$B$6,0)),"")=""),"INICIO_EFEITO ausente: PC "&amp;A4445&amp;" - "&amp;C4445,IF(L4445="","EFEITO_PC nao calculado: PC "&amp;A4445&amp;" - "&amp;C4445,"OK")))))))))</f>
        <v/>
      </c>
      <c r="L4445" s="92" t="str">
        <f>IF(AND(A4445="",B4445="",D4445="",G4445=""),"",IF(OR(B4445="",NOT(ISNUMBER(B4445)),C4445="",C4445="Fora dos ciclos"),"",IF(C4445="C0","Nao",IF(IFERROR(INDEX(parametros!$A$2:$A$6,MATCH(C4445,parametros!$B$2:$B$6,0)),"")&lt;&gt;"Sim","Nao",IF(IFERROR(INDEX(parametros!$H$2:$H$6,MATCH(C4445,parametros!$B$2:$B$6,0)),"")="","",IF(B4445&gt;=IFERROR(INDEX(parametros!$H$2:$H$6,MATCH(C4445,parametros!$B$2:$B$6,0)),""),"Sim","Nao"))))))</f>
        <v/>
      </c>
      <c r="T4445" s="156"/>
      <c r="U4445" s="214" t="str">
        <f t="shared" si="351"/>
        <v/>
      </c>
      <c r="V4445" s="212" t="s">
        <v>50</v>
      </c>
      <c r="W4445" s="100" t="s">
        <v>168</v>
      </c>
      <c r="X4445" s="100" t="s">
        <v>169</v>
      </c>
      <c r="Y4445" s="101" t="s">
        <v>170</v>
      </c>
      <c r="Z4445" s="101" t="s">
        <v>171</v>
      </c>
      <c r="AA4445" s="101" t="s">
        <v>50</v>
      </c>
      <c r="AB4445" s="101" t="s">
        <v>172</v>
      </c>
      <c r="AC4445" s="102" t="s">
        <v>173</v>
      </c>
    </row>
    <row r="4446" spans="1:29" ht="25.5" customHeight="1" x14ac:dyDescent="0.35">
      <c r="A4446" s="392"/>
      <c r="B4446" s="393"/>
      <c r="C4446" s="99" t="str">
        <f>IF(B4446="","",IF(NOT(ISNUMBER(B4446)),"DATA_PC invalida",IF(NOT(ISNUMBER(parametros!$C$2)),"Fora dos ciclos",IF(OR(B4446&lt;parametros!$C$2,(YEAR(B4446)-YEAR(parametros!$C$2))*12+MONTH(B4446)-MONTH(parametros!$C$2)&gt;59),"Fora dos ciclos","C"&amp;INT(((YEAR(B4446)-YEAR(parametros!$C$2))*12+MONTH(B4446)-MONTH(parametros!$C$2))/12)))))</f>
        <v/>
      </c>
      <c r="D4446" s="394"/>
      <c r="E4446" s="78" t="str">
        <f>IF(C4446="","",IFERROR(VLOOKUP(C4446,parametros!$A$11:$E$15,5,0),""))</f>
        <v/>
      </c>
      <c r="F4446" s="79" t="str">
        <f t="shared" si="347"/>
        <v/>
      </c>
      <c r="G4446" s="395"/>
      <c r="H4446" s="91">
        <f t="shared" si="348"/>
        <v>0</v>
      </c>
      <c r="I4446" s="91" t="str">
        <f t="shared" si="349"/>
        <v/>
      </c>
      <c r="J4446" s="91" t="str">
        <f t="shared" si="350"/>
        <v/>
      </c>
      <c r="K4446" s="92" t="str">
        <f>IF(AND(A4446="",B4446="",D4446="",G4446=""),"",IF(AND(A4446&lt;&gt;"",COUNTIF($A$2:$A$5001,A4446)&gt;1),"NUMERO_PC duplicado",IF(B4446="","DATA_PC vazia",IF(NOT(ISNUMBER(B4446)),"DATA_PC invalida",IF(OR(C4446="",C4446="Fora dos ciclos"),"CICLO_PC nao identificado",IF(OR(D4446="",D4446=0),"VALOR_PC vazio ou zero",IF(AND(G4446&lt;&gt;"Sim",G4446&lt;&gt;"Nao",G4446&lt;&gt;""),"PC_PAGO_A_CONTRATADA invalido",IF(AND(C4446&lt;&gt;"C0",IFERROR(INDEX(parametros!$A$2:$A$6,MATCH(C4446,parametros!$B$2:$B$6,0)),"")="Sim",IFERROR(INDEX(parametros!$H$2:$H$6,MATCH(C4446,parametros!$B$2:$B$6,0)),"")=""),"INICIO_EFEITO ausente: PC "&amp;A4446&amp;" - "&amp;C4446,IF(L4446="","EFEITO_PC nao calculado: PC "&amp;A4446&amp;" - "&amp;C4446,"OK")))))))))</f>
        <v/>
      </c>
      <c r="L4446" s="92" t="str">
        <f>IF(AND(A4446="",B4446="",D4446="",G4446=""),"",IF(OR(B4446="",NOT(ISNUMBER(B4446)),C4446="",C4446="Fora dos ciclos"),"",IF(C4446="C0","Nao",IF(IFERROR(INDEX(parametros!$A$2:$A$6,MATCH(C4446,parametros!$B$2:$B$6,0)),"")&lt;&gt;"Sim","Nao",IF(IFERROR(INDEX(parametros!$H$2:$H$6,MATCH(C4446,parametros!$B$2:$B$6,0)),"")="","",IF(B4446&gt;=IFERROR(INDEX(parametros!$H$2:$H$6,MATCH(C4446,parametros!$B$2:$B$6,0)),""),"Sim","Nao"))))))</f>
        <v/>
      </c>
      <c r="T4446" s="156"/>
      <c r="U4446" s="214" t="str">
        <f t="shared" si="351"/>
        <v/>
      </c>
      <c r="V4446" s="212" t="s">
        <v>50</v>
      </c>
      <c r="W4446" s="100" t="s">
        <v>168</v>
      </c>
      <c r="X4446" s="100" t="s">
        <v>169</v>
      </c>
      <c r="Y4446" s="101" t="s">
        <v>170</v>
      </c>
      <c r="Z4446" s="101" t="s">
        <v>171</v>
      </c>
      <c r="AA4446" s="101" t="s">
        <v>50</v>
      </c>
      <c r="AB4446" s="101" t="s">
        <v>172</v>
      </c>
      <c r="AC4446" s="102" t="s">
        <v>173</v>
      </c>
    </row>
    <row r="4447" spans="1:29" ht="25.5" customHeight="1" x14ac:dyDescent="0.35">
      <c r="A4447" s="392"/>
      <c r="B4447" s="393"/>
      <c r="C4447" s="99" t="str">
        <f>IF(B4447="","",IF(NOT(ISNUMBER(B4447)),"DATA_PC invalida",IF(NOT(ISNUMBER(parametros!$C$2)),"Fora dos ciclos",IF(OR(B4447&lt;parametros!$C$2,(YEAR(B4447)-YEAR(parametros!$C$2))*12+MONTH(B4447)-MONTH(parametros!$C$2)&gt;59),"Fora dos ciclos","C"&amp;INT(((YEAR(B4447)-YEAR(parametros!$C$2))*12+MONTH(B4447)-MONTH(parametros!$C$2))/12)))))</f>
        <v/>
      </c>
      <c r="D4447" s="394"/>
      <c r="E4447" s="78" t="str">
        <f>IF(C4447="","",IFERROR(VLOOKUP(C4447,parametros!$A$11:$E$15,5,0),""))</f>
        <v/>
      </c>
      <c r="F4447" s="79" t="str">
        <f t="shared" si="347"/>
        <v/>
      </c>
      <c r="G4447" s="395"/>
      <c r="H4447" s="91">
        <f t="shared" si="348"/>
        <v>0</v>
      </c>
      <c r="I4447" s="91" t="str">
        <f t="shared" si="349"/>
        <v/>
      </c>
      <c r="J4447" s="91" t="str">
        <f t="shared" si="350"/>
        <v/>
      </c>
      <c r="K4447" s="92" t="str">
        <f>IF(AND(A4447="",B4447="",D4447="",G4447=""),"",IF(AND(A4447&lt;&gt;"",COUNTIF($A$2:$A$5001,A4447)&gt;1),"NUMERO_PC duplicado",IF(B4447="","DATA_PC vazia",IF(NOT(ISNUMBER(B4447)),"DATA_PC invalida",IF(OR(C4447="",C4447="Fora dos ciclos"),"CICLO_PC nao identificado",IF(OR(D4447="",D4447=0),"VALOR_PC vazio ou zero",IF(AND(G4447&lt;&gt;"Sim",G4447&lt;&gt;"Nao",G4447&lt;&gt;""),"PC_PAGO_A_CONTRATADA invalido",IF(AND(C4447&lt;&gt;"C0",IFERROR(INDEX(parametros!$A$2:$A$6,MATCH(C4447,parametros!$B$2:$B$6,0)),"")="Sim",IFERROR(INDEX(parametros!$H$2:$H$6,MATCH(C4447,parametros!$B$2:$B$6,0)),"")=""),"INICIO_EFEITO ausente: PC "&amp;A4447&amp;" - "&amp;C4447,IF(L4447="","EFEITO_PC nao calculado: PC "&amp;A4447&amp;" - "&amp;C4447,"OK")))))))))</f>
        <v/>
      </c>
      <c r="L4447" s="92" t="str">
        <f>IF(AND(A4447="",B4447="",D4447="",G4447=""),"",IF(OR(B4447="",NOT(ISNUMBER(B4447)),C4447="",C4447="Fora dos ciclos"),"",IF(C4447="C0","Nao",IF(IFERROR(INDEX(parametros!$A$2:$A$6,MATCH(C4447,parametros!$B$2:$B$6,0)),"")&lt;&gt;"Sim","Nao",IF(IFERROR(INDEX(parametros!$H$2:$H$6,MATCH(C4447,parametros!$B$2:$B$6,0)),"")="","",IF(B4447&gt;=IFERROR(INDEX(parametros!$H$2:$H$6,MATCH(C4447,parametros!$B$2:$B$6,0)),""),"Sim","Nao"))))))</f>
        <v/>
      </c>
      <c r="T4447" s="156"/>
      <c r="U4447" s="214" t="str">
        <f t="shared" si="351"/>
        <v/>
      </c>
      <c r="V4447" s="212" t="s">
        <v>50</v>
      </c>
      <c r="W4447" s="100" t="s">
        <v>168</v>
      </c>
      <c r="X4447" s="100" t="s">
        <v>169</v>
      </c>
      <c r="Y4447" s="101" t="s">
        <v>170</v>
      </c>
      <c r="Z4447" s="101" t="s">
        <v>171</v>
      </c>
      <c r="AA4447" s="101" t="s">
        <v>50</v>
      </c>
      <c r="AB4447" s="101" t="s">
        <v>172</v>
      </c>
      <c r="AC4447" s="102" t="s">
        <v>173</v>
      </c>
    </row>
    <row r="4448" spans="1:29" ht="25.5" customHeight="1" x14ac:dyDescent="0.35">
      <c r="A4448" s="392"/>
      <c r="B4448" s="393"/>
      <c r="C4448" s="99" t="str">
        <f>IF(B4448="","",IF(NOT(ISNUMBER(B4448)),"DATA_PC invalida",IF(NOT(ISNUMBER(parametros!$C$2)),"Fora dos ciclos",IF(OR(B4448&lt;parametros!$C$2,(YEAR(B4448)-YEAR(parametros!$C$2))*12+MONTH(B4448)-MONTH(parametros!$C$2)&gt;59),"Fora dos ciclos","C"&amp;INT(((YEAR(B4448)-YEAR(parametros!$C$2))*12+MONTH(B4448)-MONTH(parametros!$C$2))/12)))))</f>
        <v/>
      </c>
      <c r="D4448" s="394"/>
      <c r="E4448" s="78" t="str">
        <f>IF(C4448="","",IFERROR(VLOOKUP(C4448,parametros!$A$11:$E$15,5,0),""))</f>
        <v/>
      </c>
      <c r="F4448" s="79" t="str">
        <f t="shared" si="347"/>
        <v/>
      </c>
      <c r="G4448" s="395"/>
      <c r="H4448" s="91">
        <f t="shared" si="348"/>
        <v>0</v>
      </c>
      <c r="I4448" s="91" t="str">
        <f t="shared" si="349"/>
        <v/>
      </c>
      <c r="J4448" s="91" t="str">
        <f t="shared" si="350"/>
        <v/>
      </c>
      <c r="K4448" s="92" t="str">
        <f>IF(AND(A4448="",B4448="",D4448="",G4448=""),"",IF(AND(A4448&lt;&gt;"",COUNTIF($A$2:$A$5001,A4448)&gt;1),"NUMERO_PC duplicado",IF(B4448="","DATA_PC vazia",IF(NOT(ISNUMBER(B4448)),"DATA_PC invalida",IF(OR(C4448="",C4448="Fora dos ciclos"),"CICLO_PC nao identificado",IF(OR(D4448="",D4448=0),"VALOR_PC vazio ou zero",IF(AND(G4448&lt;&gt;"Sim",G4448&lt;&gt;"Nao",G4448&lt;&gt;""),"PC_PAGO_A_CONTRATADA invalido",IF(AND(C4448&lt;&gt;"C0",IFERROR(INDEX(parametros!$A$2:$A$6,MATCH(C4448,parametros!$B$2:$B$6,0)),"")="Sim",IFERROR(INDEX(parametros!$H$2:$H$6,MATCH(C4448,parametros!$B$2:$B$6,0)),"")=""),"INICIO_EFEITO ausente: PC "&amp;A4448&amp;" - "&amp;C4448,IF(L4448="","EFEITO_PC nao calculado: PC "&amp;A4448&amp;" - "&amp;C4448,"OK")))))))))</f>
        <v/>
      </c>
      <c r="L4448" s="92" t="str">
        <f>IF(AND(A4448="",B4448="",D4448="",G4448=""),"",IF(OR(B4448="",NOT(ISNUMBER(B4448)),C4448="",C4448="Fora dos ciclos"),"",IF(C4448="C0","Nao",IF(IFERROR(INDEX(parametros!$A$2:$A$6,MATCH(C4448,parametros!$B$2:$B$6,0)),"")&lt;&gt;"Sim","Nao",IF(IFERROR(INDEX(parametros!$H$2:$H$6,MATCH(C4448,parametros!$B$2:$B$6,0)),"")="","",IF(B4448&gt;=IFERROR(INDEX(parametros!$H$2:$H$6,MATCH(C4448,parametros!$B$2:$B$6,0)),""),"Sim","Nao"))))))</f>
        <v/>
      </c>
      <c r="T4448" s="156"/>
      <c r="U4448" s="214" t="str">
        <f t="shared" si="351"/>
        <v/>
      </c>
      <c r="V4448" s="212" t="s">
        <v>50</v>
      </c>
      <c r="W4448" s="100" t="s">
        <v>168</v>
      </c>
      <c r="X4448" s="100" t="s">
        <v>169</v>
      </c>
      <c r="Y4448" s="101" t="s">
        <v>170</v>
      </c>
      <c r="Z4448" s="101" t="s">
        <v>171</v>
      </c>
      <c r="AA4448" s="101" t="s">
        <v>50</v>
      </c>
      <c r="AB4448" s="101" t="s">
        <v>172</v>
      </c>
      <c r="AC4448" s="102" t="s">
        <v>173</v>
      </c>
    </row>
    <row r="4449" spans="1:29" ht="25.5" customHeight="1" x14ac:dyDescent="0.35">
      <c r="A4449" s="392"/>
      <c r="B4449" s="393"/>
      <c r="C4449" s="99" t="str">
        <f>IF(B4449="","",IF(NOT(ISNUMBER(B4449)),"DATA_PC invalida",IF(NOT(ISNUMBER(parametros!$C$2)),"Fora dos ciclos",IF(OR(B4449&lt;parametros!$C$2,(YEAR(B4449)-YEAR(parametros!$C$2))*12+MONTH(B4449)-MONTH(parametros!$C$2)&gt;59),"Fora dos ciclos","C"&amp;INT(((YEAR(B4449)-YEAR(parametros!$C$2))*12+MONTH(B4449)-MONTH(parametros!$C$2))/12)))))</f>
        <v/>
      </c>
      <c r="D4449" s="394"/>
      <c r="E4449" s="78" t="str">
        <f>IF(C4449="","",IFERROR(VLOOKUP(C4449,parametros!$A$11:$E$15,5,0),""))</f>
        <v/>
      </c>
      <c r="F4449" s="79" t="str">
        <f t="shared" si="347"/>
        <v/>
      </c>
      <c r="G4449" s="395"/>
      <c r="H4449" s="91">
        <f t="shared" si="348"/>
        <v>0</v>
      </c>
      <c r="I4449" s="91" t="str">
        <f t="shared" si="349"/>
        <v/>
      </c>
      <c r="J4449" s="91" t="str">
        <f t="shared" si="350"/>
        <v/>
      </c>
      <c r="K4449" s="92" t="str">
        <f>IF(AND(A4449="",B4449="",D4449="",G4449=""),"",IF(AND(A4449&lt;&gt;"",COUNTIF($A$2:$A$5001,A4449)&gt;1),"NUMERO_PC duplicado",IF(B4449="","DATA_PC vazia",IF(NOT(ISNUMBER(B4449)),"DATA_PC invalida",IF(OR(C4449="",C4449="Fora dos ciclos"),"CICLO_PC nao identificado",IF(OR(D4449="",D4449=0),"VALOR_PC vazio ou zero",IF(AND(G4449&lt;&gt;"Sim",G4449&lt;&gt;"Nao",G4449&lt;&gt;""),"PC_PAGO_A_CONTRATADA invalido",IF(AND(C4449&lt;&gt;"C0",IFERROR(INDEX(parametros!$A$2:$A$6,MATCH(C4449,parametros!$B$2:$B$6,0)),"")="Sim",IFERROR(INDEX(parametros!$H$2:$H$6,MATCH(C4449,parametros!$B$2:$B$6,0)),"")=""),"INICIO_EFEITO ausente: PC "&amp;A4449&amp;" - "&amp;C4449,IF(L4449="","EFEITO_PC nao calculado: PC "&amp;A4449&amp;" - "&amp;C4449,"OK")))))))))</f>
        <v/>
      </c>
      <c r="L4449" s="92" t="str">
        <f>IF(AND(A4449="",B4449="",D4449="",G4449=""),"",IF(OR(B4449="",NOT(ISNUMBER(B4449)),C4449="",C4449="Fora dos ciclos"),"",IF(C4449="C0","Nao",IF(IFERROR(INDEX(parametros!$A$2:$A$6,MATCH(C4449,parametros!$B$2:$B$6,0)),"")&lt;&gt;"Sim","Nao",IF(IFERROR(INDEX(parametros!$H$2:$H$6,MATCH(C4449,parametros!$B$2:$B$6,0)),"")="","",IF(B4449&gt;=IFERROR(INDEX(parametros!$H$2:$H$6,MATCH(C4449,parametros!$B$2:$B$6,0)),""),"Sim","Nao"))))))</f>
        <v/>
      </c>
      <c r="T4449" s="156"/>
      <c r="U4449" s="214" t="str">
        <f t="shared" si="351"/>
        <v/>
      </c>
      <c r="V4449" s="212" t="s">
        <v>50</v>
      </c>
      <c r="W4449" s="100" t="s">
        <v>168</v>
      </c>
      <c r="X4449" s="100" t="s">
        <v>169</v>
      </c>
      <c r="Y4449" s="101" t="s">
        <v>170</v>
      </c>
      <c r="Z4449" s="101" t="s">
        <v>171</v>
      </c>
      <c r="AA4449" s="101" t="s">
        <v>50</v>
      </c>
      <c r="AB4449" s="101" t="s">
        <v>172</v>
      </c>
      <c r="AC4449" s="102" t="s">
        <v>173</v>
      </c>
    </row>
    <row r="4450" spans="1:29" ht="25.5" customHeight="1" x14ac:dyDescent="0.35">
      <c r="A4450" s="392"/>
      <c r="B4450" s="393"/>
      <c r="C4450" s="99" t="str">
        <f>IF(B4450="","",IF(NOT(ISNUMBER(B4450)),"DATA_PC invalida",IF(NOT(ISNUMBER(parametros!$C$2)),"Fora dos ciclos",IF(OR(B4450&lt;parametros!$C$2,(YEAR(B4450)-YEAR(parametros!$C$2))*12+MONTH(B4450)-MONTH(parametros!$C$2)&gt;59),"Fora dos ciclos","C"&amp;INT(((YEAR(B4450)-YEAR(parametros!$C$2))*12+MONTH(B4450)-MONTH(parametros!$C$2))/12)))))</f>
        <v/>
      </c>
      <c r="D4450" s="394"/>
      <c r="E4450" s="78" t="str">
        <f>IF(C4450="","",IFERROR(VLOOKUP(C4450,parametros!$A$11:$E$15,5,0),""))</f>
        <v/>
      </c>
      <c r="F4450" s="79" t="str">
        <f t="shared" si="347"/>
        <v/>
      </c>
      <c r="G4450" s="395"/>
      <c r="H4450" s="91">
        <f t="shared" si="348"/>
        <v>0</v>
      </c>
      <c r="I4450" s="91" t="str">
        <f t="shared" si="349"/>
        <v/>
      </c>
      <c r="J4450" s="91" t="str">
        <f t="shared" si="350"/>
        <v/>
      </c>
      <c r="K4450" s="92" t="str">
        <f>IF(AND(A4450="",B4450="",D4450="",G4450=""),"",IF(AND(A4450&lt;&gt;"",COUNTIF($A$2:$A$5001,A4450)&gt;1),"NUMERO_PC duplicado",IF(B4450="","DATA_PC vazia",IF(NOT(ISNUMBER(B4450)),"DATA_PC invalida",IF(OR(C4450="",C4450="Fora dos ciclos"),"CICLO_PC nao identificado",IF(OR(D4450="",D4450=0),"VALOR_PC vazio ou zero",IF(AND(G4450&lt;&gt;"Sim",G4450&lt;&gt;"Nao",G4450&lt;&gt;""),"PC_PAGO_A_CONTRATADA invalido",IF(AND(C4450&lt;&gt;"C0",IFERROR(INDEX(parametros!$A$2:$A$6,MATCH(C4450,parametros!$B$2:$B$6,0)),"")="Sim",IFERROR(INDEX(parametros!$H$2:$H$6,MATCH(C4450,parametros!$B$2:$B$6,0)),"")=""),"INICIO_EFEITO ausente: PC "&amp;A4450&amp;" - "&amp;C4450,IF(L4450="","EFEITO_PC nao calculado: PC "&amp;A4450&amp;" - "&amp;C4450,"OK")))))))))</f>
        <v/>
      </c>
      <c r="L4450" s="92" t="str">
        <f>IF(AND(A4450="",B4450="",D4450="",G4450=""),"",IF(OR(B4450="",NOT(ISNUMBER(B4450)),C4450="",C4450="Fora dos ciclos"),"",IF(C4450="C0","Nao",IF(IFERROR(INDEX(parametros!$A$2:$A$6,MATCH(C4450,parametros!$B$2:$B$6,0)),"")&lt;&gt;"Sim","Nao",IF(IFERROR(INDEX(parametros!$H$2:$H$6,MATCH(C4450,parametros!$B$2:$B$6,0)),"")="","",IF(B4450&gt;=IFERROR(INDEX(parametros!$H$2:$H$6,MATCH(C4450,parametros!$B$2:$B$6,0)),""),"Sim","Nao"))))))</f>
        <v/>
      </c>
      <c r="T4450" s="156"/>
      <c r="U4450" s="214" t="str">
        <f t="shared" si="351"/>
        <v/>
      </c>
      <c r="V4450" s="212" t="s">
        <v>50</v>
      </c>
      <c r="W4450" s="100" t="s">
        <v>168</v>
      </c>
      <c r="X4450" s="100" t="s">
        <v>169</v>
      </c>
      <c r="Y4450" s="101" t="s">
        <v>170</v>
      </c>
      <c r="Z4450" s="101" t="s">
        <v>171</v>
      </c>
      <c r="AA4450" s="101" t="s">
        <v>50</v>
      </c>
      <c r="AB4450" s="101" t="s">
        <v>172</v>
      </c>
      <c r="AC4450" s="102" t="s">
        <v>173</v>
      </c>
    </row>
    <row r="4451" spans="1:29" ht="25.5" customHeight="1" x14ac:dyDescent="0.35">
      <c r="A4451" s="392"/>
      <c r="B4451" s="393"/>
      <c r="C4451" s="99" t="str">
        <f>IF(B4451="","",IF(NOT(ISNUMBER(B4451)),"DATA_PC invalida",IF(NOT(ISNUMBER(parametros!$C$2)),"Fora dos ciclos",IF(OR(B4451&lt;parametros!$C$2,(YEAR(B4451)-YEAR(parametros!$C$2))*12+MONTH(B4451)-MONTH(parametros!$C$2)&gt;59),"Fora dos ciclos","C"&amp;INT(((YEAR(B4451)-YEAR(parametros!$C$2))*12+MONTH(B4451)-MONTH(parametros!$C$2))/12)))))</f>
        <v/>
      </c>
      <c r="D4451" s="394"/>
      <c r="E4451" s="78" t="str">
        <f>IF(C4451="","",IFERROR(VLOOKUP(C4451,parametros!$A$11:$E$15,5,0),""))</f>
        <v/>
      </c>
      <c r="F4451" s="79" t="str">
        <f t="shared" si="347"/>
        <v/>
      </c>
      <c r="G4451" s="395"/>
      <c r="H4451" s="91">
        <f t="shared" si="348"/>
        <v>0</v>
      </c>
      <c r="I4451" s="91" t="str">
        <f t="shared" si="349"/>
        <v/>
      </c>
      <c r="J4451" s="91" t="str">
        <f t="shared" si="350"/>
        <v/>
      </c>
      <c r="K4451" s="92" t="str">
        <f>IF(AND(A4451="",B4451="",D4451="",G4451=""),"",IF(AND(A4451&lt;&gt;"",COUNTIF($A$2:$A$5001,A4451)&gt;1),"NUMERO_PC duplicado",IF(B4451="","DATA_PC vazia",IF(NOT(ISNUMBER(B4451)),"DATA_PC invalida",IF(OR(C4451="",C4451="Fora dos ciclos"),"CICLO_PC nao identificado",IF(OR(D4451="",D4451=0),"VALOR_PC vazio ou zero",IF(AND(G4451&lt;&gt;"Sim",G4451&lt;&gt;"Nao",G4451&lt;&gt;""),"PC_PAGO_A_CONTRATADA invalido",IF(AND(C4451&lt;&gt;"C0",IFERROR(INDEX(parametros!$A$2:$A$6,MATCH(C4451,parametros!$B$2:$B$6,0)),"")="Sim",IFERROR(INDEX(parametros!$H$2:$H$6,MATCH(C4451,parametros!$B$2:$B$6,0)),"")=""),"INICIO_EFEITO ausente: PC "&amp;A4451&amp;" - "&amp;C4451,IF(L4451="","EFEITO_PC nao calculado: PC "&amp;A4451&amp;" - "&amp;C4451,"OK")))))))))</f>
        <v/>
      </c>
      <c r="L4451" s="92" t="str">
        <f>IF(AND(A4451="",B4451="",D4451="",G4451=""),"",IF(OR(B4451="",NOT(ISNUMBER(B4451)),C4451="",C4451="Fora dos ciclos"),"",IF(C4451="C0","Nao",IF(IFERROR(INDEX(parametros!$A$2:$A$6,MATCH(C4451,parametros!$B$2:$B$6,0)),"")&lt;&gt;"Sim","Nao",IF(IFERROR(INDEX(parametros!$H$2:$H$6,MATCH(C4451,parametros!$B$2:$B$6,0)),"")="","",IF(B4451&gt;=IFERROR(INDEX(parametros!$H$2:$H$6,MATCH(C4451,parametros!$B$2:$B$6,0)),""),"Sim","Nao"))))))</f>
        <v/>
      </c>
      <c r="T4451" s="156"/>
      <c r="U4451" s="214" t="str">
        <f t="shared" si="351"/>
        <v/>
      </c>
      <c r="V4451" s="212" t="s">
        <v>50</v>
      </c>
      <c r="W4451" s="100" t="s">
        <v>168</v>
      </c>
      <c r="X4451" s="100" t="s">
        <v>169</v>
      </c>
      <c r="Y4451" s="101" t="s">
        <v>170</v>
      </c>
      <c r="Z4451" s="101" t="s">
        <v>171</v>
      </c>
      <c r="AA4451" s="101" t="s">
        <v>50</v>
      </c>
      <c r="AB4451" s="101" t="s">
        <v>172</v>
      </c>
      <c r="AC4451" s="102" t="s">
        <v>173</v>
      </c>
    </row>
    <row r="4452" spans="1:29" ht="25.5" customHeight="1" x14ac:dyDescent="0.35">
      <c r="A4452" s="392"/>
      <c r="B4452" s="393"/>
      <c r="C4452" s="99" t="str">
        <f>IF(B4452="","",IF(NOT(ISNUMBER(B4452)),"DATA_PC invalida",IF(NOT(ISNUMBER(parametros!$C$2)),"Fora dos ciclos",IF(OR(B4452&lt;parametros!$C$2,(YEAR(B4452)-YEAR(parametros!$C$2))*12+MONTH(B4452)-MONTH(parametros!$C$2)&gt;59),"Fora dos ciclos","C"&amp;INT(((YEAR(B4452)-YEAR(parametros!$C$2))*12+MONTH(B4452)-MONTH(parametros!$C$2))/12)))))</f>
        <v/>
      </c>
      <c r="D4452" s="394"/>
      <c r="E4452" s="78" t="str">
        <f>IF(C4452="","",IFERROR(VLOOKUP(C4452,parametros!$A$11:$E$15,5,0),""))</f>
        <v/>
      </c>
      <c r="F4452" s="79" t="str">
        <f t="shared" si="347"/>
        <v/>
      </c>
      <c r="G4452" s="395"/>
      <c r="H4452" s="91">
        <f t="shared" si="348"/>
        <v>0</v>
      </c>
      <c r="I4452" s="91" t="str">
        <f t="shared" si="349"/>
        <v/>
      </c>
      <c r="J4452" s="91" t="str">
        <f t="shared" si="350"/>
        <v/>
      </c>
      <c r="K4452" s="92" t="str">
        <f>IF(AND(A4452="",B4452="",D4452="",G4452=""),"",IF(AND(A4452&lt;&gt;"",COUNTIF($A$2:$A$5001,A4452)&gt;1),"NUMERO_PC duplicado",IF(B4452="","DATA_PC vazia",IF(NOT(ISNUMBER(B4452)),"DATA_PC invalida",IF(OR(C4452="",C4452="Fora dos ciclos"),"CICLO_PC nao identificado",IF(OR(D4452="",D4452=0),"VALOR_PC vazio ou zero",IF(AND(G4452&lt;&gt;"Sim",G4452&lt;&gt;"Nao",G4452&lt;&gt;""),"PC_PAGO_A_CONTRATADA invalido",IF(AND(C4452&lt;&gt;"C0",IFERROR(INDEX(parametros!$A$2:$A$6,MATCH(C4452,parametros!$B$2:$B$6,0)),"")="Sim",IFERROR(INDEX(parametros!$H$2:$H$6,MATCH(C4452,parametros!$B$2:$B$6,0)),"")=""),"INICIO_EFEITO ausente: PC "&amp;A4452&amp;" - "&amp;C4452,IF(L4452="","EFEITO_PC nao calculado: PC "&amp;A4452&amp;" - "&amp;C4452,"OK")))))))))</f>
        <v/>
      </c>
      <c r="L4452" s="92" t="str">
        <f>IF(AND(A4452="",B4452="",D4452="",G4452=""),"",IF(OR(B4452="",NOT(ISNUMBER(B4452)),C4452="",C4452="Fora dos ciclos"),"",IF(C4452="C0","Nao",IF(IFERROR(INDEX(parametros!$A$2:$A$6,MATCH(C4452,parametros!$B$2:$B$6,0)),"")&lt;&gt;"Sim","Nao",IF(IFERROR(INDEX(parametros!$H$2:$H$6,MATCH(C4452,parametros!$B$2:$B$6,0)),"")="","",IF(B4452&gt;=IFERROR(INDEX(parametros!$H$2:$H$6,MATCH(C4452,parametros!$B$2:$B$6,0)),""),"Sim","Nao"))))))</f>
        <v/>
      </c>
      <c r="T4452" s="156"/>
      <c r="U4452" s="214" t="str">
        <f t="shared" si="351"/>
        <v/>
      </c>
      <c r="V4452" s="212" t="s">
        <v>50</v>
      </c>
      <c r="W4452" s="100" t="s">
        <v>168</v>
      </c>
      <c r="X4452" s="100" t="s">
        <v>169</v>
      </c>
      <c r="Y4452" s="101" t="s">
        <v>170</v>
      </c>
      <c r="Z4452" s="101" t="s">
        <v>171</v>
      </c>
      <c r="AA4452" s="101" t="s">
        <v>50</v>
      </c>
      <c r="AB4452" s="101" t="s">
        <v>172</v>
      </c>
      <c r="AC4452" s="102" t="s">
        <v>173</v>
      </c>
    </row>
    <row r="4453" spans="1:29" ht="25.5" customHeight="1" x14ac:dyDescent="0.35">
      <c r="A4453" s="392"/>
      <c r="B4453" s="393"/>
      <c r="C4453" s="99" t="str">
        <f>IF(B4453="","",IF(NOT(ISNUMBER(B4453)),"DATA_PC invalida",IF(NOT(ISNUMBER(parametros!$C$2)),"Fora dos ciclos",IF(OR(B4453&lt;parametros!$C$2,(YEAR(B4453)-YEAR(parametros!$C$2))*12+MONTH(B4453)-MONTH(parametros!$C$2)&gt;59),"Fora dos ciclos","C"&amp;INT(((YEAR(B4453)-YEAR(parametros!$C$2))*12+MONTH(B4453)-MONTH(parametros!$C$2))/12)))))</f>
        <v/>
      </c>
      <c r="D4453" s="394"/>
      <c r="E4453" s="78" t="str">
        <f>IF(C4453="","",IFERROR(VLOOKUP(C4453,parametros!$A$11:$E$15,5,0),""))</f>
        <v/>
      </c>
      <c r="F4453" s="79" t="str">
        <f t="shared" si="347"/>
        <v/>
      </c>
      <c r="G4453" s="395"/>
      <c r="H4453" s="91">
        <f t="shared" si="348"/>
        <v>0</v>
      </c>
      <c r="I4453" s="91" t="str">
        <f t="shared" si="349"/>
        <v/>
      </c>
      <c r="J4453" s="91" t="str">
        <f t="shared" si="350"/>
        <v/>
      </c>
      <c r="K4453" s="92" t="str">
        <f>IF(AND(A4453="",B4453="",D4453="",G4453=""),"",IF(AND(A4453&lt;&gt;"",COUNTIF($A$2:$A$5001,A4453)&gt;1),"NUMERO_PC duplicado",IF(B4453="","DATA_PC vazia",IF(NOT(ISNUMBER(B4453)),"DATA_PC invalida",IF(OR(C4453="",C4453="Fora dos ciclos"),"CICLO_PC nao identificado",IF(OR(D4453="",D4453=0),"VALOR_PC vazio ou zero",IF(AND(G4453&lt;&gt;"Sim",G4453&lt;&gt;"Nao",G4453&lt;&gt;""),"PC_PAGO_A_CONTRATADA invalido",IF(AND(C4453&lt;&gt;"C0",IFERROR(INDEX(parametros!$A$2:$A$6,MATCH(C4453,parametros!$B$2:$B$6,0)),"")="Sim",IFERROR(INDEX(parametros!$H$2:$H$6,MATCH(C4453,parametros!$B$2:$B$6,0)),"")=""),"INICIO_EFEITO ausente: PC "&amp;A4453&amp;" - "&amp;C4453,IF(L4453="","EFEITO_PC nao calculado: PC "&amp;A4453&amp;" - "&amp;C4453,"OK")))))))))</f>
        <v/>
      </c>
      <c r="L4453" s="92" t="str">
        <f>IF(AND(A4453="",B4453="",D4453="",G4453=""),"",IF(OR(B4453="",NOT(ISNUMBER(B4453)),C4453="",C4453="Fora dos ciclos"),"",IF(C4453="C0","Nao",IF(IFERROR(INDEX(parametros!$A$2:$A$6,MATCH(C4453,parametros!$B$2:$B$6,0)),"")&lt;&gt;"Sim","Nao",IF(IFERROR(INDEX(parametros!$H$2:$H$6,MATCH(C4453,parametros!$B$2:$B$6,0)),"")="","",IF(B4453&gt;=IFERROR(INDEX(parametros!$H$2:$H$6,MATCH(C4453,parametros!$B$2:$B$6,0)),""),"Sim","Nao"))))))</f>
        <v/>
      </c>
      <c r="T4453" s="156"/>
      <c r="U4453" s="214" t="str">
        <f t="shared" si="351"/>
        <v/>
      </c>
      <c r="V4453" s="212" t="s">
        <v>50</v>
      </c>
      <c r="W4453" s="100" t="s">
        <v>168</v>
      </c>
      <c r="X4453" s="100" t="s">
        <v>169</v>
      </c>
      <c r="Y4453" s="101" t="s">
        <v>170</v>
      </c>
      <c r="Z4453" s="101" t="s">
        <v>171</v>
      </c>
      <c r="AA4453" s="101" t="s">
        <v>50</v>
      </c>
      <c r="AB4453" s="101" t="s">
        <v>172</v>
      </c>
      <c r="AC4453" s="102" t="s">
        <v>173</v>
      </c>
    </row>
    <row r="4454" spans="1:29" ht="25.5" customHeight="1" x14ac:dyDescent="0.35">
      <c r="A4454" s="392"/>
      <c r="B4454" s="393"/>
      <c r="C4454" s="99" t="str">
        <f>IF(B4454="","",IF(NOT(ISNUMBER(B4454)),"DATA_PC invalida",IF(NOT(ISNUMBER(parametros!$C$2)),"Fora dos ciclos",IF(OR(B4454&lt;parametros!$C$2,(YEAR(B4454)-YEAR(parametros!$C$2))*12+MONTH(B4454)-MONTH(parametros!$C$2)&gt;59),"Fora dos ciclos","C"&amp;INT(((YEAR(B4454)-YEAR(parametros!$C$2))*12+MONTH(B4454)-MONTH(parametros!$C$2))/12)))))</f>
        <v/>
      </c>
      <c r="D4454" s="394"/>
      <c r="E4454" s="78" t="str">
        <f>IF(C4454="","",IFERROR(VLOOKUP(C4454,parametros!$A$11:$E$15,5,0),""))</f>
        <v/>
      </c>
      <c r="F4454" s="79" t="str">
        <f t="shared" si="347"/>
        <v/>
      </c>
      <c r="G4454" s="395"/>
      <c r="H4454" s="91">
        <f t="shared" si="348"/>
        <v>0</v>
      </c>
      <c r="I4454" s="91" t="str">
        <f t="shared" si="349"/>
        <v/>
      </c>
      <c r="J4454" s="91" t="str">
        <f t="shared" si="350"/>
        <v/>
      </c>
      <c r="K4454" s="92" t="str">
        <f>IF(AND(A4454="",B4454="",D4454="",G4454=""),"",IF(AND(A4454&lt;&gt;"",COUNTIF($A$2:$A$5001,A4454)&gt;1),"NUMERO_PC duplicado",IF(B4454="","DATA_PC vazia",IF(NOT(ISNUMBER(B4454)),"DATA_PC invalida",IF(OR(C4454="",C4454="Fora dos ciclos"),"CICLO_PC nao identificado",IF(OR(D4454="",D4454=0),"VALOR_PC vazio ou zero",IF(AND(G4454&lt;&gt;"Sim",G4454&lt;&gt;"Nao",G4454&lt;&gt;""),"PC_PAGO_A_CONTRATADA invalido",IF(AND(C4454&lt;&gt;"C0",IFERROR(INDEX(parametros!$A$2:$A$6,MATCH(C4454,parametros!$B$2:$B$6,0)),"")="Sim",IFERROR(INDEX(parametros!$H$2:$H$6,MATCH(C4454,parametros!$B$2:$B$6,0)),"")=""),"INICIO_EFEITO ausente: PC "&amp;A4454&amp;" - "&amp;C4454,IF(L4454="","EFEITO_PC nao calculado: PC "&amp;A4454&amp;" - "&amp;C4454,"OK")))))))))</f>
        <v/>
      </c>
      <c r="L4454" s="92" t="str">
        <f>IF(AND(A4454="",B4454="",D4454="",G4454=""),"",IF(OR(B4454="",NOT(ISNUMBER(B4454)),C4454="",C4454="Fora dos ciclos"),"",IF(C4454="C0","Nao",IF(IFERROR(INDEX(parametros!$A$2:$A$6,MATCH(C4454,parametros!$B$2:$B$6,0)),"")&lt;&gt;"Sim","Nao",IF(IFERROR(INDEX(parametros!$H$2:$H$6,MATCH(C4454,parametros!$B$2:$B$6,0)),"")="","",IF(B4454&gt;=IFERROR(INDEX(parametros!$H$2:$H$6,MATCH(C4454,parametros!$B$2:$B$6,0)),""),"Sim","Nao"))))))</f>
        <v/>
      </c>
      <c r="T4454" s="156"/>
      <c r="U4454" s="214" t="str">
        <f t="shared" si="351"/>
        <v/>
      </c>
      <c r="V4454" s="212" t="s">
        <v>50</v>
      </c>
      <c r="W4454" s="100" t="s">
        <v>168</v>
      </c>
      <c r="X4454" s="100" t="s">
        <v>169</v>
      </c>
      <c r="Y4454" s="101" t="s">
        <v>170</v>
      </c>
      <c r="Z4454" s="101" t="s">
        <v>171</v>
      </c>
      <c r="AA4454" s="101" t="s">
        <v>50</v>
      </c>
      <c r="AB4454" s="101" t="s">
        <v>172</v>
      </c>
      <c r="AC4454" s="102" t="s">
        <v>173</v>
      </c>
    </row>
    <row r="4455" spans="1:29" ht="25.5" customHeight="1" x14ac:dyDescent="0.35">
      <c r="A4455" s="392"/>
      <c r="B4455" s="393"/>
      <c r="C4455" s="99" t="str">
        <f>IF(B4455="","",IF(NOT(ISNUMBER(B4455)),"DATA_PC invalida",IF(NOT(ISNUMBER(parametros!$C$2)),"Fora dos ciclos",IF(OR(B4455&lt;parametros!$C$2,(YEAR(B4455)-YEAR(parametros!$C$2))*12+MONTH(B4455)-MONTH(parametros!$C$2)&gt;59),"Fora dos ciclos","C"&amp;INT(((YEAR(B4455)-YEAR(parametros!$C$2))*12+MONTH(B4455)-MONTH(parametros!$C$2))/12)))))</f>
        <v/>
      </c>
      <c r="D4455" s="394"/>
      <c r="E4455" s="78" t="str">
        <f>IF(C4455="","",IFERROR(VLOOKUP(C4455,parametros!$A$11:$E$15,5,0),""))</f>
        <v/>
      </c>
      <c r="F4455" s="79" t="str">
        <f t="shared" si="347"/>
        <v/>
      </c>
      <c r="G4455" s="395"/>
      <c r="H4455" s="91">
        <f t="shared" si="348"/>
        <v>0</v>
      </c>
      <c r="I4455" s="91" t="str">
        <f t="shared" si="349"/>
        <v/>
      </c>
      <c r="J4455" s="91" t="str">
        <f t="shared" si="350"/>
        <v/>
      </c>
      <c r="K4455" s="92" t="str">
        <f>IF(AND(A4455="",B4455="",D4455="",G4455=""),"",IF(AND(A4455&lt;&gt;"",COUNTIF($A$2:$A$5001,A4455)&gt;1),"NUMERO_PC duplicado",IF(B4455="","DATA_PC vazia",IF(NOT(ISNUMBER(B4455)),"DATA_PC invalida",IF(OR(C4455="",C4455="Fora dos ciclos"),"CICLO_PC nao identificado",IF(OR(D4455="",D4455=0),"VALOR_PC vazio ou zero",IF(AND(G4455&lt;&gt;"Sim",G4455&lt;&gt;"Nao",G4455&lt;&gt;""),"PC_PAGO_A_CONTRATADA invalido",IF(AND(C4455&lt;&gt;"C0",IFERROR(INDEX(parametros!$A$2:$A$6,MATCH(C4455,parametros!$B$2:$B$6,0)),"")="Sim",IFERROR(INDEX(parametros!$H$2:$H$6,MATCH(C4455,parametros!$B$2:$B$6,0)),"")=""),"INICIO_EFEITO ausente: PC "&amp;A4455&amp;" - "&amp;C4455,IF(L4455="","EFEITO_PC nao calculado: PC "&amp;A4455&amp;" - "&amp;C4455,"OK")))))))))</f>
        <v/>
      </c>
      <c r="L4455" s="92" t="str">
        <f>IF(AND(A4455="",B4455="",D4455="",G4455=""),"",IF(OR(B4455="",NOT(ISNUMBER(B4455)),C4455="",C4455="Fora dos ciclos"),"",IF(C4455="C0","Nao",IF(IFERROR(INDEX(parametros!$A$2:$A$6,MATCH(C4455,parametros!$B$2:$B$6,0)),"")&lt;&gt;"Sim","Nao",IF(IFERROR(INDEX(parametros!$H$2:$H$6,MATCH(C4455,parametros!$B$2:$B$6,0)),"")="","",IF(B4455&gt;=IFERROR(INDEX(parametros!$H$2:$H$6,MATCH(C4455,parametros!$B$2:$B$6,0)),""),"Sim","Nao"))))))</f>
        <v/>
      </c>
      <c r="T4455" s="156"/>
      <c r="U4455" s="214" t="str">
        <f t="shared" si="351"/>
        <v/>
      </c>
      <c r="V4455" s="212" t="s">
        <v>50</v>
      </c>
      <c r="W4455" s="100" t="s">
        <v>168</v>
      </c>
      <c r="X4455" s="100" t="s">
        <v>169</v>
      </c>
      <c r="Y4455" s="101" t="s">
        <v>170</v>
      </c>
      <c r="Z4455" s="101" t="s">
        <v>171</v>
      </c>
      <c r="AA4455" s="101" t="s">
        <v>50</v>
      </c>
      <c r="AB4455" s="101" t="s">
        <v>172</v>
      </c>
      <c r="AC4455" s="102" t="s">
        <v>173</v>
      </c>
    </row>
    <row r="4456" spans="1:29" ht="25.5" customHeight="1" x14ac:dyDescent="0.35">
      <c r="A4456" s="392"/>
      <c r="B4456" s="393"/>
      <c r="C4456" s="99" t="str">
        <f>IF(B4456="","",IF(NOT(ISNUMBER(B4456)),"DATA_PC invalida",IF(NOT(ISNUMBER(parametros!$C$2)),"Fora dos ciclos",IF(OR(B4456&lt;parametros!$C$2,(YEAR(B4456)-YEAR(parametros!$C$2))*12+MONTH(B4456)-MONTH(parametros!$C$2)&gt;59),"Fora dos ciclos","C"&amp;INT(((YEAR(B4456)-YEAR(parametros!$C$2))*12+MONTH(B4456)-MONTH(parametros!$C$2))/12)))))</f>
        <v/>
      </c>
      <c r="D4456" s="394"/>
      <c r="E4456" s="78" t="str">
        <f>IF(C4456="","",IFERROR(VLOOKUP(C4456,parametros!$A$11:$E$15,5,0),""))</f>
        <v/>
      </c>
      <c r="F4456" s="79" t="str">
        <f t="shared" si="347"/>
        <v/>
      </c>
      <c r="G4456" s="395"/>
      <c r="H4456" s="91">
        <f t="shared" si="348"/>
        <v>0</v>
      </c>
      <c r="I4456" s="91" t="str">
        <f t="shared" si="349"/>
        <v/>
      </c>
      <c r="J4456" s="91" t="str">
        <f t="shared" si="350"/>
        <v/>
      </c>
      <c r="K4456" s="92" t="str">
        <f>IF(AND(A4456="",B4456="",D4456="",G4456=""),"",IF(AND(A4456&lt;&gt;"",COUNTIF($A$2:$A$5001,A4456)&gt;1),"NUMERO_PC duplicado",IF(B4456="","DATA_PC vazia",IF(NOT(ISNUMBER(B4456)),"DATA_PC invalida",IF(OR(C4456="",C4456="Fora dos ciclos"),"CICLO_PC nao identificado",IF(OR(D4456="",D4456=0),"VALOR_PC vazio ou zero",IF(AND(G4456&lt;&gt;"Sim",G4456&lt;&gt;"Nao",G4456&lt;&gt;""),"PC_PAGO_A_CONTRATADA invalido",IF(AND(C4456&lt;&gt;"C0",IFERROR(INDEX(parametros!$A$2:$A$6,MATCH(C4456,parametros!$B$2:$B$6,0)),"")="Sim",IFERROR(INDEX(parametros!$H$2:$H$6,MATCH(C4456,parametros!$B$2:$B$6,0)),"")=""),"INICIO_EFEITO ausente: PC "&amp;A4456&amp;" - "&amp;C4456,IF(L4456="","EFEITO_PC nao calculado: PC "&amp;A4456&amp;" - "&amp;C4456,"OK")))))))))</f>
        <v/>
      </c>
      <c r="L4456" s="92" t="str">
        <f>IF(AND(A4456="",B4456="",D4456="",G4456=""),"",IF(OR(B4456="",NOT(ISNUMBER(B4456)),C4456="",C4456="Fora dos ciclos"),"",IF(C4456="C0","Nao",IF(IFERROR(INDEX(parametros!$A$2:$A$6,MATCH(C4456,parametros!$B$2:$B$6,0)),"")&lt;&gt;"Sim","Nao",IF(IFERROR(INDEX(parametros!$H$2:$H$6,MATCH(C4456,parametros!$B$2:$B$6,0)),"")="","",IF(B4456&gt;=IFERROR(INDEX(parametros!$H$2:$H$6,MATCH(C4456,parametros!$B$2:$B$6,0)),""),"Sim","Nao"))))))</f>
        <v/>
      </c>
      <c r="T4456" s="156"/>
      <c r="U4456" s="214" t="str">
        <f t="shared" si="351"/>
        <v/>
      </c>
      <c r="V4456" s="212" t="s">
        <v>50</v>
      </c>
      <c r="W4456" s="100" t="s">
        <v>168</v>
      </c>
      <c r="X4456" s="100" t="s">
        <v>169</v>
      </c>
      <c r="Y4456" s="101" t="s">
        <v>170</v>
      </c>
      <c r="Z4456" s="101" t="s">
        <v>171</v>
      </c>
      <c r="AA4456" s="101" t="s">
        <v>50</v>
      </c>
      <c r="AB4456" s="101" t="s">
        <v>172</v>
      </c>
      <c r="AC4456" s="102" t="s">
        <v>173</v>
      </c>
    </row>
    <row r="4457" spans="1:29" ht="25.5" customHeight="1" x14ac:dyDescent="0.35">
      <c r="A4457" s="392"/>
      <c r="B4457" s="393"/>
      <c r="C4457" s="99" t="str">
        <f>IF(B4457="","",IF(NOT(ISNUMBER(B4457)),"DATA_PC invalida",IF(NOT(ISNUMBER(parametros!$C$2)),"Fora dos ciclos",IF(OR(B4457&lt;parametros!$C$2,(YEAR(B4457)-YEAR(parametros!$C$2))*12+MONTH(B4457)-MONTH(parametros!$C$2)&gt;59),"Fora dos ciclos","C"&amp;INT(((YEAR(B4457)-YEAR(parametros!$C$2))*12+MONTH(B4457)-MONTH(parametros!$C$2))/12)))))</f>
        <v/>
      </c>
      <c r="D4457" s="394"/>
      <c r="E4457" s="78" t="str">
        <f>IF(C4457="","",IFERROR(VLOOKUP(C4457,parametros!$A$11:$E$15,5,0),""))</f>
        <v/>
      </c>
      <c r="F4457" s="79" t="str">
        <f t="shared" si="347"/>
        <v/>
      </c>
      <c r="G4457" s="395"/>
      <c r="H4457" s="91">
        <f t="shared" si="348"/>
        <v>0</v>
      </c>
      <c r="I4457" s="91" t="str">
        <f t="shared" si="349"/>
        <v/>
      </c>
      <c r="J4457" s="91" t="str">
        <f t="shared" si="350"/>
        <v/>
      </c>
      <c r="K4457" s="92" t="str">
        <f>IF(AND(A4457="",B4457="",D4457="",G4457=""),"",IF(AND(A4457&lt;&gt;"",COUNTIF($A$2:$A$5001,A4457)&gt;1),"NUMERO_PC duplicado",IF(B4457="","DATA_PC vazia",IF(NOT(ISNUMBER(B4457)),"DATA_PC invalida",IF(OR(C4457="",C4457="Fora dos ciclos"),"CICLO_PC nao identificado",IF(OR(D4457="",D4457=0),"VALOR_PC vazio ou zero",IF(AND(G4457&lt;&gt;"Sim",G4457&lt;&gt;"Nao",G4457&lt;&gt;""),"PC_PAGO_A_CONTRATADA invalido",IF(AND(C4457&lt;&gt;"C0",IFERROR(INDEX(parametros!$A$2:$A$6,MATCH(C4457,parametros!$B$2:$B$6,0)),"")="Sim",IFERROR(INDEX(parametros!$H$2:$H$6,MATCH(C4457,parametros!$B$2:$B$6,0)),"")=""),"INICIO_EFEITO ausente: PC "&amp;A4457&amp;" - "&amp;C4457,IF(L4457="","EFEITO_PC nao calculado: PC "&amp;A4457&amp;" - "&amp;C4457,"OK")))))))))</f>
        <v/>
      </c>
      <c r="L4457" s="92" t="str">
        <f>IF(AND(A4457="",B4457="",D4457="",G4457=""),"",IF(OR(B4457="",NOT(ISNUMBER(B4457)),C4457="",C4457="Fora dos ciclos"),"",IF(C4457="C0","Nao",IF(IFERROR(INDEX(parametros!$A$2:$A$6,MATCH(C4457,parametros!$B$2:$B$6,0)),"")&lt;&gt;"Sim","Nao",IF(IFERROR(INDEX(parametros!$H$2:$H$6,MATCH(C4457,parametros!$B$2:$B$6,0)),"")="","",IF(B4457&gt;=IFERROR(INDEX(parametros!$H$2:$H$6,MATCH(C4457,parametros!$B$2:$B$6,0)),""),"Sim","Nao"))))))</f>
        <v/>
      </c>
      <c r="T4457" s="156"/>
      <c r="U4457" s="214" t="str">
        <f t="shared" si="351"/>
        <v/>
      </c>
      <c r="V4457" s="212" t="s">
        <v>50</v>
      </c>
      <c r="W4457" s="100" t="s">
        <v>168</v>
      </c>
      <c r="X4457" s="100" t="s">
        <v>169</v>
      </c>
      <c r="Y4457" s="101" t="s">
        <v>170</v>
      </c>
      <c r="Z4457" s="101" t="s">
        <v>171</v>
      </c>
      <c r="AA4457" s="101" t="s">
        <v>50</v>
      </c>
      <c r="AB4457" s="101" t="s">
        <v>172</v>
      </c>
      <c r="AC4457" s="102" t="s">
        <v>173</v>
      </c>
    </row>
    <row r="4458" spans="1:29" ht="25.5" customHeight="1" x14ac:dyDescent="0.35">
      <c r="A4458" s="392"/>
      <c r="B4458" s="393"/>
      <c r="C4458" s="99" t="str">
        <f>IF(B4458="","",IF(NOT(ISNUMBER(B4458)),"DATA_PC invalida",IF(NOT(ISNUMBER(parametros!$C$2)),"Fora dos ciclos",IF(OR(B4458&lt;parametros!$C$2,(YEAR(B4458)-YEAR(parametros!$C$2))*12+MONTH(B4458)-MONTH(parametros!$C$2)&gt;59),"Fora dos ciclos","C"&amp;INT(((YEAR(B4458)-YEAR(parametros!$C$2))*12+MONTH(B4458)-MONTH(parametros!$C$2))/12)))))</f>
        <v/>
      </c>
      <c r="D4458" s="394"/>
      <c r="E4458" s="78" t="str">
        <f>IF(C4458="","",IFERROR(VLOOKUP(C4458,parametros!$A$11:$E$15,5,0),""))</f>
        <v/>
      </c>
      <c r="F4458" s="79" t="str">
        <f t="shared" si="347"/>
        <v/>
      </c>
      <c r="G4458" s="395"/>
      <c r="H4458" s="91">
        <f t="shared" si="348"/>
        <v>0</v>
      </c>
      <c r="I4458" s="91" t="str">
        <f t="shared" si="349"/>
        <v/>
      </c>
      <c r="J4458" s="91" t="str">
        <f t="shared" si="350"/>
        <v/>
      </c>
      <c r="K4458" s="92" t="str">
        <f>IF(AND(A4458="",B4458="",D4458="",G4458=""),"",IF(AND(A4458&lt;&gt;"",COUNTIF($A$2:$A$5001,A4458)&gt;1),"NUMERO_PC duplicado",IF(B4458="","DATA_PC vazia",IF(NOT(ISNUMBER(B4458)),"DATA_PC invalida",IF(OR(C4458="",C4458="Fora dos ciclos"),"CICLO_PC nao identificado",IF(OR(D4458="",D4458=0),"VALOR_PC vazio ou zero",IF(AND(G4458&lt;&gt;"Sim",G4458&lt;&gt;"Nao",G4458&lt;&gt;""),"PC_PAGO_A_CONTRATADA invalido",IF(AND(C4458&lt;&gt;"C0",IFERROR(INDEX(parametros!$A$2:$A$6,MATCH(C4458,parametros!$B$2:$B$6,0)),"")="Sim",IFERROR(INDEX(parametros!$H$2:$H$6,MATCH(C4458,parametros!$B$2:$B$6,0)),"")=""),"INICIO_EFEITO ausente: PC "&amp;A4458&amp;" - "&amp;C4458,IF(L4458="","EFEITO_PC nao calculado: PC "&amp;A4458&amp;" - "&amp;C4458,"OK")))))))))</f>
        <v/>
      </c>
      <c r="L4458" s="92" t="str">
        <f>IF(AND(A4458="",B4458="",D4458="",G4458=""),"",IF(OR(B4458="",NOT(ISNUMBER(B4458)),C4458="",C4458="Fora dos ciclos"),"",IF(C4458="C0","Nao",IF(IFERROR(INDEX(parametros!$A$2:$A$6,MATCH(C4458,parametros!$B$2:$B$6,0)),"")&lt;&gt;"Sim","Nao",IF(IFERROR(INDEX(parametros!$H$2:$H$6,MATCH(C4458,parametros!$B$2:$B$6,0)),"")="","",IF(B4458&gt;=IFERROR(INDEX(parametros!$H$2:$H$6,MATCH(C4458,parametros!$B$2:$B$6,0)),""),"Sim","Nao"))))))</f>
        <v/>
      </c>
      <c r="T4458" s="156"/>
      <c r="U4458" s="214" t="str">
        <f t="shared" si="351"/>
        <v/>
      </c>
      <c r="V4458" s="212" t="s">
        <v>50</v>
      </c>
      <c r="W4458" s="100" t="s">
        <v>168</v>
      </c>
      <c r="X4458" s="100" t="s">
        <v>169</v>
      </c>
      <c r="Y4458" s="101" t="s">
        <v>170</v>
      </c>
      <c r="Z4458" s="101" t="s">
        <v>171</v>
      </c>
      <c r="AA4458" s="101" t="s">
        <v>50</v>
      </c>
      <c r="AB4458" s="101" t="s">
        <v>172</v>
      </c>
      <c r="AC4458" s="102" t="s">
        <v>173</v>
      </c>
    </row>
    <row r="4459" spans="1:29" ht="25.5" customHeight="1" x14ac:dyDescent="0.35">
      <c r="A4459" s="392"/>
      <c r="B4459" s="393"/>
      <c r="C4459" s="99" t="str">
        <f>IF(B4459="","",IF(NOT(ISNUMBER(B4459)),"DATA_PC invalida",IF(NOT(ISNUMBER(parametros!$C$2)),"Fora dos ciclos",IF(OR(B4459&lt;parametros!$C$2,(YEAR(B4459)-YEAR(parametros!$C$2))*12+MONTH(B4459)-MONTH(parametros!$C$2)&gt;59),"Fora dos ciclos","C"&amp;INT(((YEAR(B4459)-YEAR(parametros!$C$2))*12+MONTH(B4459)-MONTH(parametros!$C$2))/12)))))</f>
        <v/>
      </c>
      <c r="D4459" s="394"/>
      <c r="E4459" s="78" t="str">
        <f>IF(C4459="","",IFERROR(VLOOKUP(C4459,parametros!$A$11:$E$15,5,0),""))</f>
        <v/>
      </c>
      <c r="F4459" s="79" t="str">
        <f t="shared" si="347"/>
        <v/>
      </c>
      <c r="G4459" s="395"/>
      <c r="H4459" s="91">
        <f t="shared" si="348"/>
        <v>0</v>
      </c>
      <c r="I4459" s="91" t="str">
        <f t="shared" si="349"/>
        <v/>
      </c>
      <c r="J4459" s="91" t="str">
        <f t="shared" si="350"/>
        <v/>
      </c>
      <c r="K4459" s="92" t="str">
        <f>IF(AND(A4459="",B4459="",D4459="",G4459=""),"",IF(AND(A4459&lt;&gt;"",COUNTIF($A$2:$A$5001,A4459)&gt;1),"NUMERO_PC duplicado",IF(B4459="","DATA_PC vazia",IF(NOT(ISNUMBER(B4459)),"DATA_PC invalida",IF(OR(C4459="",C4459="Fora dos ciclos"),"CICLO_PC nao identificado",IF(OR(D4459="",D4459=0),"VALOR_PC vazio ou zero",IF(AND(G4459&lt;&gt;"Sim",G4459&lt;&gt;"Nao",G4459&lt;&gt;""),"PC_PAGO_A_CONTRATADA invalido",IF(AND(C4459&lt;&gt;"C0",IFERROR(INDEX(parametros!$A$2:$A$6,MATCH(C4459,parametros!$B$2:$B$6,0)),"")="Sim",IFERROR(INDEX(parametros!$H$2:$H$6,MATCH(C4459,parametros!$B$2:$B$6,0)),"")=""),"INICIO_EFEITO ausente: PC "&amp;A4459&amp;" - "&amp;C4459,IF(L4459="","EFEITO_PC nao calculado: PC "&amp;A4459&amp;" - "&amp;C4459,"OK")))))))))</f>
        <v/>
      </c>
      <c r="L4459" s="92" t="str">
        <f>IF(AND(A4459="",B4459="",D4459="",G4459=""),"",IF(OR(B4459="",NOT(ISNUMBER(B4459)),C4459="",C4459="Fora dos ciclos"),"",IF(C4459="C0","Nao",IF(IFERROR(INDEX(parametros!$A$2:$A$6,MATCH(C4459,parametros!$B$2:$B$6,0)),"")&lt;&gt;"Sim","Nao",IF(IFERROR(INDEX(parametros!$H$2:$H$6,MATCH(C4459,parametros!$B$2:$B$6,0)),"")="","",IF(B4459&gt;=IFERROR(INDEX(parametros!$H$2:$H$6,MATCH(C4459,parametros!$B$2:$B$6,0)),""),"Sim","Nao"))))))</f>
        <v/>
      </c>
      <c r="T4459" s="156"/>
      <c r="U4459" s="214" t="str">
        <f t="shared" si="351"/>
        <v/>
      </c>
      <c r="V4459" s="212" t="s">
        <v>50</v>
      </c>
      <c r="W4459" s="100" t="s">
        <v>168</v>
      </c>
      <c r="X4459" s="100" t="s">
        <v>169</v>
      </c>
      <c r="Y4459" s="101" t="s">
        <v>170</v>
      </c>
      <c r="Z4459" s="101" t="s">
        <v>171</v>
      </c>
      <c r="AA4459" s="101" t="s">
        <v>50</v>
      </c>
      <c r="AB4459" s="101" t="s">
        <v>172</v>
      </c>
      <c r="AC4459" s="102" t="s">
        <v>173</v>
      </c>
    </row>
    <row r="4460" spans="1:29" ht="25.5" customHeight="1" x14ac:dyDescent="0.35">
      <c r="A4460" s="392"/>
      <c r="B4460" s="393"/>
      <c r="C4460" s="99" t="str">
        <f>IF(B4460="","",IF(NOT(ISNUMBER(B4460)),"DATA_PC invalida",IF(NOT(ISNUMBER(parametros!$C$2)),"Fora dos ciclos",IF(OR(B4460&lt;parametros!$C$2,(YEAR(B4460)-YEAR(parametros!$C$2))*12+MONTH(B4460)-MONTH(parametros!$C$2)&gt;59),"Fora dos ciclos","C"&amp;INT(((YEAR(B4460)-YEAR(parametros!$C$2))*12+MONTH(B4460)-MONTH(parametros!$C$2))/12)))))</f>
        <v/>
      </c>
      <c r="D4460" s="394"/>
      <c r="E4460" s="78" t="str">
        <f>IF(C4460="","",IFERROR(VLOOKUP(C4460,parametros!$A$11:$E$15,5,0),""))</f>
        <v/>
      </c>
      <c r="F4460" s="79" t="str">
        <f t="shared" si="347"/>
        <v/>
      </c>
      <c r="G4460" s="395"/>
      <c r="H4460" s="91">
        <f t="shared" si="348"/>
        <v>0</v>
      </c>
      <c r="I4460" s="91" t="str">
        <f t="shared" si="349"/>
        <v/>
      </c>
      <c r="J4460" s="91" t="str">
        <f t="shared" si="350"/>
        <v/>
      </c>
      <c r="K4460" s="92" t="str">
        <f>IF(AND(A4460="",B4460="",D4460="",G4460=""),"",IF(AND(A4460&lt;&gt;"",COUNTIF($A$2:$A$5001,A4460)&gt;1),"NUMERO_PC duplicado",IF(B4460="","DATA_PC vazia",IF(NOT(ISNUMBER(B4460)),"DATA_PC invalida",IF(OR(C4460="",C4460="Fora dos ciclos"),"CICLO_PC nao identificado",IF(OR(D4460="",D4460=0),"VALOR_PC vazio ou zero",IF(AND(G4460&lt;&gt;"Sim",G4460&lt;&gt;"Nao",G4460&lt;&gt;""),"PC_PAGO_A_CONTRATADA invalido",IF(AND(C4460&lt;&gt;"C0",IFERROR(INDEX(parametros!$A$2:$A$6,MATCH(C4460,parametros!$B$2:$B$6,0)),"")="Sim",IFERROR(INDEX(parametros!$H$2:$H$6,MATCH(C4460,parametros!$B$2:$B$6,0)),"")=""),"INICIO_EFEITO ausente: PC "&amp;A4460&amp;" - "&amp;C4460,IF(L4460="","EFEITO_PC nao calculado: PC "&amp;A4460&amp;" - "&amp;C4460,"OK")))))))))</f>
        <v/>
      </c>
      <c r="L4460" s="92" t="str">
        <f>IF(AND(A4460="",B4460="",D4460="",G4460=""),"",IF(OR(B4460="",NOT(ISNUMBER(B4460)),C4460="",C4460="Fora dos ciclos"),"",IF(C4460="C0","Nao",IF(IFERROR(INDEX(parametros!$A$2:$A$6,MATCH(C4460,parametros!$B$2:$B$6,0)),"")&lt;&gt;"Sim","Nao",IF(IFERROR(INDEX(parametros!$H$2:$H$6,MATCH(C4460,parametros!$B$2:$B$6,0)),"")="","",IF(B4460&gt;=IFERROR(INDEX(parametros!$H$2:$H$6,MATCH(C4460,parametros!$B$2:$B$6,0)),""),"Sim","Nao"))))))</f>
        <v/>
      </c>
      <c r="T4460" s="156"/>
      <c r="U4460" s="214" t="str">
        <f t="shared" si="351"/>
        <v/>
      </c>
      <c r="V4460" s="212" t="s">
        <v>50</v>
      </c>
      <c r="W4460" s="100" t="s">
        <v>168</v>
      </c>
      <c r="X4460" s="100" t="s">
        <v>169</v>
      </c>
      <c r="Y4460" s="101" t="s">
        <v>170</v>
      </c>
      <c r="Z4460" s="101" t="s">
        <v>171</v>
      </c>
      <c r="AA4460" s="101" t="s">
        <v>50</v>
      </c>
      <c r="AB4460" s="101" t="s">
        <v>172</v>
      </c>
      <c r="AC4460" s="102" t="s">
        <v>173</v>
      </c>
    </row>
    <row r="4461" spans="1:29" ht="25.5" customHeight="1" x14ac:dyDescent="0.35">
      <c r="A4461" s="392"/>
      <c r="B4461" s="393"/>
      <c r="C4461" s="99" t="str">
        <f>IF(B4461="","",IF(NOT(ISNUMBER(B4461)),"DATA_PC invalida",IF(NOT(ISNUMBER(parametros!$C$2)),"Fora dos ciclos",IF(OR(B4461&lt;parametros!$C$2,(YEAR(B4461)-YEAR(parametros!$C$2))*12+MONTH(B4461)-MONTH(parametros!$C$2)&gt;59),"Fora dos ciclos","C"&amp;INT(((YEAR(B4461)-YEAR(parametros!$C$2))*12+MONTH(B4461)-MONTH(parametros!$C$2))/12)))))</f>
        <v/>
      </c>
      <c r="D4461" s="394"/>
      <c r="E4461" s="78" t="str">
        <f>IF(C4461="","",IFERROR(VLOOKUP(C4461,parametros!$A$11:$E$15,5,0),""))</f>
        <v/>
      </c>
      <c r="F4461" s="79" t="str">
        <f t="shared" si="347"/>
        <v/>
      </c>
      <c r="G4461" s="395"/>
      <c r="H4461" s="91">
        <f t="shared" si="348"/>
        <v>0</v>
      </c>
      <c r="I4461" s="91" t="str">
        <f t="shared" si="349"/>
        <v/>
      </c>
      <c r="J4461" s="91" t="str">
        <f t="shared" si="350"/>
        <v/>
      </c>
      <c r="K4461" s="92" t="str">
        <f>IF(AND(A4461="",B4461="",D4461="",G4461=""),"",IF(AND(A4461&lt;&gt;"",COUNTIF($A$2:$A$5001,A4461)&gt;1),"NUMERO_PC duplicado",IF(B4461="","DATA_PC vazia",IF(NOT(ISNUMBER(B4461)),"DATA_PC invalida",IF(OR(C4461="",C4461="Fora dos ciclos"),"CICLO_PC nao identificado",IF(OR(D4461="",D4461=0),"VALOR_PC vazio ou zero",IF(AND(G4461&lt;&gt;"Sim",G4461&lt;&gt;"Nao",G4461&lt;&gt;""),"PC_PAGO_A_CONTRATADA invalido",IF(AND(C4461&lt;&gt;"C0",IFERROR(INDEX(parametros!$A$2:$A$6,MATCH(C4461,parametros!$B$2:$B$6,0)),"")="Sim",IFERROR(INDEX(parametros!$H$2:$H$6,MATCH(C4461,parametros!$B$2:$B$6,0)),"")=""),"INICIO_EFEITO ausente: PC "&amp;A4461&amp;" - "&amp;C4461,IF(L4461="","EFEITO_PC nao calculado: PC "&amp;A4461&amp;" - "&amp;C4461,"OK")))))))))</f>
        <v/>
      </c>
      <c r="L4461" s="92" t="str">
        <f>IF(AND(A4461="",B4461="",D4461="",G4461=""),"",IF(OR(B4461="",NOT(ISNUMBER(B4461)),C4461="",C4461="Fora dos ciclos"),"",IF(C4461="C0","Nao",IF(IFERROR(INDEX(parametros!$A$2:$A$6,MATCH(C4461,parametros!$B$2:$B$6,0)),"")&lt;&gt;"Sim","Nao",IF(IFERROR(INDEX(parametros!$H$2:$H$6,MATCH(C4461,parametros!$B$2:$B$6,0)),"")="","",IF(B4461&gt;=IFERROR(INDEX(parametros!$H$2:$H$6,MATCH(C4461,parametros!$B$2:$B$6,0)),""),"Sim","Nao"))))))</f>
        <v/>
      </c>
      <c r="T4461" s="156"/>
      <c r="U4461" s="214" t="str">
        <f t="shared" si="351"/>
        <v/>
      </c>
      <c r="V4461" s="212" t="s">
        <v>50</v>
      </c>
      <c r="W4461" s="100" t="s">
        <v>168</v>
      </c>
      <c r="X4461" s="100" t="s">
        <v>169</v>
      </c>
      <c r="Y4461" s="101" t="s">
        <v>170</v>
      </c>
      <c r="Z4461" s="101" t="s">
        <v>171</v>
      </c>
      <c r="AA4461" s="101" t="s">
        <v>50</v>
      </c>
      <c r="AB4461" s="101" t="s">
        <v>172</v>
      </c>
      <c r="AC4461" s="102" t="s">
        <v>173</v>
      </c>
    </row>
    <row r="4462" spans="1:29" ht="25.5" customHeight="1" x14ac:dyDescent="0.35">
      <c r="A4462" s="392"/>
      <c r="B4462" s="393"/>
      <c r="C4462" s="99" t="str">
        <f>IF(B4462="","",IF(NOT(ISNUMBER(B4462)),"DATA_PC invalida",IF(NOT(ISNUMBER(parametros!$C$2)),"Fora dos ciclos",IF(OR(B4462&lt;parametros!$C$2,(YEAR(B4462)-YEAR(parametros!$C$2))*12+MONTH(B4462)-MONTH(parametros!$C$2)&gt;59),"Fora dos ciclos","C"&amp;INT(((YEAR(B4462)-YEAR(parametros!$C$2))*12+MONTH(B4462)-MONTH(parametros!$C$2))/12)))))</f>
        <v/>
      </c>
      <c r="D4462" s="394"/>
      <c r="E4462" s="78" t="str">
        <f>IF(C4462="","",IFERROR(VLOOKUP(C4462,parametros!$A$11:$E$15,5,0),""))</f>
        <v/>
      </c>
      <c r="F4462" s="79" t="str">
        <f t="shared" si="347"/>
        <v/>
      </c>
      <c r="G4462" s="395"/>
      <c r="H4462" s="91">
        <f t="shared" si="348"/>
        <v>0</v>
      </c>
      <c r="I4462" s="91" t="str">
        <f t="shared" si="349"/>
        <v/>
      </c>
      <c r="J4462" s="91" t="str">
        <f t="shared" si="350"/>
        <v/>
      </c>
      <c r="K4462" s="92" t="str">
        <f>IF(AND(A4462="",B4462="",D4462="",G4462=""),"",IF(AND(A4462&lt;&gt;"",COUNTIF($A$2:$A$5001,A4462)&gt;1),"NUMERO_PC duplicado",IF(B4462="","DATA_PC vazia",IF(NOT(ISNUMBER(B4462)),"DATA_PC invalida",IF(OR(C4462="",C4462="Fora dos ciclos"),"CICLO_PC nao identificado",IF(OR(D4462="",D4462=0),"VALOR_PC vazio ou zero",IF(AND(G4462&lt;&gt;"Sim",G4462&lt;&gt;"Nao",G4462&lt;&gt;""),"PC_PAGO_A_CONTRATADA invalido",IF(AND(C4462&lt;&gt;"C0",IFERROR(INDEX(parametros!$A$2:$A$6,MATCH(C4462,parametros!$B$2:$B$6,0)),"")="Sim",IFERROR(INDEX(parametros!$H$2:$H$6,MATCH(C4462,parametros!$B$2:$B$6,0)),"")=""),"INICIO_EFEITO ausente: PC "&amp;A4462&amp;" - "&amp;C4462,IF(L4462="","EFEITO_PC nao calculado: PC "&amp;A4462&amp;" - "&amp;C4462,"OK")))))))))</f>
        <v/>
      </c>
      <c r="L4462" s="92" t="str">
        <f>IF(AND(A4462="",B4462="",D4462="",G4462=""),"",IF(OR(B4462="",NOT(ISNUMBER(B4462)),C4462="",C4462="Fora dos ciclos"),"",IF(C4462="C0","Nao",IF(IFERROR(INDEX(parametros!$A$2:$A$6,MATCH(C4462,parametros!$B$2:$B$6,0)),"")&lt;&gt;"Sim","Nao",IF(IFERROR(INDEX(parametros!$H$2:$H$6,MATCH(C4462,parametros!$B$2:$B$6,0)),"")="","",IF(B4462&gt;=IFERROR(INDEX(parametros!$H$2:$H$6,MATCH(C4462,parametros!$B$2:$B$6,0)),""),"Sim","Nao"))))))</f>
        <v/>
      </c>
      <c r="T4462" s="156"/>
      <c r="U4462" s="214" t="str">
        <f t="shared" si="351"/>
        <v/>
      </c>
      <c r="V4462" s="212" t="s">
        <v>50</v>
      </c>
      <c r="W4462" s="100" t="s">
        <v>168</v>
      </c>
      <c r="X4462" s="100" t="s">
        <v>169</v>
      </c>
      <c r="Y4462" s="101" t="s">
        <v>170</v>
      </c>
      <c r="Z4462" s="101" t="s">
        <v>171</v>
      </c>
      <c r="AA4462" s="101" t="s">
        <v>50</v>
      </c>
      <c r="AB4462" s="101" t="s">
        <v>172</v>
      </c>
      <c r="AC4462" s="102" t="s">
        <v>173</v>
      </c>
    </row>
    <row r="4463" spans="1:29" ht="25.5" customHeight="1" x14ac:dyDescent="0.35">
      <c r="A4463" s="392"/>
      <c r="B4463" s="393"/>
      <c r="C4463" s="99" t="str">
        <f>IF(B4463="","",IF(NOT(ISNUMBER(B4463)),"DATA_PC invalida",IF(NOT(ISNUMBER(parametros!$C$2)),"Fora dos ciclos",IF(OR(B4463&lt;parametros!$C$2,(YEAR(B4463)-YEAR(parametros!$C$2))*12+MONTH(B4463)-MONTH(parametros!$C$2)&gt;59),"Fora dos ciclos","C"&amp;INT(((YEAR(B4463)-YEAR(parametros!$C$2))*12+MONTH(B4463)-MONTH(parametros!$C$2))/12)))))</f>
        <v/>
      </c>
      <c r="D4463" s="394"/>
      <c r="E4463" s="78" t="str">
        <f>IF(C4463="","",IFERROR(VLOOKUP(C4463,parametros!$A$11:$E$15,5,0),""))</f>
        <v/>
      </c>
      <c r="F4463" s="79" t="str">
        <f t="shared" si="347"/>
        <v/>
      </c>
      <c r="G4463" s="395"/>
      <c r="H4463" s="91">
        <f t="shared" si="348"/>
        <v>0</v>
      </c>
      <c r="I4463" s="91" t="str">
        <f t="shared" si="349"/>
        <v/>
      </c>
      <c r="J4463" s="91" t="str">
        <f t="shared" si="350"/>
        <v/>
      </c>
      <c r="K4463" s="92" t="str">
        <f>IF(AND(A4463="",B4463="",D4463="",G4463=""),"",IF(AND(A4463&lt;&gt;"",COUNTIF($A$2:$A$5001,A4463)&gt;1),"NUMERO_PC duplicado",IF(B4463="","DATA_PC vazia",IF(NOT(ISNUMBER(B4463)),"DATA_PC invalida",IF(OR(C4463="",C4463="Fora dos ciclos"),"CICLO_PC nao identificado",IF(OR(D4463="",D4463=0),"VALOR_PC vazio ou zero",IF(AND(G4463&lt;&gt;"Sim",G4463&lt;&gt;"Nao",G4463&lt;&gt;""),"PC_PAGO_A_CONTRATADA invalido",IF(AND(C4463&lt;&gt;"C0",IFERROR(INDEX(parametros!$A$2:$A$6,MATCH(C4463,parametros!$B$2:$B$6,0)),"")="Sim",IFERROR(INDEX(parametros!$H$2:$H$6,MATCH(C4463,parametros!$B$2:$B$6,0)),"")=""),"INICIO_EFEITO ausente: PC "&amp;A4463&amp;" - "&amp;C4463,IF(L4463="","EFEITO_PC nao calculado: PC "&amp;A4463&amp;" - "&amp;C4463,"OK")))))))))</f>
        <v/>
      </c>
      <c r="L4463" s="92" t="str">
        <f>IF(AND(A4463="",B4463="",D4463="",G4463=""),"",IF(OR(B4463="",NOT(ISNUMBER(B4463)),C4463="",C4463="Fora dos ciclos"),"",IF(C4463="C0","Nao",IF(IFERROR(INDEX(parametros!$A$2:$A$6,MATCH(C4463,parametros!$B$2:$B$6,0)),"")&lt;&gt;"Sim","Nao",IF(IFERROR(INDEX(parametros!$H$2:$H$6,MATCH(C4463,parametros!$B$2:$B$6,0)),"")="","",IF(B4463&gt;=IFERROR(INDEX(parametros!$H$2:$H$6,MATCH(C4463,parametros!$B$2:$B$6,0)),""),"Sim","Nao"))))))</f>
        <v/>
      </c>
      <c r="T4463" s="156"/>
      <c r="U4463" s="214" t="str">
        <f t="shared" si="351"/>
        <v/>
      </c>
      <c r="V4463" s="212" t="s">
        <v>50</v>
      </c>
      <c r="W4463" s="100" t="s">
        <v>168</v>
      </c>
      <c r="X4463" s="100" t="s">
        <v>169</v>
      </c>
      <c r="Y4463" s="101" t="s">
        <v>170</v>
      </c>
      <c r="Z4463" s="101" t="s">
        <v>171</v>
      </c>
      <c r="AA4463" s="101" t="s">
        <v>50</v>
      </c>
      <c r="AB4463" s="101" t="s">
        <v>172</v>
      </c>
      <c r="AC4463" s="102" t="s">
        <v>173</v>
      </c>
    </row>
    <row r="4464" spans="1:29" ht="25.5" customHeight="1" x14ac:dyDescent="0.35">
      <c r="A4464" s="392"/>
      <c r="B4464" s="393"/>
      <c r="C4464" s="99" t="str">
        <f>IF(B4464="","",IF(NOT(ISNUMBER(B4464)),"DATA_PC invalida",IF(NOT(ISNUMBER(parametros!$C$2)),"Fora dos ciclos",IF(OR(B4464&lt;parametros!$C$2,(YEAR(B4464)-YEAR(parametros!$C$2))*12+MONTH(B4464)-MONTH(parametros!$C$2)&gt;59),"Fora dos ciclos","C"&amp;INT(((YEAR(B4464)-YEAR(parametros!$C$2))*12+MONTH(B4464)-MONTH(parametros!$C$2))/12)))))</f>
        <v/>
      </c>
      <c r="D4464" s="394"/>
      <c r="E4464" s="78" t="str">
        <f>IF(C4464="","",IFERROR(VLOOKUP(C4464,parametros!$A$11:$E$15,5,0),""))</f>
        <v/>
      </c>
      <c r="F4464" s="79" t="str">
        <f t="shared" si="347"/>
        <v/>
      </c>
      <c r="G4464" s="395"/>
      <c r="H4464" s="91">
        <f t="shared" si="348"/>
        <v>0</v>
      </c>
      <c r="I4464" s="91" t="str">
        <f t="shared" si="349"/>
        <v/>
      </c>
      <c r="J4464" s="91" t="str">
        <f t="shared" si="350"/>
        <v/>
      </c>
      <c r="K4464" s="92" t="str">
        <f>IF(AND(A4464="",B4464="",D4464="",G4464=""),"",IF(AND(A4464&lt;&gt;"",COUNTIF($A$2:$A$5001,A4464)&gt;1),"NUMERO_PC duplicado",IF(B4464="","DATA_PC vazia",IF(NOT(ISNUMBER(B4464)),"DATA_PC invalida",IF(OR(C4464="",C4464="Fora dos ciclos"),"CICLO_PC nao identificado",IF(OR(D4464="",D4464=0),"VALOR_PC vazio ou zero",IF(AND(G4464&lt;&gt;"Sim",G4464&lt;&gt;"Nao",G4464&lt;&gt;""),"PC_PAGO_A_CONTRATADA invalido",IF(AND(C4464&lt;&gt;"C0",IFERROR(INDEX(parametros!$A$2:$A$6,MATCH(C4464,parametros!$B$2:$B$6,0)),"")="Sim",IFERROR(INDEX(parametros!$H$2:$H$6,MATCH(C4464,parametros!$B$2:$B$6,0)),"")=""),"INICIO_EFEITO ausente: PC "&amp;A4464&amp;" - "&amp;C4464,IF(L4464="","EFEITO_PC nao calculado: PC "&amp;A4464&amp;" - "&amp;C4464,"OK")))))))))</f>
        <v/>
      </c>
      <c r="L4464" s="92" t="str">
        <f>IF(AND(A4464="",B4464="",D4464="",G4464=""),"",IF(OR(B4464="",NOT(ISNUMBER(B4464)),C4464="",C4464="Fora dos ciclos"),"",IF(C4464="C0","Nao",IF(IFERROR(INDEX(parametros!$A$2:$A$6,MATCH(C4464,parametros!$B$2:$B$6,0)),"")&lt;&gt;"Sim","Nao",IF(IFERROR(INDEX(parametros!$H$2:$H$6,MATCH(C4464,parametros!$B$2:$B$6,0)),"")="","",IF(B4464&gt;=IFERROR(INDEX(parametros!$H$2:$H$6,MATCH(C4464,parametros!$B$2:$B$6,0)),""),"Sim","Nao"))))))</f>
        <v/>
      </c>
      <c r="T4464" s="156"/>
      <c r="U4464" s="214" t="str">
        <f t="shared" si="351"/>
        <v/>
      </c>
      <c r="V4464" s="212" t="s">
        <v>50</v>
      </c>
      <c r="W4464" s="100" t="s">
        <v>168</v>
      </c>
      <c r="X4464" s="100" t="s">
        <v>169</v>
      </c>
      <c r="Y4464" s="101" t="s">
        <v>170</v>
      </c>
      <c r="Z4464" s="101" t="s">
        <v>171</v>
      </c>
      <c r="AA4464" s="101" t="s">
        <v>50</v>
      </c>
      <c r="AB4464" s="101" t="s">
        <v>172</v>
      </c>
      <c r="AC4464" s="102" t="s">
        <v>173</v>
      </c>
    </row>
    <row r="4465" spans="1:29" ht="25.5" customHeight="1" x14ac:dyDescent="0.35">
      <c r="A4465" s="392"/>
      <c r="B4465" s="393"/>
      <c r="C4465" s="99" t="str">
        <f>IF(B4465="","",IF(NOT(ISNUMBER(B4465)),"DATA_PC invalida",IF(NOT(ISNUMBER(parametros!$C$2)),"Fora dos ciclos",IF(OR(B4465&lt;parametros!$C$2,(YEAR(B4465)-YEAR(parametros!$C$2))*12+MONTH(B4465)-MONTH(parametros!$C$2)&gt;59),"Fora dos ciclos","C"&amp;INT(((YEAR(B4465)-YEAR(parametros!$C$2))*12+MONTH(B4465)-MONTH(parametros!$C$2))/12)))))</f>
        <v/>
      </c>
      <c r="D4465" s="394"/>
      <c r="E4465" s="78" t="str">
        <f>IF(C4465="","",IFERROR(VLOOKUP(C4465,parametros!$A$11:$E$15,5,0),""))</f>
        <v/>
      </c>
      <c r="F4465" s="79" t="str">
        <f t="shared" si="347"/>
        <v/>
      </c>
      <c r="G4465" s="395"/>
      <c r="H4465" s="91">
        <f t="shared" si="348"/>
        <v>0</v>
      </c>
      <c r="I4465" s="91" t="str">
        <f t="shared" si="349"/>
        <v/>
      </c>
      <c r="J4465" s="91" t="str">
        <f t="shared" si="350"/>
        <v/>
      </c>
      <c r="K4465" s="92" t="str">
        <f>IF(AND(A4465="",B4465="",D4465="",G4465=""),"",IF(AND(A4465&lt;&gt;"",COUNTIF($A$2:$A$5001,A4465)&gt;1),"NUMERO_PC duplicado",IF(B4465="","DATA_PC vazia",IF(NOT(ISNUMBER(B4465)),"DATA_PC invalida",IF(OR(C4465="",C4465="Fora dos ciclos"),"CICLO_PC nao identificado",IF(OR(D4465="",D4465=0),"VALOR_PC vazio ou zero",IF(AND(G4465&lt;&gt;"Sim",G4465&lt;&gt;"Nao",G4465&lt;&gt;""),"PC_PAGO_A_CONTRATADA invalido",IF(AND(C4465&lt;&gt;"C0",IFERROR(INDEX(parametros!$A$2:$A$6,MATCH(C4465,parametros!$B$2:$B$6,0)),"")="Sim",IFERROR(INDEX(parametros!$H$2:$H$6,MATCH(C4465,parametros!$B$2:$B$6,0)),"")=""),"INICIO_EFEITO ausente: PC "&amp;A4465&amp;" - "&amp;C4465,IF(L4465="","EFEITO_PC nao calculado: PC "&amp;A4465&amp;" - "&amp;C4465,"OK")))))))))</f>
        <v/>
      </c>
      <c r="L4465" s="92" t="str">
        <f>IF(AND(A4465="",B4465="",D4465="",G4465=""),"",IF(OR(B4465="",NOT(ISNUMBER(B4465)),C4465="",C4465="Fora dos ciclos"),"",IF(C4465="C0","Nao",IF(IFERROR(INDEX(parametros!$A$2:$A$6,MATCH(C4465,parametros!$B$2:$B$6,0)),"")&lt;&gt;"Sim","Nao",IF(IFERROR(INDEX(parametros!$H$2:$H$6,MATCH(C4465,parametros!$B$2:$B$6,0)),"")="","",IF(B4465&gt;=IFERROR(INDEX(parametros!$H$2:$H$6,MATCH(C4465,parametros!$B$2:$B$6,0)),""),"Sim","Nao"))))))</f>
        <v/>
      </c>
      <c r="T4465" s="156"/>
      <c r="U4465" s="214" t="str">
        <f t="shared" si="351"/>
        <v/>
      </c>
      <c r="V4465" s="212" t="s">
        <v>50</v>
      </c>
      <c r="W4465" s="100" t="s">
        <v>168</v>
      </c>
      <c r="X4465" s="100" t="s">
        <v>169</v>
      </c>
      <c r="Y4465" s="101" t="s">
        <v>170</v>
      </c>
      <c r="Z4465" s="101" t="s">
        <v>171</v>
      </c>
      <c r="AA4465" s="101" t="s">
        <v>50</v>
      </c>
      <c r="AB4465" s="101" t="s">
        <v>172</v>
      </c>
      <c r="AC4465" s="102" t="s">
        <v>173</v>
      </c>
    </row>
    <row r="4466" spans="1:29" ht="25.5" customHeight="1" x14ac:dyDescent="0.35">
      <c r="A4466" s="392"/>
      <c r="B4466" s="393"/>
      <c r="C4466" s="99" t="str">
        <f>IF(B4466="","",IF(NOT(ISNUMBER(B4466)),"DATA_PC invalida",IF(NOT(ISNUMBER(parametros!$C$2)),"Fora dos ciclos",IF(OR(B4466&lt;parametros!$C$2,(YEAR(B4466)-YEAR(parametros!$C$2))*12+MONTH(B4466)-MONTH(parametros!$C$2)&gt;59),"Fora dos ciclos","C"&amp;INT(((YEAR(B4466)-YEAR(parametros!$C$2))*12+MONTH(B4466)-MONTH(parametros!$C$2))/12)))))</f>
        <v/>
      </c>
      <c r="D4466" s="394"/>
      <c r="E4466" s="78" t="str">
        <f>IF(C4466="","",IFERROR(VLOOKUP(C4466,parametros!$A$11:$E$15,5,0),""))</f>
        <v/>
      </c>
      <c r="F4466" s="79" t="str">
        <f t="shared" si="347"/>
        <v/>
      </c>
      <c r="G4466" s="395"/>
      <c r="H4466" s="91">
        <f t="shared" si="348"/>
        <v>0</v>
      </c>
      <c r="I4466" s="91" t="str">
        <f t="shared" si="349"/>
        <v/>
      </c>
      <c r="J4466" s="91" t="str">
        <f t="shared" si="350"/>
        <v/>
      </c>
      <c r="K4466" s="92" t="str">
        <f>IF(AND(A4466="",B4466="",D4466="",G4466=""),"",IF(AND(A4466&lt;&gt;"",COUNTIF($A$2:$A$5001,A4466)&gt;1),"NUMERO_PC duplicado",IF(B4466="","DATA_PC vazia",IF(NOT(ISNUMBER(B4466)),"DATA_PC invalida",IF(OR(C4466="",C4466="Fora dos ciclos"),"CICLO_PC nao identificado",IF(OR(D4466="",D4466=0),"VALOR_PC vazio ou zero",IF(AND(G4466&lt;&gt;"Sim",G4466&lt;&gt;"Nao",G4466&lt;&gt;""),"PC_PAGO_A_CONTRATADA invalido",IF(AND(C4466&lt;&gt;"C0",IFERROR(INDEX(parametros!$A$2:$A$6,MATCH(C4466,parametros!$B$2:$B$6,0)),"")="Sim",IFERROR(INDEX(parametros!$H$2:$H$6,MATCH(C4466,parametros!$B$2:$B$6,0)),"")=""),"INICIO_EFEITO ausente: PC "&amp;A4466&amp;" - "&amp;C4466,IF(L4466="","EFEITO_PC nao calculado: PC "&amp;A4466&amp;" - "&amp;C4466,"OK")))))))))</f>
        <v/>
      </c>
      <c r="L4466" s="92" t="str">
        <f>IF(AND(A4466="",B4466="",D4466="",G4466=""),"",IF(OR(B4466="",NOT(ISNUMBER(B4466)),C4466="",C4466="Fora dos ciclos"),"",IF(C4466="C0","Nao",IF(IFERROR(INDEX(parametros!$A$2:$A$6,MATCH(C4466,parametros!$B$2:$B$6,0)),"")&lt;&gt;"Sim","Nao",IF(IFERROR(INDEX(parametros!$H$2:$H$6,MATCH(C4466,parametros!$B$2:$B$6,0)),"")="","",IF(B4466&gt;=IFERROR(INDEX(parametros!$H$2:$H$6,MATCH(C4466,parametros!$B$2:$B$6,0)),""),"Sim","Nao"))))))</f>
        <v/>
      </c>
      <c r="T4466" s="156"/>
      <c r="U4466" s="214" t="str">
        <f t="shared" si="351"/>
        <v/>
      </c>
      <c r="V4466" s="212" t="s">
        <v>50</v>
      </c>
      <c r="W4466" s="100" t="s">
        <v>168</v>
      </c>
      <c r="X4466" s="100" t="s">
        <v>169</v>
      </c>
      <c r="Y4466" s="101" t="s">
        <v>170</v>
      </c>
      <c r="Z4466" s="101" t="s">
        <v>171</v>
      </c>
      <c r="AA4466" s="101" t="s">
        <v>50</v>
      </c>
      <c r="AB4466" s="101" t="s">
        <v>172</v>
      </c>
      <c r="AC4466" s="102" t="s">
        <v>173</v>
      </c>
    </row>
    <row r="4467" spans="1:29" ht="25.5" customHeight="1" x14ac:dyDescent="0.35">
      <c r="A4467" s="392"/>
      <c r="B4467" s="393"/>
      <c r="C4467" s="99" t="str">
        <f>IF(B4467="","",IF(NOT(ISNUMBER(B4467)),"DATA_PC invalida",IF(NOT(ISNUMBER(parametros!$C$2)),"Fora dos ciclos",IF(OR(B4467&lt;parametros!$C$2,(YEAR(B4467)-YEAR(parametros!$C$2))*12+MONTH(B4467)-MONTH(parametros!$C$2)&gt;59),"Fora dos ciclos","C"&amp;INT(((YEAR(B4467)-YEAR(parametros!$C$2))*12+MONTH(B4467)-MONTH(parametros!$C$2))/12)))))</f>
        <v/>
      </c>
      <c r="D4467" s="394"/>
      <c r="E4467" s="78" t="str">
        <f>IF(C4467="","",IFERROR(VLOOKUP(C4467,parametros!$A$11:$E$15,5,0),""))</f>
        <v/>
      </c>
      <c r="F4467" s="79" t="str">
        <f t="shared" si="347"/>
        <v/>
      </c>
      <c r="G4467" s="395"/>
      <c r="H4467" s="91">
        <f t="shared" si="348"/>
        <v>0</v>
      </c>
      <c r="I4467" s="91" t="str">
        <f t="shared" si="349"/>
        <v/>
      </c>
      <c r="J4467" s="91" t="str">
        <f t="shared" si="350"/>
        <v/>
      </c>
      <c r="K4467" s="92" t="str">
        <f>IF(AND(A4467="",B4467="",D4467="",G4467=""),"",IF(AND(A4467&lt;&gt;"",COUNTIF($A$2:$A$5001,A4467)&gt;1),"NUMERO_PC duplicado",IF(B4467="","DATA_PC vazia",IF(NOT(ISNUMBER(B4467)),"DATA_PC invalida",IF(OR(C4467="",C4467="Fora dos ciclos"),"CICLO_PC nao identificado",IF(OR(D4467="",D4467=0),"VALOR_PC vazio ou zero",IF(AND(G4467&lt;&gt;"Sim",G4467&lt;&gt;"Nao",G4467&lt;&gt;""),"PC_PAGO_A_CONTRATADA invalido",IF(AND(C4467&lt;&gt;"C0",IFERROR(INDEX(parametros!$A$2:$A$6,MATCH(C4467,parametros!$B$2:$B$6,0)),"")="Sim",IFERROR(INDEX(parametros!$H$2:$H$6,MATCH(C4467,parametros!$B$2:$B$6,0)),"")=""),"INICIO_EFEITO ausente: PC "&amp;A4467&amp;" - "&amp;C4467,IF(L4467="","EFEITO_PC nao calculado: PC "&amp;A4467&amp;" - "&amp;C4467,"OK")))))))))</f>
        <v/>
      </c>
      <c r="L4467" s="92" t="str">
        <f>IF(AND(A4467="",B4467="",D4467="",G4467=""),"",IF(OR(B4467="",NOT(ISNUMBER(B4467)),C4467="",C4467="Fora dos ciclos"),"",IF(C4467="C0","Nao",IF(IFERROR(INDEX(parametros!$A$2:$A$6,MATCH(C4467,parametros!$B$2:$B$6,0)),"")&lt;&gt;"Sim","Nao",IF(IFERROR(INDEX(parametros!$H$2:$H$6,MATCH(C4467,parametros!$B$2:$B$6,0)),"")="","",IF(B4467&gt;=IFERROR(INDEX(parametros!$H$2:$H$6,MATCH(C4467,parametros!$B$2:$B$6,0)),""),"Sim","Nao"))))))</f>
        <v/>
      </c>
      <c r="T4467" s="156"/>
      <c r="U4467" s="214" t="str">
        <f t="shared" si="351"/>
        <v/>
      </c>
      <c r="V4467" s="212" t="s">
        <v>50</v>
      </c>
      <c r="W4467" s="100" t="s">
        <v>168</v>
      </c>
      <c r="X4467" s="100" t="s">
        <v>169</v>
      </c>
      <c r="Y4467" s="101" t="s">
        <v>170</v>
      </c>
      <c r="Z4467" s="101" t="s">
        <v>171</v>
      </c>
      <c r="AA4467" s="101" t="s">
        <v>50</v>
      </c>
      <c r="AB4467" s="101" t="s">
        <v>172</v>
      </c>
      <c r="AC4467" s="102" t="s">
        <v>173</v>
      </c>
    </row>
    <row r="4468" spans="1:29" ht="25.5" customHeight="1" x14ac:dyDescent="0.35">
      <c r="A4468" s="392"/>
      <c r="B4468" s="393"/>
      <c r="C4468" s="99" t="str">
        <f>IF(B4468="","",IF(NOT(ISNUMBER(B4468)),"DATA_PC invalida",IF(NOT(ISNUMBER(parametros!$C$2)),"Fora dos ciclos",IF(OR(B4468&lt;parametros!$C$2,(YEAR(B4468)-YEAR(parametros!$C$2))*12+MONTH(B4468)-MONTH(parametros!$C$2)&gt;59),"Fora dos ciclos","C"&amp;INT(((YEAR(B4468)-YEAR(parametros!$C$2))*12+MONTH(B4468)-MONTH(parametros!$C$2))/12)))))</f>
        <v/>
      </c>
      <c r="D4468" s="394"/>
      <c r="E4468" s="78" t="str">
        <f>IF(C4468="","",IFERROR(VLOOKUP(C4468,parametros!$A$11:$E$15,5,0),""))</f>
        <v/>
      </c>
      <c r="F4468" s="79" t="str">
        <f t="shared" si="347"/>
        <v/>
      </c>
      <c r="G4468" s="395"/>
      <c r="H4468" s="91">
        <f t="shared" si="348"/>
        <v>0</v>
      </c>
      <c r="I4468" s="91" t="str">
        <f t="shared" si="349"/>
        <v/>
      </c>
      <c r="J4468" s="91" t="str">
        <f t="shared" si="350"/>
        <v/>
      </c>
      <c r="K4468" s="92" t="str">
        <f>IF(AND(A4468="",B4468="",D4468="",G4468=""),"",IF(AND(A4468&lt;&gt;"",COUNTIF($A$2:$A$5001,A4468)&gt;1),"NUMERO_PC duplicado",IF(B4468="","DATA_PC vazia",IF(NOT(ISNUMBER(B4468)),"DATA_PC invalida",IF(OR(C4468="",C4468="Fora dos ciclos"),"CICLO_PC nao identificado",IF(OR(D4468="",D4468=0),"VALOR_PC vazio ou zero",IF(AND(G4468&lt;&gt;"Sim",G4468&lt;&gt;"Nao",G4468&lt;&gt;""),"PC_PAGO_A_CONTRATADA invalido",IF(AND(C4468&lt;&gt;"C0",IFERROR(INDEX(parametros!$A$2:$A$6,MATCH(C4468,parametros!$B$2:$B$6,0)),"")="Sim",IFERROR(INDEX(parametros!$H$2:$H$6,MATCH(C4468,parametros!$B$2:$B$6,0)),"")=""),"INICIO_EFEITO ausente: PC "&amp;A4468&amp;" - "&amp;C4468,IF(L4468="","EFEITO_PC nao calculado: PC "&amp;A4468&amp;" - "&amp;C4468,"OK")))))))))</f>
        <v/>
      </c>
      <c r="L4468" s="92" t="str">
        <f>IF(AND(A4468="",B4468="",D4468="",G4468=""),"",IF(OR(B4468="",NOT(ISNUMBER(B4468)),C4468="",C4468="Fora dos ciclos"),"",IF(C4468="C0","Nao",IF(IFERROR(INDEX(parametros!$A$2:$A$6,MATCH(C4468,parametros!$B$2:$B$6,0)),"")&lt;&gt;"Sim","Nao",IF(IFERROR(INDEX(parametros!$H$2:$H$6,MATCH(C4468,parametros!$B$2:$B$6,0)),"")="","",IF(B4468&gt;=IFERROR(INDEX(parametros!$H$2:$H$6,MATCH(C4468,parametros!$B$2:$B$6,0)),""),"Sim","Nao"))))))</f>
        <v/>
      </c>
      <c r="T4468" s="156"/>
      <c r="U4468" s="214" t="str">
        <f t="shared" si="351"/>
        <v/>
      </c>
      <c r="V4468" s="212" t="s">
        <v>50</v>
      </c>
      <c r="W4468" s="100" t="s">
        <v>168</v>
      </c>
      <c r="X4468" s="100" t="s">
        <v>169</v>
      </c>
      <c r="Y4468" s="101" t="s">
        <v>170</v>
      </c>
      <c r="Z4468" s="101" t="s">
        <v>171</v>
      </c>
      <c r="AA4468" s="101" t="s">
        <v>50</v>
      </c>
      <c r="AB4468" s="101" t="s">
        <v>172</v>
      </c>
      <c r="AC4468" s="102" t="s">
        <v>173</v>
      </c>
    </row>
    <row r="4469" spans="1:29" ht="25.5" customHeight="1" x14ac:dyDescent="0.35">
      <c r="A4469" s="392"/>
      <c r="B4469" s="393"/>
      <c r="C4469" s="99" t="str">
        <f>IF(B4469="","",IF(NOT(ISNUMBER(B4469)),"DATA_PC invalida",IF(NOT(ISNUMBER(parametros!$C$2)),"Fora dos ciclos",IF(OR(B4469&lt;parametros!$C$2,(YEAR(B4469)-YEAR(parametros!$C$2))*12+MONTH(B4469)-MONTH(parametros!$C$2)&gt;59),"Fora dos ciclos","C"&amp;INT(((YEAR(B4469)-YEAR(parametros!$C$2))*12+MONTH(B4469)-MONTH(parametros!$C$2))/12)))))</f>
        <v/>
      </c>
      <c r="D4469" s="394"/>
      <c r="E4469" s="78" t="str">
        <f>IF(C4469="","",IFERROR(VLOOKUP(C4469,parametros!$A$11:$E$15,5,0),""))</f>
        <v/>
      </c>
      <c r="F4469" s="79" t="str">
        <f t="shared" si="347"/>
        <v/>
      </c>
      <c r="G4469" s="395"/>
      <c r="H4469" s="91">
        <f t="shared" si="348"/>
        <v>0</v>
      </c>
      <c r="I4469" s="91" t="str">
        <f t="shared" si="349"/>
        <v/>
      </c>
      <c r="J4469" s="91" t="str">
        <f t="shared" si="350"/>
        <v/>
      </c>
      <c r="K4469" s="92" t="str">
        <f>IF(AND(A4469="",B4469="",D4469="",G4469=""),"",IF(AND(A4469&lt;&gt;"",COUNTIF($A$2:$A$5001,A4469)&gt;1),"NUMERO_PC duplicado",IF(B4469="","DATA_PC vazia",IF(NOT(ISNUMBER(B4469)),"DATA_PC invalida",IF(OR(C4469="",C4469="Fora dos ciclos"),"CICLO_PC nao identificado",IF(OR(D4469="",D4469=0),"VALOR_PC vazio ou zero",IF(AND(G4469&lt;&gt;"Sim",G4469&lt;&gt;"Nao",G4469&lt;&gt;""),"PC_PAGO_A_CONTRATADA invalido",IF(AND(C4469&lt;&gt;"C0",IFERROR(INDEX(parametros!$A$2:$A$6,MATCH(C4469,parametros!$B$2:$B$6,0)),"")="Sim",IFERROR(INDEX(parametros!$H$2:$H$6,MATCH(C4469,parametros!$B$2:$B$6,0)),"")=""),"INICIO_EFEITO ausente: PC "&amp;A4469&amp;" - "&amp;C4469,IF(L4469="","EFEITO_PC nao calculado: PC "&amp;A4469&amp;" - "&amp;C4469,"OK")))))))))</f>
        <v/>
      </c>
      <c r="L4469" s="92" t="str">
        <f>IF(AND(A4469="",B4469="",D4469="",G4469=""),"",IF(OR(B4469="",NOT(ISNUMBER(B4469)),C4469="",C4469="Fora dos ciclos"),"",IF(C4469="C0","Nao",IF(IFERROR(INDEX(parametros!$A$2:$A$6,MATCH(C4469,parametros!$B$2:$B$6,0)),"")&lt;&gt;"Sim","Nao",IF(IFERROR(INDEX(parametros!$H$2:$H$6,MATCH(C4469,parametros!$B$2:$B$6,0)),"")="","",IF(B4469&gt;=IFERROR(INDEX(parametros!$H$2:$H$6,MATCH(C4469,parametros!$B$2:$B$6,0)),""),"Sim","Nao"))))))</f>
        <v/>
      </c>
      <c r="T4469" s="156"/>
      <c r="U4469" s="214" t="str">
        <f t="shared" si="351"/>
        <v/>
      </c>
      <c r="V4469" s="212" t="s">
        <v>50</v>
      </c>
      <c r="W4469" s="100" t="s">
        <v>168</v>
      </c>
      <c r="X4469" s="100" t="s">
        <v>169</v>
      </c>
      <c r="Y4469" s="101" t="s">
        <v>170</v>
      </c>
      <c r="Z4469" s="101" t="s">
        <v>171</v>
      </c>
      <c r="AA4469" s="101" t="s">
        <v>50</v>
      </c>
      <c r="AB4469" s="101" t="s">
        <v>172</v>
      </c>
      <c r="AC4469" s="102" t="s">
        <v>173</v>
      </c>
    </row>
    <row r="4470" spans="1:29" ht="25.5" customHeight="1" x14ac:dyDescent="0.35">
      <c r="A4470" s="392"/>
      <c r="B4470" s="393"/>
      <c r="C4470" s="99" t="str">
        <f>IF(B4470="","",IF(NOT(ISNUMBER(B4470)),"DATA_PC invalida",IF(NOT(ISNUMBER(parametros!$C$2)),"Fora dos ciclos",IF(OR(B4470&lt;parametros!$C$2,(YEAR(B4470)-YEAR(parametros!$C$2))*12+MONTH(B4470)-MONTH(parametros!$C$2)&gt;59),"Fora dos ciclos","C"&amp;INT(((YEAR(B4470)-YEAR(parametros!$C$2))*12+MONTH(B4470)-MONTH(parametros!$C$2))/12)))))</f>
        <v/>
      </c>
      <c r="D4470" s="394"/>
      <c r="E4470" s="78" t="str">
        <f>IF(C4470="","",IFERROR(VLOOKUP(C4470,parametros!$A$11:$E$15,5,0),""))</f>
        <v/>
      </c>
      <c r="F4470" s="79" t="str">
        <f t="shared" si="347"/>
        <v/>
      </c>
      <c r="G4470" s="395"/>
      <c r="H4470" s="91">
        <f t="shared" si="348"/>
        <v>0</v>
      </c>
      <c r="I4470" s="91" t="str">
        <f t="shared" si="349"/>
        <v/>
      </c>
      <c r="J4470" s="91" t="str">
        <f t="shared" si="350"/>
        <v/>
      </c>
      <c r="K4470" s="92" t="str">
        <f>IF(AND(A4470="",B4470="",D4470="",G4470=""),"",IF(AND(A4470&lt;&gt;"",COUNTIF($A$2:$A$5001,A4470)&gt;1),"NUMERO_PC duplicado",IF(B4470="","DATA_PC vazia",IF(NOT(ISNUMBER(B4470)),"DATA_PC invalida",IF(OR(C4470="",C4470="Fora dos ciclos"),"CICLO_PC nao identificado",IF(OR(D4470="",D4470=0),"VALOR_PC vazio ou zero",IF(AND(G4470&lt;&gt;"Sim",G4470&lt;&gt;"Nao",G4470&lt;&gt;""),"PC_PAGO_A_CONTRATADA invalido",IF(AND(C4470&lt;&gt;"C0",IFERROR(INDEX(parametros!$A$2:$A$6,MATCH(C4470,parametros!$B$2:$B$6,0)),"")="Sim",IFERROR(INDEX(parametros!$H$2:$H$6,MATCH(C4470,parametros!$B$2:$B$6,0)),"")=""),"INICIO_EFEITO ausente: PC "&amp;A4470&amp;" - "&amp;C4470,IF(L4470="","EFEITO_PC nao calculado: PC "&amp;A4470&amp;" - "&amp;C4470,"OK")))))))))</f>
        <v/>
      </c>
      <c r="L4470" s="92" t="str">
        <f>IF(AND(A4470="",B4470="",D4470="",G4470=""),"",IF(OR(B4470="",NOT(ISNUMBER(B4470)),C4470="",C4470="Fora dos ciclos"),"",IF(C4470="C0","Nao",IF(IFERROR(INDEX(parametros!$A$2:$A$6,MATCH(C4470,parametros!$B$2:$B$6,0)),"")&lt;&gt;"Sim","Nao",IF(IFERROR(INDEX(parametros!$H$2:$H$6,MATCH(C4470,parametros!$B$2:$B$6,0)),"")="","",IF(B4470&gt;=IFERROR(INDEX(parametros!$H$2:$H$6,MATCH(C4470,parametros!$B$2:$B$6,0)),""),"Sim","Nao"))))))</f>
        <v/>
      </c>
      <c r="T4470" s="156"/>
      <c r="U4470" s="214" t="str">
        <f t="shared" si="351"/>
        <v/>
      </c>
      <c r="V4470" s="212" t="s">
        <v>50</v>
      </c>
      <c r="W4470" s="100" t="s">
        <v>168</v>
      </c>
      <c r="X4470" s="100" t="s">
        <v>169</v>
      </c>
      <c r="Y4470" s="101" t="s">
        <v>170</v>
      </c>
      <c r="Z4470" s="101" t="s">
        <v>171</v>
      </c>
      <c r="AA4470" s="101" t="s">
        <v>50</v>
      </c>
      <c r="AB4470" s="101" t="s">
        <v>172</v>
      </c>
      <c r="AC4470" s="102" t="s">
        <v>173</v>
      </c>
    </row>
    <row r="4471" spans="1:29" ht="25.5" customHeight="1" x14ac:dyDescent="0.35">
      <c r="A4471" s="392"/>
      <c r="B4471" s="393"/>
      <c r="C4471" s="99" t="str">
        <f>IF(B4471="","",IF(NOT(ISNUMBER(B4471)),"DATA_PC invalida",IF(NOT(ISNUMBER(parametros!$C$2)),"Fora dos ciclos",IF(OR(B4471&lt;parametros!$C$2,(YEAR(B4471)-YEAR(parametros!$C$2))*12+MONTH(B4471)-MONTH(parametros!$C$2)&gt;59),"Fora dos ciclos","C"&amp;INT(((YEAR(B4471)-YEAR(parametros!$C$2))*12+MONTH(B4471)-MONTH(parametros!$C$2))/12)))))</f>
        <v/>
      </c>
      <c r="D4471" s="394"/>
      <c r="E4471" s="78" t="str">
        <f>IF(C4471="","",IFERROR(VLOOKUP(C4471,parametros!$A$11:$E$15,5,0),""))</f>
        <v/>
      </c>
      <c r="F4471" s="79" t="str">
        <f t="shared" si="347"/>
        <v/>
      </c>
      <c r="G4471" s="395"/>
      <c r="H4471" s="91">
        <f t="shared" si="348"/>
        <v>0</v>
      </c>
      <c r="I4471" s="91" t="str">
        <f t="shared" si="349"/>
        <v/>
      </c>
      <c r="J4471" s="91" t="str">
        <f t="shared" si="350"/>
        <v/>
      </c>
      <c r="K4471" s="92" t="str">
        <f>IF(AND(A4471="",B4471="",D4471="",G4471=""),"",IF(AND(A4471&lt;&gt;"",COUNTIF($A$2:$A$5001,A4471)&gt;1),"NUMERO_PC duplicado",IF(B4471="","DATA_PC vazia",IF(NOT(ISNUMBER(B4471)),"DATA_PC invalida",IF(OR(C4471="",C4471="Fora dos ciclos"),"CICLO_PC nao identificado",IF(OR(D4471="",D4471=0),"VALOR_PC vazio ou zero",IF(AND(G4471&lt;&gt;"Sim",G4471&lt;&gt;"Nao",G4471&lt;&gt;""),"PC_PAGO_A_CONTRATADA invalido",IF(AND(C4471&lt;&gt;"C0",IFERROR(INDEX(parametros!$A$2:$A$6,MATCH(C4471,parametros!$B$2:$B$6,0)),"")="Sim",IFERROR(INDEX(parametros!$H$2:$H$6,MATCH(C4471,parametros!$B$2:$B$6,0)),"")=""),"INICIO_EFEITO ausente: PC "&amp;A4471&amp;" - "&amp;C4471,IF(L4471="","EFEITO_PC nao calculado: PC "&amp;A4471&amp;" - "&amp;C4471,"OK")))))))))</f>
        <v/>
      </c>
      <c r="L4471" s="92" t="str">
        <f>IF(AND(A4471="",B4471="",D4471="",G4471=""),"",IF(OR(B4471="",NOT(ISNUMBER(B4471)),C4471="",C4471="Fora dos ciclos"),"",IF(C4471="C0","Nao",IF(IFERROR(INDEX(parametros!$A$2:$A$6,MATCH(C4471,parametros!$B$2:$B$6,0)),"")&lt;&gt;"Sim","Nao",IF(IFERROR(INDEX(parametros!$H$2:$H$6,MATCH(C4471,parametros!$B$2:$B$6,0)),"")="","",IF(B4471&gt;=IFERROR(INDEX(parametros!$H$2:$H$6,MATCH(C4471,parametros!$B$2:$B$6,0)),""),"Sim","Nao"))))))</f>
        <v/>
      </c>
      <c r="T4471" s="156"/>
      <c r="U4471" s="214" t="str">
        <f t="shared" si="351"/>
        <v/>
      </c>
      <c r="V4471" s="212" t="s">
        <v>50</v>
      </c>
      <c r="W4471" s="100" t="s">
        <v>168</v>
      </c>
      <c r="X4471" s="100" t="s">
        <v>169</v>
      </c>
      <c r="Y4471" s="101" t="s">
        <v>170</v>
      </c>
      <c r="Z4471" s="101" t="s">
        <v>171</v>
      </c>
      <c r="AA4471" s="101" t="s">
        <v>50</v>
      </c>
      <c r="AB4471" s="101" t="s">
        <v>172</v>
      </c>
      <c r="AC4471" s="102" t="s">
        <v>173</v>
      </c>
    </row>
    <row r="4472" spans="1:29" ht="25.5" customHeight="1" x14ac:dyDescent="0.35">
      <c r="A4472" s="392"/>
      <c r="B4472" s="393"/>
      <c r="C4472" s="99" t="str">
        <f>IF(B4472="","",IF(NOT(ISNUMBER(B4472)),"DATA_PC invalida",IF(NOT(ISNUMBER(parametros!$C$2)),"Fora dos ciclos",IF(OR(B4472&lt;parametros!$C$2,(YEAR(B4472)-YEAR(parametros!$C$2))*12+MONTH(B4472)-MONTH(parametros!$C$2)&gt;59),"Fora dos ciclos","C"&amp;INT(((YEAR(B4472)-YEAR(parametros!$C$2))*12+MONTH(B4472)-MONTH(parametros!$C$2))/12)))))</f>
        <v/>
      </c>
      <c r="D4472" s="394"/>
      <c r="E4472" s="78" t="str">
        <f>IF(C4472="","",IFERROR(VLOOKUP(C4472,parametros!$A$11:$E$15,5,0),""))</f>
        <v/>
      </c>
      <c r="F4472" s="79" t="str">
        <f t="shared" si="347"/>
        <v/>
      </c>
      <c r="G4472" s="395"/>
      <c r="H4472" s="91">
        <f t="shared" si="348"/>
        <v>0</v>
      </c>
      <c r="I4472" s="91" t="str">
        <f t="shared" si="349"/>
        <v/>
      </c>
      <c r="J4472" s="91" t="str">
        <f t="shared" si="350"/>
        <v/>
      </c>
      <c r="K4472" s="92" t="str">
        <f>IF(AND(A4472="",B4472="",D4472="",G4472=""),"",IF(AND(A4472&lt;&gt;"",COUNTIF($A$2:$A$5001,A4472)&gt;1),"NUMERO_PC duplicado",IF(B4472="","DATA_PC vazia",IF(NOT(ISNUMBER(B4472)),"DATA_PC invalida",IF(OR(C4472="",C4472="Fora dos ciclos"),"CICLO_PC nao identificado",IF(OR(D4472="",D4472=0),"VALOR_PC vazio ou zero",IF(AND(G4472&lt;&gt;"Sim",G4472&lt;&gt;"Nao",G4472&lt;&gt;""),"PC_PAGO_A_CONTRATADA invalido",IF(AND(C4472&lt;&gt;"C0",IFERROR(INDEX(parametros!$A$2:$A$6,MATCH(C4472,parametros!$B$2:$B$6,0)),"")="Sim",IFERROR(INDEX(parametros!$H$2:$H$6,MATCH(C4472,parametros!$B$2:$B$6,0)),"")=""),"INICIO_EFEITO ausente: PC "&amp;A4472&amp;" - "&amp;C4472,IF(L4472="","EFEITO_PC nao calculado: PC "&amp;A4472&amp;" - "&amp;C4472,"OK")))))))))</f>
        <v/>
      </c>
      <c r="L4472" s="92" t="str">
        <f>IF(AND(A4472="",B4472="",D4472="",G4472=""),"",IF(OR(B4472="",NOT(ISNUMBER(B4472)),C4472="",C4472="Fora dos ciclos"),"",IF(C4472="C0","Nao",IF(IFERROR(INDEX(parametros!$A$2:$A$6,MATCH(C4472,parametros!$B$2:$B$6,0)),"")&lt;&gt;"Sim","Nao",IF(IFERROR(INDEX(parametros!$H$2:$H$6,MATCH(C4472,parametros!$B$2:$B$6,0)),"")="","",IF(B4472&gt;=IFERROR(INDEX(parametros!$H$2:$H$6,MATCH(C4472,parametros!$B$2:$B$6,0)),""),"Sim","Nao"))))))</f>
        <v/>
      </c>
      <c r="T4472" s="156"/>
      <c r="U4472" s="214" t="str">
        <f t="shared" si="351"/>
        <v/>
      </c>
      <c r="V4472" s="212" t="s">
        <v>50</v>
      </c>
      <c r="W4472" s="100" t="s">
        <v>168</v>
      </c>
      <c r="X4472" s="100" t="s">
        <v>169</v>
      </c>
      <c r="Y4472" s="101" t="s">
        <v>170</v>
      </c>
      <c r="Z4472" s="101" t="s">
        <v>171</v>
      </c>
      <c r="AA4472" s="101" t="s">
        <v>50</v>
      </c>
      <c r="AB4472" s="101" t="s">
        <v>172</v>
      </c>
      <c r="AC4472" s="102" t="s">
        <v>173</v>
      </c>
    </row>
    <row r="4473" spans="1:29" ht="25.5" customHeight="1" x14ac:dyDescent="0.35">
      <c r="A4473" s="392"/>
      <c r="B4473" s="393"/>
      <c r="C4473" s="99" t="str">
        <f>IF(B4473="","",IF(NOT(ISNUMBER(B4473)),"DATA_PC invalida",IF(NOT(ISNUMBER(parametros!$C$2)),"Fora dos ciclos",IF(OR(B4473&lt;parametros!$C$2,(YEAR(B4473)-YEAR(parametros!$C$2))*12+MONTH(B4473)-MONTH(parametros!$C$2)&gt;59),"Fora dos ciclos","C"&amp;INT(((YEAR(B4473)-YEAR(parametros!$C$2))*12+MONTH(B4473)-MONTH(parametros!$C$2))/12)))))</f>
        <v/>
      </c>
      <c r="D4473" s="394"/>
      <c r="E4473" s="78" t="str">
        <f>IF(C4473="","",IFERROR(VLOOKUP(C4473,parametros!$A$11:$E$15,5,0),""))</f>
        <v/>
      </c>
      <c r="F4473" s="79" t="str">
        <f t="shared" si="347"/>
        <v/>
      </c>
      <c r="G4473" s="395"/>
      <c r="H4473" s="91">
        <f t="shared" si="348"/>
        <v>0</v>
      </c>
      <c r="I4473" s="91" t="str">
        <f t="shared" si="349"/>
        <v/>
      </c>
      <c r="J4473" s="91" t="str">
        <f t="shared" si="350"/>
        <v/>
      </c>
      <c r="K4473" s="92" t="str">
        <f>IF(AND(A4473="",B4473="",D4473="",G4473=""),"",IF(AND(A4473&lt;&gt;"",COUNTIF($A$2:$A$5001,A4473)&gt;1),"NUMERO_PC duplicado",IF(B4473="","DATA_PC vazia",IF(NOT(ISNUMBER(B4473)),"DATA_PC invalida",IF(OR(C4473="",C4473="Fora dos ciclos"),"CICLO_PC nao identificado",IF(OR(D4473="",D4473=0),"VALOR_PC vazio ou zero",IF(AND(G4473&lt;&gt;"Sim",G4473&lt;&gt;"Nao",G4473&lt;&gt;""),"PC_PAGO_A_CONTRATADA invalido",IF(AND(C4473&lt;&gt;"C0",IFERROR(INDEX(parametros!$A$2:$A$6,MATCH(C4473,parametros!$B$2:$B$6,0)),"")="Sim",IFERROR(INDEX(parametros!$H$2:$H$6,MATCH(C4473,parametros!$B$2:$B$6,0)),"")=""),"INICIO_EFEITO ausente: PC "&amp;A4473&amp;" - "&amp;C4473,IF(L4473="","EFEITO_PC nao calculado: PC "&amp;A4473&amp;" - "&amp;C4473,"OK")))))))))</f>
        <v/>
      </c>
      <c r="L4473" s="92" t="str">
        <f>IF(AND(A4473="",B4473="",D4473="",G4473=""),"",IF(OR(B4473="",NOT(ISNUMBER(B4473)),C4473="",C4473="Fora dos ciclos"),"",IF(C4473="C0","Nao",IF(IFERROR(INDEX(parametros!$A$2:$A$6,MATCH(C4473,parametros!$B$2:$B$6,0)),"")&lt;&gt;"Sim","Nao",IF(IFERROR(INDEX(parametros!$H$2:$H$6,MATCH(C4473,parametros!$B$2:$B$6,0)),"")="","",IF(B4473&gt;=IFERROR(INDEX(parametros!$H$2:$H$6,MATCH(C4473,parametros!$B$2:$B$6,0)),""),"Sim","Nao"))))))</f>
        <v/>
      </c>
      <c r="T4473" s="156"/>
      <c r="U4473" s="214" t="str">
        <f t="shared" si="351"/>
        <v/>
      </c>
      <c r="V4473" s="212" t="s">
        <v>50</v>
      </c>
      <c r="W4473" s="100" t="s">
        <v>168</v>
      </c>
      <c r="X4473" s="100" t="s">
        <v>169</v>
      </c>
      <c r="Y4473" s="101" t="s">
        <v>170</v>
      </c>
      <c r="Z4473" s="101" t="s">
        <v>171</v>
      </c>
      <c r="AA4473" s="101" t="s">
        <v>50</v>
      </c>
      <c r="AB4473" s="101" t="s">
        <v>172</v>
      </c>
      <c r="AC4473" s="102" t="s">
        <v>173</v>
      </c>
    </row>
    <row r="4474" spans="1:29" ht="25.5" customHeight="1" x14ac:dyDescent="0.35">
      <c r="A4474" s="392"/>
      <c r="B4474" s="393"/>
      <c r="C4474" s="99" t="str">
        <f>IF(B4474="","",IF(NOT(ISNUMBER(B4474)),"DATA_PC invalida",IF(NOT(ISNUMBER(parametros!$C$2)),"Fora dos ciclos",IF(OR(B4474&lt;parametros!$C$2,(YEAR(B4474)-YEAR(parametros!$C$2))*12+MONTH(B4474)-MONTH(parametros!$C$2)&gt;59),"Fora dos ciclos","C"&amp;INT(((YEAR(B4474)-YEAR(parametros!$C$2))*12+MONTH(B4474)-MONTH(parametros!$C$2))/12)))))</f>
        <v/>
      </c>
      <c r="D4474" s="394"/>
      <c r="E4474" s="78" t="str">
        <f>IF(C4474="","",IFERROR(VLOOKUP(C4474,parametros!$A$11:$E$15,5,0),""))</f>
        <v/>
      </c>
      <c r="F4474" s="79" t="str">
        <f t="shared" si="347"/>
        <v/>
      </c>
      <c r="G4474" s="395"/>
      <c r="H4474" s="91">
        <f t="shared" si="348"/>
        <v>0</v>
      </c>
      <c r="I4474" s="91" t="str">
        <f t="shared" si="349"/>
        <v/>
      </c>
      <c r="J4474" s="91" t="str">
        <f t="shared" si="350"/>
        <v/>
      </c>
      <c r="K4474" s="92" t="str">
        <f>IF(AND(A4474="",B4474="",D4474="",G4474=""),"",IF(AND(A4474&lt;&gt;"",COUNTIF($A$2:$A$5001,A4474)&gt;1),"NUMERO_PC duplicado",IF(B4474="","DATA_PC vazia",IF(NOT(ISNUMBER(B4474)),"DATA_PC invalida",IF(OR(C4474="",C4474="Fora dos ciclos"),"CICLO_PC nao identificado",IF(OR(D4474="",D4474=0),"VALOR_PC vazio ou zero",IF(AND(G4474&lt;&gt;"Sim",G4474&lt;&gt;"Nao",G4474&lt;&gt;""),"PC_PAGO_A_CONTRATADA invalido",IF(AND(C4474&lt;&gt;"C0",IFERROR(INDEX(parametros!$A$2:$A$6,MATCH(C4474,parametros!$B$2:$B$6,0)),"")="Sim",IFERROR(INDEX(parametros!$H$2:$H$6,MATCH(C4474,parametros!$B$2:$B$6,0)),"")=""),"INICIO_EFEITO ausente: PC "&amp;A4474&amp;" - "&amp;C4474,IF(L4474="","EFEITO_PC nao calculado: PC "&amp;A4474&amp;" - "&amp;C4474,"OK")))))))))</f>
        <v/>
      </c>
      <c r="L4474" s="92" t="str">
        <f>IF(AND(A4474="",B4474="",D4474="",G4474=""),"",IF(OR(B4474="",NOT(ISNUMBER(B4474)),C4474="",C4474="Fora dos ciclos"),"",IF(C4474="C0","Nao",IF(IFERROR(INDEX(parametros!$A$2:$A$6,MATCH(C4474,parametros!$B$2:$B$6,0)),"")&lt;&gt;"Sim","Nao",IF(IFERROR(INDEX(parametros!$H$2:$H$6,MATCH(C4474,parametros!$B$2:$B$6,0)),"")="","",IF(B4474&gt;=IFERROR(INDEX(parametros!$H$2:$H$6,MATCH(C4474,parametros!$B$2:$B$6,0)),""),"Sim","Nao"))))))</f>
        <v/>
      </c>
      <c r="T4474" s="156"/>
      <c r="U4474" s="214" t="str">
        <f t="shared" si="351"/>
        <v/>
      </c>
      <c r="V4474" s="212" t="s">
        <v>50</v>
      </c>
      <c r="W4474" s="100" t="s">
        <v>168</v>
      </c>
      <c r="X4474" s="100" t="s">
        <v>169</v>
      </c>
      <c r="Y4474" s="101" t="s">
        <v>170</v>
      </c>
      <c r="Z4474" s="101" t="s">
        <v>171</v>
      </c>
      <c r="AA4474" s="101" t="s">
        <v>50</v>
      </c>
      <c r="AB4474" s="101" t="s">
        <v>172</v>
      </c>
      <c r="AC4474" s="102" t="s">
        <v>173</v>
      </c>
    </row>
    <row r="4475" spans="1:29" ht="25.5" customHeight="1" x14ac:dyDescent="0.35">
      <c r="A4475" s="392"/>
      <c r="B4475" s="393"/>
      <c r="C4475" s="99" t="str">
        <f>IF(B4475="","",IF(NOT(ISNUMBER(B4475)),"DATA_PC invalida",IF(NOT(ISNUMBER(parametros!$C$2)),"Fora dos ciclos",IF(OR(B4475&lt;parametros!$C$2,(YEAR(B4475)-YEAR(parametros!$C$2))*12+MONTH(B4475)-MONTH(parametros!$C$2)&gt;59),"Fora dos ciclos","C"&amp;INT(((YEAR(B4475)-YEAR(parametros!$C$2))*12+MONTH(B4475)-MONTH(parametros!$C$2))/12)))))</f>
        <v/>
      </c>
      <c r="D4475" s="394"/>
      <c r="E4475" s="78" t="str">
        <f>IF(C4475="","",IFERROR(VLOOKUP(C4475,parametros!$A$11:$E$15,5,0),""))</f>
        <v/>
      </c>
      <c r="F4475" s="79" t="str">
        <f t="shared" si="347"/>
        <v/>
      </c>
      <c r="G4475" s="395"/>
      <c r="H4475" s="91">
        <f t="shared" si="348"/>
        <v>0</v>
      </c>
      <c r="I4475" s="91" t="str">
        <f t="shared" si="349"/>
        <v/>
      </c>
      <c r="J4475" s="91" t="str">
        <f t="shared" si="350"/>
        <v/>
      </c>
      <c r="K4475" s="92" t="str">
        <f>IF(AND(A4475="",B4475="",D4475="",G4475=""),"",IF(AND(A4475&lt;&gt;"",COUNTIF($A$2:$A$5001,A4475)&gt;1),"NUMERO_PC duplicado",IF(B4475="","DATA_PC vazia",IF(NOT(ISNUMBER(B4475)),"DATA_PC invalida",IF(OR(C4475="",C4475="Fora dos ciclos"),"CICLO_PC nao identificado",IF(OR(D4475="",D4475=0),"VALOR_PC vazio ou zero",IF(AND(G4475&lt;&gt;"Sim",G4475&lt;&gt;"Nao",G4475&lt;&gt;""),"PC_PAGO_A_CONTRATADA invalido",IF(AND(C4475&lt;&gt;"C0",IFERROR(INDEX(parametros!$A$2:$A$6,MATCH(C4475,parametros!$B$2:$B$6,0)),"")="Sim",IFERROR(INDEX(parametros!$H$2:$H$6,MATCH(C4475,parametros!$B$2:$B$6,0)),"")=""),"INICIO_EFEITO ausente: PC "&amp;A4475&amp;" - "&amp;C4475,IF(L4475="","EFEITO_PC nao calculado: PC "&amp;A4475&amp;" - "&amp;C4475,"OK")))))))))</f>
        <v/>
      </c>
      <c r="L4475" s="92" t="str">
        <f>IF(AND(A4475="",B4475="",D4475="",G4475=""),"",IF(OR(B4475="",NOT(ISNUMBER(B4475)),C4475="",C4475="Fora dos ciclos"),"",IF(C4475="C0","Nao",IF(IFERROR(INDEX(parametros!$A$2:$A$6,MATCH(C4475,parametros!$B$2:$B$6,0)),"")&lt;&gt;"Sim","Nao",IF(IFERROR(INDEX(parametros!$H$2:$H$6,MATCH(C4475,parametros!$B$2:$B$6,0)),"")="","",IF(B4475&gt;=IFERROR(INDEX(parametros!$H$2:$H$6,MATCH(C4475,parametros!$B$2:$B$6,0)),""),"Sim","Nao"))))))</f>
        <v/>
      </c>
      <c r="T4475" s="156"/>
      <c r="U4475" s="214" t="str">
        <f t="shared" si="351"/>
        <v/>
      </c>
      <c r="V4475" s="212" t="s">
        <v>50</v>
      </c>
      <c r="W4475" s="100" t="s">
        <v>168</v>
      </c>
      <c r="X4475" s="100" t="s">
        <v>169</v>
      </c>
      <c r="Y4475" s="101" t="s">
        <v>170</v>
      </c>
      <c r="Z4475" s="101" t="s">
        <v>171</v>
      </c>
      <c r="AA4475" s="101" t="s">
        <v>50</v>
      </c>
      <c r="AB4475" s="101" t="s">
        <v>172</v>
      </c>
      <c r="AC4475" s="102" t="s">
        <v>173</v>
      </c>
    </row>
    <row r="4476" spans="1:29" ht="25.5" customHeight="1" x14ac:dyDescent="0.35">
      <c r="A4476" s="392"/>
      <c r="B4476" s="393"/>
      <c r="C4476" s="99" t="str">
        <f>IF(B4476="","",IF(NOT(ISNUMBER(B4476)),"DATA_PC invalida",IF(NOT(ISNUMBER(parametros!$C$2)),"Fora dos ciclos",IF(OR(B4476&lt;parametros!$C$2,(YEAR(B4476)-YEAR(parametros!$C$2))*12+MONTH(B4476)-MONTH(parametros!$C$2)&gt;59),"Fora dos ciclos","C"&amp;INT(((YEAR(B4476)-YEAR(parametros!$C$2))*12+MONTH(B4476)-MONTH(parametros!$C$2))/12)))))</f>
        <v/>
      </c>
      <c r="D4476" s="394"/>
      <c r="E4476" s="78" t="str">
        <f>IF(C4476="","",IFERROR(VLOOKUP(C4476,parametros!$A$11:$E$15,5,0),""))</f>
        <v/>
      </c>
      <c r="F4476" s="79" t="str">
        <f t="shared" si="347"/>
        <v/>
      </c>
      <c r="G4476" s="395"/>
      <c r="H4476" s="91">
        <f t="shared" si="348"/>
        <v>0</v>
      </c>
      <c r="I4476" s="91" t="str">
        <f t="shared" si="349"/>
        <v/>
      </c>
      <c r="J4476" s="91" t="str">
        <f t="shared" si="350"/>
        <v/>
      </c>
      <c r="K4476" s="92" t="str">
        <f>IF(AND(A4476="",B4476="",D4476="",G4476=""),"",IF(AND(A4476&lt;&gt;"",COUNTIF($A$2:$A$5001,A4476)&gt;1),"NUMERO_PC duplicado",IF(B4476="","DATA_PC vazia",IF(NOT(ISNUMBER(B4476)),"DATA_PC invalida",IF(OR(C4476="",C4476="Fora dos ciclos"),"CICLO_PC nao identificado",IF(OR(D4476="",D4476=0),"VALOR_PC vazio ou zero",IF(AND(G4476&lt;&gt;"Sim",G4476&lt;&gt;"Nao",G4476&lt;&gt;""),"PC_PAGO_A_CONTRATADA invalido",IF(AND(C4476&lt;&gt;"C0",IFERROR(INDEX(parametros!$A$2:$A$6,MATCH(C4476,parametros!$B$2:$B$6,0)),"")="Sim",IFERROR(INDEX(parametros!$H$2:$H$6,MATCH(C4476,parametros!$B$2:$B$6,0)),"")=""),"INICIO_EFEITO ausente: PC "&amp;A4476&amp;" - "&amp;C4476,IF(L4476="","EFEITO_PC nao calculado: PC "&amp;A4476&amp;" - "&amp;C4476,"OK")))))))))</f>
        <v/>
      </c>
      <c r="L4476" s="92" t="str">
        <f>IF(AND(A4476="",B4476="",D4476="",G4476=""),"",IF(OR(B4476="",NOT(ISNUMBER(B4476)),C4476="",C4476="Fora dos ciclos"),"",IF(C4476="C0","Nao",IF(IFERROR(INDEX(parametros!$A$2:$A$6,MATCH(C4476,parametros!$B$2:$B$6,0)),"")&lt;&gt;"Sim","Nao",IF(IFERROR(INDEX(parametros!$H$2:$H$6,MATCH(C4476,parametros!$B$2:$B$6,0)),"")="","",IF(B4476&gt;=IFERROR(INDEX(parametros!$H$2:$H$6,MATCH(C4476,parametros!$B$2:$B$6,0)),""),"Sim","Nao"))))))</f>
        <v/>
      </c>
      <c r="T4476" s="156"/>
      <c r="U4476" s="214" t="str">
        <f t="shared" si="351"/>
        <v/>
      </c>
      <c r="V4476" s="212" t="s">
        <v>50</v>
      </c>
      <c r="W4476" s="100" t="s">
        <v>168</v>
      </c>
      <c r="X4476" s="100" t="s">
        <v>169</v>
      </c>
      <c r="Y4476" s="101" t="s">
        <v>170</v>
      </c>
      <c r="Z4476" s="101" t="s">
        <v>171</v>
      </c>
      <c r="AA4476" s="101" t="s">
        <v>50</v>
      </c>
      <c r="AB4476" s="101" t="s">
        <v>172</v>
      </c>
      <c r="AC4476" s="102" t="s">
        <v>173</v>
      </c>
    </row>
    <row r="4477" spans="1:29" ht="25.5" customHeight="1" x14ac:dyDescent="0.35">
      <c r="A4477" s="392"/>
      <c r="B4477" s="393"/>
      <c r="C4477" s="99" t="str">
        <f>IF(B4477="","",IF(NOT(ISNUMBER(B4477)),"DATA_PC invalida",IF(NOT(ISNUMBER(parametros!$C$2)),"Fora dos ciclos",IF(OR(B4477&lt;parametros!$C$2,(YEAR(B4477)-YEAR(parametros!$C$2))*12+MONTH(B4477)-MONTH(parametros!$C$2)&gt;59),"Fora dos ciclos","C"&amp;INT(((YEAR(B4477)-YEAR(parametros!$C$2))*12+MONTH(B4477)-MONTH(parametros!$C$2))/12)))))</f>
        <v/>
      </c>
      <c r="D4477" s="394"/>
      <c r="E4477" s="78" t="str">
        <f>IF(C4477="","",IFERROR(VLOOKUP(C4477,parametros!$A$11:$E$15,5,0),""))</f>
        <v/>
      </c>
      <c r="F4477" s="79" t="str">
        <f t="shared" si="347"/>
        <v/>
      </c>
      <c r="G4477" s="395"/>
      <c r="H4477" s="91">
        <f t="shared" si="348"/>
        <v>0</v>
      </c>
      <c r="I4477" s="91" t="str">
        <f t="shared" si="349"/>
        <v/>
      </c>
      <c r="J4477" s="91" t="str">
        <f t="shared" si="350"/>
        <v/>
      </c>
      <c r="K4477" s="92" t="str">
        <f>IF(AND(A4477="",B4477="",D4477="",G4477=""),"",IF(AND(A4477&lt;&gt;"",COUNTIF($A$2:$A$5001,A4477)&gt;1),"NUMERO_PC duplicado",IF(B4477="","DATA_PC vazia",IF(NOT(ISNUMBER(B4477)),"DATA_PC invalida",IF(OR(C4477="",C4477="Fora dos ciclos"),"CICLO_PC nao identificado",IF(OR(D4477="",D4477=0),"VALOR_PC vazio ou zero",IF(AND(G4477&lt;&gt;"Sim",G4477&lt;&gt;"Nao",G4477&lt;&gt;""),"PC_PAGO_A_CONTRATADA invalido",IF(AND(C4477&lt;&gt;"C0",IFERROR(INDEX(parametros!$A$2:$A$6,MATCH(C4477,parametros!$B$2:$B$6,0)),"")="Sim",IFERROR(INDEX(parametros!$H$2:$H$6,MATCH(C4477,parametros!$B$2:$B$6,0)),"")=""),"INICIO_EFEITO ausente: PC "&amp;A4477&amp;" - "&amp;C4477,IF(L4477="","EFEITO_PC nao calculado: PC "&amp;A4477&amp;" - "&amp;C4477,"OK")))))))))</f>
        <v/>
      </c>
      <c r="L4477" s="92" t="str">
        <f>IF(AND(A4477="",B4477="",D4477="",G4477=""),"",IF(OR(B4477="",NOT(ISNUMBER(B4477)),C4477="",C4477="Fora dos ciclos"),"",IF(C4477="C0","Nao",IF(IFERROR(INDEX(parametros!$A$2:$A$6,MATCH(C4477,parametros!$B$2:$B$6,0)),"")&lt;&gt;"Sim","Nao",IF(IFERROR(INDEX(parametros!$H$2:$H$6,MATCH(C4477,parametros!$B$2:$B$6,0)),"")="","",IF(B4477&gt;=IFERROR(INDEX(parametros!$H$2:$H$6,MATCH(C4477,parametros!$B$2:$B$6,0)),""),"Sim","Nao"))))))</f>
        <v/>
      </c>
      <c r="T4477" s="156"/>
      <c r="U4477" s="214" t="str">
        <f t="shared" si="351"/>
        <v/>
      </c>
      <c r="V4477" s="212" t="s">
        <v>50</v>
      </c>
      <c r="W4477" s="100" t="s">
        <v>168</v>
      </c>
      <c r="X4477" s="100" t="s">
        <v>169</v>
      </c>
      <c r="Y4477" s="101" t="s">
        <v>170</v>
      </c>
      <c r="Z4477" s="101" t="s">
        <v>171</v>
      </c>
      <c r="AA4477" s="101" t="s">
        <v>50</v>
      </c>
      <c r="AB4477" s="101" t="s">
        <v>172</v>
      </c>
      <c r="AC4477" s="102" t="s">
        <v>173</v>
      </c>
    </row>
    <row r="4478" spans="1:29" ht="25.5" customHeight="1" x14ac:dyDescent="0.35">
      <c r="A4478" s="392"/>
      <c r="B4478" s="393"/>
      <c r="C4478" s="99" t="str">
        <f>IF(B4478="","",IF(NOT(ISNUMBER(B4478)),"DATA_PC invalida",IF(NOT(ISNUMBER(parametros!$C$2)),"Fora dos ciclos",IF(OR(B4478&lt;parametros!$C$2,(YEAR(B4478)-YEAR(parametros!$C$2))*12+MONTH(B4478)-MONTH(parametros!$C$2)&gt;59),"Fora dos ciclos","C"&amp;INT(((YEAR(B4478)-YEAR(parametros!$C$2))*12+MONTH(B4478)-MONTH(parametros!$C$2))/12)))))</f>
        <v/>
      </c>
      <c r="D4478" s="394"/>
      <c r="E4478" s="78" t="str">
        <f>IF(C4478="","",IFERROR(VLOOKUP(C4478,parametros!$A$11:$E$15,5,0),""))</f>
        <v/>
      </c>
      <c r="F4478" s="79" t="str">
        <f t="shared" si="347"/>
        <v/>
      </c>
      <c r="G4478" s="395"/>
      <c r="H4478" s="91">
        <f t="shared" si="348"/>
        <v>0</v>
      </c>
      <c r="I4478" s="91" t="str">
        <f t="shared" si="349"/>
        <v/>
      </c>
      <c r="J4478" s="91" t="str">
        <f t="shared" si="350"/>
        <v/>
      </c>
      <c r="K4478" s="92" t="str">
        <f>IF(AND(A4478="",B4478="",D4478="",G4478=""),"",IF(AND(A4478&lt;&gt;"",COUNTIF($A$2:$A$5001,A4478)&gt;1),"NUMERO_PC duplicado",IF(B4478="","DATA_PC vazia",IF(NOT(ISNUMBER(B4478)),"DATA_PC invalida",IF(OR(C4478="",C4478="Fora dos ciclos"),"CICLO_PC nao identificado",IF(OR(D4478="",D4478=0),"VALOR_PC vazio ou zero",IF(AND(G4478&lt;&gt;"Sim",G4478&lt;&gt;"Nao",G4478&lt;&gt;""),"PC_PAGO_A_CONTRATADA invalido",IF(AND(C4478&lt;&gt;"C0",IFERROR(INDEX(parametros!$A$2:$A$6,MATCH(C4478,parametros!$B$2:$B$6,0)),"")="Sim",IFERROR(INDEX(parametros!$H$2:$H$6,MATCH(C4478,parametros!$B$2:$B$6,0)),"")=""),"INICIO_EFEITO ausente: PC "&amp;A4478&amp;" - "&amp;C4478,IF(L4478="","EFEITO_PC nao calculado: PC "&amp;A4478&amp;" - "&amp;C4478,"OK")))))))))</f>
        <v/>
      </c>
      <c r="L4478" s="92" t="str">
        <f>IF(AND(A4478="",B4478="",D4478="",G4478=""),"",IF(OR(B4478="",NOT(ISNUMBER(B4478)),C4478="",C4478="Fora dos ciclos"),"",IF(C4478="C0","Nao",IF(IFERROR(INDEX(parametros!$A$2:$A$6,MATCH(C4478,parametros!$B$2:$B$6,0)),"")&lt;&gt;"Sim","Nao",IF(IFERROR(INDEX(parametros!$H$2:$H$6,MATCH(C4478,parametros!$B$2:$B$6,0)),"")="","",IF(B4478&gt;=IFERROR(INDEX(parametros!$H$2:$H$6,MATCH(C4478,parametros!$B$2:$B$6,0)),""),"Sim","Nao"))))))</f>
        <v/>
      </c>
      <c r="T4478" s="156"/>
      <c r="U4478" s="214" t="str">
        <f t="shared" si="351"/>
        <v/>
      </c>
      <c r="V4478" s="212" t="s">
        <v>50</v>
      </c>
      <c r="W4478" s="100" t="s">
        <v>168</v>
      </c>
      <c r="X4478" s="100" t="s">
        <v>169</v>
      </c>
      <c r="Y4478" s="101" t="s">
        <v>170</v>
      </c>
      <c r="Z4478" s="101" t="s">
        <v>171</v>
      </c>
      <c r="AA4478" s="101" t="s">
        <v>50</v>
      </c>
      <c r="AB4478" s="101" t="s">
        <v>172</v>
      </c>
      <c r="AC4478" s="102" t="s">
        <v>173</v>
      </c>
    </row>
    <row r="4479" spans="1:29" ht="25.5" customHeight="1" x14ac:dyDescent="0.35">
      <c r="A4479" s="392"/>
      <c r="B4479" s="393"/>
      <c r="C4479" s="99" t="str">
        <f>IF(B4479="","",IF(NOT(ISNUMBER(B4479)),"DATA_PC invalida",IF(NOT(ISNUMBER(parametros!$C$2)),"Fora dos ciclos",IF(OR(B4479&lt;parametros!$C$2,(YEAR(B4479)-YEAR(parametros!$C$2))*12+MONTH(B4479)-MONTH(parametros!$C$2)&gt;59),"Fora dos ciclos","C"&amp;INT(((YEAR(B4479)-YEAR(parametros!$C$2))*12+MONTH(B4479)-MONTH(parametros!$C$2))/12)))))</f>
        <v/>
      </c>
      <c r="D4479" s="394"/>
      <c r="E4479" s="78" t="str">
        <f>IF(C4479="","",IFERROR(VLOOKUP(C4479,parametros!$A$11:$E$15,5,0),""))</f>
        <v/>
      </c>
      <c r="F4479" s="79" t="str">
        <f t="shared" si="347"/>
        <v/>
      </c>
      <c r="G4479" s="395"/>
      <c r="H4479" s="91">
        <f t="shared" si="348"/>
        <v>0</v>
      </c>
      <c r="I4479" s="91" t="str">
        <f t="shared" si="349"/>
        <v/>
      </c>
      <c r="J4479" s="91" t="str">
        <f t="shared" si="350"/>
        <v/>
      </c>
      <c r="K4479" s="92" t="str">
        <f>IF(AND(A4479="",B4479="",D4479="",G4479=""),"",IF(AND(A4479&lt;&gt;"",COUNTIF($A$2:$A$5001,A4479)&gt;1),"NUMERO_PC duplicado",IF(B4479="","DATA_PC vazia",IF(NOT(ISNUMBER(B4479)),"DATA_PC invalida",IF(OR(C4479="",C4479="Fora dos ciclos"),"CICLO_PC nao identificado",IF(OR(D4479="",D4479=0),"VALOR_PC vazio ou zero",IF(AND(G4479&lt;&gt;"Sim",G4479&lt;&gt;"Nao",G4479&lt;&gt;""),"PC_PAGO_A_CONTRATADA invalido",IF(AND(C4479&lt;&gt;"C0",IFERROR(INDEX(parametros!$A$2:$A$6,MATCH(C4479,parametros!$B$2:$B$6,0)),"")="Sim",IFERROR(INDEX(parametros!$H$2:$H$6,MATCH(C4479,parametros!$B$2:$B$6,0)),"")=""),"INICIO_EFEITO ausente: PC "&amp;A4479&amp;" - "&amp;C4479,IF(L4479="","EFEITO_PC nao calculado: PC "&amp;A4479&amp;" - "&amp;C4479,"OK")))))))))</f>
        <v/>
      </c>
      <c r="L4479" s="92" t="str">
        <f>IF(AND(A4479="",B4479="",D4479="",G4479=""),"",IF(OR(B4479="",NOT(ISNUMBER(B4479)),C4479="",C4479="Fora dos ciclos"),"",IF(C4479="C0","Nao",IF(IFERROR(INDEX(parametros!$A$2:$A$6,MATCH(C4479,parametros!$B$2:$B$6,0)),"")&lt;&gt;"Sim","Nao",IF(IFERROR(INDEX(parametros!$H$2:$H$6,MATCH(C4479,parametros!$B$2:$B$6,0)),"")="","",IF(B4479&gt;=IFERROR(INDEX(parametros!$H$2:$H$6,MATCH(C4479,parametros!$B$2:$B$6,0)),""),"Sim","Nao"))))))</f>
        <v/>
      </c>
      <c r="T4479" s="156"/>
      <c r="U4479" s="214" t="str">
        <f t="shared" si="351"/>
        <v/>
      </c>
      <c r="V4479" s="212" t="s">
        <v>50</v>
      </c>
      <c r="W4479" s="100" t="s">
        <v>168</v>
      </c>
      <c r="X4479" s="100" t="s">
        <v>169</v>
      </c>
      <c r="Y4479" s="101" t="s">
        <v>170</v>
      </c>
      <c r="Z4479" s="101" t="s">
        <v>171</v>
      </c>
      <c r="AA4479" s="101" t="s">
        <v>50</v>
      </c>
      <c r="AB4479" s="101" t="s">
        <v>172</v>
      </c>
      <c r="AC4479" s="102" t="s">
        <v>173</v>
      </c>
    </row>
    <row r="4480" spans="1:29" ht="25.5" customHeight="1" x14ac:dyDescent="0.35">
      <c r="A4480" s="392"/>
      <c r="B4480" s="393"/>
      <c r="C4480" s="99" t="str">
        <f>IF(B4480="","",IF(NOT(ISNUMBER(B4480)),"DATA_PC invalida",IF(NOT(ISNUMBER(parametros!$C$2)),"Fora dos ciclos",IF(OR(B4480&lt;parametros!$C$2,(YEAR(B4480)-YEAR(parametros!$C$2))*12+MONTH(B4480)-MONTH(parametros!$C$2)&gt;59),"Fora dos ciclos","C"&amp;INT(((YEAR(B4480)-YEAR(parametros!$C$2))*12+MONTH(B4480)-MONTH(parametros!$C$2))/12)))))</f>
        <v/>
      </c>
      <c r="D4480" s="394"/>
      <c r="E4480" s="78" t="str">
        <f>IF(C4480="","",IFERROR(VLOOKUP(C4480,parametros!$A$11:$E$15,5,0),""))</f>
        <v/>
      </c>
      <c r="F4480" s="79" t="str">
        <f t="shared" si="347"/>
        <v/>
      </c>
      <c r="G4480" s="395"/>
      <c r="H4480" s="91">
        <f t="shared" si="348"/>
        <v>0</v>
      </c>
      <c r="I4480" s="91" t="str">
        <f t="shared" si="349"/>
        <v/>
      </c>
      <c r="J4480" s="91" t="str">
        <f t="shared" si="350"/>
        <v/>
      </c>
      <c r="K4480" s="92" t="str">
        <f>IF(AND(A4480="",B4480="",D4480="",G4480=""),"",IF(AND(A4480&lt;&gt;"",COUNTIF($A$2:$A$5001,A4480)&gt;1),"NUMERO_PC duplicado",IF(B4480="","DATA_PC vazia",IF(NOT(ISNUMBER(B4480)),"DATA_PC invalida",IF(OR(C4480="",C4480="Fora dos ciclos"),"CICLO_PC nao identificado",IF(OR(D4480="",D4480=0),"VALOR_PC vazio ou zero",IF(AND(G4480&lt;&gt;"Sim",G4480&lt;&gt;"Nao",G4480&lt;&gt;""),"PC_PAGO_A_CONTRATADA invalido",IF(AND(C4480&lt;&gt;"C0",IFERROR(INDEX(parametros!$A$2:$A$6,MATCH(C4480,parametros!$B$2:$B$6,0)),"")="Sim",IFERROR(INDEX(parametros!$H$2:$H$6,MATCH(C4480,parametros!$B$2:$B$6,0)),"")=""),"INICIO_EFEITO ausente: PC "&amp;A4480&amp;" - "&amp;C4480,IF(L4480="","EFEITO_PC nao calculado: PC "&amp;A4480&amp;" - "&amp;C4480,"OK")))))))))</f>
        <v/>
      </c>
      <c r="L4480" s="92" t="str">
        <f>IF(AND(A4480="",B4480="",D4480="",G4480=""),"",IF(OR(B4480="",NOT(ISNUMBER(B4480)),C4480="",C4480="Fora dos ciclos"),"",IF(C4480="C0","Nao",IF(IFERROR(INDEX(parametros!$A$2:$A$6,MATCH(C4480,parametros!$B$2:$B$6,0)),"")&lt;&gt;"Sim","Nao",IF(IFERROR(INDEX(parametros!$H$2:$H$6,MATCH(C4480,parametros!$B$2:$B$6,0)),"")="","",IF(B4480&gt;=IFERROR(INDEX(parametros!$H$2:$H$6,MATCH(C4480,parametros!$B$2:$B$6,0)),""),"Sim","Nao"))))))</f>
        <v/>
      </c>
      <c r="T4480" s="156"/>
      <c r="U4480" s="214" t="str">
        <f t="shared" si="351"/>
        <v/>
      </c>
      <c r="V4480" s="212" t="s">
        <v>50</v>
      </c>
      <c r="W4480" s="100" t="s">
        <v>168</v>
      </c>
      <c r="X4480" s="100" t="s">
        <v>169</v>
      </c>
      <c r="Y4480" s="101" t="s">
        <v>170</v>
      </c>
      <c r="Z4480" s="101" t="s">
        <v>171</v>
      </c>
      <c r="AA4480" s="101" t="s">
        <v>50</v>
      </c>
      <c r="AB4480" s="101" t="s">
        <v>172</v>
      </c>
      <c r="AC4480" s="102" t="s">
        <v>173</v>
      </c>
    </row>
    <row r="4481" spans="1:29" ht="25.5" customHeight="1" x14ac:dyDescent="0.35">
      <c r="A4481" s="392"/>
      <c r="B4481" s="393"/>
      <c r="C4481" s="99" t="str">
        <f>IF(B4481="","",IF(NOT(ISNUMBER(B4481)),"DATA_PC invalida",IF(NOT(ISNUMBER(parametros!$C$2)),"Fora dos ciclos",IF(OR(B4481&lt;parametros!$C$2,(YEAR(B4481)-YEAR(parametros!$C$2))*12+MONTH(B4481)-MONTH(parametros!$C$2)&gt;59),"Fora dos ciclos","C"&amp;INT(((YEAR(B4481)-YEAR(parametros!$C$2))*12+MONTH(B4481)-MONTH(parametros!$C$2))/12)))))</f>
        <v/>
      </c>
      <c r="D4481" s="394"/>
      <c r="E4481" s="78" t="str">
        <f>IF(C4481="","",IFERROR(VLOOKUP(C4481,parametros!$A$11:$E$15,5,0),""))</f>
        <v/>
      </c>
      <c r="F4481" s="79" t="str">
        <f t="shared" si="347"/>
        <v/>
      </c>
      <c r="G4481" s="395"/>
      <c r="H4481" s="91">
        <f t="shared" si="348"/>
        <v>0</v>
      </c>
      <c r="I4481" s="91" t="str">
        <f t="shared" si="349"/>
        <v/>
      </c>
      <c r="J4481" s="91" t="str">
        <f t="shared" si="350"/>
        <v/>
      </c>
      <c r="K4481" s="92" t="str">
        <f>IF(AND(A4481="",B4481="",D4481="",G4481=""),"",IF(AND(A4481&lt;&gt;"",COUNTIF($A$2:$A$5001,A4481)&gt;1),"NUMERO_PC duplicado",IF(B4481="","DATA_PC vazia",IF(NOT(ISNUMBER(B4481)),"DATA_PC invalida",IF(OR(C4481="",C4481="Fora dos ciclos"),"CICLO_PC nao identificado",IF(OR(D4481="",D4481=0),"VALOR_PC vazio ou zero",IF(AND(G4481&lt;&gt;"Sim",G4481&lt;&gt;"Nao",G4481&lt;&gt;""),"PC_PAGO_A_CONTRATADA invalido",IF(AND(C4481&lt;&gt;"C0",IFERROR(INDEX(parametros!$A$2:$A$6,MATCH(C4481,parametros!$B$2:$B$6,0)),"")="Sim",IFERROR(INDEX(parametros!$H$2:$H$6,MATCH(C4481,parametros!$B$2:$B$6,0)),"")=""),"INICIO_EFEITO ausente: PC "&amp;A4481&amp;" - "&amp;C4481,IF(L4481="","EFEITO_PC nao calculado: PC "&amp;A4481&amp;" - "&amp;C4481,"OK")))))))))</f>
        <v/>
      </c>
      <c r="L4481" s="92" t="str">
        <f>IF(AND(A4481="",B4481="",D4481="",G4481=""),"",IF(OR(B4481="",NOT(ISNUMBER(B4481)),C4481="",C4481="Fora dos ciclos"),"",IF(C4481="C0","Nao",IF(IFERROR(INDEX(parametros!$A$2:$A$6,MATCH(C4481,parametros!$B$2:$B$6,0)),"")&lt;&gt;"Sim","Nao",IF(IFERROR(INDEX(parametros!$H$2:$H$6,MATCH(C4481,parametros!$B$2:$B$6,0)),"")="","",IF(B4481&gt;=IFERROR(INDEX(parametros!$H$2:$H$6,MATCH(C4481,parametros!$B$2:$B$6,0)),""),"Sim","Nao"))))))</f>
        <v/>
      </c>
      <c r="T4481" s="156"/>
      <c r="U4481" s="214" t="str">
        <f t="shared" si="351"/>
        <v/>
      </c>
      <c r="V4481" s="212" t="s">
        <v>50</v>
      </c>
      <c r="W4481" s="100" t="s">
        <v>168</v>
      </c>
      <c r="X4481" s="100" t="s">
        <v>169</v>
      </c>
      <c r="Y4481" s="101" t="s">
        <v>170</v>
      </c>
      <c r="Z4481" s="101" t="s">
        <v>171</v>
      </c>
      <c r="AA4481" s="101" t="s">
        <v>50</v>
      </c>
      <c r="AB4481" s="101" t="s">
        <v>172</v>
      </c>
      <c r="AC4481" s="102" t="s">
        <v>173</v>
      </c>
    </row>
    <row r="4482" spans="1:29" ht="25.5" customHeight="1" x14ac:dyDescent="0.35">
      <c r="A4482" s="392"/>
      <c r="B4482" s="393"/>
      <c r="C4482" s="99" t="str">
        <f>IF(B4482="","",IF(NOT(ISNUMBER(B4482)),"DATA_PC invalida",IF(NOT(ISNUMBER(parametros!$C$2)),"Fora dos ciclos",IF(OR(B4482&lt;parametros!$C$2,(YEAR(B4482)-YEAR(parametros!$C$2))*12+MONTH(B4482)-MONTH(parametros!$C$2)&gt;59),"Fora dos ciclos","C"&amp;INT(((YEAR(B4482)-YEAR(parametros!$C$2))*12+MONTH(B4482)-MONTH(parametros!$C$2))/12)))))</f>
        <v/>
      </c>
      <c r="D4482" s="394"/>
      <c r="E4482" s="78" t="str">
        <f>IF(C4482="","",IFERROR(VLOOKUP(C4482,parametros!$A$11:$E$15,5,0),""))</f>
        <v/>
      </c>
      <c r="F4482" s="79" t="str">
        <f t="shared" ref="F4482:F4545" si="352">IF(OR(D4482="",E4482=""),"",ROUND(D4482*E4482,2))</f>
        <v/>
      </c>
      <c r="G4482" s="395"/>
      <c r="H4482" s="91">
        <f t="shared" ref="H4482:H4545" si="353">IF(G4482="Sim",IF(OR(F4482="",D4482="",L4482=""),"",IF(L4482="Sim",ROUND(F4482-D4482,2),0)),0)</f>
        <v>0</v>
      </c>
      <c r="I4482" s="91" t="str">
        <f t="shared" ref="I4482:I4545" si="354">IF(G4482="Sim",0,IF(OR(F4482="",L4482=""),"",F4482))</f>
        <v/>
      </c>
      <c r="J4482" s="91" t="str">
        <f t="shared" ref="J4482:J4545" si="355">IF(G4482="Sim",0,IF(OR(F4482="",D4482="",L4482=""),"",IF(L4482="Sim",ROUND(F4482-D4482,2),0)))</f>
        <v/>
      </c>
      <c r="K4482" s="92" t="str">
        <f>IF(AND(A4482="",B4482="",D4482="",G4482=""),"",IF(AND(A4482&lt;&gt;"",COUNTIF($A$2:$A$5001,A4482)&gt;1),"NUMERO_PC duplicado",IF(B4482="","DATA_PC vazia",IF(NOT(ISNUMBER(B4482)),"DATA_PC invalida",IF(OR(C4482="",C4482="Fora dos ciclos"),"CICLO_PC nao identificado",IF(OR(D4482="",D4482=0),"VALOR_PC vazio ou zero",IF(AND(G4482&lt;&gt;"Sim",G4482&lt;&gt;"Nao",G4482&lt;&gt;""),"PC_PAGO_A_CONTRATADA invalido",IF(AND(C4482&lt;&gt;"C0",IFERROR(INDEX(parametros!$A$2:$A$6,MATCH(C4482,parametros!$B$2:$B$6,0)),"")="Sim",IFERROR(INDEX(parametros!$H$2:$H$6,MATCH(C4482,parametros!$B$2:$B$6,0)),"")=""),"INICIO_EFEITO ausente: PC "&amp;A4482&amp;" - "&amp;C4482,IF(L4482="","EFEITO_PC nao calculado: PC "&amp;A4482&amp;" - "&amp;C4482,"OK")))))))))</f>
        <v/>
      </c>
      <c r="L4482" s="92" t="str">
        <f>IF(AND(A4482="",B4482="",D4482="",G4482=""),"",IF(OR(B4482="",NOT(ISNUMBER(B4482)),C4482="",C4482="Fora dos ciclos"),"",IF(C4482="C0","Nao",IF(IFERROR(INDEX(parametros!$A$2:$A$6,MATCH(C4482,parametros!$B$2:$B$6,0)),"")&lt;&gt;"Sim","Nao",IF(IFERROR(INDEX(parametros!$H$2:$H$6,MATCH(C4482,parametros!$B$2:$B$6,0)),"")="","",IF(B4482&gt;=IFERROR(INDEX(parametros!$H$2:$H$6,MATCH(C4482,parametros!$B$2:$B$6,0)),""),"Sim","Nao"))))))</f>
        <v/>
      </c>
      <c r="T4482" s="156"/>
      <c r="U4482" s="214" t="str">
        <f t="shared" ref="U4482:U4545" si="356">IF(OR($D4482="",$H4482=""),"",ROUND($D4482+$H4482,2))</f>
        <v/>
      </c>
      <c r="V4482" s="212" t="s">
        <v>50</v>
      </c>
      <c r="W4482" s="100" t="s">
        <v>168</v>
      </c>
      <c r="X4482" s="100" t="s">
        <v>169</v>
      </c>
      <c r="Y4482" s="101" t="s">
        <v>170</v>
      </c>
      <c r="Z4482" s="101" t="s">
        <v>171</v>
      </c>
      <c r="AA4482" s="101" t="s">
        <v>50</v>
      </c>
      <c r="AB4482" s="101" t="s">
        <v>172</v>
      </c>
      <c r="AC4482" s="102" t="s">
        <v>173</v>
      </c>
    </row>
    <row r="4483" spans="1:29" ht="25.5" customHeight="1" x14ac:dyDescent="0.35">
      <c r="A4483" s="392"/>
      <c r="B4483" s="393"/>
      <c r="C4483" s="99" t="str">
        <f>IF(B4483="","",IF(NOT(ISNUMBER(B4483)),"DATA_PC invalida",IF(NOT(ISNUMBER(parametros!$C$2)),"Fora dos ciclos",IF(OR(B4483&lt;parametros!$C$2,(YEAR(B4483)-YEAR(parametros!$C$2))*12+MONTH(B4483)-MONTH(parametros!$C$2)&gt;59),"Fora dos ciclos","C"&amp;INT(((YEAR(B4483)-YEAR(parametros!$C$2))*12+MONTH(B4483)-MONTH(parametros!$C$2))/12)))))</f>
        <v/>
      </c>
      <c r="D4483" s="394"/>
      <c r="E4483" s="78" t="str">
        <f>IF(C4483="","",IFERROR(VLOOKUP(C4483,parametros!$A$11:$E$15,5,0),""))</f>
        <v/>
      </c>
      <c r="F4483" s="79" t="str">
        <f t="shared" si="352"/>
        <v/>
      </c>
      <c r="G4483" s="395"/>
      <c r="H4483" s="91">
        <f t="shared" si="353"/>
        <v>0</v>
      </c>
      <c r="I4483" s="91" t="str">
        <f t="shared" si="354"/>
        <v/>
      </c>
      <c r="J4483" s="91" t="str">
        <f t="shared" si="355"/>
        <v/>
      </c>
      <c r="K4483" s="92" t="str">
        <f>IF(AND(A4483="",B4483="",D4483="",G4483=""),"",IF(AND(A4483&lt;&gt;"",COUNTIF($A$2:$A$5001,A4483)&gt;1),"NUMERO_PC duplicado",IF(B4483="","DATA_PC vazia",IF(NOT(ISNUMBER(B4483)),"DATA_PC invalida",IF(OR(C4483="",C4483="Fora dos ciclos"),"CICLO_PC nao identificado",IF(OR(D4483="",D4483=0),"VALOR_PC vazio ou zero",IF(AND(G4483&lt;&gt;"Sim",G4483&lt;&gt;"Nao",G4483&lt;&gt;""),"PC_PAGO_A_CONTRATADA invalido",IF(AND(C4483&lt;&gt;"C0",IFERROR(INDEX(parametros!$A$2:$A$6,MATCH(C4483,parametros!$B$2:$B$6,0)),"")="Sim",IFERROR(INDEX(parametros!$H$2:$H$6,MATCH(C4483,parametros!$B$2:$B$6,0)),"")=""),"INICIO_EFEITO ausente: PC "&amp;A4483&amp;" - "&amp;C4483,IF(L4483="","EFEITO_PC nao calculado: PC "&amp;A4483&amp;" - "&amp;C4483,"OK")))))))))</f>
        <v/>
      </c>
      <c r="L4483" s="92" t="str">
        <f>IF(AND(A4483="",B4483="",D4483="",G4483=""),"",IF(OR(B4483="",NOT(ISNUMBER(B4483)),C4483="",C4483="Fora dos ciclos"),"",IF(C4483="C0","Nao",IF(IFERROR(INDEX(parametros!$A$2:$A$6,MATCH(C4483,parametros!$B$2:$B$6,0)),"")&lt;&gt;"Sim","Nao",IF(IFERROR(INDEX(parametros!$H$2:$H$6,MATCH(C4483,parametros!$B$2:$B$6,0)),"")="","",IF(B4483&gt;=IFERROR(INDEX(parametros!$H$2:$H$6,MATCH(C4483,parametros!$B$2:$B$6,0)),""),"Sim","Nao"))))))</f>
        <v/>
      </c>
      <c r="T4483" s="156"/>
      <c r="U4483" s="214" t="str">
        <f t="shared" si="356"/>
        <v/>
      </c>
      <c r="V4483" s="212" t="s">
        <v>50</v>
      </c>
      <c r="W4483" s="100" t="s">
        <v>168</v>
      </c>
      <c r="X4483" s="100" t="s">
        <v>169</v>
      </c>
      <c r="Y4483" s="101" t="s">
        <v>170</v>
      </c>
      <c r="Z4483" s="101" t="s">
        <v>171</v>
      </c>
      <c r="AA4483" s="101" t="s">
        <v>50</v>
      </c>
      <c r="AB4483" s="101" t="s">
        <v>172</v>
      </c>
      <c r="AC4483" s="102" t="s">
        <v>173</v>
      </c>
    </row>
    <row r="4484" spans="1:29" ht="25.5" customHeight="1" x14ac:dyDescent="0.35">
      <c r="A4484" s="392"/>
      <c r="B4484" s="393"/>
      <c r="C4484" s="99" t="str">
        <f>IF(B4484="","",IF(NOT(ISNUMBER(B4484)),"DATA_PC invalida",IF(NOT(ISNUMBER(parametros!$C$2)),"Fora dos ciclos",IF(OR(B4484&lt;parametros!$C$2,(YEAR(B4484)-YEAR(parametros!$C$2))*12+MONTH(B4484)-MONTH(parametros!$C$2)&gt;59),"Fora dos ciclos","C"&amp;INT(((YEAR(B4484)-YEAR(parametros!$C$2))*12+MONTH(B4484)-MONTH(parametros!$C$2))/12)))))</f>
        <v/>
      </c>
      <c r="D4484" s="394"/>
      <c r="E4484" s="78" t="str">
        <f>IF(C4484="","",IFERROR(VLOOKUP(C4484,parametros!$A$11:$E$15,5,0),""))</f>
        <v/>
      </c>
      <c r="F4484" s="79" t="str">
        <f t="shared" si="352"/>
        <v/>
      </c>
      <c r="G4484" s="395"/>
      <c r="H4484" s="91">
        <f t="shared" si="353"/>
        <v>0</v>
      </c>
      <c r="I4484" s="91" t="str">
        <f t="shared" si="354"/>
        <v/>
      </c>
      <c r="J4484" s="91" t="str">
        <f t="shared" si="355"/>
        <v/>
      </c>
      <c r="K4484" s="92" t="str">
        <f>IF(AND(A4484="",B4484="",D4484="",G4484=""),"",IF(AND(A4484&lt;&gt;"",COUNTIF($A$2:$A$5001,A4484)&gt;1),"NUMERO_PC duplicado",IF(B4484="","DATA_PC vazia",IF(NOT(ISNUMBER(B4484)),"DATA_PC invalida",IF(OR(C4484="",C4484="Fora dos ciclos"),"CICLO_PC nao identificado",IF(OR(D4484="",D4484=0),"VALOR_PC vazio ou zero",IF(AND(G4484&lt;&gt;"Sim",G4484&lt;&gt;"Nao",G4484&lt;&gt;""),"PC_PAGO_A_CONTRATADA invalido",IF(AND(C4484&lt;&gt;"C0",IFERROR(INDEX(parametros!$A$2:$A$6,MATCH(C4484,parametros!$B$2:$B$6,0)),"")="Sim",IFERROR(INDEX(parametros!$H$2:$H$6,MATCH(C4484,parametros!$B$2:$B$6,0)),"")=""),"INICIO_EFEITO ausente: PC "&amp;A4484&amp;" - "&amp;C4484,IF(L4484="","EFEITO_PC nao calculado: PC "&amp;A4484&amp;" - "&amp;C4484,"OK")))))))))</f>
        <v/>
      </c>
      <c r="L4484" s="92" t="str">
        <f>IF(AND(A4484="",B4484="",D4484="",G4484=""),"",IF(OR(B4484="",NOT(ISNUMBER(B4484)),C4484="",C4484="Fora dos ciclos"),"",IF(C4484="C0","Nao",IF(IFERROR(INDEX(parametros!$A$2:$A$6,MATCH(C4484,parametros!$B$2:$B$6,0)),"")&lt;&gt;"Sim","Nao",IF(IFERROR(INDEX(parametros!$H$2:$H$6,MATCH(C4484,parametros!$B$2:$B$6,0)),"")="","",IF(B4484&gt;=IFERROR(INDEX(parametros!$H$2:$H$6,MATCH(C4484,parametros!$B$2:$B$6,0)),""),"Sim","Nao"))))))</f>
        <v/>
      </c>
      <c r="T4484" s="156"/>
      <c r="U4484" s="214" t="str">
        <f t="shared" si="356"/>
        <v/>
      </c>
      <c r="V4484" s="212" t="s">
        <v>50</v>
      </c>
      <c r="W4484" s="100" t="s">
        <v>168</v>
      </c>
      <c r="X4484" s="100" t="s">
        <v>169</v>
      </c>
      <c r="Y4484" s="101" t="s">
        <v>170</v>
      </c>
      <c r="Z4484" s="101" t="s">
        <v>171</v>
      </c>
      <c r="AA4484" s="101" t="s">
        <v>50</v>
      </c>
      <c r="AB4484" s="101" t="s">
        <v>172</v>
      </c>
      <c r="AC4484" s="102" t="s">
        <v>173</v>
      </c>
    </row>
    <row r="4485" spans="1:29" ht="25.5" customHeight="1" x14ac:dyDescent="0.35">
      <c r="A4485" s="392"/>
      <c r="B4485" s="393"/>
      <c r="C4485" s="99" t="str">
        <f>IF(B4485="","",IF(NOT(ISNUMBER(B4485)),"DATA_PC invalida",IF(NOT(ISNUMBER(parametros!$C$2)),"Fora dos ciclos",IF(OR(B4485&lt;parametros!$C$2,(YEAR(B4485)-YEAR(parametros!$C$2))*12+MONTH(B4485)-MONTH(parametros!$C$2)&gt;59),"Fora dos ciclos","C"&amp;INT(((YEAR(B4485)-YEAR(parametros!$C$2))*12+MONTH(B4485)-MONTH(parametros!$C$2))/12)))))</f>
        <v/>
      </c>
      <c r="D4485" s="394"/>
      <c r="E4485" s="78" t="str">
        <f>IF(C4485="","",IFERROR(VLOOKUP(C4485,parametros!$A$11:$E$15,5,0),""))</f>
        <v/>
      </c>
      <c r="F4485" s="79" t="str">
        <f t="shared" si="352"/>
        <v/>
      </c>
      <c r="G4485" s="395"/>
      <c r="H4485" s="91">
        <f t="shared" si="353"/>
        <v>0</v>
      </c>
      <c r="I4485" s="91" t="str">
        <f t="shared" si="354"/>
        <v/>
      </c>
      <c r="J4485" s="91" t="str">
        <f t="shared" si="355"/>
        <v/>
      </c>
      <c r="K4485" s="92" t="str">
        <f>IF(AND(A4485="",B4485="",D4485="",G4485=""),"",IF(AND(A4485&lt;&gt;"",COUNTIF($A$2:$A$5001,A4485)&gt;1),"NUMERO_PC duplicado",IF(B4485="","DATA_PC vazia",IF(NOT(ISNUMBER(B4485)),"DATA_PC invalida",IF(OR(C4485="",C4485="Fora dos ciclos"),"CICLO_PC nao identificado",IF(OR(D4485="",D4485=0),"VALOR_PC vazio ou zero",IF(AND(G4485&lt;&gt;"Sim",G4485&lt;&gt;"Nao",G4485&lt;&gt;""),"PC_PAGO_A_CONTRATADA invalido",IF(AND(C4485&lt;&gt;"C0",IFERROR(INDEX(parametros!$A$2:$A$6,MATCH(C4485,parametros!$B$2:$B$6,0)),"")="Sim",IFERROR(INDEX(parametros!$H$2:$H$6,MATCH(C4485,parametros!$B$2:$B$6,0)),"")=""),"INICIO_EFEITO ausente: PC "&amp;A4485&amp;" - "&amp;C4485,IF(L4485="","EFEITO_PC nao calculado: PC "&amp;A4485&amp;" - "&amp;C4485,"OK")))))))))</f>
        <v/>
      </c>
      <c r="L4485" s="92" t="str">
        <f>IF(AND(A4485="",B4485="",D4485="",G4485=""),"",IF(OR(B4485="",NOT(ISNUMBER(B4485)),C4485="",C4485="Fora dos ciclos"),"",IF(C4485="C0","Nao",IF(IFERROR(INDEX(parametros!$A$2:$A$6,MATCH(C4485,parametros!$B$2:$B$6,0)),"")&lt;&gt;"Sim","Nao",IF(IFERROR(INDEX(parametros!$H$2:$H$6,MATCH(C4485,parametros!$B$2:$B$6,0)),"")="","",IF(B4485&gt;=IFERROR(INDEX(parametros!$H$2:$H$6,MATCH(C4485,parametros!$B$2:$B$6,0)),""),"Sim","Nao"))))))</f>
        <v/>
      </c>
      <c r="T4485" s="156"/>
      <c r="U4485" s="214" t="str">
        <f t="shared" si="356"/>
        <v/>
      </c>
      <c r="V4485" s="212" t="s">
        <v>50</v>
      </c>
      <c r="W4485" s="100" t="s">
        <v>168</v>
      </c>
      <c r="X4485" s="100" t="s">
        <v>169</v>
      </c>
      <c r="Y4485" s="101" t="s">
        <v>170</v>
      </c>
      <c r="Z4485" s="101" t="s">
        <v>171</v>
      </c>
      <c r="AA4485" s="101" t="s">
        <v>50</v>
      </c>
      <c r="AB4485" s="101" t="s">
        <v>172</v>
      </c>
      <c r="AC4485" s="102" t="s">
        <v>173</v>
      </c>
    </row>
    <row r="4486" spans="1:29" ht="25.5" customHeight="1" x14ac:dyDescent="0.35">
      <c r="A4486" s="392"/>
      <c r="B4486" s="393"/>
      <c r="C4486" s="99" t="str">
        <f>IF(B4486="","",IF(NOT(ISNUMBER(B4486)),"DATA_PC invalida",IF(NOT(ISNUMBER(parametros!$C$2)),"Fora dos ciclos",IF(OR(B4486&lt;parametros!$C$2,(YEAR(B4486)-YEAR(parametros!$C$2))*12+MONTH(B4486)-MONTH(parametros!$C$2)&gt;59),"Fora dos ciclos","C"&amp;INT(((YEAR(B4486)-YEAR(parametros!$C$2))*12+MONTH(B4486)-MONTH(parametros!$C$2))/12)))))</f>
        <v/>
      </c>
      <c r="D4486" s="394"/>
      <c r="E4486" s="78" t="str">
        <f>IF(C4486="","",IFERROR(VLOOKUP(C4486,parametros!$A$11:$E$15,5,0),""))</f>
        <v/>
      </c>
      <c r="F4486" s="79" t="str">
        <f t="shared" si="352"/>
        <v/>
      </c>
      <c r="G4486" s="395"/>
      <c r="H4486" s="91">
        <f t="shared" si="353"/>
        <v>0</v>
      </c>
      <c r="I4486" s="91" t="str">
        <f t="shared" si="354"/>
        <v/>
      </c>
      <c r="J4486" s="91" t="str">
        <f t="shared" si="355"/>
        <v/>
      </c>
      <c r="K4486" s="92" t="str">
        <f>IF(AND(A4486="",B4486="",D4486="",G4486=""),"",IF(AND(A4486&lt;&gt;"",COUNTIF($A$2:$A$5001,A4486)&gt;1),"NUMERO_PC duplicado",IF(B4486="","DATA_PC vazia",IF(NOT(ISNUMBER(B4486)),"DATA_PC invalida",IF(OR(C4486="",C4486="Fora dos ciclos"),"CICLO_PC nao identificado",IF(OR(D4486="",D4486=0),"VALOR_PC vazio ou zero",IF(AND(G4486&lt;&gt;"Sim",G4486&lt;&gt;"Nao",G4486&lt;&gt;""),"PC_PAGO_A_CONTRATADA invalido",IF(AND(C4486&lt;&gt;"C0",IFERROR(INDEX(parametros!$A$2:$A$6,MATCH(C4486,parametros!$B$2:$B$6,0)),"")="Sim",IFERROR(INDEX(parametros!$H$2:$H$6,MATCH(C4486,parametros!$B$2:$B$6,0)),"")=""),"INICIO_EFEITO ausente: PC "&amp;A4486&amp;" - "&amp;C4486,IF(L4486="","EFEITO_PC nao calculado: PC "&amp;A4486&amp;" - "&amp;C4486,"OK")))))))))</f>
        <v/>
      </c>
      <c r="L4486" s="92" t="str">
        <f>IF(AND(A4486="",B4486="",D4486="",G4486=""),"",IF(OR(B4486="",NOT(ISNUMBER(B4486)),C4486="",C4486="Fora dos ciclos"),"",IF(C4486="C0","Nao",IF(IFERROR(INDEX(parametros!$A$2:$A$6,MATCH(C4486,parametros!$B$2:$B$6,0)),"")&lt;&gt;"Sim","Nao",IF(IFERROR(INDEX(parametros!$H$2:$H$6,MATCH(C4486,parametros!$B$2:$B$6,0)),"")="","",IF(B4486&gt;=IFERROR(INDEX(parametros!$H$2:$H$6,MATCH(C4486,parametros!$B$2:$B$6,0)),""),"Sim","Nao"))))))</f>
        <v/>
      </c>
      <c r="T4486" s="156"/>
      <c r="U4486" s="214" t="str">
        <f t="shared" si="356"/>
        <v/>
      </c>
      <c r="V4486" s="212" t="s">
        <v>50</v>
      </c>
      <c r="W4486" s="100" t="s">
        <v>168</v>
      </c>
      <c r="X4486" s="100" t="s">
        <v>169</v>
      </c>
      <c r="Y4486" s="101" t="s">
        <v>170</v>
      </c>
      <c r="Z4486" s="101" t="s">
        <v>171</v>
      </c>
      <c r="AA4486" s="101" t="s">
        <v>50</v>
      </c>
      <c r="AB4486" s="101" t="s">
        <v>172</v>
      </c>
      <c r="AC4486" s="102" t="s">
        <v>173</v>
      </c>
    </row>
    <row r="4487" spans="1:29" ht="25.5" customHeight="1" x14ac:dyDescent="0.35">
      <c r="A4487" s="392"/>
      <c r="B4487" s="393"/>
      <c r="C4487" s="99" t="str">
        <f>IF(B4487="","",IF(NOT(ISNUMBER(B4487)),"DATA_PC invalida",IF(NOT(ISNUMBER(parametros!$C$2)),"Fora dos ciclos",IF(OR(B4487&lt;parametros!$C$2,(YEAR(B4487)-YEAR(parametros!$C$2))*12+MONTH(B4487)-MONTH(parametros!$C$2)&gt;59),"Fora dos ciclos","C"&amp;INT(((YEAR(B4487)-YEAR(parametros!$C$2))*12+MONTH(B4487)-MONTH(parametros!$C$2))/12)))))</f>
        <v/>
      </c>
      <c r="D4487" s="394"/>
      <c r="E4487" s="78" t="str">
        <f>IF(C4487="","",IFERROR(VLOOKUP(C4487,parametros!$A$11:$E$15,5,0),""))</f>
        <v/>
      </c>
      <c r="F4487" s="79" t="str">
        <f t="shared" si="352"/>
        <v/>
      </c>
      <c r="G4487" s="395"/>
      <c r="H4487" s="91">
        <f t="shared" si="353"/>
        <v>0</v>
      </c>
      <c r="I4487" s="91" t="str">
        <f t="shared" si="354"/>
        <v/>
      </c>
      <c r="J4487" s="91" t="str">
        <f t="shared" si="355"/>
        <v/>
      </c>
      <c r="K4487" s="92" t="str">
        <f>IF(AND(A4487="",B4487="",D4487="",G4487=""),"",IF(AND(A4487&lt;&gt;"",COUNTIF($A$2:$A$5001,A4487)&gt;1),"NUMERO_PC duplicado",IF(B4487="","DATA_PC vazia",IF(NOT(ISNUMBER(B4487)),"DATA_PC invalida",IF(OR(C4487="",C4487="Fora dos ciclos"),"CICLO_PC nao identificado",IF(OR(D4487="",D4487=0),"VALOR_PC vazio ou zero",IF(AND(G4487&lt;&gt;"Sim",G4487&lt;&gt;"Nao",G4487&lt;&gt;""),"PC_PAGO_A_CONTRATADA invalido",IF(AND(C4487&lt;&gt;"C0",IFERROR(INDEX(parametros!$A$2:$A$6,MATCH(C4487,parametros!$B$2:$B$6,0)),"")="Sim",IFERROR(INDEX(parametros!$H$2:$H$6,MATCH(C4487,parametros!$B$2:$B$6,0)),"")=""),"INICIO_EFEITO ausente: PC "&amp;A4487&amp;" - "&amp;C4487,IF(L4487="","EFEITO_PC nao calculado: PC "&amp;A4487&amp;" - "&amp;C4487,"OK")))))))))</f>
        <v/>
      </c>
      <c r="L4487" s="92" t="str">
        <f>IF(AND(A4487="",B4487="",D4487="",G4487=""),"",IF(OR(B4487="",NOT(ISNUMBER(B4487)),C4487="",C4487="Fora dos ciclos"),"",IF(C4487="C0","Nao",IF(IFERROR(INDEX(parametros!$A$2:$A$6,MATCH(C4487,parametros!$B$2:$B$6,0)),"")&lt;&gt;"Sim","Nao",IF(IFERROR(INDEX(parametros!$H$2:$H$6,MATCH(C4487,parametros!$B$2:$B$6,0)),"")="","",IF(B4487&gt;=IFERROR(INDEX(parametros!$H$2:$H$6,MATCH(C4487,parametros!$B$2:$B$6,0)),""),"Sim","Nao"))))))</f>
        <v/>
      </c>
      <c r="T4487" s="156"/>
      <c r="U4487" s="214" t="str">
        <f t="shared" si="356"/>
        <v/>
      </c>
      <c r="V4487" s="212" t="s">
        <v>50</v>
      </c>
      <c r="W4487" s="100" t="s">
        <v>168</v>
      </c>
      <c r="X4487" s="100" t="s">
        <v>169</v>
      </c>
      <c r="Y4487" s="101" t="s">
        <v>170</v>
      </c>
      <c r="Z4487" s="101" t="s">
        <v>171</v>
      </c>
      <c r="AA4487" s="101" t="s">
        <v>50</v>
      </c>
      <c r="AB4487" s="101" t="s">
        <v>172</v>
      </c>
      <c r="AC4487" s="102" t="s">
        <v>173</v>
      </c>
    </row>
    <row r="4488" spans="1:29" ht="25.5" customHeight="1" x14ac:dyDescent="0.35">
      <c r="A4488" s="392"/>
      <c r="B4488" s="393"/>
      <c r="C4488" s="99" t="str">
        <f>IF(B4488="","",IF(NOT(ISNUMBER(B4488)),"DATA_PC invalida",IF(NOT(ISNUMBER(parametros!$C$2)),"Fora dos ciclos",IF(OR(B4488&lt;parametros!$C$2,(YEAR(B4488)-YEAR(parametros!$C$2))*12+MONTH(B4488)-MONTH(parametros!$C$2)&gt;59),"Fora dos ciclos","C"&amp;INT(((YEAR(B4488)-YEAR(parametros!$C$2))*12+MONTH(B4488)-MONTH(parametros!$C$2))/12)))))</f>
        <v/>
      </c>
      <c r="D4488" s="394"/>
      <c r="E4488" s="78" t="str">
        <f>IF(C4488="","",IFERROR(VLOOKUP(C4488,parametros!$A$11:$E$15,5,0),""))</f>
        <v/>
      </c>
      <c r="F4488" s="79" t="str">
        <f t="shared" si="352"/>
        <v/>
      </c>
      <c r="G4488" s="395"/>
      <c r="H4488" s="91">
        <f t="shared" si="353"/>
        <v>0</v>
      </c>
      <c r="I4488" s="91" t="str">
        <f t="shared" si="354"/>
        <v/>
      </c>
      <c r="J4488" s="91" t="str">
        <f t="shared" si="355"/>
        <v/>
      </c>
      <c r="K4488" s="92" t="str">
        <f>IF(AND(A4488="",B4488="",D4488="",G4488=""),"",IF(AND(A4488&lt;&gt;"",COUNTIF($A$2:$A$5001,A4488)&gt;1),"NUMERO_PC duplicado",IF(B4488="","DATA_PC vazia",IF(NOT(ISNUMBER(B4488)),"DATA_PC invalida",IF(OR(C4488="",C4488="Fora dos ciclos"),"CICLO_PC nao identificado",IF(OR(D4488="",D4488=0),"VALOR_PC vazio ou zero",IF(AND(G4488&lt;&gt;"Sim",G4488&lt;&gt;"Nao",G4488&lt;&gt;""),"PC_PAGO_A_CONTRATADA invalido",IF(AND(C4488&lt;&gt;"C0",IFERROR(INDEX(parametros!$A$2:$A$6,MATCH(C4488,parametros!$B$2:$B$6,0)),"")="Sim",IFERROR(INDEX(parametros!$H$2:$H$6,MATCH(C4488,parametros!$B$2:$B$6,0)),"")=""),"INICIO_EFEITO ausente: PC "&amp;A4488&amp;" - "&amp;C4488,IF(L4488="","EFEITO_PC nao calculado: PC "&amp;A4488&amp;" - "&amp;C4488,"OK")))))))))</f>
        <v/>
      </c>
      <c r="L4488" s="92" t="str">
        <f>IF(AND(A4488="",B4488="",D4488="",G4488=""),"",IF(OR(B4488="",NOT(ISNUMBER(B4488)),C4488="",C4488="Fora dos ciclos"),"",IF(C4488="C0","Nao",IF(IFERROR(INDEX(parametros!$A$2:$A$6,MATCH(C4488,parametros!$B$2:$B$6,0)),"")&lt;&gt;"Sim","Nao",IF(IFERROR(INDEX(parametros!$H$2:$H$6,MATCH(C4488,parametros!$B$2:$B$6,0)),"")="","",IF(B4488&gt;=IFERROR(INDEX(parametros!$H$2:$H$6,MATCH(C4488,parametros!$B$2:$B$6,0)),""),"Sim","Nao"))))))</f>
        <v/>
      </c>
      <c r="T4488" s="156"/>
      <c r="U4488" s="214" t="str">
        <f t="shared" si="356"/>
        <v/>
      </c>
      <c r="V4488" s="212" t="s">
        <v>50</v>
      </c>
      <c r="W4488" s="100" t="s">
        <v>168</v>
      </c>
      <c r="X4488" s="100" t="s">
        <v>169</v>
      </c>
      <c r="Y4488" s="101" t="s">
        <v>170</v>
      </c>
      <c r="Z4488" s="101" t="s">
        <v>171</v>
      </c>
      <c r="AA4488" s="101" t="s">
        <v>50</v>
      </c>
      <c r="AB4488" s="101" t="s">
        <v>172</v>
      </c>
      <c r="AC4488" s="102" t="s">
        <v>173</v>
      </c>
    </row>
    <row r="4489" spans="1:29" ht="25.5" customHeight="1" x14ac:dyDescent="0.35">
      <c r="A4489" s="392"/>
      <c r="B4489" s="393"/>
      <c r="C4489" s="99" t="str">
        <f>IF(B4489="","",IF(NOT(ISNUMBER(B4489)),"DATA_PC invalida",IF(NOT(ISNUMBER(parametros!$C$2)),"Fora dos ciclos",IF(OR(B4489&lt;parametros!$C$2,(YEAR(B4489)-YEAR(parametros!$C$2))*12+MONTH(B4489)-MONTH(parametros!$C$2)&gt;59),"Fora dos ciclos","C"&amp;INT(((YEAR(B4489)-YEAR(parametros!$C$2))*12+MONTH(B4489)-MONTH(parametros!$C$2))/12)))))</f>
        <v/>
      </c>
      <c r="D4489" s="394"/>
      <c r="E4489" s="78" t="str">
        <f>IF(C4489="","",IFERROR(VLOOKUP(C4489,parametros!$A$11:$E$15,5,0),""))</f>
        <v/>
      </c>
      <c r="F4489" s="79" t="str">
        <f t="shared" si="352"/>
        <v/>
      </c>
      <c r="G4489" s="395"/>
      <c r="H4489" s="91">
        <f t="shared" si="353"/>
        <v>0</v>
      </c>
      <c r="I4489" s="91" t="str">
        <f t="shared" si="354"/>
        <v/>
      </c>
      <c r="J4489" s="91" t="str">
        <f t="shared" si="355"/>
        <v/>
      </c>
      <c r="K4489" s="92" t="str">
        <f>IF(AND(A4489="",B4489="",D4489="",G4489=""),"",IF(AND(A4489&lt;&gt;"",COUNTIF($A$2:$A$5001,A4489)&gt;1),"NUMERO_PC duplicado",IF(B4489="","DATA_PC vazia",IF(NOT(ISNUMBER(B4489)),"DATA_PC invalida",IF(OR(C4489="",C4489="Fora dos ciclos"),"CICLO_PC nao identificado",IF(OR(D4489="",D4489=0),"VALOR_PC vazio ou zero",IF(AND(G4489&lt;&gt;"Sim",G4489&lt;&gt;"Nao",G4489&lt;&gt;""),"PC_PAGO_A_CONTRATADA invalido",IF(AND(C4489&lt;&gt;"C0",IFERROR(INDEX(parametros!$A$2:$A$6,MATCH(C4489,parametros!$B$2:$B$6,0)),"")="Sim",IFERROR(INDEX(parametros!$H$2:$H$6,MATCH(C4489,parametros!$B$2:$B$6,0)),"")=""),"INICIO_EFEITO ausente: PC "&amp;A4489&amp;" - "&amp;C4489,IF(L4489="","EFEITO_PC nao calculado: PC "&amp;A4489&amp;" - "&amp;C4489,"OK")))))))))</f>
        <v/>
      </c>
      <c r="L4489" s="92" t="str">
        <f>IF(AND(A4489="",B4489="",D4489="",G4489=""),"",IF(OR(B4489="",NOT(ISNUMBER(B4489)),C4489="",C4489="Fora dos ciclos"),"",IF(C4489="C0","Nao",IF(IFERROR(INDEX(parametros!$A$2:$A$6,MATCH(C4489,parametros!$B$2:$B$6,0)),"")&lt;&gt;"Sim","Nao",IF(IFERROR(INDEX(parametros!$H$2:$H$6,MATCH(C4489,parametros!$B$2:$B$6,0)),"")="","",IF(B4489&gt;=IFERROR(INDEX(parametros!$H$2:$H$6,MATCH(C4489,parametros!$B$2:$B$6,0)),""),"Sim","Nao"))))))</f>
        <v/>
      </c>
      <c r="T4489" s="156"/>
      <c r="U4489" s="214" t="str">
        <f t="shared" si="356"/>
        <v/>
      </c>
      <c r="V4489" s="212" t="s">
        <v>50</v>
      </c>
      <c r="W4489" s="100" t="s">
        <v>168</v>
      </c>
      <c r="X4489" s="100" t="s">
        <v>169</v>
      </c>
      <c r="Y4489" s="101" t="s">
        <v>170</v>
      </c>
      <c r="Z4489" s="101" t="s">
        <v>171</v>
      </c>
      <c r="AA4489" s="101" t="s">
        <v>50</v>
      </c>
      <c r="AB4489" s="101" t="s">
        <v>172</v>
      </c>
      <c r="AC4489" s="102" t="s">
        <v>173</v>
      </c>
    </row>
    <row r="4490" spans="1:29" ht="25.5" customHeight="1" x14ac:dyDescent="0.35">
      <c r="A4490" s="392"/>
      <c r="B4490" s="393"/>
      <c r="C4490" s="99" t="str">
        <f>IF(B4490="","",IF(NOT(ISNUMBER(B4490)),"DATA_PC invalida",IF(NOT(ISNUMBER(parametros!$C$2)),"Fora dos ciclos",IF(OR(B4490&lt;parametros!$C$2,(YEAR(B4490)-YEAR(parametros!$C$2))*12+MONTH(B4490)-MONTH(parametros!$C$2)&gt;59),"Fora dos ciclos","C"&amp;INT(((YEAR(B4490)-YEAR(parametros!$C$2))*12+MONTH(B4490)-MONTH(parametros!$C$2))/12)))))</f>
        <v/>
      </c>
      <c r="D4490" s="394"/>
      <c r="E4490" s="78" t="str">
        <f>IF(C4490="","",IFERROR(VLOOKUP(C4490,parametros!$A$11:$E$15,5,0),""))</f>
        <v/>
      </c>
      <c r="F4490" s="79" t="str">
        <f t="shared" si="352"/>
        <v/>
      </c>
      <c r="G4490" s="395"/>
      <c r="H4490" s="91">
        <f t="shared" si="353"/>
        <v>0</v>
      </c>
      <c r="I4490" s="91" t="str">
        <f t="shared" si="354"/>
        <v/>
      </c>
      <c r="J4490" s="91" t="str">
        <f t="shared" si="355"/>
        <v/>
      </c>
      <c r="K4490" s="92" t="str">
        <f>IF(AND(A4490="",B4490="",D4490="",G4490=""),"",IF(AND(A4490&lt;&gt;"",COUNTIF($A$2:$A$5001,A4490)&gt;1),"NUMERO_PC duplicado",IF(B4490="","DATA_PC vazia",IF(NOT(ISNUMBER(B4490)),"DATA_PC invalida",IF(OR(C4490="",C4490="Fora dos ciclos"),"CICLO_PC nao identificado",IF(OR(D4490="",D4490=0),"VALOR_PC vazio ou zero",IF(AND(G4490&lt;&gt;"Sim",G4490&lt;&gt;"Nao",G4490&lt;&gt;""),"PC_PAGO_A_CONTRATADA invalido",IF(AND(C4490&lt;&gt;"C0",IFERROR(INDEX(parametros!$A$2:$A$6,MATCH(C4490,parametros!$B$2:$B$6,0)),"")="Sim",IFERROR(INDEX(parametros!$H$2:$H$6,MATCH(C4490,parametros!$B$2:$B$6,0)),"")=""),"INICIO_EFEITO ausente: PC "&amp;A4490&amp;" - "&amp;C4490,IF(L4490="","EFEITO_PC nao calculado: PC "&amp;A4490&amp;" - "&amp;C4490,"OK")))))))))</f>
        <v/>
      </c>
      <c r="L4490" s="92" t="str">
        <f>IF(AND(A4490="",B4490="",D4490="",G4490=""),"",IF(OR(B4490="",NOT(ISNUMBER(B4490)),C4490="",C4490="Fora dos ciclos"),"",IF(C4490="C0","Nao",IF(IFERROR(INDEX(parametros!$A$2:$A$6,MATCH(C4490,parametros!$B$2:$B$6,0)),"")&lt;&gt;"Sim","Nao",IF(IFERROR(INDEX(parametros!$H$2:$H$6,MATCH(C4490,parametros!$B$2:$B$6,0)),"")="","",IF(B4490&gt;=IFERROR(INDEX(parametros!$H$2:$H$6,MATCH(C4490,parametros!$B$2:$B$6,0)),""),"Sim","Nao"))))))</f>
        <v/>
      </c>
      <c r="T4490" s="156"/>
      <c r="U4490" s="214" t="str">
        <f t="shared" si="356"/>
        <v/>
      </c>
      <c r="V4490" s="212" t="s">
        <v>50</v>
      </c>
      <c r="W4490" s="100" t="s">
        <v>168</v>
      </c>
      <c r="X4490" s="100" t="s">
        <v>169</v>
      </c>
      <c r="Y4490" s="101" t="s">
        <v>170</v>
      </c>
      <c r="Z4490" s="101" t="s">
        <v>171</v>
      </c>
      <c r="AA4490" s="101" t="s">
        <v>50</v>
      </c>
      <c r="AB4490" s="101" t="s">
        <v>172</v>
      </c>
      <c r="AC4490" s="102" t="s">
        <v>173</v>
      </c>
    </row>
    <row r="4491" spans="1:29" ht="25.5" customHeight="1" x14ac:dyDescent="0.35">
      <c r="A4491" s="392"/>
      <c r="B4491" s="393"/>
      <c r="C4491" s="99" t="str">
        <f>IF(B4491="","",IF(NOT(ISNUMBER(B4491)),"DATA_PC invalida",IF(NOT(ISNUMBER(parametros!$C$2)),"Fora dos ciclos",IF(OR(B4491&lt;parametros!$C$2,(YEAR(B4491)-YEAR(parametros!$C$2))*12+MONTH(B4491)-MONTH(parametros!$C$2)&gt;59),"Fora dos ciclos","C"&amp;INT(((YEAR(B4491)-YEAR(parametros!$C$2))*12+MONTH(B4491)-MONTH(parametros!$C$2))/12)))))</f>
        <v/>
      </c>
      <c r="D4491" s="394"/>
      <c r="E4491" s="78" t="str">
        <f>IF(C4491="","",IFERROR(VLOOKUP(C4491,parametros!$A$11:$E$15,5,0),""))</f>
        <v/>
      </c>
      <c r="F4491" s="79" t="str">
        <f t="shared" si="352"/>
        <v/>
      </c>
      <c r="G4491" s="395"/>
      <c r="H4491" s="91">
        <f t="shared" si="353"/>
        <v>0</v>
      </c>
      <c r="I4491" s="91" t="str">
        <f t="shared" si="354"/>
        <v/>
      </c>
      <c r="J4491" s="91" t="str">
        <f t="shared" si="355"/>
        <v/>
      </c>
      <c r="K4491" s="92" t="str">
        <f>IF(AND(A4491="",B4491="",D4491="",G4491=""),"",IF(AND(A4491&lt;&gt;"",COUNTIF($A$2:$A$5001,A4491)&gt;1),"NUMERO_PC duplicado",IF(B4491="","DATA_PC vazia",IF(NOT(ISNUMBER(B4491)),"DATA_PC invalida",IF(OR(C4491="",C4491="Fora dos ciclos"),"CICLO_PC nao identificado",IF(OR(D4491="",D4491=0),"VALOR_PC vazio ou zero",IF(AND(G4491&lt;&gt;"Sim",G4491&lt;&gt;"Nao",G4491&lt;&gt;""),"PC_PAGO_A_CONTRATADA invalido",IF(AND(C4491&lt;&gt;"C0",IFERROR(INDEX(parametros!$A$2:$A$6,MATCH(C4491,parametros!$B$2:$B$6,0)),"")="Sim",IFERROR(INDEX(parametros!$H$2:$H$6,MATCH(C4491,parametros!$B$2:$B$6,0)),"")=""),"INICIO_EFEITO ausente: PC "&amp;A4491&amp;" - "&amp;C4491,IF(L4491="","EFEITO_PC nao calculado: PC "&amp;A4491&amp;" - "&amp;C4491,"OK")))))))))</f>
        <v/>
      </c>
      <c r="L4491" s="92" t="str">
        <f>IF(AND(A4491="",B4491="",D4491="",G4491=""),"",IF(OR(B4491="",NOT(ISNUMBER(B4491)),C4491="",C4491="Fora dos ciclos"),"",IF(C4491="C0","Nao",IF(IFERROR(INDEX(parametros!$A$2:$A$6,MATCH(C4491,parametros!$B$2:$B$6,0)),"")&lt;&gt;"Sim","Nao",IF(IFERROR(INDEX(parametros!$H$2:$H$6,MATCH(C4491,parametros!$B$2:$B$6,0)),"")="","",IF(B4491&gt;=IFERROR(INDEX(parametros!$H$2:$H$6,MATCH(C4491,parametros!$B$2:$B$6,0)),""),"Sim","Nao"))))))</f>
        <v/>
      </c>
      <c r="T4491" s="156"/>
      <c r="U4491" s="214" t="str">
        <f t="shared" si="356"/>
        <v/>
      </c>
      <c r="V4491" s="212" t="s">
        <v>50</v>
      </c>
      <c r="W4491" s="100" t="s">
        <v>168</v>
      </c>
      <c r="X4491" s="100" t="s">
        <v>169</v>
      </c>
      <c r="Y4491" s="101" t="s">
        <v>170</v>
      </c>
      <c r="Z4491" s="101" t="s">
        <v>171</v>
      </c>
      <c r="AA4491" s="101" t="s">
        <v>50</v>
      </c>
      <c r="AB4491" s="101" t="s">
        <v>172</v>
      </c>
      <c r="AC4491" s="102" t="s">
        <v>173</v>
      </c>
    </row>
    <row r="4492" spans="1:29" ht="25.5" customHeight="1" x14ac:dyDescent="0.35">
      <c r="A4492" s="392"/>
      <c r="B4492" s="393"/>
      <c r="C4492" s="99" t="str">
        <f>IF(B4492="","",IF(NOT(ISNUMBER(B4492)),"DATA_PC invalida",IF(NOT(ISNUMBER(parametros!$C$2)),"Fora dos ciclos",IF(OR(B4492&lt;parametros!$C$2,(YEAR(B4492)-YEAR(parametros!$C$2))*12+MONTH(B4492)-MONTH(parametros!$C$2)&gt;59),"Fora dos ciclos","C"&amp;INT(((YEAR(B4492)-YEAR(parametros!$C$2))*12+MONTH(B4492)-MONTH(parametros!$C$2))/12)))))</f>
        <v/>
      </c>
      <c r="D4492" s="394"/>
      <c r="E4492" s="78" t="str">
        <f>IF(C4492="","",IFERROR(VLOOKUP(C4492,parametros!$A$11:$E$15,5,0),""))</f>
        <v/>
      </c>
      <c r="F4492" s="79" t="str">
        <f t="shared" si="352"/>
        <v/>
      </c>
      <c r="G4492" s="395"/>
      <c r="H4492" s="91">
        <f t="shared" si="353"/>
        <v>0</v>
      </c>
      <c r="I4492" s="91" t="str">
        <f t="shared" si="354"/>
        <v/>
      </c>
      <c r="J4492" s="91" t="str">
        <f t="shared" si="355"/>
        <v/>
      </c>
      <c r="K4492" s="92" t="str">
        <f>IF(AND(A4492="",B4492="",D4492="",G4492=""),"",IF(AND(A4492&lt;&gt;"",COUNTIF($A$2:$A$5001,A4492)&gt;1),"NUMERO_PC duplicado",IF(B4492="","DATA_PC vazia",IF(NOT(ISNUMBER(B4492)),"DATA_PC invalida",IF(OR(C4492="",C4492="Fora dos ciclos"),"CICLO_PC nao identificado",IF(OR(D4492="",D4492=0),"VALOR_PC vazio ou zero",IF(AND(G4492&lt;&gt;"Sim",G4492&lt;&gt;"Nao",G4492&lt;&gt;""),"PC_PAGO_A_CONTRATADA invalido",IF(AND(C4492&lt;&gt;"C0",IFERROR(INDEX(parametros!$A$2:$A$6,MATCH(C4492,parametros!$B$2:$B$6,0)),"")="Sim",IFERROR(INDEX(parametros!$H$2:$H$6,MATCH(C4492,parametros!$B$2:$B$6,0)),"")=""),"INICIO_EFEITO ausente: PC "&amp;A4492&amp;" - "&amp;C4492,IF(L4492="","EFEITO_PC nao calculado: PC "&amp;A4492&amp;" - "&amp;C4492,"OK")))))))))</f>
        <v/>
      </c>
      <c r="L4492" s="92" t="str">
        <f>IF(AND(A4492="",B4492="",D4492="",G4492=""),"",IF(OR(B4492="",NOT(ISNUMBER(B4492)),C4492="",C4492="Fora dos ciclos"),"",IF(C4492="C0","Nao",IF(IFERROR(INDEX(parametros!$A$2:$A$6,MATCH(C4492,parametros!$B$2:$B$6,0)),"")&lt;&gt;"Sim","Nao",IF(IFERROR(INDEX(parametros!$H$2:$H$6,MATCH(C4492,parametros!$B$2:$B$6,0)),"")="","",IF(B4492&gt;=IFERROR(INDEX(parametros!$H$2:$H$6,MATCH(C4492,parametros!$B$2:$B$6,0)),""),"Sim","Nao"))))))</f>
        <v/>
      </c>
      <c r="T4492" s="156"/>
      <c r="U4492" s="214" t="str">
        <f t="shared" si="356"/>
        <v/>
      </c>
      <c r="V4492" s="212" t="s">
        <v>50</v>
      </c>
      <c r="W4492" s="100" t="s">
        <v>168</v>
      </c>
      <c r="X4492" s="100" t="s">
        <v>169</v>
      </c>
      <c r="Y4492" s="101" t="s">
        <v>170</v>
      </c>
      <c r="Z4492" s="101" t="s">
        <v>171</v>
      </c>
      <c r="AA4492" s="101" t="s">
        <v>50</v>
      </c>
      <c r="AB4492" s="101" t="s">
        <v>172</v>
      </c>
      <c r="AC4492" s="102" t="s">
        <v>173</v>
      </c>
    </row>
    <row r="4493" spans="1:29" ht="25.5" customHeight="1" x14ac:dyDescent="0.35">
      <c r="A4493" s="392"/>
      <c r="B4493" s="393"/>
      <c r="C4493" s="99" t="str">
        <f>IF(B4493="","",IF(NOT(ISNUMBER(B4493)),"DATA_PC invalida",IF(NOT(ISNUMBER(parametros!$C$2)),"Fora dos ciclos",IF(OR(B4493&lt;parametros!$C$2,(YEAR(B4493)-YEAR(parametros!$C$2))*12+MONTH(B4493)-MONTH(parametros!$C$2)&gt;59),"Fora dos ciclos","C"&amp;INT(((YEAR(B4493)-YEAR(parametros!$C$2))*12+MONTH(B4493)-MONTH(parametros!$C$2))/12)))))</f>
        <v/>
      </c>
      <c r="D4493" s="394"/>
      <c r="E4493" s="78" t="str">
        <f>IF(C4493="","",IFERROR(VLOOKUP(C4493,parametros!$A$11:$E$15,5,0),""))</f>
        <v/>
      </c>
      <c r="F4493" s="79" t="str">
        <f t="shared" si="352"/>
        <v/>
      </c>
      <c r="G4493" s="395"/>
      <c r="H4493" s="91">
        <f t="shared" si="353"/>
        <v>0</v>
      </c>
      <c r="I4493" s="91" t="str">
        <f t="shared" si="354"/>
        <v/>
      </c>
      <c r="J4493" s="91" t="str">
        <f t="shared" si="355"/>
        <v/>
      </c>
      <c r="K4493" s="92" t="str">
        <f>IF(AND(A4493="",B4493="",D4493="",G4493=""),"",IF(AND(A4493&lt;&gt;"",COUNTIF($A$2:$A$5001,A4493)&gt;1),"NUMERO_PC duplicado",IF(B4493="","DATA_PC vazia",IF(NOT(ISNUMBER(B4493)),"DATA_PC invalida",IF(OR(C4493="",C4493="Fora dos ciclos"),"CICLO_PC nao identificado",IF(OR(D4493="",D4493=0),"VALOR_PC vazio ou zero",IF(AND(G4493&lt;&gt;"Sim",G4493&lt;&gt;"Nao",G4493&lt;&gt;""),"PC_PAGO_A_CONTRATADA invalido",IF(AND(C4493&lt;&gt;"C0",IFERROR(INDEX(parametros!$A$2:$A$6,MATCH(C4493,parametros!$B$2:$B$6,0)),"")="Sim",IFERROR(INDEX(parametros!$H$2:$H$6,MATCH(C4493,parametros!$B$2:$B$6,0)),"")=""),"INICIO_EFEITO ausente: PC "&amp;A4493&amp;" - "&amp;C4493,IF(L4493="","EFEITO_PC nao calculado: PC "&amp;A4493&amp;" - "&amp;C4493,"OK")))))))))</f>
        <v/>
      </c>
      <c r="L4493" s="92" t="str">
        <f>IF(AND(A4493="",B4493="",D4493="",G4493=""),"",IF(OR(B4493="",NOT(ISNUMBER(B4493)),C4493="",C4493="Fora dos ciclos"),"",IF(C4493="C0","Nao",IF(IFERROR(INDEX(parametros!$A$2:$A$6,MATCH(C4493,parametros!$B$2:$B$6,0)),"")&lt;&gt;"Sim","Nao",IF(IFERROR(INDEX(parametros!$H$2:$H$6,MATCH(C4493,parametros!$B$2:$B$6,0)),"")="","",IF(B4493&gt;=IFERROR(INDEX(parametros!$H$2:$H$6,MATCH(C4493,parametros!$B$2:$B$6,0)),""),"Sim","Nao"))))))</f>
        <v/>
      </c>
      <c r="T4493" s="156"/>
      <c r="U4493" s="214" t="str">
        <f t="shared" si="356"/>
        <v/>
      </c>
      <c r="V4493" s="212" t="s">
        <v>50</v>
      </c>
      <c r="W4493" s="100" t="s">
        <v>168</v>
      </c>
      <c r="X4493" s="100" t="s">
        <v>169</v>
      </c>
      <c r="Y4493" s="101" t="s">
        <v>170</v>
      </c>
      <c r="Z4493" s="101" t="s">
        <v>171</v>
      </c>
      <c r="AA4493" s="101" t="s">
        <v>50</v>
      </c>
      <c r="AB4493" s="101" t="s">
        <v>172</v>
      </c>
      <c r="AC4493" s="102" t="s">
        <v>173</v>
      </c>
    </row>
    <row r="4494" spans="1:29" ht="25.5" customHeight="1" x14ac:dyDescent="0.35">
      <c r="A4494" s="392"/>
      <c r="B4494" s="393"/>
      <c r="C4494" s="99" t="str">
        <f>IF(B4494="","",IF(NOT(ISNUMBER(B4494)),"DATA_PC invalida",IF(NOT(ISNUMBER(parametros!$C$2)),"Fora dos ciclos",IF(OR(B4494&lt;parametros!$C$2,(YEAR(B4494)-YEAR(parametros!$C$2))*12+MONTH(B4494)-MONTH(parametros!$C$2)&gt;59),"Fora dos ciclos","C"&amp;INT(((YEAR(B4494)-YEAR(parametros!$C$2))*12+MONTH(B4494)-MONTH(parametros!$C$2))/12)))))</f>
        <v/>
      </c>
      <c r="D4494" s="394"/>
      <c r="E4494" s="78" t="str">
        <f>IF(C4494="","",IFERROR(VLOOKUP(C4494,parametros!$A$11:$E$15,5,0),""))</f>
        <v/>
      </c>
      <c r="F4494" s="79" t="str">
        <f t="shared" si="352"/>
        <v/>
      </c>
      <c r="G4494" s="395"/>
      <c r="H4494" s="91">
        <f t="shared" si="353"/>
        <v>0</v>
      </c>
      <c r="I4494" s="91" t="str">
        <f t="shared" si="354"/>
        <v/>
      </c>
      <c r="J4494" s="91" t="str">
        <f t="shared" si="355"/>
        <v/>
      </c>
      <c r="K4494" s="92" t="str">
        <f>IF(AND(A4494="",B4494="",D4494="",G4494=""),"",IF(AND(A4494&lt;&gt;"",COUNTIF($A$2:$A$5001,A4494)&gt;1),"NUMERO_PC duplicado",IF(B4494="","DATA_PC vazia",IF(NOT(ISNUMBER(B4494)),"DATA_PC invalida",IF(OR(C4494="",C4494="Fora dos ciclos"),"CICLO_PC nao identificado",IF(OR(D4494="",D4494=0),"VALOR_PC vazio ou zero",IF(AND(G4494&lt;&gt;"Sim",G4494&lt;&gt;"Nao",G4494&lt;&gt;""),"PC_PAGO_A_CONTRATADA invalido",IF(AND(C4494&lt;&gt;"C0",IFERROR(INDEX(parametros!$A$2:$A$6,MATCH(C4494,parametros!$B$2:$B$6,0)),"")="Sim",IFERROR(INDEX(parametros!$H$2:$H$6,MATCH(C4494,parametros!$B$2:$B$6,0)),"")=""),"INICIO_EFEITO ausente: PC "&amp;A4494&amp;" - "&amp;C4494,IF(L4494="","EFEITO_PC nao calculado: PC "&amp;A4494&amp;" - "&amp;C4494,"OK")))))))))</f>
        <v/>
      </c>
      <c r="L4494" s="92" t="str">
        <f>IF(AND(A4494="",B4494="",D4494="",G4494=""),"",IF(OR(B4494="",NOT(ISNUMBER(B4494)),C4494="",C4494="Fora dos ciclos"),"",IF(C4494="C0","Nao",IF(IFERROR(INDEX(parametros!$A$2:$A$6,MATCH(C4494,parametros!$B$2:$B$6,0)),"")&lt;&gt;"Sim","Nao",IF(IFERROR(INDEX(parametros!$H$2:$H$6,MATCH(C4494,parametros!$B$2:$B$6,0)),"")="","",IF(B4494&gt;=IFERROR(INDEX(parametros!$H$2:$H$6,MATCH(C4494,parametros!$B$2:$B$6,0)),""),"Sim","Nao"))))))</f>
        <v/>
      </c>
      <c r="T4494" s="156"/>
      <c r="U4494" s="214" t="str">
        <f t="shared" si="356"/>
        <v/>
      </c>
      <c r="V4494" s="212" t="s">
        <v>50</v>
      </c>
      <c r="W4494" s="100" t="s">
        <v>168</v>
      </c>
      <c r="X4494" s="100" t="s">
        <v>169</v>
      </c>
      <c r="Y4494" s="101" t="s">
        <v>170</v>
      </c>
      <c r="Z4494" s="101" t="s">
        <v>171</v>
      </c>
      <c r="AA4494" s="101" t="s">
        <v>50</v>
      </c>
      <c r="AB4494" s="101" t="s">
        <v>172</v>
      </c>
      <c r="AC4494" s="102" t="s">
        <v>173</v>
      </c>
    </row>
    <row r="4495" spans="1:29" ht="25.5" customHeight="1" x14ac:dyDescent="0.35">
      <c r="A4495" s="392"/>
      <c r="B4495" s="393"/>
      <c r="C4495" s="99" t="str">
        <f>IF(B4495="","",IF(NOT(ISNUMBER(B4495)),"DATA_PC invalida",IF(NOT(ISNUMBER(parametros!$C$2)),"Fora dos ciclos",IF(OR(B4495&lt;parametros!$C$2,(YEAR(B4495)-YEAR(parametros!$C$2))*12+MONTH(B4495)-MONTH(parametros!$C$2)&gt;59),"Fora dos ciclos","C"&amp;INT(((YEAR(B4495)-YEAR(parametros!$C$2))*12+MONTH(B4495)-MONTH(parametros!$C$2))/12)))))</f>
        <v/>
      </c>
      <c r="D4495" s="394"/>
      <c r="E4495" s="78" t="str">
        <f>IF(C4495="","",IFERROR(VLOOKUP(C4495,parametros!$A$11:$E$15,5,0),""))</f>
        <v/>
      </c>
      <c r="F4495" s="79" t="str">
        <f t="shared" si="352"/>
        <v/>
      </c>
      <c r="G4495" s="395"/>
      <c r="H4495" s="91">
        <f t="shared" si="353"/>
        <v>0</v>
      </c>
      <c r="I4495" s="91" t="str">
        <f t="shared" si="354"/>
        <v/>
      </c>
      <c r="J4495" s="91" t="str">
        <f t="shared" si="355"/>
        <v/>
      </c>
      <c r="K4495" s="92" t="str">
        <f>IF(AND(A4495="",B4495="",D4495="",G4495=""),"",IF(AND(A4495&lt;&gt;"",COUNTIF($A$2:$A$5001,A4495)&gt;1),"NUMERO_PC duplicado",IF(B4495="","DATA_PC vazia",IF(NOT(ISNUMBER(B4495)),"DATA_PC invalida",IF(OR(C4495="",C4495="Fora dos ciclos"),"CICLO_PC nao identificado",IF(OR(D4495="",D4495=0),"VALOR_PC vazio ou zero",IF(AND(G4495&lt;&gt;"Sim",G4495&lt;&gt;"Nao",G4495&lt;&gt;""),"PC_PAGO_A_CONTRATADA invalido",IF(AND(C4495&lt;&gt;"C0",IFERROR(INDEX(parametros!$A$2:$A$6,MATCH(C4495,parametros!$B$2:$B$6,0)),"")="Sim",IFERROR(INDEX(parametros!$H$2:$H$6,MATCH(C4495,parametros!$B$2:$B$6,0)),"")=""),"INICIO_EFEITO ausente: PC "&amp;A4495&amp;" - "&amp;C4495,IF(L4495="","EFEITO_PC nao calculado: PC "&amp;A4495&amp;" - "&amp;C4495,"OK")))))))))</f>
        <v/>
      </c>
      <c r="L4495" s="92" t="str">
        <f>IF(AND(A4495="",B4495="",D4495="",G4495=""),"",IF(OR(B4495="",NOT(ISNUMBER(B4495)),C4495="",C4495="Fora dos ciclos"),"",IF(C4495="C0","Nao",IF(IFERROR(INDEX(parametros!$A$2:$A$6,MATCH(C4495,parametros!$B$2:$B$6,0)),"")&lt;&gt;"Sim","Nao",IF(IFERROR(INDEX(parametros!$H$2:$H$6,MATCH(C4495,parametros!$B$2:$B$6,0)),"")="","",IF(B4495&gt;=IFERROR(INDEX(parametros!$H$2:$H$6,MATCH(C4495,parametros!$B$2:$B$6,0)),""),"Sim","Nao"))))))</f>
        <v/>
      </c>
      <c r="T4495" s="156"/>
      <c r="U4495" s="214" t="str">
        <f t="shared" si="356"/>
        <v/>
      </c>
      <c r="V4495" s="212" t="s">
        <v>50</v>
      </c>
      <c r="W4495" s="100" t="s">
        <v>168</v>
      </c>
      <c r="X4495" s="100" t="s">
        <v>169</v>
      </c>
      <c r="Y4495" s="101" t="s">
        <v>170</v>
      </c>
      <c r="Z4495" s="101" t="s">
        <v>171</v>
      </c>
      <c r="AA4495" s="101" t="s">
        <v>50</v>
      </c>
      <c r="AB4495" s="101" t="s">
        <v>172</v>
      </c>
      <c r="AC4495" s="102" t="s">
        <v>173</v>
      </c>
    </row>
    <row r="4496" spans="1:29" ht="25.5" customHeight="1" x14ac:dyDescent="0.35">
      <c r="A4496" s="392"/>
      <c r="B4496" s="393"/>
      <c r="C4496" s="99" t="str">
        <f>IF(B4496="","",IF(NOT(ISNUMBER(B4496)),"DATA_PC invalida",IF(NOT(ISNUMBER(parametros!$C$2)),"Fora dos ciclos",IF(OR(B4496&lt;parametros!$C$2,(YEAR(B4496)-YEAR(parametros!$C$2))*12+MONTH(B4496)-MONTH(parametros!$C$2)&gt;59),"Fora dos ciclos","C"&amp;INT(((YEAR(B4496)-YEAR(parametros!$C$2))*12+MONTH(B4496)-MONTH(parametros!$C$2))/12)))))</f>
        <v/>
      </c>
      <c r="D4496" s="394"/>
      <c r="E4496" s="78" t="str">
        <f>IF(C4496="","",IFERROR(VLOOKUP(C4496,parametros!$A$11:$E$15,5,0),""))</f>
        <v/>
      </c>
      <c r="F4496" s="79" t="str">
        <f t="shared" si="352"/>
        <v/>
      </c>
      <c r="G4496" s="395"/>
      <c r="H4496" s="91">
        <f t="shared" si="353"/>
        <v>0</v>
      </c>
      <c r="I4496" s="91" t="str">
        <f t="shared" si="354"/>
        <v/>
      </c>
      <c r="J4496" s="91" t="str">
        <f t="shared" si="355"/>
        <v/>
      </c>
      <c r="K4496" s="92" t="str">
        <f>IF(AND(A4496="",B4496="",D4496="",G4496=""),"",IF(AND(A4496&lt;&gt;"",COUNTIF($A$2:$A$5001,A4496)&gt;1),"NUMERO_PC duplicado",IF(B4496="","DATA_PC vazia",IF(NOT(ISNUMBER(B4496)),"DATA_PC invalida",IF(OR(C4496="",C4496="Fora dos ciclos"),"CICLO_PC nao identificado",IF(OR(D4496="",D4496=0),"VALOR_PC vazio ou zero",IF(AND(G4496&lt;&gt;"Sim",G4496&lt;&gt;"Nao",G4496&lt;&gt;""),"PC_PAGO_A_CONTRATADA invalido",IF(AND(C4496&lt;&gt;"C0",IFERROR(INDEX(parametros!$A$2:$A$6,MATCH(C4496,parametros!$B$2:$B$6,0)),"")="Sim",IFERROR(INDEX(parametros!$H$2:$H$6,MATCH(C4496,parametros!$B$2:$B$6,0)),"")=""),"INICIO_EFEITO ausente: PC "&amp;A4496&amp;" - "&amp;C4496,IF(L4496="","EFEITO_PC nao calculado: PC "&amp;A4496&amp;" - "&amp;C4496,"OK")))))))))</f>
        <v/>
      </c>
      <c r="L4496" s="92" t="str">
        <f>IF(AND(A4496="",B4496="",D4496="",G4496=""),"",IF(OR(B4496="",NOT(ISNUMBER(B4496)),C4496="",C4496="Fora dos ciclos"),"",IF(C4496="C0","Nao",IF(IFERROR(INDEX(parametros!$A$2:$A$6,MATCH(C4496,parametros!$B$2:$B$6,0)),"")&lt;&gt;"Sim","Nao",IF(IFERROR(INDEX(parametros!$H$2:$H$6,MATCH(C4496,parametros!$B$2:$B$6,0)),"")="","",IF(B4496&gt;=IFERROR(INDEX(parametros!$H$2:$H$6,MATCH(C4496,parametros!$B$2:$B$6,0)),""),"Sim","Nao"))))))</f>
        <v/>
      </c>
      <c r="T4496" s="156"/>
      <c r="U4496" s="214" t="str">
        <f t="shared" si="356"/>
        <v/>
      </c>
      <c r="V4496" s="212" t="s">
        <v>50</v>
      </c>
      <c r="W4496" s="100" t="s">
        <v>168</v>
      </c>
      <c r="X4496" s="100" t="s">
        <v>169</v>
      </c>
      <c r="Y4496" s="101" t="s">
        <v>170</v>
      </c>
      <c r="Z4496" s="101" t="s">
        <v>171</v>
      </c>
      <c r="AA4496" s="101" t="s">
        <v>50</v>
      </c>
      <c r="AB4496" s="101" t="s">
        <v>172</v>
      </c>
      <c r="AC4496" s="102" t="s">
        <v>173</v>
      </c>
    </row>
    <row r="4497" spans="1:29" ht="25.5" customHeight="1" x14ac:dyDescent="0.35">
      <c r="A4497" s="392"/>
      <c r="B4497" s="393"/>
      <c r="C4497" s="99" t="str">
        <f>IF(B4497="","",IF(NOT(ISNUMBER(B4497)),"DATA_PC invalida",IF(NOT(ISNUMBER(parametros!$C$2)),"Fora dos ciclos",IF(OR(B4497&lt;parametros!$C$2,(YEAR(B4497)-YEAR(parametros!$C$2))*12+MONTH(B4497)-MONTH(parametros!$C$2)&gt;59),"Fora dos ciclos","C"&amp;INT(((YEAR(B4497)-YEAR(parametros!$C$2))*12+MONTH(B4497)-MONTH(parametros!$C$2))/12)))))</f>
        <v/>
      </c>
      <c r="D4497" s="394"/>
      <c r="E4497" s="78" t="str">
        <f>IF(C4497="","",IFERROR(VLOOKUP(C4497,parametros!$A$11:$E$15,5,0),""))</f>
        <v/>
      </c>
      <c r="F4497" s="79" t="str">
        <f t="shared" si="352"/>
        <v/>
      </c>
      <c r="G4497" s="395"/>
      <c r="H4497" s="91">
        <f t="shared" si="353"/>
        <v>0</v>
      </c>
      <c r="I4497" s="91" t="str">
        <f t="shared" si="354"/>
        <v/>
      </c>
      <c r="J4497" s="91" t="str">
        <f t="shared" si="355"/>
        <v/>
      </c>
      <c r="K4497" s="92" t="str">
        <f>IF(AND(A4497="",B4497="",D4497="",G4497=""),"",IF(AND(A4497&lt;&gt;"",COUNTIF($A$2:$A$5001,A4497)&gt;1),"NUMERO_PC duplicado",IF(B4497="","DATA_PC vazia",IF(NOT(ISNUMBER(B4497)),"DATA_PC invalida",IF(OR(C4497="",C4497="Fora dos ciclos"),"CICLO_PC nao identificado",IF(OR(D4497="",D4497=0),"VALOR_PC vazio ou zero",IF(AND(G4497&lt;&gt;"Sim",G4497&lt;&gt;"Nao",G4497&lt;&gt;""),"PC_PAGO_A_CONTRATADA invalido",IF(AND(C4497&lt;&gt;"C0",IFERROR(INDEX(parametros!$A$2:$A$6,MATCH(C4497,parametros!$B$2:$B$6,0)),"")="Sim",IFERROR(INDEX(parametros!$H$2:$H$6,MATCH(C4497,parametros!$B$2:$B$6,0)),"")=""),"INICIO_EFEITO ausente: PC "&amp;A4497&amp;" - "&amp;C4497,IF(L4497="","EFEITO_PC nao calculado: PC "&amp;A4497&amp;" - "&amp;C4497,"OK")))))))))</f>
        <v/>
      </c>
      <c r="L4497" s="92" t="str">
        <f>IF(AND(A4497="",B4497="",D4497="",G4497=""),"",IF(OR(B4497="",NOT(ISNUMBER(B4497)),C4497="",C4497="Fora dos ciclos"),"",IF(C4497="C0","Nao",IF(IFERROR(INDEX(parametros!$A$2:$A$6,MATCH(C4497,parametros!$B$2:$B$6,0)),"")&lt;&gt;"Sim","Nao",IF(IFERROR(INDEX(parametros!$H$2:$H$6,MATCH(C4497,parametros!$B$2:$B$6,0)),"")="","",IF(B4497&gt;=IFERROR(INDEX(parametros!$H$2:$H$6,MATCH(C4497,parametros!$B$2:$B$6,0)),""),"Sim","Nao"))))))</f>
        <v/>
      </c>
      <c r="T4497" s="156"/>
      <c r="U4497" s="214" t="str">
        <f t="shared" si="356"/>
        <v/>
      </c>
      <c r="V4497" s="212" t="s">
        <v>50</v>
      </c>
      <c r="W4497" s="100" t="s">
        <v>168</v>
      </c>
      <c r="X4497" s="100" t="s">
        <v>169</v>
      </c>
      <c r="Y4497" s="101" t="s">
        <v>170</v>
      </c>
      <c r="Z4497" s="101" t="s">
        <v>171</v>
      </c>
      <c r="AA4497" s="101" t="s">
        <v>50</v>
      </c>
      <c r="AB4497" s="101" t="s">
        <v>172</v>
      </c>
      <c r="AC4497" s="102" t="s">
        <v>173</v>
      </c>
    </row>
    <row r="4498" spans="1:29" ht="25.5" customHeight="1" x14ac:dyDescent="0.35">
      <c r="A4498" s="392"/>
      <c r="B4498" s="393"/>
      <c r="C4498" s="99" t="str">
        <f>IF(B4498="","",IF(NOT(ISNUMBER(B4498)),"DATA_PC invalida",IF(NOT(ISNUMBER(parametros!$C$2)),"Fora dos ciclos",IF(OR(B4498&lt;parametros!$C$2,(YEAR(B4498)-YEAR(parametros!$C$2))*12+MONTH(B4498)-MONTH(parametros!$C$2)&gt;59),"Fora dos ciclos","C"&amp;INT(((YEAR(B4498)-YEAR(parametros!$C$2))*12+MONTH(B4498)-MONTH(parametros!$C$2))/12)))))</f>
        <v/>
      </c>
      <c r="D4498" s="394"/>
      <c r="E4498" s="78" t="str">
        <f>IF(C4498="","",IFERROR(VLOOKUP(C4498,parametros!$A$11:$E$15,5,0),""))</f>
        <v/>
      </c>
      <c r="F4498" s="79" t="str">
        <f t="shared" si="352"/>
        <v/>
      </c>
      <c r="G4498" s="395"/>
      <c r="H4498" s="91">
        <f t="shared" si="353"/>
        <v>0</v>
      </c>
      <c r="I4498" s="91" t="str">
        <f t="shared" si="354"/>
        <v/>
      </c>
      <c r="J4498" s="91" t="str">
        <f t="shared" si="355"/>
        <v/>
      </c>
      <c r="K4498" s="92" t="str">
        <f>IF(AND(A4498="",B4498="",D4498="",G4498=""),"",IF(AND(A4498&lt;&gt;"",COUNTIF($A$2:$A$5001,A4498)&gt;1),"NUMERO_PC duplicado",IF(B4498="","DATA_PC vazia",IF(NOT(ISNUMBER(B4498)),"DATA_PC invalida",IF(OR(C4498="",C4498="Fora dos ciclos"),"CICLO_PC nao identificado",IF(OR(D4498="",D4498=0),"VALOR_PC vazio ou zero",IF(AND(G4498&lt;&gt;"Sim",G4498&lt;&gt;"Nao",G4498&lt;&gt;""),"PC_PAGO_A_CONTRATADA invalido",IF(AND(C4498&lt;&gt;"C0",IFERROR(INDEX(parametros!$A$2:$A$6,MATCH(C4498,parametros!$B$2:$B$6,0)),"")="Sim",IFERROR(INDEX(parametros!$H$2:$H$6,MATCH(C4498,parametros!$B$2:$B$6,0)),"")=""),"INICIO_EFEITO ausente: PC "&amp;A4498&amp;" - "&amp;C4498,IF(L4498="","EFEITO_PC nao calculado: PC "&amp;A4498&amp;" - "&amp;C4498,"OK")))))))))</f>
        <v/>
      </c>
      <c r="L4498" s="92" t="str">
        <f>IF(AND(A4498="",B4498="",D4498="",G4498=""),"",IF(OR(B4498="",NOT(ISNUMBER(B4498)),C4498="",C4498="Fora dos ciclos"),"",IF(C4498="C0","Nao",IF(IFERROR(INDEX(parametros!$A$2:$A$6,MATCH(C4498,parametros!$B$2:$B$6,0)),"")&lt;&gt;"Sim","Nao",IF(IFERROR(INDEX(parametros!$H$2:$H$6,MATCH(C4498,parametros!$B$2:$B$6,0)),"")="","",IF(B4498&gt;=IFERROR(INDEX(parametros!$H$2:$H$6,MATCH(C4498,parametros!$B$2:$B$6,0)),""),"Sim","Nao"))))))</f>
        <v/>
      </c>
      <c r="T4498" s="156"/>
      <c r="U4498" s="214" t="str">
        <f t="shared" si="356"/>
        <v/>
      </c>
      <c r="V4498" s="212" t="s">
        <v>50</v>
      </c>
      <c r="W4498" s="100" t="s">
        <v>168</v>
      </c>
      <c r="X4498" s="100" t="s">
        <v>169</v>
      </c>
      <c r="Y4498" s="101" t="s">
        <v>170</v>
      </c>
      <c r="Z4498" s="101" t="s">
        <v>171</v>
      </c>
      <c r="AA4498" s="101" t="s">
        <v>50</v>
      </c>
      <c r="AB4498" s="101" t="s">
        <v>172</v>
      </c>
      <c r="AC4498" s="102" t="s">
        <v>173</v>
      </c>
    </row>
    <row r="4499" spans="1:29" ht="25.5" customHeight="1" x14ac:dyDescent="0.35">
      <c r="A4499" s="392"/>
      <c r="B4499" s="393"/>
      <c r="C4499" s="99" t="str">
        <f>IF(B4499="","",IF(NOT(ISNUMBER(B4499)),"DATA_PC invalida",IF(NOT(ISNUMBER(parametros!$C$2)),"Fora dos ciclos",IF(OR(B4499&lt;parametros!$C$2,(YEAR(B4499)-YEAR(parametros!$C$2))*12+MONTH(B4499)-MONTH(parametros!$C$2)&gt;59),"Fora dos ciclos","C"&amp;INT(((YEAR(B4499)-YEAR(parametros!$C$2))*12+MONTH(B4499)-MONTH(parametros!$C$2))/12)))))</f>
        <v/>
      </c>
      <c r="D4499" s="394"/>
      <c r="E4499" s="78" t="str">
        <f>IF(C4499="","",IFERROR(VLOOKUP(C4499,parametros!$A$11:$E$15,5,0),""))</f>
        <v/>
      </c>
      <c r="F4499" s="79" t="str">
        <f t="shared" si="352"/>
        <v/>
      </c>
      <c r="G4499" s="395"/>
      <c r="H4499" s="91">
        <f t="shared" si="353"/>
        <v>0</v>
      </c>
      <c r="I4499" s="91" t="str">
        <f t="shared" si="354"/>
        <v/>
      </c>
      <c r="J4499" s="91" t="str">
        <f t="shared" si="355"/>
        <v/>
      </c>
      <c r="K4499" s="92" t="str">
        <f>IF(AND(A4499="",B4499="",D4499="",G4499=""),"",IF(AND(A4499&lt;&gt;"",COUNTIF($A$2:$A$5001,A4499)&gt;1),"NUMERO_PC duplicado",IF(B4499="","DATA_PC vazia",IF(NOT(ISNUMBER(B4499)),"DATA_PC invalida",IF(OR(C4499="",C4499="Fora dos ciclos"),"CICLO_PC nao identificado",IF(OR(D4499="",D4499=0),"VALOR_PC vazio ou zero",IF(AND(G4499&lt;&gt;"Sim",G4499&lt;&gt;"Nao",G4499&lt;&gt;""),"PC_PAGO_A_CONTRATADA invalido",IF(AND(C4499&lt;&gt;"C0",IFERROR(INDEX(parametros!$A$2:$A$6,MATCH(C4499,parametros!$B$2:$B$6,0)),"")="Sim",IFERROR(INDEX(parametros!$H$2:$H$6,MATCH(C4499,parametros!$B$2:$B$6,0)),"")=""),"INICIO_EFEITO ausente: PC "&amp;A4499&amp;" - "&amp;C4499,IF(L4499="","EFEITO_PC nao calculado: PC "&amp;A4499&amp;" - "&amp;C4499,"OK")))))))))</f>
        <v/>
      </c>
      <c r="L4499" s="92" t="str">
        <f>IF(AND(A4499="",B4499="",D4499="",G4499=""),"",IF(OR(B4499="",NOT(ISNUMBER(B4499)),C4499="",C4499="Fora dos ciclos"),"",IF(C4499="C0","Nao",IF(IFERROR(INDEX(parametros!$A$2:$A$6,MATCH(C4499,parametros!$B$2:$B$6,0)),"")&lt;&gt;"Sim","Nao",IF(IFERROR(INDEX(parametros!$H$2:$H$6,MATCH(C4499,parametros!$B$2:$B$6,0)),"")="","",IF(B4499&gt;=IFERROR(INDEX(parametros!$H$2:$H$6,MATCH(C4499,parametros!$B$2:$B$6,0)),""),"Sim","Nao"))))))</f>
        <v/>
      </c>
      <c r="T4499" s="156"/>
      <c r="U4499" s="214" t="str">
        <f t="shared" si="356"/>
        <v/>
      </c>
      <c r="V4499" s="212" t="s">
        <v>50</v>
      </c>
      <c r="W4499" s="100" t="s">
        <v>168</v>
      </c>
      <c r="X4499" s="100" t="s">
        <v>169</v>
      </c>
      <c r="Y4499" s="101" t="s">
        <v>170</v>
      </c>
      <c r="Z4499" s="101" t="s">
        <v>171</v>
      </c>
      <c r="AA4499" s="101" t="s">
        <v>50</v>
      </c>
      <c r="AB4499" s="101" t="s">
        <v>172</v>
      </c>
      <c r="AC4499" s="102" t="s">
        <v>173</v>
      </c>
    </row>
    <row r="4500" spans="1:29" ht="25.5" customHeight="1" x14ac:dyDescent="0.35">
      <c r="A4500" s="392"/>
      <c r="B4500" s="393"/>
      <c r="C4500" s="99" t="str">
        <f>IF(B4500="","",IF(NOT(ISNUMBER(B4500)),"DATA_PC invalida",IF(NOT(ISNUMBER(parametros!$C$2)),"Fora dos ciclos",IF(OR(B4500&lt;parametros!$C$2,(YEAR(B4500)-YEAR(parametros!$C$2))*12+MONTH(B4500)-MONTH(parametros!$C$2)&gt;59),"Fora dos ciclos","C"&amp;INT(((YEAR(B4500)-YEAR(parametros!$C$2))*12+MONTH(B4500)-MONTH(parametros!$C$2))/12)))))</f>
        <v/>
      </c>
      <c r="D4500" s="394"/>
      <c r="E4500" s="78" t="str">
        <f>IF(C4500="","",IFERROR(VLOOKUP(C4500,parametros!$A$11:$E$15,5,0),""))</f>
        <v/>
      </c>
      <c r="F4500" s="79" t="str">
        <f t="shared" si="352"/>
        <v/>
      </c>
      <c r="G4500" s="395"/>
      <c r="H4500" s="91">
        <f t="shared" si="353"/>
        <v>0</v>
      </c>
      <c r="I4500" s="91" t="str">
        <f t="shared" si="354"/>
        <v/>
      </c>
      <c r="J4500" s="91" t="str">
        <f t="shared" si="355"/>
        <v/>
      </c>
      <c r="K4500" s="92" t="str">
        <f>IF(AND(A4500="",B4500="",D4500="",G4500=""),"",IF(AND(A4500&lt;&gt;"",COUNTIF($A$2:$A$5001,A4500)&gt;1),"NUMERO_PC duplicado",IF(B4500="","DATA_PC vazia",IF(NOT(ISNUMBER(B4500)),"DATA_PC invalida",IF(OR(C4500="",C4500="Fora dos ciclos"),"CICLO_PC nao identificado",IF(OR(D4500="",D4500=0),"VALOR_PC vazio ou zero",IF(AND(G4500&lt;&gt;"Sim",G4500&lt;&gt;"Nao",G4500&lt;&gt;""),"PC_PAGO_A_CONTRATADA invalido",IF(AND(C4500&lt;&gt;"C0",IFERROR(INDEX(parametros!$A$2:$A$6,MATCH(C4500,parametros!$B$2:$B$6,0)),"")="Sim",IFERROR(INDEX(parametros!$H$2:$H$6,MATCH(C4500,parametros!$B$2:$B$6,0)),"")=""),"INICIO_EFEITO ausente: PC "&amp;A4500&amp;" - "&amp;C4500,IF(L4500="","EFEITO_PC nao calculado: PC "&amp;A4500&amp;" - "&amp;C4500,"OK")))))))))</f>
        <v/>
      </c>
      <c r="L4500" s="92" t="str">
        <f>IF(AND(A4500="",B4500="",D4500="",G4500=""),"",IF(OR(B4500="",NOT(ISNUMBER(B4500)),C4500="",C4500="Fora dos ciclos"),"",IF(C4500="C0","Nao",IF(IFERROR(INDEX(parametros!$A$2:$A$6,MATCH(C4500,parametros!$B$2:$B$6,0)),"")&lt;&gt;"Sim","Nao",IF(IFERROR(INDEX(parametros!$H$2:$H$6,MATCH(C4500,parametros!$B$2:$B$6,0)),"")="","",IF(B4500&gt;=IFERROR(INDEX(parametros!$H$2:$H$6,MATCH(C4500,parametros!$B$2:$B$6,0)),""),"Sim","Nao"))))))</f>
        <v/>
      </c>
      <c r="T4500" s="156"/>
      <c r="U4500" s="214" t="str">
        <f t="shared" si="356"/>
        <v/>
      </c>
      <c r="V4500" s="212" t="s">
        <v>50</v>
      </c>
      <c r="W4500" s="100" t="s">
        <v>168</v>
      </c>
      <c r="X4500" s="100" t="s">
        <v>169</v>
      </c>
      <c r="Y4500" s="101" t="s">
        <v>170</v>
      </c>
      <c r="Z4500" s="101" t="s">
        <v>171</v>
      </c>
      <c r="AA4500" s="101" t="s">
        <v>50</v>
      </c>
      <c r="AB4500" s="101" t="s">
        <v>172</v>
      </c>
      <c r="AC4500" s="102" t="s">
        <v>173</v>
      </c>
    </row>
    <row r="4501" spans="1:29" ht="25.5" customHeight="1" x14ac:dyDescent="0.35">
      <c r="A4501" s="392"/>
      <c r="B4501" s="393"/>
      <c r="C4501" s="99" t="str">
        <f>IF(B4501="","",IF(NOT(ISNUMBER(B4501)),"DATA_PC invalida",IF(NOT(ISNUMBER(parametros!$C$2)),"Fora dos ciclos",IF(OR(B4501&lt;parametros!$C$2,(YEAR(B4501)-YEAR(parametros!$C$2))*12+MONTH(B4501)-MONTH(parametros!$C$2)&gt;59),"Fora dos ciclos","C"&amp;INT(((YEAR(B4501)-YEAR(parametros!$C$2))*12+MONTH(B4501)-MONTH(parametros!$C$2))/12)))))</f>
        <v/>
      </c>
      <c r="D4501" s="394"/>
      <c r="E4501" s="78" t="str">
        <f>IF(C4501="","",IFERROR(VLOOKUP(C4501,parametros!$A$11:$E$15,5,0),""))</f>
        <v/>
      </c>
      <c r="F4501" s="79" t="str">
        <f t="shared" si="352"/>
        <v/>
      </c>
      <c r="G4501" s="395"/>
      <c r="H4501" s="91">
        <f t="shared" si="353"/>
        <v>0</v>
      </c>
      <c r="I4501" s="91" t="str">
        <f t="shared" si="354"/>
        <v/>
      </c>
      <c r="J4501" s="91" t="str">
        <f t="shared" si="355"/>
        <v/>
      </c>
      <c r="K4501" s="92" t="str">
        <f>IF(AND(A4501="",B4501="",D4501="",G4501=""),"",IF(AND(A4501&lt;&gt;"",COUNTIF($A$2:$A$5001,A4501)&gt;1),"NUMERO_PC duplicado",IF(B4501="","DATA_PC vazia",IF(NOT(ISNUMBER(B4501)),"DATA_PC invalida",IF(OR(C4501="",C4501="Fora dos ciclos"),"CICLO_PC nao identificado",IF(OR(D4501="",D4501=0),"VALOR_PC vazio ou zero",IF(AND(G4501&lt;&gt;"Sim",G4501&lt;&gt;"Nao",G4501&lt;&gt;""),"PC_PAGO_A_CONTRATADA invalido",IF(AND(C4501&lt;&gt;"C0",IFERROR(INDEX(parametros!$A$2:$A$6,MATCH(C4501,parametros!$B$2:$B$6,0)),"")="Sim",IFERROR(INDEX(parametros!$H$2:$H$6,MATCH(C4501,parametros!$B$2:$B$6,0)),"")=""),"INICIO_EFEITO ausente: PC "&amp;A4501&amp;" - "&amp;C4501,IF(L4501="","EFEITO_PC nao calculado: PC "&amp;A4501&amp;" - "&amp;C4501,"OK")))))))))</f>
        <v/>
      </c>
      <c r="L4501" s="92" t="str">
        <f>IF(AND(A4501="",B4501="",D4501="",G4501=""),"",IF(OR(B4501="",NOT(ISNUMBER(B4501)),C4501="",C4501="Fora dos ciclos"),"",IF(C4501="C0","Nao",IF(IFERROR(INDEX(parametros!$A$2:$A$6,MATCH(C4501,parametros!$B$2:$B$6,0)),"")&lt;&gt;"Sim","Nao",IF(IFERROR(INDEX(parametros!$H$2:$H$6,MATCH(C4501,parametros!$B$2:$B$6,0)),"")="","",IF(B4501&gt;=IFERROR(INDEX(parametros!$H$2:$H$6,MATCH(C4501,parametros!$B$2:$B$6,0)),""),"Sim","Nao"))))))</f>
        <v/>
      </c>
      <c r="T4501" s="156"/>
      <c r="U4501" s="214" t="str">
        <f t="shared" si="356"/>
        <v/>
      </c>
      <c r="V4501" s="212" t="s">
        <v>50</v>
      </c>
      <c r="W4501" s="100" t="s">
        <v>168</v>
      </c>
      <c r="X4501" s="100" t="s">
        <v>169</v>
      </c>
      <c r="Y4501" s="101" t="s">
        <v>170</v>
      </c>
      <c r="Z4501" s="101" t="s">
        <v>171</v>
      </c>
      <c r="AA4501" s="101" t="s">
        <v>50</v>
      </c>
      <c r="AB4501" s="101" t="s">
        <v>172</v>
      </c>
      <c r="AC4501" s="102" t="s">
        <v>173</v>
      </c>
    </row>
    <row r="4502" spans="1:29" ht="25.5" customHeight="1" x14ac:dyDescent="0.35">
      <c r="A4502" s="392"/>
      <c r="B4502" s="393"/>
      <c r="C4502" s="99" t="str">
        <f>IF(B4502="","",IF(NOT(ISNUMBER(B4502)),"DATA_PC invalida",IF(NOT(ISNUMBER(parametros!$C$2)),"Fora dos ciclos",IF(OR(B4502&lt;parametros!$C$2,(YEAR(B4502)-YEAR(parametros!$C$2))*12+MONTH(B4502)-MONTH(parametros!$C$2)&gt;59),"Fora dos ciclos","C"&amp;INT(((YEAR(B4502)-YEAR(parametros!$C$2))*12+MONTH(B4502)-MONTH(parametros!$C$2))/12)))))</f>
        <v/>
      </c>
      <c r="D4502" s="394"/>
      <c r="E4502" s="78" t="str">
        <f>IF(C4502="","",IFERROR(VLOOKUP(C4502,parametros!$A$11:$E$15,5,0),""))</f>
        <v/>
      </c>
      <c r="F4502" s="79" t="str">
        <f t="shared" si="352"/>
        <v/>
      </c>
      <c r="G4502" s="395"/>
      <c r="H4502" s="91">
        <f t="shared" si="353"/>
        <v>0</v>
      </c>
      <c r="I4502" s="91" t="str">
        <f t="shared" si="354"/>
        <v/>
      </c>
      <c r="J4502" s="91" t="str">
        <f t="shared" si="355"/>
        <v/>
      </c>
      <c r="K4502" s="92" t="str">
        <f>IF(AND(A4502="",B4502="",D4502="",G4502=""),"",IF(AND(A4502&lt;&gt;"",COUNTIF($A$2:$A$5001,A4502)&gt;1),"NUMERO_PC duplicado",IF(B4502="","DATA_PC vazia",IF(NOT(ISNUMBER(B4502)),"DATA_PC invalida",IF(OR(C4502="",C4502="Fora dos ciclos"),"CICLO_PC nao identificado",IF(OR(D4502="",D4502=0),"VALOR_PC vazio ou zero",IF(AND(G4502&lt;&gt;"Sim",G4502&lt;&gt;"Nao",G4502&lt;&gt;""),"PC_PAGO_A_CONTRATADA invalido",IF(AND(C4502&lt;&gt;"C0",IFERROR(INDEX(parametros!$A$2:$A$6,MATCH(C4502,parametros!$B$2:$B$6,0)),"")="Sim",IFERROR(INDEX(parametros!$H$2:$H$6,MATCH(C4502,parametros!$B$2:$B$6,0)),"")=""),"INICIO_EFEITO ausente: PC "&amp;A4502&amp;" - "&amp;C4502,IF(L4502="","EFEITO_PC nao calculado: PC "&amp;A4502&amp;" - "&amp;C4502,"OK")))))))))</f>
        <v/>
      </c>
      <c r="L4502" s="92" t="str">
        <f>IF(AND(A4502="",B4502="",D4502="",G4502=""),"",IF(OR(B4502="",NOT(ISNUMBER(B4502)),C4502="",C4502="Fora dos ciclos"),"",IF(C4502="C0","Nao",IF(IFERROR(INDEX(parametros!$A$2:$A$6,MATCH(C4502,parametros!$B$2:$B$6,0)),"")&lt;&gt;"Sim","Nao",IF(IFERROR(INDEX(parametros!$H$2:$H$6,MATCH(C4502,parametros!$B$2:$B$6,0)),"")="","",IF(B4502&gt;=IFERROR(INDEX(parametros!$H$2:$H$6,MATCH(C4502,parametros!$B$2:$B$6,0)),""),"Sim","Nao"))))))</f>
        <v/>
      </c>
      <c r="T4502" s="156"/>
      <c r="U4502" s="214" t="str">
        <f t="shared" si="356"/>
        <v/>
      </c>
      <c r="V4502" s="212" t="s">
        <v>50</v>
      </c>
      <c r="W4502" s="100" t="s">
        <v>168</v>
      </c>
      <c r="X4502" s="100" t="s">
        <v>169</v>
      </c>
      <c r="Y4502" s="101" t="s">
        <v>170</v>
      </c>
      <c r="Z4502" s="101" t="s">
        <v>171</v>
      </c>
      <c r="AA4502" s="101" t="s">
        <v>50</v>
      </c>
      <c r="AB4502" s="101" t="s">
        <v>172</v>
      </c>
      <c r="AC4502" s="102" t="s">
        <v>173</v>
      </c>
    </row>
    <row r="4503" spans="1:29" ht="25.5" customHeight="1" x14ac:dyDescent="0.35">
      <c r="A4503" s="392"/>
      <c r="B4503" s="393"/>
      <c r="C4503" s="99" t="str">
        <f>IF(B4503="","",IF(NOT(ISNUMBER(B4503)),"DATA_PC invalida",IF(NOT(ISNUMBER(parametros!$C$2)),"Fora dos ciclos",IF(OR(B4503&lt;parametros!$C$2,(YEAR(B4503)-YEAR(parametros!$C$2))*12+MONTH(B4503)-MONTH(parametros!$C$2)&gt;59),"Fora dos ciclos","C"&amp;INT(((YEAR(B4503)-YEAR(parametros!$C$2))*12+MONTH(B4503)-MONTH(parametros!$C$2))/12)))))</f>
        <v/>
      </c>
      <c r="D4503" s="394"/>
      <c r="E4503" s="78" t="str">
        <f>IF(C4503="","",IFERROR(VLOOKUP(C4503,parametros!$A$11:$E$15,5,0),""))</f>
        <v/>
      </c>
      <c r="F4503" s="79" t="str">
        <f t="shared" si="352"/>
        <v/>
      </c>
      <c r="G4503" s="395"/>
      <c r="H4503" s="91">
        <f t="shared" si="353"/>
        <v>0</v>
      </c>
      <c r="I4503" s="91" t="str">
        <f t="shared" si="354"/>
        <v/>
      </c>
      <c r="J4503" s="91" t="str">
        <f t="shared" si="355"/>
        <v/>
      </c>
      <c r="K4503" s="92" t="str">
        <f>IF(AND(A4503="",B4503="",D4503="",G4503=""),"",IF(AND(A4503&lt;&gt;"",COUNTIF($A$2:$A$5001,A4503)&gt;1),"NUMERO_PC duplicado",IF(B4503="","DATA_PC vazia",IF(NOT(ISNUMBER(B4503)),"DATA_PC invalida",IF(OR(C4503="",C4503="Fora dos ciclos"),"CICLO_PC nao identificado",IF(OR(D4503="",D4503=0),"VALOR_PC vazio ou zero",IF(AND(G4503&lt;&gt;"Sim",G4503&lt;&gt;"Nao",G4503&lt;&gt;""),"PC_PAGO_A_CONTRATADA invalido",IF(AND(C4503&lt;&gt;"C0",IFERROR(INDEX(parametros!$A$2:$A$6,MATCH(C4503,parametros!$B$2:$B$6,0)),"")="Sim",IFERROR(INDEX(parametros!$H$2:$H$6,MATCH(C4503,parametros!$B$2:$B$6,0)),"")=""),"INICIO_EFEITO ausente: PC "&amp;A4503&amp;" - "&amp;C4503,IF(L4503="","EFEITO_PC nao calculado: PC "&amp;A4503&amp;" - "&amp;C4503,"OK")))))))))</f>
        <v/>
      </c>
      <c r="L4503" s="92" t="str">
        <f>IF(AND(A4503="",B4503="",D4503="",G4503=""),"",IF(OR(B4503="",NOT(ISNUMBER(B4503)),C4503="",C4503="Fora dos ciclos"),"",IF(C4503="C0","Nao",IF(IFERROR(INDEX(parametros!$A$2:$A$6,MATCH(C4503,parametros!$B$2:$B$6,0)),"")&lt;&gt;"Sim","Nao",IF(IFERROR(INDEX(parametros!$H$2:$H$6,MATCH(C4503,parametros!$B$2:$B$6,0)),"")="","",IF(B4503&gt;=IFERROR(INDEX(parametros!$H$2:$H$6,MATCH(C4503,parametros!$B$2:$B$6,0)),""),"Sim","Nao"))))))</f>
        <v/>
      </c>
      <c r="T4503" s="156"/>
      <c r="U4503" s="214" t="str">
        <f t="shared" si="356"/>
        <v/>
      </c>
      <c r="V4503" s="212" t="s">
        <v>50</v>
      </c>
      <c r="W4503" s="100" t="s">
        <v>168</v>
      </c>
      <c r="X4503" s="100" t="s">
        <v>169</v>
      </c>
      <c r="Y4503" s="101" t="s">
        <v>170</v>
      </c>
      <c r="Z4503" s="101" t="s">
        <v>171</v>
      </c>
      <c r="AA4503" s="101" t="s">
        <v>50</v>
      </c>
      <c r="AB4503" s="101" t="s">
        <v>172</v>
      </c>
      <c r="AC4503" s="102" t="s">
        <v>173</v>
      </c>
    </row>
    <row r="4504" spans="1:29" ht="25.5" customHeight="1" x14ac:dyDescent="0.35">
      <c r="A4504" s="392"/>
      <c r="B4504" s="393"/>
      <c r="C4504" s="99" t="str">
        <f>IF(B4504="","",IF(NOT(ISNUMBER(B4504)),"DATA_PC invalida",IF(NOT(ISNUMBER(parametros!$C$2)),"Fora dos ciclos",IF(OR(B4504&lt;parametros!$C$2,(YEAR(B4504)-YEAR(parametros!$C$2))*12+MONTH(B4504)-MONTH(parametros!$C$2)&gt;59),"Fora dos ciclos","C"&amp;INT(((YEAR(B4504)-YEAR(parametros!$C$2))*12+MONTH(B4504)-MONTH(parametros!$C$2))/12)))))</f>
        <v/>
      </c>
      <c r="D4504" s="394"/>
      <c r="E4504" s="78" t="str">
        <f>IF(C4504="","",IFERROR(VLOOKUP(C4504,parametros!$A$11:$E$15,5,0),""))</f>
        <v/>
      </c>
      <c r="F4504" s="79" t="str">
        <f t="shared" si="352"/>
        <v/>
      </c>
      <c r="G4504" s="395"/>
      <c r="H4504" s="91">
        <f t="shared" si="353"/>
        <v>0</v>
      </c>
      <c r="I4504" s="91" t="str">
        <f t="shared" si="354"/>
        <v/>
      </c>
      <c r="J4504" s="91" t="str">
        <f t="shared" si="355"/>
        <v/>
      </c>
      <c r="K4504" s="92" t="str">
        <f>IF(AND(A4504="",B4504="",D4504="",G4504=""),"",IF(AND(A4504&lt;&gt;"",COUNTIF($A$2:$A$5001,A4504)&gt;1),"NUMERO_PC duplicado",IF(B4504="","DATA_PC vazia",IF(NOT(ISNUMBER(B4504)),"DATA_PC invalida",IF(OR(C4504="",C4504="Fora dos ciclos"),"CICLO_PC nao identificado",IF(OR(D4504="",D4504=0),"VALOR_PC vazio ou zero",IF(AND(G4504&lt;&gt;"Sim",G4504&lt;&gt;"Nao",G4504&lt;&gt;""),"PC_PAGO_A_CONTRATADA invalido",IF(AND(C4504&lt;&gt;"C0",IFERROR(INDEX(parametros!$A$2:$A$6,MATCH(C4504,parametros!$B$2:$B$6,0)),"")="Sim",IFERROR(INDEX(parametros!$H$2:$H$6,MATCH(C4504,parametros!$B$2:$B$6,0)),"")=""),"INICIO_EFEITO ausente: PC "&amp;A4504&amp;" - "&amp;C4504,IF(L4504="","EFEITO_PC nao calculado: PC "&amp;A4504&amp;" - "&amp;C4504,"OK")))))))))</f>
        <v/>
      </c>
      <c r="L4504" s="92" t="str">
        <f>IF(AND(A4504="",B4504="",D4504="",G4504=""),"",IF(OR(B4504="",NOT(ISNUMBER(B4504)),C4504="",C4504="Fora dos ciclos"),"",IF(C4504="C0","Nao",IF(IFERROR(INDEX(parametros!$A$2:$A$6,MATCH(C4504,parametros!$B$2:$B$6,0)),"")&lt;&gt;"Sim","Nao",IF(IFERROR(INDEX(parametros!$H$2:$H$6,MATCH(C4504,parametros!$B$2:$B$6,0)),"")="","",IF(B4504&gt;=IFERROR(INDEX(parametros!$H$2:$H$6,MATCH(C4504,parametros!$B$2:$B$6,0)),""),"Sim","Nao"))))))</f>
        <v/>
      </c>
      <c r="T4504" s="156"/>
      <c r="U4504" s="214" t="str">
        <f t="shared" si="356"/>
        <v/>
      </c>
      <c r="V4504" s="212" t="s">
        <v>50</v>
      </c>
      <c r="W4504" s="100" t="s">
        <v>168</v>
      </c>
      <c r="X4504" s="100" t="s">
        <v>169</v>
      </c>
      <c r="Y4504" s="101" t="s">
        <v>170</v>
      </c>
      <c r="Z4504" s="101" t="s">
        <v>171</v>
      </c>
      <c r="AA4504" s="101" t="s">
        <v>50</v>
      </c>
      <c r="AB4504" s="101" t="s">
        <v>172</v>
      </c>
      <c r="AC4504" s="102" t="s">
        <v>173</v>
      </c>
    </row>
    <row r="4505" spans="1:29" ht="25.5" customHeight="1" x14ac:dyDescent="0.35">
      <c r="A4505" s="392"/>
      <c r="B4505" s="393"/>
      <c r="C4505" s="99" t="str">
        <f>IF(B4505="","",IF(NOT(ISNUMBER(B4505)),"DATA_PC invalida",IF(NOT(ISNUMBER(parametros!$C$2)),"Fora dos ciclos",IF(OR(B4505&lt;parametros!$C$2,(YEAR(B4505)-YEAR(parametros!$C$2))*12+MONTH(B4505)-MONTH(parametros!$C$2)&gt;59),"Fora dos ciclos","C"&amp;INT(((YEAR(B4505)-YEAR(parametros!$C$2))*12+MONTH(B4505)-MONTH(parametros!$C$2))/12)))))</f>
        <v/>
      </c>
      <c r="D4505" s="394"/>
      <c r="E4505" s="78" t="str">
        <f>IF(C4505="","",IFERROR(VLOOKUP(C4505,parametros!$A$11:$E$15,5,0),""))</f>
        <v/>
      </c>
      <c r="F4505" s="79" t="str">
        <f t="shared" si="352"/>
        <v/>
      </c>
      <c r="G4505" s="395"/>
      <c r="H4505" s="91">
        <f t="shared" si="353"/>
        <v>0</v>
      </c>
      <c r="I4505" s="91" t="str">
        <f t="shared" si="354"/>
        <v/>
      </c>
      <c r="J4505" s="91" t="str">
        <f t="shared" si="355"/>
        <v/>
      </c>
      <c r="K4505" s="92" t="str">
        <f>IF(AND(A4505="",B4505="",D4505="",G4505=""),"",IF(AND(A4505&lt;&gt;"",COUNTIF($A$2:$A$5001,A4505)&gt;1),"NUMERO_PC duplicado",IF(B4505="","DATA_PC vazia",IF(NOT(ISNUMBER(B4505)),"DATA_PC invalida",IF(OR(C4505="",C4505="Fora dos ciclos"),"CICLO_PC nao identificado",IF(OR(D4505="",D4505=0),"VALOR_PC vazio ou zero",IF(AND(G4505&lt;&gt;"Sim",G4505&lt;&gt;"Nao",G4505&lt;&gt;""),"PC_PAGO_A_CONTRATADA invalido",IF(AND(C4505&lt;&gt;"C0",IFERROR(INDEX(parametros!$A$2:$A$6,MATCH(C4505,parametros!$B$2:$B$6,0)),"")="Sim",IFERROR(INDEX(parametros!$H$2:$H$6,MATCH(C4505,parametros!$B$2:$B$6,0)),"")=""),"INICIO_EFEITO ausente: PC "&amp;A4505&amp;" - "&amp;C4505,IF(L4505="","EFEITO_PC nao calculado: PC "&amp;A4505&amp;" - "&amp;C4505,"OK")))))))))</f>
        <v/>
      </c>
      <c r="L4505" s="92" t="str">
        <f>IF(AND(A4505="",B4505="",D4505="",G4505=""),"",IF(OR(B4505="",NOT(ISNUMBER(B4505)),C4505="",C4505="Fora dos ciclos"),"",IF(C4505="C0","Nao",IF(IFERROR(INDEX(parametros!$A$2:$A$6,MATCH(C4505,parametros!$B$2:$B$6,0)),"")&lt;&gt;"Sim","Nao",IF(IFERROR(INDEX(parametros!$H$2:$H$6,MATCH(C4505,parametros!$B$2:$B$6,0)),"")="","",IF(B4505&gt;=IFERROR(INDEX(parametros!$H$2:$H$6,MATCH(C4505,parametros!$B$2:$B$6,0)),""),"Sim","Nao"))))))</f>
        <v/>
      </c>
      <c r="T4505" s="156"/>
      <c r="U4505" s="214" t="str">
        <f t="shared" si="356"/>
        <v/>
      </c>
      <c r="V4505" s="212" t="s">
        <v>50</v>
      </c>
      <c r="W4505" s="100" t="s">
        <v>168</v>
      </c>
      <c r="X4505" s="100" t="s">
        <v>169</v>
      </c>
      <c r="Y4505" s="101" t="s">
        <v>170</v>
      </c>
      <c r="Z4505" s="101" t="s">
        <v>171</v>
      </c>
      <c r="AA4505" s="101" t="s">
        <v>50</v>
      </c>
      <c r="AB4505" s="101" t="s">
        <v>172</v>
      </c>
      <c r="AC4505" s="102" t="s">
        <v>173</v>
      </c>
    </row>
    <row r="4506" spans="1:29" ht="25.5" customHeight="1" x14ac:dyDescent="0.35">
      <c r="A4506" s="392"/>
      <c r="B4506" s="393"/>
      <c r="C4506" s="99" t="str">
        <f>IF(B4506="","",IF(NOT(ISNUMBER(B4506)),"DATA_PC invalida",IF(NOT(ISNUMBER(parametros!$C$2)),"Fora dos ciclos",IF(OR(B4506&lt;parametros!$C$2,(YEAR(B4506)-YEAR(parametros!$C$2))*12+MONTH(B4506)-MONTH(parametros!$C$2)&gt;59),"Fora dos ciclos","C"&amp;INT(((YEAR(B4506)-YEAR(parametros!$C$2))*12+MONTH(B4506)-MONTH(parametros!$C$2))/12)))))</f>
        <v/>
      </c>
      <c r="D4506" s="394"/>
      <c r="E4506" s="78" t="str">
        <f>IF(C4506="","",IFERROR(VLOOKUP(C4506,parametros!$A$11:$E$15,5,0),""))</f>
        <v/>
      </c>
      <c r="F4506" s="79" t="str">
        <f t="shared" si="352"/>
        <v/>
      </c>
      <c r="G4506" s="395"/>
      <c r="H4506" s="91">
        <f t="shared" si="353"/>
        <v>0</v>
      </c>
      <c r="I4506" s="91" t="str">
        <f t="shared" si="354"/>
        <v/>
      </c>
      <c r="J4506" s="91" t="str">
        <f t="shared" si="355"/>
        <v/>
      </c>
      <c r="K4506" s="92" t="str">
        <f>IF(AND(A4506="",B4506="",D4506="",G4506=""),"",IF(AND(A4506&lt;&gt;"",COUNTIF($A$2:$A$5001,A4506)&gt;1),"NUMERO_PC duplicado",IF(B4506="","DATA_PC vazia",IF(NOT(ISNUMBER(B4506)),"DATA_PC invalida",IF(OR(C4506="",C4506="Fora dos ciclos"),"CICLO_PC nao identificado",IF(OR(D4506="",D4506=0),"VALOR_PC vazio ou zero",IF(AND(G4506&lt;&gt;"Sim",G4506&lt;&gt;"Nao",G4506&lt;&gt;""),"PC_PAGO_A_CONTRATADA invalido",IF(AND(C4506&lt;&gt;"C0",IFERROR(INDEX(parametros!$A$2:$A$6,MATCH(C4506,parametros!$B$2:$B$6,0)),"")="Sim",IFERROR(INDEX(parametros!$H$2:$H$6,MATCH(C4506,parametros!$B$2:$B$6,0)),"")=""),"INICIO_EFEITO ausente: PC "&amp;A4506&amp;" - "&amp;C4506,IF(L4506="","EFEITO_PC nao calculado: PC "&amp;A4506&amp;" - "&amp;C4506,"OK")))))))))</f>
        <v/>
      </c>
      <c r="L4506" s="92" t="str">
        <f>IF(AND(A4506="",B4506="",D4506="",G4506=""),"",IF(OR(B4506="",NOT(ISNUMBER(B4506)),C4506="",C4506="Fora dos ciclos"),"",IF(C4506="C0","Nao",IF(IFERROR(INDEX(parametros!$A$2:$A$6,MATCH(C4506,parametros!$B$2:$B$6,0)),"")&lt;&gt;"Sim","Nao",IF(IFERROR(INDEX(parametros!$H$2:$H$6,MATCH(C4506,parametros!$B$2:$B$6,0)),"")="","",IF(B4506&gt;=IFERROR(INDEX(parametros!$H$2:$H$6,MATCH(C4506,parametros!$B$2:$B$6,0)),""),"Sim","Nao"))))))</f>
        <v/>
      </c>
      <c r="T4506" s="156"/>
      <c r="U4506" s="214" t="str">
        <f t="shared" si="356"/>
        <v/>
      </c>
      <c r="V4506" s="212" t="s">
        <v>50</v>
      </c>
      <c r="W4506" s="100" t="s">
        <v>168</v>
      </c>
      <c r="X4506" s="100" t="s">
        <v>169</v>
      </c>
      <c r="Y4506" s="101" t="s">
        <v>170</v>
      </c>
      <c r="Z4506" s="101" t="s">
        <v>171</v>
      </c>
      <c r="AA4506" s="101" t="s">
        <v>50</v>
      </c>
      <c r="AB4506" s="101" t="s">
        <v>172</v>
      </c>
      <c r="AC4506" s="102" t="s">
        <v>173</v>
      </c>
    </row>
    <row r="4507" spans="1:29" ht="25.5" customHeight="1" x14ac:dyDescent="0.35">
      <c r="A4507" s="392"/>
      <c r="B4507" s="393"/>
      <c r="C4507" s="99" t="str">
        <f>IF(B4507="","",IF(NOT(ISNUMBER(B4507)),"DATA_PC invalida",IF(NOT(ISNUMBER(parametros!$C$2)),"Fora dos ciclos",IF(OR(B4507&lt;parametros!$C$2,(YEAR(B4507)-YEAR(parametros!$C$2))*12+MONTH(B4507)-MONTH(parametros!$C$2)&gt;59),"Fora dos ciclos","C"&amp;INT(((YEAR(B4507)-YEAR(parametros!$C$2))*12+MONTH(B4507)-MONTH(parametros!$C$2))/12)))))</f>
        <v/>
      </c>
      <c r="D4507" s="394"/>
      <c r="E4507" s="78" t="str">
        <f>IF(C4507="","",IFERROR(VLOOKUP(C4507,parametros!$A$11:$E$15,5,0),""))</f>
        <v/>
      </c>
      <c r="F4507" s="79" t="str">
        <f t="shared" si="352"/>
        <v/>
      </c>
      <c r="G4507" s="395"/>
      <c r="H4507" s="91">
        <f t="shared" si="353"/>
        <v>0</v>
      </c>
      <c r="I4507" s="91" t="str">
        <f t="shared" si="354"/>
        <v/>
      </c>
      <c r="J4507" s="91" t="str">
        <f t="shared" si="355"/>
        <v/>
      </c>
      <c r="K4507" s="92" t="str">
        <f>IF(AND(A4507="",B4507="",D4507="",G4507=""),"",IF(AND(A4507&lt;&gt;"",COUNTIF($A$2:$A$5001,A4507)&gt;1),"NUMERO_PC duplicado",IF(B4507="","DATA_PC vazia",IF(NOT(ISNUMBER(B4507)),"DATA_PC invalida",IF(OR(C4507="",C4507="Fora dos ciclos"),"CICLO_PC nao identificado",IF(OR(D4507="",D4507=0),"VALOR_PC vazio ou zero",IF(AND(G4507&lt;&gt;"Sim",G4507&lt;&gt;"Nao",G4507&lt;&gt;""),"PC_PAGO_A_CONTRATADA invalido",IF(AND(C4507&lt;&gt;"C0",IFERROR(INDEX(parametros!$A$2:$A$6,MATCH(C4507,parametros!$B$2:$B$6,0)),"")="Sim",IFERROR(INDEX(parametros!$H$2:$H$6,MATCH(C4507,parametros!$B$2:$B$6,0)),"")=""),"INICIO_EFEITO ausente: PC "&amp;A4507&amp;" - "&amp;C4507,IF(L4507="","EFEITO_PC nao calculado: PC "&amp;A4507&amp;" - "&amp;C4507,"OK")))))))))</f>
        <v/>
      </c>
      <c r="L4507" s="92" t="str">
        <f>IF(AND(A4507="",B4507="",D4507="",G4507=""),"",IF(OR(B4507="",NOT(ISNUMBER(B4507)),C4507="",C4507="Fora dos ciclos"),"",IF(C4507="C0","Nao",IF(IFERROR(INDEX(parametros!$A$2:$A$6,MATCH(C4507,parametros!$B$2:$B$6,0)),"")&lt;&gt;"Sim","Nao",IF(IFERROR(INDEX(parametros!$H$2:$H$6,MATCH(C4507,parametros!$B$2:$B$6,0)),"")="","",IF(B4507&gt;=IFERROR(INDEX(parametros!$H$2:$H$6,MATCH(C4507,parametros!$B$2:$B$6,0)),""),"Sim","Nao"))))))</f>
        <v/>
      </c>
      <c r="T4507" s="156"/>
      <c r="U4507" s="214" t="str">
        <f t="shared" si="356"/>
        <v/>
      </c>
      <c r="V4507" s="212" t="s">
        <v>50</v>
      </c>
      <c r="W4507" s="100" t="s">
        <v>168</v>
      </c>
      <c r="X4507" s="100" t="s">
        <v>169</v>
      </c>
      <c r="Y4507" s="101" t="s">
        <v>170</v>
      </c>
      <c r="Z4507" s="101" t="s">
        <v>171</v>
      </c>
      <c r="AA4507" s="101" t="s">
        <v>50</v>
      </c>
      <c r="AB4507" s="101" t="s">
        <v>172</v>
      </c>
      <c r="AC4507" s="102" t="s">
        <v>173</v>
      </c>
    </row>
    <row r="4508" spans="1:29" ht="25.5" customHeight="1" x14ac:dyDescent="0.35">
      <c r="A4508" s="392"/>
      <c r="B4508" s="393"/>
      <c r="C4508" s="99" t="str">
        <f>IF(B4508="","",IF(NOT(ISNUMBER(B4508)),"DATA_PC invalida",IF(NOT(ISNUMBER(parametros!$C$2)),"Fora dos ciclos",IF(OR(B4508&lt;parametros!$C$2,(YEAR(B4508)-YEAR(parametros!$C$2))*12+MONTH(B4508)-MONTH(parametros!$C$2)&gt;59),"Fora dos ciclos","C"&amp;INT(((YEAR(B4508)-YEAR(parametros!$C$2))*12+MONTH(B4508)-MONTH(parametros!$C$2))/12)))))</f>
        <v/>
      </c>
      <c r="D4508" s="394"/>
      <c r="E4508" s="78" t="str">
        <f>IF(C4508="","",IFERROR(VLOOKUP(C4508,parametros!$A$11:$E$15,5,0),""))</f>
        <v/>
      </c>
      <c r="F4508" s="79" t="str">
        <f t="shared" si="352"/>
        <v/>
      </c>
      <c r="G4508" s="395"/>
      <c r="H4508" s="91">
        <f t="shared" si="353"/>
        <v>0</v>
      </c>
      <c r="I4508" s="91" t="str">
        <f t="shared" si="354"/>
        <v/>
      </c>
      <c r="J4508" s="91" t="str">
        <f t="shared" si="355"/>
        <v/>
      </c>
      <c r="K4508" s="92" t="str">
        <f>IF(AND(A4508="",B4508="",D4508="",G4508=""),"",IF(AND(A4508&lt;&gt;"",COUNTIF($A$2:$A$5001,A4508)&gt;1),"NUMERO_PC duplicado",IF(B4508="","DATA_PC vazia",IF(NOT(ISNUMBER(B4508)),"DATA_PC invalida",IF(OR(C4508="",C4508="Fora dos ciclos"),"CICLO_PC nao identificado",IF(OR(D4508="",D4508=0),"VALOR_PC vazio ou zero",IF(AND(G4508&lt;&gt;"Sim",G4508&lt;&gt;"Nao",G4508&lt;&gt;""),"PC_PAGO_A_CONTRATADA invalido",IF(AND(C4508&lt;&gt;"C0",IFERROR(INDEX(parametros!$A$2:$A$6,MATCH(C4508,parametros!$B$2:$B$6,0)),"")="Sim",IFERROR(INDEX(parametros!$H$2:$H$6,MATCH(C4508,parametros!$B$2:$B$6,0)),"")=""),"INICIO_EFEITO ausente: PC "&amp;A4508&amp;" - "&amp;C4508,IF(L4508="","EFEITO_PC nao calculado: PC "&amp;A4508&amp;" - "&amp;C4508,"OK")))))))))</f>
        <v/>
      </c>
      <c r="L4508" s="92" t="str">
        <f>IF(AND(A4508="",B4508="",D4508="",G4508=""),"",IF(OR(B4508="",NOT(ISNUMBER(B4508)),C4508="",C4508="Fora dos ciclos"),"",IF(C4508="C0","Nao",IF(IFERROR(INDEX(parametros!$A$2:$A$6,MATCH(C4508,parametros!$B$2:$B$6,0)),"")&lt;&gt;"Sim","Nao",IF(IFERROR(INDEX(parametros!$H$2:$H$6,MATCH(C4508,parametros!$B$2:$B$6,0)),"")="","",IF(B4508&gt;=IFERROR(INDEX(parametros!$H$2:$H$6,MATCH(C4508,parametros!$B$2:$B$6,0)),""),"Sim","Nao"))))))</f>
        <v/>
      </c>
      <c r="T4508" s="156"/>
      <c r="U4508" s="214" t="str">
        <f t="shared" si="356"/>
        <v/>
      </c>
      <c r="V4508" s="212" t="s">
        <v>50</v>
      </c>
      <c r="W4508" s="100" t="s">
        <v>168</v>
      </c>
      <c r="X4508" s="100" t="s">
        <v>169</v>
      </c>
      <c r="Y4508" s="101" t="s">
        <v>170</v>
      </c>
      <c r="Z4508" s="101" t="s">
        <v>171</v>
      </c>
      <c r="AA4508" s="101" t="s">
        <v>50</v>
      </c>
      <c r="AB4508" s="101" t="s">
        <v>172</v>
      </c>
      <c r="AC4508" s="102" t="s">
        <v>173</v>
      </c>
    </row>
    <row r="4509" spans="1:29" ht="25.5" customHeight="1" x14ac:dyDescent="0.35">
      <c r="A4509" s="392"/>
      <c r="B4509" s="393"/>
      <c r="C4509" s="99" t="str">
        <f>IF(B4509="","",IF(NOT(ISNUMBER(B4509)),"DATA_PC invalida",IF(NOT(ISNUMBER(parametros!$C$2)),"Fora dos ciclos",IF(OR(B4509&lt;parametros!$C$2,(YEAR(B4509)-YEAR(parametros!$C$2))*12+MONTH(B4509)-MONTH(parametros!$C$2)&gt;59),"Fora dos ciclos","C"&amp;INT(((YEAR(B4509)-YEAR(parametros!$C$2))*12+MONTH(B4509)-MONTH(parametros!$C$2))/12)))))</f>
        <v/>
      </c>
      <c r="D4509" s="394"/>
      <c r="E4509" s="78" t="str">
        <f>IF(C4509="","",IFERROR(VLOOKUP(C4509,parametros!$A$11:$E$15,5,0),""))</f>
        <v/>
      </c>
      <c r="F4509" s="79" t="str">
        <f t="shared" si="352"/>
        <v/>
      </c>
      <c r="G4509" s="395"/>
      <c r="H4509" s="91">
        <f t="shared" si="353"/>
        <v>0</v>
      </c>
      <c r="I4509" s="91" t="str">
        <f t="shared" si="354"/>
        <v/>
      </c>
      <c r="J4509" s="91" t="str">
        <f t="shared" si="355"/>
        <v/>
      </c>
      <c r="K4509" s="92" t="str">
        <f>IF(AND(A4509="",B4509="",D4509="",G4509=""),"",IF(AND(A4509&lt;&gt;"",COUNTIF($A$2:$A$5001,A4509)&gt;1),"NUMERO_PC duplicado",IF(B4509="","DATA_PC vazia",IF(NOT(ISNUMBER(B4509)),"DATA_PC invalida",IF(OR(C4509="",C4509="Fora dos ciclos"),"CICLO_PC nao identificado",IF(OR(D4509="",D4509=0),"VALOR_PC vazio ou zero",IF(AND(G4509&lt;&gt;"Sim",G4509&lt;&gt;"Nao",G4509&lt;&gt;""),"PC_PAGO_A_CONTRATADA invalido",IF(AND(C4509&lt;&gt;"C0",IFERROR(INDEX(parametros!$A$2:$A$6,MATCH(C4509,parametros!$B$2:$B$6,0)),"")="Sim",IFERROR(INDEX(parametros!$H$2:$H$6,MATCH(C4509,parametros!$B$2:$B$6,0)),"")=""),"INICIO_EFEITO ausente: PC "&amp;A4509&amp;" - "&amp;C4509,IF(L4509="","EFEITO_PC nao calculado: PC "&amp;A4509&amp;" - "&amp;C4509,"OK")))))))))</f>
        <v/>
      </c>
      <c r="L4509" s="92" t="str">
        <f>IF(AND(A4509="",B4509="",D4509="",G4509=""),"",IF(OR(B4509="",NOT(ISNUMBER(B4509)),C4509="",C4509="Fora dos ciclos"),"",IF(C4509="C0","Nao",IF(IFERROR(INDEX(parametros!$A$2:$A$6,MATCH(C4509,parametros!$B$2:$B$6,0)),"")&lt;&gt;"Sim","Nao",IF(IFERROR(INDEX(parametros!$H$2:$H$6,MATCH(C4509,parametros!$B$2:$B$6,0)),"")="","",IF(B4509&gt;=IFERROR(INDEX(parametros!$H$2:$H$6,MATCH(C4509,parametros!$B$2:$B$6,0)),""),"Sim","Nao"))))))</f>
        <v/>
      </c>
      <c r="T4509" s="156"/>
      <c r="U4509" s="214" t="str">
        <f t="shared" si="356"/>
        <v/>
      </c>
      <c r="V4509" s="212" t="s">
        <v>50</v>
      </c>
      <c r="W4509" s="100" t="s">
        <v>168</v>
      </c>
      <c r="X4509" s="100" t="s">
        <v>169</v>
      </c>
      <c r="Y4509" s="101" t="s">
        <v>170</v>
      </c>
      <c r="Z4509" s="101" t="s">
        <v>171</v>
      </c>
      <c r="AA4509" s="101" t="s">
        <v>50</v>
      </c>
      <c r="AB4509" s="101" t="s">
        <v>172</v>
      </c>
      <c r="AC4509" s="102" t="s">
        <v>173</v>
      </c>
    </row>
    <row r="4510" spans="1:29" ht="25.5" customHeight="1" x14ac:dyDescent="0.35">
      <c r="A4510" s="392"/>
      <c r="B4510" s="393"/>
      <c r="C4510" s="99" t="str">
        <f>IF(B4510="","",IF(NOT(ISNUMBER(B4510)),"DATA_PC invalida",IF(NOT(ISNUMBER(parametros!$C$2)),"Fora dos ciclos",IF(OR(B4510&lt;parametros!$C$2,(YEAR(B4510)-YEAR(parametros!$C$2))*12+MONTH(B4510)-MONTH(parametros!$C$2)&gt;59),"Fora dos ciclos","C"&amp;INT(((YEAR(B4510)-YEAR(parametros!$C$2))*12+MONTH(B4510)-MONTH(parametros!$C$2))/12)))))</f>
        <v/>
      </c>
      <c r="D4510" s="394"/>
      <c r="E4510" s="78" t="str">
        <f>IF(C4510="","",IFERROR(VLOOKUP(C4510,parametros!$A$11:$E$15,5,0),""))</f>
        <v/>
      </c>
      <c r="F4510" s="79" t="str">
        <f t="shared" si="352"/>
        <v/>
      </c>
      <c r="G4510" s="395"/>
      <c r="H4510" s="91">
        <f t="shared" si="353"/>
        <v>0</v>
      </c>
      <c r="I4510" s="91" t="str">
        <f t="shared" si="354"/>
        <v/>
      </c>
      <c r="J4510" s="91" t="str">
        <f t="shared" si="355"/>
        <v/>
      </c>
      <c r="K4510" s="92" t="str">
        <f>IF(AND(A4510="",B4510="",D4510="",G4510=""),"",IF(AND(A4510&lt;&gt;"",COUNTIF($A$2:$A$5001,A4510)&gt;1),"NUMERO_PC duplicado",IF(B4510="","DATA_PC vazia",IF(NOT(ISNUMBER(B4510)),"DATA_PC invalida",IF(OR(C4510="",C4510="Fora dos ciclos"),"CICLO_PC nao identificado",IF(OR(D4510="",D4510=0),"VALOR_PC vazio ou zero",IF(AND(G4510&lt;&gt;"Sim",G4510&lt;&gt;"Nao",G4510&lt;&gt;""),"PC_PAGO_A_CONTRATADA invalido",IF(AND(C4510&lt;&gt;"C0",IFERROR(INDEX(parametros!$A$2:$A$6,MATCH(C4510,parametros!$B$2:$B$6,0)),"")="Sim",IFERROR(INDEX(parametros!$H$2:$H$6,MATCH(C4510,parametros!$B$2:$B$6,0)),"")=""),"INICIO_EFEITO ausente: PC "&amp;A4510&amp;" - "&amp;C4510,IF(L4510="","EFEITO_PC nao calculado: PC "&amp;A4510&amp;" - "&amp;C4510,"OK")))))))))</f>
        <v/>
      </c>
      <c r="L4510" s="92" t="str">
        <f>IF(AND(A4510="",B4510="",D4510="",G4510=""),"",IF(OR(B4510="",NOT(ISNUMBER(B4510)),C4510="",C4510="Fora dos ciclos"),"",IF(C4510="C0","Nao",IF(IFERROR(INDEX(parametros!$A$2:$A$6,MATCH(C4510,parametros!$B$2:$B$6,0)),"")&lt;&gt;"Sim","Nao",IF(IFERROR(INDEX(parametros!$H$2:$H$6,MATCH(C4510,parametros!$B$2:$B$6,0)),"")="","",IF(B4510&gt;=IFERROR(INDEX(parametros!$H$2:$H$6,MATCH(C4510,parametros!$B$2:$B$6,0)),""),"Sim","Nao"))))))</f>
        <v/>
      </c>
      <c r="T4510" s="156"/>
      <c r="U4510" s="214" t="str">
        <f t="shared" si="356"/>
        <v/>
      </c>
      <c r="V4510" s="212" t="s">
        <v>50</v>
      </c>
      <c r="W4510" s="100" t="s">
        <v>168</v>
      </c>
      <c r="X4510" s="100" t="s">
        <v>169</v>
      </c>
      <c r="Y4510" s="101" t="s">
        <v>170</v>
      </c>
      <c r="Z4510" s="101" t="s">
        <v>171</v>
      </c>
      <c r="AA4510" s="101" t="s">
        <v>50</v>
      </c>
      <c r="AB4510" s="101" t="s">
        <v>172</v>
      </c>
      <c r="AC4510" s="102" t="s">
        <v>173</v>
      </c>
    </row>
    <row r="4511" spans="1:29" ht="25.5" customHeight="1" x14ac:dyDescent="0.35">
      <c r="A4511" s="392"/>
      <c r="B4511" s="393"/>
      <c r="C4511" s="99" t="str">
        <f>IF(B4511="","",IF(NOT(ISNUMBER(B4511)),"DATA_PC invalida",IF(NOT(ISNUMBER(parametros!$C$2)),"Fora dos ciclos",IF(OR(B4511&lt;parametros!$C$2,(YEAR(B4511)-YEAR(parametros!$C$2))*12+MONTH(B4511)-MONTH(parametros!$C$2)&gt;59),"Fora dos ciclos","C"&amp;INT(((YEAR(B4511)-YEAR(parametros!$C$2))*12+MONTH(B4511)-MONTH(parametros!$C$2))/12)))))</f>
        <v/>
      </c>
      <c r="D4511" s="394"/>
      <c r="E4511" s="78" t="str">
        <f>IF(C4511="","",IFERROR(VLOOKUP(C4511,parametros!$A$11:$E$15,5,0),""))</f>
        <v/>
      </c>
      <c r="F4511" s="79" t="str">
        <f t="shared" si="352"/>
        <v/>
      </c>
      <c r="G4511" s="395"/>
      <c r="H4511" s="91">
        <f t="shared" si="353"/>
        <v>0</v>
      </c>
      <c r="I4511" s="91" t="str">
        <f t="shared" si="354"/>
        <v/>
      </c>
      <c r="J4511" s="91" t="str">
        <f t="shared" si="355"/>
        <v/>
      </c>
      <c r="K4511" s="92" t="str">
        <f>IF(AND(A4511="",B4511="",D4511="",G4511=""),"",IF(AND(A4511&lt;&gt;"",COUNTIF($A$2:$A$5001,A4511)&gt;1),"NUMERO_PC duplicado",IF(B4511="","DATA_PC vazia",IF(NOT(ISNUMBER(B4511)),"DATA_PC invalida",IF(OR(C4511="",C4511="Fora dos ciclos"),"CICLO_PC nao identificado",IF(OR(D4511="",D4511=0),"VALOR_PC vazio ou zero",IF(AND(G4511&lt;&gt;"Sim",G4511&lt;&gt;"Nao",G4511&lt;&gt;""),"PC_PAGO_A_CONTRATADA invalido",IF(AND(C4511&lt;&gt;"C0",IFERROR(INDEX(parametros!$A$2:$A$6,MATCH(C4511,parametros!$B$2:$B$6,0)),"")="Sim",IFERROR(INDEX(parametros!$H$2:$H$6,MATCH(C4511,parametros!$B$2:$B$6,0)),"")=""),"INICIO_EFEITO ausente: PC "&amp;A4511&amp;" - "&amp;C4511,IF(L4511="","EFEITO_PC nao calculado: PC "&amp;A4511&amp;" - "&amp;C4511,"OK")))))))))</f>
        <v/>
      </c>
      <c r="L4511" s="92" t="str">
        <f>IF(AND(A4511="",B4511="",D4511="",G4511=""),"",IF(OR(B4511="",NOT(ISNUMBER(B4511)),C4511="",C4511="Fora dos ciclos"),"",IF(C4511="C0","Nao",IF(IFERROR(INDEX(parametros!$A$2:$A$6,MATCH(C4511,parametros!$B$2:$B$6,0)),"")&lt;&gt;"Sim","Nao",IF(IFERROR(INDEX(parametros!$H$2:$H$6,MATCH(C4511,parametros!$B$2:$B$6,0)),"")="","",IF(B4511&gt;=IFERROR(INDEX(parametros!$H$2:$H$6,MATCH(C4511,parametros!$B$2:$B$6,0)),""),"Sim","Nao"))))))</f>
        <v/>
      </c>
      <c r="T4511" s="156"/>
      <c r="U4511" s="214" t="str">
        <f t="shared" si="356"/>
        <v/>
      </c>
      <c r="V4511" s="212" t="s">
        <v>50</v>
      </c>
      <c r="W4511" s="100" t="s">
        <v>168</v>
      </c>
      <c r="X4511" s="100" t="s">
        <v>169</v>
      </c>
      <c r="Y4511" s="101" t="s">
        <v>170</v>
      </c>
      <c r="Z4511" s="101" t="s">
        <v>171</v>
      </c>
      <c r="AA4511" s="101" t="s">
        <v>50</v>
      </c>
      <c r="AB4511" s="101" t="s">
        <v>172</v>
      </c>
      <c r="AC4511" s="102" t="s">
        <v>173</v>
      </c>
    </row>
    <row r="4512" spans="1:29" ht="25.5" customHeight="1" x14ac:dyDescent="0.35">
      <c r="A4512" s="392"/>
      <c r="B4512" s="393"/>
      <c r="C4512" s="99" t="str">
        <f>IF(B4512="","",IF(NOT(ISNUMBER(B4512)),"DATA_PC invalida",IF(NOT(ISNUMBER(parametros!$C$2)),"Fora dos ciclos",IF(OR(B4512&lt;parametros!$C$2,(YEAR(B4512)-YEAR(parametros!$C$2))*12+MONTH(B4512)-MONTH(parametros!$C$2)&gt;59),"Fora dos ciclos","C"&amp;INT(((YEAR(B4512)-YEAR(parametros!$C$2))*12+MONTH(B4512)-MONTH(parametros!$C$2))/12)))))</f>
        <v/>
      </c>
      <c r="D4512" s="394"/>
      <c r="E4512" s="78" t="str">
        <f>IF(C4512="","",IFERROR(VLOOKUP(C4512,parametros!$A$11:$E$15,5,0),""))</f>
        <v/>
      </c>
      <c r="F4512" s="79" t="str">
        <f t="shared" si="352"/>
        <v/>
      </c>
      <c r="G4512" s="395"/>
      <c r="H4512" s="91">
        <f t="shared" si="353"/>
        <v>0</v>
      </c>
      <c r="I4512" s="91" t="str">
        <f t="shared" si="354"/>
        <v/>
      </c>
      <c r="J4512" s="91" t="str">
        <f t="shared" si="355"/>
        <v/>
      </c>
      <c r="K4512" s="92" t="str">
        <f>IF(AND(A4512="",B4512="",D4512="",G4512=""),"",IF(AND(A4512&lt;&gt;"",COUNTIF($A$2:$A$5001,A4512)&gt;1),"NUMERO_PC duplicado",IF(B4512="","DATA_PC vazia",IF(NOT(ISNUMBER(B4512)),"DATA_PC invalida",IF(OR(C4512="",C4512="Fora dos ciclos"),"CICLO_PC nao identificado",IF(OR(D4512="",D4512=0),"VALOR_PC vazio ou zero",IF(AND(G4512&lt;&gt;"Sim",G4512&lt;&gt;"Nao",G4512&lt;&gt;""),"PC_PAGO_A_CONTRATADA invalido",IF(AND(C4512&lt;&gt;"C0",IFERROR(INDEX(parametros!$A$2:$A$6,MATCH(C4512,parametros!$B$2:$B$6,0)),"")="Sim",IFERROR(INDEX(parametros!$H$2:$H$6,MATCH(C4512,parametros!$B$2:$B$6,0)),"")=""),"INICIO_EFEITO ausente: PC "&amp;A4512&amp;" - "&amp;C4512,IF(L4512="","EFEITO_PC nao calculado: PC "&amp;A4512&amp;" - "&amp;C4512,"OK")))))))))</f>
        <v/>
      </c>
      <c r="L4512" s="92" t="str">
        <f>IF(AND(A4512="",B4512="",D4512="",G4512=""),"",IF(OR(B4512="",NOT(ISNUMBER(B4512)),C4512="",C4512="Fora dos ciclos"),"",IF(C4512="C0","Nao",IF(IFERROR(INDEX(parametros!$A$2:$A$6,MATCH(C4512,parametros!$B$2:$B$6,0)),"")&lt;&gt;"Sim","Nao",IF(IFERROR(INDEX(parametros!$H$2:$H$6,MATCH(C4512,parametros!$B$2:$B$6,0)),"")="","",IF(B4512&gt;=IFERROR(INDEX(parametros!$H$2:$H$6,MATCH(C4512,parametros!$B$2:$B$6,0)),""),"Sim","Nao"))))))</f>
        <v/>
      </c>
      <c r="T4512" s="156"/>
      <c r="U4512" s="214" t="str">
        <f t="shared" si="356"/>
        <v/>
      </c>
      <c r="V4512" s="212" t="s">
        <v>50</v>
      </c>
      <c r="W4512" s="100" t="s">
        <v>168</v>
      </c>
      <c r="X4512" s="100" t="s">
        <v>169</v>
      </c>
      <c r="Y4512" s="101" t="s">
        <v>170</v>
      </c>
      <c r="Z4512" s="101" t="s">
        <v>171</v>
      </c>
      <c r="AA4512" s="101" t="s">
        <v>50</v>
      </c>
      <c r="AB4512" s="101" t="s">
        <v>172</v>
      </c>
      <c r="AC4512" s="102" t="s">
        <v>173</v>
      </c>
    </row>
    <row r="4513" spans="1:29" ht="25.5" customHeight="1" x14ac:dyDescent="0.35">
      <c r="A4513" s="392"/>
      <c r="B4513" s="393"/>
      <c r="C4513" s="99" t="str">
        <f>IF(B4513="","",IF(NOT(ISNUMBER(B4513)),"DATA_PC invalida",IF(NOT(ISNUMBER(parametros!$C$2)),"Fora dos ciclos",IF(OR(B4513&lt;parametros!$C$2,(YEAR(B4513)-YEAR(parametros!$C$2))*12+MONTH(B4513)-MONTH(parametros!$C$2)&gt;59),"Fora dos ciclos","C"&amp;INT(((YEAR(B4513)-YEAR(parametros!$C$2))*12+MONTH(B4513)-MONTH(parametros!$C$2))/12)))))</f>
        <v/>
      </c>
      <c r="D4513" s="394"/>
      <c r="E4513" s="78" t="str">
        <f>IF(C4513="","",IFERROR(VLOOKUP(C4513,parametros!$A$11:$E$15,5,0),""))</f>
        <v/>
      </c>
      <c r="F4513" s="79" t="str">
        <f t="shared" si="352"/>
        <v/>
      </c>
      <c r="G4513" s="395"/>
      <c r="H4513" s="91">
        <f t="shared" si="353"/>
        <v>0</v>
      </c>
      <c r="I4513" s="91" t="str">
        <f t="shared" si="354"/>
        <v/>
      </c>
      <c r="J4513" s="91" t="str">
        <f t="shared" si="355"/>
        <v/>
      </c>
      <c r="K4513" s="92" t="str">
        <f>IF(AND(A4513="",B4513="",D4513="",G4513=""),"",IF(AND(A4513&lt;&gt;"",COUNTIF($A$2:$A$5001,A4513)&gt;1),"NUMERO_PC duplicado",IF(B4513="","DATA_PC vazia",IF(NOT(ISNUMBER(B4513)),"DATA_PC invalida",IF(OR(C4513="",C4513="Fora dos ciclos"),"CICLO_PC nao identificado",IF(OR(D4513="",D4513=0),"VALOR_PC vazio ou zero",IF(AND(G4513&lt;&gt;"Sim",G4513&lt;&gt;"Nao",G4513&lt;&gt;""),"PC_PAGO_A_CONTRATADA invalido",IF(AND(C4513&lt;&gt;"C0",IFERROR(INDEX(parametros!$A$2:$A$6,MATCH(C4513,parametros!$B$2:$B$6,0)),"")="Sim",IFERROR(INDEX(parametros!$H$2:$H$6,MATCH(C4513,parametros!$B$2:$B$6,0)),"")=""),"INICIO_EFEITO ausente: PC "&amp;A4513&amp;" - "&amp;C4513,IF(L4513="","EFEITO_PC nao calculado: PC "&amp;A4513&amp;" - "&amp;C4513,"OK")))))))))</f>
        <v/>
      </c>
      <c r="L4513" s="92" t="str">
        <f>IF(AND(A4513="",B4513="",D4513="",G4513=""),"",IF(OR(B4513="",NOT(ISNUMBER(B4513)),C4513="",C4513="Fora dos ciclos"),"",IF(C4513="C0","Nao",IF(IFERROR(INDEX(parametros!$A$2:$A$6,MATCH(C4513,parametros!$B$2:$B$6,0)),"")&lt;&gt;"Sim","Nao",IF(IFERROR(INDEX(parametros!$H$2:$H$6,MATCH(C4513,parametros!$B$2:$B$6,0)),"")="","",IF(B4513&gt;=IFERROR(INDEX(parametros!$H$2:$H$6,MATCH(C4513,parametros!$B$2:$B$6,0)),""),"Sim","Nao"))))))</f>
        <v/>
      </c>
      <c r="T4513" s="156"/>
      <c r="U4513" s="214" t="str">
        <f t="shared" si="356"/>
        <v/>
      </c>
      <c r="V4513" s="212" t="s">
        <v>50</v>
      </c>
      <c r="W4513" s="100" t="s">
        <v>168</v>
      </c>
      <c r="X4513" s="100" t="s">
        <v>169</v>
      </c>
      <c r="Y4513" s="101" t="s">
        <v>170</v>
      </c>
      <c r="Z4513" s="101" t="s">
        <v>171</v>
      </c>
      <c r="AA4513" s="101" t="s">
        <v>50</v>
      </c>
      <c r="AB4513" s="101" t="s">
        <v>172</v>
      </c>
      <c r="AC4513" s="102" t="s">
        <v>173</v>
      </c>
    </row>
    <row r="4514" spans="1:29" ht="25.5" customHeight="1" x14ac:dyDescent="0.35">
      <c r="A4514" s="392"/>
      <c r="B4514" s="393"/>
      <c r="C4514" s="99" t="str">
        <f>IF(B4514="","",IF(NOT(ISNUMBER(B4514)),"DATA_PC invalida",IF(NOT(ISNUMBER(parametros!$C$2)),"Fora dos ciclos",IF(OR(B4514&lt;parametros!$C$2,(YEAR(B4514)-YEAR(parametros!$C$2))*12+MONTH(B4514)-MONTH(parametros!$C$2)&gt;59),"Fora dos ciclos","C"&amp;INT(((YEAR(B4514)-YEAR(parametros!$C$2))*12+MONTH(B4514)-MONTH(parametros!$C$2))/12)))))</f>
        <v/>
      </c>
      <c r="D4514" s="394"/>
      <c r="E4514" s="78" t="str">
        <f>IF(C4514="","",IFERROR(VLOOKUP(C4514,parametros!$A$11:$E$15,5,0),""))</f>
        <v/>
      </c>
      <c r="F4514" s="79" t="str">
        <f t="shared" si="352"/>
        <v/>
      </c>
      <c r="G4514" s="395"/>
      <c r="H4514" s="91">
        <f t="shared" si="353"/>
        <v>0</v>
      </c>
      <c r="I4514" s="91" t="str">
        <f t="shared" si="354"/>
        <v/>
      </c>
      <c r="J4514" s="91" t="str">
        <f t="shared" si="355"/>
        <v/>
      </c>
      <c r="K4514" s="92" t="str">
        <f>IF(AND(A4514="",B4514="",D4514="",G4514=""),"",IF(AND(A4514&lt;&gt;"",COUNTIF($A$2:$A$5001,A4514)&gt;1),"NUMERO_PC duplicado",IF(B4514="","DATA_PC vazia",IF(NOT(ISNUMBER(B4514)),"DATA_PC invalida",IF(OR(C4514="",C4514="Fora dos ciclos"),"CICLO_PC nao identificado",IF(OR(D4514="",D4514=0),"VALOR_PC vazio ou zero",IF(AND(G4514&lt;&gt;"Sim",G4514&lt;&gt;"Nao",G4514&lt;&gt;""),"PC_PAGO_A_CONTRATADA invalido",IF(AND(C4514&lt;&gt;"C0",IFERROR(INDEX(parametros!$A$2:$A$6,MATCH(C4514,parametros!$B$2:$B$6,0)),"")="Sim",IFERROR(INDEX(parametros!$H$2:$H$6,MATCH(C4514,parametros!$B$2:$B$6,0)),"")=""),"INICIO_EFEITO ausente: PC "&amp;A4514&amp;" - "&amp;C4514,IF(L4514="","EFEITO_PC nao calculado: PC "&amp;A4514&amp;" - "&amp;C4514,"OK")))))))))</f>
        <v/>
      </c>
      <c r="L4514" s="92" t="str">
        <f>IF(AND(A4514="",B4514="",D4514="",G4514=""),"",IF(OR(B4514="",NOT(ISNUMBER(B4514)),C4514="",C4514="Fora dos ciclos"),"",IF(C4514="C0","Nao",IF(IFERROR(INDEX(parametros!$A$2:$A$6,MATCH(C4514,parametros!$B$2:$B$6,0)),"")&lt;&gt;"Sim","Nao",IF(IFERROR(INDEX(parametros!$H$2:$H$6,MATCH(C4514,parametros!$B$2:$B$6,0)),"")="","",IF(B4514&gt;=IFERROR(INDEX(parametros!$H$2:$H$6,MATCH(C4514,parametros!$B$2:$B$6,0)),""),"Sim","Nao"))))))</f>
        <v/>
      </c>
      <c r="T4514" s="156"/>
      <c r="U4514" s="214" t="str">
        <f t="shared" si="356"/>
        <v/>
      </c>
      <c r="V4514" s="212" t="s">
        <v>50</v>
      </c>
      <c r="W4514" s="100" t="s">
        <v>168</v>
      </c>
      <c r="X4514" s="100" t="s">
        <v>169</v>
      </c>
      <c r="Y4514" s="101" t="s">
        <v>170</v>
      </c>
      <c r="Z4514" s="101" t="s">
        <v>171</v>
      </c>
      <c r="AA4514" s="101" t="s">
        <v>50</v>
      </c>
      <c r="AB4514" s="101" t="s">
        <v>172</v>
      </c>
      <c r="AC4514" s="102" t="s">
        <v>173</v>
      </c>
    </row>
    <row r="4515" spans="1:29" ht="25.5" customHeight="1" x14ac:dyDescent="0.35">
      <c r="A4515" s="392"/>
      <c r="B4515" s="393"/>
      <c r="C4515" s="99" t="str">
        <f>IF(B4515="","",IF(NOT(ISNUMBER(B4515)),"DATA_PC invalida",IF(NOT(ISNUMBER(parametros!$C$2)),"Fora dos ciclos",IF(OR(B4515&lt;parametros!$C$2,(YEAR(B4515)-YEAR(parametros!$C$2))*12+MONTH(B4515)-MONTH(parametros!$C$2)&gt;59),"Fora dos ciclos","C"&amp;INT(((YEAR(B4515)-YEAR(parametros!$C$2))*12+MONTH(B4515)-MONTH(parametros!$C$2))/12)))))</f>
        <v/>
      </c>
      <c r="D4515" s="394"/>
      <c r="E4515" s="78" t="str">
        <f>IF(C4515="","",IFERROR(VLOOKUP(C4515,parametros!$A$11:$E$15,5,0),""))</f>
        <v/>
      </c>
      <c r="F4515" s="79" t="str">
        <f t="shared" si="352"/>
        <v/>
      </c>
      <c r="G4515" s="395"/>
      <c r="H4515" s="91">
        <f t="shared" si="353"/>
        <v>0</v>
      </c>
      <c r="I4515" s="91" t="str">
        <f t="shared" si="354"/>
        <v/>
      </c>
      <c r="J4515" s="91" t="str">
        <f t="shared" si="355"/>
        <v/>
      </c>
      <c r="K4515" s="92" t="str">
        <f>IF(AND(A4515="",B4515="",D4515="",G4515=""),"",IF(AND(A4515&lt;&gt;"",COUNTIF($A$2:$A$5001,A4515)&gt;1),"NUMERO_PC duplicado",IF(B4515="","DATA_PC vazia",IF(NOT(ISNUMBER(B4515)),"DATA_PC invalida",IF(OR(C4515="",C4515="Fora dos ciclos"),"CICLO_PC nao identificado",IF(OR(D4515="",D4515=0),"VALOR_PC vazio ou zero",IF(AND(G4515&lt;&gt;"Sim",G4515&lt;&gt;"Nao",G4515&lt;&gt;""),"PC_PAGO_A_CONTRATADA invalido",IF(AND(C4515&lt;&gt;"C0",IFERROR(INDEX(parametros!$A$2:$A$6,MATCH(C4515,parametros!$B$2:$B$6,0)),"")="Sim",IFERROR(INDEX(parametros!$H$2:$H$6,MATCH(C4515,parametros!$B$2:$B$6,0)),"")=""),"INICIO_EFEITO ausente: PC "&amp;A4515&amp;" - "&amp;C4515,IF(L4515="","EFEITO_PC nao calculado: PC "&amp;A4515&amp;" - "&amp;C4515,"OK")))))))))</f>
        <v/>
      </c>
      <c r="L4515" s="92" t="str">
        <f>IF(AND(A4515="",B4515="",D4515="",G4515=""),"",IF(OR(B4515="",NOT(ISNUMBER(B4515)),C4515="",C4515="Fora dos ciclos"),"",IF(C4515="C0","Nao",IF(IFERROR(INDEX(parametros!$A$2:$A$6,MATCH(C4515,parametros!$B$2:$B$6,0)),"")&lt;&gt;"Sim","Nao",IF(IFERROR(INDEX(parametros!$H$2:$H$6,MATCH(C4515,parametros!$B$2:$B$6,0)),"")="","",IF(B4515&gt;=IFERROR(INDEX(parametros!$H$2:$H$6,MATCH(C4515,parametros!$B$2:$B$6,0)),""),"Sim","Nao"))))))</f>
        <v/>
      </c>
      <c r="T4515" s="156"/>
      <c r="U4515" s="214" t="str">
        <f t="shared" si="356"/>
        <v/>
      </c>
      <c r="V4515" s="212" t="s">
        <v>50</v>
      </c>
      <c r="W4515" s="100" t="s">
        <v>168</v>
      </c>
      <c r="X4515" s="100" t="s">
        <v>169</v>
      </c>
      <c r="Y4515" s="101" t="s">
        <v>170</v>
      </c>
      <c r="Z4515" s="101" t="s">
        <v>171</v>
      </c>
      <c r="AA4515" s="101" t="s">
        <v>50</v>
      </c>
      <c r="AB4515" s="101" t="s">
        <v>172</v>
      </c>
      <c r="AC4515" s="102" t="s">
        <v>173</v>
      </c>
    </row>
    <row r="4516" spans="1:29" ht="25.5" customHeight="1" x14ac:dyDescent="0.35">
      <c r="A4516" s="392"/>
      <c r="B4516" s="393"/>
      <c r="C4516" s="99" t="str">
        <f>IF(B4516="","",IF(NOT(ISNUMBER(B4516)),"DATA_PC invalida",IF(NOT(ISNUMBER(parametros!$C$2)),"Fora dos ciclos",IF(OR(B4516&lt;parametros!$C$2,(YEAR(B4516)-YEAR(parametros!$C$2))*12+MONTH(B4516)-MONTH(parametros!$C$2)&gt;59),"Fora dos ciclos","C"&amp;INT(((YEAR(B4516)-YEAR(parametros!$C$2))*12+MONTH(B4516)-MONTH(parametros!$C$2))/12)))))</f>
        <v/>
      </c>
      <c r="D4516" s="394"/>
      <c r="E4516" s="78" t="str">
        <f>IF(C4516="","",IFERROR(VLOOKUP(C4516,parametros!$A$11:$E$15,5,0),""))</f>
        <v/>
      </c>
      <c r="F4516" s="79" t="str">
        <f t="shared" si="352"/>
        <v/>
      </c>
      <c r="G4516" s="395"/>
      <c r="H4516" s="91">
        <f t="shared" si="353"/>
        <v>0</v>
      </c>
      <c r="I4516" s="91" t="str">
        <f t="shared" si="354"/>
        <v/>
      </c>
      <c r="J4516" s="91" t="str">
        <f t="shared" si="355"/>
        <v/>
      </c>
      <c r="K4516" s="92" t="str">
        <f>IF(AND(A4516="",B4516="",D4516="",G4516=""),"",IF(AND(A4516&lt;&gt;"",COUNTIF($A$2:$A$5001,A4516)&gt;1),"NUMERO_PC duplicado",IF(B4516="","DATA_PC vazia",IF(NOT(ISNUMBER(B4516)),"DATA_PC invalida",IF(OR(C4516="",C4516="Fora dos ciclos"),"CICLO_PC nao identificado",IF(OR(D4516="",D4516=0),"VALOR_PC vazio ou zero",IF(AND(G4516&lt;&gt;"Sim",G4516&lt;&gt;"Nao",G4516&lt;&gt;""),"PC_PAGO_A_CONTRATADA invalido",IF(AND(C4516&lt;&gt;"C0",IFERROR(INDEX(parametros!$A$2:$A$6,MATCH(C4516,parametros!$B$2:$B$6,0)),"")="Sim",IFERROR(INDEX(parametros!$H$2:$H$6,MATCH(C4516,parametros!$B$2:$B$6,0)),"")=""),"INICIO_EFEITO ausente: PC "&amp;A4516&amp;" - "&amp;C4516,IF(L4516="","EFEITO_PC nao calculado: PC "&amp;A4516&amp;" - "&amp;C4516,"OK")))))))))</f>
        <v/>
      </c>
      <c r="L4516" s="92" t="str">
        <f>IF(AND(A4516="",B4516="",D4516="",G4516=""),"",IF(OR(B4516="",NOT(ISNUMBER(B4516)),C4516="",C4516="Fora dos ciclos"),"",IF(C4516="C0","Nao",IF(IFERROR(INDEX(parametros!$A$2:$A$6,MATCH(C4516,parametros!$B$2:$B$6,0)),"")&lt;&gt;"Sim","Nao",IF(IFERROR(INDEX(parametros!$H$2:$H$6,MATCH(C4516,parametros!$B$2:$B$6,0)),"")="","",IF(B4516&gt;=IFERROR(INDEX(parametros!$H$2:$H$6,MATCH(C4516,parametros!$B$2:$B$6,0)),""),"Sim","Nao"))))))</f>
        <v/>
      </c>
      <c r="T4516" s="156"/>
      <c r="U4516" s="214" t="str">
        <f t="shared" si="356"/>
        <v/>
      </c>
      <c r="V4516" s="212" t="s">
        <v>50</v>
      </c>
      <c r="W4516" s="100" t="s">
        <v>168</v>
      </c>
      <c r="X4516" s="100" t="s">
        <v>169</v>
      </c>
      <c r="Y4516" s="101" t="s">
        <v>170</v>
      </c>
      <c r="Z4516" s="101" t="s">
        <v>171</v>
      </c>
      <c r="AA4516" s="101" t="s">
        <v>50</v>
      </c>
      <c r="AB4516" s="101" t="s">
        <v>172</v>
      </c>
      <c r="AC4516" s="102" t="s">
        <v>173</v>
      </c>
    </row>
    <row r="4517" spans="1:29" ht="25.5" customHeight="1" x14ac:dyDescent="0.35">
      <c r="A4517" s="392"/>
      <c r="B4517" s="393"/>
      <c r="C4517" s="99" t="str">
        <f>IF(B4517="","",IF(NOT(ISNUMBER(B4517)),"DATA_PC invalida",IF(NOT(ISNUMBER(parametros!$C$2)),"Fora dos ciclos",IF(OR(B4517&lt;parametros!$C$2,(YEAR(B4517)-YEAR(parametros!$C$2))*12+MONTH(B4517)-MONTH(parametros!$C$2)&gt;59),"Fora dos ciclos","C"&amp;INT(((YEAR(B4517)-YEAR(parametros!$C$2))*12+MONTH(B4517)-MONTH(parametros!$C$2))/12)))))</f>
        <v/>
      </c>
      <c r="D4517" s="394"/>
      <c r="E4517" s="78" t="str">
        <f>IF(C4517="","",IFERROR(VLOOKUP(C4517,parametros!$A$11:$E$15,5,0),""))</f>
        <v/>
      </c>
      <c r="F4517" s="79" t="str">
        <f t="shared" si="352"/>
        <v/>
      </c>
      <c r="G4517" s="395"/>
      <c r="H4517" s="91">
        <f t="shared" si="353"/>
        <v>0</v>
      </c>
      <c r="I4517" s="91" t="str">
        <f t="shared" si="354"/>
        <v/>
      </c>
      <c r="J4517" s="91" t="str">
        <f t="shared" si="355"/>
        <v/>
      </c>
      <c r="K4517" s="92" t="str">
        <f>IF(AND(A4517="",B4517="",D4517="",G4517=""),"",IF(AND(A4517&lt;&gt;"",COUNTIF($A$2:$A$5001,A4517)&gt;1),"NUMERO_PC duplicado",IF(B4517="","DATA_PC vazia",IF(NOT(ISNUMBER(B4517)),"DATA_PC invalida",IF(OR(C4517="",C4517="Fora dos ciclos"),"CICLO_PC nao identificado",IF(OR(D4517="",D4517=0),"VALOR_PC vazio ou zero",IF(AND(G4517&lt;&gt;"Sim",G4517&lt;&gt;"Nao",G4517&lt;&gt;""),"PC_PAGO_A_CONTRATADA invalido",IF(AND(C4517&lt;&gt;"C0",IFERROR(INDEX(parametros!$A$2:$A$6,MATCH(C4517,parametros!$B$2:$B$6,0)),"")="Sim",IFERROR(INDEX(parametros!$H$2:$H$6,MATCH(C4517,parametros!$B$2:$B$6,0)),"")=""),"INICIO_EFEITO ausente: PC "&amp;A4517&amp;" - "&amp;C4517,IF(L4517="","EFEITO_PC nao calculado: PC "&amp;A4517&amp;" - "&amp;C4517,"OK")))))))))</f>
        <v/>
      </c>
      <c r="L4517" s="92" t="str">
        <f>IF(AND(A4517="",B4517="",D4517="",G4517=""),"",IF(OR(B4517="",NOT(ISNUMBER(B4517)),C4517="",C4517="Fora dos ciclos"),"",IF(C4517="C0","Nao",IF(IFERROR(INDEX(parametros!$A$2:$A$6,MATCH(C4517,parametros!$B$2:$B$6,0)),"")&lt;&gt;"Sim","Nao",IF(IFERROR(INDEX(parametros!$H$2:$H$6,MATCH(C4517,parametros!$B$2:$B$6,0)),"")="","",IF(B4517&gt;=IFERROR(INDEX(parametros!$H$2:$H$6,MATCH(C4517,parametros!$B$2:$B$6,0)),""),"Sim","Nao"))))))</f>
        <v/>
      </c>
      <c r="T4517" s="156"/>
      <c r="U4517" s="214" t="str">
        <f t="shared" si="356"/>
        <v/>
      </c>
      <c r="V4517" s="212" t="s">
        <v>50</v>
      </c>
      <c r="W4517" s="100" t="s">
        <v>168</v>
      </c>
      <c r="X4517" s="100" t="s">
        <v>169</v>
      </c>
      <c r="Y4517" s="101" t="s">
        <v>170</v>
      </c>
      <c r="Z4517" s="101" t="s">
        <v>171</v>
      </c>
      <c r="AA4517" s="101" t="s">
        <v>50</v>
      </c>
      <c r="AB4517" s="101" t="s">
        <v>172</v>
      </c>
      <c r="AC4517" s="102" t="s">
        <v>173</v>
      </c>
    </row>
    <row r="4518" spans="1:29" ht="25.5" customHeight="1" x14ac:dyDescent="0.35">
      <c r="A4518" s="392"/>
      <c r="B4518" s="393"/>
      <c r="C4518" s="99" t="str">
        <f>IF(B4518="","",IF(NOT(ISNUMBER(B4518)),"DATA_PC invalida",IF(NOT(ISNUMBER(parametros!$C$2)),"Fora dos ciclos",IF(OR(B4518&lt;parametros!$C$2,(YEAR(B4518)-YEAR(parametros!$C$2))*12+MONTH(B4518)-MONTH(parametros!$C$2)&gt;59),"Fora dos ciclos","C"&amp;INT(((YEAR(B4518)-YEAR(parametros!$C$2))*12+MONTH(B4518)-MONTH(parametros!$C$2))/12)))))</f>
        <v/>
      </c>
      <c r="D4518" s="394"/>
      <c r="E4518" s="78" t="str">
        <f>IF(C4518="","",IFERROR(VLOOKUP(C4518,parametros!$A$11:$E$15,5,0),""))</f>
        <v/>
      </c>
      <c r="F4518" s="79" t="str">
        <f t="shared" si="352"/>
        <v/>
      </c>
      <c r="G4518" s="395"/>
      <c r="H4518" s="91">
        <f t="shared" si="353"/>
        <v>0</v>
      </c>
      <c r="I4518" s="91" t="str">
        <f t="shared" si="354"/>
        <v/>
      </c>
      <c r="J4518" s="91" t="str">
        <f t="shared" si="355"/>
        <v/>
      </c>
      <c r="K4518" s="92" t="str">
        <f>IF(AND(A4518="",B4518="",D4518="",G4518=""),"",IF(AND(A4518&lt;&gt;"",COUNTIF($A$2:$A$5001,A4518)&gt;1),"NUMERO_PC duplicado",IF(B4518="","DATA_PC vazia",IF(NOT(ISNUMBER(B4518)),"DATA_PC invalida",IF(OR(C4518="",C4518="Fora dos ciclos"),"CICLO_PC nao identificado",IF(OR(D4518="",D4518=0),"VALOR_PC vazio ou zero",IF(AND(G4518&lt;&gt;"Sim",G4518&lt;&gt;"Nao",G4518&lt;&gt;""),"PC_PAGO_A_CONTRATADA invalido",IF(AND(C4518&lt;&gt;"C0",IFERROR(INDEX(parametros!$A$2:$A$6,MATCH(C4518,parametros!$B$2:$B$6,0)),"")="Sim",IFERROR(INDEX(parametros!$H$2:$H$6,MATCH(C4518,parametros!$B$2:$B$6,0)),"")=""),"INICIO_EFEITO ausente: PC "&amp;A4518&amp;" - "&amp;C4518,IF(L4518="","EFEITO_PC nao calculado: PC "&amp;A4518&amp;" - "&amp;C4518,"OK")))))))))</f>
        <v/>
      </c>
      <c r="L4518" s="92" t="str">
        <f>IF(AND(A4518="",B4518="",D4518="",G4518=""),"",IF(OR(B4518="",NOT(ISNUMBER(B4518)),C4518="",C4518="Fora dos ciclos"),"",IF(C4518="C0","Nao",IF(IFERROR(INDEX(parametros!$A$2:$A$6,MATCH(C4518,parametros!$B$2:$B$6,0)),"")&lt;&gt;"Sim","Nao",IF(IFERROR(INDEX(parametros!$H$2:$H$6,MATCH(C4518,parametros!$B$2:$B$6,0)),"")="","",IF(B4518&gt;=IFERROR(INDEX(parametros!$H$2:$H$6,MATCH(C4518,parametros!$B$2:$B$6,0)),""),"Sim","Nao"))))))</f>
        <v/>
      </c>
      <c r="T4518" s="156"/>
      <c r="U4518" s="214" t="str">
        <f t="shared" si="356"/>
        <v/>
      </c>
      <c r="V4518" s="212" t="s">
        <v>50</v>
      </c>
      <c r="W4518" s="100" t="s">
        <v>168</v>
      </c>
      <c r="X4518" s="100" t="s">
        <v>169</v>
      </c>
      <c r="Y4518" s="101" t="s">
        <v>170</v>
      </c>
      <c r="Z4518" s="101" t="s">
        <v>171</v>
      </c>
      <c r="AA4518" s="101" t="s">
        <v>50</v>
      </c>
      <c r="AB4518" s="101" t="s">
        <v>172</v>
      </c>
      <c r="AC4518" s="102" t="s">
        <v>173</v>
      </c>
    </row>
    <row r="4519" spans="1:29" ht="25.5" customHeight="1" x14ac:dyDescent="0.35">
      <c r="A4519" s="392"/>
      <c r="B4519" s="393"/>
      <c r="C4519" s="99" t="str">
        <f>IF(B4519="","",IF(NOT(ISNUMBER(B4519)),"DATA_PC invalida",IF(NOT(ISNUMBER(parametros!$C$2)),"Fora dos ciclos",IF(OR(B4519&lt;parametros!$C$2,(YEAR(B4519)-YEAR(parametros!$C$2))*12+MONTH(B4519)-MONTH(parametros!$C$2)&gt;59),"Fora dos ciclos","C"&amp;INT(((YEAR(B4519)-YEAR(parametros!$C$2))*12+MONTH(B4519)-MONTH(parametros!$C$2))/12)))))</f>
        <v/>
      </c>
      <c r="D4519" s="394"/>
      <c r="E4519" s="78" t="str">
        <f>IF(C4519="","",IFERROR(VLOOKUP(C4519,parametros!$A$11:$E$15,5,0),""))</f>
        <v/>
      </c>
      <c r="F4519" s="79" t="str">
        <f t="shared" si="352"/>
        <v/>
      </c>
      <c r="G4519" s="395"/>
      <c r="H4519" s="91">
        <f t="shared" si="353"/>
        <v>0</v>
      </c>
      <c r="I4519" s="91" t="str">
        <f t="shared" si="354"/>
        <v/>
      </c>
      <c r="J4519" s="91" t="str">
        <f t="shared" si="355"/>
        <v/>
      </c>
      <c r="K4519" s="92" t="str">
        <f>IF(AND(A4519="",B4519="",D4519="",G4519=""),"",IF(AND(A4519&lt;&gt;"",COUNTIF($A$2:$A$5001,A4519)&gt;1),"NUMERO_PC duplicado",IF(B4519="","DATA_PC vazia",IF(NOT(ISNUMBER(B4519)),"DATA_PC invalida",IF(OR(C4519="",C4519="Fora dos ciclos"),"CICLO_PC nao identificado",IF(OR(D4519="",D4519=0),"VALOR_PC vazio ou zero",IF(AND(G4519&lt;&gt;"Sim",G4519&lt;&gt;"Nao",G4519&lt;&gt;""),"PC_PAGO_A_CONTRATADA invalido",IF(AND(C4519&lt;&gt;"C0",IFERROR(INDEX(parametros!$A$2:$A$6,MATCH(C4519,parametros!$B$2:$B$6,0)),"")="Sim",IFERROR(INDEX(parametros!$H$2:$H$6,MATCH(C4519,parametros!$B$2:$B$6,0)),"")=""),"INICIO_EFEITO ausente: PC "&amp;A4519&amp;" - "&amp;C4519,IF(L4519="","EFEITO_PC nao calculado: PC "&amp;A4519&amp;" - "&amp;C4519,"OK")))))))))</f>
        <v/>
      </c>
      <c r="L4519" s="92" t="str">
        <f>IF(AND(A4519="",B4519="",D4519="",G4519=""),"",IF(OR(B4519="",NOT(ISNUMBER(B4519)),C4519="",C4519="Fora dos ciclos"),"",IF(C4519="C0","Nao",IF(IFERROR(INDEX(parametros!$A$2:$A$6,MATCH(C4519,parametros!$B$2:$B$6,0)),"")&lt;&gt;"Sim","Nao",IF(IFERROR(INDEX(parametros!$H$2:$H$6,MATCH(C4519,parametros!$B$2:$B$6,0)),"")="","",IF(B4519&gt;=IFERROR(INDEX(parametros!$H$2:$H$6,MATCH(C4519,parametros!$B$2:$B$6,0)),""),"Sim","Nao"))))))</f>
        <v/>
      </c>
      <c r="T4519" s="156"/>
      <c r="U4519" s="214" t="str">
        <f t="shared" si="356"/>
        <v/>
      </c>
      <c r="V4519" s="212" t="s">
        <v>50</v>
      </c>
      <c r="W4519" s="100" t="s">
        <v>168</v>
      </c>
      <c r="X4519" s="100" t="s">
        <v>169</v>
      </c>
      <c r="Y4519" s="101" t="s">
        <v>170</v>
      </c>
      <c r="Z4519" s="101" t="s">
        <v>171</v>
      </c>
      <c r="AA4519" s="101" t="s">
        <v>50</v>
      </c>
      <c r="AB4519" s="101" t="s">
        <v>172</v>
      </c>
      <c r="AC4519" s="102" t="s">
        <v>173</v>
      </c>
    </row>
    <row r="4520" spans="1:29" ht="25.5" customHeight="1" x14ac:dyDescent="0.35">
      <c r="A4520" s="392"/>
      <c r="B4520" s="393"/>
      <c r="C4520" s="99" t="str">
        <f>IF(B4520="","",IF(NOT(ISNUMBER(B4520)),"DATA_PC invalida",IF(NOT(ISNUMBER(parametros!$C$2)),"Fora dos ciclos",IF(OR(B4520&lt;parametros!$C$2,(YEAR(B4520)-YEAR(parametros!$C$2))*12+MONTH(B4520)-MONTH(parametros!$C$2)&gt;59),"Fora dos ciclos","C"&amp;INT(((YEAR(B4520)-YEAR(parametros!$C$2))*12+MONTH(B4520)-MONTH(parametros!$C$2))/12)))))</f>
        <v/>
      </c>
      <c r="D4520" s="394"/>
      <c r="E4520" s="78" t="str">
        <f>IF(C4520="","",IFERROR(VLOOKUP(C4520,parametros!$A$11:$E$15,5,0),""))</f>
        <v/>
      </c>
      <c r="F4520" s="79" t="str">
        <f t="shared" si="352"/>
        <v/>
      </c>
      <c r="G4520" s="395"/>
      <c r="H4520" s="91">
        <f t="shared" si="353"/>
        <v>0</v>
      </c>
      <c r="I4520" s="91" t="str">
        <f t="shared" si="354"/>
        <v/>
      </c>
      <c r="J4520" s="91" t="str">
        <f t="shared" si="355"/>
        <v/>
      </c>
      <c r="K4520" s="92" t="str">
        <f>IF(AND(A4520="",B4520="",D4520="",G4520=""),"",IF(AND(A4520&lt;&gt;"",COUNTIF($A$2:$A$5001,A4520)&gt;1),"NUMERO_PC duplicado",IF(B4520="","DATA_PC vazia",IF(NOT(ISNUMBER(B4520)),"DATA_PC invalida",IF(OR(C4520="",C4520="Fora dos ciclos"),"CICLO_PC nao identificado",IF(OR(D4520="",D4520=0),"VALOR_PC vazio ou zero",IF(AND(G4520&lt;&gt;"Sim",G4520&lt;&gt;"Nao",G4520&lt;&gt;""),"PC_PAGO_A_CONTRATADA invalido",IF(AND(C4520&lt;&gt;"C0",IFERROR(INDEX(parametros!$A$2:$A$6,MATCH(C4520,parametros!$B$2:$B$6,0)),"")="Sim",IFERROR(INDEX(parametros!$H$2:$H$6,MATCH(C4520,parametros!$B$2:$B$6,0)),"")=""),"INICIO_EFEITO ausente: PC "&amp;A4520&amp;" - "&amp;C4520,IF(L4520="","EFEITO_PC nao calculado: PC "&amp;A4520&amp;" - "&amp;C4520,"OK")))))))))</f>
        <v/>
      </c>
      <c r="L4520" s="92" t="str">
        <f>IF(AND(A4520="",B4520="",D4520="",G4520=""),"",IF(OR(B4520="",NOT(ISNUMBER(B4520)),C4520="",C4520="Fora dos ciclos"),"",IF(C4520="C0","Nao",IF(IFERROR(INDEX(parametros!$A$2:$A$6,MATCH(C4520,parametros!$B$2:$B$6,0)),"")&lt;&gt;"Sim","Nao",IF(IFERROR(INDEX(parametros!$H$2:$H$6,MATCH(C4520,parametros!$B$2:$B$6,0)),"")="","",IF(B4520&gt;=IFERROR(INDEX(parametros!$H$2:$H$6,MATCH(C4520,parametros!$B$2:$B$6,0)),""),"Sim","Nao"))))))</f>
        <v/>
      </c>
      <c r="T4520" s="156"/>
      <c r="U4520" s="214" t="str">
        <f t="shared" si="356"/>
        <v/>
      </c>
      <c r="V4520" s="212" t="s">
        <v>50</v>
      </c>
      <c r="W4520" s="100" t="s">
        <v>168</v>
      </c>
      <c r="X4520" s="100" t="s">
        <v>169</v>
      </c>
      <c r="Y4520" s="101" t="s">
        <v>170</v>
      </c>
      <c r="Z4520" s="101" t="s">
        <v>171</v>
      </c>
      <c r="AA4520" s="101" t="s">
        <v>50</v>
      </c>
      <c r="AB4520" s="101" t="s">
        <v>172</v>
      </c>
      <c r="AC4520" s="102" t="s">
        <v>173</v>
      </c>
    </row>
    <row r="4521" spans="1:29" ht="25.5" customHeight="1" x14ac:dyDescent="0.35">
      <c r="A4521" s="392"/>
      <c r="B4521" s="393"/>
      <c r="C4521" s="99" t="str">
        <f>IF(B4521="","",IF(NOT(ISNUMBER(B4521)),"DATA_PC invalida",IF(NOT(ISNUMBER(parametros!$C$2)),"Fora dos ciclos",IF(OR(B4521&lt;parametros!$C$2,(YEAR(B4521)-YEAR(parametros!$C$2))*12+MONTH(B4521)-MONTH(parametros!$C$2)&gt;59),"Fora dos ciclos","C"&amp;INT(((YEAR(B4521)-YEAR(parametros!$C$2))*12+MONTH(B4521)-MONTH(parametros!$C$2))/12)))))</f>
        <v/>
      </c>
      <c r="D4521" s="394"/>
      <c r="E4521" s="78" t="str">
        <f>IF(C4521="","",IFERROR(VLOOKUP(C4521,parametros!$A$11:$E$15,5,0),""))</f>
        <v/>
      </c>
      <c r="F4521" s="79" t="str">
        <f t="shared" si="352"/>
        <v/>
      </c>
      <c r="G4521" s="395"/>
      <c r="H4521" s="91">
        <f t="shared" si="353"/>
        <v>0</v>
      </c>
      <c r="I4521" s="91" t="str">
        <f t="shared" si="354"/>
        <v/>
      </c>
      <c r="J4521" s="91" t="str">
        <f t="shared" si="355"/>
        <v/>
      </c>
      <c r="K4521" s="92" t="str">
        <f>IF(AND(A4521="",B4521="",D4521="",G4521=""),"",IF(AND(A4521&lt;&gt;"",COUNTIF($A$2:$A$5001,A4521)&gt;1),"NUMERO_PC duplicado",IF(B4521="","DATA_PC vazia",IF(NOT(ISNUMBER(B4521)),"DATA_PC invalida",IF(OR(C4521="",C4521="Fora dos ciclos"),"CICLO_PC nao identificado",IF(OR(D4521="",D4521=0),"VALOR_PC vazio ou zero",IF(AND(G4521&lt;&gt;"Sim",G4521&lt;&gt;"Nao",G4521&lt;&gt;""),"PC_PAGO_A_CONTRATADA invalido",IF(AND(C4521&lt;&gt;"C0",IFERROR(INDEX(parametros!$A$2:$A$6,MATCH(C4521,parametros!$B$2:$B$6,0)),"")="Sim",IFERROR(INDEX(parametros!$H$2:$H$6,MATCH(C4521,parametros!$B$2:$B$6,0)),"")=""),"INICIO_EFEITO ausente: PC "&amp;A4521&amp;" - "&amp;C4521,IF(L4521="","EFEITO_PC nao calculado: PC "&amp;A4521&amp;" - "&amp;C4521,"OK")))))))))</f>
        <v/>
      </c>
      <c r="L4521" s="92" t="str">
        <f>IF(AND(A4521="",B4521="",D4521="",G4521=""),"",IF(OR(B4521="",NOT(ISNUMBER(B4521)),C4521="",C4521="Fora dos ciclos"),"",IF(C4521="C0","Nao",IF(IFERROR(INDEX(parametros!$A$2:$A$6,MATCH(C4521,parametros!$B$2:$B$6,0)),"")&lt;&gt;"Sim","Nao",IF(IFERROR(INDEX(parametros!$H$2:$H$6,MATCH(C4521,parametros!$B$2:$B$6,0)),"")="","",IF(B4521&gt;=IFERROR(INDEX(parametros!$H$2:$H$6,MATCH(C4521,parametros!$B$2:$B$6,0)),""),"Sim","Nao"))))))</f>
        <v/>
      </c>
      <c r="T4521" s="156"/>
      <c r="U4521" s="214" t="str">
        <f t="shared" si="356"/>
        <v/>
      </c>
      <c r="V4521" s="212" t="s">
        <v>50</v>
      </c>
      <c r="W4521" s="100" t="s">
        <v>168</v>
      </c>
      <c r="X4521" s="100" t="s">
        <v>169</v>
      </c>
      <c r="Y4521" s="101" t="s">
        <v>170</v>
      </c>
      <c r="Z4521" s="101" t="s">
        <v>171</v>
      </c>
      <c r="AA4521" s="101" t="s">
        <v>50</v>
      </c>
      <c r="AB4521" s="101" t="s">
        <v>172</v>
      </c>
      <c r="AC4521" s="102" t="s">
        <v>173</v>
      </c>
    </row>
    <row r="4522" spans="1:29" ht="25.5" customHeight="1" x14ac:dyDescent="0.35">
      <c r="A4522" s="392"/>
      <c r="B4522" s="393"/>
      <c r="C4522" s="99" t="str">
        <f>IF(B4522="","",IF(NOT(ISNUMBER(B4522)),"DATA_PC invalida",IF(NOT(ISNUMBER(parametros!$C$2)),"Fora dos ciclos",IF(OR(B4522&lt;parametros!$C$2,(YEAR(B4522)-YEAR(parametros!$C$2))*12+MONTH(B4522)-MONTH(parametros!$C$2)&gt;59),"Fora dos ciclos","C"&amp;INT(((YEAR(B4522)-YEAR(parametros!$C$2))*12+MONTH(B4522)-MONTH(parametros!$C$2))/12)))))</f>
        <v/>
      </c>
      <c r="D4522" s="394"/>
      <c r="E4522" s="78" t="str">
        <f>IF(C4522="","",IFERROR(VLOOKUP(C4522,parametros!$A$11:$E$15,5,0),""))</f>
        <v/>
      </c>
      <c r="F4522" s="79" t="str">
        <f t="shared" si="352"/>
        <v/>
      </c>
      <c r="G4522" s="395"/>
      <c r="H4522" s="91">
        <f t="shared" si="353"/>
        <v>0</v>
      </c>
      <c r="I4522" s="91" t="str">
        <f t="shared" si="354"/>
        <v/>
      </c>
      <c r="J4522" s="91" t="str">
        <f t="shared" si="355"/>
        <v/>
      </c>
      <c r="K4522" s="92" t="str">
        <f>IF(AND(A4522="",B4522="",D4522="",G4522=""),"",IF(AND(A4522&lt;&gt;"",COUNTIF($A$2:$A$5001,A4522)&gt;1),"NUMERO_PC duplicado",IF(B4522="","DATA_PC vazia",IF(NOT(ISNUMBER(B4522)),"DATA_PC invalida",IF(OR(C4522="",C4522="Fora dos ciclos"),"CICLO_PC nao identificado",IF(OR(D4522="",D4522=0),"VALOR_PC vazio ou zero",IF(AND(G4522&lt;&gt;"Sim",G4522&lt;&gt;"Nao",G4522&lt;&gt;""),"PC_PAGO_A_CONTRATADA invalido",IF(AND(C4522&lt;&gt;"C0",IFERROR(INDEX(parametros!$A$2:$A$6,MATCH(C4522,parametros!$B$2:$B$6,0)),"")="Sim",IFERROR(INDEX(parametros!$H$2:$H$6,MATCH(C4522,parametros!$B$2:$B$6,0)),"")=""),"INICIO_EFEITO ausente: PC "&amp;A4522&amp;" - "&amp;C4522,IF(L4522="","EFEITO_PC nao calculado: PC "&amp;A4522&amp;" - "&amp;C4522,"OK")))))))))</f>
        <v/>
      </c>
      <c r="L4522" s="92" t="str">
        <f>IF(AND(A4522="",B4522="",D4522="",G4522=""),"",IF(OR(B4522="",NOT(ISNUMBER(B4522)),C4522="",C4522="Fora dos ciclos"),"",IF(C4522="C0","Nao",IF(IFERROR(INDEX(parametros!$A$2:$A$6,MATCH(C4522,parametros!$B$2:$B$6,0)),"")&lt;&gt;"Sim","Nao",IF(IFERROR(INDEX(parametros!$H$2:$H$6,MATCH(C4522,parametros!$B$2:$B$6,0)),"")="","",IF(B4522&gt;=IFERROR(INDEX(parametros!$H$2:$H$6,MATCH(C4522,parametros!$B$2:$B$6,0)),""),"Sim","Nao"))))))</f>
        <v/>
      </c>
      <c r="T4522" s="156"/>
      <c r="U4522" s="214" t="str">
        <f t="shared" si="356"/>
        <v/>
      </c>
      <c r="V4522" s="212" t="s">
        <v>50</v>
      </c>
      <c r="W4522" s="100" t="s">
        <v>168</v>
      </c>
      <c r="X4522" s="100" t="s">
        <v>169</v>
      </c>
      <c r="Y4522" s="101" t="s">
        <v>170</v>
      </c>
      <c r="Z4522" s="101" t="s">
        <v>171</v>
      </c>
      <c r="AA4522" s="101" t="s">
        <v>50</v>
      </c>
      <c r="AB4522" s="101" t="s">
        <v>172</v>
      </c>
      <c r="AC4522" s="102" t="s">
        <v>173</v>
      </c>
    </row>
    <row r="4523" spans="1:29" ht="25.5" customHeight="1" x14ac:dyDescent="0.35">
      <c r="A4523" s="392"/>
      <c r="B4523" s="393"/>
      <c r="C4523" s="99" t="str">
        <f>IF(B4523="","",IF(NOT(ISNUMBER(B4523)),"DATA_PC invalida",IF(NOT(ISNUMBER(parametros!$C$2)),"Fora dos ciclos",IF(OR(B4523&lt;parametros!$C$2,(YEAR(B4523)-YEAR(parametros!$C$2))*12+MONTH(B4523)-MONTH(parametros!$C$2)&gt;59),"Fora dos ciclos","C"&amp;INT(((YEAR(B4523)-YEAR(parametros!$C$2))*12+MONTH(B4523)-MONTH(parametros!$C$2))/12)))))</f>
        <v/>
      </c>
      <c r="D4523" s="394"/>
      <c r="E4523" s="78" t="str">
        <f>IF(C4523="","",IFERROR(VLOOKUP(C4523,parametros!$A$11:$E$15,5,0),""))</f>
        <v/>
      </c>
      <c r="F4523" s="79" t="str">
        <f t="shared" si="352"/>
        <v/>
      </c>
      <c r="G4523" s="395"/>
      <c r="H4523" s="91">
        <f t="shared" si="353"/>
        <v>0</v>
      </c>
      <c r="I4523" s="91" t="str">
        <f t="shared" si="354"/>
        <v/>
      </c>
      <c r="J4523" s="91" t="str">
        <f t="shared" si="355"/>
        <v/>
      </c>
      <c r="K4523" s="92" t="str">
        <f>IF(AND(A4523="",B4523="",D4523="",G4523=""),"",IF(AND(A4523&lt;&gt;"",COUNTIF($A$2:$A$5001,A4523)&gt;1),"NUMERO_PC duplicado",IF(B4523="","DATA_PC vazia",IF(NOT(ISNUMBER(B4523)),"DATA_PC invalida",IF(OR(C4523="",C4523="Fora dos ciclos"),"CICLO_PC nao identificado",IF(OR(D4523="",D4523=0),"VALOR_PC vazio ou zero",IF(AND(G4523&lt;&gt;"Sim",G4523&lt;&gt;"Nao",G4523&lt;&gt;""),"PC_PAGO_A_CONTRATADA invalido",IF(AND(C4523&lt;&gt;"C0",IFERROR(INDEX(parametros!$A$2:$A$6,MATCH(C4523,parametros!$B$2:$B$6,0)),"")="Sim",IFERROR(INDEX(parametros!$H$2:$H$6,MATCH(C4523,parametros!$B$2:$B$6,0)),"")=""),"INICIO_EFEITO ausente: PC "&amp;A4523&amp;" - "&amp;C4523,IF(L4523="","EFEITO_PC nao calculado: PC "&amp;A4523&amp;" - "&amp;C4523,"OK")))))))))</f>
        <v/>
      </c>
      <c r="L4523" s="92" t="str">
        <f>IF(AND(A4523="",B4523="",D4523="",G4523=""),"",IF(OR(B4523="",NOT(ISNUMBER(B4523)),C4523="",C4523="Fora dos ciclos"),"",IF(C4523="C0","Nao",IF(IFERROR(INDEX(parametros!$A$2:$A$6,MATCH(C4523,parametros!$B$2:$B$6,0)),"")&lt;&gt;"Sim","Nao",IF(IFERROR(INDEX(parametros!$H$2:$H$6,MATCH(C4523,parametros!$B$2:$B$6,0)),"")="","",IF(B4523&gt;=IFERROR(INDEX(parametros!$H$2:$H$6,MATCH(C4523,parametros!$B$2:$B$6,0)),""),"Sim","Nao"))))))</f>
        <v/>
      </c>
      <c r="T4523" s="156"/>
      <c r="U4523" s="214" t="str">
        <f t="shared" si="356"/>
        <v/>
      </c>
      <c r="V4523" s="212" t="s">
        <v>50</v>
      </c>
      <c r="W4523" s="100" t="s">
        <v>168</v>
      </c>
      <c r="X4523" s="100" t="s">
        <v>169</v>
      </c>
      <c r="Y4523" s="101" t="s">
        <v>170</v>
      </c>
      <c r="Z4523" s="101" t="s">
        <v>171</v>
      </c>
      <c r="AA4523" s="101" t="s">
        <v>50</v>
      </c>
      <c r="AB4523" s="101" t="s">
        <v>172</v>
      </c>
      <c r="AC4523" s="102" t="s">
        <v>173</v>
      </c>
    </row>
    <row r="4524" spans="1:29" ht="25.5" customHeight="1" x14ac:dyDescent="0.35">
      <c r="A4524" s="392"/>
      <c r="B4524" s="393"/>
      <c r="C4524" s="99" t="str">
        <f>IF(B4524="","",IF(NOT(ISNUMBER(B4524)),"DATA_PC invalida",IF(NOT(ISNUMBER(parametros!$C$2)),"Fora dos ciclos",IF(OR(B4524&lt;parametros!$C$2,(YEAR(B4524)-YEAR(parametros!$C$2))*12+MONTH(B4524)-MONTH(parametros!$C$2)&gt;59),"Fora dos ciclos","C"&amp;INT(((YEAR(B4524)-YEAR(parametros!$C$2))*12+MONTH(B4524)-MONTH(parametros!$C$2))/12)))))</f>
        <v/>
      </c>
      <c r="D4524" s="394"/>
      <c r="E4524" s="78" t="str">
        <f>IF(C4524="","",IFERROR(VLOOKUP(C4524,parametros!$A$11:$E$15,5,0),""))</f>
        <v/>
      </c>
      <c r="F4524" s="79" t="str">
        <f t="shared" si="352"/>
        <v/>
      </c>
      <c r="G4524" s="395"/>
      <c r="H4524" s="91">
        <f t="shared" si="353"/>
        <v>0</v>
      </c>
      <c r="I4524" s="91" t="str">
        <f t="shared" si="354"/>
        <v/>
      </c>
      <c r="J4524" s="91" t="str">
        <f t="shared" si="355"/>
        <v/>
      </c>
      <c r="K4524" s="92" t="str">
        <f>IF(AND(A4524="",B4524="",D4524="",G4524=""),"",IF(AND(A4524&lt;&gt;"",COUNTIF($A$2:$A$5001,A4524)&gt;1),"NUMERO_PC duplicado",IF(B4524="","DATA_PC vazia",IF(NOT(ISNUMBER(B4524)),"DATA_PC invalida",IF(OR(C4524="",C4524="Fora dos ciclos"),"CICLO_PC nao identificado",IF(OR(D4524="",D4524=0),"VALOR_PC vazio ou zero",IF(AND(G4524&lt;&gt;"Sim",G4524&lt;&gt;"Nao",G4524&lt;&gt;""),"PC_PAGO_A_CONTRATADA invalido",IF(AND(C4524&lt;&gt;"C0",IFERROR(INDEX(parametros!$A$2:$A$6,MATCH(C4524,parametros!$B$2:$B$6,0)),"")="Sim",IFERROR(INDEX(parametros!$H$2:$H$6,MATCH(C4524,parametros!$B$2:$B$6,0)),"")=""),"INICIO_EFEITO ausente: PC "&amp;A4524&amp;" - "&amp;C4524,IF(L4524="","EFEITO_PC nao calculado: PC "&amp;A4524&amp;" - "&amp;C4524,"OK")))))))))</f>
        <v/>
      </c>
      <c r="L4524" s="92" t="str">
        <f>IF(AND(A4524="",B4524="",D4524="",G4524=""),"",IF(OR(B4524="",NOT(ISNUMBER(B4524)),C4524="",C4524="Fora dos ciclos"),"",IF(C4524="C0","Nao",IF(IFERROR(INDEX(parametros!$A$2:$A$6,MATCH(C4524,parametros!$B$2:$B$6,0)),"")&lt;&gt;"Sim","Nao",IF(IFERROR(INDEX(parametros!$H$2:$H$6,MATCH(C4524,parametros!$B$2:$B$6,0)),"")="","",IF(B4524&gt;=IFERROR(INDEX(parametros!$H$2:$H$6,MATCH(C4524,parametros!$B$2:$B$6,0)),""),"Sim","Nao"))))))</f>
        <v/>
      </c>
      <c r="T4524" s="156"/>
      <c r="U4524" s="214" t="str">
        <f t="shared" si="356"/>
        <v/>
      </c>
      <c r="V4524" s="212" t="s">
        <v>50</v>
      </c>
      <c r="W4524" s="100" t="s">
        <v>168</v>
      </c>
      <c r="X4524" s="100" t="s">
        <v>169</v>
      </c>
      <c r="Y4524" s="101" t="s">
        <v>170</v>
      </c>
      <c r="Z4524" s="101" t="s">
        <v>171</v>
      </c>
      <c r="AA4524" s="101" t="s">
        <v>50</v>
      </c>
      <c r="AB4524" s="101" t="s">
        <v>172</v>
      </c>
      <c r="AC4524" s="102" t="s">
        <v>173</v>
      </c>
    </row>
    <row r="4525" spans="1:29" ht="25.5" customHeight="1" x14ac:dyDescent="0.35">
      <c r="A4525" s="392"/>
      <c r="B4525" s="393"/>
      <c r="C4525" s="99" t="str">
        <f>IF(B4525="","",IF(NOT(ISNUMBER(B4525)),"DATA_PC invalida",IF(NOT(ISNUMBER(parametros!$C$2)),"Fora dos ciclos",IF(OR(B4525&lt;parametros!$C$2,(YEAR(B4525)-YEAR(parametros!$C$2))*12+MONTH(B4525)-MONTH(parametros!$C$2)&gt;59),"Fora dos ciclos","C"&amp;INT(((YEAR(B4525)-YEAR(parametros!$C$2))*12+MONTH(B4525)-MONTH(parametros!$C$2))/12)))))</f>
        <v/>
      </c>
      <c r="D4525" s="394"/>
      <c r="E4525" s="78" t="str">
        <f>IF(C4525="","",IFERROR(VLOOKUP(C4525,parametros!$A$11:$E$15,5,0),""))</f>
        <v/>
      </c>
      <c r="F4525" s="79" t="str">
        <f t="shared" si="352"/>
        <v/>
      </c>
      <c r="G4525" s="395"/>
      <c r="H4525" s="91">
        <f t="shared" si="353"/>
        <v>0</v>
      </c>
      <c r="I4525" s="91" t="str">
        <f t="shared" si="354"/>
        <v/>
      </c>
      <c r="J4525" s="91" t="str">
        <f t="shared" si="355"/>
        <v/>
      </c>
      <c r="K4525" s="92" t="str">
        <f>IF(AND(A4525="",B4525="",D4525="",G4525=""),"",IF(AND(A4525&lt;&gt;"",COUNTIF($A$2:$A$5001,A4525)&gt;1),"NUMERO_PC duplicado",IF(B4525="","DATA_PC vazia",IF(NOT(ISNUMBER(B4525)),"DATA_PC invalida",IF(OR(C4525="",C4525="Fora dos ciclos"),"CICLO_PC nao identificado",IF(OR(D4525="",D4525=0),"VALOR_PC vazio ou zero",IF(AND(G4525&lt;&gt;"Sim",G4525&lt;&gt;"Nao",G4525&lt;&gt;""),"PC_PAGO_A_CONTRATADA invalido",IF(AND(C4525&lt;&gt;"C0",IFERROR(INDEX(parametros!$A$2:$A$6,MATCH(C4525,parametros!$B$2:$B$6,0)),"")="Sim",IFERROR(INDEX(parametros!$H$2:$H$6,MATCH(C4525,parametros!$B$2:$B$6,0)),"")=""),"INICIO_EFEITO ausente: PC "&amp;A4525&amp;" - "&amp;C4525,IF(L4525="","EFEITO_PC nao calculado: PC "&amp;A4525&amp;" - "&amp;C4525,"OK")))))))))</f>
        <v/>
      </c>
      <c r="L4525" s="92" t="str">
        <f>IF(AND(A4525="",B4525="",D4525="",G4525=""),"",IF(OR(B4525="",NOT(ISNUMBER(B4525)),C4525="",C4525="Fora dos ciclos"),"",IF(C4525="C0","Nao",IF(IFERROR(INDEX(parametros!$A$2:$A$6,MATCH(C4525,parametros!$B$2:$B$6,0)),"")&lt;&gt;"Sim","Nao",IF(IFERROR(INDEX(parametros!$H$2:$H$6,MATCH(C4525,parametros!$B$2:$B$6,0)),"")="","",IF(B4525&gt;=IFERROR(INDEX(parametros!$H$2:$H$6,MATCH(C4525,parametros!$B$2:$B$6,0)),""),"Sim","Nao"))))))</f>
        <v/>
      </c>
      <c r="T4525" s="156"/>
      <c r="U4525" s="214" t="str">
        <f t="shared" si="356"/>
        <v/>
      </c>
      <c r="V4525" s="212" t="s">
        <v>50</v>
      </c>
      <c r="W4525" s="100" t="s">
        <v>168</v>
      </c>
      <c r="X4525" s="100" t="s">
        <v>169</v>
      </c>
      <c r="Y4525" s="101" t="s">
        <v>170</v>
      </c>
      <c r="Z4525" s="101" t="s">
        <v>171</v>
      </c>
      <c r="AA4525" s="101" t="s">
        <v>50</v>
      </c>
      <c r="AB4525" s="101" t="s">
        <v>172</v>
      </c>
      <c r="AC4525" s="102" t="s">
        <v>173</v>
      </c>
    </row>
    <row r="4526" spans="1:29" ht="25.5" customHeight="1" x14ac:dyDescent="0.35">
      <c r="A4526" s="392"/>
      <c r="B4526" s="393"/>
      <c r="C4526" s="99" t="str">
        <f>IF(B4526="","",IF(NOT(ISNUMBER(B4526)),"DATA_PC invalida",IF(NOT(ISNUMBER(parametros!$C$2)),"Fora dos ciclos",IF(OR(B4526&lt;parametros!$C$2,(YEAR(B4526)-YEAR(parametros!$C$2))*12+MONTH(B4526)-MONTH(parametros!$C$2)&gt;59),"Fora dos ciclos","C"&amp;INT(((YEAR(B4526)-YEAR(parametros!$C$2))*12+MONTH(B4526)-MONTH(parametros!$C$2))/12)))))</f>
        <v/>
      </c>
      <c r="D4526" s="394"/>
      <c r="E4526" s="78" t="str">
        <f>IF(C4526="","",IFERROR(VLOOKUP(C4526,parametros!$A$11:$E$15,5,0),""))</f>
        <v/>
      </c>
      <c r="F4526" s="79" t="str">
        <f t="shared" si="352"/>
        <v/>
      </c>
      <c r="G4526" s="395"/>
      <c r="H4526" s="91">
        <f t="shared" si="353"/>
        <v>0</v>
      </c>
      <c r="I4526" s="91" t="str">
        <f t="shared" si="354"/>
        <v/>
      </c>
      <c r="J4526" s="91" t="str">
        <f t="shared" si="355"/>
        <v/>
      </c>
      <c r="K4526" s="92" t="str">
        <f>IF(AND(A4526="",B4526="",D4526="",G4526=""),"",IF(AND(A4526&lt;&gt;"",COUNTIF($A$2:$A$5001,A4526)&gt;1),"NUMERO_PC duplicado",IF(B4526="","DATA_PC vazia",IF(NOT(ISNUMBER(B4526)),"DATA_PC invalida",IF(OR(C4526="",C4526="Fora dos ciclos"),"CICLO_PC nao identificado",IF(OR(D4526="",D4526=0),"VALOR_PC vazio ou zero",IF(AND(G4526&lt;&gt;"Sim",G4526&lt;&gt;"Nao",G4526&lt;&gt;""),"PC_PAGO_A_CONTRATADA invalido",IF(AND(C4526&lt;&gt;"C0",IFERROR(INDEX(parametros!$A$2:$A$6,MATCH(C4526,parametros!$B$2:$B$6,0)),"")="Sim",IFERROR(INDEX(parametros!$H$2:$H$6,MATCH(C4526,parametros!$B$2:$B$6,0)),"")=""),"INICIO_EFEITO ausente: PC "&amp;A4526&amp;" - "&amp;C4526,IF(L4526="","EFEITO_PC nao calculado: PC "&amp;A4526&amp;" - "&amp;C4526,"OK")))))))))</f>
        <v/>
      </c>
      <c r="L4526" s="92" t="str">
        <f>IF(AND(A4526="",B4526="",D4526="",G4526=""),"",IF(OR(B4526="",NOT(ISNUMBER(B4526)),C4526="",C4526="Fora dos ciclos"),"",IF(C4526="C0","Nao",IF(IFERROR(INDEX(parametros!$A$2:$A$6,MATCH(C4526,parametros!$B$2:$B$6,0)),"")&lt;&gt;"Sim","Nao",IF(IFERROR(INDEX(parametros!$H$2:$H$6,MATCH(C4526,parametros!$B$2:$B$6,0)),"")="","",IF(B4526&gt;=IFERROR(INDEX(parametros!$H$2:$H$6,MATCH(C4526,parametros!$B$2:$B$6,0)),""),"Sim","Nao"))))))</f>
        <v/>
      </c>
      <c r="T4526" s="156"/>
      <c r="U4526" s="214" t="str">
        <f t="shared" si="356"/>
        <v/>
      </c>
      <c r="V4526" s="212" t="s">
        <v>50</v>
      </c>
      <c r="W4526" s="100" t="s">
        <v>168</v>
      </c>
      <c r="X4526" s="100" t="s">
        <v>169</v>
      </c>
      <c r="Y4526" s="101" t="s">
        <v>170</v>
      </c>
      <c r="Z4526" s="101" t="s">
        <v>171</v>
      </c>
      <c r="AA4526" s="101" t="s">
        <v>50</v>
      </c>
      <c r="AB4526" s="101" t="s">
        <v>172</v>
      </c>
      <c r="AC4526" s="102" t="s">
        <v>173</v>
      </c>
    </row>
    <row r="4527" spans="1:29" ht="25.5" customHeight="1" x14ac:dyDescent="0.35">
      <c r="A4527" s="392"/>
      <c r="B4527" s="393"/>
      <c r="C4527" s="99" t="str">
        <f>IF(B4527="","",IF(NOT(ISNUMBER(B4527)),"DATA_PC invalida",IF(NOT(ISNUMBER(parametros!$C$2)),"Fora dos ciclos",IF(OR(B4527&lt;parametros!$C$2,(YEAR(B4527)-YEAR(parametros!$C$2))*12+MONTH(B4527)-MONTH(parametros!$C$2)&gt;59),"Fora dos ciclos","C"&amp;INT(((YEAR(B4527)-YEAR(parametros!$C$2))*12+MONTH(B4527)-MONTH(parametros!$C$2))/12)))))</f>
        <v/>
      </c>
      <c r="D4527" s="394"/>
      <c r="E4527" s="78" t="str">
        <f>IF(C4527="","",IFERROR(VLOOKUP(C4527,parametros!$A$11:$E$15,5,0),""))</f>
        <v/>
      </c>
      <c r="F4527" s="79" t="str">
        <f t="shared" si="352"/>
        <v/>
      </c>
      <c r="G4527" s="395"/>
      <c r="H4527" s="91">
        <f t="shared" si="353"/>
        <v>0</v>
      </c>
      <c r="I4527" s="91" t="str">
        <f t="shared" si="354"/>
        <v/>
      </c>
      <c r="J4527" s="91" t="str">
        <f t="shared" si="355"/>
        <v/>
      </c>
      <c r="K4527" s="92" t="str">
        <f>IF(AND(A4527="",B4527="",D4527="",G4527=""),"",IF(AND(A4527&lt;&gt;"",COUNTIF($A$2:$A$5001,A4527)&gt;1),"NUMERO_PC duplicado",IF(B4527="","DATA_PC vazia",IF(NOT(ISNUMBER(B4527)),"DATA_PC invalida",IF(OR(C4527="",C4527="Fora dos ciclos"),"CICLO_PC nao identificado",IF(OR(D4527="",D4527=0),"VALOR_PC vazio ou zero",IF(AND(G4527&lt;&gt;"Sim",G4527&lt;&gt;"Nao",G4527&lt;&gt;""),"PC_PAGO_A_CONTRATADA invalido",IF(AND(C4527&lt;&gt;"C0",IFERROR(INDEX(parametros!$A$2:$A$6,MATCH(C4527,parametros!$B$2:$B$6,0)),"")="Sim",IFERROR(INDEX(parametros!$H$2:$H$6,MATCH(C4527,parametros!$B$2:$B$6,0)),"")=""),"INICIO_EFEITO ausente: PC "&amp;A4527&amp;" - "&amp;C4527,IF(L4527="","EFEITO_PC nao calculado: PC "&amp;A4527&amp;" - "&amp;C4527,"OK")))))))))</f>
        <v/>
      </c>
      <c r="L4527" s="92" t="str">
        <f>IF(AND(A4527="",B4527="",D4527="",G4527=""),"",IF(OR(B4527="",NOT(ISNUMBER(B4527)),C4527="",C4527="Fora dos ciclos"),"",IF(C4527="C0","Nao",IF(IFERROR(INDEX(parametros!$A$2:$A$6,MATCH(C4527,parametros!$B$2:$B$6,0)),"")&lt;&gt;"Sim","Nao",IF(IFERROR(INDEX(parametros!$H$2:$H$6,MATCH(C4527,parametros!$B$2:$B$6,0)),"")="","",IF(B4527&gt;=IFERROR(INDEX(parametros!$H$2:$H$6,MATCH(C4527,parametros!$B$2:$B$6,0)),""),"Sim","Nao"))))))</f>
        <v/>
      </c>
      <c r="T4527" s="156"/>
      <c r="U4527" s="214" t="str">
        <f t="shared" si="356"/>
        <v/>
      </c>
      <c r="V4527" s="212" t="s">
        <v>50</v>
      </c>
      <c r="W4527" s="100" t="s">
        <v>168</v>
      </c>
      <c r="X4527" s="100" t="s">
        <v>169</v>
      </c>
      <c r="Y4527" s="101" t="s">
        <v>170</v>
      </c>
      <c r="Z4527" s="101" t="s">
        <v>171</v>
      </c>
      <c r="AA4527" s="101" t="s">
        <v>50</v>
      </c>
      <c r="AB4527" s="101" t="s">
        <v>172</v>
      </c>
      <c r="AC4527" s="102" t="s">
        <v>173</v>
      </c>
    </row>
    <row r="4528" spans="1:29" ht="25.5" customHeight="1" x14ac:dyDescent="0.35">
      <c r="A4528" s="392"/>
      <c r="B4528" s="393"/>
      <c r="C4528" s="99" t="str">
        <f>IF(B4528="","",IF(NOT(ISNUMBER(B4528)),"DATA_PC invalida",IF(NOT(ISNUMBER(parametros!$C$2)),"Fora dos ciclos",IF(OR(B4528&lt;parametros!$C$2,(YEAR(B4528)-YEAR(parametros!$C$2))*12+MONTH(B4528)-MONTH(parametros!$C$2)&gt;59),"Fora dos ciclos","C"&amp;INT(((YEAR(B4528)-YEAR(parametros!$C$2))*12+MONTH(B4528)-MONTH(parametros!$C$2))/12)))))</f>
        <v/>
      </c>
      <c r="D4528" s="394"/>
      <c r="E4528" s="78" t="str">
        <f>IF(C4528="","",IFERROR(VLOOKUP(C4528,parametros!$A$11:$E$15,5,0),""))</f>
        <v/>
      </c>
      <c r="F4528" s="79" t="str">
        <f t="shared" si="352"/>
        <v/>
      </c>
      <c r="G4528" s="395"/>
      <c r="H4528" s="91">
        <f t="shared" si="353"/>
        <v>0</v>
      </c>
      <c r="I4528" s="91" t="str">
        <f t="shared" si="354"/>
        <v/>
      </c>
      <c r="J4528" s="91" t="str">
        <f t="shared" si="355"/>
        <v/>
      </c>
      <c r="K4528" s="92" t="str">
        <f>IF(AND(A4528="",B4528="",D4528="",G4528=""),"",IF(AND(A4528&lt;&gt;"",COUNTIF($A$2:$A$5001,A4528)&gt;1),"NUMERO_PC duplicado",IF(B4528="","DATA_PC vazia",IF(NOT(ISNUMBER(B4528)),"DATA_PC invalida",IF(OR(C4528="",C4528="Fora dos ciclos"),"CICLO_PC nao identificado",IF(OR(D4528="",D4528=0),"VALOR_PC vazio ou zero",IF(AND(G4528&lt;&gt;"Sim",G4528&lt;&gt;"Nao",G4528&lt;&gt;""),"PC_PAGO_A_CONTRATADA invalido",IF(AND(C4528&lt;&gt;"C0",IFERROR(INDEX(parametros!$A$2:$A$6,MATCH(C4528,parametros!$B$2:$B$6,0)),"")="Sim",IFERROR(INDEX(parametros!$H$2:$H$6,MATCH(C4528,parametros!$B$2:$B$6,0)),"")=""),"INICIO_EFEITO ausente: PC "&amp;A4528&amp;" - "&amp;C4528,IF(L4528="","EFEITO_PC nao calculado: PC "&amp;A4528&amp;" - "&amp;C4528,"OK")))))))))</f>
        <v/>
      </c>
      <c r="L4528" s="92" t="str">
        <f>IF(AND(A4528="",B4528="",D4528="",G4528=""),"",IF(OR(B4528="",NOT(ISNUMBER(B4528)),C4528="",C4528="Fora dos ciclos"),"",IF(C4528="C0","Nao",IF(IFERROR(INDEX(parametros!$A$2:$A$6,MATCH(C4528,parametros!$B$2:$B$6,0)),"")&lt;&gt;"Sim","Nao",IF(IFERROR(INDEX(parametros!$H$2:$H$6,MATCH(C4528,parametros!$B$2:$B$6,0)),"")="","",IF(B4528&gt;=IFERROR(INDEX(parametros!$H$2:$H$6,MATCH(C4528,parametros!$B$2:$B$6,0)),""),"Sim","Nao"))))))</f>
        <v/>
      </c>
      <c r="T4528" s="156"/>
      <c r="U4528" s="214" t="str">
        <f t="shared" si="356"/>
        <v/>
      </c>
      <c r="V4528" s="212" t="s">
        <v>50</v>
      </c>
      <c r="W4528" s="100" t="s">
        <v>168</v>
      </c>
      <c r="X4528" s="100" t="s">
        <v>169</v>
      </c>
      <c r="Y4528" s="101" t="s">
        <v>170</v>
      </c>
      <c r="Z4528" s="101" t="s">
        <v>171</v>
      </c>
      <c r="AA4528" s="101" t="s">
        <v>50</v>
      </c>
      <c r="AB4528" s="101" t="s">
        <v>172</v>
      </c>
      <c r="AC4528" s="102" t="s">
        <v>173</v>
      </c>
    </row>
    <row r="4529" spans="1:29" ht="25.5" customHeight="1" x14ac:dyDescent="0.35">
      <c r="A4529" s="392"/>
      <c r="B4529" s="393"/>
      <c r="C4529" s="99" t="str">
        <f>IF(B4529="","",IF(NOT(ISNUMBER(B4529)),"DATA_PC invalida",IF(NOT(ISNUMBER(parametros!$C$2)),"Fora dos ciclos",IF(OR(B4529&lt;parametros!$C$2,(YEAR(B4529)-YEAR(parametros!$C$2))*12+MONTH(B4529)-MONTH(parametros!$C$2)&gt;59),"Fora dos ciclos","C"&amp;INT(((YEAR(B4529)-YEAR(parametros!$C$2))*12+MONTH(B4529)-MONTH(parametros!$C$2))/12)))))</f>
        <v/>
      </c>
      <c r="D4529" s="394"/>
      <c r="E4529" s="78" t="str">
        <f>IF(C4529="","",IFERROR(VLOOKUP(C4529,parametros!$A$11:$E$15,5,0),""))</f>
        <v/>
      </c>
      <c r="F4529" s="79" t="str">
        <f t="shared" si="352"/>
        <v/>
      </c>
      <c r="G4529" s="395"/>
      <c r="H4529" s="91">
        <f t="shared" si="353"/>
        <v>0</v>
      </c>
      <c r="I4529" s="91" t="str">
        <f t="shared" si="354"/>
        <v/>
      </c>
      <c r="J4529" s="91" t="str">
        <f t="shared" si="355"/>
        <v/>
      </c>
      <c r="K4529" s="92" t="str">
        <f>IF(AND(A4529="",B4529="",D4529="",G4529=""),"",IF(AND(A4529&lt;&gt;"",COUNTIF($A$2:$A$5001,A4529)&gt;1),"NUMERO_PC duplicado",IF(B4529="","DATA_PC vazia",IF(NOT(ISNUMBER(B4529)),"DATA_PC invalida",IF(OR(C4529="",C4529="Fora dos ciclos"),"CICLO_PC nao identificado",IF(OR(D4529="",D4529=0),"VALOR_PC vazio ou zero",IF(AND(G4529&lt;&gt;"Sim",G4529&lt;&gt;"Nao",G4529&lt;&gt;""),"PC_PAGO_A_CONTRATADA invalido",IF(AND(C4529&lt;&gt;"C0",IFERROR(INDEX(parametros!$A$2:$A$6,MATCH(C4529,parametros!$B$2:$B$6,0)),"")="Sim",IFERROR(INDEX(parametros!$H$2:$H$6,MATCH(C4529,parametros!$B$2:$B$6,0)),"")=""),"INICIO_EFEITO ausente: PC "&amp;A4529&amp;" - "&amp;C4529,IF(L4529="","EFEITO_PC nao calculado: PC "&amp;A4529&amp;" - "&amp;C4529,"OK")))))))))</f>
        <v/>
      </c>
      <c r="L4529" s="92" t="str">
        <f>IF(AND(A4529="",B4529="",D4529="",G4529=""),"",IF(OR(B4529="",NOT(ISNUMBER(B4529)),C4529="",C4529="Fora dos ciclos"),"",IF(C4529="C0","Nao",IF(IFERROR(INDEX(parametros!$A$2:$A$6,MATCH(C4529,parametros!$B$2:$B$6,0)),"")&lt;&gt;"Sim","Nao",IF(IFERROR(INDEX(parametros!$H$2:$H$6,MATCH(C4529,parametros!$B$2:$B$6,0)),"")="","",IF(B4529&gt;=IFERROR(INDEX(parametros!$H$2:$H$6,MATCH(C4529,parametros!$B$2:$B$6,0)),""),"Sim","Nao"))))))</f>
        <v/>
      </c>
      <c r="T4529" s="156"/>
      <c r="U4529" s="214" t="str">
        <f t="shared" si="356"/>
        <v/>
      </c>
      <c r="V4529" s="212" t="s">
        <v>50</v>
      </c>
      <c r="W4529" s="100" t="s">
        <v>168</v>
      </c>
      <c r="X4529" s="100" t="s">
        <v>169</v>
      </c>
      <c r="Y4529" s="101" t="s">
        <v>170</v>
      </c>
      <c r="Z4529" s="101" t="s">
        <v>171</v>
      </c>
      <c r="AA4529" s="101" t="s">
        <v>50</v>
      </c>
      <c r="AB4529" s="101" t="s">
        <v>172</v>
      </c>
      <c r="AC4529" s="102" t="s">
        <v>173</v>
      </c>
    </row>
    <row r="4530" spans="1:29" ht="25.5" customHeight="1" x14ac:dyDescent="0.35">
      <c r="A4530" s="392"/>
      <c r="B4530" s="393"/>
      <c r="C4530" s="99" t="str">
        <f>IF(B4530="","",IF(NOT(ISNUMBER(B4530)),"DATA_PC invalida",IF(NOT(ISNUMBER(parametros!$C$2)),"Fora dos ciclos",IF(OR(B4530&lt;parametros!$C$2,(YEAR(B4530)-YEAR(parametros!$C$2))*12+MONTH(B4530)-MONTH(parametros!$C$2)&gt;59),"Fora dos ciclos","C"&amp;INT(((YEAR(B4530)-YEAR(parametros!$C$2))*12+MONTH(B4530)-MONTH(parametros!$C$2))/12)))))</f>
        <v/>
      </c>
      <c r="D4530" s="394"/>
      <c r="E4530" s="78" t="str">
        <f>IF(C4530="","",IFERROR(VLOOKUP(C4530,parametros!$A$11:$E$15,5,0),""))</f>
        <v/>
      </c>
      <c r="F4530" s="79" t="str">
        <f t="shared" si="352"/>
        <v/>
      </c>
      <c r="G4530" s="395"/>
      <c r="H4530" s="91">
        <f t="shared" si="353"/>
        <v>0</v>
      </c>
      <c r="I4530" s="91" t="str">
        <f t="shared" si="354"/>
        <v/>
      </c>
      <c r="J4530" s="91" t="str">
        <f t="shared" si="355"/>
        <v/>
      </c>
      <c r="K4530" s="92" t="str">
        <f>IF(AND(A4530="",B4530="",D4530="",G4530=""),"",IF(AND(A4530&lt;&gt;"",COUNTIF($A$2:$A$5001,A4530)&gt;1),"NUMERO_PC duplicado",IF(B4530="","DATA_PC vazia",IF(NOT(ISNUMBER(B4530)),"DATA_PC invalida",IF(OR(C4530="",C4530="Fora dos ciclos"),"CICLO_PC nao identificado",IF(OR(D4530="",D4530=0),"VALOR_PC vazio ou zero",IF(AND(G4530&lt;&gt;"Sim",G4530&lt;&gt;"Nao",G4530&lt;&gt;""),"PC_PAGO_A_CONTRATADA invalido",IF(AND(C4530&lt;&gt;"C0",IFERROR(INDEX(parametros!$A$2:$A$6,MATCH(C4530,parametros!$B$2:$B$6,0)),"")="Sim",IFERROR(INDEX(parametros!$H$2:$H$6,MATCH(C4530,parametros!$B$2:$B$6,0)),"")=""),"INICIO_EFEITO ausente: PC "&amp;A4530&amp;" - "&amp;C4530,IF(L4530="","EFEITO_PC nao calculado: PC "&amp;A4530&amp;" - "&amp;C4530,"OK")))))))))</f>
        <v/>
      </c>
      <c r="L4530" s="92" t="str">
        <f>IF(AND(A4530="",B4530="",D4530="",G4530=""),"",IF(OR(B4530="",NOT(ISNUMBER(B4530)),C4530="",C4530="Fora dos ciclos"),"",IF(C4530="C0","Nao",IF(IFERROR(INDEX(parametros!$A$2:$A$6,MATCH(C4530,parametros!$B$2:$B$6,0)),"")&lt;&gt;"Sim","Nao",IF(IFERROR(INDEX(parametros!$H$2:$H$6,MATCH(C4530,parametros!$B$2:$B$6,0)),"")="","",IF(B4530&gt;=IFERROR(INDEX(parametros!$H$2:$H$6,MATCH(C4530,parametros!$B$2:$B$6,0)),""),"Sim","Nao"))))))</f>
        <v/>
      </c>
      <c r="T4530" s="156"/>
      <c r="U4530" s="214" t="str">
        <f t="shared" si="356"/>
        <v/>
      </c>
      <c r="V4530" s="212" t="s">
        <v>50</v>
      </c>
      <c r="W4530" s="100" t="s">
        <v>168</v>
      </c>
      <c r="X4530" s="100" t="s">
        <v>169</v>
      </c>
      <c r="Y4530" s="101" t="s">
        <v>170</v>
      </c>
      <c r="Z4530" s="101" t="s">
        <v>171</v>
      </c>
      <c r="AA4530" s="101" t="s">
        <v>50</v>
      </c>
      <c r="AB4530" s="101" t="s">
        <v>172</v>
      </c>
      <c r="AC4530" s="102" t="s">
        <v>173</v>
      </c>
    </row>
    <row r="4531" spans="1:29" ht="25.5" customHeight="1" x14ac:dyDescent="0.35">
      <c r="A4531" s="392"/>
      <c r="B4531" s="393"/>
      <c r="C4531" s="99" t="str">
        <f>IF(B4531="","",IF(NOT(ISNUMBER(B4531)),"DATA_PC invalida",IF(NOT(ISNUMBER(parametros!$C$2)),"Fora dos ciclos",IF(OR(B4531&lt;parametros!$C$2,(YEAR(B4531)-YEAR(parametros!$C$2))*12+MONTH(B4531)-MONTH(parametros!$C$2)&gt;59),"Fora dos ciclos","C"&amp;INT(((YEAR(B4531)-YEAR(parametros!$C$2))*12+MONTH(B4531)-MONTH(parametros!$C$2))/12)))))</f>
        <v/>
      </c>
      <c r="D4531" s="394"/>
      <c r="E4531" s="78" t="str">
        <f>IF(C4531="","",IFERROR(VLOOKUP(C4531,parametros!$A$11:$E$15,5,0),""))</f>
        <v/>
      </c>
      <c r="F4531" s="79" t="str">
        <f t="shared" si="352"/>
        <v/>
      </c>
      <c r="G4531" s="395"/>
      <c r="H4531" s="91">
        <f t="shared" si="353"/>
        <v>0</v>
      </c>
      <c r="I4531" s="91" t="str">
        <f t="shared" si="354"/>
        <v/>
      </c>
      <c r="J4531" s="91" t="str">
        <f t="shared" si="355"/>
        <v/>
      </c>
      <c r="K4531" s="92" t="str">
        <f>IF(AND(A4531="",B4531="",D4531="",G4531=""),"",IF(AND(A4531&lt;&gt;"",COUNTIF($A$2:$A$5001,A4531)&gt;1),"NUMERO_PC duplicado",IF(B4531="","DATA_PC vazia",IF(NOT(ISNUMBER(B4531)),"DATA_PC invalida",IF(OR(C4531="",C4531="Fora dos ciclos"),"CICLO_PC nao identificado",IF(OR(D4531="",D4531=0),"VALOR_PC vazio ou zero",IF(AND(G4531&lt;&gt;"Sim",G4531&lt;&gt;"Nao",G4531&lt;&gt;""),"PC_PAGO_A_CONTRATADA invalido",IF(AND(C4531&lt;&gt;"C0",IFERROR(INDEX(parametros!$A$2:$A$6,MATCH(C4531,parametros!$B$2:$B$6,0)),"")="Sim",IFERROR(INDEX(parametros!$H$2:$H$6,MATCH(C4531,parametros!$B$2:$B$6,0)),"")=""),"INICIO_EFEITO ausente: PC "&amp;A4531&amp;" - "&amp;C4531,IF(L4531="","EFEITO_PC nao calculado: PC "&amp;A4531&amp;" - "&amp;C4531,"OK")))))))))</f>
        <v/>
      </c>
      <c r="L4531" s="92" t="str">
        <f>IF(AND(A4531="",B4531="",D4531="",G4531=""),"",IF(OR(B4531="",NOT(ISNUMBER(B4531)),C4531="",C4531="Fora dos ciclos"),"",IF(C4531="C0","Nao",IF(IFERROR(INDEX(parametros!$A$2:$A$6,MATCH(C4531,parametros!$B$2:$B$6,0)),"")&lt;&gt;"Sim","Nao",IF(IFERROR(INDEX(parametros!$H$2:$H$6,MATCH(C4531,parametros!$B$2:$B$6,0)),"")="","",IF(B4531&gt;=IFERROR(INDEX(parametros!$H$2:$H$6,MATCH(C4531,parametros!$B$2:$B$6,0)),""),"Sim","Nao"))))))</f>
        <v/>
      </c>
      <c r="T4531" s="156"/>
      <c r="U4531" s="214" t="str">
        <f t="shared" si="356"/>
        <v/>
      </c>
      <c r="V4531" s="212" t="s">
        <v>50</v>
      </c>
      <c r="W4531" s="100" t="s">
        <v>168</v>
      </c>
      <c r="X4531" s="100" t="s">
        <v>169</v>
      </c>
      <c r="Y4531" s="101" t="s">
        <v>170</v>
      </c>
      <c r="Z4531" s="101" t="s">
        <v>171</v>
      </c>
      <c r="AA4531" s="101" t="s">
        <v>50</v>
      </c>
      <c r="AB4531" s="101" t="s">
        <v>172</v>
      </c>
      <c r="AC4531" s="102" t="s">
        <v>173</v>
      </c>
    </row>
    <row r="4532" spans="1:29" ht="25.5" customHeight="1" x14ac:dyDescent="0.35">
      <c r="A4532" s="392"/>
      <c r="B4532" s="393"/>
      <c r="C4532" s="99" t="str">
        <f>IF(B4532="","",IF(NOT(ISNUMBER(B4532)),"DATA_PC invalida",IF(NOT(ISNUMBER(parametros!$C$2)),"Fora dos ciclos",IF(OR(B4532&lt;parametros!$C$2,(YEAR(B4532)-YEAR(parametros!$C$2))*12+MONTH(B4532)-MONTH(parametros!$C$2)&gt;59),"Fora dos ciclos","C"&amp;INT(((YEAR(B4532)-YEAR(parametros!$C$2))*12+MONTH(B4532)-MONTH(parametros!$C$2))/12)))))</f>
        <v/>
      </c>
      <c r="D4532" s="394"/>
      <c r="E4532" s="78" t="str">
        <f>IF(C4532="","",IFERROR(VLOOKUP(C4532,parametros!$A$11:$E$15,5,0),""))</f>
        <v/>
      </c>
      <c r="F4532" s="79" t="str">
        <f t="shared" si="352"/>
        <v/>
      </c>
      <c r="G4532" s="395"/>
      <c r="H4532" s="91">
        <f t="shared" si="353"/>
        <v>0</v>
      </c>
      <c r="I4532" s="91" t="str">
        <f t="shared" si="354"/>
        <v/>
      </c>
      <c r="J4532" s="91" t="str">
        <f t="shared" si="355"/>
        <v/>
      </c>
      <c r="K4532" s="92" t="str">
        <f>IF(AND(A4532="",B4532="",D4532="",G4532=""),"",IF(AND(A4532&lt;&gt;"",COUNTIF($A$2:$A$5001,A4532)&gt;1),"NUMERO_PC duplicado",IF(B4532="","DATA_PC vazia",IF(NOT(ISNUMBER(B4532)),"DATA_PC invalida",IF(OR(C4532="",C4532="Fora dos ciclos"),"CICLO_PC nao identificado",IF(OR(D4532="",D4532=0),"VALOR_PC vazio ou zero",IF(AND(G4532&lt;&gt;"Sim",G4532&lt;&gt;"Nao",G4532&lt;&gt;""),"PC_PAGO_A_CONTRATADA invalido",IF(AND(C4532&lt;&gt;"C0",IFERROR(INDEX(parametros!$A$2:$A$6,MATCH(C4532,parametros!$B$2:$B$6,0)),"")="Sim",IFERROR(INDEX(parametros!$H$2:$H$6,MATCH(C4532,parametros!$B$2:$B$6,0)),"")=""),"INICIO_EFEITO ausente: PC "&amp;A4532&amp;" - "&amp;C4532,IF(L4532="","EFEITO_PC nao calculado: PC "&amp;A4532&amp;" - "&amp;C4532,"OK")))))))))</f>
        <v/>
      </c>
      <c r="L4532" s="92" t="str">
        <f>IF(AND(A4532="",B4532="",D4532="",G4532=""),"",IF(OR(B4532="",NOT(ISNUMBER(B4532)),C4532="",C4532="Fora dos ciclos"),"",IF(C4532="C0","Nao",IF(IFERROR(INDEX(parametros!$A$2:$A$6,MATCH(C4532,parametros!$B$2:$B$6,0)),"")&lt;&gt;"Sim","Nao",IF(IFERROR(INDEX(parametros!$H$2:$H$6,MATCH(C4532,parametros!$B$2:$B$6,0)),"")="","",IF(B4532&gt;=IFERROR(INDEX(parametros!$H$2:$H$6,MATCH(C4532,parametros!$B$2:$B$6,0)),""),"Sim","Nao"))))))</f>
        <v/>
      </c>
      <c r="T4532" s="156"/>
      <c r="U4532" s="214" t="str">
        <f t="shared" si="356"/>
        <v/>
      </c>
      <c r="V4532" s="212" t="s">
        <v>50</v>
      </c>
      <c r="W4532" s="100" t="s">
        <v>168</v>
      </c>
      <c r="X4532" s="100" t="s">
        <v>169</v>
      </c>
      <c r="Y4532" s="101" t="s">
        <v>170</v>
      </c>
      <c r="Z4532" s="101" t="s">
        <v>171</v>
      </c>
      <c r="AA4532" s="101" t="s">
        <v>50</v>
      </c>
      <c r="AB4532" s="101" t="s">
        <v>172</v>
      </c>
      <c r="AC4532" s="102" t="s">
        <v>173</v>
      </c>
    </row>
    <row r="4533" spans="1:29" ht="25.5" customHeight="1" x14ac:dyDescent="0.35">
      <c r="A4533" s="392"/>
      <c r="B4533" s="393"/>
      <c r="C4533" s="99" t="str">
        <f>IF(B4533="","",IF(NOT(ISNUMBER(B4533)),"DATA_PC invalida",IF(NOT(ISNUMBER(parametros!$C$2)),"Fora dos ciclos",IF(OR(B4533&lt;parametros!$C$2,(YEAR(B4533)-YEAR(parametros!$C$2))*12+MONTH(B4533)-MONTH(parametros!$C$2)&gt;59),"Fora dos ciclos","C"&amp;INT(((YEAR(B4533)-YEAR(parametros!$C$2))*12+MONTH(B4533)-MONTH(parametros!$C$2))/12)))))</f>
        <v/>
      </c>
      <c r="D4533" s="394"/>
      <c r="E4533" s="78" t="str">
        <f>IF(C4533="","",IFERROR(VLOOKUP(C4533,parametros!$A$11:$E$15,5,0),""))</f>
        <v/>
      </c>
      <c r="F4533" s="79" t="str">
        <f t="shared" si="352"/>
        <v/>
      </c>
      <c r="G4533" s="395"/>
      <c r="H4533" s="91">
        <f t="shared" si="353"/>
        <v>0</v>
      </c>
      <c r="I4533" s="91" t="str">
        <f t="shared" si="354"/>
        <v/>
      </c>
      <c r="J4533" s="91" t="str">
        <f t="shared" si="355"/>
        <v/>
      </c>
      <c r="K4533" s="92" t="str">
        <f>IF(AND(A4533="",B4533="",D4533="",G4533=""),"",IF(AND(A4533&lt;&gt;"",COUNTIF($A$2:$A$5001,A4533)&gt;1),"NUMERO_PC duplicado",IF(B4533="","DATA_PC vazia",IF(NOT(ISNUMBER(B4533)),"DATA_PC invalida",IF(OR(C4533="",C4533="Fora dos ciclos"),"CICLO_PC nao identificado",IF(OR(D4533="",D4533=0),"VALOR_PC vazio ou zero",IF(AND(G4533&lt;&gt;"Sim",G4533&lt;&gt;"Nao",G4533&lt;&gt;""),"PC_PAGO_A_CONTRATADA invalido",IF(AND(C4533&lt;&gt;"C0",IFERROR(INDEX(parametros!$A$2:$A$6,MATCH(C4533,parametros!$B$2:$B$6,0)),"")="Sim",IFERROR(INDEX(parametros!$H$2:$H$6,MATCH(C4533,parametros!$B$2:$B$6,0)),"")=""),"INICIO_EFEITO ausente: PC "&amp;A4533&amp;" - "&amp;C4533,IF(L4533="","EFEITO_PC nao calculado: PC "&amp;A4533&amp;" - "&amp;C4533,"OK")))))))))</f>
        <v/>
      </c>
      <c r="L4533" s="92" t="str">
        <f>IF(AND(A4533="",B4533="",D4533="",G4533=""),"",IF(OR(B4533="",NOT(ISNUMBER(B4533)),C4533="",C4533="Fora dos ciclos"),"",IF(C4533="C0","Nao",IF(IFERROR(INDEX(parametros!$A$2:$A$6,MATCH(C4533,parametros!$B$2:$B$6,0)),"")&lt;&gt;"Sim","Nao",IF(IFERROR(INDEX(parametros!$H$2:$H$6,MATCH(C4533,parametros!$B$2:$B$6,0)),"")="","",IF(B4533&gt;=IFERROR(INDEX(parametros!$H$2:$H$6,MATCH(C4533,parametros!$B$2:$B$6,0)),""),"Sim","Nao"))))))</f>
        <v/>
      </c>
      <c r="T4533" s="156"/>
      <c r="U4533" s="214" t="str">
        <f t="shared" si="356"/>
        <v/>
      </c>
      <c r="V4533" s="212" t="s">
        <v>50</v>
      </c>
      <c r="W4533" s="100" t="s">
        <v>168</v>
      </c>
      <c r="X4533" s="100" t="s">
        <v>169</v>
      </c>
      <c r="Y4533" s="101" t="s">
        <v>170</v>
      </c>
      <c r="Z4533" s="101" t="s">
        <v>171</v>
      </c>
      <c r="AA4533" s="101" t="s">
        <v>50</v>
      </c>
      <c r="AB4533" s="101" t="s">
        <v>172</v>
      </c>
      <c r="AC4533" s="102" t="s">
        <v>173</v>
      </c>
    </row>
    <row r="4534" spans="1:29" ht="25.5" customHeight="1" x14ac:dyDescent="0.35">
      <c r="A4534" s="392"/>
      <c r="B4534" s="393"/>
      <c r="C4534" s="99" t="str">
        <f>IF(B4534="","",IF(NOT(ISNUMBER(B4534)),"DATA_PC invalida",IF(NOT(ISNUMBER(parametros!$C$2)),"Fora dos ciclos",IF(OR(B4534&lt;parametros!$C$2,(YEAR(B4534)-YEAR(parametros!$C$2))*12+MONTH(B4534)-MONTH(parametros!$C$2)&gt;59),"Fora dos ciclos","C"&amp;INT(((YEAR(B4534)-YEAR(parametros!$C$2))*12+MONTH(B4534)-MONTH(parametros!$C$2))/12)))))</f>
        <v/>
      </c>
      <c r="D4534" s="394"/>
      <c r="E4534" s="78" t="str">
        <f>IF(C4534="","",IFERROR(VLOOKUP(C4534,parametros!$A$11:$E$15,5,0),""))</f>
        <v/>
      </c>
      <c r="F4534" s="79" t="str">
        <f t="shared" si="352"/>
        <v/>
      </c>
      <c r="G4534" s="395"/>
      <c r="H4534" s="91">
        <f t="shared" si="353"/>
        <v>0</v>
      </c>
      <c r="I4534" s="91" t="str">
        <f t="shared" si="354"/>
        <v/>
      </c>
      <c r="J4534" s="91" t="str">
        <f t="shared" si="355"/>
        <v/>
      </c>
      <c r="K4534" s="92" t="str">
        <f>IF(AND(A4534="",B4534="",D4534="",G4534=""),"",IF(AND(A4534&lt;&gt;"",COUNTIF($A$2:$A$5001,A4534)&gt;1),"NUMERO_PC duplicado",IF(B4534="","DATA_PC vazia",IF(NOT(ISNUMBER(B4534)),"DATA_PC invalida",IF(OR(C4534="",C4534="Fora dos ciclos"),"CICLO_PC nao identificado",IF(OR(D4534="",D4534=0),"VALOR_PC vazio ou zero",IF(AND(G4534&lt;&gt;"Sim",G4534&lt;&gt;"Nao",G4534&lt;&gt;""),"PC_PAGO_A_CONTRATADA invalido",IF(AND(C4534&lt;&gt;"C0",IFERROR(INDEX(parametros!$A$2:$A$6,MATCH(C4534,parametros!$B$2:$B$6,0)),"")="Sim",IFERROR(INDEX(parametros!$H$2:$H$6,MATCH(C4534,parametros!$B$2:$B$6,0)),"")=""),"INICIO_EFEITO ausente: PC "&amp;A4534&amp;" - "&amp;C4534,IF(L4534="","EFEITO_PC nao calculado: PC "&amp;A4534&amp;" - "&amp;C4534,"OK")))))))))</f>
        <v/>
      </c>
      <c r="L4534" s="92" t="str">
        <f>IF(AND(A4534="",B4534="",D4534="",G4534=""),"",IF(OR(B4534="",NOT(ISNUMBER(B4534)),C4534="",C4534="Fora dos ciclos"),"",IF(C4534="C0","Nao",IF(IFERROR(INDEX(parametros!$A$2:$A$6,MATCH(C4534,parametros!$B$2:$B$6,0)),"")&lt;&gt;"Sim","Nao",IF(IFERROR(INDEX(parametros!$H$2:$H$6,MATCH(C4534,parametros!$B$2:$B$6,0)),"")="","",IF(B4534&gt;=IFERROR(INDEX(parametros!$H$2:$H$6,MATCH(C4534,parametros!$B$2:$B$6,0)),""),"Sim","Nao"))))))</f>
        <v/>
      </c>
      <c r="T4534" s="156"/>
      <c r="U4534" s="214" t="str">
        <f t="shared" si="356"/>
        <v/>
      </c>
      <c r="V4534" s="212" t="s">
        <v>50</v>
      </c>
      <c r="W4534" s="100" t="s">
        <v>168</v>
      </c>
      <c r="X4534" s="100" t="s">
        <v>169</v>
      </c>
      <c r="Y4534" s="101" t="s">
        <v>170</v>
      </c>
      <c r="Z4534" s="101" t="s">
        <v>171</v>
      </c>
      <c r="AA4534" s="101" t="s">
        <v>50</v>
      </c>
      <c r="AB4534" s="101" t="s">
        <v>172</v>
      </c>
      <c r="AC4534" s="102" t="s">
        <v>173</v>
      </c>
    </row>
    <row r="4535" spans="1:29" ht="25.5" customHeight="1" x14ac:dyDescent="0.35">
      <c r="A4535" s="392"/>
      <c r="B4535" s="393"/>
      <c r="C4535" s="99" t="str">
        <f>IF(B4535="","",IF(NOT(ISNUMBER(B4535)),"DATA_PC invalida",IF(NOT(ISNUMBER(parametros!$C$2)),"Fora dos ciclos",IF(OR(B4535&lt;parametros!$C$2,(YEAR(B4535)-YEAR(parametros!$C$2))*12+MONTH(B4535)-MONTH(parametros!$C$2)&gt;59),"Fora dos ciclos","C"&amp;INT(((YEAR(B4535)-YEAR(parametros!$C$2))*12+MONTH(B4535)-MONTH(parametros!$C$2))/12)))))</f>
        <v/>
      </c>
      <c r="D4535" s="394"/>
      <c r="E4535" s="78" t="str">
        <f>IF(C4535="","",IFERROR(VLOOKUP(C4535,parametros!$A$11:$E$15,5,0),""))</f>
        <v/>
      </c>
      <c r="F4535" s="79" t="str">
        <f t="shared" si="352"/>
        <v/>
      </c>
      <c r="G4535" s="395"/>
      <c r="H4535" s="91">
        <f t="shared" si="353"/>
        <v>0</v>
      </c>
      <c r="I4535" s="91" t="str">
        <f t="shared" si="354"/>
        <v/>
      </c>
      <c r="J4535" s="91" t="str">
        <f t="shared" si="355"/>
        <v/>
      </c>
      <c r="K4535" s="92" t="str">
        <f>IF(AND(A4535="",B4535="",D4535="",G4535=""),"",IF(AND(A4535&lt;&gt;"",COUNTIF($A$2:$A$5001,A4535)&gt;1),"NUMERO_PC duplicado",IF(B4535="","DATA_PC vazia",IF(NOT(ISNUMBER(B4535)),"DATA_PC invalida",IF(OR(C4535="",C4535="Fora dos ciclos"),"CICLO_PC nao identificado",IF(OR(D4535="",D4535=0),"VALOR_PC vazio ou zero",IF(AND(G4535&lt;&gt;"Sim",G4535&lt;&gt;"Nao",G4535&lt;&gt;""),"PC_PAGO_A_CONTRATADA invalido",IF(AND(C4535&lt;&gt;"C0",IFERROR(INDEX(parametros!$A$2:$A$6,MATCH(C4535,parametros!$B$2:$B$6,0)),"")="Sim",IFERROR(INDEX(parametros!$H$2:$H$6,MATCH(C4535,parametros!$B$2:$B$6,0)),"")=""),"INICIO_EFEITO ausente: PC "&amp;A4535&amp;" - "&amp;C4535,IF(L4535="","EFEITO_PC nao calculado: PC "&amp;A4535&amp;" - "&amp;C4535,"OK")))))))))</f>
        <v/>
      </c>
      <c r="L4535" s="92" t="str">
        <f>IF(AND(A4535="",B4535="",D4535="",G4535=""),"",IF(OR(B4535="",NOT(ISNUMBER(B4535)),C4535="",C4535="Fora dos ciclos"),"",IF(C4535="C0","Nao",IF(IFERROR(INDEX(parametros!$A$2:$A$6,MATCH(C4535,parametros!$B$2:$B$6,0)),"")&lt;&gt;"Sim","Nao",IF(IFERROR(INDEX(parametros!$H$2:$H$6,MATCH(C4535,parametros!$B$2:$B$6,0)),"")="","",IF(B4535&gt;=IFERROR(INDEX(parametros!$H$2:$H$6,MATCH(C4535,parametros!$B$2:$B$6,0)),""),"Sim","Nao"))))))</f>
        <v/>
      </c>
      <c r="T4535" s="156"/>
      <c r="U4535" s="214" t="str">
        <f t="shared" si="356"/>
        <v/>
      </c>
      <c r="V4535" s="212" t="s">
        <v>50</v>
      </c>
      <c r="W4535" s="100" t="s">
        <v>168</v>
      </c>
      <c r="X4535" s="100" t="s">
        <v>169</v>
      </c>
      <c r="Y4535" s="101" t="s">
        <v>170</v>
      </c>
      <c r="Z4535" s="101" t="s">
        <v>171</v>
      </c>
      <c r="AA4535" s="101" t="s">
        <v>50</v>
      </c>
      <c r="AB4535" s="101" t="s">
        <v>172</v>
      </c>
      <c r="AC4535" s="102" t="s">
        <v>173</v>
      </c>
    </row>
    <row r="4536" spans="1:29" ht="25.5" customHeight="1" x14ac:dyDescent="0.35">
      <c r="A4536" s="392"/>
      <c r="B4536" s="393"/>
      <c r="C4536" s="99" t="str">
        <f>IF(B4536="","",IF(NOT(ISNUMBER(B4536)),"DATA_PC invalida",IF(NOT(ISNUMBER(parametros!$C$2)),"Fora dos ciclos",IF(OR(B4536&lt;parametros!$C$2,(YEAR(B4536)-YEAR(parametros!$C$2))*12+MONTH(B4536)-MONTH(parametros!$C$2)&gt;59),"Fora dos ciclos","C"&amp;INT(((YEAR(B4536)-YEAR(parametros!$C$2))*12+MONTH(B4536)-MONTH(parametros!$C$2))/12)))))</f>
        <v/>
      </c>
      <c r="D4536" s="394"/>
      <c r="E4536" s="78" t="str">
        <f>IF(C4536="","",IFERROR(VLOOKUP(C4536,parametros!$A$11:$E$15,5,0),""))</f>
        <v/>
      </c>
      <c r="F4536" s="79" t="str">
        <f t="shared" si="352"/>
        <v/>
      </c>
      <c r="G4536" s="395"/>
      <c r="H4536" s="91">
        <f t="shared" si="353"/>
        <v>0</v>
      </c>
      <c r="I4536" s="91" t="str">
        <f t="shared" si="354"/>
        <v/>
      </c>
      <c r="J4536" s="91" t="str">
        <f t="shared" si="355"/>
        <v/>
      </c>
      <c r="K4536" s="92" t="str">
        <f>IF(AND(A4536="",B4536="",D4536="",G4536=""),"",IF(AND(A4536&lt;&gt;"",COUNTIF($A$2:$A$5001,A4536)&gt;1),"NUMERO_PC duplicado",IF(B4536="","DATA_PC vazia",IF(NOT(ISNUMBER(B4536)),"DATA_PC invalida",IF(OR(C4536="",C4536="Fora dos ciclos"),"CICLO_PC nao identificado",IF(OR(D4536="",D4536=0),"VALOR_PC vazio ou zero",IF(AND(G4536&lt;&gt;"Sim",G4536&lt;&gt;"Nao",G4536&lt;&gt;""),"PC_PAGO_A_CONTRATADA invalido",IF(AND(C4536&lt;&gt;"C0",IFERROR(INDEX(parametros!$A$2:$A$6,MATCH(C4536,parametros!$B$2:$B$6,0)),"")="Sim",IFERROR(INDEX(parametros!$H$2:$H$6,MATCH(C4536,parametros!$B$2:$B$6,0)),"")=""),"INICIO_EFEITO ausente: PC "&amp;A4536&amp;" - "&amp;C4536,IF(L4536="","EFEITO_PC nao calculado: PC "&amp;A4536&amp;" - "&amp;C4536,"OK")))))))))</f>
        <v/>
      </c>
      <c r="L4536" s="92" t="str">
        <f>IF(AND(A4536="",B4536="",D4536="",G4536=""),"",IF(OR(B4536="",NOT(ISNUMBER(B4536)),C4536="",C4536="Fora dos ciclos"),"",IF(C4536="C0","Nao",IF(IFERROR(INDEX(parametros!$A$2:$A$6,MATCH(C4536,parametros!$B$2:$B$6,0)),"")&lt;&gt;"Sim","Nao",IF(IFERROR(INDEX(parametros!$H$2:$H$6,MATCH(C4536,parametros!$B$2:$B$6,0)),"")="","",IF(B4536&gt;=IFERROR(INDEX(parametros!$H$2:$H$6,MATCH(C4536,parametros!$B$2:$B$6,0)),""),"Sim","Nao"))))))</f>
        <v/>
      </c>
      <c r="T4536" s="156"/>
      <c r="U4536" s="214" t="str">
        <f t="shared" si="356"/>
        <v/>
      </c>
      <c r="V4536" s="212" t="s">
        <v>50</v>
      </c>
      <c r="W4536" s="100" t="s">
        <v>168</v>
      </c>
      <c r="X4536" s="100" t="s">
        <v>169</v>
      </c>
      <c r="Y4536" s="101" t="s">
        <v>170</v>
      </c>
      <c r="Z4536" s="101" t="s">
        <v>171</v>
      </c>
      <c r="AA4536" s="101" t="s">
        <v>50</v>
      </c>
      <c r="AB4536" s="101" t="s">
        <v>172</v>
      </c>
      <c r="AC4536" s="102" t="s">
        <v>173</v>
      </c>
    </row>
    <row r="4537" spans="1:29" ht="25.5" customHeight="1" x14ac:dyDescent="0.35">
      <c r="A4537" s="392"/>
      <c r="B4537" s="393"/>
      <c r="C4537" s="99" t="str">
        <f>IF(B4537="","",IF(NOT(ISNUMBER(B4537)),"DATA_PC invalida",IF(NOT(ISNUMBER(parametros!$C$2)),"Fora dos ciclos",IF(OR(B4537&lt;parametros!$C$2,(YEAR(B4537)-YEAR(parametros!$C$2))*12+MONTH(B4537)-MONTH(parametros!$C$2)&gt;59),"Fora dos ciclos","C"&amp;INT(((YEAR(B4537)-YEAR(parametros!$C$2))*12+MONTH(B4537)-MONTH(parametros!$C$2))/12)))))</f>
        <v/>
      </c>
      <c r="D4537" s="394"/>
      <c r="E4537" s="78" t="str">
        <f>IF(C4537="","",IFERROR(VLOOKUP(C4537,parametros!$A$11:$E$15,5,0),""))</f>
        <v/>
      </c>
      <c r="F4537" s="79" t="str">
        <f t="shared" si="352"/>
        <v/>
      </c>
      <c r="G4537" s="395"/>
      <c r="H4537" s="91">
        <f t="shared" si="353"/>
        <v>0</v>
      </c>
      <c r="I4537" s="91" t="str">
        <f t="shared" si="354"/>
        <v/>
      </c>
      <c r="J4537" s="91" t="str">
        <f t="shared" si="355"/>
        <v/>
      </c>
      <c r="K4537" s="92" t="str">
        <f>IF(AND(A4537="",B4537="",D4537="",G4537=""),"",IF(AND(A4537&lt;&gt;"",COUNTIF($A$2:$A$5001,A4537)&gt;1),"NUMERO_PC duplicado",IF(B4537="","DATA_PC vazia",IF(NOT(ISNUMBER(B4537)),"DATA_PC invalida",IF(OR(C4537="",C4537="Fora dos ciclos"),"CICLO_PC nao identificado",IF(OR(D4537="",D4537=0),"VALOR_PC vazio ou zero",IF(AND(G4537&lt;&gt;"Sim",G4537&lt;&gt;"Nao",G4537&lt;&gt;""),"PC_PAGO_A_CONTRATADA invalido",IF(AND(C4537&lt;&gt;"C0",IFERROR(INDEX(parametros!$A$2:$A$6,MATCH(C4537,parametros!$B$2:$B$6,0)),"")="Sim",IFERROR(INDEX(parametros!$H$2:$H$6,MATCH(C4537,parametros!$B$2:$B$6,0)),"")=""),"INICIO_EFEITO ausente: PC "&amp;A4537&amp;" - "&amp;C4537,IF(L4537="","EFEITO_PC nao calculado: PC "&amp;A4537&amp;" - "&amp;C4537,"OK")))))))))</f>
        <v/>
      </c>
      <c r="L4537" s="92" t="str">
        <f>IF(AND(A4537="",B4537="",D4537="",G4537=""),"",IF(OR(B4537="",NOT(ISNUMBER(B4537)),C4537="",C4537="Fora dos ciclos"),"",IF(C4537="C0","Nao",IF(IFERROR(INDEX(parametros!$A$2:$A$6,MATCH(C4537,parametros!$B$2:$B$6,0)),"")&lt;&gt;"Sim","Nao",IF(IFERROR(INDEX(parametros!$H$2:$H$6,MATCH(C4537,parametros!$B$2:$B$6,0)),"")="","",IF(B4537&gt;=IFERROR(INDEX(parametros!$H$2:$H$6,MATCH(C4537,parametros!$B$2:$B$6,0)),""),"Sim","Nao"))))))</f>
        <v/>
      </c>
      <c r="T4537" s="156"/>
      <c r="U4537" s="214" t="str">
        <f t="shared" si="356"/>
        <v/>
      </c>
      <c r="V4537" s="212" t="s">
        <v>50</v>
      </c>
      <c r="W4537" s="100" t="s">
        <v>168</v>
      </c>
      <c r="X4537" s="100" t="s">
        <v>169</v>
      </c>
      <c r="Y4537" s="101" t="s">
        <v>170</v>
      </c>
      <c r="Z4537" s="101" t="s">
        <v>171</v>
      </c>
      <c r="AA4537" s="101" t="s">
        <v>50</v>
      </c>
      <c r="AB4537" s="101" t="s">
        <v>172</v>
      </c>
      <c r="AC4537" s="102" t="s">
        <v>173</v>
      </c>
    </row>
    <row r="4538" spans="1:29" ht="25.5" customHeight="1" x14ac:dyDescent="0.35">
      <c r="A4538" s="392"/>
      <c r="B4538" s="393"/>
      <c r="C4538" s="99" t="str">
        <f>IF(B4538="","",IF(NOT(ISNUMBER(B4538)),"DATA_PC invalida",IF(NOT(ISNUMBER(parametros!$C$2)),"Fora dos ciclos",IF(OR(B4538&lt;parametros!$C$2,(YEAR(B4538)-YEAR(parametros!$C$2))*12+MONTH(B4538)-MONTH(parametros!$C$2)&gt;59),"Fora dos ciclos","C"&amp;INT(((YEAR(B4538)-YEAR(parametros!$C$2))*12+MONTH(B4538)-MONTH(parametros!$C$2))/12)))))</f>
        <v/>
      </c>
      <c r="D4538" s="394"/>
      <c r="E4538" s="78" t="str">
        <f>IF(C4538="","",IFERROR(VLOOKUP(C4538,parametros!$A$11:$E$15,5,0),""))</f>
        <v/>
      </c>
      <c r="F4538" s="79" t="str">
        <f t="shared" si="352"/>
        <v/>
      </c>
      <c r="G4538" s="395"/>
      <c r="H4538" s="91">
        <f t="shared" si="353"/>
        <v>0</v>
      </c>
      <c r="I4538" s="91" t="str">
        <f t="shared" si="354"/>
        <v/>
      </c>
      <c r="J4538" s="91" t="str">
        <f t="shared" si="355"/>
        <v/>
      </c>
      <c r="K4538" s="92" t="str">
        <f>IF(AND(A4538="",B4538="",D4538="",G4538=""),"",IF(AND(A4538&lt;&gt;"",COUNTIF($A$2:$A$5001,A4538)&gt;1),"NUMERO_PC duplicado",IF(B4538="","DATA_PC vazia",IF(NOT(ISNUMBER(B4538)),"DATA_PC invalida",IF(OR(C4538="",C4538="Fora dos ciclos"),"CICLO_PC nao identificado",IF(OR(D4538="",D4538=0),"VALOR_PC vazio ou zero",IF(AND(G4538&lt;&gt;"Sim",G4538&lt;&gt;"Nao",G4538&lt;&gt;""),"PC_PAGO_A_CONTRATADA invalido",IF(AND(C4538&lt;&gt;"C0",IFERROR(INDEX(parametros!$A$2:$A$6,MATCH(C4538,parametros!$B$2:$B$6,0)),"")="Sim",IFERROR(INDEX(parametros!$H$2:$H$6,MATCH(C4538,parametros!$B$2:$B$6,0)),"")=""),"INICIO_EFEITO ausente: PC "&amp;A4538&amp;" - "&amp;C4538,IF(L4538="","EFEITO_PC nao calculado: PC "&amp;A4538&amp;" - "&amp;C4538,"OK")))))))))</f>
        <v/>
      </c>
      <c r="L4538" s="92" t="str">
        <f>IF(AND(A4538="",B4538="",D4538="",G4538=""),"",IF(OR(B4538="",NOT(ISNUMBER(B4538)),C4538="",C4538="Fora dos ciclos"),"",IF(C4538="C0","Nao",IF(IFERROR(INDEX(parametros!$A$2:$A$6,MATCH(C4538,parametros!$B$2:$B$6,0)),"")&lt;&gt;"Sim","Nao",IF(IFERROR(INDEX(parametros!$H$2:$H$6,MATCH(C4538,parametros!$B$2:$B$6,0)),"")="","",IF(B4538&gt;=IFERROR(INDEX(parametros!$H$2:$H$6,MATCH(C4538,parametros!$B$2:$B$6,0)),""),"Sim","Nao"))))))</f>
        <v/>
      </c>
      <c r="T4538" s="156"/>
      <c r="U4538" s="214" t="str">
        <f t="shared" si="356"/>
        <v/>
      </c>
      <c r="V4538" s="212" t="s">
        <v>50</v>
      </c>
      <c r="W4538" s="100" t="s">
        <v>168</v>
      </c>
      <c r="X4538" s="100" t="s">
        <v>169</v>
      </c>
      <c r="Y4538" s="101" t="s">
        <v>170</v>
      </c>
      <c r="Z4538" s="101" t="s">
        <v>171</v>
      </c>
      <c r="AA4538" s="101" t="s">
        <v>50</v>
      </c>
      <c r="AB4538" s="101" t="s">
        <v>172</v>
      </c>
      <c r="AC4538" s="102" t="s">
        <v>173</v>
      </c>
    </row>
    <row r="4539" spans="1:29" ht="25.5" customHeight="1" x14ac:dyDescent="0.35">
      <c r="A4539" s="392"/>
      <c r="B4539" s="393"/>
      <c r="C4539" s="99" t="str">
        <f>IF(B4539="","",IF(NOT(ISNUMBER(B4539)),"DATA_PC invalida",IF(NOT(ISNUMBER(parametros!$C$2)),"Fora dos ciclos",IF(OR(B4539&lt;parametros!$C$2,(YEAR(B4539)-YEAR(parametros!$C$2))*12+MONTH(B4539)-MONTH(parametros!$C$2)&gt;59),"Fora dos ciclos","C"&amp;INT(((YEAR(B4539)-YEAR(parametros!$C$2))*12+MONTH(B4539)-MONTH(parametros!$C$2))/12)))))</f>
        <v/>
      </c>
      <c r="D4539" s="394"/>
      <c r="E4539" s="78" t="str">
        <f>IF(C4539="","",IFERROR(VLOOKUP(C4539,parametros!$A$11:$E$15,5,0),""))</f>
        <v/>
      </c>
      <c r="F4539" s="79" t="str">
        <f t="shared" si="352"/>
        <v/>
      </c>
      <c r="G4539" s="395"/>
      <c r="H4539" s="91">
        <f t="shared" si="353"/>
        <v>0</v>
      </c>
      <c r="I4539" s="91" t="str">
        <f t="shared" si="354"/>
        <v/>
      </c>
      <c r="J4539" s="91" t="str">
        <f t="shared" si="355"/>
        <v/>
      </c>
      <c r="K4539" s="92" t="str">
        <f>IF(AND(A4539="",B4539="",D4539="",G4539=""),"",IF(AND(A4539&lt;&gt;"",COUNTIF($A$2:$A$5001,A4539)&gt;1),"NUMERO_PC duplicado",IF(B4539="","DATA_PC vazia",IF(NOT(ISNUMBER(B4539)),"DATA_PC invalida",IF(OR(C4539="",C4539="Fora dos ciclos"),"CICLO_PC nao identificado",IF(OR(D4539="",D4539=0),"VALOR_PC vazio ou zero",IF(AND(G4539&lt;&gt;"Sim",G4539&lt;&gt;"Nao",G4539&lt;&gt;""),"PC_PAGO_A_CONTRATADA invalido",IF(AND(C4539&lt;&gt;"C0",IFERROR(INDEX(parametros!$A$2:$A$6,MATCH(C4539,parametros!$B$2:$B$6,0)),"")="Sim",IFERROR(INDEX(parametros!$H$2:$H$6,MATCH(C4539,parametros!$B$2:$B$6,0)),"")=""),"INICIO_EFEITO ausente: PC "&amp;A4539&amp;" - "&amp;C4539,IF(L4539="","EFEITO_PC nao calculado: PC "&amp;A4539&amp;" - "&amp;C4539,"OK")))))))))</f>
        <v/>
      </c>
      <c r="L4539" s="92" t="str">
        <f>IF(AND(A4539="",B4539="",D4539="",G4539=""),"",IF(OR(B4539="",NOT(ISNUMBER(B4539)),C4539="",C4539="Fora dos ciclos"),"",IF(C4539="C0","Nao",IF(IFERROR(INDEX(parametros!$A$2:$A$6,MATCH(C4539,parametros!$B$2:$B$6,0)),"")&lt;&gt;"Sim","Nao",IF(IFERROR(INDEX(parametros!$H$2:$H$6,MATCH(C4539,parametros!$B$2:$B$6,0)),"")="","",IF(B4539&gt;=IFERROR(INDEX(parametros!$H$2:$H$6,MATCH(C4539,parametros!$B$2:$B$6,0)),""),"Sim","Nao"))))))</f>
        <v/>
      </c>
      <c r="T4539" s="156"/>
      <c r="U4539" s="214" t="str">
        <f t="shared" si="356"/>
        <v/>
      </c>
      <c r="V4539" s="212" t="s">
        <v>50</v>
      </c>
      <c r="W4539" s="100" t="s">
        <v>168</v>
      </c>
      <c r="X4539" s="100" t="s">
        <v>169</v>
      </c>
      <c r="Y4539" s="101" t="s">
        <v>170</v>
      </c>
      <c r="Z4539" s="101" t="s">
        <v>171</v>
      </c>
      <c r="AA4539" s="101" t="s">
        <v>50</v>
      </c>
      <c r="AB4539" s="101" t="s">
        <v>172</v>
      </c>
      <c r="AC4539" s="102" t="s">
        <v>173</v>
      </c>
    </row>
    <row r="4540" spans="1:29" ht="25.5" customHeight="1" x14ac:dyDescent="0.35">
      <c r="A4540" s="392"/>
      <c r="B4540" s="393"/>
      <c r="C4540" s="99" t="str">
        <f>IF(B4540="","",IF(NOT(ISNUMBER(B4540)),"DATA_PC invalida",IF(NOT(ISNUMBER(parametros!$C$2)),"Fora dos ciclos",IF(OR(B4540&lt;parametros!$C$2,(YEAR(B4540)-YEAR(parametros!$C$2))*12+MONTH(B4540)-MONTH(parametros!$C$2)&gt;59),"Fora dos ciclos","C"&amp;INT(((YEAR(B4540)-YEAR(parametros!$C$2))*12+MONTH(B4540)-MONTH(parametros!$C$2))/12)))))</f>
        <v/>
      </c>
      <c r="D4540" s="394"/>
      <c r="E4540" s="78" t="str">
        <f>IF(C4540="","",IFERROR(VLOOKUP(C4540,parametros!$A$11:$E$15,5,0),""))</f>
        <v/>
      </c>
      <c r="F4540" s="79" t="str">
        <f t="shared" si="352"/>
        <v/>
      </c>
      <c r="G4540" s="395"/>
      <c r="H4540" s="91">
        <f t="shared" si="353"/>
        <v>0</v>
      </c>
      <c r="I4540" s="91" t="str">
        <f t="shared" si="354"/>
        <v/>
      </c>
      <c r="J4540" s="91" t="str">
        <f t="shared" si="355"/>
        <v/>
      </c>
      <c r="K4540" s="92" t="str">
        <f>IF(AND(A4540="",B4540="",D4540="",G4540=""),"",IF(AND(A4540&lt;&gt;"",COUNTIF($A$2:$A$5001,A4540)&gt;1),"NUMERO_PC duplicado",IF(B4540="","DATA_PC vazia",IF(NOT(ISNUMBER(B4540)),"DATA_PC invalida",IF(OR(C4540="",C4540="Fora dos ciclos"),"CICLO_PC nao identificado",IF(OR(D4540="",D4540=0),"VALOR_PC vazio ou zero",IF(AND(G4540&lt;&gt;"Sim",G4540&lt;&gt;"Nao",G4540&lt;&gt;""),"PC_PAGO_A_CONTRATADA invalido",IF(AND(C4540&lt;&gt;"C0",IFERROR(INDEX(parametros!$A$2:$A$6,MATCH(C4540,parametros!$B$2:$B$6,0)),"")="Sim",IFERROR(INDEX(parametros!$H$2:$H$6,MATCH(C4540,parametros!$B$2:$B$6,0)),"")=""),"INICIO_EFEITO ausente: PC "&amp;A4540&amp;" - "&amp;C4540,IF(L4540="","EFEITO_PC nao calculado: PC "&amp;A4540&amp;" - "&amp;C4540,"OK")))))))))</f>
        <v/>
      </c>
      <c r="L4540" s="92" t="str">
        <f>IF(AND(A4540="",B4540="",D4540="",G4540=""),"",IF(OR(B4540="",NOT(ISNUMBER(B4540)),C4540="",C4540="Fora dos ciclos"),"",IF(C4540="C0","Nao",IF(IFERROR(INDEX(parametros!$A$2:$A$6,MATCH(C4540,parametros!$B$2:$B$6,0)),"")&lt;&gt;"Sim","Nao",IF(IFERROR(INDEX(parametros!$H$2:$H$6,MATCH(C4540,parametros!$B$2:$B$6,0)),"")="","",IF(B4540&gt;=IFERROR(INDEX(parametros!$H$2:$H$6,MATCH(C4540,parametros!$B$2:$B$6,0)),""),"Sim","Nao"))))))</f>
        <v/>
      </c>
      <c r="T4540" s="156"/>
      <c r="U4540" s="214" t="str">
        <f t="shared" si="356"/>
        <v/>
      </c>
      <c r="V4540" s="212" t="s">
        <v>50</v>
      </c>
      <c r="W4540" s="100" t="s">
        <v>168</v>
      </c>
      <c r="X4540" s="100" t="s">
        <v>169</v>
      </c>
      <c r="Y4540" s="101" t="s">
        <v>170</v>
      </c>
      <c r="Z4540" s="101" t="s">
        <v>171</v>
      </c>
      <c r="AA4540" s="101" t="s">
        <v>50</v>
      </c>
      <c r="AB4540" s="101" t="s">
        <v>172</v>
      </c>
      <c r="AC4540" s="102" t="s">
        <v>173</v>
      </c>
    </row>
    <row r="4541" spans="1:29" ht="25.5" customHeight="1" x14ac:dyDescent="0.35">
      <c r="A4541" s="392"/>
      <c r="B4541" s="393"/>
      <c r="C4541" s="99" t="str">
        <f>IF(B4541="","",IF(NOT(ISNUMBER(B4541)),"DATA_PC invalida",IF(NOT(ISNUMBER(parametros!$C$2)),"Fora dos ciclos",IF(OR(B4541&lt;parametros!$C$2,(YEAR(B4541)-YEAR(parametros!$C$2))*12+MONTH(B4541)-MONTH(parametros!$C$2)&gt;59),"Fora dos ciclos","C"&amp;INT(((YEAR(B4541)-YEAR(parametros!$C$2))*12+MONTH(B4541)-MONTH(parametros!$C$2))/12)))))</f>
        <v/>
      </c>
      <c r="D4541" s="394"/>
      <c r="E4541" s="78" t="str">
        <f>IF(C4541="","",IFERROR(VLOOKUP(C4541,parametros!$A$11:$E$15,5,0),""))</f>
        <v/>
      </c>
      <c r="F4541" s="79" t="str">
        <f t="shared" si="352"/>
        <v/>
      </c>
      <c r="G4541" s="395"/>
      <c r="H4541" s="91">
        <f t="shared" si="353"/>
        <v>0</v>
      </c>
      <c r="I4541" s="91" t="str">
        <f t="shared" si="354"/>
        <v/>
      </c>
      <c r="J4541" s="91" t="str">
        <f t="shared" si="355"/>
        <v/>
      </c>
      <c r="K4541" s="92" t="str">
        <f>IF(AND(A4541="",B4541="",D4541="",G4541=""),"",IF(AND(A4541&lt;&gt;"",COUNTIF($A$2:$A$5001,A4541)&gt;1),"NUMERO_PC duplicado",IF(B4541="","DATA_PC vazia",IF(NOT(ISNUMBER(B4541)),"DATA_PC invalida",IF(OR(C4541="",C4541="Fora dos ciclos"),"CICLO_PC nao identificado",IF(OR(D4541="",D4541=0),"VALOR_PC vazio ou zero",IF(AND(G4541&lt;&gt;"Sim",G4541&lt;&gt;"Nao",G4541&lt;&gt;""),"PC_PAGO_A_CONTRATADA invalido",IF(AND(C4541&lt;&gt;"C0",IFERROR(INDEX(parametros!$A$2:$A$6,MATCH(C4541,parametros!$B$2:$B$6,0)),"")="Sim",IFERROR(INDEX(parametros!$H$2:$H$6,MATCH(C4541,parametros!$B$2:$B$6,0)),"")=""),"INICIO_EFEITO ausente: PC "&amp;A4541&amp;" - "&amp;C4541,IF(L4541="","EFEITO_PC nao calculado: PC "&amp;A4541&amp;" - "&amp;C4541,"OK")))))))))</f>
        <v/>
      </c>
      <c r="L4541" s="92" t="str">
        <f>IF(AND(A4541="",B4541="",D4541="",G4541=""),"",IF(OR(B4541="",NOT(ISNUMBER(B4541)),C4541="",C4541="Fora dos ciclos"),"",IF(C4541="C0","Nao",IF(IFERROR(INDEX(parametros!$A$2:$A$6,MATCH(C4541,parametros!$B$2:$B$6,0)),"")&lt;&gt;"Sim","Nao",IF(IFERROR(INDEX(parametros!$H$2:$H$6,MATCH(C4541,parametros!$B$2:$B$6,0)),"")="","",IF(B4541&gt;=IFERROR(INDEX(parametros!$H$2:$H$6,MATCH(C4541,parametros!$B$2:$B$6,0)),""),"Sim","Nao"))))))</f>
        <v/>
      </c>
      <c r="T4541" s="156"/>
      <c r="U4541" s="214" t="str">
        <f t="shared" si="356"/>
        <v/>
      </c>
      <c r="V4541" s="212" t="s">
        <v>50</v>
      </c>
      <c r="W4541" s="100" t="s">
        <v>168</v>
      </c>
      <c r="X4541" s="100" t="s">
        <v>169</v>
      </c>
      <c r="Y4541" s="101" t="s">
        <v>170</v>
      </c>
      <c r="Z4541" s="101" t="s">
        <v>171</v>
      </c>
      <c r="AA4541" s="101" t="s">
        <v>50</v>
      </c>
      <c r="AB4541" s="101" t="s">
        <v>172</v>
      </c>
      <c r="AC4541" s="102" t="s">
        <v>173</v>
      </c>
    </row>
    <row r="4542" spans="1:29" ht="25.5" customHeight="1" x14ac:dyDescent="0.35">
      <c r="A4542" s="392"/>
      <c r="B4542" s="393"/>
      <c r="C4542" s="99" t="str">
        <f>IF(B4542="","",IF(NOT(ISNUMBER(B4542)),"DATA_PC invalida",IF(NOT(ISNUMBER(parametros!$C$2)),"Fora dos ciclos",IF(OR(B4542&lt;parametros!$C$2,(YEAR(B4542)-YEAR(parametros!$C$2))*12+MONTH(B4542)-MONTH(parametros!$C$2)&gt;59),"Fora dos ciclos","C"&amp;INT(((YEAR(B4542)-YEAR(parametros!$C$2))*12+MONTH(B4542)-MONTH(parametros!$C$2))/12)))))</f>
        <v/>
      </c>
      <c r="D4542" s="394"/>
      <c r="E4542" s="78" t="str">
        <f>IF(C4542="","",IFERROR(VLOOKUP(C4542,parametros!$A$11:$E$15,5,0),""))</f>
        <v/>
      </c>
      <c r="F4542" s="79" t="str">
        <f t="shared" si="352"/>
        <v/>
      </c>
      <c r="G4542" s="395"/>
      <c r="H4542" s="91">
        <f t="shared" si="353"/>
        <v>0</v>
      </c>
      <c r="I4542" s="91" t="str">
        <f t="shared" si="354"/>
        <v/>
      </c>
      <c r="J4542" s="91" t="str">
        <f t="shared" si="355"/>
        <v/>
      </c>
      <c r="K4542" s="92" t="str">
        <f>IF(AND(A4542="",B4542="",D4542="",G4542=""),"",IF(AND(A4542&lt;&gt;"",COUNTIF($A$2:$A$5001,A4542)&gt;1),"NUMERO_PC duplicado",IF(B4542="","DATA_PC vazia",IF(NOT(ISNUMBER(B4542)),"DATA_PC invalida",IF(OR(C4542="",C4542="Fora dos ciclos"),"CICLO_PC nao identificado",IF(OR(D4542="",D4542=0),"VALOR_PC vazio ou zero",IF(AND(G4542&lt;&gt;"Sim",G4542&lt;&gt;"Nao",G4542&lt;&gt;""),"PC_PAGO_A_CONTRATADA invalido",IF(AND(C4542&lt;&gt;"C0",IFERROR(INDEX(parametros!$A$2:$A$6,MATCH(C4542,parametros!$B$2:$B$6,0)),"")="Sim",IFERROR(INDEX(parametros!$H$2:$H$6,MATCH(C4542,parametros!$B$2:$B$6,0)),"")=""),"INICIO_EFEITO ausente: PC "&amp;A4542&amp;" - "&amp;C4542,IF(L4542="","EFEITO_PC nao calculado: PC "&amp;A4542&amp;" - "&amp;C4542,"OK")))))))))</f>
        <v/>
      </c>
      <c r="L4542" s="92" t="str">
        <f>IF(AND(A4542="",B4542="",D4542="",G4542=""),"",IF(OR(B4542="",NOT(ISNUMBER(B4542)),C4542="",C4542="Fora dos ciclos"),"",IF(C4542="C0","Nao",IF(IFERROR(INDEX(parametros!$A$2:$A$6,MATCH(C4542,parametros!$B$2:$B$6,0)),"")&lt;&gt;"Sim","Nao",IF(IFERROR(INDEX(parametros!$H$2:$H$6,MATCH(C4542,parametros!$B$2:$B$6,0)),"")="","",IF(B4542&gt;=IFERROR(INDEX(parametros!$H$2:$H$6,MATCH(C4542,parametros!$B$2:$B$6,0)),""),"Sim","Nao"))))))</f>
        <v/>
      </c>
      <c r="T4542" s="156"/>
      <c r="U4542" s="214" t="str">
        <f t="shared" si="356"/>
        <v/>
      </c>
      <c r="V4542" s="212" t="s">
        <v>50</v>
      </c>
      <c r="W4542" s="100" t="s">
        <v>168</v>
      </c>
      <c r="X4542" s="100" t="s">
        <v>169</v>
      </c>
      <c r="Y4542" s="101" t="s">
        <v>170</v>
      </c>
      <c r="Z4542" s="101" t="s">
        <v>171</v>
      </c>
      <c r="AA4542" s="101" t="s">
        <v>50</v>
      </c>
      <c r="AB4542" s="101" t="s">
        <v>172</v>
      </c>
      <c r="AC4542" s="102" t="s">
        <v>173</v>
      </c>
    </row>
    <row r="4543" spans="1:29" ht="25.5" customHeight="1" x14ac:dyDescent="0.35">
      <c r="A4543" s="392"/>
      <c r="B4543" s="393"/>
      <c r="C4543" s="99" t="str">
        <f>IF(B4543="","",IF(NOT(ISNUMBER(B4543)),"DATA_PC invalida",IF(NOT(ISNUMBER(parametros!$C$2)),"Fora dos ciclos",IF(OR(B4543&lt;parametros!$C$2,(YEAR(B4543)-YEAR(parametros!$C$2))*12+MONTH(B4543)-MONTH(parametros!$C$2)&gt;59),"Fora dos ciclos","C"&amp;INT(((YEAR(B4543)-YEAR(parametros!$C$2))*12+MONTH(B4543)-MONTH(parametros!$C$2))/12)))))</f>
        <v/>
      </c>
      <c r="D4543" s="394"/>
      <c r="E4543" s="78" t="str">
        <f>IF(C4543="","",IFERROR(VLOOKUP(C4543,parametros!$A$11:$E$15,5,0),""))</f>
        <v/>
      </c>
      <c r="F4543" s="79" t="str">
        <f t="shared" si="352"/>
        <v/>
      </c>
      <c r="G4543" s="395"/>
      <c r="H4543" s="91">
        <f t="shared" si="353"/>
        <v>0</v>
      </c>
      <c r="I4543" s="91" t="str">
        <f t="shared" si="354"/>
        <v/>
      </c>
      <c r="J4543" s="91" t="str">
        <f t="shared" si="355"/>
        <v/>
      </c>
      <c r="K4543" s="92" t="str">
        <f>IF(AND(A4543="",B4543="",D4543="",G4543=""),"",IF(AND(A4543&lt;&gt;"",COUNTIF($A$2:$A$5001,A4543)&gt;1),"NUMERO_PC duplicado",IF(B4543="","DATA_PC vazia",IF(NOT(ISNUMBER(B4543)),"DATA_PC invalida",IF(OR(C4543="",C4543="Fora dos ciclos"),"CICLO_PC nao identificado",IF(OR(D4543="",D4543=0),"VALOR_PC vazio ou zero",IF(AND(G4543&lt;&gt;"Sim",G4543&lt;&gt;"Nao",G4543&lt;&gt;""),"PC_PAGO_A_CONTRATADA invalido",IF(AND(C4543&lt;&gt;"C0",IFERROR(INDEX(parametros!$A$2:$A$6,MATCH(C4543,parametros!$B$2:$B$6,0)),"")="Sim",IFERROR(INDEX(parametros!$H$2:$H$6,MATCH(C4543,parametros!$B$2:$B$6,0)),"")=""),"INICIO_EFEITO ausente: PC "&amp;A4543&amp;" - "&amp;C4543,IF(L4543="","EFEITO_PC nao calculado: PC "&amp;A4543&amp;" - "&amp;C4543,"OK")))))))))</f>
        <v/>
      </c>
      <c r="L4543" s="92" t="str">
        <f>IF(AND(A4543="",B4543="",D4543="",G4543=""),"",IF(OR(B4543="",NOT(ISNUMBER(B4543)),C4543="",C4543="Fora dos ciclos"),"",IF(C4543="C0","Nao",IF(IFERROR(INDEX(parametros!$A$2:$A$6,MATCH(C4543,parametros!$B$2:$B$6,0)),"")&lt;&gt;"Sim","Nao",IF(IFERROR(INDEX(parametros!$H$2:$H$6,MATCH(C4543,parametros!$B$2:$B$6,0)),"")="","",IF(B4543&gt;=IFERROR(INDEX(parametros!$H$2:$H$6,MATCH(C4543,parametros!$B$2:$B$6,0)),""),"Sim","Nao"))))))</f>
        <v/>
      </c>
      <c r="T4543" s="156"/>
      <c r="U4543" s="214" t="str">
        <f t="shared" si="356"/>
        <v/>
      </c>
      <c r="V4543" s="212" t="s">
        <v>50</v>
      </c>
      <c r="W4543" s="100" t="s">
        <v>168</v>
      </c>
      <c r="X4543" s="100" t="s">
        <v>169</v>
      </c>
      <c r="Y4543" s="101" t="s">
        <v>170</v>
      </c>
      <c r="Z4543" s="101" t="s">
        <v>171</v>
      </c>
      <c r="AA4543" s="101" t="s">
        <v>50</v>
      </c>
      <c r="AB4543" s="101" t="s">
        <v>172</v>
      </c>
      <c r="AC4543" s="102" t="s">
        <v>173</v>
      </c>
    </row>
    <row r="4544" spans="1:29" ht="25.5" customHeight="1" x14ac:dyDescent="0.35">
      <c r="A4544" s="392"/>
      <c r="B4544" s="393"/>
      <c r="C4544" s="99" t="str">
        <f>IF(B4544="","",IF(NOT(ISNUMBER(B4544)),"DATA_PC invalida",IF(NOT(ISNUMBER(parametros!$C$2)),"Fora dos ciclos",IF(OR(B4544&lt;parametros!$C$2,(YEAR(B4544)-YEAR(parametros!$C$2))*12+MONTH(B4544)-MONTH(parametros!$C$2)&gt;59),"Fora dos ciclos","C"&amp;INT(((YEAR(B4544)-YEAR(parametros!$C$2))*12+MONTH(B4544)-MONTH(parametros!$C$2))/12)))))</f>
        <v/>
      </c>
      <c r="D4544" s="394"/>
      <c r="E4544" s="78" t="str">
        <f>IF(C4544="","",IFERROR(VLOOKUP(C4544,parametros!$A$11:$E$15,5,0),""))</f>
        <v/>
      </c>
      <c r="F4544" s="79" t="str">
        <f t="shared" si="352"/>
        <v/>
      </c>
      <c r="G4544" s="395"/>
      <c r="H4544" s="91">
        <f t="shared" si="353"/>
        <v>0</v>
      </c>
      <c r="I4544" s="91" t="str">
        <f t="shared" si="354"/>
        <v/>
      </c>
      <c r="J4544" s="91" t="str">
        <f t="shared" si="355"/>
        <v/>
      </c>
      <c r="K4544" s="92" t="str">
        <f>IF(AND(A4544="",B4544="",D4544="",G4544=""),"",IF(AND(A4544&lt;&gt;"",COUNTIF($A$2:$A$5001,A4544)&gt;1),"NUMERO_PC duplicado",IF(B4544="","DATA_PC vazia",IF(NOT(ISNUMBER(B4544)),"DATA_PC invalida",IF(OR(C4544="",C4544="Fora dos ciclos"),"CICLO_PC nao identificado",IF(OR(D4544="",D4544=0),"VALOR_PC vazio ou zero",IF(AND(G4544&lt;&gt;"Sim",G4544&lt;&gt;"Nao",G4544&lt;&gt;""),"PC_PAGO_A_CONTRATADA invalido",IF(AND(C4544&lt;&gt;"C0",IFERROR(INDEX(parametros!$A$2:$A$6,MATCH(C4544,parametros!$B$2:$B$6,0)),"")="Sim",IFERROR(INDEX(parametros!$H$2:$H$6,MATCH(C4544,parametros!$B$2:$B$6,0)),"")=""),"INICIO_EFEITO ausente: PC "&amp;A4544&amp;" - "&amp;C4544,IF(L4544="","EFEITO_PC nao calculado: PC "&amp;A4544&amp;" - "&amp;C4544,"OK")))))))))</f>
        <v/>
      </c>
      <c r="L4544" s="92" t="str">
        <f>IF(AND(A4544="",B4544="",D4544="",G4544=""),"",IF(OR(B4544="",NOT(ISNUMBER(B4544)),C4544="",C4544="Fora dos ciclos"),"",IF(C4544="C0","Nao",IF(IFERROR(INDEX(parametros!$A$2:$A$6,MATCH(C4544,parametros!$B$2:$B$6,0)),"")&lt;&gt;"Sim","Nao",IF(IFERROR(INDEX(parametros!$H$2:$H$6,MATCH(C4544,parametros!$B$2:$B$6,0)),"")="","",IF(B4544&gt;=IFERROR(INDEX(parametros!$H$2:$H$6,MATCH(C4544,parametros!$B$2:$B$6,0)),""),"Sim","Nao"))))))</f>
        <v/>
      </c>
      <c r="T4544" s="156"/>
      <c r="U4544" s="214" t="str">
        <f t="shared" si="356"/>
        <v/>
      </c>
      <c r="V4544" s="212" t="s">
        <v>50</v>
      </c>
      <c r="W4544" s="100" t="s">
        <v>168</v>
      </c>
      <c r="X4544" s="100" t="s">
        <v>169</v>
      </c>
      <c r="Y4544" s="101" t="s">
        <v>170</v>
      </c>
      <c r="Z4544" s="101" t="s">
        <v>171</v>
      </c>
      <c r="AA4544" s="101" t="s">
        <v>50</v>
      </c>
      <c r="AB4544" s="101" t="s">
        <v>172</v>
      </c>
      <c r="AC4544" s="102" t="s">
        <v>173</v>
      </c>
    </row>
    <row r="4545" spans="1:29" ht="25.5" customHeight="1" x14ac:dyDescent="0.35">
      <c r="A4545" s="392"/>
      <c r="B4545" s="393"/>
      <c r="C4545" s="99" t="str">
        <f>IF(B4545="","",IF(NOT(ISNUMBER(B4545)),"DATA_PC invalida",IF(NOT(ISNUMBER(parametros!$C$2)),"Fora dos ciclos",IF(OR(B4545&lt;parametros!$C$2,(YEAR(B4545)-YEAR(parametros!$C$2))*12+MONTH(B4545)-MONTH(parametros!$C$2)&gt;59),"Fora dos ciclos","C"&amp;INT(((YEAR(B4545)-YEAR(parametros!$C$2))*12+MONTH(B4545)-MONTH(parametros!$C$2))/12)))))</f>
        <v/>
      </c>
      <c r="D4545" s="394"/>
      <c r="E4545" s="78" t="str">
        <f>IF(C4545="","",IFERROR(VLOOKUP(C4545,parametros!$A$11:$E$15,5,0),""))</f>
        <v/>
      </c>
      <c r="F4545" s="79" t="str">
        <f t="shared" si="352"/>
        <v/>
      </c>
      <c r="G4545" s="395"/>
      <c r="H4545" s="91">
        <f t="shared" si="353"/>
        <v>0</v>
      </c>
      <c r="I4545" s="91" t="str">
        <f t="shared" si="354"/>
        <v/>
      </c>
      <c r="J4545" s="91" t="str">
        <f t="shared" si="355"/>
        <v/>
      </c>
      <c r="K4545" s="92" t="str">
        <f>IF(AND(A4545="",B4545="",D4545="",G4545=""),"",IF(AND(A4545&lt;&gt;"",COUNTIF($A$2:$A$5001,A4545)&gt;1),"NUMERO_PC duplicado",IF(B4545="","DATA_PC vazia",IF(NOT(ISNUMBER(B4545)),"DATA_PC invalida",IF(OR(C4545="",C4545="Fora dos ciclos"),"CICLO_PC nao identificado",IF(OR(D4545="",D4545=0),"VALOR_PC vazio ou zero",IF(AND(G4545&lt;&gt;"Sim",G4545&lt;&gt;"Nao",G4545&lt;&gt;""),"PC_PAGO_A_CONTRATADA invalido",IF(AND(C4545&lt;&gt;"C0",IFERROR(INDEX(parametros!$A$2:$A$6,MATCH(C4545,parametros!$B$2:$B$6,0)),"")="Sim",IFERROR(INDEX(parametros!$H$2:$H$6,MATCH(C4545,parametros!$B$2:$B$6,0)),"")=""),"INICIO_EFEITO ausente: PC "&amp;A4545&amp;" - "&amp;C4545,IF(L4545="","EFEITO_PC nao calculado: PC "&amp;A4545&amp;" - "&amp;C4545,"OK")))))))))</f>
        <v/>
      </c>
      <c r="L4545" s="92" t="str">
        <f>IF(AND(A4545="",B4545="",D4545="",G4545=""),"",IF(OR(B4545="",NOT(ISNUMBER(B4545)),C4545="",C4545="Fora dos ciclos"),"",IF(C4545="C0","Nao",IF(IFERROR(INDEX(parametros!$A$2:$A$6,MATCH(C4545,parametros!$B$2:$B$6,0)),"")&lt;&gt;"Sim","Nao",IF(IFERROR(INDEX(parametros!$H$2:$H$6,MATCH(C4545,parametros!$B$2:$B$6,0)),"")="","",IF(B4545&gt;=IFERROR(INDEX(parametros!$H$2:$H$6,MATCH(C4545,parametros!$B$2:$B$6,0)),""),"Sim","Nao"))))))</f>
        <v/>
      </c>
      <c r="T4545" s="156"/>
      <c r="U4545" s="214" t="str">
        <f t="shared" si="356"/>
        <v/>
      </c>
      <c r="V4545" s="212" t="s">
        <v>50</v>
      </c>
      <c r="W4545" s="100" t="s">
        <v>168</v>
      </c>
      <c r="X4545" s="100" t="s">
        <v>169</v>
      </c>
      <c r="Y4545" s="101" t="s">
        <v>170</v>
      </c>
      <c r="Z4545" s="101" t="s">
        <v>171</v>
      </c>
      <c r="AA4545" s="101" t="s">
        <v>50</v>
      </c>
      <c r="AB4545" s="101" t="s">
        <v>172</v>
      </c>
      <c r="AC4545" s="102" t="s">
        <v>173</v>
      </c>
    </row>
    <row r="4546" spans="1:29" ht="25.5" customHeight="1" x14ac:dyDescent="0.35">
      <c r="A4546" s="392"/>
      <c r="B4546" s="393"/>
      <c r="C4546" s="99" t="str">
        <f>IF(B4546="","",IF(NOT(ISNUMBER(B4546)),"DATA_PC invalida",IF(NOT(ISNUMBER(parametros!$C$2)),"Fora dos ciclos",IF(OR(B4546&lt;parametros!$C$2,(YEAR(B4546)-YEAR(parametros!$C$2))*12+MONTH(B4546)-MONTH(parametros!$C$2)&gt;59),"Fora dos ciclos","C"&amp;INT(((YEAR(B4546)-YEAR(parametros!$C$2))*12+MONTH(B4546)-MONTH(parametros!$C$2))/12)))))</f>
        <v/>
      </c>
      <c r="D4546" s="394"/>
      <c r="E4546" s="78" t="str">
        <f>IF(C4546="","",IFERROR(VLOOKUP(C4546,parametros!$A$11:$E$15,5,0),""))</f>
        <v/>
      </c>
      <c r="F4546" s="79" t="str">
        <f t="shared" ref="F4546:F4609" si="357">IF(OR(D4546="",E4546=""),"",ROUND(D4546*E4546,2))</f>
        <v/>
      </c>
      <c r="G4546" s="395"/>
      <c r="H4546" s="91">
        <f t="shared" ref="H4546:H4609" si="358">IF(G4546="Sim",IF(OR(F4546="",D4546="",L4546=""),"",IF(L4546="Sim",ROUND(F4546-D4546,2),0)),0)</f>
        <v>0</v>
      </c>
      <c r="I4546" s="91" t="str">
        <f t="shared" ref="I4546:I4609" si="359">IF(G4546="Sim",0,IF(OR(F4546="",L4546=""),"",F4546))</f>
        <v/>
      </c>
      <c r="J4546" s="91" t="str">
        <f t="shared" ref="J4546:J4609" si="360">IF(G4546="Sim",0,IF(OR(F4546="",D4546="",L4546=""),"",IF(L4546="Sim",ROUND(F4546-D4546,2),0)))</f>
        <v/>
      </c>
      <c r="K4546" s="92" t="str">
        <f>IF(AND(A4546="",B4546="",D4546="",G4546=""),"",IF(AND(A4546&lt;&gt;"",COUNTIF($A$2:$A$5001,A4546)&gt;1),"NUMERO_PC duplicado",IF(B4546="","DATA_PC vazia",IF(NOT(ISNUMBER(B4546)),"DATA_PC invalida",IF(OR(C4546="",C4546="Fora dos ciclos"),"CICLO_PC nao identificado",IF(OR(D4546="",D4546=0),"VALOR_PC vazio ou zero",IF(AND(G4546&lt;&gt;"Sim",G4546&lt;&gt;"Nao",G4546&lt;&gt;""),"PC_PAGO_A_CONTRATADA invalido",IF(AND(C4546&lt;&gt;"C0",IFERROR(INDEX(parametros!$A$2:$A$6,MATCH(C4546,parametros!$B$2:$B$6,0)),"")="Sim",IFERROR(INDEX(parametros!$H$2:$H$6,MATCH(C4546,parametros!$B$2:$B$6,0)),"")=""),"INICIO_EFEITO ausente: PC "&amp;A4546&amp;" - "&amp;C4546,IF(L4546="","EFEITO_PC nao calculado: PC "&amp;A4546&amp;" - "&amp;C4546,"OK")))))))))</f>
        <v/>
      </c>
      <c r="L4546" s="92" t="str">
        <f>IF(AND(A4546="",B4546="",D4546="",G4546=""),"",IF(OR(B4546="",NOT(ISNUMBER(B4546)),C4546="",C4546="Fora dos ciclos"),"",IF(C4546="C0","Nao",IF(IFERROR(INDEX(parametros!$A$2:$A$6,MATCH(C4546,parametros!$B$2:$B$6,0)),"")&lt;&gt;"Sim","Nao",IF(IFERROR(INDEX(parametros!$H$2:$H$6,MATCH(C4546,parametros!$B$2:$B$6,0)),"")="","",IF(B4546&gt;=IFERROR(INDEX(parametros!$H$2:$H$6,MATCH(C4546,parametros!$B$2:$B$6,0)),""),"Sim","Nao"))))))</f>
        <v/>
      </c>
      <c r="T4546" s="156"/>
      <c r="U4546" s="214" t="str">
        <f t="shared" ref="U4546:U4609" si="361">IF(OR($D4546="",$H4546=""),"",ROUND($D4546+$H4546,2))</f>
        <v/>
      </c>
      <c r="V4546" s="212" t="s">
        <v>50</v>
      </c>
      <c r="W4546" s="100" t="s">
        <v>168</v>
      </c>
      <c r="X4546" s="100" t="s">
        <v>169</v>
      </c>
      <c r="Y4546" s="101" t="s">
        <v>170</v>
      </c>
      <c r="Z4546" s="101" t="s">
        <v>171</v>
      </c>
      <c r="AA4546" s="101" t="s">
        <v>50</v>
      </c>
      <c r="AB4546" s="101" t="s">
        <v>172</v>
      </c>
      <c r="AC4546" s="102" t="s">
        <v>173</v>
      </c>
    </row>
    <row r="4547" spans="1:29" ht="25.5" customHeight="1" x14ac:dyDescent="0.35">
      <c r="A4547" s="392"/>
      <c r="B4547" s="393"/>
      <c r="C4547" s="99" t="str">
        <f>IF(B4547="","",IF(NOT(ISNUMBER(B4547)),"DATA_PC invalida",IF(NOT(ISNUMBER(parametros!$C$2)),"Fora dos ciclos",IF(OR(B4547&lt;parametros!$C$2,(YEAR(B4547)-YEAR(parametros!$C$2))*12+MONTH(B4547)-MONTH(parametros!$C$2)&gt;59),"Fora dos ciclos","C"&amp;INT(((YEAR(B4547)-YEAR(parametros!$C$2))*12+MONTH(B4547)-MONTH(parametros!$C$2))/12)))))</f>
        <v/>
      </c>
      <c r="D4547" s="394"/>
      <c r="E4547" s="78" t="str">
        <f>IF(C4547="","",IFERROR(VLOOKUP(C4547,parametros!$A$11:$E$15,5,0),""))</f>
        <v/>
      </c>
      <c r="F4547" s="79" t="str">
        <f t="shared" si="357"/>
        <v/>
      </c>
      <c r="G4547" s="395"/>
      <c r="H4547" s="91">
        <f t="shared" si="358"/>
        <v>0</v>
      </c>
      <c r="I4547" s="91" t="str">
        <f t="shared" si="359"/>
        <v/>
      </c>
      <c r="J4547" s="91" t="str">
        <f t="shared" si="360"/>
        <v/>
      </c>
      <c r="K4547" s="92" t="str">
        <f>IF(AND(A4547="",B4547="",D4547="",G4547=""),"",IF(AND(A4547&lt;&gt;"",COUNTIF($A$2:$A$5001,A4547)&gt;1),"NUMERO_PC duplicado",IF(B4547="","DATA_PC vazia",IF(NOT(ISNUMBER(B4547)),"DATA_PC invalida",IF(OR(C4547="",C4547="Fora dos ciclos"),"CICLO_PC nao identificado",IF(OR(D4547="",D4547=0),"VALOR_PC vazio ou zero",IF(AND(G4547&lt;&gt;"Sim",G4547&lt;&gt;"Nao",G4547&lt;&gt;""),"PC_PAGO_A_CONTRATADA invalido",IF(AND(C4547&lt;&gt;"C0",IFERROR(INDEX(parametros!$A$2:$A$6,MATCH(C4547,parametros!$B$2:$B$6,0)),"")="Sim",IFERROR(INDEX(parametros!$H$2:$H$6,MATCH(C4547,parametros!$B$2:$B$6,0)),"")=""),"INICIO_EFEITO ausente: PC "&amp;A4547&amp;" - "&amp;C4547,IF(L4547="","EFEITO_PC nao calculado: PC "&amp;A4547&amp;" - "&amp;C4547,"OK")))))))))</f>
        <v/>
      </c>
      <c r="L4547" s="92" t="str">
        <f>IF(AND(A4547="",B4547="",D4547="",G4547=""),"",IF(OR(B4547="",NOT(ISNUMBER(B4547)),C4547="",C4547="Fora dos ciclos"),"",IF(C4547="C0","Nao",IF(IFERROR(INDEX(parametros!$A$2:$A$6,MATCH(C4547,parametros!$B$2:$B$6,0)),"")&lt;&gt;"Sim","Nao",IF(IFERROR(INDEX(parametros!$H$2:$H$6,MATCH(C4547,parametros!$B$2:$B$6,0)),"")="","",IF(B4547&gt;=IFERROR(INDEX(parametros!$H$2:$H$6,MATCH(C4547,parametros!$B$2:$B$6,0)),""),"Sim","Nao"))))))</f>
        <v/>
      </c>
      <c r="T4547" s="156"/>
      <c r="U4547" s="214" t="str">
        <f t="shared" si="361"/>
        <v/>
      </c>
      <c r="V4547" s="212" t="s">
        <v>50</v>
      </c>
      <c r="W4547" s="100" t="s">
        <v>168</v>
      </c>
      <c r="X4547" s="100" t="s">
        <v>169</v>
      </c>
      <c r="Y4547" s="101" t="s">
        <v>170</v>
      </c>
      <c r="Z4547" s="101" t="s">
        <v>171</v>
      </c>
      <c r="AA4547" s="101" t="s">
        <v>50</v>
      </c>
      <c r="AB4547" s="101" t="s">
        <v>172</v>
      </c>
      <c r="AC4547" s="102" t="s">
        <v>173</v>
      </c>
    </row>
    <row r="4548" spans="1:29" ht="25.5" customHeight="1" x14ac:dyDescent="0.35">
      <c r="A4548" s="392"/>
      <c r="B4548" s="393"/>
      <c r="C4548" s="99" t="str">
        <f>IF(B4548="","",IF(NOT(ISNUMBER(B4548)),"DATA_PC invalida",IF(NOT(ISNUMBER(parametros!$C$2)),"Fora dos ciclos",IF(OR(B4548&lt;parametros!$C$2,(YEAR(B4548)-YEAR(parametros!$C$2))*12+MONTH(B4548)-MONTH(parametros!$C$2)&gt;59),"Fora dos ciclos","C"&amp;INT(((YEAR(B4548)-YEAR(parametros!$C$2))*12+MONTH(B4548)-MONTH(parametros!$C$2))/12)))))</f>
        <v/>
      </c>
      <c r="D4548" s="394"/>
      <c r="E4548" s="78" t="str">
        <f>IF(C4548="","",IFERROR(VLOOKUP(C4548,parametros!$A$11:$E$15,5,0),""))</f>
        <v/>
      </c>
      <c r="F4548" s="79" t="str">
        <f t="shared" si="357"/>
        <v/>
      </c>
      <c r="G4548" s="395"/>
      <c r="H4548" s="91">
        <f t="shared" si="358"/>
        <v>0</v>
      </c>
      <c r="I4548" s="91" t="str">
        <f t="shared" si="359"/>
        <v/>
      </c>
      <c r="J4548" s="91" t="str">
        <f t="shared" si="360"/>
        <v/>
      </c>
      <c r="K4548" s="92" t="str">
        <f>IF(AND(A4548="",B4548="",D4548="",G4548=""),"",IF(AND(A4548&lt;&gt;"",COUNTIF($A$2:$A$5001,A4548)&gt;1),"NUMERO_PC duplicado",IF(B4548="","DATA_PC vazia",IF(NOT(ISNUMBER(B4548)),"DATA_PC invalida",IF(OR(C4548="",C4548="Fora dos ciclos"),"CICLO_PC nao identificado",IF(OR(D4548="",D4548=0),"VALOR_PC vazio ou zero",IF(AND(G4548&lt;&gt;"Sim",G4548&lt;&gt;"Nao",G4548&lt;&gt;""),"PC_PAGO_A_CONTRATADA invalido",IF(AND(C4548&lt;&gt;"C0",IFERROR(INDEX(parametros!$A$2:$A$6,MATCH(C4548,parametros!$B$2:$B$6,0)),"")="Sim",IFERROR(INDEX(parametros!$H$2:$H$6,MATCH(C4548,parametros!$B$2:$B$6,0)),"")=""),"INICIO_EFEITO ausente: PC "&amp;A4548&amp;" - "&amp;C4548,IF(L4548="","EFEITO_PC nao calculado: PC "&amp;A4548&amp;" - "&amp;C4548,"OK")))))))))</f>
        <v/>
      </c>
      <c r="L4548" s="92" t="str">
        <f>IF(AND(A4548="",B4548="",D4548="",G4548=""),"",IF(OR(B4548="",NOT(ISNUMBER(B4548)),C4548="",C4548="Fora dos ciclos"),"",IF(C4548="C0","Nao",IF(IFERROR(INDEX(parametros!$A$2:$A$6,MATCH(C4548,parametros!$B$2:$B$6,0)),"")&lt;&gt;"Sim","Nao",IF(IFERROR(INDEX(parametros!$H$2:$H$6,MATCH(C4548,parametros!$B$2:$B$6,0)),"")="","",IF(B4548&gt;=IFERROR(INDEX(parametros!$H$2:$H$6,MATCH(C4548,parametros!$B$2:$B$6,0)),""),"Sim","Nao"))))))</f>
        <v/>
      </c>
      <c r="T4548" s="156"/>
      <c r="U4548" s="214" t="str">
        <f t="shared" si="361"/>
        <v/>
      </c>
      <c r="V4548" s="212" t="s">
        <v>50</v>
      </c>
      <c r="W4548" s="100" t="s">
        <v>168</v>
      </c>
      <c r="X4548" s="100" t="s">
        <v>169</v>
      </c>
      <c r="Y4548" s="101" t="s">
        <v>170</v>
      </c>
      <c r="Z4548" s="101" t="s">
        <v>171</v>
      </c>
      <c r="AA4548" s="101" t="s">
        <v>50</v>
      </c>
      <c r="AB4548" s="101" t="s">
        <v>172</v>
      </c>
      <c r="AC4548" s="102" t="s">
        <v>173</v>
      </c>
    </row>
    <row r="4549" spans="1:29" ht="25.5" customHeight="1" x14ac:dyDescent="0.35">
      <c r="A4549" s="392"/>
      <c r="B4549" s="393"/>
      <c r="C4549" s="99" t="str">
        <f>IF(B4549="","",IF(NOT(ISNUMBER(B4549)),"DATA_PC invalida",IF(NOT(ISNUMBER(parametros!$C$2)),"Fora dos ciclos",IF(OR(B4549&lt;parametros!$C$2,(YEAR(B4549)-YEAR(parametros!$C$2))*12+MONTH(B4549)-MONTH(parametros!$C$2)&gt;59),"Fora dos ciclos","C"&amp;INT(((YEAR(B4549)-YEAR(parametros!$C$2))*12+MONTH(B4549)-MONTH(parametros!$C$2))/12)))))</f>
        <v/>
      </c>
      <c r="D4549" s="394"/>
      <c r="E4549" s="78" t="str">
        <f>IF(C4549="","",IFERROR(VLOOKUP(C4549,parametros!$A$11:$E$15,5,0),""))</f>
        <v/>
      </c>
      <c r="F4549" s="79" t="str">
        <f t="shared" si="357"/>
        <v/>
      </c>
      <c r="G4549" s="395"/>
      <c r="H4549" s="91">
        <f t="shared" si="358"/>
        <v>0</v>
      </c>
      <c r="I4549" s="91" t="str">
        <f t="shared" si="359"/>
        <v/>
      </c>
      <c r="J4549" s="91" t="str">
        <f t="shared" si="360"/>
        <v/>
      </c>
      <c r="K4549" s="92" t="str">
        <f>IF(AND(A4549="",B4549="",D4549="",G4549=""),"",IF(AND(A4549&lt;&gt;"",COUNTIF($A$2:$A$5001,A4549)&gt;1),"NUMERO_PC duplicado",IF(B4549="","DATA_PC vazia",IF(NOT(ISNUMBER(B4549)),"DATA_PC invalida",IF(OR(C4549="",C4549="Fora dos ciclos"),"CICLO_PC nao identificado",IF(OR(D4549="",D4549=0),"VALOR_PC vazio ou zero",IF(AND(G4549&lt;&gt;"Sim",G4549&lt;&gt;"Nao",G4549&lt;&gt;""),"PC_PAGO_A_CONTRATADA invalido",IF(AND(C4549&lt;&gt;"C0",IFERROR(INDEX(parametros!$A$2:$A$6,MATCH(C4549,parametros!$B$2:$B$6,0)),"")="Sim",IFERROR(INDEX(parametros!$H$2:$H$6,MATCH(C4549,parametros!$B$2:$B$6,0)),"")=""),"INICIO_EFEITO ausente: PC "&amp;A4549&amp;" - "&amp;C4549,IF(L4549="","EFEITO_PC nao calculado: PC "&amp;A4549&amp;" - "&amp;C4549,"OK")))))))))</f>
        <v/>
      </c>
      <c r="L4549" s="92" t="str">
        <f>IF(AND(A4549="",B4549="",D4549="",G4549=""),"",IF(OR(B4549="",NOT(ISNUMBER(B4549)),C4549="",C4549="Fora dos ciclos"),"",IF(C4549="C0","Nao",IF(IFERROR(INDEX(parametros!$A$2:$A$6,MATCH(C4549,parametros!$B$2:$B$6,0)),"")&lt;&gt;"Sim","Nao",IF(IFERROR(INDEX(parametros!$H$2:$H$6,MATCH(C4549,parametros!$B$2:$B$6,0)),"")="","",IF(B4549&gt;=IFERROR(INDEX(parametros!$H$2:$H$6,MATCH(C4549,parametros!$B$2:$B$6,0)),""),"Sim","Nao"))))))</f>
        <v/>
      </c>
      <c r="T4549" s="156"/>
      <c r="U4549" s="214" t="str">
        <f t="shared" si="361"/>
        <v/>
      </c>
      <c r="V4549" s="212" t="s">
        <v>50</v>
      </c>
      <c r="W4549" s="100" t="s">
        <v>168</v>
      </c>
      <c r="X4549" s="100" t="s">
        <v>169</v>
      </c>
      <c r="Y4549" s="101" t="s">
        <v>170</v>
      </c>
      <c r="Z4549" s="101" t="s">
        <v>171</v>
      </c>
      <c r="AA4549" s="101" t="s">
        <v>50</v>
      </c>
      <c r="AB4549" s="101" t="s">
        <v>172</v>
      </c>
      <c r="AC4549" s="102" t="s">
        <v>173</v>
      </c>
    </row>
    <row r="4550" spans="1:29" ht="25.5" customHeight="1" x14ac:dyDescent="0.35">
      <c r="A4550" s="392"/>
      <c r="B4550" s="393"/>
      <c r="C4550" s="99" t="str">
        <f>IF(B4550="","",IF(NOT(ISNUMBER(B4550)),"DATA_PC invalida",IF(NOT(ISNUMBER(parametros!$C$2)),"Fora dos ciclos",IF(OR(B4550&lt;parametros!$C$2,(YEAR(B4550)-YEAR(parametros!$C$2))*12+MONTH(B4550)-MONTH(parametros!$C$2)&gt;59),"Fora dos ciclos","C"&amp;INT(((YEAR(B4550)-YEAR(parametros!$C$2))*12+MONTH(B4550)-MONTH(parametros!$C$2))/12)))))</f>
        <v/>
      </c>
      <c r="D4550" s="394"/>
      <c r="E4550" s="78" t="str">
        <f>IF(C4550="","",IFERROR(VLOOKUP(C4550,parametros!$A$11:$E$15,5,0),""))</f>
        <v/>
      </c>
      <c r="F4550" s="79" t="str">
        <f t="shared" si="357"/>
        <v/>
      </c>
      <c r="G4550" s="395"/>
      <c r="H4550" s="91">
        <f t="shared" si="358"/>
        <v>0</v>
      </c>
      <c r="I4550" s="91" t="str">
        <f t="shared" si="359"/>
        <v/>
      </c>
      <c r="J4550" s="91" t="str">
        <f t="shared" si="360"/>
        <v/>
      </c>
      <c r="K4550" s="92" t="str">
        <f>IF(AND(A4550="",B4550="",D4550="",G4550=""),"",IF(AND(A4550&lt;&gt;"",COUNTIF($A$2:$A$5001,A4550)&gt;1),"NUMERO_PC duplicado",IF(B4550="","DATA_PC vazia",IF(NOT(ISNUMBER(B4550)),"DATA_PC invalida",IF(OR(C4550="",C4550="Fora dos ciclos"),"CICLO_PC nao identificado",IF(OR(D4550="",D4550=0),"VALOR_PC vazio ou zero",IF(AND(G4550&lt;&gt;"Sim",G4550&lt;&gt;"Nao",G4550&lt;&gt;""),"PC_PAGO_A_CONTRATADA invalido",IF(AND(C4550&lt;&gt;"C0",IFERROR(INDEX(parametros!$A$2:$A$6,MATCH(C4550,parametros!$B$2:$B$6,0)),"")="Sim",IFERROR(INDEX(parametros!$H$2:$H$6,MATCH(C4550,parametros!$B$2:$B$6,0)),"")=""),"INICIO_EFEITO ausente: PC "&amp;A4550&amp;" - "&amp;C4550,IF(L4550="","EFEITO_PC nao calculado: PC "&amp;A4550&amp;" - "&amp;C4550,"OK")))))))))</f>
        <v/>
      </c>
      <c r="L4550" s="92" t="str">
        <f>IF(AND(A4550="",B4550="",D4550="",G4550=""),"",IF(OR(B4550="",NOT(ISNUMBER(B4550)),C4550="",C4550="Fora dos ciclos"),"",IF(C4550="C0","Nao",IF(IFERROR(INDEX(parametros!$A$2:$A$6,MATCH(C4550,parametros!$B$2:$B$6,0)),"")&lt;&gt;"Sim","Nao",IF(IFERROR(INDEX(parametros!$H$2:$H$6,MATCH(C4550,parametros!$B$2:$B$6,0)),"")="","",IF(B4550&gt;=IFERROR(INDEX(parametros!$H$2:$H$6,MATCH(C4550,parametros!$B$2:$B$6,0)),""),"Sim","Nao"))))))</f>
        <v/>
      </c>
      <c r="T4550" s="156"/>
      <c r="U4550" s="214" t="str">
        <f t="shared" si="361"/>
        <v/>
      </c>
      <c r="V4550" s="212" t="s">
        <v>50</v>
      </c>
      <c r="W4550" s="100" t="s">
        <v>168</v>
      </c>
      <c r="X4550" s="100" t="s">
        <v>169</v>
      </c>
      <c r="Y4550" s="101" t="s">
        <v>170</v>
      </c>
      <c r="Z4550" s="101" t="s">
        <v>171</v>
      </c>
      <c r="AA4550" s="101" t="s">
        <v>50</v>
      </c>
      <c r="AB4550" s="101" t="s">
        <v>172</v>
      </c>
      <c r="AC4550" s="102" t="s">
        <v>173</v>
      </c>
    </row>
    <row r="4551" spans="1:29" ht="25.5" customHeight="1" x14ac:dyDescent="0.35">
      <c r="A4551" s="392"/>
      <c r="B4551" s="393"/>
      <c r="C4551" s="99" t="str">
        <f>IF(B4551="","",IF(NOT(ISNUMBER(B4551)),"DATA_PC invalida",IF(NOT(ISNUMBER(parametros!$C$2)),"Fora dos ciclos",IF(OR(B4551&lt;parametros!$C$2,(YEAR(B4551)-YEAR(parametros!$C$2))*12+MONTH(B4551)-MONTH(parametros!$C$2)&gt;59),"Fora dos ciclos","C"&amp;INT(((YEAR(B4551)-YEAR(parametros!$C$2))*12+MONTH(B4551)-MONTH(parametros!$C$2))/12)))))</f>
        <v/>
      </c>
      <c r="D4551" s="394"/>
      <c r="E4551" s="78" t="str">
        <f>IF(C4551="","",IFERROR(VLOOKUP(C4551,parametros!$A$11:$E$15,5,0),""))</f>
        <v/>
      </c>
      <c r="F4551" s="79" t="str">
        <f t="shared" si="357"/>
        <v/>
      </c>
      <c r="G4551" s="395"/>
      <c r="H4551" s="91">
        <f t="shared" si="358"/>
        <v>0</v>
      </c>
      <c r="I4551" s="91" t="str">
        <f t="shared" si="359"/>
        <v/>
      </c>
      <c r="J4551" s="91" t="str">
        <f t="shared" si="360"/>
        <v/>
      </c>
      <c r="K4551" s="92" t="str">
        <f>IF(AND(A4551="",B4551="",D4551="",G4551=""),"",IF(AND(A4551&lt;&gt;"",COUNTIF($A$2:$A$5001,A4551)&gt;1),"NUMERO_PC duplicado",IF(B4551="","DATA_PC vazia",IF(NOT(ISNUMBER(B4551)),"DATA_PC invalida",IF(OR(C4551="",C4551="Fora dos ciclos"),"CICLO_PC nao identificado",IF(OR(D4551="",D4551=0),"VALOR_PC vazio ou zero",IF(AND(G4551&lt;&gt;"Sim",G4551&lt;&gt;"Nao",G4551&lt;&gt;""),"PC_PAGO_A_CONTRATADA invalido",IF(AND(C4551&lt;&gt;"C0",IFERROR(INDEX(parametros!$A$2:$A$6,MATCH(C4551,parametros!$B$2:$B$6,0)),"")="Sim",IFERROR(INDEX(parametros!$H$2:$H$6,MATCH(C4551,parametros!$B$2:$B$6,0)),"")=""),"INICIO_EFEITO ausente: PC "&amp;A4551&amp;" - "&amp;C4551,IF(L4551="","EFEITO_PC nao calculado: PC "&amp;A4551&amp;" - "&amp;C4551,"OK")))))))))</f>
        <v/>
      </c>
      <c r="L4551" s="92" t="str">
        <f>IF(AND(A4551="",B4551="",D4551="",G4551=""),"",IF(OR(B4551="",NOT(ISNUMBER(B4551)),C4551="",C4551="Fora dos ciclos"),"",IF(C4551="C0","Nao",IF(IFERROR(INDEX(parametros!$A$2:$A$6,MATCH(C4551,parametros!$B$2:$B$6,0)),"")&lt;&gt;"Sim","Nao",IF(IFERROR(INDEX(parametros!$H$2:$H$6,MATCH(C4551,parametros!$B$2:$B$6,0)),"")="","",IF(B4551&gt;=IFERROR(INDEX(parametros!$H$2:$H$6,MATCH(C4551,parametros!$B$2:$B$6,0)),""),"Sim","Nao"))))))</f>
        <v/>
      </c>
      <c r="T4551" s="156"/>
      <c r="U4551" s="214" t="str">
        <f t="shared" si="361"/>
        <v/>
      </c>
      <c r="V4551" s="212" t="s">
        <v>50</v>
      </c>
      <c r="W4551" s="100" t="s">
        <v>168</v>
      </c>
      <c r="X4551" s="100" t="s">
        <v>169</v>
      </c>
      <c r="Y4551" s="101" t="s">
        <v>170</v>
      </c>
      <c r="Z4551" s="101" t="s">
        <v>171</v>
      </c>
      <c r="AA4551" s="101" t="s">
        <v>50</v>
      </c>
      <c r="AB4551" s="101" t="s">
        <v>172</v>
      </c>
      <c r="AC4551" s="102" t="s">
        <v>173</v>
      </c>
    </row>
    <row r="4552" spans="1:29" ht="25.5" customHeight="1" x14ac:dyDescent="0.35">
      <c r="A4552" s="392"/>
      <c r="B4552" s="393"/>
      <c r="C4552" s="99" t="str">
        <f>IF(B4552="","",IF(NOT(ISNUMBER(B4552)),"DATA_PC invalida",IF(NOT(ISNUMBER(parametros!$C$2)),"Fora dos ciclos",IF(OR(B4552&lt;parametros!$C$2,(YEAR(B4552)-YEAR(parametros!$C$2))*12+MONTH(B4552)-MONTH(parametros!$C$2)&gt;59),"Fora dos ciclos","C"&amp;INT(((YEAR(B4552)-YEAR(parametros!$C$2))*12+MONTH(B4552)-MONTH(parametros!$C$2))/12)))))</f>
        <v/>
      </c>
      <c r="D4552" s="394"/>
      <c r="E4552" s="78" t="str">
        <f>IF(C4552="","",IFERROR(VLOOKUP(C4552,parametros!$A$11:$E$15,5,0),""))</f>
        <v/>
      </c>
      <c r="F4552" s="79" t="str">
        <f t="shared" si="357"/>
        <v/>
      </c>
      <c r="G4552" s="395"/>
      <c r="H4552" s="91">
        <f t="shared" si="358"/>
        <v>0</v>
      </c>
      <c r="I4552" s="91" t="str">
        <f t="shared" si="359"/>
        <v/>
      </c>
      <c r="J4552" s="91" t="str">
        <f t="shared" si="360"/>
        <v/>
      </c>
      <c r="K4552" s="92" t="str">
        <f>IF(AND(A4552="",B4552="",D4552="",G4552=""),"",IF(AND(A4552&lt;&gt;"",COUNTIF($A$2:$A$5001,A4552)&gt;1),"NUMERO_PC duplicado",IF(B4552="","DATA_PC vazia",IF(NOT(ISNUMBER(B4552)),"DATA_PC invalida",IF(OR(C4552="",C4552="Fora dos ciclos"),"CICLO_PC nao identificado",IF(OR(D4552="",D4552=0),"VALOR_PC vazio ou zero",IF(AND(G4552&lt;&gt;"Sim",G4552&lt;&gt;"Nao",G4552&lt;&gt;""),"PC_PAGO_A_CONTRATADA invalido",IF(AND(C4552&lt;&gt;"C0",IFERROR(INDEX(parametros!$A$2:$A$6,MATCH(C4552,parametros!$B$2:$B$6,0)),"")="Sim",IFERROR(INDEX(parametros!$H$2:$H$6,MATCH(C4552,parametros!$B$2:$B$6,0)),"")=""),"INICIO_EFEITO ausente: PC "&amp;A4552&amp;" - "&amp;C4552,IF(L4552="","EFEITO_PC nao calculado: PC "&amp;A4552&amp;" - "&amp;C4552,"OK")))))))))</f>
        <v/>
      </c>
      <c r="L4552" s="92" t="str">
        <f>IF(AND(A4552="",B4552="",D4552="",G4552=""),"",IF(OR(B4552="",NOT(ISNUMBER(B4552)),C4552="",C4552="Fora dos ciclos"),"",IF(C4552="C0","Nao",IF(IFERROR(INDEX(parametros!$A$2:$A$6,MATCH(C4552,parametros!$B$2:$B$6,0)),"")&lt;&gt;"Sim","Nao",IF(IFERROR(INDEX(parametros!$H$2:$H$6,MATCH(C4552,parametros!$B$2:$B$6,0)),"")="","",IF(B4552&gt;=IFERROR(INDEX(parametros!$H$2:$H$6,MATCH(C4552,parametros!$B$2:$B$6,0)),""),"Sim","Nao"))))))</f>
        <v/>
      </c>
      <c r="T4552" s="156"/>
      <c r="U4552" s="214" t="str">
        <f t="shared" si="361"/>
        <v/>
      </c>
      <c r="V4552" s="212" t="s">
        <v>50</v>
      </c>
      <c r="W4552" s="100" t="s">
        <v>168</v>
      </c>
      <c r="X4552" s="100" t="s">
        <v>169</v>
      </c>
      <c r="Y4552" s="101" t="s">
        <v>170</v>
      </c>
      <c r="Z4552" s="101" t="s">
        <v>171</v>
      </c>
      <c r="AA4552" s="101" t="s">
        <v>50</v>
      </c>
      <c r="AB4552" s="101" t="s">
        <v>172</v>
      </c>
      <c r="AC4552" s="102" t="s">
        <v>173</v>
      </c>
    </row>
    <row r="4553" spans="1:29" ht="25.5" customHeight="1" x14ac:dyDescent="0.35">
      <c r="A4553" s="392"/>
      <c r="B4553" s="393"/>
      <c r="C4553" s="99" t="str">
        <f>IF(B4553="","",IF(NOT(ISNUMBER(B4553)),"DATA_PC invalida",IF(NOT(ISNUMBER(parametros!$C$2)),"Fora dos ciclos",IF(OR(B4553&lt;parametros!$C$2,(YEAR(B4553)-YEAR(parametros!$C$2))*12+MONTH(B4553)-MONTH(parametros!$C$2)&gt;59),"Fora dos ciclos","C"&amp;INT(((YEAR(B4553)-YEAR(parametros!$C$2))*12+MONTH(B4553)-MONTH(parametros!$C$2))/12)))))</f>
        <v/>
      </c>
      <c r="D4553" s="394"/>
      <c r="E4553" s="78" t="str">
        <f>IF(C4553="","",IFERROR(VLOOKUP(C4553,parametros!$A$11:$E$15,5,0),""))</f>
        <v/>
      </c>
      <c r="F4553" s="79" t="str">
        <f t="shared" si="357"/>
        <v/>
      </c>
      <c r="G4553" s="395"/>
      <c r="H4553" s="91">
        <f t="shared" si="358"/>
        <v>0</v>
      </c>
      <c r="I4553" s="91" t="str">
        <f t="shared" si="359"/>
        <v/>
      </c>
      <c r="J4553" s="91" t="str">
        <f t="shared" si="360"/>
        <v/>
      </c>
      <c r="K4553" s="92" t="str">
        <f>IF(AND(A4553="",B4553="",D4553="",G4553=""),"",IF(AND(A4553&lt;&gt;"",COUNTIF($A$2:$A$5001,A4553)&gt;1),"NUMERO_PC duplicado",IF(B4553="","DATA_PC vazia",IF(NOT(ISNUMBER(B4553)),"DATA_PC invalida",IF(OR(C4553="",C4553="Fora dos ciclos"),"CICLO_PC nao identificado",IF(OR(D4553="",D4553=0),"VALOR_PC vazio ou zero",IF(AND(G4553&lt;&gt;"Sim",G4553&lt;&gt;"Nao",G4553&lt;&gt;""),"PC_PAGO_A_CONTRATADA invalido",IF(AND(C4553&lt;&gt;"C0",IFERROR(INDEX(parametros!$A$2:$A$6,MATCH(C4553,parametros!$B$2:$B$6,0)),"")="Sim",IFERROR(INDEX(parametros!$H$2:$H$6,MATCH(C4553,parametros!$B$2:$B$6,0)),"")=""),"INICIO_EFEITO ausente: PC "&amp;A4553&amp;" - "&amp;C4553,IF(L4553="","EFEITO_PC nao calculado: PC "&amp;A4553&amp;" - "&amp;C4553,"OK")))))))))</f>
        <v/>
      </c>
      <c r="L4553" s="92" t="str">
        <f>IF(AND(A4553="",B4553="",D4553="",G4553=""),"",IF(OR(B4553="",NOT(ISNUMBER(B4553)),C4553="",C4553="Fora dos ciclos"),"",IF(C4553="C0","Nao",IF(IFERROR(INDEX(parametros!$A$2:$A$6,MATCH(C4553,parametros!$B$2:$B$6,0)),"")&lt;&gt;"Sim","Nao",IF(IFERROR(INDEX(parametros!$H$2:$H$6,MATCH(C4553,parametros!$B$2:$B$6,0)),"")="","",IF(B4553&gt;=IFERROR(INDEX(parametros!$H$2:$H$6,MATCH(C4553,parametros!$B$2:$B$6,0)),""),"Sim","Nao"))))))</f>
        <v/>
      </c>
      <c r="T4553" s="156"/>
      <c r="U4553" s="214" t="str">
        <f t="shared" si="361"/>
        <v/>
      </c>
      <c r="V4553" s="212" t="s">
        <v>50</v>
      </c>
      <c r="W4553" s="100" t="s">
        <v>168</v>
      </c>
      <c r="X4553" s="100" t="s">
        <v>169</v>
      </c>
      <c r="Y4553" s="101" t="s">
        <v>170</v>
      </c>
      <c r="Z4553" s="101" t="s">
        <v>171</v>
      </c>
      <c r="AA4553" s="101" t="s">
        <v>50</v>
      </c>
      <c r="AB4553" s="101" t="s">
        <v>172</v>
      </c>
      <c r="AC4553" s="102" t="s">
        <v>173</v>
      </c>
    </row>
    <row r="4554" spans="1:29" ht="25.5" customHeight="1" x14ac:dyDescent="0.35">
      <c r="A4554" s="392"/>
      <c r="B4554" s="393"/>
      <c r="C4554" s="99" t="str">
        <f>IF(B4554="","",IF(NOT(ISNUMBER(B4554)),"DATA_PC invalida",IF(NOT(ISNUMBER(parametros!$C$2)),"Fora dos ciclos",IF(OR(B4554&lt;parametros!$C$2,(YEAR(B4554)-YEAR(parametros!$C$2))*12+MONTH(B4554)-MONTH(parametros!$C$2)&gt;59),"Fora dos ciclos","C"&amp;INT(((YEAR(B4554)-YEAR(parametros!$C$2))*12+MONTH(B4554)-MONTH(parametros!$C$2))/12)))))</f>
        <v/>
      </c>
      <c r="D4554" s="394"/>
      <c r="E4554" s="78" t="str">
        <f>IF(C4554="","",IFERROR(VLOOKUP(C4554,parametros!$A$11:$E$15,5,0),""))</f>
        <v/>
      </c>
      <c r="F4554" s="79" t="str">
        <f t="shared" si="357"/>
        <v/>
      </c>
      <c r="G4554" s="395"/>
      <c r="H4554" s="91">
        <f t="shared" si="358"/>
        <v>0</v>
      </c>
      <c r="I4554" s="91" t="str">
        <f t="shared" si="359"/>
        <v/>
      </c>
      <c r="J4554" s="91" t="str">
        <f t="shared" si="360"/>
        <v/>
      </c>
      <c r="K4554" s="92" t="str">
        <f>IF(AND(A4554="",B4554="",D4554="",G4554=""),"",IF(AND(A4554&lt;&gt;"",COUNTIF($A$2:$A$5001,A4554)&gt;1),"NUMERO_PC duplicado",IF(B4554="","DATA_PC vazia",IF(NOT(ISNUMBER(B4554)),"DATA_PC invalida",IF(OR(C4554="",C4554="Fora dos ciclos"),"CICLO_PC nao identificado",IF(OR(D4554="",D4554=0),"VALOR_PC vazio ou zero",IF(AND(G4554&lt;&gt;"Sim",G4554&lt;&gt;"Nao",G4554&lt;&gt;""),"PC_PAGO_A_CONTRATADA invalido",IF(AND(C4554&lt;&gt;"C0",IFERROR(INDEX(parametros!$A$2:$A$6,MATCH(C4554,parametros!$B$2:$B$6,0)),"")="Sim",IFERROR(INDEX(parametros!$H$2:$H$6,MATCH(C4554,parametros!$B$2:$B$6,0)),"")=""),"INICIO_EFEITO ausente: PC "&amp;A4554&amp;" - "&amp;C4554,IF(L4554="","EFEITO_PC nao calculado: PC "&amp;A4554&amp;" - "&amp;C4554,"OK")))))))))</f>
        <v/>
      </c>
      <c r="L4554" s="92" t="str">
        <f>IF(AND(A4554="",B4554="",D4554="",G4554=""),"",IF(OR(B4554="",NOT(ISNUMBER(B4554)),C4554="",C4554="Fora dos ciclos"),"",IF(C4554="C0","Nao",IF(IFERROR(INDEX(parametros!$A$2:$A$6,MATCH(C4554,parametros!$B$2:$B$6,0)),"")&lt;&gt;"Sim","Nao",IF(IFERROR(INDEX(parametros!$H$2:$H$6,MATCH(C4554,parametros!$B$2:$B$6,0)),"")="","",IF(B4554&gt;=IFERROR(INDEX(parametros!$H$2:$H$6,MATCH(C4554,parametros!$B$2:$B$6,0)),""),"Sim","Nao"))))))</f>
        <v/>
      </c>
      <c r="T4554" s="156"/>
      <c r="U4554" s="214" t="str">
        <f t="shared" si="361"/>
        <v/>
      </c>
      <c r="V4554" s="212" t="s">
        <v>50</v>
      </c>
      <c r="W4554" s="100" t="s">
        <v>168</v>
      </c>
      <c r="X4554" s="100" t="s">
        <v>169</v>
      </c>
      <c r="Y4554" s="101" t="s">
        <v>170</v>
      </c>
      <c r="Z4554" s="101" t="s">
        <v>171</v>
      </c>
      <c r="AA4554" s="101" t="s">
        <v>50</v>
      </c>
      <c r="AB4554" s="101" t="s">
        <v>172</v>
      </c>
      <c r="AC4554" s="102" t="s">
        <v>173</v>
      </c>
    </row>
    <row r="4555" spans="1:29" ht="25.5" customHeight="1" x14ac:dyDescent="0.35">
      <c r="A4555" s="392"/>
      <c r="B4555" s="393"/>
      <c r="C4555" s="99" t="str">
        <f>IF(B4555="","",IF(NOT(ISNUMBER(B4555)),"DATA_PC invalida",IF(NOT(ISNUMBER(parametros!$C$2)),"Fora dos ciclos",IF(OR(B4555&lt;parametros!$C$2,(YEAR(B4555)-YEAR(parametros!$C$2))*12+MONTH(B4555)-MONTH(parametros!$C$2)&gt;59),"Fora dos ciclos","C"&amp;INT(((YEAR(B4555)-YEAR(parametros!$C$2))*12+MONTH(B4555)-MONTH(parametros!$C$2))/12)))))</f>
        <v/>
      </c>
      <c r="D4555" s="394"/>
      <c r="E4555" s="78" t="str">
        <f>IF(C4555="","",IFERROR(VLOOKUP(C4555,parametros!$A$11:$E$15,5,0),""))</f>
        <v/>
      </c>
      <c r="F4555" s="79" t="str">
        <f t="shared" si="357"/>
        <v/>
      </c>
      <c r="G4555" s="395"/>
      <c r="H4555" s="91">
        <f t="shared" si="358"/>
        <v>0</v>
      </c>
      <c r="I4555" s="91" t="str">
        <f t="shared" si="359"/>
        <v/>
      </c>
      <c r="J4555" s="91" t="str">
        <f t="shared" si="360"/>
        <v/>
      </c>
      <c r="K4555" s="92" t="str">
        <f>IF(AND(A4555="",B4555="",D4555="",G4555=""),"",IF(AND(A4555&lt;&gt;"",COUNTIF($A$2:$A$5001,A4555)&gt;1),"NUMERO_PC duplicado",IF(B4555="","DATA_PC vazia",IF(NOT(ISNUMBER(B4555)),"DATA_PC invalida",IF(OR(C4555="",C4555="Fora dos ciclos"),"CICLO_PC nao identificado",IF(OR(D4555="",D4555=0),"VALOR_PC vazio ou zero",IF(AND(G4555&lt;&gt;"Sim",G4555&lt;&gt;"Nao",G4555&lt;&gt;""),"PC_PAGO_A_CONTRATADA invalido",IF(AND(C4555&lt;&gt;"C0",IFERROR(INDEX(parametros!$A$2:$A$6,MATCH(C4555,parametros!$B$2:$B$6,0)),"")="Sim",IFERROR(INDEX(parametros!$H$2:$H$6,MATCH(C4555,parametros!$B$2:$B$6,0)),"")=""),"INICIO_EFEITO ausente: PC "&amp;A4555&amp;" - "&amp;C4555,IF(L4555="","EFEITO_PC nao calculado: PC "&amp;A4555&amp;" - "&amp;C4555,"OK")))))))))</f>
        <v/>
      </c>
      <c r="L4555" s="92" t="str">
        <f>IF(AND(A4555="",B4555="",D4555="",G4555=""),"",IF(OR(B4555="",NOT(ISNUMBER(B4555)),C4555="",C4555="Fora dos ciclos"),"",IF(C4555="C0","Nao",IF(IFERROR(INDEX(parametros!$A$2:$A$6,MATCH(C4555,parametros!$B$2:$B$6,0)),"")&lt;&gt;"Sim","Nao",IF(IFERROR(INDEX(parametros!$H$2:$H$6,MATCH(C4555,parametros!$B$2:$B$6,0)),"")="","",IF(B4555&gt;=IFERROR(INDEX(parametros!$H$2:$H$6,MATCH(C4555,parametros!$B$2:$B$6,0)),""),"Sim","Nao"))))))</f>
        <v/>
      </c>
      <c r="T4555" s="156"/>
      <c r="U4555" s="214" t="str">
        <f t="shared" si="361"/>
        <v/>
      </c>
      <c r="V4555" s="212" t="s">
        <v>50</v>
      </c>
      <c r="W4555" s="100" t="s">
        <v>168</v>
      </c>
      <c r="X4555" s="100" t="s">
        <v>169</v>
      </c>
      <c r="Y4555" s="101" t="s">
        <v>170</v>
      </c>
      <c r="Z4555" s="101" t="s">
        <v>171</v>
      </c>
      <c r="AA4555" s="101" t="s">
        <v>50</v>
      </c>
      <c r="AB4555" s="101" t="s">
        <v>172</v>
      </c>
      <c r="AC4555" s="102" t="s">
        <v>173</v>
      </c>
    </row>
    <row r="4556" spans="1:29" ht="25.5" customHeight="1" x14ac:dyDescent="0.35">
      <c r="A4556" s="392"/>
      <c r="B4556" s="393"/>
      <c r="C4556" s="99" t="str">
        <f>IF(B4556="","",IF(NOT(ISNUMBER(B4556)),"DATA_PC invalida",IF(NOT(ISNUMBER(parametros!$C$2)),"Fora dos ciclos",IF(OR(B4556&lt;parametros!$C$2,(YEAR(B4556)-YEAR(parametros!$C$2))*12+MONTH(B4556)-MONTH(parametros!$C$2)&gt;59),"Fora dos ciclos","C"&amp;INT(((YEAR(B4556)-YEAR(parametros!$C$2))*12+MONTH(B4556)-MONTH(parametros!$C$2))/12)))))</f>
        <v/>
      </c>
      <c r="D4556" s="394"/>
      <c r="E4556" s="78" t="str">
        <f>IF(C4556="","",IFERROR(VLOOKUP(C4556,parametros!$A$11:$E$15,5,0),""))</f>
        <v/>
      </c>
      <c r="F4556" s="79" t="str">
        <f t="shared" si="357"/>
        <v/>
      </c>
      <c r="G4556" s="395"/>
      <c r="H4556" s="91">
        <f t="shared" si="358"/>
        <v>0</v>
      </c>
      <c r="I4556" s="91" t="str">
        <f t="shared" si="359"/>
        <v/>
      </c>
      <c r="J4556" s="91" t="str">
        <f t="shared" si="360"/>
        <v/>
      </c>
      <c r="K4556" s="92" t="str">
        <f>IF(AND(A4556="",B4556="",D4556="",G4556=""),"",IF(AND(A4556&lt;&gt;"",COUNTIF($A$2:$A$5001,A4556)&gt;1),"NUMERO_PC duplicado",IF(B4556="","DATA_PC vazia",IF(NOT(ISNUMBER(B4556)),"DATA_PC invalida",IF(OR(C4556="",C4556="Fora dos ciclos"),"CICLO_PC nao identificado",IF(OR(D4556="",D4556=0),"VALOR_PC vazio ou zero",IF(AND(G4556&lt;&gt;"Sim",G4556&lt;&gt;"Nao",G4556&lt;&gt;""),"PC_PAGO_A_CONTRATADA invalido",IF(AND(C4556&lt;&gt;"C0",IFERROR(INDEX(parametros!$A$2:$A$6,MATCH(C4556,parametros!$B$2:$B$6,0)),"")="Sim",IFERROR(INDEX(parametros!$H$2:$H$6,MATCH(C4556,parametros!$B$2:$B$6,0)),"")=""),"INICIO_EFEITO ausente: PC "&amp;A4556&amp;" - "&amp;C4556,IF(L4556="","EFEITO_PC nao calculado: PC "&amp;A4556&amp;" - "&amp;C4556,"OK")))))))))</f>
        <v/>
      </c>
      <c r="L4556" s="92" t="str">
        <f>IF(AND(A4556="",B4556="",D4556="",G4556=""),"",IF(OR(B4556="",NOT(ISNUMBER(B4556)),C4556="",C4556="Fora dos ciclos"),"",IF(C4556="C0","Nao",IF(IFERROR(INDEX(parametros!$A$2:$A$6,MATCH(C4556,parametros!$B$2:$B$6,0)),"")&lt;&gt;"Sim","Nao",IF(IFERROR(INDEX(parametros!$H$2:$H$6,MATCH(C4556,parametros!$B$2:$B$6,0)),"")="","",IF(B4556&gt;=IFERROR(INDEX(parametros!$H$2:$H$6,MATCH(C4556,parametros!$B$2:$B$6,0)),""),"Sim","Nao"))))))</f>
        <v/>
      </c>
      <c r="T4556" s="156"/>
      <c r="U4556" s="214" t="str">
        <f t="shared" si="361"/>
        <v/>
      </c>
      <c r="V4556" s="212" t="s">
        <v>50</v>
      </c>
      <c r="W4556" s="100" t="s">
        <v>168</v>
      </c>
      <c r="X4556" s="100" t="s">
        <v>169</v>
      </c>
      <c r="Y4556" s="101" t="s">
        <v>170</v>
      </c>
      <c r="Z4556" s="101" t="s">
        <v>171</v>
      </c>
      <c r="AA4556" s="101" t="s">
        <v>50</v>
      </c>
      <c r="AB4556" s="101" t="s">
        <v>172</v>
      </c>
      <c r="AC4556" s="102" t="s">
        <v>173</v>
      </c>
    </row>
    <row r="4557" spans="1:29" ht="25.5" customHeight="1" x14ac:dyDescent="0.35">
      <c r="A4557" s="392"/>
      <c r="B4557" s="393"/>
      <c r="C4557" s="99" t="str">
        <f>IF(B4557="","",IF(NOT(ISNUMBER(B4557)),"DATA_PC invalida",IF(NOT(ISNUMBER(parametros!$C$2)),"Fora dos ciclos",IF(OR(B4557&lt;parametros!$C$2,(YEAR(B4557)-YEAR(parametros!$C$2))*12+MONTH(B4557)-MONTH(parametros!$C$2)&gt;59),"Fora dos ciclos","C"&amp;INT(((YEAR(B4557)-YEAR(parametros!$C$2))*12+MONTH(B4557)-MONTH(parametros!$C$2))/12)))))</f>
        <v/>
      </c>
      <c r="D4557" s="394"/>
      <c r="E4557" s="78" t="str">
        <f>IF(C4557="","",IFERROR(VLOOKUP(C4557,parametros!$A$11:$E$15,5,0),""))</f>
        <v/>
      </c>
      <c r="F4557" s="79" t="str">
        <f t="shared" si="357"/>
        <v/>
      </c>
      <c r="G4557" s="395"/>
      <c r="H4557" s="91">
        <f t="shared" si="358"/>
        <v>0</v>
      </c>
      <c r="I4557" s="91" t="str">
        <f t="shared" si="359"/>
        <v/>
      </c>
      <c r="J4557" s="91" t="str">
        <f t="shared" si="360"/>
        <v/>
      </c>
      <c r="K4557" s="92" t="str">
        <f>IF(AND(A4557="",B4557="",D4557="",G4557=""),"",IF(AND(A4557&lt;&gt;"",COUNTIF($A$2:$A$5001,A4557)&gt;1),"NUMERO_PC duplicado",IF(B4557="","DATA_PC vazia",IF(NOT(ISNUMBER(B4557)),"DATA_PC invalida",IF(OR(C4557="",C4557="Fora dos ciclos"),"CICLO_PC nao identificado",IF(OR(D4557="",D4557=0),"VALOR_PC vazio ou zero",IF(AND(G4557&lt;&gt;"Sim",G4557&lt;&gt;"Nao",G4557&lt;&gt;""),"PC_PAGO_A_CONTRATADA invalido",IF(AND(C4557&lt;&gt;"C0",IFERROR(INDEX(parametros!$A$2:$A$6,MATCH(C4557,parametros!$B$2:$B$6,0)),"")="Sim",IFERROR(INDEX(parametros!$H$2:$H$6,MATCH(C4557,parametros!$B$2:$B$6,0)),"")=""),"INICIO_EFEITO ausente: PC "&amp;A4557&amp;" - "&amp;C4557,IF(L4557="","EFEITO_PC nao calculado: PC "&amp;A4557&amp;" - "&amp;C4557,"OK")))))))))</f>
        <v/>
      </c>
      <c r="L4557" s="92" t="str">
        <f>IF(AND(A4557="",B4557="",D4557="",G4557=""),"",IF(OR(B4557="",NOT(ISNUMBER(B4557)),C4557="",C4557="Fora dos ciclos"),"",IF(C4557="C0","Nao",IF(IFERROR(INDEX(parametros!$A$2:$A$6,MATCH(C4557,parametros!$B$2:$B$6,0)),"")&lt;&gt;"Sim","Nao",IF(IFERROR(INDEX(parametros!$H$2:$H$6,MATCH(C4557,parametros!$B$2:$B$6,0)),"")="","",IF(B4557&gt;=IFERROR(INDEX(parametros!$H$2:$H$6,MATCH(C4557,parametros!$B$2:$B$6,0)),""),"Sim","Nao"))))))</f>
        <v/>
      </c>
      <c r="T4557" s="156"/>
      <c r="U4557" s="214" t="str">
        <f t="shared" si="361"/>
        <v/>
      </c>
      <c r="V4557" s="212" t="s">
        <v>50</v>
      </c>
      <c r="W4557" s="100" t="s">
        <v>168</v>
      </c>
      <c r="X4557" s="100" t="s">
        <v>169</v>
      </c>
      <c r="Y4557" s="101" t="s">
        <v>170</v>
      </c>
      <c r="Z4557" s="101" t="s">
        <v>171</v>
      </c>
      <c r="AA4557" s="101" t="s">
        <v>50</v>
      </c>
      <c r="AB4557" s="101" t="s">
        <v>172</v>
      </c>
      <c r="AC4557" s="102" t="s">
        <v>173</v>
      </c>
    </row>
    <row r="4558" spans="1:29" ht="25.5" customHeight="1" x14ac:dyDescent="0.35">
      <c r="A4558" s="392"/>
      <c r="B4558" s="393"/>
      <c r="C4558" s="99" t="str">
        <f>IF(B4558="","",IF(NOT(ISNUMBER(B4558)),"DATA_PC invalida",IF(NOT(ISNUMBER(parametros!$C$2)),"Fora dos ciclos",IF(OR(B4558&lt;parametros!$C$2,(YEAR(B4558)-YEAR(parametros!$C$2))*12+MONTH(B4558)-MONTH(parametros!$C$2)&gt;59),"Fora dos ciclos","C"&amp;INT(((YEAR(B4558)-YEAR(parametros!$C$2))*12+MONTH(B4558)-MONTH(parametros!$C$2))/12)))))</f>
        <v/>
      </c>
      <c r="D4558" s="394"/>
      <c r="E4558" s="78" t="str">
        <f>IF(C4558="","",IFERROR(VLOOKUP(C4558,parametros!$A$11:$E$15,5,0),""))</f>
        <v/>
      </c>
      <c r="F4558" s="79" t="str">
        <f t="shared" si="357"/>
        <v/>
      </c>
      <c r="G4558" s="395"/>
      <c r="H4558" s="91">
        <f t="shared" si="358"/>
        <v>0</v>
      </c>
      <c r="I4558" s="91" t="str">
        <f t="shared" si="359"/>
        <v/>
      </c>
      <c r="J4558" s="91" t="str">
        <f t="shared" si="360"/>
        <v/>
      </c>
      <c r="K4558" s="92" t="str">
        <f>IF(AND(A4558="",B4558="",D4558="",G4558=""),"",IF(AND(A4558&lt;&gt;"",COUNTIF($A$2:$A$5001,A4558)&gt;1),"NUMERO_PC duplicado",IF(B4558="","DATA_PC vazia",IF(NOT(ISNUMBER(B4558)),"DATA_PC invalida",IF(OR(C4558="",C4558="Fora dos ciclos"),"CICLO_PC nao identificado",IF(OR(D4558="",D4558=0),"VALOR_PC vazio ou zero",IF(AND(G4558&lt;&gt;"Sim",G4558&lt;&gt;"Nao",G4558&lt;&gt;""),"PC_PAGO_A_CONTRATADA invalido",IF(AND(C4558&lt;&gt;"C0",IFERROR(INDEX(parametros!$A$2:$A$6,MATCH(C4558,parametros!$B$2:$B$6,0)),"")="Sim",IFERROR(INDEX(parametros!$H$2:$H$6,MATCH(C4558,parametros!$B$2:$B$6,0)),"")=""),"INICIO_EFEITO ausente: PC "&amp;A4558&amp;" - "&amp;C4558,IF(L4558="","EFEITO_PC nao calculado: PC "&amp;A4558&amp;" - "&amp;C4558,"OK")))))))))</f>
        <v/>
      </c>
      <c r="L4558" s="92" t="str">
        <f>IF(AND(A4558="",B4558="",D4558="",G4558=""),"",IF(OR(B4558="",NOT(ISNUMBER(B4558)),C4558="",C4558="Fora dos ciclos"),"",IF(C4558="C0","Nao",IF(IFERROR(INDEX(parametros!$A$2:$A$6,MATCH(C4558,parametros!$B$2:$B$6,0)),"")&lt;&gt;"Sim","Nao",IF(IFERROR(INDEX(parametros!$H$2:$H$6,MATCH(C4558,parametros!$B$2:$B$6,0)),"")="","",IF(B4558&gt;=IFERROR(INDEX(parametros!$H$2:$H$6,MATCH(C4558,parametros!$B$2:$B$6,0)),""),"Sim","Nao"))))))</f>
        <v/>
      </c>
      <c r="T4558" s="156"/>
      <c r="U4558" s="214" t="str">
        <f t="shared" si="361"/>
        <v/>
      </c>
      <c r="V4558" s="212" t="s">
        <v>50</v>
      </c>
      <c r="W4558" s="100" t="s">
        <v>168</v>
      </c>
      <c r="X4558" s="100" t="s">
        <v>169</v>
      </c>
      <c r="Y4558" s="101" t="s">
        <v>170</v>
      </c>
      <c r="Z4558" s="101" t="s">
        <v>171</v>
      </c>
      <c r="AA4558" s="101" t="s">
        <v>50</v>
      </c>
      <c r="AB4558" s="101" t="s">
        <v>172</v>
      </c>
      <c r="AC4558" s="102" t="s">
        <v>173</v>
      </c>
    </row>
    <row r="4559" spans="1:29" ht="25.5" customHeight="1" x14ac:dyDescent="0.35">
      <c r="A4559" s="392"/>
      <c r="B4559" s="393"/>
      <c r="C4559" s="99" t="str">
        <f>IF(B4559="","",IF(NOT(ISNUMBER(B4559)),"DATA_PC invalida",IF(NOT(ISNUMBER(parametros!$C$2)),"Fora dos ciclos",IF(OR(B4559&lt;parametros!$C$2,(YEAR(B4559)-YEAR(parametros!$C$2))*12+MONTH(B4559)-MONTH(parametros!$C$2)&gt;59),"Fora dos ciclos","C"&amp;INT(((YEAR(B4559)-YEAR(parametros!$C$2))*12+MONTH(B4559)-MONTH(parametros!$C$2))/12)))))</f>
        <v/>
      </c>
      <c r="D4559" s="394"/>
      <c r="E4559" s="78" t="str">
        <f>IF(C4559="","",IFERROR(VLOOKUP(C4559,parametros!$A$11:$E$15,5,0),""))</f>
        <v/>
      </c>
      <c r="F4559" s="79" t="str">
        <f t="shared" si="357"/>
        <v/>
      </c>
      <c r="G4559" s="395"/>
      <c r="H4559" s="91">
        <f t="shared" si="358"/>
        <v>0</v>
      </c>
      <c r="I4559" s="91" t="str">
        <f t="shared" si="359"/>
        <v/>
      </c>
      <c r="J4559" s="91" t="str">
        <f t="shared" si="360"/>
        <v/>
      </c>
      <c r="K4559" s="92" t="str">
        <f>IF(AND(A4559="",B4559="",D4559="",G4559=""),"",IF(AND(A4559&lt;&gt;"",COUNTIF($A$2:$A$5001,A4559)&gt;1),"NUMERO_PC duplicado",IF(B4559="","DATA_PC vazia",IF(NOT(ISNUMBER(B4559)),"DATA_PC invalida",IF(OR(C4559="",C4559="Fora dos ciclos"),"CICLO_PC nao identificado",IF(OR(D4559="",D4559=0),"VALOR_PC vazio ou zero",IF(AND(G4559&lt;&gt;"Sim",G4559&lt;&gt;"Nao",G4559&lt;&gt;""),"PC_PAGO_A_CONTRATADA invalido",IF(AND(C4559&lt;&gt;"C0",IFERROR(INDEX(parametros!$A$2:$A$6,MATCH(C4559,parametros!$B$2:$B$6,0)),"")="Sim",IFERROR(INDEX(parametros!$H$2:$H$6,MATCH(C4559,parametros!$B$2:$B$6,0)),"")=""),"INICIO_EFEITO ausente: PC "&amp;A4559&amp;" - "&amp;C4559,IF(L4559="","EFEITO_PC nao calculado: PC "&amp;A4559&amp;" - "&amp;C4559,"OK")))))))))</f>
        <v/>
      </c>
      <c r="L4559" s="92" t="str">
        <f>IF(AND(A4559="",B4559="",D4559="",G4559=""),"",IF(OR(B4559="",NOT(ISNUMBER(B4559)),C4559="",C4559="Fora dos ciclos"),"",IF(C4559="C0","Nao",IF(IFERROR(INDEX(parametros!$A$2:$A$6,MATCH(C4559,parametros!$B$2:$B$6,0)),"")&lt;&gt;"Sim","Nao",IF(IFERROR(INDEX(parametros!$H$2:$H$6,MATCH(C4559,parametros!$B$2:$B$6,0)),"")="","",IF(B4559&gt;=IFERROR(INDEX(parametros!$H$2:$H$6,MATCH(C4559,parametros!$B$2:$B$6,0)),""),"Sim","Nao"))))))</f>
        <v/>
      </c>
      <c r="T4559" s="156"/>
      <c r="U4559" s="214" t="str">
        <f t="shared" si="361"/>
        <v/>
      </c>
      <c r="V4559" s="212" t="s">
        <v>50</v>
      </c>
      <c r="W4559" s="100" t="s">
        <v>168</v>
      </c>
      <c r="X4559" s="100" t="s">
        <v>169</v>
      </c>
      <c r="Y4559" s="101" t="s">
        <v>170</v>
      </c>
      <c r="Z4559" s="101" t="s">
        <v>171</v>
      </c>
      <c r="AA4559" s="101" t="s">
        <v>50</v>
      </c>
      <c r="AB4559" s="101" t="s">
        <v>172</v>
      </c>
      <c r="AC4559" s="102" t="s">
        <v>173</v>
      </c>
    </row>
    <row r="4560" spans="1:29" ht="25.5" customHeight="1" x14ac:dyDescent="0.35">
      <c r="A4560" s="392"/>
      <c r="B4560" s="393"/>
      <c r="C4560" s="99" t="str">
        <f>IF(B4560="","",IF(NOT(ISNUMBER(B4560)),"DATA_PC invalida",IF(NOT(ISNUMBER(parametros!$C$2)),"Fora dos ciclos",IF(OR(B4560&lt;parametros!$C$2,(YEAR(B4560)-YEAR(parametros!$C$2))*12+MONTH(B4560)-MONTH(parametros!$C$2)&gt;59),"Fora dos ciclos","C"&amp;INT(((YEAR(B4560)-YEAR(parametros!$C$2))*12+MONTH(B4560)-MONTH(parametros!$C$2))/12)))))</f>
        <v/>
      </c>
      <c r="D4560" s="394"/>
      <c r="E4560" s="78" t="str">
        <f>IF(C4560="","",IFERROR(VLOOKUP(C4560,parametros!$A$11:$E$15,5,0),""))</f>
        <v/>
      </c>
      <c r="F4560" s="79" t="str">
        <f t="shared" si="357"/>
        <v/>
      </c>
      <c r="G4560" s="395"/>
      <c r="H4560" s="91">
        <f t="shared" si="358"/>
        <v>0</v>
      </c>
      <c r="I4560" s="91" t="str">
        <f t="shared" si="359"/>
        <v/>
      </c>
      <c r="J4560" s="91" t="str">
        <f t="shared" si="360"/>
        <v/>
      </c>
      <c r="K4560" s="92" t="str">
        <f>IF(AND(A4560="",B4560="",D4560="",G4560=""),"",IF(AND(A4560&lt;&gt;"",COUNTIF($A$2:$A$5001,A4560)&gt;1),"NUMERO_PC duplicado",IF(B4560="","DATA_PC vazia",IF(NOT(ISNUMBER(B4560)),"DATA_PC invalida",IF(OR(C4560="",C4560="Fora dos ciclos"),"CICLO_PC nao identificado",IF(OR(D4560="",D4560=0),"VALOR_PC vazio ou zero",IF(AND(G4560&lt;&gt;"Sim",G4560&lt;&gt;"Nao",G4560&lt;&gt;""),"PC_PAGO_A_CONTRATADA invalido",IF(AND(C4560&lt;&gt;"C0",IFERROR(INDEX(parametros!$A$2:$A$6,MATCH(C4560,parametros!$B$2:$B$6,0)),"")="Sim",IFERROR(INDEX(parametros!$H$2:$H$6,MATCH(C4560,parametros!$B$2:$B$6,0)),"")=""),"INICIO_EFEITO ausente: PC "&amp;A4560&amp;" - "&amp;C4560,IF(L4560="","EFEITO_PC nao calculado: PC "&amp;A4560&amp;" - "&amp;C4560,"OK")))))))))</f>
        <v/>
      </c>
      <c r="L4560" s="92" t="str">
        <f>IF(AND(A4560="",B4560="",D4560="",G4560=""),"",IF(OR(B4560="",NOT(ISNUMBER(B4560)),C4560="",C4560="Fora dos ciclos"),"",IF(C4560="C0","Nao",IF(IFERROR(INDEX(parametros!$A$2:$A$6,MATCH(C4560,parametros!$B$2:$B$6,0)),"")&lt;&gt;"Sim","Nao",IF(IFERROR(INDEX(parametros!$H$2:$H$6,MATCH(C4560,parametros!$B$2:$B$6,0)),"")="","",IF(B4560&gt;=IFERROR(INDEX(parametros!$H$2:$H$6,MATCH(C4560,parametros!$B$2:$B$6,0)),""),"Sim","Nao"))))))</f>
        <v/>
      </c>
      <c r="T4560" s="156"/>
      <c r="U4560" s="214" t="str">
        <f t="shared" si="361"/>
        <v/>
      </c>
      <c r="V4560" s="212" t="s">
        <v>50</v>
      </c>
      <c r="W4560" s="100" t="s">
        <v>168</v>
      </c>
      <c r="X4560" s="100" t="s">
        <v>169</v>
      </c>
      <c r="Y4560" s="101" t="s">
        <v>170</v>
      </c>
      <c r="Z4560" s="101" t="s">
        <v>171</v>
      </c>
      <c r="AA4560" s="101" t="s">
        <v>50</v>
      </c>
      <c r="AB4560" s="101" t="s">
        <v>172</v>
      </c>
      <c r="AC4560" s="102" t="s">
        <v>173</v>
      </c>
    </row>
    <row r="4561" spans="1:29" ht="25.5" customHeight="1" x14ac:dyDescent="0.35">
      <c r="A4561" s="392"/>
      <c r="B4561" s="393"/>
      <c r="C4561" s="99" t="str">
        <f>IF(B4561="","",IF(NOT(ISNUMBER(B4561)),"DATA_PC invalida",IF(NOT(ISNUMBER(parametros!$C$2)),"Fora dos ciclos",IF(OR(B4561&lt;parametros!$C$2,(YEAR(B4561)-YEAR(parametros!$C$2))*12+MONTH(B4561)-MONTH(parametros!$C$2)&gt;59),"Fora dos ciclos","C"&amp;INT(((YEAR(B4561)-YEAR(parametros!$C$2))*12+MONTH(B4561)-MONTH(parametros!$C$2))/12)))))</f>
        <v/>
      </c>
      <c r="D4561" s="394"/>
      <c r="E4561" s="78" t="str">
        <f>IF(C4561="","",IFERROR(VLOOKUP(C4561,parametros!$A$11:$E$15,5,0),""))</f>
        <v/>
      </c>
      <c r="F4561" s="79" t="str">
        <f t="shared" si="357"/>
        <v/>
      </c>
      <c r="G4561" s="395"/>
      <c r="H4561" s="91">
        <f t="shared" si="358"/>
        <v>0</v>
      </c>
      <c r="I4561" s="91" t="str">
        <f t="shared" si="359"/>
        <v/>
      </c>
      <c r="J4561" s="91" t="str">
        <f t="shared" si="360"/>
        <v/>
      </c>
      <c r="K4561" s="92" t="str">
        <f>IF(AND(A4561="",B4561="",D4561="",G4561=""),"",IF(AND(A4561&lt;&gt;"",COUNTIF($A$2:$A$5001,A4561)&gt;1),"NUMERO_PC duplicado",IF(B4561="","DATA_PC vazia",IF(NOT(ISNUMBER(B4561)),"DATA_PC invalida",IF(OR(C4561="",C4561="Fora dos ciclos"),"CICLO_PC nao identificado",IF(OR(D4561="",D4561=0),"VALOR_PC vazio ou zero",IF(AND(G4561&lt;&gt;"Sim",G4561&lt;&gt;"Nao",G4561&lt;&gt;""),"PC_PAGO_A_CONTRATADA invalido",IF(AND(C4561&lt;&gt;"C0",IFERROR(INDEX(parametros!$A$2:$A$6,MATCH(C4561,parametros!$B$2:$B$6,0)),"")="Sim",IFERROR(INDEX(parametros!$H$2:$H$6,MATCH(C4561,parametros!$B$2:$B$6,0)),"")=""),"INICIO_EFEITO ausente: PC "&amp;A4561&amp;" - "&amp;C4561,IF(L4561="","EFEITO_PC nao calculado: PC "&amp;A4561&amp;" - "&amp;C4561,"OK")))))))))</f>
        <v/>
      </c>
      <c r="L4561" s="92" t="str">
        <f>IF(AND(A4561="",B4561="",D4561="",G4561=""),"",IF(OR(B4561="",NOT(ISNUMBER(B4561)),C4561="",C4561="Fora dos ciclos"),"",IF(C4561="C0","Nao",IF(IFERROR(INDEX(parametros!$A$2:$A$6,MATCH(C4561,parametros!$B$2:$B$6,0)),"")&lt;&gt;"Sim","Nao",IF(IFERROR(INDEX(parametros!$H$2:$H$6,MATCH(C4561,parametros!$B$2:$B$6,0)),"")="","",IF(B4561&gt;=IFERROR(INDEX(parametros!$H$2:$H$6,MATCH(C4561,parametros!$B$2:$B$6,0)),""),"Sim","Nao"))))))</f>
        <v/>
      </c>
      <c r="T4561" s="156"/>
      <c r="U4561" s="214" t="str">
        <f t="shared" si="361"/>
        <v/>
      </c>
      <c r="V4561" s="212" t="s">
        <v>50</v>
      </c>
      <c r="W4561" s="100" t="s">
        <v>168</v>
      </c>
      <c r="X4561" s="100" t="s">
        <v>169</v>
      </c>
      <c r="Y4561" s="101" t="s">
        <v>170</v>
      </c>
      <c r="Z4561" s="101" t="s">
        <v>171</v>
      </c>
      <c r="AA4561" s="101" t="s">
        <v>50</v>
      </c>
      <c r="AB4561" s="101" t="s">
        <v>172</v>
      </c>
      <c r="AC4561" s="102" t="s">
        <v>173</v>
      </c>
    </row>
    <row r="4562" spans="1:29" ht="25.5" customHeight="1" x14ac:dyDescent="0.35">
      <c r="A4562" s="392"/>
      <c r="B4562" s="393"/>
      <c r="C4562" s="99" t="str">
        <f>IF(B4562="","",IF(NOT(ISNUMBER(B4562)),"DATA_PC invalida",IF(NOT(ISNUMBER(parametros!$C$2)),"Fora dos ciclos",IF(OR(B4562&lt;parametros!$C$2,(YEAR(B4562)-YEAR(parametros!$C$2))*12+MONTH(B4562)-MONTH(parametros!$C$2)&gt;59),"Fora dos ciclos","C"&amp;INT(((YEAR(B4562)-YEAR(parametros!$C$2))*12+MONTH(B4562)-MONTH(parametros!$C$2))/12)))))</f>
        <v/>
      </c>
      <c r="D4562" s="394"/>
      <c r="E4562" s="78" t="str">
        <f>IF(C4562="","",IFERROR(VLOOKUP(C4562,parametros!$A$11:$E$15,5,0),""))</f>
        <v/>
      </c>
      <c r="F4562" s="79" t="str">
        <f t="shared" si="357"/>
        <v/>
      </c>
      <c r="G4562" s="395"/>
      <c r="H4562" s="91">
        <f t="shared" si="358"/>
        <v>0</v>
      </c>
      <c r="I4562" s="91" t="str">
        <f t="shared" si="359"/>
        <v/>
      </c>
      <c r="J4562" s="91" t="str">
        <f t="shared" si="360"/>
        <v/>
      </c>
      <c r="K4562" s="92" t="str">
        <f>IF(AND(A4562="",B4562="",D4562="",G4562=""),"",IF(AND(A4562&lt;&gt;"",COUNTIF($A$2:$A$5001,A4562)&gt;1),"NUMERO_PC duplicado",IF(B4562="","DATA_PC vazia",IF(NOT(ISNUMBER(B4562)),"DATA_PC invalida",IF(OR(C4562="",C4562="Fora dos ciclos"),"CICLO_PC nao identificado",IF(OR(D4562="",D4562=0),"VALOR_PC vazio ou zero",IF(AND(G4562&lt;&gt;"Sim",G4562&lt;&gt;"Nao",G4562&lt;&gt;""),"PC_PAGO_A_CONTRATADA invalido",IF(AND(C4562&lt;&gt;"C0",IFERROR(INDEX(parametros!$A$2:$A$6,MATCH(C4562,parametros!$B$2:$B$6,0)),"")="Sim",IFERROR(INDEX(parametros!$H$2:$H$6,MATCH(C4562,parametros!$B$2:$B$6,0)),"")=""),"INICIO_EFEITO ausente: PC "&amp;A4562&amp;" - "&amp;C4562,IF(L4562="","EFEITO_PC nao calculado: PC "&amp;A4562&amp;" - "&amp;C4562,"OK")))))))))</f>
        <v/>
      </c>
      <c r="L4562" s="92" t="str">
        <f>IF(AND(A4562="",B4562="",D4562="",G4562=""),"",IF(OR(B4562="",NOT(ISNUMBER(B4562)),C4562="",C4562="Fora dos ciclos"),"",IF(C4562="C0","Nao",IF(IFERROR(INDEX(parametros!$A$2:$A$6,MATCH(C4562,parametros!$B$2:$B$6,0)),"")&lt;&gt;"Sim","Nao",IF(IFERROR(INDEX(parametros!$H$2:$H$6,MATCH(C4562,parametros!$B$2:$B$6,0)),"")="","",IF(B4562&gt;=IFERROR(INDEX(parametros!$H$2:$H$6,MATCH(C4562,parametros!$B$2:$B$6,0)),""),"Sim","Nao"))))))</f>
        <v/>
      </c>
      <c r="T4562" s="156"/>
      <c r="U4562" s="214" t="str">
        <f t="shared" si="361"/>
        <v/>
      </c>
      <c r="V4562" s="212" t="s">
        <v>50</v>
      </c>
      <c r="W4562" s="100" t="s">
        <v>168</v>
      </c>
      <c r="X4562" s="100" t="s">
        <v>169</v>
      </c>
      <c r="Y4562" s="101" t="s">
        <v>170</v>
      </c>
      <c r="Z4562" s="101" t="s">
        <v>171</v>
      </c>
      <c r="AA4562" s="101" t="s">
        <v>50</v>
      </c>
      <c r="AB4562" s="101" t="s">
        <v>172</v>
      </c>
      <c r="AC4562" s="102" t="s">
        <v>173</v>
      </c>
    </row>
    <row r="4563" spans="1:29" ht="25.5" customHeight="1" x14ac:dyDescent="0.35">
      <c r="A4563" s="392"/>
      <c r="B4563" s="393"/>
      <c r="C4563" s="99" t="str">
        <f>IF(B4563="","",IF(NOT(ISNUMBER(B4563)),"DATA_PC invalida",IF(NOT(ISNUMBER(parametros!$C$2)),"Fora dos ciclos",IF(OR(B4563&lt;parametros!$C$2,(YEAR(B4563)-YEAR(parametros!$C$2))*12+MONTH(B4563)-MONTH(parametros!$C$2)&gt;59),"Fora dos ciclos","C"&amp;INT(((YEAR(B4563)-YEAR(parametros!$C$2))*12+MONTH(B4563)-MONTH(parametros!$C$2))/12)))))</f>
        <v/>
      </c>
      <c r="D4563" s="394"/>
      <c r="E4563" s="78" t="str">
        <f>IF(C4563="","",IFERROR(VLOOKUP(C4563,parametros!$A$11:$E$15,5,0),""))</f>
        <v/>
      </c>
      <c r="F4563" s="79" t="str">
        <f t="shared" si="357"/>
        <v/>
      </c>
      <c r="G4563" s="395"/>
      <c r="H4563" s="91">
        <f t="shared" si="358"/>
        <v>0</v>
      </c>
      <c r="I4563" s="91" t="str">
        <f t="shared" si="359"/>
        <v/>
      </c>
      <c r="J4563" s="91" t="str">
        <f t="shared" si="360"/>
        <v/>
      </c>
      <c r="K4563" s="92" t="str">
        <f>IF(AND(A4563="",B4563="",D4563="",G4563=""),"",IF(AND(A4563&lt;&gt;"",COUNTIF($A$2:$A$5001,A4563)&gt;1),"NUMERO_PC duplicado",IF(B4563="","DATA_PC vazia",IF(NOT(ISNUMBER(B4563)),"DATA_PC invalida",IF(OR(C4563="",C4563="Fora dos ciclos"),"CICLO_PC nao identificado",IF(OR(D4563="",D4563=0),"VALOR_PC vazio ou zero",IF(AND(G4563&lt;&gt;"Sim",G4563&lt;&gt;"Nao",G4563&lt;&gt;""),"PC_PAGO_A_CONTRATADA invalido",IF(AND(C4563&lt;&gt;"C0",IFERROR(INDEX(parametros!$A$2:$A$6,MATCH(C4563,parametros!$B$2:$B$6,0)),"")="Sim",IFERROR(INDEX(parametros!$H$2:$H$6,MATCH(C4563,parametros!$B$2:$B$6,0)),"")=""),"INICIO_EFEITO ausente: PC "&amp;A4563&amp;" - "&amp;C4563,IF(L4563="","EFEITO_PC nao calculado: PC "&amp;A4563&amp;" - "&amp;C4563,"OK")))))))))</f>
        <v/>
      </c>
      <c r="L4563" s="92" t="str">
        <f>IF(AND(A4563="",B4563="",D4563="",G4563=""),"",IF(OR(B4563="",NOT(ISNUMBER(B4563)),C4563="",C4563="Fora dos ciclos"),"",IF(C4563="C0","Nao",IF(IFERROR(INDEX(parametros!$A$2:$A$6,MATCH(C4563,parametros!$B$2:$B$6,0)),"")&lt;&gt;"Sim","Nao",IF(IFERROR(INDEX(parametros!$H$2:$H$6,MATCH(C4563,parametros!$B$2:$B$6,0)),"")="","",IF(B4563&gt;=IFERROR(INDEX(parametros!$H$2:$H$6,MATCH(C4563,parametros!$B$2:$B$6,0)),""),"Sim","Nao"))))))</f>
        <v/>
      </c>
      <c r="T4563" s="156"/>
      <c r="U4563" s="214" t="str">
        <f t="shared" si="361"/>
        <v/>
      </c>
      <c r="V4563" s="212" t="s">
        <v>50</v>
      </c>
      <c r="W4563" s="100" t="s">
        <v>168</v>
      </c>
      <c r="X4563" s="100" t="s">
        <v>169</v>
      </c>
      <c r="Y4563" s="101" t="s">
        <v>170</v>
      </c>
      <c r="Z4563" s="101" t="s">
        <v>171</v>
      </c>
      <c r="AA4563" s="101" t="s">
        <v>50</v>
      </c>
      <c r="AB4563" s="101" t="s">
        <v>172</v>
      </c>
      <c r="AC4563" s="102" t="s">
        <v>173</v>
      </c>
    </row>
    <row r="4564" spans="1:29" ht="25.5" customHeight="1" x14ac:dyDescent="0.35">
      <c r="A4564" s="392"/>
      <c r="B4564" s="393"/>
      <c r="C4564" s="99" t="str">
        <f>IF(B4564="","",IF(NOT(ISNUMBER(B4564)),"DATA_PC invalida",IF(NOT(ISNUMBER(parametros!$C$2)),"Fora dos ciclos",IF(OR(B4564&lt;parametros!$C$2,(YEAR(B4564)-YEAR(parametros!$C$2))*12+MONTH(B4564)-MONTH(parametros!$C$2)&gt;59),"Fora dos ciclos","C"&amp;INT(((YEAR(B4564)-YEAR(parametros!$C$2))*12+MONTH(B4564)-MONTH(parametros!$C$2))/12)))))</f>
        <v/>
      </c>
      <c r="D4564" s="394"/>
      <c r="E4564" s="78" t="str">
        <f>IF(C4564="","",IFERROR(VLOOKUP(C4564,parametros!$A$11:$E$15,5,0),""))</f>
        <v/>
      </c>
      <c r="F4564" s="79" t="str">
        <f t="shared" si="357"/>
        <v/>
      </c>
      <c r="G4564" s="395"/>
      <c r="H4564" s="91">
        <f t="shared" si="358"/>
        <v>0</v>
      </c>
      <c r="I4564" s="91" t="str">
        <f t="shared" si="359"/>
        <v/>
      </c>
      <c r="J4564" s="91" t="str">
        <f t="shared" si="360"/>
        <v/>
      </c>
      <c r="K4564" s="92" t="str">
        <f>IF(AND(A4564="",B4564="",D4564="",G4564=""),"",IF(AND(A4564&lt;&gt;"",COUNTIF($A$2:$A$5001,A4564)&gt;1),"NUMERO_PC duplicado",IF(B4564="","DATA_PC vazia",IF(NOT(ISNUMBER(B4564)),"DATA_PC invalida",IF(OR(C4564="",C4564="Fora dos ciclos"),"CICLO_PC nao identificado",IF(OR(D4564="",D4564=0),"VALOR_PC vazio ou zero",IF(AND(G4564&lt;&gt;"Sim",G4564&lt;&gt;"Nao",G4564&lt;&gt;""),"PC_PAGO_A_CONTRATADA invalido",IF(AND(C4564&lt;&gt;"C0",IFERROR(INDEX(parametros!$A$2:$A$6,MATCH(C4564,parametros!$B$2:$B$6,0)),"")="Sim",IFERROR(INDEX(parametros!$H$2:$H$6,MATCH(C4564,parametros!$B$2:$B$6,0)),"")=""),"INICIO_EFEITO ausente: PC "&amp;A4564&amp;" - "&amp;C4564,IF(L4564="","EFEITO_PC nao calculado: PC "&amp;A4564&amp;" - "&amp;C4564,"OK")))))))))</f>
        <v/>
      </c>
      <c r="L4564" s="92" t="str">
        <f>IF(AND(A4564="",B4564="",D4564="",G4564=""),"",IF(OR(B4564="",NOT(ISNUMBER(B4564)),C4564="",C4564="Fora dos ciclos"),"",IF(C4564="C0","Nao",IF(IFERROR(INDEX(parametros!$A$2:$A$6,MATCH(C4564,parametros!$B$2:$B$6,0)),"")&lt;&gt;"Sim","Nao",IF(IFERROR(INDEX(parametros!$H$2:$H$6,MATCH(C4564,parametros!$B$2:$B$6,0)),"")="","",IF(B4564&gt;=IFERROR(INDEX(parametros!$H$2:$H$6,MATCH(C4564,parametros!$B$2:$B$6,0)),""),"Sim","Nao"))))))</f>
        <v/>
      </c>
      <c r="T4564" s="156"/>
      <c r="U4564" s="214" t="str">
        <f t="shared" si="361"/>
        <v/>
      </c>
      <c r="V4564" s="212" t="s">
        <v>50</v>
      </c>
      <c r="W4564" s="100" t="s">
        <v>168</v>
      </c>
      <c r="X4564" s="100" t="s">
        <v>169</v>
      </c>
      <c r="Y4564" s="101" t="s">
        <v>170</v>
      </c>
      <c r="Z4564" s="101" t="s">
        <v>171</v>
      </c>
      <c r="AA4564" s="101" t="s">
        <v>50</v>
      </c>
      <c r="AB4564" s="101" t="s">
        <v>172</v>
      </c>
      <c r="AC4564" s="102" t="s">
        <v>173</v>
      </c>
    </row>
    <row r="4565" spans="1:29" ht="25.5" customHeight="1" x14ac:dyDescent="0.35">
      <c r="A4565" s="392"/>
      <c r="B4565" s="393"/>
      <c r="C4565" s="99" t="str">
        <f>IF(B4565="","",IF(NOT(ISNUMBER(B4565)),"DATA_PC invalida",IF(NOT(ISNUMBER(parametros!$C$2)),"Fora dos ciclos",IF(OR(B4565&lt;parametros!$C$2,(YEAR(B4565)-YEAR(parametros!$C$2))*12+MONTH(B4565)-MONTH(parametros!$C$2)&gt;59),"Fora dos ciclos","C"&amp;INT(((YEAR(B4565)-YEAR(parametros!$C$2))*12+MONTH(B4565)-MONTH(parametros!$C$2))/12)))))</f>
        <v/>
      </c>
      <c r="D4565" s="394"/>
      <c r="E4565" s="78" t="str">
        <f>IF(C4565="","",IFERROR(VLOOKUP(C4565,parametros!$A$11:$E$15,5,0),""))</f>
        <v/>
      </c>
      <c r="F4565" s="79" t="str">
        <f t="shared" si="357"/>
        <v/>
      </c>
      <c r="G4565" s="395"/>
      <c r="H4565" s="91">
        <f t="shared" si="358"/>
        <v>0</v>
      </c>
      <c r="I4565" s="91" t="str">
        <f t="shared" si="359"/>
        <v/>
      </c>
      <c r="J4565" s="91" t="str">
        <f t="shared" si="360"/>
        <v/>
      </c>
      <c r="K4565" s="92" t="str">
        <f>IF(AND(A4565="",B4565="",D4565="",G4565=""),"",IF(AND(A4565&lt;&gt;"",COUNTIF($A$2:$A$5001,A4565)&gt;1),"NUMERO_PC duplicado",IF(B4565="","DATA_PC vazia",IF(NOT(ISNUMBER(B4565)),"DATA_PC invalida",IF(OR(C4565="",C4565="Fora dos ciclos"),"CICLO_PC nao identificado",IF(OR(D4565="",D4565=0),"VALOR_PC vazio ou zero",IF(AND(G4565&lt;&gt;"Sim",G4565&lt;&gt;"Nao",G4565&lt;&gt;""),"PC_PAGO_A_CONTRATADA invalido",IF(AND(C4565&lt;&gt;"C0",IFERROR(INDEX(parametros!$A$2:$A$6,MATCH(C4565,parametros!$B$2:$B$6,0)),"")="Sim",IFERROR(INDEX(parametros!$H$2:$H$6,MATCH(C4565,parametros!$B$2:$B$6,0)),"")=""),"INICIO_EFEITO ausente: PC "&amp;A4565&amp;" - "&amp;C4565,IF(L4565="","EFEITO_PC nao calculado: PC "&amp;A4565&amp;" - "&amp;C4565,"OK")))))))))</f>
        <v/>
      </c>
      <c r="L4565" s="92" t="str">
        <f>IF(AND(A4565="",B4565="",D4565="",G4565=""),"",IF(OR(B4565="",NOT(ISNUMBER(B4565)),C4565="",C4565="Fora dos ciclos"),"",IF(C4565="C0","Nao",IF(IFERROR(INDEX(parametros!$A$2:$A$6,MATCH(C4565,parametros!$B$2:$B$6,0)),"")&lt;&gt;"Sim","Nao",IF(IFERROR(INDEX(parametros!$H$2:$H$6,MATCH(C4565,parametros!$B$2:$B$6,0)),"")="","",IF(B4565&gt;=IFERROR(INDEX(parametros!$H$2:$H$6,MATCH(C4565,parametros!$B$2:$B$6,0)),""),"Sim","Nao"))))))</f>
        <v/>
      </c>
      <c r="T4565" s="156"/>
      <c r="U4565" s="214" t="str">
        <f t="shared" si="361"/>
        <v/>
      </c>
      <c r="V4565" s="212" t="s">
        <v>50</v>
      </c>
      <c r="W4565" s="100" t="s">
        <v>168</v>
      </c>
      <c r="X4565" s="100" t="s">
        <v>169</v>
      </c>
      <c r="Y4565" s="101" t="s">
        <v>170</v>
      </c>
      <c r="Z4565" s="101" t="s">
        <v>171</v>
      </c>
      <c r="AA4565" s="101" t="s">
        <v>50</v>
      </c>
      <c r="AB4565" s="101" t="s">
        <v>172</v>
      </c>
      <c r="AC4565" s="102" t="s">
        <v>173</v>
      </c>
    </row>
    <row r="4566" spans="1:29" ht="25.5" customHeight="1" x14ac:dyDescent="0.35">
      <c r="A4566" s="392"/>
      <c r="B4566" s="393"/>
      <c r="C4566" s="99" t="str">
        <f>IF(B4566="","",IF(NOT(ISNUMBER(B4566)),"DATA_PC invalida",IF(NOT(ISNUMBER(parametros!$C$2)),"Fora dos ciclos",IF(OR(B4566&lt;parametros!$C$2,(YEAR(B4566)-YEAR(parametros!$C$2))*12+MONTH(B4566)-MONTH(parametros!$C$2)&gt;59),"Fora dos ciclos","C"&amp;INT(((YEAR(B4566)-YEAR(parametros!$C$2))*12+MONTH(B4566)-MONTH(parametros!$C$2))/12)))))</f>
        <v/>
      </c>
      <c r="D4566" s="394"/>
      <c r="E4566" s="78" t="str">
        <f>IF(C4566="","",IFERROR(VLOOKUP(C4566,parametros!$A$11:$E$15,5,0),""))</f>
        <v/>
      </c>
      <c r="F4566" s="79" t="str">
        <f t="shared" si="357"/>
        <v/>
      </c>
      <c r="G4566" s="395"/>
      <c r="H4566" s="91">
        <f t="shared" si="358"/>
        <v>0</v>
      </c>
      <c r="I4566" s="91" t="str">
        <f t="shared" si="359"/>
        <v/>
      </c>
      <c r="J4566" s="91" t="str">
        <f t="shared" si="360"/>
        <v/>
      </c>
      <c r="K4566" s="92" t="str">
        <f>IF(AND(A4566="",B4566="",D4566="",G4566=""),"",IF(AND(A4566&lt;&gt;"",COUNTIF($A$2:$A$5001,A4566)&gt;1),"NUMERO_PC duplicado",IF(B4566="","DATA_PC vazia",IF(NOT(ISNUMBER(B4566)),"DATA_PC invalida",IF(OR(C4566="",C4566="Fora dos ciclos"),"CICLO_PC nao identificado",IF(OR(D4566="",D4566=0),"VALOR_PC vazio ou zero",IF(AND(G4566&lt;&gt;"Sim",G4566&lt;&gt;"Nao",G4566&lt;&gt;""),"PC_PAGO_A_CONTRATADA invalido",IF(AND(C4566&lt;&gt;"C0",IFERROR(INDEX(parametros!$A$2:$A$6,MATCH(C4566,parametros!$B$2:$B$6,0)),"")="Sim",IFERROR(INDEX(parametros!$H$2:$H$6,MATCH(C4566,parametros!$B$2:$B$6,0)),"")=""),"INICIO_EFEITO ausente: PC "&amp;A4566&amp;" - "&amp;C4566,IF(L4566="","EFEITO_PC nao calculado: PC "&amp;A4566&amp;" - "&amp;C4566,"OK")))))))))</f>
        <v/>
      </c>
      <c r="L4566" s="92" t="str">
        <f>IF(AND(A4566="",B4566="",D4566="",G4566=""),"",IF(OR(B4566="",NOT(ISNUMBER(B4566)),C4566="",C4566="Fora dos ciclos"),"",IF(C4566="C0","Nao",IF(IFERROR(INDEX(parametros!$A$2:$A$6,MATCH(C4566,parametros!$B$2:$B$6,0)),"")&lt;&gt;"Sim","Nao",IF(IFERROR(INDEX(parametros!$H$2:$H$6,MATCH(C4566,parametros!$B$2:$B$6,0)),"")="","",IF(B4566&gt;=IFERROR(INDEX(parametros!$H$2:$H$6,MATCH(C4566,parametros!$B$2:$B$6,0)),""),"Sim","Nao"))))))</f>
        <v/>
      </c>
      <c r="T4566" s="156"/>
      <c r="U4566" s="214" t="str">
        <f t="shared" si="361"/>
        <v/>
      </c>
      <c r="V4566" s="212" t="s">
        <v>50</v>
      </c>
      <c r="W4566" s="100" t="s">
        <v>168</v>
      </c>
      <c r="X4566" s="100" t="s">
        <v>169</v>
      </c>
      <c r="Y4566" s="101" t="s">
        <v>170</v>
      </c>
      <c r="Z4566" s="101" t="s">
        <v>171</v>
      </c>
      <c r="AA4566" s="101" t="s">
        <v>50</v>
      </c>
      <c r="AB4566" s="101" t="s">
        <v>172</v>
      </c>
      <c r="AC4566" s="102" t="s">
        <v>173</v>
      </c>
    </row>
    <row r="4567" spans="1:29" ht="25.5" customHeight="1" x14ac:dyDescent="0.35">
      <c r="A4567" s="392"/>
      <c r="B4567" s="393"/>
      <c r="C4567" s="99" t="str">
        <f>IF(B4567="","",IF(NOT(ISNUMBER(B4567)),"DATA_PC invalida",IF(NOT(ISNUMBER(parametros!$C$2)),"Fora dos ciclos",IF(OR(B4567&lt;parametros!$C$2,(YEAR(B4567)-YEAR(parametros!$C$2))*12+MONTH(B4567)-MONTH(parametros!$C$2)&gt;59),"Fora dos ciclos","C"&amp;INT(((YEAR(B4567)-YEAR(parametros!$C$2))*12+MONTH(B4567)-MONTH(parametros!$C$2))/12)))))</f>
        <v/>
      </c>
      <c r="D4567" s="394"/>
      <c r="E4567" s="78" t="str">
        <f>IF(C4567="","",IFERROR(VLOOKUP(C4567,parametros!$A$11:$E$15,5,0),""))</f>
        <v/>
      </c>
      <c r="F4567" s="79" t="str">
        <f t="shared" si="357"/>
        <v/>
      </c>
      <c r="G4567" s="395"/>
      <c r="H4567" s="91">
        <f t="shared" si="358"/>
        <v>0</v>
      </c>
      <c r="I4567" s="91" t="str">
        <f t="shared" si="359"/>
        <v/>
      </c>
      <c r="J4567" s="91" t="str">
        <f t="shared" si="360"/>
        <v/>
      </c>
      <c r="K4567" s="92" t="str">
        <f>IF(AND(A4567="",B4567="",D4567="",G4567=""),"",IF(AND(A4567&lt;&gt;"",COUNTIF($A$2:$A$5001,A4567)&gt;1),"NUMERO_PC duplicado",IF(B4567="","DATA_PC vazia",IF(NOT(ISNUMBER(B4567)),"DATA_PC invalida",IF(OR(C4567="",C4567="Fora dos ciclos"),"CICLO_PC nao identificado",IF(OR(D4567="",D4567=0),"VALOR_PC vazio ou zero",IF(AND(G4567&lt;&gt;"Sim",G4567&lt;&gt;"Nao",G4567&lt;&gt;""),"PC_PAGO_A_CONTRATADA invalido",IF(AND(C4567&lt;&gt;"C0",IFERROR(INDEX(parametros!$A$2:$A$6,MATCH(C4567,parametros!$B$2:$B$6,0)),"")="Sim",IFERROR(INDEX(parametros!$H$2:$H$6,MATCH(C4567,parametros!$B$2:$B$6,0)),"")=""),"INICIO_EFEITO ausente: PC "&amp;A4567&amp;" - "&amp;C4567,IF(L4567="","EFEITO_PC nao calculado: PC "&amp;A4567&amp;" - "&amp;C4567,"OK")))))))))</f>
        <v/>
      </c>
      <c r="L4567" s="92" t="str">
        <f>IF(AND(A4567="",B4567="",D4567="",G4567=""),"",IF(OR(B4567="",NOT(ISNUMBER(B4567)),C4567="",C4567="Fora dos ciclos"),"",IF(C4567="C0","Nao",IF(IFERROR(INDEX(parametros!$A$2:$A$6,MATCH(C4567,parametros!$B$2:$B$6,0)),"")&lt;&gt;"Sim","Nao",IF(IFERROR(INDEX(parametros!$H$2:$H$6,MATCH(C4567,parametros!$B$2:$B$6,0)),"")="","",IF(B4567&gt;=IFERROR(INDEX(parametros!$H$2:$H$6,MATCH(C4567,parametros!$B$2:$B$6,0)),""),"Sim","Nao"))))))</f>
        <v/>
      </c>
      <c r="T4567" s="156"/>
      <c r="U4567" s="214" t="str">
        <f t="shared" si="361"/>
        <v/>
      </c>
      <c r="V4567" s="212" t="s">
        <v>50</v>
      </c>
      <c r="W4567" s="100" t="s">
        <v>168</v>
      </c>
      <c r="X4567" s="100" t="s">
        <v>169</v>
      </c>
      <c r="Y4567" s="101" t="s">
        <v>170</v>
      </c>
      <c r="Z4567" s="101" t="s">
        <v>171</v>
      </c>
      <c r="AA4567" s="101" t="s">
        <v>50</v>
      </c>
      <c r="AB4567" s="101" t="s">
        <v>172</v>
      </c>
      <c r="AC4567" s="102" t="s">
        <v>173</v>
      </c>
    </row>
    <row r="4568" spans="1:29" ht="25.5" customHeight="1" x14ac:dyDescent="0.35">
      <c r="A4568" s="392"/>
      <c r="B4568" s="393"/>
      <c r="C4568" s="99" t="str">
        <f>IF(B4568="","",IF(NOT(ISNUMBER(B4568)),"DATA_PC invalida",IF(NOT(ISNUMBER(parametros!$C$2)),"Fora dos ciclos",IF(OR(B4568&lt;parametros!$C$2,(YEAR(B4568)-YEAR(parametros!$C$2))*12+MONTH(B4568)-MONTH(parametros!$C$2)&gt;59),"Fora dos ciclos","C"&amp;INT(((YEAR(B4568)-YEAR(parametros!$C$2))*12+MONTH(B4568)-MONTH(parametros!$C$2))/12)))))</f>
        <v/>
      </c>
      <c r="D4568" s="394"/>
      <c r="E4568" s="78" t="str">
        <f>IF(C4568="","",IFERROR(VLOOKUP(C4568,parametros!$A$11:$E$15,5,0),""))</f>
        <v/>
      </c>
      <c r="F4568" s="79" t="str">
        <f t="shared" si="357"/>
        <v/>
      </c>
      <c r="G4568" s="395"/>
      <c r="H4568" s="91">
        <f t="shared" si="358"/>
        <v>0</v>
      </c>
      <c r="I4568" s="91" t="str">
        <f t="shared" si="359"/>
        <v/>
      </c>
      <c r="J4568" s="91" t="str">
        <f t="shared" si="360"/>
        <v/>
      </c>
      <c r="K4568" s="92" t="str">
        <f>IF(AND(A4568="",B4568="",D4568="",G4568=""),"",IF(AND(A4568&lt;&gt;"",COUNTIF($A$2:$A$5001,A4568)&gt;1),"NUMERO_PC duplicado",IF(B4568="","DATA_PC vazia",IF(NOT(ISNUMBER(B4568)),"DATA_PC invalida",IF(OR(C4568="",C4568="Fora dos ciclos"),"CICLO_PC nao identificado",IF(OR(D4568="",D4568=0),"VALOR_PC vazio ou zero",IF(AND(G4568&lt;&gt;"Sim",G4568&lt;&gt;"Nao",G4568&lt;&gt;""),"PC_PAGO_A_CONTRATADA invalido",IF(AND(C4568&lt;&gt;"C0",IFERROR(INDEX(parametros!$A$2:$A$6,MATCH(C4568,parametros!$B$2:$B$6,0)),"")="Sim",IFERROR(INDEX(parametros!$H$2:$H$6,MATCH(C4568,parametros!$B$2:$B$6,0)),"")=""),"INICIO_EFEITO ausente: PC "&amp;A4568&amp;" - "&amp;C4568,IF(L4568="","EFEITO_PC nao calculado: PC "&amp;A4568&amp;" - "&amp;C4568,"OK")))))))))</f>
        <v/>
      </c>
      <c r="L4568" s="92" t="str">
        <f>IF(AND(A4568="",B4568="",D4568="",G4568=""),"",IF(OR(B4568="",NOT(ISNUMBER(B4568)),C4568="",C4568="Fora dos ciclos"),"",IF(C4568="C0","Nao",IF(IFERROR(INDEX(parametros!$A$2:$A$6,MATCH(C4568,parametros!$B$2:$B$6,0)),"")&lt;&gt;"Sim","Nao",IF(IFERROR(INDEX(parametros!$H$2:$H$6,MATCH(C4568,parametros!$B$2:$B$6,0)),"")="","",IF(B4568&gt;=IFERROR(INDEX(parametros!$H$2:$H$6,MATCH(C4568,parametros!$B$2:$B$6,0)),""),"Sim","Nao"))))))</f>
        <v/>
      </c>
      <c r="T4568" s="156"/>
      <c r="U4568" s="214" t="str">
        <f t="shared" si="361"/>
        <v/>
      </c>
      <c r="V4568" s="212" t="s">
        <v>50</v>
      </c>
      <c r="W4568" s="100" t="s">
        <v>168</v>
      </c>
      <c r="X4568" s="100" t="s">
        <v>169</v>
      </c>
      <c r="Y4568" s="101" t="s">
        <v>170</v>
      </c>
      <c r="Z4568" s="101" t="s">
        <v>171</v>
      </c>
      <c r="AA4568" s="101" t="s">
        <v>50</v>
      </c>
      <c r="AB4568" s="101" t="s">
        <v>172</v>
      </c>
      <c r="AC4568" s="102" t="s">
        <v>173</v>
      </c>
    </row>
    <row r="4569" spans="1:29" ht="25.5" customHeight="1" x14ac:dyDescent="0.35">
      <c r="A4569" s="392"/>
      <c r="B4569" s="393"/>
      <c r="C4569" s="99" t="str">
        <f>IF(B4569="","",IF(NOT(ISNUMBER(B4569)),"DATA_PC invalida",IF(NOT(ISNUMBER(parametros!$C$2)),"Fora dos ciclos",IF(OR(B4569&lt;parametros!$C$2,(YEAR(B4569)-YEAR(parametros!$C$2))*12+MONTH(B4569)-MONTH(parametros!$C$2)&gt;59),"Fora dos ciclos","C"&amp;INT(((YEAR(B4569)-YEAR(parametros!$C$2))*12+MONTH(B4569)-MONTH(parametros!$C$2))/12)))))</f>
        <v/>
      </c>
      <c r="D4569" s="394"/>
      <c r="E4569" s="78" t="str">
        <f>IF(C4569="","",IFERROR(VLOOKUP(C4569,parametros!$A$11:$E$15,5,0),""))</f>
        <v/>
      </c>
      <c r="F4569" s="79" t="str">
        <f t="shared" si="357"/>
        <v/>
      </c>
      <c r="G4569" s="395"/>
      <c r="H4569" s="91">
        <f t="shared" si="358"/>
        <v>0</v>
      </c>
      <c r="I4569" s="91" t="str">
        <f t="shared" si="359"/>
        <v/>
      </c>
      <c r="J4569" s="91" t="str">
        <f t="shared" si="360"/>
        <v/>
      </c>
      <c r="K4569" s="92" t="str">
        <f>IF(AND(A4569="",B4569="",D4569="",G4569=""),"",IF(AND(A4569&lt;&gt;"",COUNTIF($A$2:$A$5001,A4569)&gt;1),"NUMERO_PC duplicado",IF(B4569="","DATA_PC vazia",IF(NOT(ISNUMBER(B4569)),"DATA_PC invalida",IF(OR(C4569="",C4569="Fora dos ciclos"),"CICLO_PC nao identificado",IF(OR(D4569="",D4569=0),"VALOR_PC vazio ou zero",IF(AND(G4569&lt;&gt;"Sim",G4569&lt;&gt;"Nao",G4569&lt;&gt;""),"PC_PAGO_A_CONTRATADA invalido",IF(AND(C4569&lt;&gt;"C0",IFERROR(INDEX(parametros!$A$2:$A$6,MATCH(C4569,parametros!$B$2:$B$6,0)),"")="Sim",IFERROR(INDEX(parametros!$H$2:$H$6,MATCH(C4569,parametros!$B$2:$B$6,0)),"")=""),"INICIO_EFEITO ausente: PC "&amp;A4569&amp;" - "&amp;C4569,IF(L4569="","EFEITO_PC nao calculado: PC "&amp;A4569&amp;" - "&amp;C4569,"OK")))))))))</f>
        <v/>
      </c>
      <c r="L4569" s="92" t="str">
        <f>IF(AND(A4569="",B4569="",D4569="",G4569=""),"",IF(OR(B4569="",NOT(ISNUMBER(B4569)),C4569="",C4569="Fora dos ciclos"),"",IF(C4569="C0","Nao",IF(IFERROR(INDEX(parametros!$A$2:$A$6,MATCH(C4569,parametros!$B$2:$B$6,0)),"")&lt;&gt;"Sim","Nao",IF(IFERROR(INDEX(parametros!$H$2:$H$6,MATCH(C4569,parametros!$B$2:$B$6,0)),"")="","",IF(B4569&gt;=IFERROR(INDEX(parametros!$H$2:$H$6,MATCH(C4569,parametros!$B$2:$B$6,0)),""),"Sim","Nao"))))))</f>
        <v/>
      </c>
      <c r="T4569" s="156"/>
      <c r="U4569" s="214" t="str">
        <f t="shared" si="361"/>
        <v/>
      </c>
      <c r="V4569" s="212" t="s">
        <v>50</v>
      </c>
      <c r="W4569" s="100" t="s">
        <v>168</v>
      </c>
      <c r="X4569" s="100" t="s">
        <v>169</v>
      </c>
      <c r="Y4569" s="101" t="s">
        <v>170</v>
      </c>
      <c r="Z4569" s="101" t="s">
        <v>171</v>
      </c>
      <c r="AA4569" s="101" t="s">
        <v>50</v>
      </c>
      <c r="AB4569" s="101" t="s">
        <v>172</v>
      </c>
      <c r="AC4569" s="102" t="s">
        <v>173</v>
      </c>
    </row>
    <row r="4570" spans="1:29" ht="25.5" customHeight="1" x14ac:dyDescent="0.35">
      <c r="A4570" s="392"/>
      <c r="B4570" s="393"/>
      <c r="C4570" s="99" t="str">
        <f>IF(B4570="","",IF(NOT(ISNUMBER(B4570)),"DATA_PC invalida",IF(NOT(ISNUMBER(parametros!$C$2)),"Fora dos ciclos",IF(OR(B4570&lt;parametros!$C$2,(YEAR(B4570)-YEAR(parametros!$C$2))*12+MONTH(B4570)-MONTH(parametros!$C$2)&gt;59),"Fora dos ciclos","C"&amp;INT(((YEAR(B4570)-YEAR(parametros!$C$2))*12+MONTH(B4570)-MONTH(parametros!$C$2))/12)))))</f>
        <v/>
      </c>
      <c r="D4570" s="394"/>
      <c r="E4570" s="78" t="str">
        <f>IF(C4570="","",IFERROR(VLOOKUP(C4570,parametros!$A$11:$E$15,5,0),""))</f>
        <v/>
      </c>
      <c r="F4570" s="79" t="str">
        <f t="shared" si="357"/>
        <v/>
      </c>
      <c r="G4570" s="395"/>
      <c r="H4570" s="91">
        <f t="shared" si="358"/>
        <v>0</v>
      </c>
      <c r="I4570" s="91" t="str">
        <f t="shared" si="359"/>
        <v/>
      </c>
      <c r="J4570" s="91" t="str">
        <f t="shared" si="360"/>
        <v/>
      </c>
      <c r="K4570" s="92" t="str">
        <f>IF(AND(A4570="",B4570="",D4570="",G4570=""),"",IF(AND(A4570&lt;&gt;"",COUNTIF($A$2:$A$5001,A4570)&gt;1),"NUMERO_PC duplicado",IF(B4570="","DATA_PC vazia",IF(NOT(ISNUMBER(B4570)),"DATA_PC invalida",IF(OR(C4570="",C4570="Fora dos ciclos"),"CICLO_PC nao identificado",IF(OR(D4570="",D4570=0),"VALOR_PC vazio ou zero",IF(AND(G4570&lt;&gt;"Sim",G4570&lt;&gt;"Nao",G4570&lt;&gt;""),"PC_PAGO_A_CONTRATADA invalido",IF(AND(C4570&lt;&gt;"C0",IFERROR(INDEX(parametros!$A$2:$A$6,MATCH(C4570,parametros!$B$2:$B$6,0)),"")="Sim",IFERROR(INDEX(parametros!$H$2:$H$6,MATCH(C4570,parametros!$B$2:$B$6,0)),"")=""),"INICIO_EFEITO ausente: PC "&amp;A4570&amp;" - "&amp;C4570,IF(L4570="","EFEITO_PC nao calculado: PC "&amp;A4570&amp;" - "&amp;C4570,"OK")))))))))</f>
        <v/>
      </c>
      <c r="L4570" s="92" t="str">
        <f>IF(AND(A4570="",B4570="",D4570="",G4570=""),"",IF(OR(B4570="",NOT(ISNUMBER(B4570)),C4570="",C4570="Fora dos ciclos"),"",IF(C4570="C0","Nao",IF(IFERROR(INDEX(parametros!$A$2:$A$6,MATCH(C4570,parametros!$B$2:$B$6,0)),"")&lt;&gt;"Sim","Nao",IF(IFERROR(INDEX(parametros!$H$2:$H$6,MATCH(C4570,parametros!$B$2:$B$6,0)),"")="","",IF(B4570&gt;=IFERROR(INDEX(parametros!$H$2:$H$6,MATCH(C4570,parametros!$B$2:$B$6,0)),""),"Sim","Nao"))))))</f>
        <v/>
      </c>
      <c r="T4570" s="156"/>
      <c r="U4570" s="214" t="str">
        <f t="shared" si="361"/>
        <v/>
      </c>
      <c r="V4570" s="212" t="s">
        <v>50</v>
      </c>
      <c r="W4570" s="100" t="s">
        <v>168</v>
      </c>
      <c r="X4570" s="100" t="s">
        <v>169</v>
      </c>
      <c r="Y4570" s="101" t="s">
        <v>170</v>
      </c>
      <c r="Z4570" s="101" t="s">
        <v>171</v>
      </c>
      <c r="AA4570" s="101" t="s">
        <v>50</v>
      </c>
      <c r="AB4570" s="101" t="s">
        <v>172</v>
      </c>
      <c r="AC4570" s="102" t="s">
        <v>173</v>
      </c>
    </row>
    <row r="4571" spans="1:29" ht="25.5" customHeight="1" x14ac:dyDescent="0.35">
      <c r="A4571" s="392"/>
      <c r="B4571" s="393"/>
      <c r="C4571" s="99" t="str">
        <f>IF(B4571="","",IF(NOT(ISNUMBER(B4571)),"DATA_PC invalida",IF(NOT(ISNUMBER(parametros!$C$2)),"Fora dos ciclos",IF(OR(B4571&lt;parametros!$C$2,(YEAR(B4571)-YEAR(parametros!$C$2))*12+MONTH(B4571)-MONTH(parametros!$C$2)&gt;59),"Fora dos ciclos","C"&amp;INT(((YEAR(B4571)-YEAR(parametros!$C$2))*12+MONTH(B4571)-MONTH(parametros!$C$2))/12)))))</f>
        <v/>
      </c>
      <c r="D4571" s="394"/>
      <c r="E4571" s="78" t="str">
        <f>IF(C4571="","",IFERROR(VLOOKUP(C4571,parametros!$A$11:$E$15,5,0),""))</f>
        <v/>
      </c>
      <c r="F4571" s="79" t="str">
        <f t="shared" si="357"/>
        <v/>
      </c>
      <c r="G4571" s="395"/>
      <c r="H4571" s="91">
        <f t="shared" si="358"/>
        <v>0</v>
      </c>
      <c r="I4571" s="91" t="str">
        <f t="shared" si="359"/>
        <v/>
      </c>
      <c r="J4571" s="91" t="str">
        <f t="shared" si="360"/>
        <v/>
      </c>
      <c r="K4571" s="92" t="str">
        <f>IF(AND(A4571="",B4571="",D4571="",G4571=""),"",IF(AND(A4571&lt;&gt;"",COUNTIF($A$2:$A$5001,A4571)&gt;1),"NUMERO_PC duplicado",IF(B4571="","DATA_PC vazia",IF(NOT(ISNUMBER(B4571)),"DATA_PC invalida",IF(OR(C4571="",C4571="Fora dos ciclos"),"CICLO_PC nao identificado",IF(OR(D4571="",D4571=0),"VALOR_PC vazio ou zero",IF(AND(G4571&lt;&gt;"Sim",G4571&lt;&gt;"Nao",G4571&lt;&gt;""),"PC_PAGO_A_CONTRATADA invalido",IF(AND(C4571&lt;&gt;"C0",IFERROR(INDEX(parametros!$A$2:$A$6,MATCH(C4571,parametros!$B$2:$B$6,0)),"")="Sim",IFERROR(INDEX(parametros!$H$2:$H$6,MATCH(C4571,parametros!$B$2:$B$6,0)),"")=""),"INICIO_EFEITO ausente: PC "&amp;A4571&amp;" - "&amp;C4571,IF(L4571="","EFEITO_PC nao calculado: PC "&amp;A4571&amp;" - "&amp;C4571,"OK")))))))))</f>
        <v/>
      </c>
      <c r="L4571" s="92" t="str">
        <f>IF(AND(A4571="",B4571="",D4571="",G4571=""),"",IF(OR(B4571="",NOT(ISNUMBER(B4571)),C4571="",C4571="Fora dos ciclos"),"",IF(C4571="C0","Nao",IF(IFERROR(INDEX(parametros!$A$2:$A$6,MATCH(C4571,parametros!$B$2:$B$6,0)),"")&lt;&gt;"Sim","Nao",IF(IFERROR(INDEX(parametros!$H$2:$H$6,MATCH(C4571,parametros!$B$2:$B$6,0)),"")="","",IF(B4571&gt;=IFERROR(INDEX(parametros!$H$2:$H$6,MATCH(C4571,parametros!$B$2:$B$6,0)),""),"Sim","Nao"))))))</f>
        <v/>
      </c>
      <c r="T4571" s="156"/>
      <c r="U4571" s="214" t="str">
        <f t="shared" si="361"/>
        <v/>
      </c>
      <c r="V4571" s="212" t="s">
        <v>50</v>
      </c>
      <c r="W4571" s="100" t="s">
        <v>168</v>
      </c>
      <c r="X4571" s="100" t="s">
        <v>169</v>
      </c>
      <c r="Y4571" s="101" t="s">
        <v>170</v>
      </c>
      <c r="Z4571" s="101" t="s">
        <v>171</v>
      </c>
      <c r="AA4571" s="101" t="s">
        <v>50</v>
      </c>
      <c r="AB4571" s="101" t="s">
        <v>172</v>
      </c>
      <c r="AC4571" s="102" t="s">
        <v>173</v>
      </c>
    </row>
    <row r="4572" spans="1:29" ht="25.5" customHeight="1" x14ac:dyDescent="0.35">
      <c r="A4572" s="392"/>
      <c r="B4572" s="393"/>
      <c r="C4572" s="99" t="str">
        <f>IF(B4572="","",IF(NOT(ISNUMBER(B4572)),"DATA_PC invalida",IF(NOT(ISNUMBER(parametros!$C$2)),"Fora dos ciclos",IF(OR(B4572&lt;parametros!$C$2,(YEAR(B4572)-YEAR(parametros!$C$2))*12+MONTH(B4572)-MONTH(parametros!$C$2)&gt;59),"Fora dos ciclos","C"&amp;INT(((YEAR(B4572)-YEAR(parametros!$C$2))*12+MONTH(B4572)-MONTH(parametros!$C$2))/12)))))</f>
        <v/>
      </c>
      <c r="D4572" s="394"/>
      <c r="E4572" s="78" t="str">
        <f>IF(C4572="","",IFERROR(VLOOKUP(C4572,parametros!$A$11:$E$15,5,0),""))</f>
        <v/>
      </c>
      <c r="F4572" s="79" t="str">
        <f t="shared" si="357"/>
        <v/>
      </c>
      <c r="G4572" s="395"/>
      <c r="H4572" s="91">
        <f t="shared" si="358"/>
        <v>0</v>
      </c>
      <c r="I4572" s="91" t="str">
        <f t="shared" si="359"/>
        <v/>
      </c>
      <c r="J4572" s="91" t="str">
        <f t="shared" si="360"/>
        <v/>
      </c>
      <c r="K4572" s="92" t="str">
        <f>IF(AND(A4572="",B4572="",D4572="",G4572=""),"",IF(AND(A4572&lt;&gt;"",COUNTIF($A$2:$A$5001,A4572)&gt;1),"NUMERO_PC duplicado",IF(B4572="","DATA_PC vazia",IF(NOT(ISNUMBER(B4572)),"DATA_PC invalida",IF(OR(C4572="",C4572="Fora dos ciclos"),"CICLO_PC nao identificado",IF(OR(D4572="",D4572=0),"VALOR_PC vazio ou zero",IF(AND(G4572&lt;&gt;"Sim",G4572&lt;&gt;"Nao",G4572&lt;&gt;""),"PC_PAGO_A_CONTRATADA invalido",IF(AND(C4572&lt;&gt;"C0",IFERROR(INDEX(parametros!$A$2:$A$6,MATCH(C4572,parametros!$B$2:$B$6,0)),"")="Sim",IFERROR(INDEX(parametros!$H$2:$H$6,MATCH(C4572,parametros!$B$2:$B$6,0)),"")=""),"INICIO_EFEITO ausente: PC "&amp;A4572&amp;" - "&amp;C4572,IF(L4572="","EFEITO_PC nao calculado: PC "&amp;A4572&amp;" - "&amp;C4572,"OK")))))))))</f>
        <v/>
      </c>
      <c r="L4572" s="92" t="str">
        <f>IF(AND(A4572="",B4572="",D4572="",G4572=""),"",IF(OR(B4572="",NOT(ISNUMBER(B4572)),C4572="",C4572="Fora dos ciclos"),"",IF(C4572="C0","Nao",IF(IFERROR(INDEX(parametros!$A$2:$A$6,MATCH(C4572,parametros!$B$2:$B$6,0)),"")&lt;&gt;"Sim","Nao",IF(IFERROR(INDEX(parametros!$H$2:$H$6,MATCH(C4572,parametros!$B$2:$B$6,0)),"")="","",IF(B4572&gt;=IFERROR(INDEX(parametros!$H$2:$H$6,MATCH(C4572,parametros!$B$2:$B$6,0)),""),"Sim","Nao"))))))</f>
        <v/>
      </c>
      <c r="T4572" s="156"/>
      <c r="U4572" s="214" t="str">
        <f t="shared" si="361"/>
        <v/>
      </c>
      <c r="V4572" s="212" t="s">
        <v>50</v>
      </c>
      <c r="W4572" s="100" t="s">
        <v>168</v>
      </c>
      <c r="X4572" s="100" t="s">
        <v>169</v>
      </c>
      <c r="Y4572" s="101" t="s">
        <v>170</v>
      </c>
      <c r="Z4572" s="101" t="s">
        <v>171</v>
      </c>
      <c r="AA4572" s="101" t="s">
        <v>50</v>
      </c>
      <c r="AB4572" s="101" t="s">
        <v>172</v>
      </c>
      <c r="AC4572" s="102" t="s">
        <v>173</v>
      </c>
    </row>
    <row r="4573" spans="1:29" ht="25.5" customHeight="1" x14ac:dyDescent="0.35">
      <c r="A4573" s="392"/>
      <c r="B4573" s="393"/>
      <c r="C4573" s="99" t="str">
        <f>IF(B4573="","",IF(NOT(ISNUMBER(B4573)),"DATA_PC invalida",IF(NOT(ISNUMBER(parametros!$C$2)),"Fora dos ciclos",IF(OR(B4573&lt;parametros!$C$2,(YEAR(B4573)-YEAR(parametros!$C$2))*12+MONTH(B4573)-MONTH(parametros!$C$2)&gt;59),"Fora dos ciclos","C"&amp;INT(((YEAR(B4573)-YEAR(parametros!$C$2))*12+MONTH(B4573)-MONTH(parametros!$C$2))/12)))))</f>
        <v/>
      </c>
      <c r="D4573" s="394"/>
      <c r="E4573" s="78" t="str">
        <f>IF(C4573="","",IFERROR(VLOOKUP(C4573,parametros!$A$11:$E$15,5,0),""))</f>
        <v/>
      </c>
      <c r="F4573" s="79" t="str">
        <f t="shared" si="357"/>
        <v/>
      </c>
      <c r="G4573" s="395"/>
      <c r="H4573" s="91">
        <f t="shared" si="358"/>
        <v>0</v>
      </c>
      <c r="I4573" s="91" t="str">
        <f t="shared" si="359"/>
        <v/>
      </c>
      <c r="J4573" s="91" t="str">
        <f t="shared" si="360"/>
        <v/>
      </c>
      <c r="K4573" s="92" t="str">
        <f>IF(AND(A4573="",B4573="",D4573="",G4573=""),"",IF(AND(A4573&lt;&gt;"",COUNTIF($A$2:$A$5001,A4573)&gt;1),"NUMERO_PC duplicado",IF(B4573="","DATA_PC vazia",IF(NOT(ISNUMBER(B4573)),"DATA_PC invalida",IF(OR(C4573="",C4573="Fora dos ciclos"),"CICLO_PC nao identificado",IF(OR(D4573="",D4573=0),"VALOR_PC vazio ou zero",IF(AND(G4573&lt;&gt;"Sim",G4573&lt;&gt;"Nao",G4573&lt;&gt;""),"PC_PAGO_A_CONTRATADA invalido",IF(AND(C4573&lt;&gt;"C0",IFERROR(INDEX(parametros!$A$2:$A$6,MATCH(C4573,parametros!$B$2:$B$6,0)),"")="Sim",IFERROR(INDEX(parametros!$H$2:$H$6,MATCH(C4573,parametros!$B$2:$B$6,0)),"")=""),"INICIO_EFEITO ausente: PC "&amp;A4573&amp;" - "&amp;C4573,IF(L4573="","EFEITO_PC nao calculado: PC "&amp;A4573&amp;" - "&amp;C4573,"OK")))))))))</f>
        <v/>
      </c>
      <c r="L4573" s="92" t="str">
        <f>IF(AND(A4573="",B4573="",D4573="",G4573=""),"",IF(OR(B4573="",NOT(ISNUMBER(B4573)),C4573="",C4573="Fora dos ciclos"),"",IF(C4573="C0","Nao",IF(IFERROR(INDEX(parametros!$A$2:$A$6,MATCH(C4573,parametros!$B$2:$B$6,0)),"")&lt;&gt;"Sim","Nao",IF(IFERROR(INDEX(parametros!$H$2:$H$6,MATCH(C4573,parametros!$B$2:$B$6,0)),"")="","",IF(B4573&gt;=IFERROR(INDEX(parametros!$H$2:$H$6,MATCH(C4573,parametros!$B$2:$B$6,0)),""),"Sim","Nao"))))))</f>
        <v/>
      </c>
      <c r="T4573" s="156"/>
      <c r="U4573" s="214" t="str">
        <f t="shared" si="361"/>
        <v/>
      </c>
      <c r="V4573" s="212" t="s">
        <v>50</v>
      </c>
      <c r="W4573" s="100" t="s">
        <v>168</v>
      </c>
      <c r="X4573" s="100" t="s">
        <v>169</v>
      </c>
      <c r="Y4573" s="101" t="s">
        <v>170</v>
      </c>
      <c r="Z4573" s="101" t="s">
        <v>171</v>
      </c>
      <c r="AA4573" s="101" t="s">
        <v>50</v>
      </c>
      <c r="AB4573" s="101" t="s">
        <v>172</v>
      </c>
      <c r="AC4573" s="102" t="s">
        <v>173</v>
      </c>
    </row>
    <row r="4574" spans="1:29" ht="25.5" customHeight="1" x14ac:dyDescent="0.35">
      <c r="A4574" s="392"/>
      <c r="B4574" s="393"/>
      <c r="C4574" s="99" t="str">
        <f>IF(B4574="","",IF(NOT(ISNUMBER(B4574)),"DATA_PC invalida",IF(NOT(ISNUMBER(parametros!$C$2)),"Fora dos ciclos",IF(OR(B4574&lt;parametros!$C$2,(YEAR(B4574)-YEAR(parametros!$C$2))*12+MONTH(B4574)-MONTH(parametros!$C$2)&gt;59),"Fora dos ciclos","C"&amp;INT(((YEAR(B4574)-YEAR(parametros!$C$2))*12+MONTH(B4574)-MONTH(parametros!$C$2))/12)))))</f>
        <v/>
      </c>
      <c r="D4574" s="394"/>
      <c r="E4574" s="78" t="str">
        <f>IF(C4574="","",IFERROR(VLOOKUP(C4574,parametros!$A$11:$E$15,5,0),""))</f>
        <v/>
      </c>
      <c r="F4574" s="79" t="str">
        <f t="shared" si="357"/>
        <v/>
      </c>
      <c r="G4574" s="395"/>
      <c r="H4574" s="91">
        <f t="shared" si="358"/>
        <v>0</v>
      </c>
      <c r="I4574" s="91" t="str">
        <f t="shared" si="359"/>
        <v/>
      </c>
      <c r="J4574" s="91" t="str">
        <f t="shared" si="360"/>
        <v/>
      </c>
      <c r="K4574" s="92" t="str">
        <f>IF(AND(A4574="",B4574="",D4574="",G4574=""),"",IF(AND(A4574&lt;&gt;"",COUNTIF($A$2:$A$5001,A4574)&gt;1),"NUMERO_PC duplicado",IF(B4574="","DATA_PC vazia",IF(NOT(ISNUMBER(B4574)),"DATA_PC invalida",IF(OR(C4574="",C4574="Fora dos ciclos"),"CICLO_PC nao identificado",IF(OR(D4574="",D4574=0),"VALOR_PC vazio ou zero",IF(AND(G4574&lt;&gt;"Sim",G4574&lt;&gt;"Nao",G4574&lt;&gt;""),"PC_PAGO_A_CONTRATADA invalido",IF(AND(C4574&lt;&gt;"C0",IFERROR(INDEX(parametros!$A$2:$A$6,MATCH(C4574,parametros!$B$2:$B$6,0)),"")="Sim",IFERROR(INDEX(parametros!$H$2:$H$6,MATCH(C4574,parametros!$B$2:$B$6,0)),"")=""),"INICIO_EFEITO ausente: PC "&amp;A4574&amp;" - "&amp;C4574,IF(L4574="","EFEITO_PC nao calculado: PC "&amp;A4574&amp;" - "&amp;C4574,"OK")))))))))</f>
        <v/>
      </c>
      <c r="L4574" s="92" t="str">
        <f>IF(AND(A4574="",B4574="",D4574="",G4574=""),"",IF(OR(B4574="",NOT(ISNUMBER(B4574)),C4574="",C4574="Fora dos ciclos"),"",IF(C4574="C0","Nao",IF(IFERROR(INDEX(parametros!$A$2:$A$6,MATCH(C4574,parametros!$B$2:$B$6,0)),"")&lt;&gt;"Sim","Nao",IF(IFERROR(INDEX(parametros!$H$2:$H$6,MATCH(C4574,parametros!$B$2:$B$6,0)),"")="","",IF(B4574&gt;=IFERROR(INDEX(parametros!$H$2:$H$6,MATCH(C4574,parametros!$B$2:$B$6,0)),""),"Sim","Nao"))))))</f>
        <v/>
      </c>
      <c r="T4574" s="156"/>
      <c r="U4574" s="214" t="str">
        <f t="shared" si="361"/>
        <v/>
      </c>
      <c r="V4574" s="212" t="s">
        <v>50</v>
      </c>
      <c r="W4574" s="100" t="s">
        <v>168</v>
      </c>
      <c r="X4574" s="100" t="s">
        <v>169</v>
      </c>
      <c r="Y4574" s="101" t="s">
        <v>170</v>
      </c>
      <c r="Z4574" s="101" t="s">
        <v>171</v>
      </c>
      <c r="AA4574" s="101" t="s">
        <v>50</v>
      </c>
      <c r="AB4574" s="101" t="s">
        <v>172</v>
      </c>
      <c r="AC4574" s="102" t="s">
        <v>173</v>
      </c>
    </row>
    <row r="4575" spans="1:29" ht="25.5" customHeight="1" x14ac:dyDescent="0.35">
      <c r="A4575" s="392"/>
      <c r="B4575" s="393"/>
      <c r="C4575" s="99" t="str">
        <f>IF(B4575="","",IF(NOT(ISNUMBER(B4575)),"DATA_PC invalida",IF(NOT(ISNUMBER(parametros!$C$2)),"Fora dos ciclos",IF(OR(B4575&lt;parametros!$C$2,(YEAR(B4575)-YEAR(parametros!$C$2))*12+MONTH(B4575)-MONTH(parametros!$C$2)&gt;59),"Fora dos ciclos","C"&amp;INT(((YEAR(B4575)-YEAR(parametros!$C$2))*12+MONTH(B4575)-MONTH(parametros!$C$2))/12)))))</f>
        <v/>
      </c>
      <c r="D4575" s="394"/>
      <c r="E4575" s="78" t="str">
        <f>IF(C4575="","",IFERROR(VLOOKUP(C4575,parametros!$A$11:$E$15,5,0),""))</f>
        <v/>
      </c>
      <c r="F4575" s="79" t="str">
        <f t="shared" si="357"/>
        <v/>
      </c>
      <c r="G4575" s="395"/>
      <c r="H4575" s="91">
        <f t="shared" si="358"/>
        <v>0</v>
      </c>
      <c r="I4575" s="91" t="str">
        <f t="shared" si="359"/>
        <v/>
      </c>
      <c r="J4575" s="91" t="str">
        <f t="shared" si="360"/>
        <v/>
      </c>
      <c r="K4575" s="92" t="str">
        <f>IF(AND(A4575="",B4575="",D4575="",G4575=""),"",IF(AND(A4575&lt;&gt;"",COUNTIF($A$2:$A$5001,A4575)&gt;1),"NUMERO_PC duplicado",IF(B4575="","DATA_PC vazia",IF(NOT(ISNUMBER(B4575)),"DATA_PC invalida",IF(OR(C4575="",C4575="Fora dos ciclos"),"CICLO_PC nao identificado",IF(OR(D4575="",D4575=0),"VALOR_PC vazio ou zero",IF(AND(G4575&lt;&gt;"Sim",G4575&lt;&gt;"Nao",G4575&lt;&gt;""),"PC_PAGO_A_CONTRATADA invalido",IF(AND(C4575&lt;&gt;"C0",IFERROR(INDEX(parametros!$A$2:$A$6,MATCH(C4575,parametros!$B$2:$B$6,0)),"")="Sim",IFERROR(INDEX(parametros!$H$2:$H$6,MATCH(C4575,parametros!$B$2:$B$6,0)),"")=""),"INICIO_EFEITO ausente: PC "&amp;A4575&amp;" - "&amp;C4575,IF(L4575="","EFEITO_PC nao calculado: PC "&amp;A4575&amp;" - "&amp;C4575,"OK")))))))))</f>
        <v/>
      </c>
      <c r="L4575" s="92" t="str">
        <f>IF(AND(A4575="",B4575="",D4575="",G4575=""),"",IF(OR(B4575="",NOT(ISNUMBER(B4575)),C4575="",C4575="Fora dos ciclos"),"",IF(C4575="C0","Nao",IF(IFERROR(INDEX(parametros!$A$2:$A$6,MATCH(C4575,parametros!$B$2:$B$6,0)),"")&lt;&gt;"Sim","Nao",IF(IFERROR(INDEX(parametros!$H$2:$H$6,MATCH(C4575,parametros!$B$2:$B$6,0)),"")="","",IF(B4575&gt;=IFERROR(INDEX(parametros!$H$2:$H$6,MATCH(C4575,parametros!$B$2:$B$6,0)),""),"Sim","Nao"))))))</f>
        <v/>
      </c>
      <c r="T4575" s="156"/>
      <c r="U4575" s="214" t="str">
        <f t="shared" si="361"/>
        <v/>
      </c>
      <c r="V4575" s="212" t="s">
        <v>50</v>
      </c>
      <c r="W4575" s="100" t="s">
        <v>168</v>
      </c>
      <c r="X4575" s="100" t="s">
        <v>169</v>
      </c>
      <c r="Y4575" s="101" t="s">
        <v>170</v>
      </c>
      <c r="Z4575" s="101" t="s">
        <v>171</v>
      </c>
      <c r="AA4575" s="101" t="s">
        <v>50</v>
      </c>
      <c r="AB4575" s="101" t="s">
        <v>172</v>
      </c>
      <c r="AC4575" s="102" t="s">
        <v>173</v>
      </c>
    </row>
    <row r="4576" spans="1:29" ht="25.5" customHeight="1" x14ac:dyDescent="0.35">
      <c r="A4576" s="392"/>
      <c r="B4576" s="393"/>
      <c r="C4576" s="99" t="str">
        <f>IF(B4576="","",IF(NOT(ISNUMBER(B4576)),"DATA_PC invalida",IF(NOT(ISNUMBER(parametros!$C$2)),"Fora dos ciclos",IF(OR(B4576&lt;parametros!$C$2,(YEAR(B4576)-YEAR(parametros!$C$2))*12+MONTH(B4576)-MONTH(parametros!$C$2)&gt;59),"Fora dos ciclos","C"&amp;INT(((YEAR(B4576)-YEAR(parametros!$C$2))*12+MONTH(B4576)-MONTH(parametros!$C$2))/12)))))</f>
        <v/>
      </c>
      <c r="D4576" s="394"/>
      <c r="E4576" s="78" t="str">
        <f>IF(C4576="","",IFERROR(VLOOKUP(C4576,parametros!$A$11:$E$15,5,0),""))</f>
        <v/>
      </c>
      <c r="F4576" s="79" t="str">
        <f t="shared" si="357"/>
        <v/>
      </c>
      <c r="G4576" s="395"/>
      <c r="H4576" s="91">
        <f t="shared" si="358"/>
        <v>0</v>
      </c>
      <c r="I4576" s="91" t="str">
        <f t="shared" si="359"/>
        <v/>
      </c>
      <c r="J4576" s="91" t="str">
        <f t="shared" si="360"/>
        <v/>
      </c>
      <c r="K4576" s="92" t="str">
        <f>IF(AND(A4576="",B4576="",D4576="",G4576=""),"",IF(AND(A4576&lt;&gt;"",COUNTIF($A$2:$A$5001,A4576)&gt;1),"NUMERO_PC duplicado",IF(B4576="","DATA_PC vazia",IF(NOT(ISNUMBER(B4576)),"DATA_PC invalida",IF(OR(C4576="",C4576="Fora dos ciclos"),"CICLO_PC nao identificado",IF(OR(D4576="",D4576=0),"VALOR_PC vazio ou zero",IF(AND(G4576&lt;&gt;"Sim",G4576&lt;&gt;"Nao",G4576&lt;&gt;""),"PC_PAGO_A_CONTRATADA invalido",IF(AND(C4576&lt;&gt;"C0",IFERROR(INDEX(parametros!$A$2:$A$6,MATCH(C4576,parametros!$B$2:$B$6,0)),"")="Sim",IFERROR(INDEX(parametros!$H$2:$H$6,MATCH(C4576,parametros!$B$2:$B$6,0)),"")=""),"INICIO_EFEITO ausente: PC "&amp;A4576&amp;" - "&amp;C4576,IF(L4576="","EFEITO_PC nao calculado: PC "&amp;A4576&amp;" - "&amp;C4576,"OK")))))))))</f>
        <v/>
      </c>
      <c r="L4576" s="92" t="str">
        <f>IF(AND(A4576="",B4576="",D4576="",G4576=""),"",IF(OR(B4576="",NOT(ISNUMBER(B4576)),C4576="",C4576="Fora dos ciclos"),"",IF(C4576="C0","Nao",IF(IFERROR(INDEX(parametros!$A$2:$A$6,MATCH(C4576,parametros!$B$2:$B$6,0)),"")&lt;&gt;"Sim","Nao",IF(IFERROR(INDEX(parametros!$H$2:$H$6,MATCH(C4576,parametros!$B$2:$B$6,0)),"")="","",IF(B4576&gt;=IFERROR(INDEX(parametros!$H$2:$H$6,MATCH(C4576,parametros!$B$2:$B$6,0)),""),"Sim","Nao"))))))</f>
        <v/>
      </c>
      <c r="T4576" s="156"/>
      <c r="U4576" s="214" t="str">
        <f t="shared" si="361"/>
        <v/>
      </c>
      <c r="V4576" s="212" t="s">
        <v>50</v>
      </c>
      <c r="W4576" s="100" t="s">
        <v>168</v>
      </c>
      <c r="X4576" s="100" t="s">
        <v>169</v>
      </c>
      <c r="Y4576" s="101" t="s">
        <v>170</v>
      </c>
      <c r="Z4576" s="101" t="s">
        <v>171</v>
      </c>
      <c r="AA4576" s="101" t="s">
        <v>50</v>
      </c>
      <c r="AB4576" s="101" t="s">
        <v>172</v>
      </c>
      <c r="AC4576" s="102" t="s">
        <v>173</v>
      </c>
    </row>
    <row r="4577" spans="1:29" ht="25.5" customHeight="1" x14ac:dyDescent="0.35">
      <c r="A4577" s="392"/>
      <c r="B4577" s="393"/>
      <c r="C4577" s="99" t="str">
        <f>IF(B4577="","",IF(NOT(ISNUMBER(B4577)),"DATA_PC invalida",IF(NOT(ISNUMBER(parametros!$C$2)),"Fora dos ciclos",IF(OR(B4577&lt;parametros!$C$2,(YEAR(B4577)-YEAR(parametros!$C$2))*12+MONTH(B4577)-MONTH(parametros!$C$2)&gt;59),"Fora dos ciclos","C"&amp;INT(((YEAR(B4577)-YEAR(parametros!$C$2))*12+MONTH(B4577)-MONTH(parametros!$C$2))/12)))))</f>
        <v/>
      </c>
      <c r="D4577" s="394"/>
      <c r="E4577" s="78" t="str">
        <f>IF(C4577="","",IFERROR(VLOOKUP(C4577,parametros!$A$11:$E$15,5,0),""))</f>
        <v/>
      </c>
      <c r="F4577" s="79" t="str">
        <f t="shared" si="357"/>
        <v/>
      </c>
      <c r="G4577" s="395"/>
      <c r="H4577" s="91">
        <f t="shared" si="358"/>
        <v>0</v>
      </c>
      <c r="I4577" s="91" t="str">
        <f t="shared" si="359"/>
        <v/>
      </c>
      <c r="J4577" s="91" t="str">
        <f t="shared" si="360"/>
        <v/>
      </c>
      <c r="K4577" s="92" t="str">
        <f>IF(AND(A4577="",B4577="",D4577="",G4577=""),"",IF(AND(A4577&lt;&gt;"",COUNTIF($A$2:$A$5001,A4577)&gt;1),"NUMERO_PC duplicado",IF(B4577="","DATA_PC vazia",IF(NOT(ISNUMBER(B4577)),"DATA_PC invalida",IF(OR(C4577="",C4577="Fora dos ciclos"),"CICLO_PC nao identificado",IF(OR(D4577="",D4577=0),"VALOR_PC vazio ou zero",IF(AND(G4577&lt;&gt;"Sim",G4577&lt;&gt;"Nao",G4577&lt;&gt;""),"PC_PAGO_A_CONTRATADA invalido",IF(AND(C4577&lt;&gt;"C0",IFERROR(INDEX(parametros!$A$2:$A$6,MATCH(C4577,parametros!$B$2:$B$6,0)),"")="Sim",IFERROR(INDEX(parametros!$H$2:$H$6,MATCH(C4577,parametros!$B$2:$B$6,0)),"")=""),"INICIO_EFEITO ausente: PC "&amp;A4577&amp;" - "&amp;C4577,IF(L4577="","EFEITO_PC nao calculado: PC "&amp;A4577&amp;" - "&amp;C4577,"OK")))))))))</f>
        <v/>
      </c>
      <c r="L4577" s="92" t="str">
        <f>IF(AND(A4577="",B4577="",D4577="",G4577=""),"",IF(OR(B4577="",NOT(ISNUMBER(B4577)),C4577="",C4577="Fora dos ciclos"),"",IF(C4577="C0","Nao",IF(IFERROR(INDEX(parametros!$A$2:$A$6,MATCH(C4577,parametros!$B$2:$B$6,0)),"")&lt;&gt;"Sim","Nao",IF(IFERROR(INDEX(parametros!$H$2:$H$6,MATCH(C4577,parametros!$B$2:$B$6,0)),"")="","",IF(B4577&gt;=IFERROR(INDEX(parametros!$H$2:$H$6,MATCH(C4577,parametros!$B$2:$B$6,0)),""),"Sim","Nao"))))))</f>
        <v/>
      </c>
      <c r="T4577" s="156"/>
      <c r="U4577" s="214" t="str">
        <f t="shared" si="361"/>
        <v/>
      </c>
      <c r="V4577" s="212" t="s">
        <v>50</v>
      </c>
      <c r="W4577" s="100" t="s">
        <v>168</v>
      </c>
      <c r="X4577" s="100" t="s">
        <v>169</v>
      </c>
      <c r="Y4577" s="101" t="s">
        <v>170</v>
      </c>
      <c r="Z4577" s="101" t="s">
        <v>171</v>
      </c>
      <c r="AA4577" s="101" t="s">
        <v>50</v>
      </c>
      <c r="AB4577" s="101" t="s">
        <v>172</v>
      </c>
      <c r="AC4577" s="102" t="s">
        <v>173</v>
      </c>
    </row>
    <row r="4578" spans="1:29" ht="25.5" customHeight="1" x14ac:dyDescent="0.35">
      <c r="A4578" s="392"/>
      <c r="B4578" s="393"/>
      <c r="C4578" s="99" t="str">
        <f>IF(B4578="","",IF(NOT(ISNUMBER(B4578)),"DATA_PC invalida",IF(NOT(ISNUMBER(parametros!$C$2)),"Fora dos ciclos",IF(OR(B4578&lt;parametros!$C$2,(YEAR(B4578)-YEAR(parametros!$C$2))*12+MONTH(B4578)-MONTH(parametros!$C$2)&gt;59),"Fora dos ciclos","C"&amp;INT(((YEAR(B4578)-YEAR(parametros!$C$2))*12+MONTH(B4578)-MONTH(parametros!$C$2))/12)))))</f>
        <v/>
      </c>
      <c r="D4578" s="394"/>
      <c r="E4578" s="78" t="str">
        <f>IF(C4578="","",IFERROR(VLOOKUP(C4578,parametros!$A$11:$E$15,5,0),""))</f>
        <v/>
      </c>
      <c r="F4578" s="79" t="str">
        <f t="shared" si="357"/>
        <v/>
      </c>
      <c r="G4578" s="395"/>
      <c r="H4578" s="91">
        <f t="shared" si="358"/>
        <v>0</v>
      </c>
      <c r="I4578" s="91" t="str">
        <f t="shared" si="359"/>
        <v/>
      </c>
      <c r="J4578" s="91" t="str">
        <f t="shared" si="360"/>
        <v/>
      </c>
      <c r="K4578" s="92" t="str">
        <f>IF(AND(A4578="",B4578="",D4578="",G4578=""),"",IF(AND(A4578&lt;&gt;"",COUNTIF($A$2:$A$5001,A4578)&gt;1),"NUMERO_PC duplicado",IF(B4578="","DATA_PC vazia",IF(NOT(ISNUMBER(B4578)),"DATA_PC invalida",IF(OR(C4578="",C4578="Fora dos ciclos"),"CICLO_PC nao identificado",IF(OR(D4578="",D4578=0),"VALOR_PC vazio ou zero",IF(AND(G4578&lt;&gt;"Sim",G4578&lt;&gt;"Nao",G4578&lt;&gt;""),"PC_PAGO_A_CONTRATADA invalido",IF(AND(C4578&lt;&gt;"C0",IFERROR(INDEX(parametros!$A$2:$A$6,MATCH(C4578,parametros!$B$2:$B$6,0)),"")="Sim",IFERROR(INDEX(parametros!$H$2:$H$6,MATCH(C4578,parametros!$B$2:$B$6,0)),"")=""),"INICIO_EFEITO ausente: PC "&amp;A4578&amp;" - "&amp;C4578,IF(L4578="","EFEITO_PC nao calculado: PC "&amp;A4578&amp;" - "&amp;C4578,"OK")))))))))</f>
        <v/>
      </c>
      <c r="L4578" s="92" t="str">
        <f>IF(AND(A4578="",B4578="",D4578="",G4578=""),"",IF(OR(B4578="",NOT(ISNUMBER(B4578)),C4578="",C4578="Fora dos ciclos"),"",IF(C4578="C0","Nao",IF(IFERROR(INDEX(parametros!$A$2:$A$6,MATCH(C4578,parametros!$B$2:$B$6,0)),"")&lt;&gt;"Sim","Nao",IF(IFERROR(INDEX(parametros!$H$2:$H$6,MATCH(C4578,parametros!$B$2:$B$6,0)),"")="","",IF(B4578&gt;=IFERROR(INDEX(parametros!$H$2:$H$6,MATCH(C4578,parametros!$B$2:$B$6,0)),""),"Sim","Nao"))))))</f>
        <v/>
      </c>
      <c r="T4578" s="156"/>
      <c r="U4578" s="214" t="str">
        <f t="shared" si="361"/>
        <v/>
      </c>
      <c r="V4578" s="212" t="s">
        <v>50</v>
      </c>
      <c r="W4578" s="100" t="s">
        <v>168</v>
      </c>
      <c r="X4578" s="100" t="s">
        <v>169</v>
      </c>
      <c r="Y4578" s="101" t="s">
        <v>170</v>
      </c>
      <c r="Z4578" s="101" t="s">
        <v>171</v>
      </c>
      <c r="AA4578" s="101" t="s">
        <v>50</v>
      </c>
      <c r="AB4578" s="101" t="s">
        <v>172</v>
      </c>
      <c r="AC4578" s="102" t="s">
        <v>173</v>
      </c>
    </row>
    <row r="4579" spans="1:29" ht="25.5" customHeight="1" x14ac:dyDescent="0.35">
      <c r="A4579" s="392"/>
      <c r="B4579" s="393"/>
      <c r="C4579" s="99" t="str">
        <f>IF(B4579="","",IF(NOT(ISNUMBER(B4579)),"DATA_PC invalida",IF(NOT(ISNUMBER(parametros!$C$2)),"Fora dos ciclos",IF(OR(B4579&lt;parametros!$C$2,(YEAR(B4579)-YEAR(parametros!$C$2))*12+MONTH(B4579)-MONTH(parametros!$C$2)&gt;59),"Fora dos ciclos","C"&amp;INT(((YEAR(B4579)-YEAR(parametros!$C$2))*12+MONTH(B4579)-MONTH(parametros!$C$2))/12)))))</f>
        <v/>
      </c>
      <c r="D4579" s="394"/>
      <c r="E4579" s="78" t="str">
        <f>IF(C4579="","",IFERROR(VLOOKUP(C4579,parametros!$A$11:$E$15,5,0),""))</f>
        <v/>
      </c>
      <c r="F4579" s="79" t="str">
        <f t="shared" si="357"/>
        <v/>
      </c>
      <c r="G4579" s="395"/>
      <c r="H4579" s="91">
        <f t="shared" si="358"/>
        <v>0</v>
      </c>
      <c r="I4579" s="91" t="str">
        <f t="shared" si="359"/>
        <v/>
      </c>
      <c r="J4579" s="91" t="str">
        <f t="shared" si="360"/>
        <v/>
      </c>
      <c r="K4579" s="92" t="str">
        <f>IF(AND(A4579="",B4579="",D4579="",G4579=""),"",IF(AND(A4579&lt;&gt;"",COUNTIF($A$2:$A$5001,A4579)&gt;1),"NUMERO_PC duplicado",IF(B4579="","DATA_PC vazia",IF(NOT(ISNUMBER(B4579)),"DATA_PC invalida",IF(OR(C4579="",C4579="Fora dos ciclos"),"CICLO_PC nao identificado",IF(OR(D4579="",D4579=0),"VALOR_PC vazio ou zero",IF(AND(G4579&lt;&gt;"Sim",G4579&lt;&gt;"Nao",G4579&lt;&gt;""),"PC_PAGO_A_CONTRATADA invalido",IF(AND(C4579&lt;&gt;"C0",IFERROR(INDEX(parametros!$A$2:$A$6,MATCH(C4579,parametros!$B$2:$B$6,0)),"")="Sim",IFERROR(INDEX(parametros!$H$2:$H$6,MATCH(C4579,parametros!$B$2:$B$6,0)),"")=""),"INICIO_EFEITO ausente: PC "&amp;A4579&amp;" - "&amp;C4579,IF(L4579="","EFEITO_PC nao calculado: PC "&amp;A4579&amp;" - "&amp;C4579,"OK")))))))))</f>
        <v/>
      </c>
      <c r="L4579" s="92" t="str">
        <f>IF(AND(A4579="",B4579="",D4579="",G4579=""),"",IF(OR(B4579="",NOT(ISNUMBER(B4579)),C4579="",C4579="Fora dos ciclos"),"",IF(C4579="C0","Nao",IF(IFERROR(INDEX(parametros!$A$2:$A$6,MATCH(C4579,parametros!$B$2:$B$6,0)),"")&lt;&gt;"Sim","Nao",IF(IFERROR(INDEX(parametros!$H$2:$H$6,MATCH(C4579,parametros!$B$2:$B$6,0)),"")="","",IF(B4579&gt;=IFERROR(INDEX(parametros!$H$2:$H$6,MATCH(C4579,parametros!$B$2:$B$6,0)),""),"Sim","Nao"))))))</f>
        <v/>
      </c>
      <c r="T4579" s="156"/>
      <c r="U4579" s="214" t="str">
        <f t="shared" si="361"/>
        <v/>
      </c>
      <c r="V4579" s="212" t="s">
        <v>50</v>
      </c>
      <c r="W4579" s="100" t="s">
        <v>168</v>
      </c>
      <c r="X4579" s="100" t="s">
        <v>169</v>
      </c>
      <c r="Y4579" s="101" t="s">
        <v>170</v>
      </c>
      <c r="Z4579" s="101" t="s">
        <v>171</v>
      </c>
      <c r="AA4579" s="101" t="s">
        <v>50</v>
      </c>
      <c r="AB4579" s="101" t="s">
        <v>172</v>
      </c>
      <c r="AC4579" s="102" t="s">
        <v>173</v>
      </c>
    </row>
    <row r="4580" spans="1:29" ht="25.5" customHeight="1" x14ac:dyDescent="0.35">
      <c r="A4580" s="392"/>
      <c r="B4580" s="393"/>
      <c r="C4580" s="99" t="str">
        <f>IF(B4580="","",IF(NOT(ISNUMBER(B4580)),"DATA_PC invalida",IF(NOT(ISNUMBER(parametros!$C$2)),"Fora dos ciclos",IF(OR(B4580&lt;parametros!$C$2,(YEAR(B4580)-YEAR(parametros!$C$2))*12+MONTH(B4580)-MONTH(parametros!$C$2)&gt;59),"Fora dos ciclos","C"&amp;INT(((YEAR(B4580)-YEAR(parametros!$C$2))*12+MONTH(B4580)-MONTH(parametros!$C$2))/12)))))</f>
        <v/>
      </c>
      <c r="D4580" s="394"/>
      <c r="E4580" s="78" t="str">
        <f>IF(C4580="","",IFERROR(VLOOKUP(C4580,parametros!$A$11:$E$15,5,0),""))</f>
        <v/>
      </c>
      <c r="F4580" s="79" t="str">
        <f t="shared" si="357"/>
        <v/>
      </c>
      <c r="G4580" s="395"/>
      <c r="H4580" s="91">
        <f t="shared" si="358"/>
        <v>0</v>
      </c>
      <c r="I4580" s="91" t="str">
        <f t="shared" si="359"/>
        <v/>
      </c>
      <c r="J4580" s="91" t="str">
        <f t="shared" si="360"/>
        <v/>
      </c>
      <c r="K4580" s="92" t="str">
        <f>IF(AND(A4580="",B4580="",D4580="",G4580=""),"",IF(AND(A4580&lt;&gt;"",COUNTIF($A$2:$A$5001,A4580)&gt;1),"NUMERO_PC duplicado",IF(B4580="","DATA_PC vazia",IF(NOT(ISNUMBER(B4580)),"DATA_PC invalida",IF(OR(C4580="",C4580="Fora dos ciclos"),"CICLO_PC nao identificado",IF(OR(D4580="",D4580=0),"VALOR_PC vazio ou zero",IF(AND(G4580&lt;&gt;"Sim",G4580&lt;&gt;"Nao",G4580&lt;&gt;""),"PC_PAGO_A_CONTRATADA invalido",IF(AND(C4580&lt;&gt;"C0",IFERROR(INDEX(parametros!$A$2:$A$6,MATCH(C4580,parametros!$B$2:$B$6,0)),"")="Sim",IFERROR(INDEX(parametros!$H$2:$H$6,MATCH(C4580,parametros!$B$2:$B$6,0)),"")=""),"INICIO_EFEITO ausente: PC "&amp;A4580&amp;" - "&amp;C4580,IF(L4580="","EFEITO_PC nao calculado: PC "&amp;A4580&amp;" - "&amp;C4580,"OK")))))))))</f>
        <v/>
      </c>
      <c r="L4580" s="92" t="str">
        <f>IF(AND(A4580="",B4580="",D4580="",G4580=""),"",IF(OR(B4580="",NOT(ISNUMBER(B4580)),C4580="",C4580="Fora dos ciclos"),"",IF(C4580="C0","Nao",IF(IFERROR(INDEX(parametros!$A$2:$A$6,MATCH(C4580,parametros!$B$2:$B$6,0)),"")&lt;&gt;"Sim","Nao",IF(IFERROR(INDEX(parametros!$H$2:$H$6,MATCH(C4580,parametros!$B$2:$B$6,0)),"")="","",IF(B4580&gt;=IFERROR(INDEX(parametros!$H$2:$H$6,MATCH(C4580,parametros!$B$2:$B$6,0)),""),"Sim","Nao"))))))</f>
        <v/>
      </c>
      <c r="T4580" s="156"/>
      <c r="U4580" s="214" t="str">
        <f t="shared" si="361"/>
        <v/>
      </c>
      <c r="V4580" s="212" t="s">
        <v>50</v>
      </c>
      <c r="W4580" s="100" t="s">
        <v>168</v>
      </c>
      <c r="X4580" s="100" t="s">
        <v>169</v>
      </c>
      <c r="Y4580" s="101" t="s">
        <v>170</v>
      </c>
      <c r="Z4580" s="101" t="s">
        <v>171</v>
      </c>
      <c r="AA4580" s="101" t="s">
        <v>50</v>
      </c>
      <c r="AB4580" s="101" t="s">
        <v>172</v>
      </c>
      <c r="AC4580" s="102" t="s">
        <v>173</v>
      </c>
    </row>
    <row r="4581" spans="1:29" ht="25.5" customHeight="1" x14ac:dyDescent="0.35">
      <c r="A4581" s="392"/>
      <c r="B4581" s="393"/>
      <c r="C4581" s="99" t="str">
        <f>IF(B4581="","",IF(NOT(ISNUMBER(B4581)),"DATA_PC invalida",IF(NOT(ISNUMBER(parametros!$C$2)),"Fora dos ciclos",IF(OR(B4581&lt;parametros!$C$2,(YEAR(B4581)-YEAR(parametros!$C$2))*12+MONTH(B4581)-MONTH(parametros!$C$2)&gt;59),"Fora dos ciclos","C"&amp;INT(((YEAR(B4581)-YEAR(parametros!$C$2))*12+MONTH(B4581)-MONTH(parametros!$C$2))/12)))))</f>
        <v/>
      </c>
      <c r="D4581" s="394"/>
      <c r="E4581" s="78" t="str">
        <f>IF(C4581="","",IFERROR(VLOOKUP(C4581,parametros!$A$11:$E$15,5,0),""))</f>
        <v/>
      </c>
      <c r="F4581" s="79" t="str">
        <f t="shared" si="357"/>
        <v/>
      </c>
      <c r="G4581" s="395"/>
      <c r="H4581" s="91">
        <f t="shared" si="358"/>
        <v>0</v>
      </c>
      <c r="I4581" s="91" t="str">
        <f t="shared" si="359"/>
        <v/>
      </c>
      <c r="J4581" s="91" t="str">
        <f t="shared" si="360"/>
        <v/>
      </c>
      <c r="K4581" s="92" t="str">
        <f>IF(AND(A4581="",B4581="",D4581="",G4581=""),"",IF(AND(A4581&lt;&gt;"",COUNTIF($A$2:$A$5001,A4581)&gt;1),"NUMERO_PC duplicado",IF(B4581="","DATA_PC vazia",IF(NOT(ISNUMBER(B4581)),"DATA_PC invalida",IF(OR(C4581="",C4581="Fora dos ciclos"),"CICLO_PC nao identificado",IF(OR(D4581="",D4581=0),"VALOR_PC vazio ou zero",IF(AND(G4581&lt;&gt;"Sim",G4581&lt;&gt;"Nao",G4581&lt;&gt;""),"PC_PAGO_A_CONTRATADA invalido",IF(AND(C4581&lt;&gt;"C0",IFERROR(INDEX(parametros!$A$2:$A$6,MATCH(C4581,parametros!$B$2:$B$6,0)),"")="Sim",IFERROR(INDEX(parametros!$H$2:$H$6,MATCH(C4581,parametros!$B$2:$B$6,0)),"")=""),"INICIO_EFEITO ausente: PC "&amp;A4581&amp;" - "&amp;C4581,IF(L4581="","EFEITO_PC nao calculado: PC "&amp;A4581&amp;" - "&amp;C4581,"OK")))))))))</f>
        <v/>
      </c>
      <c r="L4581" s="92" t="str">
        <f>IF(AND(A4581="",B4581="",D4581="",G4581=""),"",IF(OR(B4581="",NOT(ISNUMBER(B4581)),C4581="",C4581="Fora dos ciclos"),"",IF(C4581="C0","Nao",IF(IFERROR(INDEX(parametros!$A$2:$A$6,MATCH(C4581,parametros!$B$2:$B$6,0)),"")&lt;&gt;"Sim","Nao",IF(IFERROR(INDEX(parametros!$H$2:$H$6,MATCH(C4581,parametros!$B$2:$B$6,0)),"")="","",IF(B4581&gt;=IFERROR(INDEX(parametros!$H$2:$H$6,MATCH(C4581,parametros!$B$2:$B$6,0)),""),"Sim","Nao"))))))</f>
        <v/>
      </c>
      <c r="T4581" s="156"/>
      <c r="U4581" s="214" t="str">
        <f t="shared" si="361"/>
        <v/>
      </c>
      <c r="V4581" s="212" t="s">
        <v>50</v>
      </c>
      <c r="W4581" s="100" t="s">
        <v>168</v>
      </c>
      <c r="X4581" s="100" t="s">
        <v>169</v>
      </c>
      <c r="Y4581" s="101" t="s">
        <v>170</v>
      </c>
      <c r="Z4581" s="101" t="s">
        <v>171</v>
      </c>
      <c r="AA4581" s="101" t="s">
        <v>50</v>
      </c>
      <c r="AB4581" s="101" t="s">
        <v>172</v>
      </c>
      <c r="AC4581" s="102" t="s">
        <v>173</v>
      </c>
    </row>
    <row r="4582" spans="1:29" ht="25.5" customHeight="1" x14ac:dyDescent="0.35">
      <c r="A4582" s="392"/>
      <c r="B4582" s="393"/>
      <c r="C4582" s="99" t="str">
        <f>IF(B4582="","",IF(NOT(ISNUMBER(B4582)),"DATA_PC invalida",IF(NOT(ISNUMBER(parametros!$C$2)),"Fora dos ciclos",IF(OR(B4582&lt;parametros!$C$2,(YEAR(B4582)-YEAR(parametros!$C$2))*12+MONTH(B4582)-MONTH(parametros!$C$2)&gt;59),"Fora dos ciclos","C"&amp;INT(((YEAR(B4582)-YEAR(parametros!$C$2))*12+MONTH(B4582)-MONTH(parametros!$C$2))/12)))))</f>
        <v/>
      </c>
      <c r="D4582" s="394"/>
      <c r="E4582" s="78" t="str">
        <f>IF(C4582="","",IFERROR(VLOOKUP(C4582,parametros!$A$11:$E$15,5,0),""))</f>
        <v/>
      </c>
      <c r="F4582" s="79" t="str">
        <f t="shared" si="357"/>
        <v/>
      </c>
      <c r="G4582" s="395"/>
      <c r="H4582" s="91">
        <f t="shared" si="358"/>
        <v>0</v>
      </c>
      <c r="I4582" s="91" t="str">
        <f t="shared" si="359"/>
        <v/>
      </c>
      <c r="J4582" s="91" t="str">
        <f t="shared" si="360"/>
        <v/>
      </c>
      <c r="K4582" s="92" t="str">
        <f>IF(AND(A4582="",B4582="",D4582="",G4582=""),"",IF(AND(A4582&lt;&gt;"",COUNTIF($A$2:$A$5001,A4582)&gt;1),"NUMERO_PC duplicado",IF(B4582="","DATA_PC vazia",IF(NOT(ISNUMBER(B4582)),"DATA_PC invalida",IF(OR(C4582="",C4582="Fora dos ciclos"),"CICLO_PC nao identificado",IF(OR(D4582="",D4582=0),"VALOR_PC vazio ou zero",IF(AND(G4582&lt;&gt;"Sim",G4582&lt;&gt;"Nao",G4582&lt;&gt;""),"PC_PAGO_A_CONTRATADA invalido",IF(AND(C4582&lt;&gt;"C0",IFERROR(INDEX(parametros!$A$2:$A$6,MATCH(C4582,parametros!$B$2:$B$6,0)),"")="Sim",IFERROR(INDEX(parametros!$H$2:$H$6,MATCH(C4582,parametros!$B$2:$B$6,0)),"")=""),"INICIO_EFEITO ausente: PC "&amp;A4582&amp;" - "&amp;C4582,IF(L4582="","EFEITO_PC nao calculado: PC "&amp;A4582&amp;" - "&amp;C4582,"OK")))))))))</f>
        <v/>
      </c>
      <c r="L4582" s="92" t="str">
        <f>IF(AND(A4582="",B4582="",D4582="",G4582=""),"",IF(OR(B4582="",NOT(ISNUMBER(B4582)),C4582="",C4582="Fora dos ciclos"),"",IF(C4582="C0","Nao",IF(IFERROR(INDEX(parametros!$A$2:$A$6,MATCH(C4582,parametros!$B$2:$B$6,0)),"")&lt;&gt;"Sim","Nao",IF(IFERROR(INDEX(parametros!$H$2:$H$6,MATCH(C4582,parametros!$B$2:$B$6,0)),"")="","",IF(B4582&gt;=IFERROR(INDEX(parametros!$H$2:$H$6,MATCH(C4582,parametros!$B$2:$B$6,0)),""),"Sim","Nao"))))))</f>
        <v/>
      </c>
      <c r="T4582" s="156"/>
      <c r="U4582" s="214" t="str">
        <f t="shared" si="361"/>
        <v/>
      </c>
      <c r="V4582" s="212" t="s">
        <v>50</v>
      </c>
      <c r="W4582" s="100" t="s">
        <v>168</v>
      </c>
      <c r="X4582" s="100" t="s">
        <v>169</v>
      </c>
      <c r="Y4582" s="101" t="s">
        <v>170</v>
      </c>
      <c r="Z4582" s="101" t="s">
        <v>171</v>
      </c>
      <c r="AA4582" s="101" t="s">
        <v>50</v>
      </c>
      <c r="AB4582" s="101" t="s">
        <v>172</v>
      </c>
      <c r="AC4582" s="102" t="s">
        <v>173</v>
      </c>
    </row>
    <row r="4583" spans="1:29" ht="25.5" customHeight="1" x14ac:dyDescent="0.35">
      <c r="A4583" s="392"/>
      <c r="B4583" s="393"/>
      <c r="C4583" s="99" t="str">
        <f>IF(B4583="","",IF(NOT(ISNUMBER(B4583)),"DATA_PC invalida",IF(NOT(ISNUMBER(parametros!$C$2)),"Fora dos ciclos",IF(OR(B4583&lt;parametros!$C$2,(YEAR(B4583)-YEAR(parametros!$C$2))*12+MONTH(B4583)-MONTH(parametros!$C$2)&gt;59),"Fora dos ciclos","C"&amp;INT(((YEAR(B4583)-YEAR(parametros!$C$2))*12+MONTH(B4583)-MONTH(parametros!$C$2))/12)))))</f>
        <v/>
      </c>
      <c r="D4583" s="394"/>
      <c r="E4583" s="78" t="str">
        <f>IF(C4583="","",IFERROR(VLOOKUP(C4583,parametros!$A$11:$E$15,5,0),""))</f>
        <v/>
      </c>
      <c r="F4583" s="79" t="str">
        <f t="shared" si="357"/>
        <v/>
      </c>
      <c r="G4583" s="395"/>
      <c r="H4583" s="91">
        <f t="shared" si="358"/>
        <v>0</v>
      </c>
      <c r="I4583" s="91" t="str">
        <f t="shared" si="359"/>
        <v/>
      </c>
      <c r="J4583" s="91" t="str">
        <f t="shared" si="360"/>
        <v/>
      </c>
      <c r="K4583" s="92" t="str">
        <f>IF(AND(A4583="",B4583="",D4583="",G4583=""),"",IF(AND(A4583&lt;&gt;"",COUNTIF($A$2:$A$5001,A4583)&gt;1),"NUMERO_PC duplicado",IF(B4583="","DATA_PC vazia",IF(NOT(ISNUMBER(B4583)),"DATA_PC invalida",IF(OR(C4583="",C4583="Fora dos ciclos"),"CICLO_PC nao identificado",IF(OR(D4583="",D4583=0),"VALOR_PC vazio ou zero",IF(AND(G4583&lt;&gt;"Sim",G4583&lt;&gt;"Nao",G4583&lt;&gt;""),"PC_PAGO_A_CONTRATADA invalido",IF(AND(C4583&lt;&gt;"C0",IFERROR(INDEX(parametros!$A$2:$A$6,MATCH(C4583,parametros!$B$2:$B$6,0)),"")="Sim",IFERROR(INDEX(parametros!$H$2:$H$6,MATCH(C4583,parametros!$B$2:$B$6,0)),"")=""),"INICIO_EFEITO ausente: PC "&amp;A4583&amp;" - "&amp;C4583,IF(L4583="","EFEITO_PC nao calculado: PC "&amp;A4583&amp;" - "&amp;C4583,"OK")))))))))</f>
        <v/>
      </c>
      <c r="L4583" s="92" t="str">
        <f>IF(AND(A4583="",B4583="",D4583="",G4583=""),"",IF(OR(B4583="",NOT(ISNUMBER(B4583)),C4583="",C4583="Fora dos ciclos"),"",IF(C4583="C0","Nao",IF(IFERROR(INDEX(parametros!$A$2:$A$6,MATCH(C4583,parametros!$B$2:$B$6,0)),"")&lt;&gt;"Sim","Nao",IF(IFERROR(INDEX(parametros!$H$2:$H$6,MATCH(C4583,parametros!$B$2:$B$6,0)),"")="","",IF(B4583&gt;=IFERROR(INDEX(parametros!$H$2:$H$6,MATCH(C4583,parametros!$B$2:$B$6,0)),""),"Sim","Nao"))))))</f>
        <v/>
      </c>
      <c r="T4583" s="156"/>
      <c r="U4583" s="214" t="str">
        <f t="shared" si="361"/>
        <v/>
      </c>
      <c r="V4583" s="212" t="s">
        <v>50</v>
      </c>
      <c r="W4583" s="100" t="s">
        <v>168</v>
      </c>
      <c r="X4583" s="100" t="s">
        <v>169</v>
      </c>
      <c r="Y4583" s="101" t="s">
        <v>170</v>
      </c>
      <c r="Z4583" s="101" t="s">
        <v>171</v>
      </c>
      <c r="AA4583" s="101" t="s">
        <v>50</v>
      </c>
      <c r="AB4583" s="101" t="s">
        <v>172</v>
      </c>
      <c r="AC4583" s="102" t="s">
        <v>173</v>
      </c>
    </row>
    <row r="4584" spans="1:29" ht="25.5" customHeight="1" x14ac:dyDescent="0.35">
      <c r="A4584" s="392"/>
      <c r="B4584" s="393"/>
      <c r="C4584" s="99" t="str">
        <f>IF(B4584="","",IF(NOT(ISNUMBER(B4584)),"DATA_PC invalida",IF(NOT(ISNUMBER(parametros!$C$2)),"Fora dos ciclos",IF(OR(B4584&lt;parametros!$C$2,(YEAR(B4584)-YEAR(parametros!$C$2))*12+MONTH(B4584)-MONTH(parametros!$C$2)&gt;59),"Fora dos ciclos","C"&amp;INT(((YEAR(B4584)-YEAR(parametros!$C$2))*12+MONTH(B4584)-MONTH(parametros!$C$2))/12)))))</f>
        <v/>
      </c>
      <c r="D4584" s="394"/>
      <c r="E4584" s="78" t="str">
        <f>IF(C4584="","",IFERROR(VLOOKUP(C4584,parametros!$A$11:$E$15,5,0),""))</f>
        <v/>
      </c>
      <c r="F4584" s="79" t="str">
        <f t="shared" si="357"/>
        <v/>
      </c>
      <c r="G4584" s="395"/>
      <c r="H4584" s="91">
        <f t="shared" si="358"/>
        <v>0</v>
      </c>
      <c r="I4584" s="91" t="str">
        <f t="shared" si="359"/>
        <v/>
      </c>
      <c r="J4584" s="91" t="str">
        <f t="shared" si="360"/>
        <v/>
      </c>
      <c r="K4584" s="92" t="str">
        <f>IF(AND(A4584="",B4584="",D4584="",G4584=""),"",IF(AND(A4584&lt;&gt;"",COUNTIF($A$2:$A$5001,A4584)&gt;1),"NUMERO_PC duplicado",IF(B4584="","DATA_PC vazia",IF(NOT(ISNUMBER(B4584)),"DATA_PC invalida",IF(OR(C4584="",C4584="Fora dos ciclos"),"CICLO_PC nao identificado",IF(OR(D4584="",D4584=0),"VALOR_PC vazio ou zero",IF(AND(G4584&lt;&gt;"Sim",G4584&lt;&gt;"Nao",G4584&lt;&gt;""),"PC_PAGO_A_CONTRATADA invalido",IF(AND(C4584&lt;&gt;"C0",IFERROR(INDEX(parametros!$A$2:$A$6,MATCH(C4584,parametros!$B$2:$B$6,0)),"")="Sim",IFERROR(INDEX(parametros!$H$2:$H$6,MATCH(C4584,parametros!$B$2:$B$6,0)),"")=""),"INICIO_EFEITO ausente: PC "&amp;A4584&amp;" - "&amp;C4584,IF(L4584="","EFEITO_PC nao calculado: PC "&amp;A4584&amp;" - "&amp;C4584,"OK")))))))))</f>
        <v/>
      </c>
      <c r="L4584" s="92" t="str">
        <f>IF(AND(A4584="",B4584="",D4584="",G4584=""),"",IF(OR(B4584="",NOT(ISNUMBER(B4584)),C4584="",C4584="Fora dos ciclos"),"",IF(C4584="C0","Nao",IF(IFERROR(INDEX(parametros!$A$2:$A$6,MATCH(C4584,parametros!$B$2:$B$6,0)),"")&lt;&gt;"Sim","Nao",IF(IFERROR(INDEX(parametros!$H$2:$H$6,MATCH(C4584,parametros!$B$2:$B$6,0)),"")="","",IF(B4584&gt;=IFERROR(INDEX(parametros!$H$2:$H$6,MATCH(C4584,parametros!$B$2:$B$6,0)),""),"Sim","Nao"))))))</f>
        <v/>
      </c>
      <c r="T4584" s="156"/>
      <c r="U4584" s="214" t="str">
        <f t="shared" si="361"/>
        <v/>
      </c>
      <c r="V4584" s="212" t="s">
        <v>50</v>
      </c>
      <c r="W4584" s="100" t="s">
        <v>168</v>
      </c>
      <c r="X4584" s="100" t="s">
        <v>169</v>
      </c>
      <c r="Y4584" s="101" t="s">
        <v>170</v>
      </c>
      <c r="Z4584" s="101" t="s">
        <v>171</v>
      </c>
      <c r="AA4584" s="101" t="s">
        <v>50</v>
      </c>
      <c r="AB4584" s="101" t="s">
        <v>172</v>
      </c>
      <c r="AC4584" s="102" t="s">
        <v>173</v>
      </c>
    </row>
    <row r="4585" spans="1:29" ht="25.5" customHeight="1" x14ac:dyDescent="0.35">
      <c r="A4585" s="392"/>
      <c r="B4585" s="393"/>
      <c r="C4585" s="99" t="str">
        <f>IF(B4585="","",IF(NOT(ISNUMBER(B4585)),"DATA_PC invalida",IF(NOT(ISNUMBER(parametros!$C$2)),"Fora dos ciclos",IF(OR(B4585&lt;parametros!$C$2,(YEAR(B4585)-YEAR(parametros!$C$2))*12+MONTH(B4585)-MONTH(parametros!$C$2)&gt;59),"Fora dos ciclos","C"&amp;INT(((YEAR(B4585)-YEAR(parametros!$C$2))*12+MONTH(B4585)-MONTH(parametros!$C$2))/12)))))</f>
        <v/>
      </c>
      <c r="D4585" s="394"/>
      <c r="E4585" s="78" t="str">
        <f>IF(C4585="","",IFERROR(VLOOKUP(C4585,parametros!$A$11:$E$15,5,0),""))</f>
        <v/>
      </c>
      <c r="F4585" s="79" t="str">
        <f t="shared" si="357"/>
        <v/>
      </c>
      <c r="G4585" s="395"/>
      <c r="H4585" s="91">
        <f t="shared" si="358"/>
        <v>0</v>
      </c>
      <c r="I4585" s="91" t="str">
        <f t="shared" si="359"/>
        <v/>
      </c>
      <c r="J4585" s="91" t="str">
        <f t="shared" si="360"/>
        <v/>
      </c>
      <c r="K4585" s="92" t="str">
        <f>IF(AND(A4585="",B4585="",D4585="",G4585=""),"",IF(AND(A4585&lt;&gt;"",COUNTIF($A$2:$A$5001,A4585)&gt;1),"NUMERO_PC duplicado",IF(B4585="","DATA_PC vazia",IF(NOT(ISNUMBER(B4585)),"DATA_PC invalida",IF(OR(C4585="",C4585="Fora dos ciclos"),"CICLO_PC nao identificado",IF(OR(D4585="",D4585=0),"VALOR_PC vazio ou zero",IF(AND(G4585&lt;&gt;"Sim",G4585&lt;&gt;"Nao",G4585&lt;&gt;""),"PC_PAGO_A_CONTRATADA invalido",IF(AND(C4585&lt;&gt;"C0",IFERROR(INDEX(parametros!$A$2:$A$6,MATCH(C4585,parametros!$B$2:$B$6,0)),"")="Sim",IFERROR(INDEX(parametros!$H$2:$H$6,MATCH(C4585,parametros!$B$2:$B$6,0)),"")=""),"INICIO_EFEITO ausente: PC "&amp;A4585&amp;" - "&amp;C4585,IF(L4585="","EFEITO_PC nao calculado: PC "&amp;A4585&amp;" - "&amp;C4585,"OK")))))))))</f>
        <v/>
      </c>
      <c r="L4585" s="92" t="str">
        <f>IF(AND(A4585="",B4585="",D4585="",G4585=""),"",IF(OR(B4585="",NOT(ISNUMBER(B4585)),C4585="",C4585="Fora dos ciclos"),"",IF(C4585="C0","Nao",IF(IFERROR(INDEX(parametros!$A$2:$A$6,MATCH(C4585,parametros!$B$2:$B$6,0)),"")&lt;&gt;"Sim","Nao",IF(IFERROR(INDEX(parametros!$H$2:$H$6,MATCH(C4585,parametros!$B$2:$B$6,0)),"")="","",IF(B4585&gt;=IFERROR(INDEX(parametros!$H$2:$H$6,MATCH(C4585,parametros!$B$2:$B$6,0)),""),"Sim","Nao"))))))</f>
        <v/>
      </c>
      <c r="T4585" s="156"/>
      <c r="U4585" s="214" t="str">
        <f t="shared" si="361"/>
        <v/>
      </c>
      <c r="V4585" s="212" t="s">
        <v>50</v>
      </c>
      <c r="W4585" s="100" t="s">
        <v>168</v>
      </c>
      <c r="X4585" s="100" t="s">
        <v>169</v>
      </c>
      <c r="Y4585" s="101" t="s">
        <v>170</v>
      </c>
      <c r="Z4585" s="101" t="s">
        <v>171</v>
      </c>
      <c r="AA4585" s="101" t="s">
        <v>50</v>
      </c>
      <c r="AB4585" s="101" t="s">
        <v>172</v>
      </c>
      <c r="AC4585" s="102" t="s">
        <v>173</v>
      </c>
    </row>
    <row r="4586" spans="1:29" ht="25.5" customHeight="1" x14ac:dyDescent="0.35">
      <c r="A4586" s="392"/>
      <c r="B4586" s="393"/>
      <c r="C4586" s="99" t="str">
        <f>IF(B4586="","",IF(NOT(ISNUMBER(B4586)),"DATA_PC invalida",IF(NOT(ISNUMBER(parametros!$C$2)),"Fora dos ciclos",IF(OR(B4586&lt;parametros!$C$2,(YEAR(B4586)-YEAR(parametros!$C$2))*12+MONTH(B4586)-MONTH(parametros!$C$2)&gt;59),"Fora dos ciclos","C"&amp;INT(((YEAR(B4586)-YEAR(parametros!$C$2))*12+MONTH(B4586)-MONTH(parametros!$C$2))/12)))))</f>
        <v/>
      </c>
      <c r="D4586" s="394"/>
      <c r="E4586" s="78" t="str">
        <f>IF(C4586="","",IFERROR(VLOOKUP(C4586,parametros!$A$11:$E$15,5,0),""))</f>
        <v/>
      </c>
      <c r="F4586" s="79" t="str">
        <f t="shared" si="357"/>
        <v/>
      </c>
      <c r="G4586" s="395"/>
      <c r="H4586" s="91">
        <f t="shared" si="358"/>
        <v>0</v>
      </c>
      <c r="I4586" s="91" t="str">
        <f t="shared" si="359"/>
        <v/>
      </c>
      <c r="J4586" s="91" t="str">
        <f t="shared" si="360"/>
        <v/>
      </c>
      <c r="K4586" s="92" t="str">
        <f>IF(AND(A4586="",B4586="",D4586="",G4586=""),"",IF(AND(A4586&lt;&gt;"",COUNTIF($A$2:$A$5001,A4586)&gt;1),"NUMERO_PC duplicado",IF(B4586="","DATA_PC vazia",IF(NOT(ISNUMBER(B4586)),"DATA_PC invalida",IF(OR(C4586="",C4586="Fora dos ciclos"),"CICLO_PC nao identificado",IF(OR(D4586="",D4586=0),"VALOR_PC vazio ou zero",IF(AND(G4586&lt;&gt;"Sim",G4586&lt;&gt;"Nao",G4586&lt;&gt;""),"PC_PAGO_A_CONTRATADA invalido",IF(AND(C4586&lt;&gt;"C0",IFERROR(INDEX(parametros!$A$2:$A$6,MATCH(C4586,parametros!$B$2:$B$6,0)),"")="Sim",IFERROR(INDEX(parametros!$H$2:$H$6,MATCH(C4586,parametros!$B$2:$B$6,0)),"")=""),"INICIO_EFEITO ausente: PC "&amp;A4586&amp;" - "&amp;C4586,IF(L4586="","EFEITO_PC nao calculado: PC "&amp;A4586&amp;" - "&amp;C4586,"OK")))))))))</f>
        <v/>
      </c>
      <c r="L4586" s="92" t="str">
        <f>IF(AND(A4586="",B4586="",D4586="",G4586=""),"",IF(OR(B4586="",NOT(ISNUMBER(B4586)),C4586="",C4586="Fora dos ciclos"),"",IF(C4586="C0","Nao",IF(IFERROR(INDEX(parametros!$A$2:$A$6,MATCH(C4586,parametros!$B$2:$B$6,0)),"")&lt;&gt;"Sim","Nao",IF(IFERROR(INDEX(parametros!$H$2:$H$6,MATCH(C4586,parametros!$B$2:$B$6,0)),"")="","",IF(B4586&gt;=IFERROR(INDEX(parametros!$H$2:$H$6,MATCH(C4586,parametros!$B$2:$B$6,0)),""),"Sim","Nao"))))))</f>
        <v/>
      </c>
      <c r="T4586" s="156"/>
      <c r="U4586" s="214" t="str">
        <f t="shared" si="361"/>
        <v/>
      </c>
      <c r="V4586" s="212" t="s">
        <v>50</v>
      </c>
      <c r="W4586" s="100" t="s">
        <v>168</v>
      </c>
      <c r="X4586" s="100" t="s">
        <v>169</v>
      </c>
      <c r="Y4586" s="101" t="s">
        <v>170</v>
      </c>
      <c r="Z4586" s="101" t="s">
        <v>171</v>
      </c>
      <c r="AA4586" s="101" t="s">
        <v>50</v>
      </c>
      <c r="AB4586" s="101" t="s">
        <v>172</v>
      </c>
      <c r="AC4586" s="102" t="s">
        <v>173</v>
      </c>
    </row>
    <row r="4587" spans="1:29" ht="25.5" customHeight="1" x14ac:dyDescent="0.35">
      <c r="A4587" s="392"/>
      <c r="B4587" s="393"/>
      <c r="C4587" s="99" t="str">
        <f>IF(B4587="","",IF(NOT(ISNUMBER(B4587)),"DATA_PC invalida",IF(NOT(ISNUMBER(parametros!$C$2)),"Fora dos ciclos",IF(OR(B4587&lt;parametros!$C$2,(YEAR(B4587)-YEAR(parametros!$C$2))*12+MONTH(B4587)-MONTH(parametros!$C$2)&gt;59),"Fora dos ciclos","C"&amp;INT(((YEAR(B4587)-YEAR(parametros!$C$2))*12+MONTH(B4587)-MONTH(parametros!$C$2))/12)))))</f>
        <v/>
      </c>
      <c r="D4587" s="394"/>
      <c r="E4587" s="78" t="str">
        <f>IF(C4587="","",IFERROR(VLOOKUP(C4587,parametros!$A$11:$E$15,5,0),""))</f>
        <v/>
      </c>
      <c r="F4587" s="79" t="str">
        <f t="shared" si="357"/>
        <v/>
      </c>
      <c r="G4587" s="395"/>
      <c r="H4587" s="91">
        <f t="shared" si="358"/>
        <v>0</v>
      </c>
      <c r="I4587" s="91" t="str">
        <f t="shared" si="359"/>
        <v/>
      </c>
      <c r="J4587" s="91" t="str">
        <f t="shared" si="360"/>
        <v/>
      </c>
      <c r="K4587" s="92" t="str">
        <f>IF(AND(A4587="",B4587="",D4587="",G4587=""),"",IF(AND(A4587&lt;&gt;"",COUNTIF($A$2:$A$5001,A4587)&gt;1),"NUMERO_PC duplicado",IF(B4587="","DATA_PC vazia",IF(NOT(ISNUMBER(B4587)),"DATA_PC invalida",IF(OR(C4587="",C4587="Fora dos ciclos"),"CICLO_PC nao identificado",IF(OR(D4587="",D4587=0),"VALOR_PC vazio ou zero",IF(AND(G4587&lt;&gt;"Sim",G4587&lt;&gt;"Nao",G4587&lt;&gt;""),"PC_PAGO_A_CONTRATADA invalido",IF(AND(C4587&lt;&gt;"C0",IFERROR(INDEX(parametros!$A$2:$A$6,MATCH(C4587,parametros!$B$2:$B$6,0)),"")="Sim",IFERROR(INDEX(parametros!$H$2:$H$6,MATCH(C4587,parametros!$B$2:$B$6,0)),"")=""),"INICIO_EFEITO ausente: PC "&amp;A4587&amp;" - "&amp;C4587,IF(L4587="","EFEITO_PC nao calculado: PC "&amp;A4587&amp;" - "&amp;C4587,"OK")))))))))</f>
        <v/>
      </c>
      <c r="L4587" s="92" t="str">
        <f>IF(AND(A4587="",B4587="",D4587="",G4587=""),"",IF(OR(B4587="",NOT(ISNUMBER(B4587)),C4587="",C4587="Fora dos ciclos"),"",IF(C4587="C0","Nao",IF(IFERROR(INDEX(parametros!$A$2:$A$6,MATCH(C4587,parametros!$B$2:$B$6,0)),"")&lt;&gt;"Sim","Nao",IF(IFERROR(INDEX(parametros!$H$2:$H$6,MATCH(C4587,parametros!$B$2:$B$6,0)),"")="","",IF(B4587&gt;=IFERROR(INDEX(parametros!$H$2:$H$6,MATCH(C4587,parametros!$B$2:$B$6,0)),""),"Sim","Nao"))))))</f>
        <v/>
      </c>
      <c r="T4587" s="156"/>
      <c r="U4587" s="214" t="str">
        <f t="shared" si="361"/>
        <v/>
      </c>
      <c r="V4587" s="212" t="s">
        <v>50</v>
      </c>
      <c r="W4587" s="100" t="s">
        <v>168</v>
      </c>
      <c r="X4587" s="100" t="s">
        <v>169</v>
      </c>
      <c r="Y4587" s="101" t="s">
        <v>170</v>
      </c>
      <c r="Z4587" s="101" t="s">
        <v>171</v>
      </c>
      <c r="AA4587" s="101" t="s">
        <v>50</v>
      </c>
      <c r="AB4587" s="101" t="s">
        <v>172</v>
      </c>
      <c r="AC4587" s="102" t="s">
        <v>173</v>
      </c>
    </row>
    <row r="4588" spans="1:29" ht="25.5" customHeight="1" x14ac:dyDescent="0.35">
      <c r="A4588" s="392"/>
      <c r="B4588" s="393"/>
      <c r="C4588" s="99" t="str">
        <f>IF(B4588="","",IF(NOT(ISNUMBER(B4588)),"DATA_PC invalida",IF(NOT(ISNUMBER(parametros!$C$2)),"Fora dos ciclos",IF(OR(B4588&lt;parametros!$C$2,(YEAR(B4588)-YEAR(parametros!$C$2))*12+MONTH(B4588)-MONTH(parametros!$C$2)&gt;59),"Fora dos ciclos","C"&amp;INT(((YEAR(B4588)-YEAR(parametros!$C$2))*12+MONTH(B4588)-MONTH(parametros!$C$2))/12)))))</f>
        <v/>
      </c>
      <c r="D4588" s="394"/>
      <c r="E4588" s="78" t="str">
        <f>IF(C4588="","",IFERROR(VLOOKUP(C4588,parametros!$A$11:$E$15,5,0),""))</f>
        <v/>
      </c>
      <c r="F4588" s="79" t="str">
        <f t="shared" si="357"/>
        <v/>
      </c>
      <c r="G4588" s="395"/>
      <c r="H4588" s="91">
        <f t="shared" si="358"/>
        <v>0</v>
      </c>
      <c r="I4588" s="91" t="str">
        <f t="shared" si="359"/>
        <v/>
      </c>
      <c r="J4588" s="91" t="str">
        <f t="shared" si="360"/>
        <v/>
      </c>
      <c r="K4588" s="92" t="str">
        <f>IF(AND(A4588="",B4588="",D4588="",G4588=""),"",IF(AND(A4588&lt;&gt;"",COUNTIF($A$2:$A$5001,A4588)&gt;1),"NUMERO_PC duplicado",IF(B4588="","DATA_PC vazia",IF(NOT(ISNUMBER(B4588)),"DATA_PC invalida",IF(OR(C4588="",C4588="Fora dos ciclos"),"CICLO_PC nao identificado",IF(OR(D4588="",D4588=0),"VALOR_PC vazio ou zero",IF(AND(G4588&lt;&gt;"Sim",G4588&lt;&gt;"Nao",G4588&lt;&gt;""),"PC_PAGO_A_CONTRATADA invalido",IF(AND(C4588&lt;&gt;"C0",IFERROR(INDEX(parametros!$A$2:$A$6,MATCH(C4588,parametros!$B$2:$B$6,0)),"")="Sim",IFERROR(INDEX(parametros!$H$2:$H$6,MATCH(C4588,parametros!$B$2:$B$6,0)),"")=""),"INICIO_EFEITO ausente: PC "&amp;A4588&amp;" - "&amp;C4588,IF(L4588="","EFEITO_PC nao calculado: PC "&amp;A4588&amp;" - "&amp;C4588,"OK")))))))))</f>
        <v/>
      </c>
      <c r="L4588" s="92" t="str">
        <f>IF(AND(A4588="",B4588="",D4588="",G4588=""),"",IF(OR(B4588="",NOT(ISNUMBER(B4588)),C4588="",C4588="Fora dos ciclos"),"",IF(C4588="C0","Nao",IF(IFERROR(INDEX(parametros!$A$2:$A$6,MATCH(C4588,parametros!$B$2:$B$6,0)),"")&lt;&gt;"Sim","Nao",IF(IFERROR(INDEX(parametros!$H$2:$H$6,MATCH(C4588,parametros!$B$2:$B$6,0)),"")="","",IF(B4588&gt;=IFERROR(INDEX(parametros!$H$2:$H$6,MATCH(C4588,parametros!$B$2:$B$6,0)),""),"Sim","Nao"))))))</f>
        <v/>
      </c>
      <c r="T4588" s="156"/>
      <c r="U4588" s="214" t="str">
        <f t="shared" si="361"/>
        <v/>
      </c>
      <c r="V4588" s="212" t="s">
        <v>50</v>
      </c>
      <c r="W4588" s="100" t="s">
        <v>168</v>
      </c>
      <c r="X4588" s="100" t="s">
        <v>169</v>
      </c>
      <c r="Y4588" s="101" t="s">
        <v>170</v>
      </c>
      <c r="Z4588" s="101" t="s">
        <v>171</v>
      </c>
      <c r="AA4588" s="101" t="s">
        <v>50</v>
      </c>
      <c r="AB4588" s="101" t="s">
        <v>172</v>
      </c>
      <c r="AC4588" s="102" t="s">
        <v>173</v>
      </c>
    </row>
    <row r="4589" spans="1:29" ht="25.5" customHeight="1" x14ac:dyDescent="0.35">
      <c r="A4589" s="392"/>
      <c r="B4589" s="393"/>
      <c r="C4589" s="99" t="str">
        <f>IF(B4589="","",IF(NOT(ISNUMBER(B4589)),"DATA_PC invalida",IF(NOT(ISNUMBER(parametros!$C$2)),"Fora dos ciclos",IF(OR(B4589&lt;parametros!$C$2,(YEAR(B4589)-YEAR(parametros!$C$2))*12+MONTH(B4589)-MONTH(parametros!$C$2)&gt;59),"Fora dos ciclos","C"&amp;INT(((YEAR(B4589)-YEAR(parametros!$C$2))*12+MONTH(B4589)-MONTH(parametros!$C$2))/12)))))</f>
        <v/>
      </c>
      <c r="D4589" s="394"/>
      <c r="E4589" s="78" t="str">
        <f>IF(C4589="","",IFERROR(VLOOKUP(C4589,parametros!$A$11:$E$15,5,0),""))</f>
        <v/>
      </c>
      <c r="F4589" s="79" t="str">
        <f t="shared" si="357"/>
        <v/>
      </c>
      <c r="G4589" s="395"/>
      <c r="H4589" s="91">
        <f t="shared" si="358"/>
        <v>0</v>
      </c>
      <c r="I4589" s="91" t="str">
        <f t="shared" si="359"/>
        <v/>
      </c>
      <c r="J4589" s="91" t="str">
        <f t="shared" si="360"/>
        <v/>
      </c>
      <c r="K4589" s="92" t="str">
        <f>IF(AND(A4589="",B4589="",D4589="",G4589=""),"",IF(AND(A4589&lt;&gt;"",COUNTIF($A$2:$A$5001,A4589)&gt;1),"NUMERO_PC duplicado",IF(B4589="","DATA_PC vazia",IF(NOT(ISNUMBER(B4589)),"DATA_PC invalida",IF(OR(C4589="",C4589="Fora dos ciclos"),"CICLO_PC nao identificado",IF(OR(D4589="",D4589=0),"VALOR_PC vazio ou zero",IF(AND(G4589&lt;&gt;"Sim",G4589&lt;&gt;"Nao",G4589&lt;&gt;""),"PC_PAGO_A_CONTRATADA invalido",IF(AND(C4589&lt;&gt;"C0",IFERROR(INDEX(parametros!$A$2:$A$6,MATCH(C4589,parametros!$B$2:$B$6,0)),"")="Sim",IFERROR(INDEX(parametros!$H$2:$H$6,MATCH(C4589,parametros!$B$2:$B$6,0)),"")=""),"INICIO_EFEITO ausente: PC "&amp;A4589&amp;" - "&amp;C4589,IF(L4589="","EFEITO_PC nao calculado: PC "&amp;A4589&amp;" - "&amp;C4589,"OK")))))))))</f>
        <v/>
      </c>
      <c r="L4589" s="92" t="str">
        <f>IF(AND(A4589="",B4589="",D4589="",G4589=""),"",IF(OR(B4589="",NOT(ISNUMBER(B4589)),C4589="",C4589="Fora dos ciclos"),"",IF(C4589="C0","Nao",IF(IFERROR(INDEX(parametros!$A$2:$A$6,MATCH(C4589,parametros!$B$2:$B$6,0)),"")&lt;&gt;"Sim","Nao",IF(IFERROR(INDEX(parametros!$H$2:$H$6,MATCH(C4589,parametros!$B$2:$B$6,0)),"")="","",IF(B4589&gt;=IFERROR(INDEX(parametros!$H$2:$H$6,MATCH(C4589,parametros!$B$2:$B$6,0)),""),"Sim","Nao"))))))</f>
        <v/>
      </c>
      <c r="T4589" s="156"/>
      <c r="U4589" s="214" t="str">
        <f t="shared" si="361"/>
        <v/>
      </c>
      <c r="V4589" s="212" t="s">
        <v>50</v>
      </c>
      <c r="W4589" s="100" t="s">
        <v>168</v>
      </c>
      <c r="X4589" s="100" t="s">
        <v>169</v>
      </c>
      <c r="Y4589" s="101" t="s">
        <v>170</v>
      </c>
      <c r="Z4589" s="101" t="s">
        <v>171</v>
      </c>
      <c r="AA4589" s="101" t="s">
        <v>50</v>
      </c>
      <c r="AB4589" s="101" t="s">
        <v>172</v>
      </c>
      <c r="AC4589" s="102" t="s">
        <v>173</v>
      </c>
    </row>
    <row r="4590" spans="1:29" ht="25.5" customHeight="1" x14ac:dyDescent="0.35">
      <c r="A4590" s="392"/>
      <c r="B4590" s="393"/>
      <c r="C4590" s="99" t="str">
        <f>IF(B4590="","",IF(NOT(ISNUMBER(B4590)),"DATA_PC invalida",IF(NOT(ISNUMBER(parametros!$C$2)),"Fora dos ciclos",IF(OR(B4590&lt;parametros!$C$2,(YEAR(B4590)-YEAR(parametros!$C$2))*12+MONTH(B4590)-MONTH(parametros!$C$2)&gt;59),"Fora dos ciclos","C"&amp;INT(((YEAR(B4590)-YEAR(parametros!$C$2))*12+MONTH(B4590)-MONTH(parametros!$C$2))/12)))))</f>
        <v/>
      </c>
      <c r="D4590" s="394"/>
      <c r="E4590" s="78" t="str">
        <f>IF(C4590="","",IFERROR(VLOOKUP(C4590,parametros!$A$11:$E$15,5,0),""))</f>
        <v/>
      </c>
      <c r="F4590" s="79" t="str">
        <f t="shared" si="357"/>
        <v/>
      </c>
      <c r="G4590" s="395"/>
      <c r="H4590" s="91">
        <f t="shared" si="358"/>
        <v>0</v>
      </c>
      <c r="I4590" s="91" t="str">
        <f t="shared" si="359"/>
        <v/>
      </c>
      <c r="J4590" s="91" t="str">
        <f t="shared" si="360"/>
        <v/>
      </c>
      <c r="K4590" s="92" t="str">
        <f>IF(AND(A4590="",B4590="",D4590="",G4590=""),"",IF(AND(A4590&lt;&gt;"",COUNTIF($A$2:$A$5001,A4590)&gt;1),"NUMERO_PC duplicado",IF(B4590="","DATA_PC vazia",IF(NOT(ISNUMBER(B4590)),"DATA_PC invalida",IF(OR(C4590="",C4590="Fora dos ciclos"),"CICLO_PC nao identificado",IF(OR(D4590="",D4590=0),"VALOR_PC vazio ou zero",IF(AND(G4590&lt;&gt;"Sim",G4590&lt;&gt;"Nao",G4590&lt;&gt;""),"PC_PAGO_A_CONTRATADA invalido",IF(AND(C4590&lt;&gt;"C0",IFERROR(INDEX(parametros!$A$2:$A$6,MATCH(C4590,parametros!$B$2:$B$6,0)),"")="Sim",IFERROR(INDEX(parametros!$H$2:$H$6,MATCH(C4590,parametros!$B$2:$B$6,0)),"")=""),"INICIO_EFEITO ausente: PC "&amp;A4590&amp;" - "&amp;C4590,IF(L4590="","EFEITO_PC nao calculado: PC "&amp;A4590&amp;" - "&amp;C4590,"OK")))))))))</f>
        <v/>
      </c>
      <c r="L4590" s="92" t="str">
        <f>IF(AND(A4590="",B4590="",D4590="",G4590=""),"",IF(OR(B4590="",NOT(ISNUMBER(B4590)),C4590="",C4590="Fora dos ciclos"),"",IF(C4590="C0","Nao",IF(IFERROR(INDEX(parametros!$A$2:$A$6,MATCH(C4590,parametros!$B$2:$B$6,0)),"")&lt;&gt;"Sim","Nao",IF(IFERROR(INDEX(parametros!$H$2:$H$6,MATCH(C4590,parametros!$B$2:$B$6,0)),"")="","",IF(B4590&gt;=IFERROR(INDEX(parametros!$H$2:$H$6,MATCH(C4590,parametros!$B$2:$B$6,0)),""),"Sim","Nao"))))))</f>
        <v/>
      </c>
      <c r="T4590" s="156"/>
      <c r="U4590" s="214" t="str">
        <f t="shared" si="361"/>
        <v/>
      </c>
      <c r="V4590" s="212" t="s">
        <v>50</v>
      </c>
      <c r="W4590" s="100" t="s">
        <v>168</v>
      </c>
      <c r="X4590" s="100" t="s">
        <v>169</v>
      </c>
      <c r="Y4590" s="101" t="s">
        <v>170</v>
      </c>
      <c r="Z4590" s="101" t="s">
        <v>171</v>
      </c>
      <c r="AA4590" s="101" t="s">
        <v>50</v>
      </c>
      <c r="AB4590" s="101" t="s">
        <v>172</v>
      </c>
      <c r="AC4590" s="102" t="s">
        <v>173</v>
      </c>
    </row>
    <row r="4591" spans="1:29" ht="25.5" customHeight="1" x14ac:dyDescent="0.35">
      <c r="A4591" s="392"/>
      <c r="B4591" s="393"/>
      <c r="C4591" s="99" t="str">
        <f>IF(B4591="","",IF(NOT(ISNUMBER(B4591)),"DATA_PC invalida",IF(NOT(ISNUMBER(parametros!$C$2)),"Fora dos ciclos",IF(OR(B4591&lt;parametros!$C$2,(YEAR(B4591)-YEAR(parametros!$C$2))*12+MONTH(B4591)-MONTH(parametros!$C$2)&gt;59),"Fora dos ciclos","C"&amp;INT(((YEAR(B4591)-YEAR(parametros!$C$2))*12+MONTH(B4591)-MONTH(parametros!$C$2))/12)))))</f>
        <v/>
      </c>
      <c r="D4591" s="394"/>
      <c r="E4591" s="78" t="str">
        <f>IF(C4591="","",IFERROR(VLOOKUP(C4591,parametros!$A$11:$E$15,5,0),""))</f>
        <v/>
      </c>
      <c r="F4591" s="79" t="str">
        <f t="shared" si="357"/>
        <v/>
      </c>
      <c r="G4591" s="395"/>
      <c r="H4591" s="91">
        <f t="shared" si="358"/>
        <v>0</v>
      </c>
      <c r="I4591" s="91" t="str">
        <f t="shared" si="359"/>
        <v/>
      </c>
      <c r="J4591" s="91" t="str">
        <f t="shared" si="360"/>
        <v/>
      </c>
      <c r="K4591" s="92" t="str">
        <f>IF(AND(A4591="",B4591="",D4591="",G4591=""),"",IF(AND(A4591&lt;&gt;"",COUNTIF($A$2:$A$5001,A4591)&gt;1),"NUMERO_PC duplicado",IF(B4591="","DATA_PC vazia",IF(NOT(ISNUMBER(B4591)),"DATA_PC invalida",IF(OR(C4591="",C4591="Fora dos ciclos"),"CICLO_PC nao identificado",IF(OR(D4591="",D4591=0),"VALOR_PC vazio ou zero",IF(AND(G4591&lt;&gt;"Sim",G4591&lt;&gt;"Nao",G4591&lt;&gt;""),"PC_PAGO_A_CONTRATADA invalido",IF(AND(C4591&lt;&gt;"C0",IFERROR(INDEX(parametros!$A$2:$A$6,MATCH(C4591,parametros!$B$2:$B$6,0)),"")="Sim",IFERROR(INDEX(parametros!$H$2:$H$6,MATCH(C4591,parametros!$B$2:$B$6,0)),"")=""),"INICIO_EFEITO ausente: PC "&amp;A4591&amp;" - "&amp;C4591,IF(L4591="","EFEITO_PC nao calculado: PC "&amp;A4591&amp;" - "&amp;C4591,"OK")))))))))</f>
        <v/>
      </c>
      <c r="L4591" s="92" t="str">
        <f>IF(AND(A4591="",B4591="",D4591="",G4591=""),"",IF(OR(B4591="",NOT(ISNUMBER(B4591)),C4591="",C4591="Fora dos ciclos"),"",IF(C4591="C0","Nao",IF(IFERROR(INDEX(parametros!$A$2:$A$6,MATCH(C4591,parametros!$B$2:$B$6,0)),"")&lt;&gt;"Sim","Nao",IF(IFERROR(INDEX(parametros!$H$2:$H$6,MATCH(C4591,parametros!$B$2:$B$6,0)),"")="","",IF(B4591&gt;=IFERROR(INDEX(parametros!$H$2:$H$6,MATCH(C4591,parametros!$B$2:$B$6,0)),""),"Sim","Nao"))))))</f>
        <v/>
      </c>
      <c r="T4591" s="156"/>
      <c r="U4591" s="214" t="str">
        <f t="shared" si="361"/>
        <v/>
      </c>
      <c r="V4591" s="212" t="s">
        <v>50</v>
      </c>
      <c r="W4591" s="100" t="s">
        <v>168</v>
      </c>
      <c r="X4591" s="100" t="s">
        <v>169</v>
      </c>
      <c r="Y4591" s="101" t="s">
        <v>170</v>
      </c>
      <c r="Z4591" s="101" t="s">
        <v>171</v>
      </c>
      <c r="AA4591" s="101" t="s">
        <v>50</v>
      </c>
      <c r="AB4591" s="101" t="s">
        <v>172</v>
      </c>
      <c r="AC4591" s="102" t="s">
        <v>173</v>
      </c>
    </row>
    <row r="4592" spans="1:29" ht="25.5" customHeight="1" x14ac:dyDescent="0.35">
      <c r="A4592" s="392"/>
      <c r="B4592" s="393"/>
      <c r="C4592" s="99" t="str">
        <f>IF(B4592="","",IF(NOT(ISNUMBER(B4592)),"DATA_PC invalida",IF(NOT(ISNUMBER(parametros!$C$2)),"Fora dos ciclos",IF(OR(B4592&lt;parametros!$C$2,(YEAR(B4592)-YEAR(parametros!$C$2))*12+MONTH(B4592)-MONTH(parametros!$C$2)&gt;59),"Fora dos ciclos","C"&amp;INT(((YEAR(B4592)-YEAR(parametros!$C$2))*12+MONTH(B4592)-MONTH(parametros!$C$2))/12)))))</f>
        <v/>
      </c>
      <c r="D4592" s="394"/>
      <c r="E4592" s="78" t="str">
        <f>IF(C4592="","",IFERROR(VLOOKUP(C4592,parametros!$A$11:$E$15,5,0),""))</f>
        <v/>
      </c>
      <c r="F4592" s="79" t="str">
        <f t="shared" si="357"/>
        <v/>
      </c>
      <c r="G4592" s="395"/>
      <c r="H4592" s="91">
        <f t="shared" si="358"/>
        <v>0</v>
      </c>
      <c r="I4592" s="91" t="str">
        <f t="shared" si="359"/>
        <v/>
      </c>
      <c r="J4592" s="91" t="str">
        <f t="shared" si="360"/>
        <v/>
      </c>
      <c r="K4592" s="92" t="str">
        <f>IF(AND(A4592="",B4592="",D4592="",G4592=""),"",IF(AND(A4592&lt;&gt;"",COUNTIF($A$2:$A$5001,A4592)&gt;1),"NUMERO_PC duplicado",IF(B4592="","DATA_PC vazia",IF(NOT(ISNUMBER(B4592)),"DATA_PC invalida",IF(OR(C4592="",C4592="Fora dos ciclos"),"CICLO_PC nao identificado",IF(OR(D4592="",D4592=0),"VALOR_PC vazio ou zero",IF(AND(G4592&lt;&gt;"Sim",G4592&lt;&gt;"Nao",G4592&lt;&gt;""),"PC_PAGO_A_CONTRATADA invalido",IF(AND(C4592&lt;&gt;"C0",IFERROR(INDEX(parametros!$A$2:$A$6,MATCH(C4592,parametros!$B$2:$B$6,0)),"")="Sim",IFERROR(INDEX(parametros!$H$2:$H$6,MATCH(C4592,parametros!$B$2:$B$6,0)),"")=""),"INICIO_EFEITO ausente: PC "&amp;A4592&amp;" - "&amp;C4592,IF(L4592="","EFEITO_PC nao calculado: PC "&amp;A4592&amp;" - "&amp;C4592,"OK")))))))))</f>
        <v/>
      </c>
      <c r="L4592" s="92" t="str">
        <f>IF(AND(A4592="",B4592="",D4592="",G4592=""),"",IF(OR(B4592="",NOT(ISNUMBER(B4592)),C4592="",C4592="Fora dos ciclos"),"",IF(C4592="C0","Nao",IF(IFERROR(INDEX(parametros!$A$2:$A$6,MATCH(C4592,parametros!$B$2:$B$6,0)),"")&lt;&gt;"Sim","Nao",IF(IFERROR(INDEX(parametros!$H$2:$H$6,MATCH(C4592,parametros!$B$2:$B$6,0)),"")="","",IF(B4592&gt;=IFERROR(INDEX(parametros!$H$2:$H$6,MATCH(C4592,parametros!$B$2:$B$6,0)),""),"Sim","Nao"))))))</f>
        <v/>
      </c>
      <c r="T4592" s="156"/>
      <c r="U4592" s="214" t="str">
        <f t="shared" si="361"/>
        <v/>
      </c>
      <c r="V4592" s="212" t="s">
        <v>50</v>
      </c>
      <c r="W4592" s="100" t="s">
        <v>168</v>
      </c>
      <c r="X4592" s="100" t="s">
        <v>169</v>
      </c>
      <c r="Y4592" s="101" t="s">
        <v>170</v>
      </c>
      <c r="Z4592" s="101" t="s">
        <v>171</v>
      </c>
      <c r="AA4592" s="101" t="s">
        <v>50</v>
      </c>
      <c r="AB4592" s="101" t="s">
        <v>172</v>
      </c>
      <c r="AC4592" s="102" t="s">
        <v>173</v>
      </c>
    </row>
    <row r="4593" spans="1:29" ht="25.5" customHeight="1" x14ac:dyDescent="0.35">
      <c r="A4593" s="392"/>
      <c r="B4593" s="393"/>
      <c r="C4593" s="99" t="str">
        <f>IF(B4593="","",IF(NOT(ISNUMBER(B4593)),"DATA_PC invalida",IF(NOT(ISNUMBER(parametros!$C$2)),"Fora dos ciclos",IF(OR(B4593&lt;parametros!$C$2,(YEAR(B4593)-YEAR(parametros!$C$2))*12+MONTH(B4593)-MONTH(parametros!$C$2)&gt;59),"Fora dos ciclos","C"&amp;INT(((YEAR(B4593)-YEAR(parametros!$C$2))*12+MONTH(B4593)-MONTH(parametros!$C$2))/12)))))</f>
        <v/>
      </c>
      <c r="D4593" s="394"/>
      <c r="E4593" s="78" t="str">
        <f>IF(C4593="","",IFERROR(VLOOKUP(C4593,parametros!$A$11:$E$15,5,0),""))</f>
        <v/>
      </c>
      <c r="F4593" s="79" t="str">
        <f t="shared" si="357"/>
        <v/>
      </c>
      <c r="G4593" s="395"/>
      <c r="H4593" s="91">
        <f t="shared" si="358"/>
        <v>0</v>
      </c>
      <c r="I4593" s="91" t="str">
        <f t="shared" si="359"/>
        <v/>
      </c>
      <c r="J4593" s="91" t="str">
        <f t="shared" si="360"/>
        <v/>
      </c>
      <c r="K4593" s="92" t="str">
        <f>IF(AND(A4593="",B4593="",D4593="",G4593=""),"",IF(AND(A4593&lt;&gt;"",COUNTIF($A$2:$A$5001,A4593)&gt;1),"NUMERO_PC duplicado",IF(B4593="","DATA_PC vazia",IF(NOT(ISNUMBER(B4593)),"DATA_PC invalida",IF(OR(C4593="",C4593="Fora dos ciclos"),"CICLO_PC nao identificado",IF(OR(D4593="",D4593=0),"VALOR_PC vazio ou zero",IF(AND(G4593&lt;&gt;"Sim",G4593&lt;&gt;"Nao",G4593&lt;&gt;""),"PC_PAGO_A_CONTRATADA invalido",IF(AND(C4593&lt;&gt;"C0",IFERROR(INDEX(parametros!$A$2:$A$6,MATCH(C4593,parametros!$B$2:$B$6,0)),"")="Sim",IFERROR(INDEX(parametros!$H$2:$H$6,MATCH(C4593,parametros!$B$2:$B$6,0)),"")=""),"INICIO_EFEITO ausente: PC "&amp;A4593&amp;" - "&amp;C4593,IF(L4593="","EFEITO_PC nao calculado: PC "&amp;A4593&amp;" - "&amp;C4593,"OK")))))))))</f>
        <v/>
      </c>
      <c r="L4593" s="92" t="str">
        <f>IF(AND(A4593="",B4593="",D4593="",G4593=""),"",IF(OR(B4593="",NOT(ISNUMBER(B4593)),C4593="",C4593="Fora dos ciclos"),"",IF(C4593="C0","Nao",IF(IFERROR(INDEX(parametros!$A$2:$A$6,MATCH(C4593,parametros!$B$2:$B$6,0)),"")&lt;&gt;"Sim","Nao",IF(IFERROR(INDEX(parametros!$H$2:$H$6,MATCH(C4593,parametros!$B$2:$B$6,0)),"")="","",IF(B4593&gt;=IFERROR(INDEX(parametros!$H$2:$H$6,MATCH(C4593,parametros!$B$2:$B$6,0)),""),"Sim","Nao"))))))</f>
        <v/>
      </c>
      <c r="T4593" s="156"/>
      <c r="U4593" s="214" t="str">
        <f t="shared" si="361"/>
        <v/>
      </c>
      <c r="V4593" s="212" t="s">
        <v>50</v>
      </c>
      <c r="W4593" s="100" t="s">
        <v>168</v>
      </c>
      <c r="X4593" s="100" t="s">
        <v>169</v>
      </c>
      <c r="Y4593" s="101" t="s">
        <v>170</v>
      </c>
      <c r="Z4593" s="101" t="s">
        <v>171</v>
      </c>
      <c r="AA4593" s="101" t="s">
        <v>50</v>
      </c>
      <c r="AB4593" s="101" t="s">
        <v>172</v>
      </c>
      <c r="AC4593" s="102" t="s">
        <v>173</v>
      </c>
    </row>
    <row r="4594" spans="1:29" ht="25.5" customHeight="1" x14ac:dyDescent="0.35">
      <c r="A4594" s="392"/>
      <c r="B4594" s="393"/>
      <c r="C4594" s="99" t="str">
        <f>IF(B4594="","",IF(NOT(ISNUMBER(B4594)),"DATA_PC invalida",IF(NOT(ISNUMBER(parametros!$C$2)),"Fora dos ciclos",IF(OR(B4594&lt;parametros!$C$2,(YEAR(B4594)-YEAR(parametros!$C$2))*12+MONTH(B4594)-MONTH(parametros!$C$2)&gt;59),"Fora dos ciclos","C"&amp;INT(((YEAR(B4594)-YEAR(parametros!$C$2))*12+MONTH(B4594)-MONTH(parametros!$C$2))/12)))))</f>
        <v/>
      </c>
      <c r="D4594" s="394"/>
      <c r="E4594" s="78" t="str">
        <f>IF(C4594="","",IFERROR(VLOOKUP(C4594,parametros!$A$11:$E$15,5,0),""))</f>
        <v/>
      </c>
      <c r="F4594" s="79" t="str">
        <f t="shared" si="357"/>
        <v/>
      </c>
      <c r="G4594" s="395"/>
      <c r="H4594" s="91">
        <f t="shared" si="358"/>
        <v>0</v>
      </c>
      <c r="I4594" s="91" t="str">
        <f t="shared" si="359"/>
        <v/>
      </c>
      <c r="J4594" s="91" t="str">
        <f t="shared" si="360"/>
        <v/>
      </c>
      <c r="K4594" s="92" t="str">
        <f>IF(AND(A4594="",B4594="",D4594="",G4594=""),"",IF(AND(A4594&lt;&gt;"",COUNTIF($A$2:$A$5001,A4594)&gt;1),"NUMERO_PC duplicado",IF(B4594="","DATA_PC vazia",IF(NOT(ISNUMBER(B4594)),"DATA_PC invalida",IF(OR(C4594="",C4594="Fora dos ciclos"),"CICLO_PC nao identificado",IF(OR(D4594="",D4594=0),"VALOR_PC vazio ou zero",IF(AND(G4594&lt;&gt;"Sim",G4594&lt;&gt;"Nao",G4594&lt;&gt;""),"PC_PAGO_A_CONTRATADA invalido",IF(AND(C4594&lt;&gt;"C0",IFERROR(INDEX(parametros!$A$2:$A$6,MATCH(C4594,parametros!$B$2:$B$6,0)),"")="Sim",IFERROR(INDEX(parametros!$H$2:$H$6,MATCH(C4594,parametros!$B$2:$B$6,0)),"")=""),"INICIO_EFEITO ausente: PC "&amp;A4594&amp;" - "&amp;C4594,IF(L4594="","EFEITO_PC nao calculado: PC "&amp;A4594&amp;" - "&amp;C4594,"OK")))))))))</f>
        <v/>
      </c>
      <c r="L4594" s="92" t="str">
        <f>IF(AND(A4594="",B4594="",D4594="",G4594=""),"",IF(OR(B4594="",NOT(ISNUMBER(B4594)),C4594="",C4594="Fora dos ciclos"),"",IF(C4594="C0","Nao",IF(IFERROR(INDEX(parametros!$A$2:$A$6,MATCH(C4594,parametros!$B$2:$B$6,0)),"")&lt;&gt;"Sim","Nao",IF(IFERROR(INDEX(parametros!$H$2:$H$6,MATCH(C4594,parametros!$B$2:$B$6,0)),"")="","",IF(B4594&gt;=IFERROR(INDEX(parametros!$H$2:$H$6,MATCH(C4594,parametros!$B$2:$B$6,0)),""),"Sim","Nao"))))))</f>
        <v/>
      </c>
      <c r="T4594" s="156"/>
      <c r="U4594" s="214" t="str">
        <f t="shared" si="361"/>
        <v/>
      </c>
      <c r="V4594" s="212" t="s">
        <v>50</v>
      </c>
      <c r="W4594" s="100" t="s">
        <v>168</v>
      </c>
      <c r="X4594" s="100" t="s">
        <v>169</v>
      </c>
      <c r="Y4594" s="101" t="s">
        <v>170</v>
      </c>
      <c r="Z4594" s="101" t="s">
        <v>171</v>
      </c>
      <c r="AA4594" s="101" t="s">
        <v>50</v>
      </c>
      <c r="AB4594" s="101" t="s">
        <v>172</v>
      </c>
      <c r="AC4594" s="102" t="s">
        <v>173</v>
      </c>
    </row>
    <row r="4595" spans="1:29" ht="25.5" customHeight="1" x14ac:dyDescent="0.35">
      <c r="A4595" s="392"/>
      <c r="B4595" s="393"/>
      <c r="C4595" s="99" t="str">
        <f>IF(B4595="","",IF(NOT(ISNUMBER(B4595)),"DATA_PC invalida",IF(NOT(ISNUMBER(parametros!$C$2)),"Fora dos ciclos",IF(OR(B4595&lt;parametros!$C$2,(YEAR(B4595)-YEAR(parametros!$C$2))*12+MONTH(B4595)-MONTH(parametros!$C$2)&gt;59),"Fora dos ciclos","C"&amp;INT(((YEAR(B4595)-YEAR(parametros!$C$2))*12+MONTH(B4595)-MONTH(parametros!$C$2))/12)))))</f>
        <v/>
      </c>
      <c r="D4595" s="394"/>
      <c r="E4595" s="78" t="str">
        <f>IF(C4595="","",IFERROR(VLOOKUP(C4595,parametros!$A$11:$E$15,5,0),""))</f>
        <v/>
      </c>
      <c r="F4595" s="79" t="str">
        <f t="shared" si="357"/>
        <v/>
      </c>
      <c r="G4595" s="395"/>
      <c r="H4595" s="91">
        <f t="shared" si="358"/>
        <v>0</v>
      </c>
      <c r="I4595" s="91" t="str">
        <f t="shared" si="359"/>
        <v/>
      </c>
      <c r="J4595" s="91" t="str">
        <f t="shared" si="360"/>
        <v/>
      </c>
      <c r="K4595" s="92" t="str">
        <f>IF(AND(A4595="",B4595="",D4595="",G4595=""),"",IF(AND(A4595&lt;&gt;"",COUNTIF($A$2:$A$5001,A4595)&gt;1),"NUMERO_PC duplicado",IF(B4595="","DATA_PC vazia",IF(NOT(ISNUMBER(B4595)),"DATA_PC invalida",IF(OR(C4595="",C4595="Fora dos ciclos"),"CICLO_PC nao identificado",IF(OR(D4595="",D4595=0),"VALOR_PC vazio ou zero",IF(AND(G4595&lt;&gt;"Sim",G4595&lt;&gt;"Nao",G4595&lt;&gt;""),"PC_PAGO_A_CONTRATADA invalido",IF(AND(C4595&lt;&gt;"C0",IFERROR(INDEX(parametros!$A$2:$A$6,MATCH(C4595,parametros!$B$2:$B$6,0)),"")="Sim",IFERROR(INDEX(parametros!$H$2:$H$6,MATCH(C4595,parametros!$B$2:$B$6,0)),"")=""),"INICIO_EFEITO ausente: PC "&amp;A4595&amp;" - "&amp;C4595,IF(L4595="","EFEITO_PC nao calculado: PC "&amp;A4595&amp;" - "&amp;C4595,"OK")))))))))</f>
        <v/>
      </c>
      <c r="L4595" s="92" t="str">
        <f>IF(AND(A4595="",B4595="",D4595="",G4595=""),"",IF(OR(B4595="",NOT(ISNUMBER(B4595)),C4595="",C4595="Fora dos ciclos"),"",IF(C4595="C0","Nao",IF(IFERROR(INDEX(parametros!$A$2:$A$6,MATCH(C4595,parametros!$B$2:$B$6,0)),"")&lt;&gt;"Sim","Nao",IF(IFERROR(INDEX(parametros!$H$2:$H$6,MATCH(C4595,parametros!$B$2:$B$6,0)),"")="","",IF(B4595&gt;=IFERROR(INDEX(parametros!$H$2:$H$6,MATCH(C4595,parametros!$B$2:$B$6,0)),""),"Sim","Nao"))))))</f>
        <v/>
      </c>
      <c r="T4595" s="156"/>
      <c r="U4595" s="214" t="str">
        <f t="shared" si="361"/>
        <v/>
      </c>
      <c r="V4595" s="212" t="s">
        <v>50</v>
      </c>
      <c r="W4595" s="100" t="s">
        <v>168</v>
      </c>
      <c r="X4595" s="100" t="s">
        <v>169</v>
      </c>
      <c r="Y4595" s="101" t="s">
        <v>170</v>
      </c>
      <c r="Z4595" s="101" t="s">
        <v>171</v>
      </c>
      <c r="AA4595" s="101" t="s">
        <v>50</v>
      </c>
      <c r="AB4595" s="101" t="s">
        <v>172</v>
      </c>
      <c r="AC4595" s="102" t="s">
        <v>173</v>
      </c>
    </row>
    <row r="4596" spans="1:29" ht="25.5" customHeight="1" x14ac:dyDescent="0.35">
      <c r="A4596" s="392"/>
      <c r="B4596" s="393"/>
      <c r="C4596" s="99" t="str">
        <f>IF(B4596="","",IF(NOT(ISNUMBER(B4596)),"DATA_PC invalida",IF(NOT(ISNUMBER(parametros!$C$2)),"Fora dos ciclos",IF(OR(B4596&lt;parametros!$C$2,(YEAR(B4596)-YEAR(parametros!$C$2))*12+MONTH(B4596)-MONTH(parametros!$C$2)&gt;59),"Fora dos ciclos","C"&amp;INT(((YEAR(B4596)-YEAR(parametros!$C$2))*12+MONTH(B4596)-MONTH(parametros!$C$2))/12)))))</f>
        <v/>
      </c>
      <c r="D4596" s="394"/>
      <c r="E4596" s="78" t="str">
        <f>IF(C4596="","",IFERROR(VLOOKUP(C4596,parametros!$A$11:$E$15,5,0),""))</f>
        <v/>
      </c>
      <c r="F4596" s="79" t="str">
        <f t="shared" si="357"/>
        <v/>
      </c>
      <c r="G4596" s="395"/>
      <c r="H4596" s="91">
        <f t="shared" si="358"/>
        <v>0</v>
      </c>
      <c r="I4596" s="91" t="str">
        <f t="shared" si="359"/>
        <v/>
      </c>
      <c r="J4596" s="91" t="str">
        <f t="shared" si="360"/>
        <v/>
      </c>
      <c r="K4596" s="92" t="str">
        <f>IF(AND(A4596="",B4596="",D4596="",G4596=""),"",IF(AND(A4596&lt;&gt;"",COUNTIF($A$2:$A$5001,A4596)&gt;1),"NUMERO_PC duplicado",IF(B4596="","DATA_PC vazia",IF(NOT(ISNUMBER(B4596)),"DATA_PC invalida",IF(OR(C4596="",C4596="Fora dos ciclos"),"CICLO_PC nao identificado",IF(OR(D4596="",D4596=0),"VALOR_PC vazio ou zero",IF(AND(G4596&lt;&gt;"Sim",G4596&lt;&gt;"Nao",G4596&lt;&gt;""),"PC_PAGO_A_CONTRATADA invalido",IF(AND(C4596&lt;&gt;"C0",IFERROR(INDEX(parametros!$A$2:$A$6,MATCH(C4596,parametros!$B$2:$B$6,0)),"")="Sim",IFERROR(INDEX(parametros!$H$2:$H$6,MATCH(C4596,parametros!$B$2:$B$6,0)),"")=""),"INICIO_EFEITO ausente: PC "&amp;A4596&amp;" - "&amp;C4596,IF(L4596="","EFEITO_PC nao calculado: PC "&amp;A4596&amp;" - "&amp;C4596,"OK")))))))))</f>
        <v/>
      </c>
      <c r="L4596" s="92" t="str">
        <f>IF(AND(A4596="",B4596="",D4596="",G4596=""),"",IF(OR(B4596="",NOT(ISNUMBER(B4596)),C4596="",C4596="Fora dos ciclos"),"",IF(C4596="C0","Nao",IF(IFERROR(INDEX(parametros!$A$2:$A$6,MATCH(C4596,parametros!$B$2:$B$6,0)),"")&lt;&gt;"Sim","Nao",IF(IFERROR(INDEX(parametros!$H$2:$H$6,MATCH(C4596,parametros!$B$2:$B$6,0)),"")="","",IF(B4596&gt;=IFERROR(INDEX(parametros!$H$2:$H$6,MATCH(C4596,parametros!$B$2:$B$6,0)),""),"Sim","Nao"))))))</f>
        <v/>
      </c>
      <c r="T4596" s="156"/>
      <c r="U4596" s="214" t="str">
        <f t="shared" si="361"/>
        <v/>
      </c>
      <c r="V4596" s="212" t="s">
        <v>50</v>
      </c>
      <c r="W4596" s="100" t="s">
        <v>168</v>
      </c>
      <c r="X4596" s="100" t="s">
        <v>169</v>
      </c>
      <c r="Y4596" s="101" t="s">
        <v>170</v>
      </c>
      <c r="Z4596" s="101" t="s">
        <v>171</v>
      </c>
      <c r="AA4596" s="101" t="s">
        <v>50</v>
      </c>
      <c r="AB4596" s="101" t="s">
        <v>172</v>
      </c>
      <c r="AC4596" s="102" t="s">
        <v>173</v>
      </c>
    </row>
    <row r="4597" spans="1:29" ht="25.5" customHeight="1" x14ac:dyDescent="0.35">
      <c r="A4597" s="392"/>
      <c r="B4597" s="393"/>
      <c r="C4597" s="99" t="str">
        <f>IF(B4597="","",IF(NOT(ISNUMBER(B4597)),"DATA_PC invalida",IF(NOT(ISNUMBER(parametros!$C$2)),"Fora dos ciclos",IF(OR(B4597&lt;parametros!$C$2,(YEAR(B4597)-YEAR(parametros!$C$2))*12+MONTH(B4597)-MONTH(parametros!$C$2)&gt;59),"Fora dos ciclos","C"&amp;INT(((YEAR(B4597)-YEAR(parametros!$C$2))*12+MONTH(B4597)-MONTH(parametros!$C$2))/12)))))</f>
        <v/>
      </c>
      <c r="D4597" s="394"/>
      <c r="E4597" s="78" t="str">
        <f>IF(C4597="","",IFERROR(VLOOKUP(C4597,parametros!$A$11:$E$15,5,0),""))</f>
        <v/>
      </c>
      <c r="F4597" s="79" t="str">
        <f t="shared" si="357"/>
        <v/>
      </c>
      <c r="G4597" s="395"/>
      <c r="H4597" s="91">
        <f t="shared" si="358"/>
        <v>0</v>
      </c>
      <c r="I4597" s="91" t="str">
        <f t="shared" si="359"/>
        <v/>
      </c>
      <c r="J4597" s="91" t="str">
        <f t="shared" si="360"/>
        <v/>
      </c>
      <c r="K4597" s="92" t="str">
        <f>IF(AND(A4597="",B4597="",D4597="",G4597=""),"",IF(AND(A4597&lt;&gt;"",COUNTIF($A$2:$A$5001,A4597)&gt;1),"NUMERO_PC duplicado",IF(B4597="","DATA_PC vazia",IF(NOT(ISNUMBER(B4597)),"DATA_PC invalida",IF(OR(C4597="",C4597="Fora dos ciclos"),"CICLO_PC nao identificado",IF(OR(D4597="",D4597=0),"VALOR_PC vazio ou zero",IF(AND(G4597&lt;&gt;"Sim",G4597&lt;&gt;"Nao",G4597&lt;&gt;""),"PC_PAGO_A_CONTRATADA invalido",IF(AND(C4597&lt;&gt;"C0",IFERROR(INDEX(parametros!$A$2:$A$6,MATCH(C4597,parametros!$B$2:$B$6,0)),"")="Sim",IFERROR(INDEX(parametros!$H$2:$H$6,MATCH(C4597,parametros!$B$2:$B$6,0)),"")=""),"INICIO_EFEITO ausente: PC "&amp;A4597&amp;" - "&amp;C4597,IF(L4597="","EFEITO_PC nao calculado: PC "&amp;A4597&amp;" - "&amp;C4597,"OK")))))))))</f>
        <v/>
      </c>
      <c r="L4597" s="92" t="str">
        <f>IF(AND(A4597="",B4597="",D4597="",G4597=""),"",IF(OR(B4597="",NOT(ISNUMBER(B4597)),C4597="",C4597="Fora dos ciclos"),"",IF(C4597="C0","Nao",IF(IFERROR(INDEX(parametros!$A$2:$A$6,MATCH(C4597,parametros!$B$2:$B$6,0)),"")&lt;&gt;"Sim","Nao",IF(IFERROR(INDEX(parametros!$H$2:$H$6,MATCH(C4597,parametros!$B$2:$B$6,0)),"")="","",IF(B4597&gt;=IFERROR(INDEX(parametros!$H$2:$H$6,MATCH(C4597,parametros!$B$2:$B$6,0)),""),"Sim","Nao"))))))</f>
        <v/>
      </c>
      <c r="T4597" s="156"/>
      <c r="U4597" s="214" t="str">
        <f t="shared" si="361"/>
        <v/>
      </c>
      <c r="V4597" s="212" t="s">
        <v>50</v>
      </c>
      <c r="W4597" s="100" t="s">
        <v>168</v>
      </c>
      <c r="X4597" s="100" t="s">
        <v>169</v>
      </c>
      <c r="Y4597" s="101" t="s">
        <v>170</v>
      </c>
      <c r="Z4597" s="101" t="s">
        <v>171</v>
      </c>
      <c r="AA4597" s="101" t="s">
        <v>50</v>
      </c>
      <c r="AB4597" s="101" t="s">
        <v>172</v>
      </c>
      <c r="AC4597" s="102" t="s">
        <v>173</v>
      </c>
    </row>
    <row r="4598" spans="1:29" ht="25.5" customHeight="1" x14ac:dyDescent="0.35">
      <c r="A4598" s="392"/>
      <c r="B4598" s="393"/>
      <c r="C4598" s="99" t="str">
        <f>IF(B4598="","",IF(NOT(ISNUMBER(B4598)),"DATA_PC invalida",IF(NOT(ISNUMBER(parametros!$C$2)),"Fora dos ciclos",IF(OR(B4598&lt;parametros!$C$2,(YEAR(B4598)-YEAR(parametros!$C$2))*12+MONTH(B4598)-MONTH(parametros!$C$2)&gt;59),"Fora dos ciclos","C"&amp;INT(((YEAR(B4598)-YEAR(parametros!$C$2))*12+MONTH(B4598)-MONTH(parametros!$C$2))/12)))))</f>
        <v/>
      </c>
      <c r="D4598" s="394"/>
      <c r="E4598" s="78" t="str">
        <f>IF(C4598="","",IFERROR(VLOOKUP(C4598,parametros!$A$11:$E$15,5,0),""))</f>
        <v/>
      </c>
      <c r="F4598" s="79" t="str">
        <f t="shared" si="357"/>
        <v/>
      </c>
      <c r="G4598" s="395"/>
      <c r="H4598" s="91">
        <f t="shared" si="358"/>
        <v>0</v>
      </c>
      <c r="I4598" s="91" t="str">
        <f t="shared" si="359"/>
        <v/>
      </c>
      <c r="J4598" s="91" t="str">
        <f t="shared" si="360"/>
        <v/>
      </c>
      <c r="K4598" s="92" t="str">
        <f>IF(AND(A4598="",B4598="",D4598="",G4598=""),"",IF(AND(A4598&lt;&gt;"",COUNTIF($A$2:$A$5001,A4598)&gt;1),"NUMERO_PC duplicado",IF(B4598="","DATA_PC vazia",IF(NOT(ISNUMBER(B4598)),"DATA_PC invalida",IF(OR(C4598="",C4598="Fora dos ciclos"),"CICLO_PC nao identificado",IF(OR(D4598="",D4598=0),"VALOR_PC vazio ou zero",IF(AND(G4598&lt;&gt;"Sim",G4598&lt;&gt;"Nao",G4598&lt;&gt;""),"PC_PAGO_A_CONTRATADA invalido",IF(AND(C4598&lt;&gt;"C0",IFERROR(INDEX(parametros!$A$2:$A$6,MATCH(C4598,parametros!$B$2:$B$6,0)),"")="Sim",IFERROR(INDEX(parametros!$H$2:$H$6,MATCH(C4598,parametros!$B$2:$B$6,0)),"")=""),"INICIO_EFEITO ausente: PC "&amp;A4598&amp;" - "&amp;C4598,IF(L4598="","EFEITO_PC nao calculado: PC "&amp;A4598&amp;" - "&amp;C4598,"OK")))))))))</f>
        <v/>
      </c>
      <c r="L4598" s="92" t="str">
        <f>IF(AND(A4598="",B4598="",D4598="",G4598=""),"",IF(OR(B4598="",NOT(ISNUMBER(B4598)),C4598="",C4598="Fora dos ciclos"),"",IF(C4598="C0","Nao",IF(IFERROR(INDEX(parametros!$A$2:$A$6,MATCH(C4598,parametros!$B$2:$B$6,0)),"")&lt;&gt;"Sim","Nao",IF(IFERROR(INDEX(parametros!$H$2:$H$6,MATCH(C4598,parametros!$B$2:$B$6,0)),"")="","",IF(B4598&gt;=IFERROR(INDEX(parametros!$H$2:$H$6,MATCH(C4598,parametros!$B$2:$B$6,0)),""),"Sim","Nao"))))))</f>
        <v/>
      </c>
      <c r="T4598" s="156"/>
      <c r="U4598" s="214" t="str">
        <f t="shared" si="361"/>
        <v/>
      </c>
      <c r="V4598" s="212" t="s">
        <v>50</v>
      </c>
      <c r="W4598" s="100" t="s">
        <v>168</v>
      </c>
      <c r="X4598" s="100" t="s">
        <v>169</v>
      </c>
      <c r="Y4598" s="101" t="s">
        <v>170</v>
      </c>
      <c r="Z4598" s="101" t="s">
        <v>171</v>
      </c>
      <c r="AA4598" s="101" t="s">
        <v>50</v>
      </c>
      <c r="AB4598" s="101" t="s">
        <v>172</v>
      </c>
      <c r="AC4598" s="102" t="s">
        <v>173</v>
      </c>
    </row>
    <row r="4599" spans="1:29" ht="25.5" customHeight="1" x14ac:dyDescent="0.35">
      <c r="A4599" s="392"/>
      <c r="B4599" s="393"/>
      <c r="C4599" s="99" t="str">
        <f>IF(B4599="","",IF(NOT(ISNUMBER(B4599)),"DATA_PC invalida",IF(NOT(ISNUMBER(parametros!$C$2)),"Fora dos ciclos",IF(OR(B4599&lt;parametros!$C$2,(YEAR(B4599)-YEAR(parametros!$C$2))*12+MONTH(B4599)-MONTH(parametros!$C$2)&gt;59),"Fora dos ciclos","C"&amp;INT(((YEAR(B4599)-YEAR(parametros!$C$2))*12+MONTH(B4599)-MONTH(parametros!$C$2))/12)))))</f>
        <v/>
      </c>
      <c r="D4599" s="394"/>
      <c r="E4599" s="78" t="str">
        <f>IF(C4599="","",IFERROR(VLOOKUP(C4599,parametros!$A$11:$E$15,5,0),""))</f>
        <v/>
      </c>
      <c r="F4599" s="79" t="str">
        <f t="shared" si="357"/>
        <v/>
      </c>
      <c r="G4599" s="395"/>
      <c r="H4599" s="91">
        <f t="shared" si="358"/>
        <v>0</v>
      </c>
      <c r="I4599" s="91" t="str">
        <f t="shared" si="359"/>
        <v/>
      </c>
      <c r="J4599" s="91" t="str">
        <f t="shared" si="360"/>
        <v/>
      </c>
      <c r="K4599" s="92" t="str">
        <f>IF(AND(A4599="",B4599="",D4599="",G4599=""),"",IF(AND(A4599&lt;&gt;"",COUNTIF($A$2:$A$5001,A4599)&gt;1),"NUMERO_PC duplicado",IF(B4599="","DATA_PC vazia",IF(NOT(ISNUMBER(B4599)),"DATA_PC invalida",IF(OR(C4599="",C4599="Fora dos ciclos"),"CICLO_PC nao identificado",IF(OR(D4599="",D4599=0),"VALOR_PC vazio ou zero",IF(AND(G4599&lt;&gt;"Sim",G4599&lt;&gt;"Nao",G4599&lt;&gt;""),"PC_PAGO_A_CONTRATADA invalido",IF(AND(C4599&lt;&gt;"C0",IFERROR(INDEX(parametros!$A$2:$A$6,MATCH(C4599,parametros!$B$2:$B$6,0)),"")="Sim",IFERROR(INDEX(parametros!$H$2:$H$6,MATCH(C4599,parametros!$B$2:$B$6,0)),"")=""),"INICIO_EFEITO ausente: PC "&amp;A4599&amp;" - "&amp;C4599,IF(L4599="","EFEITO_PC nao calculado: PC "&amp;A4599&amp;" - "&amp;C4599,"OK")))))))))</f>
        <v/>
      </c>
      <c r="L4599" s="92" t="str">
        <f>IF(AND(A4599="",B4599="",D4599="",G4599=""),"",IF(OR(B4599="",NOT(ISNUMBER(B4599)),C4599="",C4599="Fora dos ciclos"),"",IF(C4599="C0","Nao",IF(IFERROR(INDEX(parametros!$A$2:$A$6,MATCH(C4599,parametros!$B$2:$B$6,0)),"")&lt;&gt;"Sim","Nao",IF(IFERROR(INDEX(parametros!$H$2:$H$6,MATCH(C4599,parametros!$B$2:$B$6,0)),"")="","",IF(B4599&gt;=IFERROR(INDEX(parametros!$H$2:$H$6,MATCH(C4599,parametros!$B$2:$B$6,0)),""),"Sim","Nao"))))))</f>
        <v/>
      </c>
      <c r="T4599" s="156"/>
      <c r="U4599" s="214" t="str">
        <f t="shared" si="361"/>
        <v/>
      </c>
      <c r="V4599" s="212" t="s">
        <v>50</v>
      </c>
      <c r="W4599" s="100" t="s">
        <v>168</v>
      </c>
      <c r="X4599" s="100" t="s">
        <v>169</v>
      </c>
      <c r="Y4599" s="101" t="s">
        <v>170</v>
      </c>
      <c r="Z4599" s="101" t="s">
        <v>171</v>
      </c>
      <c r="AA4599" s="101" t="s">
        <v>50</v>
      </c>
      <c r="AB4599" s="101" t="s">
        <v>172</v>
      </c>
      <c r="AC4599" s="102" t="s">
        <v>173</v>
      </c>
    </row>
    <row r="4600" spans="1:29" ht="25.5" customHeight="1" x14ac:dyDescent="0.35">
      <c r="A4600" s="392"/>
      <c r="B4600" s="393"/>
      <c r="C4600" s="99" t="str">
        <f>IF(B4600="","",IF(NOT(ISNUMBER(B4600)),"DATA_PC invalida",IF(NOT(ISNUMBER(parametros!$C$2)),"Fora dos ciclos",IF(OR(B4600&lt;parametros!$C$2,(YEAR(B4600)-YEAR(parametros!$C$2))*12+MONTH(B4600)-MONTH(parametros!$C$2)&gt;59),"Fora dos ciclos","C"&amp;INT(((YEAR(B4600)-YEAR(parametros!$C$2))*12+MONTH(B4600)-MONTH(parametros!$C$2))/12)))))</f>
        <v/>
      </c>
      <c r="D4600" s="394"/>
      <c r="E4600" s="78" t="str">
        <f>IF(C4600="","",IFERROR(VLOOKUP(C4600,parametros!$A$11:$E$15,5,0),""))</f>
        <v/>
      </c>
      <c r="F4600" s="79" t="str">
        <f t="shared" si="357"/>
        <v/>
      </c>
      <c r="G4600" s="395"/>
      <c r="H4600" s="91">
        <f t="shared" si="358"/>
        <v>0</v>
      </c>
      <c r="I4600" s="91" t="str">
        <f t="shared" si="359"/>
        <v/>
      </c>
      <c r="J4600" s="91" t="str">
        <f t="shared" si="360"/>
        <v/>
      </c>
      <c r="K4600" s="92" t="str">
        <f>IF(AND(A4600="",B4600="",D4600="",G4600=""),"",IF(AND(A4600&lt;&gt;"",COUNTIF($A$2:$A$5001,A4600)&gt;1),"NUMERO_PC duplicado",IF(B4600="","DATA_PC vazia",IF(NOT(ISNUMBER(B4600)),"DATA_PC invalida",IF(OR(C4600="",C4600="Fora dos ciclos"),"CICLO_PC nao identificado",IF(OR(D4600="",D4600=0),"VALOR_PC vazio ou zero",IF(AND(G4600&lt;&gt;"Sim",G4600&lt;&gt;"Nao",G4600&lt;&gt;""),"PC_PAGO_A_CONTRATADA invalido",IF(AND(C4600&lt;&gt;"C0",IFERROR(INDEX(parametros!$A$2:$A$6,MATCH(C4600,parametros!$B$2:$B$6,0)),"")="Sim",IFERROR(INDEX(parametros!$H$2:$H$6,MATCH(C4600,parametros!$B$2:$B$6,0)),"")=""),"INICIO_EFEITO ausente: PC "&amp;A4600&amp;" - "&amp;C4600,IF(L4600="","EFEITO_PC nao calculado: PC "&amp;A4600&amp;" - "&amp;C4600,"OK")))))))))</f>
        <v/>
      </c>
      <c r="L4600" s="92" t="str">
        <f>IF(AND(A4600="",B4600="",D4600="",G4600=""),"",IF(OR(B4600="",NOT(ISNUMBER(B4600)),C4600="",C4600="Fora dos ciclos"),"",IF(C4600="C0","Nao",IF(IFERROR(INDEX(parametros!$A$2:$A$6,MATCH(C4600,parametros!$B$2:$B$6,0)),"")&lt;&gt;"Sim","Nao",IF(IFERROR(INDEX(parametros!$H$2:$H$6,MATCH(C4600,parametros!$B$2:$B$6,0)),"")="","",IF(B4600&gt;=IFERROR(INDEX(parametros!$H$2:$H$6,MATCH(C4600,parametros!$B$2:$B$6,0)),""),"Sim","Nao"))))))</f>
        <v/>
      </c>
      <c r="T4600" s="156"/>
      <c r="U4600" s="214" t="str">
        <f t="shared" si="361"/>
        <v/>
      </c>
      <c r="V4600" s="212" t="s">
        <v>50</v>
      </c>
      <c r="W4600" s="100" t="s">
        <v>168</v>
      </c>
      <c r="X4600" s="100" t="s">
        <v>169</v>
      </c>
      <c r="Y4600" s="101" t="s">
        <v>170</v>
      </c>
      <c r="Z4600" s="101" t="s">
        <v>171</v>
      </c>
      <c r="AA4600" s="101" t="s">
        <v>50</v>
      </c>
      <c r="AB4600" s="101" t="s">
        <v>172</v>
      </c>
      <c r="AC4600" s="102" t="s">
        <v>173</v>
      </c>
    </row>
    <row r="4601" spans="1:29" ht="25.5" customHeight="1" x14ac:dyDescent="0.35">
      <c r="A4601" s="392"/>
      <c r="B4601" s="393"/>
      <c r="C4601" s="99" t="str">
        <f>IF(B4601="","",IF(NOT(ISNUMBER(B4601)),"DATA_PC invalida",IF(NOT(ISNUMBER(parametros!$C$2)),"Fora dos ciclos",IF(OR(B4601&lt;parametros!$C$2,(YEAR(B4601)-YEAR(parametros!$C$2))*12+MONTH(B4601)-MONTH(parametros!$C$2)&gt;59),"Fora dos ciclos","C"&amp;INT(((YEAR(B4601)-YEAR(parametros!$C$2))*12+MONTH(B4601)-MONTH(parametros!$C$2))/12)))))</f>
        <v/>
      </c>
      <c r="D4601" s="394"/>
      <c r="E4601" s="78" t="str">
        <f>IF(C4601="","",IFERROR(VLOOKUP(C4601,parametros!$A$11:$E$15,5,0),""))</f>
        <v/>
      </c>
      <c r="F4601" s="79" t="str">
        <f t="shared" si="357"/>
        <v/>
      </c>
      <c r="G4601" s="395"/>
      <c r="H4601" s="91">
        <f t="shared" si="358"/>
        <v>0</v>
      </c>
      <c r="I4601" s="91" t="str">
        <f t="shared" si="359"/>
        <v/>
      </c>
      <c r="J4601" s="91" t="str">
        <f t="shared" si="360"/>
        <v/>
      </c>
      <c r="K4601" s="92" t="str">
        <f>IF(AND(A4601="",B4601="",D4601="",G4601=""),"",IF(AND(A4601&lt;&gt;"",COUNTIF($A$2:$A$5001,A4601)&gt;1),"NUMERO_PC duplicado",IF(B4601="","DATA_PC vazia",IF(NOT(ISNUMBER(B4601)),"DATA_PC invalida",IF(OR(C4601="",C4601="Fora dos ciclos"),"CICLO_PC nao identificado",IF(OR(D4601="",D4601=0),"VALOR_PC vazio ou zero",IF(AND(G4601&lt;&gt;"Sim",G4601&lt;&gt;"Nao",G4601&lt;&gt;""),"PC_PAGO_A_CONTRATADA invalido",IF(AND(C4601&lt;&gt;"C0",IFERROR(INDEX(parametros!$A$2:$A$6,MATCH(C4601,parametros!$B$2:$B$6,0)),"")="Sim",IFERROR(INDEX(parametros!$H$2:$H$6,MATCH(C4601,parametros!$B$2:$B$6,0)),"")=""),"INICIO_EFEITO ausente: PC "&amp;A4601&amp;" - "&amp;C4601,IF(L4601="","EFEITO_PC nao calculado: PC "&amp;A4601&amp;" - "&amp;C4601,"OK")))))))))</f>
        <v/>
      </c>
      <c r="L4601" s="92" t="str">
        <f>IF(AND(A4601="",B4601="",D4601="",G4601=""),"",IF(OR(B4601="",NOT(ISNUMBER(B4601)),C4601="",C4601="Fora dos ciclos"),"",IF(C4601="C0","Nao",IF(IFERROR(INDEX(parametros!$A$2:$A$6,MATCH(C4601,parametros!$B$2:$B$6,0)),"")&lt;&gt;"Sim","Nao",IF(IFERROR(INDEX(parametros!$H$2:$H$6,MATCH(C4601,parametros!$B$2:$B$6,0)),"")="","",IF(B4601&gt;=IFERROR(INDEX(parametros!$H$2:$H$6,MATCH(C4601,parametros!$B$2:$B$6,0)),""),"Sim","Nao"))))))</f>
        <v/>
      </c>
      <c r="T4601" s="156"/>
      <c r="U4601" s="214" t="str">
        <f t="shared" si="361"/>
        <v/>
      </c>
      <c r="V4601" s="212" t="s">
        <v>50</v>
      </c>
      <c r="W4601" s="100" t="s">
        <v>168</v>
      </c>
      <c r="X4601" s="100" t="s">
        <v>169</v>
      </c>
      <c r="Y4601" s="101" t="s">
        <v>170</v>
      </c>
      <c r="Z4601" s="101" t="s">
        <v>171</v>
      </c>
      <c r="AA4601" s="101" t="s">
        <v>50</v>
      </c>
      <c r="AB4601" s="101" t="s">
        <v>172</v>
      </c>
      <c r="AC4601" s="102" t="s">
        <v>173</v>
      </c>
    </row>
    <row r="4602" spans="1:29" ht="25.5" customHeight="1" x14ac:dyDescent="0.35">
      <c r="A4602" s="392"/>
      <c r="B4602" s="393"/>
      <c r="C4602" s="99" t="str">
        <f>IF(B4602="","",IF(NOT(ISNUMBER(B4602)),"DATA_PC invalida",IF(NOT(ISNUMBER(parametros!$C$2)),"Fora dos ciclos",IF(OR(B4602&lt;parametros!$C$2,(YEAR(B4602)-YEAR(parametros!$C$2))*12+MONTH(B4602)-MONTH(parametros!$C$2)&gt;59),"Fora dos ciclos","C"&amp;INT(((YEAR(B4602)-YEAR(parametros!$C$2))*12+MONTH(B4602)-MONTH(parametros!$C$2))/12)))))</f>
        <v/>
      </c>
      <c r="D4602" s="394"/>
      <c r="E4602" s="78" t="str">
        <f>IF(C4602="","",IFERROR(VLOOKUP(C4602,parametros!$A$11:$E$15,5,0),""))</f>
        <v/>
      </c>
      <c r="F4602" s="79" t="str">
        <f t="shared" si="357"/>
        <v/>
      </c>
      <c r="G4602" s="395"/>
      <c r="H4602" s="91">
        <f t="shared" si="358"/>
        <v>0</v>
      </c>
      <c r="I4602" s="91" t="str">
        <f t="shared" si="359"/>
        <v/>
      </c>
      <c r="J4602" s="91" t="str">
        <f t="shared" si="360"/>
        <v/>
      </c>
      <c r="K4602" s="92" t="str">
        <f>IF(AND(A4602="",B4602="",D4602="",G4602=""),"",IF(AND(A4602&lt;&gt;"",COUNTIF($A$2:$A$5001,A4602)&gt;1),"NUMERO_PC duplicado",IF(B4602="","DATA_PC vazia",IF(NOT(ISNUMBER(B4602)),"DATA_PC invalida",IF(OR(C4602="",C4602="Fora dos ciclos"),"CICLO_PC nao identificado",IF(OR(D4602="",D4602=0),"VALOR_PC vazio ou zero",IF(AND(G4602&lt;&gt;"Sim",G4602&lt;&gt;"Nao",G4602&lt;&gt;""),"PC_PAGO_A_CONTRATADA invalido",IF(AND(C4602&lt;&gt;"C0",IFERROR(INDEX(parametros!$A$2:$A$6,MATCH(C4602,parametros!$B$2:$B$6,0)),"")="Sim",IFERROR(INDEX(parametros!$H$2:$H$6,MATCH(C4602,parametros!$B$2:$B$6,0)),"")=""),"INICIO_EFEITO ausente: PC "&amp;A4602&amp;" - "&amp;C4602,IF(L4602="","EFEITO_PC nao calculado: PC "&amp;A4602&amp;" - "&amp;C4602,"OK")))))))))</f>
        <v/>
      </c>
      <c r="L4602" s="92" t="str">
        <f>IF(AND(A4602="",B4602="",D4602="",G4602=""),"",IF(OR(B4602="",NOT(ISNUMBER(B4602)),C4602="",C4602="Fora dos ciclos"),"",IF(C4602="C0","Nao",IF(IFERROR(INDEX(parametros!$A$2:$A$6,MATCH(C4602,parametros!$B$2:$B$6,0)),"")&lt;&gt;"Sim","Nao",IF(IFERROR(INDEX(parametros!$H$2:$H$6,MATCH(C4602,parametros!$B$2:$B$6,0)),"")="","",IF(B4602&gt;=IFERROR(INDEX(parametros!$H$2:$H$6,MATCH(C4602,parametros!$B$2:$B$6,0)),""),"Sim","Nao"))))))</f>
        <v/>
      </c>
      <c r="T4602" s="156"/>
      <c r="U4602" s="214" t="str">
        <f t="shared" si="361"/>
        <v/>
      </c>
      <c r="V4602" s="212" t="s">
        <v>50</v>
      </c>
      <c r="W4602" s="100" t="s">
        <v>168</v>
      </c>
      <c r="X4602" s="100" t="s">
        <v>169</v>
      </c>
      <c r="Y4602" s="101" t="s">
        <v>170</v>
      </c>
      <c r="Z4602" s="101" t="s">
        <v>171</v>
      </c>
      <c r="AA4602" s="101" t="s">
        <v>50</v>
      </c>
      <c r="AB4602" s="101" t="s">
        <v>172</v>
      </c>
      <c r="AC4602" s="102" t="s">
        <v>173</v>
      </c>
    </row>
    <row r="4603" spans="1:29" ht="25.5" customHeight="1" x14ac:dyDescent="0.35">
      <c r="A4603" s="392"/>
      <c r="B4603" s="393"/>
      <c r="C4603" s="99" t="str">
        <f>IF(B4603="","",IF(NOT(ISNUMBER(B4603)),"DATA_PC invalida",IF(NOT(ISNUMBER(parametros!$C$2)),"Fora dos ciclos",IF(OR(B4603&lt;parametros!$C$2,(YEAR(B4603)-YEAR(parametros!$C$2))*12+MONTH(B4603)-MONTH(parametros!$C$2)&gt;59),"Fora dos ciclos","C"&amp;INT(((YEAR(B4603)-YEAR(parametros!$C$2))*12+MONTH(B4603)-MONTH(parametros!$C$2))/12)))))</f>
        <v/>
      </c>
      <c r="D4603" s="394"/>
      <c r="E4603" s="78" t="str">
        <f>IF(C4603="","",IFERROR(VLOOKUP(C4603,parametros!$A$11:$E$15,5,0),""))</f>
        <v/>
      </c>
      <c r="F4603" s="79" t="str">
        <f t="shared" si="357"/>
        <v/>
      </c>
      <c r="G4603" s="395"/>
      <c r="H4603" s="91">
        <f t="shared" si="358"/>
        <v>0</v>
      </c>
      <c r="I4603" s="91" t="str">
        <f t="shared" si="359"/>
        <v/>
      </c>
      <c r="J4603" s="91" t="str">
        <f t="shared" si="360"/>
        <v/>
      </c>
      <c r="K4603" s="92" t="str">
        <f>IF(AND(A4603="",B4603="",D4603="",G4603=""),"",IF(AND(A4603&lt;&gt;"",COUNTIF($A$2:$A$5001,A4603)&gt;1),"NUMERO_PC duplicado",IF(B4603="","DATA_PC vazia",IF(NOT(ISNUMBER(B4603)),"DATA_PC invalida",IF(OR(C4603="",C4603="Fora dos ciclos"),"CICLO_PC nao identificado",IF(OR(D4603="",D4603=0),"VALOR_PC vazio ou zero",IF(AND(G4603&lt;&gt;"Sim",G4603&lt;&gt;"Nao",G4603&lt;&gt;""),"PC_PAGO_A_CONTRATADA invalido",IF(AND(C4603&lt;&gt;"C0",IFERROR(INDEX(parametros!$A$2:$A$6,MATCH(C4603,parametros!$B$2:$B$6,0)),"")="Sim",IFERROR(INDEX(parametros!$H$2:$H$6,MATCH(C4603,parametros!$B$2:$B$6,0)),"")=""),"INICIO_EFEITO ausente: PC "&amp;A4603&amp;" - "&amp;C4603,IF(L4603="","EFEITO_PC nao calculado: PC "&amp;A4603&amp;" - "&amp;C4603,"OK")))))))))</f>
        <v/>
      </c>
      <c r="L4603" s="92" t="str">
        <f>IF(AND(A4603="",B4603="",D4603="",G4603=""),"",IF(OR(B4603="",NOT(ISNUMBER(B4603)),C4603="",C4603="Fora dos ciclos"),"",IF(C4603="C0","Nao",IF(IFERROR(INDEX(parametros!$A$2:$A$6,MATCH(C4603,parametros!$B$2:$B$6,0)),"")&lt;&gt;"Sim","Nao",IF(IFERROR(INDEX(parametros!$H$2:$H$6,MATCH(C4603,parametros!$B$2:$B$6,0)),"")="","",IF(B4603&gt;=IFERROR(INDEX(parametros!$H$2:$H$6,MATCH(C4603,parametros!$B$2:$B$6,0)),""),"Sim","Nao"))))))</f>
        <v/>
      </c>
      <c r="T4603" s="156"/>
      <c r="U4603" s="214" t="str">
        <f t="shared" si="361"/>
        <v/>
      </c>
      <c r="V4603" s="212" t="s">
        <v>50</v>
      </c>
      <c r="W4603" s="100" t="s">
        <v>168</v>
      </c>
      <c r="X4603" s="100" t="s">
        <v>169</v>
      </c>
      <c r="Y4603" s="101" t="s">
        <v>170</v>
      </c>
      <c r="Z4603" s="101" t="s">
        <v>171</v>
      </c>
      <c r="AA4603" s="101" t="s">
        <v>50</v>
      </c>
      <c r="AB4603" s="101" t="s">
        <v>172</v>
      </c>
      <c r="AC4603" s="102" t="s">
        <v>173</v>
      </c>
    </row>
    <row r="4604" spans="1:29" ht="25.5" customHeight="1" x14ac:dyDescent="0.35">
      <c r="A4604" s="392"/>
      <c r="B4604" s="393"/>
      <c r="C4604" s="99" t="str">
        <f>IF(B4604="","",IF(NOT(ISNUMBER(B4604)),"DATA_PC invalida",IF(NOT(ISNUMBER(parametros!$C$2)),"Fora dos ciclos",IF(OR(B4604&lt;parametros!$C$2,(YEAR(B4604)-YEAR(parametros!$C$2))*12+MONTH(B4604)-MONTH(parametros!$C$2)&gt;59),"Fora dos ciclos","C"&amp;INT(((YEAR(B4604)-YEAR(parametros!$C$2))*12+MONTH(B4604)-MONTH(parametros!$C$2))/12)))))</f>
        <v/>
      </c>
      <c r="D4604" s="394"/>
      <c r="E4604" s="78" t="str">
        <f>IF(C4604="","",IFERROR(VLOOKUP(C4604,parametros!$A$11:$E$15,5,0),""))</f>
        <v/>
      </c>
      <c r="F4604" s="79" t="str">
        <f t="shared" si="357"/>
        <v/>
      </c>
      <c r="G4604" s="395"/>
      <c r="H4604" s="91">
        <f t="shared" si="358"/>
        <v>0</v>
      </c>
      <c r="I4604" s="91" t="str">
        <f t="shared" si="359"/>
        <v/>
      </c>
      <c r="J4604" s="91" t="str">
        <f t="shared" si="360"/>
        <v/>
      </c>
      <c r="K4604" s="92" t="str">
        <f>IF(AND(A4604="",B4604="",D4604="",G4604=""),"",IF(AND(A4604&lt;&gt;"",COUNTIF($A$2:$A$5001,A4604)&gt;1),"NUMERO_PC duplicado",IF(B4604="","DATA_PC vazia",IF(NOT(ISNUMBER(B4604)),"DATA_PC invalida",IF(OR(C4604="",C4604="Fora dos ciclos"),"CICLO_PC nao identificado",IF(OR(D4604="",D4604=0),"VALOR_PC vazio ou zero",IF(AND(G4604&lt;&gt;"Sim",G4604&lt;&gt;"Nao",G4604&lt;&gt;""),"PC_PAGO_A_CONTRATADA invalido",IF(AND(C4604&lt;&gt;"C0",IFERROR(INDEX(parametros!$A$2:$A$6,MATCH(C4604,parametros!$B$2:$B$6,0)),"")="Sim",IFERROR(INDEX(parametros!$H$2:$H$6,MATCH(C4604,parametros!$B$2:$B$6,0)),"")=""),"INICIO_EFEITO ausente: PC "&amp;A4604&amp;" - "&amp;C4604,IF(L4604="","EFEITO_PC nao calculado: PC "&amp;A4604&amp;" - "&amp;C4604,"OK")))))))))</f>
        <v/>
      </c>
      <c r="L4604" s="92" t="str">
        <f>IF(AND(A4604="",B4604="",D4604="",G4604=""),"",IF(OR(B4604="",NOT(ISNUMBER(B4604)),C4604="",C4604="Fora dos ciclos"),"",IF(C4604="C0","Nao",IF(IFERROR(INDEX(parametros!$A$2:$A$6,MATCH(C4604,parametros!$B$2:$B$6,0)),"")&lt;&gt;"Sim","Nao",IF(IFERROR(INDEX(parametros!$H$2:$H$6,MATCH(C4604,parametros!$B$2:$B$6,0)),"")="","",IF(B4604&gt;=IFERROR(INDEX(parametros!$H$2:$H$6,MATCH(C4604,parametros!$B$2:$B$6,0)),""),"Sim","Nao"))))))</f>
        <v/>
      </c>
      <c r="T4604" s="156"/>
      <c r="U4604" s="214" t="str">
        <f t="shared" si="361"/>
        <v/>
      </c>
      <c r="V4604" s="212" t="s">
        <v>50</v>
      </c>
      <c r="W4604" s="100" t="s">
        <v>168</v>
      </c>
      <c r="X4604" s="100" t="s">
        <v>169</v>
      </c>
      <c r="Y4604" s="101" t="s">
        <v>170</v>
      </c>
      <c r="Z4604" s="101" t="s">
        <v>171</v>
      </c>
      <c r="AA4604" s="101" t="s">
        <v>50</v>
      </c>
      <c r="AB4604" s="101" t="s">
        <v>172</v>
      </c>
      <c r="AC4604" s="102" t="s">
        <v>173</v>
      </c>
    </row>
    <row r="4605" spans="1:29" ht="25.5" customHeight="1" x14ac:dyDescent="0.35">
      <c r="A4605" s="392"/>
      <c r="B4605" s="393"/>
      <c r="C4605" s="99" t="str">
        <f>IF(B4605="","",IF(NOT(ISNUMBER(B4605)),"DATA_PC invalida",IF(NOT(ISNUMBER(parametros!$C$2)),"Fora dos ciclos",IF(OR(B4605&lt;parametros!$C$2,(YEAR(B4605)-YEAR(parametros!$C$2))*12+MONTH(B4605)-MONTH(parametros!$C$2)&gt;59),"Fora dos ciclos","C"&amp;INT(((YEAR(B4605)-YEAR(parametros!$C$2))*12+MONTH(B4605)-MONTH(parametros!$C$2))/12)))))</f>
        <v/>
      </c>
      <c r="D4605" s="394"/>
      <c r="E4605" s="78" t="str">
        <f>IF(C4605="","",IFERROR(VLOOKUP(C4605,parametros!$A$11:$E$15,5,0),""))</f>
        <v/>
      </c>
      <c r="F4605" s="79" t="str">
        <f t="shared" si="357"/>
        <v/>
      </c>
      <c r="G4605" s="395"/>
      <c r="H4605" s="91">
        <f t="shared" si="358"/>
        <v>0</v>
      </c>
      <c r="I4605" s="91" t="str">
        <f t="shared" si="359"/>
        <v/>
      </c>
      <c r="J4605" s="91" t="str">
        <f t="shared" si="360"/>
        <v/>
      </c>
      <c r="K4605" s="92" t="str">
        <f>IF(AND(A4605="",B4605="",D4605="",G4605=""),"",IF(AND(A4605&lt;&gt;"",COUNTIF($A$2:$A$5001,A4605)&gt;1),"NUMERO_PC duplicado",IF(B4605="","DATA_PC vazia",IF(NOT(ISNUMBER(B4605)),"DATA_PC invalida",IF(OR(C4605="",C4605="Fora dos ciclos"),"CICLO_PC nao identificado",IF(OR(D4605="",D4605=0),"VALOR_PC vazio ou zero",IF(AND(G4605&lt;&gt;"Sim",G4605&lt;&gt;"Nao",G4605&lt;&gt;""),"PC_PAGO_A_CONTRATADA invalido",IF(AND(C4605&lt;&gt;"C0",IFERROR(INDEX(parametros!$A$2:$A$6,MATCH(C4605,parametros!$B$2:$B$6,0)),"")="Sim",IFERROR(INDEX(parametros!$H$2:$H$6,MATCH(C4605,parametros!$B$2:$B$6,0)),"")=""),"INICIO_EFEITO ausente: PC "&amp;A4605&amp;" - "&amp;C4605,IF(L4605="","EFEITO_PC nao calculado: PC "&amp;A4605&amp;" - "&amp;C4605,"OK")))))))))</f>
        <v/>
      </c>
      <c r="L4605" s="92" t="str">
        <f>IF(AND(A4605="",B4605="",D4605="",G4605=""),"",IF(OR(B4605="",NOT(ISNUMBER(B4605)),C4605="",C4605="Fora dos ciclos"),"",IF(C4605="C0","Nao",IF(IFERROR(INDEX(parametros!$A$2:$A$6,MATCH(C4605,parametros!$B$2:$B$6,0)),"")&lt;&gt;"Sim","Nao",IF(IFERROR(INDEX(parametros!$H$2:$H$6,MATCH(C4605,parametros!$B$2:$B$6,0)),"")="","",IF(B4605&gt;=IFERROR(INDEX(parametros!$H$2:$H$6,MATCH(C4605,parametros!$B$2:$B$6,0)),""),"Sim","Nao"))))))</f>
        <v/>
      </c>
      <c r="T4605" s="156"/>
      <c r="U4605" s="214" t="str">
        <f t="shared" si="361"/>
        <v/>
      </c>
      <c r="V4605" s="212" t="s">
        <v>50</v>
      </c>
      <c r="W4605" s="100" t="s">
        <v>168</v>
      </c>
      <c r="X4605" s="100" t="s">
        <v>169</v>
      </c>
      <c r="Y4605" s="101" t="s">
        <v>170</v>
      </c>
      <c r="Z4605" s="101" t="s">
        <v>171</v>
      </c>
      <c r="AA4605" s="101" t="s">
        <v>50</v>
      </c>
      <c r="AB4605" s="101" t="s">
        <v>172</v>
      </c>
      <c r="AC4605" s="102" t="s">
        <v>173</v>
      </c>
    </row>
    <row r="4606" spans="1:29" ht="25.5" customHeight="1" x14ac:dyDescent="0.35">
      <c r="A4606" s="392"/>
      <c r="B4606" s="393"/>
      <c r="C4606" s="99" t="str">
        <f>IF(B4606="","",IF(NOT(ISNUMBER(B4606)),"DATA_PC invalida",IF(NOT(ISNUMBER(parametros!$C$2)),"Fora dos ciclos",IF(OR(B4606&lt;parametros!$C$2,(YEAR(B4606)-YEAR(parametros!$C$2))*12+MONTH(B4606)-MONTH(parametros!$C$2)&gt;59),"Fora dos ciclos","C"&amp;INT(((YEAR(B4606)-YEAR(parametros!$C$2))*12+MONTH(B4606)-MONTH(parametros!$C$2))/12)))))</f>
        <v/>
      </c>
      <c r="D4606" s="394"/>
      <c r="E4606" s="78" t="str">
        <f>IF(C4606="","",IFERROR(VLOOKUP(C4606,parametros!$A$11:$E$15,5,0),""))</f>
        <v/>
      </c>
      <c r="F4606" s="79" t="str">
        <f t="shared" si="357"/>
        <v/>
      </c>
      <c r="G4606" s="395"/>
      <c r="H4606" s="91">
        <f t="shared" si="358"/>
        <v>0</v>
      </c>
      <c r="I4606" s="91" t="str">
        <f t="shared" si="359"/>
        <v/>
      </c>
      <c r="J4606" s="91" t="str">
        <f t="shared" si="360"/>
        <v/>
      </c>
      <c r="K4606" s="92" t="str">
        <f>IF(AND(A4606="",B4606="",D4606="",G4606=""),"",IF(AND(A4606&lt;&gt;"",COUNTIF($A$2:$A$5001,A4606)&gt;1),"NUMERO_PC duplicado",IF(B4606="","DATA_PC vazia",IF(NOT(ISNUMBER(B4606)),"DATA_PC invalida",IF(OR(C4606="",C4606="Fora dos ciclos"),"CICLO_PC nao identificado",IF(OR(D4606="",D4606=0),"VALOR_PC vazio ou zero",IF(AND(G4606&lt;&gt;"Sim",G4606&lt;&gt;"Nao",G4606&lt;&gt;""),"PC_PAGO_A_CONTRATADA invalido",IF(AND(C4606&lt;&gt;"C0",IFERROR(INDEX(parametros!$A$2:$A$6,MATCH(C4606,parametros!$B$2:$B$6,0)),"")="Sim",IFERROR(INDEX(parametros!$H$2:$H$6,MATCH(C4606,parametros!$B$2:$B$6,0)),"")=""),"INICIO_EFEITO ausente: PC "&amp;A4606&amp;" - "&amp;C4606,IF(L4606="","EFEITO_PC nao calculado: PC "&amp;A4606&amp;" - "&amp;C4606,"OK")))))))))</f>
        <v/>
      </c>
      <c r="L4606" s="92" t="str">
        <f>IF(AND(A4606="",B4606="",D4606="",G4606=""),"",IF(OR(B4606="",NOT(ISNUMBER(B4606)),C4606="",C4606="Fora dos ciclos"),"",IF(C4606="C0","Nao",IF(IFERROR(INDEX(parametros!$A$2:$A$6,MATCH(C4606,parametros!$B$2:$B$6,0)),"")&lt;&gt;"Sim","Nao",IF(IFERROR(INDEX(parametros!$H$2:$H$6,MATCH(C4606,parametros!$B$2:$B$6,0)),"")="","",IF(B4606&gt;=IFERROR(INDEX(parametros!$H$2:$H$6,MATCH(C4606,parametros!$B$2:$B$6,0)),""),"Sim","Nao"))))))</f>
        <v/>
      </c>
      <c r="T4606" s="156"/>
      <c r="U4606" s="214" t="str">
        <f t="shared" si="361"/>
        <v/>
      </c>
      <c r="V4606" s="212" t="s">
        <v>50</v>
      </c>
      <c r="W4606" s="100" t="s">
        <v>168</v>
      </c>
      <c r="X4606" s="100" t="s">
        <v>169</v>
      </c>
      <c r="Y4606" s="101" t="s">
        <v>170</v>
      </c>
      <c r="Z4606" s="101" t="s">
        <v>171</v>
      </c>
      <c r="AA4606" s="101" t="s">
        <v>50</v>
      </c>
      <c r="AB4606" s="101" t="s">
        <v>172</v>
      </c>
      <c r="AC4606" s="102" t="s">
        <v>173</v>
      </c>
    </row>
    <row r="4607" spans="1:29" ht="25.5" customHeight="1" x14ac:dyDescent="0.35">
      <c r="A4607" s="392"/>
      <c r="B4607" s="393"/>
      <c r="C4607" s="99" t="str">
        <f>IF(B4607="","",IF(NOT(ISNUMBER(B4607)),"DATA_PC invalida",IF(NOT(ISNUMBER(parametros!$C$2)),"Fora dos ciclos",IF(OR(B4607&lt;parametros!$C$2,(YEAR(B4607)-YEAR(parametros!$C$2))*12+MONTH(B4607)-MONTH(parametros!$C$2)&gt;59),"Fora dos ciclos","C"&amp;INT(((YEAR(B4607)-YEAR(parametros!$C$2))*12+MONTH(B4607)-MONTH(parametros!$C$2))/12)))))</f>
        <v/>
      </c>
      <c r="D4607" s="394"/>
      <c r="E4607" s="78" t="str">
        <f>IF(C4607="","",IFERROR(VLOOKUP(C4607,parametros!$A$11:$E$15,5,0),""))</f>
        <v/>
      </c>
      <c r="F4607" s="79" t="str">
        <f t="shared" si="357"/>
        <v/>
      </c>
      <c r="G4607" s="395"/>
      <c r="H4607" s="91">
        <f t="shared" si="358"/>
        <v>0</v>
      </c>
      <c r="I4607" s="91" t="str">
        <f t="shared" si="359"/>
        <v/>
      </c>
      <c r="J4607" s="91" t="str">
        <f t="shared" si="360"/>
        <v/>
      </c>
      <c r="K4607" s="92" t="str">
        <f>IF(AND(A4607="",B4607="",D4607="",G4607=""),"",IF(AND(A4607&lt;&gt;"",COUNTIF($A$2:$A$5001,A4607)&gt;1),"NUMERO_PC duplicado",IF(B4607="","DATA_PC vazia",IF(NOT(ISNUMBER(B4607)),"DATA_PC invalida",IF(OR(C4607="",C4607="Fora dos ciclos"),"CICLO_PC nao identificado",IF(OR(D4607="",D4607=0),"VALOR_PC vazio ou zero",IF(AND(G4607&lt;&gt;"Sim",G4607&lt;&gt;"Nao",G4607&lt;&gt;""),"PC_PAGO_A_CONTRATADA invalido",IF(AND(C4607&lt;&gt;"C0",IFERROR(INDEX(parametros!$A$2:$A$6,MATCH(C4607,parametros!$B$2:$B$6,0)),"")="Sim",IFERROR(INDEX(parametros!$H$2:$H$6,MATCH(C4607,parametros!$B$2:$B$6,0)),"")=""),"INICIO_EFEITO ausente: PC "&amp;A4607&amp;" - "&amp;C4607,IF(L4607="","EFEITO_PC nao calculado: PC "&amp;A4607&amp;" - "&amp;C4607,"OK")))))))))</f>
        <v/>
      </c>
      <c r="L4607" s="92" t="str">
        <f>IF(AND(A4607="",B4607="",D4607="",G4607=""),"",IF(OR(B4607="",NOT(ISNUMBER(B4607)),C4607="",C4607="Fora dos ciclos"),"",IF(C4607="C0","Nao",IF(IFERROR(INDEX(parametros!$A$2:$A$6,MATCH(C4607,parametros!$B$2:$B$6,0)),"")&lt;&gt;"Sim","Nao",IF(IFERROR(INDEX(parametros!$H$2:$H$6,MATCH(C4607,parametros!$B$2:$B$6,0)),"")="","",IF(B4607&gt;=IFERROR(INDEX(parametros!$H$2:$H$6,MATCH(C4607,parametros!$B$2:$B$6,0)),""),"Sim","Nao"))))))</f>
        <v/>
      </c>
      <c r="T4607" s="156"/>
      <c r="U4607" s="214" t="str">
        <f t="shared" si="361"/>
        <v/>
      </c>
      <c r="V4607" s="212" t="s">
        <v>50</v>
      </c>
      <c r="W4607" s="100" t="s">
        <v>168</v>
      </c>
      <c r="X4607" s="100" t="s">
        <v>169</v>
      </c>
      <c r="Y4607" s="101" t="s">
        <v>170</v>
      </c>
      <c r="Z4607" s="101" t="s">
        <v>171</v>
      </c>
      <c r="AA4607" s="101" t="s">
        <v>50</v>
      </c>
      <c r="AB4607" s="101" t="s">
        <v>172</v>
      </c>
      <c r="AC4607" s="102" t="s">
        <v>173</v>
      </c>
    </row>
    <row r="4608" spans="1:29" ht="25.5" customHeight="1" x14ac:dyDescent="0.35">
      <c r="A4608" s="392"/>
      <c r="B4608" s="393"/>
      <c r="C4608" s="99" t="str">
        <f>IF(B4608="","",IF(NOT(ISNUMBER(B4608)),"DATA_PC invalida",IF(NOT(ISNUMBER(parametros!$C$2)),"Fora dos ciclos",IF(OR(B4608&lt;parametros!$C$2,(YEAR(B4608)-YEAR(parametros!$C$2))*12+MONTH(B4608)-MONTH(parametros!$C$2)&gt;59),"Fora dos ciclos","C"&amp;INT(((YEAR(B4608)-YEAR(parametros!$C$2))*12+MONTH(B4608)-MONTH(parametros!$C$2))/12)))))</f>
        <v/>
      </c>
      <c r="D4608" s="394"/>
      <c r="E4608" s="78" t="str">
        <f>IF(C4608="","",IFERROR(VLOOKUP(C4608,parametros!$A$11:$E$15,5,0),""))</f>
        <v/>
      </c>
      <c r="F4608" s="79" t="str">
        <f t="shared" si="357"/>
        <v/>
      </c>
      <c r="G4608" s="395"/>
      <c r="H4608" s="91">
        <f t="shared" si="358"/>
        <v>0</v>
      </c>
      <c r="I4608" s="91" t="str">
        <f t="shared" si="359"/>
        <v/>
      </c>
      <c r="J4608" s="91" t="str">
        <f t="shared" si="360"/>
        <v/>
      </c>
      <c r="K4608" s="92" t="str">
        <f>IF(AND(A4608="",B4608="",D4608="",G4608=""),"",IF(AND(A4608&lt;&gt;"",COUNTIF($A$2:$A$5001,A4608)&gt;1),"NUMERO_PC duplicado",IF(B4608="","DATA_PC vazia",IF(NOT(ISNUMBER(B4608)),"DATA_PC invalida",IF(OR(C4608="",C4608="Fora dos ciclos"),"CICLO_PC nao identificado",IF(OR(D4608="",D4608=0),"VALOR_PC vazio ou zero",IF(AND(G4608&lt;&gt;"Sim",G4608&lt;&gt;"Nao",G4608&lt;&gt;""),"PC_PAGO_A_CONTRATADA invalido",IF(AND(C4608&lt;&gt;"C0",IFERROR(INDEX(parametros!$A$2:$A$6,MATCH(C4608,parametros!$B$2:$B$6,0)),"")="Sim",IFERROR(INDEX(parametros!$H$2:$H$6,MATCH(C4608,parametros!$B$2:$B$6,0)),"")=""),"INICIO_EFEITO ausente: PC "&amp;A4608&amp;" - "&amp;C4608,IF(L4608="","EFEITO_PC nao calculado: PC "&amp;A4608&amp;" - "&amp;C4608,"OK")))))))))</f>
        <v/>
      </c>
      <c r="L4608" s="92" t="str">
        <f>IF(AND(A4608="",B4608="",D4608="",G4608=""),"",IF(OR(B4608="",NOT(ISNUMBER(B4608)),C4608="",C4608="Fora dos ciclos"),"",IF(C4608="C0","Nao",IF(IFERROR(INDEX(parametros!$A$2:$A$6,MATCH(C4608,parametros!$B$2:$B$6,0)),"")&lt;&gt;"Sim","Nao",IF(IFERROR(INDEX(parametros!$H$2:$H$6,MATCH(C4608,parametros!$B$2:$B$6,0)),"")="","",IF(B4608&gt;=IFERROR(INDEX(parametros!$H$2:$H$6,MATCH(C4608,parametros!$B$2:$B$6,0)),""),"Sim","Nao"))))))</f>
        <v/>
      </c>
      <c r="T4608" s="156"/>
      <c r="U4608" s="214" t="str">
        <f t="shared" si="361"/>
        <v/>
      </c>
      <c r="V4608" s="212" t="s">
        <v>50</v>
      </c>
      <c r="W4608" s="100" t="s">
        <v>168</v>
      </c>
      <c r="X4608" s="100" t="s">
        <v>169</v>
      </c>
      <c r="Y4608" s="101" t="s">
        <v>170</v>
      </c>
      <c r="Z4608" s="101" t="s">
        <v>171</v>
      </c>
      <c r="AA4608" s="101" t="s">
        <v>50</v>
      </c>
      <c r="AB4608" s="101" t="s">
        <v>172</v>
      </c>
      <c r="AC4608" s="102" t="s">
        <v>173</v>
      </c>
    </row>
    <row r="4609" spans="1:29" ht="25.5" customHeight="1" x14ac:dyDescent="0.35">
      <c r="A4609" s="392"/>
      <c r="B4609" s="393"/>
      <c r="C4609" s="99" t="str">
        <f>IF(B4609="","",IF(NOT(ISNUMBER(B4609)),"DATA_PC invalida",IF(NOT(ISNUMBER(parametros!$C$2)),"Fora dos ciclos",IF(OR(B4609&lt;parametros!$C$2,(YEAR(B4609)-YEAR(parametros!$C$2))*12+MONTH(B4609)-MONTH(parametros!$C$2)&gt;59),"Fora dos ciclos","C"&amp;INT(((YEAR(B4609)-YEAR(parametros!$C$2))*12+MONTH(B4609)-MONTH(parametros!$C$2))/12)))))</f>
        <v/>
      </c>
      <c r="D4609" s="394"/>
      <c r="E4609" s="78" t="str">
        <f>IF(C4609="","",IFERROR(VLOOKUP(C4609,parametros!$A$11:$E$15,5,0),""))</f>
        <v/>
      </c>
      <c r="F4609" s="79" t="str">
        <f t="shared" si="357"/>
        <v/>
      </c>
      <c r="G4609" s="395"/>
      <c r="H4609" s="91">
        <f t="shared" si="358"/>
        <v>0</v>
      </c>
      <c r="I4609" s="91" t="str">
        <f t="shared" si="359"/>
        <v/>
      </c>
      <c r="J4609" s="91" t="str">
        <f t="shared" si="360"/>
        <v/>
      </c>
      <c r="K4609" s="92" t="str">
        <f>IF(AND(A4609="",B4609="",D4609="",G4609=""),"",IF(AND(A4609&lt;&gt;"",COUNTIF($A$2:$A$5001,A4609)&gt;1),"NUMERO_PC duplicado",IF(B4609="","DATA_PC vazia",IF(NOT(ISNUMBER(B4609)),"DATA_PC invalida",IF(OR(C4609="",C4609="Fora dos ciclos"),"CICLO_PC nao identificado",IF(OR(D4609="",D4609=0),"VALOR_PC vazio ou zero",IF(AND(G4609&lt;&gt;"Sim",G4609&lt;&gt;"Nao",G4609&lt;&gt;""),"PC_PAGO_A_CONTRATADA invalido",IF(AND(C4609&lt;&gt;"C0",IFERROR(INDEX(parametros!$A$2:$A$6,MATCH(C4609,parametros!$B$2:$B$6,0)),"")="Sim",IFERROR(INDEX(parametros!$H$2:$H$6,MATCH(C4609,parametros!$B$2:$B$6,0)),"")=""),"INICIO_EFEITO ausente: PC "&amp;A4609&amp;" - "&amp;C4609,IF(L4609="","EFEITO_PC nao calculado: PC "&amp;A4609&amp;" - "&amp;C4609,"OK")))))))))</f>
        <v/>
      </c>
      <c r="L4609" s="92" t="str">
        <f>IF(AND(A4609="",B4609="",D4609="",G4609=""),"",IF(OR(B4609="",NOT(ISNUMBER(B4609)),C4609="",C4609="Fora dos ciclos"),"",IF(C4609="C0","Nao",IF(IFERROR(INDEX(parametros!$A$2:$A$6,MATCH(C4609,parametros!$B$2:$B$6,0)),"")&lt;&gt;"Sim","Nao",IF(IFERROR(INDEX(parametros!$H$2:$H$6,MATCH(C4609,parametros!$B$2:$B$6,0)),"")="","",IF(B4609&gt;=IFERROR(INDEX(parametros!$H$2:$H$6,MATCH(C4609,parametros!$B$2:$B$6,0)),""),"Sim","Nao"))))))</f>
        <v/>
      </c>
      <c r="T4609" s="156"/>
      <c r="U4609" s="214" t="str">
        <f t="shared" si="361"/>
        <v/>
      </c>
      <c r="V4609" s="212" t="s">
        <v>50</v>
      </c>
      <c r="W4609" s="100" t="s">
        <v>168</v>
      </c>
      <c r="X4609" s="100" t="s">
        <v>169</v>
      </c>
      <c r="Y4609" s="101" t="s">
        <v>170</v>
      </c>
      <c r="Z4609" s="101" t="s">
        <v>171</v>
      </c>
      <c r="AA4609" s="101" t="s">
        <v>50</v>
      </c>
      <c r="AB4609" s="101" t="s">
        <v>172</v>
      </c>
      <c r="AC4609" s="102" t="s">
        <v>173</v>
      </c>
    </row>
    <row r="4610" spans="1:29" ht="25.5" customHeight="1" x14ac:dyDescent="0.35">
      <c r="A4610" s="392"/>
      <c r="B4610" s="393"/>
      <c r="C4610" s="99" t="str">
        <f>IF(B4610="","",IF(NOT(ISNUMBER(B4610)),"DATA_PC invalida",IF(NOT(ISNUMBER(parametros!$C$2)),"Fora dos ciclos",IF(OR(B4610&lt;parametros!$C$2,(YEAR(B4610)-YEAR(parametros!$C$2))*12+MONTH(B4610)-MONTH(parametros!$C$2)&gt;59),"Fora dos ciclos","C"&amp;INT(((YEAR(B4610)-YEAR(parametros!$C$2))*12+MONTH(B4610)-MONTH(parametros!$C$2))/12)))))</f>
        <v/>
      </c>
      <c r="D4610" s="394"/>
      <c r="E4610" s="78" t="str">
        <f>IF(C4610="","",IFERROR(VLOOKUP(C4610,parametros!$A$11:$E$15,5,0),""))</f>
        <v/>
      </c>
      <c r="F4610" s="79" t="str">
        <f t="shared" ref="F4610:F4673" si="362">IF(OR(D4610="",E4610=""),"",ROUND(D4610*E4610,2))</f>
        <v/>
      </c>
      <c r="G4610" s="395"/>
      <c r="H4610" s="91">
        <f t="shared" ref="H4610:H4673" si="363">IF(G4610="Sim",IF(OR(F4610="",D4610="",L4610=""),"",IF(L4610="Sim",ROUND(F4610-D4610,2),0)),0)</f>
        <v>0</v>
      </c>
      <c r="I4610" s="91" t="str">
        <f t="shared" ref="I4610:I4673" si="364">IF(G4610="Sim",0,IF(OR(F4610="",L4610=""),"",F4610))</f>
        <v/>
      </c>
      <c r="J4610" s="91" t="str">
        <f t="shared" ref="J4610:J4673" si="365">IF(G4610="Sim",0,IF(OR(F4610="",D4610="",L4610=""),"",IF(L4610="Sim",ROUND(F4610-D4610,2),0)))</f>
        <v/>
      </c>
      <c r="K4610" s="92" t="str">
        <f>IF(AND(A4610="",B4610="",D4610="",G4610=""),"",IF(AND(A4610&lt;&gt;"",COUNTIF($A$2:$A$5001,A4610)&gt;1),"NUMERO_PC duplicado",IF(B4610="","DATA_PC vazia",IF(NOT(ISNUMBER(B4610)),"DATA_PC invalida",IF(OR(C4610="",C4610="Fora dos ciclos"),"CICLO_PC nao identificado",IF(OR(D4610="",D4610=0),"VALOR_PC vazio ou zero",IF(AND(G4610&lt;&gt;"Sim",G4610&lt;&gt;"Nao",G4610&lt;&gt;""),"PC_PAGO_A_CONTRATADA invalido",IF(AND(C4610&lt;&gt;"C0",IFERROR(INDEX(parametros!$A$2:$A$6,MATCH(C4610,parametros!$B$2:$B$6,0)),"")="Sim",IFERROR(INDEX(parametros!$H$2:$H$6,MATCH(C4610,parametros!$B$2:$B$6,0)),"")=""),"INICIO_EFEITO ausente: PC "&amp;A4610&amp;" - "&amp;C4610,IF(L4610="","EFEITO_PC nao calculado: PC "&amp;A4610&amp;" - "&amp;C4610,"OK")))))))))</f>
        <v/>
      </c>
      <c r="L4610" s="92" t="str">
        <f>IF(AND(A4610="",B4610="",D4610="",G4610=""),"",IF(OR(B4610="",NOT(ISNUMBER(B4610)),C4610="",C4610="Fora dos ciclos"),"",IF(C4610="C0","Nao",IF(IFERROR(INDEX(parametros!$A$2:$A$6,MATCH(C4610,parametros!$B$2:$B$6,0)),"")&lt;&gt;"Sim","Nao",IF(IFERROR(INDEX(parametros!$H$2:$H$6,MATCH(C4610,parametros!$B$2:$B$6,0)),"")="","",IF(B4610&gt;=IFERROR(INDEX(parametros!$H$2:$H$6,MATCH(C4610,parametros!$B$2:$B$6,0)),""),"Sim","Nao"))))))</f>
        <v/>
      </c>
      <c r="T4610" s="156"/>
      <c r="U4610" s="214" t="str">
        <f t="shared" ref="U4610:U4673" si="366">IF(OR($D4610="",$H4610=""),"",ROUND($D4610+$H4610,2))</f>
        <v/>
      </c>
      <c r="V4610" s="212" t="s">
        <v>50</v>
      </c>
      <c r="W4610" s="100" t="s">
        <v>168</v>
      </c>
      <c r="X4610" s="100" t="s">
        <v>169</v>
      </c>
      <c r="Y4610" s="101" t="s">
        <v>170</v>
      </c>
      <c r="Z4610" s="101" t="s">
        <v>171</v>
      </c>
      <c r="AA4610" s="101" t="s">
        <v>50</v>
      </c>
      <c r="AB4610" s="101" t="s">
        <v>172</v>
      </c>
      <c r="AC4610" s="102" t="s">
        <v>173</v>
      </c>
    </row>
    <row r="4611" spans="1:29" ht="25.5" customHeight="1" x14ac:dyDescent="0.35">
      <c r="A4611" s="392"/>
      <c r="B4611" s="393"/>
      <c r="C4611" s="99" t="str">
        <f>IF(B4611="","",IF(NOT(ISNUMBER(B4611)),"DATA_PC invalida",IF(NOT(ISNUMBER(parametros!$C$2)),"Fora dos ciclos",IF(OR(B4611&lt;parametros!$C$2,(YEAR(B4611)-YEAR(parametros!$C$2))*12+MONTH(B4611)-MONTH(parametros!$C$2)&gt;59),"Fora dos ciclos","C"&amp;INT(((YEAR(B4611)-YEAR(parametros!$C$2))*12+MONTH(B4611)-MONTH(parametros!$C$2))/12)))))</f>
        <v/>
      </c>
      <c r="D4611" s="394"/>
      <c r="E4611" s="78" t="str">
        <f>IF(C4611="","",IFERROR(VLOOKUP(C4611,parametros!$A$11:$E$15,5,0),""))</f>
        <v/>
      </c>
      <c r="F4611" s="79" t="str">
        <f t="shared" si="362"/>
        <v/>
      </c>
      <c r="G4611" s="395"/>
      <c r="H4611" s="91">
        <f t="shared" si="363"/>
        <v>0</v>
      </c>
      <c r="I4611" s="91" t="str">
        <f t="shared" si="364"/>
        <v/>
      </c>
      <c r="J4611" s="91" t="str">
        <f t="shared" si="365"/>
        <v/>
      </c>
      <c r="K4611" s="92" t="str">
        <f>IF(AND(A4611="",B4611="",D4611="",G4611=""),"",IF(AND(A4611&lt;&gt;"",COUNTIF($A$2:$A$5001,A4611)&gt;1),"NUMERO_PC duplicado",IF(B4611="","DATA_PC vazia",IF(NOT(ISNUMBER(B4611)),"DATA_PC invalida",IF(OR(C4611="",C4611="Fora dos ciclos"),"CICLO_PC nao identificado",IF(OR(D4611="",D4611=0),"VALOR_PC vazio ou zero",IF(AND(G4611&lt;&gt;"Sim",G4611&lt;&gt;"Nao",G4611&lt;&gt;""),"PC_PAGO_A_CONTRATADA invalido",IF(AND(C4611&lt;&gt;"C0",IFERROR(INDEX(parametros!$A$2:$A$6,MATCH(C4611,parametros!$B$2:$B$6,0)),"")="Sim",IFERROR(INDEX(parametros!$H$2:$H$6,MATCH(C4611,parametros!$B$2:$B$6,0)),"")=""),"INICIO_EFEITO ausente: PC "&amp;A4611&amp;" - "&amp;C4611,IF(L4611="","EFEITO_PC nao calculado: PC "&amp;A4611&amp;" - "&amp;C4611,"OK")))))))))</f>
        <v/>
      </c>
      <c r="L4611" s="92" t="str">
        <f>IF(AND(A4611="",B4611="",D4611="",G4611=""),"",IF(OR(B4611="",NOT(ISNUMBER(B4611)),C4611="",C4611="Fora dos ciclos"),"",IF(C4611="C0","Nao",IF(IFERROR(INDEX(parametros!$A$2:$A$6,MATCH(C4611,parametros!$B$2:$B$6,0)),"")&lt;&gt;"Sim","Nao",IF(IFERROR(INDEX(parametros!$H$2:$H$6,MATCH(C4611,parametros!$B$2:$B$6,0)),"")="","",IF(B4611&gt;=IFERROR(INDEX(parametros!$H$2:$H$6,MATCH(C4611,parametros!$B$2:$B$6,0)),""),"Sim","Nao"))))))</f>
        <v/>
      </c>
      <c r="T4611" s="156"/>
      <c r="U4611" s="214" t="str">
        <f t="shared" si="366"/>
        <v/>
      </c>
      <c r="V4611" s="212" t="s">
        <v>50</v>
      </c>
      <c r="W4611" s="100" t="s">
        <v>168</v>
      </c>
      <c r="X4611" s="100" t="s">
        <v>169</v>
      </c>
      <c r="Y4611" s="101" t="s">
        <v>170</v>
      </c>
      <c r="Z4611" s="101" t="s">
        <v>171</v>
      </c>
      <c r="AA4611" s="101" t="s">
        <v>50</v>
      </c>
      <c r="AB4611" s="101" t="s">
        <v>172</v>
      </c>
      <c r="AC4611" s="102" t="s">
        <v>173</v>
      </c>
    </row>
    <row r="4612" spans="1:29" ht="25.5" customHeight="1" x14ac:dyDescent="0.35">
      <c r="A4612" s="392"/>
      <c r="B4612" s="393"/>
      <c r="C4612" s="99" t="str">
        <f>IF(B4612="","",IF(NOT(ISNUMBER(B4612)),"DATA_PC invalida",IF(NOT(ISNUMBER(parametros!$C$2)),"Fora dos ciclos",IF(OR(B4612&lt;parametros!$C$2,(YEAR(B4612)-YEAR(parametros!$C$2))*12+MONTH(B4612)-MONTH(parametros!$C$2)&gt;59),"Fora dos ciclos","C"&amp;INT(((YEAR(B4612)-YEAR(parametros!$C$2))*12+MONTH(B4612)-MONTH(parametros!$C$2))/12)))))</f>
        <v/>
      </c>
      <c r="D4612" s="394"/>
      <c r="E4612" s="78" t="str">
        <f>IF(C4612="","",IFERROR(VLOOKUP(C4612,parametros!$A$11:$E$15,5,0),""))</f>
        <v/>
      </c>
      <c r="F4612" s="79" t="str">
        <f t="shared" si="362"/>
        <v/>
      </c>
      <c r="G4612" s="395"/>
      <c r="H4612" s="91">
        <f t="shared" si="363"/>
        <v>0</v>
      </c>
      <c r="I4612" s="91" t="str">
        <f t="shared" si="364"/>
        <v/>
      </c>
      <c r="J4612" s="91" t="str">
        <f t="shared" si="365"/>
        <v/>
      </c>
      <c r="K4612" s="92" t="str">
        <f>IF(AND(A4612="",B4612="",D4612="",G4612=""),"",IF(AND(A4612&lt;&gt;"",COUNTIF($A$2:$A$5001,A4612)&gt;1),"NUMERO_PC duplicado",IF(B4612="","DATA_PC vazia",IF(NOT(ISNUMBER(B4612)),"DATA_PC invalida",IF(OR(C4612="",C4612="Fora dos ciclos"),"CICLO_PC nao identificado",IF(OR(D4612="",D4612=0),"VALOR_PC vazio ou zero",IF(AND(G4612&lt;&gt;"Sim",G4612&lt;&gt;"Nao",G4612&lt;&gt;""),"PC_PAGO_A_CONTRATADA invalido",IF(AND(C4612&lt;&gt;"C0",IFERROR(INDEX(parametros!$A$2:$A$6,MATCH(C4612,parametros!$B$2:$B$6,0)),"")="Sim",IFERROR(INDEX(parametros!$H$2:$H$6,MATCH(C4612,parametros!$B$2:$B$6,0)),"")=""),"INICIO_EFEITO ausente: PC "&amp;A4612&amp;" - "&amp;C4612,IF(L4612="","EFEITO_PC nao calculado: PC "&amp;A4612&amp;" - "&amp;C4612,"OK")))))))))</f>
        <v/>
      </c>
      <c r="L4612" s="92" t="str">
        <f>IF(AND(A4612="",B4612="",D4612="",G4612=""),"",IF(OR(B4612="",NOT(ISNUMBER(B4612)),C4612="",C4612="Fora dos ciclos"),"",IF(C4612="C0","Nao",IF(IFERROR(INDEX(parametros!$A$2:$A$6,MATCH(C4612,parametros!$B$2:$B$6,0)),"")&lt;&gt;"Sim","Nao",IF(IFERROR(INDEX(parametros!$H$2:$H$6,MATCH(C4612,parametros!$B$2:$B$6,0)),"")="","",IF(B4612&gt;=IFERROR(INDEX(parametros!$H$2:$H$6,MATCH(C4612,parametros!$B$2:$B$6,0)),""),"Sim","Nao"))))))</f>
        <v/>
      </c>
      <c r="T4612" s="156"/>
      <c r="U4612" s="214" t="str">
        <f t="shared" si="366"/>
        <v/>
      </c>
      <c r="V4612" s="212" t="s">
        <v>50</v>
      </c>
      <c r="W4612" s="100" t="s">
        <v>168</v>
      </c>
      <c r="X4612" s="100" t="s">
        <v>169</v>
      </c>
      <c r="Y4612" s="101" t="s">
        <v>170</v>
      </c>
      <c r="Z4612" s="101" t="s">
        <v>171</v>
      </c>
      <c r="AA4612" s="101" t="s">
        <v>50</v>
      </c>
      <c r="AB4612" s="101" t="s">
        <v>172</v>
      </c>
      <c r="AC4612" s="102" t="s">
        <v>173</v>
      </c>
    </row>
    <row r="4613" spans="1:29" ht="25.5" customHeight="1" x14ac:dyDescent="0.35">
      <c r="A4613" s="392"/>
      <c r="B4613" s="393"/>
      <c r="C4613" s="99" t="str">
        <f>IF(B4613="","",IF(NOT(ISNUMBER(B4613)),"DATA_PC invalida",IF(NOT(ISNUMBER(parametros!$C$2)),"Fora dos ciclos",IF(OR(B4613&lt;parametros!$C$2,(YEAR(B4613)-YEAR(parametros!$C$2))*12+MONTH(B4613)-MONTH(parametros!$C$2)&gt;59),"Fora dos ciclos","C"&amp;INT(((YEAR(B4613)-YEAR(parametros!$C$2))*12+MONTH(B4613)-MONTH(parametros!$C$2))/12)))))</f>
        <v/>
      </c>
      <c r="D4613" s="394"/>
      <c r="E4613" s="78" t="str">
        <f>IF(C4613="","",IFERROR(VLOOKUP(C4613,parametros!$A$11:$E$15,5,0),""))</f>
        <v/>
      </c>
      <c r="F4613" s="79" t="str">
        <f t="shared" si="362"/>
        <v/>
      </c>
      <c r="G4613" s="395"/>
      <c r="H4613" s="91">
        <f t="shared" si="363"/>
        <v>0</v>
      </c>
      <c r="I4613" s="91" t="str">
        <f t="shared" si="364"/>
        <v/>
      </c>
      <c r="J4613" s="91" t="str">
        <f t="shared" si="365"/>
        <v/>
      </c>
      <c r="K4613" s="92" t="str">
        <f>IF(AND(A4613="",B4613="",D4613="",G4613=""),"",IF(AND(A4613&lt;&gt;"",COUNTIF($A$2:$A$5001,A4613)&gt;1),"NUMERO_PC duplicado",IF(B4613="","DATA_PC vazia",IF(NOT(ISNUMBER(B4613)),"DATA_PC invalida",IF(OR(C4613="",C4613="Fora dos ciclos"),"CICLO_PC nao identificado",IF(OR(D4613="",D4613=0),"VALOR_PC vazio ou zero",IF(AND(G4613&lt;&gt;"Sim",G4613&lt;&gt;"Nao",G4613&lt;&gt;""),"PC_PAGO_A_CONTRATADA invalido",IF(AND(C4613&lt;&gt;"C0",IFERROR(INDEX(parametros!$A$2:$A$6,MATCH(C4613,parametros!$B$2:$B$6,0)),"")="Sim",IFERROR(INDEX(parametros!$H$2:$H$6,MATCH(C4613,parametros!$B$2:$B$6,0)),"")=""),"INICIO_EFEITO ausente: PC "&amp;A4613&amp;" - "&amp;C4613,IF(L4613="","EFEITO_PC nao calculado: PC "&amp;A4613&amp;" - "&amp;C4613,"OK")))))))))</f>
        <v/>
      </c>
      <c r="L4613" s="92" t="str">
        <f>IF(AND(A4613="",B4613="",D4613="",G4613=""),"",IF(OR(B4613="",NOT(ISNUMBER(B4613)),C4613="",C4613="Fora dos ciclos"),"",IF(C4613="C0","Nao",IF(IFERROR(INDEX(parametros!$A$2:$A$6,MATCH(C4613,parametros!$B$2:$B$6,0)),"")&lt;&gt;"Sim","Nao",IF(IFERROR(INDEX(parametros!$H$2:$H$6,MATCH(C4613,parametros!$B$2:$B$6,0)),"")="","",IF(B4613&gt;=IFERROR(INDEX(parametros!$H$2:$H$6,MATCH(C4613,parametros!$B$2:$B$6,0)),""),"Sim","Nao"))))))</f>
        <v/>
      </c>
      <c r="T4613" s="156"/>
      <c r="U4613" s="214" t="str">
        <f t="shared" si="366"/>
        <v/>
      </c>
      <c r="V4613" s="212" t="s">
        <v>50</v>
      </c>
      <c r="W4613" s="100" t="s">
        <v>168</v>
      </c>
      <c r="X4613" s="100" t="s">
        <v>169</v>
      </c>
      <c r="Y4613" s="101" t="s">
        <v>170</v>
      </c>
      <c r="Z4613" s="101" t="s">
        <v>171</v>
      </c>
      <c r="AA4613" s="101" t="s">
        <v>50</v>
      </c>
      <c r="AB4613" s="101" t="s">
        <v>172</v>
      </c>
      <c r="AC4613" s="102" t="s">
        <v>173</v>
      </c>
    </row>
    <row r="4614" spans="1:29" ht="25.5" customHeight="1" x14ac:dyDescent="0.35">
      <c r="A4614" s="392"/>
      <c r="B4614" s="393"/>
      <c r="C4614" s="99" t="str">
        <f>IF(B4614="","",IF(NOT(ISNUMBER(B4614)),"DATA_PC invalida",IF(NOT(ISNUMBER(parametros!$C$2)),"Fora dos ciclos",IF(OR(B4614&lt;parametros!$C$2,(YEAR(B4614)-YEAR(parametros!$C$2))*12+MONTH(B4614)-MONTH(parametros!$C$2)&gt;59),"Fora dos ciclos","C"&amp;INT(((YEAR(B4614)-YEAR(parametros!$C$2))*12+MONTH(B4614)-MONTH(parametros!$C$2))/12)))))</f>
        <v/>
      </c>
      <c r="D4614" s="394"/>
      <c r="E4614" s="78" t="str">
        <f>IF(C4614="","",IFERROR(VLOOKUP(C4614,parametros!$A$11:$E$15,5,0),""))</f>
        <v/>
      </c>
      <c r="F4614" s="79" t="str">
        <f t="shared" si="362"/>
        <v/>
      </c>
      <c r="G4614" s="395"/>
      <c r="H4614" s="91">
        <f t="shared" si="363"/>
        <v>0</v>
      </c>
      <c r="I4614" s="91" t="str">
        <f t="shared" si="364"/>
        <v/>
      </c>
      <c r="J4614" s="91" t="str">
        <f t="shared" si="365"/>
        <v/>
      </c>
      <c r="K4614" s="92" t="str">
        <f>IF(AND(A4614="",B4614="",D4614="",G4614=""),"",IF(AND(A4614&lt;&gt;"",COUNTIF($A$2:$A$5001,A4614)&gt;1),"NUMERO_PC duplicado",IF(B4614="","DATA_PC vazia",IF(NOT(ISNUMBER(B4614)),"DATA_PC invalida",IF(OR(C4614="",C4614="Fora dos ciclos"),"CICLO_PC nao identificado",IF(OR(D4614="",D4614=0),"VALOR_PC vazio ou zero",IF(AND(G4614&lt;&gt;"Sim",G4614&lt;&gt;"Nao",G4614&lt;&gt;""),"PC_PAGO_A_CONTRATADA invalido",IF(AND(C4614&lt;&gt;"C0",IFERROR(INDEX(parametros!$A$2:$A$6,MATCH(C4614,parametros!$B$2:$B$6,0)),"")="Sim",IFERROR(INDEX(parametros!$H$2:$H$6,MATCH(C4614,parametros!$B$2:$B$6,0)),"")=""),"INICIO_EFEITO ausente: PC "&amp;A4614&amp;" - "&amp;C4614,IF(L4614="","EFEITO_PC nao calculado: PC "&amp;A4614&amp;" - "&amp;C4614,"OK")))))))))</f>
        <v/>
      </c>
      <c r="L4614" s="92" t="str">
        <f>IF(AND(A4614="",B4614="",D4614="",G4614=""),"",IF(OR(B4614="",NOT(ISNUMBER(B4614)),C4614="",C4614="Fora dos ciclos"),"",IF(C4614="C0","Nao",IF(IFERROR(INDEX(parametros!$A$2:$A$6,MATCH(C4614,parametros!$B$2:$B$6,0)),"")&lt;&gt;"Sim","Nao",IF(IFERROR(INDEX(parametros!$H$2:$H$6,MATCH(C4614,parametros!$B$2:$B$6,0)),"")="","",IF(B4614&gt;=IFERROR(INDEX(parametros!$H$2:$H$6,MATCH(C4614,parametros!$B$2:$B$6,0)),""),"Sim","Nao"))))))</f>
        <v/>
      </c>
      <c r="T4614" s="156"/>
      <c r="U4614" s="214" t="str">
        <f t="shared" si="366"/>
        <v/>
      </c>
      <c r="V4614" s="212" t="s">
        <v>50</v>
      </c>
      <c r="W4614" s="100" t="s">
        <v>168</v>
      </c>
      <c r="X4614" s="100" t="s">
        <v>169</v>
      </c>
      <c r="Y4614" s="101" t="s">
        <v>170</v>
      </c>
      <c r="Z4614" s="101" t="s">
        <v>171</v>
      </c>
      <c r="AA4614" s="101" t="s">
        <v>50</v>
      </c>
      <c r="AB4614" s="101" t="s">
        <v>172</v>
      </c>
      <c r="AC4614" s="102" t="s">
        <v>173</v>
      </c>
    </row>
    <row r="4615" spans="1:29" ht="25.5" customHeight="1" x14ac:dyDescent="0.35">
      <c r="A4615" s="392"/>
      <c r="B4615" s="393"/>
      <c r="C4615" s="99" t="str">
        <f>IF(B4615="","",IF(NOT(ISNUMBER(B4615)),"DATA_PC invalida",IF(NOT(ISNUMBER(parametros!$C$2)),"Fora dos ciclos",IF(OR(B4615&lt;parametros!$C$2,(YEAR(B4615)-YEAR(parametros!$C$2))*12+MONTH(B4615)-MONTH(parametros!$C$2)&gt;59),"Fora dos ciclos","C"&amp;INT(((YEAR(B4615)-YEAR(parametros!$C$2))*12+MONTH(B4615)-MONTH(parametros!$C$2))/12)))))</f>
        <v/>
      </c>
      <c r="D4615" s="394"/>
      <c r="E4615" s="78" t="str">
        <f>IF(C4615="","",IFERROR(VLOOKUP(C4615,parametros!$A$11:$E$15,5,0),""))</f>
        <v/>
      </c>
      <c r="F4615" s="79" t="str">
        <f t="shared" si="362"/>
        <v/>
      </c>
      <c r="G4615" s="395"/>
      <c r="H4615" s="91">
        <f t="shared" si="363"/>
        <v>0</v>
      </c>
      <c r="I4615" s="91" t="str">
        <f t="shared" si="364"/>
        <v/>
      </c>
      <c r="J4615" s="91" t="str">
        <f t="shared" si="365"/>
        <v/>
      </c>
      <c r="K4615" s="92" t="str">
        <f>IF(AND(A4615="",B4615="",D4615="",G4615=""),"",IF(AND(A4615&lt;&gt;"",COUNTIF($A$2:$A$5001,A4615)&gt;1),"NUMERO_PC duplicado",IF(B4615="","DATA_PC vazia",IF(NOT(ISNUMBER(B4615)),"DATA_PC invalida",IF(OR(C4615="",C4615="Fora dos ciclos"),"CICLO_PC nao identificado",IF(OR(D4615="",D4615=0),"VALOR_PC vazio ou zero",IF(AND(G4615&lt;&gt;"Sim",G4615&lt;&gt;"Nao",G4615&lt;&gt;""),"PC_PAGO_A_CONTRATADA invalido",IF(AND(C4615&lt;&gt;"C0",IFERROR(INDEX(parametros!$A$2:$A$6,MATCH(C4615,parametros!$B$2:$B$6,0)),"")="Sim",IFERROR(INDEX(parametros!$H$2:$H$6,MATCH(C4615,parametros!$B$2:$B$6,0)),"")=""),"INICIO_EFEITO ausente: PC "&amp;A4615&amp;" - "&amp;C4615,IF(L4615="","EFEITO_PC nao calculado: PC "&amp;A4615&amp;" - "&amp;C4615,"OK")))))))))</f>
        <v/>
      </c>
      <c r="L4615" s="92" t="str">
        <f>IF(AND(A4615="",B4615="",D4615="",G4615=""),"",IF(OR(B4615="",NOT(ISNUMBER(B4615)),C4615="",C4615="Fora dos ciclos"),"",IF(C4615="C0","Nao",IF(IFERROR(INDEX(parametros!$A$2:$A$6,MATCH(C4615,parametros!$B$2:$B$6,0)),"")&lt;&gt;"Sim","Nao",IF(IFERROR(INDEX(parametros!$H$2:$H$6,MATCH(C4615,parametros!$B$2:$B$6,0)),"")="","",IF(B4615&gt;=IFERROR(INDEX(parametros!$H$2:$H$6,MATCH(C4615,parametros!$B$2:$B$6,0)),""),"Sim","Nao"))))))</f>
        <v/>
      </c>
      <c r="T4615" s="156"/>
      <c r="U4615" s="214" t="str">
        <f t="shared" si="366"/>
        <v/>
      </c>
      <c r="V4615" s="212" t="s">
        <v>50</v>
      </c>
      <c r="W4615" s="100" t="s">
        <v>168</v>
      </c>
      <c r="X4615" s="100" t="s">
        <v>169</v>
      </c>
      <c r="Y4615" s="101" t="s">
        <v>170</v>
      </c>
      <c r="Z4615" s="101" t="s">
        <v>171</v>
      </c>
      <c r="AA4615" s="101" t="s">
        <v>50</v>
      </c>
      <c r="AB4615" s="101" t="s">
        <v>172</v>
      </c>
      <c r="AC4615" s="102" t="s">
        <v>173</v>
      </c>
    </row>
    <row r="4616" spans="1:29" ht="25.5" customHeight="1" x14ac:dyDescent="0.35">
      <c r="A4616" s="392"/>
      <c r="B4616" s="393"/>
      <c r="C4616" s="99" t="str">
        <f>IF(B4616="","",IF(NOT(ISNUMBER(B4616)),"DATA_PC invalida",IF(NOT(ISNUMBER(parametros!$C$2)),"Fora dos ciclos",IF(OR(B4616&lt;parametros!$C$2,(YEAR(B4616)-YEAR(parametros!$C$2))*12+MONTH(B4616)-MONTH(parametros!$C$2)&gt;59),"Fora dos ciclos","C"&amp;INT(((YEAR(B4616)-YEAR(parametros!$C$2))*12+MONTH(B4616)-MONTH(parametros!$C$2))/12)))))</f>
        <v/>
      </c>
      <c r="D4616" s="394"/>
      <c r="E4616" s="78" t="str">
        <f>IF(C4616="","",IFERROR(VLOOKUP(C4616,parametros!$A$11:$E$15,5,0),""))</f>
        <v/>
      </c>
      <c r="F4616" s="79" t="str">
        <f t="shared" si="362"/>
        <v/>
      </c>
      <c r="G4616" s="395"/>
      <c r="H4616" s="91">
        <f t="shared" si="363"/>
        <v>0</v>
      </c>
      <c r="I4616" s="91" t="str">
        <f t="shared" si="364"/>
        <v/>
      </c>
      <c r="J4616" s="91" t="str">
        <f t="shared" si="365"/>
        <v/>
      </c>
      <c r="K4616" s="92" t="str">
        <f>IF(AND(A4616="",B4616="",D4616="",G4616=""),"",IF(AND(A4616&lt;&gt;"",COUNTIF($A$2:$A$5001,A4616)&gt;1),"NUMERO_PC duplicado",IF(B4616="","DATA_PC vazia",IF(NOT(ISNUMBER(B4616)),"DATA_PC invalida",IF(OR(C4616="",C4616="Fora dos ciclos"),"CICLO_PC nao identificado",IF(OR(D4616="",D4616=0),"VALOR_PC vazio ou zero",IF(AND(G4616&lt;&gt;"Sim",G4616&lt;&gt;"Nao",G4616&lt;&gt;""),"PC_PAGO_A_CONTRATADA invalido",IF(AND(C4616&lt;&gt;"C0",IFERROR(INDEX(parametros!$A$2:$A$6,MATCH(C4616,parametros!$B$2:$B$6,0)),"")="Sim",IFERROR(INDEX(parametros!$H$2:$H$6,MATCH(C4616,parametros!$B$2:$B$6,0)),"")=""),"INICIO_EFEITO ausente: PC "&amp;A4616&amp;" - "&amp;C4616,IF(L4616="","EFEITO_PC nao calculado: PC "&amp;A4616&amp;" - "&amp;C4616,"OK")))))))))</f>
        <v/>
      </c>
      <c r="L4616" s="92" t="str">
        <f>IF(AND(A4616="",B4616="",D4616="",G4616=""),"",IF(OR(B4616="",NOT(ISNUMBER(B4616)),C4616="",C4616="Fora dos ciclos"),"",IF(C4616="C0","Nao",IF(IFERROR(INDEX(parametros!$A$2:$A$6,MATCH(C4616,parametros!$B$2:$B$6,0)),"")&lt;&gt;"Sim","Nao",IF(IFERROR(INDEX(parametros!$H$2:$H$6,MATCH(C4616,parametros!$B$2:$B$6,0)),"")="","",IF(B4616&gt;=IFERROR(INDEX(parametros!$H$2:$H$6,MATCH(C4616,parametros!$B$2:$B$6,0)),""),"Sim","Nao"))))))</f>
        <v/>
      </c>
      <c r="T4616" s="156"/>
      <c r="U4616" s="214" t="str">
        <f t="shared" si="366"/>
        <v/>
      </c>
      <c r="V4616" s="212" t="s">
        <v>50</v>
      </c>
      <c r="W4616" s="100" t="s">
        <v>168</v>
      </c>
      <c r="X4616" s="100" t="s">
        <v>169</v>
      </c>
      <c r="Y4616" s="101" t="s">
        <v>170</v>
      </c>
      <c r="Z4616" s="101" t="s">
        <v>171</v>
      </c>
      <c r="AA4616" s="101" t="s">
        <v>50</v>
      </c>
      <c r="AB4616" s="101" t="s">
        <v>172</v>
      </c>
      <c r="AC4616" s="102" t="s">
        <v>173</v>
      </c>
    </row>
    <row r="4617" spans="1:29" ht="25.5" customHeight="1" x14ac:dyDescent="0.35">
      <c r="A4617" s="392"/>
      <c r="B4617" s="393"/>
      <c r="C4617" s="99" t="str">
        <f>IF(B4617="","",IF(NOT(ISNUMBER(B4617)),"DATA_PC invalida",IF(NOT(ISNUMBER(parametros!$C$2)),"Fora dos ciclos",IF(OR(B4617&lt;parametros!$C$2,(YEAR(B4617)-YEAR(parametros!$C$2))*12+MONTH(B4617)-MONTH(parametros!$C$2)&gt;59),"Fora dos ciclos","C"&amp;INT(((YEAR(B4617)-YEAR(parametros!$C$2))*12+MONTH(B4617)-MONTH(parametros!$C$2))/12)))))</f>
        <v/>
      </c>
      <c r="D4617" s="394"/>
      <c r="E4617" s="78" t="str">
        <f>IF(C4617="","",IFERROR(VLOOKUP(C4617,parametros!$A$11:$E$15,5,0),""))</f>
        <v/>
      </c>
      <c r="F4617" s="79" t="str">
        <f t="shared" si="362"/>
        <v/>
      </c>
      <c r="G4617" s="395"/>
      <c r="H4617" s="91">
        <f t="shared" si="363"/>
        <v>0</v>
      </c>
      <c r="I4617" s="91" t="str">
        <f t="shared" si="364"/>
        <v/>
      </c>
      <c r="J4617" s="91" t="str">
        <f t="shared" si="365"/>
        <v/>
      </c>
      <c r="K4617" s="92" t="str">
        <f>IF(AND(A4617="",B4617="",D4617="",G4617=""),"",IF(AND(A4617&lt;&gt;"",COUNTIF($A$2:$A$5001,A4617)&gt;1),"NUMERO_PC duplicado",IF(B4617="","DATA_PC vazia",IF(NOT(ISNUMBER(B4617)),"DATA_PC invalida",IF(OR(C4617="",C4617="Fora dos ciclos"),"CICLO_PC nao identificado",IF(OR(D4617="",D4617=0),"VALOR_PC vazio ou zero",IF(AND(G4617&lt;&gt;"Sim",G4617&lt;&gt;"Nao",G4617&lt;&gt;""),"PC_PAGO_A_CONTRATADA invalido",IF(AND(C4617&lt;&gt;"C0",IFERROR(INDEX(parametros!$A$2:$A$6,MATCH(C4617,parametros!$B$2:$B$6,0)),"")="Sim",IFERROR(INDEX(parametros!$H$2:$H$6,MATCH(C4617,parametros!$B$2:$B$6,0)),"")=""),"INICIO_EFEITO ausente: PC "&amp;A4617&amp;" - "&amp;C4617,IF(L4617="","EFEITO_PC nao calculado: PC "&amp;A4617&amp;" - "&amp;C4617,"OK")))))))))</f>
        <v/>
      </c>
      <c r="L4617" s="92" t="str">
        <f>IF(AND(A4617="",B4617="",D4617="",G4617=""),"",IF(OR(B4617="",NOT(ISNUMBER(B4617)),C4617="",C4617="Fora dos ciclos"),"",IF(C4617="C0","Nao",IF(IFERROR(INDEX(parametros!$A$2:$A$6,MATCH(C4617,parametros!$B$2:$B$6,0)),"")&lt;&gt;"Sim","Nao",IF(IFERROR(INDEX(parametros!$H$2:$H$6,MATCH(C4617,parametros!$B$2:$B$6,0)),"")="","",IF(B4617&gt;=IFERROR(INDEX(parametros!$H$2:$H$6,MATCH(C4617,parametros!$B$2:$B$6,0)),""),"Sim","Nao"))))))</f>
        <v/>
      </c>
      <c r="T4617" s="156"/>
      <c r="U4617" s="214" t="str">
        <f t="shared" si="366"/>
        <v/>
      </c>
      <c r="V4617" s="212" t="s">
        <v>50</v>
      </c>
      <c r="W4617" s="100" t="s">
        <v>168</v>
      </c>
      <c r="X4617" s="100" t="s">
        <v>169</v>
      </c>
      <c r="Y4617" s="101" t="s">
        <v>170</v>
      </c>
      <c r="Z4617" s="101" t="s">
        <v>171</v>
      </c>
      <c r="AA4617" s="101" t="s">
        <v>50</v>
      </c>
      <c r="AB4617" s="101" t="s">
        <v>172</v>
      </c>
      <c r="AC4617" s="102" t="s">
        <v>173</v>
      </c>
    </row>
    <row r="4618" spans="1:29" ht="25.5" customHeight="1" x14ac:dyDescent="0.35">
      <c r="A4618" s="392"/>
      <c r="B4618" s="393"/>
      <c r="C4618" s="99" t="str">
        <f>IF(B4618="","",IF(NOT(ISNUMBER(B4618)),"DATA_PC invalida",IF(NOT(ISNUMBER(parametros!$C$2)),"Fora dos ciclos",IF(OR(B4618&lt;parametros!$C$2,(YEAR(B4618)-YEAR(parametros!$C$2))*12+MONTH(B4618)-MONTH(parametros!$C$2)&gt;59),"Fora dos ciclos","C"&amp;INT(((YEAR(B4618)-YEAR(parametros!$C$2))*12+MONTH(B4618)-MONTH(parametros!$C$2))/12)))))</f>
        <v/>
      </c>
      <c r="D4618" s="394"/>
      <c r="E4618" s="78" t="str">
        <f>IF(C4618="","",IFERROR(VLOOKUP(C4618,parametros!$A$11:$E$15,5,0),""))</f>
        <v/>
      </c>
      <c r="F4618" s="79" t="str">
        <f t="shared" si="362"/>
        <v/>
      </c>
      <c r="G4618" s="395"/>
      <c r="H4618" s="91">
        <f t="shared" si="363"/>
        <v>0</v>
      </c>
      <c r="I4618" s="91" t="str">
        <f t="shared" si="364"/>
        <v/>
      </c>
      <c r="J4618" s="91" t="str">
        <f t="shared" si="365"/>
        <v/>
      </c>
      <c r="K4618" s="92" t="str">
        <f>IF(AND(A4618="",B4618="",D4618="",G4618=""),"",IF(AND(A4618&lt;&gt;"",COUNTIF($A$2:$A$5001,A4618)&gt;1),"NUMERO_PC duplicado",IF(B4618="","DATA_PC vazia",IF(NOT(ISNUMBER(B4618)),"DATA_PC invalida",IF(OR(C4618="",C4618="Fora dos ciclos"),"CICLO_PC nao identificado",IF(OR(D4618="",D4618=0),"VALOR_PC vazio ou zero",IF(AND(G4618&lt;&gt;"Sim",G4618&lt;&gt;"Nao",G4618&lt;&gt;""),"PC_PAGO_A_CONTRATADA invalido",IF(AND(C4618&lt;&gt;"C0",IFERROR(INDEX(parametros!$A$2:$A$6,MATCH(C4618,parametros!$B$2:$B$6,0)),"")="Sim",IFERROR(INDEX(parametros!$H$2:$H$6,MATCH(C4618,parametros!$B$2:$B$6,0)),"")=""),"INICIO_EFEITO ausente: PC "&amp;A4618&amp;" - "&amp;C4618,IF(L4618="","EFEITO_PC nao calculado: PC "&amp;A4618&amp;" - "&amp;C4618,"OK")))))))))</f>
        <v/>
      </c>
      <c r="L4618" s="92" t="str">
        <f>IF(AND(A4618="",B4618="",D4618="",G4618=""),"",IF(OR(B4618="",NOT(ISNUMBER(B4618)),C4618="",C4618="Fora dos ciclos"),"",IF(C4618="C0","Nao",IF(IFERROR(INDEX(parametros!$A$2:$A$6,MATCH(C4618,parametros!$B$2:$B$6,0)),"")&lt;&gt;"Sim","Nao",IF(IFERROR(INDEX(parametros!$H$2:$H$6,MATCH(C4618,parametros!$B$2:$B$6,0)),"")="","",IF(B4618&gt;=IFERROR(INDEX(parametros!$H$2:$H$6,MATCH(C4618,parametros!$B$2:$B$6,0)),""),"Sim","Nao"))))))</f>
        <v/>
      </c>
      <c r="T4618" s="156"/>
      <c r="U4618" s="214" t="str">
        <f t="shared" si="366"/>
        <v/>
      </c>
      <c r="V4618" s="212" t="s">
        <v>50</v>
      </c>
      <c r="W4618" s="100" t="s">
        <v>168</v>
      </c>
      <c r="X4618" s="100" t="s">
        <v>169</v>
      </c>
      <c r="Y4618" s="101" t="s">
        <v>170</v>
      </c>
      <c r="Z4618" s="101" t="s">
        <v>171</v>
      </c>
      <c r="AA4618" s="101" t="s">
        <v>50</v>
      </c>
      <c r="AB4618" s="101" t="s">
        <v>172</v>
      </c>
      <c r="AC4618" s="102" t="s">
        <v>173</v>
      </c>
    </row>
    <row r="4619" spans="1:29" ht="25.5" customHeight="1" x14ac:dyDescent="0.35">
      <c r="A4619" s="392"/>
      <c r="B4619" s="393"/>
      <c r="C4619" s="99" t="str">
        <f>IF(B4619="","",IF(NOT(ISNUMBER(B4619)),"DATA_PC invalida",IF(NOT(ISNUMBER(parametros!$C$2)),"Fora dos ciclos",IF(OR(B4619&lt;parametros!$C$2,(YEAR(B4619)-YEAR(parametros!$C$2))*12+MONTH(B4619)-MONTH(parametros!$C$2)&gt;59),"Fora dos ciclos","C"&amp;INT(((YEAR(B4619)-YEAR(parametros!$C$2))*12+MONTH(B4619)-MONTH(parametros!$C$2))/12)))))</f>
        <v/>
      </c>
      <c r="D4619" s="394"/>
      <c r="E4619" s="78" t="str">
        <f>IF(C4619="","",IFERROR(VLOOKUP(C4619,parametros!$A$11:$E$15,5,0),""))</f>
        <v/>
      </c>
      <c r="F4619" s="79" t="str">
        <f t="shared" si="362"/>
        <v/>
      </c>
      <c r="G4619" s="395"/>
      <c r="H4619" s="91">
        <f t="shared" si="363"/>
        <v>0</v>
      </c>
      <c r="I4619" s="91" t="str">
        <f t="shared" si="364"/>
        <v/>
      </c>
      <c r="J4619" s="91" t="str">
        <f t="shared" si="365"/>
        <v/>
      </c>
      <c r="K4619" s="92" t="str">
        <f>IF(AND(A4619="",B4619="",D4619="",G4619=""),"",IF(AND(A4619&lt;&gt;"",COUNTIF($A$2:$A$5001,A4619)&gt;1),"NUMERO_PC duplicado",IF(B4619="","DATA_PC vazia",IF(NOT(ISNUMBER(B4619)),"DATA_PC invalida",IF(OR(C4619="",C4619="Fora dos ciclos"),"CICLO_PC nao identificado",IF(OR(D4619="",D4619=0),"VALOR_PC vazio ou zero",IF(AND(G4619&lt;&gt;"Sim",G4619&lt;&gt;"Nao",G4619&lt;&gt;""),"PC_PAGO_A_CONTRATADA invalido",IF(AND(C4619&lt;&gt;"C0",IFERROR(INDEX(parametros!$A$2:$A$6,MATCH(C4619,parametros!$B$2:$B$6,0)),"")="Sim",IFERROR(INDEX(parametros!$H$2:$H$6,MATCH(C4619,parametros!$B$2:$B$6,0)),"")=""),"INICIO_EFEITO ausente: PC "&amp;A4619&amp;" - "&amp;C4619,IF(L4619="","EFEITO_PC nao calculado: PC "&amp;A4619&amp;" - "&amp;C4619,"OK")))))))))</f>
        <v/>
      </c>
      <c r="L4619" s="92" t="str">
        <f>IF(AND(A4619="",B4619="",D4619="",G4619=""),"",IF(OR(B4619="",NOT(ISNUMBER(B4619)),C4619="",C4619="Fora dos ciclos"),"",IF(C4619="C0","Nao",IF(IFERROR(INDEX(parametros!$A$2:$A$6,MATCH(C4619,parametros!$B$2:$B$6,0)),"")&lt;&gt;"Sim","Nao",IF(IFERROR(INDEX(parametros!$H$2:$H$6,MATCH(C4619,parametros!$B$2:$B$6,0)),"")="","",IF(B4619&gt;=IFERROR(INDEX(parametros!$H$2:$H$6,MATCH(C4619,parametros!$B$2:$B$6,0)),""),"Sim","Nao"))))))</f>
        <v/>
      </c>
      <c r="T4619" s="156"/>
      <c r="U4619" s="214" t="str">
        <f t="shared" si="366"/>
        <v/>
      </c>
      <c r="V4619" s="212" t="s">
        <v>50</v>
      </c>
      <c r="W4619" s="100" t="s">
        <v>168</v>
      </c>
      <c r="X4619" s="100" t="s">
        <v>169</v>
      </c>
      <c r="Y4619" s="101" t="s">
        <v>170</v>
      </c>
      <c r="Z4619" s="101" t="s">
        <v>171</v>
      </c>
      <c r="AA4619" s="101" t="s">
        <v>50</v>
      </c>
      <c r="AB4619" s="101" t="s">
        <v>172</v>
      </c>
      <c r="AC4619" s="102" t="s">
        <v>173</v>
      </c>
    </row>
    <row r="4620" spans="1:29" ht="25.5" customHeight="1" x14ac:dyDescent="0.35">
      <c r="A4620" s="392"/>
      <c r="B4620" s="393"/>
      <c r="C4620" s="99" t="str">
        <f>IF(B4620="","",IF(NOT(ISNUMBER(B4620)),"DATA_PC invalida",IF(NOT(ISNUMBER(parametros!$C$2)),"Fora dos ciclos",IF(OR(B4620&lt;parametros!$C$2,(YEAR(B4620)-YEAR(parametros!$C$2))*12+MONTH(B4620)-MONTH(parametros!$C$2)&gt;59),"Fora dos ciclos","C"&amp;INT(((YEAR(B4620)-YEAR(parametros!$C$2))*12+MONTH(B4620)-MONTH(parametros!$C$2))/12)))))</f>
        <v/>
      </c>
      <c r="D4620" s="394"/>
      <c r="E4620" s="78" t="str">
        <f>IF(C4620="","",IFERROR(VLOOKUP(C4620,parametros!$A$11:$E$15,5,0),""))</f>
        <v/>
      </c>
      <c r="F4620" s="79" t="str">
        <f t="shared" si="362"/>
        <v/>
      </c>
      <c r="G4620" s="395"/>
      <c r="H4620" s="91">
        <f t="shared" si="363"/>
        <v>0</v>
      </c>
      <c r="I4620" s="91" t="str">
        <f t="shared" si="364"/>
        <v/>
      </c>
      <c r="J4620" s="91" t="str">
        <f t="shared" si="365"/>
        <v/>
      </c>
      <c r="K4620" s="92" t="str">
        <f>IF(AND(A4620="",B4620="",D4620="",G4620=""),"",IF(AND(A4620&lt;&gt;"",COUNTIF($A$2:$A$5001,A4620)&gt;1),"NUMERO_PC duplicado",IF(B4620="","DATA_PC vazia",IF(NOT(ISNUMBER(B4620)),"DATA_PC invalida",IF(OR(C4620="",C4620="Fora dos ciclos"),"CICLO_PC nao identificado",IF(OR(D4620="",D4620=0),"VALOR_PC vazio ou zero",IF(AND(G4620&lt;&gt;"Sim",G4620&lt;&gt;"Nao",G4620&lt;&gt;""),"PC_PAGO_A_CONTRATADA invalido",IF(AND(C4620&lt;&gt;"C0",IFERROR(INDEX(parametros!$A$2:$A$6,MATCH(C4620,parametros!$B$2:$B$6,0)),"")="Sim",IFERROR(INDEX(parametros!$H$2:$H$6,MATCH(C4620,parametros!$B$2:$B$6,0)),"")=""),"INICIO_EFEITO ausente: PC "&amp;A4620&amp;" - "&amp;C4620,IF(L4620="","EFEITO_PC nao calculado: PC "&amp;A4620&amp;" - "&amp;C4620,"OK")))))))))</f>
        <v/>
      </c>
      <c r="L4620" s="92" t="str">
        <f>IF(AND(A4620="",B4620="",D4620="",G4620=""),"",IF(OR(B4620="",NOT(ISNUMBER(B4620)),C4620="",C4620="Fora dos ciclos"),"",IF(C4620="C0","Nao",IF(IFERROR(INDEX(parametros!$A$2:$A$6,MATCH(C4620,parametros!$B$2:$B$6,0)),"")&lt;&gt;"Sim","Nao",IF(IFERROR(INDEX(parametros!$H$2:$H$6,MATCH(C4620,parametros!$B$2:$B$6,0)),"")="","",IF(B4620&gt;=IFERROR(INDEX(parametros!$H$2:$H$6,MATCH(C4620,parametros!$B$2:$B$6,0)),""),"Sim","Nao"))))))</f>
        <v/>
      </c>
      <c r="T4620" s="156"/>
      <c r="U4620" s="214" t="str">
        <f t="shared" si="366"/>
        <v/>
      </c>
      <c r="V4620" s="212" t="s">
        <v>50</v>
      </c>
      <c r="W4620" s="100" t="s">
        <v>168</v>
      </c>
      <c r="X4620" s="100" t="s">
        <v>169</v>
      </c>
      <c r="Y4620" s="101" t="s">
        <v>170</v>
      </c>
      <c r="Z4620" s="101" t="s">
        <v>171</v>
      </c>
      <c r="AA4620" s="101" t="s">
        <v>50</v>
      </c>
      <c r="AB4620" s="101" t="s">
        <v>172</v>
      </c>
      <c r="AC4620" s="102" t="s">
        <v>173</v>
      </c>
    </row>
    <row r="4621" spans="1:29" ht="25.5" customHeight="1" x14ac:dyDescent="0.35">
      <c r="A4621" s="392"/>
      <c r="B4621" s="393"/>
      <c r="C4621" s="99" t="str">
        <f>IF(B4621="","",IF(NOT(ISNUMBER(B4621)),"DATA_PC invalida",IF(NOT(ISNUMBER(parametros!$C$2)),"Fora dos ciclos",IF(OR(B4621&lt;parametros!$C$2,(YEAR(B4621)-YEAR(parametros!$C$2))*12+MONTH(B4621)-MONTH(parametros!$C$2)&gt;59),"Fora dos ciclos","C"&amp;INT(((YEAR(B4621)-YEAR(parametros!$C$2))*12+MONTH(B4621)-MONTH(parametros!$C$2))/12)))))</f>
        <v/>
      </c>
      <c r="D4621" s="394"/>
      <c r="E4621" s="78" t="str">
        <f>IF(C4621="","",IFERROR(VLOOKUP(C4621,parametros!$A$11:$E$15,5,0),""))</f>
        <v/>
      </c>
      <c r="F4621" s="79" t="str">
        <f t="shared" si="362"/>
        <v/>
      </c>
      <c r="G4621" s="395"/>
      <c r="H4621" s="91">
        <f t="shared" si="363"/>
        <v>0</v>
      </c>
      <c r="I4621" s="91" t="str">
        <f t="shared" si="364"/>
        <v/>
      </c>
      <c r="J4621" s="91" t="str">
        <f t="shared" si="365"/>
        <v/>
      </c>
      <c r="K4621" s="92" t="str">
        <f>IF(AND(A4621="",B4621="",D4621="",G4621=""),"",IF(AND(A4621&lt;&gt;"",COUNTIF($A$2:$A$5001,A4621)&gt;1),"NUMERO_PC duplicado",IF(B4621="","DATA_PC vazia",IF(NOT(ISNUMBER(B4621)),"DATA_PC invalida",IF(OR(C4621="",C4621="Fora dos ciclos"),"CICLO_PC nao identificado",IF(OR(D4621="",D4621=0),"VALOR_PC vazio ou zero",IF(AND(G4621&lt;&gt;"Sim",G4621&lt;&gt;"Nao",G4621&lt;&gt;""),"PC_PAGO_A_CONTRATADA invalido",IF(AND(C4621&lt;&gt;"C0",IFERROR(INDEX(parametros!$A$2:$A$6,MATCH(C4621,parametros!$B$2:$B$6,0)),"")="Sim",IFERROR(INDEX(parametros!$H$2:$H$6,MATCH(C4621,parametros!$B$2:$B$6,0)),"")=""),"INICIO_EFEITO ausente: PC "&amp;A4621&amp;" - "&amp;C4621,IF(L4621="","EFEITO_PC nao calculado: PC "&amp;A4621&amp;" - "&amp;C4621,"OK")))))))))</f>
        <v/>
      </c>
      <c r="L4621" s="92" t="str">
        <f>IF(AND(A4621="",B4621="",D4621="",G4621=""),"",IF(OR(B4621="",NOT(ISNUMBER(B4621)),C4621="",C4621="Fora dos ciclos"),"",IF(C4621="C0","Nao",IF(IFERROR(INDEX(parametros!$A$2:$A$6,MATCH(C4621,parametros!$B$2:$B$6,0)),"")&lt;&gt;"Sim","Nao",IF(IFERROR(INDEX(parametros!$H$2:$H$6,MATCH(C4621,parametros!$B$2:$B$6,0)),"")="","",IF(B4621&gt;=IFERROR(INDEX(parametros!$H$2:$H$6,MATCH(C4621,parametros!$B$2:$B$6,0)),""),"Sim","Nao"))))))</f>
        <v/>
      </c>
      <c r="T4621" s="156"/>
      <c r="U4621" s="214" t="str">
        <f t="shared" si="366"/>
        <v/>
      </c>
      <c r="V4621" s="212" t="s">
        <v>50</v>
      </c>
      <c r="W4621" s="100" t="s">
        <v>168</v>
      </c>
      <c r="X4621" s="100" t="s">
        <v>169</v>
      </c>
      <c r="Y4621" s="101" t="s">
        <v>170</v>
      </c>
      <c r="Z4621" s="101" t="s">
        <v>171</v>
      </c>
      <c r="AA4621" s="101" t="s">
        <v>50</v>
      </c>
      <c r="AB4621" s="101" t="s">
        <v>172</v>
      </c>
      <c r="AC4621" s="102" t="s">
        <v>173</v>
      </c>
    </row>
    <row r="4622" spans="1:29" ht="25.5" customHeight="1" x14ac:dyDescent="0.35">
      <c r="A4622" s="392"/>
      <c r="B4622" s="393"/>
      <c r="C4622" s="99" t="str">
        <f>IF(B4622="","",IF(NOT(ISNUMBER(B4622)),"DATA_PC invalida",IF(NOT(ISNUMBER(parametros!$C$2)),"Fora dos ciclos",IF(OR(B4622&lt;parametros!$C$2,(YEAR(B4622)-YEAR(parametros!$C$2))*12+MONTH(B4622)-MONTH(parametros!$C$2)&gt;59),"Fora dos ciclos","C"&amp;INT(((YEAR(B4622)-YEAR(parametros!$C$2))*12+MONTH(B4622)-MONTH(parametros!$C$2))/12)))))</f>
        <v/>
      </c>
      <c r="D4622" s="394"/>
      <c r="E4622" s="78" t="str">
        <f>IF(C4622="","",IFERROR(VLOOKUP(C4622,parametros!$A$11:$E$15,5,0),""))</f>
        <v/>
      </c>
      <c r="F4622" s="79" t="str">
        <f t="shared" si="362"/>
        <v/>
      </c>
      <c r="G4622" s="395"/>
      <c r="H4622" s="91">
        <f t="shared" si="363"/>
        <v>0</v>
      </c>
      <c r="I4622" s="91" t="str">
        <f t="shared" si="364"/>
        <v/>
      </c>
      <c r="J4622" s="91" t="str">
        <f t="shared" si="365"/>
        <v/>
      </c>
      <c r="K4622" s="92" t="str">
        <f>IF(AND(A4622="",B4622="",D4622="",G4622=""),"",IF(AND(A4622&lt;&gt;"",COUNTIF($A$2:$A$5001,A4622)&gt;1),"NUMERO_PC duplicado",IF(B4622="","DATA_PC vazia",IF(NOT(ISNUMBER(B4622)),"DATA_PC invalida",IF(OR(C4622="",C4622="Fora dos ciclos"),"CICLO_PC nao identificado",IF(OR(D4622="",D4622=0),"VALOR_PC vazio ou zero",IF(AND(G4622&lt;&gt;"Sim",G4622&lt;&gt;"Nao",G4622&lt;&gt;""),"PC_PAGO_A_CONTRATADA invalido",IF(AND(C4622&lt;&gt;"C0",IFERROR(INDEX(parametros!$A$2:$A$6,MATCH(C4622,parametros!$B$2:$B$6,0)),"")="Sim",IFERROR(INDEX(parametros!$H$2:$H$6,MATCH(C4622,parametros!$B$2:$B$6,0)),"")=""),"INICIO_EFEITO ausente: PC "&amp;A4622&amp;" - "&amp;C4622,IF(L4622="","EFEITO_PC nao calculado: PC "&amp;A4622&amp;" - "&amp;C4622,"OK")))))))))</f>
        <v/>
      </c>
      <c r="L4622" s="92" t="str">
        <f>IF(AND(A4622="",B4622="",D4622="",G4622=""),"",IF(OR(B4622="",NOT(ISNUMBER(B4622)),C4622="",C4622="Fora dos ciclos"),"",IF(C4622="C0","Nao",IF(IFERROR(INDEX(parametros!$A$2:$A$6,MATCH(C4622,parametros!$B$2:$B$6,0)),"")&lt;&gt;"Sim","Nao",IF(IFERROR(INDEX(parametros!$H$2:$H$6,MATCH(C4622,parametros!$B$2:$B$6,0)),"")="","",IF(B4622&gt;=IFERROR(INDEX(parametros!$H$2:$H$6,MATCH(C4622,parametros!$B$2:$B$6,0)),""),"Sim","Nao"))))))</f>
        <v/>
      </c>
      <c r="T4622" s="156"/>
      <c r="U4622" s="214" t="str">
        <f t="shared" si="366"/>
        <v/>
      </c>
      <c r="V4622" s="212" t="s">
        <v>50</v>
      </c>
      <c r="W4622" s="100" t="s">
        <v>168</v>
      </c>
      <c r="X4622" s="100" t="s">
        <v>169</v>
      </c>
      <c r="Y4622" s="101" t="s">
        <v>170</v>
      </c>
      <c r="Z4622" s="101" t="s">
        <v>171</v>
      </c>
      <c r="AA4622" s="101" t="s">
        <v>50</v>
      </c>
      <c r="AB4622" s="101" t="s">
        <v>172</v>
      </c>
      <c r="AC4622" s="102" t="s">
        <v>173</v>
      </c>
    </row>
    <row r="4623" spans="1:29" ht="25.5" customHeight="1" x14ac:dyDescent="0.35">
      <c r="A4623" s="392"/>
      <c r="B4623" s="393"/>
      <c r="C4623" s="99" t="str">
        <f>IF(B4623="","",IF(NOT(ISNUMBER(B4623)),"DATA_PC invalida",IF(NOT(ISNUMBER(parametros!$C$2)),"Fora dos ciclos",IF(OR(B4623&lt;parametros!$C$2,(YEAR(B4623)-YEAR(parametros!$C$2))*12+MONTH(B4623)-MONTH(parametros!$C$2)&gt;59),"Fora dos ciclos","C"&amp;INT(((YEAR(B4623)-YEAR(parametros!$C$2))*12+MONTH(B4623)-MONTH(parametros!$C$2))/12)))))</f>
        <v/>
      </c>
      <c r="D4623" s="394"/>
      <c r="E4623" s="78" t="str">
        <f>IF(C4623="","",IFERROR(VLOOKUP(C4623,parametros!$A$11:$E$15,5,0),""))</f>
        <v/>
      </c>
      <c r="F4623" s="79" t="str">
        <f t="shared" si="362"/>
        <v/>
      </c>
      <c r="G4623" s="395"/>
      <c r="H4623" s="91">
        <f t="shared" si="363"/>
        <v>0</v>
      </c>
      <c r="I4623" s="91" t="str">
        <f t="shared" si="364"/>
        <v/>
      </c>
      <c r="J4623" s="91" t="str">
        <f t="shared" si="365"/>
        <v/>
      </c>
      <c r="K4623" s="92" t="str">
        <f>IF(AND(A4623="",B4623="",D4623="",G4623=""),"",IF(AND(A4623&lt;&gt;"",COUNTIF($A$2:$A$5001,A4623)&gt;1),"NUMERO_PC duplicado",IF(B4623="","DATA_PC vazia",IF(NOT(ISNUMBER(B4623)),"DATA_PC invalida",IF(OR(C4623="",C4623="Fora dos ciclos"),"CICLO_PC nao identificado",IF(OR(D4623="",D4623=0),"VALOR_PC vazio ou zero",IF(AND(G4623&lt;&gt;"Sim",G4623&lt;&gt;"Nao",G4623&lt;&gt;""),"PC_PAGO_A_CONTRATADA invalido",IF(AND(C4623&lt;&gt;"C0",IFERROR(INDEX(parametros!$A$2:$A$6,MATCH(C4623,parametros!$B$2:$B$6,0)),"")="Sim",IFERROR(INDEX(parametros!$H$2:$H$6,MATCH(C4623,parametros!$B$2:$B$6,0)),"")=""),"INICIO_EFEITO ausente: PC "&amp;A4623&amp;" - "&amp;C4623,IF(L4623="","EFEITO_PC nao calculado: PC "&amp;A4623&amp;" - "&amp;C4623,"OK")))))))))</f>
        <v/>
      </c>
      <c r="L4623" s="92" t="str">
        <f>IF(AND(A4623="",B4623="",D4623="",G4623=""),"",IF(OR(B4623="",NOT(ISNUMBER(B4623)),C4623="",C4623="Fora dos ciclos"),"",IF(C4623="C0","Nao",IF(IFERROR(INDEX(parametros!$A$2:$A$6,MATCH(C4623,parametros!$B$2:$B$6,0)),"")&lt;&gt;"Sim","Nao",IF(IFERROR(INDEX(parametros!$H$2:$H$6,MATCH(C4623,parametros!$B$2:$B$6,0)),"")="","",IF(B4623&gt;=IFERROR(INDEX(parametros!$H$2:$H$6,MATCH(C4623,parametros!$B$2:$B$6,0)),""),"Sim","Nao"))))))</f>
        <v/>
      </c>
      <c r="T4623" s="156"/>
      <c r="U4623" s="214" t="str">
        <f t="shared" si="366"/>
        <v/>
      </c>
      <c r="V4623" s="212" t="s">
        <v>50</v>
      </c>
      <c r="W4623" s="100" t="s">
        <v>168</v>
      </c>
      <c r="X4623" s="100" t="s">
        <v>169</v>
      </c>
      <c r="Y4623" s="101" t="s">
        <v>170</v>
      </c>
      <c r="Z4623" s="101" t="s">
        <v>171</v>
      </c>
      <c r="AA4623" s="101" t="s">
        <v>50</v>
      </c>
      <c r="AB4623" s="101" t="s">
        <v>172</v>
      </c>
      <c r="AC4623" s="102" t="s">
        <v>173</v>
      </c>
    </row>
    <row r="4624" spans="1:29" ht="25.5" customHeight="1" x14ac:dyDescent="0.35">
      <c r="A4624" s="392"/>
      <c r="B4624" s="393"/>
      <c r="C4624" s="99" t="str">
        <f>IF(B4624="","",IF(NOT(ISNUMBER(B4624)),"DATA_PC invalida",IF(NOT(ISNUMBER(parametros!$C$2)),"Fora dos ciclos",IF(OR(B4624&lt;parametros!$C$2,(YEAR(B4624)-YEAR(parametros!$C$2))*12+MONTH(B4624)-MONTH(parametros!$C$2)&gt;59),"Fora dos ciclos","C"&amp;INT(((YEAR(B4624)-YEAR(parametros!$C$2))*12+MONTH(B4624)-MONTH(parametros!$C$2))/12)))))</f>
        <v/>
      </c>
      <c r="D4624" s="394"/>
      <c r="E4624" s="78" t="str">
        <f>IF(C4624="","",IFERROR(VLOOKUP(C4624,parametros!$A$11:$E$15,5,0),""))</f>
        <v/>
      </c>
      <c r="F4624" s="79" t="str">
        <f t="shared" si="362"/>
        <v/>
      </c>
      <c r="G4624" s="395"/>
      <c r="H4624" s="91">
        <f t="shared" si="363"/>
        <v>0</v>
      </c>
      <c r="I4624" s="91" t="str">
        <f t="shared" si="364"/>
        <v/>
      </c>
      <c r="J4624" s="91" t="str">
        <f t="shared" si="365"/>
        <v/>
      </c>
      <c r="K4624" s="92" t="str">
        <f>IF(AND(A4624="",B4624="",D4624="",G4624=""),"",IF(AND(A4624&lt;&gt;"",COUNTIF($A$2:$A$5001,A4624)&gt;1),"NUMERO_PC duplicado",IF(B4624="","DATA_PC vazia",IF(NOT(ISNUMBER(B4624)),"DATA_PC invalida",IF(OR(C4624="",C4624="Fora dos ciclos"),"CICLO_PC nao identificado",IF(OR(D4624="",D4624=0),"VALOR_PC vazio ou zero",IF(AND(G4624&lt;&gt;"Sim",G4624&lt;&gt;"Nao",G4624&lt;&gt;""),"PC_PAGO_A_CONTRATADA invalido",IF(AND(C4624&lt;&gt;"C0",IFERROR(INDEX(parametros!$A$2:$A$6,MATCH(C4624,parametros!$B$2:$B$6,0)),"")="Sim",IFERROR(INDEX(parametros!$H$2:$H$6,MATCH(C4624,parametros!$B$2:$B$6,0)),"")=""),"INICIO_EFEITO ausente: PC "&amp;A4624&amp;" - "&amp;C4624,IF(L4624="","EFEITO_PC nao calculado: PC "&amp;A4624&amp;" - "&amp;C4624,"OK")))))))))</f>
        <v/>
      </c>
      <c r="L4624" s="92" t="str">
        <f>IF(AND(A4624="",B4624="",D4624="",G4624=""),"",IF(OR(B4624="",NOT(ISNUMBER(B4624)),C4624="",C4624="Fora dos ciclos"),"",IF(C4624="C0","Nao",IF(IFERROR(INDEX(parametros!$A$2:$A$6,MATCH(C4624,parametros!$B$2:$B$6,0)),"")&lt;&gt;"Sim","Nao",IF(IFERROR(INDEX(parametros!$H$2:$H$6,MATCH(C4624,parametros!$B$2:$B$6,0)),"")="","",IF(B4624&gt;=IFERROR(INDEX(parametros!$H$2:$H$6,MATCH(C4624,parametros!$B$2:$B$6,0)),""),"Sim","Nao"))))))</f>
        <v/>
      </c>
      <c r="T4624" s="156"/>
      <c r="U4624" s="214" t="str">
        <f t="shared" si="366"/>
        <v/>
      </c>
      <c r="V4624" s="212" t="s">
        <v>50</v>
      </c>
      <c r="W4624" s="100" t="s">
        <v>168</v>
      </c>
      <c r="X4624" s="100" t="s">
        <v>169</v>
      </c>
      <c r="Y4624" s="101" t="s">
        <v>170</v>
      </c>
      <c r="Z4624" s="101" t="s">
        <v>171</v>
      </c>
      <c r="AA4624" s="101" t="s">
        <v>50</v>
      </c>
      <c r="AB4624" s="101" t="s">
        <v>172</v>
      </c>
      <c r="AC4624" s="102" t="s">
        <v>173</v>
      </c>
    </row>
    <row r="4625" spans="1:29" ht="25.5" customHeight="1" x14ac:dyDescent="0.35">
      <c r="A4625" s="392"/>
      <c r="B4625" s="393"/>
      <c r="C4625" s="99" t="str">
        <f>IF(B4625="","",IF(NOT(ISNUMBER(B4625)),"DATA_PC invalida",IF(NOT(ISNUMBER(parametros!$C$2)),"Fora dos ciclos",IF(OR(B4625&lt;parametros!$C$2,(YEAR(B4625)-YEAR(parametros!$C$2))*12+MONTH(B4625)-MONTH(parametros!$C$2)&gt;59),"Fora dos ciclos","C"&amp;INT(((YEAR(B4625)-YEAR(parametros!$C$2))*12+MONTH(B4625)-MONTH(parametros!$C$2))/12)))))</f>
        <v/>
      </c>
      <c r="D4625" s="394"/>
      <c r="E4625" s="78" t="str">
        <f>IF(C4625="","",IFERROR(VLOOKUP(C4625,parametros!$A$11:$E$15,5,0),""))</f>
        <v/>
      </c>
      <c r="F4625" s="79" t="str">
        <f t="shared" si="362"/>
        <v/>
      </c>
      <c r="G4625" s="395"/>
      <c r="H4625" s="91">
        <f t="shared" si="363"/>
        <v>0</v>
      </c>
      <c r="I4625" s="91" t="str">
        <f t="shared" si="364"/>
        <v/>
      </c>
      <c r="J4625" s="91" t="str">
        <f t="shared" si="365"/>
        <v/>
      </c>
      <c r="K4625" s="92" t="str">
        <f>IF(AND(A4625="",B4625="",D4625="",G4625=""),"",IF(AND(A4625&lt;&gt;"",COUNTIF($A$2:$A$5001,A4625)&gt;1),"NUMERO_PC duplicado",IF(B4625="","DATA_PC vazia",IF(NOT(ISNUMBER(B4625)),"DATA_PC invalida",IF(OR(C4625="",C4625="Fora dos ciclos"),"CICLO_PC nao identificado",IF(OR(D4625="",D4625=0),"VALOR_PC vazio ou zero",IF(AND(G4625&lt;&gt;"Sim",G4625&lt;&gt;"Nao",G4625&lt;&gt;""),"PC_PAGO_A_CONTRATADA invalido",IF(AND(C4625&lt;&gt;"C0",IFERROR(INDEX(parametros!$A$2:$A$6,MATCH(C4625,parametros!$B$2:$B$6,0)),"")="Sim",IFERROR(INDEX(parametros!$H$2:$H$6,MATCH(C4625,parametros!$B$2:$B$6,0)),"")=""),"INICIO_EFEITO ausente: PC "&amp;A4625&amp;" - "&amp;C4625,IF(L4625="","EFEITO_PC nao calculado: PC "&amp;A4625&amp;" - "&amp;C4625,"OK")))))))))</f>
        <v/>
      </c>
      <c r="L4625" s="92" t="str">
        <f>IF(AND(A4625="",B4625="",D4625="",G4625=""),"",IF(OR(B4625="",NOT(ISNUMBER(B4625)),C4625="",C4625="Fora dos ciclos"),"",IF(C4625="C0","Nao",IF(IFERROR(INDEX(parametros!$A$2:$A$6,MATCH(C4625,parametros!$B$2:$B$6,0)),"")&lt;&gt;"Sim","Nao",IF(IFERROR(INDEX(parametros!$H$2:$H$6,MATCH(C4625,parametros!$B$2:$B$6,0)),"")="","",IF(B4625&gt;=IFERROR(INDEX(parametros!$H$2:$H$6,MATCH(C4625,parametros!$B$2:$B$6,0)),""),"Sim","Nao"))))))</f>
        <v/>
      </c>
      <c r="T4625" s="156"/>
      <c r="U4625" s="214" t="str">
        <f t="shared" si="366"/>
        <v/>
      </c>
      <c r="V4625" s="212" t="s">
        <v>50</v>
      </c>
      <c r="W4625" s="100" t="s">
        <v>168</v>
      </c>
      <c r="X4625" s="100" t="s">
        <v>169</v>
      </c>
      <c r="Y4625" s="101" t="s">
        <v>170</v>
      </c>
      <c r="Z4625" s="101" t="s">
        <v>171</v>
      </c>
      <c r="AA4625" s="101" t="s">
        <v>50</v>
      </c>
      <c r="AB4625" s="101" t="s">
        <v>172</v>
      </c>
      <c r="AC4625" s="102" t="s">
        <v>173</v>
      </c>
    </row>
    <row r="4626" spans="1:29" ht="25.5" customHeight="1" x14ac:dyDescent="0.35">
      <c r="A4626" s="392"/>
      <c r="B4626" s="393"/>
      <c r="C4626" s="99" t="str">
        <f>IF(B4626="","",IF(NOT(ISNUMBER(B4626)),"DATA_PC invalida",IF(NOT(ISNUMBER(parametros!$C$2)),"Fora dos ciclos",IF(OR(B4626&lt;parametros!$C$2,(YEAR(B4626)-YEAR(parametros!$C$2))*12+MONTH(B4626)-MONTH(parametros!$C$2)&gt;59),"Fora dos ciclos","C"&amp;INT(((YEAR(B4626)-YEAR(parametros!$C$2))*12+MONTH(B4626)-MONTH(parametros!$C$2))/12)))))</f>
        <v/>
      </c>
      <c r="D4626" s="394"/>
      <c r="E4626" s="78" t="str">
        <f>IF(C4626="","",IFERROR(VLOOKUP(C4626,parametros!$A$11:$E$15,5,0),""))</f>
        <v/>
      </c>
      <c r="F4626" s="79" t="str">
        <f t="shared" si="362"/>
        <v/>
      </c>
      <c r="G4626" s="395"/>
      <c r="H4626" s="91">
        <f t="shared" si="363"/>
        <v>0</v>
      </c>
      <c r="I4626" s="91" t="str">
        <f t="shared" si="364"/>
        <v/>
      </c>
      <c r="J4626" s="91" t="str">
        <f t="shared" si="365"/>
        <v/>
      </c>
      <c r="K4626" s="92" t="str">
        <f>IF(AND(A4626="",B4626="",D4626="",G4626=""),"",IF(AND(A4626&lt;&gt;"",COUNTIF($A$2:$A$5001,A4626)&gt;1),"NUMERO_PC duplicado",IF(B4626="","DATA_PC vazia",IF(NOT(ISNUMBER(B4626)),"DATA_PC invalida",IF(OR(C4626="",C4626="Fora dos ciclos"),"CICLO_PC nao identificado",IF(OR(D4626="",D4626=0),"VALOR_PC vazio ou zero",IF(AND(G4626&lt;&gt;"Sim",G4626&lt;&gt;"Nao",G4626&lt;&gt;""),"PC_PAGO_A_CONTRATADA invalido",IF(AND(C4626&lt;&gt;"C0",IFERROR(INDEX(parametros!$A$2:$A$6,MATCH(C4626,parametros!$B$2:$B$6,0)),"")="Sim",IFERROR(INDEX(parametros!$H$2:$H$6,MATCH(C4626,parametros!$B$2:$B$6,0)),"")=""),"INICIO_EFEITO ausente: PC "&amp;A4626&amp;" - "&amp;C4626,IF(L4626="","EFEITO_PC nao calculado: PC "&amp;A4626&amp;" - "&amp;C4626,"OK")))))))))</f>
        <v/>
      </c>
      <c r="L4626" s="92" t="str">
        <f>IF(AND(A4626="",B4626="",D4626="",G4626=""),"",IF(OR(B4626="",NOT(ISNUMBER(B4626)),C4626="",C4626="Fora dos ciclos"),"",IF(C4626="C0","Nao",IF(IFERROR(INDEX(parametros!$A$2:$A$6,MATCH(C4626,parametros!$B$2:$B$6,0)),"")&lt;&gt;"Sim","Nao",IF(IFERROR(INDEX(parametros!$H$2:$H$6,MATCH(C4626,parametros!$B$2:$B$6,0)),"")="","",IF(B4626&gt;=IFERROR(INDEX(parametros!$H$2:$H$6,MATCH(C4626,parametros!$B$2:$B$6,0)),""),"Sim","Nao"))))))</f>
        <v/>
      </c>
      <c r="T4626" s="156"/>
      <c r="U4626" s="214" t="str">
        <f t="shared" si="366"/>
        <v/>
      </c>
      <c r="V4626" s="212" t="s">
        <v>50</v>
      </c>
      <c r="W4626" s="100" t="s">
        <v>168</v>
      </c>
      <c r="X4626" s="100" t="s">
        <v>169</v>
      </c>
      <c r="Y4626" s="101" t="s">
        <v>170</v>
      </c>
      <c r="Z4626" s="101" t="s">
        <v>171</v>
      </c>
      <c r="AA4626" s="101" t="s">
        <v>50</v>
      </c>
      <c r="AB4626" s="101" t="s">
        <v>172</v>
      </c>
      <c r="AC4626" s="102" t="s">
        <v>173</v>
      </c>
    </row>
    <row r="4627" spans="1:29" ht="25.5" customHeight="1" x14ac:dyDescent="0.35">
      <c r="A4627" s="392"/>
      <c r="B4627" s="393"/>
      <c r="C4627" s="99" t="str">
        <f>IF(B4627="","",IF(NOT(ISNUMBER(B4627)),"DATA_PC invalida",IF(NOT(ISNUMBER(parametros!$C$2)),"Fora dos ciclos",IF(OR(B4627&lt;parametros!$C$2,(YEAR(B4627)-YEAR(parametros!$C$2))*12+MONTH(B4627)-MONTH(parametros!$C$2)&gt;59),"Fora dos ciclos","C"&amp;INT(((YEAR(B4627)-YEAR(parametros!$C$2))*12+MONTH(B4627)-MONTH(parametros!$C$2))/12)))))</f>
        <v/>
      </c>
      <c r="D4627" s="394"/>
      <c r="E4627" s="78" t="str">
        <f>IF(C4627="","",IFERROR(VLOOKUP(C4627,parametros!$A$11:$E$15,5,0),""))</f>
        <v/>
      </c>
      <c r="F4627" s="79" t="str">
        <f t="shared" si="362"/>
        <v/>
      </c>
      <c r="G4627" s="395"/>
      <c r="H4627" s="91">
        <f t="shared" si="363"/>
        <v>0</v>
      </c>
      <c r="I4627" s="91" t="str">
        <f t="shared" si="364"/>
        <v/>
      </c>
      <c r="J4627" s="91" t="str">
        <f t="shared" si="365"/>
        <v/>
      </c>
      <c r="K4627" s="92" t="str">
        <f>IF(AND(A4627="",B4627="",D4627="",G4627=""),"",IF(AND(A4627&lt;&gt;"",COUNTIF($A$2:$A$5001,A4627)&gt;1),"NUMERO_PC duplicado",IF(B4627="","DATA_PC vazia",IF(NOT(ISNUMBER(B4627)),"DATA_PC invalida",IF(OR(C4627="",C4627="Fora dos ciclos"),"CICLO_PC nao identificado",IF(OR(D4627="",D4627=0),"VALOR_PC vazio ou zero",IF(AND(G4627&lt;&gt;"Sim",G4627&lt;&gt;"Nao",G4627&lt;&gt;""),"PC_PAGO_A_CONTRATADA invalido",IF(AND(C4627&lt;&gt;"C0",IFERROR(INDEX(parametros!$A$2:$A$6,MATCH(C4627,parametros!$B$2:$B$6,0)),"")="Sim",IFERROR(INDEX(parametros!$H$2:$H$6,MATCH(C4627,parametros!$B$2:$B$6,0)),"")=""),"INICIO_EFEITO ausente: PC "&amp;A4627&amp;" - "&amp;C4627,IF(L4627="","EFEITO_PC nao calculado: PC "&amp;A4627&amp;" - "&amp;C4627,"OK")))))))))</f>
        <v/>
      </c>
      <c r="L4627" s="92" t="str">
        <f>IF(AND(A4627="",B4627="",D4627="",G4627=""),"",IF(OR(B4627="",NOT(ISNUMBER(B4627)),C4627="",C4627="Fora dos ciclos"),"",IF(C4627="C0","Nao",IF(IFERROR(INDEX(parametros!$A$2:$A$6,MATCH(C4627,parametros!$B$2:$B$6,0)),"")&lt;&gt;"Sim","Nao",IF(IFERROR(INDEX(parametros!$H$2:$H$6,MATCH(C4627,parametros!$B$2:$B$6,0)),"")="","",IF(B4627&gt;=IFERROR(INDEX(parametros!$H$2:$H$6,MATCH(C4627,parametros!$B$2:$B$6,0)),""),"Sim","Nao"))))))</f>
        <v/>
      </c>
      <c r="T4627" s="156"/>
      <c r="U4627" s="214" t="str">
        <f t="shared" si="366"/>
        <v/>
      </c>
      <c r="V4627" s="212" t="s">
        <v>50</v>
      </c>
      <c r="W4627" s="100" t="s">
        <v>168</v>
      </c>
      <c r="X4627" s="100" t="s">
        <v>169</v>
      </c>
      <c r="Y4627" s="101" t="s">
        <v>170</v>
      </c>
      <c r="Z4627" s="101" t="s">
        <v>171</v>
      </c>
      <c r="AA4627" s="101" t="s">
        <v>50</v>
      </c>
      <c r="AB4627" s="101" t="s">
        <v>172</v>
      </c>
      <c r="AC4627" s="102" t="s">
        <v>173</v>
      </c>
    </row>
    <row r="4628" spans="1:29" ht="25.5" customHeight="1" x14ac:dyDescent="0.35">
      <c r="A4628" s="392"/>
      <c r="B4628" s="393"/>
      <c r="C4628" s="99" t="str">
        <f>IF(B4628="","",IF(NOT(ISNUMBER(B4628)),"DATA_PC invalida",IF(NOT(ISNUMBER(parametros!$C$2)),"Fora dos ciclos",IF(OR(B4628&lt;parametros!$C$2,(YEAR(B4628)-YEAR(parametros!$C$2))*12+MONTH(B4628)-MONTH(parametros!$C$2)&gt;59),"Fora dos ciclos","C"&amp;INT(((YEAR(B4628)-YEAR(parametros!$C$2))*12+MONTH(B4628)-MONTH(parametros!$C$2))/12)))))</f>
        <v/>
      </c>
      <c r="D4628" s="394"/>
      <c r="E4628" s="78" t="str">
        <f>IF(C4628="","",IFERROR(VLOOKUP(C4628,parametros!$A$11:$E$15,5,0),""))</f>
        <v/>
      </c>
      <c r="F4628" s="79" t="str">
        <f t="shared" si="362"/>
        <v/>
      </c>
      <c r="G4628" s="395"/>
      <c r="H4628" s="91">
        <f t="shared" si="363"/>
        <v>0</v>
      </c>
      <c r="I4628" s="91" t="str">
        <f t="shared" si="364"/>
        <v/>
      </c>
      <c r="J4628" s="91" t="str">
        <f t="shared" si="365"/>
        <v/>
      </c>
      <c r="K4628" s="92" t="str">
        <f>IF(AND(A4628="",B4628="",D4628="",G4628=""),"",IF(AND(A4628&lt;&gt;"",COUNTIF($A$2:$A$5001,A4628)&gt;1),"NUMERO_PC duplicado",IF(B4628="","DATA_PC vazia",IF(NOT(ISNUMBER(B4628)),"DATA_PC invalida",IF(OR(C4628="",C4628="Fora dos ciclos"),"CICLO_PC nao identificado",IF(OR(D4628="",D4628=0),"VALOR_PC vazio ou zero",IF(AND(G4628&lt;&gt;"Sim",G4628&lt;&gt;"Nao",G4628&lt;&gt;""),"PC_PAGO_A_CONTRATADA invalido",IF(AND(C4628&lt;&gt;"C0",IFERROR(INDEX(parametros!$A$2:$A$6,MATCH(C4628,parametros!$B$2:$B$6,0)),"")="Sim",IFERROR(INDEX(parametros!$H$2:$H$6,MATCH(C4628,parametros!$B$2:$B$6,0)),"")=""),"INICIO_EFEITO ausente: PC "&amp;A4628&amp;" - "&amp;C4628,IF(L4628="","EFEITO_PC nao calculado: PC "&amp;A4628&amp;" - "&amp;C4628,"OK")))))))))</f>
        <v/>
      </c>
      <c r="L4628" s="92" t="str">
        <f>IF(AND(A4628="",B4628="",D4628="",G4628=""),"",IF(OR(B4628="",NOT(ISNUMBER(B4628)),C4628="",C4628="Fora dos ciclos"),"",IF(C4628="C0","Nao",IF(IFERROR(INDEX(parametros!$A$2:$A$6,MATCH(C4628,parametros!$B$2:$B$6,0)),"")&lt;&gt;"Sim","Nao",IF(IFERROR(INDEX(parametros!$H$2:$H$6,MATCH(C4628,parametros!$B$2:$B$6,0)),"")="","",IF(B4628&gt;=IFERROR(INDEX(parametros!$H$2:$H$6,MATCH(C4628,parametros!$B$2:$B$6,0)),""),"Sim","Nao"))))))</f>
        <v/>
      </c>
      <c r="T4628" s="156"/>
      <c r="U4628" s="214" t="str">
        <f t="shared" si="366"/>
        <v/>
      </c>
      <c r="V4628" s="212" t="s">
        <v>50</v>
      </c>
      <c r="W4628" s="100" t="s">
        <v>168</v>
      </c>
      <c r="X4628" s="100" t="s">
        <v>169</v>
      </c>
      <c r="Y4628" s="101" t="s">
        <v>170</v>
      </c>
      <c r="Z4628" s="101" t="s">
        <v>171</v>
      </c>
      <c r="AA4628" s="101" t="s">
        <v>50</v>
      </c>
      <c r="AB4628" s="101" t="s">
        <v>172</v>
      </c>
      <c r="AC4628" s="102" t="s">
        <v>173</v>
      </c>
    </row>
    <row r="4629" spans="1:29" ht="25.5" customHeight="1" x14ac:dyDescent="0.35">
      <c r="A4629" s="392"/>
      <c r="B4629" s="393"/>
      <c r="C4629" s="99" t="str">
        <f>IF(B4629="","",IF(NOT(ISNUMBER(B4629)),"DATA_PC invalida",IF(NOT(ISNUMBER(parametros!$C$2)),"Fora dos ciclos",IF(OR(B4629&lt;parametros!$C$2,(YEAR(B4629)-YEAR(parametros!$C$2))*12+MONTH(B4629)-MONTH(parametros!$C$2)&gt;59),"Fora dos ciclos","C"&amp;INT(((YEAR(B4629)-YEAR(parametros!$C$2))*12+MONTH(B4629)-MONTH(parametros!$C$2))/12)))))</f>
        <v/>
      </c>
      <c r="D4629" s="394"/>
      <c r="E4629" s="78" t="str">
        <f>IF(C4629="","",IFERROR(VLOOKUP(C4629,parametros!$A$11:$E$15,5,0),""))</f>
        <v/>
      </c>
      <c r="F4629" s="79" t="str">
        <f t="shared" si="362"/>
        <v/>
      </c>
      <c r="G4629" s="395"/>
      <c r="H4629" s="91">
        <f t="shared" si="363"/>
        <v>0</v>
      </c>
      <c r="I4629" s="91" t="str">
        <f t="shared" si="364"/>
        <v/>
      </c>
      <c r="J4629" s="91" t="str">
        <f t="shared" si="365"/>
        <v/>
      </c>
      <c r="K4629" s="92" t="str">
        <f>IF(AND(A4629="",B4629="",D4629="",G4629=""),"",IF(AND(A4629&lt;&gt;"",COUNTIF($A$2:$A$5001,A4629)&gt;1),"NUMERO_PC duplicado",IF(B4629="","DATA_PC vazia",IF(NOT(ISNUMBER(B4629)),"DATA_PC invalida",IF(OR(C4629="",C4629="Fora dos ciclos"),"CICLO_PC nao identificado",IF(OR(D4629="",D4629=0),"VALOR_PC vazio ou zero",IF(AND(G4629&lt;&gt;"Sim",G4629&lt;&gt;"Nao",G4629&lt;&gt;""),"PC_PAGO_A_CONTRATADA invalido",IF(AND(C4629&lt;&gt;"C0",IFERROR(INDEX(parametros!$A$2:$A$6,MATCH(C4629,parametros!$B$2:$B$6,0)),"")="Sim",IFERROR(INDEX(parametros!$H$2:$H$6,MATCH(C4629,parametros!$B$2:$B$6,0)),"")=""),"INICIO_EFEITO ausente: PC "&amp;A4629&amp;" - "&amp;C4629,IF(L4629="","EFEITO_PC nao calculado: PC "&amp;A4629&amp;" - "&amp;C4629,"OK")))))))))</f>
        <v/>
      </c>
      <c r="L4629" s="92" t="str">
        <f>IF(AND(A4629="",B4629="",D4629="",G4629=""),"",IF(OR(B4629="",NOT(ISNUMBER(B4629)),C4629="",C4629="Fora dos ciclos"),"",IF(C4629="C0","Nao",IF(IFERROR(INDEX(parametros!$A$2:$A$6,MATCH(C4629,parametros!$B$2:$B$6,0)),"")&lt;&gt;"Sim","Nao",IF(IFERROR(INDEX(parametros!$H$2:$H$6,MATCH(C4629,parametros!$B$2:$B$6,0)),"")="","",IF(B4629&gt;=IFERROR(INDEX(parametros!$H$2:$H$6,MATCH(C4629,parametros!$B$2:$B$6,0)),""),"Sim","Nao"))))))</f>
        <v/>
      </c>
      <c r="T4629" s="156"/>
      <c r="U4629" s="214" t="str">
        <f t="shared" si="366"/>
        <v/>
      </c>
      <c r="V4629" s="212" t="s">
        <v>50</v>
      </c>
      <c r="W4629" s="100" t="s">
        <v>168</v>
      </c>
      <c r="X4629" s="100" t="s">
        <v>169</v>
      </c>
      <c r="Y4629" s="101" t="s">
        <v>170</v>
      </c>
      <c r="Z4629" s="101" t="s">
        <v>171</v>
      </c>
      <c r="AA4629" s="101" t="s">
        <v>50</v>
      </c>
      <c r="AB4629" s="101" t="s">
        <v>172</v>
      </c>
      <c r="AC4629" s="102" t="s">
        <v>173</v>
      </c>
    </row>
    <row r="4630" spans="1:29" ht="25.5" customHeight="1" x14ac:dyDescent="0.35">
      <c r="A4630" s="392"/>
      <c r="B4630" s="393"/>
      <c r="C4630" s="99" t="str">
        <f>IF(B4630="","",IF(NOT(ISNUMBER(B4630)),"DATA_PC invalida",IF(NOT(ISNUMBER(parametros!$C$2)),"Fora dos ciclos",IF(OR(B4630&lt;parametros!$C$2,(YEAR(B4630)-YEAR(parametros!$C$2))*12+MONTH(B4630)-MONTH(parametros!$C$2)&gt;59),"Fora dos ciclos","C"&amp;INT(((YEAR(B4630)-YEAR(parametros!$C$2))*12+MONTH(B4630)-MONTH(parametros!$C$2))/12)))))</f>
        <v/>
      </c>
      <c r="D4630" s="394"/>
      <c r="E4630" s="78" t="str">
        <f>IF(C4630="","",IFERROR(VLOOKUP(C4630,parametros!$A$11:$E$15,5,0),""))</f>
        <v/>
      </c>
      <c r="F4630" s="79" t="str">
        <f t="shared" si="362"/>
        <v/>
      </c>
      <c r="G4630" s="395"/>
      <c r="H4630" s="91">
        <f t="shared" si="363"/>
        <v>0</v>
      </c>
      <c r="I4630" s="91" t="str">
        <f t="shared" si="364"/>
        <v/>
      </c>
      <c r="J4630" s="91" t="str">
        <f t="shared" si="365"/>
        <v/>
      </c>
      <c r="K4630" s="92" t="str">
        <f>IF(AND(A4630="",B4630="",D4630="",G4630=""),"",IF(AND(A4630&lt;&gt;"",COUNTIF($A$2:$A$5001,A4630)&gt;1),"NUMERO_PC duplicado",IF(B4630="","DATA_PC vazia",IF(NOT(ISNUMBER(B4630)),"DATA_PC invalida",IF(OR(C4630="",C4630="Fora dos ciclos"),"CICLO_PC nao identificado",IF(OR(D4630="",D4630=0),"VALOR_PC vazio ou zero",IF(AND(G4630&lt;&gt;"Sim",G4630&lt;&gt;"Nao",G4630&lt;&gt;""),"PC_PAGO_A_CONTRATADA invalido",IF(AND(C4630&lt;&gt;"C0",IFERROR(INDEX(parametros!$A$2:$A$6,MATCH(C4630,parametros!$B$2:$B$6,0)),"")="Sim",IFERROR(INDEX(parametros!$H$2:$H$6,MATCH(C4630,parametros!$B$2:$B$6,0)),"")=""),"INICIO_EFEITO ausente: PC "&amp;A4630&amp;" - "&amp;C4630,IF(L4630="","EFEITO_PC nao calculado: PC "&amp;A4630&amp;" - "&amp;C4630,"OK")))))))))</f>
        <v/>
      </c>
      <c r="L4630" s="92" t="str">
        <f>IF(AND(A4630="",B4630="",D4630="",G4630=""),"",IF(OR(B4630="",NOT(ISNUMBER(B4630)),C4630="",C4630="Fora dos ciclos"),"",IF(C4630="C0","Nao",IF(IFERROR(INDEX(parametros!$A$2:$A$6,MATCH(C4630,parametros!$B$2:$B$6,0)),"")&lt;&gt;"Sim","Nao",IF(IFERROR(INDEX(parametros!$H$2:$H$6,MATCH(C4630,parametros!$B$2:$B$6,0)),"")="","",IF(B4630&gt;=IFERROR(INDEX(parametros!$H$2:$H$6,MATCH(C4630,parametros!$B$2:$B$6,0)),""),"Sim","Nao"))))))</f>
        <v/>
      </c>
      <c r="T4630" s="156"/>
      <c r="U4630" s="214" t="str">
        <f t="shared" si="366"/>
        <v/>
      </c>
      <c r="V4630" s="212" t="s">
        <v>50</v>
      </c>
      <c r="W4630" s="100" t="s">
        <v>168</v>
      </c>
      <c r="X4630" s="100" t="s">
        <v>169</v>
      </c>
      <c r="Y4630" s="101" t="s">
        <v>170</v>
      </c>
      <c r="Z4630" s="101" t="s">
        <v>171</v>
      </c>
      <c r="AA4630" s="101" t="s">
        <v>50</v>
      </c>
      <c r="AB4630" s="101" t="s">
        <v>172</v>
      </c>
      <c r="AC4630" s="102" t="s">
        <v>173</v>
      </c>
    </row>
    <row r="4631" spans="1:29" ht="25.5" customHeight="1" x14ac:dyDescent="0.35">
      <c r="A4631" s="392"/>
      <c r="B4631" s="393"/>
      <c r="C4631" s="99" t="str">
        <f>IF(B4631="","",IF(NOT(ISNUMBER(B4631)),"DATA_PC invalida",IF(NOT(ISNUMBER(parametros!$C$2)),"Fora dos ciclos",IF(OR(B4631&lt;parametros!$C$2,(YEAR(B4631)-YEAR(parametros!$C$2))*12+MONTH(B4631)-MONTH(parametros!$C$2)&gt;59),"Fora dos ciclos","C"&amp;INT(((YEAR(B4631)-YEAR(parametros!$C$2))*12+MONTH(B4631)-MONTH(parametros!$C$2))/12)))))</f>
        <v/>
      </c>
      <c r="D4631" s="394"/>
      <c r="E4631" s="78" t="str">
        <f>IF(C4631="","",IFERROR(VLOOKUP(C4631,parametros!$A$11:$E$15,5,0),""))</f>
        <v/>
      </c>
      <c r="F4631" s="79" t="str">
        <f t="shared" si="362"/>
        <v/>
      </c>
      <c r="G4631" s="395"/>
      <c r="H4631" s="91">
        <f t="shared" si="363"/>
        <v>0</v>
      </c>
      <c r="I4631" s="91" t="str">
        <f t="shared" si="364"/>
        <v/>
      </c>
      <c r="J4631" s="91" t="str">
        <f t="shared" si="365"/>
        <v/>
      </c>
      <c r="K4631" s="92" t="str">
        <f>IF(AND(A4631="",B4631="",D4631="",G4631=""),"",IF(AND(A4631&lt;&gt;"",COUNTIF($A$2:$A$5001,A4631)&gt;1),"NUMERO_PC duplicado",IF(B4631="","DATA_PC vazia",IF(NOT(ISNUMBER(B4631)),"DATA_PC invalida",IF(OR(C4631="",C4631="Fora dos ciclos"),"CICLO_PC nao identificado",IF(OR(D4631="",D4631=0),"VALOR_PC vazio ou zero",IF(AND(G4631&lt;&gt;"Sim",G4631&lt;&gt;"Nao",G4631&lt;&gt;""),"PC_PAGO_A_CONTRATADA invalido",IF(AND(C4631&lt;&gt;"C0",IFERROR(INDEX(parametros!$A$2:$A$6,MATCH(C4631,parametros!$B$2:$B$6,0)),"")="Sim",IFERROR(INDEX(parametros!$H$2:$H$6,MATCH(C4631,parametros!$B$2:$B$6,0)),"")=""),"INICIO_EFEITO ausente: PC "&amp;A4631&amp;" - "&amp;C4631,IF(L4631="","EFEITO_PC nao calculado: PC "&amp;A4631&amp;" - "&amp;C4631,"OK")))))))))</f>
        <v/>
      </c>
      <c r="L4631" s="92" t="str">
        <f>IF(AND(A4631="",B4631="",D4631="",G4631=""),"",IF(OR(B4631="",NOT(ISNUMBER(B4631)),C4631="",C4631="Fora dos ciclos"),"",IF(C4631="C0","Nao",IF(IFERROR(INDEX(parametros!$A$2:$A$6,MATCH(C4631,parametros!$B$2:$B$6,0)),"")&lt;&gt;"Sim","Nao",IF(IFERROR(INDEX(parametros!$H$2:$H$6,MATCH(C4631,parametros!$B$2:$B$6,0)),"")="","",IF(B4631&gt;=IFERROR(INDEX(parametros!$H$2:$H$6,MATCH(C4631,parametros!$B$2:$B$6,0)),""),"Sim","Nao"))))))</f>
        <v/>
      </c>
      <c r="T4631" s="156"/>
      <c r="U4631" s="214" t="str">
        <f t="shared" si="366"/>
        <v/>
      </c>
      <c r="V4631" s="212" t="s">
        <v>50</v>
      </c>
      <c r="W4631" s="100" t="s">
        <v>168</v>
      </c>
      <c r="X4631" s="100" t="s">
        <v>169</v>
      </c>
      <c r="Y4631" s="101" t="s">
        <v>170</v>
      </c>
      <c r="Z4631" s="101" t="s">
        <v>171</v>
      </c>
      <c r="AA4631" s="101" t="s">
        <v>50</v>
      </c>
      <c r="AB4631" s="101" t="s">
        <v>172</v>
      </c>
      <c r="AC4631" s="102" t="s">
        <v>173</v>
      </c>
    </row>
    <row r="4632" spans="1:29" ht="25.5" customHeight="1" x14ac:dyDescent="0.35">
      <c r="A4632" s="392"/>
      <c r="B4632" s="393"/>
      <c r="C4632" s="99" t="str">
        <f>IF(B4632="","",IF(NOT(ISNUMBER(B4632)),"DATA_PC invalida",IF(NOT(ISNUMBER(parametros!$C$2)),"Fora dos ciclos",IF(OR(B4632&lt;parametros!$C$2,(YEAR(B4632)-YEAR(parametros!$C$2))*12+MONTH(B4632)-MONTH(parametros!$C$2)&gt;59),"Fora dos ciclos","C"&amp;INT(((YEAR(B4632)-YEAR(parametros!$C$2))*12+MONTH(B4632)-MONTH(parametros!$C$2))/12)))))</f>
        <v/>
      </c>
      <c r="D4632" s="394"/>
      <c r="E4632" s="78" t="str">
        <f>IF(C4632="","",IFERROR(VLOOKUP(C4632,parametros!$A$11:$E$15,5,0),""))</f>
        <v/>
      </c>
      <c r="F4632" s="79" t="str">
        <f t="shared" si="362"/>
        <v/>
      </c>
      <c r="G4632" s="395"/>
      <c r="H4632" s="91">
        <f t="shared" si="363"/>
        <v>0</v>
      </c>
      <c r="I4632" s="91" t="str">
        <f t="shared" si="364"/>
        <v/>
      </c>
      <c r="J4632" s="91" t="str">
        <f t="shared" si="365"/>
        <v/>
      </c>
      <c r="K4632" s="92" t="str">
        <f>IF(AND(A4632="",B4632="",D4632="",G4632=""),"",IF(AND(A4632&lt;&gt;"",COUNTIF($A$2:$A$5001,A4632)&gt;1),"NUMERO_PC duplicado",IF(B4632="","DATA_PC vazia",IF(NOT(ISNUMBER(B4632)),"DATA_PC invalida",IF(OR(C4632="",C4632="Fora dos ciclos"),"CICLO_PC nao identificado",IF(OR(D4632="",D4632=0),"VALOR_PC vazio ou zero",IF(AND(G4632&lt;&gt;"Sim",G4632&lt;&gt;"Nao",G4632&lt;&gt;""),"PC_PAGO_A_CONTRATADA invalido",IF(AND(C4632&lt;&gt;"C0",IFERROR(INDEX(parametros!$A$2:$A$6,MATCH(C4632,parametros!$B$2:$B$6,0)),"")="Sim",IFERROR(INDEX(parametros!$H$2:$H$6,MATCH(C4632,parametros!$B$2:$B$6,0)),"")=""),"INICIO_EFEITO ausente: PC "&amp;A4632&amp;" - "&amp;C4632,IF(L4632="","EFEITO_PC nao calculado: PC "&amp;A4632&amp;" - "&amp;C4632,"OK")))))))))</f>
        <v/>
      </c>
      <c r="L4632" s="92" t="str">
        <f>IF(AND(A4632="",B4632="",D4632="",G4632=""),"",IF(OR(B4632="",NOT(ISNUMBER(B4632)),C4632="",C4632="Fora dos ciclos"),"",IF(C4632="C0","Nao",IF(IFERROR(INDEX(parametros!$A$2:$A$6,MATCH(C4632,parametros!$B$2:$B$6,0)),"")&lt;&gt;"Sim","Nao",IF(IFERROR(INDEX(parametros!$H$2:$H$6,MATCH(C4632,parametros!$B$2:$B$6,0)),"")="","",IF(B4632&gt;=IFERROR(INDEX(parametros!$H$2:$H$6,MATCH(C4632,parametros!$B$2:$B$6,0)),""),"Sim","Nao"))))))</f>
        <v/>
      </c>
      <c r="T4632" s="156"/>
      <c r="U4632" s="214" t="str">
        <f t="shared" si="366"/>
        <v/>
      </c>
      <c r="V4632" s="212" t="s">
        <v>50</v>
      </c>
      <c r="W4632" s="100" t="s">
        <v>168</v>
      </c>
      <c r="X4632" s="100" t="s">
        <v>169</v>
      </c>
      <c r="Y4632" s="101" t="s">
        <v>170</v>
      </c>
      <c r="Z4632" s="101" t="s">
        <v>171</v>
      </c>
      <c r="AA4632" s="101" t="s">
        <v>50</v>
      </c>
      <c r="AB4632" s="101" t="s">
        <v>172</v>
      </c>
      <c r="AC4632" s="102" t="s">
        <v>173</v>
      </c>
    </row>
    <row r="4633" spans="1:29" ht="25.5" customHeight="1" x14ac:dyDescent="0.35">
      <c r="A4633" s="392"/>
      <c r="B4633" s="393"/>
      <c r="C4633" s="99" t="str">
        <f>IF(B4633="","",IF(NOT(ISNUMBER(B4633)),"DATA_PC invalida",IF(NOT(ISNUMBER(parametros!$C$2)),"Fora dos ciclos",IF(OR(B4633&lt;parametros!$C$2,(YEAR(B4633)-YEAR(parametros!$C$2))*12+MONTH(B4633)-MONTH(parametros!$C$2)&gt;59),"Fora dos ciclos","C"&amp;INT(((YEAR(B4633)-YEAR(parametros!$C$2))*12+MONTH(B4633)-MONTH(parametros!$C$2))/12)))))</f>
        <v/>
      </c>
      <c r="D4633" s="394"/>
      <c r="E4633" s="78" t="str">
        <f>IF(C4633="","",IFERROR(VLOOKUP(C4633,parametros!$A$11:$E$15,5,0),""))</f>
        <v/>
      </c>
      <c r="F4633" s="79" t="str">
        <f t="shared" si="362"/>
        <v/>
      </c>
      <c r="G4633" s="395"/>
      <c r="H4633" s="91">
        <f t="shared" si="363"/>
        <v>0</v>
      </c>
      <c r="I4633" s="91" t="str">
        <f t="shared" si="364"/>
        <v/>
      </c>
      <c r="J4633" s="91" t="str">
        <f t="shared" si="365"/>
        <v/>
      </c>
      <c r="K4633" s="92" t="str">
        <f>IF(AND(A4633="",B4633="",D4633="",G4633=""),"",IF(AND(A4633&lt;&gt;"",COUNTIF($A$2:$A$5001,A4633)&gt;1),"NUMERO_PC duplicado",IF(B4633="","DATA_PC vazia",IF(NOT(ISNUMBER(B4633)),"DATA_PC invalida",IF(OR(C4633="",C4633="Fora dos ciclos"),"CICLO_PC nao identificado",IF(OR(D4633="",D4633=0),"VALOR_PC vazio ou zero",IF(AND(G4633&lt;&gt;"Sim",G4633&lt;&gt;"Nao",G4633&lt;&gt;""),"PC_PAGO_A_CONTRATADA invalido",IF(AND(C4633&lt;&gt;"C0",IFERROR(INDEX(parametros!$A$2:$A$6,MATCH(C4633,parametros!$B$2:$B$6,0)),"")="Sim",IFERROR(INDEX(parametros!$H$2:$H$6,MATCH(C4633,parametros!$B$2:$B$6,0)),"")=""),"INICIO_EFEITO ausente: PC "&amp;A4633&amp;" - "&amp;C4633,IF(L4633="","EFEITO_PC nao calculado: PC "&amp;A4633&amp;" - "&amp;C4633,"OK")))))))))</f>
        <v/>
      </c>
      <c r="L4633" s="92" t="str">
        <f>IF(AND(A4633="",B4633="",D4633="",G4633=""),"",IF(OR(B4633="",NOT(ISNUMBER(B4633)),C4633="",C4633="Fora dos ciclos"),"",IF(C4633="C0","Nao",IF(IFERROR(INDEX(parametros!$A$2:$A$6,MATCH(C4633,parametros!$B$2:$B$6,0)),"")&lt;&gt;"Sim","Nao",IF(IFERROR(INDEX(parametros!$H$2:$H$6,MATCH(C4633,parametros!$B$2:$B$6,0)),"")="","",IF(B4633&gt;=IFERROR(INDEX(parametros!$H$2:$H$6,MATCH(C4633,parametros!$B$2:$B$6,0)),""),"Sim","Nao"))))))</f>
        <v/>
      </c>
      <c r="T4633" s="156"/>
      <c r="U4633" s="214" t="str">
        <f t="shared" si="366"/>
        <v/>
      </c>
      <c r="V4633" s="212" t="s">
        <v>50</v>
      </c>
      <c r="W4633" s="100" t="s">
        <v>168</v>
      </c>
      <c r="X4633" s="100" t="s">
        <v>169</v>
      </c>
      <c r="Y4633" s="101" t="s">
        <v>170</v>
      </c>
      <c r="Z4633" s="101" t="s">
        <v>171</v>
      </c>
      <c r="AA4633" s="101" t="s">
        <v>50</v>
      </c>
      <c r="AB4633" s="101" t="s">
        <v>172</v>
      </c>
      <c r="AC4633" s="102" t="s">
        <v>173</v>
      </c>
    </row>
    <row r="4634" spans="1:29" ht="25.5" customHeight="1" x14ac:dyDescent="0.35">
      <c r="A4634" s="392"/>
      <c r="B4634" s="393"/>
      <c r="C4634" s="99" t="str">
        <f>IF(B4634="","",IF(NOT(ISNUMBER(B4634)),"DATA_PC invalida",IF(NOT(ISNUMBER(parametros!$C$2)),"Fora dos ciclos",IF(OR(B4634&lt;parametros!$C$2,(YEAR(B4634)-YEAR(parametros!$C$2))*12+MONTH(B4634)-MONTH(parametros!$C$2)&gt;59),"Fora dos ciclos","C"&amp;INT(((YEAR(B4634)-YEAR(parametros!$C$2))*12+MONTH(B4634)-MONTH(parametros!$C$2))/12)))))</f>
        <v/>
      </c>
      <c r="D4634" s="394"/>
      <c r="E4634" s="78" t="str">
        <f>IF(C4634="","",IFERROR(VLOOKUP(C4634,parametros!$A$11:$E$15,5,0),""))</f>
        <v/>
      </c>
      <c r="F4634" s="79" t="str">
        <f t="shared" si="362"/>
        <v/>
      </c>
      <c r="G4634" s="395"/>
      <c r="H4634" s="91">
        <f t="shared" si="363"/>
        <v>0</v>
      </c>
      <c r="I4634" s="91" t="str">
        <f t="shared" si="364"/>
        <v/>
      </c>
      <c r="J4634" s="91" t="str">
        <f t="shared" si="365"/>
        <v/>
      </c>
      <c r="K4634" s="92" t="str">
        <f>IF(AND(A4634="",B4634="",D4634="",G4634=""),"",IF(AND(A4634&lt;&gt;"",COUNTIF($A$2:$A$5001,A4634)&gt;1),"NUMERO_PC duplicado",IF(B4634="","DATA_PC vazia",IF(NOT(ISNUMBER(B4634)),"DATA_PC invalida",IF(OR(C4634="",C4634="Fora dos ciclos"),"CICLO_PC nao identificado",IF(OR(D4634="",D4634=0),"VALOR_PC vazio ou zero",IF(AND(G4634&lt;&gt;"Sim",G4634&lt;&gt;"Nao",G4634&lt;&gt;""),"PC_PAGO_A_CONTRATADA invalido",IF(AND(C4634&lt;&gt;"C0",IFERROR(INDEX(parametros!$A$2:$A$6,MATCH(C4634,parametros!$B$2:$B$6,0)),"")="Sim",IFERROR(INDEX(parametros!$H$2:$H$6,MATCH(C4634,parametros!$B$2:$B$6,0)),"")=""),"INICIO_EFEITO ausente: PC "&amp;A4634&amp;" - "&amp;C4634,IF(L4634="","EFEITO_PC nao calculado: PC "&amp;A4634&amp;" - "&amp;C4634,"OK")))))))))</f>
        <v/>
      </c>
      <c r="L4634" s="92" t="str">
        <f>IF(AND(A4634="",B4634="",D4634="",G4634=""),"",IF(OR(B4634="",NOT(ISNUMBER(B4634)),C4634="",C4634="Fora dos ciclos"),"",IF(C4634="C0","Nao",IF(IFERROR(INDEX(parametros!$A$2:$A$6,MATCH(C4634,parametros!$B$2:$B$6,0)),"")&lt;&gt;"Sim","Nao",IF(IFERROR(INDEX(parametros!$H$2:$H$6,MATCH(C4634,parametros!$B$2:$B$6,0)),"")="","",IF(B4634&gt;=IFERROR(INDEX(parametros!$H$2:$H$6,MATCH(C4634,parametros!$B$2:$B$6,0)),""),"Sim","Nao"))))))</f>
        <v/>
      </c>
      <c r="T4634" s="156"/>
      <c r="U4634" s="214" t="str">
        <f t="shared" si="366"/>
        <v/>
      </c>
      <c r="V4634" s="212" t="s">
        <v>50</v>
      </c>
      <c r="W4634" s="100" t="s">
        <v>168</v>
      </c>
      <c r="X4634" s="100" t="s">
        <v>169</v>
      </c>
      <c r="Y4634" s="101" t="s">
        <v>170</v>
      </c>
      <c r="Z4634" s="101" t="s">
        <v>171</v>
      </c>
      <c r="AA4634" s="101" t="s">
        <v>50</v>
      </c>
      <c r="AB4634" s="101" t="s">
        <v>172</v>
      </c>
      <c r="AC4634" s="102" t="s">
        <v>173</v>
      </c>
    </row>
    <row r="4635" spans="1:29" ht="25.5" customHeight="1" x14ac:dyDescent="0.35">
      <c r="A4635" s="392"/>
      <c r="B4635" s="393"/>
      <c r="C4635" s="99" t="str">
        <f>IF(B4635="","",IF(NOT(ISNUMBER(B4635)),"DATA_PC invalida",IF(NOT(ISNUMBER(parametros!$C$2)),"Fora dos ciclos",IF(OR(B4635&lt;parametros!$C$2,(YEAR(B4635)-YEAR(parametros!$C$2))*12+MONTH(B4635)-MONTH(parametros!$C$2)&gt;59),"Fora dos ciclos","C"&amp;INT(((YEAR(B4635)-YEAR(parametros!$C$2))*12+MONTH(B4635)-MONTH(parametros!$C$2))/12)))))</f>
        <v/>
      </c>
      <c r="D4635" s="394"/>
      <c r="E4635" s="78" t="str">
        <f>IF(C4635="","",IFERROR(VLOOKUP(C4635,parametros!$A$11:$E$15,5,0),""))</f>
        <v/>
      </c>
      <c r="F4635" s="79" t="str">
        <f t="shared" si="362"/>
        <v/>
      </c>
      <c r="G4635" s="395"/>
      <c r="H4635" s="91">
        <f t="shared" si="363"/>
        <v>0</v>
      </c>
      <c r="I4635" s="91" t="str">
        <f t="shared" si="364"/>
        <v/>
      </c>
      <c r="J4635" s="91" t="str">
        <f t="shared" si="365"/>
        <v/>
      </c>
      <c r="K4635" s="92" t="str">
        <f>IF(AND(A4635="",B4635="",D4635="",G4635=""),"",IF(AND(A4635&lt;&gt;"",COUNTIF($A$2:$A$5001,A4635)&gt;1),"NUMERO_PC duplicado",IF(B4635="","DATA_PC vazia",IF(NOT(ISNUMBER(B4635)),"DATA_PC invalida",IF(OR(C4635="",C4635="Fora dos ciclos"),"CICLO_PC nao identificado",IF(OR(D4635="",D4635=0),"VALOR_PC vazio ou zero",IF(AND(G4635&lt;&gt;"Sim",G4635&lt;&gt;"Nao",G4635&lt;&gt;""),"PC_PAGO_A_CONTRATADA invalido",IF(AND(C4635&lt;&gt;"C0",IFERROR(INDEX(parametros!$A$2:$A$6,MATCH(C4635,parametros!$B$2:$B$6,0)),"")="Sim",IFERROR(INDEX(parametros!$H$2:$H$6,MATCH(C4635,parametros!$B$2:$B$6,0)),"")=""),"INICIO_EFEITO ausente: PC "&amp;A4635&amp;" - "&amp;C4635,IF(L4635="","EFEITO_PC nao calculado: PC "&amp;A4635&amp;" - "&amp;C4635,"OK")))))))))</f>
        <v/>
      </c>
      <c r="L4635" s="92" t="str">
        <f>IF(AND(A4635="",B4635="",D4635="",G4635=""),"",IF(OR(B4635="",NOT(ISNUMBER(B4635)),C4635="",C4635="Fora dos ciclos"),"",IF(C4635="C0","Nao",IF(IFERROR(INDEX(parametros!$A$2:$A$6,MATCH(C4635,parametros!$B$2:$B$6,0)),"")&lt;&gt;"Sim","Nao",IF(IFERROR(INDEX(parametros!$H$2:$H$6,MATCH(C4635,parametros!$B$2:$B$6,0)),"")="","",IF(B4635&gt;=IFERROR(INDEX(parametros!$H$2:$H$6,MATCH(C4635,parametros!$B$2:$B$6,0)),""),"Sim","Nao"))))))</f>
        <v/>
      </c>
      <c r="T4635" s="156"/>
      <c r="U4635" s="214" t="str">
        <f t="shared" si="366"/>
        <v/>
      </c>
      <c r="V4635" s="212" t="s">
        <v>50</v>
      </c>
      <c r="W4635" s="100" t="s">
        <v>168</v>
      </c>
      <c r="X4635" s="100" t="s">
        <v>169</v>
      </c>
      <c r="Y4635" s="101" t="s">
        <v>170</v>
      </c>
      <c r="Z4635" s="101" t="s">
        <v>171</v>
      </c>
      <c r="AA4635" s="101" t="s">
        <v>50</v>
      </c>
      <c r="AB4635" s="101" t="s">
        <v>172</v>
      </c>
      <c r="AC4635" s="102" t="s">
        <v>173</v>
      </c>
    </row>
    <row r="4636" spans="1:29" ht="25.5" customHeight="1" x14ac:dyDescent="0.35">
      <c r="A4636" s="392"/>
      <c r="B4636" s="393"/>
      <c r="C4636" s="99" t="str">
        <f>IF(B4636="","",IF(NOT(ISNUMBER(B4636)),"DATA_PC invalida",IF(NOT(ISNUMBER(parametros!$C$2)),"Fora dos ciclos",IF(OR(B4636&lt;parametros!$C$2,(YEAR(B4636)-YEAR(parametros!$C$2))*12+MONTH(B4636)-MONTH(parametros!$C$2)&gt;59),"Fora dos ciclos","C"&amp;INT(((YEAR(B4636)-YEAR(parametros!$C$2))*12+MONTH(B4636)-MONTH(parametros!$C$2))/12)))))</f>
        <v/>
      </c>
      <c r="D4636" s="394"/>
      <c r="E4636" s="78" t="str">
        <f>IF(C4636="","",IFERROR(VLOOKUP(C4636,parametros!$A$11:$E$15,5,0),""))</f>
        <v/>
      </c>
      <c r="F4636" s="79" t="str">
        <f t="shared" si="362"/>
        <v/>
      </c>
      <c r="G4636" s="395"/>
      <c r="H4636" s="91">
        <f t="shared" si="363"/>
        <v>0</v>
      </c>
      <c r="I4636" s="91" t="str">
        <f t="shared" si="364"/>
        <v/>
      </c>
      <c r="J4636" s="91" t="str">
        <f t="shared" si="365"/>
        <v/>
      </c>
      <c r="K4636" s="92" t="str">
        <f>IF(AND(A4636="",B4636="",D4636="",G4636=""),"",IF(AND(A4636&lt;&gt;"",COUNTIF($A$2:$A$5001,A4636)&gt;1),"NUMERO_PC duplicado",IF(B4636="","DATA_PC vazia",IF(NOT(ISNUMBER(B4636)),"DATA_PC invalida",IF(OR(C4636="",C4636="Fora dos ciclos"),"CICLO_PC nao identificado",IF(OR(D4636="",D4636=0),"VALOR_PC vazio ou zero",IF(AND(G4636&lt;&gt;"Sim",G4636&lt;&gt;"Nao",G4636&lt;&gt;""),"PC_PAGO_A_CONTRATADA invalido",IF(AND(C4636&lt;&gt;"C0",IFERROR(INDEX(parametros!$A$2:$A$6,MATCH(C4636,parametros!$B$2:$B$6,0)),"")="Sim",IFERROR(INDEX(parametros!$H$2:$H$6,MATCH(C4636,parametros!$B$2:$B$6,0)),"")=""),"INICIO_EFEITO ausente: PC "&amp;A4636&amp;" - "&amp;C4636,IF(L4636="","EFEITO_PC nao calculado: PC "&amp;A4636&amp;" - "&amp;C4636,"OK")))))))))</f>
        <v/>
      </c>
      <c r="L4636" s="92" t="str">
        <f>IF(AND(A4636="",B4636="",D4636="",G4636=""),"",IF(OR(B4636="",NOT(ISNUMBER(B4636)),C4636="",C4636="Fora dos ciclos"),"",IF(C4636="C0","Nao",IF(IFERROR(INDEX(parametros!$A$2:$A$6,MATCH(C4636,parametros!$B$2:$B$6,0)),"")&lt;&gt;"Sim","Nao",IF(IFERROR(INDEX(parametros!$H$2:$H$6,MATCH(C4636,parametros!$B$2:$B$6,0)),"")="","",IF(B4636&gt;=IFERROR(INDEX(parametros!$H$2:$H$6,MATCH(C4636,parametros!$B$2:$B$6,0)),""),"Sim","Nao"))))))</f>
        <v/>
      </c>
      <c r="T4636" s="156"/>
      <c r="U4636" s="214" t="str">
        <f t="shared" si="366"/>
        <v/>
      </c>
      <c r="V4636" s="212" t="s">
        <v>50</v>
      </c>
      <c r="W4636" s="100" t="s">
        <v>168</v>
      </c>
      <c r="X4636" s="100" t="s">
        <v>169</v>
      </c>
      <c r="Y4636" s="101" t="s">
        <v>170</v>
      </c>
      <c r="Z4636" s="101" t="s">
        <v>171</v>
      </c>
      <c r="AA4636" s="101" t="s">
        <v>50</v>
      </c>
      <c r="AB4636" s="101" t="s">
        <v>172</v>
      </c>
      <c r="AC4636" s="102" t="s">
        <v>173</v>
      </c>
    </row>
    <row r="4637" spans="1:29" ht="25.5" customHeight="1" x14ac:dyDescent="0.35">
      <c r="A4637" s="392"/>
      <c r="B4637" s="393"/>
      <c r="C4637" s="99" t="str">
        <f>IF(B4637="","",IF(NOT(ISNUMBER(B4637)),"DATA_PC invalida",IF(NOT(ISNUMBER(parametros!$C$2)),"Fora dos ciclos",IF(OR(B4637&lt;parametros!$C$2,(YEAR(B4637)-YEAR(parametros!$C$2))*12+MONTH(B4637)-MONTH(parametros!$C$2)&gt;59),"Fora dos ciclos","C"&amp;INT(((YEAR(B4637)-YEAR(parametros!$C$2))*12+MONTH(B4637)-MONTH(parametros!$C$2))/12)))))</f>
        <v/>
      </c>
      <c r="D4637" s="394"/>
      <c r="E4637" s="78" t="str">
        <f>IF(C4637="","",IFERROR(VLOOKUP(C4637,parametros!$A$11:$E$15,5,0),""))</f>
        <v/>
      </c>
      <c r="F4637" s="79" t="str">
        <f t="shared" si="362"/>
        <v/>
      </c>
      <c r="G4637" s="395"/>
      <c r="H4637" s="91">
        <f t="shared" si="363"/>
        <v>0</v>
      </c>
      <c r="I4637" s="91" t="str">
        <f t="shared" si="364"/>
        <v/>
      </c>
      <c r="J4637" s="91" t="str">
        <f t="shared" si="365"/>
        <v/>
      </c>
      <c r="K4637" s="92" t="str">
        <f>IF(AND(A4637="",B4637="",D4637="",G4637=""),"",IF(AND(A4637&lt;&gt;"",COUNTIF($A$2:$A$5001,A4637)&gt;1),"NUMERO_PC duplicado",IF(B4637="","DATA_PC vazia",IF(NOT(ISNUMBER(B4637)),"DATA_PC invalida",IF(OR(C4637="",C4637="Fora dos ciclos"),"CICLO_PC nao identificado",IF(OR(D4637="",D4637=0),"VALOR_PC vazio ou zero",IF(AND(G4637&lt;&gt;"Sim",G4637&lt;&gt;"Nao",G4637&lt;&gt;""),"PC_PAGO_A_CONTRATADA invalido",IF(AND(C4637&lt;&gt;"C0",IFERROR(INDEX(parametros!$A$2:$A$6,MATCH(C4637,parametros!$B$2:$B$6,0)),"")="Sim",IFERROR(INDEX(parametros!$H$2:$H$6,MATCH(C4637,parametros!$B$2:$B$6,0)),"")=""),"INICIO_EFEITO ausente: PC "&amp;A4637&amp;" - "&amp;C4637,IF(L4637="","EFEITO_PC nao calculado: PC "&amp;A4637&amp;" - "&amp;C4637,"OK")))))))))</f>
        <v/>
      </c>
      <c r="L4637" s="92" t="str">
        <f>IF(AND(A4637="",B4637="",D4637="",G4637=""),"",IF(OR(B4637="",NOT(ISNUMBER(B4637)),C4637="",C4637="Fora dos ciclos"),"",IF(C4637="C0","Nao",IF(IFERROR(INDEX(parametros!$A$2:$A$6,MATCH(C4637,parametros!$B$2:$B$6,0)),"")&lt;&gt;"Sim","Nao",IF(IFERROR(INDEX(parametros!$H$2:$H$6,MATCH(C4637,parametros!$B$2:$B$6,0)),"")="","",IF(B4637&gt;=IFERROR(INDEX(parametros!$H$2:$H$6,MATCH(C4637,parametros!$B$2:$B$6,0)),""),"Sim","Nao"))))))</f>
        <v/>
      </c>
      <c r="T4637" s="156"/>
      <c r="U4637" s="214" t="str">
        <f t="shared" si="366"/>
        <v/>
      </c>
      <c r="V4637" s="212" t="s">
        <v>50</v>
      </c>
      <c r="W4637" s="100" t="s">
        <v>168</v>
      </c>
      <c r="X4637" s="100" t="s">
        <v>169</v>
      </c>
      <c r="Y4637" s="101" t="s">
        <v>170</v>
      </c>
      <c r="Z4637" s="101" t="s">
        <v>171</v>
      </c>
      <c r="AA4637" s="101" t="s">
        <v>50</v>
      </c>
      <c r="AB4637" s="101" t="s">
        <v>172</v>
      </c>
      <c r="AC4637" s="102" t="s">
        <v>173</v>
      </c>
    </row>
    <row r="4638" spans="1:29" ht="25.5" customHeight="1" x14ac:dyDescent="0.35">
      <c r="A4638" s="392"/>
      <c r="B4638" s="393"/>
      <c r="C4638" s="99" t="str">
        <f>IF(B4638="","",IF(NOT(ISNUMBER(B4638)),"DATA_PC invalida",IF(NOT(ISNUMBER(parametros!$C$2)),"Fora dos ciclos",IF(OR(B4638&lt;parametros!$C$2,(YEAR(B4638)-YEAR(parametros!$C$2))*12+MONTH(B4638)-MONTH(parametros!$C$2)&gt;59),"Fora dos ciclos","C"&amp;INT(((YEAR(B4638)-YEAR(parametros!$C$2))*12+MONTH(B4638)-MONTH(parametros!$C$2))/12)))))</f>
        <v/>
      </c>
      <c r="D4638" s="394"/>
      <c r="E4638" s="78" t="str">
        <f>IF(C4638="","",IFERROR(VLOOKUP(C4638,parametros!$A$11:$E$15,5,0),""))</f>
        <v/>
      </c>
      <c r="F4638" s="79" t="str">
        <f t="shared" si="362"/>
        <v/>
      </c>
      <c r="G4638" s="395"/>
      <c r="H4638" s="91">
        <f t="shared" si="363"/>
        <v>0</v>
      </c>
      <c r="I4638" s="91" t="str">
        <f t="shared" si="364"/>
        <v/>
      </c>
      <c r="J4638" s="91" t="str">
        <f t="shared" si="365"/>
        <v/>
      </c>
      <c r="K4638" s="92" t="str">
        <f>IF(AND(A4638="",B4638="",D4638="",G4638=""),"",IF(AND(A4638&lt;&gt;"",COUNTIF($A$2:$A$5001,A4638)&gt;1),"NUMERO_PC duplicado",IF(B4638="","DATA_PC vazia",IF(NOT(ISNUMBER(B4638)),"DATA_PC invalida",IF(OR(C4638="",C4638="Fora dos ciclos"),"CICLO_PC nao identificado",IF(OR(D4638="",D4638=0),"VALOR_PC vazio ou zero",IF(AND(G4638&lt;&gt;"Sim",G4638&lt;&gt;"Nao",G4638&lt;&gt;""),"PC_PAGO_A_CONTRATADA invalido",IF(AND(C4638&lt;&gt;"C0",IFERROR(INDEX(parametros!$A$2:$A$6,MATCH(C4638,parametros!$B$2:$B$6,0)),"")="Sim",IFERROR(INDEX(parametros!$H$2:$H$6,MATCH(C4638,parametros!$B$2:$B$6,0)),"")=""),"INICIO_EFEITO ausente: PC "&amp;A4638&amp;" - "&amp;C4638,IF(L4638="","EFEITO_PC nao calculado: PC "&amp;A4638&amp;" - "&amp;C4638,"OK")))))))))</f>
        <v/>
      </c>
      <c r="L4638" s="92" t="str">
        <f>IF(AND(A4638="",B4638="",D4638="",G4638=""),"",IF(OR(B4638="",NOT(ISNUMBER(B4638)),C4638="",C4638="Fora dos ciclos"),"",IF(C4638="C0","Nao",IF(IFERROR(INDEX(parametros!$A$2:$A$6,MATCH(C4638,parametros!$B$2:$B$6,0)),"")&lt;&gt;"Sim","Nao",IF(IFERROR(INDEX(parametros!$H$2:$H$6,MATCH(C4638,parametros!$B$2:$B$6,0)),"")="","",IF(B4638&gt;=IFERROR(INDEX(parametros!$H$2:$H$6,MATCH(C4638,parametros!$B$2:$B$6,0)),""),"Sim","Nao"))))))</f>
        <v/>
      </c>
      <c r="T4638" s="156"/>
      <c r="U4638" s="214" t="str">
        <f t="shared" si="366"/>
        <v/>
      </c>
      <c r="V4638" s="212" t="s">
        <v>50</v>
      </c>
      <c r="W4638" s="100" t="s">
        <v>168</v>
      </c>
      <c r="X4638" s="100" t="s">
        <v>169</v>
      </c>
      <c r="Y4638" s="101" t="s">
        <v>170</v>
      </c>
      <c r="Z4638" s="101" t="s">
        <v>171</v>
      </c>
      <c r="AA4638" s="101" t="s">
        <v>50</v>
      </c>
      <c r="AB4638" s="101" t="s">
        <v>172</v>
      </c>
      <c r="AC4638" s="102" t="s">
        <v>173</v>
      </c>
    </row>
    <row r="4639" spans="1:29" ht="25.5" customHeight="1" x14ac:dyDescent="0.35">
      <c r="A4639" s="392"/>
      <c r="B4639" s="393"/>
      <c r="C4639" s="99" t="str">
        <f>IF(B4639="","",IF(NOT(ISNUMBER(B4639)),"DATA_PC invalida",IF(NOT(ISNUMBER(parametros!$C$2)),"Fora dos ciclos",IF(OR(B4639&lt;parametros!$C$2,(YEAR(B4639)-YEAR(parametros!$C$2))*12+MONTH(B4639)-MONTH(parametros!$C$2)&gt;59),"Fora dos ciclos","C"&amp;INT(((YEAR(B4639)-YEAR(parametros!$C$2))*12+MONTH(B4639)-MONTH(parametros!$C$2))/12)))))</f>
        <v/>
      </c>
      <c r="D4639" s="394"/>
      <c r="E4639" s="78" t="str">
        <f>IF(C4639="","",IFERROR(VLOOKUP(C4639,parametros!$A$11:$E$15,5,0),""))</f>
        <v/>
      </c>
      <c r="F4639" s="79" t="str">
        <f t="shared" si="362"/>
        <v/>
      </c>
      <c r="G4639" s="395"/>
      <c r="H4639" s="91">
        <f t="shared" si="363"/>
        <v>0</v>
      </c>
      <c r="I4639" s="91" t="str">
        <f t="shared" si="364"/>
        <v/>
      </c>
      <c r="J4639" s="91" t="str">
        <f t="shared" si="365"/>
        <v/>
      </c>
      <c r="K4639" s="92" t="str">
        <f>IF(AND(A4639="",B4639="",D4639="",G4639=""),"",IF(AND(A4639&lt;&gt;"",COUNTIF($A$2:$A$5001,A4639)&gt;1),"NUMERO_PC duplicado",IF(B4639="","DATA_PC vazia",IF(NOT(ISNUMBER(B4639)),"DATA_PC invalida",IF(OR(C4639="",C4639="Fora dos ciclos"),"CICLO_PC nao identificado",IF(OR(D4639="",D4639=0),"VALOR_PC vazio ou zero",IF(AND(G4639&lt;&gt;"Sim",G4639&lt;&gt;"Nao",G4639&lt;&gt;""),"PC_PAGO_A_CONTRATADA invalido",IF(AND(C4639&lt;&gt;"C0",IFERROR(INDEX(parametros!$A$2:$A$6,MATCH(C4639,parametros!$B$2:$B$6,0)),"")="Sim",IFERROR(INDEX(parametros!$H$2:$H$6,MATCH(C4639,parametros!$B$2:$B$6,0)),"")=""),"INICIO_EFEITO ausente: PC "&amp;A4639&amp;" - "&amp;C4639,IF(L4639="","EFEITO_PC nao calculado: PC "&amp;A4639&amp;" - "&amp;C4639,"OK")))))))))</f>
        <v/>
      </c>
      <c r="L4639" s="92" t="str">
        <f>IF(AND(A4639="",B4639="",D4639="",G4639=""),"",IF(OR(B4639="",NOT(ISNUMBER(B4639)),C4639="",C4639="Fora dos ciclos"),"",IF(C4639="C0","Nao",IF(IFERROR(INDEX(parametros!$A$2:$A$6,MATCH(C4639,parametros!$B$2:$B$6,0)),"")&lt;&gt;"Sim","Nao",IF(IFERROR(INDEX(parametros!$H$2:$H$6,MATCH(C4639,parametros!$B$2:$B$6,0)),"")="","",IF(B4639&gt;=IFERROR(INDEX(parametros!$H$2:$H$6,MATCH(C4639,parametros!$B$2:$B$6,0)),""),"Sim","Nao"))))))</f>
        <v/>
      </c>
      <c r="T4639" s="156"/>
      <c r="U4639" s="214" t="str">
        <f t="shared" si="366"/>
        <v/>
      </c>
      <c r="V4639" s="212" t="s">
        <v>50</v>
      </c>
      <c r="W4639" s="100" t="s">
        <v>168</v>
      </c>
      <c r="X4639" s="100" t="s">
        <v>169</v>
      </c>
      <c r="Y4639" s="101" t="s">
        <v>170</v>
      </c>
      <c r="Z4639" s="101" t="s">
        <v>171</v>
      </c>
      <c r="AA4639" s="101" t="s">
        <v>50</v>
      </c>
      <c r="AB4639" s="101" t="s">
        <v>172</v>
      </c>
      <c r="AC4639" s="102" t="s">
        <v>173</v>
      </c>
    </row>
    <row r="4640" spans="1:29" ht="25.5" customHeight="1" x14ac:dyDescent="0.35">
      <c r="A4640" s="392"/>
      <c r="B4640" s="393"/>
      <c r="C4640" s="99" t="str">
        <f>IF(B4640="","",IF(NOT(ISNUMBER(B4640)),"DATA_PC invalida",IF(NOT(ISNUMBER(parametros!$C$2)),"Fora dos ciclos",IF(OR(B4640&lt;parametros!$C$2,(YEAR(B4640)-YEAR(parametros!$C$2))*12+MONTH(B4640)-MONTH(parametros!$C$2)&gt;59),"Fora dos ciclos","C"&amp;INT(((YEAR(B4640)-YEAR(parametros!$C$2))*12+MONTH(B4640)-MONTH(parametros!$C$2))/12)))))</f>
        <v/>
      </c>
      <c r="D4640" s="394"/>
      <c r="E4640" s="78" t="str">
        <f>IF(C4640="","",IFERROR(VLOOKUP(C4640,parametros!$A$11:$E$15,5,0),""))</f>
        <v/>
      </c>
      <c r="F4640" s="79" t="str">
        <f t="shared" si="362"/>
        <v/>
      </c>
      <c r="G4640" s="395"/>
      <c r="H4640" s="91">
        <f t="shared" si="363"/>
        <v>0</v>
      </c>
      <c r="I4640" s="91" t="str">
        <f t="shared" si="364"/>
        <v/>
      </c>
      <c r="J4640" s="91" t="str">
        <f t="shared" si="365"/>
        <v/>
      </c>
      <c r="K4640" s="92" t="str">
        <f>IF(AND(A4640="",B4640="",D4640="",G4640=""),"",IF(AND(A4640&lt;&gt;"",COUNTIF($A$2:$A$5001,A4640)&gt;1),"NUMERO_PC duplicado",IF(B4640="","DATA_PC vazia",IF(NOT(ISNUMBER(B4640)),"DATA_PC invalida",IF(OR(C4640="",C4640="Fora dos ciclos"),"CICLO_PC nao identificado",IF(OR(D4640="",D4640=0),"VALOR_PC vazio ou zero",IF(AND(G4640&lt;&gt;"Sim",G4640&lt;&gt;"Nao",G4640&lt;&gt;""),"PC_PAGO_A_CONTRATADA invalido",IF(AND(C4640&lt;&gt;"C0",IFERROR(INDEX(parametros!$A$2:$A$6,MATCH(C4640,parametros!$B$2:$B$6,0)),"")="Sim",IFERROR(INDEX(parametros!$H$2:$H$6,MATCH(C4640,parametros!$B$2:$B$6,0)),"")=""),"INICIO_EFEITO ausente: PC "&amp;A4640&amp;" - "&amp;C4640,IF(L4640="","EFEITO_PC nao calculado: PC "&amp;A4640&amp;" - "&amp;C4640,"OK")))))))))</f>
        <v/>
      </c>
      <c r="L4640" s="92" t="str">
        <f>IF(AND(A4640="",B4640="",D4640="",G4640=""),"",IF(OR(B4640="",NOT(ISNUMBER(B4640)),C4640="",C4640="Fora dos ciclos"),"",IF(C4640="C0","Nao",IF(IFERROR(INDEX(parametros!$A$2:$A$6,MATCH(C4640,parametros!$B$2:$B$6,0)),"")&lt;&gt;"Sim","Nao",IF(IFERROR(INDEX(parametros!$H$2:$H$6,MATCH(C4640,parametros!$B$2:$B$6,0)),"")="","",IF(B4640&gt;=IFERROR(INDEX(parametros!$H$2:$H$6,MATCH(C4640,parametros!$B$2:$B$6,0)),""),"Sim","Nao"))))))</f>
        <v/>
      </c>
      <c r="T4640" s="156"/>
      <c r="U4640" s="214" t="str">
        <f t="shared" si="366"/>
        <v/>
      </c>
      <c r="V4640" s="212" t="s">
        <v>50</v>
      </c>
      <c r="W4640" s="100" t="s">
        <v>168</v>
      </c>
      <c r="X4640" s="100" t="s">
        <v>169</v>
      </c>
      <c r="Y4640" s="101" t="s">
        <v>170</v>
      </c>
      <c r="Z4640" s="101" t="s">
        <v>171</v>
      </c>
      <c r="AA4640" s="101" t="s">
        <v>50</v>
      </c>
      <c r="AB4640" s="101" t="s">
        <v>172</v>
      </c>
      <c r="AC4640" s="102" t="s">
        <v>173</v>
      </c>
    </row>
    <row r="4641" spans="1:29" ht="25.5" customHeight="1" x14ac:dyDescent="0.35">
      <c r="A4641" s="392"/>
      <c r="B4641" s="393"/>
      <c r="C4641" s="99" t="str">
        <f>IF(B4641="","",IF(NOT(ISNUMBER(B4641)),"DATA_PC invalida",IF(NOT(ISNUMBER(parametros!$C$2)),"Fora dos ciclos",IF(OR(B4641&lt;parametros!$C$2,(YEAR(B4641)-YEAR(parametros!$C$2))*12+MONTH(B4641)-MONTH(parametros!$C$2)&gt;59),"Fora dos ciclos","C"&amp;INT(((YEAR(B4641)-YEAR(parametros!$C$2))*12+MONTH(B4641)-MONTH(parametros!$C$2))/12)))))</f>
        <v/>
      </c>
      <c r="D4641" s="394"/>
      <c r="E4641" s="78" t="str">
        <f>IF(C4641="","",IFERROR(VLOOKUP(C4641,parametros!$A$11:$E$15,5,0),""))</f>
        <v/>
      </c>
      <c r="F4641" s="79" t="str">
        <f t="shared" si="362"/>
        <v/>
      </c>
      <c r="G4641" s="395"/>
      <c r="H4641" s="91">
        <f t="shared" si="363"/>
        <v>0</v>
      </c>
      <c r="I4641" s="91" t="str">
        <f t="shared" si="364"/>
        <v/>
      </c>
      <c r="J4641" s="91" t="str">
        <f t="shared" si="365"/>
        <v/>
      </c>
      <c r="K4641" s="92" t="str">
        <f>IF(AND(A4641="",B4641="",D4641="",G4641=""),"",IF(AND(A4641&lt;&gt;"",COUNTIF($A$2:$A$5001,A4641)&gt;1),"NUMERO_PC duplicado",IF(B4641="","DATA_PC vazia",IF(NOT(ISNUMBER(B4641)),"DATA_PC invalida",IF(OR(C4641="",C4641="Fora dos ciclos"),"CICLO_PC nao identificado",IF(OR(D4641="",D4641=0),"VALOR_PC vazio ou zero",IF(AND(G4641&lt;&gt;"Sim",G4641&lt;&gt;"Nao",G4641&lt;&gt;""),"PC_PAGO_A_CONTRATADA invalido",IF(AND(C4641&lt;&gt;"C0",IFERROR(INDEX(parametros!$A$2:$A$6,MATCH(C4641,parametros!$B$2:$B$6,0)),"")="Sim",IFERROR(INDEX(parametros!$H$2:$H$6,MATCH(C4641,parametros!$B$2:$B$6,0)),"")=""),"INICIO_EFEITO ausente: PC "&amp;A4641&amp;" - "&amp;C4641,IF(L4641="","EFEITO_PC nao calculado: PC "&amp;A4641&amp;" - "&amp;C4641,"OK")))))))))</f>
        <v/>
      </c>
      <c r="L4641" s="92" t="str">
        <f>IF(AND(A4641="",B4641="",D4641="",G4641=""),"",IF(OR(B4641="",NOT(ISNUMBER(B4641)),C4641="",C4641="Fora dos ciclos"),"",IF(C4641="C0","Nao",IF(IFERROR(INDEX(parametros!$A$2:$A$6,MATCH(C4641,parametros!$B$2:$B$6,0)),"")&lt;&gt;"Sim","Nao",IF(IFERROR(INDEX(parametros!$H$2:$H$6,MATCH(C4641,parametros!$B$2:$B$6,0)),"")="","",IF(B4641&gt;=IFERROR(INDEX(parametros!$H$2:$H$6,MATCH(C4641,parametros!$B$2:$B$6,0)),""),"Sim","Nao"))))))</f>
        <v/>
      </c>
      <c r="T4641" s="156"/>
      <c r="U4641" s="214" t="str">
        <f t="shared" si="366"/>
        <v/>
      </c>
      <c r="V4641" s="212" t="s">
        <v>50</v>
      </c>
      <c r="W4641" s="100" t="s">
        <v>168</v>
      </c>
      <c r="X4641" s="100" t="s">
        <v>169</v>
      </c>
      <c r="Y4641" s="101" t="s">
        <v>170</v>
      </c>
      <c r="Z4641" s="101" t="s">
        <v>171</v>
      </c>
      <c r="AA4641" s="101" t="s">
        <v>50</v>
      </c>
      <c r="AB4641" s="101" t="s">
        <v>172</v>
      </c>
      <c r="AC4641" s="102" t="s">
        <v>173</v>
      </c>
    </row>
    <row r="4642" spans="1:29" ht="25.5" customHeight="1" x14ac:dyDescent="0.35">
      <c r="A4642" s="392"/>
      <c r="B4642" s="393"/>
      <c r="C4642" s="99" t="str">
        <f>IF(B4642="","",IF(NOT(ISNUMBER(B4642)),"DATA_PC invalida",IF(NOT(ISNUMBER(parametros!$C$2)),"Fora dos ciclos",IF(OR(B4642&lt;parametros!$C$2,(YEAR(B4642)-YEAR(parametros!$C$2))*12+MONTH(B4642)-MONTH(parametros!$C$2)&gt;59),"Fora dos ciclos","C"&amp;INT(((YEAR(B4642)-YEAR(parametros!$C$2))*12+MONTH(B4642)-MONTH(parametros!$C$2))/12)))))</f>
        <v/>
      </c>
      <c r="D4642" s="394"/>
      <c r="E4642" s="78" t="str">
        <f>IF(C4642="","",IFERROR(VLOOKUP(C4642,parametros!$A$11:$E$15,5,0),""))</f>
        <v/>
      </c>
      <c r="F4642" s="79" t="str">
        <f t="shared" si="362"/>
        <v/>
      </c>
      <c r="G4642" s="395"/>
      <c r="H4642" s="91">
        <f t="shared" si="363"/>
        <v>0</v>
      </c>
      <c r="I4642" s="91" t="str">
        <f t="shared" si="364"/>
        <v/>
      </c>
      <c r="J4642" s="91" t="str">
        <f t="shared" si="365"/>
        <v/>
      </c>
      <c r="K4642" s="92" t="str">
        <f>IF(AND(A4642="",B4642="",D4642="",G4642=""),"",IF(AND(A4642&lt;&gt;"",COUNTIF($A$2:$A$5001,A4642)&gt;1),"NUMERO_PC duplicado",IF(B4642="","DATA_PC vazia",IF(NOT(ISNUMBER(B4642)),"DATA_PC invalida",IF(OR(C4642="",C4642="Fora dos ciclos"),"CICLO_PC nao identificado",IF(OR(D4642="",D4642=0),"VALOR_PC vazio ou zero",IF(AND(G4642&lt;&gt;"Sim",G4642&lt;&gt;"Nao",G4642&lt;&gt;""),"PC_PAGO_A_CONTRATADA invalido",IF(AND(C4642&lt;&gt;"C0",IFERROR(INDEX(parametros!$A$2:$A$6,MATCH(C4642,parametros!$B$2:$B$6,0)),"")="Sim",IFERROR(INDEX(parametros!$H$2:$H$6,MATCH(C4642,parametros!$B$2:$B$6,0)),"")=""),"INICIO_EFEITO ausente: PC "&amp;A4642&amp;" - "&amp;C4642,IF(L4642="","EFEITO_PC nao calculado: PC "&amp;A4642&amp;" - "&amp;C4642,"OK")))))))))</f>
        <v/>
      </c>
      <c r="L4642" s="92" t="str">
        <f>IF(AND(A4642="",B4642="",D4642="",G4642=""),"",IF(OR(B4642="",NOT(ISNUMBER(B4642)),C4642="",C4642="Fora dos ciclos"),"",IF(C4642="C0","Nao",IF(IFERROR(INDEX(parametros!$A$2:$A$6,MATCH(C4642,parametros!$B$2:$B$6,0)),"")&lt;&gt;"Sim","Nao",IF(IFERROR(INDEX(parametros!$H$2:$H$6,MATCH(C4642,parametros!$B$2:$B$6,0)),"")="","",IF(B4642&gt;=IFERROR(INDEX(parametros!$H$2:$H$6,MATCH(C4642,parametros!$B$2:$B$6,0)),""),"Sim","Nao"))))))</f>
        <v/>
      </c>
      <c r="T4642" s="156"/>
      <c r="U4642" s="214" t="str">
        <f t="shared" si="366"/>
        <v/>
      </c>
      <c r="V4642" s="212" t="s">
        <v>50</v>
      </c>
      <c r="W4642" s="100" t="s">
        <v>168</v>
      </c>
      <c r="X4642" s="100" t="s">
        <v>169</v>
      </c>
      <c r="Y4642" s="101" t="s">
        <v>170</v>
      </c>
      <c r="Z4642" s="101" t="s">
        <v>171</v>
      </c>
      <c r="AA4642" s="101" t="s">
        <v>50</v>
      </c>
      <c r="AB4642" s="101" t="s">
        <v>172</v>
      </c>
      <c r="AC4642" s="102" t="s">
        <v>173</v>
      </c>
    </row>
    <row r="4643" spans="1:29" ht="25.5" customHeight="1" x14ac:dyDescent="0.35">
      <c r="A4643" s="392"/>
      <c r="B4643" s="393"/>
      <c r="C4643" s="99" t="str">
        <f>IF(B4643="","",IF(NOT(ISNUMBER(B4643)),"DATA_PC invalida",IF(NOT(ISNUMBER(parametros!$C$2)),"Fora dos ciclos",IF(OR(B4643&lt;parametros!$C$2,(YEAR(B4643)-YEAR(parametros!$C$2))*12+MONTH(B4643)-MONTH(parametros!$C$2)&gt;59),"Fora dos ciclos","C"&amp;INT(((YEAR(B4643)-YEAR(parametros!$C$2))*12+MONTH(B4643)-MONTH(parametros!$C$2))/12)))))</f>
        <v/>
      </c>
      <c r="D4643" s="394"/>
      <c r="E4643" s="78" t="str">
        <f>IF(C4643="","",IFERROR(VLOOKUP(C4643,parametros!$A$11:$E$15,5,0),""))</f>
        <v/>
      </c>
      <c r="F4643" s="79" t="str">
        <f t="shared" si="362"/>
        <v/>
      </c>
      <c r="G4643" s="395"/>
      <c r="H4643" s="91">
        <f t="shared" si="363"/>
        <v>0</v>
      </c>
      <c r="I4643" s="91" t="str">
        <f t="shared" si="364"/>
        <v/>
      </c>
      <c r="J4643" s="91" t="str">
        <f t="shared" si="365"/>
        <v/>
      </c>
      <c r="K4643" s="92" t="str">
        <f>IF(AND(A4643="",B4643="",D4643="",G4643=""),"",IF(AND(A4643&lt;&gt;"",COUNTIF($A$2:$A$5001,A4643)&gt;1),"NUMERO_PC duplicado",IF(B4643="","DATA_PC vazia",IF(NOT(ISNUMBER(B4643)),"DATA_PC invalida",IF(OR(C4643="",C4643="Fora dos ciclos"),"CICLO_PC nao identificado",IF(OR(D4643="",D4643=0),"VALOR_PC vazio ou zero",IF(AND(G4643&lt;&gt;"Sim",G4643&lt;&gt;"Nao",G4643&lt;&gt;""),"PC_PAGO_A_CONTRATADA invalido",IF(AND(C4643&lt;&gt;"C0",IFERROR(INDEX(parametros!$A$2:$A$6,MATCH(C4643,parametros!$B$2:$B$6,0)),"")="Sim",IFERROR(INDEX(parametros!$H$2:$H$6,MATCH(C4643,parametros!$B$2:$B$6,0)),"")=""),"INICIO_EFEITO ausente: PC "&amp;A4643&amp;" - "&amp;C4643,IF(L4643="","EFEITO_PC nao calculado: PC "&amp;A4643&amp;" - "&amp;C4643,"OK")))))))))</f>
        <v/>
      </c>
      <c r="L4643" s="92" t="str">
        <f>IF(AND(A4643="",B4643="",D4643="",G4643=""),"",IF(OR(B4643="",NOT(ISNUMBER(B4643)),C4643="",C4643="Fora dos ciclos"),"",IF(C4643="C0","Nao",IF(IFERROR(INDEX(parametros!$A$2:$A$6,MATCH(C4643,parametros!$B$2:$B$6,0)),"")&lt;&gt;"Sim","Nao",IF(IFERROR(INDEX(parametros!$H$2:$H$6,MATCH(C4643,parametros!$B$2:$B$6,0)),"")="","",IF(B4643&gt;=IFERROR(INDEX(parametros!$H$2:$H$6,MATCH(C4643,parametros!$B$2:$B$6,0)),""),"Sim","Nao"))))))</f>
        <v/>
      </c>
      <c r="T4643" s="156"/>
      <c r="U4643" s="214" t="str">
        <f t="shared" si="366"/>
        <v/>
      </c>
      <c r="V4643" s="212" t="s">
        <v>50</v>
      </c>
      <c r="W4643" s="100" t="s">
        <v>168</v>
      </c>
      <c r="X4643" s="100" t="s">
        <v>169</v>
      </c>
      <c r="Y4643" s="101" t="s">
        <v>170</v>
      </c>
      <c r="Z4643" s="101" t="s">
        <v>171</v>
      </c>
      <c r="AA4643" s="101" t="s">
        <v>50</v>
      </c>
      <c r="AB4643" s="101" t="s">
        <v>172</v>
      </c>
      <c r="AC4643" s="102" t="s">
        <v>173</v>
      </c>
    </row>
    <row r="4644" spans="1:29" ht="25.5" customHeight="1" x14ac:dyDescent="0.35">
      <c r="A4644" s="392"/>
      <c r="B4644" s="393"/>
      <c r="C4644" s="99" t="str">
        <f>IF(B4644="","",IF(NOT(ISNUMBER(B4644)),"DATA_PC invalida",IF(NOT(ISNUMBER(parametros!$C$2)),"Fora dos ciclos",IF(OR(B4644&lt;parametros!$C$2,(YEAR(B4644)-YEAR(parametros!$C$2))*12+MONTH(B4644)-MONTH(parametros!$C$2)&gt;59),"Fora dos ciclos","C"&amp;INT(((YEAR(B4644)-YEAR(parametros!$C$2))*12+MONTH(B4644)-MONTH(parametros!$C$2))/12)))))</f>
        <v/>
      </c>
      <c r="D4644" s="394"/>
      <c r="E4644" s="78" t="str">
        <f>IF(C4644="","",IFERROR(VLOOKUP(C4644,parametros!$A$11:$E$15,5,0),""))</f>
        <v/>
      </c>
      <c r="F4644" s="79" t="str">
        <f t="shared" si="362"/>
        <v/>
      </c>
      <c r="G4644" s="395"/>
      <c r="H4644" s="91">
        <f t="shared" si="363"/>
        <v>0</v>
      </c>
      <c r="I4644" s="91" t="str">
        <f t="shared" si="364"/>
        <v/>
      </c>
      <c r="J4644" s="91" t="str">
        <f t="shared" si="365"/>
        <v/>
      </c>
      <c r="K4644" s="92" t="str">
        <f>IF(AND(A4644="",B4644="",D4644="",G4644=""),"",IF(AND(A4644&lt;&gt;"",COUNTIF($A$2:$A$5001,A4644)&gt;1),"NUMERO_PC duplicado",IF(B4644="","DATA_PC vazia",IF(NOT(ISNUMBER(B4644)),"DATA_PC invalida",IF(OR(C4644="",C4644="Fora dos ciclos"),"CICLO_PC nao identificado",IF(OR(D4644="",D4644=0),"VALOR_PC vazio ou zero",IF(AND(G4644&lt;&gt;"Sim",G4644&lt;&gt;"Nao",G4644&lt;&gt;""),"PC_PAGO_A_CONTRATADA invalido",IF(AND(C4644&lt;&gt;"C0",IFERROR(INDEX(parametros!$A$2:$A$6,MATCH(C4644,parametros!$B$2:$B$6,0)),"")="Sim",IFERROR(INDEX(parametros!$H$2:$H$6,MATCH(C4644,parametros!$B$2:$B$6,0)),"")=""),"INICIO_EFEITO ausente: PC "&amp;A4644&amp;" - "&amp;C4644,IF(L4644="","EFEITO_PC nao calculado: PC "&amp;A4644&amp;" - "&amp;C4644,"OK")))))))))</f>
        <v/>
      </c>
      <c r="L4644" s="92" t="str">
        <f>IF(AND(A4644="",B4644="",D4644="",G4644=""),"",IF(OR(B4644="",NOT(ISNUMBER(B4644)),C4644="",C4644="Fora dos ciclos"),"",IF(C4644="C0","Nao",IF(IFERROR(INDEX(parametros!$A$2:$A$6,MATCH(C4644,parametros!$B$2:$B$6,0)),"")&lt;&gt;"Sim","Nao",IF(IFERROR(INDEX(parametros!$H$2:$H$6,MATCH(C4644,parametros!$B$2:$B$6,0)),"")="","",IF(B4644&gt;=IFERROR(INDEX(parametros!$H$2:$H$6,MATCH(C4644,parametros!$B$2:$B$6,0)),""),"Sim","Nao"))))))</f>
        <v/>
      </c>
      <c r="T4644" s="156"/>
      <c r="U4644" s="214" t="str">
        <f t="shared" si="366"/>
        <v/>
      </c>
      <c r="V4644" s="212" t="s">
        <v>50</v>
      </c>
      <c r="W4644" s="100" t="s">
        <v>168</v>
      </c>
      <c r="X4644" s="100" t="s">
        <v>169</v>
      </c>
      <c r="Y4644" s="101" t="s">
        <v>170</v>
      </c>
      <c r="Z4644" s="101" t="s">
        <v>171</v>
      </c>
      <c r="AA4644" s="101" t="s">
        <v>50</v>
      </c>
      <c r="AB4644" s="101" t="s">
        <v>172</v>
      </c>
      <c r="AC4644" s="102" t="s">
        <v>173</v>
      </c>
    </row>
    <row r="4645" spans="1:29" ht="25.5" customHeight="1" x14ac:dyDescent="0.35">
      <c r="A4645" s="392"/>
      <c r="B4645" s="393"/>
      <c r="C4645" s="99" t="str">
        <f>IF(B4645="","",IF(NOT(ISNUMBER(B4645)),"DATA_PC invalida",IF(NOT(ISNUMBER(parametros!$C$2)),"Fora dos ciclos",IF(OR(B4645&lt;parametros!$C$2,(YEAR(B4645)-YEAR(parametros!$C$2))*12+MONTH(B4645)-MONTH(parametros!$C$2)&gt;59),"Fora dos ciclos","C"&amp;INT(((YEAR(B4645)-YEAR(parametros!$C$2))*12+MONTH(B4645)-MONTH(parametros!$C$2))/12)))))</f>
        <v/>
      </c>
      <c r="D4645" s="394"/>
      <c r="E4645" s="78" t="str">
        <f>IF(C4645="","",IFERROR(VLOOKUP(C4645,parametros!$A$11:$E$15,5,0),""))</f>
        <v/>
      </c>
      <c r="F4645" s="79" t="str">
        <f t="shared" si="362"/>
        <v/>
      </c>
      <c r="G4645" s="395"/>
      <c r="H4645" s="91">
        <f t="shared" si="363"/>
        <v>0</v>
      </c>
      <c r="I4645" s="91" t="str">
        <f t="shared" si="364"/>
        <v/>
      </c>
      <c r="J4645" s="91" t="str">
        <f t="shared" si="365"/>
        <v/>
      </c>
      <c r="K4645" s="92" t="str">
        <f>IF(AND(A4645="",B4645="",D4645="",G4645=""),"",IF(AND(A4645&lt;&gt;"",COUNTIF($A$2:$A$5001,A4645)&gt;1),"NUMERO_PC duplicado",IF(B4645="","DATA_PC vazia",IF(NOT(ISNUMBER(B4645)),"DATA_PC invalida",IF(OR(C4645="",C4645="Fora dos ciclos"),"CICLO_PC nao identificado",IF(OR(D4645="",D4645=0),"VALOR_PC vazio ou zero",IF(AND(G4645&lt;&gt;"Sim",G4645&lt;&gt;"Nao",G4645&lt;&gt;""),"PC_PAGO_A_CONTRATADA invalido",IF(AND(C4645&lt;&gt;"C0",IFERROR(INDEX(parametros!$A$2:$A$6,MATCH(C4645,parametros!$B$2:$B$6,0)),"")="Sim",IFERROR(INDEX(parametros!$H$2:$H$6,MATCH(C4645,parametros!$B$2:$B$6,0)),"")=""),"INICIO_EFEITO ausente: PC "&amp;A4645&amp;" - "&amp;C4645,IF(L4645="","EFEITO_PC nao calculado: PC "&amp;A4645&amp;" - "&amp;C4645,"OK")))))))))</f>
        <v/>
      </c>
      <c r="L4645" s="92" t="str">
        <f>IF(AND(A4645="",B4645="",D4645="",G4645=""),"",IF(OR(B4645="",NOT(ISNUMBER(B4645)),C4645="",C4645="Fora dos ciclos"),"",IF(C4645="C0","Nao",IF(IFERROR(INDEX(parametros!$A$2:$A$6,MATCH(C4645,parametros!$B$2:$B$6,0)),"")&lt;&gt;"Sim","Nao",IF(IFERROR(INDEX(parametros!$H$2:$H$6,MATCH(C4645,parametros!$B$2:$B$6,0)),"")="","",IF(B4645&gt;=IFERROR(INDEX(parametros!$H$2:$H$6,MATCH(C4645,parametros!$B$2:$B$6,0)),""),"Sim","Nao"))))))</f>
        <v/>
      </c>
      <c r="T4645" s="156"/>
      <c r="U4645" s="214" t="str">
        <f t="shared" si="366"/>
        <v/>
      </c>
      <c r="V4645" s="212" t="s">
        <v>50</v>
      </c>
      <c r="W4645" s="100" t="s">
        <v>168</v>
      </c>
      <c r="X4645" s="100" t="s">
        <v>169</v>
      </c>
      <c r="Y4645" s="101" t="s">
        <v>170</v>
      </c>
      <c r="Z4645" s="101" t="s">
        <v>171</v>
      </c>
      <c r="AA4645" s="101" t="s">
        <v>50</v>
      </c>
      <c r="AB4645" s="101" t="s">
        <v>172</v>
      </c>
      <c r="AC4645" s="102" t="s">
        <v>173</v>
      </c>
    </row>
    <row r="4646" spans="1:29" ht="25.5" customHeight="1" x14ac:dyDescent="0.35">
      <c r="A4646" s="392"/>
      <c r="B4646" s="393"/>
      <c r="C4646" s="99" t="str">
        <f>IF(B4646="","",IF(NOT(ISNUMBER(B4646)),"DATA_PC invalida",IF(NOT(ISNUMBER(parametros!$C$2)),"Fora dos ciclos",IF(OR(B4646&lt;parametros!$C$2,(YEAR(B4646)-YEAR(parametros!$C$2))*12+MONTH(B4646)-MONTH(parametros!$C$2)&gt;59),"Fora dos ciclos","C"&amp;INT(((YEAR(B4646)-YEAR(parametros!$C$2))*12+MONTH(B4646)-MONTH(parametros!$C$2))/12)))))</f>
        <v/>
      </c>
      <c r="D4646" s="394"/>
      <c r="E4646" s="78" t="str">
        <f>IF(C4646="","",IFERROR(VLOOKUP(C4646,parametros!$A$11:$E$15,5,0),""))</f>
        <v/>
      </c>
      <c r="F4646" s="79" t="str">
        <f t="shared" si="362"/>
        <v/>
      </c>
      <c r="G4646" s="395"/>
      <c r="H4646" s="91">
        <f t="shared" si="363"/>
        <v>0</v>
      </c>
      <c r="I4646" s="91" t="str">
        <f t="shared" si="364"/>
        <v/>
      </c>
      <c r="J4646" s="91" t="str">
        <f t="shared" si="365"/>
        <v/>
      </c>
      <c r="K4646" s="92" t="str">
        <f>IF(AND(A4646="",B4646="",D4646="",G4646=""),"",IF(AND(A4646&lt;&gt;"",COUNTIF($A$2:$A$5001,A4646)&gt;1),"NUMERO_PC duplicado",IF(B4646="","DATA_PC vazia",IF(NOT(ISNUMBER(B4646)),"DATA_PC invalida",IF(OR(C4646="",C4646="Fora dos ciclos"),"CICLO_PC nao identificado",IF(OR(D4646="",D4646=0),"VALOR_PC vazio ou zero",IF(AND(G4646&lt;&gt;"Sim",G4646&lt;&gt;"Nao",G4646&lt;&gt;""),"PC_PAGO_A_CONTRATADA invalido",IF(AND(C4646&lt;&gt;"C0",IFERROR(INDEX(parametros!$A$2:$A$6,MATCH(C4646,parametros!$B$2:$B$6,0)),"")="Sim",IFERROR(INDEX(parametros!$H$2:$H$6,MATCH(C4646,parametros!$B$2:$B$6,0)),"")=""),"INICIO_EFEITO ausente: PC "&amp;A4646&amp;" - "&amp;C4646,IF(L4646="","EFEITO_PC nao calculado: PC "&amp;A4646&amp;" - "&amp;C4646,"OK")))))))))</f>
        <v/>
      </c>
      <c r="L4646" s="92" t="str">
        <f>IF(AND(A4646="",B4646="",D4646="",G4646=""),"",IF(OR(B4646="",NOT(ISNUMBER(B4646)),C4646="",C4646="Fora dos ciclos"),"",IF(C4646="C0","Nao",IF(IFERROR(INDEX(parametros!$A$2:$A$6,MATCH(C4646,parametros!$B$2:$B$6,0)),"")&lt;&gt;"Sim","Nao",IF(IFERROR(INDEX(parametros!$H$2:$H$6,MATCH(C4646,parametros!$B$2:$B$6,0)),"")="","",IF(B4646&gt;=IFERROR(INDEX(parametros!$H$2:$H$6,MATCH(C4646,parametros!$B$2:$B$6,0)),""),"Sim","Nao"))))))</f>
        <v/>
      </c>
      <c r="T4646" s="156"/>
      <c r="U4646" s="214" t="str">
        <f t="shared" si="366"/>
        <v/>
      </c>
      <c r="V4646" s="212" t="s">
        <v>50</v>
      </c>
      <c r="W4646" s="100" t="s">
        <v>168</v>
      </c>
      <c r="X4646" s="100" t="s">
        <v>169</v>
      </c>
      <c r="Y4646" s="101" t="s">
        <v>170</v>
      </c>
      <c r="Z4646" s="101" t="s">
        <v>171</v>
      </c>
      <c r="AA4646" s="101" t="s">
        <v>50</v>
      </c>
      <c r="AB4646" s="101" t="s">
        <v>172</v>
      </c>
      <c r="AC4646" s="102" t="s">
        <v>173</v>
      </c>
    </row>
    <row r="4647" spans="1:29" ht="25.5" customHeight="1" x14ac:dyDescent="0.35">
      <c r="A4647" s="392"/>
      <c r="B4647" s="393"/>
      <c r="C4647" s="99" t="str">
        <f>IF(B4647="","",IF(NOT(ISNUMBER(B4647)),"DATA_PC invalida",IF(NOT(ISNUMBER(parametros!$C$2)),"Fora dos ciclos",IF(OR(B4647&lt;parametros!$C$2,(YEAR(B4647)-YEAR(parametros!$C$2))*12+MONTH(B4647)-MONTH(parametros!$C$2)&gt;59),"Fora dos ciclos","C"&amp;INT(((YEAR(B4647)-YEAR(parametros!$C$2))*12+MONTH(B4647)-MONTH(parametros!$C$2))/12)))))</f>
        <v/>
      </c>
      <c r="D4647" s="394"/>
      <c r="E4647" s="78" t="str">
        <f>IF(C4647="","",IFERROR(VLOOKUP(C4647,parametros!$A$11:$E$15,5,0),""))</f>
        <v/>
      </c>
      <c r="F4647" s="79" t="str">
        <f t="shared" si="362"/>
        <v/>
      </c>
      <c r="G4647" s="395"/>
      <c r="H4647" s="91">
        <f t="shared" si="363"/>
        <v>0</v>
      </c>
      <c r="I4647" s="91" t="str">
        <f t="shared" si="364"/>
        <v/>
      </c>
      <c r="J4647" s="91" t="str">
        <f t="shared" si="365"/>
        <v/>
      </c>
      <c r="K4647" s="92" t="str">
        <f>IF(AND(A4647="",B4647="",D4647="",G4647=""),"",IF(AND(A4647&lt;&gt;"",COUNTIF($A$2:$A$5001,A4647)&gt;1),"NUMERO_PC duplicado",IF(B4647="","DATA_PC vazia",IF(NOT(ISNUMBER(B4647)),"DATA_PC invalida",IF(OR(C4647="",C4647="Fora dos ciclos"),"CICLO_PC nao identificado",IF(OR(D4647="",D4647=0),"VALOR_PC vazio ou zero",IF(AND(G4647&lt;&gt;"Sim",G4647&lt;&gt;"Nao",G4647&lt;&gt;""),"PC_PAGO_A_CONTRATADA invalido",IF(AND(C4647&lt;&gt;"C0",IFERROR(INDEX(parametros!$A$2:$A$6,MATCH(C4647,parametros!$B$2:$B$6,0)),"")="Sim",IFERROR(INDEX(parametros!$H$2:$H$6,MATCH(C4647,parametros!$B$2:$B$6,0)),"")=""),"INICIO_EFEITO ausente: PC "&amp;A4647&amp;" - "&amp;C4647,IF(L4647="","EFEITO_PC nao calculado: PC "&amp;A4647&amp;" - "&amp;C4647,"OK")))))))))</f>
        <v/>
      </c>
      <c r="L4647" s="92" t="str">
        <f>IF(AND(A4647="",B4647="",D4647="",G4647=""),"",IF(OR(B4647="",NOT(ISNUMBER(B4647)),C4647="",C4647="Fora dos ciclos"),"",IF(C4647="C0","Nao",IF(IFERROR(INDEX(parametros!$A$2:$A$6,MATCH(C4647,parametros!$B$2:$B$6,0)),"")&lt;&gt;"Sim","Nao",IF(IFERROR(INDEX(parametros!$H$2:$H$6,MATCH(C4647,parametros!$B$2:$B$6,0)),"")="","",IF(B4647&gt;=IFERROR(INDEX(parametros!$H$2:$H$6,MATCH(C4647,parametros!$B$2:$B$6,0)),""),"Sim","Nao"))))))</f>
        <v/>
      </c>
      <c r="T4647" s="156"/>
      <c r="U4647" s="214" t="str">
        <f t="shared" si="366"/>
        <v/>
      </c>
      <c r="V4647" s="212" t="s">
        <v>50</v>
      </c>
      <c r="W4647" s="100" t="s">
        <v>168</v>
      </c>
      <c r="X4647" s="100" t="s">
        <v>169</v>
      </c>
      <c r="Y4647" s="101" t="s">
        <v>170</v>
      </c>
      <c r="Z4647" s="101" t="s">
        <v>171</v>
      </c>
      <c r="AA4647" s="101" t="s">
        <v>50</v>
      </c>
      <c r="AB4647" s="101" t="s">
        <v>172</v>
      </c>
      <c r="AC4647" s="102" t="s">
        <v>173</v>
      </c>
    </row>
    <row r="4648" spans="1:29" ht="25.5" customHeight="1" x14ac:dyDescent="0.35">
      <c r="A4648" s="392"/>
      <c r="B4648" s="393"/>
      <c r="C4648" s="99" t="str">
        <f>IF(B4648="","",IF(NOT(ISNUMBER(B4648)),"DATA_PC invalida",IF(NOT(ISNUMBER(parametros!$C$2)),"Fora dos ciclos",IF(OR(B4648&lt;parametros!$C$2,(YEAR(B4648)-YEAR(parametros!$C$2))*12+MONTH(B4648)-MONTH(parametros!$C$2)&gt;59),"Fora dos ciclos","C"&amp;INT(((YEAR(B4648)-YEAR(parametros!$C$2))*12+MONTH(B4648)-MONTH(parametros!$C$2))/12)))))</f>
        <v/>
      </c>
      <c r="D4648" s="394"/>
      <c r="E4648" s="78" t="str">
        <f>IF(C4648="","",IFERROR(VLOOKUP(C4648,parametros!$A$11:$E$15,5,0),""))</f>
        <v/>
      </c>
      <c r="F4648" s="79" t="str">
        <f t="shared" si="362"/>
        <v/>
      </c>
      <c r="G4648" s="395"/>
      <c r="H4648" s="91">
        <f t="shared" si="363"/>
        <v>0</v>
      </c>
      <c r="I4648" s="91" t="str">
        <f t="shared" si="364"/>
        <v/>
      </c>
      <c r="J4648" s="91" t="str">
        <f t="shared" si="365"/>
        <v/>
      </c>
      <c r="K4648" s="92" t="str">
        <f>IF(AND(A4648="",B4648="",D4648="",G4648=""),"",IF(AND(A4648&lt;&gt;"",COUNTIF($A$2:$A$5001,A4648)&gt;1),"NUMERO_PC duplicado",IF(B4648="","DATA_PC vazia",IF(NOT(ISNUMBER(B4648)),"DATA_PC invalida",IF(OR(C4648="",C4648="Fora dos ciclos"),"CICLO_PC nao identificado",IF(OR(D4648="",D4648=0),"VALOR_PC vazio ou zero",IF(AND(G4648&lt;&gt;"Sim",G4648&lt;&gt;"Nao",G4648&lt;&gt;""),"PC_PAGO_A_CONTRATADA invalido",IF(AND(C4648&lt;&gt;"C0",IFERROR(INDEX(parametros!$A$2:$A$6,MATCH(C4648,parametros!$B$2:$B$6,0)),"")="Sim",IFERROR(INDEX(parametros!$H$2:$H$6,MATCH(C4648,parametros!$B$2:$B$6,0)),"")=""),"INICIO_EFEITO ausente: PC "&amp;A4648&amp;" - "&amp;C4648,IF(L4648="","EFEITO_PC nao calculado: PC "&amp;A4648&amp;" - "&amp;C4648,"OK")))))))))</f>
        <v/>
      </c>
      <c r="L4648" s="92" t="str">
        <f>IF(AND(A4648="",B4648="",D4648="",G4648=""),"",IF(OR(B4648="",NOT(ISNUMBER(B4648)),C4648="",C4648="Fora dos ciclos"),"",IF(C4648="C0","Nao",IF(IFERROR(INDEX(parametros!$A$2:$A$6,MATCH(C4648,parametros!$B$2:$B$6,0)),"")&lt;&gt;"Sim","Nao",IF(IFERROR(INDEX(parametros!$H$2:$H$6,MATCH(C4648,parametros!$B$2:$B$6,0)),"")="","",IF(B4648&gt;=IFERROR(INDEX(parametros!$H$2:$H$6,MATCH(C4648,parametros!$B$2:$B$6,0)),""),"Sim","Nao"))))))</f>
        <v/>
      </c>
      <c r="T4648" s="156"/>
      <c r="U4648" s="214" t="str">
        <f t="shared" si="366"/>
        <v/>
      </c>
      <c r="V4648" s="212" t="s">
        <v>50</v>
      </c>
      <c r="W4648" s="100" t="s">
        <v>168</v>
      </c>
      <c r="X4648" s="100" t="s">
        <v>169</v>
      </c>
      <c r="Y4648" s="101" t="s">
        <v>170</v>
      </c>
      <c r="Z4648" s="101" t="s">
        <v>171</v>
      </c>
      <c r="AA4648" s="101" t="s">
        <v>50</v>
      </c>
      <c r="AB4648" s="101" t="s">
        <v>172</v>
      </c>
      <c r="AC4648" s="102" t="s">
        <v>173</v>
      </c>
    </row>
    <row r="4649" spans="1:29" ht="25.5" customHeight="1" x14ac:dyDescent="0.35">
      <c r="A4649" s="392"/>
      <c r="B4649" s="393"/>
      <c r="C4649" s="99" t="str">
        <f>IF(B4649="","",IF(NOT(ISNUMBER(B4649)),"DATA_PC invalida",IF(NOT(ISNUMBER(parametros!$C$2)),"Fora dos ciclos",IF(OR(B4649&lt;parametros!$C$2,(YEAR(B4649)-YEAR(parametros!$C$2))*12+MONTH(B4649)-MONTH(parametros!$C$2)&gt;59),"Fora dos ciclos","C"&amp;INT(((YEAR(B4649)-YEAR(parametros!$C$2))*12+MONTH(B4649)-MONTH(parametros!$C$2))/12)))))</f>
        <v/>
      </c>
      <c r="D4649" s="394"/>
      <c r="E4649" s="78" t="str">
        <f>IF(C4649="","",IFERROR(VLOOKUP(C4649,parametros!$A$11:$E$15,5,0),""))</f>
        <v/>
      </c>
      <c r="F4649" s="79" t="str">
        <f t="shared" si="362"/>
        <v/>
      </c>
      <c r="G4649" s="395"/>
      <c r="H4649" s="91">
        <f t="shared" si="363"/>
        <v>0</v>
      </c>
      <c r="I4649" s="91" t="str">
        <f t="shared" si="364"/>
        <v/>
      </c>
      <c r="J4649" s="91" t="str">
        <f t="shared" si="365"/>
        <v/>
      </c>
      <c r="K4649" s="92" t="str">
        <f>IF(AND(A4649="",B4649="",D4649="",G4649=""),"",IF(AND(A4649&lt;&gt;"",COUNTIF($A$2:$A$5001,A4649)&gt;1),"NUMERO_PC duplicado",IF(B4649="","DATA_PC vazia",IF(NOT(ISNUMBER(B4649)),"DATA_PC invalida",IF(OR(C4649="",C4649="Fora dos ciclos"),"CICLO_PC nao identificado",IF(OR(D4649="",D4649=0),"VALOR_PC vazio ou zero",IF(AND(G4649&lt;&gt;"Sim",G4649&lt;&gt;"Nao",G4649&lt;&gt;""),"PC_PAGO_A_CONTRATADA invalido",IF(AND(C4649&lt;&gt;"C0",IFERROR(INDEX(parametros!$A$2:$A$6,MATCH(C4649,parametros!$B$2:$B$6,0)),"")="Sim",IFERROR(INDEX(parametros!$H$2:$H$6,MATCH(C4649,parametros!$B$2:$B$6,0)),"")=""),"INICIO_EFEITO ausente: PC "&amp;A4649&amp;" - "&amp;C4649,IF(L4649="","EFEITO_PC nao calculado: PC "&amp;A4649&amp;" - "&amp;C4649,"OK")))))))))</f>
        <v/>
      </c>
      <c r="L4649" s="92" t="str">
        <f>IF(AND(A4649="",B4649="",D4649="",G4649=""),"",IF(OR(B4649="",NOT(ISNUMBER(B4649)),C4649="",C4649="Fora dos ciclos"),"",IF(C4649="C0","Nao",IF(IFERROR(INDEX(parametros!$A$2:$A$6,MATCH(C4649,parametros!$B$2:$B$6,0)),"")&lt;&gt;"Sim","Nao",IF(IFERROR(INDEX(parametros!$H$2:$H$6,MATCH(C4649,parametros!$B$2:$B$6,0)),"")="","",IF(B4649&gt;=IFERROR(INDEX(parametros!$H$2:$H$6,MATCH(C4649,parametros!$B$2:$B$6,0)),""),"Sim","Nao"))))))</f>
        <v/>
      </c>
      <c r="T4649" s="156"/>
      <c r="U4649" s="214" t="str">
        <f t="shared" si="366"/>
        <v/>
      </c>
      <c r="V4649" s="212" t="s">
        <v>50</v>
      </c>
      <c r="W4649" s="100" t="s">
        <v>168</v>
      </c>
      <c r="X4649" s="100" t="s">
        <v>169</v>
      </c>
      <c r="Y4649" s="101" t="s">
        <v>170</v>
      </c>
      <c r="Z4649" s="101" t="s">
        <v>171</v>
      </c>
      <c r="AA4649" s="101" t="s">
        <v>50</v>
      </c>
      <c r="AB4649" s="101" t="s">
        <v>172</v>
      </c>
      <c r="AC4649" s="102" t="s">
        <v>173</v>
      </c>
    </row>
    <row r="4650" spans="1:29" ht="25.5" customHeight="1" x14ac:dyDescent="0.35">
      <c r="A4650" s="392"/>
      <c r="B4650" s="393"/>
      <c r="C4650" s="99" t="str">
        <f>IF(B4650="","",IF(NOT(ISNUMBER(B4650)),"DATA_PC invalida",IF(NOT(ISNUMBER(parametros!$C$2)),"Fora dos ciclos",IF(OR(B4650&lt;parametros!$C$2,(YEAR(B4650)-YEAR(parametros!$C$2))*12+MONTH(B4650)-MONTH(parametros!$C$2)&gt;59),"Fora dos ciclos","C"&amp;INT(((YEAR(B4650)-YEAR(parametros!$C$2))*12+MONTH(B4650)-MONTH(parametros!$C$2))/12)))))</f>
        <v/>
      </c>
      <c r="D4650" s="394"/>
      <c r="E4650" s="78" t="str">
        <f>IF(C4650="","",IFERROR(VLOOKUP(C4650,parametros!$A$11:$E$15,5,0),""))</f>
        <v/>
      </c>
      <c r="F4650" s="79" t="str">
        <f t="shared" si="362"/>
        <v/>
      </c>
      <c r="G4650" s="395"/>
      <c r="H4650" s="91">
        <f t="shared" si="363"/>
        <v>0</v>
      </c>
      <c r="I4650" s="91" t="str">
        <f t="shared" si="364"/>
        <v/>
      </c>
      <c r="J4650" s="91" t="str">
        <f t="shared" si="365"/>
        <v/>
      </c>
      <c r="K4650" s="92" t="str">
        <f>IF(AND(A4650="",B4650="",D4650="",G4650=""),"",IF(AND(A4650&lt;&gt;"",COUNTIF($A$2:$A$5001,A4650)&gt;1),"NUMERO_PC duplicado",IF(B4650="","DATA_PC vazia",IF(NOT(ISNUMBER(B4650)),"DATA_PC invalida",IF(OR(C4650="",C4650="Fora dos ciclos"),"CICLO_PC nao identificado",IF(OR(D4650="",D4650=0),"VALOR_PC vazio ou zero",IF(AND(G4650&lt;&gt;"Sim",G4650&lt;&gt;"Nao",G4650&lt;&gt;""),"PC_PAGO_A_CONTRATADA invalido",IF(AND(C4650&lt;&gt;"C0",IFERROR(INDEX(parametros!$A$2:$A$6,MATCH(C4650,parametros!$B$2:$B$6,0)),"")="Sim",IFERROR(INDEX(parametros!$H$2:$H$6,MATCH(C4650,parametros!$B$2:$B$6,0)),"")=""),"INICIO_EFEITO ausente: PC "&amp;A4650&amp;" - "&amp;C4650,IF(L4650="","EFEITO_PC nao calculado: PC "&amp;A4650&amp;" - "&amp;C4650,"OK")))))))))</f>
        <v/>
      </c>
      <c r="L4650" s="92" t="str">
        <f>IF(AND(A4650="",B4650="",D4650="",G4650=""),"",IF(OR(B4650="",NOT(ISNUMBER(B4650)),C4650="",C4650="Fora dos ciclos"),"",IF(C4650="C0","Nao",IF(IFERROR(INDEX(parametros!$A$2:$A$6,MATCH(C4650,parametros!$B$2:$B$6,0)),"")&lt;&gt;"Sim","Nao",IF(IFERROR(INDEX(parametros!$H$2:$H$6,MATCH(C4650,parametros!$B$2:$B$6,0)),"")="","",IF(B4650&gt;=IFERROR(INDEX(parametros!$H$2:$H$6,MATCH(C4650,parametros!$B$2:$B$6,0)),""),"Sim","Nao"))))))</f>
        <v/>
      </c>
      <c r="T4650" s="156"/>
      <c r="U4650" s="214" t="str">
        <f t="shared" si="366"/>
        <v/>
      </c>
      <c r="V4650" s="212" t="s">
        <v>50</v>
      </c>
      <c r="W4650" s="100" t="s">
        <v>168</v>
      </c>
      <c r="X4650" s="100" t="s">
        <v>169</v>
      </c>
      <c r="Y4650" s="101" t="s">
        <v>170</v>
      </c>
      <c r="Z4650" s="101" t="s">
        <v>171</v>
      </c>
      <c r="AA4650" s="101" t="s">
        <v>50</v>
      </c>
      <c r="AB4650" s="101" t="s">
        <v>172</v>
      </c>
      <c r="AC4650" s="102" t="s">
        <v>173</v>
      </c>
    </row>
    <row r="4651" spans="1:29" ht="25.5" customHeight="1" x14ac:dyDescent="0.35">
      <c r="A4651" s="392"/>
      <c r="B4651" s="393"/>
      <c r="C4651" s="99" t="str">
        <f>IF(B4651="","",IF(NOT(ISNUMBER(B4651)),"DATA_PC invalida",IF(NOT(ISNUMBER(parametros!$C$2)),"Fora dos ciclos",IF(OR(B4651&lt;parametros!$C$2,(YEAR(B4651)-YEAR(parametros!$C$2))*12+MONTH(B4651)-MONTH(parametros!$C$2)&gt;59),"Fora dos ciclos","C"&amp;INT(((YEAR(B4651)-YEAR(parametros!$C$2))*12+MONTH(B4651)-MONTH(parametros!$C$2))/12)))))</f>
        <v/>
      </c>
      <c r="D4651" s="394"/>
      <c r="E4651" s="78" t="str">
        <f>IF(C4651="","",IFERROR(VLOOKUP(C4651,parametros!$A$11:$E$15,5,0),""))</f>
        <v/>
      </c>
      <c r="F4651" s="79" t="str">
        <f t="shared" si="362"/>
        <v/>
      </c>
      <c r="G4651" s="395"/>
      <c r="H4651" s="91">
        <f t="shared" si="363"/>
        <v>0</v>
      </c>
      <c r="I4651" s="91" t="str">
        <f t="shared" si="364"/>
        <v/>
      </c>
      <c r="J4651" s="91" t="str">
        <f t="shared" si="365"/>
        <v/>
      </c>
      <c r="K4651" s="92" t="str">
        <f>IF(AND(A4651="",B4651="",D4651="",G4651=""),"",IF(AND(A4651&lt;&gt;"",COUNTIF($A$2:$A$5001,A4651)&gt;1),"NUMERO_PC duplicado",IF(B4651="","DATA_PC vazia",IF(NOT(ISNUMBER(B4651)),"DATA_PC invalida",IF(OR(C4651="",C4651="Fora dos ciclos"),"CICLO_PC nao identificado",IF(OR(D4651="",D4651=0),"VALOR_PC vazio ou zero",IF(AND(G4651&lt;&gt;"Sim",G4651&lt;&gt;"Nao",G4651&lt;&gt;""),"PC_PAGO_A_CONTRATADA invalido",IF(AND(C4651&lt;&gt;"C0",IFERROR(INDEX(parametros!$A$2:$A$6,MATCH(C4651,parametros!$B$2:$B$6,0)),"")="Sim",IFERROR(INDEX(parametros!$H$2:$H$6,MATCH(C4651,parametros!$B$2:$B$6,0)),"")=""),"INICIO_EFEITO ausente: PC "&amp;A4651&amp;" - "&amp;C4651,IF(L4651="","EFEITO_PC nao calculado: PC "&amp;A4651&amp;" - "&amp;C4651,"OK")))))))))</f>
        <v/>
      </c>
      <c r="L4651" s="92" t="str">
        <f>IF(AND(A4651="",B4651="",D4651="",G4651=""),"",IF(OR(B4651="",NOT(ISNUMBER(B4651)),C4651="",C4651="Fora dos ciclos"),"",IF(C4651="C0","Nao",IF(IFERROR(INDEX(parametros!$A$2:$A$6,MATCH(C4651,parametros!$B$2:$B$6,0)),"")&lt;&gt;"Sim","Nao",IF(IFERROR(INDEX(parametros!$H$2:$H$6,MATCH(C4651,parametros!$B$2:$B$6,0)),"")="","",IF(B4651&gt;=IFERROR(INDEX(parametros!$H$2:$H$6,MATCH(C4651,parametros!$B$2:$B$6,0)),""),"Sim","Nao"))))))</f>
        <v/>
      </c>
      <c r="T4651" s="156"/>
      <c r="U4651" s="214" t="str">
        <f t="shared" si="366"/>
        <v/>
      </c>
      <c r="V4651" s="212" t="s">
        <v>50</v>
      </c>
      <c r="W4651" s="100" t="s">
        <v>168</v>
      </c>
      <c r="X4651" s="100" t="s">
        <v>169</v>
      </c>
      <c r="Y4651" s="101" t="s">
        <v>170</v>
      </c>
      <c r="Z4651" s="101" t="s">
        <v>171</v>
      </c>
      <c r="AA4651" s="101" t="s">
        <v>50</v>
      </c>
      <c r="AB4651" s="101" t="s">
        <v>172</v>
      </c>
      <c r="AC4651" s="102" t="s">
        <v>173</v>
      </c>
    </row>
    <row r="4652" spans="1:29" ht="25.5" customHeight="1" x14ac:dyDescent="0.35">
      <c r="A4652" s="392"/>
      <c r="B4652" s="393"/>
      <c r="C4652" s="99" t="str">
        <f>IF(B4652="","",IF(NOT(ISNUMBER(B4652)),"DATA_PC invalida",IF(NOT(ISNUMBER(parametros!$C$2)),"Fora dos ciclos",IF(OR(B4652&lt;parametros!$C$2,(YEAR(B4652)-YEAR(parametros!$C$2))*12+MONTH(B4652)-MONTH(parametros!$C$2)&gt;59),"Fora dos ciclos","C"&amp;INT(((YEAR(B4652)-YEAR(parametros!$C$2))*12+MONTH(B4652)-MONTH(parametros!$C$2))/12)))))</f>
        <v/>
      </c>
      <c r="D4652" s="394"/>
      <c r="E4652" s="78" t="str">
        <f>IF(C4652="","",IFERROR(VLOOKUP(C4652,parametros!$A$11:$E$15,5,0),""))</f>
        <v/>
      </c>
      <c r="F4652" s="79" t="str">
        <f t="shared" si="362"/>
        <v/>
      </c>
      <c r="G4652" s="395"/>
      <c r="H4652" s="91">
        <f t="shared" si="363"/>
        <v>0</v>
      </c>
      <c r="I4652" s="91" t="str">
        <f t="shared" si="364"/>
        <v/>
      </c>
      <c r="J4652" s="91" t="str">
        <f t="shared" si="365"/>
        <v/>
      </c>
      <c r="K4652" s="92" t="str">
        <f>IF(AND(A4652="",B4652="",D4652="",G4652=""),"",IF(AND(A4652&lt;&gt;"",COUNTIF($A$2:$A$5001,A4652)&gt;1),"NUMERO_PC duplicado",IF(B4652="","DATA_PC vazia",IF(NOT(ISNUMBER(B4652)),"DATA_PC invalida",IF(OR(C4652="",C4652="Fora dos ciclos"),"CICLO_PC nao identificado",IF(OR(D4652="",D4652=0),"VALOR_PC vazio ou zero",IF(AND(G4652&lt;&gt;"Sim",G4652&lt;&gt;"Nao",G4652&lt;&gt;""),"PC_PAGO_A_CONTRATADA invalido",IF(AND(C4652&lt;&gt;"C0",IFERROR(INDEX(parametros!$A$2:$A$6,MATCH(C4652,parametros!$B$2:$B$6,0)),"")="Sim",IFERROR(INDEX(parametros!$H$2:$H$6,MATCH(C4652,parametros!$B$2:$B$6,0)),"")=""),"INICIO_EFEITO ausente: PC "&amp;A4652&amp;" - "&amp;C4652,IF(L4652="","EFEITO_PC nao calculado: PC "&amp;A4652&amp;" - "&amp;C4652,"OK")))))))))</f>
        <v/>
      </c>
      <c r="L4652" s="92" t="str">
        <f>IF(AND(A4652="",B4652="",D4652="",G4652=""),"",IF(OR(B4652="",NOT(ISNUMBER(B4652)),C4652="",C4652="Fora dos ciclos"),"",IF(C4652="C0","Nao",IF(IFERROR(INDEX(parametros!$A$2:$A$6,MATCH(C4652,parametros!$B$2:$B$6,0)),"")&lt;&gt;"Sim","Nao",IF(IFERROR(INDEX(parametros!$H$2:$H$6,MATCH(C4652,parametros!$B$2:$B$6,0)),"")="","",IF(B4652&gt;=IFERROR(INDEX(parametros!$H$2:$H$6,MATCH(C4652,parametros!$B$2:$B$6,0)),""),"Sim","Nao"))))))</f>
        <v/>
      </c>
      <c r="T4652" s="156"/>
      <c r="U4652" s="214" t="str">
        <f t="shared" si="366"/>
        <v/>
      </c>
      <c r="V4652" s="212" t="s">
        <v>50</v>
      </c>
      <c r="W4652" s="100" t="s">
        <v>168</v>
      </c>
      <c r="X4652" s="100" t="s">
        <v>169</v>
      </c>
      <c r="Y4652" s="101" t="s">
        <v>170</v>
      </c>
      <c r="Z4652" s="101" t="s">
        <v>171</v>
      </c>
      <c r="AA4652" s="101" t="s">
        <v>50</v>
      </c>
      <c r="AB4652" s="101" t="s">
        <v>172</v>
      </c>
      <c r="AC4652" s="102" t="s">
        <v>173</v>
      </c>
    </row>
    <row r="4653" spans="1:29" ht="25.5" customHeight="1" x14ac:dyDescent="0.35">
      <c r="A4653" s="392"/>
      <c r="B4653" s="393"/>
      <c r="C4653" s="99" t="str">
        <f>IF(B4653="","",IF(NOT(ISNUMBER(B4653)),"DATA_PC invalida",IF(NOT(ISNUMBER(parametros!$C$2)),"Fora dos ciclos",IF(OR(B4653&lt;parametros!$C$2,(YEAR(B4653)-YEAR(parametros!$C$2))*12+MONTH(B4653)-MONTH(parametros!$C$2)&gt;59),"Fora dos ciclos","C"&amp;INT(((YEAR(B4653)-YEAR(parametros!$C$2))*12+MONTH(B4653)-MONTH(parametros!$C$2))/12)))))</f>
        <v/>
      </c>
      <c r="D4653" s="394"/>
      <c r="E4653" s="78" t="str">
        <f>IF(C4653="","",IFERROR(VLOOKUP(C4653,parametros!$A$11:$E$15,5,0),""))</f>
        <v/>
      </c>
      <c r="F4653" s="79" t="str">
        <f t="shared" si="362"/>
        <v/>
      </c>
      <c r="G4653" s="395"/>
      <c r="H4653" s="91">
        <f t="shared" si="363"/>
        <v>0</v>
      </c>
      <c r="I4653" s="91" t="str">
        <f t="shared" si="364"/>
        <v/>
      </c>
      <c r="J4653" s="91" t="str">
        <f t="shared" si="365"/>
        <v/>
      </c>
      <c r="K4653" s="92" t="str">
        <f>IF(AND(A4653="",B4653="",D4653="",G4653=""),"",IF(AND(A4653&lt;&gt;"",COUNTIF($A$2:$A$5001,A4653)&gt;1),"NUMERO_PC duplicado",IF(B4653="","DATA_PC vazia",IF(NOT(ISNUMBER(B4653)),"DATA_PC invalida",IF(OR(C4653="",C4653="Fora dos ciclos"),"CICLO_PC nao identificado",IF(OR(D4653="",D4653=0),"VALOR_PC vazio ou zero",IF(AND(G4653&lt;&gt;"Sim",G4653&lt;&gt;"Nao",G4653&lt;&gt;""),"PC_PAGO_A_CONTRATADA invalido",IF(AND(C4653&lt;&gt;"C0",IFERROR(INDEX(parametros!$A$2:$A$6,MATCH(C4653,parametros!$B$2:$B$6,0)),"")="Sim",IFERROR(INDEX(parametros!$H$2:$H$6,MATCH(C4653,parametros!$B$2:$B$6,0)),"")=""),"INICIO_EFEITO ausente: PC "&amp;A4653&amp;" - "&amp;C4653,IF(L4653="","EFEITO_PC nao calculado: PC "&amp;A4653&amp;" - "&amp;C4653,"OK")))))))))</f>
        <v/>
      </c>
      <c r="L4653" s="92" t="str">
        <f>IF(AND(A4653="",B4653="",D4653="",G4653=""),"",IF(OR(B4653="",NOT(ISNUMBER(B4653)),C4653="",C4653="Fora dos ciclos"),"",IF(C4653="C0","Nao",IF(IFERROR(INDEX(parametros!$A$2:$A$6,MATCH(C4653,parametros!$B$2:$B$6,0)),"")&lt;&gt;"Sim","Nao",IF(IFERROR(INDEX(parametros!$H$2:$H$6,MATCH(C4653,parametros!$B$2:$B$6,0)),"")="","",IF(B4653&gt;=IFERROR(INDEX(parametros!$H$2:$H$6,MATCH(C4653,parametros!$B$2:$B$6,0)),""),"Sim","Nao"))))))</f>
        <v/>
      </c>
      <c r="T4653" s="156"/>
      <c r="U4653" s="214" t="str">
        <f t="shared" si="366"/>
        <v/>
      </c>
      <c r="V4653" s="212" t="s">
        <v>50</v>
      </c>
      <c r="W4653" s="100" t="s">
        <v>168</v>
      </c>
      <c r="X4653" s="100" t="s">
        <v>169</v>
      </c>
      <c r="Y4653" s="101" t="s">
        <v>170</v>
      </c>
      <c r="Z4653" s="101" t="s">
        <v>171</v>
      </c>
      <c r="AA4653" s="101" t="s">
        <v>50</v>
      </c>
      <c r="AB4653" s="101" t="s">
        <v>172</v>
      </c>
      <c r="AC4653" s="102" t="s">
        <v>173</v>
      </c>
    </row>
    <row r="4654" spans="1:29" ht="25.5" customHeight="1" x14ac:dyDescent="0.35">
      <c r="A4654" s="392"/>
      <c r="B4654" s="393"/>
      <c r="C4654" s="99" t="str">
        <f>IF(B4654="","",IF(NOT(ISNUMBER(B4654)),"DATA_PC invalida",IF(NOT(ISNUMBER(parametros!$C$2)),"Fora dos ciclos",IF(OR(B4654&lt;parametros!$C$2,(YEAR(B4654)-YEAR(parametros!$C$2))*12+MONTH(B4654)-MONTH(parametros!$C$2)&gt;59),"Fora dos ciclos","C"&amp;INT(((YEAR(B4654)-YEAR(parametros!$C$2))*12+MONTH(B4654)-MONTH(parametros!$C$2))/12)))))</f>
        <v/>
      </c>
      <c r="D4654" s="394"/>
      <c r="E4654" s="78" t="str">
        <f>IF(C4654="","",IFERROR(VLOOKUP(C4654,parametros!$A$11:$E$15,5,0),""))</f>
        <v/>
      </c>
      <c r="F4654" s="79" t="str">
        <f t="shared" si="362"/>
        <v/>
      </c>
      <c r="G4654" s="395"/>
      <c r="H4654" s="91">
        <f t="shared" si="363"/>
        <v>0</v>
      </c>
      <c r="I4654" s="91" t="str">
        <f t="shared" si="364"/>
        <v/>
      </c>
      <c r="J4654" s="91" t="str">
        <f t="shared" si="365"/>
        <v/>
      </c>
      <c r="K4654" s="92" t="str">
        <f>IF(AND(A4654="",B4654="",D4654="",G4654=""),"",IF(AND(A4654&lt;&gt;"",COUNTIF($A$2:$A$5001,A4654)&gt;1),"NUMERO_PC duplicado",IF(B4654="","DATA_PC vazia",IF(NOT(ISNUMBER(B4654)),"DATA_PC invalida",IF(OR(C4654="",C4654="Fora dos ciclos"),"CICLO_PC nao identificado",IF(OR(D4654="",D4654=0),"VALOR_PC vazio ou zero",IF(AND(G4654&lt;&gt;"Sim",G4654&lt;&gt;"Nao",G4654&lt;&gt;""),"PC_PAGO_A_CONTRATADA invalido",IF(AND(C4654&lt;&gt;"C0",IFERROR(INDEX(parametros!$A$2:$A$6,MATCH(C4654,parametros!$B$2:$B$6,0)),"")="Sim",IFERROR(INDEX(parametros!$H$2:$H$6,MATCH(C4654,parametros!$B$2:$B$6,0)),"")=""),"INICIO_EFEITO ausente: PC "&amp;A4654&amp;" - "&amp;C4654,IF(L4654="","EFEITO_PC nao calculado: PC "&amp;A4654&amp;" - "&amp;C4654,"OK")))))))))</f>
        <v/>
      </c>
      <c r="L4654" s="92" t="str">
        <f>IF(AND(A4654="",B4654="",D4654="",G4654=""),"",IF(OR(B4654="",NOT(ISNUMBER(B4654)),C4654="",C4654="Fora dos ciclos"),"",IF(C4654="C0","Nao",IF(IFERROR(INDEX(parametros!$A$2:$A$6,MATCH(C4654,parametros!$B$2:$B$6,0)),"")&lt;&gt;"Sim","Nao",IF(IFERROR(INDEX(parametros!$H$2:$H$6,MATCH(C4654,parametros!$B$2:$B$6,0)),"")="","",IF(B4654&gt;=IFERROR(INDEX(parametros!$H$2:$H$6,MATCH(C4654,parametros!$B$2:$B$6,0)),""),"Sim","Nao"))))))</f>
        <v/>
      </c>
      <c r="T4654" s="156"/>
      <c r="U4654" s="214" t="str">
        <f t="shared" si="366"/>
        <v/>
      </c>
      <c r="V4654" s="212" t="s">
        <v>50</v>
      </c>
      <c r="W4654" s="100" t="s">
        <v>168</v>
      </c>
      <c r="X4654" s="100" t="s">
        <v>169</v>
      </c>
      <c r="Y4654" s="101" t="s">
        <v>170</v>
      </c>
      <c r="Z4654" s="101" t="s">
        <v>171</v>
      </c>
      <c r="AA4654" s="101" t="s">
        <v>50</v>
      </c>
      <c r="AB4654" s="101" t="s">
        <v>172</v>
      </c>
      <c r="AC4654" s="102" t="s">
        <v>173</v>
      </c>
    </row>
    <row r="4655" spans="1:29" ht="25.5" customHeight="1" x14ac:dyDescent="0.35">
      <c r="A4655" s="392"/>
      <c r="B4655" s="393"/>
      <c r="C4655" s="99" t="str">
        <f>IF(B4655="","",IF(NOT(ISNUMBER(B4655)),"DATA_PC invalida",IF(NOT(ISNUMBER(parametros!$C$2)),"Fora dos ciclos",IF(OR(B4655&lt;parametros!$C$2,(YEAR(B4655)-YEAR(parametros!$C$2))*12+MONTH(B4655)-MONTH(parametros!$C$2)&gt;59),"Fora dos ciclos","C"&amp;INT(((YEAR(B4655)-YEAR(parametros!$C$2))*12+MONTH(B4655)-MONTH(parametros!$C$2))/12)))))</f>
        <v/>
      </c>
      <c r="D4655" s="394"/>
      <c r="E4655" s="78" t="str">
        <f>IF(C4655="","",IFERROR(VLOOKUP(C4655,parametros!$A$11:$E$15,5,0),""))</f>
        <v/>
      </c>
      <c r="F4655" s="79" t="str">
        <f t="shared" si="362"/>
        <v/>
      </c>
      <c r="G4655" s="395"/>
      <c r="H4655" s="91">
        <f t="shared" si="363"/>
        <v>0</v>
      </c>
      <c r="I4655" s="91" t="str">
        <f t="shared" si="364"/>
        <v/>
      </c>
      <c r="J4655" s="91" t="str">
        <f t="shared" si="365"/>
        <v/>
      </c>
      <c r="K4655" s="92" t="str">
        <f>IF(AND(A4655="",B4655="",D4655="",G4655=""),"",IF(AND(A4655&lt;&gt;"",COUNTIF($A$2:$A$5001,A4655)&gt;1),"NUMERO_PC duplicado",IF(B4655="","DATA_PC vazia",IF(NOT(ISNUMBER(B4655)),"DATA_PC invalida",IF(OR(C4655="",C4655="Fora dos ciclos"),"CICLO_PC nao identificado",IF(OR(D4655="",D4655=0),"VALOR_PC vazio ou zero",IF(AND(G4655&lt;&gt;"Sim",G4655&lt;&gt;"Nao",G4655&lt;&gt;""),"PC_PAGO_A_CONTRATADA invalido",IF(AND(C4655&lt;&gt;"C0",IFERROR(INDEX(parametros!$A$2:$A$6,MATCH(C4655,parametros!$B$2:$B$6,0)),"")="Sim",IFERROR(INDEX(parametros!$H$2:$H$6,MATCH(C4655,parametros!$B$2:$B$6,0)),"")=""),"INICIO_EFEITO ausente: PC "&amp;A4655&amp;" - "&amp;C4655,IF(L4655="","EFEITO_PC nao calculado: PC "&amp;A4655&amp;" - "&amp;C4655,"OK")))))))))</f>
        <v/>
      </c>
      <c r="L4655" s="92" t="str">
        <f>IF(AND(A4655="",B4655="",D4655="",G4655=""),"",IF(OR(B4655="",NOT(ISNUMBER(B4655)),C4655="",C4655="Fora dos ciclos"),"",IF(C4655="C0","Nao",IF(IFERROR(INDEX(parametros!$A$2:$A$6,MATCH(C4655,parametros!$B$2:$B$6,0)),"")&lt;&gt;"Sim","Nao",IF(IFERROR(INDEX(parametros!$H$2:$H$6,MATCH(C4655,parametros!$B$2:$B$6,0)),"")="","",IF(B4655&gt;=IFERROR(INDEX(parametros!$H$2:$H$6,MATCH(C4655,parametros!$B$2:$B$6,0)),""),"Sim","Nao"))))))</f>
        <v/>
      </c>
      <c r="T4655" s="156"/>
      <c r="U4655" s="214" t="str">
        <f t="shared" si="366"/>
        <v/>
      </c>
      <c r="V4655" s="212" t="s">
        <v>50</v>
      </c>
      <c r="W4655" s="100" t="s">
        <v>168</v>
      </c>
      <c r="X4655" s="100" t="s">
        <v>169</v>
      </c>
      <c r="Y4655" s="101" t="s">
        <v>170</v>
      </c>
      <c r="Z4655" s="101" t="s">
        <v>171</v>
      </c>
      <c r="AA4655" s="101" t="s">
        <v>50</v>
      </c>
      <c r="AB4655" s="101" t="s">
        <v>172</v>
      </c>
      <c r="AC4655" s="102" t="s">
        <v>173</v>
      </c>
    </row>
    <row r="4656" spans="1:29" ht="25.5" customHeight="1" x14ac:dyDescent="0.35">
      <c r="A4656" s="392"/>
      <c r="B4656" s="393"/>
      <c r="C4656" s="99" t="str">
        <f>IF(B4656="","",IF(NOT(ISNUMBER(B4656)),"DATA_PC invalida",IF(NOT(ISNUMBER(parametros!$C$2)),"Fora dos ciclos",IF(OR(B4656&lt;parametros!$C$2,(YEAR(B4656)-YEAR(parametros!$C$2))*12+MONTH(B4656)-MONTH(parametros!$C$2)&gt;59),"Fora dos ciclos","C"&amp;INT(((YEAR(B4656)-YEAR(parametros!$C$2))*12+MONTH(B4656)-MONTH(parametros!$C$2))/12)))))</f>
        <v/>
      </c>
      <c r="D4656" s="394"/>
      <c r="E4656" s="78" t="str">
        <f>IF(C4656="","",IFERROR(VLOOKUP(C4656,parametros!$A$11:$E$15,5,0),""))</f>
        <v/>
      </c>
      <c r="F4656" s="79" t="str">
        <f t="shared" si="362"/>
        <v/>
      </c>
      <c r="G4656" s="395"/>
      <c r="H4656" s="91">
        <f t="shared" si="363"/>
        <v>0</v>
      </c>
      <c r="I4656" s="91" t="str">
        <f t="shared" si="364"/>
        <v/>
      </c>
      <c r="J4656" s="91" t="str">
        <f t="shared" si="365"/>
        <v/>
      </c>
      <c r="K4656" s="92" t="str">
        <f>IF(AND(A4656="",B4656="",D4656="",G4656=""),"",IF(AND(A4656&lt;&gt;"",COUNTIF($A$2:$A$5001,A4656)&gt;1),"NUMERO_PC duplicado",IF(B4656="","DATA_PC vazia",IF(NOT(ISNUMBER(B4656)),"DATA_PC invalida",IF(OR(C4656="",C4656="Fora dos ciclos"),"CICLO_PC nao identificado",IF(OR(D4656="",D4656=0),"VALOR_PC vazio ou zero",IF(AND(G4656&lt;&gt;"Sim",G4656&lt;&gt;"Nao",G4656&lt;&gt;""),"PC_PAGO_A_CONTRATADA invalido",IF(AND(C4656&lt;&gt;"C0",IFERROR(INDEX(parametros!$A$2:$A$6,MATCH(C4656,parametros!$B$2:$B$6,0)),"")="Sim",IFERROR(INDEX(parametros!$H$2:$H$6,MATCH(C4656,parametros!$B$2:$B$6,0)),"")=""),"INICIO_EFEITO ausente: PC "&amp;A4656&amp;" - "&amp;C4656,IF(L4656="","EFEITO_PC nao calculado: PC "&amp;A4656&amp;" - "&amp;C4656,"OK")))))))))</f>
        <v/>
      </c>
      <c r="L4656" s="92" t="str">
        <f>IF(AND(A4656="",B4656="",D4656="",G4656=""),"",IF(OR(B4656="",NOT(ISNUMBER(B4656)),C4656="",C4656="Fora dos ciclos"),"",IF(C4656="C0","Nao",IF(IFERROR(INDEX(parametros!$A$2:$A$6,MATCH(C4656,parametros!$B$2:$B$6,0)),"")&lt;&gt;"Sim","Nao",IF(IFERROR(INDEX(parametros!$H$2:$H$6,MATCH(C4656,parametros!$B$2:$B$6,0)),"")="","",IF(B4656&gt;=IFERROR(INDEX(parametros!$H$2:$H$6,MATCH(C4656,parametros!$B$2:$B$6,0)),""),"Sim","Nao"))))))</f>
        <v/>
      </c>
      <c r="T4656" s="156"/>
      <c r="U4656" s="214" t="str">
        <f t="shared" si="366"/>
        <v/>
      </c>
      <c r="V4656" s="212" t="s">
        <v>50</v>
      </c>
      <c r="W4656" s="100" t="s">
        <v>168</v>
      </c>
      <c r="X4656" s="100" t="s">
        <v>169</v>
      </c>
      <c r="Y4656" s="101" t="s">
        <v>170</v>
      </c>
      <c r="Z4656" s="101" t="s">
        <v>171</v>
      </c>
      <c r="AA4656" s="101" t="s">
        <v>50</v>
      </c>
      <c r="AB4656" s="101" t="s">
        <v>172</v>
      </c>
      <c r="AC4656" s="102" t="s">
        <v>173</v>
      </c>
    </row>
    <row r="4657" spans="1:29" ht="25.5" customHeight="1" x14ac:dyDescent="0.35">
      <c r="A4657" s="392"/>
      <c r="B4657" s="393"/>
      <c r="C4657" s="99" t="str">
        <f>IF(B4657="","",IF(NOT(ISNUMBER(B4657)),"DATA_PC invalida",IF(NOT(ISNUMBER(parametros!$C$2)),"Fora dos ciclos",IF(OR(B4657&lt;parametros!$C$2,(YEAR(B4657)-YEAR(parametros!$C$2))*12+MONTH(B4657)-MONTH(parametros!$C$2)&gt;59),"Fora dos ciclos","C"&amp;INT(((YEAR(B4657)-YEAR(parametros!$C$2))*12+MONTH(B4657)-MONTH(parametros!$C$2))/12)))))</f>
        <v/>
      </c>
      <c r="D4657" s="394"/>
      <c r="E4657" s="78" t="str">
        <f>IF(C4657="","",IFERROR(VLOOKUP(C4657,parametros!$A$11:$E$15,5,0),""))</f>
        <v/>
      </c>
      <c r="F4657" s="79" t="str">
        <f t="shared" si="362"/>
        <v/>
      </c>
      <c r="G4657" s="395"/>
      <c r="H4657" s="91">
        <f t="shared" si="363"/>
        <v>0</v>
      </c>
      <c r="I4657" s="91" t="str">
        <f t="shared" si="364"/>
        <v/>
      </c>
      <c r="J4657" s="91" t="str">
        <f t="shared" si="365"/>
        <v/>
      </c>
      <c r="K4657" s="92" t="str">
        <f>IF(AND(A4657="",B4657="",D4657="",G4657=""),"",IF(AND(A4657&lt;&gt;"",COUNTIF($A$2:$A$5001,A4657)&gt;1),"NUMERO_PC duplicado",IF(B4657="","DATA_PC vazia",IF(NOT(ISNUMBER(B4657)),"DATA_PC invalida",IF(OR(C4657="",C4657="Fora dos ciclos"),"CICLO_PC nao identificado",IF(OR(D4657="",D4657=0),"VALOR_PC vazio ou zero",IF(AND(G4657&lt;&gt;"Sim",G4657&lt;&gt;"Nao",G4657&lt;&gt;""),"PC_PAGO_A_CONTRATADA invalido",IF(AND(C4657&lt;&gt;"C0",IFERROR(INDEX(parametros!$A$2:$A$6,MATCH(C4657,parametros!$B$2:$B$6,0)),"")="Sim",IFERROR(INDEX(parametros!$H$2:$H$6,MATCH(C4657,parametros!$B$2:$B$6,0)),"")=""),"INICIO_EFEITO ausente: PC "&amp;A4657&amp;" - "&amp;C4657,IF(L4657="","EFEITO_PC nao calculado: PC "&amp;A4657&amp;" - "&amp;C4657,"OK")))))))))</f>
        <v/>
      </c>
      <c r="L4657" s="92" t="str">
        <f>IF(AND(A4657="",B4657="",D4657="",G4657=""),"",IF(OR(B4657="",NOT(ISNUMBER(B4657)),C4657="",C4657="Fora dos ciclos"),"",IF(C4657="C0","Nao",IF(IFERROR(INDEX(parametros!$A$2:$A$6,MATCH(C4657,parametros!$B$2:$B$6,0)),"")&lt;&gt;"Sim","Nao",IF(IFERROR(INDEX(parametros!$H$2:$H$6,MATCH(C4657,parametros!$B$2:$B$6,0)),"")="","",IF(B4657&gt;=IFERROR(INDEX(parametros!$H$2:$H$6,MATCH(C4657,parametros!$B$2:$B$6,0)),""),"Sim","Nao"))))))</f>
        <v/>
      </c>
      <c r="T4657" s="156"/>
      <c r="U4657" s="214" t="str">
        <f t="shared" si="366"/>
        <v/>
      </c>
      <c r="V4657" s="212" t="s">
        <v>50</v>
      </c>
      <c r="W4657" s="100" t="s">
        <v>168</v>
      </c>
      <c r="X4657" s="100" t="s">
        <v>169</v>
      </c>
      <c r="Y4657" s="101" t="s">
        <v>170</v>
      </c>
      <c r="Z4657" s="101" t="s">
        <v>171</v>
      </c>
      <c r="AA4657" s="101" t="s">
        <v>50</v>
      </c>
      <c r="AB4657" s="101" t="s">
        <v>172</v>
      </c>
      <c r="AC4657" s="102" t="s">
        <v>173</v>
      </c>
    </row>
    <row r="4658" spans="1:29" ht="25.5" customHeight="1" x14ac:dyDescent="0.35">
      <c r="A4658" s="392"/>
      <c r="B4658" s="393"/>
      <c r="C4658" s="99" t="str">
        <f>IF(B4658="","",IF(NOT(ISNUMBER(B4658)),"DATA_PC invalida",IF(NOT(ISNUMBER(parametros!$C$2)),"Fora dos ciclos",IF(OR(B4658&lt;parametros!$C$2,(YEAR(B4658)-YEAR(parametros!$C$2))*12+MONTH(B4658)-MONTH(parametros!$C$2)&gt;59),"Fora dos ciclos","C"&amp;INT(((YEAR(B4658)-YEAR(parametros!$C$2))*12+MONTH(B4658)-MONTH(parametros!$C$2))/12)))))</f>
        <v/>
      </c>
      <c r="D4658" s="394"/>
      <c r="E4658" s="78" t="str">
        <f>IF(C4658="","",IFERROR(VLOOKUP(C4658,parametros!$A$11:$E$15,5,0),""))</f>
        <v/>
      </c>
      <c r="F4658" s="79" t="str">
        <f t="shared" si="362"/>
        <v/>
      </c>
      <c r="G4658" s="395"/>
      <c r="H4658" s="91">
        <f t="shared" si="363"/>
        <v>0</v>
      </c>
      <c r="I4658" s="91" t="str">
        <f t="shared" si="364"/>
        <v/>
      </c>
      <c r="J4658" s="91" t="str">
        <f t="shared" si="365"/>
        <v/>
      </c>
      <c r="K4658" s="92" t="str">
        <f>IF(AND(A4658="",B4658="",D4658="",G4658=""),"",IF(AND(A4658&lt;&gt;"",COUNTIF($A$2:$A$5001,A4658)&gt;1),"NUMERO_PC duplicado",IF(B4658="","DATA_PC vazia",IF(NOT(ISNUMBER(B4658)),"DATA_PC invalida",IF(OR(C4658="",C4658="Fora dos ciclos"),"CICLO_PC nao identificado",IF(OR(D4658="",D4658=0),"VALOR_PC vazio ou zero",IF(AND(G4658&lt;&gt;"Sim",G4658&lt;&gt;"Nao",G4658&lt;&gt;""),"PC_PAGO_A_CONTRATADA invalido",IF(AND(C4658&lt;&gt;"C0",IFERROR(INDEX(parametros!$A$2:$A$6,MATCH(C4658,parametros!$B$2:$B$6,0)),"")="Sim",IFERROR(INDEX(parametros!$H$2:$H$6,MATCH(C4658,parametros!$B$2:$B$6,0)),"")=""),"INICIO_EFEITO ausente: PC "&amp;A4658&amp;" - "&amp;C4658,IF(L4658="","EFEITO_PC nao calculado: PC "&amp;A4658&amp;" - "&amp;C4658,"OK")))))))))</f>
        <v/>
      </c>
      <c r="L4658" s="92" t="str">
        <f>IF(AND(A4658="",B4658="",D4658="",G4658=""),"",IF(OR(B4658="",NOT(ISNUMBER(B4658)),C4658="",C4658="Fora dos ciclos"),"",IF(C4658="C0","Nao",IF(IFERROR(INDEX(parametros!$A$2:$A$6,MATCH(C4658,parametros!$B$2:$B$6,0)),"")&lt;&gt;"Sim","Nao",IF(IFERROR(INDEX(parametros!$H$2:$H$6,MATCH(C4658,parametros!$B$2:$B$6,0)),"")="","",IF(B4658&gt;=IFERROR(INDEX(parametros!$H$2:$H$6,MATCH(C4658,parametros!$B$2:$B$6,0)),""),"Sim","Nao"))))))</f>
        <v/>
      </c>
      <c r="T4658" s="156"/>
      <c r="U4658" s="214" t="str">
        <f t="shared" si="366"/>
        <v/>
      </c>
      <c r="V4658" s="212" t="s">
        <v>50</v>
      </c>
      <c r="W4658" s="100" t="s">
        <v>168</v>
      </c>
      <c r="X4658" s="100" t="s">
        <v>169</v>
      </c>
      <c r="Y4658" s="101" t="s">
        <v>170</v>
      </c>
      <c r="Z4658" s="101" t="s">
        <v>171</v>
      </c>
      <c r="AA4658" s="101" t="s">
        <v>50</v>
      </c>
      <c r="AB4658" s="101" t="s">
        <v>172</v>
      </c>
      <c r="AC4658" s="102" t="s">
        <v>173</v>
      </c>
    </row>
    <row r="4659" spans="1:29" ht="25.5" customHeight="1" x14ac:dyDescent="0.35">
      <c r="A4659" s="392"/>
      <c r="B4659" s="393"/>
      <c r="C4659" s="99" t="str">
        <f>IF(B4659="","",IF(NOT(ISNUMBER(B4659)),"DATA_PC invalida",IF(NOT(ISNUMBER(parametros!$C$2)),"Fora dos ciclos",IF(OR(B4659&lt;parametros!$C$2,(YEAR(B4659)-YEAR(parametros!$C$2))*12+MONTH(B4659)-MONTH(parametros!$C$2)&gt;59),"Fora dos ciclos","C"&amp;INT(((YEAR(B4659)-YEAR(parametros!$C$2))*12+MONTH(B4659)-MONTH(parametros!$C$2))/12)))))</f>
        <v/>
      </c>
      <c r="D4659" s="394"/>
      <c r="E4659" s="78" t="str">
        <f>IF(C4659="","",IFERROR(VLOOKUP(C4659,parametros!$A$11:$E$15,5,0),""))</f>
        <v/>
      </c>
      <c r="F4659" s="79" t="str">
        <f t="shared" si="362"/>
        <v/>
      </c>
      <c r="G4659" s="395"/>
      <c r="H4659" s="91">
        <f t="shared" si="363"/>
        <v>0</v>
      </c>
      <c r="I4659" s="91" t="str">
        <f t="shared" si="364"/>
        <v/>
      </c>
      <c r="J4659" s="91" t="str">
        <f t="shared" si="365"/>
        <v/>
      </c>
      <c r="K4659" s="92" t="str">
        <f>IF(AND(A4659="",B4659="",D4659="",G4659=""),"",IF(AND(A4659&lt;&gt;"",COUNTIF($A$2:$A$5001,A4659)&gt;1),"NUMERO_PC duplicado",IF(B4659="","DATA_PC vazia",IF(NOT(ISNUMBER(B4659)),"DATA_PC invalida",IF(OR(C4659="",C4659="Fora dos ciclos"),"CICLO_PC nao identificado",IF(OR(D4659="",D4659=0),"VALOR_PC vazio ou zero",IF(AND(G4659&lt;&gt;"Sim",G4659&lt;&gt;"Nao",G4659&lt;&gt;""),"PC_PAGO_A_CONTRATADA invalido",IF(AND(C4659&lt;&gt;"C0",IFERROR(INDEX(parametros!$A$2:$A$6,MATCH(C4659,parametros!$B$2:$B$6,0)),"")="Sim",IFERROR(INDEX(parametros!$H$2:$H$6,MATCH(C4659,parametros!$B$2:$B$6,0)),"")=""),"INICIO_EFEITO ausente: PC "&amp;A4659&amp;" - "&amp;C4659,IF(L4659="","EFEITO_PC nao calculado: PC "&amp;A4659&amp;" - "&amp;C4659,"OK")))))))))</f>
        <v/>
      </c>
      <c r="L4659" s="92" t="str">
        <f>IF(AND(A4659="",B4659="",D4659="",G4659=""),"",IF(OR(B4659="",NOT(ISNUMBER(B4659)),C4659="",C4659="Fora dos ciclos"),"",IF(C4659="C0","Nao",IF(IFERROR(INDEX(parametros!$A$2:$A$6,MATCH(C4659,parametros!$B$2:$B$6,0)),"")&lt;&gt;"Sim","Nao",IF(IFERROR(INDEX(parametros!$H$2:$H$6,MATCH(C4659,parametros!$B$2:$B$6,0)),"")="","",IF(B4659&gt;=IFERROR(INDEX(parametros!$H$2:$H$6,MATCH(C4659,parametros!$B$2:$B$6,0)),""),"Sim","Nao"))))))</f>
        <v/>
      </c>
      <c r="T4659" s="156"/>
      <c r="U4659" s="214" t="str">
        <f t="shared" si="366"/>
        <v/>
      </c>
      <c r="V4659" s="212" t="s">
        <v>50</v>
      </c>
      <c r="W4659" s="100" t="s">
        <v>168</v>
      </c>
      <c r="X4659" s="100" t="s">
        <v>169</v>
      </c>
      <c r="Y4659" s="101" t="s">
        <v>170</v>
      </c>
      <c r="Z4659" s="101" t="s">
        <v>171</v>
      </c>
      <c r="AA4659" s="101" t="s">
        <v>50</v>
      </c>
      <c r="AB4659" s="101" t="s">
        <v>172</v>
      </c>
      <c r="AC4659" s="102" t="s">
        <v>173</v>
      </c>
    </row>
    <row r="4660" spans="1:29" ht="25.5" customHeight="1" x14ac:dyDescent="0.35">
      <c r="A4660" s="392"/>
      <c r="B4660" s="393"/>
      <c r="C4660" s="99" t="str">
        <f>IF(B4660="","",IF(NOT(ISNUMBER(B4660)),"DATA_PC invalida",IF(NOT(ISNUMBER(parametros!$C$2)),"Fora dos ciclos",IF(OR(B4660&lt;parametros!$C$2,(YEAR(B4660)-YEAR(parametros!$C$2))*12+MONTH(B4660)-MONTH(parametros!$C$2)&gt;59),"Fora dos ciclos","C"&amp;INT(((YEAR(B4660)-YEAR(parametros!$C$2))*12+MONTH(B4660)-MONTH(parametros!$C$2))/12)))))</f>
        <v/>
      </c>
      <c r="D4660" s="394"/>
      <c r="E4660" s="78" t="str">
        <f>IF(C4660="","",IFERROR(VLOOKUP(C4660,parametros!$A$11:$E$15,5,0),""))</f>
        <v/>
      </c>
      <c r="F4660" s="79" t="str">
        <f t="shared" si="362"/>
        <v/>
      </c>
      <c r="G4660" s="395"/>
      <c r="H4660" s="91">
        <f t="shared" si="363"/>
        <v>0</v>
      </c>
      <c r="I4660" s="91" t="str">
        <f t="shared" si="364"/>
        <v/>
      </c>
      <c r="J4660" s="91" t="str">
        <f t="shared" si="365"/>
        <v/>
      </c>
      <c r="K4660" s="92" t="str">
        <f>IF(AND(A4660="",B4660="",D4660="",G4660=""),"",IF(AND(A4660&lt;&gt;"",COUNTIF($A$2:$A$5001,A4660)&gt;1),"NUMERO_PC duplicado",IF(B4660="","DATA_PC vazia",IF(NOT(ISNUMBER(B4660)),"DATA_PC invalida",IF(OR(C4660="",C4660="Fora dos ciclos"),"CICLO_PC nao identificado",IF(OR(D4660="",D4660=0),"VALOR_PC vazio ou zero",IF(AND(G4660&lt;&gt;"Sim",G4660&lt;&gt;"Nao",G4660&lt;&gt;""),"PC_PAGO_A_CONTRATADA invalido",IF(AND(C4660&lt;&gt;"C0",IFERROR(INDEX(parametros!$A$2:$A$6,MATCH(C4660,parametros!$B$2:$B$6,0)),"")="Sim",IFERROR(INDEX(parametros!$H$2:$H$6,MATCH(C4660,parametros!$B$2:$B$6,0)),"")=""),"INICIO_EFEITO ausente: PC "&amp;A4660&amp;" - "&amp;C4660,IF(L4660="","EFEITO_PC nao calculado: PC "&amp;A4660&amp;" - "&amp;C4660,"OK")))))))))</f>
        <v/>
      </c>
      <c r="L4660" s="92" t="str">
        <f>IF(AND(A4660="",B4660="",D4660="",G4660=""),"",IF(OR(B4660="",NOT(ISNUMBER(B4660)),C4660="",C4660="Fora dos ciclos"),"",IF(C4660="C0","Nao",IF(IFERROR(INDEX(parametros!$A$2:$A$6,MATCH(C4660,parametros!$B$2:$B$6,0)),"")&lt;&gt;"Sim","Nao",IF(IFERROR(INDEX(parametros!$H$2:$H$6,MATCH(C4660,parametros!$B$2:$B$6,0)),"")="","",IF(B4660&gt;=IFERROR(INDEX(parametros!$H$2:$H$6,MATCH(C4660,parametros!$B$2:$B$6,0)),""),"Sim","Nao"))))))</f>
        <v/>
      </c>
      <c r="T4660" s="156"/>
      <c r="U4660" s="214" t="str">
        <f t="shared" si="366"/>
        <v/>
      </c>
      <c r="V4660" s="212" t="s">
        <v>50</v>
      </c>
      <c r="W4660" s="100" t="s">
        <v>168</v>
      </c>
      <c r="X4660" s="100" t="s">
        <v>169</v>
      </c>
      <c r="Y4660" s="101" t="s">
        <v>170</v>
      </c>
      <c r="Z4660" s="101" t="s">
        <v>171</v>
      </c>
      <c r="AA4660" s="101" t="s">
        <v>50</v>
      </c>
      <c r="AB4660" s="101" t="s">
        <v>172</v>
      </c>
      <c r="AC4660" s="102" t="s">
        <v>173</v>
      </c>
    </row>
    <row r="4661" spans="1:29" ht="25.5" customHeight="1" x14ac:dyDescent="0.35">
      <c r="A4661" s="392"/>
      <c r="B4661" s="393"/>
      <c r="C4661" s="99" t="str">
        <f>IF(B4661="","",IF(NOT(ISNUMBER(B4661)),"DATA_PC invalida",IF(NOT(ISNUMBER(parametros!$C$2)),"Fora dos ciclos",IF(OR(B4661&lt;parametros!$C$2,(YEAR(B4661)-YEAR(parametros!$C$2))*12+MONTH(B4661)-MONTH(parametros!$C$2)&gt;59),"Fora dos ciclos","C"&amp;INT(((YEAR(B4661)-YEAR(parametros!$C$2))*12+MONTH(B4661)-MONTH(parametros!$C$2))/12)))))</f>
        <v/>
      </c>
      <c r="D4661" s="394"/>
      <c r="E4661" s="78" t="str">
        <f>IF(C4661="","",IFERROR(VLOOKUP(C4661,parametros!$A$11:$E$15,5,0),""))</f>
        <v/>
      </c>
      <c r="F4661" s="79" t="str">
        <f t="shared" si="362"/>
        <v/>
      </c>
      <c r="G4661" s="395"/>
      <c r="H4661" s="91">
        <f t="shared" si="363"/>
        <v>0</v>
      </c>
      <c r="I4661" s="91" t="str">
        <f t="shared" si="364"/>
        <v/>
      </c>
      <c r="J4661" s="91" t="str">
        <f t="shared" si="365"/>
        <v/>
      </c>
      <c r="K4661" s="92" t="str">
        <f>IF(AND(A4661="",B4661="",D4661="",G4661=""),"",IF(AND(A4661&lt;&gt;"",COUNTIF($A$2:$A$5001,A4661)&gt;1),"NUMERO_PC duplicado",IF(B4661="","DATA_PC vazia",IF(NOT(ISNUMBER(B4661)),"DATA_PC invalida",IF(OR(C4661="",C4661="Fora dos ciclos"),"CICLO_PC nao identificado",IF(OR(D4661="",D4661=0),"VALOR_PC vazio ou zero",IF(AND(G4661&lt;&gt;"Sim",G4661&lt;&gt;"Nao",G4661&lt;&gt;""),"PC_PAGO_A_CONTRATADA invalido",IF(AND(C4661&lt;&gt;"C0",IFERROR(INDEX(parametros!$A$2:$A$6,MATCH(C4661,parametros!$B$2:$B$6,0)),"")="Sim",IFERROR(INDEX(parametros!$H$2:$H$6,MATCH(C4661,parametros!$B$2:$B$6,0)),"")=""),"INICIO_EFEITO ausente: PC "&amp;A4661&amp;" - "&amp;C4661,IF(L4661="","EFEITO_PC nao calculado: PC "&amp;A4661&amp;" - "&amp;C4661,"OK")))))))))</f>
        <v/>
      </c>
      <c r="L4661" s="92" t="str">
        <f>IF(AND(A4661="",B4661="",D4661="",G4661=""),"",IF(OR(B4661="",NOT(ISNUMBER(B4661)),C4661="",C4661="Fora dos ciclos"),"",IF(C4661="C0","Nao",IF(IFERROR(INDEX(parametros!$A$2:$A$6,MATCH(C4661,parametros!$B$2:$B$6,0)),"")&lt;&gt;"Sim","Nao",IF(IFERROR(INDEX(parametros!$H$2:$H$6,MATCH(C4661,parametros!$B$2:$B$6,0)),"")="","",IF(B4661&gt;=IFERROR(INDEX(parametros!$H$2:$H$6,MATCH(C4661,parametros!$B$2:$B$6,0)),""),"Sim","Nao"))))))</f>
        <v/>
      </c>
      <c r="T4661" s="156"/>
      <c r="U4661" s="214" t="str">
        <f t="shared" si="366"/>
        <v/>
      </c>
      <c r="V4661" s="212" t="s">
        <v>50</v>
      </c>
      <c r="W4661" s="100" t="s">
        <v>168</v>
      </c>
      <c r="X4661" s="100" t="s">
        <v>169</v>
      </c>
      <c r="Y4661" s="101" t="s">
        <v>170</v>
      </c>
      <c r="Z4661" s="101" t="s">
        <v>171</v>
      </c>
      <c r="AA4661" s="101" t="s">
        <v>50</v>
      </c>
      <c r="AB4661" s="101" t="s">
        <v>172</v>
      </c>
      <c r="AC4661" s="102" t="s">
        <v>173</v>
      </c>
    </row>
    <row r="4662" spans="1:29" ht="25.5" customHeight="1" x14ac:dyDescent="0.35">
      <c r="A4662" s="392"/>
      <c r="B4662" s="393"/>
      <c r="C4662" s="99" t="str">
        <f>IF(B4662="","",IF(NOT(ISNUMBER(B4662)),"DATA_PC invalida",IF(NOT(ISNUMBER(parametros!$C$2)),"Fora dos ciclos",IF(OR(B4662&lt;parametros!$C$2,(YEAR(B4662)-YEAR(parametros!$C$2))*12+MONTH(B4662)-MONTH(parametros!$C$2)&gt;59),"Fora dos ciclos","C"&amp;INT(((YEAR(B4662)-YEAR(parametros!$C$2))*12+MONTH(B4662)-MONTH(parametros!$C$2))/12)))))</f>
        <v/>
      </c>
      <c r="D4662" s="394"/>
      <c r="E4662" s="78" t="str">
        <f>IF(C4662="","",IFERROR(VLOOKUP(C4662,parametros!$A$11:$E$15,5,0),""))</f>
        <v/>
      </c>
      <c r="F4662" s="79" t="str">
        <f t="shared" si="362"/>
        <v/>
      </c>
      <c r="G4662" s="395"/>
      <c r="H4662" s="91">
        <f t="shared" si="363"/>
        <v>0</v>
      </c>
      <c r="I4662" s="91" t="str">
        <f t="shared" si="364"/>
        <v/>
      </c>
      <c r="J4662" s="91" t="str">
        <f t="shared" si="365"/>
        <v/>
      </c>
      <c r="K4662" s="92" t="str">
        <f>IF(AND(A4662="",B4662="",D4662="",G4662=""),"",IF(AND(A4662&lt;&gt;"",COUNTIF($A$2:$A$5001,A4662)&gt;1),"NUMERO_PC duplicado",IF(B4662="","DATA_PC vazia",IF(NOT(ISNUMBER(B4662)),"DATA_PC invalida",IF(OR(C4662="",C4662="Fora dos ciclos"),"CICLO_PC nao identificado",IF(OR(D4662="",D4662=0),"VALOR_PC vazio ou zero",IF(AND(G4662&lt;&gt;"Sim",G4662&lt;&gt;"Nao",G4662&lt;&gt;""),"PC_PAGO_A_CONTRATADA invalido",IF(AND(C4662&lt;&gt;"C0",IFERROR(INDEX(parametros!$A$2:$A$6,MATCH(C4662,parametros!$B$2:$B$6,0)),"")="Sim",IFERROR(INDEX(parametros!$H$2:$H$6,MATCH(C4662,parametros!$B$2:$B$6,0)),"")=""),"INICIO_EFEITO ausente: PC "&amp;A4662&amp;" - "&amp;C4662,IF(L4662="","EFEITO_PC nao calculado: PC "&amp;A4662&amp;" - "&amp;C4662,"OK")))))))))</f>
        <v/>
      </c>
      <c r="L4662" s="92" t="str">
        <f>IF(AND(A4662="",B4662="",D4662="",G4662=""),"",IF(OR(B4662="",NOT(ISNUMBER(B4662)),C4662="",C4662="Fora dos ciclos"),"",IF(C4662="C0","Nao",IF(IFERROR(INDEX(parametros!$A$2:$A$6,MATCH(C4662,parametros!$B$2:$B$6,0)),"")&lt;&gt;"Sim","Nao",IF(IFERROR(INDEX(parametros!$H$2:$H$6,MATCH(C4662,parametros!$B$2:$B$6,0)),"")="","",IF(B4662&gt;=IFERROR(INDEX(parametros!$H$2:$H$6,MATCH(C4662,parametros!$B$2:$B$6,0)),""),"Sim","Nao"))))))</f>
        <v/>
      </c>
      <c r="T4662" s="156"/>
      <c r="U4662" s="214" t="str">
        <f t="shared" si="366"/>
        <v/>
      </c>
      <c r="V4662" s="212" t="s">
        <v>50</v>
      </c>
      <c r="W4662" s="100" t="s">
        <v>168</v>
      </c>
      <c r="X4662" s="100" t="s">
        <v>169</v>
      </c>
      <c r="Y4662" s="101" t="s">
        <v>170</v>
      </c>
      <c r="Z4662" s="101" t="s">
        <v>171</v>
      </c>
      <c r="AA4662" s="101" t="s">
        <v>50</v>
      </c>
      <c r="AB4662" s="101" t="s">
        <v>172</v>
      </c>
      <c r="AC4662" s="102" t="s">
        <v>173</v>
      </c>
    </row>
    <row r="4663" spans="1:29" ht="25.5" customHeight="1" x14ac:dyDescent="0.35">
      <c r="A4663" s="392"/>
      <c r="B4663" s="393"/>
      <c r="C4663" s="99" t="str">
        <f>IF(B4663="","",IF(NOT(ISNUMBER(B4663)),"DATA_PC invalida",IF(NOT(ISNUMBER(parametros!$C$2)),"Fora dos ciclos",IF(OR(B4663&lt;parametros!$C$2,(YEAR(B4663)-YEAR(parametros!$C$2))*12+MONTH(B4663)-MONTH(parametros!$C$2)&gt;59),"Fora dos ciclos","C"&amp;INT(((YEAR(B4663)-YEAR(parametros!$C$2))*12+MONTH(B4663)-MONTH(parametros!$C$2))/12)))))</f>
        <v/>
      </c>
      <c r="D4663" s="394"/>
      <c r="E4663" s="78" t="str">
        <f>IF(C4663="","",IFERROR(VLOOKUP(C4663,parametros!$A$11:$E$15,5,0),""))</f>
        <v/>
      </c>
      <c r="F4663" s="79" t="str">
        <f t="shared" si="362"/>
        <v/>
      </c>
      <c r="G4663" s="395"/>
      <c r="H4663" s="91">
        <f t="shared" si="363"/>
        <v>0</v>
      </c>
      <c r="I4663" s="91" t="str">
        <f t="shared" si="364"/>
        <v/>
      </c>
      <c r="J4663" s="91" t="str">
        <f t="shared" si="365"/>
        <v/>
      </c>
      <c r="K4663" s="92" t="str">
        <f>IF(AND(A4663="",B4663="",D4663="",G4663=""),"",IF(AND(A4663&lt;&gt;"",COUNTIF($A$2:$A$5001,A4663)&gt;1),"NUMERO_PC duplicado",IF(B4663="","DATA_PC vazia",IF(NOT(ISNUMBER(B4663)),"DATA_PC invalida",IF(OR(C4663="",C4663="Fora dos ciclos"),"CICLO_PC nao identificado",IF(OR(D4663="",D4663=0),"VALOR_PC vazio ou zero",IF(AND(G4663&lt;&gt;"Sim",G4663&lt;&gt;"Nao",G4663&lt;&gt;""),"PC_PAGO_A_CONTRATADA invalido",IF(AND(C4663&lt;&gt;"C0",IFERROR(INDEX(parametros!$A$2:$A$6,MATCH(C4663,parametros!$B$2:$B$6,0)),"")="Sim",IFERROR(INDEX(parametros!$H$2:$H$6,MATCH(C4663,parametros!$B$2:$B$6,0)),"")=""),"INICIO_EFEITO ausente: PC "&amp;A4663&amp;" - "&amp;C4663,IF(L4663="","EFEITO_PC nao calculado: PC "&amp;A4663&amp;" - "&amp;C4663,"OK")))))))))</f>
        <v/>
      </c>
      <c r="L4663" s="92" t="str">
        <f>IF(AND(A4663="",B4663="",D4663="",G4663=""),"",IF(OR(B4663="",NOT(ISNUMBER(B4663)),C4663="",C4663="Fora dos ciclos"),"",IF(C4663="C0","Nao",IF(IFERROR(INDEX(parametros!$A$2:$A$6,MATCH(C4663,parametros!$B$2:$B$6,0)),"")&lt;&gt;"Sim","Nao",IF(IFERROR(INDEX(parametros!$H$2:$H$6,MATCH(C4663,parametros!$B$2:$B$6,0)),"")="","",IF(B4663&gt;=IFERROR(INDEX(parametros!$H$2:$H$6,MATCH(C4663,parametros!$B$2:$B$6,0)),""),"Sim","Nao"))))))</f>
        <v/>
      </c>
      <c r="T4663" s="156"/>
      <c r="U4663" s="214" t="str">
        <f t="shared" si="366"/>
        <v/>
      </c>
      <c r="V4663" s="212" t="s">
        <v>50</v>
      </c>
      <c r="W4663" s="100" t="s">
        <v>168</v>
      </c>
      <c r="X4663" s="100" t="s">
        <v>169</v>
      </c>
      <c r="Y4663" s="101" t="s">
        <v>170</v>
      </c>
      <c r="Z4663" s="101" t="s">
        <v>171</v>
      </c>
      <c r="AA4663" s="101" t="s">
        <v>50</v>
      </c>
      <c r="AB4663" s="101" t="s">
        <v>172</v>
      </c>
      <c r="AC4663" s="102" t="s">
        <v>173</v>
      </c>
    </row>
    <row r="4664" spans="1:29" ht="25.5" customHeight="1" x14ac:dyDescent="0.35">
      <c r="A4664" s="392"/>
      <c r="B4664" s="393"/>
      <c r="C4664" s="99" t="str">
        <f>IF(B4664="","",IF(NOT(ISNUMBER(B4664)),"DATA_PC invalida",IF(NOT(ISNUMBER(parametros!$C$2)),"Fora dos ciclos",IF(OR(B4664&lt;parametros!$C$2,(YEAR(B4664)-YEAR(parametros!$C$2))*12+MONTH(B4664)-MONTH(parametros!$C$2)&gt;59),"Fora dos ciclos","C"&amp;INT(((YEAR(B4664)-YEAR(parametros!$C$2))*12+MONTH(B4664)-MONTH(parametros!$C$2))/12)))))</f>
        <v/>
      </c>
      <c r="D4664" s="394"/>
      <c r="E4664" s="78" t="str">
        <f>IF(C4664="","",IFERROR(VLOOKUP(C4664,parametros!$A$11:$E$15,5,0),""))</f>
        <v/>
      </c>
      <c r="F4664" s="79" t="str">
        <f t="shared" si="362"/>
        <v/>
      </c>
      <c r="G4664" s="395"/>
      <c r="H4664" s="91">
        <f t="shared" si="363"/>
        <v>0</v>
      </c>
      <c r="I4664" s="91" t="str">
        <f t="shared" si="364"/>
        <v/>
      </c>
      <c r="J4664" s="91" t="str">
        <f t="shared" si="365"/>
        <v/>
      </c>
      <c r="K4664" s="92" t="str">
        <f>IF(AND(A4664="",B4664="",D4664="",G4664=""),"",IF(AND(A4664&lt;&gt;"",COUNTIF($A$2:$A$5001,A4664)&gt;1),"NUMERO_PC duplicado",IF(B4664="","DATA_PC vazia",IF(NOT(ISNUMBER(B4664)),"DATA_PC invalida",IF(OR(C4664="",C4664="Fora dos ciclos"),"CICLO_PC nao identificado",IF(OR(D4664="",D4664=0),"VALOR_PC vazio ou zero",IF(AND(G4664&lt;&gt;"Sim",G4664&lt;&gt;"Nao",G4664&lt;&gt;""),"PC_PAGO_A_CONTRATADA invalido",IF(AND(C4664&lt;&gt;"C0",IFERROR(INDEX(parametros!$A$2:$A$6,MATCH(C4664,parametros!$B$2:$B$6,0)),"")="Sim",IFERROR(INDEX(parametros!$H$2:$H$6,MATCH(C4664,parametros!$B$2:$B$6,0)),"")=""),"INICIO_EFEITO ausente: PC "&amp;A4664&amp;" - "&amp;C4664,IF(L4664="","EFEITO_PC nao calculado: PC "&amp;A4664&amp;" - "&amp;C4664,"OK")))))))))</f>
        <v/>
      </c>
      <c r="L4664" s="92" t="str">
        <f>IF(AND(A4664="",B4664="",D4664="",G4664=""),"",IF(OR(B4664="",NOT(ISNUMBER(B4664)),C4664="",C4664="Fora dos ciclos"),"",IF(C4664="C0","Nao",IF(IFERROR(INDEX(parametros!$A$2:$A$6,MATCH(C4664,parametros!$B$2:$B$6,0)),"")&lt;&gt;"Sim","Nao",IF(IFERROR(INDEX(parametros!$H$2:$H$6,MATCH(C4664,parametros!$B$2:$B$6,0)),"")="","",IF(B4664&gt;=IFERROR(INDEX(parametros!$H$2:$H$6,MATCH(C4664,parametros!$B$2:$B$6,0)),""),"Sim","Nao"))))))</f>
        <v/>
      </c>
      <c r="T4664" s="156"/>
      <c r="U4664" s="214" t="str">
        <f t="shared" si="366"/>
        <v/>
      </c>
      <c r="V4664" s="212" t="s">
        <v>50</v>
      </c>
      <c r="W4664" s="100" t="s">
        <v>168</v>
      </c>
      <c r="X4664" s="100" t="s">
        <v>169</v>
      </c>
      <c r="Y4664" s="101" t="s">
        <v>170</v>
      </c>
      <c r="Z4664" s="101" t="s">
        <v>171</v>
      </c>
      <c r="AA4664" s="101" t="s">
        <v>50</v>
      </c>
      <c r="AB4664" s="101" t="s">
        <v>172</v>
      </c>
      <c r="AC4664" s="102" t="s">
        <v>173</v>
      </c>
    </row>
    <row r="4665" spans="1:29" ht="25.5" customHeight="1" x14ac:dyDescent="0.35">
      <c r="A4665" s="392"/>
      <c r="B4665" s="393"/>
      <c r="C4665" s="99" t="str">
        <f>IF(B4665="","",IF(NOT(ISNUMBER(B4665)),"DATA_PC invalida",IF(NOT(ISNUMBER(parametros!$C$2)),"Fora dos ciclos",IF(OR(B4665&lt;parametros!$C$2,(YEAR(B4665)-YEAR(parametros!$C$2))*12+MONTH(B4665)-MONTH(parametros!$C$2)&gt;59),"Fora dos ciclos","C"&amp;INT(((YEAR(B4665)-YEAR(parametros!$C$2))*12+MONTH(B4665)-MONTH(parametros!$C$2))/12)))))</f>
        <v/>
      </c>
      <c r="D4665" s="394"/>
      <c r="E4665" s="78" t="str">
        <f>IF(C4665="","",IFERROR(VLOOKUP(C4665,parametros!$A$11:$E$15,5,0),""))</f>
        <v/>
      </c>
      <c r="F4665" s="79" t="str">
        <f t="shared" si="362"/>
        <v/>
      </c>
      <c r="G4665" s="395"/>
      <c r="H4665" s="91">
        <f t="shared" si="363"/>
        <v>0</v>
      </c>
      <c r="I4665" s="91" t="str">
        <f t="shared" si="364"/>
        <v/>
      </c>
      <c r="J4665" s="91" t="str">
        <f t="shared" si="365"/>
        <v/>
      </c>
      <c r="K4665" s="92" t="str">
        <f>IF(AND(A4665="",B4665="",D4665="",G4665=""),"",IF(AND(A4665&lt;&gt;"",COUNTIF($A$2:$A$5001,A4665)&gt;1),"NUMERO_PC duplicado",IF(B4665="","DATA_PC vazia",IF(NOT(ISNUMBER(B4665)),"DATA_PC invalida",IF(OR(C4665="",C4665="Fora dos ciclos"),"CICLO_PC nao identificado",IF(OR(D4665="",D4665=0),"VALOR_PC vazio ou zero",IF(AND(G4665&lt;&gt;"Sim",G4665&lt;&gt;"Nao",G4665&lt;&gt;""),"PC_PAGO_A_CONTRATADA invalido",IF(AND(C4665&lt;&gt;"C0",IFERROR(INDEX(parametros!$A$2:$A$6,MATCH(C4665,parametros!$B$2:$B$6,0)),"")="Sim",IFERROR(INDEX(parametros!$H$2:$H$6,MATCH(C4665,parametros!$B$2:$B$6,0)),"")=""),"INICIO_EFEITO ausente: PC "&amp;A4665&amp;" - "&amp;C4665,IF(L4665="","EFEITO_PC nao calculado: PC "&amp;A4665&amp;" - "&amp;C4665,"OK")))))))))</f>
        <v/>
      </c>
      <c r="L4665" s="92" t="str">
        <f>IF(AND(A4665="",B4665="",D4665="",G4665=""),"",IF(OR(B4665="",NOT(ISNUMBER(B4665)),C4665="",C4665="Fora dos ciclos"),"",IF(C4665="C0","Nao",IF(IFERROR(INDEX(parametros!$A$2:$A$6,MATCH(C4665,parametros!$B$2:$B$6,0)),"")&lt;&gt;"Sim","Nao",IF(IFERROR(INDEX(parametros!$H$2:$H$6,MATCH(C4665,parametros!$B$2:$B$6,0)),"")="","",IF(B4665&gt;=IFERROR(INDEX(parametros!$H$2:$H$6,MATCH(C4665,parametros!$B$2:$B$6,0)),""),"Sim","Nao"))))))</f>
        <v/>
      </c>
      <c r="T4665" s="156"/>
      <c r="U4665" s="214" t="str">
        <f t="shared" si="366"/>
        <v/>
      </c>
      <c r="V4665" s="212" t="s">
        <v>50</v>
      </c>
      <c r="W4665" s="100" t="s">
        <v>168</v>
      </c>
      <c r="X4665" s="100" t="s">
        <v>169</v>
      </c>
      <c r="Y4665" s="101" t="s">
        <v>170</v>
      </c>
      <c r="Z4665" s="101" t="s">
        <v>171</v>
      </c>
      <c r="AA4665" s="101" t="s">
        <v>50</v>
      </c>
      <c r="AB4665" s="101" t="s">
        <v>172</v>
      </c>
      <c r="AC4665" s="102" t="s">
        <v>173</v>
      </c>
    </row>
    <row r="4666" spans="1:29" ht="25.5" customHeight="1" x14ac:dyDescent="0.35">
      <c r="A4666" s="392"/>
      <c r="B4666" s="393"/>
      <c r="C4666" s="99" t="str">
        <f>IF(B4666="","",IF(NOT(ISNUMBER(B4666)),"DATA_PC invalida",IF(NOT(ISNUMBER(parametros!$C$2)),"Fora dos ciclos",IF(OR(B4666&lt;parametros!$C$2,(YEAR(B4666)-YEAR(parametros!$C$2))*12+MONTH(B4666)-MONTH(parametros!$C$2)&gt;59),"Fora dos ciclos","C"&amp;INT(((YEAR(B4666)-YEAR(parametros!$C$2))*12+MONTH(B4666)-MONTH(parametros!$C$2))/12)))))</f>
        <v/>
      </c>
      <c r="D4666" s="394"/>
      <c r="E4666" s="78" t="str">
        <f>IF(C4666="","",IFERROR(VLOOKUP(C4666,parametros!$A$11:$E$15,5,0),""))</f>
        <v/>
      </c>
      <c r="F4666" s="79" t="str">
        <f t="shared" si="362"/>
        <v/>
      </c>
      <c r="G4666" s="395"/>
      <c r="H4666" s="91">
        <f t="shared" si="363"/>
        <v>0</v>
      </c>
      <c r="I4666" s="91" t="str">
        <f t="shared" si="364"/>
        <v/>
      </c>
      <c r="J4666" s="91" t="str">
        <f t="shared" si="365"/>
        <v/>
      </c>
      <c r="K4666" s="92" t="str">
        <f>IF(AND(A4666="",B4666="",D4666="",G4666=""),"",IF(AND(A4666&lt;&gt;"",COUNTIF($A$2:$A$5001,A4666)&gt;1),"NUMERO_PC duplicado",IF(B4666="","DATA_PC vazia",IF(NOT(ISNUMBER(B4666)),"DATA_PC invalida",IF(OR(C4666="",C4666="Fora dos ciclos"),"CICLO_PC nao identificado",IF(OR(D4666="",D4666=0),"VALOR_PC vazio ou zero",IF(AND(G4666&lt;&gt;"Sim",G4666&lt;&gt;"Nao",G4666&lt;&gt;""),"PC_PAGO_A_CONTRATADA invalido",IF(AND(C4666&lt;&gt;"C0",IFERROR(INDEX(parametros!$A$2:$A$6,MATCH(C4666,parametros!$B$2:$B$6,0)),"")="Sim",IFERROR(INDEX(parametros!$H$2:$H$6,MATCH(C4666,parametros!$B$2:$B$6,0)),"")=""),"INICIO_EFEITO ausente: PC "&amp;A4666&amp;" - "&amp;C4666,IF(L4666="","EFEITO_PC nao calculado: PC "&amp;A4666&amp;" - "&amp;C4666,"OK")))))))))</f>
        <v/>
      </c>
      <c r="L4666" s="92" t="str">
        <f>IF(AND(A4666="",B4666="",D4666="",G4666=""),"",IF(OR(B4666="",NOT(ISNUMBER(B4666)),C4666="",C4666="Fora dos ciclos"),"",IF(C4666="C0","Nao",IF(IFERROR(INDEX(parametros!$A$2:$A$6,MATCH(C4666,parametros!$B$2:$B$6,0)),"")&lt;&gt;"Sim","Nao",IF(IFERROR(INDEX(parametros!$H$2:$H$6,MATCH(C4666,parametros!$B$2:$B$6,0)),"")="","",IF(B4666&gt;=IFERROR(INDEX(parametros!$H$2:$H$6,MATCH(C4666,parametros!$B$2:$B$6,0)),""),"Sim","Nao"))))))</f>
        <v/>
      </c>
      <c r="T4666" s="156"/>
      <c r="U4666" s="214" t="str">
        <f t="shared" si="366"/>
        <v/>
      </c>
      <c r="V4666" s="212" t="s">
        <v>50</v>
      </c>
      <c r="W4666" s="100" t="s">
        <v>168</v>
      </c>
      <c r="X4666" s="100" t="s">
        <v>169</v>
      </c>
      <c r="Y4666" s="101" t="s">
        <v>170</v>
      </c>
      <c r="Z4666" s="101" t="s">
        <v>171</v>
      </c>
      <c r="AA4666" s="101" t="s">
        <v>50</v>
      </c>
      <c r="AB4666" s="101" t="s">
        <v>172</v>
      </c>
      <c r="AC4666" s="102" t="s">
        <v>173</v>
      </c>
    </row>
    <row r="4667" spans="1:29" ht="25.5" customHeight="1" x14ac:dyDescent="0.35">
      <c r="A4667" s="392"/>
      <c r="B4667" s="393"/>
      <c r="C4667" s="99" t="str">
        <f>IF(B4667="","",IF(NOT(ISNUMBER(B4667)),"DATA_PC invalida",IF(NOT(ISNUMBER(parametros!$C$2)),"Fora dos ciclos",IF(OR(B4667&lt;parametros!$C$2,(YEAR(B4667)-YEAR(parametros!$C$2))*12+MONTH(B4667)-MONTH(parametros!$C$2)&gt;59),"Fora dos ciclos","C"&amp;INT(((YEAR(B4667)-YEAR(parametros!$C$2))*12+MONTH(B4667)-MONTH(parametros!$C$2))/12)))))</f>
        <v/>
      </c>
      <c r="D4667" s="394"/>
      <c r="E4667" s="78" t="str">
        <f>IF(C4667="","",IFERROR(VLOOKUP(C4667,parametros!$A$11:$E$15,5,0),""))</f>
        <v/>
      </c>
      <c r="F4667" s="79" t="str">
        <f t="shared" si="362"/>
        <v/>
      </c>
      <c r="G4667" s="395"/>
      <c r="H4667" s="91">
        <f t="shared" si="363"/>
        <v>0</v>
      </c>
      <c r="I4667" s="91" t="str">
        <f t="shared" si="364"/>
        <v/>
      </c>
      <c r="J4667" s="91" t="str">
        <f t="shared" si="365"/>
        <v/>
      </c>
      <c r="K4667" s="92" t="str">
        <f>IF(AND(A4667="",B4667="",D4667="",G4667=""),"",IF(AND(A4667&lt;&gt;"",COUNTIF($A$2:$A$5001,A4667)&gt;1),"NUMERO_PC duplicado",IF(B4667="","DATA_PC vazia",IF(NOT(ISNUMBER(B4667)),"DATA_PC invalida",IF(OR(C4667="",C4667="Fora dos ciclos"),"CICLO_PC nao identificado",IF(OR(D4667="",D4667=0),"VALOR_PC vazio ou zero",IF(AND(G4667&lt;&gt;"Sim",G4667&lt;&gt;"Nao",G4667&lt;&gt;""),"PC_PAGO_A_CONTRATADA invalido",IF(AND(C4667&lt;&gt;"C0",IFERROR(INDEX(parametros!$A$2:$A$6,MATCH(C4667,parametros!$B$2:$B$6,0)),"")="Sim",IFERROR(INDEX(parametros!$H$2:$H$6,MATCH(C4667,parametros!$B$2:$B$6,0)),"")=""),"INICIO_EFEITO ausente: PC "&amp;A4667&amp;" - "&amp;C4667,IF(L4667="","EFEITO_PC nao calculado: PC "&amp;A4667&amp;" - "&amp;C4667,"OK")))))))))</f>
        <v/>
      </c>
      <c r="L4667" s="92" t="str">
        <f>IF(AND(A4667="",B4667="",D4667="",G4667=""),"",IF(OR(B4667="",NOT(ISNUMBER(B4667)),C4667="",C4667="Fora dos ciclos"),"",IF(C4667="C0","Nao",IF(IFERROR(INDEX(parametros!$A$2:$A$6,MATCH(C4667,parametros!$B$2:$B$6,0)),"")&lt;&gt;"Sim","Nao",IF(IFERROR(INDEX(parametros!$H$2:$H$6,MATCH(C4667,parametros!$B$2:$B$6,0)),"")="","",IF(B4667&gt;=IFERROR(INDEX(parametros!$H$2:$H$6,MATCH(C4667,parametros!$B$2:$B$6,0)),""),"Sim","Nao"))))))</f>
        <v/>
      </c>
      <c r="T4667" s="156"/>
      <c r="U4667" s="214" t="str">
        <f t="shared" si="366"/>
        <v/>
      </c>
      <c r="V4667" s="212" t="s">
        <v>50</v>
      </c>
      <c r="W4667" s="100" t="s">
        <v>168</v>
      </c>
      <c r="X4667" s="100" t="s">
        <v>169</v>
      </c>
      <c r="Y4667" s="101" t="s">
        <v>170</v>
      </c>
      <c r="Z4667" s="101" t="s">
        <v>171</v>
      </c>
      <c r="AA4667" s="101" t="s">
        <v>50</v>
      </c>
      <c r="AB4667" s="101" t="s">
        <v>172</v>
      </c>
      <c r="AC4667" s="102" t="s">
        <v>173</v>
      </c>
    </row>
    <row r="4668" spans="1:29" ht="25.5" customHeight="1" x14ac:dyDescent="0.35">
      <c r="A4668" s="392"/>
      <c r="B4668" s="393"/>
      <c r="C4668" s="99" t="str">
        <f>IF(B4668="","",IF(NOT(ISNUMBER(B4668)),"DATA_PC invalida",IF(NOT(ISNUMBER(parametros!$C$2)),"Fora dos ciclos",IF(OR(B4668&lt;parametros!$C$2,(YEAR(B4668)-YEAR(parametros!$C$2))*12+MONTH(B4668)-MONTH(parametros!$C$2)&gt;59),"Fora dos ciclos","C"&amp;INT(((YEAR(B4668)-YEAR(parametros!$C$2))*12+MONTH(B4668)-MONTH(parametros!$C$2))/12)))))</f>
        <v/>
      </c>
      <c r="D4668" s="394"/>
      <c r="E4668" s="78" t="str">
        <f>IF(C4668="","",IFERROR(VLOOKUP(C4668,parametros!$A$11:$E$15,5,0),""))</f>
        <v/>
      </c>
      <c r="F4668" s="79" t="str">
        <f t="shared" si="362"/>
        <v/>
      </c>
      <c r="G4668" s="395"/>
      <c r="H4668" s="91">
        <f t="shared" si="363"/>
        <v>0</v>
      </c>
      <c r="I4668" s="91" t="str">
        <f t="shared" si="364"/>
        <v/>
      </c>
      <c r="J4668" s="91" t="str">
        <f t="shared" si="365"/>
        <v/>
      </c>
      <c r="K4668" s="92" t="str">
        <f>IF(AND(A4668="",B4668="",D4668="",G4668=""),"",IF(AND(A4668&lt;&gt;"",COUNTIF($A$2:$A$5001,A4668)&gt;1),"NUMERO_PC duplicado",IF(B4668="","DATA_PC vazia",IF(NOT(ISNUMBER(B4668)),"DATA_PC invalida",IF(OR(C4668="",C4668="Fora dos ciclos"),"CICLO_PC nao identificado",IF(OR(D4668="",D4668=0),"VALOR_PC vazio ou zero",IF(AND(G4668&lt;&gt;"Sim",G4668&lt;&gt;"Nao",G4668&lt;&gt;""),"PC_PAGO_A_CONTRATADA invalido",IF(AND(C4668&lt;&gt;"C0",IFERROR(INDEX(parametros!$A$2:$A$6,MATCH(C4668,parametros!$B$2:$B$6,0)),"")="Sim",IFERROR(INDEX(parametros!$H$2:$H$6,MATCH(C4668,parametros!$B$2:$B$6,0)),"")=""),"INICIO_EFEITO ausente: PC "&amp;A4668&amp;" - "&amp;C4668,IF(L4668="","EFEITO_PC nao calculado: PC "&amp;A4668&amp;" - "&amp;C4668,"OK")))))))))</f>
        <v/>
      </c>
      <c r="L4668" s="92" t="str">
        <f>IF(AND(A4668="",B4668="",D4668="",G4668=""),"",IF(OR(B4668="",NOT(ISNUMBER(B4668)),C4668="",C4668="Fora dos ciclos"),"",IF(C4668="C0","Nao",IF(IFERROR(INDEX(parametros!$A$2:$A$6,MATCH(C4668,parametros!$B$2:$B$6,0)),"")&lt;&gt;"Sim","Nao",IF(IFERROR(INDEX(parametros!$H$2:$H$6,MATCH(C4668,parametros!$B$2:$B$6,0)),"")="","",IF(B4668&gt;=IFERROR(INDEX(parametros!$H$2:$H$6,MATCH(C4668,parametros!$B$2:$B$6,0)),""),"Sim","Nao"))))))</f>
        <v/>
      </c>
      <c r="T4668" s="156"/>
      <c r="U4668" s="214" t="str">
        <f t="shared" si="366"/>
        <v/>
      </c>
      <c r="V4668" s="212" t="s">
        <v>50</v>
      </c>
      <c r="W4668" s="100" t="s">
        <v>168</v>
      </c>
      <c r="X4668" s="100" t="s">
        <v>169</v>
      </c>
      <c r="Y4668" s="101" t="s">
        <v>170</v>
      </c>
      <c r="Z4668" s="101" t="s">
        <v>171</v>
      </c>
      <c r="AA4668" s="101" t="s">
        <v>50</v>
      </c>
      <c r="AB4668" s="101" t="s">
        <v>172</v>
      </c>
      <c r="AC4668" s="102" t="s">
        <v>173</v>
      </c>
    </row>
    <row r="4669" spans="1:29" ht="25.5" customHeight="1" x14ac:dyDescent="0.35">
      <c r="A4669" s="392"/>
      <c r="B4669" s="393"/>
      <c r="C4669" s="99" t="str">
        <f>IF(B4669="","",IF(NOT(ISNUMBER(B4669)),"DATA_PC invalida",IF(NOT(ISNUMBER(parametros!$C$2)),"Fora dos ciclos",IF(OR(B4669&lt;parametros!$C$2,(YEAR(B4669)-YEAR(parametros!$C$2))*12+MONTH(B4669)-MONTH(parametros!$C$2)&gt;59),"Fora dos ciclos","C"&amp;INT(((YEAR(B4669)-YEAR(parametros!$C$2))*12+MONTH(B4669)-MONTH(parametros!$C$2))/12)))))</f>
        <v/>
      </c>
      <c r="D4669" s="394"/>
      <c r="E4669" s="78" t="str">
        <f>IF(C4669="","",IFERROR(VLOOKUP(C4669,parametros!$A$11:$E$15,5,0),""))</f>
        <v/>
      </c>
      <c r="F4669" s="79" t="str">
        <f t="shared" si="362"/>
        <v/>
      </c>
      <c r="G4669" s="395"/>
      <c r="H4669" s="91">
        <f t="shared" si="363"/>
        <v>0</v>
      </c>
      <c r="I4669" s="91" t="str">
        <f t="shared" si="364"/>
        <v/>
      </c>
      <c r="J4669" s="91" t="str">
        <f t="shared" si="365"/>
        <v/>
      </c>
      <c r="K4669" s="92" t="str">
        <f>IF(AND(A4669="",B4669="",D4669="",G4669=""),"",IF(AND(A4669&lt;&gt;"",COUNTIF($A$2:$A$5001,A4669)&gt;1),"NUMERO_PC duplicado",IF(B4669="","DATA_PC vazia",IF(NOT(ISNUMBER(B4669)),"DATA_PC invalida",IF(OR(C4669="",C4669="Fora dos ciclos"),"CICLO_PC nao identificado",IF(OR(D4669="",D4669=0),"VALOR_PC vazio ou zero",IF(AND(G4669&lt;&gt;"Sim",G4669&lt;&gt;"Nao",G4669&lt;&gt;""),"PC_PAGO_A_CONTRATADA invalido",IF(AND(C4669&lt;&gt;"C0",IFERROR(INDEX(parametros!$A$2:$A$6,MATCH(C4669,parametros!$B$2:$B$6,0)),"")="Sim",IFERROR(INDEX(parametros!$H$2:$H$6,MATCH(C4669,parametros!$B$2:$B$6,0)),"")=""),"INICIO_EFEITO ausente: PC "&amp;A4669&amp;" - "&amp;C4669,IF(L4669="","EFEITO_PC nao calculado: PC "&amp;A4669&amp;" - "&amp;C4669,"OK")))))))))</f>
        <v/>
      </c>
      <c r="L4669" s="92" t="str">
        <f>IF(AND(A4669="",B4669="",D4669="",G4669=""),"",IF(OR(B4669="",NOT(ISNUMBER(B4669)),C4669="",C4669="Fora dos ciclos"),"",IF(C4669="C0","Nao",IF(IFERROR(INDEX(parametros!$A$2:$A$6,MATCH(C4669,parametros!$B$2:$B$6,0)),"")&lt;&gt;"Sim","Nao",IF(IFERROR(INDEX(parametros!$H$2:$H$6,MATCH(C4669,parametros!$B$2:$B$6,0)),"")="","",IF(B4669&gt;=IFERROR(INDEX(parametros!$H$2:$H$6,MATCH(C4669,parametros!$B$2:$B$6,0)),""),"Sim","Nao"))))))</f>
        <v/>
      </c>
      <c r="T4669" s="156"/>
      <c r="U4669" s="214" t="str">
        <f t="shared" si="366"/>
        <v/>
      </c>
      <c r="V4669" s="212" t="s">
        <v>50</v>
      </c>
      <c r="W4669" s="100" t="s">
        <v>168</v>
      </c>
      <c r="X4669" s="100" t="s">
        <v>169</v>
      </c>
      <c r="Y4669" s="101" t="s">
        <v>170</v>
      </c>
      <c r="Z4669" s="101" t="s">
        <v>171</v>
      </c>
      <c r="AA4669" s="101" t="s">
        <v>50</v>
      </c>
      <c r="AB4669" s="101" t="s">
        <v>172</v>
      </c>
      <c r="AC4669" s="102" t="s">
        <v>173</v>
      </c>
    </row>
    <row r="4670" spans="1:29" ht="25.5" customHeight="1" x14ac:dyDescent="0.35">
      <c r="A4670" s="392"/>
      <c r="B4670" s="393"/>
      <c r="C4670" s="99" t="str">
        <f>IF(B4670="","",IF(NOT(ISNUMBER(B4670)),"DATA_PC invalida",IF(NOT(ISNUMBER(parametros!$C$2)),"Fora dos ciclos",IF(OR(B4670&lt;parametros!$C$2,(YEAR(B4670)-YEAR(parametros!$C$2))*12+MONTH(B4670)-MONTH(parametros!$C$2)&gt;59),"Fora dos ciclos","C"&amp;INT(((YEAR(B4670)-YEAR(parametros!$C$2))*12+MONTH(B4670)-MONTH(parametros!$C$2))/12)))))</f>
        <v/>
      </c>
      <c r="D4670" s="394"/>
      <c r="E4670" s="78" t="str">
        <f>IF(C4670="","",IFERROR(VLOOKUP(C4670,parametros!$A$11:$E$15,5,0),""))</f>
        <v/>
      </c>
      <c r="F4670" s="79" t="str">
        <f t="shared" si="362"/>
        <v/>
      </c>
      <c r="G4670" s="395"/>
      <c r="H4670" s="91">
        <f t="shared" si="363"/>
        <v>0</v>
      </c>
      <c r="I4670" s="91" t="str">
        <f t="shared" si="364"/>
        <v/>
      </c>
      <c r="J4670" s="91" t="str">
        <f t="shared" si="365"/>
        <v/>
      </c>
      <c r="K4670" s="92" t="str">
        <f>IF(AND(A4670="",B4670="",D4670="",G4670=""),"",IF(AND(A4670&lt;&gt;"",COUNTIF($A$2:$A$5001,A4670)&gt;1),"NUMERO_PC duplicado",IF(B4670="","DATA_PC vazia",IF(NOT(ISNUMBER(B4670)),"DATA_PC invalida",IF(OR(C4670="",C4670="Fora dos ciclos"),"CICLO_PC nao identificado",IF(OR(D4670="",D4670=0),"VALOR_PC vazio ou zero",IF(AND(G4670&lt;&gt;"Sim",G4670&lt;&gt;"Nao",G4670&lt;&gt;""),"PC_PAGO_A_CONTRATADA invalido",IF(AND(C4670&lt;&gt;"C0",IFERROR(INDEX(parametros!$A$2:$A$6,MATCH(C4670,parametros!$B$2:$B$6,0)),"")="Sim",IFERROR(INDEX(parametros!$H$2:$H$6,MATCH(C4670,parametros!$B$2:$B$6,0)),"")=""),"INICIO_EFEITO ausente: PC "&amp;A4670&amp;" - "&amp;C4670,IF(L4670="","EFEITO_PC nao calculado: PC "&amp;A4670&amp;" - "&amp;C4670,"OK")))))))))</f>
        <v/>
      </c>
      <c r="L4670" s="92" t="str">
        <f>IF(AND(A4670="",B4670="",D4670="",G4670=""),"",IF(OR(B4670="",NOT(ISNUMBER(B4670)),C4670="",C4670="Fora dos ciclos"),"",IF(C4670="C0","Nao",IF(IFERROR(INDEX(parametros!$A$2:$A$6,MATCH(C4670,parametros!$B$2:$B$6,0)),"")&lt;&gt;"Sim","Nao",IF(IFERROR(INDEX(parametros!$H$2:$H$6,MATCH(C4670,parametros!$B$2:$B$6,0)),"")="","",IF(B4670&gt;=IFERROR(INDEX(parametros!$H$2:$H$6,MATCH(C4670,parametros!$B$2:$B$6,0)),""),"Sim","Nao"))))))</f>
        <v/>
      </c>
      <c r="T4670" s="156"/>
      <c r="U4670" s="214" t="str">
        <f t="shared" si="366"/>
        <v/>
      </c>
      <c r="V4670" s="212" t="s">
        <v>50</v>
      </c>
      <c r="W4670" s="100" t="s">
        <v>168</v>
      </c>
      <c r="X4670" s="100" t="s">
        <v>169</v>
      </c>
      <c r="Y4670" s="101" t="s">
        <v>170</v>
      </c>
      <c r="Z4670" s="101" t="s">
        <v>171</v>
      </c>
      <c r="AA4670" s="101" t="s">
        <v>50</v>
      </c>
      <c r="AB4670" s="101" t="s">
        <v>172</v>
      </c>
      <c r="AC4670" s="102" t="s">
        <v>173</v>
      </c>
    </row>
    <row r="4671" spans="1:29" ht="25.5" customHeight="1" x14ac:dyDescent="0.35">
      <c r="A4671" s="392"/>
      <c r="B4671" s="393"/>
      <c r="C4671" s="99" t="str">
        <f>IF(B4671="","",IF(NOT(ISNUMBER(B4671)),"DATA_PC invalida",IF(NOT(ISNUMBER(parametros!$C$2)),"Fora dos ciclos",IF(OR(B4671&lt;parametros!$C$2,(YEAR(B4671)-YEAR(parametros!$C$2))*12+MONTH(B4671)-MONTH(parametros!$C$2)&gt;59),"Fora dos ciclos","C"&amp;INT(((YEAR(B4671)-YEAR(parametros!$C$2))*12+MONTH(B4671)-MONTH(parametros!$C$2))/12)))))</f>
        <v/>
      </c>
      <c r="D4671" s="394"/>
      <c r="E4671" s="78" t="str">
        <f>IF(C4671="","",IFERROR(VLOOKUP(C4671,parametros!$A$11:$E$15,5,0),""))</f>
        <v/>
      </c>
      <c r="F4671" s="79" t="str">
        <f t="shared" si="362"/>
        <v/>
      </c>
      <c r="G4671" s="395"/>
      <c r="H4671" s="91">
        <f t="shared" si="363"/>
        <v>0</v>
      </c>
      <c r="I4671" s="91" t="str">
        <f t="shared" si="364"/>
        <v/>
      </c>
      <c r="J4671" s="91" t="str">
        <f t="shared" si="365"/>
        <v/>
      </c>
      <c r="K4671" s="92" t="str">
        <f>IF(AND(A4671="",B4671="",D4671="",G4671=""),"",IF(AND(A4671&lt;&gt;"",COUNTIF($A$2:$A$5001,A4671)&gt;1),"NUMERO_PC duplicado",IF(B4671="","DATA_PC vazia",IF(NOT(ISNUMBER(B4671)),"DATA_PC invalida",IF(OR(C4671="",C4671="Fora dos ciclos"),"CICLO_PC nao identificado",IF(OR(D4671="",D4671=0),"VALOR_PC vazio ou zero",IF(AND(G4671&lt;&gt;"Sim",G4671&lt;&gt;"Nao",G4671&lt;&gt;""),"PC_PAGO_A_CONTRATADA invalido",IF(AND(C4671&lt;&gt;"C0",IFERROR(INDEX(parametros!$A$2:$A$6,MATCH(C4671,parametros!$B$2:$B$6,0)),"")="Sim",IFERROR(INDEX(parametros!$H$2:$H$6,MATCH(C4671,parametros!$B$2:$B$6,0)),"")=""),"INICIO_EFEITO ausente: PC "&amp;A4671&amp;" - "&amp;C4671,IF(L4671="","EFEITO_PC nao calculado: PC "&amp;A4671&amp;" - "&amp;C4671,"OK")))))))))</f>
        <v/>
      </c>
      <c r="L4671" s="92" t="str">
        <f>IF(AND(A4671="",B4671="",D4671="",G4671=""),"",IF(OR(B4671="",NOT(ISNUMBER(B4671)),C4671="",C4671="Fora dos ciclos"),"",IF(C4671="C0","Nao",IF(IFERROR(INDEX(parametros!$A$2:$A$6,MATCH(C4671,parametros!$B$2:$B$6,0)),"")&lt;&gt;"Sim","Nao",IF(IFERROR(INDEX(parametros!$H$2:$H$6,MATCH(C4671,parametros!$B$2:$B$6,0)),"")="","",IF(B4671&gt;=IFERROR(INDEX(parametros!$H$2:$H$6,MATCH(C4671,parametros!$B$2:$B$6,0)),""),"Sim","Nao"))))))</f>
        <v/>
      </c>
      <c r="T4671" s="156"/>
      <c r="U4671" s="214" t="str">
        <f t="shared" si="366"/>
        <v/>
      </c>
      <c r="V4671" s="212" t="s">
        <v>50</v>
      </c>
      <c r="W4671" s="100" t="s">
        <v>168</v>
      </c>
      <c r="X4671" s="100" t="s">
        <v>169</v>
      </c>
      <c r="Y4671" s="101" t="s">
        <v>170</v>
      </c>
      <c r="Z4671" s="101" t="s">
        <v>171</v>
      </c>
      <c r="AA4671" s="101" t="s">
        <v>50</v>
      </c>
      <c r="AB4671" s="101" t="s">
        <v>172</v>
      </c>
      <c r="AC4671" s="102" t="s">
        <v>173</v>
      </c>
    </row>
    <row r="4672" spans="1:29" ht="25.5" customHeight="1" x14ac:dyDescent="0.35">
      <c r="A4672" s="392"/>
      <c r="B4672" s="393"/>
      <c r="C4672" s="99" t="str">
        <f>IF(B4672="","",IF(NOT(ISNUMBER(B4672)),"DATA_PC invalida",IF(NOT(ISNUMBER(parametros!$C$2)),"Fora dos ciclos",IF(OR(B4672&lt;parametros!$C$2,(YEAR(B4672)-YEAR(parametros!$C$2))*12+MONTH(B4672)-MONTH(parametros!$C$2)&gt;59),"Fora dos ciclos","C"&amp;INT(((YEAR(B4672)-YEAR(parametros!$C$2))*12+MONTH(B4672)-MONTH(parametros!$C$2))/12)))))</f>
        <v/>
      </c>
      <c r="D4672" s="394"/>
      <c r="E4672" s="78" t="str">
        <f>IF(C4672="","",IFERROR(VLOOKUP(C4672,parametros!$A$11:$E$15,5,0),""))</f>
        <v/>
      </c>
      <c r="F4672" s="79" t="str">
        <f t="shared" si="362"/>
        <v/>
      </c>
      <c r="G4672" s="395"/>
      <c r="H4672" s="91">
        <f t="shared" si="363"/>
        <v>0</v>
      </c>
      <c r="I4672" s="91" t="str">
        <f t="shared" si="364"/>
        <v/>
      </c>
      <c r="J4672" s="91" t="str">
        <f t="shared" si="365"/>
        <v/>
      </c>
      <c r="K4672" s="92" t="str">
        <f>IF(AND(A4672="",B4672="",D4672="",G4672=""),"",IF(AND(A4672&lt;&gt;"",COUNTIF($A$2:$A$5001,A4672)&gt;1),"NUMERO_PC duplicado",IF(B4672="","DATA_PC vazia",IF(NOT(ISNUMBER(B4672)),"DATA_PC invalida",IF(OR(C4672="",C4672="Fora dos ciclos"),"CICLO_PC nao identificado",IF(OR(D4672="",D4672=0),"VALOR_PC vazio ou zero",IF(AND(G4672&lt;&gt;"Sim",G4672&lt;&gt;"Nao",G4672&lt;&gt;""),"PC_PAGO_A_CONTRATADA invalido",IF(AND(C4672&lt;&gt;"C0",IFERROR(INDEX(parametros!$A$2:$A$6,MATCH(C4672,parametros!$B$2:$B$6,0)),"")="Sim",IFERROR(INDEX(parametros!$H$2:$H$6,MATCH(C4672,parametros!$B$2:$B$6,0)),"")=""),"INICIO_EFEITO ausente: PC "&amp;A4672&amp;" - "&amp;C4672,IF(L4672="","EFEITO_PC nao calculado: PC "&amp;A4672&amp;" - "&amp;C4672,"OK")))))))))</f>
        <v/>
      </c>
      <c r="L4672" s="92" t="str">
        <f>IF(AND(A4672="",B4672="",D4672="",G4672=""),"",IF(OR(B4672="",NOT(ISNUMBER(B4672)),C4672="",C4672="Fora dos ciclos"),"",IF(C4672="C0","Nao",IF(IFERROR(INDEX(parametros!$A$2:$A$6,MATCH(C4672,parametros!$B$2:$B$6,0)),"")&lt;&gt;"Sim","Nao",IF(IFERROR(INDEX(parametros!$H$2:$H$6,MATCH(C4672,parametros!$B$2:$B$6,0)),"")="","",IF(B4672&gt;=IFERROR(INDEX(parametros!$H$2:$H$6,MATCH(C4672,parametros!$B$2:$B$6,0)),""),"Sim","Nao"))))))</f>
        <v/>
      </c>
      <c r="T4672" s="156"/>
      <c r="U4672" s="214" t="str">
        <f t="shared" si="366"/>
        <v/>
      </c>
      <c r="V4672" s="212" t="s">
        <v>50</v>
      </c>
      <c r="W4672" s="100" t="s">
        <v>168</v>
      </c>
      <c r="X4672" s="100" t="s">
        <v>169</v>
      </c>
      <c r="Y4672" s="101" t="s">
        <v>170</v>
      </c>
      <c r="Z4672" s="101" t="s">
        <v>171</v>
      </c>
      <c r="AA4672" s="101" t="s">
        <v>50</v>
      </c>
      <c r="AB4672" s="101" t="s">
        <v>172</v>
      </c>
      <c r="AC4672" s="102" t="s">
        <v>173</v>
      </c>
    </row>
    <row r="4673" spans="1:29" ht="25.5" customHeight="1" x14ac:dyDescent="0.35">
      <c r="A4673" s="392"/>
      <c r="B4673" s="393"/>
      <c r="C4673" s="99" t="str">
        <f>IF(B4673="","",IF(NOT(ISNUMBER(B4673)),"DATA_PC invalida",IF(NOT(ISNUMBER(parametros!$C$2)),"Fora dos ciclos",IF(OR(B4673&lt;parametros!$C$2,(YEAR(B4673)-YEAR(parametros!$C$2))*12+MONTH(B4673)-MONTH(parametros!$C$2)&gt;59),"Fora dos ciclos","C"&amp;INT(((YEAR(B4673)-YEAR(parametros!$C$2))*12+MONTH(B4673)-MONTH(parametros!$C$2))/12)))))</f>
        <v/>
      </c>
      <c r="D4673" s="394"/>
      <c r="E4673" s="78" t="str">
        <f>IF(C4673="","",IFERROR(VLOOKUP(C4673,parametros!$A$11:$E$15,5,0),""))</f>
        <v/>
      </c>
      <c r="F4673" s="79" t="str">
        <f t="shared" si="362"/>
        <v/>
      </c>
      <c r="G4673" s="395"/>
      <c r="H4673" s="91">
        <f t="shared" si="363"/>
        <v>0</v>
      </c>
      <c r="I4673" s="91" t="str">
        <f t="shared" si="364"/>
        <v/>
      </c>
      <c r="J4673" s="91" t="str">
        <f t="shared" si="365"/>
        <v/>
      </c>
      <c r="K4673" s="92" t="str">
        <f>IF(AND(A4673="",B4673="",D4673="",G4673=""),"",IF(AND(A4673&lt;&gt;"",COUNTIF($A$2:$A$5001,A4673)&gt;1),"NUMERO_PC duplicado",IF(B4673="","DATA_PC vazia",IF(NOT(ISNUMBER(B4673)),"DATA_PC invalida",IF(OR(C4673="",C4673="Fora dos ciclos"),"CICLO_PC nao identificado",IF(OR(D4673="",D4673=0),"VALOR_PC vazio ou zero",IF(AND(G4673&lt;&gt;"Sim",G4673&lt;&gt;"Nao",G4673&lt;&gt;""),"PC_PAGO_A_CONTRATADA invalido",IF(AND(C4673&lt;&gt;"C0",IFERROR(INDEX(parametros!$A$2:$A$6,MATCH(C4673,parametros!$B$2:$B$6,0)),"")="Sim",IFERROR(INDEX(parametros!$H$2:$H$6,MATCH(C4673,parametros!$B$2:$B$6,0)),"")=""),"INICIO_EFEITO ausente: PC "&amp;A4673&amp;" - "&amp;C4673,IF(L4673="","EFEITO_PC nao calculado: PC "&amp;A4673&amp;" - "&amp;C4673,"OK")))))))))</f>
        <v/>
      </c>
      <c r="L4673" s="92" t="str">
        <f>IF(AND(A4673="",B4673="",D4673="",G4673=""),"",IF(OR(B4673="",NOT(ISNUMBER(B4673)),C4673="",C4673="Fora dos ciclos"),"",IF(C4673="C0","Nao",IF(IFERROR(INDEX(parametros!$A$2:$A$6,MATCH(C4673,parametros!$B$2:$B$6,0)),"")&lt;&gt;"Sim","Nao",IF(IFERROR(INDEX(parametros!$H$2:$H$6,MATCH(C4673,parametros!$B$2:$B$6,0)),"")="","",IF(B4673&gt;=IFERROR(INDEX(parametros!$H$2:$H$6,MATCH(C4673,parametros!$B$2:$B$6,0)),""),"Sim","Nao"))))))</f>
        <v/>
      </c>
      <c r="T4673" s="156"/>
      <c r="U4673" s="214" t="str">
        <f t="shared" si="366"/>
        <v/>
      </c>
      <c r="V4673" s="212" t="s">
        <v>50</v>
      </c>
      <c r="W4673" s="100" t="s">
        <v>168</v>
      </c>
      <c r="X4673" s="100" t="s">
        <v>169</v>
      </c>
      <c r="Y4673" s="101" t="s">
        <v>170</v>
      </c>
      <c r="Z4673" s="101" t="s">
        <v>171</v>
      </c>
      <c r="AA4673" s="101" t="s">
        <v>50</v>
      </c>
      <c r="AB4673" s="101" t="s">
        <v>172</v>
      </c>
      <c r="AC4673" s="102" t="s">
        <v>173</v>
      </c>
    </row>
    <row r="4674" spans="1:29" ht="25.5" customHeight="1" x14ac:dyDescent="0.35">
      <c r="A4674" s="392"/>
      <c r="B4674" s="393"/>
      <c r="C4674" s="99" t="str">
        <f>IF(B4674="","",IF(NOT(ISNUMBER(B4674)),"DATA_PC invalida",IF(NOT(ISNUMBER(parametros!$C$2)),"Fora dos ciclos",IF(OR(B4674&lt;parametros!$C$2,(YEAR(B4674)-YEAR(parametros!$C$2))*12+MONTH(B4674)-MONTH(parametros!$C$2)&gt;59),"Fora dos ciclos","C"&amp;INT(((YEAR(B4674)-YEAR(parametros!$C$2))*12+MONTH(B4674)-MONTH(parametros!$C$2))/12)))))</f>
        <v/>
      </c>
      <c r="D4674" s="394"/>
      <c r="E4674" s="78" t="str">
        <f>IF(C4674="","",IFERROR(VLOOKUP(C4674,parametros!$A$11:$E$15,5,0),""))</f>
        <v/>
      </c>
      <c r="F4674" s="79" t="str">
        <f t="shared" ref="F4674:F4737" si="367">IF(OR(D4674="",E4674=""),"",ROUND(D4674*E4674,2))</f>
        <v/>
      </c>
      <c r="G4674" s="395"/>
      <c r="H4674" s="91">
        <f t="shared" ref="H4674:H4737" si="368">IF(G4674="Sim",IF(OR(F4674="",D4674="",L4674=""),"",IF(L4674="Sim",ROUND(F4674-D4674,2),0)),0)</f>
        <v>0</v>
      </c>
      <c r="I4674" s="91" t="str">
        <f t="shared" ref="I4674:I4737" si="369">IF(G4674="Sim",0,IF(OR(F4674="",L4674=""),"",F4674))</f>
        <v/>
      </c>
      <c r="J4674" s="91" t="str">
        <f t="shared" ref="J4674:J4737" si="370">IF(G4674="Sim",0,IF(OR(F4674="",D4674="",L4674=""),"",IF(L4674="Sim",ROUND(F4674-D4674,2),0)))</f>
        <v/>
      </c>
      <c r="K4674" s="92" t="str">
        <f>IF(AND(A4674="",B4674="",D4674="",G4674=""),"",IF(AND(A4674&lt;&gt;"",COUNTIF($A$2:$A$5001,A4674)&gt;1),"NUMERO_PC duplicado",IF(B4674="","DATA_PC vazia",IF(NOT(ISNUMBER(B4674)),"DATA_PC invalida",IF(OR(C4674="",C4674="Fora dos ciclos"),"CICLO_PC nao identificado",IF(OR(D4674="",D4674=0),"VALOR_PC vazio ou zero",IF(AND(G4674&lt;&gt;"Sim",G4674&lt;&gt;"Nao",G4674&lt;&gt;""),"PC_PAGO_A_CONTRATADA invalido",IF(AND(C4674&lt;&gt;"C0",IFERROR(INDEX(parametros!$A$2:$A$6,MATCH(C4674,parametros!$B$2:$B$6,0)),"")="Sim",IFERROR(INDEX(parametros!$H$2:$H$6,MATCH(C4674,parametros!$B$2:$B$6,0)),"")=""),"INICIO_EFEITO ausente: PC "&amp;A4674&amp;" - "&amp;C4674,IF(L4674="","EFEITO_PC nao calculado: PC "&amp;A4674&amp;" - "&amp;C4674,"OK")))))))))</f>
        <v/>
      </c>
      <c r="L4674" s="92" t="str">
        <f>IF(AND(A4674="",B4674="",D4674="",G4674=""),"",IF(OR(B4674="",NOT(ISNUMBER(B4674)),C4674="",C4674="Fora dos ciclos"),"",IF(C4674="C0","Nao",IF(IFERROR(INDEX(parametros!$A$2:$A$6,MATCH(C4674,parametros!$B$2:$B$6,0)),"")&lt;&gt;"Sim","Nao",IF(IFERROR(INDEX(parametros!$H$2:$H$6,MATCH(C4674,parametros!$B$2:$B$6,0)),"")="","",IF(B4674&gt;=IFERROR(INDEX(parametros!$H$2:$H$6,MATCH(C4674,parametros!$B$2:$B$6,0)),""),"Sim","Nao"))))))</f>
        <v/>
      </c>
      <c r="T4674" s="156"/>
      <c r="U4674" s="214" t="str">
        <f t="shared" ref="U4674:U4737" si="371">IF(OR($D4674="",$H4674=""),"",ROUND($D4674+$H4674,2))</f>
        <v/>
      </c>
      <c r="V4674" s="212" t="s">
        <v>50</v>
      </c>
      <c r="W4674" s="100" t="s">
        <v>168</v>
      </c>
      <c r="X4674" s="100" t="s">
        <v>169</v>
      </c>
      <c r="Y4674" s="101" t="s">
        <v>170</v>
      </c>
      <c r="Z4674" s="101" t="s">
        <v>171</v>
      </c>
      <c r="AA4674" s="101" t="s">
        <v>50</v>
      </c>
      <c r="AB4674" s="101" t="s">
        <v>172</v>
      </c>
      <c r="AC4674" s="102" t="s">
        <v>173</v>
      </c>
    </row>
    <row r="4675" spans="1:29" ht="25.5" customHeight="1" x14ac:dyDescent="0.35">
      <c r="A4675" s="392"/>
      <c r="B4675" s="393"/>
      <c r="C4675" s="99" t="str">
        <f>IF(B4675="","",IF(NOT(ISNUMBER(B4675)),"DATA_PC invalida",IF(NOT(ISNUMBER(parametros!$C$2)),"Fora dos ciclos",IF(OR(B4675&lt;parametros!$C$2,(YEAR(B4675)-YEAR(parametros!$C$2))*12+MONTH(B4675)-MONTH(parametros!$C$2)&gt;59),"Fora dos ciclos","C"&amp;INT(((YEAR(B4675)-YEAR(parametros!$C$2))*12+MONTH(B4675)-MONTH(parametros!$C$2))/12)))))</f>
        <v/>
      </c>
      <c r="D4675" s="394"/>
      <c r="E4675" s="78" t="str">
        <f>IF(C4675="","",IFERROR(VLOOKUP(C4675,parametros!$A$11:$E$15,5,0),""))</f>
        <v/>
      </c>
      <c r="F4675" s="79" t="str">
        <f t="shared" si="367"/>
        <v/>
      </c>
      <c r="G4675" s="395"/>
      <c r="H4675" s="91">
        <f t="shared" si="368"/>
        <v>0</v>
      </c>
      <c r="I4675" s="91" t="str">
        <f t="shared" si="369"/>
        <v/>
      </c>
      <c r="J4675" s="91" t="str">
        <f t="shared" si="370"/>
        <v/>
      </c>
      <c r="K4675" s="92" t="str">
        <f>IF(AND(A4675="",B4675="",D4675="",G4675=""),"",IF(AND(A4675&lt;&gt;"",COUNTIF($A$2:$A$5001,A4675)&gt;1),"NUMERO_PC duplicado",IF(B4675="","DATA_PC vazia",IF(NOT(ISNUMBER(B4675)),"DATA_PC invalida",IF(OR(C4675="",C4675="Fora dos ciclos"),"CICLO_PC nao identificado",IF(OR(D4675="",D4675=0),"VALOR_PC vazio ou zero",IF(AND(G4675&lt;&gt;"Sim",G4675&lt;&gt;"Nao",G4675&lt;&gt;""),"PC_PAGO_A_CONTRATADA invalido",IF(AND(C4675&lt;&gt;"C0",IFERROR(INDEX(parametros!$A$2:$A$6,MATCH(C4675,parametros!$B$2:$B$6,0)),"")="Sim",IFERROR(INDEX(parametros!$H$2:$H$6,MATCH(C4675,parametros!$B$2:$B$6,0)),"")=""),"INICIO_EFEITO ausente: PC "&amp;A4675&amp;" - "&amp;C4675,IF(L4675="","EFEITO_PC nao calculado: PC "&amp;A4675&amp;" - "&amp;C4675,"OK")))))))))</f>
        <v/>
      </c>
      <c r="L4675" s="92" t="str">
        <f>IF(AND(A4675="",B4675="",D4675="",G4675=""),"",IF(OR(B4675="",NOT(ISNUMBER(B4675)),C4675="",C4675="Fora dos ciclos"),"",IF(C4675="C0","Nao",IF(IFERROR(INDEX(parametros!$A$2:$A$6,MATCH(C4675,parametros!$B$2:$B$6,0)),"")&lt;&gt;"Sim","Nao",IF(IFERROR(INDEX(parametros!$H$2:$H$6,MATCH(C4675,parametros!$B$2:$B$6,0)),"")="","",IF(B4675&gt;=IFERROR(INDEX(parametros!$H$2:$H$6,MATCH(C4675,parametros!$B$2:$B$6,0)),""),"Sim","Nao"))))))</f>
        <v/>
      </c>
      <c r="T4675" s="156"/>
      <c r="U4675" s="214" t="str">
        <f t="shared" si="371"/>
        <v/>
      </c>
      <c r="V4675" s="212" t="s">
        <v>50</v>
      </c>
      <c r="W4675" s="100" t="s">
        <v>168</v>
      </c>
      <c r="X4675" s="100" t="s">
        <v>169</v>
      </c>
      <c r="Y4675" s="101" t="s">
        <v>170</v>
      </c>
      <c r="Z4675" s="101" t="s">
        <v>171</v>
      </c>
      <c r="AA4675" s="101" t="s">
        <v>50</v>
      </c>
      <c r="AB4675" s="101" t="s">
        <v>172</v>
      </c>
      <c r="AC4675" s="102" t="s">
        <v>173</v>
      </c>
    </row>
    <row r="4676" spans="1:29" ht="25.5" customHeight="1" x14ac:dyDescent="0.35">
      <c r="A4676" s="392"/>
      <c r="B4676" s="393"/>
      <c r="C4676" s="99" t="str">
        <f>IF(B4676="","",IF(NOT(ISNUMBER(B4676)),"DATA_PC invalida",IF(NOT(ISNUMBER(parametros!$C$2)),"Fora dos ciclos",IF(OR(B4676&lt;parametros!$C$2,(YEAR(B4676)-YEAR(parametros!$C$2))*12+MONTH(B4676)-MONTH(parametros!$C$2)&gt;59),"Fora dos ciclos","C"&amp;INT(((YEAR(B4676)-YEAR(parametros!$C$2))*12+MONTH(B4676)-MONTH(parametros!$C$2))/12)))))</f>
        <v/>
      </c>
      <c r="D4676" s="394"/>
      <c r="E4676" s="78" t="str">
        <f>IF(C4676="","",IFERROR(VLOOKUP(C4676,parametros!$A$11:$E$15,5,0),""))</f>
        <v/>
      </c>
      <c r="F4676" s="79" t="str">
        <f t="shared" si="367"/>
        <v/>
      </c>
      <c r="G4676" s="395"/>
      <c r="H4676" s="91">
        <f t="shared" si="368"/>
        <v>0</v>
      </c>
      <c r="I4676" s="91" t="str">
        <f t="shared" si="369"/>
        <v/>
      </c>
      <c r="J4676" s="91" t="str">
        <f t="shared" si="370"/>
        <v/>
      </c>
      <c r="K4676" s="92" t="str">
        <f>IF(AND(A4676="",B4676="",D4676="",G4676=""),"",IF(AND(A4676&lt;&gt;"",COUNTIF($A$2:$A$5001,A4676)&gt;1),"NUMERO_PC duplicado",IF(B4676="","DATA_PC vazia",IF(NOT(ISNUMBER(B4676)),"DATA_PC invalida",IF(OR(C4676="",C4676="Fora dos ciclos"),"CICLO_PC nao identificado",IF(OR(D4676="",D4676=0),"VALOR_PC vazio ou zero",IF(AND(G4676&lt;&gt;"Sim",G4676&lt;&gt;"Nao",G4676&lt;&gt;""),"PC_PAGO_A_CONTRATADA invalido",IF(AND(C4676&lt;&gt;"C0",IFERROR(INDEX(parametros!$A$2:$A$6,MATCH(C4676,parametros!$B$2:$B$6,0)),"")="Sim",IFERROR(INDEX(parametros!$H$2:$H$6,MATCH(C4676,parametros!$B$2:$B$6,0)),"")=""),"INICIO_EFEITO ausente: PC "&amp;A4676&amp;" - "&amp;C4676,IF(L4676="","EFEITO_PC nao calculado: PC "&amp;A4676&amp;" - "&amp;C4676,"OK")))))))))</f>
        <v/>
      </c>
      <c r="L4676" s="92" t="str">
        <f>IF(AND(A4676="",B4676="",D4676="",G4676=""),"",IF(OR(B4676="",NOT(ISNUMBER(B4676)),C4676="",C4676="Fora dos ciclos"),"",IF(C4676="C0","Nao",IF(IFERROR(INDEX(parametros!$A$2:$A$6,MATCH(C4676,parametros!$B$2:$B$6,0)),"")&lt;&gt;"Sim","Nao",IF(IFERROR(INDEX(parametros!$H$2:$H$6,MATCH(C4676,parametros!$B$2:$B$6,0)),"")="","",IF(B4676&gt;=IFERROR(INDEX(parametros!$H$2:$H$6,MATCH(C4676,parametros!$B$2:$B$6,0)),""),"Sim","Nao"))))))</f>
        <v/>
      </c>
      <c r="T4676" s="156"/>
      <c r="U4676" s="214" t="str">
        <f t="shared" si="371"/>
        <v/>
      </c>
      <c r="V4676" s="212" t="s">
        <v>50</v>
      </c>
      <c r="W4676" s="100" t="s">
        <v>168</v>
      </c>
      <c r="X4676" s="100" t="s">
        <v>169</v>
      </c>
      <c r="Y4676" s="101" t="s">
        <v>170</v>
      </c>
      <c r="Z4676" s="101" t="s">
        <v>171</v>
      </c>
      <c r="AA4676" s="101" t="s">
        <v>50</v>
      </c>
      <c r="AB4676" s="101" t="s">
        <v>172</v>
      </c>
      <c r="AC4676" s="102" t="s">
        <v>173</v>
      </c>
    </row>
    <row r="4677" spans="1:29" ht="25.5" customHeight="1" x14ac:dyDescent="0.35">
      <c r="A4677" s="392"/>
      <c r="B4677" s="393"/>
      <c r="C4677" s="99" t="str">
        <f>IF(B4677="","",IF(NOT(ISNUMBER(B4677)),"DATA_PC invalida",IF(NOT(ISNUMBER(parametros!$C$2)),"Fora dos ciclos",IF(OR(B4677&lt;parametros!$C$2,(YEAR(B4677)-YEAR(parametros!$C$2))*12+MONTH(B4677)-MONTH(parametros!$C$2)&gt;59),"Fora dos ciclos","C"&amp;INT(((YEAR(B4677)-YEAR(parametros!$C$2))*12+MONTH(B4677)-MONTH(parametros!$C$2))/12)))))</f>
        <v/>
      </c>
      <c r="D4677" s="394"/>
      <c r="E4677" s="78" t="str">
        <f>IF(C4677="","",IFERROR(VLOOKUP(C4677,parametros!$A$11:$E$15,5,0),""))</f>
        <v/>
      </c>
      <c r="F4677" s="79" t="str">
        <f t="shared" si="367"/>
        <v/>
      </c>
      <c r="G4677" s="395"/>
      <c r="H4677" s="91">
        <f t="shared" si="368"/>
        <v>0</v>
      </c>
      <c r="I4677" s="91" t="str">
        <f t="shared" si="369"/>
        <v/>
      </c>
      <c r="J4677" s="91" t="str">
        <f t="shared" si="370"/>
        <v/>
      </c>
      <c r="K4677" s="92" t="str">
        <f>IF(AND(A4677="",B4677="",D4677="",G4677=""),"",IF(AND(A4677&lt;&gt;"",COUNTIF($A$2:$A$5001,A4677)&gt;1),"NUMERO_PC duplicado",IF(B4677="","DATA_PC vazia",IF(NOT(ISNUMBER(B4677)),"DATA_PC invalida",IF(OR(C4677="",C4677="Fora dos ciclos"),"CICLO_PC nao identificado",IF(OR(D4677="",D4677=0),"VALOR_PC vazio ou zero",IF(AND(G4677&lt;&gt;"Sim",G4677&lt;&gt;"Nao",G4677&lt;&gt;""),"PC_PAGO_A_CONTRATADA invalido",IF(AND(C4677&lt;&gt;"C0",IFERROR(INDEX(parametros!$A$2:$A$6,MATCH(C4677,parametros!$B$2:$B$6,0)),"")="Sim",IFERROR(INDEX(parametros!$H$2:$H$6,MATCH(C4677,parametros!$B$2:$B$6,0)),"")=""),"INICIO_EFEITO ausente: PC "&amp;A4677&amp;" - "&amp;C4677,IF(L4677="","EFEITO_PC nao calculado: PC "&amp;A4677&amp;" - "&amp;C4677,"OK")))))))))</f>
        <v/>
      </c>
      <c r="L4677" s="92" t="str">
        <f>IF(AND(A4677="",B4677="",D4677="",G4677=""),"",IF(OR(B4677="",NOT(ISNUMBER(B4677)),C4677="",C4677="Fora dos ciclos"),"",IF(C4677="C0","Nao",IF(IFERROR(INDEX(parametros!$A$2:$A$6,MATCH(C4677,parametros!$B$2:$B$6,0)),"")&lt;&gt;"Sim","Nao",IF(IFERROR(INDEX(parametros!$H$2:$H$6,MATCH(C4677,parametros!$B$2:$B$6,0)),"")="","",IF(B4677&gt;=IFERROR(INDEX(parametros!$H$2:$H$6,MATCH(C4677,parametros!$B$2:$B$6,0)),""),"Sim","Nao"))))))</f>
        <v/>
      </c>
      <c r="T4677" s="156"/>
      <c r="U4677" s="214" t="str">
        <f t="shared" si="371"/>
        <v/>
      </c>
      <c r="V4677" s="212" t="s">
        <v>50</v>
      </c>
      <c r="W4677" s="100" t="s">
        <v>168</v>
      </c>
      <c r="X4677" s="100" t="s">
        <v>169</v>
      </c>
      <c r="Y4677" s="101" t="s">
        <v>170</v>
      </c>
      <c r="Z4677" s="101" t="s">
        <v>171</v>
      </c>
      <c r="AA4677" s="101" t="s">
        <v>50</v>
      </c>
      <c r="AB4677" s="101" t="s">
        <v>172</v>
      </c>
      <c r="AC4677" s="102" t="s">
        <v>173</v>
      </c>
    </row>
    <row r="4678" spans="1:29" ht="25.5" customHeight="1" x14ac:dyDescent="0.35">
      <c r="A4678" s="392"/>
      <c r="B4678" s="393"/>
      <c r="C4678" s="99" t="str">
        <f>IF(B4678="","",IF(NOT(ISNUMBER(B4678)),"DATA_PC invalida",IF(NOT(ISNUMBER(parametros!$C$2)),"Fora dos ciclos",IF(OR(B4678&lt;parametros!$C$2,(YEAR(B4678)-YEAR(parametros!$C$2))*12+MONTH(B4678)-MONTH(parametros!$C$2)&gt;59),"Fora dos ciclos","C"&amp;INT(((YEAR(B4678)-YEAR(parametros!$C$2))*12+MONTH(B4678)-MONTH(parametros!$C$2))/12)))))</f>
        <v/>
      </c>
      <c r="D4678" s="394"/>
      <c r="E4678" s="78" t="str">
        <f>IF(C4678="","",IFERROR(VLOOKUP(C4678,parametros!$A$11:$E$15,5,0),""))</f>
        <v/>
      </c>
      <c r="F4678" s="79" t="str">
        <f t="shared" si="367"/>
        <v/>
      </c>
      <c r="G4678" s="395"/>
      <c r="H4678" s="91">
        <f t="shared" si="368"/>
        <v>0</v>
      </c>
      <c r="I4678" s="91" t="str">
        <f t="shared" si="369"/>
        <v/>
      </c>
      <c r="J4678" s="91" t="str">
        <f t="shared" si="370"/>
        <v/>
      </c>
      <c r="K4678" s="92" t="str">
        <f>IF(AND(A4678="",B4678="",D4678="",G4678=""),"",IF(AND(A4678&lt;&gt;"",COUNTIF($A$2:$A$5001,A4678)&gt;1),"NUMERO_PC duplicado",IF(B4678="","DATA_PC vazia",IF(NOT(ISNUMBER(B4678)),"DATA_PC invalida",IF(OR(C4678="",C4678="Fora dos ciclos"),"CICLO_PC nao identificado",IF(OR(D4678="",D4678=0),"VALOR_PC vazio ou zero",IF(AND(G4678&lt;&gt;"Sim",G4678&lt;&gt;"Nao",G4678&lt;&gt;""),"PC_PAGO_A_CONTRATADA invalido",IF(AND(C4678&lt;&gt;"C0",IFERROR(INDEX(parametros!$A$2:$A$6,MATCH(C4678,parametros!$B$2:$B$6,0)),"")="Sim",IFERROR(INDEX(parametros!$H$2:$H$6,MATCH(C4678,parametros!$B$2:$B$6,0)),"")=""),"INICIO_EFEITO ausente: PC "&amp;A4678&amp;" - "&amp;C4678,IF(L4678="","EFEITO_PC nao calculado: PC "&amp;A4678&amp;" - "&amp;C4678,"OK")))))))))</f>
        <v/>
      </c>
      <c r="L4678" s="92" t="str">
        <f>IF(AND(A4678="",B4678="",D4678="",G4678=""),"",IF(OR(B4678="",NOT(ISNUMBER(B4678)),C4678="",C4678="Fora dos ciclos"),"",IF(C4678="C0","Nao",IF(IFERROR(INDEX(parametros!$A$2:$A$6,MATCH(C4678,parametros!$B$2:$B$6,0)),"")&lt;&gt;"Sim","Nao",IF(IFERROR(INDEX(parametros!$H$2:$H$6,MATCH(C4678,parametros!$B$2:$B$6,0)),"")="","",IF(B4678&gt;=IFERROR(INDEX(parametros!$H$2:$H$6,MATCH(C4678,parametros!$B$2:$B$6,0)),""),"Sim","Nao"))))))</f>
        <v/>
      </c>
      <c r="T4678" s="156"/>
      <c r="U4678" s="214" t="str">
        <f t="shared" si="371"/>
        <v/>
      </c>
      <c r="V4678" s="212" t="s">
        <v>50</v>
      </c>
      <c r="W4678" s="100" t="s">
        <v>168</v>
      </c>
      <c r="X4678" s="100" t="s">
        <v>169</v>
      </c>
      <c r="Y4678" s="101" t="s">
        <v>170</v>
      </c>
      <c r="Z4678" s="101" t="s">
        <v>171</v>
      </c>
      <c r="AA4678" s="101" t="s">
        <v>50</v>
      </c>
      <c r="AB4678" s="101" t="s">
        <v>172</v>
      </c>
      <c r="AC4678" s="102" t="s">
        <v>173</v>
      </c>
    </row>
    <row r="4679" spans="1:29" ht="25.5" customHeight="1" x14ac:dyDescent="0.35">
      <c r="A4679" s="392"/>
      <c r="B4679" s="393"/>
      <c r="C4679" s="99" t="str">
        <f>IF(B4679="","",IF(NOT(ISNUMBER(B4679)),"DATA_PC invalida",IF(NOT(ISNUMBER(parametros!$C$2)),"Fora dos ciclos",IF(OR(B4679&lt;parametros!$C$2,(YEAR(B4679)-YEAR(parametros!$C$2))*12+MONTH(B4679)-MONTH(parametros!$C$2)&gt;59),"Fora dos ciclos","C"&amp;INT(((YEAR(B4679)-YEAR(parametros!$C$2))*12+MONTH(B4679)-MONTH(parametros!$C$2))/12)))))</f>
        <v/>
      </c>
      <c r="D4679" s="394"/>
      <c r="E4679" s="78" t="str">
        <f>IF(C4679="","",IFERROR(VLOOKUP(C4679,parametros!$A$11:$E$15,5,0),""))</f>
        <v/>
      </c>
      <c r="F4679" s="79" t="str">
        <f t="shared" si="367"/>
        <v/>
      </c>
      <c r="G4679" s="395"/>
      <c r="H4679" s="91">
        <f t="shared" si="368"/>
        <v>0</v>
      </c>
      <c r="I4679" s="91" t="str">
        <f t="shared" si="369"/>
        <v/>
      </c>
      <c r="J4679" s="91" t="str">
        <f t="shared" si="370"/>
        <v/>
      </c>
      <c r="K4679" s="92" t="str">
        <f>IF(AND(A4679="",B4679="",D4679="",G4679=""),"",IF(AND(A4679&lt;&gt;"",COUNTIF($A$2:$A$5001,A4679)&gt;1),"NUMERO_PC duplicado",IF(B4679="","DATA_PC vazia",IF(NOT(ISNUMBER(B4679)),"DATA_PC invalida",IF(OR(C4679="",C4679="Fora dos ciclos"),"CICLO_PC nao identificado",IF(OR(D4679="",D4679=0),"VALOR_PC vazio ou zero",IF(AND(G4679&lt;&gt;"Sim",G4679&lt;&gt;"Nao",G4679&lt;&gt;""),"PC_PAGO_A_CONTRATADA invalido",IF(AND(C4679&lt;&gt;"C0",IFERROR(INDEX(parametros!$A$2:$A$6,MATCH(C4679,parametros!$B$2:$B$6,0)),"")="Sim",IFERROR(INDEX(parametros!$H$2:$H$6,MATCH(C4679,parametros!$B$2:$B$6,0)),"")=""),"INICIO_EFEITO ausente: PC "&amp;A4679&amp;" - "&amp;C4679,IF(L4679="","EFEITO_PC nao calculado: PC "&amp;A4679&amp;" - "&amp;C4679,"OK")))))))))</f>
        <v/>
      </c>
      <c r="L4679" s="92" t="str">
        <f>IF(AND(A4679="",B4679="",D4679="",G4679=""),"",IF(OR(B4679="",NOT(ISNUMBER(B4679)),C4679="",C4679="Fora dos ciclos"),"",IF(C4679="C0","Nao",IF(IFERROR(INDEX(parametros!$A$2:$A$6,MATCH(C4679,parametros!$B$2:$B$6,0)),"")&lt;&gt;"Sim","Nao",IF(IFERROR(INDEX(parametros!$H$2:$H$6,MATCH(C4679,parametros!$B$2:$B$6,0)),"")="","",IF(B4679&gt;=IFERROR(INDEX(parametros!$H$2:$H$6,MATCH(C4679,parametros!$B$2:$B$6,0)),""),"Sim","Nao"))))))</f>
        <v/>
      </c>
      <c r="T4679" s="156"/>
      <c r="U4679" s="214" t="str">
        <f t="shared" si="371"/>
        <v/>
      </c>
      <c r="V4679" s="212" t="s">
        <v>50</v>
      </c>
      <c r="W4679" s="100" t="s">
        <v>168</v>
      </c>
      <c r="X4679" s="100" t="s">
        <v>169</v>
      </c>
      <c r="Y4679" s="101" t="s">
        <v>170</v>
      </c>
      <c r="Z4679" s="101" t="s">
        <v>171</v>
      </c>
      <c r="AA4679" s="101" t="s">
        <v>50</v>
      </c>
      <c r="AB4679" s="101" t="s">
        <v>172</v>
      </c>
      <c r="AC4679" s="102" t="s">
        <v>173</v>
      </c>
    </row>
    <row r="4680" spans="1:29" ht="25.5" customHeight="1" x14ac:dyDescent="0.35">
      <c r="A4680" s="392"/>
      <c r="B4680" s="393"/>
      <c r="C4680" s="99" t="str">
        <f>IF(B4680="","",IF(NOT(ISNUMBER(B4680)),"DATA_PC invalida",IF(NOT(ISNUMBER(parametros!$C$2)),"Fora dos ciclos",IF(OR(B4680&lt;parametros!$C$2,(YEAR(B4680)-YEAR(parametros!$C$2))*12+MONTH(B4680)-MONTH(parametros!$C$2)&gt;59),"Fora dos ciclos","C"&amp;INT(((YEAR(B4680)-YEAR(parametros!$C$2))*12+MONTH(B4680)-MONTH(parametros!$C$2))/12)))))</f>
        <v/>
      </c>
      <c r="D4680" s="394"/>
      <c r="E4680" s="78" t="str">
        <f>IF(C4680="","",IFERROR(VLOOKUP(C4680,parametros!$A$11:$E$15,5,0),""))</f>
        <v/>
      </c>
      <c r="F4680" s="79" t="str">
        <f t="shared" si="367"/>
        <v/>
      </c>
      <c r="G4680" s="395"/>
      <c r="H4680" s="91">
        <f t="shared" si="368"/>
        <v>0</v>
      </c>
      <c r="I4680" s="91" t="str">
        <f t="shared" si="369"/>
        <v/>
      </c>
      <c r="J4680" s="91" t="str">
        <f t="shared" si="370"/>
        <v/>
      </c>
      <c r="K4680" s="92" t="str">
        <f>IF(AND(A4680="",B4680="",D4680="",G4680=""),"",IF(AND(A4680&lt;&gt;"",COUNTIF($A$2:$A$5001,A4680)&gt;1),"NUMERO_PC duplicado",IF(B4680="","DATA_PC vazia",IF(NOT(ISNUMBER(B4680)),"DATA_PC invalida",IF(OR(C4680="",C4680="Fora dos ciclos"),"CICLO_PC nao identificado",IF(OR(D4680="",D4680=0),"VALOR_PC vazio ou zero",IF(AND(G4680&lt;&gt;"Sim",G4680&lt;&gt;"Nao",G4680&lt;&gt;""),"PC_PAGO_A_CONTRATADA invalido",IF(AND(C4680&lt;&gt;"C0",IFERROR(INDEX(parametros!$A$2:$A$6,MATCH(C4680,parametros!$B$2:$B$6,0)),"")="Sim",IFERROR(INDEX(parametros!$H$2:$H$6,MATCH(C4680,parametros!$B$2:$B$6,0)),"")=""),"INICIO_EFEITO ausente: PC "&amp;A4680&amp;" - "&amp;C4680,IF(L4680="","EFEITO_PC nao calculado: PC "&amp;A4680&amp;" - "&amp;C4680,"OK")))))))))</f>
        <v/>
      </c>
      <c r="L4680" s="92" t="str">
        <f>IF(AND(A4680="",B4680="",D4680="",G4680=""),"",IF(OR(B4680="",NOT(ISNUMBER(B4680)),C4680="",C4680="Fora dos ciclos"),"",IF(C4680="C0","Nao",IF(IFERROR(INDEX(parametros!$A$2:$A$6,MATCH(C4680,parametros!$B$2:$B$6,0)),"")&lt;&gt;"Sim","Nao",IF(IFERROR(INDEX(parametros!$H$2:$H$6,MATCH(C4680,parametros!$B$2:$B$6,0)),"")="","",IF(B4680&gt;=IFERROR(INDEX(parametros!$H$2:$H$6,MATCH(C4680,parametros!$B$2:$B$6,0)),""),"Sim","Nao"))))))</f>
        <v/>
      </c>
      <c r="T4680" s="156"/>
      <c r="U4680" s="214" t="str">
        <f t="shared" si="371"/>
        <v/>
      </c>
      <c r="V4680" s="212" t="s">
        <v>50</v>
      </c>
      <c r="W4680" s="100" t="s">
        <v>168</v>
      </c>
      <c r="X4680" s="100" t="s">
        <v>169</v>
      </c>
      <c r="Y4680" s="101" t="s">
        <v>170</v>
      </c>
      <c r="Z4680" s="101" t="s">
        <v>171</v>
      </c>
      <c r="AA4680" s="101" t="s">
        <v>50</v>
      </c>
      <c r="AB4680" s="101" t="s">
        <v>172</v>
      </c>
      <c r="AC4680" s="102" t="s">
        <v>173</v>
      </c>
    </row>
    <row r="4681" spans="1:29" ht="25.5" customHeight="1" x14ac:dyDescent="0.35">
      <c r="A4681" s="392"/>
      <c r="B4681" s="393"/>
      <c r="C4681" s="99" t="str">
        <f>IF(B4681="","",IF(NOT(ISNUMBER(B4681)),"DATA_PC invalida",IF(NOT(ISNUMBER(parametros!$C$2)),"Fora dos ciclos",IF(OR(B4681&lt;parametros!$C$2,(YEAR(B4681)-YEAR(parametros!$C$2))*12+MONTH(B4681)-MONTH(parametros!$C$2)&gt;59),"Fora dos ciclos","C"&amp;INT(((YEAR(B4681)-YEAR(parametros!$C$2))*12+MONTH(B4681)-MONTH(parametros!$C$2))/12)))))</f>
        <v/>
      </c>
      <c r="D4681" s="394"/>
      <c r="E4681" s="78" t="str">
        <f>IF(C4681="","",IFERROR(VLOOKUP(C4681,parametros!$A$11:$E$15,5,0),""))</f>
        <v/>
      </c>
      <c r="F4681" s="79" t="str">
        <f t="shared" si="367"/>
        <v/>
      </c>
      <c r="G4681" s="395"/>
      <c r="H4681" s="91">
        <f t="shared" si="368"/>
        <v>0</v>
      </c>
      <c r="I4681" s="91" t="str">
        <f t="shared" si="369"/>
        <v/>
      </c>
      <c r="J4681" s="91" t="str">
        <f t="shared" si="370"/>
        <v/>
      </c>
      <c r="K4681" s="92" t="str">
        <f>IF(AND(A4681="",B4681="",D4681="",G4681=""),"",IF(AND(A4681&lt;&gt;"",COUNTIF($A$2:$A$5001,A4681)&gt;1),"NUMERO_PC duplicado",IF(B4681="","DATA_PC vazia",IF(NOT(ISNUMBER(B4681)),"DATA_PC invalida",IF(OR(C4681="",C4681="Fora dos ciclos"),"CICLO_PC nao identificado",IF(OR(D4681="",D4681=0),"VALOR_PC vazio ou zero",IF(AND(G4681&lt;&gt;"Sim",G4681&lt;&gt;"Nao",G4681&lt;&gt;""),"PC_PAGO_A_CONTRATADA invalido",IF(AND(C4681&lt;&gt;"C0",IFERROR(INDEX(parametros!$A$2:$A$6,MATCH(C4681,parametros!$B$2:$B$6,0)),"")="Sim",IFERROR(INDEX(parametros!$H$2:$H$6,MATCH(C4681,parametros!$B$2:$B$6,0)),"")=""),"INICIO_EFEITO ausente: PC "&amp;A4681&amp;" - "&amp;C4681,IF(L4681="","EFEITO_PC nao calculado: PC "&amp;A4681&amp;" - "&amp;C4681,"OK")))))))))</f>
        <v/>
      </c>
      <c r="L4681" s="92" t="str">
        <f>IF(AND(A4681="",B4681="",D4681="",G4681=""),"",IF(OR(B4681="",NOT(ISNUMBER(B4681)),C4681="",C4681="Fora dos ciclos"),"",IF(C4681="C0","Nao",IF(IFERROR(INDEX(parametros!$A$2:$A$6,MATCH(C4681,parametros!$B$2:$B$6,0)),"")&lt;&gt;"Sim","Nao",IF(IFERROR(INDEX(parametros!$H$2:$H$6,MATCH(C4681,parametros!$B$2:$B$6,0)),"")="","",IF(B4681&gt;=IFERROR(INDEX(parametros!$H$2:$H$6,MATCH(C4681,parametros!$B$2:$B$6,0)),""),"Sim","Nao"))))))</f>
        <v/>
      </c>
      <c r="T4681" s="156"/>
      <c r="U4681" s="214" t="str">
        <f t="shared" si="371"/>
        <v/>
      </c>
      <c r="V4681" s="212" t="s">
        <v>50</v>
      </c>
      <c r="W4681" s="100" t="s">
        <v>168</v>
      </c>
      <c r="X4681" s="100" t="s">
        <v>169</v>
      </c>
      <c r="Y4681" s="101" t="s">
        <v>170</v>
      </c>
      <c r="Z4681" s="101" t="s">
        <v>171</v>
      </c>
      <c r="AA4681" s="101" t="s">
        <v>50</v>
      </c>
      <c r="AB4681" s="101" t="s">
        <v>172</v>
      </c>
      <c r="AC4681" s="102" t="s">
        <v>173</v>
      </c>
    </row>
    <row r="4682" spans="1:29" ht="25.5" customHeight="1" x14ac:dyDescent="0.35">
      <c r="A4682" s="392"/>
      <c r="B4682" s="393"/>
      <c r="C4682" s="99" t="str">
        <f>IF(B4682="","",IF(NOT(ISNUMBER(B4682)),"DATA_PC invalida",IF(NOT(ISNUMBER(parametros!$C$2)),"Fora dos ciclos",IF(OR(B4682&lt;parametros!$C$2,(YEAR(B4682)-YEAR(parametros!$C$2))*12+MONTH(B4682)-MONTH(parametros!$C$2)&gt;59),"Fora dos ciclos","C"&amp;INT(((YEAR(B4682)-YEAR(parametros!$C$2))*12+MONTH(B4682)-MONTH(parametros!$C$2))/12)))))</f>
        <v/>
      </c>
      <c r="D4682" s="394"/>
      <c r="E4682" s="78" t="str">
        <f>IF(C4682="","",IFERROR(VLOOKUP(C4682,parametros!$A$11:$E$15,5,0),""))</f>
        <v/>
      </c>
      <c r="F4682" s="79" t="str">
        <f t="shared" si="367"/>
        <v/>
      </c>
      <c r="G4682" s="395"/>
      <c r="H4682" s="91">
        <f t="shared" si="368"/>
        <v>0</v>
      </c>
      <c r="I4682" s="91" t="str">
        <f t="shared" si="369"/>
        <v/>
      </c>
      <c r="J4682" s="91" t="str">
        <f t="shared" si="370"/>
        <v/>
      </c>
      <c r="K4682" s="92" t="str">
        <f>IF(AND(A4682="",B4682="",D4682="",G4682=""),"",IF(AND(A4682&lt;&gt;"",COUNTIF($A$2:$A$5001,A4682)&gt;1),"NUMERO_PC duplicado",IF(B4682="","DATA_PC vazia",IF(NOT(ISNUMBER(B4682)),"DATA_PC invalida",IF(OR(C4682="",C4682="Fora dos ciclos"),"CICLO_PC nao identificado",IF(OR(D4682="",D4682=0),"VALOR_PC vazio ou zero",IF(AND(G4682&lt;&gt;"Sim",G4682&lt;&gt;"Nao",G4682&lt;&gt;""),"PC_PAGO_A_CONTRATADA invalido",IF(AND(C4682&lt;&gt;"C0",IFERROR(INDEX(parametros!$A$2:$A$6,MATCH(C4682,parametros!$B$2:$B$6,0)),"")="Sim",IFERROR(INDEX(parametros!$H$2:$H$6,MATCH(C4682,parametros!$B$2:$B$6,0)),"")=""),"INICIO_EFEITO ausente: PC "&amp;A4682&amp;" - "&amp;C4682,IF(L4682="","EFEITO_PC nao calculado: PC "&amp;A4682&amp;" - "&amp;C4682,"OK")))))))))</f>
        <v/>
      </c>
      <c r="L4682" s="92" t="str">
        <f>IF(AND(A4682="",B4682="",D4682="",G4682=""),"",IF(OR(B4682="",NOT(ISNUMBER(B4682)),C4682="",C4682="Fora dos ciclos"),"",IF(C4682="C0","Nao",IF(IFERROR(INDEX(parametros!$A$2:$A$6,MATCH(C4682,parametros!$B$2:$B$6,0)),"")&lt;&gt;"Sim","Nao",IF(IFERROR(INDEX(parametros!$H$2:$H$6,MATCH(C4682,parametros!$B$2:$B$6,0)),"")="","",IF(B4682&gt;=IFERROR(INDEX(parametros!$H$2:$H$6,MATCH(C4682,parametros!$B$2:$B$6,0)),""),"Sim","Nao"))))))</f>
        <v/>
      </c>
      <c r="T4682" s="156"/>
      <c r="U4682" s="214" t="str">
        <f t="shared" si="371"/>
        <v/>
      </c>
      <c r="V4682" s="212" t="s">
        <v>50</v>
      </c>
      <c r="W4682" s="100" t="s">
        <v>168</v>
      </c>
      <c r="X4682" s="100" t="s">
        <v>169</v>
      </c>
      <c r="Y4682" s="101" t="s">
        <v>170</v>
      </c>
      <c r="Z4682" s="101" t="s">
        <v>171</v>
      </c>
      <c r="AA4682" s="101" t="s">
        <v>50</v>
      </c>
      <c r="AB4682" s="101" t="s">
        <v>172</v>
      </c>
      <c r="AC4682" s="102" t="s">
        <v>173</v>
      </c>
    </row>
    <row r="4683" spans="1:29" ht="25.5" customHeight="1" x14ac:dyDescent="0.35">
      <c r="A4683" s="392"/>
      <c r="B4683" s="393"/>
      <c r="C4683" s="99" t="str">
        <f>IF(B4683="","",IF(NOT(ISNUMBER(B4683)),"DATA_PC invalida",IF(NOT(ISNUMBER(parametros!$C$2)),"Fora dos ciclos",IF(OR(B4683&lt;parametros!$C$2,(YEAR(B4683)-YEAR(parametros!$C$2))*12+MONTH(B4683)-MONTH(parametros!$C$2)&gt;59),"Fora dos ciclos","C"&amp;INT(((YEAR(B4683)-YEAR(parametros!$C$2))*12+MONTH(B4683)-MONTH(parametros!$C$2))/12)))))</f>
        <v/>
      </c>
      <c r="D4683" s="394"/>
      <c r="E4683" s="78" t="str">
        <f>IF(C4683="","",IFERROR(VLOOKUP(C4683,parametros!$A$11:$E$15,5,0),""))</f>
        <v/>
      </c>
      <c r="F4683" s="79" t="str">
        <f t="shared" si="367"/>
        <v/>
      </c>
      <c r="G4683" s="395"/>
      <c r="H4683" s="91">
        <f t="shared" si="368"/>
        <v>0</v>
      </c>
      <c r="I4683" s="91" t="str">
        <f t="shared" si="369"/>
        <v/>
      </c>
      <c r="J4683" s="91" t="str">
        <f t="shared" si="370"/>
        <v/>
      </c>
      <c r="K4683" s="92" t="str">
        <f>IF(AND(A4683="",B4683="",D4683="",G4683=""),"",IF(AND(A4683&lt;&gt;"",COUNTIF($A$2:$A$5001,A4683)&gt;1),"NUMERO_PC duplicado",IF(B4683="","DATA_PC vazia",IF(NOT(ISNUMBER(B4683)),"DATA_PC invalida",IF(OR(C4683="",C4683="Fora dos ciclos"),"CICLO_PC nao identificado",IF(OR(D4683="",D4683=0),"VALOR_PC vazio ou zero",IF(AND(G4683&lt;&gt;"Sim",G4683&lt;&gt;"Nao",G4683&lt;&gt;""),"PC_PAGO_A_CONTRATADA invalido",IF(AND(C4683&lt;&gt;"C0",IFERROR(INDEX(parametros!$A$2:$A$6,MATCH(C4683,parametros!$B$2:$B$6,0)),"")="Sim",IFERROR(INDEX(parametros!$H$2:$H$6,MATCH(C4683,parametros!$B$2:$B$6,0)),"")=""),"INICIO_EFEITO ausente: PC "&amp;A4683&amp;" - "&amp;C4683,IF(L4683="","EFEITO_PC nao calculado: PC "&amp;A4683&amp;" - "&amp;C4683,"OK")))))))))</f>
        <v/>
      </c>
      <c r="L4683" s="92" t="str">
        <f>IF(AND(A4683="",B4683="",D4683="",G4683=""),"",IF(OR(B4683="",NOT(ISNUMBER(B4683)),C4683="",C4683="Fora dos ciclos"),"",IF(C4683="C0","Nao",IF(IFERROR(INDEX(parametros!$A$2:$A$6,MATCH(C4683,parametros!$B$2:$B$6,0)),"")&lt;&gt;"Sim","Nao",IF(IFERROR(INDEX(parametros!$H$2:$H$6,MATCH(C4683,parametros!$B$2:$B$6,0)),"")="","",IF(B4683&gt;=IFERROR(INDEX(parametros!$H$2:$H$6,MATCH(C4683,parametros!$B$2:$B$6,0)),""),"Sim","Nao"))))))</f>
        <v/>
      </c>
      <c r="T4683" s="156"/>
      <c r="U4683" s="214" t="str">
        <f t="shared" si="371"/>
        <v/>
      </c>
      <c r="V4683" s="212" t="s">
        <v>50</v>
      </c>
      <c r="W4683" s="100" t="s">
        <v>168</v>
      </c>
      <c r="X4683" s="100" t="s">
        <v>169</v>
      </c>
      <c r="Y4683" s="101" t="s">
        <v>170</v>
      </c>
      <c r="Z4683" s="101" t="s">
        <v>171</v>
      </c>
      <c r="AA4683" s="101" t="s">
        <v>50</v>
      </c>
      <c r="AB4683" s="101" t="s">
        <v>172</v>
      </c>
      <c r="AC4683" s="102" t="s">
        <v>173</v>
      </c>
    </row>
    <row r="4684" spans="1:29" ht="25.5" customHeight="1" x14ac:dyDescent="0.35">
      <c r="A4684" s="392"/>
      <c r="B4684" s="393"/>
      <c r="C4684" s="99" t="str">
        <f>IF(B4684="","",IF(NOT(ISNUMBER(B4684)),"DATA_PC invalida",IF(NOT(ISNUMBER(parametros!$C$2)),"Fora dos ciclos",IF(OR(B4684&lt;parametros!$C$2,(YEAR(B4684)-YEAR(parametros!$C$2))*12+MONTH(B4684)-MONTH(parametros!$C$2)&gt;59),"Fora dos ciclos","C"&amp;INT(((YEAR(B4684)-YEAR(parametros!$C$2))*12+MONTH(B4684)-MONTH(parametros!$C$2))/12)))))</f>
        <v/>
      </c>
      <c r="D4684" s="394"/>
      <c r="E4684" s="78" t="str">
        <f>IF(C4684="","",IFERROR(VLOOKUP(C4684,parametros!$A$11:$E$15,5,0),""))</f>
        <v/>
      </c>
      <c r="F4684" s="79" t="str">
        <f t="shared" si="367"/>
        <v/>
      </c>
      <c r="G4684" s="395"/>
      <c r="H4684" s="91">
        <f t="shared" si="368"/>
        <v>0</v>
      </c>
      <c r="I4684" s="91" t="str">
        <f t="shared" si="369"/>
        <v/>
      </c>
      <c r="J4684" s="91" t="str">
        <f t="shared" si="370"/>
        <v/>
      </c>
      <c r="K4684" s="92" t="str">
        <f>IF(AND(A4684="",B4684="",D4684="",G4684=""),"",IF(AND(A4684&lt;&gt;"",COUNTIF($A$2:$A$5001,A4684)&gt;1),"NUMERO_PC duplicado",IF(B4684="","DATA_PC vazia",IF(NOT(ISNUMBER(B4684)),"DATA_PC invalida",IF(OR(C4684="",C4684="Fora dos ciclos"),"CICLO_PC nao identificado",IF(OR(D4684="",D4684=0),"VALOR_PC vazio ou zero",IF(AND(G4684&lt;&gt;"Sim",G4684&lt;&gt;"Nao",G4684&lt;&gt;""),"PC_PAGO_A_CONTRATADA invalido",IF(AND(C4684&lt;&gt;"C0",IFERROR(INDEX(parametros!$A$2:$A$6,MATCH(C4684,parametros!$B$2:$B$6,0)),"")="Sim",IFERROR(INDEX(parametros!$H$2:$H$6,MATCH(C4684,parametros!$B$2:$B$6,0)),"")=""),"INICIO_EFEITO ausente: PC "&amp;A4684&amp;" - "&amp;C4684,IF(L4684="","EFEITO_PC nao calculado: PC "&amp;A4684&amp;" - "&amp;C4684,"OK")))))))))</f>
        <v/>
      </c>
      <c r="L4684" s="92" t="str">
        <f>IF(AND(A4684="",B4684="",D4684="",G4684=""),"",IF(OR(B4684="",NOT(ISNUMBER(B4684)),C4684="",C4684="Fora dos ciclos"),"",IF(C4684="C0","Nao",IF(IFERROR(INDEX(parametros!$A$2:$A$6,MATCH(C4684,parametros!$B$2:$B$6,0)),"")&lt;&gt;"Sim","Nao",IF(IFERROR(INDEX(parametros!$H$2:$H$6,MATCH(C4684,parametros!$B$2:$B$6,0)),"")="","",IF(B4684&gt;=IFERROR(INDEX(parametros!$H$2:$H$6,MATCH(C4684,parametros!$B$2:$B$6,0)),""),"Sim","Nao"))))))</f>
        <v/>
      </c>
      <c r="T4684" s="156"/>
      <c r="U4684" s="214" t="str">
        <f t="shared" si="371"/>
        <v/>
      </c>
      <c r="V4684" s="212" t="s">
        <v>50</v>
      </c>
      <c r="W4684" s="100" t="s">
        <v>168</v>
      </c>
      <c r="X4684" s="100" t="s">
        <v>169</v>
      </c>
      <c r="Y4684" s="101" t="s">
        <v>170</v>
      </c>
      <c r="Z4684" s="101" t="s">
        <v>171</v>
      </c>
      <c r="AA4684" s="101" t="s">
        <v>50</v>
      </c>
      <c r="AB4684" s="101" t="s">
        <v>172</v>
      </c>
      <c r="AC4684" s="102" t="s">
        <v>173</v>
      </c>
    </row>
    <row r="4685" spans="1:29" ht="25.5" customHeight="1" x14ac:dyDescent="0.35">
      <c r="A4685" s="392"/>
      <c r="B4685" s="393"/>
      <c r="C4685" s="99" t="str">
        <f>IF(B4685="","",IF(NOT(ISNUMBER(B4685)),"DATA_PC invalida",IF(NOT(ISNUMBER(parametros!$C$2)),"Fora dos ciclos",IF(OR(B4685&lt;parametros!$C$2,(YEAR(B4685)-YEAR(parametros!$C$2))*12+MONTH(B4685)-MONTH(parametros!$C$2)&gt;59),"Fora dos ciclos","C"&amp;INT(((YEAR(B4685)-YEAR(parametros!$C$2))*12+MONTH(B4685)-MONTH(parametros!$C$2))/12)))))</f>
        <v/>
      </c>
      <c r="D4685" s="394"/>
      <c r="E4685" s="78" t="str">
        <f>IF(C4685="","",IFERROR(VLOOKUP(C4685,parametros!$A$11:$E$15,5,0),""))</f>
        <v/>
      </c>
      <c r="F4685" s="79" t="str">
        <f t="shared" si="367"/>
        <v/>
      </c>
      <c r="G4685" s="395"/>
      <c r="H4685" s="91">
        <f t="shared" si="368"/>
        <v>0</v>
      </c>
      <c r="I4685" s="91" t="str">
        <f t="shared" si="369"/>
        <v/>
      </c>
      <c r="J4685" s="91" t="str">
        <f t="shared" si="370"/>
        <v/>
      </c>
      <c r="K4685" s="92" t="str">
        <f>IF(AND(A4685="",B4685="",D4685="",G4685=""),"",IF(AND(A4685&lt;&gt;"",COUNTIF($A$2:$A$5001,A4685)&gt;1),"NUMERO_PC duplicado",IF(B4685="","DATA_PC vazia",IF(NOT(ISNUMBER(B4685)),"DATA_PC invalida",IF(OR(C4685="",C4685="Fora dos ciclos"),"CICLO_PC nao identificado",IF(OR(D4685="",D4685=0),"VALOR_PC vazio ou zero",IF(AND(G4685&lt;&gt;"Sim",G4685&lt;&gt;"Nao",G4685&lt;&gt;""),"PC_PAGO_A_CONTRATADA invalido",IF(AND(C4685&lt;&gt;"C0",IFERROR(INDEX(parametros!$A$2:$A$6,MATCH(C4685,parametros!$B$2:$B$6,0)),"")="Sim",IFERROR(INDEX(parametros!$H$2:$H$6,MATCH(C4685,parametros!$B$2:$B$6,0)),"")=""),"INICIO_EFEITO ausente: PC "&amp;A4685&amp;" - "&amp;C4685,IF(L4685="","EFEITO_PC nao calculado: PC "&amp;A4685&amp;" - "&amp;C4685,"OK")))))))))</f>
        <v/>
      </c>
      <c r="L4685" s="92" t="str">
        <f>IF(AND(A4685="",B4685="",D4685="",G4685=""),"",IF(OR(B4685="",NOT(ISNUMBER(B4685)),C4685="",C4685="Fora dos ciclos"),"",IF(C4685="C0","Nao",IF(IFERROR(INDEX(parametros!$A$2:$A$6,MATCH(C4685,parametros!$B$2:$B$6,0)),"")&lt;&gt;"Sim","Nao",IF(IFERROR(INDEX(parametros!$H$2:$H$6,MATCH(C4685,parametros!$B$2:$B$6,0)),"")="","",IF(B4685&gt;=IFERROR(INDEX(parametros!$H$2:$H$6,MATCH(C4685,parametros!$B$2:$B$6,0)),""),"Sim","Nao"))))))</f>
        <v/>
      </c>
      <c r="T4685" s="156"/>
      <c r="U4685" s="214" t="str">
        <f t="shared" si="371"/>
        <v/>
      </c>
      <c r="V4685" s="212" t="s">
        <v>50</v>
      </c>
      <c r="W4685" s="100" t="s">
        <v>168</v>
      </c>
      <c r="X4685" s="100" t="s">
        <v>169</v>
      </c>
      <c r="Y4685" s="101" t="s">
        <v>170</v>
      </c>
      <c r="Z4685" s="101" t="s">
        <v>171</v>
      </c>
      <c r="AA4685" s="101" t="s">
        <v>50</v>
      </c>
      <c r="AB4685" s="101" t="s">
        <v>172</v>
      </c>
      <c r="AC4685" s="102" t="s">
        <v>173</v>
      </c>
    </row>
    <row r="4686" spans="1:29" ht="25.5" customHeight="1" x14ac:dyDescent="0.35">
      <c r="A4686" s="392"/>
      <c r="B4686" s="393"/>
      <c r="C4686" s="99" t="str">
        <f>IF(B4686="","",IF(NOT(ISNUMBER(B4686)),"DATA_PC invalida",IF(NOT(ISNUMBER(parametros!$C$2)),"Fora dos ciclos",IF(OR(B4686&lt;parametros!$C$2,(YEAR(B4686)-YEAR(parametros!$C$2))*12+MONTH(B4686)-MONTH(parametros!$C$2)&gt;59),"Fora dos ciclos","C"&amp;INT(((YEAR(B4686)-YEAR(parametros!$C$2))*12+MONTH(B4686)-MONTH(parametros!$C$2))/12)))))</f>
        <v/>
      </c>
      <c r="D4686" s="394"/>
      <c r="E4686" s="78" t="str">
        <f>IF(C4686="","",IFERROR(VLOOKUP(C4686,parametros!$A$11:$E$15,5,0),""))</f>
        <v/>
      </c>
      <c r="F4686" s="79" t="str">
        <f t="shared" si="367"/>
        <v/>
      </c>
      <c r="G4686" s="395"/>
      <c r="H4686" s="91">
        <f t="shared" si="368"/>
        <v>0</v>
      </c>
      <c r="I4686" s="91" t="str">
        <f t="shared" si="369"/>
        <v/>
      </c>
      <c r="J4686" s="91" t="str">
        <f t="shared" si="370"/>
        <v/>
      </c>
      <c r="K4686" s="92" t="str">
        <f>IF(AND(A4686="",B4686="",D4686="",G4686=""),"",IF(AND(A4686&lt;&gt;"",COUNTIF($A$2:$A$5001,A4686)&gt;1),"NUMERO_PC duplicado",IF(B4686="","DATA_PC vazia",IF(NOT(ISNUMBER(B4686)),"DATA_PC invalida",IF(OR(C4686="",C4686="Fora dos ciclos"),"CICLO_PC nao identificado",IF(OR(D4686="",D4686=0),"VALOR_PC vazio ou zero",IF(AND(G4686&lt;&gt;"Sim",G4686&lt;&gt;"Nao",G4686&lt;&gt;""),"PC_PAGO_A_CONTRATADA invalido",IF(AND(C4686&lt;&gt;"C0",IFERROR(INDEX(parametros!$A$2:$A$6,MATCH(C4686,parametros!$B$2:$B$6,0)),"")="Sim",IFERROR(INDEX(parametros!$H$2:$H$6,MATCH(C4686,parametros!$B$2:$B$6,0)),"")=""),"INICIO_EFEITO ausente: PC "&amp;A4686&amp;" - "&amp;C4686,IF(L4686="","EFEITO_PC nao calculado: PC "&amp;A4686&amp;" - "&amp;C4686,"OK")))))))))</f>
        <v/>
      </c>
      <c r="L4686" s="92" t="str">
        <f>IF(AND(A4686="",B4686="",D4686="",G4686=""),"",IF(OR(B4686="",NOT(ISNUMBER(B4686)),C4686="",C4686="Fora dos ciclos"),"",IF(C4686="C0","Nao",IF(IFERROR(INDEX(parametros!$A$2:$A$6,MATCH(C4686,parametros!$B$2:$B$6,0)),"")&lt;&gt;"Sim","Nao",IF(IFERROR(INDEX(parametros!$H$2:$H$6,MATCH(C4686,parametros!$B$2:$B$6,0)),"")="","",IF(B4686&gt;=IFERROR(INDEX(parametros!$H$2:$H$6,MATCH(C4686,parametros!$B$2:$B$6,0)),""),"Sim","Nao"))))))</f>
        <v/>
      </c>
      <c r="T4686" s="156"/>
      <c r="U4686" s="214" t="str">
        <f t="shared" si="371"/>
        <v/>
      </c>
      <c r="V4686" s="212" t="s">
        <v>50</v>
      </c>
      <c r="W4686" s="100" t="s">
        <v>168</v>
      </c>
      <c r="X4686" s="100" t="s">
        <v>169</v>
      </c>
      <c r="Y4686" s="101" t="s">
        <v>170</v>
      </c>
      <c r="Z4686" s="101" t="s">
        <v>171</v>
      </c>
      <c r="AA4686" s="101" t="s">
        <v>50</v>
      </c>
      <c r="AB4686" s="101" t="s">
        <v>172</v>
      </c>
      <c r="AC4686" s="102" t="s">
        <v>173</v>
      </c>
    </row>
    <row r="4687" spans="1:29" ht="25.5" customHeight="1" x14ac:dyDescent="0.35">
      <c r="A4687" s="392"/>
      <c r="B4687" s="393"/>
      <c r="C4687" s="99" t="str">
        <f>IF(B4687="","",IF(NOT(ISNUMBER(B4687)),"DATA_PC invalida",IF(NOT(ISNUMBER(parametros!$C$2)),"Fora dos ciclos",IF(OR(B4687&lt;parametros!$C$2,(YEAR(B4687)-YEAR(parametros!$C$2))*12+MONTH(B4687)-MONTH(parametros!$C$2)&gt;59),"Fora dos ciclos","C"&amp;INT(((YEAR(B4687)-YEAR(parametros!$C$2))*12+MONTH(B4687)-MONTH(parametros!$C$2))/12)))))</f>
        <v/>
      </c>
      <c r="D4687" s="394"/>
      <c r="E4687" s="78" t="str">
        <f>IF(C4687="","",IFERROR(VLOOKUP(C4687,parametros!$A$11:$E$15,5,0),""))</f>
        <v/>
      </c>
      <c r="F4687" s="79" t="str">
        <f t="shared" si="367"/>
        <v/>
      </c>
      <c r="G4687" s="395"/>
      <c r="H4687" s="91">
        <f t="shared" si="368"/>
        <v>0</v>
      </c>
      <c r="I4687" s="91" t="str">
        <f t="shared" si="369"/>
        <v/>
      </c>
      <c r="J4687" s="91" t="str">
        <f t="shared" si="370"/>
        <v/>
      </c>
      <c r="K4687" s="92" t="str">
        <f>IF(AND(A4687="",B4687="",D4687="",G4687=""),"",IF(AND(A4687&lt;&gt;"",COUNTIF($A$2:$A$5001,A4687)&gt;1),"NUMERO_PC duplicado",IF(B4687="","DATA_PC vazia",IF(NOT(ISNUMBER(B4687)),"DATA_PC invalida",IF(OR(C4687="",C4687="Fora dos ciclos"),"CICLO_PC nao identificado",IF(OR(D4687="",D4687=0),"VALOR_PC vazio ou zero",IF(AND(G4687&lt;&gt;"Sim",G4687&lt;&gt;"Nao",G4687&lt;&gt;""),"PC_PAGO_A_CONTRATADA invalido",IF(AND(C4687&lt;&gt;"C0",IFERROR(INDEX(parametros!$A$2:$A$6,MATCH(C4687,parametros!$B$2:$B$6,0)),"")="Sim",IFERROR(INDEX(parametros!$H$2:$H$6,MATCH(C4687,parametros!$B$2:$B$6,0)),"")=""),"INICIO_EFEITO ausente: PC "&amp;A4687&amp;" - "&amp;C4687,IF(L4687="","EFEITO_PC nao calculado: PC "&amp;A4687&amp;" - "&amp;C4687,"OK")))))))))</f>
        <v/>
      </c>
      <c r="L4687" s="92" t="str">
        <f>IF(AND(A4687="",B4687="",D4687="",G4687=""),"",IF(OR(B4687="",NOT(ISNUMBER(B4687)),C4687="",C4687="Fora dos ciclos"),"",IF(C4687="C0","Nao",IF(IFERROR(INDEX(parametros!$A$2:$A$6,MATCH(C4687,parametros!$B$2:$B$6,0)),"")&lt;&gt;"Sim","Nao",IF(IFERROR(INDEX(parametros!$H$2:$H$6,MATCH(C4687,parametros!$B$2:$B$6,0)),"")="","",IF(B4687&gt;=IFERROR(INDEX(parametros!$H$2:$H$6,MATCH(C4687,parametros!$B$2:$B$6,0)),""),"Sim","Nao"))))))</f>
        <v/>
      </c>
      <c r="T4687" s="156"/>
      <c r="U4687" s="214" t="str">
        <f t="shared" si="371"/>
        <v/>
      </c>
      <c r="V4687" s="212" t="s">
        <v>50</v>
      </c>
      <c r="W4687" s="100" t="s">
        <v>168</v>
      </c>
      <c r="X4687" s="100" t="s">
        <v>169</v>
      </c>
      <c r="Y4687" s="101" t="s">
        <v>170</v>
      </c>
      <c r="Z4687" s="101" t="s">
        <v>171</v>
      </c>
      <c r="AA4687" s="101" t="s">
        <v>50</v>
      </c>
      <c r="AB4687" s="101" t="s">
        <v>172</v>
      </c>
      <c r="AC4687" s="102" t="s">
        <v>173</v>
      </c>
    </row>
    <row r="4688" spans="1:29" ht="25.5" customHeight="1" x14ac:dyDescent="0.35">
      <c r="A4688" s="392"/>
      <c r="B4688" s="393"/>
      <c r="C4688" s="99" t="str">
        <f>IF(B4688="","",IF(NOT(ISNUMBER(B4688)),"DATA_PC invalida",IF(NOT(ISNUMBER(parametros!$C$2)),"Fora dos ciclos",IF(OR(B4688&lt;parametros!$C$2,(YEAR(B4688)-YEAR(parametros!$C$2))*12+MONTH(B4688)-MONTH(parametros!$C$2)&gt;59),"Fora dos ciclos","C"&amp;INT(((YEAR(B4688)-YEAR(parametros!$C$2))*12+MONTH(B4688)-MONTH(parametros!$C$2))/12)))))</f>
        <v/>
      </c>
      <c r="D4688" s="394"/>
      <c r="E4688" s="78" t="str">
        <f>IF(C4688="","",IFERROR(VLOOKUP(C4688,parametros!$A$11:$E$15,5,0),""))</f>
        <v/>
      </c>
      <c r="F4688" s="79" t="str">
        <f t="shared" si="367"/>
        <v/>
      </c>
      <c r="G4688" s="395"/>
      <c r="H4688" s="91">
        <f t="shared" si="368"/>
        <v>0</v>
      </c>
      <c r="I4688" s="91" t="str">
        <f t="shared" si="369"/>
        <v/>
      </c>
      <c r="J4688" s="91" t="str">
        <f t="shared" si="370"/>
        <v/>
      </c>
      <c r="K4688" s="92" t="str">
        <f>IF(AND(A4688="",B4688="",D4688="",G4688=""),"",IF(AND(A4688&lt;&gt;"",COUNTIF($A$2:$A$5001,A4688)&gt;1),"NUMERO_PC duplicado",IF(B4688="","DATA_PC vazia",IF(NOT(ISNUMBER(B4688)),"DATA_PC invalida",IF(OR(C4688="",C4688="Fora dos ciclos"),"CICLO_PC nao identificado",IF(OR(D4688="",D4688=0),"VALOR_PC vazio ou zero",IF(AND(G4688&lt;&gt;"Sim",G4688&lt;&gt;"Nao",G4688&lt;&gt;""),"PC_PAGO_A_CONTRATADA invalido",IF(AND(C4688&lt;&gt;"C0",IFERROR(INDEX(parametros!$A$2:$A$6,MATCH(C4688,parametros!$B$2:$B$6,0)),"")="Sim",IFERROR(INDEX(parametros!$H$2:$H$6,MATCH(C4688,parametros!$B$2:$B$6,0)),"")=""),"INICIO_EFEITO ausente: PC "&amp;A4688&amp;" - "&amp;C4688,IF(L4688="","EFEITO_PC nao calculado: PC "&amp;A4688&amp;" - "&amp;C4688,"OK")))))))))</f>
        <v/>
      </c>
      <c r="L4688" s="92" t="str">
        <f>IF(AND(A4688="",B4688="",D4688="",G4688=""),"",IF(OR(B4688="",NOT(ISNUMBER(B4688)),C4688="",C4688="Fora dos ciclos"),"",IF(C4688="C0","Nao",IF(IFERROR(INDEX(parametros!$A$2:$A$6,MATCH(C4688,parametros!$B$2:$B$6,0)),"")&lt;&gt;"Sim","Nao",IF(IFERROR(INDEX(parametros!$H$2:$H$6,MATCH(C4688,parametros!$B$2:$B$6,0)),"")="","",IF(B4688&gt;=IFERROR(INDEX(parametros!$H$2:$H$6,MATCH(C4688,parametros!$B$2:$B$6,0)),""),"Sim","Nao"))))))</f>
        <v/>
      </c>
      <c r="T4688" s="156"/>
      <c r="U4688" s="214" t="str">
        <f t="shared" si="371"/>
        <v/>
      </c>
      <c r="V4688" s="212" t="s">
        <v>50</v>
      </c>
      <c r="W4688" s="100" t="s">
        <v>168</v>
      </c>
      <c r="X4688" s="100" t="s">
        <v>169</v>
      </c>
      <c r="Y4688" s="101" t="s">
        <v>170</v>
      </c>
      <c r="Z4688" s="101" t="s">
        <v>171</v>
      </c>
      <c r="AA4688" s="101" t="s">
        <v>50</v>
      </c>
      <c r="AB4688" s="101" t="s">
        <v>172</v>
      </c>
      <c r="AC4688" s="102" t="s">
        <v>173</v>
      </c>
    </row>
    <row r="4689" spans="1:29" ht="25.5" customHeight="1" x14ac:dyDescent="0.35">
      <c r="A4689" s="392"/>
      <c r="B4689" s="393"/>
      <c r="C4689" s="99" t="str">
        <f>IF(B4689="","",IF(NOT(ISNUMBER(B4689)),"DATA_PC invalida",IF(NOT(ISNUMBER(parametros!$C$2)),"Fora dos ciclos",IF(OR(B4689&lt;parametros!$C$2,(YEAR(B4689)-YEAR(parametros!$C$2))*12+MONTH(B4689)-MONTH(parametros!$C$2)&gt;59),"Fora dos ciclos","C"&amp;INT(((YEAR(B4689)-YEAR(parametros!$C$2))*12+MONTH(B4689)-MONTH(parametros!$C$2))/12)))))</f>
        <v/>
      </c>
      <c r="D4689" s="394"/>
      <c r="E4689" s="78" t="str">
        <f>IF(C4689="","",IFERROR(VLOOKUP(C4689,parametros!$A$11:$E$15,5,0),""))</f>
        <v/>
      </c>
      <c r="F4689" s="79" t="str">
        <f t="shared" si="367"/>
        <v/>
      </c>
      <c r="G4689" s="395"/>
      <c r="H4689" s="91">
        <f t="shared" si="368"/>
        <v>0</v>
      </c>
      <c r="I4689" s="91" t="str">
        <f t="shared" si="369"/>
        <v/>
      </c>
      <c r="J4689" s="91" t="str">
        <f t="shared" si="370"/>
        <v/>
      </c>
      <c r="K4689" s="92" t="str">
        <f>IF(AND(A4689="",B4689="",D4689="",G4689=""),"",IF(AND(A4689&lt;&gt;"",COUNTIF($A$2:$A$5001,A4689)&gt;1),"NUMERO_PC duplicado",IF(B4689="","DATA_PC vazia",IF(NOT(ISNUMBER(B4689)),"DATA_PC invalida",IF(OR(C4689="",C4689="Fora dos ciclos"),"CICLO_PC nao identificado",IF(OR(D4689="",D4689=0),"VALOR_PC vazio ou zero",IF(AND(G4689&lt;&gt;"Sim",G4689&lt;&gt;"Nao",G4689&lt;&gt;""),"PC_PAGO_A_CONTRATADA invalido",IF(AND(C4689&lt;&gt;"C0",IFERROR(INDEX(parametros!$A$2:$A$6,MATCH(C4689,parametros!$B$2:$B$6,0)),"")="Sim",IFERROR(INDEX(parametros!$H$2:$H$6,MATCH(C4689,parametros!$B$2:$B$6,0)),"")=""),"INICIO_EFEITO ausente: PC "&amp;A4689&amp;" - "&amp;C4689,IF(L4689="","EFEITO_PC nao calculado: PC "&amp;A4689&amp;" - "&amp;C4689,"OK")))))))))</f>
        <v/>
      </c>
      <c r="L4689" s="92" t="str">
        <f>IF(AND(A4689="",B4689="",D4689="",G4689=""),"",IF(OR(B4689="",NOT(ISNUMBER(B4689)),C4689="",C4689="Fora dos ciclos"),"",IF(C4689="C0","Nao",IF(IFERROR(INDEX(parametros!$A$2:$A$6,MATCH(C4689,parametros!$B$2:$B$6,0)),"")&lt;&gt;"Sim","Nao",IF(IFERROR(INDEX(parametros!$H$2:$H$6,MATCH(C4689,parametros!$B$2:$B$6,0)),"")="","",IF(B4689&gt;=IFERROR(INDEX(parametros!$H$2:$H$6,MATCH(C4689,parametros!$B$2:$B$6,0)),""),"Sim","Nao"))))))</f>
        <v/>
      </c>
      <c r="T4689" s="156"/>
      <c r="U4689" s="214" t="str">
        <f t="shared" si="371"/>
        <v/>
      </c>
      <c r="V4689" s="212" t="s">
        <v>50</v>
      </c>
      <c r="W4689" s="100" t="s">
        <v>168</v>
      </c>
      <c r="X4689" s="100" t="s">
        <v>169</v>
      </c>
      <c r="Y4689" s="101" t="s">
        <v>170</v>
      </c>
      <c r="Z4689" s="101" t="s">
        <v>171</v>
      </c>
      <c r="AA4689" s="101" t="s">
        <v>50</v>
      </c>
      <c r="AB4689" s="101" t="s">
        <v>172</v>
      </c>
      <c r="AC4689" s="102" t="s">
        <v>173</v>
      </c>
    </row>
    <row r="4690" spans="1:29" ht="25.5" customHeight="1" x14ac:dyDescent="0.35">
      <c r="A4690" s="392"/>
      <c r="B4690" s="393"/>
      <c r="C4690" s="99" t="str">
        <f>IF(B4690="","",IF(NOT(ISNUMBER(B4690)),"DATA_PC invalida",IF(NOT(ISNUMBER(parametros!$C$2)),"Fora dos ciclos",IF(OR(B4690&lt;parametros!$C$2,(YEAR(B4690)-YEAR(parametros!$C$2))*12+MONTH(B4690)-MONTH(parametros!$C$2)&gt;59),"Fora dos ciclos","C"&amp;INT(((YEAR(B4690)-YEAR(parametros!$C$2))*12+MONTH(B4690)-MONTH(parametros!$C$2))/12)))))</f>
        <v/>
      </c>
      <c r="D4690" s="394"/>
      <c r="E4690" s="78" t="str">
        <f>IF(C4690="","",IFERROR(VLOOKUP(C4690,parametros!$A$11:$E$15,5,0),""))</f>
        <v/>
      </c>
      <c r="F4690" s="79" t="str">
        <f t="shared" si="367"/>
        <v/>
      </c>
      <c r="G4690" s="395"/>
      <c r="H4690" s="91">
        <f t="shared" si="368"/>
        <v>0</v>
      </c>
      <c r="I4690" s="91" t="str">
        <f t="shared" si="369"/>
        <v/>
      </c>
      <c r="J4690" s="91" t="str">
        <f t="shared" si="370"/>
        <v/>
      </c>
      <c r="K4690" s="92" t="str">
        <f>IF(AND(A4690="",B4690="",D4690="",G4690=""),"",IF(AND(A4690&lt;&gt;"",COUNTIF($A$2:$A$5001,A4690)&gt;1),"NUMERO_PC duplicado",IF(B4690="","DATA_PC vazia",IF(NOT(ISNUMBER(B4690)),"DATA_PC invalida",IF(OR(C4690="",C4690="Fora dos ciclos"),"CICLO_PC nao identificado",IF(OR(D4690="",D4690=0),"VALOR_PC vazio ou zero",IF(AND(G4690&lt;&gt;"Sim",G4690&lt;&gt;"Nao",G4690&lt;&gt;""),"PC_PAGO_A_CONTRATADA invalido",IF(AND(C4690&lt;&gt;"C0",IFERROR(INDEX(parametros!$A$2:$A$6,MATCH(C4690,parametros!$B$2:$B$6,0)),"")="Sim",IFERROR(INDEX(parametros!$H$2:$H$6,MATCH(C4690,parametros!$B$2:$B$6,0)),"")=""),"INICIO_EFEITO ausente: PC "&amp;A4690&amp;" - "&amp;C4690,IF(L4690="","EFEITO_PC nao calculado: PC "&amp;A4690&amp;" - "&amp;C4690,"OK")))))))))</f>
        <v/>
      </c>
      <c r="L4690" s="92" t="str">
        <f>IF(AND(A4690="",B4690="",D4690="",G4690=""),"",IF(OR(B4690="",NOT(ISNUMBER(B4690)),C4690="",C4690="Fora dos ciclos"),"",IF(C4690="C0","Nao",IF(IFERROR(INDEX(parametros!$A$2:$A$6,MATCH(C4690,parametros!$B$2:$B$6,0)),"")&lt;&gt;"Sim","Nao",IF(IFERROR(INDEX(parametros!$H$2:$H$6,MATCH(C4690,parametros!$B$2:$B$6,0)),"")="","",IF(B4690&gt;=IFERROR(INDEX(parametros!$H$2:$H$6,MATCH(C4690,parametros!$B$2:$B$6,0)),""),"Sim","Nao"))))))</f>
        <v/>
      </c>
      <c r="T4690" s="156"/>
      <c r="U4690" s="214" t="str">
        <f t="shared" si="371"/>
        <v/>
      </c>
      <c r="V4690" s="212" t="s">
        <v>50</v>
      </c>
      <c r="W4690" s="100" t="s">
        <v>168</v>
      </c>
      <c r="X4690" s="100" t="s">
        <v>169</v>
      </c>
      <c r="Y4690" s="101" t="s">
        <v>170</v>
      </c>
      <c r="Z4690" s="101" t="s">
        <v>171</v>
      </c>
      <c r="AA4690" s="101" t="s">
        <v>50</v>
      </c>
      <c r="AB4690" s="101" t="s">
        <v>172</v>
      </c>
      <c r="AC4690" s="102" t="s">
        <v>173</v>
      </c>
    </row>
    <row r="4691" spans="1:29" ht="25.5" customHeight="1" x14ac:dyDescent="0.35">
      <c r="A4691" s="392"/>
      <c r="B4691" s="393"/>
      <c r="C4691" s="99" t="str">
        <f>IF(B4691="","",IF(NOT(ISNUMBER(B4691)),"DATA_PC invalida",IF(NOT(ISNUMBER(parametros!$C$2)),"Fora dos ciclos",IF(OR(B4691&lt;parametros!$C$2,(YEAR(B4691)-YEAR(parametros!$C$2))*12+MONTH(B4691)-MONTH(parametros!$C$2)&gt;59),"Fora dos ciclos","C"&amp;INT(((YEAR(B4691)-YEAR(parametros!$C$2))*12+MONTH(B4691)-MONTH(parametros!$C$2))/12)))))</f>
        <v/>
      </c>
      <c r="D4691" s="394"/>
      <c r="E4691" s="78" t="str">
        <f>IF(C4691="","",IFERROR(VLOOKUP(C4691,parametros!$A$11:$E$15,5,0),""))</f>
        <v/>
      </c>
      <c r="F4691" s="79" t="str">
        <f t="shared" si="367"/>
        <v/>
      </c>
      <c r="G4691" s="395"/>
      <c r="H4691" s="91">
        <f t="shared" si="368"/>
        <v>0</v>
      </c>
      <c r="I4691" s="91" t="str">
        <f t="shared" si="369"/>
        <v/>
      </c>
      <c r="J4691" s="91" t="str">
        <f t="shared" si="370"/>
        <v/>
      </c>
      <c r="K4691" s="92" t="str">
        <f>IF(AND(A4691="",B4691="",D4691="",G4691=""),"",IF(AND(A4691&lt;&gt;"",COUNTIF($A$2:$A$5001,A4691)&gt;1),"NUMERO_PC duplicado",IF(B4691="","DATA_PC vazia",IF(NOT(ISNUMBER(B4691)),"DATA_PC invalida",IF(OR(C4691="",C4691="Fora dos ciclos"),"CICLO_PC nao identificado",IF(OR(D4691="",D4691=0),"VALOR_PC vazio ou zero",IF(AND(G4691&lt;&gt;"Sim",G4691&lt;&gt;"Nao",G4691&lt;&gt;""),"PC_PAGO_A_CONTRATADA invalido",IF(AND(C4691&lt;&gt;"C0",IFERROR(INDEX(parametros!$A$2:$A$6,MATCH(C4691,parametros!$B$2:$B$6,0)),"")="Sim",IFERROR(INDEX(parametros!$H$2:$H$6,MATCH(C4691,parametros!$B$2:$B$6,0)),"")=""),"INICIO_EFEITO ausente: PC "&amp;A4691&amp;" - "&amp;C4691,IF(L4691="","EFEITO_PC nao calculado: PC "&amp;A4691&amp;" - "&amp;C4691,"OK")))))))))</f>
        <v/>
      </c>
      <c r="L4691" s="92" t="str">
        <f>IF(AND(A4691="",B4691="",D4691="",G4691=""),"",IF(OR(B4691="",NOT(ISNUMBER(B4691)),C4691="",C4691="Fora dos ciclos"),"",IF(C4691="C0","Nao",IF(IFERROR(INDEX(parametros!$A$2:$A$6,MATCH(C4691,parametros!$B$2:$B$6,0)),"")&lt;&gt;"Sim","Nao",IF(IFERROR(INDEX(parametros!$H$2:$H$6,MATCH(C4691,parametros!$B$2:$B$6,0)),"")="","",IF(B4691&gt;=IFERROR(INDEX(parametros!$H$2:$H$6,MATCH(C4691,parametros!$B$2:$B$6,0)),""),"Sim","Nao"))))))</f>
        <v/>
      </c>
      <c r="T4691" s="156"/>
      <c r="U4691" s="214" t="str">
        <f t="shared" si="371"/>
        <v/>
      </c>
      <c r="V4691" s="212" t="s">
        <v>50</v>
      </c>
      <c r="W4691" s="100" t="s">
        <v>168</v>
      </c>
      <c r="X4691" s="100" t="s">
        <v>169</v>
      </c>
      <c r="Y4691" s="101" t="s">
        <v>170</v>
      </c>
      <c r="Z4691" s="101" t="s">
        <v>171</v>
      </c>
      <c r="AA4691" s="101" t="s">
        <v>50</v>
      </c>
      <c r="AB4691" s="101" t="s">
        <v>172</v>
      </c>
      <c r="AC4691" s="102" t="s">
        <v>173</v>
      </c>
    </row>
    <row r="4692" spans="1:29" ht="25.5" customHeight="1" x14ac:dyDescent="0.35">
      <c r="A4692" s="392"/>
      <c r="B4692" s="393"/>
      <c r="C4692" s="99" t="str">
        <f>IF(B4692="","",IF(NOT(ISNUMBER(B4692)),"DATA_PC invalida",IF(NOT(ISNUMBER(parametros!$C$2)),"Fora dos ciclos",IF(OR(B4692&lt;parametros!$C$2,(YEAR(B4692)-YEAR(parametros!$C$2))*12+MONTH(B4692)-MONTH(parametros!$C$2)&gt;59),"Fora dos ciclos","C"&amp;INT(((YEAR(B4692)-YEAR(parametros!$C$2))*12+MONTH(B4692)-MONTH(parametros!$C$2))/12)))))</f>
        <v/>
      </c>
      <c r="D4692" s="394"/>
      <c r="E4692" s="78" t="str">
        <f>IF(C4692="","",IFERROR(VLOOKUP(C4692,parametros!$A$11:$E$15,5,0),""))</f>
        <v/>
      </c>
      <c r="F4692" s="79" t="str">
        <f t="shared" si="367"/>
        <v/>
      </c>
      <c r="G4692" s="395"/>
      <c r="H4692" s="91">
        <f t="shared" si="368"/>
        <v>0</v>
      </c>
      <c r="I4692" s="91" t="str">
        <f t="shared" si="369"/>
        <v/>
      </c>
      <c r="J4692" s="91" t="str">
        <f t="shared" si="370"/>
        <v/>
      </c>
      <c r="K4692" s="92" t="str">
        <f>IF(AND(A4692="",B4692="",D4692="",G4692=""),"",IF(AND(A4692&lt;&gt;"",COUNTIF($A$2:$A$5001,A4692)&gt;1),"NUMERO_PC duplicado",IF(B4692="","DATA_PC vazia",IF(NOT(ISNUMBER(B4692)),"DATA_PC invalida",IF(OR(C4692="",C4692="Fora dos ciclos"),"CICLO_PC nao identificado",IF(OR(D4692="",D4692=0),"VALOR_PC vazio ou zero",IF(AND(G4692&lt;&gt;"Sim",G4692&lt;&gt;"Nao",G4692&lt;&gt;""),"PC_PAGO_A_CONTRATADA invalido",IF(AND(C4692&lt;&gt;"C0",IFERROR(INDEX(parametros!$A$2:$A$6,MATCH(C4692,parametros!$B$2:$B$6,0)),"")="Sim",IFERROR(INDEX(parametros!$H$2:$H$6,MATCH(C4692,parametros!$B$2:$B$6,0)),"")=""),"INICIO_EFEITO ausente: PC "&amp;A4692&amp;" - "&amp;C4692,IF(L4692="","EFEITO_PC nao calculado: PC "&amp;A4692&amp;" - "&amp;C4692,"OK")))))))))</f>
        <v/>
      </c>
      <c r="L4692" s="92" t="str">
        <f>IF(AND(A4692="",B4692="",D4692="",G4692=""),"",IF(OR(B4692="",NOT(ISNUMBER(B4692)),C4692="",C4692="Fora dos ciclos"),"",IF(C4692="C0","Nao",IF(IFERROR(INDEX(parametros!$A$2:$A$6,MATCH(C4692,parametros!$B$2:$B$6,0)),"")&lt;&gt;"Sim","Nao",IF(IFERROR(INDEX(parametros!$H$2:$H$6,MATCH(C4692,parametros!$B$2:$B$6,0)),"")="","",IF(B4692&gt;=IFERROR(INDEX(parametros!$H$2:$H$6,MATCH(C4692,parametros!$B$2:$B$6,0)),""),"Sim","Nao"))))))</f>
        <v/>
      </c>
      <c r="T4692" s="156"/>
      <c r="U4692" s="214" t="str">
        <f t="shared" si="371"/>
        <v/>
      </c>
      <c r="V4692" s="212" t="s">
        <v>50</v>
      </c>
      <c r="W4692" s="100" t="s">
        <v>168</v>
      </c>
      <c r="X4692" s="100" t="s">
        <v>169</v>
      </c>
      <c r="Y4692" s="101" t="s">
        <v>170</v>
      </c>
      <c r="Z4692" s="101" t="s">
        <v>171</v>
      </c>
      <c r="AA4692" s="101" t="s">
        <v>50</v>
      </c>
      <c r="AB4692" s="101" t="s">
        <v>172</v>
      </c>
      <c r="AC4692" s="102" t="s">
        <v>173</v>
      </c>
    </row>
    <row r="4693" spans="1:29" ht="25.5" customHeight="1" x14ac:dyDescent="0.35">
      <c r="A4693" s="392"/>
      <c r="B4693" s="393"/>
      <c r="C4693" s="99" t="str">
        <f>IF(B4693="","",IF(NOT(ISNUMBER(B4693)),"DATA_PC invalida",IF(NOT(ISNUMBER(parametros!$C$2)),"Fora dos ciclos",IF(OR(B4693&lt;parametros!$C$2,(YEAR(B4693)-YEAR(parametros!$C$2))*12+MONTH(B4693)-MONTH(parametros!$C$2)&gt;59),"Fora dos ciclos","C"&amp;INT(((YEAR(B4693)-YEAR(parametros!$C$2))*12+MONTH(B4693)-MONTH(parametros!$C$2))/12)))))</f>
        <v/>
      </c>
      <c r="D4693" s="394"/>
      <c r="E4693" s="78" t="str">
        <f>IF(C4693="","",IFERROR(VLOOKUP(C4693,parametros!$A$11:$E$15,5,0),""))</f>
        <v/>
      </c>
      <c r="F4693" s="79" t="str">
        <f t="shared" si="367"/>
        <v/>
      </c>
      <c r="G4693" s="395"/>
      <c r="H4693" s="91">
        <f t="shared" si="368"/>
        <v>0</v>
      </c>
      <c r="I4693" s="91" t="str">
        <f t="shared" si="369"/>
        <v/>
      </c>
      <c r="J4693" s="91" t="str">
        <f t="shared" si="370"/>
        <v/>
      </c>
      <c r="K4693" s="92" t="str">
        <f>IF(AND(A4693="",B4693="",D4693="",G4693=""),"",IF(AND(A4693&lt;&gt;"",COUNTIF($A$2:$A$5001,A4693)&gt;1),"NUMERO_PC duplicado",IF(B4693="","DATA_PC vazia",IF(NOT(ISNUMBER(B4693)),"DATA_PC invalida",IF(OR(C4693="",C4693="Fora dos ciclos"),"CICLO_PC nao identificado",IF(OR(D4693="",D4693=0),"VALOR_PC vazio ou zero",IF(AND(G4693&lt;&gt;"Sim",G4693&lt;&gt;"Nao",G4693&lt;&gt;""),"PC_PAGO_A_CONTRATADA invalido",IF(AND(C4693&lt;&gt;"C0",IFERROR(INDEX(parametros!$A$2:$A$6,MATCH(C4693,parametros!$B$2:$B$6,0)),"")="Sim",IFERROR(INDEX(parametros!$H$2:$H$6,MATCH(C4693,parametros!$B$2:$B$6,0)),"")=""),"INICIO_EFEITO ausente: PC "&amp;A4693&amp;" - "&amp;C4693,IF(L4693="","EFEITO_PC nao calculado: PC "&amp;A4693&amp;" - "&amp;C4693,"OK")))))))))</f>
        <v/>
      </c>
      <c r="L4693" s="92" t="str">
        <f>IF(AND(A4693="",B4693="",D4693="",G4693=""),"",IF(OR(B4693="",NOT(ISNUMBER(B4693)),C4693="",C4693="Fora dos ciclos"),"",IF(C4693="C0","Nao",IF(IFERROR(INDEX(parametros!$A$2:$A$6,MATCH(C4693,parametros!$B$2:$B$6,0)),"")&lt;&gt;"Sim","Nao",IF(IFERROR(INDEX(parametros!$H$2:$H$6,MATCH(C4693,parametros!$B$2:$B$6,0)),"")="","",IF(B4693&gt;=IFERROR(INDEX(parametros!$H$2:$H$6,MATCH(C4693,parametros!$B$2:$B$6,0)),""),"Sim","Nao"))))))</f>
        <v/>
      </c>
      <c r="T4693" s="156"/>
      <c r="U4693" s="214" t="str">
        <f t="shared" si="371"/>
        <v/>
      </c>
      <c r="V4693" s="212" t="s">
        <v>50</v>
      </c>
      <c r="W4693" s="100" t="s">
        <v>168</v>
      </c>
      <c r="X4693" s="100" t="s">
        <v>169</v>
      </c>
      <c r="Y4693" s="101" t="s">
        <v>170</v>
      </c>
      <c r="Z4693" s="101" t="s">
        <v>171</v>
      </c>
      <c r="AA4693" s="101" t="s">
        <v>50</v>
      </c>
      <c r="AB4693" s="101" t="s">
        <v>172</v>
      </c>
      <c r="AC4693" s="102" t="s">
        <v>173</v>
      </c>
    </row>
    <row r="4694" spans="1:29" ht="25.5" customHeight="1" x14ac:dyDescent="0.35">
      <c r="A4694" s="392"/>
      <c r="B4694" s="393"/>
      <c r="C4694" s="99" t="str">
        <f>IF(B4694="","",IF(NOT(ISNUMBER(B4694)),"DATA_PC invalida",IF(NOT(ISNUMBER(parametros!$C$2)),"Fora dos ciclos",IF(OR(B4694&lt;parametros!$C$2,(YEAR(B4694)-YEAR(parametros!$C$2))*12+MONTH(B4694)-MONTH(parametros!$C$2)&gt;59),"Fora dos ciclos","C"&amp;INT(((YEAR(B4694)-YEAR(parametros!$C$2))*12+MONTH(B4694)-MONTH(parametros!$C$2))/12)))))</f>
        <v/>
      </c>
      <c r="D4694" s="394"/>
      <c r="E4694" s="78" t="str">
        <f>IF(C4694="","",IFERROR(VLOOKUP(C4694,parametros!$A$11:$E$15,5,0),""))</f>
        <v/>
      </c>
      <c r="F4694" s="79" t="str">
        <f t="shared" si="367"/>
        <v/>
      </c>
      <c r="G4694" s="395"/>
      <c r="H4694" s="91">
        <f t="shared" si="368"/>
        <v>0</v>
      </c>
      <c r="I4694" s="91" t="str">
        <f t="shared" si="369"/>
        <v/>
      </c>
      <c r="J4694" s="91" t="str">
        <f t="shared" si="370"/>
        <v/>
      </c>
      <c r="K4694" s="92" t="str">
        <f>IF(AND(A4694="",B4694="",D4694="",G4694=""),"",IF(AND(A4694&lt;&gt;"",COUNTIF($A$2:$A$5001,A4694)&gt;1),"NUMERO_PC duplicado",IF(B4694="","DATA_PC vazia",IF(NOT(ISNUMBER(B4694)),"DATA_PC invalida",IF(OR(C4694="",C4694="Fora dos ciclos"),"CICLO_PC nao identificado",IF(OR(D4694="",D4694=0),"VALOR_PC vazio ou zero",IF(AND(G4694&lt;&gt;"Sim",G4694&lt;&gt;"Nao",G4694&lt;&gt;""),"PC_PAGO_A_CONTRATADA invalido",IF(AND(C4694&lt;&gt;"C0",IFERROR(INDEX(parametros!$A$2:$A$6,MATCH(C4694,parametros!$B$2:$B$6,0)),"")="Sim",IFERROR(INDEX(parametros!$H$2:$H$6,MATCH(C4694,parametros!$B$2:$B$6,0)),"")=""),"INICIO_EFEITO ausente: PC "&amp;A4694&amp;" - "&amp;C4694,IF(L4694="","EFEITO_PC nao calculado: PC "&amp;A4694&amp;" - "&amp;C4694,"OK")))))))))</f>
        <v/>
      </c>
      <c r="L4694" s="92" t="str">
        <f>IF(AND(A4694="",B4694="",D4694="",G4694=""),"",IF(OR(B4694="",NOT(ISNUMBER(B4694)),C4694="",C4694="Fora dos ciclos"),"",IF(C4694="C0","Nao",IF(IFERROR(INDEX(parametros!$A$2:$A$6,MATCH(C4694,parametros!$B$2:$B$6,0)),"")&lt;&gt;"Sim","Nao",IF(IFERROR(INDEX(parametros!$H$2:$H$6,MATCH(C4694,parametros!$B$2:$B$6,0)),"")="","",IF(B4694&gt;=IFERROR(INDEX(parametros!$H$2:$H$6,MATCH(C4694,parametros!$B$2:$B$6,0)),""),"Sim","Nao"))))))</f>
        <v/>
      </c>
      <c r="T4694" s="156"/>
      <c r="U4694" s="214" t="str">
        <f t="shared" si="371"/>
        <v/>
      </c>
      <c r="V4694" s="212" t="s">
        <v>50</v>
      </c>
      <c r="W4694" s="100" t="s">
        <v>168</v>
      </c>
      <c r="X4694" s="100" t="s">
        <v>169</v>
      </c>
      <c r="Y4694" s="101" t="s">
        <v>170</v>
      </c>
      <c r="Z4694" s="101" t="s">
        <v>171</v>
      </c>
      <c r="AA4694" s="101" t="s">
        <v>50</v>
      </c>
      <c r="AB4694" s="101" t="s">
        <v>172</v>
      </c>
      <c r="AC4694" s="102" t="s">
        <v>173</v>
      </c>
    </row>
    <row r="4695" spans="1:29" ht="25.5" customHeight="1" x14ac:dyDescent="0.35">
      <c r="A4695" s="392"/>
      <c r="B4695" s="393"/>
      <c r="C4695" s="99" t="str">
        <f>IF(B4695="","",IF(NOT(ISNUMBER(B4695)),"DATA_PC invalida",IF(NOT(ISNUMBER(parametros!$C$2)),"Fora dos ciclos",IF(OR(B4695&lt;parametros!$C$2,(YEAR(B4695)-YEAR(parametros!$C$2))*12+MONTH(B4695)-MONTH(parametros!$C$2)&gt;59),"Fora dos ciclos","C"&amp;INT(((YEAR(B4695)-YEAR(parametros!$C$2))*12+MONTH(B4695)-MONTH(parametros!$C$2))/12)))))</f>
        <v/>
      </c>
      <c r="D4695" s="394"/>
      <c r="E4695" s="78" t="str">
        <f>IF(C4695="","",IFERROR(VLOOKUP(C4695,parametros!$A$11:$E$15,5,0),""))</f>
        <v/>
      </c>
      <c r="F4695" s="79" t="str">
        <f t="shared" si="367"/>
        <v/>
      </c>
      <c r="G4695" s="395"/>
      <c r="H4695" s="91">
        <f t="shared" si="368"/>
        <v>0</v>
      </c>
      <c r="I4695" s="91" t="str">
        <f t="shared" si="369"/>
        <v/>
      </c>
      <c r="J4695" s="91" t="str">
        <f t="shared" si="370"/>
        <v/>
      </c>
      <c r="K4695" s="92" t="str">
        <f>IF(AND(A4695="",B4695="",D4695="",G4695=""),"",IF(AND(A4695&lt;&gt;"",COUNTIF($A$2:$A$5001,A4695)&gt;1),"NUMERO_PC duplicado",IF(B4695="","DATA_PC vazia",IF(NOT(ISNUMBER(B4695)),"DATA_PC invalida",IF(OR(C4695="",C4695="Fora dos ciclos"),"CICLO_PC nao identificado",IF(OR(D4695="",D4695=0),"VALOR_PC vazio ou zero",IF(AND(G4695&lt;&gt;"Sim",G4695&lt;&gt;"Nao",G4695&lt;&gt;""),"PC_PAGO_A_CONTRATADA invalido",IF(AND(C4695&lt;&gt;"C0",IFERROR(INDEX(parametros!$A$2:$A$6,MATCH(C4695,parametros!$B$2:$B$6,0)),"")="Sim",IFERROR(INDEX(parametros!$H$2:$H$6,MATCH(C4695,parametros!$B$2:$B$6,0)),"")=""),"INICIO_EFEITO ausente: PC "&amp;A4695&amp;" - "&amp;C4695,IF(L4695="","EFEITO_PC nao calculado: PC "&amp;A4695&amp;" - "&amp;C4695,"OK")))))))))</f>
        <v/>
      </c>
      <c r="L4695" s="92" t="str">
        <f>IF(AND(A4695="",B4695="",D4695="",G4695=""),"",IF(OR(B4695="",NOT(ISNUMBER(B4695)),C4695="",C4695="Fora dos ciclos"),"",IF(C4695="C0","Nao",IF(IFERROR(INDEX(parametros!$A$2:$A$6,MATCH(C4695,parametros!$B$2:$B$6,0)),"")&lt;&gt;"Sim","Nao",IF(IFERROR(INDEX(parametros!$H$2:$H$6,MATCH(C4695,parametros!$B$2:$B$6,0)),"")="","",IF(B4695&gt;=IFERROR(INDEX(parametros!$H$2:$H$6,MATCH(C4695,parametros!$B$2:$B$6,0)),""),"Sim","Nao"))))))</f>
        <v/>
      </c>
      <c r="T4695" s="156"/>
      <c r="U4695" s="214" t="str">
        <f t="shared" si="371"/>
        <v/>
      </c>
      <c r="V4695" s="212" t="s">
        <v>50</v>
      </c>
      <c r="W4695" s="100" t="s">
        <v>168</v>
      </c>
      <c r="X4695" s="100" t="s">
        <v>169</v>
      </c>
      <c r="Y4695" s="101" t="s">
        <v>170</v>
      </c>
      <c r="Z4695" s="101" t="s">
        <v>171</v>
      </c>
      <c r="AA4695" s="101" t="s">
        <v>50</v>
      </c>
      <c r="AB4695" s="101" t="s">
        <v>172</v>
      </c>
      <c r="AC4695" s="102" t="s">
        <v>173</v>
      </c>
    </row>
    <row r="4696" spans="1:29" ht="25.5" customHeight="1" x14ac:dyDescent="0.35">
      <c r="A4696" s="392"/>
      <c r="B4696" s="393"/>
      <c r="C4696" s="99" t="str">
        <f>IF(B4696="","",IF(NOT(ISNUMBER(B4696)),"DATA_PC invalida",IF(NOT(ISNUMBER(parametros!$C$2)),"Fora dos ciclos",IF(OR(B4696&lt;parametros!$C$2,(YEAR(B4696)-YEAR(parametros!$C$2))*12+MONTH(B4696)-MONTH(parametros!$C$2)&gt;59),"Fora dos ciclos","C"&amp;INT(((YEAR(B4696)-YEAR(parametros!$C$2))*12+MONTH(B4696)-MONTH(parametros!$C$2))/12)))))</f>
        <v/>
      </c>
      <c r="D4696" s="394"/>
      <c r="E4696" s="78" t="str">
        <f>IF(C4696="","",IFERROR(VLOOKUP(C4696,parametros!$A$11:$E$15,5,0),""))</f>
        <v/>
      </c>
      <c r="F4696" s="79" t="str">
        <f t="shared" si="367"/>
        <v/>
      </c>
      <c r="G4696" s="395"/>
      <c r="H4696" s="91">
        <f t="shared" si="368"/>
        <v>0</v>
      </c>
      <c r="I4696" s="91" t="str">
        <f t="shared" si="369"/>
        <v/>
      </c>
      <c r="J4696" s="91" t="str">
        <f t="shared" si="370"/>
        <v/>
      </c>
      <c r="K4696" s="92" t="str">
        <f>IF(AND(A4696="",B4696="",D4696="",G4696=""),"",IF(AND(A4696&lt;&gt;"",COUNTIF($A$2:$A$5001,A4696)&gt;1),"NUMERO_PC duplicado",IF(B4696="","DATA_PC vazia",IF(NOT(ISNUMBER(B4696)),"DATA_PC invalida",IF(OR(C4696="",C4696="Fora dos ciclos"),"CICLO_PC nao identificado",IF(OR(D4696="",D4696=0),"VALOR_PC vazio ou zero",IF(AND(G4696&lt;&gt;"Sim",G4696&lt;&gt;"Nao",G4696&lt;&gt;""),"PC_PAGO_A_CONTRATADA invalido",IF(AND(C4696&lt;&gt;"C0",IFERROR(INDEX(parametros!$A$2:$A$6,MATCH(C4696,parametros!$B$2:$B$6,0)),"")="Sim",IFERROR(INDEX(parametros!$H$2:$H$6,MATCH(C4696,parametros!$B$2:$B$6,0)),"")=""),"INICIO_EFEITO ausente: PC "&amp;A4696&amp;" - "&amp;C4696,IF(L4696="","EFEITO_PC nao calculado: PC "&amp;A4696&amp;" - "&amp;C4696,"OK")))))))))</f>
        <v/>
      </c>
      <c r="L4696" s="92" t="str">
        <f>IF(AND(A4696="",B4696="",D4696="",G4696=""),"",IF(OR(B4696="",NOT(ISNUMBER(B4696)),C4696="",C4696="Fora dos ciclos"),"",IF(C4696="C0","Nao",IF(IFERROR(INDEX(parametros!$A$2:$A$6,MATCH(C4696,parametros!$B$2:$B$6,0)),"")&lt;&gt;"Sim","Nao",IF(IFERROR(INDEX(parametros!$H$2:$H$6,MATCH(C4696,parametros!$B$2:$B$6,0)),"")="","",IF(B4696&gt;=IFERROR(INDEX(parametros!$H$2:$H$6,MATCH(C4696,parametros!$B$2:$B$6,0)),""),"Sim","Nao"))))))</f>
        <v/>
      </c>
      <c r="T4696" s="156"/>
      <c r="U4696" s="214" t="str">
        <f t="shared" si="371"/>
        <v/>
      </c>
      <c r="V4696" s="212" t="s">
        <v>50</v>
      </c>
      <c r="W4696" s="100" t="s">
        <v>168</v>
      </c>
      <c r="X4696" s="100" t="s">
        <v>169</v>
      </c>
      <c r="Y4696" s="101" t="s">
        <v>170</v>
      </c>
      <c r="Z4696" s="101" t="s">
        <v>171</v>
      </c>
      <c r="AA4696" s="101" t="s">
        <v>50</v>
      </c>
      <c r="AB4696" s="101" t="s">
        <v>172</v>
      </c>
      <c r="AC4696" s="102" t="s">
        <v>173</v>
      </c>
    </row>
    <row r="4697" spans="1:29" ht="25.5" customHeight="1" x14ac:dyDescent="0.35">
      <c r="A4697" s="392"/>
      <c r="B4697" s="393"/>
      <c r="C4697" s="99" t="str">
        <f>IF(B4697="","",IF(NOT(ISNUMBER(B4697)),"DATA_PC invalida",IF(NOT(ISNUMBER(parametros!$C$2)),"Fora dos ciclos",IF(OR(B4697&lt;parametros!$C$2,(YEAR(B4697)-YEAR(parametros!$C$2))*12+MONTH(B4697)-MONTH(parametros!$C$2)&gt;59),"Fora dos ciclos","C"&amp;INT(((YEAR(B4697)-YEAR(parametros!$C$2))*12+MONTH(B4697)-MONTH(parametros!$C$2))/12)))))</f>
        <v/>
      </c>
      <c r="D4697" s="394"/>
      <c r="E4697" s="78" t="str">
        <f>IF(C4697="","",IFERROR(VLOOKUP(C4697,parametros!$A$11:$E$15,5,0),""))</f>
        <v/>
      </c>
      <c r="F4697" s="79" t="str">
        <f t="shared" si="367"/>
        <v/>
      </c>
      <c r="G4697" s="395"/>
      <c r="H4697" s="91">
        <f t="shared" si="368"/>
        <v>0</v>
      </c>
      <c r="I4697" s="91" t="str">
        <f t="shared" si="369"/>
        <v/>
      </c>
      <c r="J4697" s="91" t="str">
        <f t="shared" si="370"/>
        <v/>
      </c>
      <c r="K4697" s="92" t="str">
        <f>IF(AND(A4697="",B4697="",D4697="",G4697=""),"",IF(AND(A4697&lt;&gt;"",COUNTIF($A$2:$A$5001,A4697)&gt;1),"NUMERO_PC duplicado",IF(B4697="","DATA_PC vazia",IF(NOT(ISNUMBER(B4697)),"DATA_PC invalida",IF(OR(C4697="",C4697="Fora dos ciclos"),"CICLO_PC nao identificado",IF(OR(D4697="",D4697=0),"VALOR_PC vazio ou zero",IF(AND(G4697&lt;&gt;"Sim",G4697&lt;&gt;"Nao",G4697&lt;&gt;""),"PC_PAGO_A_CONTRATADA invalido",IF(AND(C4697&lt;&gt;"C0",IFERROR(INDEX(parametros!$A$2:$A$6,MATCH(C4697,parametros!$B$2:$B$6,0)),"")="Sim",IFERROR(INDEX(parametros!$H$2:$H$6,MATCH(C4697,parametros!$B$2:$B$6,0)),"")=""),"INICIO_EFEITO ausente: PC "&amp;A4697&amp;" - "&amp;C4697,IF(L4697="","EFEITO_PC nao calculado: PC "&amp;A4697&amp;" - "&amp;C4697,"OK")))))))))</f>
        <v/>
      </c>
      <c r="L4697" s="92" t="str">
        <f>IF(AND(A4697="",B4697="",D4697="",G4697=""),"",IF(OR(B4697="",NOT(ISNUMBER(B4697)),C4697="",C4697="Fora dos ciclos"),"",IF(C4697="C0","Nao",IF(IFERROR(INDEX(parametros!$A$2:$A$6,MATCH(C4697,parametros!$B$2:$B$6,0)),"")&lt;&gt;"Sim","Nao",IF(IFERROR(INDEX(parametros!$H$2:$H$6,MATCH(C4697,parametros!$B$2:$B$6,0)),"")="","",IF(B4697&gt;=IFERROR(INDEX(parametros!$H$2:$H$6,MATCH(C4697,parametros!$B$2:$B$6,0)),""),"Sim","Nao"))))))</f>
        <v/>
      </c>
      <c r="T4697" s="156"/>
      <c r="U4697" s="214" t="str">
        <f t="shared" si="371"/>
        <v/>
      </c>
      <c r="V4697" s="212" t="s">
        <v>50</v>
      </c>
      <c r="W4697" s="100" t="s">
        <v>168</v>
      </c>
      <c r="X4697" s="100" t="s">
        <v>169</v>
      </c>
      <c r="Y4697" s="101" t="s">
        <v>170</v>
      </c>
      <c r="Z4697" s="101" t="s">
        <v>171</v>
      </c>
      <c r="AA4697" s="101" t="s">
        <v>50</v>
      </c>
      <c r="AB4697" s="101" t="s">
        <v>172</v>
      </c>
      <c r="AC4697" s="102" t="s">
        <v>173</v>
      </c>
    </row>
    <row r="4698" spans="1:29" ht="25.5" customHeight="1" x14ac:dyDescent="0.35">
      <c r="A4698" s="392"/>
      <c r="B4698" s="393"/>
      <c r="C4698" s="99" t="str">
        <f>IF(B4698="","",IF(NOT(ISNUMBER(B4698)),"DATA_PC invalida",IF(NOT(ISNUMBER(parametros!$C$2)),"Fora dos ciclos",IF(OR(B4698&lt;parametros!$C$2,(YEAR(B4698)-YEAR(parametros!$C$2))*12+MONTH(B4698)-MONTH(parametros!$C$2)&gt;59),"Fora dos ciclos","C"&amp;INT(((YEAR(B4698)-YEAR(parametros!$C$2))*12+MONTH(B4698)-MONTH(parametros!$C$2))/12)))))</f>
        <v/>
      </c>
      <c r="D4698" s="394"/>
      <c r="E4698" s="78" t="str">
        <f>IF(C4698="","",IFERROR(VLOOKUP(C4698,parametros!$A$11:$E$15,5,0),""))</f>
        <v/>
      </c>
      <c r="F4698" s="79" t="str">
        <f t="shared" si="367"/>
        <v/>
      </c>
      <c r="G4698" s="395"/>
      <c r="H4698" s="91">
        <f t="shared" si="368"/>
        <v>0</v>
      </c>
      <c r="I4698" s="91" t="str">
        <f t="shared" si="369"/>
        <v/>
      </c>
      <c r="J4698" s="91" t="str">
        <f t="shared" si="370"/>
        <v/>
      </c>
      <c r="K4698" s="92" t="str">
        <f>IF(AND(A4698="",B4698="",D4698="",G4698=""),"",IF(AND(A4698&lt;&gt;"",COUNTIF($A$2:$A$5001,A4698)&gt;1),"NUMERO_PC duplicado",IF(B4698="","DATA_PC vazia",IF(NOT(ISNUMBER(B4698)),"DATA_PC invalida",IF(OR(C4698="",C4698="Fora dos ciclos"),"CICLO_PC nao identificado",IF(OR(D4698="",D4698=0),"VALOR_PC vazio ou zero",IF(AND(G4698&lt;&gt;"Sim",G4698&lt;&gt;"Nao",G4698&lt;&gt;""),"PC_PAGO_A_CONTRATADA invalido",IF(AND(C4698&lt;&gt;"C0",IFERROR(INDEX(parametros!$A$2:$A$6,MATCH(C4698,parametros!$B$2:$B$6,0)),"")="Sim",IFERROR(INDEX(parametros!$H$2:$H$6,MATCH(C4698,parametros!$B$2:$B$6,0)),"")=""),"INICIO_EFEITO ausente: PC "&amp;A4698&amp;" - "&amp;C4698,IF(L4698="","EFEITO_PC nao calculado: PC "&amp;A4698&amp;" - "&amp;C4698,"OK")))))))))</f>
        <v/>
      </c>
      <c r="L4698" s="92" t="str">
        <f>IF(AND(A4698="",B4698="",D4698="",G4698=""),"",IF(OR(B4698="",NOT(ISNUMBER(B4698)),C4698="",C4698="Fora dos ciclos"),"",IF(C4698="C0","Nao",IF(IFERROR(INDEX(parametros!$A$2:$A$6,MATCH(C4698,parametros!$B$2:$B$6,0)),"")&lt;&gt;"Sim","Nao",IF(IFERROR(INDEX(parametros!$H$2:$H$6,MATCH(C4698,parametros!$B$2:$B$6,0)),"")="","",IF(B4698&gt;=IFERROR(INDEX(parametros!$H$2:$H$6,MATCH(C4698,parametros!$B$2:$B$6,0)),""),"Sim","Nao"))))))</f>
        <v/>
      </c>
      <c r="T4698" s="156"/>
      <c r="U4698" s="214" t="str">
        <f t="shared" si="371"/>
        <v/>
      </c>
      <c r="V4698" s="212" t="s">
        <v>50</v>
      </c>
      <c r="W4698" s="100" t="s">
        <v>168</v>
      </c>
      <c r="X4698" s="100" t="s">
        <v>169</v>
      </c>
      <c r="Y4698" s="101" t="s">
        <v>170</v>
      </c>
      <c r="Z4698" s="101" t="s">
        <v>171</v>
      </c>
      <c r="AA4698" s="101" t="s">
        <v>50</v>
      </c>
      <c r="AB4698" s="101" t="s">
        <v>172</v>
      </c>
      <c r="AC4698" s="102" t="s">
        <v>173</v>
      </c>
    </row>
    <row r="4699" spans="1:29" ht="25.5" customHeight="1" x14ac:dyDescent="0.35">
      <c r="A4699" s="392"/>
      <c r="B4699" s="393"/>
      <c r="C4699" s="99" t="str">
        <f>IF(B4699="","",IF(NOT(ISNUMBER(B4699)),"DATA_PC invalida",IF(NOT(ISNUMBER(parametros!$C$2)),"Fora dos ciclos",IF(OR(B4699&lt;parametros!$C$2,(YEAR(B4699)-YEAR(parametros!$C$2))*12+MONTH(B4699)-MONTH(parametros!$C$2)&gt;59),"Fora dos ciclos","C"&amp;INT(((YEAR(B4699)-YEAR(parametros!$C$2))*12+MONTH(B4699)-MONTH(parametros!$C$2))/12)))))</f>
        <v/>
      </c>
      <c r="D4699" s="394"/>
      <c r="E4699" s="78" t="str">
        <f>IF(C4699="","",IFERROR(VLOOKUP(C4699,parametros!$A$11:$E$15,5,0),""))</f>
        <v/>
      </c>
      <c r="F4699" s="79" t="str">
        <f t="shared" si="367"/>
        <v/>
      </c>
      <c r="G4699" s="395"/>
      <c r="H4699" s="91">
        <f t="shared" si="368"/>
        <v>0</v>
      </c>
      <c r="I4699" s="91" t="str">
        <f t="shared" si="369"/>
        <v/>
      </c>
      <c r="J4699" s="91" t="str">
        <f t="shared" si="370"/>
        <v/>
      </c>
      <c r="K4699" s="92" t="str">
        <f>IF(AND(A4699="",B4699="",D4699="",G4699=""),"",IF(AND(A4699&lt;&gt;"",COUNTIF($A$2:$A$5001,A4699)&gt;1),"NUMERO_PC duplicado",IF(B4699="","DATA_PC vazia",IF(NOT(ISNUMBER(B4699)),"DATA_PC invalida",IF(OR(C4699="",C4699="Fora dos ciclos"),"CICLO_PC nao identificado",IF(OR(D4699="",D4699=0),"VALOR_PC vazio ou zero",IF(AND(G4699&lt;&gt;"Sim",G4699&lt;&gt;"Nao",G4699&lt;&gt;""),"PC_PAGO_A_CONTRATADA invalido",IF(AND(C4699&lt;&gt;"C0",IFERROR(INDEX(parametros!$A$2:$A$6,MATCH(C4699,parametros!$B$2:$B$6,0)),"")="Sim",IFERROR(INDEX(parametros!$H$2:$H$6,MATCH(C4699,parametros!$B$2:$B$6,0)),"")=""),"INICIO_EFEITO ausente: PC "&amp;A4699&amp;" - "&amp;C4699,IF(L4699="","EFEITO_PC nao calculado: PC "&amp;A4699&amp;" - "&amp;C4699,"OK")))))))))</f>
        <v/>
      </c>
      <c r="L4699" s="92" t="str">
        <f>IF(AND(A4699="",B4699="",D4699="",G4699=""),"",IF(OR(B4699="",NOT(ISNUMBER(B4699)),C4699="",C4699="Fora dos ciclos"),"",IF(C4699="C0","Nao",IF(IFERROR(INDEX(parametros!$A$2:$A$6,MATCH(C4699,parametros!$B$2:$B$6,0)),"")&lt;&gt;"Sim","Nao",IF(IFERROR(INDEX(parametros!$H$2:$H$6,MATCH(C4699,parametros!$B$2:$B$6,0)),"")="","",IF(B4699&gt;=IFERROR(INDEX(parametros!$H$2:$H$6,MATCH(C4699,parametros!$B$2:$B$6,0)),""),"Sim","Nao"))))))</f>
        <v/>
      </c>
      <c r="T4699" s="156"/>
      <c r="U4699" s="214" t="str">
        <f t="shared" si="371"/>
        <v/>
      </c>
      <c r="V4699" s="212" t="s">
        <v>50</v>
      </c>
      <c r="W4699" s="100" t="s">
        <v>168</v>
      </c>
      <c r="X4699" s="100" t="s">
        <v>169</v>
      </c>
      <c r="Y4699" s="101" t="s">
        <v>170</v>
      </c>
      <c r="Z4699" s="101" t="s">
        <v>171</v>
      </c>
      <c r="AA4699" s="101" t="s">
        <v>50</v>
      </c>
      <c r="AB4699" s="101" t="s">
        <v>172</v>
      </c>
      <c r="AC4699" s="102" t="s">
        <v>173</v>
      </c>
    </row>
    <row r="4700" spans="1:29" ht="25.5" customHeight="1" x14ac:dyDescent="0.35">
      <c r="A4700" s="392"/>
      <c r="B4700" s="393"/>
      <c r="C4700" s="99" t="str">
        <f>IF(B4700="","",IF(NOT(ISNUMBER(B4700)),"DATA_PC invalida",IF(NOT(ISNUMBER(parametros!$C$2)),"Fora dos ciclos",IF(OR(B4700&lt;parametros!$C$2,(YEAR(B4700)-YEAR(parametros!$C$2))*12+MONTH(B4700)-MONTH(parametros!$C$2)&gt;59),"Fora dos ciclos","C"&amp;INT(((YEAR(B4700)-YEAR(parametros!$C$2))*12+MONTH(B4700)-MONTH(parametros!$C$2))/12)))))</f>
        <v/>
      </c>
      <c r="D4700" s="394"/>
      <c r="E4700" s="78" t="str">
        <f>IF(C4700="","",IFERROR(VLOOKUP(C4700,parametros!$A$11:$E$15,5,0),""))</f>
        <v/>
      </c>
      <c r="F4700" s="79" t="str">
        <f t="shared" si="367"/>
        <v/>
      </c>
      <c r="G4700" s="395"/>
      <c r="H4700" s="91">
        <f t="shared" si="368"/>
        <v>0</v>
      </c>
      <c r="I4700" s="91" t="str">
        <f t="shared" si="369"/>
        <v/>
      </c>
      <c r="J4700" s="91" t="str">
        <f t="shared" si="370"/>
        <v/>
      </c>
      <c r="K4700" s="92" t="str">
        <f>IF(AND(A4700="",B4700="",D4700="",G4700=""),"",IF(AND(A4700&lt;&gt;"",COUNTIF($A$2:$A$5001,A4700)&gt;1),"NUMERO_PC duplicado",IF(B4700="","DATA_PC vazia",IF(NOT(ISNUMBER(B4700)),"DATA_PC invalida",IF(OR(C4700="",C4700="Fora dos ciclos"),"CICLO_PC nao identificado",IF(OR(D4700="",D4700=0),"VALOR_PC vazio ou zero",IF(AND(G4700&lt;&gt;"Sim",G4700&lt;&gt;"Nao",G4700&lt;&gt;""),"PC_PAGO_A_CONTRATADA invalido",IF(AND(C4700&lt;&gt;"C0",IFERROR(INDEX(parametros!$A$2:$A$6,MATCH(C4700,parametros!$B$2:$B$6,0)),"")="Sim",IFERROR(INDEX(parametros!$H$2:$H$6,MATCH(C4700,parametros!$B$2:$B$6,0)),"")=""),"INICIO_EFEITO ausente: PC "&amp;A4700&amp;" - "&amp;C4700,IF(L4700="","EFEITO_PC nao calculado: PC "&amp;A4700&amp;" - "&amp;C4700,"OK")))))))))</f>
        <v/>
      </c>
      <c r="L4700" s="92" t="str">
        <f>IF(AND(A4700="",B4700="",D4700="",G4700=""),"",IF(OR(B4700="",NOT(ISNUMBER(B4700)),C4700="",C4700="Fora dos ciclos"),"",IF(C4700="C0","Nao",IF(IFERROR(INDEX(parametros!$A$2:$A$6,MATCH(C4700,parametros!$B$2:$B$6,0)),"")&lt;&gt;"Sim","Nao",IF(IFERROR(INDEX(parametros!$H$2:$H$6,MATCH(C4700,parametros!$B$2:$B$6,0)),"")="","",IF(B4700&gt;=IFERROR(INDEX(parametros!$H$2:$H$6,MATCH(C4700,parametros!$B$2:$B$6,0)),""),"Sim","Nao"))))))</f>
        <v/>
      </c>
      <c r="T4700" s="156"/>
      <c r="U4700" s="214" t="str">
        <f t="shared" si="371"/>
        <v/>
      </c>
      <c r="V4700" s="212" t="s">
        <v>50</v>
      </c>
      <c r="W4700" s="100" t="s">
        <v>168</v>
      </c>
      <c r="X4700" s="100" t="s">
        <v>169</v>
      </c>
      <c r="Y4700" s="101" t="s">
        <v>170</v>
      </c>
      <c r="Z4700" s="101" t="s">
        <v>171</v>
      </c>
      <c r="AA4700" s="101" t="s">
        <v>50</v>
      </c>
      <c r="AB4700" s="101" t="s">
        <v>172</v>
      </c>
      <c r="AC4700" s="102" t="s">
        <v>173</v>
      </c>
    </row>
    <row r="4701" spans="1:29" ht="25.5" customHeight="1" x14ac:dyDescent="0.35">
      <c r="A4701" s="392"/>
      <c r="B4701" s="393"/>
      <c r="C4701" s="99" t="str">
        <f>IF(B4701="","",IF(NOT(ISNUMBER(B4701)),"DATA_PC invalida",IF(NOT(ISNUMBER(parametros!$C$2)),"Fora dos ciclos",IF(OR(B4701&lt;parametros!$C$2,(YEAR(B4701)-YEAR(parametros!$C$2))*12+MONTH(B4701)-MONTH(parametros!$C$2)&gt;59),"Fora dos ciclos","C"&amp;INT(((YEAR(B4701)-YEAR(parametros!$C$2))*12+MONTH(B4701)-MONTH(parametros!$C$2))/12)))))</f>
        <v/>
      </c>
      <c r="D4701" s="394"/>
      <c r="E4701" s="78" t="str">
        <f>IF(C4701="","",IFERROR(VLOOKUP(C4701,parametros!$A$11:$E$15,5,0),""))</f>
        <v/>
      </c>
      <c r="F4701" s="79" t="str">
        <f t="shared" si="367"/>
        <v/>
      </c>
      <c r="G4701" s="395"/>
      <c r="H4701" s="91">
        <f t="shared" si="368"/>
        <v>0</v>
      </c>
      <c r="I4701" s="91" t="str">
        <f t="shared" si="369"/>
        <v/>
      </c>
      <c r="J4701" s="91" t="str">
        <f t="shared" si="370"/>
        <v/>
      </c>
      <c r="K4701" s="92" t="str">
        <f>IF(AND(A4701="",B4701="",D4701="",G4701=""),"",IF(AND(A4701&lt;&gt;"",COUNTIF($A$2:$A$5001,A4701)&gt;1),"NUMERO_PC duplicado",IF(B4701="","DATA_PC vazia",IF(NOT(ISNUMBER(B4701)),"DATA_PC invalida",IF(OR(C4701="",C4701="Fora dos ciclos"),"CICLO_PC nao identificado",IF(OR(D4701="",D4701=0),"VALOR_PC vazio ou zero",IF(AND(G4701&lt;&gt;"Sim",G4701&lt;&gt;"Nao",G4701&lt;&gt;""),"PC_PAGO_A_CONTRATADA invalido",IF(AND(C4701&lt;&gt;"C0",IFERROR(INDEX(parametros!$A$2:$A$6,MATCH(C4701,parametros!$B$2:$B$6,0)),"")="Sim",IFERROR(INDEX(parametros!$H$2:$H$6,MATCH(C4701,parametros!$B$2:$B$6,0)),"")=""),"INICIO_EFEITO ausente: PC "&amp;A4701&amp;" - "&amp;C4701,IF(L4701="","EFEITO_PC nao calculado: PC "&amp;A4701&amp;" - "&amp;C4701,"OK")))))))))</f>
        <v/>
      </c>
      <c r="L4701" s="92" t="str">
        <f>IF(AND(A4701="",B4701="",D4701="",G4701=""),"",IF(OR(B4701="",NOT(ISNUMBER(B4701)),C4701="",C4701="Fora dos ciclos"),"",IF(C4701="C0","Nao",IF(IFERROR(INDEX(parametros!$A$2:$A$6,MATCH(C4701,parametros!$B$2:$B$6,0)),"")&lt;&gt;"Sim","Nao",IF(IFERROR(INDEX(parametros!$H$2:$H$6,MATCH(C4701,parametros!$B$2:$B$6,0)),"")="","",IF(B4701&gt;=IFERROR(INDEX(parametros!$H$2:$H$6,MATCH(C4701,parametros!$B$2:$B$6,0)),""),"Sim","Nao"))))))</f>
        <v/>
      </c>
      <c r="T4701" s="156"/>
      <c r="U4701" s="214" t="str">
        <f t="shared" si="371"/>
        <v/>
      </c>
      <c r="V4701" s="212" t="s">
        <v>50</v>
      </c>
      <c r="W4701" s="100" t="s">
        <v>168</v>
      </c>
      <c r="X4701" s="100" t="s">
        <v>169</v>
      </c>
      <c r="Y4701" s="101" t="s">
        <v>170</v>
      </c>
      <c r="Z4701" s="101" t="s">
        <v>171</v>
      </c>
      <c r="AA4701" s="101" t="s">
        <v>50</v>
      </c>
      <c r="AB4701" s="101" t="s">
        <v>172</v>
      </c>
      <c r="AC4701" s="102" t="s">
        <v>173</v>
      </c>
    </row>
    <row r="4702" spans="1:29" ht="25.5" customHeight="1" x14ac:dyDescent="0.35">
      <c r="A4702" s="392"/>
      <c r="B4702" s="393"/>
      <c r="C4702" s="99" t="str">
        <f>IF(B4702="","",IF(NOT(ISNUMBER(B4702)),"DATA_PC invalida",IF(NOT(ISNUMBER(parametros!$C$2)),"Fora dos ciclos",IF(OR(B4702&lt;parametros!$C$2,(YEAR(B4702)-YEAR(parametros!$C$2))*12+MONTH(B4702)-MONTH(parametros!$C$2)&gt;59),"Fora dos ciclos","C"&amp;INT(((YEAR(B4702)-YEAR(parametros!$C$2))*12+MONTH(B4702)-MONTH(parametros!$C$2))/12)))))</f>
        <v/>
      </c>
      <c r="D4702" s="394"/>
      <c r="E4702" s="78" t="str">
        <f>IF(C4702="","",IFERROR(VLOOKUP(C4702,parametros!$A$11:$E$15,5,0),""))</f>
        <v/>
      </c>
      <c r="F4702" s="79" t="str">
        <f t="shared" si="367"/>
        <v/>
      </c>
      <c r="G4702" s="395"/>
      <c r="H4702" s="91">
        <f t="shared" si="368"/>
        <v>0</v>
      </c>
      <c r="I4702" s="91" t="str">
        <f t="shared" si="369"/>
        <v/>
      </c>
      <c r="J4702" s="91" t="str">
        <f t="shared" si="370"/>
        <v/>
      </c>
      <c r="K4702" s="92" t="str">
        <f>IF(AND(A4702="",B4702="",D4702="",G4702=""),"",IF(AND(A4702&lt;&gt;"",COUNTIF($A$2:$A$5001,A4702)&gt;1),"NUMERO_PC duplicado",IF(B4702="","DATA_PC vazia",IF(NOT(ISNUMBER(B4702)),"DATA_PC invalida",IF(OR(C4702="",C4702="Fora dos ciclos"),"CICLO_PC nao identificado",IF(OR(D4702="",D4702=0),"VALOR_PC vazio ou zero",IF(AND(G4702&lt;&gt;"Sim",G4702&lt;&gt;"Nao",G4702&lt;&gt;""),"PC_PAGO_A_CONTRATADA invalido",IF(AND(C4702&lt;&gt;"C0",IFERROR(INDEX(parametros!$A$2:$A$6,MATCH(C4702,parametros!$B$2:$B$6,0)),"")="Sim",IFERROR(INDEX(parametros!$H$2:$H$6,MATCH(C4702,parametros!$B$2:$B$6,0)),"")=""),"INICIO_EFEITO ausente: PC "&amp;A4702&amp;" - "&amp;C4702,IF(L4702="","EFEITO_PC nao calculado: PC "&amp;A4702&amp;" - "&amp;C4702,"OK")))))))))</f>
        <v/>
      </c>
      <c r="L4702" s="92" t="str">
        <f>IF(AND(A4702="",B4702="",D4702="",G4702=""),"",IF(OR(B4702="",NOT(ISNUMBER(B4702)),C4702="",C4702="Fora dos ciclos"),"",IF(C4702="C0","Nao",IF(IFERROR(INDEX(parametros!$A$2:$A$6,MATCH(C4702,parametros!$B$2:$B$6,0)),"")&lt;&gt;"Sim","Nao",IF(IFERROR(INDEX(parametros!$H$2:$H$6,MATCH(C4702,parametros!$B$2:$B$6,0)),"")="","",IF(B4702&gt;=IFERROR(INDEX(parametros!$H$2:$H$6,MATCH(C4702,parametros!$B$2:$B$6,0)),""),"Sim","Nao"))))))</f>
        <v/>
      </c>
      <c r="T4702" s="156"/>
      <c r="U4702" s="214" t="str">
        <f t="shared" si="371"/>
        <v/>
      </c>
      <c r="V4702" s="212" t="s">
        <v>50</v>
      </c>
      <c r="W4702" s="100" t="s">
        <v>168</v>
      </c>
      <c r="X4702" s="100" t="s">
        <v>169</v>
      </c>
      <c r="Y4702" s="101" t="s">
        <v>170</v>
      </c>
      <c r="Z4702" s="101" t="s">
        <v>171</v>
      </c>
      <c r="AA4702" s="101" t="s">
        <v>50</v>
      </c>
      <c r="AB4702" s="101" t="s">
        <v>172</v>
      </c>
      <c r="AC4702" s="102" t="s">
        <v>173</v>
      </c>
    </row>
    <row r="4703" spans="1:29" ht="25.5" customHeight="1" x14ac:dyDescent="0.35">
      <c r="A4703" s="392"/>
      <c r="B4703" s="393"/>
      <c r="C4703" s="99" t="str">
        <f>IF(B4703="","",IF(NOT(ISNUMBER(B4703)),"DATA_PC invalida",IF(NOT(ISNUMBER(parametros!$C$2)),"Fora dos ciclos",IF(OR(B4703&lt;parametros!$C$2,(YEAR(B4703)-YEAR(parametros!$C$2))*12+MONTH(B4703)-MONTH(parametros!$C$2)&gt;59),"Fora dos ciclos","C"&amp;INT(((YEAR(B4703)-YEAR(parametros!$C$2))*12+MONTH(B4703)-MONTH(parametros!$C$2))/12)))))</f>
        <v/>
      </c>
      <c r="D4703" s="394"/>
      <c r="E4703" s="78" t="str">
        <f>IF(C4703="","",IFERROR(VLOOKUP(C4703,parametros!$A$11:$E$15,5,0),""))</f>
        <v/>
      </c>
      <c r="F4703" s="79" t="str">
        <f t="shared" si="367"/>
        <v/>
      </c>
      <c r="G4703" s="395"/>
      <c r="H4703" s="91">
        <f t="shared" si="368"/>
        <v>0</v>
      </c>
      <c r="I4703" s="91" t="str">
        <f t="shared" si="369"/>
        <v/>
      </c>
      <c r="J4703" s="91" t="str">
        <f t="shared" si="370"/>
        <v/>
      </c>
      <c r="K4703" s="92" t="str">
        <f>IF(AND(A4703="",B4703="",D4703="",G4703=""),"",IF(AND(A4703&lt;&gt;"",COUNTIF($A$2:$A$5001,A4703)&gt;1),"NUMERO_PC duplicado",IF(B4703="","DATA_PC vazia",IF(NOT(ISNUMBER(B4703)),"DATA_PC invalida",IF(OR(C4703="",C4703="Fora dos ciclos"),"CICLO_PC nao identificado",IF(OR(D4703="",D4703=0),"VALOR_PC vazio ou zero",IF(AND(G4703&lt;&gt;"Sim",G4703&lt;&gt;"Nao",G4703&lt;&gt;""),"PC_PAGO_A_CONTRATADA invalido",IF(AND(C4703&lt;&gt;"C0",IFERROR(INDEX(parametros!$A$2:$A$6,MATCH(C4703,parametros!$B$2:$B$6,0)),"")="Sim",IFERROR(INDEX(parametros!$H$2:$H$6,MATCH(C4703,parametros!$B$2:$B$6,0)),"")=""),"INICIO_EFEITO ausente: PC "&amp;A4703&amp;" - "&amp;C4703,IF(L4703="","EFEITO_PC nao calculado: PC "&amp;A4703&amp;" - "&amp;C4703,"OK")))))))))</f>
        <v/>
      </c>
      <c r="L4703" s="92" t="str">
        <f>IF(AND(A4703="",B4703="",D4703="",G4703=""),"",IF(OR(B4703="",NOT(ISNUMBER(B4703)),C4703="",C4703="Fora dos ciclos"),"",IF(C4703="C0","Nao",IF(IFERROR(INDEX(parametros!$A$2:$A$6,MATCH(C4703,parametros!$B$2:$B$6,0)),"")&lt;&gt;"Sim","Nao",IF(IFERROR(INDEX(parametros!$H$2:$H$6,MATCH(C4703,parametros!$B$2:$B$6,0)),"")="","",IF(B4703&gt;=IFERROR(INDEX(parametros!$H$2:$H$6,MATCH(C4703,parametros!$B$2:$B$6,0)),""),"Sim","Nao"))))))</f>
        <v/>
      </c>
      <c r="T4703" s="156"/>
      <c r="U4703" s="214" t="str">
        <f t="shared" si="371"/>
        <v/>
      </c>
      <c r="V4703" s="212" t="s">
        <v>50</v>
      </c>
      <c r="W4703" s="100" t="s">
        <v>168</v>
      </c>
      <c r="X4703" s="100" t="s">
        <v>169</v>
      </c>
      <c r="Y4703" s="101" t="s">
        <v>170</v>
      </c>
      <c r="Z4703" s="101" t="s">
        <v>171</v>
      </c>
      <c r="AA4703" s="101" t="s">
        <v>50</v>
      </c>
      <c r="AB4703" s="101" t="s">
        <v>172</v>
      </c>
      <c r="AC4703" s="102" t="s">
        <v>173</v>
      </c>
    </row>
    <row r="4704" spans="1:29" ht="25.5" customHeight="1" x14ac:dyDescent="0.35">
      <c r="A4704" s="392"/>
      <c r="B4704" s="393"/>
      <c r="C4704" s="99" t="str">
        <f>IF(B4704="","",IF(NOT(ISNUMBER(B4704)),"DATA_PC invalida",IF(NOT(ISNUMBER(parametros!$C$2)),"Fora dos ciclos",IF(OR(B4704&lt;parametros!$C$2,(YEAR(B4704)-YEAR(parametros!$C$2))*12+MONTH(B4704)-MONTH(parametros!$C$2)&gt;59),"Fora dos ciclos","C"&amp;INT(((YEAR(B4704)-YEAR(parametros!$C$2))*12+MONTH(B4704)-MONTH(parametros!$C$2))/12)))))</f>
        <v/>
      </c>
      <c r="D4704" s="394"/>
      <c r="E4704" s="78" t="str">
        <f>IF(C4704="","",IFERROR(VLOOKUP(C4704,parametros!$A$11:$E$15,5,0),""))</f>
        <v/>
      </c>
      <c r="F4704" s="79" t="str">
        <f t="shared" si="367"/>
        <v/>
      </c>
      <c r="G4704" s="395"/>
      <c r="H4704" s="91">
        <f t="shared" si="368"/>
        <v>0</v>
      </c>
      <c r="I4704" s="91" t="str">
        <f t="shared" si="369"/>
        <v/>
      </c>
      <c r="J4704" s="91" t="str">
        <f t="shared" si="370"/>
        <v/>
      </c>
      <c r="K4704" s="92" t="str">
        <f>IF(AND(A4704="",B4704="",D4704="",G4704=""),"",IF(AND(A4704&lt;&gt;"",COUNTIF($A$2:$A$5001,A4704)&gt;1),"NUMERO_PC duplicado",IF(B4704="","DATA_PC vazia",IF(NOT(ISNUMBER(B4704)),"DATA_PC invalida",IF(OR(C4704="",C4704="Fora dos ciclos"),"CICLO_PC nao identificado",IF(OR(D4704="",D4704=0),"VALOR_PC vazio ou zero",IF(AND(G4704&lt;&gt;"Sim",G4704&lt;&gt;"Nao",G4704&lt;&gt;""),"PC_PAGO_A_CONTRATADA invalido",IF(AND(C4704&lt;&gt;"C0",IFERROR(INDEX(parametros!$A$2:$A$6,MATCH(C4704,parametros!$B$2:$B$6,0)),"")="Sim",IFERROR(INDEX(parametros!$H$2:$H$6,MATCH(C4704,parametros!$B$2:$B$6,0)),"")=""),"INICIO_EFEITO ausente: PC "&amp;A4704&amp;" - "&amp;C4704,IF(L4704="","EFEITO_PC nao calculado: PC "&amp;A4704&amp;" - "&amp;C4704,"OK")))))))))</f>
        <v/>
      </c>
      <c r="L4704" s="92" t="str">
        <f>IF(AND(A4704="",B4704="",D4704="",G4704=""),"",IF(OR(B4704="",NOT(ISNUMBER(B4704)),C4704="",C4704="Fora dos ciclos"),"",IF(C4704="C0","Nao",IF(IFERROR(INDEX(parametros!$A$2:$A$6,MATCH(C4704,parametros!$B$2:$B$6,0)),"")&lt;&gt;"Sim","Nao",IF(IFERROR(INDEX(parametros!$H$2:$H$6,MATCH(C4704,parametros!$B$2:$B$6,0)),"")="","",IF(B4704&gt;=IFERROR(INDEX(parametros!$H$2:$H$6,MATCH(C4704,parametros!$B$2:$B$6,0)),""),"Sim","Nao"))))))</f>
        <v/>
      </c>
      <c r="T4704" s="156"/>
      <c r="U4704" s="214" t="str">
        <f t="shared" si="371"/>
        <v/>
      </c>
      <c r="V4704" s="212" t="s">
        <v>50</v>
      </c>
      <c r="W4704" s="100" t="s">
        <v>168</v>
      </c>
      <c r="X4704" s="100" t="s">
        <v>169</v>
      </c>
      <c r="Y4704" s="101" t="s">
        <v>170</v>
      </c>
      <c r="Z4704" s="101" t="s">
        <v>171</v>
      </c>
      <c r="AA4704" s="101" t="s">
        <v>50</v>
      </c>
      <c r="AB4704" s="101" t="s">
        <v>172</v>
      </c>
      <c r="AC4704" s="102" t="s">
        <v>173</v>
      </c>
    </row>
    <row r="4705" spans="1:29" ht="25.5" customHeight="1" x14ac:dyDescent="0.35">
      <c r="A4705" s="392"/>
      <c r="B4705" s="393"/>
      <c r="C4705" s="99" t="str">
        <f>IF(B4705="","",IF(NOT(ISNUMBER(B4705)),"DATA_PC invalida",IF(NOT(ISNUMBER(parametros!$C$2)),"Fora dos ciclos",IF(OR(B4705&lt;parametros!$C$2,(YEAR(B4705)-YEAR(parametros!$C$2))*12+MONTH(B4705)-MONTH(parametros!$C$2)&gt;59),"Fora dos ciclos","C"&amp;INT(((YEAR(B4705)-YEAR(parametros!$C$2))*12+MONTH(B4705)-MONTH(parametros!$C$2))/12)))))</f>
        <v/>
      </c>
      <c r="D4705" s="394"/>
      <c r="E4705" s="78" t="str">
        <f>IF(C4705="","",IFERROR(VLOOKUP(C4705,parametros!$A$11:$E$15,5,0),""))</f>
        <v/>
      </c>
      <c r="F4705" s="79" t="str">
        <f t="shared" si="367"/>
        <v/>
      </c>
      <c r="G4705" s="395"/>
      <c r="H4705" s="91">
        <f t="shared" si="368"/>
        <v>0</v>
      </c>
      <c r="I4705" s="91" t="str">
        <f t="shared" si="369"/>
        <v/>
      </c>
      <c r="J4705" s="91" t="str">
        <f t="shared" si="370"/>
        <v/>
      </c>
      <c r="K4705" s="92" t="str">
        <f>IF(AND(A4705="",B4705="",D4705="",G4705=""),"",IF(AND(A4705&lt;&gt;"",COUNTIF($A$2:$A$5001,A4705)&gt;1),"NUMERO_PC duplicado",IF(B4705="","DATA_PC vazia",IF(NOT(ISNUMBER(B4705)),"DATA_PC invalida",IF(OR(C4705="",C4705="Fora dos ciclos"),"CICLO_PC nao identificado",IF(OR(D4705="",D4705=0),"VALOR_PC vazio ou zero",IF(AND(G4705&lt;&gt;"Sim",G4705&lt;&gt;"Nao",G4705&lt;&gt;""),"PC_PAGO_A_CONTRATADA invalido",IF(AND(C4705&lt;&gt;"C0",IFERROR(INDEX(parametros!$A$2:$A$6,MATCH(C4705,parametros!$B$2:$B$6,0)),"")="Sim",IFERROR(INDEX(parametros!$H$2:$H$6,MATCH(C4705,parametros!$B$2:$B$6,0)),"")=""),"INICIO_EFEITO ausente: PC "&amp;A4705&amp;" - "&amp;C4705,IF(L4705="","EFEITO_PC nao calculado: PC "&amp;A4705&amp;" - "&amp;C4705,"OK")))))))))</f>
        <v/>
      </c>
      <c r="L4705" s="92" t="str">
        <f>IF(AND(A4705="",B4705="",D4705="",G4705=""),"",IF(OR(B4705="",NOT(ISNUMBER(B4705)),C4705="",C4705="Fora dos ciclos"),"",IF(C4705="C0","Nao",IF(IFERROR(INDEX(parametros!$A$2:$A$6,MATCH(C4705,parametros!$B$2:$B$6,0)),"")&lt;&gt;"Sim","Nao",IF(IFERROR(INDEX(parametros!$H$2:$H$6,MATCH(C4705,parametros!$B$2:$B$6,0)),"")="","",IF(B4705&gt;=IFERROR(INDEX(parametros!$H$2:$H$6,MATCH(C4705,parametros!$B$2:$B$6,0)),""),"Sim","Nao"))))))</f>
        <v/>
      </c>
      <c r="T4705" s="156"/>
      <c r="U4705" s="214" t="str">
        <f t="shared" si="371"/>
        <v/>
      </c>
      <c r="V4705" s="212" t="s">
        <v>50</v>
      </c>
      <c r="W4705" s="100" t="s">
        <v>168</v>
      </c>
      <c r="X4705" s="100" t="s">
        <v>169</v>
      </c>
      <c r="Y4705" s="101" t="s">
        <v>170</v>
      </c>
      <c r="Z4705" s="101" t="s">
        <v>171</v>
      </c>
      <c r="AA4705" s="101" t="s">
        <v>50</v>
      </c>
      <c r="AB4705" s="101" t="s">
        <v>172</v>
      </c>
      <c r="AC4705" s="102" t="s">
        <v>173</v>
      </c>
    </row>
    <row r="4706" spans="1:29" ht="25.5" customHeight="1" x14ac:dyDescent="0.35">
      <c r="A4706" s="392"/>
      <c r="B4706" s="393"/>
      <c r="C4706" s="99" t="str">
        <f>IF(B4706="","",IF(NOT(ISNUMBER(B4706)),"DATA_PC invalida",IF(NOT(ISNUMBER(parametros!$C$2)),"Fora dos ciclos",IF(OR(B4706&lt;parametros!$C$2,(YEAR(B4706)-YEAR(parametros!$C$2))*12+MONTH(B4706)-MONTH(parametros!$C$2)&gt;59),"Fora dos ciclos","C"&amp;INT(((YEAR(B4706)-YEAR(parametros!$C$2))*12+MONTH(B4706)-MONTH(parametros!$C$2))/12)))))</f>
        <v/>
      </c>
      <c r="D4706" s="394"/>
      <c r="E4706" s="78" t="str">
        <f>IF(C4706="","",IFERROR(VLOOKUP(C4706,parametros!$A$11:$E$15,5,0),""))</f>
        <v/>
      </c>
      <c r="F4706" s="79" t="str">
        <f t="shared" si="367"/>
        <v/>
      </c>
      <c r="G4706" s="395"/>
      <c r="H4706" s="91">
        <f t="shared" si="368"/>
        <v>0</v>
      </c>
      <c r="I4706" s="91" t="str">
        <f t="shared" si="369"/>
        <v/>
      </c>
      <c r="J4706" s="91" t="str">
        <f t="shared" si="370"/>
        <v/>
      </c>
      <c r="K4706" s="92" t="str">
        <f>IF(AND(A4706="",B4706="",D4706="",G4706=""),"",IF(AND(A4706&lt;&gt;"",COUNTIF($A$2:$A$5001,A4706)&gt;1),"NUMERO_PC duplicado",IF(B4706="","DATA_PC vazia",IF(NOT(ISNUMBER(B4706)),"DATA_PC invalida",IF(OR(C4706="",C4706="Fora dos ciclos"),"CICLO_PC nao identificado",IF(OR(D4706="",D4706=0),"VALOR_PC vazio ou zero",IF(AND(G4706&lt;&gt;"Sim",G4706&lt;&gt;"Nao",G4706&lt;&gt;""),"PC_PAGO_A_CONTRATADA invalido",IF(AND(C4706&lt;&gt;"C0",IFERROR(INDEX(parametros!$A$2:$A$6,MATCH(C4706,parametros!$B$2:$B$6,0)),"")="Sim",IFERROR(INDEX(parametros!$H$2:$H$6,MATCH(C4706,parametros!$B$2:$B$6,0)),"")=""),"INICIO_EFEITO ausente: PC "&amp;A4706&amp;" - "&amp;C4706,IF(L4706="","EFEITO_PC nao calculado: PC "&amp;A4706&amp;" - "&amp;C4706,"OK")))))))))</f>
        <v/>
      </c>
      <c r="L4706" s="92" t="str">
        <f>IF(AND(A4706="",B4706="",D4706="",G4706=""),"",IF(OR(B4706="",NOT(ISNUMBER(B4706)),C4706="",C4706="Fora dos ciclos"),"",IF(C4706="C0","Nao",IF(IFERROR(INDEX(parametros!$A$2:$A$6,MATCH(C4706,parametros!$B$2:$B$6,0)),"")&lt;&gt;"Sim","Nao",IF(IFERROR(INDEX(parametros!$H$2:$H$6,MATCH(C4706,parametros!$B$2:$B$6,0)),"")="","",IF(B4706&gt;=IFERROR(INDEX(parametros!$H$2:$H$6,MATCH(C4706,parametros!$B$2:$B$6,0)),""),"Sim","Nao"))))))</f>
        <v/>
      </c>
      <c r="T4706" s="156"/>
      <c r="U4706" s="214" t="str">
        <f t="shared" si="371"/>
        <v/>
      </c>
      <c r="V4706" s="212" t="s">
        <v>50</v>
      </c>
      <c r="W4706" s="100" t="s">
        <v>168</v>
      </c>
      <c r="X4706" s="100" t="s">
        <v>169</v>
      </c>
      <c r="Y4706" s="101" t="s">
        <v>170</v>
      </c>
      <c r="Z4706" s="101" t="s">
        <v>171</v>
      </c>
      <c r="AA4706" s="101" t="s">
        <v>50</v>
      </c>
      <c r="AB4706" s="101" t="s">
        <v>172</v>
      </c>
      <c r="AC4706" s="102" t="s">
        <v>173</v>
      </c>
    </row>
    <row r="4707" spans="1:29" ht="25.5" customHeight="1" x14ac:dyDescent="0.35">
      <c r="A4707" s="392"/>
      <c r="B4707" s="393"/>
      <c r="C4707" s="99" t="str">
        <f>IF(B4707="","",IF(NOT(ISNUMBER(B4707)),"DATA_PC invalida",IF(NOT(ISNUMBER(parametros!$C$2)),"Fora dos ciclos",IF(OR(B4707&lt;parametros!$C$2,(YEAR(B4707)-YEAR(parametros!$C$2))*12+MONTH(B4707)-MONTH(parametros!$C$2)&gt;59),"Fora dos ciclos","C"&amp;INT(((YEAR(B4707)-YEAR(parametros!$C$2))*12+MONTH(B4707)-MONTH(parametros!$C$2))/12)))))</f>
        <v/>
      </c>
      <c r="D4707" s="394"/>
      <c r="E4707" s="78" t="str">
        <f>IF(C4707="","",IFERROR(VLOOKUP(C4707,parametros!$A$11:$E$15,5,0),""))</f>
        <v/>
      </c>
      <c r="F4707" s="79" t="str">
        <f t="shared" si="367"/>
        <v/>
      </c>
      <c r="G4707" s="395"/>
      <c r="H4707" s="91">
        <f t="shared" si="368"/>
        <v>0</v>
      </c>
      <c r="I4707" s="91" t="str">
        <f t="shared" si="369"/>
        <v/>
      </c>
      <c r="J4707" s="91" t="str">
        <f t="shared" si="370"/>
        <v/>
      </c>
      <c r="K4707" s="92" t="str">
        <f>IF(AND(A4707="",B4707="",D4707="",G4707=""),"",IF(AND(A4707&lt;&gt;"",COUNTIF($A$2:$A$5001,A4707)&gt;1),"NUMERO_PC duplicado",IF(B4707="","DATA_PC vazia",IF(NOT(ISNUMBER(B4707)),"DATA_PC invalida",IF(OR(C4707="",C4707="Fora dos ciclos"),"CICLO_PC nao identificado",IF(OR(D4707="",D4707=0),"VALOR_PC vazio ou zero",IF(AND(G4707&lt;&gt;"Sim",G4707&lt;&gt;"Nao",G4707&lt;&gt;""),"PC_PAGO_A_CONTRATADA invalido",IF(AND(C4707&lt;&gt;"C0",IFERROR(INDEX(parametros!$A$2:$A$6,MATCH(C4707,parametros!$B$2:$B$6,0)),"")="Sim",IFERROR(INDEX(parametros!$H$2:$H$6,MATCH(C4707,parametros!$B$2:$B$6,0)),"")=""),"INICIO_EFEITO ausente: PC "&amp;A4707&amp;" - "&amp;C4707,IF(L4707="","EFEITO_PC nao calculado: PC "&amp;A4707&amp;" - "&amp;C4707,"OK")))))))))</f>
        <v/>
      </c>
      <c r="L4707" s="92" t="str">
        <f>IF(AND(A4707="",B4707="",D4707="",G4707=""),"",IF(OR(B4707="",NOT(ISNUMBER(B4707)),C4707="",C4707="Fora dos ciclos"),"",IF(C4707="C0","Nao",IF(IFERROR(INDEX(parametros!$A$2:$A$6,MATCH(C4707,parametros!$B$2:$B$6,0)),"")&lt;&gt;"Sim","Nao",IF(IFERROR(INDEX(parametros!$H$2:$H$6,MATCH(C4707,parametros!$B$2:$B$6,0)),"")="","",IF(B4707&gt;=IFERROR(INDEX(parametros!$H$2:$H$6,MATCH(C4707,parametros!$B$2:$B$6,0)),""),"Sim","Nao"))))))</f>
        <v/>
      </c>
      <c r="T4707" s="156"/>
      <c r="U4707" s="214" t="str">
        <f t="shared" si="371"/>
        <v/>
      </c>
      <c r="V4707" s="212" t="s">
        <v>50</v>
      </c>
      <c r="W4707" s="100" t="s">
        <v>168</v>
      </c>
      <c r="X4707" s="100" t="s">
        <v>169</v>
      </c>
      <c r="Y4707" s="101" t="s">
        <v>170</v>
      </c>
      <c r="Z4707" s="101" t="s">
        <v>171</v>
      </c>
      <c r="AA4707" s="101" t="s">
        <v>50</v>
      </c>
      <c r="AB4707" s="101" t="s">
        <v>172</v>
      </c>
      <c r="AC4707" s="102" t="s">
        <v>173</v>
      </c>
    </row>
    <row r="4708" spans="1:29" ht="25.5" customHeight="1" x14ac:dyDescent="0.35">
      <c r="A4708" s="392"/>
      <c r="B4708" s="393"/>
      <c r="C4708" s="99" t="str">
        <f>IF(B4708="","",IF(NOT(ISNUMBER(B4708)),"DATA_PC invalida",IF(NOT(ISNUMBER(parametros!$C$2)),"Fora dos ciclos",IF(OR(B4708&lt;parametros!$C$2,(YEAR(B4708)-YEAR(parametros!$C$2))*12+MONTH(B4708)-MONTH(parametros!$C$2)&gt;59),"Fora dos ciclos","C"&amp;INT(((YEAR(B4708)-YEAR(parametros!$C$2))*12+MONTH(B4708)-MONTH(parametros!$C$2))/12)))))</f>
        <v/>
      </c>
      <c r="D4708" s="394"/>
      <c r="E4708" s="78" t="str">
        <f>IF(C4708="","",IFERROR(VLOOKUP(C4708,parametros!$A$11:$E$15,5,0),""))</f>
        <v/>
      </c>
      <c r="F4708" s="79" t="str">
        <f t="shared" si="367"/>
        <v/>
      </c>
      <c r="G4708" s="395"/>
      <c r="H4708" s="91">
        <f t="shared" si="368"/>
        <v>0</v>
      </c>
      <c r="I4708" s="91" t="str">
        <f t="shared" si="369"/>
        <v/>
      </c>
      <c r="J4708" s="91" t="str">
        <f t="shared" si="370"/>
        <v/>
      </c>
      <c r="K4708" s="92" t="str">
        <f>IF(AND(A4708="",B4708="",D4708="",G4708=""),"",IF(AND(A4708&lt;&gt;"",COUNTIF($A$2:$A$5001,A4708)&gt;1),"NUMERO_PC duplicado",IF(B4708="","DATA_PC vazia",IF(NOT(ISNUMBER(B4708)),"DATA_PC invalida",IF(OR(C4708="",C4708="Fora dos ciclos"),"CICLO_PC nao identificado",IF(OR(D4708="",D4708=0),"VALOR_PC vazio ou zero",IF(AND(G4708&lt;&gt;"Sim",G4708&lt;&gt;"Nao",G4708&lt;&gt;""),"PC_PAGO_A_CONTRATADA invalido",IF(AND(C4708&lt;&gt;"C0",IFERROR(INDEX(parametros!$A$2:$A$6,MATCH(C4708,parametros!$B$2:$B$6,0)),"")="Sim",IFERROR(INDEX(parametros!$H$2:$H$6,MATCH(C4708,parametros!$B$2:$B$6,0)),"")=""),"INICIO_EFEITO ausente: PC "&amp;A4708&amp;" - "&amp;C4708,IF(L4708="","EFEITO_PC nao calculado: PC "&amp;A4708&amp;" - "&amp;C4708,"OK")))))))))</f>
        <v/>
      </c>
      <c r="L4708" s="92" t="str">
        <f>IF(AND(A4708="",B4708="",D4708="",G4708=""),"",IF(OR(B4708="",NOT(ISNUMBER(B4708)),C4708="",C4708="Fora dos ciclos"),"",IF(C4708="C0","Nao",IF(IFERROR(INDEX(parametros!$A$2:$A$6,MATCH(C4708,parametros!$B$2:$B$6,0)),"")&lt;&gt;"Sim","Nao",IF(IFERROR(INDEX(parametros!$H$2:$H$6,MATCH(C4708,parametros!$B$2:$B$6,0)),"")="","",IF(B4708&gt;=IFERROR(INDEX(parametros!$H$2:$H$6,MATCH(C4708,parametros!$B$2:$B$6,0)),""),"Sim","Nao"))))))</f>
        <v/>
      </c>
      <c r="T4708" s="156"/>
      <c r="U4708" s="214" t="str">
        <f t="shared" si="371"/>
        <v/>
      </c>
      <c r="V4708" s="212" t="s">
        <v>50</v>
      </c>
      <c r="W4708" s="100" t="s">
        <v>168</v>
      </c>
      <c r="X4708" s="100" t="s">
        <v>169</v>
      </c>
      <c r="Y4708" s="101" t="s">
        <v>170</v>
      </c>
      <c r="Z4708" s="101" t="s">
        <v>171</v>
      </c>
      <c r="AA4708" s="101" t="s">
        <v>50</v>
      </c>
      <c r="AB4708" s="101" t="s">
        <v>172</v>
      </c>
      <c r="AC4708" s="102" t="s">
        <v>173</v>
      </c>
    </row>
    <row r="4709" spans="1:29" ht="25.5" customHeight="1" x14ac:dyDescent="0.35">
      <c r="A4709" s="392"/>
      <c r="B4709" s="393"/>
      <c r="C4709" s="99" t="str">
        <f>IF(B4709="","",IF(NOT(ISNUMBER(B4709)),"DATA_PC invalida",IF(NOT(ISNUMBER(parametros!$C$2)),"Fora dos ciclos",IF(OR(B4709&lt;parametros!$C$2,(YEAR(B4709)-YEAR(parametros!$C$2))*12+MONTH(B4709)-MONTH(parametros!$C$2)&gt;59),"Fora dos ciclos","C"&amp;INT(((YEAR(B4709)-YEAR(parametros!$C$2))*12+MONTH(B4709)-MONTH(parametros!$C$2))/12)))))</f>
        <v/>
      </c>
      <c r="D4709" s="394"/>
      <c r="E4709" s="78" t="str">
        <f>IF(C4709="","",IFERROR(VLOOKUP(C4709,parametros!$A$11:$E$15,5,0),""))</f>
        <v/>
      </c>
      <c r="F4709" s="79" t="str">
        <f t="shared" si="367"/>
        <v/>
      </c>
      <c r="G4709" s="395"/>
      <c r="H4709" s="91">
        <f t="shared" si="368"/>
        <v>0</v>
      </c>
      <c r="I4709" s="91" t="str">
        <f t="shared" si="369"/>
        <v/>
      </c>
      <c r="J4709" s="91" t="str">
        <f t="shared" si="370"/>
        <v/>
      </c>
      <c r="K4709" s="92" t="str">
        <f>IF(AND(A4709="",B4709="",D4709="",G4709=""),"",IF(AND(A4709&lt;&gt;"",COUNTIF($A$2:$A$5001,A4709)&gt;1),"NUMERO_PC duplicado",IF(B4709="","DATA_PC vazia",IF(NOT(ISNUMBER(B4709)),"DATA_PC invalida",IF(OR(C4709="",C4709="Fora dos ciclos"),"CICLO_PC nao identificado",IF(OR(D4709="",D4709=0),"VALOR_PC vazio ou zero",IF(AND(G4709&lt;&gt;"Sim",G4709&lt;&gt;"Nao",G4709&lt;&gt;""),"PC_PAGO_A_CONTRATADA invalido",IF(AND(C4709&lt;&gt;"C0",IFERROR(INDEX(parametros!$A$2:$A$6,MATCH(C4709,parametros!$B$2:$B$6,0)),"")="Sim",IFERROR(INDEX(parametros!$H$2:$H$6,MATCH(C4709,parametros!$B$2:$B$6,0)),"")=""),"INICIO_EFEITO ausente: PC "&amp;A4709&amp;" - "&amp;C4709,IF(L4709="","EFEITO_PC nao calculado: PC "&amp;A4709&amp;" - "&amp;C4709,"OK")))))))))</f>
        <v/>
      </c>
      <c r="L4709" s="92" t="str">
        <f>IF(AND(A4709="",B4709="",D4709="",G4709=""),"",IF(OR(B4709="",NOT(ISNUMBER(B4709)),C4709="",C4709="Fora dos ciclos"),"",IF(C4709="C0","Nao",IF(IFERROR(INDEX(parametros!$A$2:$A$6,MATCH(C4709,parametros!$B$2:$B$6,0)),"")&lt;&gt;"Sim","Nao",IF(IFERROR(INDEX(parametros!$H$2:$H$6,MATCH(C4709,parametros!$B$2:$B$6,0)),"")="","",IF(B4709&gt;=IFERROR(INDEX(parametros!$H$2:$H$6,MATCH(C4709,parametros!$B$2:$B$6,0)),""),"Sim","Nao"))))))</f>
        <v/>
      </c>
      <c r="T4709" s="156"/>
      <c r="U4709" s="214" t="str">
        <f t="shared" si="371"/>
        <v/>
      </c>
      <c r="V4709" s="212" t="s">
        <v>50</v>
      </c>
      <c r="W4709" s="100" t="s">
        <v>168</v>
      </c>
      <c r="X4709" s="100" t="s">
        <v>169</v>
      </c>
      <c r="Y4709" s="101" t="s">
        <v>170</v>
      </c>
      <c r="Z4709" s="101" t="s">
        <v>171</v>
      </c>
      <c r="AA4709" s="101" t="s">
        <v>50</v>
      </c>
      <c r="AB4709" s="101" t="s">
        <v>172</v>
      </c>
      <c r="AC4709" s="102" t="s">
        <v>173</v>
      </c>
    </row>
    <row r="4710" spans="1:29" ht="25.5" customHeight="1" x14ac:dyDescent="0.35">
      <c r="A4710" s="392"/>
      <c r="B4710" s="393"/>
      <c r="C4710" s="99" t="str">
        <f>IF(B4710="","",IF(NOT(ISNUMBER(B4710)),"DATA_PC invalida",IF(NOT(ISNUMBER(parametros!$C$2)),"Fora dos ciclos",IF(OR(B4710&lt;parametros!$C$2,(YEAR(B4710)-YEAR(parametros!$C$2))*12+MONTH(B4710)-MONTH(parametros!$C$2)&gt;59),"Fora dos ciclos","C"&amp;INT(((YEAR(B4710)-YEAR(parametros!$C$2))*12+MONTH(B4710)-MONTH(parametros!$C$2))/12)))))</f>
        <v/>
      </c>
      <c r="D4710" s="394"/>
      <c r="E4710" s="78" t="str">
        <f>IF(C4710="","",IFERROR(VLOOKUP(C4710,parametros!$A$11:$E$15,5,0),""))</f>
        <v/>
      </c>
      <c r="F4710" s="79" t="str">
        <f t="shared" si="367"/>
        <v/>
      </c>
      <c r="G4710" s="395"/>
      <c r="H4710" s="91">
        <f t="shared" si="368"/>
        <v>0</v>
      </c>
      <c r="I4710" s="91" t="str">
        <f t="shared" si="369"/>
        <v/>
      </c>
      <c r="J4710" s="91" t="str">
        <f t="shared" si="370"/>
        <v/>
      </c>
      <c r="K4710" s="92" t="str">
        <f>IF(AND(A4710="",B4710="",D4710="",G4710=""),"",IF(AND(A4710&lt;&gt;"",COUNTIF($A$2:$A$5001,A4710)&gt;1),"NUMERO_PC duplicado",IF(B4710="","DATA_PC vazia",IF(NOT(ISNUMBER(B4710)),"DATA_PC invalida",IF(OR(C4710="",C4710="Fora dos ciclos"),"CICLO_PC nao identificado",IF(OR(D4710="",D4710=0),"VALOR_PC vazio ou zero",IF(AND(G4710&lt;&gt;"Sim",G4710&lt;&gt;"Nao",G4710&lt;&gt;""),"PC_PAGO_A_CONTRATADA invalido",IF(AND(C4710&lt;&gt;"C0",IFERROR(INDEX(parametros!$A$2:$A$6,MATCH(C4710,parametros!$B$2:$B$6,0)),"")="Sim",IFERROR(INDEX(parametros!$H$2:$H$6,MATCH(C4710,parametros!$B$2:$B$6,0)),"")=""),"INICIO_EFEITO ausente: PC "&amp;A4710&amp;" - "&amp;C4710,IF(L4710="","EFEITO_PC nao calculado: PC "&amp;A4710&amp;" - "&amp;C4710,"OK")))))))))</f>
        <v/>
      </c>
      <c r="L4710" s="92" t="str">
        <f>IF(AND(A4710="",B4710="",D4710="",G4710=""),"",IF(OR(B4710="",NOT(ISNUMBER(B4710)),C4710="",C4710="Fora dos ciclos"),"",IF(C4710="C0","Nao",IF(IFERROR(INDEX(parametros!$A$2:$A$6,MATCH(C4710,parametros!$B$2:$B$6,0)),"")&lt;&gt;"Sim","Nao",IF(IFERROR(INDEX(parametros!$H$2:$H$6,MATCH(C4710,parametros!$B$2:$B$6,0)),"")="","",IF(B4710&gt;=IFERROR(INDEX(parametros!$H$2:$H$6,MATCH(C4710,parametros!$B$2:$B$6,0)),""),"Sim","Nao"))))))</f>
        <v/>
      </c>
      <c r="T4710" s="156"/>
      <c r="U4710" s="214" t="str">
        <f t="shared" si="371"/>
        <v/>
      </c>
      <c r="V4710" s="212" t="s">
        <v>50</v>
      </c>
      <c r="W4710" s="100" t="s">
        <v>168</v>
      </c>
      <c r="X4710" s="100" t="s">
        <v>169</v>
      </c>
      <c r="Y4710" s="101" t="s">
        <v>170</v>
      </c>
      <c r="Z4710" s="101" t="s">
        <v>171</v>
      </c>
      <c r="AA4710" s="101" t="s">
        <v>50</v>
      </c>
      <c r="AB4710" s="101" t="s">
        <v>172</v>
      </c>
      <c r="AC4710" s="102" t="s">
        <v>173</v>
      </c>
    </row>
    <row r="4711" spans="1:29" ht="25.5" customHeight="1" x14ac:dyDescent="0.35">
      <c r="A4711" s="392"/>
      <c r="B4711" s="393"/>
      <c r="C4711" s="99" t="str">
        <f>IF(B4711="","",IF(NOT(ISNUMBER(B4711)),"DATA_PC invalida",IF(NOT(ISNUMBER(parametros!$C$2)),"Fora dos ciclos",IF(OR(B4711&lt;parametros!$C$2,(YEAR(B4711)-YEAR(parametros!$C$2))*12+MONTH(B4711)-MONTH(parametros!$C$2)&gt;59),"Fora dos ciclos","C"&amp;INT(((YEAR(B4711)-YEAR(parametros!$C$2))*12+MONTH(B4711)-MONTH(parametros!$C$2))/12)))))</f>
        <v/>
      </c>
      <c r="D4711" s="394"/>
      <c r="E4711" s="78" t="str">
        <f>IF(C4711="","",IFERROR(VLOOKUP(C4711,parametros!$A$11:$E$15,5,0),""))</f>
        <v/>
      </c>
      <c r="F4711" s="79" t="str">
        <f t="shared" si="367"/>
        <v/>
      </c>
      <c r="G4711" s="395"/>
      <c r="H4711" s="91">
        <f t="shared" si="368"/>
        <v>0</v>
      </c>
      <c r="I4711" s="91" t="str">
        <f t="shared" si="369"/>
        <v/>
      </c>
      <c r="J4711" s="91" t="str">
        <f t="shared" si="370"/>
        <v/>
      </c>
      <c r="K4711" s="92" t="str">
        <f>IF(AND(A4711="",B4711="",D4711="",G4711=""),"",IF(AND(A4711&lt;&gt;"",COUNTIF($A$2:$A$5001,A4711)&gt;1),"NUMERO_PC duplicado",IF(B4711="","DATA_PC vazia",IF(NOT(ISNUMBER(B4711)),"DATA_PC invalida",IF(OR(C4711="",C4711="Fora dos ciclos"),"CICLO_PC nao identificado",IF(OR(D4711="",D4711=0),"VALOR_PC vazio ou zero",IF(AND(G4711&lt;&gt;"Sim",G4711&lt;&gt;"Nao",G4711&lt;&gt;""),"PC_PAGO_A_CONTRATADA invalido",IF(AND(C4711&lt;&gt;"C0",IFERROR(INDEX(parametros!$A$2:$A$6,MATCH(C4711,parametros!$B$2:$B$6,0)),"")="Sim",IFERROR(INDEX(parametros!$H$2:$H$6,MATCH(C4711,parametros!$B$2:$B$6,0)),"")=""),"INICIO_EFEITO ausente: PC "&amp;A4711&amp;" - "&amp;C4711,IF(L4711="","EFEITO_PC nao calculado: PC "&amp;A4711&amp;" - "&amp;C4711,"OK")))))))))</f>
        <v/>
      </c>
      <c r="L4711" s="92" t="str">
        <f>IF(AND(A4711="",B4711="",D4711="",G4711=""),"",IF(OR(B4711="",NOT(ISNUMBER(B4711)),C4711="",C4711="Fora dos ciclos"),"",IF(C4711="C0","Nao",IF(IFERROR(INDEX(parametros!$A$2:$A$6,MATCH(C4711,parametros!$B$2:$B$6,0)),"")&lt;&gt;"Sim","Nao",IF(IFERROR(INDEX(parametros!$H$2:$H$6,MATCH(C4711,parametros!$B$2:$B$6,0)),"")="","",IF(B4711&gt;=IFERROR(INDEX(parametros!$H$2:$H$6,MATCH(C4711,parametros!$B$2:$B$6,0)),""),"Sim","Nao"))))))</f>
        <v/>
      </c>
      <c r="T4711" s="156"/>
      <c r="U4711" s="214" t="str">
        <f t="shared" si="371"/>
        <v/>
      </c>
      <c r="V4711" s="212" t="s">
        <v>50</v>
      </c>
      <c r="W4711" s="100" t="s">
        <v>168</v>
      </c>
      <c r="X4711" s="100" t="s">
        <v>169</v>
      </c>
      <c r="Y4711" s="101" t="s">
        <v>170</v>
      </c>
      <c r="Z4711" s="101" t="s">
        <v>171</v>
      </c>
      <c r="AA4711" s="101" t="s">
        <v>50</v>
      </c>
      <c r="AB4711" s="101" t="s">
        <v>172</v>
      </c>
      <c r="AC4711" s="102" t="s">
        <v>173</v>
      </c>
    </row>
    <row r="4712" spans="1:29" ht="25.5" customHeight="1" x14ac:dyDescent="0.35">
      <c r="A4712" s="392"/>
      <c r="B4712" s="393"/>
      <c r="C4712" s="99" t="str">
        <f>IF(B4712="","",IF(NOT(ISNUMBER(B4712)),"DATA_PC invalida",IF(NOT(ISNUMBER(parametros!$C$2)),"Fora dos ciclos",IF(OR(B4712&lt;parametros!$C$2,(YEAR(B4712)-YEAR(parametros!$C$2))*12+MONTH(B4712)-MONTH(parametros!$C$2)&gt;59),"Fora dos ciclos","C"&amp;INT(((YEAR(B4712)-YEAR(parametros!$C$2))*12+MONTH(B4712)-MONTH(parametros!$C$2))/12)))))</f>
        <v/>
      </c>
      <c r="D4712" s="394"/>
      <c r="E4712" s="78" t="str">
        <f>IF(C4712="","",IFERROR(VLOOKUP(C4712,parametros!$A$11:$E$15,5,0),""))</f>
        <v/>
      </c>
      <c r="F4712" s="79" t="str">
        <f t="shared" si="367"/>
        <v/>
      </c>
      <c r="G4712" s="395"/>
      <c r="H4712" s="91">
        <f t="shared" si="368"/>
        <v>0</v>
      </c>
      <c r="I4712" s="91" t="str">
        <f t="shared" si="369"/>
        <v/>
      </c>
      <c r="J4712" s="91" t="str">
        <f t="shared" si="370"/>
        <v/>
      </c>
      <c r="K4712" s="92" t="str">
        <f>IF(AND(A4712="",B4712="",D4712="",G4712=""),"",IF(AND(A4712&lt;&gt;"",COUNTIF($A$2:$A$5001,A4712)&gt;1),"NUMERO_PC duplicado",IF(B4712="","DATA_PC vazia",IF(NOT(ISNUMBER(B4712)),"DATA_PC invalida",IF(OR(C4712="",C4712="Fora dos ciclos"),"CICLO_PC nao identificado",IF(OR(D4712="",D4712=0),"VALOR_PC vazio ou zero",IF(AND(G4712&lt;&gt;"Sim",G4712&lt;&gt;"Nao",G4712&lt;&gt;""),"PC_PAGO_A_CONTRATADA invalido",IF(AND(C4712&lt;&gt;"C0",IFERROR(INDEX(parametros!$A$2:$A$6,MATCH(C4712,parametros!$B$2:$B$6,0)),"")="Sim",IFERROR(INDEX(parametros!$H$2:$H$6,MATCH(C4712,parametros!$B$2:$B$6,0)),"")=""),"INICIO_EFEITO ausente: PC "&amp;A4712&amp;" - "&amp;C4712,IF(L4712="","EFEITO_PC nao calculado: PC "&amp;A4712&amp;" - "&amp;C4712,"OK")))))))))</f>
        <v/>
      </c>
      <c r="L4712" s="92" t="str">
        <f>IF(AND(A4712="",B4712="",D4712="",G4712=""),"",IF(OR(B4712="",NOT(ISNUMBER(B4712)),C4712="",C4712="Fora dos ciclos"),"",IF(C4712="C0","Nao",IF(IFERROR(INDEX(parametros!$A$2:$A$6,MATCH(C4712,parametros!$B$2:$B$6,0)),"")&lt;&gt;"Sim","Nao",IF(IFERROR(INDEX(parametros!$H$2:$H$6,MATCH(C4712,parametros!$B$2:$B$6,0)),"")="","",IF(B4712&gt;=IFERROR(INDEX(parametros!$H$2:$H$6,MATCH(C4712,parametros!$B$2:$B$6,0)),""),"Sim","Nao"))))))</f>
        <v/>
      </c>
      <c r="T4712" s="156"/>
      <c r="U4712" s="214" t="str">
        <f t="shared" si="371"/>
        <v/>
      </c>
      <c r="V4712" s="212" t="s">
        <v>50</v>
      </c>
      <c r="W4712" s="100" t="s">
        <v>168</v>
      </c>
      <c r="X4712" s="100" t="s">
        <v>169</v>
      </c>
      <c r="Y4712" s="101" t="s">
        <v>170</v>
      </c>
      <c r="Z4712" s="101" t="s">
        <v>171</v>
      </c>
      <c r="AA4712" s="101" t="s">
        <v>50</v>
      </c>
      <c r="AB4712" s="101" t="s">
        <v>172</v>
      </c>
      <c r="AC4712" s="102" t="s">
        <v>173</v>
      </c>
    </row>
    <row r="4713" spans="1:29" ht="25.5" customHeight="1" x14ac:dyDescent="0.35">
      <c r="A4713" s="392"/>
      <c r="B4713" s="393"/>
      <c r="C4713" s="99" t="str">
        <f>IF(B4713="","",IF(NOT(ISNUMBER(B4713)),"DATA_PC invalida",IF(NOT(ISNUMBER(parametros!$C$2)),"Fora dos ciclos",IF(OR(B4713&lt;parametros!$C$2,(YEAR(B4713)-YEAR(parametros!$C$2))*12+MONTH(B4713)-MONTH(parametros!$C$2)&gt;59),"Fora dos ciclos","C"&amp;INT(((YEAR(B4713)-YEAR(parametros!$C$2))*12+MONTH(B4713)-MONTH(parametros!$C$2))/12)))))</f>
        <v/>
      </c>
      <c r="D4713" s="394"/>
      <c r="E4713" s="78" t="str">
        <f>IF(C4713="","",IFERROR(VLOOKUP(C4713,parametros!$A$11:$E$15,5,0),""))</f>
        <v/>
      </c>
      <c r="F4713" s="79" t="str">
        <f t="shared" si="367"/>
        <v/>
      </c>
      <c r="G4713" s="395"/>
      <c r="H4713" s="91">
        <f t="shared" si="368"/>
        <v>0</v>
      </c>
      <c r="I4713" s="91" t="str">
        <f t="shared" si="369"/>
        <v/>
      </c>
      <c r="J4713" s="91" t="str">
        <f t="shared" si="370"/>
        <v/>
      </c>
      <c r="K4713" s="92" t="str">
        <f>IF(AND(A4713="",B4713="",D4713="",G4713=""),"",IF(AND(A4713&lt;&gt;"",COUNTIF($A$2:$A$5001,A4713)&gt;1),"NUMERO_PC duplicado",IF(B4713="","DATA_PC vazia",IF(NOT(ISNUMBER(B4713)),"DATA_PC invalida",IF(OR(C4713="",C4713="Fora dos ciclos"),"CICLO_PC nao identificado",IF(OR(D4713="",D4713=0),"VALOR_PC vazio ou zero",IF(AND(G4713&lt;&gt;"Sim",G4713&lt;&gt;"Nao",G4713&lt;&gt;""),"PC_PAGO_A_CONTRATADA invalido",IF(AND(C4713&lt;&gt;"C0",IFERROR(INDEX(parametros!$A$2:$A$6,MATCH(C4713,parametros!$B$2:$B$6,0)),"")="Sim",IFERROR(INDEX(parametros!$H$2:$H$6,MATCH(C4713,parametros!$B$2:$B$6,0)),"")=""),"INICIO_EFEITO ausente: PC "&amp;A4713&amp;" - "&amp;C4713,IF(L4713="","EFEITO_PC nao calculado: PC "&amp;A4713&amp;" - "&amp;C4713,"OK")))))))))</f>
        <v/>
      </c>
      <c r="L4713" s="92" t="str">
        <f>IF(AND(A4713="",B4713="",D4713="",G4713=""),"",IF(OR(B4713="",NOT(ISNUMBER(B4713)),C4713="",C4713="Fora dos ciclos"),"",IF(C4713="C0","Nao",IF(IFERROR(INDEX(parametros!$A$2:$A$6,MATCH(C4713,parametros!$B$2:$B$6,0)),"")&lt;&gt;"Sim","Nao",IF(IFERROR(INDEX(parametros!$H$2:$H$6,MATCH(C4713,parametros!$B$2:$B$6,0)),"")="","",IF(B4713&gt;=IFERROR(INDEX(parametros!$H$2:$H$6,MATCH(C4713,parametros!$B$2:$B$6,0)),""),"Sim","Nao"))))))</f>
        <v/>
      </c>
      <c r="T4713" s="156"/>
      <c r="U4713" s="214" t="str">
        <f t="shared" si="371"/>
        <v/>
      </c>
      <c r="V4713" s="212" t="s">
        <v>50</v>
      </c>
      <c r="W4713" s="100" t="s">
        <v>168</v>
      </c>
      <c r="X4713" s="100" t="s">
        <v>169</v>
      </c>
      <c r="Y4713" s="101" t="s">
        <v>170</v>
      </c>
      <c r="Z4713" s="101" t="s">
        <v>171</v>
      </c>
      <c r="AA4713" s="101" t="s">
        <v>50</v>
      </c>
      <c r="AB4713" s="101" t="s">
        <v>172</v>
      </c>
      <c r="AC4713" s="102" t="s">
        <v>173</v>
      </c>
    </row>
    <row r="4714" spans="1:29" ht="25.5" customHeight="1" x14ac:dyDescent="0.35">
      <c r="A4714" s="392"/>
      <c r="B4714" s="393"/>
      <c r="C4714" s="99" t="str">
        <f>IF(B4714="","",IF(NOT(ISNUMBER(B4714)),"DATA_PC invalida",IF(NOT(ISNUMBER(parametros!$C$2)),"Fora dos ciclos",IF(OR(B4714&lt;parametros!$C$2,(YEAR(B4714)-YEAR(parametros!$C$2))*12+MONTH(B4714)-MONTH(parametros!$C$2)&gt;59),"Fora dos ciclos","C"&amp;INT(((YEAR(B4714)-YEAR(parametros!$C$2))*12+MONTH(B4714)-MONTH(parametros!$C$2))/12)))))</f>
        <v/>
      </c>
      <c r="D4714" s="394"/>
      <c r="E4714" s="78" t="str">
        <f>IF(C4714="","",IFERROR(VLOOKUP(C4714,parametros!$A$11:$E$15,5,0),""))</f>
        <v/>
      </c>
      <c r="F4714" s="79" t="str">
        <f t="shared" si="367"/>
        <v/>
      </c>
      <c r="G4714" s="395"/>
      <c r="H4714" s="91">
        <f t="shared" si="368"/>
        <v>0</v>
      </c>
      <c r="I4714" s="91" t="str">
        <f t="shared" si="369"/>
        <v/>
      </c>
      <c r="J4714" s="91" t="str">
        <f t="shared" si="370"/>
        <v/>
      </c>
      <c r="K4714" s="92" t="str">
        <f>IF(AND(A4714="",B4714="",D4714="",G4714=""),"",IF(AND(A4714&lt;&gt;"",COUNTIF($A$2:$A$5001,A4714)&gt;1),"NUMERO_PC duplicado",IF(B4714="","DATA_PC vazia",IF(NOT(ISNUMBER(B4714)),"DATA_PC invalida",IF(OR(C4714="",C4714="Fora dos ciclos"),"CICLO_PC nao identificado",IF(OR(D4714="",D4714=0),"VALOR_PC vazio ou zero",IF(AND(G4714&lt;&gt;"Sim",G4714&lt;&gt;"Nao",G4714&lt;&gt;""),"PC_PAGO_A_CONTRATADA invalido",IF(AND(C4714&lt;&gt;"C0",IFERROR(INDEX(parametros!$A$2:$A$6,MATCH(C4714,parametros!$B$2:$B$6,0)),"")="Sim",IFERROR(INDEX(parametros!$H$2:$H$6,MATCH(C4714,parametros!$B$2:$B$6,0)),"")=""),"INICIO_EFEITO ausente: PC "&amp;A4714&amp;" - "&amp;C4714,IF(L4714="","EFEITO_PC nao calculado: PC "&amp;A4714&amp;" - "&amp;C4714,"OK")))))))))</f>
        <v/>
      </c>
      <c r="L4714" s="92" t="str">
        <f>IF(AND(A4714="",B4714="",D4714="",G4714=""),"",IF(OR(B4714="",NOT(ISNUMBER(B4714)),C4714="",C4714="Fora dos ciclos"),"",IF(C4714="C0","Nao",IF(IFERROR(INDEX(parametros!$A$2:$A$6,MATCH(C4714,parametros!$B$2:$B$6,0)),"")&lt;&gt;"Sim","Nao",IF(IFERROR(INDEX(parametros!$H$2:$H$6,MATCH(C4714,parametros!$B$2:$B$6,0)),"")="","",IF(B4714&gt;=IFERROR(INDEX(parametros!$H$2:$H$6,MATCH(C4714,parametros!$B$2:$B$6,0)),""),"Sim","Nao"))))))</f>
        <v/>
      </c>
      <c r="T4714" s="156"/>
      <c r="U4714" s="214" t="str">
        <f t="shared" si="371"/>
        <v/>
      </c>
      <c r="V4714" s="212" t="s">
        <v>50</v>
      </c>
      <c r="W4714" s="100" t="s">
        <v>168</v>
      </c>
      <c r="X4714" s="100" t="s">
        <v>169</v>
      </c>
      <c r="Y4714" s="101" t="s">
        <v>170</v>
      </c>
      <c r="Z4714" s="101" t="s">
        <v>171</v>
      </c>
      <c r="AA4714" s="101" t="s">
        <v>50</v>
      </c>
      <c r="AB4714" s="101" t="s">
        <v>172</v>
      </c>
      <c r="AC4714" s="102" t="s">
        <v>173</v>
      </c>
    </row>
    <row r="4715" spans="1:29" ht="25.5" customHeight="1" x14ac:dyDescent="0.35">
      <c r="A4715" s="392"/>
      <c r="B4715" s="393"/>
      <c r="C4715" s="99" t="str">
        <f>IF(B4715="","",IF(NOT(ISNUMBER(B4715)),"DATA_PC invalida",IF(NOT(ISNUMBER(parametros!$C$2)),"Fora dos ciclos",IF(OR(B4715&lt;parametros!$C$2,(YEAR(B4715)-YEAR(parametros!$C$2))*12+MONTH(B4715)-MONTH(parametros!$C$2)&gt;59),"Fora dos ciclos","C"&amp;INT(((YEAR(B4715)-YEAR(parametros!$C$2))*12+MONTH(B4715)-MONTH(parametros!$C$2))/12)))))</f>
        <v/>
      </c>
      <c r="D4715" s="394"/>
      <c r="E4715" s="78" t="str">
        <f>IF(C4715="","",IFERROR(VLOOKUP(C4715,parametros!$A$11:$E$15,5,0),""))</f>
        <v/>
      </c>
      <c r="F4715" s="79" t="str">
        <f t="shared" si="367"/>
        <v/>
      </c>
      <c r="G4715" s="395"/>
      <c r="H4715" s="91">
        <f t="shared" si="368"/>
        <v>0</v>
      </c>
      <c r="I4715" s="91" t="str">
        <f t="shared" si="369"/>
        <v/>
      </c>
      <c r="J4715" s="91" t="str">
        <f t="shared" si="370"/>
        <v/>
      </c>
      <c r="K4715" s="92" t="str">
        <f>IF(AND(A4715="",B4715="",D4715="",G4715=""),"",IF(AND(A4715&lt;&gt;"",COUNTIF($A$2:$A$5001,A4715)&gt;1),"NUMERO_PC duplicado",IF(B4715="","DATA_PC vazia",IF(NOT(ISNUMBER(B4715)),"DATA_PC invalida",IF(OR(C4715="",C4715="Fora dos ciclos"),"CICLO_PC nao identificado",IF(OR(D4715="",D4715=0),"VALOR_PC vazio ou zero",IF(AND(G4715&lt;&gt;"Sim",G4715&lt;&gt;"Nao",G4715&lt;&gt;""),"PC_PAGO_A_CONTRATADA invalido",IF(AND(C4715&lt;&gt;"C0",IFERROR(INDEX(parametros!$A$2:$A$6,MATCH(C4715,parametros!$B$2:$B$6,0)),"")="Sim",IFERROR(INDEX(parametros!$H$2:$H$6,MATCH(C4715,parametros!$B$2:$B$6,0)),"")=""),"INICIO_EFEITO ausente: PC "&amp;A4715&amp;" - "&amp;C4715,IF(L4715="","EFEITO_PC nao calculado: PC "&amp;A4715&amp;" - "&amp;C4715,"OK")))))))))</f>
        <v/>
      </c>
      <c r="L4715" s="92" t="str">
        <f>IF(AND(A4715="",B4715="",D4715="",G4715=""),"",IF(OR(B4715="",NOT(ISNUMBER(B4715)),C4715="",C4715="Fora dos ciclos"),"",IF(C4715="C0","Nao",IF(IFERROR(INDEX(parametros!$A$2:$A$6,MATCH(C4715,parametros!$B$2:$B$6,0)),"")&lt;&gt;"Sim","Nao",IF(IFERROR(INDEX(parametros!$H$2:$H$6,MATCH(C4715,parametros!$B$2:$B$6,0)),"")="","",IF(B4715&gt;=IFERROR(INDEX(parametros!$H$2:$H$6,MATCH(C4715,parametros!$B$2:$B$6,0)),""),"Sim","Nao"))))))</f>
        <v/>
      </c>
      <c r="T4715" s="156"/>
      <c r="U4715" s="214" t="str">
        <f t="shared" si="371"/>
        <v/>
      </c>
      <c r="V4715" s="212" t="s">
        <v>50</v>
      </c>
      <c r="W4715" s="100" t="s">
        <v>168</v>
      </c>
      <c r="X4715" s="100" t="s">
        <v>169</v>
      </c>
      <c r="Y4715" s="101" t="s">
        <v>170</v>
      </c>
      <c r="Z4715" s="101" t="s">
        <v>171</v>
      </c>
      <c r="AA4715" s="101" t="s">
        <v>50</v>
      </c>
      <c r="AB4715" s="101" t="s">
        <v>172</v>
      </c>
      <c r="AC4715" s="102" t="s">
        <v>173</v>
      </c>
    </row>
    <row r="4716" spans="1:29" ht="25.5" customHeight="1" x14ac:dyDescent="0.35">
      <c r="A4716" s="392"/>
      <c r="B4716" s="393"/>
      <c r="C4716" s="99" t="str">
        <f>IF(B4716="","",IF(NOT(ISNUMBER(B4716)),"DATA_PC invalida",IF(NOT(ISNUMBER(parametros!$C$2)),"Fora dos ciclos",IF(OR(B4716&lt;parametros!$C$2,(YEAR(B4716)-YEAR(parametros!$C$2))*12+MONTH(B4716)-MONTH(parametros!$C$2)&gt;59),"Fora dos ciclos","C"&amp;INT(((YEAR(B4716)-YEAR(parametros!$C$2))*12+MONTH(B4716)-MONTH(parametros!$C$2))/12)))))</f>
        <v/>
      </c>
      <c r="D4716" s="394"/>
      <c r="E4716" s="78" t="str">
        <f>IF(C4716="","",IFERROR(VLOOKUP(C4716,parametros!$A$11:$E$15,5,0),""))</f>
        <v/>
      </c>
      <c r="F4716" s="79" t="str">
        <f t="shared" si="367"/>
        <v/>
      </c>
      <c r="G4716" s="395"/>
      <c r="H4716" s="91">
        <f t="shared" si="368"/>
        <v>0</v>
      </c>
      <c r="I4716" s="91" t="str">
        <f t="shared" si="369"/>
        <v/>
      </c>
      <c r="J4716" s="91" t="str">
        <f t="shared" si="370"/>
        <v/>
      </c>
      <c r="K4716" s="92" t="str">
        <f>IF(AND(A4716="",B4716="",D4716="",G4716=""),"",IF(AND(A4716&lt;&gt;"",COUNTIF($A$2:$A$5001,A4716)&gt;1),"NUMERO_PC duplicado",IF(B4716="","DATA_PC vazia",IF(NOT(ISNUMBER(B4716)),"DATA_PC invalida",IF(OR(C4716="",C4716="Fora dos ciclos"),"CICLO_PC nao identificado",IF(OR(D4716="",D4716=0),"VALOR_PC vazio ou zero",IF(AND(G4716&lt;&gt;"Sim",G4716&lt;&gt;"Nao",G4716&lt;&gt;""),"PC_PAGO_A_CONTRATADA invalido",IF(AND(C4716&lt;&gt;"C0",IFERROR(INDEX(parametros!$A$2:$A$6,MATCH(C4716,parametros!$B$2:$B$6,0)),"")="Sim",IFERROR(INDEX(parametros!$H$2:$H$6,MATCH(C4716,parametros!$B$2:$B$6,0)),"")=""),"INICIO_EFEITO ausente: PC "&amp;A4716&amp;" - "&amp;C4716,IF(L4716="","EFEITO_PC nao calculado: PC "&amp;A4716&amp;" - "&amp;C4716,"OK")))))))))</f>
        <v/>
      </c>
      <c r="L4716" s="92" t="str">
        <f>IF(AND(A4716="",B4716="",D4716="",G4716=""),"",IF(OR(B4716="",NOT(ISNUMBER(B4716)),C4716="",C4716="Fora dos ciclos"),"",IF(C4716="C0","Nao",IF(IFERROR(INDEX(parametros!$A$2:$A$6,MATCH(C4716,parametros!$B$2:$B$6,0)),"")&lt;&gt;"Sim","Nao",IF(IFERROR(INDEX(parametros!$H$2:$H$6,MATCH(C4716,parametros!$B$2:$B$6,0)),"")="","",IF(B4716&gt;=IFERROR(INDEX(parametros!$H$2:$H$6,MATCH(C4716,parametros!$B$2:$B$6,0)),""),"Sim","Nao"))))))</f>
        <v/>
      </c>
      <c r="T4716" s="156"/>
      <c r="U4716" s="214" t="str">
        <f t="shared" si="371"/>
        <v/>
      </c>
      <c r="V4716" s="212" t="s">
        <v>50</v>
      </c>
      <c r="W4716" s="100" t="s">
        <v>168</v>
      </c>
      <c r="X4716" s="100" t="s">
        <v>169</v>
      </c>
      <c r="Y4716" s="101" t="s">
        <v>170</v>
      </c>
      <c r="Z4716" s="101" t="s">
        <v>171</v>
      </c>
      <c r="AA4716" s="101" t="s">
        <v>50</v>
      </c>
      <c r="AB4716" s="101" t="s">
        <v>172</v>
      </c>
      <c r="AC4716" s="102" t="s">
        <v>173</v>
      </c>
    </row>
    <row r="4717" spans="1:29" ht="25.5" customHeight="1" x14ac:dyDescent="0.35">
      <c r="A4717" s="392"/>
      <c r="B4717" s="393"/>
      <c r="C4717" s="99" t="str">
        <f>IF(B4717="","",IF(NOT(ISNUMBER(B4717)),"DATA_PC invalida",IF(NOT(ISNUMBER(parametros!$C$2)),"Fora dos ciclos",IF(OR(B4717&lt;parametros!$C$2,(YEAR(B4717)-YEAR(parametros!$C$2))*12+MONTH(B4717)-MONTH(parametros!$C$2)&gt;59),"Fora dos ciclos","C"&amp;INT(((YEAR(B4717)-YEAR(parametros!$C$2))*12+MONTH(B4717)-MONTH(parametros!$C$2))/12)))))</f>
        <v/>
      </c>
      <c r="D4717" s="394"/>
      <c r="E4717" s="78" t="str">
        <f>IF(C4717="","",IFERROR(VLOOKUP(C4717,parametros!$A$11:$E$15,5,0),""))</f>
        <v/>
      </c>
      <c r="F4717" s="79" t="str">
        <f t="shared" si="367"/>
        <v/>
      </c>
      <c r="G4717" s="395"/>
      <c r="H4717" s="91">
        <f t="shared" si="368"/>
        <v>0</v>
      </c>
      <c r="I4717" s="91" t="str">
        <f t="shared" si="369"/>
        <v/>
      </c>
      <c r="J4717" s="91" t="str">
        <f t="shared" si="370"/>
        <v/>
      </c>
      <c r="K4717" s="92" t="str">
        <f>IF(AND(A4717="",B4717="",D4717="",G4717=""),"",IF(AND(A4717&lt;&gt;"",COUNTIF($A$2:$A$5001,A4717)&gt;1),"NUMERO_PC duplicado",IF(B4717="","DATA_PC vazia",IF(NOT(ISNUMBER(B4717)),"DATA_PC invalida",IF(OR(C4717="",C4717="Fora dos ciclos"),"CICLO_PC nao identificado",IF(OR(D4717="",D4717=0),"VALOR_PC vazio ou zero",IF(AND(G4717&lt;&gt;"Sim",G4717&lt;&gt;"Nao",G4717&lt;&gt;""),"PC_PAGO_A_CONTRATADA invalido",IF(AND(C4717&lt;&gt;"C0",IFERROR(INDEX(parametros!$A$2:$A$6,MATCH(C4717,parametros!$B$2:$B$6,0)),"")="Sim",IFERROR(INDEX(parametros!$H$2:$H$6,MATCH(C4717,parametros!$B$2:$B$6,0)),"")=""),"INICIO_EFEITO ausente: PC "&amp;A4717&amp;" - "&amp;C4717,IF(L4717="","EFEITO_PC nao calculado: PC "&amp;A4717&amp;" - "&amp;C4717,"OK")))))))))</f>
        <v/>
      </c>
      <c r="L4717" s="92" t="str">
        <f>IF(AND(A4717="",B4717="",D4717="",G4717=""),"",IF(OR(B4717="",NOT(ISNUMBER(B4717)),C4717="",C4717="Fora dos ciclos"),"",IF(C4717="C0","Nao",IF(IFERROR(INDEX(parametros!$A$2:$A$6,MATCH(C4717,parametros!$B$2:$B$6,0)),"")&lt;&gt;"Sim","Nao",IF(IFERROR(INDEX(parametros!$H$2:$H$6,MATCH(C4717,parametros!$B$2:$B$6,0)),"")="","",IF(B4717&gt;=IFERROR(INDEX(parametros!$H$2:$H$6,MATCH(C4717,parametros!$B$2:$B$6,0)),""),"Sim","Nao"))))))</f>
        <v/>
      </c>
      <c r="T4717" s="156"/>
      <c r="U4717" s="214" t="str">
        <f t="shared" si="371"/>
        <v/>
      </c>
      <c r="V4717" s="212" t="s">
        <v>50</v>
      </c>
      <c r="W4717" s="100" t="s">
        <v>168</v>
      </c>
      <c r="X4717" s="100" t="s">
        <v>169</v>
      </c>
      <c r="Y4717" s="101" t="s">
        <v>170</v>
      </c>
      <c r="Z4717" s="101" t="s">
        <v>171</v>
      </c>
      <c r="AA4717" s="101" t="s">
        <v>50</v>
      </c>
      <c r="AB4717" s="101" t="s">
        <v>172</v>
      </c>
      <c r="AC4717" s="102" t="s">
        <v>173</v>
      </c>
    </row>
    <row r="4718" spans="1:29" ht="25.5" customHeight="1" x14ac:dyDescent="0.35">
      <c r="A4718" s="392"/>
      <c r="B4718" s="393"/>
      <c r="C4718" s="99" t="str">
        <f>IF(B4718="","",IF(NOT(ISNUMBER(B4718)),"DATA_PC invalida",IF(NOT(ISNUMBER(parametros!$C$2)),"Fora dos ciclos",IF(OR(B4718&lt;parametros!$C$2,(YEAR(B4718)-YEAR(parametros!$C$2))*12+MONTH(B4718)-MONTH(parametros!$C$2)&gt;59),"Fora dos ciclos","C"&amp;INT(((YEAR(B4718)-YEAR(parametros!$C$2))*12+MONTH(B4718)-MONTH(parametros!$C$2))/12)))))</f>
        <v/>
      </c>
      <c r="D4718" s="394"/>
      <c r="E4718" s="78" t="str">
        <f>IF(C4718="","",IFERROR(VLOOKUP(C4718,parametros!$A$11:$E$15,5,0),""))</f>
        <v/>
      </c>
      <c r="F4718" s="79" t="str">
        <f t="shared" si="367"/>
        <v/>
      </c>
      <c r="G4718" s="395"/>
      <c r="H4718" s="91">
        <f t="shared" si="368"/>
        <v>0</v>
      </c>
      <c r="I4718" s="91" t="str">
        <f t="shared" si="369"/>
        <v/>
      </c>
      <c r="J4718" s="91" t="str">
        <f t="shared" si="370"/>
        <v/>
      </c>
      <c r="K4718" s="92" t="str">
        <f>IF(AND(A4718="",B4718="",D4718="",G4718=""),"",IF(AND(A4718&lt;&gt;"",COUNTIF($A$2:$A$5001,A4718)&gt;1),"NUMERO_PC duplicado",IF(B4718="","DATA_PC vazia",IF(NOT(ISNUMBER(B4718)),"DATA_PC invalida",IF(OR(C4718="",C4718="Fora dos ciclos"),"CICLO_PC nao identificado",IF(OR(D4718="",D4718=0),"VALOR_PC vazio ou zero",IF(AND(G4718&lt;&gt;"Sim",G4718&lt;&gt;"Nao",G4718&lt;&gt;""),"PC_PAGO_A_CONTRATADA invalido",IF(AND(C4718&lt;&gt;"C0",IFERROR(INDEX(parametros!$A$2:$A$6,MATCH(C4718,parametros!$B$2:$B$6,0)),"")="Sim",IFERROR(INDEX(parametros!$H$2:$H$6,MATCH(C4718,parametros!$B$2:$B$6,0)),"")=""),"INICIO_EFEITO ausente: PC "&amp;A4718&amp;" - "&amp;C4718,IF(L4718="","EFEITO_PC nao calculado: PC "&amp;A4718&amp;" - "&amp;C4718,"OK")))))))))</f>
        <v/>
      </c>
      <c r="L4718" s="92" t="str">
        <f>IF(AND(A4718="",B4718="",D4718="",G4718=""),"",IF(OR(B4718="",NOT(ISNUMBER(B4718)),C4718="",C4718="Fora dos ciclos"),"",IF(C4718="C0","Nao",IF(IFERROR(INDEX(parametros!$A$2:$A$6,MATCH(C4718,parametros!$B$2:$B$6,0)),"")&lt;&gt;"Sim","Nao",IF(IFERROR(INDEX(parametros!$H$2:$H$6,MATCH(C4718,parametros!$B$2:$B$6,0)),"")="","",IF(B4718&gt;=IFERROR(INDEX(parametros!$H$2:$H$6,MATCH(C4718,parametros!$B$2:$B$6,0)),""),"Sim","Nao"))))))</f>
        <v/>
      </c>
      <c r="T4718" s="156"/>
      <c r="U4718" s="214" t="str">
        <f t="shared" si="371"/>
        <v/>
      </c>
      <c r="V4718" s="212" t="s">
        <v>50</v>
      </c>
      <c r="W4718" s="100" t="s">
        <v>168</v>
      </c>
      <c r="X4718" s="100" t="s">
        <v>169</v>
      </c>
      <c r="Y4718" s="101" t="s">
        <v>170</v>
      </c>
      <c r="Z4718" s="101" t="s">
        <v>171</v>
      </c>
      <c r="AA4718" s="101" t="s">
        <v>50</v>
      </c>
      <c r="AB4718" s="101" t="s">
        <v>172</v>
      </c>
      <c r="AC4718" s="102" t="s">
        <v>173</v>
      </c>
    </row>
    <row r="4719" spans="1:29" ht="25.5" customHeight="1" x14ac:dyDescent="0.35">
      <c r="A4719" s="392"/>
      <c r="B4719" s="393"/>
      <c r="C4719" s="99" t="str">
        <f>IF(B4719="","",IF(NOT(ISNUMBER(B4719)),"DATA_PC invalida",IF(NOT(ISNUMBER(parametros!$C$2)),"Fora dos ciclos",IF(OR(B4719&lt;parametros!$C$2,(YEAR(B4719)-YEAR(parametros!$C$2))*12+MONTH(B4719)-MONTH(parametros!$C$2)&gt;59),"Fora dos ciclos","C"&amp;INT(((YEAR(B4719)-YEAR(parametros!$C$2))*12+MONTH(B4719)-MONTH(parametros!$C$2))/12)))))</f>
        <v/>
      </c>
      <c r="D4719" s="394"/>
      <c r="E4719" s="78" t="str">
        <f>IF(C4719="","",IFERROR(VLOOKUP(C4719,parametros!$A$11:$E$15,5,0),""))</f>
        <v/>
      </c>
      <c r="F4719" s="79" t="str">
        <f t="shared" si="367"/>
        <v/>
      </c>
      <c r="G4719" s="395"/>
      <c r="H4719" s="91">
        <f t="shared" si="368"/>
        <v>0</v>
      </c>
      <c r="I4719" s="91" t="str">
        <f t="shared" si="369"/>
        <v/>
      </c>
      <c r="J4719" s="91" t="str">
        <f t="shared" si="370"/>
        <v/>
      </c>
      <c r="K4719" s="92" t="str">
        <f>IF(AND(A4719="",B4719="",D4719="",G4719=""),"",IF(AND(A4719&lt;&gt;"",COUNTIF($A$2:$A$5001,A4719)&gt;1),"NUMERO_PC duplicado",IF(B4719="","DATA_PC vazia",IF(NOT(ISNUMBER(B4719)),"DATA_PC invalida",IF(OR(C4719="",C4719="Fora dos ciclos"),"CICLO_PC nao identificado",IF(OR(D4719="",D4719=0),"VALOR_PC vazio ou zero",IF(AND(G4719&lt;&gt;"Sim",G4719&lt;&gt;"Nao",G4719&lt;&gt;""),"PC_PAGO_A_CONTRATADA invalido",IF(AND(C4719&lt;&gt;"C0",IFERROR(INDEX(parametros!$A$2:$A$6,MATCH(C4719,parametros!$B$2:$B$6,0)),"")="Sim",IFERROR(INDEX(parametros!$H$2:$H$6,MATCH(C4719,parametros!$B$2:$B$6,0)),"")=""),"INICIO_EFEITO ausente: PC "&amp;A4719&amp;" - "&amp;C4719,IF(L4719="","EFEITO_PC nao calculado: PC "&amp;A4719&amp;" - "&amp;C4719,"OK")))))))))</f>
        <v/>
      </c>
      <c r="L4719" s="92" t="str">
        <f>IF(AND(A4719="",B4719="",D4719="",G4719=""),"",IF(OR(B4719="",NOT(ISNUMBER(B4719)),C4719="",C4719="Fora dos ciclos"),"",IF(C4719="C0","Nao",IF(IFERROR(INDEX(parametros!$A$2:$A$6,MATCH(C4719,parametros!$B$2:$B$6,0)),"")&lt;&gt;"Sim","Nao",IF(IFERROR(INDEX(parametros!$H$2:$H$6,MATCH(C4719,parametros!$B$2:$B$6,0)),"")="","",IF(B4719&gt;=IFERROR(INDEX(parametros!$H$2:$H$6,MATCH(C4719,parametros!$B$2:$B$6,0)),""),"Sim","Nao"))))))</f>
        <v/>
      </c>
      <c r="T4719" s="156"/>
      <c r="U4719" s="214" t="str">
        <f t="shared" si="371"/>
        <v/>
      </c>
      <c r="V4719" s="212" t="s">
        <v>50</v>
      </c>
      <c r="W4719" s="100" t="s">
        <v>168</v>
      </c>
      <c r="X4719" s="100" t="s">
        <v>169</v>
      </c>
      <c r="Y4719" s="101" t="s">
        <v>170</v>
      </c>
      <c r="Z4719" s="101" t="s">
        <v>171</v>
      </c>
      <c r="AA4719" s="101" t="s">
        <v>50</v>
      </c>
      <c r="AB4719" s="101" t="s">
        <v>172</v>
      </c>
      <c r="AC4719" s="102" t="s">
        <v>173</v>
      </c>
    </row>
    <row r="4720" spans="1:29" ht="25.5" customHeight="1" x14ac:dyDescent="0.35">
      <c r="A4720" s="392"/>
      <c r="B4720" s="393"/>
      <c r="C4720" s="99" t="str">
        <f>IF(B4720="","",IF(NOT(ISNUMBER(B4720)),"DATA_PC invalida",IF(NOT(ISNUMBER(parametros!$C$2)),"Fora dos ciclos",IF(OR(B4720&lt;parametros!$C$2,(YEAR(B4720)-YEAR(parametros!$C$2))*12+MONTH(B4720)-MONTH(parametros!$C$2)&gt;59),"Fora dos ciclos","C"&amp;INT(((YEAR(B4720)-YEAR(parametros!$C$2))*12+MONTH(B4720)-MONTH(parametros!$C$2))/12)))))</f>
        <v/>
      </c>
      <c r="D4720" s="394"/>
      <c r="E4720" s="78" t="str">
        <f>IF(C4720="","",IFERROR(VLOOKUP(C4720,parametros!$A$11:$E$15,5,0),""))</f>
        <v/>
      </c>
      <c r="F4720" s="79" t="str">
        <f t="shared" si="367"/>
        <v/>
      </c>
      <c r="G4720" s="395"/>
      <c r="H4720" s="91">
        <f t="shared" si="368"/>
        <v>0</v>
      </c>
      <c r="I4720" s="91" t="str">
        <f t="shared" si="369"/>
        <v/>
      </c>
      <c r="J4720" s="91" t="str">
        <f t="shared" si="370"/>
        <v/>
      </c>
      <c r="K4720" s="92" t="str">
        <f>IF(AND(A4720="",B4720="",D4720="",G4720=""),"",IF(AND(A4720&lt;&gt;"",COUNTIF($A$2:$A$5001,A4720)&gt;1),"NUMERO_PC duplicado",IF(B4720="","DATA_PC vazia",IF(NOT(ISNUMBER(B4720)),"DATA_PC invalida",IF(OR(C4720="",C4720="Fora dos ciclos"),"CICLO_PC nao identificado",IF(OR(D4720="",D4720=0),"VALOR_PC vazio ou zero",IF(AND(G4720&lt;&gt;"Sim",G4720&lt;&gt;"Nao",G4720&lt;&gt;""),"PC_PAGO_A_CONTRATADA invalido",IF(AND(C4720&lt;&gt;"C0",IFERROR(INDEX(parametros!$A$2:$A$6,MATCH(C4720,parametros!$B$2:$B$6,0)),"")="Sim",IFERROR(INDEX(parametros!$H$2:$H$6,MATCH(C4720,parametros!$B$2:$B$6,0)),"")=""),"INICIO_EFEITO ausente: PC "&amp;A4720&amp;" - "&amp;C4720,IF(L4720="","EFEITO_PC nao calculado: PC "&amp;A4720&amp;" - "&amp;C4720,"OK")))))))))</f>
        <v/>
      </c>
      <c r="L4720" s="92" t="str">
        <f>IF(AND(A4720="",B4720="",D4720="",G4720=""),"",IF(OR(B4720="",NOT(ISNUMBER(B4720)),C4720="",C4720="Fora dos ciclos"),"",IF(C4720="C0","Nao",IF(IFERROR(INDEX(parametros!$A$2:$A$6,MATCH(C4720,parametros!$B$2:$B$6,0)),"")&lt;&gt;"Sim","Nao",IF(IFERROR(INDEX(parametros!$H$2:$H$6,MATCH(C4720,parametros!$B$2:$B$6,0)),"")="","",IF(B4720&gt;=IFERROR(INDEX(parametros!$H$2:$H$6,MATCH(C4720,parametros!$B$2:$B$6,0)),""),"Sim","Nao"))))))</f>
        <v/>
      </c>
      <c r="T4720" s="156"/>
      <c r="U4720" s="214" t="str">
        <f t="shared" si="371"/>
        <v/>
      </c>
      <c r="V4720" s="212" t="s">
        <v>50</v>
      </c>
      <c r="W4720" s="100" t="s">
        <v>168</v>
      </c>
      <c r="X4720" s="100" t="s">
        <v>169</v>
      </c>
      <c r="Y4720" s="101" t="s">
        <v>170</v>
      </c>
      <c r="Z4720" s="101" t="s">
        <v>171</v>
      </c>
      <c r="AA4720" s="101" t="s">
        <v>50</v>
      </c>
      <c r="AB4720" s="101" t="s">
        <v>172</v>
      </c>
      <c r="AC4720" s="102" t="s">
        <v>173</v>
      </c>
    </row>
    <row r="4721" spans="1:29" ht="25.5" customHeight="1" x14ac:dyDescent="0.35">
      <c r="A4721" s="392"/>
      <c r="B4721" s="393"/>
      <c r="C4721" s="99" t="str">
        <f>IF(B4721="","",IF(NOT(ISNUMBER(B4721)),"DATA_PC invalida",IF(NOT(ISNUMBER(parametros!$C$2)),"Fora dos ciclos",IF(OR(B4721&lt;parametros!$C$2,(YEAR(B4721)-YEAR(parametros!$C$2))*12+MONTH(B4721)-MONTH(parametros!$C$2)&gt;59),"Fora dos ciclos","C"&amp;INT(((YEAR(B4721)-YEAR(parametros!$C$2))*12+MONTH(B4721)-MONTH(parametros!$C$2))/12)))))</f>
        <v/>
      </c>
      <c r="D4721" s="394"/>
      <c r="E4721" s="78" t="str">
        <f>IF(C4721="","",IFERROR(VLOOKUP(C4721,parametros!$A$11:$E$15,5,0),""))</f>
        <v/>
      </c>
      <c r="F4721" s="79" t="str">
        <f t="shared" si="367"/>
        <v/>
      </c>
      <c r="G4721" s="395"/>
      <c r="H4721" s="91">
        <f t="shared" si="368"/>
        <v>0</v>
      </c>
      <c r="I4721" s="91" t="str">
        <f t="shared" si="369"/>
        <v/>
      </c>
      <c r="J4721" s="91" t="str">
        <f t="shared" si="370"/>
        <v/>
      </c>
      <c r="K4721" s="92" t="str">
        <f>IF(AND(A4721="",B4721="",D4721="",G4721=""),"",IF(AND(A4721&lt;&gt;"",COUNTIF($A$2:$A$5001,A4721)&gt;1),"NUMERO_PC duplicado",IF(B4721="","DATA_PC vazia",IF(NOT(ISNUMBER(B4721)),"DATA_PC invalida",IF(OR(C4721="",C4721="Fora dos ciclos"),"CICLO_PC nao identificado",IF(OR(D4721="",D4721=0),"VALOR_PC vazio ou zero",IF(AND(G4721&lt;&gt;"Sim",G4721&lt;&gt;"Nao",G4721&lt;&gt;""),"PC_PAGO_A_CONTRATADA invalido",IF(AND(C4721&lt;&gt;"C0",IFERROR(INDEX(parametros!$A$2:$A$6,MATCH(C4721,parametros!$B$2:$B$6,0)),"")="Sim",IFERROR(INDEX(parametros!$H$2:$H$6,MATCH(C4721,parametros!$B$2:$B$6,0)),"")=""),"INICIO_EFEITO ausente: PC "&amp;A4721&amp;" - "&amp;C4721,IF(L4721="","EFEITO_PC nao calculado: PC "&amp;A4721&amp;" - "&amp;C4721,"OK")))))))))</f>
        <v/>
      </c>
      <c r="L4721" s="92" t="str">
        <f>IF(AND(A4721="",B4721="",D4721="",G4721=""),"",IF(OR(B4721="",NOT(ISNUMBER(B4721)),C4721="",C4721="Fora dos ciclos"),"",IF(C4721="C0","Nao",IF(IFERROR(INDEX(parametros!$A$2:$A$6,MATCH(C4721,parametros!$B$2:$B$6,0)),"")&lt;&gt;"Sim","Nao",IF(IFERROR(INDEX(parametros!$H$2:$H$6,MATCH(C4721,parametros!$B$2:$B$6,0)),"")="","",IF(B4721&gt;=IFERROR(INDEX(parametros!$H$2:$H$6,MATCH(C4721,parametros!$B$2:$B$6,0)),""),"Sim","Nao"))))))</f>
        <v/>
      </c>
      <c r="T4721" s="156"/>
      <c r="U4721" s="214" t="str">
        <f t="shared" si="371"/>
        <v/>
      </c>
      <c r="V4721" s="212" t="s">
        <v>50</v>
      </c>
      <c r="W4721" s="100" t="s">
        <v>168</v>
      </c>
      <c r="X4721" s="100" t="s">
        <v>169</v>
      </c>
      <c r="Y4721" s="101" t="s">
        <v>170</v>
      </c>
      <c r="Z4721" s="101" t="s">
        <v>171</v>
      </c>
      <c r="AA4721" s="101" t="s">
        <v>50</v>
      </c>
      <c r="AB4721" s="101" t="s">
        <v>172</v>
      </c>
      <c r="AC4721" s="102" t="s">
        <v>173</v>
      </c>
    </row>
    <row r="4722" spans="1:29" ht="25.5" customHeight="1" x14ac:dyDescent="0.35">
      <c r="A4722" s="392"/>
      <c r="B4722" s="393"/>
      <c r="C4722" s="99" t="str">
        <f>IF(B4722="","",IF(NOT(ISNUMBER(B4722)),"DATA_PC invalida",IF(NOT(ISNUMBER(parametros!$C$2)),"Fora dos ciclos",IF(OR(B4722&lt;parametros!$C$2,(YEAR(B4722)-YEAR(parametros!$C$2))*12+MONTH(B4722)-MONTH(parametros!$C$2)&gt;59),"Fora dos ciclos","C"&amp;INT(((YEAR(B4722)-YEAR(parametros!$C$2))*12+MONTH(B4722)-MONTH(parametros!$C$2))/12)))))</f>
        <v/>
      </c>
      <c r="D4722" s="394"/>
      <c r="E4722" s="78" t="str">
        <f>IF(C4722="","",IFERROR(VLOOKUP(C4722,parametros!$A$11:$E$15,5,0),""))</f>
        <v/>
      </c>
      <c r="F4722" s="79" t="str">
        <f t="shared" si="367"/>
        <v/>
      </c>
      <c r="G4722" s="395"/>
      <c r="H4722" s="91">
        <f t="shared" si="368"/>
        <v>0</v>
      </c>
      <c r="I4722" s="91" t="str">
        <f t="shared" si="369"/>
        <v/>
      </c>
      <c r="J4722" s="91" t="str">
        <f t="shared" si="370"/>
        <v/>
      </c>
      <c r="K4722" s="92" t="str">
        <f>IF(AND(A4722="",B4722="",D4722="",G4722=""),"",IF(AND(A4722&lt;&gt;"",COUNTIF($A$2:$A$5001,A4722)&gt;1),"NUMERO_PC duplicado",IF(B4722="","DATA_PC vazia",IF(NOT(ISNUMBER(B4722)),"DATA_PC invalida",IF(OR(C4722="",C4722="Fora dos ciclos"),"CICLO_PC nao identificado",IF(OR(D4722="",D4722=0),"VALOR_PC vazio ou zero",IF(AND(G4722&lt;&gt;"Sim",G4722&lt;&gt;"Nao",G4722&lt;&gt;""),"PC_PAGO_A_CONTRATADA invalido",IF(AND(C4722&lt;&gt;"C0",IFERROR(INDEX(parametros!$A$2:$A$6,MATCH(C4722,parametros!$B$2:$B$6,0)),"")="Sim",IFERROR(INDEX(parametros!$H$2:$H$6,MATCH(C4722,parametros!$B$2:$B$6,0)),"")=""),"INICIO_EFEITO ausente: PC "&amp;A4722&amp;" - "&amp;C4722,IF(L4722="","EFEITO_PC nao calculado: PC "&amp;A4722&amp;" - "&amp;C4722,"OK")))))))))</f>
        <v/>
      </c>
      <c r="L4722" s="92" t="str">
        <f>IF(AND(A4722="",B4722="",D4722="",G4722=""),"",IF(OR(B4722="",NOT(ISNUMBER(B4722)),C4722="",C4722="Fora dos ciclos"),"",IF(C4722="C0","Nao",IF(IFERROR(INDEX(parametros!$A$2:$A$6,MATCH(C4722,parametros!$B$2:$B$6,0)),"")&lt;&gt;"Sim","Nao",IF(IFERROR(INDEX(parametros!$H$2:$H$6,MATCH(C4722,parametros!$B$2:$B$6,0)),"")="","",IF(B4722&gt;=IFERROR(INDEX(parametros!$H$2:$H$6,MATCH(C4722,parametros!$B$2:$B$6,0)),""),"Sim","Nao"))))))</f>
        <v/>
      </c>
      <c r="T4722" s="156"/>
      <c r="U4722" s="214" t="str">
        <f t="shared" si="371"/>
        <v/>
      </c>
      <c r="V4722" s="212" t="s">
        <v>50</v>
      </c>
      <c r="W4722" s="100" t="s">
        <v>168</v>
      </c>
      <c r="X4722" s="100" t="s">
        <v>169</v>
      </c>
      <c r="Y4722" s="101" t="s">
        <v>170</v>
      </c>
      <c r="Z4722" s="101" t="s">
        <v>171</v>
      </c>
      <c r="AA4722" s="101" t="s">
        <v>50</v>
      </c>
      <c r="AB4722" s="101" t="s">
        <v>172</v>
      </c>
      <c r="AC4722" s="102" t="s">
        <v>173</v>
      </c>
    </row>
    <row r="4723" spans="1:29" ht="25.5" customHeight="1" x14ac:dyDescent="0.35">
      <c r="A4723" s="392"/>
      <c r="B4723" s="393"/>
      <c r="C4723" s="99" t="str">
        <f>IF(B4723="","",IF(NOT(ISNUMBER(B4723)),"DATA_PC invalida",IF(NOT(ISNUMBER(parametros!$C$2)),"Fora dos ciclos",IF(OR(B4723&lt;parametros!$C$2,(YEAR(B4723)-YEAR(parametros!$C$2))*12+MONTH(B4723)-MONTH(parametros!$C$2)&gt;59),"Fora dos ciclos","C"&amp;INT(((YEAR(B4723)-YEAR(parametros!$C$2))*12+MONTH(B4723)-MONTH(parametros!$C$2))/12)))))</f>
        <v/>
      </c>
      <c r="D4723" s="394"/>
      <c r="E4723" s="78" t="str">
        <f>IF(C4723="","",IFERROR(VLOOKUP(C4723,parametros!$A$11:$E$15,5,0),""))</f>
        <v/>
      </c>
      <c r="F4723" s="79" t="str">
        <f t="shared" si="367"/>
        <v/>
      </c>
      <c r="G4723" s="395"/>
      <c r="H4723" s="91">
        <f t="shared" si="368"/>
        <v>0</v>
      </c>
      <c r="I4723" s="91" t="str">
        <f t="shared" si="369"/>
        <v/>
      </c>
      <c r="J4723" s="91" t="str">
        <f t="shared" si="370"/>
        <v/>
      </c>
      <c r="K4723" s="92" t="str">
        <f>IF(AND(A4723="",B4723="",D4723="",G4723=""),"",IF(AND(A4723&lt;&gt;"",COUNTIF($A$2:$A$5001,A4723)&gt;1),"NUMERO_PC duplicado",IF(B4723="","DATA_PC vazia",IF(NOT(ISNUMBER(B4723)),"DATA_PC invalida",IF(OR(C4723="",C4723="Fora dos ciclos"),"CICLO_PC nao identificado",IF(OR(D4723="",D4723=0),"VALOR_PC vazio ou zero",IF(AND(G4723&lt;&gt;"Sim",G4723&lt;&gt;"Nao",G4723&lt;&gt;""),"PC_PAGO_A_CONTRATADA invalido",IF(AND(C4723&lt;&gt;"C0",IFERROR(INDEX(parametros!$A$2:$A$6,MATCH(C4723,parametros!$B$2:$B$6,0)),"")="Sim",IFERROR(INDEX(parametros!$H$2:$H$6,MATCH(C4723,parametros!$B$2:$B$6,0)),"")=""),"INICIO_EFEITO ausente: PC "&amp;A4723&amp;" - "&amp;C4723,IF(L4723="","EFEITO_PC nao calculado: PC "&amp;A4723&amp;" - "&amp;C4723,"OK")))))))))</f>
        <v/>
      </c>
      <c r="L4723" s="92" t="str">
        <f>IF(AND(A4723="",B4723="",D4723="",G4723=""),"",IF(OR(B4723="",NOT(ISNUMBER(B4723)),C4723="",C4723="Fora dos ciclos"),"",IF(C4723="C0","Nao",IF(IFERROR(INDEX(parametros!$A$2:$A$6,MATCH(C4723,parametros!$B$2:$B$6,0)),"")&lt;&gt;"Sim","Nao",IF(IFERROR(INDEX(parametros!$H$2:$H$6,MATCH(C4723,parametros!$B$2:$B$6,0)),"")="","",IF(B4723&gt;=IFERROR(INDEX(parametros!$H$2:$H$6,MATCH(C4723,parametros!$B$2:$B$6,0)),""),"Sim","Nao"))))))</f>
        <v/>
      </c>
      <c r="T4723" s="156"/>
      <c r="U4723" s="214" t="str">
        <f t="shared" si="371"/>
        <v/>
      </c>
      <c r="V4723" s="212" t="s">
        <v>50</v>
      </c>
      <c r="W4723" s="100" t="s">
        <v>168</v>
      </c>
      <c r="X4723" s="100" t="s">
        <v>169</v>
      </c>
      <c r="Y4723" s="101" t="s">
        <v>170</v>
      </c>
      <c r="Z4723" s="101" t="s">
        <v>171</v>
      </c>
      <c r="AA4723" s="101" t="s">
        <v>50</v>
      </c>
      <c r="AB4723" s="101" t="s">
        <v>172</v>
      </c>
      <c r="AC4723" s="102" t="s">
        <v>173</v>
      </c>
    </row>
    <row r="4724" spans="1:29" ht="25.5" customHeight="1" x14ac:dyDescent="0.35">
      <c r="A4724" s="392"/>
      <c r="B4724" s="393"/>
      <c r="C4724" s="99" t="str">
        <f>IF(B4724="","",IF(NOT(ISNUMBER(B4724)),"DATA_PC invalida",IF(NOT(ISNUMBER(parametros!$C$2)),"Fora dos ciclos",IF(OR(B4724&lt;parametros!$C$2,(YEAR(B4724)-YEAR(parametros!$C$2))*12+MONTH(B4724)-MONTH(parametros!$C$2)&gt;59),"Fora dos ciclos","C"&amp;INT(((YEAR(B4724)-YEAR(parametros!$C$2))*12+MONTH(B4724)-MONTH(parametros!$C$2))/12)))))</f>
        <v/>
      </c>
      <c r="D4724" s="394"/>
      <c r="E4724" s="78" t="str">
        <f>IF(C4724="","",IFERROR(VLOOKUP(C4724,parametros!$A$11:$E$15,5,0),""))</f>
        <v/>
      </c>
      <c r="F4724" s="79" t="str">
        <f t="shared" si="367"/>
        <v/>
      </c>
      <c r="G4724" s="395"/>
      <c r="H4724" s="91">
        <f t="shared" si="368"/>
        <v>0</v>
      </c>
      <c r="I4724" s="91" t="str">
        <f t="shared" si="369"/>
        <v/>
      </c>
      <c r="J4724" s="91" t="str">
        <f t="shared" si="370"/>
        <v/>
      </c>
      <c r="K4724" s="92" t="str">
        <f>IF(AND(A4724="",B4724="",D4724="",G4724=""),"",IF(AND(A4724&lt;&gt;"",COUNTIF($A$2:$A$5001,A4724)&gt;1),"NUMERO_PC duplicado",IF(B4724="","DATA_PC vazia",IF(NOT(ISNUMBER(B4724)),"DATA_PC invalida",IF(OR(C4724="",C4724="Fora dos ciclos"),"CICLO_PC nao identificado",IF(OR(D4724="",D4724=0),"VALOR_PC vazio ou zero",IF(AND(G4724&lt;&gt;"Sim",G4724&lt;&gt;"Nao",G4724&lt;&gt;""),"PC_PAGO_A_CONTRATADA invalido",IF(AND(C4724&lt;&gt;"C0",IFERROR(INDEX(parametros!$A$2:$A$6,MATCH(C4724,parametros!$B$2:$B$6,0)),"")="Sim",IFERROR(INDEX(parametros!$H$2:$H$6,MATCH(C4724,parametros!$B$2:$B$6,0)),"")=""),"INICIO_EFEITO ausente: PC "&amp;A4724&amp;" - "&amp;C4724,IF(L4724="","EFEITO_PC nao calculado: PC "&amp;A4724&amp;" - "&amp;C4724,"OK")))))))))</f>
        <v/>
      </c>
      <c r="L4724" s="92" t="str">
        <f>IF(AND(A4724="",B4724="",D4724="",G4724=""),"",IF(OR(B4724="",NOT(ISNUMBER(B4724)),C4724="",C4724="Fora dos ciclos"),"",IF(C4724="C0","Nao",IF(IFERROR(INDEX(parametros!$A$2:$A$6,MATCH(C4724,parametros!$B$2:$B$6,0)),"")&lt;&gt;"Sim","Nao",IF(IFERROR(INDEX(parametros!$H$2:$H$6,MATCH(C4724,parametros!$B$2:$B$6,0)),"")="","",IF(B4724&gt;=IFERROR(INDEX(parametros!$H$2:$H$6,MATCH(C4724,parametros!$B$2:$B$6,0)),""),"Sim","Nao"))))))</f>
        <v/>
      </c>
      <c r="T4724" s="156"/>
      <c r="U4724" s="214" t="str">
        <f t="shared" si="371"/>
        <v/>
      </c>
      <c r="V4724" s="212" t="s">
        <v>50</v>
      </c>
      <c r="W4724" s="100" t="s">
        <v>168</v>
      </c>
      <c r="X4724" s="100" t="s">
        <v>169</v>
      </c>
      <c r="Y4724" s="101" t="s">
        <v>170</v>
      </c>
      <c r="Z4724" s="101" t="s">
        <v>171</v>
      </c>
      <c r="AA4724" s="101" t="s">
        <v>50</v>
      </c>
      <c r="AB4724" s="101" t="s">
        <v>172</v>
      </c>
      <c r="AC4724" s="102" t="s">
        <v>173</v>
      </c>
    </row>
    <row r="4725" spans="1:29" ht="25.5" customHeight="1" x14ac:dyDescent="0.35">
      <c r="A4725" s="392"/>
      <c r="B4725" s="393"/>
      <c r="C4725" s="99" t="str">
        <f>IF(B4725="","",IF(NOT(ISNUMBER(B4725)),"DATA_PC invalida",IF(NOT(ISNUMBER(parametros!$C$2)),"Fora dos ciclos",IF(OR(B4725&lt;parametros!$C$2,(YEAR(B4725)-YEAR(parametros!$C$2))*12+MONTH(B4725)-MONTH(parametros!$C$2)&gt;59),"Fora dos ciclos","C"&amp;INT(((YEAR(B4725)-YEAR(parametros!$C$2))*12+MONTH(B4725)-MONTH(parametros!$C$2))/12)))))</f>
        <v/>
      </c>
      <c r="D4725" s="394"/>
      <c r="E4725" s="78" t="str">
        <f>IF(C4725="","",IFERROR(VLOOKUP(C4725,parametros!$A$11:$E$15,5,0),""))</f>
        <v/>
      </c>
      <c r="F4725" s="79" t="str">
        <f t="shared" si="367"/>
        <v/>
      </c>
      <c r="G4725" s="395"/>
      <c r="H4725" s="91">
        <f t="shared" si="368"/>
        <v>0</v>
      </c>
      <c r="I4725" s="91" t="str">
        <f t="shared" si="369"/>
        <v/>
      </c>
      <c r="J4725" s="91" t="str">
        <f t="shared" si="370"/>
        <v/>
      </c>
      <c r="K4725" s="92" t="str">
        <f>IF(AND(A4725="",B4725="",D4725="",G4725=""),"",IF(AND(A4725&lt;&gt;"",COUNTIF($A$2:$A$5001,A4725)&gt;1),"NUMERO_PC duplicado",IF(B4725="","DATA_PC vazia",IF(NOT(ISNUMBER(B4725)),"DATA_PC invalida",IF(OR(C4725="",C4725="Fora dos ciclos"),"CICLO_PC nao identificado",IF(OR(D4725="",D4725=0),"VALOR_PC vazio ou zero",IF(AND(G4725&lt;&gt;"Sim",G4725&lt;&gt;"Nao",G4725&lt;&gt;""),"PC_PAGO_A_CONTRATADA invalido",IF(AND(C4725&lt;&gt;"C0",IFERROR(INDEX(parametros!$A$2:$A$6,MATCH(C4725,parametros!$B$2:$B$6,0)),"")="Sim",IFERROR(INDEX(parametros!$H$2:$H$6,MATCH(C4725,parametros!$B$2:$B$6,0)),"")=""),"INICIO_EFEITO ausente: PC "&amp;A4725&amp;" - "&amp;C4725,IF(L4725="","EFEITO_PC nao calculado: PC "&amp;A4725&amp;" - "&amp;C4725,"OK")))))))))</f>
        <v/>
      </c>
      <c r="L4725" s="92" t="str">
        <f>IF(AND(A4725="",B4725="",D4725="",G4725=""),"",IF(OR(B4725="",NOT(ISNUMBER(B4725)),C4725="",C4725="Fora dos ciclos"),"",IF(C4725="C0","Nao",IF(IFERROR(INDEX(parametros!$A$2:$A$6,MATCH(C4725,parametros!$B$2:$B$6,0)),"")&lt;&gt;"Sim","Nao",IF(IFERROR(INDEX(parametros!$H$2:$H$6,MATCH(C4725,parametros!$B$2:$B$6,0)),"")="","",IF(B4725&gt;=IFERROR(INDEX(parametros!$H$2:$H$6,MATCH(C4725,parametros!$B$2:$B$6,0)),""),"Sim","Nao"))))))</f>
        <v/>
      </c>
      <c r="T4725" s="156"/>
      <c r="U4725" s="214" t="str">
        <f t="shared" si="371"/>
        <v/>
      </c>
      <c r="V4725" s="212" t="s">
        <v>50</v>
      </c>
      <c r="W4725" s="100" t="s">
        <v>168</v>
      </c>
      <c r="X4725" s="100" t="s">
        <v>169</v>
      </c>
      <c r="Y4725" s="101" t="s">
        <v>170</v>
      </c>
      <c r="Z4725" s="101" t="s">
        <v>171</v>
      </c>
      <c r="AA4725" s="101" t="s">
        <v>50</v>
      </c>
      <c r="AB4725" s="101" t="s">
        <v>172</v>
      </c>
      <c r="AC4725" s="102" t="s">
        <v>173</v>
      </c>
    </row>
    <row r="4726" spans="1:29" ht="25.5" customHeight="1" x14ac:dyDescent="0.35">
      <c r="A4726" s="392"/>
      <c r="B4726" s="393"/>
      <c r="C4726" s="99" t="str">
        <f>IF(B4726="","",IF(NOT(ISNUMBER(B4726)),"DATA_PC invalida",IF(NOT(ISNUMBER(parametros!$C$2)),"Fora dos ciclos",IF(OR(B4726&lt;parametros!$C$2,(YEAR(B4726)-YEAR(parametros!$C$2))*12+MONTH(B4726)-MONTH(parametros!$C$2)&gt;59),"Fora dos ciclos","C"&amp;INT(((YEAR(B4726)-YEAR(parametros!$C$2))*12+MONTH(B4726)-MONTH(parametros!$C$2))/12)))))</f>
        <v/>
      </c>
      <c r="D4726" s="394"/>
      <c r="E4726" s="78" t="str">
        <f>IF(C4726="","",IFERROR(VLOOKUP(C4726,parametros!$A$11:$E$15,5,0),""))</f>
        <v/>
      </c>
      <c r="F4726" s="79" t="str">
        <f t="shared" si="367"/>
        <v/>
      </c>
      <c r="G4726" s="395"/>
      <c r="H4726" s="91">
        <f t="shared" si="368"/>
        <v>0</v>
      </c>
      <c r="I4726" s="91" t="str">
        <f t="shared" si="369"/>
        <v/>
      </c>
      <c r="J4726" s="91" t="str">
        <f t="shared" si="370"/>
        <v/>
      </c>
      <c r="K4726" s="92" t="str">
        <f>IF(AND(A4726="",B4726="",D4726="",G4726=""),"",IF(AND(A4726&lt;&gt;"",COUNTIF($A$2:$A$5001,A4726)&gt;1),"NUMERO_PC duplicado",IF(B4726="","DATA_PC vazia",IF(NOT(ISNUMBER(B4726)),"DATA_PC invalida",IF(OR(C4726="",C4726="Fora dos ciclos"),"CICLO_PC nao identificado",IF(OR(D4726="",D4726=0),"VALOR_PC vazio ou zero",IF(AND(G4726&lt;&gt;"Sim",G4726&lt;&gt;"Nao",G4726&lt;&gt;""),"PC_PAGO_A_CONTRATADA invalido",IF(AND(C4726&lt;&gt;"C0",IFERROR(INDEX(parametros!$A$2:$A$6,MATCH(C4726,parametros!$B$2:$B$6,0)),"")="Sim",IFERROR(INDEX(parametros!$H$2:$H$6,MATCH(C4726,parametros!$B$2:$B$6,0)),"")=""),"INICIO_EFEITO ausente: PC "&amp;A4726&amp;" - "&amp;C4726,IF(L4726="","EFEITO_PC nao calculado: PC "&amp;A4726&amp;" - "&amp;C4726,"OK")))))))))</f>
        <v/>
      </c>
      <c r="L4726" s="92" t="str">
        <f>IF(AND(A4726="",B4726="",D4726="",G4726=""),"",IF(OR(B4726="",NOT(ISNUMBER(B4726)),C4726="",C4726="Fora dos ciclos"),"",IF(C4726="C0","Nao",IF(IFERROR(INDEX(parametros!$A$2:$A$6,MATCH(C4726,parametros!$B$2:$B$6,0)),"")&lt;&gt;"Sim","Nao",IF(IFERROR(INDEX(parametros!$H$2:$H$6,MATCH(C4726,parametros!$B$2:$B$6,0)),"")="","",IF(B4726&gt;=IFERROR(INDEX(parametros!$H$2:$H$6,MATCH(C4726,parametros!$B$2:$B$6,0)),""),"Sim","Nao"))))))</f>
        <v/>
      </c>
      <c r="T4726" s="156"/>
      <c r="U4726" s="214" t="str">
        <f t="shared" si="371"/>
        <v/>
      </c>
      <c r="V4726" s="212" t="s">
        <v>50</v>
      </c>
      <c r="W4726" s="100" t="s">
        <v>168</v>
      </c>
      <c r="X4726" s="100" t="s">
        <v>169</v>
      </c>
      <c r="Y4726" s="101" t="s">
        <v>170</v>
      </c>
      <c r="Z4726" s="101" t="s">
        <v>171</v>
      </c>
      <c r="AA4726" s="101" t="s">
        <v>50</v>
      </c>
      <c r="AB4726" s="101" t="s">
        <v>172</v>
      </c>
      <c r="AC4726" s="102" t="s">
        <v>173</v>
      </c>
    </row>
    <row r="4727" spans="1:29" ht="25.5" customHeight="1" x14ac:dyDescent="0.35">
      <c r="A4727" s="392"/>
      <c r="B4727" s="393"/>
      <c r="C4727" s="99" t="str">
        <f>IF(B4727="","",IF(NOT(ISNUMBER(B4727)),"DATA_PC invalida",IF(NOT(ISNUMBER(parametros!$C$2)),"Fora dos ciclos",IF(OR(B4727&lt;parametros!$C$2,(YEAR(B4727)-YEAR(parametros!$C$2))*12+MONTH(B4727)-MONTH(parametros!$C$2)&gt;59),"Fora dos ciclos","C"&amp;INT(((YEAR(B4727)-YEAR(parametros!$C$2))*12+MONTH(B4727)-MONTH(parametros!$C$2))/12)))))</f>
        <v/>
      </c>
      <c r="D4727" s="394"/>
      <c r="E4727" s="78" t="str">
        <f>IF(C4727="","",IFERROR(VLOOKUP(C4727,parametros!$A$11:$E$15,5,0),""))</f>
        <v/>
      </c>
      <c r="F4727" s="79" t="str">
        <f t="shared" si="367"/>
        <v/>
      </c>
      <c r="G4727" s="395"/>
      <c r="H4727" s="91">
        <f t="shared" si="368"/>
        <v>0</v>
      </c>
      <c r="I4727" s="91" t="str">
        <f t="shared" si="369"/>
        <v/>
      </c>
      <c r="J4727" s="91" t="str">
        <f t="shared" si="370"/>
        <v/>
      </c>
      <c r="K4727" s="92" t="str">
        <f>IF(AND(A4727="",B4727="",D4727="",G4727=""),"",IF(AND(A4727&lt;&gt;"",COUNTIF($A$2:$A$5001,A4727)&gt;1),"NUMERO_PC duplicado",IF(B4727="","DATA_PC vazia",IF(NOT(ISNUMBER(B4727)),"DATA_PC invalida",IF(OR(C4727="",C4727="Fora dos ciclos"),"CICLO_PC nao identificado",IF(OR(D4727="",D4727=0),"VALOR_PC vazio ou zero",IF(AND(G4727&lt;&gt;"Sim",G4727&lt;&gt;"Nao",G4727&lt;&gt;""),"PC_PAGO_A_CONTRATADA invalido",IF(AND(C4727&lt;&gt;"C0",IFERROR(INDEX(parametros!$A$2:$A$6,MATCH(C4727,parametros!$B$2:$B$6,0)),"")="Sim",IFERROR(INDEX(parametros!$H$2:$H$6,MATCH(C4727,parametros!$B$2:$B$6,0)),"")=""),"INICIO_EFEITO ausente: PC "&amp;A4727&amp;" - "&amp;C4727,IF(L4727="","EFEITO_PC nao calculado: PC "&amp;A4727&amp;" - "&amp;C4727,"OK")))))))))</f>
        <v/>
      </c>
      <c r="L4727" s="92" t="str">
        <f>IF(AND(A4727="",B4727="",D4727="",G4727=""),"",IF(OR(B4727="",NOT(ISNUMBER(B4727)),C4727="",C4727="Fora dos ciclos"),"",IF(C4727="C0","Nao",IF(IFERROR(INDEX(parametros!$A$2:$A$6,MATCH(C4727,parametros!$B$2:$B$6,0)),"")&lt;&gt;"Sim","Nao",IF(IFERROR(INDEX(parametros!$H$2:$H$6,MATCH(C4727,parametros!$B$2:$B$6,0)),"")="","",IF(B4727&gt;=IFERROR(INDEX(parametros!$H$2:$H$6,MATCH(C4727,parametros!$B$2:$B$6,0)),""),"Sim","Nao"))))))</f>
        <v/>
      </c>
      <c r="T4727" s="156"/>
      <c r="U4727" s="214" t="str">
        <f t="shared" si="371"/>
        <v/>
      </c>
      <c r="V4727" s="212" t="s">
        <v>50</v>
      </c>
      <c r="W4727" s="100" t="s">
        <v>168</v>
      </c>
      <c r="X4727" s="100" t="s">
        <v>169</v>
      </c>
      <c r="Y4727" s="101" t="s">
        <v>170</v>
      </c>
      <c r="Z4727" s="101" t="s">
        <v>171</v>
      </c>
      <c r="AA4727" s="101" t="s">
        <v>50</v>
      </c>
      <c r="AB4727" s="101" t="s">
        <v>172</v>
      </c>
      <c r="AC4727" s="102" t="s">
        <v>173</v>
      </c>
    </row>
    <row r="4728" spans="1:29" ht="25.5" customHeight="1" x14ac:dyDescent="0.35">
      <c r="A4728" s="392"/>
      <c r="B4728" s="393"/>
      <c r="C4728" s="99" t="str">
        <f>IF(B4728="","",IF(NOT(ISNUMBER(B4728)),"DATA_PC invalida",IF(NOT(ISNUMBER(parametros!$C$2)),"Fora dos ciclos",IF(OR(B4728&lt;parametros!$C$2,(YEAR(B4728)-YEAR(parametros!$C$2))*12+MONTH(B4728)-MONTH(parametros!$C$2)&gt;59),"Fora dos ciclos","C"&amp;INT(((YEAR(B4728)-YEAR(parametros!$C$2))*12+MONTH(B4728)-MONTH(parametros!$C$2))/12)))))</f>
        <v/>
      </c>
      <c r="D4728" s="394"/>
      <c r="E4728" s="78" t="str">
        <f>IF(C4728="","",IFERROR(VLOOKUP(C4728,parametros!$A$11:$E$15,5,0),""))</f>
        <v/>
      </c>
      <c r="F4728" s="79" t="str">
        <f t="shared" si="367"/>
        <v/>
      </c>
      <c r="G4728" s="395"/>
      <c r="H4728" s="91">
        <f t="shared" si="368"/>
        <v>0</v>
      </c>
      <c r="I4728" s="91" t="str">
        <f t="shared" si="369"/>
        <v/>
      </c>
      <c r="J4728" s="91" t="str">
        <f t="shared" si="370"/>
        <v/>
      </c>
      <c r="K4728" s="92" t="str">
        <f>IF(AND(A4728="",B4728="",D4728="",G4728=""),"",IF(AND(A4728&lt;&gt;"",COUNTIF($A$2:$A$5001,A4728)&gt;1),"NUMERO_PC duplicado",IF(B4728="","DATA_PC vazia",IF(NOT(ISNUMBER(B4728)),"DATA_PC invalida",IF(OR(C4728="",C4728="Fora dos ciclos"),"CICLO_PC nao identificado",IF(OR(D4728="",D4728=0),"VALOR_PC vazio ou zero",IF(AND(G4728&lt;&gt;"Sim",G4728&lt;&gt;"Nao",G4728&lt;&gt;""),"PC_PAGO_A_CONTRATADA invalido",IF(AND(C4728&lt;&gt;"C0",IFERROR(INDEX(parametros!$A$2:$A$6,MATCH(C4728,parametros!$B$2:$B$6,0)),"")="Sim",IFERROR(INDEX(parametros!$H$2:$H$6,MATCH(C4728,parametros!$B$2:$B$6,0)),"")=""),"INICIO_EFEITO ausente: PC "&amp;A4728&amp;" - "&amp;C4728,IF(L4728="","EFEITO_PC nao calculado: PC "&amp;A4728&amp;" - "&amp;C4728,"OK")))))))))</f>
        <v/>
      </c>
      <c r="L4728" s="92" t="str">
        <f>IF(AND(A4728="",B4728="",D4728="",G4728=""),"",IF(OR(B4728="",NOT(ISNUMBER(B4728)),C4728="",C4728="Fora dos ciclos"),"",IF(C4728="C0","Nao",IF(IFERROR(INDEX(parametros!$A$2:$A$6,MATCH(C4728,parametros!$B$2:$B$6,0)),"")&lt;&gt;"Sim","Nao",IF(IFERROR(INDEX(parametros!$H$2:$H$6,MATCH(C4728,parametros!$B$2:$B$6,0)),"")="","",IF(B4728&gt;=IFERROR(INDEX(parametros!$H$2:$H$6,MATCH(C4728,parametros!$B$2:$B$6,0)),""),"Sim","Nao"))))))</f>
        <v/>
      </c>
      <c r="T4728" s="156"/>
      <c r="U4728" s="214" t="str">
        <f t="shared" si="371"/>
        <v/>
      </c>
      <c r="V4728" s="212" t="s">
        <v>50</v>
      </c>
      <c r="W4728" s="100" t="s">
        <v>168</v>
      </c>
      <c r="X4728" s="100" t="s">
        <v>169</v>
      </c>
      <c r="Y4728" s="101" t="s">
        <v>170</v>
      </c>
      <c r="Z4728" s="101" t="s">
        <v>171</v>
      </c>
      <c r="AA4728" s="101" t="s">
        <v>50</v>
      </c>
      <c r="AB4728" s="101" t="s">
        <v>172</v>
      </c>
      <c r="AC4728" s="102" t="s">
        <v>173</v>
      </c>
    </row>
    <row r="4729" spans="1:29" ht="25.5" customHeight="1" x14ac:dyDescent="0.35">
      <c r="A4729" s="392"/>
      <c r="B4729" s="393"/>
      <c r="C4729" s="99" t="str">
        <f>IF(B4729="","",IF(NOT(ISNUMBER(B4729)),"DATA_PC invalida",IF(NOT(ISNUMBER(parametros!$C$2)),"Fora dos ciclos",IF(OR(B4729&lt;parametros!$C$2,(YEAR(B4729)-YEAR(parametros!$C$2))*12+MONTH(B4729)-MONTH(parametros!$C$2)&gt;59),"Fora dos ciclos","C"&amp;INT(((YEAR(B4729)-YEAR(parametros!$C$2))*12+MONTH(B4729)-MONTH(parametros!$C$2))/12)))))</f>
        <v/>
      </c>
      <c r="D4729" s="394"/>
      <c r="E4729" s="78" t="str">
        <f>IF(C4729="","",IFERROR(VLOOKUP(C4729,parametros!$A$11:$E$15,5,0),""))</f>
        <v/>
      </c>
      <c r="F4729" s="79" t="str">
        <f t="shared" si="367"/>
        <v/>
      </c>
      <c r="G4729" s="395"/>
      <c r="H4729" s="91">
        <f t="shared" si="368"/>
        <v>0</v>
      </c>
      <c r="I4729" s="91" t="str">
        <f t="shared" si="369"/>
        <v/>
      </c>
      <c r="J4729" s="91" t="str">
        <f t="shared" si="370"/>
        <v/>
      </c>
      <c r="K4729" s="92" t="str">
        <f>IF(AND(A4729="",B4729="",D4729="",G4729=""),"",IF(AND(A4729&lt;&gt;"",COUNTIF($A$2:$A$5001,A4729)&gt;1),"NUMERO_PC duplicado",IF(B4729="","DATA_PC vazia",IF(NOT(ISNUMBER(B4729)),"DATA_PC invalida",IF(OR(C4729="",C4729="Fora dos ciclos"),"CICLO_PC nao identificado",IF(OR(D4729="",D4729=0),"VALOR_PC vazio ou zero",IF(AND(G4729&lt;&gt;"Sim",G4729&lt;&gt;"Nao",G4729&lt;&gt;""),"PC_PAGO_A_CONTRATADA invalido",IF(AND(C4729&lt;&gt;"C0",IFERROR(INDEX(parametros!$A$2:$A$6,MATCH(C4729,parametros!$B$2:$B$6,0)),"")="Sim",IFERROR(INDEX(parametros!$H$2:$H$6,MATCH(C4729,parametros!$B$2:$B$6,0)),"")=""),"INICIO_EFEITO ausente: PC "&amp;A4729&amp;" - "&amp;C4729,IF(L4729="","EFEITO_PC nao calculado: PC "&amp;A4729&amp;" - "&amp;C4729,"OK")))))))))</f>
        <v/>
      </c>
      <c r="L4729" s="92" t="str">
        <f>IF(AND(A4729="",B4729="",D4729="",G4729=""),"",IF(OR(B4729="",NOT(ISNUMBER(B4729)),C4729="",C4729="Fora dos ciclos"),"",IF(C4729="C0","Nao",IF(IFERROR(INDEX(parametros!$A$2:$A$6,MATCH(C4729,parametros!$B$2:$B$6,0)),"")&lt;&gt;"Sim","Nao",IF(IFERROR(INDEX(parametros!$H$2:$H$6,MATCH(C4729,parametros!$B$2:$B$6,0)),"")="","",IF(B4729&gt;=IFERROR(INDEX(parametros!$H$2:$H$6,MATCH(C4729,parametros!$B$2:$B$6,0)),""),"Sim","Nao"))))))</f>
        <v/>
      </c>
      <c r="T4729" s="156"/>
      <c r="U4729" s="214" t="str">
        <f t="shared" si="371"/>
        <v/>
      </c>
      <c r="V4729" s="212" t="s">
        <v>50</v>
      </c>
      <c r="W4729" s="100" t="s">
        <v>168</v>
      </c>
      <c r="X4729" s="100" t="s">
        <v>169</v>
      </c>
      <c r="Y4729" s="101" t="s">
        <v>170</v>
      </c>
      <c r="Z4729" s="101" t="s">
        <v>171</v>
      </c>
      <c r="AA4729" s="101" t="s">
        <v>50</v>
      </c>
      <c r="AB4729" s="101" t="s">
        <v>172</v>
      </c>
      <c r="AC4729" s="102" t="s">
        <v>173</v>
      </c>
    </row>
    <row r="4730" spans="1:29" ht="25.5" customHeight="1" x14ac:dyDescent="0.35">
      <c r="A4730" s="392"/>
      <c r="B4730" s="393"/>
      <c r="C4730" s="99" t="str">
        <f>IF(B4730="","",IF(NOT(ISNUMBER(B4730)),"DATA_PC invalida",IF(NOT(ISNUMBER(parametros!$C$2)),"Fora dos ciclos",IF(OR(B4730&lt;parametros!$C$2,(YEAR(B4730)-YEAR(parametros!$C$2))*12+MONTH(B4730)-MONTH(parametros!$C$2)&gt;59),"Fora dos ciclos","C"&amp;INT(((YEAR(B4730)-YEAR(parametros!$C$2))*12+MONTH(B4730)-MONTH(parametros!$C$2))/12)))))</f>
        <v/>
      </c>
      <c r="D4730" s="394"/>
      <c r="E4730" s="78" t="str">
        <f>IF(C4730="","",IFERROR(VLOOKUP(C4730,parametros!$A$11:$E$15,5,0),""))</f>
        <v/>
      </c>
      <c r="F4730" s="79" t="str">
        <f t="shared" si="367"/>
        <v/>
      </c>
      <c r="G4730" s="395"/>
      <c r="H4730" s="91">
        <f t="shared" si="368"/>
        <v>0</v>
      </c>
      <c r="I4730" s="91" t="str">
        <f t="shared" si="369"/>
        <v/>
      </c>
      <c r="J4730" s="91" t="str">
        <f t="shared" si="370"/>
        <v/>
      </c>
      <c r="K4730" s="92" t="str">
        <f>IF(AND(A4730="",B4730="",D4730="",G4730=""),"",IF(AND(A4730&lt;&gt;"",COUNTIF($A$2:$A$5001,A4730)&gt;1),"NUMERO_PC duplicado",IF(B4730="","DATA_PC vazia",IF(NOT(ISNUMBER(B4730)),"DATA_PC invalida",IF(OR(C4730="",C4730="Fora dos ciclos"),"CICLO_PC nao identificado",IF(OR(D4730="",D4730=0),"VALOR_PC vazio ou zero",IF(AND(G4730&lt;&gt;"Sim",G4730&lt;&gt;"Nao",G4730&lt;&gt;""),"PC_PAGO_A_CONTRATADA invalido",IF(AND(C4730&lt;&gt;"C0",IFERROR(INDEX(parametros!$A$2:$A$6,MATCH(C4730,parametros!$B$2:$B$6,0)),"")="Sim",IFERROR(INDEX(parametros!$H$2:$H$6,MATCH(C4730,parametros!$B$2:$B$6,0)),"")=""),"INICIO_EFEITO ausente: PC "&amp;A4730&amp;" - "&amp;C4730,IF(L4730="","EFEITO_PC nao calculado: PC "&amp;A4730&amp;" - "&amp;C4730,"OK")))))))))</f>
        <v/>
      </c>
      <c r="L4730" s="92" t="str">
        <f>IF(AND(A4730="",B4730="",D4730="",G4730=""),"",IF(OR(B4730="",NOT(ISNUMBER(B4730)),C4730="",C4730="Fora dos ciclos"),"",IF(C4730="C0","Nao",IF(IFERROR(INDEX(parametros!$A$2:$A$6,MATCH(C4730,parametros!$B$2:$B$6,0)),"")&lt;&gt;"Sim","Nao",IF(IFERROR(INDEX(parametros!$H$2:$H$6,MATCH(C4730,parametros!$B$2:$B$6,0)),"")="","",IF(B4730&gt;=IFERROR(INDEX(parametros!$H$2:$H$6,MATCH(C4730,parametros!$B$2:$B$6,0)),""),"Sim","Nao"))))))</f>
        <v/>
      </c>
      <c r="T4730" s="156"/>
      <c r="U4730" s="214" t="str">
        <f t="shared" si="371"/>
        <v/>
      </c>
      <c r="V4730" s="212" t="s">
        <v>50</v>
      </c>
      <c r="W4730" s="100" t="s">
        <v>168</v>
      </c>
      <c r="X4730" s="100" t="s">
        <v>169</v>
      </c>
      <c r="Y4730" s="101" t="s">
        <v>170</v>
      </c>
      <c r="Z4730" s="101" t="s">
        <v>171</v>
      </c>
      <c r="AA4730" s="101" t="s">
        <v>50</v>
      </c>
      <c r="AB4730" s="101" t="s">
        <v>172</v>
      </c>
      <c r="AC4730" s="102" t="s">
        <v>173</v>
      </c>
    </row>
    <row r="4731" spans="1:29" ht="25.5" customHeight="1" x14ac:dyDescent="0.35">
      <c r="A4731" s="392"/>
      <c r="B4731" s="393"/>
      <c r="C4731" s="99" t="str">
        <f>IF(B4731="","",IF(NOT(ISNUMBER(B4731)),"DATA_PC invalida",IF(NOT(ISNUMBER(parametros!$C$2)),"Fora dos ciclos",IF(OR(B4731&lt;parametros!$C$2,(YEAR(B4731)-YEAR(parametros!$C$2))*12+MONTH(B4731)-MONTH(parametros!$C$2)&gt;59),"Fora dos ciclos","C"&amp;INT(((YEAR(B4731)-YEAR(parametros!$C$2))*12+MONTH(B4731)-MONTH(parametros!$C$2))/12)))))</f>
        <v/>
      </c>
      <c r="D4731" s="394"/>
      <c r="E4731" s="78" t="str">
        <f>IF(C4731="","",IFERROR(VLOOKUP(C4731,parametros!$A$11:$E$15,5,0),""))</f>
        <v/>
      </c>
      <c r="F4731" s="79" t="str">
        <f t="shared" si="367"/>
        <v/>
      </c>
      <c r="G4731" s="395"/>
      <c r="H4731" s="91">
        <f t="shared" si="368"/>
        <v>0</v>
      </c>
      <c r="I4731" s="91" t="str">
        <f t="shared" si="369"/>
        <v/>
      </c>
      <c r="J4731" s="91" t="str">
        <f t="shared" si="370"/>
        <v/>
      </c>
      <c r="K4731" s="92" t="str">
        <f>IF(AND(A4731="",B4731="",D4731="",G4731=""),"",IF(AND(A4731&lt;&gt;"",COUNTIF($A$2:$A$5001,A4731)&gt;1),"NUMERO_PC duplicado",IF(B4731="","DATA_PC vazia",IF(NOT(ISNUMBER(B4731)),"DATA_PC invalida",IF(OR(C4731="",C4731="Fora dos ciclos"),"CICLO_PC nao identificado",IF(OR(D4731="",D4731=0),"VALOR_PC vazio ou zero",IF(AND(G4731&lt;&gt;"Sim",G4731&lt;&gt;"Nao",G4731&lt;&gt;""),"PC_PAGO_A_CONTRATADA invalido",IF(AND(C4731&lt;&gt;"C0",IFERROR(INDEX(parametros!$A$2:$A$6,MATCH(C4731,parametros!$B$2:$B$6,0)),"")="Sim",IFERROR(INDEX(parametros!$H$2:$H$6,MATCH(C4731,parametros!$B$2:$B$6,0)),"")=""),"INICIO_EFEITO ausente: PC "&amp;A4731&amp;" - "&amp;C4731,IF(L4731="","EFEITO_PC nao calculado: PC "&amp;A4731&amp;" - "&amp;C4731,"OK")))))))))</f>
        <v/>
      </c>
      <c r="L4731" s="92" t="str">
        <f>IF(AND(A4731="",B4731="",D4731="",G4731=""),"",IF(OR(B4731="",NOT(ISNUMBER(B4731)),C4731="",C4731="Fora dos ciclos"),"",IF(C4731="C0","Nao",IF(IFERROR(INDEX(parametros!$A$2:$A$6,MATCH(C4731,parametros!$B$2:$B$6,0)),"")&lt;&gt;"Sim","Nao",IF(IFERROR(INDEX(parametros!$H$2:$H$6,MATCH(C4731,parametros!$B$2:$B$6,0)),"")="","",IF(B4731&gt;=IFERROR(INDEX(parametros!$H$2:$H$6,MATCH(C4731,parametros!$B$2:$B$6,0)),""),"Sim","Nao"))))))</f>
        <v/>
      </c>
      <c r="T4731" s="156"/>
      <c r="U4731" s="214" t="str">
        <f t="shared" si="371"/>
        <v/>
      </c>
      <c r="V4731" s="212" t="s">
        <v>50</v>
      </c>
      <c r="W4731" s="100" t="s">
        <v>168</v>
      </c>
      <c r="X4731" s="100" t="s">
        <v>169</v>
      </c>
      <c r="Y4731" s="101" t="s">
        <v>170</v>
      </c>
      <c r="Z4731" s="101" t="s">
        <v>171</v>
      </c>
      <c r="AA4731" s="101" t="s">
        <v>50</v>
      </c>
      <c r="AB4731" s="101" t="s">
        <v>172</v>
      </c>
      <c r="AC4731" s="102" t="s">
        <v>173</v>
      </c>
    </row>
    <row r="4732" spans="1:29" ht="25.5" customHeight="1" x14ac:dyDescent="0.35">
      <c r="A4732" s="392"/>
      <c r="B4732" s="393"/>
      <c r="C4732" s="99" t="str">
        <f>IF(B4732="","",IF(NOT(ISNUMBER(B4732)),"DATA_PC invalida",IF(NOT(ISNUMBER(parametros!$C$2)),"Fora dos ciclos",IF(OR(B4732&lt;parametros!$C$2,(YEAR(B4732)-YEAR(parametros!$C$2))*12+MONTH(B4732)-MONTH(parametros!$C$2)&gt;59),"Fora dos ciclos","C"&amp;INT(((YEAR(B4732)-YEAR(parametros!$C$2))*12+MONTH(B4732)-MONTH(parametros!$C$2))/12)))))</f>
        <v/>
      </c>
      <c r="D4732" s="394"/>
      <c r="E4732" s="78" t="str">
        <f>IF(C4732="","",IFERROR(VLOOKUP(C4732,parametros!$A$11:$E$15,5,0),""))</f>
        <v/>
      </c>
      <c r="F4732" s="79" t="str">
        <f t="shared" si="367"/>
        <v/>
      </c>
      <c r="G4732" s="395"/>
      <c r="H4732" s="91">
        <f t="shared" si="368"/>
        <v>0</v>
      </c>
      <c r="I4732" s="91" t="str">
        <f t="shared" si="369"/>
        <v/>
      </c>
      <c r="J4732" s="91" t="str">
        <f t="shared" si="370"/>
        <v/>
      </c>
      <c r="K4732" s="92" t="str">
        <f>IF(AND(A4732="",B4732="",D4732="",G4732=""),"",IF(AND(A4732&lt;&gt;"",COUNTIF($A$2:$A$5001,A4732)&gt;1),"NUMERO_PC duplicado",IF(B4732="","DATA_PC vazia",IF(NOT(ISNUMBER(B4732)),"DATA_PC invalida",IF(OR(C4732="",C4732="Fora dos ciclos"),"CICLO_PC nao identificado",IF(OR(D4732="",D4732=0),"VALOR_PC vazio ou zero",IF(AND(G4732&lt;&gt;"Sim",G4732&lt;&gt;"Nao",G4732&lt;&gt;""),"PC_PAGO_A_CONTRATADA invalido",IF(AND(C4732&lt;&gt;"C0",IFERROR(INDEX(parametros!$A$2:$A$6,MATCH(C4732,parametros!$B$2:$B$6,0)),"")="Sim",IFERROR(INDEX(parametros!$H$2:$H$6,MATCH(C4732,parametros!$B$2:$B$6,0)),"")=""),"INICIO_EFEITO ausente: PC "&amp;A4732&amp;" - "&amp;C4732,IF(L4732="","EFEITO_PC nao calculado: PC "&amp;A4732&amp;" - "&amp;C4732,"OK")))))))))</f>
        <v/>
      </c>
      <c r="L4732" s="92" t="str">
        <f>IF(AND(A4732="",B4732="",D4732="",G4732=""),"",IF(OR(B4732="",NOT(ISNUMBER(B4732)),C4732="",C4732="Fora dos ciclos"),"",IF(C4732="C0","Nao",IF(IFERROR(INDEX(parametros!$A$2:$A$6,MATCH(C4732,parametros!$B$2:$B$6,0)),"")&lt;&gt;"Sim","Nao",IF(IFERROR(INDEX(parametros!$H$2:$H$6,MATCH(C4732,parametros!$B$2:$B$6,0)),"")="","",IF(B4732&gt;=IFERROR(INDEX(parametros!$H$2:$H$6,MATCH(C4732,parametros!$B$2:$B$6,0)),""),"Sim","Nao"))))))</f>
        <v/>
      </c>
      <c r="T4732" s="156"/>
      <c r="U4732" s="214" t="str">
        <f t="shared" si="371"/>
        <v/>
      </c>
      <c r="V4732" s="212" t="s">
        <v>50</v>
      </c>
      <c r="W4732" s="100" t="s">
        <v>168</v>
      </c>
      <c r="X4732" s="100" t="s">
        <v>169</v>
      </c>
      <c r="Y4732" s="101" t="s">
        <v>170</v>
      </c>
      <c r="Z4732" s="101" t="s">
        <v>171</v>
      </c>
      <c r="AA4732" s="101" t="s">
        <v>50</v>
      </c>
      <c r="AB4732" s="101" t="s">
        <v>172</v>
      </c>
      <c r="AC4732" s="102" t="s">
        <v>173</v>
      </c>
    </row>
    <row r="4733" spans="1:29" ht="25.5" customHeight="1" x14ac:dyDescent="0.35">
      <c r="A4733" s="392"/>
      <c r="B4733" s="393"/>
      <c r="C4733" s="99" t="str">
        <f>IF(B4733="","",IF(NOT(ISNUMBER(B4733)),"DATA_PC invalida",IF(NOT(ISNUMBER(parametros!$C$2)),"Fora dos ciclos",IF(OR(B4733&lt;parametros!$C$2,(YEAR(B4733)-YEAR(parametros!$C$2))*12+MONTH(B4733)-MONTH(parametros!$C$2)&gt;59),"Fora dos ciclos","C"&amp;INT(((YEAR(B4733)-YEAR(parametros!$C$2))*12+MONTH(B4733)-MONTH(parametros!$C$2))/12)))))</f>
        <v/>
      </c>
      <c r="D4733" s="394"/>
      <c r="E4733" s="78" t="str">
        <f>IF(C4733="","",IFERROR(VLOOKUP(C4733,parametros!$A$11:$E$15,5,0),""))</f>
        <v/>
      </c>
      <c r="F4733" s="79" t="str">
        <f t="shared" si="367"/>
        <v/>
      </c>
      <c r="G4733" s="395"/>
      <c r="H4733" s="91">
        <f t="shared" si="368"/>
        <v>0</v>
      </c>
      <c r="I4733" s="91" t="str">
        <f t="shared" si="369"/>
        <v/>
      </c>
      <c r="J4733" s="91" t="str">
        <f t="shared" si="370"/>
        <v/>
      </c>
      <c r="K4733" s="92" t="str">
        <f>IF(AND(A4733="",B4733="",D4733="",G4733=""),"",IF(AND(A4733&lt;&gt;"",COUNTIF($A$2:$A$5001,A4733)&gt;1),"NUMERO_PC duplicado",IF(B4733="","DATA_PC vazia",IF(NOT(ISNUMBER(B4733)),"DATA_PC invalida",IF(OR(C4733="",C4733="Fora dos ciclos"),"CICLO_PC nao identificado",IF(OR(D4733="",D4733=0),"VALOR_PC vazio ou zero",IF(AND(G4733&lt;&gt;"Sim",G4733&lt;&gt;"Nao",G4733&lt;&gt;""),"PC_PAGO_A_CONTRATADA invalido",IF(AND(C4733&lt;&gt;"C0",IFERROR(INDEX(parametros!$A$2:$A$6,MATCH(C4733,parametros!$B$2:$B$6,0)),"")="Sim",IFERROR(INDEX(parametros!$H$2:$H$6,MATCH(C4733,parametros!$B$2:$B$6,0)),"")=""),"INICIO_EFEITO ausente: PC "&amp;A4733&amp;" - "&amp;C4733,IF(L4733="","EFEITO_PC nao calculado: PC "&amp;A4733&amp;" - "&amp;C4733,"OK")))))))))</f>
        <v/>
      </c>
      <c r="L4733" s="92" t="str">
        <f>IF(AND(A4733="",B4733="",D4733="",G4733=""),"",IF(OR(B4733="",NOT(ISNUMBER(B4733)),C4733="",C4733="Fora dos ciclos"),"",IF(C4733="C0","Nao",IF(IFERROR(INDEX(parametros!$A$2:$A$6,MATCH(C4733,parametros!$B$2:$B$6,0)),"")&lt;&gt;"Sim","Nao",IF(IFERROR(INDEX(parametros!$H$2:$H$6,MATCH(C4733,parametros!$B$2:$B$6,0)),"")="","",IF(B4733&gt;=IFERROR(INDEX(parametros!$H$2:$H$6,MATCH(C4733,parametros!$B$2:$B$6,0)),""),"Sim","Nao"))))))</f>
        <v/>
      </c>
      <c r="T4733" s="156"/>
      <c r="U4733" s="214" t="str">
        <f t="shared" si="371"/>
        <v/>
      </c>
      <c r="V4733" s="212" t="s">
        <v>50</v>
      </c>
      <c r="W4733" s="100" t="s">
        <v>168</v>
      </c>
      <c r="X4733" s="100" t="s">
        <v>169</v>
      </c>
      <c r="Y4733" s="101" t="s">
        <v>170</v>
      </c>
      <c r="Z4733" s="101" t="s">
        <v>171</v>
      </c>
      <c r="AA4733" s="101" t="s">
        <v>50</v>
      </c>
      <c r="AB4733" s="101" t="s">
        <v>172</v>
      </c>
      <c r="AC4733" s="102" t="s">
        <v>173</v>
      </c>
    </row>
    <row r="4734" spans="1:29" ht="25.5" customHeight="1" x14ac:dyDescent="0.35">
      <c r="A4734" s="392"/>
      <c r="B4734" s="393"/>
      <c r="C4734" s="99" t="str">
        <f>IF(B4734="","",IF(NOT(ISNUMBER(B4734)),"DATA_PC invalida",IF(NOT(ISNUMBER(parametros!$C$2)),"Fora dos ciclos",IF(OR(B4734&lt;parametros!$C$2,(YEAR(B4734)-YEAR(parametros!$C$2))*12+MONTH(B4734)-MONTH(parametros!$C$2)&gt;59),"Fora dos ciclos","C"&amp;INT(((YEAR(B4734)-YEAR(parametros!$C$2))*12+MONTH(B4734)-MONTH(parametros!$C$2))/12)))))</f>
        <v/>
      </c>
      <c r="D4734" s="394"/>
      <c r="E4734" s="78" t="str">
        <f>IF(C4734="","",IFERROR(VLOOKUP(C4734,parametros!$A$11:$E$15,5,0),""))</f>
        <v/>
      </c>
      <c r="F4734" s="79" t="str">
        <f t="shared" si="367"/>
        <v/>
      </c>
      <c r="G4734" s="395"/>
      <c r="H4734" s="91">
        <f t="shared" si="368"/>
        <v>0</v>
      </c>
      <c r="I4734" s="91" t="str">
        <f t="shared" si="369"/>
        <v/>
      </c>
      <c r="J4734" s="91" t="str">
        <f t="shared" si="370"/>
        <v/>
      </c>
      <c r="K4734" s="92" t="str">
        <f>IF(AND(A4734="",B4734="",D4734="",G4734=""),"",IF(AND(A4734&lt;&gt;"",COUNTIF($A$2:$A$5001,A4734)&gt;1),"NUMERO_PC duplicado",IF(B4734="","DATA_PC vazia",IF(NOT(ISNUMBER(B4734)),"DATA_PC invalida",IF(OR(C4734="",C4734="Fora dos ciclos"),"CICLO_PC nao identificado",IF(OR(D4734="",D4734=0),"VALOR_PC vazio ou zero",IF(AND(G4734&lt;&gt;"Sim",G4734&lt;&gt;"Nao",G4734&lt;&gt;""),"PC_PAGO_A_CONTRATADA invalido",IF(AND(C4734&lt;&gt;"C0",IFERROR(INDEX(parametros!$A$2:$A$6,MATCH(C4734,parametros!$B$2:$B$6,0)),"")="Sim",IFERROR(INDEX(parametros!$H$2:$H$6,MATCH(C4734,parametros!$B$2:$B$6,0)),"")=""),"INICIO_EFEITO ausente: PC "&amp;A4734&amp;" - "&amp;C4734,IF(L4734="","EFEITO_PC nao calculado: PC "&amp;A4734&amp;" - "&amp;C4734,"OK")))))))))</f>
        <v/>
      </c>
      <c r="L4734" s="92" t="str">
        <f>IF(AND(A4734="",B4734="",D4734="",G4734=""),"",IF(OR(B4734="",NOT(ISNUMBER(B4734)),C4734="",C4734="Fora dos ciclos"),"",IF(C4734="C0","Nao",IF(IFERROR(INDEX(parametros!$A$2:$A$6,MATCH(C4734,parametros!$B$2:$B$6,0)),"")&lt;&gt;"Sim","Nao",IF(IFERROR(INDEX(parametros!$H$2:$H$6,MATCH(C4734,parametros!$B$2:$B$6,0)),"")="","",IF(B4734&gt;=IFERROR(INDEX(parametros!$H$2:$H$6,MATCH(C4734,parametros!$B$2:$B$6,0)),""),"Sim","Nao"))))))</f>
        <v/>
      </c>
      <c r="T4734" s="156"/>
      <c r="U4734" s="214" t="str">
        <f t="shared" si="371"/>
        <v/>
      </c>
      <c r="V4734" s="212" t="s">
        <v>50</v>
      </c>
      <c r="W4734" s="100" t="s">
        <v>168</v>
      </c>
      <c r="X4734" s="100" t="s">
        <v>169</v>
      </c>
      <c r="Y4734" s="101" t="s">
        <v>170</v>
      </c>
      <c r="Z4734" s="101" t="s">
        <v>171</v>
      </c>
      <c r="AA4734" s="101" t="s">
        <v>50</v>
      </c>
      <c r="AB4734" s="101" t="s">
        <v>172</v>
      </c>
      <c r="AC4734" s="102" t="s">
        <v>173</v>
      </c>
    </row>
    <row r="4735" spans="1:29" ht="25.5" customHeight="1" x14ac:dyDescent="0.35">
      <c r="A4735" s="392"/>
      <c r="B4735" s="393"/>
      <c r="C4735" s="99" t="str">
        <f>IF(B4735="","",IF(NOT(ISNUMBER(B4735)),"DATA_PC invalida",IF(NOT(ISNUMBER(parametros!$C$2)),"Fora dos ciclos",IF(OR(B4735&lt;parametros!$C$2,(YEAR(B4735)-YEAR(parametros!$C$2))*12+MONTH(B4735)-MONTH(parametros!$C$2)&gt;59),"Fora dos ciclos","C"&amp;INT(((YEAR(B4735)-YEAR(parametros!$C$2))*12+MONTH(B4735)-MONTH(parametros!$C$2))/12)))))</f>
        <v/>
      </c>
      <c r="D4735" s="394"/>
      <c r="E4735" s="78" t="str">
        <f>IF(C4735="","",IFERROR(VLOOKUP(C4735,parametros!$A$11:$E$15,5,0),""))</f>
        <v/>
      </c>
      <c r="F4735" s="79" t="str">
        <f t="shared" si="367"/>
        <v/>
      </c>
      <c r="G4735" s="395"/>
      <c r="H4735" s="91">
        <f t="shared" si="368"/>
        <v>0</v>
      </c>
      <c r="I4735" s="91" t="str">
        <f t="shared" si="369"/>
        <v/>
      </c>
      <c r="J4735" s="91" t="str">
        <f t="shared" si="370"/>
        <v/>
      </c>
      <c r="K4735" s="92" t="str">
        <f>IF(AND(A4735="",B4735="",D4735="",G4735=""),"",IF(AND(A4735&lt;&gt;"",COUNTIF($A$2:$A$5001,A4735)&gt;1),"NUMERO_PC duplicado",IF(B4735="","DATA_PC vazia",IF(NOT(ISNUMBER(B4735)),"DATA_PC invalida",IF(OR(C4735="",C4735="Fora dos ciclos"),"CICLO_PC nao identificado",IF(OR(D4735="",D4735=0),"VALOR_PC vazio ou zero",IF(AND(G4735&lt;&gt;"Sim",G4735&lt;&gt;"Nao",G4735&lt;&gt;""),"PC_PAGO_A_CONTRATADA invalido",IF(AND(C4735&lt;&gt;"C0",IFERROR(INDEX(parametros!$A$2:$A$6,MATCH(C4735,parametros!$B$2:$B$6,0)),"")="Sim",IFERROR(INDEX(parametros!$H$2:$H$6,MATCH(C4735,parametros!$B$2:$B$6,0)),"")=""),"INICIO_EFEITO ausente: PC "&amp;A4735&amp;" - "&amp;C4735,IF(L4735="","EFEITO_PC nao calculado: PC "&amp;A4735&amp;" - "&amp;C4735,"OK")))))))))</f>
        <v/>
      </c>
      <c r="L4735" s="92" t="str">
        <f>IF(AND(A4735="",B4735="",D4735="",G4735=""),"",IF(OR(B4735="",NOT(ISNUMBER(B4735)),C4735="",C4735="Fora dos ciclos"),"",IF(C4735="C0","Nao",IF(IFERROR(INDEX(parametros!$A$2:$A$6,MATCH(C4735,parametros!$B$2:$B$6,0)),"")&lt;&gt;"Sim","Nao",IF(IFERROR(INDEX(parametros!$H$2:$H$6,MATCH(C4735,parametros!$B$2:$B$6,0)),"")="","",IF(B4735&gt;=IFERROR(INDEX(parametros!$H$2:$H$6,MATCH(C4735,parametros!$B$2:$B$6,0)),""),"Sim","Nao"))))))</f>
        <v/>
      </c>
      <c r="T4735" s="156"/>
      <c r="U4735" s="214" t="str">
        <f t="shared" si="371"/>
        <v/>
      </c>
      <c r="V4735" s="212" t="s">
        <v>50</v>
      </c>
      <c r="W4735" s="100" t="s">
        <v>168</v>
      </c>
      <c r="X4735" s="100" t="s">
        <v>169</v>
      </c>
      <c r="Y4735" s="101" t="s">
        <v>170</v>
      </c>
      <c r="Z4735" s="101" t="s">
        <v>171</v>
      </c>
      <c r="AA4735" s="101" t="s">
        <v>50</v>
      </c>
      <c r="AB4735" s="101" t="s">
        <v>172</v>
      </c>
      <c r="AC4735" s="102" t="s">
        <v>173</v>
      </c>
    </row>
    <row r="4736" spans="1:29" ht="25.5" customHeight="1" x14ac:dyDescent="0.35">
      <c r="A4736" s="392"/>
      <c r="B4736" s="393"/>
      <c r="C4736" s="99" t="str">
        <f>IF(B4736="","",IF(NOT(ISNUMBER(B4736)),"DATA_PC invalida",IF(NOT(ISNUMBER(parametros!$C$2)),"Fora dos ciclos",IF(OR(B4736&lt;parametros!$C$2,(YEAR(B4736)-YEAR(parametros!$C$2))*12+MONTH(B4736)-MONTH(parametros!$C$2)&gt;59),"Fora dos ciclos","C"&amp;INT(((YEAR(B4736)-YEAR(parametros!$C$2))*12+MONTH(B4736)-MONTH(parametros!$C$2))/12)))))</f>
        <v/>
      </c>
      <c r="D4736" s="394"/>
      <c r="E4736" s="78" t="str">
        <f>IF(C4736="","",IFERROR(VLOOKUP(C4736,parametros!$A$11:$E$15,5,0),""))</f>
        <v/>
      </c>
      <c r="F4736" s="79" t="str">
        <f t="shared" si="367"/>
        <v/>
      </c>
      <c r="G4736" s="395"/>
      <c r="H4736" s="91">
        <f t="shared" si="368"/>
        <v>0</v>
      </c>
      <c r="I4736" s="91" t="str">
        <f t="shared" si="369"/>
        <v/>
      </c>
      <c r="J4736" s="91" t="str">
        <f t="shared" si="370"/>
        <v/>
      </c>
      <c r="K4736" s="92" t="str">
        <f>IF(AND(A4736="",B4736="",D4736="",G4736=""),"",IF(AND(A4736&lt;&gt;"",COUNTIF($A$2:$A$5001,A4736)&gt;1),"NUMERO_PC duplicado",IF(B4736="","DATA_PC vazia",IF(NOT(ISNUMBER(B4736)),"DATA_PC invalida",IF(OR(C4736="",C4736="Fora dos ciclos"),"CICLO_PC nao identificado",IF(OR(D4736="",D4736=0),"VALOR_PC vazio ou zero",IF(AND(G4736&lt;&gt;"Sim",G4736&lt;&gt;"Nao",G4736&lt;&gt;""),"PC_PAGO_A_CONTRATADA invalido",IF(AND(C4736&lt;&gt;"C0",IFERROR(INDEX(parametros!$A$2:$A$6,MATCH(C4736,parametros!$B$2:$B$6,0)),"")="Sim",IFERROR(INDEX(parametros!$H$2:$H$6,MATCH(C4736,parametros!$B$2:$B$6,0)),"")=""),"INICIO_EFEITO ausente: PC "&amp;A4736&amp;" - "&amp;C4736,IF(L4736="","EFEITO_PC nao calculado: PC "&amp;A4736&amp;" - "&amp;C4736,"OK")))))))))</f>
        <v/>
      </c>
      <c r="L4736" s="92" t="str">
        <f>IF(AND(A4736="",B4736="",D4736="",G4736=""),"",IF(OR(B4736="",NOT(ISNUMBER(B4736)),C4736="",C4736="Fora dos ciclos"),"",IF(C4736="C0","Nao",IF(IFERROR(INDEX(parametros!$A$2:$A$6,MATCH(C4736,parametros!$B$2:$B$6,0)),"")&lt;&gt;"Sim","Nao",IF(IFERROR(INDEX(parametros!$H$2:$H$6,MATCH(C4736,parametros!$B$2:$B$6,0)),"")="","",IF(B4736&gt;=IFERROR(INDEX(parametros!$H$2:$H$6,MATCH(C4736,parametros!$B$2:$B$6,0)),""),"Sim","Nao"))))))</f>
        <v/>
      </c>
      <c r="T4736" s="156"/>
      <c r="U4736" s="214" t="str">
        <f t="shared" si="371"/>
        <v/>
      </c>
      <c r="V4736" s="212" t="s">
        <v>50</v>
      </c>
      <c r="W4736" s="100" t="s">
        <v>168</v>
      </c>
      <c r="X4736" s="100" t="s">
        <v>169</v>
      </c>
      <c r="Y4736" s="101" t="s">
        <v>170</v>
      </c>
      <c r="Z4736" s="101" t="s">
        <v>171</v>
      </c>
      <c r="AA4736" s="101" t="s">
        <v>50</v>
      </c>
      <c r="AB4736" s="101" t="s">
        <v>172</v>
      </c>
      <c r="AC4736" s="102" t="s">
        <v>173</v>
      </c>
    </row>
    <row r="4737" spans="1:29" ht="25.5" customHeight="1" x14ac:dyDescent="0.35">
      <c r="A4737" s="392"/>
      <c r="B4737" s="393"/>
      <c r="C4737" s="99" t="str">
        <f>IF(B4737="","",IF(NOT(ISNUMBER(B4737)),"DATA_PC invalida",IF(NOT(ISNUMBER(parametros!$C$2)),"Fora dos ciclos",IF(OR(B4737&lt;parametros!$C$2,(YEAR(B4737)-YEAR(parametros!$C$2))*12+MONTH(B4737)-MONTH(parametros!$C$2)&gt;59),"Fora dos ciclos","C"&amp;INT(((YEAR(B4737)-YEAR(parametros!$C$2))*12+MONTH(B4737)-MONTH(parametros!$C$2))/12)))))</f>
        <v/>
      </c>
      <c r="D4737" s="394"/>
      <c r="E4737" s="78" t="str">
        <f>IF(C4737="","",IFERROR(VLOOKUP(C4737,parametros!$A$11:$E$15,5,0),""))</f>
        <v/>
      </c>
      <c r="F4737" s="79" t="str">
        <f t="shared" si="367"/>
        <v/>
      </c>
      <c r="G4737" s="395"/>
      <c r="H4737" s="91">
        <f t="shared" si="368"/>
        <v>0</v>
      </c>
      <c r="I4737" s="91" t="str">
        <f t="shared" si="369"/>
        <v/>
      </c>
      <c r="J4737" s="91" t="str">
        <f t="shared" si="370"/>
        <v/>
      </c>
      <c r="K4737" s="92" t="str">
        <f>IF(AND(A4737="",B4737="",D4737="",G4737=""),"",IF(AND(A4737&lt;&gt;"",COUNTIF($A$2:$A$5001,A4737)&gt;1),"NUMERO_PC duplicado",IF(B4737="","DATA_PC vazia",IF(NOT(ISNUMBER(B4737)),"DATA_PC invalida",IF(OR(C4737="",C4737="Fora dos ciclos"),"CICLO_PC nao identificado",IF(OR(D4737="",D4737=0),"VALOR_PC vazio ou zero",IF(AND(G4737&lt;&gt;"Sim",G4737&lt;&gt;"Nao",G4737&lt;&gt;""),"PC_PAGO_A_CONTRATADA invalido",IF(AND(C4737&lt;&gt;"C0",IFERROR(INDEX(parametros!$A$2:$A$6,MATCH(C4737,parametros!$B$2:$B$6,0)),"")="Sim",IFERROR(INDEX(parametros!$H$2:$H$6,MATCH(C4737,parametros!$B$2:$B$6,0)),"")=""),"INICIO_EFEITO ausente: PC "&amp;A4737&amp;" - "&amp;C4737,IF(L4737="","EFEITO_PC nao calculado: PC "&amp;A4737&amp;" - "&amp;C4737,"OK")))))))))</f>
        <v/>
      </c>
      <c r="L4737" s="92" t="str">
        <f>IF(AND(A4737="",B4737="",D4737="",G4737=""),"",IF(OR(B4737="",NOT(ISNUMBER(B4737)),C4737="",C4737="Fora dos ciclos"),"",IF(C4737="C0","Nao",IF(IFERROR(INDEX(parametros!$A$2:$A$6,MATCH(C4737,parametros!$B$2:$B$6,0)),"")&lt;&gt;"Sim","Nao",IF(IFERROR(INDEX(parametros!$H$2:$H$6,MATCH(C4737,parametros!$B$2:$B$6,0)),"")="","",IF(B4737&gt;=IFERROR(INDEX(parametros!$H$2:$H$6,MATCH(C4737,parametros!$B$2:$B$6,0)),""),"Sim","Nao"))))))</f>
        <v/>
      </c>
      <c r="T4737" s="156"/>
      <c r="U4737" s="214" t="str">
        <f t="shared" si="371"/>
        <v/>
      </c>
      <c r="V4737" s="212" t="s">
        <v>50</v>
      </c>
      <c r="W4737" s="100" t="s">
        <v>168</v>
      </c>
      <c r="X4737" s="100" t="s">
        <v>169</v>
      </c>
      <c r="Y4737" s="101" t="s">
        <v>170</v>
      </c>
      <c r="Z4737" s="101" t="s">
        <v>171</v>
      </c>
      <c r="AA4737" s="101" t="s">
        <v>50</v>
      </c>
      <c r="AB4737" s="101" t="s">
        <v>172</v>
      </c>
      <c r="AC4737" s="102" t="s">
        <v>173</v>
      </c>
    </row>
    <row r="4738" spans="1:29" ht="25.5" customHeight="1" x14ac:dyDescent="0.35">
      <c r="A4738" s="392"/>
      <c r="B4738" s="393"/>
      <c r="C4738" s="99" t="str">
        <f>IF(B4738="","",IF(NOT(ISNUMBER(B4738)),"DATA_PC invalida",IF(NOT(ISNUMBER(parametros!$C$2)),"Fora dos ciclos",IF(OR(B4738&lt;parametros!$C$2,(YEAR(B4738)-YEAR(parametros!$C$2))*12+MONTH(B4738)-MONTH(parametros!$C$2)&gt;59),"Fora dos ciclos","C"&amp;INT(((YEAR(B4738)-YEAR(parametros!$C$2))*12+MONTH(B4738)-MONTH(parametros!$C$2))/12)))))</f>
        <v/>
      </c>
      <c r="D4738" s="394"/>
      <c r="E4738" s="78" t="str">
        <f>IF(C4738="","",IFERROR(VLOOKUP(C4738,parametros!$A$11:$E$15,5,0),""))</f>
        <v/>
      </c>
      <c r="F4738" s="79" t="str">
        <f t="shared" ref="F4738:F4801" si="372">IF(OR(D4738="",E4738=""),"",ROUND(D4738*E4738,2))</f>
        <v/>
      </c>
      <c r="G4738" s="395"/>
      <c r="H4738" s="91">
        <f t="shared" ref="H4738:H4801" si="373">IF(G4738="Sim",IF(OR(F4738="",D4738="",L4738=""),"",IF(L4738="Sim",ROUND(F4738-D4738,2),0)),0)</f>
        <v>0</v>
      </c>
      <c r="I4738" s="91" t="str">
        <f t="shared" ref="I4738:I4801" si="374">IF(G4738="Sim",0,IF(OR(F4738="",L4738=""),"",F4738))</f>
        <v/>
      </c>
      <c r="J4738" s="91" t="str">
        <f t="shared" ref="J4738:J4801" si="375">IF(G4738="Sim",0,IF(OR(F4738="",D4738="",L4738=""),"",IF(L4738="Sim",ROUND(F4738-D4738,2),0)))</f>
        <v/>
      </c>
      <c r="K4738" s="92" t="str">
        <f>IF(AND(A4738="",B4738="",D4738="",G4738=""),"",IF(AND(A4738&lt;&gt;"",COUNTIF($A$2:$A$5001,A4738)&gt;1),"NUMERO_PC duplicado",IF(B4738="","DATA_PC vazia",IF(NOT(ISNUMBER(B4738)),"DATA_PC invalida",IF(OR(C4738="",C4738="Fora dos ciclos"),"CICLO_PC nao identificado",IF(OR(D4738="",D4738=0),"VALOR_PC vazio ou zero",IF(AND(G4738&lt;&gt;"Sim",G4738&lt;&gt;"Nao",G4738&lt;&gt;""),"PC_PAGO_A_CONTRATADA invalido",IF(AND(C4738&lt;&gt;"C0",IFERROR(INDEX(parametros!$A$2:$A$6,MATCH(C4738,parametros!$B$2:$B$6,0)),"")="Sim",IFERROR(INDEX(parametros!$H$2:$H$6,MATCH(C4738,parametros!$B$2:$B$6,0)),"")=""),"INICIO_EFEITO ausente: PC "&amp;A4738&amp;" - "&amp;C4738,IF(L4738="","EFEITO_PC nao calculado: PC "&amp;A4738&amp;" - "&amp;C4738,"OK")))))))))</f>
        <v/>
      </c>
      <c r="L4738" s="92" t="str">
        <f>IF(AND(A4738="",B4738="",D4738="",G4738=""),"",IF(OR(B4738="",NOT(ISNUMBER(B4738)),C4738="",C4738="Fora dos ciclos"),"",IF(C4738="C0","Nao",IF(IFERROR(INDEX(parametros!$A$2:$A$6,MATCH(C4738,parametros!$B$2:$B$6,0)),"")&lt;&gt;"Sim","Nao",IF(IFERROR(INDEX(parametros!$H$2:$H$6,MATCH(C4738,parametros!$B$2:$B$6,0)),"")="","",IF(B4738&gt;=IFERROR(INDEX(parametros!$H$2:$H$6,MATCH(C4738,parametros!$B$2:$B$6,0)),""),"Sim","Nao"))))))</f>
        <v/>
      </c>
      <c r="T4738" s="156"/>
      <c r="U4738" s="214" t="str">
        <f t="shared" ref="U4738:U4801" si="376">IF(OR($D4738="",$H4738=""),"",ROUND($D4738+$H4738,2))</f>
        <v/>
      </c>
      <c r="V4738" s="212" t="s">
        <v>50</v>
      </c>
      <c r="W4738" s="100" t="s">
        <v>168</v>
      </c>
      <c r="X4738" s="100" t="s">
        <v>169</v>
      </c>
      <c r="Y4738" s="101" t="s">
        <v>170</v>
      </c>
      <c r="Z4738" s="101" t="s">
        <v>171</v>
      </c>
      <c r="AA4738" s="101" t="s">
        <v>50</v>
      </c>
      <c r="AB4738" s="101" t="s">
        <v>172</v>
      </c>
      <c r="AC4738" s="102" t="s">
        <v>173</v>
      </c>
    </row>
    <row r="4739" spans="1:29" ht="25.5" customHeight="1" x14ac:dyDescent="0.35">
      <c r="A4739" s="392"/>
      <c r="B4739" s="393"/>
      <c r="C4739" s="99" t="str">
        <f>IF(B4739="","",IF(NOT(ISNUMBER(B4739)),"DATA_PC invalida",IF(NOT(ISNUMBER(parametros!$C$2)),"Fora dos ciclos",IF(OR(B4739&lt;parametros!$C$2,(YEAR(B4739)-YEAR(parametros!$C$2))*12+MONTH(B4739)-MONTH(parametros!$C$2)&gt;59),"Fora dos ciclos","C"&amp;INT(((YEAR(B4739)-YEAR(parametros!$C$2))*12+MONTH(B4739)-MONTH(parametros!$C$2))/12)))))</f>
        <v/>
      </c>
      <c r="D4739" s="394"/>
      <c r="E4739" s="78" t="str">
        <f>IF(C4739="","",IFERROR(VLOOKUP(C4739,parametros!$A$11:$E$15,5,0),""))</f>
        <v/>
      </c>
      <c r="F4739" s="79" t="str">
        <f t="shared" si="372"/>
        <v/>
      </c>
      <c r="G4739" s="395"/>
      <c r="H4739" s="91">
        <f t="shared" si="373"/>
        <v>0</v>
      </c>
      <c r="I4739" s="91" t="str">
        <f t="shared" si="374"/>
        <v/>
      </c>
      <c r="J4739" s="91" t="str">
        <f t="shared" si="375"/>
        <v/>
      </c>
      <c r="K4739" s="92" t="str">
        <f>IF(AND(A4739="",B4739="",D4739="",G4739=""),"",IF(AND(A4739&lt;&gt;"",COUNTIF($A$2:$A$5001,A4739)&gt;1),"NUMERO_PC duplicado",IF(B4739="","DATA_PC vazia",IF(NOT(ISNUMBER(B4739)),"DATA_PC invalida",IF(OR(C4739="",C4739="Fora dos ciclos"),"CICLO_PC nao identificado",IF(OR(D4739="",D4739=0),"VALOR_PC vazio ou zero",IF(AND(G4739&lt;&gt;"Sim",G4739&lt;&gt;"Nao",G4739&lt;&gt;""),"PC_PAGO_A_CONTRATADA invalido",IF(AND(C4739&lt;&gt;"C0",IFERROR(INDEX(parametros!$A$2:$A$6,MATCH(C4739,parametros!$B$2:$B$6,0)),"")="Sim",IFERROR(INDEX(parametros!$H$2:$H$6,MATCH(C4739,parametros!$B$2:$B$6,0)),"")=""),"INICIO_EFEITO ausente: PC "&amp;A4739&amp;" - "&amp;C4739,IF(L4739="","EFEITO_PC nao calculado: PC "&amp;A4739&amp;" - "&amp;C4739,"OK")))))))))</f>
        <v/>
      </c>
      <c r="L4739" s="92" t="str">
        <f>IF(AND(A4739="",B4739="",D4739="",G4739=""),"",IF(OR(B4739="",NOT(ISNUMBER(B4739)),C4739="",C4739="Fora dos ciclos"),"",IF(C4739="C0","Nao",IF(IFERROR(INDEX(parametros!$A$2:$A$6,MATCH(C4739,parametros!$B$2:$B$6,0)),"")&lt;&gt;"Sim","Nao",IF(IFERROR(INDEX(parametros!$H$2:$H$6,MATCH(C4739,parametros!$B$2:$B$6,0)),"")="","",IF(B4739&gt;=IFERROR(INDEX(parametros!$H$2:$H$6,MATCH(C4739,parametros!$B$2:$B$6,0)),""),"Sim","Nao"))))))</f>
        <v/>
      </c>
      <c r="T4739" s="156"/>
      <c r="U4739" s="214" t="str">
        <f t="shared" si="376"/>
        <v/>
      </c>
      <c r="V4739" s="212" t="s">
        <v>50</v>
      </c>
      <c r="W4739" s="100" t="s">
        <v>168</v>
      </c>
      <c r="X4739" s="100" t="s">
        <v>169</v>
      </c>
      <c r="Y4739" s="101" t="s">
        <v>170</v>
      </c>
      <c r="Z4739" s="101" t="s">
        <v>171</v>
      </c>
      <c r="AA4739" s="101" t="s">
        <v>50</v>
      </c>
      <c r="AB4739" s="101" t="s">
        <v>172</v>
      </c>
      <c r="AC4739" s="102" t="s">
        <v>173</v>
      </c>
    </row>
    <row r="4740" spans="1:29" ht="25.5" customHeight="1" x14ac:dyDescent="0.35">
      <c r="A4740" s="392"/>
      <c r="B4740" s="393"/>
      <c r="C4740" s="99" t="str">
        <f>IF(B4740="","",IF(NOT(ISNUMBER(B4740)),"DATA_PC invalida",IF(NOT(ISNUMBER(parametros!$C$2)),"Fora dos ciclos",IF(OR(B4740&lt;parametros!$C$2,(YEAR(B4740)-YEAR(parametros!$C$2))*12+MONTH(B4740)-MONTH(parametros!$C$2)&gt;59),"Fora dos ciclos","C"&amp;INT(((YEAR(B4740)-YEAR(parametros!$C$2))*12+MONTH(B4740)-MONTH(parametros!$C$2))/12)))))</f>
        <v/>
      </c>
      <c r="D4740" s="394"/>
      <c r="E4740" s="78" t="str">
        <f>IF(C4740="","",IFERROR(VLOOKUP(C4740,parametros!$A$11:$E$15,5,0),""))</f>
        <v/>
      </c>
      <c r="F4740" s="79" t="str">
        <f t="shared" si="372"/>
        <v/>
      </c>
      <c r="G4740" s="395"/>
      <c r="H4740" s="91">
        <f t="shared" si="373"/>
        <v>0</v>
      </c>
      <c r="I4740" s="91" t="str">
        <f t="shared" si="374"/>
        <v/>
      </c>
      <c r="J4740" s="91" t="str">
        <f t="shared" si="375"/>
        <v/>
      </c>
      <c r="K4740" s="92" t="str">
        <f>IF(AND(A4740="",B4740="",D4740="",G4740=""),"",IF(AND(A4740&lt;&gt;"",COUNTIF($A$2:$A$5001,A4740)&gt;1),"NUMERO_PC duplicado",IF(B4740="","DATA_PC vazia",IF(NOT(ISNUMBER(B4740)),"DATA_PC invalida",IF(OR(C4740="",C4740="Fora dos ciclos"),"CICLO_PC nao identificado",IF(OR(D4740="",D4740=0),"VALOR_PC vazio ou zero",IF(AND(G4740&lt;&gt;"Sim",G4740&lt;&gt;"Nao",G4740&lt;&gt;""),"PC_PAGO_A_CONTRATADA invalido",IF(AND(C4740&lt;&gt;"C0",IFERROR(INDEX(parametros!$A$2:$A$6,MATCH(C4740,parametros!$B$2:$B$6,0)),"")="Sim",IFERROR(INDEX(parametros!$H$2:$H$6,MATCH(C4740,parametros!$B$2:$B$6,0)),"")=""),"INICIO_EFEITO ausente: PC "&amp;A4740&amp;" - "&amp;C4740,IF(L4740="","EFEITO_PC nao calculado: PC "&amp;A4740&amp;" - "&amp;C4740,"OK")))))))))</f>
        <v/>
      </c>
      <c r="L4740" s="92" t="str">
        <f>IF(AND(A4740="",B4740="",D4740="",G4740=""),"",IF(OR(B4740="",NOT(ISNUMBER(B4740)),C4740="",C4740="Fora dos ciclos"),"",IF(C4740="C0","Nao",IF(IFERROR(INDEX(parametros!$A$2:$A$6,MATCH(C4740,parametros!$B$2:$B$6,0)),"")&lt;&gt;"Sim","Nao",IF(IFERROR(INDEX(parametros!$H$2:$H$6,MATCH(C4740,parametros!$B$2:$B$6,0)),"")="","",IF(B4740&gt;=IFERROR(INDEX(parametros!$H$2:$H$6,MATCH(C4740,parametros!$B$2:$B$6,0)),""),"Sim","Nao"))))))</f>
        <v/>
      </c>
      <c r="T4740" s="156"/>
      <c r="U4740" s="214" t="str">
        <f t="shared" si="376"/>
        <v/>
      </c>
      <c r="V4740" s="212" t="s">
        <v>50</v>
      </c>
      <c r="W4740" s="100" t="s">
        <v>168</v>
      </c>
      <c r="X4740" s="100" t="s">
        <v>169</v>
      </c>
      <c r="Y4740" s="101" t="s">
        <v>170</v>
      </c>
      <c r="Z4740" s="101" t="s">
        <v>171</v>
      </c>
      <c r="AA4740" s="101" t="s">
        <v>50</v>
      </c>
      <c r="AB4740" s="101" t="s">
        <v>172</v>
      </c>
      <c r="AC4740" s="102" t="s">
        <v>173</v>
      </c>
    </row>
    <row r="4741" spans="1:29" ht="25.5" customHeight="1" x14ac:dyDescent="0.35">
      <c r="A4741" s="392"/>
      <c r="B4741" s="393"/>
      <c r="C4741" s="99" t="str">
        <f>IF(B4741="","",IF(NOT(ISNUMBER(B4741)),"DATA_PC invalida",IF(NOT(ISNUMBER(parametros!$C$2)),"Fora dos ciclos",IF(OR(B4741&lt;parametros!$C$2,(YEAR(B4741)-YEAR(parametros!$C$2))*12+MONTH(B4741)-MONTH(parametros!$C$2)&gt;59),"Fora dos ciclos","C"&amp;INT(((YEAR(B4741)-YEAR(parametros!$C$2))*12+MONTH(B4741)-MONTH(parametros!$C$2))/12)))))</f>
        <v/>
      </c>
      <c r="D4741" s="394"/>
      <c r="E4741" s="78" t="str">
        <f>IF(C4741="","",IFERROR(VLOOKUP(C4741,parametros!$A$11:$E$15,5,0),""))</f>
        <v/>
      </c>
      <c r="F4741" s="79" t="str">
        <f t="shared" si="372"/>
        <v/>
      </c>
      <c r="G4741" s="395"/>
      <c r="H4741" s="91">
        <f t="shared" si="373"/>
        <v>0</v>
      </c>
      <c r="I4741" s="91" t="str">
        <f t="shared" si="374"/>
        <v/>
      </c>
      <c r="J4741" s="91" t="str">
        <f t="shared" si="375"/>
        <v/>
      </c>
      <c r="K4741" s="92" t="str">
        <f>IF(AND(A4741="",B4741="",D4741="",G4741=""),"",IF(AND(A4741&lt;&gt;"",COUNTIF($A$2:$A$5001,A4741)&gt;1),"NUMERO_PC duplicado",IF(B4741="","DATA_PC vazia",IF(NOT(ISNUMBER(B4741)),"DATA_PC invalida",IF(OR(C4741="",C4741="Fora dos ciclos"),"CICLO_PC nao identificado",IF(OR(D4741="",D4741=0),"VALOR_PC vazio ou zero",IF(AND(G4741&lt;&gt;"Sim",G4741&lt;&gt;"Nao",G4741&lt;&gt;""),"PC_PAGO_A_CONTRATADA invalido",IF(AND(C4741&lt;&gt;"C0",IFERROR(INDEX(parametros!$A$2:$A$6,MATCH(C4741,parametros!$B$2:$B$6,0)),"")="Sim",IFERROR(INDEX(parametros!$H$2:$H$6,MATCH(C4741,parametros!$B$2:$B$6,0)),"")=""),"INICIO_EFEITO ausente: PC "&amp;A4741&amp;" - "&amp;C4741,IF(L4741="","EFEITO_PC nao calculado: PC "&amp;A4741&amp;" - "&amp;C4741,"OK")))))))))</f>
        <v/>
      </c>
      <c r="L4741" s="92" t="str">
        <f>IF(AND(A4741="",B4741="",D4741="",G4741=""),"",IF(OR(B4741="",NOT(ISNUMBER(B4741)),C4741="",C4741="Fora dos ciclos"),"",IF(C4741="C0","Nao",IF(IFERROR(INDEX(parametros!$A$2:$A$6,MATCH(C4741,parametros!$B$2:$B$6,0)),"")&lt;&gt;"Sim","Nao",IF(IFERROR(INDEX(parametros!$H$2:$H$6,MATCH(C4741,parametros!$B$2:$B$6,0)),"")="","",IF(B4741&gt;=IFERROR(INDEX(parametros!$H$2:$H$6,MATCH(C4741,parametros!$B$2:$B$6,0)),""),"Sim","Nao"))))))</f>
        <v/>
      </c>
      <c r="T4741" s="156"/>
      <c r="U4741" s="214" t="str">
        <f t="shared" si="376"/>
        <v/>
      </c>
      <c r="V4741" s="212" t="s">
        <v>50</v>
      </c>
      <c r="W4741" s="100" t="s">
        <v>168</v>
      </c>
      <c r="X4741" s="100" t="s">
        <v>169</v>
      </c>
      <c r="Y4741" s="101" t="s">
        <v>170</v>
      </c>
      <c r="Z4741" s="101" t="s">
        <v>171</v>
      </c>
      <c r="AA4741" s="101" t="s">
        <v>50</v>
      </c>
      <c r="AB4741" s="101" t="s">
        <v>172</v>
      </c>
      <c r="AC4741" s="102" t="s">
        <v>173</v>
      </c>
    </row>
    <row r="4742" spans="1:29" ht="25.5" customHeight="1" x14ac:dyDescent="0.35">
      <c r="A4742" s="392"/>
      <c r="B4742" s="393"/>
      <c r="C4742" s="99" t="str">
        <f>IF(B4742="","",IF(NOT(ISNUMBER(B4742)),"DATA_PC invalida",IF(NOT(ISNUMBER(parametros!$C$2)),"Fora dos ciclos",IF(OR(B4742&lt;parametros!$C$2,(YEAR(B4742)-YEAR(parametros!$C$2))*12+MONTH(B4742)-MONTH(parametros!$C$2)&gt;59),"Fora dos ciclos","C"&amp;INT(((YEAR(B4742)-YEAR(parametros!$C$2))*12+MONTH(B4742)-MONTH(parametros!$C$2))/12)))))</f>
        <v/>
      </c>
      <c r="D4742" s="394"/>
      <c r="E4742" s="78" t="str">
        <f>IF(C4742="","",IFERROR(VLOOKUP(C4742,parametros!$A$11:$E$15,5,0),""))</f>
        <v/>
      </c>
      <c r="F4742" s="79" t="str">
        <f t="shared" si="372"/>
        <v/>
      </c>
      <c r="G4742" s="395"/>
      <c r="H4742" s="91">
        <f t="shared" si="373"/>
        <v>0</v>
      </c>
      <c r="I4742" s="91" t="str">
        <f t="shared" si="374"/>
        <v/>
      </c>
      <c r="J4742" s="91" t="str">
        <f t="shared" si="375"/>
        <v/>
      </c>
      <c r="K4742" s="92" t="str">
        <f>IF(AND(A4742="",B4742="",D4742="",G4742=""),"",IF(AND(A4742&lt;&gt;"",COUNTIF($A$2:$A$5001,A4742)&gt;1),"NUMERO_PC duplicado",IF(B4742="","DATA_PC vazia",IF(NOT(ISNUMBER(B4742)),"DATA_PC invalida",IF(OR(C4742="",C4742="Fora dos ciclos"),"CICLO_PC nao identificado",IF(OR(D4742="",D4742=0),"VALOR_PC vazio ou zero",IF(AND(G4742&lt;&gt;"Sim",G4742&lt;&gt;"Nao",G4742&lt;&gt;""),"PC_PAGO_A_CONTRATADA invalido",IF(AND(C4742&lt;&gt;"C0",IFERROR(INDEX(parametros!$A$2:$A$6,MATCH(C4742,parametros!$B$2:$B$6,0)),"")="Sim",IFERROR(INDEX(parametros!$H$2:$H$6,MATCH(C4742,parametros!$B$2:$B$6,0)),"")=""),"INICIO_EFEITO ausente: PC "&amp;A4742&amp;" - "&amp;C4742,IF(L4742="","EFEITO_PC nao calculado: PC "&amp;A4742&amp;" - "&amp;C4742,"OK")))))))))</f>
        <v/>
      </c>
      <c r="L4742" s="92" t="str">
        <f>IF(AND(A4742="",B4742="",D4742="",G4742=""),"",IF(OR(B4742="",NOT(ISNUMBER(B4742)),C4742="",C4742="Fora dos ciclos"),"",IF(C4742="C0","Nao",IF(IFERROR(INDEX(parametros!$A$2:$A$6,MATCH(C4742,parametros!$B$2:$B$6,0)),"")&lt;&gt;"Sim","Nao",IF(IFERROR(INDEX(parametros!$H$2:$H$6,MATCH(C4742,parametros!$B$2:$B$6,0)),"")="","",IF(B4742&gt;=IFERROR(INDEX(parametros!$H$2:$H$6,MATCH(C4742,parametros!$B$2:$B$6,0)),""),"Sim","Nao"))))))</f>
        <v/>
      </c>
      <c r="T4742" s="156"/>
      <c r="U4742" s="214" t="str">
        <f t="shared" si="376"/>
        <v/>
      </c>
      <c r="V4742" s="212" t="s">
        <v>50</v>
      </c>
      <c r="W4742" s="100" t="s">
        <v>168</v>
      </c>
      <c r="X4742" s="100" t="s">
        <v>169</v>
      </c>
      <c r="Y4742" s="101" t="s">
        <v>170</v>
      </c>
      <c r="Z4742" s="101" t="s">
        <v>171</v>
      </c>
      <c r="AA4742" s="101" t="s">
        <v>50</v>
      </c>
      <c r="AB4742" s="101" t="s">
        <v>172</v>
      </c>
      <c r="AC4742" s="102" t="s">
        <v>173</v>
      </c>
    </row>
    <row r="4743" spans="1:29" ht="25.5" customHeight="1" x14ac:dyDescent="0.35">
      <c r="A4743" s="392"/>
      <c r="B4743" s="393"/>
      <c r="C4743" s="99" t="str">
        <f>IF(B4743="","",IF(NOT(ISNUMBER(B4743)),"DATA_PC invalida",IF(NOT(ISNUMBER(parametros!$C$2)),"Fora dos ciclos",IF(OR(B4743&lt;parametros!$C$2,(YEAR(B4743)-YEAR(parametros!$C$2))*12+MONTH(B4743)-MONTH(parametros!$C$2)&gt;59),"Fora dos ciclos","C"&amp;INT(((YEAR(B4743)-YEAR(parametros!$C$2))*12+MONTH(B4743)-MONTH(parametros!$C$2))/12)))))</f>
        <v/>
      </c>
      <c r="D4743" s="394"/>
      <c r="E4743" s="78" t="str">
        <f>IF(C4743="","",IFERROR(VLOOKUP(C4743,parametros!$A$11:$E$15,5,0),""))</f>
        <v/>
      </c>
      <c r="F4743" s="79" t="str">
        <f t="shared" si="372"/>
        <v/>
      </c>
      <c r="G4743" s="395"/>
      <c r="H4743" s="91">
        <f t="shared" si="373"/>
        <v>0</v>
      </c>
      <c r="I4743" s="91" t="str">
        <f t="shared" si="374"/>
        <v/>
      </c>
      <c r="J4743" s="91" t="str">
        <f t="shared" si="375"/>
        <v/>
      </c>
      <c r="K4743" s="92" t="str">
        <f>IF(AND(A4743="",B4743="",D4743="",G4743=""),"",IF(AND(A4743&lt;&gt;"",COUNTIF($A$2:$A$5001,A4743)&gt;1),"NUMERO_PC duplicado",IF(B4743="","DATA_PC vazia",IF(NOT(ISNUMBER(B4743)),"DATA_PC invalida",IF(OR(C4743="",C4743="Fora dos ciclos"),"CICLO_PC nao identificado",IF(OR(D4743="",D4743=0),"VALOR_PC vazio ou zero",IF(AND(G4743&lt;&gt;"Sim",G4743&lt;&gt;"Nao",G4743&lt;&gt;""),"PC_PAGO_A_CONTRATADA invalido",IF(AND(C4743&lt;&gt;"C0",IFERROR(INDEX(parametros!$A$2:$A$6,MATCH(C4743,parametros!$B$2:$B$6,0)),"")="Sim",IFERROR(INDEX(parametros!$H$2:$H$6,MATCH(C4743,parametros!$B$2:$B$6,0)),"")=""),"INICIO_EFEITO ausente: PC "&amp;A4743&amp;" - "&amp;C4743,IF(L4743="","EFEITO_PC nao calculado: PC "&amp;A4743&amp;" - "&amp;C4743,"OK")))))))))</f>
        <v/>
      </c>
      <c r="L4743" s="92" t="str">
        <f>IF(AND(A4743="",B4743="",D4743="",G4743=""),"",IF(OR(B4743="",NOT(ISNUMBER(B4743)),C4743="",C4743="Fora dos ciclos"),"",IF(C4743="C0","Nao",IF(IFERROR(INDEX(parametros!$A$2:$A$6,MATCH(C4743,parametros!$B$2:$B$6,0)),"")&lt;&gt;"Sim","Nao",IF(IFERROR(INDEX(parametros!$H$2:$H$6,MATCH(C4743,parametros!$B$2:$B$6,0)),"")="","",IF(B4743&gt;=IFERROR(INDEX(parametros!$H$2:$H$6,MATCH(C4743,parametros!$B$2:$B$6,0)),""),"Sim","Nao"))))))</f>
        <v/>
      </c>
      <c r="T4743" s="156"/>
      <c r="U4743" s="214" t="str">
        <f t="shared" si="376"/>
        <v/>
      </c>
      <c r="V4743" s="212" t="s">
        <v>50</v>
      </c>
      <c r="W4743" s="100" t="s">
        <v>168</v>
      </c>
      <c r="X4743" s="100" t="s">
        <v>169</v>
      </c>
      <c r="Y4743" s="101" t="s">
        <v>170</v>
      </c>
      <c r="Z4743" s="101" t="s">
        <v>171</v>
      </c>
      <c r="AA4743" s="101" t="s">
        <v>50</v>
      </c>
      <c r="AB4743" s="101" t="s">
        <v>172</v>
      </c>
      <c r="AC4743" s="102" t="s">
        <v>173</v>
      </c>
    </row>
    <row r="4744" spans="1:29" ht="25.5" customHeight="1" x14ac:dyDescent="0.35">
      <c r="A4744" s="392"/>
      <c r="B4744" s="393"/>
      <c r="C4744" s="99" t="str">
        <f>IF(B4744="","",IF(NOT(ISNUMBER(B4744)),"DATA_PC invalida",IF(NOT(ISNUMBER(parametros!$C$2)),"Fora dos ciclos",IF(OR(B4744&lt;parametros!$C$2,(YEAR(B4744)-YEAR(parametros!$C$2))*12+MONTH(B4744)-MONTH(parametros!$C$2)&gt;59),"Fora dos ciclos","C"&amp;INT(((YEAR(B4744)-YEAR(parametros!$C$2))*12+MONTH(B4744)-MONTH(parametros!$C$2))/12)))))</f>
        <v/>
      </c>
      <c r="D4744" s="394"/>
      <c r="E4744" s="78" t="str">
        <f>IF(C4744="","",IFERROR(VLOOKUP(C4744,parametros!$A$11:$E$15,5,0),""))</f>
        <v/>
      </c>
      <c r="F4744" s="79" t="str">
        <f t="shared" si="372"/>
        <v/>
      </c>
      <c r="G4744" s="395"/>
      <c r="H4744" s="91">
        <f t="shared" si="373"/>
        <v>0</v>
      </c>
      <c r="I4744" s="91" t="str">
        <f t="shared" si="374"/>
        <v/>
      </c>
      <c r="J4744" s="91" t="str">
        <f t="shared" si="375"/>
        <v/>
      </c>
      <c r="K4744" s="92" t="str">
        <f>IF(AND(A4744="",B4744="",D4744="",G4744=""),"",IF(AND(A4744&lt;&gt;"",COUNTIF($A$2:$A$5001,A4744)&gt;1),"NUMERO_PC duplicado",IF(B4744="","DATA_PC vazia",IF(NOT(ISNUMBER(B4744)),"DATA_PC invalida",IF(OR(C4744="",C4744="Fora dos ciclos"),"CICLO_PC nao identificado",IF(OR(D4744="",D4744=0),"VALOR_PC vazio ou zero",IF(AND(G4744&lt;&gt;"Sim",G4744&lt;&gt;"Nao",G4744&lt;&gt;""),"PC_PAGO_A_CONTRATADA invalido",IF(AND(C4744&lt;&gt;"C0",IFERROR(INDEX(parametros!$A$2:$A$6,MATCH(C4744,parametros!$B$2:$B$6,0)),"")="Sim",IFERROR(INDEX(parametros!$H$2:$H$6,MATCH(C4744,parametros!$B$2:$B$6,0)),"")=""),"INICIO_EFEITO ausente: PC "&amp;A4744&amp;" - "&amp;C4744,IF(L4744="","EFEITO_PC nao calculado: PC "&amp;A4744&amp;" - "&amp;C4744,"OK")))))))))</f>
        <v/>
      </c>
      <c r="L4744" s="92" t="str">
        <f>IF(AND(A4744="",B4744="",D4744="",G4744=""),"",IF(OR(B4744="",NOT(ISNUMBER(B4744)),C4744="",C4744="Fora dos ciclos"),"",IF(C4744="C0","Nao",IF(IFERROR(INDEX(parametros!$A$2:$A$6,MATCH(C4744,parametros!$B$2:$B$6,0)),"")&lt;&gt;"Sim","Nao",IF(IFERROR(INDEX(parametros!$H$2:$H$6,MATCH(C4744,parametros!$B$2:$B$6,0)),"")="","",IF(B4744&gt;=IFERROR(INDEX(parametros!$H$2:$H$6,MATCH(C4744,parametros!$B$2:$B$6,0)),""),"Sim","Nao"))))))</f>
        <v/>
      </c>
      <c r="T4744" s="156"/>
      <c r="U4744" s="214" t="str">
        <f t="shared" si="376"/>
        <v/>
      </c>
      <c r="V4744" s="212" t="s">
        <v>50</v>
      </c>
      <c r="W4744" s="100" t="s">
        <v>168</v>
      </c>
      <c r="X4744" s="100" t="s">
        <v>169</v>
      </c>
      <c r="Y4744" s="101" t="s">
        <v>170</v>
      </c>
      <c r="Z4744" s="101" t="s">
        <v>171</v>
      </c>
      <c r="AA4744" s="101" t="s">
        <v>50</v>
      </c>
      <c r="AB4744" s="101" t="s">
        <v>172</v>
      </c>
      <c r="AC4744" s="102" t="s">
        <v>173</v>
      </c>
    </row>
    <row r="4745" spans="1:29" ht="25.5" customHeight="1" x14ac:dyDescent="0.35">
      <c r="A4745" s="392"/>
      <c r="B4745" s="393"/>
      <c r="C4745" s="99" t="str">
        <f>IF(B4745="","",IF(NOT(ISNUMBER(B4745)),"DATA_PC invalida",IF(NOT(ISNUMBER(parametros!$C$2)),"Fora dos ciclos",IF(OR(B4745&lt;parametros!$C$2,(YEAR(B4745)-YEAR(parametros!$C$2))*12+MONTH(B4745)-MONTH(parametros!$C$2)&gt;59),"Fora dos ciclos","C"&amp;INT(((YEAR(B4745)-YEAR(parametros!$C$2))*12+MONTH(B4745)-MONTH(parametros!$C$2))/12)))))</f>
        <v/>
      </c>
      <c r="D4745" s="394"/>
      <c r="E4745" s="78" t="str">
        <f>IF(C4745="","",IFERROR(VLOOKUP(C4745,parametros!$A$11:$E$15,5,0),""))</f>
        <v/>
      </c>
      <c r="F4745" s="79" t="str">
        <f t="shared" si="372"/>
        <v/>
      </c>
      <c r="G4745" s="395"/>
      <c r="H4745" s="91">
        <f t="shared" si="373"/>
        <v>0</v>
      </c>
      <c r="I4745" s="91" t="str">
        <f t="shared" si="374"/>
        <v/>
      </c>
      <c r="J4745" s="91" t="str">
        <f t="shared" si="375"/>
        <v/>
      </c>
      <c r="K4745" s="92" t="str">
        <f>IF(AND(A4745="",B4745="",D4745="",G4745=""),"",IF(AND(A4745&lt;&gt;"",COUNTIF($A$2:$A$5001,A4745)&gt;1),"NUMERO_PC duplicado",IF(B4745="","DATA_PC vazia",IF(NOT(ISNUMBER(B4745)),"DATA_PC invalida",IF(OR(C4745="",C4745="Fora dos ciclos"),"CICLO_PC nao identificado",IF(OR(D4745="",D4745=0),"VALOR_PC vazio ou zero",IF(AND(G4745&lt;&gt;"Sim",G4745&lt;&gt;"Nao",G4745&lt;&gt;""),"PC_PAGO_A_CONTRATADA invalido",IF(AND(C4745&lt;&gt;"C0",IFERROR(INDEX(parametros!$A$2:$A$6,MATCH(C4745,parametros!$B$2:$B$6,0)),"")="Sim",IFERROR(INDEX(parametros!$H$2:$H$6,MATCH(C4745,parametros!$B$2:$B$6,0)),"")=""),"INICIO_EFEITO ausente: PC "&amp;A4745&amp;" - "&amp;C4745,IF(L4745="","EFEITO_PC nao calculado: PC "&amp;A4745&amp;" - "&amp;C4745,"OK")))))))))</f>
        <v/>
      </c>
      <c r="L4745" s="92" t="str">
        <f>IF(AND(A4745="",B4745="",D4745="",G4745=""),"",IF(OR(B4745="",NOT(ISNUMBER(B4745)),C4745="",C4745="Fora dos ciclos"),"",IF(C4745="C0","Nao",IF(IFERROR(INDEX(parametros!$A$2:$A$6,MATCH(C4745,parametros!$B$2:$B$6,0)),"")&lt;&gt;"Sim","Nao",IF(IFERROR(INDEX(parametros!$H$2:$H$6,MATCH(C4745,parametros!$B$2:$B$6,0)),"")="","",IF(B4745&gt;=IFERROR(INDEX(parametros!$H$2:$H$6,MATCH(C4745,parametros!$B$2:$B$6,0)),""),"Sim","Nao"))))))</f>
        <v/>
      </c>
      <c r="T4745" s="156"/>
      <c r="U4745" s="214" t="str">
        <f t="shared" si="376"/>
        <v/>
      </c>
      <c r="V4745" s="212" t="s">
        <v>50</v>
      </c>
      <c r="W4745" s="100" t="s">
        <v>168</v>
      </c>
      <c r="X4745" s="100" t="s">
        <v>169</v>
      </c>
      <c r="Y4745" s="101" t="s">
        <v>170</v>
      </c>
      <c r="Z4745" s="101" t="s">
        <v>171</v>
      </c>
      <c r="AA4745" s="101" t="s">
        <v>50</v>
      </c>
      <c r="AB4745" s="101" t="s">
        <v>172</v>
      </c>
      <c r="AC4745" s="102" t="s">
        <v>173</v>
      </c>
    </row>
    <row r="4746" spans="1:29" ht="25.5" customHeight="1" x14ac:dyDescent="0.35">
      <c r="A4746" s="392"/>
      <c r="B4746" s="393"/>
      <c r="C4746" s="99" t="str">
        <f>IF(B4746="","",IF(NOT(ISNUMBER(B4746)),"DATA_PC invalida",IF(NOT(ISNUMBER(parametros!$C$2)),"Fora dos ciclos",IF(OR(B4746&lt;parametros!$C$2,(YEAR(B4746)-YEAR(parametros!$C$2))*12+MONTH(B4746)-MONTH(parametros!$C$2)&gt;59),"Fora dos ciclos","C"&amp;INT(((YEAR(B4746)-YEAR(parametros!$C$2))*12+MONTH(B4746)-MONTH(parametros!$C$2))/12)))))</f>
        <v/>
      </c>
      <c r="D4746" s="394"/>
      <c r="E4746" s="78" t="str">
        <f>IF(C4746="","",IFERROR(VLOOKUP(C4746,parametros!$A$11:$E$15,5,0),""))</f>
        <v/>
      </c>
      <c r="F4746" s="79" t="str">
        <f t="shared" si="372"/>
        <v/>
      </c>
      <c r="G4746" s="395"/>
      <c r="H4746" s="91">
        <f t="shared" si="373"/>
        <v>0</v>
      </c>
      <c r="I4746" s="91" t="str">
        <f t="shared" si="374"/>
        <v/>
      </c>
      <c r="J4746" s="91" t="str">
        <f t="shared" si="375"/>
        <v/>
      </c>
      <c r="K4746" s="92" t="str">
        <f>IF(AND(A4746="",B4746="",D4746="",G4746=""),"",IF(AND(A4746&lt;&gt;"",COUNTIF($A$2:$A$5001,A4746)&gt;1),"NUMERO_PC duplicado",IF(B4746="","DATA_PC vazia",IF(NOT(ISNUMBER(B4746)),"DATA_PC invalida",IF(OR(C4746="",C4746="Fora dos ciclos"),"CICLO_PC nao identificado",IF(OR(D4746="",D4746=0),"VALOR_PC vazio ou zero",IF(AND(G4746&lt;&gt;"Sim",G4746&lt;&gt;"Nao",G4746&lt;&gt;""),"PC_PAGO_A_CONTRATADA invalido",IF(AND(C4746&lt;&gt;"C0",IFERROR(INDEX(parametros!$A$2:$A$6,MATCH(C4746,parametros!$B$2:$B$6,0)),"")="Sim",IFERROR(INDEX(parametros!$H$2:$H$6,MATCH(C4746,parametros!$B$2:$B$6,0)),"")=""),"INICIO_EFEITO ausente: PC "&amp;A4746&amp;" - "&amp;C4746,IF(L4746="","EFEITO_PC nao calculado: PC "&amp;A4746&amp;" - "&amp;C4746,"OK")))))))))</f>
        <v/>
      </c>
      <c r="L4746" s="92" t="str">
        <f>IF(AND(A4746="",B4746="",D4746="",G4746=""),"",IF(OR(B4746="",NOT(ISNUMBER(B4746)),C4746="",C4746="Fora dos ciclos"),"",IF(C4746="C0","Nao",IF(IFERROR(INDEX(parametros!$A$2:$A$6,MATCH(C4746,parametros!$B$2:$B$6,0)),"")&lt;&gt;"Sim","Nao",IF(IFERROR(INDEX(parametros!$H$2:$H$6,MATCH(C4746,parametros!$B$2:$B$6,0)),"")="","",IF(B4746&gt;=IFERROR(INDEX(parametros!$H$2:$H$6,MATCH(C4746,parametros!$B$2:$B$6,0)),""),"Sim","Nao"))))))</f>
        <v/>
      </c>
      <c r="T4746" s="156"/>
      <c r="U4746" s="214" t="str">
        <f t="shared" si="376"/>
        <v/>
      </c>
      <c r="V4746" s="212" t="s">
        <v>50</v>
      </c>
      <c r="W4746" s="100" t="s">
        <v>168</v>
      </c>
      <c r="X4746" s="100" t="s">
        <v>169</v>
      </c>
      <c r="Y4746" s="101" t="s">
        <v>170</v>
      </c>
      <c r="Z4746" s="101" t="s">
        <v>171</v>
      </c>
      <c r="AA4746" s="101" t="s">
        <v>50</v>
      </c>
      <c r="AB4746" s="101" t="s">
        <v>172</v>
      </c>
      <c r="AC4746" s="102" t="s">
        <v>173</v>
      </c>
    </row>
    <row r="4747" spans="1:29" ht="25.5" customHeight="1" x14ac:dyDescent="0.35">
      <c r="A4747" s="392"/>
      <c r="B4747" s="393"/>
      <c r="C4747" s="99" t="str">
        <f>IF(B4747="","",IF(NOT(ISNUMBER(B4747)),"DATA_PC invalida",IF(NOT(ISNUMBER(parametros!$C$2)),"Fora dos ciclos",IF(OR(B4747&lt;parametros!$C$2,(YEAR(B4747)-YEAR(parametros!$C$2))*12+MONTH(B4747)-MONTH(parametros!$C$2)&gt;59),"Fora dos ciclos","C"&amp;INT(((YEAR(B4747)-YEAR(parametros!$C$2))*12+MONTH(B4747)-MONTH(parametros!$C$2))/12)))))</f>
        <v/>
      </c>
      <c r="D4747" s="394"/>
      <c r="E4747" s="78" t="str">
        <f>IF(C4747="","",IFERROR(VLOOKUP(C4747,parametros!$A$11:$E$15,5,0),""))</f>
        <v/>
      </c>
      <c r="F4747" s="79" t="str">
        <f t="shared" si="372"/>
        <v/>
      </c>
      <c r="G4747" s="395"/>
      <c r="H4747" s="91">
        <f t="shared" si="373"/>
        <v>0</v>
      </c>
      <c r="I4747" s="91" t="str">
        <f t="shared" si="374"/>
        <v/>
      </c>
      <c r="J4747" s="91" t="str">
        <f t="shared" si="375"/>
        <v/>
      </c>
      <c r="K4747" s="92" t="str">
        <f>IF(AND(A4747="",B4747="",D4747="",G4747=""),"",IF(AND(A4747&lt;&gt;"",COUNTIF($A$2:$A$5001,A4747)&gt;1),"NUMERO_PC duplicado",IF(B4747="","DATA_PC vazia",IF(NOT(ISNUMBER(B4747)),"DATA_PC invalida",IF(OR(C4747="",C4747="Fora dos ciclos"),"CICLO_PC nao identificado",IF(OR(D4747="",D4747=0),"VALOR_PC vazio ou zero",IF(AND(G4747&lt;&gt;"Sim",G4747&lt;&gt;"Nao",G4747&lt;&gt;""),"PC_PAGO_A_CONTRATADA invalido",IF(AND(C4747&lt;&gt;"C0",IFERROR(INDEX(parametros!$A$2:$A$6,MATCH(C4747,parametros!$B$2:$B$6,0)),"")="Sim",IFERROR(INDEX(parametros!$H$2:$H$6,MATCH(C4747,parametros!$B$2:$B$6,0)),"")=""),"INICIO_EFEITO ausente: PC "&amp;A4747&amp;" - "&amp;C4747,IF(L4747="","EFEITO_PC nao calculado: PC "&amp;A4747&amp;" - "&amp;C4747,"OK")))))))))</f>
        <v/>
      </c>
      <c r="L4747" s="92" t="str">
        <f>IF(AND(A4747="",B4747="",D4747="",G4747=""),"",IF(OR(B4747="",NOT(ISNUMBER(B4747)),C4747="",C4747="Fora dos ciclos"),"",IF(C4747="C0","Nao",IF(IFERROR(INDEX(parametros!$A$2:$A$6,MATCH(C4747,parametros!$B$2:$B$6,0)),"")&lt;&gt;"Sim","Nao",IF(IFERROR(INDEX(parametros!$H$2:$H$6,MATCH(C4747,parametros!$B$2:$B$6,0)),"")="","",IF(B4747&gt;=IFERROR(INDEX(parametros!$H$2:$H$6,MATCH(C4747,parametros!$B$2:$B$6,0)),""),"Sim","Nao"))))))</f>
        <v/>
      </c>
      <c r="T4747" s="156"/>
      <c r="U4747" s="214" t="str">
        <f t="shared" si="376"/>
        <v/>
      </c>
      <c r="V4747" s="212" t="s">
        <v>50</v>
      </c>
      <c r="W4747" s="100" t="s">
        <v>168</v>
      </c>
      <c r="X4747" s="100" t="s">
        <v>169</v>
      </c>
      <c r="Y4747" s="101" t="s">
        <v>170</v>
      </c>
      <c r="Z4747" s="101" t="s">
        <v>171</v>
      </c>
      <c r="AA4747" s="101" t="s">
        <v>50</v>
      </c>
      <c r="AB4747" s="101" t="s">
        <v>172</v>
      </c>
      <c r="AC4747" s="102" t="s">
        <v>173</v>
      </c>
    </row>
    <row r="4748" spans="1:29" ht="25.5" customHeight="1" x14ac:dyDescent="0.35">
      <c r="A4748" s="392"/>
      <c r="B4748" s="393"/>
      <c r="C4748" s="99" t="str">
        <f>IF(B4748="","",IF(NOT(ISNUMBER(B4748)),"DATA_PC invalida",IF(NOT(ISNUMBER(parametros!$C$2)),"Fora dos ciclos",IF(OR(B4748&lt;parametros!$C$2,(YEAR(B4748)-YEAR(parametros!$C$2))*12+MONTH(B4748)-MONTH(parametros!$C$2)&gt;59),"Fora dos ciclos","C"&amp;INT(((YEAR(B4748)-YEAR(parametros!$C$2))*12+MONTH(B4748)-MONTH(parametros!$C$2))/12)))))</f>
        <v/>
      </c>
      <c r="D4748" s="394"/>
      <c r="E4748" s="78" t="str">
        <f>IF(C4748="","",IFERROR(VLOOKUP(C4748,parametros!$A$11:$E$15,5,0),""))</f>
        <v/>
      </c>
      <c r="F4748" s="79" t="str">
        <f t="shared" si="372"/>
        <v/>
      </c>
      <c r="G4748" s="395"/>
      <c r="H4748" s="91">
        <f t="shared" si="373"/>
        <v>0</v>
      </c>
      <c r="I4748" s="91" t="str">
        <f t="shared" si="374"/>
        <v/>
      </c>
      <c r="J4748" s="91" t="str">
        <f t="shared" si="375"/>
        <v/>
      </c>
      <c r="K4748" s="92" t="str">
        <f>IF(AND(A4748="",B4748="",D4748="",G4748=""),"",IF(AND(A4748&lt;&gt;"",COUNTIF($A$2:$A$5001,A4748)&gt;1),"NUMERO_PC duplicado",IF(B4748="","DATA_PC vazia",IF(NOT(ISNUMBER(B4748)),"DATA_PC invalida",IF(OR(C4748="",C4748="Fora dos ciclos"),"CICLO_PC nao identificado",IF(OR(D4748="",D4748=0),"VALOR_PC vazio ou zero",IF(AND(G4748&lt;&gt;"Sim",G4748&lt;&gt;"Nao",G4748&lt;&gt;""),"PC_PAGO_A_CONTRATADA invalido",IF(AND(C4748&lt;&gt;"C0",IFERROR(INDEX(parametros!$A$2:$A$6,MATCH(C4748,parametros!$B$2:$B$6,0)),"")="Sim",IFERROR(INDEX(parametros!$H$2:$H$6,MATCH(C4748,parametros!$B$2:$B$6,0)),"")=""),"INICIO_EFEITO ausente: PC "&amp;A4748&amp;" - "&amp;C4748,IF(L4748="","EFEITO_PC nao calculado: PC "&amp;A4748&amp;" - "&amp;C4748,"OK")))))))))</f>
        <v/>
      </c>
      <c r="L4748" s="92" t="str">
        <f>IF(AND(A4748="",B4748="",D4748="",G4748=""),"",IF(OR(B4748="",NOT(ISNUMBER(B4748)),C4748="",C4748="Fora dos ciclos"),"",IF(C4748="C0","Nao",IF(IFERROR(INDEX(parametros!$A$2:$A$6,MATCH(C4748,parametros!$B$2:$B$6,0)),"")&lt;&gt;"Sim","Nao",IF(IFERROR(INDEX(parametros!$H$2:$H$6,MATCH(C4748,parametros!$B$2:$B$6,0)),"")="","",IF(B4748&gt;=IFERROR(INDEX(parametros!$H$2:$H$6,MATCH(C4748,parametros!$B$2:$B$6,0)),""),"Sim","Nao"))))))</f>
        <v/>
      </c>
      <c r="T4748" s="156"/>
      <c r="U4748" s="214" t="str">
        <f t="shared" si="376"/>
        <v/>
      </c>
      <c r="V4748" s="212" t="s">
        <v>50</v>
      </c>
      <c r="W4748" s="100" t="s">
        <v>168</v>
      </c>
      <c r="X4748" s="100" t="s">
        <v>169</v>
      </c>
      <c r="Y4748" s="101" t="s">
        <v>170</v>
      </c>
      <c r="Z4748" s="101" t="s">
        <v>171</v>
      </c>
      <c r="AA4748" s="101" t="s">
        <v>50</v>
      </c>
      <c r="AB4748" s="101" t="s">
        <v>172</v>
      </c>
      <c r="AC4748" s="102" t="s">
        <v>173</v>
      </c>
    </row>
    <row r="4749" spans="1:29" ht="25.5" customHeight="1" x14ac:dyDescent="0.35">
      <c r="A4749" s="392"/>
      <c r="B4749" s="393"/>
      <c r="C4749" s="99" t="str">
        <f>IF(B4749="","",IF(NOT(ISNUMBER(B4749)),"DATA_PC invalida",IF(NOT(ISNUMBER(parametros!$C$2)),"Fora dos ciclos",IF(OR(B4749&lt;parametros!$C$2,(YEAR(B4749)-YEAR(parametros!$C$2))*12+MONTH(B4749)-MONTH(parametros!$C$2)&gt;59),"Fora dos ciclos","C"&amp;INT(((YEAR(B4749)-YEAR(parametros!$C$2))*12+MONTH(B4749)-MONTH(parametros!$C$2))/12)))))</f>
        <v/>
      </c>
      <c r="D4749" s="394"/>
      <c r="E4749" s="78" t="str">
        <f>IF(C4749="","",IFERROR(VLOOKUP(C4749,parametros!$A$11:$E$15,5,0),""))</f>
        <v/>
      </c>
      <c r="F4749" s="79" t="str">
        <f t="shared" si="372"/>
        <v/>
      </c>
      <c r="G4749" s="395"/>
      <c r="H4749" s="91">
        <f t="shared" si="373"/>
        <v>0</v>
      </c>
      <c r="I4749" s="91" t="str">
        <f t="shared" si="374"/>
        <v/>
      </c>
      <c r="J4749" s="91" t="str">
        <f t="shared" si="375"/>
        <v/>
      </c>
      <c r="K4749" s="92" t="str">
        <f>IF(AND(A4749="",B4749="",D4749="",G4749=""),"",IF(AND(A4749&lt;&gt;"",COUNTIF($A$2:$A$5001,A4749)&gt;1),"NUMERO_PC duplicado",IF(B4749="","DATA_PC vazia",IF(NOT(ISNUMBER(B4749)),"DATA_PC invalida",IF(OR(C4749="",C4749="Fora dos ciclos"),"CICLO_PC nao identificado",IF(OR(D4749="",D4749=0),"VALOR_PC vazio ou zero",IF(AND(G4749&lt;&gt;"Sim",G4749&lt;&gt;"Nao",G4749&lt;&gt;""),"PC_PAGO_A_CONTRATADA invalido",IF(AND(C4749&lt;&gt;"C0",IFERROR(INDEX(parametros!$A$2:$A$6,MATCH(C4749,parametros!$B$2:$B$6,0)),"")="Sim",IFERROR(INDEX(parametros!$H$2:$H$6,MATCH(C4749,parametros!$B$2:$B$6,0)),"")=""),"INICIO_EFEITO ausente: PC "&amp;A4749&amp;" - "&amp;C4749,IF(L4749="","EFEITO_PC nao calculado: PC "&amp;A4749&amp;" - "&amp;C4749,"OK")))))))))</f>
        <v/>
      </c>
      <c r="L4749" s="92" t="str">
        <f>IF(AND(A4749="",B4749="",D4749="",G4749=""),"",IF(OR(B4749="",NOT(ISNUMBER(B4749)),C4749="",C4749="Fora dos ciclos"),"",IF(C4749="C0","Nao",IF(IFERROR(INDEX(parametros!$A$2:$A$6,MATCH(C4749,parametros!$B$2:$B$6,0)),"")&lt;&gt;"Sim","Nao",IF(IFERROR(INDEX(parametros!$H$2:$H$6,MATCH(C4749,parametros!$B$2:$B$6,0)),"")="","",IF(B4749&gt;=IFERROR(INDEX(parametros!$H$2:$H$6,MATCH(C4749,parametros!$B$2:$B$6,0)),""),"Sim","Nao"))))))</f>
        <v/>
      </c>
      <c r="T4749" s="156"/>
      <c r="U4749" s="214" t="str">
        <f t="shared" si="376"/>
        <v/>
      </c>
      <c r="V4749" s="212" t="s">
        <v>50</v>
      </c>
      <c r="W4749" s="100" t="s">
        <v>168</v>
      </c>
      <c r="X4749" s="100" t="s">
        <v>169</v>
      </c>
      <c r="Y4749" s="101" t="s">
        <v>170</v>
      </c>
      <c r="Z4749" s="101" t="s">
        <v>171</v>
      </c>
      <c r="AA4749" s="101" t="s">
        <v>50</v>
      </c>
      <c r="AB4749" s="101" t="s">
        <v>172</v>
      </c>
      <c r="AC4749" s="102" t="s">
        <v>173</v>
      </c>
    </row>
    <row r="4750" spans="1:29" ht="25.5" customHeight="1" x14ac:dyDescent="0.35">
      <c r="A4750" s="392"/>
      <c r="B4750" s="393"/>
      <c r="C4750" s="99" t="str">
        <f>IF(B4750="","",IF(NOT(ISNUMBER(B4750)),"DATA_PC invalida",IF(NOT(ISNUMBER(parametros!$C$2)),"Fora dos ciclos",IF(OR(B4750&lt;parametros!$C$2,(YEAR(B4750)-YEAR(parametros!$C$2))*12+MONTH(B4750)-MONTH(parametros!$C$2)&gt;59),"Fora dos ciclos","C"&amp;INT(((YEAR(B4750)-YEAR(parametros!$C$2))*12+MONTH(B4750)-MONTH(parametros!$C$2))/12)))))</f>
        <v/>
      </c>
      <c r="D4750" s="394"/>
      <c r="E4750" s="78" t="str">
        <f>IF(C4750="","",IFERROR(VLOOKUP(C4750,parametros!$A$11:$E$15,5,0),""))</f>
        <v/>
      </c>
      <c r="F4750" s="79" t="str">
        <f t="shared" si="372"/>
        <v/>
      </c>
      <c r="G4750" s="395"/>
      <c r="H4750" s="91">
        <f t="shared" si="373"/>
        <v>0</v>
      </c>
      <c r="I4750" s="91" t="str">
        <f t="shared" si="374"/>
        <v/>
      </c>
      <c r="J4750" s="91" t="str">
        <f t="shared" si="375"/>
        <v/>
      </c>
      <c r="K4750" s="92" t="str">
        <f>IF(AND(A4750="",B4750="",D4750="",G4750=""),"",IF(AND(A4750&lt;&gt;"",COUNTIF($A$2:$A$5001,A4750)&gt;1),"NUMERO_PC duplicado",IF(B4750="","DATA_PC vazia",IF(NOT(ISNUMBER(B4750)),"DATA_PC invalida",IF(OR(C4750="",C4750="Fora dos ciclos"),"CICLO_PC nao identificado",IF(OR(D4750="",D4750=0),"VALOR_PC vazio ou zero",IF(AND(G4750&lt;&gt;"Sim",G4750&lt;&gt;"Nao",G4750&lt;&gt;""),"PC_PAGO_A_CONTRATADA invalido",IF(AND(C4750&lt;&gt;"C0",IFERROR(INDEX(parametros!$A$2:$A$6,MATCH(C4750,parametros!$B$2:$B$6,0)),"")="Sim",IFERROR(INDEX(parametros!$H$2:$H$6,MATCH(C4750,parametros!$B$2:$B$6,0)),"")=""),"INICIO_EFEITO ausente: PC "&amp;A4750&amp;" - "&amp;C4750,IF(L4750="","EFEITO_PC nao calculado: PC "&amp;A4750&amp;" - "&amp;C4750,"OK")))))))))</f>
        <v/>
      </c>
      <c r="L4750" s="92" t="str">
        <f>IF(AND(A4750="",B4750="",D4750="",G4750=""),"",IF(OR(B4750="",NOT(ISNUMBER(B4750)),C4750="",C4750="Fora dos ciclos"),"",IF(C4750="C0","Nao",IF(IFERROR(INDEX(parametros!$A$2:$A$6,MATCH(C4750,parametros!$B$2:$B$6,0)),"")&lt;&gt;"Sim","Nao",IF(IFERROR(INDEX(parametros!$H$2:$H$6,MATCH(C4750,parametros!$B$2:$B$6,0)),"")="","",IF(B4750&gt;=IFERROR(INDEX(parametros!$H$2:$H$6,MATCH(C4750,parametros!$B$2:$B$6,0)),""),"Sim","Nao"))))))</f>
        <v/>
      </c>
      <c r="T4750" s="156"/>
      <c r="U4750" s="214" t="str">
        <f t="shared" si="376"/>
        <v/>
      </c>
      <c r="V4750" s="212" t="s">
        <v>50</v>
      </c>
      <c r="W4750" s="100" t="s">
        <v>168</v>
      </c>
      <c r="X4750" s="100" t="s">
        <v>169</v>
      </c>
      <c r="Y4750" s="101" t="s">
        <v>170</v>
      </c>
      <c r="Z4750" s="101" t="s">
        <v>171</v>
      </c>
      <c r="AA4750" s="101" t="s">
        <v>50</v>
      </c>
      <c r="AB4750" s="101" t="s">
        <v>172</v>
      </c>
      <c r="AC4750" s="102" t="s">
        <v>173</v>
      </c>
    </row>
    <row r="4751" spans="1:29" ht="25.5" customHeight="1" x14ac:dyDescent="0.35">
      <c r="A4751" s="392"/>
      <c r="B4751" s="393"/>
      <c r="C4751" s="99" t="str">
        <f>IF(B4751="","",IF(NOT(ISNUMBER(B4751)),"DATA_PC invalida",IF(NOT(ISNUMBER(parametros!$C$2)),"Fora dos ciclos",IF(OR(B4751&lt;parametros!$C$2,(YEAR(B4751)-YEAR(parametros!$C$2))*12+MONTH(B4751)-MONTH(parametros!$C$2)&gt;59),"Fora dos ciclos","C"&amp;INT(((YEAR(B4751)-YEAR(parametros!$C$2))*12+MONTH(B4751)-MONTH(parametros!$C$2))/12)))))</f>
        <v/>
      </c>
      <c r="D4751" s="394"/>
      <c r="E4751" s="78" t="str">
        <f>IF(C4751="","",IFERROR(VLOOKUP(C4751,parametros!$A$11:$E$15,5,0),""))</f>
        <v/>
      </c>
      <c r="F4751" s="79" t="str">
        <f t="shared" si="372"/>
        <v/>
      </c>
      <c r="G4751" s="395"/>
      <c r="H4751" s="91">
        <f t="shared" si="373"/>
        <v>0</v>
      </c>
      <c r="I4751" s="91" t="str">
        <f t="shared" si="374"/>
        <v/>
      </c>
      <c r="J4751" s="91" t="str">
        <f t="shared" si="375"/>
        <v/>
      </c>
      <c r="K4751" s="92" t="str">
        <f>IF(AND(A4751="",B4751="",D4751="",G4751=""),"",IF(AND(A4751&lt;&gt;"",COUNTIF($A$2:$A$5001,A4751)&gt;1),"NUMERO_PC duplicado",IF(B4751="","DATA_PC vazia",IF(NOT(ISNUMBER(B4751)),"DATA_PC invalida",IF(OR(C4751="",C4751="Fora dos ciclos"),"CICLO_PC nao identificado",IF(OR(D4751="",D4751=0),"VALOR_PC vazio ou zero",IF(AND(G4751&lt;&gt;"Sim",G4751&lt;&gt;"Nao",G4751&lt;&gt;""),"PC_PAGO_A_CONTRATADA invalido",IF(AND(C4751&lt;&gt;"C0",IFERROR(INDEX(parametros!$A$2:$A$6,MATCH(C4751,parametros!$B$2:$B$6,0)),"")="Sim",IFERROR(INDEX(parametros!$H$2:$H$6,MATCH(C4751,parametros!$B$2:$B$6,0)),"")=""),"INICIO_EFEITO ausente: PC "&amp;A4751&amp;" - "&amp;C4751,IF(L4751="","EFEITO_PC nao calculado: PC "&amp;A4751&amp;" - "&amp;C4751,"OK")))))))))</f>
        <v/>
      </c>
      <c r="L4751" s="92" t="str">
        <f>IF(AND(A4751="",B4751="",D4751="",G4751=""),"",IF(OR(B4751="",NOT(ISNUMBER(B4751)),C4751="",C4751="Fora dos ciclos"),"",IF(C4751="C0","Nao",IF(IFERROR(INDEX(parametros!$A$2:$A$6,MATCH(C4751,parametros!$B$2:$B$6,0)),"")&lt;&gt;"Sim","Nao",IF(IFERROR(INDEX(parametros!$H$2:$H$6,MATCH(C4751,parametros!$B$2:$B$6,0)),"")="","",IF(B4751&gt;=IFERROR(INDEX(parametros!$H$2:$H$6,MATCH(C4751,parametros!$B$2:$B$6,0)),""),"Sim","Nao"))))))</f>
        <v/>
      </c>
      <c r="T4751" s="156"/>
      <c r="U4751" s="214" t="str">
        <f t="shared" si="376"/>
        <v/>
      </c>
      <c r="V4751" s="212" t="s">
        <v>50</v>
      </c>
      <c r="W4751" s="100" t="s">
        <v>168</v>
      </c>
      <c r="X4751" s="100" t="s">
        <v>169</v>
      </c>
      <c r="Y4751" s="101" t="s">
        <v>170</v>
      </c>
      <c r="Z4751" s="101" t="s">
        <v>171</v>
      </c>
      <c r="AA4751" s="101" t="s">
        <v>50</v>
      </c>
      <c r="AB4751" s="101" t="s">
        <v>172</v>
      </c>
      <c r="AC4751" s="102" t="s">
        <v>173</v>
      </c>
    </row>
    <row r="4752" spans="1:29" ht="25.5" customHeight="1" x14ac:dyDescent="0.35">
      <c r="A4752" s="392"/>
      <c r="B4752" s="393"/>
      <c r="C4752" s="99" t="str">
        <f>IF(B4752="","",IF(NOT(ISNUMBER(B4752)),"DATA_PC invalida",IF(NOT(ISNUMBER(parametros!$C$2)),"Fora dos ciclos",IF(OR(B4752&lt;parametros!$C$2,(YEAR(B4752)-YEAR(parametros!$C$2))*12+MONTH(B4752)-MONTH(parametros!$C$2)&gt;59),"Fora dos ciclos","C"&amp;INT(((YEAR(B4752)-YEAR(parametros!$C$2))*12+MONTH(B4752)-MONTH(parametros!$C$2))/12)))))</f>
        <v/>
      </c>
      <c r="D4752" s="394"/>
      <c r="E4752" s="78" t="str">
        <f>IF(C4752="","",IFERROR(VLOOKUP(C4752,parametros!$A$11:$E$15,5,0),""))</f>
        <v/>
      </c>
      <c r="F4752" s="79" t="str">
        <f t="shared" si="372"/>
        <v/>
      </c>
      <c r="G4752" s="395"/>
      <c r="H4752" s="91">
        <f t="shared" si="373"/>
        <v>0</v>
      </c>
      <c r="I4752" s="91" t="str">
        <f t="shared" si="374"/>
        <v/>
      </c>
      <c r="J4752" s="91" t="str">
        <f t="shared" si="375"/>
        <v/>
      </c>
      <c r="K4752" s="92" t="str">
        <f>IF(AND(A4752="",B4752="",D4752="",G4752=""),"",IF(AND(A4752&lt;&gt;"",COUNTIF($A$2:$A$5001,A4752)&gt;1),"NUMERO_PC duplicado",IF(B4752="","DATA_PC vazia",IF(NOT(ISNUMBER(B4752)),"DATA_PC invalida",IF(OR(C4752="",C4752="Fora dos ciclos"),"CICLO_PC nao identificado",IF(OR(D4752="",D4752=0),"VALOR_PC vazio ou zero",IF(AND(G4752&lt;&gt;"Sim",G4752&lt;&gt;"Nao",G4752&lt;&gt;""),"PC_PAGO_A_CONTRATADA invalido",IF(AND(C4752&lt;&gt;"C0",IFERROR(INDEX(parametros!$A$2:$A$6,MATCH(C4752,parametros!$B$2:$B$6,0)),"")="Sim",IFERROR(INDEX(parametros!$H$2:$H$6,MATCH(C4752,parametros!$B$2:$B$6,0)),"")=""),"INICIO_EFEITO ausente: PC "&amp;A4752&amp;" - "&amp;C4752,IF(L4752="","EFEITO_PC nao calculado: PC "&amp;A4752&amp;" - "&amp;C4752,"OK")))))))))</f>
        <v/>
      </c>
      <c r="L4752" s="92" t="str">
        <f>IF(AND(A4752="",B4752="",D4752="",G4752=""),"",IF(OR(B4752="",NOT(ISNUMBER(B4752)),C4752="",C4752="Fora dos ciclos"),"",IF(C4752="C0","Nao",IF(IFERROR(INDEX(parametros!$A$2:$A$6,MATCH(C4752,parametros!$B$2:$B$6,0)),"")&lt;&gt;"Sim","Nao",IF(IFERROR(INDEX(parametros!$H$2:$H$6,MATCH(C4752,parametros!$B$2:$B$6,0)),"")="","",IF(B4752&gt;=IFERROR(INDEX(parametros!$H$2:$H$6,MATCH(C4752,parametros!$B$2:$B$6,0)),""),"Sim","Nao"))))))</f>
        <v/>
      </c>
      <c r="T4752" s="156"/>
      <c r="U4752" s="214" t="str">
        <f t="shared" si="376"/>
        <v/>
      </c>
      <c r="V4752" s="212" t="s">
        <v>50</v>
      </c>
      <c r="W4752" s="100" t="s">
        <v>168</v>
      </c>
      <c r="X4752" s="100" t="s">
        <v>169</v>
      </c>
      <c r="Y4752" s="101" t="s">
        <v>170</v>
      </c>
      <c r="Z4752" s="101" t="s">
        <v>171</v>
      </c>
      <c r="AA4752" s="101" t="s">
        <v>50</v>
      </c>
      <c r="AB4752" s="101" t="s">
        <v>172</v>
      </c>
      <c r="AC4752" s="102" t="s">
        <v>173</v>
      </c>
    </row>
    <row r="4753" spans="1:29" ht="25.5" customHeight="1" x14ac:dyDescent="0.35">
      <c r="A4753" s="392"/>
      <c r="B4753" s="393"/>
      <c r="C4753" s="99" t="str">
        <f>IF(B4753="","",IF(NOT(ISNUMBER(B4753)),"DATA_PC invalida",IF(NOT(ISNUMBER(parametros!$C$2)),"Fora dos ciclos",IF(OR(B4753&lt;parametros!$C$2,(YEAR(B4753)-YEAR(parametros!$C$2))*12+MONTH(B4753)-MONTH(parametros!$C$2)&gt;59),"Fora dos ciclos","C"&amp;INT(((YEAR(B4753)-YEAR(parametros!$C$2))*12+MONTH(B4753)-MONTH(parametros!$C$2))/12)))))</f>
        <v/>
      </c>
      <c r="D4753" s="394"/>
      <c r="E4753" s="78" t="str">
        <f>IF(C4753="","",IFERROR(VLOOKUP(C4753,parametros!$A$11:$E$15,5,0),""))</f>
        <v/>
      </c>
      <c r="F4753" s="79" t="str">
        <f t="shared" si="372"/>
        <v/>
      </c>
      <c r="G4753" s="395"/>
      <c r="H4753" s="91">
        <f t="shared" si="373"/>
        <v>0</v>
      </c>
      <c r="I4753" s="91" t="str">
        <f t="shared" si="374"/>
        <v/>
      </c>
      <c r="J4753" s="91" t="str">
        <f t="shared" si="375"/>
        <v/>
      </c>
      <c r="K4753" s="92" t="str">
        <f>IF(AND(A4753="",B4753="",D4753="",G4753=""),"",IF(AND(A4753&lt;&gt;"",COUNTIF($A$2:$A$5001,A4753)&gt;1),"NUMERO_PC duplicado",IF(B4753="","DATA_PC vazia",IF(NOT(ISNUMBER(B4753)),"DATA_PC invalida",IF(OR(C4753="",C4753="Fora dos ciclos"),"CICLO_PC nao identificado",IF(OR(D4753="",D4753=0),"VALOR_PC vazio ou zero",IF(AND(G4753&lt;&gt;"Sim",G4753&lt;&gt;"Nao",G4753&lt;&gt;""),"PC_PAGO_A_CONTRATADA invalido",IF(AND(C4753&lt;&gt;"C0",IFERROR(INDEX(parametros!$A$2:$A$6,MATCH(C4753,parametros!$B$2:$B$6,0)),"")="Sim",IFERROR(INDEX(parametros!$H$2:$H$6,MATCH(C4753,parametros!$B$2:$B$6,0)),"")=""),"INICIO_EFEITO ausente: PC "&amp;A4753&amp;" - "&amp;C4753,IF(L4753="","EFEITO_PC nao calculado: PC "&amp;A4753&amp;" - "&amp;C4753,"OK")))))))))</f>
        <v/>
      </c>
      <c r="L4753" s="92" t="str">
        <f>IF(AND(A4753="",B4753="",D4753="",G4753=""),"",IF(OR(B4753="",NOT(ISNUMBER(B4753)),C4753="",C4753="Fora dos ciclos"),"",IF(C4753="C0","Nao",IF(IFERROR(INDEX(parametros!$A$2:$A$6,MATCH(C4753,parametros!$B$2:$B$6,0)),"")&lt;&gt;"Sim","Nao",IF(IFERROR(INDEX(parametros!$H$2:$H$6,MATCH(C4753,parametros!$B$2:$B$6,0)),"")="","",IF(B4753&gt;=IFERROR(INDEX(parametros!$H$2:$H$6,MATCH(C4753,parametros!$B$2:$B$6,0)),""),"Sim","Nao"))))))</f>
        <v/>
      </c>
      <c r="T4753" s="156"/>
      <c r="U4753" s="214" t="str">
        <f t="shared" si="376"/>
        <v/>
      </c>
      <c r="V4753" s="212" t="s">
        <v>50</v>
      </c>
      <c r="W4753" s="100" t="s">
        <v>168</v>
      </c>
      <c r="X4753" s="100" t="s">
        <v>169</v>
      </c>
      <c r="Y4753" s="101" t="s">
        <v>170</v>
      </c>
      <c r="Z4753" s="101" t="s">
        <v>171</v>
      </c>
      <c r="AA4753" s="101" t="s">
        <v>50</v>
      </c>
      <c r="AB4753" s="101" t="s">
        <v>172</v>
      </c>
      <c r="AC4753" s="102" t="s">
        <v>173</v>
      </c>
    </row>
    <row r="4754" spans="1:29" ht="25.5" customHeight="1" x14ac:dyDescent="0.35">
      <c r="A4754" s="392"/>
      <c r="B4754" s="393"/>
      <c r="C4754" s="99" t="str">
        <f>IF(B4754="","",IF(NOT(ISNUMBER(B4754)),"DATA_PC invalida",IF(NOT(ISNUMBER(parametros!$C$2)),"Fora dos ciclos",IF(OR(B4754&lt;parametros!$C$2,(YEAR(B4754)-YEAR(parametros!$C$2))*12+MONTH(B4754)-MONTH(parametros!$C$2)&gt;59),"Fora dos ciclos","C"&amp;INT(((YEAR(B4754)-YEAR(parametros!$C$2))*12+MONTH(B4754)-MONTH(parametros!$C$2))/12)))))</f>
        <v/>
      </c>
      <c r="D4754" s="394"/>
      <c r="E4754" s="78" t="str">
        <f>IF(C4754="","",IFERROR(VLOOKUP(C4754,parametros!$A$11:$E$15,5,0),""))</f>
        <v/>
      </c>
      <c r="F4754" s="79" t="str">
        <f t="shared" si="372"/>
        <v/>
      </c>
      <c r="G4754" s="395"/>
      <c r="H4754" s="91">
        <f t="shared" si="373"/>
        <v>0</v>
      </c>
      <c r="I4754" s="91" t="str">
        <f t="shared" si="374"/>
        <v/>
      </c>
      <c r="J4754" s="91" t="str">
        <f t="shared" si="375"/>
        <v/>
      </c>
      <c r="K4754" s="92" t="str">
        <f>IF(AND(A4754="",B4754="",D4754="",G4754=""),"",IF(AND(A4754&lt;&gt;"",COUNTIF($A$2:$A$5001,A4754)&gt;1),"NUMERO_PC duplicado",IF(B4754="","DATA_PC vazia",IF(NOT(ISNUMBER(B4754)),"DATA_PC invalida",IF(OR(C4754="",C4754="Fora dos ciclos"),"CICLO_PC nao identificado",IF(OR(D4754="",D4754=0),"VALOR_PC vazio ou zero",IF(AND(G4754&lt;&gt;"Sim",G4754&lt;&gt;"Nao",G4754&lt;&gt;""),"PC_PAGO_A_CONTRATADA invalido",IF(AND(C4754&lt;&gt;"C0",IFERROR(INDEX(parametros!$A$2:$A$6,MATCH(C4754,parametros!$B$2:$B$6,0)),"")="Sim",IFERROR(INDEX(parametros!$H$2:$H$6,MATCH(C4754,parametros!$B$2:$B$6,0)),"")=""),"INICIO_EFEITO ausente: PC "&amp;A4754&amp;" - "&amp;C4754,IF(L4754="","EFEITO_PC nao calculado: PC "&amp;A4754&amp;" - "&amp;C4754,"OK")))))))))</f>
        <v/>
      </c>
      <c r="L4754" s="92" t="str">
        <f>IF(AND(A4754="",B4754="",D4754="",G4754=""),"",IF(OR(B4754="",NOT(ISNUMBER(B4754)),C4754="",C4754="Fora dos ciclos"),"",IF(C4754="C0","Nao",IF(IFERROR(INDEX(parametros!$A$2:$A$6,MATCH(C4754,parametros!$B$2:$B$6,0)),"")&lt;&gt;"Sim","Nao",IF(IFERROR(INDEX(parametros!$H$2:$H$6,MATCH(C4754,parametros!$B$2:$B$6,0)),"")="","",IF(B4754&gt;=IFERROR(INDEX(parametros!$H$2:$H$6,MATCH(C4754,parametros!$B$2:$B$6,0)),""),"Sim","Nao"))))))</f>
        <v/>
      </c>
      <c r="T4754" s="156"/>
      <c r="U4754" s="214" t="str">
        <f t="shared" si="376"/>
        <v/>
      </c>
      <c r="V4754" s="212" t="s">
        <v>50</v>
      </c>
      <c r="W4754" s="100" t="s">
        <v>168</v>
      </c>
      <c r="X4754" s="100" t="s">
        <v>169</v>
      </c>
      <c r="Y4754" s="101" t="s">
        <v>170</v>
      </c>
      <c r="Z4754" s="101" t="s">
        <v>171</v>
      </c>
      <c r="AA4754" s="101" t="s">
        <v>50</v>
      </c>
      <c r="AB4754" s="101" t="s">
        <v>172</v>
      </c>
      <c r="AC4754" s="102" t="s">
        <v>173</v>
      </c>
    </row>
    <row r="4755" spans="1:29" ht="25.5" customHeight="1" x14ac:dyDescent="0.35">
      <c r="A4755" s="392"/>
      <c r="B4755" s="393"/>
      <c r="C4755" s="99" t="str">
        <f>IF(B4755="","",IF(NOT(ISNUMBER(B4755)),"DATA_PC invalida",IF(NOT(ISNUMBER(parametros!$C$2)),"Fora dos ciclos",IF(OR(B4755&lt;parametros!$C$2,(YEAR(B4755)-YEAR(parametros!$C$2))*12+MONTH(B4755)-MONTH(parametros!$C$2)&gt;59),"Fora dos ciclos","C"&amp;INT(((YEAR(B4755)-YEAR(parametros!$C$2))*12+MONTH(B4755)-MONTH(parametros!$C$2))/12)))))</f>
        <v/>
      </c>
      <c r="D4755" s="394"/>
      <c r="E4755" s="78" t="str">
        <f>IF(C4755="","",IFERROR(VLOOKUP(C4755,parametros!$A$11:$E$15,5,0),""))</f>
        <v/>
      </c>
      <c r="F4755" s="79" t="str">
        <f t="shared" si="372"/>
        <v/>
      </c>
      <c r="G4755" s="395"/>
      <c r="H4755" s="91">
        <f t="shared" si="373"/>
        <v>0</v>
      </c>
      <c r="I4755" s="91" t="str">
        <f t="shared" si="374"/>
        <v/>
      </c>
      <c r="J4755" s="91" t="str">
        <f t="shared" si="375"/>
        <v/>
      </c>
      <c r="K4755" s="92" t="str">
        <f>IF(AND(A4755="",B4755="",D4755="",G4755=""),"",IF(AND(A4755&lt;&gt;"",COUNTIF($A$2:$A$5001,A4755)&gt;1),"NUMERO_PC duplicado",IF(B4755="","DATA_PC vazia",IF(NOT(ISNUMBER(B4755)),"DATA_PC invalida",IF(OR(C4755="",C4755="Fora dos ciclos"),"CICLO_PC nao identificado",IF(OR(D4755="",D4755=0),"VALOR_PC vazio ou zero",IF(AND(G4755&lt;&gt;"Sim",G4755&lt;&gt;"Nao",G4755&lt;&gt;""),"PC_PAGO_A_CONTRATADA invalido",IF(AND(C4755&lt;&gt;"C0",IFERROR(INDEX(parametros!$A$2:$A$6,MATCH(C4755,parametros!$B$2:$B$6,0)),"")="Sim",IFERROR(INDEX(parametros!$H$2:$H$6,MATCH(C4755,parametros!$B$2:$B$6,0)),"")=""),"INICIO_EFEITO ausente: PC "&amp;A4755&amp;" - "&amp;C4755,IF(L4755="","EFEITO_PC nao calculado: PC "&amp;A4755&amp;" - "&amp;C4755,"OK")))))))))</f>
        <v/>
      </c>
      <c r="L4755" s="92" t="str">
        <f>IF(AND(A4755="",B4755="",D4755="",G4755=""),"",IF(OR(B4755="",NOT(ISNUMBER(B4755)),C4755="",C4755="Fora dos ciclos"),"",IF(C4755="C0","Nao",IF(IFERROR(INDEX(parametros!$A$2:$A$6,MATCH(C4755,parametros!$B$2:$B$6,0)),"")&lt;&gt;"Sim","Nao",IF(IFERROR(INDEX(parametros!$H$2:$H$6,MATCH(C4755,parametros!$B$2:$B$6,0)),"")="","",IF(B4755&gt;=IFERROR(INDEX(parametros!$H$2:$H$6,MATCH(C4755,parametros!$B$2:$B$6,0)),""),"Sim","Nao"))))))</f>
        <v/>
      </c>
      <c r="T4755" s="156"/>
      <c r="U4755" s="214" t="str">
        <f t="shared" si="376"/>
        <v/>
      </c>
      <c r="V4755" s="212" t="s">
        <v>50</v>
      </c>
      <c r="W4755" s="100" t="s">
        <v>168</v>
      </c>
      <c r="X4755" s="100" t="s">
        <v>169</v>
      </c>
      <c r="Y4755" s="101" t="s">
        <v>170</v>
      </c>
      <c r="Z4755" s="101" t="s">
        <v>171</v>
      </c>
      <c r="AA4755" s="101" t="s">
        <v>50</v>
      </c>
      <c r="AB4755" s="101" t="s">
        <v>172</v>
      </c>
      <c r="AC4755" s="102" t="s">
        <v>173</v>
      </c>
    </row>
    <row r="4756" spans="1:29" ht="25.5" customHeight="1" x14ac:dyDescent="0.35">
      <c r="A4756" s="392"/>
      <c r="B4756" s="393"/>
      <c r="C4756" s="99" t="str">
        <f>IF(B4756="","",IF(NOT(ISNUMBER(B4756)),"DATA_PC invalida",IF(NOT(ISNUMBER(parametros!$C$2)),"Fora dos ciclos",IF(OR(B4756&lt;parametros!$C$2,(YEAR(B4756)-YEAR(parametros!$C$2))*12+MONTH(B4756)-MONTH(parametros!$C$2)&gt;59),"Fora dos ciclos","C"&amp;INT(((YEAR(B4756)-YEAR(parametros!$C$2))*12+MONTH(B4756)-MONTH(parametros!$C$2))/12)))))</f>
        <v/>
      </c>
      <c r="D4756" s="394"/>
      <c r="E4756" s="78" t="str">
        <f>IF(C4756="","",IFERROR(VLOOKUP(C4756,parametros!$A$11:$E$15,5,0),""))</f>
        <v/>
      </c>
      <c r="F4756" s="79" t="str">
        <f t="shared" si="372"/>
        <v/>
      </c>
      <c r="G4756" s="395"/>
      <c r="H4756" s="91">
        <f t="shared" si="373"/>
        <v>0</v>
      </c>
      <c r="I4756" s="91" t="str">
        <f t="shared" si="374"/>
        <v/>
      </c>
      <c r="J4756" s="91" t="str">
        <f t="shared" si="375"/>
        <v/>
      </c>
      <c r="K4756" s="92" t="str">
        <f>IF(AND(A4756="",B4756="",D4756="",G4756=""),"",IF(AND(A4756&lt;&gt;"",COUNTIF($A$2:$A$5001,A4756)&gt;1),"NUMERO_PC duplicado",IF(B4756="","DATA_PC vazia",IF(NOT(ISNUMBER(B4756)),"DATA_PC invalida",IF(OR(C4756="",C4756="Fora dos ciclos"),"CICLO_PC nao identificado",IF(OR(D4756="",D4756=0),"VALOR_PC vazio ou zero",IF(AND(G4756&lt;&gt;"Sim",G4756&lt;&gt;"Nao",G4756&lt;&gt;""),"PC_PAGO_A_CONTRATADA invalido",IF(AND(C4756&lt;&gt;"C0",IFERROR(INDEX(parametros!$A$2:$A$6,MATCH(C4756,parametros!$B$2:$B$6,0)),"")="Sim",IFERROR(INDEX(parametros!$H$2:$H$6,MATCH(C4756,parametros!$B$2:$B$6,0)),"")=""),"INICIO_EFEITO ausente: PC "&amp;A4756&amp;" - "&amp;C4756,IF(L4756="","EFEITO_PC nao calculado: PC "&amp;A4756&amp;" - "&amp;C4756,"OK")))))))))</f>
        <v/>
      </c>
      <c r="L4756" s="92" t="str">
        <f>IF(AND(A4756="",B4756="",D4756="",G4756=""),"",IF(OR(B4756="",NOT(ISNUMBER(B4756)),C4756="",C4756="Fora dos ciclos"),"",IF(C4756="C0","Nao",IF(IFERROR(INDEX(parametros!$A$2:$A$6,MATCH(C4756,parametros!$B$2:$B$6,0)),"")&lt;&gt;"Sim","Nao",IF(IFERROR(INDEX(parametros!$H$2:$H$6,MATCH(C4756,parametros!$B$2:$B$6,0)),"")="","",IF(B4756&gt;=IFERROR(INDEX(parametros!$H$2:$H$6,MATCH(C4756,parametros!$B$2:$B$6,0)),""),"Sim","Nao"))))))</f>
        <v/>
      </c>
      <c r="T4756" s="156"/>
      <c r="U4756" s="214" t="str">
        <f t="shared" si="376"/>
        <v/>
      </c>
      <c r="V4756" s="212" t="s">
        <v>50</v>
      </c>
      <c r="W4756" s="100" t="s">
        <v>168</v>
      </c>
      <c r="X4756" s="100" t="s">
        <v>169</v>
      </c>
      <c r="Y4756" s="101" t="s">
        <v>170</v>
      </c>
      <c r="Z4756" s="101" t="s">
        <v>171</v>
      </c>
      <c r="AA4756" s="101" t="s">
        <v>50</v>
      </c>
      <c r="AB4756" s="101" t="s">
        <v>172</v>
      </c>
      <c r="AC4756" s="102" t="s">
        <v>173</v>
      </c>
    </row>
    <row r="4757" spans="1:29" ht="25.5" customHeight="1" x14ac:dyDescent="0.35">
      <c r="A4757" s="392"/>
      <c r="B4757" s="393"/>
      <c r="C4757" s="99" t="str">
        <f>IF(B4757="","",IF(NOT(ISNUMBER(B4757)),"DATA_PC invalida",IF(NOT(ISNUMBER(parametros!$C$2)),"Fora dos ciclos",IF(OR(B4757&lt;parametros!$C$2,(YEAR(B4757)-YEAR(parametros!$C$2))*12+MONTH(B4757)-MONTH(parametros!$C$2)&gt;59),"Fora dos ciclos","C"&amp;INT(((YEAR(B4757)-YEAR(parametros!$C$2))*12+MONTH(B4757)-MONTH(parametros!$C$2))/12)))))</f>
        <v/>
      </c>
      <c r="D4757" s="394"/>
      <c r="E4757" s="78" t="str">
        <f>IF(C4757="","",IFERROR(VLOOKUP(C4757,parametros!$A$11:$E$15,5,0),""))</f>
        <v/>
      </c>
      <c r="F4757" s="79" t="str">
        <f t="shared" si="372"/>
        <v/>
      </c>
      <c r="G4757" s="395"/>
      <c r="H4757" s="91">
        <f t="shared" si="373"/>
        <v>0</v>
      </c>
      <c r="I4757" s="91" t="str">
        <f t="shared" si="374"/>
        <v/>
      </c>
      <c r="J4757" s="91" t="str">
        <f t="shared" si="375"/>
        <v/>
      </c>
      <c r="K4757" s="92" t="str">
        <f>IF(AND(A4757="",B4757="",D4757="",G4757=""),"",IF(AND(A4757&lt;&gt;"",COUNTIF($A$2:$A$5001,A4757)&gt;1),"NUMERO_PC duplicado",IF(B4757="","DATA_PC vazia",IF(NOT(ISNUMBER(B4757)),"DATA_PC invalida",IF(OR(C4757="",C4757="Fora dos ciclos"),"CICLO_PC nao identificado",IF(OR(D4757="",D4757=0),"VALOR_PC vazio ou zero",IF(AND(G4757&lt;&gt;"Sim",G4757&lt;&gt;"Nao",G4757&lt;&gt;""),"PC_PAGO_A_CONTRATADA invalido",IF(AND(C4757&lt;&gt;"C0",IFERROR(INDEX(parametros!$A$2:$A$6,MATCH(C4757,parametros!$B$2:$B$6,0)),"")="Sim",IFERROR(INDEX(parametros!$H$2:$H$6,MATCH(C4757,parametros!$B$2:$B$6,0)),"")=""),"INICIO_EFEITO ausente: PC "&amp;A4757&amp;" - "&amp;C4757,IF(L4757="","EFEITO_PC nao calculado: PC "&amp;A4757&amp;" - "&amp;C4757,"OK")))))))))</f>
        <v/>
      </c>
      <c r="L4757" s="92" t="str">
        <f>IF(AND(A4757="",B4757="",D4757="",G4757=""),"",IF(OR(B4757="",NOT(ISNUMBER(B4757)),C4757="",C4757="Fora dos ciclos"),"",IF(C4757="C0","Nao",IF(IFERROR(INDEX(parametros!$A$2:$A$6,MATCH(C4757,parametros!$B$2:$B$6,0)),"")&lt;&gt;"Sim","Nao",IF(IFERROR(INDEX(parametros!$H$2:$H$6,MATCH(C4757,parametros!$B$2:$B$6,0)),"")="","",IF(B4757&gt;=IFERROR(INDEX(parametros!$H$2:$H$6,MATCH(C4757,parametros!$B$2:$B$6,0)),""),"Sim","Nao"))))))</f>
        <v/>
      </c>
      <c r="T4757" s="156"/>
      <c r="U4757" s="214" t="str">
        <f t="shared" si="376"/>
        <v/>
      </c>
      <c r="V4757" s="212" t="s">
        <v>50</v>
      </c>
      <c r="W4757" s="100" t="s">
        <v>168</v>
      </c>
      <c r="X4757" s="100" t="s">
        <v>169</v>
      </c>
      <c r="Y4757" s="101" t="s">
        <v>170</v>
      </c>
      <c r="Z4757" s="101" t="s">
        <v>171</v>
      </c>
      <c r="AA4757" s="101" t="s">
        <v>50</v>
      </c>
      <c r="AB4757" s="101" t="s">
        <v>172</v>
      </c>
      <c r="AC4757" s="102" t="s">
        <v>173</v>
      </c>
    </row>
    <row r="4758" spans="1:29" ht="25.5" customHeight="1" x14ac:dyDescent="0.35">
      <c r="A4758" s="392"/>
      <c r="B4758" s="393"/>
      <c r="C4758" s="99" t="str">
        <f>IF(B4758="","",IF(NOT(ISNUMBER(B4758)),"DATA_PC invalida",IF(NOT(ISNUMBER(parametros!$C$2)),"Fora dos ciclos",IF(OR(B4758&lt;parametros!$C$2,(YEAR(B4758)-YEAR(parametros!$C$2))*12+MONTH(B4758)-MONTH(parametros!$C$2)&gt;59),"Fora dos ciclos","C"&amp;INT(((YEAR(B4758)-YEAR(parametros!$C$2))*12+MONTH(B4758)-MONTH(parametros!$C$2))/12)))))</f>
        <v/>
      </c>
      <c r="D4758" s="394"/>
      <c r="E4758" s="78" t="str">
        <f>IF(C4758="","",IFERROR(VLOOKUP(C4758,parametros!$A$11:$E$15,5,0),""))</f>
        <v/>
      </c>
      <c r="F4758" s="79" t="str">
        <f t="shared" si="372"/>
        <v/>
      </c>
      <c r="G4758" s="395"/>
      <c r="H4758" s="91">
        <f t="shared" si="373"/>
        <v>0</v>
      </c>
      <c r="I4758" s="91" t="str">
        <f t="shared" si="374"/>
        <v/>
      </c>
      <c r="J4758" s="91" t="str">
        <f t="shared" si="375"/>
        <v/>
      </c>
      <c r="K4758" s="92" t="str">
        <f>IF(AND(A4758="",B4758="",D4758="",G4758=""),"",IF(AND(A4758&lt;&gt;"",COUNTIF($A$2:$A$5001,A4758)&gt;1),"NUMERO_PC duplicado",IF(B4758="","DATA_PC vazia",IF(NOT(ISNUMBER(B4758)),"DATA_PC invalida",IF(OR(C4758="",C4758="Fora dos ciclos"),"CICLO_PC nao identificado",IF(OR(D4758="",D4758=0),"VALOR_PC vazio ou zero",IF(AND(G4758&lt;&gt;"Sim",G4758&lt;&gt;"Nao",G4758&lt;&gt;""),"PC_PAGO_A_CONTRATADA invalido",IF(AND(C4758&lt;&gt;"C0",IFERROR(INDEX(parametros!$A$2:$A$6,MATCH(C4758,parametros!$B$2:$B$6,0)),"")="Sim",IFERROR(INDEX(parametros!$H$2:$H$6,MATCH(C4758,parametros!$B$2:$B$6,0)),"")=""),"INICIO_EFEITO ausente: PC "&amp;A4758&amp;" - "&amp;C4758,IF(L4758="","EFEITO_PC nao calculado: PC "&amp;A4758&amp;" - "&amp;C4758,"OK")))))))))</f>
        <v/>
      </c>
      <c r="L4758" s="92" t="str">
        <f>IF(AND(A4758="",B4758="",D4758="",G4758=""),"",IF(OR(B4758="",NOT(ISNUMBER(B4758)),C4758="",C4758="Fora dos ciclos"),"",IF(C4758="C0","Nao",IF(IFERROR(INDEX(parametros!$A$2:$A$6,MATCH(C4758,parametros!$B$2:$B$6,0)),"")&lt;&gt;"Sim","Nao",IF(IFERROR(INDEX(parametros!$H$2:$H$6,MATCH(C4758,parametros!$B$2:$B$6,0)),"")="","",IF(B4758&gt;=IFERROR(INDEX(parametros!$H$2:$H$6,MATCH(C4758,parametros!$B$2:$B$6,0)),""),"Sim","Nao"))))))</f>
        <v/>
      </c>
      <c r="T4758" s="156"/>
      <c r="U4758" s="214" t="str">
        <f t="shared" si="376"/>
        <v/>
      </c>
      <c r="V4758" s="212" t="s">
        <v>50</v>
      </c>
      <c r="W4758" s="100" t="s">
        <v>168</v>
      </c>
      <c r="X4758" s="100" t="s">
        <v>169</v>
      </c>
      <c r="Y4758" s="101" t="s">
        <v>170</v>
      </c>
      <c r="Z4758" s="101" t="s">
        <v>171</v>
      </c>
      <c r="AA4758" s="101" t="s">
        <v>50</v>
      </c>
      <c r="AB4758" s="101" t="s">
        <v>172</v>
      </c>
      <c r="AC4758" s="102" t="s">
        <v>173</v>
      </c>
    </row>
    <row r="4759" spans="1:29" ht="25.5" customHeight="1" x14ac:dyDescent="0.35">
      <c r="A4759" s="392"/>
      <c r="B4759" s="393"/>
      <c r="C4759" s="99" t="str">
        <f>IF(B4759="","",IF(NOT(ISNUMBER(B4759)),"DATA_PC invalida",IF(NOT(ISNUMBER(parametros!$C$2)),"Fora dos ciclos",IF(OR(B4759&lt;parametros!$C$2,(YEAR(B4759)-YEAR(parametros!$C$2))*12+MONTH(B4759)-MONTH(parametros!$C$2)&gt;59),"Fora dos ciclos","C"&amp;INT(((YEAR(B4759)-YEAR(parametros!$C$2))*12+MONTH(B4759)-MONTH(parametros!$C$2))/12)))))</f>
        <v/>
      </c>
      <c r="D4759" s="394"/>
      <c r="E4759" s="78" t="str">
        <f>IF(C4759="","",IFERROR(VLOOKUP(C4759,parametros!$A$11:$E$15,5,0),""))</f>
        <v/>
      </c>
      <c r="F4759" s="79" t="str">
        <f t="shared" si="372"/>
        <v/>
      </c>
      <c r="G4759" s="395"/>
      <c r="H4759" s="91">
        <f t="shared" si="373"/>
        <v>0</v>
      </c>
      <c r="I4759" s="91" t="str">
        <f t="shared" si="374"/>
        <v/>
      </c>
      <c r="J4759" s="91" t="str">
        <f t="shared" si="375"/>
        <v/>
      </c>
      <c r="K4759" s="92" t="str">
        <f>IF(AND(A4759="",B4759="",D4759="",G4759=""),"",IF(AND(A4759&lt;&gt;"",COUNTIF($A$2:$A$5001,A4759)&gt;1),"NUMERO_PC duplicado",IF(B4759="","DATA_PC vazia",IF(NOT(ISNUMBER(B4759)),"DATA_PC invalida",IF(OR(C4759="",C4759="Fora dos ciclos"),"CICLO_PC nao identificado",IF(OR(D4759="",D4759=0),"VALOR_PC vazio ou zero",IF(AND(G4759&lt;&gt;"Sim",G4759&lt;&gt;"Nao",G4759&lt;&gt;""),"PC_PAGO_A_CONTRATADA invalido",IF(AND(C4759&lt;&gt;"C0",IFERROR(INDEX(parametros!$A$2:$A$6,MATCH(C4759,parametros!$B$2:$B$6,0)),"")="Sim",IFERROR(INDEX(parametros!$H$2:$H$6,MATCH(C4759,parametros!$B$2:$B$6,0)),"")=""),"INICIO_EFEITO ausente: PC "&amp;A4759&amp;" - "&amp;C4759,IF(L4759="","EFEITO_PC nao calculado: PC "&amp;A4759&amp;" - "&amp;C4759,"OK")))))))))</f>
        <v/>
      </c>
      <c r="L4759" s="92" t="str">
        <f>IF(AND(A4759="",B4759="",D4759="",G4759=""),"",IF(OR(B4759="",NOT(ISNUMBER(B4759)),C4759="",C4759="Fora dos ciclos"),"",IF(C4759="C0","Nao",IF(IFERROR(INDEX(parametros!$A$2:$A$6,MATCH(C4759,parametros!$B$2:$B$6,0)),"")&lt;&gt;"Sim","Nao",IF(IFERROR(INDEX(parametros!$H$2:$H$6,MATCH(C4759,parametros!$B$2:$B$6,0)),"")="","",IF(B4759&gt;=IFERROR(INDEX(parametros!$H$2:$H$6,MATCH(C4759,parametros!$B$2:$B$6,0)),""),"Sim","Nao"))))))</f>
        <v/>
      </c>
      <c r="T4759" s="156"/>
      <c r="U4759" s="214" t="str">
        <f t="shared" si="376"/>
        <v/>
      </c>
      <c r="V4759" s="212" t="s">
        <v>50</v>
      </c>
      <c r="W4759" s="100" t="s">
        <v>168</v>
      </c>
      <c r="X4759" s="100" t="s">
        <v>169</v>
      </c>
      <c r="Y4759" s="101" t="s">
        <v>170</v>
      </c>
      <c r="Z4759" s="101" t="s">
        <v>171</v>
      </c>
      <c r="AA4759" s="101" t="s">
        <v>50</v>
      </c>
      <c r="AB4759" s="101" t="s">
        <v>172</v>
      </c>
      <c r="AC4759" s="102" t="s">
        <v>173</v>
      </c>
    </row>
    <row r="4760" spans="1:29" ht="25.5" customHeight="1" x14ac:dyDescent="0.35">
      <c r="A4760" s="392"/>
      <c r="B4760" s="393"/>
      <c r="C4760" s="99" t="str">
        <f>IF(B4760="","",IF(NOT(ISNUMBER(B4760)),"DATA_PC invalida",IF(NOT(ISNUMBER(parametros!$C$2)),"Fora dos ciclos",IF(OR(B4760&lt;parametros!$C$2,(YEAR(B4760)-YEAR(parametros!$C$2))*12+MONTH(B4760)-MONTH(parametros!$C$2)&gt;59),"Fora dos ciclos","C"&amp;INT(((YEAR(B4760)-YEAR(parametros!$C$2))*12+MONTH(B4760)-MONTH(parametros!$C$2))/12)))))</f>
        <v/>
      </c>
      <c r="D4760" s="394"/>
      <c r="E4760" s="78" t="str">
        <f>IF(C4760="","",IFERROR(VLOOKUP(C4760,parametros!$A$11:$E$15,5,0),""))</f>
        <v/>
      </c>
      <c r="F4760" s="79" t="str">
        <f t="shared" si="372"/>
        <v/>
      </c>
      <c r="G4760" s="395"/>
      <c r="H4760" s="91">
        <f t="shared" si="373"/>
        <v>0</v>
      </c>
      <c r="I4760" s="91" t="str">
        <f t="shared" si="374"/>
        <v/>
      </c>
      <c r="J4760" s="91" t="str">
        <f t="shared" si="375"/>
        <v/>
      </c>
      <c r="K4760" s="92" t="str">
        <f>IF(AND(A4760="",B4760="",D4760="",G4760=""),"",IF(AND(A4760&lt;&gt;"",COUNTIF($A$2:$A$5001,A4760)&gt;1),"NUMERO_PC duplicado",IF(B4760="","DATA_PC vazia",IF(NOT(ISNUMBER(B4760)),"DATA_PC invalida",IF(OR(C4760="",C4760="Fora dos ciclos"),"CICLO_PC nao identificado",IF(OR(D4760="",D4760=0),"VALOR_PC vazio ou zero",IF(AND(G4760&lt;&gt;"Sim",G4760&lt;&gt;"Nao",G4760&lt;&gt;""),"PC_PAGO_A_CONTRATADA invalido",IF(AND(C4760&lt;&gt;"C0",IFERROR(INDEX(parametros!$A$2:$A$6,MATCH(C4760,parametros!$B$2:$B$6,0)),"")="Sim",IFERROR(INDEX(parametros!$H$2:$H$6,MATCH(C4760,parametros!$B$2:$B$6,0)),"")=""),"INICIO_EFEITO ausente: PC "&amp;A4760&amp;" - "&amp;C4760,IF(L4760="","EFEITO_PC nao calculado: PC "&amp;A4760&amp;" - "&amp;C4760,"OK")))))))))</f>
        <v/>
      </c>
      <c r="L4760" s="92" t="str">
        <f>IF(AND(A4760="",B4760="",D4760="",G4760=""),"",IF(OR(B4760="",NOT(ISNUMBER(B4760)),C4760="",C4760="Fora dos ciclos"),"",IF(C4760="C0","Nao",IF(IFERROR(INDEX(parametros!$A$2:$A$6,MATCH(C4760,parametros!$B$2:$B$6,0)),"")&lt;&gt;"Sim","Nao",IF(IFERROR(INDEX(parametros!$H$2:$H$6,MATCH(C4760,parametros!$B$2:$B$6,0)),"")="","",IF(B4760&gt;=IFERROR(INDEX(parametros!$H$2:$H$6,MATCH(C4760,parametros!$B$2:$B$6,0)),""),"Sim","Nao"))))))</f>
        <v/>
      </c>
      <c r="T4760" s="156"/>
      <c r="U4760" s="214" t="str">
        <f t="shared" si="376"/>
        <v/>
      </c>
      <c r="V4760" s="212" t="s">
        <v>50</v>
      </c>
      <c r="W4760" s="100" t="s">
        <v>168</v>
      </c>
      <c r="X4760" s="100" t="s">
        <v>169</v>
      </c>
      <c r="Y4760" s="101" t="s">
        <v>170</v>
      </c>
      <c r="Z4760" s="101" t="s">
        <v>171</v>
      </c>
      <c r="AA4760" s="101" t="s">
        <v>50</v>
      </c>
      <c r="AB4760" s="101" t="s">
        <v>172</v>
      </c>
      <c r="AC4760" s="102" t="s">
        <v>173</v>
      </c>
    </row>
    <row r="4761" spans="1:29" ht="25.5" customHeight="1" x14ac:dyDescent="0.35">
      <c r="A4761" s="392"/>
      <c r="B4761" s="393"/>
      <c r="C4761" s="99" t="str">
        <f>IF(B4761="","",IF(NOT(ISNUMBER(B4761)),"DATA_PC invalida",IF(NOT(ISNUMBER(parametros!$C$2)),"Fora dos ciclos",IF(OR(B4761&lt;parametros!$C$2,(YEAR(B4761)-YEAR(parametros!$C$2))*12+MONTH(B4761)-MONTH(parametros!$C$2)&gt;59),"Fora dos ciclos","C"&amp;INT(((YEAR(B4761)-YEAR(parametros!$C$2))*12+MONTH(B4761)-MONTH(parametros!$C$2))/12)))))</f>
        <v/>
      </c>
      <c r="D4761" s="394"/>
      <c r="E4761" s="78" t="str">
        <f>IF(C4761="","",IFERROR(VLOOKUP(C4761,parametros!$A$11:$E$15,5,0),""))</f>
        <v/>
      </c>
      <c r="F4761" s="79" t="str">
        <f t="shared" si="372"/>
        <v/>
      </c>
      <c r="G4761" s="395"/>
      <c r="H4761" s="91">
        <f t="shared" si="373"/>
        <v>0</v>
      </c>
      <c r="I4761" s="91" t="str">
        <f t="shared" si="374"/>
        <v/>
      </c>
      <c r="J4761" s="91" t="str">
        <f t="shared" si="375"/>
        <v/>
      </c>
      <c r="K4761" s="92" t="str">
        <f>IF(AND(A4761="",B4761="",D4761="",G4761=""),"",IF(AND(A4761&lt;&gt;"",COUNTIF($A$2:$A$5001,A4761)&gt;1),"NUMERO_PC duplicado",IF(B4761="","DATA_PC vazia",IF(NOT(ISNUMBER(B4761)),"DATA_PC invalida",IF(OR(C4761="",C4761="Fora dos ciclos"),"CICLO_PC nao identificado",IF(OR(D4761="",D4761=0),"VALOR_PC vazio ou zero",IF(AND(G4761&lt;&gt;"Sim",G4761&lt;&gt;"Nao",G4761&lt;&gt;""),"PC_PAGO_A_CONTRATADA invalido",IF(AND(C4761&lt;&gt;"C0",IFERROR(INDEX(parametros!$A$2:$A$6,MATCH(C4761,parametros!$B$2:$B$6,0)),"")="Sim",IFERROR(INDEX(parametros!$H$2:$H$6,MATCH(C4761,parametros!$B$2:$B$6,0)),"")=""),"INICIO_EFEITO ausente: PC "&amp;A4761&amp;" - "&amp;C4761,IF(L4761="","EFEITO_PC nao calculado: PC "&amp;A4761&amp;" - "&amp;C4761,"OK")))))))))</f>
        <v/>
      </c>
      <c r="L4761" s="92" t="str">
        <f>IF(AND(A4761="",B4761="",D4761="",G4761=""),"",IF(OR(B4761="",NOT(ISNUMBER(B4761)),C4761="",C4761="Fora dos ciclos"),"",IF(C4761="C0","Nao",IF(IFERROR(INDEX(parametros!$A$2:$A$6,MATCH(C4761,parametros!$B$2:$B$6,0)),"")&lt;&gt;"Sim","Nao",IF(IFERROR(INDEX(parametros!$H$2:$H$6,MATCH(C4761,parametros!$B$2:$B$6,0)),"")="","",IF(B4761&gt;=IFERROR(INDEX(parametros!$H$2:$H$6,MATCH(C4761,parametros!$B$2:$B$6,0)),""),"Sim","Nao"))))))</f>
        <v/>
      </c>
      <c r="T4761" s="156"/>
      <c r="U4761" s="214" t="str">
        <f t="shared" si="376"/>
        <v/>
      </c>
      <c r="V4761" s="212" t="s">
        <v>50</v>
      </c>
      <c r="W4761" s="100" t="s">
        <v>168</v>
      </c>
      <c r="X4761" s="100" t="s">
        <v>169</v>
      </c>
      <c r="Y4761" s="101" t="s">
        <v>170</v>
      </c>
      <c r="Z4761" s="101" t="s">
        <v>171</v>
      </c>
      <c r="AA4761" s="101" t="s">
        <v>50</v>
      </c>
      <c r="AB4761" s="101" t="s">
        <v>172</v>
      </c>
      <c r="AC4761" s="102" t="s">
        <v>173</v>
      </c>
    </row>
    <row r="4762" spans="1:29" ht="25.5" customHeight="1" x14ac:dyDescent="0.35">
      <c r="A4762" s="392"/>
      <c r="B4762" s="393"/>
      <c r="C4762" s="99" t="str">
        <f>IF(B4762="","",IF(NOT(ISNUMBER(B4762)),"DATA_PC invalida",IF(NOT(ISNUMBER(parametros!$C$2)),"Fora dos ciclos",IF(OR(B4762&lt;parametros!$C$2,(YEAR(B4762)-YEAR(parametros!$C$2))*12+MONTH(B4762)-MONTH(parametros!$C$2)&gt;59),"Fora dos ciclos","C"&amp;INT(((YEAR(B4762)-YEAR(parametros!$C$2))*12+MONTH(B4762)-MONTH(parametros!$C$2))/12)))))</f>
        <v/>
      </c>
      <c r="D4762" s="394"/>
      <c r="E4762" s="78" t="str">
        <f>IF(C4762="","",IFERROR(VLOOKUP(C4762,parametros!$A$11:$E$15,5,0),""))</f>
        <v/>
      </c>
      <c r="F4762" s="79" t="str">
        <f t="shared" si="372"/>
        <v/>
      </c>
      <c r="G4762" s="395"/>
      <c r="H4762" s="91">
        <f t="shared" si="373"/>
        <v>0</v>
      </c>
      <c r="I4762" s="91" t="str">
        <f t="shared" si="374"/>
        <v/>
      </c>
      <c r="J4762" s="91" t="str">
        <f t="shared" si="375"/>
        <v/>
      </c>
      <c r="K4762" s="92" t="str">
        <f>IF(AND(A4762="",B4762="",D4762="",G4762=""),"",IF(AND(A4762&lt;&gt;"",COUNTIF($A$2:$A$5001,A4762)&gt;1),"NUMERO_PC duplicado",IF(B4762="","DATA_PC vazia",IF(NOT(ISNUMBER(B4762)),"DATA_PC invalida",IF(OR(C4762="",C4762="Fora dos ciclos"),"CICLO_PC nao identificado",IF(OR(D4762="",D4762=0),"VALOR_PC vazio ou zero",IF(AND(G4762&lt;&gt;"Sim",G4762&lt;&gt;"Nao",G4762&lt;&gt;""),"PC_PAGO_A_CONTRATADA invalido",IF(AND(C4762&lt;&gt;"C0",IFERROR(INDEX(parametros!$A$2:$A$6,MATCH(C4762,parametros!$B$2:$B$6,0)),"")="Sim",IFERROR(INDEX(parametros!$H$2:$H$6,MATCH(C4762,parametros!$B$2:$B$6,0)),"")=""),"INICIO_EFEITO ausente: PC "&amp;A4762&amp;" - "&amp;C4762,IF(L4762="","EFEITO_PC nao calculado: PC "&amp;A4762&amp;" - "&amp;C4762,"OK")))))))))</f>
        <v/>
      </c>
      <c r="L4762" s="92" t="str">
        <f>IF(AND(A4762="",B4762="",D4762="",G4762=""),"",IF(OR(B4762="",NOT(ISNUMBER(B4762)),C4762="",C4762="Fora dos ciclos"),"",IF(C4762="C0","Nao",IF(IFERROR(INDEX(parametros!$A$2:$A$6,MATCH(C4762,parametros!$B$2:$B$6,0)),"")&lt;&gt;"Sim","Nao",IF(IFERROR(INDEX(parametros!$H$2:$H$6,MATCH(C4762,parametros!$B$2:$B$6,0)),"")="","",IF(B4762&gt;=IFERROR(INDEX(parametros!$H$2:$H$6,MATCH(C4762,parametros!$B$2:$B$6,0)),""),"Sim","Nao"))))))</f>
        <v/>
      </c>
      <c r="T4762" s="156"/>
      <c r="U4762" s="214" t="str">
        <f t="shared" si="376"/>
        <v/>
      </c>
      <c r="V4762" s="212" t="s">
        <v>50</v>
      </c>
      <c r="W4762" s="100" t="s">
        <v>168</v>
      </c>
      <c r="X4762" s="100" t="s">
        <v>169</v>
      </c>
      <c r="Y4762" s="101" t="s">
        <v>170</v>
      </c>
      <c r="Z4762" s="101" t="s">
        <v>171</v>
      </c>
      <c r="AA4762" s="101" t="s">
        <v>50</v>
      </c>
      <c r="AB4762" s="101" t="s">
        <v>172</v>
      </c>
      <c r="AC4762" s="102" t="s">
        <v>173</v>
      </c>
    </row>
    <row r="4763" spans="1:29" ht="25.5" customHeight="1" x14ac:dyDescent="0.35">
      <c r="A4763" s="392"/>
      <c r="B4763" s="393"/>
      <c r="C4763" s="99" t="str">
        <f>IF(B4763="","",IF(NOT(ISNUMBER(B4763)),"DATA_PC invalida",IF(NOT(ISNUMBER(parametros!$C$2)),"Fora dos ciclos",IF(OR(B4763&lt;parametros!$C$2,(YEAR(B4763)-YEAR(parametros!$C$2))*12+MONTH(B4763)-MONTH(parametros!$C$2)&gt;59),"Fora dos ciclos","C"&amp;INT(((YEAR(B4763)-YEAR(parametros!$C$2))*12+MONTH(B4763)-MONTH(parametros!$C$2))/12)))))</f>
        <v/>
      </c>
      <c r="D4763" s="394"/>
      <c r="E4763" s="78" t="str">
        <f>IF(C4763="","",IFERROR(VLOOKUP(C4763,parametros!$A$11:$E$15,5,0),""))</f>
        <v/>
      </c>
      <c r="F4763" s="79" t="str">
        <f t="shared" si="372"/>
        <v/>
      </c>
      <c r="G4763" s="395"/>
      <c r="H4763" s="91">
        <f t="shared" si="373"/>
        <v>0</v>
      </c>
      <c r="I4763" s="91" t="str">
        <f t="shared" si="374"/>
        <v/>
      </c>
      <c r="J4763" s="91" t="str">
        <f t="shared" si="375"/>
        <v/>
      </c>
      <c r="K4763" s="92" t="str">
        <f>IF(AND(A4763="",B4763="",D4763="",G4763=""),"",IF(AND(A4763&lt;&gt;"",COUNTIF($A$2:$A$5001,A4763)&gt;1),"NUMERO_PC duplicado",IF(B4763="","DATA_PC vazia",IF(NOT(ISNUMBER(B4763)),"DATA_PC invalida",IF(OR(C4763="",C4763="Fora dos ciclos"),"CICLO_PC nao identificado",IF(OR(D4763="",D4763=0),"VALOR_PC vazio ou zero",IF(AND(G4763&lt;&gt;"Sim",G4763&lt;&gt;"Nao",G4763&lt;&gt;""),"PC_PAGO_A_CONTRATADA invalido",IF(AND(C4763&lt;&gt;"C0",IFERROR(INDEX(parametros!$A$2:$A$6,MATCH(C4763,parametros!$B$2:$B$6,0)),"")="Sim",IFERROR(INDEX(parametros!$H$2:$H$6,MATCH(C4763,parametros!$B$2:$B$6,0)),"")=""),"INICIO_EFEITO ausente: PC "&amp;A4763&amp;" - "&amp;C4763,IF(L4763="","EFEITO_PC nao calculado: PC "&amp;A4763&amp;" - "&amp;C4763,"OK")))))))))</f>
        <v/>
      </c>
      <c r="L4763" s="92" t="str">
        <f>IF(AND(A4763="",B4763="",D4763="",G4763=""),"",IF(OR(B4763="",NOT(ISNUMBER(B4763)),C4763="",C4763="Fora dos ciclos"),"",IF(C4763="C0","Nao",IF(IFERROR(INDEX(parametros!$A$2:$A$6,MATCH(C4763,parametros!$B$2:$B$6,0)),"")&lt;&gt;"Sim","Nao",IF(IFERROR(INDEX(parametros!$H$2:$H$6,MATCH(C4763,parametros!$B$2:$B$6,0)),"")="","",IF(B4763&gt;=IFERROR(INDEX(parametros!$H$2:$H$6,MATCH(C4763,parametros!$B$2:$B$6,0)),""),"Sim","Nao"))))))</f>
        <v/>
      </c>
      <c r="T4763" s="156"/>
      <c r="U4763" s="214" t="str">
        <f t="shared" si="376"/>
        <v/>
      </c>
      <c r="V4763" s="212" t="s">
        <v>50</v>
      </c>
      <c r="W4763" s="100" t="s">
        <v>168</v>
      </c>
      <c r="X4763" s="100" t="s">
        <v>169</v>
      </c>
      <c r="Y4763" s="101" t="s">
        <v>170</v>
      </c>
      <c r="Z4763" s="101" t="s">
        <v>171</v>
      </c>
      <c r="AA4763" s="101" t="s">
        <v>50</v>
      </c>
      <c r="AB4763" s="101" t="s">
        <v>172</v>
      </c>
      <c r="AC4763" s="102" t="s">
        <v>173</v>
      </c>
    </row>
    <row r="4764" spans="1:29" ht="25.5" customHeight="1" x14ac:dyDescent="0.35">
      <c r="A4764" s="392"/>
      <c r="B4764" s="393"/>
      <c r="C4764" s="99" t="str">
        <f>IF(B4764="","",IF(NOT(ISNUMBER(B4764)),"DATA_PC invalida",IF(NOT(ISNUMBER(parametros!$C$2)),"Fora dos ciclos",IF(OR(B4764&lt;parametros!$C$2,(YEAR(B4764)-YEAR(parametros!$C$2))*12+MONTH(B4764)-MONTH(parametros!$C$2)&gt;59),"Fora dos ciclos","C"&amp;INT(((YEAR(B4764)-YEAR(parametros!$C$2))*12+MONTH(B4764)-MONTH(parametros!$C$2))/12)))))</f>
        <v/>
      </c>
      <c r="D4764" s="394"/>
      <c r="E4764" s="78" t="str">
        <f>IF(C4764="","",IFERROR(VLOOKUP(C4764,parametros!$A$11:$E$15,5,0),""))</f>
        <v/>
      </c>
      <c r="F4764" s="79" t="str">
        <f t="shared" si="372"/>
        <v/>
      </c>
      <c r="G4764" s="395"/>
      <c r="H4764" s="91">
        <f t="shared" si="373"/>
        <v>0</v>
      </c>
      <c r="I4764" s="91" t="str">
        <f t="shared" si="374"/>
        <v/>
      </c>
      <c r="J4764" s="91" t="str">
        <f t="shared" si="375"/>
        <v/>
      </c>
      <c r="K4764" s="92" t="str">
        <f>IF(AND(A4764="",B4764="",D4764="",G4764=""),"",IF(AND(A4764&lt;&gt;"",COUNTIF($A$2:$A$5001,A4764)&gt;1),"NUMERO_PC duplicado",IF(B4764="","DATA_PC vazia",IF(NOT(ISNUMBER(B4764)),"DATA_PC invalida",IF(OR(C4764="",C4764="Fora dos ciclos"),"CICLO_PC nao identificado",IF(OR(D4764="",D4764=0),"VALOR_PC vazio ou zero",IF(AND(G4764&lt;&gt;"Sim",G4764&lt;&gt;"Nao",G4764&lt;&gt;""),"PC_PAGO_A_CONTRATADA invalido",IF(AND(C4764&lt;&gt;"C0",IFERROR(INDEX(parametros!$A$2:$A$6,MATCH(C4764,parametros!$B$2:$B$6,0)),"")="Sim",IFERROR(INDEX(parametros!$H$2:$H$6,MATCH(C4764,parametros!$B$2:$B$6,0)),"")=""),"INICIO_EFEITO ausente: PC "&amp;A4764&amp;" - "&amp;C4764,IF(L4764="","EFEITO_PC nao calculado: PC "&amp;A4764&amp;" - "&amp;C4764,"OK")))))))))</f>
        <v/>
      </c>
      <c r="L4764" s="92" t="str">
        <f>IF(AND(A4764="",B4764="",D4764="",G4764=""),"",IF(OR(B4764="",NOT(ISNUMBER(B4764)),C4764="",C4764="Fora dos ciclos"),"",IF(C4764="C0","Nao",IF(IFERROR(INDEX(parametros!$A$2:$A$6,MATCH(C4764,parametros!$B$2:$B$6,0)),"")&lt;&gt;"Sim","Nao",IF(IFERROR(INDEX(parametros!$H$2:$H$6,MATCH(C4764,parametros!$B$2:$B$6,0)),"")="","",IF(B4764&gt;=IFERROR(INDEX(parametros!$H$2:$H$6,MATCH(C4764,parametros!$B$2:$B$6,0)),""),"Sim","Nao"))))))</f>
        <v/>
      </c>
      <c r="T4764" s="156"/>
      <c r="U4764" s="214" t="str">
        <f t="shared" si="376"/>
        <v/>
      </c>
      <c r="V4764" s="212" t="s">
        <v>50</v>
      </c>
      <c r="W4764" s="100" t="s">
        <v>168</v>
      </c>
      <c r="X4764" s="100" t="s">
        <v>169</v>
      </c>
      <c r="Y4764" s="101" t="s">
        <v>170</v>
      </c>
      <c r="Z4764" s="101" t="s">
        <v>171</v>
      </c>
      <c r="AA4764" s="101" t="s">
        <v>50</v>
      </c>
      <c r="AB4764" s="101" t="s">
        <v>172</v>
      </c>
      <c r="AC4764" s="102" t="s">
        <v>173</v>
      </c>
    </row>
    <row r="4765" spans="1:29" ht="25.5" customHeight="1" x14ac:dyDescent="0.35">
      <c r="A4765" s="392"/>
      <c r="B4765" s="393"/>
      <c r="C4765" s="99" t="str">
        <f>IF(B4765="","",IF(NOT(ISNUMBER(B4765)),"DATA_PC invalida",IF(NOT(ISNUMBER(parametros!$C$2)),"Fora dos ciclos",IF(OR(B4765&lt;parametros!$C$2,(YEAR(B4765)-YEAR(parametros!$C$2))*12+MONTH(B4765)-MONTH(parametros!$C$2)&gt;59),"Fora dos ciclos","C"&amp;INT(((YEAR(B4765)-YEAR(parametros!$C$2))*12+MONTH(B4765)-MONTH(parametros!$C$2))/12)))))</f>
        <v/>
      </c>
      <c r="D4765" s="394"/>
      <c r="E4765" s="78" t="str">
        <f>IF(C4765="","",IFERROR(VLOOKUP(C4765,parametros!$A$11:$E$15,5,0),""))</f>
        <v/>
      </c>
      <c r="F4765" s="79" t="str">
        <f t="shared" si="372"/>
        <v/>
      </c>
      <c r="G4765" s="395"/>
      <c r="H4765" s="91">
        <f t="shared" si="373"/>
        <v>0</v>
      </c>
      <c r="I4765" s="91" t="str">
        <f t="shared" si="374"/>
        <v/>
      </c>
      <c r="J4765" s="91" t="str">
        <f t="shared" si="375"/>
        <v/>
      </c>
      <c r="K4765" s="92" t="str">
        <f>IF(AND(A4765="",B4765="",D4765="",G4765=""),"",IF(AND(A4765&lt;&gt;"",COUNTIF($A$2:$A$5001,A4765)&gt;1),"NUMERO_PC duplicado",IF(B4765="","DATA_PC vazia",IF(NOT(ISNUMBER(B4765)),"DATA_PC invalida",IF(OR(C4765="",C4765="Fora dos ciclos"),"CICLO_PC nao identificado",IF(OR(D4765="",D4765=0),"VALOR_PC vazio ou zero",IF(AND(G4765&lt;&gt;"Sim",G4765&lt;&gt;"Nao",G4765&lt;&gt;""),"PC_PAGO_A_CONTRATADA invalido",IF(AND(C4765&lt;&gt;"C0",IFERROR(INDEX(parametros!$A$2:$A$6,MATCH(C4765,parametros!$B$2:$B$6,0)),"")="Sim",IFERROR(INDEX(parametros!$H$2:$H$6,MATCH(C4765,parametros!$B$2:$B$6,0)),"")=""),"INICIO_EFEITO ausente: PC "&amp;A4765&amp;" - "&amp;C4765,IF(L4765="","EFEITO_PC nao calculado: PC "&amp;A4765&amp;" - "&amp;C4765,"OK")))))))))</f>
        <v/>
      </c>
      <c r="L4765" s="92" t="str">
        <f>IF(AND(A4765="",B4765="",D4765="",G4765=""),"",IF(OR(B4765="",NOT(ISNUMBER(B4765)),C4765="",C4765="Fora dos ciclos"),"",IF(C4765="C0","Nao",IF(IFERROR(INDEX(parametros!$A$2:$A$6,MATCH(C4765,parametros!$B$2:$B$6,0)),"")&lt;&gt;"Sim","Nao",IF(IFERROR(INDEX(parametros!$H$2:$H$6,MATCH(C4765,parametros!$B$2:$B$6,0)),"")="","",IF(B4765&gt;=IFERROR(INDEX(parametros!$H$2:$H$6,MATCH(C4765,parametros!$B$2:$B$6,0)),""),"Sim","Nao"))))))</f>
        <v/>
      </c>
      <c r="T4765" s="156"/>
      <c r="U4765" s="214" t="str">
        <f t="shared" si="376"/>
        <v/>
      </c>
      <c r="V4765" s="212" t="s">
        <v>50</v>
      </c>
      <c r="W4765" s="100" t="s">
        <v>168</v>
      </c>
      <c r="X4765" s="100" t="s">
        <v>169</v>
      </c>
      <c r="Y4765" s="101" t="s">
        <v>170</v>
      </c>
      <c r="Z4765" s="101" t="s">
        <v>171</v>
      </c>
      <c r="AA4765" s="101" t="s">
        <v>50</v>
      </c>
      <c r="AB4765" s="101" t="s">
        <v>172</v>
      </c>
      <c r="AC4765" s="102" t="s">
        <v>173</v>
      </c>
    </row>
    <row r="4766" spans="1:29" ht="25.5" customHeight="1" x14ac:dyDescent="0.35">
      <c r="A4766" s="392"/>
      <c r="B4766" s="393"/>
      <c r="C4766" s="99" t="str">
        <f>IF(B4766="","",IF(NOT(ISNUMBER(B4766)),"DATA_PC invalida",IF(NOT(ISNUMBER(parametros!$C$2)),"Fora dos ciclos",IF(OR(B4766&lt;parametros!$C$2,(YEAR(B4766)-YEAR(parametros!$C$2))*12+MONTH(B4766)-MONTH(parametros!$C$2)&gt;59),"Fora dos ciclos","C"&amp;INT(((YEAR(B4766)-YEAR(parametros!$C$2))*12+MONTH(B4766)-MONTH(parametros!$C$2))/12)))))</f>
        <v/>
      </c>
      <c r="D4766" s="394"/>
      <c r="E4766" s="78" t="str">
        <f>IF(C4766="","",IFERROR(VLOOKUP(C4766,parametros!$A$11:$E$15,5,0),""))</f>
        <v/>
      </c>
      <c r="F4766" s="79" t="str">
        <f t="shared" si="372"/>
        <v/>
      </c>
      <c r="G4766" s="395"/>
      <c r="H4766" s="91">
        <f t="shared" si="373"/>
        <v>0</v>
      </c>
      <c r="I4766" s="91" t="str">
        <f t="shared" si="374"/>
        <v/>
      </c>
      <c r="J4766" s="91" t="str">
        <f t="shared" si="375"/>
        <v/>
      </c>
      <c r="K4766" s="92" t="str">
        <f>IF(AND(A4766="",B4766="",D4766="",G4766=""),"",IF(AND(A4766&lt;&gt;"",COUNTIF($A$2:$A$5001,A4766)&gt;1),"NUMERO_PC duplicado",IF(B4766="","DATA_PC vazia",IF(NOT(ISNUMBER(B4766)),"DATA_PC invalida",IF(OR(C4766="",C4766="Fora dos ciclos"),"CICLO_PC nao identificado",IF(OR(D4766="",D4766=0),"VALOR_PC vazio ou zero",IF(AND(G4766&lt;&gt;"Sim",G4766&lt;&gt;"Nao",G4766&lt;&gt;""),"PC_PAGO_A_CONTRATADA invalido",IF(AND(C4766&lt;&gt;"C0",IFERROR(INDEX(parametros!$A$2:$A$6,MATCH(C4766,parametros!$B$2:$B$6,0)),"")="Sim",IFERROR(INDEX(parametros!$H$2:$H$6,MATCH(C4766,parametros!$B$2:$B$6,0)),"")=""),"INICIO_EFEITO ausente: PC "&amp;A4766&amp;" - "&amp;C4766,IF(L4766="","EFEITO_PC nao calculado: PC "&amp;A4766&amp;" - "&amp;C4766,"OK")))))))))</f>
        <v/>
      </c>
      <c r="L4766" s="92" t="str">
        <f>IF(AND(A4766="",B4766="",D4766="",G4766=""),"",IF(OR(B4766="",NOT(ISNUMBER(B4766)),C4766="",C4766="Fora dos ciclos"),"",IF(C4766="C0","Nao",IF(IFERROR(INDEX(parametros!$A$2:$A$6,MATCH(C4766,parametros!$B$2:$B$6,0)),"")&lt;&gt;"Sim","Nao",IF(IFERROR(INDEX(parametros!$H$2:$H$6,MATCH(C4766,parametros!$B$2:$B$6,0)),"")="","",IF(B4766&gt;=IFERROR(INDEX(parametros!$H$2:$H$6,MATCH(C4766,parametros!$B$2:$B$6,0)),""),"Sim","Nao"))))))</f>
        <v/>
      </c>
      <c r="T4766" s="156"/>
      <c r="U4766" s="214" t="str">
        <f t="shared" si="376"/>
        <v/>
      </c>
      <c r="V4766" s="212" t="s">
        <v>50</v>
      </c>
      <c r="W4766" s="100" t="s">
        <v>168</v>
      </c>
      <c r="X4766" s="100" t="s">
        <v>169</v>
      </c>
      <c r="Y4766" s="101" t="s">
        <v>170</v>
      </c>
      <c r="Z4766" s="101" t="s">
        <v>171</v>
      </c>
      <c r="AA4766" s="101" t="s">
        <v>50</v>
      </c>
      <c r="AB4766" s="101" t="s">
        <v>172</v>
      </c>
      <c r="AC4766" s="102" t="s">
        <v>173</v>
      </c>
    </row>
    <row r="4767" spans="1:29" ht="25.5" customHeight="1" x14ac:dyDescent="0.35">
      <c r="A4767" s="392"/>
      <c r="B4767" s="393"/>
      <c r="C4767" s="99" t="str">
        <f>IF(B4767="","",IF(NOT(ISNUMBER(B4767)),"DATA_PC invalida",IF(NOT(ISNUMBER(parametros!$C$2)),"Fora dos ciclos",IF(OR(B4767&lt;parametros!$C$2,(YEAR(B4767)-YEAR(parametros!$C$2))*12+MONTH(B4767)-MONTH(parametros!$C$2)&gt;59),"Fora dos ciclos","C"&amp;INT(((YEAR(B4767)-YEAR(parametros!$C$2))*12+MONTH(B4767)-MONTH(parametros!$C$2))/12)))))</f>
        <v/>
      </c>
      <c r="D4767" s="394"/>
      <c r="E4767" s="78" t="str">
        <f>IF(C4767="","",IFERROR(VLOOKUP(C4767,parametros!$A$11:$E$15,5,0),""))</f>
        <v/>
      </c>
      <c r="F4767" s="79" t="str">
        <f t="shared" si="372"/>
        <v/>
      </c>
      <c r="G4767" s="395"/>
      <c r="H4767" s="91">
        <f t="shared" si="373"/>
        <v>0</v>
      </c>
      <c r="I4767" s="91" t="str">
        <f t="shared" si="374"/>
        <v/>
      </c>
      <c r="J4767" s="91" t="str">
        <f t="shared" si="375"/>
        <v/>
      </c>
      <c r="K4767" s="92" t="str">
        <f>IF(AND(A4767="",B4767="",D4767="",G4767=""),"",IF(AND(A4767&lt;&gt;"",COUNTIF($A$2:$A$5001,A4767)&gt;1),"NUMERO_PC duplicado",IF(B4767="","DATA_PC vazia",IF(NOT(ISNUMBER(B4767)),"DATA_PC invalida",IF(OR(C4767="",C4767="Fora dos ciclos"),"CICLO_PC nao identificado",IF(OR(D4767="",D4767=0),"VALOR_PC vazio ou zero",IF(AND(G4767&lt;&gt;"Sim",G4767&lt;&gt;"Nao",G4767&lt;&gt;""),"PC_PAGO_A_CONTRATADA invalido",IF(AND(C4767&lt;&gt;"C0",IFERROR(INDEX(parametros!$A$2:$A$6,MATCH(C4767,parametros!$B$2:$B$6,0)),"")="Sim",IFERROR(INDEX(parametros!$H$2:$H$6,MATCH(C4767,parametros!$B$2:$B$6,0)),"")=""),"INICIO_EFEITO ausente: PC "&amp;A4767&amp;" - "&amp;C4767,IF(L4767="","EFEITO_PC nao calculado: PC "&amp;A4767&amp;" - "&amp;C4767,"OK")))))))))</f>
        <v/>
      </c>
      <c r="L4767" s="92" t="str">
        <f>IF(AND(A4767="",B4767="",D4767="",G4767=""),"",IF(OR(B4767="",NOT(ISNUMBER(B4767)),C4767="",C4767="Fora dos ciclos"),"",IF(C4767="C0","Nao",IF(IFERROR(INDEX(parametros!$A$2:$A$6,MATCH(C4767,parametros!$B$2:$B$6,0)),"")&lt;&gt;"Sim","Nao",IF(IFERROR(INDEX(parametros!$H$2:$H$6,MATCH(C4767,parametros!$B$2:$B$6,0)),"")="","",IF(B4767&gt;=IFERROR(INDEX(parametros!$H$2:$H$6,MATCH(C4767,parametros!$B$2:$B$6,0)),""),"Sim","Nao"))))))</f>
        <v/>
      </c>
      <c r="T4767" s="156"/>
      <c r="U4767" s="214" t="str">
        <f t="shared" si="376"/>
        <v/>
      </c>
      <c r="V4767" s="212" t="s">
        <v>50</v>
      </c>
      <c r="W4767" s="100" t="s">
        <v>168</v>
      </c>
      <c r="X4767" s="100" t="s">
        <v>169</v>
      </c>
      <c r="Y4767" s="101" t="s">
        <v>170</v>
      </c>
      <c r="Z4767" s="101" t="s">
        <v>171</v>
      </c>
      <c r="AA4767" s="101" t="s">
        <v>50</v>
      </c>
      <c r="AB4767" s="101" t="s">
        <v>172</v>
      </c>
      <c r="AC4767" s="102" t="s">
        <v>173</v>
      </c>
    </row>
    <row r="4768" spans="1:29" ht="25.5" customHeight="1" x14ac:dyDescent="0.35">
      <c r="A4768" s="392"/>
      <c r="B4768" s="393"/>
      <c r="C4768" s="99" t="str">
        <f>IF(B4768="","",IF(NOT(ISNUMBER(B4768)),"DATA_PC invalida",IF(NOT(ISNUMBER(parametros!$C$2)),"Fora dos ciclos",IF(OR(B4768&lt;parametros!$C$2,(YEAR(B4768)-YEAR(parametros!$C$2))*12+MONTH(B4768)-MONTH(parametros!$C$2)&gt;59),"Fora dos ciclos","C"&amp;INT(((YEAR(B4768)-YEAR(parametros!$C$2))*12+MONTH(B4768)-MONTH(parametros!$C$2))/12)))))</f>
        <v/>
      </c>
      <c r="D4768" s="394"/>
      <c r="E4768" s="78" t="str">
        <f>IF(C4768="","",IFERROR(VLOOKUP(C4768,parametros!$A$11:$E$15,5,0),""))</f>
        <v/>
      </c>
      <c r="F4768" s="79" t="str">
        <f t="shared" si="372"/>
        <v/>
      </c>
      <c r="G4768" s="395"/>
      <c r="H4768" s="91">
        <f t="shared" si="373"/>
        <v>0</v>
      </c>
      <c r="I4768" s="91" t="str">
        <f t="shared" si="374"/>
        <v/>
      </c>
      <c r="J4768" s="91" t="str">
        <f t="shared" si="375"/>
        <v/>
      </c>
      <c r="K4768" s="92" t="str">
        <f>IF(AND(A4768="",B4768="",D4768="",G4768=""),"",IF(AND(A4768&lt;&gt;"",COUNTIF($A$2:$A$5001,A4768)&gt;1),"NUMERO_PC duplicado",IF(B4768="","DATA_PC vazia",IF(NOT(ISNUMBER(B4768)),"DATA_PC invalida",IF(OR(C4768="",C4768="Fora dos ciclos"),"CICLO_PC nao identificado",IF(OR(D4768="",D4768=0),"VALOR_PC vazio ou zero",IF(AND(G4768&lt;&gt;"Sim",G4768&lt;&gt;"Nao",G4768&lt;&gt;""),"PC_PAGO_A_CONTRATADA invalido",IF(AND(C4768&lt;&gt;"C0",IFERROR(INDEX(parametros!$A$2:$A$6,MATCH(C4768,parametros!$B$2:$B$6,0)),"")="Sim",IFERROR(INDEX(parametros!$H$2:$H$6,MATCH(C4768,parametros!$B$2:$B$6,0)),"")=""),"INICIO_EFEITO ausente: PC "&amp;A4768&amp;" - "&amp;C4768,IF(L4768="","EFEITO_PC nao calculado: PC "&amp;A4768&amp;" - "&amp;C4768,"OK")))))))))</f>
        <v/>
      </c>
      <c r="L4768" s="92" t="str">
        <f>IF(AND(A4768="",B4768="",D4768="",G4768=""),"",IF(OR(B4768="",NOT(ISNUMBER(B4768)),C4768="",C4768="Fora dos ciclos"),"",IF(C4768="C0","Nao",IF(IFERROR(INDEX(parametros!$A$2:$A$6,MATCH(C4768,parametros!$B$2:$B$6,0)),"")&lt;&gt;"Sim","Nao",IF(IFERROR(INDEX(parametros!$H$2:$H$6,MATCH(C4768,parametros!$B$2:$B$6,0)),"")="","",IF(B4768&gt;=IFERROR(INDEX(parametros!$H$2:$H$6,MATCH(C4768,parametros!$B$2:$B$6,0)),""),"Sim","Nao"))))))</f>
        <v/>
      </c>
      <c r="T4768" s="156"/>
      <c r="U4768" s="214" t="str">
        <f t="shared" si="376"/>
        <v/>
      </c>
      <c r="V4768" s="212" t="s">
        <v>50</v>
      </c>
      <c r="W4768" s="100" t="s">
        <v>168</v>
      </c>
      <c r="X4768" s="100" t="s">
        <v>169</v>
      </c>
      <c r="Y4768" s="101" t="s">
        <v>170</v>
      </c>
      <c r="Z4768" s="101" t="s">
        <v>171</v>
      </c>
      <c r="AA4768" s="101" t="s">
        <v>50</v>
      </c>
      <c r="AB4768" s="101" t="s">
        <v>172</v>
      </c>
      <c r="AC4768" s="102" t="s">
        <v>173</v>
      </c>
    </row>
    <row r="4769" spans="1:29" ht="25.5" customHeight="1" x14ac:dyDescent="0.35">
      <c r="A4769" s="392"/>
      <c r="B4769" s="393"/>
      <c r="C4769" s="99" t="str">
        <f>IF(B4769="","",IF(NOT(ISNUMBER(B4769)),"DATA_PC invalida",IF(NOT(ISNUMBER(parametros!$C$2)),"Fora dos ciclos",IF(OR(B4769&lt;parametros!$C$2,(YEAR(B4769)-YEAR(parametros!$C$2))*12+MONTH(B4769)-MONTH(parametros!$C$2)&gt;59),"Fora dos ciclos","C"&amp;INT(((YEAR(B4769)-YEAR(parametros!$C$2))*12+MONTH(B4769)-MONTH(parametros!$C$2))/12)))))</f>
        <v/>
      </c>
      <c r="D4769" s="394"/>
      <c r="E4769" s="78" t="str">
        <f>IF(C4769="","",IFERROR(VLOOKUP(C4769,parametros!$A$11:$E$15,5,0),""))</f>
        <v/>
      </c>
      <c r="F4769" s="79" t="str">
        <f t="shared" si="372"/>
        <v/>
      </c>
      <c r="G4769" s="395"/>
      <c r="H4769" s="91">
        <f t="shared" si="373"/>
        <v>0</v>
      </c>
      <c r="I4769" s="91" t="str">
        <f t="shared" si="374"/>
        <v/>
      </c>
      <c r="J4769" s="91" t="str">
        <f t="shared" si="375"/>
        <v/>
      </c>
      <c r="K4769" s="92" t="str">
        <f>IF(AND(A4769="",B4769="",D4769="",G4769=""),"",IF(AND(A4769&lt;&gt;"",COUNTIF($A$2:$A$5001,A4769)&gt;1),"NUMERO_PC duplicado",IF(B4769="","DATA_PC vazia",IF(NOT(ISNUMBER(B4769)),"DATA_PC invalida",IF(OR(C4769="",C4769="Fora dos ciclos"),"CICLO_PC nao identificado",IF(OR(D4769="",D4769=0),"VALOR_PC vazio ou zero",IF(AND(G4769&lt;&gt;"Sim",G4769&lt;&gt;"Nao",G4769&lt;&gt;""),"PC_PAGO_A_CONTRATADA invalido",IF(AND(C4769&lt;&gt;"C0",IFERROR(INDEX(parametros!$A$2:$A$6,MATCH(C4769,parametros!$B$2:$B$6,0)),"")="Sim",IFERROR(INDEX(parametros!$H$2:$H$6,MATCH(C4769,parametros!$B$2:$B$6,0)),"")=""),"INICIO_EFEITO ausente: PC "&amp;A4769&amp;" - "&amp;C4769,IF(L4769="","EFEITO_PC nao calculado: PC "&amp;A4769&amp;" - "&amp;C4769,"OK")))))))))</f>
        <v/>
      </c>
      <c r="L4769" s="92" t="str">
        <f>IF(AND(A4769="",B4769="",D4769="",G4769=""),"",IF(OR(B4769="",NOT(ISNUMBER(B4769)),C4769="",C4769="Fora dos ciclos"),"",IF(C4769="C0","Nao",IF(IFERROR(INDEX(parametros!$A$2:$A$6,MATCH(C4769,parametros!$B$2:$B$6,0)),"")&lt;&gt;"Sim","Nao",IF(IFERROR(INDEX(parametros!$H$2:$H$6,MATCH(C4769,parametros!$B$2:$B$6,0)),"")="","",IF(B4769&gt;=IFERROR(INDEX(parametros!$H$2:$H$6,MATCH(C4769,parametros!$B$2:$B$6,0)),""),"Sim","Nao"))))))</f>
        <v/>
      </c>
      <c r="T4769" s="156"/>
      <c r="U4769" s="214" t="str">
        <f t="shared" si="376"/>
        <v/>
      </c>
      <c r="V4769" s="212" t="s">
        <v>50</v>
      </c>
      <c r="W4769" s="100" t="s">
        <v>168</v>
      </c>
      <c r="X4769" s="100" t="s">
        <v>169</v>
      </c>
      <c r="Y4769" s="101" t="s">
        <v>170</v>
      </c>
      <c r="Z4769" s="101" t="s">
        <v>171</v>
      </c>
      <c r="AA4769" s="101" t="s">
        <v>50</v>
      </c>
      <c r="AB4769" s="101" t="s">
        <v>172</v>
      </c>
      <c r="AC4769" s="102" t="s">
        <v>173</v>
      </c>
    </row>
    <row r="4770" spans="1:29" ht="25.5" customHeight="1" x14ac:dyDescent="0.35">
      <c r="A4770" s="392"/>
      <c r="B4770" s="393"/>
      <c r="C4770" s="99" t="str">
        <f>IF(B4770="","",IF(NOT(ISNUMBER(B4770)),"DATA_PC invalida",IF(NOT(ISNUMBER(parametros!$C$2)),"Fora dos ciclos",IF(OR(B4770&lt;parametros!$C$2,(YEAR(B4770)-YEAR(parametros!$C$2))*12+MONTH(B4770)-MONTH(parametros!$C$2)&gt;59),"Fora dos ciclos","C"&amp;INT(((YEAR(B4770)-YEAR(parametros!$C$2))*12+MONTH(B4770)-MONTH(parametros!$C$2))/12)))))</f>
        <v/>
      </c>
      <c r="D4770" s="394"/>
      <c r="E4770" s="78" t="str">
        <f>IF(C4770="","",IFERROR(VLOOKUP(C4770,parametros!$A$11:$E$15,5,0),""))</f>
        <v/>
      </c>
      <c r="F4770" s="79" t="str">
        <f t="shared" si="372"/>
        <v/>
      </c>
      <c r="G4770" s="395"/>
      <c r="H4770" s="91">
        <f t="shared" si="373"/>
        <v>0</v>
      </c>
      <c r="I4770" s="91" t="str">
        <f t="shared" si="374"/>
        <v/>
      </c>
      <c r="J4770" s="91" t="str">
        <f t="shared" si="375"/>
        <v/>
      </c>
      <c r="K4770" s="92" t="str">
        <f>IF(AND(A4770="",B4770="",D4770="",G4770=""),"",IF(AND(A4770&lt;&gt;"",COUNTIF($A$2:$A$5001,A4770)&gt;1),"NUMERO_PC duplicado",IF(B4770="","DATA_PC vazia",IF(NOT(ISNUMBER(B4770)),"DATA_PC invalida",IF(OR(C4770="",C4770="Fora dos ciclos"),"CICLO_PC nao identificado",IF(OR(D4770="",D4770=0),"VALOR_PC vazio ou zero",IF(AND(G4770&lt;&gt;"Sim",G4770&lt;&gt;"Nao",G4770&lt;&gt;""),"PC_PAGO_A_CONTRATADA invalido",IF(AND(C4770&lt;&gt;"C0",IFERROR(INDEX(parametros!$A$2:$A$6,MATCH(C4770,parametros!$B$2:$B$6,0)),"")="Sim",IFERROR(INDEX(parametros!$H$2:$H$6,MATCH(C4770,parametros!$B$2:$B$6,0)),"")=""),"INICIO_EFEITO ausente: PC "&amp;A4770&amp;" - "&amp;C4770,IF(L4770="","EFEITO_PC nao calculado: PC "&amp;A4770&amp;" - "&amp;C4770,"OK")))))))))</f>
        <v/>
      </c>
      <c r="L4770" s="92" t="str">
        <f>IF(AND(A4770="",B4770="",D4770="",G4770=""),"",IF(OR(B4770="",NOT(ISNUMBER(B4770)),C4770="",C4770="Fora dos ciclos"),"",IF(C4770="C0","Nao",IF(IFERROR(INDEX(parametros!$A$2:$A$6,MATCH(C4770,parametros!$B$2:$B$6,0)),"")&lt;&gt;"Sim","Nao",IF(IFERROR(INDEX(parametros!$H$2:$H$6,MATCH(C4770,parametros!$B$2:$B$6,0)),"")="","",IF(B4770&gt;=IFERROR(INDEX(parametros!$H$2:$H$6,MATCH(C4770,parametros!$B$2:$B$6,0)),""),"Sim","Nao"))))))</f>
        <v/>
      </c>
      <c r="T4770" s="156"/>
      <c r="U4770" s="214" t="str">
        <f t="shared" si="376"/>
        <v/>
      </c>
      <c r="V4770" s="212" t="s">
        <v>50</v>
      </c>
      <c r="W4770" s="100" t="s">
        <v>168</v>
      </c>
      <c r="X4770" s="100" t="s">
        <v>169</v>
      </c>
      <c r="Y4770" s="101" t="s">
        <v>170</v>
      </c>
      <c r="Z4770" s="101" t="s">
        <v>171</v>
      </c>
      <c r="AA4770" s="101" t="s">
        <v>50</v>
      </c>
      <c r="AB4770" s="101" t="s">
        <v>172</v>
      </c>
      <c r="AC4770" s="102" t="s">
        <v>173</v>
      </c>
    </row>
    <row r="4771" spans="1:29" ht="25.5" customHeight="1" x14ac:dyDescent="0.35">
      <c r="A4771" s="392"/>
      <c r="B4771" s="393"/>
      <c r="C4771" s="99" t="str">
        <f>IF(B4771="","",IF(NOT(ISNUMBER(B4771)),"DATA_PC invalida",IF(NOT(ISNUMBER(parametros!$C$2)),"Fora dos ciclos",IF(OR(B4771&lt;parametros!$C$2,(YEAR(B4771)-YEAR(parametros!$C$2))*12+MONTH(B4771)-MONTH(parametros!$C$2)&gt;59),"Fora dos ciclos","C"&amp;INT(((YEAR(B4771)-YEAR(parametros!$C$2))*12+MONTH(B4771)-MONTH(parametros!$C$2))/12)))))</f>
        <v/>
      </c>
      <c r="D4771" s="394"/>
      <c r="E4771" s="78" t="str">
        <f>IF(C4771="","",IFERROR(VLOOKUP(C4771,parametros!$A$11:$E$15,5,0),""))</f>
        <v/>
      </c>
      <c r="F4771" s="79" t="str">
        <f t="shared" si="372"/>
        <v/>
      </c>
      <c r="G4771" s="395"/>
      <c r="H4771" s="91">
        <f t="shared" si="373"/>
        <v>0</v>
      </c>
      <c r="I4771" s="91" t="str">
        <f t="shared" si="374"/>
        <v/>
      </c>
      <c r="J4771" s="91" t="str">
        <f t="shared" si="375"/>
        <v/>
      </c>
      <c r="K4771" s="92" t="str">
        <f>IF(AND(A4771="",B4771="",D4771="",G4771=""),"",IF(AND(A4771&lt;&gt;"",COUNTIF($A$2:$A$5001,A4771)&gt;1),"NUMERO_PC duplicado",IF(B4771="","DATA_PC vazia",IF(NOT(ISNUMBER(B4771)),"DATA_PC invalida",IF(OR(C4771="",C4771="Fora dos ciclos"),"CICLO_PC nao identificado",IF(OR(D4771="",D4771=0),"VALOR_PC vazio ou zero",IF(AND(G4771&lt;&gt;"Sim",G4771&lt;&gt;"Nao",G4771&lt;&gt;""),"PC_PAGO_A_CONTRATADA invalido",IF(AND(C4771&lt;&gt;"C0",IFERROR(INDEX(parametros!$A$2:$A$6,MATCH(C4771,parametros!$B$2:$B$6,0)),"")="Sim",IFERROR(INDEX(parametros!$H$2:$H$6,MATCH(C4771,parametros!$B$2:$B$6,0)),"")=""),"INICIO_EFEITO ausente: PC "&amp;A4771&amp;" - "&amp;C4771,IF(L4771="","EFEITO_PC nao calculado: PC "&amp;A4771&amp;" - "&amp;C4771,"OK")))))))))</f>
        <v/>
      </c>
      <c r="L4771" s="92" t="str">
        <f>IF(AND(A4771="",B4771="",D4771="",G4771=""),"",IF(OR(B4771="",NOT(ISNUMBER(B4771)),C4771="",C4771="Fora dos ciclos"),"",IF(C4771="C0","Nao",IF(IFERROR(INDEX(parametros!$A$2:$A$6,MATCH(C4771,parametros!$B$2:$B$6,0)),"")&lt;&gt;"Sim","Nao",IF(IFERROR(INDEX(parametros!$H$2:$H$6,MATCH(C4771,parametros!$B$2:$B$6,0)),"")="","",IF(B4771&gt;=IFERROR(INDEX(parametros!$H$2:$H$6,MATCH(C4771,parametros!$B$2:$B$6,0)),""),"Sim","Nao"))))))</f>
        <v/>
      </c>
      <c r="T4771" s="156"/>
      <c r="U4771" s="214" t="str">
        <f t="shared" si="376"/>
        <v/>
      </c>
      <c r="V4771" s="212" t="s">
        <v>50</v>
      </c>
      <c r="W4771" s="100" t="s">
        <v>168</v>
      </c>
      <c r="X4771" s="100" t="s">
        <v>169</v>
      </c>
      <c r="Y4771" s="101" t="s">
        <v>170</v>
      </c>
      <c r="Z4771" s="101" t="s">
        <v>171</v>
      </c>
      <c r="AA4771" s="101" t="s">
        <v>50</v>
      </c>
      <c r="AB4771" s="101" t="s">
        <v>172</v>
      </c>
      <c r="AC4771" s="102" t="s">
        <v>173</v>
      </c>
    </row>
    <row r="4772" spans="1:29" ht="25.5" customHeight="1" x14ac:dyDescent="0.35">
      <c r="A4772" s="392"/>
      <c r="B4772" s="393"/>
      <c r="C4772" s="99" t="str">
        <f>IF(B4772="","",IF(NOT(ISNUMBER(B4772)),"DATA_PC invalida",IF(NOT(ISNUMBER(parametros!$C$2)),"Fora dos ciclos",IF(OR(B4772&lt;parametros!$C$2,(YEAR(B4772)-YEAR(parametros!$C$2))*12+MONTH(B4772)-MONTH(parametros!$C$2)&gt;59),"Fora dos ciclos","C"&amp;INT(((YEAR(B4772)-YEAR(parametros!$C$2))*12+MONTH(B4772)-MONTH(parametros!$C$2))/12)))))</f>
        <v/>
      </c>
      <c r="D4772" s="394"/>
      <c r="E4772" s="78" t="str">
        <f>IF(C4772="","",IFERROR(VLOOKUP(C4772,parametros!$A$11:$E$15,5,0),""))</f>
        <v/>
      </c>
      <c r="F4772" s="79" t="str">
        <f t="shared" si="372"/>
        <v/>
      </c>
      <c r="G4772" s="395"/>
      <c r="H4772" s="91">
        <f t="shared" si="373"/>
        <v>0</v>
      </c>
      <c r="I4772" s="91" t="str">
        <f t="shared" si="374"/>
        <v/>
      </c>
      <c r="J4772" s="91" t="str">
        <f t="shared" si="375"/>
        <v/>
      </c>
      <c r="K4772" s="92" t="str">
        <f>IF(AND(A4772="",B4772="",D4772="",G4772=""),"",IF(AND(A4772&lt;&gt;"",COUNTIF($A$2:$A$5001,A4772)&gt;1),"NUMERO_PC duplicado",IF(B4772="","DATA_PC vazia",IF(NOT(ISNUMBER(B4772)),"DATA_PC invalida",IF(OR(C4772="",C4772="Fora dos ciclos"),"CICLO_PC nao identificado",IF(OR(D4772="",D4772=0),"VALOR_PC vazio ou zero",IF(AND(G4772&lt;&gt;"Sim",G4772&lt;&gt;"Nao",G4772&lt;&gt;""),"PC_PAGO_A_CONTRATADA invalido",IF(AND(C4772&lt;&gt;"C0",IFERROR(INDEX(parametros!$A$2:$A$6,MATCH(C4772,parametros!$B$2:$B$6,0)),"")="Sim",IFERROR(INDEX(parametros!$H$2:$H$6,MATCH(C4772,parametros!$B$2:$B$6,0)),"")=""),"INICIO_EFEITO ausente: PC "&amp;A4772&amp;" - "&amp;C4772,IF(L4772="","EFEITO_PC nao calculado: PC "&amp;A4772&amp;" - "&amp;C4772,"OK")))))))))</f>
        <v/>
      </c>
      <c r="L4772" s="92" t="str">
        <f>IF(AND(A4772="",B4772="",D4772="",G4772=""),"",IF(OR(B4772="",NOT(ISNUMBER(B4772)),C4772="",C4772="Fora dos ciclos"),"",IF(C4772="C0","Nao",IF(IFERROR(INDEX(parametros!$A$2:$A$6,MATCH(C4772,parametros!$B$2:$B$6,0)),"")&lt;&gt;"Sim","Nao",IF(IFERROR(INDEX(parametros!$H$2:$H$6,MATCH(C4772,parametros!$B$2:$B$6,0)),"")="","",IF(B4772&gt;=IFERROR(INDEX(parametros!$H$2:$H$6,MATCH(C4772,parametros!$B$2:$B$6,0)),""),"Sim","Nao"))))))</f>
        <v/>
      </c>
      <c r="T4772" s="156"/>
      <c r="U4772" s="214" t="str">
        <f t="shared" si="376"/>
        <v/>
      </c>
      <c r="V4772" s="212" t="s">
        <v>50</v>
      </c>
      <c r="W4772" s="100" t="s">
        <v>168</v>
      </c>
      <c r="X4772" s="100" t="s">
        <v>169</v>
      </c>
      <c r="Y4772" s="101" t="s">
        <v>170</v>
      </c>
      <c r="Z4772" s="101" t="s">
        <v>171</v>
      </c>
      <c r="AA4772" s="101" t="s">
        <v>50</v>
      </c>
      <c r="AB4772" s="101" t="s">
        <v>172</v>
      </c>
      <c r="AC4772" s="102" t="s">
        <v>173</v>
      </c>
    </row>
    <row r="4773" spans="1:29" ht="25.5" customHeight="1" x14ac:dyDescent="0.35">
      <c r="A4773" s="392"/>
      <c r="B4773" s="393"/>
      <c r="C4773" s="99" t="str">
        <f>IF(B4773="","",IF(NOT(ISNUMBER(B4773)),"DATA_PC invalida",IF(NOT(ISNUMBER(parametros!$C$2)),"Fora dos ciclos",IF(OR(B4773&lt;parametros!$C$2,(YEAR(B4773)-YEAR(parametros!$C$2))*12+MONTH(B4773)-MONTH(parametros!$C$2)&gt;59),"Fora dos ciclos","C"&amp;INT(((YEAR(B4773)-YEAR(parametros!$C$2))*12+MONTH(B4773)-MONTH(parametros!$C$2))/12)))))</f>
        <v/>
      </c>
      <c r="D4773" s="394"/>
      <c r="E4773" s="78" t="str">
        <f>IF(C4773="","",IFERROR(VLOOKUP(C4773,parametros!$A$11:$E$15,5,0),""))</f>
        <v/>
      </c>
      <c r="F4773" s="79" t="str">
        <f t="shared" si="372"/>
        <v/>
      </c>
      <c r="G4773" s="395"/>
      <c r="H4773" s="91">
        <f t="shared" si="373"/>
        <v>0</v>
      </c>
      <c r="I4773" s="91" t="str">
        <f t="shared" si="374"/>
        <v/>
      </c>
      <c r="J4773" s="91" t="str">
        <f t="shared" si="375"/>
        <v/>
      </c>
      <c r="K4773" s="92" t="str">
        <f>IF(AND(A4773="",B4773="",D4773="",G4773=""),"",IF(AND(A4773&lt;&gt;"",COUNTIF($A$2:$A$5001,A4773)&gt;1),"NUMERO_PC duplicado",IF(B4773="","DATA_PC vazia",IF(NOT(ISNUMBER(B4773)),"DATA_PC invalida",IF(OR(C4773="",C4773="Fora dos ciclos"),"CICLO_PC nao identificado",IF(OR(D4773="",D4773=0),"VALOR_PC vazio ou zero",IF(AND(G4773&lt;&gt;"Sim",G4773&lt;&gt;"Nao",G4773&lt;&gt;""),"PC_PAGO_A_CONTRATADA invalido",IF(AND(C4773&lt;&gt;"C0",IFERROR(INDEX(parametros!$A$2:$A$6,MATCH(C4773,parametros!$B$2:$B$6,0)),"")="Sim",IFERROR(INDEX(parametros!$H$2:$H$6,MATCH(C4773,parametros!$B$2:$B$6,0)),"")=""),"INICIO_EFEITO ausente: PC "&amp;A4773&amp;" - "&amp;C4773,IF(L4773="","EFEITO_PC nao calculado: PC "&amp;A4773&amp;" - "&amp;C4773,"OK")))))))))</f>
        <v/>
      </c>
      <c r="L4773" s="92" t="str">
        <f>IF(AND(A4773="",B4773="",D4773="",G4773=""),"",IF(OR(B4773="",NOT(ISNUMBER(B4773)),C4773="",C4773="Fora dos ciclos"),"",IF(C4773="C0","Nao",IF(IFERROR(INDEX(parametros!$A$2:$A$6,MATCH(C4773,parametros!$B$2:$B$6,0)),"")&lt;&gt;"Sim","Nao",IF(IFERROR(INDEX(parametros!$H$2:$H$6,MATCH(C4773,parametros!$B$2:$B$6,0)),"")="","",IF(B4773&gt;=IFERROR(INDEX(parametros!$H$2:$H$6,MATCH(C4773,parametros!$B$2:$B$6,0)),""),"Sim","Nao"))))))</f>
        <v/>
      </c>
      <c r="T4773" s="156"/>
      <c r="U4773" s="214" t="str">
        <f t="shared" si="376"/>
        <v/>
      </c>
      <c r="V4773" s="212" t="s">
        <v>50</v>
      </c>
      <c r="W4773" s="100" t="s">
        <v>168</v>
      </c>
      <c r="X4773" s="100" t="s">
        <v>169</v>
      </c>
      <c r="Y4773" s="101" t="s">
        <v>170</v>
      </c>
      <c r="Z4773" s="101" t="s">
        <v>171</v>
      </c>
      <c r="AA4773" s="101" t="s">
        <v>50</v>
      </c>
      <c r="AB4773" s="101" t="s">
        <v>172</v>
      </c>
      <c r="AC4773" s="102" t="s">
        <v>173</v>
      </c>
    </row>
    <row r="4774" spans="1:29" ht="25.5" customHeight="1" x14ac:dyDescent="0.35">
      <c r="A4774" s="392"/>
      <c r="B4774" s="393"/>
      <c r="C4774" s="99" t="str">
        <f>IF(B4774="","",IF(NOT(ISNUMBER(B4774)),"DATA_PC invalida",IF(NOT(ISNUMBER(parametros!$C$2)),"Fora dos ciclos",IF(OR(B4774&lt;parametros!$C$2,(YEAR(B4774)-YEAR(parametros!$C$2))*12+MONTH(B4774)-MONTH(parametros!$C$2)&gt;59),"Fora dos ciclos","C"&amp;INT(((YEAR(B4774)-YEAR(parametros!$C$2))*12+MONTH(B4774)-MONTH(parametros!$C$2))/12)))))</f>
        <v/>
      </c>
      <c r="D4774" s="394"/>
      <c r="E4774" s="78" t="str">
        <f>IF(C4774="","",IFERROR(VLOOKUP(C4774,parametros!$A$11:$E$15,5,0),""))</f>
        <v/>
      </c>
      <c r="F4774" s="79" t="str">
        <f t="shared" si="372"/>
        <v/>
      </c>
      <c r="G4774" s="395"/>
      <c r="H4774" s="91">
        <f t="shared" si="373"/>
        <v>0</v>
      </c>
      <c r="I4774" s="91" t="str">
        <f t="shared" si="374"/>
        <v/>
      </c>
      <c r="J4774" s="91" t="str">
        <f t="shared" si="375"/>
        <v/>
      </c>
      <c r="K4774" s="92" t="str">
        <f>IF(AND(A4774="",B4774="",D4774="",G4774=""),"",IF(AND(A4774&lt;&gt;"",COUNTIF($A$2:$A$5001,A4774)&gt;1),"NUMERO_PC duplicado",IF(B4774="","DATA_PC vazia",IF(NOT(ISNUMBER(B4774)),"DATA_PC invalida",IF(OR(C4774="",C4774="Fora dos ciclos"),"CICLO_PC nao identificado",IF(OR(D4774="",D4774=0),"VALOR_PC vazio ou zero",IF(AND(G4774&lt;&gt;"Sim",G4774&lt;&gt;"Nao",G4774&lt;&gt;""),"PC_PAGO_A_CONTRATADA invalido",IF(AND(C4774&lt;&gt;"C0",IFERROR(INDEX(parametros!$A$2:$A$6,MATCH(C4774,parametros!$B$2:$B$6,0)),"")="Sim",IFERROR(INDEX(parametros!$H$2:$H$6,MATCH(C4774,parametros!$B$2:$B$6,0)),"")=""),"INICIO_EFEITO ausente: PC "&amp;A4774&amp;" - "&amp;C4774,IF(L4774="","EFEITO_PC nao calculado: PC "&amp;A4774&amp;" - "&amp;C4774,"OK")))))))))</f>
        <v/>
      </c>
      <c r="L4774" s="92" t="str">
        <f>IF(AND(A4774="",B4774="",D4774="",G4774=""),"",IF(OR(B4774="",NOT(ISNUMBER(B4774)),C4774="",C4774="Fora dos ciclos"),"",IF(C4774="C0","Nao",IF(IFERROR(INDEX(parametros!$A$2:$A$6,MATCH(C4774,parametros!$B$2:$B$6,0)),"")&lt;&gt;"Sim","Nao",IF(IFERROR(INDEX(parametros!$H$2:$H$6,MATCH(C4774,parametros!$B$2:$B$6,0)),"")="","",IF(B4774&gt;=IFERROR(INDEX(parametros!$H$2:$H$6,MATCH(C4774,parametros!$B$2:$B$6,0)),""),"Sim","Nao"))))))</f>
        <v/>
      </c>
      <c r="T4774" s="156"/>
      <c r="U4774" s="214" t="str">
        <f t="shared" si="376"/>
        <v/>
      </c>
      <c r="V4774" s="212" t="s">
        <v>50</v>
      </c>
      <c r="W4774" s="100" t="s">
        <v>168</v>
      </c>
      <c r="X4774" s="100" t="s">
        <v>169</v>
      </c>
      <c r="Y4774" s="101" t="s">
        <v>170</v>
      </c>
      <c r="Z4774" s="101" t="s">
        <v>171</v>
      </c>
      <c r="AA4774" s="101" t="s">
        <v>50</v>
      </c>
      <c r="AB4774" s="101" t="s">
        <v>172</v>
      </c>
      <c r="AC4774" s="102" t="s">
        <v>173</v>
      </c>
    </row>
    <row r="4775" spans="1:29" ht="25.5" customHeight="1" x14ac:dyDescent="0.35">
      <c r="A4775" s="392"/>
      <c r="B4775" s="393"/>
      <c r="C4775" s="99" t="str">
        <f>IF(B4775="","",IF(NOT(ISNUMBER(B4775)),"DATA_PC invalida",IF(NOT(ISNUMBER(parametros!$C$2)),"Fora dos ciclos",IF(OR(B4775&lt;parametros!$C$2,(YEAR(B4775)-YEAR(parametros!$C$2))*12+MONTH(B4775)-MONTH(parametros!$C$2)&gt;59),"Fora dos ciclos","C"&amp;INT(((YEAR(B4775)-YEAR(parametros!$C$2))*12+MONTH(B4775)-MONTH(parametros!$C$2))/12)))))</f>
        <v/>
      </c>
      <c r="D4775" s="394"/>
      <c r="E4775" s="78" t="str">
        <f>IF(C4775="","",IFERROR(VLOOKUP(C4775,parametros!$A$11:$E$15,5,0),""))</f>
        <v/>
      </c>
      <c r="F4775" s="79" t="str">
        <f t="shared" si="372"/>
        <v/>
      </c>
      <c r="G4775" s="395"/>
      <c r="H4775" s="91">
        <f t="shared" si="373"/>
        <v>0</v>
      </c>
      <c r="I4775" s="91" t="str">
        <f t="shared" si="374"/>
        <v/>
      </c>
      <c r="J4775" s="91" t="str">
        <f t="shared" si="375"/>
        <v/>
      </c>
      <c r="K4775" s="92" t="str">
        <f>IF(AND(A4775="",B4775="",D4775="",G4775=""),"",IF(AND(A4775&lt;&gt;"",COUNTIF($A$2:$A$5001,A4775)&gt;1),"NUMERO_PC duplicado",IF(B4775="","DATA_PC vazia",IF(NOT(ISNUMBER(B4775)),"DATA_PC invalida",IF(OR(C4775="",C4775="Fora dos ciclos"),"CICLO_PC nao identificado",IF(OR(D4775="",D4775=0),"VALOR_PC vazio ou zero",IF(AND(G4775&lt;&gt;"Sim",G4775&lt;&gt;"Nao",G4775&lt;&gt;""),"PC_PAGO_A_CONTRATADA invalido",IF(AND(C4775&lt;&gt;"C0",IFERROR(INDEX(parametros!$A$2:$A$6,MATCH(C4775,parametros!$B$2:$B$6,0)),"")="Sim",IFERROR(INDEX(parametros!$H$2:$H$6,MATCH(C4775,parametros!$B$2:$B$6,0)),"")=""),"INICIO_EFEITO ausente: PC "&amp;A4775&amp;" - "&amp;C4775,IF(L4775="","EFEITO_PC nao calculado: PC "&amp;A4775&amp;" - "&amp;C4775,"OK")))))))))</f>
        <v/>
      </c>
      <c r="L4775" s="92" t="str">
        <f>IF(AND(A4775="",B4775="",D4775="",G4775=""),"",IF(OR(B4775="",NOT(ISNUMBER(B4775)),C4775="",C4775="Fora dos ciclos"),"",IF(C4775="C0","Nao",IF(IFERROR(INDEX(parametros!$A$2:$A$6,MATCH(C4775,parametros!$B$2:$B$6,0)),"")&lt;&gt;"Sim","Nao",IF(IFERROR(INDEX(parametros!$H$2:$H$6,MATCH(C4775,parametros!$B$2:$B$6,0)),"")="","",IF(B4775&gt;=IFERROR(INDEX(parametros!$H$2:$H$6,MATCH(C4775,parametros!$B$2:$B$6,0)),""),"Sim","Nao"))))))</f>
        <v/>
      </c>
      <c r="T4775" s="156"/>
      <c r="U4775" s="214" t="str">
        <f t="shared" si="376"/>
        <v/>
      </c>
      <c r="V4775" s="212" t="s">
        <v>50</v>
      </c>
      <c r="W4775" s="100" t="s">
        <v>168</v>
      </c>
      <c r="X4775" s="100" t="s">
        <v>169</v>
      </c>
      <c r="Y4775" s="101" t="s">
        <v>170</v>
      </c>
      <c r="Z4775" s="101" t="s">
        <v>171</v>
      </c>
      <c r="AA4775" s="101" t="s">
        <v>50</v>
      </c>
      <c r="AB4775" s="101" t="s">
        <v>172</v>
      </c>
      <c r="AC4775" s="102" t="s">
        <v>173</v>
      </c>
    </row>
    <row r="4776" spans="1:29" ht="25.5" customHeight="1" x14ac:dyDescent="0.35">
      <c r="A4776" s="392"/>
      <c r="B4776" s="393"/>
      <c r="C4776" s="99" t="str">
        <f>IF(B4776="","",IF(NOT(ISNUMBER(B4776)),"DATA_PC invalida",IF(NOT(ISNUMBER(parametros!$C$2)),"Fora dos ciclos",IF(OR(B4776&lt;parametros!$C$2,(YEAR(B4776)-YEAR(parametros!$C$2))*12+MONTH(B4776)-MONTH(parametros!$C$2)&gt;59),"Fora dos ciclos","C"&amp;INT(((YEAR(B4776)-YEAR(parametros!$C$2))*12+MONTH(B4776)-MONTH(parametros!$C$2))/12)))))</f>
        <v/>
      </c>
      <c r="D4776" s="394"/>
      <c r="E4776" s="78" t="str">
        <f>IF(C4776="","",IFERROR(VLOOKUP(C4776,parametros!$A$11:$E$15,5,0),""))</f>
        <v/>
      </c>
      <c r="F4776" s="79" t="str">
        <f t="shared" si="372"/>
        <v/>
      </c>
      <c r="G4776" s="395"/>
      <c r="H4776" s="91">
        <f t="shared" si="373"/>
        <v>0</v>
      </c>
      <c r="I4776" s="91" t="str">
        <f t="shared" si="374"/>
        <v/>
      </c>
      <c r="J4776" s="91" t="str">
        <f t="shared" si="375"/>
        <v/>
      </c>
      <c r="K4776" s="92" t="str">
        <f>IF(AND(A4776="",B4776="",D4776="",G4776=""),"",IF(AND(A4776&lt;&gt;"",COUNTIF($A$2:$A$5001,A4776)&gt;1),"NUMERO_PC duplicado",IF(B4776="","DATA_PC vazia",IF(NOT(ISNUMBER(B4776)),"DATA_PC invalida",IF(OR(C4776="",C4776="Fora dos ciclos"),"CICLO_PC nao identificado",IF(OR(D4776="",D4776=0),"VALOR_PC vazio ou zero",IF(AND(G4776&lt;&gt;"Sim",G4776&lt;&gt;"Nao",G4776&lt;&gt;""),"PC_PAGO_A_CONTRATADA invalido",IF(AND(C4776&lt;&gt;"C0",IFERROR(INDEX(parametros!$A$2:$A$6,MATCH(C4776,parametros!$B$2:$B$6,0)),"")="Sim",IFERROR(INDEX(parametros!$H$2:$H$6,MATCH(C4776,parametros!$B$2:$B$6,0)),"")=""),"INICIO_EFEITO ausente: PC "&amp;A4776&amp;" - "&amp;C4776,IF(L4776="","EFEITO_PC nao calculado: PC "&amp;A4776&amp;" - "&amp;C4776,"OK")))))))))</f>
        <v/>
      </c>
      <c r="L4776" s="92" t="str">
        <f>IF(AND(A4776="",B4776="",D4776="",G4776=""),"",IF(OR(B4776="",NOT(ISNUMBER(B4776)),C4776="",C4776="Fora dos ciclos"),"",IF(C4776="C0","Nao",IF(IFERROR(INDEX(parametros!$A$2:$A$6,MATCH(C4776,parametros!$B$2:$B$6,0)),"")&lt;&gt;"Sim","Nao",IF(IFERROR(INDEX(parametros!$H$2:$H$6,MATCH(C4776,parametros!$B$2:$B$6,0)),"")="","",IF(B4776&gt;=IFERROR(INDEX(parametros!$H$2:$H$6,MATCH(C4776,parametros!$B$2:$B$6,0)),""),"Sim","Nao"))))))</f>
        <v/>
      </c>
      <c r="T4776" s="156"/>
      <c r="U4776" s="214" t="str">
        <f t="shared" si="376"/>
        <v/>
      </c>
      <c r="V4776" s="212" t="s">
        <v>50</v>
      </c>
      <c r="W4776" s="100" t="s">
        <v>168</v>
      </c>
      <c r="X4776" s="100" t="s">
        <v>169</v>
      </c>
      <c r="Y4776" s="101" t="s">
        <v>170</v>
      </c>
      <c r="Z4776" s="101" t="s">
        <v>171</v>
      </c>
      <c r="AA4776" s="101" t="s">
        <v>50</v>
      </c>
      <c r="AB4776" s="101" t="s">
        <v>172</v>
      </c>
      <c r="AC4776" s="102" t="s">
        <v>173</v>
      </c>
    </row>
    <row r="4777" spans="1:29" ht="25.5" customHeight="1" x14ac:dyDescent="0.35">
      <c r="A4777" s="392"/>
      <c r="B4777" s="393"/>
      <c r="C4777" s="99" t="str">
        <f>IF(B4777="","",IF(NOT(ISNUMBER(B4777)),"DATA_PC invalida",IF(NOT(ISNUMBER(parametros!$C$2)),"Fora dos ciclos",IF(OR(B4777&lt;parametros!$C$2,(YEAR(B4777)-YEAR(parametros!$C$2))*12+MONTH(B4777)-MONTH(parametros!$C$2)&gt;59),"Fora dos ciclos","C"&amp;INT(((YEAR(B4777)-YEAR(parametros!$C$2))*12+MONTH(B4777)-MONTH(parametros!$C$2))/12)))))</f>
        <v/>
      </c>
      <c r="D4777" s="394"/>
      <c r="E4777" s="78" t="str">
        <f>IF(C4777="","",IFERROR(VLOOKUP(C4777,parametros!$A$11:$E$15,5,0),""))</f>
        <v/>
      </c>
      <c r="F4777" s="79" t="str">
        <f t="shared" si="372"/>
        <v/>
      </c>
      <c r="G4777" s="395"/>
      <c r="H4777" s="91">
        <f t="shared" si="373"/>
        <v>0</v>
      </c>
      <c r="I4777" s="91" t="str">
        <f t="shared" si="374"/>
        <v/>
      </c>
      <c r="J4777" s="91" t="str">
        <f t="shared" si="375"/>
        <v/>
      </c>
      <c r="K4777" s="92" t="str">
        <f>IF(AND(A4777="",B4777="",D4777="",G4777=""),"",IF(AND(A4777&lt;&gt;"",COUNTIF($A$2:$A$5001,A4777)&gt;1),"NUMERO_PC duplicado",IF(B4777="","DATA_PC vazia",IF(NOT(ISNUMBER(B4777)),"DATA_PC invalida",IF(OR(C4777="",C4777="Fora dos ciclos"),"CICLO_PC nao identificado",IF(OR(D4777="",D4777=0),"VALOR_PC vazio ou zero",IF(AND(G4777&lt;&gt;"Sim",G4777&lt;&gt;"Nao",G4777&lt;&gt;""),"PC_PAGO_A_CONTRATADA invalido",IF(AND(C4777&lt;&gt;"C0",IFERROR(INDEX(parametros!$A$2:$A$6,MATCH(C4777,parametros!$B$2:$B$6,0)),"")="Sim",IFERROR(INDEX(parametros!$H$2:$H$6,MATCH(C4777,parametros!$B$2:$B$6,0)),"")=""),"INICIO_EFEITO ausente: PC "&amp;A4777&amp;" - "&amp;C4777,IF(L4777="","EFEITO_PC nao calculado: PC "&amp;A4777&amp;" - "&amp;C4777,"OK")))))))))</f>
        <v/>
      </c>
      <c r="L4777" s="92" t="str">
        <f>IF(AND(A4777="",B4777="",D4777="",G4777=""),"",IF(OR(B4777="",NOT(ISNUMBER(B4777)),C4777="",C4777="Fora dos ciclos"),"",IF(C4777="C0","Nao",IF(IFERROR(INDEX(parametros!$A$2:$A$6,MATCH(C4777,parametros!$B$2:$B$6,0)),"")&lt;&gt;"Sim","Nao",IF(IFERROR(INDEX(parametros!$H$2:$H$6,MATCH(C4777,parametros!$B$2:$B$6,0)),"")="","",IF(B4777&gt;=IFERROR(INDEX(parametros!$H$2:$H$6,MATCH(C4777,parametros!$B$2:$B$6,0)),""),"Sim","Nao"))))))</f>
        <v/>
      </c>
      <c r="T4777" s="156"/>
      <c r="U4777" s="214" t="str">
        <f t="shared" si="376"/>
        <v/>
      </c>
      <c r="V4777" s="212" t="s">
        <v>50</v>
      </c>
      <c r="W4777" s="100" t="s">
        <v>168</v>
      </c>
      <c r="X4777" s="100" t="s">
        <v>169</v>
      </c>
      <c r="Y4777" s="101" t="s">
        <v>170</v>
      </c>
      <c r="Z4777" s="101" t="s">
        <v>171</v>
      </c>
      <c r="AA4777" s="101" t="s">
        <v>50</v>
      </c>
      <c r="AB4777" s="101" t="s">
        <v>172</v>
      </c>
      <c r="AC4777" s="102" t="s">
        <v>173</v>
      </c>
    </row>
    <row r="4778" spans="1:29" ht="25.5" customHeight="1" x14ac:dyDescent="0.35">
      <c r="A4778" s="392"/>
      <c r="B4778" s="393"/>
      <c r="C4778" s="99" t="str">
        <f>IF(B4778="","",IF(NOT(ISNUMBER(B4778)),"DATA_PC invalida",IF(NOT(ISNUMBER(parametros!$C$2)),"Fora dos ciclos",IF(OR(B4778&lt;parametros!$C$2,(YEAR(B4778)-YEAR(parametros!$C$2))*12+MONTH(B4778)-MONTH(parametros!$C$2)&gt;59),"Fora dos ciclos","C"&amp;INT(((YEAR(B4778)-YEAR(parametros!$C$2))*12+MONTH(B4778)-MONTH(parametros!$C$2))/12)))))</f>
        <v/>
      </c>
      <c r="D4778" s="394"/>
      <c r="E4778" s="78" t="str">
        <f>IF(C4778="","",IFERROR(VLOOKUP(C4778,parametros!$A$11:$E$15,5,0),""))</f>
        <v/>
      </c>
      <c r="F4778" s="79" t="str">
        <f t="shared" si="372"/>
        <v/>
      </c>
      <c r="G4778" s="395"/>
      <c r="H4778" s="91">
        <f t="shared" si="373"/>
        <v>0</v>
      </c>
      <c r="I4778" s="91" t="str">
        <f t="shared" si="374"/>
        <v/>
      </c>
      <c r="J4778" s="91" t="str">
        <f t="shared" si="375"/>
        <v/>
      </c>
      <c r="K4778" s="92" t="str">
        <f>IF(AND(A4778="",B4778="",D4778="",G4778=""),"",IF(AND(A4778&lt;&gt;"",COUNTIF($A$2:$A$5001,A4778)&gt;1),"NUMERO_PC duplicado",IF(B4778="","DATA_PC vazia",IF(NOT(ISNUMBER(B4778)),"DATA_PC invalida",IF(OR(C4778="",C4778="Fora dos ciclos"),"CICLO_PC nao identificado",IF(OR(D4778="",D4778=0),"VALOR_PC vazio ou zero",IF(AND(G4778&lt;&gt;"Sim",G4778&lt;&gt;"Nao",G4778&lt;&gt;""),"PC_PAGO_A_CONTRATADA invalido",IF(AND(C4778&lt;&gt;"C0",IFERROR(INDEX(parametros!$A$2:$A$6,MATCH(C4778,parametros!$B$2:$B$6,0)),"")="Sim",IFERROR(INDEX(parametros!$H$2:$H$6,MATCH(C4778,parametros!$B$2:$B$6,0)),"")=""),"INICIO_EFEITO ausente: PC "&amp;A4778&amp;" - "&amp;C4778,IF(L4778="","EFEITO_PC nao calculado: PC "&amp;A4778&amp;" - "&amp;C4778,"OK")))))))))</f>
        <v/>
      </c>
      <c r="L4778" s="92" t="str">
        <f>IF(AND(A4778="",B4778="",D4778="",G4778=""),"",IF(OR(B4778="",NOT(ISNUMBER(B4778)),C4778="",C4778="Fora dos ciclos"),"",IF(C4778="C0","Nao",IF(IFERROR(INDEX(parametros!$A$2:$A$6,MATCH(C4778,parametros!$B$2:$B$6,0)),"")&lt;&gt;"Sim","Nao",IF(IFERROR(INDEX(parametros!$H$2:$H$6,MATCH(C4778,parametros!$B$2:$B$6,0)),"")="","",IF(B4778&gt;=IFERROR(INDEX(parametros!$H$2:$H$6,MATCH(C4778,parametros!$B$2:$B$6,0)),""),"Sim","Nao"))))))</f>
        <v/>
      </c>
      <c r="T4778" s="156"/>
      <c r="U4778" s="214" t="str">
        <f t="shared" si="376"/>
        <v/>
      </c>
      <c r="V4778" s="212" t="s">
        <v>50</v>
      </c>
      <c r="W4778" s="100" t="s">
        <v>168</v>
      </c>
      <c r="X4778" s="100" t="s">
        <v>169</v>
      </c>
      <c r="Y4778" s="101" t="s">
        <v>170</v>
      </c>
      <c r="Z4778" s="101" t="s">
        <v>171</v>
      </c>
      <c r="AA4778" s="101" t="s">
        <v>50</v>
      </c>
      <c r="AB4778" s="101" t="s">
        <v>172</v>
      </c>
      <c r="AC4778" s="102" t="s">
        <v>173</v>
      </c>
    </row>
    <row r="4779" spans="1:29" ht="25.5" customHeight="1" x14ac:dyDescent="0.35">
      <c r="A4779" s="392"/>
      <c r="B4779" s="393"/>
      <c r="C4779" s="99" t="str">
        <f>IF(B4779="","",IF(NOT(ISNUMBER(B4779)),"DATA_PC invalida",IF(NOT(ISNUMBER(parametros!$C$2)),"Fora dos ciclos",IF(OR(B4779&lt;parametros!$C$2,(YEAR(B4779)-YEAR(parametros!$C$2))*12+MONTH(B4779)-MONTH(parametros!$C$2)&gt;59),"Fora dos ciclos","C"&amp;INT(((YEAR(B4779)-YEAR(parametros!$C$2))*12+MONTH(B4779)-MONTH(parametros!$C$2))/12)))))</f>
        <v/>
      </c>
      <c r="D4779" s="394"/>
      <c r="E4779" s="78" t="str">
        <f>IF(C4779="","",IFERROR(VLOOKUP(C4779,parametros!$A$11:$E$15,5,0),""))</f>
        <v/>
      </c>
      <c r="F4779" s="79" t="str">
        <f t="shared" si="372"/>
        <v/>
      </c>
      <c r="G4779" s="395"/>
      <c r="H4779" s="91">
        <f t="shared" si="373"/>
        <v>0</v>
      </c>
      <c r="I4779" s="91" t="str">
        <f t="shared" si="374"/>
        <v/>
      </c>
      <c r="J4779" s="91" t="str">
        <f t="shared" si="375"/>
        <v/>
      </c>
      <c r="K4779" s="92" t="str">
        <f>IF(AND(A4779="",B4779="",D4779="",G4779=""),"",IF(AND(A4779&lt;&gt;"",COUNTIF($A$2:$A$5001,A4779)&gt;1),"NUMERO_PC duplicado",IF(B4779="","DATA_PC vazia",IF(NOT(ISNUMBER(B4779)),"DATA_PC invalida",IF(OR(C4779="",C4779="Fora dos ciclos"),"CICLO_PC nao identificado",IF(OR(D4779="",D4779=0),"VALOR_PC vazio ou zero",IF(AND(G4779&lt;&gt;"Sim",G4779&lt;&gt;"Nao",G4779&lt;&gt;""),"PC_PAGO_A_CONTRATADA invalido",IF(AND(C4779&lt;&gt;"C0",IFERROR(INDEX(parametros!$A$2:$A$6,MATCH(C4779,parametros!$B$2:$B$6,0)),"")="Sim",IFERROR(INDEX(parametros!$H$2:$H$6,MATCH(C4779,parametros!$B$2:$B$6,0)),"")=""),"INICIO_EFEITO ausente: PC "&amp;A4779&amp;" - "&amp;C4779,IF(L4779="","EFEITO_PC nao calculado: PC "&amp;A4779&amp;" - "&amp;C4779,"OK")))))))))</f>
        <v/>
      </c>
      <c r="L4779" s="92" t="str">
        <f>IF(AND(A4779="",B4779="",D4779="",G4779=""),"",IF(OR(B4779="",NOT(ISNUMBER(B4779)),C4779="",C4779="Fora dos ciclos"),"",IF(C4779="C0","Nao",IF(IFERROR(INDEX(parametros!$A$2:$A$6,MATCH(C4779,parametros!$B$2:$B$6,0)),"")&lt;&gt;"Sim","Nao",IF(IFERROR(INDEX(parametros!$H$2:$H$6,MATCH(C4779,parametros!$B$2:$B$6,0)),"")="","",IF(B4779&gt;=IFERROR(INDEX(parametros!$H$2:$H$6,MATCH(C4779,parametros!$B$2:$B$6,0)),""),"Sim","Nao"))))))</f>
        <v/>
      </c>
      <c r="T4779" s="156"/>
      <c r="U4779" s="214" t="str">
        <f t="shared" si="376"/>
        <v/>
      </c>
      <c r="V4779" s="212" t="s">
        <v>50</v>
      </c>
      <c r="W4779" s="100" t="s">
        <v>168</v>
      </c>
      <c r="X4779" s="100" t="s">
        <v>169</v>
      </c>
      <c r="Y4779" s="101" t="s">
        <v>170</v>
      </c>
      <c r="Z4779" s="101" t="s">
        <v>171</v>
      </c>
      <c r="AA4779" s="101" t="s">
        <v>50</v>
      </c>
      <c r="AB4779" s="101" t="s">
        <v>172</v>
      </c>
      <c r="AC4779" s="102" t="s">
        <v>173</v>
      </c>
    </row>
    <row r="4780" spans="1:29" ht="25.5" customHeight="1" x14ac:dyDescent="0.35">
      <c r="A4780" s="392"/>
      <c r="B4780" s="393"/>
      <c r="C4780" s="99" t="str">
        <f>IF(B4780="","",IF(NOT(ISNUMBER(B4780)),"DATA_PC invalida",IF(NOT(ISNUMBER(parametros!$C$2)),"Fora dos ciclos",IF(OR(B4780&lt;parametros!$C$2,(YEAR(B4780)-YEAR(parametros!$C$2))*12+MONTH(B4780)-MONTH(parametros!$C$2)&gt;59),"Fora dos ciclos","C"&amp;INT(((YEAR(B4780)-YEAR(parametros!$C$2))*12+MONTH(B4780)-MONTH(parametros!$C$2))/12)))))</f>
        <v/>
      </c>
      <c r="D4780" s="394"/>
      <c r="E4780" s="78" t="str">
        <f>IF(C4780="","",IFERROR(VLOOKUP(C4780,parametros!$A$11:$E$15,5,0),""))</f>
        <v/>
      </c>
      <c r="F4780" s="79" t="str">
        <f t="shared" si="372"/>
        <v/>
      </c>
      <c r="G4780" s="395"/>
      <c r="H4780" s="91">
        <f t="shared" si="373"/>
        <v>0</v>
      </c>
      <c r="I4780" s="91" t="str">
        <f t="shared" si="374"/>
        <v/>
      </c>
      <c r="J4780" s="91" t="str">
        <f t="shared" si="375"/>
        <v/>
      </c>
      <c r="K4780" s="92" t="str">
        <f>IF(AND(A4780="",B4780="",D4780="",G4780=""),"",IF(AND(A4780&lt;&gt;"",COUNTIF($A$2:$A$5001,A4780)&gt;1),"NUMERO_PC duplicado",IF(B4780="","DATA_PC vazia",IF(NOT(ISNUMBER(B4780)),"DATA_PC invalida",IF(OR(C4780="",C4780="Fora dos ciclos"),"CICLO_PC nao identificado",IF(OR(D4780="",D4780=0),"VALOR_PC vazio ou zero",IF(AND(G4780&lt;&gt;"Sim",G4780&lt;&gt;"Nao",G4780&lt;&gt;""),"PC_PAGO_A_CONTRATADA invalido",IF(AND(C4780&lt;&gt;"C0",IFERROR(INDEX(parametros!$A$2:$A$6,MATCH(C4780,parametros!$B$2:$B$6,0)),"")="Sim",IFERROR(INDEX(parametros!$H$2:$H$6,MATCH(C4780,parametros!$B$2:$B$6,0)),"")=""),"INICIO_EFEITO ausente: PC "&amp;A4780&amp;" - "&amp;C4780,IF(L4780="","EFEITO_PC nao calculado: PC "&amp;A4780&amp;" - "&amp;C4780,"OK")))))))))</f>
        <v/>
      </c>
      <c r="L4780" s="92" t="str">
        <f>IF(AND(A4780="",B4780="",D4780="",G4780=""),"",IF(OR(B4780="",NOT(ISNUMBER(B4780)),C4780="",C4780="Fora dos ciclos"),"",IF(C4780="C0","Nao",IF(IFERROR(INDEX(parametros!$A$2:$A$6,MATCH(C4780,parametros!$B$2:$B$6,0)),"")&lt;&gt;"Sim","Nao",IF(IFERROR(INDEX(parametros!$H$2:$H$6,MATCH(C4780,parametros!$B$2:$B$6,0)),"")="","",IF(B4780&gt;=IFERROR(INDEX(parametros!$H$2:$H$6,MATCH(C4780,parametros!$B$2:$B$6,0)),""),"Sim","Nao"))))))</f>
        <v/>
      </c>
      <c r="T4780" s="156"/>
      <c r="U4780" s="214" t="str">
        <f t="shared" si="376"/>
        <v/>
      </c>
      <c r="V4780" s="212" t="s">
        <v>50</v>
      </c>
      <c r="W4780" s="100" t="s">
        <v>168</v>
      </c>
      <c r="X4780" s="100" t="s">
        <v>169</v>
      </c>
      <c r="Y4780" s="101" t="s">
        <v>170</v>
      </c>
      <c r="Z4780" s="101" t="s">
        <v>171</v>
      </c>
      <c r="AA4780" s="101" t="s">
        <v>50</v>
      </c>
      <c r="AB4780" s="101" t="s">
        <v>172</v>
      </c>
      <c r="AC4780" s="102" t="s">
        <v>173</v>
      </c>
    </row>
    <row r="4781" spans="1:29" ht="25.5" customHeight="1" x14ac:dyDescent="0.35">
      <c r="A4781" s="392"/>
      <c r="B4781" s="393"/>
      <c r="C4781" s="99" t="str">
        <f>IF(B4781="","",IF(NOT(ISNUMBER(B4781)),"DATA_PC invalida",IF(NOT(ISNUMBER(parametros!$C$2)),"Fora dos ciclos",IF(OR(B4781&lt;parametros!$C$2,(YEAR(B4781)-YEAR(parametros!$C$2))*12+MONTH(B4781)-MONTH(parametros!$C$2)&gt;59),"Fora dos ciclos","C"&amp;INT(((YEAR(B4781)-YEAR(parametros!$C$2))*12+MONTH(B4781)-MONTH(parametros!$C$2))/12)))))</f>
        <v/>
      </c>
      <c r="D4781" s="394"/>
      <c r="E4781" s="78" t="str">
        <f>IF(C4781="","",IFERROR(VLOOKUP(C4781,parametros!$A$11:$E$15,5,0),""))</f>
        <v/>
      </c>
      <c r="F4781" s="79" t="str">
        <f t="shared" si="372"/>
        <v/>
      </c>
      <c r="G4781" s="395"/>
      <c r="H4781" s="91">
        <f t="shared" si="373"/>
        <v>0</v>
      </c>
      <c r="I4781" s="91" t="str">
        <f t="shared" si="374"/>
        <v/>
      </c>
      <c r="J4781" s="91" t="str">
        <f t="shared" si="375"/>
        <v/>
      </c>
      <c r="K4781" s="92" t="str">
        <f>IF(AND(A4781="",B4781="",D4781="",G4781=""),"",IF(AND(A4781&lt;&gt;"",COUNTIF($A$2:$A$5001,A4781)&gt;1),"NUMERO_PC duplicado",IF(B4781="","DATA_PC vazia",IF(NOT(ISNUMBER(B4781)),"DATA_PC invalida",IF(OR(C4781="",C4781="Fora dos ciclos"),"CICLO_PC nao identificado",IF(OR(D4781="",D4781=0),"VALOR_PC vazio ou zero",IF(AND(G4781&lt;&gt;"Sim",G4781&lt;&gt;"Nao",G4781&lt;&gt;""),"PC_PAGO_A_CONTRATADA invalido",IF(AND(C4781&lt;&gt;"C0",IFERROR(INDEX(parametros!$A$2:$A$6,MATCH(C4781,parametros!$B$2:$B$6,0)),"")="Sim",IFERROR(INDEX(parametros!$H$2:$H$6,MATCH(C4781,parametros!$B$2:$B$6,0)),"")=""),"INICIO_EFEITO ausente: PC "&amp;A4781&amp;" - "&amp;C4781,IF(L4781="","EFEITO_PC nao calculado: PC "&amp;A4781&amp;" - "&amp;C4781,"OK")))))))))</f>
        <v/>
      </c>
      <c r="L4781" s="92" t="str">
        <f>IF(AND(A4781="",B4781="",D4781="",G4781=""),"",IF(OR(B4781="",NOT(ISNUMBER(B4781)),C4781="",C4781="Fora dos ciclos"),"",IF(C4781="C0","Nao",IF(IFERROR(INDEX(parametros!$A$2:$A$6,MATCH(C4781,parametros!$B$2:$B$6,0)),"")&lt;&gt;"Sim","Nao",IF(IFERROR(INDEX(parametros!$H$2:$H$6,MATCH(C4781,parametros!$B$2:$B$6,0)),"")="","",IF(B4781&gt;=IFERROR(INDEX(parametros!$H$2:$H$6,MATCH(C4781,parametros!$B$2:$B$6,0)),""),"Sim","Nao"))))))</f>
        <v/>
      </c>
      <c r="T4781" s="156"/>
      <c r="U4781" s="214" t="str">
        <f t="shared" si="376"/>
        <v/>
      </c>
      <c r="V4781" s="212" t="s">
        <v>50</v>
      </c>
      <c r="W4781" s="100" t="s">
        <v>168</v>
      </c>
      <c r="X4781" s="100" t="s">
        <v>169</v>
      </c>
      <c r="Y4781" s="101" t="s">
        <v>170</v>
      </c>
      <c r="Z4781" s="101" t="s">
        <v>171</v>
      </c>
      <c r="AA4781" s="101" t="s">
        <v>50</v>
      </c>
      <c r="AB4781" s="101" t="s">
        <v>172</v>
      </c>
      <c r="AC4781" s="102" t="s">
        <v>173</v>
      </c>
    </row>
    <row r="4782" spans="1:29" ht="25.5" customHeight="1" x14ac:dyDescent="0.35">
      <c r="A4782" s="392"/>
      <c r="B4782" s="393"/>
      <c r="C4782" s="99" t="str">
        <f>IF(B4782="","",IF(NOT(ISNUMBER(B4782)),"DATA_PC invalida",IF(NOT(ISNUMBER(parametros!$C$2)),"Fora dos ciclos",IF(OR(B4782&lt;parametros!$C$2,(YEAR(B4782)-YEAR(parametros!$C$2))*12+MONTH(B4782)-MONTH(parametros!$C$2)&gt;59),"Fora dos ciclos","C"&amp;INT(((YEAR(B4782)-YEAR(parametros!$C$2))*12+MONTH(B4782)-MONTH(parametros!$C$2))/12)))))</f>
        <v/>
      </c>
      <c r="D4782" s="394"/>
      <c r="E4782" s="78" t="str">
        <f>IF(C4782="","",IFERROR(VLOOKUP(C4782,parametros!$A$11:$E$15,5,0),""))</f>
        <v/>
      </c>
      <c r="F4782" s="79" t="str">
        <f t="shared" si="372"/>
        <v/>
      </c>
      <c r="G4782" s="395"/>
      <c r="H4782" s="91">
        <f t="shared" si="373"/>
        <v>0</v>
      </c>
      <c r="I4782" s="91" t="str">
        <f t="shared" si="374"/>
        <v/>
      </c>
      <c r="J4782" s="91" t="str">
        <f t="shared" si="375"/>
        <v/>
      </c>
      <c r="K4782" s="92" t="str">
        <f>IF(AND(A4782="",B4782="",D4782="",G4782=""),"",IF(AND(A4782&lt;&gt;"",COUNTIF($A$2:$A$5001,A4782)&gt;1),"NUMERO_PC duplicado",IF(B4782="","DATA_PC vazia",IF(NOT(ISNUMBER(B4782)),"DATA_PC invalida",IF(OR(C4782="",C4782="Fora dos ciclos"),"CICLO_PC nao identificado",IF(OR(D4782="",D4782=0),"VALOR_PC vazio ou zero",IF(AND(G4782&lt;&gt;"Sim",G4782&lt;&gt;"Nao",G4782&lt;&gt;""),"PC_PAGO_A_CONTRATADA invalido",IF(AND(C4782&lt;&gt;"C0",IFERROR(INDEX(parametros!$A$2:$A$6,MATCH(C4782,parametros!$B$2:$B$6,0)),"")="Sim",IFERROR(INDEX(parametros!$H$2:$H$6,MATCH(C4782,parametros!$B$2:$B$6,0)),"")=""),"INICIO_EFEITO ausente: PC "&amp;A4782&amp;" - "&amp;C4782,IF(L4782="","EFEITO_PC nao calculado: PC "&amp;A4782&amp;" - "&amp;C4782,"OK")))))))))</f>
        <v/>
      </c>
      <c r="L4782" s="92" t="str">
        <f>IF(AND(A4782="",B4782="",D4782="",G4782=""),"",IF(OR(B4782="",NOT(ISNUMBER(B4782)),C4782="",C4782="Fora dos ciclos"),"",IF(C4782="C0","Nao",IF(IFERROR(INDEX(parametros!$A$2:$A$6,MATCH(C4782,parametros!$B$2:$B$6,0)),"")&lt;&gt;"Sim","Nao",IF(IFERROR(INDEX(parametros!$H$2:$H$6,MATCH(C4782,parametros!$B$2:$B$6,0)),"")="","",IF(B4782&gt;=IFERROR(INDEX(parametros!$H$2:$H$6,MATCH(C4782,parametros!$B$2:$B$6,0)),""),"Sim","Nao"))))))</f>
        <v/>
      </c>
      <c r="T4782" s="156"/>
      <c r="U4782" s="214" t="str">
        <f t="shared" si="376"/>
        <v/>
      </c>
      <c r="V4782" s="212" t="s">
        <v>50</v>
      </c>
      <c r="W4782" s="100" t="s">
        <v>168</v>
      </c>
      <c r="X4782" s="100" t="s">
        <v>169</v>
      </c>
      <c r="Y4782" s="101" t="s">
        <v>170</v>
      </c>
      <c r="Z4782" s="101" t="s">
        <v>171</v>
      </c>
      <c r="AA4782" s="101" t="s">
        <v>50</v>
      </c>
      <c r="AB4782" s="101" t="s">
        <v>172</v>
      </c>
      <c r="AC4782" s="102" t="s">
        <v>173</v>
      </c>
    </row>
    <row r="4783" spans="1:29" ht="25.5" customHeight="1" x14ac:dyDescent="0.35">
      <c r="A4783" s="392"/>
      <c r="B4783" s="393"/>
      <c r="C4783" s="99" t="str">
        <f>IF(B4783="","",IF(NOT(ISNUMBER(B4783)),"DATA_PC invalida",IF(NOT(ISNUMBER(parametros!$C$2)),"Fora dos ciclos",IF(OR(B4783&lt;parametros!$C$2,(YEAR(B4783)-YEAR(parametros!$C$2))*12+MONTH(B4783)-MONTH(parametros!$C$2)&gt;59),"Fora dos ciclos","C"&amp;INT(((YEAR(B4783)-YEAR(parametros!$C$2))*12+MONTH(B4783)-MONTH(parametros!$C$2))/12)))))</f>
        <v/>
      </c>
      <c r="D4783" s="394"/>
      <c r="E4783" s="78" t="str">
        <f>IF(C4783="","",IFERROR(VLOOKUP(C4783,parametros!$A$11:$E$15,5,0),""))</f>
        <v/>
      </c>
      <c r="F4783" s="79" t="str">
        <f t="shared" si="372"/>
        <v/>
      </c>
      <c r="G4783" s="395"/>
      <c r="H4783" s="91">
        <f t="shared" si="373"/>
        <v>0</v>
      </c>
      <c r="I4783" s="91" t="str">
        <f t="shared" si="374"/>
        <v/>
      </c>
      <c r="J4783" s="91" t="str">
        <f t="shared" si="375"/>
        <v/>
      </c>
      <c r="K4783" s="92" t="str">
        <f>IF(AND(A4783="",B4783="",D4783="",G4783=""),"",IF(AND(A4783&lt;&gt;"",COUNTIF($A$2:$A$5001,A4783)&gt;1),"NUMERO_PC duplicado",IF(B4783="","DATA_PC vazia",IF(NOT(ISNUMBER(B4783)),"DATA_PC invalida",IF(OR(C4783="",C4783="Fora dos ciclos"),"CICLO_PC nao identificado",IF(OR(D4783="",D4783=0),"VALOR_PC vazio ou zero",IF(AND(G4783&lt;&gt;"Sim",G4783&lt;&gt;"Nao",G4783&lt;&gt;""),"PC_PAGO_A_CONTRATADA invalido",IF(AND(C4783&lt;&gt;"C0",IFERROR(INDEX(parametros!$A$2:$A$6,MATCH(C4783,parametros!$B$2:$B$6,0)),"")="Sim",IFERROR(INDEX(parametros!$H$2:$H$6,MATCH(C4783,parametros!$B$2:$B$6,0)),"")=""),"INICIO_EFEITO ausente: PC "&amp;A4783&amp;" - "&amp;C4783,IF(L4783="","EFEITO_PC nao calculado: PC "&amp;A4783&amp;" - "&amp;C4783,"OK")))))))))</f>
        <v/>
      </c>
      <c r="L4783" s="92" t="str">
        <f>IF(AND(A4783="",B4783="",D4783="",G4783=""),"",IF(OR(B4783="",NOT(ISNUMBER(B4783)),C4783="",C4783="Fora dos ciclos"),"",IF(C4783="C0","Nao",IF(IFERROR(INDEX(parametros!$A$2:$A$6,MATCH(C4783,parametros!$B$2:$B$6,0)),"")&lt;&gt;"Sim","Nao",IF(IFERROR(INDEX(parametros!$H$2:$H$6,MATCH(C4783,parametros!$B$2:$B$6,0)),"")="","",IF(B4783&gt;=IFERROR(INDEX(parametros!$H$2:$H$6,MATCH(C4783,parametros!$B$2:$B$6,0)),""),"Sim","Nao"))))))</f>
        <v/>
      </c>
      <c r="T4783" s="156"/>
      <c r="U4783" s="214" t="str">
        <f t="shared" si="376"/>
        <v/>
      </c>
      <c r="V4783" s="212" t="s">
        <v>50</v>
      </c>
      <c r="W4783" s="100" t="s">
        <v>168</v>
      </c>
      <c r="X4783" s="100" t="s">
        <v>169</v>
      </c>
      <c r="Y4783" s="101" t="s">
        <v>170</v>
      </c>
      <c r="Z4783" s="101" t="s">
        <v>171</v>
      </c>
      <c r="AA4783" s="101" t="s">
        <v>50</v>
      </c>
      <c r="AB4783" s="101" t="s">
        <v>172</v>
      </c>
      <c r="AC4783" s="102" t="s">
        <v>173</v>
      </c>
    </row>
    <row r="4784" spans="1:29" ht="25.5" customHeight="1" x14ac:dyDescent="0.35">
      <c r="A4784" s="392"/>
      <c r="B4784" s="393"/>
      <c r="C4784" s="99" t="str">
        <f>IF(B4784="","",IF(NOT(ISNUMBER(B4784)),"DATA_PC invalida",IF(NOT(ISNUMBER(parametros!$C$2)),"Fora dos ciclos",IF(OR(B4784&lt;parametros!$C$2,(YEAR(B4784)-YEAR(parametros!$C$2))*12+MONTH(B4784)-MONTH(parametros!$C$2)&gt;59),"Fora dos ciclos","C"&amp;INT(((YEAR(B4784)-YEAR(parametros!$C$2))*12+MONTH(B4784)-MONTH(parametros!$C$2))/12)))))</f>
        <v/>
      </c>
      <c r="D4784" s="394"/>
      <c r="E4784" s="78" t="str">
        <f>IF(C4784="","",IFERROR(VLOOKUP(C4784,parametros!$A$11:$E$15,5,0),""))</f>
        <v/>
      </c>
      <c r="F4784" s="79" t="str">
        <f t="shared" si="372"/>
        <v/>
      </c>
      <c r="G4784" s="395"/>
      <c r="H4784" s="91">
        <f t="shared" si="373"/>
        <v>0</v>
      </c>
      <c r="I4784" s="91" t="str">
        <f t="shared" si="374"/>
        <v/>
      </c>
      <c r="J4784" s="91" t="str">
        <f t="shared" si="375"/>
        <v/>
      </c>
      <c r="K4784" s="92" t="str">
        <f>IF(AND(A4784="",B4784="",D4784="",G4784=""),"",IF(AND(A4784&lt;&gt;"",COUNTIF($A$2:$A$5001,A4784)&gt;1),"NUMERO_PC duplicado",IF(B4784="","DATA_PC vazia",IF(NOT(ISNUMBER(B4784)),"DATA_PC invalida",IF(OR(C4784="",C4784="Fora dos ciclos"),"CICLO_PC nao identificado",IF(OR(D4784="",D4784=0),"VALOR_PC vazio ou zero",IF(AND(G4784&lt;&gt;"Sim",G4784&lt;&gt;"Nao",G4784&lt;&gt;""),"PC_PAGO_A_CONTRATADA invalido",IF(AND(C4784&lt;&gt;"C0",IFERROR(INDEX(parametros!$A$2:$A$6,MATCH(C4784,parametros!$B$2:$B$6,0)),"")="Sim",IFERROR(INDEX(parametros!$H$2:$H$6,MATCH(C4784,parametros!$B$2:$B$6,0)),"")=""),"INICIO_EFEITO ausente: PC "&amp;A4784&amp;" - "&amp;C4784,IF(L4784="","EFEITO_PC nao calculado: PC "&amp;A4784&amp;" - "&amp;C4784,"OK")))))))))</f>
        <v/>
      </c>
      <c r="L4784" s="92" t="str">
        <f>IF(AND(A4784="",B4784="",D4784="",G4784=""),"",IF(OR(B4784="",NOT(ISNUMBER(B4784)),C4784="",C4784="Fora dos ciclos"),"",IF(C4784="C0","Nao",IF(IFERROR(INDEX(parametros!$A$2:$A$6,MATCH(C4784,parametros!$B$2:$B$6,0)),"")&lt;&gt;"Sim","Nao",IF(IFERROR(INDEX(parametros!$H$2:$H$6,MATCH(C4784,parametros!$B$2:$B$6,0)),"")="","",IF(B4784&gt;=IFERROR(INDEX(parametros!$H$2:$H$6,MATCH(C4784,parametros!$B$2:$B$6,0)),""),"Sim","Nao"))))))</f>
        <v/>
      </c>
      <c r="T4784" s="156"/>
      <c r="U4784" s="214" t="str">
        <f t="shared" si="376"/>
        <v/>
      </c>
      <c r="V4784" s="212" t="s">
        <v>50</v>
      </c>
      <c r="W4784" s="100" t="s">
        <v>168</v>
      </c>
      <c r="X4784" s="100" t="s">
        <v>169</v>
      </c>
      <c r="Y4784" s="101" t="s">
        <v>170</v>
      </c>
      <c r="Z4784" s="101" t="s">
        <v>171</v>
      </c>
      <c r="AA4784" s="101" t="s">
        <v>50</v>
      </c>
      <c r="AB4784" s="101" t="s">
        <v>172</v>
      </c>
      <c r="AC4784" s="102" t="s">
        <v>173</v>
      </c>
    </row>
    <row r="4785" spans="1:29" ht="25.5" customHeight="1" x14ac:dyDescent="0.35">
      <c r="A4785" s="392"/>
      <c r="B4785" s="393"/>
      <c r="C4785" s="99" t="str">
        <f>IF(B4785="","",IF(NOT(ISNUMBER(B4785)),"DATA_PC invalida",IF(NOT(ISNUMBER(parametros!$C$2)),"Fora dos ciclos",IF(OR(B4785&lt;parametros!$C$2,(YEAR(B4785)-YEAR(parametros!$C$2))*12+MONTH(B4785)-MONTH(parametros!$C$2)&gt;59),"Fora dos ciclos","C"&amp;INT(((YEAR(B4785)-YEAR(parametros!$C$2))*12+MONTH(B4785)-MONTH(parametros!$C$2))/12)))))</f>
        <v/>
      </c>
      <c r="D4785" s="394"/>
      <c r="E4785" s="78" t="str">
        <f>IF(C4785="","",IFERROR(VLOOKUP(C4785,parametros!$A$11:$E$15,5,0),""))</f>
        <v/>
      </c>
      <c r="F4785" s="79" t="str">
        <f t="shared" si="372"/>
        <v/>
      </c>
      <c r="G4785" s="395"/>
      <c r="H4785" s="91">
        <f t="shared" si="373"/>
        <v>0</v>
      </c>
      <c r="I4785" s="91" t="str">
        <f t="shared" si="374"/>
        <v/>
      </c>
      <c r="J4785" s="91" t="str">
        <f t="shared" si="375"/>
        <v/>
      </c>
      <c r="K4785" s="92" t="str">
        <f>IF(AND(A4785="",B4785="",D4785="",G4785=""),"",IF(AND(A4785&lt;&gt;"",COUNTIF($A$2:$A$5001,A4785)&gt;1),"NUMERO_PC duplicado",IF(B4785="","DATA_PC vazia",IF(NOT(ISNUMBER(B4785)),"DATA_PC invalida",IF(OR(C4785="",C4785="Fora dos ciclos"),"CICLO_PC nao identificado",IF(OR(D4785="",D4785=0),"VALOR_PC vazio ou zero",IF(AND(G4785&lt;&gt;"Sim",G4785&lt;&gt;"Nao",G4785&lt;&gt;""),"PC_PAGO_A_CONTRATADA invalido",IF(AND(C4785&lt;&gt;"C0",IFERROR(INDEX(parametros!$A$2:$A$6,MATCH(C4785,parametros!$B$2:$B$6,0)),"")="Sim",IFERROR(INDEX(parametros!$H$2:$H$6,MATCH(C4785,parametros!$B$2:$B$6,0)),"")=""),"INICIO_EFEITO ausente: PC "&amp;A4785&amp;" - "&amp;C4785,IF(L4785="","EFEITO_PC nao calculado: PC "&amp;A4785&amp;" - "&amp;C4785,"OK")))))))))</f>
        <v/>
      </c>
      <c r="L4785" s="92" t="str">
        <f>IF(AND(A4785="",B4785="",D4785="",G4785=""),"",IF(OR(B4785="",NOT(ISNUMBER(B4785)),C4785="",C4785="Fora dos ciclos"),"",IF(C4785="C0","Nao",IF(IFERROR(INDEX(parametros!$A$2:$A$6,MATCH(C4785,parametros!$B$2:$B$6,0)),"")&lt;&gt;"Sim","Nao",IF(IFERROR(INDEX(parametros!$H$2:$H$6,MATCH(C4785,parametros!$B$2:$B$6,0)),"")="","",IF(B4785&gt;=IFERROR(INDEX(parametros!$H$2:$H$6,MATCH(C4785,parametros!$B$2:$B$6,0)),""),"Sim","Nao"))))))</f>
        <v/>
      </c>
      <c r="T4785" s="156"/>
      <c r="U4785" s="214" t="str">
        <f t="shared" si="376"/>
        <v/>
      </c>
      <c r="V4785" s="212" t="s">
        <v>50</v>
      </c>
      <c r="W4785" s="100" t="s">
        <v>168</v>
      </c>
      <c r="X4785" s="100" t="s">
        <v>169</v>
      </c>
      <c r="Y4785" s="101" t="s">
        <v>170</v>
      </c>
      <c r="Z4785" s="101" t="s">
        <v>171</v>
      </c>
      <c r="AA4785" s="101" t="s">
        <v>50</v>
      </c>
      <c r="AB4785" s="101" t="s">
        <v>172</v>
      </c>
      <c r="AC4785" s="102" t="s">
        <v>173</v>
      </c>
    </row>
    <row r="4786" spans="1:29" ht="25.5" customHeight="1" x14ac:dyDescent="0.35">
      <c r="A4786" s="392"/>
      <c r="B4786" s="393"/>
      <c r="C4786" s="99" t="str">
        <f>IF(B4786="","",IF(NOT(ISNUMBER(B4786)),"DATA_PC invalida",IF(NOT(ISNUMBER(parametros!$C$2)),"Fora dos ciclos",IF(OR(B4786&lt;parametros!$C$2,(YEAR(B4786)-YEAR(parametros!$C$2))*12+MONTH(B4786)-MONTH(parametros!$C$2)&gt;59),"Fora dos ciclos","C"&amp;INT(((YEAR(B4786)-YEAR(parametros!$C$2))*12+MONTH(B4786)-MONTH(parametros!$C$2))/12)))))</f>
        <v/>
      </c>
      <c r="D4786" s="394"/>
      <c r="E4786" s="78" t="str">
        <f>IF(C4786="","",IFERROR(VLOOKUP(C4786,parametros!$A$11:$E$15,5,0),""))</f>
        <v/>
      </c>
      <c r="F4786" s="79" t="str">
        <f t="shared" si="372"/>
        <v/>
      </c>
      <c r="G4786" s="395"/>
      <c r="H4786" s="91">
        <f t="shared" si="373"/>
        <v>0</v>
      </c>
      <c r="I4786" s="91" t="str">
        <f t="shared" si="374"/>
        <v/>
      </c>
      <c r="J4786" s="91" t="str">
        <f t="shared" si="375"/>
        <v/>
      </c>
      <c r="K4786" s="92" t="str">
        <f>IF(AND(A4786="",B4786="",D4786="",G4786=""),"",IF(AND(A4786&lt;&gt;"",COUNTIF($A$2:$A$5001,A4786)&gt;1),"NUMERO_PC duplicado",IF(B4786="","DATA_PC vazia",IF(NOT(ISNUMBER(B4786)),"DATA_PC invalida",IF(OR(C4786="",C4786="Fora dos ciclos"),"CICLO_PC nao identificado",IF(OR(D4786="",D4786=0),"VALOR_PC vazio ou zero",IF(AND(G4786&lt;&gt;"Sim",G4786&lt;&gt;"Nao",G4786&lt;&gt;""),"PC_PAGO_A_CONTRATADA invalido",IF(AND(C4786&lt;&gt;"C0",IFERROR(INDEX(parametros!$A$2:$A$6,MATCH(C4786,parametros!$B$2:$B$6,0)),"")="Sim",IFERROR(INDEX(parametros!$H$2:$H$6,MATCH(C4786,parametros!$B$2:$B$6,0)),"")=""),"INICIO_EFEITO ausente: PC "&amp;A4786&amp;" - "&amp;C4786,IF(L4786="","EFEITO_PC nao calculado: PC "&amp;A4786&amp;" - "&amp;C4786,"OK")))))))))</f>
        <v/>
      </c>
      <c r="L4786" s="92" t="str">
        <f>IF(AND(A4786="",B4786="",D4786="",G4786=""),"",IF(OR(B4786="",NOT(ISNUMBER(B4786)),C4786="",C4786="Fora dos ciclos"),"",IF(C4786="C0","Nao",IF(IFERROR(INDEX(parametros!$A$2:$A$6,MATCH(C4786,parametros!$B$2:$B$6,0)),"")&lt;&gt;"Sim","Nao",IF(IFERROR(INDEX(parametros!$H$2:$H$6,MATCH(C4786,parametros!$B$2:$B$6,0)),"")="","",IF(B4786&gt;=IFERROR(INDEX(parametros!$H$2:$H$6,MATCH(C4786,parametros!$B$2:$B$6,0)),""),"Sim","Nao"))))))</f>
        <v/>
      </c>
      <c r="T4786" s="156"/>
      <c r="U4786" s="214" t="str">
        <f t="shared" si="376"/>
        <v/>
      </c>
      <c r="V4786" s="212" t="s">
        <v>50</v>
      </c>
      <c r="W4786" s="100" t="s">
        <v>168</v>
      </c>
      <c r="X4786" s="100" t="s">
        <v>169</v>
      </c>
      <c r="Y4786" s="101" t="s">
        <v>170</v>
      </c>
      <c r="Z4786" s="101" t="s">
        <v>171</v>
      </c>
      <c r="AA4786" s="101" t="s">
        <v>50</v>
      </c>
      <c r="AB4786" s="101" t="s">
        <v>172</v>
      </c>
      <c r="AC4786" s="102" t="s">
        <v>173</v>
      </c>
    </row>
    <row r="4787" spans="1:29" ht="25.5" customHeight="1" x14ac:dyDescent="0.35">
      <c r="A4787" s="392"/>
      <c r="B4787" s="393"/>
      <c r="C4787" s="99" t="str">
        <f>IF(B4787="","",IF(NOT(ISNUMBER(B4787)),"DATA_PC invalida",IF(NOT(ISNUMBER(parametros!$C$2)),"Fora dos ciclos",IF(OR(B4787&lt;parametros!$C$2,(YEAR(B4787)-YEAR(parametros!$C$2))*12+MONTH(B4787)-MONTH(parametros!$C$2)&gt;59),"Fora dos ciclos","C"&amp;INT(((YEAR(B4787)-YEAR(parametros!$C$2))*12+MONTH(B4787)-MONTH(parametros!$C$2))/12)))))</f>
        <v/>
      </c>
      <c r="D4787" s="394"/>
      <c r="E4787" s="78" t="str">
        <f>IF(C4787="","",IFERROR(VLOOKUP(C4787,parametros!$A$11:$E$15,5,0),""))</f>
        <v/>
      </c>
      <c r="F4787" s="79" t="str">
        <f t="shared" si="372"/>
        <v/>
      </c>
      <c r="G4787" s="395"/>
      <c r="H4787" s="91">
        <f t="shared" si="373"/>
        <v>0</v>
      </c>
      <c r="I4787" s="91" t="str">
        <f t="shared" si="374"/>
        <v/>
      </c>
      <c r="J4787" s="91" t="str">
        <f t="shared" si="375"/>
        <v/>
      </c>
      <c r="K4787" s="92" t="str">
        <f>IF(AND(A4787="",B4787="",D4787="",G4787=""),"",IF(AND(A4787&lt;&gt;"",COUNTIF($A$2:$A$5001,A4787)&gt;1),"NUMERO_PC duplicado",IF(B4787="","DATA_PC vazia",IF(NOT(ISNUMBER(B4787)),"DATA_PC invalida",IF(OR(C4787="",C4787="Fora dos ciclos"),"CICLO_PC nao identificado",IF(OR(D4787="",D4787=0),"VALOR_PC vazio ou zero",IF(AND(G4787&lt;&gt;"Sim",G4787&lt;&gt;"Nao",G4787&lt;&gt;""),"PC_PAGO_A_CONTRATADA invalido",IF(AND(C4787&lt;&gt;"C0",IFERROR(INDEX(parametros!$A$2:$A$6,MATCH(C4787,parametros!$B$2:$B$6,0)),"")="Sim",IFERROR(INDEX(parametros!$H$2:$H$6,MATCH(C4787,parametros!$B$2:$B$6,0)),"")=""),"INICIO_EFEITO ausente: PC "&amp;A4787&amp;" - "&amp;C4787,IF(L4787="","EFEITO_PC nao calculado: PC "&amp;A4787&amp;" - "&amp;C4787,"OK")))))))))</f>
        <v/>
      </c>
      <c r="L4787" s="92" t="str">
        <f>IF(AND(A4787="",B4787="",D4787="",G4787=""),"",IF(OR(B4787="",NOT(ISNUMBER(B4787)),C4787="",C4787="Fora dos ciclos"),"",IF(C4787="C0","Nao",IF(IFERROR(INDEX(parametros!$A$2:$A$6,MATCH(C4787,parametros!$B$2:$B$6,0)),"")&lt;&gt;"Sim","Nao",IF(IFERROR(INDEX(parametros!$H$2:$H$6,MATCH(C4787,parametros!$B$2:$B$6,0)),"")="","",IF(B4787&gt;=IFERROR(INDEX(parametros!$H$2:$H$6,MATCH(C4787,parametros!$B$2:$B$6,0)),""),"Sim","Nao"))))))</f>
        <v/>
      </c>
      <c r="T4787" s="156"/>
      <c r="U4787" s="214" t="str">
        <f t="shared" si="376"/>
        <v/>
      </c>
      <c r="V4787" s="212" t="s">
        <v>50</v>
      </c>
      <c r="W4787" s="100" t="s">
        <v>168</v>
      </c>
      <c r="X4787" s="100" t="s">
        <v>169</v>
      </c>
      <c r="Y4787" s="101" t="s">
        <v>170</v>
      </c>
      <c r="Z4787" s="101" t="s">
        <v>171</v>
      </c>
      <c r="AA4787" s="101" t="s">
        <v>50</v>
      </c>
      <c r="AB4787" s="101" t="s">
        <v>172</v>
      </c>
      <c r="AC4787" s="102" t="s">
        <v>173</v>
      </c>
    </row>
    <row r="4788" spans="1:29" ht="25.5" customHeight="1" x14ac:dyDescent="0.35">
      <c r="A4788" s="392"/>
      <c r="B4788" s="393"/>
      <c r="C4788" s="99" t="str">
        <f>IF(B4788="","",IF(NOT(ISNUMBER(B4788)),"DATA_PC invalida",IF(NOT(ISNUMBER(parametros!$C$2)),"Fora dos ciclos",IF(OR(B4788&lt;parametros!$C$2,(YEAR(B4788)-YEAR(parametros!$C$2))*12+MONTH(B4788)-MONTH(parametros!$C$2)&gt;59),"Fora dos ciclos","C"&amp;INT(((YEAR(B4788)-YEAR(parametros!$C$2))*12+MONTH(B4788)-MONTH(parametros!$C$2))/12)))))</f>
        <v/>
      </c>
      <c r="D4788" s="394"/>
      <c r="E4788" s="78" t="str">
        <f>IF(C4788="","",IFERROR(VLOOKUP(C4788,parametros!$A$11:$E$15,5,0),""))</f>
        <v/>
      </c>
      <c r="F4788" s="79" t="str">
        <f t="shared" si="372"/>
        <v/>
      </c>
      <c r="G4788" s="395"/>
      <c r="H4788" s="91">
        <f t="shared" si="373"/>
        <v>0</v>
      </c>
      <c r="I4788" s="91" t="str">
        <f t="shared" si="374"/>
        <v/>
      </c>
      <c r="J4788" s="91" t="str">
        <f t="shared" si="375"/>
        <v/>
      </c>
      <c r="K4788" s="92" t="str">
        <f>IF(AND(A4788="",B4788="",D4788="",G4788=""),"",IF(AND(A4788&lt;&gt;"",COUNTIF($A$2:$A$5001,A4788)&gt;1),"NUMERO_PC duplicado",IF(B4788="","DATA_PC vazia",IF(NOT(ISNUMBER(B4788)),"DATA_PC invalida",IF(OR(C4788="",C4788="Fora dos ciclos"),"CICLO_PC nao identificado",IF(OR(D4788="",D4788=0),"VALOR_PC vazio ou zero",IF(AND(G4788&lt;&gt;"Sim",G4788&lt;&gt;"Nao",G4788&lt;&gt;""),"PC_PAGO_A_CONTRATADA invalido",IF(AND(C4788&lt;&gt;"C0",IFERROR(INDEX(parametros!$A$2:$A$6,MATCH(C4788,parametros!$B$2:$B$6,0)),"")="Sim",IFERROR(INDEX(parametros!$H$2:$H$6,MATCH(C4788,parametros!$B$2:$B$6,0)),"")=""),"INICIO_EFEITO ausente: PC "&amp;A4788&amp;" - "&amp;C4788,IF(L4788="","EFEITO_PC nao calculado: PC "&amp;A4788&amp;" - "&amp;C4788,"OK")))))))))</f>
        <v/>
      </c>
      <c r="L4788" s="92" t="str">
        <f>IF(AND(A4788="",B4788="",D4788="",G4788=""),"",IF(OR(B4788="",NOT(ISNUMBER(B4788)),C4788="",C4788="Fora dos ciclos"),"",IF(C4788="C0","Nao",IF(IFERROR(INDEX(parametros!$A$2:$A$6,MATCH(C4788,parametros!$B$2:$B$6,0)),"")&lt;&gt;"Sim","Nao",IF(IFERROR(INDEX(parametros!$H$2:$H$6,MATCH(C4788,parametros!$B$2:$B$6,0)),"")="","",IF(B4788&gt;=IFERROR(INDEX(parametros!$H$2:$H$6,MATCH(C4788,parametros!$B$2:$B$6,0)),""),"Sim","Nao"))))))</f>
        <v/>
      </c>
      <c r="T4788" s="156"/>
      <c r="U4788" s="214" t="str">
        <f t="shared" si="376"/>
        <v/>
      </c>
      <c r="V4788" s="212" t="s">
        <v>50</v>
      </c>
      <c r="W4788" s="100" t="s">
        <v>168</v>
      </c>
      <c r="X4788" s="100" t="s">
        <v>169</v>
      </c>
      <c r="Y4788" s="101" t="s">
        <v>170</v>
      </c>
      <c r="Z4788" s="101" t="s">
        <v>171</v>
      </c>
      <c r="AA4788" s="101" t="s">
        <v>50</v>
      </c>
      <c r="AB4788" s="101" t="s">
        <v>172</v>
      </c>
      <c r="AC4788" s="102" t="s">
        <v>173</v>
      </c>
    </row>
    <row r="4789" spans="1:29" ht="25.5" customHeight="1" x14ac:dyDescent="0.35">
      <c r="A4789" s="392"/>
      <c r="B4789" s="393"/>
      <c r="C4789" s="99" t="str">
        <f>IF(B4789="","",IF(NOT(ISNUMBER(B4789)),"DATA_PC invalida",IF(NOT(ISNUMBER(parametros!$C$2)),"Fora dos ciclos",IF(OR(B4789&lt;parametros!$C$2,(YEAR(B4789)-YEAR(parametros!$C$2))*12+MONTH(B4789)-MONTH(parametros!$C$2)&gt;59),"Fora dos ciclos","C"&amp;INT(((YEAR(B4789)-YEAR(parametros!$C$2))*12+MONTH(B4789)-MONTH(parametros!$C$2))/12)))))</f>
        <v/>
      </c>
      <c r="D4789" s="394"/>
      <c r="E4789" s="78" t="str">
        <f>IF(C4789="","",IFERROR(VLOOKUP(C4789,parametros!$A$11:$E$15,5,0),""))</f>
        <v/>
      </c>
      <c r="F4789" s="79" t="str">
        <f t="shared" si="372"/>
        <v/>
      </c>
      <c r="G4789" s="395"/>
      <c r="H4789" s="91">
        <f t="shared" si="373"/>
        <v>0</v>
      </c>
      <c r="I4789" s="91" t="str">
        <f t="shared" si="374"/>
        <v/>
      </c>
      <c r="J4789" s="91" t="str">
        <f t="shared" si="375"/>
        <v/>
      </c>
      <c r="K4789" s="92" t="str">
        <f>IF(AND(A4789="",B4789="",D4789="",G4789=""),"",IF(AND(A4789&lt;&gt;"",COUNTIF($A$2:$A$5001,A4789)&gt;1),"NUMERO_PC duplicado",IF(B4789="","DATA_PC vazia",IF(NOT(ISNUMBER(B4789)),"DATA_PC invalida",IF(OR(C4789="",C4789="Fora dos ciclos"),"CICLO_PC nao identificado",IF(OR(D4789="",D4789=0),"VALOR_PC vazio ou zero",IF(AND(G4789&lt;&gt;"Sim",G4789&lt;&gt;"Nao",G4789&lt;&gt;""),"PC_PAGO_A_CONTRATADA invalido",IF(AND(C4789&lt;&gt;"C0",IFERROR(INDEX(parametros!$A$2:$A$6,MATCH(C4789,parametros!$B$2:$B$6,0)),"")="Sim",IFERROR(INDEX(parametros!$H$2:$H$6,MATCH(C4789,parametros!$B$2:$B$6,0)),"")=""),"INICIO_EFEITO ausente: PC "&amp;A4789&amp;" - "&amp;C4789,IF(L4789="","EFEITO_PC nao calculado: PC "&amp;A4789&amp;" - "&amp;C4789,"OK")))))))))</f>
        <v/>
      </c>
      <c r="L4789" s="92" t="str">
        <f>IF(AND(A4789="",B4789="",D4789="",G4789=""),"",IF(OR(B4789="",NOT(ISNUMBER(B4789)),C4789="",C4789="Fora dos ciclos"),"",IF(C4789="C0","Nao",IF(IFERROR(INDEX(parametros!$A$2:$A$6,MATCH(C4789,parametros!$B$2:$B$6,0)),"")&lt;&gt;"Sim","Nao",IF(IFERROR(INDEX(parametros!$H$2:$H$6,MATCH(C4789,parametros!$B$2:$B$6,0)),"")="","",IF(B4789&gt;=IFERROR(INDEX(parametros!$H$2:$H$6,MATCH(C4789,parametros!$B$2:$B$6,0)),""),"Sim","Nao"))))))</f>
        <v/>
      </c>
      <c r="T4789" s="156"/>
      <c r="U4789" s="214" t="str">
        <f t="shared" si="376"/>
        <v/>
      </c>
      <c r="V4789" s="212" t="s">
        <v>50</v>
      </c>
      <c r="W4789" s="100" t="s">
        <v>168</v>
      </c>
      <c r="X4789" s="100" t="s">
        <v>169</v>
      </c>
      <c r="Y4789" s="101" t="s">
        <v>170</v>
      </c>
      <c r="Z4789" s="101" t="s">
        <v>171</v>
      </c>
      <c r="AA4789" s="101" t="s">
        <v>50</v>
      </c>
      <c r="AB4789" s="101" t="s">
        <v>172</v>
      </c>
      <c r="AC4789" s="102" t="s">
        <v>173</v>
      </c>
    </row>
    <row r="4790" spans="1:29" ht="25.5" customHeight="1" x14ac:dyDescent="0.35">
      <c r="A4790" s="392"/>
      <c r="B4790" s="393"/>
      <c r="C4790" s="99" t="str">
        <f>IF(B4790="","",IF(NOT(ISNUMBER(B4790)),"DATA_PC invalida",IF(NOT(ISNUMBER(parametros!$C$2)),"Fora dos ciclos",IF(OR(B4790&lt;parametros!$C$2,(YEAR(B4790)-YEAR(parametros!$C$2))*12+MONTH(B4790)-MONTH(parametros!$C$2)&gt;59),"Fora dos ciclos","C"&amp;INT(((YEAR(B4790)-YEAR(parametros!$C$2))*12+MONTH(B4790)-MONTH(parametros!$C$2))/12)))))</f>
        <v/>
      </c>
      <c r="D4790" s="394"/>
      <c r="E4790" s="78" t="str">
        <f>IF(C4790="","",IFERROR(VLOOKUP(C4790,parametros!$A$11:$E$15,5,0),""))</f>
        <v/>
      </c>
      <c r="F4790" s="79" t="str">
        <f t="shared" si="372"/>
        <v/>
      </c>
      <c r="G4790" s="395"/>
      <c r="H4790" s="91">
        <f t="shared" si="373"/>
        <v>0</v>
      </c>
      <c r="I4790" s="91" t="str">
        <f t="shared" si="374"/>
        <v/>
      </c>
      <c r="J4790" s="91" t="str">
        <f t="shared" si="375"/>
        <v/>
      </c>
      <c r="K4790" s="92" t="str">
        <f>IF(AND(A4790="",B4790="",D4790="",G4790=""),"",IF(AND(A4790&lt;&gt;"",COUNTIF($A$2:$A$5001,A4790)&gt;1),"NUMERO_PC duplicado",IF(B4790="","DATA_PC vazia",IF(NOT(ISNUMBER(B4790)),"DATA_PC invalida",IF(OR(C4790="",C4790="Fora dos ciclos"),"CICLO_PC nao identificado",IF(OR(D4790="",D4790=0),"VALOR_PC vazio ou zero",IF(AND(G4790&lt;&gt;"Sim",G4790&lt;&gt;"Nao",G4790&lt;&gt;""),"PC_PAGO_A_CONTRATADA invalido",IF(AND(C4790&lt;&gt;"C0",IFERROR(INDEX(parametros!$A$2:$A$6,MATCH(C4790,parametros!$B$2:$B$6,0)),"")="Sim",IFERROR(INDEX(parametros!$H$2:$H$6,MATCH(C4790,parametros!$B$2:$B$6,0)),"")=""),"INICIO_EFEITO ausente: PC "&amp;A4790&amp;" - "&amp;C4790,IF(L4790="","EFEITO_PC nao calculado: PC "&amp;A4790&amp;" - "&amp;C4790,"OK")))))))))</f>
        <v/>
      </c>
      <c r="L4790" s="92" t="str">
        <f>IF(AND(A4790="",B4790="",D4790="",G4790=""),"",IF(OR(B4790="",NOT(ISNUMBER(B4790)),C4790="",C4790="Fora dos ciclos"),"",IF(C4790="C0","Nao",IF(IFERROR(INDEX(parametros!$A$2:$A$6,MATCH(C4790,parametros!$B$2:$B$6,0)),"")&lt;&gt;"Sim","Nao",IF(IFERROR(INDEX(parametros!$H$2:$H$6,MATCH(C4790,parametros!$B$2:$B$6,0)),"")="","",IF(B4790&gt;=IFERROR(INDEX(parametros!$H$2:$H$6,MATCH(C4790,parametros!$B$2:$B$6,0)),""),"Sim","Nao"))))))</f>
        <v/>
      </c>
      <c r="T4790" s="156"/>
      <c r="U4790" s="214" t="str">
        <f t="shared" si="376"/>
        <v/>
      </c>
      <c r="V4790" s="212" t="s">
        <v>50</v>
      </c>
      <c r="W4790" s="100" t="s">
        <v>168</v>
      </c>
      <c r="X4790" s="100" t="s">
        <v>169</v>
      </c>
      <c r="Y4790" s="101" t="s">
        <v>170</v>
      </c>
      <c r="Z4790" s="101" t="s">
        <v>171</v>
      </c>
      <c r="AA4790" s="101" t="s">
        <v>50</v>
      </c>
      <c r="AB4790" s="101" t="s">
        <v>172</v>
      </c>
      <c r="AC4790" s="102" t="s">
        <v>173</v>
      </c>
    </row>
    <row r="4791" spans="1:29" ht="25.5" customHeight="1" x14ac:dyDescent="0.35">
      <c r="A4791" s="392"/>
      <c r="B4791" s="393"/>
      <c r="C4791" s="99" t="str">
        <f>IF(B4791="","",IF(NOT(ISNUMBER(B4791)),"DATA_PC invalida",IF(NOT(ISNUMBER(parametros!$C$2)),"Fora dos ciclos",IF(OR(B4791&lt;parametros!$C$2,(YEAR(B4791)-YEAR(parametros!$C$2))*12+MONTH(B4791)-MONTH(parametros!$C$2)&gt;59),"Fora dos ciclos","C"&amp;INT(((YEAR(B4791)-YEAR(parametros!$C$2))*12+MONTH(B4791)-MONTH(parametros!$C$2))/12)))))</f>
        <v/>
      </c>
      <c r="D4791" s="394"/>
      <c r="E4791" s="78" t="str">
        <f>IF(C4791="","",IFERROR(VLOOKUP(C4791,parametros!$A$11:$E$15,5,0),""))</f>
        <v/>
      </c>
      <c r="F4791" s="79" t="str">
        <f t="shared" si="372"/>
        <v/>
      </c>
      <c r="G4791" s="395"/>
      <c r="H4791" s="91">
        <f t="shared" si="373"/>
        <v>0</v>
      </c>
      <c r="I4791" s="91" t="str">
        <f t="shared" si="374"/>
        <v/>
      </c>
      <c r="J4791" s="91" t="str">
        <f t="shared" si="375"/>
        <v/>
      </c>
      <c r="K4791" s="92" t="str">
        <f>IF(AND(A4791="",B4791="",D4791="",G4791=""),"",IF(AND(A4791&lt;&gt;"",COUNTIF($A$2:$A$5001,A4791)&gt;1),"NUMERO_PC duplicado",IF(B4791="","DATA_PC vazia",IF(NOT(ISNUMBER(B4791)),"DATA_PC invalida",IF(OR(C4791="",C4791="Fora dos ciclos"),"CICLO_PC nao identificado",IF(OR(D4791="",D4791=0),"VALOR_PC vazio ou zero",IF(AND(G4791&lt;&gt;"Sim",G4791&lt;&gt;"Nao",G4791&lt;&gt;""),"PC_PAGO_A_CONTRATADA invalido",IF(AND(C4791&lt;&gt;"C0",IFERROR(INDEX(parametros!$A$2:$A$6,MATCH(C4791,parametros!$B$2:$B$6,0)),"")="Sim",IFERROR(INDEX(parametros!$H$2:$H$6,MATCH(C4791,parametros!$B$2:$B$6,0)),"")=""),"INICIO_EFEITO ausente: PC "&amp;A4791&amp;" - "&amp;C4791,IF(L4791="","EFEITO_PC nao calculado: PC "&amp;A4791&amp;" - "&amp;C4791,"OK")))))))))</f>
        <v/>
      </c>
      <c r="L4791" s="92" t="str">
        <f>IF(AND(A4791="",B4791="",D4791="",G4791=""),"",IF(OR(B4791="",NOT(ISNUMBER(B4791)),C4791="",C4791="Fora dos ciclos"),"",IF(C4791="C0","Nao",IF(IFERROR(INDEX(parametros!$A$2:$A$6,MATCH(C4791,parametros!$B$2:$B$6,0)),"")&lt;&gt;"Sim","Nao",IF(IFERROR(INDEX(parametros!$H$2:$H$6,MATCH(C4791,parametros!$B$2:$B$6,0)),"")="","",IF(B4791&gt;=IFERROR(INDEX(parametros!$H$2:$H$6,MATCH(C4791,parametros!$B$2:$B$6,0)),""),"Sim","Nao"))))))</f>
        <v/>
      </c>
      <c r="T4791" s="156"/>
      <c r="U4791" s="214" t="str">
        <f t="shared" si="376"/>
        <v/>
      </c>
      <c r="V4791" s="212" t="s">
        <v>50</v>
      </c>
      <c r="W4791" s="100" t="s">
        <v>168</v>
      </c>
      <c r="X4791" s="100" t="s">
        <v>169</v>
      </c>
      <c r="Y4791" s="101" t="s">
        <v>170</v>
      </c>
      <c r="Z4791" s="101" t="s">
        <v>171</v>
      </c>
      <c r="AA4791" s="101" t="s">
        <v>50</v>
      </c>
      <c r="AB4791" s="101" t="s">
        <v>172</v>
      </c>
      <c r="AC4791" s="102" t="s">
        <v>173</v>
      </c>
    </row>
    <row r="4792" spans="1:29" ht="25.5" customHeight="1" x14ac:dyDescent="0.35">
      <c r="A4792" s="392"/>
      <c r="B4792" s="393"/>
      <c r="C4792" s="99" t="str">
        <f>IF(B4792="","",IF(NOT(ISNUMBER(B4792)),"DATA_PC invalida",IF(NOT(ISNUMBER(parametros!$C$2)),"Fora dos ciclos",IF(OR(B4792&lt;parametros!$C$2,(YEAR(B4792)-YEAR(parametros!$C$2))*12+MONTH(B4792)-MONTH(parametros!$C$2)&gt;59),"Fora dos ciclos","C"&amp;INT(((YEAR(B4792)-YEAR(parametros!$C$2))*12+MONTH(B4792)-MONTH(parametros!$C$2))/12)))))</f>
        <v/>
      </c>
      <c r="D4792" s="394"/>
      <c r="E4792" s="78" t="str">
        <f>IF(C4792="","",IFERROR(VLOOKUP(C4792,parametros!$A$11:$E$15,5,0),""))</f>
        <v/>
      </c>
      <c r="F4792" s="79" t="str">
        <f t="shared" si="372"/>
        <v/>
      </c>
      <c r="G4792" s="395"/>
      <c r="H4792" s="91">
        <f t="shared" si="373"/>
        <v>0</v>
      </c>
      <c r="I4792" s="91" t="str">
        <f t="shared" si="374"/>
        <v/>
      </c>
      <c r="J4792" s="91" t="str">
        <f t="shared" si="375"/>
        <v/>
      </c>
      <c r="K4792" s="92" t="str">
        <f>IF(AND(A4792="",B4792="",D4792="",G4792=""),"",IF(AND(A4792&lt;&gt;"",COUNTIF($A$2:$A$5001,A4792)&gt;1),"NUMERO_PC duplicado",IF(B4792="","DATA_PC vazia",IF(NOT(ISNUMBER(B4792)),"DATA_PC invalida",IF(OR(C4792="",C4792="Fora dos ciclos"),"CICLO_PC nao identificado",IF(OR(D4792="",D4792=0),"VALOR_PC vazio ou zero",IF(AND(G4792&lt;&gt;"Sim",G4792&lt;&gt;"Nao",G4792&lt;&gt;""),"PC_PAGO_A_CONTRATADA invalido",IF(AND(C4792&lt;&gt;"C0",IFERROR(INDEX(parametros!$A$2:$A$6,MATCH(C4792,parametros!$B$2:$B$6,0)),"")="Sim",IFERROR(INDEX(parametros!$H$2:$H$6,MATCH(C4792,parametros!$B$2:$B$6,0)),"")=""),"INICIO_EFEITO ausente: PC "&amp;A4792&amp;" - "&amp;C4792,IF(L4792="","EFEITO_PC nao calculado: PC "&amp;A4792&amp;" - "&amp;C4792,"OK")))))))))</f>
        <v/>
      </c>
      <c r="L4792" s="92" t="str">
        <f>IF(AND(A4792="",B4792="",D4792="",G4792=""),"",IF(OR(B4792="",NOT(ISNUMBER(B4792)),C4792="",C4792="Fora dos ciclos"),"",IF(C4792="C0","Nao",IF(IFERROR(INDEX(parametros!$A$2:$A$6,MATCH(C4792,parametros!$B$2:$B$6,0)),"")&lt;&gt;"Sim","Nao",IF(IFERROR(INDEX(parametros!$H$2:$H$6,MATCH(C4792,parametros!$B$2:$B$6,0)),"")="","",IF(B4792&gt;=IFERROR(INDEX(parametros!$H$2:$H$6,MATCH(C4792,parametros!$B$2:$B$6,0)),""),"Sim","Nao"))))))</f>
        <v/>
      </c>
      <c r="T4792" s="156"/>
      <c r="U4792" s="214" t="str">
        <f t="shared" si="376"/>
        <v/>
      </c>
      <c r="V4792" s="212" t="s">
        <v>50</v>
      </c>
      <c r="W4792" s="100" t="s">
        <v>168</v>
      </c>
      <c r="X4792" s="100" t="s">
        <v>169</v>
      </c>
      <c r="Y4792" s="101" t="s">
        <v>170</v>
      </c>
      <c r="Z4792" s="101" t="s">
        <v>171</v>
      </c>
      <c r="AA4792" s="101" t="s">
        <v>50</v>
      </c>
      <c r="AB4792" s="101" t="s">
        <v>172</v>
      </c>
      <c r="AC4792" s="102" t="s">
        <v>173</v>
      </c>
    </row>
    <row r="4793" spans="1:29" ht="25.5" customHeight="1" x14ac:dyDescent="0.35">
      <c r="A4793" s="392"/>
      <c r="B4793" s="393"/>
      <c r="C4793" s="99" t="str">
        <f>IF(B4793="","",IF(NOT(ISNUMBER(B4793)),"DATA_PC invalida",IF(NOT(ISNUMBER(parametros!$C$2)),"Fora dos ciclos",IF(OR(B4793&lt;parametros!$C$2,(YEAR(B4793)-YEAR(parametros!$C$2))*12+MONTH(B4793)-MONTH(parametros!$C$2)&gt;59),"Fora dos ciclos","C"&amp;INT(((YEAR(B4793)-YEAR(parametros!$C$2))*12+MONTH(B4793)-MONTH(parametros!$C$2))/12)))))</f>
        <v/>
      </c>
      <c r="D4793" s="394"/>
      <c r="E4793" s="78" t="str">
        <f>IF(C4793="","",IFERROR(VLOOKUP(C4793,parametros!$A$11:$E$15,5,0),""))</f>
        <v/>
      </c>
      <c r="F4793" s="79" t="str">
        <f t="shared" si="372"/>
        <v/>
      </c>
      <c r="G4793" s="395"/>
      <c r="H4793" s="91">
        <f t="shared" si="373"/>
        <v>0</v>
      </c>
      <c r="I4793" s="91" t="str">
        <f t="shared" si="374"/>
        <v/>
      </c>
      <c r="J4793" s="91" t="str">
        <f t="shared" si="375"/>
        <v/>
      </c>
      <c r="K4793" s="92" t="str">
        <f>IF(AND(A4793="",B4793="",D4793="",G4793=""),"",IF(AND(A4793&lt;&gt;"",COUNTIF($A$2:$A$5001,A4793)&gt;1),"NUMERO_PC duplicado",IF(B4793="","DATA_PC vazia",IF(NOT(ISNUMBER(B4793)),"DATA_PC invalida",IF(OR(C4793="",C4793="Fora dos ciclos"),"CICLO_PC nao identificado",IF(OR(D4793="",D4793=0),"VALOR_PC vazio ou zero",IF(AND(G4793&lt;&gt;"Sim",G4793&lt;&gt;"Nao",G4793&lt;&gt;""),"PC_PAGO_A_CONTRATADA invalido",IF(AND(C4793&lt;&gt;"C0",IFERROR(INDEX(parametros!$A$2:$A$6,MATCH(C4793,parametros!$B$2:$B$6,0)),"")="Sim",IFERROR(INDEX(parametros!$H$2:$H$6,MATCH(C4793,parametros!$B$2:$B$6,0)),"")=""),"INICIO_EFEITO ausente: PC "&amp;A4793&amp;" - "&amp;C4793,IF(L4793="","EFEITO_PC nao calculado: PC "&amp;A4793&amp;" - "&amp;C4793,"OK")))))))))</f>
        <v/>
      </c>
      <c r="L4793" s="92" t="str">
        <f>IF(AND(A4793="",B4793="",D4793="",G4793=""),"",IF(OR(B4793="",NOT(ISNUMBER(B4793)),C4793="",C4793="Fora dos ciclos"),"",IF(C4793="C0","Nao",IF(IFERROR(INDEX(parametros!$A$2:$A$6,MATCH(C4793,parametros!$B$2:$B$6,0)),"")&lt;&gt;"Sim","Nao",IF(IFERROR(INDEX(parametros!$H$2:$H$6,MATCH(C4793,parametros!$B$2:$B$6,0)),"")="","",IF(B4793&gt;=IFERROR(INDEX(parametros!$H$2:$H$6,MATCH(C4793,parametros!$B$2:$B$6,0)),""),"Sim","Nao"))))))</f>
        <v/>
      </c>
      <c r="T4793" s="156"/>
      <c r="U4793" s="214" t="str">
        <f t="shared" si="376"/>
        <v/>
      </c>
      <c r="V4793" s="212" t="s">
        <v>50</v>
      </c>
      <c r="W4793" s="100" t="s">
        <v>168</v>
      </c>
      <c r="X4793" s="100" t="s">
        <v>169</v>
      </c>
      <c r="Y4793" s="101" t="s">
        <v>170</v>
      </c>
      <c r="Z4793" s="101" t="s">
        <v>171</v>
      </c>
      <c r="AA4793" s="101" t="s">
        <v>50</v>
      </c>
      <c r="AB4793" s="101" t="s">
        <v>172</v>
      </c>
      <c r="AC4793" s="102" t="s">
        <v>173</v>
      </c>
    </row>
    <row r="4794" spans="1:29" ht="25.5" customHeight="1" x14ac:dyDescent="0.35">
      <c r="A4794" s="392"/>
      <c r="B4794" s="393"/>
      <c r="C4794" s="99" t="str">
        <f>IF(B4794="","",IF(NOT(ISNUMBER(B4794)),"DATA_PC invalida",IF(NOT(ISNUMBER(parametros!$C$2)),"Fora dos ciclos",IF(OR(B4794&lt;parametros!$C$2,(YEAR(B4794)-YEAR(parametros!$C$2))*12+MONTH(B4794)-MONTH(parametros!$C$2)&gt;59),"Fora dos ciclos","C"&amp;INT(((YEAR(B4794)-YEAR(parametros!$C$2))*12+MONTH(B4794)-MONTH(parametros!$C$2))/12)))))</f>
        <v/>
      </c>
      <c r="D4794" s="394"/>
      <c r="E4794" s="78" t="str">
        <f>IF(C4794="","",IFERROR(VLOOKUP(C4794,parametros!$A$11:$E$15,5,0),""))</f>
        <v/>
      </c>
      <c r="F4794" s="79" t="str">
        <f t="shared" si="372"/>
        <v/>
      </c>
      <c r="G4794" s="395"/>
      <c r="H4794" s="91">
        <f t="shared" si="373"/>
        <v>0</v>
      </c>
      <c r="I4794" s="91" t="str">
        <f t="shared" si="374"/>
        <v/>
      </c>
      <c r="J4794" s="91" t="str">
        <f t="shared" si="375"/>
        <v/>
      </c>
      <c r="K4794" s="92" t="str">
        <f>IF(AND(A4794="",B4794="",D4794="",G4794=""),"",IF(AND(A4794&lt;&gt;"",COUNTIF($A$2:$A$5001,A4794)&gt;1),"NUMERO_PC duplicado",IF(B4794="","DATA_PC vazia",IF(NOT(ISNUMBER(B4794)),"DATA_PC invalida",IF(OR(C4794="",C4794="Fora dos ciclos"),"CICLO_PC nao identificado",IF(OR(D4794="",D4794=0),"VALOR_PC vazio ou zero",IF(AND(G4794&lt;&gt;"Sim",G4794&lt;&gt;"Nao",G4794&lt;&gt;""),"PC_PAGO_A_CONTRATADA invalido",IF(AND(C4794&lt;&gt;"C0",IFERROR(INDEX(parametros!$A$2:$A$6,MATCH(C4794,parametros!$B$2:$B$6,0)),"")="Sim",IFERROR(INDEX(parametros!$H$2:$H$6,MATCH(C4794,parametros!$B$2:$B$6,0)),"")=""),"INICIO_EFEITO ausente: PC "&amp;A4794&amp;" - "&amp;C4794,IF(L4794="","EFEITO_PC nao calculado: PC "&amp;A4794&amp;" - "&amp;C4794,"OK")))))))))</f>
        <v/>
      </c>
      <c r="L4794" s="92" t="str">
        <f>IF(AND(A4794="",B4794="",D4794="",G4794=""),"",IF(OR(B4794="",NOT(ISNUMBER(B4794)),C4794="",C4794="Fora dos ciclos"),"",IF(C4794="C0","Nao",IF(IFERROR(INDEX(parametros!$A$2:$A$6,MATCH(C4794,parametros!$B$2:$B$6,0)),"")&lt;&gt;"Sim","Nao",IF(IFERROR(INDEX(parametros!$H$2:$H$6,MATCH(C4794,parametros!$B$2:$B$6,0)),"")="","",IF(B4794&gt;=IFERROR(INDEX(parametros!$H$2:$H$6,MATCH(C4794,parametros!$B$2:$B$6,0)),""),"Sim","Nao"))))))</f>
        <v/>
      </c>
      <c r="T4794" s="156"/>
      <c r="U4794" s="214" t="str">
        <f t="shared" si="376"/>
        <v/>
      </c>
      <c r="V4794" s="212" t="s">
        <v>50</v>
      </c>
      <c r="W4794" s="100" t="s">
        <v>168</v>
      </c>
      <c r="X4794" s="100" t="s">
        <v>169</v>
      </c>
      <c r="Y4794" s="101" t="s">
        <v>170</v>
      </c>
      <c r="Z4794" s="101" t="s">
        <v>171</v>
      </c>
      <c r="AA4794" s="101" t="s">
        <v>50</v>
      </c>
      <c r="AB4794" s="101" t="s">
        <v>172</v>
      </c>
      <c r="AC4794" s="102" t="s">
        <v>173</v>
      </c>
    </row>
    <row r="4795" spans="1:29" ht="25.5" customHeight="1" x14ac:dyDescent="0.35">
      <c r="A4795" s="392"/>
      <c r="B4795" s="393"/>
      <c r="C4795" s="99" t="str">
        <f>IF(B4795="","",IF(NOT(ISNUMBER(B4795)),"DATA_PC invalida",IF(NOT(ISNUMBER(parametros!$C$2)),"Fora dos ciclos",IF(OR(B4795&lt;parametros!$C$2,(YEAR(B4795)-YEAR(parametros!$C$2))*12+MONTH(B4795)-MONTH(parametros!$C$2)&gt;59),"Fora dos ciclos","C"&amp;INT(((YEAR(B4795)-YEAR(parametros!$C$2))*12+MONTH(B4795)-MONTH(parametros!$C$2))/12)))))</f>
        <v/>
      </c>
      <c r="D4795" s="394"/>
      <c r="E4795" s="78" t="str">
        <f>IF(C4795="","",IFERROR(VLOOKUP(C4795,parametros!$A$11:$E$15,5,0),""))</f>
        <v/>
      </c>
      <c r="F4795" s="79" t="str">
        <f t="shared" si="372"/>
        <v/>
      </c>
      <c r="G4795" s="395"/>
      <c r="H4795" s="91">
        <f t="shared" si="373"/>
        <v>0</v>
      </c>
      <c r="I4795" s="91" t="str">
        <f t="shared" si="374"/>
        <v/>
      </c>
      <c r="J4795" s="91" t="str">
        <f t="shared" si="375"/>
        <v/>
      </c>
      <c r="K4795" s="92" t="str">
        <f>IF(AND(A4795="",B4795="",D4795="",G4795=""),"",IF(AND(A4795&lt;&gt;"",COUNTIF($A$2:$A$5001,A4795)&gt;1),"NUMERO_PC duplicado",IF(B4795="","DATA_PC vazia",IF(NOT(ISNUMBER(B4795)),"DATA_PC invalida",IF(OR(C4795="",C4795="Fora dos ciclos"),"CICLO_PC nao identificado",IF(OR(D4795="",D4795=0),"VALOR_PC vazio ou zero",IF(AND(G4795&lt;&gt;"Sim",G4795&lt;&gt;"Nao",G4795&lt;&gt;""),"PC_PAGO_A_CONTRATADA invalido",IF(AND(C4795&lt;&gt;"C0",IFERROR(INDEX(parametros!$A$2:$A$6,MATCH(C4795,parametros!$B$2:$B$6,0)),"")="Sim",IFERROR(INDEX(parametros!$H$2:$H$6,MATCH(C4795,parametros!$B$2:$B$6,0)),"")=""),"INICIO_EFEITO ausente: PC "&amp;A4795&amp;" - "&amp;C4795,IF(L4795="","EFEITO_PC nao calculado: PC "&amp;A4795&amp;" - "&amp;C4795,"OK")))))))))</f>
        <v/>
      </c>
      <c r="L4795" s="92" t="str">
        <f>IF(AND(A4795="",B4795="",D4795="",G4795=""),"",IF(OR(B4795="",NOT(ISNUMBER(B4795)),C4795="",C4795="Fora dos ciclos"),"",IF(C4795="C0","Nao",IF(IFERROR(INDEX(parametros!$A$2:$A$6,MATCH(C4795,parametros!$B$2:$B$6,0)),"")&lt;&gt;"Sim","Nao",IF(IFERROR(INDEX(parametros!$H$2:$H$6,MATCH(C4795,parametros!$B$2:$B$6,0)),"")="","",IF(B4795&gt;=IFERROR(INDEX(parametros!$H$2:$H$6,MATCH(C4795,parametros!$B$2:$B$6,0)),""),"Sim","Nao"))))))</f>
        <v/>
      </c>
      <c r="T4795" s="156"/>
      <c r="U4795" s="214" t="str">
        <f t="shared" si="376"/>
        <v/>
      </c>
      <c r="V4795" s="212" t="s">
        <v>50</v>
      </c>
      <c r="W4795" s="100" t="s">
        <v>168</v>
      </c>
      <c r="X4795" s="100" t="s">
        <v>169</v>
      </c>
      <c r="Y4795" s="101" t="s">
        <v>170</v>
      </c>
      <c r="Z4795" s="101" t="s">
        <v>171</v>
      </c>
      <c r="AA4795" s="101" t="s">
        <v>50</v>
      </c>
      <c r="AB4795" s="101" t="s">
        <v>172</v>
      </c>
      <c r="AC4795" s="102" t="s">
        <v>173</v>
      </c>
    </row>
    <row r="4796" spans="1:29" ht="25.5" customHeight="1" x14ac:dyDescent="0.35">
      <c r="A4796" s="392"/>
      <c r="B4796" s="393"/>
      <c r="C4796" s="99" t="str">
        <f>IF(B4796="","",IF(NOT(ISNUMBER(B4796)),"DATA_PC invalida",IF(NOT(ISNUMBER(parametros!$C$2)),"Fora dos ciclos",IF(OR(B4796&lt;parametros!$C$2,(YEAR(B4796)-YEAR(parametros!$C$2))*12+MONTH(B4796)-MONTH(parametros!$C$2)&gt;59),"Fora dos ciclos","C"&amp;INT(((YEAR(B4796)-YEAR(parametros!$C$2))*12+MONTH(B4796)-MONTH(parametros!$C$2))/12)))))</f>
        <v/>
      </c>
      <c r="D4796" s="394"/>
      <c r="E4796" s="78" t="str">
        <f>IF(C4796="","",IFERROR(VLOOKUP(C4796,parametros!$A$11:$E$15,5,0),""))</f>
        <v/>
      </c>
      <c r="F4796" s="79" t="str">
        <f t="shared" si="372"/>
        <v/>
      </c>
      <c r="G4796" s="395"/>
      <c r="H4796" s="91">
        <f t="shared" si="373"/>
        <v>0</v>
      </c>
      <c r="I4796" s="91" t="str">
        <f t="shared" si="374"/>
        <v/>
      </c>
      <c r="J4796" s="91" t="str">
        <f t="shared" si="375"/>
        <v/>
      </c>
      <c r="K4796" s="92" t="str">
        <f>IF(AND(A4796="",B4796="",D4796="",G4796=""),"",IF(AND(A4796&lt;&gt;"",COUNTIF($A$2:$A$5001,A4796)&gt;1),"NUMERO_PC duplicado",IF(B4796="","DATA_PC vazia",IF(NOT(ISNUMBER(B4796)),"DATA_PC invalida",IF(OR(C4796="",C4796="Fora dos ciclos"),"CICLO_PC nao identificado",IF(OR(D4796="",D4796=0),"VALOR_PC vazio ou zero",IF(AND(G4796&lt;&gt;"Sim",G4796&lt;&gt;"Nao",G4796&lt;&gt;""),"PC_PAGO_A_CONTRATADA invalido",IF(AND(C4796&lt;&gt;"C0",IFERROR(INDEX(parametros!$A$2:$A$6,MATCH(C4796,parametros!$B$2:$B$6,0)),"")="Sim",IFERROR(INDEX(parametros!$H$2:$H$6,MATCH(C4796,parametros!$B$2:$B$6,0)),"")=""),"INICIO_EFEITO ausente: PC "&amp;A4796&amp;" - "&amp;C4796,IF(L4796="","EFEITO_PC nao calculado: PC "&amp;A4796&amp;" - "&amp;C4796,"OK")))))))))</f>
        <v/>
      </c>
      <c r="L4796" s="92" t="str">
        <f>IF(AND(A4796="",B4796="",D4796="",G4796=""),"",IF(OR(B4796="",NOT(ISNUMBER(B4796)),C4796="",C4796="Fora dos ciclos"),"",IF(C4796="C0","Nao",IF(IFERROR(INDEX(parametros!$A$2:$A$6,MATCH(C4796,parametros!$B$2:$B$6,0)),"")&lt;&gt;"Sim","Nao",IF(IFERROR(INDEX(parametros!$H$2:$H$6,MATCH(C4796,parametros!$B$2:$B$6,0)),"")="","",IF(B4796&gt;=IFERROR(INDEX(parametros!$H$2:$H$6,MATCH(C4796,parametros!$B$2:$B$6,0)),""),"Sim","Nao"))))))</f>
        <v/>
      </c>
      <c r="T4796" s="156"/>
      <c r="U4796" s="214" t="str">
        <f t="shared" si="376"/>
        <v/>
      </c>
      <c r="V4796" s="212" t="s">
        <v>50</v>
      </c>
      <c r="W4796" s="100" t="s">
        <v>168</v>
      </c>
      <c r="X4796" s="100" t="s">
        <v>169</v>
      </c>
      <c r="Y4796" s="101" t="s">
        <v>170</v>
      </c>
      <c r="Z4796" s="101" t="s">
        <v>171</v>
      </c>
      <c r="AA4796" s="101" t="s">
        <v>50</v>
      </c>
      <c r="AB4796" s="101" t="s">
        <v>172</v>
      </c>
      <c r="AC4796" s="102" t="s">
        <v>173</v>
      </c>
    </row>
    <row r="4797" spans="1:29" ht="25.5" customHeight="1" x14ac:dyDescent="0.35">
      <c r="A4797" s="392"/>
      <c r="B4797" s="393"/>
      <c r="C4797" s="99" t="str">
        <f>IF(B4797="","",IF(NOT(ISNUMBER(B4797)),"DATA_PC invalida",IF(NOT(ISNUMBER(parametros!$C$2)),"Fora dos ciclos",IF(OR(B4797&lt;parametros!$C$2,(YEAR(B4797)-YEAR(parametros!$C$2))*12+MONTH(B4797)-MONTH(parametros!$C$2)&gt;59),"Fora dos ciclos","C"&amp;INT(((YEAR(B4797)-YEAR(parametros!$C$2))*12+MONTH(B4797)-MONTH(parametros!$C$2))/12)))))</f>
        <v/>
      </c>
      <c r="D4797" s="394"/>
      <c r="E4797" s="78" t="str">
        <f>IF(C4797="","",IFERROR(VLOOKUP(C4797,parametros!$A$11:$E$15,5,0),""))</f>
        <v/>
      </c>
      <c r="F4797" s="79" t="str">
        <f t="shared" si="372"/>
        <v/>
      </c>
      <c r="G4797" s="395"/>
      <c r="H4797" s="91">
        <f t="shared" si="373"/>
        <v>0</v>
      </c>
      <c r="I4797" s="91" t="str">
        <f t="shared" si="374"/>
        <v/>
      </c>
      <c r="J4797" s="91" t="str">
        <f t="shared" si="375"/>
        <v/>
      </c>
      <c r="K4797" s="92" t="str">
        <f>IF(AND(A4797="",B4797="",D4797="",G4797=""),"",IF(AND(A4797&lt;&gt;"",COUNTIF($A$2:$A$5001,A4797)&gt;1),"NUMERO_PC duplicado",IF(B4797="","DATA_PC vazia",IF(NOT(ISNUMBER(B4797)),"DATA_PC invalida",IF(OR(C4797="",C4797="Fora dos ciclos"),"CICLO_PC nao identificado",IF(OR(D4797="",D4797=0),"VALOR_PC vazio ou zero",IF(AND(G4797&lt;&gt;"Sim",G4797&lt;&gt;"Nao",G4797&lt;&gt;""),"PC_PAGO_A_CONTRATADA invalido",IF(AND(C4797&lt;&gt;"C0",IFERROR(INDEX(parametros!$A$2:$A$6,MATCH(C4797,parametros!$B$2:$B$6,0)),"")="Sim",IFERROR(INDEX(parametros!$H$2:$H$6,MATCH(C4797,parametros!$B$2:$B$6,0)),"")=""),"INICIO_EFEITO ausente: PC "&amp;A4797&amp;" - "&amp;C4797,IF(L4797="","EFEITO_PC nao calculado: PC "&amp;A4797&amp;" - "&amp;C4797,"OK")))))))))</f>
        <v/>
      </c>
      <c r="L4797" s="92" t="str">
        <f>IF(AND(A4797="",B4797="",D4797="",G4797=""),"",IF(OR(B4797="",NOT(ISNUMBER(B4797)),C4797="",C4797="Fora dos ciclos"),"",IF(C4797="C0","Nao",IF(IFERROR(INDEX(parametros!$A$2:$A$6,MATCH(C4797,parametros!$B$2:$B$6,0)),"")&lt;&gt;"Sim","Nao",IF(IFERROR(INDEX(parametros!$H$2:$H$6,MATCH(C4797,parametros!$B$2:$B$6,0)),"")="","",IF(B4797&gt;=IFERROR(INDEX(parametros!$H$2:$H$6,MATCH(C4797,parametros!$B$2:$B$6,0)),""),"Sim","Nao"))))))</f>
        <v/>
      </c>
      <c r="T4797" s="156"/>
      <c r="U4797" s="214" t="str">
        <f t="shared" si="376"/>
        <v/>
      </c>
      <c r="V4797" s="212" t="s">
        <v>50</v>
      </c>
      <c r="W4797" s="100" t="s">
        <v>168</v>
      </c>
      <c r="X4797" s="100" t="s">
        <v>169</v>
      </c>
      <c r="Y4797" s="101" t="s">
        <v>170</v>
      </c>
      <c r="Z4797" s="101" t="s">
        <v>171</v>
      </c>
      <c r="AA4797" s="101" t="s">
        <v>50</v>
      </c>
      <c r="AB4797" s="101" t="s">
        <v>172</v>
      </c>
      <c r="AC4797" s="102" t="s">
        <v>173</v>
      </c>
    </row>
    <row r="4798" spans="1:29" ht="25.5" customHeight="1" x14ac:dyDescent="0.35">
      <c r="A4798" s="392"/>
      <c r="B4798" s="393"/>
      <c r="C4798" s="99" t="str">
        <f>IF(B4798="","",IF(NOT(ISNUMBER(B4798)),"DATA_PC invalida",IF(NOT(ISNUMBER(parametros!$C$2)),"Fora dos ciclos",IF(OR(B4798&lt;parametros!$C$2,(YEAR(B4798)-YEAR(parametros!$C$2))*12+MONTH(B4798)-MONTH(parametros!$C$2)&gt;59),"Fora dos ciclos","C"&amp;INT(((YEAR(B4798)-YEAR(parametros!$C$2))*12+MONTH(B4798)-MONTH(parametros!$C$2))/12)))))</f>
        <v/>
      </c>
      <c r="D4798" s="394"/>
      <c r="E4798" s="78" t="str">
        <f>IF(C4798="","",IFERROR(VLOOKUP(C4798,parametros!$A$11:$E$15,5,0),""))</f>
        <v/>
      </c>
      <c r="F4798" s="79" t="str">
        <f t="shared" si="372"/>
        <v/>
      </c>
      <c r="G4798" s="395"/>
      <c r="H4798" s="91">
        <f t="shared" si="373"/>
        <v>0</v>
      </c>
      <c r="I4798" s="91" t="str">
        <f t="shared" si="374"/>
        <v/>
      </c>
      <c r="J4798" s="91" t="str">
        <f t="shared" si="375"/>
        <v/>
      </c>
      <c r="K4798" s="92" t="str">
        <f>IF(AND(A4798="",B4798="",D4798="",G4798=""),"",IF(AND(A4798&lt;&gt;"",COUNTIF($A$2:$A$5001,A4798)&gt;1),"NUMERO_PC duplicado",IF(B4798="","DATA_PC vazia",IF(NOT(ISNUMBER(B4798)),"DATA_PC invalida",IF(OR(C4798="",C4798="Fora dos ciclos"),"CICLO_PC nao identificado",IF(OR(D4798="",D4798=0),"VALOR_PC vazio ou zero",IF(AND(G4798&lt;&gt;"Sim",G4798&lt;&gt;"Nao",G4798&lt;&gt;""),"PC_PAGO_A_CONTRATADA invalido",IF(AND(C4798&lt;&gt;"C0",IFERROR(INDEX(parametros!$A$2:$A$6,MATCH(C4798,parametros!$B$2:$B$6,0)),"")="Sim",IFERROR(INDEX(parametros!$H$2:$H$6,MATCH(C4798,parametros!$B$2:$B$6,0)),"")=""),"INICIO_EFEITO ausente: PC "&amp;A4798&amp;" - "&amp;C4798,IF(L4798="","EFEITO_PC nao calculado: PC "&amp;A4798&amp;" - "&amp;C4798,"OK")))))))))</f>
        <v/>
      </c>
      <c r="L4798" s="92" t="str">
        <f>IF(AND(A4798="",B4798="",D4798="",G4798=""),"",IF(OR(B4798="",NOT(ISNUMBER(B4798)),C4798="",C4798="Fora dos ciclos"),"",IF(C4798="C0","Nao",IF(IFERROR(INDEX(parametros!$A$2:$A$6,MATCH(C4798,parametros!$B$2:$B$6,0)),"")&lt;&gt;"Sim","Nao",IF(IFERROR(INDEX(parametros!$H$2:$H$6,MATCH(C4798,parametros!$B$2:$B$6,0)),"")="","",IF(B4798&gt;=IFERROR(INDEX(parametros!$H$2:$H$6,MATCH(C4798,parametros!$B$2:$B$6,0)),""),"Sim","Nao"))))))</f>
        <v/>
      </c>
      <c r="T4798" s="156"/>
      <c r="U4798" s="214" t="str">
        <f t="shared" si="376"/>
        <v/>
      </c>
      <c r="V4798" s="212" t="s">
        <v>50</v>
      </c>
      <c r="W4798" s="100" t="s">
        <v>168</v>
      </c>
      <c r="X4798" s="100" t="s">
        <v>169</v>
      </c>
      <c r="Y4798" s="101" t="s">
        <v>170</v>
      </c>
      <c r="Z4798" s="101" t="s">
        <v>171</v>
      </c>
      <c r="AA4798" s="101" t="s">
        <v>50</v>
      </c>
      <c r="AB4798" s="101" t="s">
        <v>172</v>
      </c>
      <c r="AC4798" s="102" t="s">
        <v>173</v>
      </c>
    </row>
    <row r="4799" spans="1:29" ht="25.5" customHeight="1" x14ac:dyDescent="0.35">
      <c r="A4799" s="392"/>
      <c r="B4799" s="393"/>
      <c r="C4799" s="99" t="str">
        <f>IF(B4799="","",IF(NOT(ISNUMBER(B4799)),"DATA_PC invalida",IF(NOT(ISNUMBER(parametros!$C$2)),"Fora dos ciclos",IF(OR(B4799&lt;parametros!$C$2,(YEAR(B4799)-YEAR(parametros!$C$2))*12+MONTH(B4799)-MONTH(parametros!$C$2)&gt;59),"Fora dos ciclos","C"&amp;INT(((YEAR(B4799)-YEAR(parametros!$C$2))*12+MONTH(B4799)-MONTH(parametros!$C$2))/12)))))</f>
        <v/>
      </c>
      <c r="D4799" s="394"/>
      <c r="E4799" s="78" t="str">
        <f>IF(C4799="","",IFERROR(VLOOKUP(C4799,parametros!$A$11:$E$15,5,0),""))</f>
        <v/>
      </c>
      <c r="F4799" s="79" t="str">
        <f t="shared" si="372"/>
        <v/>
      </c>
      <c r="G4799" s="395"/>
      <c r="H4799" s="91">
        <f t="shared" si="373"/>
        <v>0</v>
      </c>
      <c r="I4799" s="91" t="str">
        <f t="shared" si="374"/>
        <v/>
      </c>
      <c r="J4799" s="91" t="str">
        <f t="shared" si="375"/>
        <v/>
      </c>
      <c r="K4799" s="92" t="str">
        <f>IF(AND(A4799="",B4799="",D4799="",G4799=""),"",IF(AND(A4799&lt;&gt;"",COUNTIF($A$2:$A$5001,A4799)&gt;1),"NUMERO_PC duplicado",IF(B4799="","DATA_PC vazia",IF(NOT(ISNUMBER(B4799)),"DATA_PC invalida",IF(OR(C4799="",C4799="Fora dos ciclos"),"CICLO_PC nao identificado",IF(OR(D4799="",D4799=0),"VALOR_PC vazio ou zero",IF(AND(G4799&lt;&gt;"Sim",G4799&lt;&gt;"Nao",G4799&lt;&gt;""),"PC_PAGO_A_CONTRATADA invalido",IF(AND(C4799&lt;&gt;"C0",IFERROR(INDEX(parametros!$A$2:$A$6,MATCH(C4799,parametros!$B$2:$B$6,0)),"")="Sim",IFERROR(INDEX(parametros!$H$2:$H$6,MATCH(C4799,parametros!$B$2:$B$6,0)),"")=""),"INICIO_EFEITO ausente: PC "&amp;A4799&amp;" - "&amp;C4799,IF(L4799="","EFEITO_PC nao calculado: PC "&amp;A4799&amp;" - "&amp;C4799,"OK")))))))))</f>
        <v/>
      </c>
      <c r="L4799" s="92" t="str">
        <f>IF(AND(A4799="",B4799="",D4799="",G4799=""),"",IF(OR(B4799="",NOT(ISNUMBER(B4799)),C4799="",C4799="Fora dos ciclos"),"",IF(C4799="C0","Nao",IF(IFERROR(INDEX(parametros!$A$2:$A$6,MATCH(C4799,parametros!$B$2:$B$6,0)),"")&lt;&gt;"Sim","Nao",IF(IFERROR(INDEX(parametros!$H$2:$H$6,MATCH(C4799,parametros!$B$2:$B$6,0)),"")="","",IF(B4799&gt;=IFERROR(INDEX(parametros!$H$2:$H$6,MATCH(C4799,parametros!$B$2:$B$6,0)),""),"Sim","Nao"))))))</f>
        <v/>
      </c>
      <c r="T4799" s="156"/>
      <c r="U4799" s="214" t="str">
        <f t="shared" si="376"/>
        <v/>
      </c>
      <c r="V4799" s="212" t="s">
        <v>50</v>
      </c>
      <c r="W4799" s="100" t="s">
        <v>168</v>
      </c>
      <c r="X4799" s="100" t="s">
        <v>169</v>
      </c>
      <c r="Y4799" s="101" t="s">
        <v>170</v>
      </c>
      <c r="Z4799" s="101" t="s">
        <v>171</v>
      </c>
      <c r="AA4799" s="101" t="s">
        <v>50</v>
      </c>
      <c r="AB4799" s="101" t="s">
        <v>172</v>
      </c>
      <c r="AC4799" s="102" t="s">
        <v>173</v>
      </c>
    </row>
    <row r="4800" spans="1:29" ht="25.5" customHeight="1" x14ac:dyDescent="0.35">
      <c r="A4800" s="392"/>
      <c r="B4800" s="393"/>
      <c r="C4800" s="99" t="str">
        <f>IF(B4800="","",IF(NOT(ISNUMBER(B4800)),"DATA_PC invalida",IF(NOT(ISNUMBER(parametros!$C$2)),"Fora dos ciclos",IF(OR(B4800&lt;parametros!$C$2,(YEAR(B4800)-YEAR(parametros!$C$2))*12+MONTH(B4800)-MONTH(parametros!$C$2)&gt;59),"Fora dos ciclos","C"&amp;INT(((YEAR(B4800)-YEAR(parametros!$C$2))*12+MONTH(B4800)-MONTH(parametros!$C$2))/12)))))</f>
        <v/>
      </c>
      <c r="D4800" s="394"/>
      <c r="E4800" s="78" t="str">
        <f>IF(C4800="","",IFERROR(VLOOKUP(C4800,parametros!$A$11:$E$15,5,0),""))</f>
        <v/>
      </c>
      <c r="F4800" s="79" t="str">
        <f t="shared" si="372"/>
        <v/>
      </c>
      <c r="G4800" s="395"/>
      <c r="H4800" s="91">
        <f t="shared" si="373"/>
        <v>0</v>
      </c>
      <c r="I4800" s="91" t="str">
        <f t="shared" si="374"/>
        <v/>
      </c>
      <c r="J4800" s="91" t="str">
        <f t="shared" si="375"/>
        <v/>
      </c>
      <c r="K4800" s="92" t="str">
        <f>IF(AND(A4800="",B4800="",D4800="",G4800=""),"",IF(AND(A4800&lt;&gt;"",COUNTIF($A$2:$A$5001,A4800)&gt;1),"NUMERO_PC duplicado",IF(B4800="","DATA_PC vazia",IF(NOT(ISNUMBER(B4800)),"DATA_PC invalida",IF(OR(C4800="",C4800="Fora dos ciclos"),"CICLO_PC nao identificado",IF(OR(D4800="",D4800=0),"VALOR_PC vazio ou zero",IF(AND(G4800&lt;&gt;"Sim",G4800&lt;&gt;"Nao",G4800&lt;&gt;""),"PC_PAGO_A_CONTRATADA invalido",IF(AND(C4800&lt;&gt;"C0",IFERROR(INDEX(parametros!$A$2:$A$6,MATCH(C4800,parametros!$B$2:$B$6,0)),"")="Sim",IFERROR(INDEX(parametros!$H$2:$H$6,MATCH(C4800,parametros!$B$2:$B$6,0)),"")=""),"INICIO_EFEITO ausente: PC "&amp;A4800&amp;" - "&amp;C4800,IF(L4800="","EFEITO_PC nao calculado: PC "&amp;A4800&amp;" - "&amp;C4800,"OK")))))))))</f>
        <v/>
      </c>
      <c r="L4800" s="92" t="str">
        <f>IF(AND(A4800="",B4800="",D4800="",G4800=""),"",IF(OR(B4800="",NOT(ISNUMBER(B4800)),C4800="",C4800="Fora dos ciclos"),"",IF(C4800="C0","Nao",IF(IFERROR(INDEX(parametros!$A$2:$A$6,MATCH(C4800,parametros!$B$2:$B$6,0)),"")&lt;&gt;"Sim","Nao",IF(IFERROR(INDEX(parametros!$H$2:$H$6,MATCH(C4800,parametros!$B$2:$B$6,0)),"")="","",IF(B4800&gt;=IFERROR(INDEX(parametros!$H$2:$H$6,MATCH(C4800,parametros!$B$2:$B$6,0)),""),"Sim","Nao"))))))</f>
        <v/>
      </c>
      <c r="T4800" s="156"/>
      <c r="U4800" s="214" t="str">
        <f t="shared" si="376"/>
        <v/>
      </c>
      <c r="V4800" s="212" t="s">
        <v>50</v>
      </c>
      <c r="W4800" s="100" t="s">
        <v>168</v>
      </c>
      <c r="X4800" s="100" t="s">
        <v>169</v>
      </c>
      <c r="Y4800" s="101" t="s">
        <v>170</v>
      </c>
      <c r="Z4800" s="101" t="s">
        <v>171</v>
      </c>
      <c r="AA4800" s="101" t="s">
        <v>50</v>
      </c>
      <c r="AB4800" s="101" t="s">
        <v>172</v>
      </c>
      <c r="AC4800" s="102" t="s">
        <v>173</v>
      </c>
    </row>
    <row r="4801" spans="1:29" ht="25.5" customHeight="1" x14ac:dyDescent="0.35">
      <c r="A4801" s="392"/>
      <c r="B4801" s="393"/>
      <c r="C4801" s="99" t="str">
        <f>IF(B4801="","",IF(NOT(ISNUMBER(B4801)),"DATA_PC invalida",IF(NOT(ISNUMBER(parametros!$C$2)),"Fora dos ciclos",IF(OR(B4801&lt;parametros!$C$2,(YEAR(B4801)-YEAR(parametros!$C$2))*12+MONTH(B4801)-MONTH(parametros!$C$2)&gt;59),"Fora dos ciclos","C"&amp;INT(((YEAR(B4801)-YEAR(parametros!$C$2))*12+MONTH(B4801)-MONTH(parametros!$C$2))/12)))))</f>
        <v/>
      </c>
      <c r="D4801" s="394"/>
      <c r="E4801" s="78" t="str">
        <f>IF(C4801="","",IFERROR(VLOOKUP(C4801,parametros!$A$11:$E$15,5,0),""))</f>
        <v/>
      </c>
      <c r="F4801" s="79" t="str">
        <f t="shared" si="372"/>
        <v/>
      </c>
      <c r="G4801" s="395"/>
      <c r="H4801" s="91">
        <f t="shared" si="373"/>
        <v>0</v>
      </c>
      <c r="I4801" s="91" t="str">
        <f t="shared" si="374"/>
        <v/>
      </c>
      <c r="J4801" s="91" t="str">
        <f t="shared" si="375"/>
        <v/>
      </c>
      <c r="K4801" s="92" t="str">
        <f>IF(AND(A4801="",B4801="",D4801="",G4801=""),"",IF(AND(A4801&lt;&gt;"",COUNTIF($A$2:$A$5001,A4801)&gt;1),"NUMERO_PC duplicado",IF(B4801="","DATA_PC vazia",IF(NOT(ISNUMBER(B4801)),"DATA_PC invalida",IF(OR(C4801="",C4801="Fora dos ciclos"),"CICLO_PC nao identificado",IF(OR(D4801="",D4801=0),"VALOR_PC vazio ou zero",IF(AND(G4801&lt;&gt;"Sim",G4801&lt;&gt;"Nao",G4801&lt;&gt;""),"PC_PAGO_A_CONTRATADA invalido",IF(AND(C4801&lt;&gt;"C0",IFERROR(INDEX(parametros!$A$2:$A$6,MATCH(C4801,parametros!$B$2:$B$6,0)),"")="Sim",IFERROR(INDEX(parametros!$H$2:$H$6,MATCH(C4801,parametros!$B$2:$B$6,0)),"")=""),"INICIO_EFEITO ausente: PC "&amp;A4801&amp;" - "&amp;C4801,IF(L4801="","EFEITO_PC nao calculado: PC "&amp;A4801&amp;" - "&amp;C4801,"OK")))))))))</f>
        <v/>
      </c>
      <c r="L4801" s="92" t="str">
        <f>IF(AND(A4801="",B4801="",D4801="",G4801=""),"",IF(OR(B4801="",NOT(ISNUMBER(B4801)),C4801="",C4801="Fora dos ciclos"),"",IF(C4801="C0","Nao",IF(IFERROR(INDEX(parametros!$A$2:$A$6,MATCH(C4801,parametros!$B$2:$B$6,0)),"")&lt;&gt;"Sim","Nao",IF(IFERROR(INDEX(parametros!$H$2:$H$6,MATCH(C4801,parametros!$B$2:$B$6,0)),"")="","",IF(B4801&gt;=IFERROR(INDEX(parametros!$H$2:$H$6,MATCH(C4801,parametros!$B$2:$B$6,0)),""),"Sim","Nao"))))))</f>
        <v/>
      </c>
      <c r="T4801" s="156"/>
      <c r="U4801" s="214" t="str">
        <f t="shared" si="376"/>
        <v/>
      </c>
      <c r="V4801" s="212" t="s">
        <v>50</v>
      </c>
      <c r="W4801" s="100" t="s">
        <v>168</v>
      </c>
      <c r="X4801" s="100" t="s">
        <v>169</v>
      </c>
      <c r="Y4801" s="101" t="s">
        <v>170</v>
      </c>
      <c r="Z4801" s="101" t="s">
        <v>171</v>
      </c>
      <c r="AA4801" s="101" t="s">
        <v>50</v>
      </c>
      <c r="AB4801" s="101" t="s">
        <v>172</v>
      </c>
      <c r="AC4801" s="102" t="s">
        <v>173</v>
      </c>
    </row>
    <row r="4802" spans="1:29" ht="25.5" customHeight="1" x14ac:dyDescent="0.35">
      <c r="A4802" s="392"/>
      <c r="B4802" s="393"/>
      <c r="C4802" s="99" t="str">
        <f>IF(B4802="","",IF(NOT(ISNUMBER(B4802)),"DATA_PC invalida",IF(NOT(ISNUMBER(parametros!$C$2)),"Fora dos ciclos",IF(OR(B4802&lt;parametros!$C$2,(YEAR(B4802)-YEAR(parametros!$C$2))*12+MONTH(B4802)-MONTH(parametros!$C$2)&gt;59),"Fora dos ciclos","C"&amp;INT(((YEAR(B4802)-YEAR(parametros!$C$2))*12+MONTH(B4802)-MONTH(parametros!$C$2))/12)))))</f>
        <v/>
      </c>
      <c r="D4802" s="394"/>
      <c r="E4802" s="78" t="str">
        <f>IF(C4802="","",IFERROR(VLOOKUP(C4802,parametros!$A$11:$E$15,5,0),""))</f>
        <v/>
      </c>
      <c r="F4802" s="79" t="str">
        <f t="shared" ref="F4802:F4865" si="377">IF(OR(D4802="",E4802=""),"",ROUND(D4802*E4802,2))</f>
        <v/>
      </c>
      <c r="G4802" s="395"/>
      <c r="H4802" s="91">
        <f t="shared" ref="H4802:H4865" si="378">IF(G4802="Sim",IF(OR(F4802="",D4802="",L4802=""),"",IF(L4802="Sim",ROUND(F4802-D4802,2),0)),0)</f>
        <v>0</v>
      </c>
      <c r="I4802" s="91" t="str">
        <f t="shared" ref="I4802:I4865" si="379">IF(G4802="Sim",0,IF(OR(F4802="",L4802=""),"",F4802))</f>
        <v/>
      </c>
      <c r="J4802" s="91" t="str">
        <f t="shared" ref="J4802:J4865" si="380">IF(G4802="Sim",0,IF(OR(F4802="",D4802="",L4802=""),"",IF(L4802="Sim",ROUND(F4802-D4802,2),0)))</f>
        <v/>
      </c>
      <c r="K4802" s="92" t="str">
        <f>IF(AND(A4802="",B4802="",D4802="",G4802=""),"",IF(AND(A4802&lt;&gt;"",COUNTIF($A$2:$A$5001,A4802)&gt;1),"NUMERO_PC duplicado",IF(B4802="","DATA_PC vazia",IF(NOT(ISNUMBER(B4802)),"DATA_PC invalida",IF(OR(C4802="",C4802="Fora dos ciclos"),"CICLO_PC nao identificado",IF(OR(D4802="",D4802=0),"VALOR_PC vazio ou zero",IF(AND(G4802&lt;&gt;"Sim",G4802&lt;&gt;"Nao",G4802&lt;&gt;""),"PC_PAGO_A_CONTRATADA invalido",IF(AND(C4802&lt;&gt;"C0",IFERROR(INDEX(parametros!$A$2:$A$6,MATCH(C4802,parametros!$B$2:$B$6,0)),"")="Sim",IFERROR(INDEX(parametros!$H$2:$H$6,MATCH(C4802,parametros!$B$2:$B$6,0)),"")=""),"INICIO_EFEITO ausente: PC "&amp;A4802&amp;" - "&amp;C4802,IF(L4802="","EFEITO_PC nao calculado: PC "&amp;A4802&amp;" - "&amp;C4802,"OK")))))))))</f>
        <v/>
      </c>
      <c r="L4802" s="92" t="str">
        <f>IF(AND(A4802="",B4802="",D4802="",G4802=""),"",IF(OR(B4802="",NOT(ISNUMBER(B4802)),C4802="",C4802="Fora dos ciclos"),"",IF(C4802="C0","Nao",IF(IFERROR(INDEX(parametros!$A$2:$A$6,MATCH(C4802,parametros!$B$2:$B$6,0)),"")&lt;&gt;"Sim","Nao",IF(IFERROR(INDEX(parametros!$H$2:$H$6,MATCH(C4802,parametros!$B$2:$B$6,0)),"")="","",IF(B4802&gt;=IFERROR(INDEX(parametros!$H$2:$H$6,MATCH(C4802,parametros!$B$2:$B$6,0)),""),"Sim","Nao"))))))</f>
        <v/>
      </c>
      <c r="T4802" s="156"/>
      <c r="U4802" s="214" t="str">
        <f t="shared" ref="U4802:U4865" si="381">IF(OR($D4802="",$H4802=""),"",ROUND($D4802+$H4802,2))</f>
        <v/>
      </c>
      <c r="V4802" s="212" t="s">
        <v>50</v>
      </c>
      <c r="W4802" s="100" t="s">
        <v>168</v>
      </c>
      <c r="X4802" s="100" t="s">
        <v>169</v>
      </c>
      <c r="Y4802" s="101" t="s">
        <v>170</v>
      </c>
      <c r="Z4802" s="101" t="s">
        <v>171</v>
      </c>
      <c r="AA4802" s="101" t="s">
        <v>50</v>
      </c>
      <c r="AB4802" s="101" t="s">
        <v>172</v>
      </c>
      <c r="AC4802" s="102" t="s">
        <v>173</v>
      </c>
    </row>
    <row r="4803" spans="1:29" ht="25.5" customHeight="1" x14ac:dyDescent="0.35">
      <c r="A4803" s="392"/>
      <c r="B4803" s="393"/>
      <c r="C4803" s="99" t="str">
        <f>IF(B4803="","",IF(NOT(ISNUMBER(B4803)),"DATA_PC invalida",IF(NOT(ISNUMBER(parametros!$C$2)),"Fora dos ciclos",IF(OR(B4803&lt;parametros!$C$2,(YEAR(B4803)-YEAR(parametros!$C$2))*12+MONTH(B4803)-MONTH(parametros!$C$2)&gt;59),"Fora dos ciclos","C"&amp;INT(((YEAR(B4803)-YEAR(parametros!$C$2))*12+MONTH(B4803)-MONTH(parametros!$C$2))/12)))))</f>
        <v/>
      </c>
      <c r="D4803" s="394"/>
      <c r="E4803" s="78" t="str">
        <f>IF(C4803="","",IFERROR(VLOOKUP(C4803,parametros!$A$11:$E$15,5,0),""))</f>
        <v/>
      </c>
      <c r="F4803" s="79" t="str">
        <f t="shared" si="377"/>
        <v/>
      </c>
      <c r="G4803" s="395"/>
      <c r="H4803" s="91">
        <f t="shared" si="378"/>
        <v>0</v>
      </c>
      <c r="I4803" s="91" t="str">
        <f t="shared" si="379"/>
        <v/>
      </c>
      <c r="J4803" s="91" t="str">
        <f t="shared" si="380"/>
        <v/>
      </c>
      <c r="K4803" s="92" t="str">
        <f>IF(AND(A4803="",B4803="",D4803="",G4803=""),"",IF(AND(A4803&lt;&gt;"",COUNTIF($A$2:$A$5001,A4803)&gt;1),"NUMERO_PC duplicado",IF(B4803="","DATA_PC vazia",IF(NOT(ISNUMBER(B4803)),"DATA_PC invalida",IF(OR(C4803="",C4803="Fora dos ciclos"),"CICLO_PC nao identificado",IF(OR(D4803="",D4803=0),"VALOR_PC vazio ou zero",IF(AND(G4803&lt;&gt;"Sim",G4803&lt;&gt;"Nao",G4803&lt;&gt;""),"PC_PAGO_A_CONTRATADA invalido",IF(AND(C4803&lt;&gt;"C0",IFERROR(INDEX(parametros!$A$2:$A$6,MATCH(C4803,parametros!$B$2:$B$6,0)),"")="Sim",IFERROR(INDEX(parametros!$H$2:$H$6,MATCH(C4803,parametros!$B$2:$B$6,0)),"")=""),"INICIO_EFEITO ausente: PC "&amp;A4803&amp;" - "&amp;C4803,IF(L4803="","EFEITO_PC nao calculado: PC "&amp;A4803&amp;" - "&amp;C4803,"OK")))))))))</f>
        <v/>
      </c>
      <c r="L4803" s="92" t="str">
        <f>IF(AND(A4803="",B4803="",D4803="",G4803=""),"",IF(OR(B4803="",NOT(ISNUMBER(B4803)),C4803="",C4803="Fora dos ciclos"),"",IF(C4803="C0","Nao",IF(IFERROR(INDEX(parametros!$A$2:$A$6,MATCH(C4803,parametros!$B$2:$B$6,0)),"")&lt;&gt;"Sim","Nao",IF(IFERROR(INDEX(parametros!$H$2:$H$6,MATCH(C4803,parametros!$B$2:$B$6,0)),"")="","",IF(B4803&gt;=IFERROR(INDEX(parametros!$H$2:$H$6,MATCH(C4803,parametros!$B$2:$B$6,0)),""),"Sim","Nao"))))))</f>
        <v/>
      </c>
      <c r="T4803" s="156"/>
      <c r="U4803" s="214" t="str">
        <f t="shared" si="381"/>
        <v/>
      </c>
      <c r="V4803" s="212" t="s">
        <v>50</v>
      </c>
      <c r="W4803" s="100" t="s">
        <v>168</v>
      </c>
      <c r="X4803" s="100" t="s">
        <v>169</v>
      </c>
      <c r="Y4803" s="101" t="s">
        <v>170</v>
      </c>
      <c r="Z4803" s="101" t="s">
        <v>171</v>
      </c>
      <c r="AA4803" s="101" t="s">
        <v>50</v>
      </c>
      <c r="AB4803" s="101" t="s">
        <v>172</v>
      </c>
      <c r="AC4803" s="102" t="s">
        <v>173</v>
      </c>
    </row>
    <row r="4804" spans="1:29" ht="25.5" customHeight="1" x14ac:dyDescent="0.35">
      <c r="A4804" s="392"/>
      <c r="B4804" s="393"/>
      <c r="C4804" s="99" t="str">
        <f>IF(B4804="","",IF(NOT(ISNUMBER(B4804)),"DATA_PC invalida",IF(NOT(ISNUMBER(parametros!$C$2)),"Fora dos ciclos",IF(OR(B4804&lt;parametros!$C$2,(YEAR(B4804)-YEAR(parametros!$C$2))*12+MONTH(B4804)-MONTH(parametros!$C$2)&gt;59),"Fora dos ciclos","C"&amp;INT(((YEAR(B4804)-YEAR(parametros!$C$2))*12+MONTH(B4804)-MONTH(parametros!$C$2))/12)))))</f>
        <v/>
      </c>
      <c r="D4804" s="394"/>
      <c r="E4804" s="78" t="str">
        <f>IF(C4804="","",IFERROR(VLOOKUP(C4804,parametros!$A$11:$E$15,5,0),""))</f>
        <v/>
      </c>
      <c r="F4804" s="79" t="str">
        <f t="shared" si="377"/>
        <v/>
      </c>
      <c r="G4804" s="395"/>
      <c r="H4804" s="91">
        <f t="shared" si="378"/>
        <v>0</v>
      </c>
      <c r="I4804" s="91" t="str">
        <f t="shared" si="379"/>
        <v/>
      </c>
      <c r="J4804" s="91" t="str">
        <f t="shared" si="380"/>
        <v/>
      </c>
      <c r="K4804" s="92" t="str">
        <f>IF(AND(A4804="",B4804="",D4804="",G4804=""),"",IF(AND(A4804&lt;&gt;"",COUNTIF($A$2:$A$5001,A4804)&gt;1),"NUMERO_PC duplicado",IF(B4804="","DATA_PC vazia",IF(NOT(ISNUMBER(B4804)),"DATA_PC invalida",IF(OR(C4804="",C4804="Fora dos ciclos"),"CICLO_PC nao identificado",IF(OR(D4804="",D4804=0),"VALOR_PC vazio ou zero",IF(AND(G4804&lt;&gt;"Sim",G4804&lt;&gt;"Nao",G4804&lt;&gt;""),"PC_PAGO_A_CONTRATADA invalido",IF(AND(C4804&lt;&gt;"C0",IFERROR(INDEX(parametros!$A$2:$A$6,MATCH(C4804,parametros!$B$2:$B$6,0)),"")="Sim",IFERROR(INDEX(parametros!$H$2:$H$6,MATCH(C4804,parametros!$B$2:$B$6,0)),"")=""),"INICIO_EFEITO ausente: PC "&amp;A4804&amp;" - "&amp;C4804,IF(L4804="","EFEITO_PC nao calculado: PC "&amp;A4804&amp;" - "&amp;C4804,"OK")))))))))</f>
        <v/>
      </c>
      <c r="L4804" s="92" t="str">
        <f>IF(AND(A4804="",B4804="",D4804="",G4804=""),"",IF(OR(B4804="",NOT(ISNUMBER(B4804)),C4804="",C4804="Fora dos ciclos"),"",IF(C4804="C0","Nao",IF(IFERROR(INDEX(parametros!$A$2:$A$6,MATCH(C4804,parametros!$B$2:$B$6,0)),"")&lt;&gt;"Sim","Nao",IF(IFERROR(INDEX(parametros!$H$2:$H$6,MATCH(C4804,parametros!$B$2:$B$6,0)),"")="","",IF(B4804&gt;=IFERROR(INDEX(parametros!$H$2:$H$6,MATCH(C4804,parametros!$B$2:$B$6,0)),""),"Sim","Nao"))))))</f>
        <v/>
      </c>
      <c r="T4804" s="156"/>
      <c r="U4804" s="214" t="str">
        <f t="shared" si="381"/>
        <v/>
      </c>
      <c r="V4804" s="212" t="s">
        <v>50</v>
      </c>
      <c r="W4804" s="100" t="s">
        <v>168</v>
      </c>
      <c r="X4804" s="100" t="s">
        <v>169</v>
      </c>
      <c r="Y4804" s="101" t="s">
        <v>170</v>
      </c>
      <c r="Z4804" s="101" t="s">
        <v>171</v>
      </c>
      <c r="AA4804" s="101" t="s">
        <v>50</v>
      </c>
      <c r="AB4804" s="101" t="s">
        <v>172</v>
      </c>
      <c r="AC4804" s="102" t="s">
        <v>173</v>
      </c>
    </row>
    <row r="4805" spans="1:29" ht="25.5" customHeight="1" x14ac:dyDescent="0.35">
      <c r="A4805" s="392"/>
      <c r="B4805" s="393"/>
      <c r="C4805" s="99" t="str">
        <f>IF(B4805="","",IF(NOT(ISNUMBER(B4805)),"DATA_PC invalida",IF(NOT(ISNUMBER(parametros!$C$2)),"Fora dos ciclos",IF(OR(B4805&lt;parametros!$C$2,(YEAR(B4805)-YEAR(parametros!$C$2))*12+MONTH(B4805)-MONTH(parametros!$C$2)&gt;59),"Fora dos ciclos","C"&amp;INT(((YEAR(B4805)-YEAR(parametros!$C$2))*12+MONTH(B4805)-MONTH(parametros!$C$2))/12)))))</f>
        <v/>
      </c>
      <c r="D4805" s="394"/>
      <c r="E4805" s="78" t="str">
        <f>IF(C4805="","",IFERROR(VLOOKUP(C4805,parametros!$A$11:$E$15,5,0),""))</f>
        <v/>
      </c>
      <c r="F4805" s="79" t="str">
        <f t="shared" si="377"/>
        <v/>
      </c>
      <c r="G4805" s="395"/>
      <c r="H4805" s="91">
        <f t="shared" si="378"/>
        <v>0</v>
      </c>
      <c r="I4805" s="91" t="str">
        <f t="shared" si="379"/>
        <v/>
      </c>
      <c r="J4805" s="91" t="str">
        <f t="shared" si="380"/>
        <v/>
      </c>
      <c r="K4805" s="92" t="str">
        <f>IF(AND(A4805="",B4805="",D4805="",G4805=""),"",IF(AND(A4805&lt;&gt;"",COUNTIF($A$2:$A$5001,A4805)&gt;1),"NUMERO_PC duplicado",IF(B4805="","DATA_PC vazia",IF(NOT(ISNUMBER(B4805)),"DATA_PC invalida",IF(OR(C4805="",C4805="Fora dos ciclos"),"CICLO_PC nao identificado",IF(OR(D4805="",D4805=0),"VALOR_PC vazio ou zero",IF(AND(G4805&lt;&gt;"Sim",G4805&lt;&gt;"Nao",G4805&lt;&gt;""),"PC_PAGO_A_CONTRATADA invalido",IF(AND(C4805&lt;&gt;"C0",IFERROR(INDEX(parametros!$A$2:$A$6,MATCH(C4805,parametros!$B$2:$B$6,0)),"")="Sim",IFERROR(INDEX(parametros!$H$2:$H$6,MATCH(C4805,parametros!$B$2:$B$6,0)),"")=""),"INICIO_EFEITO ausente: PC "&amp;A4805&amp;" - "&amp;C4805,IF(L4805="","EFEITO_PC nao calculado: PC "&amp;A4805&amp;" - "&amp;C4805,"OK")))))))))</f>
        <v/>
      </c>
      <c r="L4805" s="92" t="str">
        <f>IF(AND(A4805="",B4805="",D4805="",G4805=""),"",IF(OR(B4805="",NOT(ISNUMBER(B4805)),C4805="",C4805="Fora dos ciclos"),"",IF(C4805="C0","Nao",IF(IFERROR(INDEX(parametros!$A$2:$A$6,MATCH(C4805,parametros!$B$2:$B$6,0)),"")&lt;&gt;"Sim","Nao",IF(IFERROR(INDEX(parametros!$H$2:$H$6,MATCH(C4805,parametros!$B$2:$B$6,0)),"")="","",IF(B4805&gt;=IFERROR(INDEX(parametros!$H$2:$H$6,MATCH(C4805,parametros!$B$2:$B$6,0)),""),"Sim","Nao"))))))</f>
        <v/>
      </c>
      <c r="T4805" s="156"/>
      <c r="U4805" s="214" t="str">
        <f t="shared" si="381"/>
        <v/>
      </c>
      <c r="V4805" s="212" t="s">
        <v>50</v>
      </c>
      <c r="W4805" s="100" t="s">
        <v>168</v>
      </c>
      <c r="X4805" s="100" t="s">
        <v>169</v>
      </c>
      <c r="Y4805" s="101" t="s">
        <v>170</v>
      </c>
      <c r="Z4805" s="101" t="s">
        <v>171</v>
      </c>
      <c r="AA4805" s="101" t="s">
        <v>50</v>
      </c>
      <c r="AB4805" s="101" t="s">
        <v>172</v>
      </c>
      <c r="AC4805" s="102" t="s">
        <v>173</v>
      </c>
    </row>
    <row r="4806" spans="1:29" ht="25.5" customHeight="1" x14ac:dyDescent="0.35">
      <c r="A4806" s="392"/>
      <c r="B4806" s="393"/>
      <c r="C4806" s="99" t="str">
        <f>IF(B4806="","",IF(NOT(ISNUMBER(B4806)),"DATA_PC invalida",IF(NOT(ISNUMBER(parametros!$C$2)),"Fora dos ciclos",IF(OR(B4806&lt;parametros!$C$2,(YEAR(B4806)-YEAR(parametros!$C$2))*12+MONTH(B4806)-MONTH(parametros!$C$2)&gt;59),"Fora dos ciclos","C"&amp;INT(((YEAR(B4806)-YEAR(parametros!$C$2))*12+MONTH(B4806)-MONTH(parametros!$C$2))/12)))))</f>
        <v/>
      </c>
      <c r="D4806" s="394"/>
      <c r="E4806" s="78" t="str">
        <f>IF(C4806="","",IFERROR(VLOOKUP(C4806,parametros!$A$11:$E$15,5,0),""))</f>
        <v/>
      </c>
      <c r="F4806" s="79" t="str">
        <f t="shared" si="377"/>
        <v/>
      </c>
      <c r="G4806" s="395"/>
      <c r="H4806" s="91">
        <f t="shared" si="378"/>
        <v>0</v>
      </c>
      <c r="I4806" s="91" t="str">
        <f t="shared" si="379"/>
        <v/>
      </c>
      <c r="J4806" s="91" t="str">
        <f t="shared" si="380"/>
        <v/>
      </c>
      <c r="K4806" s="92" t="str">
        <f>IF(AND(A4806="",B4806="",D4806="",G4806=""),"",IF(AND(A4806&lt;&gt;"",COUNTIF($A$2:$A$5001,A4806)&gt;1),"NUMERO_PC duplicado",IF(B4806="","DATA_PC vazia",IF(NOT(ISNUMBER(B4806)),"DATA_PC invalida",IF(OR(C4806="",C4806="Fora dos ciclos"),"CICLO_PC nao identificado",IF(OR(D4806="",D4806=0),"VALOR_PC vazio ou zero",IF(AND(G4806&lt;&gt;"Sim",G4806&lt;&gt;"Nao",G4806&lt;&gt;""),"PC_PAGO_A_CONTRATADA invalido",IF(AND(C4806&lt;&gt;"C0",IFERROR(INDEX(parametros!$A$2:$A$6,MATCH(C4806,parametros!$B$2:$B$6,0)),"")="Sim",IFERROR(INDEX(parametros!$H$2:$H$6,MATCH(C4806,parametros!$B$2:$B$6,0)),"")=""),"INICIO_EFEITO ausente: PC "&amp;A4806&amp;" - "&amp;C4806,IF(L4806="","EFEITO_PC nao calculado: PC "&amp;A4806&amp;" - "&amp;C4806,"OK")))))))))</f>
        <v/>
      </c>
      <c r="L4806" s="92" t="str">
        <f>IF(AND(A4806="",B4806="",D4806="",G4806=""),"",IF(OR(B4806="",NOT(ISNUMBER(B4806)),C4806="",C4806="Fora dos ciclos"),"",IF(C4806="C0","Nao",IF(IFERROR(INDEX(parametros!$A$2:$A$6,MATCH(C4806,parametros!$B$2:$B$6,0)),"")&lt;&gt;"Sim","Nao",IF(IFERROR(INDEX(parametros!$H$2:$H$6,MATCH(C4806,parametros!$B$2:$B$6,0)),"")="","",IF(B4806&gt;=IFERROR(INDEX(parametros!$H$2:$H$6,MATCH(C4806,parametros!$B$2:$B$6,0)),""),"Sim","Nao"))))))</f>
        <v/>
      </c>
      <c r="T4806" s="156"/>
      <c r="U4806" s="214" t="str">
        <f t="shared" si="381"/>
        <v/>
      </c>
      <c r="V4806" s="212" t="s">
        <v>50</v>
      </c>
      <c r="W4806" s="100" t="s">
        <v>168</v>
      </c>
      <c r="X4806" s="100" t="s">
        <v>169</v>
      </c>
      <c r="Y4806" s="101" t="s">
        <v>170</v>
      </c>
      <c r="Z4806" s="101" t="s">
        <v>171</v>
      </c>
      <c r="AA4806" s="101" t="s">
        <v>50</v>
      </c>
      <c r="AB4806" s="101" t="s">
        <v>172</v>
      </c>
      <c r="AC4806" s="102" t="s">
        <v>173</v>
      </c>
    </row>
    <row r="4807" spans="1:29" ht="25.5" customHeight="1" x14ac:dyDescent="0.35">
      <c r="A4807" s="392"/>
      <c r="B4807" s="393"/>
      <c r="C4807" s="99" t="str">
        <f>IF(B4807="","",IF(NOT(ISNUMBER(B4807)),"DATA_PC invalida",IF(NOT(ISNUMBER(parametros!$C$2)),"Fora dos ciclos",IF(OR(B4807&lt;parametros!$C$2,(YEAR(B4807)-YEAR(parametros!$C$2))*12+MONTH(B4807)-MONTH(parametros!$C$2)&gt;59),"Fora dos ciclos","C"&amp;INT(((YEAR(B4807)-YEAR(parametros!$C$2))*12+MONTH(B4807)-MONTH(parametros!$C$2))/12)))))</f>
        <v/>
      </c>
      <c r="D4807" s="394"/>
      <c r="E4807" s="78" t="str">
        <f>IF(C4807="","",IFERROR(VLOOKUP(C4807,parametros!$A$11:$E$15,5,0),""))</f>
        <v/>
      </c>
      <c r="F4807" s="79" t="str">
        <f t="shared" si="377"/>
        <v/>
      </c>
      <c r="G4807" s="395"/>
      <c r="H4807" s="91">
        <f t="shared" si="378"/>
        <v>0</v>
      </c>
      <c r="I4807" s="91" t="str">
        <f t="shared" si="379"/>
        <v/>
      </c>
      <c r="J4807" s="91" t="str">
        <f t="shared" si="380"/>
        <v/>
      </c>
      <c r="K4807" s="92" t="str">
        <f>IF(AND(A4807="",B4807="",D4807="",G4807=""),"",IF(AND(A4807&lt;&gt;"",COUNTIF($A$2:$A$5001,A4807)&gt;1),"NUMERO_PC duplicado",IF(B4807="","DATA_PC vazia",IF(NOT(ISNUMBER(B4807)),"DATA_PC invalida",IF(OR(C4807="",C4807="Fora dos ciclos"),"CICLO_PC nao identificado",IF(OR(D4807="",D4807=0),"VALOR_PC vazio ou zero",IF(AND(G4807&lt;&gt;"Sim",G4807&lt;&gt;"Nao",G4807&lt;&gt;""),"PC_PAGO_A_CONTRATADA invalido",IF(AND(C4807&lt;&gt;"C0",IFERROR(INDEX(parametros!$A$2:$A$6,MATCH(C4807,parametros!$B$2:$B$6,0)),"")="Sim",IFERROR(INDEX(parametros!$H$2:$H$6,MATCH(C4807,parametros!$B$2:$B$6,0)),"")=""),"INICIO_EFEITO ausente: PC "&amp;A4807&amp;" - "&amp;C4807,IF(L4807="","EFEITO_PC nao calculado: PC "&amp;A4807&amp;" - "&amp;C4807,"OK")))))))))</f>
        <v/>
      </c>
      <c r="L4807" s="92" t="str">
        <f>IF(AND(A4807="",B4807="",D4807="",G4807=""),"",IF(OR(B4807="",NOT(ISNUMBER(B4807)),C4807="",C4807="Fora dos ciclos"),"",IF(C4807="C0","Nao",IF(IFERROR(INDEX(parametros!$A$2:$A$6,MATCH(C4807,parametros!$B$2:$B$6,0)),"")&lt;&gt;"Sim","Nao",IF(IFERROR(INDEX(parametros!$H$2:$H$6,MATCH(C4807,parametros!$B$2:$B$6,0)),"")="","",IF(B4807&gt;=IFERROR(INDEX(parametros!$H$2:$H$6,MATCH(C4807,parametros!$B$2:$B$6,0)),""),"Sim","Nao"))))))</f>
        <v/>
      </c>
      <c r="T4807" s="156"/>
      <c r="U4807" s="214" t="str">
        <f t="shared" si="381"/>
        <v/>
      </c>
      <c r="V4807" s="212" t="s">
        <v>50</v>
      </c>
      <c r="W4807" s="100" t="s">
        <v>168</v>
      </c>
      <c r="X4807" s="100" t="s">
        <v>169</v>
      </c>
      <c r="Y4807" s="101" t="s">
        <v>170</v>
      </c>
      <c r="Z4807" s="101" t="s">
        <v>171</v>
      </c>
      <c r="AA4807" s="101" t="s">
        <v>50</v>
      </c>
      <c r="AB4807" s="101" t="s">
        <v>172</v>
      </c>
      <c r="AC4807" s="102" t="s">
        <v>173</v>
      </c>
    </row>
    <row r="4808" spans="1:29" ht="25.5" customHeight="1" x14ac:dyDescent="0.35">
      <c r="A4808" s="392"/>
      <c r="B4808" s="393"/>
      <c r="C4808" s="99" t="str">
        <f>IF(B4808="","",IF(NOT(ISNUMBER(B4808)),"DATA_PC invalida",IF(NOT(ISNUMBER(parametros!$C$2)),"Fora dos ciclos",IF(OR(B4808&lt;parametros!$C$2,(YEAR(B4808)-YEAR(parametros!$C$2))*12+MONTH(B4808)-MONTH(parametros!$C$2)&gt;59),"Fora dos ciclos","C"&amp;INT(((YEAR(B4808)-YEAR(parametros!$C$2))*12+MONTH(B4808)-MONTH(parametros!$C$2))/12)))))</f>
        <v/>
      </c>
      <c r="D4808" s="394"/>
      <c r="E4808" s="78" t="str">
        <f>IF(C4808="","",IFERROR(VLOOKUP(C4808,parametros!$A$11:$E$15,5,0),""))</f>
        <v/>
      </c>
      <c r="F4808" s="79" t="str">
        <f t="shared" si="377"/>
        <v/>
      </c>
      <c r="G4808" s="395"/>
      <c r="H4808" s="91">
        <f t="shared" si="378"/>
        <v>0</v>
      </c>
      <c r="I4808" s="91" t="str">
        <f t="shared" si="379"/>
        <v/>
      </c>
      <c r="J4808" s="91" t="str">
        <f t="shared" si="380"/>
        <v/>
      </c>
      <c r="K4808" s="92" t="str">
        <f>IF(AND(A4808="",B4808="",D4808="",G4808=""),"",IF(AND(A4808&lt;&gt;"",COUNTIF($A$2:$A$5001,A4808)&gt;1),"NUMERO_PC duplicado",IF(B4808="","DATA_PC vazia",IF(NOT(ISNUMBER(B4808)),"DATA_PC invalida",IF(OR(C4808="",C4808="Fora dos ciclos"),"CICLO_PC nao identificado",IF(OR(D4808="",D4808=0),"VALOR_PC vazio ou zero",IF(AND(G4808&lt;&gt;"Sim",G4808&lt;&gt;"Nao",G4808&lt;&gt;""),"PC_PAGO_A_CONTRATADA invalido",IF(AND(C4808&lt;&gt;"C0",IFERROR(INDEX(parametros!$A$2:$A$6,MATCH(C4808,parametros!$B$2:$B$6,0)),"")="Sim",IFERROR(INDEX(parametros!$H$2:$H$6,MATCH(C4808,parametros!$B$2:$B$6,0)),"")=""),"INICIO_EFEITO ausente: PC "&amp;A4808&amp;" - "&amp;C4808,IF(L4808="","EFEITO_PC nao calculado: PC "&amp;A4808&amp;" - "&amp;C4808,"OK")))))))))</f>
        <v/>
      </c>
      <c r="L4808" s="92" t="str">
        <f>IF(AND(A4808="",B4808="",D4808="",G4808=""),"",IF(OR(B4808="",NOT(ISNUMBER(B4808)),C4808="",C4808="Fora dos ciclos"),"",IF(C4808="C0","Nao",IF(IFERROR(INDEX(parametros!$A$2:$A$6,MATCH(C4808,parametros!$B$2:$B$6,0)),"")&lt;&gt;"Sim","Nao",IF(IFERROR(INDEX(parametros!$H$2:$H$6,MATCH(C4808,parametros!$B$2:$B$6,0)),"")="","",IF(B4808&gt;=IFERROR(INDEX(parametros!$H$2:$H$6,MATCH(C4808,parametros!$B$2:$B$6,0)),""),"Sim","Nao"))))))</f>
        <v/>
      </c>
      <c r="T4808" s="156"/>
      <c r="U4808" s="214" t="str">
        <f t="shared" si="381"/>
        <v/>
      </c>
      <c r="V4808" s="212" t="s">
        <v>50</v>
      </c>
      <c r="W4808" s="100" t="s">
        <v>168</v>
      </c>
      <c r="X4808" s="100" t="s">
        <v>169</v>
      </c>
      <c r="Y4808" s="101" t="s">
        <v>170</v>
      </c>
      <c r="Z4808" s="101" t="s">
        <v>171</v>
      </c>
      <c r="AA4808" s="101" t="s">
        <v>50</v>
      </c>
      <c r="AB4808" s="101" t="s">
        <v>172</v>
      </c>
      <c r="AC4808" s="102" t="s">
        <v>173</v>
      </c>
    </row>
    <row r="4809" spans="1:29" ht="25.5" customHeight="1" x14ac:dyDescent="0.35">
      <c r="A4809" s="392"/>
      <c r="B4809" s="393"/>
      <c r="C4809" s="99" t="str">
        <f>IF(B4809="","",IF(NOT(ISNUMBER(B4809)),"DATA_PC invalida",IF(NOT(ISNUMBER(parametros!$C$2)),"Fora dos ciclos",IF(OR(B4809&lt;parametros!$C$2,(YEAR(B4809)-YEAR(parametros!$C$2))*12+MONTH(B4809)-MONTH(parametros!$C$2)&gt;59),"Fora dos ciclos","C"&amp;INT(((YEAR(B4809)-YEAR(parametros!$C$2))*12+MONTH(B4809)-MONTH(parametros!$C$2))/12)))))</f>
        <v/>
      </c>
      <c r="D4809" s="394"/>
      <c r="E4809" s="78" t="str">
        <f>IF(C4809="","",IFERROR(VLOOKUP(C4809,parametros!$A$11:$E$15,5,0),""))</f>
        <v/>
      </c>
      <c r="F4809" s="79" t="str">
        <f t="shared" si="377"/>
        <v/>
      </c>
      <c r="G4809" s="395"/>
      <c r="H4809" s="91">
        <f t="shared" si="378"/>
        <v>0</v>
      </c>
      <c r="I4809" s="91" t="str">
        <f t="shared" si="379"/>
        <v/>
      </c>
      <c r="J4809" s="91" t="str">
        <f t="shared" si="380"/>
        <v/>
      </c>
      <c r="K4809" s="92" t="str">
        <f>IF(AND(A4809="",B4809="",D4809="",G4809=""),"",IF(AND(A4809&lt;&gt;"",COUNTIF($A$2:$A$5001,A4809)&gt;1),"NUMERO_PC duplicado",IF(B4809="","DATA_PC vazia",IF(NOT(ISNUMBER(B4809)),"DATA_PC invalida",IF(OR(C4809="",C4809="Fora dos ciclos"),"CICLO_PC nao identificado",IF(OR(D4809="",D4809=0),"VALOR_PC vazio ou zero",IF(AND(G4809&lt;&gt;"Sim",G4809&lt;&gt;"Nao",G4809&lt;&gt;""),"PC_PAGO_A_CONTRATADA invalido",IF(AND(C4809&lt;&gt;"C0",IFERROR(INDEX(parametros!$A$2:$A$6,MATCH(C4809,parametros!$B$2:$B$6,0)),"")="Sim",IFERROR(INDEX(parametros!$H$2:$H$6,MATCH(C4809,parametros!$B$2:$B$6,0)),"")=""),"INICIO_EFEITO ausente: PC "&amp;A4809&amp;" - "&amp;C4809,IF(L4809="","EFEITO_PC nao calculado: PC "&amp;A4809&amp;" - "&amp;C4809,"OK")))))))))</f>
        <v/>
      </c>
      <c r="L4809" s="92" t="str">
        <f>IF(AND(A4809="",B4809="",D4809="",G4809=""),"",IF(OR(B4809="",NOT(ISNUMBER(B4809)),C4809="",C4809="Fora dos ciclos"),"",IF(C4809="C0","Nao",IF(IFERROR(INDEX(parametros!$A$2:$A$6,MATCH(C4809,parametros!$B$2:$B$6,0)),"")&lt;&gt;"Sim","Nao",IF(IFERROR(INDEX(parametros!$H$2:$H$6,MATCH(C4809,parametros!$B$2:$B$6,0)),"")="","",IF(B4809&gt;=IFERROR(INDEX(parametros!$H$2:$H$6,MATCH(C4809,parametros!$B$2:$B$6,0)),""),"Sim","Nao"))))))</f>
        <v/>
      </c>
      <c r="T4809" s="156"/>
      <c r="U4809" s="214" t="str">
        <f t="shared" si="381"/>
        <v/>
      </c>
      <c r="V4809" s="212" t="s">
        <v>50</v>
      </c>
      <c r="W4809" s="100" t="s">
        <v>168</v>
      </c>
      <c r="X4809" s="100" t="s">
        <v>169</v>
      </c>
      <c r="Y4809" s="101" t="s">
        <v>170</v>
      </c>
      <c r="Z4809" s="101" t="s">
        <v>171</v>
      </c>
      <c r="AA4809" s="101" t="s">
        <v>50</v>
      </c>
      <c r="AB4809" s="101" t="s">
        <v>172</v>
      </c>
      <c r="AC4809" s="102" t="s">
        <v>173</v>
      </c>
    </row>
    <row r="4810" spans="1:29" ht="25.5" customHeight="1" x14ac:dyDescent="0.35">
      <c r="A4810" s="392"/>
      <c r="B4810" s="393"/>
      <c r="C4810" s="99" t="str">
        <f>IF(B4810="","",IF(NOT(ISNUMBER(B4810)),"DATA_PC invalida",IF(NOT(ISNUMBER(parametros!$C$2)),"Fora dos ciclos",IF(OR(B4810&lt;parametros!$C$2,(YEAR(B4810)-YEAR(parametros!$C$2))*12+MONTH(B4810)-MONTH(parametros!$C$2)&gt;59),"Fora dos ciclos","C"&amp;INT(((YEAR(B4810)-YEAR(parametros!$C$2))*12+MONTH(B4810)-MONTH(parametros!$C$2))/12)))))</f>
        <v/>
      </c>
      <c r="D4810" s="394"/>
      <c r="E4810" s="78" t="str">
        <f>IF(C4810="","",IFERROR(VLOOKUP(C4810,parametros!$A$11:$E$15,5,0),""))</f>
        <v/>
      </c>
      <c r="F4810" s="79" t="str">
        <f t="shared" si="377"/>
        <v/>
      </c>
      <c r="G4810" s="395"/>
      <c r="H4810" s="91">
        <f t="shared" si="378"/>
        <v>0</v>
      </c>
      <c r="I4810" s="91" t="str">
        <f t="shared" si="379"/>
        <v/>
      </c>
      <c r="J4810" s="91" t="str">
        <f t="shared" si="380"/>
        <v/>
      </c>
      <c r="K4810" s="92" t="str">
        <f>IF(AND(A4810="",B4810="",D4810="",G4810=""),"",IF(AND(A4810&lt;&gt;"",COUNTIF($A$2:$A$5001,A4810)&gt;1),"NUMERO_PC duplicado",IF(B4810="","DATA_PC vazia",IF(NOT(ISNUMBER(B4810)),"DATA_PC invalida",IF(OR(C4810="",C4810="Fora dos ciclos"),"CICLO_PC nao identificado",IF(OR(D4810="",D4810=0),"VALOR_PC vazio ou zero",IF(AND(G4810&lt;&gt;"Sim",G4810&lt;&gt;"Nao",G4810&lt;&gt;""),"PC_PAGO_A_CONTRATADA invalido",IF(AND(C4810&lt;&gt;"C0",IFERROR(INDEX(parametros!$A$2:$A$6,MATCH(C4810,parametros!$B$2:$B$6,0)),"")="Sim",IFERROR(INDEX(parametros!$H$2:$H$6,MATCH(C4810,parametros!$B$2:$B$6,0)),"")=""),"INICIO_EFEITO ausente: PC "&amp;A4810&amp;" - "&amp;C4810,IF(L4810="","EFEITO_PC nao calculado: PC "&amp;A4810&amp;" - "&amp;C4810,"OK")))))))))</f>
        <v/>
      </c>
      <c r="L4810" s="92" t="str">
        <f>IF(AND(A4810="",B4810="",D4810="",G4810=""),"",IF(OR(B4810="",NOT(ISNUMBER(B4810)),C4810="",C4810="Fora dos ciclos"),"",IF(C4810="C0","Nao",IF(IFERROR(INDEX(parametros!$A$2:$A$6,MATCH(C4810,parametros!$B$2:$B$6,0)),"")&lt;&gt;"Sim","Nao",IF(IFERROR(INDEX(parametros!$H$2:$H$6,MATCH(C4810,parametros!$B$2:$B$6,0)),"")="","",IF(B4810&gt;=IFERROR(INDEX(parametros!$H$2:$H$6,MATCH(C4810,parametros!$B$2:$B$6,0)),""),"Sim","Nao"))))))</f>
        <v/>
      </c>
      <c r="T4810" s="156"/>
      <c r="U4810" s="214" t="str">
        <f t="shared" si="381"/>
        <v/>
      </c>
      <c r="V4810" s="212" t="s">
        <v>50</v>
      </c>
      <c r="W4810" s="100" t="s">
        <v>168</v>
      </c>
      <c r="X4810" s="100" t="s">
        <v>169</v>
      </c>
      <c r="Y4810" s="101" t="s">
        <v>170</v>
      </c>
      <c r="Z4810" s="101" t="s">
        <v>171</v>
      </c>
      <c r="AA4810" s="101" t="s">
        <v>50</v>
      </c>
      <c r="AB4810" s="101" t="s">
        <v>172</v>
      </c>
      <c r="AC4810" s="102" t="s">
        <v>173</v>
      </c>
    </row>
    <row r="4811" spans="1:29" ht="25.5" customHeight="1" x14ac:dyDescent="0.35">
      <c r="A4811" s="392"/>
      <c r="B4811" s="393"/>
      <c r="C4811" s="99" t="str">
        <f>IF(B4811="","",IF(NOT(ISNUMBER(B4811)),"DATA_PC invalida",IF(NOT(ISNUMBER(parametros!$C$2)),"Fora dos ciclos",IF(OR(B4811&lt;parametros!$C$2,(YEAR(B4811)-YEAR(parametros!$C$2))*12+MONTH(B4811)-MONTH(parametros!$C$2)&gt;59),"Fora dos ciclos","C"&amp;INT(((YEAR(B4811)-YEAR(parametros!$C$2))*12+MONTH(B4811)-MONTH(parametros!$C$2))/12)))))</f>
        <v/>
      </c>
      <c r="D4811" s="394"/>
      <c r="E4811" s="78" t="str">
        <f>IF(C4811="","",IFERROR(VLOOKUP(C4811,parametros!$A$11:$E$15,5,0),""))</f>
        <v/>
      </c>
      <c r="F4811" s="79" t="str">
        <f t="shared" si="377"/>
        <v/>
      </c>
      <c r="G4811" s="395"/>
      <c r="H4811" s="91">
        <f t="shared" si="378"/>
        <v>0</v>
      </c>
      <c r="I4811" s="91" t="str">
        <f t="shared" si="379"/>
        <v/>
      </c>
      <c r="J4811" s="91" t="str">
        <f t="shared" si="380"/>
        <v/>
      </c>
      <c r="K4811" s="92" t="str">
        <f>IF(AND(A4811="",B4811="",D4811="",G4811=""),"",IF(AND(A4811&lt;&gt;"",COUNTIF($A$2:$A$5001,A4811)&gt;1),"NUMERO_PC duplicado",IF(B4811="","DATA_PC vazia",IF(NOT(ISNUMBER(B4811)),"DATA_PC invalida",IF(OR(C4811="",C4811="Fora dos ciclos"),"CICLO_PC nao identificado",IF(OR(D4811="",D4811=0),"VALOR_PC vazio ou zero",IF(AND(G4811&lt;&gt;"Sim",G4811&lt;&gt;"Nao",G4811&lt;&gt;""),"PC_PAGO_A_CONTRATADA invalido",IF(AND(C4811&lt;&gt;"C0",IFERROR(INDEX(parametros!$A$2:$A$6,MATCH(C4811,parametros!$B$2:$B$6,0)),"")="Sim",IFERROR(INDEX(parametros!$H$2:$H$6,MATCH(C4811,parametros!$B$2:$B$6,0)),"")=""),"INICIO_EFEITO ausente: PC "&amp;A4811&amp;" - "&amp;C4811,IF(L4811="","EFEITO_PC nao calculado: PC "&amp;A4811&amp;" - "&amp;C4811,"OK")))))))))</f>
        <v/>
      </c>
      <c r="L4811" s="92" t="str">
        <f>IF(AND(A4811="",B4811="",D4811="",G4811=""),"",IF(OR(B4811="",NOT(ISNUMBER(B4811)),C4811="",C4811="Fora dos ciclos"),"",IF(C4811="C0","Nao",IF(IFERROR(INDEX(parametros!$A$2:$A$6,MATCH(C4811,parametros!$B$2:$B$6,0)),"")&lt;&gt;"Sim","Nao",IF(IFERROR(INDEX(parametros!$H$2:$H$6,MATCH(C4811,parametros!$B$2:$B$6,0)),"")="","",IF(B4811&gt;=IFERROR(INDEX(parametros!$H$2:$H$6,MATCH(C4811,parametros!$B$2:$B$6,0)),""),"Sim","Nao"))))))</f>
        <v/>
      </c>
      <c r="T4811" s="156"/>
      <c r="U4811" s="214" t="str">
        <f t="shared" si="381"/>
        <v/>
      </c>
      <c r="V4811" s="212" t="s">
        <v>50</v>
      </c>
      <c r="W4811" s="100" t="s">
        <v>168</v>
      </c>
      <c r="X4811" s="100" t="s">
        <v>169</v>
      </c>
      <c r="Y4811" s="101" t="s">
        <v>170</v>
      </c>
      <c r="Z4811" s="101" t="s">
        <v>171</v>
      </c>
      <c r="AA4811" s="101" t="s">
        <v>50</v>
      </c>
      <c r="AB4811" s="101" t="s">
        <v>172</v>
      </c>
      <c r="AC4811" s="102" t="s">
        <v>173</v>
      </c>
    </row>
    <row r="4812" spans="1:29" ht="25.5" customHeight="1" x14ac:dyDescent="0.35">
      <c r="A4812" s="392"/>
      <c r="B4812" s="393"/>
      <c r="C4812" s="99" t="str">
        <f>IF(B4812="","",IF(NOT(ISNUMBER(B4812)),"DATA_PC invalida",IF(NOT(ISNUMBER(parametros!$C$2)),"Fora dos ciclos",IF(OR(B4812&lt;parametros!$C$2,(YEAR(B4812)-YEAR(parametros!$C$2))*12+MONTH(B4812)-MONTH(parametros!$C$2)&gt;59),"Fora dos ciclos","C"&amp;INT(((YEAR(B4812)-YEAR(parametros!$C$2))*12+MONTH(B4812)-MONTH(parametros!$C$2))/12)))))</f>
        <v/>
      </c>
      <c r="D4812" s="394"/>
      <c r="E4812" s="78" t="str">
        <f>IF(C4812="","",IFERROR(VLOOKUP(C4812,parametros!$A$11:$E$15,5,0),""))</f>
        <v/>
      </c>
      <c r="F4812" s="79" t="str">
        <f t="shared" si="377"/>
        <v/>
      </c>
      <c r="G4812" s="395"/>
      <c r="H4812" s="91">
        <f t="shared" si="378"/>
        <v>0</v>
      </c>
      <c r="I4812" s="91" t="str">
        <f t="shared" si="379"/>
        <v/>
      </c>
      <c r="J4812" s="91" t="str">
        <f t="shared" si="380"/>
        <v/>
      </c>
      <c r="K4812" s="92" t="str">
        <f>IF(AND(A4812="",B4812="",D4812="",G4812=""),"",IF(AND(A4812&lt;&gt;"",COUNTIF($A$2:$A$5001,A4812)&gt;1),"NUMERO_PC duplicado",IF(B4812="","DATA_PC vazia",IF(NOT(ISNUMBER(B4812)),"DATA_PC invalida",IF(OR(C4812="",C4812="Fora dos ciclos"),"CICLO_PC nao identificado",IF(OR(D4812="",D4812=0),"VALOR_PC vazio ou zero",IF(AND(G4812&lt;&gt;"Sim",G4812&lt;&gt;"Nao",G4812&lt;&gt;""),"PC_PAGO_A_CONTRATADA invalido",IF(AND(C4812&lt;&gt;"C0",IFERROR(INDEX(parametros!$A$2:$A$6,MATCH(C4812,parametros!$B$2:$B$6,0)),"")="Sim",IFERROR(INDEX(parametros!$H$2:$H$6,MATCH(C4812,parametros!$B$2:$B$6,0)),"")=""),"INICIO_EFEITO ausente: PC "&amp;A4812&amp;" - "&amp;C4812,IF(L4812="","EFEITO_PC nao calculado: PC "&amp;A4812&amp;" - "&amp;C4812,"OK")))))))))</f>
        <v/>
      </c>
      <c r="L4812" s="92" t="str">
        <f>IF(AND(A4812="",B4812="",D4812="",G4812=""),"",IF(OR(B4812="",NOT(ISNUMBER(B4812)),C4812="",C4812="Fora dos ciclos"),"",IF(C4812="C0","Nao",IF(IFERROR(INDEX(parametros!$A$2:$A$6,MATCH(C4812,parametros!$B$2:$B$6,0)),"")&lt;&gt;"Sim","Nao",IF(IFERROR(INDEX(parametros!$H$2:$H$6,MATCH(C4812,parametros!$B$2:$B$6,0)),"")="","",IF(B4812&gt;=IFERROR(INDEX(parametros!$H$2:$H$6,MATCH(C4812,parametros!$B$2:$B$6,0)),""),"Sim","Nao"))))))</f>
        <v/>
      </c>
      <c r="T4812" s="156"/>
      <c r="U4812" s="214" t="str">
        <f t="shared" si="381"/>
        <v/>
      </c>
      <c r="V4812" s="212" t="s">
        <v>50</v>
      </c>
      <c r="W4812" s="100" t="s">
        <v>168</v>
      </c>
      <c r="X4812" s="100" t="s">
        <v>169</v>
      </c>
      <c r="Y4812" s="101" t="s">
        <v>170</v>
      </c>
      <c r="Z4812" s="101" t="s">
        <v>171</v>
      </c>
      <c r="AA4812" s="101" t="s">
        <v>50</v>
      </c>
      <c r="AB4812" s="101" t="s">
        <v>172</v>
      </c>
      <c r="AC4812" s="102" t="s">
        <v>173</v>
      </c>
    </row>
    <row r="4813" spans="1:29" ht="25.5" customHeight="1" x14ac:dyDescent="0.35">
      <c r="A4813" s="392"/>
      <c r="B4813" s="393"/>
      <c r="C4813" s="99" t="str">
        <f>IF(B4813="","",IF(NOT(ISNUMBER(B4813)),"DATA_PC invalida",IF(NOT(ISNUMBER(parametros!$C$2)),"Fora dos ciclos",IF(OR(B4813&lt;parametros!$C$2,(YEAR(B4813)-YEAR(parametros!$C$2))*12+MONTH(B4813)-MONTH(parametros!$C$2)&gt;59),"Fora dos ciclos","C"&amp;INT(((YEAR(B4813)-YEAR(parametros!$C$2))*12+MONTH(B4813)-MONTH(parametros!$C$2))/12)))))</f>
        <v/>
      </c>
      <c r="D4813" s="394"/>
      <c r="E4813" s="78" t="str">
        <f>IF(C4813="","",IFERROR(VLOOKUP(C4813,parametros!$A$11:$E$15,5,0),""))</f>
        <v/>
      </c>
      <c r="F4813" s="79" t="str">
        <f t="shared" si="377"/>
        <v/>
      </c>
      <c r="G4813" s="395"/>
      <c r="H4813" s="91">
        <f t="shared" si="378"/>
        <v>0</v>
      </c>
      <c r="I4813" s="91" t="str">
        <f t="shared" si="379"/>
        <v/>
      </c>
      <c r="J4813" s="91" t="str">
        <f t="shared" si="380"/>
        <v/>
      </c>
      <c r="K4813" s="92" t="str">
        <f>IF(AND(A4813="",B4813="",D4813="",G4813=""),"",IF(AND(A4813&lt;&gt;"",COUNTIF($A$2:$A$5001,A4813)&gt;1),"NUMERO_PC duplicado",IF(B4813="","DATA_PC vazia",IF(NOT(ISNUMBER(B4813)),"DATA_PC invalida",IF(OR(C4813="",C4813="Fora dos ciclos"),"CICLO_PC nao identificado",IF(OR(D4813="",D4813=0),"VALOR_PC vazio ou zero",IF(AND(G4813&lt;&gt;"Sim",G4813&lt;&gt;"Nao",G4813&lt;&gt;""),"PC_PAGO_A_CONTRATADA invalido",IF(AND(C4813&lt;&gt;"C0",IFERROR(INDEX(parametros!$A$2:$A$6,MATCH(C4813,parametros!$B$2:$B$6,0)),"")="Sim",IFERROR(INDEX(parametros!$H$2:$H$6,MATCH(C4813,parametros!$B$2:$B$6,0)),"")=""),"INICIO_EFEITO ausente: PC "&amp;A4813&amp;" - "&amp;C4813,IF(L4813="","EFEITO_PC nao calculado: PC "&amp;A4813&amp;" - "&amp;C4813,"OK")))))))))</f>
        <v/>
      </c>
      <c r="L4813" s="92" t="str">
        <f>IF(AND(A4813="",B4813="",D4813="",G4813=""),"",IF(OR(B4813="",NOT(ISNUMBER(B4813)),C4813="",C4813="Fora dos ciclos"),"",IF(C4813="C0","Nao",IF(IFERROR(INDEX(parametros!$A$2:$A$6,MATCH(C4813,parametros!$B$2:$B$6,0)),"")&lt;&gt;"Sim","Nao",IF(IFERROR(INDEX(parametros!$H$2:$H$6,MATCH(C4813,parametros!$B$2:$B$6,0)),"")="","",IF(B4813&gt;=IFERROR(INDEX(parametros!$H$2:$H$6,MATCH(C4813,parametros!$B$2:$B$6,0)),""),"Sim","Nao"))))))</f>
        <v/>
      </c>
      <c r="T4813" s="156"/>
      <c r="U4813" s="214" t="str">
        <f t="shared" si="381"/>
        <v/>
      </c>
      <c r="V4813" s="212" t="s">
        <v>50</v>
      </c>
      <c r="W4813" s="100" t="s">
        <v>168</v>
      </c>
      <c r="X4813" s="100" t="s">
        <v>169</v>
      </c>
      <c r="Y4813" s="101" t="s">
        <v>170</v>
      </c>
      <c r="Z4813" s="101" t="s">
        <v>171</v>
      </c>
      <c r="AA4813" s="101" t="s">
        <v>50</v>
      </c>
      <c r="AB4813" s="101" t="s">
        <v>172</v>
      </c>
      <c r="AC4813" s="102" t="s">
        <v>173</v>
      </c>
    </row>
    <row r="4814" spans="1:29" ht="25.5" customHeight="1" x14ac:dyDescent="0.35">
      <c r="A4814" s="392"/>
      <c r="B4814" s="393"/>
      <c r="C4814" s="99" t="str">
        <f>IF(B4814="","",IF(NOT(ISNUMBER(B4814)),"DATA_PC invalida",IF(NOT(ISNUMBER(parametros!$C$2)),"Fora dos ciclos",IF(OR(B4814&lt;parametros!$C$2,(YEAR(B4814)-YEAR(parametros!$C$2))*12+MONTH(B4814)-MONTH(parametros!$C$2)&gt;59),"Fora dos ciclos","C"&amp;INT(((YEAR(B4814)-YEAR(parametros!$C$2))*12+MONTH(B4814)-MONTH(parametros!$C$2))/12)))))</f>
        <v/>
      </c>
      <c r="D4814" s="394"/>
      <c r="E4814" s="78" t="str">
        <f>IF(C4814="","",IFERROR(VLOOKUP(C4814,parametros!$A$11:$E$15,5,0),""))</f>
        <v/>
      </c>
      <c r="F4814" s="79" t="str">
        <f t="shared" si="377"/>
        <v/>
      </c>
      <c r="G4814" s="395"/>
      <c r="H4814" s="91">
        <f t="shared" si="378"/>
        <v>0</v>
      </c>
      <c r="I4814" s="91" t="str">
        <f t="shared" si="379"/>
        <v/>
      </c>
      <c r="J4814" s="91" t="str">
        <f t="shared" si="380"/>
        <v/>
      </c>
      <c r="K4814" s="92" t="str">
        <f>IF(AND(A4814="",B4814="",D4814="",G4814=""),"",IF(AND(A4814&lt;&gt;"",COUNTIF($A$2:$A$5001,A4814)&gt;1),"NUMERO_PC duplicado",IF(B4814="","DATA_PC vazia",IF(NOT(ISNUMBER(B4814)),"DATA_PC invalida",IF(OR(C4814="",C4814="Fora dos ciclos"),"CICLO_PC nao identificado",IF(OR(D4814="",D4814=0),"VALOR_PC vazio ou zero",IF(AND(G4814&lt;&gt;"Sim",G4814&lt;&gt;"Nao",G4814&lt;&gt;""),"PC_PAGO_A_CONTRATADA invalido",IF(AND(C4814&lt;&gt;"C0",IFERROR(INDEX(parametros!$A$2:$A$6,MATCH(C4814,parametros!$B$2:$B$6,0)),"")="Sim",IFERROR(INDEX(parametros!$H$2:$H$6,MATCH(C4814,parametros!$B$2:$B$6,0)),"")=""),"INICIO_EFEITO ausente: PC "&amp;A4814&amp;" - "&amp;C4814,IF(L4814="","EFEITO_PC nao calculado: PC "&amp;A4814&amp;" - "&amp;C4814,"OK")))))))))</f>
        <v/>
      </c>
      <c r="L4814" s="92" t="str">
        <f>IF(AND(A4814="",B4814="",D4814="",G4814=""),"",IF(OR(B4814="",NOT(ISNUMBER(B4814)),C4814="",C4814="Fora dos ciclos"),"",IF(C4814="C0","Nao",IF(IFERROR(INDEX(parametros!$A$2:$A$6,MATCH(C4814,parametros!$B$2:$B$6,0)),"")&lt;&gt;"Sim","Nao",IF(IFERROR(INDEX(parametros!$H$2:$H$6,MATCH(C4814,parametros!$B$2:$B$6,0)),"")="","",IF(B4814&gt;=IFERROR(INDEX(parametros!$H$2:$H$6,MATCH(C4814,parametros!$B$2:$B$6,0)),""),"Sim","Nao"))))))</f>
        <v/>
      </c>
      <c r="T4814" s="156"/>
      <c r="U4814" s="214" t="str">
        <f t="shared" si="381"/>
        <v/>
      </c>
      <c r="V4814" s="212" t="s">
        <v>50</v>
      </c>
      <c r="W4814" s="100" t="s">
        <v>168</v>
      </c>
      <c r="X4814" s="100" t="s">
        <v>169</v>
      </c>
      <c r="Y4814" s="101" t="s">
        <v>170</v>
      </c>
      <c r="Z4814" s="101" t="s">
        <v>171</v>
      </c>
      <c r="AA4814" s="101" t="s">
        <v>50</v>
      </c>
      <c r="AB4814" s="101" t="s">
        <v>172</v>
      </c>
      <c r="AC4814" s="102" t="s">
        <v>173</v>
      </c>
    </row>
    <row r="4815" spans="1:29" ht="25.5" customHeight="1" x14ac:dyDescent="0.35">
      <c r="A4815" s="392"/>
      <c r="B4815" s="393"/>
      <c r="C4815" s="99" t="str">
        <f>IF(B4815="","",IF(NOT(ISNUMBER(B4815)),"DATA_PC invalida",IF(NOT(ISNUMBER(parametros!$C$2)),"Fora dos ciclos",IF(OR(B4815&lt;parametros!$C$2,(YEAR(B4815)-YEAR(parametros!$C$2))*12+MONTH(B4815)-MONTH(parametros!$C$2)&gt;59),"Fora dos ciclos","C"&amp;INT(((YEAR(B4815)-YEAR(parametros!$C$2))*12+MONTH(B4815)-MONTH(parametros!$C$2))/12)))))</f>
        <v/>
      </c>
      <c r="D4815" s="394"/>
      <c r="E4815" s="78" t="str">
        <f>IF(C4815="","",IFERROR(VLOOKUP(C4815,parametros!$A$11:$E$15,5,0),""))</f>
        <v/>
      </c>
      <c r="F4815" s="79" t="str">
        <f t="shared" si="377"/>
        <v/>
      </c>
      <c r="G4815" s="395"/>
      <c r="H4815" s="91">
        <f t="shared" si="378"/>
        <v>0</v>
      </c>
      <c r="I4815" s="91" t="str">
        <f t="shared" si="379"/>
        <v/>
      </c>
      <c r="J4815" s="91" t="str">
        <f t="shared" si="380"/>
        <v/>
      </c>
      <c r="K4815" s="92" t="str">
        <f>IF(AND(A4815="",B4815="",D4815="",G4815=""),"",IF(AND(A4815&lt;&gt;"",COUNTIF($A$2:$A$5001,A4815)&gt;1),"NUMERO_PC duplicado",IF(B4815="","DATA_PC vazia",IF(NOT(ISNUMBER(B4815)),"DATA_PC invalida",IF(OR(C4815="",C4815="Fora dos ciclos"),"CICLO_PC nao identificado",IF(OR(D4815="",D4815=0),"VALOR_PC vazio ou zero",IF(AND(G4815&lt;&gt;"Sim",G4815&lt;&gt;"Nao",G4815&lt;&gt;""),"PC_PAGO_A_CONTRATADA invalido",IF(AND(C4815&lt;&gt;"C0",IFERROR(INDEX(parametros!$A$2:$A$6,MATCH(C4815,parametros!$B$2:$B$6,0)),"")="Sim",IFERROR(INDEX(parametros!$H$2:$H$6,MATCH(C4815,parametros!$B$2:$B$6,0)),"")=""),"INICIO_EFEITO ausente: PC "&amp;A4815&amp;" - "&amp;C4815,IF(L4815="","EFEITO_PC nao calculado: PC "&amp;A4815&amp;" - "&amp;C4815,"OK")))))))))</f>
        <v/>
      </c>
      <c r="L4815" s="92" t="str">
        <f>IF(AND(A4815="",B4815="",D4815="",G4815=""),"",IF(OR(B4815="",NOT(ISNUMBER(B4815)),C4815="",C4815="Fora dos ciclos"),"",IF(C4815="C0","Nao",IF(IFERROR(INDEX(parametros!$A$2:$A$6,MATCH(C4815,parametros!$B$2:$B$6,0)),"")&lt;&gt;"Sim","Nao",IF(IFERROR(INDEX(parametros!$H$2:$H$6,MATCH(C4815,parametros!$B$2:$B$6,0)),"")="","",IF(B4815&gt;=IFERROR(INDEX(parametros!$H$2:$H$6,MATCH(C4815,parametros!$B$2:$B$6,0)),""),"Sim","Nao"))))))</f>
        <v/>
      </c>
      <c r="T4815" s="156"/>
      <c r="U4815" s="214" t="str">
        <f t="shared" si="381"/>
        <v/>
      </c>
      <c r="V4815" s="212" t="s">
        <v>50</v>
      </c>
      <c r="W4815" s="100" t="s">
        <v>168</v>
      </c>
      <c r="X4815" s="100" t="s">
        <v>169</v>
      </c>
      <c r="Y4815" s="101" t="s">
        <v>170</v>
      </c>
      <c r="Z4815" s="101" t="s">
        <v>171</v>
      </c>
      <c r="AA4815" s="101" t="s">
        <v>50</v>
      </c>
      <c r="AB4815" s="101" t="s">
        <v>172</v>
      </c>
      <c r="AC4815" s="102" t="s">
        <v>173</v>
      </c>
    </row>
    <row r="4816" spans="1:29" ht="25.5" customHeight="1" x14ac:dyDescent="0.35">
      <c r="A4816" s="392"/>
      <c r="B4816" s="393"/>
      <c r="C4816" s="99" t="str">
        <f>IF(B4816="","",IF(NOT(ISNUMBER(B4816)),"DATA_PC invalida",IF(NOT(ISNUMBER(parametros!$C$2)),"Fora dos ciclos",IF(OR(B4816&lt;parametros!$C$2,(YEAR(B4816)-YEAR(parametros!$C$2))*12+MONTH(B4816)-MONTH(parametros!$C$2)&gt;59),"Fora dos ciclos","C"&amp;INT(((YEAR(B4816)-YEAR(parametros!$C$2))*12+MONTH(B4816)-MONTH(parametros!$C$2))/12)))))</f>
        <v/>
      </c>
      <c r="D4816" s="394"/>
      <c r="E4816" s="78" t="str">
        <f>IF(C4816="","",IFERROR(VLOOKUP(C4816,parametros!$A$11:$E$15,5,0),""))</f>
        <v/>
      </c>
      <c r="F4816" s="79" t="str">
        <f t="shared" si="377"/>
        <v/>
      </c>
      <c r="G4816" s="395"/>
      <c r="H4816" s="91">
        <f t="shared" si="378"/>
        <v>0</v>
      </c>
      <c r="I4816" s="91" t="str">
        <f t="shared" si="379"/>
        <v/>
      </c>
      <c r="J4816" s="91" t="str">
        <f t="shared" si="380"/>
        <v/>
      </c>
      <c r="K4816" s="92" t="str">
        <f>IF(AND(A4816="",B4816="",D4816="",G4816=""),"",IF(AND(A4816&lt;&gt;"",COUNTIF($A$2:$A$5001,A4816)&gt;1),"NUMERO_PC duplicado",IF(B4816="","DATA_PC vazia",IF(NOT(ISNUMBER(B4816)),"DATA_PC invalida",IF(OR(C4816="",C4816="Fora dos ciclos"),"CICLO_PC nao identificado",IF(OR(D4816="",D4816=0),"VALOR_PC vazio ou zero",IF(AND(G4816&lt;&gt;"Sim",G4816&lt;&gt;"Nao",G4816&lt;&gt;""),"PC_PAGO_A_CONTRATADA invalido",IF(AND(C4816&lt;&gt;"C0",IFERROR(INDEX(parametros!$A$2:$A$6,MATCH(C4816,parametros!$B$2:$B$6,0)),"")="Sim",IFERROR(INDEX(parametros!$H$2:$H$6,MATCH(C4816,parametros!$B$2:$B$6,0)),"")=""),"INICIO_EFEITO ausente: PC "&amp;A4816&amp;" - "&amp;C4816,IF(L4816="","EFEITO_PC nao calculado: PC "&amp;A4816&amp;" - "&amp;C4816,"OK")))))))))</f>
        <v/>
      </c>
      <c r="L4816" s="92" t="str">
        <f>IF(AND(A4816="",B4816="",D4816="",G4816=""),"",IF(OR(B4816="",NOT(ISNUMBER(B4816)),C4816="",C4816="Fora dos ciclos"),"",IF(C4816="C0","Nao",IF(IFERROR(INDEX(parametros!$A$2:$A$6,MATCH(C4816,parametros!$B$2:$B$6,0)),"")&lt;&gt;"Sim","Nao",IF(IFERROR(INDEX(parametros!$H$2:$H$6,MATCH(C4816,parametros!$B$2:$B$6,0)),"")="","",IF(B4816&gt;=IFERROR(INDEX(parametros!$H$2:$H$6,MATCH(C4816,parametros!$B$2:$B$6,0)),""),"Sim","Nao"))))))</f>
        <v/>
      </c>
      <c r="T4816" s="156"/>
      <c r="U4816" s="214" t="str">
        <f t="shared" si="381"/>
        <v/>
      </c>
      <c r="V4816" s="212" t="s">
        <v>50</v>
      </c>
      <c r="W4816" s="100" t="s">
        <v>168</v>
      </c>
      <c r="X4816" s="100" t="s">
        <v>169</v>
      </c>
      <c r="Y4816" s="101" t="s">
        <v>170</v>
      </c>
      <c r="Z4816" s="101" t="s">
        <v>171</v>
      </c>
      <c r="AA4816" s="101" t="s">
        <v>50</v>
      </c>
      <c r="AB4816" s="101" t="s">
        <v>172</v>
      </c>
      <c r="AC4816" s="102" t="s">
        <v>173</v>
      </c>
    </row>
    <row r="4817" spans="1:29" ht="25.5" customHeight="1" x14ac:dyDescent="0.35">
      <c r="A4817" s="392"/>
      <c r="B4817" s="393"/>
      <c r="C4817" s="99" t="str">
        <f>IF(B4817="","",IF(NOT(ISNUMBER(B4817)),"DATA_PC invalida",IF(NOT(ISNUMBER(parametros!$C$2)),"Fora dos ciclos",IF(OR(B4817&lt;parametros!$C$2,(YEAR(B4817)-YEAR(parametros!$C$2))*12+MONTH(B4817)-MONTH(parametros!$C$2)&gt;59),"Fora dos ciclos","C"&amp;INT(((YEAR(B4817)-YEAR(parametros!$C$2))*12+MONTH(B4817)-MONTH(parametros!$C$2))/12)))))</f>
        <v/>
      </c>
      <c r="D4817" s="394"/>
      <c r="E4817" s="78" t="str">
        <f>IF(C4817="","",IFERROR(VLOOKUP(C4817,parametros!$A$11:$E$15,5,0),""))</f>
        <v/>
      </c>
      <c r="F4817" s="79" t="str">
        <f t="shared" si="377"/>
        <v/>
      </c>
      <c r="G4817" s="395"/>
      <c r="H4817" s="91">
        <f t="shared" si="378"/>
        <v>0</v>
      </c>
      <c r="I4817" s="91" t="str">
        <f t="shared" si="379"/>
        <v/>
      </c>
      <c r="J4817" s="91" t="str">
        <f t="shared" si="380"/>
        <v/>
      </c>
      <c r="K4817" s="92" t="str">
        <f>IF(AND(A4817="",B4817="",D4817="",G4817=""),"",IF(AND(A4817&lt;&gt;"",COUNTIF($A$2:$A$5001,A4817)&gt;1),"NUMERO_PC duplicado",IF(B4817="","DATA_PC vazia",IF(NOT(ISNUMBER(B4817)),"DATA_PC invalida",IF(OR(C4817="",C4817="Fora dos ciclos"),"CICLO_PC nao identificado",IF(OR(D4817="",D4817=0),"VALOR_PC vazio ou zero",IF(AND(G4817&lt;&gt;"Sim",G4817&lt;&gt;"Nao",G4817&lt;&gt;""),"PC_PAGO_A_CONTRATADA invalido",IF(AND(C4817&lt;&gt;"C0",IFERROR(INDEX(parametros!$A$2:$A$6,MATCH(C4817,parametros!$B$2:$B$6,0)),"")="Sim",IFERROR(INDEX(parametros!$H$2:$H$6,MATCH(C4817,parametros!$B$2:$B$6,0)),"")=""),"INICIO_EFEITO ausente: PC "&amp;A4817&amp;" - "&amp;C4817,IF(L4817="","EFEITO_PC nao calculado: PC "&amp;A4817&amp;" - "&amp;C4817,"OK")))))))))</f>
        <v/>
      </c>
      <c r="L4817" s="92" t="str">
        <f>IF(AND(A4817="",B4817="",D4817="",G4817=""),"",IF(OR(B4817="",NOT(ISNUMBER(B4817)),C4817="",C4817="Fora dos ciclos"),"",IF(C4817="C0","Nao",IF(IFERROR(INDEX(parametros!$A$2:$A$6,MATCH(C4817,parametros!$B$2:$B$6,0)),"")&lt;&gt;"Sim","Nao",IF(IFERROR(INDEX(parametros!$H$2:$H$6,MATCH(C4817,parametros!$B$2:$B$6,0)),"")="","",IF(B4817&gt;=IFERROR(INDEX(parametros!$H$2:$H$6,MATCH(C4817,parametros!$B$2:$B$6,0)),""),"Sim","Nao"))))))</f>
        <v/>
      </c>
      <c r="T4817" s="156"/>
      <c r="U4817" s="214" t="str">
        <f t="shared" si="381"/>
        <v/>
      </c>
      <c r="V4817" s="212" t="s">
        <v>50</v>
      </c>
      <c r="W4817" s="100" t="s">
        <v>168</v>
      </c>
      <c r="X4817" s="100" t="s">
        <v>169</v>
      </c>
      <c r="Y4817" s="101" t="s">
        <v>170</v>
      </c>
      <c r="Z4817" s="101" t="s">
        <v>171</v>
      </c>
      <c r="AA4817" s="101" t="s">
        <v>50</v>
      </c>
      <c r="AB4817" s="101" t="s">
        <v>172</v>
      </c>
      <c r="AC4817" s="102" t="s">
        <v>173</v>
      </c>
    </row>
    <row r="4818" spans="1:29" ht="25.5" customHeight="1" x14ac:dyDescent="0.35">
      <c r="A4818" s="392"/>
      <c r="B4818" s="393"/>
      <c r="C4818" s="99" t="str">
        <f>IF(B4818="","",IF(NOT(ISNUMBER(B4818)),"DATA_PC invalida",IF(NOT(ISNUMBER(parametros!$C$2)),"Fora dos ciclos",IF(OR(B4818&lt;parametros!$C$2,(YEAR(B4818)-YEAR(parametros!$C$2))*12+MONTH(B4818)-MONTH(parametros!$C$2)&gt;59),"Fora dos ciclos","C"&amp;INT(((YEAR(B4818)-YEAR(parametros!$C$2))*12+MONTH(B4818)-MONTH(parametros!$C$2))/12)))))</f>
        <v/>
      </c>
      <c r="D4818" s="394"/>
      <c r="E4818" s="78" t="str">
        <f>IF(C4818="","",IFERROR(VLOOKUP(C4818,parametros!$A$11:$E$15,5,0),""))</f>
        <v/>
      </c>
      <c r="F4818" s="79" t="str">
        <f t="shared" si="377"/>
        <v/>
      </c>
      <c r="G4818" s="395"/>
      <c r="H4818" s="91">
        <f t="shared" si="378"/>
        <v>0</v>
      </c>
      <c r="I4818" s="91" t="str">
        <f t="shared" si="379"/>
        <v/>
      </c>
      <c r="J4818" s="91" t="str">
        <f t="shared" si="380"/>
        <v/>
      </c>
      <c r="K4818" s="92" t="str">
        <f>IF(AND(A4818="",B4818="",D4818="",G4818=""),"",IF(AND(A4818&lt;&gt;"",COUNTIF($A$2:$A$5001,A4818)&gt;1),"NUMERO_PC duplicado",IF(B4818="","DATA_PC vazia",IF(NOT(ISNUMBER(B4818)),"DATA_PC invalida",IF(OR(C4818="",C4818="Fora dos ciclos"),"CICLO_PC nao identificado",IF(OR(D4818="",D4818=0),"VALOR_PC vazio ou zero",IF(AND(G4818&lt;&gt;"Sim",G4818&lt;&gt;"Nao",G4818&lt;&gt;""),"PC_PAGO_A_CONTRATADA invalido",IF(AND(C4818&lt;&gt;"C0",IFERROR(INDEX(parametros!$A$2:$A$6,MATCH(C4818,parametros!$B$2:$B$6,0)),"")="Sim",IFERROR(INDEX(parametros!$H$2:$H$6,MATCH(C4818,parametros!$B$2:$B$6,0)),"")=""),"INICIO_EFEITO ausente: PC "&amp;A4818&amp;" - "&amp;C4818,IF(L4818="","EFEITO_PC nao calculado: PC "&amp;A4818&amp;" - "&amp;C4818,"OK")))))))))</f>
        <v/>
      </c>
      <c r="L4818" s="92" t="str">
        <f>IF(AND(A4818="",B4818="",D4818="",G4818=""),"",IF(OR(B4818="",NOT(ISNUMBER(B4818)),C4818="",C4818="Fora dos ciclos"),"",IF(C4818="C0","Nao",IF(IFERROR(INDEX(parametros!$A$2:$A$6,MATCH(C4818,parametros!$B$2:$B$6,0)),"")&lt;&gt;"Sim","Nao",IF(IFERROR(INDEX(parametros!$H$2:$H$6,MATCH(C4818,parametros!$B$2:$B$6,0)),"")="","",IF(B4818&gt;=IFERROR(INDEX(parametros!$H$2:$H$6,MATCH(C4818,parametros!$B$2:$B$6,0)),""),"Sim","Nao"))))))</f>
        <v/>
      </c>
      <c r="T4818" s="156"/>
      <c r="U4818" s="214" t="str">
        <f t="shared" si="381"/>
        <v/>
      </c>
      <c r="V4818" s="212" t="s">
        <v>50</v>
      </c>
      <c r="W4818" s="100" t="s">
        <v>168</v>
      </c>
      <c r="X4818" s="100" t="s">
        <v>169</v>
      </c>
      <c r="Y4818" s="101" t="s">
        <v>170</v>
      </c>
      <c r="Z4818" s="101" t="s">
        <v>171</v>
      </c>
      <c r="AA4818" s="101" t="s">
        <v>50</v>
      </c>
      <c r="AB4818" s="101" t="s">
        <v>172</v>
      </c>
      <c r="AC4818" s="102" t="s">
        <v>173</v>
      </c>
    </row>
    <row r="4819" spans="1:29" ht="25.5" customHeight="1" x14ac:dyDescent="0.35">
      <c r="A4819" s="392"/>
      <c r="B4819" s="393"/>
      <c r="C4819" s="99" t="str">
        <f>IF(B4819="","",IF(NOT(ISNUMBER(B4819)),"DATA_PC invalida",IF(NOT(ISNUMBER(parametros!$C$2)),"Fora dos ciclos",IF(OR(B4819&lt;parametros!$C$2,(YEAR(B4819)-YEAR(parametros!$C$2))*12+MONTH(B4819)-MONTH(parametros!$C$2)&gt;59),"Fora dos ciclos","C"&amp;INT(((YEAR(B4819)-YEAR(parametros!$C$2))*12+MONTH(B4819)-MONTH(parametros!$C$2))/12)))))</f>
        <v/>
      </c>
      <c r="D4819" s="394"/>
      <c r="E4819" s="78" t="str">
        <f>IF(C4819="","",IFERROR(VLOOKUP(C4819,parametros!$A$11:$E$15,5,0),""))</f>
        <v/>
      </c>
      <c r="F4819" s="79" t="str">
        <f t="shared" si="377"/>
        <v/>
      </c>
      <c r="G4819" s="395"/>
      <c r="H4819" s="91">
        <f t="shared" si="378"/>
        <v>0</v>
      </c>
      <c r="I4819" s="91" t="str">
        <f t="shared" si="379"/>
        <v/>
      </c>
      <c r="J4819" s="91" t="str">
        <f t="shared" si="380"/>
        <v/>
      </c>
      <c r="K4819" s="92" t="str">
        <f>IF(AND(A4819="",B4819="",D4819="",G4819=""),"",IF(AND(A4819&lt;&gt;"",COUNTIF($A$2:$A$5001,A4819)&gt;1),"NUMERO_PC duplicado",IF(B4819="","DATA_PC vazia",IF(NOT(ISNUMBER(B4819)),"DATA_PC invalida",IF(OR(C4819="",C4819="Fora dos ciclos"),"CICLO_PC nao identificado",IF(OR(D4819="",D4819=0),"VALOR_PC vazio ou zero",IF(AND(G4819&lt;&gt;"Sim",G4819&lt;&gt;"Nao",G4819&lt;&gt;""),"PC_PAGO_A_CONTRATADA invalido",IF(AND(C4819&lt;&gt;"C0",IFERROR(INDEX(parametros!$A$2:$A$6,MATCH(C4819,parametros!$B$2:$B$6,0)),"")="Sim",IFERROR(INDEX(parametros!$H$2:$H$6,MATCH(C4819,parametros!$B$2:$B$6,0)),"")=""),"INICIO_EFEITO ausente: PC "&amp;A4819&amp;" - "&amp;C4819,IF(L4819="","EFEITO_PC nao calculado: PC "&amp;A4819&amp;" - "&amp;C4819,"OK")))))))))</f>
        <v/>
      </c>
      <c r="L4819" s="92" t="str">
        <f>IF(AND(A4819="",B4819="",D4819="",G4819=""),"",IF(OR(B4819="",NOT(ISNUMBER(B4819)),C4819="",C4819="Fora dos ciclos"),"",IF(C4819="C0","Nao",IF(IFERROR(INDEX(parametros!$A$2:$A$6,MATCH(C4819,parametros!$B$2:$B$6,0)),"")&lt;&gt;"Sim","Nao",IF(IFERROR(INDEX(parametros!$H$2:$H$6,MATCH(C4819,parametros!$B$2:$B$6,0)),"")="","",IF(B4819&gt;=IFERROR(INDEX(parametros!$H$2:$H$6,MATCH(C4819,parametros!$B$2:$B$6,0)),""),"Sim","Nao"))))))</f>
        <v/>
      </c>
      <c r="T4819" s="156"/>
      <c r="U4819" s="214" t="str">
        <f t="shared" si="381"/>
        <v/>
      </c>
      <c r="V4819" s="212" t="s">
        <v>50</v>
      </c>
      <c r="W4819" s="100" t="s">
        <v>168</v>
      </c>
      <c r="X4819" s="100" t="s">
        <v>169</v>
      </c>
      <c r="Y4819" s="101" t="s">
        <v>170</v>
      </c>
      <c r="Z4819" s="101" t="s">
        <v>171</v>
      </c>
      <c r="AA4819" s="101" t="s">
        <v>50</v>
      </c>
      <c r="AB4819" s="101" t="s">
        <v>172</v>
      </c>
      <c r="AC4819" s="102" t="s">
        <v>173</v>
      </c>
    </row>
    <row r="4820" spans="1:29" ht="25.5" customHeight="1" x14ac:dyDescent="0.35">
      <c r="A4820" s="392"/>
      <c r="B4820" s="393"/>
      <c r="C4820" s="99" t="str">
        <f>IF(B4820="","",IF(NOT(ISNUMBER(B4820)),"DATA_PC invalida",IF(NOT(ISNUMBER(parametros!$C$2)),"Fora dos ciclos",IF(OR(B4820&lt;parametros!$C$2,(YEAR(B4820)-YEAR(parametros!$C$2))*12+MONTH(B4820)-MONTH(parametros!$C$2)&gt;59),"Fora dos ciclos","C"&amp;INT(((YEAR(B4820)-YEAR(parametros!$C$2))*12+MONTH(B4820)-MONTH(parametros!$C$2))/12)))))</f>
        <v/>
      </c>
      <c r="D4820" s="394"/>
      <c r="E4820" s="78" t="str">
        <f>IF(C4820="","",IFERROR(VLOOKUP(C4820,parametros!$A$11:$E$15,5,0),""))</f>
        <v/>
      </c>
      <c r="F4820" s="79" t="str">
        <f t="shared" si="377"/>
        <v/>
      </c>
      <c r="G4820" s="395"/>
      <c r="H4820" s="91">
        <f t="shared" si="378"/>
        <v>0</v>
      </c>
      <c r="I4820" s="91" t="str">
        <f t="shared" si="379"/>
        <v/>
      </c>
      <c r="J4820" s="91" t="str">
        <f t="shared" si="380"/>
        <v/>
      </c>
      <c r="K4820" s="92" t="str">
        <f>IF(AND(A4820="",B4820="",D4820="",G4820=""),"",IF(AND(A4820&lt;&gt;"",COUNTIF($A$2:$A$5001,A4820)&gt;1),"NUMERO_PC duplicado",IF(B4820="","DATA_PC vazia",IF(NOT(ISNUMBER(B4820)),"DATA_PC invalida",IF(OR(C4820="",C4820="Fora dos ciclos"),"CICLO_PC nao identificado",IF(OR(D4820="",D4820=0),"VALOR_PC vazio ou zero",IF(AND(G4820&lt;&gt;"Sim",G4820&lt;&gt;"Nao",G4820&lt;&gt;""),"PC_PAGO_A_CONTRATADA invalido",IF(AND(C4820&lt;&gt;"C0",IFERROR(INDEX(parametros!$A$2:$A$6,MATCH(C4820,parametros!$B$2:$B$6,0)),"")="Sim",IFERROR(INDEX(parametros!$H$2:$H$6,MATCH(C4820,parametros!$B$2:$B$6,0)),"")=""),"INICIO_EFEITO ausente: PC "&amp;A4820&amp;" - "&amp;C4820,IF(L4820="","EFEITO_PC nao calculado: PC "&amp;A4820&amp;" - "&amp;C4820,"OK")))))))))</f>
        <v/>
      </c>
      <c r="L4820" s="92" t="str">
        <f>IF(AND(A4820="",B4820="",D4820="",G4820=""),"",IF(OR(B4820="",NOT(ISNUMBER(B4820)),C4820="",C4820="Fora dos ciclos"),"",IF(C4820="C0","Nao",IF(IFERROR(INDEX(parametros!$A$2:$A$6,MATCH(C4820,parametros!$B$2:$B$6,0)),"")&lt;&gt;"Sim","Nao",IF(IFERROR(INDEX(parametros!$H$2:$H$6,MATCH(C4820,parametros!$B$2:$B$6,0)),"")="","",IF(B4820&gt;=IFERROR(INDEX(parametros!$H$2:$H$6,MATCH(C4820,parametros!$B$2:$B$6,0)),""),"Sim","Nao"))))))</f>
        <v/>
      </c>
      <c r="T4820" s="156"/>
      <c r="U4820" s="214" t="str">
        <f t="shared" si="381"/>
        <v/>
      </c>
      <c r="V4820" s="212" t="s">
        <v>50</v>
      </c>
      <c r="W4820" s="100" t="s">
        <v>168</v>
      </c>
      <c r="X4820" s="100" t="s">
        <v>169</v>
      </c>
      <c r="Y4820" s="101" t="s">
        <v>170</v>
      </c>
      <c r="Z4820" s="101" t="s">
        <v>171</v>
      </c>
      <c r="AA4820" s="101" t="s">
        <v>50</v>
      </c>
      <c r="AB4820" s="101" t="s">
        <v>172</v>
      </c>
      <c r="AC4820" s="102" t="s">
        <v>173</v>
      </c>
    </row>
    <row r="4821" spans="1:29" ht="25.5" customHeight="1" x14ac:dyDescent="0.35">
      <c r="A4821" s="392"/>
      <c r="B4821" s="393"/>
      <c r="C4821" s="99" t="str">
        <f>IF(B4821="","",IF(NOT(ISNUMBER(B4821)),"DATA_PC invalida",IF(NOT(ISNUMBER(parametros!$C$2)),"Fora dos ciclos",IF(OR(B4821&lt;parametros!$C$2,(YEAR(B4821)-YEAR(parametros!$C$2))*12+MONTH(B4821)-MONTH(parametros!$C$2)&gt;59),"Fora dos ciclos","C"&amp;INT(((YEAR(B4821)-YEAR(parametros!$C$2))*12+MONTH(B4821)-MONTH(parametros!$C$2))/12)))))</f>
        <v/>
      </c>
      <c r="D4821" s="394"/>
      <c r="E4821" s="78" t="str">
        <f>IF(C4821="","",IFERROR(VLOOKUP(C4821,parametros!$A$11:$E$15,5,0),""))</f>
        <v/>
      </c>
      <c r="F4821" s="79" t="str">
        <f t="shared" si="377"/>
        <v/>
      </c>
      <c r="G4821" s="395"/>
      <c r="H4821" s="91">
        <f t="shared" si="378"/>
        <v>0</v>
      </c>
      <c r="I4821" s="91" t="str">
        <f t="shared" si="379"/>
        <v/>
      </c>
      <c r="J4821" s="91" t="str">
        <f t="shared" si="380"/>
        <v/>
      </c>
      <c r="K4821" s="92" t="str">
        <f>IF(AND(A4821="",B4821="",D4821="",G4821=""),"",IF(AND(A4821&lt;&gt;"",COUNTIF($A$2:$A$5001,A4821)&gt;1),"NUMERO_PC duplicado",IF(B4821="","DATA_PC vazia",IF(NOT(ISNUMBER(B4821)),"DATA_PC invalida",IF(OR(C4821="",C4821="Fora dos ciclos"),"CICLO_PC nao identificado",IF(OR(D4821="",D4821=0),"VALOR_PC vazio ou zero",IF(AND(G4821&lt;&gt;"Sim",G4821&lt;&gt;"Nao",G4821&lt;&gt;""),"PC_PAGO_A_CONTRATADA invalido",IF(AND(C4821&lt;&gt;"C0",IFERROR(INDEX(parametros!$A$2:$A$6,MATCH(C4821,parametros!$B$2:$B$6,0)),"")="Sim",IFERROR(INDEX(parametros!$H$2:$H$6,MATCH(C4821,parametros!$B$2:$B$6,0)),"")=""),"INICIO_EFEITO ausente: PC "&amp;A4821&amp;" - "&amp;C4821,IF(L4821="","EFEITO_PC nao calculado: PC "&amp;A4821&amp;" - "&amp;C4821,"OK")))))))))</f>
        <v/>
      </c>
      <c r="L4821" s="92" t="str">
        <f>IF(AND(A4821="",B4821="",D4821="",G4821=""),"",IF(OR(B4821="",NOT(ISNUMBER(B4821)),C4821="",C4821="Fora dos ciclos"),"",IF(C4821="C0","Nao",IF(IFERROR(INDEX(parametros!$A$2:$A$6,MATCH(C4821,parametros!$B$2:$B$6,0)),"")&lt;&gt;"Sim","Nao",IF(IFERROR(INDEX(parametros!$H$2:$H$6,MATCH(C4821,parametros!$B$2:$B$6,0)),"")="","",IF(B4821&gt;=IFERROR(INDEX(parametros!$H$2:$H$6,MATCH(C4821,parametros!$B$2:$B$6,0)),""),"Sim","Nao"))))))</f>
        <v/>
      </c>
      <c r="T4821" s="156"/>
      <c r="U4821" s="214" t="str">
        <f t="shared" si="381"/>
        <v/>
      </c>
      <c r="V4821" s="212" t="s">
        <v>50</v>
      </c>
      <c r="W4821" s="100" t="s">
        <v>168</v>
      </c>
      <c r="X4821" s="100" t="s">
        <v>169</v>
      </c>
      <c r="Y4821" s="101" t="s">
        <v>170</v>
      </c>
      <c r="Z4821" s="101" t="s">
        <v>171</v>
      </c>
      <c r="AA4821" s="101" t="s">
        <v>50</v>
      </c>
      <c r="AB4821" s="101" t="s">
        <v>172</v>
      </c>
      <c r="AC4821" s="102" t="s">
        <v>173</v>
      </c>
    </row>
    <row r="4822" spans="1:29" ht="25.5" customHeight="1" x14ac:dyDescent="0.35">
      <c r="A4822" s="392"/>
      <c r="B4822" s="393"/>
      <c r="C4822" s="99" t="str">
        <f>IF(B4822="","",IF(NOT(ISNUMBER(B4822)),"DATA_PC invalida",IF(NOT(ISNUMBER(parametros!$C$2)),"Fora dos ciclos",IF(OR(B4822&lt;parametros!$C$2,(YEAR(B4822)-YEAR(parametros!$C$2))*12+MONTH(B4822)-MONTH(parametros!$C$2)&gt;59),"Fora dos ciclos","C"&amp;INT(((YEAR(B4822)-YEAR(parametros!$C$2))*12+MONTH(B4822)-MONTH(parametros!$C$2))/12)))))</f>
        <v/>
      </c>
      <c r="D4822" s="394"/>
      <c r="E4822" s="78" t="str">
        <f>IF(C4822="","",IFERROR(VLOOKUP(C4822,parametros!$A$11:$E$15,5,0),""))</f>
        <v/>
      </c>
      <c r="F4822" s="79" t="str">
        <f t="shared" si="377"/>
        <v/>
      </c>
      <c r="G4822" s="395"/>
      <c r="H4822" s="91">
        <f t="shared" si="378"/>
        <v>0</v>
      </c>
      <c r="I4822" s="91" t="str">
        <f t="shared" si="379"/>
        <v/>
      </c>
      <c r="J4822" s="91" t="str">
        <f t="shared" si="380"/>
        <v/>
      </c>
      <c r="K4822" s="92" t="str">
        <f>IF(AND(A4822="",B4822="",D4822="",G4822=""),"",IF(AND(A4822&lt;&gt;"",COUNTIF($A$2:$A$5001,A4822)&gt;1),"NUMERO_PC duplicado",IF(B4822="","DATA_PC vazia",IF(NOT(ISNUMBER(B4822)),"DATA_PC invalida",IF(OR(C4822="",C4822="Fora dos ciclos"),"CICLO_PC nao identificado",IF(OR(D4822="",D4822=0),"VALOR_PC vazio ou zero",IF(AND(G4822&lt;&gt;"Sim",G4822&lt;&gt;"Nao",G4822&lt;&gt;""),"PC_PAGO_A_CONTRATADA invalido",IF(AND(C4822&lt;&gt;"C0",IFERROR(INDEX(parametros!$A$2:$A$6,MATCH(C4822,parametros!$B$2:$B$6,0)),"")="Sim",IFERROR(INDEX(parametros!$H$2:$H$6,MATCH(C4822,parametros!$B$2:$B$6,0)),"")=""),"INICIO_EFEITO ausente: PC "&amp;A4822&amp;" - "&amp;C4822,IF(L4822="","EFEITO_PC nao calculado: PC "&amp;A4822&amp;" - "&amp;C4822,"OK")))))))))</f>
        <v/>
      </c>
      <c r="L4822" s="92" t="str">
        <f>IF(AND(A4822="",B4822="",D4822="",G4822=""),"",IF(OR(B4822="",NOT(ISNUMBER(B4822)),C4822="",C4822="Fora dos ciclos"),"",IF(C4822="C0","Nao",IF(IFERROR(INDEX(parametros!$A$2:$A$6,MATCH(C4822,parametros!$B$2:$B$6,0)),"")&lt;&gt;"Sim","Nao",IF(IFERROR(INDEX(parametros!$H$2:$H$6,MATCH(C4822,parametros!$B$2:$B$6,0)),"")="","",IF(B4822&gt;=IFERROR(INDEX(parametros!$H$2:$H$6,MATCH(C4822,parametros!$B$2:$B$6,0)),""),"Sim","Nao"))))))</f>
        <v/>
      </c>
      <c r="T4822" s="156"/>
      <c r="U4822" s="214" t="str">
        <f t="shared" si="381"/>
        <v/>
      </c>
      <c r="V4822" s="212" t="s">
        <v>50</v>
      </c>
      <c r="W4822" s="100" t="s">
        <v>168</v>
      </c>
      <c r="X4822" s="100" t="s">
        <v>169</v>
      </c>
      <c r="Y4822" s="101" t="s">
        <v>170</v>
      </c>
      <c r="Z4822" s="101" t="s">
        <v>171</v>
      </c>
      <c r="AA4822" s="101" t="s">
        <v>50</v>
      </c>
      <c r="AB4822" s="101" t="s">
        <v>172</v>
      </c>
      <c r="AC4822" s="102" t="s">
        <v>173</v>
      </c>
    </row>
    <row r="4823" spans="1:29" ht="25.5" customHeight="1" x14ac:dyDescent="0.35">
      <c r="A4823" s="392"/>
      <c r="B4823" s="393"/>
      <c r="C4823" s="99" t="str">
        <f>IF(B4823="","",IF(NOT(ISNUMBER(B4823)),"DATA_PC invalida",IF(NOT(ISNUMBER(parametros!$C$2)),"Fora dos ciclos",IF(OR(B4823&lt;parametros!$C$2,(YEAR(B4823)-YEAR(parametros!$C$2))*12+MONTH(B4823)-MONTH(parametros!$C$2)&gt;59),"Fora dos ciclos","C"&amp;INT(((YEAR(B4823)-YEAR(parametros!$C$2))*12+MONTH(B4823)-MONTH(parametros!$C$2))/12)))))</f>
        <v/>
      </c>
      <c r="D4823" s="394"/>
      <c r="E4823" s="78" t="str">
        <f>IF(C4823="","",IFERROR(VLOOKUP(C4823,parametros!$A$11:$E$15,5,0),""))</f>
        <v/>
      </c>
      <c r="F4823" s="79" t="str">
        <f t="shared" si="377"/>
        <v/>
      </c>
      <c r="G4823" s="395"/>
      <c r="H4823" s="91">
        <f t="shared" si="378"/>
        <v>0</v>
      </c>
      <c r="I4823" s="91" t="str">
        <f t="shared" si="379"/>
        <v/>
      </c>
      <c r="J4823" s="91" t="str">
        <f t="shared" si="380"/>
        <v/>
      </c>
      <c r="K4823" s="92" t="str">
        <f>IF(AND(A4823="",B4823="",D4823="",G4823=""),"",IF(AND(A4823&lt;&gt;"",COUNTIF($A$2:$A$5001,A4823)&gt;1),"NUMERO_PC duplicado",IF(B4823="","DATA_PC vazia",IF(NOT(ISNUMBER(B4823)),"DATA_PC invalida",IF(OR(C4823="",C4823="Fora dos ciclos"),"CICLO_PC nao identificado",IF(OR(D4823="",D4823=0),"VALOR_PC vazio ou zero",IF(AND(G4823&lt;&gt;"Sim",G4823&lt;&gt;"Nao",G4823&lt;&gt;""),"PC_PAGO_A_CONTRATADA invalido",IF(AND(C4823&lt;&gt;"C0",IFERROR(INDEX(parametros!$A$2:$A$6,MATCH(C4823,parametros!$B$2:$B$6,0)),"")="Sim",IFERROR(INDEX(parametros!$H$2:$H$6,MATCH(C4823,parametros!$B$2:$B$6,0)),"")=""),"INICIO_EFEITO ausente: PC "&amp;A4823&amp;" - "&amp;C4823,IF(L4823="","EFEITO_PC nao calculado: PC "&amp;A4823&amp;" - "&amp;C4823,"OK")))))))))</f>
        <v/>
      </c>
      <c r="L4823" s="92" t="str">
        <f>IF(AND(A4823="",B4823="",D4823="",G4823=""),"",IF(OR(B4823="",NOT(ISNUMBER(B4823)),C4823="",C4823="Fora dos ciclos"),"",IF(C4823="C0","Nao",IF(IFERROR(INDEX(parametros!$A$2:$A$6,MATCH(C4823,parametros!$B$2:$B$6,0)),"")&lt;&gt;"Sim","Nao",IF(IFERROR(INDEX(parametros!$H$2:$H$6,MATCH(C4823,parametros!$B$2:$B$6,0)),"")="","",IF(B4823&gt;=IFERROR(INDEX(parametros!$H$2:$H$6,MATCH(C4823,parametros!$B$2:$B$6,0)),""),"Sim","Nao"))))))</f>
        <v/>
      </c>
      <c r="T4823" s="156"/>
      <c r="U4823" s="214" t="str">
        <f t="shared" si="381"/>
        <v/>
      </c>
      <c r="V4823" s="212" t="s">
        <v>50</v>
      </c>
      <c r="W4823" s="100" t="s">
        <v>168</v>
      </c>
      <c r="X4823" s="100" t="s">
        <v>169</v>
      </c>
      <c r="Y4823" s="101" t="s">
        <v>170</v>
      </c>
      <c r="Z4823" s="101" t="s">
        <v>171</v>
      </c>
      <c r="AA4823" s="101" t="s">
        <v>50</v>
      </c>
      <c r="AB4823" s="101" t="s">
        <v>172</v>
      </c>
      <c r="AC4823" s="102" t="s">
        <v>173</v>
      </c>
    </row>
    <row r="4824" spans="1:29" ht="25.5" customHeight="1" x14ac:dyDescent="0.35">
      <c r="A4824" s="392"/>
      <c r="B4824" s="393"/>
      <c r="C4824" s="99" t="str">
        <f>IF(B4824="","",IF(NOT(ISNUMBER(B4824)),"DATA_PC invalida",IF(NOT(ISNUMBER(parametros!$C$2)),"Fora dos ciclos",IF(OR(B4824&lt;parametros!$C$2,(YEAR(B4824)-YEAR(parametros!$C$2))*12+MONTH(B4824)-MONTH(parametros!$C$2)&gt;59),"Fora dos ciclos","C"&amp;INT(((YEAR(B4824)-YEAR(parametros!$C$2))*12+MONTH(B4824)-MONTH(parametros!$C$2))/12)))))</f>
        <v/>
      </c>
      <c r="D4824" s="394"/>
      <c r="E4824" s="78" t="str">
        <f>IF(C4824="","",IFERROR(VLOOKUP(C4824,parametros!$A$11:$E$15,5,0),""))</f>
        <v/>
      </c>
      <c r="F4824" s="79" t="str">
        <f t="shared" si="377"/>
        <v/>
      </c>
      <c r="G4824" s="395"/>
      <c r="H4824" s="91">
        <f t="shared" si="378"/>
        <v>0</v>
      </c>
      <c r="I4824" s="91" t="str">
        <f t="shared" si="379"/>
        <v/>
      </c>
      <c r="J4824" s="91" t="str">
        <f t="shared" si="380"/>
        <v/>
      </c>
      <c r="K4824" s="92" t="str">
        <f>IF(AND(A4824="",B4824="",D4824="",G4824=""),"",IF(AND(A4824&lt;&gt;"",COUNTIF($A$2:$A$5001,A4824)&gt;1),"NUMERO_PC duplicado",IF(B4824="","DATA_PC vazia",IF(NOT(ISNUMBER(B4824)),"DATA_PC invalida",IF(OR(C4824="",C4824="Fora dos ciclos"),"CICLO_PC nao identificado",IF(OR(D4824="",D4824=0),"VALOR_PC vazio ou zero",IF(AND(G4824&lt;&gt;"Sim",G4824&lt;&gt;"Nao",G4824&lt;&gt;""),"PC_PAGO_A_CONTRATADA invalido",IF(AND(C4824&lt;&gt;"C0",IFERROR(INDEX(parametros!$A$2:$A$6,MATCH(C4824,parametros!$B$2:$B$6,0)),"")="Sim",IFERROR(INDEX(parametros!$H$2:$H$6,MATCH(C4824,parametros!$B$2:$B$6,0)),"")=""),"INICIO_EFEITO ausente: PC "&amp;A4824&amp;" - "&amp;C4824,IF(L4824="","EFEITO_PC nao calculado: PC "&amp;A4824&amp;" - "&amp;C4824,"OK")))))))))</f>
        <v/>
      </c>
      <c r="L4824" s="92" t="str">
        <f>IF(AND(A4824="",B4824="",D4824="",G4824=""),"",IF(OR(B4824="",NOT(ISNUMBER(B4824)),C4824="",C4824="Fora dos ciclos"),"",IF(C4824="C0","Nao",IF(IFERROR(INDEX(parametros!$A$2:$A$6,MATCH(C4824,parametros!$B$2:$B$6,0)),"")&lt;&gt;"Sim","Nao",IF(IFERROR(INDEX(parametros!$H$2:$H$6,MATCH(C4824,parametros!$B$2:$B$6,0)),"")="","",IF(B4824&gt;=IFERROR(INDEX(parametros!$H$2:$H$6,MATCH(C4824,parametros!$B$2:$B$6,0)),""),"Sim","Nao"))))))</f>
        <v/>
      </c>
      <c r="T4824" s="156"/>
      <c r="U4824" s="214" t="str">
        <f t="shared" si="381"/>
        <v/>
      </c>
      <c r="V4824" s="212" t="s">
        <v>50</v>
      </c>
      <c r="W4824" s="100" t="s">
        <v>168</v>
      </c>
      <c r="X4824" s="100" t="s">
        <v>169</v>
      </c>
      <c r="Y4824" s="101" t="s">
        <v>170</v>
      </c>
      <c r="Z4824" s="101" t="s">
        <v>171</v>
      </c>
      <c r="AA4824" s="101" t="s">
        <v>50</v>
      </c>
      <c r="AB4824" s="101" t="s">
        <v>172</v>
      </c>
      <c r="AC4824" s="102" t="s">
        <v>173</v>
      </c>
    </row>
    <row r="4825" spans="1:29" ht="25.5" customHeight="1" x14ac:dyDescent="0.35">
      <c r="A4825" s="392"/>
      <c r="B4825" s="393"/>
      <c r="C4825" s="99" t="str">
        <f>IF(B4825="","",IF(NOT(ISNUMBER(B4825)),"DATA_PC invalida",IF(NOT(ISNUMBER(parametros!$C$2)),"Fora dos ciclos",IF(OR(B4825&lt;parametros!$C$2,(YEAR(B4825)-YEAR(parametros!$C$2))*12+MONTH(B4825)-MONTH(parametros!$C$2)&gt;59),"Fora dos ciclos","C"&amp;INT(((YEAR(B4825)-YEAR(parametros!$C$2))*12+MONTH(B4825)-MONTH(parametros!$C$2))/12)))))</f>
        <v/>
      </c>
      <c r="D4825" s="394"/>
      <c r="E4825" s="78" t="str">
        <f>IF(C4825="","",IFERROR(VLOOKUP(C4825,parametros!$A$11:$E$15,5,0),""))</f>
        <v/>
      </c>
      <c r="F4825" s="79" t="str">
        <f t="shared" si="377"/>
        <v/>
      </c>
      <c r="G4825" s="395"/>
      <c r="H4825" s="91">
        <f t="shared" si="378"/>
        <v>0</v>
      </c>
      <c r="I4825" s="91" t="str">
        <f t="shared" si="379"/>
        <v/>
      </c>
      <c r="J4825" s="91" t="str">
        <f t="shared" si="380"/>
        <v/>
      </c>
      <c r="K4825" s="92" t="str">
        <f>IF(AND(A4825="",B4825="",D4825="",G4825=""),"",IF(AND(A4825&lt;&gt;"",COUNTIF($A$2:$A$5001,A4825)&gt;1),"NUMERO_PC duplicado",IF(B4825="","DATA_PC vazia",IF(NOT(ISNUMBER(B4825)),"DATA_PC invalida",IF(OR(C4825="",C4825="Fora dos ciclos"),"CICLO_PC nao identificado",IF(OR(D4825="",D4825=0),"VALOR_PC vazio ou zero",IF(AND(G4825&lt;&gt;"Sim",G4825&lt;&gt;"Nao",G4825&lt;&gt;""),"PC_PAGO_A_CONTRATADA invalido",IF(AND(C4825&lt;&gt;"C0",IFERROR(INDEX(parametros!$A$2:$A$6,MATCH(C4825,parametros!$B$2:$B$6,0)),"")="Sim",IFERROR(INDEX(parametros!$H$2:$H$6,MATCH(C4825,parametros!$B$2:$B$6,0)),"")=""),"INICIO_EFEITO ausente: PC "&amp;A4825&amp;" - "&amp;C4825,IF(L4825="","EFEITO_PC nao calculado: PC "&amp;A4825&amp;" - "&amp;C4825,"OK")))))))))</f>
        <v/>
      </c>
      <c r="L4825" s="92" t="str">
        <f>IF(AND(A4825="",B4825="",D4825="",G4825=""),"",IF(OR(B4825="",NOT(ISNUMBER(B4825)),C4825="",C4825="Fora dos ciclos"),"",IF(C4825="C0","Nao",IF(IFERROR(INDEX(parametros!$A$2:$A$6,MATCH(C4825,parametros!$B$2:$B$6,0)),"")&lt;&gt;"Sim","Nao",IF(IFERROR(INDEX(parametros!$H$2:$H$6,MATCH(C4825,parametros!$B$2:$B$6,0)),"")="","",IF(B4825&gt;=IFERROR(INDEX(parametros!$H$2:$H$6,MATCH(C4825,parametros!$B$2:$B$6,0)),""),"Sim","Nao"))))))</f>
        <v/>
      </c>
      <c r="T4825" s="156"/>
      <c r="U4825" s="214" t="str">
        <f t="shared" si="381"/>
        <v/>
      </c>
      <c r="V4825" s="212" t="s">
        <v>50</v>
      </c>
      <c r="W4825" s="100" t="s">
        <v>168</v>
      </c>
      <c r="X4825" s="100" t="s">
        <v>169</v>
      </c>
      <c r="Y4825" s="101" t="s">
        <v>170</v>
      </c>
      <c r="Z4825" s="101" t="s">
        <v>171</v>
      </c>
      <c r="AA4825" s="101" t="s">
        <v>50</v>
      </c>
      <c r="AB4825" s="101" t="s">
        <v>172</v>
      </c>
      <c r="AC4825" s="102" t="s">
        <v>173</v>
      </c>
    </row>
    <row r="4826" spans="1:29" ht="25.5" customHeight="1" x14ac:dyDescent="0.35">
      <c r="A4826" s="392"/>
      <c r="B4826" s="393"/>
      <c r="C4826" s="99" t="str">
        <f>IF(B4826="","",IF(NOT(ISNUMBER(B4826)),"DATA_PC invalida",IF(NOT(ISNUMBER(parametros!$C$2)),"Fora dos ciclos",IF(OR(B4826&lt;parametros!$C$2,(YEAR(B4826)-YEAR(parametros!$C$2))*12+MONTH(B4826)-MONTH(parametros!$C$2)&gt;59),"Fora dos ciclos","C"&amp;INT(((YEAR(B4826)-YEAR(parametros!$C$2))*12+MONTH(B4826)-MONTH(parametros!$C$2))/12)))))</f>
        <v/>
      </c>
      <c r="D4826" s="394"/>
      <c r="E4826" s="78" t="str">
        <f>IF(C4826="","",IFERROR(VLOOKUP(C4826,parametros!$A$11:$E$15,5,0),""))</f>
        <v/>
      </c>
      <c r="F4826" s="79" t="str">
        <f t="shared" si="377"/>
        <v/>
      </c>
      <c r="G4826" s="395"/>
      <c r="H4826" s="91">
        <f t="shared" si="378"/>
        <v>0</v>
      </c>
      <c r="I4826" s="91" t="str">
        <f t="shared" si="379"/>
        <v/>
      </c>
      <c r="J4826" s="91" t="str">
        <f t="shared" si="380"/>
        <v/>
      </c>
      <c r="K4826" s="92" t="str">
        <f>IF(AND(A4826="",B4826="",D4826="",G4826=""),"",IF(AND(A4826&lt;&gt;"",COUNTIF($A$2:$A$5001,A4826)&gt;1),"NUMERO_PC duplicado",IF(B4826="","DATA_PC vazia",IF(NOT(ISNUMBER(B4826)),"DATA_PC invalida",IF(OR(C4826="",C4826="Fora dos ciclos"),"CICLO_PC nao identificado",IF(OR(D4826="",D4826=0),"VALOR_PC vazio ou zero",IF(AND(G4826&lt;&gt;"Sim",G4826&lt;&gt;"Nao",G4826&lt;&gt;""),"PC_PAGO_A_CONTRATADA invalido",IF(AND(C4826&lt;&gt;"C0",IFERROR(INDEX(parametros!$A$2:$A$6,MATCH(C4826,parametros!$B$2:$B$6,0)),"")="Sim",IFERROR(INDEX(parametros!$H$2:$H$6,MATCH(C4826,parametros!$B$2:$B$6,0)),"")=""),"INICIO_EFEITO ausente: PC "&amp;A4826&amp;" - "&amp;C4826,IF(L4826="","EFEITO_PC nao calculado: PC "&amp;A4826&amp;" - "&amp;C4826,"OK")))))))))</f>
        <v/>
      </c>
      <c r="L4826" s="92" t="str">
        <f>IF(AND(A4826="",B4826="",D4826="",G4826=""),"",IF(OR(B4826="",NOT(ISNUMBER(B4826)),C4826="",C4826="Fora dos ciclos"),"",IF(C4826="C0","Nao",IF(IFERROR(INDEX(parametros!$A$2:$A$6,MATCH(C4826,parametros!$B$2:$B$6,0)),"")&lt;&gt;"Sim","Nao",IF(IFERROR(INDEX(parametros!$H$2:$H$6,MATCH(C4826,parametros!$B$2:$B$6,0)),"")="","",IF(B4826&gt;=IFERROR(INDEX(parametros!$H$2:$H$6,MATCH(C4826,parametros!$B$2:$B$6,0)),""),"Sim","Nao"))))))</f>
        <v/>
      </c>
      <c r="T4826" s="156"/>
      <c r="U4826" s="214" t="str">
        <f t="shared" si="381"/>
        <v/>
      </c>
      <c r="V4826" s="212" t="s">
        <v>50</v>
      </c>
      <c r="W4826" s="100" t="s">
        <v>168</v>
      </c>
      <c r="X4826" s="100" t="s">
        <v>169</v>
      </c>
      <c r="Y4826" s="101" t="s">
        <v>170</v>
      </c>
      <c r="Z4826" s="101" t="s">
        <v>171</v>
      </c>
      <c r="AA4826" s="101" t="s">
        <v>50</v>
      </c>
      <c r="AB4826" s="101" t="s">
        <v>172</v>
      </c>
      <c r="AC4826" s="102" t="s">
        <v>173</v>
      </c>
    </row>
    <row r="4827" spans="1:29" ht="25.5" customHeight="1" x14ac:dyDescent="0.35">
      <c r="A4827" s="392"/>
      <c r="B4827" s="393"/>
      <c r="C4827" s="99" t="str">
        <f>IF(B4827="","",IF(NOT(ISNUMBER(B4827)),"DATA_PC invalida",IF(NOT(ISNUMBER(parametros!$C$2)),"Fora dos ciclos",IF(OR(B4827&lt;parametros!$C$2,(YEAR(B4827)-YEAR(parametros!$C$2))*12+MONTH(B4827)-MONTH(parametros!$C$2)&gt;59),"Fora dos ciclos","C"&amp;INT(((YEAR(B4827)-YEAR(parametros!$C$2))*12+MONTH(B4827)-MONTH(parametros!$C$2))/12)))))</f>
        <v/>
      </c>
      <c r="D4827" s="394"/>
      <c r="E4827" s="78" t="str">
        <f>IF(C4827="","",IFERROR(VLOOKUP(C4827,parametros!$A$11:$E$15,5,0),""))</f>
        <v/>
      </c>
      <c r="F4827" s="79" t="str">
        <f t="shared" si="377"/>
        <v/>
      </c>
      <c r="G4827" s="395"/>
      <c r="H4827" s="91">
        <f t="shared" si="378"/>
        <v>0</v>
      </c>
      <c r="I4827" s="91" t="str">
        <f t="shared" si="379"/>
        <v/>
      </c>
      <c r="J4827" s="91" t="str">
        <f t="shared" si="380"/>
        <v/>
      </c>
      <c r="K4827" s="92" t="str">
        <f>IF(AND(A4827="",B4827="",D4827="",G4827=""),"",IF(AND(A4827&lt;&gt;"",COUNTIF($A$2:$A$5001,A4827)&gt;1),"NUMERO_PC duplicado",IF(B4827="","DATA_PC vazia",IF(NOT(ISNUMBER(B4827)),"DATA_PC invalida",IF(OR(C4827="",C4827="Fora dos ciclos"),"CICLO_PC nao identificado",IF(OR(D4827="",D4827=0),"VALOR_PC vazio ou zero",IF(AND(G4827&lt;&gt;"Sim",G4827&lt;&gt;"Nao",G4827&lt;&gt;""),"PC_PAGO_A_CONTRATADA invalido",IF(AND(C4827&lt;&gt;"C0",IFERROR(INDEX(parametros!$A$2:$A$6,MATCH(C4827,parametros!$B$2:$B$6,0)),"")="Sim",IFERROR(INDEX(parametros!$H$2:$H$6,MATCH(C4827,parametros!$B$2:$B$6,0)),"")=""),"INICIO_EFEITO ausente: PC "&amp;A4827&amp;" - "&amp;C4827,IF(L4827="","EFEITO_PC nao calculado: PC "&amp;A4827&amp;" - "&amp;C4827,"OK")))))))))</f>
        <v/>
      </c>
      <c r="L4827" s="92" t="str">
        <f>IF(AND(A4827="",B4827="",D4827="",G4827=""),"",IF(OR(B4827="",NOT(ISNUMBER(B4827)),C4827="",C4827="Fora dos ciclos"),"",IF(C4827="C0","Nao",IF(IFERROR(INDEX(parametros!$A$2:$A$6,MATCH(C4827,parametros!$B$2:$B$6,0)),"")&lt;&gt;"Sim","Nao",IF(IFERROR(INDEX(parametros!$H$2:$H$6,MATCH(C4827,parametros!$B$2:$B$6,0)),"")="","",IF(B4827&gt;=IFERROR(INDEX(parametros!$H$2:$H$6,MATCH(C4827,parametros!$B$2:$B$6,0)),""),"Sim","Nao"))))))</f>
        <v/>
      </c>
      <c r="T4827" s="156"/>
      <c r="U4827" s="214" t="str">
        <f t="shared" si="381"/>
        <v/>
      </c>
      <c r="V4827" s="212" t="s">
        <v>50</v>
      </c>
      <c r="W4827" s="100" t="s">
        <v>168</v>
      </c>
      <c r="X4827" s="100" t="s">
        <v>169</v>
      </c>
      <c r="Y4827" s="101" t="s">
        <v>170</v>
      </c>
      <c r="Z4827" s="101" t="s">
        <v>171</v>
      </c>
      <c r="AA4827" s="101" t="s">
        <v>50</v>
      </c>
      <c r="AB4827" s="101" t="s">
        <v>172</v>
      </c>
      <c r="AC4827" s="102" t="s">
        <v>173</v>
      </c>
    </row>
    <row r="4828" spans="1:29" ht="25.5" customHeight="1" x14ac:dyDescent="0.35">
      <c r="A4828" s="392"/>
      <c r="B4828" s="393"/>
      <c r="C4828" s="99" t="str">
        <f>IF(B4828="","",IF(NOT(ISNUMBER(B4828)),"DATA_PC invalida",IF(NOT(ISNUMBER(parametros!$C$2)),"Fora dos ciclos",IF(OR(B4828&lt;parametros!$C$2,(YEAR(B4828)-YEAR(parametros!$C$2))*12+MONTH(B4828)-MONTH(parametros!$C$2)&gt;59),"Fora dos ciclos","C"&amp;INT(((YEAR(B4828)-YEAR(parametros!$C$2))*12+MONTH(B4828)-MONTH(parametros!$C$2))/12)))))</f>
        <v/>
      </c>
      <c r="D4828" s="394"/>
      <c r="E4828" s="78" t="str">
        <f>IF(C4828="","",IFERROR(VLOOKUP(C4828,parametros!$A$11:$E$15,5,0),""))</f>
        <v/>
      </c>
      <c r="F4828" s="79" t="str">
        <f t="shared" si="377"/>
        <v/>
      </c>
      <c r="G4828" s="395"/>
      <c r="H4828" s="91">
        <f t="shared" si="378"/>
        <v>0</v>
      </c>
      <c r="I4828" s="91" t="str">
        <f t="shared" si="379"/>
        <v/>
      </c>
      <c r="J4828" s="91" t="str">
        <f t="shared" si="380"/>
        <v/>
      </c>
      <c r="K4828" s="92" t="str">
        <f>IF(AND(A4828="",B4828="",D4828="",G4828=""),"",IF(AND(A4828&lt;&gt;"",COUNTIF($A$2:$A$5001,A4828)&gt;1),"NUMERO_PC duplicado",IF(B4828="","DATA_PC vazia",IF(NOT(ISNUMBER(B4828)),"DATA_PC invalida",IF(OR(C4828="",C4828="Fora dos ciclos"),"CICLO_PC nao identificado",IF(OR(D4828="",D4828=0),"VALOR_PC vazio ou zero",IF(AND(G4828&lt;&gt;"Sim",G4828&lt;&gt;"Nao",G4828&lt;&gt;""),"PC_PAGO_A_CONTRATADA invalido",IF(AND(C4828&lt;&gt;"C0",IFERROR(INDEX(parametros!$A$2:$A$6,MATCH(C4828,parametros!$B$2:$B$6,0)),"")="Sim",IFERROR(INDEX(parametros!$H$2:$H$6,MATCH(C4828,parametros!$B$2:$B$6,0)),"")=""),"INICIO_EFEITO ausente: PC "&amp;A4828&amp;" - "&amp;C4828,IF(L4828="","EFEITO_PC nao calculado: PC "&amp;A4828&amp;" - "&amp;C4828,"OK")))))))))</f>
        <v/>
      </c>
      <c r="L4828" s="92" t="str">
        <f>IF(AND(A4828="",B4828="",D4828="",G4828=""),"",IF(OR(B4828="",NOT(ISNUMBER(B4828)),C4828="",C4828="Fora dos ciclos"),"",IF(C4828="C0","Nao",IF(IFERROR(INDEX(parametros!$A$2:$A$6,MATCH(C4828,parametros!$B$2:$B$6,0)),"")&lt;&gt;"Sim","Nao",IF(IFERROR(INDEX(parametros!$H$2:$H$6,MATCH(C4828,parametros!$B$2:$B$6,0)),"")="","",IF(B4828&gt;=IFERROR(INDEX(parametros!$H$2:$H$6,MATCH(C4828,parametros!$B$2:$B$6,0)),""),"Sim","Nao"))))))</f>
        <v/>
      </c>
      <c r="T4828" s="156"/>
      <c r="U4828" s="214" t="str">
        <f t="shared" si="381"/>
        <v/>
      </c>
      <c r="V4828" s="212" t="s">
        <v>50</v>
      </c>
      <c r="W4828" s="100" t="s">
        <v>168</v>
      </c>
      <c r="X4828" s="100" t="s">
        <v>169</v>
      </c>
      <c r="Y4828" s="101" t="s">
        <v>170</v>
      </c>
      <c r="Z4828" s="101" t="s">
        <v>171</v>
      </c>
      <c r="AA4828" s="101" t="s">
        <v>50</v>
      </c>
      <c r="AB4828" s="101" t="s">
        <v>172</v>
      </c>
      <c r="AC4828" s="102" t="s">
        <v>173</v>
      </c>
    </row>
    <row r="4829" spans="1:29" ht="25.5" customHeight="1" x14ac:dyDescent="0.35">
      <c r="A4829" s="392"/>
      <c r="B4829" s="393"/>
      <c r="C4829" s="99" t="str">
        <f>IF(B4829="","",IF(NOT(ISNUMBER(B4829)),"DATA_PC invalida",IF(NOT(ISNUMBER(parametros!$C$2)),"Fora dos ciclos",IF(OR(B4829&lt;parametros!$C$2,(YEAR(B4829)-YEAR(parametros!$C$2))*12+MONTH(B4829)-MONTH(parametros!$C$2)&gt;59),"Fora dos ciclos","C"&amp;INT(((YEAR(B4829)-YEAR(parametros!$C$2))*12+MONTH(B4829)-MONTH(parametros!$C$2))/12)))))</f>
        <v/>
      </c>
      <c r="D4829" s="394"/>
      <c r="E4829" s="78" t="str">
        <f>IF(C4829="","",IFERROR(VLOOKUP(C4829,parametros!$A$11:$E$15,5,0),""))</f>
        <v/>
      </c>
      <c r="F4829" s="79" t="str">
        <f t="shared" si="377"/>
        <v/>
      </c>
      <c r="G4829" s="395"/>
      <c r="H4829" s="91">
        <f t="shared" si="378"/>
        <v>0</v>
      </c>
      <c r="I4829" s="91" t="str">
        <f t="shared" si="379"/>
        <v/>
      </c>
      <c r="J4829" s="91" t="str">
        <f t="shared" si="380"/>
        <v/>
      </c>
      <c r="K4829" s="92" t="str">
        <f>IF(AND(A4829="",B4829="",D4829="",G4829=""),"",IF(AND(A4829&lt;&gt;"",COUNTIF($A$2:$A$5001,A4829)&gt;1),"NUMERO_PC duplicado",IF(B4829="","DATA_PC vazia",IF(NOT(ISNUMBER(B4829)),"DATA_PC invalida",IF(OR(C4829="",C4829="Fora dos ciclos"),"CICLO_PC nao identificado",IF(OR(D4829="",D4829=0),"VALOR_PC vazio ou zero",IF(AND(G4829&lt;&gt;"Sim",G4829&lt;&gt;"Nao",G4829&lt;&gt;""),"PC_PAGO_A_CONTRATADA invalido",IF(AND(C4829&lt;&gt;"C0",IFERROR(INDEX(parametros!$A$2:$A$6,MATCH(C4829,parametros!$B$2:$B$6,0)),"")="Sim",IFERROR(INDEX(parametros!$H$2:$H$6,MATCH(C4829,parametros!$B$2:$B$6,0)),"")=""),"INICIO_EFEITO ausente: PC "&amp;A4829&amp;" - "&amp;C4829,IF(L4829="","EFEITO_PC nao calculado: PC "&amp;A4829&amp;" - "&amp;C4829,"OK")))))))))</f>
        <v/>
      </c>
      <c r="L4829" s="92" t="str">
        <f>IF(AND(A4829="",B4829="",D4829="",G4829=""),"",IF(OR(B4829="",NOT(ISNUMBER(B4829)),C4829="",C4829="Fora dos ciclos"),"",IF(C4829="C0","Nao",IF(IFERROR(INDEX(parametros!$A$2:$A$6,MATCH(C4829,parametros!$B$2:$B$6,0)),"")&lt;&gt;"Sim","Nao",IF(IFERROR(INDEX(parametros!$H$2:$H$6,MATCH(C4829,parametros!$B$2:$B$6,0)),"")="","",IF(B4829&gt;=IFERROR(INDEX(parametros!$H$2:$H$6,MATCH(C4829,parametros!$B$2:$B$6,0)),""),"Sim","Nao"))))))</f>
        <v/>
      </c>
      <c r="T4829" s="156"/>
      <c r="U4829" s="214" t="str">
        <f t="shared" si="381"/>
        <v/>
      </c>
      <c r="V4829" s="212" t="s">
        <v>50</v>
      </c>
      <c r="W4829" s="100" t="s">
        <v>168</v>
      </c>
      <c r="X4829" s="100" t="s">
        <v>169</v>
      </c>
      <c r="Y4829" s="101" t="s">
        <v>170</v>
      </c>
      <c r="Z4829" s="101" t="s">
        <v>171</v>
      </c>
      <c r="AA4829" s="101" t="s">
        <v>50</v>
      </c>
      <c r="AB4829" s="101" t="s">
        <v>172</v>
      </c>
      <c r="AC4829" s="102" t="s">
        <v>173</v>
      </c>
    </row>
    <row r="4830" spans="1:29" ht="25.5" customHeight="1" x14ac:dyDescent="0.35">
      <c r="A4830" s="392"/>
      <c r="B4830" s="393"/>
      <c r="C4830" s="99" t="str">
        <f>IF(B4830="","",IF(NOT(ISNUMBER(B4830)),"DATA_PC invalida",IF(NOT(ISNUMBER(parametros!$C$2)),"Fora dos ciclos",IF(OR(B4830&lt;parametros!$C$2,(YEAR(B4830)-YEAR(parametros!$C$2))*12+MONTH(B4830)-MONTH(parametros!$C$2)&gt;59),"Fora dos ciclos","C"&amp;INT(((YEAR(B4830)-YEAR(parametros!$C$2))*12+MONTH(B4830)-MONTH(parametros!$C$2))/12)))))</f>
        <v/>
      </c>
      <c r="D4830" s="394"/>
      <c r="E4830" s="78" t="str">
        <f>IF(C4830="","",IFERROR(VLOOKUP(C4830,parametros!$A$11:$E$15,5,0),""))</f>
        <v/>
      </c>
      <c r="F4830" s="79" t="str">
        <f t="shared" si="377"/>
        <v/>
      </c>
      <c r="G4830" s="395"/>
      <c r="H4830" s="91">
        <f t="shared" si="378"/>
        <v>0</v>
      </c>
      <c r="I4830" s="91" t="str">
        <f t="shared" si="379"/>
        <v/>
      </c>
      <c r="J4830" s="91" t="str">
        <f t="shared" si="380"/>
        <v/>
      </c>
      <c r="K4830" s="92" t="str">
        <f>IF(AND(A4830="",B4830="",D4830="",G4830=""),"",IF(AND(A4830&lt;&gt;"",COUNTIF($A$2:$A$5001,A4830)&gt;1),"NUMERO_PC duplicado",IF(B4830="","DATA_PC vazia",IF(NOT(ISNUMBER(B4830)),"DATA_PC invalida",IF(OR(C4830="",C4830="Fora dos ciclos"),"CICLO_PC nao identificado",IF(OR(D4830="",D4830=0),"VALOR_PC vazio ou zero",IF(AND(G4830&lt;&gt;"Sim",G4830&lt;&gt;"Nao",G4830&lt;&gt;""),"PC_PAGO_A_CONTRATADA invalido",IF(AND(C4830&lt;&gt;"C0",IFERROR(INDEX(parametros!$A$2:$A$6,MATCH(C4830,parametros!$B$2:$B$6,0)),"")="Sim",IFERROR(INDEX(parametros!$H$2:$H$6,MATCH(C4830,parametros!$B$2:$B$6,0)),"")=""),"INICIO_EFEITO ausente: PC "&amp;A4830&amp;" - "&amp;C4830,IF(L4830="","EFEITO_PC nao calculado: PC "&amp;A4830&amp;" - "&amp;C4830,"OK")))))))))</f>
        <v/>
      </c>
      <c r="L4830" s="92" t="str">
        <f>IF(AND(A4830="",B4830="",D4830="",G4830=""),"",IF(OR(B4830="",NOT(ISNUMBER(B4830)),C4830="",C4830="Fora dos ciclos"),"",IF(C4830="C0","Nao",IF(IFERROR(INDEX(parametros!$A$2:$A$6,MATCH(C4830,parametros!$B$2:$B$6,0)),"")&lt;&gt;"Sim","Nao",IF(IFERROR(INDEX(parametros!$H$2:$H$6,MATCH(C4830,parametros!$B$2:$B$6,0)),"")="","",IF(B4830&gt;=IFERROR(INDEX(parametros!$H$2:$H$6,MATCH(C4830,parametros!$B$2:$B$6,0)),""),"Sim","Nao"))))))</f>
        <v/>
      </c>
      <c r="T4830" s="156"/>
      <c r="U4830" s="214" t="str">
        <f t="shared" si="381"/>
        <v/>
      </c>
      <c r="V4830" s="212" t="s">
        <v>50</v>
      </c>
      <c r="W4830" s="100" t="s">
        <v>168</v>
      </c>
      <c r="X4830" s="100" t="s">
        <v>169</v>
      </c>
      <c r="Y4830" s="101" t="s">
        <v>170</v>
      </c>
      <c r="Z4830" s="101" t="s">
        <v>171</v>
      </c>
      <c r="AA4830" s="101" t="s">
        <v>50</v>
      </c>
      <c r="AB4830" s="101" t="s">
        <v>172</v>
      </c>
      <c r="AC4830" s="102" t="s">
        <v>173</v>
      </c>
    </row>
    <row r="4831" spans="1:29" ht="25.5" customHeight="1" x14ac:dyDescent="0.35">
      <c r="A4831" s="392"/>
      <c r="B4831" s="393"/>
      <c r="C4831" s="99" t="str">
        <f>IF(B4831="","",IF(NOT(ISNUMBER(B4831)),"DATA_PC invalida",IF(NOT(ISNUMBER(parametros!$C$2)),"Fora dos ciclos",IF(OR(B4831&lt;parametros!$C$2,(YEAR(B4831)-YEAR(parametros!$C$2))*12+MONTH(B4831)-MONTH(parametros!$C$2)&gt;59),"Fora dos ciclos","C"&amp;INT(((YEAR(B4831)-YEAR(parametros!$C$2))*12+MONTH(B4831)-MONTH(parametros!$C$2))/12)))))</f>
        <v/>
      </c>
      <c r="D4831" s="394"/>
      <c r="E4831" s="78" t="str">
        <f>IF(C4831="","",IFERROR(VLOOKUP(C4831,parametros!$A$11:$E$15,5,0),""))</f>
        <v/>
      </c>
      <c r="F4831" s="79" t="str">
        <f t="shared" si="377"/>
        <v/>
      </c>
      <c r="G4831" s="395"/>
      <c r="H4831" s="91">
        <f t="shared" si="378"/>
        <v>0</v>
      </c>
      <c r="I4831" s="91" t="str">
        <f t="shared" si="379"/>
        <v/>
      </c>
      <c r="J4831" s="91" t="str">
        <f t="shared" si="380"/>
        <v/>
      </c>
      <c r="K4831" s="92" t="str">
        <f>IF(AND(A4831="",B4831="",D4831="",G4831=""),"",IF(AND(A4831&lt;&gt;"",COUNTIF($A$2:$A$5001,A4831)&gt;1),"NUMERO_PC duplicado",IF(B4831="","DATA_PC vazia",IF(NOT(ISNUMBER(B4831)),"DATA_PC invalida",IF(OR(C4831="",C4831="Fora dos ciclos"),"CICLO_PC nao identificado",IF(OR(D4831="",D4831=0),"VALOR_PC vazio ou zero",IF(AND(G4831&lt;&gt;"Sim",G4831&lt;&gt;"Nao",G4831&lt;&gt;""),"PC_PAGO_A_CONTRATADA invalido",IF(AND(C4831&lt;&gt;"C0",IFERROR(INDEX(parametros!$A$2:$A$6,MATCH(C4831,parametros!$B$2:$B$6,0)),"")="Sim",IFERROR(INDEX(parametros!$H$2:$H$6,MATCH(C4831,parametros!$B$2:$B$6,0)),"")=""),"INICIO_EFEITO ausente: PC "&amp;A4831&amp;" - "&amp;C4831,IF(L4831="","EFEITO_PC nao calculado: PC "&amp;A4831&amp;" - "&amp;C4831,"OK")))))))))</f>
        <v/>
      </c>
      <c r="L4831" s="92" t="str">
        <f>IF(AND(A4831="",B4831="",D4831="",G4831=""),"",IF(OR(B4831="",NOT(ISNUMBER(B4831)),C4831="",C4831="Fora dos ciclos"),"",IF(C4831="C0","Nao",IF(IFERROR(INDEX(parametros!$A$2:$A$6,MATCH(C4831,parametros!$B$2:$B$6,0)),"")&lt;&gt;"Sim","Nao",IF(IFERROR(INDEX(parametros!$H$2:$H$6,MATCH(C4831,parametros!$B$2:$B$6,0)),"")="","",IF(B4831&gt;=IFERROR(INDEX(parametros!$H$2:$H$6,MATCH(C4831,parametros!$B$2:$B$6,0)),""),"Sim","Nao"))))))</f>
        <v/>
      </c>
      <c r="T4831" s="156"/>
      <c r="U4831" s="214" t="str">
        <f t="shared" si="381"/>
        <v/>
      </c>
      <c r="V4831" s="212" t="s">
        <v>50</v>
      </c>
      <c r="W4831" s="100" t="s">
        <v>168</v>
      </c>
      <c r="X4831" s="100" t="s">
        <v>169</v>
      </c>
      <c r="Y4831" s="101" t="s">
        <v>170</v>
      </c>
      <c r="Z4831" s="101" t="s">
        <v>171</v>
      </c>
      <c r="AA4831" s="101" t="s">
        <v>50</v>
      </c>
      <c r="AB4831" s="101" t="s">
        <v>172</v>
      </c>
      <c r="AC4831" s="102" t="s">
        <v>173</v>
      </c>
    </row>
    <row r="4832" spans="1:29" ht="25.5" customHeight="1" x14ac:dyDescent="0.35">
      <c r="A4832" s="392"/>
      <c r="B4832" s="393"/>
      <c r="C4832" s="99" t="str">
        <f>IF(B4832="","",IF(NOT(ISNUMBER(B4832)),"DATA_PC invalida",IF(NOT(ISNUMBER(parametros!$C$2)),"Fora dos ciclos",IF(OR(B4832&lt;parametros!$C$2,(YEAR(B4832)-YEAR(parametros!$C$2))*12+MONTH(B4832)-MONTH(parametros!$C$2)&gt;59),"Fora dos ciclos","C"&amp;INT(((YEAR(B4832)-YEAR(parametros!$C$2))*12+MONTH(B4832)-MONTH(parametros!$C$2))/12)))))</f>
        <v/>
      </c>
      <c r="D4832" s="394"/>
      <c r="E4832" s="78" t="str">
        <f>IF(C4832="","",IFERROR(VLOOKUP(C4832,parametros!$A$11:$E$15,5,0),""))</f>
        <v/>
      </c>
      <c r="F4832" s="79" t="str">
        <f t="shared" si="377"/>
        <v/>
      </c>
      <c r="G4832" s="395"/>
      <c r="H4832" s="91">
        <f t="shared" si="378"/>
        <v>0</v>
      </c>
      <c r="I4832" s="91" t="str">
        <f t="shared" si="379"/>
        <v/>
      </c>
      <c r="J4832" s="91" t="str">
        <f t="shared" si="380"/>
        <v/>
      </c>
      <c r="K4832" s="92" t="str">
        <f>IF(AND(A4832="",B4832="",D4832="",G4832=""),"",IF(AND(A4832&lt;&gt;"",COUNTIF($A$2:$A$5001,A4832)&gt;1),"NUMERO_PC duplicado",IF(B4832="","DATA_PC vazia",IF(NOT(ISNUMBER(B4832)),"DATA_PC invalida",IF(OR(C4832="",C4832="Fora dos ciclos"),"CICLO_PC nao identificado",IF(OR(D4832="",D4832=0),"VALOR_PC vazio ou zero",IF(AND(G4832&lt;&gt;"Sim",G4832&lt;&gt;"Nao",G4832&lt;&gt;""),"PC_PAGO_A_CONTRATADA invalido",IF(AND(C4832&lt;&gt;"C0",IFERROR(INDEX(parametros!$A$2:$A$6,MATCH(C4832,parametros!$B$2:$B$6,0)),"")="Sim",IFERROR(INDEX(parametros!$H$2:$H$6,MATCH(C4832,parametros!$B$2:$B$6,0)),"")=""),"INICIO_EFEITO ausente: PC "&amp;A4832&amp;" - "&amp;C4832,IF(L4832="","EFEITO_PC nao calculado: PC "&amp;A4832&amp;" - "&amp;C4832,"OK")))))))))</f>
        <v/>
      </c>
      <c r="L4832" s="92" t="str">
        <f>IF(AND(A4832="",B4832="",D4832="",G4832=""),"",IF(OR(B4832="",NOT(ISNUMBER(B4832)),C4832="",C4832="Fora dos ciclos"),"",IF(C4832="C0","Nao",IF(IFERROR(INDEX(parametros!$A$2:$A$6,MATCH(C4832,parametros!$B$2:$B$6,0)),"")&lt;&gt;"Sim","Nao",IF(IFERROR(INDEX(parametros!$H$2:$H$6,MATCH(C4832,parametros!$B$2:$B$6,0)),"")="","",IF(B4832&gt;=IFERROR(INDEX(parametros!$H$2:$H$6,MATCH(C4832,parametros!$B$2:$B$6,0)),""),"Sim","Nao"))))))</f>
        <v/>
      </c>
      <c r="T4832" s="156"/>
      <c r="U4832" s="214" t="str">
        <f t="shared" si="381"/>
        <v/>
      </c>
      <c r="V4832" s="212" t="s">
        <v>50</v>
      </c>
      <c r="W4832" s="100" t="s">
        <v>168</v>
      </c>
      <c r="X4832" s="100" t="s">
        <v>169</v>
      </c>
      <c r="Y4832" s="101" t="s">
        <v>170</v>
      </c>
      <c r="Z4832" s="101" t="s">
        <v>171</v>
      </c>
      <c r="AA4832" s="101" t="s">
        <v>50</v>
      </c>
      <c r="AB4832" s="101" t="s">
        <v>172</v>
      </c>
      <c r="AC4832" s="102" t="s">
        <v>173</v>
      </c>
    </row>
    <row r="4833" spans="1:29" ht="25.5" customHeight="1" x14ac:dyDescent="0.35">
      <c r="A4833" s="392"/>
      <c r="B4833" s="393"/>
      <c r="C4833" s="99" t="str">
        <f>IF(B4833="","",IF(NOT(ISNUMBER(B4833)),"DATA_PC invalida",IF(NOT(ISNUMBER(parametros!$C$2)),"Fora dos ciclos",IF(OR(B4833&lt;parametros!$C$2,(YEAR(B4833)-YEAR(parametros!$C$2))*12+MONTH(B4833)-MONTH(parametros!$C$2)&gt;59),"Fora dos ciclos","C"&amp;INT(((YEAR(B4833)-YEAR(parametros!$C$2))*12+MONTH(B4833)-MONTH(parametros!$C$2))/12)))))</f>
        <v/>
      </c>
      <c r="D4833" s="394"/>
      <c r="E4833" s="78" t="str">
        <f>IF(C4833="","",IFERROR(VLOOKUP(C4833,parametros!$A$11:$E$15,5,0),""))</f>
        <v/>
      </c>
      <c r="F4833" s="79" t="str">
        <f t="shared" si="377"/>
        <v/>
      </c>
      <c r="G4833" s="395"/>
      <c r="H4833" s="91">
        <f t="shared" si="378"/>
        <v>0</v>
      </c>
      <c r="I4833" s="91" t="str">
        <f t="shared" si="379"/>
        <v/>
      </c>
      <c r="J4833" s="91" t="str">
        <f t="shared" si="380"/>
        <v/>
      </c>
      <c r="K4833" s="92" t="str">
        <f>IF(AND(A4833="",B4833="",D4833="",G4833=""),"",IF(AND(A4833&lt;&gt;"",COUNTIF($A$2:$A$5001,A4833)&gt;1),"NUMERO_PC duplicado",IF(B4833="","DATA_PC vazia",IF(NOT(ISNUMBER(B4833)),"DATA_PC invalida",IF(OR(C4833="",C4833="Fora dos ciclos"),"CICLO_PC nao identificado",IF(OR(D4833="",D4833=0),"VALOR_PC vazio ou zero",IF(AND(G4833&lt;&gt;"Sim",G4833&lt;&gt;"Nao",G4833&lt;&gt;""),"PC_PAGO_A_CONTRATADA invalido",IF(AND(C4833&lt;&gt;"C0",IFERROR(INDEX(parametros!$A$2:$A$6,MATCH(C4833,parametros!$B$2:$B$6,0)),"")="Sim",IFERROR(INDEX(parametros!$H$2:$H$6,MATCH(C4833,parametros!$B$2:$B$6,0)),"")=""),"INICIO_EFEITO ausente: PC "&amp;A4833&amp;" - "&amp;C4833,IF(L4833="","EFEITO_PC nao calculado: PC "&amp;A4833&amp;" - "&amp;C4833,"OK")))))))))</f>
        <v/>
      </c>
      <c r="L4833" s="92" t="str">
        <f>IF(AND(A4833="",B4833="",D4833="",G4833=""),"",IF(OR(B4833="",NOT(ISNUMBER(B4833)),C4833="",C4833="Fora dos ciclos"),"",IF(C4833="C0","Nao",IF(IFERROR(INDEX(parametros!$A$2:$A$6,MATCH(C4833,parametros!$B$2:$B$6,0)),"")&lt;&gt;"Sim","Nao",IF(IFERROR(INDEX(parametros!$H$2:$H$6,MATCH(C4833,parametros!$B$2:$B$6,0)),"")="","",IF(B4833&gt;=IFERROR(INDEX(parametros!$H$2:$H$6,MATCH(C4833,parametros!$B$2:$B$6,0)),""),"Sim","Nao"))))))</f>
        <v/>
      </c>
      <c r="T4833" s="156"/>
      <c r="U4833" s="214" t="str">
        <f t="shared" si="381"/>
        <v/>
      </c>
      <c r="V4833" s="212" t="s">
        <v>50</v>
      </c>
      <c r="W4833" s="100" t="s">
        <v>168</v>
      </c>
      <c r="X4833" s="100" t="s">
        <v>169</v>
      </c>
      <c r="Y4833" s="101" t="s">
        <v>170</v>
      </c>
      <c r="Z4833" s="101" t="s">
        <v>171</v>
      </c>
      <c r="AA4833" s="101" t="s">
        <v>50</v>
      </c>
      <c r="AB4833" s="101" t="s">
        <v>172</v>
      </c>
      <c r="AC4833" s="102" t="s">
        <v>173</v>
      </c>
    </row>
    <row r="4834" spans="1:29" ht="25.5" customHeight="1" x14ac:dyDescent="0.35">
      <c r="A4834" s="392"/>
      <c r="B4834" s="393"/>
      <c r="C4834" s="99" t="str">
        <f>IF(B4834="","",IF(NOT(ISNUMBER(B4834)),"DATA_PC invalida",IF(NOT(ISNUMBER(parametros!$C$2)),"Fora dos ciclos",IF(OR(B4834&lt;parametros!$C$2,(YEAR(B4834)-YEAR(parametros!$C$2))*12+MONTH(B4834)-MONTH(parametros!$C$2)&gt;59),"Fora dos ciclos","C"&amp;INT(((YEAR(B4834)-YEAR(parametros!$C$2))*12+MONTH(B4834)-MONTH(parametros!$C$2))/12)))))</f>
        <v/>
      </c>
      <c r="D4834" s="394"/>
      <c r="E4834" s="78" t="str">
        <f>IF(C4834="","",IFERROR(VLOOKUP(C4834,parametros!$A$11:$E$15,5,0),""))</f>
        <v/>
      </c>
      <c r="F4834" s="79" t="str">
        <f t="shared" si="377"/>
        <v/>
      </c>
      <c r="G4834" s="395"/>
      <c r="H4834" s="91">
        <f t="shared" si="378"/>
        <v>0</v>
      </c>
      <c r="I4834" s="91" t="str">
        <f t="shared" si="379"/>
        <v/>
      </c>
      <c r="J4834" s="91" t="str">
        <f t="shared" si="380"/>
        <v/>
      </c>
      <c r="K4834" s="92" t="str">
        <f>IF(AND(A4834="",B4834="",D4834="",G4834=""),"",IF(AND(A4834&lt;&gt;"",COUNTIF($A$2:$A$5001,A4834)&gt;1),"NUMERO_PC duplicado",IF(B4834="","DATA_PC vazia",IF(NOT(ISNUMBER(B4834)),"DATA_PC invalida",IF(OR(C4834="",C4834="Fora dos ciclos"),"CICLO_PC nao identificado",IF(OR(D4834="",D4834=0),"VALOR_PC vazio ou zero",IF(AND(G4834&lt;&gt;"Sim",G4834&lt;&gt;"Nao",G4834&lt;&gt;""),"PC_PAGO_A_CONTRATADA invalido",IF(AND(C4834&lt;&gt;"C0",IFERROR(INDEX(parametros!$A$2:$A$6,MATCH(C4834,parametros!$B$2:$B$6,0)),"")="Sim",IFERROR(INDEX(parametros!$H$2:$H$6,MATCH(C4834,parametros!$B$2:$B$6,0)),"")=""),"INICIO_EFEITO ausente: PC "&amp;A4834&amp;" - "&amp;C4834,IF(L4834="","EFEITO_PC nao calculado: PC "&amp;A4834&amp;" - "&amp;C4834,"OK")))))))))</f>
        <v/>
      </c>
      <c r="L4834" s="92" t="str">
        <f>IF(AND(A4834="",B4834="",D4834="",G4834=""),"",IF(OR(B4834="",NOT(ISNUMBER(B4834)),C4834="",C4834="Fora dos ciclos"),"",IF(C4834="C0","Nao",IF(IFERROR(INDEX(parametros!$A$2:$A$6,MATCH(C4834,parametros!$B$2:$B$6,0)),"")&lt;&gt;"Sim","Nao",IF(IFERROR(INDEX(parametros!$H$2:$H$6,MATCH(C4834,parametros!$B$2:$B$6,0)),"")="","",IF(B4834&gt;=IFERROR(INDEX(parametros!$H$2:$H$6,MATCH(C4834,parametros!$B$2:$B$6,0)),""),"Sim","Nao"))))))</f>
        <v/>
      </c>
      <c r="T4834" s="156"/>
      <c r="U4834" s="214" t="str">
        <f t="shared" si="381"/>
        <v/>
      </c>
      <c r="V4834" s="212" t="s">
        <v>50</v>
      </c>
      <c r="W4834" s="100" t="s">
        <v>168</v>
      </c>
      <c r="X4834" s="100" t="s">
        <v>169</v>
      </c>
      <c r="Y4834" s="101" t="s">
        <v>170</v>
      </c>
      <c r="Z4834" s="101" t="s">
        <v>171</v>
      </c>
      <c r="AA4834" s="101" t="s">
        <v>50</v>
      </c>
      <c r="AB4834" s="101" t="s">
        <v>172</v>
      </c>
      <c r="AC4834" s="102" t="s">
        <v>173</v>
      </c>
    </row>
    <row r="4835" spans="1:29" ht="25.5" customHeight="1" x14ac:dyDescent="0.35">
      <c r="A4835" s="392"/>
      <c r="B4835" s="393"/>
      <c r="C4835" s="99" t="str">
        <f>IF(B4835="","",IF(NOT(ISNUMBER(B4835)),"DATA_PC invalida",IF(NOT(ISNUMBER(parametros!$C$2)),"Fora dos ciclos",IF(OR(B4835&lt;parametros!$C$2,(YEAR(B4835)-YEAR(parametros!$C$2))*12+MONTH(B4835)-MONTH(parametros!$C$2)&gt;59),"Fora dos ciclos","C"&amp;INT(((YEAR(B4835)-YEAR(parametros!$C$2))*12+MONTH(B4835)-MONTH(parametros!$C$2))/12)))))</f>
        <v/>
      </c>
      <c r="D4835" s="394"/>
      <c r="E4835" s="78" t="str">
        <f>IF(C4835="","",IFERROR(VLOOKUP(C4835,parametros!$A$11:$E$15,5,0),""))</f>
        <v/>
      </c>
      <c r="F4835" s="79" t="str">
        <f t="shared" si="377"/>
        <v/>
      </c>
      <c r="G4835" s="395"/>
      <c r="H4835" s="91">
        <f t="shared" si="378"/>
        <v>0</v>
      </c>
      <c r="I4835" s="91" t="str">
        <f t="shared" si="379"/>
        <v/>
      </c>
      <c r="J4835" s="91" t="str">
        <f t="shared" si="380"/>
        <v/>
      </c>
      <c r="K4835" s="92" t="str">
        <f>IF(AND(A4835="",B4835="",D4835="",G4835=""),"",IF(AND(A4835&lt;&gt;"",COUNTIF($A$2:$A$5001,A4835)&gt;1),"NUMERO_PC duplicado",IF(B4835="","DATA_PC vazia",IF(NOT(ISNUMBER(B4835)),"DATA_PC invalida",IF(OR(C4835="",C4835="Fora dos ciclos"),"CICLO_PC nao identificado",IF(OR(D4835="",D4835=0),"VALOR_PC vazio ou zero",IF(AND(G4835&lt;&gt;"Sim",G4835&lt;&gt;"Nao",G4835&lt;&gt;""),"PC_PAGO_A_CONTRATADA invalido",IF(AND(C4835&lt;&gt;"C0",IFERROR(INDEX(parametros!$A$2:$A$6,MATCH(C4835,parametros!$B$2:$B$6,0)),"")="Sim",IFERROR(INDEX(parametros!$H$2:$H$6,MATCH(C4835,parametros!$B$2:$B$6,0)),"")=""),"INICIO_EFEITO ausente: PC "&amp;A4835&amp;" - "&amp;C4835,IF(L4835="","EFEITO_PC nao calculado: PC "&amp;A4835&amp;" - "&amp;C4835,"OK")))))))))</f>
        <v/>
      </c>
      <c r="L4835" s="92" t="str">
        <f>IF(AND(A4835="",B4835="",D4835="",G4835=""),"",IF(OR(B4835="",NOT(ISNUMBER(B4835)),C4835="",C4835="Fora dos ciclos"),"",IF(C4835="C0","Nao",IF(IFERROR(INDEX(parametros!$A$2:$A$6,MATCH(C4835,parametros!$B$2:$B$6,0)),"")&lt;&gt;"Sim","Nao",IF(IFERROR(INDEX(parametros!$H$2:$H$6,MATCH(C4835,parametros!$B$2:$B$6,0)),"")="","",IF(B4835&gt;=IFERROR(INDEX(parametros!$H$2:$H$6,MATCH(C4835,parametros!$B$2:$B$6,0)),""),"Sim","Nao"))))))</f>
        <v/>
      </c>
      <c r="T4835" s="156"/>
      <c r="U4835" s="214" t="str">
        <f t="shared" si="381"/>
        <v/>
      </c>
      <c r="V4835" s="212" t="s">
        <v>50</v>
      </c>
      <c r="W4835" s="100" t="s">
        <v>168</v>
      </c>
      <c r="X4835" s="100" t="s">
        <v>169</v>
      </c>
      <c r="Y4835" s="101" t="s">
        <v>170</v>
      </c>
      <c r="Z4835" s="101" t="s">
        <v>171</v>
      </c>
      <c r="AA4835" s="101" t="s">
        <v>50</v>
      </c>
      <c r="AB4835" s="101" t="s">
        <v>172</v>
      </c>
      <c r="AC4835" s="102" t="s">
        <v>173</v>
      </c>
    </row>
    <row r="4836" spans="1:29" ht="25.5" customHeight="1" x14ac:dyDescent="0.35">
      <c r="A4836" s="392"/>
      <c r="B4836" s="393"/>
      <c r="C4836" s="99" t="str">
        <f>IF(B4836="","",IF(NOT(ISNUMBER(B4836)),"DATA_PC invalida",IF(NOT(ISNUMBER(parametros!$C$2)),"Fora dos ciclos",IF(OR(B4836&lt;parametros!$C$2,(YEAR(B4836)-YEAR(parametros!$C$2))*12+MONTH(B4836)-MONTH(parametros!$C$2)&gt;59),"Fora dos ciclos","C"&amp;INT(((YEAR(B4836)-YEAR(parametros!$C$2))*12+MONTH(B4836)-MONTH(parametros!$C$2))/12)))))</f>
        <v/>
      </c>
      <c r="D4836" s="394"/>
      <c r="E4836" s="78" t="str">
        <f>IF(C4836="","",IFERROR(VLOOKUP(C4836,parametros!$A$11:$E$15,5,0),""))</f>
        <v/>
      </c>
      <c r="F4836" s="79" t="str">
        <f t="shared" si="377"/>
        <v/>
      </c>
      <c r="G4836" s="395"/>
      <c r="H4836" s="91">
        <f t="shared" si="378"/>
        <v>0</v>
      </c>
      <c r="I4836" s="91" t="str">
        <f t="shared" si="379"/>
        <v/>
      </c>
      <c r="J4836" s="91" t="str">
        <f t="shared" si="380"/>
        <v/>
      </c>
      <c r="K4836" s="92" t="str">
        <f>IF(AND(A4836="",B4836="",D4836="",G4836=""),"",IF(AND(A4836&lt;&gt;"",COUNTIF($A$2:$A$5001,A4836)&gt;1),"NUMERO_PC duplicado",IF(B4836="","DATA_PC vazia",IF(NOT(ISNUMBER(B4836)),"DATA_PC invalida",IF(OR(C4836="",C4836="Fora dos ciclos"),"CICLO_PC nao identificado",IF(OR(D4836="",D4836=0),"VALOR_PC vazio ou zero",IF(AND(G4836&lt;&gt;"Sim",G4836&lt;&gt;"Nao",G4836&lt;&gt;""),"PC_PAGO_A_CONTRATADA invalido",IF(AND(C4836&lt;&gt;"C0",IFERROR(INDEX(parametros!$A$2:$A$6,MATCH(C4836,parametros!$B$2:$B$6,0)),"")="Sim",IFERROR(INDEX(parametros!$H$2:$H$6,MATCH(C4836,parametros!$B$2:$B$6,0)),"")=""),"INICIO_EFEITO ausente: PC "&amp;A4836&amp;" - "&amp;C4836,IF(L4836="","EFEITO_PC nao calculado: PC "&amp;A4836&amp;" - "&amp;C4836,"OK")))))))))</f>
        <v/>
      </c>
      <c r="L4836" s="92" t="str">
        <f>IF(AND(A4836="",B4836="",D4836="",G4836=""),"",IF(OR(B4836="",NOT(ISNUMBER(B4836)),C4836="",C4836="Fora dos ciclos"),"",IF(C4836="C0","Nao",IF(IFERROR(INDEX(parametros!$A$2:$A$6,MATCH(C4836,parametros!$B$2:$B$6,0)),"")&lt;&gt;"Sim","Nao",IF(IFERROR(INDEX(parametros!$H$2:$H$6,MATCH(C4836,parametros!$B$2:$B$6,0)),"")="","",IF(B4836&gt;=IFERROR(INDEX(parametros!$H$2:$H$6,MATCH(C4836,parametros!$B$2:$B$6,0)),""),"Sim","Nao"))))))</f>
        <v/>
      </c>
      <c r="T4836" s="156"/>
      <c r="U4836" s="214" t="str">
        <f t="shared" si="381"/>
        <v/>
      </c>
      <c r="V4836" s="212" t="s">
        <v>50</v>
      </c>
      <c r="W4836" s="100" t="s">
        <v>168</v>
      </c>
      <c r="X4836" s="100" t="s">
        <v>169</v>
      </c>
      <c r="Y4836" s="101" t="s">
        <v>170</v>
      </c>
      <c r="Z4836" s="101" t="s">
        <v>171</v>
      </c>
      <c r="AA4836" s="101" t="s">
        <v>50</v>
      </c>
      <c r="AB4836" s="101" t="s">
        <v>172</v>
      </c>
      <c r="AC4836" s="102" t="s">
        <v>173</v>
      </c>
    </row>
    <row r="4837" spans="1:29" ht="25.5" customHeight="1" x14ac:dyDescent="0.35">
      <c r="A4837" s="392"/>
      <c r="B4837" s="393"/>
      <c r="C4837" s="99" t="str">
        <f>IF(B4837="","",IF(NOT(ISNUMBER(B4837)),"DATA_PC invalida",IF(NOT(ISNUMBER(parametros!$C$2)),"Fora dos ciclos",IF(OR(B4837&lt;parametros!$C$2,(YEAR(B4837)-YEAR(parametros!$C$2))*12+MONTH(B4837)-MONTH(parametros!$C$2)&gt;59),"Fora dos ciclos","C"&amp;INT(((YEAR(B4837)-YEAR(parametros!$C$2))*12+MONTH(B4837)-MONTH(parametros!$C$2))/12)))))</f>
        <v/>
      </c>
      <c r="D4837" s="394"/>
      <c r="E4837" s="78" t="str">
        <f>IF(C4837="","",IFERROR(VLOOKUP(C4837,parametros!$A$11:$E$15,5,0),""))</f>
        <v/>
      </c>
      <c r="F4837" s="79" t="str">
        <f t="shared" si="377"/>
        <v/>
      </c>
      <c r="G4837" s="395"/>
      <c r="H4837" s="91">
        <f t="shared" si="378"/>
        <v>0</v>
      </c>
      <c r="I4837" s="91" t="str">
        <f t="shared" si="379"/>
        <v/>
      </c>
      <c r="J4837" s="91" t="str">
        <f t="shared" si="380"/>
        <v/>
      </c>
      <c r="K4837" s="92" t="str">
        <f>IF(AND(A4837="",B4837="",D4837="",G4837=""),"",IF(AND(A4837&lt;&gt;"",COUNTIF($A$2:$A$5001,A4837)&gt;1),"NUMERO_PC duplicado",IF(B4837="","DATA_PC vazia",IF(NOT(ISNUMBER(B4837)),"DATA_PC invalida",IF(OR(C4837="",C4837="Fora dos ciclos"),"CICLO_PC nao identificado",IF(OR(D4837="",D4837=0),"VALOR_PC vazio ou zero",IF(AND(G4837&lt;&gt;"Sim",G4837&lt;&gt;"Nao",G4837&lt;&gt;""),"PC_PAGO_A_CONTRATADA invalido",IF(AND(C4837&lt;&gt;"C0",IFERROR(INDEX(parametros!$A$2:$A$6,MATCH(C4837,parametros!$B$2:$B$6,0)),"")="Sim",IFERROR(INDEX(parametros!$H$2:$H$6,MATCH(C4837,parametros!$B$2:$B$6,0)),"")=""),"INICIO_EFEITO ausente: PC "&amp;A4837&amp;" - "&amp;C4837,IF(L4837="","EFEITO_PC nao calculado: PC "&amp;A4837&amp;" - "&amp;C4837,"OK")))))))))</f>
        <v/>
      </c>
      <c r="L4837" s="92" t="str">
        <f>IF(AND(A4837="",B4837="",D4837="",G4837=""),"",IF(OR(B4837="",NOT(ISNUMBER(B4837)),C4837="",C4837="Fora dos ciclos"),"",IF(C4837="C0","Nao",IF(IFERROR(INDEX(parametros!$A$2:$A$6,MATCH(C4837,parametros!$B$2:$B$6,0)),"")&lt;&gt;"Sim","Nao",IF(IFERROR(INDEX(parametros!$H$2:$H$6,MATCH(C4837,parametros!$B$2:$B$6,0)),"")="","",IF(B4837&gt;=IFERROR(INDEX(parametros!$H$2:$H$6,MATCH(C4837,parametros!$B$2:$B$6,0)),""),"Sim","Nao"))))))</f>
        <v/>
      </c>
      <c r="T4837" s="156"/>
      <c r="U4837" s="214" t="str">
        <f t="shared" si="381"/>
        <v/>
      </c>
      <c r="V4837" s="212" t="s">
        <v>50</v>
      </c>
      <c r="W4837" s="100" t="s">
        <v>168</v>
      </c>
      <c r="X4837" s="100" t="s">
        <v>169</v>
      </c>
      <c r="Y4837" s="101" t="s">
        <v>170</v>
      </c>
      <c r="Z4837" s="101" t="s">
        <v>171</v>
      </c>
      <c r="AA4837" s="101" t="s">
        <v>50</v>
      </c>
      <c r="AB4837" s="101" t="s">
        <v>172</v>
      </c>
      <c r="AC4837" s="102" t="s">
        <v>173</v>
      </c>
    </row>
    <row r="4838" spans="1:29" ht="25.5" customHeight="1" x14ac:dyDescent="0.35">
      <c r="A4838" s="392"/>
      <c r="B4838" s="393"/>
      <c r="C4838" s="99" t="str">
        <f>IF(B4838="","",IF(NOT(ISNUMBER(B4838)),"DATA_PC invalida",IF(NOT(ISNUMBER(parametros!$C$2)),"Fora dos ciclos",IF(OR(B4838&lt;parametros!$C$2,(YEAR(B4838)-YEAR(parametros!$C$2))*12+MONTH(B4838)-MONTH(parametros!$C$2)&gt;59),"Fora dos ciclos","C"&amp;INT(((YEAR(B4838)-YEAR(parametros!$C$2))*12+MONTH(B4838)-MONTH(parametros!$C$2))/12)))))</f>
        <v/>
      </c>
      <c r="D4838" s="394"/>
      <c r="E4838" s="78" t="str">
        <f>IF(C4838="","",IFERROR(VLOOKUP(C4838,parametros!$A$11:$E$15,5,0),""))</f>
        <v/>
      </c>
      <c r="F4838" s="79" t="str">
        <f t="shared" si="377"/>
        <v/>
      </c>
      <c r="G4838" s="395"/>
      <c r="H4838" s="91">
        <f t="shared" si="378"/>
        <v>0</v>
      </c>
      <c r="I4838" s="91" t="str">
        <f t="shared" si="379"/>
        <v/>
      </c>
      <c r="J4838" s="91" t="str">
        <f t="shared" si="380"/>
        <v/>
      </c>
      <c r="K4838" s="92" t="str">
        <f>IF(AND(A4838="",B4838="",D4838="",G4838=""),"",IF(AND(A4838&lt;&gt;"",COUNTIF($A$2:$A$5001,A4838)&gt;1),"NUMERO_PC duplicado",IF(B4838="","DATA_PC vazia",IF(NOT(ISNUMBER(B4838)),"DATA_PC invalida",IF(OR(C4838="",C4838="Fora dos ciclos"),"CICLO_PC nao identificado",IF(OR(D4838="",D4838=0),"VALOR_PC vazio ou zero",IF(AND(G4838&lt;&gt;"Sim",G4838&lt;&gt;"Nao",G4838&lt;&gt;""),"PC_PAGO_A_CONTRATADA invalido",IF(AND(C4838&lt;&gt;"C0",IFERROR(INDEX(parametros!$A$2:$A$6,MATCH(C4838,parametros!$B$2:$B$6,0)),"")="Sim",IFERROR(INDEX(parametros!$H$2:$H$6,MATCH(C4838,parametros!$B$2:$B$6,0)),"")=""),"INICIO_EFEITO ausente: PC "&amp;A4838&amp;" - "&amp;C4838,IF(L4838="","EFEITO_PC nao calculado: PC "&amp;A4838&amp;" - "&amp;C4838,"OK")))))))))</f>
        <v/>
      </c>
      <c r="L4838" s="92" t="str">
        <f>IF(AND(A4838="",B4838="",D4838="",G4838=""),"",IF(OR(B4838="",NOT(ISNUMBER(B4838)),C4838="",C4838="Fora dos ciclos"),"",IF(C4838="C0","Nao",IF(IFERROR(INDEX(parametros!$A$2:$A$6,MATCH(C4838,parametros!$B$2:$B$6,0)),"")&lt;&gt;"Sim","Nao",IF(IFERROR(INDEX(parametros!$H$2:$H$6,MATCH(C4838,parametros!$B$2:$B$6,0)),"")="","",IF(B4838&gt;=IFERROR(INDEX(parametros!$H$2:$H$6,MATCH(C4838,parametros!$B$2:$B$6,0)),""),"Sim","Nao"))))))</f>
        <v/>
      </c>
      <c r="T4838" s="156"/>
      <c r="U4838" s="214" t="str">
        <f t="shared" si="381"/>
        <v/>
      </c>
      <c r="V4838" s="212" t="s">
        <v>50</v>
      </c>
      <c r="W4838" s="100" t="s">
        <v>168</v>
      </c>
      <c r="X4838" s="100" t="s">
        <v>169</v>
      </c>
      <c r="Y4838" s="101" t="s">
        <v>170</v>
      </c>
      <c r="Z4838" s="101" t="s">
        <v>171</v>
      </c>
      <c r="AA4838" s="101" t="s">
        <v>50</v>
      </c>
      <c r="AB4838" s="101" t="s">
        <v>172</v>
      </c>
      <c r="AC4838" s="102" t="s">
        <v>173</v>
      </c>
    </row>
    <row r="4839" spans="1:29" ht="25.5" customHeight="1" x14ac:dyDescent="0.35">
      <c r="A4839" s="392"/>
      <c r="B4839" s="393"/>
      <c r="C4839" s="99" t="str">
        <f>IF(B4839="","",IF(NOT(ISNUMBER(B4839)),"DATA_PC invalida",IF(NOT(ISNUMBER(parametros!$C$2)),"Fora dos ciclos",IF(OR(B4839&lt;parametros!$C$2,(YEAR(B4839)-YEAR(parametros!$C$2))*12+MONTH(B4839)-MONTH(parametros!$C$2)&gt;59),"Fora dos ciclos","C"&amp;INT(((YEAR(B4839)-YEAR(parametros!$C$2))*12+MONTH(B4839)-MONTH(parametros!$C$2))/12)))))</f>
        <v/>
      </c>
      <c r="D4839" s="394"/>
      <c r="E4839" s="78" t="str">
        <f>IF(C4839="","",IFERROR(VLOOKUP(C4839,parametros!$A$11:$E$15,5,0),""))</f>
        <v/>
      </c>
      <c r="F4839" s="79" t="str">
        <f t="shared" si="377"/>
        <v/>
      </c>
      <c r="G4839" s="395"/>
      <c r="H4839" s="91">
        <f t="shared" si="378"/>
        <v>0</v>
      </c>
      <c r="I4839" s="91" t="str">
        <f t="shared" si="379"/>
        <v/>
      </c>
      <c r="J4839" s="91" t="str">
        <f t="shared" si="380"/>
        <v/>
      </c>
      <c r="K4839" s="92" t="str">
        <f>IF(AND(A4839="",B4839="",D4839="",G4839=""),"",IF(AND(A4839&lt;&gt;"",COUNTIF($A$2:$A$5001,A4839)&gt;1),"NUMERO_PC duplicado",IF(B4839="","DATA_PC vazia",IF(NOT(ISNUMBER(B4839)),"DATA_PC invalida",IF(OR(C4839="",C4839="Fora dos ciclos"),"CICLO_PC nao identificado",IF(OR(D4839="",D4839=0),"VALOR_PC vazio ou zero",IF(AND(G4839&lt;&gt;"Sim",G4839&lt;&gt;"Nao",G4839&lt;&gt;""),"PC_PAGO_A_CONTRATADA invalido",IF(AND(C4839&lt;&gt;"C0",IFERROR(INDEX(parametros!$A$2:$A$6,MATCH(C4839,parametros!$B$2:$B$6,0)),"")="Sim",IFERROR(INDEX(parametros!$H$2:$H$6,MATCH(C4839,parametros!$B$2:$B$6,0)),"")=""),"INICIO_EFEITO ausente: PC "&amp;A4839&amp;" - "&amp;C4839,IF(L4839="","EFEITO_PC nao calculado: PC "&amp;A4839&amp;" - "&amp;C4839,"OK")))))))))</f>
        <v/>
      </c>
      <c r="L4839" s="92" t="str">
        <f>IF(AND(A4839="",B4839="",D4839="",G4839=""),"",IF(OR(B4839="",NOT(ISNUMBER(B4839)),C4839="",C4839="Fora dos ciclos"),"",IF(C4839="C0","Nao",IF(IFERROR(INDEX(parametros!$A$2:$A$6,MATCH(C4839,parametros!$B$2:$B$6,0)),"")&lt;&gt;"Sim","Nao",IF(IFERROR(INDEX(parametros!$H$2:$H$6,MATCH(C4839,parametros!$B$2:$B$6,0)),"")="","",IF(B4839&gt;=IFERROR(INDEX(parametros!$H$2:$H$6,MATCH(C4839,parametros!$B$2:$B$6,0)),""),"Sim","Nao"))))))</f>
        <v/>
      </c>
      <c r="T4839" s="156"/>
      <c r="U4839" s="214" t="str">
        <f t="shared" si="381"/>
        <v/>
      </c>
      <c r="V4839" s="212" t="s">
        <v>50</v>
      </c>
      <c r="W4839" s="100" t="s">
        <v>168</v>
      </c>
      <c r="X4839" s="100" t="s">
        <v>169</v>
      </c>
      <c r="Y4839" s="101" t="s">
        <v>170</v>
      </c>
      <c r="Z4839" s="101" t="s">
        <v>171</v>
      </c>
      <c r="AA4839" s="101" t="s">
        <v>50</v>
      </c>
      <c r="AB4839" s="101" t="s">
        <v>172</v>
      </c>
      <c r="AC4839" s="102" t="s">
        <v>173</v>
      </c>
    </row>
    <row r="4840" spans="1:29" ht="25.5" customHeight="1" x14ac:dyDescent="0.35">
      <c r="A4840" s="392"/>
      <c r="B4840" s="393"/>
      <c r="C4840" s="99" t="str">
        <f>IF(B4840="","",IF(NOT(ISNUMBER(B4840)),"DATA_PC invalida",IF(NOT(ISNUMBER(parametros!$C$2)),"Fora dos ciclos",IF(OR(B4840&lt;parametros!$C$2,(YEAR(B4840)-YEAR(parametros!$C$2))*12+MONTH(B4840)-MONTH(parametros!$C$2)&gt;59),"Fora dos ciclos","C"&amp;INT(((YEAR(B4840)-YEAR(parametros!$C$2))*12+MONTH(B4840)-MONTH(parametros!$C$2))/12)))))</f>
        <v/>
      </c>
      <c r="D4840" s="394"/>
      <c r="E4840" s="78" t="str">
        <f>IF(C4840="","",IFERROR(VLOOKUP(C4840,parametros!$A$11:$E$15,5,0),""))</f>
        <v/>
      </c>
      <c r="F4840" s="79" t="str">
        <f t="shared" si="377"/>
        <v/>
      </c>
      <c r="G4840" s="395"/>
      <c r="H4840" s="91">
        <f t="shared" si="378"/>
        <v>0</v>
      </c>
      <c r="I4840" s="91" t="str">
        <f t="shared" si="379"/>
        <v/>
      </c>
      <c r="J4840" s="91" t="str">
        <f t="shared" si="380"/>
        <v/>
      </c>
      <c r="K4840" s="92" t="str">
        <f>IF(AND(A4840="",B4840="",D4840="",G4840=""),"",IF(AND(A4840&lt;&gt;"",COUNTIF($A$2:$A$5001,A4840)&gt;1),"NUMERO_PC duplicado",IF(B4840="","DATA_PC vazia",IF(NOT(ISNUMBER(B4840)),"DATA_PC invalida",IF(OR(C4840="",C4840="Fora dos ciclos"),"CICLO_PC nao identificado",IF(OR(D4840="",D4840=0),"VALOR_PC vazio ou zero",IF(AND(G4840&lt;&gt;"Sim",G4840&lt;&gt;"Nao",G4840&lt;&gt;""),"PC_PAGO_A_CONTRATADA invalido",IF(AND(C4840&lt;&gt;"C0",IFERROR(INDEX(parametros!$A$2:$A$6,MATCH(C4840,parametros!$B$2:$B$6,0)),"")="Sim",IFERROR(INDEX(parametros!$H$2:$H$6,MATCH(C4840,parametros!$B$2:$B$6,0)),"")=""),"INICIO_EFEITO ausente: PC "&amp;A4840&amp;" - "&amp;C4840,IF(L4840="","EFEITO_PC nao calculado: PC "&amp;A4840&amp;" - "&amp;C4840,"OK")))))))))</f>
        <v/>
      </c>
      <c r="L4840" s="92" t="str">
        <f>IF(AND(A4840="",B4840="",D4840="",G4840=""),"",IF(OR(B4840="",NOT(ISNUMBER(B4840)),C4840="",C4840="Fora dos ciclos"),"",IF(C4840="C0","Nao",IF(IFERROR(INDEX(parametros!$A$2:$A$6,MATCH(C4840,parametros!$B$2:$B$6,0)),"")&lt;&gt;"Sim","Nao",IF(IFERROR(INDEX(parametros!$H$2:$H$6,MATCH(C4840,parametros!$B$2:$B$6,0)),"")="","",IF(B4840&gt;=IFERROR(INDEX(parametros!$H$2:$H$6,MATCH(C4840,parametros!$B$2:$B$6,0)),""),"Sim","Nao"))))))</f>
        <v/>
      </c>
      <c r="T4840" s="156"/>
      <c r="U4840" s="214" t="str">
        <f t="shared" si="381"/>
        <v/>
      </c>
      <c r="V4840" s="212" t="s">
        <v>50</v>
      </c>
      <c r="W4840" s="100" t="s">
        <v>168</v>
      </c>
      <c r="X4840" s="100" t="s">
        <v>169</v>
      </c>
      <c r="Y4840" s="101" t="s">
        <v>170</v>
      </c>
      <c r="Z4840" s="101" t="s">
        <v>171</v>
      </c>
      <c r="AA4840" s="101" t="s">
        <v>50</v>
      </c>
      <c r="AB4840" s="101" t="s">
        <v>172</v>
      </c>
      <c r="AC4840" s="102" t="s">
        <v>173</v>
      </c>
    </row>
    <row r="4841" spans="1:29" ht="25.5" customHeight="1" x14ac:dyDescent="0.35">
      <c r="A4841" s="392"/>
      <c r="B4841" s="393"/>
      <c r="C4841" s="99" t="str">
        <f>IF(B4841="","",IF(NOT(ISNUMBER(B4841)),"DATA_PC invalida",IF(NOT(ISNUMBER(parametros!$C$2)),"Fora dos ciclos",IF(OR(B4841&lt;parametros!$C$2,(YEAR(B4841)-YEAR(parametros!$C$2))*12+MONTH(B4841)-MONTH(parametros!$C$2)&gt;59),"Fora dos ciclos","C"&amp;INT(((YEAR(B4841)-YEAR(parametros!$C$2))*12+MONTH(B4841)-MONTH(parametros!$C$2))/12)))))</f>
        <v/>
      </c>
      <c r="D4841" s="394"/>
      <c r="E4841" s="78" t="str">
        <f>IF(C4841="","",IFERROR(VLOOKUP(C4841,parametros!$A$11:$E$15,5,0),""))</f>
        <v/>
      </c>
      <c r="F4841" s="79" t="str">
        <f t="shared" si="377"/>
        <v/>
      </c>
      <c r="G4841" s="395"/>
      <c r="H4841" s="91">
        <f t="shared" si="378"/>
        <v>0</v>
      </c>
      <c r="I4841" s="91" t="str">
        <f t="shared" si="379"/>
        <v/>
      </c>
      <c r="J4841" s="91" t="str">
        <f t="shared" si="380"/>
        <v/>
      </c>
      <c r="K4841" s="92" t="str">
        <f>IF(AND(A4841="",B4841="",D4841="",G4841=""),"",IF(AND(A4841&lt;&gt;"",COUNTIF($A$2:$A$5001,A4841)&gt;1),"NUMERO_PC duplicado",IF(B4841="","DATA_PC vazia",IF(NOT(ISNUMBER(B4841)),"DATA_PC invalida",IF(OR(C4841="",C4841="Fora dos ciclos"),"CICLO_PC nao identificado",IF(OR(D4841="",D4841=0),"VALOR_PC vazio ou zero",IF(AND(G4841&lt;&gt;"Sim",G4841&lt;&gt;"Nao",G4841&lt;&gt;""),"PC_PAGO_A_CONTRATADA invalido",IF(AND(C4841&lt;&gt;"C0",IFERROR(INDEX(parametros!$A$2:$A$6,MATCH(C4841,parametros!$B$2:$B$6,0)),"")="Sim",IFERROR(INDEX(parametros!$H$2:$H$6,MATCH(C4841,parametros!$B$2:$B$6,0)),"")=""),"INICIO_EFEITO ausente: PC "&amp;A4841&amp;" - "&amp;C4841,IF(L4841="","EFEITO_PC nao calculado: PC "&amp;A4841&amp;" - "&amp;C4841,"OK")))))))))</f>
        <v/>
      </c>
      <c r="L4841" s="92" t="str">
        <f>IF(AND(A4841="",B4841="",D4841="",G4841=""),"",IF(OR(B4841="",NOT(ISNUMBER(B4841)),C4841="",C4841="Fora dos ciclos"),"",IF(C4841="C0","Nao",IF(IFERROR(INDEX(parametros!$A$2:$A$6,MATCH(C4841,parametros!$B$2:$B$6,0)),"")&lt;&gt;"Sim","Nao",IF(IFERROR(INDEX(parametros!$H$2:$H$6,MATCH(C4841,parametros!$B$2:$B$6,0)),"")="","",IF(B4841&gt;=IFERROR(INDEX(parametros!$H$2:$H$6,MATCH(C4841,parametros!$B$2:$B$6,0)),""),"Sim","Nao"))))))</f>
        <v/>
      </c>
      <c r="T4841" s="156"/>
      <c r="U4841" s="214" t="str">
        <f t="shared" si="381"/>
        <v/>
      </c>
      <c r="V4841" s="212" t="s">
        <v>50</v>
      </c>
      <c r="W4841" s="100" t="s">
        <v>168</v>
      </c>
      <c r="X4841" s="100" t="s">
        <v>169</v>
      </c>
      <c r="Y4841" s="101" t="s">
        <v>170</v>
      </c>
      <c r="Z4841" s="101" t="s">
        <v>171</v>
      </c>
      <c r="AA4841" s="101" t="s">
        <v>50</v>
      </c>
      <c r="AB4841" s="101" t="s">
        <v>172</v>
      </c>
      <c r="AC4841" s="102" t="s">
        <v>173</v>
      </c>
    </row>
    <row r="4842" spans="1:29" ht="25.5" customHeight="1" x14ac:dyDescent="0.35">
      <c r="A4842" s="392"/>
      <c r="B4842" s="393"/>
      <c r="C4842" s="99" t="str">
        <f>IF(B4842="","",IF(NOT(ISNUMBER(B4842)),"DATA_PC invalida",IF(NOT(ISNUMBER(parametros!$C$2)),"Fora dos ciclos",IF(OR(B4842&lt;parametros!$C$2,(YEAR(B4842)-YEAR(parametros!$C$2))*12+MONTH(B4842)-MONTH(parametros!$C$2)&gt;59),"Fora dos ciclos","C"&amp;INT(((YEAR(B4842)-YEAR(parametros!$C$2))*12+MONTH(B4842)-MONTH(parametros!$C$2))/12)))))</f>
        <v/>
      </c>
      <c r="D4842" s="394"/>
      <c r="E4842" s="78" t="str">
        <f>IF(C4842="","",IFERROR(VLOOKUP(C4842,parametros!$A$11:$E$15,5,0),""))</f>
        <v/>
      </c>
      <c r="F4842" s="79" t="str">
        <f t="shared" si="377"/>
        <v/>
      </c>
      <c r="G4842" s="395"/>
      <c r="H4842" s="91">
        <f t="shared" si="378"/>
        <v>0</v>
      </c>
      <c r="I4842" s="91" t="str">
        <f t="shared" si="379"/>
        <v/>
      </c>
      <c r="J4842" s="91" t="str">
        <f t="shared" si="380"/>
        <v/>
      </c>
      <c r="K4842" s="92" t="str">
        <f>IF(AND(A4842="",B4842="",D4842="",G4842=""),"",IF(AND(A4842&lt;&gt;"",COUNTIF($A$2:$A$5001,A4842)&gt;1),"NUMERO_PC duplicado",IF(B4842="","DATA_PC vazia",IF(NOT(ISNUMBER(B4842)),"DATA_PC invalida",IF(OR(C4842="",C4842="Fora dos ciclos"),"CICLO_PC nao identificado",IF(OR(D4842="",D4842=0),"VALOR_PC vazio ou zero",IF(AND(G4842&lt;&gt;"Sim",G4842&lt;&gt;"Nao",G4842&lt;&gt;""),"PC_PAGO_A_CONTRATADA invalido",IF(AND(C4842&lt;&gt;"C0",IFERROR(INDEX(parametros!$A$2:$A$6,MATCH(C4842,parametros!$B$2:$B$6,0)),"")="Sim",IFERROR(INDEX(parametros!$H$2:$H$6,MATCH(C4842,parametros!$B$2:$B$6,0)),"")=""),"INICIO_EFEITO ausente: PC "&amp;A4842&amp;" - "&amp;C4842,IF(L4842="","EFEITO_PC nao calculado: PC "&amp;A4842&amp;" - "&amp;C4842,"OK")))))))))</f>
        <v/>
      </c>
      <c r="L4842" s="92" t="str">
        <f>IF(AND(A4842="",B4842="",D4842="",G4842=""),"",IF(OR(B4842="",NOT(ISNUMBER(B4842)),C4842="",C4842="Fora dos ciclos"),"",IF(C4842="C0","Nao",IF(IFERROR(INDEX(parametros!$A$2:$A$6,MATCH(C4842,parametros!$B$2:$B$6,0)),"")&lt;&gt;"Sim","Nao",IF(IFERROR(INDEX(parametros!$H$2:$H$6,MATCH(C4842,parametros!$B$2:$B$6,0)),"")="","",IF(B4842&gt;=IFERROR(INDEX(parametros!$H$2:$H$6,MATCH(C4842,parametros!$B$2:$B$6,0)),""),"Sim","Nao"))))))</f>
        <v/>
      </c>
      <c r="T4842" s="156"/>
      <c r="U4842" s="214" t="str">
        <f t="shared" si="381"/>
        <v/>
      </c>
      <c r="V4842" s="212" t="s">
        <v>50</v>
      </c>
      <c r="W4842" s="100" t="s">
        <v>168</v>
      </c>
      <c r="X4842" s="100" t="s">
        <v>169</v>
      </c>
      <c r="Y4842" s="101" t="s">
        <v>170</v>
      </c>
      <c r="Z4842" s="101" t="s">
        <v>171</v>
      </c>
      <c r="AA4842" s="101" t="s">
        <v>50</v>
      </c>
      <c r="AB4842" s="101" t="s">
        <v>172</v>
      </c>
      <c r="AC4842" s="102" t="s">
        <v>173</v>
      </c>
    </row>
    <row r="4843" spans="1:29" ht="25.5" customHeight="1" x14ac:dyDescent="0.35">
      <c r="A4843" s="392"/>
      <c r="B4843" s="393"/>
      <c r="C4843" s="99" t="str">
        <f>IF(B4843="","",IF(NOT(ISNUMBER(B4843)),"DATA_PC invalida",IF(NOT(ISNUMBER(parametros!$C$2)),"Fora dos ciclos",IF(OR(B4843&lt;parametros!$C$2,(YEAR(B4843)-YEAR(parametros!$C$2))*12+MONTH(B4843)-MONTH(parametros!$C$2)&gt;59),"Fora dos ciclos","C"&amp;INT(((YEAR(B4843)-YEAR(parametros!$C$2))*12+MONTH(B4843)-MONTH(parametros!$C$2))/12)))))</f>
        <v/>
      </c>
      <c r="D4843" s="394"/>
      <c r="E4843" s="78" t="str">
        <f>IF(C4843="","",IFERROR(VLOOKUP(C4843,parametros!$A$11:$E$15,5,0),""))</f>
        <v/>
      </c>
      <c r="F4843" s="79" t="str">
        <f t="shared" si="377"/>
        <v/>
      </c>
      <c r="G4843" s="395"/>
      <c r="H4843" s="91">
        <f t="shared" si="378"/>
        <v>0</v>
      </c>
      <c r="I4843" s="91" t="str">
        <f t="shared" si="379"/>
        <v/>
      </c>
      <c r="J4843" s="91" t="str">
        <f t="shared" si="380"/>
        <v/>
      </c>
      <c r="K4843" s="92" t="str">
        <f>IF(AND(A4843="",B4843="",D4843="",G4843=""),"",IF(AND(A4843&lt;&gt;"",COUNTIF($A$2:$A$5001,A4843)&gt;1),"NUMERO_PC duplicado",IF(B4843="","DATA_PC vazia",IF(NOT(ISNUMBER(B4843)),"DATA_PC invalida",IF(OR(C4843="",C4843="Fora dos ciclos"),"CICLO_PC nao identificado",IF(OR(D4843="",D4843=0),"VALOR_PC vazio ou zero",IF(AND(G4843&lt;&gt;"Sim",G4843&lt;&gt;"Nao",G4843&lt;&gt;""),"PC_PAGO_A_CONTRATADA invalido",IF(AND(C4843&lt;&gt;"C0",IFERROR(INDEX(parametros!$A$2:$A$6,MATCH(C4843,parametros!$B$2:$B$6,0)),"")="Sim",IFERROR(INDEX(parametros!$H$2:$H$6,MATCH(C4843,parametros!$B$2:$B$6,0)),"")=""),"INICIO_EFEITO ausente: PC "&amp;A4843&amp;" - "&amp;C4843,IF(L4843="","EFEITO_PC nao calculado: PC "&amp;A4843&amp;" - "&amp;C4843,"OK")))))))))</f>
        <v/>
      </c>
      <c r="L4843" s="92" t="str">
        <f>IF(AND(A4843="",B4843="",D4843="",G4843=""),"",IF(OR(B4843="",NOT(ISNUMBER(B4843)),C4843="",C4843="Fora dos ciclos"),"",IF(C4843="C0","Nao",IF(IFERROR(INDEX(parametros!$A$2:$A$6,MATCH(C4843,parametros!$B$2:$B$6,0)),"")&lt;&gt;"Sim","Nao",IF(IFERROR(INDEX(parametros!$H$2:$H$6,MATCH(C4843,parametros!$B$2:$B$6,0)),"")="","",IF(B4843&gt;=IFERROR(INDEX(parametros!$H$2:$H$6,MATCH(C4843,parametros!$B$2:$B$6,0)),""),"Sim","Nao"))))))</f>
        <v/>
      </c>
      <c r="T4843" s="156"/>
      <c r="U4843" s="214" t="str">
        <f t="shared" si="381"/>
        <v/>
      </c>
      <c r="V4843" s="212" t="s">
        <v>50</v>
      </c>
      <c r="W4843" s="100" t="s">
        <v>168</v>
      </c>
      <c r="X4843" s="100" t="s">
        <v>169</v>
      </c>
      <c r="Y4843" s="101" t="s">
        <v>170</v>
      </c>
      <c r="Z4843" s="101" t="s">
        <v>171</v>
      </c>
      <c r="AA4843" s="101" t="s">
        <v>50</v>
      </c>
      <c r="AB4843" s="101" t="s">
        <v>172</v>
      </c>
      <c r="AC4843" s="102" t="s">
        <v>173</v>
      </c>
    </row>
    <row r="4844" spans="1:29" ht="25.5" customHeight="1" x14ac:dyDescent="0.35">
      <c r="A4844" s="392"/>
      <c r="B4844" s="393"/>
      <c r="C4844" s="99" t="str">
        <f>IF(B4844="","",IF(NOT(ISNUMBER(B4844)),"DATA_PC invalida",IF(NOT(ISNUMBER(parametros!$C$2)),"Fora dos ciclos",IF(OR(B4844&lt;parametros!$C$2,(YEAR(B4844)-YEAR(parametros!$C$2))*12+MONTH(B4844)-MONTH(parametros!$C$2)&gt;59),"Fora dos ciclos","C"&amp;INT(((YEAR(B4844)-YEAR(parametros!$C$2))*12+MONTH(B4844)-MONTH(parametros!$C$2))/12)))))</f>
        <v/>
      </c>
      <c r="D4844" s="394"/>
      <c r="E4844" s="78" t="str">
        <f>IF(C4844="","",IFERROR(VLOOKUP(C4844,parametros!$A$11:$E$15,5,0),""))</f>
        <v/>
      </c>
      <c r="F4844" s="79" t="str">
        <f t="shared" si="377"/>
        <v/>
      </c>
      <c r="G4844" s="395"/>
      <c r="H4844" s="91">
        <f t="shared" si="378"/>
        <v>0</v>
      </c>
      <c r="I4844" s="91" t="str">
        <f t="shared" si="379"/>
        <v/>
      </c>
      <c r="J4844" s="91" t="str">
        <f t="shared" si="380"/>
        <v/>
      </c>
      <c r="K4844" s="92" t="str">
        <f>IF(AND(A4844="",B4844="",D4844="",G4844=""),"",IF(AND(A4844&lt;&gt;"",COUNTIF($A$2:$A$5001,A4844)&gt;1),"NUMERO_PC duplicado",IF(B4844="","DATA_PC vazia",IF(NOT(ISNUMBER(B4844)),"DATA_PC invalida",IF(OR(C4844="",C4844="Fora dos ciclos"),"CICLO_PC nao identificado",IF(OR(D4844="",D4844=0),"VALOR_PC vazio ou zero",IF(AND(G4844&lt;&gt;"Sim",G4844&lt;&gt;"Nao",G4844&lt;&gt;""),"PC_PAGO_A_CONTRATADA invalido",IF(AND(C4844&lt;&gt;"C0",IFERROR(INDEX(parametros!$A$2:$A$6,MATCH(C4844,parametros!$B$2:$B$6,0)),"")="Sim",IFERROR(INDEX(parametros!$H$2:$H$6,MATCH(C4844,parametros!$B$2:$B$6,0)),"")=""),"INICIO_EFEITO ausente: PC "&amp;A4844&amp;" - "&amp;C4844,IF(L4844="","EFEITO_PC nao calculado: PC "&amp;A4844&amp;" - "&amp;C4844,"OK")))))))))</f>
        <v/>
      </c>
      <c r="L4844" s="92" t="str">
        <f>IF(AND(A4844="",B4844="",D4844="",G4844=""),"",IF(OR(B4844="",NOT(ISNUMBER(B4844)),C4844="",C4844="Fora dos ciclos"),"",IF(C4844="C0","Nao",IF(IFERROR(INDEX(parametros!$A$2:$A$6,MATCH(C4844,parametros!$B$2:$B$6,0)),"")&lt;&gt;"Sim","Nao",IF(IFERROR(INDEX(parametros!$H$2:$H$6,MATCH(C4844,parametros!$B$2:$B$6,0)),"")="","",IF(B4844&gt;=IFERROR(INDEX(parametros!$H$2:$H$6,MATCH(C4844,parametros!$B$2:$B$6,0)),""),"Sim","Nao"))))))</f>
        <v/>
      </c>
      <c r="T4844" s="156"/>
      <c r="U4844" s="214" t="str">
        <f t="shared" si="381"/>
        <v/>
      </c>
      <c r="V4844" s="212" t="s">
        <v>50</v>
      </c>
      <c r="W4844" s="100" t="s">
        <v>168</v>
      </c>
      <c r="X4844" s="100" t="s">
        <v>169</v>
      </c>
      <c r="Y4844" s="101" t="s">
        <v>170</v>
      </c>
      <c r="Z4844" s="101" t="s">
        <v>171</v>
      </c>
      <c r="AA4844" s="101" t="s">
        <v>50</v>
      </c>
      <c r="AB4844" s="101" t="s">
        <v>172</v>
      </c>
      <c r="AC4844" s="102" t="s">
        <v>173</v>
      </c>
    </row>
    <row r="4845" spans="1:29" ht="25.5" customHeight="1" x14ac:dyDescent="0.35">
      <c r="A4845" s="392"/>
      <c r="B4845" s="393"/>
      <c r="C4845" s="99" t="str">
        <f>IF(B4845="","",IF(NOT(ISNUMBER(B4845)),"DATA_PC invalida",IF(NOT(ISNUMBER(parametros!$C$2)),"Fora dos ciclos",IF(OR(B4845&lt;parametros!$C$2,(YEAR(B4845)-YEAR(parametros!$C$2))*12+MONTH(B4845)-MONTH(parametros!$C$2)&gt;59),"Fora dos ciclos","C"&amp;INT(((YEAR(B4845)-YEAR(parametros!$C$2))*12+MONTH(B4845)-MONTH(parametros!$C$2))/12)))))</f>
        <v/>
      </c>
      <c r="D4845" s="394"/>
      <c r="E4845" s="78" t="str">
        <f>IF(C4845="","",IFERROR(VLOOKUP(C4845,parametros!$A$11:$E$15,5,0),""))</f>
        <v/>
      </c>
      <c r="F4845" s="79" t="str">
        <f t="shared" si="377"/>
        <v/>
      </c>
      <c r="G4845" s="395"/>
      <c r="H4845" s="91">
        <f t="shared" si="378"/>
        <v>0</v>
      </c>
      <c r="I4845" s="91" t="str">
        <f t="shared" si="379"/>
        <v/>
      </c>
      <c r="J4845" s="91" t="str">
        <f t="shared" si="380"/>
        <v/>
      </c>
      <c r="K4845" s="92" t="str">
        <f>IF(AND(A4845="",B4845="",D4845="",G4845=""),"",IF(AND(A4845&lt;&gt;"",COUNTIF($A$2:$A$5001,A4845)&gt;1),"NUMERO_PC duplicado",IF(B4845="","DATA_PC vazia",IF(NOT(ISNUMBER(B4845)),"DATA_PC invalida",IF(OR(C4845="",C4845="Fora dos ciclos"),"CICLO_PC nao identificado",IF(OR(D4845="",D4845=0),"VALOR_PC vazio ou zero",IF(AND(G4845&lt;&gt;"Sim",G4845&lt;&gt;"Nao",G4845&lt;&gt;""),"PC_PAGO_A_CONTRATADA invalido",IF(AND(C4845&lt;&gt;"C0",IFERROR(INDEX(parametros!$A$2:$A$6,MATCH(C4845,parametros!$B$2:$B$6,0)),"")="Sim",IFERROR(INDEX(parametros!$H$2:$H$6,MATCH(C4845,parametros!$B$2:$B$6,0)),"")=""),"INICIO_EFEITO ausente: PC "&amp;A4845&amp;" - "&amp;C4845,IF(L4845="","EFEITO_PC nao calculado: PC "&amp;A4845&amp;" - "&amp;C4845,"OK")))))))))</f>
        <v/>
      </c>
      <c r="L4845" s="92" t="str">
        <f>IF(AND(A4845="",B4845="",D4845="",G4845=""),"",IF(OR(B4845="",NOT(ISNUMBER(B4845)),C4845="",C4845="Fora dos ciclos"),"",IF(C4845="C0","Nao",IF(IFERROR(INDEX(parametros!$A$2:$A$6,MATCH(C4845,parametros!$B$2:$B$6,0)),"")&lt;&gt;"Sim","Nao",IF(IFERROR(INDEX(parametros!$H$2:$H$6,MATCH(C4845,parametros!$B$2:$B$6,0)),"")="","",IF(B4845&gt;=IFERROR(INDEX(parametros!$H$2:$H$6,MATCH(C4845,parametros!$B$2:$B$6,0)),""),"Sim","Nao"))))))</f>
        <v/>
      </c>
      <c r="T4845" s="156"/>
      <c r="U4845" s="214" t="str">
        <f t="shared" si="381"/>
        <v/>
      </c>
      <c r="V4845" s="212" t="s">
        <v>50</v>
      </c>
      <c r="W4845" s="100" t="s">
        <v>168</v>
      </c>
      <c r="X4845" s="100" t="s">
        <v>169</v>
      </c>
      <c r="Y4845" s="101" t="s">
        <v>170</v>
      </c>
      <c r="Z4845" s="101" t="s">
        <v>171</v>
      </c>
      <c r="AA4845" s="101" t="s">
        <v>50</v>
      </c>
      <c r="AB4845" s="101" t="s">
        <v>172</v>
      </c>
      <c r="AC4845" s="102" t="s">
        <v>173</v>
      </c>
    </row>
    <row r="4846" spans="1:29" ht="25.5" customHeight="1" x14ac:dyDescent="0.35">
      <c r="A4846" s="392"/>
      <c r="B4846" s="393"/>
      <c r="C4846" s="99" t="str">
        <f>IF(B4846="","",IF(NOT(ISNUMBER(B4846)),"DATA_PC invalida",IF(NOT(ISNUMBER(parametros!$C$2)),"Fora dos ciclos",IF(OR(B4846&lt;parametros!$C$2,(YEAR(B4846)-YEAR(parametros!$C$2))*12+MONTH(B4846)-MONTH(parametros!$C$2)&gt;59),"Fora dos ciclos","C"&amp;INT(((YEAR(B4846)-YEAR(parametros!$C$2))*12+MONTH(B4846)-MONTH(parametros!$C$2))/12)))))</f>
        <v/>
      </c>
      <c r="D4846" s="394"/>
      <c r="E4846" s="78" t="str">
        <f>IF(C4846="","",IFERROR(VLOOKUP(C4846,parametros!$A$11:$E$15,5,0),""))</f>
        <v/>
      </c>
      <c r="F4846" s="79" t="str">
        <f t="shared" si="377"/>
        <v/>
      </c>
      <c r="G4846" s="395"/>
      <c r="H4846" s="91">
        <f t="shared" si="378"/>
        <v>0</v>
      </c>
      <c r="I4846" s="91" t="str">
        <f t="shared" si="379"/>
        <v/>
      </c>
      <c r="J4846" s="91" t="str">
        <f t="shared" si="380"/>
        <v/>
      </c>
      <c r="K4846" s="92" t="str">
        <f>IF(AND(A4846="",B4846="",D4846="",G4846=""),"",IF(AND(A4846&lt;&gt;"",COUNTIF($A$2:$A$5001,A4846)&gt;1),"NUMERO_PC duplicado",IF(B4846="","DATA_PC vazia",IF(NOT(ISNUMBER(B4846)),"DATA_PC invalida",IF(OR(C4846="",C4846="Fora dos ciclos"),"CICLO_PC nao identificado",IF(OR(D4846="",D4846=0),"VALOR_PC vazio ou zero",IF(AND(G4846&lt;&gt;"Sim",G4846&lt;&gt;"Nao",G4846&lt;&gt;""),"PC_PAGO_A_CONTRATADA invalido",IF(AND(C4846&lt;&gt;"C0",IFERROR(INDEX(parametros!$A$2:$A$6,MATCH(C4846,parametros!$B$2:$B$6,0)),"")="Sim",IFERROR(INDEX(parametros!$H$2:$H$6,MATCH(C4846,parametros!$B$2:$B$6,0)),"")=""),"INICIO_EFEITO ausente: PC "&amp;A4846&amp;" - "&amp;C4846,IF(L4846="","EFEITO_PC nao calculado: PC "&amp;A4846&amp;" - "&amp;C4846,"OK")))))))))</f>
        <v/>
      </c>
      <c r="L4846" s="92" t="str">
        <f>IF(AND(A4846="",B4846="",D4846="",G4846=""),"",IF(OR(B4846="",NOT(ISNUMBER(B4846)),C4846="",C4846="Fora dos ciclos"),"",IF(C4846="C0","Nao",IF(IFERROR(INDEX(parametros!$A$2:$A$6,MATCH(C4846,parametros!$B$2:$B$6,0)),"")&lt;&gt;"Sim","Nao",IF(IFERROR(INDEX(parametros!$H$2:$H$6,MATCH(C4846,parametros!$B$2:$B$6,0)),"")="","",IF(B4846&gt;=IFERROR(INDEX(parametros!$H$2:$H$6,MATCH(C4846,parametros!$B$2:$B$6,0)),""),"Sim","Nao"))))))</f>
        <v/>
      </c>
      <c r="T4846" s="156"/>
      <c r="U4846" s="214" t="str">
        <f t="shared" si="381"/>
        <v/>
      </c>
      <c r="V4846" s="212" t="s">
        <v>50</v>
      </c>
      <c r="W4846" s="100" t="s">
        <v>168</v>
      </c>
      <c r="X4846" s="100" t="s">
        <v>169</v>
      </c>
      <c r="Y4846" s="101" t="s">
        <v>170</v>
      </c>
      <c r="Z4846" s="101" t="s">
        <v>171</v>
      </c>
      <c r="AA4846" s="101" t="s">
        <v>50</v>
      </c>
      <c r="AB4846" s="101" t="s">
        <v>172</v>
      </c>
      <c r="AC4846" s="102" t="s">
        <v>173</v>
      </c>
    </row>
    <row r="4847" spans="1:29" ht="25.5" customHeight="1" x14ac:dyDescent="0.35">
      <c r="A4847" s="392"/>
      <c r="B4847" s="393"/>
      <c r="C4847" s="99" t="str">
        <f>IF(B4847="","",IF(NOT(ISNUMBER(B4847)),"DATA_PC invalida",IF(NOT(ISNUMBER(parametros!$C$2)),"Fora dos ciclos",IF(OR(B4847&lt;parametros!$C$2,(YEAR(B4847)-YEAR(parametros!$C$2))*12+MONTH(B4847)-MONTH(parametros!$C$2)&gt;59),"Fora dos ciclos","C"&amp;INT(((YEAR(B4847)-YEAR(parametros!$C$2))*12+MONTH(B4847)-MONTH(parametros!$C$2))/12)))))</f>
        <v/>
      </c>
      <c r="D4847" s="394"/>
      <c r="E4847" s="78" t="str">
        <f>IF(C4847="","",IFERROR(VLOOKUP(C4847,parametros!$A$11:$E$15,5,0),""))</f>
        <v/>
      </c>
      <c r="F4847" s="79" t="str">
        <f t="shared" si="377"/>
        <v/>
      </c>
      <c r="G4847" s="395"/>
      <c r="H4847" s="91">
        <f t="shared" si="378"/>
        <v>0</v>
      </c>
      <c r="I4847" s="91" t="str">
        <f t="shared" si="379"/>
        <v/>
      </c>
      <c r="J4847" s="91" t="str">
        <f t="shared" si="380"/>
        <v/>
      </c>
      <c r="K4847" s="92" t="str">
        <f>IF(AND(A4847="",B4847="",D4847="",G4847=""),"",IF(AND(A4847&lt;&gt;"",COUNTIF($A$2:$A$5001,A4847)&gt;1),"NUMERO_PC duplicado",IF(B4847="","DATA_PC vazia",IF(NOT(ISNUMBER(B4847)),"DATA_PC invalida",IF(OR(C4847="",C4847="Fora dos ciclos"),"CICLO_PC nao identificado",IF(OR(D4847="",D4847=0),"VALOR_PC vazio ou zero",IF(AND(G4847&lt;&gt;"Sim",G4847&lt;&gt;"Nao",G4847&lt;&gt;""),"PC_PAGO_A_CONTRATADA invalido",IF(AND(C4847&lt;&gt;"C0",IFERROR(INDEX(parametros!$A$2:$A$6,MATCH(C4847,parametros!$B$2:$B$6,0)),"")="Sim",IFERROR(INDEX(parametros!$H$2:$H$6,MATCH(C4847,parametros!$B$2:$B$6,0)),"")=""),"INICIO_EFEITO ausente: PC "&amp;A4847&amp;" - "&amp;C4847,IF(L4847="","EFEITO_PC nao calculado: PC "&amp;A4847&amp;" - "&amp;C4847,"OK")))))))))</f>
        <v/>
      </c>
      <c r="L4847" s="92" t="str">
        <f>IF(AND(A4847="",B4847="",D4847="",G4847=""),"",IF(OR(B4847="",NOT(ISNUMBER(B4847)),C4847="",C4847="Fora dos ciclos"),"",IF(C4847="C0","Nao",IF(IFERROR(INDEX(parametros!$A$2:$A$6,MATCH(C4847,parametros!$B$2:$B$6,0)),"")&lt;&gt;"Sim","Nao",IF(IFERROR(INDEX(parametros!$H$2:$H$6,MATCH(C4847,parametros!$B$2:$B$6,0)),"")="","",IF(B4847&gt;=IFERROR(INDEX(parametros!$H$2:$H$6,MATCH(C4847,parametros!$B$2:$B$6,0)),""),"Sim","Nao"))))))</f>
        <v/>
      </c>
      <c r="T4847" s="156"/>
      <c r="U4847" s="214" t="str">
        <f t="shared" si="381"/>
        <v/>
      </c>
      <c r="V4847" s="212" t="s">
        <v>50</v>
      </c>
      <c r="W4847" s="100" t="s">
        <v>168</v>
      </c>
      <c r="X4847" s="100" t="s">
        <v>169</v>
      </c>
      <c r="Y4847" s="101" t="s">
        <v>170</v>
      </c>
      <c r="Z4847" s="101" t="s">
        <v>171</v>
      </c>
      <c r="AA4847" s="101" t="s">
        <v>50</v>
      </c>
      <c r="AB4847" s="101" t="s">
        <v>172</v>
      </c>
      <c r="AC4847" s="102" t="s">
        <v>173</v>
      </c>
    </row>
    <row r="4848" spans="1:29" ht="25.5" customHeight="1" x14ac:dyDescent="0.35">
      <c r="A4848" s="392"/>
      <c r="B4848" s="393"/>
      <c r="C4848" s="99" t="str">
        <f>IF(B4848="","",IF(NOT(ISNUMBER(B4848)),"DATA_PC invalida",IF(NOT(ISNUMBER(parametros!$C$2)),"Fora dos ciclos",IF(OR(B4848&lt;parametros!$C$2,(YEAR(B4848)-YEAR(parametros!$C$2))*12+MONTH(B4848)-MONTH(parametros!$C$2)&gt;59),"Fora dos ciclos","C"&amp;INT(((YEAR(B4848)-YEAR(parametros!$C$2))*12+MONTH(B4848)-MONTH(parametros!$C$2))/12)))))</f>
        <v/>
      </c>
      <c r="D4848" s="394"/>
      <c r="E4848" s="78" t="str">
        <f>IF(C4848="","",IFERROR(VLOOKUP(C4848,parametros!$A$11:$E$15,5,0),""))</f>
        <v/>
      </c>
      <c r="F4848" s="79" t="str">
        <f t="shared" si="377"/>
        <v/>
      </c>
      <c r="G4848" s="395"/>
      <c r="H4848" s="91">
        <f t="shared" si="378"/>
        <v>0</v>
      </c>
      <c r="I4848" s="91" t="str">
        <f t="shared" si="379"/>
        <v/>
      </c>
      <c r="J4848" s="91" t="str">
        <f t="shared" si="380"/>
        <v/>
      </c>
      <c r="K4848" s="92" t="str">
        <f>IF(AND(A4848="",B4848="",D4848="",G4848=""),"",IF(AND(A4848&lt;&gt;"",COUNTIF($A$2:$A$5001,A4848)&gt;1),"NUMERO_PC duplicado",IF(B4848="","DATA_PC vazia",IF(NOT(ISNUMBER(B4848)),"DATA_PC invalida",IF(OR(C4848="",C4848="Fora dos ciclos"),"CICLO_PC nao identificado",IF(OR(D4848="",D4848=0),"VALOR_PC vazio ou zero",IF(AND(G4848&lt;&gt;"Sim",G4848&lt;&gt;"Nao",G4848&lt;&gt;""),"PC_PAGO_A_CONTRATADA invalido",IF(AND(C4848&lt;&gt;"C0",IFERROR(INDEX(parametros!$A$2:$A$6,MATCH(C4848,parametros!$B$2:$B$6,0)),"")="Sim",IFERROR(INDEX(parametros!$H$2:$H$6,MATCH(C4848,parametros!$B$2:$B$6,0)),"")=""),"INICIO_EFEITO ausente: PC "&amp;A4848&amp;" - "&amp;C4848,IF(L4848="","EFEITO_PC nao calculado: PC "&amp;A4848&amp;" - "&amp;C4848,"OK")))))))))</f>
        <v/>
      </c>
      <c r="L4848" s="92" t="str">
        <f>IF(AND(A4848="",B4848="",D4848="",G4848=""),"",IF(OR(B4848="",NOT(ISNUMBER(B4848)),C4848="",C4848="Fora dos ciclos"),"",IF(C4848="C0","Nao",IF(IFERROR(INDEX(parametros!$A$2:$A$6,MATCH(C4848,parametros!$B$2:$B$6,0)),"")&lt;&gt;"Sim","Nao",IF(IFERROR(INDEX(parametros!$H$2:$H$6,MATCH(C4848,parametros!$B$2:$B$6,0)),"")="","",IF(B4848&gt;=IFERROR(INDEX(parametros!$H$2:$H$6,MATCH(C4848,parametros!$B$2:$B$6,0)),""),"Sim","Nao"))))))</f>
        <v/>
      </c>
      <c r="T4848" s="156"/>
      <c r="U4848" s="214" t="str">
        <f t="shared" si="381"/>
        <v/>
      </c>
      <c r="V4848" s="212" t="s">
        <v>50</v>
      </c>
      <c r="W4848" s="100" t="s">
        <v>168</v>
      </c>
      <c r="X4848" s="100" t="s">
        <v>169</v>
      </c>
      <c r="Y4848" s="101" t="s">
        <v>170</v>
      </c>
      <c r="Z4848" s="101" t="s">
        <v>171</v>
      </c>
      <c r="AA4848" s="101" t="s">
        <v>50</v>
      </c>
      <c r="AB4848" s="101" t="s">
        <v>172</v>
      </c>
      <c r="AC4848" s="102" t="s">
        <v>173</v>
      </c>
    </row>
    <row r="4849" spans="1:29" ht="25.5" customHeight="1" x14ac:dyDescent="0.35">
      <c r="A4849" s="392"/>
      <c r="B4849" s="393"/>
      <c r="C4849" s="99" t="str">
        <f>IF(B4849="","",IF(NOT(ISNUMBER(B4849)),"DATA_PC invalida",IF(NOT(ISNUMBER(parametros!$C$2)),"Fora dos ciclos",IF(OR(B4849&lt;parametros!$C$2,(YEAR(B4849)-YEAR(parametros!$C$2))*12+MONTH(B4849)-MONTH(parametros!$C$2)&gt;59),"Fora dos ciclos","C"&amp;INT(((YEAR(B4849)-YEAR(parametros!$C$2))*12+MONTH(B4849)-MONTH(parametros!$C$2))/12)))))</f>
        <v/>
      </c>
      <c r="D4849" s="394"/>
      <c r="E4849" s="78" t="str">
        <f>IF(C4849="","",IFERROR(VLOOKUP(C4849,parametros!$A$11:$E$15,5,0),""))</f>
        <v/>
      </c>
      <c r="F4849" s="79" t="str">
        <f t="shared" si="377"/>
        <v/>
      </c>
      <c r="G4849" s="395"/>
      <c r="H4849" s="91">
        <f t="shared" si="378"/>
        <v>0</v>
      </c>
      <c r="I4849" s="91" t="str">
        <f t="shared" si="379"/>
        <v/>
      </c>
      <c r="J4849" s="91" t="str">
        <f t="shared" si="380"/>
        <v/>
      </c>
      <c r="K4849" s="92" t="str">
        <f>IF(AND(A4849="",B4849="",D4849="",G4849=""),"",IF(AND(A4849&lt;&gt;"",COUNTIF($A$2:$A$5001,A4849)&gt;1),"NUMERO_PC duplicado",IF(B4849="","DATA_PC vazia",IF(NOT(ISNUMBER(B4849)),"DATA_PC invalida",IF(OR(C4849="",C4849="Fora dos ciclos"),"CICLO_PC nao identificado",IF(OR(D4849="",D4849=0),"VALOR_PC vazio ou zero",IF(AND(G4849&lt;&gt;"Sim",G4849&lt;&gt;"Nao",G4849&lt;&gt;""),"PC_PAGO_A_CONTRATADA invalido",IF(AND(C4849&lt;&gt;"C0",IFERROR(INDEX(parametros!$A$2:$A$6,MATCH(C4849,parametros!$B$2:$B$6,0)),"")="Sim",IFERROR(INDEX(parametros!$H$2:$H$6,MATCH(C4849,parametros!$B$2:$B$6,0)),"")=""),"INICIO_EFEITO ausente: PC "&amp;A4849&amp;" - "&amp;C4849,IF(L4849="","EFEITO_PC nao calculado: PC "&amp;A4849&amp;" - "&amp;C4849,"OK")))))))))</f>
        <v/>
      </c>
      <c r="L4849" s="92" t="str">
        <f>IF(AND(A4849="",B4849="",D4849="",G4849=""),"",IF(OR(B4849="",NOT(ISNUMBER(B4849)),C4849="",C4849="Fora dos ciclos"),"",IF(C4849="C0","Nao",IF(IFERROR(INDEX(parametros!$A$2:$A$6,MATCH(C4849,parametros!$B$2:$B$6,0)),"")&lt;&gt;"Sim","Nao",IF(IFERROR(INDEX(parametros!$H$2:$H$6,MATCH(C4849,parametros!$B$2:$B$6,0)),"")="","",IF(B4849&gt;=IFERROR(INDEX(parametros!$H$2:$H$6,MATCH(C4849,parametros!$B$2:$B$6,0)),""),"Sim","Nao"))))))</f>
        <v/>
      </c>
      <c r="T4849" s="156"/>
      <c r="U4849" s="214" t="str">
        <f t="shared" si="381"/>
        <v/>
      </c>
      <c r="V4849" s="212" t="s">
        <v>50</v>
      </c>
      <c r="W4849" s="100" t="s">
        <v>168</v>
      </c>
      <c r="X4849" s="100" t="s">
        <v>169</v>
      </c>
      <c r="Y4849" s="101" t="s">
        <v>170</v>
      </c>
      <c r="Z4849" s="101" t="s">
        <v>171</v>
      </c>
      <c r="AA4849" s="101" t="s">
        <v>50</v>
      </c>
      <c r="AB4849" s="101" t="s">
        <v>172</v>
      </c>
      <c r="AC4849" s="102" t="s">
        <v>173</v>
      </c>
    </row>
    <row r="4850" spans="1:29" ht="25.5" customHeight="1" x14ac:dyDescent="0.35">
      <c r="A4850" s="392"/>
      <c r="B4850" s="393"/>
      <c r="C4850" s="99" t="str">
        <f>IF(B4850="","",IF(NOT(ISNUMBER(B4850)),"DATA_PC invalida",IF(NOT(ISNUMBER(parametros!$C$2)),"Fora dos ciclos",IF(OR(B4850&lt;parametros!$C$2,(YEAR(B4850)-YEAR(parametros!$C$2))*12+MONTH(B4850)-MONTH(parametros!$C$2)&gt;59),"Fora dos ciclos","C"&amp;INT(((YEAR(B4850)-YEAR(parametros!$C$2))*12+MONTH(B4850)-MONTH(parametros!$C$2))/12)))))</f>
        <v/>
      </c>
      <c r="D4850" s="394"/>
      <c r="E4850" s="78" t="str">
        <f>IF(C4850="","",IFERROR(VLOOKUP(C4850,parametros!$A$11:$E$15,5,0),""))</f>
        <v/>
      </c>
      <c r="F4850" s="79" t="str">
        <f t="shared" si="377"/>
        <v/>
      </c>
      <c r="G4850" s="395"/>
      <c r="H4850" s="91">
        <f t="shared" si="378"/>
        <v>0</v>
      </c>
      <c r="I4850" s="91" t="str">
        <f t="shared" si="379"/>
        <v/>
      </c>
      <c r="J4850" s="91" t="str">
        <f t="shared" si="380"/>
        <v/>
      </c>
      <c r="K4850" s="92" t="str">
        <f>IF(AND(A4850="",B4850="",D4850="",G4850=""),"",IF(AND(A4850&lt;&gt;"",COUNTIF($A$2:$A$5001,A4850)&gt;1),"NUMERO_PC duplicado",IF(B4850="","DATA_PC vazia",IF(NOT(ISNUMBER(B4850)),"DATA_PC invalida",IF(OR(C4850="",C4850="Fora dos ciclos"),"CICLO_PC nao identificado",IF(OR(D4850="",D4850=0),"VALOR_PC vazio ou zero",IF(AND(G4850&lt;&gt;"Sim",G4850&lt;&gt;"Nao",G4850&lt;&gt;""),"PC_PAGO_A_CONTRATADA invalido",IF(AND(C4850&lt;&gt;"C0",IFERROR(INDEX(parametros!$A$2:$A$6,MATCH(C4850,parametros!$B$2:$B$6,0)),"")="Sim",IFERROR(INDEX(parametros!$H$2:$H$6,MATCH(C4850,parametros!$B$2:$B$6,0)),"")=""),"INICIO_EFEITO ausente: PC "&amp;A4850&amp;" - "&amp;C4850,IF(L4850="","EFEITO_PC nao calculado: PC "&amp;A4850&amp;" - "&amp;C4850,"OK")))))))))</f>
        <v/>
      </c>
      <c r="L4850" s="92" t="str">
        <f>IF(AND(A4850="",B4850="",D4850="",G4850=""),"",IF(OR(B4850="",NOT(ISNUMBER(B4850)),C4850="",C4850="Fora dos ciclos"),"",IF(C4850="C0","Nao",IF(IFERROR(INDEX(parametros!$A$2:$A$6,MATCH(C4850,parametros!$B$2:$B$6,0)),"")&lt;&gt;"Sim","Nao",IF(IFERROR(INDEX(parametros!$H$2:$H$6,MATCH(C4850,parametros!$B$2:$B$6,0)),"")="","",IF(B4850&gt;=IFERROR(INDEX(parametros!$H$2:$H$6,MATCH(C4850,parametros!$B$2:$B$6,0)),""),"Sim","Nao"))))))</f>
        <v/>
      </c>
      <c r="T4850" s="156"/>
      <c r="U4850" s="214" t="str">
        <f t="shared" si="381"/>
        <v/>
      </c>
      <c r="V4850" s="212" t="s">
        <v>50</v>
      </c>
      <c r="W4850" s="100" t="s">
        <v>168</v>
      </c>
      <c r="X4850" s="100" t="s">
        <v>169</v>
      </c>
      <c r="Y4850" s="101" t="s">
        <v>170</v>
      </c>
      <c r="Z4850" s="101" t="s">
        <v>171</v>
      </c>
      <c r="AA4850" s="101" t="s">
        <v>50</v>
      </c>
      <c r="AB4850" s="101" t="s">
        <v>172</v>
      </c>
      <c r="AC4850" s="102" t="s">
        <v>173</v>
      </c>
    </row>
    <row r="4851" spans="1:29" ht="25.5" customHeight="1" x14ac:dyDescent="0.35">
      <c r="A4851" s="392"/>
      <c r="B4851" s="393"/>
      <c r="C4851" s="99" t="str">
        <f>IF(B4851="","",IF(NOT(ISNUMBER(B4851)),"DATA_PC invalida",IF(NOT(ISNUMBER(parametros!$C$2)),"Fora dos ciclos",IF(OR(B4851&lt;parametros!$C$2,(YEAR(B4851)-YEAR(parametros!$C$2))*12+MONTH(B4851)-MONTH(parametros!$C$2)&gt;59),"Fora dos ciclos","C"&amp;INT(((YEAR(B4851)-YEAR(parametros!$C$2))*12+MONTH(B4851)-MONTH(parametros!$C$2))/12)))))</f>
        <v/>
      </c>
      <c r="D4851" s="394"/>
      <c r="E4851" s="78" t="str">
        <f>IF(C4851="","",IFERROR(VLOOKUP(C4851,parametros!$A$11:$E$15,5,0),""))</f>
        <v/>
      </c>
      <c r="F4851" s="79" t="str">
        <f t="shared" si="377"/>
        <v/>
      </c>
      <c r="G4851" s="395"/>
      <c r="H4851" s="91">
        <f t="shared" si="378"/>
        <v>0</v>
      </c>
      <c r="I4851" s="91" t="str">
        <f t="shared" si="379"/>
        <v/>
      </c>
      <c r="J4851" s="91" t="str">
        <f t="shared" si="380"/>
        <v/>
      </c>
      <c r="K4851" s="92" t="str">
        <f>IF(AND(A4851="",B4851="",D4851="",G4851=""),"",IF(AND(A4851&lt;&gt;"",COUNTIF($A$2:$A$5001,A4851)&gt;1),"NUMERO_PC duplicado",IF(B4851="","DATA_PC vazia",IF(NOT(ISNUMBER(B4851)),"DATA_PC invalida",IF(OR(C4851="",C4851="Fora dos ciclos"),"CICLO_PC nao identificado",IF(OR(D4851="",D4851=0),"VALOR_PC vazio ou zero",IF(AND(G4851&lt;&gt;"Sim",G4851&lt;&gt;"Nao",G4851&lt;&gt;""),"PC_PAGO_A_CONTRATADA invalido",IF(AND(C4851&lt;&gt;"C0",IFERROR(INDEX(parametros!$A$2:$A$6,MATCH(C4851,parametros!$B$2:$B$6,0)),"")="Sim",IFERROR(INDEX(parametros!$H$2:$H$6,MATCH(C4851,parametros!$B$2:$B$6,0)),"")=""),"INICIO_EFEITO ausente: PC "&amp;A4851&amp;" - "&amp;C4851,IF(L4851="","EFEITO_PC nao calculado: PC "&amp;A4851&amp;" - "&amp;C4851,"OK")))))))))</f>
        <v/>
      </c>
      <c r="L4851" s="92" t="str">
        <f>IF(AND(A4851="",B4851="",D4851="",G4851=""),"",IF(OR(B4851="",NOT(ISNUMBER(B4851)),C4851="",C4851="Fora dos ciclos"),"",IF(C4851="C0","Nao",IF(IFERROR(INDEX(parametros!$A$2:$A$6,MATCH(C4851,parametros!$B$2:$B$6,0)),"")&lt;&gt;"Sim","Nao",IF(IFERROR(INDEX(parametros!$H$2:$H$6,MATCH(C4851,parametros!$B$2:$B$6,0)),"")="","",IF(B4851&gt;=IFERROR(INDEX(parametros!$H$2:$H$6,MATCH(C4851,parametros!$B$2:$B$6,0)),""),"Sim","Nao"))))))</f>
        <v/>
      </c>
      <c r="T4851" s="156"/>
      <c r="U4851" s="214" t="str">
        <f t="shared" si="381"/>
        <v/>
      </c>
      <c r="V4851" s="212" t="s">
        <v>50</v>
      </c>
      <c r="W4851" s="100" t="s">
        <v>168</v>
      </c>
      <c r="X4851" s="100" t="s">
        <v>169</v>
      </c>
      <c r="Y4851" s="101" t="s">
        <v>170</v>
      </c>
      <c r="Z4851" s="101" t="s">
        <v>171</v>
      </c>
      <c r="AA4851" s="101" t="s">
        <v>50</v>
      </c>
      <c r="AB4851" s="101" t="s">
        <v>172</v>
      </c>
      <c r="AC4851" s="102" t="s">
        <v>173</v>
      </c>
    </row>
    <row r="4852" spans="1:29" ht="25.5" customHeight="1" x14ac:dyDescent="0.35">
      <c r="A4852" s="392"/>
      <c r="B4852" s="393"/>
      <c r="C4852" s="99" t="str">
        <f>IF(B4852="","",IF(NOT(ISNUMBER(B4852)),"DATA_PC invalida",IF(NOT(ISNUMBER(parametros!$C$2)),"Fora dos ciclos",IF(OR(B4852&lt;parametros!$C$2,(YEAR(B4852)-YEAR(parametros!$C$2))*12+MONTH(B4852)-MONTH(parametros!$C$2)&gt;59),"Fora dos ciclos","C"&amp;INT(((YEAR(B4852)-YEAR(parametros!$C$2))*12+MONTH(B4852)-MONTH(parametros!$C$2))/12)))))</f>
        <v/>
      </c>
      <c r="D4852" s="394"/>
      <c r="E4852" s="78" t="str">
        <f>IF(C4852="","",IFERROR(VLOOKUP(C4852,parametros!$A$11:$E$15,5,0),""))</f>
        <v/>
      </c>
      <c r="F4852" s="79" t="str">
        <f t="shared" si="377"/>
        <v/>
      </c>
      <c r="G4852" s="395"/>
      <c r="H4852" s="91">
        <f t="shared" si="378"/>
        <v>0</v>
      </c>
      <c r="I4852" s="91" t="str">
        <f t="shared" si="379"/>
        <v/>
      </c>
      <c r="J4852" s="91" t="str">
        <f t="shared" si="380"/>
        <v/>
      </c>
      <c r="K4852" s="92" t="str">
        <f>IF(AND(A4852="",B4852="",D4852="",G4852=""),"",IF(AND(A4852&lt;&gt;"",COUNTIF($A$2:$A$5001,A4852)&gt;1),"NUMERO_PC duplicado",IF(B4852="","DATA_PC vazia",IF(NOT(ISNUMBER(B4852)),"DATA_PC invalida",IF(OR(C4852="",C4852="Fora dos ciclos"),"CICLO_PC nao identificado",IF(OR(D4852="",D4852=0),"VALOR_PC vazio ou zero",IF(AND(G4852&lt;&gt;"Sim",G4852&lt;&gt;"Nao",G4852&lt;&gt;""),"PC_PAGO_A_CONTRATADA invalido",IF(AND(C4852&lt;&gt;"C0",IFERROR(INDEX(parametros!$A$2:$A$6,MATCH(C4852,parametros!$B$2:$B$6,0)),"")="Sim",IFERROR(INDEX(parametros!$H$2:$H$6,MATCH(C4852,parametros!$B$2:$B$6,0)),"")=""),"INICIO_EFEITO ausente: PC "&amp;A4852&amp;" - "&amp;C4852,IF(L4852="","EFEITO_PC nao calculado: PC "&amp;A4852&amp;" - "&amp;C4852,"OK")))))))))</f>
        <v/>
      </c>
      <c r="L4852" s="92" t="str">
        <f>IF(AND(A4852="",B4852="",D4852="",G4852=""),"",IF(OR(B4852="",NOT(ISNUMBER(B4852)),C4852="",C4852="Fora dos ciclos"),"",IF(C4852="C0","Nao",IF(IFERROR(INDEX(parametros!$A$2:$A$6,MATCH(C4852,parametros!$B$2:$B$6,0)),"")&lt;&gt;"Sim","Nao",IF(IFERROR(INDEX(parametros!$H$2:$H$6,MATCH(C4852,parametros!$B$2:$B$6,0)),"")="","",IF(B4852&gt;=IFERROR(INDEX(parametros!$H$2:$H$6,MATCH(C4852,parametros!$B$2:$B$6,0)),""),"Sim","Nao"))))))</f>
        <v/>
      </c>
      <c r="T4852" s="156"/>
      <c r="U4852" s="214" t="str">
        <f t="shared" si="381"/>
        <v/>
      </c>
      <c r="V4852" s="212" t="s">
        <v>50</v>
      </c>
      <c r="W4852" s="100" t="s">
        <v>168</v>
      </c>
      <c r="X4852" s="100" t="s">
        <v>169</v>
      </c>
      <c r="Y4852" s="101" t="s">
        <v>170</v>
      </c>
      <c r="Z4852" s="101" t="s">
        <v>171</v>
      </c>
      <c r="AA4852" s="101" t="s">
        <v>50</v>
      </c>
      <c r="AB4852" s="101" t="s">
        <v>172</v>
      </c>
      <c r="AC4852" s="102" t="s">
        <v>173</v>
      </c>
    </row>
    <row r="4853" spans="1:29" ht="25.5" customHeight="1" x14ac:dyDescent="0.35">
      <c r="A4853" s="392"/>
      <c r="B4853" s="393"/>
      <c r="C4853" s="99" t="str">
        <f>IF(B4853="","",IF(NOT(ISNUMBER(B4853)),"DATA_PC invalida",IF(NOT(ISNUMBER(parametros!$C$2)),"Fora dos ciclos",IF(OR(B4853&lt;parametros!$C$2,(YEAR(B4853)-YEAR(parametros!$C$2))*12+MONTH(B4853)-MONTH(parametros!$C$2)&gt;59),"Fora dos ciclos","C"&amp;INT(((YEAR(B4853)-YEAR(parametros!$C$2))*12+MONTH(B4853)-MONTH(parametros!$C$2))/12)))))</f>
        <v/>
      </c>
      <c r="D4853" s="394"/>
      <c r="E4853" s="78" t="str">
        <f>IF(C4853="","",IFERROR(VLOOKUP(C4853,parametros!$A$11:$E$15,5,0),""))</f>
        <v/>
      </c>
      <c r="F4853" s="79" t="str">
        <f t="shared" si="377"/>
        <v/>
      </c>
      <c r="G4853" s="395"/>
      <c r="H4853" s="91">
        <f t="shared" si="378"/>
        <v>0</v>
      </c>
      <c r="I4853" s="91" t="str">
        <f t="shared" si="379"/>
        <v/>
      </c>
      <c r="J4853" s="91" t="str">
        <f t="shared" si="380"/>
        <v/>
      </c>
      <c r="K4853" s="92" t="str">
        <f>IF(AND(A4853="",B4853="",D4853="",G4853=""),"",IF(AND(A4853&lt;&gt;"",COUNTIF($A$2:$A$5001,A4853)&gt;1),"NUMERO_PC duplicado",IF(B4853="","DATA_PC vazia",IF(NOT(ISNUMBER(B4853)),"DATA_PC invalida",IF(OR(C4853="",C4853="Fora dos ciclos"),"CICLO_PC nao identificado",IF(OR(D4853="",D4853=0),"VALOR_PC vazio ou zero",IF(AND(G4853&lt;&gt;"Sim",G4853&lt;&gt;"Nao",G4853&lt;&gt;""),"PC_PAGO_A_CONTRATADA invalido",IF(AND(C4853&lt;&gt;"C0",IFERROR(INDEX(parametros!$A$2:$A$6,MATCH(C4853,parametros!$B$2:$B$6,0)),"")="Sim",IFERROR(INDEX(parametros!$H$2:$H$6,MATCH(C4853,parametros!$B$2:$B$6,0)),"")=""),"INICIO_EFEITO ausente: PC "&amp;A4853&amp;" - "&amp;C4853,IF(L4853="","EFEITO_PC nao calculado: PC "&amp;A4853&amp;" - "&amp;C4853,"OK")))))))))</f>
        <v/>
      </c>
      <c r="L4853" s="92" t="str">
        <f>IF(AND(A4853="",B4853="",D4853="",G4853=""),"",IF(OR(B4853="",NOT(ISNUMBER(B4853)),C4853="",C4853="Fora dos ciclos"),"",IF(C4853="C0","Nao",IF(IFERROR(INDEX(parametros!$A$2:$A$6,MATCH(C4853,parametros!$B$2:$B$6,0)),"")&lt;&gt;"Sim","Nao",IF(IFERROR(INDEX(parametros!$H$2:$H$6,MATCH(C4853,parametros!$B$2:$B$6,0)),"")="","",IF(B4853&gt;=IFERROR(INDEX(parametros!$H$2:$H$6,MATCH(C4853,parametros!$B$2:$B$6,0)),""),"Sim","Nao"))))))</f>
        <v/>
      </c>
      <c r="T4853" s="156"/>
      <c r="U4853" s="214" t="str">
        <f t="shared" si="381"/>
        <v/>
      </c>
      <c r="V4853" s="212" t="s">
        <v>50</v>
      </c>
      <c r="W4853" s="100" t="s">
        <v>168</v>
      </c>
      <c r="X4853" s="100" t="s">
        <v>169</v>
      </c>
      <c r="Y4853" s="101" t="s">
        <v>170</v>
      </c>
      <c r="Z4853" s="101" t="s">
        <v>171</v>
      </c>
      <c r="AA4853" s="101" t="s">
        <v>50</v>
      </c>
      <c r="AB4853" s="101" t="s">
        <v>172</v>
      </c>
      <c r="AC4853" s="102" t="s">
        <v>173</v>
      </c>
    </row>
    <row r="4854" spans="1:29" ht="25.5" customHeight="1" x14ac:dyDescent="0.35">
      <c r="A4854" s="392"/>
      <c r="B4854" s="393"/>
      <c r="C4854" s="99" t="str">
        <f>IF(B4854="","",IF(NOT(ISNUMBER(B4854)),"DATA_PC invalida",IF(NOT(ISNUMBER(parametros!$C$2)),"Fora dos ciclos",IF(OR(B4854&lt;parametros!$C$2,(YEAR(B4854)-YEAR(parametros!$C$2))*12+MONTH(B4854)-MONTH(parametros!$C$2)&gt;59),"Fora dos ciclos","C"&amp;INT(((YEAR(B4854)-YEAR(parametros!$C$2))*12+MONTH(B4854)-MONTH(parametros!$C$2))/12)))))</f>
        <v/>
      </c>
      <c r="D4854" s="394"/>
      <c r="E4854" s="78" t="str">
        <f>IF(C4854="","",IFERROR(VLOOKUP(C4854,parametros!$A$11:$E$15,5,0),""))</f>
        <v/>
      </c>
      <c r="F4854" s="79" t="str">
        <f t="shared" si="377"/>
        <v/>
      </c>
      <c r="G4854" s="395"/>
      <c r="H4854" s="91">
        <f t="shared" si="378"/>
        <v>0</v>
      </c>
      <c r="I4854" s="91" t="str">
        <f t="shared" si="379"/>
        <v/>
      </c>
      <c r="J4854" s="91" t="str">
        <f t="shared" si="380"/>
        <v/>
      </c>
      <c r="K4854" s="92" t="str">
        <f>IF(AND(A4854="",B4854="",D4854="",G4854=""),"",IF(AND(A4854&lt;&gt;"",COUNTIF($A$2:$A$5001,A4854)&gt;1),"NUMERO_PC duplicado",IF(B4854="","DATA_PC vazia",IF(NOT(ISNUMBER(B4854)),"DATA_PC invalida",IF(OR(C4854="",C4854="Fora dos ciclos"),"CICLO_PC nao identificado",IF(OR(D4854="",D4854=0),"VALOR_PC vazio ou zero",IF(AND(G4854&lt;&gt;"Sim",G4854&lt;&gt;"Nao",G4854&lt;&gt;""),"PC_PAGO_A_CONTRATADA invalido",IF(AND(C4854&lt;&gt;"C0",IFERROR(INDEX(parametros!$A$2:$A$6,MATCH(C4854,parametros!$B$2:$B$6,0)),"")="Sim",IFERROR(INDEX(parametros!$H$2:$H$6,MATCH(C4854,parametros!$B$2:$B$6,0)),"")=""),"INICIO_EFEITO ausente: PC "&amp;A4854&amp;" - "&amp;C4854,IF(L4854="","EFEITO_PC nao calculado: PC "&amp;A4854&amp;" - "&amp;C4854,"OK")))))))))</f>
        <v/>
      </c>
      <c r="L4854" s="92" t="str">
        <f>IF(AND(A4854="",B4854="",D4854="",G4854=""),"",IF(OR(B4854="",NOT(ISNUMBER(B4854)),C4854="",C4854="Fora dos ciclos"),"",IF(C4854="C0","Nao",IF(IFERROR(INDEX(parametros!$A$2:$A$6,MATCH(C4854,parametros!$B$2:$B$6,0)),"")&lt;&gt;"Sim","Nao",IF(IFERROR(INDEX(parametros!$H$2:$H$6,MATCH(C4854,parametros!$B$2:$B$6,0)),"")="","",IF(B4854&gt;=IFERROR(INDEX(parametros!$H$2:$H$6,MATCH(C4854,parametros!$B$2:$B$6,0)),""),"Sim","Nao"))))))</f>
        <v/>
      </c>
      <c r="T4854" s="156"/>
      <c r="U4854" s="214" t="str">
        <f t="shared" si="381"/>
        <v/>
      </c>
      <c r="V4854" s="212" t="s">
        <v>50</v>
      </c>
      <c r="W4854" s="100" t="s">
        <v>168</v>
      </c>
      <c r="X4854" s="100" t="s">
        <v>169</v>
      </c>
      <c r="Y4854" s="101" t="s">
        <v>170</v>
      </c>
      <c r="Z4854" s="101" t="s">
        <v>171</v>
      </c>
      <c r="AA4854" s="101" t="s">
        <v>50</v>
      </c>
      <c r="AB4854" s="101" t="s">
        <v>172</v>
      </c>
      <c r="AC4854" s="102" t="s">
        <v>173</v>
      </c>
    </row>
    <row r="4855" spans="1:29" ht="25.5" customHeight="1" x14ac:dyDescent="0.35">
      <c r="A4855" s="392"/>
      <c r="B4855" s="393"/>
      <c r="C4855" s="99" t="str">
        <f>IF(B4855="","",IF(NOT(ISNUMBER(B4855)),"DATA_PC invalida",IF(NOT(ISNUMBER(parametros!$C$2)),"Fora dos ciclos",IF(OR(B4855&lt;parametros!$C$2,(YEAR(B4855)-YEAR(parametros!$C$2))*12+MONTH(B4855)-MONTH(parametros!$C$2)&gt;59),"Fora dos ciclos","C"&amp;INT(((YEAR(B4855)-YEAR(parametros!$C$2))*12+MONTH(B4855)-MONTH(parametros!$C$2))/12)))))</f>
        <v/>
      </c>
      <c r="D4855" s="394"/>
      <c r="E4855" s="78" t="str">
        <f>IF(C4855="","",IFERROR(VLOOKUP(C4855,parametros!$A$11:$E$15,5,0),""))</f>
        <v/>
      </c>
      <c r="F4855" s="79" t="str">
        <f t="shared" si="377"/>
        <v/>
      </c>
      <c r="G4855" s="395"/>
      <c r="H4855" s="91">
        <f t="shared" si="378"/>
        <v>0</v>
      </c>
      <c r="I4855" s="91" t="str">
        <f t="shared" si="379"/>
        <v/>
      </c>
      <c r="J4855" s="91" t="str">
        <f t="shared" si="380"/>
        <v/>
      </c>
      <c r="K4855" s="92" t="str">
        <f>IF(AND(A4855="",B4855="",D4855="",G4855=""),"",IF(AND(A4855&lt;&gt;"",COUNTIF($A$2:$A$5001,A4855)&gt;1),"NUMERO_PC duplicado",IF(B4855="","DATA_PC vazia",IF(NOT(ISNUMBER(B4855)),"DATA_PC invalida",IF(OR(C4855="",C4855="Fora dos ciclos"),"CICLO_PC nao identificado",IF(OR(D4855="",D4855=0),"VALOR_PC vazio ou zero",IF(AND(G4855&lt;&gt;"Sim",G4855&lt;&gt;"Nao",G4855&lt;&gt;""),"PC_PAGO_A_CONTRATADA invalido",IF(AND(C4855&lt;&gt;"C0",IFERROR(INDEX(parametros!$A$2:$A$6,MATCH(C4855,parametros!$B$2:$B$6,0)),"")="Sim",IFERROR(INDEX(parametros!$H$2:$H$6,MATCH(C4855,parametros!$B$2:$B$6,0)),"")=""),"INICIO_EFEITO ausente: PC "&amp;A4855&amp;" - "&amp;C4855,IF(L4855="","EFEITO_PC nao calculado: PC "&amp;A4855&amp;" - "&amp;C4855,"OK")))))))))</f>
        <v/>
      </c>
      <c r="L4855" s="92" t="str">
        <f>IF(AND(A4855="",B4855="",D4855="",G4855=""),"",IF(OR(B4855="",NOT(ISNUMBER(B4855)),C4855="",C4855="Fora dos ciclos"),"",IF(C4855="C0","Nao",IF(IFERROR(INDEX(parametros!$A$2:$A$6,MATCH(C4855,parametros!$B$2:$B$6,0)),"")&lt;&gt;"Sim","Nao",IF(IFERROR(INDEX(parametros!$H$2:$H$6,MATCH(C4855,parametros!$B$2:$B$6,0)),"")="","",IF(B4855&gt;=IFERROR(INDEX(parametros!$H$2:$H$6,MATCH(C4855,parametros!$B$2:$B$6,0)),""),"Sim","Nao"))))))</f>
        <v/>
      </c>
      <c r="T4855" s="156"/>
      <c r="U4855" s="214" t="str">
        <f t="shared" si="381"/>
        <v/>
      </c>
      <c r="V4855" s="212" t="s">
        <v>50</v>
      </c>
      <c r="W4855" s="100" t="s">
        <v>168</v>
      </c>
      <c r="X4855" s="100" t="s">
        <v>169</v>
      </c>
      <c r="Y4855" s="101" t="s">
        <v>170</v>
      </c>
      <c r="Z4855" s="101" t="s">
        <v>171</v>
      </c>
      <c r="AA4855" s="101" t="s">
        <v>50</v>
      </c>
      <c r="AB4855" s="101" t="s">
        <v>172</v>
      </c>
      <c r="AC4855" s="102" t="s">
        <v>173</v>
      </c>
    </row>
    <row r="4856" spans="1:29" ht="25.5" customHeight="1" x14ac:dyDescent="0.35">
      <c r="A4856" s="392"/>
      <c r="B4856" s="393"/>
      <c r="C4856" s="99" t="str">
        <f>IF(B4856="","",IF(NOT(ISNUMBER(B4856)),"DATA_PC invalida",IF(NOT(ISNUMBER(parametros!$C$2)),"Fora dos ciclos",IF(OR(B4856&lt;parametros!$C$2,(YEAR(B4856)-YEAR(parametros!$C$2))*12+MONTH(B4856)-MONTH(parametros!$C$2)&gt;59),"Fora dos ciclos","C"&amp;INT(((YEAR(B4856)-YEAR(parametros!$C$2))*12+MONTH(B4856)-MONTH(parametros!$C$2))/12)))))</f>
        <v/>
      </c>
      <c r="D4856" s="394"/>
      <c r="E4856" s="78" t="str">
        <f>IF(C4856="","",IFERROR(VLOOKUP(C4856,parametros!$A$11:$E$15,5,0),""))</f>
        <v/>
      </c>
      <c r="F4856" s="79" t="str">
        <f t="shared" si="377"/>
        <v/>
      </c>
      <c r="G4856" s="395"/>
      <c r="H4856" s="91">
        <f t="shared" si="378"/>
        <v>0</v>
      </c>
      <c r="I4856" s="91" t="str">
        <f t="shared" si="379"/>
        <v/>
      </c>
      <c r="J4856" s="91" t="str">
        <f t="shared" si="380"/>
        <v/>
      </c>
      <c r="K4856" s="92" t="str">
        <f>IF(AND(A4856="",B4856="",D4856="",G4856=""),"",IF(AND(A4856&lt;&gt;"",COUNTIF($A$2:$A$5001,A4856)&gt;1),"NUMERO_PC duplicado",IF(B4856="","DATA_PC vazia",IF(NOT(ISNUMBER(B4856)),"DATA_PC invalida",IF(OR(C4856="",C4856="Fora dos ciclos"),"CICLO_PC nao identificado",IF(OR(D4856="",D4856=0),"VALOR_PC vazio ou zero",IF(AND(G4856&lt;&gt;"Sim",G4856&lt;&gt;"Nao",G4856&lt;&gt;""),"PC_PAGO_A_CONTRATADA invalido",IF(AND(C4856&lt;&gt;"C0",IFERROR(INDEX(parametros!$A$2:$A$6,MATCH(C4856,parametros!$B$2:$B$6,0)),"")="Sim",IFERROR(INDEX(parametros!$H$2:$H$6,MATCH(C4856,parametros!$B$2:$B$6,0)),"")=""),"INICIO_EFEITO ausente: PC "&amp;A4856&amp;" - "&amp;C4856,IF(L4856="","EFEITO_PC nao calculado: PC "&amp;A4856&amp;" - "&amp;C4856,"OK")))))))))</f>
        <v/>
      </c>
      <c r="L4856" s="92" t="str">
        <f>IF(AND(A4856="",B4856="",D4856="",G4856=""),"",IF(OR(B4856="",NOT(ISNUMBER(B4856)),C4856="",C4856="Fora dos ciclos"),"",IF(C4856="C0","Nao",IF(IFERROR(INDEX(parametros!$A$2:$A$6,MATCH(C4856,parametros!$B$2:$B$6,0)),"")&lt;&gt;"Sim","Nao",IF(IFERROR(INDEX(parametros!$H$2:$H$6,MATCH(C4856,parametros!$B$2:$B$6,0)),"")="","",IF(B4856&gt;=IFERROR(INDEX(parametros!$H$2:$H$6,MATCH(C4856,parametros!$B$2:$B$6,0)),""),"Sim","Nao"))))))</f>
        <v/>
      </c>
      <c r="T4856" s="156"/>
      <c r="U4856" s="214" t="str">
        <f t="shared" si="381"/>
        <v/>
      </c>
      <c r="V4856" s="212" t="s">
        <v>50</v>
      </c>
      <c r="W4856" s="100" t="s">
        <v>168</v>
      </c>
      <c r="X4856" s="100" t="s">
        <v>169</v>
      </c>
      <c r="Y4856" s="101" t="s">
        <v>170</v>
      </c>
      <c r="Z4856" s="101" t="s">
        <v>171</v>
      </c>
      <c r="AA4856" s="101" t="s">
        <v>50</v>
      </c>
      <c r="AB4856" s="101" t="s">
        <v>172</v>
      </c>
      <c r="AC4856" s="102" t="s">
        <v>173</v>
      </c>
    </row>
    <row r="4857" spans="1:29" ht="25.5" customHeight="1" x14ac:dyDescent="0.35">
      <c r="A4857" s="392"/>
      <c r="B4857" s="393"/>
      <c r="C4857" s="99" t="str">
        <f>IF(B4857="","",IF(NOT(ISNUMBER(B4857)),"DATA_PC invalida",IF(NOT(ISNUMBER(parametros!$C$2)),"Fora dos ciclos",IF(OR(B4857&lt;parametros!$C$2,(YEAR(B4857)-YEAR(parametros!$C$2))*12+MONTH(B4857)-MONTH(parametros!$C$2)&gt;59),"Fora dos ciclos","C"&amp;INT(((YEAR(B4857)-YEAR(parametros!$C$2))*12+MONTH(B4857)-MONTH(parametros!$C$2))/12)))))</f>
        <v/>
      </c>
      <c r="D4857" s="394"/>
      <c r="E4857" s="78" t="str">
        <f>IF(C4857="","",IFERROR(VLOOKUP(C4857,parametros!$A$11:$E$15,5,0),""))</f>
        <v/>
      </c>
      <c r="F4857" s="79" t="str">
        <f t="shared" si="377"/>
        <v/>
      </c>
      <c r="G4857" s="395"/>
      <c r="H4857" s="91">
        <f t="shared" si="378"/>
        <v>0</v>
      </c>
      <c r="I4857" s="91" t="str">
        <f t="shared" si="379"/>
        <v/>
      </c>
      <c r="J4857" s="91" t="str">
        <f t="shared" si="380"/>
        <v/>
      </c>
      <c r="K4857" s="92" t="str">
        <f>IF(AND(A4857="",B4857="",D4857="",G4857=""),"",IF(AND(A4857&lt;&gt;"",COUNTIF($A$2:$A$5001,A4857)&gt;1),"NUMERO_PC duplicado",IF(B4857="","DATA_PC vazia",IF(NOT(ISNUMBER(B4857)),"DATA_PC invalida",IF(OR(C4857="",C4857="Fora dos ciclos"),"CICLO_PC nao identificado",IF(OR(D4857="",D4857=0),"VALOR_PC vazio ou zero",IF(AND(G4857&lt;&gt;"Sim",G4857&lt;&gt;"Nao",G4857&lt;&gt;""),"PC_PAGO_A_CONTRATADA invalido",IF(AND(C4857&lt;&gt;"C0",IFERROR(INDEX(parametros!$A$2:$A$6,MATCH(C4857,parametros!$B$2:$B$6,0)),"")="Sim",IFERROR(INDEX(parametros!$H$2:$H$6,MATCH(C4857,parametros!$B$2:$B$6,0)),"")=""),"INICIO_EFEITO ausente: PC "&amp;A4857&amp;" - "&amp;C4857,IF(L4857="","EFEITO_PC nao calculado: PC "&amp;A4857&amp;" - "&amp;C4857,"OK")))))))))</f>
        <v/>
      </c>
      <c r="L4857" s="92" t="str">
        <f>IF(AND(A4857="",B4857="",D4857="",G4857=""),"",IF(OR(B4857="",NOT(ISNUMBER(B4857)),C4857="",C4857="Fora dos ciclos"),"",IF(C4857="C0","Nao",IF(IFERROR(INDEX(parametros!$A$2:$A$6,MATCH(C4857,parametros!$B$2:$B$6,0)),"")&lt;&gt;"Sim","Nao",IF(IFERROR(INDEX(parametros!$H$2:$H$6,MATCH(C4857,parametros!$B$2:$B$6,0)),"")="","",IF(B4857&gt;=IFERROR(INDEX(parametros!$H$2:$H$6,MATCH(C4857,parametros!$B$2:$B$6,0)),""),"Sim","Nao"))))))</f>
        <v/>
      </c>
      <c r="T4857" s="156"/>
      <c r="U4857" s="214" t="str">
        <f t="shared" si="381"/>
        <v/>
      </c>
      <c r="V4857" s="212" t="s">
        <v>50</v>
      </c>
      <c r="W4857" s="100" t="s">
        <v>168</v>
      </c>
      <c r="X4857" s="100" t="s">
        <v>169</v>
      </c>
      <c r="Y4857" s="101" t="s">
        <v>170</v>
      </c>
      <c r="Z4857" s="101" t="s">
        <v>171</v>
      </c>
      <c r="AA4857" s="101" t="s">
        <v>50</v>
      </c>
      <c r="AB4857" s="101" t="s">
        <v>172</v>
      </c>
      <c r="AC4857" s="102" t="s">
        <v>173</v>
      </c>
    </row>
    <row r="4858" spans="1:29" ht="25.5" customHeight="1" x14ac:dyDescent="0.35">
      <c r="A4858" s="392"/>
      <c r="B4858" s="393"/>
      <c r="C4858" s="99" t="str">
        <f>IF(B4858="","",IF(NOT(ISNUMBER(B4858)),"DATA_PC invalida",IF(NOT(ISNUMBER(parametros!$C$2)),"Fora dos ciclos",IF(OR(B4858&lt;parametros!$C$2,(YEAR(B4858)-YEAR(parametros!$C$2))*12+MONTH(B4858)-MONTH(parametros!$C$2)&gt;59),"Fora dos ciclos","C"&amp;INT(((YEAR(B4858)-YEAR(parametros!$C$2))*12+MONTH(B4858)-MONTH(parametros!$C$2))/12)))))</f>
        <v/>
      </c>
      <c r="D4858" s="394"/>
      <c r="E4858" s="78" t="str">
        <f>IF(C4858="","",IFERROR(VLOOKUP(C4858,parametros!$A$11:$E$15,5,0),""))</f>
        <v/>
      </c>
      <c r="F4858" s="79" t="str">
        <f t="shared" si="377"/>
        <v/>
      </c>
      <c r="G4858" s="395"/>
      <c r="H4858" s="91">
        <f t="shared" si="378"/>
        <v>0</v>
      </c>
      <c r="I4858" s="91" t="str">
        <f t="shared" si="379"/>
        <v/>
      </c>
      <c r="J4858" s="91" t="str">
        <f t="shared" si="380"/>
        <v/>
      </c>
      <c r="K4858" s="92" t="str">
        <f>IF(AND(A4858="",B4858="",D4858="",G4858=""),"",IF(AND(A4858&lt;&gt;"",COUNTIF($A$2:$A$5001,A4858)&gt;1),"NUMERO_PC duplicado",IF(B4858="","DATA_PC vazia",IF(NOT(ISNUMBER(B4858)),"DATA_PC invalida",IF(OR(C4858="",C4858="Fora dos ciclos"),"CICLO_PC nao identificado",IF(OR(D4858="",D4858=0),"VALOR_PC vazio ou zero",IF(AND(G4858&lt;&gt;"Sim",G4858&lt;&gt;"Nao",G4858&lt;&gt;""),"PC_PAGO_A_CONTRATADA invalido",IF(AND(C4858&lt;&gt;"C0",IFERROR(INDEX(parametros!$A$2:$A$6,MATCH(C4858,parametros!$B$2:$B$6,0)),"")="Sim",IFERROR(INDEX(parametros!$H$2:$H$6,MATCH(C4858,parametros!$B$2:$B$6,0)),"")=""),"INICIO_EFEITO ausente: PC "&amp;A4858&amp;" - "&amp;C4858,IF(L4858="","EFEITO_PC nao calculado: PC "&amp;A4858&amp;" - "&amp;C4858,"OK")))))))))</f>
        <v/>
      </c>
      <c r="L4858" s="92" t="str">
        <f>IF(AND(A4858="",B4858="",D4858="",G4858=""),"",IF(OR(B4858="",NOT(ISNUMBER(B4858)),C4858="",C4858="Fora dos ciclos"),"",IF(C4858="C0","Nao",IF(IFERROR(INDEX(parametros!$A$2:$A$6,MATCH(C4858,parametros!$B$2:$B$6,0)),"")&lt;&gt;"Sim","Nao",IF(IFERROR(INDEX(parametros!$H$2:$H$6,MATCH(C4858,parametros!$B$2:$B$6,0)),"")="","",IF(B4858&gt;=IFERROR(INDEX(parametros!$H$2:$H$6,MATCH(C4858,parametros!$B$2:$B$6,0)),""),"Sim","Nao"))))))</f>
        <v/>
      </c>
      <c r="T4858" s="156"/>
      <c r="U4858" s="214" t="str">
        <f t="shared" si="381"/>
        <v/>
      </c>
      <c r="V4858" s="212" t="s">
        <v>50</v>
      </c>
      <c r="W4858" s="100" t="s">
        <v>168</v>
      </c>
      <c r="X4858" s="100" t="s">
        <v>169</v>
      </c>
      <c r="Y4858" s="101" t="s">
        <v>170</v>
      </c>
      <c r="Z4858" s="101" t="s">
        <v>171</v>
      </c>
      <c r="AA4858" s="101" t="s">
        <v>50</v>
      </c>
      <c r="AB4858" s="101" t="s">
        <v>172</v>
      </c>
      <c r="AC4858" s="102" t="s">
        <v>173</v>
      </c>
    </row>
    <row r="4859" spans="1:29" ht="25.5" customHeight="1" x14ac:dyDescent="0.35">
      <c r="A4859" s="392"/>
      <c r="B4859" s="393"/>
      <c r="C4859" s="99" t="str">
        <f>IF(B4859="","",IF(NOT(ISNUMBER(B4859)),"DATA_PC invalida",IF(NOT(ISNUMBER(parametros!$C$2)),"Fora dos ciclos",IF(OR(B4859&lt;parametros!$C$2,(YEAR(B4859)-YEAR(parametros!$C$2))*12+MONTH(B4859)-MONTH(parametros!$C$2)&gt;59),"Fora dos ciclos","C"&amp;INT(((YEAR(B4859)-YEAR(parametros!$C$2))*12+MONTH(B4859)-MONTH(parametros!$C$2))/12)))))</f>
        <v/>
      </c>
      <c r="D4859" s="394"/>
      <c r="E4859" s="78" t="str">
        <f>IF(C4859="","",IFERROR(VLOOKUP(C4859,parametros!$A$11:$E$15,5,0),""))</f>
        <v/>
      </c>
      <c r="F4859" s="79" t="str">
        <f t="shared" si="377"/>
        <v/>
      </c>
      <c r="G4859" s="395"/>
      <c r="H4859" s="91">
        <f t="shared" si="378"/>
        <v>0</v>
      </c>
      <c r="I4859" s="91" t="str">
        <f t="shared" si="379"/>
        <v/>
      </c>
      <c r="J4859" s="91" t="str">
        <f t="shared" si="380"/>
        <v/>
      </c>
      <c r="K4859" s="92" t="str">
        <f>IF(AND(A4859="",B4859="",D4859="",G4859=""),"",IF(AND(A4859&lt;&gt;"",COUNTIF($A$2:$A$5001,A4859)&gt;1),"NUMERO_PC duplicado",IF(B4859="","DATA_PC vazia",IF(NOT(ISNUMBER(B4859)),"DATA_PC invalida",IF(OR(C4859="",C4859="Fora dos ciclos"),"CICLO_PC nao identificado",IF(OR(D4859="",D4859=0),"VALOR_PC vazio ou zero",IF(AND(G4859&lt;&gt;"Sim",G4859&lt;&gt;"Nao",G4859&lt;&gt;""),"PC_PAGO_A_CONTRATADA invalido",IF(AND(C4859&lt;&gt;"C0",IFERROR(INDEX(parametros!$A$2:$A$6,MATCH(C4859,parametros!$B$2:$B$6,0)),"")="Sim",IFERROR(INDEX(parametros!$H$2:$H$6,MATCH(C4859,parametros!$B$2:$B$6,0)),"")=""),"INICIO_EFEITO ausente: PC "&amp;A4859&amp;" - "&amp;C4859,IF(L4859="","EFEITO_PC nao calculado: PC "&amp;A4859&amp;" - "&amp;C4859,"OK")))))))))</f>
        <v/>
      </c>
      <c r="L4859" s="92" t="str">
        <f>IF(AND(A4859="",B4859="",D4859="",G4859=""),"",IF(OR(B4859="",NOT(ISNUMBER(B4859)),C4859="",C4859="Fora dos ciclos"),"",IF(C4859="C0","Nao",IF(IFERROR(INDEX(parametros!$A$2:$A$6,MATCH(C4859,parametros!$B$2:$B$6,0)),"")&lt;&gt;"Sim","Nao",IF(IFERROR(INDEX(parametros!$H$2:$H$6,MATCH(C4859,parametros!$B$2:$B$6,0)),"")="","",IF(B4859&gt;=IFERROR(INDEX(parametros!$H$2:$H$6,MATCH(C4859,parametros!$B$2:$B$6,0)),""),"Sim","Nao"))))))</f>
        <v/>
      </c>
      <c r="T4859" s="156"/>
      <c r="U4859" s="214" t="str">
        <f t="shared" si="381"/>
        <v/>
      </c>
      <c r="V4859" s="212" t="s">
        <v>50</v>
      </c>
      <c r="W4859" s="100" t="s">
        <v>168</v>
      </c>
      <c r="X4859" s="100" t="s">
        <v>169</v>
      </c>
      <c r="Y4859" s="101" t="s">
        <v>170</v>
      </c>
      <c r="Z4859" s="101" t="s">
        <v>171</v>
      </c>
      <c r="AA4859" s="101" t="s">
        <v>50</v>
      </c>
      <c r="AB4859" s="101" t="s">
        <v>172</v>
      </c>
      <c r="AC4859" s="102" t="s">
        <v>173</v>
      </c>
    </row>
    <row r="4860" spans="1:29" ht="25.5" customHeight="1" x14ac:dyDescent="0.35">
      <c r="A4860" s="392"/>
      <c r="B4860" s="393"/>
      <c r="C4860" s="99" t="str">
        <f>IF(B4860="","",IF(NOT(ISNUMBER(B4860)),"DATA_PC invalida",IF(NOT(ISNUMBER(parametros!$C$2)),"Fora dos ciclos",IF(OR(B4860&lt;parametros!$C$2,(YEAR(B4860)-YEAR(parametros!$C$2))*12+MONTH(B4860)-MONTH(parametros!$C$2)&gt;59),"Fora dos ciclos","C"&amp;INT(((YEAR(B4860)-YEAR(parametros!$C$2))*12+MONTH(B4860)-MONTH(parametros!$C$2))/12)))))</f>
        <v/>
      </c>
      <c r="D4860" s="394"/>
      <c r="E4860" s="78" t="str">
        <f>IF(C4860="","",IFERROR(VLOOKUP(C4860,parametros!$A$11:$E$15,5,0),""))</f>
        <v/>
      </c>
      <c r="F4860" s="79" t="str">
        <f t="shared" si="377"/>
        <v/>
      </c>
      <c r="G4860" s="395"/>
      <c r="H4860" s="91">
        <f t="shared" si="378"/>
        <v>0</v>
      </c>
      <c r="I4860" s="91" t="str">
        <f t="shared" si="379"/>
        <v/>
      </c>
      <c r="J4860" s="91" t="str">
        <f t="shared" si="380"/>
        <v/>
      </c>
      <c r="K4860" s="92" t="str">
        <f>IF(AND(A4860="",B4860="",D4860="",G4860=""),"",IF(AND(A4860&lt;&gt;"",COUNTIF($A$2:$A$5001,A4860)&gt;1),"NUMERO_PC duplicado",IF(B4860="","DATA_PC vazia",IF(NOT(ISNUMBER(B4860)),"DATA_PC invalida",IF(OR(C4860="",C4860="Fora dos ciclos"),"CICLO_PC nao identificado",IF(OR(D4860="",D4860=0),"VALOR_PC vazio ou zero",IF(AND(G4860&lt;&gt;"Sim",G4860&lt;&gt;"Nao",G4860&lt;&gt;""),"PC_PAGO_A_CONTRATADA invalido",IF(AND(C4860&lt;&gt;"C0",IFERROR(INDEX(parametros!$A$2:$A$6,MATCH(C4860,parametros!$B$2:$B$6,0)),"")="Sim",IFERROR(INDEX(parametros!$H$2:$H$6,MATCH(C4860,parametros!$B$2:$B$6,0)),"")=""),"INICIO_EFEITO ausente: PC "&amp;A4860&amp;" - "&amp;C4860,IF(L4860="","EFEITO_PC nao calculado: PC "&amp;A4860&amp;" - "&amp;C4860,"OK")))))))))</f>
        <v/>
      </c>
      <c r="L4860" s="92" t="str">
        <f>IF(AND(A4860="",B4860="",D4860="",G4860=""),"",IF(OR(B4860="",NOT(ISNUMBER(B4860)),C4860="",C4860="Fora dos ciclos"),"",IF(C4860="C0","Nao",IF(IFERROR(INDEX(parametros!$A$2:$A$6,MATCH(C4860,parametros!$B$2:$B$6,0)),"")&lt;&gt;"Sim","Nao",IF(IFERROR(INDEX(parametros!$H$2:$H$6,MATCH(C4860,parametros!$B$2:$B$6,0)),"")="","",IF(B4860&gt;=IFERROR(INDEX(parametros!$H$2:$H$6,MATCH(C4860,parametros!$B$2:$B$6,0)),""),"Sim","Nao"))))))</f>
        <v/>
      </c>
      <c r="T4860" s="156"/>
      <c r="U4860" s="214" t="str">
        <f t="shared" si="381"/>
        <v/>
      </c>
      <c r="V4860" s="212" t="s">
        <v>50</v>
      </c>
      <c r="W4860" s="100" t="s">
        <v>168</v>
      </c>
      <c r="X4860" s="100" t="s">
        <v>169</v>
      </c>
      <c r="Y4860" s="101" t="s">
        <v>170</v>
      </c>
      <c r="Z4860" s="101" t="s">
        <v>171</v>
      </c>
      <c r="AA4860" s="101" t="s">
        <v>50</v>
      </c>
      <c r="AB4860" s="101" t="s">
        <v>172</v>
      </c>
      <c r="AC4860" s="102" t="s">
        <v>173</v>
      </c>
    </row>
    <row r="4861" spans="1:29" ht="25.5" customHeight="1" x14ac:dyDescent="0.35">
      <c r="A4861" s="392"/>
      <c r="B4861" s="393"/>
      <c r="C4861" s="99" t="str">
        <f>IF(B4861="","",IF(NOT(ISNUMBER(B4861)),"DATA_PC invalida",IF(NOT(ISNUMBER(parametros!$C$2)),"Fora dos ciclos",IF(OR(B4861&lt;parametros!$C$2,(YEAR(B4861)-YEAR(parametros!$C$2))*12+MONTH(B4861)-MONTH(parametros!$C$2)&gt;59),"Fora dos ciclos","C"&amp;INT(((YEAR(B4861)-YEAR(parametros!$C$2))*12+MONTH(B4861)-MONTH(parametros!$C$2))/12)))))</f>
        <v/>
      </c>
      <c r="D4861" s="394"/>
      <c r="E4861" s="78" t="str">
        <f>IF(C4861="","",IFERROR(VLOOKUP(C4861,parametros!$A$11:$E$15,5,0),""))</f>
        <v/>
      </c>
      <c r="F4861" s="79" t="str">
        <f t="shared" si="377"/>
        <v/>
      </c>
      <c r="G4861" s="395"/>
      <c r="H4861" s="91">
        <f t="shared" si="378"/>
        <v>0</v>
      </c>
      <c r="I4861" s="91" t="str">
        <f t="shared" si="379"/>
        <v/>
      </c>
      <c r="J4861" s="91" t="str">
        <f t="shared" si="380"/>
        <v/>
      </c>
      <c r="K4861" s="92" t="str">
        <f>IF(AND(A4861="",B4861="",D4861="",G4861=""),"",IF(AND(A4861&lt;&gt;"",COUNTIF($A$2:$A$5001,A4861)&gt;1),"NUMERO_PC duplicado",IF(B4861="","DATA_PC vazia",IF(NOT(ISNUMBER(B4861)),"DATA_PC invalida",IF(OR(C4861="",C4861="Fora dos ciclos"),"CICLO_PC nao identificado",IF(OR(D4861="",D4861=0),"VALOR_PC vazio ou zero",IF(AND(G4861&lt;&gt;"Sim",G4861&lt;&gt;"Nao",G4861&lt;&gt;""),"PC_PAGO_A_CONTRATADA invalido",IF(AND(C4861&lt;&gt;"C0",IFERROR(INDEX(parametros!$A$2:$A$6,MATCH(C4861,parametros!$B$2:$B$6,0)),"")="Sim",IFERROR(INDEX(parametros!$H$2:$H$6,MATCH(C4861,parametros!$B$2:$B$6,0)),"")=""),"INICIO_EFEITO ausente: PC "&amp;A4861&amp;" - "&amp;C4861,IF(L4861="","EFEITO_PC nao calculado: PC "&amp;A4861&amp;" - "&amp;C4861,"OK")))))))))</f>
        <v/>
      </c>
      <c r="L4861" s="92" t="str">
        <f>IF(AND(A4861="",B4861="",D4861="",G4861=""),"",IF(OR(B4861="",NOT(ISNUMBER(B4861)),C4861="",C4861="Fora dos ciclos"),"",IF(C4861="C0","Nao",IF(IFERROR(INDEX(parametros!$A$2:$A$6,MATCH(C4861,parametros!$B$2:$B$6,0)),"")&lt;&gt;"Sim","Nao",IF(IFERROR(INDEX(parametros!$H$2:$H$6,MATCH(C4861,parametros!$B$2:$B$6,0)),"")="","",IF(B4861&gt;=IFERROR(INDEX(parametros!$H$2:$H$6,MATCH(C4861,parametros!$B$2:$B$6,0)),""),"Sim","Nao"))))))</f>
        <v/>
      </c>
      <c r="T4861" s="156"/>
      <c r="U4861" s="214" t="str">
        <f t="shared" si="381"/>
        <v/>
      </c>
      <c r="V4861" s="212" t="s">
        <v>50</v>
      </c>
      <c r="W4861" s="100" t="s">
        <v>168</v>
      </c>
      <c r="X4861" s="100" t="s">
        <v>169</v>
      </c>
      <c r="Y4861" s="101" t="s">
        <v>170</v>
      </c>
      <c r="Z4861" s="101" t="s">
        <v>171</v>
      </c>
      <c r="AA4861" s="101" t="s">
        <v>50</v>
      </c>
      <c r="AB4861" s="101" t="s">
        <v>172</v>
      </c>
      <c r="AC4861" s="102" t="s">
        <v>173</v>
      </c>
    </row>
    <row r="4862" spans="1:29" ht="25.5" customHeight="1" x14ac:dyDescent="0.35">
      <c r="A4862" s="392"/>
      <c r="B4862" s="393"/>
      <c r="C4862" s="99" t="str">
        <f>IF(B4862="","",IF(NOT(ISNUMBER(B4862)),"DATA_PC invalida",IF(NOT(ISNUMBER(parametros!$C$2)),"Fora dos ciclos",IF(OR(B4862&lt;parametros!$C$2,(YEAR(B4862)-YEAR(parametros!$C$2))*12+MONTH(B4862)-MONTH(parametros!$C$2)&gt;59),"Fora dos ciclos","C"&amp;INT(((YEAR(B4862)-YEAR(parametros!$C$2))*12+MONTH(B4862)-MONTH(parametros!$C$2))/12)))))</f>
        <v/>
      </c>
      <c r="D4862" s="394"/>
      <c r="E4862" s="78" t="str">
        <f>IF(C4862="","",IFERROR(VLOOKUP(C4862,parametros!$A$11:$E$15,5,0),""))</f>
        <v/>
      </c>
      <c r="F4862" s="79" t="str">
        <f t="shared" si="377"/>
        <v/>
      </c>
      <c r="G4862" s="395"/>
      <c r="H4862" s="91">
        <f t="shared" si="378"/>
        <v>0</v>
      </c>
      <c r="I4862" s="91" t="str">
        <f t="shared" si="379"/>
        <v/>
      </c>
      <c r="J4862" s="91" t="str">
        <f t="shared" si="380"/>
        <v/>
      </c>
      <c r="K4862" s="92" t="str">
        <f>IF(AND(A4862="",B4862="",D4862="",G4862=""),"",IF(AND(A4862&lt;&gt;"",COUNTIF($A$2:$A$5001,A4862)&gt;1),"NUMERO_PC duplicado",IF(B4862="","DATA_PC vazia",IF(NOT(ISNUMBER(B4862)),"DATA_PC invalida",IF(OR(C4862="",C4862="Fora dos ciclos"),"CICLO_PC nao identificado",IF(OR(D4862="",D4862=0),"VALOR_PC vazio ou zero",IF(AND(G4862&lt;&gt;"Sim",G4862&lt;&gt;"Nao",G4862&lt;&gt;""),"PC_PAGO_A_CONTRATADA invalido",IF(AND(C4862&lt;&gt;"C0",IFERROR(INDEX(parametros!$A$2:$A$6,MATCH(C4862,parametros!$B$2:$B$6,0)),"")="Sim",IFERROR(INDEX(parametros!$H$2:$H$6,MATCH(C4862,parametros!$B$2:$B$6,0)),"")=""),"INICIO_EFEITO ausente: PC "&amp;A4862&amp;" - "&amp;C4862,IF(L4862="","EFEITO_PC nao calculado: PC "&amp;A4862&amp;" - "&amp;C4862,"OK")))))))))</f>
        <v/>
      </c>
      <c r="L4862" s="92" t="str">
        <f>IF(AND(A4862="",B4862="",D4862="",G4862=""),"",IF(OR(B4862="",NOT(ISNUMBER(B4862)),C4862="",C4862="Fora dos ciclos"),"",IF(C4862="C0","Nao",IF(IFERROR(INDEX(parametros!$A$2:$A$6,MATCH(C4862,parametros!$B$2:$B$6,0)),"")&lt;&gt;"Sim","Nao",IF(IFERROR(INDEX(parametros!$H$2:$H$6,MATCH(C4862,parametros!$B$2:$B$6,0)),"")="","",IF(B4862&gt;=IFERROR(INDEX(parametros!$H$2:$H$6,MATCH(C4862,parametros!$B$2:$B$6,0)),""),"Sim","Nao"))))))</f>
        <v/>
      </c>
      <c r="T4862" s="156"/>
      <c r="U4862" s="214" t="str">
        <f t="shared" si="381"/>
        <v/>
      </c>
      <c r="V4862" s="212" t="s">
        <v>50</v>
      </c>
      <c r="W4862" s="100" t="s">
        <v>168</v>
      </c>
      <c r="X4862" s="100" t="s">
        <v>169</v>
      </c>
      <c r="Y4862" s="101" t="s">
        <v>170</v>
      </c>
      <c r="Z4862" s="101" t="s">
        <v>171</v>
      </c>
      <c r="AA4862" s="101" t="s">
        <v>50</v>
      </c>
      <c r="AB4862" s="101" t="s">
        <v>172</v>
      </c>
      <c r="AC4862" s="102" t="s">
        <v>173</v>
      </c>
    </row>
    <row r="4863" spans="1:29" ht="25.5" customHeight="1" x14ac:dyDescent="0.35">
      <c r="A4863" s="392"/>
      <c r="B4863" s="393"/>
      <c r="C4863" s="99" t="str">
        <f>IF(B4863="","",IF(NOT(ISNUMBER(B4863)),"DATA_PC invalida",IF(NOT(ISNUMBER(parametros!$C$2)),"Fora dos ciclos",IF(OR(B4863&lt;parametros!$C$2,(YEAR(B4863)-YEAR(parametros!$C$2))*12+MONTH(B4863)-MONTH(parametros!$C$2)&gt;59),"Fora dos ciclos","C"&amp;INT(((YEAR(B4863)-YEAR(parametros!$C$2))*12+MONTH(B4863)-MONTH(parametros!$C$2))/12)))))</f>
        <v/>
      </c>
      <c r="D4863" s="394"/>
      <c r="E4863" s="78" t="str">
        <f>IF(C4863="","",IFERROR(VLOOKUP(C4863,parametros!$A$11:$E$15,5,0),""))</f>
        <v/>
      </c>
      <c r="F4863" s="79" t="str">
        <f t="shared" si="377"/>
        <v/>
      </c>
      <c r="G4863" s="395"/>
      <c r="H4863" s="91">
        <f t="shared" si="378"/>
        <v>0</v>
      </c>
      <c r="I4863" s="91" t="str">
        <f t="shared" si="379"/>
        <v/>
      </c>
      <c r="J4863" s="91" t="str">
        <f t="shared" si="380"/>
        <v/>
      </c>
      <c r="K4863" s="92" t="str">
        <f>IF(AND(A4863="",B4863="",D4863="",G4863=""),"",IF(AND(A4863&lt;&gt;"",COUNTIF($A$2:$A$5001,A4863)&gt;1),"NUMERO_PC duplicado",IF(B4863="","DATA_PC vazia",IF(NOT(ISNUMBER(B4863)),"DATA_PC invalida",IF(OR(C4863="",C4863="Fora dos ciclos"),"CICLO_PC nao identificado",IF(OR(D4863="",D4863=0),"VALOR_PC vazio ou zero",IF(AND(G4863&lt;&gt;"Sim",G4863&lt;&gt;"Nao",G4863&lt;&gt;""),"PC_PAGO_A_CONTRATADA invalido",IF(AND(C4863&lt;&gt;"C0",IFERROR(INDEX(parametros!$A$2:$A$6,MATCH(C4863,parametros!$B$2:$B$6,0)),"")="Sim",IFERROR(INDEX(parametros!$H$2:$H$6,MATCH(C4863,parametros!$B$2:$B$6,0)),"")=""),"INICIO_EFEITO ausente: PC "&amp;A4863&amp;" - "&amp;C4863,IF(L4863="","EFEITO_PC nao calculado: PC "&amp;A4863&amp;" - "&amp;C4863,"OK")))))))))</f>
        <v/>
      </c>
      <c r="L4863" s="92" t="str">
        <f>IF(AND(A4863="",B4863="",D4863="",G4863=""),"",IF(OR(B4863="",NOT(ISNUMBER(B4863)),C4863="",C4863="Fora dos ciclos"),"",IF(C4863="C0","Nao",IF(IFERROR(INDEX(parametros!$A$2:$A$6,MATCH(C4863,parametros!$B$2:$B$6,0)),"")&lt;&gt;"Sim","Nao",IF(IFERROR(INDEX(parametros!$H$2:$H$6,MATCH(C4863,parametros!$B$2:$B$6,0)),"")="","",IF(B4863&gt;=IFERROR(INDEX(parametros!$H$2:$H$6,MATCH(C4863,parametros!$B$2:$B$6,0)),""),"Sim","Nao"))))))</f>
        <v/>
      </c>
      <c r="T4863" s="156"/>
      <c r="U4863" s="214" t="str">
        <f t="shared" si="381"/>
        <v/>
      </c>
      <c r="V4863" s="212" t="s">
        <v>50</v>
      </c>
      <c r="W4863" s="100" t="s">
        <v>168</v>
      </c>
      <c r="X4863" s="100" t="s">
        <v>169</v>
      </c>
      <c r="Y4863" s="101" t="s">
        <v>170</v>
      </c>
      <c r="Z4863" s="101" t="s">
        <v>171</v>
      </c>
      <c r="AA4863" s="101" t="s">
        <v>50</v>
      </c>
      <c r="AB4863" s="101" t="s">
        <v>172</v>
      </c>
      <c r="AC4863" s="102" t="s">
        <v>173</v>
      </c>
    </row>
    <row r="4864" spans="1:29" ht="25.5" customHeight="1" x14ac:dyDescent="0.35">
      <c r="A4864" s="392"/>
      <c r="B4864" s="393"/>
      <c r="C4864" s="99" t="str">
        <f>IF(B4864="","",IF(NOT(ISNUMBER(B4864)),"DATA_PC invalida",IF(NOT(ISNUMBER(parametros!$C$2)),"Fora dos ciclos",IF(OR(B4864&lt;parametros!$C$2,(YEAR(B4864)-YEAR(parametros!$C$2))*12+MONTH(B4864)-MONTH(parametros!$C$2)&gt;59),"Fora dos ciclos","C"&amp;INT(((YEAR(B4864)-YEAR(parametros!$C$2))*12+MONTH(B4864)-MONTH(parametros!$C$2))/12)))))</f>
        <v/>
      </c>
      <c r="D4864" s="394"/>
      <c r="E4864" s="78" t="str">
        <f>IF(C4864="","",IFERROR(VLOOKUP(C4864,parametros!$A$11:$E$15,5,0),""))</f>
        <v/>
      </c>
      <c r="F4864" s="79" t="str">
        <f t="shared" si="377"/>
        <v/>
      </c>
      <c r="G4864" s="395"/>
      <c r="H4864" s="91">
        <f t="shared" si="378"/>
        <v>0</v>
      </c>
      <c r="I4864" s="91" t="str">
        <f t="shared" si="379"/>
        <v/>
      </c>
      <c r="J4864" s="91" t="str">
        <f t="shared" si="380"/>
        <v/>
      </c>
      <c r="K4864" s="92" t="str">
        <f>IF(AND(A4864="",B4864="",D4864="",G4864=""),"",IF(AND(A4864&lt;&gt;"",COUNTIF($A$2:$A$5001,A4864)&gt;1),"NUMERO_PC duplicado",IF(B4864="","DATA_PC vazia",IF(NOT(ISNUMBER(B4864)),"DATA_PC invalida",IF(OR(C4864="",C4864="Fora dos ciclos"),"CICLO_PC nao identificado",IF(OR(D4864="",D4864=0),"VALOR_PC vazio ou zero",IF(AND(G4864&lt;&gt;"Sim",G4864&lt;&gt;"Nao",G4864&lt;&gt;""),"PC_PAGO_A_CONTRATADA invalido",IF(AND(C4864&lt;&gt;"C0",IFERROR(INDEX(parametros!$A$2:$A$6,MATCH(C4864,parametros!$B$2:$B$6,0)),"")="Sim",IFERROR(INDEX(parametros!$H$2:$H$6,MATCH(C4864,parametros!$B$2:$B$6,0)),"")=""),"INICIO_EFEITO ausente: PC "&amp;A4864&amp;" - "&amp;C4864,IF(L4864="","EFEITO_PC nao calculado: PC "&amp;A4864&amp;" - "&amp;C4864,"OK")))))))))</f>
        <v/>
      </c>
      <c r="L4864" s="92" t="str">
        <f>IF(AND(A4864="",B4864="",D4864="",G4864=""),"",IF(OR(B4864="",NOT(ISNUMBER(B4864)),C4864="",C4864="Fora dos ciclos"),"",IF(C4864="C0","Nao",IF(IFERROR(INDEX(parametros!$A$2:$A$6,MATCH(C4864,parametros!$B$2:$B$6,0)),"")&lt;&gt;"Sim","Nao",IF(IFERROR(INDEX(parametros!$H$2:$H$6,MATCH(C4864,parametros!$B$2:$B$6,0)),"")="","",IF(B4864&gt;=IFERROR(INDEX(parametros!$H$2:$H$6,MATCH(C4864,parametros!$B$2:$B$6,0)),""),"Sim","Nao"))))))</f>
        <v/>
      </c>
      <c r="T4864" s="156"/>
      <c r="U4864" s="214" t="str">
        <f t="shared" si="381"/>
        <v/>
      </c>
      <c r="V4864" s="212" t="s">
        <v>50</v>
      </c>
      <c r="W4864" s="100" t="s">
        <v>168</v>
      </c>
      <c r="X4864" s="100" t="s">
        <v>169</v>
      </c>
      <c r="Y4864" s="101" t="s">
        <v>170</v>
      </c>
      <c r="Z4864" s="101" t="s">
        <v>171</v>
      </c>
      <c r="AA4864" s="101" t="s">
        <v>50</v>
      </c>
      <c r="AB4864" s="101" t="s">
        <v>172</v>
      </c>
      <c r="AC4864" s="102" t="s">
        <v>173</v>
      </c>
    </row>
    <row r="4865" spans="1:29" ht="25.5" customHeight="1" x14ac:dyDescent="0.35">
      <c r="A4865" s="392"/>
      <c r="B4865" s="393"/>
      <c r="C4865" s="99" t="str">
        <f>IF(B4865="","",IF(NOT(ISNUMBER(B4865)),"DATA_PC invalida",IF(NOT(ISNUMBER(parametros!$C$2)),"Fora dos ciclos",IF(OR(B4865&lt;parametros!$C$2,(YEAR(B4865)-YEAR(parametros!$C$2))*12+MONTH(B4865)-MONTH(parametros!$C$2)&gt;59),"Fora dos ciclos","C"&amp;INT(((YEAR(B4865)-YEAR(parametros!$C$2))*12+MONTH(B4865)-MONTH(parametros!$C$2))/12)))))</f>
        <v/>
      </c>
      <c r="D4865" s="394"/>
      <c r="E4865" s="78" t="str">
        <f>IF(C4865="","",IFERROR(VLOOKUP(C4865,parametros!$A$11:$E$15,5,0),""))</f>
        <v/>
      </c>
      <c r="F4865" s="79" t="str">
        <f t="shared" si="377"/>
        <v/>
      </c>
      <c r="G4865" s="395"/>
      <c r="H4865" s="91">
        <f t="shared" si="378"/>
        <v>0</v>
      </c>
      <c r="I4865" s="91" t="str">
        <f t="shared" si="379"/>
        <v/>
      </c>
      <c r="J4865" s="91" t="str">
        <f t="shared" si="380"/>
        <v/>
      </c>
      <c r="K4865" s="92" t="str">
        <f>IF(AND(A4865="",B4865="",D4865="",G4865=""),"",IF(AND(A4865&lt;&gt;"",COUNTIF($A$2:$A$5001,A4865)&gt;1),"NUMERO_PC duplicado",IF(B4865="","DATA_PC vazia",IF(NOT(ISNUMBER(B4865)),"DATA_PC invalida",IF(OR(C4865="",C4865="Fora dos ciclos"),"CICLO_PC nao identificado",IF(OR(D4865="",D4865=0),"VALOR_PC vazio ou zero",IF(AND(G4865&lt;&gt;"Sim",G4865&lt;&gt;"Nao",G4865&lt;&gt;""),"PC_PAGO_A_CONTRATADA invalido",IF(AND(C4865&lt;&gt;"C0",IFERROR(INDEX(parametros!$A$2:$A$6,MATCH(C4865,parametros!$B$2:$B$6,0)),"")="Sim",IFERROR(INDEX(parametros!$H$2:$H$6,MATCH(C4865,parametros!$B$2:$B$6,0)),"")=""),"INICIO_EFEITO ausente: PC "&amp;A4865&amp;" - "&amp;C4865,IF(L4865="","EFEITO_PC nao calculado: PC "&amp;A4865&amp;" - "&amp;C4865,"OK")))))))))</f>
        <v/>
      </c>
      <c r="L4865" s="92" t="str">
        <f>IF(AND(A4865="",B4865="",D4865="",G4865=""),"",IF(OR(B4865="",NOT(ISNUMBER(B4865)),C4865="",C4865="Fora dos ciclos"),"",IF(C4865="C0","Nao",IF(IFERROR(INDEX(parametros!$A$2:$A$6,MATCH(C4865,parametros!$B$2:$B$6,0)),"")&lt;&gt;"Sim","Nao",IF(IFERROR(INDEX(parametros!$H$2:$H$6,MATCH(C4865,parametros!$B$2:$B$6,0)),"")="","",IF(B4865&gt;=IFERROR(INDEX(parametros!$H$2:$H$6,MATCH(C4865,parametros!$B$2:$B$6,0)),""),"Sim","Nao"))))))</f>
        <v/>
      </c>
      <c r="T4865" s="156"/>
      <c r="U4865" s="214" t="str">
        <f t="shared" si="381"/>
        <v/>
      </c>
      <c r="V4865" s="212" t="s">
        <v>50</v>
      </c>
      <c r="W4865" s="100" t="s">
        <v>168</v>
      </c>
      <c r="X4865" s="100" t="s">
        <v>169</v>
      </c>
      <c r="Y4865" s="101" t="s">
        <v>170</v>
      </c>
      <c r="Z4865" s="101" t="s">
        <v>171</v>
      </c>
      <c r="AA4865" s="101" t="s">
        <v>50</v>
      </c>
      <c r="AB4865" s="101" t="s">
        <v>172</v>
      </c>
      <c r="AC4865" s="102" t="s">
        <v>173</v>
      </c>
    </row>
    <row r="4866" spans="1:29" ht="25.5" customHeight="1" x14ac:dyDescent="0.35">
      <c r="A4866" s="392"/>
      <c r="B4866" s="393"/>
      <c r="C4866" s="99" t="str">
        <f>IF(B4866="","",IF(NOT(ISNUMBER(B4866)),"DATA_PC invalida",IF(NOT(ISNUMBER(parametros!$C$2)),"Fora dos ciclos",IF(OR(B4866&lt;parametros!$C$2,(YEAR(B4866)-YEAR(parametros!$C$2))*12+MONTH(B4866)-MONTH(parametros!$C$2)&gt;59),"Fora dos ciclos","C"&amp;INT(((YEAR(B4866)-YEAR(parametros!$C$2))*12+MONTH(B4866)-MONTH(parametros!$C$2))/12)))))</f>
        <v/>
      </c>
      <c r="D4866" s="394"/>
      <c r="E4866" s="78" t="str">
        <f>IF(C4866="","",IFERROR(VLOOKUP(C4866,parametros!$A$11:$E$15,5,0),""))</f>
        <v/>
      </c>
      <c r="F4866" s="79" t="str">
        <f t="shared" ref="F4866:F4929" si="382">IF(OR(D4866="",E4866=""),"",ROUND(D4866*E4866,2))</f>
        <v/>
      </c>
      <c r="G4866" s="395"/>
      <c r="H4866" s="91">
        <f t="shared" ref="H4866:H4929" si="383">IF(G4866="Sim",IF(OR(F4866="",D4866="",L4866=""),"",IF(L4866="Sim",ROUND(F4866-D4866,2),0)),0)</f>
        <v>0</v>
      </c>
      <c r="I4866" s="91" t="str">
        <f t="shared" ref="I4866:I4929" si="384">IF(G4866="Sim",0,IF(OR(F4866="",L4866=""),"",F4866))</f>
        <v/>
      </c>
      <c r="J4866" s="91" t="str">
        <f t="shared" ref="J4866:J4929" si="385">IF(G4866="Sim",0,IF(OR(F4866="",D4866="",L4866=""),"",IF(L4866="Sim",ROUND(F4866-D4866,2),0)))</f>
        <v/>
      </c>
      <c r="K4866" s="92" t="str">
        <f>IF(AND(A4866="",B4866="",D4866="",G4866=""),"",IF(AND(A4866&lt;&gt;"",COUNTIF($A$2:$A$5001,A4866)&gt;1),"NUMERO_PC duplicado",IF(B4866="","DATA_PC vazia",IF(NOT(ISNUMBER(B4866)),"DATA_PC invalida",IF(OR(C4866="",C4866="Fora dos ciclos"),"CICLO_PC nao identificado",IF(OR(D4866="",D4866=0),"VALOR_PC vazio ou zero",IF(AND(G4866&lt;&gt;"Sim",G4866&lt;&gt;"Nao",G4866&lt;&gt;""),"PC_PAGO_A_CONTRATADA invalido",IF(AND(C4866&lt;&gt;"C0",IFERROR(INDEX(parametros!$A$2:$A$6,MATCH(C4866,parametros!$B$2:$B$6,0)),"")="Sim",IFERROR(INDEX(parametros!$H$2:$H$6,MATCH(C4866,parametros!$B$2:$B$6,0)),"")=""),"INICIO_EFEITO ausente: PC "&amp;A4866&amp;" - "&amp;C4866,IF(L4866="","EFEITO_PC nao calculado: PC "&amp;A4866&amp;" - "&amp;C4866,"OK")))))))))</f>
        <v/>
      </c>
      <c r="L4866" s="92" t="str">
        <f>IF(AND(A4866="",B4866="",D4866="",G4866=""),"",IF(OR(B4866="",NOT(ISNUMBER(B4866)),C4866="",C4866="Fora dos ciclos"),"",IF(C4866="C0","Nao",IF(IFERROR(INDEX(parametros!$A$2:$A$6,MATCH(C4866,parametros!$B$2:$B$6,0)),"")&lt;&gt;"Sim","Nao",IF(IFERROR(INDEX(parametros!$H$2:$H$6,MATCH(C4866,parametros!$B$2:$B$6,0)),"")="","",IF(B4866&gt;=IFERROR(INDEX(parametros!$H$2:$H$6,MATCH(C4866,parametros!$B$2:$B$6,0)),""),"Sim","Nao"))))))</f>
        <v/>
      </c>
      <c r="T4866" s="156"/>
      <c r="U4866" s="214" t="str">
        <f t="shared" ref="U4866:U4929" si="386">IF(OR($D4866="",$H4866=""),"",ROUND($D4866+$H4866,2))</f>
        <v/>
      </c>
      <c r="V4866" s="212" t="s">
        <v>50</v>
      </c>
      <c r="W4866" s="100" t="s">
        <v>168</v>
      </c>
      <c r="X4866" s="100" t="s">
        <v>169</v>
      </c>
      <c r="Y4866" s="101" t="s">
        <v>170</v>
      </c>
      <c r="Z4866" s="101" t="s">
        <v>171</v>
      </c>
      <c r="AA4866" s="101" t="s">
        <v>50</v>
      </c>
      <c r="AB4866" s="101" t="s">
        <v>172</v>
      </c>
      <c r="AC4866" s="102" t="s">
        <v>173</v>
      </c>
    </row>
    <row r="4867" spans="1:29" ht="25.5" customHeight="1" x14ac:dyDescent="0.35">
      <c r="A4867" s="392"/>
      <c r="B4867" s="393"/>
      <c r="C4867" s="99" t="str">
        <f>IF(B4867="","",IF(NOT(ISNUMBER(B4867)),"DATA_PC invalida",IF(NOT(ISNUMBER(parametros!$C$2)),"Fora dos ciclos",IF(OR(B4867&lt;parametros!$C$2,(YEAR(B4867)-YEAR(parametros!$C$2))*12+MONTH(B4867)-MONTH(parametros!$C$2)&gt;59),"Fora dos ciclos","C"&amp;INT(((YEAR(B4867)-YEAR(parametros!$C$2))*12+MONTH(B4867)-MONTH(parametros!$C$2))/12)))))</f>
        <v/>
      </c>
      <c r="D4867" s="394"/>
      <c r="E4867" s="78" t="str">
        <f>IF(C4867="","",IFERROR(VLOOKUP(C4867,parametros!$A$11:$E$15,5,0),""))</f>
        <v/>
      </c>
      <c r="F4867" s="79" t="str">
        <f t="shared" si="382"/>
        <v/>
      </c>
      <c r="G4867" s="395"/>
      <c r="H4867" s="91">
        <f t="shared" si="383"/>
        <v>0</v>
      </c>
      <c r="I4867" s="91" t="str">
        <f t="shared" si="384"/>
        <v/>
      </c>
      <c r="J4867" s="91" t="str">
        <f t="shared" si="385"/>
        <v/>
      </c>
      <c r="K4867" s="92" t="str">
        <f>IF(AND(A4867="",B4867="",D4867="",G4867=""),"",IF(AND(A4867&lt;&gt;"",COUNTIF($A$2:$A$5001,A4867)&gt;1),"NUMERO_PC duplicado",IF(B4867="","DATA_PC vazia",IF(NOT(ISNUMBER(B4867)),"DATA_PC invalida",IF(OR(C4867="",C4867="Fora dos ciclos"),"CICLO_PC nao identificado",IF(OR(D4867="",D4867=0),"VALOR_PC vazio ou zero",IF(AND(G4867&lt;&gt;"Sim",G4867&lt;&gt;"Nao",G4867&lt;&gt;""),"PC_PAGO_A_CONTRATADA invalido",IF(AND(C4867&lt;&gt;"C0",IFERROR(INDEX(parametros!$A$2:$A$6,MATCH(C4867,parametros!$B$2:$B$6,0)),"")="Sim",IFERROR(INDEX(parametros!$H$2:$H$6,MATCH(C4867,parametros!$B$2:$B$6,0)),"")=""),"INICIO_EFEITO ausente: PC "&amp;A4867&amp;" - "&amp;C4867,IF(L4867="","EFEITO_PC nao calculado: PC "&amp;A4867&amp;" - "&amp;C4867,"OK")))))))))</f>
        <v/>
      </c>
      <c r="L4867" s="92" t="str">
        <f>IF(AND(A4867="",B4867="",D4867="",G4867=""),"",IF(OR(B4867="",NOT(ISNUMBER(B4867)),C4867="",C4867="Fora dos ciclos"),"",IF(C4867="C0","Nao",IF(IFERROR(INDEX(parametros!$A$2:$A$6,MATCH(C4867,parametros!$B$2:$B$6,0)),"")&lt;&gt;"Sim","Nao",IF(IFERROR(INDEX(parametros!$H$2:$H$6,MATCH(C4867,parametros!$B$2:$B$6,0)),"")="","",IF(B4867&gt;=IFERROR(INDEX(parametros!$H$2:$H$6,MATCH(C4867,parametros!$B$2:$B$6,0)),""),"Sim","Nao"))))))</f>
        <v/>
      </c>
      <c r="T4867" s="156"/>
      <c r="U4867" s="214" t="str">
        <f t="shared" si="386"/>
        <v/>
      </c>
      <c r="V4867" s="212" t="s">
        <v>50</v>
      </c>
      <c r="W4867" s="100" t="s">
        <v>168</v>
      </c>
      <c r="X4867" s="100" t="s">
        <v>169</v>
      </c>
      <c r="Y4867" s="101" t="s">
        <v>170</v>
      </c>
      <c r="Z4867" s="101" t="s">
        <v>171</v>
      </c>
      <c r="AA4867" s="101" t="s">
        <v>50</v>
      </c>
      <c r="AB4867" s="101" t="s">
        <v>172</v>
      </c>
      <c r="AC4867" s="102" t="s">
        <v>173</v>
      </c>
    </row>
    <row r="4868" spans="1:29" ht="25.5" customHeight="1" x14ac:dyDescent="0.35">
      <c r="A4868" s="392"/>
      <c r="B4868" s="393"/>
      <c r="C4868" s="99" t="str">
        <f>IF(B4868="","",IF(NOT(ISNUMBER(B4868)),"DATA_PC invalida",IF(NOT(ISNUMBER(parametros!$C$2)),"Fora dos ciclos",IF(OR(B4868&lt;parametros!$C$2,(YEAR(B4868)-YEAR(parametros!$C$2))*12+MONTH(B4868)-MONTH(parametros!$C$2)&gt;59),"Fora dos ciclos","C"&amp;INT(((YEAR(B4868)-YEAR(parametros!$C$2))*12+MONTH(B4868)-MONTH(parametros!$C$2))/12)))))</f>
        <v/>
      </c>
      <c r="D4868" s="394"/>
      <c r="E4868" s="78" t="str">
        <f>IF(C4868="","",IFERROR(VLOOKUP(C4868,parametros!$A$11:$E$15,5,0),""))</f>
        <v/>
      </c>
      <c r="F4868" s="79" t="str">
        <f t="shared" si="382"/>
        <v/>
      </c>
      <c r="G4868" s="395"/>
      <c r="H4868" s="91">
        <f t="shared" si="383"/>
        <v>0</v>
      </c>
      <c r="I4868" s="91" t="str">
        <f t="shared" si="384"/>
        <v/>
      </c>
      <c r="J4868" s="91" t="str">
        <f t="shared" si="385"/>
        <v/>
      </c>
      <c r="K4868" s="92" t="str">
        <f>IF(AND(A4868="",B4868="",D4868="",G4868=""),"",IF(AND(A4868&lt;&gt;"",COUNTIF($A$2:$A$5001,A4868)&gt;1),"NUMERO_PC duplicado",IF(B4868="","DATA_PC vazia",IF(NOT(ISNUMBER(B4868)),"DATA_PC invalida",IF(OR(C4868="",C4868="Fora dos ciclos"),"CICLO_PC nao identificado",IF(OR(D4868="",D4868=0),"VALOR_PC vazio ou zero",IF(AND(G4868&lt;&gt;"Sim",G4868&lt;&gt;"Nao",G4868&lt;&gt;""),"PC_PAGO_A_CONTRATADA invalido",IF(AND(C4868&lt;&gt;"C0",IFERROR(INDEX(parametros!$A$2:$A$6,MATCH(C4868,parametros!$B$2:$B$6,0)),"")="Sim",IFERROR(INDEX(parametros!$H$2:$H$6,MATCH(C4868,parametros!$B$2:$B$6,0)),"")=""),"INICIO_EFEITO ausente: PC "&amp;A4868&amp;" - "&amp;C4868,IF(L4868="","EFEITO_PC nao calculado: PC "&amp;A4868&amp;" - "&amp;C4868,"OK")))))))))</f>
        <v/>
      </c>
      <c r="L4868" s="92" t="str">
        <f>IF(AND(A4868="",B4868="",D4868="",G4868=""),"",IF(OR(B4868="",NOT(ISNUMBER(B4868)),C4868="",C4868="Fora dos ciclos"),"",IF(C4868="C0","Nao",IF(IFERROR(INDEX(parametros!$A$2:$A$6,MATCH(C4868,parametros!$B$2:$B$6,0)),"")&lt;&gt;"Sim","Nao",IF(IFERROR(INDEX(parametros!$H$2:$H$6,MATCH(C4868,parametros!$B$2:$B$6,0)),"")="","",IF(B4868&gt;=IFERROR(INDEX(parametros!$H$2:$H$6,MATCH(C4868,parametros!$B$2:$B$6,0)),""),"Sim","Nao"))))))</f>
        <v/>
      </c>
      <c r="T4868" s="156"/>
      <c r="U4868" s="214" t="str">
        <f t="shared" si="386"/>
        <v/>
      </c>
      <c r="V4868" s="212" t="s">
        <v>50</v>
      </c>
      <c r="W4868" s="100" t="s">
        <v>168</v>
      </c>
      <c r="X4868" s="100" t="s">
        <v>169</v>
      </c>
      <c r="Y4868" s="101" t="s">
        <v>170</v>
      </c>
      <c r="Z4868" s="101" t="s">
        <v>171</v>
      </c>
      <c r="AA4868" s="101" t="s">
        <v>50</v>
      </c>
      <c r="AB4868" s="101" t="s">
        <v>172</v>
      </c>
      <c r="AC4868" s="102" t="s">
        <v>173</v>
      </c>
    </row>
    <row r="4869" spans="1:29" ht="25.5" customHeight="1" x14ac:dyDescent="0.35">
      <c r="A4869" s="392"/>
      <c r="B4869" s="393"/>
      <c r="C4869" s="99" t="str">
        <f>IF(B4869="","",IF(NOT(ISNUMBER(B4869)),"DATA_PC invalida",IF(NOT(ISNUMBER(parametros!$C$2)),"Fora dos ciclos",IF(OR(B4869&lt;parametros!$C$2,(YEAR(B4869)-YEAR(parametros!$C$2))*12+MONTH(B4869)-MONTH(parametros!$C$2)&gt;59),"Fora dos ciclos","C"&amp;INT(((YEAR(B4869)-YEAR(parametros!$C$2))*12+MONTH(B4869)-MONTH(parametros!$C$2))/12)))))</f>
        <v/>
      </c>
      <c r="D4869" s="394"/>
      <c r="E4869" s="78" t="str">
        <f>IF(C4869="","",IFERROR(VLOOKUP(C4869,parametros!$A$11:$E$15,5,0),""))</f>
        <v/>
      </c>
      <c r="F4869" s="79" t="str">
        <f t="shared" si="382"/>
        <v/>
      </c>
      <c r="G4869" s="395"/>
      <c r="H4869" s="91">
        <f t="shared" si="383"/>
        <v>0</v>
      </c>
      <c r="I4869" s="91" t="str">
        <f t="shared" si="384"/>
        <v/>
      </c>
      <c r="J4869" s="91" t="str">
        <f t="shared" si="385"/>
        <v/>
      </c>
      <c r="K4869" s="92" t="str">
        <f>IF(AND(A4869="",B4869="",D4869="",G4869=""),"",IF(AND(A4869&lt;&gt;"",COUNTIF($A$2:$A$5001,A4869)&gt;1),"NUMERO_PC duplicado",IF(B4869="","DATA_PC vazia",IF(NOT(ISNUMBER(B4869)),"DATA_PC invalida",IF(OR(C4869="",C4869="Fora dos ciclos"),"CICLO_PC nao identificado",IF(OR(D4869="",D4869=0),"VALOR_PC vazio ou zero",IF(AND(G4869&lt;&gt;"Sim",G4869&lt;&gt;"Nao",G4869&lt;&gt;""),"PC_PAGO_A_CONTRATADA invalido",IF(AND(C4869&lt;&gt;"C0",IFERROR(INDEX(parametros!$A$2:$A$6,MATCH(C4869,parametros!$B$2:$B$6,0)),"")="Sim",IFERROR(INDEX(parametros!$H$2:$H$6,MATCH(C4869,parametros!$B$2:$B$6,0)),"")=""),"INICIO_EFEITO ausente: PC "&amp;A4869&amp;" - "&amp;C4869,IF(L4869="","EFEITO_PC nao calculado: PC "&amp;A4869&amp;" - "&amp;C4869,"OK")))))))))</f>
        <v/>
      </c>
      <c r="L4869" s="92" t="str">
        <f>IF(AND(A4869="",B4869="",D4869="",G4869=""),"",IF(OR(B4869="",NOT(ISNUMBER(B4869)),C4869="",C4869="Fora dos ciclos"),"",IF(C4869="C0","Nao",IF(IFERROR(INDEX(parametros!$A$2:$A$6,MATCH(C4869,parametros!$B$2:$B$6,0)),"")&lt;&gt;"Sim","Nao",IF(IFERROR(INDEX(parametros!$H$2:$H$6,MATCH(C4869,parametros!$B$2:$B$6,0)),"")="","",IF(B4869&gt;=IFERROR(INDEX(parametros!$H$2:$H$6,MATCH(C4869,parametros!$B$2:$B$6,0)),""),"Sim","Nao"))))))</f>
        <v/>
      </c>
      <c r="T4869" s="156"/>
      <c r="U4869" s="214" t="str">
        <f t="shared" si="386"/>
        <v/>
      </c>
      <c r="V4869" s="212" t="s">
        <v>50</v>
      </c>
      <c r="W4869" s="100" t="s">
        <v>168</v>
      </c>
      <c r="X4869" s="100" t="s">
        <v>169</v>
      </c>
      <c r="Y4869" s="101" t="s">
        <v>170</v>
      </c>
      <c r="Z4869" s="101" t="s">
        <v>171</v>
      </c>
      <c r="AA4869" s="101" t="s">
        <v>50</v>
      </c>
      <c r="AB4869" s="101" t="s">
        <v>172</v>
      </c>
      <c r="AC4869" s="102" t="s">
        <v>173</v>
      </c>
    </row>
    <row r="4870" spans="1:29" ht="25.5" customHeight="1" x14ac:dyDescent="0.35">
      <c r="A4870" s="392"/>
      <c r="B4870" s="393"/>
      <c r="C4870" s="99" t="str">
        <f>IF(B4870="","",IF(NOT(ISNUMBER(B4870)),"DATA_PC invalida",IF(NOT(ISNUMBER(parametros!$C$2)),"Fora dos ciclos",IF(OR(B4870&lt;parametros!$C$2,(YEAR(B4870)-YEAR(parametros!$C$2))*12+MONTH(B4870)-MONTH(parametros!$C$2)&gt;59),"Fora dos ciclos","C"&amp;INT(((YEAR(B4870)-YEAR(parametros!$C$2))*12+MONTH(B4870)-MONTH(parametros!$C$2))/12)))))</f>
        <v/>
      </c>
      <c r="D4870" s="394"/>
      <c r="E4870" s="78" t="str">
        <f>IF(C4870="","",IFERROR(VLOOKUP(C4870,parametros!$A$11:$E$15,5,0),""))</f>
        <v/>
      </c>
      <c r="F4870" s="79" t="str">
        <f t="shared" si="382"/>
        <v/>
      </c>
      <c r="G4870" s="395"/>
      <c r="H4870" s="91">
        <f t="shared" si="383"/>
        <v>0</v>
      </c>
      <c r="I4870" s="91" t="str">
        <f t="shared" si="384"/>
        <v/>
      </c>
      <c r="J4870" s="91" t="str">
        <f t="shared" si="385"/>
        <v/>
      </c>
      <c r="K4870" s="92" t="str">
        <f>IF(AND(A4870="",B4870="",D4870="",G4870=""),"",IF(AND(A4870&lt;&gt;"",COUNTIF($A$2:$A$5001,A4870)&gt;1),"NUMERO_PC duplicado",IF(B4870="","DATA_PC vazia",IF(NOT(ISNUMBER(B4870)),"DATA_PC invalida",IF(OR(C4870="",C4870="Fora dos ciclos"),"CICLO_PC nao identificado",IF(OR(D4870="",D4870=0),"VALOR_PC vazio ou zero",IF(AND(G4870&lt;&gt;"Sim",G4870&lt;&gt;"Nao",G4870&lt;&gt;""),"PC_PAGO_A_CONTRATADA invalido",IF(AND(C4870&lt;&gt;"C0",IFERROR(INDEX(parametros!$A$2:$A$6,MATCH(C4870,parametros!$B$2:$B$6,0)),"")="Sim",IFERROR(INDEX(parametros!$H$2:$H$6,MATCH(C4870,parametros!$B$2:$B$6,0)),"")=""),"INICIO_EFEITO ausente: PC "&amp;A4870&amp;" - "&amp;C4870,IF(L4870="","EFEITO_PC nao calculado: PC "&amp;A4870&amp;" - "&amp;C4870,"OK")))))))))</f>
        <v/>
      </c>
      <c r="L4870" s="92" t="str">
        <f>IF(AND(A4870="",B4870="",D4870="",G4870=""),"",IF(OR(B4870="",NOT(ISNUMBER(B4870)),C4870="",C4870="Fora dos ciclos"),"",IF(C4870="C0","Nao",IF(IFERROR(INDEX(parametros!$A$2:$A$6,MATCH(C4870,parametros!$B$2:$B$6,0)),"")&lt;&gt;"Sim","Nao",IF(IFERROR(INDEX(parametros!$H$2:$H$6,MATCH(C4870,parametros!$B$2:$B$6,0)),"")="","",IF(B4870&gt;=IFERROR(INDEX(parametros!$H$2:$H$6,MATCH(C4870,parametros!$B$2:$B$6,0)),""),"Sim","Nao"))))))</f>
        <v/>
      </c>
      <c r="T4870" s="156"/>
      <c r="U4870" s="214" t="str">
        <f t="shared" si="386"/>
        <v/>
      </c>
      <c r="V4870" s="212" t="s">
        <v>50</v>
      </c>
      <c r="W4870" s="100" t="s">
        <v>168</v>
      </c>
      <c r="X4870" s="100" t="s">
        <v>169</v>
      </c>
      <c r="Y4870" s="101" t="s">
        <v>170</v>
      </c>
      <c r="Z4870" s="101" t="s">
        <v>171</v>
      </c>
      <c r="AA4870" s="101" t="s">
        <v>50</v>
      </c>
      <c r="AB4870" s="101" t="s">
        <v>172</v>
      </c>
      <c r="AC4870" s="102" t="s">
        <v>173</v>
      </c>
    </row>
    <row r="4871" spans="1:29" ht="25.5" customHeight="1" x14ac:dyDescent="0.35">
      <c r="A4871" s="392"/>
      <c r="B4871" s="393"/>
      <c r="C4871" s="99" t="str">
        <f>IF(B4871="","",IF(NOT(ISNUMBER(B4871)),"DATA_PC invalida",IF(NOT(ISNUMBER(parametros!$C$2)),"Fora dos ciclos",IF(OR(B4871&lt;parametros!$C$2,(YEAR(B4871)-YEAR(parametros!$C$2))*12+MONTH(B4871)-MONTH(parametros!$C$2)&gt;59),"Fora dos ciclos","C"&amp;INT(((YEAR(B4871)-YEAR(parametros!$C$2))*12+MONTH(B4871)-MONTH(parametros!$C$2))/12)))))</f>
        <v/>
      </c>
      <c r="D4871" s="394"/>
      <c r="E4871" s="78" t="str">
        <f>IF(C4871="","",IFERROR(VLOOKUP(C4871,parametros!$A$11:$E$15,5,0),""))</f>
        <v/>
      </c>
      <c r="F4871" s="79" t="str">
        <f t="shared" si="382"/>
        <v/>
      </c>
      <c r="G4871" s="395"/>
      <c r="H4871" s="91">
        <f t="shared" si="383"/>
        <v>0</v>
      </c>
      <c r="I4871" s="91" t="str">
        <f t="shared" si="384"/>
        <v/>
      </c>
      <c r="J4871" s="91" t="str">
        <f t="shared" si="385"/>
        <v/>
      </c>
      <c r="K4871" s="92" t="str">
        <f>IF(AND(A4871="",B4871="",D4871="",G4871=""),"",IF(AND(A4871&lt;&gt;"",COUNTIF($A$2:$A$5001,A4871)&gt;1),"NUMERO_PC duplicado",IF(B4871="","DATA_PC vazia",IF(NOT(ISNUMBER(B4871)),"DATA_PC invalida",IF(OR(C4871="",C4871="Fora dos ciclos"),"CICLO_PC nao identificado",IF(OR(D4871="",D4871=0),"VALOR_PC vazio ou zero",IF(AND(G4871&lt;&gt;"Sim",G4871&lt;&gt;"Nao",G4871&lt;&gt;""),"PC_PAGO_A_CONTRATADA invalido",IF(AND(C4871&lt;&gt;"C0",IFERROR(INDEX(parametros!$A$2:$A$6,MATCH(C4871,parametros!$B$2:$B$6,0)),"")="Sim",IFERROR(INDEX(parametros!$H$2:$H$6,MATCH(C4871,parametros!$B$2:$B$6,0)),"")=""),"INICIO_EFEITO ausente: PC "&amp;A4871&amp;" - "&amp;C4871,IF(L4871="","EFEITO_PC nao calculado: PC "&amp;A4871&amp;" - "&amp;C4871,"OK")))))))))</f>
        <v/>
      </c>
      <c r="L4871" s="92" t="str">
        <f>IF(AND(A4871="",B4871="",D4871="",G4871=""),"",IF(OR(B4871="",NOT(ISNUMBER(B4871)),C4871="",C4871="Fora dos ciclos"),"",IF(C4871="C0","Nao",IF(IFERROR(INDEX(parametros!$A$2:$A$6,MATCH(C4871,parametros!$B$2:$B$6,0)),"")&lt;&gt;"Sim","Nao",IF(IFERROR(INDEX(parametros!$H$2:$H$6,MATCH(C4871,parametros!$B$2:$B$6,0)),"")="","",IF(B4871&gt;=IFERROR(INDEX(parametros!$H$2:$H$6,MATCH(C4871,parametros!$B$2:$B$6,0)),""),"Sim","Nao"))))))</f>
        <v/>
      </c>
      <c r="T4871" s="156"/>
      <c r="U4871" s="214" t="str">
        <f t="shared" si="386"/>
        <v/>
      </c>
      <c r="V4871" s="212" t="s">
        <v>50</v>
      </c>
      <c r="W4871" s="100" t="s">
        <v>168</v>
      </c>
      <c r="X4871" s="100" t="s">
        <v>169</v>
      </c>
      <c r="Y4871" s="101" t="s">
        <v>170</v>
      </c>
      <c r="Z4871" s="101" t="s">
        <v>171</v>
      </c>
      <c r="AA4871" s="101" t="s">
        <v>50</v>
      </c>
      <c r="AB4871" s="101" t="s">
        <v>172</v>
      </c>
      <c r="AC4871" s="102" t="s">
        <v>173</v>
      </c>
    </row>
    <row r="4872" spans="1:29" ht="25.5" customHeight="1" x14ac:dyDescent="0.35">
      <c r="A4872" s="392"/>
      <c r="B4872" s="393"/>
      <c r="C4872" s="99" t="str">
        <f>IF(B4872="","",IF(NOT(ISNUMBER(B4872)),"DATA_PC invalida",IF(NOT(ISNUMBER(parametros!$C$2)),"Fora dos ciclos",IF(OR(B4872&lt;parametros!$C$2,(YEAR(B4872)-YEAR(parametros!$C$2))*12+MONTH(B4872)-MONTH(parametros!$C$2)&gt;59),"Fora dos ciclos","C"&amp;INT(((YEAR(B4872)-YEAR(parametros!$C$2))*12+MONTH(B4872)-MONTH(parametros!$C$2))/12)))))</f>
        <v/>
      </c>
      <c r="D4872" s="394"/>
      <c r="E4872" s="78" t="str">
        <f>IF(C4872="","",IFERROR(VLOOKUP(C4872,parametros!$A$11:$E$15,5,0),""))</f>
        <v/>
      </c>
      <c r="F4872" s="79" t="str">
        <f t="shared" si="382"/>
        <v/>
      </c>
      <c r="G4872" s="395"/>
      <c r="H4872" s="91">
        <f t="shared" si="383"/>
        <v>0</v>
      </c>
      <c r="I4872" s="91" t="str">
        <f t="shared" si="384"/>
        <v/>
      </c>
      <c r="J4872" s="91" t="str">
        <f t="shared" si="385"/>
        <v/>
      </c>
      <c r="K4872" s="92" t="str">
        <f>IF(AND(A4872="",B4872="",D4872="",G4872=""),"",IF(AND(A4872&lt;&gt;"",COUNTIF($A$2:$A$5001,A4872)&gt;1),"NUMERO_PC duplicado",IF(B4872="","DATA_PC vazia",IF(NOT(ISNUMBER(B4872)),"DATA_PC invalida",IF(OR(C4872="",C4872="Fora dos ciclos"),"CICLO_PC nao identificado",IF(OR(D4872="",D4872=0),"VALOR_PC vazio ou zero",IF(AND(G4872&lt;&gt;"Sim",G4872&lt;&gt;"Nao",G4872&lt;&gt;""),"PC_PAGO_A_CONTRATADA invalido",IF(AND(C4872&lt;&gt;"C0",IFERROR(INDEX(parametros!$A$2:$A$6,MATCH(C4872,parametros!$B$2:$B$6,0)),"")="Sim",IFERROR(INDEX(parametros!$H$2:$H$6,MATCH(C4872,parametros!$B$2:$B$6,0)),"")=""),"INICIO_EFEITO ausente: PC "&amp;A4872&amp;" - "&amp;C4872,IF(L4872="","EFEITO_PC nao calculado: PC "&amp;A4872&amp;" - "&amp;C4872,"OK")))))))))</f>
        <v/>
      </c>
      <c r="L4872" s="92" t="str">
        <f>IF(AND(A4872="",B4872="",D4872="",G4872=""),"",IF(OR(B4872="",NOT(ISNUMBER(B4872)),C4872="",C4872="Fora dos ciclos"),"",IF(C4872="C0","Nao",IF(IFERROR(INDEX(parametros!$A$2:$A$6,MATCH(C4872,parametros!$B$2:$B$6,0)),"")&lt;&gt;"Sim","Nao",IF(IFERROR(INDEX(parametros!$H$2:$H$6,MATCH(C4872,parametros!$B$2:$B$6,0)),"")="","",IF(B4872&gt;=IFERROR(INDEX(parametros!$H$2:$H$6,MATCH(C4872,parametros!$B$2:$B$6,0)),""),"Sim","Nao"))))))</f>
        <v/>
      </c>
      <c r="T4872" s="156"/>
      <c r="U4872" s="214" t="str">
        <f t="shared" si="386"/>
        <v/>
      </c>
      <c r="V4872" s="212" t="s">
        <v>50</v>
      </c>
      <c r="W4872" s="100" t="s">
        <v>168</v>
      </c>
      <c r="X4872" s="100" t="s">
        <v>169</v>
      </c>
      <c r="Y4872" s="101" t="s">
        <v>170</v>
      </c>
      <c r="Z4872" s="101" t="s">
        <v>171</v>
      </c>
      <c r="AA4872" s="101" t="s">
        <v>50</v>
      </c>
      <c r="AB4872" s="101" t="s">
        <v>172</v>
      </c>
      <c r="AC4872" s="102" t="s">
        <v>173</v>
      </c>
    </row>
    <row r="4873" spans="1:29" ht="25.5" customHeight="1" x14ac:dyDescent="0.35">
      <c r="A4873" s="392"/>
      <c r="B4873" s="393"/>
      <c r="C4873" s="99" t="str">
        <f>IF(B4873="","",IF(NOT(ISNUMBER(B4873)),"DATA_PC invalida",IF(NOT(ISNUMBER(parametros!$C$2)),"Fora dos ciclos",IF(OR(B4873&lt;parametros!$C$2,(YEAR(B4873)-YEAR(parametros!$C$2))*12+MONTH(B4873)-MONTH(parametros!$C$2)&gt;59),"Fora dos ciclos","C"&amp;INT(((YEAR(B4873)-YEAR(parametros!$C$2))*12+MONTH(B4873)-MONTH(parametros!$C$2))/12)))))</f>
        <v/>
      </c>
      <c r="D4873" s="394"/>
      <c r="E4873" s="78" t="str">
        <f>IF(C4873="","",IFERROR(VLOOKUP(C4873,parametros!$A$11:$E$15,5,0),""))</f>
        <v/>
      </c>
      <c r="F4873" s="79" t="str">
        <f t="shared" si="382"/>
        <v/>
      </c>
      <c r="G4873" s="395"/>
      <c r="H4873" s="91">
        <f t="shared" si="383"/>
        <v>0</v>
      </c>
      <c r="I4873" s="91" t="str">
        <f t="shared" si="384"/>
        <v/>
      </c>
      <c r="J4873" s="91" t="str">
        <f t="shared" si="385"/>
        <v/>
      </c>
      <c r="K4873" s="92" t="str">
        <f>IF(AND(A4873="",B4873="",D4873="",G4873=""),"",IF(AND(A4873&lt;&gt;"",COUNTIF($A$2:$A$5001,A4873)&gt;1),"NUMERO_PC duplicado",IF(B4873="","DATA_PC vazia",IF(NOT(ISNUMBER(B4873)),"DATA_PC invalida",IF(OR(C4873="",C4873="Fora dos ciclos"),"CICLO_PC nao identificado",IF(OR(D4873="",D4873=0),"VALOR_PC vazio ou zero",IF(AND(G4873&lt;&gt;"Sim",G4873&lt;&gt;"Nao",G4873&lt;&gt;""),"PC_PAGO_A_CONTRATADA invalido",IF(AND(C4873&lt;&gt;"C0",IFERROR(INDEX(parametros!$A$2:$A$6,MATCH(C4873,parametros!$B$2:$B$6,0)),"")="Sim",IFERROR(INDEX(parametros!$H$2:$H$6,MATCH(C4873,parametros!$B$2:$B$6,0)),"")=""),"INICIO_EFEITO ausente: PC "&amp;A4873&amp;" - "&amp;C4873,IF(L4873="","EFEITO_PC nao calculado: PC "&amp;A4873&amp;" - "&amp;C4873,"OK")))))))))</f>
        <v/>
      </c>
      <c r="L4873" s="92" t="str">
        <f>IF(AND(A4873="",B4873="",D4873="",G4873=""),"",IF(OR(B4873="",NOT(ISNUMBER(B4873)),C4873="",C4873="Fora dos ciclos"),"",IF(C4873="C0","Nao",IF(IFERROR(INDEX(parametros!$A$2:$A$6,MATCH(C4873,parametros!$B$2:$B$6,0)),"")&lt;&gt;"Sim","Nao",IF(IFERROR(INDEX(parametros!$H$2:$H$6,MATCH(C4873,parametros!$B$2:$B$6,0)),"")="","",IF(B4873&gt;=IFERROR(INDEX(parametros!$H$2:$H$6,MATCH(C4873,parametros!$B$2:$B$6,0)),""),"Sim","Nao"))))))</f>
        <v/>
      </c>
      <c r="T4873" s="156"/>
      <c r="U4873" s="214" t="str">
        <f t="shared" si="386"/>
        <v/>
      </c>
      <c r="V4873" s="212" t="s">
        <v>50</v>
      </c>
      <c r="W4873" s="100" t="s">
        <v>168</v>
      </c>
      <c r="X4873" s="100" t="s">
        <v>169</v>
      </c>
      <c r="Y4873" s="101" t="s">
        <v>170</v>
      </c>
      <c r="Z4873" s="101" t="s">
        <v>171</v>
      </c>
      <c r="AA4873" s="101" t="s">
        <v>50</v>
      </c>
      <c r="AB4873" s="101" t="s">
        <v>172</v>
      </c>
      <c r="AC4873" s="102" t="s">
        <v>173</v>
      </c>
    </row>
    <row r="4874" spans="1:29" ht="25.5" customHeight="1" x14ac:dyDescent="0.35">
      <c r="A4874" s="392"/>
      <c r="B4874" s="393"/>
      <c r="C4874" s="99" t="str">
        <f>IF(B4874="","",IF(NOT(ISNUMBER(B4874)),"DATA_PC invalida",IF(NOT(ISNUMBER(parametros!$C$2)),"Fora dos ciclos",IF(OR(B4874&lt;parametros!$C$2,(YEAR(B4874)-YEAR(parametros!$C$2))*12+MONTH(B4874)-MONTH(parametros!$C$2)&gt;59),"Fora dos ciclos","C"&amp;INT(((YEAR(B4874)-YEAR(parametros!$C$2))*12+MONTH(B4874)-MONTH(parametros!$C$2))/12)))))</f>
        <v/>
      </c>
      <c r="D4874" s="394"/>
      <c r="E4874" s="78" t="str">
        <f>IF(C4874="","",IFERROR(VLOOKUP(C4874,parametros!$A$11:$E$15,5,0),""))</f>
        <v/>
      </c>
      <c r="F4874" s="79" t="str">
        <f t="shared" si="382"/>
        <v/>
      </c>
      <c r="G4874" s="395"/>
      <c r="H4874" s="91">
        <f t="shared" si="383"/>
        <v>0</v>
      </c>
      <c r="I4874" s="91" t="str">
        <f t="shared" si="384"/>
        <v/>
      </c>
      <c r="J4874" s="91" t="str">
        <f t="shared" si="385"/>
        <v/>
      </c>
      <c r="K4874" s="92" t="str">
        <f>IF(AND(A4874="",B4874="",D4874="",G4874=""),"",IF(AND(A4874&lt;&gt;"",COUNTIF($A$2:$A$5001,A4874)&gt;1),"NUMERO_PC duplicado",IF(B4874="","DATA_PC vazia",IF(NOT(ISNUMBER(B4874)),"DATA_PC invalida",IF(OR(C4874="",C4874="Fora dos ciclos"),"CICLO_PC nao identificado",IF(OR(D4874="",D4874=0),"VALOR_PC vazio ou zero",IF(AND(G4874&lt;&gt;"Sim",G4874&lt;&gt;"Nao",G4874&lt;&gt;""),"PC_PAGO_A_CONTRATADA invalido",IF(AND(C4874&lt;&gt;"C0",IFERROR(INDEX(parametros!$A$2:$A$6,MATCH(C4874,parametros!$B$2:$B$6,0)),"")="Sim",IFERROR(INDEX(parametros!$H$2:$H$6,MATCH(C4874,parametros!$B$2:$B$6,0)),"")=""),"INICIO_EFEITO ausente: PC "&amp;A4874&amp;" - "&amp;C4874,IF(L4874="","EFEITO_PC nao calculado: PC "&amp;A4874&amp;" - "&amp;C4874,"OK")))))))))</f>
        <v/>
      </c>
      <c r="L4874" s="92" t="str">
        <f>IF(AND(A4874="",B4874="",D4874="",G4874=""),"",IF(OR(B4874="",NOT(ISNUMBER(B4874)),C4874="",C4874="Fora dos ciclos"),"",IF(C4874="C0","Nao",IF(IFERROR(INDEX(parametros!$A$2:$A$6,MATCH(C4874,parametros!$B$2:$B$6,0)),"")&lt;&gt;"Sim","Nao",IF(IFERROR(INDEX(parametros!$H$2:$H$6,MATCH(C4874,parametros!$B$2:$B$6,0)),"")="","",IF(B4874&gt;=IFERROR(INDEX(parametros!$H$2:$H$6,MATCH(C4874,parametros!$B$2:$B$6,0)),""),"Sim","Nao"))))))</f>
        <v/>
      </c>
      <c r="T4874" s="156"/>
      <c r="U4874" s="214" t="str">
        <f t="shared" si="386"/>
        <v/>
      </c>
      <c r="V4874" s="212" t="s">
        <v>50</v>
      </c>
      <c r="W4874" s="100" t="s">
        <v>168</v>
      </c>
      <c r="X4874" s="100" t="s">
        <v>169</v>
      </c>
      <c r="Y4874" s="101" t="s">
        <v>170</v>
      </c>
      <c r="Z4874" s="101" t="s">
        <v>171</v>
      </c>
      <c r="AA4874" s="101" t="s">
        <v>50</v>
      </c>
      <c r="AB4874" s="101" t="s">
        <v>172</v>
      </c>
      <c r="AC4874" s="102" t="s">
        <v>173</v>
      </c>
    </row>
    <row r="4875" spans="1:29" ht="25.5" customHeight="1" x14ac:dyDescent="0.35">
      <c r="A4875" s="392"/>
      <c r="B4875" s="393"/>
      <c r="C4875" s="99" t="str">
        <f>IF(B4875="","",IF(NOT(ISNUMBER(B4875)),"DATA_PC invalida",IF(NOT(ISNUMBER(parametros!$C$2)),"Fora dos ciclos",IF(OR(B4875&lt;parametros!$C$2,(YEAR(B4875)-YEAR(parametros!$C$2))*12+MONTH(B4875)-MONTH(parametros!$C$2)&gt;59),"Fora dos ciclos","C"&amp;INT(((YEAR(B4875)-YEAR(parametros!$C$2))*12+MONTH(B4875)-MONTH(parametros!$C$2))/12)))))</f>
        <v/>
      </c>
      <c r="D4875" s="394"/>
      <c r="E4875" s="78" t="str">
        <f>IF(C4875="","",IFERROR(VLOOKUP(C4875,parametros!$A$11:$E$15,5,0),""))</f>
        <v/>
      </c>
      <c r="F4875" s="79" t="str">
        <f t="shared" si="382"/>
        <v/>
      </c>
      <c r="G4875" s="395"/>
      <c r="H4875" s="91">
        <f t="shared" si="383"/>
        <v>0</v>
      </c>
      <c r="I4875" s="91" t="str">
        <f t="shared" si="384"/>
        <v/>
      </c>
      <c r="J4875" s="91" t="str">
        <f t="shared" si="385"/>
        <v/>
      </c>
      <c r="K4875" s="92" t="str">
        <f>IF(AND(A4875="",B4875="",D4875="",G4875=""),"",IF(AND(A4875&lt;&gt;"",COUNTIF($A$2:$A$5001,A4875)&gt;1),"NUMERO_PC duplicado",IF(B4875="","DATA_PC vazia",IF(NOT(ISNUMBER(B4875)),"DATA_PC invalida",IF(OR(C4875="",C4875="Fora dos ciclos"),"CICLO_PC nao identificado",IF(OR(D4875="",D4875=0),"VALOR_PC vazio ou zero",IF(AND(G4875&lt;&gt;"Sim",G4875&lt;&gt;"Nao",G4875&lt;&gt;""),"PC_PAGO_A_CONTRATADA invalido",IF(AND(C4875&lt;&gt;"C0",IFERROR(INDEX(parametros!$A$2:$A$6,MATCH(C4875,parametros!$B$2:$B$6,0)),"")="Sim",IFERROR(INDEX(parametros!$H$2:$H$6,MATCH(C4875,parametros!$B$2:$B$6,0)),"")=""),"INICIO_EFEITO ausente: PC "&amp;A4875&amp;" - "&amp;C4875,IF(L4875="","EFEITO_PC nao calculado: PC "&amp;A4875&amp;" - "&amp;C4875,"OK")))))))))</f>
        <v/>
      </c>
      <c r="L4875" s="92" t="str">
        <f>IF(AND(A4875="",B4875="",D4875="",G4875=""),"",IF(OR(B4875="",NOT(ISNUMBER(B4875)),C4875="",C4875="Fora dos ciclos"),"",IF(C4875="C0","Nao",IF(IFERROR(INDEX(parametros!$A$2:$A$6,MATCH(C4875,parametros!$B$2:$B$6,0)),"")&lt;&gt;"Sim","Nao",IF(IFERROR(INDEX(parametros!$H$2:$H$6,MATCH(C4875,parametros!$B$2:$B$6,0)),"")="","",IF(B4875&gt;=IFERROR(INDEX(parametros!$H$2:$H$6,MATCH(C4875,parametros!$B$2:$B$6,0)),""),"Sim","Nao"))))))</f>
        <v/>
      </c>
      <c r="T4875" s="156"/>
      <c r="U4875" s="214" t="str">
        <f t="shared" si="386"/>
        <v/>
      </c>
      <c r="V4875" s="212" t="s">
        <v>50</v>
      </c>
      <c r="W4875" s="100" t="s">
        <v>168</v>
      </c>
      <c r="X4875" s="100" t="s">
        <v>169</v>
      </c>
      <c r="Y4875" s="101" t="s">
        <v>170</v>
      </c>
      <c r="Z4875" s="101" t="s">
        <v>171</v>
      </c>
      <c r="AA4875" s="101" t="s">
        <v>50</v>
      </c>
      <c r="AB4875" s="101" t="s">
        <v>172</v>
      </c>
      <c r="AC4875" s="102" t="s">
        <v>173</v>
      </c>
    </row>
    <row r="4876" spans="1:29" ht="25.5" customHeight="1" x14ac:dyDescent="0.35">
      <c r="A4876" s="392"/>
      <c r="B4876" s="393"/>
      <c r="C4876" s="99" t="str">
        <f>IF(B4876="","",IF(NOT(ISNUMBER(B4876)),"DATA_PC invalida",IF(NOT(ISNUMBER(parametros!$C$2)),"Fora dos ciclos",IF(OR(B4876&lt;parametros!$C$2,(YEAR(B4876)-YEAR(parametros!$C$2))*12+MONTH(B4876)-MONTH(parametros!$C$2)&gt;59),"Fora dos ciclos","C"&amp;INT(((YEAR(B4876)-YEAR(parametros!$C$2))*12+MONTH(B4876)-MONTH(parametros!$C$2))/12)))))</f>
        <v/>
      </c>
      <c r="D4876" s="394"/>
      <c r="E4876" s="78" t="str">
        <f>IF(C4876="","",IFERROR(VLOOKUP(C4876,parametros!$A$11:$E$15,5,0),""))</f>
        <v/>
      </c>
      <c r="F4876" s="79" t="str">
        <f t="shared" si="382"/>
        <v/>
      </c>
      <c r="G4876" s="395"/>
      <c r="H4876" s="91">
        <f t="shared" si="383"/>
        <v>0</v>
      </c>
      <c r="I4876" s="91" t="str">
        <f t="shared" si="384"/>
        <v/>
      </c>
      <c r="J4876" s="91" t="str">
        <f t="shared" si="385"/>
        <v/>
      </c>
      <c r="K4876" s="92" t="str">
        <f>IF(AND(A4876="",B4876="",D4876="",G4876=""),"",IF(AND(A4876&lt;&gt;"",COUNTIF($A$2:$A$5001,A4876)&gt;1),"NUMERO_PC duplicado",IF(B4876="","DATA_PC vazia",IF(NOT(ISNUMBER(B4876)),"DATA_PC invalida",IF(OR(C4876="",C4876="Fora dos ciclos"),"CICLO_PC nao identificado",IF(OR(D4876="",D4876=0),"VALOR_PC vazio ou zero",IF(AND(G4876&lt;&gt;"Sim",G4876&lt;&gt;"Nao",G4876&lt;&gt;""),"PC_PAGO_A_CONTRATADA invalido",IF(AND(C4876&lt;&gt;"C0",IFERROR(INDEX(parametros!$A$2:$A$6,MATCH(C4876,parametros!$B$2:$B$6,0)),"")="Sim",IFERROR(INDEX(parametros!$H$2:$H$6,MATCH(C4876,parametros!$B$2:$B$6,0)),"")=""),"INICIO_EFEITO ausente: PC "&amp;A4876&amp;" - "&amp;C4876,IF(L4876="","EFEITO_PC nao calculado: PC "&amp;A4876&amp;" - "&amp;C4876,"OK")))))))))</f>
        <v/>
      </c>
      <c r="L4876" s="92" t="str">
        <f>IF(AND(A4876="",B4876="",D4876="",G4876=""),"",IF(OR(B4876="",NOT(ISNUMBER(B4876)),C4876="",C4876="Fora dos ciclos"),"",IF(C4876="C0","Nao",IF(IFERROR(INDEX(parametros!$A$2:$A$6,MATCH(C4876,parametros!$B$2:$B$6,0)),"")&lt;&gt;"Sim","Nao",IF(IFERROR(INDEX(parametros!$H$2:$H$6,MATCH(C4876,parametros!$B$2:$B$6,0)),"")="","",IF(B4876&gt;=IFERROR(INDEX(parametros!$H$2:$H$6,MATCH(C4876,parametros!$B$2:$B$6,0)),""),"Sim","Nao"))))))</f>
        <v/>
      </c>
      <c r="T4876" s="156"/>
      <c r="U4876" s="214" t="str">
        <f t="shared" si="386"/>
        <v/>
      </c>
      <c r="V4876" s="212" t="s">
        <v>50</v>
      </c>
      <c r="W4876" s="100" t="s">
        <v>168</v>
      </c>
      <c r="X4876" s="100" t="s">
        <v>169</v>
      </c>
      <c r="Y4876" s="101" t="s">
        <v>170</v>
      </c>
      <c r="Z4876" s="101" t="s">
        <v>171</v>
      </c>
      <c r="AA4876" s="101" t="s">
        <v>50</v>
      </c>
      <c r="AB4876" s="101" t="s">
        <v>172</v>
      </c>
      <c r="AC4876" s="102" t="s">
        <v>173</v>
      </c>
    </row>
    <row r="4877" spans="1:29" ht="25.5" customHeight="1" x14ac:dyDescent="0.35">
      <c r="A4877" s="392"/>
      <c r="B4877" s="393"/>
      <c r="C4877" s="99" t="str">
        <f>IF(B4877="","",IF(NOT(ISNUMBER(B4877)),"DATA_PC invalida",IF(NOT(ISNUMBER(parametros!$C$2)),"Fora dos ciclos",IF(OR(B4877&lt;parametros!$C$2,(YEAR(B4877)-YEAR(parametros!$C$2))*12+MONTH(B4877)-MONTH(parametros!$C$2)&gt;59),"Fora dos ciclos","C"&amp;INT(((YEAR(B4877)-YEAR(parametros!$C$2))*12+MONTH(B4877)-MONTH(parametros!$C$2))/12)))))</f>
        <v/>
      </c>
      <c r="D4877" s="394"/>
      <c r="E4877" s="78" t="str">
        <f>IF(C4877="","",IFERROR(VLOOKUP(C4877,parametros!$A$11:$E$15,5,0),""))</f>
        <v/>
      </c>
      <c r="F4877" s="79" t="str">
        <f t="shared" si="382"/>
        <v/>
      </c>
      <c r="G4877" s="395"/>
      <c r="H4877" s="91">
        <f t="shared" si="383"/>
        <v>0</v>
      </c>
      <c r="I4877" s="91" t="str">
        <f t="shared" si="384"/>
        <v/>
      </c>
      <c r="J4877" s="91" t="str">
        <f t="shared" si="385"/>
        <v/>
      </c>
      <c r="K4877" s="92" t="str">
        <f>IF(AND(A4877="",B4877="",D4877="",G4877=""),"",IF(AND(A4877&lt;&gt;"",COUNTIF($A$2:$A$5001,A4877)&gt;1),"NUMERO_PC duplicado",IF(B4877="","DATA_PC vazia",IF(NOT(ISNUMBER(B4877)),"DATA_PC invalida",IF(OR(C4877="",C4877="Fora dos ciclos"),"CICLO_PC nao identificado",IF(OR(D4877="",D4877=0),"VALOR_PC vazio ou zero",IF(AND(G4877&lt;&gt;"Sim",G4877&lt;&gt;"Nao",G4877&lt;&gt;""),"PC_PAGO_A_CONTRATADA invalido",IF(AND(C4877&lt;&gt;"C0",IFERROR(INDEX(parametros!$A$2:$A$6,MATCH(C4877,parametros!$B$2:$B$6,0)),"")="Sim",IFERROR(INDEX(parametros!$H$2:$H$6,MATCH(C4877,parametros!$B$2:$B$6,0)),"")=""),"INICIO_EFEITO ausente: PC "&amp;A4877&amp;" - "&amp;C4877,IF(L4877="","EFEITO_PC nao calculado: PC "&amp;A4877&amp;" - "&amp;C4877,"OK")))))))))</f>
        <v/>
      </c>
      <c r="L4877" s="92" t="str">
        <f>IF(AND(A4877="",B4877="",D4877="",G4877=""),"",IF(OR(B4877="",NOT(ISNUMBER(B4877)),C4877="",C4877="Fora dos ciclos"),"",IF(C4877="C0","Nao",IF(IFERROR(INDEX(parametros!$A$2:$A$6,MATCH(C4877,parametros!$B$2:$B$6,0)),"")&lt;&gt;"Sim","Nao",IF(IFERROR(INDEX(parametros!$H$2:$H$6,MATCH(C4877,parametros!$B$2:$B$6,0)),"")="","",IF(B4877&gt;=IFERROR(INDEX(parametros!$H$2:$H$6,MATCH(C4877,parametros!$B$2:$B$6,0)),""),"Sim","Nao"))))))</f>
        <v/>
      </c>
      <c r="T4877" s="156"/>
      <c r="U4877" s="214" t="str">
        <f t="shared" si="386"/>
        <v/>
      </c>
      <c r="V4877" s="212" t="s">
        <v>50</v>
      </c>
      <c r="W4877" s="100" t="s">
        <v>168</v>
      </c>
      <c r="X4877" s="100" t="s">
        <v>169</v>
      </c>
      <c r="Y4877" s="101" t="s">
        <v>170</v>
      </c>
      <c r="Z4877" s="101" t="s">
        <v>171</v>
      </c>
      <c r="AA4877" s="101" t="s">
        <v>50</v>
      </c>
      <c r="AB4877" s="101" t="s">
        <v>172</v>
      </c>
      <c r="AC4877" s="102" t="s">
        <v>173</v>
      </c>
    </row>
    <row r="4878" spans="1:29" ht="25.5" customHeight="1" x14ac:dyDescent="0.35">
      <c r="A4878" s="392"/>
      <c r="B4878" s="393"/>
      <c r="C4878" s="99" t="str">
        <f>IF(B4878="","",IF(NOT(ISNUMBER(B4878)),"DATA_PC invalida",IF(NOT(ISNUMBER(parametros!$C$2)),"Fora dos ciclos",IF(OR(B4878&lt;parametros!$C$2,(YEAR(B4878)-YEAR(parametros!$C$2))*12+MONTH(B4878)-MONTH(parametros!$C$2)&gt;59),"Fora dos ciclos","C"&amp;INT(((YEAR(B4878)-YEAR(parametros!$C$2))*12+MONTH(B4878)-MONTH(parametros!$C$2))/12)))))</f>
        <v/>
      </c>
      <c r="D4878" s="394"/>
      <c r="E4878" s="78" t="str">
        <f>IF(C4878="","",IFERROR(VLOOKUP(C4878,parametros!$A$11:$E$15,5,0),""))</f>
        <v/>
      </c>
      <c r="F4878" s="79" t="str">
        <f t="shared" si="382"/>
        <v/>
      </c>
      <c r="G4878" s="395"/>
      <c r="H4878" s="91">
        <f t="shared" si="383"/>
        <v>0</v>
      </c>
      <c r="I4878" s="91" t="str">
        <f t="shared" si="384"/>
        <v/>
      </c>
      <c r="J4878" s="91" t="str">
        <f t="shared" si="385"/>
        <v/>
      </c>
      <c r="K4878" s="92" t="str">
        <f>IF(AND(A4878="",B4878="",D4878="",G4878=""),"",IF(AND(A4878&lt;&gt;"",COUNTIF($A$2:$A$5001,A4878)&gt;1),"NUMERO_PC duplicado",IF(B4878="","DATA_PC vazia",IF(NOT(ISNUMBER(B4878)),"DATA_PC invalida",IF(OR(C4878="",C4878="Fora dos ciclos"),"CICLO_PC nao identificado",IF(OR(D4878="",D4878=0),"VALOR_PC vazio ou zero",IF(AND(G4878&lt;&gt;"Sim",G4878&lt;&gt;"Nao",G4878&lt;&gt;""),"PC_PAGO_A_CONTRATADA invalido",IF(AND(C4878&lt;&gt;"C0",IFERROR(INDEX(parametros!$A$2:$A$6,MATCH(C4878,parametros!$B$2:$B$6,0)),"")="Sim",IFERROR(INDEX(parametros!$H$2:$H$6,MATCH(C4878,parametros!$B$2:$B$6,0)),"")=""),"INICIO_EFEITO ausente: PC "&amp;A4878&amp;" - "&amp;C4878,IF(L4878="","EFEITO_PC nao calculado: PC "&amp;A4878&amp;" - "&amp;C4878,"OK")))))))))</f>
        <v/>
      </c>
      <c r="L4878" s="92" t="str">
        <f>IF(AND(A4878="",B4878="",D4878="",G4878=""),"",IF(OR(B4878="",NOT(ISNUMBER(B4878)),C4878="",C4878="Fora dos ciclos"),"",IF(C4878="C0","Nao",IF(IFERROR(INDEX(parametros!$A$2:$A$6,MATCH(C4878,parametros!$B$2:$B$6,0)),"")&lt;&gt;"Sim","Nao",IF(IFERROR(INDEX(parametros!$H$2:$H$6,MATCH(C4878,parametros!$B$2:$B$6,0)),"")="","",IF(B4878&gt;=IFERROR(INDEX(parametros!$H$2:$H$6,MATCH(C4878,parametros!$B$2:$B$6,0)),""),"Sim","Nao"))))))</f>
        <v/>
      </c>
      <c r="T4878" s="156"/>
      <c r="U4878" s="214" t="str">
        <f t="shared" si="386"/>
        <v/>
      </c>
      <c r="V4878" s="212" t="s">
        <v>50</v>
      </c>
      <c r="W4878" s="100" t="s">
        <v>168</v>
      </c>
      <c r="X4878" s="100" t="s">
        <v>169</v>
      </c>
      <c r="Y4878" s="101" t="s">
        <v>170</v>
      </c>
      <c r="Z4878" s="101" t="s">
        <v>171</v>
      </c>
      <c r="AA4878" s="101" t="s">
        <v>50</v>
      </c>
      <c r="AB4878" s="101" t="s">
        <v>172</v>
      </c>
      <c r="AC4878" s="102" t="s">
        <v>173</v>
      </c>
    </row>
    <row r="4879" spans="1:29" ht="25.5" customHeight="1" x14ac:dyDescent="0.35">
      <c r="A4879" s="392"/>
      <c r="B4879" s="393"/>
      <c r="C4879" s="99" t="str">
        <f>IF(B4879="","",IF(NOT(ISNUMBER(B4879)),"DATA_PC invalida",IF(NOT(ISNUMBER(parametros!$C$2)),"Fora dos ciclos",IF(OR(B4879&lt;parametros!$C$2,(YEAR(B4879)-YEAR(parametros!$C$2))*12+MONTH(B4879)-MONTH(parametros!$C$2)&gt;59),"Fora dos ciclos","C"&amp;INT(((YEAR(B4879)-YEAR(parametros!$C$2))*12+MONTH(B4879)-MONTH(parametros!$C$2))/12)))))</f>
        <v/>
      </c>
      <c r="D4879" s="394"/>
      <c r="E4879" s="78" t="str">
        <f>IF(C4879="","",IFERROR(VLOOKUP(C4879,parametros!$A$11:$E$15,5,0),""))</f>
        <v/>
      </c>
      <c r="F4879" s="79" t="str">
        <f t="shared" si="382"/>
        <v/>
      </c>
      <c r="G4879" s="395"/>
      <c r="H4879" s="91">
        <f t="shared" si="383"/>
        <v>0</v>
      </c>
      <c r="I4879" s="91" t="str">
        <f t="shared" si="384"/>
        <v/>
      </c>
      <c r="J4879" s="91" t="str">
        <f t="shared" si="385"/>
        <v/>
      </c>
      <c r="K4879" s="92" t="str">
        <f>IF(AND(A4879="",B4879="",D4879="",G4879=""),"",IF(AND(A4879&lt;&gt;"",COUNTIF($A$2:$A$5001,A4879)&gt;1),"NUMERO_PC duplicado",IF(B4879="","DATA_PC vazia",IF(NOT(ISNUMBER(B4879)),"DATA_PC invalida",IF(OR(C4879="",C4879="Fora dos ciclos"),"CICLO_PC nao identificado",IF(OR(D4879="",D4879=0),"VALOR_PC vazio ou zero",IF(AND(G4879&lt;&gt;"Sim",G4879&lt;&gt;"Nao",G4879&lt;&gt;""),"PC_PAGO_A_CONTRATADA invalido",IF(AND(C4879&lt;&gt;"C0",IFERROR(INDEX(parametros!$A$2:$A$6,MATCH(C4879,parametros!$B$2:$B$6,0)),"")="Sim",IFERROR(INDEX(parametros!$H$2:$H$6,MATCH(C4879,parametros!$B$2:$B$6,0)),"")=""),"INICIO_EFEITO ausente: PC "&amp;A4879&amp;" - "&amp;C4879,IF(L4879="","EFEITO_PC nao calculado: PC "&amp;A4879&amp;" - "&amp;C4879,"OK")))))))))</f>
        <v/>
      </c>
      <c r="L4879" s="92" t="str">
        <f>IF(AND(A4879="",B4879="",D4879="",G4879=""),"",IF(OR(B4879="",NOT(ISNUMBER(B4879)),C4879="",C4879="Fora dos ciclos"),"",IF(C4879="C0","Nao",IF(IFERROR(INDEX(parametros!$A$2:$A$6,MATCH(C4879,parametros!$B$2:$B$6,0)),"")&lt;&gt;"Sim","Nao",IF(IFERROR(INDEX(parametros!$H$2:$H$6,MATCH(C4879,parametros!$B$2:$B$6,0)),"")="","",IF(B4879&gt;=IFERROR(INDEX(parametros!$H$2:$H$6,MATCH(C4879,parametros!$B$2:$B$6,0)),""),"Sim","Nao"))))))</f>
        <v/>
      </c>
      <c r="T4879" s="156"/>
      <c r="U4879" s="214" t="str">
        <f t="shared" si="386"/>
        <v/>
      </c>
      <c r="V4879" s="212" t="s">
        <v>50</v>
      </c>
      <c r="W4879" s="100" t="s">
        <v>168</v>
      </c>
      <c r="X4879" s="100" t="s">
        <v>169</v>
      </c>
      <c r="Y4879" s="101" t="s">
        <v>170</v>
      </c>
      <c r="Z4879" s="101" t="s">
        <v>171</v>
      </c>
      <c r="AA4879" s="101" t="s">
        <v>50</v>
      </c>
      <c r="AB4879" s="101" t="s">
        <v>172</v>
      </c>
      <c r="AC4879" s="102" t="s">
        <v>173</v>
      </c>
    </row>
    <row r="4880" spans="1:29" ht="25.5" customHeight="1" x14ac:dyDescent="0.35">
      <c r="A4880" s="392"/>
      <c r="B4880" s="393"/>
      <c r="C4880" s="99" t="str">
        <f>IF(B4880="","",IF(NOT(ISNUMBER(B4880)),"DATA_PC invalida",IF(NOT(ISNUMBER(parametros!$C$2)),"Fora dos ciclos",IF(OR(B4880&lt;parametros!$C$2,(YEAR(B4880)-YEAR(parametros!$C$2))*12+MONTH(B4880)-MONTH(parametros!$C$2)&gt;59),"Fora dos ciclos","C"&amp;INT(((YEAR(B4880)-YEAR(parametros!$C$2))*12+MONTH(B4880)-MONTH(parametros!$C$2))/12)))))</f>
        <v/>
      </c>
      <c r="D4880" s="394"/>
      <c r="E4880" s="78" t="str">
        <f>IF(C4880="","",IFERROR(VLOOKUP(C4880,parametros!$A$11:$E$15,5,0),""))</f>
        <v/>
      </c>
      <c r="F4880" s="79" t="str">
        <f t="shared" si="382"/>
        <v/>
      </c>
      <c r="G4880" s="395"/>
      <c r="H4880" s="91">
        <f t="shared" si="383"/>
        <v>0</v>
      </c>
      <c r="I4880" s="91" t="str">
        <f t="shared" si="384"/>
        <v/>
      </c>
      <c r="J4880" s="91" t="str">
        <f t="shared" si="385"/>
        <v/>
      </c>
      <c r="K4880" s="92" t="str">
        <f>IF(AND(A4880="",B4880="",D4880="",G4880=""),"",IF(AND(A4880&lt;&gt;"",COUNTIF($A$2:$A$5001,A4880)&gt;1),"NUMERO_PC duplicado",IF(B4880="","DATA_PC vazia",IF(NOT(ISNUMBER(B4880)),"DATA_PC invalida",IF(OR(C4880="",C4880="Fora dos ciclos"),"CICLO_PC nao identificado",IF(OR(D4880="",D4880=0),"VALOR_PC vazio ou zero",IF(AND(G4880&lt;&gt;"Sim",G4880&lt;&gt;"Nao",G4880&lt;&gt;""),"PC_PAGO_A_CONTRATADA invalido",IF(AND(C4880&lt;&gt;"C0",IFERROR(INDEX(parametros!$A$2:$A$6,MATCH(C4880,parametros!$B$2:$B$6,0)),"")="Sim",IFERROR(INDEX(parametros!$H$2:$H$6,MATCH(C4880,parametros!$B$2:$B$6,0)),"")=""),"INICIO_EFEITO ausente: PC "&amp;A4880&amp;" - "&amp;C4880,IF(L4880="","EFEITO_PC nao calculado: PC "&amp;A4880&amp;" - "&amp;C4880,"OK")))))))))</f>
        <v/>
      </c>
      <c r="L4880" s="92" t="str">
        <f>IF(AND(A4880="",B4880="",D4880="",G4880=""),"",IF(OR(B4880="",NOT(ISNUMBER(B4880)),C4880="",C4880="Fora dos ciclos"),"",IF(C4880="C0","Nao",IF(IFERROR(INDEX(parametros!$A$2:$A$6,MATCH(C4880,parametros!$B$2:$B$6,0)),"")&lt;&gt;"Sim","Nao",IF(IFERROR(INDEX(parametros!$H$2:$H$6,MATCH(C4880,parametros!$B$2:$B$6,0)),"")="","",IF(B4880&gt;=IFERROR(INDEX(parametros!$H$2:$H$6,MATCH(C4880,parametros!$B$2:$B$6,0)),""),"Sim","Nao"))))))</f>
        <v/>
      </c>
      <c r="T4880" s="156"/>
      <c r="U4880" s="214" t="str">
        <f t="shared" si="386"/>
        <v/>
      </c>
      <c r="V4880" s="212" t="s">
        <v>50</v>
      </c>
      <c r="W4880" s="100" t="s">
        <v>168</v>
      </c>
      <c r="X4880" s="100" t="s">
        <v>169</v>
      </c>
      <c r="Y4880" s="101" t="s">
        <v>170</v>
      </c>
      <c r="Z4880" s="101" t="s">
        <v>171</v>
      </c>
      <c r="AA4880" s="101" t="s">
        <v>50</v>
      </c>
      <c r="AB4880" s="101" t="s">
        <v>172</v>
      </c>
      <c r="AC4880" s="102" t="s">
        <v>173</v>
      </c>
    </row>
    <row r="4881" spans="1:29" ht="25.5" customHeight="1" x14ac:dyDescent="0.35">
      <c r="A4881" s="392"/>
      <c r="B4881" s="393"/>
      <c r="C4881" s="99" t="str">
        <f>IF(B4881="","",IF(NOT(ISNUMBER(B4881)),"DATA_PC invalida",IF(NOT(ISNUMBER(parametros!$C$2)),"Fora dos ciclos",IF(OR(B4881&lt;parametros!$C$2,(YEAR(B4881)-YEAR(parametros!$C$2))*12+MONTH(B4881)-MONTH(parametros!$C$2)&gt;59),"Fora dos ciclos","C"&amp;INT(((YEAR(B4881)-YEAR(parametros!$C$2))*12+MONTH(B4881)-MONTH(parametros!$C$2))/12)))))</f>
        <v/>
      </c>
      <c r="D4881" s="394"/>
      <c r="E4881" s="78" t="str">
        <f>IF(C4881="","",IFERROR(VLOOKUP(C4881,parametros!$A$11:$E$15,5,0),""))</f>
        <v/>
      </c>
      <c r="F4881" s="79" t="str">
        <f t="shared" si="382"/>
        <v/>
      </c>
      <c r="G4881" s="395"/>
      <c r="H4881" s="91">
        <f t="shared" si="383"/>
        <v>0</v>
      </c>
      <c r="I4881" s="91" t="str">
        <f t="shared" si="384"/>
        <v/>
      </c>
      <c r="J4881" s="91" t="str">
        <f t="shared" si="385"/>
        <v/>
      </c>
      <c r="K4881" s="92" t="str">
        <f>IF(AND(A4881="",B4881="",D4881="",G4881=""),"",IF(AND(A4881&lt;&gt;"",COUNTIF($A$2:$A$5001,A4881)&gt;1),"NUMERO_PC duplicado",IF(B4881="","DATA_PC vazia",IF(NOT(ISNUMBER(B4881)),"DATA_PC invalida",IF(OR(C4881="",C4881="Fora dos ciclos"),"CICLO_PC nao identificado",IF(OR(D4881="",D4881=0),"VALOR_PC vazio ou zero",IF(AND(G4881&lt;&gt;"Sim",G4881&lt;&gt;"Nao",G4881&lt;&gt;""),"PC_PAGO_A_CONTRATADA invalido",IF(AND(C4881&lt;&gt;"C0",IFERROR(INDEX(parametros!$A$2:$A$6,MATCH(C4881,parametros!$B$2:$B$6,0)),"")="Sim",IFERROR(INDEX(parametros!$H$2:$H$6,MATCH(C4881,parametros!$B$2:$B$6,0)),"")=""),"INICIO_EFEITO ausente: PC "&amp;A4881&amp;" - "&amp;C4881,IF(L4881="","EFEITO_PC nao calculado: PC "&amp;A4881&amp;" - "&amp;C4881,"OK")))))))))</f>
        <v/>
      </c>
      <c r="L4881" s="92" t="str">
        <f>IF(AND(A4881="",B4881="",D4881="",G4881=""),"",IF(OR(B4881="",NOT(ISNUMBER(B4881)),C4881="",C4881="Fora dos ciclos"),"",IF(C4881="C0","Nao",IF(IFERROR(INDEX(parametros!$A$2:$A$6,MATCH(C4881,parametros!$B$2:$B$6,0)),"")&lt;&gt;"Sim","Nao",IF(IFERROR(INDEX(parametros!$H$2:$H$6,MATCH(C4881,parametros!$B$2:$B$6,0)),"")="","",IF(B4881&gt;=IFERROR(INDEX(parametros!$H$2:$H$6,MATCH(C4881,parametros!$B$2:$B$6,0)),""),"Sim","Nao"))))))</f>
        <v/>
      </c>
      <c r="T4881" s="156"/>
      <c r="U4881" s="214" t="str">
        <f t="shared" si="386"/>
        <v/>
      </c>
      <c r="V4881" s="212" t="s">
        <v>50</v>
      </c>
      <c r="W4881" s="100" t="s">
        <v>168</v>
      </c>
      <c r="X4881" s="100" t="s">
        <v>169</v>
      </c>
      <c r="Y4881" s="101" t="s">
        <v>170</v>
      </c>
      <c r="Z4881" s="101" t="s">
        <v>171</v>
      </c>
      <c r="AA4881" s="101" t="s">
        <v>50</v>
      </c>
      <c r="AB4881" s="101" t="s">
        <v>172</v>
      </c>
      <c r="AC4881" s="102" t="s">
        <v>173</v>
      </c>
    </row>
    <row r="4882" spans="1:29" ht="25.5" customHeight="1" x14ac:dyDescent="0.35">
      <c r="A4882" s="392"/>
      <c r="B4882" s="393"/>
      <c r="C4882" s="99" t="str">
        <f>IF(B4882="","",IF(NOT(ISNUMBER(B4882)),"DATA_PC invalida",IF(NOT(ISNUMBER(parametros!$C$2)),"Fora dos ciclos",IF(OR(B4882&lt;parametros!$C$2,(YEAR(B4882)-YEAR(parametros!$C$2))*12+MONTH(B4882)-MONTH(parametros!$C$2)&gt;59),"Fora dos ciclos","C"&amp;INT(((YEAR(B4882)-YEAR(parametros!$C$2))*12+MONTH(B4882)-MONTH(parametros!$C$2))/12)))))</f>
        <v/>
      </c>
      <c r="D4882" s="394"/>
      <c r="E4882" s="78" t="str">
        <f>IF(C4882="","",IFERROR(VLOOKUP(C4882,parametros!$A$11:$E$15,5,0),""))</f>
        <v/>
      </c>
      <c r="F4882" s="79" t="str">
        <f t="shared" si="382"/>
        <v/>
      </c>
      <c r="G4882" s="395"/>
      <c r="H4882" s="91">
        <f t="shared" si="383"/>
        <v>0</v>
      </c>
      <c r="I4882" s="91" t="str">
        <f t="shared" si="384"/>
        <v/>
      </c>
      <c r="J4882" s="91" t="str">
        <f t="shared" si="385"/>
        <v/>
      </c>
      <c r="K4882" s="92" t="str">
        <f>IF(AND(A4882="",B4882="",D4882="",G4882=""),"",IF(AND(A4882&lt;&gt;"",COUNTIF($A$2:$A$5001,A4882)&gt;1),"NUMERO_PC duplicado",IF(B4882="","DATA_PC vazia",IF(NOT(ISNUMBER(B4882)),"DATA_PC invalida",IF(OR(C4882="",C4882="Fora dos ciclos"),"CICLO_PC nao identificado",IF(OR(D4882="",D4882=0),"VALOR_PC vazio ou zero",IF(AND(G4882&lt;&gt;"Sim",G4882&lt;&gt;"Nao",G4882&lt;&gt;""),"PC_PAGO_A_CONTRATADA invalido",IF(AND(C4882&lt;&gt;"C0",IFERROR(INDEX(parametros!$A$2:$A$6,MATCH(C4882,parametros!$B$2:$B$6,0)),"")="Sim",IFERROR(INDEX(parametros!$H$2:$H$6,MATCH(C4882,parametros!$B$2:$B$6,0)),"")=""),"INICIO_EFEITO ausente: PC "&amp;A4882&amp;" - "&amp;C4882,IF(L4882="","EFEITO_PC nao calculado: PC "&amp;A4882&amp;" - "&amp;C4882,"OK")))))))))</f>
        <v/>
      </c>
      <c r="L4882" s="92" t="str">
        <f>IF(AND(A4882="",B4882="",D4882="",G4882=""),"",IF(OR(B4882="",NOT(ISNUMBER(B4882)),C4882="",C4882="Fora dos ciclos"),"",IF(C4882="C0","Nao",IF(IFERROR(INDEX(parametros!$A$2:$A$6,MATCH(C4882,parametros!$B$2:$B$6,0)),"")&lt;&gt;"Sim","Nao",IF(IFERROR(INDEX(parametros!$H$2:$H$6,MATCH(C4882,parametros!$B$2:$B$6,0)),"")="","",IF(B4882&gt;=IFERROR(INDEX(parametros!$H$2:$H$6,MATCH(C4882,parametros!$B$2:$B$6,0)),""),"Sim","Nao"))))))</f>
        <v/>
      </c>
      <c r="T4882" s="156"/>
      <c r="U4882" s="214" t="str">
        <f t="shared" si="386"/>
        <v/>
      </c>
      <c r="V4882" s="212" t="s">
        <v>50</v>
      </c>
      <c r="W4882" s="100" t="s">
        <v>168</v>
      </c>
      <c r="X4882" s="100" t="s">
        <v>169</v>
      </c>
      <c r="Y4882" s="101" t="s">
        <v>170</v>
      </c>
      <c r="Z4882" s="101" t="s">
        <v>171</v>
      </c>
      <c r="AA4882" s="101" t="s">
        <v>50</v>
      </c>
      <c r="AB4882" s="101" t="s">
        <v>172</v>
      </c>
      <c r="AC4882" s="102" t="s">
        <v>173</v>
      </c>
    </row>
    <row r="4883" spans="1:29" ht="25.5" customHeight="1" x14ac:dyDescent="0.35">
      <c r="A4883" s="392"/>
      <c r="B4883" s="393"/>
      <c r="C4883" s="99" t="str">
        <f>IF(B4883="","",IF(NOT(ISNUMBER(B4883)),"DATA_PC invalida",IF(NOT(ISNUMBER(parametros!$C$2)),"Fora dos ciclos",IF(OR(B4883&lt;parametros!$C$2,(YEAR(B4883)-YEAR(parametros!$C$2))*12+MONTH(B4883)-MONTH(parametros!$C$2)&gt;59),"Fora dos ciclos","C"&amp;INT(((YEAR(B4883)-YEAR(parametros!$C$2))*12+MONTH(B4883)-MONTH(parametros!$C$2))/12)))))</f>
        <v/>
      </c>
      <c r="D4883" s="394"/>
      <c r="E4883" s="78" t="str">
        <f>IF(C4883="","",IFERROR(VLOOKUP(C4883,parametros!$A$11:$E$15,5,0),""))</f>
        <v/>
      </c>
      <c r="F4883" s="79" t="str">
        <f t="shared" si="382"/>
        <v/>
      </c>
      <c r="G4883" s="395"/>
      <c r="H4883" s="91">
        <f t="shared" si="383"/>
        <v>0</v>
      </c>
      <c r="I4883" s="91" t="str">
        <f t="shared" si="384"/>
        <v/>
      </c>
      <c r="J4883" s="91" t="str">
        <f t="shared" si="385"/>
        <v/>
      </c>
      <c r="K4883" s="92" t="str">
        <f>IF(AND(A4883="",B4883="",D4883="",G4883=""),"",IF(AND(A4883&lt;&gt;"",COUNTIF($A$2:$A$5001,A4883)&gt;1),"NUMERO_PC duplicado",IF(B4883="","DATA_PC vazia",IF(NOT(ISNUMBER(B4883)),"DATA_PC invalida",IF(OR(C4883="",C4883="Fora dos ciclos"),"CICLO_PC nao identificado",IF(OR(D4883="",D4883=0),"VALOR_PC vazio ou zero",IF(AND(G4883&lt;&gt;"Sim",G4883&lt;&gt;"Nao",G4883&lt;&gt;""),"PC_PAGO_A_CONTRATADA invalido",IF(AND(C4883&lt;&gt;"C0",IFERROR(INDEX(parametros!$A$2:$A$6,MATCH(C4883,parametros!$B$2:$B$6,0)),"")="Sim",IFERROR(INDEX(parametros!$H$2:$H$6,MATCH(C4883,parametros!$B$2:$B$6,0)),"")=""),"INICIO_EFEITO ausente: PC "&amp;A4883&amp;" - "&amp;C4883,IF(L4883="","EFEITO_PC nao calculado: PC "&amp;A4883&amp;" - "&amp;C4883,"OK")))))))))</f>
        <v/>
      </c>
      <c r="L4883" s="92" t="str">
        <f>IF(AND(A4883="",B4883="",D4883="",G4883=""),"",IF(OR(B4883="",NOT(ISNUMBER(B4883)),C4883="",C4883="Fora dos ciclos"),"",IF(C4883="C0","Nao",IF(IFERROR(INDEX(parametros!$A$2:$A$6,MATCH(C4883,parametros!$B$2:$B$6,0)),"")&lt;&gt;"Sim","Nao",IF(IFERROR(INDEX(parametros!$H$2:$H$6,MATCH(C4883,parametros!$B$2:$B$6,0)),"")="","",IF(B4883&gt;=IFERROR(INDEX(parametros!$H$2:$H$6,MATCH(C4883,parametros!$B$2:$B$6,0)),""),"Sim","Nao"))))))</f>
        <v/>
      </c>
      <c r="T4883" s="156"/>
      <c r="U4883" s="214" t="str">
        <f t="shared" si="386"/>
        <v/>
      </c>
      <c r="V4883" s="212" t="s">
        <v>50</v>
      </c>
      <c r="W4883" s="100" t="s">
        <v>168</v>
      </c>
      <c r="X4883" s="100" t="s">
        <v>169</v>
      </c>
      <c r="Y4883" s="101" t="s">
        <v>170</v>
      </c>
      <c r="Z4883" s="101" t="s">
        <v>171</v>
      </c>
      <c r="AA4883" s="101" t="s">
        <v>50</v>
      </c>
      <c r="AB4883" s="101" t="s">
        <v>172</v>
      </c>
      <c r="AC4883" s="102" t="s">
        <v>173</v>
      </c>
    </row>
    <row r="4884" spans="1:29" ht="25.5" customHeight="1" x14ac:dyDescent="0.35">
      <c r="A4884" s="392"/>
      <c r="B4884" s="393"/>
      <c r="C4884" s="99" t="str">
        <f>IF(B4884="","",IF(NOT(ISNUMBER(B4884)),"DATA_PC invalida",IF(NOT(ISNUMBER(parametros!$C$2)),"Fora dos ciclos",IF(OR(B4884&lt;parametros!$C$2,(YEAR(B4884)-YEAR(parametros!$C$2))*12+MONTH(B4884)-MONTH(parametros!$C$2)&gt;59),"Fora dos ciclos","C"&amp;INT(((YEAR(B4884)-YEAR(parametros!$C$2))*12+MONTH(B4884)-MONTH(parametros!$C$2))/12)))))</f>
        <v/>
      </c>
      <c r="D4884" s="394"/>
      <c r="E4884" s="78" t="str">
        <f>IF(C4884="","",IFERROR(VLOOKUP(C4884,parametros!$A$11:$E$15,5,0),""))</f>
        <v/>
      </c>
      <c r="F4884" s="79" t="str">
        <f t="shared" si="382"/>
        <v/>
      </c>
      <c r="G4884" s="395"/>
      <c r="H4884" s="91">
        <f t="shared" si="383"/>
        <v>0</v>
      </c>
      <c r="I4884" s="91" t="str">
        <f t="shared" si="384"/>
        <v/>
      </c>
      <c r="J4884" s="91" t="str">
        <f t="shared" si="385"/>
        <v/>
      </c>
      <c r="K4884" s="92" t="str">
        <f>IF(AND(A4884="",B4884="",D4884="",G4884=""),"",IF(AND(A4884&lt;&gt;"",COUNTIF($A$2:$A$5001,A4884)&gt;1),"NUMERO_PC duplicado",IF(B4884="","DATA_PC vazia",IF(NOT(ISNUMBER(B4884)),"DATA_PC invalida",IF(OR(C4884="",C4884="Fora dos ciclos"),"CICLO_PC nao identificado",IF(OR(D4884="",D4884=0),"VALOR_PC vazio ou zero",IF(AND(G4884&lt;&gt;"Sim",G4884&lt;&gt;"Nao",G4884&lt;&gt;""),"PC_PAGO_A_CONTRATADA invalido",IF(AND(C4884&lt;&gt;"C0",IFERROR(INDEX(parametros!$A$2:$A$6,MATCH(C4884,parametros!$B$2:$B$6,0)),"")="Sim",IFERROR(INDEX(parametros!$H$2:$H$6,MATCH(C4884,parametros!$B$2:$B$6,0)),"")=""),"INICIO_EFEITO ausente: PC "&amp;A4884&amp;" - "&amp;C4884,IF(L4884="","EFEITO_PC nao calculado: PC "&amp;A4884&amp;" - "&amp;C4884,"OK")))))))))</f>
        <v/>
      </c>
      <c r="L4884" s="92" t="str">
        <f>IF(AND(A4884="",B4884="",D4884="",G4884=""),"",IF(OR(B4884="",NOT(ISNUMBER(B4884)),C4884="",C4884="Fora dos ciclos"),"",IF(C4884="C0","Nao",IF(IFERROR(INDEX(parametros!$A$2:$A$6,MATCH(C4884,parametros!$B$2:$B$6,0)),"")&lt;&gt;"Sim","Nao",IF(IFERROR(INDEX(parametros!$H$2:$H$6,MATCH(C4884,parametros!$B$2:$B$6,0)),"")="","",IF(B4884&gt;=IFERROR(INDEX(parametros!$H$2:$H$6,MATCH(C4884,parametros!$B$2:$B$6,0)),""),"Sim","Nao"))))))</f>
        <v/>
      </c>
      <c r="T4884" s="156"/>
      <c r="U4884" s="214" t="str">
        <f t="shared" si="386"/>
        <v/>
      </c>
      <c r="V4884" s="212" t="s">
        <v>50</v>
      </c>
      <c r="W4884" s="100" t="s">
        <v>168</v>
      </c>
      <c r="X4884" s="100" t="s">
        <v>169</v>
      </c>
      <c r="Y4884" s="101" t="s">
        <v>170</v>
      </c>
      <c r="Z4884" s="101" t="s">
        <v>171</v>
      </c>
      <c r="AA4884" s="101" t="s">
        <v>50</v>
      </c>
      <c r="AB4884" s="101" t="s">
        <v>172</v>
      </c>
      <c r="AC4884" s="102" t="s">
        <v>173</v>
      </c>
    </row>
    <row r="4885" spans="1:29" ht="25.5" customHeight="1" x14ac:dyDescent="0.35">
      <c r="A4885" s="392"/>
      <c r="B4885" s="393"/>
      <c r="C4885" s="99" t="str">
        <f>IF(B4885="","",IF(NOT(ISNUMBER(B4885)),"DATA_PC invalida",IF(NOT(ISNUMBER(parametros!$C$2)),"Fora dos ciclos",IF(OR(B4885&lt;parametros!$C$2,(YEAR(B4885)-YEAR(parametros!$C$2))*12+MONTH(B4885)-MONTH(parametros!$C$2)&gt;59),"Fora dos ciclos","C"&amp;INT(((YEAR(B4885)-YEAR(parametros!$C$2))*12+MONTH(B4885)-MONTH(parametros!$C$2))/12)))))</f>
        <v/>
      </c>
      <c r="D4885" s="394"/>
      <c r="E4885" s="78" t="str">
        <f>IF(C4885="","",IFERROR(VLOOKUP(C4885,parametros!$A$11:$E$15,5,0),""))</f>
        <v/>
      </c>
      <c r="F4885" s="79" t="str">
        <f t="shared" si="382"/>
        <v/>
      </c>
      <c r="G4885" s="395"/>
      <c r="H4885" s="91">
        <f t="shared" si="383"/>
        <v>0</v>
      </c>
      <c r="I4885" s="91" t="str">
        <f t="shared" si="384"/>
        <v/>
      </c>
      <c r="J4885" s="91" t="str">
        <f t="shared" si="385"/>
        <v/>
      </c>
      <c r="K4885" s="92" t="str">
        <f>IF(AND(A4885="",B4885="",D4885="",G4885=""),"",IF(AND(A4885&lt;&gt;"",COUNTIF($A$2:$A$5001,A4885)&gt;1),"NUMERO_PC duplicado",IF(B4885="","DATA_PC vazia",IF(NOT(ISNUMBER(B4885)),"DATA_PC invalida",IF(OR(C4885="",C4885="Fora dos ciclos"),"CICLO_PC nao identificado",IF(OR(D4885="",D4885=0),"VALOR_PC vazio ou zero",IF(AND(G4885&lt;&gt;"Sim",G4885&lt;&gt;"Nao",G4885&lt;&gt;""),"PC_PAGO_A_CONTRATADA invalido",IF(AND(C4885&lt;&gt;"C0",IFERROR(INDEX(parametros!$A$2:$A$6,MATCH(C4885,parametros!$B$2:$B$6,0)),"")="Sim",IFERROR(INDEX(parametros!$H$2:$H$6,MATCH(C4885,parametros!$B$2:$B$6,0)),"")=""),"INICIO_EFEITO ausente: PC "&amp;A4885&amp;" - "&amp;C4885,IF(L4885="","EFEITO_PC nao calculado: PC "&amp;A4885&amp;" - "&amp;C4885,"OK")))))))))</f>
        <v/>
      </c>
      <c r="L4885" s="92" t="str">
        <f>IF(AND(A4885="",B4885="",D4885="",G4885=""),"",IF(OR(B4885="",NOT(ISNUMBER(B4885)),C4885="",C4885="Fora dos ciclos"),"",IF(C4885="C0","Nao",IF(IFERROR(INDEX(parametros!$A$2:$A$6,MATCH(C4885,parametros!$B$2:$B$6,0)),"")&lt;&gt;"Sim","Nao",IF(IFERROR(INDEX(parametros!$H$2:$H$6,MATCH(C4885,parametros!$B$2:$B$6,0)),"")="","",IF(B4885&gt;=IFERROR(INDEX(parametros!$H$2:$H$6,MATCH(C4885,parametros!$B$2:$B$6,0)),""),"Sim","Nao"))))))</f>
        <v/>
      </c>
      <c r="T4885" s="156"/>
      <c r="U4885" s="214" t="str">
        <f t="shared" si="386"/>
        <v/>
      </c>
      <c r="V4885" s="212" t="s">
        <v>50</v>
      </c>
      <c r="W4885" s="100" t="s">
        <v>168</v>
      </c>
      <c r="X4885" s="100" t="s">
        <v>169</v>
      </c>
      <c r="Y4885" s="101" t="s">
        <v>170</v>
      </c>
      <c r="Z4885" s="101" t="s">
        <v>171</v>
      </c>
      <c r="AA4885" s="101" t="s">
        <v>50</v>
      </c>
      <c r="AB4885" s="101" t="s">
        <v>172</v>
      </c>
      <c r="AC4885" s="102" t="s">
        <v>173</v>
      </c>
    </row>
    <row r="4886" spans="1:29" ht="25.5" customHeight="1" x14ac:dyDescent="0.35">
      <c r="A4886" s="392"/>
      <c r="B4886" s="393"/>
      <c r="C4886" s="99" t="str">
        <f>IF(B4886="","",IF(NOT(ISNUMBER(B4886)),"DATA_PC invalida",IF(NOT(ISNUMBER(parametros!$C$2)),"Fora dos ciclos",IF(OR(B4886&lt;parametros!$C$2,(YEAR(B4886)-YEAR(parametros!$C$2))*12+MONTH(B4886)-MONTH(parametros!$C$2)&gt;59),"Fora dos ciclos","C"&amp;INT(((YEAR(B4886)-YEAR(parametros!$C$2))*12+MONTH(B4886)-MONTH(parametros!$C$2))/12)))))</f>
        <v/>
      </c>
      <c r="D4886" s="394"/>
      <c r="E4886" s="78" t="str">
        <f>IF(C4886="","",IFERROR(VLOOKUP(C4886,parametros!$A$11:$E$15,5,0),""))</f>
        <v/>
      </c>
      <c r="F4886" s="79" t="str">
        <f t="shared" si="382"/>
        <v/>
      </c>
      <c r="G4886" s="395"/>
      <c r="H4886" s="91">
        <f t="shared" si="383"/>
        <v>0</v>
      </c>
      <c r="I4886" s="91" t="str">
        <f t="shared" si="384"/>
        <v/>
      </c>
      <c r="J4886" s="91" t="str">
        <f t="shared" si="385"/>
        <v/>
      </c>
      <c r="K4886" s="92" t="str">
        <f>IF(AND(A4886="",B4886="",D4886="",G4886=""),"",IF(AND(A4886&lt;&gt;"",COUNTIF($A$2:$A$5001,A4886)&gt;1),"NUMERO_PC duplicado",IF(B4886="","DATA_PC vazia",IF(NOT(ISNUMBER(B4886)),"DATA_PC invalida",IF(OR(C4886="",C4886="Fora dos ciclos"),"CICLO_PC nao identificado",IF(OR(D4886="",D4886=0),"VALOR_PC vazio ou zero",IF(AND(G4886&lt;&gt;"Sim",G4886&lt;&gt;"Nao",G4886&lt;&gt;""),"PC_PAGO_A_CONTRATADA invalido",IF(AND(C4886&lt;&gt;"C0",IFERROR(INDEX(parametros!$A$2:$A$6,MATCH(C4886,parametros!$B$2:$B$6,0)),"")="Sim",IFERROR(INDEX(parametros!$H$2:$H$6,MATCH(C4886,parametros!$B$2:$B$6,0)),"")=""),"INICIO_EFEITO ausente: PC "&amp;A4886&amp;" - "&amp;C4886,IF(L4886="","EFEITO_PC nao calculado: PC "&amp;A4886&amp;" - "&amp;C4886,"OK")))))))))</f>
        <v/>
      </c>
      <c r="L4886" s="92" t="str">
        <f>IF(AND(A4886="",B4886="",D4886="",G4886=""),"",IF(OR(B4886="",NOT(ISNUMBER(B4886)),C4886="",C4886="Fora dos ciclos"),"",IF(C4886="C0","Nao",IF(IFERROR(INDEX(parametros!$A$2:$A$6,MATCH(C4886,parametros!$B$2:$B$6,0)),"")&lt;&gt;"Sim","Nao",IF(IFERROR(INDEX(parametros!$H$2:$H$6,MATCH(C4886,parametros!$B$2:$B$6,0)),"")="","",IF(B4886&gt;=IFERROR(INDEX(parametros!$H$2:$H$6,MATCH(C4886,parametros!$B$2:$B$6,0)),""),"Sim","Nao"))))))</f>
        <v/>
      </c>
      <c r="T4886" s="156"/>
      <c r="U4886" s="214" t="str">
        <f t="shared" si="386"/>
        <v/>
      </c>
      <c r="V4886" s="212" t="s">
        <v>50</v>
      </c>
      <c r="W4886" s="100" t="s">
        <v>168</v>
      </c>
      <c r="X4886" s="100" t="s">
        <v>169</v>
      </c>
      <c r="Y4886" s="101" t="s">
        <v>170</v>
      </c>
      <c r="Z4886" s="101" t="s">
        <v>171</v>
      </c>
      <c r="AA4886" s="101" t="s">
        <v>50</v>
      </c>
      <c r="AB4886" s="101" t="s">
        <v>172</v>
      </c>
      <c r="AC4886" s="102" t="s">
        <v>173</v>
      </c>
    </row>
    <row r="4887" spans="1:29" ht="25.5" customHeight="1" x14ac:dyDescent="0.35">
      <c r="A4887" s="392"/>
      <c r="B4887" s="393"/>
      <c r="C4887" s="99" t="str">
        <f>IF(B4887="","",IF(NOT(ISNUMBER(B4887)),"DATA_PC invalida",IF(NOT(ISNUMBER(parametros!$C$2)),"Fora dos ciclos",IF(OR(B4887&lt;parametros!$C$2,(YEAR(B4887)-YEAR(parametros!$C$2))*12+MONTH(B4887)-MONTH(parametros!$C$2)&gt;59),"Fora dos ciclos","C"&amp;INT(((YEAR(B4887)-YEAR(parametros!$C$2))*12+MONTH(B4887)-MONTH(parametros!$C$2))/12)))))</f>
        <v/>
      </c>
      <c r="D4887" s="394"/>
      <c r="E4887" s="78" t="str">
        <f>IF(C4887="","",IFERROR(VLOOKUP(C4887,parametros!$A$11:$E$15,5,0),""))</f>
        <v/>
      </c>
      <c r="F4887" s="79" t="str">
        <f t="shared" si="382"/>
        <v/>
      </c>
      <c r="G4887" s="395"/>
      <c r="H4887" s="91">
        <f t="shared" si="383"/>
        <v>0</v>
      </c>
      <c r="I4887" s="91" t="str">
        <f t="shared" si="384"/>
        <v/>
      </c>
      <c r="J4887" s="91" t="str">
        <f t="shared" si="385"/>
        <v/>
      </c>
      <c r="K4887" s="92" t="str">
        <f>IF(AND(A4887="",B4887="",D4887="",G4887=""),"",IF(AND(A4887&lt;&gt;"",COUNTIF($A$2:$A$5001,A4887)&gt;1),"NUMERO_PC duplicado",IF(B4887="","DATA_PC vazia",IF(NOT(ISNUMBER(B4887)),"DATA_PC invalida",IF(OR(C4887="",C4887="Fora dos ciclos"),"CICLO_PC nao identificado",IF(OR(D4887="",D4887=0),"VALOR_PC vazio ou zero",IF(AND(G4887&lt;&gt;"Sim",G4887&lt;&gt;"Nao",G4887&lt;&gt;""),"PC_PAGO_A_CONTRATADA invalido",IF(AND(C4887&lt;&gt;"C0",IFERROR(INDEX(parametros!$A$2:$A$6,MATCH(C4887,parametros!$B$2:$B$6,0)),"")="Sim",IFERROR(INDEX(parametros!$H$2:$H$6,MATCH(C4887,parametros!$B$2:$B$6,0)),"")=""),"INICIO_EFEITO ausente: PC "&amp;A4887&amp;" - "&amp;C4887,IF(L4887="","EFEITO_PC nao calculado: PC "&amp;A4887&amp;" - "&amp;C4887,"OK")))))))))</f>
        <v/>
      </c>
      <c r="L4887" s="92" t="str">
        <f>IF(AND(A4887="",B4887="",D4887="",G4887=""),"",IF(OR(B4887="",NOT(ISNUMBER(B4887)),C4887="",C4887="Fora dos ciclos"),"",IF(C4887="C0","Nao",IF(IFERROR(INDEX(parametros!$A$2:$A$6,MATCH(C4887,parametros!$B$2:$B$6,0)),"")&lt;&gt;"Sim","Nao",IF(IFERROR(INDEX(parametros!$H$2:$H$6,MATCH(C4887,parametros!$B$2:$B$6,0)),"")="","",IF(B4887&gt;=IFERROR(INDEX(parametros!$H$2:$H$6,MATCH(C4887,parametros!$B$2:$B$6,0)),""),"Sim","Nao"))))))</f>
        <v/>
      </c>
      <c r="T4887" s="156"/>
      <c r="U4887" s="214" t="str">
        <f t="shared" si="386"/>
        <v/>
      </c>
      <c r="V4887" s="212" t="s">
        <v>50</v>
      </c>
      <c r="W4887" s="100" t="s">
        <v>168</v>
      </c>
      <c r="X4887" s="100" t="s">
        <v>169</v>
      </c>
      <c r="Y4887" s="101" t="s">
        <v>170</v>
      </c>
      <c r="Z4887" s="101" t="s">
        <v>171</v>
      </c>
      <c r="AA4887" s="101" t="s">
        <v>50</v>
      </c>
      <c r="AB4887" s="101" t="s">
        <v>172</v>
      </c>
      <c r="AC4887" s="102" t="s">
        <v>173</v>
      </c>
    </row>
    <row r="4888" spans="1:29" ht="25.5" customHeight="1" x14ac:dyDescent="0.35">
      <c r="A4888" s="392"/>
      <c r="B4888" s="393"/>
      <c r="C4888" s="99" t="str">
        <f>IF(B4888="","",IF(NOT(ISNUMBER(B4888)),"DATA_PC invalida",IF(NOT(ISNUMBER(parametros!$C$2)),"Fora dos ciclos",IF(OR(B4888&lt;parametros!$C$2,(YEAR(B4888)-YEAR(parametros!$C$2))*12+MONTH(B4888)-MONTH(parametros!$C$2)&gt;59),"Fora dos ciclos","C"&amp;INT(((YEAR(B4888)-YEAR(parametros!$C$2))*12+MONTH(B4888)-MONTH(parametros!$C$2))/12)))))</f>
        <v/>
      </c>
      <c r="D4888" s="394"/>
      <c r="E4888" s="78" t="str">
        <f>IF(C4888="","",IFERROR(VLOOKUP(C4888,parametros!$A$11:$E$15,5,0),""))</f>
        <v/>
      </c>
      <c r="F4888" s="79" t="str">
        <f t="shared" si="382"/>
        <v/>
      </c>
      <c r="G4888" s="395"/>
      <c r="H4888" s="91">
        <f t="shared" si="383"/>
        <v>0</v>
      </c>
      <c r="I4888" s="91" t="str">
        <f t="shared" si="384"/>
        <v/>
      </c>
      <c r="J4888" s="91" t="str">
        <f t="shared" si="385"/>
        <v/>
      </c>
      <c r="K4888" s="92" t="str">
        <f>IF(AND(A4888="",B4888="",D4888="",G4888=""),"",IF(AND(A4888&lt;&gt;"",COUNTIF($A$2:$A$5001,A4888)&gt;1),"NUMERO_PC duplicado",IF(B4888="","DATA_PC vazia",IF(NOT(ISNUMBER(B4888)),"DATA_PC invalida",IF(OR(C4888="",C4888="Fora dos ciclos"),"CICLO_PC nao identificado",IF(OR(D4888="",D4888=0),"VALOR_PC vazio ou zero",IF(AND(G4888&lt;&gt;"Sim",G4888&lt;&gt;"Nao",G4888&lt;&gt;""),"PC_PAGO_A_CONTRATADA invalido",IF(AND(C4888&lt;&gt;"C0",IFERROR(INDEX(parametros!$A$2:$A$6,MATCH(C4888,parametros!$B$2:$B$6,0)),"")="Sim",IFERROR(INDEX(parametros!$H$2:$H$6,MATCH(C4888,parametros!$B$2:$B$6,0)),"")=""),"INICIO_EFEITO ausente: PC "&amp;A4888&amp;" - "&amp;C4888,IF(L4888="","EFEITO_PC nao calculado: PC "&amp;A4888&amp;" - "&amp;C4888,"OK")))))))))</f>
        <v/>
      </c>
      <c r="L4888" s="92" t="str">
        <f>IF(AND(A4888="",B4888="",D4888="",G4888=""),"",IF(OR(B4888="",NOT(ISNUMBER(B4888)),C4888="",C4888="Fora dos ciclos"),"",IF(C4888="C0","Nao",IF(IFERROR(INDEX(parametros!$A$2:$A$6,MATCH(C4888,parametros!$B$2:$B$6,0)),"")&lt;&gt;"Sim","Nao",IF(IFERROR(INDEX(parametros!$H$2:$H$6,MATCH(C4888,parametros!$B$2:$B$6,0)),"")="","",IF(B4888&gt;=IFERROR(INDEX(parametros!$H$2:$H$6,MATCH(C4888,parametros!$B$2:$B$6,0)),""),"Sim","Nao"))))))</f>
        <v/>
      </c>
      <c r="T4888" s="156"/>
      <c r="U4888" s="214" t="str">
        <f t="shared" si="386"/>
        <v/>
      </c>
      <c r="V4888" s="212" t="s">
        <v>50</v>
      </c>
      <c r="W4888" s="100" t="s">
        <v>168</v>
      </c>
      <c r="X4888" s="100" t="s">
        <v>169</v>
      </c>
      <c r="Y4888" s="101" t="s">
        <v>170</v>
      </c>
      <c r="Z4888" s="101" t="s">
        <v>171</v>
      </c>
      <c r="AA4888" s="101" t="s">
        <v>50</v>
      </c>
      <c r="AB4888" s="101" t="s">
        <v>172</v>
      </c>
      <c r="AC4888" s="102" t="s">
        <v>173</v>
      </c>
    </row>
    <row r="4889" spans="1:29" ht="25.5" customHeight="1" x14ac:dyDescent="0.35">
      <c r="A4889" s="392"/>
      <c r="B4889" s="393"/>
      <c r="C4889" s="99" t="str">
        <f>IF(B4889="","",IF(NOT(ISNUMBER(B4889)),"DATA_PC invalida",IF(NOT(ISNUMBER(parametros!$C$2)),"Fora dos ciclos",IF(OR(B4889&lt;parametros!$C$2,(YEAR(B4889)-YEAR(parametros!$C$2))*12+MONTH(B4889)-MONTH(parametros!$C$2)&gt;59),"Fora dos ciclos","C"&amp;INT(((YEAR(B4889)-YEAR(parametros!$C$2))*12+MONTH(B4889)-MONTH(parametros!$C$2))/12)))))</f>
        <v/>
      </c>
      <c r="D4889" s="394"/>
      <c r="E4889" s="78" t="str">
        <f>IF(C4889="","",IFERROR(VLOOKUP(C4889,parametros!$A$11:$E$15,5,0),""))</f>
        <v/>
      </c>
      <c r="F4889" s="79" t="str">
        <f t="shared" si="382"/>
        <v/>
      </c>
      <c r="G4889" s="395"/>
      <c r="H4889" s="91">
        <f t="shared" si="383"/>
        <v>0</v>
      </c>
      <c r="I4889" s="91" t="str">
        <f t="shared" si="384"/>
        <v/>
      </c>
      <c r="J4889" s="91" t="str">
        <f t="shared" si="385"/>
        <v/>
      </c>
      <c r="K4889" s="92" t="str">
        <f>IF(AND(A4889="",B4889="",D4889="",G4889=""),"",IF(AND(A4889&lt;&gt;"",COUNTIF($A$2:$A$5001,A4889)&gt;1),"NUMERO_PC duplicado",IF(B4889="","DATA_PC vazia",IF(NOT(ISNUMBER(B4889)),"DATA_PC invalida",IF(OR(C4889="",C4889="Fora dos ciclos"),"CICLO_PC nao identificado",IF(OR(D4889="",D4889=0),"VALOR_PC vazio ou zero",IF(AND(G4889&lt;&gt;"Sim",G4889&lt;&gt;"Nao",G4889&lt;&gt;""),"PC_PAGO_A_CONTRATADA invalido",IF(AND(C4889&lt;&gt;"C0",IFERROR(INDEX(parametros!$A$2:$A$6,MATCH(C4889,parametros!$B$2:$B$6,0)),"")="Sim",IFERROR(INDEX(parametros!$H$2:$H$6,MATCH(C4889,parametros!$B$2:$B$6,0)),"")=""),"INICIO_EFEITO ausente: PC "&amp;A4889&amp;" - "&amp;C4889,IF(L4889="","EFEITO_PC nao calculado: PC "&amp;A4889&amp;" - "&amp;C4889,"OK")))))))))</f>
        <v/>
      </c>
      <c r="L4889" s="92" t="str">
        <f>IF(AND(A4889="",B4889="",D4889="",G4889=""),"",IF(OR(B4889="",NOT(ISNUMBER(B4889)),C4889="",C4889="Fora dos ciclos"),"",IF(C4889="C0","Nao",IF(IFERROR(INDEX(parametros!$A$2:$A$6,MATCH(C4889,parametros!$B$2:$B$6,0)),"")&lt;&gt;"Sim","Nao",IF(IFERROR(INDEX(parametros!$H$2:$H$6,MATCH(C4889,parametros!$B$2:$B$6,0)),"")="","",IF(B4889&gt;=IFERROR(INDEX(parametros!$H$2:$H$6,MATCH(C4889,parametros!$B$2:$B$6,0)),""),"Sim","Nao"))))))</f>
        <v/>
      </c>
      <c r="T4889" s="156"/>
      <c r="U4889" s="214" t="str">
        <f t="shared" si="386"/>
        <v/>
      </c>
      <c r="V4889" s="212" t="s">
        <v>50</v>
      </c>
      <c r="W4889" s="100" t="s">
        <v>168</v>
      </c>
      <c r="X4889" s="100" t="s">
        <v>169</v>
      </c>
      <c r="Y4889" s="101" t="s">
        <v>170</v>
      </c>
      <c r="Z4889" s="101" t="s">
        <v>171</v>
      </c>
      <c r="AA4889" s="101" t="s">
        <v>50</v>
      </c>
      <c r="AB4889" s="101" t="s">
        <v>172</v>
      </c>
      <c r="AC4889" s="102" t="s">
        <v>173</v>
      </c>
    </row>
    <row r="4890" spans="1:29" ht="25.5" customHeight="1" x14ac:dyDescent="0.35">
      <c r="A4890" s="392"/>
      <c r="B4890" s="393"/>
      <c r="C4890" s="99" t="str">
        <f>IF(B4890="","",IF(NOT(ISNUMBER(B4890)),"DATA_PC invalida",IF(NOT(ISNUMBER(parametros!$C$2)),"Fora dos ciclos",IF(OR(B4890&lt;parametros!$C$2,(YEAR(B4890)-YEAR(parametros!$C$2))*12+MONTH(B4890)-MONTH(parametros!$C$2)&gt;59),"Fora dos ciclos","C"&amp;INT(((YEAR(B4890)-YEAR(parametros!$C$2))*12+MONTH(B4890)-MONTH(parametros!$C$2))/12)))))</f>
        <v/>
      </c>
      <c r="D4890" s="394"/>
      <c r="E4890" s="78" t="str">
        <f>IF(C4890="","",IFERROR(VLOOKUP(C4890,parametros!$A$11:$E$15,5,0),""))</f>
        <v/>
      </c>
      <c r="F4890" s="79" t="str">
        <f t="shared" si="382"/>
        <v/>
      </c>
      <c r="G4890" s="395"/>
      <c r="H4890" s="91">
        <f t="shared" si="383"/>
        <v>0</v>
      </c>
      <c r="I4890" s="91" t="str">
        <f t="shared" si="384"/>
        <v/>
      </c>
      <c r="J4890" s="91" t="str">
        <f t="shared" si="385"/>
        <v/>
      </c>
      <c r="K4890" s="92" t="str">
        <f>IF(AND(A4890="",B4890="",D4890="",G4890=""),"",IF(AND(A4890&lt;&gt;"",COUNTIF($A$2:$A$5001,A4890)&gt;1),"NUMERO_PC duplicado",IF(B4890="","DATA_PC vazia",IF(NOT(ISNUMBER(B4890)),"DATA_PC invalida",IF(OR(C4890="",C4890="Fora dos ciclos"),"CICLO_PC nao identificado",IF(OR(D4890="",D4890=0),"VALOR_PC vazio ou zero",IF(AND(G4890&lt;&gt;"Sim",G4890&lt;&gt;"Nao",G4890&lt;&gt;""),"PC_PAGO_A_CONTRATADA invalido",IF(AND(C4890&lt;&gt;"C0",IFERROR(INDEX(parametros!$A$2:$A$6,MATCH(C4890,parametros!$B$2:$B$6,0)),"")="Sim",IFERROR(INDEX(parametros!$H$2:$H$6,MATCH(C4890,parametros!$B$2:$B$6,0)),"")=""),"INICIO_EFEITO ausente: PC "&amp;A4890&amp;" - "&amp;C4890,IF(L4890="","EFEITO_PC nao calculado: PC "&amp;A4890&amp;" - "&amp;C4890,"OK")))))))))</f>
        <v/>
      </c>
      <c r="L4890" s="92" t="str">
        <f>IF(AND(A4890="",B4890="",D4890="",G4890=""),"",IF(OR(B4890="",NOT(ISNUMBER(B4890)),C4890="",C4890="Fora dos ciclos"),"",IF(C4890="C0","Nao",IF(IFERROR(INDEX(parametros!$A$2:$A$6,MATCH(C4890,parametros!$B$2:$B$6,0)),"")&lt;&gt;"Sim","Nao",IF(IFERROR(INDEX(parametros!$H$2:$H$6,MATCH(C4890,parametros!$B$2:$B$6,0)),"")="","",IF(B4890&gt;=IFERROR(INDEX(parametros!$H$2:$H$6,MATCH(C4890,parametros!$B$2:$B$6,0)),""),"Sim","Nao"))))))</f>
        <v/>
      </c>
      <c r="T4890" s="156"/>
      <c r="U4890" s="214" t="str">
        <f t="shared" si="386"/>
        <v/>
      </c>
      <c r="V4890" s="212" t="s">
        <v>50</v>
      </c>
      <c r="W4890" s="100" t="s">
        <v>168</v>
      </c>
      <c r="X4890" s="100" t="s">
        <v>169</v>
      </c>
      <c r="Y4890" s="101" t="s">
        <v>170</v>
      </c>
      <c r="Z4890" s="101" t="s">
        <v>171</v>
      </c>
      <c r="AA4890" s="101" t="s">
        <v>50</v>
      </c>
      <c r="AB4890" s="101" t="s">
        <v>172</v>
      </c>
      <c r="AC4890" s="102" t="s">
        <v>173</v>
      </c>
    </row>
    <row r="4891" spans="1:29" ht="25.5" customHeight="1" x14ac:dyDescent="0.35">
      <c r="A4891" s="392"/>
      <c r="B4891" s="393"/>
      <c r="C4891" s="99" t="str">
        <f>IF(B4891="","",IF(NOT(ISNUMBER(B4891)),"DATA_PC invalida",IF(NOT(ISNUMBER(parametros!$C$2)),"Fora dos ciclos",IF(OR(B4891&lt;parametros!$C$2,(YEAR(B4891)-YEAR(parametros!$C$2))*12+MONTH(B4891)-MONTH(parametros!$C$2)&gt;59),"Fora dos ciclos","C"&amp;INT(((YEAR(B4891)-YEAR(parametros!$C$2))*12+MONTH(B4891)-MONTH(parametros!$C$2))/12)))))</f>
        <v/>
      </c>
      <c r="D4891" s="394"/>
      <c r="E4891" s="78" t="str">
        <f>IF(C4891="","",IFERROR(VLOOKUP(C4891,parametros!$A$11:$E$15,5,0),""))</f>
        <v/>
      </c>
      <c r="F4891" s="79" t="str">
        <f t="shared" si="382"/>
        <v/>
      </c>
      <c r="G4891" s="395"/>
      <c r="H4891" s="91">
        <f t="shared" si="383"/>
        <v>0</v>
      </c>
      <c r="I4891" s="91" t="str">
        <f t="shared" si="384"/>
        <v/>
      </c>
      <c r="J4891" s="91" t="str">
        <f t="shared" si="385"/>
        <v/>
      </c>
      <c r="K4891" s="92" t="str">
        <f>IF(AND(A4891="",B4891="",D4891="",G4891=""),"",IF(AND(A4891&lt;&gt;"",COUNTIF($A$2:$A$5001,A4891)&gt;1),"NUMERO_PC duplicado",IF(B4891="","DATA_PC vazia",IF(NOT(ISNUMBER(B4891)),"DATA_PC invalida",IF(OR(C4891="",C4891="Fora dos ciclos"),"CICLO_PC nao identificado",IF(OR(D4891="",D4891=0),"VALOR_PC vazio ou zero",IF(AND(G4891&lt;&gt;"Sim",G4891&lt;&gt;"Nao",G4891&lt;&gt;""),"PC_PAGO_A_CONTRATADA invalido",IF(AND(C4891&lt;&gt;"C0",IFERROR(INDEX(parametros!$A$2:$A$6,MATCH(C4891,parametros!$B$2:$B$6,0)),"")="Sim",IFERROR(INDEX(parametros!$H$2:$H$6,MATCH(C4891,parametros!$B$2:$B$6,0)),"")=""),"INICIO_EFEITO ausente: PC "&amp;A4891&amp;" - "&amp;C4891,IF(L4891="","EFEITO_PC nao calculado: PC "&amp;A4891&amp;" - "&amp;C4891,"OK")))))))))</f>
        <v/>
      </c>
      <c r="L4891" s="92" t="str">
        <f>IF(AND(A4891="",B4891="",D4891="",G4891=""),"",IF(OR(B4891="",NOT(ISNUMBER(B4891)),C4891="",C4891="Fora dos ciclos"),"",IF(C4891="C0","Nao",IF(IFERROR(INDEX(parametros!$A$2:$A$6,MATCH(C4891,parametros!$B$2:$B$6,0)),"")&lt;&gt;"Sim","Nao",IF(IFERROR(INDEX(parametros!$H$2:$H$6,MATCH(C4891,parametros!$B$2:$B$6,0)),"")="","",IF(B4891&gt;=IFERROR(INDEX(parametros!$H$2:$H$6,MATCH(C4891,parametros!$B$2:$B$6,0)),""),"Sim","Nao"))))))</f>
        <v/>
      </c>
      <c r="T4891" s="156"/>
      <c r="U4891" s="214" t="str">
        <f t="shared" si="386"/>
        <v/>
      </c>
      <c r="V4891" s="212" t="s">
        <v>50</v>
      </c>
      <c r="W4891" s="100" t="s">
        <v>168</v>
      </c>
      <c r="X4891" s="100" t="s">
        <v>169</v>
      </c>
      <c r="Y4891" s="101" t="s">
        <v>170</v>
      </c>
      <c r="Z4891" s="101" t="s">
        <v>171</v>
      </c>
      <c r="AA4891" s="101" t="s">
        <v>50</v>
      </c>
      <c r="AB4891" s="101" t="s">
        <v>172</v>
      </c>
      <c r="AC4891" s="102" t="s">
        <v>173</v>
      </c>
    </row>
    <row r="4892" spans="1:29" ht="25.5" customHeight="1" x14ac:dyDescent="0.35">
      <c r="A4892" s="392"/>
      <c r="B4892" s="393"/>
      <c r="C4892" s="99" t="str">
        <f>IF(B4892="","",IF(NOT(ISNUMBER(B4892)),"DATA_PC invalida",IF(NOT(ISNUMBER(parametros!$C$2)),"Fora dos ciclos",IF(OR(B4892&lt;parametros!$C$2,(YEAR(B4892)-YEAR(parametros!$C$2))*12+MONTH(B4892)-MONTH(parametros!$C$2)&gt;59),"Fora dos ciclos","C"&amp;INT(((YEAR(B4892)-YEAR(parametros!$C$2))*12+MONTH(B4892)-MONTH(parametros!$C$2))/12)))))</f>
        <v/>
      </c>
      <c r="D4892" s="394"/>
      <c r="E4892" s="78" t="str">
        <f>IF(C4892="","",IFERROR(VLOOKUP(C4892,parametros!$A$11:$E$15,5,0),""))</f>
        <v/>
      </c>
      <c r="F4892" s="79" t="str">
        <f t="shared" si="382"/>
        <v/>
      </c>
      <c r="G4892" s="395"/>
      <c r="H4892" s="91">
        <f t="shared" si="383"/>
        <v>0</v>
      </c>
      <c r="I4892" s="91" t="str">
        <f t="shared" si="384"/>
        <v/>
      </c>
      <c r="J4892" s="91" t="str">
        <f t="shared" si="385"/>
        <v/>
      </c>
      <c r="K4892" s="92" t="str">
        <f>IF(AND(A4892="",B4892="",D4892="",G4892=""),"",IF(AND(A4892&lt;&gt;"",COUNTIF($A$2:$A$5001,A4892)&gt;1),"NUMERO_PC duplicado",IF(B4892="","DATA_PC vazia",IF(NOT(ISNUMBER(B4892)),"DATA_PC invalida",IF(OR(C4892="",C4892="Fora dos ciclos"),"CICLO_PC nao identificado",IF(OR(D4892="",D4892=0),"VALOR_PC vazio ou zero",IF(AND(G4892&lt;&gt;"Sim",G4892&lt;&gt;"Nao",G4892&lt;&gt;""),"PC_PAGO_A_CONTRATADA invalido",IF(AND(C4892&lt;&gt;"C0",IFERROR(INDEX(parametros!$A$2:$A$6,MATCH(C4892,parametros!$B$2:$B$6,0)),"")="Sim",IFERROR(INDEX(parametros!$H$2:$H$6,MATCH(C4892,parametros!$B$2:$B$6,0)),"")=""),"INICIO_EFEITO ausente: PC "&amp;A4892&amp;" - "&amp;C4892,IF(L4892="","EFEITO_PC nao calculado: PC "&amp;A4892&amp;" - "&amp;C4892,"OK")))))))))</f>
        <v/>
      </c>
      <c r="L4892" s="92" t="str">
        <f>IF(AND(A4892="",B4892="",D4892="",G4892=""),"",IF(OR(B4892="",NOT(ISNUMBER(B4892)),C4892="",C4892="Fora dos ciclos"),"",IF(C4892="C0","Nao",IF(IFERROR(INDEX(parametros!$A$2:$A$6,MATCH(C4892,parametros!$B$2:$B$6,0)),"")&lt;&gt;"Sim","Nao",IF(IFERROR(INDEX(parametros!$H$2:$H$6,MATCH(C4892,parametros!$B$2:$B$6,0)),"")="","",IF(B4892&gt;=IFERROR(INDEX(parametros!$H$2:$H$6,MATCH(C4892,parametros!$B$2:$B$6,0)),""),"Sim","Nao"))))))</f>
        <v/>
      </c>
      <c r="T4892" s="156"/>
      <c r="U4892" s="214" t="str">
        <f t="shared" si="386"/>
        <v/>
      </c>
      <c r="V4892" s="212" t="s">
        <v>50</v>
      </c>
      <c r="W4892" s="100" t="s">
        <v>168</v>
      </c>
      <c r="X4892" s="100" t="s">
        <v>169</v>
      </c>
      <c r="Y4892" s="101" t="s">
        <v>170</v>
      </c>
      <c r="Z4892" s="101" t="s">
        <v>171</v>
      </c>
      <c r="AA4892" s="101" t="s">
        <v>50</v>
      </c>
      <c r="AB4892" s="101" t="s">
        <v>172</v>
      </c>
      <c r="AC4892" s="102" t="s">
        <v>173</v>
      </c>
    </row>
    <row r="4893" spans="1:29" ht="25.5" customHeight="1" x14ac:dyDescent="0.35">
      <c r="A4893" s="392"/>
      <c r="B4893" s="393"/>
      <c r="C4893" s="99" t="str">
        <f>IF(B4893="","",IF(NOT(ISNUMBER(B4893)),"DATA_PC invalida",IF(NOT(ISNUMBER(parametros!$C$2)),"Fora dos ciclos",IF(OR(B4893&lt;parametros!$C$2,(YEAR(B4893)-YEAR(parametros!$C$2))*12+MONTH(B4893)-MONTH(parametros!$C$2)&gt;59),"Fora dos ciclos","C"&amp;INT(((YEAR(B4893)-YEAR(parametros!$C$2))*12+MONTH(B4893)-MONTH(parametros!$C$2))/12)))))</f>
        <v/>
      </c>
      <c r="D4893" s="394"/>
      <c r="E4893" s="78" t="str">
        <f>IF(C4893="","",IFERROR(VLOOKUP(C4893,parametros!$A$11:$E$15,5,0),""))</f>
        <v/>
      </c>
      <c r="F4893" s="79" t="str">
        <f t="shared" si="382"/>
        <v/>
      </c>
      <c r="G4893" s="395"/>
      <c r="H4893" s="91">
        <f t="shared" si="383"/>
        <v>0</v>
      </c>
      <c r="I4893" s="91" t="str">
        <f t="shared" si="384"/>
        <v/>
      </c>
      <c r="J4893" s="91" t="str">
        <f t="shared" si="385"/>
        <v/>
      </c>
      <c r="K4893" s="92" t="str">
        <f>IF(AND(A4893="",B4893="",D4893="",G4893=""),"",IF(AND(A4893&lt;&gt;"",COUNTIF($A$2:$A$5001,A4893)&gt;1),"NUMERO_PC duplicado",IF(B4893="","DATA_PC vazia",IF(NOT(ISNUMBER(B4893)),"DATA_PC invalida",IF(OR(C4893="",C4893="Fora dos ciclos"),"CICLO_PC nao identificado",IF(OR(D4893="",D4893=0),"VALOR_PC vazio ou zero",IF(AND(G4893&lt;&gt;"Sim",G4893&lt;&gt;"Nao",G4893&lt;&gt;""),"PC_PAGO_A_CONTRATADA invalido",IF(AND(C4893&lt;&gt;"C0",IFERROR(INDEX(parametros!$A$2:$A$6,MATCH(C4893,parametros!$B$2:$B$6,0)),"")="Sim",IFERROR(INDEX(parametros!$H$2:$H$6,MATCH(C4893,parametros!$B$2:$B$6,0)),"")=""),"INICIO_EFEITO ausente: PC "&amp;A4893&amp;" - "&amp;C4893,IF(L4893="","EFEITO_PC nao calculado: PC "&amp;A4893&amp;" - "&amp;C4893,"OK")))))))))</f>
        <v/>
      </c>
      <c r="L4893" s="92" t="str">
        <f>IF(AND(A4893="",B4893="",D4893="",G4893=""),"",IF(OR(B4893="",NOT(ISNUMBER(B4893)),C4893="",C4893="Fora dos ciclos"),"",IF(C4893="C0","Nao",IF(IFERROR(INDEX(parametros!$A$2:$A$6,MATCH(C4893,parametros!$B$2:$B$6,0)),"")&lt;&gt;"Sim","Nao",IF(IFERROR(INDEX(parametros!$H$2:$H$6,MATCH(C4893,parametros!$B$2:$B$6,0)),"")="","",IF(B4893&gt;=IFERROR(INDEX(parametros!$H$2:$H$6,MATCH(C4893,parametros!$B$2:$B$6,0)),""),"Sim","Nao"))))))</f>
        <v/>
      </c>
      <c r="T4893" s="156"/>
      <c r="U4893" s="214" t="str">
        <f t="shared" si="386"/>
        <v/>
      </c>
      <c r="V4893" s="212" t="s">
        <v>50</v>
      </c>
      <c r="W4893" s="100" t="s">
        <v>168</v>
      </c>
      <c r="X4893" s="100" t="s">
        <v>169</v>
      </c>
      <c r="Y4893" s="101" t="s">
        <v>170</v>
      </c>
      <c r="Z4893" s="101" t="s">
        <v>171</v>
      </c>
      <c r="AA4893" s="101" t="s">
        <v>50</v>
      </c>
      <c r="AB4893" s="101" t="s">
        <v>172</v>
      </c>
      <c r="AC4893" s="102" t="s">
        <v>173</v>
      </c>
    </row>
    <row r="4894" spans="1:29" ht="25.5" customHeight="1" x14ac:dyDescent="0.35">
      <c r="A4894" s="392"/>
      <c r="B4894" s="393"/>
      <c r="C4894" s="99" t="str">
        <f>IF(B4894="","",IF(NOT(ISNUMBER(B4894)),"DATA_PC invalida",IF(NOT(ISNUMBER(parametros!$C$2)),"Fora dos ciclos",IF(OR(B4894&lt;parametros!$C$2,(YEAR(B4894)-YEAR(parametros!$C$2))*12+MONTH(B4894)-MONTH(parametros!$C$2)&gt;59),"Fora dos ciclos","C"&amp;INT(((YEAR(B4894)-YEAR(parametros!$C$2))*12+MONTH(B4894)-MONTH(parametros!$C$2))/12)))))</f>
        <v/>
      </c>
      <c r="D4894" s="394"/>
      <c r="E4894" s="78" t="str">
        <f>IF(C4894="","",IFERROR(VLOOKUP(C4894,parametros!$A$11:$E$15,5,0),""))</f>
        <v/>
      </c>
      <c r="F4894" s="79" t="str">
        <f t="shared" si="382"/>
        <v/>
      </c>
      <c r="G4894" s="395"/>
      <c r="H4894" s="91">
        <f t="shared" si="383"/>
        <v>0</v>
      </c>
      <c r="I4894" s="91" t="str">
        <f t="shared" si="384"/>
        <v/>
      </c>
      <c r="J4894" s="91" t="str">
        <f t="shared" si="385"/>
        <v/>
      </c>
      <c r="K4894" s="92" t="str">
        <f>IF(AND(A4894="",B4894="",D4894="",G4894=""),"",IF(AND(A4894&lt;&gt;"",COUNTIF($A$2:$A$5001,A4894)&gt;1),"NUMERO_PC duplicado",IF(B4894="","DATA_PC vazia",IF(NOT(ISNUMBER(B4894)),"DATA_PC invalida",IF(OR(C4894="",C4894="Fora dos ciclos"),"CICLO_PC nao identificado",IF(OR(D4894="",D4894=0),"VALOR_PC vazio ou zero",IF(AND(G4894&lt;&gt;"Sim",G4894&lt;&gt;"Nao",G4894&lt;&gt;""),"PC_PAGO_A_CONTRATADA invalido",IF(AND(C4894&lt;&gt;"C0",IFERROR(INDEX(parametros!$A$2:$A$6,MATCH(C4894,parametros!$B$2:$B$6,0)),"")="Sim",IFERROR(INDEX(parametros!$H$2:$H$6,MATCH(C4894,parametros!$B$2:$B$6,0)),"")=""),"INICIO_EFEITO ausente: PC "&amp;A4894&amp;" - "&amp;C4894,IF(L4894="","EFEITO_PC nao calculado: PC "&amp;A4894&amp;" - "&amp;C4894,"OK")))))))))</f>
        <v/>
      </c>
      <c r="L4894" s="92" t="str">
        <f>IF(AND(A4894="",B4894="",D4894="",G4894=""),"",IF(OR(B4894="",NOT(ISNUMBER(B4894)),C4894="",C4894="Fora dos ciclos"),"",IF(C4894="C0","Nao",IF(IFERROR(INDEX(parametros!$A$2:$A$6,MATCH(C4894,parametros!$B$2:$B$6,0)),"")&lt;&gt;"Sim","Nao",IF(IFERROR(INDEX(parametros!$H$2:$H$6,MATCH(C4894,parametros!$B$2:$B$6,0)),"")="","",IF(B4894&gt;=IFERROR(INDEX(parametros!$H$2:$H$6,MATCH(C4894,parametros!$B$2:$B$6,0)),""),"Sim","Nao"))))))</f>
        <v/>
      </c>
      <c r="T4894" s="156"/>
      <c r="U4894" s="214" t="str">
        <f t="shared" si="386"/>
        <v/>
      </c>
      <c r="V4894" s="212" t="s">
        <v>50</v>
      </c>
      <c r="W4894" s="100" t="s">
        <v>168</v>
      </c>
      <c r="X4894" s="100" t="s">
        <v>169</v>
      </c>
      <c r="Y4894" s="101" t="s">
        <v>170</v>
      </c>
      <c r="Z4894" s="101" t="s">
        <v>171</v>
      </c>
      <c r="AA4894" s="101" t="s">
        <v>50</v>
      </c>
      <c r="AB4894" s="101" t="s">
        <v>172</v>
      </c>
      <c r="AC4894" s="102" t="s">
        <v>173</v>
      </c>
    </row>
    <row r="4895" spans="1:29" ht="25.5" customHeight="1" x14ac:dyDescent="0.35">
      <c r="A4895" s="392"/>
      <c r="B4895" s="393"/>
      <c r="C4895" s="99" t="str">
        <f>IF(B4895="","",IF(NOT(ISNUMBER(B4895)),"DATA_PC invalida",IF(NOT(ISNUMBER(parametros!$C$2)),"Fora dos ciclos",IF(OR(B4895&lt;parametros!$C$2,(YEAR(B4895)-YEAR(parametros!$C$2))*12+MONTH(B4895)-MONTH(parametros!$C$2)&gt;59),"Fora dos ciclos","C"&amp;INT(((YEAR(B4895)-YEAR(parametros!$C$2))*12+MONTH(B4895)-MONTH(parametros!$C$2))/12)))))</f>
        <v/>
      </c>
      <c r="D4895" s="394"/>
      <c r="E4895" s="78" t="str">
        <f>IF(C4895="","",IFERROR(VLOOKUP(C4895,parametros!$A$11:$E$15,5,0),""))</f>
        <v/>
      </c>
      <c r="F4895" s="79" t="str">
        <f t="shared" si="382"/>
        <v/>
      </c>
      <c r="G4895" s="395"/>
      <c r="H4895" s="91">
        <f t="shared" si="383"/>
        <v>0</v>
      </c>
      <c r="I4895" s="91" t="str">
        <f t="shared" si="384"/>
        <v/>
      </c>
      <c r="J4895" s="91" t="str">
        <f t="shared" si="385"/>
        <v/>
      </c>
      <c r="K4895" s="92" t="str">
        <f>IF(AND(A4895="",B4895="",D4895="",G4895=""),"",IF(AND(A4895&lt;&gt;"",COUNTIF($A$2:$A$5001,A4895)&gt;1),"NUMERO_PC duplicado",IF(B4895="","DATA_PC vazia",IF(NOT(ISNUMBER(B4895)),"DATA_PC invalida",IF(OR(C4895="",C4895="Fora dos ciclos"),"CICLO_PC nao identificado",IF(OR(D4895="",D4895=0),"VALOR_PC vazio ou zero",IF(AND(G4895&lt;&gt;"Sim",G4895&lt;&gt;"Nao",G4895&lt;&gt;""),"PC_PAGO_A_CONTRATADA invalido",IF(AND(C4895&lt;&gt;"C0",IFERROR(INDEX(parametros!$A$2:$A$6,MATCH(C4895,parametros!$B$2:$B$6,0)),"")="Sim",IFERROR(INDEX(parametros!$H$2:$H$6,MATCH(C4895,parametros!$B$2:$B$6,0)),"")=""),"INICIO_EFEITO ausente: PC "&amp;A4895&amp;" - "&amp;C4895,IF(L4895="","EFEITO_PC nao calculado: PC "&amp;A4895&amp;" - "&amp;C4895,"OK")))))))))</f>
        <v/>
      </c>
      <c r="L4895" s="92" t="str">
        <f>IF(AND(A4895="",B4895="",D4895="",G4895=""),"",IF(OR(B4895="",NOT(ISNUMBER(B4895)),C4895="",C4895="Fora dos ciclos"),"",IF(C4895="C0","Nao",IF(IFERROR(INDEX(parametros!$A$2:$A$6,MATCH(C4895,parametros!$B$2:$B$6,0)),"")&lt;&gt;"Sim","Nao",IF(IFERROR(INDEX(parametros!$H$2:$H$6,MATCH(C4895,parametros!$B$2:$B$6,0)),"")="","",IF(B4895&gt;=IFERROR(INDEX(parametros!$H$2:$H$6,MATCH(C4895,parametros!$B$2:$B$6,0)),""),"Sim","Nao"))))))</f>
        <v/>
      </c>
      <c r="T4895" s="156"/>
      <c r="U4895" s="214" t="str">
        <f t="shared" si="386"/>
        <v/>
      </c>
      <c r="V4895" s="212" t="s">
        <v>50</v>
      </c>
      <c r="W4895" s="100" t="s">
        <v>168</v>
      </c>
      <c r="X4895" s="100" t="s">
        <v>169</v>
      </c>
      <c r="Y4895" s="101" t="s">
        <v>170</v>
      </c>
      <c r="Z4895" s="101" t="s">
        <v>171</v>
      </c>
      <c r="AA4895" s="101" t="s">
        <v>50</v>
      </c>
      <c r="AB4895" s="101" t="s">
        <v>172</v>
      </c>
      <c r="AC4895" s="102" t="s">
        <v>173</v>
      </c>
    </row>
    <row r="4896" spans="1:29" ht="25.5" customHeight="1" x14ac:dyDescent="0.35">
      <c r="A4896" s="392"/>
      <c r="B4896" s="393"/>
      <c r="C4896" s="99" t="str">
        <f>IF(B4896="","",IF(NOT(ISNUMBER(B4896)),"DATA_PC invalida",IF(NOT(ISNUMBER(parametros!$C$2)),"Fora dos ciclos",IF(OR(B4896&lt;parametros!$C$2,(YEAR(B4896)-YEAR(parametros!$C$2))*12+MONTH(B4896)-MONTH(parametros!$C$2)&gt;59),"Fora dos ciclos","C"&amp;INT(((YEAR(B4896)-YEAR(parametros!$C$2))*12+MONTH(B4896)-MONTH(parametros!$C$2))/12)))))</f>
        <v/>
      </c>
      <c r="D4896" s="394"/>
      <c r="E4896" s="78" t="str">
        <f>IF(C4896="","",IFERROR(VLOOKUP(C4896,parametros!$A$11:$E$15,5,0),""))</f>
        <v/>
      </c>
      <c r="F4896" s="79" t="str">
        <f t="shared" si="382"/>
        <v/>
      </c>
      <c r="G4896" s="395"/>
      <c r="H4896" s="91">
        <f t="shared" si="383"/>
        <v>0</v>
      </c>
      <c r="I4896" s="91" t="str">
        <f t="shared" si="384"/>
        <v/>
      </c>
      <c r="J4896" s="91" t="str">
        <f t="shared" si="385"/>
        <v/>
      </c>
      <c r="K4896" s="92" t="str">
        <f>IF(AND(A4896="",B4896="",D4896="",G4896=""),"",IF(AND(A4896&lt;&gt;"",COUNTIF($A$2:$A$5001,A4896)&gt;1),"NUMERO_PC duplicado",IF(B4896="","DATA_PC vazia",IF(NOT(ISNUMBER(B4896)),"DATA_PC invalida",IF(OR(C4896="",C4896="Fora dos ciclos"),"CICLO_PC nao identificado",IF(OR(D4896="",D4896=0),"VALOR_PC vazio ou zero",IF(AND(G4896&lt;&gt;"Sim",G4896&lt;&gt;"Nao",G4896&lt;&gt;""),"PC_PAGO_A_CONTRATADA invalido",IF(AND(C4896&lt;&gt;"C0",IFERROR(INDEX(parametros!$A$2:$A$6,MATCH(C4896,parametros!$B$2:$B$6,0)),"")="Sim",IFERROR(INDEX(parametros!$H$2:$H$6,MATCH(C4896,parametros!$B$2:$B$6,0)),"")=""),"INICIO_EFEITO ausente: PC "&amp;A4896&amp;" - "&amp;C4896,IF(L4896="","EFEITO_PC nao calculado: PC "&amp;A4896&amp;" - "&amp;C4896,"OK")))))))))</f>
        <v/>
      </c>
      <c r="L4896" s="92" t="str">
        <f>IF(AND(A4896="",B4896="",D4896="",G4896=""),"",IF(OR(B4896="",NOT(ISNUMBER(B4896)),C4896="",C4896="Fora dos ciclos"),"",IF(C4896="C0","Nao",IF(IFERROR(INDEX(parametros!$A$2:$A$6,MATCH(C4896,parametros!$B$2:$B$6,0)),"")&lt;&gt;"Sim","Nao",IF(IFERROR(INDEX(parametros!$H$2:$H$6,MATCH(C4896,parametros!$B$2:$B$6,0)),"")="","",IF(B4896&gt;=IFERROR(INDEX(parametros!$H$2:$H$6,MATCH(C4896,parametros!$B$2:$B$6,0)),""),"Sim","Nao"))))))</f>
        <v/>
      </c>
      <c r="T4896" s="156"/>
      <c r="U4896" s="214" t="str">
        <f t="shared" si="386"/>
        <v/>
      </c>
      <c r="V4896" s="212" t="s">
        <v>50</v>
      </c>
      <c r="W4896" s="100" t="s">
        <v>168</v>
      </c>
      <c r="X4896" s="100" t="s">
        <v>169</v>
      </c>
      <c r="Y4896" s="101" t="s">
        <v>170</v>
      </c>
      <c r="Z4896" s="101" t="s">
        <v>171</v>
      </c>
      <c r="AA4896" s="101" t="s">
        <v>50</v>
      </c>
      <c r="AB4896" s="101" t="s">
        <v>172</v>
      </c>
      <c r="AC4896" s="102" t="s">
        <v>173</v>
      </c>
    </row>
    <row r="4897" spans="1:29" ht="25.5" customHeight="1" x14ac:dyDescent="0.35">
      <c r="A4897" s="392"/>
      <c r="B4897" s="393"/>
      <c r="C4897" s="99" t="str">
        <f>IF(B4897="","",IF(NOT(ISNUMBER(B4897)),"DATA_PC invalida",IF(NOT(ISNUMBER(parametros!$C$2)),"Fora dos ciclos",IF(OR(B4897&lt;parametros!$C$2,(YEAR(B4897)-YEAR(parametros!$C$2))*12+MONTH(B4897)-MONTH(parametros!$C$2)&gt;59),"Fora dos ciclos","C"&amp;INT(((YEAR(B4897)-YEAR(parametros!$C$2))*12+MONTH(B4897)-MONTH(parametros!$C$2))/12)))))</f>
        <v/>
      </c>
      <c r="D4897" s="394"/>
      <c r="E4897" s="78" t="str">
        <f>IF(C4897="","",IFERROR(VLOOKUP(C4897,parametros!$A$11:$E$15,5,0),""))</f>
        <v/>
      </c>
      <c r="F4897" s="79" t="str">
        <f t="shared" si="382"/>
        <v/>
      </c>
      <c r="G4897" s="395"/>
      <c r="H4897" s="91">
        <f t="shared" si="383"/>
        <v>0</v>
      </c>
      <c r="I4897" s="91" t="str">
        <f t="shared" si="384"/>
        <v/>
      </c>
      <c r="J4897" s="91" t="str">
        <f t="shared" si="385"/>
        <v/>
      </c>
      <c r="K4897" s="92" t="str">
        <f>IF(AND(A4897="",B4897="",D4897="",G4897=""),"",IF(AND(A4897&lt;&gt;"",COUNTIF($A$2:$A$5001,A4897)&gt;1),"NUMERO_PC duplicado",IF(B4897="","DATA_PC vazia",IF(NOT(ISNUMBER(B4897)),"DATA_PC invalida",IF(OR(C4897="",C4897="Fora dos ciclos"),"CICLO_PC nao identificado",IF(OR(D4897="",D4897=0),"VALOR_PC vazio ou zero",IF(AND(G4897&lt;&gt;"Sim",G4897&lt;&gt;"Nao",G4897&lt;&gt;""),"PC_PAGO_A_CONTRATADA invalido",IF(AND(C4897&lt;&gt;"C0",IFERROR(INDEX(parametros!$A$2:$A$6,MATCH(C4897,parametros!$B$2:$B$6,0)),"")="Sim",IFERROR(INDEX(parametros!$H$2:$H$6,MATCH(C4897,parametros!$B$2:$B$6,0)),"")=""),"INICIO_EFEITO ausente: PC "&amp;A4897&amp;" - "&amp;C4897,IF(L4897="","EFEITO_PC nao calculado: PC "&amp;A4897&amp;" - "&amp;C4897,"OK")))))))))</f>
        <v/>
      </c>
      <c r="L4897" s="92" t="str">
        <f>IF(AND(A4897="",B4897="",D4897="",G4897=""),"",IF(OR(B4897="",NOT(ISNUMBER(B4897)),C4897="",C4897="Fora dos ciclos"),"",IF(C4897="C0","Nao",IF(IFERROR(INDEX(parametros!$A$2:$A$6,MATCH(C4897,parametros!$B$2:$B$6,0)),"")&lt;&gt;"Sim","Nao",IF(IFERROR(INDEX(parametros!$H$2:$H$6,MATCH(C4897,parametros!$B$2:$B$6,0)),"")="","",IF(B4897&gt;=IFERROR(INDEX(parametros!$H$2:$H$6,MATCH(C4897,parametros!$B$2:$B$6,0)),""),"Sim","Nao"))))))</f>
        <v/>
      </c>
      <c r="T4897" s="156"/>
      <c r="U4897" s="214" t="str">
        <f t="shared" si="386"/>
        <v/>
      </c>
      <c r="V4897" s="212" t="s">
        <v>50</v>
      </c>
      <c r="W4897" s="100" t="s">
        <v>168</v>
      </c>
      <c r="X4897" s="100" t="s">
        <v>169</v>
      </c>
      <c r="Y4897" s="101" t="s">
        <v>170</v>
      </c>
      <c r="Z4897" s="101" t="s">
        <v>171</v>
      </c>
      <c r="AA4897" s="101" t="s">
        <v>50</v>
      </c>
      <c r="AB4897" s="101" t="s">
        <v>172</v>
      </c>
      <c r="AC4897" s="102" t="s">
        <v>173</v>
      </c>
    </row>
    <row r="4898" spans="1:29" ht="25.5" customHeight="1" x14ac:dyDescent="0.35">
      <c r="A4898" s="392"/>
      <c r="B4898" s="393"/>
      <c r="C4898" s="99" t="str">
        <f>IF(B4898="","",IF(NOT(ISNUMBER(B4898)),"DATA_PC invalida",IF(NOT(ISNUMBER(parametros!$C$2)),"Fora dos ciclos",IF(OR(B4898&lt;parametros!$C$2,(YEAR(B4898)-YEAR(parametros!$C$2))*12+MONTH(B4898)-MONTH(parametros!$C$2)&gt;59),"Fora dos ciclos","C"&amp;INT(((YEAR(B4898)-YEAR(parametros!$C$2))*12+MONTH(B4898)-MONTH(parametros!$C$2))/12)))))</f>
        <v/>
      </c>
      <c r="D4898" s="394"/>
      <c r="E4898" s="78" t="str">
        <f>IF(C4898="","",IFERROR(VLOOKUP(C4898,parametros!$A$11:$E$15,5,0),""))</f>
        <v/>
      </c>
      <c r="F4898" s="79" t="str">
        <f t="shared" si="382"/>
        <v/>
      </c>
      <c r="G4898" s="395"/>
      <c r="H4898" s="91">
        <f t="shared" si="383"/>
        <v>0</v>
      </c>
      <c r="I4898" s="91" t="str">
        <f t="shared" si="384"/>
        <v/>
      </c>
      <c r="J4898" s="91" t="str">
        <f t="shared" si="385"/>
        <v/>
      </c>
      <c r="K4898" s="92" t="str">
        <f>IF(AND(A4898="",B4898="",D4898="",G4898=""),"",IF(AND(A4898&lt;&gt;"",COUNTIF($A$2:$A$5001,A4898)&gt;1),"NUMERO_PC duplicado",IF(B4898="","DATA_PC vazia",IF(NOT(ISNUMBER(B4898)),"DATA_PC invalida",IF(OR(C4898="",C4898="Fora dos ciclos"),"CICLO_PC nao identificado",IF(OR(D4898="",D4898=0),"VALOR_PC vazio ou zero",IF(AND(G4898&lt;&gt;"Sim",G4898&lt;&gt;"Nao",G4898&lt;&gt;""),"PC_PAGO_A_CONTRATADA invalido",IF(AND(C4898&lt;&gt;"C0",IFERROR(INDEX(parametros!$A$2:$A$6,MATCH(C4898,parametros!$B$2:$B$6,0)),"")="Sim",IFERROR(INDEX(parametros!$H$2:$H$6,MATCH(C4898,parametros!$B$2:$B$6,0)),"")=""),"INICIO_EFEITO ausente: PC "&amp;A4898&amp;" - "&amp;C4898,IF(L4898="","EFEITO_PC nao calculado: PC "&amp;A4898&amp;" - "&amp;C4898,"OK")))))))))</f>
        <v/>
      </c>
      <c r="L4898" s="92" t="str">
        <f>IF(AND(A4898="",B4898="",D4898="",G4898=""),"",IF(OR(B4898="",NOT(ISNUMBER(B4898)),C4898="",C4898="Fora dos ciclos"),"",IF(C4898="C0","Nao",IF(IFERROR(INDEX(parametros!$A$2:$A$6,MATCH(C4898,parametros!$B$2:$B$6,0)),"")&lt;&gt;"Sim","Nao",IF(IFERROR(INDEX(parametros!$H$2:$H$6,MATCH(C4898,parametros!$B$2:$B$6,0)),"")="","",IF(B4898&gt;=IFERROR(INDEX(parametros!$H$2:$H$6,MATCH(C4898,parametros!$B$2:$B$6,0)),""),"Sim","Nao"))))))</f>
        <v/>
      </c>
      <c r="T4898" s="156"/>
      <c r="U4898" s="214" t="str">
        <f t="shared" si="386"/>
        <v/>
      </c>
      <c r="V4898" s="212" t="s">
        <v>50</v>
      </c>
      <c r="W4898" s="100" t="s">
        <v>168</v>
      </c>
      <c r="X4898" s="100" t="s">
        <v>169</v>
      </c>
      <c r="Y4898" s="101" t="s">
        <v>170</v>
      </c>
      <c r="Z4898" s="101" t="s">
        <v>171</v>
      </c>
      <c r="AA4898" s="101" t="s">
        <v>50</v>
      </c>
      <c r="AB4898" s="101" t="s">
        <v>172</v>
      </c>
      <c r="AC4898" s="102" t="s">
        <v>173</v>
      </c>
    </row>
    <row r="4899" spans="1:29" ht="25.5" customHeight="1" x14ac:dyDescent="0.35">
      <c r="A4899" s="392"/>
      <c r="B4899" s="393"/>
      <c r="C4899" s="99" t="str">
        <f>IF(B4899="","",IF(NOT(ISNUMBER(B4899)),"DATA_PC invalida",IF(NOT(ISNUMBER(parametros!$C$2)),"Fora dos ciclos",IF(OR(B4899&lt;parametros!$C$2,(YEAR(B4899)-YEAR(parametros!$C$2))*12+MONTH(B4899)-MONTH(parametros!$C$2)&gt;59),"Fora dos ciclos","C"&amp;INT(((YEAR(B4899)-YEAR(parametros!$C$2))*12+MONTH(B4899)-MONTH(parametros!$C$2))/12)))))</f>
        <v/>
      </c>
      <c r="D4899" s="394"/>
      <c r="E4899" s="78" t="str">
        <f>IF(C4899="","",IFERROR(VLOOKUP(C4899,parametros!$A$11:$E$15,5,0),""))</f>
        <v/>
      </c>
      <c r="F4899" s="79" t="str">
        <f t="shared" si="382"/>
        <v/>
      </c>
      <c r="G4899" s="395"/>
      <c r="H4899" s="91">
        <f t="shared" si="383"/>
        <v>0</v>
      </c>
      <c r="I4899" s="91" t="str">
        <f t="shared" si="384"/>
        <v/>
      </c>
      <c r="J4899" s="91" t="str">
        <f t="shared" si="385"/>
        <v/>
      </c>
      <c r="K4899" s="92" t="str">
        <f>IF(AND(A4899="",B4899="",D4899="",G4899=""),"",IF(AND(A4899&lt;&gt;"",COUNTIF($A$2:$A$5001,A4899)&gt;1),"NUMERO_PC duplicado",IF(B4899="","DATA_PC vazia",IF(NOT(ISNUMBER(B4899)),"DATA_PC invalida",IF(OR(C4899="",C4899="Fora dos ciclos"),"CICLO_PC nao identificado",IF(OR(D4899="",D4899=0),"VALOR_PC vazio ou zero",IF(AND(G4899&lt;&gt;"Sim",G4899&lt;&gt;"Nao",G4899&lt;&gt;""),"PC_PAGO_A_CONTRATADA invalido",IF(AND(C4899&lt;&gt;"C0",IFERROR(INDEX(parametros!$A$2:$A$6,MATCH(C4899,parametros!$B$2:$B$6,0)),"")="Sim",IFERROR(INDEX(parametros!$H$2:$H$6,MATCH(C4899,parametros!$B$2:$B$6,0)),"")=""),"INICIO_EFEITO ausente: PC "&amp;A4899&amp;" - "&amp;C4899,IF(L4899="","EFEITO_PC nao calculado: PC "&amp;A4899&amp;" - "&amp;C4899,"OK")))))))))</f>
        <v/>
      </c>
      <c r="L4899" s="92" t="str">
        <f>IF(AND(A4899="",B4899="",D4899="",G4899=""),"",IF(OR(B4899="",NOT(ISNUMBER(B4899)),C4899="",C4899="Fora dos ciclos"),"",IF(C4899="C0","Nao",IF(IFERROR(INDEX(parametros!$A$2:$A$6,MATCH(C4899,parametros!$B$2:$B$6,0)),"")&lt;&gt;"Sim","Nao",IF(IFERROR(INDEX(parametros!$H$2:$H$6,MATCH(C4899,parametros!$B$2:$B$6,0)),"")="","",IF(B4899&gt;=IFERROR(INDEX(parametros!$H$2:$H$6,MATCH(C4899,parametros!$B$2:$B$6,0)),""),"Sim","Nao"))))))</f>
        <v/>
      </c>
      <c r="T4899" s="156"/>
      <c r="U4899" s="214" t="str">
        <f t="shared" si="386"/>
        <v/>
      </c>
      <c r="V4899" s="212" t="s">
        <v>50</v>
      </c>
      <c r="W4899" s="100" t="s">
        <v>168</v>
      </c>
      <c r="X4899" s="100" t="s">
        <v>169</v>
      </c>
      <c r="Y4899" s="101" t="s">
        <v>170</v>
      </c>
      <c r="Z4899" s="101" t="s">
        <v>171</v>
      </c>
      <c r="AA4899" s="101" t="s">
        <v>50</v>
      </c>
      <c r="AB4899" s="101" t="s">
        <v>172</v>
      </c>
      <c r="AC4899" s="102" t="s">
        <v>173</v>
      </c>
    </row>
    <row r="4900" spans="1:29" ht="25.5" customHeight="1" x14ac:dyDescent="0.35">
      <c r="A4900" s="392"/>
      <c r="B4900" s="393"/>
      <c r="C4900" s="99" t="str">
        <f>IF(B4900="","",IF(NOT(ISNUMBER(B4900)),"DATA_PC invalida",IF(NOT(ISNUMBER(parametros!$C$2)),"Fora dos ciclos",IF(OR(B4900&lt;parametros!$C$2,(YEAR(B4900)-YEAR(parametros!$C$2))*12+MONTH(B4900)-MONTH(parametros!$C$2)&gt;59),"Fora dos ciclos","C"&amp;INT(((YEAR(B4900)-YEAR(parametros!$C$2))*12+MONTH(B4900)-MONTH(parametros!$C$2))/12)))))</f>
        <v/>
      </c>
      <c r="D4900" s="394"/>
      <c r="E4900" s="78" t="str">
        <f>IF(C4900="","",IFERROR(VLOOKUP(C4900,parametros!$A$11:$E$15,5,0),""))</f>
        <v/>
      </c>
      <c r="F4900" s="79" t="str">
        <f t="shared" si="382"/>
        <v/>
      </c>
      <c r="G4900" s="395"/>
      <c r="H4900" s="91">
        <f t="shared" si="383"/>
        <v>0</v>
      </c>
      <c r="I4900" s="91" t="str">
        <f t="shared" si="384"/>
        <v/>
      </c>
      <c r="J4900" s="91" t="str">
        <f t="shared" si="385"/>
        <v/>
      </c>
      <c r="K4900" s="92" t="str">
        <f>IF(AND(A4900="",B4900="",D4900="",G4900=""),"",IF(AND(A4900&lt;&gt;"",COUNTIF($A$2:$A$5001,A4900)&gt;1),"NUMERO_PC duplicado",IF(B4900="","DATA_PC vazia",IF(NOT(ISNUMBER(B4900)),"DATA_PC invalida",IF(OR(C4900="",C4900="Fora dos ciclos"),"CICLO_PC nao identificado",IF(OR(D4900="",D4900=0),"VALOR_PC vazio ou zero",IF(AND(G4900&lt;&gt;"Sim",G4900&lt;&gt;"Nao",G4900&lt;&gt;""),"PC_PAGO_A_CONTRATADA invalido",IF(AND(C4900&lt;&gt;"C0",IFERROR(INDEX(parametros!$A$2:$A$6,MATCH(C4900,parametros!$B$2:$B$6,0)),"")="Sim",IFERROR(INDEX(parametros!$H$2:$H$6,MATCH(C4900,parametros!$B$2:$B$6,0)),"")=""),"INICIO_EFEITO ausente: PC "&amp;A4900&amp;" - "&amp;C4900,IF(L4900="","EFEITO_PC nao calculado: PC "&amp;A4900&amp;" - "&amp;C4900,"OK")))))))))</f>
        <v/>
      </c>
      <c r="L4900" s="92" t="str">
        <f>IF(AND(A4900="",B4900="",D4900="",G4900=""),"",IF(OR(B4900="",NOT(ISNUMBER(B4900)),C4900="",C4900="Fora dos ciclos"),"",IF(C4900="C0","Nao",IF(IFERROR(INDEX(parametros!$A$2:$A$6,MATCH(C4900,parametros!$B$2:$B$6,0)),"")&lt;&gt;"Sim","Nao",IF(IFERROR(INDEX(parametros!$H$2:$H$6,MATCH(C4900,parametros!$B$2:$B$6,0)),"")="","",IF(B4900&gt;=IFERROR(INDEX(parametros!$H$2:$H$6,MATCH(C4900,parametros!$B$2:$B$6,0)),""),"Sim","Nao"))))))</f>
        <v/>
      </c>
      <c r="T4900" s="156"/>
      <c r="U4900" s="214" t="str">
        <f t="shared" si="386"/>
        <v/>
      </c>
      <c r="V4900" s="212" t="s">
        <v>50</v>
      </c>
      <c r="W4900" s="100" t="s">
        <v>168</v>
      </c>
      <c r="X4900" s="100" t="s">
        <v>169</v>
      </c>
      <c r="Y4900" s="101" t="s">
        <v>170</v>
      </c>
      <c r="Z4900" s="101" t="s">
        <v>171</v>
      </c>
      <c r="AA4900" s="101" t="s">
        <v>50</v>
      </c>
      <c r="AB4900" s="101" t="s">
        <v>172</v>
      </c>
      <c r="AC4900" s="102" t="s">
        <v>173</v>
      </c>
    </row>
    <row r="4901" spans="1:29" ht="25.5" customHeight="1" x14ac:dyDescent="0.35">
      <c r="A4901" s="392"/>
      <c r="B4901" s="393"/>
      <c r="C4901" s="99" t="str">
        <f>IF(B4901="","",IF(NOT(ISNUMBER(B4901)),"DATA_PC invalida",IF(NOT(ISNUMBER(parametros!$C$2)),"Fora dos ciclos",IF(OR(B4901&lt;parametros!$C$2,(YEAR(B4901)-YEAR(parametros!$C$2))*12+MONTH(B4901)-MONTH(parametros!$C$2)&gt;59),"Fora dos ciclos","C"&amp;INT(((YEAR(B4901)-YEAR(parametros!$C$2))*12+MONTH(B4901)-MONTH(parametros!$C$2))/12)))))</f>
        <v/>
      </c>
      <c r="D4901" s="394"/>
      <c r="E4901" s="78" t="str">
        <f>IF(C4901="","",IFERROR(VLOOKUP(C4901,parametros!$A$11:$E$15,5,0),""))</f>
        <v/>
      </c>
      <c r="F4901" s="79" t="str">
        <f t="shared" si="382"/>
        <v/>
      </c>
      <c r="G4901" s="395"/>
      <c r="H4901" s="91">
        <f t="shared" si="383"/>
        <v>0</v>
      </c>
      <c r="I4901" s="91" t="str">
        <f t="shared" si="384"/>
        <v/>
      </c>
      <c r="J4901" s="91" t="str">
        <f t="shared" si="385"/>
        <v/>
      </c>
      <c r="K4901" s="92" t="str">
        <f>IF(AND(A4901="",B4901="",D4901="",G4901=""),"",IF(AND(A4901&lt;&gt;"",COUNTIF($A$2:$A$5001,A4901)&gt;1),"NUMERO_PC duplicado",IF(B4901="","DATA_PC vazia",IF(NOT(ISNUMBER(B4901)),"DATA_PC invalida",IF(OR(C4901="",C4901="Fora dos ciclos"),"CICLO_PC nao identificado",IF(OR(D4901="",D4901=0),"VALOR_PC vazio ou zero",IF(AND(G4901&lt;&gt;"Sim",G4901&lt;&gt;"Nao",G4901&lt;&gt;""),"PC_PAGO_A_CONTRATADA invalido",IF(AND(C4901&lt;&gt;"C0",IFERROR(INDEX(parametros!$A$2:$A$6,MATCH(C4901,parametros!$B$2:$B$6,0)),"")="Sim",IFERROR(INDEX(parametros!$H$2:$H$6,MATCH(C4901,parametros!$B$2:$B$6,0)),"")=""),"INICIO_EFEITO ausente: PC "&amp;A4901&amp;" - "&amp;C4901,IF(L4901="","EFEITO_PC nao calculado: PC "&amp;A4901&amp;" - "&amp;C4901,"OK")))))))))</f>
        <v/>
      </c>
      <c r="L4901" s="92" t="str">
        <f>IF(AND(A4901="",B4901="",D4901="",G4901=""),"",IF(OR(B4901="",NOT(ISNUMBER(B4901)),C4901="",C4901="Fora dos ciclos"),"",IF(C4901="C0","Nao",IF(IFERROR(INDEX(parametros!$A$2:$A$6,MATCH(C4901,parametros!$B$2:$B$6,0)),"")&lt;&gt;"Sim","Nao",IF(IFERROR(INDEX(parametros!$H$2:$H$6,MATCH(C4901,parametros!$B$2:$B$6,0)),"")="","",IF(B4901&gt;=IFERROR(INDEX(parametros!$H$2:$H$6,MATCH(C4901,parametros!$B$2:$B$6,0)),""),"Sim","Nao"))))))</f>
        <v/>
      </c>
      <c r="T4901" s="156"/>
      <c r="U4901" s="214" t="str">
        <f t="shared" si="386"/>
        <v/>
      </c>
      <c r="V4901" s="212" t="s">
        <v>50</v>
      </c>
      <c r="W4901" s="100" t="s">
        <v>168</v>
      </c>
      <c r="X4901" s="100" t="s">
        <v>169</v>
      </c>
      <c r="Y4901" s="101" t="s">
        <v>170</v>
      </c>
      <c r="Z4901" s="101" t="s">
        <v>171</v>
      </c>
      <c r="AA4901" s="101" t="s">
        <v>50</v>
      </c>
      <c r="AB4901" s="101" t="s">
        <v>172</v>
      </c>
      <c r="AC4901" s="102" t="s">
        <v>173</v>
      </c>
    </row>
    <row r="4902" spans="1:29" ht="25.5" customHeight="1" x14ac:dyDescent="0.35">
      <c r="A4902" s="392"/>
      <c r="B4902" s="393"/>
      <c r="C4902" s="99" t="str">
        <f>IF(B4902="","",IF(NOT(ISNUMBER(B4902)),"DATA_PC invalida",IF(NOT(ISNUMBER(parametros!$C$2)),"Fora dos ciclos",IF(OR(B4902&lt;parametros!$C$2,(YEAR(B4902)-YEAR(parametros!$C$2))*12+MONTH(B4902)-MONTH(parametros!$C$2)&gt;59),"Fora dos ciclos","C"&amp;INT(((YEAR(B4902)-YEAR(parametros!$C$2))*12+MONTH(B4902)-MONTH(parametros!$C$2))/12)))))</f>
        <v/>
      </c>
      <c r="D4902" s="394"/>
      <c r="E4902" s="78" t="str">
        <f>IF(C4902="","",IFERROR(VLOOKUP(C4902,parametros!$A$11:$E$15,5,0),""))</f>
        <v/>
      </c>
      <c r="F4902" s="79" t="str">
        <f t="shared" si="382"/>
        <v/>
      </c>
      <c r="G4902" s="395"/>
      <c r="H4902" s="91">
        <f t="shared" si="383"/>
        <v>0</v>
      </c>
      <c r="I4902" s="91" t="str">
        <f t="shared" si="384"/>
        <v/>
      </c>
      <c r="J4902" s="91" t="str">
        <f t="shared" si="385"/>
        <v/>
      </c>
      <c r="K4902" s="92" t="str">
        <f>IF(AND(A4902="",B4902="",D4902="",G4902=""),"",IF(AND(A4902&lt;&gt;"",COUNTIF($A$2:$A$5001,A4902)&gt;1),"NUMERO_PC duplicado",IF(B4902="","DATA_PC vazia",IF(NOT(ISNUMBER(B4902)),"DATA_PC invalida",IF(OR(C4902="",C4902="Fora dos ciclos"),"CICLO_PC nao identificado",IF(OR(D4902="",D4902=0),"VALOR_PC vazio ou zero",IF(AND(G4902&lt;&gt;"Sim",G4902&lt;&gt;"Nao",G4902&lt;&gt;""),"PC_PAGO_A_CONTRATADA invalido",IF(AND(C4902&lt;&gt;"C0",IFERROR(INDEX(parametros!$A$2:$A$6,MATCH(C4902,parametros!$B$2:$B$6,0)),"")="Sim",IFERROR(INDEX(parametros!$H$2:$H$6,MATCH(C4902,parametros!$B$2:$B$6,0)),"")=""),"INICIO_EFEITO ausente: PC "&amp;A4902&amp;" - "&amp;C4902,IF(L4902="","EFEITO_PC nao calculado: PC "&amp;A4902&amp;" - "&amp;C4902,"OK")))))))))</f>
        <v/>
      </c>
      <c r="L4902" s="92" t="str">
        <f>IF(AND(A4902="",B4902="",D4902="",G4902=""),"",IF(OR(B4902="",NOT(ISNUMBER(B4902)),C4902="",C4902="Fora dos ciclos"),"",IF(C4902="C0","Nao",IF(IFERROR(INDEX(parametros!$A$2:$A$6,MATCH(C4902,parametros!$B$2:$B$6,0)),"")&lt;&gt;"Sim","Nao",IF(IFERROR(INDEX(parametros!$H$2:$H$6,MATCH(C4902,parametros!$B$2:$B$6,0)),"")="","",IF(B4902&gt;=IFERROR(INDEX(parametros!$H$2:$H$6,MATCH(C4902,parametros!$B$2:$B$6,0)),""),"Sim","Nao"))))))</f>
        <v/>
      </c>
      <c r="T4902" s="156"/>
      <c r="U4902" s="214" t="str">
        <f t="shared" si="386"/>
        <v/>
      </c>
      <c r="V4902" s="212" t="s">
        <v>50</v>
      </c>
      <c r="W4902" s="100" t="s">
        <v>168</v>
      </c>
      <c r="X4902" s="100" t="s">
        <v>169</v>
      </c>
      <c r="Y4902" s="101" t="s">
        <v>170</v>
      </c>
      <c r="Z4902" s="101" t="s">
        <v>171</v>
      </c>
      <c r="AA4902" s="101" t="s">
        <v>50</v>
      </c>
      <c r="AB4902" s="101" t="s">
        <v>172</v>
      </c>
      <c r="AC4902" s="102" t="s">
        <v>173</v>
      </c>
    </row>
    <row r="4903" spans="1:29" ht="25.5" customHeight="1" x14ac:dyDescent="0.35">
      <c r="A4903" s="392"/>
      <c r="B4903" s="393"/>
      <c r="C4903" s="99" t="str">
        <f>IF(B4903="","",IF(NOT(ISNUMBER(B4903)),"DATA_PC invalida",IF(NOT(ISNUMBER(parametros!$C$2)),"Fora dos ciclos",IF(OR(B4903&lt;parametros!$C$2,(YEAR(B4903)-YEAR(parametros!$C$2))*12+MONTH(B4903)-MONTH(parametros!$C$2)&gt;59),"Fora dos ciclos","C"&amp;INT(((YEAR(B4903)-YEAR(parametros!$C$2))*12+MONTH(B4903)-MONTH(parametros!$C$2))/12)))))</f>
        <v/>
      </c>
      <c r="D4903" s="394"/>
      <c r="E4903" s="78" t="str">
        <f>IF(C4903="","",IFERROR(VLOOKUP(C4903,parametros!$A$11:$E$15,5,0),""))</f>
        <v/>
      </c>
      <c r="F4903" s="79" t="str">
        <f t="shared" si="382"/>
        <v/>
      </c>
      <c r="G4903" s="395"/>
      <c r="H4903" s="91">
        <f t="shared" si="383"/>
        <v>0</v>
      </c>
      <c r="I4903" s="91" t="str">
        <f t="shared" si="384"/>
        <v/>
      </c>
      <c r="J4903" s="91" t="str">
        <f t="shared" si="385"/>
        <v/>
      </c>
      <c r="K4903" s="92" t="str">
        <f>IF(AND(A4903="",B4903="",D4903="",G4903=""),"",IF(AND(A4903&lt;&gt;"",COUNTIF($A$2:$A$5001,A4903)&gt;1),"NUMERO_PC duplicado",IF(B4903="","DATA_PC vazia",IF(NOT(ISNUMBER(B4903)),"DATA_PC invalida",IF(OR(C4903="",C4903="Fora dos ciclos"),"CICLO_PC nao identificado",IF(OR(D4903="",D4903=0),"VALOR_PC vazio ou zero",IF(AND(G4903&lt;&gt;"Sim",G4903&lt;&gt;"Nao",G4903&lt;&gt;""),"PC_PAGO_A_CONTRATADA invalido",IF(AND(C4903&lt;&gt;"C0",IFERROR(INDEX(parametros!$A$2:$A$6,MATCH(C4903,parametros!$B$2:$B$6,0)),"")="Sim",IFERROR(INDEX(parametros!$H$2:$H$6,MATCH(C4903,parametros!$B$2:$B$6,0)),"")=""),"INICIO_EFEITO ausente: PC "&amp;A4903&amp;" - "&amp;C4903,IF(L4903="","EFEITO_PC nao calculado: PC "&amp;A4903&amp;" - "&amp;C4903,"OK")))))))))</f>
        <v/>
      </c>
      <c r="L4903" s="92" t="str">
        <f>IF(AND(A4903="",B4903="",D4903="",G4903=""),"",IF(OR(B4903="",NOT(ISNUMBER(B4903)),C4903="",C4903="Fora dos ciclos"),"",IF(C4903="C0","Nao",IF(IFERROR(INDEX(parametros!$A$2:$A$6,MATCH(C4903,parametros!$B$2:$B$6,0)),"")&lt;&gt;"Sim","Nao",IF(IFERROR(INDEX(parametros!$H$2:$H$6,MATCH(C4903,parametros!$B$2:$B$6,0)),"")="","",IF(B4903&gt;=IFERROR(INDEX(parametros!$H$2:$H$6,MATCH(C4903,parametros!$B$2:$B$6,0)),""),"Sim","Nao"))))))</f>
        <v/>
      </c>
      <c r="T4903" s="156"/>
      <c r="U4903" s="214" t="str">
        <f t="shared" si="386"/>
        <v/>
      </c>
      <c r="V4903" s="212" t="s">
        <v>50</v>
      </c>
      <c r="W4903" s="100" t="s">
        <v>168</v>
      </c>
      <c r="X4903" s="100" t="s">
        <v>169</v>
      </c>
      <c r="Y4903" s="101" t="s">
        <v>170</v>
      </c>
      <c r="Z4903" s="101" t="s">
        <v>171</v>
      </c>
      <c r="AA4903" s="101" t="s">
        <v>50</v>
      </c>
      <c r="AB4903" s="101" t="s">
        <v>172</v>
      </c>
      <c r="AC4903" s="102" t="s">
        <v>173</v>
      </c>
    </row>
    <row r="4904" spans="1:29" ht="25.5" customHeight="1" x14ac:dyDescent="0.35">
      <c r="A4904" s="392"/>
      <c r="B4904" s="393"/>
      <c r="C4904" s="99" t="str">
        <f>IF(B4904="","",IF(NOT(ISNUMBER(B4904)),"DATA_PC invalida",IF(NOT(ISNUMBER(parametros!$C$2)),"Fora dos ciclos",IF(OR(B4904&lt;parametros!$C$2,(YEAR(B4904)-YEAR(parametros!$C$2))*12+MONTH(B4904)-MONTH(parametros!$C$2)&gt;59),"Fora dos ciclos","C"&amp;INT(((YEAR(B4904)-YEAR(parametros!$C$2))*12+MONTH(B4904)-MONTH(parametros!$C$2))/12)))))</f>
        <v/>
      </c>
      <c r="D4904" s="394"/>
      <c r="E4904" s="78" t="str">
        <f>IF(C4904="","",IFERROR(VLOOKUP(C4904,parametros!$A$11:$E$15,5,0),""))</f>
        <v/>
      </c>
      <c r="F4904" s="79" t="str">
        <f t="shared" si="382"/>
        <v/>
      </c>
      <c r="G4904" s="395"/>
      <c r="H4904" s="91">
        <f t="shared" si="383"/>
        <v>0</v>
      </c>
      <c r="I4904" s="91" t="str">
        <f t="shared" si="384"/>
        <v/>
      </c>
      <c r="J4904" s="91" t="str">
        <f t="shared" si="385"/>
        <v/>
      </c>
      <c r="K4904" s="92" t="str">
        <f>IF(AND(A4904="",B4904="",D4904="",G4904=""),"",IF(AND(A4904&lt;&gt;"",COUNTIF($A$2:$A$5001,A4904)&gt;1),"NUMERO_PC duplicado",IF(B4904="","DATA_PC vazia",IF(NOT(ISNUMBER(B4904)),"DATA_PC invalida",IF(OR(C4904="",C4904="Fora dos ciclos"),"CICLO_PC nao identificado",IF(OR(D4904="",D4904=0),"VALOR_PC vazio ou zero",IF(AND(G4904&lt;&gt;"Sim",G4904&lt;&gt;"Nao",G4904&lt;&gt;""),"PC_PAGO_A_CONTRATADA invalido",IF(AND(C4904&lt;&gt;"C0",IFERROR(INDEX(parametros!$A$2:$A$6,MATCH(C4904,parametros!$B$2:$B$6,0)),"")="Sim",IFERROR(INDEX(parametros!$H$2:$H$6,MATCH(C4904,parametros!$B$2:$B$6,0)),"")=""),"INICIO_EFEITO ausente: PC "&amp;A4904&amp;" - "&amp;C4904,IF(L4904="","EFEITO_PC nao calculado: PC "&amp;A4904&amp;" - "&amp;C4904,"OK")))))))))</f>
        <v/>
      </c>
      <c r="L4904" s="92" t="str">
        <f>IF(AND(A4904="",B4904="",D4904="",G4904=""),"",IF(OR(B4904="",NOT(ISNUMBER(B4904)),C4904="",C4904="Fora dos ciclos"),"",IF(C4904="C0","Nao",IF(IFERROR(INDEX(parametros!$A$2:$A$6,MATCH(C4904,parametros!$B$2:$B$6,0)),"")&lt;&gt;"Sim","Nao",IF(IFERROR(INDEX(parametros!$H$2:$H$6,MATCH(C4904,parametros!$B$2:$B$6,0)),"")="","",IF(B4904&gt;=IFERROR(INDEX(parametros!$H$2:$H$6,MATCH(C4904,parametros!$B$2:$B$6,0)),""),"Sim","Nao"))))))</f>
        <v/>
      </c>
      <c r="T4904" s="156"/>
      <c r="U4904" s="214" t="str">
        <f t="shared" si="386"/>
        <v/>
      </c>
      <c r="V4904" s="212" t="s">
        <v>50</v>
      </c>
      <c r="W4904" s="100" t="s">
        <v>168</v>
      </c>
      <c r="X4904" s="100" t="s">
        <v>169</v>
      </c>
      <c r="Y4904" s="101" t="s">
        <v>170</v>
      </c>
      <c r="Z4904" s="101" t="s">
        <v>171</v>
      </c>
      <c r="AA4904" s="101" t="s">
        <v>50</v>
      </c>
      <c r="AB4904" s="101" t="s">
        <v>172</v>
      </c>
      <c r="AC4904" s="102" t="s">
        <v>173</v>
      </c>
    </row>
    <row r="4905" spans="1:29" ht="25.5" customHeight="1" x14ac:dyDescent="0.35">
      <c r="A4905" s="392"/>
      <c r="B4905" s="393"/>
      <c r="C4905" s="99" t="str">
        <f>IF(B4905="","",IF(NOT(ISNUMBER(B4905)),"DATA_PC invalida",IF(NOT(ISNUMBER(parametros!$C$2)),"Fora dos ciclos",IF(OR(B4905&lt;parametros!$C$2,(YEAR(B4905)-YEAR(parametros!$C$2))*12+MONTH(B4905)-MONTH(parametros!$C$2)&gt;59),"Fora dos ciclos","C"&amp;INT(((YEAR(B4905)-YEAR(parametros!$C$2))*12+MONTH(B4905)-MONTH(parametros!$C$2))/12)))))</f>
        <v/>
      </c>
      <c r="D4905" s="394"/>
      <c r="E4905" s="78" t="str">
        <f>IF(C4905="","",IFERROR(VLOOKUP(C4905,parametros!$A$11:$E$15,5,0),""))</f>
        <v/>
      </c>
      <c r="F4905" s="79" t="str">
        <f t="shared" si="382"/>
        <v/>
      </c>
      <c r="G4905" s="395"/>
      <c r="H4905" s="91">
        <f t="shared" si="383"/>
        <v>0</v>
      </c>
      <c r="I4905" s="91" t="str">
        <f t="shared" si="384"/>
        <v/>
      </c>
      <c r="J4905" s="91" t="str">
        <f t="shared" si="385"/>
        <v/>
      </c>
      <c r="K4905" s="92" t="str">
        <f>IF(AND(A4905="",B4905="",D4905="",G4905=""),"",IF(AND(A4905&lt;&gt;"",COUNTIF($A$2:$A$5001,A4905)&gt;1),"NUMERO_PC duplicado",IF(B4905="","DATA_PC vazia",IF(NOT(ISNUMBER(B4905)),"DATA_PC invalida",IF(OR(C4905="",C4905="Fora dos ciclos"),"CICLO_PC nao identificado",IF(OR(D4905="",D4905=0),"VALOR_PC vazio ou zero",IF(AND(G4905&lt;&gt;"Sim",G4905&lt;&gt;"Nao",G4905&lt;&gt;""),"PC_PAGO_A_CONTRATADA invalido",IF(AND(C4905&lt;&gt;"C0",IFERROR(INDEX(parametros!$A$2:$A$6,MATCH(C4905,parametros!$B$2:$B$6,0)),"")="Sim",IFERROR(INDEX(parametros!$H$2:$H$6,MATCH(C4905,parametros!$B$2:$B$6,0)),"")=""),"INICIO_EFEITO ausente: PC "&amp;A4905&amp;" - "&amp;C4905,IF(L4905="","EFEITO_PC nao calculado: PC "&amp;A4905&amp;" - "&amp;C4905,"OK")))))))))</f>
        <v/>
      </c>
      <c r="L4905" s="92" t="str">
        <f>IF(AND(A4905="",B4905="",D4905="",G4905=""),"",IF(OR(B4905="",NOT(ISNUMBER(B4905)),C4905="",C4905="Fora dos ciclos"),"",IF(C4905="C0","Nao",IF(IFERROR(INDEX(parametros!$A$2:$A$6,MATCH(C4905,parametros!$B$2:$B$6,0)),"")&lt;&gt;"Sim","Nao",IF(IFERROR(INDEX(parametros!$H$2:$H$6,MATCH(C4905,parametros!$B$2:$B$6,0)),"")="","",IF(B4905&gt;=IFERROR(INDEX(parametros!$H$2:$H$6,MATCH(C4905,parametros!$B$2:$B$6,0)),""),"Sim","Nao"))))))</f>
        <v/>
      </c>
      <c r="T4905" s="156"/>
      <c r="U4905" s="214" t="str">
        <f t="shared" si="386"/>
        <v/>
      </c>
      <c r="V4905" s="212" t="s">
        <v>50</v>
      </c>
      <c r="W4905" s="100" t="s">
        <v>168</v>
      </c>
      <c r="X4905" s="100" t="s">
        <v>169</v>
      </c>
      <c r="Y4905" s="101" t="s">
        <v>170</v>
      </c>
      <c r="Z4905" s="101" t="s">
        <v>171</v>
      </c>
      <c r="AA4905" s="101" t="s">
        <v>50</v>
      </c>
      <c r="AB4905" s="101" t="s">
        <v>172</v>
      </c>
      <c r="AC4905" s="102" t="s">
        <v>173</v>
      </c>
    </row>
    <row r="4906" spans="1:29" ht="25.5" customHeight="1" x14ac:dyDescent="0.35">
      <c r="A4906" s="392"/>
      <c r="B4906" s="393"/>
      <c r="C4906" s="99" t="str">
        <f>IF(B4906="","",IF(NOT(ISNUMBER(B4906)),"DATA_PC invalida",IF(NOT(ISNUMBER(parametros!$C$2)),"Fora dos ciclos",IF(OR(B4906&lt;parametros!$C$2,(YEAR(B4906)-YEAR(parametros!$C$2))*12+MONTH(B4906)-MONTH(parametros!$C$2)&gt;59),"Fora dos ciclos","C"&amp;INT(((YEAR(B4906)-YEAR(parametros!$C$2))*12+MONTH(B4906)-MONTH(parametros!$C$2))/12)))))</f>
        <v/>
      </c>
      <c r="D4906" s="394"/>
      <c r="E4906" s="78" t="str">
        <f>IF(C4906="","",IFERROR(VLOOKUP(C4906,parametros!$A$11:$E$15,5,0),""))</f>
        <v/>
      </c>
      <c r="F4906" s="79" t="str">
        <f t="shared" si="382"/>
        <v/>
      </c>
      <c r="G4906" s="395"/>
      <c r="H4906" s="91">
        <f t="shared" si="383"/>
        <v>0</v>
      </c>
      <c r="I4906" s="91" t="str">
        <f t="shared" si="384"/>
        <v/>
      </c>
      <c r="J4906" s="91" t="str">
        <f t="shared" si="385"/>
        <v/>
      </c>
      <c r="K4906" s="92" t="str">
        <f>IF(AND(A4906="",B4906="",D4906="",G4906=""),"",IF(AND(A4906&lt;&gt;"",COUNTIF($A$2:$A$5001,A4906)&gt;1),"NUMERO_PC duplicado",IF(B4906="","DATA_PC vazia",IF(NOT(ISNUMBER(B4906)),"DATA_PC invalida",IF(OR(C4906="",C4906="Fora dos ciclos"),"CICLO_PC nao identificado",IF(OR(D4906="",D4906=0),"VALOR_PC vazio ou zero",IF(AND(G4906&lt;&gt;"Sim",G4906&lt;&gt;"Nao",G4906&lt;&gt;""),"PC_PAGO_A_CONTRATADA invalido",IF(AND(C4906&lt;&gt;"C0",IFERROR(INDEX(parametros!$A$2:$A$6,MATCH(C4906,parametros!$B$2:$B$6,0)),"")="Sim",IFERROR(INDEX(parametros!$H$2:$H$6,MATCH(C4906,parametros!$B$2:$B$6,0)),"")=""),"INICIO_EFEITO ausente: PC "&amp;A4906&amp;" - "&amp;C4906,IF(L4906="","EFEITO_PC nao calculado: PC "&amp;A4906&amp;" - "&amp;C4906,"OK")))))))))</f>
        <v/>
      </c>
      <c r="L4906" s="92" t="str">
        <f>IF(AND(A4906="",B4906="",D4906="",G4906=""),"",IF(OR(B4906="",NOT(ISNUMBER(B4906)),C4906="",C4906="Fora dos ciclos"),"",IF(C4906="C0","Nao",IF(IFERROR(INDEX(parametros!$A$2:$A$6,MATCH(C4906,parametros!$B$2:$B$6,0)),"")&lt;&gt;"Sim","Nao",IF(IFERROR(INDEX(parametros!$H$2:$H$6,MATCH(C4906,parametros!$B$2:$B$6,0)),"")="","",IF(B4906&gt;=IFERROR(INDEX(parametros!$H$2:$H$6,MATCH(C4906,parametros!$B$2:$B$6,0)),""),"Sim","Nao"))))))</f>
        <v/>
      </c>
      <c r="T4906" s="156"/>
      <c r="U4906" s="214" t="str">
        <f t="shared" si="386"/>
        <v/>
      </c>
      <c r="V4906" s="212" t="s">
        <v>50</v>
      </c>
      <c r="W4906" s="100" t="s">
        <v>168</v>
      </c>
      <c r="X4906" s="100" t="s">
        <v>169</v>
      </c>
      <c r="Y4906" s="101" t="s">
        <v>170</v>
      </c>
      <c r="Z4906" s="101" t="s">
        <v>171</v>
      </c>
      <c r="AA4906" s="101" t="s">
        <v>50</v>
      </c>
      <c r="AB4906" s="101" t="s">
        <v>172</v>
      </c>
      <c r="AC4906" s="102" t="s">
        <v>173</v>
      </c>
    </row>
    <row r="4907" spans="1:29" ht="25.5" customHeight="1" x14ac:dyDescent="0.35">
      <c r="A4907" s="392"/>
      <c r="B4907" s="393"/>
      <c r="C4907" s="99" t="str">
        <f>IF(B4907="","",IF(NOT(ISNUMBER(B4907)),"DATA_PC invalida",IF(NOT(ISNUMBER(parametros!$C$2)),"Fora dos ciclos",IF(OR(B4907&lt;parametros!$C$2,(YEAR(B4907)-YEAR(parametros!$C$2))*12+MONTH(B4907)-MONTH(parametros!$C$2)&gt;59),"Fora dos ciclos","C"&amp;INT(((YEAR(B4907)-YEAR(parametros!$C$2))*12+MONTH(B4907)-MONTH(parametros!$C$2))/12)))))</f>
        <v/>
      </c>
      <c r="D4907" s="394"/>
      <c r="E4907" s="78" t="str">
        <f>IF(C4907="","",IFERROR(VLOOKUP(C4907,parametros!$A$11:$E$15,5,0),""))</f>
        <v/>
      </c>
      <c r="F4907" s="79" t="str">
        <f t="shared" si="382"/>
        <v/>
      </c>
      <c r="G4907" s="395"/>
      <c r="H4907" s="91">
        <f t="shared" si="383"/>
        <v>0</v>
      </c>
      <c r="I4907" s="91" t="str">
        <f t="shared" si="384"/>
        <v/>
      </c>
      <c r="J4907" s="91" t="str">
        <f t="shared" si="385"/>
        <v/>
      </c>
      <c r="K4907" s="92" t="str">
        <f>IF(AND(A4907="",B4907="",D4907="",G4907=""),"",IF(AND(A4907&lt;&gt;"",COUNTIF($A$2:$A$5001,A4907)&gt;1),"NUMERO_PC duplicado",IF(B4907="","DATA_PC vazia",IF(NOT(ISNUMBER(B4907)),"DATA_PC invalida",IF(OR(C4907="",C4907="Fora dos ciclos"),"CICLO_PC nao identificado",IF(OR(D4907="",D4907=0),"VALOR_PC vazio ou zero",IF(AND(G4907&lt;&gt;"Sim",G4907&lt;&gt;"Nao",G4907&lt;&gt;""),"PC_PAGO_A_CONTRATADA invalido",IF(AND(C4907&lt;&gt;"C0",IFERROR(INDEX(parametros!$A$2:$A$6,MATCH(C4907,parametros!$B$2:$B$6,0)),"")="Sim",IFERROR(INDEX(parametros!$H$2:$H$6,MATCH(C4907,parametros!$B$2:$B$6,0)),"")=""),"INICIO_EFEITO ausente: PC "&amp;A4907&amp;" - "&amp;C4907,IF(L4907="","EFEITO_PC nao calculado: PC "&amp;A4907&amp;" - "&amp;C4907,"OK")))))))))</f>
        <v/>
      </c>
      <c r="L4907" s="92" t="str">
        <f>IF(AND(A4907="",B4907="",D4907="",G4907=""),"",IF(OR(B4907="",NOT(ISNUMBER(B4907)),C4907="",C4907="Fora dos ciclos"),"",IF(C4907="C0","Nao",IF(IFERROR(INDEX(parametros!$A$2:$A$6,MATCH(C4907,parametros!$B$2:$B$6,0)),"")&lt;&gt;"Sim","Nao",IF(IFERROR(INDEX(parametros!$H$2:$H$6,MATCH(C4907,parametros!$B$2:$B$6,0)),"")="","",IF(B4907&gt;=IFERROR(INDEX(parametros!$H$2:$H$6,MATCH(C4907,parametros!$B$2:$B$6,0)),""),"Sim","Nao"))))))</f>
        <v/>
      </c>
      <c r="T4907" s="156"/>
      <c r="U4907" s="214" t="str">
        <f t="shared" si="386"/>
        <v/>
      </c>
      <c r="V4907" s="212" t="s">
        <v>50</v>
      </c>
      <c r="W4907" s="100" t="s">
        <v>168</v>
      </c>
      <c r="X4907" s="100" t="s">
        <v>169</v>
      </c>
      <c r="Y4907" s="101" t="s">
        <v>170</v>
      </c>
      <c r="Z4907" s="101" t="s">
        <v>171</v>
      </c>
      <c r="AA4907" s="101" t="s">
        <v>50</v>
      </c>
      <c r="AB4907" s="101" t="s">
        <v>172</v>
      </c>
      <c r="AC4907" s="102" t="s">
        <v>173</v>
      </c>
    </row>
    <row r="4908" spans="1:29" ht="25.5" customHeight="1" x14ac:dyDescent="0.35">
      <c r="A4908" s="392"/>
      <c r="B4908" s="393"/>
      <c r="C4908" s="99" t="str">
        <f>IF(B4908="","",IF(NOT(ISNUMBER(B4908)),"DATA_PC invalida",IF(NOT(ISNUMBER(parametros!$C$2)),"Fora dos ciclos",IF(OR(B4908&lt;parametros!$C$2,(YEAR(B4908)-YEAR(parametros!$C$2))*12+MONTH(B4908)-MONTH(parametros!$C$2)&gt;59),"Fora dos ciclos","C"&amp;INT(((YEAR(B4908)-YEAR(parametros!$C$2))*12+MONTH(B4908)-MONTH(parametros!$C$2))/12)))))</f>
        <v/>
      </c>
      <c r="D4908" s="394"/>
      <c r="E4908" s="78" t="str">
        <f>IF(C4908="","",IFERROR(VLOOKUP(C4908,parametros!$A$11:$E$15,5,0),""))</f>
        <v/>
      </c>
      <c r="F4908" s="79" t="str">
        <f t="shared" si="382"/>
        <v/>
      </c>
      <c r="G4908" s="395"/>
      <c r="H4908" s="91">
        <f t="shared" si="383"/>
        <v>0</v>
      </c>
      <c r="I4908" s="91" t="str">
        <f t="shared" si="384"/>
        <v/>
      </c>
      <c r="J4908" s="91" t="str">
        <f t="shared" si="385"/>
        <v/>
      </c>
      <c r="K4908" s="92" t="str">
        <f>IF(AND(A4908="",B4908="",D4908="",G4908=""),"",IF(AND(A4908&lt;&gt;"",COUNTIF($A$2:$A$5001,A4908)&gt;1),"NUMERO_PC duplicado",IF(B4908="","DATA_PC vazia",IF(NOT(ISNUMBER(B4908)),"DATA_PC invalida",IF(OR(C4908="",C4908="Fora dos ciclos"),"CICLO_PC nao identificado",IF(OR(D4908="",D4908=0),"VALOR_PC vazio ou zero",IF(AND(G4908&lt;&gt;"Sim",G4908&lt;&gt;"Nao",G4908&lt;&gt;""),"PC_PAGO_A_CONTRATADA invalido",IF(AND(C4908&lt;&gt;"C0",IFERROR(INDEX(parametros!$A$2:$A$6,MATCH(C4908,parametros!$B$2:$B$6,0)),"")="Sim",IFERROR(INDEX(parametros!$H$2:$H$6,MATCH(C4908,parametros!$B$2:$B$6,0)),"")=""),"INICIO_EFEITO ausente: PC "&amp;A4908&amp;" - "&amp;C4908,IF(L4908="","EFEITO_PC nao calculado: PC "&amp;A4908&amp;" - "&amp;C4908,"OK")))))))))</f>
        <v/>
      </c>
      <c r="L4908" s="92" t="str">
        <f>IF(AND(A4908="",B4908="",D4908="",G4908=""),"",IF(OR(B4908="",NOT(ISNUMBER(B4908)),C4908="",C4908="Fora dos ciclos"),"",IF(C4908="C0","Nao",IF(IFERROR(INDEX(parametros!$A$2:$A$6,MATCH(C4908,parametros!$B$2:$B$6,0)),"")&lt;&gt;"Sim","Nao",IF(IFERROR(INDEX(parametros!$H$2:$H$6,MATCH(C4908,parametros!$B$2:$B$6,0)),"")="","",IF(B4908&gt;=IFERROR(INDEX(parametros!$H$2:$H$6,MATCH(C4908,parametros!$B$2:$B$6,0)),""),"Sim","Nao"))))))</f>
        <v/>
      </c>
      <c r="T4908" s="156"/>
      <c r="U4908" s="214" t="str">
        <f t="shared" si="386"/>
        <v/>
      </c>
      <c r="V4908" s="212" t="s">
        <v>50</v>
      </c>
      <c r="W4908" s="100" t="s">
        <v>168</v>
      </c>
      <c r="X4908" s="100" t="s">
        <v>169</v>
      </c>
      <c r="Y4908" s="101" t="s">
        <v>170</v>
      </c>
      <c r="Z4908" s="101" t="s">
        <v>171</v>
      </c>
      <c r="AA4908" s="101" t="s">
        <v>50</v>
      </c>
      <c r="AB4908" s="101" t="s">
        <v>172</v>
      </c>
      <c r="AC4908" s="102" t="s">
        <v>173</v>
      </c>
    </row>
    <row r="4909" spans="1:29" ht="25.5" customHeight="1" x14ac:dyDescent="0.35">
      <c r="A4909" s="392"/>
      <c r="B4909" s="393"/>
      <c r="C4909" s="99" t="str">
        <f>IF(B4909="","",IF(NOT(ISNUMBER(B4909)),"DATA_PC invalida",IF(NOT(ISNUMBER(parametros!$C$2)),"Fora dos ciclos",IF(OR(B4909&lt;parametros!$C$2,(YEAR(B4909)-YEAR(parametros!$C$2))*12+MONTH(B4909)-MONTH(parametros!$C$2)&gt;59),"Fora dos ciclos","C"&amp;INT(((YEAR(B4909)-YEAR(parametros!$C$2))*12+MONTH(B4909)-MONTH(parametros!$C$2))/12)))))</f>
        <v/>
      </c>
      <c r="D4909" s="394"/>
      <c r="E4909" s="78" t="str">
        <f>IF(C4909="","",IFERROR(VLOOKUP(C4909,parametros!$A$11:$E$15,5,0),""))</f>
        <v/>
      </c>
      <c r="F4909" s="79" t="str">
        <f t="shared" si="382"/>
        <v/>
      </c>
      <c r="G4909" s="395"/>
      <c r="H4909" s="91">
        <f t="shared" si="383"/>
        <v>0</v>
      </c>
      <c r="I4909" s="91" t="str">
        <f t="shared" si="384"/>
        <v/>
      </c>
      <c r="J4909" s="91" t="str">
        <f t="shared" si="385"/>
        <v/>
      </c>
      <c r="K4909" s="92" t="str">
        <f>IF(AND(A4909="",B4909="",D4909="",G4909=""),"",IF(AND(A4909&lt;&gt;"",COUNTIF($A$2:$A$5001,A4909)&gt;1),"NUMERO_PC duplicado",IF(B4909="","DATA_PC vazia",IF(NOT(ISNUMBER(B4909)),"DATA_PC invalida",IF(OR(C4909="",C4909="Fora dos ciclos"),"CICLO_PC nao identificado",IF(OR(D4909="",D4909=0),"VALOR_PC vazio ou zero",IF(AND(G4909&lt;&gt;"Sim",G4909&lt;&gt;"Nao",G4909&lt;&gt;""),"PC_PAGO_A_CONTRATADA invalido",IF(AND(C4909&lt;&gt;"C0",IFERROR(INDEX(parametros!$A$2:$A$6,MATCH(C4909,parametros!$B$2:$B$6,0)),"")="Sim",IFERROR(INDEX(parametros!$H$2:$H$6,MATCH(C4909,parametros!$B$2:$B$6,0)),"")=""),"INICIO_EFEITO ausente: PC "&amp;A4909&amp;" - "&amp;C4909,IF(L4909="","EFEITO_PC nao calculado: PC "&amp;A4909&amp;" - "&amp;C4909,"OK")))))))))</f>
        <v/>
      </c>
      <c r="L4909" s="92" t="str">
        <f>IF(AND(A4909="",B4909="",D4909="",G4909=""),"",IF(OR(B4909="",NOT(ISNUMBER(B4909)),C4909="",C4909="Fora dos ciclos"),"",IF(C4909="C0","Nao",IF(IFERROR(INDEX(parametros!$A$2:$A$6,MATCH(C4909,parametros!$B$2:$B$6,0)),"")&lt;&gt;"Sim","Nao",IF(IFERROR(INDEX(parametros!$H$2:$H$6,MATCH(C4909,parametros!$B$2:$B$6,0)),"")="","",IF(B4909&gt;=IFERROR(INDEX(parametros!$H$2:$H$6,MATCH(C4909,parametros!$B$2:$B$6,0)),""),"Sim","Nao"))))))</f>
        <v/>
      </c>
      <c r="T4909" s="156"/>
      <c r="U4909" s="214" t="str">
        <f t="shared" si="386"/>
        <v/>
      </c>
      <c r="V4909" s="212" t="s">
        <v>50</v>
      </c>
      <c r="W4909" s="100" t="s">
        <v>168</v>
      </c>
      <c r="X4909" s="100" t="s">
        <v>169</v>
      </c>
      <c r="Y4909" s="101" t="s">
        <v>170</v>
      </c>
      <c r="Z4909" s="101" t="s">
        <v>171</v>
      </c>
      <c r="AA4909" s="101" t="s">
        <v>50</v>
      </c>
      <c r="AB4909" s="101" t="s">
        <v>172</v>
      </c>
      <c r="AC4909" s="102" t="s">
        <v>173</v>
      </c>
    </row>
    <row r="4910" spans="1:29" ht="25.5" customHeight="1" x14ac:dyDescent="0.35">
      <c r="A4910" s="392"/>
      <c r="B4910" s="393"/>
      <c r="C4910" s="99" t="str">
        <f>IF(B4910="","",IF(NOT(ISNUMBER(B4910)),"DATA_PC invalida",IF(NOT(ISNUMBER(parametros!$C$2)),"Fora dos ciclos",IF(OR(B4910&lt;parametros!$C$2,(YEAR(B4910)-YEAR(parametros!$C$2))*12+MONTH(B4910)-MONTH(parametros!$C$2)&gt;59),"Fora dos ciclos","C"&amp;INT(((YEAR(B4910)-YEAR(parametros!$C$2))*12+MONTH(B4910)-MONTH(parametros!$C$2))/12)))))</f>
        <v/>
      </c>
      <c r="D4910" s="394"/>
      <c r="E4910" s="78" t="str">
        <f>IF(C4910="","",IFERROR(VLOOKUP(C4910,parametros!$A$11:$E$15,5,0),""))</f>
        <v/>
      </c>
      <c r="F4910" s="79" t="str">
        <f t="shared" si="382"/>
        <v/>
      </c>
      <c r="G4910" s="395"/>
      <c r="H4910" s="91">
        <f t="shared" si="383"/>
        <v>0</v>
      </c>
      <c r="I4910" s="91" t="str">
        <f t="shared" si="384"/>
        <v/>
      </c>
      <c r="J4910" s="91" t="str">
        <f t="shared" si="385"/>
        <v/>
      </c>
      <c r="K4910" s="92" t="str">
        <f>IF(AND(A4910="",B4910="",D4910="",G4910=""),"",IF(AND(A4910&lt;&gt;"",COUNTIF($A$2:$A$5001,A4910)&gt;1),"NUMERO_PC duplicado",IF(B4910="","DATA_PC vazia",IF(NOT(ISNUMBER(B4910)),"DATA_PC invalida",IF(OR(C4910="",C4910="Fora dos ciclos"),"CICLO_PC nao identificado",IF(OR(D4910="",D4910=0),"VALOR_PC vazio ou zero",IF(AND(G4910&lt;&gt;"Sim",G4910&lt;&gt;"Nao",G4910&lt;&gt;""),"PC_PAGO_A_CONTRATADA invalido",IF(AND(C4910&lt;&gt;"C0",IFERROR(INDEX(parametros!$A$2:$A$6,MATCH(C4910,parametros!$B$2:$B$6,0)),"")="Sim",IFERROR(INDEX(parametros!$H$2:$H$6,MATCH(C4910,parametros!$B$2:$B$6,0)),"")=""),"INICIO_EFEITO ausente: PC "&amp;A4910&amp;" - "&amp;C4910,IF(L4910="","EFEITO_PC nao calculado: PC "&amp;A4910&amp;" - "&amp;C4910,"OK")))))))))</f>
        <v/>
      </c>
      <c r="L4910" s="92" t="str">
        <f>IF(AND(A4910="",B4910="",D4910="",G4910=""),"",IF(OR(B4910="",NOT(ISNUMBER(B4910)),C4910="",C4910="Fora dos ciclos"),"",IF(C4910="C0","Nao",IF(IFERROR(INDEX(parametros!$A$2:$A$6,MATCH(C4910,parametros!$B$2:$B$6,0)),"")&lt;&gt;"Sim","Nao",IF(IFERROR(INDEX(parametros!$H$2:$H$6,MATCH(C4910,parametros!$B$2:$B$6,0)),"")="","",IF(B4910&gt;=IFERROR(INDEX(parametros!$H$2:$H$6,MATCH(C4910,parametros!$B$2:$B$6,0)),""),"Sim","Nao"))))))</f>
        <v/>
      </c>
      <c r="T4910" s="156"/>
      <c r="U4910" s="214" t="str">
        <f t="shared" si="386"/>
        <v/>
      </c>
      <c r="V4910" s="212" t="s">
        <v>50</v>
      </c>
      <c r="W4910" s="100" t="s">
        <v>168</v>
      </c>
      <c r="X4910" s="100" t="s">
        <v>169</v>
      </c>
      <c r="Y4910" s="101" t="s">
        <v>170</v>
      </c>
      <c r="Z4910" s="101" t="s">
        <v>171</v>
      </c>
      <c r="AA4910" s="101" t="s">
        <v>50</v>
      </c>
      <c r="AB4910" s="101" t="s">
        <v>172</v>
      </c>
      <c r="AC4910" s="102" t="s">
        <v>173</v>
      </c>
    </row>
    <row r="4911" spans="1:29" ht="25.5" customHeight="1" x14ac:dyDescent="0.35">
      <c r="A4911" s="392"/>
      <c r="B4911" s="393"/>
      <c r="C4911" s="99" t="str">
        <f>IF(B4911="","",IF(NOT(ISNUMBER(B4911)),"DATA_PC invalida",IF(NOT(ISNUMBER(parametros!$C$2)),"Fora dos ciclos",IF(OR(B4911&lt;parametros!$C$2,(YEAR(B4911)-YEAR(parametros!$C$2))*12+MONTH(B4911)-MONTH(parametros!$C$2)&gt;59),"Fora dos ciclos","C"&amp;INT(((YEAR(B4911)-YEAR(parametros!$C$2))*12+MONTH(B4911)-MONTH(parametros!$C$2))/12)))))</f>
        <v/>
      </c>
      <c r="D4911" s="394"/>
      <c r="E4911" s="78" t="str">
        <f>IF(C4911="","",IFERROR(VLOOKUP(C4911,parametros!$A$11:$E$15,5,0),""))</f>
        <v/>
      </c>
      <c r="F4911" s="79" t="str">
        <f t="shared" si="382"/>
        <v/>
      </c>
      <c r="G4911" s="395"/>
      <c r="H4911" s="91">
        <f t="shared" si="383"/>
        <v>0</v>
      </c>
      <c r="I4911" s="91" t="str">
        <f t="shared" si="384"/>
        <v/>
      </c>
      <c r="J4911" s="91" t="str">
        <f t="shared" si="385"/>
        <v/>
      </c>
      <c r="K4911" s="92" t="str">
        <f>IF(AND(A4911="",B4911="",D4911="",G4911=""),"",IF(AND(A4911&lt;&gt;"",COUNTIF($A$2:$A$5001,A4911)&gt;1),"NUMERO_PC duplicado",IF(B4911="","DATA_PC vazia",IF(NOT(ISNUMBER(B4911)),"DATA_PC invalida",IF(OR(C4911="",C4911="Fora dos ciclos"),"CICLO_PC nao identificado",IF(OR(D4911="",D4911=0),"VALOR_PC vazio ou zero",IF(AND(G4911&lt;&gt;"Sim",G4911&lt;&gt;"Nao",G4911&lt;&gt;""),"PC_PAGO_A_CONTRATADA invalido",IF(AND(C4911&lt;&gt;"C0",IFERROR(INDEX(parametros!$A$2:$A$6,MATCH(C4911,parametros!$B$2:$B$6,0)),"")="Sim",IFERROR(INDEX(parametros!$H$2:$H$6,MATCH(C4911,parametros!$B$2:$B$6,0)),"")=""),"INICIO_EFEITO ausente: PC "&amp;A4911&amp;" - "&amp;C4911,IF(L4911="","EFEITO_PC nao calculado: PC "&amp;A4911&amp;" - "&amp;C4911,"OK")))))))))</f>
        <v/>
      </c>
      <c r="L4911" s="92" t="str">
        <f>IF(AND(A4911="",B4911="",D4911="",G4911=""),"",IF(OR(B4911="",NOT(ISNUMBER(B4911)),C4911="",C4911="Fora dos ciclos"),"",IF(C4911="C0","Nao",IF(IFERROR(INDEX(parametros!$A$2:$A$6,MATCH(C4911,parametros!$B$2:$B$6,0)),"")&lt;&gt;"Sim","Nao",IF(IFERROR(INDEX(parametros!$H$2:$H$6,MATCH(C4911,parametros!$B$2:$B$6,0)),"")="","",IF(B4911&gt;=IFERROR(INDEX(parametros!$H$2:$H$6,MATCH(C4911,parametros!$B$2:$B$6,0)),""),"Sim","Nao"))))))</f>
        <v/>
      </c>
      <c r="T4911" s="156"/>
      <c r="U4911" s="214" t="str">
        <f t="shared" si="386"/>
        <v/>
      </c>
      <c r="V4911" s="212" t="s">
        <v>50</v>
      </c>
      <c r="W4911" s="100" t="s">
        <v>168</v>
      </c>
      <c r="X4911" s="100" t="s">
        <v>169</v>
      </c>
      <c r="Y4911" s="101" t="s">
        <v>170</v>
      </c>
      <c r="Z4911" s="101" t="s">
        <v>171</v>
      </c>
      <c r="AA4911" s="101" t="s">
        <v>50</v>
      </c>
      <c r="AB4911" s="101" t="s">
        <v>172</v>
      </c>
      <c r="AC4911" s="102" t="s">
        <v>173</v>
      </c>
    </row>
    <row r="4912" spans="1:29" ht="25.5" customHeight="1" x14ac:dyDescent="0.35">
      <c r="A4912" s="392"/>
      <c r="B4912" s="393"/>
      <c r="C4912" s="99" t="str">
        <f>IF(B4912="","",IF(NOT(ISNUMBER(B4912)),"DATA_PC invalida",IF(NOT(ISNUMBER(parametros!$C$2)),"Fora dos ciclos",IF(OR(B4912&lt;parametros!$C$2,(YEAR(B4912)-YEAR(parametros!$C$2))*12+MONTH(B4912)-MONTH(parametros!$C$2)&gt;59),"Fora dos ciclos","C"&amp;INT(((YEAR(B4912)-YEAR(parametros!$C$2))*12+MONTH(B4912)-MONTH(parametros!$C$2))/12)))))</f>
        <v/>
      </c>
      <c r="D4912" s="394"/>
      <c r="E4912" s="78" t="str">
        <f>IF(C4912="","",IFERROR(VLOOKUP(C4912,parametros!$A$11:$E$15,5,0),""))</f>
        <v/>
      </c>
      <c r="F4912" s="79" t="str">
        <f t="shared" si="382"/>
        <v/>
      </c>
      <c r="G4912" s="395"/>
      <c r="H4912" s="91">
        <f t="shared" si="383"/>
        <v>0</v>
      </c>
      <c r="I4912" s="91" t="str">
        <f t="shared" si="384"/>
        <v/>
      </c>
      <c r="J4912" s="91" t="str">
        <f t="shared" si="385"/>
        <v/>
      </c>
      <c r="K4912" s="92" t="str">
        <f>IF(AND(A4912="",B4912="",D4912="",G4912=""),"",IF(AND(A4912&lt;&gt;"",COUNTIF($A$2:$A$5001,A4912)&gt;1),"NUMERO_PC duplicado",IF(B4912="","DATA_PC vazia",IF(NOT(ISNUMBER(B4912)),"DATA_PC invalida",IF(OR(C4912="",C4912="Fora dos ciclos"),"CICLO_PC nao identificado",IF(OR(D4912="",D4912=0),"VALOR_PC vazio ou zero",IF(AND(G4912&lt;&gt;"Sim",G4912&lt;&gt;"Nao",G4912&lt;&gt;""),"PC_PAGO_A_CONTRATADA invalido",IF(AND(C4912&lt;&gt;"C0",IFERROR(INDEX(parametros!$A$2:$A$6,MATCH(C4912,parametros!$B$2:$B$6,0)),"")="Sim",IFERROR(INDEX(parametros!$H$2:$H$6,MATCH(C4912,parametros!$B$2:$B$6,0)),"")=""),"INICIO_EFEITO ausente: PC "&amp;A4912&amp;" - "&amp;C4912,IF(L4912="","EFEITO_PC nao calculado: PC "&amp;A4912&amp;" - "&amp;C4912,"OK")))))))))</f>
        <v/>
      </c>
      <c r="L4912" s="92" t="str">
        <f>IF(AND(A4912="",B4912="",D4912="",G4912=""),"",IF(OR(B4912="",NOT(ISNUMBER(B4912)),C4912="",C4912="Fora dos ciclos"),"",IF(C4912="C0","Nao",IF(IFERROR(INDEX(parametros!$A$2:$A$6,MATCH(C4912,parametros!$B$2:$B$6,0)),"")&lt;&gt;"Sim","Nao",IF(IFERROR(INDEX(parametros!$H$2:$H$6,MATCH(C4912,parametros!$B$2:$B$6,0)),"")="","",IF(B4912&gt;=IFERROR(INDEX(parametros!$H$2:$H$6,MATCH(C4912,parametros!$B$2:$B$6,0)),""),"Sim","Nao"))))))</f>
        <v/>
      </c>
      <c r="T4912" s="156"/>
      <c r="U4912" s="214" t="str">
        <f t="shared" si="386"/>
        <v/>
      </c>
      <c r="V4912" s="212" t="s">
        <v>50</v>
      </c>
      <c r="W4912" s="100" t="s">
        <v>168</v>
      </c>
      <c r="X4912" s="100" t="s">
        <v>169</v>
      </c>
      <c r="Y4912" s="101" t="s">
        <v>170</v>
      </c>
      <c r="Z4912" s="101" t="s">
        <v>171</v>
      </c>
      <c r="AA4912" s="101" t="s">
        <v>50</v>
      </c>
      <c r="AB4912" s="101" t="s">
        <v>172</v>
      </c>
      <c r="AC4912" s="102" t="s">
        <v>173</v>
      </c>
    </row>
    <row r="4913" spans="1:29" ht="25.5" customHeight="1" x14ac:dyDescent="0.35">
      <c r="A4913" s="392"/>
      <c r="B4913" s="393"/>
      <c r="C4913" s="99" t="str">
        <f>IF(B4913="","",IF(NOT(ISNUMBER(B4913)),"DATA_PC invalida",IF(NOT(ISNUMBER(parametros!$C$2)),"Fora dos ciclos",IF(OR(B4913&lt;parametros!$C$2,(YEAR(B4913)-YEAR(parametros!$C$2))*12+MONTH(B4913)-MONTH(parametros!$C$2)&gt;59),"Fora dos ciclos","C"&amp;INT(((YEAR(B4913)-YEAR(parametros!$C$2))*12+MONTH(B4913)-MONTH(parametros!$C$2))/12)))))</f>
        <v/>
      </c>
      <c r="D4913" s="394"/>
      <c r="E4913" s="78" t="str">
        <f>IF(C4913="","",IFERROR(VLOOKUP(C4913,parametros!$A$11:$E$15,5,0),""))</f>
        <v/>
      </c>
      <c r="F4913" s="79" t="str">
        <f t="shared" si="382"/>
        <v/>
      </c>
      <c r="G4913" s="395"/>
      <c r="H4913" s="91">
        <f t="shared" si="383"/>
        <v>0</v>
      </c>
      <c r="I4913" s="91" t="str">
        <f t="shared" si="384"/>
        <v/>
      </c>
      <c r="J4913" s="91" t="str">
        <f t="shared" si="385"/>
        <v/>
      </c>
      <c r="K4913" s="92" t="str">
        <f>IF(AND(A4913="",B4913="",D4913="",G4913=""),"",IF(AND(A4913&lt;&gt;"",COUNTIF($A$2:$A$5001,A4913)&gt;1),"NUMERO_PC duplicado",IF(B4913="","DATA_PC vazia",IF(NOT(ISNUMBER(B4913)),"DATA_PC invalida",IF(OR(C4913="",C4913="Fora dos ciclos"),"CICLO_PC nao identificado",IF(OR(D4913="",D4913=0),"VALOR_PC vazio ou zero",IF(AND(G4913&lt;&gt;"Sim",G4913&lt;&gt;"Nao",G4913&lt;&gt;""),"PC_PAGO_A_CONTRATADA invalido",IF(AND(C4913&lt;&gt;"C0",IFERROR(INDEX(parametros!$A$2:$A$6,MATCH(C4913,parametros!$B$2:$B$6,0)),"")="Sim",IFERROR(INDEX(parametros!$H$2:$H$6,MATCH(C4913,parametros!$B$2:$B$6,0)),"")=""),"INICIO_EFEITO ausente: PC "&amp;A4913&amp;" - "&amp;C4913,IF(L4913="","EFEITO_PC nao calculado: PC "&amp;A4913&amp;" - "&amp;C4913,"OK")))))))))</f>
        <v/>
      </c>
      <c r="L4913" s="92" t="str">
        <f>IF(AND(A4913="",B4913="",D4913="",G4913=""),"",IF(OR(B4913="",NOT(ISNUMBER(B4913)),C4913="",C4913="Fora dos ciclos"),"",IF(C4913="C0","Nao",IF(IFERROR(INDEX(parametros!$A$2:$A$6,MATCH(C4913,parametros!$B$2:$B$6,0)),"")&lt;&gt;"Sim","Nao",IF(IFERROR(INDEX(parametros!$H$2:$H$6,MATCH(C4913,parametros!$B$2:$B$6,0)),"")="","",IF(B4913&gt;=IFERROR(INDEX(parametros!$H$2:$H$6,MATCH(C4913,parametros!$B$2:$B$6,0)),""),"Sim","Nao"))))))</f>
        <v/>
      </c>
      <c r="T4913" s="156"/>
      <c r="U4913" s="214" t="str">
        <f t="shared" si="386"/>
        <v/>
      </c>
      <c r="V4913" s="212" t="s">
        <v>50</v>
      </c>
      <c r="W4913" s="100" t="s">
        <v>168</v>
      </c>
      <c r="X4913" s="100" t="s">
        <v>169</v>
      </c>
      <c r="Y4913" s="101" t="s">
        <v>170</v>
      </c>
      <c r="Z4913" s="101" t="s">
        <v>171</v>
      </c>
      <c r="AA4913" s="101" t="s">
        <v>50</v>
      </c>
      <c r="AB4913" s="101" t="s">
        <v>172</v>
      </c>
      <c r="AC4913" s="102" t="s">
        <v>173</v>
      </c>
    </row>
    <row r="4914" spans="1:29" ht="25.5" customHeight="1" x14ac:dyDescent="0.35">
      <c r="A4914" s="392"/>
      <c r="B4914" s="393"/>
      <c r="C4914" s="99" t="str">
        <f>IF(B4914="","",IF(NOT(ISNUMBER(B4914)),"DATA_PC invalida",IF(NOT(ISNUMBER(parametros!$C$2)),"Fora dos ciclos",IF(OR(B4914&lt;parametros!$C$2,(YEAR(B4914)-YEAR(parametros!$C$2))*12+MONTH(B4914)-MONTH(parametros!$C$2)&gt;59),"Fora dos ciclos","C"&amp;INT(((YEAR(B4914)-YEAR(parametros!$C$2))*12+MONTH(B4914)-MONTH(parametros!$C$2))/12)))))</f>
        <v/>
      </c>
      <c r="D4914" s="394"/>
      <c r="E4914" s="78" t="str">
        <f>IF(C4914="","",IFERROR(VLOOKUP(C4914,parametros!$A$11:$E$15,5,0),""))</f>
        <v/>
      </c>
      <c r="F4914" s="79" t="str">
        <f t="shared" si="382"/>
        <v/>
      </c>
      <c r="G4914" s="395"/>
      <c r="H4914" s="91">
        <f t="shared" si="383"/>
        <v>0</v>
      </c>
      <c r="I4914" s="91" t="str">
        <f t="shared" si="384"/>
        <v/>
      </c>
      <c r="J4914" s="91" t="str">
        <f t="shared" si="385"/>
        <v/>
      </c>
      <c r="K4914" s="92" t="str">
        <f>IF(AND(A4914="",B4914="",D4914="",G4914=""),"",IF(AND(A4914&lt;&gt;"",COUNTIF($A$2:$A$5001,A4914)&gt;1),"NUMERO_PC duplicado",IF(B4914="","DATA_PC vazia",IF(NOT(ISNUMBER(B4914)),"DATA_PC invalida",IF(OR(C4914="",C4914="Fora dos ciclos"),"CICLO_PC nao identificado",IF(OR(D4914="",D4914=0),"VALOR_PC vazio ou zero",IF(AND(G4914&lt;&gt;"Sim",G4914&lt;&gt;"Nao",G4914&lt;&gt;""),"PC_PAGO_A_CONTRATADA invalido",IF(AND(C4914&lt;&gt;"C0",IFERROR(INDEX(parametros!$A$2:$A$6,MATCH(C4914,parametros!$B$2:$B$6,0)),"")="Sim",IFERROR(INDEX(parametros!$H$2:$H$6,MATCH(C4914,parametros!$B$2:$B$6,0)),"")=""),"INICIO_EFEITO ausente: PC "&amp;A4914&amp;" - "&amp;C4914,IF(L4914="","EFEITO_PC nao calculado: PC "&amp;A4914&amp;" - "&amp;C4914,"OK")))))))))</f>
        <v/>
      </c>
      <c r="L4914" s="92" t="str">
        <f>IF(AND(A4914="",B4914="",D4914="",G4914=""),"",IF(OR(B4914="",NOT(ISNUMBER(B4914)),C4914="",C4914="Fora dos ciclos"),"",IF(C4914="C0","Nao",IF(IFERROR(INDEX(parametros!$A$2:$A$6,MATCH(C4914,parametros!$B$2:$B$6,0)),"")&lt;&gt;"Sim","Nao",IF(IFERROR(INDEX(parametros!$H$2:$H$6,MATCH(C4914,parametros!$B$2:$B$6,0)),"")="","",IF(B4914&gt;=IFERROR(INDEX(parametros!$H$2:$H$6,MATCH(C4914,parametros!$B$2:$B$6,0)),""),"Sim","Nao"))))))</f>
        <v/>
      </c>
      <c r="T4914" s="156"/>
      <c r="U4914" s="214" t="str">
        <f t="shared" si="386"/>
        <v/>
      </c>
      <c r="V4914" s="212" t="s">
        <v>50</v>
      </c>
      <c r="W4914" s="100" t="s">
        <v>168</v>
      </c>
      <c r="X4914" s="100" t="s">
        <v>169</v>
      </c>
      <c r="Y4914" s="101" t="s">
        <v>170</v>
      </c>
      <c r="Z4914" s="101" t="s">
        <v>171</v>
      </c>
      <c r="AA4914" s="101" t="s">
        <v>50</v>
      </c>
      <c r="AB4914" s="101" t="s">
        <v>172</v>
      </c>
      <c r="AC4914" s="102" t="s">
        <v>173</v>
      </c>
    </row>
    <row r="4915" spans="1:29" ht="25.5" customHeight="1" x14ac:dyDescent="0.35">
      <c r="A4915" s="392"/>
      <c r="B4915" s="393"/>
      <c r="C4915" s="99" t="str">
        <f>IF(B4915="","",IF(NOT(ISNUMBER(B4915)),"DATA_PC invalida",IF(NOT(ISNUMBER(parametros!$C$2)),"Fora dos ciclos",IF(OR(B4915&lt;parametros!$C$2,(YEAR(B4915)-YEAR(parametros!$C$2))*12+MONTH(B4915)-MONTH(parametros!$C$2)&gt;59),"Fora dos ciclos","C"&amp;INT(((YEAR(B4915)-YEAR(parametros!$C$2))*12+MONTH(B4915)-MONTH(parametros!$C$2))/12)))))</f>
        <v/>
      </c>
      <c r="D4915" s="394"/>
      <c r="E4915" s="78" t="str">
        <f>IF(C4915="","",IFERROR(VLOOKUP(C4915,parametros!$A$11:$E$15,5,0),""))</f>
        <v/>
      </c>
      <c r="F4915" s="79" t="str">
        <f t="shared" si="382"/>
        <v/>
      </c>
      <c r="G4915" s="395"/>
      <c r="H4915" s="91">
        <f t="shared" si="383"/>
        <v>0</v>
      </c>
      <c r="I4915" s="91" t="str">
        <f t="shared" si="384"/>
        <v/>
      </c>
      <c r="J4915" s="91" t="str">
        <f t="shared" si="385"/>
        <v/>
      </c>
      <c r="K4915" s="92" t="str">
        <f>IF(AND(A4915="",B4915="",D4915="",G4915=""),"",IF(AND(A4915&lt;&gt;"",COUNTIF($A$2:$A$5001,A4915)&gt;1),"NUMERO_PC duplicado",IF(B4915="","DATA_PC vazia",IF(NOT(ISNUMBER(B4915)),"DATA_PC invalida",IF(OR(C4915="",C4915="Fora dos ciclos"),"CICLO_PC nao identificado",IF(OR(D4915="",D4915=0),"VALOR_PC vazio ou zero",IF(AND(G4915&lt;&gt;"Sim",G4915&lt;&gt;"Nao",G4915&lt;&gt;""),"PC_PAGO_A_CONTRATADA invalido",IF(AND(C4915&lt;&gt;"C0",IFERROR(INDEX(parametros!$A$2:$A$6,MATCH(C4915,parametros!$B$2:$B$6,0)),"")="Sim",IFERROR(INDEX(parametros!$H$2:$H$6,MATCH(C4915,parametros!$B$2:$B$6,0)),"")=""),"INICIO_EFEITO ausente: PC "&amp;A4915&amp;" - "&amp;C4915,IF(L4915="","EFEITO_PC nao calculado: PC "&amp;A4915&amp;" - "&amp;C4915,"OK")))))))))</f>
        <v/>
      </c>
      <c r="L4915" s="92" t="str">
        <f>IF(AND(A4915="",B4915="",D4915="",G4915=""),"",IF(OR(B4915="",NOT(ISNUMBER(B4915)),C4915="",C4915="Fora dos ciclos"),"",IF(C4915="C0","Nao",IF(IFERROR(INDEX(parametros!$A$2:$A$6,MATCH(C4915,parametros!$B$2:$B$6,0)),"")&lt;&gt;"Sim","Nao",IF(IFERROR(INDEX(parametros!$H$2:$H$6,MATCH(C4915,parametros!$B$2:$B$6,0)),"")="","",IF(B4915&gt;=IFERROR(INDEX(parametros!$H$2:$H$6,MATCH(C4915,parametros!$B$2:$B$6,0)),""),"Sim","Nao"))))))</f>
        <v/>
      </c>
      <c r="T4915" s="156"/>
      <c r="U4915" s="214" t="str">
        <f t="shared" si="386"/>
        <v/>
      </c>
      <c r="V4915" s="212" t="s">
        <v>50</v>
      </c>
      <c r="W4915" s="100" t="s">
        <v>168</v>
      </c>
      <c r="X4915" s="100" t="s">
        <v>169</v>
      </c>
      <c r="Y4915" s="101" t="s">
        <v>170</v>
      </c>
      <c r="Z4915" s="101" t="s">
        <v>171</v>
      </c>
      <c r="AA4915" s="101" t="s">
        <v>50</v>
      </c>
      <c r="AB4915" s="101" t="s">
        <v>172</v>
      </c>
      <c r="AC4915" s="102" t="s">
        <v>173</v>
      </c>
    </row>
    <row r="4916" spans="1:29" ht="25.5" customHeight="1" x14ac:dyDescent="0.35">
      <c r="A4916" s="392"/>
      <c r="B4916" s="393"/>
      <c r="C4916" s="99" t="str">
        <f>IF(B4916="","",IF(NOT(ISNUMBER(B4916)),"DATA_PC invalida",IF(NOT(ISNUMBER(parametros!$C$2)),"Fora dos ciclos",IF(OR(B4916&lt;parametros!$C$2,(YEAR(B4916)-YEAR(parametros!$C$2))*12+MONTH(B4916)-MONTH(parametros!$C$2)&gt;59),"Fora dos ciclos","C"&amp;INT(((YEAR(B4916)-YEAR(parametros!$C$2))*12+MONTH(B4916)-MONTH(parametros!$C$2))/12)))))</f>
        <v/>
      </c>
      <c r="D4916" s="394"/>
      <c r="E4916" s="78" t="str">
        <f>IF(C4916="","",IFERROR(VLOOKUP(C4916,parametros!$A$11:$E$15,5,0),""))</f>
        <v/>
      </c>
      <c r="F4916" s="79" t="str">
        <f t="shared" si="382"/>
        <v/>
      </c>
      <c r="G4916" s="395"/>
      <c r="H4916" s="91">
        <f t="shared" si="383"/>
        <v>0</v>
      </c>
      <c r="I4916" s="91" t="str">
        <f t="shared" si="384"/>
        <v/>
      </c>
      <c r="J4916" s="91" t="str">
        <f t="shared" si="385"/>
        <v/>
      </c>
      <c r="K4916" s="92" t="str">
        <f>IF(AND(A4916="",B4916="",D4916="",G4916=""),"",IF(AND(A4916&lt;&gt;"",COUNTIF($A$2:$A$5001,A4916)&gt;1),"NUMERO_PC duplicado",IF(B4916="","DATA_PC vazia",IF(NOT(ISNUMBER(B4916)),"DATA_PC invalida",IF(OR(C4916="",C4916="Fora dos ciclos"),"CICLO_PC nao identificado",IF(OR(D4916="",D4916=0),"VALOR_PC vazio ou zero",IF(AND(G4916&lt;&gt;"Sim",G4916&lt;&gt;"Nao",G4916&lt;&gt;""),"PC_PAGO_A_CONTRATADA invalido",IF(AND(C4916&lt;&gt;"C0",IFERROR(INDEX(parametros!$A$2:$A$6,MATCH(C4916,parametros!$B$2:$B$6,0)),"")="Sim",IFERROR(INDEX(parametros!$H$2:$H$6,MATCH(C4916,parametros!$B$2:$B$6,0)),"")=""),"INICIO_EFEITO ausente: PC "&amp;A4916&amp;" - "&amp;C4916,IF(L4916="","EFEITO_PC nao calculado: PC "&amp;A4916&amp;" - "&amp;C4916,"OK")))))))))</f>
        <v/>
      </c>
      <c r="L4916" s="92" t="str">
        <f>IF(AND(A4916="",B4916="",D4916="",G4916=""),"",IF(OR(B4916="",NOT(ISNUMBER(B4916)),C4916="",C4916="Fora dos ciclos"),"",IF(C4916="C0","Nao",IF(IFERROR(INDEX(parametros!$A$2:$A$6,MATCH(C4916,parametros!$B$2:$B$6,0)),"")&lt;&gt;"Sim","Nao",IF(IFERROR(INDEX(parametros!$H$2:$H$6,MATCH(C4916,parametros!$B$2:$B$6,0)),"")="","",IF(B4916&gt;=IFERROR(INDEX(parametros!$H$2:$H$6,MATCH(C4916,parametros!$B$2:$B$6,0)),""),"Sim","Nao"))))))</f>
        <v/>
      </c>
      <c r="T4916" s="156"/>
      <c r="U4916" s="214" t="str">
        <f t="shared" si="386"/>
        <v/>
      </c>
      <c r="V4916" s="212" t="s">
        <v>50</v>
      </c>
      <c r="W4916" s="100" t="s">
        <v>168</v>
      </c>
      <c r="X4916" s="100" t="s">
        <v>169</v>
      </c>
      <c r="Y4916" s="101" t="s">
        <v>170</v>
      </c>
      <c r="Z4916" s="101" t="s">
        <v>171</v>
      </c>
      <c r="AA4916" s="101" t="s">
        <v>50</v>
      </c>
      <c r="AB4916" s="101" t="s">
        <v>172</v>
      </c>
      <c r="AC4916" s="102" t="s">
        <v>173</v>
      </c>
    </row>
    <row r="4917" spans="1:29" ht="25.5" customHeight="1" x14ac:dyDescent="0.35">
      <c r="A4917" s="392"/>
      <c r="B4917" s="393"/>
      <c r="C4917" s="99" t="str">
        <f>IF(B4917="","",IF(NOT(ISNUMBER(B4917)),"DATA_PC invalida",IF(NOT(ISNUMBER(parametros!$C$2)),"Fora dos ciclos",IF(OR(B4917&lt;parametros!$C$2,(YEAR(B4917)-YEAR(parametros!$C$2))*12+MONTH(B4917)-MONTH(parametros!$C$2)&gt;59),"Fora dos ciclos","C"&amp;INT(((YEAR(B4917)-YEAR(parametros!$C$2))*12+MONTH(B4917)-MONTH(parametros!$C$2))/12)))))</f>
        <v/>
      </c>
      <c r="D4917" s="394"/>
      <c r="E4917" s="78" t="str">
        <f>IF(C4917="","",IFERROR(VLOOKUP(C4917,parametros!$A$11:$E$15,5,0),""))</f>
        <v/>
      </c>
      <c r="F4917" s="79" t="str">
        <f t="shared" si="382"/>
        <v/>
      </c>
      <c r="G4917" s="395"/>
      <c r="H4917" s="91">
        <f t="shared" si="383"/>
        <v>0</v>
      </c>
      <c r="I4917" s="91" t="str">
        <f t="shared" si="384"/>
        <v/>
      </c>
      <c r="J4917" s="91" t="str">
        <f t="shared" si="385"/>
        <v/>
      </c>
      <c r="K4917" s="92" t="str">
        <f>IF(AND(A4917="",B4917="",D4917="",G4917=""),"",IF(AND(A4917&lt;&gt;"",COUNTIF($A$2:$A$5001,A4917)&gt;1),"NUMERO_PC duplicado",IF(B4917="","DATA_PC vazia",IF(NOT(ISNUMBER(B4917)),"DATA_PC invalida",IF(OR(C4917="",C4917="Fora dos ciclos"),"CICLO_PC nao identificado",IF(OR(D4917="",D4917=0),"VALOR_PC vazio ou zero",IF(AND(G4917&lt;&gt;"Sim",G4917&lt;&gt;"Nao",G4917&lt;&gt;""),"PC_PAGO_A_CONTRATADA invalido",IF(AND(C4917&lt;&gt;"C0",IFERROR(INDEX(parametros!$A$2:$A$6,MATCH(C4917,parametros!$B$2:$B$6,0)),"")="Sim",IFERROR(INDEX(parametros!$H$2:$H$6,MATCH(C4917,parametros!$B$2:$B$6,0)),"")=""),"INICIO_EFEITO ausente: PC "&amp;A4917&amp;" - "&amp;C4917,IF(L4917="","EFEITO_PC nao calculado: PC "&amp;A4917&amp;" - "&amp;C4917,"OK")))))))))</f>
        <v/>
      </c>
      <c r="L4917" s="92" t="str">
        <f>IF(AND(A4917="",B4917="",D4917="",G4917=""),"",IF(OR(B4917="",NOT(ISNUMBER(B4917)),C4917="",C4917="Fora dos ciclos"),"",IF(C4917="C0","Nao",IF(IFERROR(INDEX(parametros!$A$2:$A$6,MATCH(C4917,parametros!$B$2:$B$6,0)),"")&lt;&gt;"Sim","Nao",IF(IFERROR(INDEX(parametros!$H$2:$H$6,MATCH(C4917,parametros!$B$2:$B$6,0)),"")="","",IF(B4917&gt;=IFERROR(INDEX(parametros!$H$2:$H$6,MATCH(C4917,parametros!$B$2:$B$6,0)),""),"Sim","Nao"))))))</f>
        <v/>
      </c>
      <c r="T4917" s="156"/>
      <c r="U4917" s="214" t="str">
        <f t="shared" si="386"/>
        <v/>
      </c>
      <c r="V4917" s="212" t="s">
        <v>50</v>
      </c>
      <c r="W4917" s="100" t="s">
        <v>168</v>
      </c>
      <c r="X4917" s="100" t="s">
        <v>169</v>
      </c>
      <c r="Y4917" s="101" t="s">
        <v>170</v>
      </c>
      <c r="Z4917" s="101" t="s">
        <v>171</v>
      </c>
      <c r="AA4917" s="101" t="s">
        <v>50</v>
      </c>
      <c r="AB4917" s="101" t="s">
        <v>172</v>
      </c>
      <c r="AC4917" s="102" t="s">
        <v>173</v>
      </c>
    </row>
    <row r="4918" spans="1:29" ht="25.5" customHeight="1" x14ac:dyDescent="0.35">
      <c r="A4918" s="392"/>
      <c r="B4918" s="393"/>
      <c r="C4918" s="99" t="str">
        <f>IF(B4918="","",IF(NOT(ISNUMBER(B4918)),"DATA_PC invalida",IF(NOT(ISNUMBER(parametros!$C$2)),"Fora dos ciclos",IF(OR(B4918&lt;parametros!$C$2,(YEAR(B4918)-YEAR(parametros!$C$2))*12+MONTH(B4918)-MONTH(parametros!$C$2)&gt;59),"Fora dos ciclos","C"&amp;INT(((YEAR(B4918)-YEAR(parametros!$C$2))*12+MONTH(B4918)-MONTH(parametros!$C$2))/12)))))</f>
        <v/>
      </c>
      <c r="D4918" s="394"/>
      <c r="E4918" s="78" t="str">
        <f>IF(C4918="","",IFERROR(VLOOKUP(C4918,parametros!$A$11:$E$15,5,0),""))</f>
        <v/>
      </c>
      <c r="F4918" s="79" t="str">
        <f t="shared" si="382"/>
        <v/>
      </c>
      <c r="G4918" s="395"/>
      <c r="H4918" s="91">
        <f t="shared" si="383"/>
        <v>0</v>
      </c>
      <c r="I4918" s="91" t="str">
        <f t="shared" si="384"/>
        <v/>
      </c>
      <c r="J4918" s="91" t="str">
        <f t="shared" si="385"/>
        <v/>
      </c>
      <c r="K4918" s="92" t="str">
        <f>IF(AND(A4918="",B4918="",D4918="",G4918=""),"",IF(AND(A4918&lt;&gt;"",COUNTIF($A$2:$A$5001,A4918)&gt;1),"NUMERO_PC duplicado",IF(B4918="","DATA_PC vazia",IF(NOT(ISNUMBER(B4918)),"DATA_PC invalida",IF(OR(C4918="",C4918="Fora dos ciclos"),"CICLO_PC nao identificado",IF(OR(D4918="",D4918=0),"VALOR_PC vazio ou zero",IF(AND(G4918&lt;&gt;"Sim",G4918&lt;&gt;"Nao",G4918&lt;&gt;""),"PC_PAGO_A_CONTRATADA invalido",IF(AND(C4918&lt;&gt;"C0",IFERROR(INDEX(parametros!$A$2:$A$6,MATCH(C4918,parametros!$B$2:$B$6,0)),"")="Sim",IFERROR(INDEX(parametros!$H$2:$H$6,MATCH(C4918,parametros!$B$2:$B$6,0)),"")=""),"INICIO_EFEITO ausente: PC "&amp;A4918&amp;" - "&amp;C4918,IF(L4918="","EFEITO_PC nao calculado: PC "&amp;A4918&amp;" - "&amp;C4918,"OK")))))))))</f>
        <v/>
      </c>
      <c r="L4918" s="92" t="str">
        <f>IF(AND(A4918="",B4918="",D4918="",G4918=""),"",IF(OR(B4918="",NOT(ISNUMBER(B4918)),C4918="",C4918="Fora dos ciclos"),"",IF(C4918="C0","Nao",IF(IFERROR(INDEX(parametros!$A$2:$A$6,MATCH(C4918,parametros!$B$2:$B$6,0)),"")&lt;&gt;"Sim","Nao",IF(IFERROR(INDEX(parametros!$H$2:$H$6,MATCH(C4918,parametros!$B$2:$B$6,0)),"")="","",IF(B4918&gt;=IFERROR(INDEX(parametros!$H$2:$H$6,MATCH(C4918,parametros!$B$2:$B$6,0)),""),"Sim","Nao"))))))</f>
        <v/>
      </c>
      <c r="T4918" s="156"/>
      <c r="U4918" s="214" t="str">
        <f t="shared" si="386"/>
        <v/>
      </c>
      <c r="V4918" s="212" t="s">
        <v>50</v>
      </c>
      <c r="W4918" s="100" t="s">
        <v>168</v>
      </c>
      <c r="X4918" s="100" t="s">
        <v>169</v>
      </c>
      <c r="Y4918" s="101" t="s">
        <v>170</v>
      </c>
      <c r="Z4918" s="101" t="s">
        <v>171</v>
      </c>
      <c r="AA4918" s="101" t="s">
        <v>50</v>
      </c>
      <c r="AB4918" s="101" t="s">
        <v>172</v>
      </c>
      <c r="AC4918" s="102" t="s">
        <v>173</v>
      </c>
    </row>
    <row r="4919" spans="1:29" ht="25.5" customHeight="1" x14ac:dyDescent="0.35">
      <c r="A4919" s="392"/>
      <c r="B4919" s="393"/>
      <c r="C4919" s="99" t="str">
        <f>IF(B4919="","",IF(NOT(ISNUMBER(B4919)),"DATA_PC invalida",IF(NOT(ISNUMBER(parametros!$C$2)),"Fora dos ciclos",IF(OR(B4919&lt;parametros!$C$2,(YEAR(B4919)-YEAR(parametros!$C$2))*12+MONTH(B4919)-MONTH(parametros!$C$2)&gt;59),"Fora dos ciclos","C"&amp;INT(((YEAR(B4919)-YEAR(parametros!$C$2))*12+MONTH(B4919)-MONTH(parametros!$C$2))/12)))))</f>
        <v/>
      </c>
      <c r="D4919" s="394"/>
      <c r="E4919" s="78" t="str">
        <f>IF(C4919="","",IFERROR(VLOOKUP(C4919,parametros!$A$11:$E$15,5,0),""))</f>
        <v/>
      </c>
      <c r="F4919" s="79" t="str">
        <f t="shared" si="382"/>
        <v/>
      </c>
      <c r="G4919" s="395"/>
      <c r="H4919" s="91">
        <f t="shared" si="383"/>
        <v>0</v>
      </c>
      <c r="I4919" s="91" t="str">
        <f t="shared" si="384"/>
        <v/>
      </c>
      <c r="J4919" s="91" t="str">
        <f t="shared" si="385"/>
        <v/>
      </c>
      <c r="K4919" s="92" t="str">
        <f>IF(AND(A4919="",B4919="",D4919="",G4919=""),"",IF(AND(A4919&lt;&gt;"",COUNTIF($A$2:$A$5001,A4919)&gt;1),"NUMERO_PC duplicado",IF(B4919="","DATA_PC vazia",IF(NOT(ISNUMBER(B4919)),"DATA_PC invalida",IF(OR(C4919="",C4919="Fora dos ciclos"),"CICLO_PC nao identificado",IF(OR(D4919="",D4919=0),"VALOR_PC vazio ou zero",IF(AND(G4919&lt;&gt;"Sim",G4919&lt;&gt;"Nao",G4919&lt;&gt;""),"PC_PAGO_A_CONTRATADA invalido",IF(AND(C4919&lt;&gt;"C0",IFERROR(INDEX(parametros!$A$2:$A$6,MATCH(C4919,parametros!$B$2:$B$6,0)),"")="Sim",IFERROR(INDEX(parametros!$H$2:$H$6,MATCH(C4919,parametros!$B$2:$B$6,0)),"")=""),"INICIO_EFEITO ausente: PC "&amp;A4919&amp;" - "&amp;C4919,IF(L4919="","EFEITO_PC nao calculado: PC "&amp;A4919&amp;" - "&amp;C4919,"OK")))))))))</f>
        <v/>
      </c>
      <c r="L4919" s="92" t="str">
        <f>IF(AND(A4919="",B4919="",D4919="",G4919=""),"",IF(OR(B4919="",NOT(ISNUMBER(B4919)),C4919="",C4919="Fora dos ciclos"),"",IF(C4919="C0","Nao",IF(IFERROR(INDEX(parametros!$A$2:$A$6,MATCH(C4919,parametros!$B$2:$B$6,0)),"")&lt;&gt;"Sim","Nao",IF(IFERROR(INDEX(parametros!$H$2:$H$6,MATCH(C4919,parametros!$B$2:$B$6,0)),"")="","",IF(B4919&gt;=IFERROR(INDEX(parametros!$H$2:$H$6,MATCH(C4919,parametros!$B$2:$B$6,0)),""),"Sim","Nao"))))))</f>
        <v/>
      </c>
      <c r="T4919" s="156"/>
      <c r="U4919" s="214" t="str">
        <f t="shared" si="386"/>
        <v/>
      </c>
      <c r="V4919" s="212" t="s">
        <v>50</v>
      </c>
      <c r="W4919" s="100" t="s">
        <v>168</v>
      </c>
      <c r="X4919" s="100" t="s">
        <v>169</v>
      </c>
      <c r="Y4919" s="101" t="s">
        <v>170</v>
      </c>
      <c r="Z4919" s="101" t="s">
        <v>171</v>
      </c>
      <c r="AA4919" s="101" t="s">
        <v>50</v>
      </c>
      <c r="AB4919" s="101" t="s">
        <v>172</v>
      </c>
      <c r="AC4919" s="102" t="s">
        <v>173</v>
      </c>
    </row>
    <row r="4920" spans="1:29" ht="25.5" customHeight="1" x14ac:dyDescent="0.35">
      <c r="A4920" s="392"/>
      <c r="B4920" s="393"/>
      <c r="C4920" s="99" t="str">
        <f>IF(B4920="","",IF(NOT(ISNUMBER(B4920)),"DATA_PC invalida",IF(NOT(ISNUMBER(parametros!$C$2)),"Fora dos ciclos",IF(OR(B4920&lt;parametros!$C$2,(YEAR(B4920)-YEAR(parametros!$C$2))*12+MONTH(B4920)-MONTH(parametros!$C$2)&gt;59),"Fora dos ciclos","C"&amp;INT(((YEAR(B4920)-YEAR(parametros!$C$2))*12+MONTH(B4920)-MONTH(parametros!$C$2))/12)))))</f>
        <v/>
      </c>
      <c r="D4920" s="394"/>
      <c r="E4920" s="78" t="str">
        <f>IF(C4920="","",IFERROR(VLOOKUP(C4920,parametros!$A$11:$E$15,5,0),""))</f>
        <v/>
      </c>
      <c r="F4920" s="79" t="str">
        <f t="shared" si="382"/>
        <v/>
      </c>
      <c r="G4920" s="395"/>
      <c r="H4920" s="91">
        <f t="shared" si="383"/>
        <v>0</v>
      </c>
      <c r="I4920" s="91" t="str">
        <f t="shared" si="384"/>
        <v/>
      </c>
      <c r="J4920" s="91" t="str">
        <f t="shared" si="385"/>
        <v/>
      </c>
      <c r="K4920" s="92" t="str">
        <f>IF(AND(A4920="",B4920="",D4920="",G4920=""),"",IF(AND(A4920&lt;&gt;"",COUNTIF($A$2:$A$5001,A4920)&gt;1),"NUMERO_PC duplicado",IF(B4920="","DATA_PC vazia",IF(NOT(ISNUMBER(B4920)),"DATA_PC invalida",IF(OR(C4920="",C4920="Fora dos ciclos"),"CICLO_PC nao identificado",IF(OR(D4920="",D4920=0),"VALOR_PC vazio ou zero",IF(AND(G4920&lt;&gt;"Sim",G4920&lt;&gt;"Nao",G4920&lt;&gt;""),"PC_PAGO_A_CONTRATADA invalido",IF(AND(C4920&lt;&gt;"C0",IFERROR(INDEX(parametros!$A$2:$A$6,MATCH(C4920,parametros!$B$2:$B$6,0)),"")="Sim",IFERROR(INDEX(parametros!$H$2:$H$6,MATCH(C4920,parametros!$B$2:$B$6,0)),"")=""),"INICIO_EFEITO ausente: PC "&amp;A4920&amp;" - "&amp;C4920,IF(L4920="","EFEITO_PC nao calculado: PC "&amp;A4920&amp;" - "&amp;C4920,"OK")))))))))</f>
        <v/>
      </c>
      <c r="L4920" s="92" t="str">
        <f>IF(AND(A4920="",B4920="",D4920="",G4920=""),"",IF(OR(B4920="",NOT(ISNUMBER(B4920)),C4920="",C4920="Fora dos ciclos"),"",IF(C4920="C0","Nao",IF(IFERROR(INDEX(parametros!$A$2:$A$6,MATCH(C4920,parametros!$B$2:$B$6,0)),"")&lt;&gt;"Sim","Nao",IF(IFERROR(INDEX(parametros!$H$2:$H$6,MATCH(C4920,parametros!$B$2:$B$6,0)),"")="","",IF(B4920&gt;=IFERROR(INDEX(parametros!$H$2:$H$6,MATCH(C4920,parametros!$B$2:$B$6,0)),""),"Sim","Nao"))))))</f>
        <v/>
      </c>
      <c r="T4920" s="156"/>
      <c r="U4920" s="214" t="str">
        <f t="shared" si="386"/>
        <v/>
      </c>
      <c r="V4920" s="212" t="s">
        <v>50</v>
      </c>
      <c r="W4920" s="100" t="s">
        <v>168</v>
      </c>
      <c r="X4920" s="100" t="s">
        <v>169</v>
      </c>
      <c r="Y4920" s="101" t="s">
        <v>170</v>
      </c>
      <c r="Z4920" s="101" t="s">
        <v>171</v>
      </c>
      <c r="AA4920" s="101" t="s">
        <v>50</v>
      </c>
      <c r="AB4920" s="101" t="s">
        <v>172</v>
      </c>
      <c r="AC4920" s="102" t="s">
        <v>173</v>
      </c>
    </row>
    <row r="4921" spans="1:29" ht="25.5" customHeight="1" x14ac:dyDescent="0.35">
      <c r="A4921" s="392"/>
      <c r="B4921" s="393"/>
      <c r="C4921" s="99" t="str">
        <f>IF(B4921="","",IF(NOT(ISNUMBER(B4921)),"DATA_PC invalida",IF(NOT(ISNUMBER(parametros!$C$2)),"Fora dos ciclos",IF(OR(B4921&lt;parametros!$C$2,(YEAR(B4921)-YEAR(parametros!$C$2))*12+MONTH(B4921)-MONTH(parametros!$C$2)&gt;59),"Fora dos ciclos","C"&amp;INT(((YEAR(B4921)-YEAR(parametros!$C$2))*12+MONTH(B4921)-MONTH(parametros!$C$2))/12)))))</f>
        <v/>
      </c>
      <c r="D4921" s="394"/>
      <c r="E4921" s="78" t="str">
        <f>IF(C4921="","",IFERROR(VLOOKUP(C4921,parametros!$A$11:$E$15,5,0),""))</f>
        <v/>
      </c>
      <c r="F4921" s="79" t="str">
        <f t="shared" si="382"/>
        <v/>
      </c>
      <c r="G4921" s="395"/>
      <c r="H4921" s="91">
        <f t="shared" si="383"/>
        <v>0</v>
      </c>
      <c r="I4921" s="91" t="str">
        <f t="shared" si="384"/>
        <v/>
      </c>
      <c r="J4921" s="91" t="str">
        <f t="shared" si="385"/>
        <v/>
      </c>
      <c r="K4921" s="92" t="str">
        <f>IF(AND(A4921="",B4921="",D4921="",G4921=""),"",IF(AND(A4921&lt;&gt;"",COUNTIF($A$2:$A$5001,A4921)&gt;1),"NUMERO_PC duplicado",IF(B4921="","DATA_PC vazia",IF(NOT(ISNUMBER(B4921)),"DATA_PC invalida",IF(OR(C4921="",C4921="Fora dos ciclos"),"CICLO_PC nao identificado",IF(OR(D4921="",D4921=0),"VALOR_PC vazio ou zero",IF(AND(G4921&lt;&gt;"Sim",G4921&lt;&gt;"Nao",G4921&lt;&gt;""),"PC_PAGO_A_CONTRATADA invalido",IF(AND(C4921&lt;&gt;"C0",IFERROR(INDEX(parametros!$A$2:$A$6,MATCH(C4921,parametros!$B$2:$B$6,0)),"")="Sim",IFERROR(INDEX(parametros!$H$2:$H$6,MATCH(C4921,parametros!$B$2:$B$6,0)),"")=""),"INICIO_EFEITO ausente: PC "&amp;A4921&amp;" - "&amp;C4921,IF(L4921="","EFEITO_PC nao calculado: PC "&amp;A4921&amp;" - "&amp;C4921,"OK")))))))))</f>
        <v/>
      </c>
      <c r="L4921" s="92" t="str">
        <f>IF(AND(A4921="",B4921="",D4921="",G4921=""),"",IF(OR(B4921="",NOT(ISNUMBER(B4921)),C4921="",C4921="Fora dos ciclos"),"",IF(C4921="C0","Nao",IF(IFERROR(INDEX(parametros!$A$2:$A$6,MATCH(C4921,parametros!$B$2:$B$6,0)),"")&lt;&gt;"Sim","Nao",IF(IFERROR(INDEX(parametros!$H$2:$H$6,MATCH(C4921,parametros!$B$2:$B$6,0)),"")="","",IF(B4921&gt;=IFERROR(INDEX(parametros!$H$2:$H$6,MATCH(C4921,parametros!$B$2:$B$6,0)),""),"Sim","Nao"))))))</f>
        <v/>
      </c>
      <c r="T4921" s="156"/>
      <c r="U4921" s="214" t="str">
        <f t="shared" si="386"/>
        <v/>
      </c>
      <c r="V4921" s="212" t="s">
        <v>50</v>
      </c>
      <c r="W4921" s="100" t="s">
        <v>168</v>
      </c>
      <c r="X4921" s="100" t="s">
        <v>169</v>
      </c>
      <c r="Y4921" s="101" t="s">
        <v>170</v>
      </c>
      <c r="Z4921" s="101" t="s">
        <v>171</v>
      </c>
      <c r="AA4921" s="101" t="s">
        <v>50</v>
      </c>
      <c r="AB4921" s="101" t="s">
        <v>172</v>
      </c>
      <c r="AC4921" s="102" t="s">
        <v>173</v>
      </c>
    </row>
    <row r="4922" spans="1:29" ht="25.5" customHeight="1" x14ac:dyDescent="0.35">
      <c r="A4922" s="392"/>
      <c r="B4922" s="393"/>
      <c r="C4922" s="99" t="str">
        <f>IF(B4922="","",IF(NOT(ISNUMBER(B4922)),"DATA_PC invalida",IF(NOT(ISNUMBER(parametros!$C$2)),"Fora dos ciclos",IF(OR(B4922&lt;parametros!$C$2,(YEAR(B4922)-YEAR(parametros!$C$2))*12+MONTH(B4922)-MONTH(parametros!$C$2)&gt;59),"Fora dos ciclos","C"&amp;INT(((YEAR(B4922)-YEAR(parametros!$C$2))*12+MONTH(B4922)-MONTH(parametros!$C$2))/12)))))</f>
        <v/>
      </c>
      <c r="D4922" s="394"/>
      <c r="E4922" s="78" t="str">
        <f>IF(C4922="","",IFERROR(VLOOKUP(C4922,parametros!$A$11:$E$15,5,0),""))</f>
        <v/>
      </c>
      <c r="F4922" s="79" t="str">
        <f t="shared" si="382"/>
        <v/>
      </c>
      <c r="G4922" s="395"/>
      <c r="H4922" s="91">
        <f t="shared" si="383"/>
        <v>0</v>
      </c>
      <c r="I4922" s="91" t="str">
        <f t="shared" si="384"/>
        <v/>
      </c>
      <c r="J4922" s="91" t="str">
        <f t="shared" si="385"/>
        <v/>
      </c>
      <c r="K4922" s="92" t="str">
        <f>IF(AND(A4922="",B4922="",D4922="",G4922=""),"",IF(AND(A4922&lt;&gt;"",COUNTIF($A$2:$A$5001,A4922)&gt;1),"NUMERO_PC duplicado",IF(B4922="","DATA_PC vazia",IF(NOT(ISNUMBER(B4922)),"DATA_PC invalida",IF(OR(C4922="",C4922="Fora dos ciclos"),"CICLO_PC nao identificado",IF(OR(D4922="",D4922=0),"VALOR_PC vazio ou zero",IF(AND(G4922&lt;&gt;"Sim",G4922&lt;&gt;"Nao",G4922&lt;&gt;""),"PC_PAGO_A_CONTRATADA invalido",IF(AND(C4922&lt;&gt;"C0",IFERROR(INDEX(parametros!$A$2:$A$6,MATCH(C4922,parametros!$B$2:$B$6,0)),"")="Sim",IFERROR(INDEX(parametros!$H$2:$H$6,MATCH(C4922,parametros!$B$2:$B$6,0)),"")=""),"INICIO_EFEITO ausente: PC "&amp;A4922&amp;" - "&amp;C4922,IF(L4922="","EFEITO_PC nao calculado: PC "&amp;A4922&amp;" - "&amp;C4922,"OK")))))))))</f>
        <v/>
      </c>
      <c r="L4922" s="92" t="str">
        <f>IF(AND(A4922="",B4922="",D4922="",G4922=""),"",IF(OR(B4922="",NOT(ISNUMBER(B4922)),C4922="",C4922="Fora dos ciclos"),"",IF(C4922="C0","Nao",IF(IFERROR(INDEX(parametros!$A$2:$A$6,MATCH(C4922,parametros!$B$2:$B$6,0)),"")&lt;&gt;"Sim","Nao",IF(IFERROR(INDEX(parametros!$H$2:$H$6,MATCH(C4922,parametros!$B$2:$B$6,0)),"")="","",IF(B4922&gt;=IFERROR(INDEX(parametros!$H$2:$H$6,MATCH(C4922,parametros!$B$2:$B$6,0)),""),"Sim","Nao"))))))</f>
        <v/>
      </c>
      <c r="T4922" s="156"/>
      <c r="U4922" s="214" t="str">
        <f t="shared" si="386"/>
        <v/>
      </c>
      <c r="V4922" s="212" t="s">
        <v>50</v>
      </c>
      <c r="W4922" s="100" t="s">
        <v>168</v>
      </c>
      <c r="X4922" s="100" t="s">
        <v>169</v>
      </c>
      <c r="Y4922" s="101" t="s">
        <v>170</v>
      </c>
      <c r="Z4922" s="101" t="s">
        <v>171</v>
      </c>
      <c r="AA4922" s="101" t="s">
        <v>50</v>
      </c>
      <c r="AB4922" s="101" t="s">
        <v>172</v>
      </c>
      <c r="AC4922" s="102" t="s">
        <v>173</v>
      </c>
    </row>
    <row r="4923" spans="1:29" ht="25.5" customHeight="1" x14ac:dyDescent="0.35">
      <c r="A4923" s="392"/>
      <c r="B4923" s="393"/>
      <c r="C4923" s="99" t="str">
        <f>IF(B4923="","",IF(NOT(ISNUMBER(B4923)),"DATA_PC invalida",IF(NOT(ISNUMBER(parametros!$C$2)),"Fora dos ciclos",IF(OR(B4923&lt;parametros!$C$2,(YEAR(B4923)-YEAR(parametros!$C$2))*12+MONTH(B4923)-MONTH(parametros!$C$2)&gt;59),"Fora dos ciclos","C"&amp;INT(((YEAR(B4923)-YEAR(parametros!$C$2))*12+MONTH(B4923)-MONTH(parametros!$C$2))/12)))))</f>
        <v/>
      </c>
      <c r="D4923" s="394"/>
      <c r="E4923" s="78" t="str">
        <f>IF(C4923="","",IFERROR(VLOOKUP(C4923,parametros!$A$11:$E$15,5,0),""))</f>
        <v/>
      </c>
      <c r="F4923" s="79" t="str">
        <f t="shared" si="382"/>
        <v/>
      </c>
      <c r="G4923" s="395"/>
      <c r="H4923" s="91">
        <f t="shared" si="383"/>
        <v>0</v>
      </c>
      <c r="I4923" s="91" t="str">
        <f t="shared" si="384"/>
        <v/>
      </c>
      <c r="J4923" s="91" t="str">
        <f t="shared" si="385"/>
        <v/>
      </c>
      <c r="K4923" s="92" t="str">
        <f>IF(AND(A4923="",B4923="",D4923="",G4923=""),"",IF(AND(A4923&lt;&gt;"",COUNTIF($A$2:$A$5001,A4923)&gt;1),"NUMERO_PC duplicado",IF(B4923="","DATA_PC vazia",IF(NOT(ISNUMBER(B4923)),"DATA_PC invalida",IF(OR(C4923="",C4923="Fora dos ciclos"),"CICLO_PC nao identificado",IF(OR(D4923="",D4923=0),"VALOR_PC vazio ou zero",IF(AND(G4923&lt;&gt;"Sim",G4923&lt;&gt;"Nao",G4923&lt;&gt;""),"PC_PAGO_A_CONTRATADA invalido",IF(AND(C4923&lt;&gt;"C0",IFERROR(INDEX(parametros!$A$2:$A$6,MATCH(C4923,parametros!$B$2:$B$6,0)),"")="Sim",IFERROR(INDEX(parametros!$H$2:$H$6,MATCH(C4923,parametros!$B$2:$B$6,0)),"")=""),"INICIO_EFEITO ausente: PC "&amp;A4923&amp;" - "&amp;C4923,IF(L4923="","EFEITO_PC nao calculado: PC "&amp;A4923&amp;" - "&amp;C4923,"OK")))))))))</f>
        <v/>
      </c>
      <c r="L4923" s="92" t="str">
        <f>IF(AND(A4923="",B4923="",D4923="",G4923=""),"",IF(OR(B4923="",NOT(ISNUMBER(B4923)),C4923="",C4923="Fora dos ciclos"),"",IF(C4923="C0","Nao",IF(IFERROR(INDEX(parametros!$A$2:$A$6,MATCH(C4923,parametros!$B$2:$B$6,0)),"")&lt;&gt;"Sim","Nao",IF(IFERROR(INDEX(parametros!$H$2:$H$6,MATCH(C4923,parametros!$B$2:$B$6,0)),"")="","",IF(B4923&gt;=IFERROR(INDEX(parametros!$H$2:$H$6,MATCH(C4923,parametros!$B$2:$B$6,0)),""),"Sim","Nao"))))))</f>
        <v/>
      </c>
      <c r="T4923" s="156"/>
      <c r="U4923" s="214" t="str">
        <f t="shared" si="386"/>
        <v/>
      </c>
      <c r="V4923" s="212" t="s">
        <v>50</v>
      </c>
      <c r="W4923" s="100" t="s">
        <v>168</v>
      </c>
      <c r="X4923" s="100" t="s">
        <v>169</v>
      </c>
      <c r="Y4923" s="101" t="s">
        <v>170</v>
      </c>
      <c r="Z4923" s="101" t="s">
        <v>171</v>
      </c>
      <c r="AA4923" s="101" t="s">
        <v>50</v>
      </c>
      <c r="AB4923" s="101" t="s">
        <v>172</v>
      </c>
      <c r="AC4923" s="102" t="s">
        <v>173</v>
      </c>
    </row>
    <row r="4924" spans="1:29" ht="25.5" customHeight="1" x14ac:dyDescent="0.35">
      <c r="A4924" s="392"/>
      <c r="B4924" s="393"/>
      <c r="C4924" s="99" t="str">
        <f>IF(B4924="","",IF(NOT(ISNUMBER(B4924)),"DATA_PC invalida",IF(NOT(ISNUMBER(parametros!$C$2)),"Fora dos ciclos",IF(OR(B4924&lt;parametros!$C$2,(YEAR(B4924)-YEAR(parametros!$C$2))*12+MONTH(B4924)-MONTH(parametros!$C$2)&gt;59),"Fora dos ciclos","C"&amp;INT(((YEAR(B4924)-YEAR(parametros!$C$2))*12+MONTH(B4924)-MONTH(parametros!$C$2))/12)))))</f>
        <v/>
      </c>
      <c r="D4924" s="394"/>
      <c r="E4924" s="78" t="str">
        <f>IF(C4924="","",IFERROR(VLOOKUP(C4924,parametros!$A$11:$E$15,5,0),""))</f>
        <v/>
      </c>
      <c r="F4924" s="79" t="str">
        <f t="shared" si="382"/>
        <v/>
      </c>
      <c r="G4924" s="395"/>
      <c r="H4924" s="91">
        <f t="shared" si="383"/>
        <v>0</v>
      </c>
      <c r="I4924" s="91" t="str">
        <f t="shared" si="384"/>
        <v/>
      </c>
      <c r="J4924" s="91" t="str">
        <f t="shared" si="385"/>
        <v/>
      </c>
      <c r="K4924" s="92" t="str">
        <f>IF(AND(A4924="",B4924="",D4924="",G4924=""),"",IF(AND(A4924&lt;&gt;"",COUNTIF($A$2:$A$5001,A4924)&gt;1),"NUMERO_PC duplicado",IF(B4924="","DATA_PC vazia",IF(NOT(ISNUMBER(B4924)),"DATA_PC invalida",IF(OR(C4924="",C4924="Fora dos ciclos"),"CICLO_PC nao identificado",IF(OR(D4924="",D4924=0),"VALOR_PC vazio ou zero",IF(AND(G4924&lt;&gt;"Sim",G4924&lt;&gt;"Nao",G4924&lt;&gt;""),"PC_PAGO_A_CONTRATADA invalido",IF(AND(C4924&lt;&gt;"C0",IFERROR(INDEX(parametros!$A$2:$A$6,MATCH(C4924,parametros!$B$2:$B$6,0)),"")="Sim",IFERROR(INDEX(parametros!$H$2:$H$6,MATCH(C4924,parametros!$B$2:$B$6,0)),"")=""),"INICIO_EFEITO ausente: PC "&amp;A4924&amp;" - "&amp;C4924,IF(L4924="","EFEITO_PC nao calculado: PC "&amp;A4924&amp;" - "&amp;C4924,"OK")))))))))</f>
        <v/>
      </c>
      <c r="L4924" s="92" t="str">
        <f>IF(AND(A4924="",B4924="",D4924="",G4924=""),"",IF(OR(B4924="",NOT(ISNUMBER(B4924)),C4924="",C4924="Fora dos ciclos"),"",IF(C4924="C0","Nao",IF(IFERROR(INDEX(parametros!$A$2:$A$6,MATCH(C4924,parametros!$B$2:$B$6,0)),"")&lt;&gt;"Sim","Nao",IF(IFERROR(INDEX(parametros!$H$2:$H$6,MATCH(C4924,parametros!$B$2:$B$6,0)),"")="","",IF(B4924&gt;=IFERROR(INDEX(parametros!$H$2:$H$6,MATCH(C4924,parametros!$B$2:$B$6,0)),""),"Sim","Nao"))))))</f>
        <v/>
      </c>
      <c r="T4924" s="156"/>
      <c r="U4924" s="214" t="str">
        <f t="shared" si="386"/>
        <v/>
      </c>
      <c r="V4924" s="212" t="s">
        <v>50</v>
      </c>
      <c r="W4924" s="100" t="s">
        <v>168</v>
      </c>
      <c r="X4924" s="100" t="s">
        <v>169</v>
      </c>
      <c r="Y4924" s="101" t="s">
        <v>170</v>
      </c>
      <c r="Z4924" s="101" t="s">
        <v>171</v>
      </c>
      <c r="AA4924" s="101" t="s">
        <v>50</v>
      </c>
      <c r="AB4924" s="101" t="s">
        <v>172</v>
      </c>
      <c r="AC4924" s="102" t="s">
        <v>173</v>
      </c>
    </row>
    <row r="4925" spans="1:29" ht="25.5" customHeight="1" x14ac:dyDescent="0.35">
      <c r="A4925" s="392"/>
      <c r="B4925" s="393"/>
      <c r="C4925" s="99" t="str">
        <f>IF(B4925="","",IF(NOT(ISNUMBER(B4925)),"DATA_PC invalida",IF(NOT(ISNUMBER(parametros!$C$2)),"Fora dos ciclos",IF(OR(B4925&lt;parametros!$C$2,(YEAR(B4925)-YEAR(parametros!$C$2))*12+MONTH(B4925)-MONTH(parametros!$C$2)&gt;59),"Fora dos ciclos","C"&amp;INT(((YEAR(B4925)-YEAR(parametros!$C$2))*12+MONTH(B4925)-MONTH(parametros!$C$2))/12)))))</f>
        <v/>
      </c>
      <c r="D4925" s="394"/>
      <c r="E4925" s="78" t="str">
        <f>IF(C4925="","",IFERROR(VLOOKUP(C4925,parametros!$A$11:$E$15,5,0),""))</f>
        <v/>
      </c>
      <c r="F4925" s="79" t="str">
        <f t="shared" si="382"/>
        <v/>
      </c>
      <c r="G4925" s="395"/>
      <c r="H4925" s="91">
        <f t="shared" si="383"/>
        <v>0</v>
      </c>
      <c r="I4925" s="91" t="str">
        <f t="shared" si="384"/>
        <v/>
      </c>
      <c r="J4925" s="91" t="str">
        <f t="shared" si="385"/>
        <v/>
      </c>
      <c r="K4925" s="92" t="str">
        <f>IF(AND(A4925="",B4925="",D4925="",G4925=""),"",IF(AND(A4925&lt;&gt;"",COUNTIF($A$2:$A$5001,A4925)&gt;1),"NUMERO_PC duplicado",IF(B4925="","DATA_PC vazia",IF(NOT(ISNUMBER(B4925)),"DATA_PC invalida",IF(OR(C4925="",C4925="Fora dos ciclos"),"CICLO_PC nao identificado",IF(OR(D4925="",D4925=0),"VALOR_PC vazio ou zero",IF(AND(G4925&lt;&gt;"Sim",G4925&lt;&gt;"Nao",G4925&lt;&gt;""),"PC_PAGO_A_CONTRATADA invalido",IF(AND(C4925&lt;&gt;"C0",IFERROR(INDEX(parametros!$A$2:$A$6,MATCH(C4925,parametros!$B$2:$B$6,0)),"")="Sim",IFERROR(INDEX(parametros!$H$2:$H$6,MATCH(C4925,parametros!$B$2:$B$6,0)),"")=""),"INICIO_EFEITO ausente: PC "&amp;A4925&amp;" - "&amp;C4925,IF(L4925="","EFEITO_PC nao calculado: PC "&amp;A4925&amp;" - "&amp;C4925,"OK")))))))))</f>
        <v/>
      </c>
      <c r="L4925" s="92" t="str">
        <f>IF(AND(A4925="",B4925="",D4925="",G4925=""),"",IF(OR(B4925="",NOT(ISNUMBER(B4925)),C4925="",C4925="Fora dos ciclos"),"",IF(C4925="C0","Nao",IF(IFERROR(INDEX(parametros!$A$2:$A$6,MATCH(C4925,parametros!$B$2:$B$6,0)),"")&lt;&gt;"Sim","Nao",IF(IFERROR(INDEX(parametros!$H$2:$H$6,MATCH(C4925,parametros!$B$2:$B$6,0)),"")="","",IF(B4925&gt;=IFERROR(INDEX(parametros!$H$2:$H$6,MATCH(C4925,parametros!$B$2:$B$6,0)),""),"Sim","Nao"))))))</f>
        <v/>
      </c>
      <c r="T4925" s="156"/>
      <c r="U4925" s="214" t="str">
        <f t="shared" si="386"/>
        <v/>
      </c>
      <c r="V4925" s="212" t="s">
        <v>50</v>
      </c>
      <c r="W4925" s="100" t="s">
        <v>168</v>
      </c>
      <c r="X4925" s="100" t="s">
        <v>169</v>
      </c>
      <c r="Y4925" s="101" t="s">
        <v>170</v>
      </c>
      <c r="Z4925" s="101" t="s">
        <v>171</v>
      </c>
      <c r="AA4925" s="101" t="s">
        <v>50</v>
      </c>
      <c r="AB4925" s="101" t="s">
        <v>172</v>
      </c>
      <c r="AC4925" s="102" t="s">
        <v>173</v>
      </c>
    </row>
    <row r="4926" spans="1:29" ht="25.5" customHeight="1" x14ac:dyDescent="0.35">
      <c r="A4926" s="392"/>
      <c r="B4926" s="393"/>
      <c r="C4926" s="99" t="str">
        <f>IF(B4926="","",IF(NOT(ISNUMBER(B4926)),"DATA_PC invalida",IF(NOT(ISNUMBER(parametros!$C$2)),"Fora dos ciclos",IF(OR(B4926&lt;parametros!$C$2,(YEAR(B4926)-YEAR(parametros!$C$2))*12+MONTH(B4926)-MONTH(parametros!$C$2)&gt;59),"Fora dos ciclos","C"&amp;INT(((YEAR(B4926)-YEAR(parametros!$C$2))*12+MONTH(B4926)-MONTH(parametros!$C$2))/12)))))</f>
        <v/>
      </c>
      <c r="D4926" s="394"/>
      <c r="E4926" s="78" t="str">
        <f>IF(C4926="","",IFERROR(VLOOKUP(C4926,parametros!$A$11:$E$15,5,0),""))</f>
        <v/>
      </c>
      <c r="F4926" s="79" t="str">
        <f t="shared" si="382"/>
        <v/>
      </c>
      <c r="G4926" s="395"/>
      <c r="H4926" s="91">
        <f t="shared" si="383"/>
        <v>0</v>
      </c>
      <c r="I4926" s="91" t="str">
        <f t="shared" si="384"/>
        <v/>
      </c>
      <c r="J4926" s="91" t="str">
        <f t="shared" si="385"/>
        <v/>
      </c>
      <c r="K4926" s="92" t="str">
        <f>IF(AND(A4926="",B4926="",D4926="",G4926=""),"",IF(AND(A4926&lt;&gt;"",COUNTIF($A$2:$A$5001,A4926)&gt;1),"NUMERO_PC duplicado",IF(B4926="","DATA_PC vazia",IF(NOT(ISNUMBER(B4926)),"DATA_PC invalida",IF(OR(C4926="",C4926="Fora dos ciclos"),"CICLO_PC nao identificado",IF(OR(D4926="",D4926=0),"VALOR_PC vazio ou zero",IF(AND(G4926&lt;&gt;"Sim",G4926&lt;&gt;"Nao",G4926&lt;&gt;""),"PC_PAGO_A_CONTRATADA invalido",IF(AND(C4926&lt;&gt;"C0",IFERROR(INDEX(parametros!$A$2:$A$6,MATCH(C4926,parametros!$B$2:$B$6,0)),"")="Sim",IFERROR(INDEX(parametros!$H$2:$H$6,MATCH(C4926,parametros!$B$2:$B$6,0)),"")=""),"INICIO_EFEITO ausente: PC "&amp;A4926&amp;" - "&amp;C4926,IF(L4926="","EFEITO_PC nao calculado: PC "&amp;A4926&amp;" - "&amp;C4926,"OK")))))))))</f>
        <v/>
      </c>
      <c r="L4926" s="92" t="str">
        <f>IF(AND(A4926="",B4926="",D4926="",G4926=""),"",IF(OR(B4926="",NOT(ISNUMBER(B4926)),C4926="",C4926="Fora dos ciclos"),"",IF(C4926="C0","Nao",IF(IFERROR(INDEX(parametros!$A$2:$A$6,MATCH(C4926,parametros!$B$2:$B$6,0)),"")&lt;&gt;"Sim","Nao",IF(IFERROR(INDEX(parametros!$H$2:$H$6,MATCH(C4926,parametros!$B$2:$B$6,0)),"")="","",IF(B4926&gt;=IFERROR(INDEX(parametros!$H$2:$H$6,MATCH(C4926,parametros!$B$2:$B$6,0)),""),"Sim","Nao"))))))</f>
        <v/>
      </c>
      <c r="T4926" s="156"/>
      <c r="U4926" s="214" t="str">
        <f t="shared" si="386"/>
        <v/>
      </c>
      <c r="V4926" s="212" t="s">
        <v>50</v>
      </c>
      <c r="W4926" s="100" t="s">
        <v>168</v>
      </c>
      <c r="X4926" s="100" t="s">
        <v>169</v>
      </c>
      <c r="Y4926" s="101" t="s">
        <v>170</v>
      </c>
      <c r="Z4926" s="101" t="s">
        <v>171</v>
      </c>
      <c r="AA4926" s="101" t="s">
        <v>50</v>
      </c>
      <c r="AB4926" s="101" t="s">
        <v>172</v>
      </c>
      <c r="AC4926" s="102" t="s">
        <v>173</v>
      </c>
    </row>
    <row r="4927" spans="1:29" ht="25.5" customHeight="1" x14ac:dyDescent="0.35">
      <c r="A4927" s="392"/>
      <c r="B4927" s="393"/>
      <c r="C4927" s="99" t="str">
        <f>IF(B4927="","",IF(NOT(ISNUMBER(B4927)),"DATA_PC invalida",IF(NOT(ISNUMBER(parametros!$C$2)),"Fora dos ciclos",IF(OR(B4927&lt;parametros!$C$2,(YEAR(B4927)-YEAR(parametros!$C$2))*12+MONTH(B4927)-MONTH(parametros!$C$2)&gt;59),"Fora dos ciclos","C"&amp;INT(((YEAR(B4927)-YEAR(parametros!$C$2))*12+MONTH(B4927)-MONTH(parametros!$C$2))/12)))))</f>
        <v/>
      </c>
      <c r="D4927" s="394"/>
      <c r="E4927" s="78" t="str">
        <f>IF(C4927="","",IFERROR(VLOOKUP(C4927,parametros!$A$11:$E$15,5,0),""))</f>
        <v/>
      </c>
      <c r="F4927" s="79" t="str">
        <f t="shared" si="382"/>
        <v/>
      </c>
      <c r="G4927" s="395"/>
      <c r="H4927" s="91">
        <f t="shared" si="383"/>
        <v>0</v>
      </c>
      <c r="I4927" s="91" t="str">
        <f t="shared" si="384"/>
        <v/>
      </c>
      <c r="J4927" s="91" t="str">
        <f t="shared" si="385"/>
        <v/>
      </c>
      <c r="K4927" s="92" t="str">
        <f>IF(AND(A4927="",B4927="",D4927="",G4927=""),"",IF(AND(A4927&lt;&gt;"",COUNTIF($A$2:$A$5001,A4927)&gt;1),"NUMERO_PC duplicado",IF(B4927="","DATA_PC vazia",IF(NOT(ISNUMBER(B4927)),"DATA_PC invalida",IF(OR(C4927="",C4927="Fora dos ciclos"),"CICLO_PC nao identificado",IF(OR(D4927="",D4927=0),"VALOR_PC vazio ou zero",IF(AND(G4927&lt;&gt;"Sim",G4927&lt;&gt;"Nao",G4927&lt;&gt;""),"PC_PAGO_A_CONTRATADA invalido",IF(AND(C4927&lt;&gt;"C0",IFERROR(INDEX(parametros!$A$2:$A$6,MATCH(C4927,parametros!$B$2:$B$6,0)),"")="Sim",IFERROR(INDEX(parametros!$H$2:$H$6,MATCH(C4927,parametros!$B$2:$B$6,0)),"")=""),"INICIO_EFEITO ausente: PC "&amp;A4927&amp;" - "&amp;C4927,IF(L4927="","EFEITO_PC nao calculado: PC "&amp;A4927&amp;" - "&amp;C4927,"OK")))))))))</f>
        <v/>
      </c>
      <c r="L4927" s="92" t="str">
        <f>IF(AND(A4927="",B4927="",D4927="",G4927=""),"",IF(OR(B4927="",NOT(ISNUMBER(B4927)),C4927="",C4927="Fora dos ciclos"),"",IF(C4927="C0","Nao",IF(IFERROR(INDEX(parametros!$A$2:$A$6,MATCH(C4927,parametros!$B$2:$B$6,0)),"")&lt;&gt;"Sim","Nao",IF(IFERROR(INDEX(parametros!$H$2:$H$6,MATCH(C4927,parametros!$B$2:$B$6,0)),"")="","",IF(B4927&gt;=IFERROR(INDEX(parametros!$H$2:$H$6,MATCH(C4927,parametros!$B$2:$B$6,0)),""),"Sim","Nao"))))))</f>
        <v/>
      </c>
      <c r="T4927" s="156"/>
      <c r="U4927" s="214" t="str">
        <f t="shared" si="386"/>
        <v/>
      </c>
      <c r="V4927" s="212" t="s">
        <v>50</v>
      </c>
      <c r="W4927" s="100" t="s">
        <v>168</v>
      </c>
      <c r="X4927" s="100" t="s">
        <v>169</v>
      </c>
      <c r="Y4927" s="101" t="s">
        <v>170</v>
      </c>
      <c r="Z4927" s="101" t="s">
        <v>171</v>
      </c>
      <c r="AA4927" s="101" t="s">
        <v>50</v>
      </c>
      <c r="AB4927" s="101" t="s">
        <v>172</v>
      </c>
      <c r="AC4927" s="102" t="s">
        <v>173</v>
      </c>
    </row>
    <row r="4928" spans="1:29" ht="25.5" customHeight="1" x14ac:dyDescent="0.35">
      <c r="A4928" s="392"/>
      <c r="B4928" s="393"/>
      <c r="C4928" s="99" t="str">
        <f>IF(B4928="","",IF(NOT(ISNUMBER(B4928)),"DATA_PC invalida",IF(NOT(ISNUMBER(parametros!$C$2)),"Fora dos ciclos",IF(OR(B4928&lt;parametros!$C$2,(YEAR(B4928)-YEAR(parametros!$C$2))*12+MONTH(B4928)-MONTH(parametros!$C$2)&gt;59),"Fora dos ciclos","C"&amp;INT(((YEAR(B4928)-YEAR(parametros!$C$2))*12+MONTH(B4928)-MONTH(parametros!$C$2))/12)))))</f>
        <v/>
      </c>
      <c r="D4928" s="394"/>
      <c r="E4928" s="78" t="str">
        <f>IF(C4928="","",IFERROR(VLOOKUP(C4928,parametros!$A$11:$E$15,5,0),""))</f>
        <v/>
      </c>
      <c r="F4928" s="79" t="str">
        <f t="shared" si="382"/>
        <v/>
      </c>
      <c r="G4928" s="395"/>
      <c r="H4928" s="91">
        <f t="shared" si="383"/>
        <v>0</v>
      </c>
      <c r="I4928" s="91" t="str">
        <f t="shared" si="384"/>
        <v/>
      </c>
      <c r="J4928" s="91" t="str">
        <f t="shared" si="385"/>
        <v/>
      </c>
      <c r="K4928" s="92" t="str">
        <f>IF(AND(A4928="",B4928="",D4928="",G4928=""),"",IF(AND(A4928&lt;&gt;"",COUNTIF($A$2:$A$5001,A4928)&gt;1),"NUMERO_PC duplicado",IF(B4928="","DATA_PC vazia",IF(NOT(ISNUMBER(B4928)),"DATA_PC invalida",IF(OR(C4928="",C4928="Fora dos ciclos"),"CICLO_PC nao identificado",IF(OR(D4928="",D4928=0),"VALOR_PC vazio ou zero",IF(AND(G4928&lt;&gt;"Sim",G4928&lt;&gt;"Nao",G4928&lt;&gt;""),"PC_PAGO_A_CONTRATADA invalido",IF(AND(C4928&lt;&gt;"C0",IFERROR(INDEX(parametros!$A$2:$A$6,MATCH(C4928,parametros!$B$2:$B$6,0)),"")="Sim",IFERROR(INDEX(parametros!$H$2:$H$6,MATCH(C4928,parametros!$B$2:$B$6,0)),"")=""),"INICIO_EFEITO ausente: PC "&amp;A4928&amp;" - "&amp;C4928,IF(L4928="","EFEITO_PC nao calculado: PC "&amp;A4928&amp;" - "&amp;C4928,"OK")))))))))</f>
        <v/>
      </c>
      <c r="L4928" s="92" t="str">
        <f>IF(AND(A4928="",B4928="",D4928="",G4928=""),"",IF(OR(B4928="",NOT(ISNUMBER(B4928)),C4928="",C4928="Fora dos ciclos"),"",IF(C4928="C0","Nao",IF(IFERROR(INDEX(parametros!$A$2:$A$6,MATCH(C4928,parametros!$B$2:$B$6,0)),"")&lt;&gt;"Sim","Nao",IF(IFERROR(INDEX(parametros!$H$2:$H$6,MATCH(C4928,parametros!$B$2:$B$6,0)),"")="","",IF(B4928&gt;=IFERROR(INDEX(parametros!$H$2:$H$6,MATCH(C4928,parametros!$B$2:$B$6,0)),""),"Sim","Nao"))))))</f>
        <v/>
      </c>
      <c r="T4928" s="156"/>
      <c r="U4928" s="214" t="str">
        <f t="shared" si="386"/>
        <v/>
      </c>
      <c r="V4928" s="212" t="s">
        <v>50</v>
      </c>
      <c r="W4928" s="100" t="s">
        <v>168</v>
      </c>
      <c r="X4928" s="100" t="s">
        <v>169</v>
      </c>
      <c r="Y4928" s="101" t="s">
        <v>170</v>
      </c>
      <c r="Z4928" s="101" t="s">
        <v>171</v>
      </c>
      <c r="AA4928" s="101" t="s">
        <v>50</v>
      </c>
      <c r="AB4928" s="101" t="s">
        <v>172</v>
      </c>
      <c r="AC4928" s="102" t="s">
        <v>173</v>
      </c>
    </row>
    <row r="4929" spans="1:29" ht="25.5" customHeight="1" x14ac:dyDescent="0.35">
      <c r="A4929" s="392"/>
      <c r="B4929" s="393"/>
      <c r="C4929" s="99" t="str">
        <f>IF(B4929="","",IF(NOT(ISNUMBER(B4929)),"DATA_PC invalida",IF(NOT(ISNUMBER(parametros!$C$2)),"Fora dos ciclos",IF(OR(B4929&lt;parametros!$C$2,(YEAR(B4929)-YEAR(parametros!$C$2))*12+MONTH(B4929)-MONTH(parametros!$C$2)&gt;59),"Fora dos ciclos","C"&amp;INT(((YEAR(B4929)-YEAR(parametros!$C$2))*12+MONTH(B4929)-MONTH(parametros!$C$2))/12)))))</f>
        <v/>
      </c>
      <c r="D4929" s="394"/>
      <c r="E4929" s="78" t="str">
        <f>IF(C4929="","",IFERROR(VLOOKUP(C4929,parametros!$A$11:$E$15,5,0),""))</f>
        <v/>
      </c>
      <c r="F4929" s="79" t="str">
        <f t="shared" si="382"/>
        <v/>
      </c>
      <c r="G4929" s="395"/>
      <c r="H4929" s="91">
        <f t="shared" si="383"/>
        <v>0</v>
      </c>
      <c r="I4929" s="91" t="str">
        <f t="shared" si="384"/>
        <v/>
      </c>
      <c r="J4929" s="91" t="str">
        <f t="shared" si="385"/>
        <v/>
      </c>
      <c r="K4929" s="92" t="str">
        <f>IF(AND(A4929="",B4929="",D4929="",G4929=""),"",IF(AND(A4929&lt;&gt;"",COUNTIF($A$2:$A$5001,A4929)&gt;1),"NUMERO_PC duplicado",IF(B4929="","DATA_PC vazia",IF(NOT(ISNUMBER(B4929)),"DATA_PC invalida",IF(OR(C4929="",C4929="Fora dos ciclos"),"CICLO_PC nao identificado",IF(OR(D4929="",D4929=0),"VALOR_PC vazio ou zero",IF(AND(G4929&lt;&gt;"Sim",G4929&lt;&gt;"Nao",G4929&lt;&gt;""),"PC_PAGO_A_CONTRATADA invalido",IF(AND(C4929&lt;&gt;"C0",IFERROR(INDEX(parametros!$A$2:$A$6,MATCH(C4929,parametros!$B$2:$B$6,0)),"")="Sim",IFERROR(INDEX(parametros!$H$2:$H$6,MATCH(C4929,parametros!$B$2:$B$6,0)),"")=""),"INICIO_EFEITO ausente: PC "&amp;A4929&amp;" - "&amp;C4929,IF(L4929="","EFEITO_PC nao calculado: PC "&amp;A4929&amp;" - "&amp;C4929,"OK")))))))))</f>
        <v/>
      </c>
      <c r="L4929" s="92" t="str">
        <f>IF(AND(A4929="",B4929="",D4929="",G4929=""),"",IF(OR(B4929="",NOT(ISNUMBER(B4929)),C4929="",C4929="Fora dos ciclos"),"",IF(C4929="C0","Nao",IF(IFERROR(INDEX(parametros!$A$2:$A$6,MATCH(C4929,parametros!$B$2:$B$6,0)),"")&lt;&gt;"Sim","Nao",IF(IFERROR(INDEX(parametros!$H$2:$H$6,MATCH(C4929,parametros!$B$2:$B$6,0)),"")="","",IF(B4929&gt;=IFERROR(INDEX(parametros!$H$2:$H$6,MATCH(C4929,parametros!$B$2:$B$6,0)),""),"Sim","Nao"))))))</f>
        <v/>
      </c>
      <c r="T4929" s="156"/>
      <c r="U4929" s="214" t="str">
        <f t="shared" si="386"/>
        <v/>
      </c>
      <c r="V4929" s="212" t="s">
        <v>50</v>
      </c>
      <c r="W4929" s="100" t="s">
        <v>168</v>
      </c>
      <c r="X4929" s="100" t="s">
        <v>169</v>
      </c>
      <c r="Y4929" s="101" t="s">
        <v>170</v>
      </c>
      <c r="Z4929" s="101" t="s">
        <v>171</v>
      </c>
      <c r="AA4929" s="101" t="s">
        <v>50</v>
      </c>
      <c r="AB4929" s="101" t="s">
        <v>172</v>
      </c>
      <c r="AC4929" s="102" t="s">
        <v>173</v>
      </c>
    </row>
    <row r="4930" spans="1:29" ht="25.5" customHeight="1" x14ac:dyDescent="0.35">
      <c r="A4930" s="392"/>
      <c r="B4930" s="393"/>
      <c r="C4930" s="99" t="str">
        <f>IF(B4930="","",IF(NOT(ISNUMBER(B4930)),"DATA_PC invalida",IF(NOT(ISNUMBER(parametros!$C$2)),"Fora dos ciclos",IF(OR(B4930&lt;parametros!$C$2,(YEAR(B4930)-YEAR(parametros!$C$2))*12+MONTH(B4930)-MONTH(parametros!$C$2)&gt;59),"Fora dos ciclos","C"&amp;INT(((YEAR(B4930)-YEAR(parametros!$C$2))*12+MONTH(B4930)-MONTH(parametros!$C$2))/12)))))</f>
        <v/>
      </c>
      <c r="D4930" s="394"/>
      <c r="E4930" s="78" t="str">
        <f>IF(C4930="","",IFERROR(VLOOKUP(C4930,parametros!$A$11:$E$15,5,0),""))</f>
        <v/>
      </c>
      <c r="F4930" s="79" t="str">
        <f t="shared" ref="F4930:F4993" si="387">IF(OR(D4930="",E4930=""),"",ROUND(D4930*E4930,2))</f>
        <v/>
      </c>
      <c r="G4930" s="395"/>
      <c r="H4930" s="91">
        <f t="shared" ref="H4930:H4993" si="388">IF(G4930="Sim",IF(OR(F4930="",D4930="",L4930=""),"",IF(L4930="Sim",ROUND(F4930-D4930,2),0)),0)</f>
        <v>0</v>
      </c>
      <c r="I4930" s="91" t="str">
        <f t="shared" ref="I4930:I4993" si="389">IF(G4930="Sim",0,IF(OR(F4930="",L4930=""),"",F4930))</f>
        <v/>
      </c>
      <c r="J4930" s="91" t="str">
        <f t="shared" ref="J4930:J4993" si="390">IF(G4930="Sim",0,IF(OR(F4930="",D4930="",L4930=""),"",IF(L4930="Sim",ROUND(F4930-D4930,2),0)))</f>
        <v/>
      </c>
      <c r="K4930" s="92" t="str">
        <f>IF(AND(A4930="",B4930="",D4930="",G4930=""),"",IF(AND(A4930&lt;&gt;"",COUNTIF($A$2:$A$5001,A4930)&gt;1),"NUMERO_PC duplicado",IF(B4930="","DATA_PC vazia",IF(NOT(ISNUMBER(B4930)),"DATA_PC invalida",IF(OR(C4930="",C4930="Fora dos ciclos"),"CICLO_PC nao identificado",IF(OR(D4930="",D4930=0),"VALOR_PC vazio ou zero",IF(AND(G4930&lt;&gt;"Sim",G4930&lt;&gt;"Nao",G4930&lt;&gt;""),"PC_PAGO_A_CONTRATADA invalido",IF(AND(C4930&lt;&gt;"C0",IFERROR(INDEX(parametros!$A$2:$A$6,MATCH(C4930,parametros!$B$2:$B$6,0)),"")="Sim",IFERROR(INDEX(parametros!$H$2:$H$6,MATCH(C4930,parametros!$B$2:$B$6,0)),"")=""),"INICIO_EFEITO ausente: PC "&amp;A4930&amp;" - "&amp;C4930,IF(L4930="","EFEITO_PC nao calculado: PC "&amp;A4930&amp;" - "&amp;C4930,"OK")))))))))</f>
        <v/>
      </c>
      <c r="L4930" s="92" t="str">
        <f>IF(AND(A4930="",B4930="",D4930="",G4930=""),"",IF(OR(B4930="",NOT(ISNUMBER(B4930)),C4930="",C4930="Fora dos ciclos"),"",IF(C4930="C0","Nao",IF(IFERROR(INDEX(parametros!$A$2:$A$6,MATCH(C4930,parametros!$B$2:$B$6,0)),"")&lt;&gt;"Sim","Nao",IF(IFERROR(INDEX(parametros!$H$2:$H$6,MATCH(C4930,parametros!$B$2:$B$6,0)),"")="","",IF(B4930&gt;=IFERROR(INDEX(parametros!$H$2:$H$6,MATCH(C4930,parametros!$B$2:$B$6,0)),""),"Sim","Nao"))))))</f>
        <v/>
      </c>
      <c r="T4930" s="156"/>
      <c r="U4930" s="214" t="str">
        <f t="shared" ref="U4930:U4993" si="391">IF(OR($D4930="",$H4930=""),"",ROUND($D4930+$H4930,2))</f>
        <v/>
      </c>
      <c r="V4930" s="212" t="s">
        <v>50</v>
      </c>
      <c r="W4930" s="100" t="s">
        <v>168</v>
      </c>
      <c r="X4930" s="100" t="s">
        <v>169</v>
      </c>
      <c r="Y4930" s="101" t="s">
        <v>170</v>
      </c>
      <c r="Z4930" s="101" t="s">
        <v>171</v>
      </c>
      <c r="AA4930" s="101" t="s">
        <v>50</v>
      </c>
      <c r="AB4930" s="101" t="s">
        <v>172</v>
      </c>
      <c r="AC4930" s="102" t="s">
        <v>173</v>
      </c>
    </row>
    <row r="4931" spans="1:29" ht="25.5" customHeight="1" x14ac:dyDescent="0.35">
      <c r="A4931" s="392"/>
      <c r="B4931" s="393"/>
      <c r="C4931" s="99" t="str">
        <f>IF(B4931="","",IF(NOT(ISNUMBER(B4931)),"DATA_PC invalida",IF(NOT(ISNUMBER(parametros!$C$2)),"Fora dos ciclos",IF(OR(B4931&lt;parametros!$C$2,(YEAR(B4931)-YEAR(parametros!$C$2))*12+MONTH(B4931)-MONTH(parametros!$C$2)&gt;59),"Fora dos ciclos","C"&amp;INT(((YEAR(B4931)-YEAR(parametros!$C$2))*12+MONTH(B4931)-MONTH(parametros!$C$2))/12)))))</f>
        <v/>
      </c>
      <c r="D4931" s="394"/>
      <c r="E4931" s="78" t="str">
        <f>IF(C4931="","",IFERROR(VLOOKUP(C4931,parametros!$A$11:$E$15,5,0),""))</f>
        <v/>
      </c>
      <c r="F4931" s="79" t="str">
        <f t="shared" si="387"/>
        <v/>
      </c>
      <c r="G4931" s="395"/>
      <c r="H4931" s="91">
        <f t="shared" si="388"/>
        <v>0</v>
      </c>
      <c r="I4931" s="91" t="str">
        <f t="shared" si="389"/>
        <v/>
      </c>
      <c r="J4931" s="91" t="str">
        <f t="shared" si="390"/>
        <v/>
      </c>
      <c r="K4931" s="92" t="str">
        <f>IF(AND(A4931="",B4931="",D4931="",G4931=""),"",IF(AND(A4931&lt;&gt;"",COUNTIF($A$2:$A$5001,A4931)&gt;1),"NUMERO_PC duplicado",IF(B4931="","DATA_PC vazia",IF(NOT(ISNUMBER(B4931)),"DATA_PC invalida",IF(OR(C4931="",C4931="Fora dos ciclos"),"CICLO_PC nao identificado",IF(OR(D4931="",D4931=0),"VALOR_PC vazio ou zero",IF(AND(G4931&lt;&gt;"Sim",G4931&lt;&gt;"Nao",G4931&lt;&gt;""),"PC_PAGO_A_CONTRATADA invalido",IF(AND(C4931&lt;&gt;"C0",IFERROR(INDEX(parametros!$A$2:$A$6,MATCH(C4931,parametros!$B$2:$B$6,0)),"")="Sim",IFERROR(INDEX(parametros!$H$2:$H$6,MATCH(C4931,parametros!$B$2:$B$6,0)),"")=""),"INICIO_EFEITO ausente: PC "&amp;A4931&amp;" - "&amp;C4931,IF(L4931="","EFEITO_PC nao calculado: PC "&amp;A4931&amp;" - "&amp;C4931,"OK")))))))))</f>
        <v/>
      </c>
      <c r="L4931" s="92" t="str">
        <f>IF(AND(A4931="",B4931="",D4931="",G4931=""),"",IF(OR(B4931="",NOT(ISNUMBER(B4931)),C4931="",C4931="Fora dos ciclos"),"",IF(C4931="C0","Nao",IF(IFERROR(INDEX(parametros!$A$2:$A$6,MATCH(C4931,parametros!$B$2:$B$6,0)),"")&lt;&gt;"Sim","Nao",IF(IFERROR(INDEX(parametros!$H$2:$H$6,MATCH(C4931,parametros!$B$2:$B$6,0)),"")="","",IF(B4931&gt;=IFERROR(INDEX(parametros!$H$2:$H$6,MATCH(C4931,parametros!$B$2:$B$6,0)),""),"Sim","Nao"))))))</f>
        <v/>
      </c>
      <c r="T4931" s="156"/>
      <c r="U4931" s="214" t="str">
        <f t="shared" si="391"/>
        <v/>
      </c>
      <c r="V4931" s="212" t="s">
        <v>50</v>
      </c>
      <c r="W4931" s="100" t="s">
        <v>168</v>
      </c>
      <c r="X4931" s="100" t="s">
        <v>169</v>
      </c>
      <c r="Y4931" s="101" t="s">
        <v>170</v>
      </c>
      <c r="Z4931" s="101" t="s">
        <v>171</v>
      </c>
      <c r="AA4931" s="101" t="s">
        <v>50</v>
      </c>
      <c r="AB4931" s="101" t="s">
        <v>172</v>
      </c>
      <c r="AC4931" s="102" t="s">
        <v>173</v>
      </c>
    </row>
    <row r="4932" spans="1:29" ht="25.5" customHeight="1" x14ac:dyDescent="0.35">
      <c r="A4932" s="392"/>
      <c r="B4932" s="393"/>
      <c r="C4932" s="99" t="str">
        <f>IF(B4932="","",IF(NOT(ISNUMBER(B4932)),"DATA_PC invalida",IF(NOT(ISNUMBER(parametros!$C$2)),"Fora dos ciclos",IF(OR(B4932&lt;parametros!$C$2,(YEAR(B4932)-YEAR(parametros!$C$2))*12+MONTH(B4932)-MONTH(parametros!$C$2)&gt;59),"Fora dos ciclos","C"&amp;INT(((YEAR(B4932)-YEAR(parametros!$C$2))*12+MONTH(B4932)-MONTH(parametros!$C$2))/12)))))</f>
        <v/>
      </c>
      <c r="D4932" s="394"/>
      <c r="E4932" s="78" t="str">
        <f>IF(C4932="","",IFERROR(VLOOKUP(C4932,parametros!$A$11:$E$15,5,0),""))</f>
        <v/>
      </c>
      <c r="F4932" s="79" t="str">
        <f t="shared" si="387"/>
        <v/>
      </c>
      <c r="G4932" s="395"/>
      <c r="H4932" s="91">
        <f t="shared" si="388"/>
        <v>0</v>
      </c>
      <c r="I4932" s="91" t="str">
        <f t="shared" si="389"/>
        <v/>
      </c>
      <c r="J4932" s="91" t="str">
        <f t="shared" si="390"/>
        <v/>
      </c>
      <c r="K4932" s="92" t="str">
        <f>IF(AND(A4932="",B4932="",D4932="",G4932=""),"",IF(AND(A4932&lt;&gt;"",COUNTIF($A$2:$A$5001,A4932)&gt;1),"NUMERO_PC duplicado",IF(B4932="","DATA_PC vazia",IF(NOT(ISNUMBER(B4932)),"DATA_PC invalida",IF(OR(C4932="",C4932="Fora dos ciclos"),"CICLO_PC nao identificado",IF(OR(D4932="",D4932=0),"VALOR_PC vazio ou zero",IF(AND(G4932&lt;&gt;"Sim",G4932&lt;&gt;"Nao",G4932&lt;&gt;""),"PC_PAGO_A_CONTRATADA invalido",IF(AND(C4932&lt;&gt;"C0",IFERROR(INDEX(parametros!$A$2:$A$6,MATCH(C4932,parametros!$B$2:$B$6,0)),"")="Sim",IFERROR(INDEX(parametros!$H$2:$H$6,MATCH(C4932,parametros!$B$2:$B$6,0)),"")=""),"INICIO_EFEITO ausente: PC "&amp;A4932&amp;" - "&amp;C4932,IF(L4932="","EFEITO_PC nao calculado: PC "&amp;A4932&amp;" - "&amp;C4932,"OK")))))))))</f>
        <v/>
      </c>
      <c r="L4932" s="92" t="str">
        <f>IF(AND(A4932="",B4932="",D4932="",G4932=""),"",IF(OR(B4932="",NOT(ISNUMBER(B4932)),C4932="",C4932="Fora dos ciclos"),"",IF(C4932="C0","Nao",IF(IFERROR(INDEX(parametros!$A$2:$A$6,MATCH(C4932,parametros!$B$2:$B$6,0)),"")&lt;&gt;"Sim","Nao",IF(IFERROR(INDEX(parametros!$H$2:$H$6,MATCH(C4932,parametros!$B$2:$B$6,0)),"")="","",IF(B4932&gt;=IFERROR(INDEX(parametros!$H$2:$H$6,MATCH(C4932,parametros!$B$2:$B$6,0)),""),"Sim","Nao"))))))</f>
        <v/>
      </c>
      <c r="T4932" s="156"/>
      <c r="U4932" s="214" t="str">
        <f t="shared" si="391"/>
        <v/>
      </c>
      <c r="V4932" s="212" t="s">
        <v>50</v>
      </c>
      <c r="W4932" s="100" t="s">
        <v>168</v>
      </c>
      <c r="X4932" s="100" t="s">
        <v>169</v>
      </c>
      <c r="Y4932" s="101" t="s">
        <v>170</v>
      </c>
      <c r="Z4932" s="101" t="s">
        <v>171</v>
      </c>
      <c r="AA4932" s="101" t="s">
        <v>50</v>
      </c>
      <c r="AB4932" s="101" t="s">
        <v>172</v>
      </c>
      <c r="AC4932" s="102" t="s">
        <v>173</v>
      </c>
    </row>
    <row r="4933" spans="1:29" ht="25.5" customHeight="1" x14ac:dyDescent="0.35">
      <c r="A4933" s="392"/>
      <c r="B4933" s="393"/>
      <c r="C4933" s="99" t="str">
        <f>IF(B4933="","",IF(NOT(ISNUMBER(B4933)),"DATA_PC invalida",IF(NOT(ISNUMBER(parametros!$C$2)),"Fora dos ciclos",IF(OR(B4933&lt;parametros!$C$2,(YEAR(B4933)-YEAR(parametros!$C$2))*12+MONTH(B4933)-MONTH(parametros!$C$2)&gt;59),"Fora dos ciclos","C"&amp;INT(((YEAR(B4933)-YEAR(parametros!$C$2))*12+MONTH(B4933)-MONTH(parametros!$C$2))/12)))))</f>
        <v/>
      </c>
      <c r="D4933" s="394"/>
      <c r="E4933" s="78" t="str">
        <f>IF(C4933="","",IFERROR(VLOOKUP(C4933,parametros!$A$11:$E$15,5,0),""))</f>
        <v/>
      </c>
      <c r="F4933" s="79" t="str">
        <f t="shared" si="387"/>
        <v/>
      </c>
      <c r="G4933" s="395"/>
      <c r="H4933" s="91">
        <f t="shared" si="388"/>
        <v>0</v>
      </c>
      <c r="I4933" s="91" t="str">
        <f t="shared" si="389"/>
        <v/>
      </c>
      <c r="J4933" s="91" t="str">
        <f t="shared" si="390"/>
        <v/>
      </c>
      <c r="K4933" s="92" t="str">
        <f>IF(AND(A4933="",B4933="",D4933="",G4933=""),"",IF(AND(A4933&lt;&gt;"",COUNTIF($A$2:$A$5001,A4933)&gt;1),"NUMERO_PC duplicado",IF(B4933="","DATA_PC vazia",IF(NOT(ISNUMBER(B4933)),"DATA_PC invalida",IF(OR(C4933="",C4933="Fora dos ciclos"),"CICLO_PC nao identificado",IF(OR(D4933="",D4933=0),"VALOR_PC vazio ou zero",IF(AND(G4933&lt;&gt;"Sim",G4933&lt;&gt;"Nao",G4933&lt;&gt;""),"PC_PAGO_A_CONTRATADA invalido",IF(AND(C4933&lt;&gt;"C0",IFERROR(INDEX(parametros!$A$2:$A$6,MATCH(C4933,parametros!$B$2:$B$6,0)),"")="Sim",IFERROR(INDEX(parametros!$H$2:$H$6,MATCH(C4933,parametros!$B$2:$B$6,0)),"")=""),"INICIO_EFEITO ausente: PC "&amp;A4933&amp;" - "&amp;C4933,IF(L4933="","EFEITO_PC nao calculado: PC "&amp;A4933&amp;" - "&amp;C4933,"OK")))))))))</f>
        <v/>
      </c>
      <c r="L4933" s="92" t="str">
        <f>IF(AND(A4933="",B4933="",D4933="",G4933=""),"",IF(OR(B4933="",NOT(ISNUMBER(B4933)),C4933="",C4933="Fora dos ciclos"),"",IF(C4933="C0","Nao",IF(IFERROR(INDEX(parametros!$A$2:$A$6,MATCH(C4933,parametros!$B$2:$B$6,0)),"")&lt;&gt;"Sim","Nao",IF(IFERROR(INDEX(parametros!$H$2:$H$6,MATCH(C4933,parametros!$B$2:$B$6,0)),"")="","",IF(B4933&gt;=IFERROR(INDEX(parametros!$H$2:$H$6,MATCH(C4933,parametros!$B$2:$B$6,0)),""),"Sim","Nao"))))))</f>
        <v/>
      </c>
      <c r="T4933" s="156"/>
      <c r="U4933" s="214" t="str">
        <f t="shared" si="391"/>
        <v/>
      </c>
      <c r="V4933" s="212" t="s">
        <v>50</v>
      </c>
      <c r="W4933" s="100" t="s">
        <v>168</v>
      </c>
      <c r="X4933" s="100" t="s">
        <v>169</v>
      </c>
      <c r="Y4933" s="101" t="s">
        <v>170</v>
      </c>
      <c r="Z4933" s="101" t="s">
        <v>171</v>
      </c>
      <c r="AA4933" s="101" t="s">
        <v>50</v>
      </c>
      <c r="AB4933" s="101" t="s">
        <v>172</v>
      </c>
      <c r="AC4933" s="102" t="s">
        <v>173</v>
      </c>
    </row>
    <row r="4934" spans="1:29" ht="25.5" customHeight="1" x14ac:dyDescent="0.35">
      <c r="A4934" s="392"/>
      <c r="B4934" s="393"/>
      <c r="C4934" s="99" t="str">
        <f>IF(B4934="","",IF(NOT(ISNUMBER(B4934)),"DATA_PC invalida",IF(NOT(ISNUMBER(parametros!$C$2)),"Fora dos ciclos",IF(OR(B4934&lt;parametros!$C$2,(YEAR(B4934)-YEAR(parametros!$C$2))*12+MONTH(B4934)-MONTH(parametros!$C$2)&gt;59),"Fora dos ciclos","C"&amp;INT(((YEAR(B4934)-YEAR(parametros!$C$2))*12+MONTH(B4934)-MONTH(parametros!$C$2))/12)))))</f>
        <v/>
      </c>
      <c r="D4934" s="394"/>
      <c r="E4934" s="78" t="str">
        <f>IF(C4934="","",IFERROR(VLOOKUP(C4934,parametros!$A$11:$E$15,5,0),""))</f>
        <v/>
      </c>
      <c r="F4934" s="79" t="str">
        <f t="shared" si="387"/>
        <v/>
      </c>
      <c r="G4934" s="395"/>
      <c r="H4934" s="91">
        <f t="shared" si="388"/>
        <v>0</v>
      </c>
      <c r="I4934" s="91" t="str">
        <f t="shared" si="389"/>
        <v/>
      </c>
      <c r="J4934" s="91" t="str">
        <f t="shared" si="390"/>
        <v/>
      </c>
      <c r="K4934" s="92" t="str">
        <f>IF(AND(A4934="",B4934="",D4934="",G4934=""),"",IF(AND(A4934&lt;&gt;"",COUNTIF($A$2:$A$5001,A4934)&gt;1),"NUMERO_PC duplicado",IF(B4934="","DATA_PC vazia",IF(NOT(ISNUMBER(B4934)),"DATA_PC invalida",IF(OR(C4934="",C4934="Fora dos ciclos"),"CICLO_PC nao identificado",IF(OR(D4934="",D4934=0),"VALOR_PC vazio ou zero",IF(AND(G4934&lt;&gt;"Sim",G4934&lt;&gt;"Nao",G4934&lt;&gt;""),"PC_PAGO_A_CONTRATADA invalido",IF(AND(C4934&lt;&gt;"C0",IFERROR(INDEX(parametros!$A$2:$A$6,MATCH(C4934,parametros!$B$2:$B$6,0)),"")="Sim",IFERROR(INDEX(parametros!$H$2:$H$6,MATCH(C4934,parametros!$B$2:$B$6,0)),"")=""),"INICIO_EFEITO ausente: PC "&amp;A4934&amp;" - "&amp;C4934,IF(L4934="","EFEITO_PC nao calculado: PC "&amp;A4934&amp;" - "&amp;C4934,"OK")))))))))</f>
        <v/>
      </c>
      <c r="L4934" s="92" t="str">
        <f>IF(AND(A4934="",B4934="",D4934="",G4934=""),"",IF(OR(B4934="",NOT(ISNUMBER(B4934)),C4934="",C4934="Fora dos ciclos"),"",IF(C4934="C0","Nao",IF(IFERROR(INDEX(parametros!$A$2:$A$6,MATCH(C4934,parametros!$B$2:$B$6,0)),"")&lt;&gt;"Sim","Nao",IF(IFERROR(INDEX(parametros!$H$2:$H$6,MATCH(C4934,parametros!$B$2:$B$6,0)),"")="","",IF(B4934&gt;=IFERROR(INDEX(parametros!$H$2:$H$6,MATCH(C4934,parametros!$B$2:$B$6,0)),""),"Sim","Nao"))))))</f>
        <v/>
      </c>
      <c r="T4934" s="156"/>
      <c r="U4934" s="214" t="str">
        <f t="shared" si="391"/>
        <v/>
      </c>
      <c r="V4934" s="212" t="s">
        <v>50</v>
      </c>
      <c r="W4934" s="100" t="s">
        <v>168</v>
      </c>
      <c r="X4934" s="100" t="s">
        <v>169</v>
      </c>
      <c r="Y4934" s="101" t="s">
        <v>170</v>
      </c>
      <c r="Z4934" s="101" t="s">
        <v>171</v>
      </c>
      <c r="AA4934" s="101" t="s">
        <v>50</v>
      </c>
      <c r="AB4934" s="101" t="s">
        <v>172</v>
      </c>
      <c r="AC4934" s="102" t="s">
        <v>173</v>
      </c>
    </row>
    <row r="4935" spans="1:29" ht="25.5" customHeight="1" x14ac:dyDescent="0.35">
      <c r="A4935" s="392"/>
      <c r="B4935" s="393"/>
      <c r="C4935" s="99" t="str">
        <f>IF(B4935="","",IF(NOT(ISNUMBER(B4935)),"DATA_PC invalida",IF(NOT(ISNUMBER(parametros!$C$2)),"Fora dos ciclos",IF(OR(B4935&lt;parametros!$C$2,(YEAR(B4935)-YEAR(parametros!$C$2))*12+MONTH(B4935)-MONTH(parametros!$C$2)&gt;59),"Fora dos ciclos","C"&amp;INT(((YEAR(B4935)-YEAR(parametros!$C$2))*12+MONTH(B4935)-MONTH(parametros!$C$2))/12)))))</f>
        <v/>
      </c>
      <c r="D4935" s="394"/>
      <c r="E4935" s="78" t="str">
        <f>IF(C4935="","",IFERROR(VLOOKUP(C4935,parametros!$A$11:$E$15,5,0),""))</f>
        <v/>
      </c>
      <c r="F4935" s="79" t="str">
        <f t="shared" si="387"/>
        <v/>
      </c>
      <c r="G4935" s="395"/>
      <c r="H4935" s="91">
        <f t="shared" si="388"/>
        <v>0</v>
      </c>
      <c r="I4935" s="91" t="str">
        <f t="shared" si="389"/>
        <v/>
      </c>
      <c r="J4935" s="91" t="str">
        <f t="shared" si="390"/>
        <v/>
      </c>
      <c r="K4935" s="92" t="str">
        <f>IF(AND(A4935="",B4935="",D4935="",G4935=""),"",IF(AND(A4935&lt;&gt;"",COUNTIF($A$2:$A$5001,A4935)&gt;1),"NUMERO_PC duplicado",IF(B4935="","DATA_PC vazia",IF(NOT(ISNUMBER(B4935)),"DATA_PC invalida",IF(OR(C4935="",C4935="Fora dos ciclos"),"CICLO_PC nao identificado",IF(OR(D4935="",D4935=0),"VALOR_PC vazio ou zero",IF(AND(G4935&lt;&gt;"Sim",G4935&lt;&gt;"Nao",G4935&lt;&gt;""),"PC_PAGO_A_CONTRATADA invalido",IF(AND(C4935&lt;&gt;"C0",IFERROR(INDEX(parametros!$A$2:$A$6,MATCH(C4935,parametros!$B$2:$B$6,0)),"")="Sim",IFERROR(INDEX(parametros!$H$2:$H$6,MATCH(C4935,parametros!$B$2:$B$6,0)),"")=""),"INICIO_EFEITO ausente: PC "&amp;A4935&amp;" - "&amp;C4935,IF(L4935="","EFEITO_PC nao calculado: PC "&amp;A4935&amp;" - "&amp;C4935,"OK")))))))))</f>
        <v/>
      </c>
      <c r="L4935" s="92" t="str">
        <f>IF(AND(A4935="",B4935="",D4935="",G4935=""),"",IF(OR(B4935="",NOT(ISNUMBER(B4935)),C4935="",C4935="Fora dos ciclos"),"",IF(C4935="C0","Nao",IF(IFERROR(INDEX(parametros!$A$2:$A$6,MATCH(C4935,parametros!$B$2:$B$6,0)),"")&lt;&gt;"Sim","Nao",IF(IFERROR(INDEX(parametros!$H$2:$H$6,MATCH(C4935,parametros!$B$2:$B$6,0)),"")="","",IF(B4935&gt;=IFERROR(INDEX(parametros!$H$2:$H$6,MATCH(C4935,parametros!$B$2:$B$6,0)),""),"Sim","Nao"))))))</f>
        <v/>
      </c>
      <c r="T4935" s="156"/>
      <c r="U4935" s="214" t="str">
        <f t="shared" si="391"/>
        <v/>
      </c>
      <c r="V4935" s="212" t="s">
        <v>50</v>
      </c>
      <c r="W4935" s="100" t="s">
        <v>168</v>
      </c>
      <c r="X4935" s="100" t="s">
        <v>169</v>
      </c>
      <c r="Y4935" s="101" t="s">
        <v>170</v>
      </c>
      <c r="Z4935" s="101" t="s">
        <v>171</v>
      </c>
      <c r="AA4935" s="101" t="s">
        <v>50</v>
      </c>
      <c r="AB4935" s="101" t="s">
        <v>172</v>
      </c>
      <c r="AC4935" s="102" t="s">
        <v>173</v>
      </c>
    </row>
    <row r="4936" spans="1:29" ht="25.5" customHeight="1" x14ac:dyDescent="0.35">
      <c r="A4936" s="392"/>
      <c r="B4936" s="393"/>
      <c r="C4936" s="99" t="str">
        <f>IF(B4936="","",IF(NOT(ISNUMBER(B4936)),"DATA_PC invalida",IF(NOT(ISNUMBER(parametros!$C$2)),"Fora dos ciclos",IF(OR(B4936&lt;parametros!$C$2,(YEAR(B4936)-YEAR(parametros!$C$2))*12+MONTH(B4936)-MONTH(parametros!$C$2)&gt;59),"Fora dos ciclos","C"&amp;INT(((YEAR(B4936)-YEAR(parametros!$C$2))*12+MONTH(B4936)-MONTH(parametros!$C$2))/12)))))</f>
        <v/>
      </c>
      <c r="D4936" s="394"/>
      <c r="E4936" s="78" t="str">
        <f>IF(C4936="","",IFERROR(VLOOKUP(C4936,parametros!$A$11:$E$15,5,0),""))</f>
        <v/>
      </c>
      <c r="F4936" s="79" t="str">
        <f t="shared" si="387"/>
        <v/>
      </c>
      <c r="G4936" s="395"/>
      <c r="H4936" s="91">
        <f t="shared" si="388"/>
        <v>0</v>
      </c>
      <c r="I4936" s="91" t="str">
        <f t="shared" si="389"/>
        <v/>
      </c>
      <c r="J4936" s="91" t="str">
        <f t="shared" si="390"/>
        <v/>
      </c>
      <c r="K4936" s="92" t="str">
        <f>IF(AND(A4936="",B4936="",D4936="",G4936=""),"",IF(AND(A4936&lt;&gt;"",COUNTIF($A$2:$A$5001,A4936)&gt;1),"NUMERO_PC duplicado",IF(B4936="","DATA_PC vazia",IF(NOT(ISNUMBER(B4936)),"DATA_PC invalida",IF(OR(C4936="",C4936="Fora dos ciclos"),"CICLO_PC nao identificado",IF(OR(D4936="",D4936=0),"VALOR_PC vazio ou zero",IF(AND(G4936&lt;&gt;"Sim",G4936&lt;&gt;"Nao",G4936&lt;&gt;""),"PC_PAGO_A_CONTRATADA invalido",IF(AND(C4936&lt;&gt;"C0",IFERROR(INDEX(parametros!$A$2:$A$6,MATCH(C4936,parametros!$B$2:$B$6,0)),"")="Sim",IFERROR(INDEX(parametros!$H$2:$H$6,MATCH(C4936,parametros!$B$2:$B$6,0)),"")=""),"INICIO_EFEITO ausente: PC "&amp;A4936&amp;" - "&amp;C4936,IF(L4936="","EFEITO_PC nao calculado: PC "&amp;A4936&amp;" - "&amp;C4936,"OK")))))))))</f>
        <v/>
      </c>
      <c r="L4936" s="92" t="str">
        <f>IF(AND(A4936="",B4936="",D4936="",G4936=""),"",IF(OR(B4936="",NOT(ISNUMBER(B4936)),C4936="",C4936="Fora dos ciclos"),"",IF(C4936="C0","Nao",IF(IFERROR(INDEX(parametros!$A$2:$A$6,MATCH(C4936,parametros!$B$2:$B$6,0)),"")&lt;&gt;"Sim","Nao",IF(IFERROR(INDEX(parametros!$H$2:$H$6,MATCH(C4936,parametros!$B$2:$B$6,0)),"")="","",IF(B4936&gt;=IFERROR(INDEX(parametros!$H$2:$H$6,MATCH(C4936,parametros!$B$2:$B$6,0)),""),"Sim","Nao"))))))</f>
        <v/>
      </c>
      <c r="T4936" s="156"/>
      <c r="U4936" s="214" t="str">
        <f t="shared" si="391"/>
        <v/>
      </c>
      <c r="V4936" s="212" t="s">
        <v>50</v>
      </c>
      <c r="W4936" s="100" t="s">
        <v>168</v>
      </c>
      <c r="X4936" s="100" t="s">
        <v>169</v>
      </c>
      <c r="Y4936" s="101" t="s">
        <v>170</v>
      </c>
      <c r="Z4936" s="101" t="s">
        <v>171</v>
      </c>
      <c r="AA4936" s="101" t="s">
        <v>50</v>
      </c>
      <c r="AB4936" s="101" t="s">
        <v>172</v>
      </c>
      <c r="AC4936" s="102" t="s">
        <v>173</v>
      </c>
    </row>
    <row r="4937" spans="1:29" ht="25.5" customHeight="1" x14ac:dyDescent="0.35">
      <c r="A4937" s="392"/>
      <c r="B4937" s="393"/>
      <c r="C4937" s="99" t="str">
        <f>IF(B4937="","",IF(NOT(ISNUMBER(B4937)),"DATA_PC invalida",IF(NOT(ISNUMBER(parametros!$C$2)),"Fora dos ciclos",IF(OR(B4937&lt;parametros!$C$2,(YEAR(B4937)-YEAR(parametros!$C$2))*12+MONTH(B4937)-MONTH(parametros!$C$2)&gt;59),"Fora dos ciclos","C"&amp;INT(((YEAR(B4937)-YEAR(parametros!$C$2))*12+MONTH(B4937)-MONTH(parametros!$C$2))/12)))))</f>
        <v/>
      </c>
      <c r="D4937" s="394"/>
      <c r="E4937" s="78" t="str">
        <f>IF(C4937="","",IFERROR(VLOOKUP(C4937,parametros!$A$11:$E$15,5,0),""))</f>
        <v/>
      </c>
      <c r="F4937" s="79" t="str">
        <f t="shared" si="387"/>
        <v/>
      </c>
      <c r="G4937" s="395"/>
      <c r="H4937" s="91">
        <f t="shared" si="388"/>
        <v>0</v>
      </c>
      <c r="I4937" s="91" t="str">
        <f t="shared" si="389"/>
        <v/>
      </c>
      <c r="J4937" s="91" t="str">
        <f t="shared" si="390"/>
        <v/>
      </c>
      <c r="K4937" s="92" t="str">
        <f>IF(AND(A4937="",B4937="",D4937="",G4937=""),"",IF(AND(A4937&lt;&gt;"",COUNTIF($A$2:$A$5001,A4937)&gt;1),"NUMERO_PC duplicado",IF(B4937="","DATA_PC vazia",IF(NOT(ISNUMBER(B4937)),"DATA_PC invalida",IF(OR(C4937="",C4937="Fora dos ciclos"),"CICLO_PC nao identificado",IF(OR(D4937="",D4937=0),"VALOR_PC vazio ou zero",IF(AND(G4937&lt;&gt;"Sim",G4937&lt;&gt;"Nao",G4937&lt;&gt;""),"PC_PAGO_A_CONTRATADA invalido",IF(AND(C4937&lt;&gt;"C0",IFERROR(INDEX(parametros!$A$2:$A$6,MATCH(C4937,parametros!$B$2:$B$6,0)),"")="Sim",IFERROR(INDEX(parametros!$H$2:$H$6,MATCH(C4937,parametros!$B$2:$B$6,0)),"")=""),"INICIO_EFEITO ausente: PC "&amp;A4937&amp;" - "&amp;C4937,IF(L4937="","EFEITO_PC nao calculado: PC "&amp;A4937&amp;" - "&amp;C4937,"OK")))))))))</f>
        <v/>
      </c>
      <c r="L4937" s="92" t="str">
        <f>IF(AND(A4937="",B4937="",D4937="",G4937=""),"",IF(OR(B4937="",NOT(ISNUMBER(B4937)),C4937="",C4937="Fora dos ciclos"),"",IF(C4937="C0","Nao",IF(IFERROR(INDEX(parametros!$A$2:$A$6,MATCH(C4937,parametros!$B$2:$B$6,0)),"")&lt;&gt;"Sim","Nao",IF(IFERROR(INDEX(parametros!$H$2:$H$6,MATCH(C4937,parametros!$B$2:$B$6,0)),"")="","",IF(B4937&gt;=IFERROR(INDEX(parametros!$H$2:$H$6,MATCH(C4937,parametros!$B$2:$B$6,0)),""),"Sim","Nao"))))))</f>
        <v/>
      </c>
      <c r="T4937" s="156"/>
      <c r="U4937" s="214" t="str">
        <f t="shared" si="391"/>
        <v/>
      </c>
      <c r="V4937" s="212" t="s">
        <v>50</v>
      </c>
      <c r="W4937" s="100" t="s">
        <v>168</v>
      </c>
      <c r="X4937" s="100" t="s">
        <v>169</v>
      </c>
      <c r="Y4937" s="101" t="s">
        <v>170</v>
      </c>
      <c r="Z4937" s="101" t="s">
        <v>171</v>
      </c>
      <c r="AA4937" s="101" t="s">
        <v>50</v>
      </c>
      <c r="AB4937" s="101" t="s">
        <v>172</v>
      </c>
      <c r="AC4937" s="102" t="s">
        <v>173</v>
      </c>
    </row>
    <row r="4938" spans="1:29" ht="25.5" customHeight="1" x14ac:dyDescent="0.35">
      <c r="A4938" s="392"/>
      <c r="B4938" s="393"/>
      <c r="C4938" s="99" t="str">
        <f>IF(B4938="","",IF(NOT(ISNUMBER(B4938)),"DATA_PC invalida",IF(NOT(ISNUMBER(parametros!$C$2)),"Fora dos ciclos",IF(OR(B4938&lt;parametros!$C$2,(YEAR(B4938)-YEAR(parametros!$C$2))*12+MONTH(B4938)-MONTH(parametros!$C$2)&gt;59),"Fora dos ciclos","C"&amp;INT(((YEAR(B4938)-YEAR(parametros!$C$2))*12+MONTH(B4938)-MONTH(parametros!$C$2))/12)))))</f>
        <v/>
      </c>
      <c r="D4938" s="394"/>
      <c r="E4938" s="78" t="str">
        <f>IF(C4938="","",IFERROR(VLOOKUP(C4938,parametros!$A$11:$E$15,5,0),""))</f>
        <v/>
      </c>
      <c r="F4938" s="79" t="str">
        <f t="shared" si="387"/>
        <v/>
      </c>
      <c r="G4938" s="395"/>
      <c r="H4938" s="91">
        <f t="shared" si="388"/>
        <v>0</v>
      </c>
      <c r="I4938" s="91" t="str">
        <f t="shared" si="389"/>
        <v/>
      </c>
      <c r="J4938" s="91" t="str">
        <f t="shared" si="390"/>
        <v/>
      </c>
      <c r="K4938" s="92" t="str">
        <f>IF(AND(A4938="",B4938="",D4938="",G4938=""),"",IF(AND(A4938&lt;&gt;"",COUNTIF($A$2:$A$5001,A4938)&gt;1),"NUMERO_PC duplicado",IF(B4938="","DATA_PC vazia",IF(NOT(ISNUMBER(B4938)),"DATA_PC invalida",IF(OR(C4938="",C4938="Fora dos ciclos"),"CICLO_PC nao identificado",IF(OR(D4938="",D4938=0),"VALOR_PC vazio ou zero",IF(AND(G4938&lt;&gt;"Sim",G4938&lt;&gt;"Nao",G4938&lt;&gt;""),"PC_PAGO_A_CONTRATADA invalido",IF(AND(C4938&lt;&gt;"C0",IFERROR(INDEX(parametros!$A$2:$A$6,MATCH(C4938,parametros!$B$2:$B$6,0)),"")="Sim",IFERROR(INDEX(parametros!$H$2:$H$6,MATCH(C4938,parametros!$B$2:$B$6,0)),"")=""),"INICIO_EFEITO ausente: PC "&amp;A4938&amp;" - "&amp;C4938,IF(L4938="","EFEITO_PC nao calculado: PC "&amp;A4938&amp;" - "&amp;C4938,"OK")))))))))</f>
        <v/>
      </c>
      <c r="L4938" s="92" t="str">
        <f>IF(AND(A4938="",B4938="",D4938="",G4938=""),"",IF(OR(B4938="",NOT(ISNUMBER(B4938)),C4938="",C4938="Fora dos ciclos"),"",IF(C4938="C0","Nao",IF(IFERROR(INDEX(parametros!$A$2:$A$6,MATCH(C4938,parametros!$B$2:$B$6,0)),"")&lt;&gt;"Sim","Nao",IF(IFERROR(INDEX(parametros!$H$2:$H$6,MATCH(C4938,parametros!$B$2:$B$6,0)),"")="","",IF(B4938&gt;=IFERROR(INDEX(parametros!$H$2:$H$6,MATCH(C4938,parametros!$B$2:$B$6,0)),""),"Sim","Nao"))))))</f>
        <v/>
      </c>
      <c r="T4938" s="156"/>
      <c r="U4938" s="214" t="str">
        <f t="shared" si="391"/>
        <v/>
      </c>
      <c r="V4938" s="212" t="s">
        <v>50</v>
      </c>
      <c r="W4938" s="100" t="s">
        <v>168</v>
      </c>
      <c r="X4938" s="100" t="s">
        <v>169</v>
      </c>
      <c r="Y4938" s="101" t="s">
        <v>170</v>
      </c>
      <c r="Z4938" s="101" t="s">
        <v>171</v>
      </c>
      <c r="AA4938" s="101" t="s">
        <v>50</v>
      </c>
      <c r="AB4938" s="101" t="s">
        <v>172</v>
      </c>
      <c r="AC4938" s="102" t="s">
        <v>173</v>
      </c>
    </row>
    <row r="4939" spans="1:29" ht="25.5" customHeight="1" x14ac:dyDescent="0.35">
      <c r="A4939" s="392"/>
      <c r="B4939" s="393"/>
      <c r="C4939" s="99" t="str">
        <f>IF(B4939="","",IF(NOT(ISNUMBER(B4939)),"DATA_PC invalida",IF(NOT(ISNUMBER(parametros!$C$2)),"Fora dos ciclos",IF(OR(B4939&lt;parametros!$C$2,(YEAR(B4939)-YEAR(parametros!$C$2))*12+MONTH(B4939)-MONTH(parametros!$C$2)&gt;59),"Fora dos ciclos","C"&amp;INT(((YEAR(B4939)-YEAR(parametros!$C$2))*12+MONTH(B4939)-MONTH(parametros!$C$2))/12)))))</f>
        <v/>
      </c>
      <c r="D4939" s="394"/>
      <c r="E4939" s="78" t="str">
        <f>IF(C4939="","",IFERROR(VLOOKUP(C4939,parametros!$A$11:$E$15,5,0),""))</f>
        <v/>
      </c>
      <c r="F4939" s="79" t="str">
        <f t="shared" si="387"/>
        <v/>
      </c>
      <c r="G4939" s="395"/>
      <c r="H4939" s="91">
        <f t="shared" si="388"/>
        <v>0</v>
      </c>
      <c r="I4939" s="91" t="str">
        <f t="shared" si="389"/>
        <v/>
      </c>
      <c r="J4939" s="91" t="str">
        <f t="shared" si="390"/>
        <v/>
      </c>
      <c r="K4939" s="92" t="str">
        <f>IF(AND(A4939="",B4939="",D4939="",G4939=""),"",IF(AND(A4939&lt;&gt;"",COUNTIF($A$2:$A$5001,A4939)&gt;1),"NUMERO_PC duplicado",IF(B4939="","DATA_PC vazia",IF(NOT(ISNUMBER(B4939)),"DATA_PC invalida",IF(OR(C4939="",C4939="Fora dos ciclos"),"CICLO_PC nao identificado",IF(OR(D4939="",D4939=0),"VALOR_PC vazio ou zero",IF(AND(G4939&lt;&gt;"Sim",G4939&lt;&gt;"Nao",G4939&lt;&gt;""),"PC_PAGO_A_CONTRATADA invalido",IF(AND(C4939&lt;&gt;"C0",IFERROR(INDEX(parametros!$A$2:$A$6,MATCH(C4939,parametros!$B$2:$B$6,0)),"")="Sim",IFERROR(INDEX(parametros!$H$2:$H$6,MATCH(C4939,parametros!$B$2:$B$6,0)),"")=""),"INICIO_EFEITO ausente: PC "&amp;A4939&amp;" - "&amp;C4939,IF(L4939="","EFEITO_PC nao calculado: PC "&amp;A4939&amp;" - "&amp;C4939,"OK")))))))))</f>
        <v/>
      </c>
      <c r="L4939" s="92" t="str">
        <f>IF(AND(A4939="",B4939="",D4939="",G4939=""),"",IF(OR(B4939="",NOT(ISNUMBER(B4939)),C4939="",C4939="Fora dos ciclos"),"",IF(C4939="C0","Nao",IF(IFERROR(INDEX(parametros!$A$2:$A$6,MATCH(C4939,parametros!$B$2:$B$6,0)),"")&lt;&gt;"Sim","Nao",IF(IFERROR(INDEX(parametros!$H$2:$H$6,MATCH(C4939,parametros!$B$2:$B$6,0)),"")="","",IF(B4939&gt;=IFERROR(INDEX(parametros!$H$2:$H$6,MATCH(C4939,parametros!$B$2:$B$6,0)),""),"Sim","Nao"))))))</f>
        <v/>
      </c>
      <c r="T4939" s="156"/>
      <c r="U4939" s="214" t="str">
        <f t="shared" si="391"/>
        <v/>
      </c>
      <c r="V4939" s="212" t="s">
        <v>50</v>
      </c>
      <c r="W4939" s="100" t="s">
        <v>168</v>
      </c>
      <c r="X4939" s="100" t="s">
        <v>169</v>
      </c>
      <c r="Y4939" s="101" t="s">
        <v>170</v>
      </c>
      <c r="Z4939" s="101" t="s">
        <v>171</v>
      </c>
      <c r="AA4939" s="101" t="s">
        <v>50</v>
      </c>
      <c r="AB4939" s="101" t="s">
        <v>172</v>
      </c>
      <c r="AC4939" s="102" t="s">
        <v>173</v>
      </c>
    </row>
    <row r="4940" spans="1:29" ht="25.5" customHeight="1" x14ac:dyDescent="0.35">
      <c r="A4940" s="392"/>
      <c r="B4940" s="393"/>
      <c r="C4940" s="99" t="str">
        <f>IF(B4940="","",IF(NOT(ISNUMBER(B4940)),"DATA_PC invalida",IF(NOT(ISNUMBER(parametros!$C$2)),"Fora dos ciclos",IF(OR(B4940&lt;parametros!$C$2,(YEAR(B4940)-YEAR(parametros!$C$2))*12+MONTH(B4940)-MONTH(parametros!$C$2)&gt;59),"Fora dos ciclos","C"&amp;INT(((YEAR(B4940)-YEAR(parametros!$C$2))*12+MONTH(B4940)-MONTH(parametros!$C$2))/12)))))</f>
        <v/>
      </c>
      <c r="D4940" s="394"/>
      <c r="E4940" s="78" t="str">
        <f>IF(C4940="","",IFERROR(VLOOKUP(C4940,parametros!$A$11:$E$15,5,0),""))</f>
        <v/>
      </c>
      <c r="F4940" s="79" t="str">
        <f t="shared" si="387"/>
        <v/>
      </c>
      <c r="G4940" s="395"/>
      <c r="H4940" s="91">
        <f t="shared" si="388"/>
        <v>0</v>
      </c>
      <c r="I4940" s="91" t="str">
        <f t="shared" si="389"/>
        <v/>
      </c>
      <c r="J4940" s="91" t="str">
        <f t="shared" si="390"/>
        <v/>
      </c>
      <c r="K4940" s="92" t="str">
        <f>IF(AND(A4940="",B4940="",D4940="",G4940=""),"",IF(AND(A4940&lt;&gt;"",COUNTIF($A$2:$A$5001,A4940)&gt;1),"NUMERO_PC duplicado",IF(B4940="","DATA_PC vazia",IF(NOT(ISNUMBER(B4940)),"DATA_PC invalida",IF(OR(C4940="",C4940="Fora dos ciclos"),"CICLO_PC nao identificado",IF(OR(D4940="",D4940=0),"VALOR_PC vazio ou zero",IF(AND(G4940&lt;&gt;"Sim",G4940&lt;&gt;"Nao",G4940&lt;&gt;""),"PC_PAGO_A_CONTRATADA invalido",IF(AND(C4940&lt;&gt;"C0",IFERROR(INDEX(parametros!$A$2:$A$6,MATCH(C4940,parametros!$B$2:$B$6,0)),"")="Sim",IFERROR(INDEX(parametros!$H$2:$H$6,MATCH(C4940,parametros!$B$2:$B$6,0)),"")=""),"INICIO_EFEITO ausente: PC "&amp;A4940&amp;" - "&amp;C4940,IF(L4940="","EFEITO_PC nao calculado: PC "&amp;A4940&amp;" - "&amp;C4940,"OK")))))))))</f>
        <v/>
      </c>
      <c r="L4940" s="92" t="str">
        <f>IF(AND(A4940="",B4940="",D4940="",G4940=""),"",IF(OR(B4940="",NOT(ISNUMBER(B4940)),C4940="",C4940="Fora dos ciclos"),"",IF(C4940="C0","Nao",IF(IFERROR(INDEX(parametros!$A$2:$A$6,MATCH(C4940,parametros!$B$2:$B$6,0)),"")&lt;&gt;"Sim","Nao",IF(IFERROR(INDEX(parametros!$H$2:$H$6,MATCH(C4940,parametros!$B$2:$B$6,0)),"")="","",IF(B4940&gt;=IFERROR(INDEX(parametros!$H$2:$H$6,MATCH(C4940,parametros!$B$2:$B$6,0)),""),"Sim","Nao"))))))</f>
        <v/>
      </c>
      <c r="T4940" s="156"/>
      <c r="U4940" s="214" t="str">
        <f t="shared" si="391"/>
        <v/>
      </c>
      <c r="V4940" s="212" t="s">
        <v>50</v>
      </c>
      <c r="W4940" s="100" t="s">
        <v>168</v>
      </c>
      <c r="X4940" s="100" t="s">
        <v>169</v>
      </c>
      <c r="Y4940" s="101" t="s">
        <v>170</v>
      </c>
      <c r="Z4940" s="101" t="s">
        <v>171</v>
      </c>
      <c r="AA4940" s="101" t="s">
        <v>50</v>
      </c>
      <c r="AB4940" s="101" t="s">
        <v>172</v>
      </c>
      <c r="AC4940" s="102" t="s">
        <v>173</v>
      </c>
    </row>
    <row r="4941" spans="1:29" ht="25.5" customHeight="1" x14ac:dyDescent="0.35">
      <c r="A4941" s="392"/>
      <c r="B4941" s="393"/>
      <c r="C4941" s="99" t="str">
        <f>IF(B4941="","",IF(NOT(ISNUMBER(B4941)),"DATA_PC invalida",IF(NOT(ISNUMBER(parametros!$C$2)),"Fora dos ciclos",IF(OR(B4941&lt;parametros!$C$2,(YEAR(B4941)-YEAR(parametros!$C$2))*12+MONTH(B4941)-MONTH(parametros!$C$2)&gt;59),"Fora dos ciclos","C"&amp;INT(((YEAR(B4941)-YEAR(parametros!$C$2))*12+MONTH(B4941)-MONTH(parametros!$C$2))/12)))))</f>
        <v/>
      </c>
      <c r="D4941" s="394"/>
      <c r="E4941" s="78" t="str">
        <f>IF(C4941="","",IFERROR(VLOOKUP(C4941,parametros!$A$11:$E$15,5,0),""))</f>
        <v/>
      </c>
      <c r="F4941" s="79" t="str">
        <f t="shared" si="387"/>
        <v/>
      </c>
      <c r="G4941" s="395"/>
      <c r="H4941" s="91">
        <f t="shared" si="388"/>
        <v>0</v>
      </c>
      <c r="I4941" s="91" t="str">
        <f t="shared" si="389"/>
        <v/>
      </c>
      <c r="J4941" s="91" t="str">
        <f t="shared" si="390"/>
        <v/>
      </c>
      <c r="K4941" s="92" t="str">
        <f>IF(AND(A4941="",B4941="",D4941="",G4941=""),"",IF(AND(A4941&lt;&gt;"",COUNTIF($A$2:$A$5001,A4941)&gt;1),"NUMERO_PC duplicado",IF(B4941="","DATA_PC vazia",IF(NOT(ISNUMBER(B4941)),"DATA_PC invalida",IF(OR(C4941="",C4941="Fora dos ciclos"),"CICLO_PC nao identificado",IF(OR(D4941="",D4941=0),"VALOR_PC vazio ou zero",IF(AND(G4941&lt;&gt;"Sim",G4941&lt;&gt;"Nao",G4941&lt;&gt;""),"PC_PAGO_A_CONTRATADA invalido",IF(AND(C4941&lt;&gt;"C0",IFERROR(INDEX(parametros!$A$2:$A$6,MATCH(C4941,parametros!$B$2:$B$6,0)),"")="Sim",IFERROR(INDEX(parametros!$H$2:$H$6,MATCH(C4941,parametros!$B$2:$B$6,0)),"")=""),"INICIO_EFEITO ausente: PC "&amp;A4941&amp;" - "&amp;C4941,IF(L4941="","EFEITO_PC nao calculado: PC "&amp;A4941&amp;" - "&amp;C4941,"OK")))))))))</f>
        <v/>
      </c>
      <c r="L4941" s="92" t="str">
        <f>IF(AND(A4941="",B4941="",D4941="",G4941=""),"",IF(OR(B4941="",NOT(ISNUMBER(B4941)),C4941="",C4941="Fora dos ciclos"),"",IF(C4941="C0","Nao",IF(IFERROR(INDEX(parametros!$A$2:$A$6,MATCH(C4941,parametros!$B$2:$B$6,0)),"")&lt;&gt;"Sim","Nao",IF(IFERROR(INDEX(parametros!$H$2:$H$6,MATCH(C4941,parametros!$B$2:$B$6,0)),"")="","",IF(B4941&gt;=IFERROR(INDEX(parametros!$H$2:$H$6,MATCH(C4941,parametros!$B$2:$B$6,0)),""),"Sim","Nao"))))))</f>
        <v/>
      </c>
      <c r="T4941" s="156"/>
      <c r="U4941" s="214" t="str">
        <f t="shared" si="391"/>
        <v/>
      </c>
      <c r="V4941" s="212" t="s">
        <v>50</v>
      </c>
      <c r="W4941" s="100" t="s">
        <v>168</v>
      </c>
      <c r="X4941" s="100" t="s">
        <v>169</v>
      </c>
      <c r="Y4941" s="101" t="s">
        <v>170</v>
      </c>
      <c r="Z4941" s="101" t="s">
        <v>171</v>
      </c>
      <c r="AA4941" s="101" t="s">
        <v>50</v>
      </c>
      <c r="AB4941" s="101" t="s">
        <v>172</v>
      </c>
      <c r="AC4941" s="102" t="s">
        <v>173</v>
      </c>
    </row>
    <row r="4942" spans="1:29" ht="25.5" customHeight="1" x14ac:dyDescent="0.35">
      <c r="A4942" s="392"/>
      <c r="B4942" s="393"/>
      <c r="C4942" s="99" t="str">
        <f>IF(B4942="","",IF(NOT(ISNUMBER(B4942)),"DATA_PC invalida",IF(NOT(ISNUMBER(parametros!$C$2)),"Fora dos ciclos",IF(OR(B4942&lt;parametros!$C$2,(YEAR(B4942)-YEAR(parametros!$C$2))*12+MONTH(B4942)-MONTH(parametros!$C$2)&gt;59),"Fora dos ciclos","C"&amp;INT(((YEAR(B4942)-YEAR(parametros!$C$2))*12+MONTH(B4942)-MONTH(parametros!$C$2))/12)))))</f>
        <v/>
      </c>
      <c r="D4942" s="394"/>
      <c r="E4942" s="78" t="str">
        <f>IF(C4942="","",IFERROR(VLOOKUP(C4942,parametros!$A$11:$E$15,5,0),""))</f>
        <v/>
      </c>
      <c r="F4942" s="79" t="str">
        <f t="shared" si="387"/>
        <v/>
      </c>
      <c r="G4942" s="395"/>
      <c r="H4942" s="91">
        <f t="shared" si="388"/>
        <v>0</v>
      </c>
      <c r="I4942" s="91" t="str">
        <f t="shared" si="389"/>
        <v/>
      </c>
      <c r="J4942" s="91" t="str">
        <f t="shared" si="390"/>
        <v/>
      </c>
      <c r="K4942" s="92" t="str">
        <f>IF(AND(A4942="",B4942="",D4942="",G4942=""),"",IF(AND(A4942&lt;&gt;"",COUNTIF($A$2:$A$5001,A4942)&gt;1),"NUMERO_PC duplicado",IF(B4942="","DATA_PC vazia",IF(NOT(ISNUMBER(B4942)),"DATA_PC invalida",IF(OR(C4942="",C4942="Fora dos ciclos"),"CICLO_PC nao identificado",IF(OR(D4942="",D4942=0),"VALOR_PC vazio ou zero",IF(AND(G4942&lt;&gt;"Sim",G4942&lt;&gt;"Nao",G4942&lt;&gt;""),"PC_PAGO_A_CONTRATADA invalido",IF(AND(C4942&lt;&gt;"C0",IFERROR(INDEX(parametros!$A$2:$A$6,MATCH(C4942,parametros!$B$2:$B$6,0)),"")="Sim",IFERROR(INDEX(parametros!$H$2:$H$6,MATCH(C4942,parametros!$B$2:$B$6,0)),"")=""),"INICIO_EFEITO ausente: PC "&amp;A4942&amp;" - "&amp;C4942,IF(L4942="","EFEITO_PC nao calculado: PC "&amp;A4942&amp;" - "&amp;C4942,"OK")))))))))</f>
        <v/>
      </c>
      <c r="L4942" s="92" t="str">
        <f>IF(AND(A4942="",B4942="",D4942="",G4942=""),"",IF(OR(B4942="",NOT(ISNUMBER(B4942)),C4942="",C4942="Fora dos ciclos"),"",IF(C4942="C0","Nao",IF(IFERROR(INDEX(parametros!$A$2:$A$6,MATCH(C4942,parametros!$B$2:$B$6,0)),"")&lt;&gt;"Sim","Nao",IF(IFERROR(INDEX(parametros!$H$2:$H$6,MATCH(C4942,parametros!$B$2:$B$6,0)),"")="","",IF(B4942&gt;=IFERROR(INDEX(parametros!$H$2:$H$6,MATCH(C4942,parametros!$B$2:$B$6,0)),""),"Sim","Nao"))))))</f>
        <v/>
      </c>
      <c r="T4942" s="156"/>
      <c r="U4942" s="214" t="str">
        <f t="shared" si="391"/>
        <v/>
      </c>
      <c r="V4942" s="212" t="s">
        <v>50</v>
      </c>
      <c r="W4942" s="100" t="s">
        <v>168</v>
      </c>
      <c r="X4942" s="100" t="s">
        <v>169</v>
      </c>
      <c r="Y4942" s="101" t="s">
        <v>170</v>
      </c>
      <c r="Z4942" s="101" t="s">
        <v>171</v>
      </c>
      <c r="AA4942" s="101" t="s">
        <v>50</v>
      </c>
      <c r="AB4942" s="101" t="s">
        <v>172</v>
      </c>
      <c r="AC4942" s="102" t="s">
        <v>173</v>
      </c>
    </row>
    <row r="4943" spans="1:29" ht="25.5" customHeight="1" x14ac:dyDescent="0.35">
      <c r="A4943" s="392"/>
      <c r="B4943" s="393"/>
      <c r="C4943" s="99" t="str">
        <f>IF(B4943="","",IF(NOT(ISNUMBER(B4943)),"DATA_PC invalida",IF(NOT(ISNUMBER(parametros!$C$2)),"Fora dos ciclos",IF(OR(B4943&lt;parametros!$C$2,(YEAR(B4943)-YEAR(parametros!$C$2))*12+MONTH(B4943)-MONTH(parametros!$C$2)&gt;59),"Fora dos ciclos","C"&amp;INT(((YEAR(B4943)-YEAR(parametros!$C$2))*12+MONTH(B4943)-MONTH(parametros!$C$2))/12)))))</f>
        <v/>
      </c>
      <c r="D4943" s="394"/>
      <c r="E4943" s="78" t="str">
        <f>IF(C4943="","",IFERROR(VLOOKUP(C4943,parametros!$A$11:$E$15,5,0),""))</f>
        <v/>
      </c>
      <c r="F4943" s="79" t="str">
        <f t="shared" si="387"/>
        <v/>
      </c>
      <c r="G4943" s="395"/>
      <c r="H4943" s="91">
        <f t="shared" si="388"/>
        <v>0</v>
      </c>
      <c r="I4943" s="91" t="str">
        <f t="shared" si="389"/>
        <v/>
      </c>
      <c r="J4943" s="91" t="str">
        <f t="shared" si="390"/>
        <v/>
      </c>
      <c r="K4943" s="92" t="str">
        <f>IF(AND(A4943="",B4943="",D4943="",G4943=""),"",IF(AND(A4943&lt;&gt;"",COUNTIF($A$2:$A$5001,A4943)&gt;1),"NUMERO_PC duplicado",IF(B4943="","DATA_PC vazia",IF(NOT(ISNUMBER(B4943)),"DATA_PC invalida",IF(OR(C4943="",C4943="Fora dos ciclos"),"CICLO_PC nao identificado",IF(OR(D4943="",D4943=0),"VALOR_PC vazio ou zero",IF(AND(G4943&lt;&gt;"Sim",G4943&lt;&gt;"Nao",G4943&lt;&gt;""),"PC_PAGO_A_CONTRATADA invalido",IF(AND(C4943&lt;&gt;"C0",IFERROR(INDEX(parametros!$A$2:$A$6,MATCH(C4943,parametros!$B$2:$B$6,0)),"")="Sim",IFERROR(INDEX(parametros!$H$2:$H$6,MATCH(C4943,parametros!$B$2:$B$6,0)),"")=""),"INICIO_EFEITO ausente: PC "&amp;A4943&amp;" - "&amp;C4943,IF(L4943="","EFEITO_PC nao calculado: PC "&amp;A4943&amp;" - "&amp;C4943,"OK")))))))))</f>
        <v/>
      </c>
      <c r="L4943" s="92" t="str">
        <f>IF(AND(A4943="",B4943="",D4943="",G4943=""),"",IF(OR(B4943="",NOT(ISNUMBER(B4943)),C4943="",C4943="Fora dos ciclos"),"",IF(C4943="C0","Nao",IF(IFERROR(INDEX(parametros!$A$2:$A$6,MATCH(C4943,parametros!$B$2:$B$6,0)),"")&lt;&gt;"Sim","Nao",IF(IFERROR(INDEX(parametros!$H$2:$H$6,MATCH(C4943,parametros!$B$2:$B$6,0)),"")="","",IF(B4943&gt;=IFERROR(INDEX(parametros!$H$2:$H$6,MATCH(C4943,parametros!$B$2:$B$6,0)),""),"Sim","Nao"))))))</f>
        <v/>
      </c>
      <c r="T4943" s="156"/>
      <c r="U4943" s="214" t="str">
        <f t="shared" si="391"/>
        <v/>
      </c>
      <c r="V4943" s="212" t="s">
        <v>50</v>
      </c>
      <c r="W4943" s="100" t="s">
        <v>168</v>
      </c>
      <c r="X4943" s="100" t="s">
        <v>169</v>
      </c>
      <c r="Y4943" s="101" t="s">
        <v>170</v>
      </c>
      <c r="Z4943" s="101" t="s">
        <v>171</v>
      </c>
      <c r="AA4943" s="101" t="s">
        <v>50</v>
      </c>
      <c r="AB4943" s="101" t="s">
        <v>172</v>
      </c>
      <c r="AC4943" s="102" t="s">
        <v>173</v>
      </c>
    </row>
    <row r="4944" spans="1:29" ht="25.5" customHeight="1" x14ac:dyDescent="0.35">
      <c r="A4944" s="392"/>
      <c r="B4944" s="393"/>
      <c r="C4944" s="99" t="str">
        <f>IF(B4944="","",IF(NOT(ISNUMBER(B4944)),"DATA_PC invalida",IF(NOT(ISNUMBER(parametros!$C$2)),"Fora dos ciclos",IF(OR(B4944&lt;parametros!$C$2,(YEAR(B4944)-YEAR(parametros!$C$2))*12+MONTH(B4944)-MONTH(parametros!$C$2)&gt;59),"Fora dos ciclos","C"&amp;INT(((YEAR(B4944)-YEAR(parametros!$C$2))*12+MONTH(B4944)-MONTH(parametros!$C$2))/12)))))</f>
        <v/>
      </c>
      <c r="D4944" s="394"/>
      <c r="E4944" s="78" t="str">
        <f>IF(C4944="","",IFERROR(VLOOKUP(C4944,parametros!$A$11:$E$15,5,0),""))</f>
        <v/>
      </c>
      <c r="F4944" s="79" t="str">
        <f t="shared" si="387"/>
        <v/>
      </c>
      <c r="G4944" s="395"/>
      <c r="H4944" s="91">
        <f t="shared" si="388"/>
        <v>0</v>
      </c>
      <c r="I4944" s="91" t="str">
        <f t="shared" si="389"/>
        <v/>
      </c>
      <c r="J4944" s="91" t="str">
        <f t="shared" si="390"/>
        <v/>
      </c>
      <c r="K4944" s="92" t="str">
        <f>IF(AND(A4944="",B4944="",D4944="",G4944=""),"",IF(AND(A4944&lt;&gt;"",COUNTIF($A$2:$A$5001,A4944)&gt;1),"NUMERO_PC duplicado",IF(B4944="","DATA_PC vazia",IF(NOT(ISNUMBER(B4944)),"DATA_PC invalida",IF(OR(C4944="",C4944="Fora dos ciclos"),"CICLO_PC nao identificado",IF(OR(D4944="",D4944=0),"VALOR_PC vazio ou zero",IF(AND(G4944&lt;&gt;"Sim",G4944&lt;&gt;"Nao",G4944&lt;&gt;""),"PC_PAGO_A_CONTRATADA invalido",IF(AND(C4944&lt;&gt;"C0",IFERROR(INDEX(parametros!$A$2:$A$6,MATCH(C4944,parametros!$B$2:$B$6,0)),"")="Sim",IFERROR(INDEX(parametros!$H$2:$H$6,MATCH(C4944,parametros!$B$2:$B$6,0)),"")=""),"INICIO_EFEITO ausente: PC "&amp;A4944&amp;" - "&amp;C4944,IF(L4944="","EFEITO_PC nao calculado: PC "&amp;A4944&amp;" - "&amp;C4944,"OK")))))))))</f>
        <v/>
      </c>
      <c r="L4944" s="92" t="str">
        <f>IF(AND(A4944="",B4944="",D4944="",G4944=""),"",IF(OR(B4944="",NOT(ISNUMBER(B4944)),C4944="",C4944="Fora dos ciclos"),"",IF(C4944="C0","Nao",IF(IFERROR(INDEX(parametros!$A$2:$A$6,MATCH(C4944,parametros!$B$2:$B$6,0)),"")&lt;&gt;"Sim","Nao",IF(IFERROR(INDEX(parametros!$H$2:$H$6,MATCH(C4944,parametros!$B$2:$B$6,0)),"")="","",IF(B4944&gt;=IFERROR(INDEX(parametros!$H$2:$H$6,MATCH(C4944,parametros!$B$2:$B$6,0)),""),"Sim","Nao"))))))</f>
        <v/>
      </c>
      <c r="T4944" s="156"/>
      <c r="U4944" s="214" t="str">
        <f t="shared" si="391"/>
        <v/>
      </c>
      <c r="V4944" s="212" t="s">
        <v>50</v>
      </c>
      <c r="W4944" s="100" t="s">
        <v>168</v>
      </c>
      <c r="X4944" s="100" t="s">
        <v>169</v>
      </c>
      <c r="Y4944" s="101" t="s">
        <v>170</v>
      </c>
      <c r="Z4944" s="101" t="s">
        <v>171</v>
      </c>
      <c r="AA4944" s="101" t="s">
        <v>50</v>
      </c>
      <c r="AB4944" s="101" t="s">
        <v>172</v>
      </c>
      <c r="AC4944" s="102" t="s">
        <v>173</v>
      </c>
    </row>
    <row r="4945" spans="1:29" ht="25.5" customHeight="1" x14ac:dyDescent="0.35">
      <c r="A4945" s="392"/>
      <c r="B4945" s="393"/>
      <c r="C4945" s="99" t="str">
        <f>IF(B4945="","",IF(NOT(ISNUMBER(B4945)),"DATA_PC invalida",IF(NOT(ISNUMBER(parametros!$C$2)),"Fora dos ciclos",IF(OR(B4945&lt;parametros!$C$2,(YEAR(B4945)-YEAR(parametros!$C$2))*12+MONTH(B4945)-MONTH(parametros!$C$2)&gt;59),"Fora dos ciclos","C"&amp;INT(((YEAR(B4945)-YEAR(parametros!$C$2))*12+MONTH(B4945)-MONTH(parametros!$C$2))/12)))))</f>
        <v/>
      </c>
      <c r="D4945" s="394"/>
      <c r="E4945" s="78" t="str">
        <f>IF(C4945="","",IFERROR(VLOOKUP(C4945,parametros!$A$11:$E$15,5,0),""))</f>
        <v/>
      </c>
      <c r="F4945" s="79" t="str">
        <f t="shared" si="387"/>
        <v/>
      </c>
      <c r="G4945" s="395"/>
      <c r="H4945" s="91">
        <f t="shared" si="388"/>
        <v>0</v>
      </c>
      <c r="I4945" s="91" t="str">
        <f t="shared" si="389"/>
        <v/>
      </c>
      <c r="J4945" s="91" t="str">
        <f t="shared" si="390"/>
        <v/>
      </c>
      <c r="K4945" s="92" t="str">
        <f>IF(AND(A4945="",B4945="",D4945="",G4945=""),"",IF(AND(A4945&lt;&gt;"",COUNTIF($A$2:$A$5001,A4945)&gt;1),"NUMERO_PC duplicado",IF(B4945="","DATA_PC vazia",IF(NOT(ISNUMBER(B4945)),"DATA_PC invalida",IF(OR(C4945="",C4945="Fora dos ciclos"),"CICLO_PC nao identificado",IF(OR(D4945="",D4945=0),"VALOR_PC vazio ou zero",IF(AND(G4945&lt;&gt;"Sim",G4945&lt;&gt;"Nao",G4945&lt;&gt;""),"PC_PAGO_A_CONTRATADA invalido",IF(AND(C4945&lt;&gt;"C0",IFERROR(INDEX(parametros!$A$2:$A$6,MATCH(C4945,parametros!$B$2:$B$6,0)),"")="Sim",IFERROR(INDEX(parametros!$H$2:$H$6,MATCH(C4945,parametros!$B$2:$B$6,0)),"")=""),"INICIO_EFEITO ausente: PC "&amp;A4945&amp;" - "&amp;C4945,IF(L4945="","EFEITO_PC nao calculado: PC "&amp;A4945&amp;" - "&amp;C4945,"OK")))))))))</f>
        <v/>
      </c>
      <c r="L4945" s="92" t="str">
        <f>IF(AND(A4945="",B4945="",D4945="",G4945=""),"",IF(OR(B4945="",NOT(ISNUMBER(B4945)),C4945="",C4945="Fora dos ciclos"),"",IF(C4945="C0","Nao",IF(IFERROR(INDEX(parametros!$A$2:$A$6,MATCH(C4945,parametros!$B$2:$B$6,0)),"")&lt;&gt;"Sim","Nao",IF(IFERROR(INDEX(parametros!$H$2:$H$6,MATCH(C4945,parametros!$B$2:$B$6,0)),"")="","",IF(B4945&gt;=IFERROR(INDEX(parametros!$H$2:$H$6,MATCH(C4945,parametros!$B$2:$B$6,0)),""),"Sim","Nao"))))))</f>
        <v/>
      </c>
      <c r="T4945" s="156"/>
      <c r="U4945" s="214" t="str">
        <f t="shared" si="391"/>
        <v/>
      </c>
      <c r="V4945" s="212" t="s">
        <v>50</v>
      </c>
      <c r="W4945" s="100" t="s">
        <v>168</v>
      </c>
      <c r="X4945" s="100" t="s">
        <v>169</v>
      </c>
      <c r="Y4945" s="101" t="s">
        <v>170</v>
      </c>
      <c r="Z4945" s="101" t="s">
        <v>171</v>
      </c>
      <c r="AA4945" s="101" t="s">
        <v>50</v>
      </c>
      <c r="AB4945" s="101" t="s">
        <v>172</v>
      </c>
      <c r="AC4945" s="102" t="s">
        <v>173</v>
      </c>
    </row>
    <row r="4946" spans="1:29" ht="25.5" customHeight="1" x14ac:dyDescent="0.35">
      <c r="A4946" s="392"/>
      <c r="B4946" s="393"/>
      <c r="C4946" s="99" t="str">
        <f>IF(B4946="","",IF(NOT(ISNUMBER(B4946)),"DATA_PC invalida",IF(NOT(ISNUMBER(parametros!$C$2)),"Fora dos ciclos",IF(OR(B4946&lt;parametros!$C$2,(YEAR(B4946)-YEAR(parametros!$C$2))*12+MONTH(B4946)-MONTH(parametros!$C$2)&gt;59),"Fora dos ciclos","C"&amp;INT(((YEAR(B4946)-YEAR(parametros!$C$2))*12+MONTH(B4946)-MONTH(parametros!$C$2))/12)))))</f>
        <v/>
      </c>
      <c r="D4946" s="394"/>
      <c r="E4946" s="78" t="str">
        <f>IF(C4946="","",IFERROR(VLOOKUP(C4946,parametros!$A$11:$E$15,5,0),""))</f>
        <v/>
      </c>
      <c r="F4946" s="79" t="str">
        <f t="shared" si="387"/>
        <v/>
      </c>
      <c r="G4946" s="395"/>
      <c r="H4946" s="91">
        <f t="shared" si="388"/>
        <v>0</v>
      </c>
      <c r="I4946" s="91" t="str">
        <f t="shared" si="389"/>
        <v/>
      </c>
      <c r="J4946" s="91" t="str">
        <f t="shared" si="390"/>
        <v/>
      </c>
      <c r="K4946" s="92" t="str">
        <f>IF(AND(A4946="",B4946="",D4946="",G4946=""),"",IF(AND(A4946&lt;&gt;"",COUNTIF($A$2:$A$5001,A4946)&gt;1),"NUMERO_PC duplicado",IF(B4946="","DATA_PC vazia",IF(NOT(ISNUMBER(B4946)),"DATA_PC invalida",IF(OR(C4946="",C4946="Fora dos ciclos"),"CICLO_PC nao identificado",IF(OR(D4946="",D4946=0),"VALOR_PC vazio ou zero",IF(AND(G4946&lt;&gt;"Sim",G4946&lt;&gt;"Nao",G4946&lt;&gt;""),"PC_PAGO_A_CONTRATADA invalido",IF(AND(C4946&lt;&gt;"C0",IFERROR(INDEX(parametros!$A$2:$A$6,MATCH(C4946,parametros!$B$2:$B$6,0)),"")="Sim",IFERROR(INDEX(parametros!$H$2:$H$6,MATCH(C4946,parametros!$B$2:$B$6,0)),"")=""),"INICIO_EFEITO ausente: PC "&amp;A4946&amp;" - "&amp;C4946,IF(L4946="","EFEITO_PC nao calculado: PC "&amp;A4946&amp;" - "&amp;C4946,"OK")))))))))</f>
        <v/>
      </c>
      <c r="L4946" s="92" t="str">
        <f>IF(AND(A4946="",B4946="",D4946="",G4946=""),"",IF(OR(B4946="",NOT(ISNUMBER(B4946)),C4946="",C4946="Fora dos ciclos"),"",IF(C4946="C0","Nao",IF(IFERROR(INDEX(parametros!$A$2:$A$6,MATCH(C4946,parametros!$B$2:$B$6,0)),"")&lt;&gt;"Sim","Nao",IF(IFERROR(INDEX(parametros!$H$2:$H$6,MATCH(C4946,parametros!$B$2:$B$6,0)),"")="","",IF(B4946&gt;=IFERROR(INDEX(parametros!$H$2:$H$6,MATCH(C4946,parametros!$B$2:$B$6,0)),""),"Sim","Nao"))))))</f>
        <v/>
      </c>
      <c r="T4946" s="156"/>
      <c r="U4946" s="214" t="str">
        <f t="shared" si="391"/>
        <v/>
      </c>
      <c r="V4946" s="212" t="s">
        <v>50</v>
      </c>
      <c r="W4946" s="100" t="s">
        <v>168</v>
      </c>
      <c r="X4946" s="100" t="s">
        <v>169</v>
      </c>
      <c r="Y4946" s="101" t="s">
        <v>170</v>
      </c>
      <c r="Z4946" s="101" t="s">
        <v>171</v>
      </c>
      <c r="AA4946" s="101" t="s">
        <v>50</v>
      </c>
      <c r="AB4946" s="101" t="s">
        <v>172</v>
      </c>
      <c r="AC4946" s="102" t="s">
        <v>173</v>
      </c>
    </row>
    <row r="4947" spans="1:29" ht="25.5" customHeight="1" x14ac:dyDescent="0.35">
      <c r="A4947" s="392"/>
      <c r="B4947" s="393"/>
      <c r="C4947" s="99" t="str">
        <f>IF(B4947="","",IF(NOT(ISNUMBER(B4947)),"DATA_PC invalida",IF(NOT(ISNUMBER(parametros!$C$2)),"Fora dos ciclos",IF(OR(B4947&lt;parametros!$C$2,(YEAR(B4947)-YEAR(parametros!$C$2))*12+MONTH(B4947)-MONTH(parametros!$C$2)&gt;59),"Fora dos ciclos","C"&amp;INT(((YEAR(B4947)-YEAR(parametros!$C$2))*12+MONTH(B4947)-MONTH(parametros!$C$2))/12)))))</f>
        <v/>
      </c>
      <c r="D4947" s="394"/>
      <c r="E4947" s="78" t="str">
        <f>IF(C4947="","",IFERROR(VLOOKUP(C4947,parametros!$A$11:$E$15,5,0),""))</f>
        <v/>
      </c>
      <c r="F4947" s="79" t="str">
        <f t="shared" si="387"/>
        <v/>
      </c>
      <c r="G4947" s="395"/>
      <c r="H4947" s="91">
        <f t="shared" si="388"/>
        <v>0</v>
      </c>
      <c r="I4947" s="91" t="str">
        <f t="shared" si="389"/>
        <v/>
      </c>
      <c r="J4947" s="91" t="str">
        <f t="shared" si="390"/>
        <v/>
      </c>
      <c r="K4947" s="92" t="str">
        <f>IF(AND(A4947="",B4947="",D4947="",G4947=""),"",IF(AND(A4947&lt;&gt;"",COUNTIF($A$2:$A$5001,A4947)&gt;1),"NUMERO_PC duplicado",IF(B4947="","DATA_PC vazia",IF(NOT(ISNUMBER(B4947)),"DATA_PC invalida",IF(OR(C4947="",C4947="Fora dos ciclos"),"CICLO_PC nao identificado",IF(OR(D4947="",D4947=0),"VALOR_PC vazio ou zero",IF(AND(G4947&lt;&gt;"Sim",G4947&lt;&gt;"Nao",G4947&lt;&gt;""),"PC_PAGO_A_CONTRATADA invalido",IF(AND(C4947&lt;&gt;"C0",IFERROR(INDEX(parametros!$A$2:$A$6,MATCH(C4947,parametros!$B$2:$B$6,0)),"")="Sim",IFERROR(INDEX(parametros!$H$2:$H$6,MATCH(C4947,parametros!$B$2:$B$6,0)),"")=""),"INICIO_EFEITO ausente: PC "&amp;A4947&amp;" - "&amp;C4947,IF(L4947="","EFEITO_PC nao calculado: PC "&amp;A4947&amp;" - "&amp;C4947,"OK")))))))))</f>
        <v/>
      </c>
      <c r="L4947" s="92" t="str">
        <f>IF(AND(A4947="",B4947="",D4947="",G4947=""),"",IF(OR(B4947="",NOT(ISNUMBER(B4947)),C4947="",C4947="Fora dos ciclos"),"",IF(C4947="C0","Nao",IF(IFERROR(INDEX(parametros!$A$2:$A$6,MATCH(C4947,parametros!$B$2:$B$6,0)),"")&lt;&gt;"Sim","Nao",IF(IFERROR(INDEX(parametros!$H$2:$H$6,MATCH(C4947,parametros!$B$2:$B$6,0)),"")="","",IF(B4947&gt;=IFERROR(INDEX(parametros!$H$2:$H$6,MATCH(C4947,parametros!$B$2:$B$6,0)),""),"Sim","Nao"))))))</f>
        <v/>
      </c>
      <c r="T4947" s="156"/>
      <c r="U4947" s="214" t="str">
        <f t="shared" si="391"/>
        <v/>
      </c>
      <c r="V4947" s="212" t="s">
        <v>50</v>
      </c>
      <c r="W4947" s="100" t="s">
        <v>168</v>
      </c>
      <c r="X4947" s="100" t="s">
        <v>169</v>
      </c>
      <c r="Y4947" s="101" t="s">
        <v>170</v>
      </c>
      <c r="Z4947" s="101" t="s">
        <v>171</v>
      </c>
      <c r="AA4947" s="101" t="s">
        <v>50</v>
      </c>
      <c r="AB4947" s="101" t="s">
        <v>172</v>
      </c>
      <c r="AC4947" s="102" t="s">
        <v>173</v>
      </c>
    </row>
    <row r="4948" spans="1:29" ht="25.5" customHeight="1" x14ac:dyDescent="0.35">
      <c r="A4948" s="392"/>
      <c r="B4948" s="393"/>
      <c r="C4948" s="99" t="str">
        <f>IF(B4948="","",IF(NOT(ISNUMBER(B4948)),"DATA_PC invalida",IF(NOT(ISNUMBER(parametros!$C$2)),"Fora dos ciclos",IF(OR(B4948&lt;parametros!$C$2,(YEAR(B4948)-YEAR(parametros!$C$2))*12+MONTH(B4948)-MONTH(parametros!$C$2)&gt;59),"Fora dos ciclos","C"&amp;INT(((YEAR(B4948)-YEAR(parametros!$C$2))*12+MONTH(B4948)-MONTH(parametros!$C$2))/12)))))</f>
        <v/>
      </c>
      <c r="D4948" s="394"/>
      <c r="E4948" s="78" t="str">
        <f>IF(C4948="","",IFERROR(VLOOKUP(C4948,parametros!$A$11:$E$15,5,0),""))</f>
        <v/>
      </c>
      <c r="F4948" s="79" t="str">
        <f t="shared" si="387"/>
        <v/>
      </c>
      <c r="G4948" s="395"/>
      <c r="H4948" s="91">
        <f t="shared" si="388"/>
        <v>0</v>
      </c>
      <c r="I4948" s="91" t="str">
        <f t="shared" si="389"/>
        <v/>
      </c>
      <c r="J4948" s="91" t="str">
        <f t="shared" si="390"/>
        <v/>
      </c>
      <c r="K4948" s="92" t="str">
        <f>IF(AND(A4948="",B4948="",D4948="",G4948=""),"",IF(AND(A4948&lt;&gt;"",COUNTIF($A$2:$A$5001,A4948)&gt;1),"NUMERO_PC duplicado",IF(B4948="","DATA_PC vazia",IF(NOT(ISNUMBER(B4948)),"DATA_PC invalida",IF(OR(C4948="",C4948="Fora dos ciclos"),"CICLO_PC nao identificado",IF(OR(D4948="",D4948=0),"VALOR_PC vazio ou zero",IF(AND(G4948&lt;&gt;"Sim",G4948&lt;&gt;"Nao",G4948&lt;&gt;""),"PC_PAGO_A_CONTRATADA invalido",IF(AND(C4948&lt;&gt;"C0",IFERROR(INDEX(parametros!$A$2:$A$6,MATCH(C4948,parametros!$B$2:$B$6,0)),"")="Sim",IFERROR(INDEX(parametros!$H$2:$H$6,MATCH(C4948,parametros!$B$2:$B$6,0)),"")=""),"INICIO_EFEITO ausente: PC "&amp;A4948&amp;" - "&amp;C4948,IF(L4948="","EFEITO_PC nao calculado: PC "&amp;A4948&amp;" - "&amp;C4948,"OK")))))))))</f>
        <v/>
      </c>
      <c r="L4948" s="92" t="str">
        <f>IF(AND(A4948="",B4948="",D4948="",G4948=""),"",IF(OR(B4948="",NOT(ISNUMBER(B4948)),C4948="",C4948="Fora dos ciclos"),"",IF(C4948="C0","Nao",IF(IFERROR(INDEX(parametros!$A$2:$A$6,MATCH(C4948,parametros!$B$2:$B$6,0)),"")&lt;&gt;"Sim","Nao",IF(IFERROR(INDEX(parametros!$H$2:$H$6,MATCH(C4948,parametros!$B$2:$B$6,0)),"")="","",IF(B4948&gt;=IFERROR(INDEX(parametros!$H$2:$H$6,MATCH(C4948,parametros!$B$2:$B$6,0)),""),"Sim","Nao"))))))</f>
        <v/>
      </c>
      <c r="T4948" s="156"/>
      <c r="U4948" s="214" t="str">
        <f t="shared" si="391"/>
        <v/>
      </c>
      <c r="V4948" s="212" t="s">
        <v>50</v>
      </c>
      <c r="W4948" s="100" t="s">
        <v>168</v>
      </c>
      <c r="X4948" s="100" t="s">
        <v>169</v>
      </c>
      <c r="Y4948" s="101" t="s">
        <v>170</v>
      </c>
      <c r="Z4948" s="101" t="s">
        <v>171</v>
      </c>
      <c r="AA4948" s="101" t="s">
        <v>50</v>
      </c>
      <c r="AB4948" s="101" t="s">
        <v>172</v>
      </c>
      <c r="AC4948" s="102" t="s">
        <v>173</v>
      </c>
    </row>
    <row r="4949" spans="1:29" ht="25.5" customHeight="1" x14ac:dyDescent="0.35">
      <c r="A4949" s="392"/>
      <c r="B4949" s="393"/>
      <c r="C4949" s="99" t="str">
        <f>IF(B4949="","",IF(NOT(ISNUMBER(B4949)),"DATA_PC invalida",IF(NOT(ISNUMBER(parametros!$C$2)),"Fora dos ciclos",IF(OR(B4949&lt;parametros!$C$2,(YEAR(B4949)-YEAR(parametros!$C$2))*12+MONTH(B4949)-MONTH(parametros!$C$2)&gt;59),"Fora dos ciclos","C"&amp;INT(((YEAR(B4949)-YEAR(parametros!$C$2))*12+MONTH(B4949)-MONTH(parametros!$C$2))/12)))))</f>
        <v/>
      </c>
      <c r="D4949" s="394"/>
      <c r="E4949" s="78" t="str">
        <f>IF(C4949="","",IFERROR(VLOOKUP(C4949,parametros!$A$11:$E$15,5,0),""))</f>
        <v/>
      </c>
      <c r="F4949" s="79" t="str">
        <f t="shared" si="387"/>
        <v/>
      </c>
      <c r="G4949" s="395"/>
      <c r="H4949" s="91">
        <f t="shared" si="388"/>
        <v>0</v>
      </c>
      <c r="I4949" s="91" t="str">
        <f t="shared" si="389"/>
        <v/>
      </c>
      <c r="J4949" s="91" t="str">
        <f t="shared" si="390"/>
        <v/>
      </c>
      <c r="K4949" s="92" t="str">
        <f>IF(AND(A4949="",B4949="",D4949="",G4949=""),"",IF(AND(A4949&lt;&gt;"",COUNTIF($A$2:$A$5001,A4949)&gt;1),"NUMERO_PC duplicado",IF(B4949="","DATA_PC vazia",IF(NOT(ISNUMBER(B4949)),"DATA_PC invalida",IF(OR(C4949="",C4949="Fora dos ciclos"),"CICLO_PC nao identificado",IF(OR(D4949="",D4949=0),"VALOR_PC vazio ou zero",IF(AND(G4949&lt;&gt;"Sim",G4949&lt;&gt;"Nao",G4949&lt;&gt;""),"PC_PAGO_A_CONTRATADA invalido",IF(AND(C4949&lt;&gt;"C0",IFERROR(INDEX(parametros!$A$2:$A$6,MATCH(C4949,parametros!$B$2:$B$6,0)),"")="Sim",IFERROR(INDEX(parametros!$H$2:$H$6,MATCH(C4949,parametros!$B$2:$B$6,0)),"")=""),"INICIO_EFEITO ausente: PC "&amp;A4949&amp;" - "&amp;C4949,IF(L4949="","EFEITO_PC nao calculado: PC "&amp;A4949&amp;" - "&amp;C4949,"OK")))))))))</f>
        <v/>
      </c>
      <c r="L4949" s="92" t="str">
        <f>IF(AND(A4949="",B4949="",D4949="",G4949=""),"",IF(OR(B4949="",NOT(ISNUMBER(B4949)),C4949="",C4949="Fora dos ciclos"),"",IF(C4949="C0","Nao",IF(IFERROR(INDEX(parametros!$A$2:$A$6,MATCH(C4949,parametros!$B$2:$B$6,0)),"")&lt;&gt;"Sim","Nao",IF(IFERROR(INDEX(parametros!$H$2:$H$6,MATCH(C4949,parametros!$B$2:$B$6,0)),"")="","",IF(B4949&gt;=IFERROR(INDEX(parametros!$H$2:$H$6,MATCH(C4949,parametros!$B$2:$B$6,0)),""),"Sim","Nao"))))))</f>
        <v/>
      </c>
      <c r="T4949" s="156"/>
      <c r="U4949" s="214" t="str">
        <f t="shared" si="391"/>
        <v/>
      </c>
      <c r="V4949" s="212" t="s">
        <v>50</v>
      </c>
      <c r="W4949" s="100" t="s">
        <v>168</v>
      </c>
      <c r="X4949" s="100" t="s">
        <v>169</v>
      </c>
      <c r="Y4949" s="101" t="s">
        <v>170</v>
      </c>
      <c r="Z4949" s="101" t="s">
        <v>171</v>
      </c>
      <c r="AA4949" s="101" t="s">
        <v>50</v>
      </c>
      <c r="AB4949" s="101" t="s">
        <v>172</v>
      </c>
      <c r="AC4949" s="102" t="s">
        <v>173</v>
      </c>
    </row>
    <row r="4950" spans="1:29" ht="25.5" customHeight="1" x14ac:dyDescent="0.35">
      <c r="A4950" s="392"/>
      <c r="B4950" s="393"/>
      <c r="C4950" s="99" t="str">
        <f>IF(B4950="","",IF(NOT(ISNUMBER(B4950)),"DATA_PC invalida",IF(NOT(ISNUMBER(parametros!$C$2)),"Fora dos ciclos",IF(OR(B4950&lt;parametros!$C$2,(YEAR(B4950)-YEAR(parametros!$C$2))*12+MONTH(B4950)-MONTH(parametros!$C$2)&gt;59),"Fora dos ciclos","C"&amp;INT(((YEAR(B4950)-YEAR(parametros!$C$2))*12+MONTH(B4950)-MONTH(parametros!$C$2))/12)))))</f>
        <v/>
      </c>
      <c r="D4950" s="394"/>
      <c r="E4950" s="78" t="str">
        <f>IF(C4950="","",IFERROR(VLOOKUP(C4950,parametros!$A$11:$E$15,5,0),""))</f>
        <v/>
      </c>
      <c r="F4950" s="79" t="str">
        <f t="shared" si="387"/>
        <v/>
      </c>
      <c r="G4950" s="395"/>
      <c r="H4950" s="91">
        <f t="shared" si="388"/>
        <v>0</v>
      </c>
      <c r="I4950" s="91" t="str">
        <f t="shared" si="389"/>
        <v/>
      </c>
      <c r="J4950" s="91" t="str">
        <f t="shared" si="390"/>
        <v/>
      </c>
      <c r="K4950" s="92" t="str">
        <f>IF(AND(A4950="",B4950="",D4950="",G4950=""),"",IF(AND(A4950&lt;&gt;"",COUNTIF($A$2:$A$5001,A4950)&gt;1),"NUMERO_PC duplicado",IF(B4950="","DATA_PC vazia",IF(NOT(ISNUMBER(B4950)),"DATA_PC invalida",IF(OR(C4950="",C4950="Fora dos ciclos"),"CICLO_PC nao identificado",IF(OR(D4950="",D4950=0),"VALOR_PC vazio ou zero",IF(AND(G4950&lt;&gt;"Sim",G4950&lt;&gt;"Nao",G4950&lt;&gt;""),"PC_PAGO_A_CONTRATADA invalido",IF(AND(C4950&lt;&gt;"C0",IFERROR(INDEX(parametros!$A$2:$A$6,MATCH(C4950,parametros!$B$2:$B$6,0)),"")="Sim",IFERROR(INDEX(parametros!$H$2:$H$6,MATCH(C4950,parametros!$B$2:$B$6,0)),"")=""),"INICIO_EFEITO ausente: PC "&amp;A4950&amp;" - "&amp;C4950,IF(L4950="","EFEITO_PC nao calculado: PC "&amp;A4950&amp;" - "&amp;C4950,"OK")))))))))</f>
        <v/>
      </c>
      <c r="L4950" s="92" t="str">
        <f>IF(AND(A4950="",B4950="",D4950="",G4950=""),"",IF(OR(B4950="",NOT(ISNUMBER(B4950)),C4950="",C4950="Fora dos ciclos"),"",IF(C4950="C0","Nao",IF(IFERROR(INDEX(parametros!$A$2:$A$6,MATCH(C4950,parametros!$B$2:$B$6,0)),"")&lt;&gt;"Sim","Nao",IF(IFERROR(INDEX(parametros!$H$2:$H$6,MATCH(C4950,parametros!$B$2:$B$6,0)),"")="","",IF(B4950&gt;=IFERROR(INDEX(parametros!$H$2:$H$6,MATCH(C4950,parametros!$B$2:$B$6,0)),""),"Sim","Nao"))))))</f>
        <v/>
      </c>
      <c r="T4950" s="156"/>
      <c r="U4950" s="214" t="str">
        <f t="shared" si="391"/>
        <v/>
      </c>
      <c r="V4950" s="212" t="s">
        <v>50</v>
      </c>
      <c r="W4950" s="100" t="s">
        <v>168</v>
      </c>
      <c r="X4950" s="100" t="s">
        <v>169</v>
      </c>
      <c r="Y4950" s="101" t="s">
        <v>170</v>
      </c>
      <c r="Z4950" s="101" t="s">
        <v>171</v>
      </c>
      <c r="AA4950" s="101" t="s">
        <v>50</v>
      </c>
      <c r="AB4950" s="101" t="s">
        <v>172</v>
      </c>
      <c r="AC4950" s="102" t="s">
        <v>173</v>
      </c>
    </row>
    <row r="4951" spans="1:29" ht="25.5" customHeight="1" x14ac:dyDescent="0.35">
      <c r="A4951" s="392"/>
      <c r="B4951" s="393"/>
      <c r="C4951" s="99" t="str">
        <f>IF(B4951="","",IF(NOT(ISNUMBER(B4951)),"DATA_PC invalida",IF(NOT(ISNUMBER(parametros!$C$2)),"Fora dos ciclos",IF(OR(B4951&lt;parametros!$C$2,(YEAR(B4951)-YEAR(parametros!$C$2))*12+MONTH(B4951)-MONTH(parametros!$C$2)&gt;59),"Fora dos ciclos","C"&amp;INT(((YEAR(B4951)-YEAR(parametros!$C$2))*12+MONTH(B4951)-MONTH(parametros!$C$2))/12)))))</f>
        <v/>
      </c>
      <c r="D4951" s="394"/>
      <c r="E4951" s="78" t="str">
        <f>IF(C4951="","",IFERROR(VLOOKUP(C4951,parametros!$A$11:$E$15,5,0),""))</f>
        <v/>
      </c>
      <c r="F4951" s="79" t="str">
        <f t="shared" si="387"/>
        <v/>
      </c>
      <c r="G4951" s="395"/>
      <c r="H4951" s="91">
        <f t="shared" si="388"/>
        <v>0</v>
      </c>
      <c r="I4951" s="91" t="str">
        <f t="shared" si="389"/>
        <v/>
      </c>
      <c r="J4951" s="91" t="str">
        <f t="shared" si="390"/>
        <v/>
      </c>
      <c r="K4951" s="92" t="str">
        <f>IF(AND(A4951="",B4951="",D4951="",G4951=""),"",IF(AND(A4951&lt;&gt;"",COUNTIF($A$2:$A$5001,A4951)&gt;1),"NUMERO_PC duplicado",IF(B4951="","DATA_PC vazia",IF(NOT(ISNUMBER(B4951)),"DATA_PC invalida",IF(OR(C4951="",C4951="Fora dos ciclos"),"CICLO_PC nao identificado",IF(OR(D4951="",D4951=0),"VALOR_PC vazio ou zero",IF(AND(G4951&lt;&gt;"Sim",G4951&lt;&gt;"Nao",G4951&lt;&gt;""),"PC_PAGO_A_CONTRATADA invalido",IF(AND(C4951&lt;&gt;"C0",IFERROR(INDEX(parametros!$A$2:$A$6,MATCH(C4951,parametros!$B$2:$B$6,0)),"")="Sim",IFERROR(INDEX(parametros!$H$2:$H$6,MATCH(C4951,parametros!$B$2:$B$6,0)),"")=""),"INICIO_EFEITO ausente: PC "&amp;A4951&amp;" - "&amp;C4951,IF(L4951="","EFEITO_PC nao calculado: PC "&amp;A4951&amp;" - "&amp;C4951,"OK")))))))))</f>
        <v/>
      </c>
      <c r="L4951" s="92" t="str">
        <f>IF(AND(A4951="",B4951="",D4951="",G4951=""),"",IF(OR(B4951="",NOT(ISNUMBER(B4951)),C4951="",C4951="Fora dos ciclos"),"",IF(C4951="C0","Nao",IF(IFERROR(INDEX(parametros!$A$2:$A$6,MATCH(C4951,parametros!$B$2:$B$6,0)),"")&lt;&gt;"Sim","Nao",IF(IFERROR(INDEX(parametros!$H$2:$H$6,MATCH(C4951,parametros!$B$2:$B$6,0)),"")="","",IF(B4951&gt;=IFERROR(INDEX(parametros!$H$2:$H$6,MATCH(C4951,parametros!$B$2:$B$6,0)),""),"Sim","Nao"))))))</f>
        <v/>
      </c>
      <c r="T4951" s="156"/>
      <c r="U4951" s="214" t="str">
        <f t="shared" si="391"/>
        <v/>
      </c>
      <c r="V4951" s="212" t="s">
        <v>50</v>
      </c>
      <c r="W4951" s="100" t="s">
        <v>168</v>
      </c>
      <c r="X4951" s="100" t="s">
        <v>169</v>
      </c>
      <c r="Y4951" s="101" t="s">
        <v>170</v>
      </c>
      <c r="Z4951" s="101" t="s">
        <v>171</v>
      </c>
      <c r="AA4951" s="101" t="s">
        <v>50</v>
      </c>
      <c r="AB4951" s="101" t="s">
        <v>172</v>
      </c>
      <c r="AC4951" s="102" t="s">
        <v>173</v>
      </c>
    </row>
    <row r="4952" spans="1:29" ht="25.5" customHeight="1" x14ac:dyDescent="0.35">
      <c r="A4952" s="392"/>
      <c r="B4952" s="393"/>
      <c r="C4952" s="99" t="str">
        <f>IF(B4952="","",IF(NOT(ISNUMBER(B4952)),"DATA_PC invalida",IF(NOT(ISNUMBER(parametros!$C$2)),"Fora dos ciclos",IF(OR(B4952&lt;parametros!$C$2,(YEAR(B4952)-YEAR(parametros!$C$2))*12+MONTH(B4952)-MONTH(parametros!$C$2)&gt;59),"Fora dos ciclos","C"&amp;INT(((YEAR(B4952)-YEAR(parametros!$C$2))*12+MONTH(B4952)-MONTH(parametros!$C$2))/12)))))</f>
        <v/>
      </c>
      <c r="D4952" s="394"/>
      <c r="E4952" s="78" t="str">
        <f>IF(C4952="","",IFERROR(VLOOKUP(C4952,parametros!$A$11:$E$15,5,0),""))</f>
        <v/>
      </c>
      <c r="F4952" s="79" t="str">
        <f t="shared" si="387"/>
        <v/>
      </c>
      <c r="G4952" s="395"/>
      <c r="H4952" s="91">
        <f t="shared" si="388"/>
        <v>0</v>
      </c>
      <c r="I4952" s="91" t="str">
        <f t="shared" si="389"/>
        <v/>
      </c>
      <c r="J4952" s="91" t="str">
        <f t="shared" si="390"/>
        <v/>
      </c>
      <c r="K4952" s="92" t="str">
        <f>IF(AND(A4952="",B4952="",D4952="",G4952=""),"",IF(AND(A4952&lt;&gt;"",COUNTIF($A$2:$A$5001,A4952)&gt;1),"NUMERO_PC duplicado",IF(B4952="","DATA_PC vazia",IF(NOT(ISNUMBER(B4952)),"DATA_PC invalida",IF(OR(C4952="",C4952="Fora dos ciclos"),"CICLO_PC nao identificado",IF(OR(D4952="",D4952=0),"VALOR_PC vazio ou zero",IF(AND(G4952&lt;&gt;"Sim",G4952&lt;&gt;"Nao",G4952&lt;&gt;""),"PC_PAGO_A_CONTRATADA invalido",IF(AND(C4952&lt;&gt;"C0",IFERROR(INDEX(parametros!$A$2:$A$6,MATCH(C4952,parametros!$B$2:$B$6,0)),"")="Sim",IFERROR(INDEX(parametros!$H$2:$H$6,MATCH(C4952,parametros!$B$2:$B$6,0)),"")=""),"INICIO_EFEITO ausente: PC "&amp;A4952&amp;" - "&amp;C4952,IF(L4952="","EFEITO_PC nao calculado: PC "&amp;A4952&amp;" - "&amp;C4952,"OK")))))))))</f>
        <v/>
      </c>
      <c r="L4952" s="92" t="str">
        <f>IF(AND(A4952="",B4952="",D4952="",G4952=""),"",IF(OR(B4952="",NOT(ISNUMBER(B4952)),C4952="",C4952="Fora dos ciclos"),"",IF(C4952="C0","Nao",IF(IFERROR(INDEX(parametros!$A$2:$A$6,MATCH(C4952,parametros!$B$2:$B$6,0)),"")&lt;&gt;"Sim","Nao",IF(IFERROR(INDEX(parametros!$H$2:$H$6,MATCH(C4952,parametros!$B$2:$B$6,0)),"")="","",IF(B4952&gt;=IFERROR(INDEX(parametros!$H$2:$H$6,MATCH(C4952,parametros!$B$2:$B$6,0)),""),"Sim","Nao"))))))</f>
        <v/>
      </c>
      <c r="T4952" s="156"/>
      <c r="U4952" s="214" t="str">
        <f t="shared" si="391"/>
        <v/>
      </c>
      <c r="V4952" s="212" t="s">
        <v>50</v>
      </c>
      <c r="W4952" s="100" t="s">
        <v>168</v>
      </c>
      <c r="X4952" s="100" t="s">
        <v>169</v>
      </c>
      <c r="Y4952" s="101" t="s">
        <v>170</v>
      </c>
      <c r="Z4952" s="101" t="s">
        <v>171</v>
      </c>
      <c r="AA4952" s="101" t="s">
        <v>50</v>
      </c>
      <c r="AB4952" s="101" t="s">
        <v>172</v>
      </c>
      <c r="AC4952" s="102" t="s">
        <v>173</v>
      </c>
    </row>
    <row r="4953" spans="1:29" ht="25.5" customHeight="1" x14ac:dyDescent="0.35">
      <c r="A4953" s="392"/>
      <c r="B4953" s="393"/>
      <c r="C4953" s="99" t="str">
        <f>IF(B4953="","",IF(NOT(ISNUMBER(B4953)),"DATA_PC invalida",IF(NOT(ISNUMBER(parametros!$C$2)),"Fora dos ciclos",IF(OR(B4953&lt;parametros!$C$2,(YEAR(B4953)-YEAR(parametros!$C$2))*12+MONTH(B4953)-MONTH(parametros!$C$2)&gt;59),"Fora dos ciclos","C"&amp;INT(((YEAR(B4953)-YEAR(parametros!$C$2))*12+MONTH(B4953)-MONTH(parametros!$C$2))/12)))))</f>
        <v/>
      </c>
      <c r="D4953" s="394"/>
      <c r="E4953" s="78" t="str">
        <f>IF(C4953="","",IFERROR(VLOOKUP(C4953,parametros!$A$11:$E$15,5,0),""))</f>
        <v/>
      </c>
      <c r="F4953" s="79" t="str">
        <f t="shared" si="387"/>
        <v/>
      </c>
      <c r="G4953" s="395"/>
      <c r="H4953" s="91">
        <f t="shared" si="388"/>
        <v>0</v>
      </c>
      <c r="I4953" s="91" t="str">
        <f t="shared" si="389"/>
        <v/>
      </c>
      <c r="J4953" s="91" t="str">
        <f t="shared" si="390"/>
        <v/>
      </c>
      <c r="K4953" s="92" t="str">
        <f>IF(AND(A4953="",B4953="",D4953="",G4953=""),"",IF(AND(A4953&lt;&gt;"",COUNTIF($A$2:$A$5001,A4953)&gt;1),"NUMERO_PC duplicado",IF(B4953="","DATA_PC vazia",IF(NOT(ISNUMBER(B4953)),"DATA_PC invalida",IF(OR(C4953="",C4953="Fora dos ciclos"),"CICLO_PC nao identificado",IF(OR(D4953="",D4953=0),"VALOR_PC vazio ou zero",IF(AND(G4953&lt;&gt;"Sim",G4953&lt;&gt;"Nao",G4953&lt;&gt;""),"PC_PAGO_A_CONTRATADA invalido",IF(AND(C4953&lt;&gt;"C0",IFERROR(INDEX(parametros!$A$2:$A$6,MATCH(C4953,parametros!$B$2:$B$6,0)),"")="Sim",IFERROR(INDEX(parametros!$H$2:$H$6,MATCH(C4953,parametros!$B$2:$B$6,0)),"")=""),"INICIO_EFEITO ausente: PC "&amp;A4953&amp;" - "&amp;C4953,IF(L4953="","EFEITO_PC nao calculado: PC "&amp;A4953&amp;" - "&amp;C4953,"OK")))))))))</f>
        <v/>
      </c>
      <c r="L4953" s="92" t="str">
        <f>IF(AND(A4953="",B4953="",D4953="",G4953=""),"",IF(OR(B4953="",NOT(ISNUMBER(B4953)),C4953="",C4953="Fora dos ciclos"),"",IF(C4953="C0","Nao",IF(IFERROR(INDEX(parametros!$A$2:$A$6,MATCH(C4953,parametros!$B$2:$B$6,0)),"")&lt;&gt;"Sim","Nao",IF(IFERROR(INDEX(parametros!$H$2:$H$6,MATCH(C4953,parametros!$B$2:$B$6,0)),"")="","",IF(B4953&gt;=IFERROR(INDEX(parametros!$H$2:$H$6,MATCH(C4953,parametros!$B$2:$B$6,0)),""),"Sim","Nao"))))))</f>
        <v/>
      </c>
      <c r="T4953" s="156"/>
      <c r="U4953" s="214" t="str">
        <f t="shared" si="391"/>
        <v/>
      </c>
      <c r="V4953" s="212" t="s">
        <v>50</v>
      </c>
      <c r="W4953" s="100" t="s">
        <v>168</v>
      </c>
      <c r="X4953" s="100" t="s">
        <v>169</v>
      </c>
      <c r="Y4953" s="101" t="s">
        <v>170</v>
      </c>
      <c r="Z4953" s="101" t="s">
        <v>171</v>
      </c>
      <c r="AA4953" s="101" t="s">
        <v>50</v>
      </c>
      <c r="AB4953" s="101" t="s">
        <v>172</v>
      </c>
      <c r="AC4953" s="102" t="s">
        <v>173</v>
      </c>
    </row>
    <row r="4954" spans="1:29" ht="25.5" customHeight="1" x14ac:dyDescent="0.35">
      <c r="A4954" s="392"/>
      <c r="B4954" s="393"/>
      <c r="C4954" s="99" t="str">
        <f>IF(B4954="","",IF(NOT(ISNUMBER(B4954)),"DATA_PC invalida",IF(NOT(ISNUMBER(parametros!$C$2)),"Fora dos ciclos",IF(OR(B4954&lt;parametros!$C$2,(YEAR(B4954)-YEAR(parametros!$C$2))*12+MONTH(B4954)-MONTH(parametros!$C$2)&gt;59),"Fora dos ciclos","C"&amp;INT(((YEAR(B4954)-YEAR(parametros!$C$2))*12+MONTH(B4954)-MONTH(parametros!$C$2))/12)))))</f>
        <v/>
      </c>
      <c r="D4954" s="394"/>
      <c r="E4954" s="78" t="str">
        <f>IF(C4954="","",IFERROR(VLOOKUP(C4954,parametros!$A$11:$E$15,5,0),""))</f>
        <v/>
      </c>
      <c r="F4954" s="79" t="str">
        <f t="shared" si="387"/>
        <v/>
      </c>
      <c r="G4954" s="395"/>
      <c r="H4954" s="91">
        <f t="shared" si="388"/>
        <v>0</v>
      </c>
      <c r="I4954" s="91" t="str">
        <f t="shared" si="389"/>
        <v/>
      </c>
      <c r="J4954" s="91" t="str">
        <f t="shared" si="390"/>
        <v/>
      </c>
      <c r="K4954" s="92" t="str">
        <f>IF(AND(A4954="",B4954="",D4954="",G4954=""),"",IF(AND(A4954&lt;&gt;"",COUNTIF($A$2:$A$5001,A4954)&gt;1),"NUMERO_PC duplicado",IF(B4954="","DATA_PC vazia",IF(NOT(ISNUMBER(B4954)),"DATA_PC invalida",IF(OR(C4954="",C4954="Fora dos ciclos"),"CICLO_PC nao identificado",IF(OR(D4954="",D4954=0),"VALOR_PC vazio ou zero",IF(AND(G4954&lt;&gt;"Sim",G4954&lt;&gt;"Nao",G4954&lt;&gt;""),"PC_PAGO_A_CONTRATADA invalido",IF(AND(C4954&lt;&gt;"C0",IFERROR(INDEX(parametros!$A$2:$A$6,MATCH(C4954,parametros!$B$2:$B$6,0)),"")="Sim",IFERROR(INDEX(parametros!$H$2:$H$6,MATCH(C4954,parametros!$B$2:$B$6,0)),"")=""),"INICIO_EFEITO ausente: PC "&amp;A4954&amp;" - "&amp;C4954,IF(L4954="","EFEITO_PC nao calculado: PC "&amp;A4954&amp;" - "&amp;C4954,"OK")))))))))</f>
        <v/>
      </c>
      <c r="L4954" s="92" t="str">
        <f>IF(AND(A4954="",B4954="",D4954="",G4954=""),"",IF(OR(B4954="",NOT(ISNUMBER(B4954)),C4954="",C4954="Fora dos ciclos"),"",IF(C4954="C0","Nao",IF(IFERROR(INDEX(parametros!$A$2:$A$6,MATCH(C4954,parametros!$B$2:$B$6,0)),"")&lt;&gt;"Sim","Nao",IF(IFERROR(INDEX(parametros!$H$2:$H$6,MATCH(C4954,parametros!$B$2:$B$6,0)),"")="","",IF(B4954&gt;=IFERROR(INDEX(parametros!$H$2:$H$6,MATCH(C4954,parametros!$B$2:$B$6,0)),""),"Sim","Nao"))))))</f>
        <v/>
      </c>
      <c r="T4954" s="156"/>
      <c r="U4954" s="214" t="str">
        <f t="shared" si="391"/>
        <v/>
      </c>
      <c r="V4954" s="212" t="s">
        <v>50</v>
      </c>
      <c r="W4954" s="100" t="s">
        <v>168</v>
      </c>
      <c r="X4954" s="100" t="s">
        <v>169</v>
      </c>
      <c r="Y4954" s="101" t="s">
        <v>170</v>
      </c>
      <c r="Z4954" s="101" t="s">
        <v>171</v>
      </c>
      <c r="AA4954" s="101" t="s">
        <v>50</v>
      </c>
      <c r="AB4954" s="101" t="s">
        <v>172</v>
      </c>
      <c r="AC4954" s="102" t="s">
        <v>173</v>
      </c>
    </row>
    <row r="4955" spans="1:29" ht="25.5" customHeight="1" x14ac:dyDescent="0.35">
      <c r="A4955" s="392"/>
      <c r="B4955" s="393"/>
      <c r="C4955" s="99" t="str">
        <f>IF(B4955="","",IF(NOT(ISNUMBER(B4955)),"DATA_PC invalida",IF(NOT(ISNUMBER(parametros!$C$2)),"Fora dos ciclos",IF(OR(B4955&lt;parametros!$C$2,(YEAR(B4955)-YEAR(parametros!$C$2))*12+MONTH(B4955)-MONTH(parametros!$C$2)&gt;59),"Fora dos ciclos","C"&amp;INT(((YEAR(B4955)-YEAR(parametros!$C$2))*12+MONTH(B4955)-MONTH(parametros!$C$2))/12)))))</f>
        <v/>
      </c>
      <c r="D4955" s="394"/>
      <c r="E4955" s="78" t="str">
        <f>IF(C4955="","",IFERROR(VLOOKUP(C4955,parametros!$A$11:$E$15,5,0),""))</f>
        <v/>
      </c>
      <c r="F4955" s="79" t="str">
        <f t="shared" si="387"/>
        <v/>
      </c>
      <c r="G4955" s="395"/>
      <c r="H4955" s="91">
        <f t="shared" si="388"/>
        <v>0</v>
      </c>
      <c r="I4955" s="91" t="str">
        <f t="shared" si="389"/>
        <v/>
      </c>
      <c r="J4955" s="91" t="str">
        <f t="shared" si="390"/>
        <v/>
      </c>
      <c r="K4955" s="92" t="str">
        <f>IF(AND(A4955="",B4955="",D4955="",G4955=""),"",IF(AND(A4955&lt;&gt;"",COUNTIF($A$2:$A$5001,A4955)&gt;1),"NUMERO_PC duplicado",IF(B4955="","DATA_PC vazia",IF(NOT(ISNUMBER(B4955)),"DATA_PC invalida",IF(OR(C4955="",C4955="Fora dos ciclos"),"CICLO_PC nao identificado",IF(OR(D4955="",D4955=0),"VALOR_PC vazio ou zero",IF(AND(G4955&lt;&gt;"Sim",G4955&lt;&gt;"Nao",G4955&lt;&gt;""),"PC_PAGO_A_CONTRATADA invalido",IF(AND(C4955&lt;&gt;"C0",IFERROR(INDEX(parametros!$A$2:$A$6,MATCH(C4955,parametros!$B$2:$B$6,0)),"")="Sim",IFERROR(INDEX(parametros!$H$2:$H$6,MATCH(C4955,parametros!$B$2:$B$6,0)),"")=""),"INICIO_EFEITO ausente: PC "&amp;A4955&amp;" - "&amp;C4955,IF(L4955="","EFEITO_PC nao calculado: PC "&amp;A4955&amp;" - "&amp;C4955,"OK")))))))))</f>
        <v/>
      </c>
      <c r="L4955" s="92" t="str">
        <f>IF(AND(A4955="",B4955="",D4955="",G4955=""),"",IF(OR(B4955="",NOT(ISNUMBER(B4955)),C4955="",C4955="Fora dos ciclos"),"",IF(C4955="C0","Nao",IF(IFERROR(INDEX(parametros!$A$2:$A$6,MATCH(C4955,parametros!$B$2:$B$6,0)),"")&lt;&gt;"Sim","Nao",IF(IFERROR(INDEX(parametros!$H$2:$H$6,MATCH(C4955,parametros!$B$2:$B$6,0)),"")="","",IF(B4955&gt;=IFERROR(INDEX(parametros!$H$2:$H$6,MATCH(C4955,parametros!$B$2:$B$6,0)),""),"Sim","Nao"))))))</f>
        <v/>
      </c>
      <c r="T4955" s="156"/>
      <c r="U4955" s="214" t="str">
        <f t="shared" si="391"/>
        <v/>
      </c>
      <c r="V4955" s="212" t="s">
        <v>50</v>
      </c>
      <c r="W4955" s="100" t="s">
        <v>168</v>
      </c>
      <c r="X4955" s="100" t="s">
        <v>169</v>
      </c>
      <c r="Y4955" s="101" t="s">
        <v>170</v>
      </c>
      <c r="Z4955" s="101" t="s">
        <v>171</v>
      </c>
      <c r="AA4955" s="101" t="s">
        <v>50</v>
      </c>
      <c r="AB4955" s="101" t="s">
        <v>172</v>
      </c>
      <c r="AC4955" s="102" t="s">
        <v>173</v>
      </c>
    </row>
    <row r="4956" spans="1:29" ht="25.5" customHeight="1" x14ac:dyDescent="0.35">
      <c r="A4956" s="392"/>
      <c r="B4956" s="393"/>
      <c r="C4956" s="99" t="str">
        <f>IF(B4956="","",IF(NOT(ISNUMBER(B4956)),"DATA_PC invalida",IF(NOT(ISNUMBER(parametros!$C$2)),"Fora dos ciclos",IF(OR(B4956&lt;parametros!$C$2,(YEAR(B4956)-YEAR(parametros!$C$2))*12+MONTH(B4956)-MONTH(parametros!$C$2)&gt;59),"Fora dos ciclos","C"&amp;INT(((YEAR(B4956)-YEAR(parametros!$C$2))*12+MONTH(B4956)-MONTH(parametros!$C$2))/12)))))</f>
        <v/>
      </c>
      <c r="D4956" s="394"/>
      <c r="E4956" s="78" t="str">
        <f>IF(C4956="","",IFERROR(VLOOKUP(C4956,parametros!$A$11:$E$15,5,0),""))</f>
        <v/>
      </c>
      <c r="F4956" s="79" t="str">
        <f t="shared" si="387"/>
        <v/>
      </c>
      <c r="G4956" s="395"/>
      <c r="H4956" s="91">
        <f t="shared" si="388"/>
        <v>0</v>
      </c>
      <c r="I4956" s="91" t="str">
        <f t="shared" si="389"/>
        <v/>
      </c>
      <c r="J4956" s="91" t="str">
        <f t="shared" si="390"/>
        <v/>
      </c>
      <c r="K4956" s="92" t="str">
        <f>IF(AND(A4956="",B4956="",D4956="",G4956=""),"",IF(AND(A4956&lt;&gt;"",COUNTIF($A$2:$A$5001,A4956)&gt;1),"NUMERO_PC duplicado",IF(B4956="","DATA_PC vazia",IF(NOT(ISNUMBER(B4956)),"DATA_PC invalida",IF(OR(C4956="",C4956="Fora dos ciclos"),"CICLO_PC nao identificado",IF(OR(D4956="",D4956=0),"VALOR_PC vazio ou zero",IF(AND(G4956&lt;&gt;"Sim",G4956&lt;&gt;"Nao",G4956&lt;&gt;""),"PC_PAGO_A_CONTRATADA invalido",IF(AND(C4956&lt;&gt;"C0",IFERROR(INDEX(parametros!$A$2:$A$6,MATCH(C4956,parametros!$B$2:$B$6,0)),"")="Sim",IFERROR(INDEX(parametros!$H$2:$H$6,MATCH(C4956,parametros!$B$2:$B$6,0)),"")=""),"INICIO_EFEITO ausente: PC "&amp;A4956&amp;" - "&amp;C4956,IF(L4956="","EFEITO_PC nao calculado: PC "&amp;A4956&amp;" - "&amp;C4956,"OK")))))))))</f>
        <v/>
      </c>
      <c r="L4956" s="92" t="str">
        <f>IF(AND(A4956="",B4956="",D4956="",G4956=""),"",IF(OR(B4956="",NOT(ISNUMBER(B4956)),C4956="",C4956="Fora dos ciclos"),"",IF(C4956="C0","Nao",IF(IFERROR(INDEX(parametros!$A$2:$A$6,MATCH(C4956,parametros!$B$2:$B$6,0)),"")&lt;&gt;"Sim","Nao",IF(IFERROR(INDEX(parametros!$H$2:$H$6,MATCH(C4956,parametros!$B$2:$B$6,0)),"")="","",IF(B4956&gt;=IFERROR(INDEX(parametros!$H$2:$H$6,MATCH(C4956,parametros!$B$2:$B$6,0)),""),"Sim","Nao"))))))</f>
        <v/>
      </c>
      <c r="T4956" s="156"/>
      <c r="U4956" s="214" t="str">
        <f t="shared" si="391"/>
        <v/>
      </c>
      <c r="V4956" s="212" t="s">
        <v>50</v>
      </c>
      <c r="W4956" s="100" t="s">
        <v>168</v>
      </c>
      <c r="X4956" s="100" t="s">
        <v>169</v>
      </c>
      <c r="Y4956" s="101" t="s">
        <v>170</v>
      </c>
      <c r="Z4956" s="101" t="s">
        <v>171</v>
      </c>
      <c r="AA4956" s="101" t="s">
        <v>50</v>
      </c>
      <c r="AB4956" s="101" t="s">
        <v>172</v>
      </c>
      <c r="AC4956" s="102" t="s">
        <v>173</v>
      </c>
    </row>
    <row r="4957" spans="1:29" ht="25.5" customHeight="1" x14ac:dyDescent="0.35">
      <c r="A4957" s="392"/>
      <c r="B4957" s="393"/>
      <c r="C4957" s="99" t="str">
        <f>IF(B4957="","",IF(NOT(ISNUMBER(B4957)),"DATA_PC invalida",IF(NOT(ISNUMBER(parametros!$C$2)),"Fora dos ciclos",IF(OR(B4957&lt;parametros!$C$2,(YEAR(B4957)-YEAR(parametros!$C$2))*12+MONTH(B4957)-MONTH(parametros!$C$2)&gt;59),"Fora dos ciclos","C"&amp;INT(((YEAR(B4957)-YEAR(parametros!$C$2))*12+MONTH(B4957)-MONTH(parametros!$C$2))/12)))))</f>
        <v/>
      </c>
      <c r="D4957" s="394"/>
      <c r="E4957" s="78" t="str">
        <f>IF(C4957="","",IFERROR(VLOOKUP(C4957,parametros!$A$11:$E$15,5,0),""))</f>
        <v/>
      </c>
      <c r="F4957" s="79" t="str">
        <f t="shared" si="387"/>
        <v/>
      </c>
      <c r="G4957" s="395"/>
      <c r="H4957" s="91">
        <f t="shared" si="388"/>
        <v>0</v>
      </c>
      <c r="I4957" s="91" t="str">
        <f t="shared" si="389"/>
        <v/>
      </c>
      <c r="J4957" s="91" t="str">
        <f t="shared" si="390"/>
        <v/>
      </c>
      <c r="K4957" s="92" t="str">
        <f>IF(AND(A4957="",B4957="",D4957="",G4957=""),"",IF(AND(A4957&lt;&gt;"",COUNTIF($A$2:$A$5001,A4957)&gt;1),"NUMERO_PC duplicado",IF(B4957="","DATA_PC vazia",IF(NOT(ISNUMBER(B4957)),"DATA_PC invalida",IF(OR(C4957="",C4957="Fora dos ciclos"),"CICLO_PC nao identificado",IF(OR(D4957="",D4957=0),"VALOR_PC vazio ou zero",IF(AND(G4957&lt;&gt;"Sim",G4957&lt;&gt;"Nao",G4957&lt;&gt;""),"PC_PAGO_A_CONTRATADA invalido",IF(AND(C4957&lt;&gt;"C0",IFERROR(INDEX(parametros!$A$2:$A$6,MATCH(C4957,parametros!$B$2:$B$6,0)),"")="Sim",IFERROR(INDEX(parametros!$H$2:$H$6,MATCH(C4957,parametros!$B$2:$B$6,0)),"")=""),"INICIO_EFEITO ausente: PC "&amp;A4957&amp;" - "&amp;C4957,IF(L4957="","EFEITO_PC nao calculado: PC "&amp;A4957&amp;" - "&amp;C4957,"OK")))))))))</f>
        <v/>
      </c>
      <c r="L4957" s="92" t="str">
        <f>IF(AND(A4957="",B4957="",D4957="",G4957=""),"",IF(OR(B4957="",NOT(ISNUMBER(B4957)),C4957="",C4957="Fora dos ciclos"),"",IF(C4957="C0","Nao",IF(IFERROR(INDEX(parametros!$A$2:$A$6,MATCH(C4957,parametros!$B$2:$B$6,0)),"")&lt;&gt;"Sim","Nao",IF(IFERROR(INDEX(parametros!$H$2:$H$6,MATCH(C4957,parametros!$B$2:$B$6,0)),"")="","",IF(B4957&gt;=IFERROR(INDEX(parametros!$H$2:$H$6,MATCH(C4957,parametros!$B$2:$B$6,0)),""),"Sim","Nao"))))))</f>
        <v/>
      </c>
      <c r="T4957" s="156"/>
      <c r="U4957" s="214" t="str">
        <f t="shared" si="391"/>
        <v/>
      </c>
      <c r="V4957" s="212" t="s">
        <v>50</v>
      </c>
      <c r="W4957" s="100" t="s">
        <v>168</v>
      </c>
      <c r="X4957" s="100" t="s">
        <v>169</v>
      </c>
      <c r="Y4957" s="101" t="s">
        <v>170</v>
      </c>
      <c r="Z4957" s="101" t="s">
        <v>171</v>
      </c>
      <c r="AA4957" s="101" t="s">
        <v>50</v>
      </c>
      <c r="AB4957" s="101" t="s">
        <v>172</v>
      </c>
      <c r="AC4957" s="102" t="s">
        <v>173</v>
      </c>
    </row>
    <row r="4958" spans="1:29" ht="25.5" customHeight="1" x14ac:dyDescent="0.35">
      <c r="A4958" s="392"/>
      <c r="B4958" s="393"/>
      <c r="C4958" s="99" t="str">
        <f>IF(B4958="","",IF(NOT(ISNUMBER(B4958)),"DATA_PC invalida",IF(NOT(ISNUMBER(parametros!$C$2)),"Fora dos ciclos",IF(OR(B4958&lt;parametros!$C$2,(YEAR(B4958)-YEAR(parametros!$C$2))*12+MONTH(B4958)-MONTH(parametros!$C$2)&gt;59),"Fora dos ciclos","C"&amp;INT(((YEAR(B4958)-YEAR(parametros!$C$2))*12+MONTH(B4958)-MONTH(parametros!$C$2))/12)))))</f>
        <v/>
      </c>
      <c r="D4958" s="394"/>
      <c r="E4958" s="78" t="str">
        <f>IF(C4958="","",IFERROR(VLOOKUP(C4958,parametros!$A$11:$E$15,5,0),""))</f>
        <v/>
      </c>
      <c r="F4958" s="79" t="str">
        <f t="shared" si="387"/>
        <v/>
      </c>
      <c r="G4958" s="395"/>
      <c r="H4958" s="91">
        <f t="shared" si="388"/>
        <v>0</v>
      </c>
      <c r="I4958" s="91" t="str">
        <f t="shared" si="389"/>
        <v/>
      </c>
      <c r="J4958" s="91" t="str">
        <f t="shared" si="390"/>
        <v/>
      </c>
      <c r="K4958" s="92" t="str">
        <f>IF(AND(A4958="",B4958="",D4958="",G4958=""),"",IF(AND(A4958&lt;&gt;"",COUNTIF($A$2:$A$5001,A4958)&gt;1),"NUMERO_PC duplicado",IF(B4958="","DATA_PC vazia",IF(NOT(ISNUMBER(B4958)),"DATA_PC invalida",IF(OR(C4958="",C4958="Fora dos ciclos"),"CICLO_PC nao identificado",IF(OR(D4958="",D4958=0),"VALOR_PC vazio ou zero",IF(AND(G4958&lt;&gt;"Sim",G4958&lt;&gt;"Nao",G4958&lt;&gt;""),"PC_PAGO_A_CONTRATADA invalido",IF(AND(C4958&lt;&gt;"C0",IFERROR(INDEX(parametros!$A$2:$A$6,MATCH(C4958,parametros!$B$2:$B$6,0)),"")="Sim",IFERROR(INDEX(parametros!$H$2:$H$6,MATCH(C4958,parametros!$B$2:$B$6,0)),"")=""),"INICIO_EFEITO ausente: PC "&amp;A4958&amp;" - "&amp;C4958,IF(L4958="","EFEITO_PC nao calculado: PC "&amp;A4958&amp;" - "&amp;C4958,"OK")))))))))</f>
        <v/>
      </c>
      <c r="L4958" s="92" t="str">
        <f>IF(AND(A4958="",B4958="",D4958="",G4958=""),"",IF(OR(B4958="",NOT(ISNUMBER(B4958)),C4958="",C4958="Fora dos ciclos"),"",IF(C4958="C0","Nao",IF(IFERROR(INDEX(parametros!$A$2:$A$6,MATCH(C4958,parametros!$B$2:$B$6,0)),"")&lt;&gt;"Sim","Nao",IF(IFERROR(INDEX(parametros!$H$2:$H$6,MATCH(C4958,parametros!$B$2:$B$6,0)),"")="","",IF(B4958&gt;=IFERROR(INDEX(parametros!$H$2:$H$6,MATCH(C4958,parametros!$B$2:$B$6,0)),""),"Sim","Nao"))))))</f>
        <v/>
      </c>
      <c r="T4958" s="156"/>
      <c r="U4958" s="214" t="str">
        <f t="shared" si="391"/>
        <v/>
      </c>
      <c r="V4958" s="212" t="s">
        <v>50</v>
      </c>
      <c r="W4958" s="100" t="s">
        <v>168</v>
      </c>
      <c r="X4958" s="100" t="s">
        <v>169</v>
      </c>
      <c r="Y4958" s="101" t="s">
        <v>170</v>
      </c>
      <c r="Z4958" s="101" t="s">
        <v>171</v>
      </c>
      <c r="AA4958" s="101" t="s">
        <v>50</v>
      </c>
      <c r="AB4958" s="101" t="s">
        <v>172</v>
      </c>
      <c r="AC4958" s="102" t="s">
        <v>173</v>
      </c>
    </row>
    <row r="4959" spans="1:29" ht="25.5" customHeight="1" x14ac:dyDescent="0.35">
      <c r="A4959" s="392"/>
      <c r="B4959" s="393"/>
      <c r="C4959" s="99" t="str">
        <f>IF(B4959="","",IF(NOT(ISNUMBER(B4959)),"DATA_PC invalida",IF(NOT(ISNUMBER(parametros!$C$2)),"Fora dos ciclos",IF(OR(B4959&lt;parametros!$C$2,(YEAR(B4959)-YEAR(parametros!$C$2))*12+MONTH(B4959)-MONTH(parametros!$C$2)&gt;59),"Fora dos ciclos","C"&amp;INT(((YEAR(B4959)-YEAR(parametros!$C$2))*12+MONTH(B4959)-MONTH(parametros!$C$2))/12)))))</f>
        <v/>
      </c>
      <c r="D4959" s="394"/>
      <c r="E4959" s="78" t="str">
        <f>IF(C4959="","",IFERROR(VLOOKUP(C4959,parametros!$A$11:$E$15,5,0),""))</f>
        <v/>
      </c>
      <c r="F4959" s="79" t="str">
        <f t="shared" si="387"/>
        <v/>
      </c>
      <c r="G4959" s="395"/>
      <c r="H4959" s="91">
        <f t="shared" si="388"/>
        <v>0</v>
      </c>
      <c r="I4959" s="91" t="str">
        <f t="shared" si="389"/>
        <v/>
      </c>
      <c r="J4959" s="91" t="str">
        <f t="shared" si="390"/>
        <v/>
      </c>
      <c r="K4959" s="92" t="str">
        <f>IF(AND(A4959="",B4959="",D4959="",G4959=""),"",IF(AND(A4959&lt;&gt;"",COUNTIF($A$2:$A$5001,A4959)&gt;1),"NUMERO_PC duplicado",IF(B4959="","DATA_PC vazia",IF(NOT(ISNUMBER(B4959)),"DATA_PC invalida",IF(OR(C4959="",C4959="Fora dos ciclos"),"CICLO_PC nao identificado",IF(OR(D4959="",D4959=0),"VALOR_PC vazio ou zero",IF(AND(G4959&lt;&gt;"Sim",G4959&lt;&gt;"Nao",G4959&lt;&gt;""),"PC_PAGO_A_CONTRATADA invalido",IF(AND(C4959&lt;&gt;"C0",IFERROR(INDEX(parametros!$A$2:$A$6,MATCH(C4959,parametros!$B$2:$B$6,0)),"")="Sim",IFERROR(INDEX(parametros!$H$2:$H$6,MATCH(C4959,parametros!$B$2:$B$6,0)),"")=""),"INICIO_EFEITO ausente: PC "&amp;A4959&amp;" - "&amp;C4959,IF(L4959="","EFEITO_PC nao calculado: PC "&amp;A4959&amp;" - "&amp;C4959,"OK")))))))))</f>
        <v/>
      </c>
      <c r="L4959" s="92" t="str">
        <f>IF(AND(A4959="",B4959="",D4959="",G4959=""),"",IF(OR(B4959="",NOT(ISNUMBER(B4959)),C4959="",C4959="Fora dos ciclos"),"",IF(C4959="C0","Nao",IF(IFERROR(INDEX(parametros!$A$2:$A$6,MATCH(C4959,parametros!$B$2:$B$6,0)),"")&lt;&gt;"Sim","Nao",IF(IFERROR(INDEX(parametros!$H$2:$H$6,MATCH(C4959,parametros!$B$2:$B$6,0)),"")="","",IF(B4959&gt;=IFERROR(INDEX(parametros!$H$2:$H$6,MATCH(C4959,parametros!$B$2:$B$6,0)),""),"Sim","Nao"))))))</f>
        <v/>
      </c>
      <c r="T4959" s="156"/>
      <c r="U4959" s="214" t="str">
        <f t="shared" si="391"/>
        <v/>
      </c>
      <c r="V4959" s="212" t="s">
        <v>50</v>
      </c>
      <c r="W4959" s="100" t="s">
        <v>168</v>
      </c>
      <c r="X4959" s="100" t="s">
        <v>169</v>
      </c>
      <c r="Y4959" s="101" t="s">
        <v>170</v>
      </c>
      <c r="Z4959" s="101" t="s">
        <v>171</v>
      </c>
      <c r="AA4959" s="101" t="s">
        <v>50</v>
      </c>
      <c r="AB4959" s="101" t="s">
        <v>172</v>
      </c>
      <c r="AC4959" s="102" t="s">
        <v>173</v>
      </c>
    </row>
    <row r="4960" spans="1:29" ht="25.5" customHeight="1" x14ac:dyDescent="0.35">
      <c r="A4960" s="392"/>
      <c r="B4960" s="393"/>
      <c r="C4960" s="99" t="str">
        <f>IF(B4960="","",IF(NOT(ISNUMBER(B4960)),"DATA_PC invalida",IF(NOT(ISNUMBER(parametros!$C$2)),"Fora dos ciclos",IF(OR(B4960&lt;parametros!$C$2,(YEAR(B4960)-YEAR(parametros!$C$2))*12+MONTH(B4960)-MONTH(parametros!$C$2)&gt;59),"Fora dos ciclos","C"&amp;INT(((YEAR(B4960)-YEAR(parametros!$C$2))*12+MONTH(B4960)-MONTH(parametros!$C$2))/12)))))</f>
        <v/>
      </c>
      <c r="D4960" s="394"/>
      <c r="E4960" s="78" t="str">
        <f>IF(C4960="","",IFERROR(VLOOKUP(C4960,parametros!$A$11:$E$15,5,0),""))</f>
        <v/>
      </c>
      <c r="F4960" s="79" t="str">
        <f t="shared" si="387"/>
        <v/>
      </c>
      <c r="G4960" s="395"/>
      <c r="H4960" s="91">
        <f t="shared" si="388"/>
        <v>0</v>
      </c>
      <c r="I4960" s="91" t="str">
        <f t="shared" si="389"/>
        <v/>
      </c>
      <c r="J4960" s="91" t="str">
        <f t="shared" si="390"/>
        <v/>
      </c>
      <c r="K4960" s="92" t="str">
        <f>IF(AND(A4960="",B4960="",D4960="",G4960=""),"",IF(AND(A4960&lt;&gt;"",COUNTIF($A$2:$A$5001,A4960)&gt;1),"NUMERO_PC duplicado",IF(B4960="","DATA_PC vazia",IF(NOT(ISNUMBER(B4960)),"DATA_PC invalida",IF(OR(C4960="",C4960="Fora dos ciclos"),"CICLO_PC nao identificado",IF(OR(D4960="",D4960=0),"VALOR_PC vazio ou zero",IF(AND(G4960&lt;&gt;"Sim",G4960&lt;&gt;"Nao",G4960&lt;&gt;""),"PC_PAGO_A_CONTRATADA invalido",IF(AND(C4960&lt;&gt;"C0",IFERROR(INDEX(parametros!$A$2:$A$6,MATCH(C4960,parametros!$B$2:$B$6,0)),"")="Sim",IFERROR(INDEX(parametros!$H$2:$H$6,MATCH(C4960,parametros!$B$2:$B$6,0)),"")=""),"INICIO_EFEITO ausente: PC "&amp;A4960&amp;" - "&amp;C4960,IF(L4960="","EFEITO_PC nao calculado: PC "&amp;A4960&amp;" - "&amp;C4960,"OK")))))))))</f>
        <v/>
      </c>
      <c r="L4960" s="92" t="str">
        <f>IF(AND(A4960="",B4960="",D4960="",G4960=""),"",IF(OR(B4960="",NOT(ISNUMBER(B4960)),C4960="",C4960="Fora dos ciclos"),"",IF(C4960="C0","Nao",IF(IFERROR(INDEX(parametros!$A$2:$A$6,MATCH(C4960,parametros!$B$2:$B$6,0)),"")&lt;&gt;"Sim","Nao",IF(IFERROR(INDEX(parametros!$H$2:$H$6,MATCH(C4960,parametros!$B$2:$B$6,0)),"")="","",IF(B4960&gt;=IFERROR(INDEX(parametros!$H$2:$H$6,MATCH(C4960,parametros!$B$2:$B$6,0)),""),"Sim","Nao"))))))</f>
        <v/>
      </c>
      <c r="T4960" s="156"/>
      <c r="U4960" s="214" t="str">
        <f t="shared" si="391"/>
        <v/>
      </c>
      <c r="V4960" s="212" t="s">
        <v>50</v>
      </c>
      <c r="W4960" s="100" t="s">
        <v>168</v>
      </c>
      <c r="X4960" s="100" t="s">
        <v>169</v>
      </c>
      <c r="Y4960" s="101" t="s">
        <v>170</v>
      </c>
      <c r="Z4960" s="101" t="s">
        <v>171</v>
      </c>
      <c r="AA4960" s="101" t="s">
        <v>50</v>
      </c>
      <c r="AB4960" s="101" t="s">
        <v>172</v>
      </c>
      <c r="AC4960" s="102" t="s">
        <v>173</v>
      </c>
    </row>
    <row r="4961" spans="1:29" ht="25.5" customHeight="1" x14ac:dyDescent="0.35">
      <c r="A4961" s="392"/>
      <c r="B4961" s="393"/>
      <c r="C4961" s="99" t="str">
        <f>IF(B4961="","",IF(NOT(ISNUMBER(B4961)),"DATA_PC invalida",IF(NOT(ISNUMBER(parametros!$C$2)),"Fora dos ciclos",IF(OR(B4961&lt;parametros!$C$2,(YEAR(B4961)-YEAR(parametros!$C$2))*12+MONTH(B4961)-MONTH(parametros!$C$2)&gt;59),"Fora dos ciclos","C"&amp;INT(((YEAR(B4961)-YEAR(parametros!$C$2))*12+MONTH(B4961)-MONTH(parametros!$C$2))/12)))))</f>
        <v/>
      </c>
      <c r="D4961" s="394"/>
      <c r="E4961" s="78" t="str">
        <f>IF(C4961="","",IFERROR(VLOOKUP(C4961,parametros!$A$11:$E$15,5,0),""))</f>
        <v/>
      </c>
      <c r="F4961" s="79" t="str">
        <f t="shared" si="387"/>
        <v/>
      </c>
      <c r="G4961" s="395"/>
      <c r="H4961" s="91">
        <f t="shared" si="388"/>
        <v>0</v>
      </c>
      <c r="I4961" s="91" t="str">
        <f t="shared" si="389"/>
        <v/>
      </c>
      <c r="J4961" s="91" t="str">
        <f t="shared" si="390"/>
        <v/>
      </c>
      <c r="K4961" s="92" t="str">
        <f>IF(AND(A4961="",B4961="",D4961="",G4961=""),"",IF(AND(A4961&lt;&gt;"",COUNTIF($A$2:$A$5001,A4961)&gt;1),"NUMERO_PC duplicado",IF(B4961="","DATA_PC vazia",IF(NOT(ISNUMBER(B4961)),"DATA_PC invalida",IF(OR(C4961="",C4961="Fora dos ciclos"),"CICLO_PC nao identificado",IF(OR(D4961="",D4961=0),"VALOR_PC vazio ou zero",IF(AND(G4961&lt;&gt;"Sim",G4961&lt;&gt;"Nao",G4961&lt;&gt;""),"PC_PAGO_A_CONTRATADA invalido",IF(AND(C4961&lt;&gt;"C0",IFERROR(INDEX(parametros!$A$2:$A$6,MATCH(C4961,parametros!$B$2:$B$6,0)),"")="Sim",IFERROR(INDEX(parametros!$H$2:$H$6,MATCH(C4961,parametros!$B$2:$B$6,0)),"")=""),"INICIO_EFEITO ausente: PC "&amp;A4961&amp;" - "&amp;C4961,IF(L4961="","EFEITO_PC nao calculado: PC "&amp;A4961&amp;" - "&amp;C4961,"OK")))))))))</f>
        <v/>
      </c>
      <c r="L4961" s="92" t="str">
        <f>IF(AND(A4961="",B4961="",D4961="",G4961=""),"",IF(OR(B4961="",NOT(ISNUMBER(B4961)),C4961="",C4961="Fora dos ciclos"),"",IF(C4961="C0","Nao",IF(IFERROR(INDEX(parametros!$A$2:$A$6,MATCH(C4961,parametros!$B$2:$B$6,0)),"")&lt;&gt;"Sim","Nao",IF(IFERROR(INDEX(parametros!$H$2:$H$6,MATCH(C4961,parametros!$B$2:$B$6,0)),"")="","",IF(B4961&gt;=IFERROR(INDEX(parametros!$H$2:$H$6,MATCH(C4961,parametros!$B$2:$B$6,0)),""),"Sim","Nao"))))))</f>
        <v/>
      </c>
      <c r="T4961" s="156"/>
      <c r="U4961" s="214" t="str">
        <f t="shared" si="391"/>
        <v/>
      </c>
      <c r="V4961" s="212" t="s">
        <v>50</v>
      </c>
      <c r="W4961" s="100" t="s">
        <v>168</v>
      </c>
      <c r="X4961" s="100" t="s">
        <v>169</v>
      </c>
      <c r="Y4961" s="101" t="s">
        <v>170</v>
      </c>
      <c r="Z4961" s="101" t="s">
        <v>171</v>
      </c>
      <c r="AA4961" s="101" t="s">
        <v>50</v>
      </c>
      <c r="AB4961" s="101" t="s">
        <v>172</v>
      </c>
      <c r="AC4961" s="102" t="s">
        <v>173</v>
      </c>
    </row>
    <row r="4962" spans="1:29" ht="25.5" customHeight="1" x14ac:dyDescent="0.35">
      <c r="A4962" s="392"/>
      <c r="B4962" s="393"/>
      <c r="C4962" s="99" t="str">
        <f>IF(B4962="","",IF(NOT(ISNUMBER(B4962)),"DATA_PC invalida",IF(NOT(ISNUMBER(parametros!$C$2)),"Fora dos ciclos",IF(OR(B4962&lt;parametros!$C$2,(YEAR(B4962)-YEAR(parametros!$C$2))*12+MONTH(B4962)-MONTH(parametros!$C$2)&gt;59),"Fora dos ciclos","C"&amp;INT(((YEAR(B4962)-YEAR(parametros!$C$2))*12+MONTH(B4962)-MONTH(parametros!$C$2))/12)))))</f>
        <v/>
      </c>
      <c r="D4962" s="394"/>
      <c r="E4962" s="78" t="str">
        <f>IF(C4962="","",IFERROR(VLOOKUP(C4962,parametros!$A$11:$E$15,5,0),""))</f>
        <v/>
      </c>
      <c r="F4962" s="79" t="str">
        <f t="shared" si="387"/>
        <v/>
      </c>
      <c r="G4962" s="395"/>
      <c r="H4962" s="91">
        <f t="shared" si="388"/>
        <v>0</v>
      </c>
      <c r="I4962" s="91" t="str">
        <f t="shared" si="389"/>
        <v/>
      </c>
      <c r="J4962" s="91" t="str">
        <f t="shared" si="390"/>
        <v/>
      </c>
      <c r="K4962" s="92" t="str">
        <f>IF(AND(A4962="",B4962="",D4962="",G4962=""),"",IF(AND(A4962&lt;&gt;"",COUNTIF($A$2:$A$5001,A4962)&gt;1),"NUMERO_PC duplicado",IF(B4962="","DATA_PC vazia",IF(NOT(ISNUMBER(B4962)),"DATA_PC invalida",IF(OR(C4962="",C4962="Fora dos ciclos"),"CICLO_PC nao identificado",IF(OR(D4962="",D4962=0),"VALOR_PC vazio ou zero",IF(AND(G4962&lt;&gt;"Sim",G4962&lt;&gt;"Nao",G4962&lt;&gt;""),"PC_PAGO_A_CONTRATADA invalido",IF(AND(C4962&lt;&gt;"C0",IFERROR(INDEX(parametros!$A$2:$A$6,MATCH(C4962,parametros!$B$2:$B$6,0)),"")="Sim",IFERROR(INDEX(parametros!$H$2:$H$6,MATCH(C4962,parametros!$B$2:$B$6,0)),"")=""),"INICIO_EFEITO ausente: PC "&amp;A4962&amp;" - "&amp;C4962,IF(L4962="","EFEITO_PC nao calculado: PC "&amp;A4962&amp;" - "&amp;C4962,"OK")))))))))</f>
        <v/>
      </c>
      <c r="L4962" s="92" t="str">
        <f>IF(AND(A4962="",B4962="",D4962="",G4962=""),"",IF(OR(B4962="",NOT(ISNUMBER(B4962)),C4962="",C4962="Fora dos ciclos"),"",IF(C4962="C0","Nao",IF(IFERROR(INDEX(parametros!$A$2:$A$6,MATCH(C4962,parametros!$B$2:$B$6,0)),"")&lt;&gt;"Sim","Nao",IF(IFERROR(INDEX(parametros!$H$2:$H$6,MATCH(C4962,parametros!$B$2:$B$6,0)),"")="","",IF(B4962&gt;=IFERROR(INDEX(parametros!$H$2:$H$6,MATCH(C4962,parametros!$B$2:$B$6,0)),""),"Sim","Nao"))))))</f>
        <v/>
      </c>
      <c r="T4962" s="156"/>
      <c r="U4962" s="214" t="str">
        <f t="shared" si="391"/>
        <v/>
      </c>
      <c r="V4962" s="212" t="s">
        <v>50</v>
      </c>
      <c r="W4962" s="100" t="s">
        <v>168</v>
      </c>
      <c r="X4962" s="100" t="s">
        <v>169</v>
      </c>
      <c r="Y4962" s="101" t="s">
        <v>170</v>
      </c>
      <c r="Z4962" s="101" t="s">
        <v>171</v>
      </c>
      <c r="AA4962" s="101" t="s">
        <v>50</v>
      </c>
      <c r="AB4962" s="101" t="s">
        <v>172</v>
      </c>
      <c r="AC4962" s="102" t="s">
        <v>173</v>
      </c>
    </row>
    <row r="4963" spans="1:29" ht="25.5" customHeight="1" x14ac:dyDescent="0.35">
      <c r="A4963" s="392"/>
      <c r="B4963" s="393"/>
      <c r="C4963" s="99" t="str">
        <f>IF(B4963="","",IF(NOT(ISNUMBER(B4963)),"DATA_PC invalida",IF(NOT(ISNUMBER(parametros!$C$2)),"Fora dos ciclos",IF(OR(B4963&lt;parametros!$C$2,(YEAR(B4963)-YEAR(parametros!$C$2))*12+MONTH(B4963)-MONTH(parametros!$C$2)&gt;59),"Fora dos ciclos","C"&amp;INT(((YEAR(B4963)-YEAR(parametros!$C$2))*12+MONTH(B4963)-MONTH(parametros!$C$2))/12)))))</f>
        <v/>
      </c>
      <c r="D4963" s="394"/>
      <c r="E4963" s="78" t="str">
        <f>IF(C4963="","",IFERROR(VLOOKUP(C4963,parametros!$A$11:$E$15,5,0),""))</f>
        <v/>
      </c>
      <c r="F4963" s="79" t="str">
        <f t="shared" si="387"/>
        <v/>
      </c>
      <c r="G4963" s="395"/>
      <c r="H4963" s="91">
        <f t="shared" si="388"/>
        <v>0</v>
      </c>
      <c r="I4963" s="91" t="str">
        <f t="shared" si="389"/>
        <v/>
      </c>
      <c r="J4963" s="91" t="str">
        <f t="shared" si="390"/>
        <v/>
      </c>
      <c r="K4963" s="92" t="str">
        <f>IF(AND(A4963="",B4963="",D4963="",G4963=""),"",IF(AND(A4963&lt;&gt;"",COUNTIF($A$2:$A$5001,A4963)&gt;1),"NUMERO_PC duplicado",IF(B4963="","DATA_PC vazia",IF(NOT(ISNUMBER(B4963)),"DATA_PC invalida",IF(OR(C4963="",C4963="Fora dos ciclos"),"CICLO_PC nao identificado",IF(OR(D4963="",D4963=0),"VALOR_PC vazio ou zero",IF(AND(G4963&lt;&gt;"Sim",G4963&lt;&gt;"Nao",G4963&lt;&gt;""),"PC_PAGO_A_CONTRATADA invalido",IF(AND(C4963&lt;&gt;"C0",IFERROR(INDEX(parametros!$A$2:$A$6,MATCH(C4963,parametros!$B$2:$B$6,0)),"")="Sim",IFERROR(INDEX(parametros!$H$2:$H$6,MATCH(C4963,parametros!$B$2:$B$6,0)),"")=""),"INICIO_EFEITO ausente: PC "&amp;A4963&amp;" - "&amp;C4963,IF(L4963="","EFEITO_PC nao calculado: PC "&amp;A4963&amp;" - "&amp;C4963,"OK")))))))))</f>
        <v/>
      </c>
      <c r="L4963" s="92" t="str">
        <f>IF(AND(A4963="",B4963="",D4963="",G4963=""),"",IF(OR(B4963="",NOT(ISNUMBER(B4963)),C4963="",C4963="Fora dos ciclos"),"",IF(C4963="C0","Nao",IF(IFERROR(INDEX(parametros!$A$2:$A$6,MATCH(C4963,parametros!$B$2:$B$6,0)),"")&lt;&gt;"Sim","Nao",IF(IFERROR(INDEX(parametros!$H$2:$H$6,MATCH(C4963,parametros!$B$2:$B$6,0)),"")="","",IF(B4963&gt;=IFERROR(INDEX(parametros!$H$2:$H$6,MATCH(C4963,parametros!$B$2:$B$6,0)),""),"Sim","Nao"))))))</f>
        <v/>
      </c>
      <c r="T4963" s="156"/>
      <c r="U4963" s="214" t="str">
        <f t="shared" si="391"/>
        <v/>
      </c>
      <c r="V4963" s="212" t="s">
        <v>50</v>
      </c>
      <c r="W4963" s="100" t="s">
        <v>168</v>
      </c>
      <c r="X4963" s="100" t="s">
        <v>169</v>
      </c>
      <c r="Y4963" s="101" t="s">
        <v>170</v>
      </c>
      <c r="Z4963" s="101" t="s">
        <v>171</v>
      </c>
      <c r="AA4963" s="101" t="s">
        <v>50</v>
      </c>
      <c r="AB4963" s="101" t="s">
        <v>172</v>
      </c>
      <c r="AC4963" s="102" t="s">
        <v>173</v>
      </c>
    </row>
    <row r="4964" spans="1:29" ht="25.5" customHeight="1" x14ac:dyDescent="0.35">
      <c r="A4964" s="392"/>
      <c r="B4964" s="393"/>
      <c r="C4964" s="99" t="str">
        <f>IF(B4964="","",IF(NOT(ISNUMBER(B4964)),"DATA_PC invalida",IF(NOT(ISNUMBER(parametros!$C$2)),"Fora dos ciclos",IF(OR(B4964&lt;parametros!$C$2,(YEAR(B4964)-YEAR(parametros!$C$2))*12+MONTH(B4964)-MONTH(parametros!$C$2)&gt;59),"Fora dos ciclos","C"&amp;INT(((YEAR(B4964)-YEAR(parametros!$C$2))*12+MONTH(B4964)-MONTH(parametros!$C$2))/12)))))</f>
        <v/>
      </c>
      <c r="D4964" s="394"/>
      <c r="E4964" s="78" t="str">
        <f>IF(C4964="","",IFERROR(VLOOKUP(C4964,parametros!$A$11:$E$15,5,0),""))</f>
        <v/>
      </c>
      <c r="F4964" s="79" t="str">
        <f t="shared" si="387"/>
        <v/>
      </c>
      <c r="G4964" s="395"/>
      <c r="H4964" s="91">
        <f t="shared" si="388"/>
        <v>0</v>
      </c>
      <c r="I4964" s="91" t="str">
        <f t="shared" si="389"/>
        <v/>
      </c>
      <c r="J4964" s="91" t="str">
        <f t="shared" si="390"/>
        <v/>
      </c>
      <c r="K4964" s="92" t="str">
        <f>IF(AND(A4964="",B4964="",D4964="",G4964=""),"",IF(AND(A4964&lt;&gt;"",COUNTIF($A$2:$A$5001,A4964)&gt;1),"NUMERO_PC duplicado",IF(B4964="","DATA_PC vazia",IF(NOT(ISNUMBER(B4964)),"DATA_PC invalida",IF(OR(C4964="",C4964="Fora dos ciclos"),"CICLO_PC nao identificado",IF(OR(D4964="",D4964=0),"VALOR_PC vazio ou zero",IF(AND(G4964&lt;&gt;"Sim",G4964&lt;&gt;"Nao",G4964&lt;&gt;""),"PC_PAGO_A_CONTRATADA invalido",IF(AND(C4964&lt;&gt;"C0",IFERROR(INDEX(parametros!$A$2:$A$6,MATCH(C4964,parametros!$B$2:$B$6,0)),"")="Sim",IFERROR(INDEX(parametros!$H$2:$H$6,MATCH(C4964,parametros!$B$2:$B$6,0)),"")=""),"INICIO_EFEITO ausente: PC "&amp;A4964&amp;" - "&amp;C4964,IF(L4964="","EFEITO_PC nao calculado: PC "&amp;A4964&amp;" - "&amp;C4964,"OK")))))))))</f>
        <v/>
      </c>
      <c r="L4964" s="92" t="str">
        <f>IF(AND(A4964="",B4964="",D4964="",G4964=""),"",IF(OR(B4964="",NOT(ISNUMBER(B4964)),C4964="",C4964="Fora dos ciclos"),"",IF(C4964="C0","Nao",IF(IFERROR(INDEX(parametros!$A$2:$A$6,MATCH(C4964,parametros!$B$2:$B$6,0)),"")&lt;&gt;"Sim","Nao",IF(IFERROR(INDEX(parametros!$H$2:$H$6,MATCH(C4964,parametros!$B$2:$B$6,0)),"")="","",IF(B4964&gt;=IFERROR(INDEX(parametros!$H$2:$H$6,MATCH(C4964,parametros!$B$2:$B$6,0)),""),"Sim","Nao"))))))</f>
        <v/>
      </c>
      <c r="T4964" s="156"/>
      <c r="U4964" s="214" t="str">
        <f t="shared" si="391"/>
        <v/>
      </c>
      <c r="V4964" s="212" t="s">
        <v>50</v>
      </c>
      <c r="W4964" s="100" t="s">
        <v>168</v>
      </c>
      <c r="X4964" s="100" t="s">
        <v>169</v>
      </c>
      <c r="Y4964" s="101" t="s">
        <v>170</v>
      </c>
      <c r="Z4964" s="101" t="s">
        <v>171</v>
      </c>
      <c r="AA4964" s="101" t="s">
        <v>50</v>
      </c>
      <c r="AB4964" s="101" t="s">
        <v>172</v>
      </c>
      <c r="AC4964" s="102" t="s">
        <v>173</v>
      </c>
    </row>
    <row r="4965" spans="1:29" ht="25.5" customHeight="1" x14ac:dyDescent="0.35">
      <c r="A4965" s="392"/>
      <c r="B4965" s="393"/>
      <c r="C4965" s="99" t="str">
        <f>IF(B4965="","",IF(NOT(ISNUMBER(B4965)),"DATA_PC invalida",IF(NOT(ISNUMBER(parametros!$C$2)),"Fora dos ciclos",IF(OR(B4965&lt;parametros!$C$2,(YEAR(B4965)-YEAR(parametros!$C$2))*12+MONTH(B4965)-MONTH(parametros!$C$2)&gt;59),"Fora dos ciclos","C"&amp;INT(((YEAR(B4965)-YEAR(parametros!$C$2))*12+MONTH(B4965)-MONTH(parametros!$C$2))/12)))))</f>
        <v/>
      </c>
      <c r="D4965" s="394"/>
      <c r="E4965" s="78" t="str">
        <f>IF(C4965="","",IFERROR(VLOOKUP(C4965,parametros!$A$11:$E$15,5,0),""))</f>
        <v/>
      </c>
      <c r="F4965" s="79" t="str">
        <f t="shared" si="387"/>
        <v/>
      </c>
      <c r="G4965" s="395"/>
      <c r="H4965" s="91">
        <f t="shared" si="388"/>
        <v>0</v>
      </c>
      <c r="I4965" s="91" t="str">
        <f t="shared" si="389"/>
        <v/>
      </c>
      <c r="J4965" s="91" t="str">
        <f t="shared" si="390"/>
        <v/>
      </c>
      <c r="K4965" s="92" t="str">
        <f>IF(AND(A4965="",B4965="",D4965="",G4965=""),"",IF(AND(A4965&lt;&gt;"",COUNTIF($A$2:$A$5001,A4965)&gt;1),"NUMERO_PC duplicado",IF(B4965="","DATA_PC vazia",IF(NOT(ISNUMBER(B4965)),"DATA_PC invalida",IF(OR(C4965="",C4965="Fora dos ciclos"),"CICLO_PC nao identificado",IF(OR(D4965="",D4965=0),"VALOR_PC vazio ou zero",IF(AND(G4965&lt;&gt;"Sim",G4965&lt;&gt;"Nao",G4965&lt;&gt;""),"PC_PAGO_A_CONTRATADA invalido",IF(AND(C4965&lt;&gt;"C0",IFERROR(INDEX(parametros!$A$2:$A$6,MATCH(C4965,parametros!$B$2:$B$6,0)),"")="Sim",IFERROR(INDEX(parametros!$H$2:$H$6,MATCH(C4965,parametros!$B$2:$B$6,0)),"")=""),"INICIO_EFEITO ausente: PC "&amp;A4965&amp;" - "&amp;C4965,IF(L4965="","EFEITO_PC nao calculado: PC "&amp;A4965&amp;" - "&amp;C4965,"OK")))))))))</f>
        <v/>
      </c>
      <c r="L4965" s="92" t="str">
        <f>IF(AND(A4965="",B4965="",D4965="",G4965=""),"",IF(OR(B4965="",NOT(ISNUMBER(B4965)),C4965="",C4965="Fora dos ciclos"),"",IF(C4965="C0","Nao",IF(IFERROR(INDEX(parametros!$A$2:$A$6,MATCH(C4965,parametros!$B$2:$B$6,0)),"")&lt;&gt;"Sim","Nao",IF(IFERROR(INDEX(parametros!$H$2:$H$6,MATCH(C4965,parametros!$B$2:$B$6,0)),"")="","",IF(B4965&gt;=IFERROR(INDEX(parametros!$H$2:$H$6,MATCH(C4965,parametros!$B$2:$B$6,0)),""),"Sim","Nao"))))))</f>
        <v/>
      </c>
      <c r="T4965" s="156"/>
      <c r="U4965" s="214" t="str">
        <f t="shared" si="391"/>
        <v/>
      </c>
      <c r="V4965" s="212" t="s">
        <v>50</v>
      </c>
      <c r="W4965" s="100" t="s">
        <v>168</v>
      </c>
      <c r="X4965" s="100" t="s">
        <v>169</v>
      </c>
      <c r="Y4965" s="101" t="s">
        <v>170</v>
      </c>
      <c r="Z4965" s="101" t="s">
        <v>171</v>
      </c>
      <c r="AA4965" s="101" t="s">
        <v>50</v>
      </c>
      <c r="AB4965" s="101" t="s">
        <v>172</v>
      </c>
      <c r="AC4965" s="102" t="s">
        <v>173</v>
      </c>
    </row>
    <row r="4966" spans="1:29" ht="25.5" customHeight="1" x14ac:dyDescent="0.35">
      <c r="A4966" s="392"/>
      <c r="B4966" s="393"/>
      <c r="C4966" s="99" t="str">
        <f>IF(B4966="","",IF(NOT(ISNUMBER(B4966)),"DATA_PC invalida",IF(NOT(ISNUMBER(parametros!$C$2)),"Fora dos ciclos",IF(OR(B4966&lt;parametros!$C$2,(YEAR(B4966)-YEAR(parametros!$C$2))*12+MONTH(B4966)-MONTH(parametros!$C$2)&gt;59),"Fora dos ciclos","C"&amp;INT(((YEAR(B4966)-YEAR(parametros!$C$2))*12+MONTH(B4966)-MONTH(parametros!$C$2))/12)))))</f>
        <v/>
      </c>
      <c r="D4966" s="394"/>
      <c r="E4966" s="78" t="str">
        <f>IF(C4966="","",IFERROR(VLOOKUP(C4966,parametros!$A$11:$E$15,5,0),""))</f>
        <v/>
      </c>
      <c r="F4966" s="79" t="str">
        <f t="shared" si="387"/>
        <v/>
      </c>
      <c r="G4966" s="395"/>
      <c r="H4966" s="91">
        <f t="shared" si="388"/>
        <v>0</v>
      </c>
      <c r="I4966" s="91" t="str">
        <f t="shared" si="389"/>
        <v/>
      </c>
      <c r="J4966" s="91" t="str">
        <f t="shared" si="390"/>
        <v/>
      </c>
      <c r="K4966" s="92" t="str">
        <f>IF(AND(A4966="",B4966="",D4966="",G4966=""),"",IF(AND(A4966&lt;&gt;"",COUNTIF($A$2:$A$5001,A4966)&gt;1),"NUMERO_PC duplicado",IF(B4966="","DATA_PC vazia",IF(NOT(ISNUMBER(B4966)),"DATA_PC invalida",IF(OR(C4966="",C4966="Fora dos ciclos"),"CICLO_PC nao identificado",IF(OR(D4966="",D4966=0),"VALOR_PC vazio ou zero",IF(AND(G4966&lt;&gt;"Sim",G4966&lt;&gt;"Nao",G4966&lt;&gt;""),"PC_PAGO_A_CONTRATADA invalido",IF(AND(C4966&lt;&gt;"C0",IFERROR(INDEX(parametros!$A$2:$A$6,MATCH(C4966,parametros!$B$2:$B$6,0)),"")="Sim",IFERROR(INDEX(parametros!$H$2:$H$6,MATCH(C4966,parametros!$B$2:$B$6,0)),"")=""),"INICIO_EFEITO ausente: PC "&amp;A4966&amp;" - "&amp;C4966,IF(L4966="","EFEITO_PC nao calculado: PC "&amp;A4966&amp;" - "&amp;C4966,"OK")))))))))</f>
        <v/>
      </c>
      <c r="L4966" s="92" t="str">
        <f>IF(AND(A4966="",B4966="",D4966="",G4966=""),"",IF(OR(B4966="",NOT(ISNUMBER(B4966)),C4966="",C4966="Fora dos ciclos"),"",IF(C4966="C0","Nao",IF(IFERROR(INDEX(parametros!$A$2:$A$6,MATCH(C4966,parametros!$B$2:$B$6,0)),"")&lt;&gt;"Sim","Nao",IF(IFERROR(INDEX(parametros!$H$2:$H$6,MATCH(C4966,parametros!$B$2:$B$6,0)),"")="","",IF(B4966&gt;=IFERROR(INDEX(parametros!$H$2:$H$6,MATCH(C4966,parametros!$B$2:$B$6,0)),""),"Sim","Nao"))))))</f>
        <v/>
      </c>
      <c r="T4966" s="156"/>
      <c r="U4966" s="214" t="str">
        <f t="shared" si="391"/>
        <v/>
      </c>
      <c r="V4966" s="212" t="s">
        <v>50</v>
      </c>
      <c r="W4966" s="100" t="s">
        <v>168</v>
      </c>
      <c r="X4966" s="100" t="s">
        <v>169</v>
      </c>
      <c r="Y4966" s="101" t="s">
        <v>170</v>
      </c>
      <c r="Z4966" s="101" t="s">
        <v>171</v>
      </c>
      <c r="AA4966" s="101" t="s">
        <v>50</v>
      </c>
      <c r="AB4966" s="101" t="s">
        <v>172</v>
      </c>
      <c r="AC4966" s="102" t="s">
        <v>173</v>
      </c>
    </row>
    <row r="4967" spans="1:29" ht="25.5" customHeight="1" x14ac:dyDescent="0.35">
      <c r="A4967" s="392"/>
      <c r="B4967" s="393"/>
      <c r="C4967" s="99" t="str">
        <f>IF(B4967="","",IF(NOT(ISNUMBER(B4967)),"DATA_PC invalida",IF(NOT(ISNUMBER(parametros!$C$2)),"Fora dos ciclos",IF(OR(B4967&lt;parametros!$C$2,(YEAR(B4967)-YEAR(parametros!$C$2))*12+MONTH(B4967)-MONTH(parametros!$C$2)&gt;59),"Fora dos ciclos","C"&amp;INT(((YEAR(B4967)-YEAR(parametros!$C$2))*12+MONTH(B4967)-MONTH(parametros!$C$2))/12)))))</f>
        <v/>
      </c>
      <c r="D4967" s="394"/>
      <c r="E4967" s="78" t="str">
        <f>IF(C4967="","",IFERROR(VLOOKUP(C4967,parametros!$A$11:$E$15,5,0),""))</f>
        <v/>
      </c>
      <c r="F4967" s="79" t="str">
        <f t="shared" si="387"/>
        <v/>
      </c>
      <c r="G4967" s="395"/>
      <c r="H4967" s="91">
        <f t="shared" si="388"/>
        <v>0</v>
      </c>
      <c r="I4967" s="91" t="str">
        <f t="shared" si="389"/>
        <v/>
      </c>
      <c r="J4967" s="91" t="str">
        <f t="shared" si="390"/>
        <v/>
      </c>
      <c r="K4967" s="92" t="str">
        <f>IF(AND(A4967="",B4967="",D4967="",G4967=""),"",IF(AND(A4967&lt;&gt;"",COUNTIF($A$2:$A$5001,A4967)&gt;1),"NUMERO_PC duplicado",IF(B4967="","DATA_PC vazia",IF(NOT(ISNUMBER(B4967)),"DATA_PC invalida",IF(OR(C4967="",C4967="Fora dos ciclos"),"CICLO_PC nao identificado",IF(OR(D4967="",D4967=0),"VALOR_PC vazio ou zero",IF(AND(G4967&lt;&gt;"Sim",G4967&lt;&gt;"Nao",G4967&lt;&gt;""),"PC_PAGO_A_CONTRATADA invalido",IF(AND(C4967&lt;&gt;"C0",IFERROR(INDEX(parametros!$A$2:$A$6,MATCH(C4967,parametros!$B$2:$B$6,0)),"")="Sim",IFERROR(INDEX(parametros!$H$2:$H$6,MATCH(C4967,parametros!$B$2:$B$6,0)),"")=""),"INICIO_EFEITO ausente: PC "&amp;A4967&amp;" - "&amp;C4967,IF(L4967="","EFEITO_PC nao calculado: PC "&amp;A4967&amp;" - "&amp;C4967,"OK")))))))))</f>
        <v/>
      </c>
      <c r="L4967" s="92" t="str">
        <f>IF(AND(A4967="",B4967="",D4967="",G4967=""),"",IF(OR(B4967="",NOT(ISNUMBER(B4967)),C4967="",C4967="Fora dos ciclos"),"",IF(C4967="C0","Nao",IF(IFERROR(INDEX(parametros!$A$2:$A$6,MATCH(C4967,parametros!$B$2:$B$6,0)),"")&lt;&gt;"Sim","Nao",IF(IFERROR(INDEX(parametros!$H$2:$H$6,MATCH(C4967,parametros!$B$2:$B$6,0)),"")="","",IF(B4967&gt;=IFERROR(INDEX(parametros!$H$2:$H$6,MATCH(C4967,parametros!$B$2:$B$6,0)),""),"Sim","Nao"))))))</f>
        <v/>
      </c>
      <c r="T4967" s="156"/>
      <c r="U4967" s="214" t="str">
        <f t="shared" si="391"/>
        <v/>
      </c>
      <c r="V4967" s="212" t="s">
        <v>50</v>
      </c>
      <c r="W4967" s="100" t="s">
        <v>168</v>
      </c>
      <c r="X4967" s="100" t="s">
        <v>169</v>
      </c>
      <c r="Y4967" s="101" t="s">
        <v>170</v>
      </c>
      <c r="Z4967" s="101" t="s">
        <v>171</v>
      </c>
      <c r="AA4967" s="101" t="s">
        <v>50</v>
      </c>
      <c r="AB4967" s="101" t="s">
        <v>172</v>
      </c>
      <c r="AC4967" s="102" t="s">
        <v>173</v>
      </c>
    </row>
    <row r="4968" spans="1:29" ht="25.5" customHeight="1" x14ac:dyDescent="0.35">
      <c r="A4968" s="392"/>
      <c r="B4968" s="393"/>
      <c r="C4968" s="99" t="str">
        <f>IF(B4968="","",IF(NOT(ISNUMBER(B4968)),"DATA_PC invalida",IF(NOT(ISNUMBER(parametros!$C$2)),"Fora dos ciclos",IF(OR(B4968&lt;parametros!$C$2,(YEAR(B4968)-YEAR(parametros!$C$2))*12+MONTH(B4968)-MONTH(parametros!$C$2)&gt;59),"Fora dos ciclos","C"&amp;INT(((YEAR(B4968)-YEAR(parametros!$C$2))*12+MONTH(B4968)-MONTH(parametros!$C$2))/12)))))</f>
        <v/>
      </c>
      <c r="D4968" s="394"/>
      <c r="E4968" s="78" t="str">
        <f>IF(C4968="","",IFERROR(VLOOKUP(C4968,parametros!$A$11:$E$15,5,0),""))</f>
        <v/>
      </c>
      <c r="F4968" s="79" t="str">
        <f t="shared" si="387"/>
        <v/>
      </c>
      <c r="G4968" s="395"/>
      <c r="H4968" s="91">
        <f t="shared" si="388"/>
        <v>0</v>
      </c>
      <c r="I4968" s="91" t="str">
        <f t="shared" si="389"/>
        <v/>
      </c>
      <c r="J4968" s="91" t="str">
        <f t="shared" si="390"/>
        <v/>
      </c>
      <c r="K4968" s="92" t="str">
        <f>IF(AND(A4968="",B4968="",D4968="",G4968=""),"",IF(AND(A4968&lt;&gt;"",COUNTIF($A$2:$A$5001,A4968)&gt;1),"NUMERO_PC duplicado",IF(B4968="","DATA_PC vazia",IF(NOT(ISNUMBER(B4968)),"DATA_PC invalida",IF(OR(C4968="",C4968="Fora dos ciclos"),"CICLO_PC nao identificado",IF(OR(D4968="",D4968=0),"VALOR_PC vazio ou zero",IF(AND(G4968&lt;&gt;"Sim",G4968&lt;&gt;"Nao",G4968&lt;&gt;""),"PC_PAGO_A_CONTRATADA invalido",IF(AND(C4968&lt;&gt;"C0",IFERROR(INDEX(parametros!$A$2:$A$6,MATCH(C4968,parametros!$B$2:$B$6,0)),"")="Sim",IFERROR(INDEX(parametros!$H$2:$H$6,MATCH(C4968,parametros!$B$2:$B$6,0)),"")=""),"INICIO_EFEITO ausente: PC "&amp;A4968&amp;" - "&amp;C4968,IF(L4968="","EFEITO_PC nao calculado: PC "&amp;A4968&amp;" - "&amp;C4968,"OK")))))))))</f>
        <v/>
      </c>
      <c r="L4968" s="92" t="str">
        <f>IF(AND(A4968="",B4968="",D4968="",G4968=""),"",IF(OR(B4968="",NOT(ISNUMBER(B4968)),C4968="",C4968="Fora dos ciclos"),"",IF(C4968="C0","Nao",IF(IFERROR(INDEX(parametros!$A$2:$A$6,MATCH(C4968,parametros!$B$2:$B$6,0)),"")&lt;&gt;"Sim","Nao",IF(IFERROR(INDEX(parametros!$H$2:$H$6,MATCH(C4968,parametros!$B$2:$B$6,0)),"")="","",IF(B4968&gt;=IFERROR(INDEX(parametros!$H$2:$H$6,MATCH(C4968,parametros!$B$2:$B$6,0)),""),"Sim","Nao"))))))</f>
        <v/>
      </c>
      <c r="T4968" s="156"/>
      <c r="U4968" s="214" t="str">
        <f t="shared" si="391"/>
        <v/>
      </c>
      <c r="V4968" s="212" t="s">
        <v>50</v>
      </c>
      <c r="W4968" s="100" t="s">
        <v>168</v>
      </c>
      <c r="X4968" s="100" t="s">
        <v>169</v>
      </c>
      <c r="Y4968" s="101" t="s">
        <v>170</v>
      </c>
      <c r="Z4968" s="101" t="s">
        <v>171</v>
      </c>
      <c r="AA4968" s="101" t="s">
        <v>50</v>
      </c>
      <c r="AB4968" s="101" t="s">
        <v>172</v>
      </c>
      <c r="AC4968" s="102" t="s">
        <v>173</v>
      </c>
    </row>
    <row r="4969" spans="1:29" ht="25.5" customHeight="1" x14ac:dyDescent="0.35">
      <c r="A4969" s="392"/>
      <c r="B4969" s="393"/>
      <c r="C4969" s="99" t="str">
        <f>IF(B4969="","",IF(NOT(ISNUMBER(B4969)),"DATA_PC invalida",IF(NOT(ISNUMBER(parametros!$C$2)),"Fora dos ciclos",IF(OR(B4969&lt;parametros!$C$2,(YEAR(B4969)-YEAR(parametros!$C$2))*12+MONTH(B4969)-MONTH(parametros!$C$2)&gt;59),"Fora dos ciclos","C"&amp;INT(((YEAR(B4969)-YEAR(parametros!$C$2))*12+MONTH(B4969)-MONTH(parametros!$C$2))/12)))))</f>
        <v/>
      </c>
      <c r="D4969" s="394"/>
      <c r="E4969" s="78" t="str">
        <f>IF(C4969="","",IFERROR(VLOOKUP(C4969,parametros!$A$11:$E$15,5,0),""))</f>
        <v/>
      </c>
      <c r="F4969" s="79" t="str">
        <f t="shared" si="387"/>
        <v/>
      </c>
      <c r="G4969" s="395"/>
      <c r="H4969" s="91">
        <f t="shared" si="388"/>
        <v>0</v>
      </c>
      <c r="I4969" s="91" t="str">
        <f t="shared" si="389"/>
        <v/>
      </c>
      <c r="J4969" s="91" t="str">
        <f t="shared" si="390"/>
        <v/>
      </c>
      <c r="K4969" s="92" t="str">
        <f>IF(AND(A4969="",B4969="",D4969="",G4969=""),"",IF(AND(A4969&lt;&gt;"",COUNTIF($A$2:$A$5001,A4969)&gt;1),"NUMERO_PC duplicado",IF(B4969="","DATA_PC vazia",IF(NOT(ISNUMBER(B4969)),"DATA_PC invalida",IF(OR(C4969="",C4969="Fora dos ciclos"),"CICLO_PC nao identificado",IF(OR(D4969="",D4969=0),"VALOR_PC vazio ou zero",IF(AND(G4969&lt;&gt;"Sim",G4969&lt;&gt;"Nao",G4969&lt;&gt;""),"PC_PAGO_A_CONTRATADA invalido",IF(AND(C4969&lt;&gt;"C0",IFERROR(INDEX(parametros!$A$2:$A$6,MATCH(C4969,parametros!$B$2:$B$6,0)),"")="Sim",IFERROR(INDEX(parametros!$H$2:$H$6,MATCH(C4969,parametros!$B$2:$B$6,0)),"")=""),"INICIO_EFEITO ausente: PC "&amp;A4969&amp;" - "&amp;C4969,IF(L4969="","EFEITO_PC nao calculado: PC "&amp;A4969&amp;" - "&amp;C4969,"OK")))))))))</f>
        <v/>
      </c>
      <c r="L4969" s="92" t="str">
        <f>IF(AND(A4969="",B4969="",D4969="",G4969=""),"",IF(OR(B4969="",NOT(ISNUMBER(B4969)),C4969="",C4969="Fora dos ciclos"),"",IF(C4969="C0","Nao",IF(IFERROR(INDEX(parametros!$A$2:$A$6,MATCH(C4969,parametros!$B$2:$B$6,0)),"")&lt;&gt;"Sim","Nao",IF(IFERROR(INDEX(parametros!$H$2:$H$6,MATCH(C4969,parametros!$B$2:$B$6,0)),"")="","",IF(B4969&gt;=IFERROR(INDEX(parametros!$H$2:$H$6,MATCH(C4969,parametros!$B$2:$B$6,0)),""),"Sim","Nao"))))))</f>
        <v/>
      </c>
      <c r="T4969" s="156"/>
      <c r="U4969" s="214" t="str">
        <f t="shared" si="391"/>
        <v/>
      </c>
      <c r="V4969" s="212" t="s">
        <v>50</v>
      </c>
      <c r="W4969" s="100" t="s">
        <v>168</v>
      </c>
      <c r="X4969" s="100" t="s">
        <v>169</v>
      </c>
      <c r="Y4969" s="101" t="s">
        <v>170</v>
      </c>
      <c r="Z4969" s="101" t="s">
        <v>171</v>
      </c>
      <c r="AA4969" s="101" t="s">
        <v>50</v>
      </c>
      <c r="AB4969" s="101" t="s">
        <v>172</v>
      </c>
      <c r="AC4969" s="102" t="s">
        <v>173</v>
      </c>
    </row>
    <row r="4970" spans="1:29" ht="25.5" customHeight="1" x14ac:dyDescent="0.35">
      <c r="A4970" s="392"/>
      <c r="B4970" s="393"/>
      <c r="C4970" s="99" t="str">
        <f>IF(B4970="","",IF(NOT(ISNUMBER(B4970)),"DATA_PC invalida",IF(NOT(ISNUMBER(parametros!$C$2)),"Fora dos ciclos",IF(OR(B4970&lt;parametros!$C$2,(YEAR(B4970)-YEAR(parametros!$C$2))*12+MONTH(B4970)-MONTH(parametros!$C$2)&gt;59),"Fora dos ciclos","C"&amp;INT(((YEAR(B4970)-YEAR(parametros!$C$2))*12+MONTH(B4970)-MONTH(parametros!$C$2))/12)))))</f>
        <v/>
      </c>
      <c r="D4970" s="394"/>
      <c r="E4970" s="78" t="str">
        <f>IF(C4970="","",IFERROR(VLOOKUP(C4970,parametros!$A$11:$E$15,5,0),""))</f>
        <v/>
      </c>
      <c r="F4970" s="79" t="str">
        <f t="shared" si="387"/>
        <v/>
      </c>
      <c r="G4970" s="395"/>
      <c r="H4970" s="91">
        <f t="shared" si="388"/>
        <v>0</v>
      </c>
      <c r="I4970" s="91" t="str">
        <f t="shared" si="389"/>
        <v/>
      </c>
      <c r="J4970" s="91" t="str">
        <f t="shared" si="390"/>
        <v/>
      </c>
      <c r="K4970" s="92" t="str">
        <f>IF(AND(A4970="",B4970="",D4970="",G4970=""),"",IF(AND(A4970&lt;&gt;"",COUNTIF($A$2:$A$5001,A4970)&gt;1),"NUMERO_PC duplicado",IF(B4970="","DATA_PC vazia",IF(NOT(ISNUMBER(B4970)),"DATA_PC invalida",IF(OR(C4970="",C4970="Fora dos ciclos"),"CICLO_PC nao identificado",IF(OR(D4970="",D4970=0),"VALOR_PC vazio ou zero",IF(AND(G4970&lt;&gt;"Sim",G4970&lt;&gt;"Nao",G4970&lt;&gt;""),"PC_PAGO_A_CONTRATADA invalido",IF(AND(C4970&lt;&gt;"C0",IFERROR(INDEX(parametros!$A$2:$A$6,MATCH(C4970,parametros!$B$2:$B$6,0)),"")="Sim",IFERROR(INDEX(parametros!$H$2:$H$6,MATCH(C4970,parametros!$B$2:$B$6,0)),"")=""),"INICIO_EFEITO ausente: PC "&amp;A4970&amp;" - "&amp;C4970,IF(L4970="","EFEITO_PC nao calculado: PC "&amp;A4970&amp;" - "&amp;C4970,"OK")))))))))</f>
        <v/>
      </c>
      <c r="L4970" s="92" t="str">
        <f>IF(AND(A4970="",B4970="",D4970="",G4970=""),"",IF(OR(B4970="",NOT(ISNUMBER(B4970)),C4970="",C4970="Fora dos ciclos"),"",IF(C4970="C0","Nao",IF(IFERROR(INDEX(parametros!$A$2:$A$6,MATCH(C4970,parametros!$B$2:$B$6,0)),"")&lt;&gt;"Sim","Nao",IF(IFERROR(INDEX(parametros!$H$2:$H$6,MATCH(C4970,parametros!$B$2:$B$6,0)),"")="","",IF(B4970&gt;=IFERROR(INDEX(parametros!$H$2:$H$6,MATCH(C4970,parametros!$B$2:$B$6,0)),""),"Sim","Nao"))))))</f>
        <v/>
      </c>
      <c r="T4970" s="156"/>
      <c r="U4970" s="214" t="str">
        <f t="shared" si="391"/>
        <v/>
      </c>
      <c r="V4970" s="212" t="s">
        <v>50</v>
      </c>
      <c r="W4970" s="100" t="s">
        <v>168</v>
      </c>
      <c r="X4970" s="100" t="s">
        <v>169</v>
      </c>
      <c r="Y4970" s="101" t="s">
        <v>170</v>
      </c>
      <c r="Z4970" s="101" t="s">
        <v>171</v>
      </c>
      <c r="AA4970" s="101" t="s">
        <v>50</v>
      </c>
      <c r="AB4970" s="101" t="s">
        <v>172</v>
      </c>
      <c r="AC4970" s="102" t="s">
        <v>173</v>
      </c>
    </row>
    <row r="4971" spans="1:29" ht="25.5" customHeight="1" x14ac:dyDescent="0.35">
      <c r="A4971" s="392"/>
      <c r="B4971" s="393"/>
      <c r="C4971" s="99" t="str">
        <f>IF(B4971="","",IF(NOT(ISNUMBER(B4971)),"DATA_PC invalida",IF(NOT(ISNUMBER(parametros!$C$2)),"Fora dos ciclos",IF(OR(B4971&lt;parametros!$C$2,(YEAR(B4971)-YEAR(parametros!$C$2))*12+MONTH(B4971)-MONTH(parametros!$C$2)&gt;59),"Fora dos ciclos","C"&amp;INT(((YEAR(B4971)-YEAR(parametros!$C$2))*12+MONTH(B4971)-MONTH(parametros!$C$2))/12)))))</f>
        <v/>
      </c>
      <c r="D4971" s="394"/>
      <c r="E4971" s="78" t="str">
        <f>IF(C4971="","",IFERROR(VLOOKUP(C4971,parametros!$A$11:$E$15,5,0),""))</f>
        <v/>
      </c>
      <c r="F4971" s="79" t="str">
        <f t="shared" si="387"/>
        <v/>
      </c>
      <c r="G4971" s="395"/>
      <c r="H4971" s="91">
        <f t="shared" si="388"/>
        <v>0</v>
      </c>
      <c r="I4971" s="91" t="str">
        <f t="shared" si="389"/>
        <v/>
      </c>
      <c r="J4971" s="91" t="str">
        <f t="shared" si="390"/>
        <v/>
      </c>
      <c r="K4971" s="92" t="str">
        <f>IF(AND(A4971="",B4971="",D4971="",G4971=""),"",IF(AND(A4971&lt;&gt;"",COUNTIF($A$2:$A$5001,A4971)&gt;1),"NUMERO_PC duplicado",IF(B4971="","DATA_PC vazia",IF(NOT(ISNUMBER(B4971)),"DATA_PC invalida",IF(OR(C4971="",C4971="Fora dos ciclos"),"CICLO_PC nao identificado",IF(OR(D4971="",D4971=0),"VALOR_PC vazio ou zero",IF(AND(G4971&lt;&gt;"Sim",G4971&lt;&gt;"Nao",G4971&lt;&gt;""),"PC_PAGO_A_CONTRATADA invalido",IF(AND(C4971&lt;&gt;"C0",IFERROR(INDEX(parametros!$A$2:$A$6,MATCH(C4971,parametros!$B$2:$B$6,0)),"")="Sim",IFERROR(INDEX(parametros!$H$2:$H$6,MATCH(C4971,parametros!$B$2:$B$6,0)),"")=""),"INICIO_EFEITO ausente: PC "&amp;A4971&amp;" - "&amp;C4971,IF(L4971="","EFEITO_PC nao calculado: PC "&amp;A4971&amp;" - "&amp;C4971,"OK")))))))))</f>
        <v/>
      </c>
      <c r="L4971" s="92" t="str">
        <f>IF(AND(A4971="",B4971="",D4971="",G4971=""),"",IF(OR(B4971="",NOT(ISNUMBER(B4971)),C4971="",C4971="Fora dos ciclos"),"",IF(C4971="C0","Nao",IF(IFERROR(INDEX(parametros!$A$2:$A$6,MATCH(C4971,parametros!$B$2:$B$6,0)),"")&lt;&gt;"Sim","Nao",IF(IFERROR(INDEX(parametros!$H$2:$H$6,MATCH(C4971,parametros!$B$2:$B$6,0)),"")="","",IF(B4971&gt;=IFERROR(INDEX(parametros!$H$2:$H$6,MATCH(C4971,parametros!$B$2:$B$6,0)),""),"Sim","Nao"))))))</f>
        <v/>
      </c>
      <c r="T4971" s="156"/>
      <c r="U4971" s="214" t="str">
        <f t="shared" si="391"/>
        <v/>
      </c>
      <c r="V4971" s="212" t="s">
        <v>50</v>
      </c>
      <c r="W4971" s="100" t="s">
        <v>168</v>
      </c>
      <c r="X4971" s="100" t="s">
        <v>169</v>
      </c>
      <c r="Y4971" s="101" t="s">
        <v>170</v>
      </c>
      <c r="Z4971" s="101" t="s">
        <v>171</v>
      </c>
      <c r="AA4971" s="101" t="s">
        <v>50</v>
      </c>
      <c r="AB4971" s="101" t="s">
        <v>172</v>
      </c>
      <c r="AC4971" s="102" t="s">
        <v>173</v>
      </c>
    </row>
    <row r="4972" spans="1:29" ht="25.5" customHeight="1" x14ac:dyDescent="0.35">
      <c r="A4972" s="392"/>
      <c r="B4972" s="393"/>
      <c r="C4972" s="99" t="str">
        <f>IF(B4972="","",IF(NOT(ISNUMBER(B4972)),"DATA_PC invalida",IF(NOT(ISNUMBER(parametros!$C$2)),"Fora dos ciclos",IF(OR(B4972&lt;parametros!$C$2,(YEAR(B4972)-YEAR(parametros!$C$2))*12+MONTH(B4972)-MONTH(parametros!$C$2)&gt;59),"Fora dos ciclos","C"&amp;INT(((YEAR(B4972)-YEAR(parametros!$C$2))*12+MONTH(B4972)-MONTH(parametros!$C$2))/12)))))</f>
        <v/>
      </c>
      <c r="D4972" s="394"/>
      <c r="E4972" s="78" t="str">
        <f>IF(C4972="","",IFERROR(VLOOKUP(C4972,parametros!$A$11:$E$15,5,0),""))</f>
        <v/>
      </c>
      <c r="F4972" s="79" t="str">
        <f t="shared" si="387"/>
        <v/>
      </c>
      <c r="G4972" s="395"/>
      <c r="H4972" s="91">
        <f t="shared" si="388"/>
        <v>0</v>
      </c>
      <c r="I4972" s="91" t="str">
        <f t="shared" si="389"/>
        <v/>
      </c>
      <c r="J4972" s="91" t="str">
        <f t="shared" si="390"/>
        <v/>
      </c>
      <c r="K4972" s="92" t="str">
        <f>IF(AND(A4972="",B4972="",D4972="",G4972=""),"",IF(AND(A4972&lt;&gt;"",COUNTIF($A$2:$A$5001,A4972)&gt;1),"NUMERO_PC duplicado",IF(B4972="","DATA_PC vazia",IF(NOT(ISNUMBER(B4972)),"DATA_PC invalida",IF(OR(C4972="",C4972="Fora dos ciclos"),"CICLO_PC nao identificado",IF(OR(D4972="",D4972=0),"VALOR_PC vazio ou zero",IF(AND(G4972&lt;&gt;"Sim",G4972&lt;&gt;"Nao",G4972&lt;&gt;""),"PC_PAGO_A_CONTRATADA invalido",IF(AND(C4972&lt;&gt;"C0",IFERROR(INDEX(parametros!$A$2:$A$6,MATCH(C4972,parametros!$B$2:$B$6,0)),"")="Sim",IFERROR(INDEX(parametros!$H$2:$H$6,MATCH(C4972,parametros!$B$2:$B$6,0)),"")=""),"INICIO_EFEITO ausente: PC "&amp;A4972&amp;" - "&amp;C4972,IF(L4972="","EFEITO_PC nao calculado: PC "&amp;A4972&amp;" - "&amp;C4972,"OK")))))))))</f>
        <v/>
      </c>
      <c r="L4972" s="92" t="str">
        <f>IF(AND(A4972="",B4972="",D4972="",G4972=""),"",IF(OR(B4972="",NOT(ISNUMBER(B4972)),C4972="",C4972="Fora dos ciclos"),"",IF(C4972="C0","Nao",IF(IFERROR(INDEX(parametros!$A$2:$A$6,MATCH(C4972,parametros!$B$2:$B$6,0)),"")&lt;&gt;"Sim","Nao",IF(IFERROR(INDEX(parametros!$H$2:$H$6,MATCH(C4972,parametros!$B$2:$B$6,0)),"")="","",IF(B4972&gt;=IFERROR(INDEX(parametros!$H$2:$H$6,MATCH(C4972,parametros!$B$2:$B$6,0)),""),"Sim","Nao"))))))</f>
        <v/>
      </c>
      <c r="T4972" s="156"/>
      <c r="U4972" s="214" t="str">
        <f t="shared" si="391"/>
        <v/>
      </c>
      <c r="V4972" s="212" t="s">
        <v>50</v>
      </c>
      <c r="W4972" s="100" t="s">
        <v>168</v>
      </c>
      <c r="X4972" s="100" t="s">
        <v>169</v>
      </c>
      <c r="Y4972" s="101" t="s">
        <v>170</v>
      </c>
      <c r="Z4972" s="101" t="s">
        <v>171</v>
      </c>
      <c r="AA4972" s="101" t="s">
        <v>50</v>
      </c>
      <c r="AB4972" s="101" t="s">
        <v>172</v>
      </c>
      <c r="AC4972" s="102" t="s">
        <v>173</v>
      </c>
    </row>
    <row r="4973" spans="1:29" ht="25.5" customHeight="1" x14ac:dyDescent="0.35">
      <c r="A4973" s="392"/>
      <c r="B4973" s="393"/>
      <c r="C4973" s="99" t="str">
        <f>IF(B4973="","",IF(NOT(ISNUMBER(B4973)),"DATA_PC invalida",IF(NOT(ISNUMBER(parametros!$C$2)),"Fora dos ciclos",IF(OR(B4973&lt;parametros!$C$2,(YEAR(B4973)-YEAR(parametros!$C$2))*12+MONTH(B4973)-MONTH(parametros!$C$2)&gt;59),"Fora dos ciclos","C"&amp;INT(((YEAR(B4973)-YEAR(parametros!$C$2))*12+MONTH(B4973)-MONTH(parametros!$C$2))/12)))))</f>
        <v/>
      </c>
      <c r="D4973" s="394"/>
      <c r="E4973" s="78" t="str">
        <f>IF(C4973="","",IFERROR(VLOOKUP(C4973,parametros!$A$11:$E$15,5,0),""))</f>
        <v/>
      </c>
      <c r="F4973" s="79" t="str">
        <f t="shared" si="387"/>
        <v/>
      </c>
      <c r="G4973" s="395"/>
      <c r="H4973" s="91">
        <f t="shared" si="388"/>
        <v>0</v>
      </c>
      <c r="I4973" s="91" t="str">
        <f t="shared" si="389"/>
        <v/>
      </c>
      <c r="J4973" s="91" t="str">
        <f t="shared" si="390"/>
        <v/>
      </c>
      <c r="K4973" s="92" t="str">
        <f>IF(AND(A4973="",B4973="",D4973="",G4973=""),"",IF(AND(A4973&lt;&gt;"",COUNTIF($A$2:$A$5001,A4973)&gt;1),"NUMERO_PC duplicado",IF(B4973="","DATA_PC vazia",IF(NOT(ISNUMBER(B4973)),"DATA_PC invalida",IF(OR(C4973="",C4973="Fora dos ciclos"),"CICLO_PC nao identificado",IF(OR(D4973="",D4973=0),"VALOR_PC vazio ou zero",IF(AND(G4973&lt;&gt;"Sim",G4973&lt;&gt;"Nao",G4973&lt;&gt;""),"PC_PAGO_A_CONTRATADA invalido",IF(AND(C4973&lt;&gt;"C0",IFERROR(INDEX(parametros!$A$2:$A$6,MATCH(C4973,parametros!$B$2:$B$6,0)),"")="Sim",IFERROR(INDEX(parametros!$H$2:$H$6,MATCH(C4973,parametros!$B$2:$B$6,0)),"")=""),"INICIO_EFEITO ausente: PC "&amp;A4973&amp;" - "&amp;C4973,IF(L4973="","EFEITO_PC nao calculado: PC "&amp;A4973&amp;" - "&amp;C4973,"OK")))))))))</f>
        <v/>
      </c>
      <c r="L4973" s="92" t="str">
        <f>IF(AND(A4973="",B4973="",D4973="",G4973=""),"",IF(OR(B4973="",NOT(ISNUMBER(B4973)),C4973="",C4973="Fora dos ciclos"),"",IF(C4973="C0","Nao",IF(IFERROR(INDEX(parametros!$A$2:$A$6,MATCH(C4973,parametros!$B$2:$B$6,0)),"")&lt;&gt;"Sim","Nao",IF(IFERROR(INDEX(parametros!$H$2:$H$6,MATCH(C4973,parametros!$B$2:$B$6,0)),"")="","",IF(B4973&gt;=IFERROR(INDEX(parametros!$H$2:$H$6,MATCH(C4973,parametros!$B$2:$B$6,0)),""),"Sim","Nao"))))))</f>
        <v/>
      </c>
      <c r="T4973" s="156"/>
      <c r="U4973" s="214" t="str">
        <f t="shared" si="391"/>
        <v/>
      </c>
      <c r="V4973" s="212" t="s">
        <v>50</v>
      </c>
      <c r="W4973" s="100" t="s">
        <v>168</v>
      </c>
      <c r="X4973" s="100" t="s">
        <v>169</v>
      </c>
      <c r="Y4973" s="101" t="s">
        <v>170</v>
      </c>
      <c r="Z4973" s="101" t="s">
        <v>171</v>
      </c>
      <c r="AA4973" s="101" t="s">
        <v>50</v>
      </c>
      <c r="AB4973" s="101" t="s">
        <v>172</v>
      </c>
      <c r="AC4973" s="102" t="s">
        <v>173</v>
      </c>
    </row>
    <row r="4974" spans="1:29" ht="25.5" customHeight="1" x14ac:dyDescent="0.35">
      <c r="A4974" s="392"/>
      <c r="B4974" s="393"/>
      <c r="C4974" s="99" t="str">
        <f>IF(B4974="","",IF(NOT(ISNUMBER(B4974)),"DATA_PC invalida",IF(NOT(ISNUMBER(parametros!$C$2)),"Fora dos ciclos",IF(OR(B4974&lt;parametros!$C$2,(YEAR(B4974)-YEAR(parametros!$C$2))*12+MONTH(B4974)-MONTH(parametros!$C$2)&gt;59),"Fora dos ciclos","C"&amp;INT(((YEAR(B4974)-YEAR(parametros!$C$2))*12+MONTH(B4974)-MONTH(parametros!$C$2))/12)))))</f>
        <v/>
      </c>
      <c r="D4974" s="394"/>
      <c r="E4974" s="78" t="str">
        <f>IF(C4974="","",IFERROR(VLOOKUP(C4974,parametros!$A$11:$E$15,5,0),""))</f>
        <v/>
      </c>
      <c r="F4974" s="79" t="str">
        <f t="shared" si="387"/>
        <v/>
      </c>
      <c r="G4974" s="395"/>
      <c r="H4974" s="91">
        <f t="shared" si="388"/>
        <v>0</v>
      </c>
      <c r="I4974" s="91" t="str">
        <f t="shared" si="389"/>
        <v/>
      </c>
      <c r="J4974" s="91" t="str">
        <f t="shared" si="390"/>
        <v/>
      </c>
      <c r="K4974" s="92" t="str">
        <f>IF(AND(A4974="",B4974="",D4974="",G4974=""),"",IF(AND(A4974&lt;&gt;"",COUNTIF($A$2:$A$5001,A4974)&gt;1),"NUMERO_PC duplicado",IF(B4974="","DATA_PC vazia",IF(NOT(ISNUMBER(B4974)),"DATA_PC invalida",IF(OR(C4974="",C4974="Fora dos ciclos"),"CICLO_PC nao identificado",IF(OR(D4974="",D4974=0),"VALOR_PC vazio ou zero",IF(AND(G4974&lt;&gt;"Sim",G4974&lt;&gt;"Nao",G4974&lt;&gt;""),"PC_PAGO_A_CONTRATADA invalido",IF(AND(C4974&lt;&gt;"C0",IFERROR(INDEX(parametros!$A$2:$A$6,MATCH(C4974,parametros!$B$2:$B$6,0)),"")="Sim",IFERROR(INDEX(parametros!$H$2:$H$6,MATCH(C4974,parametros!$B$2:$B$6,0)),"")=""),"INICIO_EFEITO ausente: PC "&amp;A4974&amp;" - "&amp;C4974,IF(L4974="","EFEITO_PC nao calculado: PC "&amp;A4974&amp;" - "&amp;C4974,"OK")))))))))</f>
        <v/>
      </c>
      <c r="L4974" s="92" t="str">
        <f>IF(AND(A4974="",B4974="",D4974="",G4974=""),"",IF(OR(B4974="",NOT(ISNUMBER(B4974)),C4974="",C4974="Fora dos ciclos"),"",IF(C4974="C0","Nao",IF(IFERROR(INDEX(parametros!$A$2:$A$6,MATCH(C4974,parametros!$B$2:$B$6,0)),"")&lt;&gt;"Sim","Nao",IF(IFERROR(INDEX(parametros!$H$2:$H$6,MATCH(C4974,parametros!$B$2:$B$6,0)),"")="","",IF(B4974&gt;=IFERROR(INDEX(parametros!$H$2:$H$6,MATCH(C4974,parametros!$B$2:$B$6,0)),""),"Sim","Nao"))))))</f>
        <v/>
      </c>
      <c r="T4974" s="156"/>
      <c r="U4974" s="214" t="str">
        <f t="shared" si="391"/>
        <v/>
      </c>
      <c r="V4974" s="212" t="s">
        <v>50</v>
      </c>
      <c r="W4974" s="100" t="s">
        <v>168</v>
      </c>
      <c r="X4974" s="100" t="s">
        <v>169</v>
      </c>
      <c r="Y4974" s="101" t="s">
        <v>170</v>
      </c>
      <c r="Z4974" s="101" t="s">
        <v>171</v>
      </c>
      <c r="AA4974" s="101" t="s">
        <v>50</v>
      </c>
      <c r="AB4974" s="101" t="s">
        <v>172</v>
      </c>
      <c r="AC4974" s="102" t="s">
        <v>173</v>
      </c>
    </row>
    <row r="4975" spans="1:29" ht="25.5" customHeight="1" x14ac:dyDescent="0.35">
      <c r="A4975" s="392"/>
      <c r="B4975" s="393"/>
      <c r="C4975" s="99" t="str">
        <f>IF(B4975="","",IF(NOT(ISNUMBER(B4975)),"DATA_PC invalida",IF(NOT(ISNUMBER(parametros!$C$2)),"Fora dos ciclos",IF(OR(B4975&lt;parametros!$C$2,(YEAR(B4975)-YEAR(parametros!$C$2))*12+MONTH(B4975)-MONTH(parametros!$C$2)&gt;59),"Fora dos ciclos","C"&amp;INT(((YEAR(B4975)-YEAR(parametros!$C$2))*12+MONTH(B4975)-MONTH(parametros!$C$2))/12)))))</f>
        <v/>
      </c>
      <c r="D4975" s="394"/>
      <c r="E4975" s="78" t="str">
        <f>IF(C4975="","",IFERROR(VLOOKUP(C4975,parametros!$A$11:$E$15,5,0),""))</f>
        <v/>
      </c>
      <c r="F4975" s="79" t="str">
        <f t="shared" si="387"/>
        <v/>
      </c>
      <c r="G4975" s="395"/>
      <c r="H4975" s="91">
        <f t="shared" si="388"/>
        <v>0</v>
      </c>
      <c r="I4975" s="91" t="str">
        <f t="shared" si="389"/>
        <v/>
      </c>
      <c r="J4975" s="91" t="str">
        <f t="shared" si="390"/>
        <v/>
      </c>
      <c r="K4975" s="92" t="str">
        <f>IF(AND(A4975="",B4975="",D4975="",G4975=""),"",IF(AND(A4975&lt;&gt;"",COUNTIF($A$2:$A$5001,A4975)&gt;1),"NUMERO_PC duplicado",IF(B4975="","DATA_PC vazia",IF(NOT(ISNUMBER(B4975)),"DATA_PC invalida",IF(OR(C4975="",C4975="Fora dos ciclos"),"CICLO_PC nao identificado",IF(OR(D4975="",D4975=0),"VALOR_PC vazio ou zero",IF(AND(G4975&lt;&gt;"Sim",G4975&lt;&gt;"Nao",G4975&lt;&gt;""),"PC_PAGO_A_CONTRATADA invalido",IF(AND(C4975&lt;&gt;"C0",IFERROR(INDEX(parametros!$A$2:$A$6,MATCH(C4975,parametros!$B$2:$B$6,0)),"")="Sim",IFERROR(INDEX(parametros!$H$2:$H$6,MATCH(C4975,parametros!$B$2:$B$6,0)),"")=""),"INICIO_EFEITO ausente: PC "&amp;A4975&amp;" - "&amp;C4975,IF(L4975="","EFEITO_PC nao calculado: PC "&amp;A4975&amp;" - "&amp;C4975,"OK")))))))))</f>
        <v/>
      </c>
      <c r="L4975" s="92" t="str">
        <f>IF(AND(A4975="",B4975="",D4975="",G4975=""),"",IF(OR(B4975="",NOT(ISNUMBER(B4975)),C4975="",C4975="Fora dos ciclos"),"",IF(C4975="C0","Nao",IF(IFERROR(INDEX(parametros!$A$2:$A$6,MATCH(C4975,parametros!$B$2:$B$6,0)),"")&lt;&gt;"Sim","Nao",IF(IFERROR(INDEX(parametros!$H$2:$H$6,MATCH(C4975,parametros!$B$2:$B$6,0)),"")="","",IF(B4975&gt;=IFERROR(INDEX(parametros!$H$2:$H$6,MATCH(C4975,parametros!$B$2:$B$6,0)),""),"Sim","Nao"))))))</f>
        <v/>
      </c>
      <c r="T4975" s="156"/>
      <c r="U4975" s="214" t="str">
        <f t="shared" si="391"/>
        <v/>
      </c>
      <c r="V4975" s="212" t="s">
        <v>50</v>
      </c>
      <c r="W4975" s="100" t="s">
        <v>168</v>
      </c>
      <c r="X4975" s="100" t="s">
        <v>169</v>
      </c>
      <c r="Y4975" s="101" t="s">
        <v>170</v>
      </c>
      <c r="Z4975" s="101" t="s">
        <v>171</v>
      </c>
      <c r="AA4975" s="101" t="s">
        <v>50</v>
      </c>
      <c r="AB4975" s="101" t="s">
        <v>172</v>
      </c>
      <c r="AC4975" s="102" t="s">
        <v>173</v>
      </c>
    </row>
    <row r="4976" spans="1:29" ht="25.5" customHeight="1" x14ac:dyDescent="0.35">
      <c r="A4976" s="392"/>
      <c r="B4976" s="393"/>
      <c r="C4976" s="99" t="str">
        <f>IF(B4976="","",IF(NOT(ISNUMBER(B4976)),"DATA_PC invalida",IF(NOT(ISNUMBER(parametros!$C$2)),"Fora dos ciclos",IF(OR(B4976&lt;parametros!$C$2,(YEAR(B4976)-YEAR(parametros!$C$2))*12+MONTH(B4976)-MONTH(parametros!$C$2)&gt;59),"Fora dos ciclos","C"&amp;INT(((YEAR(B4976)-YEAR(parametros!$C$2))*12+MONTH(B4976)-MONTH(parametros!$C$2))/12)))))</f>
        <v/>
      </c>
      <c r="D4976" s="394"/>
      <c r="E4976" s="78" t="str">
        <f>IF(C4976="","",IFERROR(VLOOKUP(C4976,parametros!$A$11:$E$15,5,0),""))</f>
        <v/>
      </c>
      <c r="F4976" s="79" t="str">
        <f t="shared" si="387"/>
        <v/>
      </c>
      <c r="G4976" s="395"/>
      <c r="H4976" s="91">
        <f t="shared" si="388"/>
        <v>0</v>
      </c>
      <c r="I4976" s="91" t="str">
        <f t="shared" si="389"/>
        <v/>
      </c>
      <c r="J4976" s="91" t="str">
        <f t="shared" si="390"/>
        <v/>
      </c>
      <c r="K4976" s="92" t="str">
        <f>IF(AND(A4976="",B4976="",D4976="",G4976=""),"",IF(AND(A4976&lt;&gt;"",COUNTIF($A$2:$A$5001,A4976)&gt;1),"NUMERO_PC duplicado",IF(B4976="","DATA_PC vazia",IF(NOT(ISNUMBER(B4976)),"DATA_PC invalida",IF(OR(C4976="",C4976="Fora dos ciclos"),"CICLO_PC nao identificado",IF(OR(D4976="",D4976=0),"VALOR_PC vazio ou zero",IF(AND(G4976&lt;&gt;"Sim",G4976&lt;&gt;"Nao",G4976&lt;&gt;""),"PC_PAGO_A_CONTRATADA invalido",IF(AND(C4976&lt;&gt;"C0",IFERROR(INDEX(parametros!$A$2:$A$6,MATCH(C4976,parametros!$B$2:$B$6,0)),"")="Sim",IFERROR(INDEX(parametros!$H$2:$H$6,MATCH(C4976,parametros!$B$2:$B$6,0)),"")=""),"INICIO_EFEITO ausente: PC "&amp;A4976&amp;" - "&amp;C4976,IF(L4976="","EFEITO_PC nao calculado: PC "&amp;A4976&amp;" - "&amp;C4976,"OK")))))))))</f>
        <v/>
      </c>
      <c r="L4976" s="92" t="str">
        <f>IF(AND(A4976="",B4976="",D4976="",G4976=""),"",IF(OR(B4976="",NOT(ISNUMBER(B4976)),C4976="",C4976="Fora dos ciclos"),"",IF(C4976="C0","Nao",IF(IFERROR(INDEX(parametros!$A$2:$A$6,MATCH(C4976,parametros!$B$2:$B$6,0)),"")&lt;&gt;"Sim","Nao",IF(IFERROR(INDEX(parametros!$H$2:$H$6,MATCH(C4976,parametros!$B$2:$B$6,0)),"")="","",IF(B4976&gt;=IFERROR(INDEX(parametros!$H$2:$H$6,MATCH(C4976,parametros!$B$2:$B$6,0)),""),"Sim","Nao"))))))</f>
        <v/>
      </c>
      <c r="T4976" s="156"/>
      <c r="U4976" s="214" t="str">
        <f t="shared" si="391"/>
        <v/>
      </c>
      <c r="V4976" s="212" t="s">
        <v>50</v>
      </c>
      <c r="W4976" s="100" t="s">
        <v>168</v>
      </c>
      <c r="X4976" s="100" t="s">
        <v>169</v>
      </c>
      <c r="Y4976" s="101" t="s">
        <v>170</v>
      </c>
      <c r="Z4976" s="101" t="s">
        <v>171</v>
      </c>
      <c r="AA4976" s="101" t="s">
        <v>50</v>
      </c>
      <c r="AB4976" s="101" t="s">
        <v>172</v>
      </c>
      <c r="AC4976" s="102" t="s">
        <v>173</v>
      </c>
    </row>
    <row r="4977" spans="1:29" ht="25.5" customHeight="1" x14ac:dyDescent="0.35">
      <c r="A4977" s="392"/>
      <c r="B4977" s="393"/>
      <c r="C4977" s="99" t="str">
        <f>IF(B4977="","",IF(NOT(ISNUMBER(B4977)),"DATA_PC invalida",IF(NOT(ISNUMBER(parametros!$C$2)),"Fora dos ciclos",IF(OR(B4977&lt;parametros!$C$2,(YEAR(B4977)-YEAR(parametros!$C$2))*12+MONTH(B4977)-MONTH(parametros!$C$2)&gt;59),"Fora dos ciclos","C"&amp;INT(((YEAR(B4977)-YEAR(parametros!$C$2))*12+MONTH(B4977)-MONTH(parametros!$C$2))/12)))))</f>
        <v/>
      </c>
      <c r="D4977" s="394"/>
      <c r="E4977" s="78" t="str">
        <f>IF(C4977="","",IFERROR(VLOOKUP(C4977,parametros!$A$11:$E$15,5,0),""))</f>
        <v/>
      </c>
      <c r="F4977" s="79" t="str">
        <f t="shared" si="387"/>
        <v/>
      </c>
      <c r="G4977" s="395"/>
      <c r="H4977" s="91">
        <f t="shared" si="388"/>
        <v>0</v>
      </c>
      <c r="I4977" s="91" t="str">
        <f t="shared" si="389"/>
        <v/>
      </c>
      <c r="J4977" s="91" t="str">
        <f t="shared" si="390"/>
        <v/>
      </c>
      <c r="K4977" s="92" t="str">
        <f>IF(AND(A4977="",B4977="",D4977="",G4977=""),"",IF(AND(A4977&lt;&gt;"",COUNTIF($A$2:$A$5001,A4977)&gt;1),"NUMERO_PC duplicado",IF(B4977="","DATA_PC vazia",IF(NOT(ISNUMBER(B4977)),"DATA_PC invalida",IF(OR(C4977="",C4977="Fora dos ciclos"),"CICLO_PC nao identificado",IF(OR(D4977="",D4977=0),"VALOR_PC vazio ou zero",IF(AND(G4977&lt;&gt;"Sim",G4977&lt;&gt;"Nao",G4977&lt;&gt;""),"PC_PAGO_A_CONTRATADA invalido",IF(AND(C4977&lt;&gt;"C0",IFERROR(INDEX(parametros!$A$2:$A$6,MATCH(C4977,parametros!$B$2:$B$6,0)),"")="Sim",IFERROR(INDEX(parametros!$H$2:$H$6,MATCH(C4977,parametros!$B$2:$B$6,0)),"")=""),"INICIO_EFEITO ausente: PC "&amp;A4977&amp;" - "&amp;C4977,IF(L4977="","EFEITO_PC nao calculado: PC "&amp;A4977&amp;" - "&amp;C4977,"OK")))))))))</f>
        <v/>
      </c>
      <c r="L4977" s="92" t="str">
        <f>IF(AND(A4977="",B4977="",D4977="",G4977=""),"",IF(OR(B4977="",NOT(ISNUMBER(B4977)),C4977="",C4977="Fora dos ciclos"),"",IF(C4977="C0","Nao",IF(IFERROR(INDEX(parametros!$A$2:$A$6,MATCH(C4977,parametros!$B$2:$B$6,0)),"")&lt;&gt;"Sim","Nao",IF(IFERROR(INDEX(parametros!$H$2:$H$6,MATCH(C4977,parametros!$B$2:$B$6,0)),"")="","",IF(B4977&gt;=IFERROR(INDEX(parametros!$H$2:$H$6,MATCH(C4977,parametros!$B$2:$B$6,0)),""),"Sim","Nao"))))))</f>
        <v/>
      </c>
      <c r="T4977" s="156"/>
      <c r="U4977" s="214" t="str">
        <f t="shared" si="391"/>
        <v/>
      </c>
      <c r="V4977" s="212" t="s">
        <v>50</v>
      </c>
      <c r="W4977" s="100" t="s">
        <v>168</v>
      </c>
      <c r="X4977" s="100" t="s">
        <v>169</v>
      </c>
      <c r="Y4977" s="101" t="s">
        <v>170</v>
      </c>
      <c r="Z4977" s="101" t="s">
        <v>171</v>
      </c>
      <c r="AA4977" s="101" t="s">
        <v>50</v>
      </c>
      <c r="AB4977" s="101" t="s">
        <v>172</v>
      </c>
      <c r="AC4977" s="102" t="s">
        <v>173</v>
      </c>
    </row>
    <row r="4978" spans="1:29" ht="25.5" customHeight="1" x14ac:dyDescent="0.35">
      <c r="A4978" s="392"/>
      <c r="B4978" s="393"/>
      <c r="C4978" s="99" t="str">
        <f>IF(B4978="","",IF(NOT(ISNUMBER(B4978)),"DATA_PC invalida",IF(NOT(ISNUMBER(parametros!$C$2)),"Fora dos ciclos",IF(OR(B4978&lt;parametros!$C$2,(YEAR(B4978)-YEAR(parametros!$C$2))*12+MONTH(B4978)-MONTH(parametros!$C$2)&gt;59),"Fora dos ciclos","C"&amp;INT(((YEAR(B4978)-YEAR(parametros!$C$2))*12+MONTH(B4978)-MONTH(parametros!$C$2))/12)))))</f>
        <v/>
      </c>
      <c r="D4978" s="394"/>
      <c r="E4978" s="78" t="str">
        <f>IF(C4978="","",IFERROR(VLOOKUP(C4978,parametros!$A$11:$E$15,5,0),""))</f>
        <v/>
      </c>
      <c r="F4978" s="79" t="str">
        <f t="shared" si="387"/>
        <v/>
      </c>
      <c r="G4978" s="395"/>
      <c r="H4978" s="91">
        <f t="shared" si="388"/>
        <v>0</v>
      </c>
      <c r="I4978" s="91" t="str">
        <f t="shared" si="389"/>
        <v/>
      </c>
      <c r="J4978" s="91" t="str">
        <f t="shared" si="390"/>
        <v/>
      </c>
      <c r="K4978" s="92" t="str">
        <f>IF(AND(A4978="",B4978="",D4978="",G4978=""),"",IF(AND(A4978&lt;&gt;"",COUNTIF($A$2:$A$5001,A4978)&gt;1),"NUMERO_PC duplicado",IF(B4978="","DATA_PC vazia",IF(NOT(ISNUMBER(B4978)),"DATA_PC invalida",IF(OR(C4978="",C4978="Fora dos ciclos"),"CICLO_PC nao identificado",IF(OR(D4978="",D4978=0),"VALOR_PC vazio ou zero",IF(AND(G4978&lt;&gt;"Sim",G4978&lt;&gt;"Nao",G4978&lt;&gt;""),"PC_PAGO_A_CONTRATADA invalido",IF(AND(C4978&lt;&gt;"C0",IFERROR(INDEX(parametros!$A$2:$A$6,MATCH(C4978,parametros!$B$2:$B$6,0)),"")="Sim",IFERROR(INDEX(parametros!$H$2:$H$6,MATCH(C4978,parametros!$B$2:$B$6,0)),"")=""),"INICIO_EFEITO ausente: PC "&amp;A4978&amp;" - "&amp;C4978,IF(L4978="","EFEITO_PC nao calculado: PC "&amp;A4978&amp;" - "&amp;C4978,"OK")))))))))</f>
        <v/>
      </c>
      <c r="L4978" s="92" t="str">
        <f>IF(AND(A4978="",B4978="",D4978="",G4978=""),"",IF(OR(B4978="",NOT(ISNUMBER(B4978)),C4978="",C4978="Fora dos ciclos"),"",IF(C4978="C0","Nao",IF(IFERROR(INDEX(parametros!$A$2:$A$6,MATCH(C4978,parametros!$B$2:$B$6,0)),"")&lt;&gt;"Sim","Nao",IF(IFERROR(INDEX(parametros!$H$2:$H$6,MATCH(C4978,parametros!$B$2:$B$6,0)),"")="","",IF(B4978&gt;=IFERROR(INDEX(parametros!$H$2:$H$6,MATCH(C4978,parametros!$B$2:$B$6,0)),""),"Sim","Nao"))))))</f>
        <v/>
      </c>
      <c r="T4978" s="156"/>
      <c r="U4978" s="214" t="str">
        <f t="shared" si="391"/>
        <v/>
      </c>
      <c r="V4978" s="212" t="s">
        <v>50</v>
      </c>
      <c r="W4978" s="100" t="s">
        <v>168</v>
      </c>
      <c r="X4978" s="100" t="s">
        <v>169</v>
      </c>
      <c r="Y4978" s="101" t="s">
        <v>170</v>
      </c>
      <c r="Z4978" s="101" t="s">
        <v>171</v>
      </c>
      <c r="AA4978" s="101" t="s">
        <v>50</v>
      </c>
      <c r="AB4978" s="101" t="s">
        <v>172</v>
      </c>
      <c r="AC4978" s="102" t="s">
        <v>173</v>
      </c>
    </row>
    <row r="4979" spans="1:29" ht="25.5" customHeight="1" x14ac:dyDescent="0.35">
      <c r="A4979" s="392"/>
      <c r="B4979" s="393"/>
      <c r="C4979" s="99" t="str">
        <f>IF(B4979="","",IF(NOT(ISNUMBER(B4979)),"DATA_PC invalida",IF(NOT(ISNUMBER(parametros!$C$2)),"Fora dos ciclos",IF(OR(B4979&lt;parametros!$C$2,(YEAR(B4979)-YEAR(parametros!$C$2))*12+MONTH(B4979)-MONTH(parametros!$C$2)&gt;59),"Fora dos ciclos","C"&amp;INT(((YEAR(B4979)-YEAR(parametros!$C$2))*12+MONTH(B4979)-MONTH(parametros!$C$2))/12)))))</f>
        <v/>
      </c>
      <c r="D4979" s="394"/>
      <c r="E4979" s="78" t="str">
        <f>IF(C4979="","",IFERROR(VLOOKUP(C4979,parametros!$A$11:$E$15,5,0),""))</f>
        <v/>
      </c>
      <c r="F4979" s="79" t="str">
        <f t="shared" si="387"/>
        <v/>
      </c>
      <c r="G4979" s="395"/>
      <c r="H4979" s="91">
        <f t="shared" si="388"/>
        <v>0</v>
      </c>
      <c r="I4979" s="91" t="str">
        <f t="shared" si="389"/>
        <v/>
      </c>
      <c r="J4979" s="91" t="str">
        <f t="shared" si="390"/>
        <v/>
      </c>
      <c r="K4979" s="92" t="str">
        <f>IF(AND(A4979="",B4979="",D4979="",G4979=""),"",IF(AND(A4979&lt;&gt;"",COUNTIF($A$2:$A$5001,A4979)&gt;1),"NUMERO_PC duplicado",IF(B4979="","DATA_PC vazia",IF(NOT(ISNUMBER(B4979)),"DATA_PC invalida",IF(OR(C4979="",C4979="Fora dos ciclos"),"CICLO_PC nao identificado",IF(OR(D4979="",D4979=0),"VALOR_PC vazio ou zero",IF(AND(G4979&lt;&gt;"Sim",G4979&lt;&gt;"Nao",G4979&lt;&gt;""),"PC_PAGO_A_CONTRATADA invalido",IF(AND(C4979&lt;&gt;"C0",IFERROR(INDEX(parametros!$A$2:$A$6,MATCH(C4979,parametros!$B$2:$B$6,0)),"")="Sim",IFERROR(INDEX(parametros!$H$2:$H$6,MATCH(C4979,parametros!$B$2:$B$6,0)),"")=""),"INICIO_EFEITO ausente: PC "&amp;A4979&amp;" - "&amp;C4979,IF(L4979="","EFEITO_PC nao calculado: PC "&amp;A4979&amp;" - "&amp;C4979,"OK")))))))))</f>
        <v/>
      </c>
      <c r="L4979" s="92" t="str">
        <f>IF(AND(A4979="",B4979="",D4979="",G4979=""),"",IF(OR(B4979="",NOT(ISNUMBER(B4979)),C4979="",C4979="Fora dos ciclos"),"",IF(C4979="C0","Nao",IF(IFERROR(INDEX(parametros!$A$2:$A$6,MATCH(C4979,parametros!$B$2:$B$6,0)),"")&lt;&gt;"Sim","Nao",IF(IFERROR(INDEX(parametros!$H$2:$H$6,MATCH(C4979,parametros!$B$2:$B$6,0)),"")="","",IF(B4979&gt;=IFERROR(INDEX(parametros!$H$2:$H$6,MATCH(C4979,parametros!$B$2:$B$6,0)),""),"Sim","Nao"))))))</f>
        <v/>
      </c>
      <c r="T4979" s="156"/>
      <c r="U4979" s="214" t="str">
        <f t="shared" si="391"/>
        <v/>
      </c>
      <c r="V4979" s="212" t="s">
        <v>50</v>
      </c>
      <c r="W4979" s="100" t="s">
        <v>168</v>
      </c>
      <c r="X4979" s="100" t="s">
        <v>169</v>
      </c>
      <c r="Y4979" s="101" t="s">
        <v>170</v>
      </c>
      <c r="Z4979" s="101" t="s">
        <v>171</v>
      </c>
      <c r="AA4979" s="101" t="s">
        <v>50</v>
      </c>
      <c r="AB4979" s="101" t="s">
        <v>172</v>
      </c>
      <c r="AC4979" s="102" t="s">
        <v>173</v>
      </c>
    </row>
    <row r="4980" spans="1:29" ht="25.5" customHeight="1" x14ac:dyDescent="0.35">
      <c r="A4980" s="392"/>
      <c r="B4980" s="393"/>
      <c r="C4980" s="99" t="str">
        <f>IF(B4980="","",IF(NOT(ISNUMBER(B4980)),"DATA_PC invalida",IF(NOT(ISNUMBER(parametros!$C$2)),"Fora dos ciclos",IF(OR(B4980&lt;parametros!$C$2,(YEAR(B4980)-YEAR(parametros!$C$2))*12+MONTH(B4980)-MONTH(parametros!$C$2)&gt;59),"Fora dos ciclos","C"&amp;INT(((YEAR(B4980)-YEAR(parametros!$C$2))*12+MONTH(B4980)-MONTH(parametros!$C$2))/12)))))</f>
        <v/>
      </c>
      <c r="D4980" s="394"/>
      <c r="E4980" s="78" t="str">
        <f>IF(C4980="","",IFERROR(VLOOKUP(C4980,parametros!$A$11:$E$15,5,0),""))</f>
        <v/>
      </c>
      <c r="F4980" s="79" t="str">
        <f t="shared" si="387"/>
        <v/>
      </c>
      <c r="G4980" s="395"/>
      <c r="H4980" s="91">
        <f t="shared" si="388"/>
        <v>0</v>
      </c>
      <c r="I4980" s="91" t="str">
        <f t="shared" si="389"/>
        <v/>
      </c>
      <c r="J4980" s="91" t="str">
        <f t="shared" si="390"/>
        <v/>
      </c>
      <c r="K4980" s="92" t="str">
        <f>IF(AND(A4980="",B4980="",D4980="",G4980=""),"",IF(AND(A4980&lt;&gt;"",COUNTIF($A$2:$A$5001,A4980)&gt;1),"NUMERO_PC duplicado",IF(B4980="","DATA_PC vazia",IF(NOT(ISNUMBER(B4980)),"DATA_PC invalida",IF(OR(C4980="",C4980="Fora dos ciclos"),"CICLO_PC nao identificado",IF(OR(D4980="",D4980=0),"VALOR_PC vazio ou zero",IF(AND(G4980&lt;&gt;"Sim",G4980&lt;&gt;"Nao",G4980&lt;&gt;""),"PC_PAGO_A_CONTRATADA invalido",IF(AND(C4980&lt;&gt;"C0",IFERROR(INDEX(parametros!$A$2:$A$6,MATCH(C4980,parametros!$B$2:$B$6,0)),"")="Sim",IFERROR(INDEX(parametros!$H$2:$H$6,MATCH(C4980,parametros!$B$2:$B$6,0)),"")=""),"INICIO_EFEITO ausente: PC "&amp;A4980&amp;" - "&amp;C4980,IF(L4980="","EFEITO_PC nao calculado: PC "&amp;A4980&amp;" - "&amp;C4980,"OK")))))))))</f>
        <v/>
      </c>
      <c r="L4980" s="92" t="str">
        <f>IF(AND(A4980="",B4980="",D4980="",G4980=""),"",IF(OR(B4980="",NOT(ISNUMBER(B4980)),C4980="",C4980="Fora dos ciclos"),"",IF(C4980="C0","Nao",IF(IFERROR(INDEX(parametros!$A$2:$A$6,MATCH(C4980,parametros!$B$2:$B$6,0)),"")&lt;&gt;"Sim","Nao",IF(IFERROR(INDEX(parametros!$H$2:$H$6,MATCH(C4980,parametros!$B$2:$B$6,0)),"")="","",IF(B4980&gt;=IFERROR(INDEX(parametros!$H$2:$H$6,MATCH(C4980,parametros!$B$2:$B$6,0)),""),"Sim","Nao"))))))</f>
        <v/>
      </c>
      <c r="T4980" s="156"/>
      <c r="U4980" s="214" t="str">
        <f t="shared" si="391"/>
        <v/>
      </c>
      <c r="V4980" s="212" t="s">
        <v>50</v>
      </c>
      <c r="W4980" s="100" t="s">
        <v>168</v>
      </c>
      <c r="X4980" s="100" t="s">
        <v>169</v>
      </c>
      <c r="Y4980" s="101" t="s">
        <v>170</v>
      </c>
      <c r="Z4980" s="101" t="s">
        <v>171</v>
      </c>
      <c r="AA4980" s="101" t="s">
        <v>50</v>
      </c>
      <c r="AB4980" s="101" t="s">
        <v>172</v>
      </c>
      <c r="AC4980" s="102" t="s">
        <v>173</v>
      </c>
    </row>
    <row r="4981" spans="1:29" ht="25.5" customHeight="1" x14ac:dyDescent="0.35">
      <c r="A4981" s="392"/>
      <c r="B4981" s="393"/>
      <c r="C4981" s="99" t="str">
        <f>IF(B4981="","",IF(NOT(ISNUMBER(B4981)),"DATA_PC invalida",IF(NOT(ISNUMBER(parametros!$C$2)),"Fora dos ciclos",IF(OR(B4981&lt;parametros!$C$2,(YEAR(B4981)-YEAR(parametros!$C$2))*12+MONTH(B4981)-MONTH(parametros!$C$2)&gt;59),"Fora dos ciclos","C"&amp;INT(((YEAR(B4981)-YEAR(parametros!$C$2))*12+MONTH(B4981)-MONTH(parametros!$C$2))/12)))))</f>
        <v/>
      </c>
      <c r="D4981" s="394"/>
      <c r="E4981" s="78" t="str">
        <f>IF(C4981="","",IFERROR(VLOOKUP(C4981,parametros!$A$11:$E$15,5,0),""))</f>
        <v/>
      </c>
      <c r="F4981" s="79" t="str">
        <f t="shared" si="387"/>
        <v/>
      </c>
      <c r="G4981" s="395"/>
      <c r="H4981" s="91">
        <f t="shared" si="388"/>
        <v>0</v>
      </c>
      <c r="I4981" s="91" t="str">
        <f t="shared" si="389"/>
        <v/>
      </c>
      <c r="J4981" s="91" t="str">
        <f t="shared" si="390"/>
        <v/>
      </c>
      <c r="K4981" s="92" t="str">
        <f>IF(AND(A4981="",B4981="",D4981="",G4981=""),"",IF(AND(A4981&lt;&gt;"",COUNTIF($A$2:$A$5001,A4981)&gt;1),"NUMERO_PC duplicado",IF(B4981="","DATA_PC vazia",IF(NOT(ISNUMBER(B4981)),"DATA_PC invalida",IF(OR(C4981="",C4981="Fora dos ciclos"),"CICLO_PC nao identificado",IF(OR(D4981="",D4981=0),"VALOR_PC vazio ou zero",IF(AND(G4981&lt;&gt;"Sim",G4981&lt;&gt;"Nao",G4981&lt;&gt;""),"PC_PAGO_A_CONTRATADA invalido",IF(AND(C4981&lt;&gt;"C0",IFERROR(INDEX(parametros!$A$2:$A$6,MATCH(C4981,parametros!$B$2:$B$6,0)),"")="Sim",IFERROR(INDEX(parametros!$H$2:$H$6,MATCH(C4981,parametros!$B$2:$B$6,0)),"")=""),"INICIO_EFEITO ausente: PC "&amp;A4981&amp;" - "&amp;C4981,IF(L4981="","EFEITO_PC nao calculado: PC "&amp;A4981&amp;" - "&amp;C4981,"OK")))))))))</f>
        <v/>
      </c>
      <c r="L4981" s="92" t="str">
        <f>IF(AND(A4981="",B4981="",D4981="",G4981=""),"",IF(OR(B4981="",NOT(ISNUMBER(B4981)),C4981="",C4981="Fora dos ciclos"),"",IF(C4981="C0","Nao",IF(IFERROR(INDEX(parametros!$A$2:$A$6,MATCH(C4981,parametros!$B$2:$B$6,0)),"")&lt;&gt;"Sim","Nao",IF(IFERROR(INDEX(parametros!$H$2:$H$6,MATCH(C4981,parametros!$B$2:$B$6,0)),"")="","",IF(B4981&gt;=IFERROR(INDEX(parametros!$H$2:$H$6,MATCH(C4981,parametros!$B$2:$B$6,0)),""),"Sim","Nao"))))))</f>
        <v/>
      </c>
      <c r="T4981" s="156"/>
      <c r="U4981" s="214" t="str">
        <f t="shared" si="391"/>
        <v/>
      </c>
      <c r="V4981" s="212" t="s">
        <v>50</v>
      </c>
      <c r="W4981" s="100" t="s">
        <v>168</v>
      </c>
      <c r="X4981" s="100" t="s">
        <v>169</v>
      </c>
      <c r="Y4981" s="101" t="s">
        <v>170</v>
      </c>
      <c r="Z4981" s="101" t="s">
        <v>171</v>
      </c>
      <c r="AA4981" s="101" t="s">
        <v>50</v>
      </c>
      <c r="AB4981" s="101" t="s">
        <v>172</v>
      </c>
      <c r="AC4981" s="102" t="s">
        <v>173</v>
      </c>
    </row>
    <row r="4982" spans="1:29" ht="25.5" customHeight="1" x14ac:dyDescent="0.35">
      <c r="A4982" s="392"/>
      <c r="B4982" s="393"/>
      <c r="C4982" s="99" t="str">
        <f>IF(B4982="","",IF(NOT(ISNUMBER(B4982)),"DATA_PC invalida",IF(NOT(ISNUMBER(parametros!$C$2)),"Fora dos ciclos",IF(OR(B4982&lt;parametros!$C$2,(YEAR(B4982)-YEAR(parametros!$C$2))*12+MONTH(B4982)-MONTH(parametros!$C$2)&gt;59),"Fora dos ciclos","C"&amp;INT(((YEAR(B4982)-YEAR(parametros!$C$2))*12+MONTH(B4982)-MONTH(parametros!$C$2))/12)))))</f>
        <v/>
      </c>
      <c r="D4982" s="394"/>
      <c r="E4982" s="78" t="str">
        <f>IF(C4982="","",IFERROR(VLOOKUP(C4982,parametros!$A$11:$E$15,5,0),""))</f>
        <v/>
      </c>
      <c r="F4982" s="79" t="str">
        <f t="shared" si="387"/>
        <v/>
      </c>
      <c r="G4982" s="395"/>
      <c r="H4982" s="91">
        <f t="shared" si="388"/>
        <v>0</v>
      </c>
      <c r="I4982" s="91" t="str">
        <f t="shared" si="389"/>
        <v/>
      </c>
      <c r="J4982" s="91" t="str">
        <f t="shared" si="390"/>
        <v/>
      </c>
      <c r="K4982" s="92" t="str">
        <f>IF(AND(A4982="",B4982="",D4982="",G4982=""),"",IF(AND(A4982&lt;&gt;"",COUNTIF($A$2:$A$5001,A4982)&gt;1),"NUMERO_PC duplicado",IF(B4982="","DATA_PC vazia",IF(NOT(ISNUMBER(B4982)),"DATA_PC invalida",IF(OR(C4982="",C4982="Fora dos ciclos"),"CICLO_PC nao identificado",IF(OR(D4982="",D4982=0),"VALOR_PC vazio ou zero",IF(AND(G4982&lt;&gt;"Sim",G4982&lt;&gt;"Nao",G4982&lt;&gt;""),"PC_PAGO_A_CONTRATADA invalido",IF(AND(C4982&lt;&gt;"C0",IFERROR(INDEX(parametros!$A$2:$A$6,MATCH(C4982,parametros!$B$2:$B$6,0)),"")="Sim",IFERROR(INDEX(parametros!$H$2:$H$6,MATCH(C4982,parametros!$B$2:$B$6,0)),"")=""),"INICIO_EFEITO ausente: PC "&amp;A4982&amp;" - "&amp;C4982,IF(L4982="","EFEITO_PC nao calculado: PC "&amp;A4982&amp;" - "&amp;C4982,"OK")))))))))</f>
        <v/>
      </c>
      <c r="L4982" s="92" t="str">
        <f>IF(AND(A4982="",B4982="",D4982="",G4982=""),"",IF(OR(B4982="",NOT(ISNUMBER(B4982)),C4982="",C4982="Fora dos ciclos"),"",IF(C4982="C0","Nao",IF(IFERROR(INDEX(parametros!$A$2:$A$6,MATCH(C4982,parametros!$B$2:$B$6,0)),"")&lt;&gt;"Sim","Nao",IF(IFERROR(INDEX(parametros!$H$2:$H$6,MATCH(C4982,parametros!$B$2:$B$6,0)),"")="","",IF(B4982&gt;=IFERROR(INDEX(parametros!$H$2:$H$6,MATCH(C4982,parametros!$B$2:$B$6,0)),""),"Sim","Nao"))))))</f>
        <v/>
      </c>
      <c r="T4982" s="156"/>
      <c r="U4982" s="214" t="str">
        <f t="shared" si="391"/>
        <v/>
      </c>
      <c r="V4982" s="212" t="s">
        <v>50</v>
      </c>
      <c r="W4982" s="100" t="s">
        <v>168</v>
      </c>
      <c r="X4982" s="100" t="s">
        <v>169</v>
      </c>
      <c r="Y4982" s="101" t="s">
        <v>170</v>
      </c>
      <c r="Z4982" s="101" t="s">
        <v>171</v>
      </c>
      <c r="AA4982" s="101" t="s">
        <v>50</v>
      </c>
      <c r="AB4982" s="101" t="s">
        <v>172</v>
      </c>
      <c r="AC4982" s="102" t="s">
        <v>173</v>
      </c>
    </row>
    <row r="4983" spans="1:29" ht="25.5" customHeight="1" x14ac:dyDescent="0.35">
      <c r="A4983" s="392"/>
      <c r="B4983" s="393"/>
      <c r="C4983" s="99" t="str">
        <f>IF(B4983="","",IF(NOT(ISNUMBER(B4983)),"DATA_PC invalida",IF(NOT(ISNUMBER(parametros!$C$2)),"Fora dos ciclos",IF(OR(B4983&lt;parametros!$C$2,(YEAR(B4983)-YEAR(parametros!$C$2))*12+MONTH(B4983)-MONTH(parametros!$C$2)&gt;59),"Fora dos ciclos","C"&amp;INT(((YEAR(B4983)-YEAR(parametros!$C$2))*12+MONTH(B4983)-MONTH(parametros!$C$2))/12)))))</f>
        <v/>
      </c>
      <c r="D4983" s="394"/>
      <c r="E4983" s="78" t="str">
        <f>IF(C4983="","",IFERROR(VLOOKUP(C4983,parametros!$A$11:$E$15,5,0),""))</f>
        <v/>
      </c>
      <c r="F4983" s="79" t="str">
        <f t="shared" si="387"/>
        <v/>
      </c>
      <c r="G4983" s="395"/>
      <c r="H4983" s="91">
        <f t="shared" si="388"/>
        <v>0</v>
      </c>
      <c r="I4983" s="91" t="str">
        <f t="shared" si="389"/>
        <v/>
      </c>
      <c r="J4983" s="91" t="str">
        <f t="shared" si="390"/>
        <v/>
      </c>
      <c r="K4983" s="92" t="str">
        <f>IF(AND(A4983="",B4983="",D4983="",G4983=""),"",IF(AND(A4983&lt;&gt;"",COUNTIF($A$2:$A$5001,A4983)&gt;1),"NUMERO_PC duplicado",IF(B4983="","DATA_PC vazia",IF(NOT(ISNUMBER(B4983)),"DATA_PC invalida",IF(OR(C4983="",C4983="Fora dos ciclos"),"CICLO_PC nao identificado",IF(OR(D4983="",D4983=0),"VALOR_PC vazio ou zero",IF(AND(G4983&lt;&gt;"Sim",G4983&lt;&gt;"Nao",G4983&lt;&gt;""),"PC_PAGO_A_CONTRATADA invalido",IF(AND(C4983&lt;&gt;"C0",IFERROR(INDEX(parametros!$A$2:$A$6,MATCH(C4983,parametros!$B$2:$B$6,0)),"")="Sim",IFERROR(INDEX(parametros!$H$2:$H$6,MATCH(C4983,parametros!$B$2:$B$6,0)),"")=""),"INICIO_EFEITO ausente: PC "&amp;A4983&amp;" - "&amp;C4983,IF(L4983="","EFEITO_PC nao calculado: PC "&amp;A4983&amp;" - "&amp;C4983,"OK")))))))))</f>
        <v/>
      </c>
      <c r="L4983" s="92" t="str">
        <f>IF(AND(A4983="",B4983="",D4983="",G4983=""),"",IF(OR(B4983="",NOT(ISNUMBER(B4983)),C4983="",C4983="Fora dos ciclos"),"",IF(C4983="C0","Nao",IF(IFERROR(INDEX(parametros!$A$2:$A$6,MATCH(C4983,parametros!$B$2:$B$6,0)),"")&lt;&gt;"Sim","Nao",IF(IFERROR(INDEX(parametros!$H$2:$H$6,MATCH(C4983,parametros!$B$2:$B$6,0)),"")="","",IF(B4983&gt;=IFERROR(INDEX(parametros!$H$2:$H$6,MATCH(C4983,parametros!$B$2:$B$6,0)),""),"Sim","Nao"))))))</f>
        <v/>
      </c>
      <c r="T4983" s="156"/>
      <c r="U4983" s="214" t="str">
        <f t="shared" si="391"/>
        <v/>
      </c>
      <c r="V4983" s="212" t="s">
        <v>50</v>
      </c>
      <c r="W4983" s="100" t="s">
        <v>168</v>
      </c>
      <c r="X4983" s="100" t="s">
        <v>169</v>
      </c>
      <c r="Y4983" s="101" t="s">
        <v>170</v>
      </c>
      <c r="Z4983" s="101" t="s">
        <v>171</v>
      </c>
      <c r="AA4983" s="101" t="s">
        <v>50</v>
      </c>
      <c r="AB4983" s="101" t="s">
        <v>172</v>
      </c>
      <c r="AC4983" s="102" t="s">
        <v>173</v>
      </c>
    </row>
    <row r="4984" spans="1:29" ht="25.5" customHeight="1" x14ac:dyDescent="0.35">
      <c r="A4984" s="392"/>
      <c r="B4984" s="393"/>
      <c r="C4984" s="99" t="str">
        <f>IF(B4984="","",IF(NOT(ISNUMBER(B4984)),"DATA_PC invalida",IF(NOT(ISNUMBER(parametros!$C$2)),"Fora dos ciclos",IF(OR(B4984&lt;parametros!$C$2,(YEAR(B4984)-YEAR(parametros!$C$2))*12+MONTH(B4984)-MONTH(parametros!$C$2)&gt;59),"Fora dos ciclos","C"&amp;INT(((YEAR(B4984)-YEAR(parametros!$C$2))*12+MONTH(B4984)-MONTH(parametros!$C$2))/12)))))</f>
        <v/>
      </c>
      <c r="D4984" s="394"/>
      <c r="E4984" s="78" t="str">
        <f>IF(C4984="","",IFERROR(VLOOKUP(C4984,parametros!$A$11:$E$15,5,0),""))</f>
        <v/>
      </c>
      <c r="F4984" s="79" t="str">
        <f t="shared" si="387"/>
        <v/>
      </c>
      <c r="G4984" s="395"/>
      <c r="H4984" s="91">
        <f t="shared" si="388"/>
        <v>0</v>
      </c>
      <c r="I4984" s="91" t="str">
        <f t="shared" si="389"/>
        <v/>
      </c>
      <c r="J4984" s="91" t="str">
        <f t="shared" si="390"/>
        <v/>
      </c>
      <c r="K4984" s="92" t="str">
        <f>IF(AND(A4984="",B4984="",D4984="",G4984=""),"",IF(AND(A4984&lt;&gt;"",COUNTIF($A$2:$A$5001,A4984)&gt;1),"NUMERO_PC duplicado",IF(B4984="","DATA_PC vazia",IF(NOT(ISNUMBER(B4984)),"DATA_PC invalida",IF(OR(C4984="",C4984="Fora dos ciclos"),"CICLO_PC nao identificado",IF(OR(D4984="",D4984=0),"VALOR_PC vazio ou zero",IF(AND(G4984&lt;&gt;"Sim",G4984&lt;&gt;"Nao",G4984&lt;&gt;""),"PC_PAGO_A_CONTRATADA invalido",IF(AND(C4984&lt;&gt;"C0",IFERROR(INDEX(parametros!$A$2:$A$6,MATCH(C4984,parametros!$B$2:$B$6,0)),"")="Sim",IFERROR(INDEX(parametros!$H$2:$H$6,MATCH(C4984,parametros!$B$2:$B$6,0)),"")=""),"INICIO_EFEITO ausente: PC "&amp;A4984&amp;" - "&amp;C4984,IF(L4984="","EFEITO_PC nao calculado: PC "&amp;A4984&amp;" - "&amp;C4984,"OK")))))))))</f>
        <v/>
      </c>
      <c r="L4984" s="92" t="str">
        <f>IF(AND(A4984="",B4984="",D4984="",G4984=""),"",IF(OR(B4984="",NOT(ISNUMBER(B4984)),C4984="",C4984="Fora dos ciclos"),"",IF(C4984="C0","Nao",IF(IFERROR(INDEX(parametros!$A$2:$A$6,MATCH(C4984,parametros!$B$2:$B$6,0)),"")&lt;&gt;"Sim","Nao",IF(IFERROR(INDEX(parametros!$H$2:$H$6,MATCH(C4984,parametros!$B$2:$B$6,0)),"")="","",IF(B4984&gt;=IFERROR(INDEX(parametros!$H$2:$H$6,MATCH(C4984,parametros!$B$2:$B$6,0)),""),"Sim","Nao"))))))</f>
        <v/>
      </c>
      <c r="T4984" s="156"/>
      <c r="U4984" s="214" t="str">
        <f t="shared" si="391"/>
        <v/>
      </c>
      <c r="V4984" s="212" t="s">
        <v>50</v>
      </c>
      <c r="W4984" s="100" t="s">
        <v>168</v>
      </c>
      <c r="X4984" s="100" t="s">
        <v>169</v>
      </c>
      <c r="Y4984" s="101" t="s">
        <v>170</v>
      </c>
      <c r="Z4984" s="101" t="s">
        <v>171</v>
      </c>
      <c r="AA4984" s="101" t="s">
        <v>50</v>
      </c>
      <c r="AB4984" s="101" t="s">
        <v>172</v>
      </c>
      <c r="AC4984" s="102" t="s">
        <v>173</v>
      </c>
    </row>
    <row r="4985" spans="1:29" ht="25.5" customHeight="1" x14ac:dyDescent="0.35">
      <c r="A4985" s="392"/>
      <c r="B4985" s="393"/>
      <c r="C4985" s="99" t="str">
        <f>IF(B4985="","",IF(NOT(ISNUMBER(B4985)),"DATA_PC invalida",IF(NOT(ISNUMBER(parametros!$C$2)),"Fora dos ciclos",IF(OR(B4985&lt;parametros!$C$2,(YEAR(B4985)-YEAR(parametros!$C$2))*12+MONTH(B4985)-MONTH(parametros!$C$2)&gt;59),"Fora dos ciclos","C"&amp;INT(((YEAR(B4985)-YEAR(parametros!$C$2))*12+MONTH(B4985)-MONTH(parametros!$C$2))/12)))))</f>
        <v/>
      </c>
      <c r="D4985" s="394"/>
      <c r="E4985" s="78" t="str">
        <f>IF(C4985="","",IFERROR(VLOOKUP(C4985,parametros!$A$11:$E$15,5,0),""))</f>
        <v/>
      </c>
      <c r="F4985" s="79" t="str">
        <f t="shared" si="387"/>
        <v/>
      </c>
      <c r="G4985" s="395"/>
      <c r="H4985" s="91">
        <f t="shared" si="388"/>
        <v>0</v>
      </c>
      <c r="I4985" s="91" t="str">
        <f t="shared" si="389"/>
        <v/>
      </c>
      <c r="J4985" s="91" t="str">
        <f t="shared" si="390"/>
        <v/>
      </c>
      <c r="K4985" s="92" t="str">
        <f>IF(AND(A4985="",B4985="",D4985="",G4985=""),"",IF(AND(A4985&lt;&gt;"",COUNTIF($A$2:$A$5001,A4985)&gt;1),"NUMERO_PC duplicado",IF(B4985="","DATA_PC vazia",IF(NOT(ISNUMBER(B4985)),"DATA_PC invalida",IF(OR(C4985="",C4985="Fora dos ciclos"),"CICLO_PC nao identificado",IF(OR(D4985="",D4985=0),"VALOR_PC vazio ou zero",IF(AND(G4985&lt;&gt;"Sim",G4985&lt;&gt;"Nao",G4985&lt;&gt;""),"PC_PAGO_A_CONTRATADA invalido",IF(AND(C4985&lt;&gt;"C0",IFERROR(INDEX(parametros!$A$2:$A$6,MATCH(C4985,parametros!$B$2:$B$6,0)),"")="Sim",IFERROR(INDEX(parametros!$H$2:$H$6,MATCH(C4985,parametros!$B$2:$B$6,0)),"")=""),"INICIO_EFEITO ausente: PC "&amp;A4985&amp;" - "&amp;C4985,IF(L4985="","EFEITO_PC nao calculado: PC "&amp;A4985&amp;" - "&amp;C4985,"OK")))))))))</f>
        <v/>
      </c>
      <c r="L4985" s="92" t="str">
        <f>IF(AND(A4985="",B4985="",D4985="",G4985=""),"",IF(OR(B4985="",NOT(ISNUMBER(B4985)),C4985="",C4985="Fora dos ciclos"),"",IF(C4985="C0","Nao",IF(IFERROR(INDEX(parametros!$A$2:$A$6,MATCH(C4985,parametros!$B$2:$B$6,0)),"")&lt;&gt;"Sim","Nao",IF(IFERROR(INDEX(parametros!$H$2:$H$6,MATCH(C4985,parametros!$B$2:$B$6,0)),"")="","",IF(B4985&gt;=IFERROR(INDEX(parametros!$H$2:$H$6,MATCH(C4985,parametros!$B$2:$B$6,0)),""),"Sim","Nao"))))))</f>
        <v/>
      </c>
      <c r="T4985" s="156"/>
      <c r="U4985" s="214" t="str">
        <f t="shared" si="391"/>
        <v/>
      </c>
      <c r="V4985" s="212" t="s">
        <v>50</v>
      </c>
      <c r="W4985" s="100" t="s">
        <v>168</v>
      </c>
      <c r="X4985" s="100" t="s">
        <v>169</v>
      </c>
      <c r="Y4985" s="101" t="s">
        <v>170</v>
      </c>
      <c r="Z4985" s="101" t="s">
        <v>171</v>
      </c>
      <c r="AA4985" s="101" t="s">
        <v>50</v>
      </c>
      <c r="AB4985" s="101" t="s">
        <v>172</v>
      </c>
      <c r="AC4985" s="102" t="s">
        <v>173</v>
      </c>
    </row>
    <row r="4986" spans="1:29" ht="25.5" customHeight="1" x14ac:dyDescent="0.35">
      <c r="A4986" s="392"/>
      <c r="B4986" s="393"/>
      <c r="C4986" s="99" t="str">
        <f>IF(B4986="","",IF(NOT(ISNUMBER(B4986)),"DATA_PC invalida",IF(NOT(ISNUMBER(parametros!$C$2)),"Fora dos ciclos",IF(OR(B4986&lt;parametros!$C$2,(YEAR(B4986)-YEAR(parametros!$C$2))*12+MONTH(B4986)-MONTH(parametros!$C$2)&gt;59),"Fora dos ciclos","C"&amp;INT(((YEAR(B4986)-YEAR(parametros!$C$2))*12+MONTH(B4986)-MONTH(parametros!$C$2))/12)))))</f>
        <v/>
      </c>
      <c r="D4986" s="394"/>
      <c r="E4986" s="78" t="str">
        <f>IF(C4986="","",IFERROR(VLOOKUP(C4986,parametros!$A$11:$E$15,5,0),""))</f>
        <v/>
      </c>
      <c r="F4986" s="79" t="str">
        <f t="shared" si="387"/>
        <v/>
      </c>
      <c r="G4986" s="395"/>
      <c r="H4986" s="91">
        <f t="shared" si="388"/>
        <v>0</v>
      </c>
      <c r="I4986" s="91" t="str">
        <f t="shared" si="389"/>
        <v/>
      </c>
      <c r="J4986" s="91" t="str">
        <f t="shared" si="390"/>
        <v/>
      </c>
      <c r="K4986" s="92" t="str">
        <f>IF(AND(A4986="",B4986="",D4986="",G4986=""),"",IF(AND(A4986&lt;&gt;"",COUNTIF($A$2:$A$5001,A4986)&gt;1),"NUMERO_PC duplicado",IF(B4986="","DATA_PC vazia",IF(NOT(ISNUMBER(B4986)),"DATA_PC invalida",IF(OR(C4986="",C4986="Fora dos ciclos"),"CICLO_PC nao identificado",IF(OR(D4986="",D4986=0),"VALOR_PC vazio ou zero",IF(AND(G4986&lt;&gt;"Sim",G4986&lt;&gt;"Nao",G4986&lt;&gt;""),"PC_PAGO_A_CONTRATADA invalido",IF(AND(C4986&lt;&gt;"C0",IFERROR(INDEX(parametros!$A$2:$A$6,MATCH(C4986,parametros!$B$2:$B$6,0)),"")="Sim",IFERROR(INDEX(parametros!$H$2:$H$6,MATCH(C4986,parametros!$B$2:$B$6,0)),"")=""),"INICIO_EFEITO ausente: PC "&amp;A4986&amp;" - "&amp;C4986,IF(L4986="","EFEITO_PC nao calculado: PC "&amp;A4986&amp;" - "&amp;C4986,"OK")))))))))</f>
        <v/>
      </c>
      <c r="L4986" s="92" t="str">
        <f>IF(AND(A4986="",B4986="",D4986="",G4986=""),"",IF(OR(B4986="",NOT(ISNUMBER(B4986)),C4986="",C4986="Fora dos ciclos"),"",IF(C4986="C0","Nao",IF(IFERROR(INDEX(parametros!$A$2:$A$6,MATCH(C4986,parametros!$B$2:$B$6,0)),"")&lt;&gt;"Sim","Nao",IF(IFERROR(INDEX(parametros!$H$2:$H$6,MATCH(C4986,parametros!$B$2:$B$6,0)),"")="","",IF(B4986&gt;=IFERROR(INDEX(parametros!$H$2:$H$6,MATCH(C4986,parametros!$B$2:$B$6,0)),""),"Sim","Nao"))))))</f>
        <v/>
      </c>
      <c r="T4986" s="156"/>
      <c r="U4986" s="214" t="str">
        <f t="shared" si="391"/>
        <v/>
      </c>
      <c r="V4986" s="212" t="s">
        <v>50</v>
      </c>
      <c r="W4986" s="100" t="s">
        <v>168</v>
      </c>
      <c r="X4986" s="100" t="s">
        <v>169</v>
      </c>
      <c r="Y4986" s="101" t="s">
        <v>170</v>
      </c>
      <c r="Z4986" s="101" t="s">
        <v>171</v>
      </c>
      <c r="AA4986" s="101" t="s">
        <v>50</v>
      </c>
      <c r="AB4986" s="101" t="s">
        <v>172</v>
      </c>
      <c r="AC4986" s="102" t="s">
        <v>173</v>
      </c>
    </row>
    <row r="4987" spans="1:29" ht="25.5" customHeight="1" x14ac:dyDescent="0.35">
      <c r="A4987" s="392"/>
      <c r="B4987" s="393"/>
      <c r="C4987" s="99" t="str">
        <f>IF(B4987="","",IF(NOT(ISNUMBER(B4987)),"DATA_PC invalida",IF(NOT(ISNUMBER(parametros!$C$2)),"Fora dos ciclos",IF(OR(B4987&lt;parametros!$C$2,(YEAR(B4987)-YEAR(parametros!$C$2))*12+MONTH(B4987)-MONTH(parametros!$C$2)&gt;59),"Fora dos ciclos","C"&amp;INT(((YEAR(B4987)-YEAR(parametros!$C$2))*12+MONTH(B4987)-MONTH(parametros!$C$2))/12)))))</f>
        <v/>
      </c>
      <c r="D4987" s="394"/>
      <c r="E4987" s="78" t="str">
        <f>IF(C4987="","",IFERROR(VLOOKUP(C4987,parametros!$A$11:$E$15,5,0),""))</f>
        <v/>
      </c>
      <c r="F4987" s="79" t="str">
        <f t="shared" si="387"/>
        <v/>
      </c>
      <c r="G4987" s="395"/>
      <c r="H4987" s="91">
        <f t="shared" si="388"/>
        <v>0</v>
      </c>
      <c r="I4987" s="91" t="str">
        <f t="shared" si="389"/>
        <v/>
      </c>
      <c r="J4987" s="91" t="str">
        <f t="shared" si="390"/>
        <v/>
      </c>
      <c r="K4987" s="92" t="str">
        <f>IF(AND(A4987="",B4987="",D4987="",G4987=""),"",IF(AND(A4987&lt;&gt;"",COUNTIF($A$2:$A$5001,A4987)&gt;1),"NUMERO_PC duplicado",IF(B4987="","DATA_PC vazia",IF(NOT(ISNUMBER(B4987)),"DATA_PC invalida",IF(OR(C4987="",C4987="Fora dos ciclos"),"CICLO_PC nao identificado",IF(OR(D4987="",D4987=0),"VALOR_PC vazio ou zero",IF(AND(G4987&lt;&gt;"Sim",G4987&lt;&gt;"Nao",G4987&lt;&gt;""),"PC_PAGO_A_CONTRATADA invalido",IF(AND(C4987&lt;&gt;"C0",IFERROR(INDEX(parametros!$A$2:$A$6,MATCH(C4987,parametros!$B$2:$B$6,0)),"")="Sim",IFERROR(INDEX(parametros!$H$2:$H$6,MATCH(C4987,parametros!$B$2:$B$6,0)),"")=""),"INICIO_EFEITO ausente: PC "&amp;A4987&amp;" - "&amp;C4987,IF(L4987="","EFEITO_PC nao calculado: PC "&amp;A4987&amp;" - "&amp;C4987,"OK")))))))))</f>
        <v/>
      </c>
      <c r="L4987" s="92" t="str">
        <f>IF(AND(A4987="",B4987="",D4987="",G4987=""),"",IF(OR(B4987="",NOT(ISNUMBER(B4987)),C4987="",C4987="Fora dos ciclos"),"",IF(C4987="C0","Nao",IF(IFERROR(INDEX(parametros!$A$2:$A$6,MATCH(C4987,parametros!$B$2:$B$6,0)),"")&lt;&gt;"Sim","Nao",IF(IFERROR(INDEX(parametros!$H$2:$H$6,MATCH(C4987,parametros!$B$2:$B$6,0)),"")="","",IF(B4987&gt;=IFERROR(INDEX(parametros!$H$2:$H$6,MATCH(C4987,parametros!$B$2:$B$6,0)),""),"Sim","Nao"))))))</f>
        <v/>
      </c>
      <c r="T4987" s="156"/>
      <c r="U4987" s="214" t="str">
        <f t="shared" si="391"/>
        <v/>
      </c>
      <c r="V4987" s="212" t="s">
        <v>50</v>
      </c>
      <c r="W4987" s="100" t="s">
        <v>168</v>
      </c>
      <c r="X4987" s="100" t="s">
        <v>169</v>
      </c>
      <c r="Y4987" s="101" t="s">
        <v>170</v>
      </c>
      <c r="Z4987" s="101" t="s">
        <v>171</v>
      </c>
      <c r="AA4987" s="101" t="s">
        <v>50</v>
      </c>
      <c r="AB4987" s="101" t="s">
        <v>172</v>
      </c>
      <c r="AC4987" s="102" t="s">
        <v>173</v>
      </c>
    </row>
    <row r="4988" spans="1:29" ht="25.5" customHeight="1" x14ac:dyDescent="0.35">
      <c r="A4988" s="392"/>
      <c r="B4988" s="393"/>
      <c r="C4988" s="99" t="str">
        <f>IF(B4988="","",IF(NOT(ISNUMBER(B4988)),"DATA_PC invalida",IF(NOT(ISNUMBER(parametros!$C$2)),"Fora dos ciclos",IF(OR(B4988&lt;parametros!$C$2,(YEAR(B4988)-YEAR(parametros!$C$2))*12+MONTH(B4988)-MONTH(parametros!$C$2)&gt;59),"Fora dos ciclos","C"&amp;INT(((YEAR(B4988)-YEAR(parametros!$C$2))*12+MONTH(B4988)-MONTH(parametros!$C$2))/12)))))</f>
        <v/>
      </c>
      <c r="D4988" s="394"/>
      <c r="E4988" s="78" t="str">
        <f>IF(C4988="","",IFERROR(VLOOKUP(C4988,parametros!$A$11:$E$15,5,0),""))</f>
        <v/>
      </c>
      <c r="F4988" s="79" t="str">
        <f t="shared" si="387"/>
        <v/>
      </c>
      <c r="G4988" s="395"/>
      <c r="H4988" s="91">
        <f t="shared" si="388"/>
        <v>0</v>
      </c>
      <c r="I4988" s="91" t="str">
        <f t="shared" si="389"/>
        <v/>
      </c>
      <c r="J4988" s="91" t="str">
        <f t="shared" si="390"/>
        <v/>
      </c>
      <c r="K4988" s="92" t="str">
        <f>IF(AND(A4988="",B4988="",D4988="",G4988=""),"",IF(AND(A4988&lt;&gt;"",COUNTIF($A$2:$A$5001,A4988)&gt;1),"NUMERO_PC duplicado",IF(B4988="","DATA_PC vazia",IF(NOT(ISNUMBER(B4988)),"DATA_PC invalida",IF(OR(C4988="",C4988="Fora dos ciclos"),"CICLO_PC nao identificado",IF(OR(D4988="",D4988=0),"VALOR_PC vazio ou zero",IF(AND(G4988&lt;&gt;"Sim",G4988&lt;&gt;"Nao",G4988&lt;&gt;""),"PC_PAGO_A_CONTRATADA invalido",IF(AND(C4988&lt;&gt;"C0",IFERROR(INDEX(parametros!$A$2:$A$6,MATCH(C4988,parametros!$B$2:$B$6,0)),"")="Sim",IFERROR(INDEX(parametros!$H$2:$H$6,MATCH(C4988,parametros!$B$2:$B$6,0)),"")=""),"INICIO_EFEITO ausente: PC "&amp;A4988&amp;" - "&amp;C4988,IF(L4988="","EFEITO_PC nao calculado: PC "&amp;A4988&amp;" - "&amp;C4988,"OK")))))))))</f>
        <v/>
      </c>
      <c r="L4988" s="92" t="str">
        <f>IF(AND(A4988="",B4988="",D4988="",G4988=""),"",IF(OR(B4988="",NOT(ISNUMBER(B4988)),C4988="",C4988="Fora dos ciclos"),"",IF(C4988="C0","Nao",IF(IFERROR(INDEX(parametros!$A$2:$A$6,MATCH(C4988,parametros!$B$2:$B$6,0)),"")&lt;&gt;"Sim","Nao",IF(IFERROR(INDEX(parametros!$H$2:$H$6,MATCH(C4988,parametros!$B$2:$B$6,0)),"")="","",IF(B4988&gt;=IFERROR(INDEX(parametros!$H$2:$H$6,MATCH(C4988,parametros!$B$2:$B$6,0)),""),"Sim","Nao"))))))</f>
        <v/>
      </c>
      <c r="T4988" s="156"/>
      <c r="U4988" s="214" t="str">
        <f t="shared" si="391"/>
        <v/>
      </c>
      <c r="V4988" s="212" t="s">
        <v>50</v>
      </c>
      <c r="W4988" s="100" t="s">
        <v>168</v>
      </c>
      <c r="X4988" s="100" t="s">
        <v>169</v>
      </c>
      <c r="Y4988" s="101" t="s">
        <v>170</v>
      </c>
      <c r="Z4988" s="101" t="s">
        <v>171</v>
      </c>
      <c r="AA4988" s="101" t="s">
        <v>50</v>
      </c>
      <c r="AB4988" s="101" t="s">
        <v>172</v>
      </c>
      <c r="AC4988" s="102" t="s">
        <v>173</v>
      </c>
    </row>
    <row r="4989" spans="1:29" ht="25.5" customHeight="1" x14ac:dyDescent="0.35">
      <c r="A4989" s="392"/>
      <c r="B4989" s="393"/>
      <c r="C4989" s="99" t="str">
        <f>IF(B4989="","",IF(NOT(ISNUMBER(B4989)),"DATA_PC invalida",IF(NOT(ISNUMBER(parametros!$C$2)),"Fora dos ciclos",IF(OR(B4989&lt;parametros!$C$2,(YEAR(B4989)-YEAR(parametros!$C$2))*12+MONTH(B4989)-MONTH(parametros!$C$2)&gt;59),"Fora dos ciclos","C"&amp;INT(((YEAR(B4989)-YEAR(parametros!$C$2))*12+MONTH(B4989)-MONTH(parametros!$C$2))/12)))))</f>
        <v/>
      </c>
      <c r="D4989" s="394"/>
      <c r="E4989" s="78" t="str">
        <f>IF(C4989="","",IFERROR(VLOOKUP(C4989,parametros!$A$11:$E$15,5,0),""))</f>
        <v/>
      </c>
      <c r="F4989" s="79" t="str">
        <f t="shared" si="387"/>
        <v/>
      </c>
      <c r="G4989" s="395"/>
      <c r="H4989" s="91">
        <f t="shared" si="388"/>
        <v>0</v>
      </c>
      <c r="I4989" s="91" t="str">
        <f t="shared" si="389"/>
        <v/>
      </c>
      <c r="J4989" s="91" t="str">
        <f t="shared" si="390"/>
        <v/>
      </c>
      <c r="K4989" s="92" t="str">
        <f>IF(AND(A4989="",B4989="",D4989="",G4989=""),"",IF(AND(A4989&lt;&gt;"",COUNTIF($A$2:$A$5001,A4989)&gt;1),"NUMERO_PC duplicado",IF(B4989="","DATA_PC vazia",IF(NOT(ISNUMBER(B4989)),"DATA_PC invalida",IF(OR(C4989="",C4989="Fora dos ciclos"),"CICLO_PC nao identificado",IF(OR(D4989="",D4989=0),"VALOR_PC vazio ou zero",IF(AND(G4989&lt;&gt;"Sim",G4989&lt;&gt;"Nao",G4989&lt;&gt;""),"PC_PAGO_A_CONTRATADA invalido",IF(AND(C4989&lt;&gt;"C0",IFERROR(INDEX(parametros!$A$2:$A$6,MATCH(C4989,parametros!$B$2:$B$6,0)),"")="Sim",IFERROR(INDEX(parametros!$H$2:$H$6,MATCH(C4989,parametros!$B$2:$B$6,0)),"")=""),"INICIO_EFEITO ausente: PC "&amp;A4989&amp;" - "&amp;C4989,IF(L4989="","EFEITO_PC nao calculado: PC "&amp;A4989&amp;" - "&amp;C4989,"OK")))))))))</f>
        <v/>
      </c>
      <c r="L4989" s="92" t="str">
        <f>IF(AND(A4989="",B4989="",D4989="",G4989=""),"",IF(OR(B4989="",NOT(ISNUMBER(B4989)),C4989="",C4989="Fora dos ciclos"),"",IF(C4989="C0","Nao",IF(IFERROR(INDEX(parametros!$A$2:$A$6,MATCH(C4989,parametros!$B$2:$B$6,0)),"")&lt;&gt;"Sim","Nao",IF(IFERROR(INDEX(parametros!$H$2:$H$6,MATCH(C4989,parametros!$B$2:$B$6,0)),"")="","",IF(B4989&gt;=IFERROR(INDEX(parametros!$H$2:$H$6,MATCH(C4989,parametros!$B$2:$B$6,0)),""),"Sim","Nao"))))))</f>
        <v/>
      </c>
      <c r="T4989" s="156"/>
      <c r="U4989" s="214" t="str">
        <f t="shared" si="391"/>
        <v/>
      </c>
      <c r="V4989" s="212" t="s">
        <v>50</v>
      </c>
      <c r="W4989" s="100" t="s">
        <v>168</v>
      </c>
      <c r="X4989" s="100" t="s">
        <v>169</v>
      </c>
      <c r="Y4989" s="101" t="s">
        <v>170</v>
      </c>
      <c r="Z4989" s="101" t="s">
        <v>171</v>
      </c>
      <c r="AA4989" s="101" t="s">
        <v>50</v>
      </c>
      <c r="AB4989" s="101" t="s">
        <v>172</v>
      </c>
      <c r="AC4989" s="102" t="s">
        <v>173</v>
      </c>
    </row>
    <row r="4990" spans="1:29" ht="25.5" customHeight="1" x14ac:dyDescent="0.35">
      <c r="A4990" s="392"/>
      <c r="B4990" s="393"/>
      <c r="C4990" s="99" t="str">
        <f>IF(B4990="","",IF(NOT(ISNUMBER(B4990)),"DATA_PC invalida",IF(NOT(ISNUMBER(parametros!$C$2)),"Fora dos ciclos",IF(OR(B4990&lt;parametros!$C$2,(YEAR(B4990)-YEAR(parametros!$C$2))*12+MONTH(B4990)-MONTH(parametros!$C$2)&gt;59),"Fora dos ciclos","C"&amp;INT(((YEAR(B4990)-YEAR(parametros!$C$2))*12+MONTH(B4990)-MONTH(parametros!$C$2))/12)))))</f>
        <v/>
      </c>
      <c r="D4990" s="394"/>
      <c r="E4990" s="78" t="str">
        <f>IF(C4990="","",IFERROR(VLOOKUP(C4990,parametros!$A$11:$E$15,5,0),""))</f>
        <v/>
      </c>
      <c r="F4990" s="79" t="str">
        <f t="shared" si="387"/>
        <v/>
      </c>
      <c r="G4990" s="395"/>
      <c r="H4990" s="91">
        <f t="shared" si="388"/>
        <v>0</v>
      </c>
      <c r="I4990" s="91" t="str">
        <f t="shared" si="389"/>
        <v/>
      </c>
      <c r="J4990" s="91" t="str">
        <f t="shared" si="390"/>
        <v/>
      </c>
      <c r="K4990" s="92" t="str">
        <f>IF(AND(A4990="",B4990="",D4990="",G4990=""),"",IF(AND(A4990&lt;&gt;"",COUNTIF($A$2:$A$5001,A4990)&gt;1),"NUMERO_PC duplicado",IF(B4990="","DATA_PC vazia",IF(NOT(ISNUMBER(B4990)),"DATA_PC invalida",IF(OR(C4990="",C4990="Fora dos ciclos"),"CICLO_PC nao identificado",IF(OR(D4990="",D4990=0),"VALOR_PC vazio ou zero",IF(AND(G4990&lt;&gt;"Sim",G4990&lt;&gt;"Nao",G4990&lt;&gt;""),"PC_PAGO_A_CONTRATADA invalido",IF(AND(C4990&lt;&gt;"C0",IFERROR(INDEX(parametros!$A$2:$A$6,MATCH(C4990,parametros!$B$2:$B$6,0)),"")="Sim",IFERROR(INDEX(parametros!$H$2:$H$6,MATCH(C4990,parametros!$B$2:$B$6,0)),"")=""),"INICIO_EFEITO ausente: PC "&amp;A4990&amp;" - "&amp;C4990,IF(L4990="","EFEITO_PC nao calculado: PC "&amp;A4990&amp;" - "&amp;C4990,"OK")))))))))</f>
        <v/>
      </c>
      <c r="L4990" s="92" t="str">
        <f>IF(AND(A4990="",B4990="",D4990="",G4990=""),"",IF(OR(B4990="",NOT(ISNUMBER(B4990)),C4990="",C4990="Fora dos ciclos"),"",IF(C4990="C0","Nao",IF(IFERROR(INDEX(parametros!$A$2:$A$6,MATCH(C4990,parametros!$B$2:$B$6,0)),"")&lt;&gt;"Sim","Nao",IF(IFERROR(INDEX(parametros!$H$2:$H$6,MATCH(C4990,parametros!$B$2:$B$6,0)),"")="","",IF(B4990&gt;=IFERROR(INDEX(parametros!$H$2:$H$6,MATCH(C4990,parametros!$B$2:$B$6,0)),""),"Sim","Nao"))))))</f>
        <v/>
      </c>
      <c r="T4990" s="156"/>
      <c r="U4990" s="214" t="str">
        <f t="shared" si="391"/>
        <v/>
      </c>
      <c r="V4990" s="212" t="s">
        <v>50</v>
      </c>
      <c r="W4990" s="100" t="s">
        <v>168</v>
      </c>
      <c r="X4990" s="100" t="s">
        <v>169</v>
      </c>
      <c r="Y4990" s="101" t="s">
        <v>170</v>
      </c>
      <c r="Z4990" s="101" t="s">
        <v>171</v>
      </c>
      <c r="AA4990" s="101" t="s">
        <v>50</v>
      </c>
      <c r="AB4990" s="101" t="s">
        <v>172</v>
      </c>
      <c r="AC4990" s="102" t="s">
        <v>173</v>
      </c>
    </row>
    <row r="4991" spans="1:29" ht="25.5" customHeight="1" x14ac:dyDescent="0.35">
      <c r="A4991" s="392"/>
      <c r="B4991" s="393"/>
      <c r="C4991" s="99" t="str">
        <f>IF(B4991="","",IF(NOT(ISNUMBER(B4991)),"DATA_PC invalida",IF(NOT(ISNUMBER(parametros!$C$2)),"Fora dos ciclos",IF(OR(B4991&lt;parametros!$C$2,(YEAR(B4991)-YEAR(parametros!$C$2))*12+MONTH(B4991)-MONTH(parametros!$C$2)&gt;59),"Fora dos ciclos","C"&amp;INT(((YEAR(B4991)-YEAR(parametros!$C$2))*12+MONTH(B4991)-MONTH(parametros!$C$2))/12)))))</f>
        <v/>
      </c>
      <c r="D4991" s="394"/>
      <c r="E4991" s="78" t="str">
        <f>IF(C4991="","",IFERROR(VLOOKUP(C4991,parametros!$A$11:$E$15,5,0),""))</f>
        <v/>
      </c>
      <c r="F4991" s="79" t="str">
        <f t="shared" si="387"/>
        <v/>
      </c>
      <c r="G4991" s="395"/>
      <c r="H4991" s="91">
        <f t="shared" si="388"/>
        <v>0</v>
      </c>
      <c r="I4991" s="91" t="str">
        <f t="shared" si="389"/>
        <v/>
      </c>
      <c r="J4991" s="91" t="str">
        <f t="shared" si="390"/>
        <v/>
      </c>
      <c r="K4991" s="92" t="str">
        <f>IF(AND(A4991="",B4991="",D4991="",G4991=""),"",IF(AND(A4991&lt;&gt;"",COUNTIF($A$2:$A$5001,A4991)&gt;1),"NUMERO_PC duplicado",IF(B4991="","DATA_PC vazia",IF(NOT(ISNUMBER(B4991)),"DATA_PC invalida",IF(OR(C4991="",C4991="Fora dos ciclos"),"CICLO_PC nao identificado",IF(OR(D4991="",D4991=0),"VALOR_PC vazio ou zero",IF(AND(G4991&lt;&gt;"Sim",G4991&lt;&gt;"Nao",G4991&lt;&gt;""),"PC_PAGO_A_CONTRATADA invalido",IF(AND(C4991&lt;&gt;"C0",IFERROR(INDEX(parametros!$A$2:$A$6,MATCH(C4991,parametros!$B$2:$B$6,0)),"")="Sim",IFERROR(INDEX(parametros!$H$2:$H$6,MATCH(C4991,parametros!$B$2:$B$6,0)),"")=""),"INICIO_EFEITO ausente: PC "&amp;A4991&amp;" - "&amp;C4991,IF(L4991="","EFEITO_PC nao calculado: PC "&amp;A4991&amp;" - "&amp;C4991,"OK")))))))))</f>
        <v/>
      </c>
      <c r="L4991" s="92" t="str">
        <f>IF(AND(A4991="",B4991="",D4991="",G4991=""),"",IF(OR(B4991="",NOT(ISNUMBER(B4991)),C4991="",C4991="Fora dos ciclos"),"",IF(C4991="C0","Nao",IF(IFERROR(INDEX(parametros!$A$2:$A$6,MATCH(C4991,parametros!$B$2:$B$6,0)),"")&lt;&gt;"Sim","Nao",IF(IFERROR(INDEX(parametros!$H$2:$H$6,MATCH(C4991,parametros!$B$2:$B$6,0)),"")="","",IF(B4991&gt;=IFERROR(INDEX(parametros!$H$2:$H$6,MATCH(C4991,parametros!$B$2:$B$6,0)),""),"Sim","Nao"))))))</f>
        <v/>
      </c>
      <c r="T4991" s="156"/>
      <c r="U4991" s="214" t="str">
        <f t="shared" si="391"/>
        <v/>
      </c>
      <c r="V4991" s="212" t="s">
        <v>50</v>
      </c>
      <c r="W4991" s="100" t="s">
        <v>168</v>
      </c>
      <c r="X4991" s="100" t="s">
        <v>169</v>
      </c>
      <c r="Y4991" s="101" t="s">
        <v>170</v>
      </c>
      <c r="Z4991" s="101" t="s">
        <v>171</v>
      </c>
      <c r="AA4991" s="101" t="s">
        <v>50</v>
      </c>
      <c r="AB4991" s="101" t="s">
        <v>172</v>
      </c>
      <c r="AC4991" s="102" t="s">
        <v>173</v>
      </c>
    </row>
    <row r="4992" spans="1:29" ht="25.5" customHeight="1" x14ac:dyDescent="0.35">
      <c r="A4992" s="392"/>
      <c r="B4992" s="393"/>
      <c r="C4992" s="99" t="str">
        <f>IF(B4992="","",IF(NOT(ISNUMBER(B4992)),"DATA_PC invalida",IF(NOT(ISNUMBER(parametros!$C$2)),"Fora dos ciclos",IF(OR(B4992&lt;parametros!$C$2,(YEAR(B4992)-YEAR(parametros!$C$2))*12+MONTH(B4992)-MONTH(parametros!$C$2)&gt;59),"Fora dos ciclos","C"&amp;INT(((YEAR(B4992)-YEAR(parametros!$C$2))*12+MONTH(B4992)-MONTH(parametros!$C$2))/12)))))</f>
        <v/>
      </c>
      <c r="D4992" s="394"/>
      <c r="E4992" s="78" t="str">
        <f>IF(C4992="","",IFERROR(VLOOKUP(C4992,parametros!$A$11:$E$15,5,0),""))</f>
        <v/>
      </c>
      <c r="F4992" s="79" t="str">
        <f t="shared" si="387"/>
        <v/>
      </c>
      <c r="G4992" s="395"/>
      <c r="H4992" s="91">
        <f t="shared" si="388"/>
        <v>0</v>
      </c>
      <c r="I4992" s="91" t="str">
        <f t="shared" si="389"/>
        <v/>
      </c>
      <c r="J4992" s="91" t="str">
        <f t="shared" si="390"/>
        <v/>
      </c>
      <c r="K4992" s="92" t="str">
        <f>IF(AND(A4992="",B4992="",D4992="",G4992=""),"",IF(AND(A4992&lt;&gt;"",COUNTIF($A$2:$A$5001,A4992)&gt;1),"NUMERO_PC duplicado",IF(B4992="","DATA_PC vazia",IF(NOT(ISNUMBER(B4992)),"DATA_PC invalida",IF(OR(C4992="",C4992="Fora dos ciclos"),"CICLO_PC nao identificado",IF(OR(D4992="",D4992=0),"VALOR_PC vazio ou zero",IF(AND(G4992&lt;&gt;"Sim",G4992&lt;&gt;"Nao",G4992&lt;&gt;""),"PC_PAGO_A_CONTRATADA invalido",IF(AND(C4992&lt;&gt;"C0",IFERROR(INDEX(parametros!$A$2:$A$6,MATCH(C4992,parametros!$B$2:$B$6,0)),"")="Sim",IFERROR(INDEX(parametros!$H$2:$H$6,MATCH(C4992,parametros!$B$2:$B$6,0)),"")=""),"INICIO_EFEITO ausente: PC "&amp;A4992&amp;" - "&amp;C4992,IF(L4992="","EFEITO_PC nao calculado: PC "&amp;A4992&amp;" - "&amp;C4992,"OK")))))))))</f>
        <v/>
      </c>
      <c r="L4992" s="92" t="str">
        <f>IF(AND(A4992="",B4992="",D4992="",G4992=""),"",IF(OR(B4992="",NOT(ISNUMBER(B4992)),C4992="",C4992="Fora dos ciclos"),"",IF(C4992="C0","Nao",IF(IFERROR(INDEX(parametros!$A$2:$A$6,MATCH(C4992,parametros!$B$2:$B$6,0)),"")&lt;&gt;"Sim","Nao",IF(IFERROR(INDEX(parametros!$H$2:$H$6,MATCH(C4992,parametros!$B$2:$B$6,0)),"")="","",IF(B4992&gt;=IFERROR(INDEX(parametros!$H$2:$H$6,MATCH(C4992,parametros!$B$2:$B$6,0)),""),"Sim","Nao"))))))</f>
        <v/>
      </c>
      <c r="T4992" s="156"/>
      <c r="U4992" s="214" t="str">
        <f t="shared" si="391"/>
        <v/>
      </c>
      <c r="V4992" s="212" t="s">
        <v>50</v>
      </c>
      <c r="W4992" s="100" t="s">
        <v>168</v>
      </c>
      <c r="X4992" s="100" t="s">
        <v>169</v>
      </c>
      <c r="Y4992" s="101" t="s">
        <v>170</v>
      </c>
      <c r="Z4992" s="101" t="s">
        <v>171</v>
      </c>
      <c r="AA4992" s="101" t="s">
        <v>50</v>
      </c>
      <c r="AB4992" s="101" t="s">
        <v>172</v>
      </c>
      <c r="AC4992" s="102" t="s">
        <v>173</v>
      </c>
    </row>
    <row r="4993" spans="1:29" ht="25.5" customHeight="1" x14ac:dyDescent="0.35">
      <c r="A4993" s="392"/>
      <c r="B4993" s="393"/>
      <c r="C4993" s="99" t="str">
        <f>IF(B4993="","",IF(NOT(ISNUMBER(B4993)),"DATA_PC invalida",IF(NOT(ISNUMBER(parametros!$C$2)),"Fora dos ciclos",IF(OR(B4993&lt;parametros!$C$2,(YEAR(B4993)-YEAR(parametros!$C$2))*12+MONTH(B4993)-MONTH(parametros!$C$2)&gt;59),"Fora dos ciclos","C"&amp;INT(((YEAR(B4993)-YEAR(parametros!$C$2))*12+MONTH(B4993)-MONTH(parametros!$C$2))/12)))))</f>
        <v/>
      </c>
      <c r="D4993" s="394"/>
      <c r="E4993" s="78" t="str">
        <f>IF(C4993="","",IFERROR(VLOOKUP(C4993,parametros!$A$11:$E$15,5,0),""))</f>
        <v/>
      </c>
      <c r="F4993" s="79" t="str">
        <f t="shared" si="387"/>
        <v/>
      </c>
      <c r="G4993" s="395"/>
      <c r="H4993" s="91">
        <f t="shared" si="388"/>
        <v>0</v>
      </c>
      <c r="I4993" s="91" t="str">
        <f t="shared" si="389"/>
        <v/>
      </c>
      <c r="J4993" s="91" t="str">
        <f t="shared" si="390"/>
        <v/>
      </c>
      <c r="K4993" s="92" t="str">
        <f>IF(AND(A4993="",B4993="",D4993="",G4993=""),"",IF(AND(A4993&lt;&gt;"",COUNTIF($A$2:$A$5001,A4993)&gt;1),"NUMERO_PC duplicado",IF(B4993="","DATA_PC vazia",IF(NOT(ISNUMBER(B4993)),"DATA_PC invalida",IF(OR(C4993="",C4993="Fora dos ciclos"),"CICLO_PC nao identificado",IF(OR(D4993="",D4993=0),"VALOR_PC vazio ou zero",IF(AND(G4993&lt;&gt;"Sim",G4993&lt;&gt;"Nao",G4993&lt;&gt;""),"PC_PAGO_A_CONTRATADA invalido",IF(AND(C4993&lt;&gt;"C0",IFERROR(INDEX(parametros!$A$2:$A$6,MATCH(C4993,parametros!$B$2:$B$6,0)),"")="Sim",IFERROR(INDEX(parametros!$H$2:$H$6,MATCH(C4993,parametros!$B$2:$B$6,0)),"")=""),"INICIO_EFEITO ausente: PC "&amp;A4993&amp;" - "&amp;C4993,IF(L4993="","EFEITO_PC nao calculado: PC "&amp;A4993&amp;" - "&amp;C4993,"OK")))))))))</f>
        <v/>
      </c>
      <c r="L4993" s="92" t="str">
        <f>IF(AND(A4993="",B4993="",D4993="",G4993=""),"",IF(OR(B4993="",NOT(ISNUMBER(B4993)),C4993="",C4993="Fora dos ciclos"),"",IF(C4993="C0","Nao",IF(IFERROR(INDEX(parametros!$A$2:$A$6,MATCH(C4993,parametros!$B$2:$B$6,0)),"")&lt;&gt;"Sim","Nao",IF(IFERROR(INDEX(parametros!$H$2:$H$6,MATCH(C4993,parametros!$B$2:$B$6,0)),"")="","",IF(B4993&gt;=IFERROR(INDEX(parametros!$H$2:$H$6,MATCH(C4993,parametros!$B$2:$B$6,0)),""),"Sim","Nao"))))))</f>
        <v/>
      </c>
      <c r="T4993" s="156"/>
      <c r="U4993" s="214" t="str">
        <f t="shared" si="391"/>
        <v/>
      </c>
      <c r="V4993" s="212" t="s">
        <v>50</v>
      </c>
      <c r="W4993" s="100" t="s">
        <v>168</v>
      </c>
      <c r="X4993" s="100" t="s">
        <v>169</v>
      </c>
      <c r="Y4993" s="101" t="s">
        <v>170</v>
      </c>
      <c r="Z4993" s="101" t="s">
        <v>171</v>
      </c>
      <c r="AA4993" s="101" t="s">
        <v>50</v>
      </c>
      <c r="AB4993" s="101" t="s">
        <v>172</v>
      </c>
      <c r="AC4993" s="102" t="s">
        <v>173</v>
      </c>
    </row>
    <row r="4994" spans="1:29" ht="25.5" customHeight="1" x14ac:dyDescent="0.35">
      <c r="A4994" s="392"/>
      <c r="B4994" s="393"/>
      <c r="C4994" s="99" t="str">
        <f>IF(B4994="","",IF(NOT(ISNUMBER(B4994)),"DATA_PC invalida",IF(NOT(ISNUMBER(parametros!$C$2)),"Fora dos ciclos",IF(OR(B4994&lt;parametros!$C$2,(YEAR(B4994)-YEAR(parametros!$C$2))*12+MONTH(B4994)-MONTH(parametros!$C$2)&gt;59),"Fora dos ciclos","C"&amp;INT(((YEAR(B4994)-YEAR(parametros!$C$2))*12+MONTH(B4994)-MONTH(parametros!$C$2))/12)))))</f>
        <v/>
      </c>
      <c r="D4994" s="394"/>
      <c r="E4994" s="78" t="str">
        <f>IF(C4994="","",IFERROR(VLOOKUP(C4994,parametros!$A$11:$E$15,5,0),""))</f>
        <v/>
      </c>
      <c r="F4994" s="79" t="str">
        <f t="shared" ref="F4994:F5057" si="392">IF(OR(D4994="",E4994=""),"",ROUND(D4994*E4994,2))</f>
        <v/>
      </c>
      <c r="G4994" s="395"/>
      <c r="H4994" s="91">
        <f t="shared" ref="H4994:H5057" si="393">IF(G4994="Sim",IF(OR(F4994="",D4994="",L4994=""),"",IF(L4994="Sim",ROUND(F4994-D4994,2),0)),0)</f>
        <v>0</v>
      </c>
      <c r="I4994" s="91" t="str">
        <f t="shared" ref="I4994:I5001" si="394">IF(G4994="Sim",0,IF(OR(F4994="",L4994=""),"",F4994))</f>
        <v/>
      </c>
      <c r="J4994" s="91" t="str">
        <f t="shared" ref="J4994:J5001" si="395">IF(G4994="Sim",0,IF(OR(F4994="",D4994="",L4994=""),"",IF(L4994="Sim",ROUND(F4994-D4994,2),0)))</f>
        <v/>
      </c>
      <c r="K4994" s="92" t="str">
        <f>IF(AND(A4994="",B4994="",D4994="",G4994=""),"",IF(AND(A4994&lt;&gt;"",COUNTIF($A$2:$A$5001,A4994)&gt;1),"NUMERO_PC duplicado",IF(B4994="","DATA_PC vazia",IF(NOT(ISNUMBER(B4994)),"DATA_PC invalida",IF(OR(C4994="",C4994="Fora dos ciclos"),"CICLO_PC nao identificado",IF(OR(D4994="",D4994=0),"VALOR_PC vazio ou zero",IF(AND(G4994&lt;&gt;"Sim",G4994&lt;&gt;"Nao",G4994&lt;&gt;""),"PC_PAGO_A_CONTRATADA invalido",IF(AND(C4994&lt;&gt;"C0",IFERROR(INDEX(parametros!$A$2:$A$6,MATCH(C4994,parametros!$B$2:$B$6,0)),"")="Sim",IFERROR(INDEX(parametros!$H$2:$H$6,MATCH(C4994,parametros!$B$2:$B$6,0)),"")=""),"INICIO_EFEITO ausente: PC "&amp;A4994&amp;" - "&amp;C4994,IF(L4994="","EFEITO_PC nao calculado: PC "&amp;A4994&amp;" - "&amp;C4994,"OK")))))))))</f>
        <v/>
      </c>
      <c r="L4994" s="92" t="str">
        <f>IF(AND(A4994="",B4994="",D4994="",G4994=""),"",IF(OR(B4994="",NOT(ISNUMBER(B4994)),C4994="",C4994="Fora dos ciclos"),"",IF(C4994="C0","Nao",IF(IFERROR(INDEX(parametros!$A$2:$A$6,MATCH(C4994,parametros!$B$2:$B$6,0)),"")&lt;&gt;"Sim","Nao",IF(IFERROR(INDEX(parametros!$H$2:$H$6,MATCH(C4994,parametros!$B$2:$B$6,0)),"")="","",IF(B4994&gt;=IFERROR(INDEX(parametros!$H$2:$H$6,MATCH(C4994,parametros!$B$2:$B$6,0)),""),"Sim","Nao"))))))</f>
        <v/>
      </c>
      <c r="T4994" s="156"/>
      <c r="U4994" s="214" t="str">
        <f t="shared" ref="U4994:U5001" si="396">IF(OR($D4994="",$H4994=""),"",ROUND($D4994+$H4994,2))</f>
        <v/>
      </c>
      <c r="V4994" s="212" t="s">
        <v>50</v>
      </c>
      <c r="W4994" s="100" t="s">
        <v>168</v>
      </c>
      <c r="X4994" s="100" t="s">
        <v>169</v>
      </c>
      <c r="Y4994" s="101" t="s">
        <v>170</v>
      </c>
      <c r="Z4994" s="101" t="s">
        <v>171</v>
      </c>
      <c r="AA4994" s="101" t="s">
        <v>50</v>
      </c>
      <c r="AB4994" s="101" t="s">
        <v>172</v>
      </c>
      <c r="AC4994" s="102" t="s">
        <v>173</v>
      </c>
    </row>
    <row r="4995" spans="1:29" ht="25.5" customHeight="1" x14ac:dyDescent="0.35">
      <c r="A4995" s="392"/>
      <c r="B4995" s="393"/>
      <c r="C4995" s="99" t="str">
        <f>IF(B4995="","",IF(NOT(ISNUMBER(B4995)),"DATA_PC invalida",IF(NOT(ISNUMBER(parametros!$C$2)),"Fora dos ciclos",IF(OR(B4995&lt;parametros!$C$2,(YEAR(B4995)-YEAR(parametros!$C$2))*12+MONTH(B4995)-MONTH(parametros!$C$2)&gt;59),"Fora dos ciclos","C"&amp;INT(((YEAR(B4995)-YEAR(parametros!$C$2))*12+MONTH(B4995)-MONTH(parametros!$C$2))/12)))))</f>
        <v/>
      </c>
      <c r="D4995" s="394"/>
      <c r="E4995" s="78" t="str">
        <f>IF(C4995="","",IFERROR(VLOOKUP(C4995,parametros!$A$11:$E$15,5,0),""))</f>
        <v/>
      </c>
      <c r="F4995" s="79" t="str">
        <f t="shared" si="392"/>
        <v/>
      </c>
      <c r="G4995" s="395"/>
      <c r="H4995" s="91">
        <f t="shared" si="393"/>
        <v>0</v>
      </c>
      <c r="I4995" s="91" t="str">
        <f t="shared" si="394"/>
        <v/>
      </c>
      <c r="J4995" s="91" t="str">
        <f t="shared" si="395"/>
        <v/>
      </c>
      <c r="K4995" s="92" t="str">
        <f>IF(AND(A4995="",B4995="",D4995="",G4995=""),"",IF(AND(A4995&lt;&gt;"",COUNTIF($A$2:$A$5001,A4995)&gt;1),"NUMERO_PC duplicado",IF(B4995="","DATA_PC vazia",IF(NOT(ISNUMBER(B4995)),"DATA_PC invalida",IF(OR(C4995="",C4995="Fora dos ciclos"),"CICLO_PC nao identificado",IF(OR(D4995="",D4995=0),"VALOR_PC vazio ou zero",IF(AND(G4995&lt;&gt;"Sim",G4995&lt;&gt;"Nao",G4995&lt;&gt;""),"PC_PAGO_A_CONTRATADA invalido",IF(AND(C4995&lt;&gt;"C0",IFERROR(INDEX(parametros!$A$2:$A$6,MATCH(C4995,parametros!$B$2:$B$6,0)),"")="Sim",IFERROR(INDEX(parametros!$H$2:$H$6,MATCH(C4995,parametros!$B$2:$B$6,0)),"")=""),"INICIO_EFEITO ausente: PC "&amp;A4995&amp;" - "&amp;C4995,IF(L4995="","EFEITO_PC nao calculado: PC "&amp;A4995&amp;" - "&amp;C4995,"OK")))))))))</f>
        <v/>
      </c>
      <c r="L4995" s="92" t="str">
        <f>IF(AND(A4995="",B4995="",D4995="",G4995=""),"",IF(OR(B4995="",NOT(ISNUMBER(B4995)),C4995="",C4995="Fora dos ciclos"),"",IF(C4995="C0","Nao",IF(IFERROR(INDEX(parametros!$A$2:$A$6,MATCH(C4995,parametros!$B$2:$B$6,0)),"")&lt;&gt;"Sim","Nao",IF(IFERROR(INDEX(parametros!$H$2:$H$6,MATCH(C4995,parametros!$B$2:$B$6,0)),"")="","",IF(B4995&gt;=IFERROR(INDEX(parametros!$H$2:$H$6,MATCH(C4995,parametros!$B$2:$B$6,0)),""),"Sim","Nao"))))))</f>
        <v/>
      </c>
      <c r="T4995" s="156"/>
      <c r="U4995" s="214" t="str">
        <f t="shared" si="396"/>
        <v/>
      </c>
      <c r="V4995" s="212" t="s">
        <v>50</v>
      </c>
      <c r="W4995" s="100" t="s">
        <v>168</v>
      </c>
      <c r="X4995" s="100" t="s">
        <v>169</v>
      </c>
      <c r="Y4995" s="101" t="s">
        <v>170</v>
      </c>
      <c r="Z4995" s="101" t="s">
        <v>171</v>
      </c>
      <c r="AA4995" s="101" t="s">
        <v>50</v>
      </c>
      <c r="AB4995" s="101" t="s">
        <v>172</v>
      </c>
      <c r="AC4995" s="102" t="s">
        <v>173</v>
      </c>
    </row>
    <row r="4996" spans="1:29" ht="25.5" customHeight="1" x14ac:dyDescent="0.35">
      <c r="A4996" s="392"/>
      <c r="B4996" s="393"/>
      <c r="C4996" s="99" t="str">
        <f>IF(B4996="","",IF(NOT(ISNUMBER(B4996)),"DATA_PC invalida",IF(NOT(ISNUMBER(parametros!$C$2)),"Fora dos ciclos",IF(OR(B4996&lt;parametros!$C$2,(YEAR(B4996)-YEAR(parametros!$C$2))*12+MONTH(B4996)-MONTH(parametros!$C$2)&gt;59),"Fora dos ciclos","C"&amp;INT(((YEAR(B4996)-YEAR(parametros!$C$2))*12+MONTH(B4996)-MONTH(parametros!$C$2))/12)))))</f>
        <v/>
      </c>
      <c r="D4996" s="394"/>
      <c r="E4996" s="78" t="str">
        <f>IF(C4996="","",IFERROR(VLOOKUP(C4996,parametros!$A$11:$E$15,5,0),""))</f>
        <v/>
      </c>
      <c r="F4996" s="79" t="str">
        <f t="shared" si="392"/>
        <v/>
      </c>
      <c r="G4996" s="395"/>
      <c r="H4996" s="91">
        <f t="shared" si="393"/>
        <v>0</v>
      </c>
      <c r="I4996" s="91" t="str">
        <f t="shared" si="394"/>
        <v/>
      </c>
      <c r="J4996" s="91" t="str">
        <f t="shared" si="395"/>
        <v/>
      </c>
      <c r="K4996" s="92" t="str">
        <f>IF(AND(A4996="",B4996="",D4996="",G4996=""),"",IF(AND(A4996&lt;&gt;"",COUNTIF($A$2:$A$5001,A4996)&gt;1),"NUMERO_PC duplicado",IF(B4996="","DATA_PC vazia",IF(NOT(ISNUMBER(B4996)),"DATA_PC invalida",IF(OR(C4996="",C4996="Fora dos ciclos"),"CICLO_PC nao identificado",IF(OR(D4996="",D4996=0),"VALOR_PC vazio ou zero",IF(AND(G4996&lt;&gt;"Sim",G4996&lt;&gt;"Nao",G4996&lt;&gt;""),"PC_PAGO_A_CONTRATADA invalido",IF(AND(C4996&lt;&gt;"C0",IFERROR(INDEX(parametros!$A$2:$A$6,MATCH(C4996,parametros!$B$2:$B$6,0)),"")="Sim",IFERROR(INDEX(parametros!$H$2:$H$6,MATCH(C4996,parametros!$B$2:$B$6,0)),"")=""),"INICIO_EFEITO ausente: PC "&amp;A4996&amp;" - "&amp;C4996,IF(L4996="","EFEITO_PC nao calculado: PC "&amp;A4996&amp;" - "&amp;C4996,"OK")))))))))</f>
        <v/>
      </c>
      <c r="L4996" s="92" t="str">
        <f>IF(AND(A4996="",B4996="",D4996="",G4996=""),"",IF(OR(B4996="",NOT(ISNUMBER(B4996)),C4996="",C4996="Fora dos ciclos"),"",IF(C4996="C0","Nao",IF(IFERROR(INDEX(parametros!$A$2:$A$6,MATCH(C4996,parametros!$B$2:$B$6,0)),"")&lt;&gt;"Sim","Nao",IF(IFERROR(INDEX(parametros!$H$2:$H$6,MATCH(C4996,parametros!$B$2:$B$6,0)),"")="","",IF(B4996&gt;=IFERROR(INDEX(parametros!$H$2:$H$6,MATCH(C4996,parametros!$B$2:$B$6,0)),""),"Sim","Nao"))))))</f>
        <v/>
      </c>
      <c r="T4996" s="156"/>
      <c r="U4996" s="214" t="str">
        <f t="shared" si="396"/>
        <v/>
      </c>
      <c r="V4996" s="212" t="s">
        <v>50</v>
      </c>
      <c r="W4996" s="100" t="s">
        <v>168</v>
      </c>
      <c r="X4996" s="100" t="s">
        <v>169</v>
      </c>
      <c r="Y4996" s="101" t="s">
        <v>170</v>
      </c>
      <c r="Z4996" s="101" t="s">
        <v>171</v>
      </c>
      <c r="AA4996" s="101" t="s">
        <v>50</v>
      </c>
      <c r="AB4996" s="101" t="s">
        <v>172</v>
      </c>
      <c r="AC4996" s="102" t="s">
        <v>173</v>
      </c>
    </row>
    <row r="4997" spans="1:29" ht="25.5" customHeight="1" x14ac:dyDescent="0.35">
      <c r="A4997" s="392"/>
      <c r="B4997" s="393"/>
      <c r="C4997" s="99" t="str">
        <f>IF(B4997="","",IF(NOT(ISNUMBER(B4997)),"DATA_PC invalida",IF(NOT(ISNUMBER(parametros!$C$2)),"Fora dos ciclos",IF(OR(B4997&lt;parametros!$C$2,(YEAR(B4997)-YEAR(parametros!$C$2))*12+MONTH(B4997)-MONTH(parametros!$C$2)&gt;59),"Fora dos ciclos","C"&amp;INT(((YEAR(B4997)-YEAR(parametros!$C$2))*12+MONTH(B4997)-MONTH(parametros!$C$2))/12)))))</f>
        <v/>
      </c>
      <c r="D4997" s="394"/>
      <c r="E4997" s="78" t="str">
        <f>IF(C4997="","",IFERROR(VLOOKUP(C4997,parametros!$A$11:$E$15,5,0),""))</f>
        <v/>
      </c>
      <c r="F4997" s="79" t="str">
        <f t="shared" si="392"/>
        <v/>
      </c>
      <c r="G4997" s="395"/>
      <c r="H4997" s="91">
        <f t="shared" si="393"/>
        <v>0</v>
      </c>
      <c r="I4997" s="91" t="str">
        <f t="shared" si="394"/>
        <v/>
      </c>
      <c r="J4997" s="91" t="str">
        <f t="shared" si="395"/>
        <v/>
      </c>
      <c r="K4997" s="92" t="str">
        <f>IF(AND(A4997="",B4997="",D4997="",G4997=""),"",IF(AND(A4997&lt;&gt;"",COUNTIF($A$2:$A$5001,A4997)&gt;1),"NUMERO_PC duplicado",IF(B4997="","DATA_PC vazia",IF(NOT(ISNUMBER(B4997)),"DATA_PC invalida",IF(OR(C4997="",C4997="Fora dos ciclos"),"CICLO_PC nao identificado",IF(OR(D4997="",D4997=0),"VALOR_PC vazio ou zero",IF(AND(G4997&lt;&gt;"Sim",G4997&lt;&gt;"Nao",G4997&lt;&gt;""),"PC_PAGO_A_CONTRATADA invalido",IF(AND(C4997&lt;&gt;"C0",IFERROR(INDEX(parametros!$A$2:$A$6,MATCH(C4997,parametros!$B$2:$B$6,0)),"")="Sim",IFERROR(INDEX(parametros!$H$2:$H$6,MATCH(C4997,parametros!$B$2:$B$6,0)),"")=""),"INICIO_EFEITO ausente: PC "&amp;A4997&amp;" - "&amp;C4997,IF(L4997="","EFEITO_PC nao calculado: PC "&amp;A4997&amp;" - "&amp;C4997,"OK")))))))))</f>
        <v/>
      </c>
      <c r="L4997" s="92" t="str">
        <f>IF(AND(A4997="",B4997="",D4997="",G4997=""),"",IF(OR(B4997="",NOT(ISNUMBER(B4997)),C4997="",C4997="Fora dos ciclos"),"",IF(C4997="C0","Nao",IF(IFERROR(INDEX(parametros!$A$2:$A$6,MATCH(C4997,parametros!$B$2:$B$6,0)),"")&lt;&gt;"Sim","Nao",IF(IFERROR(INDEX(parametros!$H$2:$H$6,MATCH(C4997,parametros!$B$2:$B$6,0)),"")="","",IF(B4997&gt;=IFERROR(INDEX(parametros!$H$2:$H$6,MATCH(C4997,parametros!$B$2:$B$6,0)),""),"Sim","Nao"))))))</f>
        <v/>
      </c>
      <c r="T4997" s="156"/>
      <c r="U4997" s="214" t="str">
        <f t="shared" si="396"/>
        <v/>
      </c>
      <c r="V4997" s="212" t="s">
        <v>50</v>
      </c>
      <c r="W4997" s="100" t="s">
        <v>168</v>
      </c>
      <c r="X4997" s="100" t="s">
        <v>169</v>
      </c>
      <c r="Y4997" s="101" t="s">
        <v>170</v>
      </c>
      <c r="Z4997" s="101" t="s">
        <v>171</v>
      </c>
      <c r="AA4997" s="101" t="s">
        <v>50</v>
      </c>
      <c r="AB4997" s="101" t="s">
        <v>172</v>
      </c>
      <c r="AC4997" s="102" t="s">
        <v>173</v>
      </c>
    </row>
    <row r="4998" spans="1:29" ht="25.5" customHeight="1" x14ac:dyDescent="0.35">
      <c r="A4998" s="392"/>
      <c r="B4998" s="393"/>
      <c r="C4998" s="99" t="str">
        <f>IF(B4998="","",IF(NOT(ISNUMBER(B4998)),"DATA_PC invalida",IF(NOT(ISNUMBER(parametros!$C$2)),"Fora dos ciclos",IF(OR(B4998&lt;parametros!$C$2,(YEAR(B4998)-YEAR(parametros!$C$2))*12+MONTH(B4998)-MONTH(parametros!$C$2)&gt;59),"Fora dos ciclos","C"&amp;INT(((YEAR(B4998)-YEAR(parametros!$C$2))*12+MONTH(B4998)-MONTH(parametros!$C$2))/12)))))</f>
        <v/>
      </c>
      <c r="D4998" s="394"/>
      <c r="E4998" s="78" t="str">
        <f>IF(C4998="","",IFERROR(VLOOKUP(C4998,parametros!$A$11:$E$15,5,0),""))</f>
        <v/>
      </c>
      <c r="F4998" s="79" t="str">
        <f t="shared" si="392"/>
        <v/>
      </c>
      <c r="G4998" s="395"/>
      <c r="H4998" s="91">
        <f t="shared" si="393"/>
        <v>0</v>
      </c>
      <c r="I4998" s="91" t="str">
        <f t="shared" si="394"/>
        <v/>
      </c>
      <c r="J4998" s="91" t="str">
        <f t="shared" si="395"/>
        <v/>
      </c>
      <c r="K4998" s="92" t="str">
        <f>IF(AND(A4998="",B4998="",D4998="",G4998=""),"",IF(AND(A4998&lt;&gt;"",COUNTIF($A$2:$A$5001,A4998)&gt;1),"NUMERO_PC duplicado",IF(B4998="","DATA_PC vazia",IF(NOT(ISNUMBER(B4998)),"DATA_PC invalida",IF(OR(C4998="",C4998="Fora dos ciclos"),"CICLO_PC nao identificado",IF(OR(D4998="",D4998=0),"VALOR_PC vazio ou zero",IF(AND(G4998&lt;&gt;"Sim",G4998&lt;&gt;"Nao",G4998&lt;&gt;""),"PC_PAGO_A_CONTRATADA invalido",IF(AND(C4998&lt;&gt;"C0",IFERROR(INDEX(parametros!$A$2:$A$6,MATCH(C4998,parametros!$B$2:$B$6,0)),"")="Sim",IFERROR(INDEX(parametros!$H$2:$H$6,MATCH(C4998,parametros!$B$2:$B$6,0)),"")=""),"INICIO_EFEITO ausente: PC "&amp;A4998&amp;" - "&amp;C4998,IF(L4998="","EFEITO_PC nao calculado: PC "&amp;A4998&amp;" - "&amp;C4998,"OK")))))))))</f>
        <v/>
      </c>
      <c r="L4998" s="92" t="str">
        <f>IF(AND(A4998="",B4998="",D4998="",G4998=""),"",IF(OR(B4998="",NOT(ISNUMBER(B4998)),C4998="",C4998="Fora dos ciclos"),"",IF(C4998="C0","Nao",IF(IFERROR(INDEX(parametros!$A$2:$A$6,MATCH(C4998,parametros!$B$2:$B$6,0)),"")&lt;&gt;"Sim","Nao",IF(IFERROR(INDEX(parametros!$H$2:$H$6,MATCH(C4998,parametros!$B$2:$B$6,0)),"")="","",IF(B4998&gt;=IFERROR(INDEX(parametros!$H$2:$H$6,MATCH(C4998,parametros!$B$2:$B$6,0)),""),"Sim","Nao"))))))</f>
        <v/>
      </c>
      <c r="T4998" s="156"/>
      <c r="U4998" s="214" t="str">
        <f t="shared" si="396"/>
        <v/>
      </c>
      <c r="V4998" s="212" t="s">
        <v>50</v>
      </c>
      <c r="W4998" s="100" t="s">
        <v>168</v>
      </c>
      <c r="X4998" s="100" t="s">
        <v>169</v>
      </c>
      <c r="Y4998" s="101" t="s">
        <v>170</v>
      </c>
      <c r="Z4998" s="101" t="s">
        <v>171</v>
      </c>
      <c r="AA4998" s="101" t="s">
        <v>50</v>
      </c>
      <c r="AB4998" s="101" t="s">
        <v>172</v>
      </c>
      <c r="AC4998" s="102" t="s">
        <v>173</v>
      </c>
    </row>
    <row r="4999" spans="1:29" ht="25.5" customHeight="1" x14ac:dyDescent="0.35">
      <c r="A4999" s="392"/>
      <c r="B4999" s="393"/>
      <c r="C4999" s="99" t="str">
        <f>IF(B4999="","",IF(NOT(ISNUMBER(B4999)),"DATA_PC invalida",IF(NOT(ISNUMBER(parametros!$C$2)),"Fora dos ciclos",IF(OR(B4999&lt;parametros!$C$2,(YEAR(B4999)-YEAR(parametros!$C$2))*12+MONTH(B4999)-MONTH(parametros!$C$2)&gt;59),"Fora dos ciclos","C"&amp;INT(((YEAR(B4999)-YEAR(parametros!$C$2))*12+MONTH(B4999)-MONTH(parametros!$C$2))/12)))))</f>
        <v/>
      </c>
      <c r="D4999" s="394"/>
      <c r="E4999" s="78" t="str">
        <f>IF(C4999="","",IFERROR(VLOOKUP(C4999,parametros!$A$11:$E$15,5,0),""))</f>
        <v/>
      </c>
      <c r="F4999" s="79" t="str">
        <f t="shared" si="392"/>
        <v/>
      </c>
      <c r="G4999" s="395"/>
      <c r="H4999" s="91">
        <f t="shared" si="393"/>
        <v>0</v>
      </c>
      <c r="I4999" s="91" t="str">
        <f t="shared" si="394"/>
        <v/>
      </c>
      <c r="J4999" s="91" t="str">
        <f t="shared" si="395"/>
        <v/>
      </c>
      <c r="K4999" s="92" t="str">
        <f>IF(AND(A4999="",B4999="",D4999="",G4999=""),"",IF(AND(A4999&lt;&gt;"",COUNTIF($A$2:$A$5001,A4999)&gt;1),"NUMERO_PC duplicado",IF(B4999="","DATA_PC vazia",IF(NOT(ISNUMBER(B4999)),"DATA_PC invalida",IF(OR(C4999="",C4999="Fora dos ciclos"),"CICLO_PC nao identificado",IF(OR(D4999="",D4999=0),"VALOR_PC vazio ou zero",IF(AND(G4999&lt;&gt;"Sim",G4999&lt;&gt;"Nao",G4999&lt;&gt;""),"PC_PAGO_A_CONTRATADA invalido",IF(AND(C4999&lt;&gt;"C0",IFERROR(INDEX(parametros!$A$2:$A$6,MATCH(C4999,parametros!$B$2:$B$6,0)),"")="Sim",IFERROR(INDEX(parametros!$H$2:$H$6,MATCH(C4999,parametros!$B$2:$B$6,0)),"")=""),"INICIO_EFEITO ausente: PC "&amp;A4999&amp;" - "&amp;C4999,IF(L4999="","EFEITO_PC nao calculado: PC "&amp;A4999&amp;" - "&amp;C4999,"OK")))))))))</f>
        <v/>
      </c>
      <c r="L4999" s="92" t="str">
        <f>IF(AND(A4999="",B4999="",D4999="",G4999=""),"",IF(OR(B4999="",NOT(ISNUMBER(B4999)),C4999="",C4999="Fora dos ciclos"),"",IF(C4999="C0","Nao",IF(IFERROR(INDEX(parametros!$A$2:$A$6,MATCH(C4999,parametros!$B$2:$B$6,0)),"")&lt;&gt;"Sim","Nao",IF(IFERROR(INDEX(parametros!$H$2:$H$6,MATCH(C4999,parametros!$B$2:$B$6,0)),"")="","",IF(B4999&gt;=IFERROR(INDEX(parametros!$H$2:$H$6,MATCH(C4999,parametros!$B$2:$B$6,0)),""),"Sim","Nao"))))))</f>
        <v/>
      </c>
      <c r="T4999" s="156"/>
      <c r="U4999" s="214" t="str">
        <f t="shared" si="396"/>
        <v/>
      </c>
      <c r="V4999" s="212" t="s">
        <v>50</v>
      </c>
      <c r="W4999" s="100" t="s">
        <v>168</v>
      </c>
      <c r="X4999" s="100" t="s">
        <v>169</v>
      </c>
      <c r="Y4999" s="101" t="s">
        <v>170</v>
      </c>
      <c r="Z4999" s="101" t="s">
        <v>171</v>
      </c>
      <c r="AA4999" s="101" t="s">
        <v>50</v>
      </c>
      <c r="AB4999" s="101" t="s">
        <v>172</v>
      </c>
      <c r="AC4999" s="102" t="s">
        <v>173</v>
      </c>
    </row>
    <row r="5000" spans="1:29" ht="25.5" customHeight="1" x14ac:dyDescent="0.35">
      <c r="A5000" s="392"/>
      <c r="B5000" s="393"/>
      <c r="C5000" s="99" t="str">
        <f>IF(B5000="","",IF(NOT(ISNUMBER(B5000)),"DATA_PC invalida",IF(NOT(ISNUMBER(parametros!$C$2)),"Fora dos ciclos",IF(OR(B5000&lt;parametros!$C$2,(YEAR(B5000)-YEAR(parametros!$C$2))*12+MONTH(B5000)-MONTH(parametros!$C$2)&gt;59),"Fora dos ciclos","C"&amp;INT(((YEAR(B5000)-YEAR(parametros!$C$2))*12+MONTH(B5000)-MONTH(parametros!$C$2))/12)))))</f>
        <v/>
      </c>
      <c r="D5000" s="394"/>
      <c r="E5000" s="78" t="str">
        <f>IF(C5000="","",IFERROR(VLOOKUP(C5000,parametros!$A$11:$E$15,5,0),""))</f>
        <v/>
      </c>
      <c r="F5000" s="79" t="str">
        <f t="shared" si="392"/>
        <v/>
      </c>
      <c r="G5000" s="395"/>
      <c r="H5000" s="91">
        <f t="shared" si="393"/>
        <v>0</v>
      </c>
      <c r="I5000" s="91" t="str">
        <f t="shared" si="394"/>
        <v/>
      </c>
      <c r="J5000" s="91" t="str">
        <f t="shared" si="395"/>
        <v/>
      </c>
      <c r="K5000" s="92" t="str">
        <f>IF(AND(A5000="",B5000="",D5000="",G5000=""),"",IF(AND(A5000&lt;&gt;"",COUNTIF($A$2:$A$5001,A5000)&gt;1),"NUMERO_PC duplicado",IF(B5000="","DATA_PC vazia",IF(NOT(ISNUMBER(B5000)),"DATA_PC invalida",IF(OR(C5000="",C5000="Fora dos ciclos"),"CICLO_PC nao identificado",IF(OR(D5000="",D5000=0),"VALOR_PC vazio ou zero",IF(AND(G5000&lt;&gt;"Sim",G5000&lt;&gt;"Nao",G5000&lt;&gt;""),"PC_PAGO_A_CONTRATADA invalido",IF(AND(C5000&lt;&gt;"C0",IFERROR(INDEX(parametros!$A$2:$A$6,MATCH(C5000,parametros!$B$2:$B$6,0)),"")="Sim",IFERROR(INDEX(parametros!$H$2:$H$6,MATCH(C5000,parametros!$B$2:$B$6,0)),"")=""),"INICIO_EFEITO ausente: PC "&amp;A5000&amp;" - "&amp;C5000,IF(L5000="","EFEITO_PC nao calculado: PC "&amp;A5000&amp;" - "&amp;C5000,"OK")))))))))</f>
        <v/>
      </c>
      <c r="L5000" s="92" t="str">
        <f>IF(AND(A5000="",B5000="",D5000="",G5000=""),"",IF(OR(B5000="",NOT(ISNUMBER(B5000)),C5000="",C5000="Fora dos ciclos"),"",IF(C5000="C0","Nao",IF(IFERROR(INDEX(parametros!$A$2:$A$6,MATCH(C5000,parametros!$B$2:$B$6,0)),"")&lt;&gt;"Sim","Nao",IF(IFERROR(INDEX(parametros!$H$2:$H$6,MATCH(C5000,parametros!$B$2:$B$6,0)),"")="","",IF(B5000&gt;=IFERROR(INDEX(parametros!$H$2:$H$6,MATCH(C5000,parametros!$B$2:$B$6,0)),""),"Sim","Nao"))))))</f>
        <v/>
      </c>
      <c r="T5000" s="156"/>
      <c r="U5000" s="214" t="str">
        <f t="shared" si="396"/>
        <v/>
      </c>
      <c r="V5000" s="212" t="s">
        <v>50</v>
      </c>
      <c r="W5000" s="100" t="s">
        <v>168</v>
      </c>
      <c r="X5000" s="100" t="s">
        <v>169</v>
      </c>
      <c r="Y5000" s="101" t="s">
        <v>170</v>
      </c>
      <c r="Z5000" s="101" t="s">
        <v>171</v>
      </c>
      <c r="AA5000" s="101" t="s">
        <v>50</v>
      </c>
      <c r="AB5000" s="101" t="s">
        <v>172</v>
      </c>
      <c r="AC5000" s="102" t="s">
        <v>173</v>
      </c>
    </row>
    <row r="5001" spans="1:29" ht="25.5" customHeight="1" x14ac:dyDescent="0.35">
      <c r="A5001" s="392"/>
      <c r="B5001" s="393"/>
      <c r="C5001" s="99" t="str">
        <f>IF(B5001="","",IF(NOT(ISNUMBER(B5001)),"DATA_PC invalida",IF(NOT(ISNUMBER(parametros!$C$2)),"Fora dos ciclos",IF(OR(B5001&lt;parametros!$C$2,(YEAR(B5001)-YEAR(parametros!$C$2))*12+MONTH(B5001)-MONTH(parametros!$C$2)&gt;59),"Fora dos ciclos","C"&amp;INT(((YEAR(B5001)-YEAR(parametros!$C$2))*12+MONTH(B5001)-MONTH(parametros!$C$2))/12)))))</f>
        <v/>
      </c>
      <c r="D5001" s="394"/>
      <c r="E5001" s="78" t="str">
        <f>IF(C5001="","",IFERROR(VLOOKUP(C5001,parametros!$A$11:$E$15,5,0),""))</f>
        <v/>
      </c>
      <c r="F5001" s="79" t="str">
        <f t="shared" si="392"/>
        <v/>
      </c>
      <c r="G5001" s="395"/>
      <c r="H5001" s="91">
        <f t="shared" si="393"/>
        <v>0</v>
      </c>
      <c r="I5001" s="91" t="str">
        <f t="shared" si="394"/>
        <v/>
      </c>
      <c r="J5001" s="91" t="str">
        <f t="shared" si="395"/>
        <v/>
      </c>
      <c r="K5001" s="92" t="str">
        <f>IF(AND(A5001="",B5001="",D5001="",G5001=""),"",IF(AND(A5001&lt;&gt;"",COUNTIF($A$2:$A$5001,A5001)&gt;1),"NUMERO_PC duplicado",IF(B5001="","DATA_PC vazia",IF(NOT(ISNUMBER(B5001)),"DATA_PC invalida",IF(OR(C5001="",C5001="Fora dos ciclos"),"CICLO_PC nao identificado",IF(OR(D5001="",D5001=0),"VALOR_PC vazio ou zero",IF(AND(G5001&lt;&gt;"Sim",G5001&lt;&gt;"Nao",G5001&lt;&gt;""),"PC_PAGO_A_CONTRATADA invalido",IF(AND(C5001&lt;&gt;"C0",IFERROR(INDEX(parametros!$A$2:$A$6,MATCH(C5001,parametros!$B$2:$B$6,0)),"")="Sim",IFERROR(INDEX(parametros!$H$2:$H$6,MATCH(C5001,parametros!$B$2:$B$6,0)),"")=""),"INICIO_EFEITO ausente: PC "&amp;A5001&amp;" - "&amp;C5001,IF(L5001="","EFEITO_PC nao calculado: PC "&amp;A5001&amp;" - "&amp;C5001,"OK")))))))))</f>
        <v/>
      </c>
      <c r="L5001" s="92" t="str">
        <f>IF(AND(A5001="",B5001="",D5001="",G5001=""),"",IF(OR(B5001="",NOT(ISNUMBER(B5001)),C5001="",C5001="Fora dos ciclos"),"",IF(C5001="C0","Nao",IF(IFERROR(INDEX(parametros!$A$2:$A$6,MATCH(C5001,parametros!$B$2:$B$6,0)),"")&lt;&gt;"Sim","Nao",IF(IFERROR(INDEX(parametros!$H$2:$H$6,MATCH(C5001,parametros!$B$2:$B$6,0)),"")="","",IF(B5001&gt;=IFERROR(INDEX(parametros!$H$2:$H$6,MATCH(C5001,parametros!$B$2:$B$6,0)),""),"Sim","Nao"))))))</f>
        <v/>
      </c>
      <c r="T5001" s="156"/>
      <c r="U5001" s="214" t="str">
        <f t="shared" si="396"/>
        <v/>
      </c>
      <c r="V5001" s="212" t="s">
        <v>50</v>
      </c>
      <c r="W5001" s="100" t="s">
        <v>168</v>
      </c>
      <c r="X5001" s="100" t="s">
        <v>169</v>
      </c>
      <c r="Y5001" s="101" t="s">
        <v>170</v>
      </c>
      <c r="Z5001" s="101" t="s">
        <v>171</v>
      </c>
      <c r="AA5001" s="101" t="s">
        <v>50</v>
      </c>
      <c r="AB5001" s="101" t="s">
        <v>172</v>
      </c>
      <c r="AC5001" s="102" t="s">
        <v>173</v>
      </c>
    </row>
  </sheetData>
  <sheetProtection sheet="1" formatColumns="0" formatRows="0"/>
  <mergeCells count="14">
    <mergeCell ref="M28:T28"/>
    <mergeCell ref="M29:T29"/>
    <mergeCell ref="M23:T23"/>
    <mergeCell ref="M27:T27"/>
    <mergeCell ref="M10:T10"/>
    <mergeCell ref="M22:T22"/>
    <mergeCell ref="M26:T26"/>
    <mergeCell ref="M1:T1"/>
    <mergeCell ref="M25:T25"/>
    <mergeCell ref="M20:T20"/>
    <mergeCell ref="M24:T24"/>
    <mergeCell ref="M19:R19"/>
    <mergeCell ref="S19:T19"/>
    <mergeCell ref="M21:T21"/>
  </mergeCells>
  <conditionalFormatting sqref="A2:L5001">
    <cfRule type="expression" dxfId="53" priority="1" stopIfTrue="1">
      <formula>AND(OR($A2&lt;&gt;"",$B2&lt;&gt;"",$D2&lt;&gt;"",$G2&lt;&gt;""),$L2="")</formula>
    </cfRule>
    <cfRule type="expression" dxfId="52" priority="2">
      <formula>$L2="Nao"</formula>
    </cfRule>
  </conditionalFormatting>
  <conditionalFormatting sqref="S3:S9">
    <cfRule type="expression" dxfId="51" priority="3" stopIfTrue="1">
      <formula>N($S3)&lt;&gt;0</formula>
    </cfRule>
  </conditionalFormatting>
  <conditionalFormatting sqref="S12:S18">
    <cfRule type="expression" dxfId="50" priority="4" stopIfTrue="1">
      <formula>N($S12)&lt;&gt;0</formula>
    </cfRule>
  </conditionalFormatting>
  <dataValidations count="1">
    <dataValidation type="list" allowBlank="1" showInputMessage="1" showErrorMessage="1" error="Selecione Sim ou Nao." sqref="G2:G5001" xr:uid="{00000000-0002-0000-0600-000000000000}">
      <formula1>OPCOES_SIM_NAO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M200"/>
  <sheetViews>
    <sheetView showGridLines="0" workbookViewId="0">
      <pane ySplit="1" topLeftCell="A2" activePane="bottomLeft" state="frozen"/>
      <selection pane="bottomLeft" activeCell="F5" sqref="F5"/>
    </sheetView>
  </sheetViews>
  <sheetFormatPr defaultRowHeight="14.5" x14ac:dyDescent="0.35"/>
  <cols>
    <col min="1" max="1" width="34" customWidth="1"/>
    <col min="2" max="2" width="18" customWidth="1"/>
    <col min="3" max="3" width="16" customWidth="1"/>
    <col min="4" max="4" width="32" customWidth="1"/>
    <col min="5" max="5" width="25" customWidth="1"/>
    <col min="6" max="6" width="22" customWidth="1"/>
    <col min="7" max="8" width="24" customWidth="1"/>
    <col min="9" max="9" width="22" customWidth="1"/>
    <col min="10" max="10" width="25" customWidth="1"/>
    <col min="11" max="11" width="32" customWidth="1"/>
    <col min="12" max="12" width="24" customWidth="1"/>
    <col min="13" max="13" width="45.6328125" customWidth="1"/>
  </cols>
  <sheetData>
    <row r="1" spans="1:13" ht="95" customHeight="1" x14ac:dyDescent="0.35">
      <c r="A1" s="34" t="s">
        <v>196</v>
      </c>
      <c r="B1" s="34" t="s">
        <v>197</v>
      </c>
      <c r="C1" s="34" t="s">
        <v>198</v>
      </c>
      <c r="D1" s="34" t="s">
        <v>199</v>
      </c>
      <c r="E1" s="50" t="s">
        <v>200</v>
      </c>
      <c r="F1" s="51" t="s">
        <v>201</v>
      </c>
      <c r="G1" s="51" t="s">
        <v>202</v>
      </c>
      <c r="H1" s="34" t="s">
        <v>203</v>
      </c>
      <c r="I1" s="34" t="s">
        <v>204</v>
      </c>
      <c r="J1" s="51" t="s">
        <v>205</v>
      </c>
      <c r="K1" s="34" t="s">
        <v>206</v>
      </c>
      <c r="L1" s="63" t="s">
        <v>207</v>
      </c>
      <c r="M1" s="63" t="s">
        <v>87</v>
      </c>
    </row>
    <row r="2" spans="1:13" ht="45" customHeight="1" x14ac:dyDescent="0.35">
      <c r="A2" s="103"/>
      <c r="B2" s="186"/>
      <c r="C2" s="99" t="str">
        <f>IF(B2="","",IFERROR(IF(NOT(ISNUMBER(parametros!$C$2)),"Fora dos ciclos",IF(OR(B2&lt;parametros!$C$2,(YEAR(B2)-YEAR(parametros!$C$2))*12+MONTH(B2)-MONTH(parametros!$C$2)&gt;59),"Fora dos ciclos","C"&amp;INT(((YEAR(B2)-YEAR(parametros!$C$2))*12+MONTH(B2)-MONTH(parametros!$C$2))/12))),"Fora dos ciclos"))</f>
        <v/>
      </c>
      <c r="D2" s="103"/>
      <c r="E2" s="104"/>
      <c r="F2" s="105" t="str">
        <f>IF(A2="","",IFERROR(VLOOKUP(A2,itens_Remanesc!$A:$C,3,0),""))</f>
        <v/>
      </c>
      <c r="G2" s="105" t="str">
        <f t="shared" ref="G2:G33" si="0">IF(OR(E2="",F2=""),"",ROUND(E2*F2,2))</f>
        <v/>
      </c>
      <c r="H2" s="103"/>
      <c r="I2" s="64" t="str">
        <f>IFERROR(VLOOKUP(C2,parametros!$B:$F,5,0),"")</f>
        <v/>
      </c>
      <c r="J2" s="105" t="str">
        <f>IF(OR(L2="",F2=""),"",ROUND(L2*IF(AND(UPPER(H2)="SIM",ISNUMBER(IF($C2="C0",IFERROR(VLOOKUP($A2,historico_VU!$A:$G,3,0),""),IF($C2="C1",IFERROR(VLOOKUP($A2,historico_VU!$A:$G,4,0),""),IF($C2="C2",IFERROR(VLOOKUP($A2,historico_VU!$A:$G,5,0),""),IF($C2="C3",IFERROR(VLOOKUP($A2,historico_VU!$A:$G,6,0),""),IF($C2="C4",IFERROR(VLOOKUP($A2,historico_VU!$A:$G,7,0),""),""))))))),IF($C2="C0",IFERROR(VLOOKUP($A2,historico_VU!$A:$G,3,0),""),IF($C2="C1",IFERROR(VLOOKUP($A2,historico_VU!$A:$G,4,0),""),IF($C2="C2",IFERROR(VLOOKUP($A2,historico_VU!$A:$G,5,0),""),IF($C2="C3",IFERROR(VLOOKUP($A2,historico_VU!$A:$G,6,0),""),IF($C2="C4",IFERROR(VLOOKUP($A2,historico_VU!$A:$G,7,0),""),""))))),F2),2))</f>
        <v/>
      </c>
      <c r="K2" s="103"/>
      <c r="L2" s="85" t="str">
        <f t="shared" ref="L2:L33" si="1">IF(OR(A2="",C2="",D2="",NOT(ISNUMBER(E2))),"",IF(LEFT(UPPER(D2),3)="ACR",ROUND(ABS(E2),2),IF(OR(LEFT(UPPER(D2),4)="SUPR",LEFT(UPPER(D2),4)="DECR"),ROUND(-ABS(E2),2),"")))</f>
        <v/>
      </c>
      <c r="M2" s="203" t="str">
        <f>IF(A2="","",IF(COUNTIF(itens_Remanesc!$A$2:$A$200,A2)=0,"NOVO ITEM NAO CADASTRADO - CADASTRAR EM itens_Remanesc: ITEM + VU_ORIGINAL (QTD_BASE_ORIGINAL sera 0 automaticamente); depois a data e a quantidade aqui.",IF(COUNTIF(itens_Remanesc!$A$2:$A$200,A2)&gt;1,"ALERTA: ITEM_DUPLICADO",IF(OR(C2="",C2="Fora dos ciclos"),"ALERTA: CICLO_INVALIDO",IF(NOT(ISNUMBER(E2)),"ALERTA: QTD_INVALIDA",IF(AND(LEFT(UPPER(D2),3)&lt;&gt;"ACR",LEFT(UPPER(D2),4)&lt;&gt;"SUPR",LEFT(UPPER(D2),4)&lt;&gt;"DECR"),"ALERTA: TIPO_INVALIDO","OK"))))))</f>
        <v/>
      </c>
    </row>
    <row r="3" spans="1:13" ht="45" customHeight="1" x14ac:dyDescent="0.35">
      <c r="A3" s="103"/>
      <c r="B3" s="186"/>
      <c r="C3" s="99" t="str">
        <f>IF(B3="","",IFERROR(IF(NOT(ISNUMBER(parametros!$C$2)),"Fora dos ciclos",IF(OR(B3&lt;parametros!$C$2,(YEAR(B3)-YEAR(parametros!$C$2))*12+MONTH(B3)-MONTH(parametros!$C$2)&gt;59),"Fora dos ciclos","C"&amp;INT(((YEAR(B3)-YEAR(parametros!$C$2))*12+MONTH(B3)-MONTH(parametros!$C$2))/12))),"Fora dos ciclos"))</f>
        <v/>
      </c>
      <c r="D3" s="103"/>
      <c r="E3" s="104"/>
      <c r="F3" s="105" t="str">
        <f>IF(A3="","",IFERROR(VLOOKUP(A3,itens_Remanesc!$A:$C,3,0),""))</f>
        <v/>
      </c>
      <c r="G3" s="105" t="str">
        <f t="shared" si="0"/>
        <v/>
      </c>
      <c r="H3" s="103"/>
      <c r="I3" s="64" t="str">
        <f>IFERROR(VLOOKUP(C3,parametros!$B:$F,5,0),"")</f>
        <v/>
      </c>
      <c r="J3" s="105" t="str">
        <f>IF(OR(L3="",F3=""),"",ROUND(L3*IF(AND(UPPER(H3)="SIM",ISNUMBER(IF($C3="C0",IFERROR(VLOOKUP($A3,historico_VU!$A:$G,3,0),""),IF($C3="C1",IFERROR(VLOOKUP($A3,historico_VU!$A:$G,4,0),""),IF($C3="C2",IFERROR(VLOOKUP($A3,historico_VU!$A:$G,5,0),""),IF($C3="C3",IFERROR(VLOOKUP($A3,historico_VU!$A:$G,6,0),""),IF($C3="C4",IFERROR(VLOOKUP($A3,historico_VU!$A:$G,7,0),""),""))))))),IF($C3="C0",IFERROR(VLOOKUP($A3,historico_VU!$A:$G,3,0),""),IF($C3="C1",IFERROR(VLOOKUP($A3,historico_VU!$A:$G,4,0),""),IF($C3="C2",IFERROR(VLOOKUP($A3,historico_VU!$A:$G,5,0),""),IF($C3="C3",IFERROR(VLOOKUP($A3,historico_VU!$A:$G,6,0),""),IF($C3="C4",IFERROR(VLOOKUP($A3,historico_VU!$A:$G,7,0),""),""))))),F3),2))</f>
        <v/>
      </c>
      <c r="K3" s="103"/>
      <c r="L3" s="85" t="str">
        <f t="shared" si="1"/>
        <v/>
      </c>
      <c r="M3" s="203" t="str">
        <f>IF(A3="","",IF(COUNTIF(itens_Remanesc!$A$2:$A$200,A3)=0,"NOVO ITEM NAO CADASTRADO - CADASTRAR EM itens_Remanesc: ITEM + VU_ORIGINAL (QTD_BASE_ORIGINAL sera 0 automaticamente); depois a data e a quantidade aqui.",IF(COUNTIF(itens_Remanesc!$A$2:$A$200,A3)&gt;1,"ALERTA: ITEM_DUPLICADO",IF(OR(C3="",C3="Fora dos ciclos"),"ALERTA: CICLO_INVALIDO",IF(NOT(ISNUMBER(E3)),"ALERTA: QTD_INVALIDA",IF(AND(LEFT(UPPER(D3),3)&lt;&gt;"ACR",LEFT(UPPER(D3),4)&lt;&gt;"SUPR",LEFT(UPPER(D3),4)&lt;&gt;"DECR"),"ALERTA: TIPO_INVALIDO","OK"))))))</f>
        <v/>
      </c>
    </row>
    <row r="4" spans="1:13" ht="45" customHeight="1" x14ac:dyDescent="0.35">
      <c r="A4" s="103"/>
      <c r="B4" s="186"/>
      <c r="C4" s="99" t="str">
        <f>IF(B4="","",IFERROR(IF(NOT(ISNUMBER(parametros!$C$2)),"Fora dos ciclos",IF(OR(B4&lt;parametros!$C$2,(YEAR(B4)-YEAR(parametros!$C$2))*12+MONTH(B4)-MONTH(parametros!$C$2)&gt;59),"Fora dos ciclos","C"&amp;INT(((YEAR(B4)-YEAR(parametros!$C$2))*12+MONTH(B4)-MONTH(parametros!$C$2))/12))),"Fora dos ciclos"))</f>
        <v/>
      </c>
      <c r="D4" s="103"/>
      <c r="E4" s="104"/>
      <c r="F4" s="105" t="str">
        <f>IF(A4="","",IFERROR(VLOOKUP(A4,itens_Remanesc!$A:$C,3,0),""))</f>
        <v/>
      </c>
      <c r="G4" s="105" t="str">
        <f t="shared" si="0"/>
        <v/>
      </c>
      <c r="H4" s="103"/>
      <c r="I4" s="64" t="str">
        <f>IFERROR(VLOOKUP(C4,parametros!$B:$F,5,0),"")</f>
        <v/>
      </c>
      <c r="J4" s="105" t="str">
        <f>IF(OR(L4="",F4=""),"",ROUND(L4*IF(AND(UPPER(H4)="SIM",ISNUMBER(IF($C4="C0",IFERROR(VLOOKUP($A4,historico_VU!$A:$G,3,0),""),IF($C4="C1",IFERROR(VLOOKUP($A4,historico_VU!$A:$G,4,0),""),IF($C4="C2",IFERROR(VLOOKUP($A4,historico_VU!$A:$G,5,0),""),IF($C4="C3",IFERROR(VLOOKUP($A4,historico_VU!$A:$G,6,0),""),IF($C4="C4",IFERROR(VLOOKUP($A4,historico_VU!$A:$G,7,0),""),""))))))),IF($C4="C0",IFERROR(VLOOKUP($A4,historico_VU!$A:$G,3,0),""),IF($C4="C1",IFERROR(VLOOKUP($A4,historico_VU!$A:$G,4,0),""),IF($C4="C2",IFERROR(VLOOKUP($A4,historico_VU!$A:$G,5,0),""),IF($C4="C3",IFERROR(VLOOKUP($A4,historico_VU!$A:$G,6,0),""),IF($C4="C4",IFERROR(VLOOKUP($A4,historico_VU!$A:$G,7,0),""),""))))),F4),2))</f>
        <v/>
      </c>
      <c r="K4" s="103"/>
      <c r="L4" s="85" t="str">
        <f t="shared" si="1"/>
        <v/>
      </c>
      <c r="M4" s="203" t="str">
        <f>IF(A4="","",IF(COUNTIF(itens_Remanesc!$A$2:$A$200,A4)=0,"NOVO ITEM NAO CADASTRADO - CADASTRAR EM itens_Remanesc: ITEM + VU_ORIGINAL (QTD_BASE_ORIGINAL sera 0 automaticamente); depois a data e a quantidade aqui.",IF(COUNTIF(itens_Remanesc!$A$2:$A$200,A4)&gt;1,"ALERTA: ITEM_DUPLICADO",IF(OR(C4="",C4="Fora dos ciclos"),"ALERTA: CICLO_INVALIDO",IF(NOT(ISNUMBER(E4)),"ALERTA: QTD_INVALIDA",IF(AND(LEFT(UPPER(D4),3)&lt;&gt;"ACR",LEFT(UPPER(D4),4)&lt;&gt;"SUPR",LEFT(UPPER(D4),4)&lt;&gt;"DECR"),"ALERTA: TIPO_INVALIDO","OK"))))))</f>
        <v/>
      </c>
    </row>
    <row r="5" spans="1:13" ht="45" customHeight="1" x14ac:dyDescent="0.35">
      <c r="A5" s="103"/>
      <c r="B5" s="186"/>
      <c r="C5" s="99" t="str">
        <f>IF(B5="","",IFERROR(IF(NOT(ISNUMBER(parametros!$C$2)),"Fora dos ciclos",IF(OR(B5&lt;parametros!$C$2,(YEAR(B5)-YEAR(parametros!$C$2))*12+MONTH(B5)-MONTH(parametros!$C$2)&gt;59),"Fora dos ciclos","C"&amp;INT(((YEAR(B5)-YEAR(parametros!$C$2))*12+MONTH(B5)-MONTH(parametros!$C$2))/12))),"Fora dos ciclos"))</f>
        <v/>
      </c>
      <c r="D5" s="103"/>
      <c r="E5" s="104"/>
      <c r="F5" s="105" t="str">
        <f>IF(A5="","",IFERROR(VLOOKUP(A5,itens_Remanesc!$A:$C,3,0),""))</f>
        <v/>
      </c>
      <c r="G5" s="105" t="str">
        <f t="shared" si="0"/>
        <v/>
      </c>
      <c r="H5" s="103"/>
      <c r="I5" s="64" t="str">
        <f>IFERROR(VLOOKUP(C5,parametros!$B:$F,5,0),"")</f>
        <v/>
      </c>
      <c r="J5" s="105" t="str">
        <f>IF(OR(L5="",F5=""),"",ROUND(L5*IF(AND(UPPER(H5)="SIM",ISNUMBER(IF($C5="C0",IFERROR(VLOOKUP($A5,historico_VU!$A:$G,3,0),""),IF($C5="C1",IFERROR(VLOOKUP($A5,historico_VU!$A:$G,4,0),""),IF($C5="C2",IFERROR(VLOOKUP($A5,historico_VU!$A:$G,5,0),""),IF($C5="C3",IFERROR(VLOOKUP($A5,historico_VU!$A:$G,6,0),""),IF($C5="C4",IFERROR(VLOOKUP($A5,historico_VU!$A:$G,7,0),""),""))))))),IF($C5="C0",IFERROR(VLOOKUP($A5,historico_VU!$A:$G,3,0),""),IF($C5="C1",IFERROR(VLOOKUP($A5,historico_VU!$A:$G,4,0),""),IF($C5="C2",IFERROR(VLOOKUP($A5,historico_VU!$A:$G,5,0),""),IF($C5="C3",IFERROR(VLOOKUP($A5,historico_VU!$A:$G,6,0),""),IF($C5="C4",IFERROR(VLOOKUP($A5,historico_VU!$A:$G,7,0),""),""))))),F5),2))</f>
        <v/>
      </c>
      <c r="K5" s="103"/>
      <c r="L5" s="85" t="str">
        <f t="shared" si="1"/>
        <v/>
      </c>
      <c r="M5" s="203" t="str">
        <f>IF(A5="","",IF(COUNTIF(itens_Remanesc!$A$2:$A$200,A5)=0,"NOVO ITEM NAO CADASTRADO - CADASTRAR EM itens_Remanesc: ITEM + VU_ORIGINAL (QTD_BASE_ORIGINAL sera 0 automaticamente); depois a data e a quantidade aqui.",IF(COUNTIF(itens_Remanesc!$A$2:$A$200,A5)&gt;1,"ALERTA: ITEM_DUPLICADO",IF(OR(C5="",C5="Fora dos ciclos"),"ALERTA: CICLO_INVALIDO",IF(NOT(ISNUMBER(E5)),"ALERTA: QTD_INVALIDA",IF(AND(LEFT(UPPER(D5),3)&lt;&gt;"ACR",LEFT(UPPER(D5),4)&lt;&gt;"SUPR",LEFT(UPPER(D5),4)&lt;&gt;"DECR"),"ALERTA: TIPO_INVALIDO","OK"))))))</f>
        <v/>
      </c>
    </row>
    <row r="6" spans="1:13" ht="45" customHeight="1" x14ac:dyDescent="0.35">
      <c r="A6" s="103"/>
      <c r="B6" s="186"/>
      <c r="C6" s="99" t="str">
        <f>IF(B6="","",IFERROR(IF(NOT(ISNUMBER(parametros!$C$2)),"Fora dos ciclos",IF(OR(B6&lt;parametros!$C$2,(YEAR(B6)-YEAR(parametros!$C$2))*12+MONTH(B6)-MONTH(parametros!$C$2)&gt;59),"Fora dos ciclos","C"&amp;INT(((YEAR(B6)-YEAR(parametros!$C$2))*12+MONTH(B6)-MONTH(parametros!$C$2))/12))),"Fora dos ciclos"))</f>
        <v/>
      </c>
      <c r="D6" s="103"/>
      <c r="E6" s="104"/>
      <c r="F6" s="105" t="str">
        <f>IF(A6="","",IFERROR(VLOOKUP(A6,itens_Remanesc!$A:$C,3,0),""))</f>
        <v/>
      </c>
      <c r="G6" s="105" t="str">
        <f t="shared" si="0"/>
        <v/>
      </c>
      <c r="H6" s="103"/>
      <c r="I6" s="64" t="str">
        <f>IFERROR(VLOOKUP(C6,parametros!$B:$F,5,0),"")</f>
        <v/>
      </c>
      <c r="J6" s="105" t="str">
        <f>IF(OR(L6="",F6=""),"",ROUND(L6*IF(AND(UPPER(H6)="SIM",ISNUMBER(IF($C6="C0",IFERROR(VLOOKUP($A6,historico_VU!$A:$G,3,0),""),IF($C6="C1",IFERROR(VLOOKUP($A6,historico_VU!$A:$G,4,0),""),IF($C6="C2",IFERROR(VLOOKUP($A6,historico_VU!$A:$G,5,0),""),IF($C6="C3",IFERROR(VLOOKUP($A6,historico_VU!$A:$G,6,0),""),IF($C6="C4",IFERROR(VLOOKUP($A6,historico_VU!$A:$G,7,0),""),""))))))),IF($C6="C0",IFERROR(VLOOKUP($A6,historico_VU!$A:$G,3,0),""),IF($C6="C1",IFERROR(VLOOKUP($A6,historico_VU!$A:$G,4,0),""),IF($C6="C2",IFERROR(VLOOKUP($A6,historico_VU!$A:$G,5,0),""),IF($C6="C3",IFERROR(VLOOKUP($A6,historico_VU!$A:$G,6,0),""),IF($C6="C4",IFERROR(VLOOKUP($A6,historico_VU!$A:$G,7,0),""),""))))),F6),2))</f>
        <v/>
      </c>
      <c r="K6" s="103"/>
      <c r="L6" s="85" t="str">
        <f t="shared" si="1"/>
        <v/>
      </c>
      <c r="M6" s="203" t="str">
        <f>IF(A6="","",IF(COUNTIF(itens_Remanesc!$A$2:$A$200,A6)=0,"NOVO ITEM NAO CADASTRADO - CADASTRAR EM itens_Remanesc: ITEM + VU_ORIGINAL (QTD_BASE_ORIGINAL sera 0 automaticamente); depois a data e a quantidade aqui.",IF(COUNTIF(itens_Remanesc!$A$2:$A$200,A6)&gt;1,"ALERTA: ITEM_DUPLICADO",IF(OR(C6="",C6="Fora dos ciclos"),"ALERTA: CICLO_INVALIDO",IF(NOT(ISNUMBER(E6)),"ALERTA: QTD_INVALIDA",IF(AND(LEFT(UPPER(D6),3)&lt;&gt;"ACR",LEFT(UPPER(D6),4)&lt;&gt;"SUPR",LEFT(UPPER(D6),4)&lt;&gt;"DECR"),"ALERTA: TIPO_INVALIDO","OK"))))))</f>
        <v/>
      </c>
    </row>
    <row r="7" spans="1:13" ht="45" customHeight="1" x14ac:dyDescent="0.35">
      <c r="A7" s="103"/>
      <c r="B7" s="186"/>
      <c r="C7" s="99" t="str">
        <f>IF(B7="","",IFERROR(IF(NOT(ISNUMBER(parametros!$C$2)),"Fora dos ciclos",IF(OR(B7&lt;parametros!$C$2,(YEAR(B7)-YEAR(parametros!$C$2))*12+MONTH(B7)-MONTH(parametros!$C$2)&gt;59),"Fora dos ciclos","C"&amp;INT(((YEAR(B7)-YEAR(parametros!$C$2))*12+MONTH(B7)-MONTH(parametros!$C$2))/12))),"Fora dos ciclos"))</f>
        <v/>
      </c>
      <c r="D7" s="103"/>
      <c r="E7" s="104"/>
      <c r="F7" s="105" t="str">
        <f>IF(A7="","",IFERROR(VLOOKUP(A7,itens_Remanesc!$A:$C,3,0),""))</f>
        <v/>
      </c>
      <c r="G7" s="105" t="str">
        <f t="shared" si="0"/>
        <v/>
      </c>
      <c r="H7" s="103"/>
      <c r="I7" s="64" t="str">
        <f>IFERROR(VLOOKUP(C7,parametros!$B:$F,5,0),"")</f>
        <v/>
      </c>
      <c r="J7" s="105" t="str">
        <f>IF(OR(L7="",F7=""),"",ROUND(L7*IF(AND(UPPER(H7)="SIM",ISNUMBER(IF($C7="C0",IFERROR(VLOOKUP($A7,historico_VU!$A:$G,3,0),""),IF($C7="C1",IFERROR(VLOOKUP($A7,historico_VU!$A:$G,4,0),""),IF($C7="C2",IFERROR(VLOOKUP($A7,historico_VU!$A:$G,5,0),""),IF($C7="C3",IFERROR(VLOOKUP($A7,historico_VU!$A:$G,6,0),""),IF($C7="C4",IFERROR(VLOOKUP($A7,historico_VU!$A:$G,7,0),""),""))))))),IF($C7="C0",IFERROR(VLOOKUP($A7,historico_VU!$A:$G,3,0),""),IF($C7="C1",IFERROR(VLOOKUP($A7,historico_VU!$A:$G,4,0),""),IF($C7="C2",IFERROR(VLOOKUP($A7,historico_VU!$A:$G,5,0),""),IF($C7="C3",IFERROR(VLOOKUP($A7,historico_VU!$A:$G,6,0),""),IF($C7="C4",IFERROR(VLOOKUP($A7,historico_VU!$A:$G,7,0),""),""))))),F7),2))</f>
        <v/>
      </c>
      <c r="K7" s="103"/>
      <c r="L7" s="85" t="str">
        <f t="shared" si="1"/>
        <v/>
      </c>
      <c r="M7" s="203" t="str">
        <f>IF(A7="","",IF(COUNTIF(itens_Remanesc!$A$2:$A$200,A7)=0,"NOVO ITEM NAO CADASTRADO - CADASTRAR EM itens_Remanesc: ITEM + VU_ORIGINAL (QTD_BASE_ORIGINAL sera 0 automaticamente); depois a data e a quantidade aqui.",IF(COUNTIF(itens_Remanesc!$A$2:$A$200,A7)&gt;1,"ALERTA: ITEM_DUPLICADO",IF(OR(C7="",C7="Fora dos ciclos"),"ALERTA: CICLO_INVALIDO",IF(NOT(ISNUMBER(E7)),"ALERTA: QTD_INVALIDA",IF(AND(LEFT(UPPER(D7),3)&lt;&gt;"ACR",LEFT(UPPER(D7),4)&lt;&gt;"SUPR",LEFT(UPPER(D7),4)&lt;&gt;"DECR"),"ALERTA: TIPO_INVALIDO","OK"))))))</f>
        <v/>
      </c>
    </row>
    <row r="8" spans="1:13" ht="45" customHeight="1" x14ac:dyDescent="0.35">
      <c r="A8" s="103"/>
      <c r="B8" s="186"/>
      <c r="C8" s="99" t="str">
        <f>IF(B8="","",IFERROR(IF(NOT(ISNUMBER(parametros!$C$2)),"Fora dos ciclos",IF(OR(B8&lt;parametros!$C$2,(YEAR(B8)-YEAR(parametros!$C$2))*12+MONTH(B8)-MONTH(parametros!$C$2)&gt;59),"Fora dos ciclos","C"&amp;INT(((YEAR(B8)-YEAR(parametros!$C$2))*12+MONTH(B8)-MONTH(parametros!$C$2))/12))),"Fora dos ciclos"))</f>
        <v/>
      </c>
      <c r="D8" s="103"/>
      <c r="E8" s="104"/>
      <c r="F8" s="105" t="str">
        <f>IF(A8="","",IFERROR(VLOOKUP(A8,itens_Remanesc!$A:$C,3,0),""))</f>
        <v/>
      </c>
      <c r="G8" s="105" t="str">
        <f t="shared" si="0"/>
        <v/>
      </c>
      <c r="H8" s="103"/>
      <c r="I8" s="64" t="str">
        <f>IFERROR(VLOOKUP(C8,parametros!$B:$F,5,0),"")</f>
        <v/>
      </c>
      <c r="J8" s="105" t="str">
        <f>IF(OR(L8="",F8=""),"",ROUND(L8*IF(AND(UPPER(H8)="SIM",ISNUMBER(IF($C8="C0",IFERROR(VLOOKUP($A8,historico_VU!$A:$G,3,0),""),IF($C8="C1",IFERROR(VLOOKUP($A8,historico_VU!$A:$G,4,0),""),IF($C8="C2",IFERROR(VLOOKUP($A8,historico_VU!$A:$G,5,0),""),IF($C8="C3",IFERROR(VLOOKUP($A8,historico_VU!$A:$G,6,0),""),IF($C8="C4",IFERROR(VLOOKUP($A8,historico_VU!$A:$G,7,0),""),""))))))),IF($C8="C0",IFERROR(VLOOKUP($A8,historico_VU!$A:$G,3,0),""),IF($C8="C1",IFERROR(VLOOKUP($A8,historico_VU!$A:$G,4,0),""),IF($C8="C2",IFERROR(VLOOKUP($A8,historico_VU!$A:$G,5,0),""),IF($C8="C3",IFERROR(VLOOKUP($A8,historico_VU!$A:$G,6,0),""),IF($C8="C4",IFERROR(VLOOKUP($A8,historico_VU!$A:$G,7,0),""),""))))),F8),2))</f>
        <v/>
      </c>
      <c r="K8" s="103"/>
      <c r="L8" s="85" t="str">
        <f t="shared" si="1"/>
        <v/>
      </c>
      <c r="M8" s="203" t="str">
        <f>IF(A8="","",IF(COUNTIF(itens_Remanesc!$A$2:$A$200,A8)=0,"NOVO ITEM NAO CADASTRADO - CADASTRAR EM itens_Remanesc: ITEM + VU_ORIGINAL (QTD_BASE_ORIGINAL sera 0 automaticamente); depois a data e a quantidade aqui.",IF(COUNTIF(itens_Remanesc!$A$2:$A$200,A8)&gt;1,"ALERTA: ITEM_DUPLICADO",IF(OR(C8="",C8="Fora dos ciclos"),"ALERTA: CICLO_INVALIDO",IF(NOT(ISNUMBER(E8)),"ALERTA: QTD_INVALIDA",IF(AND(LEFT(UPPER(D8),3)&lt;&gt;"ACR",LEFT(UPPER(D8),4)&lt;&gt;"SUPR",LEFT(UPPER(D8),4)&lt;&gt;"DECR"),"ALERTA: TIPO_INVALIDO","OK"))))))</f>
        <v/>
      </c>
    </row>
    <row r="9" spans="1:13" ht="45" customHeight="1" x14ac:dyDescent="0.35">
      <c r="A9" s="103"/>
      <c r="B9" s="186"/>
      <c r="C9" s="99" t="str">
        <f>IF(B9="","",IFERROR(IF(NOT(ISNUMBER(parametros!$C$2)),"Fora dos ciclos",IF(OR(B9&lt;parametros!$C$2,(YEAR(B9)-YEAR(parametros!$C$2))*12+MONTH(B9)-MONTH(parametros!$C$2)&gt;59),"Fora dos ciclos","C"&amp;INT(((YEAR(B9)-YEAR(parametros!$C$2))*12+MONTH(B9)-MONTH(parametros!$C$2))/12))),"Fora dos ciclos"))</f>
        <v/>
      </c>
      <c r="D9" s="103"/>
      <c r="E9" s="104"/>
      <c r="F9" s="105" t="str">
        <f>IF(A9="","",IFERROR(VLOOKUP(A9,itens_Remanesc!$A:$C,3,0),""))</f>
        <v/>
      </c>
      <c r="G9" s="105" t="str">
        <f t="shared" si="0"/>
        <v/>
      </c>
      <c r="H9" s="103"/>
      <c r="I9" s="64" t="str">
        <f>IFERROR(VLOOKUP(C9,parametros!$B:$F,5,0),"")</f>
        <v/>
      </c>
      <c r="J9" s="105" t="str">
        <f>IF(OR(L9="",F9=""),"",ROUND(L9*IF(AND(UPPER(H9)="SIM",ISNUMBER(IF($C9="C0",IFERROR(VLOOKUP($A9,historico_VU!$A:$G,3,0),""),IF($C9="C1",IFERROR(VLOOKUP($A9,historico_VU!$A:$G,4,0),""),IF($C9="C2",IFERROR(VLOOKUP($A9,historico_VU!$A:$G,5,0),""),IF($C9="C3",IFERROR(VLOOKUP($A9,historico_VU!$A:$G,6,0),""),IF($C9="C4",IFERROR(VLOOKUP($A9,historico_VU!$A:$G,7,0),""),""))))))),IF($C9="C0",IFERROR(VLOOKUP($A9,historico_VU!$A:$G,3,0),""),IF($C9="C1",IFERROR(VLOOKUP($A9,historico_VU!$A:$G,4,0),""),IF($C9="C2",IFERROR(VLOOKUP($A9,historico_VU!$A:$G,5,0),""),IF($C9="C3",IFERROR(VLOOKUP($A9,historico_VU!$A:$G,6,0),""),IF($C9="C4",IFERROR(VLOOKUP($A9,historico_VU!$A:$G,7,0),""),""))))),F9),2))</f>
        <v/>
      </c>
      <c r="K9" s="103"/>
      <c r="L9" s="85" t="str">
        <f t="shared" si="1"/>
        <v/>
      </c>
      <c r="M9" s="203" t="str">
        <f>IF(A9="","",IF(COUNTIF(itens_Remanesc!$A$2:$A$200,A9)=0,"NOVO ITEM NAO CADASTRADO - CADASTRAR EM itens_Remanesc: ITEM + VU_ORIGINAL (QTD_BASE_ORIGINAL sera 0 automaticamente); depois a data e a quantidade aqui.",IF(COUNTIF(itens_Remanesc!$A$2:$A$200,A9)&gt;1,"ALERTA: ITEM_DUPLICADO",IF(OR(C9="",C9="Fora dos ciclos"),"ALERTA: CICLO_INVALIDO",IF(NOT(ISNUMBER(E9)),"ALERTA: QTD_INVALIDA",IF(AND(LEFT(UPPER(D9),3)&lt;&gt;"ACR",LEFT(UPPER(D9),4)&lt;&gt;"SUPR",LEFT(UPPER(D9),4)&lt;&gt;"DECR"),"ALERTA: TIPO_INVALIDO","OK"))))))</f>
        <v/>
      </c>
    </row>
    <row r="10" spans="1:13" ht="45" customHeight="1" x14ac:dyDescent="0.35">
      <c r="A10" s="103"/>
      <c r="B10" s="186"/>
      <c r="C10" s="99" t="str">
        <f>IF(B10="","",IFERROR(IF(NOT(ISNUMBER(parametros!$C$2)),"Fora dos ciclos",IF(OR(B10&lt;parametros!$C$2,(YEAR(B10)-YEAR(parametros!$C$2))*12+MONTH(B10)-MONTH(parametros!$C$2)&gt;59),"Fora dos ciclos","C"&amp;INT(((YEAR(B10)-YEAR(parametros!$C$2))*12+MONTH(B10)-MONTH(parametros!$C$2))/12))),"Fora dos ciclos"))</f>
        <v/>
      </c>
      <c r="D10" s="103"/>
      <c r="E10" s="104"/>
      <c r="F10" s="105" t="str">
        <f>IF(A10="","",IFERROR(VLOOKUP(A10,itens_Remanesc!$A:$C,3,0),""))</f>
        <v/>
      </c>
      <c r="G10" s="105" t="str">
        <f t="shared" si="0"/>
        <v/>
      </c>
      <c r="H10" s="103"/>
      <c r="I10" s="64" t="str">
        <f>IFERROR(VLOOKUP(C10,parametros!$B:$F,5,0),"")</f>
        <v/>
      </c>
      <c r="J10" s="105" t="str">
        <f>IF(OR(L10="",F10=""),"",ROUND(L10*IF(AND(UPPER(H10)="SIM",ISNUMBER(IF($C10="C0",IFERROR(VLOOKUP($A10,historico_VU!$A:$G,3,0),""),IF($C10="C1",IFERROR(VLOOKUP($A10,historico_VU!$A:$G,4,0),""),IF($C10="C2",IFERROR(VLOOKUP($A10,historico_VU!$A:$G,5,0),""),IF($C10="C3",IFERROR(VLOOKUP($A10,historico_VU!$A:$G,6,0),""),IF($C10="C4",IFERROR(VLOOKUP($A10,historico_VU!$A:$G,7,0),""),""))))))),IF($C10="C0",IFERROR(VLOOKUP($A10,historico_VU!$A:$G,3,0),""),IF($C10="C1",IFERROR(VLOOKUP($A10,historico_VU!$A:$G,4,0),""),IF($C10="C2",IFERROR(VLOOKUP($A10,historico_VU!$A:$G,5,0),""),IF($C10="C3",IFERROR(VLOOKUP($A10,historico_VU!$A:$G,6,0),""),IF($C10="C4",IFERROR(VLOOKUP($A10,historico_VU!$A:$G,7,0),""),""))))),F10),2))</f>
        <v/>
      </c>
      <c r="K10" s="103"/>
      <c r="L10" s="85" t="str">
        <f t="shared" si="1"/>
        <v/>
      </c>
      <c r="M10" s="203" t="str">
        <f>IF(A10="","",IF(COUNTIF(itens_Remanesc!$A$2:$A$200,A10)=0,"NOVO ITEM NAO CADASTRADO - CADASTRAR EM itens_Remanesc: ITEM + VU_ORIGINAL (QTD_BASE_ORIGINAL sera 0 automaticamente); depois a data e a quantidade aqui.",IF(COUNTIF(itens_Remanesc!$A$2:$A$200,A10)&gt;1,"ALERTA: ITEM_DUPLICADO",IF(OR(C10="",C10="Fora dos ciclos"),"ALERTA: CICLO_INVALIDO",IF(NOT(ISNUMBER(E10)),"ALERTA: QTD_INVALIDA",IF(AND(LEFT(UPPER(D10),3)&lt;&gt;"ACR",LEFT(UPPER(D10),4)&lt;&gt;"SUPR",LEFT(UPPER(D10),4)&lt;&gt;"DECR"),"ALERTA: TIPO_INVALIDO","OK"))))))</f>
        <v/>
      </c>
    </row>
    <row r="11" spans="1:13" ht="45" customHeight="1" x14ac:dyDescent="0.35">
      <c r="A11" s="103"/>
      <c r="B11" s="186"/>
      <c r="C11" s="99" t="str">
        <f>IF(B11="","",IFERROR(IF(NOT(ISNUMBER(parametros!$C$2)),"Fora dos ciclos",IF(OR(B11&lt;parametros!$C$2,(YEAR(B11)-YEAR(parametros!$C$2))*12+MONTH(B11)-MONTH(parametros!$C$2)&gt;59),"Fora dos ciclos","C"&amp;INT(((YEAR(B11)-YEAR(parametros!$C$2))*12+MONTH(B11)-MONTH(parametros!$C$2))/12))),"Fora dos ciclos"))</f>
        <v/>
      </c>
      <c r="D11" s="103"/>
      <c r="E11" s="104"/>
      <c r="F11" s="105" t="str">
        <f>IF(A11="","",IFERROR(VLOOKUP(A11,itens_Remanesc!$A:$C,3,0),""))</f>
        <v/>
      </c>
      <c r="G11" s="105" t="str">
        <f t="shared" si="0"/>
        <v/>
      </c>
      <c r="H11" s="103"/>
      <c r="I11" s="64" t="str">
        <f>IFERROR(VLOOKUP(C11,parametros!$B:$F,5,0),"")</f>
        <v/>
      </c>
      <c r="J11" s="105" t="str">
        <f>IF(OR(L11="",F11=""),"",ROUND(L11*IF(AND(UPPER(H11)="SIM",ISNUMBER(IF($C11="C0",IFERROR(VLOOKUP($A11,historico_VU!$A:$G,3,0),""),IF($C11="C1",IFERROR(VLOOKUP($A11,historico_VU!$A:$G,4,0),""),IF($C11="C2",IFERROR(VLOOKUP($A11,historico_VU!$A:$G,5,0),""),IF($C11="C3",IFERROR(VLOOKUP($A11,historico_VU!$A:$G,6,0),""),IF($C11="C4",IFERROR(VLOOKUP($A11,historico_VU!$A:$G,7,0),""),""))))))),IF($C11="C0",IFERROR(VLOOKUP($A11,historico_VU!$A:$G,3,0),""),IF($C11="C1",IFERROR(VLOOKUP($A11,historico_VU!$A:$G,4,0),""),IF($C11="C2",IFERROR(VLOOKUP($A11,historico_VU!$A:$G,5,0),""),IF($C11="C3",IFERROR(VLOOKUP($A11,historico_VU!$A:$G,6,0),""),IF($C11="C4",IFERROR(VLOOKUP($A11,historico_VU!$A:$G,7,0),""),""))))),F11),2))</f>
        <v/>
      </c>
      <c r="K11" s="103"/>
      <c r="L11" s="85" t="str">
        <f t="shared" si="1"/>
        <v/>
      </c>
      <c r="M11" s="203" t="str">
        <f>IF(A11="","",IF(COUNTIF(itens_Remanesc!$A$2:$A$200,A11)=0,"NOVO ITEM NAO CADASTRADO - CADASTRAR EM itens_Remanesc: ITEM + VU_ORIGINAL (QTD_BASE_ORIGINAL sera 0 automaticamente); depois a data e a quantidade aqui.",IF(COUNTIF(itens_Remanesc!$A$2:$A$200,A11)&gt;1,"ALERTA: ITEM_DUPLICADO",IF(OR(C11="",C11="Fora dos ciclos"),"ALERTA: CICLO_INVALIDO",IF(NOT(ISNUMBER(E11)),"ALERTA: QTD_INVALIDA",IF(AND(LEFT(UPPER(D11),3)&lt;&gt;"ACR",LEFT(UPPER(D11),4)&lt;&gt;"SUPR",LEFT(UPPER(D11),4)&lt;&gt;"DECR"),"ALERTA: TIPO_INVALIDO","OK"))))))</f>
        <v/>
      </c>
    </row>
    <row r="12" spans="1:13" ht="45" customHeight="1" x14ac:dyDescent="0.35">
      <c r="A12" s="103"/>
      <c r="B12" s="186"/>
      <c r="C12" s="99" t="str">
        <f>IF(B12="","",IFERROR(IF(NOT(ISNUMBER(parametros!$C$2)),"Fora dos ciclos",IF(OR(B12&lt;parametros!$C$2,(YEAR(B12)-YEAR(parametros!$C$2))*12+MONTH(B12)-MONTH(parametros!$C$2)&gt;59),"Fora dos ciclos","C"&amp;INT(((YEAR(B12)-YEAR(parametros!$C$2))*12+MONTH(B12)-MONTH(parametros!$C$2))/12))),"Fora dos ciclos"))</f>
        <v/>
      </c>
      <c r="D12" s="103"/>
      <c r="E12" s="104"/>
      <c r="F12" s="105" t="str">
        <f>IF(A12="","",IFERROR(VLOOKUP(A12,itens_Remanesc!$A:$C,3,0),""))</f>
        <v/>
      </c>
      <c r="G12" s="105" t="str">
        <f t="shared" si="0"/>
        <v/>
      </c>
      <c r="H12" s="103"/>
      <c r="I12" s="64" t="str">
        <f>IFERROR(VLOOKUP(C12,parametros!$B:$F,5,0),"")</f>
        <v/>
      </c>
      <c r="J12" s="105" t="str">
        <f>IF(OR(L12="",F12=""),"",ROUND(L12*IF(AND(UPPER(H12)="SIM",ISNUMBER(IF($C12="C0",IFERROR(VLOOKUP($A12,historico_VU!$A:$G,3,0),""),IF($C12="C1",IFERROR(VLOOKUP($A12,historico_VU!$A:$G,4,0),""),IF($C12="C2",IFERROR(VLOOKUP($A12,historico_VU!$A:$G,5,0),""),IF($C12="C3",IFERROR(VLOOKUP($A12,historico_VU!$A:$G,6,0),""),IF($C12="C4",IFERROR(VLOOKUP($A12,historico_VU!$A:$G,7,0),""),""))))))),IF($C12="C0",IFERROR(VLOOKUP($A12,historico_VU!$A:$G,3,0),""),IF($C12="C1",IFERROR(VLOOKUP($A12,historico_VU!$A:$G,4,0),""),IF($C12="C2",IFERROR(VLOOKUP($A12,historico_VU!$A:$G,5,0),""),IF($C12="C3",IFERROR(VLOOKUP($A12,historico_VU!$A:$G,6,0),""),IF($C12="C4",IFERROR(VLOOKUP($A12,historico_VU!$A:$G,7,0),""),""))))),F12),2))</f>
        <v/>
      </c>
      <c r="K12" s="103"/>
      <c r="L12" s="85" t="str">
        <f t="shared" si="1"/>
        <v/>
      </c>
      <c r="M12" s="203" t="str">
        <f>IF(A12="","",IF(COUNTIF(itens_Remanesc!$A$2:$A$200,A12)=0,"NOVO ITEM NAO CADASTRADO - CADASTRAR EM itens_Remanesc: ITEM + VU_ORIGINAL (QTD_BASE_ORIGINAL sera 0 automaticamente); depois a data e a quantidade aqui.",IF(COUNTIF(itens_Remanesc!$A$2:$A$200,A12)&gt;1,"ALERTA: ITEM_DUPLICADO",IF(OR(C12="",C12="Fora dos ciclos"),"ALERTA: CICLO_INVALIDO",IF(NOT(ISNUMBER(E12)),"ALERTA: QTD_INVALIDA",IF(AND(LEFT(UPPER(D12),3)&lt;&gt;"ACR",LEFT(UPPER(D12),4)&lt;&gt;"SUPR",LEFT(UPPER(D12),4)&lt;&gt;"DECR"),"ALERTA: TIPO_INVALIDO","OK"))))))</f>
        <v/>
      </c>
    </row>
    <row r="13" spans="1:13" ht="45" customHeight="1" x14ac:dyDescent="0.35">
      <c r="A13" s="103"/>
      <c r="B13" s="186"/>
      <c r="C13" s="99" t="str">
        <f>IF(B13="","",IFERROR(IF(NOT(ISNUMBER(parametros!$C$2)),"Fora dos ciclos",IF(OR(B13&lt;parametros!$C$2,(YEAR(B13)-YEAR(parametros!$C$2))*12+MONTH(B13)-MONTH(parametros!$C$2)&gt;59),"Fora dos ciclos","C"&amp;INT(((YEAR(B13)-YEAR(parametros!$C$2))*12+MONTH(B13)-MONTH(parametros!$C$2))/12))),"Fora dos ciclos"))</f>
        <v/>
      </c>
      <c r="D13" s="103"/>
      <c r="E13" s="104"/>
      <c r="F13" s="105" t="str">
        <f>IF(A13="","",IFERROR(VLOOKUP(A13,itens_Remanesc!$A:$C,3,0),""))</f>
        <v/>
      </c>
      <c r="G13" s="105" t="str">
        <f t="shared" si="0"/>
        <v/>
      </c>
      <c r="H13" s="103"/>
      <c r="I13" s="64" t="str">
        <f>IFERROR(VLOOKUP(C13,parametros!$B:$F,5,0),"")</f>
        <v/>
      </c>
      <c r="J13" s="105" t="str">
        <f>IF(OR(L13="",F13=""),"",ROUND(L13*IF(AND(UPPER(H13)="SIM",ISNUMBER(IF($C13="C0",IFERROR(VLOOKUP($A13,historico_VU!$A:$G,3,0),""),IF($C13="C1",IFERROR(VLOOKUP($A13,historico_VU!$A:$G,4,0),""),IF($C13="C2",IFERROR(VLOOKUP($A13,historico_VU!$A:$G,5,0),""),IF($C13="C3",IFERROR(VLOOKUP($A13,historico_VU!$A:$G,6,0),""),IF($C13="C4",IFERROR(VLOOKUP($A13,historico_VU!$A:$G,7,0),""),""))))))),IF($C13="C0",IFERROR(VLOOKUP($A13,historico_VU!$A:$G,3,0),""),IF($C13="C1",IFERROR(VLOOKUP($A13,historico_VU!$A:$G,4,0),""),IF($C13="C2",IFERROR(VLOOKUP($A13,historico_VU!$A:$G,5,0),""),IF($C13="C3",IFERROR(VLOOKUP($A13,historico_VU!$A:$G,6,0),""),IF($C13="C4",IFERROR(VLOOKUP($A13,historico_VU!$A:$G,7,0),""),""))))),F13),2))</f>
        <v/>
      </c>
      <c r="K13" s="103"/>
      <c r="L13" s="85" t="str">
        <f t="shared" si="1"/>
        <v/>
      </c>
      <c r="M13" s="203" t="str">
        <f>IF(A13="","",IF(COUNTIF(itens_Remanesc!$A$2:$A$200,A13)=0,"NOVO ITEM NAO CADASTRADO - CADASTRAR EM itens_Remanesc: ITEM + VU_ORIGINAL (QTD_BASE_ORIGINAL sera 0 automaticamente); depois a data e a quantidade aqui.",IF(COUNTIF(itens_Remanesc!$A$2:$A$200,A13)&gt;1,"ALERTA: ITEM_DUPLICADO",IF(OR(C13="",C13="Fora dos ciclos"),"ALERTA: CICLO_INVALIDO",IF(NOT(ISNUMBER(E13)),"ALERTA: QTD_INVALIDA",IF(AND(LEFT(UPPER(D13),3)&lt;&gt;"ACR",LEFT(UPPER(D13),4)&lt;&gt;"SUPR",LEFT(UPPER(D13),4)&lt;&gt;"DECR"),"ALERTA: TIPO_INVALIDO","OK"))))))</f>
        <v/>
      </c>
    </row>
    <row r="14" spans="1:13" ht="45" customHeight="1" x14ac:dyDescent="0.35">
      <c r="A14" s="103"/>
      <c r="B14" s="186"/>
      <c r="C14" s="99" t="str">
        <f>IF(B14="","",IFERROR(IF(NOT(ISNUMBER(parametros!$C$2)),"Fora dos ciclos",IF(OR(B14&lt;parametros!$C$2,(YEAR(B14)-YEAR(parametros!$C$2))*12+MONTH(B14)-MONTH(parametros!$C$2)&gt;59),"Fora dos ciclos","C"&amp;INT(((YEAR(B14)-YEAR(parametros!$C$2))*12+MONTH(B14)-MONTH(parametros!$C$2))/12))),"Fora dos ciclos"))</f>
        <v/>
      </c>
      <c r="D14" s="103"/>
      <c r="E14" s="104"/>
      <c r="F14" s="105" t="str">
        <f>IF(A14="","",IFERROR(VLOOKUP(A14,itens_Remanesc!$A:$C,3,0),""))</f>
        <v/>
      </c>
      <c r="G14" s="105" t="str">
        <f t="shared" si="0"/>
        <v/>
      </c>
      <c r="H14" s="103"/>
      <c r="I14" s="64" t="str">
        <f>IFERROR(VLOOKUP(C14,parametros!$B:$F,5,0),"")</f>
        <v/>
      </c>
      <c r="J14" s="105" t="str">
        <f>IF(OR(L14="",F14=""),"",ROUND(L14*IF(AND(UPPER(H14)="SIM",ISNUMBER(IF($C14="C0",IFERROR(VLOOKUP($A14,historico_VU!$A:$G,3,0),""),IF($C14="C1",IFERROR(VLOOKUP($A14,historico_VU!$A:$G,4,0),""),IF($C14="C2",IFERROR(VLOOKUP($A14,historico_VU!$A:$G,5,0),""),IF($C14="C3",IFERROR(VLOOKUP($A14,historico_VU!$A:$G,6,0),""),IF($C14="C4",IFERROR(VLOOKUP($A14,historico_VU!$A:$G,7,0),""),""))))))),IF($C14="C0",IFERROR(VLOOKUP($A14,historico_VU!$A:$G,3,0),""),IF($C14="C1",IFERROR(VLOOKUP($A14,historico_VU!$A:$G,4,0),""),IF($C14="C2",IFERROR(VLOOKUP($A14,historico_VU!$A:$G,5,0),""),IF($C14="C3",IFERROR(VLOOKUP($A14,historico_VU!$A:$G,6,0),""),IF($C14="C4",IFERROR(VLOOKUP($A14,historico_VU!$A:$G,7,0),""),""))))),F14),2))</f>
        <v/>
      </c>
      <c r="K14" s="103"/>
      <c r="L14" s="85" t="str">
        <f t="shared" si="1"/>
        <v/>
      </c>
      <c r="M14" s="203" t="str">
        <f>IF(A14="","",IF(COUNTIF(itens_Remanesc!$A$2:$A$200,A14)=0,"NOVO ITEM NAO CADASTRADO - CADASTRAR EM itens_Remanesc: ITEM + VU_ORIGINAL (QTD_BASE_ORIGINAL sera 0 automaticamente); depois a data e a quantidade aqui.",IF(COUNTIF(itens_Remanesc!$A$2:$A$200,A14)&gt;1,"ALERTA: ITEM_DUPLICADO",IF(OR(C14="",C14="Fora dos ciclos"),"ALERTA: CICLO_INVALIDO",IF(NOT(ISNUMBER(E14)),"ALERTA: QTD_INVALIDA",IF(AND(LEFT(UPPER(D14),3)&lt;&gt;"ACR",LEFT(UPPER(D14),4)&lt;&gt;"SUPR",LEFT(UPPER(D14),4)&lt;&gt;"DECR"),"ALERTA: TIPO_INVALIDO","OK"))))))</f>
        <v/>
      </c>
    </row>
    <row r="15" spans="1:13" ht="45" customHeight="1" x14ac:dyDescent="0.35">
      <c r="A15" s="103"/>
      <c r="B15" s="186"/>
      <c r="C15" s="99" t="str">
        <f>IF(B15="","",IFERROR(IF(NOT(ISNUMBER(parametros!$C$2)),"Fora dos ciclos",IF(OR(B15&lt;parametros!$C$2,(YEAR(B15)-YEAR(parametros!$C$2))*12+MONTH(B15)-MONTH(parametros!$C$2)&gt;59),"Fora dos ciclos","C"&amp;INT(((YEAR(B15)-YEAR(parametros!$C$2))*12+MONTH(B15)-MONTH(parametros!$C$2))/12))),"Fora dos ciclos"))</f>
        <v/>
      </c>
      <c r="D15" s="103"/>
      <c r="E15" s="104"/>
      <c r="F15" s="105" t="str">
        <f>IF(A15="","",IFERROR(VLOOKUP(A15,itens_Remanesc!$A:$C,3,0),""))</f>
        <v/>
      </c>
      <c r="G15" s="105" t="str">
        <f t="shared" si="0"/>
        <v/>
      </c>
      <c r="H15" s="103"/>
      <c r="I15" s="64" t="str">
        <f>IFERROR(VLOOKUP(C15,parametros!$B:$F,5,0),"")</f>
        <v/>
      </c>
      <c r="J15" s="105" t="str">
        <f>IF(OR(L15="",F15=""),"",ROUND(L15*IF(AND(UPPER(H15)="SIM",ISNUMBER(IF($C15="C0",IFERROR(VLOOKUP($A15,historico_VU!$A:$G,3,0),""),IF($C15="C1",IFERROR(VLOOKUP($A15,historico_VU!$A:$G,4,0),""),IF($C15="C2",IFERROR(VLOOKUP($A15,historico_VU!$A:$G,5,0),""),IF($C15="C3",IFERROR(VLOOKUP($A15,historico_VU!$A:$G,6,0),""),IF($C15="C4",IFERROR(VLOOKUP($A15,historico_VU!$A:$G,7,0),""),""))))))),IF($C15="C0",IFERROR(VLOOKUP($A15,historico_VU!$A:$G,3,0),""),IF($C15="C1",IFERROR(VLOOKUP($A15,historico_VU!$A:$G,4,0),""),IF($C15="C2",IFERROR(VLOOKUP($A15,historico_VU!$A:$G,5,0),""),IF($C15="C3",IFERROR(VLOOKUP($A15,historico_VU!$A:$G,6,0),""),IF($C15="C4",IFERROR(VLOOKUP($A15,historico_VU!$A:$G,7,0),""),""))))),F15),2))</f>
        <v/>
      </c>
      <c r="K15" s="103"/>
      <c r="L15" s="85" t="str">
        <f t="shared" si="1"/>
        <v/>
      </c>
      <c r="M15" s="203" t="str">
        <f>IF(A15="","",IF(COUNTIF(itens_Remanesc!$A$2:$A$200,A15)=0,"NOVO ITEM NAO CADASTRADO - CADASTRAR EM itens_Remanesc: ITEM + VU_ORIGINAL (QTD_BASE_ORIGINAL sera 0 automaticamente); depois a data e a quantidade aqui.",IF(COUNTIF(itens_Remanesc!$A$2:$A$200,A15)&gt;1,"ALERTA: ITEM_DUPLICADO",IF(OR(C15="",C15="Fora dos ciclos"),"ALERTA: CICLO_INVALIDO",IF(NOT(ISNUMBER(E15)),"ALERTA: QTD_INVALIDA",IF(AND(LEFT(UPPER(D15),3)&lt;&gt;"ACR",LEFT(UPPER(D15),4)&lt;&gt;"SUPR",LEFT(UPPER(D15),4)&lt;&gt;"DECR"),"ALERTA: TIPO_INVALIDO","OK"))))))</f>
        <v/>
      </c>
    </row>
    <row r="16" spans="1:13" ht="45" customHeight="1" x14ac:dyDescent="0.35">
      <c r="A16" s="103"/>
      <c r="B16" s="186"/>
      <c r="C16" s="99" t="str">
        <f>IF(B16="","",IFERROR(IF(NOT(ISNUMBER(parametros!$C$2)),"Fora dos ciclos",IF(OR(B16&lt;parametros!$C$2,(YEAR(B16)-YEAR(parametros!$C$2))*12+MONTH(B16)-MONTH(parametros!$C$2)&gt;59),"Fora dos ciclos","C"&amp;INT(((YEAR(B16)-YEAR(parametros!$C$2))*12+MONTH(B16)-MONTH(parametros!$C$2))/12))),"Fora dos ciclos"))</f>
        <v/>
      </c>
      <c r="D16" s="103"/>
      <c r="E16" s="104"/>
      <c r="F16" s="105" t="str">
        <f>IF(A16="","",IFERROR(VLOOKUP(A16,itens_Remanesc!$A:$C,3,0),""))</f>
        <v/>
      </c>
      <c r="G16" s="105" t="str">
        <f t="shared" si="0"/>
        <v/>
      </c>
      <c r="H16" s="103"/>
      <c r="I16" s="64" t="str">
        <f>IFERROR(VLOOKUP(C16,parametros!$B:$F,5,0),"")</f>
        <v/>
      </c>
      <c r="J16" s="105" t="str">
        <f>IF(OR(L16="",F16=""),"",ROUND(L16*IF(AND(UPPER(H16)="SIM",ISNUMBER(IF($C16="C0",IFERROR(VLOOKUP($A16,historico_VU!$A:$G,3,0),""),IF($C16="C1",IFERROR(VLOOKUP($A16,historico_VU!$A:$G,4,0),""),IF($C16="C2",IFERROR(VLOOKUP($A16,historico_VU!$A:$G,5,0),""),IF($C16="C3",IFERROR(VLOOKUP($A16,historico_VU!$A:$G,6,0),""),IF($C16="C4",IFERROR(VLOOKUP($A16,historico_VU!$A:$G,7,0),""),""))))))),IF($C16="C0",IFERROR(VLOOKUP($A16,historico_VU!$A:$G,3,0),""),IF($C16="C1",IFERROR(VLOOKUP($A16,historico_VU!$A:$G,4,0),""),IF($C16="C2",IFERROR(VLOOKUP($A16,historico_VU!$A:$G,5,0),""),IF($C16="C3",IFERROR(VLOOKUP($A16,historico_VU!$A:$G,6,0),""),IF($C16="C4",IFERROR(VLOOKUP($A16,historico_VU!$A:$G,7,0),""),""))))),F16),2))</f>
        <v/>
      </c>
      <c r="K16" s="103"/>
      <c r="L16" s="85" t="str">
        <f t="shared" si="1"/>
        <v/>
      </c>
      <c r="M16" s="203" t="str">
        <f>IF(A16="","",IF(COUNTIF(itens_Remanesc!$A$2:$A$200,A16)=0,"NOVO ITEM NAO CADASTRADO - CADASTRAR EM itens_Remanesc: ITEM + VU_ORIGINAL (QTD_BASE_ORIGINAL sera 0 automaticamente); depois a data e a quantidade aqui.",IF(COUNTIF(itens_Remanesc!$A$2:$A$200,A16)&gt;1,"ALERTA: ITEM_DUPLICADO",IF(OR(C16="",C16="Fora dos ciclos"),"ALERTA: CICLO_INVALIDO",IF(NOT(ISNUMBER(E16)),"ALERTA: QTD_INVALIDA",IF(AND(LEFT(UPPER(D16),3)&lt;&gt;"ACR",LEFT(UPPER(D16),4)&lt;&gt;"SUPR",LEFT(UPPER(D16),4)&lt;&gt;"DECR"),"ALERTA: TIPO_INVALIDO","OK"))))))</f>
        <v/>
      </c>
    </row>
    <row r="17" spans="1:13" ht="45" customHeight="1" x14ac:dyDescent="0.35">
      <c r="A17" s="103"/>
      <c r="B17" s="186"/>
      <c r="C17" s="99" t="str">
        <f>IF(B17="","",IFERROR(IF(NOT(ISNUMBER(parametros!$C$2)),"Fora dos ciclos",IF(OR(B17&lt;parametros!$C$2,(YEAR(B17)-YEAR(parametros!$C$2))*12+MONTH(B17)-MONTH(parametros!$C$2)&gt;59),"Fora dos ciclos","C"&amp;INT(((YEAR(B17)-YEAR(parametros!$C$2))*12+MONTH(B17)-MONTH(parametros!$C$2))/12))),"Fora dos ciclos"))</f>
        <v/>
      </c>
      <c r="D17" s="103"/>
      <c r="E17" s="104"/>
      <c r="F17" s="105" t="str">
        <f>IF(A17="","",IFERROR(VLOOKUP(A17,itens_Remanesc!$A:$C,3,0),""))</f>
        <v/>
      </c>
      <c r="G17" s="105" t="str">
        <f t="shared" si="0"/>
        <v/>
      </c>
      <c r="H17" s="103"/>
      <c r="I17" s="64" t="str">
        <f>IFERROR(VLOOKUP(C17,parametros!$B:$F,5,0),"")</f>
        <v/>
      </c>
      <c r="J17" s="105" t="str">
        <f>IF(OR(L17="",F17=""),"",ROUND(L17*IF(AND(UPPER(H17)="SIM",ISNUMBER(IF($C17="C0",IFERROR(VLOOKUP($A17,historico_VU!$A:$G,3,0),""),IF($C17="C1",IFERROR(VLOOKUP($A17,historico_VU!$A:$G,4,0),""),IF($C17="C2",IFERROR(VLOOKUP($A17,historico_VU!$A:$G,5,0),""),IF($C17="C3",IFERROR(VLOOKUP($A17,historico_VU!$A:$G,6,0),""),IF($C17="C4",IFERROR(VLOOKUP($A17,historico_VU!$A:$G,7,0),""),""))))))),IF($C17="C0",IFERROR(VLOOKUP($A17,historico_VU!$A:$G,3,0),""),IF($C17="C1",IFERROR(VLOOKUP($A17,historico_VU!$A:$G,4,0),""),IF($C17="C2",IFERROR(VLOOKUP($A17,historico_VU!$A:$G,5,0),""),IF($C17="C3",IFERROR(VLOOKUP($A17,historico_VU!$A:$G,6,0),""),IF($C17="C4",IFERROR(VLOOKUP($A17,historico_VU!$A:$G,7,0),""),""))))),F17),2))</f>
        <v/>
      </c>
      <c r="K17" s="103"/>
      <c r="L17" s="85" t="str">
        <f t="shared" si="1"/>
        <v/>
      </c>
      <c r="M17" s="203" t="str">
        <f>IF(A17="","",IF(COUNTIF(itens_Remanesc!$A$2:$A$200,A17)=0,"NOVO ITEM NAO CADASTRADO - CADASTRAR EM itens_Remanesc: ITEM + VU_ORIGINAL (QTD_BASE_ORIGINAL sera 0 automaticamente); depois a data e a quantidade aqui.",IF(COUNTIF(itens_Remanesc!$A$2:$A$200,A17)&gt;1,"ALERTA: ITEM_DUPLICADO",IF(OR(C17="",C17="Fora dos ciclos"),"ALERTA: CICLO_INVALIDO",IF(NOT(ISNUMBER(E17)),"ALERTA: QTD_INVALIDA",IF(AND(LEFT(UPPER(D17),3)&lt;&gt;"ACR",LEFT(UPPER(D17),4)&lt;&gt;"SUPR",LEFT(UPPER(D17),4)&lt;&gt;"DECR"),"ALERTA: TIPO_INVALIDO","OK"))))))</f>
        <v/>
      </c>
    </row>
    <row r="18" spans="1:13" ht="45" customHeight="1" x14ac:dyDescent="0.35">
      <c r="A18" s="103"/>
      <c r="B18" s="186"/>
      <c r="C18" s="99" t="str">
        <f>IF(B18="","",IFERROR(IF(NOT(ISNUMBER(parametros!$C$2)),"Fora dos ciclos",IF(OR(B18&lt;parametros!$C$2,(YEAR(B18)-YEAR(parametros!$C$2))*12+MONTH(B18)-MONTH(parametros!$C$2)&gt;59),"Fora dos ciclos","C"&amp;INT(((YEAR(B18)-YEAR(parametros!$C$2))*12+MONTH(B18)-MONTH(parametros!$C$2))/12))),"Fora dos ciclos"))</f>
        <v/>
      </c>
      <c r="D18" s="103"/>
      <c r="E18" s="104"/>
      <c r="F18" s="105" t="str">
        <f>IF(A18="","",IFERROR(VLOOKUP(A18,itens_Remanesc!$A:$C,3,0),""))</f>
        <v/>
      </c>
      <c r="G18" s="105" t="str">
        <f t="shared" si="0"/>
        <v/>
      </c>
      <c r="H18" s="103"/>
      <c r="I18" s="64" t="str">
        <f>IFERROR(VLOOKUP(C18,parametros!$B:$F,5,0),"")</f>
        <v/>
      </c>
      <c r="J18" s="105" t="str">
        <f>IF(OR(L18="",F18=""),"",ROUND(L18*IF(AND(UPPER(H18)="SIM",ISNUMBER(IF($C18="C0",IFERROR(VLOOKUP($A18,historico_VU!$A:$G,3,0),""),IF($C18="C1",IFERROR(VLOOKUP($A18,historico_VU!$A:$G,4,0),""),IF($C18="C2",IFERROR(VLOOKUP($A18,historico_VU!$A:$G,5,0),""),IF($C18="C3",IFERROR(VLOOKUP($A18,historico_VU!$A:$G,6,0),""),IF($C18="C4",IFERROR(VLOOKUP($A18,historico_VU!$A:$G,7,0),""),""))))))),IF($C18="C0",IFERROR(VLOOKUP($A18,historico_VU!$A:$G,3,0),""),IF($C18="C1",IFERROR(VLOOKUP($A18,historico_VU!$A:$G,4,0),""),IF($C18="C2",IFERROR(VLOOKUP($A18,historico_VU!$A:$G,5,0),""),IF($C18="C3",IFERROR(VLOOKUP($A18,historico_VU!$A:$G,6,0),""),IF($C18="C4",IFERROR(VLOOKUP($A18,historico_VU!$A:$G,7,0),""),""))))),F18),2))</f>
        <v/>
      </c>
      <c r="K18" s="103"/>
      <c r="L18" s="85" t="str">
        <f t="shared" si="1"/>
        <v/>
      </c>
      <c r="M18" s="203" t="str">
        <f>IF(A18="","",IF(COUNTIF(itens_Remanesc!$A$2:$A$200,A18)=0,"NOVO ITEM NAO CADASTRADO - CADASTRAR EM itens_Remanesc: ITEM + VU_ORIGINAL (QTD_BASE_ORIGINAL sera 0 automaticamente); depois a data e a quantidade aqui.",IF(COUNTIF(itens_Remanesc!$A$2:$A$200,A18)&gt;1,"ALERTA: ITEM_DUPLICADO",IF(OR(C18="",C18="Fora dos ciclos"),"ALERTA: CICLO_INVALIDO",IF(NOT(ISNUMBER(E18)),"ALERTA: QTD_INVALIDA",IF(AND(LEFT(UPPER(D18),3)&lt;&gt;"ACR",LEFT(UPPER(D18),4)&lt;&gt;"SUPR",LEFT(UPPER(D18),4)&lt;&gt;"DECR"),"ALERTA: TIPO_INVALIDO","OK"))))))</f>
        <v/>
      </c>
    </row>
    <row r="19" spans="1:13" ht="45" customHeight="1" x14ac:dyDescent="0.35">
      <c r="A19" s="103"/>
      <c r="B19" s="186"/>
      <c r="C19" s="99" t="str">
        <f>IF(B19="","",IFERROR(IF(NOT(ISNUMBER(parametros!$C$2)),"Fora dos ciclos",IF(OR(B19&lt;parametros!$C$2,(YEAR(B19)-YEAR(parametros!$C$2))*12+MONTH(B19)-MONTH(parametros!$C$2)&gt;59),"Fora dos ciclos","C"&amp;INT(((YEAR(B19)-YEAR(parametros!$C$2))*12+MONTH(B19)-MONTH(parametros!$C$2))/12))),"Fora dos ciclos"))</f>
        <v/>
      </c>
      <c r="D19" s="103"/>
      <c r="E19" s="104"/>
      <c r="F19" s="105" t="str">
        <f>IF(A19="","",IFERROR(VLOOKUP(A19,itens_Remanesc!$A:$C,3,0),""))</f>
        <v/>
      </c>
      <c r="G19" s="105" t="str">
        <f t="shared" si="0"/>
        <v/>
      </c>
      <c r="H19" s="103"/>
      <c r="I19" s="64" t="str">
        <f>IFERROR(VLOOKUP(C19,parametros!$B:$F,5,0),"")</f>
        <v/>
      </c>
      <c r="J19" s="105" t="str">
        <f>IF(OR(L19="",F19=""),"",ROUND(L19*IF(AND(UPPER(H19)="SIM",ISNUMBER(IF($C19="C0",IFERROR(VLOOKUP($A19,historico_VU!$A:$G,3,0),""),IF($C19="C1",IFERROR(VLOOKUP($A19,historico_VU!$A:$G,4,0),""),IF($C19="C2",IFERROR(VLOOKUP($A19,historico_VU!$A:$G,5,0),""),IF($C19="C3",IFERROR(VLOOKUP($A19,historico_VU!$A:$G,6,0),""),IF($C19="C4",IFERROR(VLOOKUP($A19,historico_VU!$A:$G,7,0),""),""))))))),IF($C19="C0",IFERROR(VLOOKUP($A19,historico_VU!$A:$G,3,0),""),IF($C19="C1",IFERROR(VLOOKUP($A19,historico_VU!$A:$G,4,0),""),IF($C19="C2",IFERROR(VLOOKUP($A19,historico_VU!$A:$G,5,0),""),IF($C19="C3",IFERROR(VLOOKUP($A19,historico_VU!$A:$G,6,0),""),IF($C19="C4",IFERROR(VLOOKUP($A19,historico_VU!$A:$G,7,0),""),""))))),F19),2))</f>
        <v/>
      </c>
      <c r="K19" s="103"/>
      <c r="L19" s="85" t="str">
        <f t="shared" si="1"/>
        <v/>
      </c>
      <c r="M19" s="203" t="str">
        <f>IF(A19="","",IF(COUNTIF(itens_Remanesc!$A$2:$A$200,A19)=0,"NOVO ITEM NAO CADASTRADO - CADASTRAR EM itens_Remanesc: ITEM + VU_ORIGINAL (QTD_BASE_ORIGINAL sera 0 automaticamente); depois a data e a quantidade aqui.",IF(COUNTIF(itens_Remanesc!$A$2:$A$200,A19)&gt;1,"ALERTA: ITEM_DUPLICADO",IF(OR(C19="",C19="Fora dos ciclos"),"ALERTA: CICLO_INVALIDO",IF(NOT(ISNUMBER(E19)),"ALERTA: QTD_INVALIDA",IF(AND(LEFT(UPPER(D19),3)&lt;&gt;"ACR",LEFT(UPPER(D19),4)&lt;&gt;"SUPR",LEFT(UPPER(D19),4)&lt;&gt;"DECR"),"ALERTA: TIPO_INVALIDO","OK"))))))</f>
        <v/>
      </c>
    </row>
    <row r="20" spans="1:13" ht="45" customHeight="1" x14ac:dyDescent="0.35">
      <c r="A20" s="103"/>
      <c r="B20" s="186"/>
      <c r="C20" s="99" t="str">
        <f>IF(B20="","",IFERROR(IF(NOT(ISNUMBER(parametros!$C$2)),"Fora dos ciclos",IF(OR(B20&lt;parametros!$C$2,(YEAR(B20)-YEAR(parametros!$C$2))*12+MONTH(B20)-MONTH(parametros!$C$2)&gt;59),"Fora dos ciclos","C"&amp;INT(((YEAR(B20)-YEAR(parametros!$C$2))*12+MONTH(B20)-MONTH(parametros!$C$2))/12))),"Fora dos ciclos"))</f>
        <v/>
      </c>
      <c r="D20" s="103"/>
      <c r="E20" s="104"/>
      <c r="F20" s="105" t="str">
        <f>IF(A20="","",IFERROR(VLOOKUP(A20,itens_Remanesc!$A:$C,3,0),""))</f>
        <v/>
      </c>
      <c r="G20" s="105" t="str">
        <f t="shared" si="0"/>
        <v/>
      </c>
      <c r="H20" s="103"/>
      <c r="I20" s="64" t="str">
        <f>IFERROR(VLOOKUP(C20,parametros!$B:$F,5,0),"")</f>
        <v/>
      </c>
      <c r="J20" s="105" t="str">
        <f>IF(OR(L20="",F20=""),"",ROUND(L20*IF(AND(UPPER(H20)="SIM",ISNUMBER(IF($C20="C0",IFERROR(VLOOKUP($A20,historico_VU!$A:$G,3,0),""),IF($C20="C1",IFERROR(VLOOKUP($A20,historico_VU!$A:$G,4,0),""),IF($C20="C2",IFERROR(VLOOKUP($A20,historico_VU!$A:$G,5,0),""),IF($C20="C3",IFERROR(VLOOKUP($A20,historico_VU!$A:$G,6,0),""),IF($C20="C4",IFERROR(VLOOKUP($A20,historico_VU!$A:$G,7,0),""),""))))))),IF($C20="C0",IFERROR(VLOOKUP($A20,historico_VU!$A:$G,3,0),""),IF($C20="C1",IFERROR(VLOOKUP($A20,historico_VU!$A:$G,4,0),""),IF($C20="C2",IFERROR(VLOOKUP($A20,historico_VU!$A:$G,5,0),""),IF($C20="C3",IFERROR(VLOOKUP($A20,historico_VU!$A:$G,6,0),""),IF($C20="C4",IFERROR(VLOOKUP($A20,historico_VU!$A:$G,7,0),""),""))))),F20),2))</f>
        <v/>
      </c>
      <c r="K20" s="103"/>
      <c r="L20" s="85" t="str">
        <f t="shared" si="1"/>
        <v/>
      </c>
      <c r="M20" s="203" t="str">
        <f>IF(A20="","",IF(COUNTIF(itens_Remanesc!$A$2:$A$200,A20)=0,"NOVO ITEM NAO CADASTRADO - CADASTRAR EM itens_Remanesc: ITEM + VU_ORIGINAL (QTD_BASE_ORIGINAL sera 0 automaticamente); depois a data e a quantidade aqui.",IF(COUNTIF(itens_Remanesc!$A$2:$A$200,A20)&gt;1,"ALERTA: ITEM_DUPLICADO",IF(OR(C20="",C20="Fora dos ciclos"),"ALERTA: CICLO_INVALIDO",IF(NOT(ISNUMBER(E20)),"ALERTA: QTD_INVALIDA",IF(AND(LEFT(UPPER(D20),3)&lt;&gt;"ACR",LEFT(UPPER(D20),4)&lt;&gt;"SUPR",LEFT(UPPER(D20),4)&lt;&gt;"DECR"),"ALERTA: TIPO_INVALIDO","OK"))))))</f>
        <v/>
      </c>
    </row>
    <row r="21" spans="1:13" ht="45" customHeight="1" x14ac:dyDescent="0.35">
      <c r="A21" s="103"/>
      <c r="B21" s="186"/>
      <c r="C21" s="99" t="str">
        <f>IF(B21="","",IFERROR(IF(NOT(ISNUMBER(parametros!$C$2)),"Fora dos ciclos",IF(OR(B21&lt;parametros!$C$2,(YEAR(B21)-YEAR(parametros!$C$2))*12+MONTH(B21)-MONTH(parametros!$C$2)&gt;59),"Fora dos ciclos","C"&amp;INT(((YEAR(B21)-YEAR(parametros!$C$2))*12+MONTH(B21)-MONTH(parametros!$C$2))/12))),"Fora dos ciclos"))</f>
        <v/>
      </c>
      <c r="D21" s="103"/>
      <c r="E21" s="104"/>
      <c r="F21" s="105" t="str">
        <f>IF(A21="","",IFERROR(VLOOKUP(A21,itens_Remanesc!$A:$C,3,0),""))</f>
        <v/>
      </c>
      <c r="G21" s="105" t="str">
        <f t="shared" si="0"/>
        <v/>
      </c>
      <c r="H21" s="103"/>
      <c r="I21" s="64" t="str">
        <f>IFERROR(VLOOKUP(C21,parametros!$B:$F,5,0),"")</f>
        <v/>
      </c>
      <c r="J21" s="105" t="str">
        <f>IF(OR(L21="",F21=""),"",ROUND(L21*IF(AND(UPPER(H21)="SIM",ISNUMBER(IF($C21="C0",IFERROR(VLOOKUP($A21,historico_VU!$A:$G,3,0),""),IF($C21="C1",IFERROR(VLOOKUP($A21,historico_VU!$A:$G,4,0),""),IF($C21="C2",IFERROR(VLOOKUP($A21,historico_VU!$A:$G,5,0),""),IF($C21="C3",IFERROR(VLOOKUP($A21,historico_VU!$A:$G,6,0),""),IF($C21="C4",IFERROR(VLOOKUP($A21,historico_VU!$A:$G,7,0),""),""))))))),IF($C21="C0",IFERROR(VLOOKUP($A21,historico_VU!$A:$G,3,0),""),IF($C21="C1",IFERROR(VLOOKUP($A21,historico_VU!$A:$G,4,0),""),IF($C21="C2",IFERROR(VLOOKUP($A21,historico_VU!$A:$G,5,0),""),IF($C21="C3",IFERROR(VLOOKUP($A21,historico_VU!$A:$G,6,0),""),IF($C21="C4",IFERROR(VLOOKUP($A21,historico_VU!$A:$G,7,0),""),""))))),F21),2))</f>
        <v/>
      </c>
      <c r="K21" s="103"/>
      <c r="L21" s="85" t="str">
        <f t="shared" si="1"/>
        <v/>
      </c>
      <c r="M21" s="203" t="str">
        <f>IF(A21="","",IF(COUNTIF(itens_Remanesc!$A$2:$A$200,A21)=0,"NOVO ITEM NAO CADASTRADO - CADASTRAR EM itens_Remanesc: ITEM + VU_ORIGINAL (QTD_BASE_ORIGINAL sera 0 automaticamente); depois a data e a quantidade aqui.",IF(COUNTIF(itens_Remanesc!$A$2:$A$200,A21)&gt;1,"ALERTA: ITEM_DUPLICADO",IF(OR(C21="",C21="Fora dos ciclos"),"ALERTA: CICLO_INVALIDO",IF(NOT(ISNUMBER(E21)),"ALERTA: QTD_INVALIDA",IF(AND(LEFT(UPPER(D21),3)&lt;&gt;"ACR",LEFT(UPPER(D21),4)&lt;&gt;"SUPR",LEFT(UPPER(D21),4)&lt;&gt;"DECR"),"ALERTA: TIPO_INVALIDO","OK"))))))</f>
        <v/>
      </c>
    </row>
    <row r="22" spans="1:13" ht="45" customHeight="1" x14ac:dyDescent="0.35">
      <c r="A22" s="103"/>
      <c r="B22" s="186"/>
      <c r="C22" s="99" t="str">
        <f>IF(B22="","",IFERROR(IF(NOT(ISNUMBER(parametros!$C$2)),"Fora dos ciclos",IF(OR(B22&lt;parametros!$C$2,(YEAR(B22)-YEAR(parametros!$C$2))*12+MONTH(B22)-MONTH(parametros!$C$2)&gt;59),"Fora dos ciclos","C"&amp;INT(((YEAR(B22)-YEAR(parametros!$C$2))*12+MONTH(B22)-MONTH(parametros!$C$2))/12))),"Fora dos ciclos"))</f>
        <v/>
      </c>
      <c r="D22" s="103"/>
      <c r="E22" s="104"/>
      <c r="F22" s="105" t="str">
        <f>IF(A22="","",IFERROR(VLOOKUP(A22,itens_Remanesc!$A:$C,3,0),""))</f>
        <v/>
      </c>
      <c r="G22" s="105" t="str">
        <f t="shared" si="0"/>
        <v/>
      </c>
      <c r="H22" s="103"/>
      <c r="I22" s="64" t="str">
        <f>IFERROR(VLOOKUP(C22,parametros!$B:$F,5,0),"")</f>
        <v/>
      </c>
      <c r="J22" s="105" t="str">
        <f>IF(OR(L22="",F22=""),"",ROUND(L22*IF(AND(UPPER(H22)="SIM",ISNUMBER(IF($C22="C0",IFERROR(VLOOKUP($A22,historico_VU!$A:$G,3,0),""),IF($C22="C1",IFERROR(VLOOKUP($A22,historico_VU!$A:$G,4,0),""),IF($C22="C2",IFERROR(VLOOKUP($A22,historico_VU!$A:$G,5,0),""),IF($C22="C3",IFERROR(VLOOKUP($A22,historico_VU!$A:$G,6,0),""),IF($C22="C4",IFERROR(VLOOKUP($A22,historico_VU!$A:$G,7,0),""),""))))))),IF($C22="C0",IFERROR(VLOOKUP($A22,historico_VU!$A:$G,3,0),""),IF($C22="C1",IFERROR(VLOOKUP($A22,historico_VU!$A:$G,4,0),""),IF($C22="C2",IFERROR(VLOOKUP($A22,historico_VU!$A:$G,5,0),""),IF($C22="C3",IFERROR(VLOOKUP($A22,historico_VU!$A:$G,6,0),""),IF($C22="C4",IFERROR(VLOOKUP($A22,historico_VU!$A:$G,7,0),""),""))))),F22),2))</f>
        <v/>
      </c>
      <c r="K22" s="103"/>
      <c r="L22" s="85" t="str">
        <f t="shared" si="1"/>
        <v/>
      </c>
      <c r="M22" s="203" t="str">
        <f>IF(A22="","",IF(COUNTIF(itens_Remanesc!$A$2:$A$200,A22)=0,"NOVO ITEM NAO CADASTRADO - CADASTRAR EM itens_Remanesc: ITEM + VU_ORIGINAL (QTD_BASE_ORIGINAL sera 0 automaticamente); depois a data e a quantidade aqui.",IF(COUNTIF(itens_Remanesc!$A$2:$A$200,A22)&gt;1,"ALERTA: ITEM_DUPLICADO",IF(OR(C22="",C22="Fora dos ciclos"),"ALERTA: CICLO_INVALIDO",IF(NOT(ISNUMBER(E22)),"ALERTA: QTD_INVALIDA",IF(AND(LEFT(UPPER(D22),3)&lt;&gt;"ACR",LEFT(UPPER(D22),4)&lt;&gt;"SUPR",LEFT(UPPER(D22),4)&lt;&gt;"DECR"),"ALERTA: TIPO_INVALIDO","OK"))))))</f>
        <v/>
      </c>
    </row>
    <row r="23" spans="1:13" ht="45" customHeight="1" x14ac:dyDescent="0.35">
      <c r="A23" s="103"/>
      <c r="B23" s="186"/>
      <c r="C23" s="99" t="str">
        <f>IF(B23="","",IFERROR(IF(NOT(ISNUMBER(parametros!$C$2)),"Fora dos ciclos",IF(OR(B23&lt;parametros!$C$2,(YEAR(B23)-YEAR(parametros!$C$2))*12+MONTH(B23)-MONTH(parametros!$C$2)&gt;59),"Fora dos ciclos","C"&amp;INT(((YEAR(B23)-YEAR(parametros!$C$2))*12+MONTH(B23)-MONTH(parametros!$C$2))/12))),"Fora dos ciclos"))</f>
        <v/>
      </c>
      <c r="D23" s="103"/>
      <c r="E23" s="104"/>
      <c r="F23" s="105" t="str">
        <f>IF(A23="","",IFERROR(VLOOKUP(A23,itens_Remanesc!$A:$C,3,0),""))</f>
        <v/>
      </c>
      <c r="G23" s="105" t="str">
        <f t="shared" si="0"/>
        <v/>
      </c>
      <c r="H23" s="103"/>
      <c r="I23" s="64" t="str">
        <f>IFERROR(VLOOKUP(C23,parametros!$B:$F,5,0),"")</f>
        <v/>
      </c>
      <c r="J23" s="105" t="str">
        <f>IF(OR(L23="",F23=""),"",ROUND(L23*IF(AND(UPPER(H23)="SIM",ISNUMBER(IF($C23="C0",IFERROR(VLOOKUP($A23,historico_VU!$A:$G,3,0),""),IF($C23="C1",IFERROR(VLOOKUP($A23,historico_VU!$A:$G,4,0),""),IF($C23="C2",IFERROR(VLOOKUP($A23,historico_VU!$A:$G,5,0),""),IF($C23="C3",IFERROR(VLOOKUP($A23,historico_VU!$A:$G,6,0),""),IF($C23="C4",IFERROR(VLOOKUP($A23,historico_VU!$A:$G,7,0),""),""))))))),IF($C23="C0",IFERROR(VLOOKUP($A23,historico_VU!$A:$G,3,0),""),IF($C23="C1",IFERROR(VLOOKUP($A23,historico_VU!$A:$G,4,0),""),IF($C23="C2",IFERROR(VLOOKUP($A23,historico_VU!$A:$G,5,0),""),IF($C23="C3",IFERROR(VLOOKUP($A23,historico_VU!$A:$G,6,0),""),IF($C23="C4",IFERROR(VLOOKUP($A23,historico_VU!$A:$G,7,0),""),""))))),F23),2))</f>
        <v/>
      </c>
      <c r="K23" s="103"/>
      <c r="L23" s="85" t="str">
        <f t="shared" si="1"/>
        <v/>
      </c>
      <c r="M23" s="203" t="str">
        <f>IF(A23="","",IF(COUNTIF(itens_Remanesc!$A$2:$A$200,A23)=0,"NOVO ITEM NAO CADASTRADO - CADASTRAR EM itens_Remanesc: ITEM + VU_ORIGINAL (QTD_BASE_ORIGINAL sera 0 automaticamente); depois a data e a quantidade aqui.",IF(COUNTIF(itens_Remanesc!$A$2:$A$200,A23)&gt;1,"ALERTA: ITEM_DUPLICADO",IF(OR(C23="",C23="Fora dos ciclos"),"ALERTA: CICLO_INVALIDO",IF(NOT(ISNUMBER(E23)),"ALERTA: QTD_INVALIDA",IF(AND(LEFT(UPPER(D23),3)&lt;&gt;"ACR",LEFT(UPPER(D23),4)&lt;&gt;"SUPR",LEFT(UPPER(D23),4)&lt;&gt;"DECR"),"ALERTA: TIPO_INVALIDO","OK"))))))</f>
        <v/>
      </c>
    </row>
    <row r="24" spans="1:13" ht="45" customHeight="1" x14ac:dyDescent="0.35">
      <c r="A24" s="103"/>
      <c r="B24" s="186"/>
      <c r="C24" s="99" t="str">
        <f>IF(B24="","",IFERROR(IF(NOT(ISNUMBER(parametros!$C$2)),"Fora dos ciclos",IF(OR(B24&lt;parametros!$C$2,(YEAR(B24)-YEAR(parametros!$C$2))*12+MONTH(B24)-MONTH(parametros!$C$2)&gt;59),"Fora dos ciclos","C"&amp;INT(((YEAR(B24)-YEAR(parametros!$C$2))*12+MONTH(B24)-MONTH(parametros!$C$2))/12))),"Fora dos ciclos"))</f>
        <v/>
      </c>
      <c r="D24" s="103"/>
      <c r="E24" s="104"/>
      <c r="F24" s="105" t="str">
        <f>IF(A24="","",IFERROR(VLOOKUP(A24,itens_Remanesc!$A:$C,3,0),""))</f>
        <v/>
      </c>
      <c r="G24" s="105" t="str">
        <f t="shared" si="0"/>
        <v/>
      </c>
      <c r="H24" s="103"/>
      <c r="I24" s="64" t="str">
        <f>IFERROR(VLOOKUP(C24,parametros!$B:$F,5,0),"")</f>
        <v/>
      </c>
      <c r="J24" s="105" t="str">
        <f>IF(OR(L24="",F24=""),"",ROUND(L24*IF(AND(UPPER(H24)="SIM",ISNUMBER(IF($C24="C0",IFERROR(VLOOKUP($A24,historico_VU!$A:$G,3,0),""),IF($C24="C1",IFERROR(VLOOKUP($A24,historico_VU!$A:$G,4,0),""),IF($C24="C2",IFERROR(VLOOKUP($A24,historico_VU!$A:$G,5,0),""),IF($C24="C3",IFERROR(VLOOKUP($A24,historico_VU!$A:$G,6,0),""),IF($C24="C4",IFERROR(VLOOKUP($A24,historico_VU!$A:$G,7,0),""),""))))))),IF($C24="C0",IFERROR(VLOOKUP($A24,historico_VU!$A:$G,3,0),""),IF($C24="C1",IFERROR(VLOOKUP($A24,historico_VU!$A:$G,4,0),""),IF($C24="C2",IFERROR(VLOOKUP($A24,historico_VU!$A:$G,5,0),""),IF($C24="C3",IFERROR(VLOOKUP($A24,historico_VU!$A:$G,6,0),""),IF($C24="C4",IFERROR(VLOOKUP($A24,historico_VU!$A:$G,7,0),""),""))))),F24),2))</f>
        <v/>
      </c>
      <c r="K24" s="103"/>
      <c r="L24" s="85" t="str">
        <f t="shared" si="1"/>
        <v/>
      </c>
      <c r="M24" s="203" t="str">
        <f>IF(A24="","",IF(COUNTIF(itens_Remanesc!$A$2:$A$200,A24)=0,"NOVO ITEM NAO CADASTRADO - CADASTRAR EM itens_Remanesc: ITEM + VU_ORIGINAL (QTD_BASE_ORIGINAL sera 0 automaticamente); depois a data e a quantidade aqui.",IF(COUNTIF(itens_Remanesc!$A$2:$A$200,A24)&gt;1,"ALERTA: ITEM_DUPLICADO",IF(OR(C24="",C24="Fora dos ciclos"),"ALERTA: CICLO_INVALIDO",IF(NOT(ISNUMBER(E24)),"ALERTA: QTD_INVALIDA",IF(AND(LEFT(UPPER(D24),3)&lt;&gt;"ACR",LEFT(UPPER(D24),4)&lt;&gt;"SUPR",LEFT(UPPER(D24),4)&lt;&gt;"DECR"),"ALERTA: TIPO_INVALIDO","OK"))))))</f>
        <v/>
      </c>
    </row>
    <row r="25" spans="1:13" ht="45" customHeight="1" x14ac:dyDescent="0.35">
      <c r="A25" s="103"/>
      <c r="B25" s="186"/>
      <c r="C25" s="99" t="str">
        <f>IF(B25="","",IFERROR(IF(NOT(ISNUMBER(parametros!$C$2)),"Fora dos ciclos",IF(OR(B25&lt;parametros!$C$2,(YEAR(B25)-YEAR(parametros!$C$2))*12+MONTH(B25)-MONTH(parametros!$C$2)&gt;59),"Fora dos ciclos","C"&amp;INT(((YEAR(B25)-YEAR(parametros!$C$2))*12+MONTH(B25)-MONTH(parametros!$C$2))/12))),"Fora dos ciclos"))</f>
        <v/>
      </c>
      <c r="D25" s="103"/>
      <c r="E25" s="104"/>
      <c r="F25" s="105" t="str">
        <f>IF(A25="","",IFERROR(VLOOKUP(A25,itens_Remanesc!$A:$C,3,0),""))</f>
        <v/>
      </c>
      <c r="G25" s="105" t="str">
        <f t="shared" si="0"/>
        <v/>
      </c>
      <c r="H25" s="103"/>
      <c r="I25" s="64" t="str">
        <f>IFERROR(VLOOKUP(C25,parametros!$B:$F,5,0),"")</f>
        <v/>
      </c>
      <c r="J25" s="105" t="str">
        <f>IF(OR(L25="",F25=""),"",ROUND(L25*IF(AND(UPPER(H25)="SIM",ISNUMBER(IF($C25="C0",IFERROR(VLOOKUP($A25,historico_VU!$A:$G,3,0),""),IF($C25="C1",IFERROR(VLOOKUP($A25,historico_VU!$A:$G,4,0),""),IF($C25="C2",IFERROR(VLOOKUP($A25,historico_VU!$A:$G,5,0),""),IF($C25="C3",IFERROR(VLOOKUP($A25,historico_VU!$A:$G,6,0),""),IF($C25="C4",IFERROR(VLOOKUP($A25,historico_VU!$A:$G,7,0),""),""))))))),IF($C25="C0",IFERROR(VLOOKUP($A25,historico_VU!$A:$G,3,0),""),IF($C25="C1",IFERROR(VLOOKUP($A25,historico_VU!$A:$G,4,0),""),IF($C25="C2",IFERROR(VLOOKUP($A25,historico_VU!$A:$G,5,0),""),IF($C25="C3",IFERROR(VLOOKUP($A25,historico_VU!$A:$G,6,0),""),IF($C25="C4",IFERROR(VLOOKUP($A25,historico_VU!$A:$G,7,0),""),""))))),F25),2))</f>
        <v/>
      </c>
      <c r="K25" s="103"/>
      <c r="L25" s="85" t="str">
        <f t="shared" si="1"/>
        <v/>
      </c>
      <c r="M25" s="203" t="str">
        <f>IF(A25="","",IF(COUNTIF(itens_Remanesc!$A$2:$A$200,A25)=0,"NOVO ITEM NAO CADASTRADO - CADASTRAR EM itens_Remanesc: ITEM + VU_ORIGINAL (QTD_BASE_ORIGINAL sera 0 automaticamente); depois a data e a quantidade aqui.",IF(COUNTIF(itens_Remanesc!$A$2:$A$200,A25)&gt;1,"ALERTA: ITEM_DUPLICADO",IF(OR(C25="",C25="Fora dos ciclos"),"ALERTA: CICLO_INVALIDO",IF(NOT(ISNUMBER(E25)),"ALERTA: QTD_INVALIDA",IF(AND(LEFT(UPPER(D25),3)&lt;&gt;"ACR",LEFT(UPPER(D25),4)&lt;&gt;"SUPR",LEFT(UPPER(D25),4)&lt;&gt;"DECR"),"ALERTA: TIPO_INVALIDO","OK"))))))</f>
        <v/>
      </c>
    </row>
    <row r="26" spans="1:13" ht="45" customHeight="1" x14ac:dyDescent="0.35">
      <c r="A26" s="103"/>
      <c r="B26" s="186"/>
      <c r="C26" s="99" t="str">
        <f>IF(B26="","",IFERROR(IF(NOT(ISNUMBER(parametros!$C$2)),"Fora dos ciclos",IF(OR(B26&lt;parametros!$C$2,(YEAR(B26)-YEAR(parametros!$C$2))*12+MONTH(B26)-MONTH(parametros!$C$2)&gt;59),"Fora dos ciclos","C"&amp;INT(((YEAR(B26)-YEAR(parametros!$C$2))*12+MONTH(B26)-MONTH(parametros!$C$2))/12))),"Fora dos ciclos"))</f>
        <v/>
      </c>
      <c r="D26" s="103"/>
      <c r="E26" s="104"/>
      <c r="F26" s="105" t="str">
        <f>IF(A26="","",IFERROR(VLOOKUP(A26,itens_Remanesc!$A:$C,3,0),""))</f>
        <v/>
      </c>
      <c r="G26" s="105" t="str">
        <f t="shared" si="0"/>
        <v/>
      </c>
      <c r="H26" s="103"/>
      <c r="I26" s="64" t="str">
        <f>IFERROR(VLOOKUP(C26,parametros!$B:$F,5,0),"")</f>
        <v/>
      </c>
      <c r="J26" s="105" t="str">
        <f>IF(OR(L26="",F26=""),"",ROUND(L26*IF(AND(UPPER(H26)="SIM",ISNUMBER(IF($C26="C0",IFERROR(VLOOKUP($A26,historico_VU!$A:$G,3,0),""),IF($C26="C1",IFERROR(VLOOKUP($A26,historico_VU!$A:$G,4,0),""),IF($C26="C2",IFERROR(VLOOKUP($A26,historico_VU!$A:$G,5,0),""),IF($C26="C3",IFERROR(VLOOKUP($A26,historico_VU!$A:$G,6,0),""),IF($C26="C4",IFERROR(VLOOKUP($A26,historico_VU!$A:$G,7,0),""),""))))))),IF($C26="C0",IFERROR(VLOOKUP($A26,historico_VU!$A:$G,3,0),""),IF($C26="C1",IFERROR(VLOOKUP($A26,historico_VU!$A:$G,4,0),""),IF($C26="C2",IFERROR(VLOOKUP($A26,historico_VU!$A:$G,5,0),""),IF($C26="C3",IFERROR(VLOOKUP($A26,historico_VU!$A:$G,6,0),""),IF($C26="C4",IFERROR(VLOOKUP($A26,historico_VU!$A:$G,7,0),""),""))))),F26),2))</f>
        <v/>
      </c>
      <c r="K26" s="103"/>
      <c r="L26" s="85" t="str">
        <f t="shared" si="1"/>
        <v/>
      </c>
      <c r="M26" s="203" t="str">
        <f>IF(A26="","",IF(COUNTIF(itens_Remanesc!$A$2:$A$200,A26)=0,"NOVO ITEM NAO CADASTRADO - CADASTRAR EM itens_Remanesc: ITEM + VU_ORIGINAL (QTD_BASE_ORIGINAL sera 0 automaticamente); depois a data e a quantidade aqui.",IF(COUNTIF(itens_Remanesc!$A$2:$A$200,A26)&gt;1,"ALERTA: ITEM_DUPLICADO",IF(OR(C26="",C26="Fora dos ciclos"),"ALERTA: CICLO_INVALIDO",IF(NOT(ISNUMBER(E26)),"ALERTA: QTD_INVALIDA",IF(AND(LEFT(UPPER(D26),3)&lt;&gt;"ACR",LEFT(UPPER(D26),4)&lt;&gt;"SUPR",LEFT(UPPER(D26),4)&lt;&gt;"DECR"),"ALERTA: TIPO_INVALIDO","OK"))))))</f>
        <v/>
      </c>
    </row>
    <row r="27" spans="1:13" ht="45" customHeight="1" x14ac:dyDescent="0.35">
      <c r="A27" s="103"/>
      <c r="B27" s="186"/>
      <c r="C27" s="99" t="str">
        <f>IF(B27="","",IFERROR(IF(NOT(ISNUMBER(parametros!$C$2)),"Fora dos ciclos",IF(OR(B27&lt;parametros!$C$2,(YEAR(B27)-YEAR(parametros!$C$2))*12+MONTH(B27)-MONTH(parametros!$C$2)&gt;59),"Fora dos ciclos","C"&amp;INT(((YEAR(B27)-YEAR(parametros!$C$2))*12+MONTH(B27)-MONTH(parametros!$C$2))/12))),"Fora dos ciclos"))</f>
        <v/>
      </c>
      <c r="D27" s="103"/>
      <c r="E27" s="104"/>
      <c r="F27" s="105" t="str">
        <f>IF(A27="","",IFERROR(VLOOKUP(A27,itens_Remanesc!$A:$C,3,0),""))</f>
        <v/>
      </c>
      <c r="G27" s="105" t="str">
        <f t="shared" si="0"/>
        <v/>
      </c>
      <c r="H27" s="103"/>
      <c r="I27" s="64" t="str">
        <f>IFERROR(VLOOKUP(C27,parametros!$B:$F,5,0),"")</f>
        <v/>
      </c>
      <c r="J27" s="105" t="str">
        <f>IF(OR(L27="",F27=""),"",ROUND(L27*IF(AND(UPPER(H27)="SIM",ISNUMBER(IF($C27="C0",IFERROR(VLOOKUP($A27,historico_VU!$A:$G,3,0),""),IF($C27="C1",IFERROR(VLOOKUP($A27,historico_VU!$A:$G,4,0),""),IF($C27="C2",IFERROR(VLOOKUP($A27,historico_VU!$A:$G,5,0),""),IF($C27="C3",IFERROR(VLOOKUP($A27,historico_VU!$A:$G,6,0),""),IF($C27="C4",IFERROR(VLOOKUP($A27,historico_VU!$A:$G,7,0),""),""))))))),IF($C27="C0",IFERROR(VLOOKUP($A27,historico_VU!$A:$G,3,0),""),IF($C27="C1",IFERROR(VLOOKUP($A27,historico_VU!$A:$G,4,0),""),IF($C27="C2",IFERROR(VLOOKUP($A27,historico_VU!$A:$G,5,0),""),IF($C27="C3",IFERROR(VLOOKUP($A27,historico_VU!$A:$G,6,0),""),IF($C27="C4",IFERROR(VLOOKUP($A27,historico_VU!$A:$G,7,0),""),""))))),F27),2))</f>
        <v/>
      </c>
      <c r="K27" s="103"/>
      <c r="L27" s="85" t="str">
        <f t="shared" si="1"/>
        <v/>
      </c>
      <c r="M27" s="203" t="str">
        <f>IF(A27="","",IF(COUNTIF(itens_Remanesc!$A$2:$A$200,A27)=0,"NOVO ITEM NAO CADASTRADO - CADASTRAR EM itens_Remanesc: ITEM + VU_ORIGINAL (QTD_BASE_ORIGINAL sera 0 automaticamente); depois a data e a quantidade aqui.",IF(COUNTIF(itens_Remanesc!$A$2:$A$200,A27)&gt;1,"ALERTA: ITEM_DUPLICADO",IF(OR(C27="",C27="Fora dos ciclos"),"ALERTA: CICLO_INVALIDO",IF(NOT(ISNUMBER(E27)),"ALERTA: QTD_INVALIDA",IF(AND(LEFT(UPPER(D27),3)&lt;&gt;"ACR",LEFT(UPPER(D27),4)&lt;&gt;"SUPR",LEFT(UPPER(D27),4)&lt;&gt;"DECR"),"ALERTA: TIPO_INVALIDO","OK"))))))</f>
        <v/>
      </c>
    </row>
    <row r="28" spans="1:13" ht="45" customHeight="1" x14ac:dyDescent="0.35">
      <c r="A28" s="103"/>
      <c r="B28" s="186"/>
      <c r="C28" s="99" t="str">
        <f>IF(B28="","",IFERROR(IF(NOT(ISNUMBER(parametros!$C$2)),"Fora dos ciclos",IF(OR(B28&lt;parametros!$C$2,(YEAR(B28)-YEAR(parametros!$C$2))*12+MONTH(B28)-MONTH(parametros!$C$2)&gt;59),"Fora dos ciclos","C"&amp;INT(((YEAR(B28)-YEAR(parametros!$C$2))*12+MONTH(B28)-MONTH(parametros!$C$2))/12))),"Fora dos ciclos"))</f>
        <v/>
      </c>
      <c r="D28" s="103"/>
      <c r="E28" s="104"/>
      <c r="F28" s="105" t="str">
        <f>IF(A28="","",IFERROR(VLOOKUP(A28,itens_Remanesc!$A:$C,3,0),""))</f>
        <v/>
      </c>
      <c r="G28" s="105" t="str">
        <f t="shared" si="0"/>
        <v/>
      </c>
      <c r="H28" s="103"/>
      <c r="I28" s="64" t="str">
        <f>IFERROR(VLOOKUP(C28,parametros!$B:$F,5,0),"")</f>
        <v/>
      </c>
      <c r="J28" s="105" t="str">
        <f>IF(OR(L28="",F28=""),"",ROUND(L28*IF(AND(UPPER(H28)="SIM",ISNUMBER(IF($C28="C0",IFERROR(VLOOKUP($A28,historico_VU!$A:$G,3,0),""),IF($C28="C1",IFERROR(VLOOKUP($A28,historico_VU!$A:$G,4,0),""),IF($C28="C2",IFERROR(VLOOKUP($A28,historico_VU!$A:$G,5,0),""),IF($C28="C3",IFERROR(VLOOKUP($A28,historico_VU!$A:$G,6,0),""),IF($C28="C4",IFERROR(VLOOKUP($A28,historico_VU!$A:$G,7,0),""),""))))))),IF($C28="C0",IFERROR(VLOOKUP($A28,historico_VU!$A:$G,3,0),""),IF($C28="C1",IFERROR(VLOOKUP($A28,historico_VU!$A:$G,4,0),""),IF($C28="C2",IFERROR(VLOOKUP($A28,historico_VU!$A:$G,5,0),""),IF($C28="C3",IFERROR(VLOOKUP($A28,historico_VU!$A:$G,6,0),""),IF($C28="C4",IFERROR(VLOOKUP($A28,historico_VU!$A:$G,7,0),""),""))))),F28),2))</f>
        <v/>
      </c>
      <c r="K28" s="103"/>
      <c r="L28" s="85" t="str">
        <f t="shared" si="1"/>
        <v/>
      </c>
      <c r="M28" s="203" t="str">
        <f>IF(A28="","",IF(COUNTIF(itens_Remanesc!$A$2:$A$200,A28)=0,"NOVO ITEM NAO CADASTRADO - CADASTRAR EM itens_Remanesc: ITEM + VU_ORIGINAL (QTD_BASE_ORIGINAL sera 0 automaticamente); depois a data e a quantidade aqui.",IF(COUNTIF(itens_Remanesc!$A$2:$A$200,A28)&gt;1,"ALERTA: ITEM_DUPLICADO",IF(OR(C28="",C28="Fora dos ciclos"),"ALERTA: CICLO_INVALIDO",IF(NOT(ISNUMBER(E28)),"ALERTA: QTD_INVALIDA",IF(AND(LEFT(UPPER(D28),3)&lt;&gt;"ACR",LEFT(UPPER(D28),4)&lt;&gt;"SUPR",LEFT(UPPER(D28),4)&lt;&gt;"DECR"),"ALERTA: TIPO_INVALIDO","OK"))))))</f>
        <v/>
      </c>
    </row>
    <row r="29" spans="1:13" ht="45" customHeight="1" x14ac:dyDescent="0.35">
      <c r="A29" s="103"/>
      <c r="B29" s="186"/>
      <c r="C29" s="99" t="str">
        <f>IF(B29="","",IFERROR(IF(NOT(ISNUMBER(parametros!$C$2)),"Fora dos ciclos",IF(OR(B29&lt;parametros!$C$2,(YEAR(B29)-YEAR(parametros!$C$2))*12+MONTH(B29)-MONTH(parametros!$C$2)&gt;59),"Fora dos ciclos","C"&amp;INT(((YEAR(B29)-YEAR(parametros!$C$2))*12+MONTH(B29)-MONTH(parametros!$C$2))/12))),"Fora dos ciclos"))</f>
        <v/>
      </c>
      <c r="D29" s="103"/>
      <c r="E29" s="104"/>
      <c r="F29" s="105" t="str">
        <f>IF(A29="","",IFERROR(VLOOKUP(A29,itens_Remanesc!$A:$C,3,0),""))</f>
        <v/>
      </c>
      <c r="G29" s="105" t="str">
        <f t="shared" si="0"/>
        <v/>
      </c>
      <c r="H29" s="103"/>
      <c r="I29" s="64" t="str">
        <f>IFERROR(VLOOKUP(C29,parametros!$B:$F,5,0),"")</f>
        <v/>
      </c>
      <c r="J29" s="105" t="str">
        <f>IF(OR(L29="",F29=""),"",ROUND(L29*IF(AND(UPPER(H29)="SIM",ISNUMBER(IF($C29="C0",IFERROR(VLOOKUP($A29,historico_VU!$A:$G,3,0),""),IF($C29="C1",IFERROR(VLOOKUP($A29,historico_VU!$A:$G,4,0),""),IF($C29="C2",IFERROR(VLOOKUP($A29,historico_VU!$A:$G,5,0),""),IF($C29="C3",IFERROR(VLOOKUP($A29,historico_VU!$A:$G,6,0),""),IF($C29="C4",IFERROR(VLOOKUP($A29,historico_VU!$A:$G,7,0),""),""))))))),IF($C29="C0",IFERROR(VLOOKUP($A29,historico_VU!$A:$G,3,0),""),IF($C29="C1",IFERROR(VLOOKUP($A29,historico_VU!$A:$G,4,0),""),IF($C29="C2",IFERROR(VLOOKUP($A29,historico_VU!$A:$G,5,0),""),IF($C29="C3",IFERROR(VLOOKUP($A29,historico_VU!$A:$G,6,0),""),IF($C29="C4",IFERROR(VLOOKUP($A29,historico_VU!$A:$G,7,0),""),""))))),F29),2))</f>
        <v/>
      </c>
      <c r="K29" s="103"/>
      <c r="L29" s="85" t="str">
        <f t="shared" si="1"/>
        <v/>
      </c>
      <c r="M29" s="203" t="str">
        <f>IF(A29="","",IF(COUNTIF(itens_Remanesc!$A$2:$A$200,A29)=0,"NOVO ITEM NAO CADASTRADO - CADASTRAR EM itens_Remanesc: ITEM + VU_ORIGINAL (QTD_BASE_ORIGINAL sera 0 automaticamente); depois a data e a quantidade aqui.",IF(COUNTIF(itens_Remanesc!$A$2:$A$200,A29)&gt;1,"ALERTA: ITEM_DUPLICADO",IF(OR(C29="",C29="Fora dos ciclos"),"ALERTA: CICLO_INVALIDO",IF(NOT(ISNUMBER(E29)),"ALERTA: QTD_INVALIDA",IF(AND(LEFT(UPPER(D29),3)&lt;&gt;"ACR",LEFT(UPPER(D29),4)&lt;&gt;"SUPR",LEFT(UPPER(D29),4)&lt;&gt;"DECR"),"ALERTA: TIPO_INVALIDO","OK"))))))</f>
        <v/>
      </c>
    </row>
    <row r="30" spans="1:13" ht="45" customHeight="1" x14ac:dyDescent="0.35">
      <c r="A30" s="103"/>
      <c r="B30" s="186"/>
      <c r="C30" s="99" t="str">
        <f>IF(B30="","",IFERROR(IF(NOT(ISNUMBER(parametros!$C$2)),"Fora dos ciclos",IF(OR(B30&lt;parametros!$C$2,(YEAR(B30)-YEAR(parametros!$C$2))*12+MONTH(B30)-MONTH(parametros!$C$2)&gt;59),"Fora dos ciclos","C"&amp;INT(((YEAR(B30)-YEAR(parametros!$C$2))*12+MONTH(B30)-MONTH(parametros!$C$2))/12))),"Fora dos ciclos"))</f>
        <v/>
      </c>
      <c r="D30" s="103"/>
      <c r="E30" s="104"/>
      <c r="F30" s="105" t="str">
        <f>IF(A30="","",IFERROR(VLOOKUP(A30,itens_Remanesc!$A:$C,3,0),""))</f>
        <v/>
      </c>
      <c r="G30" s="105" t="str">
        <f t="shared" si="0"/>
        <v/>
      </c>
      <c r="H30" s="103"/>
      <c r="I30" s="64" t="str">
        <f>IFERROR(VLOOKUP(C30,parametros!$B:$F,5,0),"")</f>
        <v/>
      </c>
      <c r="J30" s="105" t="str">
        <f>IF(OR(L30="",F30=""),"",ROUND(L30*IF(AND(UPPER(H30)="SIM",ISNUMBER(IF($C30="C0",IFERROR(VLOOKUP($A30,historico_VU!$A:$G,3,0),""),IF($C30="C1",IFERROR(VLOOKUP($A30,historico_VU!$A:$G,4,0),""),IF($C30="C2",IFERROR(VLOOKUP($A30,historico_VU!$A:$G,5,0),""),IF($C30="C3",IFERROR(VLOOKUP($A30,historico_VU!$A:$G,6,0),""),IF($C30="C4",IFERROR(VLOOKUP($A30,historico_VU!$A:$G,7,0),""),""))))))),IF($C30="C0",IFERROR(VLOOKUP($A30,historico_VU!$A:$G,3,0),""),IF($C30="C1",IFERROR(VLOOKUP($A30,historico_VU!$A:$G,4,0),""),IF($C30="C2",IFERROR(VLOOKUP($A30,historico_VU!$A:$G,5,0),""),IF($C30="C3",IFERROR(VLOOKUP($A30,historico_VU!$A:$G,6,0),""),IF($C30="C4",IFERROR(VLOOKUP($A30,historico_VU!$A:$G,7,0),""),""))))),F30),2))</f>
        <v/>
      </c>
      <c r="K30" s="103"/>
      <c r="L30" s="85" t="str">
        <f t="shared" si="1"/>
        <v/>
      </c>
      <c r="M30" s="203" t="str">
        <f>IF(A30="","",IF(COUNTIF(itens_Remanesc!$A$2:$A$200,A30)=0,"NOVO ITEM NAO CADASTRADO - CADASTRAR EM itens_Remanesc: ITEM + VU_ORIGINAL (QTD_BASE_ORIGINAL sera 0 automaticamente); depois a data e a quantidade aqui.",IF(COUNTIF(itens_Remanesc!$A$2:$A$200,A30)&gt;1,"ALERTA: ITEM_DUPLICADO",IF(OR(C30="",C30="Fora dos ciclos"),"ALERTA: CICLO_INVALIDO",IF(NOT(ISNUMBER(E30)),"ALERTA: QTD_INVALIDA",IF(AND(LEFT(UPPER(D30),3)&lt;&gt;"ACR",LEFT(UPPER(D30),4)&lt;&gt;"SUPR",LEFT(UPPER(D30),4)&lt;&gt;"DECR"),"ALERTA: TIPO_INVALIDO","OK"))))))</f>
        <v/>
      </c>
    </row>
    <row r="31" spans="1:13" ht="45" customHeight="1" x14ac:dyDescent="0.35">
      <c r="A31" s="103"/>
      <c r="B31" s="186"/>
      <c r="C31" s="99" t="str">
        <f>IF(B31="","",IFERROR(IF(NOT(ISNUMBER(parametros!$C$2)),"Fora dos ciclos",IF(OR(B31&lt;parametros!$C$2,(YEAR(B31)-YEAR(parametros!$C$2))*12+MONTH(B31)-MONTH(parametros!$C$2)&gt;59),"Fora dos ciclos","C"&amp;INT(((YEAR(B31)-YEAR(parametros!$C$2))*12+MONTH(B31)-MONTH(parametros!$C$2))/12))),"Fora dos ciclos"))</f>
        <v/>
      </c>
      <c r="D31" s="103"/>
      <c r="E31" s="104"/>
      <c r="F31" s="105" t="str">
        <f>IF(A31="","",IFERROR(VLOOKUP(A31,itens_Remanesc!$A:$C,3,0),""))</f>
        <v/>
      </c>
      <c r="G31" s="105" t="str">
        <f t="shared" si="0"/>
        <v/>
      </c>
      <c r="H31" s="103"/>
      <c r="I31" s="64" t="str">
        <f>IFERROR(VLOOKUP(C31,parametros!$B:$F,5,0),"")</f>
        <v/>
      </c>
      <c r="J31" s="105" t="str">
        <f>IF(OR(L31="",F31=""),"",ROUND(L31*IF(AND(UPPER(H31)="SIM",ISNUMBER(IF($C31="C0",IFERROR(VLOOKUP($A31,historico_VU!$A:$G,3,0),""),IF($C31="C1",IFERROR(VLOOKUP($A31,historico_VU!$A:$G,4,0),""),IF($C31="C2",IFERROR(VLOOKUP($A31,historico_VU!$A:$G,5,0),""),IF($C31="C3",IFERROR(VLOOKUP($A31,historico_VU!$A:$G,6,0),""),IF($C31="C4",IFERROR(VLOOKUP($A31,historico_VU!$A:$G,7,0),""),""))))))),IF($C31="C0",IFERROR(VLOOKUP($A31,historico_VU!$A:$G,3,0),""),IF($C31="C1",IFERROR(VLOOKUP($A31,historico_VU!$A:$G,4,0),""),IF($C31="C2",IFERROR(VLOOKUP($A31,historico_VU!$A:$G,5,0),""),IF($C31="C3",IFERROR(VLOOKUP($A31,historico_VU!$A:$G,6,0),""),IF($C31="C4",IFERROR(VLOOKUP($A31,historico_VU!$A:$G,7,0),""),""))))),F31),2))</f>
        <v/>
      </c>
      <c r="K31" s="103"/>
      <c r="L31" s="85" t="str">
        <f t="shared" si="1"/>
        <v/>
      </c>
      <c r="M31" s="203" t="str">
        <f>IF(A31="","",IF(COUNTIF(itens_Remanesc!$A$2:$A$200,A31)=0,"NOVO ITEM NAO CADASTRADO - CADASTRAR EM itens_Remanesc: ITEM + VU_ORIGINAL (QTD_BASE_ORIGINAL sera 0 automaticamente); depois a data e a quantidade aqui.",IF(COUNTIF(itens_Remanesc!$A$2:$A$200,A31)&gt;1,"ALERTA: ITEM_DUPLICADO",IF(OR(C31="",C31="Fora dos ciclos"),"ALERTA: CICLO_INVALIDO",IF(NOT(ISNUMBER(E31)),"ALERTA: QTD_INVALIDA",IF(AND(LEFT(UPPER(D31),3)&lt;&gt;"ACR",LEFT(UPPER(D31),4)&lt;&gt;"SUPR",LEFT(UPPER(D31),4)&lt;&gt;"DECR"),"ALERTA: TIPO_INVALIDO","OK"))))))</f>
        <v/>
      </c>
    </row>
    <row r="32" spans="1:13" ht="45" customHeight="1" x14ac:dyDescent="0.35">
      <c r="A32" s="103"/>
      <c r="B32" s="186"/>
      <c r="C32" s="99" t="str">
        <f>IF(B32="","",IFERROR(IF(NOT(ISNUMBER(parametros!$C$2)),"Fora dos ciclos",IF(OR(B32&lt;parametros!$C$2,(YEAR(B32)-YEAR(parametros!$C$2))*12+MONTH(B32)-MONTH(parametros!$C$2)&gt;59),"Fora dos ciclos","C"&amp;INT(((YEAR(B32)-YEAR(parametros!$C$2))*12+MONTH(B32)-MONTH(parametros!$C$2))/12))),"Fora dos ciclos"))</f>
        <v/>
      </c>
      <c r="D32" s="103"/>
      <c r="E32" s="104"/>
      <c r="F32" s="105" t="str">
        <f>IF(A32="","",IFERROR(VLOOKUP(A32,itens_Remanesc!$A:$C,3,0),""))</f>
        <v/>
      </c>
      <c r="G32" s="105" t="str">
        <f t="shared" si="0"/>
        <v/>
      </c>
      <c r="H32" s="103"/>
      <c r="I32" s="64" t="str">
        <f>IFERROR(VLOOKUP(C32,parametros!$B:$F,5,0),"")</f>
        <v/>
      </c>
      <c r="J32" s="105" t="str">
        <f>IF(OR(L32="",F32=""),"",ROUND(L32*IF(AND(UPPER(H32)="SIM",ISNUMBER(IF($C32="C0",IFERROR(VLOOKUP($A32,historico_VU!$A:$G,3,0),""),IF($C32="C1",IFERROR(VLOOKUP($A32,historico_VU!$A:$G,4,0),""),IF($C32="C2",IFERROR(VLOOKUP($A32,historico_VU!$A:$G,5,0),""),IF($C32="C3",IFERROR(VLOOKUP($A32,historico_VU!$A:$G,6,0),""),IF($C32="C4",IFERROR(VLOOKUP($A32,historico_VU!$A:$G,7,0),""),""))))))),IF($C32="C0",IFERROR(VLOOKUP($A32,historico_VU!$A:$G,3,0),""),IF($C32="C1",IFERROR(VLOOKUP($A32,historico_VU!$A:$G,4,0),""),IF($C32="C2",IFERROR(VLOOKUP($A32,historico_VU!$A:$G,5,0),""),IF($C32="C3",IFERROR(VLOOKUP($A32,historico_VU!$A:$G,6,0),""),IF($C32="C4",IFERROR(VLOOKUP($A32,historico_VU!$A:$G,7,0),""),""))))),F32),2))</f>
        <v/>
      </c>
      <c r="K32" s="103"/>
      <c r="L32" s="85" t="str">
        <f t="shared" si="1"/>
        <v/>
      </c>
      <c r="M32" s="203" t="str">
        <f>IF(A32="","",IF(COUNTIF(itens_Remanesc!$A$2:$A$200,A32)=0,"NOVO ITEM NAO CADASTRADO - CADASTRAR EM itens_Remanesc: ITEM + VU_ORIGINAL (QTD_BASE_ORIGINAL sera 0 automaticamente); depois a data e a quantidade aqui.",IF(COUNTIF(itens_Remanesc!$A$2:$A$200,A32)&gt;1,"ALERTA: ITEM_DUPLICADO",IF(OR(C32="",C32="Fora dos ciclos"),"ALERTA: CICLO_INVALIDO",IF(NOT(ISNUMBER(E32)),"ALERTA: QTD_INVALIDA",IF(AND(LEFT(UPPER(D32),3)&lt;&gt;"ACR",LEFT(UPPER(D32),4)&lt;&gt;"SUPR",LEFT(UPPER(D32),4)&lt;&gt;"DECR"),"ALERTA: TIPO_INVALIDO","OK"))))))</f>
        <v/>
      </c>
    </row>
    <row r="33" spans="1:13" ht="45" customHeight="1" x14ac:dyDescent="0.35">
      <c r="A33" s="103"/>
      <c r="B33" s="186"/>
      <c r="C33" s="99" t="str">
        <f>IF(B33="","",IFERROR(IF(NOT(ISNUMBER(parametros!$C$2)),"Fora dos ciclos",IF(OR(B33&lt;parametros!$C$2,(YEAR(B33)-YEAR(parametros!$C$2))*12+MONTH(B33)-MONTH(parametros!$C$2)&gt;59),"Fora dos ciclos","C"&amp;INT(((YEAR(B33)-YEAR(parametros!$C$2))*12+MONTH(B33)-MONTH(parametros!$C$2))/12))),"Fora dos ciclos"))</f>
        <v/>
      </c>
      <c r="D33" s="103"/>
      <c r="E33" s="104"/>
      <c r="F33" s="105" t="str">
        <f>IF(A33="","",IFERROR(VLOOKUP(A33,itens_Remanesc!$A:$C,3,0),""))</f>
        <v/>
      </c>
      <c r="G33" s="105" t="str">
        <f t="shared" si="0"/>
        <v/>
      </c>
      <c r="H33" s="103"/>
      <c r="I33" s="64" t="str">
        <f>IFERROR(VLOOKUP(C33,parametros!$B:$F,5,0),"")</f>
        <v/>
      </c>
      <c r="J33" s="105" t="str">
        <f>IF(OR(L33="",F33=""),"",ROUND(L33*IF(AND(UPPER(H33)="SIM",ISNUMBER(IF($C33="C0",IFERROR(VLOOKUP($A33,historico_VU!$A:$G,3,0),""),IF($C33="C1",IFERROR(VLOOKUP($A33,historico_VU!$A:$G,4,0),""),IF($C33="C2",IFERROR(VLOOKUP($A33,historico_VU!$A:$G,5,0),""),IF($C33="C3",IFERROR(VLOOKUP($A33,historico_VU!$A:$G,6,0),""),IF($C33="C4",IFERROR(VLOOKUP($A33,historico_VU!$A:$G,7,0),""),""))))))),IF($C33="C0",IFERROR(VLOOKUP($A33,historico_VU!$A:$G,3,0),""),IF($C33="C1",IFERROR(VLOOKUP($A33,historico_VU!$A:$G,4,0),""),IF($C33="C2",IFERROR(VLOOKUP($A33,historico_VU!$A:$G,5,0),""),IF($C33="C3",IFERROR(VLOOKUP($A33,historico_VU!$A:$G,6,0),""),IF($C33="C4",IFERROR(VLOOKUP($A33,historico_VU!$A:$G,7,0),""),""))))),F33),2))</f>
        <v/>
      </c>
      <c r="K33" s="103"/>
      <c r="L33" s="85" t="str">
        <f t="shared" si="1"/>
        <v/>
      </c>
      <c r="M33" s="203" t="str">
        <f>IF(A33="","",IF(COUNTIF(itens_Remanesc!$A$2:$A$200,A33)=0,"NOVO ITEM NAO CADASTRADO - CADASTRAR EM itens_Remanesc: ITEM + VU_ORIGINAL (QTD_BASE_ORIGINAL sera 0 automaticamente); depois a data e a quantidade aqui.",IF(COUNTIF(itens_Remanesc!$A$2:$A$200,A33)&gt;1,"ALERTA: ITEM_DUPLICADO",IF(OR(C33="",C33="Fora dos ciclos"),"ALERTA: CICLO_INVALIDO",IF(NOT(ISNUMBER(E33)),"ALERTA: QTD_INVALIDA",IF(AND(LEFT(UPPER(D33),3)&lt;&gt;"ACR",LEFT(UPPER(D33),4)&lt;&gt;"SUPR",LEFT(UPPER(D33),4)&lt;&gt;"DECR"),"ALERTA: TIPO_INVALIDO","OK"))))))</f>
        <v/>
      </c>
    </row>
    <row r="34" spans="1:13" ht="45" customHeight="1" x14ac:dyDescent="0.35">
      <c r="A34" s="103"/>
      <c r="B34" s="186"/>
      <c r="C34" s="99" t="str">
        <f>IF(B34="","",IFERROR(IF(NOT(ISNUMBER(parametros!$C$2)),"Fora dos ciclos",IF(OR(B34&lt;parametros!$C$2,(YEAR(B34)-YEAR(parametros!$C$2))*12+MONTH(B34)-MONTH(parametros!$C$2)&gt;59),"Fora dos ciclos","C"&amp;INT(((YEAR(B34)-YEAR(parametros!$C$2))*12+MONTH(B34)-MONTH(parametros!$C$2))/12))),"Fora dos ciclos"))</f>
        <v/>
      </c>
      <c r="D34" s="103"/>
      <c r="E34" s="104"/>
      <c r="F34" s="105" t="str">
        <f>IF(A34="","",IFERROR(VLOOKUP(A34,itens_Remanesc!$A:$C,3,0),""))</f>
        <v/>
      </c>
      <c r="G34" s="105" t="str">
        <f t="shared" ref="G34:G65" si="2">IF(OR(E34="",F34=""),"",ROUND(E34*F34,2))</f>
        <v/>
      </c>
      <c r="H34" s="103"/>
      <c r="I34" s="64" t="str">
        <f>IFERROR(VLOOKUP(C34,parametros!$B:$F,5,0),"")</f>
        <v/>
      </c>
      <c r="J34" s="105" t="str">
        <f>IF(OR(L34="",F34=""),"",ROUND(L34*IF(AND(UPPER(H34)="SIM",ISNUMBER(IF($C34="C0",IFERROR(VLOOKUP($A34,historico_VU!$A:$G,3,0),""),IF($C34="C1",IFERROR(VLOOKUP($A34,historico_VU!$A:$G,4,0),""),IF($C34="C2",IFERROR(VLOOKUP($A34,historico_VU!$A:$G,5,0),""),IF($C34="C3",IFERROR(VLOOKUP($A34,historico_VU!$A:$G,6,0),""),IF($C34="C4",IFERROR(VLOOKUP($A34,historico_VU!$A:$G,7,0),""),""))))))),IF($C34="C0",IFERROR(VLOOKUP($A34,historico_VU!$A:$G,3,0),""),IF($C34="C1",IFERROR(VLOOKUP($A34,historico_VU!$A:$G,4,0),""),IF($C34="C2",IFERROR(VLOOKUP($A34,historico_VU!$A:$G,5,0),""),IF($C34="C3",IFERROR(VLOOKUP($A34,historico_VU!$A:$G,6,0),""),IF($C34="C4",IFERROR(VLOOKUP($A34,historico_VU!$A:$G,7,0),""),""))))),F34),2))</f>
        <v/>
      </c>
      <c r="K34" s="103"/>
      <c r="L34" s="85" t="str">
        <f t="shared" ref="L34:L65" si="3">IF(OR(A34="",C34="",D34="",NOT(ISNUMBER(E34))),"",IF(LEFT(UPPER(D34),3)="ACR",ROUND(ABS(E34),2),IF(OR(LEFT(UPPER(D34),4)="SUPR",LEFT(UPPER(D34),4)="DECR"),ROUND(-ABS(E34),2),"")))</f>
        <v/>
      </c>
      <c r="M34" s="203" t="str">
        <f>IF(A34="","",IF(COUNTIF(itens_Remanesc!$A$2:$A$200,A34)=0,"NOVO ITEM NAO CADASTRADO - CADASTRAR EM itens_Remanesc: ITEM + VU_ORIGINAL (QTD_BASE_ORIGINAL sera 0 automaticamente); depois a data e a quantidade aqui.",IF(COUNTIF(itens_Remanesc!$A$2:$A$200,A34)&gt;1,"ALERTA: ITEM_DUPLICADO",IF(OR(C34="",C34="Fora dos ciclos"),"ALERTA: CICLO_INVALIDO",IF(NOT(ISNUMBER(E34)),"ALERTA: QTD_INVALIDA",IF(AND(LEFT(UPPER(D34),3)&lt;&gt;"ACR",LEFT(UPPER(D34),4)&lt;&gt;"SUPR",LEFT(UPPER(D34),4)&lt;&gt;"DECR"),"ALERTA: TIPO_INVALIDO","OK"))))))</f>
        <v/>
      </c>
    </row>
    <row r="35" spans="1:13" ht="45" customHeight="1" x14ac:dyDescent="0.35">
      <c r="A35" s="103"/>
      <c r="B35" s="186"/>
      <c r="C35" s="99" t="str">
        <f>IF(B35="","",IFERROR(IF(NOT(ISNUMBER(parametros!$C$2)),"Fora dos ciclos",IF(OR(B35&lt;parametros!$C$2,(YEAR(B35)-YEAR(parametros!$C$2))*12+MONTH(B35)-MONTH(parametros!$C$2)&gt;59),"Fora dos ciclos","C"&amp;INT(((YEAR(B35)-YEAR(parametros!$C$2))*12+MONTH(B35)-MONTH(parametros!$C$2))/12))),"Fora dos ciclos"))</f>
        <v/>
      </c>
      <c r="D35" s="103"/>
      <c r="E35" s="104"/>
      <c r="F35" s="105" t="str">
        <f>IF(A35="","",IFERROR(VLOOKUP(A35,itens_Remanesc!$A:$C,3,0),""))</f>
        <v/>
      </c>
      <c r="G35" s="105" t="str">
        <f t="shared" si="2"/>
        <v/>
      </c>
      <c r="H35" s="103"/>
      <c r="I35" s="64" t="str">
        <f>IFERROR(VLOOKUP(C35,parametros!$B:$F,5,0),"")</f>
        <v/>
      </c>
      <c r="J35" s="105" t="str">
        <f>IF(OR(L35="",F35=""),"",ROUND(L35*IF(AND(UPPER(H35)="SIM",ISNUMBER(IF($C35="C0",IFERROR(VLOOKUP($A35,historico_VU!$A:$G,3,0),""),IF($C35="C1",IFERROR(VLOOKUP($A35,historico_VU!$A:$G,4,0),""),IF($C35="C2",IFERROR(VLOOKUP($A35,historico_VU!$A:$G,5,0),""),IF($C35="C3",IFERROR(VLOOKUP($A35,historico_VU!$A:$G,6,0),""),IF($C35="C4",IFERROR(VLOOKUP($A35,historico_VU!$A:$G,7,0),""),""))))))),IF($C35="C0",IFERROR(VLOOKUP($A35,historico_VU!$A:$G,3,0),""),IF($C35="C1",IFERROR(VLOOKUP($A35,historico_VU!$A:$G,4,0),""),IF($C35="C2",IFERROR(VLOOKUP($A35,historico_VU!$A:$G,5,0),""),IF($C35="C3",IFERROR(VLOOKUP($A35,historico_VU!$A:$G,6,0),""),IF($C35="C4",IFERROR(VLOOKUP($A35,historico_VU!$A:$G,7,0),""),""))))),F35),2))</f>
        <v/>
      </c>
      <c r="K35" s="103"/>
      <c r="L35" s="85" t="str">
        <f t="shared" si="3"/>
        <v/>
      </c>
      <c r="M35" s="203" t="str">
        <f>IF(A35="","",IF(COUNTIF(itens_Remanesc!$A$2:$A$200,A35)=0,"NOVO ITEM NAO CADASTRADO - CADASTRAR EM itens_Remanesc: ITEM + VU_ORIGINAL (QTD_BASE_ORIGINAL sera 0 automaticamente); depois a data e a quantidade aqui.",IF(COUNTIF(itens_Remanesc!$A$2:$A$200,A35)&gt;1,"ALERTA: ITEM_DUPLICADO",IF(OR(C35="",C35="Fora dos ciclos"),"ALERTA: CICLO_INVALIDO",IF(NOT(ISNUMBER(E35)),"ALERTA: QTD_INVALIDA",IF(AND(LEFT(UPPER(D35),3)&lt;&gt;"ACR",LEFT(UPPER(D35),4)&lt;&gt;"SUPR",LEFT(UPPER(D35),4)&lt;&gt;"DECR"),"ALERTA: TIPO_INVALIDO","OK"))))))</f>
        <v/>
      </c>
    </row>
    <row r="36" spans="1:13" ht="45" customHeight="1" x14ac:dyDescent="0.35">
      <c r="A36" s="103"/>
      <c r="B36" s="186"/>
      <c r="C36" s="99" t="str">
        <f>IF(B36="","",IFERROR(IF(NOT(ISNUMBER(parametros!$C$2)),"Fora dos ciclos",IF(OR(B36&lt;parametros!$C$2,(YEAR(B36)-YEAR(parametros!$C$2))*12+MONTH(B36)-MONTH(parametros!$C$2)&gt;59),"Fora dos ciclos","C"&amp;INT(((YEAR(B36)-YEAR(parametros!$C$2))*12+MONTH(B36)-MONTH(parametros!$C$2))/12))),"Fora dos ciclos"))</f>
        <v/>
      </c>
      <c r="D36" s="103"/>
      <c r="E36" s="104"/>
      <c r="F36" s="105" t="str">
        <f>IF(A36="","",IFERROR(VLOOKUP(A36,itens_Remanesc!$A:$C,3,0),""))</f>
        <v/>
      </c>
      <c r="G36" s="105" t="str">
        <f t="shared" si="2"/>
        <v/>
      </c>
      <c r="H36" s="103"/>
      <c r="I36" s="64" t="str">
        <f>IFERROR(VLOOKUP(C36,parametros!$B:$F,5,0),"")</f>
        <v/>
      </c>
      <c r="J36" s="105" t="str">
        <f>IF(OR(L36="",F36=""),"",ROUND(L36*IF(AND(UPPER(H36)="SIM",ISNUMBER(IF($C36="C0",IFERROR(VLOOKUP($A36,historico_VU!$A:$G,3,0),""),IF($C36="C1",IFERROR(VLOOKUP($A36,historico_VU!$A:$G,4,0),""),IF($C36="C2",IFERROR(VLOOKUP($A36,historico_VU!$A:$G,5,0),""),IF($C36="C3",IFERROR(VLOOKUP($A36,historico_VU!$A:$G,6,0),""),IF($C36="C4",IFERROR(VLOOKUP($A36,historico_VU!$A:$G,7,0),""),""))))))),IF($C36="C0",IFERROR(VLOOKUP($A36,historico_VU!$A:$G,3,0),""),IF($C36="C1",IFERROR(VLOOKUP($A36,historico_VU!$A:$G,4,0),""),IF($C36="C2",IFERROR(VLOOKUP($A36,historico_VU!$A:$G,5,0),""),IF($C36="C3",IFERROR(VLOOKUP($A36,historico_VU!$A:$G,6,0),""),IF($C36="C4",IFERROR(VLOOKUP($A36,historico_VU!$A:$G,7,0),""),""))))),F36),2))</f>
        <v/>
      </c>
      <c r="K36" s="103"/>
      <c r="L36" s="85" t="str">
        <f t="shared" si="3"/>
        <v/>
      </c>
      <c r="M36" s="203" t="str">
        <f>IF(A36="","",IF(COUNTIF(itens_Remanesc!$A$2:$A$200,A36)=0,"NOVO ITEM NAO CADASTRADO - CADASTRAR EM itens_Remanesc: ITEM + VU_ORIGINAL (QTD_BASE_ORIGINAL sera 0 automaticamente); depois a data e a quantidade aqui.",IF(COUNTIF(itens_Remanesc!$A$2:$A$200,A36)&gt;1,"ALERTA: ITEM_DUPLICADO",IF(OR(C36="",C36="Fora dos ciclos"),"ALERTA: CICLO_INVALIDO",IF(NOT(ISNUMBER(E36)),"ALERTA: QTD_INVALIDA",IF(AND(LEFT(UPPER(D36),3)&lt;&gt;"ACR",LEFT(UPPER(D36),4)&lt;&gt;"SUPR",LEFT(UPPER(D36),4)&lt;&gt;"DECR"),"ALERTA: TIPO_INVALIDO","OK"))))))</f>
        <v/>
      </c>
    </row>
    <row r="37" spans="1:13" ht="45" customHeight="1" x14ac:dyDescent="0.35">
      <c r="A37" s="103"/>
      <c r="B37" s="186"/>
      <c r="C37" s="99" t="str">
        <f>IF(B37="","",IFERROR(IF(NOT(ISNUMBER(parametros!$C$2)),"Fora dos ciclos",IF(OR(B37&lt;parametros!$C$2,(YEAR(B37)-YEAR(parametros!$C$2))*12+MONTH(B37)-MONTH(parametros!$C$2)&gt;59),"Fora dos ciclos","C"&amp;INT(((YEAR(B37)-YEAR(parametros!$C$2))*12+MONTH(B37)-MONTH(parametros!$C$2))/12))),"Fora dos ciclos"))</f>
        <v/>
      </c>
      <c r="D37" s="103"/>
      <c r="E37" s="104"/>
      <c r="F37" s="105" t="str">
        <f>IF(A37="","",IFERROR(VLOOKUP(A37,itens_Remanesc!$A:$C,3,0),""))</f>
        <v/>
      </c>
      <c r="G37" s="105" t="str">
        <f t="shared" si="2"/>
        <v/>
      </c>
      <c r="H37" s="103"/>
      <c r="I37" s="64" t="str">
        <f>IFERROR(VLOOKUP(C37,parametros!$B:$F,5,0),"")</f>
        <v/>
      </c>
      <c r="J37" s="105" t="str">
        <f>IF(OR(L37="",F37=""),"",ROUND(L37*IF(AND(UPPER(H37)="SIM",ISNUMBER(IF($C37="C0",IFERROR(VLOOKUP($A37,historico_VU!$A:$G,3,0),""),IF($C37="C1",IFERROR(VLOOKUP($A37,historico_VU!$A:$G,4,0),""),IF($C37="C2",IFERROR(VLOOKUP($A37,historico_VU!$A:$G,5,0),""),IF($C37="C3",IFERROR(VLOOKUP($A37,historico_VU!$A:$G,6,0),""),IF($C37="C4",IFERROR(VLOOKUP($A37,historico_VU!$A:$G,7,0),""),""))))))),IF($C37="C0",IFERROR(VLOOKUP($A37,historico_VU!$A:$G,3,0),""),IF($C37="C1",IFERROR(VLOOKUP($A37,historico_VU!$A:$G,4,0),""),IF($C37="C2",IFERROR(VLOOKUP($A37,historico_VU!$A:$G,5,0),""),IF($C37="C3",IFERROR(VLOOKUP($A37,historico_VU!$A:$G,6,0),""),IF($C37="C4",IFERROR(VLOOKUP($A37,historico_VU!$A:$G,7,0),""),""))))),F37),2))</f>
        <v/>
      </c>
      <c r="K37" s="103"/>
      <c r="L37" s="85" t="str">
        <f t="shared" si="3"/>
        <v/>
      </c>
      <c r="M37" s="203" t="str">
        <f>IF(A37="","",IF(COUNTIF(itens_Remanesc!$A$2:$A$200,A37)=0,"NOVO ITEM NAO CADASTRADO - CADASTRAR EM itens_Remanesc: ITEM + VU_ORIGINAL (QTD_BASE_ORIGINAL sera 0 automaticamente); depois a data e a quantidade aqui.",IF(COUNTIF(itens_Remanesc!$A$2:$A$200,A37)&gt;1,"ALERTA: ITEM_DUPLICADO",IF(OR(C37="",C37="Fora dos ciclos"),"ALERTA: CICLO_INVALIDO",IF(NOT(ISNUMBER(E37)),"ALERTA: QTD_INVALIDA",IF(AND(LEFT(UPPER(D37),3)&lt;&gt;"ACR",LEFT(UPPER(D37),4)&lt;&gt;"SUPR",LEFT(UPPER(D37),4)&lt;&gt;"DECR"),"ALERTA: TIPO_INVALIDO","OK"))))))</f>
        <v/>
      </c>
    </row>
    <row r="38" spans="1:13" ht="45" customHeight="1" x14ac:dyDescent="0.35">
      <c r="A38" s="103"/>
      <c r="B38" s="186"/>
      <c r="C38" s="99" t="str">
        <f>IF(B38="","",IFERROR(IF(NOT(ISNUMBER(parametros!$C$2)),"Fora dos ciclos",IF(OR(B38&lt;parametros!$C$2,(YEAR(B38)-YEAR(parametros!$C$2))*12+MONTH(B38)-MONTH(parametros!$C$2)&gt;59),"Fora dos ciclos","C"&amp;INT(((YEAR(B38)-YEAR(parametros!$C$2))*12+MONTH(B38)-MONTH(parametros!$C$2))/12))),"Fora dos ciclos"))</f>
        <v/>
      </c>
      <c r="D38" s="103"/>
      <c r="E38" s="104"/>
      <c r="F38" s="105" t="str">
        <f>IF(A38="","",IFERROR(VLOOKUP(A38,itens_Remanesc!$A:$C,3,0),""))</f>
        <v/>
      </c>
      <c r="G38" s="105" t="str">
        <f t="shared" si="2"/>
        <v/>
      </c>
      <c r="H38" s="103"/>
      <c r="I38" s="64" t="str">
        <f>IFERROR(VLOOKUP(C38,parametros!$B:$F,5,0),"")</f>
        <v/>
      </c>
      <c r="J38" s="105" t="str">
        <f>IF(OR(L38="",F38=""),"",ROUND(L38*IF(AND(UPPER(H38)="SIM",ISNUMBER(IF($C38="C0",IFERROR(VLOOKUP($A38,historico_VU!$A:$G,3,0),""),IF($C38="C1",IFERROR(VLOOKUP($A38,historico_VU!$A:$G,4,0),""),IF($C38="C2",IFERROR(VLOOKUP($A38,historico_VU!$A:$G,5,0),""),IF($C38="C3",IFERROR(VLOOKUP($A38,historico_VU!$A:$G,6,0),""),IF($C38="C4",IFERROR(VLOOKUP($A38,historico_VU!$A:$G,7,0),""),""))))))),IF($C38="C0",IFERROR(VLOOKUP($A38,historico_VU!$A:$G,3,0),""),IF($C38="C1",IFERROR(VLOOKUP($A38,historico_VU!$A:$G,4,0),""),IF($C38="C2",IFERROR(VLOOKUP($A38,historico_VU!$A:$G,5,0),""),IF($C38="C3",IFERROR(VLOOKUP($A38,historico_VU!$A:$G,6,0),""),IF($C38="C4",IFERROR(VLOOKUP($A38,historico_VU!$A:$G,7,0),""),""))))),F38),2))</f>
        <v/>
      </c>
      <c r="K38" s="103"/>
      <c r="L38" s="85" t="str">
        <f t="shared" si="3"/>
        <v/>
      </c>
      <c r="M38" s="203" t="str">
        <f>IF(A38="","",IF(COUNTIF(itens_Remanesc!$A$2:$A$200,A38)=0,"NOVO ITEM NAO CADASTRADO - CADASTRAR EM itens_Remanesc: ITEM + VU_ORIGINAL (QTD_BASE_ORIGINAL sera 0 automaticamente); depois a data e a quantidade aqui.",IF(COUNTIF(itens_Remanesc!$A$2:$A$200,A38)&gt;1,"ALERTA: ITEM_DUPLICADO",IF(OR(C38="",C38="Fora dos ciclos"),"ALERTA: CICLO_INVALIDO",IF(NOT(ISNUMBER(E38)),"ALERTA: QTD_INVALIDA",IF(AND(LEFT(UPPER(D38),3)&lt;&gt;"ACR",LEFT(UPPER(D38),4)&lt;&gt;"SUPR",LEFT(UPPER(D38),4)&lt;&gt;"DECR"),"ALERTA: TIPO_INVALIDO","OK"))))))</f>
        <v/>
      </c>
    </row>
    <row r="39" spans="1:13" ht="45" customHeight="1" x14ac:dyDescent="0.35">
      <c r="A39" s="103"/>
      <c r="B39" s="186"/>
      <c r="C39" s="99" t="str">
        <f>IF(B39="","",IFERROR(IF(NOT(ISNUMBER(parametros!$C$2)),"Fora dos ciclos",IF(OR(B39&lt;parametros!$C$2,(YEAR(B39)-YEAR(parametros!$C$2))*12+MONTH(B39)-MONTH(parametros!$C$2)&gt;59),"Fora dos ciclos","C"&amp;INT(((YEAR(B39)-YEAR(parametros!$C$2))*12+MONTH(B39)-MONTH(parametros!$C$2))/12))),"Fora dos ciclos"))</f>
        <v/>
      </c>
      <c r="D39" s="103"/>
      <c r="E39" s="104"/>
      <c r="F39" s="105" t="str">
        <f>IF(A39="","",IFERROR(VLOOKUP(A39,itens_Remanesc!$A:$C,3,0),""))</f>
        <v/>
      </c>
      <c r="G39" s="105" t="str">
        <f t="shared" si="2"/>
        <v/>
      </c>
      <c r="H39" s="103"/>
      <c r="I39" s="64" t="str">
        <f>IFERROR(VLOOKUP(C39,parametros!$B:$F,5,0),"")</f>
        <v/>
      </c>
      <c r="J39" s="105" t="str">
        <f>IF(OR(L39="",F39=""),"",ROUND(L39*IF(AND(UPPER(H39)="SIM",ISNUMBER(IF($C39="C0",IFERROR(VLOOKUP($A39,historico_VU!$A:$G,3,0),""),IF($C39="C1",IFERROR(VLOOKUP($A39,historico_VU!$A:$G,4,0),""),IF($C39="C2",IFERROR(VLOOKUP($A39,historico_VU!$A:$G,5,0),""),IF($C39="C3",IFERROR(VLOOKUP($A39,historico_VU!$A:$G,6,0),""),IF($C39="C4",IFERROR(VLOOKUP($A39,historico_VU!$A:$G,7,0),""),""))))))),IF($C39="C0",IFERROR(VLOOKUP($A39,historico_VU!$A:$G,3,0),""),IF($C39="C1",IFERROR(VLOOKUP($A39,historico_VU!$A:$G,4,0),""),IF($C39="C2",IFERROR(VLOOKUP($A39,historico_VU!$A:$G,5,0),""),IF($C39="C3",IFERROR(VLOOKUP($A39,historico_VU!$A:$G,6,0),""),IF($C39="C4",IFERROR(VLOOKUP($A39,historico_VU!$A:$G,7,0),""),""))))),F39),2))</f>
        <v/>
      </c>
      <c r="K39" s="103"/>
      <c r="L39" s="85" t="str">
        <f t="shared" si="3"/>
        <v/>
      </c>
      <c r="M39" s="203" t="str">
        <f>IF(A39="","",IF(COUNTIF(itens_Remanesc!$A$2:$A$200,A39)=0,"NOVO ITEM NAO CADASTRADO - CADASTRAR EM itens_Remanesc: ITEM + VU_ORIGINAL (QTD_BASE_ORIGINAL sera 0 automaticamente); depois a data e a quantidade aqui.",IF(COUNTIF(itens_Remanesc!$A$2:$A$200,A39)&gt;1,"ALERTA: ITEM_DUPLICADO",IF(OR(C39="",C39="Fora dos ciclos"),"ALERTA: CICLO_INVALIDO",IF(NOT(ISNUMBER(E39)),"ALERTA: QTD_INVALIDA",IF(AND(LEFT(UPPER(D39),3)&lt;&gt;"ACR",LEFT(UPPER(D39),4)&lt;&gt;"SUPR",LEFT(UPPER(D39),4)&lt;&gt;"DECR"),"ALERTA: TIPO_INVALIDO","OK"))))))</f>
        <v/>
      </c>
    </row>
    <row r="40" spans="1:13" ht="45" customHeight="1" x14ac:dyDescent="0.35">
      <c r="A40" s="103"/>
      <c r="B40" s="186"/>
      <c r="C40" s="99" t="str">
        <f>IF(B40="","",IFERROR(IF(NOT(ISNUMBER(parametros!$C$2)),"Fora dos ciclos",IF(OR(B40&lt;parametros!$C$2,(YEAR(B40)-YEAR(parametros!$C$2))*12+MONTH(B40)-MONTH(parametros!$C$2)&gt;59),"Fora dos ciclos","C"&amp;INT(((YEAR(B40)-YEAR(parametros!$C$2))*12+MONTH(B40)-MONTH(parametros!$C$2))/12))),"Fora dos ciclos"))</f>
        <v/>
      </c>
      <c r="D40" s="103"/>
      <c r="E40" s="104"/>
      <c r="F40" s="105" t="str">
        <f>IF(A40="","",IFERROR(VLOOKUP(A40,itens_Remanesc!$A:$C,3,0),""))</f>
        <v/>
      </c>
      <c r="G40" s="105" t="str">
        <f t="shared" si="2"/>
        <v/>
      </c>
      <c r="H40" s="103"/>
      <c r="I40" s="64" t="str">
        <f>IFERROR(VLOOKUP(C40,parametros!$B:$F,5,0),"")</f>
        <v/>
      </c>
      <c r="J40" s="105" t="str">
        <f>IF(OR(L40="",F40=""),"",ROUND(L40*IF(AND(UPPER(H40)="SIM",ISNUMBER(IF($C40="C0",IFERROR(VLOOKUP($A40,historico_VU!$A:$G,3,0),""),IF($C40="C1",IFERROR(VLOOKUP($A40,historico_VU!$A:$G,4,0),""),IF($C40="C2",IFERROR(VLOOKUP($A40,historico_VU!$A:$G,5,0),""),IF($C40="C3",IFERROR(VLOOKUP($A40,historico_VU!$A:$G,6,0),""),IF($C40="C4",IFERROR(VLOOKUP($A40,historico_VU!$A:$G,7,0),""),""))))))),IF($C40="C0",IFERROR(VLOOKUP($A40,historico_VU!$A:$G,3,0),""),IF($C40="C1",IFERROR(VLOOKUP($A40,historico_VU!$A:$G,4,0),""),IF($C40="C2",IFERROR(VLOOKUP($A40,historico_VU!$A:$G,5,0),""),IF($C40="C3",IFERROR(VLOOKUP($A40,historico_VU!$A:$G,6,0),""),IF($C40="C4",IFERROR(VLOOKUP($A40,historico_VU!$A:$G,7,0),""),""))))),F40),2))</f>
        <v/>
      </c>
      <c r="K40" s="103"/>
      <c r="L40" s="85" t="str">
        <f t="shared" si="3"/>
        <v/>
      </c>
      <c r="M40" s="203" t="str">
        <f>IF(A40="","",IF(COUNTIF(itens_Remanesc!$A$2:$A$200,A40)=0,"NOVO ITEM NAO CADASTRADO - CADASTRAR EM itens_Remanesc: ITEM + VU_ORIGINAL (QTD_BASE_ORIGINAL sera 0 automaticamente); depois a data e a quantidade aqui.",IF(COUNTIF(itens_Remanesc!$A$2:$A$200,A40)&gt;1,"ALERTA: ITEM_DUPLICADO",IF(OR(C40="",C40="Fora dos ciclos"),"ALERTA: CICLO_INVALIDO",IF(NOT(ISNUMBER(E40)),"ALERTA: QTD_INVALIDA",IF(AND(LEFT(UPPER(D40),3)&lt;&gt;"ACR",LEFT(UPPER(D40),4)&lt;&gt;"SUPR",LEFT(UPPER(D40),4)&lt;&gt;"DECR"),"ALERTA: TIPO_INVALIDO","OK"))))))</f>
        <v/>
      </c>
    </row>
    <row r="41" spans="1:13" ht="45" customHeight="1" x14ac:dyDescent="0.35">
      <c r="A41" s="103"/>
      <c r="B41" s="186"/>
      <c r="C41" s="99" t="str">
        <f>IF(B41="","",IFERROR(IF(NOT(ISNUMBER(parametros!$C$2)),"Fora dos ciclos",IF(OR(B41&lt;parametros!$C$2,(YEAR(B41)-YEAR(parametros!$C$2))*12+MONTH(B41)-MONTH(parametros!$C$2)&gt;59),"Fora dos ciclos","C"&amp;INT(((YEAR(B41)-YEAR(parametros!$C$2))*12+MONTH(B41)-MONTH(parametros!$C$2))/12))),"Fora dos ciclos"))</f>
        <v/>
      </c>
      <c r="D41" s="103"/>
      <c r="E41" s="104"/>
      <c r="F41" s="105" t="str">
        <f>IF(A41="","",IFERROR(VLOOKUP(A41,itens_Remanesc!$A:$C,3,0),""))</f>
        <v/>
      </c>
      <c r="G41" s="105" t="str">
        <f t="shared" si="2"/>
        <v/>
      </c>
      <c r="H41" s="103"/>
      <c r="I41" s="64" t="str">
        <f>IFERROR(VLOOKUP(C41,parametros!$B:$F,5,0),"")</f>
        <v/>
      </c>
      <c r="J41" s="105" t="str">
        <f>IF(OR(L41="",F41=""),"",ROUND(L41*IF(AND(UPPER(H41)="SIM",ISNUMBER(IF($C41="C0",IFERROR(VLOOKUP($A41,historico_VU!$A:$G,3,0),""),IF($C41="C1",IFERROR(VLOOKUP($A41,historico_VU!$A:$G,4,0),""),IF($C41="C2",IFERROR(VLOOKUP($A41,historico_VU!$A:$G,5,0),""),IF($C41="C3",IFERROR(VLOOKUP($A41,historico_VU!$A:$G,6,0),""),IF($C41="C4",IFERROR(VLOOKUP($A41,historico_VU!$A:$G,7,0),""),""))))))),IF($C41="C0",IFERROR(VLOOKUP($A41,historico_VU!$A:$G,3,0),""),IF($C41="C1",IFERROR(VLOOKUP($A41,historico_VU!$A:$G,4,0),""),IF($C41="C2",IFERROR(VLOOKUP($A41,historico_VU!$A:$G,5,0),""),IF($C41="C3",IFERROR(VLOOKUP($A41,historico_VU!$A:$G,6,0),""),IF($C41="C4",IFERROR(VLOOKUP($A41,historico_VU!$A:$G,7,0),""),""))))),F41),2))</f>
        <v/>
      </c>
      <c r="K41" s="103"/>
      <c r="L41" s="85" t="str">
        <f t="shared" si="3"/>
        <v/>
      </c>
      <c r="M41" s="203" t="str">
        <f>IF(A41="","",IF(COUNTIF(itens_Remanesc!$A$2:$A$200,A41)=0,"NOVO ITEM NAO CADASTRADO - CADASTRAR EM itens_Remanesc: ITEM + VU_ORIGINAL (QTD_BASE_ORIGINAL sera 0 automaticamente); depois a data e a quantidade aqui.",IF(COUNTIF(itens_Remanesc!$A$2:$A$200,A41)&gt;1,"ALERTA: ITEM_DUPLICADO",IF(OR(C41="",C41="Fora dos ciclos"),"ALERTA: CICLO_INVALIDO",IF(NOT(ISNUMBER(E41)),"ALERTA: QTD_INVALIDA",IF(AND(LEFT(UPPER(D41),3)&lt;&gt;"ACR",LEFT(UPPER(D41),4)&lt;&gt;"SUPR",LEFT(UPPER(D41),4)&lt;&gt;"DECR"),"ALERTA: TIPO_INVALIDO","OK"))))))</f>
        <v/>
      </c>
    </row>
    <row r="42" spans="1:13" ht="45" customHeight="1" x14ac:dyDescent="0.35">
      <c r="A42" s="103"/>
      <c r="B42" s="186"/>
      <c r="C42" s="99" t="str">
        <f>IF(B42="","",IFERROR(IF(NOT(ISNUMBER(parametros!$C$2)),"Fora dos ciclos",IF(OR(B42&lt;parametros!$C$2,(YEAR(B42)-YEAR(parametros!$C$2))*12+MONTH(B42)-MONTH(parametros!$C$2)&gt;59),"Fora dos ciclos","C"&amp;INT(((YEAR(B42)-YEAR(parametros!$C$2))*12+MONTH(B42)-MONTH(parametros!$C$2))/12))),"Fora dos ciclos"))</f>
        <v/>
      </c>
      <c r="D42" s="103"/>
      <c r="E42" s="104"/>
      <c r="F42" s="105" t="str">
        <f>IF(A42="","",IFERROR(VLOOKUP(A42,itens_Remanesc!$A:$C,3,0),""))</f>
        <v/>
      </c>
      <c r="G42" s="105" t="str">
        <f t="shared" si="2"/>
        <v/>
      </c>
      <c r="H42" s="103"/>
      <c r="I42" s="64" t="str">
        <f>IFERROR(VLOOKUP(C42,parametros!$B:$F,5,0),"")</f>
        <v/>
      </c>
      <c r="J42" s="105" t="str">
        <f>IF(OR(L42="",F42=""),"",ROUND(L42*IF(AND(UPPER(H42)="SIM",ISNUMBER(IF($C42="C0",IFERROR(VLOOKUP($A42,historico_VU!$A:$G,3,0),""),IF($C42="C1",IFERROR(VLOOKUP($A42,historico_VU!$A:$G,4,0),""),IF($C42="C2",IFERROR(VLOOKUP($A42,historico_VU!$A:$G,5,0),""),IF($C42="C3",IFERROR(VLOOKUP($A42,historico_VU!$A:$G,6,0),""),IF($C42="C4",IFERROR(VLOOKUP($A42,historico_VU!$A:$G,7,0),""),""))))))),IF($C42="C0",IFERROR(VLOOKUP($A42,historico_VU!$A:$G,3,0),""),IF($C42="C1",IFERROR(VLOOKUP($A42,historico_VU!$A:$G,4,0),""),IF($C42="C2",IFERROR(VLOOKUP($A42,historico_VU!$A:$G,5,0),""),IF($C42="C3",IFERROR(VLOOKUP($A42,historico_VU!$A:$G,6,0),""),IF($C42="C4",IFERROR(VLOOKUP($A42,historico_VU!$A:$G,7,0),""),""))))),F42),2))</f>
        <v/>
      </c>
      <c r="K42" s="103"/>
      <c r="L42" s="85" t="str">
        <f t="shared" si="3"/>
        <v/>
      </c>
      <c r="M42" s="203" t="str">
        <f>IF(A42="","",IF(COUNTIF(itens_Remanesc!$A$2:$A$200,A42)=0,"NOVO ITEM NAO CADASTRADO - CADASTRAR EM itens_Remanesc: ITEM + VU_ORIGINAL (QTD_BASE_ORIGINAL sera 0 automaticamente); depois a data e a quantidade aqui.",IF(COUNTIF(itens_Remanesc!$A$2:$A$200,A42)&gt;1,"ALERTA: ITEM_DUPLICADO",IF(OR(C42="",C42="Fora dos ciclos"),"ALERTA: CICLO_INVALIDO",IF(NOT(ISNUMBER(E42)),"ALERTA: QTD_INVALIDA",IF(AND(LEFT(UPPER(D42),3)&lt;&gt;"ACR",LEFT(UPPER(D42),4)&lt;&gt;"SUPR",LEFT(UPPER(D42),4)&lt;&gt;"DECR"),"ALERTA: TIPO_INVALIDO","OK"))))))</f>
        <v/>
      </c>
    </row>
    <row r="43" spans="1:13" ht="45" customHeight="1" x14ac:dyDescent="0.35">
      <c r="A43" s="103"/>
      <c r="B43" s="186"/>
      <c r="C43" s="99" t="str">
        <f>IF(B43="","",IFERROR(IF(NOT(ISNUMBER(parametros!$C$2)),"Fora dos ciclos",IF(OR(B43&lt;parametros!$C$2,(YEAR(B43)-YEAR(parametros!$C$2))*12+MONTH(B43)-MONTH(parametros!$C$2)&gt;59),"Fora dos ciclos","C"&amp;INT(((YEAR(B43)-YEAR(parametros!$C$2))*12+MONTH(B43)-MONTH(parametros!$C$2))/12))),"Fora dos ciclos"))</f>
        <v/>
      </c>
      <c r="D43" s="103"/>
      <c r="E43" s="104"/>
      <c r="F43" s="105" t="str">
        <f>IF(A43="","",IFERROR(VLOOKUP(A43,itens_Remanesc!$A:$C,3,0),""))</f>
        <v/>
      </c>
      <c r="G43" s="105" t="str">
        <f t="shared" si="2"/>
        <v/>
      </c>
      <c r="H43" s="103"/>
      <c r="I43" s="64" t="str">
        <f>IFERROR(VLOOKUP(C43,parametros!$B:$F,5,0),"")</f>
        <v/>
      </c>
      <c r="J43" s="105" t="str">
        <f>IF(OR(L43="",F43=""),"",ROUND(L43*IF(AND(UPPER(H43)="SIM",ISNUMBER(IF($C43="C0",IFERROR(VLOOKUP($A43,historico_VU!$A:$G,3,0),""),IF($C43="C1",IFERROR(VLOOKUP($A43,historico_VU!$A:$G,4,0),""),IF($C43="C2",IFERROR(VLOOKUP($A43,historico_VU!$A:$G,5,0),""),IF($C43="C3",IFERROR(VLOOKUP($A43,historico_VU!$A:$G,6,0),""),IF($C43="C4",IFERROR(VLOOKUP($A43,historico_VU!$A:$G,7,0),""),""))))))),IF($C43="C0",IFERROR(VLOOKUP($A43,historico_VU!$A:$G,3,0),""),IF($C43="C1",IFERROR(VLOOKUP($A43,historico_VU!$A:$G,4,0),""),IF($C43="C2",IFERROR(VLOOKUP($A43,historico_VU!$A:$G,5,0),""),IF($C43="C3",IFERROR(VLOOKUP($A43,historico_VU!$A:$G,6,0),""),IF($C43="C4",IFERROR(VLOOKUP($A43,historico_VU!$A:$G,7,0),""),""))))),F43),2))</f>
        <v/>
      </c>
      <c r="K43" s="103"/>
      <c r="L43" s="85" t="str">
        <f t="shared" si="3"/>
        <v/>
      </c>
      <c r="M43" s="203" t="str">
        <f>IF(A43="","",IF(COUNTIF(itens_Remanesc!$A$2:$A$200,A43)=0,"NOVO ITEM NAO CADASTRADO - CADASTRAR EM itens_Remanesc: ITEM + VU_ORIGINAL (QTD_BASE_ORIGINAL sera 0 automaticamente); depois a data e a quantidade aqui.",IF(COUNTIF(itens_Remanesc!$A$2:$A$200,A43)&gt;1,"ALERTA: ITEM_DUPLICADO",IF(OR(C43="",C43="Fora dos ciclos"),"ALERTA: CICLO_INVALIDO",IF(NOT(ISNUMBER(E43)),"ALERTA: QTD_INVALIDA",IF(AND(LEFT(UPPER(D43),3)&lt;&gt;"ACR",LEFT(UPPER(D43),4)&lt;&gt;"SUPR",LEFT(UPPER(D43),4)&lt;&gt;"DECR"),"ALERTA: TIPO_INVALIDO","OK"))))))</f>
        <v/>
      </c>
    </row>
    <row r="44" spans="1:13" ht="45" customHeight="1" x14ac:dyDescent="0.35">
      <c r="A44" s="103"/>
      <c r="B44" s="186"/>
      <c r="C44" s="99" t="str">
        <f>IF(B44="","",IFERROR(IF(NOT(ISNUMBER(parametros!$C$2)),"Fora dos ciclos",IF(OR(B44&lt;parametros!$C$2,(YEAR(B44)-YEAR(parametros!$C$2))*12+MONTH(B44)-MONTH(parametros!$C$2)&gt;59),"Fora dos ciclos","C"&amp;INT(((YEAR(B44)-YEAR(parametros!$C$2))*12+MONTH(B44)-MONTH(parametros!$C$2))/12))),"Fora dos ciclos"))</f>
        <v/>
      </c>
      <c r="D44" s="103"/>
      <c r="E44" s="104"/>
      <c r="F44" s="105" t="str">
        <f>IF(A44="","",IFERROR(VLOOKUP(A44,itens_Remanesc!$A:$C,3,0),""))</f>
        <v/>
      </c>
      <c r="G44" s="105" t="str">
        <f t="shared" si="2"/>
        <v/>
      </c>
      <c r="H44" s="103"/>
      <c r="I44" s="64" t="str">
        <f>IFERROR(VLOOKUP(C44,parametros!$B:$F,5,0),"")</f>
        <v/>
      </c>
      <c r="J44" s="105" t="str">
        <f>IF(OR(L44="",F44=""),"",ROUND(L44*IF(AND(UPPER(H44)="SIM",ISNUMBER(IF($C44="C0",IFERROR(VLOOKUP($A44,historico_VU!$A:$G,3,0),""),IF($C44="C1",IFERROR(VLOOKUP($A44,historico_VU!$A:$G,4,0),""),IF($C44="C2",IFERROR(VLOOKUP($A44,historico_VU!$A:$G,5,0),""),IF($C44="C3",IFERROR(VLOOKUP($A44,historico_VU!$A:$G,6,0),""),IF($C44="C4",IFERROR(VLOOKUP($A44,historico_VU!$A:$G,7,0),""),""))))))),IF($C44="C0",IFERROR(VLOOKUP($A44,historico_VU!$A:$G,3,0),""),IF($C44="C1",IFERROR(VLOOKUP($A44,historico_VU!$A:$G,4,0),""),IF($C44="C2",IFERROR(VLOOKUP($A44,historico_VU!$A:$G,5,0),""),IF($C44="C3",IFERROR(VLOOKUP($A44,historico_VU!$A:$G,6,0),""),IF($C44="C4",IFERROR(VLOOKUP($A44,historico_VU!$A:$G,7,0),""),""))))),F44),2))</f>
        <v/>
      </c>
      <c r="K44" s="103"/>
      <c r="L44" s="85" t="str">
        <f t="shared" si="3"/>
        <v/>
      </c>
      <c r="M44" s="203" t="str">
        <f>IF(A44="","",IF(COUNTIF(itens_Remanesc!$A$2:$A$200,A44)=0,"NOVO ITEM NAO CADASTRADO - CADASTRAR EM itens_Remanesc: ITEM + VU_ORIGINAL (QTD_BASE_ORIGINAL sera 0 automaticamente); depois a data e a quantidade aqui.",IF(COUNTIF(itens_Remanesc!$A$2:$A$200,A44)&gt;1,"ALERTA: ITEM_DUPLICADO",IF(OR(C44="",C44="Fora dos ciclos"),"ALERTA: CICLO_INVALIDO",IF(NOT(ISNUMBER(E44)),"ALERTA: QTD_INVALIDA",IF(AND(LEFT(UPPER(D44),3)&lt;&gt;"ACR",LEFT(UPPER(D44),4)&lt;&gt;"SUPR",LEFT(UPPER(D44),4)&lt;&gt;"DECR"),"ALERTA: TIPO_INVALIDO","OK"))))))</f>
        <v/>
      </c>
    </row>
    <row r="45" spans="1:13" ht="45" customHeight="1" x14ac:dyDescent="0.35">
      <c r="A45" s="103"/>
      <c r="B45" s="186"/>
      <c r="C45" s="99" t="str">
        <f>IF(B45="","",IFERROR(IF(NOT(ISNUMBER(parametros!$C$2)),"Fora dos ciclos",IF(OR(B45&lt;parametros!$C$2,(YEAR(B45)-YEAR(parametros!$C$2))*12+MONTH(B45)-MONTH(parametros!$C$2)&gt;59),"Fora dos ciclos","C"&amp;INT(((YEAR(B45)-YEAR(parametros!$C$2))*12+MONTH(B45)-MONTH(parametros!$C$2))/12))),"Fora dos ciclos"))</f>
        <v/>
      </c>
      <c r="D45" s="103"/>
      <c r="E45" s="104"/>
      <c r="F45" s="105" t="str">
        <f>IF(A45="","",IFERROR(VLOOKUP(A45,itens_Remanesc!$A:$C,3,0),""))</f>
        <v/>
      </c>
      <c r="G45" s="105" t="str">
        <f t="shared" si="2"/>
        <v/>
      </c>
      <c r="H45" s="103"/>
      <c r="I45" s="64" t="str">
        <f>IFERROR(VLOOKUP(C45,parametros!$B:$F,5,0),"")</f>
        <v/>
      </c>
      <c r="J45" s="105" t="str">
        <f>IF(OR(L45="",F45=""),"",ROUND(L45*IF(AND(UPPER(H45)="SIM",ISNUMBER(IF($C45="C0",IFERROR(VLOOKUP($A45,historico_VU!$A:$G,3,0),""),IF($C45="C1",IFERROR(VLOOKUP($A45,historico_VU!$A:$G,4,0),""),IF($C45="C2",IFERROR(VLOOKUP($A45,historico_VU!$A:$G,5,0),""),IF($C45="C3",IFERROR(VLOOKUP($A45,historico_VU!$A:$G,6,0),""),IF($C45="C4",IFERROR(VLOOKUP($A45,historico_VU!$A:$G,7,0),""),""))))))),IF($C45="C0",IFERROR(VLOOKUP($A45,historico_VU!$A:$G,3,0),""),IF($C45="C1",IFERROR(VLOOKUP($A45,historico_VU!$A:$G,4,0),""),IF($C45="C2",IFERROR(VLOOKUP($A45,historico_VU!$A:$G,5,0),""),IF($C45="C3",IFERROR(VLOOKUP($A45,historico_VU!$A:$G,6,0),""),IF($C45="C4",IFERROR(VLOOKUP($A45,historico_VU!$A:$G,7,0),""),""))))),F45),2))</f>
        <v/>
      </c>
      <c r="K45" s="103"/>
      <c r="L45" s="85" t="str">
        <f t="shared" si="3"/>
        <v/>
      </c>
      <c r="M45" s="203" t="str">
        <f>IF(A45="","",IF(COUNTIF(itens_Remanesc!$A$2:$A$200,A45)=0,"NOVO ITEM NAO CADASTRADO - CADASTRAR EM itens_Remanesc: ITEM + VU_ORIGINAL (QTD_BASE_ORIGINAL sera 0 automaticamente); depois a data e a quantidade aqui.",IF(COUNTIF(itens_Remanesc!$A$2:$A$200,A45)&gt;1,"ALERTA: ITEM_DUPLICADO",IF(OR(C45="",C45="Fora dos ciclos"),"ALERTA: CICLO_INVALIDO",IF(NOT(ISNUMBER(E45)),"ALERTA: QTD_INVALIDA",IF(AND(LEFT(UPPER(D45),3)&lt;&gt;"ACR",LEFT(UPPER(D45),4)&lt;&gt;"SUPR",LEFT(UPPER(D45),4)&lt;&gt;"DECR"),"ALERTA: TIPO_INVALIDO","OK"))))))</f>
        <v/>
      </c>
    </row>
    <row r="46" spans="1:13" ht="45" customHeight="1" x14ac:dyDescent="0.35">
      <c r="A46" s="103"/>
      <c r="B46" s="186"/>
      <c r="C46" s="99" t="str">
        <f>IF(B46="","",IFERROR(IF(NOT(ISNUMBER(parametros!$C$2)),"Fora dos ciclos",IF(OR(B46&lt;parametros!$C$2,(YEAR(B46)-YEAR(parametros!$C$2))*12+MONTH(B46)-MONTH(parametros!$C$2)&gt;59),"Fora dos ciclos","C"&amp;INT(((YEAR(B46)-YEAR(parametros!$C$2))*12+MONTH(B46)-MONTH(parametros!$C$2))/12))),"Fora dos ciclos"))</f>
        <v/>
      </c>
      <c r="D46" s="103"/>
      <c r="E46" s="104"/>
      <c r="F46" s="105" t="str">
        <f>IF(A46="","",IFERROR(VLOOKUP(A46,itens_Remanesc!$A:$C,3,0),""))</f>
        <v/>
      </c>
      <c r="G46" s="105" t="str">
        <f t="shared" si="2"/>
        <v/>
      </c>
      <c r="H46" s="103"/>
      <c r="I46" s="64" t="str">
        <f>IFERROR(VLOOKUP(C46,parametros!$B:$F,5,0),"")</f>
        <v/>
      </c>
      <c r="J46" s="105" t="str">
        <f>IF(OR(L46="",F46=""),"",ROUND(L46*IF(AND(UPPER(H46)="SIM",ISNUMBER(IF($C46="C0",IFERROR(VLOOKUP($A46,historico_VU!$A:$G,3,0),""),IF($C46="C1",IFERROR(VLOOKUP($A46,historico_VU!$A:$G,4,0),""),IF($C46="C2",IFERROR(VLOOKUP($A46,historico_VU!$A:$G,5,0),""),IF($C46="C3",IFERROR(VLOOKUP($A46,historico_VU!$A:$G,6,0),""),IF($C46="C4",IFERROR(VLOOKUP($A46,historico_VU!$A:$G,7,0),""),""))))))),IF($C46="C0",IFERROR(VLOOKUP($A46,historico_VU!$A:$G,3,0),""),IF($C46="C1",IFERROR(VLOOKUP($A46,historico_VU!$A:$G,4,0),""),IF($C46="C2",IFERROR(VLOOKUP($A46,historico_VU!$A:$G,5,0),""),IF($C46="C3",IFERROR(VLOOKUP($A46,historico_VU!$A:$G,6,0),""),IF($C46="C4",IFERROR(VLOOKUP($A46,historico_VU!$A:$G,7,0),""),""))))),F46),2))</f>
        <v/>
      </c>
      <c r="K46" s="103"/>
      <c r="L46" s="85" t="str">
        <f t="shared" si="3"/>
        <v/>
      </c>
      <c r="M46" s="203" t="str">
        <f>IF(A46="","",IF(COUNTIF(itens_Remanesc!$A$2:$A$200,A46)=0,"NOVO ITEM NAO CADASTRADO - CADASTRAR EM itens_Remanesc: ITEM + VU_ORIGINAL (QTD_BASE_ORIGINAL sera 0 automaticamente); depois a data e a quantidade aqui.",IF(COUNTIF(itens_Remanesc!$A$2:$A$200,A46)&gt;1,"ALERTA: ITEM_DUPLICADO",IF(OR(C46="",C46="Fora dos ciclos"),"ALERTA: CICLO_INVALIDO",IF(NOT(ISNUMBER(E46)),"ALERTA: QTD_INVALIDA",IF(AND(LEFT(UPPER(D46),3)&lt;&gt;"ACR",LEFT(UPPER(D46),4)&lt;&gt;"SUPR",LEFT(UPPER(D46),4)&lt;&gt;"DECR"),"ALERTA: TIPO_INVALIDO","OK"))))))</f>
        <v/>
      </c>
    </row>
    <row r="47" spans="1:13" ht="45" customHeight="1" x14ac:dyDescent="0.35">
      <c r="A47" s="103"/>
      <c r="B47" s="186"/>
      <c r="C47" s="99" t="str">
        <f>IF(B47="","",IFERROR(IF(NOT(ISNUMBER(parametros!$C$2)),"Fora dos ciclos",IF(OR(B47&lt;parametros!$C$2,(YEAR(B47)-YEAR(parametros!$C$2))*12+MONTH(B47)-MONTH(parametros!$C$2)&gt;59),"Fora dos ciclos","C"&amp;INT(((YEAR(B47)-YEAR(parametros!$C$2))*12+MONTH(B47)-MONTH(parametros!$C$2))/12))),"Fora dos ciclos"))</f>
        <v/>
      </c>
      <c r="D47" s="103"/>
      <c r="E47" s="104"/>
      <c r="F47" s="105" t="str">
        <f>IF(A47="","",IFERROR(VLOOKUP(A47,itens_Remanesc!$A:$C,3,0),""))</f>
        <v/>
      </c>
      <c r="G47" s="105" t="str">
        <f t="shared" si="2"/>
        <v/>
      </c>
      <c r="H47" s="103"/>
      <c r="I47" s="64" t="str">
        <f>IFERROR(VLOOKUP(C47,parametros!$B:$F,5,0),"")</f>
        <v/>
      </c>
      <c r="J47" s="105" t="str">
        <f>IF(OR(L47="",F47=""),"",ROUND(L47*IF(AND(UPPER(H47)="SIM",ISNUMBER(IF($C47="C0",IFERROR(VLOOKUP($A47,historico_VU!$A:$G,3,0),""),IF($C47="C1",IFERROR(VLOOKUP($A47,historico_VU!$A:$G,4,0),""),IF($C47="C2",IFERROR(VLOOKUP($A47,historico_VU!$A:$G,5,0),""),IF($C47="C3",IFERROR(VLOOKUP($A47,historico_VU!$A:$G,6,0),""),IF($C47="C4",IFERROR(VLOOKUP($A47,historico_VU!$A:$G,7,0),""),""))))))),IF($C47="C0",IFERROR(VLOOKUP($A47,historico_VU!$A:$G,3,0),""),IF($C47="C1",IFERROR(VLOOKUP($A47,historico_VU!$A:$G,4,0),""),IF($C47="C2",IFERROR(VLOOKUP($A47,historico_VU!$A:$G,5,0),""),IF($C47="C3",IFERROR(VLOOKUP($A47,historico_VU!$A:$G,6,0),""),IF($C47="C4",IFERROR(VLOOKUP($A47,historico_VU!$A:$G,7,0),""),""))))),F47),2))</f>
        <v/>
      </c>
      <c r="K47" s="103"/>
      <c r="L47" s="85" t="str">
        <f t="shared" si="3"/>
        <v/>
      </c>
      <c r="M47" s="203" t="str">
        <f>IF(A47="","",IF(COUNTIF(itens_Remanesc!$A$2:$A$200,A47)=0,"NOVO ITEM NAO CADASTRADO - CADASTRAR EM itens_Remanesc: ITEM + VU_ORIGINAL (QTD_BASE_ORIGINAL sera 0 automaticamente); depois a data e a quantidade aqui.",IF(COUNTIF(itens_Remanesc!$A$2:$A$200,A47)&gt;1,"ALERTA: ITEM_DUPLICADO",IF(OR(C47="",C47="Fora dos ciclos"),"ALERTA: CICLO_INVALIDO",IF(NOT(ISNUMBER(E47)),"ALERTA: QTD_INVALIDA",IF(AND(LEFT(UPPER(D47),3)&lt;&gt;"ACR",LEFT(UPPER(D47),4)&lt;&gt;"SUPR",LEFT(UPPER(D47),4)&lt;&gt;"DECR"),"ALERTA: TIPO_INVALIDO","OK"))))))</f>
        <v/>
      </c>
    </row>
    <row r="48" spans="1:13" ht="45" customHeight="1" x14ac:dyDescent="0.35">
      <c r="A48" s="103"/>
      <c r="B48" s="186"/>
      <c r="C48" s="99" t="str">
        <f>IF(B48="","",IFERROR(IF(NOT(ISNUMBER(parametros!$C$2)),"Fora dos ciclos",IF(OR(B48&lt;parametros!$C$2,(YEAR(B48)-YEAR(parametros!$C$2))*12+MONTH(B48)-MONTH(parametros!$C$2)&gt;59),"Fora dos ciclos","C"&amp;INT(((YEAR(B48)-YEAR(parametros!$C$2))*12+MONTH(B48)-MONTH(parametros!$C$2))/12))),"Fora dos ciclos"))</f>
        <v/>
      </c>
      <c r="D48" s="103"/>
      <c r="E48" s="104"/>
      <c r="F48" s="105" t="str">
        <f>IF(A48="","",IFERROR(VLOOKUP(A48,itens_Remanesc!$A:$C,3,0),""))</f>
        <v/>
      </c>
      <c r="G48" s="105" t="str">
        <f t="shared" si="2"/>
        <v/>
      </c>
      <c r="H48" s="103"/>
      <c r="I48" s="64" t="str">
        <f>IFERROR(VLOOKUP(C48,parametros!$B:$F,5,0),"")</f>
        <v/>
      </c>
      <c r="J48" s="105" t="str">
        <f>IF(OR(L48="",F48=""),"",ROUND(L48*IF(AND(UPPER(H48)="SIM",ISNUMBER(IF($C48="C0",IFERROR(VLOOKUP($A48,historico_VU!$A:$G,3,0),""),IF($C48="C1",IFERROR(VLOOKUP($A48,historico_VU!$A:$G,4,0),""),IF($C48="C2",IFERROR(VLOOKUP($A48,historico_VU!$A:$G,5,0),""),IF($C48="C3",IFERROR(VLOOKUP($A48,historico_VU!$A:$G,6,0),""),IF($C48="C4",IFERROR(VLOOKUP($A48,historico_VU!$A:$G,7,0),""),""))))))),IF($C48="C0",IFERROR(VLOOKUP($A48,historico_VU!$A:$G,3,0),""),IF($C48="C1",IFERROR(VLOOKUP($A48,historico_VU!$A:$G,4,0),""),IF($C48="C2",IFERROR(VLOOKUP($A48,historico_VU!$A:$G,5,0),""),IF($C48="C3",IFERROR(VLOOKUP($A48,historico_VU!$A:$G,6,0),""),IF($C48="C4",IFERROR(VLOOKUP($A48,historico_VU!$A:$G,7,0),""),""))))),F48),2))</f>
        <v/>
      </c>
      <c r="K48" s="103"/>
      <c r="L48" s="85" t="str">
        <f t="shared" si="3"/>
        <v/>
      </c>
      <c r="M48" s="203" t="str">
        <f>IF(A48="","",IF(COUNTIF(itens_Remanesc!$A$2:$A$200,A48)=0,"NOVO ITEM NAO CADASTRADO - CADASTRAR EM itens_Remanesc: ITEM + VU_ORIGINAL (QTD_BASE_ORIGINAL sera 0 automaticamente); depois a data e a quantidade aqui.",IF(COUNTIF(itens_Remanesc!$A$2:$A$200,A48)&gt;1,"ALERTA: ITEM_DUPLICADO",IF(OR(C48="",C48="Fora dos ciclos"),"ALERTA: CICLO_INVALIDO",IF(NOT(ISNUMBER(E48)),"ALERTA: QTD_INVALIDA",IF(AND(LEFT(UPPER(D48),3)&lt;&gt;"ACR",LEFT(UPPER(D48),4)&lt;&gt;"SUPR",LEFT(UPPER(D48),4)&lt;&gt;"DECR"),"ALERTA: TIPO_INVALIDO","OK"))))))</f>
        <v/>
      </c>
    </row>
    <row r="49" spans="1:13" ht="45" customHeight="1" x14ac:dyDescent="0.35">
      <c r="A49" s="103"/>
      <c r="B49" s="186"/>
      <c r="C49" s="99" t="str">
        <f>IF(B49="","",IFERROR(IF(NOT(ISNUMBER(parametros!$C$2)),"Fora dos ciclos",IF(OR(B49&lt;parametros!$C$2,(YEAR(B49)-YEAR(parametros!$C$2))*12+MONTH(B49)-MONTH(parametros!$C$2)&gt;59),"Fora dos ciclos","C"&amp;INT(((YEAR(B49)-YEAR(parametros!$C$2))*12+MONTH(B49)-MONTH(parametros!$C$2))/12))),"Fora dos ciclos"))</f>
        <v/>
      </c>
      <c r="D49" s="103"/>
      <c r="E49" s="104"/>
      <c r="F49" s="105" t="str">
        <f>IF(A49="","",IFERROR(VLOOKUP(A49,itens_Remanesc!$A:$C,3,0),""))</f>
        <v/>
      </c>
      <c r="G49" s="105" t="str">
        <f t="shared" si="2"/>
        <v/>
      </c>
      <c r="H49" s="103"/>
      <c r="I49" s="64" t="str">
        <f>IFERROR(VLOOKUP(C49,parametros!$B:$F,5,0),"")</f>
        <v/>
      </c>
      <c r="J49" s="105" t="str">
        <f>IF(OR(L49="",F49=""),"",ROUND(L49*IF(AND(UPPER(H49)="SIM",ISNUMBER(IF($C49="C0",IFERROR(VLOOKUP($A49,historico_VU!$A:$G,3,0),""),IF($C49="C1",IFERROR(VLOOKUP($A49,historico_VU!$A:$G,4,0),""),IF($C49="C2",IFERROR(VLOOKUP($A49,historico_VU!$A:$G,5,0),""),IF($C49="C3",IFERROR(VLOOKUP($A49,historico_VU!$A:$G,6,0),""),IF($C49="C4",IFERROR(VLOOKUP($A49,historico_VU!$A:$G,7,0),""),""))))))),IF($C49="C0",IFERROR(VLOOKUP($A49,historico_VU!$A:$G,3,0),""),IF($C49="C1",IFERROR(VLOOKUP($A49,historico_VU!$A:$G,4,0),""),IF($C49="C2",IFERROR(VLOOKUP($A49,historico_VU!$A:$G,5,0),""),IF($C49="C3",IFERROR(VLOOKUP($A49,historico_VU!$A:$G,6,0),""),IF($C49="C4",IFERROR(VLOOKUP($A49,historico_VU!$A:$G,7,0),""),""))))),F49),2))</f>
        <v/>
      </c>
      <c r="K49" s="103"/>
      <c r="L49" s="85" t="str">
        <f t="shared" si="3"/>
        <v/>
      </c>
      <c r="M49" s="203" t="str">
        <f>IF(A49="","",IF(COUNTIF(itens_Remanesc!$A$2:$A$200,A49)=0,"NOVO ITEM NAO CADASTRADO - CADASTRAR EM itens_Remanesc: ITEM + VU_ORIGINAL (QTD_BASE_ORIGINAL sera 0 automaticamente); depois a data e a quantidade aqui.",IF(COUNTIF(itens_Remanesc!$A$2:$A$200,A49)&gt;1,"ALERTA: ITEM_DUPLICADO",IF(OR(C49="",C49="Fora dos ciclos"),"ALERTA: CICLO_INVALIDO",IF(NOT(ISNUMBER(E49)),"ALERTA: QTD_INVALIDA",IF(AND(LEFT(UPPER(D49),3)&lt;&gt;"ACR",LEFT(UPPER(D49),4)&lt;&gt;"SUPR",LEFT(UPPER(D49),4)&lt;&gt;"DECR"),"ALERTA: TIPO_INVALIDO","OK"))))))</f>
        <v/>
      </c>
    </row>
    <row r="50" spans="1:13" ht="45" customHeight="1" x14ac:dyDescent="0.35">
      <c r="A50" s="103"/>
      <c r="B50" s="186"/>
      <c r="C50" s="99" t="str">
        <f>IF(B50="","",IFERROR(IF(NOT(ISNUMBER(parametros!$C$2)),"Fora dos ciclos",IF(OR(B50&lt;parametros!$C$2,(YEAR(B50)-YEAR(parametros!$C$2))*12+MONTH(B50)-MONTH(parametros!$C$2)&gt;59),"Fora dos ciclos","C"&amp;INT(((YEAR(B50)-YEAR(parametros!$C$2))*12+MONTH(B50)-MONTH(parametros!$C$2))/12))),"Fora dos ciclos"))</f>
        <v/>
      </c>
      <c r="D50" s="103"/>
      <c r="E50" s="104"/>
      <c r="F50" s="105" t="str">
        <f>IF(A50="","",IFERROR(VLOOKUP(A50,itens_Remanesc!$A:$C,3,0),""))</f>
        <v/>
      </c>
      <c r="G50" s="105" t="str">
        <f t="shared" si="2"/>
        <v/>
      </c>
      <c r="H50" s="103"/>
      <c r="I50" s="64" t="str">
        <f>IFERROR(VLOOKUP(C50,parametros!$B:$F,5,0),"")</f>
        <v/>
      </c>
      <c r="J50" s="105" t="str">
        <f>IF(OR(L50="",F50=""),"",ROUND(L50*IF(AND(UPPER(H50)="SIM",ISNUMBER(IF($C50="C0",IFERROR(VLOOKUP($A50,historico_VU!$A:$G,3,0),""),IF($C50="C1",IFERROR(VLOOKUP($A50,historico_VU!$A:$G,4,0),""),IF($C50="C2",IFERROR(VLOOKUP($A50,historico_VU!$A:$G,5,0),""),IF($C50="C3",IFERROR(VLOOKUP($A50,historico_VU!$A:$G,6,0),""),IF($C50="C4",IFERROR(VLOOKUP($A50,historico_VU!$A:$G,7,0),""),""))))))),IF($C50="C0",IFERROR(VLOOKUP($A50,historico_VU!$A:$G,3,0),""),IF($C50="C1",IFERROR(VLOOKUP($A50,historico_VU!$A:$G,4,0),""),IF($C50="C2",IFERROR(VLOOKUP($A50,historico_VU!$A:$G,5,0),""),IF($C50="C3",IFERROR(VLOOKUP($A50,historico_VU!$A:$G,6,0),""),IF($C50="C4",IFERROR(VLOOKUP($A50,historico_VU!$A:$G,7,0),""),""))))),F50),2))</f>
        <v/>
      </c>
      <c r="K50" s="103"/>
      <c r="L50" s="85" t="str">
        <f t="shared" si="3"/>
        <v/>
      </c>
      <c r="M50" s="203" t="str">
        <f>IF(A50="","",IF(COUNTIF(itens_Remanesc!$A$2:$A$200,A50)=0,"NOVO ITEM NAO CADASTRADO - CADASTRAR EM itens_Remanesc: ITEM + VU_ORIGINAL (QTD_BASE_ORIGINAL sera 0 automaticamente); depois a data e a quantidade aqui.",IF(COUNTIF(itens_Remanesc!$A$2:$A$200,A50)&gt;1,"ALERTA: ITEM_DUPLICADO",IF(OR(C50="",C50="Fora dos ciclos"),"ALERTA: CICLO_INVALIDO",IF(NOT(ISNUMBER(E50)),"ALERTA: QTD_INVALIDA",IF(AND(LEFT(UPPER(D50),3)&lt;&gt;"ACR",LEFT(UPPER(D50),4)&lt;&gt;"SUPR",LEFT(UPPER(D50),4)&lt;&gt;"DECR"),"ALERTA: TIPO_INVALIDO","OK"))))))</f>
        <v/>
      </c>
    </row>
    <row r="51" spans="1:13" ht="45" customHeight="1" x14ac:dyDescent="0.35">
      <c r="A51" s="103"/>
      <c r="B51" s="186"/>
      <c r="C51" s="99" t="str">
        <f>IF(B51="","",IFERROR(IF(NOT(ISNUMBER(parametros!$C$2)),"Fora dos ciclos",IF(OR(B51&lt;parametros!$C$2,(YEAR(B51)-YEAR(parametros!$C$2))*12+MONTH(B51)-MONTH(parametros!$C$2)&gt;59),"Fora dos ciclos","C"&amp;INT(((YEAR(B51)-YEAR(parametros!$C$2))*12+MONTH(B51)-MONTH(parametros!$C$2))/12))),"Fora dos ciclos"))</f>
        <v/>
      </c>
      <c r="D51" s="103"/>
      <c r="E51" s="104"/>
      <c r="F51" s="105" t="str">
        <f>IF(A51="","",IFERROR(VLOOKUP(A51,itens_Remanesc!$A:$C,3,0),""))</f>
        <v/>
      </c>
      <c r="G51" s="105" t="str">
        <f t="shared" si="2"/>
        <v/>
      </c>
      <c r="H51" s="103"/>
      <c r="I51" s="64" t="str">
        <f>IFERROR(VLOOKUP(C51,parametros!$B:$F,5,0),"")</f>
        <v/>
      </c>
      <c r="J51" s="105" t="str">
        <f>IF(OR(L51="",F51=""),"",ROUND(L51*IF(AND(UPPER(H51)="SIM",ISNUMBER(IF($C51="C0",IFERROR(VLOOKUP($A51,historico_VU!$A:$G,3,0),""),IF($C51="C1",IFERROR(VLOOKUP($A51,historico_VU!$A:$G,4,0),""),IF($C51="C2",IFERROR(VLOOKUP($A51,historico_VU!$A:$G,5,0),""),IF($C51="C3",IFERROR(VLOOKUP($A51,historico_VU!$A:$G,6,0),""),IF($C51="C4",IFERROR(VLOOKUP($A51,historico_VU!$A:$G,7,0),""),""))))))),IF($C51="C0",IFERROR(VLOOKUP($A51,historico_VU!$A:$G,3,0),""),IF($C51="C1",IFERROR(VLOOKUP($A51,historico_VU!$A:$G,4,0),""),IF($C51="C2",IFERROR(VLOOKUP($A51,historico_VU!$A:$G,5,0),""),IF($C51="C3",IFERROR(VLOOKUP($A51,historico_VU!$A:$G,6,0),""),IF($C51="C4",IFERROR(VLOOKUP($A51,historico_VU!$A:$G,7,0),""),""))))),F51),2))</f>
        <v/>
      </c>
      <c r="K51" s="103"/>
      <c r="L51" s="85" t="str">
        <f t="shared" si="3"/>
        <v/>
      </c>
      <c r="M51" s="203" t="str">
        <f>IF(A51="","",IF(COUNTIF(itens_Remanesc!$A$2:$A$200,A51)=0,"NOVO ITEM NAO CADASTRADO - CADASTRAR EM itens_Remanesc: ITEM + VU_ORIGINAL (QTD_BASE_ORIGINAL sera 0 automaticamente); depois a data e a quantidade aqui.",IF(COUNTIF(itens_Remanesc!$A$2:$A$200,A51)&gt;1,"ALERTA: ITEM_DUPLICADO",IF(OR(C51="",C51="Fora dos ciclos"),"ALERTA: CICLO_INVALIDO",IF(NOT(ISNUMBER(E51)),"ALERTA: QTD_INVALIDA",IF(AND(LEFT(UPPER(D51),3)&lt;&gt;"ACR",LEFT(UPPER(D51),4)&lt;&gt;"SUPR",LEFT(UPPER(D51),4)&lt;&gt;"DECR"),"ALERTA: TIPO_INVALIDO","OK"))))))</f>
        <v/>
      </c>
    </row>
    <row r="52" spans="1:13" ht="45" customHeight="1" x14ac:dyDescent="0.35">
      <c r="A52" s="103"/>
      <c r="B52" s="186"/>
      <c r="C52" s="99" t="str">
        <f>IF(B52="","",IFERROR(IF(NOT(ISNUMBER(parametros!$C$2)),"Fora dos ciclos",IF(OR(B52&lt;parametros!$C$2,(YEAR(B52)-YEAR(parametros!$C$2))*12+MONTH(B52)-MONTH(parametros!$C$2)&gt;59),"Fora dos ciclos","C"&amp;INT(((YEAR(B52)-YEAR(parametros!$C$2))*12+MONTH(B52)-MONTH(parametros!$C$2))/12))),"Fora dos ciclos"))</f>
        <v/>
      </c>
      <c r="D52" s="103"/>
      <c r="E52" s="104"/>
      <c r="F52" s="105" t="str">
        <f>IF(A52="","",IFERROR(VLOOKUP(A52,itens_Remanesc!$A:$C,3,0),""))</f>
        <v/>
      </c>
      <c r="G52" s="105" t="str">
        <f t="shared" si="2"/>
        <v/>
      </c>
      <c r="H52" s="103"/>
      <c r="I52" s="64" t="str">
        <f>IFERROR(VLOOKUP(C52,parametros!$B:$F,5,0),"")</f>
        <v/>
      </c>
      <c r="J52" s="105" t="str">
        <f>IF(OR(L52="",F52=""),"",ROUND(L52*IF(AND(UPPER(H52)="SIM",ISNUMBER(IF($C52="C0",IFERROR(VLOOKUP($A52,historico_VU!$A:$G,3,0),""),IF($C52="C1",IFERROR(VLOOKUP($A52,historico_VU!$A:$G,4,0),""),IF($C52="C2",IFERROR(VLOOKUP($A52,historico_VU!$A:$G,5,0),""),IF($C52="C3",IFERROR(VLOOKUP($A52,historico_VU!$A:$G,6,0),""),IF($C52="C4",IFERROR(VLOOKUP($A52,historico_VU!$A:$G,7,0),""),""))))))),IF($C52="C0",IFERROR(VLOOKUP($A52,historico_VU!$A:$G,3,0),""),IF($C52="C1",IFERROR(VLOOKUP($A52,historico_VU!$A:$G,4,0),""),IF($C52="C2",IFERROR(VLOOKUP($A52,historico_VU!$A:$G,5,0),""),IF($C52="C3",IFERROR(VLOOKUP($A52,historico_VU!$A:$G,6,0),""),IF($C52="C4",IFERROR(VLOOKUP($A52,historico_VU!$A:$G,7,0),""),""))))),F52),2))</f>
        <v/>
      </c>
      <c r="K52" s="103"/>
      <c r="L52" s="85" t="str">
        <f t="shared" si="3"/>
        <v/>
      </c>
      <c r="M52" s="203" t="str">
        <f>IF(A52="","",IF(COUNTIF(itens_Remanesc!$A$2:$A$200,A52)=0,"NOVO ITEM NAO CADASTRADO - CADASTRAR EM itens_Remanesc: ITEM + VU_ORIGINAL (QTD_BASE_ORIGINAL sera 0 automaticamente); depois a data e a quantidade aqui.",IF(COUNTIF(itens_Remanesc!$A$2:$A$200,A52)&gt;1,"ALERTA: ITEM_DUPLICADO",IF(OR(C52="",C52="Fora dos ciclos"),"ALERTA: CICLO_INVALIDO",IF(NOT(ISNUMBER(E52)),"ALERTA: QTD_INVALIDA",IF(AND(LEFT(UPPER(D52),3)&lt;&gt;"ACR",LEFT(UPPER(D52),4)&lt;&gt;"SUPR",LEFT(UPPER(D52),4)&lt;&gt;"DECR"),"ALERTA: TIPO_INVALIDO","OK"))))))</f>
        <v/>
      </c>
    </row>
    <row r="53" spans="1:13" ht="45" customHeight="1" x14ac:dyDescent="0.35">
      <c r="A53" s="103"/>
      <c r="B53" s="186"/>
      <c r="C53" s="99" t="str">
        <f>IF(B53="","",IFERROR(IF(NOT(ISNUMBER(parametros!$C$2)),"Fora dos ciclos",IF(OR(B53&lt;parametros!$C$2,(YEAR(B53)-YEAR(parametros!$C$2))*12+MONTH(B53)-MONTH(parametros!$C$2)&gt;59),"Fora dos ciclos","C"&amp;INT(((YEAR(B53)-YEAR(parametros!$C$2))*12+MONTH(B53)-MONTH(parametros!$C$2))/12))),"Fora dos ciclos"))</f>
        <v/>
      </c>
      <c r="D53" s="103"/>
      <c r="E53" s="104"/>
      <c r="F53" s="105" t="str">
        <f>IF(A53="","",IFERROR(VLOOKUP(A53,itens_Remanesc!$A:$C,3,0),""))</f>
        <v/>
      </c>
      <c r="G53" s="105" t="str">
        <f t="shared" si="2"/>
        <v/>
      </c>
      <c r="H53" s="103"/>
      <c r="I53" s="64" t="str">
        <f>IFERROR(VLOOKUP(C53,parametros!$B:$F,5,0),"")</f>
        <v/>
      </c>
      <c r="J53" s="105" t="str">
        <f>IF(OR(L53="",F53=""),"",ROUND(L53*IF(AND(UPPER(H53)="SIM",ISNUMBER(IF($C53="C0",IFERROR(VLOOKUP($A53,historico_VU!$A:$G,3,0),""),IF($C53="C1",IFERROR(VLOOKUP($A53,historico_VU!$A:$G,4,0),""),IF($C53="C2",IFERROR(VLOOKUP($A53,historico_VU!$A:$G,5,0),""),IF($C53="C3",IFERROR(VLOOKUP($A53,historico_VU!$A:$G,6,0),""),IF($C53="C4",IFERROR(VLOOKUP($A53,historico_VU!$A:$G,7,0),""),""))))))),IF($C53="C0",IFERROR(VLOOKUP($A53,historico_VU!$A:$G,3,0),""),IF($C53="C1",IFERROR(VLOOKUP($A53,historico_VU!$A:$G,4,0),""),IF($C53="C2",IFERROR(VLOOKUP($A53,historico_VU!$A:$G,5,0),""),IF($C53="C3",IFERROR(VLOOKUP($A53,historico_VU!$A:$G,6,0),""),IF($C53="C4",IFERROR(VLOOKUP($A53,historico_VU!$A:$G,7,0),""),""))))),F53),2))</f>
        <v/>
      </c>
      <c r="K53" s="103"/>
      <c r="L53" s="85" t="str">
        <f t="shared" si="3"/>
        <v/>
      </c>
      <c r="M53" s="203" t="str">
        <f>IF(A53="","",IF(COUNTIF(itens_Remanesc!$A$2:$A$200,A53)=0,"NOVO ITEM NAO CADASTRADO - CADASTRAR EM itens_Remanesc: ITEM + VU_ORIGINAL (QTD_BASE_ORIGINAL sera 0 automaticamente); depois a data e a quantidade aqui.",IF(COUNTIF(itens_Remanesc!$A$2:$A$200,A53)&gt;1,"ALERTA: ITEM_DUPLICADO",IF(OR(C53="",C53="Fora dos ciclos"),"ALERTA: CICLO_INVALIDO",IF(NOT(ISNUMBER(E53)),"ALERTA: QTD_INVALIDA",IF(AND(LEFT(UPPER(D53),3)&lt;&gt;"ACR",LEFT(UPPER(D53),4)&lt;&gt;"SUPR",LEFT(UPPER(D53),4)&lt;&gt;"DECR"),"ALERTA: TIPO_INVALIDO","OK"))))))</f>
        <v/>
      </c>
    </row>
    <row r="54" spans="1:13" ht="45" customHeight="1" x14ac:dyDescent="0.35">
      <c r="A54" s="103"/>
      <c r="B54" s="186"/>
      <c r="C54" s="99" t="str">
        <f>IF(B54="","",IFERROR(IF(NOT(ISNUMBER(parametros!$C$2)),"Fora dos ciclos",IF(OR(B54&lt;parametros!$C$2,(YEAR(B54)-YEAR(parametros!$C$2))*12+MONTH(B54)-MONTH(parametros!$C$2)&gt;59),"Fora dos ciclos","C"&amp;INT(((YEAR(B54)-YEAR(parametros!$C$2))*12+MONTH(B54)-MONTH(parametros!$C$2))/12))),"Fora dos ciclos"))</f>
        <v/>
      </c>
      <c r="D54" s="103"/>
      <c r="E54" s="104"/>
      <c r="F54" s="105" t="str">
        <f>IF(A54="","",IFERROR(VLOOKUP(A54,itens_Remanesc!$A:$C,3,0),""))</f>
        <v/>
      </c>
      <c r="G54" s="105" t="str">
        <f t="shared" si="2"/>
        <v/>
      </c>
      <c r="H54" s="103"/>
      <c r="I54" s="64" t="str">
        <f>IFERROR(VLOOKUP(C54,parametros!$B:$F,5,0),"")</f>
        <v/>
      </c>
      <c r="J54" s="105" t="str">
        <f>IF(OR(L54="",F54=""),"",ROUND(L54*IF(AND(UPPER(H54)="SIM",ISNUMBER(IF($C54="C0",IFERROR(VLOOKUP($A54,historico_VU!$A:$G,3,0),""),IF($C54="C1",IFERROR(VLOOKUP($A54,historico_VU!$A:$G,4,0),""),IF($C54="C2",IFERROR(VLOOKUP($A54,historico_VU!$A:$G,5,0),""),IF($C54="C3",IFERROR(VLOOKUP($A54,historico_VU!$A:$G,6,0),""),IF($C54="C4",IFERROR(VLOOKUP($A54,historico_VU!$A:$G,7,0),""),""))))))),IF($C54="C0",IFERROR(VLOOKUP($A54,historico_VU!$A:$G,3,0),""),IF($C54="C1",IFERROR(VLOOKUP($A54,historico_VU!$A:$G,4,0),""),IF($C54="C2",IFERROR(VLOOKUP($A54,historico_VU!$A:$G,5,0),""),IF($C54="C3",IFERROR(VLOOKUP($A54,historico_VU!$A:$G,6,0),""),IF($C54="C4",IFERROR(VLOOKUP($A54,historico_VU!$A:$G,7,0),""),""))))),F54),2))</f>
        <v/>
      </c>
      <c r="K54" s="103"/>
      <c r="L54" s="85" t="str">
        <f t="shared" si="3"/>
        <v/>
      </c>
      <c r="M54" s="203" t="str">
        <f>IF(A54="","",IF(COUNTIF(itens_Remanesc!$A$2:$A$200,A54)=0,"NOVO ITEM NAO CADASTRADO - CADASTRAR EM itens_Remanesc: ITEM + VU_ORIGINAL (QTD_BASE_ORIGINAL sera 0 automaticamente); depois a data e a quantidade aqui.",IF(COUNTIF(itens_Remanesc!$A$2:$A$200,A54)&gt;1,"ALERTA: ITEM_DUPLICADO",IF(OR(C54="",C54="Fora dos ciclos"),"ALERTA: CICLO_INVALIDO",IF(NOT(ISNUMBER(E54)),"ALERTA: QTD_INVALIDA",IF(AND(LEFT(UPPER(D54),3)&lt;&gt;"ACR",LEFT(UPPER(D54),4)&lt;&gt;"SUPR",LEFT(UPPER(D54),4)&lt;&gt;"DECR"),"ALERTA: TIPO_INVALIDO","OK"))))))</f>
        <v/>
      </c>
    </row>
    <row r="55" spans="1:13" ht="45" customHeight="1" x14ac:dyDescent="0.35">
      <c r="A55" s="103"/>
      <c r="B55" s="186"/>
      <c r="C55" s="99" t="str">
        <f>IF(B55="","",IFERROR(IF(NOT(ISNUMBER(parametros!$C$2)),"Fora dos ciclos",IF(OR(B55&lt;parametros!$C$2,(YEAR(B55)-YEAR(parametros!$C$2))*12+MONTH(B55)-MONTH(parametros!$C$2)&gt;59),"Fora dos ciclos","C"&amp;INT(((YEAR(B55)-YEAR(parametros!$C$2))*12+MONTH(B55)-MONTH(parametros!$C$2))/12))),"Fora dos ciclos"))</f>
        <v/>
      </c>
      <c r="D55" s="103"/>
      <c r="E55" s="104"/>
      <c r="F55" s="105" t="str">
        <f>IF(A55="","",IFERROR(VLOOKUP(A55,itens_Remanesc!$A:$C,3,0),""))</f>
        <v/>
      </c>
      <c r="G55" s="105" t="str">
        <f t="shared" si="2"/>
        <v/>
      </c>
      <c r="H55" s="103"/>
      <c r="I55" s="64" t="str">
        <f>IFERROR(VLOOKUP(C55,parametros!$B:$F,5,0),"")</f>
        <v/>
      </c>
      <c r="J55" s="105" t="str">
        <f>IF(OR(L55="",F55=""),"",ROUND(L55*IF(AND(UPPER(H55)="SIM",ISNUMBER(IF($C55="C0",IFERROR(VLOOKUP($A55,historico_VU!$A:$G,3,0),""),IF($C55="C1",IFERROR(VLOOKUP($A55,historico_VU!$A:$G,4,0),""),IF($C55="C2",IFERROR(VLOOKUP($A55,historico_VU!$A:$G,5,0),""),IF($C55="C3",IFERROR(VLOOKUP($A55,historico_VU!$A:$G,6,0),""),IF($C55="C4",IFERROR(VLOOKUP($A55,historico_VU!$A:$G,7,0),""),""))))))),IF($C55="C0",IFERROR(VLOOKUP($A55,historico_VU!$A:$G,3,0),""),IF($C55="C1",IFERROR(VLOOKUP($A55,historico_VU!$A:$G,4,0),""),IF($C55="C2",IFERROR(VLOOKUP($A55,historico_VU!$A:$G,5,0),""),IF($C55="C3",IFERROR(VLOOKUP($A55,historico_VU!$A:$G,6,0),""),IF($C55="C4",IFERROR(VLOOKUP($A55,historico_VU!$A:$G,7,0),""),""))))),F55),2))</f>
        <v/>
      </c>
      <c r="K55" s="103"/>
      <c r="L55" s="85" t="str">
        <f t="shared" si="3"/>
        <v/>
      </c>
      <c r="M55" s="203" t="str">
        <f>IF(A55="","",IF(COUNTIF(itens_Remanesc!$A$2:$A$200,A55)=0,"NOVO ITEM NAO CADASTRADO - CADASTRAR EM itens_Remanesc: ITEM + VU_ORIGINAL (QTD_BASE_ORIGINAL sera 0 automaticamente); depois a data e a quantidade aqui.",IF(COUNTIF(itens_Remanesc!$A$2:$A$200,A55)&gt;1,"ALERTA: ITEM_DUPLICADO",IF(OR(C55="",C55="Fora dos ciclos"),"ALERTA: CICLO_INVALIDO",IF(NOT(ISNUMBER(E55)),"ALERTA: QTD_INVALIDA",IF(AND(LEFT(UPPER(D55),3)&lt;&gt;"ACR",LEFT(UPPER(D55),4)&lt;&gt;"SUPR",LEFT(UPPER(D55),4)&lt;&gt;"DECR"),"ALERTA: TIPO_INVALIDO","OK"))))))</f>
        <v/>
      </c>
    </row>
    <row r="56" spans="1:13" ht="45" customHeight="1" x14ac:dyDescent="0.35">
      <c r="A56" s="103"/>
      <c r="B56" s="186"/>
      <c r="C56" s="99" t="str">
        <f>IF(B56="","",IFERROR(IF(NOT(ISNUMBER(parametros!$C$2)),"Fora dos ciclos",IF(OR(B56&lt;parametros!$C$2,(YEAR(B56)-YEAR(parametros!$C$2))*12+MONTH(B56)-MONTH(parametros!$C$2)&gt;59),"Fora dos ciclos","C"&amp;INT(((YEAR(B56)-YEAR(parametros!$C$2))*12+MONTH(B56)-MONTH(parametros!$C$2))/12))),"Fora dos ciclos"))</f>
        <v/>
      </c>
      <c r="D56" s="103"/>
      <c r="E56" s="104"/>
      <c r="F56" s="105" t="str">
        <f>IF(A56="","",IFERROR(VLOOKUP(A56,itens_Remanesc!$A:$C,3,0),""))</f>
        <v/>
      </c>
      <c r="G56" s="105" t="str">
        <f t="shared" si="2"/>
        <v/>
      </c>
      <c r="H56" s="103"/>
      <c r="I56" s="64" t="str">
        <f>IFERROR(VLOOKUP(C56,parametros!$B:$F,5,0),"")</f>
        <v/>
      </c>
      <c r="J56" s="105" t="str">
        <f>IF(OR(L56="",F56=""),"",ROUND(L56*IF(AND(UPPER(H56)="SIM",ISNUMBER(IF($C56="C0",IFERROR(VLOOKUP($A56,historico_VU!$A:$G,3,0),""),IF($C56="C1",IFERROR(VLOOKUP($A56,historico_VU!$A:$G,4,0),""),IF($C56="C2",IFERROR(VLOOKUP($A56,historico_VU!$A:$G,5,0),""),IF($C56="C3",IFERROR(VLOOKUP($A56,historico_VU!$A:$G,6,0),""),IF($C56="C4",IFERROR(VLOOKUP($A56,historico_VU!$A:$G,7,0),""),""))))))),IF($C56="C0",IFERROR(VLOOKUP($A56,historico_VU!$A:$G,3,0),""),IF($C56="C1",IFERROR(VLOOKUP($A56,historico_VU!$A:$G,4,0),""),IF($C56="C2",IFERROR(VLOOKUP($A56,historico_VU!$A:$G,5,0),""),IF($C56="C3",IFERROR(VLOOKUP($A56,historico_VU!$A:$G,6,0),""),IF($C56="C4",IFERROR(VLOOKUP($A56,historico_VU!$A:$G,7,0),""),""))))),F56),2))</f>
        <v/>
      </c>
      <c r="K56" s="103"/>
      <c r="L56" s="85" t="str">
        <f t="shared" si="3"/>
        <v/>
      </c>
      <c r="M56" s="203" t="str">
        <f>IF(A56="","",IF(COUNTIF(itens_Remanesc!$A$2:$A$200,A56)=0,"NOVO ITEM NAO CADASTRADO - CADASTRAR EM itens_Remanesc: ITEM + VU_ORIGINAL (QTD_BASE_ORIGINAL sera 0 automaticamente); depois a data e a quantidade aqui.",IF(COUNTIF(itens_Remanesc!$A$2:$A$200,A56)&gt;1,"ALERTA: ITEM_DUPLICADO",IF(OR(C56="",C56="Fora dos ciclos"),"ALERTA: CICLO_INVALIDO",IF(NOT(ISNUMBER(E56)),"ALERTA: QTD_INVALIDA",IF(AND(LEFT(UPPER(D56),3)&lt;&gt;"ACR",LEFT(UPPER(D56),4)&lt;&gt;"SUPR",LEFT(UPPER(D56),4)&lt;&gt;"DECR"),"ALERTA: TIPO_INVALIDO","OK"))))))</f>
        <v/>
      </c>
    </row>
    <row r="57" spans="1:13" ht="45" customHeight="1" x14ac:dyDescent="0.35">
      <c r="A57" s="103"/>
      <c r="B57" s="186"/>
      <c r="C57" s="99" t="str">
        <f>IF(B57="","",IFERROR(IF(NOT(ISNUMBER(parametros!$C$2)),"Fora dos ciclos",IF(OR(B57&lt;parametros!$C$2,(YEAR(B57)-YEAR(parametros!$C$2))*12+MONTH(B57)-MONTH(parametros!$C$2)&gt;59),"Fora dos ciclos","C"&amp;INT(((YEAR(B57)-YEAR(parametros!$C$2))*12+MONTH(B57)-MONTH(parametros!$C$2))/12))),"Fora dos ciclos"))</f>
        <v/>
      </c>
      <c r="D57" s="103"/>
      <c r="E57" s="104"/>
      <c r="F57" s="105" t="str">
        <f>IF(A57="","",IFERROR(VLOOKUP(A57,itens_Remanesc!$A:$C,3,0),""))</f>
        <v/>
      </c>
      <c r="G57" s="105" t="str">
        <f t="shared" si="2"/>
        <v/>
      </c>
      <c r="H57" s="103"/>
      <c r="I57" s="64" t="str">
        <f>IFERROR(VLOOKUP(C57,parametros!$B:$F,5,0),"")</f>
        <v/>
      </c>
      <c r="J57" s="105" t="str">
        <f>IF(OR(L57="",F57=""),"",ROUND(L57*IF(AND(UPPER(H57)="SIM",ISNUMBER(IF($C57="C0",IFERROR(VLOOKUP($A57,historico_VU!$A:$G,3,0),""),IF($C57="C1",IFERROR(VLOOKUP($A57,historico_VU!$A:$G,4,0),""),IF($C57="C2",IFERROR(VLOOKUP($A57,historico_VU!$A:$G,5,0),""),IF($C57="C3",IFERROR(VLOOKUP($A57,historico_VU!$A:$G,6,0),""),IF($C57="C4",IFERROR(VLOOKUP($A57,historico_VU!$A:$G,7,0),""),""))))))),IF($C57="C0",IFERROR(VLOOKUP($A57,historico_VU!$A:$G,3,0),""),IF($C57="C1",IFERROR(VLOOKUP($A57,historico_VU!$A:$G,4,0),""),IF($C57="C2",IFERROR(VLOOKUP($A57,historico_VU!$A:$G,5,0),""),IF($C57="C3",IFERROR(VLOOKUP($A57,historico_VU!$A:$G,6,0),""),IF($C57="C4",IFERROR(VLOOKUP($A57,historico_VU!$A:$G,7,0),""),""))))),F57),2))</f>
        <v/>
      </c>
      <c r="K57" s="103"/>
      <c r="L57" s="85" t="str">
        <f t="shared" si="3"/>
        <v/>
      </c>
      <c r="M57" s="203" t="str">
        <f>IF(A57="","",IF(COUNTIF(itens_Remanesc!$A$2:$A$200,A57)=0,"NOVO ITEM NAO CADASTRADO - CADASTRAR EM itens_Remanesc: ITEM + VU_ORIGINAL (QTD_BASE_ORIGINAL sera 0 automaticamente); depois a data e a quantidade aqui.",IF(COUNTIF(itens_Remanesc!$A$2:$A$200,A57)&gt;1,"ALERTA: ITEM_DUPLICADO",IF(OR(C57="",C57="Fora dos ciclos"),"ALERTA: CICLO_INVALIDO",IF(NOT(ISNUMBER(E57)),"ALERTA: QTD_INVALIDA",IF(AND(LEFT(UPPER(D57),3)&lt;&gt;"ACR",LEFT(UPPER(D57),4)&lt;&gt;"SUPR",LEFT(UPPER(D57),4)&lt;&gt;"DECR"),"ALERTA: TIPO_INVALIDO","OK"))))))</f>
        <v/>
      </c>
    </row>
    <row r="58" spans="1:13" ht="45" customHeight="1" x14ac:dyDescent="0.35">
      <c r="A58" s="103"/>
      <c r="B58" s="186"/>
      <c r="C58" s="99" t="str">
        <f>IF(B58="","",IFERROR(IF(NOT(ISNUMBER(parametros!$C$2)),"Fora dos ciclos",IF(OR(B58&lt;parametros!$C$2,(YEAR(B58)-YEAR(parametros!$C$2))*12+MONTH(B58)-MONTH(parametros!$C$2)&gt;59),"Fora dos ciclos","C"&amp;INT(((YEAR(B58)-YEAR(parametros!$C$2))*12+MONTH(B58)-MONTH(parametros!$C$2))/12))),"Fora dos ciclos"))</f>
        <v/>
      </c>
      <c r="D58" s="103"/>
      <c r="E58" s="104"/>
      <c r="F58" s="105" t="str">
        <f>IF(A58="","",IFERROR(VLOOKUP(A58,itens_Remanesc!$A:$C,3,0),""))</f>
        <v/>
      </c>
      <c r="G58" s="105" t="str">
        <f t="shared" si="2"/>
        <v/>
      </c>
      <c r="H58" s="103"/>
      <c r="I58" s="64" t="str">
        <f>IFERROR(VLOOKUP(C58,parametros!$B:$F,5,0),"")</f>
        <v/>
      </c>
      <c r="J58" s="105" t="str">
        <f>IF(OR(L58="",F58=""),"",ROUND(L58*IF(AND(UPPER(H58)="SIM",ISNUMBER(IF($C58="C0",IFERROR(VLOOKUP($A58,historico_VU!$A:$G,3,0),""),IF($C58="C1",IFERROR(VLOOKUP($A58,historico_VU!$A:$G,4,0),""),IF($C58="C2",IFERROR(VLOOKUP($A58,historico_VU!$A:$G,5,0),""),IF($C58="C3",IFERROR(VLOOKUP($A58,historico_VU!$A:$G,6,0),""),IF($C58="C4",IFERROR(VLOOKUP($A58,historico_VU!$A:$G,7,0),""),""))))))),IF($C58="C0",IFERROR(VLOOKUP($A58,historico_VU!$A:$G,3,0),""),IF($C58="C1",IFERROR(VLOOKUP($A58,historico_VU!$A:$G,4,0),""),IF($C58="C2",IFERROR(VLOOKUP($A58,historico_VU!$A:$G,5,0),""),IF($C58="C3",IFERROR(VLOOKUP($A58,historico_VU!$A:$G,6,0),""),IF($C58="C4",IFERROR(VLOOKUP($A58,historico_VU!$A:$G,7,0),""),""))))),F58),2))</f>
        <v/>
      </c>
      <c r="K58" s="103"/>
      <c r="L58" s="85" t="str">
        <f t="shared" si="3"/>
        <v/>
      </c>
      <c r="M58" s="203" t="str">
        <f>IF(A58="","",IF(COUNTIF(itens_Remanesc!$A$2:$A$200,A58)=0,"NOVO ITEM NAO CADASTRADO - CADASTRAR EM itens_Remanesc: ITEM + VU_ORIGINAL (QTD_BASE_ORIGINAL sera 0 automaticamente); depois a data e a quantidade aqui.",IF(COUNTIF(itens_Remanesc!$A$2:$A$200,A58)&gt;1,"ALERTA: ITEM_DUPLICADO",IF(OR(C58="",C58="Fora dos ciclos"),"ALERTA: CICLO_INVALIDO",IF(NOT(ISNUMBER(E58)),"ALERTA: QTD_INVALIDA",IF(AND(LEFT(UPPER(D58),3)&lt;&gt;"ACR",LEFT(UPPER(D58),4)&lt;&gt;"SUPR",LEFT(UPPER(D58),4)&lt;&gt;"DECR"),"ALERTA: TIPO_INVALIDO","OK"))))))</f>
        <v/>
      </c>
    </row>
    <row r="59" spans="1:13" ht="45" customHeight="1" x14ac:dyDescent="0.35">
      <c r="A59" s="103"/>
      <c r="B59" s="186"/>
      <c r="C59" s="99" t="str">
        <f>IF(B59="","",IFERROR(IF(NOT(ISNUMBER(parametros!$C$2)),"Fora dos ciclos",IF(OR(B59&lt;parametros!$C$2,(YEAR(B59)-YEAR(parametros!$C$2))*12+MONTH(B59)-MONTH(parametros!$C$2)&gt;59),"Fora dos ciclos","C"&amp;INT(((YEAR(B59)-YEAR(parametros!$C$2))*12+MONTH(B59)-MONTH(parametros!$C$2))/12))),"Fora dos ciclos"))</f>
        <v/>
      </c>
      <c r="D59" s="103"/>
      <c r="E59" s="104"/>
      <c r="F59" s="105" t="str">
        <f>IF(A59="","",IFERROR(VLOOKUP(A59,itens_Remanesc!$A:$C,3,0),""))</f>
        <v/>
      </c>
      <c r="G59" s="105" t="str">
        <f t="shared" si="2"/>
        <v/>
      </c>
      <c r="H59" s="103"/>
      <c r="I59" s="64" t="str">
        <f>IFERROR(VLOOKUP(C59,parametros!$B:$F,5,0),"")</f>
        <v/>
      </c>
      <c r="J59" s="105" t="str">
        <f>IF(OR(L59="",F59=""),"",ROUND(L59*IF(AND(UPPER(H59)="SIM",ISNUMBER(IF($C59="C0",IFERROR(VLOOKUP($A59,historico_VU!$A:$G,3,0),""),IF($C59="C1",IFERROR(VLOOKUP($A59,historico_VU!$A:$G,4,0),""),IF($C59="C2",IFERROR(VLOOKUP($A59,historico_VU!$A:$G,5,0),""),IF($C59="C3",IFERROR(VLOOKUP($A59,historico_VU!$A:$G,6,0),""),IF($C59="C4",IFERROR(VLOOKUP($A59,historico_VU!$A:$G,7,0),""),""))))))),IF($C59="C0",IFERROR(VLOOKUP($A59,historico_VU!$A:$G,3,0),""),IF($C59="C1",IFERROR(VLOOKUP($A59,historico_VU!$A:$G,4,0),""),IF($C59="C2",IFERROR(VLOOKUP($A59,historico_VU!$A:$G,5,0),""),IF($C59="C3",IFERROR(VLOOKUP($A59,historico_VU!$A:$G,6,0),""),IF($C59="C4",IFERROR(VLOOKUP($A59,historico_VU!$A:$G,7,0),""),""))))),F59),2))</f>
        <v/>
      </c>
      <c r="K59" s="103"/>
      <c r="L59" s="85" t="str">
        <f t="shared" si="3"/>
        <v/>
      </c>
      <c r="M59" s="203" t="str">
        <f>IF(A59="","",IF(COUNTIF(itens_Remanesc!$A$2:$A$200,A59)=0,"NOVO ITEM NAO CADASTRADO - CADASTRAR EM itens_Remanesc: ITEM + VU_ORIGINAL (QTD_BASE_ORIGINAL sera 0 automaticamente); depois a data e a quantidade aqui.",IF(COUNTIF(itens_Remanesc!$A$2:$A$200,A59)&gt;1,"ALERTA: ITEM_DUPLICADO",IF(OR(C59="",C59="Fora dos ciclos"),"ALERTA: CICLO_INVALIDO",IF(NOT(ISNUMBER(E59)),"ALERTA: QTD_INVALIDA",IF(AND(LEFT(UPPER(D59),3)&lt;&gt;"ACR",LEFT(UPPER(D59),4)&lt;&gt;"SUPR",LEFT(UPPER(D59),4)&lt;&gt;"DECR"),"ALERTA: TIPO_INVALIDO","OK"))))))</f>
        <v/>
      </c>
    </row>
    <row r="60" spans="1:13" ht="45" customHeight="1" x14ac:dyDescent="0.35">
      <c r="A60" s="103"/>
      <c r="B60" s="186"/>
      <c r="C60" s="99" t="str">
        <f>IF(B60="","",IFERROR(IF(NOT(ISNUMBER(parametros!$C$2)),"Fora dos ciclos",IF(OR(B60&lt;parametros!$C$2,(YEAR(B60)-YEAR(parametros!$C$2))*12+MONTH(B60)-MONTH(parametros!$C$2)&gt;59),"Fora dos ciclos","C"&amp;INT(((YEAR(B60)-YEAR(parametros!$C$2))*12+MONTH(B60)-MONTH(parametros!$C$2))/12))),"Fora dos ciclos"))</f>
        <v/>
      </c>
      <c r="D60" s="103"/>
      <c r="E60" s="104"/>
      <c r="F60" s="105" t="str">
        <f>IF(A60="","",IFERROR(VLOOKUP(A60,itens_Remanesc!$A:$C,3,0),""))</f>
        <v/>
      </c>
      <c r="G60" s="105" t="str">
        <f t="shared" si="2"/>
        <v/>
      </c>
      <c r="H60" s="103"/>
      <c r="I60" s="64" t="str">
        <f>IFERROR(VLOOKUP(C60,parametros!$B:$F,5,0),"")</f>
        <v/>
      </c>
      <c r="J60" s="105" t="str">
        <f>IF(OR(L60="",F60=""),"",ROUND(L60*IF(AND(UPPER(H60)="SIM",ISNUMBER(IF($C60="C0",IFERROR(VLOOKUP($A60,historico_VU!$A:$G,3,0),""),IF($C60="C1",IFERROR(VLOOKUP($A60,historico_VU!$A:$G,4,0),""),IF($C60="C2",IFERROR(VLOOKUP($A60,historico_VU!$A:$G,5,0),""),IF($C60="C3",IFERROR(VLOOKUP($A60,historico_VU!$A:$G,6,0),""),IF($C60="C4",IFERROR(VLOOKUP($A60,historico_VU!$A:$G,7,0),""),""))))))),IF($C60="C0",IFERROR(VLOOKUP($A60,historico_VU!$A:$G,3,0),""),IF($C60="C1",IFERROR(VLOOKUP($A60,historico_VU!$A:$G,4,0),""),IF($C60="C2",IFERROR(VLOOKUP($A60,historico_VU!$A:$G,5,0),""),IF($C60="C3",IFERROR(VLOOKUP($A60,historico_VU!$A:$G,6,0),""),IF($C60="C4",IFERROR(VLOOKUP($A60,historico_VU!$A:$G,7,0),""),""))))),F60),2))</f>
        <v/>
      </c>
      <c r="K60" s="103"/>
      <c r="L60" s="85" t="str">
        <f t="shared" si="3"/>
        <v/>
      </c>
      <c r="M60" s="203" t="str">
        <f>IF(A60="","",IF(COUNTIF(itens_Remanesc!$A$2:$A$200,A60)=0,"NOVO ITEM NAO CADASTRADO - CADASTRAR EM itens_Remanesc: ITEM + VU_ORIGINAL (QTD_BASE_ORIGINAL sera 0 automaticamente); depois a data e a quantidade aqui.",IF(COUNTIF(itens_Remanesc!$A$2:$A$200,A60)&gt;1,"ALERTA: ITEM_DUPLICADO",IF(OR(C60="",C60="Fora dos ciclos"),"ALERTA: CICLO_INVALIDO",IF(NOT(ISNUMBER(E60)),"ALERTA: QTD_INVALIDA",IF(AND(LEFT(UPPER(D60),3)&lt;&gt;"ACR",LEFT(UPPER(D60),4)&lt;&gt;"SUPR",LEFT(UPPER(D60),4)&lt;&gt;"DECR"),"ALERTA: TIPO_INVALIDO","OK"))))))</f>
        <v/>
      </c>
    </row>
    <row r="61" spans="1:13" ht="45" customHeight="1" x14ac:dyDescent="0.35">
      <c r="A61" s="103"/>
      <c r="B61" s="186"/>
      <c r="C61" s="99" t="str">
        <f>IF(B61="","",IFERROR(IF(NOT(ISNUMBER(parametros!$C$2)),"Fora dos ciclos",IF(OR(B61&lt;parametros!$C$2,(YEAR(B61)-YEAR(parametros!$C$2))*12+MONTH(B61)-MONTH(parametros!$C$2)&gt;59),"Fora dos ciclos","C"&amp;INT(((YEAR(B61)-YEAR(parametros!$C$2))*12+MONTH(B61)-MONTH(parametros!$C$2))/12))),"Fora dos ciclos"))</f>
        <v/>
      </c>
      <c r="D61" s="103"/>
      <c r="E61" s="104"/>
      <c r="F61" s="105" t="str">
        <f>IF(A61="","",IFERROR(VLOOKUP(A61,itens_Remanesc!$A:$C,3,0),""))</f>
        <v/>
      </c>
      <c r="G61" s="105" t="str">
        <f t="shared" si="2"/>
        <v/>
      </c>
      <c r="H61" s="103"/>
      <c r="I61" s="64" t="str">
        <f>IFERROR(VLOOKUP(C61,parametros!$B:$F,5,0),"")</f>
        <v/>
      </c>
      <c r="J61" s="105" t="str">
        <f>IF(OR(L61="",F61=""),"",ROUND(L61*IF(AND(UPPER(H61)="SIM",ISNUMBER(IF($C61="C0",IFERROR(VLOOKUP($A61,historico_VU!$A:$G,3,0),""),IF($C61="C1",IFERROR(VLOOKUP($A61,historico_VU!$A:$G,4,0),""),IF($C61="C2",IFERROR(VLOOKUP($A61,historico_VU!$A:$G,5,0),""),IF($C61="C3",IFERROR(VLOOKUP($A61,historico_VU!$A:$G,6,0),""),IF($C61="C4",IFERROR(VLOOKUP($A61,historico_VU!$A:$G,7,0),""),""))))))),IF($C61="C0",IFERROR(VLOOKUP($A61,historico_VU!$A:$G,3,0),""),IF($C61="C1",IFERROR(VLOOKUP($A61,historico_VU!$A:$G,4,0),""),IF($C61="C2",IFERROR(VLOOKUP($A61,historico_VU!$A:$G,5,0),""),IF($C61="C3",IFERROR(VLOOKUP($A61,historico_VU!$A:$G,6,0),""),IF($C61="C4",IFERROR(VLOOKUP($A61,historico_VU!$A:$G,7,0),""),""))))),F61),2))</f>
        <v/>
      </c>
      <c r="K61" s="103"/>
      <c r="L61" s="85" t="str">
        <f t="shared" si="3"/>
        <v/>
      </c>
      <c r="M61" s="203" t="str">
        <f>IF(A61="","",IF(COUNTIF(itens_Remanesc!$A$2:$A$200,A61)=0,"NOVO ITEM NAO CADASTRADO - CADASTRAR EM itens_Remanesc: ITEM + VU_ORIGINAL (QTD_BASE_ORIGINAL sera 0 automaticamente); depois a data e a quantidade aqui.",IF(COUNTIF(itens_Remanesc!$A$2:$A$200,A61)&gt;1,"ALERTA: ITEM_DUPLICADO",IF(OR(C61="",C61="Fora dos ciclos"),"ALERTA: CICLO_INVALIDO",IF(NOT(ISNUMBER(E61)),"ALERTA: QTD_INVALIDA",IF(AND(LEFT(UPPER(D61),3)&lt;&gt;"ACR",LEFT(UPPER(D61),4)&lt;&gt;"SUPR",LEFT(UPPER(D61),4)&lt;&gt;"DECR"),"ALERTA: TIPO_INVALIDO","OK"))))))</f>
        <v/>
      </c>
    </row>
    <row r="62" spans="1:13" ht="45" customHeight="1" x14ac:dyDescent="0.35">
      <c r="A62" s="103"/>
      <c r="B62" s="186"/>
      <c r="C62" s="99" t="str">
        <f>IF(B62="","",IFERROR(IF(NOT(ISNUMBER(parametros!$C$2)),"Fora dos ciclos",IF(OR(B62&lt;parametros!$C$2,(YEAR(B62)-YEAR(parametros!$C$2))*12+MONTH(B62)-MONTH(parametros!$C$2)&gt;59),"Fora dos ciclos","C"&amp;INT(((YEAR(B62)-YEAR(parametros!$C$2))*12+MONTH(B62)-MONTH(parametros!$C$2))/12))),"Fora dos ciclos"))</f>
        <v/>
      </c>
      <c r="D62" s="103"/>
      <c r="E62" s="104"/>
      <c r="F62" s="105" t="str">
        <f>IF(A62="","",IFERROR(VLOOKUP(A62,itens_Remanesc!$A:$C,3,0),""))</f>
        <v/>
      </c>
      <c r="G62" s="105" t="str">
        <f t="shared" si="2"/>
        <v/>
      </c>
      <c r="H62" s="103"/>
      <c r="I62" s="64" t="str">
        <f>IFERROR(VLOOKUP(C62,parametros!$B:$F,5,0),"")</f>
        <v/>
      </c>
      <c r="J62" s="105" t="str">
        <f>IF(OR(L62="",F62=""),"",ROUND(L62*IF(AND(UPPER(H62)="SIM",ISNUMBER(IF($C62="C0",IFERROR(VLOOKUP($A62,historico_VU!$A:$G,3,0),""),IF($C62="C1",IFERROR(VLOOKUP($A62,historico_VU!$A:$G,4,0),""),IF($C62="C2",IFERROR(VLOOKUP($A62,historico_VU!$A:$G,5,0),""),IF($C62="C3",IFERROR(VLOOKUP($A62,historico_VU!$A:$G,6,0),""),IF($C62="C4",IFERROR(VLOOKUP($A62,historico_VU!$A:$G,7,0),""),""))))))),IF($C62="C0",IFERROR(VLOOKUP($A62,historico_VU!$A:$G,3,0),""),IF($C62="C1",IFERROR(VLOOKUP($A62,historico_VU!$A:$G,4,0),""),IF($C62="C2",IFERROR(VLOOKUP($A62,historico_VU!$A:$G,5,0),""),IF($C62="C3",IFERROR(VLOOKUP($A62,historico_VU!$A:$G,6,0),""),IF($C62="C4",IFERROR(VLOOKUP($A62,historico_VU!$A:$G,7,0),""),""))))),F62),2))</f>
        <v/>
      </c>
      <c r="K62" s="103"/>
      <c r="L62" s="85" t="str">
        <f t="shared" si="3"/>
        <v/>
      </c>
      <c r="M62" s="203" t="str">
        <f>IF(A62="","",IF(COUNTIF(itens_Remanesc!$A$2:$A$200,A62)=0,"NOVO ITEM NAO CADASTRADO - CADASTRAR EM itens_Remanesc: ITEM + VU_ORIGINAL (QTD_BASE_ORIGINAL sera 0 automaticamente); depois a data e a quantidade aqui.",IF(COUNTIF(itens_Remanesc!$A$2:$A$200,A62)&gt;1,"ALERTA: ITEM_DUPLICADO",IF(OR(C62="",C62="Fora dos ciclos"),"ALERTA: CICLO_INVALIDO",IF(NOT(ISNUMBER(E62)),"ALERTA: QTD_INVALIDA",IF(AND(LEFT(UPPER(D62),3)&lt;&gt;"ACR",LEFT(UPPER(D62),4)&lt;&gt;"SUPR",LEFT(UPPER(D62),4)&lt;&gt;"DECR"),"ALERTA: TIPO_INVALIDO","OK"))))))</f>
        <v/>
      </c>
    </row>
    <row r="63" spans="1:13" ht="45" customHeight="1" x14ac:dyDescent="0.35">
      <c r="A63" s="103"/>
      <c r="B63" s="186"/>
      <c r="C63" s="99" t="str">
        <f>IF(B63="","",IFERROR(IF(NOT(ISNUMBER(parametros!$C$2)),"Fora dos ciclos",IF(OR(B63&lt;parametros!$C$2,(YEAR(B63)-YEAR(parametros!$C$2))*12+MONTH(B63)-MONTH(parametros!$C$2)&gt;59),"Fora dos ciclos","C"&amp;INT(((YEAR(B63)-YEAR(parametros!$C$2))*12+MONTH(B63)-MONTH(parametros!$C$2))/12))),"Fora dos ciclos"))</f>
        <v/>
      </c>
      <c r="D63" s="103"/>
      <c r="E63" s="104"/>
      <c r="F63" s="105" t="str">
        <f>IF(A63="","",IFERROR(VLOOKUP(A63,itens_Remanesc!$A:$C,3,0),""))</f>
        <v/>
      </c>
      <c r="G63" s="105" t="str">
        <f t="shared" si="2"/>
        <v/>
      </c>
      <c r="H63" s="103"/>
      <c r="I63" s="64" t="str">
        <f>IFERROR(VLOOKUP(C63,parametros!$B:$F,5,0),"")</f>
        <v/>
      </c>
      <c r="J63" s="105" t="str">
        <f>IF(OR(L63="",F63=""),"",ROUND(L63*IF(AND(UPPER(H63)="SIM",ISNUMBER(IF($C63="C0",IFERROR(VLOOKUP($A63,historico_VU!$A:$G,3,0),""),IF($C63="C1",IFERROR(VLOOKUP($A63,historico_VU!$A:$G,4,0),""),IF($C63="C2",IFERROR(VLOOKUP($A63,historico_VU!$A:$G,5,0),""),IF($C63="C3",IFERROR(VLOOKUP($A63,historico_VU!$A:$G,6,0),""),IF($C63="C4",IFERROR(VLOOKUP($A63,historico_VU!$A:$G,7,0),""),""))))))),IF($C63="C0",IFERROR(VLOOKUP($A63,historico_VU!$A:$G,3,0),""),IF($C63="C1",IFERROR(VLOOKUP($A63,historico_VU!$A:$G,4,0),""),IF($C63="C2",IFERROR(VLOOKUP($A63,historico_VU!$A:$G,5,0),""),IF($C63="C3",IFERROR(VLOOKUP($A63,historico_VU!$A:$G,6,0),""),IF($C63="C4",IFERROR(VLOOKUP($A63,historico_VU!$A:$G,7,0),""),""))))),F63),2))</f>
        <v/>
      </c>
      <c r="K63" s="103"/>
      <c r="L63" s="85" t="str">
        <f t="shared" si="3"/>
        <v/>
      </c>
      <c r="M63" s="203" t="str">
        <f>IF(A63="","",IF(COUNTIF(itens_Remanesc!$A$2:$A$200,A63)=0,"NOVO ITEM NAO CADASTRADO - CADASTRAR EM itens_Remanesc: ITEM + VU_ORIGINAL (QTD_BASE_ORIGINAL sera 0 automaticamente); depois a data e a quantidade aqui.",IF(COUNTIF(itens_Remanesc!$A$2:$A$200,A63)&gt;1,"ALERTA: ITEM_DUPLICADO",IF(OR(C63="",C63="Fora dos ciclos"),"ALERTA: CICLO_INVALIDO",IF(NOT(ISNUMBER(E63)),"ALERTA: QTD_INVALIDA",IF(AND(LEFT(UPPER(D63),3)&lt;&gt;"ACR",LEFT(UPPER(D63),4)&lt;&gt;"SUPR",LEFT(UPPER(D63),4)&lt;&gt;"DECR"),"ALERTA: TIPO_INVALIDO","OK"))))))</f>
        <v/>
      </c>
    </row>
    <row r="64" spans="1:13" ht="45" customHeight="1" x14ac:dyDescent="0.35">
      <c r="A64" s="103"/>
      <c r="B64" s="186"/>
      <c r="C64" s="99" t="str">
        <f>IF(B64="","",IFERROR(IF(NOT(ISNUMBER(parametros!$C$2)),"Fora dos ciclos",IF(OR(B64&lt;parametros!$C$2,(YEAR(B64)-YEAR(parametros!$C$2))*12+MONTH(B64)-MONTH(parametros!$C$2)&gt;59),"Fora dos ciclos","C"&amp;INT(((YEAR(B64)-YEAR(parametros!$C$2))*12+MONTH(B64)-MONTH(parametros!$C$2))/12))),"Fora dos ciclos"))</f>
        <v/>
      </c>
      <c r="D64" s="103"/>
      <c r="E64" s="104"/>
      <c r="F64" s="105" t="str">
        <f>IF(A64="","",IFERROR(VLOOKUP(A64,itens_Remanesc!$A:$C,3,0),""))</f>
        <v/>
      </c>
      <c r="G64" s="105" t="str">
        <f t="shared" si="2"/>
        <v/>
      </c>
      <c r="H64" s="103"/>
      <c r="I64" s="64" t="str">
        <f>IFERROR(VLOOKUP(C64,parametros!$B:$F,5,0),"")</f>
        <v/>
      </c>
      <c r="J64" s="105" t="str">
        <f>IF(OR(L64="",F64=""),"",ROUND(L64*IF(AND(UPPER(H64)="SIM",ISNUMBER(IF($C64="C0",IFERROR(VLOOKUP($A64,historico_VU!$A:$G,3,0),""),IF($C64="C1",IFERROR(VLOOKUP($A64,historico_VU!$A:$G,4,0),""),IF($C64="C2",IFERROR(VLOOKUP($A64,historico_VU!$A:$G,5,0),""),IF($C64="C3",IFERROR(VLOOKUP($A64,historico_VU!$A:$G,6,0),""),IF($C64="C4",IFERROR(VLOOKUP($A64,historico_VU!$A:$G,7,0),""),""))))))),IF($C64="C0",IFERROR(VLOOKUP($A64,historico_VU!$A:$G,3,0),""),IF($C64="C1",IFERROR(VLOOKUP($A64,historico_VU!$A:$G,4,0),""),IF($C64="C2",IFERROR(VLOOKUP($A64,historico_VU!$A:$G,5,0),""),IF($C64="C3",IFERROR(VLOOKUP($A64,historico_VU!$A:$G,6,0),""),IF($C64="C4",IFERROR(VLOOKUP($A64,historico_VU!$A:$G,7,0),""),""))))),F64),2))</f>
        <v/>
      </c>
      <c r="K64" s="103"/>
      <c r="L64" s="85" t="str">
        <f t="shared" si="3"/>
        <v/>
      </c>
      <c r="M64" s="203" t="str">
        <f>IF(A64="","",IF(COUNTIF(itens_Remanesc!$A$2:$A$200,A64)=0,"NOVO ITEM NAO CADASTRADO - CADASTRAR EM itens_Remanesc: ITEM + VU_ORIGINAL (QTD_BASE_ORIGINAL sera 0 automaticamente); depois a data e a quantidade aqui.",IF(COUNTIF(itens_Remanesc!$A$2:$A$200,A64)&gt;1,"ALERTA: ITEM_DUPLICADO",IF(OR(C64="",C64="Fora dos ciclos"),"ALERTA: CICLO_INVALIDO",IF(NOT(ISNUMBER(E64)),"ALERTA: QTD_INVALIDA",IF(AND(LEFT(UPPER(D64),3)&lt;&gt;"ACR",LEFT(UPPER(D64),4)&lt;&gt;"SUPR",LEFT(UPPER(D64),4)&lt;&gt;"DECR"),"ALERTA: TIPO_INVALIDO","OK"))))))</f>
        <v/>
      </c>
    </row>
    <row r="65" spans="1:13" ht="45" customHeight="1" x14ac:dyDescent="0.35">
      <c r="A65" s="103"/>
      <c r="B65" s="186"/>
      <c r="C65" s="99" t="str">
        <f>IF(B65="","",IFERROR(IF(NOT(ISNUMBER(parametros!$C$2)),"Fora dos ciclos",IF(OR(B65&lt;parametros!$C$2,(YEAR(B65)-YEAR(parametros!$C$2))*12+MONTH(B65)-MONTH(parametros!$C$2)&gt;59),"Fora dos ciclos","C"&amp;INT(((YEAR(B65)-YEAR(parametros!$C$2))*12+MONTH(B65)-MONTH(parametros!$C$2))/12))),"Fora dos ciclos"))</f>
        <v/>
      </c>
      <c r="D65" s="103"/>
      <c r="E65" s="104"/>
      <c r="F65" s="105" t="str">
        <f>IF(A65="","",IFERROR(VLOOKUP(A65,itens_Remanesc!$A:$C,3,0),""))</f>
        <v/>
      </c>
      <c r="G65" s="105" t="str">
        <f t="shared" si="2"/>
        <v/>
      </c>
      <c r="H65" s="103"/>
      <c r="I65" s="64" t="str">
        <f>IFERROR(VLOOKUP(C65,parametros!$B:$F,5,0),"")</f>
        <v/>
      </c>
      <c r="J65" s="105" t="str">
        <f>IF(OR(L65="",F65=""),"",ROUND(L65*IF(AND(UPPER(H65)="SIM",ISNUMBER(IF($C65="C0",IFERROR(VLOOKUP($A65,historico_VU!$A:$G,3,0),""),IF($C65="C1",IFERROR(VLOOKUP($A65,historico_VU!$A:$G,4,0),""),IF($C65="C2",IFERROR(VLOOKUP($A65,historico_VU!$A:$G,5,0),""),IF($C65="C3",IFERROR(VLOOKUP($A65,historico_VU!$A:$G,6,0),""),IF($C65="C4",IFERROR(VLOOKUP($A65,historico_VU!$A:$G,7,0),""),""))))))),IF($C65="C0",IFERROR(VLOOKUP($A65,historico_VU!$A:$G,3,0),""),IF($C65="C1",IFERROR(VLOOKUP($A65,historico_VU!$A:$G,4,0),""),IF($C65="C2",IFERROR(VLOOKUP($A65,historico_VU!$A:$G,5,0),""),IF($C65="C3",IFERROR(VLOOKUP($A65,historico_VU!$A:$G,6,0),""),IF($C65="C4",IFERROR(VLOOKUP($A65,historico_VU!$A:$G,7,0),""),""))))),F65),2))</f>
        <v/>
      </c>
      <c r="K65" s="103"/>
      <c r="L65" s="85" t="str">
        <f t="shared" si="3"/>
        <v/>
      </c>
      <c r="M65" s="203" t="str">
        <f>IF(A65="","",IF(COUNTIF(itens_Remanesc!$A$2:$A$200,A65)=0,"NOVO ITEM NAO CADASTRADO - CADASTRAR EM itens_Remanesc: ITEM + VU_ORIGINAL (QTD_BASE_ORIGINAL sera 0 automaticamente); depois a data e a quantidade aqui.",IF(COUNTIF(itens_Remanesc!$A$2:$A$200,A65)&gt;1,"ALERTA: ITEM_DUPLICADO",IF(OR(C65="",C65="Fora dos ciclos"),"ALERTA: CICLO_INVALIDO",IF(NOT(ISNUMBER(E65)),"ALERTA: QTD_INVALIDA",IF(AND(LEFT(UPPER(D65),3)&lt;&gt;"ACR",LEFT(UPPER(D65),4)&lt;&gt;"SUPR",LEFT(UPPER(D65),4)&lt;&gt;"DECR"),"ALERTA: TIPO_INVALIDO","OK"))))))</f>
        <v/>
      </c>
    </row>
    <row r="66" spans="1:13" ht="45" customHeight="1" x14ac:dyDescent="0.35">
      <c r="A66" s="103"/>
      <c r="B66" s="186"/>
      <c r="C66" s="99" t="str">
        <f>IF(B66="","",IFERROR(IF(NOT(ISNUMBER(parametros!$C$2)),"Fora dos ciclos",IF(OR(B66&lt;parametros!$C$2,(YEAR(B66)-YEAR(parametros!$C$2))*12+MONTH(B66)-MONTH(parametros!$C$2)&gt;59),"Fora dos ciclos","C"&amp;INT(((YEAR(B66)-YEAR(parametros!$C$2))*12+MONTH(B66)-MONTH(parametros!$C$2))/12))),"Fora dos ciclos"))</f>
        <v/>
      </c>
      <c r="D66" s="103"/>
      <c r="E66" s="104"/>
      <c r="F66" s="105" t="str">
        <f>IF(A66="","",IFERROR(VLOOKUP(A66,itens_Remanesc!$A:$C,3,0),""))</f>
        <v/>
      </c>
      <c r="G66" s="105" t="str">
        <f t="shared" ref="G66:G97" si="4">IF(OR(E66="",F66=""),"",ROUND(E66*F66,2))</f>
        <v/>
      </c>
      <c r="H66" s="103"/>
      <c r="I66" s="64" t="str">
        <f>IFERROR(VLOOKUP(C66,parametros!$B:$F,5,0),"")</f>
        <v/>
      </c>
      <c r="J66" s="105" t="str">
        <f>IF(OR(L66="",F66=""),"",ROUND(L66*IF(AND(UPPER(H66)="SIM",ISNUMBER(IF($C66="C0",IFERROR(VLOOKUP($A66,historico_VU!$A:$G,3,0),""),IF($C66="C1",IFERROR(VLOOKUP($A66,historico_VU!$A:$G,4,0),""),IF($C66="C2",IFERROR(VLOOKUP($A66,historico_VU!$A:$G,5,0),""),IF($C66="C3",IFERROR(VLOOKUP($A66,historico_VU!$A:$G,6,0),""),IF($C66="C4",IFERROR(VLOOKUP($A66,historico_VU!$A:$G,7,0),""),""))))))),IF($C66="C0",IFERROR(VLOOKUP($A66,historico_VU!$A:$G,3,0),""),IF($C66="C1",IFERROR(VLOOKUP($A66,historico_VU!$A:$G,4,0),""),IF($C66="C2",IFERROR(VLOOKUP($A66,historico_VU!$A:$G,5,0),""),IF($C66="C3",IFERROR(VLOOKUP($A66,historico_VU!$A:$G,6,0),""),IF($C66="C4",IFERROR(VLOOKUP($A66,historico_VU!$A:$G,7,0),""),""))))),F66),2))</f>
        <v/>
      </c>
      <c r="K66" s="103"/>
      <c r="L66" s="85" t="str">
        <f t="shared" ref="L66:L97" si="5">IF(OR(A66="",C66="",D66="",NOT(ISNUMBER(E66))),"",IF(LEFT(UPPER(D66),3)="ACR",ROUND(ABS(E66),2),IF(OR(LEFT(UPPER(D66),4)="SUPR",LEFT(UPPER(D66),4)="DECR"),ROUND(-ABS(E66),2),"")))</f>
        <v/>
      </c>
      <c r="M66" s="203" t="str">
        <f>IF(A66="","",IF(COUNTIF(itens_Remanesc!$A$2:$A$200,A66)=0,"NOVO ITEM NAO CADASTRADO - CADASTRAR EM itens_Remanesc: ITEM + VU_ORIGINAL (QTD_BASE_ORIGINAL sera 0 automaticamente); depois a data e a quantidade aqui.",IF(COUNTIF(itens_Remanesc!$A$2:$A$200,A66)&gt;1,"ALERTA: ITEM_DUPLICADO",IF(OR(C66="",C66="Fora dos ciclos"),"ALERTA: CICLO_INVALIDO",IF(NOT(ISNUMBER(E66)),"ALERTA: QTD_INVALIDA",IF(AND(LEFT(UPPER(D66),3)&lt;&gt;"ACR",LEFT(UPPER(D66),4)&lt;&gt;"SUPR",LEFT(UPPER(D66),4)&lt;&gt;"DECR"),"ALERTA: TIPO_INVALIDO","OK"))))))</f>
        <v/>
      </c>
    </row>
    <row r="67" spans="1:13" ht="45" customHeight="1" x14ac:dyDescent="0.35">
      <c r="A67" s="103"/>
      <c r="B67" s="186"/>
      <c r="C67" s="99" t="str">
        <f>IF(B67="","",IFERROR(IF(NOT(ISNUMBER(parametros!$C$2)),"Fora dos ciclos",IF(OR(B67&lt;parametros!$C$2,(YEAR(B67)-YEAR(parametros!$C$2))*12+MONTH(B67)-MONTH(parametros!$C$2)&gt;59),"Fora dos ciclos","C"&amp;INT(((YEAR(B67)-YEAR(parametros!$C$2))*12+MONTH(B67)-MONTH(parametros!$C$2))/12))),"Fora dos ciclos"))</f>
        <v/>
      </c>
      <c r="D67" s="103"/>
      <c r="E67" s="104"/>
      <c r="F67" s="105" t="str">
        <f>IF(A67="","",IFERROR(VLOOKUP(A67,itens_Remanesc!$A:$C,3,0),""))</f>
        <v/>
      </c>
      <c r="G67" s="105" t="str">
        <f t="shared" si="4"/>
        <v/>
      </c>
      <c r="H67" s="103"/>
      <c r="I67" s="64" t="str">
        <f>IFERROR(VLOOKUP(C67,parametros!$B:$F,5,0),"")</f>
        <v/>
      </c>
      <c r="J67" s="105" t="str">
        <f>IF(OR(L67="",F67=""),"",ROUND(L67*IF(AND(UPPER(H67)="SIM",ISNUMBER(IF($C67="C0",IFERROR(VLOOKUP($A67,historico_VU!$A:$G,3,0),""),IF($C67="C1",IFERROR(VLOOKUP($A67,historico_VU!$A:$G,4,0),""),IF($C67="C2",IFERROR(VLOOKUP($A67,historico_VU!$A:$G,5,0),""),IF($C67="C3",IFERROR(VLOOKUP($A67,historico_VU!$A:$G,6,0),""),IF($C67="C4",IFERROR(VLOOKUP($A67,historico_VU!$A:$G,7,0),""),""))))))),IF($C67="C0",IFERROR(VLOOKUP($A67,historico_VU!$A:$G,3,0),""),IF($C67="C1",IFERROR(VLOOKUP($A67,historico_VU!$A:$G,4,0),""),IF($C67="C2",IFERROR(VLOOKUP($A67,historico_VU!$A:$G,5,0),""),IF($C67="C3",IFERROR(VLOOKUP($A67,historico_VU!$A:$G,6,0),""),IF($C67="C4",IFERROR(VLOOKUP($A67,historico_VU!$A:$G,7,0),""),""))))),F67),2))</f>
        <v/>
      </c>
      <c r="K67" s="103"/>
      <c r="L67" s="85" t="str">
        <f t="shared" si="5"/>
        <v/>
      </c>
      <c r="M67" s="203" t="str">
        <f>IF(A67="","",IF(COUNTIF(itens_Remanesc!$A$2:$A$200,A67)=0,"NOVO ITEM NAO CADASTRADO - CADASTRAR EM itens_Remanesc: ITEM + VU_ORIGINAL (QTD_BASE_ORIGINAL sera 0 automaticamente); depois a data e a quantidade aqui.",IF(COUNTIF(itens_Remanesc!$A$2:$A$200,A67)&gt;1,"ALERTA: ITEM_DUPLICADO",IF(OR(C67="",C67="Fora dos ciclos"),"ALERTA: CICLO_INVALIDO",IF(NOT(ISNUMBER(E67)),"ALERTA: QTD_INVALIDA",IF(AND(LEFT(UPPER(D67),3)&lt;&gt;"ACR",LEFT(UPPER(D67),4)&lt;&gt;"SUPR",LEFT(UPPER(D67),4)&lt;&gt;"DECR"),"ALERTA: TIPO_INVALIDO","OK"))))))</f>
        <v/>
      </c>
    </row>
    <row r="68" spans="1:13" ht="45" customHeight="1" x14ac:dyDescent="0.35">
      <c r="A68" s="103"/>
      <c r="B68" s="186"/>
      <c r="C68" s="99" t="str">
        <f>IF(B68="","",IFERROR(IF(NOT(ISNUMBER(parametros!$C$2)),"Fora dos ciclos",IF(OR(B68&lt;parametros!$C$2,(YEAR(B68)-YEAR(parametros!$C$2))*12+MONTH(B68)-MONTH(parametros!$C$2)&gt;59),"Fora dos ciclos","C"&amp;INT(((YEAR(B68)-YEAR(parametros!$C$2))*12+MONTH(B68)-MONTH(parametros!$C$2))/12))),"Fora dos ciclos"))</f>
        <v/>
      </c>
      <c r="D68" s="103"/>
      <c r="E68" s="104"/>
      <c r="F68" s="105" t="str">
        <f>IF(A68="","",IFERROR(VLOOKUP(A68,itens_Remanesc!$A:$C,3,0),""))</f>
        <v/>
      </c>
      <c r="G68" s="105" t="str">
        <f t="shared" si="4"/>
        <v/>
      </c>
      <c r="H68" s="103"/>
      <c r="I68" s="64" t="str">
        <f>IFERROR(VLOOKUP(C68,parametros!$B:$F,5,0),"")</f>
        <v/>
      </c>
      <c r="J68" s="105" t="str">
        <f>IF(OR(L68="",F68=""),"",ROUND(L68*IF(AND(UPPER(H68)="SIM",ISNUMBER(IF($C68="C0",IFERROR(VLOOKUP($A68,historico_VU!$A:$G,3,0),""),IF($C68="C1",IFERROR(VLOOKUP($A68,historico_VU!$A:$G,4,0),""),IF($C68="C2",IFERROR(VLOOKUP($A68,historico_VU!$A:$G,5,0),""),IF($C68="C3",IFERROR(VLOOKUP($A68,historico_VU!$A:$G,6,0),""),IF($C68="C4",IFERROR(VLOOKUP($A68,historico_VU!$A:$G,7,0),""),""))))))),IF($C68="C0",IFERROR(VLOOKUP($A68,historico_VU!$A:$G,3,0),""),IF($C68="C1",IFERROR(VLOOKUP($A68,historico_VU!$A:$G,4,0),""),IF($C68="C2",IFERROR(VLOOKUP($A68,historico_VU!$A:$G,5,0),""),IF($C68="C3",IFERROR(VLOOKUP($A68,historico_VU!$A:$G,6,0),""),IF($C68="C4",IFERROR(VLOOKUP($A68,historico_VU!$A:$G,7,0),""),""))))),F68),2))</f>
        <v/>
      </c>
      <c r="K68" s="103"/>
      <c r="L68" s="85" t="str">
        <f t="shared" si="5"/>
        <v/>
      </c>
      <c r="M68" s="203" t="str">
        <f>IF(A68="","",IF(COUNTIF(itens_Remanesc!$A$2:$A$200,A68)=0,"NOVO ITEM NAO CADASTRADO - CADASTRAR EM itens_Remanesc: ITEM + VU_ORIGINAL (QTD_BASE_ORIGINAL sera 0 automaticamente); depois a data e a quantidade aqui.",IF(COUNTIF(itens_Remanesc!$A$2:$A$200,A68)&gt;1,"ALERTA: ITEM_DUPLICADO",IF(OR(C68="",C68="Fora dos ciclos"),"ALERTA: CICLO_INVALIDO",IF(NOT(ISNUMBER(E68)),"ALERTA: QTD_INVALIDA",IF(AND(LEFT(UPPER(D68),3)&lt;&gt;"ACR",LEFT(UPPER(D68),4)&lt;&gt;"SUPR",LEFT(UPPER(D68),4)&lt;&gt;"DECR"),"ALERTA: TIPO_INVALIDO","OK"))))))</f>
        <v/>
      </c>
    </row>
    <row r="69" spans="1:13" ht="45" customHeight="1" x14ac:dyDescent="0.35">
      <c r="A69" s="103"/>
      <c r="B69" s="186"/>
      <c r="C69" s="99" t="str">
        <f>IF(B69="","",IFERROR(IF(NOT(ISNUMBER(parametros!$C$2)),"Fora dos ciclos",IF(OR(B69&lt;parametros!$C$2,(YEAR(B69)-YEAR(parametros!$C$2))*12+MONTH(B69)-MONTH(parametros!$C$2)&gt;59),"Fora dos ciclos","C"&amp;INT(((YEAR(B69)-YEAR(parametros!$C$2))*12+MONTH(B69)-MONTH(parametros!$C$2))/12))),"Fora dos ciclos"))</f>
        <v/>
      </c>
      <c r="D69" s="103"/>
      <c r="E69" s="104"/>
      <c r="F69" s="105" t="str">
        <f>IF(A69="","",IFERROR(VLOOKUP(A69,itens_Remanesc!$A:$C,3,0),""))</f>
        <v/>
      </c>
      <c r="G69" s="105" t="str">
        <f t="shared" si="4"/>
        <v/>
      </c>
      <c r="H69" s="103"/>
      <c r="I69" s="64" t="str">
        <f>IFERROR(VLOOKUP(C69,parametros!$B:$F,5,0),"")</f>
        <v/>
      </c>
      <c r="J69" s="105" t="str">
        <f>IF(OR(L69="",F69=""),"",ROUND(L69*IF(AND(UPPER(H69)="SIM",ISNUMBER(IF($C69="C0",IFERROR(VLOOKUP($A69,historico_VU!$A:$G,3,0),""),IF($C69="C1",IFERROR(VLOOKUP($A69,historico_VU!$A:$G,4,0),""),IF($C69="C2",IFERROR(VLOOKUP($A69,historico_VU!$A:$G,5,0),""),IF($C69="C3",IFERROR(VLOOKUP($A69,historico_VU!$A:$G,6,0),""),IF($C69="C4",IFERROR(VLOOKUP($A69,historico_VU!$A:$G,7,0),""),""))))))),IF($C69="C0",IFERROR(VLOOKUP($A69,historico_VU!$A:$G,3,0),""),IF($C69="C1",IFERROR(VLOOKUP($A69,historico_VU!$A:$G,4,0),""),IF($C69="C2",IFERROR(VLOOKUP($A69,historico_VU!$A:$G,5,0),""),IF($C69="C3",IFERROR(VLOOKUP($A69,historico_VU!$A:$G,6,0),""),IF($C69="C4",IFERROR(VLOOKUP($A69,historico_VU!$A:$G,7,0),""),""))))),F69),2))</f>
        <v/>
      </c>
      <c r="K69" s="103"/>
      <c r="L69" s="85" t="str">
        <f t="shared" si="5"/>
        <v/>
      </c>
      <c r="M69" s="203" t="str">
        <f>IF(A69="","",IF(COUNTIF(itens_Remanesc!$A$2:$A$200,A69)=0,"NOVO ITEM NAO CADASTRADO - CADASTRAR EM itens_Remanesc: ITEM + VU_ORIGINAL (QTD_BASE_ORIGINAL sera 0 automaticamente); depois a data e a quantidade aqui.",IF(COUNTIF(itens_Remanesc!$A$2:$A$200,A69)&gt;1,"ALERTA: ITEM_DUPLICADO",IF(OR(C69="",C69="Fora dos ciclos"),"ALERTA: CICLO_INVALIDO",IF(NOT(ISNUMBER(E69)),"ALERTA: QTD_INVALIDA",IF(AND(LEFT(UPPER(D69),3)&lt;&gt;"ACR",LEFT(UPPER(D69),4)&lt;&gt;"SUPR",LEFT(UPPER(D69),4)&lt;&gt;"DECR"),"ALERTA: TIPO_INVALIDO","OK"))))))</f>
        <v/>
      </c>
    </row>
    <row r="70" spans="1:13" ht="45" customHeight="1" x14ac:dyDescent="0.35">
      <c r="A70" s="103"/>
      <c r="B70" s="186"/>
      <c r="C70" s="99" t="str">
        <f>IF(B70="","",IFERROR(IF(NOT(ISNUMBER(parametros!$C$2)),"Fora dos ciclos",IF(OR(B70&lt;parametros!$C$2,(YEAR(B70)-YEAR(parametros!$C$2))*12+MONTH(B70)-MONTH(parametros!$C$2)&gt;59),"Fora dos ciclos","C"&amp;INT(((YEAR(B70)-YEAR(parametros!$C$2))*12+MONTH(B70)-MONTH(parametros!$C$2))/12))),"Fora dos ciclos"))</f>
        <v/>
      </c>
      <c r="D70" s="103"/>
      <c r="E70" s="104"/>
      <c r="F70" s="105" t="str">
        <f>IF(A70="","",IFERROR(VLOOKUP(A70,itens_Remanesc!$A:$C,3,0),""))</f>
        <v/>
      </c>
      <c r="G70" s="105" t="str">
        <f t="shared" si="4"/>
        <v/>
      </c>
      <c r="H70" s="103"/>
      <c r="I70" s="64" t="str">
        <f>IFERROR(VLOOKUP(C70,parametros!$B:$F,5,0),"")</f>
        <v/>
      </c>
      <c r="J70" s="105" t="str">
        <f>IF(OR(L70="",F70=""),"",ROUND(L70*IF(AND(UPPER(H70)="SIM",ISNUMBER(IF($C70="C0",IFERROR(VLOOKUP($A70,historico_VU!$A:$G,3,0),""),IF($C70="C1",IFERROR(VLOOKUP($A70,historico_VU!$A:$G,4,0),""),IF($C70="C2",IFERROR(VLOOKUP($A70,historico_VU!$A:$G,5,0),""),IF($C70="C3",IFERROR(VLOOKUP($A70,historico_VU!$A:$G,6,0),""),IF($C70="C4",IFERROR(VLOOKUP($A70,historico_VU!$A:$G,7,0),""),""))))))),IF($C70="C0",IFERROR(VLOOKUP($A70,historico_VU!$A:$G,3,0),""),IF($C70="C1",IFERROR(VLOOKUP($A70,historico_VU!$A:$G,4,0),""),IF($C70="C2",IFERROR(VLOOKUP($A70,historico_VU!$A:$G,5,0),""),IF($C70="C3",IFERROR(VLOOKUP($A70,historico_VU!$A:$G,6,0),""),IF($C70="C4",IFERROR(VLOOKUP($A70,historico_VU!$A:$G,7,0),""),""))))),F70),2))</f>
        <v/>
      </c>
      <c r="K70" s="103"/>
      <c r="L70" s="85" t="str">
        <f t="shared" si="5"/>
        <v/>
      </c>
      <c r="M70" s="203" t="str">
        <f>IF(A70="","",IF(COUNTIF(itens_Remanesc!$A$2:$A$200,A70)=0,"NOVO ITEM NAO CADASTRADO - CADASTRAR EM itens_Remanesc: ITEM + VU_ORIGINAL (QTD_BASE_ORIGINAL sera 0 automaticamente); depois a data e a quantidade aqui.",IF(COUNTIF(itens_Remanesc!$A$2:$A$200,A70)&gt;1,"ALERTA: ITEM_DUPLICADO",IF(OR(C70="",C70="Fora dos ciclos"),"ALERTA: CICLO_INVALIDO",IF(NOT(ISNUMBER(E70)),"ALERTA: QTD_INVALIDA",IF(AND(LEFT(UPPER(D70),3)&lt;&gt;"ACR",LEFT(UPPER(D70),4)&lt;&gt;"SUPR",LEFT(UPPER(D70),4)&lt;&gt;"DECR"),"ALERTA: TIPO_INVALIDO","OK"))))))</f>
        <v/>
      </c>
    </row>
    <row r="71" spans="1:13" ht="45" customHeight="1" x14ac:dyDescent="0.35">
      <c r="A71" s="103"/>
      <c r="B71" s="186"/>
      <c r="C71" s="99" t="str">
        <f>IF(B71="","",IFERROR(IF(NOT(ISNUMBER(parametros!$C$2)),"Fora dos ciclos",IF(OR(B71&lt;parametros!$C$2,(YEAR(B71)-YEAR(parametros!$C$2))*12+MONTH(B71)-MONTH(parametros!$C$2)&gt;59),"Fora dos ciclos","C"&amp;INT(((YEAR(B71)-YEAR(parametros!$C$2))*12+MONTH(B71)-MONTH(parametros!$C$2))/12))),"Fora dos ciclos"))</f>
        <v/>
      </c>
      <c r="D71" s="103"/>
      <c r="E71" s="104"/>
      <c r="F71" s="105" t="str">
        <f>IF(A71="","",IFERROR(VLOOKUP(A71,itens_Remanesc!$A:$C,3,0),""))</f>
        <v/>
      </c>
      <c r="G71" s="105" t="str">
        <f t="shared" si="4"/>
        <v/>
      </c>
      <c r="H71" s="103"/>
      <c r="I71" s="64" t="str">
        <f>IFERROR(VLOOKUP(C71,parametros!$B:$F,5,0),"")</f>
        <v/>
      </c>
      <c r="J71" s="105" t="str">
        <f>IF(OR(L71="",F71=""),"",ROUND(L71*IF(AND(UPPER(H71)="SIM",ISNUMBER(IF($C71="C0",IFERROR(VLOOKUP($A71,historico_VU!$A:$G,3,0),""),IF($C71="C1",IFERROR(VLOOKUP($A71,historico_VU!$A:$G,4,0),""),IF($C71="C2",IFERROR(VLOOKUP($A71,historico_VU!$A:$G,5,0),""),IF($C71="C3",IFERROR(VLOOKUP($A71,historico_VU!$A:$G,6,0),""),IF($C71="C4",IFERROR(VLOOKUP($A71,historico_VU!$A:$G,7,0),""),""))))))),IF($C71="C0",IFERROR(VLOOKUP($A71,historico_VU!$A:$G,3,0),""),IF($C71="C1",IFERROR(VLOOKUP($A71,historico_VU!$A:$G,4,0),""),IF($C71="C2",IFERROR(VLOOKUP($A71,historico_VU!$A:$G,5,0),""),IF($C71="C3",IFERROR(VLOOKUP($A71,historico_VU!$A:$G,6,0),""),IF($C71="C4",IFERROR(VLOOKUP($A71,historico_VU!$A:$G,7,0),""),""))))),F71),2))</f>
        <v/>
      </c>
      <c r="K71" s="103"/>
      <c r="L71" s="85" t="str">
        <f t="shared" si="5"/>
        <v/>
      </c>
      <c r="M71" s="203" t="str">
        <f>IF(A71="","",IF(COUNTIF(itens_Remanesc!$A$2:$A$200,A71)=0,"NOVO ITEM NAO CADASTRADO - CADASTRAR EM itens_Remanesc: ITEM + VU_ORIGINAL (QTD_BASE_ORIGINAL sera 0 automaticamente); depois a data e a quantidade aqui.",IF(COUNTIF(itens_Remanesc!$A$2:$A$200,A71)&gt;1,"ALERTA: ITEM_DUPLICADO",IF(OR(C71="",C71="Fora dos ciclos"),"ALERTA: CICLO_INVALIDO",IF(NOT(ISNUMBER(E71)),"ALERTA: QTD_INVALIDA",IF(AND(LEFT(UPPER(D71),3)&lt;&gt;"ACR",LEFT(UPPER(D71),4)&lt;&gt;"SUPR",LEFT(UPPER(D71),4)&lt;&gt;"DECR"),"ALERTA: TIPO_INVALIDO","OK"))))))</f>
        <v/>
      </c>
    </row>
    <row r="72" spans="1:13" ht="45" customHeight="1" x14ac:dyDescent="0.35">
      <c r="A72" s="103"/>
      <c r="B72" s="186"/>
      <c r="C72" s="99" t="str">
        <f>IF(B72="","",IFERROR(IF(NOT(ISNUMBER(parametros!$C$2)),"Fora dos ciclos",IF(OR(B72&lt;parametros!$C$2,(YEAR(B72)-YEAR(parametros!$C$2))*12+MONTH(B72)-MONTH(parametros!$C$2)&gt;59),"Fora dos ciclos","C"&amp;INT(((YEAR(B72)-YEAR(parametros!$C$2))*12+MONTH(B72)-MONTH(parametros!$C$2))/12))),"Fora dos ciclos"))</f>
        <v/>
      </c>
      <c r="D72" s="103"/>
      <c r="E72" s="104"/>
      <c r="F72" s="105" t="str">
        <f>IF(A72="","",IFERROR(VLOOKUP(A72,itens_Remanesc!$A:$C,3,0),""))</f>
        <v/>
      </c>
      <c r="G72" s="105" t="str">
        <f t="shared" si="4"/>
        <v/>
      </c>
      <c r="H72" s="103"/>
      <c r="I72" s="64" t="str">
        <f>IFERROR(VLOOKUP(C72,parametros!$B:$F,5,0),"")</f>
        <v/>
      </c>
      <c r="J72" s="105" t="str">
        <f>IF(OR(L72="",F72=""),"",ROUND(L72*IF(AND(UPPER(H72)="SIM",ISNUMBER(IF($C72="C0",IFERROR(VLOOKUP($A72,historico_VU!$A:$G,3,0),""),IF($C72="C1",IFERROR(VLOOKUP($A72,historico_VU!$A:$G,4,0),""),IF($C72="C2",IFERROR(VLOOKUP($A72,historico_VU!$A:$G,5,0),""),IF($C72="C3",IFERROR(VLOOKUP($A72,historico_VU!$A:$G,6,0),""),IF($C72="C4",IFERROR(VLOOKUP($A72,historico_VU!$A:$G,7,0),""),""))))))),IF($C72="C0",IFERROR(VLOOKUP($A72,historico_VU!$A:$G,3,0),""),IF($C72="C1",IFERROR(VLOOKUP($A72,historico_VU!$A:$G,4,0),""),IF($C72="C2",IFERROR(VLOOKUP($A72,historico_VU!$A:$G,5,0),""),IF($C72="C3",IFERROR(VLOOKUP($A72,historico_VU!$A:$G,6,0),""),IF($C72="C4",IFERROR(VLOOKUP($A72,historico_VU!$A:$G,7,0),""),""))))),F72),2))</f>
        <v/>
      </c>
      <c r="K72" s="103"/>
      <c r="L72" s="85" t="str">
        <f t="shared" si="5"/>
        <v/>
      </c>
      <c r="M72" s="203" t="str">
        <f>IF(A72="","",IF(COUNTIF(itens_Remanesc!$A$2:$A$200,A72)=0,"NOVO ITEM NAO CADASTRADO - CADASTRAR EM itens_Remanesc: ITEM + VU_ORIGINAL (QTD_BASE_ORIGINAL sera 0 automaticamente); depois a data e a quantidade aqui.",IF(COUNTIF(itens_Remanesc!$A$2:$A$200,A72)&gt;1,"ALERTA: ITEM_DUPLICADO",IF(OR(C72="",C72="Fora dos ciclos"),"ALERTA: CICLO_INVALIDO",IF(NOT(ISNUMBER(E72)),"ALERTA: QTD_INVALIDA",IF(AND(LEFT(UPPER(D72),3)&lt;&gt;"ACR",LEFT(UPPER(D72),4)&lt;&gt;"SUPR",LEFT(UPPER(D72),4)&lt;&gt;"DECR"),"ALERTA: TIPO_INVALIDO","OK"))))))</f>
        <v/>
      </c>
    </row>
    <row r="73" spans="1:13" ht="45" customHeight="1" x14ac:dyDescent="0.35">
      <c r="A73" s="103"/>
      <c r="B73" s="186"/>
      <c r="C73" s="99" t="str">
        <f>IF(B73="","",IFERROR(IF(NOT(ISNUMBER(parametros!$C$2)),"Fora dos ciclos",IF(OR(B73&lt;parametros!$C$2,(YEAR(B73)-YEAR(parametros!$C$2))*12+MONTH(B73)-MONTH(parametros!$C$2)&gt;59),"Fora dos ciclos","C"&amp;INT(((YEAR(B73)-YEAR(parametros!$C$2))*12+MONTH(B73)-MONTH(parametros!$C$2))/12))),"Fora dos ciclos"))</f>
        <v/>
      </c>
      <c r="D73" s="103"/>
      <c r="E73" s="104"/>
      <c r="F73" s="105" t="str">
        <f>IF(A73="","",IFERROR(VLOOKUP(A73,itens_Remanesc!$A:$C,3,0),""))</f>
        <v/>
      </c>
      <c r="G73" s="105" t="str">
        <f t="shared" si="4"/>
        <v/>
      </c>
      <c r="H73" s="103"/>
      <c r="I73" s="64" t="str">
        <f>IFERROR(VLOOKUP(C73,parametros!$B:$F,5,0),"")</f>
        <v/>
      </c>
      <c r="J73" s="105" t="str">
        <f>IF(OR(L73="",F73=""),"",ROUND(L73*IF(AND(UPPER(H73)="SIM",ISNUMBER(IF($C73="C0",IFERROR(VLOOKUP($A73,historico_VU!$A:$G,3,0),""),IF($C73="C1",IFERROR(VLOOKUP($A73,historico_VU!$A:$G,4,0),""),IF($C73="C2",IFERROR(VLOOKUP($A73,historico_VU!$A:$G,5,0),""),IF($C73="C3",IFERROR(VLOOKUP($A73,historico_VU!$A:$G,6,0),""),IF($C73="C4",IFERROR(VLOOKUP($A73,historico_VU!$A:$G,7,0),""),""))))))),IF($C73="C0",IFERROR(VLOOKUP($A73,historico_VU!$A:$G,3,0),""),IF($C73="C1",IFERROR(VLOOKUP($A73,historico_VU!$A:$G,4,0),""),IF($C73="C2",IFERROR(VLOOKUP($A73,historico_VU!$A:$G,5,0),""),IF($C73="C3",IFERROR(VLOOKUP($A73,historico_VU!$A:$G,6,0),""),IF($C73="C4",IFERROR(VLOOKUP($A73,historico_VU!$A:$G,7,0),""),""))))),F73),2))</f>
        <v/>
      </c>
      <c r="K73" s="103"/>
      <c r="L73" s="85" t="str">
        <f t="shared" si="5"/>
        <v/>
      </c>
      <c r="M73" s="203" t="str">
        <f>IF(A73="","",IF(COUNTIF(itens_Remanesc!$A$2:$A$200,A73)=0,"NOVO ITEM NAO CADASTRADO - CADASTRAR EM itens_Remanesc: ITEM + VU_ORIGINAL (QTD_BASE_ORIGINAL sera 0 automaticamente); depois a data e a quantidade aqui.",IF(COUNTIF(itens_Remanesc!$A$2:$A$200,A73)&gt;1,"ALERTA: ITEM_DUPLICADO",IF(OR(C73="",C73="Fora dos ciclos"),"ALERTA: CICLO_INVALIDO",IF(NOT(ISNUMBER(E73)),"ALERTA: QTD_INVALIDA",IF(AND(LEFT(UPPER(D73),3)&lt;&gt;"ACR",LEFT(UPPER(D73),4)&lt;&gt;"SUPR",LEFT(UPPER(D73),4)&lt;&gt;"DECR"),"ALERTA: TIPO_INVALIDO","OK"))))))</f>
        <v/>
      </c>
    </row>
    <row r="74" spans="1:13" ht="45" customHeight="1" x14ac:dyDescent="0.35">
      <c r="A74" s="103"/>
      <c r="B74" s="186"/>
      <c r="C74" s="99" t="str">
        <f>IF(B74="","",IFERROR(IF(NOT(ISNUMBER(parametros!$C$2)),"Fora dos ciclos",IF(OR(B74&lt;parametros!$C$2,(YEAR(B74)-YEAR(parametros!$C$2))*12+MONTH(B74)-MONTH(parametros!$C$2)&gt;59),"Fora dos ciclos","C"&amp;INT(((YEAR(B74)-YEAR(parametros!$C$2))*12+MONTH(B74)-MONTH(parametros!$C$2))/12))),"Fora dos ciclos"))</f>
        <v/>
      </c>
      <c r="D74" s="103"/>
      <c r="E74" s="104"/>
      <c r="F74" s="105" t="str">
        <f>IF(A74="","",IFERROR(VLOOKUP(A74,itens_Remanesc!$A:$C,3,0),""))</f>
        <v/>
      </c>
      <c r="G74" s="105" t="str">
        <f t="shared" si="4"/>
        <v/>
      </c>
      <c r="H74" s="103"/>
      <c r="I74" s="64" t="str">
        <f>IFERROR(VLOOKUP(C74,parametros!$B:$F,5,0),"")</f>
        <v/>
      </c>
      <c r="J74" s="105" t="str">
        <f>IF(OR(L74="",F74=""),"",ROUND(L74*IF(AND(UPPER(H74)="SIM",ISNUMBER(IF($C74="C0",IFERROR(VLOOKUP($A74,historico_VU!$A:$G,3,0),""),IF($C74="C1",IFERROR(VLOOKUP($A74,historico_VU!$A:$G,4,0),""),IF($C74="C2",IFERROR(VLOOKUP($A74,historico_VU!$A:$G,5,0),""),IF($C74="C3",IFERROR(VLOOKUP($A74,historico_VU!$A:$G,6,0),""),IF($C74="C4",IFERROR(VLOOKUP($A74,historico_VU!$A:$G,7,0),""),""))))))),IF($C74="C0",IFERROR(VLOOKUP($A74,historico_VU!$A:$G,3,0),""),IF($C74="C1",IFERROR(VLOOKUP($A74,historico_VU!$A:$G,4,0),""),IF($C74="C2",IFERROR(VLOOKUP($A74,historico_VU!$A:$G,5,0),""),IF($C74="C3",IFERROR(VLOOKUP($A74,historico_VU!$A:$G,6,0),""),IF($C74="C4",IFERROR(VLOOKUP($A74,historico_VU!$A:$G,7,0),""),""))))),F74),2))</f>
        <v/>
      </c>
      <c r="K74" s="103"/>
      <c r="L74" s="85" t="str">
        <f t="shared" si="5"/>
        <v/>
      </c>
      <c r="M74" s="203" t="str">
        <f>IF(A74="","",IF(COUNTIF(itens_Remanesc!$A$2:$A$200,A74)=0,"NOVO ITEM NAO CADASTRADO - CADASTRAR EM itens_Remanesc: ITEM + VU_ORIGINAL (QTD_BASE_ORIGINAL sera 0 automaticamente); depois a data e a quantidade aqui.",IF(COUNTIF(itens_Remanesc!$A$2:$A$200,A74)&gt;1,"ALERTA: ITEM_DUPLICADO",IF(OR(C74="",C74="Fora dos ciclos"),"ALERTA: CICLO_INVALIDO",IF(NOT(ISNUMBER(E74)),"ALERTA: QTD_INVALIDA",IF(AND(LEFT(UPPER(D74),3)&lt;&gt;"ACR",LEFT(UPPER(D74),4)&lt;&gt;"SUPR",LEFT(UPPER(D74),4)&lt;&gt;"DECR"),"ALERTA: TIPO_INVALIDO","OK"))))))</f>
        <v/>
      </c>
    </row>
    <row r="75" spans="1:13" ht="45" customHeight="1" x14ac:dyDescent="0.35">
      <c r="A75" s="103"/>
      <c r="B75" s="186"/>
      <c r="C75" s="99" t="str">
        <f>IF(B75="","",IFERROR(IF(NOT(ISNUMBER(parametros!$C$2)),"Fora dos ciclos",IF(OR(B75&lt;parametros!$C$2,(YEAR(B75)-YEAR(parametros!$C$2))*12+MONTH(B75)-MONTH(parametros!$C$2)&gt;59),"Fora dos ciclos","C"&amp;INT(((YEAR(B75)-YEAR(parametros!$C$2))*12+MONTH(B75)-MONTH(parametros!$C$2))/12))),"Fora dos ciclos"))</f>
        <v/>
      </c>
      <c r="D75" s="103"/>
      <c r="E75" s="104"/>
      <c r="F75" s="105" t="str">
        <f>IF(A75="","",IFERROR(VLOOKUP(A75,itens_Remanesc!$A:$C,3,0),""))</f>
        <v/>
      </c>
      <c r="G75" s="105" t="str">
        <f t="shared" si="4"/>
        <v/>
      </c>
      <c r="H75" s="103"/>
      <c r="I75" s="64" t="str">
        <f>IFERROR(VLOOKUP(C75,parametros!$B:$F,5,0),"")</f>
        <v/>
      </c>
      <c r="J75" s="105" t="str">
        <f>IF(OR(L75="",F75=""),"",ROUND(L75*IF(AND(UPPER(H75)="SIM",ISNUMBER(IF($C75="C0",IFERROR(VLOOKUP($A75,historico_VU!$A:$G,3,0),""),IF($C75="C1",IFERROR(VLOOKUP($A75,historico_VU!$A:$G,4,0),""),IF($C75="C2",IFERROR(VLOOKUP($A75,historico_VU!$A:$G,5,0),""),IF($C75="C3",IFERROR(VLOOKUP($A75,historico_VU!$A:$G,6,0),""),IF($C75="C4",IFERROR(VLOOKUP($A75,historico_VU!$A:$G,7,0),""),""))))))),IF($C75="C0",IFERROR(VLOOKUP($A75,historico_VU!$A:$G,3,0),""),IF($C75="C1",IFERROR(VLOOKUP($A75,historico_VU!$A:$G,4,0),""),IF($C75="C2",IFERROR(VLOOKUP($A75,historico_VU!$A:$G,5,0),""),IF($C75="C3",IFERROR(VLOOKUP($A75,historico_VU!$A:$G,6,0),""),IF($C75="C4",IFERROR(VLOOKUP($A75,historico_VU!$A:$G,7,0),""),""))))),F75),2))</f>
        <v/>
      </c>
      <c r="K75" s="103"/>
      <c r="L75" s="85" t="str">
        <f t="shared" si="5"/>
        <v/>
      </c>
      <c r="M75" s="203" t="str">
        <f>IF(A75="","",IF(COUNTIF(itens_Remanesc!$A$2:$A$200,A75)=0,"NOVO ITEM NAO CADASTRADO - CADASTRAR EM itens_Remanesc: ITEM + VU_ORIGINAL (QTD_BASE_ORIGINAL sera 0 automaticamente); depois a data e a quantidade aqui.",IF(COUNTIF(itens_Remanesc!$A$2:$A$200,A75)&gt;1,"ALERTA: ITEM_DUPLICADO",IF(OR(C75="",C75="Fora dos ciclos"),"ALERTA: CICLO_INVALIDO",IF(NOT(ISNUMBER(E75)),"ALERTA: QTD_INVALIDA",IF(AND(LEFT(UPPER(D75),3)&lt;&gt;"ACR",LEFT(UPPER(D75),4)&lt;&gt;"SUPR",LEFT(UPPER(D75),4)&lt;&gt;"DECR"),"ALERTA: TIPO_INVALIDO","OK"))))))</f>
        <v/>
      </c>
    </row>
    <row r="76" spans="1:13" ht="45" customHeight="1" x14ac:dyDescent="0.35">
      <c r="A76" s="103"/>
      <c r="B76" s="186"/>
      <c r="C76" s="99" t="str">
        <f>IF(B76="","",IFERROR(IF(NOT(ISNUMBER(parametros!$C$2)),"Fora dos ciclos",IF(OR(B76&lt;parametros!$C$2,(YEAR(B76)-YEAR(parametros!$C$2))*12+MONTH(B76)-MONTH(parametros!$C$2)&gt;59),"Fora dos ciclos","C"&amp;INT(((YEAR(B76)-YEAR(parametros!$C$2))*12+MONTH(B76)-MONTH(parametros!$C$2))/12))),"Fora dos ciclos"))</f>
        <v/>
      </c>
      <c r="D76" s="103"/>
      <c r="E76" s="104"/>
      <c r="F76" s="105" t="str">
        <f>IF(A76="","",IFERROR(VLOOKUP(A76,itens_Remanesc!$A:$C,3,0),""))</f>
        <v/>
      </c>
      <c r="G76" s="105" t="str">
        <f t="shared" si="4"/>
        <v/>
      </c>
      <c r="H76" s="103"/>
      <c r="I76" s="64" t="str">
        <f>IFERROR(VLOOKUP(C76,parametros!$B:$F,5,0),"")</f>
        <v/>
      </c>
      <c r="J76" s="105" t="str">
        <f>IF(OR(L76="",F76=""),"",ROUND(L76*IF(AND(UPPER(H76)="SIM",ISNUMBER(IF($C76="C0",IFERROR(VLOOKUP($A76,historico_VU!$A:$G,3,0),""),IF($C76="C1",IFERROR(VLOOKUP($A76,historico_VU!$A:$G,4,0),""),IF($C76="C2",IFERROR(VLOOKUP($A76,historico_VU!$A:$G,5,0),""),IF($C76="C3",IFERROR(VLOOKUP($A76,historico_VU!$A:$G,6,0),""),IF($C76="C4",IFERROR(VLOOKUP($A76,historico_VU!$A:$G,7,0),""),""))))))),IF($C76="C0",IFERROR(VLOOKUP($A76,historico_VU!$A:$G,3,0),""),IF($C76="C1",IFERROR(VLOOKUP($A76,historico_VU!$A:$G,4,0),""),IF($C76="C2",IFERROR(VLOOKUP($A76,historico_VU!$A:$G,5,0),""),IF($C76="C3",IFERROR(VLOOKUP($A76,historico_VU!$A:$G,6,0),""),IF($C76="C4",IFERROR(VLOOKUP($A76,historico_VU!$A:$G,7,0),""),""))))),F76),2))</f>
        <v/>
      </c>
      <c r="K76" s="103"/>
      <c r="L76" s="85" t="str">
        <f t="shared" si="5"/>
        <v/>
      </c>
      <c r="M76" s="203" t="str">
        <f>IF(A76="","",IF(COUNTIF(itens_Remanesc!$A$2:$A$200,A76)=0,"NOVO ITEM NAO CADASTRADO - CADASTRAR EM itens_Remanesc: ITEM + VU_ORIGINAL (QTD_BASE_ORIGINAL sera 0 automaticamente); depois a data e a quantidade aqui.",IF(COUNTIF(itens_Remanesc!$A$2:$A$200,A76)&gt;1,"ALERTA: ITEM_DUPLICADO",IF(OR(C76="",C76="Fora dos ciclos"),"ALERTA: CICLO_INVALIDO",IF(NOT(ISNUMBER(E76)),"ALERTA: QTD_INVALIDA",IF(AND(LEFT(UPPER(D76),3)&lt;&gt;"ACR",LEFT(UPPER(D76),4)&lt;&gt;"SUPR",LEFT(UPPER(D76),4)&lt;&gt;"DECR"),"ALERTA: TIPO_INVALIDO","OK"))))))</f>
        <v/>
      </c>
    </row>
    <row r="77" spans="1:13" ht="45" customHeight="1" x14ac:dyDescent="0.35">
      <c r="A77" s="103"/>
      <c r="B77" s="186"/>
      <c r="C77" s="99" t="str">
        <f>IF(B77="","",IFERROR(IF(NOT(ISNUMBER(parametros!$C$2)),"Fora dos ciclos",IF(OR(B77&lt;parametros!$C$2,(YEAR(B77)-YEAR(parametros!$C$2))*12+MONTH(B77)-MONTH(parametros!$C$2)&gt;59),"Fora dos ciclos","C"&amp;INT(((YEAR(B77)-YEAR(parametros!$C$2))*12+MONTH(B77)-MONTH(parametros!$C$2))/12))),"Fora dos ciclos"))</f>
        <v/>
      </c>
      <c r="D77" s="103"/>
      <c r="E77" s="104"/>
      <c r="F77" s="105" t="str">
        <f>IF(A77="","",IFERROR(VLOOKUP(A77,itens_Remanesc!$A:$C,3,0),""))</f>
        <v/>
      </c>
      <c r="G77" s="105" t="str">
        <f t="shared" si="4"/>
        <v/>
      </c>
      <c r="H77" s="103"/>
      <c r="I77" s="64" t="str">
        <f>IFERROR(VLOOKUP(C77,parametros!$B:$F,5,0),"")</f>
        <v/>
      </c>
      <c r="J77" s="105" t="str">
        <f>IF(OR(L77="",F77=""),"",ROUND(L77*IF(AND(UPPER(H77)="SIM",ISNUMBER(IF($C77="C0",IFERROR(VLOOKUP($A77,historico_VU!$A:$G,3,0),""),IF($C77="C1",IFERROR(VLOOKUP($A77,historico_VU!$A:$G,4,0),""),IF($C77="C2",IFERROR(VLOOKUP($A77,historico_VU!$A:$G,5,0),""),IF($C77="C3",IFERROR(VLOOKUP($A77,historico_VU!$A:$G,6,0),""),IF($C77="C4",IFERROR(VLOOKUP($A77,historico_VU!$A:$G,7,0),""),""))))))),IF($C77="C0",IFERROR(VLOOKUP($A77,historico_VU!$A:$G,3,0),""),IF($C77="C1",IFERROR(VLOOKUP($A77,historico_VU!$A:$G,4,0),""),IF($C77="C2",IFERROR(VLOOKUP($A77,historico_VU!$A:$G,5,0),""),IF($C77="C3",IFERROR(VLOOKUP($A77,historico_VU!$A:$G,6,0),""),IF($C77="C4",IFERROR(VLOOKUP($A77,historico_VU!$A:$G,7,0),""),""))))),F77),2))</f>
        <v/>
      </c>
      <c r="K77" s="103"/>
      <c r="L77" s="85" t="str">
        <f t="shared" si="5"/>
        <v/>
      </c>
      <c r="M77" s="203" t="str">
        <f>IF(A77="","",IF(COUNTIF(itens_Remanesc!$A$2:$A$200,A77)=0,"NOVO ITEM NAO CADASTRADO - CADASTRAR EM itens_Remanesc: ITEM + VU_ORIGINAL (QTD_BASE_ORIGINAL sera 0 automaticamente); depois a data e a quantidade aqui.",IF(COUNTIF(itens_Remanesc!$A$2:$A$200,A77)&gt;1,"ALERTA: ITEM_DUPLICADO",IF(OR(C77="",C77="Fora dos ciclos"),"ALERTA: CICLO_INVALIDO",IF(NOT(ISNUMBER(E77)),"ALERTA: QTD_INVALIDA",IF(AND(LEFT(UPPER(D77),3)&lt;&gt;"ACR",LEFT(UPPER(D77),4)&lt;&gt;"SUPR",LEFT(UPPER(D77),4)&lt;&gt;"DECR"),"ALERTA: TIPO_INVALIDO","OK"))))))</f>
        <v/>
      </c>
    </row>
    <row r="78" spans="1:13" ht="45" customHeight="1" x14ac:dyDescent="0.35">
      <c r="A78" s="103"/>
      <c r="B78" s="186"/>
      <c r="C78" s="99" t="str">
        <f>IF(B78="","",IFERROR(IF(NOT(ISNUMBER(parametros!$C$2)),"Fora dos ciclos",IF(OR(B78&lt;parametros!$C$2,(YEAR(B78)-YEAR(parametros!$C$2))*12+MONTH(B78)-MONTH(parametros!$C$2)&gt;59),"Fora dos ciclos","C"&amp;INT(((YEAR(B78)-YEAR(parametros!$C$2))*12+MONTH(B78)-MONTH(parametros!$C$2))/12))),"Fora dos ciclos"))</f>
        <v/>
      </c>
      <c r="D78" s="103"/>
      <c r="E78" s="104"/>
      <c r="F78" s="105" t="str">
        <f>IF(A78="","",IFERROR(VLOOKUP(A78,itens_Remanesc!$A:$C,3,0),""))</f>
        <v/>
      </c>
      <c r="G78" s="105" t="str">
        <f t="shared" si="4"/>
        <v/>
      </c>
      <c r="H78" s="103"/>
      <c r="I78" s="64" t="str">
        <f>IFERROR(VLOOKUP(C78,parametros!$B:$F,5,0),"")</f>
        <v/>
      </c>
      <c r="J78" s="105" t="str">
        <f>IF(OR(L78="",F78=""),"",ROUND(L78*IF(AND(UPPER(H78)="SIM",ISNUMBER(IF($C78="C0",IFERROR(VLOOKUP($A78,historico_VU!$A:$G,3,0),""),IF($C78="C1",IFERROR(VLOOKUP($A78,historico_VU!$A:$G,4,0),""),IF($C78="C2",IFERROR(VLOOKUP($A78,historico_VU!$A:$G,5,0),""),IF($C78="C3",IFERROR(VLOOKUP($A78,historico_VU!$A:$G,6,0),""),IF($C78="C4",IFERROR(VLOOKUP($A78,historico_VU!$A:$G,7,0),""),""))))))),IF($C78="C0",IFERROR(VLOOKUP($A78,historico_VU!$A:$G,3,0),""),IF($C78="C1",IFERROR(VLOOKUP($A78,historico_VU!$A:$G,4,0),""),IF($C78="C2",IFERROR(VLOOKUP($A78,historico_VU!$A:$G,5,0),""),IF($C78="C3",IFERROR(VLOOKUP($A78,historico_VU!$A:$G,6,0),""),IF($C78="C4",IFERROR(VLOOKUP($A78,historico_VU!$A:$G,7,0),""),""))))),F78),2))</f>
        <v/>
      </c>
      <c r="K78" s="103"/>
      <c r="L78" s="85" t="str">
        <f t="shared" si="5"/>
        <v/>
      </c>
      <c r="M78" s="203" t="str">
        <f>IF(A78="","",IF(COUNTIF(itens_Remanesc!$A$2:$A$200,A78)=0,"NOVO ITEM NAO CADASTRADO - CADASTRAR EM itens_Remanesc: ITEM + VU_ORIGINAL (QTD_BASE_ORIGINAL sera 0 automaticamente); depois a data e a quantidade aqui.",IF(COUNTIF(itens_Remanesc!$A$2:$A$200,A78)&gt;1,"ALERTA: ITEM_DUPLICADO",IF(OR(C78="",C78="Fora dos ciclos"),"ALERTA: CICLO_INVALIDO",IF(NOT(ISNUMBER(E78)),"ALERTA: QTD_INVALIDA",IF(AND(LEFT(UPPER(D78),3)&lt;&gt;"ACR",LEFT(UPPER(D78),4)&lt;&gt;"SUPR",LEFT(UPPER(D78),4)&lt;&gt;"DECR"),"ALERTA: TIPO_INVALIDO","OK"))))))</f>
        <v/>
      </c>
    </row>
    <row r="79" spans="1:13" ht="45" customHeight="1" x14ac:dyDescent="0.35">
      <c r="A79" s="103"/>
      <c r="B79" s="186"/>
      <c r="C79" s="99" t="str">
        <f>IF(B79="","",IFERROR(IF(NOT(ISNUMBER(parametros!$C$2)),"Fora dos ciclos",IF(OR(B79&lt;parametros!$C$2,(YEAR(B79)-YEAR(parametros!$C$2))*12+MONTH(B79)-MONTH(parametros!$C$2)&gt;59),"Fora dos ciclos","C"&amp;INT(((YEAR(B79)-YEAR(parametros!$C$2))*12+MONTH(B79)-MONTH(parametros!$C$2))/12))),"Fora dos ciclos"))</f>
        <v/>
      </c>
      <c r="D79" s="103"/>
      <c r="E79" s="104"/>
      <c r="F79" s="105" t="str">
        <f>IF(A79="","",IFERROR(VLOOKUP(A79,itens_Remanesc!$A:$C,3,0),""))</f>
        <v/>
      </c>
      <c r="G79" s="105" t="str">
        <f t="shared" si="4"/>
        <v/>
      </c>
      <c r="H79" s="103"/>
      <c r="I79" s="64" t="str">
        <f>IFERROR(VLOOKUP(C79,parametros!$B:$F,5,0),"")</f>
        <v/>
      </c>
      <c r="J79" s="105" t="str">
        <f>IF(OR(L79="",F79=""),"",ROUND(L79*IF(AND(UPPER(H79)="SIM",ISNUMBER(IF($C79="C0",IFERROR(VLOOKUP($A79,historico_VU!$A:$G,3,0),""),IF($C79="C1",IFERROR(VLOOKUP($A79,historico_VU!$A:$G,4,0),""),IF($C79="C2",IFERROR(VLOOKUP($A79,historico_VU!$A:$G,5,0),""),IF($C79="C3",IFERROR(VLOOKUP($A79,historico_VU!$A:$G,6,0),""),IF($C79="C4",IFERROR(VLOOKUP($A79,historico_VU!$A:$G,7,0),""),""))))))),IF($C79="C0",IFERROR(VLOOKUP($A79,historico_VU!$A:$G,3,0),""),IF($C79="C1",IFERROR(VLOOKUP($A79,historico_VU!$A:$G,4,0),""),IF($C79="C2",IFERROR(VLOOKUP($A79,historico_VU!$A:$G,5,0),""),IF($C79="C3",IFERROR(VLOOKUP($A79,historico_VU!$A:$G,6,0),""),IF($C79="C4",IFERROR(VLOOKUP($A79,historico_VU!$A:$G,7,0),""),""))))),F79),2))</f>
        <v/>
      </c>
      <c r="K79" s="103"/>
      <c r="L79" s="85" t="str">
        <f t="shared" si="5"/>
        <v/>
      </c>
      <c r="M79" s="203" t="str">
        <f>IF(A79="","",IF(COUNTIF(itens_Remanesc!$A$2:$A$200,A79)=0,"NOVO ITEM NAO CADASTRADO - CADASTRAR EM itens_Remanesc: ITEM + VU_ORIGINAL (QTD_BASE_ORIGINAL sera 0 automaticamente); depois a data e a quantidade aqui.",IF(COUNTIF(itens_Remanesc!$A$2:$A$200,A79)&gt;1,"ALERTA: ITEM_DUPLICADO",IF(OR(C79="",C79="Fora dos ciclos"),"ALERTA: CICLO_INVALIDO",IF(NOT(ISNUMBER(E79)),"ALERTA: QTD_INVALIDA",IF(AND(LEFT(UPPER(D79),3)&lt;&gt;"ACR",LEFT(UPPER(D79),4)&lt;&gt;"SUPR",LEFT(UPPER(D79),4)&lt;&gt;"DECR"),"ALERTA: TIPO_INVALIDO","OK"))))))</f>
        <v/>
      </c>
    </row>
    <row r="80" spans="1:13" ht="45" customHeight="1" x14ac:dyDescent="0.35">
      <c r="A80" s="103"/>
      <c r="B80" s="186"/>
      <c r="C80" s="99" t="str">
        <f>IF(B80="","",IFERROR(IF(NOT(ISNUMBER(parametros!$C$2)),"Fora dos ciclos",IF(OR(B80&lt;parametros!$C$2,(YEAR(B80)-YEAR(parametros!$C$2))*12+MONTH(B80)-MONTH(parametros!$C$2)&gt;59),"Fora dos ciclos","C"&amp;INT(((YEAR(B80)-YEAR(parametros!$C$2))*12+MONTH(B80)-MONTH(parametros!$C$2))/12))),"Fora dos ciclos"))</f>
        <v/>
      </c>
      <c r="D80" s="103"/>
      <c r="E80" s="104"/>
      <c r="F80" s="105" t="str">
        <f>IF(A80="","",IFERROR(VLOOKUP(A80,itens_Remanesc!$A:$C,3,0),""))</f>
        <v/>
      </c>
      <c r="G80" s="105" t="str">
        <f t="shared" si="4"/>
        <v/>
      </c>
      <c r="H80" s="103"/>
      <c r="I80" s="64" t="str">
        <f>IFERROR(VLOOKUP(C80,parametros!$B:$F,5,0),"")</f>
        <v/>
      </c>
      <c r="J80" s="105" t="str">
        <f>IF(OR(L80="",F80=""),"",ROUND(L80*IF(AND(UPPER(H80)="SIM",ISNUMBER(IF($C80="C0",IFERROR(VLOOKUP($A80,historico_VU!$A:$G,3,0),""),IF($C80="C1",IFERROR(VLOOKUP($A80,historico_VU!$A:$G,4,0),""),IF($C80="C2",IFERROR(VLOOKUP($A80,historico_VU!$A:$G,5,0),""),IF($C80="C3",IFERROR(VLOOKUP($A80,historico_VU!$A:$G,6,0),""),IF($C80="C4",IFERROR(VLOOKUP($A80,historico_VU!$A:$G,7,0),""),""))))))),IF($C80="C0",IFERROR(VLOOKUP($A80,historico_VU!$A:$G,3,0),""),IF($C80="C1",IFERROR(VLOOKUP($A80,historico_VU!$A:$G,4,0),""),IF($C80="C2",IFERROR(VLOOKUP($A80,historico_VU!$A:$G,5,0),""),IF($C80="C3",IFERROR(VLOOKUP($A80,historico_VU!$A:$G,6,0),""),IF($C80="C4",IFERROR(VLOOKUP($A80,historico_VU!$A:$G,7,0),""),""))))),F80),2))</f>
        <v/>
      </c>
      <c r="K80" s="103"/>
      <c r="L80" s="85" t="str">
        <f t="shared" si="5"/>
        <v/>
      </c>
      <c r="M80" s="203" t="str">
        <f>IF(A80="","",IF(COUNTIF(itens_Remanesc!$A$2:$A$200,A80)=0,"NOVO ITEM NAO CADASTRADO - CADASTRAR EM itens_Remanesc: ITEM + VU_ORIGINAL (QTD_BASE_ORIGINAL sera 0 automaticamente); depois a data e a quantidade aqui.",IF(COUNTIF(itens_Remanesc!$A$2:$A$200,A80)&gt;1,"ALERTA: ITEM_DUPLICADO",IF(OR(C80="",C80="Fora dos ciclos"),"ALERTA: CICLO_INVALIDO",IF(NOT(ISNUMBER(E80)),"ALERTA: QTD_INVALIDA",IF(AND(LEFT(UPPER(D80),3)&lt;&gt;"ACR",LEFT(UPPER(D80),4)&lt;&gt;"SUPR",LEFT(UPPER(D80),4)&lt;&gt;"DECR"),"ALERTA: TIPO_INVALIDO","OK"))))))</f>
        <v/>
      </c>
    </row>
    <row r="81" spans="1:13" ht="45" customHeight="1" x14ac:dyDescent="0.35">
      <c r="A81" s="103"/>
      <c r="B81" s="186"/>
      <c r="C81" s="99" t="str">
        <f>IF(B81="","",IFERROR(IF(NOT(ISNUMBER(parametros!$C$2)),"Fora dos ciclos",IF(OR(B81&lt;parametros!$C$2,(YEAR(B81)-YEAR(parametros!$C$2))*12+MONTH(B81)-MONTH(parametros!$C$2)&gt;59),"Fora dos ciclos","C"&amp;INT(((YEAR(B81)-YEAR(parametros!$C$2))*12+MONTH(B81)-MONTH(parametros!$C$2))/12))),"Fora dos ciclos"))</f>
        <v/>
      </c>
      <c r="D81" s="103"/>
      <c r="E81" s="104"/>
      <c r="F81" s="105" t="str">
        <f>IF(A81="","",IFERROR(VLOOKUP(A81,itens_Remanesc!$A:$C,3,0),""))</f>
        <v/>
      </c>
      <c r="G81" s="105" t="str">
        <f t="shared" si="4"/>
        <v/>
      </c>
      <c r="H81" s="103"/>
      <c r="I81" s="64" t="str">
        <f>IFERROR(VLOOKUP(C81,parametros!$B:$F,5,0),"")</f>
        <v/>
      </c>
      <c r="J81" s="105" t="str">
        <f>IF(OR(L81="",F81=""),"",ROUND(L81*IF(AND(UPPER(H81)="SIM",ISNUMBER(IF($C81="C0",IFERROR(VLOOKUP($A81,historico_VU!$A:$G,3,0),""),IF($C81="C1",IFERROR(VLOOKUP($A81,historico_VU!$A:$G,4,0),""),IF($C81="C2",IFERROR(VLOOKUP($A81,historico_VU!$A:$G,5,0),""),IF($C81="C3",IFERROR(VLOOKUP($A81,historico_VU!$A:$G,6,0),""),IF($C81="C4",IFERROR(VLOOKUP($A81,historico_VU!$A:$G,7,0),""),""))))))),IF($C81="C0",IFERROR(VLOOKUP($A81,historico_VU!$A:$G,3,0),""),IF($C81="C1",IFERROR(VLOOKUP($A81,historico_VU!$A:$G,4,0),""),IF($C81="C2",IFERROR(VLOOKUP($A81,historico_VU!$A:$G,5,0),""),IF($C81="C3",IFERROR(VLOOKUP($A81,historico_VU!$A:$G,6,0),""),IF($C81="C4",IFERROR(VLOOKUP($A81,historico_VU!$A:$G,7,0),""),""))))),F81),2))</f>
        <v/>
      </c>
      <c r="K81" s="103"/>
      <c r="L81" s="85" t="str">
        <f t="shared" si="5"/>
        <v/>
      </c>
      <c r="M81" s="203" t="str">
        <f>IF(A81="","",IF(COUNTIF(itens_Remanesc!$A$2:$A$200,A81)=0,"NOVO ITEM NAO CADASTRADO - CADASTRAR EM itens_Remanesc: ITEM + VU_ORIGINAL (QTD_BASE_ORIGINAL sera 0 automaticamente); depois a data e a quantidade aqui.",IF(COUNTIF(itens_Remanesc!$A$2:$A$200,A81)&gt;1,"ALERTA: ITEM_DUPLICADO",IF(OR(C81="",C81="Fora dos ciclos"),"ALERTA: CICLO_INVALIDO",IF(NOT(ISNUMBER(E81)),"ALERTA: QTD_INVALIDA",IF(AND(LEFT(UPPER(D81),3)&lt;&gt;"ACR",LEFT(UPPER(D81),4)&lt;&gt;"SUPR",LEFT(UPPER(D81),4)&lt;&gt;"DECR"),"ALERTA: TIPO_INVALIDO","OK"))))))</f>
        <v/>
      </c>
    </row>
    <row r="82" spans="1:13" ht="45" customHeight="1" x14ac:dyDescent="0.35">
      <c r="A82" s="103"/>
      <c r="B82" s="186"/>
      <c r="C82" s="99" t="str">
        <f>IF(B82="","",IFERROR(IF(NOT(ISNUMBER(parametros!$C$2)),"Fora dos ciclos",IF(OR(B82&lt;parametros!$C$2,(YEAR(B82)-YEAR(parametros!$C$2))*12+MONTH(B82)-MONTH(parametros!$C$2)&gt;59),"Fora dos ciclos","C"&amp;INT(((YEAR(B82)-YEAR(parametros!$C$2))*12+MONTH(B82)-MONTH(parametros!$C$2))/12))),"Fora dos ciclos"))</f>
        <v/>
      </c>
      <c r="D82" s="103"/>
      <c r="E82" s="104"/>
      <c r="F82" s="105" t="str">
        <f>IF(A82="","",IFERROR(VLOOKUP(A82,itens_Remanesc!$A:$C,3,0),""))</f>
        <v/>
      </c>
      <c r="G82" s="105" t="str">
        <f t="shared" si="4"/>
        <v/>
      </c>
      <c r="H82" s="103"/>
      <c r="I82" s="64" t="str">
        <f>IFERROR(VLOOKUP(C82,parametros!$B:$F,5,0),"")</f>
        <v/>
      </c>
      <c r="J82" s="105" t="str">
        <f>IF(OR(L82="",F82=""),"",ROUND(L82*IF(AND(UPPER(H82)="SIM",ISNUMBER(IF($C82="C0",IFERROR(VLOOKUP($A82,historico_VU!$A:$G,3,0),""),IF($C82="C1",IFERROR(VLOOKUP($A82,historico_VU!$A:$G,4,0),""),IF($C82="C2",IFERROR(VLOOKUP($A82,historico_VU!$A:$G,5,0),""),IF($C82="C3",IFERROR(VLOOKUP($A82,historico_VU!$A:$G,6,0),""),IF($C82="C4",IFERROR(VLOOKUP($A82,historico_VU!$A:$G,7,0),""),""))))))),IF($C82="C0",IFERROR(VLOOKUP($A82,historico_VU!$A:$G,3,0),""),IF($C82="C1",IFERROR(VLOOKUP($A82,historico_VU!$A:$G,4,0),""),IF($C82="C2",IFERROR(VLOOKUP($A82,historico_VU!$A:$G,5,0),""),IF($C82="C3",IFERROR(VLOOKUP($A82,historico_VU!$A:$G,6,0),""),IF($C82="C4",IFERROR(VLOOKUP($A82,historico_VU!$A:$G,7,0),""),""))))),F82),2))</f>
        <v/>
      </c>
      <c r="K82" s="103"/>
      <c r="L82" s="85" t="str">
        <f t="shared" si="5"/>
        <v/>
      </c>
      <c r="M82" s="203" t="str">
        <f>IF(A82="","",IF(COUNTIF(itens_Remanesc!$A$2:$A$200,A82)=0,"NOVO ITEM NAO CADASTRADO - CADASTRAR EM itens_Remanesc: ITEM + VU_ORIGINAL (QTD_BASE_ORIGINAL sera 0 automaticamente); depois a data e a quantidade aqui.",IF(COUNTIF(itens_Remanesc!$A$2:$A$200,A82)&gt;1,"ALERTA: ITEM_DUPLICADO",IF(OR(C82="",C82="Fora dos ciclos"),"ALERTA: CICLO_INVALIDO",IF(NOT(ISNUMBER(E82)),"ALERTA: QTD_INVALIDA",IF(AND(LEFT(UPPER(D82),3)&lt;&gt;"ACR",LEFT(UPPER(D82),4)&lt;&gt;"SUPR",LEFT(UPPER(D82),4)&lt;&gt;"DECR"),"ALERTA: TIPO_INVALIDO","OK"))))))</f>
        <v/>
      </c>
    </row>
    <row r="83" spans="1:13" ht="45" customHeight="1" x14ac:dyDescent="0.35">
      <c r="A83" s="103"/>
      <c r="B83" s="186"/>
      <c r="C83" s="99" t="str">
        <f>IF(B83="","",IFERROR(IF(NOT(ISNUMBER(parametros!$C$2)),"Fora dos ciclos",IF(OR(B83&lt;parametros!$C$2,(YEAR(B83)-YEAR(parametros!$C$2))*12+MONTH(B83)-MONTH(parametros!$C$2)&gt;59),"Fora dos ciclos","C"&amp;INT(((YEAR(B83)-YEAR(parametros!$C$2))*12+MONTH(B83)-MONTH(parametros!$C$2))/12))),"Fora dos ciclos"))</f>
        <v/>
      </c>
      <c r="D83" s="103"/>
      <c r="E83" s="104"/>
      <c r="F83" s="105" t="str">
        <f>IF(A83="","",IFERROR(VLOOKUP(A83,itens_Remanesc!$A:$C,3,0),""))</f>
        <v/>
      </c>
      <c r="G83" s="105" t="str">
        <f t="shared" si="4"/>
        <v/>
      </c>
      <c r="H83" s="103"/>
      <c r="I83" s="64" t="str">
        <f>IFERROR(VLOOKUP(C83,parametros!$B:$F,5,0),"")</f>
        <v/>
      </c>
      <c r="J83" s="105" t="str">
        <f>IF(OR(L83="",F83=""),"",ROUND(L83*IF(AND(UPPER(H83)="SIM",ISNUMBER(IF($C83="C0",IFERROR(VLOOKUP($A83,historico_VU!$A:$G,3,0),""),IF($C83="C1",IFERROR(VLOOKUP($A83,historico_VU!$A:$G,4,0),""),IF($C83="C2",IFERROR(VLOOKUP($A83,historico_VU!$A:$G,5,0),""),IF($C83="C3",IFERROR(VLOOKUP($A83,historico_VU!$A:$G,6,0),""),IF($C83="C4",IFERROR(VLOOKUP($A83,historico_VU!$A:$G,7,0),""),""))))))),IF($C83="C0",IFERROR(VLOOKUP($A83,historico_VU!$A:$G,3,0),""),IF($C83="C1",IFERROR(VLOOKUP($A83,historico_VU!$A:$G,4,0),""),IF($C83="C2",IFERROR(VLOOKUP($A83,historico_VU!$A:$G,5,0),""),IF($C83="C3",IFERROR(VLOOKUP($A83,historico_VU!$A:$G,6,0),""),IF($C83="C4",IFERROR(VLOOKUP($A83,historico_VU!$A:$G,7,0),""),""))))),F83),2))</f>
        <v/>
      </c>
      <c r="K83" s="103"/>
      <c r="L83" s="85" t="str">
        <f t="shared" si="5"/>
        <v/>
      </c>
      <c r="M83" s="203" t="str">
        <f>IF(A83="","",IF(COUNTIF(itens_Remanesc!$A$2:$A$200,A83)=0,"NOVO ITEM NAO CADASTRADO - CADASTRAR EM itens_Remanesc: ITEM + VU_ORIGINAL (QTD_BASE_ORIGINAL sera 0 automaticamente); depois a data e a quantidade aqui.",IF(COUNTIF(itens_Remanesc!$A$2:$A$200,A83)&gt;1,"ALERTA: ITEM_DUPLICADO",IF(OR(C83="",C83="Fora dos ciclos"),"ALERTA: CICLO_INVALIDO",IF(NOT(ISNUMBER(E83)),"ALERTA: QTD_INVALIDA",IF(AND(LEFT(UPPER(D83),3)&lt;&gt;"ACR",LEFT(UPPER(D83),4)&lt;&gt;"SUPR",LEFT(UPPER(D83),4)&lt;&gt;"DECR"),"ALERTA: TIPO_INVALIDO","OK"))))))</f>
        <v/>
      </c>
    </row>
    <row r="84" spans="1:13" ht="45" customHeight="1" x14ac:dyDescent="0.35">
      <c r="A84" s="103"/>
      <c r="B84" s="186"/>
      <c r="C84" s="99" t="str">
        <f>IF(B84="","",IFERROR(IF(NOT(ISNUMBER(parametros!$C$2)),"Fora dos ciclos",IF(OR(B84&lt;parametros!$C$2,(YEAR(B84)-YEAR(parametros!$C$2))*12+MONTH(B84)-MONTH(parametros!$C$2)&gt;59),"Fora dos ciclos","C"&amp;INT(((YEAR(B84)-YEAR(parametros!$C$2))*12+MONTH(B84)-MONTH(parametros!$C$2))/12))),"Fora dos ciclos"))</f>
        <v/>
      </c>
      <c r="D84" s="103"/>
      <c r="E84" s="104"/>
      <c r="F84" s="105" t="str">
        <f>IF(A84="","",IFERROR(VLOOKUP(A84,itens_Remanesc!$A:$C,3,0),""))</f>
        <v/>
      </c>
      <c r="G84" s="105" t="str">
        <f t="shared" si="4"/>
        <v/>
      </c>
      <c r="H84" s="103"/>
      <c r="I84" s="64" t="str">
        <f>IFERROR(VLOOKUP(C84,parametros!$B:$F,5,0),"")</f>
        <v/>
      </c>
      <c r="J84" s="105" t="str">
        <f>IF(OR(L84="",F84=""),"",ROUND(L84*IF(AND(UPPER(H84)="SIM",ISNUMBER(IF($C84="C0",IFERROR(VLOOKUP($A84,historico_VU!$A:$G,3,0),""),IF($C84="C1",IFERROR(VLOOKUP($A84,historico_VU!$A:$G,4,0),""),IF($C84="C2",IFERROR(VLOOKUP($A84,historico_VU!$A:$G,5,0),""),IF($C84="C3",IFERROR(VLOOKUP($A84,historico_VU!$A:$G,6,0),""),IF($C84="C4",IFERROR(VLOOKUP($A84,historico_VU!$A:$G,7,0),""),""))))))),IF($C84="C0",IFERROR(VLOOKUP($A84,historico_VU!$A:$G,3,0),""),IF($C84="C1",IFERROR(VLOOKUP($A84,historico_VU!$A:$G,4,0),""),IF($C84="C2",IFERROR(VLOOKUP($A84,historico_VU!$A:$G,5,0),""),IF($C84="C3",IFERROR(VLOOKUP($A84,historico_VU!$A:$G,6,0),""),IF($C84="C4",IFERROR(VLOOKUP($A84,historico_VU!$A:$G,7,0),""),""))))),F84),2))</f>
        <v/>
      </c>
      <c r="K84" s="103"/>
      <c r="L84" s="85" t="str">
        <f t="shared" si="5"/>
        <v/>
      </c>
      <c r="M84" s="203" t="str">
        <f>IF(A84="","",IF(COUNTIF(itens_Remanesc!$A$2:$A$200,A84)=0,"NOVO ITEM NAO CADASTRADO - CADASTRAR EM itens_Remanesc: ITEM + VU_ORIGINAL (QTD_BASE_ORIGINAL sera 0 automaticamente); depois a data e a quantidade aqui.",IF(COUNTIF(itens_Remanesc!$A$2:$A$200,A84)&gt;1,"ALERTA: ITEM_DUPLICADO",IF(OR(C84="",C84="Fora dos ciclos"),"ALERTA: CICLO_INVALIDO",IF(NOT(ISNUMBER(E84)),"ALERTA: QTD_INVALIDA",IF(AND(LEFT(UPPER(D84),3)&lt;&gt;"ACR",LEFT(UPPER(D84),4)&lt;&gt;"SUPR",LEFT(UPPER(D84),4)&lt;&gt;"DECR"),"ALERTA: TIPO_INVALIDO","OK"))))))</f>
        <v/>
      </c>
    </row>
    <row r="85" spans="1:13" ht="45" customHeight="1" x14ac:dyDescent="0.35">
      <c r="A85" s="103"/>
      <c r="B85" s="186"/>
      <c r="C85" s="99" t="str">
        <f>IF(B85="","",IFERROR(IF(NOT(ISNUMBER(parametros!$C$2)),"Fora dos ciclos",IF(OR(B85&lt;parametros!$C$2,(YEAR(B85)-YEAR(parametros!$C$2))*12+MONTH(B85)-MONTH(parametros!$C$2)&gt;59),"Fora dos ciclos","C"&amp;INT(((YEAR(B85)-YEAR(parametros!$C$2))*12+MONTH(B85)-MONTH(parametros!$C$2))/12))),"Fora dos ciclos"))</f>
        <v/>
      </c>
      <c r="D85" s="103"/>
      <c r="E85" s="104"/>
      <c r="F85" s="105" t="str">
        <f>IF(A85="","",IFERROR(VLOOKUP(A85,itens_Remanesc!$A:$C,3,0),""))</f>
        <v/>
      </c>
      <c r="G85" s="105" t="str">
        <f t="shared" si="4"/>
        <v/>
      </c>
      <c r="H85" s="103"/>
      <c r="I85" s="64" t="str">
        <f>IFERROR(VLOOKUP(C85,parametros!$B:$F,5,0),"")</f>
        <v/>
      </c>
      <c r="J85" s="105" t="str">
        <f>IF(OR(L85="",F85=""),"",ROUND(L85*IF(AND(UPPER(H85)="SIM",ISNUMBER(IF($C85="C0",IFERROR(VLOOKUP($A85,historico_VU!$A:$G,3,0),""),IF($C85="C1",IFERROR(VLOOKUP($A85,historico_VU!$A:$G,4,0),""),IF($C85="C2",IFERROR(VLOOKUP($A85,historico_VU!$A:$G,5,0),""),IF($C85="C3",IFERROR(VLOOKUP($A85,historico_VU!$A:$G,6,0),""),IF($C85="C4",IFERROR(VLOOKUP($A85,historico_VU!$A:$G,7,0),""),""))))))),IF($C85="C0",IFERROR(VLOOKUP($A85,historico_VU!$A:$G,3,0),""),IF($C85="C1",IFERROR(VLOOKUP($A85,historico_VU!$A:$G,4,0),""),IF($C85="C2",IFERROR(VLOOKUP($A85,historico_VU!$A:$G,5,0),""),IF($C85="C3",IFERROR(VLOOKUP($A85,historico_VU!$A:$G,6,0),""),IF($C85="C4",IFERROR(VLOOKUP($A85,historico_VU!$A:$G,7,0),""),""))))),F85),2))</f>
        <v/>
      </c>
      <c r="K85" s="103"/>
      <c r="L85" s="85" t="str">
        <f t="shared" si="5"/>
        <v/>
      </c>
      <c r="M85" s="203" t="str">
        <f>IF(A85="","",IF(COUNTIF(itens_Remanesc!$A$2:$A$200,A85)=0,"NOVO ITEM NAO CADASTRADO - CADASTRAR EM itens_Remanesc: ITEM + VU_ORIGINAL (QTD_BASE_ORIGINAL sera 0 automaticamente); depois a data e a quantidade aqui.",IF(COUNTIF(itens_Remanesc!$A$2:$A$200,A85)&gt;1,"ALERTA: ITEM_DUPLICADO",IF(OR(C85="",C85="Fora dos ciclos"),"ALERTA: CICLO_INVALIDO",IF(NOT(ISNUMBER(E85)),"ALERTA: QTD_INVALIDA",IF(AND(LEFT(UPPER(D85),3)&lt;&gt;"ACR",LEFT(UPPER(D85),4)&lt;&gt;"SUPR",LEFT(UPPER(D85),4)&lt;&gt;"DECR"),"ALERTA: TIPO_INVALIDO","OK"))))))</f>
        <v/>
      </c>
    </row>
    <row r="86" spans="1:13" ht="45" customHeight="1" x14ac:dyDescent="0.35">
      <c r="A86" s="103"/>
      <c r="B86" s="186"/>
      <c r="C86" s="99" t="str">
        <f>IF(B86="","",IFERROR(IF(NOT(ISNUMBER(parametros!$C$2)),"Fora dos ciclos",IF(OR(B86&lt;parametros!$C$2,(YEAR(B86)-YEAR(parametros!$C$2))*12+MONTH(B86)-MONTH(parametros!$C$2)&gt;59),"Fora dos ciclos","C"&amp;INT(((YEAR(B86)-YEAR(parametros!$C$2))*12+MONTH(B86)-MONTH(parametros!$C$2))/12))),"Fora dos ciclos"))</f>
        <v/>
      </c>
      <c r="D86" s="103"/>
      <c r="E86" s="104"/>
      <c r="F86" s="105" t="str">
        <f>IF(A86="","",IFERROR(VLOOKUP(A86,itens_Remanesc!$A:$C,3,0),""))</f>
        <v/>
      </c>
      <c r="G86" s="105" t="str">
        <f t="shared" si="4"/>
        <v/>
      </c>
      <c r="H86" s="103"/>
      <c r="I86" s="64" t="str">
        <f>IFERROR(VLOOKUP(C86,parametros!$B:$F,5,0),"")</f>
        <v/>
      </c>
      <c r="J86" s="105" t="str">
        <f>IF(OR(L86="",F86=""),"",ROUND(L86*IF(AND(UPPER(H86)="SIM",ISNUMBER(IF($C86="C0",IFERROR(VLOOKUP($A86,historico_VU!$A:$G,3,0),""),IF($C86="C1",IFERROR(VLOOKUP($A86,historico_VU!$A:$G,4,0),""),IF($C86="C2",IFERROR(VLOOKUP($A86,historico_VU!$A:$G,5,0),""),IF($C86="C3",IFERROR(VLOOKUP($A86,historico_VU!$A:$G,6,0),""),IF($C86="C4",IFERROR(VLOOKUP($A86,historico_VU!$A:$G,7,0),""),""))))))),IF($C86="C0",IFERROR(VLOOKUP($A86,historico_VU!$A:$G,3,0),""),IF($C86="C1",IFERROR(VLOOKUP($A86,historico_VU!$A:$G,4,0),""),IF($C86="C2",IFERROR(VLOOKUP($A86,historico_VU!$A:$G,5,0),""),IF($C86="C3",IFERROR(VLOOKUP($A86,historico_VU!$A:$G,6,0),""),IF($C86="C4",IFERROR(VLOOKUP($A86,historico_VU!$A:$G,7,0),""),""))))),F86),2))</f>
        <v/>
      </c>
      <c r="K86" s="103"/>
      <c r="L86" s="85" t="str">
        <f t="shared" si="5"/>
        <v/>
      </c>
      <c r="M86" s="203" t="str">
        <f>IF(A86="","",IF(COUNTIF(itens_Remanesc!$A$2:$A$200,A86)=0,"NOVO ITEM NAO CADASTRADO - CADASTRAR EM itens_Remanesc: ITEM + VU_ORIGINAL (QTD_BASE_ORIGINAL sera 0 automaticamente); depois a data e a quantidade aqui.",IF(COUNTIF(itens_Remanesc!$A$2:$A$200,A86)&gt;1,"ALERTA: ITEM_DUPLICADO",IF(OR(C86="",C86="Fora dos ciclos"),"ALERTA: CICLO_INVALIDO",IF(NOT(ISNUMBER(E86)),"ALERTA: QTD_INVALIDA",IF(AND(LEFT(UPPER(D86),3)&lt;&gt;"ACR",LEFT(UPPER(D86),4)&lt;&gt;"SUPR",LEFT(UPPER(D86),4)&lt;&gt;"DECR"),"ALERTA: TIPO_INVALIDO","OK"))))))</f>
        <v/>
      </c>
    </row>
    <row r="87" spans="1:13" ht="45" customHeight="1" x14ac:dyDescent="0.35">
      <c r="A87" s="103"/>
      <c r="B87" s="186"/>
      <c r="C87" s="99" t="str">
        <f>IF(B87="","",IFERROR(IF(NOT(ISNUMBER(parametros!$C$2)),"Fora dos ciclos",IF(OR(B87&lt;parametros!$C$2,(YEAR(B87)-YEAR(parametros!$C$2))*12+MONTH(B87)-MONTH(parametros!$C$2)&gt;59),"Fora dos ciclos","C"&amp;INT(((YEAR(B87)-YEAR(parametros!$C$2))*12+MONTH(B87)-MONTH(parametros!$C$2))/12))),"Fora dos ciclos"))</f>
        <v/>
      </c>
      <c r="D87" s="103"/>
      <c r="E87" s="104"/>
      <c r="F87" s="105" t="str">
        <f>IF(A87="","",IFERROR(VLOOKUP(A87,itens_Remanesc!$A:$C,3,0),""))</f>
        <v/>
      </c>
      <c r="G87" s="105" t="str">
        <f t="shared" si="4"/>
        <v/>
      </c>
      <c r="H87" s="103"/>
      <c r="I87" s="64" t="str">
        <f>IFERROR(VLOOKUP(C87,parametros!$B:$F,5,0),"")</f>
        <v/>
      </c>
      <c r="J87" s="105" t="str">
        <f>IF(OR(L87="",F87=""),"",ROUND(L87*IF(AND(UPPER(H87)="SIM",ISNUMBER(IF($C87="C0",IFERROR(VLOOKUP($A87,historico_VU!$A:$G,3,0),""),IF($C87="C1",IFERROR(VLOOKUP($A87,historico_VU!$A:$G,4,0),""),IF($C87="C2",IFERROR(VLOOKUP($A87,historico_VU!$A:$G,5,0),""),IF($C87="C3",IFERROR(VLOOKUP($A87,historico_VU!$A:$G,6,0),""),IF($C87="C4",IFERROR(VLOOKUP($A87,historico_VU!$A:$G,7,0),""),""))))))),IF($C87="C0",IFERROR(VLOOKUP($A87,historico_VU!$A:$G,3,0),""),IF($C87="C1",IFERROR(VLOOKUP($A87,historico_VU!$A:$G,4,0),""),IF($C87="C2",IFERROR(VLOOKUP($A87,historico_VU!$A:$G,5,0),""),IF($C87="C3",IFERROR(VLOOKUP($A87,historico_VU!$A:$G,6,0),""),IF($C87="C4",IFERROR(VLOOKUP($A87,historico_VU!$A:$G,7,0),""),""))))),F87),2))</f>
        <v/>
      </c>
      <c r="K87" s="103"/>
      <c r="L87" s="85" t="str">
        <f t="shared" si="5"/>
        <v/>
      </c>
      <c r="M87" s="203" t="str">
        <f>IF(A87="","",IF(COUNTIF(itens_Remanesc!$A$2:$A$200,A87)=0,"NOVO ITEM NAO CADASTRADO - CADASTRAR EM itens_Remanesc: ITEM + VU_ORIGINAL (QTD_BASE_ORIGINAL sera 0 automaticamente); depois a data e a quantidade aqui.",IF(COUNTIF(itens_Remanesc!$A$2:$A$200,A87)&gt;1,"ALERTA: ITEM_DUPLICADO",IF(OR(C87="",C87="Fora dos ciclos"),"ALERTA: CICLO_INVALIDO",IF(NOT(ISNUMBER(E87)),"ALERTA: QTD_INVALIDA",IF(AND(LEFT(UPPER(D87),3)&lt;&gt;"ACR",LEFT(UPPER(D87),4)&lt;&gt;"SUPR",LEFT(UPPER(D87),4)&lt;&gt;"DECR"),"ALERTA: TIPO_INVALIDO","OK"))))))</f>
        <v/>
      </c>
    </row>
    <row r="88" spans="1:13" ht="45" customHeight="1" x14ac:dyDescent="0.35">
      <c r="A88" s="103"/>
      <c r="B88" s="186"/>
      <c r="C88" s="99" t="str">
        <f>IF(B88="","",IFERROR(IF(NOT(ISNUMBER(parametros!$C$2)),"Fora dos ciclos",IF(OR(B88&lt;parametros!$C$2,(YEAR(B88)-YEAR(parametros!$C$2))*12+MONTH(B88)-MONTH(parametros!$C$2)&gt;59),"Fora dos ciclos","C"&amp;INT(((YEAR(B88)-YEAR(parametros!$C$2))*12+MONTH(B88)-MONTH(parametros!$C$2))/12))),"Fora dos ciclos"))</f>
        <v/>
      </c>
      <c r="D88" s="103"/>
      <c r="E88" s="104"/>
      <c r="F88" s="105" t="str">
        <f>IF(A88="","",IFERROR(VLOOKUP(A88,itens_Remanesc!$A:$C,3,0),""))</f>
        <v/>
      </c>
      <c r="G88" s="105" t="str">
        <f t="shared" si="4"/>
        <v/>
      </c>
      <c r="H88" s="103"/>
      <c r="I88" s="64" t="str">
        <f>IFERROR(VLOOKUP(C88,parametros!$B:$F,5,0),"")</f>
        <v/>
      </c>
      <c r="J88" s="105" t="str">
        <f>IF(OR(L88="",F88=""),"",ROUND(L88*IF(AND(UPPER(H88)="SIM",ISNUMBER(IF($C88="C0",IFERROR(VLOOKUP($A88,historico_VU!$A:$G,3,0),""),IF($C88="C1",IFERROR(VLOOKUP($A88,historico_VU!$A:$G,4,0),""),IF($C88="C2",IFERROR(VLOOKUP($A88,historico_VU!$A:$G,5,0),""),IF($C88="C3",IFERROR(VLOOKUP($A88,historico_VU!$A:$G,6,0),""),IF($C88="C4",IFERROR(VLOOKUP($A88,historico_VU!$A:$G,7,0),""),""))))))),IF($C88="C0",IFERROR(VLOOKUP($A88,historico_VU!$A:$G,3,0),""),IF($C88="C1",IFERROR(VLOOKUP($A88,historico_VU!$A:$G,4,0),""),IF($C88="C2",IFERROR(VLOOKUP($A88,historico_VU!$A:$G,5,0),""),IF($C88="C3",IFERROR(VLOOKUP($A88,historico_VU!$A:$G,6,0),""),IF($C88="C4",IFERROR(VLOOKUP($A88,historico_VU!$A:$G,7,0),""),""))))),F88),2))</f>
        <v/>
      </c>
      <c r="K88" s="103"/>
      <c r="L88" s="85" t="str">
        <f t="shared" si="5"/>
        <v/>
      </c>
      <c r="M88" s="203" t="str">
        <f>IF(A88="","",IF(COUNTIF(itens_Remanesc!$A$2:$A$200,A88)=0,"NOVO ITEM NAO CADASTRADO - CADASTRAR EM itens_Remanesc: ITEM + VU_ORIGINAL (QTD_BASE_ORIGINAL sera 0 automaticamente); depois a data e a quantidade aqui.",IF(COUNTIF(itens_Remanesc!$A$2:$A$200,A88)&gt;1,"ALERTA: ITEM_DUPLICADO",IF(OR(C88="",C88="Fora dos ciclos"),"ALERTA: CICLO_INVALIDO",IF(NOT(ISNUMBER(E88)),"ALERTA: QTD_INVALIDA",IF(AND(LEFT(UPPER(D88),3)&lt;&gt;"ACR",LEFT(UPPER(D88),4)&lt;&gt;"SUPR",LEFT(UPPER(D88),4)&lt;&gt;"DECR"),"ALERTA: TIPO_INVALIDO","OK"))))))</f>
        <v/>
      </c>
    </row>
    <row r="89" spans="1:13" ht="45" customHeight="1" x14ac:dyDescent="0.35">
      <c r="A89" s="103"/>
      <c r="B89" s="186"/>
      <c r="C89" s="99" t="str">
        <f>IF(B89="","",IFERROR(IF(NOT(ISNUMBER(parametros!$C$2)),"Fora dos ciclos",IF(OR(B89&lt;parametros!$C$2,(YEAR(B89)-YEAR(parametros!$C$2))*12+MONTH(B89)-MONTH(parametros!$C$2)&gt;59),"Fora dos ciclos","C"&amp;INT(((YEAR(B89)-YEAR(parametros!$C$2))*12+MONTH(B89)-MONTH(parametros!$C$2))/12))),"Fora dos ciclos"))</f>
        <v/>
      </c>
      <c r="D89" s="103"/>
      <c r="E89" s="104"/>
      <c r="F89" s="105" t="str">
        <f>IF(A89="","",IFERROR(VLOOKUP(A89,itens_Remanesc!$A:$C,3,0),""))</f>
        <v/>
      </c>
      <c r="G89" s="105" t="str">
        <f t="shared" si="4"/>
        <v/>
      </c>
      <c r="H89" s="103"/>
      <c r="I89" s="64" t="str">
        <f>IFERROR(VLOOKUP(C89,parametros!$B:$F,5,0),"")</f>
        <v/>
      </c>
      <c r="J89" s="105" t="str">
        <f>IF(OR(L89="",F89=""),"",ROUND(L89*IF(AND(UPPER(H89)="SIM",ISNUMBER(IF($C89="C0",IFERROR(VLOOKUP($A89,historico_VU!$A:$G,3,0),""),IF($C89="C1",IFERROR(VLOOKUP($A89,historico_VU!$A:$G,4,0),""),IF($C89="C2",IFERROR(VLOOKUP($A89,historico_VU!$A:$G,5,0),""),IF($C89="C3",IFERROR(VLOOKUP($A89,historico_VU!$A:$G,6,0),""),IF($C89="C4",IFERROR(VLOOKUP($A89,historico_VU!$A:$G,7,0),""),""))))))),IF($C89="C0",IFERROR(VLOOKUP($A89,historico_VU!$A:$G,3,0),""),IF($C89="C1",IFERROR(VLOOKUP($A89,historico_VU!$A:$G,4,0),""),IF($C89="C2",IFERROR(VLOOKUP($A89,historico_VU!$A:$G,5,0),""),IF($C89="C3",IFERROR(VLOOKUP($A89,historico_VU!$A:$G,6,0),""),IF($C89="C4",IFERROR(VLOOKUP($A89,historico_VU!$A:$G,7,0),""),""))))),F89),2))</f>
        <v/>
      </c>
      <c r="K89" s="103"/>
      <c r="L89" s="85" t="str">
        <f t="shared" si="5"/>
        <v/>
      </c>
      <c r="M89" s="203" t="str">
        <f>IF(A89="","",IF(COUNTIF(itens_Remanesc!$A$2:$A$200,A89)=0,"NOVO ITEM NAO CADASTRADO - CADASTRAR EM itens_Remanesc: ITEM + VU_ORIGINAL (QTD_BASE_ORIGINAL sera 0 automaticamente); depois a data e a quantidade aqui.",IF(COUNTIF(itens_Remanesc!$A$2:$A$200,A89)&gt;1,"ALERTA: ITEM_DUPLICADO",IF(OR(C89="",C89="Fora dos ciclos"),"ALERTA: CICLO_INVALIDO",IF(NOT(ISNUMBER(E89)),"ALERTA: QTD_INVALIDA",IF(AND(LEFT(UPPER(D89),3)&lt;&gt;"ACR",LEFT(UPPER(D89),4)&lt;&gt;"SUPR",LEFT(UPPER(D89),4)&lt;&gt;"DECR"),"ALERTA: TIPO_INVALIDO","OK"))))))</f>
        <v/>
      </c>
    </row>
    <row r="90" spans="1:13" ht="45" customHeight="1" x14ac:dyDescent="0.35">
      <c r="A90" s="103"/>
      <c r="B90" s="186"/>
      <c r="C90" s="99" t="str">
        <f>IF(B90="","",IFERROR(IF(NOT(ISNUMBER(parametros!$C$2)),"Fora dos ciclos",IF(OR(B90&lt;parametros!$C$2,(YEAR(B90)-YEAR(parametros!$C$2))*12+MONTH(B90)-MONTH(parametros!$C$2)&gt;59),"Fora dos ciclos","C"&amp;INT(((YEAR(B90)-YEAR(parametros!$C$2))*12+MONTH(B90)-MONTH(parametros!$C$2))/12))),"Fora dos ciclos"))</f>
        <v/>
      </c>
      <c r="D90" s="103"/>
      <c r="E90" s="104"/>
      <c r="F90" s="105" t="str">
        <f>IF(A90="","",IFERROR(VLOOKUP(A90,itens_Remanesc!$A:$C,3,0),""))</f>
        <v/>
      </c>
      <c r="G90" s="105" t="str">
        <f t="shared" si="4"/>
        <v/>
      </c>
      <c r="H90" s="103"/>
      <c r="I90" s="64" t="str">
        <f>IFERROR(VLOOKUP(C90,parametros!$B:$F,5,0),"")</f>
        <v/>
      </c>
      <c r="J90" s="105" t="str">
        <f>IF(OR(L90="",F90=""),"",ROUND(L90*IF(AND(UPPER(H90)="SIM",ISNUMBER(IF($C90="C0",IFERROR(VLOOKUP($A90,historico_VU!$A:$G,3,0),""),IF($C90="C1",IFERROR(VLOOKUP($A90,historico_VU!$A:$G,4,0),""),IF($C90="C2",IFERROR(VLOOKUP($A90,historico_VU!$A:$G,5,0),""),IF($C90="C3",IFERROR(VLOOKUP($A90,historico_VU!$A:$G,6,0),""),IF($C90="C4",IFERROR(VLOOKUP($A90,historico_VU!$A:$G,7,0),""),""))))))),IF($C90="C0",IFERROR(VLOOKUP($A90,historico_VU!$A:$G,3,0),""),IF($C90="C1",IFERROR(VLOOKUP($A90,historico_VU!$A:$G,4,0),""),IF($C90="C2",IFERROR(VLOOKUP($A90,historico_VU!$A:$G,5,0),""),IF($C90="C3",IFERROR(VLOOKUP($A90,historico_VU!$A:$G,6,0),""),IF($C90="C4",IFERROR(VLOOKUP($A90,historico_VU!$A:$G,7,0),""),""))))),F90),2))</f>
        <v/>
      </c>
      <c r="K90" s="103"/>
      <c r="L90" s="85" t="str">
        <f t="shared" si="5"/>
        <v/>
      </c>
      <c r="M90" s="203" t="str">
        <f>IF(A90="","",IF(COUNTIF(itens_Remanesc!$A$2:$A$200,A90)=0,"NOVO ITEM NAO CADASTRADO - CADASTRAR EM itens_Remanesc: ITEM + VU_ORIGINAL (QTD_BASE_ORIGINAL sera 0 automaticamente); depois a data e a quantidade aqui.",IF(COUNTIF(itens_Remanesc!$A$2:$A$200,A90)&gt;1,"ALERTA: ITEM_DUPLICADO",IF(OR(C90="",C90="Fora dos ciclos"),"ALERTA: CICLO_INVALIDO",IF(NOT(ISNUMBER(E90)),"ALERTA: QTD_INVALIDA",IF(AND(LEFT(UPPER(D90),3)&lt;&gt;"ACR",LEFT(UPPER(D90),4)&lt;&gt;"SUPR",LEFT(UPPER(D90),4)&lt;&gt;"DECR"),"ALERTA: TIPO_INVALIDO","OK"))))))</f>
        <v/>
      </c>
    </row>
    <row r="91" spans="1:13" ht="45" customHeight="1" x14ac:dyDescent="0.35">
      <c r="A91" s="103"/>
      <c r="B91" s="186"/>
      <c r="C91" s="99" t="str">
        <f>IF(B91="","",IFERROR(IF(NOT(ISNUMBER(parametros!$C$2)),"Fora dos ciclos",IF(OR(B91&lt;parametros!$C$2,(YEAR(B91)-YEAR(parametros!$C$2))*12+MONTH(B91)-MONTH(parametros!$C$2)&gt;59),"Fora dos ciclos","C"&amp;INT(((YEAR(B91)-YEAR(parametros!$C$2))*12+MONTH(B91)-MONTH(parametros!$C$2))/12))),"Fora dos ciclos"))</f>
        <v/>
      </c>
      <c r="D91" s="103"/>
      <c r="E91" s="104"/>
      <c r="F91" s="105" t="str">
        <f>IF(A91="","",IFERROR(VLOOKUP(A91,itens_Remanesc!$A:$C,3,0),""))</f>
        <v/>
      </c>
      <c r="G91" s="105" t="str">
        <f t="shared" si="4"/>
        <v/>
      </c>
      <c r="H91" s="103"/>
      <c r="I91" s="64" t="str">
        <f>IFERROR(VLOOKUP(C91,parametros!$B:$F,5,0),"")</f>
        <v/>
      </c>
      <c r="J91" s="105" t="str">
        <f>IF(OR(L91="",F91=""),"",ROUND(L91*IF(AND(UPPER(H91)="SIM",ISNUMBER(IF($C91="C0",IFERROR(VLOOKUP($A91,historico_VU!$A:$G,3,0),""),IF($C91="C1",IFERROR(VLOOKUP($A91,historico_VU!$A:$G,4,0),""),IF($C91="C2",IFERROR(VLOOKUP($A91,historico_VU!$A:$G,5,0),""),IF($C91="C3",IFERROR(VLOOKUP($A91,historico_VU!$A:$G,6,0),""),IF($C91="C4",IFERROR(VLOOKUP($A91,historico_VU!$A:$G,7,0),""),""))))))),IF($C91="C0",IFERROR(VLOOKUP($A91,historico_VU!$A:$G,3,0),""),IF($C91="C1",IFERROR(VLOOKUP($A91,historico_VU!$A:$G,4,0),""),IF($C91="C2",IFERROR(VLOOKUP($A91,historico_VU!$A:$G,5,0),""),IF($C91="C3",IFERROR(VLOOKUP($A91,historico_VU!$A:$G,6,0),""),IF($C91="C4",IFERROR(VLOOKUP($A91,historico_VU!$A:$G,7,0),""),""))))),F91),2))</f>
        <v/>
      </c>
      <c r="K91" s="103"/>
      <c r="L91" s="85" t="str">
        <f t="shared" si="5"/>
        <v/>
      </c>
      <c r="M91" s="203" t="str">
        <f>IF(A91="","",IF(COUNTIF(itens_Remanesc!$A$2:$A$200,A91)=0,"NOVO ITEM NAO CADASTRADO - CADASTRAR EM itens_Remanesc: ITEM + VU_ORIGINAL (QTD_BASE_ORIGINAL sera 0 automaticamente); depois a data e a quantidade aqui.",IF(COUNTIF(itens_Remanesc!$A$2:$A$200,A91)&gt;1,"ALERTA: ITEM_DUPLICADO",IF(OR(C91="",C91="Fora dos ciclos"),"ALERTA: CICLO_INVALIDO",IF(NOT(ISNUMBER(E91)),"ALERTA: QTD_INVALIDA",IF(AND(LEFT(UPPER(D91),3)&lt;&gt;"ACR",LEFT(UPPER(D91),4)&lt;&gt;"SUPR",LEFT(UPPER(D91),4)&lt;&gt;"DECR"),"ALERTA: TIPO_INVALIDO","OK"))))))</f>
        <v/>
      </c>
    </row>
    <row r="92" spans="1:13" ht="45" customHeight="1" x14ac:dyDescent="0.35">
      <c r="A92" s="103"/>
      <c r="B92" s="186"/>
      <c r="C92" s="99" t="str">
        <f>IF(B92="","",IFERROR(IF(NOT(ISNUMBER(parametros!$C$2)),"Fora dos ciclos",IF(OR(B92&lt;parametros!$C$2,(YEAR(B92)-YEAR(parametros!$C$2))*12+MONTH(B92)-MONTH(parametros!$C$2)&gt;59),"Fora dos ciclos","C"&amp;INT(((YEAR(B92)-YEAR(parametros!$C$2))*12+MONTH(B92)-MONTH(parametros!$C$2))/12))),"Fora dos ciclos"))</f>
        <v/>
      </c>
      <c r="D92" s="103"/>
      <c r="E92" s="104"/>
      <c r="F92" s="105" t="str">
        <f>IF(A92="","",IFERROR(VLOOKUP(A92,itens_Remanesc!$A:$C,3,0),""))</f>
        <v/>
      </c>
      <c r="G92" s="105" t="str">
        <f t="shared" si="4"/>
        <v/>
      </c>
      <c r="H92" s="103"/>
      <c r="I92" s="64" t="str">
        <f>IFERROR(VLOOKUP(C92,parametros!$B:$F,5,0),"")</f>
        <v/>
      </c>
      <c r="J92" s="105" t="str">
        <f>IF(OR(L92="",F92=""),"",ROUND(L92*IF(AND(UPPER(H92)="SIM",ISNUMBER(IF($C92="C0",IFERROR(VLOOKUP($A92,historico_VU!$A:$G,3,0),""),IF($C92="C1",IFERROR(VLOOKUP($A92,historico_VU!$A:$G,4,0),""),IF($C92="C2",IFERROR(VLOOKUP($A92,historico_VU!$A:$G,5,0),""),IF($C92="C3",IFERROR(VLOOKUP($A92,historico_VU!$A:$G,6,0),""),IF($C92="C4",IFERROR(VLOOKUP($A92,historico_VU!$A:$G,7,0),""),""))))))),IF($C92="C0",IFERROR(VLOOKUP($A92,historico_VU!$A:$G,3,0),""),IF($C92="C1",IFERROR(VLOOKUP($A92,historico_VU!$A:$G,4,0),""),IF($C92="C2",IFERROR(VLOOKUP($A92,historico_VU!$A:$G,5,0),""),IF($C92="C3",IFERROR(VLOOKUP($A92,historico_VU!$A:$G,6,0),""),IF($C92="C4",IFERROR(VLOOKUP($A92,historico_VU!$A:$G,7,0),""),""))))),F92),2))</f>
        <v/>
      </c>
      <c r="K92" s="103"/>
      <c r="L92" s="85" t="str">
        <f t="shared" si="5"/>
        <v/>
      </c>
      <c r="M92" s="203" t="str">
        <f>IF(A92="","",IF(COUNTIF(itens_Remanesc!$A$2:$A$200,A92)=0,"NOVO ITEM NAO CADASTRADO - CADASTRAR EM itens_Remanesc: ITEM + VU_ORIGINAL (QTD_BASE_ORIGINAL sera 0 automaticamente); depois a data e a quantidade aqui.",IF(COUNTIF(itens_Remanesc!$A$2:$A$200,A92)&gt;1,"ALERTA: ITEM_DUPLICADO",IF(OR(C92="",C92="Fora dos ciclos"),"ALERTA: CICLO_INVALIDO",IF(NOT(ISNUMBER(E92)),"ALERTA: QTD_INVALIDA",IF(AND(LEFT(UPPER(D92),3)&lt;&gt;"ACR",LEFT(UPPER(D92),4)&lt;&gt;"SUPR",LEFT(UPPER(D92),4)&lt;&gt;"DECR"),"ALERTA: TIPO_INVALIDO","OK"))))))</f>
        <v/>
      </c>
    </row>
    <row r="93" spans="1:13" ht="45" customHeight="1" x14ac:dyDescent="0.35">
      <c r="A93" s="103"/>
      <c r="B93" s="186"/>
      <c r="C93" s="99" t="str">
        <f>IF(B93="","",IFERROR(IF(NOT(ISNUMBER(parametros!$C$2)),"Fora dos ciclos",IF(OR(B93&lt;parametros!$C$2,(YEAR(B93)-YEAR(parametros!$C$2))*12+MONTH(B93)-MONTH(parametros!$C$2)&gt;59),"Fora dos ciclos","C"&amp;INT(((YEAR(B93)-YEAR(parametros!$C$2))*12+MONTH(B93)-MONTH(parametros!$C$2))/12))),"Fora dos ciclos"))</f>
        <v/>
      </c>
      <c r="D93" s="103"/>
      <c r="E93" s="104"/>
      <c r="F93" s="105" t="str">
        <f>IF(A93="","",IFERROR(VLOOKUP(A93,itens_Remanesc!$A:$C,3,0),""))</f>
        <v/>
      </c>
      <c r="G93" s="105" t="str">
        <f t="shared" si="4"/>
        <v/>
      </c>
      <c r="H93" s="103"/>
      <c r="I93" s="64" t="str">
        <f>IFERROR(VLOOKUP(C93,parametros!$B:$F,5,0),"")</f>
        <v/>
      </c>
      <c r="J93" s="105" t="str">
        <f>IF(OR(L93="",F93=""),"",ROUND(L93*IF(AND(UPPER(H93)="SIM",ISNUMBER(IF($C93="C0",IFERROR(VLOOKUP($A93,historico_VU!$A:$G,3,0),""),IF($C93="C1",IFERROR(VLOOKUP($A93,historico_VU!$A:$G,4,0),""),IF($C93="C2",IFERROR(VLOOKUP($A93,historico_VU!$A:$G,5,0),""),IF($C93="C3",IFERROR(VLOOKUP($A93,historico_VU!$A:$G,6,0),""),IF($C93="C4",IFERROR(VLOOKUP($A93,historico_VU!$A:$G,7,0),""),""))))))),IF($C93="C0",IFERROR(VLOOKUP($A93,historico_VU!$A:$G,3,0),""),IF($C93="C1",IFERROR(VLOOKUP($A93,historico_VU!$A:$G,4,0),""),IF($C93="C2",IFERROR(VLOOKUP($A93,historico_VU!$A:$G,5,0),""),IF($C93="C3",IFERROR(VLOOKUP($A93,historico_VU!$A:$G,6,0),""),IF($C93="C4",IFERROR(VLOOKUP($A93,historico_VU!$A:$G,7,0),""),""))))),F93),2))</f>
        <v/>
      </c>
      <c r="K93" s="103"/>
      <c r="L93" s="85" t="str">
        <f t="shared" si="5"/>
        <v/>
      </c>
      <c r="M93" s="203" t="str">
        <f>IF(A93="","",IF(COUNTIF(itens_Remanesc!$A$2:$A$200,A93)=0,"NOVO ITEM NAO CADASTRADO - CADASTRAR EM itens_Remanesc: ITEM + VU_ORIGINAL (QTD_BASE_ORIGINAL sera 0 automaticamente); depois a data e a quantidade aqui.",IF(COUNTIF(itens_Remanesc!$A$2:$A$200,A93)&gt;1,"ALERTA: ITEM_DUPLICADO",IF(OR(C93="",C93="Fora dos ciclos"),"ALERTA: CICLO_INVALIDO",IF(NOT(ISNUMBER(E93)),"ALERTA: QTD_INVALIDA",IF(AND(LEFT(UPPER(D93),3)&lt;&gt;"ACR",LEFT(UPPER(D93),4)&lt;&gt;"SUPR",LEFT(UPPER(D93),4)&lt;&gt;"DECR"),"ALERTA: TIPO_INVALIDO","OK"))))))</f>
        <v/>
      </c>
    </row>
    <row r="94" spans="1:13" ht="45" customHeight="1" x14ac:dyDescent="0.35">
      <c r="A94" s="103"/>
      <c r="B94" s="186"/>
      <c r="C94" s="99" t="str">
        <f>IF(B94="","",IFERROR(IF(NOT(ISNUMBER(parametros!$C$2)),"Fora dos ciclos",IF(OR(B94&lt;parametros!$C$2,(YEAR(B94)-YEAR(parametros!$C$2))*12+MONTH(B94)-MONTH(parametros!$C$2)&gt;59),"Fora dos ciclos","C"&amp;INT(((YEAR(B94)-YEAR(parametros!$C$2))*12+MONTH(B94)-MONTH(parametros!$C$2))/12))),"Fora dos ciclos"))</f>
        <v/>
      </c>
      <c r="D94" s="103"/>
      <c r="E94" s="104"/>
      <c r="F94" s="105" t="str">
        <f>IF(A94="","",IFERROR(VLOOKUP(A94,itens_Remanesc!$A:$C,3,0),""))</f>
        <v/>
      </c>
      <c r="G94" s="105" t="str">
        <f t="shared" si="4"/>
        <v/>
      </c>
      <c r="H94" s="103"/>
      <c r="I94" s="64" t="str">
        <f>IFERROR(VLOOKUP(C94,parametros!$B:$F,5,0),"")</f>
        <v/>
      </c>
      <c r="J94" s="105" t="str">
        <f>IF(OR(L94="",F94=""),"",ROUND(L94*IF(AND(UPPER(H94)="SIM",ISNUMBER(IF($C94="C0",IFERROR(VLOOKUP($A94,historico_VU!$A:$G,3,0),""),IF($C94="C1",IFERROR(VLOOKUP($A94,historico_VU!$A:$G,4,0),""),IF($C94="C2",IFERROR(VLOOKUP($A94,historico_VU!$A:$G,5,0),""),IF($C94="C3",IFERROR(VLOOKUP($A94,historico_VU!$A:$G,6,0),""),IF($C94="C4",IFERROR(VLOOKUP($A94,historico_VU!$A:$G,7,0),""),""))))))),IF($C94="C0",IFERROR(VLOOKUP($A94,historico_VU!$A:$G,3,0),""),IF($C94="C1",IFERROR(VLOOKUP($A94,historico_VU!$A:$G,4,0),""),IF($C94="C2",IFERROR(VLOOKUP($A94,historico_VU!$A:$G,5,0),""),IF($C94="C3",IFERROR(VLOOKUP($A94,historico_VU!$A:$G,6,0),""),IF($C94="C4",IFERROR(VLOOKUP($A94,historico_VU!$A:$G,7,0),""),""))))),F94),2))</f>
        <v/>
      </c>
      <c r="K94" s="103"/>
      <c r="L94" s="85" t="str">
        <f t="shared" si="5"/>
        <v/>
      </c>
      <c r="M94" s="203" t="str">
        <f>IF(A94="","",IF(COUNTIF(itens_Remanesc!$A$2:$A$200,A94)=0,"NOVO ITEM NAO CADASTRADO - CADASTRAR EM itens_Remanesc: ITEM + VU_ORIGINAL (QTD_BASE_ORIGINAL sera 0 automaticamente); depois a data e a quantidade aqui.",IF(COUNTIF(itens_Remanesc!$A$2:$A$200,A94)&gt;1,"ALERTA: ITEM_DUPLICADO",IF(OR(C94="",C94="Fora dos ciclos"),"ALERTA: CICLO_INVALIDO",IF(NOT(ISNUMBER(E94)),"ALERTA: QTD_INVALIDA",IF(AND(LEFT(UPPER(D94),3)&lt;&gt;"ACR",LEFT(UPPER(D94),4)&lt;&gt;"SUPR",LEFT(UPPER(D94),4)&lt;&gt;"DECR"),"ALERTA: TIPO_INVALIDO","OK"))))))</f>
        <v/>
      </c>
    </row>
    <row r="95" spans="1:13" ht="45" customHeight="1" x14ac:dyDescent="0.35">
      <c r="A95" s="103"/>
      <c r="B95" s="186"/>
      <c r="C95" s="99" t="str">
        <f>IF(B95="","",IFERROR(IF(NOT(ISNUMBER(parametros!$C$2)),"Fora dos ciclos",IF(OR(B95&lt;parametros!$C$2,(YEAR(B95)-YEAR(parametros!$C$2))*12+MONTH(B95)-MONTH(parametros!$C$2)&gt;59),"Fora dos ciclos","C"&amp;INT(((YEAR(B95)-YEAR(parametros!$C$2))*12+MONTH(B95)-MONTH(parametros!$C$2))/12))),"Fora dos ciclos"))</f>
        <v/>
      </c>
      <c r="D95" s="103"/>
      <c r="E95" s="104"/>
      <c r="F95" s="105" t="str">
        <f>IF(A95="","",IFERROR(VLOOKUP(A95,itens_Remanesc!$A:$C,3,0),""))</f>
        <v/>
      </c>
      <c r="G95" s="105" t="str">
        <f t="shared" si="4"/>
        <v/>
      </c>
      <c r="H95" s="103"/>
      <c r="I95" s="64" t="str">
        <f>IFERROR(VLOOKUP(C95,parametros!$B:$F,5,0),"")</f>
        <v/>
      </c>
      <c r="J95" s="105" t="str">
        <f>IF(OR(L95="",F95=""),"",ROUND(L95*IF(AND(UPPER(H95)="SIM",ISNUMBER(IF($C95="C0",IFERROR(VLOOKUP($A95,historico_VU!$A:$G,3,0),""),IF($C95="C1",IFERROR(VLOOKUP($A95,historico_VU!$A:$G,4,0),""),IF($C95="C2",IFERROR(VLOOKUP($A95,historico_VU!$A:$G,5,0),""),IF($C95="C3",IFERROR(VLOOKUP($A95,historico_VU!$A:$G,6,0),""),IF($C95="C4",IFERROR(VLOOKUP($A95,historico_VU!$A:$G,7,0),""),""))))))),IF($C95="C0",IFERROR(VLOOKUP($A95,historico_VU!$A:$G,3,0),""),IF($C95="C1",IFERROR(VLOOKUP($A95,historico_VU!$A:$G,4,0),""),IF($C95="C2",IFERROR(VLOOKUP($A95,historico_VU!$A:$G,5,0),""),IF($C95="C3",IFERROR(VLOOKUP($A95,historico_VU!$A:$G,6,0),""),IF($C95="C4",IFERROR(VLOOKUP($A95,historico_VU!$A:$G,7,0),""),""))))),F95),2))</f>
        <v/>
      </c>
      <c r="K95" s="103"/>
      <c r="L95" s="85" t="str">
        <f t="shared" si="5"/>
        <v/>
      </c>
      <c r="M95" s="203" t="str">
        <f>IF(A95="","",IF(COUNTIF(itens_Remanesc!$A$2:$A$200,A95)=0,"NOVO ITEM NAO CADASTRADO - CADASTRAR EM itens_Remanesc: ITEM + VU_ORIGINAL (QTD_BASE_ORIGINAL sera 0 automaticamente); depois a data e a quantidade aqui.",IF(COUNTIF(itens_Remanesc!$A$2:$A$200,A95)&gt;1,"ALERTA: ITEM_DUPLICADO",IF(OR(C95="",C95="Fora dos ciclos"),"ALERTA: CICLO_INVALIDO",IF(NOT(ISNUMBER(E95)),"ALERTA: QTD_INVALIDA",IF(AND(LEFT(UPPER(D95),3)&lt;&gt;"ACR",LEFT(UPPER(D95),4)&lt;&gt;"SUPR",LEFT(UPPER(D95),4)&lt;&gt;"DECR"),"ALERTA: TIPO_INVALIDO","OK"))))))</f>
        <v/>
      </c>
    </row>
    <row r="96" spans="1:13" ht="45" customHeight="1" x14ac:dyDescent="0.35">
      <c r="A96" s="103"/>
      <c r="B96" s="186"/>
      <c r="C96" s="99" t="str">
        <f>IF(B96="","",IFERROR(IF(NOT(ISNUMBER(parametros!$C$2)),"Fora dos ciclos",IF(OR(B96&lt;parametros!$C$2,(YEAR(B96)-YEAR(parametros!$C$2))*12+MONTH(B96)-MONTH(parametros!$C$2)&gt;59),"Fora dos ciclos","C"&amp;INT(((YEAR(B96)-YEAR(parametros!$C$2))*12+MONTH(B96)-MONTH(parametros!$C$2))/12))),"Fora dos ciclos"))</f>
        <v/>
      </c>
      <c r="D96" s="103"/>
      <c r="E96" s="104"/>
      <c r="F96" s="105" t="str">
        <f>IF(A96="","",IFERROR(VLOOKUP(A96,itens_Remanesc!$A:$C,3,0),""))</f>
        <v/>
      </c>
      <c r="G96" s="105" t="str">
        <f t="shared" si="4"/>
        <v/>
      </c>
      <c r="H96" s="103"/>
      <c r="I96" s="64" t="str">
        <f>IFERROR(VLOOKUP(C96,parametros!$B:$F,5,0),"")</f>
        <v/>
      </c>
      <c r="J96" s="105" t="str">
        <f>IF(OR(L96="",F96=""),"",ROUND(L96*IF(AND(UPPER(H96)="SIM",ISNUMBER(IF($C96="C0",IFERROR(VLOOKUP($A96,historico_VU!$A:$G,3,0),""),IF($C96="C1",IFERROR(VLOOKUP($A96,historico_VU!$A:$G,4,0),""),IF($C96="C2",IFERROR(VLOOKUP($A96,historico_VU!$A:$G,5,0),""),IF($C96="C3",IFERROR(VLOOKUP($A96,historico_VU!$A:$G,6,0),""),IF($C96="C4",IFERROR(VLOOKUP($A96,historico_VU!$A:$G,7,0),""),""))))))),IF($C96="C0",IFERROR(VLOOKUP($A96,historico_VU!$A:$G,3,0),""),IF($C96="C1",IFERROR(VLOOKUP($A96,historico_VU!$A:$G,4,0),""),IF($C96="C2",IFERROR(VLOOKUP($A96,historico_VU!$A:$G,5,0),""),IF($C96="C3",IFERROR(VLOOKUP($A96,historico_VU!$A:$G,6,0),""),IF($C96="C4",IFERROR(VLOOKUP($A96,historico_VU!$A:$G,7,0),""),""))))),F96),2))</f>
        <v/>
      </c>
      <c r="K96" s="103"/>
      <c r="L96" s="85" t="str">
        <f t="shared" si="5"/>
        <v/>
      </c>
      <c r="M96" s="203" t="str">
        <f>IF(A96="","",IF(COUNTIF(itens_Remanesc!$A$2:$A$200,A96)=0,"NOVO ITEM NAO CADASTRADO - CADASTRAR EM itens_Remanesc: ITEM + VU_ORIGINAL (QTD_BASE_ORIGINAL sera 0 automaticamente); depois a data e a quantidade aqui.",IF(COUNTIF(itens_Remanesc!$A$2:$A$200,A96)&gt;1,"ALERTA: ITEM_DUPLICADO",IF(OR(C96="",C96="Fora dos ciclos"),"ALERTA: CICLO_INVALIDO",IF(NOT(ISNUMBER(E96)),"ALERTA: QTD_INVALIDA",IF(AND(LEFT(UPPER(D96),3)&lt;&gt;"ACR",LEFT(UPPER(D96),4)&lt;&gt;"SUPR",LEFT(UPPER(D96),4)&lt;&gt;"DECR"),"ALERTA: TIPO_INVALIDO","OK"))))))</f>
        <v/>
      </c>
    </row>
    <row r="97" spans="1:13" ht="45" customHeight="1" x14ac:dyDescent="0.35">
      <c r="A97" s="103"/>
      <c r="B97" s="186"/>
      <c r="C97" s="99" t="str">
        <f>IF(B97="","",IFERROR(IF(NOT(ISNUMBER(parametros!$C$2)),"Fora dos ciclos",IF(OR(B97&lt;parametros!$C$2,(YEAR(B97)-YEAR(parametros!$C$2))*12+MONTH(B97)-MONTH(parametros!$C$2)&gt;59),"Fora dos ciclos","C"&amp;INT(((YEAR(B97)-YEAR(parametros!$C$2))*12+MONTH(B97)-MONTH(parametros!$C$2))/12))),"Fora dos ciclos"))</f>
        <v/>
      </c>
      <c r="D97" s="103"/>
      <c r="E97" s="104"/>
      <c r="F97" s="105" t="str">
        <f>IF(A97="","",IFERROR(VLOOKUP(A97,itens_Remanesc!$A:$C,3,0),""))</f>
        <v/>
      </c>
      <c r="G97" s="105" t="str">
        <f t="shared" si="4"/>
        <v/>
      </c>
      <c r="H97" s="103"/>
      <c r="I97" s="64" t="str">
        <f>IFERROR(VLOOKUP(C97,parametros!$B:$F,5,0),"")</f>
        <v/>
      </c>
      <c r="J97" s="105" t="str">
        <f>IF(OR(L97="",F97=""),"",ROUND(L97*IF(AND(UPPER(H97)="SIM",ISNUMBER(IF($C97="C0",IFERROR(VLOOKUP($A97,historico_VU!$A:$G,3,0),""),IF($C97="C1",IFERROR(VLOOKUP($A97,historico_VU!$A:$G,4,0),""),IF($C97="C2",IFERROR(VLOOKUP($A97,historico_VU!$A:$G,5,0),""),IF($C97="C3",IFERROR(VLOOKUP($A97,historico_VU!$A:$G,6,0),""),IF($C97="C4",IFERROR(VLOOKUP($A97,historico_VU!$A:$G,7,0),""),""))))))),IF($C97="C0",IFERROR(VLOOKUP($A97,historico_VU!$A:$G,3,0),""),IF($C97="C1",IFERROR(VLOOKUP($A97,historico_VU!$A:$G,4,0),""),IF($C97="C2",IFERROR(VLOOKUP($A97,historico_VU!$A:$G,5,0),""),IF($C97="C3",IFERROR(VLOOKUP($A97,historico_VU!$A:$G,6,0),""),IF($C97="C4",IFERROR(VLOOKUP($A97,historico_VU!$A:$G,7,0),""),""))))),F97),2))</f>
        <v/>
      </c>
      <c r="K97" s="103"/>
      <c r="L97" s="85" t="str">
        <f t="shared" si="5"/>
        <v/>
      </c>
      <c r="M97" s="203" t="str">
        <f>IF(A97="","",IF(COUNTIF(itens_Remanesc!$A$2:$A$200,A97)=0,"NOVO ITEM NAO CADASTRADO - CADASTRAR EM itens_Remanesc: ITEM + VU_ORIGINAL (QTD_BASE_ORIGINAL sera 0 automaticamente); depois a data e a quantidade aqui.",IF(COUNTIF(itens_Remanesc!$A$2:$A$200,A97)&gt;1,"ALERTA: ITEM_DUPLICADO",IF(OR(C97="",C97="Fora dos ciclos"),"ALERTA: CICLO_INVALIDO",IF(NOT(ISNUMBER(E97)),"ALERTA: QTD_INVALIDA",IF(AND(LEFT(UPPER(D97),3)&lt;&gt;"ACR",LEFT(UPPER(D97),4)&lt;&gt;"SUPR",LEFT(UPPER(D97),4)&lt;&gt;"DECR"),"ALERTA: TIPO_INVALIDO","OK"))))))</f>
        <v/>
      </c>
    </row>
    <row r="98" spans="1:13" ht="45" customHeight="1" x14ac:dyDescent="0.35">
      <c r="A98" s="103"/>
      <c r="B98" s="186"/>
      <c r="C98" s="99" t="str">
        <f>IF(B98="","",IFERROR(IF(NOT(ISNUMBER(parametros!$C$2)),"Fora dos ciclos",IF(OR(B98&lt;parametros!$C$2,(YEAR(B98)-YEAR(parametros!$C$2))*12+MONTH(B98)-MONTH(parametros!$C$2)&gt;59),"Fora dos ciclos","C"&amp;INT(((YEAR(B98)-YEAR(parametros!$C$2))*12+MONTH(B98)-MONTH(parametros!$C$2))/12))),"Fora dos ciclos"))</f>
        <v/>
      </c>
      <c r="D98" s="103"/>
      <c r="E98" s="104"/>
      <c r="F98" s="105" t="str">
        <f>IF(A98="","",IFERROR(VLOOKUP(A98,itens_Remanesc!$A:$C,3,0),""))</f>
        <v/>
      </c>
      <c r="G98" s="105" t="str">
        <f t="shared" ref="G98:G129" si="6">IF(OR(E98="",F98=""),"",ROUND(E98*F98,2))</f>
        <v/>
      </c>
      <c r="H98" s="103"/>
      <c r="I98" s="64" t="str">
        <f>IFERROR(VLOOKUP(C98,parametros!$B:$F,5,0),"")</f>
        <v/>
      </c>
      <c r="J98" s="105" t="str">
        <f>IF(OR(L98="",F98=""),"",ROUND(L98*IF(AND(UPPER(H98)="SIM",ISNUMBER(IF($C98="C0",IFERROR(VLOOKUP($A98,historico_VU!$A:$G,3,0),""),IF($C98="C1",IFERROR(VLOOKUP($A98,historico_VU!$A:$G,4,0),""),IF($C98="C2",IFERROR(VLOOKUP($A98,historico_VU!$A:$G,5,0),""),IF($C98="C3",IFERROR(VLOOKUP($A98,historico_VU!$A:$G,6,0),""),IF($C98="C4",IFERROR(VLOOKUP($A98,historico_VU!$A:$G,7,0),""),""))))))),IF($C98="C0",IFERROR(VLOOKUP($A98,historico_VU!$A:$G,3,0),""),IF($C98="C1",IFERROR(VLOOKUP($A98,historico_VU!$A:$G,4,0),""),IF($C98="C2",IFERROR(VLOOKUP($A98,historico_VU!$A:$G,5,0),""),IF($C98="C3",IFERROR(VLOOKUP($A98,historico_VU!$A:$G,6,0),""),IF($C98="C4",IFERROR(VLOOKUP($A98,historico_VU!$A:$G,7,0),""),""))))),F98),2))</f>
        <v/>
      </c>
      <c r="K98" s="103"/>
      <c r="L98" s="85" t="str">
        <f t="shared" ref="L98:L129" si="7">IF(OR(A98="",C98="",D98="",NOT(ISNUMBER(E98))),"",IF(LEFT(UPPER(D98),3)="ACR",ROUND(ABS(E98),2),IF(OR(LEFT(UPPER(D98),4)="SUPR",LEFT(UPPER(D98),4)="DECR"),ROUND(-ABS(E98),2),"")))</f>
        <v/>
      </c>
      <c r="M98" s="203" t="str">
        <f>IF(A98="","",IF(COUNTIF(itens_Remanesc!$A$2:$A$200,A98)=0,"NOVO ITEM NAO CADASTRADO - CADASTRAR EM itens_Remanesc: ITEM + VU_ORIGINAL (QTD_BASE_ORIGINAL sera 0 automaticamente); depois a data e a quantidade aqui.",IF(COUNTIF(itens_Remanesc!$A$2:$A$200,A98)&gt;1,"ALERTA: ITEM_DUPLICADO",IF(OR(C98="",C98="Fora dos ciclos"),"ALERTA: CICLO_INVALIDO",IF(NOT(ISNUMBER(E98)),"ALERTA: QTD_INVALIDA",IF(AND(LEFT(UPPER(D98),3)&lt;&gt;"ACR",LEFT(UPPER(D98),4)&lt;&gt;"SUPR",LEFT(UPPER(D98),4)&lt;&gt;"DECR"),"ALERTA: TIPO_INVALIDO","OK"))))))</f>
        <v/>
      </c>
    </row>
    <row r="99" spans="1:13" ht="45" customHeight="1" x14ac:dyDescent="0.35">
      <c r="A99" s="103"/>
      <c r="B99" s="186"/>
      <c r="C99" s="99" t="str">
        <f>IF(B99="","",IFERROR(IF(NOT(ISNUMBER(parametros!$C$2)),"Fora dos ciclos",IF(OR(B99&lt;parametros!$C$2,(YEAR(B99)-YEAR(parametros!$C$2))*12+MONTH(B99)-MONTH(parametros!$C$2)&gt;59),"Fora dos ciclos","C"&amp;INT(((YEAR(B99)-YEAR(parametros!$C$2))*12+MONTH(B99)-MONTH(parametros!$C$2))/12))),"Fora dos ciclos"))</f>
        <v/>
      </c>
      <c r="D99" s="103"/>
      <c r="E99" s="104"/>
      <c r="F99" s="105" t="str">
        <f>IF(A99="","",IFERROR(VLOOKUP(A99,itens_Remanesc!$A:$C,3,0),""))</f>
        <v/>
      </c>
      <c r="G99" s="105" t="str">
        <f t="shared" si="6"/>
        <v/>
      </c>
      <c r="H99" s="103"/>
      <c r="I99" s="64" t="str">
        <f>IFERROR(VLOOKUP(C99,parametros!$B:$F,5,0),"")</f>
        <v/>
      </c>
      <c r="J99" s="105" t="str">
        <f>IF(OR(L99="",F99=""),"",ROUND(L99*IF(AND(UPPER(H99)="SIM",ISNUMBER(IF($C99="C0",IFERROR(VLOOKUP($A99,historico_VU!$A:$G,3,0),""),IF($C99="C1",IFERROR(VLOOKUP($A99,historico_VU!$A:$G,4,0),""),IF($C99="C2",IFERROR(VLOOKUP($A99,historico_VU!$A:$G,5,0),""),IF($C99="C3",IFERROR(VLOOKUP($A99,historico_VU!$A:$G,6,0),""),IF($C99="C4",IFERROR(VLOOKUP($A99,historico_VU!$A:$G,7,0),""),""))))))),IF($C99="C0",IFERROR(VLOOKUP($A99,historico_VU!$A:$G,3,0),""),IF($C99="C1",IFERROR(VLOOKUP($A99,historico_VU!$A:$G,4,0),""),IF($C99="C2",IFERROR(VLOOKUP($A99,historico_VU!$A:$G,5,0),""),IF($C99="C3",IFERROR(VLOOKUP($A99,historico_VU!$A:$G,6,0),""),IF($C99="C4",IFERROR(VLOOKUP($A99,historico_VU!$A:$G,7,0),""),""))))),F99),2))</f>
        <v/>
      </c>
      <c r="K99" s="103"/>
      <c r="L99" s="85" t="str">
        <f t="shared" si="7"/>
        <v/>
      </c>
      <c r="M99" s="203" t="str">
        <f>IF(A99="","",IF(COUNTIF(itens_Remanesc!$A$2:$A$200,A99)=0,"NOVO ITEM NAO CADASTRADO - CADASTRAR EM itens_Remanesc: ITEM + VU_ORIGINAL (QTD_BASE_ORIGINAL sera 0 automaticamente); depois a data e a quantidade aqui.",IF(COUNTIF(itens_Remanesc!$A$2:$A$200,A99)&gt;1,"ALERTA: ITEM_DUPLICADO",IF(OR(C99="",C99="Fora dos ciclos"),"ALERTA: CICLO_INVALIDO",IF(NOT(ISNUMBER(E99)),"ALERTA: QTD_INVALIDA",IF(AND(LEFT(UPPER(D99),3)&lt;&gt;"ACR",LEFT(UPPER(D99),4)&lt;&gt;"SUPR",LEFT(UPPER(D99),4)&lt;&gt;"DECR"),"ALERTA: TIPO_INVALIDO","OK"))))))</f>
        <v/>
      </c>
    </row>
    <row r="100" spans="1:13" ht="45" customHeight="1" x14ac:dyDescent="0.35">
      <c r="A100" s="103"/>
      <c r="B100" s="186"/>
      <c r="C100" s="99" t="str">
        <f>IF(B100="","",IFERROR(IF(NOT(ISNUMBER(parametros!$C$2)),"Fora dos ciclos",IF(OR(B100&lt;parametros!$C$2,(YEAR(B100)-YEAR(parametros!$C$2))*12+MONTH(B100)-MONTH(parametros!$C$2)&gt;59),"Fora dos ciclos","C"&amp;INT(((YEAR(B100)-YEAR(parametros!$C$2))*12+MONTH(B100)-MONTH(parametros!$C$2))/12))),"Fora dos ciclos"))</f>
        <v/>
      </c>
      <c r="D100" s="103"/>
      <c r="E100" s="104"/>
      <c r="F100" s="105" t="str">
        <f>IF(A100="","",IFERROR(VLOOKUP(A100,itens_Remanesc!$A:$C,3,0),""))</f>
        <v/>
      </c>
      <c r="G100" s="105" t="str">
        <f t="shared" si="6"/>
        <v/>
      </c>
      <c r="H100" s="103"/>
      <c r="I100" s="64" t="str">
        <f>IFERROR(VLOOKUP(C100,parametros!$B:$F,5,0),"")</f>
        <v/>
      </c>
      <c r="J100" s="105" t="str">
        <f>IF(OR(L100="",F100=""),"",ROUND(L100*IF(AND(UPPER(H100)="SIM",ISNUMBER(IF($C100="C0",IFERROR(VLOOKUP($A100,historico_VU!$A:$G,3,0),""),IF($C100="C1",IFERROR(VLOOKUP($A100,historico_VU!$A:$G,4,0),""),IF($C100="C2",IFERROR(VLOOKUP($A100,historico_VU!$A:$G,5,0),""),IF($C100="C3",IFERROR(VLOOKUP($A100,historico_VU!$A:$G,6,0),""),IF($C100="C4",IFERROR(VLOOKUP($A100,historico_VU!$A:$G,7,0),""),""))))))),IF($C100="C0",IFERROR(VLOOKUP($A100,historico_VU!$A:$G,3,0),""),IF($C100="C1",IFERROR(VLOOKUP($A100,historico_VU!$A:$G,4,0),""),IF($C100="C2",IFERROR(VLOOKUP($A100,historico_VU!$A:$G,5,0),""),IF($C100="C3",IFERROR(VLOOKUP($A100,historico_VU!$A:$G,6,0),""),IF($C100="C4",IFERROR(VLOOKUP($A100,historico_VU!$A:$G,7,0),""),""))))),F100),2))</f>
        <v/>
      </c>
      <c r="K100" s="103"/>
      <c r="L100" s="85" t="str">
        <f t="shared" si="7"/>
        <v/>
      </c>
      <c r="M100" s="203" t="str">
        <f>IF(A100="","",IF(COUNTIF(itens_Remanesc!$A$2:$A$200,A100)=0,"NOVO ITEM NAO CADASTRADO - CADASTRAR EM itens_Remanesc: ITEM + VU_ORIGINAL (QTD_BASE_ORIGINAL sera 0 automaticamente); depois a data e a quantidade aqui.",IF(COUNTIF(itens_Remanesc!$A$2:$A$200,A100)&gt;1,"ALERTA: ITEM_DUPLICADO",IF(OR(C100="",C100="Fora dos ciclos"),"ALERTA: CICLO_INVALIDO",IF(NOT(ISNUMBER(E100)),"ALERTA: QTD_INVALIDA",IF(AND(LEFT(UPPER(D100),3)&lt;&gt;"ACR",LEFT(UPPER(D100),4)&lt;&gt;"SUPR",LEFT(UPPER(D100),4)&lt;&gt;"DECR"),"ALERTA: TIPO_INVALIDO","OK"))))))</f>
        <v/>
      </c>
    </row>
    <row r="101" spans="1:13" ht="45" customHeight="1" x14ac:dyDescent="0.35">
      <c r="A101" s="103"/>
      <c r="B101" s="186"/>
      <c r="C101" s="99" t="str">
        <f>IF(B101="","",IFERROR(IF(NOT(ISNUMBER(parametros!$C$2)),"Fora dos ciclos",IF(OR(B101&lt;parametros!$C$2,(YEAR(B101)-YEAR(parametros!$C$2))*12+MONTH(B101)-MONTH(parametros!$C$2)&gt;59),"Fora dos ciclos","C"&amp;INT(((YEAR(B101)-YEAR(parametros!$C$2))*12+MONTH(B101)-MONTH(parametros!$C$2))/12))),"Fora dos ciclos"))</f>
        <v/>
      </c>
      <c r="D101" s="103"/>
      <c r="E101" s="104"/>
      <c r="F101" s="105" t="str">
        <f>IF(A101="","",IFERROR(VLOOKUP(A101,itens_Remanesc!$A:$C,3,0),""))</f>
        <v/>
      </c>
      <c r="G101" s="105" t="str">
        <f t="shared" si="6"/>
        <v/>
      </c>
      <c r="H101" s="103"/>
      <c r="I101" s="64" t="str">
        <f>IFERROR(VLOOKUP(C101,parametros!$B:$F,5,0),"")</f>
        <v/>
      </c>
      <c r="J101" s="105" t="str">
        <f>IF(OR(L101="",F101=""),"",ROUND(L101*IF(AND(UPPER(H101)="SIM",ISNUMBER(IF($C101="C0",IFERROR(VLOOKUP($A101,historico_VU!$A:$G,3,0),""),IF($C101="C1",IFERROR(VLOOKUP($A101,historico_VU!$A:$G,4,0),""),IF($C101="C2",IFERROR(VLOOKUP($A101,historico_VU!$A:$G,5,0),""),IF($C101="C3",IFERROR(VLOOKUP($A101,historico_VU!$A:$G,6,0),""),IF($C101="C4",IFERROR(VLOOKUP($A101,historico_VU!$A:$G,7,0),""),""))))))),IF($C101="C0",IFERROR(VLOOKUP($A101,historico_VU!$A:$G,3,0),""),IF($C101="C1",IFERROR(VLOOKUP($A101,historico_VU!$A:$G,4,0),""),IF($C101="C2",IFERROR(VLOOKUP($A101,historico_VU!$A:$G,5,0),""),IF($C101="C3",IFERROR(VLOOKUP($A101,historico_VU!$A:$G,6,0),""),IF($C101="C4",IFERROR(VLOOKUP($A101,historico_VU!$A:$G,7,0),""),""))))),F101),2))</f>
        <v/>
      </c>
      <c r="K101" s="103"/>
      <c r="L101" s="85" t="str">
        <f t="shared" si="7"/>
        <v/>
      </c>
      <c r="M101" s="203" t="str">
        <f>IF(A101="","",IF(COUNTIF(itens_Remanesc!$A$2:$A$200,A101)=0,"NOVO ITEM NAO CADASTRADO - CADASTRAR EM itens_Remanesc: ITEM + VU_ORIGINAL (QTD_BASE_ORIGINAL sera 0 automaticamente); depois a data e a quantidade aqui.",IF(COUNTIF(itens_Remanesc!$A$2:$A$200,A101)&gt;1,"ALERTA: ITEM_DUPLICADO",IF(OR(C101="",C101="Fora dos ciclos"),"ALERTA: CICLO_INVALIDO",IF(NOT(ISNUMBER(E101)),"ALERTA: QTD_INVALIDA",IF(AND(LEFT(UPPER(D101),3)&lt;&gt;"ACR",LEFT(UPPER(D101),4)&lt;&gt;"SUPR",LEFT(UPPER(D101),4)&lt;&gt;"DECR"),"ALERTA: TIPO_INVALIDO","OK"))))))</f>
        <v/>
      </c>
    </row>
    <row r="102" spans="1:13" ht="45" customHeight="1" x14ac:dyDescent="0.35">
      <c r="A102" s="103"/>
      <c r="B102" s="186"/>
      <c r="C102" s="99" t="str">
        <f>IF(B102="","",IFERROR(IF(NOT(ISNUMBER(parametros!$C$2)),"Fora dos ciclos",IF(OR(B102&lt;parametros!$C$2,(YEAR(B102)-YEAR(parametros!$C$2))*12+MONTH(B102)-MONTH(parametros!$C$2)&gt;59),"Fora dos ciclos","C"&amp;INT(((YEAR(B102)-YEAR(parametros!$C$2))*12+MONTH(B102)-MONTH(parametros!$C$2))/12))),"Fora dos ciclos"))</f>
        <v/>
      </c>
      <c r="D102" s="103"/>
      <c r="E102" s="104"/>
      <c r="F102" s="105" t="str">
        <f>IF(A102="","",IFERROR(VLOOKUP(A102,itens_Remanesc!$A:$C,3,0),""))</f>
        <v/>
      </c>
      <c r="G102" s="105" t="str">
        <f t="shared" si="6"/>
        <v/>
      </c>
      <c r="H102" s="103"/>
      <c r="I102" s="64" t="str">
        <f>IFERROR(VLOOKUP(C102,parametros!$B:$F,5,0),"")</f>
        <v/>
      </c>
      <c r="J102" s="105" t="str">
        <f>IF(OR(L102="",F102=""),"",ROUND(L102*IF(AND(UPPER(H102)="SIM",ISNUMBER(IF($C102="C0",IFERROR(VLOOKUP($A102,historico_VU!$A:$G,3,0),""),IF($C102="C1",IFERROR(VLOOKUP($A102,historico_VU!$A:$G,4,0),""),IF($C102="C2",IFERROR(VLOOKUP($A102,historico_VU!$A:$G,5,0),""),IF($C102="C3",IFERROR(VLOOKUP($A102,historico_VU!$A:$G,6,0),""),IF($C102="C4",IFERROR(VLOOKUP($A102,historico_VU!$A:$G,7,0),""),""))))))),IF($C102="C0",IFERROR(VLOOKUP($A102,historico_VU!$A:$G,3,0),""),IF($C102="C1",IFERROR(VLOOKUP($A102,historico_VU!$A:$G,4,0),""),IF($C102="C2",IFERROR(VLOOKUP($A102,historico_VU!$A:$G,5,0),""),IF($C102="C3",IFERROR(VLOOKUP($A102,historico_VU!$A:$G,6,0),""),IF($C102="C4",IFERROR(VLOOKUP($A102,historico_VU!$A:$G,7,0),""),""))))),F102),2))</f>
        <v/>
      </c>
      <c r="K102" s="103"/>
      <c r="L102" s="85" t="str">
        <f t="shared" si="7"/>
        <v/>
      </c>
      <c r="M102" s="203" t="str">
        <f>IF(A102="","",IF(COUNTIF(itens_Remanesc!$A$2:$A$200,A102)=0,"NOVO ITEM NAO CADASTRADO - CADASTRAR EM itens_Remanesc: ITEM + VU_ORIGINAL (QTD_BASE_ORIGINAL sera 0 automaticamente); depois a data e a quantidade aqui.",IF(COUNTIF(itens_Remanesc!$A$2:$A$200,A102)&gt;1,"ALERTA: ITEM_DUPLICADO",IF(OR(C102="",C102="Fora dos ciclos"),"ALERTA: CICLO_INVALIDO",IF(NOT(ISNUMBER(E102)),"ALERTA: QTD_INVALIDA",IF(AND(LEFT(UPPER(D102),3)&lt;&gt;"ACR",LEFT(UPPER(D102),4)&lt;&gt;"SUPR",LEFT(UPPER(D102),4)&lt;&gt;"DECR"),"ALERTA: TIPO_INVALIDO","OK"))))))</f>
        <v/>
      </c>
    </row>
    <row r="103" spans="1:13" ht="45" customHeight="1" x14ac:dyDescent="0.35">
      <c r="A103" s="103"/>
      <c r="B103" s="186"/>
      <c r="C103" s="99" t="str">
        <f>IF(B103="","",IFERROR(IF(NOT(ISNUMBER(parametros!$C$2)),"Fora dos ciclos",IF(OR(B103&lt;parametros!$C$2,(YEAR(B103)-YEAR(parametros!$C$2))*12+MONTH(B103)-MONTH(parametros!$C$2)&gt;59),"Fora dos ciclos","C"&amp;INT(((YEAR(B103)-YEAR(parametros!$C$2))*12+MONTH(B103)-MONTH(parametros!$C$2))/12))),"Fora dos ciclos"))</f>
        <v/>
      </c>
      <c r="D103" s="103"/>
      <c r="E103" s="104"/>
      <c r="F103" s="105" t="str">
        <f>IF(A103="","",IFERROR(VLOOKUP(A103,itens_Remanesc!$A:$C,3,0),""))</f>
        <v/>
      </c>
      <c r="G103" s="105" t="str">
        <f t="shared" si="6"/>
        <v/>
      </c>
      <c r="H103" s="103"/>
      <c r="I103" s="64" t="str">
        <f>IFERROR(VLOOKUP(C103,parametros!$B:$F,5,0),"")</f>
        <v/>
      </c>
      <c r="J103" s="105" t="str">
        <f>IF(OR(L103="",F103=""),"",ROUND(L103*IF(AND(UPPER(H103)="SIM",ISNUMBER(IF($C103="C0",IFERROR(VLOOKUP($A103,historico_VU!$A:$G,3,0),""),IF($C103="C1",IFERROR(VLOOKUP($A103,historico_VU!$A:$G,4,0),""),IF($C103="C2",IFERROR(VLOOKUP($A103,historico_VU!$A:$G,5,0),""),IF($C103="C3",IFERROR(VLOOKUP($A103,historico_VU!$A:$G,6,0),""),IF($C103="C4",IFERROR(VLOOKUP($A103,historico_VU!$A:$G,7,0),""),""))))))),IF($C103="C0",IFERROR(VLOOKUP($A103,historico_VU!$A:$G,3,0),""),IF($C103="C1",IFERROR(VLOOKUP($A103,historico_VU!$A:$G,4,0),""),IF($C103="C2",IFERROR(VLOOKUP($A103,historico_VU!$A:$G,5,0),""),IF($C103="C3",IFERROR(VLOOKUP($A103,historico_VU!$A:$G,6,0),""),IF($C103="C4",IFERROR(VLOOKUP($A103,historico_VU!$A:$G,7,0),""),""))))),F103),2))</f>
        <v/>
      </c>
      <c r="K103" s="103"/>
      <c r="L103" s="85" t="str">
        <f t="shared" si="7"/>
        <v/>
      </c>
      <c r="M103" s="203" t="str">
        <f>IF(A103="","",IF(COUNTIF(itens_Remanesc!$A$2:$A$200,A103)=0,"NOVO ITEM NAO CADASTRADO - CADASTRAR EM itens_Remanesc: ITEM + VU_ORIGINAL (QTD_BASE_ORIGINAL sera 0 automaticamente); depois a data e a quantidade aqui.",IF(COUNTIF(itens_Remanesc!$A$2:$A$200,A103)&gt;1,"ALERTA: ITEM_DUPLICADO",IF(OR(C103="",C103="Fora dos ciclos"),"ALERTA: CICLO_INVALIDO",IF(NOT(ISNUMBER(E103)),"ALERTA: QTD_INVALIDA",IF(AND(LEFT(UPPER(D103),3)&lt;&gt;"ACR",LEFT(UPPER(D103),4)&lt;&gt;"SUPR",LEFT(UPPER(D103),4)&lt;&gt;"DECR"),"ALERTA: TIPO_INVALIDO","OK"))))))</f>
        <v/>
      </c>
    </row>
    <row r="104" spans="1:13" ht="45" customHeight="1" x14ac:dyDescent="0.35">
      <c r="A104" s="103"/>
      <c r="B104" s="186"/>
      <c r="C104" s="99" t="str">
        <f>IF(B104="","",IFERROR(IF(NOT(ISNUMBER(parametros!$C$2)),"Fora dos ciclos",IF(OR(B104&lt;parametros!$C$2,(YEAR(B104)-YEAR(parametros!$C$2))*12+MONTH(B104)-MONTH(parametros!$C$2)&gt;59),"Fora dos ciclos","C"&amp;INT(((YEAR(B104)-YEAR(parametros!$C$2))*12+MONTH(B104)-MONTH(parametros!$C$2))/12))),"Fora dos ciclos"))</f>
        <v/>
      </c>
      <c r="D104" s="103"/>
      <c r="E104" s="104"/>
      <c r="F104" s="105" t="str">
        <f>IF(A104="","",IFERROR(VLOOKUP(A104,itens_Remanesc!$A:$C,3,0),""))</f>
        <v/>
      </c>
      <c r="G104" s="105" t="str">
        <f t="shared" si="6"/>
        <v/>
      </c>
      <c r="H104" s="103"/>
      <c r="I104" s="64" t="str">
        <f>IFERROR(VLOOKUP(C104,parametros!$B:$F,5,0),"")</f>
        <v/>
      </c>
      <c r="J104" s="105" t="str">
        <f>IF(OR(L104="",F104=""),"",ROUND(L104*IF(AND(UPPER(H104)="SIM",ISNUMBER(IF($C104="C0",IFERROR(VLOOKUP($A104,historico_VU!$A:$G,3,0),""),IF($C104="C1",IFERROR(VLOOKUP($A104,historico_VU!$A:$G,4,0),""),IF($C104="C2",IFERROR(VLOOKUP($A104,historico_VU!$A:$G,5,0),""),IF($C104="C3",IFERROR(VLOOKUP($A104,historico_VU!$A:$G,6,0),""),IF($C104="C4",IFERROR(VLOOKUP($A104,historico_VU!$A:$G,7,0),""),""))))))),IF($C104="C0",IFERROR(VLOOKUP($A104,historico_VU!$A:$G,3,0),""),IF($C104="C1",IFERROR(VLOOKUP($A104,historico_VU!$A:$G,4,0),""),IF($C104="C2",IFERROR(VLOOKUP($A104,historico_VU!$A:$G,5,0),""),IF($C104="C3",IFERROR(VLOOKUP($A104,historico_VU!$A:$G,6,0),""),IF($C104="C4",IFERROR(VLOOKUP($A104,historico_VU!$A:$G,7,0),""),""))))),F104),2))</f>
        <v/>
      </c>
      <c r="K104" s="103"/>
      <c r="L104" s="85" t="str">
        <f t="shared" si="7"/>
        <v/>
      </c>
      <c r="M104" s="203" t="str">
        <f>IF(A104="","",IF(COUNTIF(itens_Remanesc!$A$2:$A$200,A104)=0,"NOVO ITEM NAO CADASTRADO - CADASTRAR EM itens_Remanesc: ITEM + VU_ORIGINAL (QTD_BASE_ORIGINAL sera 0 automaticamente); depois a data e a quantidade aqui.",IF(COUNTIF(itens_Remanesc!$A$2:$A$200,A104)&gt;1,"ALERTA: ITEM_DUPLICADO",IF(OR(C104="",C104="Fora dos ciclos"),"ALERTA: CICLO_INVALIDO",IF(NOT(ISNUMBER(E104)),"ALERTA: QTD_INVALIDA",IF(AND(LEFT(UPPER(D104),3)&lt;&gt;"ACR",LEFT(UPPER(D104),4)&lt;&gt;"SUPR",LEFT(UPPER(D104),4)&lt;&gt;"DECR"),"ALERTA: TIPO_INVALIDO","OK"))))))</f>
        <v/>
      </c>
    </row>
    <row r="105" spans="1:13" ht="45" customHeight="1" x14ac:dyDescent="0.35">
      <c r="A105" s="103"/>
      <c r="B105" s="186"/>
      <c r="C105" s="99" t="str">
        <f>IF(B105="","",IFERROR(IF(NOT(ISNUMBER(parametros!$C$2)),"Fora dos ciclos",IF(OR(B105&lt;parametros!$C$2,(YEAR(B105)-YEAR(parametros!$C$2))*12+MONTH(B105)-MONTH(parametros!$C$2)&gt;59),"Fora dos ciclos","C"&amp;INT(((YEAR(B105)-YEAR(parametros!$C$2))*12+MONTH(B105)-MONTH(parametros!$C$2))/12))),"Fora dos ciclos"))</f>
        <v/>
      </c>
      <c r="D105" s="103"/>
      <c r="E105" s="104"/>
      <c r="F105" s="105" t="str">
        <f>IF(A105="","",IFERROR(VLOOKUP(A105,itens_Remanesc!$A:$C,3,0),""))</f>
        <v/>
      </c>
      <c r="G105" s="105" t="str">
        <f t="shared" si="6"/>
        <v/>
      </c>
      <c r="H105" s="103"/>
      <c r="I105" s="64" t="str">
        <f>IFERROR(VLOOKUP(C105,parametros!$B:$F,5,0),"")</f>
        <v/>
      </c>
      <c r="J105" s="105" t="str">
        <f>IF(OR(L105="",F105=""),"",ROUND(L105*IF(AND(UPPER(H105)="SIM",ISNUMBER(IF($C105="C0",IFERROR(VLOOKUP($A105,historico_VU!$A:$G,3,0),""),IF($C105="C1",IFERROR(VLOOKUP($A105,historico_VU!$A:$G,4,0),""),IF($C105="C2",IFERROR(VLOOKUP($A105,historico_VU!$A:$G,5,0),""),IF($C105="C3",IFERROR(VLOOKUP($A105,historico_VU!$A:$G,6,0),""),IF($C105="C4",IFERROR(VLOOKUP($A105,historico_VU!$A:$G,7,0),""),""))))))),IF($C105="C0",IFERROR(VLOOKUP($A105,historico_VU!$A:$G,3,0),""),IF($C105="C1",IFERROR(VLOOKUP($A105,historico_VU!$A:$G,4,0),""),IF($C105="C2",IFERROR(VLOOKUP($A105,historico_VU!$A:$G,5,0),""),IF($C105="C3",IFERROR(VLOOKUP($A105,historico_VU!$A:$G,6,0),""),IF($C105="C4",IFERROR(VLOOKUP($A105,historico_VU!$A:$G,7,0),""),""))))),F105),2))</f>
        <v/>
      </c>
      <c r="K105" s="103"/>
      <c r="L105" s="85" t="str">
        <f t="shared" si="7"/>
        <v/>
      </c>
      <c r="M105" s="203" t="str">
        <f>IF(A105="","",IF(COUNTIF(itens_Remanesc!$A$2:$A$200,A105)=0,"NOVO ITEM NAO CADASTRADO - CADASTRAR EM itens_Remanesc: ITEM + VU_ORIGINAL (QTD_BASE_ORIGINAL sera 0 automaticamente); depois a data e a quantidade aqui.",IF(COUNTIF(itens_Remanesc!$A$2:$A$200,A105)&gt;1,"ALERTA: ITEM_DUPLICADO",IF(OR(C105="",C105="Fora dos ciclos"),"ALERTA: CICLO_INVALIDO",IF(NOT(ISNUMBER(E105)),"ALERTA: QTD_INVALIDA",IF(AND(LEFT(UPPER(D105),3)&lt;&gt;"ACR",LEFT(UPPER(D105),4)&lt;&gt;"SUPR",LEFT(UPPER(D105),4)&lt;&gt;"DECR"),"ALERTA: TIPO_INVALIDO","OK"))))))</f>
        <v/>
      </c>
    </row>
    <row r="106" spans="1:13" ht="45" customHeight="1" x14ac:dyDescent="0.35">
      <c r="A106" s="103"/>
      <c r="B106" s="186"/>
      <c r="C106" s="99" t="str">
        <f>IF(B106="","",IFERROR(IF(NOT(ISNUMBER(parametros!$C$2)),"Fora dos ciclos",IF(OR(B106&lt;parametros!$C$2,(YEAR(B106)-YEAR(parametros!$C$2))*12+MONTH(B106)-MONTH(parametros!$C$2)&gt;59),"Fora dos ciclos","C"&amp;INT(((YEAR(B106)-YEAR(parametros!$C$2))*12+MONTH(B106)-MONTH(parametros!$C$2))/12))),"Fora dos ciclos"))</f>
        <v/>
      </c>
      <c r="D106" s="103"/>
      <c r="E106" s="104"/>
      <c r="F106" s="105" t="str">
        <f>IF(A106="","",IFERROR(VLOOKUP(A106,itens_Remanesc!$A:$C,3,0),""))</f>
        <v/>
      </c>
      <c r="G106" s="105" t="str">
        <f t="shared" si="6"/>
        <v/>
      </c>
      <c r="H106" s="103"/>
      <c r="I106" s="64" t="str">
        <f>IFERROR(VLOOKUP(C106,parametros!$B:$F,5,0),"")</f>
        <v/>
      </c>
      <c r="J106" s="105" t="str">
        <f>IF(OR(L106="",F106=""),"",ROUND(L106*IF(AND(UPPER(H106)="SIM",ISNUMBER(IF($C106="C0",IFERROR(VLOOKUP($A106,historico_VU!$A:$G,3,0),""),IF($C106="C1",IFERROR(VLOOKUP($A106,historico_VU!$A:$G,4,0),""),IF($C106="C2",IFERROR(VLOOKUP($A106,historico_VU!$A:$G,5,0),""),IF($C106="C3",IFERROR(VLOOKUP($A106,historico_VU!$A:$G,6,0),""),IF($C106="C4",IFERROR(VLOOKUP($A106,historico_VU!$A:$G,7,0),""),""))))))),IF($C106="C0",IFERROR(VLOOKUP($A106,historico_VU!$A:$G,3,0),""),IF($C106="C1",IFERROR(VLOOKUP($A106,historico_VU!$A:$G,4,0),""),IF($C106="C2",IFERROR(VLOOKUP($A106,historico_VU!$A:$G,5,0),""),IF($C106="C3",IFERROR(VLOOKUP($A106,historico_VU!$A:$G,6,0),""),IF($C106="C4",IFERROR(VLOOKUP($A106,historico_VU!$A:$G,7,0),""),""))))),F106),2))</f>
        <v/>
      </c>
      <c r="K106" s="103"/>
      <c r="L106" s="85" t="str">
        <f t="shared" si="7"/>
        <v/>
      </c>
      <c r="M106" s="203" t="str">
        <f>IF(A106="","",IF(COUNTIF(itens_Remanesc!$A$2:$A$200,A106)=0,"NOVO ITEM NAO CADASTRADO - CADASTRAR EM itens_Remanesc: ITEM + VU_ORIGINAL (QTD_BASE_ORIGINAL sera 0 automaticamente); depois a data e a quantidade aqui.",IF(COUNTIF(itens_Remanesc!$A$2:$A$200,A106)&gt;1,"ALERTA: ITEM_DUPLICADO",IF(OR(C106="",C106="Fora dos ciclos"),"ALERTA: CICLO_INVALIDO",IF(NOT(ISNUMBER(E106)),"ALERTA: QTD_INVALIDA",IF(AND(LEFT(UPPER(D106),3)&lt;&gt;"ACR",LEFT(UPPER(D106),4)&lt;&gt;"SUPR",LEFT(UPPER(D106),4)&lt;&gt;"DECR"),"ALERTA: TIPO_INVALIDO","OK"))))))</f>
        <v/>
      </c>
    </row>
    <row r="107" spans="1:13" ht="45" customHeight="1" x14ac:dyDescent="0.35">
      <c r="A107" s="103"/>
      <c r="B107" s="186"/>
      <c r="C107" s="99" t="str">
        <f>IF(B107="","",IFERROR(IF(NOT(ISNUMBER(parametros!$C$2)),"Fora dos ciclos",IF(OR(B107&lt;parametros!$C$2,(YEAR(B107)-YEAR(parametros!$C$2))*12+MONTH(B107)-MONTH(parametros!$C$2)&gt;59),"Fora dos ciclos","C"&amp;INT(((YEAR(B107)-YEAR(parametros!$C$2))*12+MONTH(B107)-MONTH(parametros!$C$2))/12))),"Fora dos ciclos"))</f>
        <v/>
      </c>
      <c r="D107" s="103"/>
      <c r="E107" s="104"/>
      <c r="F107" s="105" t="str">
        <f>IF(A107="","",IFERROR(VLOOKUP(A107,itens_Remanesc!$A:$C,3,0),""))</f>
        <v/>
      </c>
      <c r="G107" s="105" t="str">
        <f t="shared" si="6"/>
        <v/>
      </c>
      <c r="H107" s="103"/>
      <c r="I107" s="64" t="str">
        <f>IFERROR(VLOOKUP(C107,parametros!$B:$F,5,0),"")</f>
        <v/>
      </c>
      <c r="J107" s="105" t="str">
        <f>IF(OR(L107="",F107=""),"",ROUND(L107*IF(AND(UPPER(H107)="SIM",ISNUMBER(IF($C107="C0",IFERROR(VLOOKUP($A107,historico_VU!$A:$G,3,0),""),IF($C107="C1",IFERROR(VLOOKUP($A107,historico_VU!$A:$G,4,0),""),IF($C107="C2",IFERROR(VLOOKUP($A107,historico_VU!$A:$G,5,0),""),IF($C107="C3",IFERROR(VLOOKUP($A107,historico_VU!$A:$G,6,0),""),IF($C107="C4",IFERROR(VLOOKUP($A107,historico_VU!$A:$G,7,0),""),""))))))),IF($C107="C0",IFERROR(VLOOKUP($A107,historico_VU!$A:$G,3,0),""),IF($C107="C1",IFERROR(VLOOKUP($A107,historico_VU!$A:$G,4,0),""),IF($C107="C2",IFERROR(VLOOKUP($A107,historico_VU!$A:$G,5,0),""),IF($C107="C3",IFERROR(VLOOKUP($A107,historico_VU!$A:$G,6,0),""),IF($C107="C4",IFERROR(VLOOKUP($A107,historico_VU!$A:$G,7,0),""),""))))),F107),2))</f>
        <v/>
      </c>
      <c r="K107" s="103"/>
      <c r="L107" s="85" t="str">
        <f t="shared" si="7"/>
        <v/>
      </c>
      <c r="M107" s="203" t="str">
        <f>IF(A107="","",IF(COUNTIF(itens_Remanesc!$A$2:$A$200,A107)=0,"NOVO ITEM NAO CADASTRADO - CADASTRAR EM itens_Remanesc: ITEM + VU_ORIGINAL (QTD_BASE_ORIGINAL sera 0 automaticamente); depois a data e a quantidade aqui.",IF(COUNTIF(itens_Remanesc!$A$2:$A$200,A107)&gt;1,"ALERTA: ITEM_DUPLICADO",IF(OR(C107="",C107="Fora dos ciclos"),"ALERTA: CICLO_INVALIDO",IF(NOT(ISNUMBER(E107)),"ALERTA: QTD_INVALIDA",IF(AND(LEFT(UPPER(D107),3)&lt;&gt;"ACR",LEFT(UPPER(D107),4)&lt;&gt;"SUPR",LEFT(UPPER(D107),4)&lt;&gt;"DECR"),"ALERTA: TIPO_INVALIDO","OK"))))))</f>
        <v/>
      </c>
    </row>
    <row r="108" spans="1:13" ht="45" customHeight="1" x14ac:dyDescent="0.35">
      <c r="A108" s="103"/>
      <c r="B108" s="186"/>
      <c r="C108" s="99" t="str">
        <f>IF(B108="","",IFERROR(IF(NOT(ISNUMBER(parametros!$C$2)),"Fora dos ciclos",IF(OR(B108&lt;parametros!$C$2,(YEAR(B108)-YEAR(parametros!$C$2))*12+MONTH(B108)-MONTH(parametros!$C$2)&gt;59),"Fora dos ciclos","C"&amp;INT(((YEAR(B108)-YEAR(parametros!$C$2))*12+MONTH(B108)-MONTH(parametros!$C$2))/12))),"Fora dos ciclos"))</f>
        <v/>
      </c>
      <c r="D108" s="103"/>
      <c r="E108" s="104"/>
      <c r="F108" s="105" t="str">
        <f>IF(A108="","",IFERROR(VLOOKUP(A108,itens_Remanesc!$A:$C,3,0),""))</f>
        <v/>
      </c>
      <c r="G108" s="105" t="str">
        <f t="shared" si="6"/>
        <v/>
      </c>
      <c r="H108" s="103"/>
      <c r="I108" s="64" t="str">
        <f>IFERROR(VLOOKUP(C108,parametros!$B:$F,5,0),"")</f>
        <v/>
      </c>
      <c r="J108" s="105" t="str">
        <f>IF(OR(L108="",F108=""),"",ROUND(L108*IF(AND(UPPER(H108)="SIM",ISNUMBER(IF($C108="C0",IFERROR(VLOOKUP($A108,historico_VU!$A:$G,3,0),""),IF($C108="C1",IFERROR(VLOOKUP($A108,historico_VU!$A:$G,4,0),""),IF($C108="C2",IFERROR(VLOOKUP($A108,historico_VU!$A:$G,5,0),""),IF($C108="C3",IFERROR(VLOOKUP($A108,historico_VU!$A:$G,6,0),""),IF($C108="C4",IFERROR(VLOOKUP($A108,historico_VU!$A:$G,7,0),""),""))))))),IF($C108="C0",IFERROR(VLOOKUP($A108,historico_VU!$A:$G,3,0),""),IF($C108="C1",IFERROR(VLOOKUP($A108,historico_VU!$A:$G,4,0),""),IF($C108="C2",IFERROR(VLOOKUP($A108,historico_VU!$A:$G,5,0),""),IF($C108="C3",IFERROR(VLOOKUP($A108,historico_VU!$A:$G,6,0),""),IF($C108="C4",IFERROR(VLOOKUP($A108,historico_VU!$A:$G,7,0),""),""))))),F108),2))</f>
        <v/>
      </c>
      <c r="K108" s="103"/>
      <c r="L108" s="85" t="str">
        <f t="shared" si="7"/>
        <v/>
      </c>
      <c r="M108" s="203" t="str">
        <f>IF(A108="","",IF(COUNTIF(itens_Remanesc!$A$2:$A$200,A108)=0,"NOVO ITEM NAO CADASTRADO - CADASTRAR EM itens_Remanesc: ITEM + VU_ORIGINAL (QTD_BASE_ORIGINAL sera 0 automaticamente); depois a data e a quantidade aqui.",IF(COUNTIF(itens_Remanesc!$A$2:$A$200,A108)&gt;1,"ALERTA: ITEM_DUPLICADO",IF(OR(C108="",C108="Fora dos ciclos"),"ALERTA: CICLO_INVALIDO",IF(NOT(ISNUMBER(E108)),"ALERTA: QTD_INVALIDA",IF(AND(LEFT(UPPER(D108),3)&lt;&gt;"ACR",LEFT(UPPER(D108),4)&lt;&gt;"SUPR",LEFT(UPPER(D108),4)&lt;&gt;"DECR"),"ALERTA: TIPO_INVALIDO","OK"))))))</f>
        <v/>
      </c>
    </row>
    <row r="109" spans="1:13" ht="45" customHeight="1" x14ac:dyDescent="0.35">
      <c r="A109" s="103"/>
      <c r="B109" s="186"/>
      <c r="C109" s="99" t="str">
        <f>IF(B109="","",IFERROR(IF(NOT(ISNUMBER(parametros!$C$2)),"Fora dos ciclos",IF(OR(B109&lt;parametros!$C$2,(YEAR(B109)-YEAR(parametros!$C$2))*12+MONTH(B109)-MONTH(parametros!$C$2)&gt;59),"Fora dos ciclos","C"&amp;INT(((YEAR(B109)-YEAR(parametros!$C$2))*12+MONTH(B109)-MONTH(parametros!$C$2))/12))),"Fora dos ciclos"))</f>
        <v/>
      </c>
      <c r="D109" s="103"/>
      <c r="E109" s="104"/>
      <c r="F109" s="105" t="str">
        <f>IF(A109="","",IFERROR(VLOOKUP(A109,itens_Remanesc!$A:$C,3,0),""))</f>
        <v/>
      </c>
      <c r="G109" s="105" t="str">
        <f t="shared" si="6"/>
        <v/>
      </c>
      <c r="H109" s="103"/>
      <c r="I109" s="64" t="str">
        <f>IFERROR(VLOOKUP(C109,parametros!$B:$F,5,0),"")</f>
        <v/>
      </c>
      <c r="J109" s="105" t="str">
        <f>IF(OR(L109="",F109=""),"",ROUND(L109*IF(AND(UPPER(H109)="SIM",ISNUMBER(IF($C109="C0",IFERROR(VLOOKUP($A109,historico_VU!$A:$G,3,0),""),IF($C109="C1",IFERROR(VLOOKUP($A109,historico_VU!$A:$G,4,0),""),IF($C109="C2",IFERROR(VLOOKUP($A109,historico_VU!$A:$G,5,0),""),IF($C109="C3",IFERROR(VLOOKUP($A109,historico_VU!$A:$G,6,0),""),IF($C109="C4",IFERROR(VLOOKUP($A109,historico_VU!$A:$G,7,0),""),""))))))),IF($C109="C0",IFERROR(VLOOKUP($A109,historico_VU!$A:$G,3,0),""),IF($C109="C1",IFERROR(VLOOKUP($A109,historico_VU!$A:$G,4,0),""),IF($C109="C2",IFERROR(VLOOKUP($A109,historico_VU!$A:$G,5,0),""),IF($C109="C3",IFERROR(VLOOKUP($A109,historico_VU!$A:$G,6,0),""),IF($C109="C4",IFERROR(VLOOKUP($A109,historico_VU!$A:$G,7,0),""),""))))),F109),2))</f>
        <v/>
      </c>
      <c r="K109" s="103"/>
      <c r="L109" s="85" t="str">
        <f t="shared" si="7"/>
        <v/>
      </c>
      <c r="M109" s="203" t="str">
        <f>IF(A109="","",IF(COUNTIF(itens_Remanesc!$A$2:$A$200,A109)=0,"NOVO ITEM NAO CADASTRADO - CADASTRAR EM itens_Remanesc: ITEM + VU_ORIGINAL (QTD_BASE_ORIGINAL sera 0 automaticamente); depois a data e a quantidade aqui.",IF(COUNTIF(itens_Remanesc!$A$2:$A$200,A109)&gt;1,"ALERTA: ITEM_DUPLICADO",IF(OR(C109="",C109="Fora dos ciclos"),"ALERTA: CICLO_INVALIDO",IF(NOT(ISNUMBER(E109)),"ALERTA: QTD_INVALIDA",IF(AND(LEFT(UPPER(D109),3)&lt;&gt;"ACR",LEFT(UPPER(D109),4)&lt;&gt;"SUPR",LEFT(UPPER(D109),4)&lt;&gt;"DECR"),"ALERTA: TIPO_INVALIDO","OK"))))))</f>
        <v/>
      </c>
    </row>
    <row r="110" spans="1:13" ht="45" customHeight="1" x14ac:dyDescent="0.35">
      <c r="A110" s="103"/>
      <c r="B110" s="186"/>
      <c r="C110" s="99" t="str">
        <f>IF(B110="","",IFERROR(IF(NOT(ISNUMBER(parametros!$C$2)),"Fora dos ciclos",IF(OR(B110&lt;parametros!$C$2,(YEAR(B110)-YEAR(parametros!$C$2))*12+MONTH(B110)-MONTH(parametros!$C$2)&gt;59),"Fora dos ciclos","C"&amp;INT(((YEAR(B110)-YEAR(parametros!$C$2))*12+MONTH(B110)-MONTH(parametros!$C$2))/12))),"Fora dos ciclos"))</f>
        <v/>
      </c>
      <c r="D110" s="103"/>
      <c r="E110" s="104"/>
      <c r="F110" s="105" t="str">
        <f>IF(A110="","",IFERROR(VLOOKUP(A110,itens_Remanesc!$A:$C,3,0),""))</f>
        <v/>
      </c>
      <c r="G110" s="105" t="str">
        <f t="shared" si="6"/>
        <v/>
      </c>
      <c r="H110" s="103"/>
      <c r="I110" s="64" t="str">
        <f>IFERROR(VLOOKUP(C110,parametros!$B:$F,5,0),"")</f>
        <v/>
      </c>
      <c r="J110" s="105" t="str">
        <f>IF(OR(L110="",F110=""),"",ROUND(L110*IF(AND(UPPER(H110)="SIM",ISNUMBER(IF($C110="C0",IFERROR(VLOOKUP($A110,historico_VU!$A:$G,3,0),""),IF($C110="C1",IFERROR(VLOOKUP($A110,historico_VU!$A:$G,4,0),""),IF($C110="C2",IFERROR(VLOOKUP($A110,historico_VU!$A:$G,5,0),""),IF($C110="C3",IFERROR(VLOOKUP($A110,historico_VU!$A:$G,6,0),""),IF($C110="C4",IFERROR(VLOOKUP($A110,historico_VU!$A:$G,7,0),""),""))))))),IF($C110="C0",IFERROR(VLOOKUP($A110,historico_VU!$A:$G,3,0),""),IF($C110="C1",IFERROR(VLOOKUP($A110,historico_VU!$A:$G,4,0),""),IF($C110="C2",IFERROR(VLOOKUP($A110,historico_VU!$A:$G,5,0),""),IF($C110="C3",IFERROR(VLOOKUP($A110,historico_VU!$A:$G,6,0),""),IF($C110="C4",IFERROR(VLOOKUP($A110,historico_VU!$A:$G,7,0),""),""))))),F110),2))</f>
        <v/>
      </c>
      <c r="K110" s="103"/>
      <c r="L110" s="85" t="str">
        <f t="shared" si="7"/>
        <v/>
      </c>
      <c r="M110" s="203" t="str">
        <f>IF(A110="","",IF(COUNTIF(itens_Remanesc!$A$2:$A$200,A110)=0,"NOVO ITEM NAO CADASTRADO - CADASTRAR EM itens_Remanesc: ITEM + VU_ORIGINAL (QTD_BASE_ORIGINAL sera 0 automaticamente); depois a data e a quantidade aqui.",IF(COUNTIF(itens_Remanesc!$A$2:$A$200,A110)&gt;1,"ALERTA: ITEM_DUPLICADO",IF(OR(C110="",C110="Fora dos ciclos"),"ALERTA: CICLO_INVALIDO",IF(NOT(ISNUMBER(E110)),"ALERTA: QTD_INVALIDA",IF(AND(LEFT(UPPER(D110),3)&lt;&gt;"ACR",LEFT(UPPER(D110),4)&lt;&gt;"SUPR",LEFT(UPPER(D110),4)&lt;&gt;"DECR"),"ALERTA: TIPO_INVALIDO","OK"))))))</f>
        <v/>
      </c>
    </row>
    <row r="111" spans="1:13" ht="45" customHeight="1" x14ac:dyDescent="0.35">
      <c r="A111" s="103"/>
      <c r="B111" s="186"/>
      <c r="C111" s="99" t="str">
        <f>IF(B111="","",IFERROR(IF(NOT(ISNUMBER(parametros!$C$2)),"Fora dos ciclos",IF(OR(B111&lt;parametros!$C$2,(YEAR(B111)-YEAR(parametros!$C$2))*12+MONTH(B111)-MONTH(parametros!$C$2)&gt;59),"Fora dos ciclos","C"&amp;INT(((YEAR(B111)-YEAR(parametros!$C$2))*12+MONTH(B111)-MONTH(parametros!$C$2))/12))),"Fora dos ciclos"))</f>
        <v/>
      </c>
      <c r="D111" s="103"/>
      <c r="E111" s="104"/>
      <c r="F111" s="105" t="str">
        <f>IF(A111="","",IFERROR(VLOOKUP(A111,itens_Remanesc!$A:$C,3,0),""))</f>
        <v/>
      </c>
      <c r="G111" s="105" t="str">
        <f t="shared" si="6"/>
        <v/>
      </c>
      <c r="H111" s="103"/>
      <c r="I111" s="64" t="str">
        <f>IFERROR(VLOOKUP(C111,parametros!$B:$F,5,0),"")</f>
        <v/>
      </c>
      <c r="J111" s="105" t="str">
        <f>IF(OR(L111="",F111=""),"",ROUND(L111*IF(AND(UPPER(H111)="SIM",ISNUMBER(IF($C111="C0",IFERROR(VLOOKUP($A111,historico_VU!$A:$G,3,0),""),IF($C111="C1",IFERROR(VLOOKUP($A111,historico_VU!$A:$G,4,0),""),IF($C111="C2",IFERROR(VLOOKUP($A111,historico_VU!$A:$G,5,0),""),IF($C111="C3",IFERROR(VLOOKUP($A111,historico_VU!$A:$G,6,0),""),IF($C111="C4",IFERROR(VLOOKUP($A111,historico_VU!$A:$G,7,0),""),""))))))),IF($C111="C0",IFERROR(VLOOKUP($A111,historico_VU!$A:$G,3,0),""),IF($C111="C1",IFERROR(VLOOKUP($A111,historico_VU!$A:$G,4,0),""),IF($C111="C2",IFERROR(VLOOKUP($A111,historico_VU!$A:$G,5,0),""),IF($C111="C3",IFERROR(VLOOKUP($A111,historico_VU!$A:$G,6,0),""),IF($C111="C4",IFERROR(VLOOKUP($A111,historico_VU!$A:$G,7,0),""),""))))),F111),2))</f>
        <v/>
      </c>
      <c r="K111" s="103"/>
      <c r="L111" s="85" t="str">
        <f t="shared" si="7"/>
        <v/>
      </c>
      <c r="M111" s="203" t="str">
        <f>IF(A111="","",IF(COUNTIF(itens_Remanesc!$A$2:$A$200,A111)=0,"NOVO ITEM NAO CADASTRADO - CADASTRAR EM itens_Remanesc: ITEM + VU_ORIGINAL (QTD_BASE_ORIGINAL sera 0 automaticamente); depois a data e a quantidade aqui.",IF(COUNTIF(itens_Remanesc!$A$2:$A$200,A111)&gt;1,"ALERTA: ITEM_DUPLICADO",IF(OR(C111="",C111="Fora dos ciclos"),"ALERTA: CICLO_INVALIDO",IF(NOT(ISNUMBER(E111)),"ALERTA: QTD_INVALIDA",IF(AND(LEFT(UPPER(D111),3)&lt;&gt;"ACR",LEFT(UPPER(D111),4)&lt;&gt;"SUPR",LEFT(UPPER(D111),4)&lt;&gt;"DECR"),"ALERTA: TIPO_INVALIDO","OK"))))))</f>
        <v/>
      </c>
    </row>
    <row r="112" spans="1:13" ht="45" customHeight="1" x14ac:dyDescent="0.35">
      <c r="A112" s="103"/>
      <c r="B112" s="186"/>
      <c r="C112" s="99" t="str">
        <f>IF(B112="","",IFERROR(IF(NOT(ISNUMBER(parametros!$C$2)),"Fora dos ciclos",IF(OR(B112&lt;parametros!$C$2,(YEAR(B112)-YEAR(parametros!$C$2))*12+MONTH(B112)-MONTH(parametros!$C$2)&gt;59),"Fora dos ciclos","C"&amp;INT(((YEAR(B112)-YEAR(parametros!$C$2))*12+MONTH(B112)-MONTH(parametros!$C$2))/12))),"Fora dos ciclos"))</f>
        <v/>
      </c>
      <c r="D112" s="103"/>
      <c r="E112" s="104"/>
      <c r="F112" s="105" t="str">
        <f>IF(A112="","",IFERROR(VLOOKUP(A112,itens_Remanesc!$A:$C,3,0),""))</f>
        <v/>
      </c>
      <c r="G112" s="105" t="str">
        <f t="shared" si="6"/>
        <v/>
      </c>
      <c r="H112" s="103"/>
      <c r="I112" s="64" t="str">
        <f>IFERROR(VLOOKUP(C112,parametros!$B:$F,5,0),"")</f>
        <v/>
      </c>
      <c r="J112" s="105" t="str">
        <f>IF(OR(L112="",F112=""),"",ROUND(L112*IF(AND(UPPER(H112)="SIM",ISNUMBER(IF($C112="C0",IFERROR(VLOOKUP($A112,historico_VU!$A:$G,3,0),""),IF($C112="C1",IFERROR(VLOOKUP($A112,historico_VU!$A:$G,4,0),""),IF($C112="C2",IFERROR(VLOOKUP($A112,historico_VU!$A:$G,5,0),""),IF($C112="C3",IFERROR(VLOOKUP($A112,historico_VU!$A:$G,6,0),""),IF($C112="C4",IFERROR(VLOOKUP($A112,historico_VU!$A:$G,7,0),""),""))))))),IF($C112="C0",IFERROR(VLOOKUP($A112,historico_VU!$A:$G,3,0),""),IF($C112="C1",IFERROR(VLOOKUP($A112,historico_VU!$A:$G,4,0),""),IF($C112="C2",IFERROR(VLOOKUP($A112,historico_VU!$A:$G,5,0),""),IF($C112="C3",IFERROR(VLOOKUP($A112,historico_VU!$A:$G,6,0),""),IF($C112="C4",IFERROR(VLOOKUP($A112,historico_VU!$A:$G,7,0),""),""))))),F112),2))</f>
        <v/>
      </c>
      <c r="K112" s="103"/>
      <c r="L112" s="85" t="str">
        <f t="shared" si="7"/>
        <v/>
      </c>
      <c r="M112" s="203" t="str">
        <f>IF(A112="","",IF(COUNTIF(itens_Remanesc!$A$2:$A$200,A112)=0,"NOVO ITEM NAO CADASTRADO - CADASTRAR EM itens_Remanesc: ITEM + VU_ORIGINAL (QTD_BASE_ORIGINAL sera 0 automaticamente); depois a data e a quantidade aqui.",IF(COUNTIF(itens_Remanesc!$A$2:$A$200,A112)&gt;1,"ALERTA: ITEM_DUPLICADO",IF(OR(C112="",C112="Fora dos ciclos"),"ALERTA: CICLO_INVALIDO",IF(NOT(ISNUMBER(E112)),"ALERTA: QTD_INVALIDA",IF(AND(LEFT(UPPER(D112),3)&lt;&gt;"ACR",LEFT(UPPER(D112),4)&lt;&gt;"SUPR",LEFT(UPPER(D112),4)&lt;&gt;"DECR"),"ALERTA: TIPO_INVALIDO","OK"))))))</f>
        <v/>
      </c>
    </row>
    <row r="113" spans="1:13" ht="45" customHeight="1" x14ac:dyDescent="0.35">
      <c r="A113" s="103"/>
      <c r="B113" s="186"/>
      <c r="C113" s="99" t="str">
        <f>IF(B113="","",IFERROR(IF(NOT(ISNUMBER(parametros!$C$2)),"Fora dos ciclos",IF(OR(B113&lt;parametros!$C$2,(YEAR(B113)-YEAR(parametros!$C$2))*12+MONTH(B113)-MONTH(parametros!$C$2)&gt;59),"Fora dos ciclos","C"&amp;INT(((YEAR(B113)-YEAR(parametros!$C$2))*12+MONTH(B113)-MONTH(parametros!$C$2))/12))),"Fora dos ciclos"))</f>
        <v/>
      </c>
      <c r="D113" s="103"/>
      <c r="E113" s="104"/>
      <c r="F113" s="105" t="str">
        <f>IF(A113="","",IFERROR(VLOOKUP(A113,itens_Remanesc!$A:$C,3,0),""))</f>
        <v/>
      </c>
      <c r="G113" s="105" t="str">
        <f t="shared" si="6"/>
        <v/>
      </c>
      <c r="H113" s="103"/>
      <c r="I113" s="64" t="str">
        <f>IFERROR(VLOOKUP(C113,parametros!$B:$F,5,0),"")</f>
        <v/>
      </c>
      <c r="J113" s="105" t="str">
        <f>IF(OR(L113="",F113=""),"",ROUND(L113*IF(AND(UPPER(H113)="SIM",ISNUMBER(IF($C113="C0",IFERROR(VLOOKUP($A113,historico_VU!$A:$G,3,0),""),IF($C113="C1",IFERROR(VLOOKUP($A113,historico_VU!$A:$G,4,0),""),IF($C113="C2",IFERROR(VLOOKUP($A113,historico_VU!$A:$G,5,0),""),IF($C113="C3",IFERROR(VLOOKUP($A113,historico_VU!$A:$G,6,0),""),IF($C113="C4",IFERROR(VLOOKUP($A113,historico_VU!$A:$G,7,0),""),""))))))),IF($C113="C0",IFERROR(VLOOKUP($A113,historico_VU!$A:$G,3,0),""),IF($C113="C1",IFERROR(VLOOKUP($A113,historico_VU!$A:$G,4,0),""),IF($C113="C2",IFERROR(VLOOKUP($A113,historico_VU!$A:$G,5,0),""),IF($C113="C3",IFERROR(VLOOKUP($A113,historico_VU!$A:$G,6,0),""),IF($C113="C4",IFERROR(VLOOKUP($A113,historico_VU!$A:$G,7,0),""),""))))),F113),2))</f>
        <v/>
      </c>
      <c r="K113" s="103"/>
      <c r="L113" s="85" t="str">
        <f t="shared" si="7"/>
        <v/>
      </c>
      <c r="M113" s="203" t="str">
        <f>IF(A113="","",IF(COUNTIF(itens_Remanesc!$A$2:$A$200,A113)=0,"NOVO ITEM NAO CADASTRADO - CADASTRAR EM itens_Remanesc: ITEM + VU_ORIGINAL (QTD_BASE_ORIGINAL sera 0 automaticamente); depois a data e a quantidade aqui.",IF(COUNTIF(itens_Remanesc!$A$2:$A$200,A113)&gt;1,"ALERTA: ITEM_DUPLICADO",IF(OR(C113="",C113="Fora dos ciclos"),"ALERTA: CICLO_INVALIDO",IF(NOT(ISNUMBER(E113)),"ALERTA: QTD_INVALIDA",IF(AND(LEFT(UPPER(D113),3)&lt;&gt;"ACR",LEFT(UPPER(D113),4)&lt;&gt;"SUPR",LEFT(UPPER(D113),4)&lt;&gt;"DECR"),"ALERTA: TIPO_INVALIDO","OK"))))))</f>
        <v/>
      </c>
    </row>
    <row r="114" spans="1:13" ht="45" customHeight="1" x14ac:dyDescent="0.35">
      <c r="A114" s="103"/>
      <c r="B114" s="186"/>
      <c r="C114" s="99" t="str">
        <f>IF(B114="","",IFERROR(IF(NOT(ISNUMBER(parametros!$C$2)),"Fora dos ciclos",IF(OR(B114&lt;parametros!$C$2,(YEAR(B114)-YEAR(parametros!$C$2))*12+MONTH(B114)-MONTH(parametros!$C$2)&gt;59),"Fora dos ciclos","C"&amp;INT(((YEAR(B114)-YEAR(parametros!$C$2))*12+MONTH(B114)-MONTH(parametros!$C$2))/12))),"Fora dos ciclos"))</f>
        <v/>
      </c>
      <c r="D114" s="103"/>
      <c r="E114" s="104"/>
      <c r="F114" s="105" t="str">
        <f>IF(A114="","",IFERROR(VLOOKUP(A114,itens_Remanesc!$A:$C,3,0),""))</f>
        <v/>
      </c>
      <c r="G114" s="105" t="str">
        <f t="shared" si="6"/>
        <v/>
      </c>
      <c r="H114" s="103"/>
      <c r="I114" s="64" t="str">
        <f>IFERROR(VLOOKUP(C114,parametros!$B:$F,5,0),"")</f>
        <v/>
      </c>
      <c r="J114" s="105" t="str">
        <f>IF(OR(L114="",F114=""),"",ROUND(L114*IF(AND(UPPER(H114)="SIM",ISNUMBER(IF($C114="C0",IFERROR(VLOOKUP($A114,historico_VU!$A:$G,3,0),""),IF($C114="C1",IFERROR(VLOOKUP($A114,historico_VU!$A:$G,4,0),""),IF($C114="C2",IFERROR(VLOOKUP($A114,historico_VU!$A:$G,5,0),""),IF($C114="C3",IFERROR(VLOOKUP($A114,historico_VU!$A:$G,6,0),""),IF($C114="C4",IFERROR(VLOOKUP($A114,historico_VU!$A:$G,7,0),""),""))))))),IF($C114="C0",IFERROR(VLOOKUP($A114,historico_VU!$A:$G,3,0),""),IF($C114="C1",IFERROR(VLOOKUP($A114,historico_VU!$A:$G,4,0),""),IF($C114="C2",IFERROR(VLOOKUP($A114,historico_VU!$A:$G,5,0),""),IF($C114="C3",IFERROR(VLOOKUP($A114,historico_VU!$A:$G,6,0),""),IF($C114="C4",IFERROR(VLOOKUP($A114,historico_VU!$A:$G,7,0),""),""))))),F114),2))</f>
        <v/>
      </c>
      <c r="K114" s="103"/>
      <c r="L114" s="85" t="str">
        <f t="shared" si="7"/>
        <v/>
      </c>
      <c r="M114" s="203" t="str">
        <f>IF(A114="","",IF(COUNTIF(itens_Remanesc!$A$2:$A$200,A114)=0,"NOVO ITEM NAO CADASTRADO - CADASTRAR EM itens_Remanesc: ITEM + VU_ORIGINAL (QTD_BASE_ORIGINAL sera 0 automaticamente); depois a data e a quantidade aqui.",IF(COUNTIF(itens_Remanesc!$A$2:$A$200,A114)&gt;1,"ALERTA: ITEM_DUPLICADO",IF(OR(C114="",C114="Fora dos ciclos"),"ALERTA: CICLO_INVALIDO",IF(NOT(ISNUMBER(E114)),"ALERTA: QTD_INVALIDA",IF(AND(LEFT(UPPER(D114),3)&lt;&gt;"ACR",LEFT(UPPER(D114),4)&lt;&gt;"SUPR",LEFT(UPPER(D114),4)&lt;&gt;"DECR"),"ALERTA: TIPO_INVALIDO","OK"))))))</f>
        <v/>
      </c>
    </row>
    <row r="115" spans="1:13" ht="45" customHeight="1" x14ac:dyDescent="0.35">
      <c r="A115" s="103"/>
      <c r="B115" s="186"/>
      <c r="C115" s="99" t="str">
        <f>IF(B115="","",IFERROR(IF(NOT(ISNUMBER(parametros!$C$2)),"Fora dos ciclos",IF(OR(B115&lt;parametros!$C$2,(YEAR(B115)-YEAR(parametros!$C$2))*12+MONTH(B115)-MONTH(parametros!$C$2)&gt;59),"Fora dos ciclos","C"&amp;INT(((YEAR(B115)-YEAR(parametros!$C$2))*12+MONTH(B115)-MONTH(parametros!$C$2))/12))),"Fora dos ciclos"))</f>
        <v/>
      </c>
      <c r="D115" s="103"/>
      <c r="E115" s="104"/>
      <c r="F115" s="105" t="str">
        <f>IF(A115="","",IFERROR(VLOOKUP(A115,itens_Remanesc!$A:$C,3,0),""))</f>
        <v/>
      </c>
      <c r="G115" s="105" t="str">
        <f t="shared" si="6"/>
        <v/>
      </c>
      <c r="H115" s="103"/>
      <c r="I115" s="64" t="str">
        <f>IFERROR(VLOOKUP(C115,parametros!$B:$F,5,0),"")</f>
        <v/>
      </c>
      <c r="J115" s="105" t="str">
        <f>IF(OR(L115="",F115=""),"",ROUND(L115*IF(AND(UPPER(H115)="SIM",ISNUMBER(IF($C115="C0",IFERROR(VLOOKUP($A115,historico_VU!$A:$G,3,0),""),IF($C115="C1",IFERROR(VLOOKUP($A115,historico_VU!$A:$G,4,0),""),IF($C115="C2",IFERROR(VLOOKUP($A115,historico_VU!$A:$G,5,0),""),IF($C115="C3",IFERROR(VLOOKUP($A115,historico_VU!$A:$G,6,0),""),IF($C115="C4",IFERROR(VLOOKUP($A115,historico_VU!$A:$G,7,0),""),""))))))),IF($C115="C0",IFERROR(VLOOKUP($A115,historico_VU!$A:$G,3,0),""),IF($C115="C1",IFERROR(VLOOKUP($A115,historico_VU!$A:$G,4,0),""),IF($C115="C2",IFERROR(VLOOKUP($A115,historico_VU!$A:$G,5,0),""),IF($C115="C3",IFERROR(VLOOKUP($A115,historico_VU!$A:$G,6,0),""),IF($C115="C4",IFERROR(VLOOKUP($A115,historico_VU!$A:$G,7,0),""),""))))),F115),2))</f>
        <v/>
      </c>
      <c r="K115" s="103"/>
      <c r="L115" s="85" t="str">
        <f t="shared" si="7"/>
        <v/>
      </c>
      <c r="M115" s="203" t="str">
        <f>IF(A115="","",IF(COUNTIF(itens_Remanesc!$A$2:$A$200,A115)=0,"NOVO ITEM NAO CADASTRADO - CADASTRAR EM itens_Remanesc: ITEM + VU_ORIGINAL (QTD_BASE_ORIGINAL sera 0 automaticamente); depois a data e a quantidade aqui.",IF(COUNTIF(itens_Remanesc!$A$2:$A$200,A115)&gt;1,"ALERTA: ITEM_DUPLICADO",IF(OR(C115="",C115="Fora dos ciclos"),"ALERTA: CICLO_INVALIDO",IF(NOT(ISNUMBER(E115)),"ALERTA: QTD_INVALIDA",IF(AND(LEFT(UPPER(D115),3)&lt;&gt;"ACR",LEFT(UPPER(D115),4)&lt;&gt;"SUPR",LEFT(UPPER(D115),4)&lt;&gt;"DECR"),"ALERTA: TIPO_INVALIDO","OK"))))))</f>
        <v/>
      </c>
    </row>
    <row r="116" spans="1:13" ht="45" customHeight="1" x14ac:dyDescent="0.35">
      <c r="A116" s="103"/>
      <c r="B116" s="186"/>
      <c r="C116" s="99" t="str">
        <f>IF(B116="","",IFERROR(IF(NOT(ISNUMBER(parametros!$C$2)),"Fora dos ciclos",IF(OR(B116&lt;parametros!$C$2,(YEAR(B116)-YEAR(parametros!$C$2))*12+MONTH(B116)-MONTH(parametros!$C$2)&gt;59),"Fora dos ciclos","C"&amp;INT(((YEAR(B116)-YEAR(parametros!$C$2))*12+MONTH(B116)-MONTH(parametros!$C$2))/12))),"Fora dos ciclos"))</f>
        <v/>
      </c>
      <c r="D116" s="103"/>
      <c r="E116" s="104"/>
      <c r="F116" s="105" t="str">
        <f>IF(A116="","",IFERROR(VLOOKUP(A116,itens_Remanesc!$A:$C,3,0),""))</f>
        <v/>
      </c>
      <c r="G116" s="105" t="str">
        <f t="shared" si="6"/>
        <v/>
      </c>
      <c r="H116" s="103"/>
      <c r="I116" s="64" t="str">
        <f>IFERROR(VLOOKUP(C116,parametros!$B:$F,5,0),"")</f>
        <v/>
      </c>
      <c r="J116" s="105" t="str">
        <f>IF(OR(L116="",F116=""),"",ROUND(L116*IF(AND(UPPER(H116)="SIM",ISNUMBER(IF($C116="C0",IFERROR(VLOOKUP($A116,historico_VU!$A:$G,3,0),""),IF($C116="C1",IFERROR(VLOOKUP($A116,historico_VU!$A:$G,4,0),""),IF($C116="C2",IFERROR(VLOOKUP($A116,historico_VU!$A:$G,5,0),""),IF($C116="C3",IFERROR(VLOOKUP($A116,historico_VU!$A:$G,6,0),""),IF($C116="C4",IFERROR(VLOOKUP($A116,historico_VU!$A:$G,7,0),""),""))))))),IF($C116="C0",IFERROR(VLOOKUP($A116,historico_VU!$A:$G,3,0),""),IF($C116="C1",IFERROR(VLOOKUP($A116,historico_VU!$A:$G,4,0),""),IF($C116="C2",IFERROR(VLOOKUP($A116,historico_VU!$A:$G,5,0),""),IF($C116="C3",IFERROR(VLOOKUP($A116,historico_VU!$A:$G,6,0),""),IF($C116="C4",IFERROR(VLOOKUP($A116,historico_VU!$A:$G,7,0),""),""))))),F116),2))</f>
        <v/>
      </c>
      <c r="K116" s="103"/>
      <c r="L116" s="85" t="str">
        <f t="shared" si="7"/>
        <v/>
      </c>
      <c r="M116" s="203" t="str">
        <f>IF(A116="","",IF(COUNTIF(itens_Remanesc!$A$2:$A$200,A116)=0,"NOVO ITEM NAO CADASTRADO - CADASTRAR EM itens_Remanesc: ITEM + VU_ORIGINAL (QTD_BASE_ORIGINAL sera 0 automaticamente); depois a data e a quantidade aqui.",IF(COUNTIF(itens_Remanesc!$A$2:$A$200,A116)&gt;1,"ALERTA: ITEM_DUPLICADO",IF(OR(C116="",C116="Fora dos ciclos"),"ALERTA: CICLO_INVALIDO",IF(NOT(ISNUMBER(E116)),"ALERTA: QTD_INVALIDA",IF(AND(LEFT(UPPER(D116),3)&lt;&gt;"ACR",LEFT(UPPER(D116),4)&lt;&gt;"SUPR",LEFT(UPPER(D116),4)&lt;&gt;"DECR"),"ALERTA: TIPO_INVALIDO","OK"))))))</f>
        <v/>
      </c>
    </row>
    <row r="117" spans="1:13" ht="45" customHeight="1" x14ac:dyDescent="0.35">
      <c r="A117" s="103"/>
      <c r="B117" s="186"/>
      <c r="C117" s="99" t="str">
        <f>IF(B117="","",IFERROR(IF(NOT(ISNUMBER(parametros!$C$2)),"Fora dos ciclos",IF(OR(B117&lt;parametros!$C$2,(YEAR(B117)-YEAR(parametros!$C$2))*12+MONTH(B117)-MONTH(parametros!$C$2)&gt;59),"Fora dos ciclos","C"&amp;INT(((YEAR(B117)-YEAR(parametros!$C$2))*12+MONTH(B117)-MONTH(parametros!$C$2))/12))),"Fora dos ciclos"))</f>
        <v/>
      </c>
      <c r="D117" s="103"/>
      <c r="E117" s="104"/>
      <c r="F117" s="105" t="str">
        <f>IF(A117="","",IFERROR(VLOOKUP(A117,itens_Remanesc!$A:$C,3,0),""))</f>
        <v/>
      </c>
      <c r="G117" s="105" t="str">
        <f t="shared" si="6"/>
        <v/>
      </c>
      <c r="H117" s="103"/>
      <c r="I117" s="64" t="str">
        <f>IFERROR(VLOOKUP(C117,parametros!$B:$F,5,0),"")</f>
        <v/>
      </c>
      <c r="J117" s="105" t="str">
        <f>IF(OR(L117="",F117=""),"",ROUND(L117*IF(AND(UPPER(H117)="SIM",ISNUMBER(IF($C117="C0",IFERROR(VLOOKUP($A117,historico_VU!$A:$G,3,0),""),IF($C117="C1",IFERROR(VLOOKUP($A117,historico_VU!$A:$G,4,0),""),IF($C117="C2",IFERROR(VLOOKUP($A117,historico_VU!$A:$G,5,0),""),IF($C117="C3",IFERROR(VLOOKUP($A117,historico_VU!$A:$G,6,0),""),IF($C117="C4",IFERROR(VLOOKUP($A117,historico_VU!$A:$G,7,0),""),""))))))),IF($C117="C0",IFERROR(VLOOKUP($A117,historico_VU!$A:$G,3,0),""),IF($C117="C1",IFERROR(VLOOKUP($A117,historico_VU!$A:$G,4,0),""),IF($C117="C2",IFERROR(VLOOKUP($A117,historico_VU!$A:$G,5,0),""),IF($C117="C3",IFERROR(VLOOKUP($A117,historico_VU!$A:$G,6,0),""),IF($C117="C4",IFERROR(VLOOKUP($A117,historico_VU!$A:$G,7,0),""),""))))),F117),2))</f>
        <v/>
      </c>
      <c r="K117" s="103"/>
      <c r="L117" s="85" t="str">
        <f t="shared" si="7"/>
        <v/>
      </c>
      <c r="M117" s="203" t="str">
        <f>IF(A117="","",IF(COUNTIF(itens_Remanesc!$A$2:$A$200,A117)=0,"NOVO ITEM NAO CADASTRADO - CADASTRAR EM itens_Remanesc: ITEM + VU_ORIGINAL (QTD_BASE_ORIGINAL sera 0 automaticamente); depois a data e a quantidade aqui.",IF(COUNTIF(itens_Remanesc!$A$2:$A$200,A117)&gt;1,"ALERTA: ITEM_DUPLICADO",IF(OR(C117="",C117="Fora dos ciclos"),"ALERTA: CICLO_INVALIDO",IF(NOT(ISNUMBER(E117)),"ALERTA: QTD_INVALIDA",IF(AND(LEFT(UPPER(D117),3)&lt;&gt;"ACR",LEFT(UPPER(D117),4)&lt;&gt;"SUPR",LEFT(UPPER(D117),4)&lt;&gt;"DECR"),"ALERTA: TIPO_INVALIDO","OK"))))))</f>
        <v/>
      </c>
    </row>
    <row r="118" spans="1:13" ht="45" customHeight="1" x14ac:dyDescent="0.35">
      <c r="A118" s="103"/>
      <c r="B118" s="186"/>
      <c r="C118" s="99" t="str">
        <f>IF(B118="","",IFERROR(IF(NOT(ISNUMBER(parametros!$C$2)),"Fora dos ciclos",IF(OR(B118&lt;parametros!$C$2,(YEAR(B118)-YEAR(parametros!$C$2))*12+MONTH(B118)-MONTH(parametros!$C$2)&gt;59),"Fora dos ciclos","C"&amp;INT(((YEAR(B118)-YEAR(parametros!$C$2))*12+MONTH(B118)-MONTH(parametros!$C$2))/12))),"Fora dos ciclos"))</f>
        <v/>
      </c>
      <c r="D118" s="103"/>
      <c r="E118" s="104"/>
      <c r="F118" s="105" t="str">
        <f>IF(A118="","",IFERROR(VLOOKUP(A118,itens_Remanesc!$A:$C,3,0),""))</f>
        <v/>
      </c>
      <c r="G118" s="105" t="str">
        <f t="shared" si="6"/>
        <v/>
      </c>
      <c r="H118" s="103"/>
      <c r="I118" s="64" t="str">
        <f>IFERROR(VLOOKUP(C118,parametros!$B:$F,5,0),"")</f>
        <v/>
      </c>
      <c r="J118" s="105" t="str">
        <f>IF(OR(L118="",F118=""),"",ROUND(L118*IF(AND(UPPER(H118)="SIM",ISNUMBER(IF($C118="C0",IFERROR(VLOOKUP($A118,historico_VU!$A:$G,3,0),""),IF($C118="C1",IFERROR(VLOOKUP($A118,historico_VU!$A:$G,4,0),""),IF($C118="C2",IFERROR(VLOOKUP($A118,historico_VU!$A:$G,5,0),""),IF($C118="C3",IFERROR(VLOOKUP($A118,historico_VU!$A:$G,6,0),""),IF($C118="C4",IFERROR(VLOOKUP($A118,historico_VU!$A:$G,7,0),""),""))))))),IF($C118="C0",IFERROR(VLOOKUP($A118,historico_VU!$A:$G,3,0),""),IF($C118="C1",IFERROR(VLOOKUP($A118,historico_VU!$A:$G,4,0),""),IF($C118="C2",IFERROR(VLOOKUP($A118,historico_VU!$A:$G,5,0),""),IF($C118="C3",IFERROR(VLOOKUP($A118,historico_VU!$A:$G,6,0),""),IF($C118="C4",IFERROR(VLOOKUP($A118,historico_VU!$A:$G,7,0),""),""))))),F118),2))</f>
        <v/>
      </c>
      <c r="K118" s="103"/>
      <c r="L118" s="85" t="str">
        <f t="shared" si="7"/>
        <v/>
      </c>
      <c r="M118" s="203" t="str">
        <f>IF(A118="","",IF(COUNTIF(itens_Remanesc!$A$2:$A$200,A118)=0,"NOVO ITEM NAO CADASTRADO - CADASTRAR EM itens_Remanesc: ITEM + VU_ORIGINAL (QTD_BASE_ORIGINAL sera 0 automaticamente); depois a data e a quantidade aqui.",IF(COUNTIF(itens_Remanesc!$A$2:$A$200,A118)&gt;1,"ALERTA: ITEM_DUPLICADO",IF(OR(C118="",C118="Fora dos ciclos"),"ALERTA: CICLO_INVALIDO",IF(NOT(ISNUMBER(E118)),"ALERTA: QTD_INVALIDA",IF(AND(LEFT(UPPER(D118),3)&lt;&gt;"ACR",LEFT(UPPER(D118),4)&lt;&gt;"SUPR",LEFT(UPPER(D118),4)&lt;&gt;"DECR"),"ALERTA: TIPO_INVALIDO","OK"))))))</f>
        <v/>
      </c>
    </row>
    <row r="119" spans="1:13" ht="45" customHeight="1" x14ac:dyDescent="0.35">
      <c r="A119" s="103"/>
      <c r="B119" s="186"/>
      <c r="C119" s="99" t="str">
        <f>IF(B119="","",IFERROR(IF(NOT(ISNUMBER(parametros!$C$2)),"Fora dos ciclos",IF(OR(B119&lt;parametros!$C$2,(YEAR(B119)-YEAR(parametros!$C$2))*12+MONTH(B119)-MONTH(parametros!$C$2)&gt;59),"Fora dos ciclos","C"&amp;INT(((YEAR(B119)-YEAR(parametros!$C$2))*12+MONTH(B119)-MONTH(parametros!$C$2))/12))),"Fora dos ciclos"))</f>
        <v/>
      </c>
      <c r="D119" s="103"/>
      <c r="E119" s="104"/>
      <c r="F119" s="105" t="str">
        <f>IF(A119="","",IFERROR(VLOOKUP(A119,itens_Remanesc!$A:$C,3,0),""))</f>
        <v/>
      </c>
      <c r="G119" s="105" t="str">
        <f t="shared" si="6"/>
        <v/>
      </c>
      <c r="H119" s="103"/>
      <c r="I119" s="64" t="str">
        <f>IFERROR(VLOOKUP(C119,parametros!$B:$F,5,0),"")</f>
        <v/>
      </c>
      <c r="J119" s="105" t="str">
        <f>IF(OR(L119="",F119=""),"",ROUND(L119*IF(AND(UPPER(H119)="SIM",ISNUMBER(IF($C119="C0",IFERROR(VLOOKUP($A119,historico_VU!$A:$G,3,0),""),IF($C119="C1",IFERROR(VLOOKUP($A119,historico_VU!$A:$G,4,0),""),IF($C119="C2",IFERROR(VLOOKUP($A119,historico_VU!$A:$G,5,0),""),IF($C119="C3",IFERROR(VLOOKUP($A119,historico_VU!$A:$G,6,0),""),IF($C119="C4",IFERROR(VLOOKUP($A119,historico_VU!$A:$G,7,0),""),""))))))),IF($C119="C0",IFERROR(VLOOKUP($A119,historico_VU!$A:$G,3,0),""),IF($C119="C1",IFERROR(VLOOKUP($A119,historico_VU!$A:$G,4,0),""),IF($C119="C2",IFERROR(VLOOKUP($A119,historico_VU!$A:$G,5,0),""),IF($C119="C3",IFERROR(VLOOKUP($A119,historico_VU!$A:$G,6,0),""),IF($C119="C4",IFERROR(VLOOKUP($A119,historico_VU!$A:$G,7,0),""),""))))),F119),2))</f>
        <v/>
      </c>
      <c r="K119" s="103"/>
      <c r="L119" s="85" t="str">
        <f t="shared" si="7"/>
        <v/>
      </c>
      <c r="M119" s="203" t="str">
        <f>IF(A119="","",IF(COUNTIF(itens_Remanesc!$A$2:$A$200,A119)=0,"NOVO ITEM NAO CADASTRADO - CADASTRAR EM itens_Remanesc: ITEM + VU_ORIGINAL (QTD_BASE_ORIGINAL sera 0 automaticamente); depois a data e a quantidade aqui.",IF(COUNTIF(itens_Remanesc!$A$2:$A$200,A119)&gt;1,"ALERTA: ITEM_DUPLICADO",IF(OR(C119="",C119="Fora dos ciclos"),"ALERTA: CICLO_INVALIDO",IF(NOT(ISNUMBER(E119)),"ALERTA: QTD_INVALIDA",IF(AND(LEFT(UPPER(D119),3)&lt;&gt;"ACR",LEFT(UPPER(D119),4)&lt;&gt;"SUPR",LEFT(UPPER(D119),4)&lt;&gt;"DECR"),"ALERTA: TIPO_INVALIDO","OK"))))))</f>
        <v/>
      </c>
    </row>
    <row r="120" spans="1:13" ht="45" customHeight="1" x14ac:dyDescent="0.35">
      <c r="A120" s="103"/>
      <c r="B120" s="186"/>
      <c r="C120" s="99" t="str">
        <f>IF(B120="","",IFERROR(IF(NOT(ISNUMBER(parametros!$C$2)),"Fora dos ciclos",IF(OR(B120&lt;parametros!$C$2,(YEAR(B120)-YEAR(parametros!$C$2))*12+MONTH(B120)-MONTH(parametros!$C$2)&gt;59),"Fora dos ciclos","C"&amp;INT(((YEAR(B120)-YEAR(parametros!$C$2))*12+MONTH(B120)-MONTH(parametros!$C$2))/12))),"Fora dos ciclos"))</f>
        <v/>
      </c>
      <c r="D120" s="103"/>
      <c r="E120" s="104"/>
      <c r="F120" s="105" t="str">
        <f>IF(A120="","",IFERROR(VLOOKUP(A120,itens_Remanesc!$A:$C,3,0),""))</f>
        <v/>
      </c>
      <c r="G120" s="105" t="str">
        <f t="shared" si="6"/>
        <v/>
      </c>
      <c r="H120" s="103"/>
      <c r="I120" s="64" t="str">
        <f>IFERROR(VLOOKUP(C120,parametros!$B:$F,5,0),"")</f>
        <v/>
      </c>
      <c r="J120" s="105" t="str">
        <f>IF(OR(L120="",F120=""),"",ROUND(L120*IF(AND(UPPER(H120)="SIM",ISNUMBER(IF($C120="C0",IFERROR(VLOOKUP($A120,historico_VU!$A:$G,3,0),""),IF($C120="C1",IFERROR(VLOOKUP($A120,historico_VU!$A:$G,4,0),""),IF($C120="C2",IFERROR(VLOOKUP($A120,historico_VU!$A:$G,5,0),""),IF($C120="C3",IFERROR(VLOOKUP($A120,historico_VU!$A:$G,6,0),""),IF($C120="C4",IFERROR(VLOOKUP($A120,historico_VU!$A:$G,7,0),""),""))))))),IF($C120="C0",IFERROR(VLOOKUP($A120,historico_VU!$A:$G,3,0),""),IF($C120="C1",IFERROR(VLOOKUP($A120,historico_VU!$A:$G,4,0),""),IF($C120="C2",IFERROR(VLOOKUP($A120,historico_VU!$A:$G,5,0),""),IF($C120="C3",IFERROR(VLOOKUP($A120,historico_VU!$A:$G,6,0),""),IF($C120="C4",IFERROR(VLOOKUP($A120,historico_VU!$A:$G,7,0),""),""))))),F120),2))</f>
        <v/>
      </c>
      <c r="K120" s="103"/>
      <c r="L120" s="85" t="str">
        <f t="shared" si="7"/>
        <v/>
      </c>
      <c r="M120" s="203" t="str">
        <f>IF(A120="","",IF(COUNTIF(itens_Remanesc!$A$2:$A$200,A120)=0,"NOVO ITEM NAO CADASTRADO - CADASTRAR EM itens_Remanesc: ITEM + VU_ORIGINAL (QTD_BASE_ORIGINAL sera 0 automaticamente); depois a data e a quantidade aqui.",IF(COUNTIF(itens_Remanesc!$A$2:$A$200,A120)&gt;1,"ALERTA: ITEM_DUPLICADO",IF(OR(C120="",C120="Fora dos ciclos"),"ALERTA: CICLO_INVALIDO",IF(NOT(ISNUMBER(E120)),"ALERTA: QTD_INVALIDA",IF(AND(LEFT(UPPER(D120),3)&lt;&gt;"ACR",LEFT(UPPER(D120),4)&lt;&gt;"SUPR",LEFT(UPPER(D120),4)&lt;&gt;"DECR"),"ALERTA: TIPO_INVALIDO","OK"))))))</f>
        <v/>
      </c>
    </row>
    <row r="121" spans="1:13" ht="45" customHeight="1" x14ac:dyDescent="0.35">
      <c r="A121" s="103"/>
      <c r="B121" s="186"/>
      <c r="C121" s="99" t="str">
        <f>IF(B121="","",IFERROR(IF(NOT(ISNUMBER(parametros!$C$2)),"Fora dos ciclos",IF(OR(B121&lt;parametros!$C$2,(YEAR(B121)-YEAR(parametros!$C$2))*12+MONTH(B121)-MONTH(parametros!$C$2)&gt;59),"Fora dos ciclos","C"&amp;INT(((YEAR(B121)-YEAR(parametros!$C$2))*12+MONTH(B121)-MONTH(parametros!$C$2))/12))),"Fora dos ciclos"))</f>
        <v/>
      </c>
      <c r="D121" s="103"/>
      <c r="E121" s="104"/>
      <c r="F121" s="105" t="str">
        <f>IF(A121="","",IFERROR(VLOOKUP(A121,itens_Remanesc!$A:$C,3,0),""))</f>
        <v/>
      </c>
      <c r="G121" s="105" t="str">
        <f t="shared" si="6"/>
        <v/>
      </c>
      <c r="H121" s="103"/>
      <c r="I121" s="64" t="str">
        <f>IFERROR(VLOOKUP(C121,parametros!$B:$F,5,0),"")</f>
        <v/>
      </c>
      <c r="J121" s="105" t="str">
        <f>IF(OR(L121="",F121=""),"",ROUND(L121*IF(AND(UPPER(H121)="SIM",ISNUMBER(IF($C121="C0",IFERROR(VLOOKUP($A121,historico_VU!$A:$G,3,0),""),IF($C121="C1",IFERROR(VLOOKUP($A121,historico_VU!$A:$G,4,0),""),IF($C121="C2",IFERROR(VLOOKUP($A121,historico_VU!$A:$G,5,0),""),IF($C121="C3",IFERROR(VLOOKUP($A121,historico_VU!$A:$G,6,0),""),IF($C121="C4",IFERROR(VLOOKUP($A121,historico_VU!$A:$G,7,0),""),""))))))),IF($C121="C0",IFERROR(VLOOKUP($A121,historico_VU!$A:$G,3,0),""),IF($C121="C1",IFERROR(VLOOKUP($A121,historico_VU!$A:$G,4,0),""),IF($C121="C2",IFERROR(VLOOKUP($A121,historico_VU!$A:$G,5,0),""),IF($C121="C3",IFERROR(VLOOKUP($A121,historico_VU!$A:$G,6,0),""),IF($C121="C4",IFERROR(VLOOKUP($A121,historico_VU!$A:$G,7,0),""),""))))),F121),2))</f>
        <v/>
      </c>
      <c r="K121" s="103"/>
      <c r="L121" s="85" t="str">
        <f t="shared" si="7"/>
        <v/>
      </c>
      <c r="M121" s="203" t="str">
        <f>IF(A121="","",IF(COUNTIF(itens_Remanesc!$A$2:$A$200,A121)=0,"NOVO ITEM NAO CADASTRADO - CADASTRAR EM itens_Remanesc: ITEM + VU_ORIGINAL (QTD_BASE_ORIGINAL sera 0 automaticamente); depois a data e a quantidade aqui.",IF(COUNTIF(itens_Remanesc!$A$2:$A$200,A121)&gt;1,"ALERTA: ITEM_DUPLICADO",IF(OR(C121="",C121="Fora dos ciclos"),"ALERTA: CICLO_INVALIDO",IF(NOT(ISNUMBER(E121)),"ALERTA: QTD_INVALIDA",IF(AND(LEFT(UPPER(D121),3)&lt;&gt;"ACR",LEFT(UPPER(D121),4)&lt;&gt;"SUPR",LEFT(UPPER(D121),4)&lt;&gt;"DECR"),"ALERTA: TIPO_INVALIDO","OK"))))))</f>
        <v/>
      </c>
    </row>
    <row r="122" spans="1:13" ht="45" customHeight="1" x14ac:dyDescent="0.35">
      <c r="A122" s="103"/>
      <c r="B122" s="186"/>
      <c r="C122" s="99" t="str">
        <f>IF(B122="","",IFERROR(IF(NOT(ISNUMBER(parametros!$C$2)),"Fora dos ciclos",IF(OR(B122&lt;parametros!$C$2,(YEAR(B122)-YEAR(parametros!$C$2))*12+MONTH(B122)-MONTH(parametros!$C$2)&gt;59),"Fora dos ciclos","C"&amp;INT(((YEAR(B122)-YEAR(parametros!$C$2))*12+MONTH(B122)-MONTH(parametros!$C$2))/12))),"Fora dos ciclos"))</f>
        <v/>
      </c>
      <c r="D122" s="103"/>
      <c r="E122" s="104"/>
      <c r="F122" s="105" t="str">
        <f>IF(A122="","",IFERROR(VLOOKUP(A122,itens_Remanesc!$A:$C,3,0),""))</f>
        <v/>
      </c>
      <c r="G122" s="105" t="str">
        <f t="shared" si="6"/>
        <v/>
      </c>
      <c r="H122" s="103"/>
      <c r="I122" s="64" t="str">
        <f>IFERROR(VLOOKUP(C122,parametros!$B:$F,5,0),"")</f>
        <v/>
      </c>
      <c r="J122" s="105" t="str">
        <f>IF(OR(L122="",F122=""),"",ROUND(L122*IF(AND(UPPER(H122)="SIM",ISNUMBER(IF($C122="C0",IFERROR(VLOOKUP($A122,historico_VU!$A:$G,3,0),""),IF($C122="C1",IFERROR(VLOOKUP($A122,historico_VU!$A:$G,4,0),""),IF($C122="C2",IFERROR(VLOOKUP($A122,historico_VU!$A:$G,5,0),""),IF($C122="C3",IFERROR(VLOOKUP($A122,historico_VU!$A:$G,6,0),""),IF($C122="C4",IFERROR(VLOOKUP($A122,historico_VU!$A:$G,7,0),""),""))))))),IF($C122="C0",IFERROR(VLOOKUP($A122,historico_VU!$A:$G,3,0),""),IF($C122="C1",IFERROR(VLOOKUP($A122,historico_VU!$A:$G,4,0),""),IF($C122="C2",IFERROR(VLOOKUP($A122,historico_VU!$A:$G,5,0),""),IF($C122="C3",IFERROR(VLOOKUP($A122,historico_VU!$A:$G,6,0),""),IF($C122="C4",IFERROR(VLOOKUP($A122,historico_VU!$A:$G,7,0),""),""))))),F122),2))</f>
        <v/>
      </c>
      <c r="K122" s="103"/>
      <c r="L122" s="85" t="str">
        <f t="shared" si="7"/>
        <v/>
      </c>
      <c r="M122" s="203" t="str">
        <f>IF(A122="","",IF(COUNTIF(itens_Remanesc!$A$2:$A$200,A122)=0,"NOVO ITEM NAO CADASTRADO - CADASTRAR EM itens_Remanesc: ITEM + VU_ORIGINAL (QTD_BASE_ORIGINAL sera 0 automaticamente); depois a data e a quantidade aqui.",IF(COUNTIF(itens_Remanesc!$A$2:$A$200,A122)&gt;1,"ALERTA: ITEM_DUPLICADO",IF(OR(C122="",C122="Fora dos ciclos"),"ALERTA: CICLO_INVALIDO",IF(NOT(ISNUMBER(E122)),"ALERTA: QTD_INVALIDA",IF(AND(LEFT(UPPER(D122),3)&lt;&gt;"ACR",LEFT(UPPER(D122),4)&lt;&gt;"SUPR",LEFT(UPPER(D122),4)&lt;&gt;"DECR"),"ALERTA: TIPO_INVALIDO","OK"))))))</f>
        <v/>
      </c>
    </row>
    <row r="123" spans="1:13" ht="45" customHeight="1" x14ac:dyDescent="0.35">
      <c r="A123" s="103"/>
      <c r="B123" s="186"/>
      <c r="C123" s="99" t="str">
        <f>IF(B123="","",IFERROR(IF(NOT(ISNUMBER(parametros!$C$2)),"Fora dos ciclos",IF(OR(B123&lt;parametros!$C$2,(YEAR(B123)-YEAR(parametros!$C$2))*12+MONTH(B123)-MONTH(parametros!$C$2)&gt;59),"Fora dos ciclos","C"&amp;INT(((YEAR(B123)-YEAR(parametros!$C$2))*12+MONTH(B123)-MONTH(parametros!$C$2))/12))),"Fora dos ciclos"))</f>
        <v/>
      </c>
      <c r="D123" s="103"/>
      <c r="E123" s="104"/>
      <c r="F123" s="105" t="str">
        <f>IF(A123="","",IFERROR(VLOOKUP(A123,itens_Remanesc!$A:$C,3,0),""))</f>
        <v/>
      </c>
      <c r="G123" s="105" t="str">
        <f t="shared" si="6"/>
        <v/>
      </c>
      <c r="H123" s="103"/>
      <c r="I123" s="64" t="str">
        <f>IFERROR(VLOOKUP(C123,parametros!$B:$F,5,0),"")</f>
        <v/>
      </c>
      <c r="J123" s="105" t="str">
        <f>IF(OR(L123="",F123=""),"",ROUND(L123*IF(AND(UPPER(H123)="SIM",ISNUMBER(IF($C123="C0",IFERROR(VLOOKUP($A123,historico_VU!$A:$G,3,0),""),IF($C123="C1",IFERROR(VLOOKUP($A123,historico_VU!$A:$G,4,0),""),IF($C123="C2",IFERROR(VLOOKUP($A123,historico_VU!$A:$G,5,0),""),IF($C123="C3",IFERROR(VLOOKUP($A123,historico_VU!$A:$G,6,0),""),IF($C123="C4",IFERROR(VLOOKUP($A123,historico_VU!$A:$G,7,0),""),""))))))),IF($C123="C0",IFERROR(VLOOKUP($A123,historico_VU!$A:$G,3,0),""),IF($C123="C1",IFERROR(VLOOKUP($A123,historico_VU!$A:$G,4,0),""),IF($C123="C2",IFERROR(VLOOKUP($A123,historico_VU!$A:$G,5,0),""),IF($C123="C3",IFERROR(VLOOKUP($A123,historico_VU!$A:$G,6,0),""),IF($C123="C4",IFERROR(VLOOKUP($A123,historico_VU!$A:$G,7,0),""),""))))),F123),2))</f>
        <v/>
      </c>
      <c r="K123" s="103"/>
      <c r="L123" s="85" t="str">
        <f t="shared" si="7"/>
        <v/>
      </c>
      <c r="M123" s="203" t="str">
        <f>IF(A123="","",IF(COUNTIF(itens_Remanesc!$A$2:$A$200,A123)=0,"NOVO ITEM NAO CADASTRADO - CADASTRAR EM itens_Remanesc: ITEM + VU_ORIGINAL (QTD_BASE_ORIGINAL sera 0 automaticamente); depois a data e a quantidade aqui.",IF(COUNTIF(itens_Remanesc!$A$2:$A$200,A123)&gt;1,"ALERTA: ITEM_DUPLICADO",IF(OR(C123="",C123="Fora dos ciclos"),"ALERTA: CICLO_INVALIDO",IF(NOT(ISNUMBER(E123)),"ALERTA: QTD_INVALIDA",IF(AND(LEFT(UPPER(D123),3)&lt;&gt;"ACR",LEFT(UPPER(D123),4)&lt;&gt;"SUPR",LEFT(UPPER(D123),4)&lt;&gt;"DECR"),"ALERTA: TIPO_INVALIDO","OK"))))))</f>
        <v/>
      </c>
    </row>
    <row r="124" spans="1:13" ht="45" customHeight="1" x14ac:dyDescent="0.35">
      <c r="A124" s="103"/>
      <c r="B124" s="186"/>
      <c r="C124" s="99" t="str">
        <f>IF(B124="","",IFERROR(IF(NOT(ISNUMBER(parametros!$C$2)),"Fora dos ciclos",IF(OR(B124&lt;parametros!$C$2,(YEAR(B124)-YEAR(parametros!$C$2))*12+MONTH(B124)-MONTH(parametros!$C$2)&gt;59),"Fora dos ciclos","C"&amp;INT(((YEAR(B124)-YEAR(parametros!$C$2))*12+MONTH(B124)-MONTH(parametros!$C$2))/12))),"Fora dos ciclos"))</f>
        <v/>
      </c>
      <c r="D124" s="103"/>
      <c r="E124" s="104"/>
      <c r="F124" s="105" t="str">
        <f>IF(A124="","",IFERROR(VLOOKUP(A124,itens_Remanesc!$A:$C,3,0),""))</f>
        <v/>
      </c>
      <c r="G124" s="105" t="str">
        <f t="shared" si="6"/>
        <v/>
      </c>
      <c r="H124" s="103"/>
      <c r="I124" s="64" t="str">
        <f>IFERROR(VLOOKUP(C124,parametros!$B:$F,5,0),"")</f>
        <v/>
      </c>
      <c r="J124" s="105" t="str">
        <f>IF(OR(L124="",F124=""),"",ROUND(L124*IF(AND(UPPER(H124)="SIM",ISNUMBER(IF($C124="C0",IFERROR(VLOOKUP($A124,historico_VU!$A:$G,3,0),""),IF($C124="C1",IFERROR(VLOOKUP($A124,historico_VU!$A:$G,4,0),""),IF($C124="C2",IFERROR(VLOOKUP($A124,historico_VU!$A:$G,5,0),""),IF($C124="C3",IFERROR(VLOOKUP($A124,historico_VU!$A:$G,6,0),""),IF($C124="C4",IFERROR(VLOOKUP($A124,historico_VU!$A:$G,7,0),""),""))))))),IF($C124="C0",IFERROR(VLOOKUP($A124,historico_VU!$A:$G,3,0),""),IF($C124="C1",IFERROR(VLOOKUP($A124,historico_VU!$A:$G,4,0),""),IF($C124="C2",IFERROR(VLOOKUP($A124,historico_VU!$A:$G,5,0),""),IF($C124="C3",IFERROR(VLOOKUP($A124,historico_VU!$A:$G,6,0),""),IF($C124="C4",IFERROR(VLOOKUP($A124,historico_VU!$A:$G,7,0),""),""))))),F124),2))</f>
        <v/>
      </c>
      <c r="K124" s="103"/>
      <c r="L124" s="85" t="str">
        <f t="shared" si="7"/>
        <v/>
      </c>
      <c r="M124" s="203" t="str">
        <f>IF(A124="","",IF(COUNTIF(itens_Remanesc!$A$2:$A$200,A124)=0,"NOVO ITEM NAO CADASTRADO - CADASTRAR EM itens_Remanesc: ITEM + VU_ORIGINAL (QTD_BASE_ORIGINAL sera 0 automaticamente); depois a data e a quantidade aqui.",IF(COUNTIF(itens_Remanesc!$A$2:$A$200,A124)&gt;1,"ALERTA: ITEM_DUPLICADO",IF(OR(C124="",C124="Fora dos ciclos"),"ALERTA: CICLO_INVALIDO",IF(NOT(ISNUMBER(E124)),"ALERTA: QTD_INVALIDA",IF(AND(LEFT(UPPER(D124),3)&lt;&gt;"ACR",LEFT(UPPER(D124),4)&lt;&gt;"SUPR",LEFT(UPPER(D124),4)&lt;&gt;"DECR"),"ALERTA: TIPO_INVALIDO","OK"))))))</f>
        <v/>
      </c>
    </row>
    <row r="125" spans="1:13" ht="45" customHeight="1" x14ac:dyDescent="0.35">
      <c r="A125" s="103"/>
      <c r="B125" s="186"/>
      <c r="C125" s="99" t="str">
        <f>IF(B125="","",IFERROR(IF(NOT(ISNUMBER(parametros!$C$2)),"Fora dos ciclos",IF(OR(B125&lt;parametros!$C$2,(YEAR(B125)-YEAR(parametros!$C$2))*12+MONTH(B125)-MONTH(parametros!$C$2)&gt;59),"Fora dos ciclos","C"&amp;INT(((YEAR(B125)-YEAR(parametros!$C$2))*12+MONTH(B125)-MONTH(parametros!$C$2))/12))),"Fora dos ciclos"))</f>
        <v/>
      </c>
      <c r="D125" s="103"/>
      <c r="E125" s="104"/>
      <c r="F125" s="105" t="str">
        <f>IF(A125="","",IFERROR(VLOOKUP(A125,itens_Remanesc!$A:$C,3,0),""))</f>
        <v/>
      </c>
      <c r="G125" s="105" t="str">
        <f t="shared" si="6"/>
        <v/>
      </c>
      <c r="H125" s="103"/>
      <c r="I125" s="64" t="str">
        <f>IFERROR(VLOOKUP(C125,parametros!$B:$F,5,0),"")</f>
        <v/>
      </c>
      <c r="J125" s="105" t="str">
        <f>IF(OR(L125="",F125=""),"",ROUND(L125*IF(AND(UPPER(H125)="SIM",ISNUMBER(IF($C125="C0",IFERROR(VLOOKUP($A125,historico_VU!$A:$G,3,0),""),IF($C125="C1",IFERROR(VLOOKUP($A125,historico_VU!$A:$G,4,0),""),IF($C125="C2",IFERROR(VLOOKUP($A125,historico_VU!$A:$G,5,0),""),IF($C125="C3",IFERROR(VLOOKUP($A125,historico_VU!$A:$G,6,0),""),IF($C125="C4",IFERROR(VLOOKUP($A125,historico_VU!$A:$G,7,0),""),""))))))),IF($C125="C0",IFERROR(VLOOKUP($A125,historico_VU!$A:$G,3,0),""),IF($C125="C1",IFERROR(VLOOKUP($A125,historico_VU!$A:$G,4,0),""),IF($C125="C2",IFERROR(VLOOKUP($A125,historico_VU!$A:$G,5,0),""),IF($C125="C3",IFERROR(VLOOKUP($A125,historico_VU!$A:$G,6,0),""),IF($C125="C4",IFERROR(VLOOKUP($A125,historico_VU!$A:$G,7,0),""),""))))),F125),2))</f>
        <v/>
      </c>
      <c r="K125" s="103"/>
      <c r="L125" s="85" t="str">
        <f t="shared" si="7"/>
        <v/>
      </c>
      <c r="M125" s="203" t="str">
        <f>IF(A125="","",IF(COUNTIF(itens_Remanesc!$A$2:$A$200,A125)=0,"NOVO ITEM NAO CADASTRADO - CADASTRAR EM itens_Remanesc: ITEM + VU_ORIGINAL (QTD_BASE_ORIGINAL sera 0 automaticamente); depois a data e a quantidade aqui.",IF(COUNTIF(itens_Remanesc!$A$2:$A$200,A125)&gt;1,"ALERTA: ITEM_DUPLICADO",IF(OR(C125="",C125="Fora dos ciclos"),"ALERTA: CICLO_INVALIDO",IF(NOT(ISNUMBER(E125)),"ALERTA: QTD_INVALIDA",IF(AND(LEFT(UPPER(D125),3)&lt;&gt;"ACR",LEFT(UPPER(D125),4)&lt;&gt;"SUPR",LEFT(UPPER(D125),4)&lt;&gt;"DECR"),"ALERTA: TIPO_INVALIDO","OK"))))))</f>
        <v/>
      </c>
    </row>
    <row r="126" spans="1:13" ht="45" customHeight="1" x14ac:dyDescent="0.35">
      <c r="A126" s="103"/>
      <c r="B126" s="186"/>
      <c r="C126" s="99" t="str">
        <f>IF(B126="","",IFERROR(IF(NOT(ISNUMBER(parametros!$C$2)),"Fora dos ciclos",IF(OR(B126&lt;parametros!$C$2,(YEAR(B126)-YEAR(parametros!$C$2))*12+MONTH(B126)-MONTH(parametros!$C$2)&gt;59),"Fora dos ciclos","C"&amp;INT(((YEAR(B126)-YEAR(parametros!$C$2))*12+MONTH(B126)-MONTH(parametros!$C$2))/12))),"Fora dos ciclos"))</f>
        <v/>
      </c>
      <c r="D126" s="103"/>
      <c r="E126" s="104"/>
      <c r="F126" s="105" t="str">
        <f>IF(A126="","",IFERROR(VLOOKUP(A126,itens_Remanesc!$A:$C,3,0),""))</f>
        <v/>
      </c>
      <c r="G126" s="105" t="str">
        <f t="shared" si="6"/>
        <v/>
      </c>
      <c r="H126" s="103"/>
      <c r="I126" s="64" t="str">
        <f>IFERROR(VLOOKUP(C126,parametros!$B:$F,5,0),"")</f>
        <v/>
      </c>
      <c r="J126" s="105" t="str">
        <f>IF(OR(L126="",F126=""),"",ROUND(L126*IF(AND(UPPER(H126)="SIM",ISNUMBER(IF($C126="C0",IFERROR(VLOOKUP($A126,historico_VU!$A:$G,3,0),""),IF($C126="C1",IFERROR(VLOOKUP($A126,historico_VU!$A:$G,4,0),""),IF($C126="C2",IFERROR(VLOOKUP($A126,historico_VU!$A:$G,5,0),""),IF($C126="C3",IFERROR(VLOOKUP($A126,historico_VU!$A:$G,6,0),""),IF($C126="C4",IFERROR(VLOOKUP($A126,historico_VU!$A:$G,7,0),""),""))))))),IF($C126="C0",IFERROR(VLOOKUP($A126,historico_VU!$A:$G,3,0),""),IF($C126="C1",IFERROR(VLOOKUP($A126,historico_VU!$A:$G,4,0),""),IF($C126="C2",IFERROR(VLOOKUP($A126,historico_VU!$A:$G,5,0),""),IF($C126="C3",IFERROR(VLOOKUP($A126,historico_VU!$A:$G,6,0),""),IF($C126="C4",IFERROR(VLOOKUP($A126,historico_VU!$A:$G,7,0),""),""))))),F126),2))</f>
        <v/>
      </c>
      <c r="K126" s="103"/>
      <c r="L126" s="85" t="str">
        <f t="shared" si="7"/>
        <v/>
      </c>
      <c r="M126" s="203" t="str">
        <f>IF(A126="","",IF(COUNTIF(itens_Remanesc!$A$2:$A$200,A126)=0,"NOVO ITEM NAO CADASTRADO - CADASTRAR EM itens_Remanesc: ITEM + VU_ORIGINAL (QTD_BASE_ORIGINAL sera 0 automaticamente); depois a data e a quantidade aqui.",IF(COUNTIF(itens_Remanesc!$A$2:$A$200,A126)&gt;1,"ALERTA: ITEM_DUPLICADO",IF(OR(C126="",C126="Fora dos ciclos"),"ALERTA: CICLO_INVALIDO",IF(NOT(ISNUMBER(E126)),"ALERTA: QTD_INVALIDA",IF(AND(LEFT(UPPER(D126),3)&lt;&gt;"ACR",LEFT(UPPER(D126),4)&lt;&gt;"SUPR",LEFT(UPPER(D126),4)&lt;&gt;"DECR"),"ALERTA: TIPO_INVALIDO","OK"))))))</f>
        <v/>
      </c>
    </row>
    <row r="127" spans="1:13" ht="45" customHeight="1" x14ac:dyDescent="0.35">
      <c r="A127" s="103"/>
      <c r="B127" s="186"/>
      <c r="C127" s="99" t="str">
        <f>IF(B127="","",IFERROR(IF(NOT(ISNUMBER(parametros!$C$2)),"Fora dos ciclos",IF(OR(B127&lt;parametros!$C$2,(YEAR(B127)-YEAR(parametros!$C$2))*12+MONTH(B127)-MONTH(parametros!$C$2)&gt;59),"Fora dos ciclos","C"&amp;INT(((YEAR(B127)-YEAR(parametros!$C$2))*12+MONTH(B127)-MONTH(parametros!$C$2))/12))),"Fora dos ciclos"))</f>
        <v/>
      </c>
      <c r="D127" s="103"/>
      <c r="E127" s="104"/>
      <c r="F127" s="105" t="str">
        <f>IF(A127="","",IFERROR(VLOOKUP(A127,itens_Remanesc!$A:$C,3,0),""))</f>
        <v/>
      </c>
      <c r="G127" s="105" t="str">
        <f t="shared" si="6"/>
        <v/>
      </c>
      <c r="H127" s="103"/>
      <c r="I127" s="64" t="str">
        <f>IFERROR(VLOOKUP(C127,parametros!$B:$F,5,0),"")</f>
        <v/>
      </c>
      <c r="J127" s="105" t="str">
        <f>IF(OR(L127="",F127=""),"",ROUND(L127*IF(AND(UPPER(H127)="SIM",ISNUMBER(IF($C127="C0",IFERROR(VLOOKUP($A127,historico_VU!$A:$G,3,0),""),IF($C127="C1",IFERROR(VLOOKUP($A127,historico_VU!$A:$G,4,0),""),IF($C127="C2",IFERROR(VLOOKUP($A127,historico_VU!$A:$G,5,0),""),IF($C127="C3",IFERROR(VLOOKUP($A127,historico_VU!$A:$G,6,0),""),IF($C127="C4",IFERROR(VLOOKUP($A127,historico_VU!$A:$G,7,0),""),""))))))),IF($C127="C0",IFERROR(VLOOKUP($A127,historico_VU!$A:$G,3,0),""),IF($C127="C1",IFERROR(VLOOKUP($A127,historico_VU!$A:$G,4,0),""),IF($C127="C2",IFERROR(VLOOKUP($A127,historico_VU!$A:$G,5,0),""),IF($C127="C3",IFERROR(VLOOKUP($A127,historico_VU!$A:$G,6,0),""),IF($C127="C4",IFERROR(VLOOKUP($A127,historico_VU!$A:$G,7,0),""),""))))),F127),2))</f>
        <v/>
      </c>
      <c r="K127" s="103"/>
      <c r="L127" s="85" t="str">
        <f t="shared" si="7"/>
        <v/>
      </c>
      <c r="M127" s="203" t="str">
        <f>IF(A127="","",IF(COUNTIF(itens_Remanesc!$A$2:$A$200,A127)=0,"NOVO ITEM NAO CADASTRADO - CADASTRAR EM itens_Remanesc: ITEM + VU_ORIGINAL (QTD_BASE_ORIGINAL sera 0 automaticamente); depois a data e a quantidade aqui.",IF(COUNTIF(itens_Remanesc!$A$2:$A$200,A127)&gt;1,"ALERTA: ITEM_DUPLICADO",IF(OR(C127="",C127="Fora dos ciclos"),"ALERTA: CICLO_INVALIDO",IF(NOT(ISNUMBER(E127)),"ALERTA: QTD_INVALIDA",IF(AND(LEFT(UPPER(D127),3)&lt;&gt;"ACR",LEFT(UPPER(D127),4)&lt;&gt;"SUPR",LEFT(UPPER(D127),4)&lt;&gt;"DECR"),"ALERTA: TIPO_INVALIDO","OK"))))))</f>
        <v/>
      </c>
    </row>
    <row r="128" spans="1:13" ht="45" customHeight="1" x14ac:dyDescent="0.35">
      <c r="A128" s="103"/>
      <c r="B128" s="186"/>
      <c r="C128" s="99" t="str">
        <f>IF(B128="","",IFERROR(IF(NOT(ISNUMBER(parametros!$C$2)),"Fora dos ciclos",IF(OR(B128&lt;parametros!$C$2,(YEAR(B128)-YEAR(parametros!$C$2))*12+MONTH(B128)-MONTH(parametros!$C$2)&gt;59),"Fora dos ciclos","C"&amp;INT(((YEAR(B128)-YEAR(parametros!$C$2))*12+MONTH(B128)-MONTH(parametros!$C$2))/12))),"Fora dos ciclos"))</f>
        <v/>
      </c>
      <c r="D128" s="103"/>
      <c r="E128" s="104"/>
      <c r="F128" s="105" t="str">
        <f>IF(A128="","",IFERROR(VLOOKUP(A128,itens_Remanesc!$A:$C,3,0),""))</f>
        <v/>
      </c>
      <c r="G128" s="105" t="str">
        <f t="shared" si="6"/>
        <v/>
      </c>
      <c r="H128" s="103"/>
      <c r="I128" s="64" t="str">
        <f>IFERROR(VLOOKUP(C128,parametros!$B:$F,5,0),"")</f>
        <v/>
      </c>
      <c r="J128" s="105" t="str">
        <f>IF(OR(L128="",F128=""),"",ROUND(L128*IF(AND(UPPER(H128)="SIM",ISNUMBER(IF($C128="C0",IFERROR(VLOOKUP($A128,historico_VU!$A:$G,3,0),""),IF($C128="C1",IFERROR(VLOOKUP($A128,historico_VU!$A:$G,4,0),""),IF($C128="C2",IFERROR(VLOOKUP($A128,historico_VU!$A:$G,5,0),""),IF($C128="C3",IFERROR(VLOOKUP($A128,historico_VU!$A:$G,6,0),""),IF($C128="C4",IFERROR(VLOOKUP($A128,historico_VU!$A:$G,7,0),""),""))))))),IF($C128="C0",IFERROR(VLOOKUP($A128,historico_VU!$A:$G,3,0),""),IF($C128="C1",IFERROR(VLOOKUP($A128,historico_VU!$A:$G,4,0),""),IF($C128="C2",IFERROR(VLOOKUP($A128,historico_VU!$A:$G,5,0),""),IF($C128="C3",IFERROR(VLOOKUP($A128,historico_VU!$A:$G,6,0),""),IF($C128="C4",IFERROR(VLOOKUP($A128,historico_VU!$A:$G,7,0),""),""))))),F128),2))</f>
        <v/>
      </c>
      <c r="K128" s="103"/>
      <c r="L128" s="85" t="str">
        <f t="shared" si="7"/>
        <v/>
      </c>
      <c r="M128" s="203" t="str">
        <f>IF(A128="","",IF(COUNTIF(itens_Remanesc!$A$2:$A$200,A128)=0,"NOVO ITEM NAO CADASTRADO - CADASTRAR EM itens_Remanesc: ITEM + VU_ORIGINAL (QTD_BASE_ORIGINAL sera 0 automaticamente); depois a data e a quantidade aqui.",IF(COUNTIF(itens_Remanesc!$A$2:$A$200,A128)&gt;1,"ALERTA: ITEM_DUPLICADO",IF(OR(C128="",C128="Fora dos ciclos"),"ALERTA: CICLO_INVALIDO",IF(NOT(ISNUMBER(E128)),"ALERTA: QTD_INVALIDA",IF(AND(LEFT(UPPER(D128),3)&lt;&gt;"ACR",LEFT(UPPER(D128),4)&lt;&gt;"SUPR",LEFT(UPPER(D128),4)&lt;&gt;"DECR"),"ALERTA: TIPO_INVALIDO","OK"))))))</f>
        <v/>
      </c>
    </row>
    <row r="129" spans="1:13" ht="45" customHeight="1" x14ac:dyDescent="0.35">
      <c r="A129" s="103"/>
      <c r="B129" s="186"/>
      <c r="C129" s="99" t="str">
        <f>IF(B129="","",IFERROR(IF(NOT(ISNUMBER(parametros!$C$2)),"Fora dos ciclos",IF(OR(B129&lt;parametros!$C$2,(YEAR(B129)-YEAR(parametros!$C$2))*12+MONTH(B129)-MONTH(parametros!$C$2)&gt;59),"Fora dos ciclos","C"&amp;INT(((YEAR(B129)-YEAR(parametros!$C$2))*12+MONTH(B129)-MONTH(parametros!$C$2))/12))),"Fora dos ciclos"))</f>
        <v/>
      </c>
      <c r="D129" s="103"/>
      <c r="E129" s="104"/>
      <c r="F129" s="105" t="str">
        <f>IF(A129="","",IFERROR(VLOOKUP(A129,itens_Remanesc!$A:$C,3,0),""))</f>
        <v/>
      </c>
      <c r="G129" s="105" t="str">
        <f t="shared" si="6"/>
        <v/>
      </c>
      <c r="H129" s="103"/>
      <c r="I129" s="64" t="str">
        <f>IFERROR(VLOOKUP(C129,parametros!$B:$F,5,0),"")</f>
        <v/>
      </c>
      <c r="J129" s="105" t="str">
        <f>IF(OR(L129="",F129=""),"",ROUND(L129*IF(AND(UPPER(H129)="SIM",ISNUMBER(IF($C129="C0",IFERROR(VLOOKUP($A129,historico_VU!$A:$G,3,0),""),IF($C129="C1",IFERROR(VLOOKUP($A129,historico_VU!$A:$G,4,0),""),IF($C129="C2",IFERROR(VLOOKUP($A129,historico_VU!$A:$G,5,0),""),IF($C129="C3",IFERROR(VLOOKUP($A129,historico_VU!$A:$G,6,0),""),IF($C129="C4",IFERROR(VLOOKUP($A129,historico_VU!$A:$G,7,0),""),""))))))),IF($C129="C0",IFERROR(VLOOKUP($A129,historico_VU!$A:$G,3,0),""),IF($C129="C1",IFERROR(VLOOKUP($A129,historico_VU!$A:$G,4,0),""),IF($C129="C2",IFERROR(VLOOKUP($A129,historico_VU!$A:$G,5,0),""),IF($C129="C3",IFERROR(VLOOKUP($A129,historico_VU!$A:$G,6,0),""),IF($C129="C4",IFERROR(VLOOKUP($A129,historico_VU!$A:$G,7,0),""),""))))),F129),2))</f>
        <v/>
      </c>
      <c r="K129" s="103"/>
      <c r="L129" s="85" t="str">
        <f t="shared" si="7"/>
        <v/>
      </c>
      <c r="M129" s="203" t="str">
        <f>IF(A129="","",IF(COUNTIF(itens_Remanesc!$A$2:$A$200,A129)=0,"NOVO ITEM NAO CADASTRADO - CADASTRAR EM itens_Remanesc: ITEM + VU_ORIGINAL (QTD_BASE_ORIGINAL sera 0 automaticamente); depois a data e a quantidade aqui.",IF(COUNTIF(itens_Remanesc!$A$2:$A$200,A129)&gt;1,"ALERTA: ITEM_DUPLICADO",IF(OR(C129="",C129="Fora dos ciclos"),"ALERTA: CICLO_INVALIDO",IF(NOT(ISNUMBER(E129)),"ALERTA: QTD_INVALIDA",IF(AND(LEFT(UPPER(D129),3)&lt;&gt;"ACR",LEFT(UPPER(D129),4)&lt;&gt;"SUPR",LEFT(UPPER(D129),4)&lt;&gt;"DECR"),"ALERTA: TIPO_INVALIDO","OK"))))))</f>
        <v/>
      </c>
    </row>
    <row r="130" spans="1:13" ht="45" customHeight="1" x14ac:dyDescent="0.35">
      <c r="A130" s="103"/>
      <c r="B130" s="186"/>
      <c r="C130" s="99" t="str">
        <f>IF(B130="","",IFERROR(IF(NOT(ISNUMBER(parametros!$C$2)),"Fora dos ciclos",IF(OR(B130&lt;parametros!$C$2,(YEAR(B130)-YEAR(parametros!$C$2))*12+MONTH(B130)-MONTH(parametros!$C$2)&gt;59),"Fora dos ciclos","C"&amp;INT(((YEAR(B130)-YEAR(parametros!$C$2))*12+MONTH(B130)-MONTH(parametros!$C$2))/12))),"Fora dos ciclos"))</f>
        <v/>
      </c>
      <c r="D130" s="103"/>
      <c r="E130" s="104"/>
      <c r="F130" s="105" t="str">
        <f>IF(A130="","",IFERROR(VLOOKUP(A130,itens_Remanesc!$A:$C,3,0),""))</f>
        <v/>
      </c>
      <c r="G130" s="105" t="str">
        <f t="shared" ref="G130:G161" si="8">IF(OR(E130="",F130=""),"",ROUND(E130*F130,2))</f>
        <v/>
      </c>
      <c r="H130" s="103"/>
      <c r="I130" s="64" t="str">
        <f>IFERROR(VLOOKUP(C130,parametros!$B:$F,5,0),"")</f>
        <v/>
      </c>
      <c r="J130" s="105" t="str">
        <f>IF(OR(L130="",F130=""),"",ROUND(L130*IF(AND(UPPER(H130)="SIM",ISNUMBER(IF($C130="C0",IFERROR(VLOOKUP($A130,historico_VU!$A:$G,3,0),""),IF($C130="C1",IFERROR(VLOOKUP($A130,historico_VU!$A:$G,4,0),""),IF($C130="C2",IFERROR(VLOOKUP($A130,historico_VU!$A:$G,5,0),""),IF($C130="C3",IFERROR(VLOOKUP($A130,historico_VU!$A:$G,6,0),""),IF($C130="C4",IFERROR(VLOOKUP($A130,historico_VU!$A:$G,7,0),""),""))))))),IF($C130="C0",IFERROR(VLOOKUP($A130,historico_VU!$A:$G,3,0),""),IF($C130="C1",IFERROR(VLOOKUP($A130,historico_VU!$A:$G,4,0),""),IF($C130="C2",IFERROR(VLOOKUP($A130,historico_VU!$A:$G,5,0),""),IF($C130="C3",IFERROR(VLOOKUP($A130,historico_VU!$A:$G,6,0),""),IF($C130="C4",IFERROR(VLOOKUP($A130,historico_VU!$A:$G,7,0),""),""))))),F130),2))</f>
        <v/>
      </c>
      <c r="K130" s="103"/>
      <c r="L130" s="85" t="str">
        <f t="shared" ref="L130:L161" si="9">IF(OR(A130="",C130="",D130="",NOT(ISNUMBER(E130))),"",IF(LEFT(UPPER(D130),3)="ACR",ROUND(ABS(E130),2),IF(OR(LEFT(UPPER(D130),4)="SUPR",LEFT(UPPER(D130),4)="DECR"),ROUND(-ABS(E130),2),"")))</f>
        <v/>
      </c>
      <c r="M130" s="203" t="str">
        <f>IF(A130="","",IF(COUNTIF(itens_Remanesc!$A$2:$A$200,A130)=0,"NOVO ITEM NAO CADASTRADO - CADASTRAR EM itens_Remanesc: ITEM + VU_ORIGINAL (QTD_BASE_ORIGINAL sera 0 automaticamente); depois a data e a quantidade aqui.",IF(COUNTIF(itens_Remanesc!$A$2:$A$200,A130)&gt;1,"ALERTA: ITEM_DUPLICADO",IF(OR(C130="",C130="Fora dos ciclos"),"ALERTA: CICLO_INVALIDO",IF(NOT(ISNUMBER(E130)),"ALERTA: QTD_INVALIDA",IF(AND(LEFT(UPPER(D130),3)&lt;&gt;"ACR",LEFT(UPPER(D130),4)&lt;&gt;"SUPR",LEFT(UPPER(D130),4)&lt;&gt;"DECR"),"ALERTA: TIPO_INVALIDO","OK"))))))</f>
        <v/>
      </c>
    </row>
    <row r="131" spans="1:13" ht="45" customHeight="1" x14ac:dyDescent="0.35">
      <c r="A131" s="103"/>
      <c r="B131" s="186"/>
      <c r="C131" s="99" t="str">
        <f>IF(B131="","",IFERROR(IF(NOT(ISNUMBER(parametros!$C$2)),"Fora dos ciclos",IF(OR(B131&lt;parametros!$C$2,(YEAR(B131)-YEAR(parametros!$C$2))*12+MONTH(B131)-MONTH(parametros!$C$2)&gt;59),"Fora dos ciclos","C"&amp;INT(((YEAR(B131)-YEAR(parametros!$C$2))*12+MONTH(B131)-MONTH(parametros!$C$2))/12))),"Fora dos ciclos"))</f>
        <v/>
      </c>
      <c r="D131" s="103"/>
      <c r="E131" s="104"/>
      <c r="F131" s="105" t="str">
        <f>IF(A131="","",IFERROR(VLOOKUP(A131,itens_Remanesc!$A:$C,3,0),""))</f>
        <v/>
      </c>
      <c r="G131" s="105" t="str">
        <f t="shared" si="8"/>
        <v/>
      </c>
      <c r="H131" s="103"/>
      <c r="I131" s="64" t="str">
        <f>IFERROR(VLOOKUP(C131,parametros!$B:$F,5,0),"")</f>
        <v/>
      </c>
      <c r="J131" s="105" t="str">
        <f>IF(OR(L131="",F131=""),"",ROUND(L131*IF(AND(UPPER(H131)="SIM",ISNUMBER(IF($C131="C0",IFERROR(VLOOKUP($A131,historico_VU!$A:$G,3,0),""),IF($C131="C1",IFERROR(VLOOKUP($A131,historico_VU!$A:$G,4,0),""),IF($C131="C2",IFERROR(VLOOKUP($A131,historico_VU!$A:$G,5,0),""),IF($C131="C3",IFERROR(VLOOKUP($A131,historico_VU!$A:$G,6,0),""),IF($C131="C4",IFERROR(VLOOKUP($A131,historico_VU!$A:$G,7,0),""),""))))))),IF($C131="C0",IFERROR(VLOOKUP($A131,historico_VU!$A:$G,3,0),""),IF($C131="C1",IFERROR(VLOOKUP($A131,historico_VU!$A:$G,4,0),""),IF($C131="C2",IFERROR(VLOOKUP($A131,historico_VU!$A:$G,5,0),""),IF($C131="C3",IFERROR(VLOOKUP($A131,historico_VU!$A:$G,6,0),""),IF($C131="C4",IFERROR(VLOOKUP($A131,historico_VU!$A:$G,7,0),""),""))))),F131),2))</f>
        <v/>
      </c>
      <c r="K131" s="103"/>
      <c r="L131" s="85" t="str">
        <f t="shared" si="9"/>
        <v/>
      </c>
      <c r="M131" s="203" t="str">
        <f>IF(A131="","",IF(COUNTIF(itens_Remanesc!$A$2:$A$200,A131)=0,"NOVO ITEM NAO CADASTRADO - CADASTRAR EM itens_Remanesc: ITEM + VU_ORIGINAL (QTD_BASE_ORIGINAL sera 0 automaticamente); depois a data e a quantidade aqui.",IF(COUNTIF(itens_Remanesc!$A$2:$A$200,A131)&gt;1,"ALERTA: ITEM_DUPLICADO",IF(OR(C131="",C131="Fora dos ciclos"),"ALERTA: CICLO_INVALIDO",IF(NOT(ISNUMBER(E131)),"ALERTA: QTD_INVALIDA",IF(AND(LEFT(UPPER(D131),3)&lt;&gt;"ACR",LEFT(UPPER(D131),4)&lt;&gt;"SUPR",LEFT(UPPER(D131),4)&lt;&gt;"DECR"),"ALERTA: TIPO_INVALIDO","OK"))))))</f>
        <v/>
      </c>
    </row>
    <row r="132" spans="1:13" ht="45" customHeight="1" x14ac:dyDescent="0.35">
      <c r="A132" s="103"/>
      <c r="B132" s="186"/>
      <c r="C132" s="99" t="str">
        <f>IF(B132="","",IFERROR(IF(NOT(ISNUMBER(parametros!$C$2)),"Fora dos ciclos",IF(OR(B132&lt;parametros!$C$2,(YEAR(B132)-YEAR(parametros!$C$2))*12+MONTH(B132)-MONTH(parametros!$C$2)&gt;59),"Fora dos ciclos","C"&amp;INT(((YEAR(B132)-YEAR(parametros!$C$2))*12+MONTH(B132)-MONTH(parametros!$C$2))/12))),"Fora dos ciclos"))</f>
        <v/>
      </c>
      <c r="D132" s="103"/>
      <c r="E132" s="104"/>
      <c r="F132" s="105" t="str">
        <f>IF(A132="","",IFERROR(VLOOKUP(A132,itens_Remanesc!$A:$C,3,0),""))</f>
        <v/>
      </c>
      <c r="G132" s="105" t="str">
        <f t="shared" si="8"/>
        <v/>
      </c>
      <c r="H132" s="103"/>
      <c r="I132" s="64" t="str">
        <f>IFERROR(VLOOKUP(C132,parametros!$B:$F,5,0),"")</f>
        <v/>
      </c>
      <c r="J132" s="105" t="str">
        <f>IF(OR(L132="",F132=""),"",ROUND(L132*IF(AND(UPPER(H132)="SIM",ISNUMBER(IF($C132="C0",IFERROR(VLOOKUP($A132,historico_VU!$A:$G,3,0),""),IF($C132="C1",IFERROR(VLOOKUP($A132,historico_VU!$A:$G,4,0),""),IF($C132="C2",IFERROR(VLOOKUP($A132,historico_VU!$A:$G,5,0),""),IF($C132="C3",IFERROR(VLOOKUP($A132,historico_VU!$A:$G,6,0),""),IF($C132="C4",IFERROR(VLOOKUP($A132,historico_VU!$A:$G,7,0),""),""))))))),IF($C132="C0",IFERROR(VLOOKUP($A132,historico_VU!$A:$G,3,0),""),IF($C132="C1",IFERROR(VLOOKUP($A132,historico_VU!$A:$G,4,0),""),IF($C132="C2",IFERROR(VLOOKUP($A132,historico_VU!$A:$G,5,0),""),IF($C132="C3",IFERROR(VLOOKUP($A132,historico_VU!$A:$G,6,0),""),IF($C132="C4",IFERROR(VLOOKUP($A132,historico_VU!$A:$G,7,0),""),""))))),F132),2))</f>
        <v/>
      </c>
      <c r="K132" s="103"/>
      <c r="L132" s="85" t="str">
        <f t="shared" si="9"/>
        <v/>
      </c>
      <c r="M132" s="203" t="str">
        <f>IF(A132="","",IF(COUNTIF(itens_Remanesc!$A$2:$A$200,A132)=0,"NOVO ITEM NAO CADASTRADO - CADASTRAR EM itens_Remanesc: ITEM + VU_ORIGINAL (QTD_BASE_ORIGINAL sera 0 automaticamente); depois a data e a quantidade aqui.",IF(COUNTIF(itens_Remanesc!$A$2:$A$200,A132)&gt;1,"ALERTA: ITEM_DUPLICADO",IF(OR(C132="",C132="Fora dos ciclos"),"ALERTA: CICLO_INVALIDO",IF(NOT(ISNUMBER(E132)),"ALERTA: QTD_INVALIDA",IF(AND(LEFT(UPPER(D132),3)&lt;&gt;"ACR",LEFT(UPPER(D132),4)&lt;&gt;"SUPR",LEFT(UPPER(D132),4)&lt;&gt;"DECR"),"ALERTA: TIPO_INVALIDO","OK"))))))</f>
        <v/>
      </c>
    </row>
    <row r="133" spans="1:13" ht="45" customHeight="1" x14ac:dyDescent="0.35">
      <c r="A133" s="103"/>
      <c r="B133" s="186"/>
      <c r="C133" s="99" t="str">
        <f>IF(B133="","",IFERROR(IF(NOT(ISNUMBER(parametros!$C$2)),"Fora dos ciclos",IF(OR(B133&lt;parametros!$C$2,(YEAR(B133)-YEAR(parametros!$C$2))*12+MONTH(B133)-MONTH(parametros!$C$2)&gt;59),"Fora dos ciclos","C"&amp;INT(((YEAR(B133)-YEAR(parametros!$C$2))*12+MONTH(B133)-MONTH(parametros!$C$2))/12))),"Fora dos ciclos"))</f>
        <v/>
      </c>
      <c r="D133" s="103"/>
      <c r="E133" s="104"/>
      <c r="F133" s="105" t="str">
        <f>IF(A133="","",IFERROR(VLOOKUP(A133,itens_Remanesc!$A:$C,3,0),""))</f>
        <v/>
      </c>
      <c r="G133" s="105" t="str">
        <f t="shared" si="8"/>
        <v/>
      </c>
      <c r="H133" s="103"/>
      <c r="I133" s="64" t="str">
        <f>IFERROR(VLOOKUP(C133,parametros!$B:$F,5,0),"")</f>
        <v/>
      </c>
      <c r="J133" s="105" t="str">
        <f>IF(OR(L133="",F133=""),"",ROUND(L133*IF(AND(UPPER(H133)="SIM",ISNUMBER(IF($C133="C0",IFERROR(VLOOKUP($A133,historico_VU!$A:$G,3,0),""),IF($C133="C1",IFERROR(VLOOKUP($A133,historico_VU!$A:$G,4,0),""),IF($C133="C2",IFERROR(VLOOKUP($A133,historico_VU!$A:$G,5,0),""),IF($C133="C3",IFERROR(VLOOKUP($A133,historico_VU!$A:$G,6,0),""),IF($C133="C4",IFERROR(VLOOKUP($A133,historico_VU!$A:$G,7,0),""),""))))))),IF($C133="C0",IFERROR(VLOOKUP($A133,historico_VU!$A:$G,3,0),""),IF($C133="C1",IFERROR(VLOOKUP($A133,historico_VU!$A:$G,4,0),""),IF($C133="C2",IFERROR(VLOOKUP($A133,historico_VU!$A:$G,5,0),""),IF($C133="C3",IFERROR(VLOOKUP($A133,historico_VU!$A:$G,6,0),""),IF($C133="C4",IFERROR(VLOOKUP($A133,historico_VU!$A:$G,7,0),""),""))))),F133),2))</f>
        <v/>
      </c>
      <c r="K133" s="103"/>
      <c r="L133" s="85" t="str">
        <f t="shared" si="9"/>
        <v/>
      </c>
      <c r="M133" s="203" t="str">
        <f>IF(A133="","",IF(COUNTIF(itens_Remanesc!$A$2:$A$200,A133)=0,"NOVO ITEM NAO CADASTRADO - CADASTRAR EM itens_Remanesc: ITEM + VU_ORIGINAL (QTD_BASE_ORIGINAL sera 0 automaticamente); depois a data e a quantidade aqui.",IF(COUNTIF(itens_Remanesc!$A$2:$A$200,A133)&gt;1,"ALERTA: ITEM_DUPLICADO",IF(OR(C133="",C133="Fora dos ciclos"),"ALERTA: CICLO_INVALIDO",IF(NOT(ISNUMBER(E133)),"ALERTA: QTD_INVALIDA",IF(AND(LEFT(UPPER(D133),3)&lt;&gt;"ACR",LEFT(UPPER(D133),4)&lt;&gt;"SUPR",LEFT(UPPER(D133),4)&lt;&gt;"DECR"),"ALERTA: TIPO_INVALIDO","OK"))))))</f>
        <v/>
      </c>
    </row>
    <row r="134" spans="1:13" ht="45" customHeight="1" x14ac:dyDescent="0.35">
      <c r="A134" s="103"/>
      <c r="B134" s="186"/>
      <c r="C134" s="99" t="str">
        <f>IF(B134="","",IFERROR(IF(NOT(ISNUMBER(parametros!$C$2)),"Fora dos ciclos",IF(OR(B134&lt;parametros!$C$2,(YEAR(B134)-YEAR(parametros!$C$2))*12+MONTH(B134)-MONTH(parametros!$C$2)&gt;59),"Fora dos ciclos","C"&amp;INT(((YEAR(B134)-YEAR(parametros!$C$2))*12+MONTH(B134)-MONTH(parametros!$C$2))/12))),"Fora dos ciclos"))</f>
        <v/>
      </c>
      <c r="D134" s="103"/>
      <c r="E134" s="104"/>
      <c r="F134" s="105" t="str">
        <f>IF(A134="","",IFERROR(VLOOKUP(A134,itens_Remanesc!$A:$C,3,0),""))</f>
        <v/>
      </c>
      <c r="G134" s="105" t="str">
        <f t="shared" si="8"/>
        <v/>
      </c>
      <c r="H134" s="103"/>
      <c r="I134" s="64" t="str">
        <f>IFERROR(VLOOKUP(C134,parametros!$B:$F,5,0),"")</f>
        <v/>
      </c>
      <c r="J134" s="105" t="str">
        <f>IF(OR(L134="",F134=""),"",ROUND(L134*IF(AND(UPPER(H134)="SIM",ISNUMBER(IF($C134="C0",IFERROR(VLOOKUP($A134,historico_VU!$A:$G,3,0),""),IF($C134="C1",IFERROR(VLOOKUP($A134,historico_VU!$A:$G,4,0),""),IF($C134="C2",IFERROR(VLOOKUP($A134,historico_VU!$A:$G,5,0),""),IF($C134="C3",IFERROR(VLOOKUP($A134,historico_VU!$A:$G,6,0),""),IF($C134="C4",IFERROR(VLOOKUP($A134,historico_VU!$A:$G,7,0),""),""))))))),IF($C134="C0",IFERROR(VLOOKUP($A134,historico_VU!$A:$G,3,0),""),IF($C134="C1",IFERROR(VLOOKUP($A134,historico_VU!$A:$G,4,0),""),IF($C134="C2",IFERROR(VLOOKUP($A134,historico_VU!$A:$G,5,0),""),IF($C134="C3",IFERROR(VLOOKUP($A134,historico_VU!$A:$G,6,0),""),IF($C134="C4",IFERROR(VLOOKUP($A134,historico_VU!$A:$G,7,0),""),""))))),F134),2))</f>
        <v/>
      </c>
      <c r="K134" s="103"/>
      <c r="L134" s="85" t="str">
        <f t="shared" si="9"/>
        <v/>
      </c>
      <c r="M134" s="203" t="str">
        <f>IF(A134="","",IF(COUNTIF(itens_Remanesc!$A$2:$A$200,A134)=0,"NOVO ITEM NAO CADASTRADO - CADASTRAR EM itens_Remanesc: ITEM + VU_ORIGINAL (QTD_BASE_ORIGINAL sera 0 automaticamente); depois a data e a quantidade aqui.",IF(COUNTIF(itens_Remanesc!$A$2:$A$200,A134)&gt;1,"ALERTA: ITEM_DUPLICADO",IF(OR(C134="",C134="Fora dos ciclos"),"ALERTA: CICLO_INVALIDO",IF(NOT(ISNUMBER(E134)),"ALERTA: QTD_INVALIDA",IF(AND(LEFT(UPPER(D134),3)&lt;&gt;"ACR",LEFT(UPPER(D134),4)&lt;&gt;"SUPR",LEFT(UPPER(D134),4)&lt;&gt;"DECR"),"ALERTA: TIPO_INVALIDO","OK"))))))</f>
        <v/>
      </c>
    </row>
    <row r="135" spans="1:13" ht="45" customHeight="1" x14ac:dyDescent="0.35">
      <c r="A135" s="103"/>
      <c r="B135" s="186"/>
      <c r="C135" s="99" t="str">
        <f>IF(B135="","",IFERROR(IF(NOT(ISNUMBER(parametros!$C$2)),"Fora dos ciclos",IF(OR(B135&lt;parametros!$C$2,(YEAR(B135)-YEAR(parametros!$C$2))*12+MONTH(B135)-MONTH(parametros!$C$2)&gt;59),"Fora dos ciclos","C"&amp;INT(((YEAR(B135)-YEAR(parametros!$C$2))*12+MONTH(B135)-MONTH(parametros!$C$2))/12))),"Fora dos ciclos"))</f>
        <v/>
      </c>
      <c r="D135" s="103"/>
      <c r="E135" s="104"/>
      <c r="F135" s="105" t="str">
        <f>IF(A135="","",IFERROR(VLOOKUP(A135,itens_Remanesc!$A:$C,3,0),""))</f>
        <v/>
      </c>
      <c r="G135" s="105" t="str">
        <f t="shared" si="8"/>
        <v/>
      </c>
      <c r="H135" s="103"/>
      <c r="I135" s="64" t="str">
        <f>IFERROR(VLOOKUP(C135,parametros!$B:$F,5,0),"")</f>
        <v/>
      </c>
      <c r="J135" s="105" t="str">
        <f>IF(OR(L135="",F135=""),"",ROUND(L135*IF(AND(UPPER(H135)="SIM",ISNUMBER(IF($C135="C0",IFERROR(VLOOKUP($A135,historico_VU!$A:$G,3,0),""),IF($C135="C1",IFERROR(VLOOKUP($A135,historico_VU!$A:$G,4,0),""),IF($C135="C2",IFERROR(VLOOKUP($A135,historico_VU!$A:$G,5,0),""),IF($C135="C3",IFERROR(VLOOKUP($A135,historico_VU!$A:$G,6,0),""),IF($C135="C4",IFERROR(VLOOKUP($A135,historico_VU!$A:$G,7,0),""),""))))))),IF($C135="C0",IFERROR(VLOOKUP($A135,historico_VU!$A:$G,3,0),""),IF($C135="C1",IFERROR(VLOOKUP($A135,historico_VU!$A:$G,4,0),""),IF($C135="C2",IFERROR(VLOOKUP($A135,historico_VU!$A:$G,5,0),""),IF($C135="C3",IFERROR(VLOOKUP($A135,historico_VU!$A:$G,6,0),""),IF($C135="C4",IFERROR(VLOOKUP($A135,historico_VU!$A:$G,7,0),""),""))))),F135),2))</f>
        <v/>
      </c>
      <c r="K135" s="103"/>
      <c r="L135" s="85" t="str">
        <f t="shared" si="9"/>
        <v/>
      </c>
      <c r="M135" s="203" t="str">
        <f>IF(A135="","",IF(COUNTIF(itens_Remanesc!$A$2:$A$200,A135)=0,"NOVO ITEM NAO CADASTRADO - CADASTRAR EM itens_Remanesc: ITEM + VU_ORIGINAL (QTD_BASE_ORIGINAL sera 0 automaticamente); depois a data e a quantidade aqui.",IF(COUNTIF(itens_Remanesc!$A$2:$A$200,A135)&gt;1,"ALERTA: ITEM_DUPLICADO",IF(OR(C135="",C135="Fora dos ciclos"),"ALERTA: CICLO_INVALIDO",IF(NOT(ISNUMBER(E135)),"ALERTA: QTD_INVALIDA",IF(AND(LEFT(UPPER(D135),3)&lt;&gt;"ACR",LEFT(UPPER(D135),4)&lt;&gt;"SUPR",LEFT(UPPER(D135),4)&lt;&gt;"DECR"),"ALERTA: TIPO_INVALIDO","OK"))))))</f>
        <v/>
      </c>
    </row>
    <row r="136" spans="1:13" ht="45" customHeight="1" x14ac:dyDescent="0.35">
      <c r="A136" s="103"/>
      <c r="B136" s="186"/>
      <c r="C136" s="99" t="str">
        <f>IF(B136="","",IFERROR(IF(NOT(ISNUMBER(parametros!$C$2)),"Fora dos ciclos",IF(OR(B136&lt;parametros!$C$2,(YEAR(B136)-YEAR(parametros!$C$2))*12+MONTH(B136)-MONTH(parametros!$C$2)&gt;59),"Fora dos ciclos","C"&amp;INT(((YEAR(B136)-YEAR(parametros!$C$2))*12+MONTH(B136)-MONTH(parametros!$C$2))/12))),"Fora dos ciclos"))</f>
        <v/>
      </c>
      <c r="D136" s="103"/>
      <c r="E136" s="104"/>
      <c r="F136" s="105" t="str">
        <f>IF(A136="","",IFERROR(VLOOKUP(A136,itens_Remanesc!$A:$C,3,0),""))</f>
        <v/>
      </c>
      <c r="G136" s="105" t="str">
        <f t="shared" si="8"/>
        <v/>
      </c>
      <c r="H136" s="103"/>
      <c r="I136" s="64" t="str">
        <f>IFERROR(VLOOKUP(C136,parametros!$B:$F,5,0),"")</f>
        <v/>
      </c>
      <c r="J136" s="105" t="str">
        <f>IF(OR(L136="",F136=""),"",ROUND(L136*IF(AND(UPPER(H136)="SIM",ISNUMBER(IF($C136="C0",IFERROR(VLOOKUP($A136,historico_VU!$A:$G,3,0),""),IF($C136="C1",IFERROR(VLOOKUP($A136,historico_VU!$A:$G,4,0),""),IF($C136="C2",IFERROR(VLOOKUP($A136,historico_VU!$A:$G,5,0),""),IF($C136="C3",IFERROR(VLOOKUP($A136,historico_VU!$A:$G,6,0),""),IF($C136="C4",IFERROR(VLOOKUP($A136,historico_VU!$A:$G,7,0),""),""))))))),IF($C136="C0",IFERROR(VLOOKUP($A136,historico_VU!$A:$G,3,0),""),IF($C136="C1",IFERROR(VLOOKUP($A136,historico_VU!$A:$G,4,0),""),IF($C136="C2",IFERROR(VLOOKUP($A136,historico_VU!$A:$G,5,0),""),IF($C136="C3",IFERROR(VLOOKUP($A136,historico_VU!$A:$G,6,0),""),IF($C136="C4",IFERROR(VLOOKUP($A136,historico_VU!$A:$G,7,0),""),""))))),F136),2))</f>
        <v/>
      </c>
      <c r="K136" s="103"/>
      <c r="L136" s="85" t="str">
        <f t="shared" si="9"/>
        <v/>
      </c>
      <c r="M136" s="203" t="str">
        <f>IF(A136="","",IF(COUNTIF(itens_Remanesc!$A$2:$A$200,A136)=0,"NOVO ITEM NAO CADASTRADO - CADASTRAR EM itens_Remanesc: ITEM + VU_ORIGINAL (QTD_BASE_ORIGINAL sera 0 automaticamente); depois a data e a quantidade aqui.",IF(COUNTIF(itens_Remanesc!$A$2:$A$200,A136)&gt;1,"ALERTA: ITEM_DUPLICADO",IF(OR(C136="",C136="Fora dos ciclos"),"ALERTA: CICLO_INVALIDO",IF(NOT(ISNUMBER(E136)),"ALERTA: QTD_INVALIDA",IF(AND(LEFT(UPPER(D136),3)&lt;&gt;"ACR",LEFT(UPPER(D136),4)&lt;&gt;"SUPR",LEFT(UPPER(D136),4)&lt;&gt;"DECR"),"ALERTA: TIPO_INVALIDO","OK"))))))</f>
        <v/>
      </c>
    </row>
    <row r="137" spans="1:13" ht="45" customHeight="1" x14ac:dyDescent="0.35">
      <c r="A137" s="103"/>
      <c r="B137" s="186"/>
      <c r="C137" s="99" t="str">
        <f>IF(B137="","",IFERROR(IF(NOT(ISNUMBER(parametros!$C$2)),"Fora dos ciclos",IF(OR(B137&lt;parametros!$C$2,(YEAR(B137)-YEAR(parametros!$C$2))*12+MONTH(B137)-MONTH(parametros!$C$2)&gt;59),"Fora dos ciclos","C"&amp;INT(((YEAR(B137)-YEAR(parametros!$C$2))*12+MONTH(B137)-MONTH(parametros!$C$2))/12))),"Fora dos ciclos"))</f>
        <v/>
      </c>
      <c r="D137" s="103"/>
      <c r="E137" s="104"/>
      <c r="F137" s="105" t="str">
        <f>IF(A137="","",IFERROR(VLOOKUP(A137,itens_Remanesc!$A:$C,3,0),""))</f>
        <v/>
      </c>
      <c r="G137" s="105" t="str">
        <f t="shared" si="8"/>
        <v/>
      </c>
      <c r="H137" s="103"/>
      <c r="I137" s="64" t="str">
        <f>IFERROR(VLOOKUP(C137,parametros!$B:$F,5,0),"")</f>
        <v/>
      </c>
      <c r="J137" s="105" t="str">
        <f>IF(OR(L137="",F137=""),"",ROUND(L137*IF(AND(UPPER(H137)="SIM",ISNUMBER(IF($C137="C0",IFERROR(VLOOKUP($A137,historico_VU!$A:$G,3,0),""),IF($C137="C1",IFERROR(VLOOKUP($A137,historico_VU!$A:$G,4,0),""),IF($C137="C2",IFERROR(VLOOKUP($A137,historico_VU!$A:$G,5,0),""),IF($C137="C3",IFERROR(VLOOKUP($A137,historico_VU!$A:$G,6,0),""),IF($C137="C4",IFERROR(VLOOKUP($A137,historico_VU!$A:$G,7,0),""),""))))))),IF($C137="C0",IFERROR(VLOOKUP($A137,historico_VU!$A:$G,3,0),""),IF($C137="C1",IFERROR(VLOOKUP($A137,historico_VU!$A:$G,4,0),""),IF($C137="C2",IFERROR(VLOOKUP($A137,historico_VU!$A:$G,5,0),""),IF($C137="C3",IFERROR(VLOOKUP($A137,historico_VU!$A:$G,6,0),""),IF($C137="C4",IFERROR(VLOOKUP($A137,historico_VU!$A:$G,7,0),""),""))))),F137),2))</f>
        <v/>
      </c>
      <c r="K137" s="103"/>
      <c r="L137" s="85" t="str">
        <f t="shared" si="9"/>
        <v/>
      </c>
      <c r="M137" s="203" t="str">
        <f>IF(A137="","",IF(COUNTIF(itens_Remanesc!$A$2:$A$200,A137)=0,"NOVO ITEM NAO CADASTRADO - CADASTRAR EM itens_Remanesc: ITEM + VU_ORIGINAL (QTD_BASE_ORIGINAL sera 0 automaticamente); depois a data e a quantidade aqui.",IF(COUNTIF(itens_Remanesc!$A$2:$A$200,A137)&gt;1,"ALERTA: ITEM_DUPLICADO",IF(OR(C137="",C137="Fora dos ciclos"),"ALERTA: CICLO_INVALIDO",IF(NOT(ISNUMBER(E137)),"ALERTA: QTD_INVALIDA",IF(AND(LEFT(UPPER(D137),3)&lt;&gt;"ACR",LEFT(UPPER(D137),4)&lt;&gt;"SUPR",LEFT(UPPER(D137),4)&lt;&gt;"DECR"),"ALERTA: TIPO_INVALIDO","OK"))))))</f>
        <v/>
      </c>
    </row>
    <row r="138" spans="1:13" ht="45" customHeight="1" x14ac:dyDescent="0.35">
      <c r="A138" s="103"/>
      <c r="B138" s="186"/>
      <c r="C138" s="99" t="str">
        <f>IF(B138="","",IFERROR(IF(NOT(ISNUMBER(parametros!$C$2)),"Fora dos ciclos",IF(OR(B138&lt;parametros!$C$2,(YEAR(B138)-YEAR(parametros!$C$2))*12+MONTH(B138)-MONTH(parametros!$C$2)&gt;59),"Fora dos ciclos","C"&amp;INT(((YEAR(B138)-YEAR(parametros!$C$2))*12+MONTH(B138)-MONTH(parametros!$C$2))/12))),"Fora dos ciclos"))</f>
        <v/>
      </c>
      <c r="D138" s="103"/>
      <c r="E138" s="104"/>
      <c r="F138" s="105" t="str">
        <f>IF(A138="","",IFERROR(VLOOKUP(A138,itens_Remanesc!$A:$C,3,0),""))</f>
        <v/>
      </c>
      <c r="G138" s="105" t="str">
        <f t="shared" si="8"/>
        <v/>
      </c>
      <c r="H138" s="103"/>
      <c r="I138" s="64" t="str">
        <f>IFERROR(VLOOKUP(C138,parametros!$B:$F,5,0),"")</f>
        <v/>
      </c>
      <c r="J138" s="105" t="str">
        <f>IF(OR(L138="",F138=""),"",ROUND(L138*IF(AND(UPPER(H138)="SIM",ISNUMBER(IF($C138="C0",IFERROR(VLOOKUP($A138,historico_VU!$A:$G,3,0),""),IF($C138="C1",IFERROR(VLOOKUP($A138,historico_VU!$A:$G,4,0),""),IF($C138="C2",IFERROR(VLOOKUP($A138,historico_VU!$A:$G,5,0),""),IF($C138="C3",IFERROR(VLOOKUP($A138,historico_VU!$A:$G,6,0),""),IF($C138="C4",IFERROR(VLOOKUP($A138,historico_VU!$A:$G,7,0),""),""))))))),IF($C138="C0",IFERROR(VLOOKUP($A138,historico_VU!$A:$G,3,0),""),IF($C138="C1",IFERROR(VLOOKUP($A138,historico_VU!$A:$G,4,0),""),IF($C138="C2",IFERROR(VLOOKUP($A138,historico_VU!$A:$G,5,0),""),IF($C138="C3",IFERROR(VLOOKUP($A138,historico_VU!$A:$G,6,0),""),IF($C138="C4",IFERROR(VLOOKUP($A138,historico_VU!$A:$G,7,0),""),""))))),F138),2))</f>
        <v/>
      </c>
      <c r="K138" s="103"/>
      <c r="L138" s="85" t="str">
        <f t="shared" si="9"/>
        <v/>
      </c>
      <c r="M138" s="203" t="str">
        <f>IF(A138="","",IF(COUNTIF(itens_Remanesc!$A$2:$A$200,A138)=0,"NOVO ITEM NAO CADASTRADO - CADASTRAR EM itens_Remanesc: ITEM + VU_ORIGINAL (QTD_BASE_ORIGINAL sera 0 automaticamente); depois a data e a quantidade aqui.",IF(COUNTIF(itens_Remanesc!$A$2:$A$200,A138)&gt;1,"ALERTA: ITEM_DUPLICADO",IF(OR(C138="",C138="Fora dos ciclos"),"ALERTA: CICLO_INVALIDO",IF(NOT(ISNUMBER(E138)),"ALERTA: QTD_INVALIDA",IF(AND(LEFT(UPPER(D138),3)&lt;&gt;"ACR",LEFT(UPPER(D138),4)&lt;&gt;"SUPR",LEFT(UPPER(D138),4)&lt;&gt;"DECR"),"ALERTA: TIPO_INVALIDO","OK"))))))</f>
        <v/>
      </c>
    </row>
    <row r="139" spans="1:13" ht="45" customHeight="1" x14ac:dyDescent="0.35">
      <c r="A139" s="103"/>
      <c r="B139" s="186"/>
      <c r="C139" s="99" t="str">
        <f>IF(B139="","",IFERROR(IF(NOT(ISNUMBER(parametros!$C$2)),"Fora dos ciclos",IF(OR(B139&lt;parametros!$C$2,(YEAR(B139)-YEAR(parametros!$C$2))*12+MONTH(B139)-MONTH(parametros!$C$2)&gt;59),"Fora dos ciclos","C"&amp;INT(((YEAR(B139)-YEAR(parametros!$C$2))*12+MONTH(B139)-MONTH(parametros!$C$2))/12))),"Fora dos ciclos"))</f>
        <v/>
      </c>
      <c r="D139" s="103"/>
      <c r="E139" s="104"/>
      <c r="F139" s="105" t="str">
        <f>IF(A139="","",IFERROR(VLOOKUP(A139,itens_Remanesc!$A:$C,3,0),""))</f>
        <v/>
      </c>
      <c r="G139" s="105" t="str">
        <f t="shared" si="8"/>
        <v/>
      </c>
      <c r="H139" s="103"/>
      <c r="I139" s="64" t="str">
        <f>IFERROR(VLOOKUP(C139,parametros!$B:$F,5,0),"")</f>
        <v/>
      </c>
      <c r="J139" s="105" t="str">
        <f>IF(OR(L139="",F139=""),"",ROUND(L139*IF(AND(UPPER(H139)="SIM",ISNUMBER(IF($C139="C0",IFERROR(VLOOKUP($A139,historico_VU!$A:$G,3,0),""),IF($C139="C1",IFERROR(VLOOKUP($A139,historico_VU!$A:$G,4,0),""),IF($C139="C2",IFERROR(VLOOKUP($A139,historico_VU!$A:$G,5,0),""),IF($C139="C3",IFERROR(VLOOKUP($A139,historico_VU!$A:$G,6,0),""),IF($C139="C4",IFERROR(VLOOKUP($A139,historico_VU!$A:$G,7,0),""),""))))))),IF($C139="C0",IFERROR(VLOOKUP($A139,historico_VU!$A:$G,3,0),""),IF($C139="C1",IFERROR(VLOOKUP($A139,historico_VU!$A:$G,4,0),""),IF($C139="C2",IFERROR(VLOOKUP($A139,historico_VU!$A:$G,5,0),""),IF($C139="C3",IFERROR(VLOOKUP($A139,historico_VU!$A:$G,6,0),""),IF($C139="C4",IFERROR(VLOOKUP($A139,historico_VU!$A:$G,7,0),""),""))))),F139),2))</f>
        <v/>
      </c>
      <c r="K139" s="103"/>
      <c r="L139" s="85" t="str">
        <f t="shared" si="9"/>
        <v/>
      </c>
      <c r="M139" s="203" t="str">
        <f>IF(A139="","",IF(COUNTIF(itens_Remanesc!$A$2:$A$200,A139)=0,"NOVO ITEM NAO CADASTRADO - CADASTRAR EM itens_Remanesc: ITEM + VU_ORIGINAL (QTD_BASE_ORIGINAL sera 0 automaticamente); depois a data e a quantidade aqui.",IF(COUNTIF(itens_Remanesc!$A$2:$A$200,A139)&gt;1,"ALERTA: ITEM_DUPLICADO",IF(OR(C139="",C139="Fora dos ciclos"),"ALERTA: CICLO_INVALIDO",IF(NOT(ISNUMBER(E139)),"ALERTA: QTD_INVALIDA",IF(AND(LEFT(UPPER(D139),3)&lt;&gt;"ACR",LEFT(UPPER(D139),4)&lt;&gt;"SUPR",LEFT(UPPER(D139),4)&lt;&gt;"DECR"),"ALERTA: TIPO_INVALIDO","OK"))))))</f>
        <v/>
      </c>
    </row>
    <row r="140" spans="1:13" ht="45" customHeight="1" x14ac:dyDescent="0.35">
      <c r="A140" s="103"/>
      <c r="B140" s="186"/>
      <c r="C140" s="99" t="str">
        <f>IF(B140="","",IFERROR(IF(NOT(ISNUMBER(parametros!$C$2)),"Fora dos ciclos",IF(OR(B140&lt;parametros!$C$2,(YEAR(B140)-YEAR(parametros!$C$2))*12+MONTH(B140)-MONTH(parametros!$C$2)&gt;59),"Fora dos ciclos","C"&amp;INT(((YEAR(B140)-YEAR(parametros!$C$2))*12+MONTH(B140)-MONTH(parametros!$C$2))/12))),"Fora dos ciclos"))</f>
        <v/>
      </c>
      <c r="D140" s="103"/>
      <c r="E140" s="104"/>
      <c r="F140" s="105" t="str">
        <f>IF(A140="","",IFERROR(VLOOKUP(A140,itens_Remanesc!$A:$C,3,0),""))</f>
        <v/>
      </c>
      <c r="G140" s="105" t="str">
        <f t="shared" si="8"/>
        <v/>
      </c>
      <c r="H140" s="103"/>
      <c r="I140" s="64" t="str">
        <f>IFERROR(VLOOKUP(C140,parametros!$B:$F,5,0),"")</f>
        <v/>
      </c>
      <c r="J140" s="105" t="str">
        <f>IF(OR(L140="",F140=""),"",ROUND(L140*IF(AND(UPPER(H140)="SIM",ISNUMBER(IF($C140="C0",IFERROR(VLOOKUP($A140,historico_VU!$A:$G,3,0),""),IF($C140="C1",IFERROR(VLOOKUP($A140,historico_VU!$A:$G,4,0),""),IF($C140="C2",IFERROR(VLOOKUP($A140,historico_VU!$A:$G,5,0),""),IF($C140="C3",IFERROR(VLOOKUP($A140,historico_VU!$A:$G,6,0),""),IF($C140="C4",IFERROR(VLOOKUP($A140,historico_VU!$A:$G,7,0),""),""))))))),IF($C140="C0",IFERROR(VLOOKUP($A140,historico_VU!$A:$G,3,0),""),IF($C140="C1",IFERROR(VLOOKUP($A140,historico_VU!$A:$G,4,0),""),IF($C140="C2",IFERROR(VLOOKUP($A140,historico_VU!$A:$G,5,0),""),IF($C140="C3",IFERROR(VLOOKUP($A140,historico_VU!$A:$G,6,0),""),IF($C140="C4",IFERROR(VLOOKUP($A140,historico_VU!$A:$G,7,0),""),""))))),F140),2))</f>
        <v/>
      </c>
      <c r="K140" s="103"/>
      <c r="L140" s="85" t="str">
        <f t="shared" si="9"/>
        <v/>
      </c>
      <c r="M140" s="203" t="str">
        <f>IF(A140="","",IF(COUNTIF(itens_Remanesc!$A$2:$A$200,A140)=0,"NOVO ITEM NAO CADASTRADO - CADASTRAR EM itens_Remanesc: ITEM + VU_ORIGINAL (QTD_BASE_ORIGINAL sera 0 automaticamente); depois a data e a quantidade aqui.",IF(COUNTIF(itens_Remanesc!$A$2:$A$200,A140)&gt;1,"ALERTA: ITEM_DUPLICADO",IF(OR(C140="",C140="Fora dos ciclos"),"ALERTA: CICLO_INVALIDO",IF(NOT(ISNUMBER(E140)),"ALERTA: QTD_INVALIDA",IF(AND(LEFT(UPPER(D140),3)&lt;&gt;"ACR",LEFT(UPPER(D140),4)&lt;&gt;"SUPR",LEFT(UPPER(D140),4)&lt;&gt;"DECR"),"ALERTA: TIPO_INVALIDO","OK"))))))</f>
        <v/>
      </c>
    </row>
    <row r="141" spans="1:13" ht="45" customHeight="1" x14ac:dyDescent="0.35">
      <c r="A141" s="103"/>
      <c r="B141" s="186"/>
      <c r="C141" s="99" t="str">
        <f>IF(B141="","",IFERROR(IF(NOT(ISNUMBER(parametros!$C$2)),"Fora dos ciclos",IF(OR(B141&lt;parametros!$C$2,(YEAR(B141)-YEAR(parametros!$C$2))*12+MONTH(B141)-MONTH(parametros!$C$2)&gt;59),"Fora dos ciclos","C"&amp;INT(((YEAR(B141)-YEAR(parametros!$C$2))*12+MONTH(B141)-MONTH(parametros!$C$2))/12))),"Fora dos ciclos"))</f>
        <v/>
      </c>
      <c r="D141" s="103"/>
      <c r="E141" s="104"/>
      <c r="F141" s="105" t="str">
        <f>IF(A141="","",IFERROR(VLOOKUP(A141,itens_Remanesc!$A:$C,3,0),""))</f>
        <v/>
      </c>
      <c r="G141" s="105" t="str">
        <f t="shared" si="8"/>
        <v/>
      </c>
      <c r="H141" s="103"/>
      <c r="I141" s="64" t="str">
        <f>IFERROR(VLOOKUP(C141,parametros!$B:$F,5,0),"")</f>
        <v/>
      </c>
      <c r="J141" s="105" t="str">
        <f>IF(OR(L141="",F141=""),"",ROUND(L141*IF(AND(UPPER(H141)="SIM",ISNUMBER(IF($C141="C0",IFERROR(VLOOKUP($A141,historico_VU!$A:$G,3,0),""),IF($C141="C1",IFERROR(VLOOKUP($A141,historico_VU!$A:$G,4,0),""),IF($C141="C2",IFERROR(VLOOKUP($A141,historico_VU!$A:$G,5,0),""),IF($C141="C3",IFERROR(VLOOKUP($A141,historico_VU!$A:$G,6,0),""),IF($C141="C4",IFERROR(VLOOKUP($A141,historico_VU!$A:$G,7,0),""),""))))))),IF($C141="C0",IFERROR(VLOOKUP($A141,historico_VU!$A:$G,3,0),""),IF($C141="C1",IFERROR(VLOOKUP($A141,historico_VU!$A:$G,4,0),""),IF($C141="C2",IFERROR(VLOOKUP($A141,historico_VU!$A:$G,5,0),""),IF($C141="C3",IFERROR(VLOOKUP($A141,historico_VU!$A:$G,6,0),""),IF($C141="C4",IFERROR(VLOOKUP($A141,historico_VU!$A:$G,7,0),""),""))))),F141),2))</f>
        <v/>
      </c>
      <c r="K141" s="103"/>
      <c r="L141" s="85" t="str">
        <f t="shared" si="9"/>
        <v/>
      </c>
      <c r="M141" s="203" t="str">
        <f>IF(A141="","",IF(COUNTIF(itens_Remanesc!$A$2:$A$200,A141)=0,"NOVO ITEM NAO CADASTRADO - CADASTRAR EM itens_Remanesc: ITEM + VU_ORIGINAL (QTD_BASE_ORIGINAL sera 0 automaticamente); depois a data e a quantidade aqui.",IF(COUNTIF(itens_Remanesc!$A$2:$A$200,A141)&gt;1,"ALERTA: ITEM_DUPLICADO",IF(OR(C141="",C141="Fora dos ciclos"),"ALERTA: CICLO_INVALIDO",IF(NOT(ISNUMBER(E141)),"ALERTA: QTD_INVALIDA",IF(AND(LEFT(UPPER(D141),3)&lt;&gt;"ACR",LEFT(UPPER(D141),4)&lt;&gt;"SUPR",LEFT(UPPER(D141),4)&lt;&gt;"DECR"),"ALERTA: TIPO_INVALIDO","OK"))))))</f>
        <v/>
      </c>
    </row>
    <row r="142" spans="1:13" ht="45" customHeight="1" x14ac:dyDescent="0.35">
      <c r="A142" s="103"/>
      <c r="B142" s="186"/>
      <c r="C142" s="99" t="str">
        <f>IF(B142="","",IFERROR(IF(NOT(ISNUMBER(parametros!$C$2)),"Fora dos ciclos",IF(OR(B142&lt;parametros!$C$2,(YEAR(B142)-YEAR(parametros!$C$2))*12+MONTH(B142)-MONTH(parametros!$C$2)&gt;59),"Fora dos ciclos","C"&amp;INT(((YEAR(B142)-YEAR(parametros!$C$2))*12+MONTH(B142)-MONTH(parametros!$C$2))/12))),"Fora dos ciclos"))</f>
        <v/>
      </c>
      <c r="D142" s="103"/>
      <c r="E142" s="104"/>
      <c r="F142" s="105" t="str">
        <f>IF(A142="","",IFERROR(VLOOKUP(A142,itens_Remanesc!$A:$C,3,0),""))</f>
        <v/>
      </c>
      <c r="G142" s="105" t="str">
        <f t="shared" si="8"/>
        <v/>
      </c>
      <c r="H142" s="103"/>
      <c r="I142" s="64" t="str">
        <f>IFERROR(VLOOKUP(C142,parametros!$B:$F,5,0),"")</f>
        <v/>
      </c>
      <c r="J142" s="105" t="str">
        <f>IF(OR(L142="",F142=""),"",ROUND(L142*IF(AND(UPPER(H142)="SIM",ISNUMBER(IF($C142="C0",IFERROR(VLOOKUP($A142,historico_VU!$A:$G,3,0),""),IF($C142="C1",IFERROR(VLOOKUP($A142,historico_VU!$A:$G,4,0),""),IF($C142="C2",IFERROR(VLOOKUP($A142,historico_VU!$A:$G,5,0),""),IF($C142="C3",IFERROR(VLOOKUP($A142,historico_VU!$A:$G,6,0),""),IF($C142="C4",IFERROR(VLOOKUP($A142,historico_VU!$A:$G,7,0),""),""))))))),IF($C142="C0",IFERROR(VLOOKUP($A142,historico_VU!$A:$G,3,0),""),IF($C142="C1",IFERROR(VLOOKUP($A142,historico_VU!$A:$G,4,0),""),IF($C142="C2",IFERROR(VLOOKUP($A142,historico_VU!$A:$G,5,0),""),IF($C142="C3",IFERROR(VLOOKUP($A142,historico_VU!$A:$G,6,0),""),IF($C142="C4",IFERROR(VLOOKUP($A142,historico_VU!$A:$G,7,0),""),""))))),F142),2))</f>
        <v/>
      </c>
      <c r="K142" s="103"/>
      <c r="L142" s="85" t="str">
        <f t="shared" si="9"/>
        <v/>
      </c>
      <c r="M142" s="203" t="str">
        <f>IF(A142="","",IF(COUNTIF(itens_Remanesc!$A$2:$A$200,A142)=0,"NOVO ITEM NAO CADASTRADO - CADASTRAR EM itens_Remanesc: ITEM + VU_ORIGINAL (QTD_BASE_ORIGINAL sera 0 automaticamente); depois a data e a quantidade aqui.",IF(COUNTIF(itens_Remanesc!$A$2:$A$200,A142)&gt;1,"ALERTA: ITEM_DUPLICADO",IF(OR(C142="",C142="Fora dos ciclos"),"ALERTA: CICLO_INVALIDO",IF(NOT(ISNUMBER(E142)),"ALERTA: QTD_INVALIDA",IF(AND(LEFT(UPPER(D142),3)&lt;&gt;"ACR",LEFT(UPPER(D142),4)&lt;&gt;"SUPR",LEFT(UPPER(D142),4)&lt;&gt;"DECR"),"ALERTA: TIPO_INVALIDO","OK"))))))</f>
        <v/>
      </c>
    </row>
    <row r="143" spans="1:13" ht="45" customHeight="1" x14ac:dyDescent="0.35">
      <c r="A143" s="103"/>
      <c r="B143" s="186"/>
      <c r="C143" s="99" t="str">
        <f>IF(B143="","",IFERROR(IF(NOT(ISNUMBER(parametros!$C$2)),"Fora dos ciclos",IF(OR(B143&lt;parametros!$C$2,(YEAR(B143)-YEAR(parametros!$C$2))*12+MONTH(B143)-MONTH(parametros!$C$2)&gt;59),"Fora dos ciclos","C"&amp;INT(((YEAR(B143)-YEAR(parametros!$C$2))*12+MONTH(B143)-MONTH(parametros!$C$2))/12))),"Fora dos ciclos"))</f>
        <v/>
      </c>
      <c r="D143" s="103"/>
      <c r="E143" s="104"/>
      <c r="F143" s="105" t="str">
        <f>IF(A143="","",IFERROR(VLOOKUP(A143,itens_Remanesc!$A:$C,3,0),""))</f>
        <v/>
      </c>
      <c r="G143" s="105" t="str">
        <f t="shared" si="8"/>
        <v/>
      </c>
      <c r="H143" s="103"/>
      <c r="I143" s="64" t="str">
        <f>IFERROR(VLOOKUP(C143,parametros!$B:$F,5,0),"")</f>
        <v/>
      </c>
      <c r="J143" s="105" t="str">
        <f>IF(OR(L143="",F143=""),"",ROUND(L143*IF(AND(UPPER(H143)="SIM",ISNUMBER(IF($C143="C0",IFERROR(VLOOKUP($A143,historico_VU!$A:$G,3,0),""),IF($C143="C1",IFERROR(VLOOKUP($A143,historico_VU!$A:$G,4,0),""),IF($C143="C2",IFERROR(VLOOKUP($A143,historico_VU!$A:$G,5,0),""),IF($C143="C3",IFERROR(VLOOKUP($A143,historico_VU!$A:$G,6,0),""),IF($C143="C4",IFERROR(VLOOKUP($A143,historico_VU!$A:$G,7,0),""),""))))))),IF($C143="C0",IFERROR(VLOOKUP($A143,historico_VU!$A:$G,3,0),""),IF($C143="C1",IFERROR(VLOOKUP($A143,historico_VU!$A:$G,4,0),""),IF($C143="C2",IFERROR(VLOOKUP($A143,historico_VU!$A:$G,5,0),""),IF($C143="C3",IFERROR(VLOOKUP($A143,historico_VU!$A:$G,6,0),""),IF($C143="C4",IFERROR(VLOOKUP($A143,historico_VU!$A:$G,7,0),""),""))))),F143),2))</f>
        <v/>
      </c>
      <c r="K143" s="103"/>
      <c r="L143" s="85" t="str">
        <f t="shared" si="9"/>
        <v/>
      </c>
      <c r="M143" s="203" t="str">
        <f>IF(A143="","",IF(COUNTIF(itens_Remanesc!$A$2:$A$200,A143)=0,"NOVO ITEM NAO CADASTRADO - CADASTRAR EM itens_Remanesc: ITEM + VU_ORIGINAL (QTD_BASE_ORIGINAL sera 0 automaticamente); depois a data e a quantidade aqui.",IF(COUNTIF(itens_Remanesc!$A$2:$A$200,A143)&gt;1,"ALERTA: ITEM_DUPLICADO",IF(OR(C143="",C143="Fora dos ciclos"),"ALERTA: CICLO_INVALIDO",IF(NOT(ISNUMBER(E143)),"ALERTA: QTD_INVALIDA",IF(AND(LEFT(UPPER(D143),3)&lt;&gt;"ACR",LEFT(UPPER(D143),4)&lt;&gt;"SUPR",LEFT(UPPER(D143),4)&lt;&gt;"DECR"),"ALERTA: TIPO_INVALIDO","OK"))))))</f>
        <v/>
      </c>
    </row>
    <row r="144" spans="1:13" ht="45" customHeight="1" x14ac:dyDescent="0.35">
      <c r="A144" s="103"/>
      <c r="B144" s="186"/>
      <c r="C144" s="99" t="str">
        <f>IF(B144="","",IFERROR(IF(NOT(ISNUMBER(parametros!$C$2)),"Fora dos ciclos",IF(OR(B144&lt;parametros!$C$2,(YEAR(B144)-YEAR(parametros!$C$2))*12+MONTH(B144)-MONTH(parametros!$C$2)&gt;59),"Fora dos ciclos","C"&amp;INT(((YEAR(B144)-YEAR(parametros!$C$2))*12+MONTH(B144)-MONTH(parametros!$C$2))/12))),"Fora dos ciclos"))</f>
        <v/>
      </c>
      <c r="D144" s="103"/>
      <c r="E144" s="104"/>
      <c r="F144" s="105" t="str">
        <f>IF(A144="","",IFERROR(VLOOKUP(A144,itens_Remanesc!$A:$C,3,0),""))</f>
        <v/>
      </c>
      <c r="G144" s="105" t="str">
        <f t="shared" si="8"/>
        <v/>
      </c>
      <c r="H144" s="103"/>
      <c r="I144" s="64" t="str">
        <f>IFERROR(VLOOKUP(C144,parametros!$B:$F,5,0),"")</f>
        <v/>
      </c>
      <c r="J144" s="105" t="str">
        <f>IF(OR(L144="",F144=""),"",ROUND(L144*IF(AND(UPPER(H144)="SIM",ISNUMBER(IF($C144="C0",IFERROR(VLOOKUP($A144,historico_VU!$A:$G,3,0),""),IF($C144="C1",IFERROR(VLOOKUP($A144,historico_VU!$A:$G,4,0),""),IF($C144="C2",IFERROR(VLOOKUP($A144,historico_VU!$A:$G,5,0),""),IF($C144="C3",IFERROR(VLOOKUP($A144,historico_VU!$A:$G,6,0),""),IF($C144="C4",IFERROR(VLOOKUP($A144,historico_VU!$A:$G,7,0),""),""))))))),IF($C144="C0",IFERROR(VLOOKUP($A144,historico_VU!$A:$G,3,0),""),IF($C144="C1",IFERROR(VLOOKUP($A144,historico_VU!$A:$G,4,0),""),IF($C144="C2",IFERROR(VLOOKUP($A144,historico_VU!$A:$G,5,0),""),IF($C144="C3",IFERROR(VLOOKUP($A144,historico_VU!$A:$G,6,0),""),IF($C144="C4",IFERROR(VLOOKUP($A144,historico_VU!$A:$G,7,0),""),""))))),F144),2))</f>
        <v/>
      </c>
      <c r="K144" s="103"/>
      <c r="L144" s="85" t="str">
        <f t="shared" si="9"/>
        <v/>
      </c>
      <c r="M144" s="203" t="str">
        <f>IF(A144="","",IF(COUNTIF(itens_Remanesc!$A$2:$A$200,A144)=0,"NOVO ITEM NAO CADASTRADO - CADASTRAR EM itens_Remanesc: ITEM + VU_ORIGINAL (QTD_BASE_ORIGINAL sera 0 automaticamente); depois a data e a quantidade aqui.",IF(COUNTIF(itens_Remanesc!$A$2:$A$200,A144)&gt;1,"ALERTA: ITEM_DUPLICADO",IF(OR(C144="",C144="Fora dos ciclos"),"ALERTA: CICLO_INVALIDO",IF(NOT(ISNUMBER(E144)),"ALERTA: QTD_INVALIDA",IF(AND(LEFT(UPPER(D144),3)&lt;&gt;"ACR",LEFT(UPPER(D144),4)&lt;&gt;"SUPR",LEFT(UPPER(D144),4)&lt;&gt;"DECR"),"ALERTA: TIPO_INVALIDO","OK"))))))</f>
        <v/>
      </c>
    </row>
    <row r="145" spans="1:13" ht="45" customHeight="1" x14ac:dyDescent="0.35">
      <c r="A145" s="103"/>
      <c r="B145" s="186"/>
      <c r="C145" s="99" t="str">
        <f>IF(B145="","",IFERROR(IF(NOT(ISNUMBER(parametros!$C$2)),"Fora dos ciclos",IF(OR(B145&lt;parametros!$C$2,(YEAR(B145)-YEAR(parametros!$C$2))*12+MONTH(B145)-MONTH(parametros!$C$2)&gt;59),"Fora dos ciclos","C"&amp;INT(((YEAR(B145)-YEAR(parametros!$C$2))*12+MONTH(B145)-MONTH(parametros!$C$2))/12))),"Fora dos ciclos"))</f>
        <v/>
      </c>
      <c r="D145" s="103"/>
      <c r="E145" s="104"/>
      <c r="F145" s="105" t="str">
        <f>IF(A145="","",IFERROR(VLOOKUP(A145,itens_Remanesc!$A:$C,3,0),""))</f>
        <v/>
      </c>
      <c r="G145" s="105" t="str">
        <f t="shared" si="8"/>
        <v/>
      </c>
      <c r="H145" s="103"/>
      <c r="I145" s="64" t="str">
        <f>IFERROR(VLOOKUP(C145,parametros!$B:$F,5,0),"")</f>
        <v/>
      </c>
      <c r="J145" s="105" t="str">
        <f>IF(OR(L145="",F145=""),"",ROUND(L145*IF(AND(UPPER(H145)="SIM",ISNUMBER(IF($C145="C0",IFERROR(VLOOKUP($A145,historico_VU!$A:$G,3,0),""),IF($C145="C1",IFERROR(VLOOKUP($A145,historico_VU!$A:$G,4,0),""),IF($C145="C2",IFERROR(VLOOKUP($A145,historico_VU!$A:$G,5,0),""),IF($C145="C3",IFERROR(VLOOKUP($A145,historico_VU!$A:$G,6,0),""),IF($C145="C4",IFERROR(VLOOKUP($A145,historico_VU!$A:$G,7,0),""),""))))))),IF($C145="C0",IFERROR(VLOOKUP($A145,historico_VU!$A:$G,3,0),""),IF($C145="C1",IFERROR(VLOOKUP($A145,historico_VU!$A:$G,4,0),""),IF($C145="C2",IFERROR(VLOOKUP($A145,historico_VU!$A:$G,5,0),""),IF($C145="C3",IFERROR(VLOOKUP($A145,historico_VU!$A:$G,6,0),""),IF($C145="C4",IFERROR(VLOOKUP($A145,historico_VU!$A:$G,7,0),""),""))))),F145),2))</f>
        <v/>
      </c>
      <c r="K145" s="103"/>
      <c r="L145" s="85" t="str">
        <f t="shared" si="9"/>
        <v/>
      </c>
      <c r="M145" s="203" t="str">
        <f>IF(A145="","",IF(COUNTIF(itens_Remanesc!$A$2:$A$200,A145)=0,"NOVO ITEM NAO CADASTRADO - CADASTRAR EM itens_Remanesc: ITEM + VU_ORIGINAL (QTD_BASE_ORIGINAL sera 0 automaticamente); depois a data e a quantidade aqui.",IF(COUNTIF(itens_Remanesc!$A$2:$A$200,A145)&gt;1,"ALERTA: ITEM_DUPLICADO",IF(OR(C145="",C145="Fora dos ciclos"),"ALERTA: CICLO_INVALIDO",IF(NOT(ISNUMBER(E145)),"ALERTA: QTD_INVALIDA",IF(AND(LEFT(UPPER(D145),3)&lt;&gt;"ACR",LEFT(UPPER(D145),4)&lt;&gt;"SUPR",LEFT(UPPER(D145),4)&lt;&gt;"DECR"),"ALERTA: TIPO_INVALIDO","OK"))))))</f>
        <v/>
      </c>
    </row>
    <row r="146" spans="1:13" ht="45" customHeight="1" x14ac:dyDescent="0.35">
      <c r="A146" s="103"/>
      <c r="B146" s="186"/>
      <c r="C146" s="99" t="str">
        <f>IF(B146="","",IFERROR(IF(NOT(ISNUMBER(parametros!$C$2)),"Fora dos ciclos",IF(OR(B146&lt;parametros!$C$2,(YEAR(B146)-YEAR(parametros!$C$2))*12+MONTH(B146)-MONTH(parametros!$C$2)&gt;59),"Fora dos ciclos","C"&amp;INT(((YEAR(B146)-YEAR(parametros!$C$2))*12+MONTH(B146)-MONTH(parametros!$C$2))/12))),"Fora dos ciclos"))</f>
        <v/>
      </c>
      <c r="D146" s="103"/>
      <c r="E146" s="104"/>
      <c r="F146" s="105" t="str">
        <f>IF(A146="","",IFERROR(VLOOKUP(A146,itens_Remanesc!$A:$C,3,0),""))</f>
        <v/>
      </c>
      <c r="G146" s="105" t="str">
        <f t="shared" si="8"/>
        <v/>
      </c>
      <c r="H146" s="103"/>
      <c r="I146" s="64" t="str">
        <f>IFERROR(VLOOKUP(C146,parametros!$B:$F,5,0),"")</f>
        <v/>
      </c>
      <c r="J146" s="105" t="str">
        <f>IF(OR(L146="",F146=""),"",ROUND(L146*IF(AND(UPPER(H146)="SIM",ISNUMBER(IF($C146="C0",IFERROR(VLOOKUP($A146,historico_VU!$A:$G,3,0),""),IF($C146="C1",IFERROR(VLOOKUP($A146,historico_VU!$A:$G,4,0),""),IF($C146="C2",IFERROR(VLOOKUP($A146,historico_VU!$A:$G,5,0),""),IF($C146="C3",IFERROR(VLOOKUP($A146,historico_VU!$A:$G,6,0),""),IF($C146="C4",IFERROR(VLOOKUP($A146,historico_VU!$A:$G,7,0),""),""))))))),IF($C146="C0",IFERROR(VLOOKUP($A146,historico_VU!$A:$G,3,0),""),IF($C146="C1",IFERROR(VLOOKUP($A146,historico_VU!$A:$G,4,0),""),IF($C146="C2",IFERROR(VLOOKUP($A146,historico_VU!$A:$G,5,0),""),IF($C146="C3",IFERROR(VLOOKUP($A146,historico_VU!$A:$G,6,0),""),IF($C146="C4",IFERROR(VLOOKUP($A146,historico_VU!$A:$G,7,0),""),""))))),F146),2))</f>
        <v/>
      </c>
      <c r="K146" s="103"/>
      <c r="L146" s="85" t="str">
        <f t="shared" si="9"/>
        <v/>
      </c>
      <c r="M146" s="203" t="str">
        <f>IF(A146="","",IF(COUNTIF(itens_Remanesc!$A$2:$A$200,A146)=0,"NOVO ITEM NAO CADASTRADO - CADASTRAR EM itens_Remanesc: ITEM + VU_ORIGINAL (QTD_BASE_ORIGINAL sera 0 automaticamente); depois a data e a quantidade aqui.",IF(COUNTIF(itens_Remanesc!$A$2:$A$200,A146)&gt;1,"ALERTA: ITEM_DUPLICADO",IF(OR(C146="",C146="Fora dos ciclos"),"ALERTA: CICLO_INVALIDO",IF(NOT(ISNUMBER(E146)),"ALERTA: QTD_INVALIDA",IF(AND(LEFT(UPPER(D146),3)&lt;&gt;"ACR",LEFT(UPPER(D146),4)&lt;&gt;"SUPR",LEFT(UPPER(D146),4)&lt;&gt;"DECR"),"ALERTA: TIPO_INVALIDO","OK"))))))</f>
        <v/>
      </c>
    </row>
    <row r="147" spans="1:13" ht="45" customHeight="1" x14ac:dyDescent="0.35">
      <c r="A147" s="103"/>
      <c r="B147" s="186"/>
      <c r="C147" s="99" t="str">
        <f>IF(B147="","",IFERROR(IF(NOT(ISNUMBER(parametros!$C$2)),"Fora dos ciclos",IF(OR(B147&lt;parametros!$C$2,(YEAR(B147)-YEAR(parametros!$C$2))*12+MONTH(B147)-MONTH(parametros!$C$2)&gt;59),"Fora dos ciclos","C"&amp;INT(((YEAR(B147)-YEAR(parametros!$C$2))*12+MONTH(B147)-MONTH(parametros!$C$2))/12))),"Fora dos ciclos"))</f>
        <v/>
      </c>
      <c r="D147" s="103"/>
      <c r="E147" s="104"/>
      <c r="F147" s="105" t="str">
        <f>IF(A147="","",IFERROR(VLOOKUP(A147,itens_Remanesc!$A:$C,3,0),""))</f>
        <v/>
      </c>
      <c r="G147" s="105" t="str">
        <f t="shared" si="8"/>
        <v/>
      </c>
      <c r="H147" s="103"/>
      <c r="I147" s="64" t="str">
        <f>IFERROR(VLOOKUP(C147,parametros!$B:$F,5,0),"")</f>
        <v/>
      </c>
      <c r="J147" s="105" t="str">
        <f>IF(OR(L147="",F147=""),"",ROUND(L147*IF(AND(UPPER(H147)="SIM",ISNUMBER(IF($C147="C0",IFERROR(VLOOKUP($A147,historico_VU!$A:$G,3,0),""),IF($C147="C1",IFERROR(VLOOKUP($A147,historico_VU!$A:$G,4,0),""),IF($C147="C2",IFERROR(VLOOKUP($A147,historico_VU!$A:$G,5,0),""),IF($C147="C3",IFERROR(VLOOKUP($A147,historico_VU!$A:$G,6,0),""),IF($C147="C4",IFERROR(VLOOKUP($A147,historico_VU!$A:$G,7,0),""),""))))))),IF($C147="C0",IFERROR(VLOOKUP($A147,historico_VU!$A:$G,3,0),""),IF($C147="C1",IFERROR(VLOOKUP($A147,historico_VU!$A:$G,4,0),""),IF($C147="C2",IFERROR(VLOOKUP($A147,historico_VU!$A:$G,5,0),""),IF($C147="C3",IFERROR(VLOOKUP($A147,historico_VU!$A:$G,6,0),""),IF($C147="C4",IFERROR(VLOOKUP($A147,historico_VU!$A:$G,7,0),""),""))))),F147),2))</f>
        <v/>
      </c>
      <c r="K147" s="103"/>
      <c r="L147" s="85" t="str">
        <f t="shared" si="9"/>
        <v/>
      </c>
      <c r="M147" s="203" t="str">
        <f>IF(A147="","",IF(COUNTIF(itens_Remanesc!$A$2:$A$200,A147)=0,"NOVO ITEM NAO CADASTRADO - CADASTRAR EM itens_Remanesc: ITEM + VU_ORIGINAL (QTD_BASE_ORIGINAL sera 0 automaticamente); depois a data e a quantidade aqui.",IF(COUNTIF(itens_Remanesc!$A$2:$A$200,A147)&gt;1,"ALERTA: ITEM_DUPLICADO",IF(OR(C147="",C147="Fora dos ciclos"),"ALERTA: CICLO_INVALIDO",IF(NOT(ISNUMBER(E147)),"ALERTA: QTD_INVALIDA",IF(AND(LEFT(UPPER(D147),3)&lt;&gt;"ACR",LEFT(UPPER(D147),4)&lt;&gt;"SUPR",LEFT(UPPER(D147),4)&lt;&gt;"DECR"),"ALERTA: TIPO_INVALIDO","OK"))))))</f>
        <v/>
      </c>
    </row>
    <row r="148" spans="1:13" ht="45" customHeight="1" x14ac:dyDescent="0.35">
      <c r="A148" s="103"/>
      <c r="B148" s="186"/>
      <c r="C148" s="99" t="str">
        <f>IF(B148="","",IFERROR(IF(NOT(ISNUMBER(parametros!$C$2)),"Fora dos ciclos",IF(OR(B148&lt;parametros!$C$2,(YEAR(B148)-YEAR(parametros!$C$2))*12+MONTH(B148)-MONTH(parametros!$C$2)&gt;59),"Fora dos ciclos","C"&amp;INT(((YEAR(B148)-YEAR(parametros!$C$2))*12+MONTH(B148)-MONTH(parametros!$C$2))/12))),"Fora dos ciclos"))</f>
        <v/>
      </c>
      <c r="D148" s="103"/>
      <c r="E148" s="104"/>
      <c r="F148" s="105" t="str">
        <f>IF(A148="","",IFERROR(VLOOKUP(A148,itens_Remanesc!$A:$C,3,0),""))</f>
        <v/>
      </c>
      <c r="G148" s="105" t="str">
        <f t="shared" si="8"/>
        <v/>
      </c>
      <c r="H148" s="103"/>
      <c r="I148" s="64" t="str">
        <f>IFERROR(VLOOKUP(C148,parametros!$B:$F,5,0),"")</f>
        <v/>
      </c>
      <c r="J148" s="105" t="str">
        <f>IF(OR(L148="",F148=""),"",ROUND(L148*IF(AND(UPPER(H148)="SIM",ISNUMBER(IF($C148="C0",IFERROR(VLOOKUP($A148,historico_VU!$A:$G,3,0),""),IF($C148="C1",IFERROR(VLOOKUP($A148,historico_VU!$A:$G,4,0),""),IF($C148="C2",IFERROR(VLOOKUP($A148,historico_VU!$A:$G,5,0),""),IF($C148="C3",IFERROR(VLOOKUP($A148,historico_VU!$A:$G,6,0),""),IF($C148="C4",IFERROR(VLOOKUP($A148,historico_VU!$A:$G,7,0),""),""))))))),IF($C148="C0",IFERROR(VLOOKUP($A148,historico_VU!$A:$G,3,0),""),IF($C148="C1",IFERROR(VLOOKUP($A148,historico_VU!$A:$G,4,0),""),IF($C148="C2",IFERROR(VLOOKUP($A148,historico_VU!$A:$G,5,0),""),IF($C148="C3",IFERROR(VLOOKUP($A148,historico_VU!$A:$G,6,0),""),IF($C148="C4",IFERROR(VLOOKUP($A148,historico_VU!$A:$G,7,0),""),""))))),F148),2))</f>
        <v/>
      </c>
      <c r="K148" s="103"/>
      <c r="L148" s="85" t="str">
        <f t="shared" si="9"/>
        <v/>
      </c>
      <c r="M148" s="203" t="str">
        <f>IF(A148="","",IF(COUNTIF(itens_Remanesc!$A$2:$A$200,A148)=0,"NOVO ITEM NAO CADASTRADO - CADASTRAR EM itens_Remanesc: ITEM + VU_ORIGINAL (QTD_BASE_ORIGINAL sera 0 automaticamente); depois a data e a quantidade aqui.",IF(COUNTIF(itens_Remanesc!$A$2:$A$200,A148)&gt;1,"ALERTA: ITEM_DUPLICADO",IF(OR(C148="",C148="Fora dos ciclos"),"ALERTA: CICLO_INVALIDO",IF(NOT(ISNUMBER(E148)),"ALERTA: QTD_INVALIDA",IF(AND(LEFT(UPPER(D148),3)&lt;&gt;"ACR",LEFT(UPPER(D148),4)&lt;&gt;"SUPR",LEFT(UPPER(D148),4)&lt;&gt;"DECR"),"ALERTA: TIPO_INVALIDO","OK"))))))</f>
        <v/>
      </c>
    </row>
    <row r="149" spans="1:13" ht="45" customHeight="1" x14ac:dyDescent="0.35">
      <c r="A149" s="103"/>
      <c r="B149" s="186"/>
      <c r="C149" s="99" t="str">
        <f>IF(B149="","",IFERROR(IF(NOT(ISNUMBER(parametros!$C$2)),"Fora dos ciclos",IF(OR(B149&lt;parametros!$C$2,(YEAR(B149)-YEAR(parametros!$C$2))*12+MONTH(B149)-MONTH(parametros!$C$2)&gt;59),"Fora dos ciclos","C"&amp;INT(((YEAR(B149)-YEAR(parametros!$C$2))*12+MONTH(B149)-MONTH(parametros!$C$2))/12))),"Fora dos ciclos"))</f>
        <v/>
      </c>
      <c r="D149" s="103"/>
      <c r="E149" s="104"/>
      <c r="F149" s="105" t="str">
        <f>IF(A149="","",IFERROR(VLOOKUP(A149,itens_Remanesc!$A:$C,3,0),""))</f>
        <v/>
      </c>
      <c r="G149" s="105" t="str">
        <f t="shared" si="8"/>
        <v/>
      </c>
      <c r="H149" s="103"/>
      <c r="I149" s="64" t="str">
        <f>IFERROR(VLOOKUP(C149,parametros!$B:$F,5,0),"")</f>
        <v/>
      </c>
      <c r="J149" s="105" t="str">
        <f>IF(OR(L149="",F149=""),"",ROUND(L149*IF(AND(UPPER(H149)="SIM",ISNUMBER(IF($C149="C0",IFERROR(VLOOKUP($A149,historico_VU!$A:$G,3,0),""),IF($C149="C1",IFERROR(VLOOKUP($A149,historico_VU!$A:$G,4,0),""),IF($C149="C2",IFERROR(VLOOKUP($A149,historico_VU!$A:$G,5,0),""),IF($C149="C3",IFERROR(VLOOKUP($A149,historico_VU!$A:$G,6,0),""),IF($C149="C4",IFERROR(VLOOKUP($A149,historico_VU!$A:$G,7,0),""),""))))))),IF($C149="C0",IFERROR(VLOOKUP($A149,historico_VU!$A:$G,3,0),""),IF($C149="C1",IFERROR(VLOOKUP($A149,historico_VU!$A:$G,4,0),""),IF($C149="C2",IFERROR(VLOOKUP($A149,historico_VU!$A:$G,5,0),""),IF($C149="C3",IFERROR(VLOOKUP($A149,historico_VU!$A:$G,6,0),""),IF($C149="C4",IFERROR(VLOOKUP($A149,historico_VU!$A:$G,7,0),""),""))))),F149),2))</f>
        <v/>
      </c>
      <c r="K149" s="103"/>
      <c r="L149" s="85" t="str">
        <f t="shared" si="9"/>
        <v/>
      </c>
      <c r="M149" s="203" t="str">
        <f>IF(A149="","",IF(COUNTIF(itens_Remanesc!$A$2:$A$200,A149)=0,"NOVO ITEM NAO CADASTRADO - CADASTRAR EM itens_Remanesc: ITEM + VU_ORIGINAL (QTD_BASE_ORIGINAL sera 0 automaticamente); depois a data e a quantidade aqui.",IF(COUNTIF(itens_Remanesc!$A$2:$A$200,A149)&gt;1,"ALERTA: ITEM_DUPLICADO",IF(OR(C149="",C149="Fora dos ciclos"),"ALERTA: CICLO_INVALIDO",IF(NOT(ISNUMBER(E149)),"ALERTA: QTD_INVALIDA",IF(AND(LEFT(UPPER(D149),3)&lt;&gt;"ACR",LEFT(UPPER(D149),4)&lt;&gt;"SUPR",LEFT(UPPER(D149),4)&lt;&gt;"DECR"),"ALERTA: TIPO_INVALIDO","OK"))))))</f>
        <v/>
      </c>
    </row>
    <row r="150" spans="1:13" ht="45" customHeight="1" x14ac:dyDescent="0.35">
      <c r="A150" s="103"/>
      <c r="B150" s="186"/>
      <c r="C150" s="99" t="str">
        <f>IF(B150="","",IFERROR(IF(NOT(ISNUMBER(parametros!$C$2)),"Fora dos ciclos",IF(OR(B150&lt;parametros!$C$2,(YEAR(B150)-YEAR(parametros!$C$2))*12+MONTH(B150)-MONTH(parametros!$C$2)&gt;59),"Fora dos ciclos","C"&amp;INT(((YEAR(B150)-YEAR(parametros!$C$2))*12+MONTH(B150)-MONTH(parametros!$C$2))/12))),"Fora dos ciclos"))</f>
        <v/>
      </c>
      <c r="D150" s="103"/>
      <c r="E150" s="104"/>
      <c r="F150" s="105" t="str">
        <f>IF(A150="","",IFERROR(VLOOKUP(A150,itens_Remanesc!$A:$C,3,0),""))</f>
        <v/>
      </c>
      <c r="G150" s="105" t="str">
        <f t="shared" si="8"/>
        <v/>
      </c>
      <c r="H150" s="103"/>
      <c r="I150" s="64" t="str">
        <f>IFERROR(VLOOKUP(C150,parametros!$B:$F,5,0),"")</f>
        <v/>
      </c>
      <c r="J150" s="105" t="str">
        <f>IF(OR(L150="",F150=""),"",ROUND(L150*IF(AND(UPPER(H150)="SIM",ISNUMBER(IF($C150="C0",IFERROR(VLOOKUP($A150,historico_VU!$A:$G,3,0),""),IF($C150="C1",IFERROR(VLOOKUP($A150,historico_VU!$A:$G,4,0),""),IF($C150="C2",IFERROR(VLOOKUP($A150,historico_VU!$A:$G,5,0),""),IF($C150="C3",IFERROR(VLOOKUP($A150,historico_VU!$A:$G,6,0),""),IF($C150="C4",IFERROR(VLOOKUP($A150,historico_VU!$A:$G,7,0),""),""))))))),IF($C150="C0",IFERROR(VLOOKUP($A150,historico_VU!$A:$G,3,0),""),IF($C150="C1",IFERROR(VLOOKUP($A150,historico_VU!$A:$G,4,0),""),IF($C150="C2",IFERROR(VLOOKUP($A150,historico_VU!$A:$G,5,0),""),IF($C150="C3",IFERROR(VLOOKUP($A150,historico_VU!$A:$G,6,0),""),IF($C150="C4",IFERROR(VLOOKUP($A150,historico_VU!$A:$G,7,0),""),""))))),F150),2))</f>
        <v/>
      </c>
      <c r="K150" s="103"/>
      <c r="L150" s="85" t="str">
        <f t="shared" si="9"/>
        <v/>
      </c>
      <c r="M150" s="203" t="str">
        <f>IF(A150="","",IF(COUNTIF(itens_Remanesc!$A$2:$A$200,A150)=0,"NOVO ITEM NAO CADASTRADO - CADASTRAR EM itens_Remanesc: ITEM + VU_ORIGINAL (QTD_BASE_ORIGINAL sera 0 automaticamente); depois a data e a quantidade aqui.",IF(COUNTIF(itens_Remanesc!$A$2:$A$200,A150)&gt;1,"ALERTA: ITEM_DUPLICADO",IF(OR(C150="",C150="Fora dos ciclos"),"ALERTA: CICLO_INVALIDO",IF(NOT(ISNUMBER(E150)),"ALERTA: QTD_INVALIDA",IF(AND(LEFT(UPPER(D150),3)&lt;&gt;"ACR",LEFT(UPPER(D150),4)&lt;&gt;"SUPR",LEFT(UPPER(D150),4)&lt;&gt;"DECR"),"ALERTA: TIPO_INVALIDO","OK"))))))</f>
        <v/>
      </c>
    </row>
    <row r="151" spans="1:13" ht="45" customHeight="1" x14ac:dyDescent="0.35">
      <c r="A151" s="103"/>
      <c r="B151" s="186"/>
      <c r="C151" s="99" t="str">
        <f>IF(B151="","",IFERROR(IF(NOT(ISNUMBER(parametros!$C$2)),"Fora dos ciclos",IF(OR(B151&lt;parametros!$C$2,(YEAR(B151)-YEAR(parametros!$C$2))*12+MONTH(B151)-MONTH(parametros!$C$2)&gt;59),"Fora dos ciclos","C"&amp;INT(((YEAR(B151)-YEAR(parametros!$C$2))*12+MONTH(B151)-MONTH(parametros!$C$2))/12))),"Fora dos ciclos"))</f>
        <v/>
      </c>
      <c r="D151" s="103"/>
      <c r="E151" s="104"/>
      <c r="F151" s="105" t="str">
        <f>IF(A151="","",IFERROR(VLOOKUP(A151,itens_Remanesc!$A:$C,3,0),""))</f>
        <v/>
      </c>
      <c r="G151" s="105" t="str">
        <f t="shared" si="8"/>
        <v/>
      </c>
      <c r="H151" s="103"/>
      <c r="I151" s="64" t="str">
        <f>IFERROR(VLOOKUP(C151,parametros!$B:$F,5,0),"")</f>
        <v/>
      </c>
      <c r="J151" s="105" t="str">
        <f>IF(OR(L151="",F151=""),"",ROUND(L151*IF(AND(UPPER(H151)="SIM",ISNUMBER(IF($C151="C0",IFERROR(VLOOKUP($A151,historico_VU!$A:$G,3,0),""),IF($C151="C1",IFERROR(VLOOKUP($A151,historico_VU!$A:$G,4,0),""),IF($C151="C2",IFERROR(VLOOKUP($A151,historico_VU!$A:$G,5,0),""),IF($C151="C3",IFERROR(VLOOKUP($A151,historico_VU!$A:$G,6,0),""),IF($C151="C4",IFERROR(VLOOKUP($A151,historico_VU!$A:$G,7,0),""),""))))))),IF($C151="C0",IFERROR(VLOOKUP($A151,historico_VU!$A:$G,3,0),""),IF($C151="C1",IFERROR(VLOOKUP($A151,historico_VU!$A:$G,4,0),""),IF($C151="C2",IFERROR(VLOOKUP($A151,historico_VU!$A:$G,5,0),""),IF($C151="C3",IFERROR(VLOOKUP($A151,historico_VU!$A:$G,6,0),""),IF($C151="C4",IFERROR(VLOOKUP($A151,historico_VU!$A:$G,7,0),""),""))))),F151),2))</f>
        <v/>
      </c>
      <c r="K151" s="103"/>
      <c r="L151" s="85" t="str">
        <f t="shared" si="9"/>
        <v/>
      </c>
      <c r="M151" s="203" t="str">
        <f>IF(A151="","",IF(COUNTIF(itens_Remanesc!$A$2:$A$200,A151)=0,"NOVO ITEM NAO CADASTRADO - CADASTRAR EM itens_Remanesc: ITEM + VU_ORIGINAL (QTD_BASE_ORIGINAL sera 0 automaticamente); depois a data e a quantidade aqui.",IF(COUNTIF(itens_Remanesc!$A$2:$A$200,A151)&gt;1,"ALERTA: ITEM_DUPLICADO",IF(OR(C151="",C151="Fora dos ciclos"),"ALERTA: CICLO_INVALIDO",IF(NOT(ISNUMBER(E151)),"ALERTA: QTD_INVALIDA",IF(AND(LEFT(UPPER(D151),3)&lt;&gt;"ACR",LEFT(UPPER(D151),4)&lt;&gt;"SUPR",LEFT(UPPER(D151),4)&lt;&gt;"DECR"),"ALERTA: TIPO_INVALIDO","OK"))))))</f>
        <v/>
      </c>
    </row>
    <row r="152" spans="1:13" ht="45" customHeight="1" x14ac:dyDescent="0.35">
      <c r="A152" s="103"/>
      <c r="B152" s="186"/>
      <c r="C152" s="99" t="str">
        <f>IF(B152="","",IFERROR(IF(NOT(ISNUMBER(parametros!$C$2)),"Fora dos ciclos",IF(OR(B152&lt;parametros!$C$2,(YEAR(B152)-YEAR(parametros!$C$2))*12+MONTH(B152)-MONTH(parametros!$C$2)&gt;59),"Fora dos ciclos","C"&amp;INT(((YEAR(B152)-YEAR(parametros!$C$2))*12+MONTH(B152)-MONTH(parametros!$C$2))/12))),"Fora dos ciclos"))</f>
        <v/>
      </c>
      <c r="D152" s="103"/>
      <c r="E152" s="104"/>
      <c r="F152" s="105" t="str">
        <f>IF(A152="","",IFERROR(VLOOKUP(A152,itens_Remanesc!$A:$C,3,0),""))</f>
        <v/>
      </c>
      <c r="G152" s="105" t="str">
        <f t="shared" si="8"/>
        <v/>
      </c>
      <c r="H152" s="103"/>
      <c r="I152" s="64" t="str">
        <f>IFERROR(VLOOKUP(C152,parametros!$B:$F,5,0),"")</f>
        <v/>
      </c>
      <c r="J152" s="105" t="str">
        <f>IF(OR(L152="",F152=""),"",ROUND(L152*IF(AND(UPPER(H152)="SIM",ISNUMBER(IF($C152="C0",IFERROR(VLOOKUP($A152,historico_VU!$A:$G,3,0),""),IF($C152="C1",IFERROR(VLOOKUP($A152,historico_VU!$A:$G,4,0),""),IF($C152="C2",IFERROR(VLOOKUP($A152,historico_VU!$A:$G,5,0),""),IF($C152="C3",IFERROR(VLOOKUP($A152,historico_VU!$A:$G,6,0),""),IF($C152="C4",IFERROR(VLOOKUP($A152,historico_VU!$A:$G,7,0),""),""))))))),IF($C152="C0",IFERROR(VLOOKUP($A152,historico_VU!$A:$G,3,0),""),IF($C152="C1",IFERROR(VLOOKUP($A152,historico_VU!$A:$G,4,0),""),IF($C152="C2",IFERROR(VLOOKUP($A152,historico_VU!$A:$G,5,0),""),IF($C152="C3",IFERROR(VLOOKUP($A152,historico_VU!$A:$G,6,0),""),IF($C152="C4",IFERROR(VLOOKUP($A152,historico_VU!$A:$G,7,0),""),""))))),F152),2))</f>
        <v/>
      </c>
      <c r="K152" s="103"/>
      <c r="L152" s="85" t="str">
        <f t="shared" si="9"/>
        <v/>
      </c>
      <c r="M152" s="203" t="str">
        <f>IF(A152="","",IF(COUNTIF(itens_Remanesc!$A$2:$A$200,A152)=0,"NOVO ITEM NAO CADASTRADO - CADASTRAR EM itens_Remanesc: ITEM + VU_ORIGINAL (QTD_BASE_ORIGINAL sera 0 automaticamente); depois a data e a quantidade aqui.",IF(COUNTIF(itens_Remanesc!$A$2:$A$200,A152)&gt;1,"ALERTA: ITEM_DUPLICADO",IF(OR(C152="",C152="Fora dos ciclos"),"ALERTA: CICLO_INVALIDO",IF(NOT(ISNUMBER(E152)),"ALERTA: QTD_INVALIDA",IF(AND(LEFT(UPPER(D152),3)&lt;&gt;"ACR",LEFT(UPPER(D152),4)&lt;&gt;"SUPR",LEFT(UPPER(D152),4)&lt;&gt;"DECR"),"ALERTA: TIPO_INVALIDO","OK"))))))</f>
        <v/>
      </c>
    </row>
    <row r="153" spans="1:13" ht="45" customHeight="1" x14ac:dyDescent="0.35">
      <c r="A153" s="103"/>
      <c r="B153" s="186"/>
      <c r="C153" s="99" t="str">
        <f>IF(B153="","",IFERROR(IF(NOT(ISNUMBER(parametros!$C$2)),"Fora dos ciclos",IF(OR(B153&lt;parametros!$C$2,(YEAR(B153)-YEAR(parametros!$C$2))*12+MONTH(B153)-MONTH(parametros!$C$2)&gt;59),"Fora dos ciclos","C"&amp;INT(((YEAR(B153)-YEAR(parametros!$C$2))*12+MONTH(B153)-MONTH(parametros!$C$2))/12))),"Fora dos ciclos"))</f>
        <v/>
      </c>
      <c r="D153" s="103"/>
      <c r="E153" s="104"/>
      <c r="F153" s="105" t="str">
        <f>IF(A153="","",IFERROR(VLOOKUP(A153,itens_Remanesc!$A:$C,3,0),""))</f>
        <v/>
      </c>
      <c r="G153" s="105" t="str">
        <f t="shared" si="8"/>
        <v/>
      </c>
      <c r="H153" s="103"/>
      <c r="I153" s="64" t="str">
        <f>IFERROR(VLOOKUP(C153,parametros!$B:$F,5,0),"")</f>
        <v/>
      </c>
      <c r="J153" s="105" t="str">
        <f>IF(OR(L153="",F153=""),"",ROUND(L153*IF(AND(UPPER(H153)="SIM",ISNUMBER(IF($C153="C0",IFERROR(VLOOKUP($A153,historico_VU!$A:$G,3,0),""),IF($C153="C1",IFERROR(VLOOKUP($A153,historico_VU!$A:$G,4,0),""),IF($C153="C2",IFERROR(VLOOKUP($A153,historico_VU!$A:$G,5,0),""),IF($C153="C3",IFERROR(VLOOKUP($A153,historico_VU!$A:$G,6,0),""),IF($C153="C4",IFERROR(VLOOKUP($A153,historico_VU!$A:$G,7,0),""),""))))))),IF($C153="C0",IFERROR(VLOOKUP($A153,historico_VU!$A:$G,3,0),""),IF($C153="C1",IFERROR(VLOOKUP($A153,historico_VU!$A:$G,4,0),""),IF($C153="C2",IFERROR(VLOOKUP($A153,historico_VU!$A:$G,5,0),""),IF($C153="C3",IFERROR(VLOOKUP($A153,historico_VU!$A:$G,6,0),""),IF($C153="C4",IFERROR(VLOOKUP($A153,historico_VU!$A:$G,7,0),""),""))))),F153),2))</f>
        <v/>
      </c>
      <c r="K153" s="103"/>
      <c r="L153" s="85" t="str">
        <f t="shared" si="9"/>
        <v/>
      </c>
      <c r="M153" s="203" t="str">
        <f>IF(A153="","",IF(COUNTIF(itens_Remanesc!$A$2:$A$200,A153)=0,"NOVO ITEM NAO CADASTRADO - CADASTRAR EM itens_Remanesc: ITEM + VU_ORIGINAL (QTD_BASE_ORIGINAL sera 0 automaticamente); depois a data e a quantidade aqui.",IF(COUNTIF(itens_Remanesc!$A$2:$A$200,A153)&gt;1,"ALERTA: ITEM_DUPLICADO",IF(OR(C153="",C153="Fora dos ciclos"),"ALERTA: CICLO_INVALIDO",IF(NOT(ISNUMBER(E153)),"ALERTA: QTD_INVALIDA",IF(AND(LEFT(UPPER(D153),3)&lt;&gt;"ACR",LEFT(UPPER(D153),4)&lt;&gt;"SUPR",LEFT(UPPER(D153),4)&lt;&gt;"DECR"),"ALERTA: TIPO_INVALIDO","OK"))))))</f>
        <v/>
      </c>
    </row>
    <row r="154" spans="1:13" ht="45" customHeight="1" x14ac:dyDescent="0.35">
      <c r="A154" s="103"/>
      <c r="B154" s="186"/>
      <c r="C154" s="99" t="str">
        <f>IF(B154="","",IFERROR(IF(NOT(ISNUMBER(parametros!$C$2)),"Fora dos ciclos",IF(OR(B154&lt;parametros!$C$2,(YEAR(B154)-YEAR(parametros!$C$2))*12+MONTH(B154)-MONTH(parametros!$C$2)&gt;59),"Fora dos ciclos","C"&amp;INT(((YEAR(B154)-YEAR(parametros!$C$2))*12+MONTH(B154)-MONTH(parametros!$C$2))/12))),"Fora dos ciclos"))</f>
        <v/>
      </c>
      <c r="D154" s="103"/>
      <c r="E154" s="104"/>
      <c r="F154" s="105" t="str">
        <f>IF(A154="","",IFERROR(VLOOKUP(A154,itens_Remanesc!$A:$C,3,0),""))</f>
        <v/>
      </c>
      <c r="G154" s="105" t="str">
        <f t="shared" si="8"/>
        <v/>
      </c>
      <c r="H154" s="103"/>
      <c r="I154" s="64" t="str">
        <f>IFERROR(VLOOKUP(C154,parametros!$B:$F,5,0),"")</f>
        <v/>
      </c>
      <c r="J154" s="105" t="str">
        <f>IF(OR(L154="",F154=""),"",ROUND(L154*IF(AND(UPPER(H154)="SIM",ISNUMBER(IF($C154="C0",IFERROR(VLOOKUP($A154,historico_VU!$A:$G,3,0),""),IF($C154="C1",IFERROR(VLOOKUP($A154,historico_VU!$A:$G,4,0),""),IF($C154="C2",IFERROR(VLOOKUP($A154,historico_VU!$A:$G,5,0),""),IF($C154="C3",IFERROR(VLOOKUP($A154,historico_VU!$A:$G,6,0),""),IF($C154="C4",IFERROR(VLOOKUP($A154,historico_VU!$A:$G,7,0),""),""))))))),IF($C154="C0",IFERROR(VLOOKUP($A154,historico_VU!$A:$G,3,0),""),IF($C154="C1",IFERROR(VLOOKUP($A154,historico_VU!$A:$G,4,0),""),IF($C154="C2",IFERROR(VLOOKUP($A154,historico_VU!$A:$G,5,0),""),IF($C154="C3",IFERROR(VLOOKUP($A154,historico_VU!$A:$G,6,0),""),IF($C154="C4",IFERROR(VLOOKUP($A154,historico_VU!$A:$G,7,0),""),""))))),F154),2))</f>
        <v/>
      </c>
      <c r="K154" s="103"/>
      <c r="L154" s="85" t="str">
        <f t="shared" si="9"/>
        <v/>
      </c>
      <c r="M154" s="203" t="str">
        <f>IF(A154="","",IF(COUNTIF(itens_Remanesc!$A$2:$A$200,A154)=0,"NOVO ITEM NAO CADASTRADO - CADASTRAR EM itens_Remanesc: ITEM + VU_ORIGINAL (QTD_BASE_ORIGINAL sera 0 automaticamente); depois a data e a quantidade aqui.",IF(COUNTIF(itens_Remanesc!$A$2:$A$200,A154)&gt;1,"ALERTA: ITEM_DUPLICADO",IF(OR(C154="",C154="Fora dos ciclos"),"ALERTA: CICLO_INVALIDO",IF(NOT(ISNUMBER(E154)),"ALERTA: QTD_INVALIDA",IF(AND(LEFT(UPPER(D154),3)&lt;&gt;"ACR",LEFT(UPPER(D154),4)&lt;&gt;"SUPR",LEFT(UPPER(D154),4)&lt;&gt;"DECR"),"ALERTA: TIPO_INVALIDO","OK"))))))</f>
        <v/>
      </c>
    </row>
    <row r="155" spans="1:13" ht="45" customHeight="1" x14ac:dyDescent="0.35">
      <c r="A155" s="103"/>
      <c r="B155" s="186"/>
      <c r="C155" s="99" t="str">
        <f>IF(B155="","",IFERROR(IF(NOT(ISNUMBER(parametros!$C$2)),"Fora dos ciclos",IF(OR(B155&lt;parametros!$C$2,(YEAR(B155)-YEAR(parametros!$C$2))*12+MONTH(B155)-MONTH(parametros!$C$2)&gt;59),"Fora dos ciclos","C"&amp;INT(((YEAR(B155)-YEAR(parametros!$C$2))*12+MONTH(B155)-MONTH(parametros!$C$2))/12))),"Fora dos ciclos"))</f>
        <v/>
      </c>
      <c r="D155" s="103"/>
      <c r="E155" s="104"/>
      <c r="F155" s="105" t="str">
        <f>IF(A155="","",IFERROR(VLOOKUP(A155,itens_Remanesc!$A:$C,3,0),""))</f>
        <v/>
      </c>
      <c r="G155" s="105" t="str">
        <f t="shared" si="8"/>
        <v/>
      </c>
      <c r="H155" s="103"/>
      <c r="I155" s="64" t="str">
        <f>IFERROR(VLOOKUP(C155,parametros!$B:$F,5,0),"")</f>
        <v/>
      </c>
      <c r="J155" s="105" t="str">
        <f>IF(OR(L155="",F155=""),"",ROUND(L155*IF(AND(UPPER(H155)="SIM",ISNUMBER(IF($C155="C0",IFERROR(VLOOKUP($A155,historico_VU!$A:$G,3,0),""),IF($C155="C1",IFERROR(VLOOKUP($A155,historico_VU!$A:$G,4,0),""),IF($C155="C2",IFERROR(VLOOKUP($A155,historico_VU!$A:$G,5,0),""),IF($C155="C3",IFERROR(VLOOKUP($A155,historico_VU!$A:$G,6,0),""),IF($C155="C4",IFERROR(VLOOKUP($A155,historico_VU!$A:$G,7,0),""),""))))))),IF($C155="C0",IFERROR(VLOOKUP($A155,historico_VU!$A:$G,3,0),""),IF($C155="C1",IFERROR(VLOOKUP($A155,historico_VU!$A:$G,4,0),""),IF($C155="C2",IFERROR(VLOOKUP($A155,historico_VU!$A:$G,5,0),""),IF($C155="C3",IFERROR(VLOOKUP($A155,historico_VU!$A:$G,6,0),""),IF($C155="C4",IFERROR(VLOOKUP($A155,historico_VU!$A:$G,7,0),""),""))))),F155),2))</f>
        <v/>
      </c>
      <c r="K155" s="103"/>
      <c r="L155" s="85" t="str">
        <f t="shared" si="9"/>
        <v/>
      </c>
      <c r="M155" s="203" t="str">
        <f>IF(A155="","",IF(COUNTIF(itens_Remanesc!$A$2:$A$200,A155)=0,"NOVO ITEM NAO CADASTRADO - CADASTRAR EM itens_Remanesc: ITEM + VU_ORIGINAL (QTD_BASE_ORIGINAL sera 0 automaticamente); depois a data e a quantidade aqui.",IF(COUNTIF(itens_Remanesc!$A$2:$A$200,A155)&gt;1,"ALERTA: ITEM_DUPLICADO",IF(OR(C155="",C155="Fora dos ciclos"),"ALERTA: CICLO_INVALIDO",IF(NOT(ISNUMBER(E155)),"ALERTA: QTD_INVALIDA",IF(AND(LEFT(UPPER(D155),3)&lt;&gt;"ACR",LEFT(UPPER(D155),4)&lt;&gt;"SUPR",LEFT(UPPER(D155),4)&lt;&gt;"DECR"),"ALERTA: TIPO_INVALIDO","OK"))))))</f>
        <v/>
      </c>
    </row>
    <row r="156" spans="1:13" ht="45" customHeight="1" x14ac:dyDescent="0.35">
      <c r="A156" s="103"/>
      <c r="B156" s="186"/>
      <c r="C156" s="99" t="str">
        <f>IF(B156="","",IFERROR(IF(NOT(ISNUMBER(parametros!$C$2)),"Fora dos ciclos",IF(OR(B156&lt;parametros!$C$2,(YEAR(B156)-YEAR(parametros!$C$2))*12+MONTH(B156)-MONTH(parametros!$C$2)&gt;59),"Fora dos ciclos","C"&amp;INT(((YEAR(B156)-YEAR(parametros!$C$2))*12+MONTH(B156)-MONTH(parametros!$C$2))/12))),"Fora dos ciclos"))</f>
        <v/>
      </c>
      <c r="D156" s="103"/>
      <c r="E156" s="104"/>
      <c r="F156" s="105" t="str">
        <f>IF(A156="","",IFERROR(VLOOKUP(A156,itens_Remanesc!$A:$C,3,0),""))</f>
        <v/>
      </c>
      <c r="G156" s="105" t="str">
        <f t="shared" si="8"/>
        <v/>
      </c>
      <c r="H156" s="103"/>
      <c r="I156" s="64" t="str">
        <f>IFERROR(VLOOKUP(C156,parametros!$B:$F,5,0),"")</f>
        <v/>
      </c>
      <c r="J156" s="105" t="str">
        <f>IF(OR(L156="",F156=""),"",ROUND(L156*IF(AND(UPPER(H156)="SIM",ISNUMBER(IF($C156="C0",IFERROR(VLOOKUP($A156,historico_VU!$A:$G,3,0),""),IF($C156="C1",IFERROR(VLOOKUP($A156,historico_VU!$A:$G,4,0),""),IF($C156="C2",IFERROR(VLOOKUP($A156,historico_VU!$A:$G,5,0),""),IF($C156="C3",IFERROR(VLOOKUP($A156,historico_VU!$A:$G,6,0),""),IF($C156="C4",IFERROR(VLOOKUP($A156,historico_VU!$A:$G,7,0),""),""))))))),IF($C156="C0",IFERROR(VLOOKUP($A156,historico_VU!$A:$G,3,0),""),IF($C156="C1",IFERROR(VLOOKUP($A156,historico_VU!$A:$G,4,0),""),IF($C156="C2",IFERROR(VLOOKUP($A156,historico_VU!$A:$G,5,0),""),IF($C156="C3",IFERROR(VLOOKUP($A156,historico_VU!$A:$G,6,0),""),IF($C156="C4",IFERROR(VLOOKUP($A156,historico_VU!$A:$G,7,0),""),""))))),F156),2))</f>
        <v/>
      </c>
      <c r="K156" s="103"/>
      <c r="L156" s="85" t="str">
        <f t="shared" si="9"/>
        <v/>
      </c>
      <c r="M156" s="203" t="str">
        <f>IF(A156="","",IF(COUNTIF(itens_Remanesc!$A$2:$A$200,A156)=0,"NOVO ITEM NAO CADASTRADO - CADASTRAR EM itens_Remanesc: ITEM + VU_ORIGINAL (QTD_BASE_ORIGINAL sera 0 automaticamente); depois a data e a quantidade aqui.",IF(COUNTIF(itens_Remanesc!$A$2:$A$200,A156)&gt;1,"ALERTA: ITEM_DUPLICADO",IF(OR(C156="",C156="Fora dos ciclos"),"ALERTA: CICLO_INVALIDO",IF(NOT(ISNUMBER(E156)),"ALERTA: QTD_INVALIDA",IF(AND(LEFT(UPPER(D156),3)&lt;&gt;"ACR",LEFT(UPPER(D156),4)&lt;&gt;"SUPR",LEFT(UPPER(D156),4)&lt;&gt;"DECR"),"ALERTA: TIPO_INVALIDO","OK"))))))</f>
        <v/>
      </c>
    </row>
    <row r="157" spans="1:13" ht="45" customHeight="1" x14ac:dyDescent="0.35">
      <c r="A157" s="103"/>
      <c r="B157" s="186"/>
      <c r="C157" s="99" t="str">
        <f>IF(B157="","",IFERROR(IF(NOT(ISNUMBER(parametros!$C$2)),"Fora dos ciclos",IF(OR(B157&lt;parametros!$C$2,(YEAR(B157)-YEAR(parametros!$C$2))*12+MONTH(B157)-MONTH(parametros!$C$2)&gt;59),"Fora dos ciclos","C"&amp;INT(((YEAR(B157)-YEAR(parametros!$C$2))*12+MONTH(B157)-MONTH(parametros!$C$2))/12))),"Fora dos ciclos"))</f>
        <v/>
      </c>
      <c r="D157" s="103"/>
      <c r="E157" s="104"/>
      <c r="F157" s="105" t="str">
        <f>IF(A157="","",IFERROR(VLOOKUP(A157,itens_Remanesc!$A:$C,3,0),""))</f>
        <v/>
      </c>
      <c r="G157" s="105" t="str">
        <f t="shared" si="8"/>
        <v/>
      </c>
      <c r="H157" s="103"/>
      <c r="I157" s="64" t="str">
        <f>IFERROR(VLOOKUP(C157,parametros!$B:$F,5,0),"")</f>
        <v/>
      </c>
      <c r="J157" s="105" t="str">
        <f>IF(OR(L157="",F157=""),"",ROUND(L157*IF(AND(UPPER(H157)="SIM",ISNUMBER(IF($C157="C0",IFERROR(VLOOKUP($A157,historico_VU!$A:$G,3,0),""),IF($C157="C1",IFERROR(VLOOKUP($A157,historico_VU!$A:$G,4,0),""),IF($C157="C2",IFERROR(VLOOKUP($A157,historico_VU!$A:$G,5,0),""),IF($C157="C3",IFERROR(VLOOKUP($A157,historico_VU!$A:$G,6,0),""),IF($C157="C4",IFERROR(VLOOKUP($A157,historico_VU!$A:$G,7,0),""),""))))))),IF($C157="C0",IFERROR(VLOOKUP($A157,historico_VU!$A:$G,3,0),""),IF($C157="C1",IFERROR(VLOOKUP($A157,historico_VU!$A:$G,4,0),""),IF($C157="C2",IFERROR(VLOOKUP($A157,historico_VU!$A:$G,5,0),""),IF($C157="C3",IFERROR(VLOOKUP($A157,historico_VU!$A:$G,6,0),""),IF($C157="C4",IFERROR(VLOOKUP($A157,historico_VU!$A:$G,7,0),""),""))))),F157),2))</f>
        <v/>
      </c>
      <c r="K157" s="103"/>
      <c r="L157" s="85" t="str">
        <f t="shared" si="9"/>
        <v/>
      </c>
      <c r="M157" s="203" t="str">
        <f>IF(A157="","",IF(COUNTIF(itens_Remanesc!$A$2:$A$200,A157)=0,"NOVO ITEM NAO CADASTRADO - CADASTRAR EM itens_Remanesc: ITEM + VU_ORIGINAL (QTD_BASE_ORIGINAL sera 0 automaticamente); depois a data e a quantidade aqui.",IF(COUNTIF(itens_Remanesc!$A$2:$A$200,A157)&gt;1,"ALERTA: ITEM_DUPLICADO",IF(OR(C157="",C157="Fora dos ciclos"),"ALERTA: CICLO_INVALIDO",IF(NOT(ISNUMBER(E157)),"ALERTA: QTD_INVALIDA",IF(AND(LEFT(UPPER(D157),3)&lt;&gt;"ACR",LEFT(UPPER(D157),4)&lt;&gt;"SUPR",LEFT(UPPER(D157),4)&lt;&gt;"DECR"),"ALERTA: TIPO_INVALIDO","OK"))))))</f>
        <v/>
      </c>
    </row>
    <row r="158" spans="1:13" ht="45" customHeight="1" x14ac:dyDescent="0.35">
      <c r="A158" s="103"/>
      <c r="B158" s="186"/>
      <c r="C158" s="99" t="str">
        <f>IF(B158="","",IFERROR(IF(NOT(ISNUMBER(parametros!$C$2)),"Fora dos ciclos",IF(OR(B158&lt;parametros!$C$2,(YEAR(B158)-YEAR(parametros!$C$2))*12+MONTH(B158)-MONTH(parametros!$C$2)&gt;59),"Fora dos ciclos","C"&amp;INT(((YEAR(B158)-YEAR(parametros!$C$2))*12+MONTH(B158)-MONTH(parametros!$C$2))/12))),"Fora dos ciclos"))</f>
        <v/>
      </c>
      <c r="D158" s="103"/>
      <c r="E158" s="104"/>
      <c r="F158" s="105" t="str">
        <f>IF(A158="","",IFERROR(VLOOKUP(A158,itens_Remanesc!$A:$C,3,0),""))</f>
        <v/>
      </c>
      <c r="G158" s="105" t="str">
        <f t="shared" si="8"/>
        <v/>
      </c>
      <c r="H158" s="103"/>
      <c r="I158" s="64" t="str">
        <f>IFERROR(VLOOKUP(C158,parametros!$B:$F,5,0),"")</f>
        <v/>
      </c>
      <c r="J158" s="105" t="str">
        <f>IF(OR(L158="",F158=""),"",ROUND(L158*IF(AND(UPPER(H158)="SIM",ISNUMBER(IF($C158="C0",IFERROR(VLOOKUP($A158,historico_VU!$A:$G,3,0),""),IF($C158="C1",IFERROR(VLOOKUP($A158,historico_VU!$A:$G,4,0),""),IF($C158="C2",IFERROR(VLOOKUP($A158,historico_VU!$A:$G,5,0),""),IF($C158="C3",IFERROR(VLOOKUP($A158,historico_VU!$A:$G,6,0),""),IF($C158="C4",IFERROR(VLOOKUP($A158,historico_VU!$A:$G,7,0),""),""))))))),IF($C158="C0",IFERROR(VLOOKUP($A158,historico_VU!$A:$G,3,0),""),IF($C158="C1",IFERROR(VLOOKUP($A158,historico_VU!$A:$G,4,0),""),IF($C158="C2",IFERROR(VLOOKUP($A158,historico_VU!$A:$G,5,0),""),IF($C158="C3",IFERROR(VLOOKUP($A158,historico_VU!$A:$G,6,0),""),IF($C158="C4",IFERROR(VLOOKUP($A158,historico_VU!$A:$G,7,0),""),""))))),F158),2))</f>
        <v/>
      </c>
      <c r="K158" s="103"/>
      <c r="L158" s="85" t="str">
        <f t="shared" si="9"/>
        <v/>
      </c>
      <c r="M158" s="203" t="str">
        <f>IF(A158="","",IF(COUNTIF(itens_Remanesc!$A$2:$A$200,A158)=0,"NOVO ITEM NAO CADASTRADO - CADASTRAR EM itens_Remanesc: ITEM + VU_ORIGINAL (QTD_BASE_ORIGINAL sera 0 automaticamente); depois a data e a quantidade aqui.",IF(COUNTIF(itens_Remanesc!$A$2:$A$200,A158)&gt;1,"ALERTA: ITEM_DUPLICADO",IF(OR(C158="",C158="Fora dos ciclos"),"ALERTA: CICLO_INVALIDO",IF(NOT(ISNUMBER(E158)),"ALERTA: QTD_INVALIDA",IF(AND(LEFT(UPPER(D158),3)&lt;&gt;"ACR",LEFT(UPPER(D158),4)&lt;&gt;"SUPR",LEFT(UPPER(D158),4)&lt;&gt;"DECR"),"ALERTA: TIPO_INVALIDO","OK"))))))</f>
        <v/>
      </c>
    </row>
    <row r="159" spans="1:13" ht="45" customHeight="1" x14ac:dyDescent="0.35">
      <c r="A159" s="103"/>
      <c r="B159" s="186"/>
      <c r="C159" s="99" t="str">
        <f>IF(B159="","",IFERROR(IF(NOT(ISNUMBER(parametros!$C$2)),"Fora dos ciclos",IF(OR(B159&lt;parametros!$C$2,(YEAR(B159)-YEAR(parametros!$C$2))*12+MONTH(B159)-MONTH(parametros!$C$2)&gt;59),"Fora dos ciclos","C"&amp;INT(((YEAR(B159)-YEAR(parametros!$C$2))*12+MONTH(B159)-MONTH(parametros!$C$2))/12))),"Fora dos ciclos"))</f>
        <v/>
      </c>
      <c r="D159" s="103"/>
      <c r="E159" s="104"/>
      <c r="F159" s="105" t="str">
        <f>IF(A159="","",IFERROR(VLOOKUP(A159,itens_Remanesc!$A:$C,3,0),""))</f>
        <v/>
      </c>
      <c r="G159" s="105" t="str">
        <f t="shared" si="8"/>
        <v/>
      </c>
      <c r="H159" s="103"/>
      <c r="I159" s="64" t="str">
        <f>IFERROR(VLOOKUP(C159,parametros!$B:$F,5,0),"")</f>
        <v/>
      </c>
      <c r="J159" s="105" t="str">
        <f>IF(OR(L159="",F159=""),"",ROUND(L159*IF(AND(UPPER(H159)="SIM",ISNUMBER(IF($C159="C0",IFERROR(VLOOKUP($A159,historico_VU!$A:$G,3,0),""),IF($C159="C1",IFERROR(VLOOKUP($A159,historico_VU!$A:$G,4,0),""),IF($C159="C2",IFERROR(VLOOKUP($A159,historico_VU!$A:$G,5,0),""),IF($C159="C3",IFERROR(VLOOKUP($A159,historico_VU!$A:$G,6,0),""),IF($C159="C4",IFERROR(VLOOKUP($A159,historico_VU!$A:$G,7,0),""),""))))))),IF($C159="C0",IFERROR(VLOOKUP($A159,historico_VU!$A:$G,3,0),""),IF($C159="C1",IFERROR(VLOOKUP($A159,historico_VU!$A:$G,4,0),""),IF($C159="C2",IFERROR(VLOOKUP($A159,historico_VU!$A:$G,5,0),""),IF($C159="C3",IFERROR(VLOOKUP($A159,historico_VU!$A:$G,6,0),""),IF($C159="C4",IFERROR(VLOOKUP($A159,historico_VU!$A:$G,7,0),""),""))))),F159),2))</f>
        <v/>
      </c>
      <c r="K159" s="103"/>
      <c r="L159" s="85" t="str">
        <f t="shared" si="9"/>
        <v/>
      </c>
      <c r="M159" s="203" t="str">
        <f>IF(A159="","",IF(COUNTIF(itens_Remanesc!$A$2:$A$200,A159)=0,"NOVO ITEM NAO CADASTRADO - CADASTRAR EM itens_Remanesc: ITEM + VU_ORIGINAL (QTD_BASE_ORIGINAL sera 0 automaticamente); depois a data e a quantidade aqui.",IF(COUNTIF(itens_Remanesc!$A$2:$A$200,A159)&gt;1,"ALERTA: ITEM_DUPLICADO",IF(OR(C159="",C159="Fora dos ciclos"),"ALERTA: CICLO_INVALIDO",IF(NOT(ISNUMBER(E159)),"ALERTA: QTD_INVALIDA",IF(AND(LEFT(UPPER(D159),3)&lt;&gt;"ACR",LEFT(UPPER(D159),4)&lt;&gt;"SUPR",LEFT(UPPER(D159),4)&lt;&gt;"DECR"),"ALERTA: TIPO_INVALIDO","OK"))))))</f>
        <v/>
      </c>
    </row>
    <row r="160" spans="1:13" ht="45" customHeight="1" x14ac:dyDescent="0.35">
      <c r="A160" s="103"/>
      <c r="B160" s="186"/>
      <c r="C160" s="99" t="str">
        <f>IF(B160="","",IFERROR(IF(NOT(ISNUMBER(parametros!$C$2)),"Fora dos ciclos",IF(OR(B160&lt;parametros!$C$2,(YEAR(B160)-YEAR(parametros!$C$2))*12+MONTH(B160)-MONTH(parametros!$C$2)&gt;59),"Fora dos ciclos","C"&amp;INT(((YEAR(B160)-YEAR(parametros!$C$2))*12+MONTH(B160)-MONTH(parametros!$C$2))/12))),"Fora dos ciclos"))</f>
        <v/>
      </c>
      <c r="D160" s="103"/>
      <c r="E160" s="104"/>
      <c r="F160" s="105" t="str">
        <f>IF(A160="","",IFERROR(VLOOKUP(A160,itens_Remanesc!$A:$C,3,0),""))</f>
        <v/>
      </c>
      <c r="G160" s="105" t="str">
        <f t="shared" si="8"/>
        <v/>
      </c>
      <c r="H160" s="103"/>
      <c r="I160" s="64" t="str">
        <f>IFERROR(VLOOKUP(C160,parametros!$B:$F,5,0),"")</f>
        <v/>
      </c>
      <c r="J160" s="105" t="str">
        <f>IF(OR(L160="",F160=""),"",ROUND(L160*IF(AND(UPPER(H160)="SIM",ISNUMBER(IF($C160="C0",IFERROR(VLOOKUP($A160,historico_VU!$A:$G,3,0),""),IF($C160="C1",IFERROR(VLOOKUP($A160,historico_VU!$A:$G,4,0),""),IF($C160="C2",IFERROR(VLOOKUP($A160,historico_VU!$A:$G,5,0),""),IF($C160="C3",IFERROR(VLOOKUP($A160,historico_VU!$A:$G,6,0),""),IF($C160="C4",IFERROR(VLOOKUP($A160,historico_VU!$A:$G,7,0),""),""))))))),IF($C160="C0",IFERROR(VLOOKUP($A160,historico_VU!$A:$G,3,0),""),IF($C160="C1",IFERROR(VLOOKUP($A160,historico_VU!$A:$G,4,0),""),IF($C160="C2",IFERROR(VLOOKUP($A160,historico_VU!$A:$G,5,0),""),IF($C160="C3",IFERROR(VLOOKUP($A160,historico_VU!$A:$G,6,0),""),IF($C160="C4",IFERROR(VLOOKUP($A160,historico_VU!$A:$G,7,0),""),""))))),F160),2))</f>
        <v/>
      </c>
      <c r="K160" s="103"/>
      <c r="L160" s="85" t="str">
        <f t="shared" si="9"/>
        <v/>
      </c>
      <c r="M160" s="203" t="str">
        <f>IF(A160="","",IF(COUNTIF(itens_Remanesc!$A$2:$A$200,A160)=0,"NOVO ITEM NAO CADASTRADO - CADASTRAR EM itens_Remanesc: ITEM + VU_ORIGINAL (QTD_BASE_ORIGINAL sera 0 automaticamente); depois a data e a quantidade aqui.",IF(COUNTIF(itens_Remanesc!$A$2:$A$200,A160)&gt;1,"ALERTA: ITEM_DUPLICADO",IF(OR(C160="",C160="Fora dos ciclos"),"ALERTA: CICLO_INVALIDO",IF(NOT(ISNUMBER(E160)),"ALERTA: QTD_INVALIDA",IF(AND(LEFT(UPPER(D160),3)&lt;&gt;"ACR",LEFT(UPPER(D160),4)&lt;&gt;"SUPR",LEFT(UPPER(D160),4)&lt;&gt;"DECR"),"ALERTA: TIPO_INVALIDO","OK"))))))</f>
        <v/>
      </c>
    </row>
    <row r="161" spans="1:13" ht="45" customHeight="1" x14ac:dyDescent="0.35">
      <c r="A161" s="103"/>
      <c r="B161" s="186"/>
      <c r="C161" s="99" t="str">
        <f>IF(B161="","",IFERROR(IF(NOT(ISNUMBER(parametros!$C$2)),"Fora dos ciclos",IF(OR(B161&lt;parametros!$C$2,(YEAR(B161)-YEAR(parametros!$C$2))*12+MONTH(B161)-MONTH(parametros!$C$2)&gt;59),"Fora dos ciclos","C"&amp;INT(((YEAR(B161)-YEAR(parametros!$C$2))*12+MONTH(B161)-MONTH(parametros!$C$2))/12))),"Fora dos ciclos"))</f>
        <v/>
      </c>
      <c r="D161" s="103"/>
      <c r="E161" s="104"/>
      <c r="F161" s="105" t="str">
        <f>IF(A161="","",IFERROR(VLOOKUP(A161,itens_Remanesc!$A:$C,3,0),""))</f>
        <v/>
      </c>
      <c r="G161" s="105" t="str">
        <f t="shared" si="8"/>
        <v/>
      </c>
      <c r="H161" s="103"/>
      <c r="I161" s="64" t="str">
        <f>IFERROR(VLOOKUP(C161,parametros!$B:$F,5,0),"")</f>
        <v/>
      </c>
      <c r="J161" s="105" t="str">
        <f>IF(OR(L161="",F161=""),"",ROUND(L161*IF(AND(UPPER(H161)="SIM",ISNUMBER(IF($C161="C0",IFERROR(VLOOKUP($A161,historico_VU!$A:$G,3,0),""),IF($C161="C1",IFERROR(VLOOKUP($A161,historico_VU!$A:$G,4,0),""),IF($C161="C2",IFERROR(VLOOKUP($A161,historico_VU!$A:$G,5,0),""),IF($C161="C3",IFERROR(VLOOKUP($A161,historico_VU!$A:$G,6,0),""),IF($C161="C4",IFERROR(VLOOKUP($A161,historico_VU!$A:$G,7,0),""),""))))))),IF($C161="C0",IFERROR(VLOOKUP($A161,historico_VU!$A:$G,3,0),""),IF($C161="C1",IFERROR(VLOOKUP($A161,historico_VU!$A:$G,4,0),""),IF($C161="C2",IFERROR(VLOOKUP($A161,historico_VU!$A:$G,5,0),""),IF($C161="C3",IFERROR(VLOOKUP($A161,historico_VU!$A:$G,6,0),""),IF($C161="C4",IFERROR(VLOOKUP($A161,historico_VU!$A:$G,7,0),""),""))))),F161),2))</f>
        <v/>
      </c>
      <c r="K161" s="103"/>
      <c r="L161" s="85" t="str">
        <f t="shared" si="9"/>
        <v/>
      </c>
      <c r="M161" s="203" t="str">
        <f>IF(A161="","",IF(COUNTIF(itens_Remanesc!$A$2:$A$200,A161)=0,"NOVO ITEM NAO CADASTRADO - CADASTRAR EM itens_Remanesc: ITEM + VU_ORIGINAL (QTD_BASE_ORIGINAL sera 0 automaticamente); depois a data e a quantidade aqui.",IF(COUNTIF(itens_Remanesc!$A$2:$A$200,A161)&gt;1,"ALERTA: ITEM_DUPLICADO",IF(OR(C161="",C161="Fora dos ciclos"),"ALERTA: CICLO_INVALIDO",IF(NOT(ISNUMBER(E161)),"ALERTA: QTD_INVALIDA",IF(AND(LEFT(UPPER(D161),3)&lt;&gt;"ACR",LEFT(UPPER(D161),4)&lt;&gt;"SUPR",LEFT(UPPER(D161),4)&lt;&gt;"DECR"),"ALERTA: TIPO_INVALIDO","OK"))))))</f>
        <v/>
      </c>
    </row>
    <row r="162" spans="1:13" ht="45" customHeight="1" x14ac:dyDescent="0.35">
      <c r="A162" s="103"/>
      <c r="B162" s="186"/>
      <c r="C162" s="99" t="str">
        <f>IF(B162="","",IFERROR(IF(NOT(ISNUMBER(parametros!$C$2)),"Fora dos ciclos",IF(OR(B162&lt;parametros!$C$2,(YEAR(B162)-YEAR(parametros!$C$2))*12+MONTH(B162)-MONTH(parametros!$C$2)&gt;59),"Fora dos ciclos","C"&amp;INT(((YEAR(B162)-YEAR(parametros!$C$2))*12+MONTH(B162)-MONTH(parametros!$C$2))/12))),"Fora dos ciclos"))</f>
        <v/>
      </c>
      <c r="D162" s="103"/>
      <c r="E162" s="104"/>
      <c r="F162" s="105" t="str">
        <f>IF(A162="","",IFERROR(VLOOKUP(A162,itens_Remanesc!$A:$C,3,0),""))</f>
        <v/>
      </c>
      <c r="G162" s="105" t="str">
        <f t="shared" ref="G162:G193" si="10">IF(OR(E162="",F162=""),"",ROUND(E162*F162,2))</f>
        <v/>
      </c>
      <c r="H162" s="103"/>
      <c r="I162" s="64" t="str">
        <f>IFERROR(VLOOKUP(C162,parametros!$B:$F,5,0),"")</f>
        <v/>
      </c>
      <c r="J162" s="105" t="str">
        <f>IF(OR(L162="",F162=""),"",ROUND(L162*IF(AND(UPPER(H162)="SIM",ISNUMBER(IF($C162="C0",IFERROR(VLOOKUP($A162,historico_VU!$A:$G,3,0),""),IF($C162="C1",IFERROR(VLOOKUP($A162,historico_VU!$A:$G,4,0),""),IF($C162="C2",IFERROR(VLOOKUP($A162,historico_VU!$A:$G,5,0),""),IF($C162="C3",IFERROR(VLOOKUP($A162,historico_VU!$A:$G,6,0),""),IF($C162="C4",IFERROR(VLOOKUP($A162,historico_VU!$A:$G,7,0),""),""))))))),IF($C162="C0",IFERROR(VLOOKUP($A162,historico_VU!$A:$G,3,0),""),IF($C162="C1",IFERROR(VLOOKUP($A162,historico_VU!$A:$G,4,0),""),IF($C162="C2",IFERROR(VLOOKUP($A162,historico_VU!$A:$G,5,0),""),IF($C162="C3",IFERROR(VLOOKUP($A162,historico_VU!$A:$G,6,0),""),IF($C162="C4",IFERROR(VLOOKUP($A162,historico_VU!$A:$G,7,0),""),""))))),F162),2))</f>
        <v/>
      </c>
      <c r="K162" s="103"/>
      <c r="L162" s="85" t="str">
        <f t="shared" ref="L162:L193" si="11">IF(OR(A162="",C162="",D162="",NOT(ISNUMBER(E162))),"",IF(LEFT(UPPER(D162),3)="ACR",ROUND(ABS(E162),2),IF(OR(LEFT(UPPER(D162),4)="SUPR",LEFT(UPPER(D162),4)="DECR"),ROUND(-ABS(E162),2),"")))</f>
        <v/>
      </c>
      <c r="M162" s="203" t="str">
        <f>IF(A162="","",IF(COUNTIF(itens_Remanesc!$A$2:$A$200,A162)=0,"NOVO ITEM NAO CADASTRADO - CADASTRAR EM itens_Remanesc: ITEM + VU_ORIGINAL (QTD_BASE_ORIGINAL sera 0 automaticamente); depois a data e a quantidade aqui.",IF(COUNTIF(itens_Remanesc!$A$2:$A$200,A162)&gt;1,"ALERTA: ITEM_DUPLICADO",IF(OR(C162="",C162="Fora dos ciclos"),"ALERTA: CICLO_INVALIDO",IF(NOT(ISNUMBER(E162)),"ALERTA: QTD_INVALIDA",IF(AND(LEFT(UPPER(D162),3)&lt;&gt;"ACR",LEFT(UPPER(D162),4)&lt;&gt;"SUPR",LEFT(UPPER(D162),4)&lt;&gt;"DECR"),"ALERTA: TIPO_INVALIDO","OK"))))))</f>
        <v/>
      </c>
    </row>
    <row r="163" spans="1:13" ht="45" customHeight="1" x14ac:dyDescent="0.35">
      <c r="A163" s="103"/>
      <c r="B163" s="186"/>
      <c r="C163" s="99" t="str">
        <f>IF(B163="","",IFERROR(IF(NOT(ISNUMBER(parametros!$C$2)),"Fora dos ciclos",IF(OR(B163&lt;parametros!$C$2,(YEAR(B163)-YEAR(parametros!$C$2))*12+MONTH(B163)-MONTH(parametros!$C$2)&gt;59),"Fora dos ciclos","C"&amp;INT(((YEAR(B163)-YEAR(parametros!$C$2))*12+MONTH(B163)-MONTH(parametros!$C$2))/12))),"Fora dos ciclos"))</f>
        <v/>
      </c>
      <c r="D163" s="103"/>
      <c r="E163" s="104"/>
      <c r="F163" s="105" t="str">
        <f>IF(A163="","",IFERROR(VLOOKUP(A163,itens_Remanesc!$A:$C,3,0),""))</f>
        <v/>
      </c>
      <c r="G163" s="105" t="str">
        <f t="shared" si="10"/>
        <v/>
      </c>
      <c r="H163" s="103"/>
      <c r="I163" s="64" t="str">
        <f>IFERROR(VLOOKUP(C163,parametros!$B:$F,5,0),"")</f>
        <v/>
      </c>
      <c r="J163" s="105" t="str">
        <f>IF(OR(L163="",F163=""),"",ROUND(L163*IF(AND(UPPER(H163)="SIM",ISNUMBER(IF($C163="C0",IFERROR(VLOOKUP($A163,historico_VU!$A:$G,3,0),""),IF($C163="C1",IFERROR(VLOOKUP($A163,historico_VU!$A:$G,4,0),""),IF($C163="C2",IFERROR(VLOOKUP($A163,historico_VU!$A:$G,5,0),""),IF($C163="C3",IFERROR(VLOOKUP($A163,historico_VU!$A:$G,6,0),""),IF($C163="C4",IFERROR(VLOOKUP($A163,historico_VU!$A:$G,7,0),""),""))))))),IF($C163="C0",IFERROR(VLOOKUP($A163,historico_VU!$A:$G,3,0),""),IF($C163="C1",IFERROR(VLOOKUP($A163,historico_VU!$A:$G,4,0),""),IF($C163="C2",IFERROR(VLOOKUP($A163,historico_VU!$A:$G,5,0),""),IF($C163="C3",IFERROR(VLOOKUP($A163,historico_VU!$A:$G,6,0),""),IF($C163="C4",IFERROR(VLOOKUP($A163,historico_VU!$A:$G,7,0),""),""))))),F163),2))</f>
        <v/>
      </c>
      <c r="K163" s="103"/>
      <c r="L163" s="85" t="str">
        <f t="shared" si="11"/>
        <v/>
      </c>
      <c r="M163" s="203" t="str">
        <f>IF(A163="","",IF(COUNTIF(itens_Remanesc!$A$2:$A$200,A163)=0,"NOVO ITEM NAO CADASTRADO - CADASTRAR EM itens_Remanesc: ITEM + VU_ORIGINAL (QTD_BASE_ORIGINAL sera 0 automaticamente); depois a data e a quantidade aqui.",IF(COUNTIF(itens_Remanesc!$A$2:$A$200,A163)&gt;1,"ALERTA: ITEM_DUPLICADO",IF(OR(C163="",C163="Fora dos ciclos"),"ALERTA: CICLO_INVALIDO",IF(NOT(ISNUMBER(E163)),"ALERTA: QTD_INVALIDA",IF(AND(LEFT(UPPER(D163),3)&lt;&gt;"ACR",LEFT(UPPER(D163),4)&lt;&gt;"SUPR",LEFT(UPPER(D163),4)&lt;&gt;"DECR"),"ALERTA: TIPO_INVALIDO","OK"))))))</f>
        <v/>
      </c>
    </row>
    <row r="164" spans="1:13" ht="45" customHeight="1" x14ac:dyDescent="0.35">
      <c r="A164" s="103"/>
      <c r="B164" s="186"/>
      <c r="C164" s="99" t="str">
        <f>IF(B164="","",IFERROR(IF(NOT(ISNUMBER(parametros!$C$2)),"Fora dos ciclos",IF(OR(B164&lt;parametros!$C$2,(YEAR(B164)-YEAR(parametros!$C$2))*12+MONTH(B164)-MONTH(parametros!$C$2)&gt;59),"Fora dos ciclos","C"&amp;INT(((YEAR(B164)-YEAR(parametros!$C$2))*12+MONTH(B164)-MONTH(parametros!$C$2))/12))),"Fora dos ciclos"))</f>
        <v/>
      </c>
      <c r="D164" s="103"/>
      <c r="E164" s="104"/>
      <c r="F164" s="105" t="str">
        <f>IF(A164="","",IFERROR(VLOOKUP(A164,itens_Remanesc!$A:$C,3,0),""))</f>
        <v/>
      </c>
      <c r="G164" s="105" t="str">
        <f t="shared" si="10"/>
        <v/>
      </c>
      <c r="H164" s="103"/>
      <c r="I164" s="64" t="str">
        <f>IFERROR(VLOOKUP(C164,parametros!$B:$F,5,0),"")</f>
        <v/>
      </c>
      <c r="J164" s="105" t="str">
        <f>IF(OR(L164="",F164=""),"",ROUND(L164*IF(AND(UPPER(H164)="SIM",ISNUMBER(IF($C164="C0",IFERROR(VLOOKUP($A164,historico_VU!$A:$G,3,0),""),IF($C164="C1",IFERROR(VLOOKUP($A164,historico_VU!$A:$G,4,0),""),IF($C164="C2",IFERROR(VLOOKUP($A164,historico_VU!$A:$G,5,0),""),IF($C164="C3",IFERROR(VLOOKUP($A164,historico_VU!$A:$G,6,0),""),IF($C164="C4",IFERROR(VLOOKUP($A164,historico_VU!$A:$G,7,0),""),""))))))),IF($C164="C0",IFERROR(VLOOKUP($A164,historico_VU!$A:$G,3,0),""),IF($C164="C1",IFERROR(VLOOKUP($A164,historico_VU!$A:$G,4,0),""),IF($C164="C2",IFERROR(VLOOKUP($A164,historico_VU!$A:$G,5,0),""),IF($C164="C3",IFERROR(VLOOKUP($A164,historico_VU!$A:$G,6,0),""),IF($C164="C4",IFERROR(VLOOKUP($A164,historico_VU!$A:$G,7,0),""),""))))),F164),2))</f>
        <v/>
      </c>
      <c r="K164" s="103"/>
      <c r="L164" s="85" t="str">
        <f t="shared" si="11"/>
        <v/>
      </c>
      <c r="M164" s="203" t="str">
        <f>IF(A164="","",IF(COUNTIF(itens_Remanesc!$A$2:$A$200,A164)=0,"NOVO ITEM NAO CADASTRADO - CADASTRAR EM itens_Remanesc: ITEM + VU_ORIGINAL (QTD_BASE_ORIGINAL sera 0 automaticamente); depois a data e a quantidade aqui.",IF(COUNTIF(itens_Remanesc!$A$2:$A$200,A164)&gt;1,"ALERTA: ITEM_DUPLICADO",IF(OR(C164="",C164="Fora dos ciclos"),"ALERTA: CICLO_INVALIDO",IF(NOT(ISNUMBER(E164)),"ALERTA: QTD_INVALIDA",IF(AND(LEFT(UPPER(D164),3)&lt;&gt;"ACR",LEFT(UPPER(D164),4)&lt;&gt;"SUPR",LEFT(UPPER(D164),4)&lt;&gt;"DECR"),"ALERTA: TIPO_INVALIDO","OK"))))))</f>
        <v/>
      </c>
    </row>
    <row r="165" spans="1:13" ht="45" customHeight="1" x14ac:dyDescent="0.35">
      <c r="A165" s="103"/>
      <c r="B165" s="186"/>
      <c r="C165" s="99" t="str">
        <f>IF(B165="","",IFERROR(IF(NOT(ISNUMBER(parametros!$C$2)),"Fora dos ciclos",IF(OR(B165&lt;parametros!$C$2,(YEAR(B165)-YEAR(parametros!$C$2))*12+MONTH(B165)-MONTH(parametros!$C$2)&gt;59),"Fora dos ciclos","C"&amp;INT(((YEAR(B165)-YEAR(parametros!$C$2))*12+MONTH(B165)-MONTH(parametros!$C$2))/12))),"Fora dos ciclos"))</f>
        <v/>
      </c>
      <c r="D165" s="103"/>
      <c r="E165" s="104"/>
      <c r="F165" s="105" t="str">
        <f>IF(A165="","",IFERROR(VLOOKUP(A165,itens_Remanesc!$A:$C,3,0),""))</f>
        <v/>
      </c>
      <c r="G165" s="105" t="str">
        <f t="shared" si="10"/>
        <v/>
      </c>
      <c r="H165" s="103"/>
      <c r="I165" s="64" t="str">
        <f>IFERROR(VLOOKUP(C165,parametros!$B:$F,5,0),"")</f>
        <v/>
      </c>
      <c r="J165" s="105" t="str">
        <f>IF(OR(L165="",F165=""),"",ROUND(L165*IF(AND(UPPER(H165)="SIM",ISNUMBER(IF($C165="C0",IFERROR(VLOOKUP($A165,historico_VU!$A:$G,3,0),""),IF($C165="C1",IFERROR(VLOOKUP($A165,historico_VU!$A:$G,4,0),""),IF($C165="C2",IFERROR(VLOOKUP($A165,historico_VU!$A:$G,5,0),""),IF($C165="C3",IFERROR(VLOOKUP($A165,historico_VU!$A:$G,6,0),""),IF($C165="C4",IFERROR(VLOOKUP($A165,historico_VU!$A:$G,7,0),""),""))))))),IF($C165="C0",IFERROR(VLOOKUP($A165,historico_VU!$A:$G,3,0),""),IF($C165="C1",IFERROR(VLOOKUP($A165,historico_VU!$A:$G,4,0),""),IF($C165="C2",IFERROR(VLOOKUP($A165,historico_VU!$A:$G,5,0),""),IF($C165="C3",IFERROR(VLOOKUP($A165,historico_VU!$A:$G,6,0),""),IF($C165="C4",IFERROR(VLOOKUP($A165,historico_VU!$A:$G,7,0),""),""))))),F165),2))</f>
        <v/>
      </c>
      <c r="K165" s="103"/>
      <c r="L165" s="85" t="str">
        <f t="shared" si="11"/>
        <v/>
      </c>
      <c r="M165" s="203" t="str">
        <f>IF(A165="","",IF(COUNTIF(itens_Remanesc!$A$2:$A$200,A165)=0,"NOVO ITEM NAO CADASTRADO - CADASTRAR EM itens_Remanesc: ITEM + VU_ORIGINAL (QTD_BASE_ORIGINAL sera 0 automaticamente); depois a data e a quantidade aqui.",IF(COUNTIF(itens_Remanesc!$A$2:$A$200,A165)&gt;1,"ALERTA: ITEM_DUPLICADO",IF(OR(C165="",C165="Fora dos ciclos"),"ALERTA: CICLO_INVALIDO",IF(NOT(ISNUMBER(E165)),"ALERTA: QTD_INVALIDA",IF(AND(LEFT(UPPER(D165),3)&lt;&gt;"ACR",LEFT(UPPER(D165),4)&lt;&gt;"SUPR",LEFT(UPPER(D165),4)&lt;&gt;"DECR"),"ALERTA: TIPO_INVALIDO","OK"))))))</f>
        <v/>
      </c>
    </row>
    <row r="166" spans="1:13" ht="45" customHeight="1" x14ac:dyDescent="0.35">
      <c r="A166" s="103"/>
      <c r="B166" s="186"/>
      <c r="C166" s="99" t="str">
        <f>IF(B166="","",IFERROR(IF(NOT(ISNUMBER(parametros!$C$2)),"Fora dos ciclos",IF(OR(B166&lt;parametros!$C$2,(YEAR(B166)-YEAR(parametros!$C$2))*12+MONTH(B166)-MONTH(parametros!$C$2)&gt;59),"Fora dos ciclos","C"&amp;INT(((YEAR(B166)-YEAR(parametros!$C$2))*12+MONTH(B166)-MONTH(parametros!$C$2))/12))),"Fora dos ciclos"))</f>
        <v/>
      </c>
      <c r="D166" s="103"/>
      <c r="E166" s="104"/>
      <c r="F166" s="105" t="str">
        <f>IF(A166="","",IFERROR(VLOOKUP(A166,itens_Remanesc!$A:$C,3,0),""))</f>
        <v/>
      </c>
      <c r="G166" s="105" t="str">
        <f t="shared" si="10"/>
        <v/>
      </c>
      <c r="H166" s="103"/>
      <c r="I166" s="64" t="str">
        <f>IFERROR(VLOOKUP(C166,parametros!$B:$F,5,0),"")</f>
        <v/>
      </c>
      <c r="J166" s="105" t="str">
        <f>IF(OR(L166="",F166=""),"",ROUND(L166*IF(AND(UPPER(H166)="SIM",ISNUMBER(IF($C166="C0",IFERROR(VLOOKUP($A166,historico_VU!$A:$G,3,0),""),IF($C166="C1",IFERROR(VLOOKUP($A166,historico_VU!$A:$G,4,0),""),IF($C166="C2",IFERROR(VLOOKUP($A166,historico_VU!$A:$G,5,0),""),IF($C166="C3",IFERROR(VLOOKUP($A166,historico_VU!$A:$G,6,0),""),IF($C166="C4",IFERROR(VLOOKUP($A166,historico_VU!$A:$G,7,0),""),""))))))),IF($C166="C0",IFERROR(VLOOKUP($A166,historico_VU!$A:$G,3,0),""),IF($C166="C1",IFERROR(VLOOKUP($A166,historico_VU!$A:$G,4,0),""),IF($C166="C2",IFERROR(VLOOKUP($A166,historico_VU!$A:$G,5,0),""),IF($C166="C3",IFERROR(VLOOKUP($A166,historico_VU!$A:$G,6,0),""),IF($C166="C4",IFERROR(VLOOKUP($A166,historico_VU!$A:$G,7,0),""),""))))),F166),2))</f>
        <v/>
      </c>
      <c r="K166" s="103"/>
      <c r="L166" s="85" t="str">
        <f t="shared" si="11"/>
        <v/>
      </c>
      <c r="M166" s="203" t="str">
        <f>IF(A166="","",IF(COUNTIF(itens_Remanesc!$A$2:$A$200,A166)=0,"NOVO ITEM NAO CADASTRADO - CADASTRAR EM itens_Remanesc: ITEM + VU_ORIGINAL (QTD_BASE_ORIGINAL sera 0 automaticamente); depois a data e a quantidade aqui.",IF(COUNTIF(itens_Remanesc!$A$2:$A$200,A166)&gt;1,"ALERTA: ITEM_DUPLICADO",IF(OR(C166="",C166="Fora dos ciclos"),"ALERTA: CICLO_INVALIDO",IF(NOT(ISNUMBER(E166)),"ALERTA: QTD_INVALIDA",IF(AND(LEFT(UPPER(D166),3)&lt;&gt;"ACR",LEFT(UPPER(D166),4)&lt;&gt;"SUPR",LEFT(UPPER(D166),4)&lt;&gt;"DECR"),"ALERTA: TIPO_INVALIDO","OK"))))))</f>
        <v/>
      </c>
    </row>
    <row r="167" spans="1:13" ht="45" customHeight="1" x14ac:dyDescent="0.35">
      <c r="A167" s="103"/>
      <c r="B167" s="186"/>
      <c r="C167" s="99" t="str">
        <f>IF(B167="","",IFERROR(IF(NOT(ISNUMBER(parametros!$C$2)),"Fora dos ciclos",IF(OR(B167&lt;parametros!$C$2,(YEAR(B167)-YEAR(parametros!$C$2))*12+MONTH(B167)-MONTH(parametros!$C$2)&gt;59),"Fora dos ciclos","C"&amp;INT(((YEAR(B167)-YEAR(parametros!$C$2))*12+MONTH(B167)-MONTH(parametros!$C$2))/12))),"Fora dos ciclos"))</f>
        <v/>
      </c>
      <c r="D167" s="103"/>
      <c r="E167" s="104"/>
      <c r="F167" s="105" t="str">
        <f>IF(A167="","",IFERROR(VLOOKUP(A167,itens_Remanesc!$A:$C,3,0),""))</f>
        <v/>
      </c>
      <c r="G167" s="105" t="str">
        <f t="shared" si="10"/>
        <v/>
      </c>
      <c r="H167" s="103"/>
      <c r="I167" s="64" t="str">
        <f>IFERROR(VLOOKUP(C167,parametros!$B:$F,5,0),"")</f>
        <v/>
      </c>
      <c r="J167" s="105" t="str">
        <f>IF(OR(L167="",F167=""),"",ROUND(L167*IF(AND(UPPER(H167)="SIM",ISNUMBER(IF($C167="C0",IFERROR(VLOOKUP($A167,historico_VU!$A:$G,3,0),""),IF($C167="C1",IFERROR(VLOOKUP($A167,historico_VU!$A:$G,4,0),""),IF($C167="C2",IFERROR(VLOOKUP($A167,historico_VU!$A:$G,5,0),""),IF($C167="C3",IFERROR(VLOOKUP($A167,historico_VU!$A:$G,6,0),""),IF($C167="C4",IFERROR(VLOOKUP($A167,historico_VU!$A:$G,7,0),""),""))))))),IF($C167="C0",IFERROR(VLOOKUP($A167,historico_VU!$A:$G,3,0),""),IF($C167="C1",IFERROR(VLOOKUP($A167,historico_VU!$A:$G,4,0),""),IF($C167="C2",IFERROR(VLOOKUP($A167,historico_VU!$A:$G,5,0),""),IF($C167="C3",IFERROR(VLOOKUP($A167,historico_VU!$A:$G,6,0),""),IF($C167="C4",IFERROR(VLOOKUP($A167,historico_VU!$A:$G,7,0),""),""))))),F167),2))</f>
        <v/>
      </c>
      <c r="K167" s="103"/>
      <c r="L167" s="85" t="str">
        <f t="shared" si="11"/>
        <v/>
      </c>
      <c r="M167" s="203" t="str">
        <f>IF(A167="","",IF(COUNTIF(itens_Remanesc!$A$2:$A$200,A167)=0,"NOVO ITEM NAO CADASTRADO - CADASTRAR EM itens_Remanesc: ITEM + VU_ORIGINAL (QTD_BASE_ORIGINAL sera 0 automaticamente); depois a data e a quantidade aqui.",IF(COUNTIF(itens_Remanesc!$A$2:$A$200,A167)&gt;1,"ALERTA: ITEM_DUPLICADO",IF(OR(C167="",C167="Fora dos ciclos"),"ALERTA: CICLO_INVALIDO",IF(NOT(ISNUMBER(E167)),"ALERTA: QTD_INVALIDA",IF(AND(LEFT(UPPER(D167),3)&lt;&gt;"ACR",LEFT(UPPER(D167),4)&lt;&gt;"SUPR",LEFT(UPPER(D167),4)&lt;&gt;"DECR"),"ALERTA: TIPO_INVALIDO","OK"))))))</f>
        <v/>
      </c>
    </row>
    <row r="168" spans="1:13" ht="45" customHeight="1" x14ac:dyDescent="0.35">
      <c r="A168" s="103"/>
      <c r="B168" s="186"/>
      <c r="C168" s="99" t="str">
        <f>IF(B168="","",IFERROR(IF(NOT(ISNUMBER(parametros!$C$2)),"Fora dos ciclos",IF(OR(B168&lt;parametros!$C$2,(YEAR(B168)-YEAR(parametros!$C$2))*12+MONTH(B168)-MONTH(parametros!$C$2)&gt;59),"Fora dos ciclos","C"&amp;INT(((YEAR(B168)-YEAR(parametros!$C$2))*12+MONTH(B168)-MONTH(parametros!$C$2))/12))),"Fora dos ciclos"))</f>
        <v/>
      </c>
      <c r="D168" s="103"/>
      <c r="E168" s="104"/>
      <c r="F168" s="105" t="str">
        <f>IF(A168="","",IFERROR(VLOOKUP(A168,itens_Remanesc!$A:$C,3,0),""))</f>
        <v/>
      </c>
      <c r="G168" s="105" t="str">
        <f t="shared" si="10"/>
        <v/>
      </c>
      <c r="H168" s="103"/>
      <c r="I168" s="64" t="str">
        <f>IFERROR(VLOOKUP(C168,parametros!$B:$F,5,0),"")</f>
        <v/>
      </c>
      <c r="J168" s="105" t="str">
        <f>IF(OR(L168="",F168=""),"",ROUND(L168*IF(AND(UPPER(H168)="SIM",ISNUMBER(IF($C168="C0",IFERROR(VLOOKUP($A168,historico_VU!$A:$G,3,0),""),IF($C168="C1",IFERROR(VLOOKUP($A168,historico_VU!$A:$G,4,0),""),IF($C168="C2",IFERROR(VLOOKUP($A168,historico_VU!$A:$G,5,0),""),IF($C168="C3",IFERROR(VLOOKUP($A168,historico_VU!$A:$G,6,0),""),IF($C168="C4",IFERROR(VLOOKUP($A168,historico_VU!$A:$G,7,0),""),""))))))),IF($C168="C0",IFERROR(VLOOKUP($A168,historico_VU!$A:$G,3,0),""),IF($C168="C1",IFERROR(VLOOKUP($A168,historico_VU!$A:$G,4,0),""),IF($C168="C2",IFERROR(VLOOKUP($A168,historico_VU!$A:$G,5,0),""),IF($C168="C3",IFERROR(VLOOKUP($A168,historico_VU!$A:$G,6,0),""),IF($C168="C4",IFERROR(VLOOKUP($A168,historico_VU!$A:$G,7,0),""),""))))),F168),2))</f>
        <v/>
      </c>
      <c r="K168" s="103"/>
      <c r="L168" s="85" t="str">
        <f t="shared" si="11"/>
        <v/>
      </c>
      <c r="M168" s="203" t="str">
        <f>IF(A168="","",IF(COUNTIF(itens_Remanesc!$A$2:$A$200,A168)=0,"NOVO ITEM NAO CADASTRADO - CADASTRAR EM itens_Remanesc: ITEM + VU_ORIGINAL (QTD_BASE_ORIGINAL sera 0 automaticamente); depois a data e a quantidade aqui.",IF(COUNTIF(itens_Remanesc!$A$2:$A$200,A168)&gt;1,"ALERTA: ITEM_DUPLICADO",IF(OR(C168="",C168="Fora dos ciclos"),"ALERTA: CICLO_INVALIDO",IF(NOT(ISNUMBER(E168)),"ALERTA: QTD_INVALIDA",IF(AND(LEFT(UPPER(D168),3)&lt;&gt;"ACR",LEFT(UPPER(D168),4)&lt;&gt;"SUPR",LEFT(UPPER(D168),4)&lt;&gt;"DECR"),"ALERTA: TIPO_INVALIDO","OK"))))))</f>
        <v/>
      </c>
    </row>
    <row r="169" spans="1:13" ht="45" customHeight="1" x14ac:dyDescent="0.35">
      <c r="A169" s="103"/>
      <c r="B169" s="186"/>
      <c r="C169" s="99" t="str">
        <f>IF(B169="","",IFERROR(IF(NOT(ISNUMBER(parametros!$C$2)),"Fora dos ciclos",IF(OR(B169&lt;parametros!$C$2,(YEAR(B169)-YEAR(parametros!$C$2))*12+MONTH(B169)-MONTH(parametros!$C$2)&gt;59),"Fora dos ciclos","C"&amp;INT(((YEAR(B169)-YEAR(parametros!$C$2))*12+MONTH(B169)-MONTH(parametros!$C$2))/12))),"Fora dos ciclos"))</f>
        <v/>
      </c>
      <c r="D169" s="103"/>
      <c r="E169" s="104"/>
      <c r="F169" s="105" t="str">
        <f>IF(A169="","",IFERROR(VLOOKUP(A169,itens_Remanesc!$A:$C,3,0),""))</f>
        <v/>
      </c>
      <c r="G169" s="105" t="str">
        <f t="shared" si="10"/>
        <v/>
      </c>
      <c r="H169" s="103"/>
      <c r="I169" s="64" t="str">
        <f>IFERROR(VLOOKUP(C169,parametros!$B:$F,5,0),"")</f>
        <v/>
      </c>
      <c r="J169" s="105" t="str">
        <f>IF(OR(L169="",F169=""),"",ROUND(L169*IF(AND(UPPER(H169)="SIM",ISNUMBER(IF($C169="C0",IFERROR(VLOOKUP($A169,historico_VU!$A:$G,3,0),""),IF($C169="C1",IFERROR(VLOOKUP($A169,historico_VU!$A:$G,4,0),""),IF($C169="C2",IFERROR(VLOOKUP($A169,historico_VU!$A:$G,5,0),""),IF($C169="C3",IFERROR(VLOOKUP($A169,historico_VU!$A:$G,6,0),""),IF($C169="C4",IFERROR(VLOOKUP($A169,historico_VU!$A:$G,7,0),""),""))))))),IF($C169="C0",IFERROR(VLOOKUP($A169,historico_VU!$A:$G,3,0),""),IF($C169="C1",IFERROR(VLOOKUP($A169,historico_VU!$A:$G,4,0),""),IF($C169="C2",IFERROR(VLOOKUP($A169,historico_VU!$A:$G,5,0),""),IF($C169="C3",IFERROR(VLOOKUP($A169,historico_VU!$A:$G,6,0),""),IF($C169="C4",IFERROR(VLOOKUP($A169,historico_VU!$A:$G,7,0),""),""))))),F169),2))</f>
        <v/>
      </c>
      <c r="K169" s="103"/>
      <c r="L169" s="85" t="str">
        <f t="shared" si="11"/>
        <v/>
      </c>
      <c r="M169" s="203" t="str">
        <f>IF(A169="","",IF(COUNTIF(itens_Remanesc!$A$2:$A$200,A169)=0,"NOVO ITEM NAO CADASTRADO - CADASTRAR EM itens_Remanesc: ITEM + VU_ORIGINAL (QTD_BASE_ORIGINAL sera 0 automaticamente); depois a data e a quantidade aqui.",IF(COUNTIF(itens_Remanesc!$A$2:$A$200,A169)&gt;1,"ALERTA: ITEM_DUPLICADO",IF(OR(C169="",C169="Fora dos ciclos"),"ALERTA: CICLO_INVALIDO",IF(NOT(ISNUMBER(E169)),"ALERTA: QTD_INVALIDA",IF(AND(LEFT(UPPER(D169),3)&lt;&gt;"ACR",LEFT(UPPER(D169),4)&lt;&gt;"SUPR",LEFT(UPPER(D169),4)&lt;&gt;"DECR"),"ALERTA: TIPO_INVALIDO","OK"))))))</f>
        <v/>
      </c>
    </row>
    <row r="170" spans="1:13" ht="45" customHeight="1" x14ac:dyDescent="0.35">
      <c r="A170" s="103"/>
      <c r="B170" s="186"/>
      <c r="C170" s="99" t="str">
        <f>IF(B170="","",IFERROR(IF(NOT(ISNUMBER(parametros!$C$2)),"Fora dos ciclos",IF(OR(B170&lt;parametros!$C$2,(YEAR(B170)-YEAR(parametros!$C$2))*12+MONTH(B170)-MONTH(parametros!$C$2)&gt;59),"Fora dos ciclos","C"&amp;INT(((YEAR(B170)-YEAR(parametros!$C$2))*12+MONTH(B170)-MONTH(parametros!$C$2))/12))),"Fora dos ciclos"))</f>
        <v/>
      </c>
      <c r="D170" s="103"/>
      <c r="E170" s="104"/>
      <c r="F170" s="105" t="str">
        <f>IF(A170="","",IFERROR(VLOOKUP(A170,itens_Remanesc!$A:$C,3,0),""))</f>
        <v/>
      </c>
      <c r="G170" s="105" t="str">
        <f t="shared" si="10"/>
        <v/>
      </c>
      <c r="H170" s="103"/>
      <c r="I170" s="64" t="str">
        <f>IFERROR(VLOOKUP(C170,parametros!$B:$F,5,0),"")</f>
        <v/>
      </c>
      <c r="J170" s="105" t="str">
        <f>IF(OR(L170="",F170=""),"",ROUND(L170*IF(AND(UPPER(H170)="SIM",ISNUMBER(IF($C170="C0",IFERROR(VLOOKUP($A170,historico_VU!$A:$G,3,0),""),IF($C170="C1",IFERROR(VLOOKUP($A170,historico_VU!$A:$G,4,0),""),IF($C170="C2",IFERROR(VLOOKUP($A170,historico_VU!$A:$G,5,0),""),IF($C170="C3",IFERROR(VLOOKUP($A170,historico_VU!$A:$G,6,0),""),IF($C170="C4",IFERROR(VLOOKUP($A170,historico_VU!$A:$G,7,0),""),""))))))),IF($C170="C0",IFERROR(VLOOKUP($A170,historico_VU!$A:$G,3,0),""),IF($C170="C1",IFERROR(VLOOKUP($A170,historico_VU!$A:$G,4,0),""),IF($C170="C2",IFERROR(VLOOKUP($A170,historico_VU!$A:$G,5,0),""),IF($C170="C3",IFERROR(VLOOKUP($A170,historico_VU!$A:$G,6,0),""),IF($C170="C4",IFERROR(VLOOKUP($A170,historico_VU!$A:$G,7,0),""),""))))),F170),2))</f>
        <v/>
      </c>
      <c r="K170" s="103"/>
      <c r="L170" s="85" t="str">
        <f t="shared" si="11"/>
        <v/>
      </c>
      <c r="M170" s="203" t="str">
        <f>IF(A170="","",IF(COUNTIF(itens_Remanesc!$A$2:$A$200,A170)=0,"NOVO ITEM NAO CADASTRADO - CADASTRAR EM itens_Remanesc: ITEM + VU_ORIGINAL (QTD_BASE_ORIGINAL sera 0 automaticamente); depois a data e a quantidade aqui.",IF(COUNTIF(itens_Remanesc!$A$2:$A$200,A170)&gt;1,"ALERTA: ITEM_DUPLICADO",IF(OR(C170="",C170="Fora dos ciclos"),"ALERTA: CICLO_INVALIDO",IF(NOT(ISNUMBER(E170)),"ALERTA: QTD_INVALIDA",IF(AND(LEFT(UPPER(D170),3)&lt;&gt;"ACR",LEFT(UPPER(D170),4)&lt;&gt;"SUPR",LEFT(UPPER(D170),4)&lt;&gt;"DECR"),"ALERTA: TIPO_INVALIDO","OK"))))))</f>
        <v/>
      </c>
    </row>
    <row r="171" spans="1:13" ht="45" customHeight="1" x14ac:dyDescent="0.35">
      <c r="A171" s="103"/>
      <c r="B171" s="186"/>
      <c r="C171" s="99" t="str">
        <f>IF(B171="","",IFERROR(IF(NOT(ISNUMBER(parametros!$C$2)),"Fora dos ciclos",IF(OR(B171&lt;parametros!$C$2,(YEAR(B171)-YEAR(parametros!$C$2))*12+MONTH(B171)-MONTH(parametros!$C$2)&gt;59),"Fora dos ciclos","C"&amp;INT(((YEAR(B171)-YEAR(parametros!$C$2))*12+MONTH(B171)-MONTH(parametros!$C$2))/12))),"Fora dos ciclos"))</f>
        <v/>
      </c>
      <c r="D171" s="103"/>
      <c r="E171" s="104"/>
      <c r="F171" s="105" t="str">
        <f>IF(A171="","",IFERROR(VLOOKUP(A171,itens_Remanesc!$A:$C,3,0),""))</f>
        <v/>
      </c>
      <c r="G171" s="105" t="str">
        <f t="shared" si="10"/>
        <v/>
      </c>
      <c r="H171" s="103"/>
      <c r="I171" s="64" t="str">
        <f>IFERROR(VLOOKUP(C171,parametros!$B:$F,5,0),"")</f>
        <v/>
      </c>
      <c r="J171" s="105" t="str">
        <f>IF(OR(L171="",F171=""),"",ROUND(L171*IF(AND(UPPER(H171)="SIM",ISNUMBER(IF($C171="C0",IFERROR(VLOOKUP($A171,historico_VU!$A:$G,3,0),""),IF($C171="C1",IFERROR(VLOOKUP($A171,historico_VU!$A:$G,4,0),""),IF($C171="C2",IFERROR(VLOOKUP($A171,historico_VU!$A:$G,5,0),""),IF($C171="C3",IFERROR(VLOOKUP($A171,historico_VU!$A:$G,6,0),""),IF($C171="C4",IFERROR(VLOOKUP($A171,historico_VU!$A:$G,7,0),""),""))))))),IF($C171="C0",IFERROR(VLOOKUP($A171,historico_VU!$A:$G,3,0),""),IF($C171="C1",IFERROR(VLOOKUP($A171,historico_VU!$A:$G,4,0),""),IF($C171="C2",IFERROR(VLOOKUP($A171,historico_VU!$A:$G,5,0),""),IF($C171="C3",IFERROR(VLOOKUP($A171,historico_VU!$A:$G,6,0),""),IF($C171="C4",IFERROR(VLOOKUP($A171,historico_VU!$A:$G,7,0),""),""))))),F171),2))</f>
        <v/>
      </c>
      <c r="K171" s="103"/>
      <c r="L171" s="85" t="str">
        <f t="shared" si="11"/>
        <v/>
      </c>
      <c r="M171" s="203" t="str">
        <f>IF(A171="","",IF(COUNTIF(itens_Remanesc!$A$2:$A$200,A171)=0,"NOVO ITEM NAO CADASTRADO - CADASTRAR EM itens_Remanesc: ITEM + VU_ORIGINAL (QTD_BASE_ORIGINAL sera 0 automaticamente); depois a data e a quantidade aqui.",IF(COUNTIF(itens_Remanesc!$A$2:$A$200,A171)&gt;1,"ALERTA: ITEM_DUPLICADO",IF(OR(C171="",C171="Fora dos ciclos"),"ALERTA: CICLO_INVALIDO",IF(NOT(ISNUMBER(E171)),"ALERTA: QTD_INVALIDA",IF(AND(LEFT(UPPER(D171),3)&lt;&gt;"ACR",LEFT(UPPER(D171),4)&lt;&gt;"SUPR",LEFT(UPPER(D171),4)&lt;&gt;"DECR"),"ALERTA: TIPO_INVALIDO","OK"))))))</f>
        <v/>
      </c>
    </row>
    <row r="172" spans="1:13" ht="45" customHeight="1" x14ac:dyDescent="0.35">
      <c r="A172" s="103"/>
      <c r="B172" s="186"/>
      <c r="C172" s="99" t="str">
        <f>IF(B172="","",IFERROR(IF(NOT(ISNUMBER(parametros!$C$2)),"Fora dos ciclos",IF(OR(B172&lt;parametros!$C$2,(YEAR(B172)-YEAR(parametros!$C$2))*12+MONTH(B172)-MONTH(parametros!$C$2)&gt;59),"Fora dos ciclos","C"&amp;INT(((YEAR(B172)-YEAR(parametros!$C$2))*12+MONTH(B172)-MONTH(parametros!$C$2))/12))),"Fora dos ciclos"))</f>
        <v/>
      </c>
      <c r="D172" s="103"/>
      <c r="E172" s="104"/>
      <c r="F172" s="105" t="str">
        <f>IF(A172="","",IFERROR(VLOOKUP(A172,itens_Remanesc!$A:$C,3,0),""))</f>
        <v/>
      </c>
      <c r="G172" s="105" t="str">
        <f t="shared" si="10"/>
        <v/>
      </c>
      <c r="H172" s="103"/>
      <c r="I172" s="64" t="str">
        <f>IFERROR(VLOOKUP(C172,parametros!$B:$F,5,0),"")</f>
        <v/>
      </c>
      <c r="J172" s="105" t="str">
        <f>IF(OR(L172="",F172=""),"",ROUND(L172*IF(AND(UPPER(H172)="SIM",ISNUMBER(IF($C172="C0",IFERROR(VLOOKUP($A172,historico_VU!$A:$G,3,0),""),IF($C172="C1",IFERROR(VLOOKUP($A172,historico_VU!$A:$G,4,0),""),IF($C172="C2",IFERROR(VLOOKUP($A172,historico_VU!$A:$G,5,0),""),IF($C172="C3",IFERROR(VLOOKUP($A172,historico_VU!$A:$G,6,0),""),IF($C172="C4",IFERROR(VLOOKUP($A172,historico_VU!$A:$G,7,0),""),""))))))),IF($C172="C0",IFERROR(VLOOKUP($A172,historico_VU!$A:$G,3,0),""),IF($C172="C1",IFERROR(VLOOKUP($A172,historico_VU!$A:$G,4,0),""),IF($C172="C2",IFERROR(VLOOKUP($A172,historico_VU!$A:$G,5,0),""),IF($C172="C3",IFERROR(VLOOKUP($A172,historico_VU!$A:$G,6,0),""),IF($C172="C4",IFERROR(VLOOKUP($A172,historico_VU!$A:$G,7,0),""),""))))),F172),2))</f>
        <v/>
      </c>
      <c r="K172" s="103"/>
      <c r="L172" s="85" t="str">
        <f t="shared" si="11"/>
        <v/>
      </c>
      <c r="M172" s="203" t="str">
        <f>IF(A172="","",IF(COUNTIF(itens_Remanesc!$A$2:$A$200,A172)=0,"NOVO ITEM NAO CADASTRADO - CADASTRAR EM itens_Remanesc: ITEM + VU_ORIGINAL (QTD_BASE_ORIGINAL sera 0 automaticamente); depois a data e a quantidade aqui.",IF(COUNTIF(itens_Remanesc!$A$2:$A$200,A172)&gt;1,"ALERTA: ITEM_DUPLICADO",IF(OR(C172="",C172="Fora dos ciclos"),"ALERTA: CICLO_INVALIDO",IF(NOT(ISNUMBER(E172)),"ALERTA: QTD_INVALIDA",IF(AND(LEFT(UPPER(D172),3)&lt;&gt;"ACR",LEFT(UPPER(D172),4)&lt;&gt;"SUPR",LEFT(UPPER(D172),4)&lt;&gt;"DECR"),"ALERTA: TIPO_INVALIDO","OK"))))))</f>
        <v/>
      </c>
    </row>
    <row r="173" spans="1:13" ht="45" customHeight="1" x14ac:dyDescent="0.35">
      <c r="A173" s="103"/>
      <c r="B173" s="186"/>
      <c r="C173" s="99" t="str">
        <f>IF(B173="","",IFERROR(IF(NOT(ISNUMBER(parametros!$C$2)),"Fora dos ciclos",IF(OR(B173&lt;parametros!$C$2,(YEAR(B173)-YEAR(parametros!$C$2))*12+MONTH(B173)-MONTH(parametros!$C$2)&gt;59),"Fora dos ciclos","C"&amp;INT(((YEAR(B173)-YEAR(parametros!$C$2))*12+MONTH(B173)-MONTH(parametros!$C$2))/12))),"Fora dos ciclos"))</f>
        <v/>
      </c>
      <c r="D173" s="103"/>
      <c r="E173" s="104"/>
      <c r="F173" s="105" t="str">
        <f>IF(A173="","",IFERROR(VLOOKUP(A173,itens_Remanesc!$A:$C,3,0),""))</f>
        <v/>
      </c>
      <c r="G173" s="105" t="str">
        <f t="shared" si="10"/>
        <v/>
      </c>
      <c r="H173" s="103"/>
      <c r="I173" s="64" t="str">
        <f>IFERROR(VLOOKUP(C173,parametros!$B:$F,5,0),"")</f>
        <v/>
      </c>
      <c r="J173" s="105" t="str">
        <f>IF(OR(L173="",F173=""),"",ROUND(L173*IF(AND(UPPER(H173)="SIM",ISNUMBER(IF($C173="C0",IFERROR(VLOOKUP($A173,historico_VU!$A:$G,3,0),""),IF($C173="C1",IFERROR(VLOOKUP($A173,historico_VU!$A:$G,4,0),""),IF($C173="C2",IFERROR(VLOOKUP($A173,historico_VU!$A:$G,5,0),""),IF($C173="C3",IFERROR(VLOOKUP($A173,historico_VU!$A:$G,6,0),""),IF($C173="C4",IFERROR(VLOOKUP($A173,historico_VU!$A:$G,7,0),""),""))))))),IF($C173="C0",IFERROR(VLOOKUP($A173,historico_VU!$A:$G,3,0),""),IF($C173="C1",IFERROR(VLOOKUP($A173,historico_VU!$A:$G,4,0),""),IF($C173="C2",IFERROR(VLOOKUP($A173,historico_VU!$A:$G,5,0),""),IF($C173="C3",IFERROR(VLOOKUP($A173,historico_VU!$A:$G,6,0),""),IF($C173="C4",IFERROR(VLOOKUP($A173,historico_VU!$A:$G,7,0),""),""))))),F173),2))</f>
        <v/>
      </c>
      <c r="K173" s="103"/>
      <c r="L173" s="85" t="str">
        <f t="shared" si="11"/>
        <v/>
      </c>
      <c r="M173" s="203" t="str">
        <f>IF(A173="","",IF(COUNTIF(itens_Remanesc!$A$2:$A$200,A173)=0,"NOVO ITEM NAO CADASTRADO - CADASTRAR EM itens_Remanesc: ITEM + VU_ORIGINAL (QTD_BASE_ORIGINAL sera 0 automaticamente); depois a data e a quantidade aqui.",IF(COUNTIF(itens_Remanesc!$A$2:$A$200,A173)&gt;1,"ALERTA: ITEM_DUPLICADO",IF(OR(C173="",C173="Fora dos ciclos"),"ALERTA: CICLO_INVALIDO",IF(NOT(ISNUMBER(E173)),"ALERTA: QTD_INVALIDA",IF(AND(LEFT(UPPER(D173),3)&lt;&gt;"ACR",LEFT(UPPER(D173),4)&lt;&gt;"SUPR",LEFT(UPPER(D173),4)&lt;&gt;"DECR"),"ALERTA: TIPO_INVALIDO","OK"))))))</f>
        <v/>
      </c>
    </row>
    <row r="174" spans="1:13" ht="45" customHeight="1" x14ac:dyDescent="0.35">
      <c r="A174" s="103"/>
      <c r="B174" s="186"/>
      <c r="C174" s="99" t="str">
        <f>IF(B174="","",IFERROR(IF(NOT(ISNUMBER(parametros!$C$2)),"Fora dos ciclos",IF(OR(B174&lt;parametros!$C$2,(YEAR(B174)-YEAR(parametros!$C$2))*12+MONTH(B174)-MONTH(parametros!$C$2)&gt;59),"Fora dos ciclos","C"&amp;INT(((YEAR(B174)-YEAR(parametros!$C$2))*12+MONTH(B174)-MONTH(parametros!$C$2))/12))),"Fora dos ciclos"))</f>
        <v/>
      </c>
      <c r="D174" s="103"/>
      <c r="E174" s="104"/>
      <c r="F174" s="105" t="str">
        <f>IF(A174="","",IFERROR(VLOOKUP(A174,itens_Remanesc!$A:$C,3,0),""))</f>
        <v/>
      </c>
      <c r="G174" s="105" t="str">
        <f t="shared" si="10"/>
        <v/>
      </c>
      <c r="H174" s="103"/>
      <c r="I174" s="64" t="str">
        <f>IFERROR(VLOOKUP(C174,parametros!$B:$F,5,0),"")</f>
        <v/>
      </c>
      <c r="J174" s="105" t="str">
        <f>IF(OR(L174="",F174=""),"",ROUND(L174*IF(AND(UPPER(H174)="SIM",ISNUMBER(IF($C174="C0",IFERROR(VLOOKUP($A174,historico_VU!$A:$G,3,0),""),IF($C174="C1",IFERROR(VLOOKUP($A174,historico_VU!$A:$G,4,0),""),IF($C174="C2",IFERROR(VLOOKUP($A174,historico_VU!$A:$G,5,0),""),IF($C174="C3",IFERROR(VLOOKUP($A174,historico_VU!$A:$G,6,0),""),IF($C174="C4",IFERROR(VLOOKUP($A174,historico_VU!$A:$G,7,0),""),""))))))),IF($C174="C0",IFERROR(VLOOKUP($A174,historico_VU!$A:$G,3,0),""),IF($C174="C1",IFERROR(VLOOKUP($A174,historico_VU!$A:$G,4,0),""),IF($C174="C2",IFERROR(VLOOKUP($A174,historico_VU!$A:$G,5,0),""),IF($C174="C3",IFERROR(VLOOKUP($A174,historico_VU!$A:$G,6,0),""),IF($C174="C4",IFERROR(VLOOKUP($A174,historico_VU!$A:$G,7,0),""),""))))),F174),2))</f>
        <v/>
      </c>
      <c r="K174" s="103"/>
      <c r="L174" s="85" t="str">
        <f t="shared" si="11"/>
        <v/>
      </c>
      <c r="M174" s="203" t="str">
        <f>IF(A174="","",IF(COUNTIF(itens_Remanesc!$A$2:$A$200,A174)=0,"NOVO ITEM NAO CADASTRADO - CADASTRAR EM itens_Remanesc: ITEM + VU_ORIGINAL (QTD_BASE_ORIGINAL sera 0 automaticamente); depois a data e a quantidade aqui.",IF(COUNTIF(itens_Remanesc!$A$2:$A$200,A174)&gt;1,"ALERTA: ITEM_DUPLICADO",IF(OR(C174="",C174="Fora dos ciclos"),"ALERTA: CICLO_INVALIDO",IF(NOT(ISNUMBER(E174)),"ALERTA: QTD_INVALIDA",IF(AND(LEFT(UPPER(D174),3)&lt;&gt;"ACR",LEFT(UPPER(D174),4)&lt;&gt;"SUPR",LEFT(UPPER(D174),4)&lt;&gt;"DECR"),"ALERTA: TIPO_INVALIDO","OK"))))))</f>
        <v/>
      </c>
    </row>
    <row r="175" spans="1:13" ht="45" customHeight="1" x14ac:dyDescent="0.35">
      <c r="A175" s="103"/>
      <c r="B175" s="186"/>
      <c r="C175" s="99" t="str">
        <f>IF(B175="","",IFERROR(IF(NOT(ISNUMBER(parametros!$C$2)),"Fora dos ciclos",IF(OR(B175&lt;parametros!$C$2,(YEAR(B175)-YEAR(parametros!$C$2))*12+MONTH(B175)-MONTH(parametros!$C$2)&gt;59),"Fora dos ciclos","C"&amp;INT(((YEAR(B175)-YEAR(parametros!$C$2))*12+MONTH(B175)-MONTH(parametros!$C$2))/12))),"Fora dos ciclos"))</f>
        <v/>
      </c>
      <c r="D175" s="103"/>
      <c r="E175" s="104"/>
      <c r="F175" s="105" t="str">
        <f>IF(A175="","",IFERROR(VLOOKUP(A175,itens_Remanesc!$A:$C,3,0),""))</f>
        <v/>
      </c>
      <c r="G175" s="105" t="str">
        <f t="shared" si="10"/>
        <v/>
      </c>
      <c r="H175" s="103"/>
      <c r="I175" s="64" t="str">
        <f>IFERROR(VLOOKUP(C175,parametros!$B:$F,5,0),"")</f>
        <v/>
      </c>
      <c r="J175" s="105" t="str">
        <f>IF(OR(L175="",F175=""),"",ROUND(L175*IF(AND(UPPER(H175)="SIM",ISNUMBER(IF($C175="C0",IFERROR(VLOOKUP($A175,historico_VU!$A:$G,3,0),""),IF($C175="C1",IFERROR(VLOOKUP($A175,historico_VU!$A:$G,4,0),""),IF($C175="C2",IFERROR(VLOOKUP($A175,historico_VU!$A:$G,5,0),""),IF($C175="C3",IFERROR(VLOOKUP($A175,historico_VU!$A:$G,6,0),""),IF($C175="C4",IFERROR(VLOOKUP($A175,historico_VU!$A:$G,7,0),""),""))))))),IF($C175="C0",IFERROR(VLOOKUP($A175,historico_VU!$A:$G,3,0),""),IF($C175="C1",IFERROR(VLOOKUP($A175,historico_VU!$A:$G,4,0),""),IF($C175="C2",IFERROR(VLOOKUP($A175,historico_VU!$A:$G,5,0),""),IF($C175="C3",IFERROR(VLOOKUP($A175,historico_VU!$A:$G,6,0),""),IF($C175="C4",IFERROR(VLOOKUP($A175,historico_VU!$A:$G,7,0),""),""))))),F175),2))</f>
        <v/>
      </c>
      <c r="K175" s="103"/>
      <c r="L175" s="85" t="str">
        <f t="shared" si="11"/>
        <v/>
      </c>
      <c r="M175" s="203" t="str">
        <f>IF(A175="","",IF(COUNTIF(itens_Remanesc!$A$2:$A$200,A175)=0,"NOVO ITEM NAO CADASTRADO - CADASTRAR EM itens_Remanesc: ITEM + VU_ORIGINAL (QTD_BASE_ORIGINAL sera 0 automaticamente); depois a data e a quantidade aqui.",IF(COUNTIF(itens_Remanesc!$A$2:$A$200,A175)&gt;1,"ALERTA: ITEM_DUPLICADO",IF(OR(C175="",C175="Fora dos ciclos"),"ALERTA: CICLO_INVALIDO",IF(NOT(ISNUMBER(E175)),"ALERTA: QTD_INVALIDA",IF(AND(LEFT(UPPER(D175),3)&lt;&gt;"ACR",LEFT(UPPER(D175),4)&lt;&gt;"SUPR",LEFT(UPPER(D175),4)&lt;&gt;"DECR"),"ALERTA: TIPO_INVALIDO","OK"))))))</f>
        <v/>
      </c>
    </row>
    <row r="176" spans="1:13" ht="45" customHeight="1" x14ac:dyDescent="0.35">
      <c r="A176" s="103"/>
      <c r="B176" s="186"/>
      <c r="C176" s="99" t="str">
        <f>IF(B176="","",IFERROR(IF(NOT(ISNUMBER(parametros!$C$2)),"Fora dos ciclos",IF(OR(B176&lt;parametros!$C$2,(YEAR(B176)-YEAR(parametros!$C$2))*12+MONTH(B176)-MONTH(parametros!$C$2)&gt;59),"Fora dos ciclos","C"&amp;INT(((YEAR(B176)-YEAR(parametros!$C$2))*12+MONTH(B176)-MONTH(parametros!$C$2))/12))),"Fora dos ciclos"))</f>
        <v/>
      </c>
      <c r="D176" s="103"/>
      <c r="E176" s="104"/>
      <c r="F176" s="105" t="str">
        <f>IF(A176="","",IFERROR(VLOOKUP(A176,itens_Remanesc!$A:$C,3,0),""))</f>
        <v/>
      </c>
      <c r="G176" s="105" t="str">
        <f t="shared" si="10"/>
        <v/>
      </c>
      <c r="H176" s="103"/>
      <c r="I176" s="64" t="str">
        <f>IFERROR(VLOOKUP(C176,parametros!$B:$F,5,0),"")</f>
        <v/>
      </c>
      <c r="J176" s="105" t="str">
        <f>IF(OR(L176="",F176=""),"",ROUND(L176*IF(AND(UPPER(H176)="SIM",ISNUMBER(IF($C176="C0",IFERROR(VLOOKUP($A176,historico_VU!$A:$G,3,0),""),IF($C176="C1",IFERROR(VLOOKUP($A176,historico_VU!$A:$G,4,0),""),IF($C176="C2",IFERROR(VLOOKUP($A176,historico_VU!$A:$G,5,0),""),IF($C176="C3",IFERROR(VLOOKUP($A176,historico_VU!$A:$G,6,0),""),IF($C176="C4",IFERROR(VLOOKUP($A176,historico_VU!$A:$G,7,0),""),""))))))),IF($C176="C0",IFERROR(VLOOKUP($A176,historico_VU!$A:$G,3,0),""),IF($C176="C1",IFERROR(VLOOKUP($A176,historico_VU!$A:$G,4,0),""),IF($C176="C2",IFERROR(VLOOKUP($A176,historico_VU!$A:$G,5,0),""),IF($C176="C3",IFERROR(VLOOKUP($A176,historico_VU!$A:$G,6,0),""),IF($C176="C4",IFERROR(VLOOKUP($A176,historico_VU!$A:$G,7,0),""),""))))),F176),2))</f>
        <v/>
      </c>
      <c r="K176" s="103"/>
      <c r="L176" s="85" t="str">
        <f t="shared" si="11"/>
        <v/>
      </c>
      <c r="M176" s="203" t="str">
        <f>IF(A176="","",IF(COUNTIF(itens_Remanesc!$A$2:$A$200,A176)=0,"NOVO ITEM NAO CADASTRADO - CADASTRAR EM itens_Remanesc: ITEM + VU_ORIGINAL (QTD_BASE_ORIGINAL sera 0 automaticamente); depois a data e a quantidade aqui.",IF(COUNTIF(itens_Remanesc!$A$2:$A$200,A176)&gt;1,"ALERTA: ITEM_DUPLICADO",IF(OR(C176="",C176="Fora dos ciclos"),"ALERTA: CICLO_INVALIDO",IF(NOT(ISNUMBER(E176)),"ALERTA: QTD_INVALIDA",IF(AND(LEFT(UPPER(D176),3)&lt;&gt;"ACR",LEFT(UPPER(D176),4)&lt;&gt;"SUPR",LEFT(UPPER(D176),4)&lt;&gt;"DECR"),"ALERTA: TIPO_INVALIDO","OK"))))))</f>
        <v/>
      </c>
    </row>
    <row r="177" spans="1:13" ht="45" customHeight="1" x14ac:dyDescent="0.35">
      <c r="A177" s="103"/>
      <c r="B177" s="186"/>
      <c r="C177" s="99" t="str">
        <f>IF(B177="","",IFERROR(IF(NOT(ISNUMBER(parametros!$C$2)),"Fora dos ciclos",IF(OR(B177&lt;parametros!$C$2,(YEAR(B177)-YEAR(parametros!$C$2))*12+MONTH(B177)-MONTH(parametros!$C$2)&gt;59),"Fora dos ciclos","C"&amp;INT(((YEAR(B177)-YEAR(parametros!$C$2))*12+MONTH(B177)-MONTH(parametros!$C$2))/12))),"Fora dos ciclos"))</f>
        <v/>
      </c>
      <c r="D177" s="103"/>
      <c r="E177" s="104"/>
      <c r="F177" s="105" t="str">
        <f>IF(A177="","",IFERROR(VLOOKUP(A177,itens_Remanesc!$A:$C,3,0),""))</f>
        <v/>
      </c>
      <c r="G177" s="105" t="str">
        <f t="shared" si="10"/>
        <v/>
      </c>
      <c r="H177" s="103"/>
      <c r="I177" s="64" t="str">
        <f>IFERROR(VLOOKUP(C177,parametros!$B:$F,5,0),"")</f>
        <v/>
      </c>
      <c r="J177" s="105" t="str">
        <f>IF(OR(L177="",F177=""),"",ROUND(L177*IF(AND(UPPER(H177)="SIM",ISNUMBER(IF($C177="C0",IFERROR(VLOOKUP($A177,historico_VU!$A:$G,3,0),""),IF($C177="C1",IFERROR(VLOOKUP($A177,historico_VU!$A:$G,4,0),""),IF($C177="C2",IFERROR(VLOOKUP($A177,historico_VU!$A:$G,5,0),""),IF($C177="C3",IFERROR(VLOOKUP($A177,historico_VU!$A:$G,6,0),""),IF($C177="C4",IFERROR(VLOOKUP($A177,historico_VU!$A:$G,7,0),""),""))))))),IF($C177="C0",IFERROR(VLOOKUP($A177,historico_VU!$A:$G,3,0),""),IF($C177="C1",IFERROR(VLOOKUP($A177,historico_VU!$A:$G,4,0),""),IF($C177="C2",IFERROR(VLOOKUP($A177,historico_VU!$A:$G,5,0),""),IF($C177="C3",IFERROR(VLOOKUP($A177,historico_VU!$A:$G,6,0),""),IF($C177="C4",IFERROR(VLOOKUP($A177,historico_VU!$A:$G,7,0),""),""))))),F177),2))</f>
        <v/>
      </c>
      <c r="K177" s="103"/>
      <c r="L177" s="85" t="str">
        <f t="shared" si="11"/>
        <v/>
      </c>
      <c r="M177" s="203" t="str">
        <f>IF(A177="","",IF(COUNTIF(itens_Remanesc!$A$2:$A$200,A177)=0,"NOVO ITEM NAO CADASTRADO - CADASTRAR EM itens_Remanesc: ITEM + VU_ORIGINAL (QTD_BASE_ORIGINAL sera 0 automaticamente); depois a data e a quantidade aqui.",IF(COUNTIF(itens_Remanesc!$A$2:$A$200,A177)&gt;1,"ALERTA: ITEM_DUPLICADO",IF(OR(C177="",C177="Fora dos ciclos"),"ALERTA: CICLO_INVALIDO",IF(NOT(ISNUMBER(E177)),"ALERTA: QTD_INVALIDA",IF(AND(LEFT(UPPER(D177),3)&lt;&gt;"ACR",LEFT(UPPER(D177),4)&lt;&gt;"SUPR",LEFT(UPPER(D177),4)&lt;&gt;"DECR"),"ALERTA: TIPO_INVALIDO","OK"))))))</f>
        <v/>
      </c>
    </row>
    <row r="178" spans="1:13" ht="45" customHeight="1" x14ac:dyDescent="0.35">
      <c r="A178" s="103"/>
      <c r="B178" s="186"/>
      <c r="C178" s="99" t="str">
        <f>IF(B178="","",IFERROR(IF(NOT(ISNUMBER(parametros!$C$2)),"Fora dos ciclos",IF(OR(B178&lt;parametros!$C$2,(YEAR(B178)-YEAR(parametros!$C$2))*12+MONTH(B178)-MONTH(parametros!$C$2)&gt;59),"Fora dos ciclos","C"&amp;INT(((YEAR(B178)-YEAR(parametros!$C$2))*12+MONTH(B178)-MONTH(parametros!$C$2))/12))),"Fora dos ciclos"))</f>
        <v/>
      </c>
      <c r="D178" s="103"/>
      <c r="E178" s="104"/>
      <c r="F178" s="105" t="str">
        <f>IF(A178="","",IFERROR(VLOOKUP(A178,itens_Remanesc!$A:$C,3,0),""))</f>
        <v/>
      </c>
      <c r="G178" s="105" t="str">
        <f t="shared" si="10"/>
        <v/>
      </c>
      <c r="H178" s="103"/>
      <c r="I178" s="64" t="str">
        <f>IFERROR(VLOOKUP(C178,parametros!$B:$F,5,0),"")</f>
        <v/>
      </c>
      <c r="J178" s="105" t="str">
        <f>IF(OR(L178="",F178=""),"",ROUND(L178*IF(AND(UPPER(H178)="SIM",ISNUMBER(IF($C178="C0",IFERROR(VLOOKUP($A178,historico_VU!$A:$G,3,0),""),IF($C178="C1",IFERROR(VLOOKUP($A178,historico_VU!$A:$G,4,0),""),IF($C178="C2",IFERROR(VLOOKUP($A178,historico_VU!$A:$G,5,0),""),IF($C178="C3",IFERROR(VLOOKUP($A178,historico_VU!$A:$G,6,0),""),IF($C178="C4",IFERROR(VLOOKUP($A178,historico_VU!$A:$G,7,0),""),""))))))),IF($C178="C0",IFERROR(VLOOKUP($A178,historico_VU!$A:$G,3,0),""),IF($C178="C1",IFERROR(VLOOKUP($A178,historico_VU!$A:$G,4,0),""),IF($C178="C2",IFERROR(VLOOKUP($A178,historico_VU!$A:$G,5,0),""),IF($C178="C3",IFERROR(VLOOKUP($A178,historico_VU!$A:$G,6,0),""),IF($C178="C4",IFERROR(VLOOKUP($A178,historico_VU!$A:$G,7,0),""),""))))),F178),2))</f>
        <v/>
      </c>
      <c r="K178" s="103"/>
      <c r="L178" s="85" t="str">
        <f t="shared" si="11"/>
        <v/>
      </c>
      <c r="M178" s="203" t="str">
        <f>IF(A178="","",IF(COUNTIF(itens_Remanesc!$A$2:$A$200,A178)=0,"NOVO ITEM NAO CADASTRADO - CADASTRAR EM itens_Remanesc: ITEM + VU_ORIGINAL (QTD_BASE_ORIGINAL sera 0 automaticamente); depois a data e a quantidade aqui.",IF(COUNTIF(itens_Remanesc!$A$2:$A$200,A178)&gt;1,"ALERTA: ITEM_DUPLICADO",IF(OR(C178="",C178="Fora dos ciclos"),"ALERTA: CICLO_INVALIDO",IF(NOT(ISNUMBER(E178)),"ALERTA: QTD_INVALIDA",IF(AND(LEFT(UPPER(D178),3)&lt;&gt;"ACR",LEFT(UPPER(D178),4)&lt;&gt;"SUPR",LEFT(UPPER(D178),4)&lt;&gt;"DECR"),"ALERTA: TIPO_INVALIDO","OK"))))))</f>
        <v/>
      </c>
    </row>
    <row r="179" spans="1:13" ht="45" customHeight="1" x14ac:dyDescent="0.35">
      <c r="A179" s="103"/>
      <c r="B179" s="186"/>
      <c r="C179" s="99" t="str">
        <f>IF(B179="","",IFERROR(IF(NOT(ISNUMBER(parametros!$C$2)),"Fora dos ciclos",IF(OR(B179&lt;parametros!$C$2,(YEAR(B179)-YEAR(parametros!$C$2))*12+MONTH(B179)-MONTH(parametros!$C$2)&gt;59),"Fora dos ciclos","C"&amp;INT(((YEAR(B179)-YEAR(parametros!$C$2))*12+MONTH(B179)-MONTH(parametros!$C$2))/12))),"Fora dos ciclos"))</f>
        <v/>
      </c>
      <c r="D179" s="103"/>
      <c r="E179" s="104"/>
      <c r="F179" s="105" t="str">
        <f>IF(A179="","",IFERROR(VLOOKUP(A179,itens_Remanesc!$A:$C,3,0),""))</f>
        <v/>
      </c>
      <c r="G179" s="105" t="str">
        <f t="shared" si="10"/>
        <v/>
      </c>
      <c r="H179" s="103"/>
      <c r="I179" s="64" t="str">
        <f>IFERROR(VLOOKUP(C179,parametros!$B:$F,5,0),"")</f>
        <v/>
      </c>
      <c r="J179" s="105" t="str">
        <f>IF(OR(L179="",F179=""),"",ROUND(L179*IF(AND(UPPER(H179)="SIM",ISNUMBER(IF($C179="C0",IFERROR(VLOOKUP($A179,historico_VU!$A:$G,3,0),""),IF($C179="C1",IFERROR(VLOOKUP($A179,historico_VU!$A:$G,4,0),""),IF($C179="C2",IFERROR(VLOOKUP($A179,historico_VU!$A:$G,5,0),""),IF($C179="C3",IFERROR(VLOOKUP($A179,historico_VU!$A:$G,6,0),""),IF($C179="C4",IFERROR(VLOOKUP($A179,historico_VU!$A:$G,7,0),""),""))))))),IF($C179="C0",IFERROR(VLOOKUP($A179,historico_VU!$A:$G,3,0),""),IF($C179="C1",IFERROR(VLOOKUP($A179,historico_VU!$A:$G,4,0),""),IF($C179="C2",IFERROR(VLOOKUP($A179,historico_VU!$A:$G,5,0),""),IF($C179="C3",IFERROR(VLOOKUP($A179,historico_VU!$A:$G,6,0),""),IF($C179="C4",IFERROR(VLOOKUP($A179,historico_VU!$A:$G,7,0),""),""))))),F179),2))</f>
        <v/>
      </c>
      <c r="K179" s="103"/>
      <c r="L179" s="85" t="str">
        <f t="shared" si="11"/>
        <v/>
      </c>
      <c r="M179" s="203" t="str">
        <f>IF(A179="","",IF(COUNTIF(itens_Remanesc!$A$2:$A$200,A179)=0,"NOVO ITEM NAO CADASTRADO - CADASTRAR EM itens_Remanesc: ITEM + VU_ORIGINAL (QTD_BASE_ORIGINAL sera 0 automaticamente); depois a data e a quantidade aqui.",IF(COUNTIF(itens_Remanesc!$A$2:$A$200,A179)&gt;1,"ALERTA: ITEM_DUPLICADO",IF(OR(C179="",C179="Fora dos ciclos"),"ALERTA: CICLO_INVALIDO",IF(NOT(ISNUMBER(E179)),"ALERTA: QTD_INVALIDA",IF(AND(LEFT(UPPER(D179),3)&lt;&gt;"ACR",LEFT(UPPER(D179),4)&lt;&gt;"SUPR",LEFT(UPPER(D179),4)&lt;&gt;"DECR"),"ALERTA: TIPO_INVALIDO","OK"))))))</f>
        <v/>
      </c>
    </row>
    <row r="180" spans="1:13" ht="45" customHeight="1" x14ac:dyDescent="0.35">
      <c r="A180" s="103"/>
      <c r="B180" s="186"/>
      <c r="C180" s="99" t="str">
        <f>IF(B180="","",IFERROR(IF(NOT(ISNUMBER(parametros!$C$2)),"Fora dos ciclos",IF(OR(B180&lt;parametros!$C$2,(YEAR(B180)-YEAR(parametros!$C$2))*12+MONTH(B180)-MONTH(parametros!$C$2)&gt;59),"Fora dos ciclos","C"&amp;INT(((YEAR(B180)-YEAR(parametros!$C$2))*12+MONTH(B180)-MONTH(parametros!$C$2))/12))),"Fora dos ciclos"))</f>
        <v/>
      </c>
      <c r="D180" s="103"/>
      <c r="E180" s="104"/>
      <c r="F180" s="105" t="str">
        <f>IF(A180="","",IFERROR(VLOOKUP(A180,itens_Remanesc!$A:$C,3,0),""))</f>
        <v/>
      </c>
      <c r="G180" s="105" t="str">
        <f t="shared" si="10"/>
        <v/>
      </c>
      <c r="H180" s="103"/>
      <c r="I180" s="64" t="str">
        <f>IFERROR(VLOOKUP(C180,parametros!$B:$F,5,0),"")</f>
        <v/>
      </c>
      <c r="J180" s="105" t="str">
        <f>IF(OR(L180="",F180=""),"",ROUND(L180*IF(AND(UPPER(H180)="SIM",ISNUMBER(IF($C180="C0",IFERROR(VLOOKUP($A180,historico_VU!$A:$G,3,0),""),IF($C180="C1",IFERROR(VLOOKUP($A180,historico_VU!$A:$G,4,0),""),IF($C180="C2",IFERROR(VLOOKUP($A180,historico_VU!$A:$G,5,0),""),IF($C180="C3",IFERROR(VLOOKUP($A180,historico_VU!$A:$G,6,0),""),IF($C180="C4",IFERROR(VLOOKUP($A180,historico_VU!$A:$G,7,0),""),""))))))),IF($C180="C0",IFERROR(VLOOKUP($A180,historico_VU!$A:$G,3,0),""),IF($C180="C1",IFERROR(VLOOKUP($A180,historico_VU!$A:$G,4,0),""),IF($C180="C2",IFERROR(VLOOKUP($A180,historico_VU!$A:$G,5,0),""),IF($C180="C3",IFERROR(VLOOKUP($A180,historico_VU!$A:$G,6,0),""),IF($C180="C4",IFERROR(VLOOKUP($A180,historico_VU!$A:$G,7,0),""),""))))),F180),2))</f>
        <v/>
      </c>
      <c r="K180" s="103"/>
      <c r="L180" s="85" t="str">
        <f t="shared" si="11"/>
        <v/>
      </c>
      <c r="M180" s="203" t="str">
        <f>IF(A180="","",IF(COUNTIF(itens_Remanesc!$A$2:$A$200,A180)=0,"NOVO ITEM NAO CADASTRADO - CADASTRAR EM itens_Remanesc: ITEM + VU_ORIGINAL (QTD_BASE_ORIGINAL sera 0 automaticamente); depois a data e a quantidade aqui.",IF(COUNTIF(itens_Remanesc!$A$2:$A$200,A180)&gt;1,"ALERTA: ITEM_DUPLICADO",IF(OR(C180="",C180="Fora dos ciclos"),"ALERTA: CICLO_INVALIDO",IF(NOT(ISNUMBER(E180)),"ALERTA: QTD_INVALIDA",IF(AND(LEFT(UPPER(D180),3)&lt;&gt;"ACR",LEFT(UPPER(D180),4)&lt;&gt;"SUPR",LEFT(UPPER(D180),4)&lt;&gt;"DECR"),"ALERTA: TIPO_INVALIDO","OK"))))))</f>
        <v/>
      </c>
    </row>
    <row r="181" spans="1:13" ht="45" customHeight="1" x14ac:dyDescent="0.35">
      <c r="A181" s="103"/>
      <c r="B181" s="186"/>
      <c r="C181" s="99" t="str">
        <f>IF(B181="","",IFERROR(IF(NOT(ISNUMBER(parametros!$C$2)),"Fora dos ciclos",IF(OR(B181&lt;parametros!$C$2,(YEAR(B181)-YEAR(parametros!$C$2))*12+MONTH(B181)-MONTH(parametros!$C$2)&gt;59),"Fora dos ciclos","C"&amp;INT(((YEAR(B181)-YEAR(parametros!$C$2))*12+MONTH(B181)-MONTH(parametros!$C$2))/12))),"Fora dos ciclos"))</f>
        <v/>
      </c>
      <c r="D181" s="103"/>
      <c r="E181" s="104"/>
      <c r="F181" s="105" t="str">
        <f>IF(A181="","",IFERROR(VLOOKUP(A181,itens_Remanesc!$A:$C,3,0),""))</f>
        <v/>
      </c>
      <c r="G181" s="105" t="str">
        <f t="shared" si="10"/>
        <v/>
      </c>
      <c r="H181" s="103"/>
      <c r="I181" s="64" t="str">
        <f>IFERROR(VLOOKUP(C181,parametros!$B:$F,5,0),"")</f>
        <v/>
      </c>
      <c r="J181" s="105" t="str">
        <f>IF(OR(L181="",F181=""),"",ROUND(L181*IF(AND(UPPER(H181)="SIM",ISNUMBER(IF($C181="C0",IFERROR(VLOOKUP($A181,historico_VU!$A:$G,3,0),""),IF($C181="C1",IFERROR(VLOOKUP($A181,historico_VU!$A:$G,4,0),""),IF($C181="C2",IFERROR(VLOOKUP($A181,historico_VU!$A:$G,5,0),""),IF($C181="C3",IFERROR(VLOOKUP($A181,historico_VU!$A:$G,6,0),""),IF($C181="C4",IFERROR(VLOOKUP($A181,historico_VU!$A:$G,7,0),""),""))))))),IF($C181="C0",IFERROR(VLOOKUP($A181,historico_VU!$A:$G,3,0),""),IF($C181="C1",IFERROR(VLOOKUP($A181,historico_VU!$A:$G,4,0),""),IF($C181="C2",IFERROR(VLOOKUP($A181,historico_VU!$A:$G,5,0),""),IF($C181="C3",IFERROR(VLOOKUP($A181,historico_VU!$A:$G,6,0),""),IF($C181="C4",IFERROR(VLOOKUP($A181,historico_VU!$A:$G,7,0),""),""))))),F181),2))</f>
        <v/>
      </c>
      <c r="K181" s="103"/>
      <c r="L181" s="85" t="str">
        <f t="shared" si="11"/>
        <v/>
      </c>
      <c r="M181" s="203" t="str">
        <f>IF(A181="","",IF(COUNTIF(itens_Remanesc!$A$2:$A$200,A181)=0,"NOVO ITEM NAO CADASTRADO - CADASTRAR EM itens_Remanesc: ITEM + VU_ORIGINAL (QTD_BASE_ORIGINAL sera 0 automaticamente); depois a data e a quantidade aqui.",IF(COUNTIF(itens_Remanesc!$A$2:$A$200,A181)&gt;1,"ALERTA: ITEM_DUPLICADO",IF(OR(C181="",C181="Fora dos ciclos"),"ALERTA: CICLO_INVALIDO",IF(NOT(ISNUMBER(E181)),"ALERTA: QTD_INVALIDA",IF(AND(LEFT(UPPER(D181),3)&lt;&gt;"ACR",LEFT(UPPER(D181),4)&lt;&gt;"SUPR",LEFT(UPPER(D181),4)&lt;&gt;"DECR"),"ALERTA: TIPO_INVALIDO","OK"))))))</f>
        <v/>
      </c>
    </row>
    <row r="182" spans="1:13" ht="45" customHeight="1" x14ac:dyDescent="0.35">
      <c r="A182" s="103"/>
      <c r="B182" s="186"/>
      <c r="C182" s="99" t="str">
        <f>IF(B182="","",IFERROR(IF(NOT(ISNUMBER(parametros!$C$2)),"Fora dos ciclos",IF(OR(B182&lt;parametros!$C$2,(YEAR(B182)-YEAR(parametros!$C$2))*12+MONTH(B182)-MONTH(parametros!$C$2)&gt;59),"Fora dos ciclos","C"&amp;INT(((YEAR(B182)-YEAR(parametros!$C$2))*12+MONTH(B182)-MONTH(parametros!$C$2))/12))),"Fora dos ciclos"))</f>
        <v/>
      </c>
      <c r="D182" s="103"/>
      <c r="E182" s="104"/>
      <c r="F182" s="105" t="str">
        <f>IF(A182="","",IFERROR(VLOOKUP(A182,itens_Remanesc!$A:$C,3,0),""))</f>
        <v/>
      </c>
      <c r="G182" s="105" t="str">
        <f t="shared" si="10"/>
        <v/>
      </c>
      <c r="H182" s="103"/>
      <c r="I182" s="64" t="str">
        <f>IFERROR(VLOOKUP(C182,parametros!$B:$F,5,0),"")</f>
        <v/>
      </c>
      <c r="J182" s="105" t="str">
        <f>IF(OR(L182="",F182=""),"",ROUND(L182*IF(AND(UPPER(H182)="SIM",ISNUMBER(IF($C182="C0",IFERROR(VLOOKUP($A182,historico_VU!$A:$G,3,0),""),IF($C182="C1",IFERROR(VLOOKUP($A182,historico_VU!$A:$G,4,0),""),IF($C182="C2",IFERROR(VLOOKUP($A182,historico_VU!$A:$G,5,0),""),IF($C182="C3",IFERROR(VLOOKUP($A182,historico_VU!$A:$G,6,0),""),IF($C182="C4",IFERROR(VLOOKUP($A182,historico_VU!$A:$G,7,0),""),""))))))),IF($C182="C0",IFERROR(VLOOKUP($A182,historico_VU!$A:$G,3,0),""),IF($C182="C1",IFERROR(VLOOKUP($A182,historico_VU!$A:$G,4,0),""),IF($C182="C2",IFERROR(VLOOKUP($A182,historico_VU!$A:$G,5,0),""),IF($C182="C3",IFERROR(VLOOKUP($A182,historico_VU!$A:$G,6,0),""),IF($C182="C4",IFERROR(VLOOKUP($A182,historico_VU!$A:$G,7,0),""),""))))),F182),2))</f>
        <v/>
      </c>
      <c r="K182" s="103"/>
      <c r="L182" s="85" t="str">
        <f t="shared" si="11"/>
        <v/>
      </c>
      <c r="M182" s="203" t="str">
        <f>IF(A182="","",IF(COUNTIF(itens_Remanesc!$A$2:$A$200,A182)=0,"NOVO ITEM NAO CADASTRADO - CADASTRAR EM itens_Remanesc: ITEM + VU_ORIGINAL (QTD_BASE_ORIGINAL sera 0 automaticamente); depois a data e a quantidade aqui.",IF(COUNTIF(itens_Remanesc!$A$2:$A$200,A182)&gt;1,"ALERTA: ITEM_DUPLICADO",IF(OR(C182="",C182="Fora dos ciclos"),"ALERTA: CICLO_INVALIDO",IF(NOT(ISNUMBER(E182)),"ALERTA: QTD_INVALIDA",IF(AND(LEFT(UPPER(D182),3)&lt;&gt;"ACR",LEFT(UPPER(D182),4)&lt;&gt;"SUPR",LEFT(UPPER(D182),4)&lt;&gt;"DECR"),"ALERTA: TIPO_INVALIDO","OK"))))))</f>
        <v/>
      </c>
    </row>
    <row r="183" spans="1:13" ht="45" customHeight="1" x14ac:dyDescent="0.35">
      <c r="A183" s="103"/>
      <c r="B183" s="186"/>
      <c r="C183" s="99" t="str">
        <f>IF(B183="","",IFERROR(IF(NOT(ISNUMBER(parametros!$C$2)),"Fora dos ciclos",IF(OR(B183&lt;parametros!$C$2,(YEAR(B183)-YEAR(parametros!$C$2))*12+MONTH(B183)-MONTH(parametros!$C$2)&gt;59),"Fora dos ciclos","C"&amp;INT(((YEAR(B183)-YEAR(parametros!$C$2))*12+MONTH(B183)-MONTH(parametros!$C$2))/12))),"Fora dos ciclos"))</f>
        <v/>
      </c>
      <c r="D183" s="103"/>
      <c r="E183" s="104"/>
      <c r="F183" s="105" t="str">
        <f>IF(A183="","",IFERROR(VLOOKUP(A183,itens_Remanesc!$A:$C,3,0),""))</f>
        <v/>
      </c>
      <c r="G183" s="105" t="str">
        <f t="shared" si="10"/>
        <v/>
      </c>
      <c r="H183" s="103"/>
      <c r="I183" s="64" t="str">
        <f>IFERROR(VLOOKUP(C183,parametros!$B:$F,5,0),"")</f>
        <v/>
      </c>
      <c r="J183" s="105" t="str">
        <f>IF(OR(L183="",F183=""),"",ROUND(L183*IF(AND(UPPER(H183)="SIM",ISNUMBER(IF($C183="C0",IFERROR(VLOOKUP($A183,historico_VU!$A:$G,3,0),""),IF($C183="C1",IFERROR(VLOOKUP($A183,historico_VU!$A:$G,4,0),""),IF($C183="C2",IFERROR(VLOOKUP($A183,historico_VU!$A:$G,5,0),""),IF($C183="C3",IFERROR(VLOOKUP($A183,historico_VU!$A:$G,6,0),""),IF($C183="C4",IFERROR(VLOOKUP($A183,historico_VU!$A:$G,7,0),""),""))))))),IF($C183="C0",IFERROR(VLOOKUP($A183,historico_VU!$A:$G,3,0),""),IF($C183="C1",IFERROR(VLOOKUP($A183,historico_VU!$A:$G,4,0),""),IF($C183="C2",IFERROR(VLOOKUP($A183,historico_VU!$A:$G,5,0),""),IF($C183="C3",IFERROR(VLOOKUP($A183,historico_VU!$A:$G,6,0),""),IF($C183="C4",IFERROR(VLOOKUP($A183,historico_VU!$A:$G,7,0),""),""))))),F183),2))</f>
        <v/>
      </c>
      <c r="K183" s="103"/>
      <c r="L183" s="85" t="str">
        <f t="shared" si="11"/>
        <v/>
      </c>
      <c r="M183" s="203" t="str">
        <f>IF(A183="","",IF(COUNTIF(itens_Remanesc!$A$2:$A$200,A183)=0,"NOVO ITEM NAO CADASTRADO - CADASTRAR EM itens_Remanesc: ITEM + VU_ORIGINAL (QTD_BASE_ORIGINAL sera 0 automaticamente); depois a data e a quantidade aqui.",IF(COUNTIF(itens_Remanesc!$A$2:$A$200,A183)&gt;1,"ALERTA: ITEM_DUPLICADO",IF(OR(C183="",C183="Fora dos ciclos"),"ALERTA: CICLO_INVALIDO",IF(NOT(ISNUMBER(E183)),"ALERTA: QTD_INVALIDA",IF(AND(LEFT(UPPER(D183),3)&lt;&gt;"ACR",LEFT(UPPER(D183),4)&lt;&gt;"SUPR",LEFT(UPPER(D183),4)&lt;&gt;"DECR"),"ALERTA: TIPO_INVALIDO","OK"))))))</f>
        <v/>
      </c>
    </row>
    <row r="184" spans="1:13" ht="45" customHeight="1" x14ac:dyDescent="0.35">
      <c r="A184" s="103"/>
      <c r="B184" s="186"/>
      <c r="C184" s="99" t="str">
        <f>IF(B184="","",IFERROR(IF(NOT(ISNUMBER(parametros!$C$2)),"Fora dos ciclos",IF(OR(B184&lt;parametros!$C$2,(YEAR(B184)-YEAR(parametros!$C$2))*12+MONTH(B184)-MONTH(parametros!$C$2)&gt;59),"Fora dos ciclos","C"&amp;INT(((YEAR(B184)-YEAR(parametros!$C$2))*12+MONTH(B184)-MONTH(parametros!$C$2))/12))),"Fora dos ciclos"))</f>
        <v/>
      </c>
      <c r="D184" s="103"/>
      <c r="E184" s="104"/>
      <c r="F184" s="105" t="str">
        <f>IF(A184="","",IFERROR(VLOOKUP(A184,itens_Remanesc!$A:$C,3,0),""))</f>
        <v/>
      </c>
      <c r="G184" s="105" t="str">
        <f t="shared" si="10"/>
        <v/>
      </c>
      <c r="H184" s="103"/>
      <c r="I184" s="64" t="str">
        <f>IFERROR(VLOOKUP(C184,parametros!$B:$F,5,0),"")</f>
        <v/>
      </c>
      <c r="J184" s="105" t="str">
        <f>IF(OR(L184="",F184=""),"",ROUND(L184*IF(AND(UPPER(H184)="SIM",ISNUMBER(IF($C184="C0",IFERROR(VLOOKUP($A184,historico_VU!$A:$G,3,0),""),IF($C184="C1",IFERROR(VLOOKUP($A184,historico_VU!$A:$G,4,0),""),IF($C184="C2",IFERROR(VLOOKUP($A184,historico_VU!$A:$G,5,0),""),IF($C184="C3",IFERROR(VLOOKUP($A184,historico_VU!$A:$G,6,0),""),IF($C184="C4",IFERROR(VLOOKUP($A184,historico_VU!$A:$G,7,0),""),""))))))),IF($C184="C0",IFERROR(VLOOKUP($A184,historico_VU!$A:$G,3,0),""),IF($C184="C1",IFERROR(VLOOKUP($A184,historico_VU!$A:$G,4,0),""),IF($C184="C2",IFERROR(VLOOKUP($A184,historico_VU!$A:$G,5,0),""),IF($C184="C3",IFERROR(VLOOKUP($A184,historico_VU!$A:$G,6,0),""),IF($C184="C4",IFERROR(VLOOKUP($A184,historico_VU!$A:$G,7,0),""),""))))),F184),2))</f>
        <v/>
      </c>
      <c r="K184" s="103"/>
      <c r="L184" s="85" t="str">
        <f t="shared" si="11"/>
        <v/>
      </c>
      <c r="M184" s="203" t="str">
        <f>IF(A184="","",IF(COUNTIF(itens_Remanesc!$A$2:$A$200,A184)=0,"NOVO ITEM NAO CADASTRADO - CADASTRAR EM itens_Remanesc: ITEM + VU_ORIGINAL (QTD_BASE_ORIGINAL sera 0 automaticamente); depois a data e a quantidade aqui.",IF(COUNTIF(itens_Remanesc!$A$2:$A$200,A184)&gt;1,"ALERTA: ITEM_DUPLICADO",IF(OR(C184="",C184="Fora dos ciclos"),"ALERTA: CICLO_INVALIDO",IF(NOT(ISNUMBER(E184)),"ALERTA: QTD_INVALIDA",IF(AND(LEFT(UPPER(D184),3)&lt;&gt;"ACR",LEFT(UPPER(D184),4)&lt;&gt;"SUPR",LEFT(UPPER(D184),4)&lt;&gt;"DECR"),"ALERTA: TIPO_INVALIDO","OK"))))))</f>
        <v/>
      </c>
    </row>
    <row r="185" spans="1:13" ht="45" customHeight="1" x14ac:dyDescent="0.35">
      <c r="A185" s="103"/>
      <c r="B185" s="186"/>
      <c r="C185" s="99" t="str">
        <f>IF(B185="","",IFERROR(IF(NOT(ISNUMBER(parametros!$C$2)),"Fora dos ciclos",IF(OR(B185&lt;parametros!$C$2,(YEAR(B185)-YEAR(parametros!$C$2))*12+MONTH(B185)-MONTH(parametros!$C$2)&gt;59),"Fora dos ciclos","C"&amp;INT(((YEAR(B185)-YEAR(parametros!$C$2))*12+MONTH(B185)-MONTH(parametros!$C$2))/12))),"Fora dos ciclos"))</f>
        <v/>
      </c>
      <c r="D185" s="103"/>
      <c r="E185" s="104"/>
      <c r="F185" s="105" t="str">
        <f>IF(A185="","",IFERROR(VLOOKUP(A185,itens_Remanesc!$A:$C,3,0),""))</f>
        <v/>
      </c>
      <c r="G185" s="105" t="str">
        <f t="shared" si="10"/>
        <v/>
      </c>
      <c r="H185" s="103"/>
      <c r="I185" s="64" t="str">
        <f>IFERROR(VLOOKUP(C185,parametros!$B:$F,5,0),"")</f>
        <v/>
      </c>
      <c r="J185" s="105" t="str">
        <f>IF(OR(L185="",F185=""),"",ROUND(L185*IF(AND(UPPER(H185)="SIM",ISNUMBER(IF($C185="C0",IFERROR(VLOOKUP($A185,historico_VU!$A:$G,3,0),""),IF($C185="C1",IFERROR(VLOOKUP($A185,historico_VU!$A:$G,4,0),""),IF($C185="C2",IFERROR(VLOOKUP($A185,historico_VU!$A:$G,5,0),""),IF($C185="C3",IFERROR(VLOOKUP($A185,historico_VU!$A:$G,6,0),""),IF($C185="C4",IFERROR(VLOOKUP($A185,historico_VU!$A:$G,7,0),""),""))))))),IF($C185="C0",IFERROR(VLOOKUP($A185,historico_VU!$A:$G,3,0),""),IF($C185="C1",IFERROR(VLOOKUP($A185,historico_VU!$A:$G,4,0),""),IF($C185="C2",IFERROR(VLOOKUP($A185,historico_VU!$A:$G,5,0),""),IF($C185="C3",IFERROR(VLOOKUP($A185,historico_VU!$A:$G,6,0),""),IF($C185="C4",IFERROR(VLOOKUP($A185,historico_VU!$A:$G,7,0),""),""))))),F185),2))</f>
        <v/>
      </c>
      <c r="K185" s="103"/>
      <c r="L185" s="85" t="str">
        <f t="shared" si="11"/>
        <v/>
      </c>
      <c r="M185" s="203" t="str">
        <f>IF(A185="","",IF(COUNTIF(itens_Remanesc!$A$2:$A$200,A185)=0,"NOVO ITEM NAO CADASTRADO - CADASTRAR EM itens_Remanesc: ITEM + VU_ORIGINAL (QTD_BASE_ORIGINAL sera 0 automaticamente); depois a data e a quantidade aqui.",IF(COUNTIF(itens_Remanesc!$A$2:$A$200,A185)&gt;1,"ALERTA: ITEM_DUPLICADO",IF(OR(C185="",C185="Fora dos ciclos"),"ALERTA: CICLO_INVALIDO",IF(NOT(ISNUMBER(E185)),"ALERTA: QTD_INVALIDA",IF(AND(LEFT(UPPER(D185),3)&lt;&gt;"ACR",LEFT(UPPER(D185),4)&lt;&gt;"SUPR",LEFT(UPPER(D185),4)&lt;&gt;"DECR"),"ALERTA: TIPO_INVALIDO","OK"))))))</f>
        <v/>
      </c>
    </row>
    <row r="186" spans="1:13" ht="45" customHeight="1" x14ac:dyDescent="0.35">
      <c r="A186" s="103"/>
      <c r="B186" s="186"/>
      <c r="C186" s="99" t="str">
        <f>IF(B186="","",IFERROR(IF(NOT(ISNUMBER(parametros!$C$2)),"Fora dos ciclos",IF(OR(B186&lt;parametros!$C$2,(YEAR(B186)-YEAR(parametros!$C$2))*12+MONTH(B186)-MONTH(parametros!$C$2)&gt;59),"Fora dos ciclos","C"&amp;INT(((YEAR(B186)-YEAR(parametros!$C$2))*12+MONTH(B186)-MONTH(parametros!$C$2))/12))),"Fora dos ciclos"))</f>
        <v/>
      </c>
      <c r="D186" s="103"/>
      <c r="E186" s="104"/>
      <c r="F186" s="105" t="str">
        <f>IF(A186="","",IFERROR(VLOOKUP(A186,itens_Remanesc!$A:$C,3,0),""))</f>
        <v/>
      </c>
      <c r="G186" s="105" t="str">
        <f t="shared" si="10"/>
        <v/>
      </c>
      <c r="H186" s="103"/>
      <c r="I186" s="64" t="str">
        <f>IFERROR(VLOOKUP(C186,parametros!$B:$F,5,0),"")</f>
        <v/>
      </c>
      <c r="J186" s="105" t="str">
        <f>IF(OR(L186="",F186=""),"",ROUND(L186*IF(AND(UPPER(H186)="SIM",ISNUMBER(IF($C186="C0",IFERROR(VLOOKUP($A186,historico_VU!$A:$G,3,0),""),IF($C186="C1",IFERROR(VLOOKUP($A186,historico_VU!$A:$G,4,0),""),IF($C186="C2",IFERROR(VLOOKUP($A186,historico_VU!$A:$G,5,0),""),IF($C186="C3",IFERROR(VLOOKUP($A186,historico_VU!$A:$G,6,0),""),IF($C186="C4",IFERROR(VLOOKUP($A186,historico_VU!$A:$G,7,0),""),""))))))),IF($C186="C0",IFERROR(VLOOKUP($A186,historico_VU!$A:$G,3,0),""),IF($C186="C1",IFERROR(VLOOKUP($A186,historico_VU!$A:$G,4,0),""),IF($C186="C2",IFERROR(VLOOKUP($A186,historico_VU!$A:$G,5,0),""),IF($C186="C3",IFERROR(VLOOKUP($A186,historico_VU!$A:$G,6,0),""),IF($C186="C4",IFERROR(VLOOKUP($A186,historico_VU!$A:$G,7,0),""),""))))),F186),2))</f>
        <v/>
      </c>
      <c r="K186" s="103"/>
      <c r="L186" s="85" t="str">
        <f t="shared" si="11"/>
        <v/>
      </c>
      <c r="M186" s="203" t="str">
        <f>IF(A186="","",IF(COUNTIF(itens_Remanesc!$A$2:$A$200,A186)=0,"NOVO ITEM NAO CADASTRADO - CADASTRAR EM itens_Remanesc: ITEM + VU_ORIGINAL (QTD_BASE_ORIGINAL sera 0 automaticamente); depois a data e a quantidade aqui.",IF(COUNTIF(itens_Remanesc!$A$2:$A$200,A186)&gt;1,"ALERTA: ITEM_DUPLICADO",IF(OR(C186="",C186="Fora dos ciclos"),"ALERTA: CICLO_INVALIDO",IF(NOT(ISNUMBER(E186)),"ALERTA: QTD_INVALIDA",IF(AND(LEFT(UPPER(D186),3)&lt;&gt;"ACR",LEFT(UPPER(D186),4)&lt;&gt;"SUPR",LEFT(UPPER(D186),4)&lt;&gt;"DECR"),"ALERTA: TIPO_INVALIDO","OK"))))))</f>
        <v/>
      </c>
    </row>
    <row r="187" spans="1:13" ht="45" customHeight="1" x14ac:dyDescent="0.35">
      <c r="A187" s="103"/>
      <c r="B187" s="186"/>
      <c r="C187" s="99" t="str">
        <f>IF(B187="","",IFERROR(IF(NOT(ISNUMBER(parametros!$C$2)),"Fora dos ciclos",IF(OR(B187&lt;parametros!$C$2,(YEAR(B187)-YEAR(parametros!$C$2))*12+MONTH(B187)-MONTH(parametros!$C$2)&gt;59),"Fora dos ciclos","C"&amp;INT(((YEAR(B187)-YEAR(parametros!$C$2))*12+MONTH(B187)-MONTH(parametros!$C$2))/12))),"Fora dos ciclos"))</f>
        <v/>
      </c>
      <c r="D187" s="103"/>
      <c r="E187" s="104"/>
      <c r="F187" s="105" t="str">
        <f>IF(A187="","",IFERROR(VLOOKUP(A187,itens_Remanesc!$A:$C,3,0),""))</f>
        <v/>
      </c>
      <c r="G187" s="105" t="str">
        <f t="shared" si="10"/>
        <v/>
      </c>
      <c r="H187" s="103"/>
      <c r="I187" s="64" t="str">
        <f>IFERROR(VLOOKUP(C187,parametros!$B:$F,5,0),"")</f>
        <v/>
      </c>
      <c r="J187" s="105" t="str">
        <f>IF(OR(L187="",F187=""),"",ROUND(L187*IF(AND(UPPER(H187)="SIM",ISNUMBER(IF($C187="C0",IFERROR(VLOOKUP($A187,historico_VU!$A:$G,3,0),""),IF($C187="C1",IFERROR(VLOOKUP($A187,historico_VU!$A:$G,4,0),""),IF($C187="C2",IFERROR(VLOOKUP($A187,historico_VU!$A:$G,5,0),""),IF($C187="C3",IFERROR(VLOOKUP($A187,historico_VU!$A:$G,6,0),""),IF($C187="C4",IFERROR(VLOOKUP($A187,historico_VU!$A:$G,7,0),""),""))))))),IF($C187="C0",IFERROR(VLOOKUP($A187,historico_VU!$A:$G,3,0),""),IF($C187="C1",IFERROR(VLOOKUP($A187,historico_VU!$A:$G,4,0),""),IF($C187="C2",IFERROR(VLOOKUP($A187,historico_VU!$A:$G,5,0),""),IF($C187="C3",IFERROR(VLOOKUP($A187,historico_VU!$A:$G,6,0),""),IF($C187="C4",IFERROR(VLOOKUP($A187,historico_VU!$A:$G,7,0),""),""))))),F187),2))</f>
        <v/>
      </c>
      <c r="K187" s="103"/>
      <c r="L187" s="85" t="str">
        <f t="shared" si="11"/>
        <v/>
      </c>
      <c r="M187" s="203" t="str">
        <f>IF(A187="","",IF(COUNTIF(itens_Remanesc!$A$2:$A$200,A187)=0,"NOVO ITEM NAO CADASTRADO - CADASTRAR EM itens_Remanesc: ITEM + VU_ORIGINAL (QTD_BASE_ORIGINAL sera 0 automaticamente); depois a data e a quantidade aqui.",IF(COUNTIF(itens_Remanesc!$A$2:$A$200,A187)&gt;1,"ALERTA: ITEM_DUPLICADO",IF(OR(C187="",C187="Fora dos ciclos"),"ALERTA: CICLO_INVALIDO",IF(NOT(ISNUMBER(E187)),"ALERTA: QTD_INVALIDA",IF(AND(LEFT(UPPER(D187),3)&lt;&gt;"ACR",LEFT(UPPER(D187),4)&lt;&gt;"SUPR",LEFT(UPPER(D187),4)&lt;&gt;"DECR"),"ALERTA: TIPO_INVALIDO","OK"))))))</f>
        <v/>
      </c>
    </row>
    <row r="188" spans="1:13" ht="45" customHeight="1" x14ac:dyDescent="0.35">
      <c r="A188" s="103"/>
      <c r="B188" s="186"/>
      <c r="C188" s="99" t="str">
        <f>IF(B188="","",IFERROR(IF(NOT(ISNUMBER(parametros!$C$2)),"Fora dos ciclos",IF(OR(B188&lt;parametros!$C$2,(YEAR(B188)-YEAR(parametros!$C$2))*12+MONTH(B188)-MONTH(parametros!$C$2)&gt;59),"Fora dos ciclos","C"&amp;INT(((YEAR(B188)-YEAR(parametros!$C$2))*12+MONTH(B188)-MONTH(parametros!$C$2))/12))),"Fora dos ciclos"))</f>
        <v/>
      </c>
      <c r="D188" s="103"/>
      <c r="E188" s="104"/>
      <c r="F188" s="105" t="str">
        <f>IF(A188="","",IFERROR(VLOOKUP(A188,itens_Remanesc!$A:$C,3,0),""))</f>
        <v/>
      </c>
      <c r="G188" s="105" t="str">
        <f t="shared" si="10"/>
        <v/>
      </c>
      <c r="H188" s="103"/>
      <c r="I188" s="64" t="str">
        <f>IFERROR(VLOOKUP(C188,parametros!$B:$F,5,0),"")</f>
        <v/>
      </c>
      <c r="J188" s="105" t="str">
        <f>IF(OR(L188="",F188=""),"",ROUND(L188*IF(AND(UPPER(H188)="SIM",ISNUMBER(IF($C188="C0",IFERROR(VLOOKUP($A188,historico_VU!$A:$G,3,0),""),IF($C188="C1",IFERROR(VLOOKUP($A188,historico_VU!$A:$G,4,0),""),IF($C188="C2",IFERROR(VLOOKUP($A188,historico_VU!$A:$G,5,0),""),IF($C188="C3",IFERROR(VLOOKUP($A188,historico_VU!$A:$G,6,0),""),IF($C188="C4",IFERROR(VLOOKUP($A188,historico_VU!$A:$G,7,0),""),""))))))),IF($C188="C0",IFERROR(VLOOKUP($A188,historico_VU!$A:$G,3,0),""),IF($C188="C1",IFERROR(VLOOKUP($A188,historico_VU!$A:$G,4,0),""),IF($C188="C2",IFERROR(VLOOKUP($A188,historico_VU!$A:$G,5,0),""),IF($C188="C3",IFERROR(VLOOKUP($A188,historico_VU!$A:$G,6,0),""),IF($C188="C4",IFERROR(VLOOKUP($A188,historico_VU!$A:$G,7,0),""),""))))),F188),2))</f>
        <v/>
      </c>
      <c r="K188" s="103"/>
      <c r="L188" s="85" t="str">
        <f t="shared" si="11"/>
        <v/>
      </c>
      <c r="M188" s="203" t="str">
        <f>IF(A188="","",IF(COUNTIF(itens_Remanesc!$A$2:$A$200,A188)=0,"NOVO ITEM NAO CADASTRADO - CADASTRAR EM itens_Remanesc: ITEM + VU_ORIGINAL (QTD_BASE_ORIGINAL sera 0 automaticamente); depois a data e a quantidade aqui.",IF(COUNTIF(itens_Remanesc!$A$2:$A$200,A188)&gt;1,"ALERTA: ITEM_DUPLICADO",IF(OR(C188="",C188="Fora dos ciclos"),"ALERTA: CICLO_INVALIDO",IF(NOT(ISNUMBER(E188)),"ALERTA: QTD_INVALIDA",IF(AND(LEFT(UPPER(D188),3)&lt;&gt;"ACR",LEFT(UPPER(D188),4)&lt;&gt;"SUPR",LEFT(UPPER(D188),4)&lt;&gt;"DECR"),"ALERTA: TIPO_INVALIDO","OK"))))))</f>
        <v/>
      </c>
    </row>
    <row r="189" spans="1:13" ht="45" customHeight="1" x14ac:dyDescent="0.35">
      <c r="A189" s="103"/>
      <c r="B189" s="186"/>
      <c r="C189" s="99" t="str">
        <f>IF(B189="","",IFERROR(IF(NOT(ISNUMBER(parametros!$C$2)),"Fora dos ciclos",IF(OR(B189&lt;parametros!$C$2,(YEAR(B189)-YEAR(parametros!$C$2))*12+MONTH(B189)-MONTH(parametros!$C$2)&gt;59),"Fora dos ciclos","C"&amp;INT(((YEAR(B189)-YEAR(parametros!$C$2))*12+MONTH(B189)-MONTH(parametros!$C$2))/12))),"Fora dos ciclos"))</f>
        <v/>
      </c>
      <c r="D189" s="103"/>
      <c r="E189" s="104"/>
      <c r="F189" s="105" t="str">
        <f>IF(A189="","",IFERROR(VLOOKUP(A189,itens_Remanesc!$A:$C,3,0),""))</f>
        <v/>
      </c>
      <c r="G189" s="105" t="str">
        <f t="shared" si="10"/>
        <v/>
      </c>
      <c r="H189" s="103"/>
      <c r="I189" s="64" t="str">
        <f>IFERROR(VLOOKUP(C189,parametros!$B:$F,5,0),"")</f>
        <v/>
      </c>
      <c r="J189" s="105" t="str">
        <f>IF(OR(L189="",F189=""),"",ROUND(L189*IF(AND(UPPER(H189)="SIM",ISNUMBER(IF($C189="C0",IFERROR(VLOOKUP($A189,historico_VU!$A:$G,3,0),""),IF($C189="C1",IFERROR(VLOOKUP($A189,historico_VU!$A:$G,4,0),""),IF($C189="C2",IFERROR(VLOOKUP($A189,historico_VU!$A:$G,5,0),""),IF($C189="C3",IFERROR(VLOOKUP($A189,historico_VU!$A:$G,6,0),""),IF($C189="C4",IFERROR(VLOOKUP($A189,historico_VU!$A:$G,7,0),""),""))))))),IF($C189="C0",IFERROR(VLOOKUP($A189,historico_VU!$A:$G,3,0),""),IF($C189="C1",IFERROR(VLOOKUP($A189,historico_VU!$A:$G,4,0),""),IF($C189="C2",IFERROR(VLOOKUP($A189,historico_VU!$A:$G,5,0),""),IF($C189="C3",IFERROR(VLOOKUP($A189,historico_VU!$A:$G,6,0),""),IF($C189="C4",IFERROR(VLOOKUP($A189,historico_VU!$A:$G,7,0),""),""))))),F189),2))</f>
        <v/>
      </c>
      <c r="K189" s="103"/>
      <c r="L189" s="85" t="str">
        <f t="shared" si="11"/>
        <v/>
      </c>
      <c r="M189" s="203" t="str">
        <f>IF(A189="","",IF(COUNTIF(itens_Remanesc!$A$2:$A$200,A189)=0,"NOVO ITEM NAO CADASTRADO - CADASTRAR EM itens_Remanesc: ITEM + VU_ORIGINAL (QTD_BASE_ORIGINAL sera 0 automaticamente); depois a data e a quantidade aqui.",IF(COUNTIF(itens_Remanesc!$A$2:$A$200,A189)&gt;1,"ALERTA: ITEM_DUPLICADO",IF(OR(C189="",C189="Fora dos ciclos"),"ALERTA: CICLO_INVALIDO",IF(NOT(ISNUMBER(E189)),"ALERTA: QTD_INVALIDA",IF(AND(LEFT(UPPER(D189),3)&lt;&gt;"ACR",LEFT(UPPER(D189),4)&lt;&gt;"SUPR",LEFT(UPPER(D189),4)&lt;&gt;"DECR"),"ALERTA: TIPO_INVALIDO","OK"))))))</f>
        <v/>
      </c>
    </row>
    <row r="190" spans="1:13" ht="45" customHeight="1" x14ac:dyDescent="0.35">
      <c r="A190" s="103"/>
      <c r="B190" s="186"/>
      <c r="C190" s="99" t="str">
        <f>IF(B190="","",IFERROR(IF(NOT(ISNUMBER(parametros!$C$2)),"Fora dos ciclos",IF(OR(B190&lt;parametros!$C$2,(YEAR(B190)-YEAR(parametros!$C$2))*12+MONTH(B190)-MONTH(parametros!$C$2)&gt;59),"Fora dos ciclos","C"&amp;INT(((YEAR(B190)-YEAR(parametros!$C$2))*12+MONTH(B190)-MONTH(parametros!$C$2))/12))),"Fora dos ciclos"))</f>
        <v/>
      </c>
      <c r="D190" s="103"/>
      <c r="E190" s="104"/>
      <c r="F190" s="105" t="str">
        <f>IF(A190="","",IFERROR(VLOOKUP(A190,itens_Remanesc!$A:$C,3,0),""))</f>
        <v/>
      </c>
      <c r="G190" s="105" t="str">
        <f t="shared" si="10"/>
        <v/>
      </c>
      <c r="H190" s="103"/>
      <c r="I190" s="64" t="str">
        <f>IFERROR(VLOOKUP(C190,parametros!$B:$F,5,0),"")</f>
        <v/>
      </c>
      <c r="J190" s="105" t="str">
        <f>IF(OR(L190="",F190=""),"",ROUND(L190*IF(AND(UPPER(H190)="SIM",ISNUMBER(IF($C190="C0",IFERROR(VLOOKUP($A190,historico_VU!$A:$G,3,0),""),IF($C190="C1",IFERROR(VLOOKUP($A190,historico_VU!$A:$G,4,0),""),IF($C190="C2",IFERROR(VLOOKUP($A190,historico_VU!$A:$G,5,0),""),IF($C190="C3",IFERROR(VLOOKUP($A190,historico_VU!$A:$G,6,0),""),IF($C190="C4",IFERROR(VLOOKUP($A190,historico_VU!$A:$G,7,0),""),""))))))),IF($C190="C0",IFERROR(VLOOKUP($A190,historico_VU!$A:$G,3,0),""),IF($C190="C1",IFERROR(VLOOKUP($A190,historico_VU!$A:$G,4,0),""),IF($C190="C2",IFERROR(VLOOKUP($A190,historico_VU!$A:$G,5,0),""),IF($C190="C3",IFERROR(VLOOKUP($A190,historico_VU!$A:$G,6,0),""),IF($C190="C4",IFERROR(VLOOKUP($A190,historico_VU!$A:$G,7,0),""),""))))),F190),2))</f>
        <v/>
      </c>
      <c r="K190" s="103"/>
      <c r="L190" s="85" t="str">
        <f t="shared" si="11"/>
        <v/>
      </c>
      <c r="M190" s="203" t="str">
        <f>IF(A190="","",IF(COUNTIF(itens_Remanesc!$A$2:$A$200,A190)=0,"NOVO ITEM NAO CADASTRADO - CADASTRAR EM itens_Remanesc: ITEM + VU_ORIGINAL (QTD_BASE_ORIGINAL sera 0 automaticamente); depois a data e a quantidade aqui.",IF(COUNTIF(itens_Remanesc!$A$2:$A$200,A190)&gt;1,"ALERTA: ITEM_DUPLICADO",IF(OR(C190="",C190="Fora dos ciclos"),"ALERTA: CICLO_INVALIDO",IF(NOT(ISNUMBER(E190)),"ALERTA: QTD_INVALIDA",IF(AND(LEFT(UPPER(D190),3)&lt;&gt;"ACR",LEFT(UPPER(D190),4)&lt;&gt;"SUPR",LEFT(UPPER(D190),4)&lt;&gt;"DECR"),"ALERTA: TIPO_INVALIDO","OK"))))))</f>
        <v/>
      </c>
    </row>
    <row r="191" spans="1:13" ht="45" customHeight="1" x14ac:dyDescent="0.35">
      <c r="A191" s="103"/>
      <c r="B191" s="186"/>
      <c r="C191" s="99" t="str">
        <f>IF(B191="","",IFERROR(IF(NOT(ISNUMBER(parametros!$C$2)),"Fora dos ciclos",IF(OR(B191&lt;parametros!$C$2,(YEAR(B191)-YEAR(parametros!$C$2))*12+MONTH(B191)-MONTH(parametros!$C$2)&gt;59),"Fora dos ciclos","C"&amp;INT(((YEAR(B191)-YEAR(parametros!$C$2))*12+MONTH(B191)-MONTH(parametros!$C$2))/12))),"Fora dos ciclos"))</f>
        <v/>
      </c>
      <c r="D191" s="103"/>
      <c r="E191" s="104"/>
      <c r="F191" s="105" t="str">
        <f>IF(A191="","",IFERROR(VLOOKUP(A191,itens_Remanesc!$A:$C,3,0),""))</f>
        <v/>
      </c>
      <c r="G191" s="105" t="str">
        <f t="shared" si="10"/>
        <v/>
      </c>
      <c r="H191" s="103"/>
      <c r="I191" s="64" t="str">
        <f>IFERROR(VLOOKUP(C191,parametros!$B:$F,5,0),"")</f>
        <v/>
      </c>
      <c r="J191" s="105" t="str">
        <f>IF(OR(L191="",F191=""),"",ROUND(L191*IF(AND(UPPER(H191)="SIM",ISNUMBER(IF($C191="C0",IFERROR(VLOOKUP($A191,historico_VU!$A:$G,3,0),""),IF($C191="C1",IFERROR(VLOOKUP($A191,historico_VU!$A:$G,4,0),""),IF($C191="C2",IFERROR(VLOOKUP($A191,historico_VU!$A:$G,5,0),""),IF($C191="C3",IFERROR(VLOOKUP($A191,historico_VU!$A:$G,6,0),""),IF($C191="C4",IFERROR(VLOOKUP($A191,historico_VU!$A:$G,7,0),""),""))))))),IF($C191="C0",IFERROR(VLOOKUP($A191,historico_VU!$A:$G,3,0),""),IF($C191="C1",IFERROR(VLOOKUP($A191,historico_VU!$A:$G,4,0),""),IF($C191="C2",IFERROR(VLOOKUP($A191,historico_VU!$A:$G,5,0),""),IF($C191="C3",IFERROR(VLOOKUP($A191,historico_VU!$A:$G,6,0),""),IF($C191="C4",IFERROR(VLOOKUP($A191,historico_VU!$A:$G,7,0),""),""))))),F191),2))</f>
        <v/>
      </c>
      <c r="K191" s="103"/>
      <c r="L191" s="85" t="str">
        <f t="shared" si="11"/>
        <v/>
      </c>
      <c r="M191" s="203" t="str">
        <f>IF(A191="","",IF(COUNTIF(itens_Remanesc!$A$2:$A$200,A191)=0,"NOVO ITEM NAO CADASTRADO - CADASTRAR EM itens_Remanesc: ITEM + VU_ORIGINAL (QTD_BASE_ORIGINAL sera 0 automaticamente); depois a data e a quantidade aqui.",IF(COUNTIF(itens_Remanesc!$A$2:$A$200,A191)&gt;1,"ALERTA: ITEM_DUPLICADO",IF(OR(C191="",C191="Fora dos ciclos"),"ALERTA: CICLO_INVALIDO",IF(NOT(ISNUMBER(E191)),"ALERTA: QTD_INVALIDA",IF(AND(LEFT(UPPER(D191),3)&lt;&gt;"ACR",LEFT(UPPER(D191),4)&lt;&gt;"SUPR",LEFT(UPPER(D191),4)&lt;&gt;"DECR"),"ALERTA: TIPO_INVALIDO","OK"))))))</f>
        <v/>
      </c>
    </row>
    <row r="192" spans="1:13" ht="45" customHeight="1" x14ac:dyDescent="0.35">
      <c r="A192" s="103"/>
      <c r="B192" s="186"/>
      <c r="C192" s="99" t="str">
        <f>IF(B192="","",IFERROR(IF(NOT(ISNUMBER(parametros!$C$2)),"Fora dos ciclos",IF(OR(B192&lt;parametros!$C$2,(YEAR(B192)-YEAR(parametros!$C$2))*12+MONTH(B192)-MONTH(parametros!$C$2)&gt;59),"Fora dos ciclos","C"&amp;INT(((YEAR(B192)-YEAR(parametros!$C$2))*12+MONTH(B192)-MONTH(parametros!$C$2))/12))),"Fora dos ciclos"))</f>
        <v/>
      </c>
      <c r="D192" s="103"/>
      <c r="E192" s="104"/>
      <c r="F192" s="105" t="str">
        <f>IF(A192="","",IFERROR(VLOOKUP(A192,itens_Remanesc!$A:$C,3,0),""))</f>
        <v/>
      </c>
      <c r="G192" s="105" t="str">
        <f t="shared" si="10"/>
        <v/>
      </c>
      <c r="H192" s="103"/>
      <c r="I192" s="64" t="str">
        <f>IFERROR(VLOOKUP(C192,parametros!$B:$F,5,0),"")</f>
        <v/>
      </c>
      <c r="J192" s="105" t="str">
        <f>IF(OR(L192="",F192=""),"",ROUND(L192*IF(AND(UPPER(H192)="SIM",ISNUMBER(IF($C192="C0",IFERROR(VLOOKUP($A192,historico_VU!$A:$G,3,0),""),IF($C192="C1",IFERROR(VLOOKUP($A192,historico_VU!$A:$G,4,0),""),IF($C192="C2",IFERROR(VLOOKUP($A192,historico_VU!$A:$G,5,0),""),IF($C192="C3",IFERROR(VLOOKUP($A192,historico_VU!$A:$G,6,0),""),IF($C192="C4",IFERROR(VLOOKUP($A192,historico_VU!$A:$G,7,0),""),""))))))),IF($C192="C0",IFERROR(VLOOKUP($A192,historico_VU!$A:$G,3,0),""),IF($C192="C1",IFERROR(VLOOKUP($A192,historico_VU!$A:$G,4,0),""),IF($C192="C2",IFERROR(VLOOKUP($A192,historico_VU!$A:$G,5,0),""),IF($C192="C3",IFERROR(VLOOKUP($A192,historico_VU!$A:$G,6,0),""),IF($C192="C4",IFERROR(VLOOKUP($A192,historico_VU!$A:$G,7,0),""),""))))),F192),2))</f>
        <v/>
      </c>
      <c r="K192" s="103"/>
      <c r="L192" s="85" t="str">
        <f t="shared" si="11"/>
        <v/>
      </c>
      <c r="M192" s="203" t="str">
        <f>IF(A192="","",IF(COUNTIF(itens_Remanesc!$A$2:$A$200,A192)=0,"NOVO ITEM NAO CADASTRADO - CADASTRAR EM itens_Remanesc: ITEM + VU_ORIGINAL (QTD_BASE_ORIGINAL sera 0 automaticamente); depois a data e a quantidade aqui.",IF(COUNTIF(itens_Remanesc!$A$2:$A$200,A192)&gt;1,"ALERTA: ITEM_DUPLICADO",IF(OR(C192="",C192="Fora dos ciclos"),"ALERTA: CICLO_INVALIDO",IF(NOT(ISNUMBER(E192)),"ALERTA: QTD_INVALIDA",IF(AND(LEFT(UPPER(D192),3)&lt;&gt;"ACR",LEFT(UPPER(D192),4)&lt;&gt;"SUPR",LEFT(UPPER(D192),4)&lt;&gt;"DECR"),"ALERTA: TIPO_INVALIDO","OK"))))))</f>
        <v/>
      </c>
    </row>
    <row r="193" spans="1:13" ht="45" customHeight="1" x14ac:dyDescent="0.35">
      <c r="A193" s="103"/>
      <c r="B193" s="186"/>
      <c r="C193" s="99" t="str">
        <f>IF(B193="","",IFERROR(IF(NOT(ISNUMBER(parametros!$C$2)),"Fora dos ciclos",IF(OR(B193&lt;parametros!$C$2,(YEAR(B193)-YEAR(parametros!$C$2))*12+MONTH(B193)-MONTH(parametros!$C$2)&gt;59),"Fora dos ciclos","C"&amp;INT(((YEAR(B193)-YEAR(parametros!$C$2))*12+MONTH(B193)-MONTH(parametros!$C$2))/12))),"Fora dos ciclos"))</f>
        <v/>
      </c>
      <c r="D193" s="103"/>
      <c r="E193" s="104"/>
      <c r="F193" s="105" t="str">
        <f>IF(A193="","",IFERROR(VLOOKUP(A193,itens_Remanesc!$A:$C,3,0),""))</f>
        <v/>
      </c>
      <c r="G193" s="105" t="str">
        <f t="shared" si="10"/>
        <v/>
      </c>
      <c r="H193" s="103"/>
      <c r="I193" s="64" t="str">
        <f>IFERROR(VLOOKUP(C193,parametros!$B:$F,5,0),"")</f>
        <v/>
      </c>
      <c r="J193" s="105" t="str">
        <f>IF(OR(L193="",F193=""),"",ROUND(L193*IF(AND(UPPER(H193)="SIM",ISNUMBER(IF($C193="C0",IFERROR(VLOOKUP($A193,historico_VU!$A:$G,3,0),""),IF($C193="C1",IFERROR(VLOOKUP($A193,historico_VU!$A:$G,4,0),""),IF($C193="C2",IFERROR(VLOOKUP($A193,historico_VU!$A:$G,5,0),""),IF($C193="C3",IFERROR(VLOOKUP($A193,historico_VU!$A:$G,6,0),""),IF($C193="C4",IFERROR(VLOOKUP($A193,historico_VU!$A:$G,7,0),""),""))))))),IF($C193="C0",IFERROR(VLOOKUP($A193,historico_VU!$A:$G,3,0),""),IF($C193="C1",IFERROR(VLOOKUP($A193,historico_VU!$A:$G,4,0),""),IF($C193="C2",IFERROR(VLOOKUP($A193,historico_VU!$A:$G,5,0),""),IF($C193="C3",IFERROR(VLOOKUP($A193,historico_VU!$A:$G,6,0),""),IF($C193="C4",IFERROR(VLOOKUP($A193,historico_VU!$A:$G,7,0),""),""))))),F193),2))</f>
        <v/>
      </c>
      <c r="K193" s="103"/>
      <c r="L193" s="85" t="str">
        <f t="shared" si="11"/>
        <v/>
      </c>
      <c r="M193" s="203" t="str">
        <f>IF(A193="","",IF(COUNTIF(itens_Remanesc!$A$2:$A$200,A193)=0,"NOVO ITEM NAO CADASTRADO - CADASTRAR EM itens_Remanesc: ITEM + VU_ORIGINAL (QTD_BASE_ORIGINAL sera 0 automaticamente); depois a data e a quantidade aqui.",IF(COUNTIF(itens_Remanesc!$A$2:$A$200,A193)&gt;1,"ALERTA: ITEM_DUPLICADO",IF(OR(C193="",C193="Fora dos ciclos"),"ALERTA: CICLO_INVALIDO",IF(NOT(ISNUMBER(E193)),"ALERTA: QTD_INVALIDA",IF(AND(LEFT(UPPER(D193),3)&lt;&gt;"ACR",LEFT(UPPER(D193),4)&lt;&gt;"SUPR",LEFT(UPPER(D193),4)&lt;&gt;"DECR"),"ALERTA: TIPO_INVALIDO","OK"))))))</f>
        <v/>
      </c>
    </row>
    <row r="194" spans="1:13" ht="45" customHeight="1" x14ac:dyDescent="0.35">
      <c r="A194" s="103"/>
      <c r="B194" s="186"/>
      <c r="C194" s="99" t="str">
        <f>IF(B194="","",IFERROR(IF(NOT(ISNUMBER(parametros!$C$2)),"Fora dos ciclos",IF(OR(B194&lt;parametros!$C$2,(YEAR(B194)-YEAR(parametros!$C$2))*12+MONTH(B194)-MONTH(parametros!$C$2)&gt;59),"Fora dos ciclos","C"&amp;INT(((YEAR(B194)-YEAR(parametros!$C$2))*12+MONTH(B194)-MONTH(parametros!$C$2))/12))),"Fora dos ciclos"))</f>
        <v/>
      </c>
      <c r="D194" s="103"/>
      <c r="E194" s="104"/>
      <c r="F194" s="105" t="str">
        <f>IF(A194="","",IFERROR(VLOOKUP(A194,itens_Remanesc!$A:$C,3,0),""))</f>
        <v/>
      </c>
      <c r="G194" s="105" t="str">
        <f t="shared" ref="G194:G225" si="12">IF(OR(E194="",F194=""),"",ROUND(E194*F194,2))</f>
        <v/>
      </c>
      <c r="H194" s="103"/>
      <c r="I194" s="64" t="str">
        <f>IFERROR(VLOOKUP(C194,parametros!$B:$F,5,0),"")</f>
        <v/>
      </c>
      <c r="J194" s="105" t="str">
        <f>IF(OR(L194="",F194=""),"",ROUND(L194*IF(AND(UPPER(H194)="SIM",ISNUMBER(IF($C194="C0",IFERROR(VLOOKUP($A194,historico_VU!$A:$G,3,0),""),IF($C194="C1",IFERROR(VLOOKUP($A194,historico_VU!$A:$G,4,0),""),IF($C194="C2",IFERROR(VLOOKUP($A194,historico_VU!$A:$G,5,0),""),IF($C194="C3",IFERROR(VLOOKUP($A194,historico_VU!$A:$G,6,0),""),IF($C194="C4",IFERROR(VLOOKUP($A194,historico_VU!$A:$G,7,0),""),""))))))),IF($C194="C0",IFERROR(VLOOKUP($A194,historico_VU!$A:$G,3,0),""),IF($C194="C1",IFERROR(VLOOKUP($A194,historico_VU!$A:$G,4,0),""),IF($C194="C2",IFERROR(VLOOKUP($A194,historico_VU!$A:$G,5,0),""),IF($C194="C3",IFERROR(VLOOKUP($A194,historico_VU!$A:$G,6,0),""),IF($C194="C4",IFERROR(VLOOKUP($A194,historico_VU!$A:$G,7,0),""),""))))),F194),2))</f>
        <v/>
      </c>
      <c r="K194" s="103"/>
      <c r="L194" s="85" t="str">
        <f t="shared" ref="L194:L200" si="13">IF(OR(A194="",C194="",D194="",NOT(ISNUMBER(E194))),"",IF(LEFT(UPPER(D194),3)="ACR",ROUND(ABS(E194),2),IF(OR(LEFT(UPPER(D194),4)="SUPR",LEFT(UPPER(D194),4)="DECR"),ROUND(-ABS(E194),2),"")))</f>
        <v/>
      </c>
      <c r="M194" s="203" t="str">
        <f>IF(A194="","",IF(COUNTIF(itens_Remanesc!$A$2:$A$200,A194)=0,"NOVO ITEM NAO CADASTRADO - CADASTRAR EM itens_Remanesc: ITEM + VU_ORIGINAL (QTD_BASE_ORIGINAL sera 0 automaticamente); depois a data e a quantidade aqui.",IF(COUNTIF(itens_Remanesc!$A$2:$A$200,A194)&gt;1,"ALERTA: ITEM_DUPLICADO",IF(OR(C194="",C194="Fora dos ciclos"),"ALERTA: CICLO_INVALIDO",IF(NOT(ISNUMBER(E194)),"ALERTA: QTD_INVALIDA",IF(AND(LEFT(UPPER(D194),3)&lt;&gt;"ACR",LEFT(UPPER(D194),4)&lt;&gt;"SUPR",LEFT(UPPER(D194),4)&lt;&gt;"DECR"),"ALERTA: TIPO_INVALIDO","OK"))))))</f>
        <v/>
      </c>
    </row>
    <row r="195" spans="1:13" ht="45" customHeight="1" x14ac:dyDescent="0.35">
      <c r="A195" s="103"/>
      <c r="B195" s="186"/>
      <c r="C195" s="99" t="str">
        <f>IF(B195="","",IFERROR(IF(NOT(ISNUMBER(parametros!$C$2)),"Fora dos ciclos",IF(OR(B195&lt;parametros!$C$2,(YEAR(B195)-YEAR(parametros!$C$2))*12+MONTH(B195)-MONTH(parametros!$C$2)&gt;59),"Fora dos ciclos","C"&amp;INT(((YEAR(B195)-YEAR(parametros!$C$2))*12+MONTH(B195)-MONTH(parametros!$C$2))/12))),"Fora dos ciclos"))</f>
        <v/>
      </c>
      <c r="D195" s="103"/>
      <c r="E195" s="104"/>
      <c r="F195" s="105" t="str">
        <f>IF(A195="","",IFERROR(VLOOKUP(A195,itens_Remanesc!$A:$C,3,0),""))</f>
        <v/>
      </c>
      <c r="G195" s="105" t="str">
        <f t="shared" si="12"/>
        <v/>
      </c>
      <c r="H195" s="103"/>
      <c r="I195" s="64" t="str">
        <f>IFERROR(VLOOKUP(C195,parametros!$B:$F,5,0),"")</f>
        <v/>
      </c>
      <c r="J195" s="105" t="str">
        <f>IF(OR(L195="",F195=""),"",ROUND(L195*IF(AND(UPPER(H195)="SIM",ISNUMBER(IF($C195="C0",IFERROR(VLOOKUP($A195,historico_VU!$A:$G,3,0),""),IF($C195="C1",IFERROR(VLOOKUP($A195,historico_VU!$A:$G,4,0),""),IF($C195="C2",IFERROR(VLOOKUP($A195,historico_VU!$A:$G,5,0),""),IF($C195="C3",IFERROR(VLOOKUP($A195,historico_VU!$A:$G,6,0),""),IF($C195="C4",IFERROR(VLOOKUP($A195,historico_VU!$A:$G,7,0),""),""))))))),IF($C195="C0",IFERROR(VLOOKUP($A195,historico_VU!$A:$G,3,0),""),IF($C195="C1",IFERROR(VLOOKUP($A195,historico_VU!$A:$G,4,0),""),IF($C195="C2",IFERROR(VLOOKUP($A195,historico_VU!$A:$G,5,0),""),IF($C195="C3",IFERROR(VLOOKUP($A195,historico_VU!$A:$G,6,0),""),IF($C195="C4",IFERROR(VLOOKUP($A195,historico_VU!$A:$G,7,0),""),""))))),F195),2))</f>
        <v/>
      </c>
      <c r="K195" s="103"/>
      <c r="L195" s="85" t="str">
        <f t="shared" si="13"/>
        <v/>
      </c>
      <c r="M195" s="203" t="str">
        <f>IF(A195="","",IF(COUNTIF(itens_Remanesc!$A$2:$A$200,A195)=0,"NOVO ITEM NAO CADASTRADO - CADASTRAR EM itens_Remanesc: ITEM + VU_ORIGINAL (QTD_BASE_ORIGINAL sera 0 automaticamente); depois a data e a quantidade aqui.",IF(COUNTIF(itens_Remanesc!$A$2:$A$200,A195)&gt;1,"ALERTA: ITEM_DUPLICADO",IF(OR(C195="",C195="Fora dos ciclos"),"ALERTA: CICLO_INVALIDO",IF(NOT(ISNUMBER(E195)),"ALERTA: QTD_INVALIDA",IF(AND(LEFT(UPPER(D195),3)&lt;&gt;"ACR",LEFT(UPPER(D195),4)&lt;&gt;"SUPR",LEFT(UPPER(D195),4)&lt;&gt;"DECR"),"ALERTA: TIPO_INVALIDO","OK"))))))</f>
        <v/>
      </c>
    </row>
    <row r="196" spans="1:13" ht="45" customHeight="1" x14ac:dyDescent="0.35">
      <c r="A196" s="103"/>
      <c r="B196" s="186"/>
      <c r="C196" s="99" t="str">
        <f>IF(B196="","",IFERROR(IF(NOT(ISNUMBER(parametros!$C$2)),"Fora dos ciclos",IF(OR(B196&lt;parametros!$C$2,(YEAR(B196)-YEAR(parametros!$C$2))*12+MONTH(B196)-MONTH(parametros!$C$2)&gt;59),"Fora dos ciclos","C"&amp;INT(((YEAR(B196)-YEAR(parametros!$C$2))*12+MONTH(B196)-MONTH(parametros!$C$2))/12))),"Fora dos ciclos"))</f>
        <v/>
      </c>
      <c r="D196" s="103"/>
      <c r="E196" s="104"/>
      <c r="F196" s="105" t="str">
        <f>IF(A196="","",IFERROR(VLOOKUP(A196,itens_Remanesc!$A:$C,3,0),""))</f>
        <v/>
      </c>
      <c r="G196" s="105" t="str">
        <f t="shared" si="12"/>
        <v/>
      </c>
      <c r="H196" s="103"/>
      <c r="I196" s="64" t="str">
        <f>IFERROR(VLOOKUP(C196,parametros!$B:$F,5,0),"")</f>
        <v/>
      </c>
      <c r="J196" s="105" t="str">
        <f>IF(OR(L196="",F196=""),"",ROUND(L196*IF(AND(UPPER(H196)="SIM",ISNUMBER(IF($C196="C0",IFERROR(VLOOKUP($A196,historico_VU!$A:$G,3,0),""),IF($C196="C1",IFERROR(VLOOKUP($A196,historico_VU!$A:$G,4,0),""),IF($C196="C2",IFERROR(VLOOKUP($A196,historico_VU!$A:$G,5,0),""),IF($C196="C3",IFERROR(VLOOKUP($A196,historico_VU!$A:$G,6,0),""),IF($C196="C4",IFERROR(VLOOKUP($A196,historico_VU!$A:$G,7,0),""),""))))))),IF($C196="C0",IFERROR(VLOOKUP($A196,historico_VU!$A:$G,3,0),""),IF($C196="C1",IFERROR(VLOOKUP($A196,historico_VU!$A:$G,4,0),""),IF($C196="C2",IFERROR(VLOOKUP($A196,historico_VU!$A:$G,5,0),""),IF($C196="C3",IFERROR(VLOOKUP($A196,historico_VU!$A:$G,6,0),""),IF($C196="C4",IFERROR(VLOOKUP($A196,historico_VU!$A:$G,7,0),""),""))))),F196),2))</f>
        <v/>
      </c>
      <c r="K196" s="103"/>
      <c r="L196" s="85" t="str">
        <f t="shared" si="13"/>
        <v/>
      </c>
      <c r="M196" s="203" t="str">
        <f>IF(A196="","",IF(COUNTIF(itens_Remanesc!$A$2:$A$200,A196)=0,"NOVO ITEM NAO CADASTRADO - CADASTRAR EM itens_Remanesc: ITEM + VU_ORIGINAL (QTD_BASE_ORIGINAL sera 0 automaticamente); depois a data e a quantidade aqui.",IF(COUNTIF(itens_Remanesc!$A$2:$A$200,A196)&gt;1,"ALERTA: ITEM_DUPLICADO",IF(OR(C196="",C196="Fora dos ciclos"),"ALERTA: CICLO_INVALIDO",IF(NOT(ISNUMBER(E196)),"ALERTA: QTD_INVALIDA",IF(AND(LEFT(UPPER(D196),3)&lt;&gt;"ACR",LEFT(UPPER(D196),4)&lt;&gt;"SUPR",LEFT(UPPER(D196),4)&lt;&gt;"DECR"),"ALERTA: TIPO_INVALIDO","OK"))))))</f>
        <v/>
      </c>
    </row>
    <row r="197" spans="1:13" ht="45" customHeight="1" x14ac:dyDescent="0.35">
      <c r="A197" s="103"/>
      <c r="B197" s="186"/>
      <c r="C197" s="99" t="str">
        <f>IF(B197="","",IFERROR(IF(NOT(ISNUMBER(parametros!$C$2)),"Fora dos ciclos",IF(OR(B197&lt;parametros!$C$2,(YEAR(B197)-YEAR(parametros!$C$2))*12+MONTH(B197)-MONTH(parametros!$C$2)&gt;59),"Fora dos ciclos","C"&amp;INT(((YEAR(B197)-YEAR(parametros!$C$2))*12+MONTH(B197)-MONTH(parametros!$C$2))/12))),"Fora dos ciclos"))</f>
        <v/>
      </c>
      <c r="D197" s="103"/>
      <c r="E197" s="104"/>
      <c r="F197" s="105" t="str">
        <f>IF(A197="","",IFERROR(VLOOKUP(A197,itens_Remanesc!$A:$C,3,0),""))</f>
        <v/>
      </c>
      <c r="G197" s="105" t="str">
        <f t="shared" si="12"/>
        <v/>
      </c>
      <c r="H197" s="103"/>
      <c r="I197" s="64" t="str">
        <f>IFERROR(VLOOKUP(C197,parametros!$B:$F,5,0),"")</f>
        <v/>
      </c>
      <c r="J197" s="105" t="str">
        <f>IF(OR(L197="",F197=""),"",ROUND(L197*IF(AND(UPPER(H197)="SIM",ISNUMBER(IF($C197="C0",IFERROR(VLOOKUP($A197,historico_VU!$A:$G,3,0),""),IF($C197="C1",IFERROR(VLOOKUP($A197,historico_VU!$A:$G,4,0),""),IF($C197="C2",IFERROR(VLOOKUP($A197,historico_VU!$A:$G,5,0),""),IF($C197="C3",IFERROR(VLOOKUP($A197,historico_VU!$A:$G,6,0),""),IF($C197="C4",IFERROR(VLOOKUP($A197,historico_VU!$A:$G,7,0),""),""))))))),IF($C197="C0",IFERROR(VLOOKUP($A197,historico_VU!$A:$G,3,0),""),IF($C197="C1",IFERROR(VLOOKUP($A197,historico_VU!$A:$G,4,0),""),IF($C197="C2",IFERROR(VLOOKUP($A197,historico_VU!$A:$G,5,0),""),IF($C197="C3",IFERROR(VLOOKUP($A197,historico_VU!$A:$G,6,0),""),IF($C197="C4",IFERROR(VLOOKUP($A197,historico_VU!$A:$G,7,0),""),""))))),F197),2))</f>
        <v/>
      </c>
      <c r="K197" s="103"/>
      <c r="L197" s="85" t="str">
        <f t="shared" si="13"/>
        <v/>
      </c>
      <c r="M197" s="203" t="str">
        <f>IF(A197="","",IF(COUNTIF(itens_Remanesc!$A$2:$A$200,A197)=0,"NOVO ITEM NAO CADASTRADO - CADASTRAR EM itens_Remanesc: ITEM + VU_ORIGINAL (QTD_BASE_ORIGINAL sera 0 automaticamente); depois a data e a quantidade aqui.",IF(COUNTIF(itens_Remanesc!$A$2:$A$200,A197)&gt;1,"ALERTA: ITEM_DUPLICADO",IF(OR(C197="",C197="Fora dos ciclos"),"ALERTA: CICLO_INVALIDO",IF(NOT(ISNUMBER(E197)),"ALERTA: QTD_INVALIDA",IF(AND(LEFT(UPPER(D197),3)&lt;&gt;"ACR",LEFT(UPPER(D197),4)&lt;&gt;"SUPR",LEFT(UPPER(D197),4)&lt;&gt;"DECR"),"ALERTA: TIPO_INVALIDO","OK"))))))</f>
        <v/>
      </c>
    </row>
    <row r="198" spans="1:13" ht="45" customHeight="1" x14ac:dyDescent="0.35">
      <c r="A198" s="103"/>
      <c r="B198" s="186"/>
      <c r="C198" s="99" t="str">
        <f>IF(B198="","",IFERROR(IF(NOT(ISNUMBER(parametros!$C$2)),"Fora dos ciclos",IF(OR(B198&lt;parametros!$C$2,(YEAR(B198)-YEAR(parametros!$C$2))*12+MONTH(B198)-MONTH(parametros!$C$2)&gt;59),"Fora dos ciclos","C"&amp;INT(((YEAR(B198)-YEAR(parametros!$C$2))*12+MONTH(B198)-MONTH(parametros!$C$2))/12))),"Fora dos ciclos"))</f>
        <v/>
      </c>
      <c r="D198" s="103"/>
      <c r="E198" s="104"/>
      <c r="F198" s="105" t="str">
        <f>IF(A198="","",IFERROR(VLOOKUP(A198,itens_Remanesc!$A:$C,3,0),""))</f>
        <v/>
      </c>
      <c r="G198" s="105" t="str">
        <f t="shared" si="12"/>
        <v/>
      </c>
      <c r="H198" s="103"/>
      <c r="I198" s="64" t="str">
        <f>IFERROR(VLOOKUP(C198,parametros!$B:$F,5,0),"")</f>
        <v/>
      </c>
      <c r="J198" s="105" t="str">
        <f>IF(OR(L198="",F198=""),"",ROUND(L198*IF(AND(UPPER(H198)="SIM",ISNUMBER(IF($C198="C0",IFERROR(VLOOKUP($A198,historico_VU!$A:$G,3,0),""),IF($C198="C1",IFERROR(VLOOKUP($A198,historico_VU!$A:$G,4,0),""),IF($C198="C2",IFERROR(VLOOKUP($A198,historico_VU!$A:$G,5,0),""),IF($C198="C3",IFERROR(VLOOKUP($A198,historico_VU!$A:$G,6,0),""),IF($C198="C4",IFERROR(VLOOKUP($A198,historico_VU!$A:$G,7,0),""),""))))))),IF($C198="C0",IFERROR(VLOOKUP($A198,historico_VU!$A:$G,3,0),""),IF($C198="C1",IFERROR(VLOOKUP($A198,historico_VU!$A:$G,4,0),""),IF($C198="C2",IFERROR(VLOOKUP($A198,historico_VU!$A:$G,5,0),""),IF($C198="C3",IFERROR(VLOOKUP($A198,historico_VU!$A:$G,6,0),""),IF($C198="C4",IFERROR(VLOOKUP($A198,historico_VU!$A:$G,7,0),""),""))))),F198),2))</f>
        <v/>
      </c>
      <c r="K198" s="103"/>
      <c r="L198" s="85" t="str">
        <f t="shared" si="13"/>
        <v/>
      </c>
      <c r="M198" s="203" t="str">
        <f>IF(A198="","",IF(COUNTIF(itens_Remanesc!$A$2:$A$200,A198)=0,"NOVO ITEM NAO CADASTRADO - CADASTRAR EM itens_Remanesc: ITEM + VU_ORIGINAL (QTD_BASE_ORIGINAL sera 0 automaticamente); depois a data e a quantidade aqui.",IF(COUNTIF(itens_Remanesc!$A$2:$A$200,A198)&gt;1,"ALERTA: ITEM_DUPLICADO",IF(OR(C198="",C198="Fora dos ciclos"),"ALERTA: CICLO_INVALIDO",IF(NOT(ISNUMBER(E198)),"ALERTA: QTD_INVALIDA",IF(AND(LEFT(UPPER(D198),3)&lt;&gt;"ACR",LEFT(UPPER(D198),4)&lt;&gt;"SUPR",LEFT(UPPER(D198),4)&lt;&gt;"DECR"),"ALERTA: TIPO_INVALIDO","OK"))))))</f>
        <v/>
      </c>
    </row>
    <row r="199" spans="1:13" ht="45" customHeight="1" x14ac:dyDescent="0.35">
      <c r="A199" s="103"/>
      <c r="B199" s="186"/>
      <c r="C199" s="99" t="str">
        <f>IF(B199="","",IFERROR(IF(NOT(ISNUMBER(parametros!$C$2)),"Fora dos ciclos",IF(OR(B199&lt;parametros!$C$2,(YEAR(B199)-YEAR(parametros!$C$2))*12+MONTH(B199)-MONTH(parametros!$C$2)&gt;59),"Fora dos ciclos","C"&amp;INT(((YEAR(B199)-YEAR(parametros!$C$2))*12+MONTH(B199)-MONTH(parametros!$C$2))/12))),"Fora dos ciclos"))</f>
        <v/>
      </c>
      <c r="D199" s="103"/>
      <c r="E199" s="104"/>
      <c r="F199" s="105" t="str">
        <f>IF(A199="","",IFERROR(VLOOKUP(A199,itens_Remanesc!$A:$C,3,0),""))</f>
        <v/>
      </c>
      <c r="G199" s="105" t="str">
        <f t="shared" si="12"/>
        <v/>
      </c>
      <c r="H199" s="103"/>
      <c r="I199" s="64" t="str">
        <f>IFERROR(VLOOKUP(C199,parametros!$B:$F,5,0),"")</f>
        <v/>
      </c>
      <c r="J199" s="105" t="str">
        <f>IF(OR(L199="",F199=""),"",ROUND(L199*IF(AND(UPPER(H199)="SIM",ISNUMBER(IF($C199="C0",IFERROR(VLOOKUP($A199,historico_VU!$A:$G,3,0),""),IF($C199="C1",IFERROR(VLOOKUP($A199,historico_VU!$A:$G,4,0),""),IF($C199="C2",IFERROR(VLOOKUP($A199,historico_VU!$A:$G,5,0),""),IF($C199="C3",IFERROR(VLOOKUP($A199,historico_VU!$A:$G,6,0),""),IF($C199="C4",IFERROR(VLOOKUP($A199,historico_VU!$A:$G,7,0),""),""))))))),IF($C199="C0",IFERROR(VLOOKUP($A199,historico_VU!$A:$G,3,0),""),IF($C199="C1",IFERROR(VLOOKUP($A199,historico_VU!$A:$G,4,0),""),IF($C199="C2",IFERROR(VLOOKUP($A199,historico_VU!$A:$G,5,0),""),IF($C199="C3",IFERROR(VLOOKUP($A199,historico_VU!$A:$G,6,0),""),IF($C199="C4",IFERROR(VLOOKUP($A199,historico_VU!$A:$G,7,0),""),""))))),F199),2))</f>
        <v/>
      </c>
      <c r="K199" s="103"/>
      <c r="L199" s="85" t="str">
        <f t="shared" si="13"/>
        <v/>
      </c>
      <c r="M199" s="203" t="str">
        <f>IF(A199="","",IF(COUNTIF(itens_Remanesc!$A$2:$A$200,A199)=0,"NOVO ITEM NAO CADASTRADO - CADASTRAR EM itens_Remanesc: ITEM + VU_ORIGINAL (QTD_BASE_ORIGINAL sera 0 automaticamente); depois a data e a quantidade aqui.",IF(COUNTIF(itens_Remanesc!$A$2:$A$200,A199)&gt;1,"ALERTA: ITEM_DUPLICADO",IF(OR(C199="",C199="Fora dos ciclos"),"ALERTA: CICLO_INVALIDO",IF(NOT(ISNUMBER(E199)),"ALERTA: QTD_INVALIDA",IF(AND(LEFT(UPPER(D199),3)&lt;&gt;"ACR",LEFT(UPPER(D199),4)&lt;&gt;"SUPR",LEFT(UPPER(D199),4)&lt;&gt;"DECR"),"ALERTA: TIPO_INVALIDO","OK"))))))</f>
        <v/>
      </c>
    </row>
    <row r="200" spans="1:13" ht="45" customHeight="1" x14ac:dyDescent="0.35">
      <c r="A200" s="103"/>
      <c r="B200" s="186"/>
      <c r="C200" s="99" t="str">
        <f>IF(B200="","",IFERROR(IF(NOT(ISNUMBER(parametros!$C$2)),"Fora dos ciclos",IF(OR(B200&lt;parametros!$C$2,(YEAR(B200)-YEAR(parametros!$C$2))*12+MONTH(B200)-MONTH(parametros!$C$2)&gt;59),"Fora dos ciclos","C"&amp;INT(((YEAR(B200)-YEAR(parametros!$C$2))*12+MONTH(B200)-MONTH(parametros!$C$2))/12))),"Fora dos ciclos"))</f>
        <v/>
      </c>
      <c r="D200" s="103"/>
      <c r="E200" s="104"/>
      <c r="F200" s="105" t="str">
        <f>IF(A200="","",IFERROR(VLOOKUP(A200,itens_Remanesc!$A:$C,3,0),""))</f>
        <v/>
      </c>
      <c r="G200" s="105" t="str">
        <f t="shared" si="12"/>
        <v/>
      </c>
      <c r="H200" s="103"/>
      <c r="I200" s="64" t="str">
        <f>IFERROR(VLOOKUP(C200,parametros!$B:$F,5,0),"")</f>
        <v/>
      </c>
      <c r="J200" s="105" t="str">
        <f>IF(OR(L200="",F200=""),"",ROUND(L200*IF(AND(UPPER(H200)="SIM",ISNUMBER(IF($C200="C0",IFERROR(VLOOKUP($A200,historico_VU!$A:$G,3,0),""),IF($C200="C1",IFERROR(VLOOKUP($A200,historico_VU!$A:$G,4,0),""),IF($C200="C2",IFERROR(VLOOKUP($A200,historico_VU!$A:$G,5,0),""),IF($C200="C3",IFERROR(VLOOKUP($A200,historico_VU!$A:$G,6,0),""),IF($C200="C4",IFERROR(VLOOKUP($A200,historico_VU!$A:$G,7,0),""),""))))))),IF($C200="C0",IFERROR(VLOOKUP($A200,historico_VU!$A:$G,3,0),""),IF($C200="C1",IFERROR(VLOOKUP($A200,historico_VU!$A:$G,4,0),""),IF($C200="C2",IFERROR(VLOOKUP($A200,historico_VU!$A:$G,5,0),""),IF($C200="C3",IFERROR(VLOOKUP($A200,historico_VU!$A:$G,6,0),""),IF($C200="C4",IFERROR(VLOOKUP($A200,historico_VU!$A:$G,7,0),""),""))))),F200),2))</f>
        <v/>
      </c>
      <c r="K200" s="103"/>
      <c r="L200" s="85" t="str">
        <f t="shared" si="13"/>
        <v/>
      </c>
      <c r="M200" s="203" t="str">
        <f>IF(A200="","",IF(COUNTIF(itens_Remanesc!$A$2:$A$200,A200)=0,"NOVO ITEM NAO CADASTRADO - CADASTRAR EM itens_Remanesc: ITEM + VU_ORIGINAL (QTD_BASE_ORIGINAL sera 0 automaticamente); depois a data e a quantidade aqui.",IF(COUNTIF(itens_Remanesc!$A$2:$A$200,A200)&gt;1,"ALERTA: ITEM_DUPLICADO",IF(OR(C200="",C200="Fora dos ciclos"),"ALERTA: CICLO_INVALIDO",IF(NOT(ISNUMBER(E200)),"ALERTA: QTD_INVALIDA",IF(AND(LEFT(UPPER(D200),3)&lt;&gt;"ACR",LEFT(UPPER(D200),4)&lt;&gt;"SUPR",LEFT(UPPER(D200),4)&lt;&gt;"DECR"),"ALERTA: TIPO_INVALIDO","OK"))))))</f>
        <v/>
      </c>
    </row>
  </sheetData>
  <conditionalFormatting sqref="A2:K200">
    <cfRule type="expression" dxfId="49" priority="7">
      <formula>OR(LEFT(UPPER($D2),6)="SUPRES",LEFT(UPPER($D2),4)="DECR")</formula>
    </cfRule>
    <cfRule type="expression" dxfId="48" priority="7">
      <formula>OR(LEFT(UPPER($D2),6)="SUPRES",LEFT(UPPER($D2),4)="DECR")</formula>
    </cfRule>
  </conditionalFormatting>
  <conditionalFormatting sqref="C2:C200">
    <cfRule type="expression" dxfId="47" priority="15">
      <formula>UPPER($C2)="C0"</formula>
    </cfRule>
    <cfRule type="expression" dxfId="46" priority="15">
      <formula>UPPER($C2)="C1"</formula>
    </cfRule>
    <cfRule type="expression" dxfId="45" priority="15">
      <formula>UPPER($C2)="C2"</formula>
    </cfRule>
    <cfRule type="expression" dxfId="44" priority="15">
      <formula>UPPER($C2)="C3"</formula>
    </cfRule>
    <cfRule type="expression" dxfId="43" priority="15">
      <formula>UPPER($C2)="C4"</formula>
    </cfRule>
  </conditionalFormatting>
  <dataValidations count="2">
    <dataValidation type="list" allowBlank="1" sqref="H2:H200 K2:K200" xr:uid="{00000000-0002-0000-0700-000000000000}">
      <formula1>"Sim,Nao"</formula1>
    </dataValidation>
    <dataValidation type="list" allowBlank="1" showInputMessage="1" showErrorMessage="1" sqref="D2:D200" xr:uid="{00000000-0002-0000-0700-000001000000}">
      <formula1>"Acrescimo,Supressao"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00"/>
  <sheetViews>
    <sheetView workbookViewId="0">
      <selection activeCell="A2" sqref="A2:F200"/>
    </sheetView>
  </sheetViews>
  <sheetFormatPr defaultRowHeight="14.5" x14ac:dyDescent="0.35"/>
  <cols>
    <col min="1" max="1" width="28.6328125" customWidth="1"/>
    <col min="2" max="6" width="22.6328125" customWidth="1"/>
    <col min="7" max="7" width="8.7265625" customWidth="1"/>
    <col min="8" max="8" width="38.6328125" customWidth="1"/>
    <col min="9" max="9" width="26.6328125" customWidth="1"/>
    <col min="10" max="10" width="8.7265625" customWidth="1"/>
    <col min="11" max="18" width="13" hidden="1" customWidth="1"/>
    <col min="19" max="19" width="8.7265625" customWidth="1"/>
  </cols>
  <sheetData>
    <row r="1" spans="1:18" ht="26" customHeight="1" x14ac:dyDescent="0.35">
      <c r="A1" s="34" t="s">
        <v>24</v>
      </c>
      <c r="B1" s="34" t="s">
        <v>208</v>
      </c>
      <c r="C1" s="34" t="s">
        <v>209</v>
      </c>
      <c r="D1" s="34" t="s">
        <v>210</v>
      </c>
      <c r="E1" s="34" t="s">
        <v>211</v>
      </c>
      <c r="F1" s="34" t="s">
        <v>71</v>
      </c>
      <c r="H1" s="215" t="s">
        <v>212</v>
      </c>
      <c r="I1" s="216" t="str">
        <f ca="1">IF($I$9="","",IF(NOT(ISNUMBER($I$9)),"",IF(AND(ISNUMBER(parametros!$C$2),ISNUMBER(parametros!$D$2),$I$9&gt;=parametros!$C$2,$I$9&lt;=parametros!$D$2),"C0",IF(AND(ISNUMBER(parametros!$C$3),ISNUMBER(parametros!$D$3),$I$9&gt;=parametros!$C$3,$I$9&lt;=parametros!$D$3),"C1",IF(AND(ISNUMBER(parametros!$C$4),ISNUMBER(parametros!$D$4),$I$9&gt;=parametros!$C$4,$I$9&lt;=parametros!$D$4),"C2",IF(AND(ISNUMBER(parametros!$C$5),ISNUMBER(parametros!$D$5),$I$9&gt;=parametros!$C$5,$I$9&lt;=parametros!$D$5),"C3",IF(AND(ISNUMBER(parametros!$C$6),ISNUMBER(parametros!$D$6),$I$9&gt;=parametros!$C$6,$I$9&lt;=parametros!$D$6),"C4","FORA DO HORIZONTE")))))))</f>
        <v>C1</v>
      </c>
    </row>
    <row r="2" spans="1:18" x14ac:dyDescent="0.35">
      <c r="A2" s="81" t="str">
        <f>IF(itens_Remanesc!A2="","",itens_Remanesc!A2)</f>
        <v>ITEM-001</v>
      </c>
      <c r="B2" s="217">
        <v>45</v>
      </c>
      <c r="C2" s="218">
        <f ca="1">IF(A2="","",IF($I$5="","POSICAO DE REFERENCIA INDISPONIVEL",ROUND(IF(itens_Remanesc!B2="",0,itens_Remanesc!B2)+SUMIFS(aditivos!$L$2:$L$200,aditivos!$A$2:$A$200,A2,aditivos!$B$2:$B$200,"&lt;="&amp;$I$5),2)))</f>
        <v>120</v>
      </c>
      <c r="D2" s="218">
        <f ca="1">IF(A2="","",IF($I$4="","",IF($I$2,IF(ISNUMBER(B2),B2,""),IF($I$4="C0",posicao_contratual!G2,IF($I$4="C1",posicao_contratual!K2,IF($I$4="C2",posicao_contratual!O2,IF($I$4="C3",posicao_contratual!S2,IF($I$4="C4",posicao_contratual!W2,""))))))))</f>
        <v>45</v>
      </c>
      <c r="E2" s="219" t="str">
        <f t="shared" ref="E2:E33" ca="1" si="0">IF(A2="","",IF($I$4="","POSICAO DE REFERENCIA INDISPONIVEL",IF($I$2,"POSICAO FISICA (CICLO_EM_EXECUCAO)",IF(ISNUMBER(B2),"POSICAO FISICA NAO UTILIZAVEL - FOTOGRAFIA "&amp;$I$4,"FOTOGRAFIA "&amp;$I$4))))</f>
        <v>POSICAO FISICA (CICLO_EM_EXECUCAO)</v>
      </c>
      <c r="F2" s="81" t="str">
        <f ca="1">IF(A2="","",IF(COUNTIF($A$2:$A$200,A2)&gt;1,"ITEM DUPLICADO",IF($I$4="","POSICAO DE REFERENCIA INDISPONIVEL",IF(AND(B2&lt;&gt;"",NOT(ISNUMBER(B2))),"QTD NAO NUMERICA",IF(AND(ISNUMBER(B2),B2&lt;0),"NEGATIVO NAO PERMITIDO",IF(NOT(ISNUMBER(C2)),"POSICAO CONTRATUAL INDISPONIVEL",IF(OR(AND(posicao_contratual!$Y2&lt;&gt;"",posicao_contratual!$Y2&gt;IFERROR(VALUE(MID($I$4,2,1)),-1)),AND(posicao_contratual!$Z2,ISNUMBER(C2),C2&lt;=0)),"ITEM POSTERIOR A REFERENCIA",IF(D2="","REMANESCENTE DE REFERENCIA INDISPONIVEL",IF(AND(ISNUMBER(D2),ISNUMBER(C2),D2&gt;C2),"REMANESCENTE DE REFERENCIA SUPERA POSICAO CONTRATUAL","OK")))))))))</f>
        <v>OK</v>
      </c>
      <c r="H2" s="220" t="s">
        <v>213</v>
      </c>
      <c r="I2" s="221" t="b">
        <f ca="1">AND(ISNUMBER($I$9),ISNUMBER(CONTROLE!$B$3),$I$9&lt;=CONTROLE!$B$3,OR($I$1="C0",$I$1="C1",$I$1="C2",$I$1="C3",$I$1="C4"),COUNTIF(itens_Remanesc!$A$2:$A$200,"&lt;&gt;")&gt;0,IFERROR(INDIRECT("CICLO_EM_EXECUCAO!$A$9")&lt;&gt;"",FALSE))</f>
        <v>1</v>
      </c>
      <c r="K2" s="179">
        <f>IF(A2="","",itens_Remanesc!C2)</f>
        <v>250</v>
      </c>
      <c r="L2" s="179">
        <f ca="1">IF(A2="","",IF($I$4="C0",posicao_contratual!G2,IF($I$4="C1",posicao_contratual!K2,IF($I$4="C2",posicao_contratual!O2,IF($I$4="C3",posicao_contratual!S2,IF($I$4="C4",posicao_contratual!W2,""))))))</f>
        <v>120</v>
      </c>
      <c r="M2" s="179">
        <f ca="1">IF(OR(A2="",$I$5="",$I$6=""),"",ROUND(SUMIFS(aditivos!$L$2:$L$200,aditivos!$A$2:$A$200,A2,aditivos!$B$2:$B$200,"&gt;"&amp;$I$6,aditivos!$B$2:$B$200,"&lt;="&amp;$I$5),2))</f>
        <v>0</v>
      </c>
      <c r="N2" s="179">
        <f t="shared" ref="N2:N33" ca="1" si="1">IF(OR(A2="",L2="",D2=""),"",ROUND(MAX(L2+IF(ISNUMBER(M2),M2,0)-D2,0),2))</f>
        <v>75</v>
      </c>
      <c r="O2" s="179">
        <f ca="1">IF(OR(A2="",D2="",NOT(ISNUMBER(IF($I$4="C0",historico_VU!C2,IF($I$4="C1",historico_VU!D2,IF($I$4="C2",historico_VU!E2,IF($I$4="C3",historico_VU!F2,IF($I$4="C4",historico_VU!G2,"")))))))),"",ROUND(D2*IF($I$4="C0",historico_VU!C2,IF($I$4="C1",historico_VU!D2,IF($I$4="C2",historico_VU!E2,IF($I$4="C3",historico_VU!F2,IF($I$4="C4",historico_VU!G2,""))))),2))</f>
        <v>11826</v>
      </c>
      <c r="P2" s="179">
        <f ca="1">IF(OR(A2="",N2="",NOT(ISNUMBER(IF($I$4="C0",historico_VU!C2,IF($I$4="C1",historico_VU!D2,IF($I$4="C2",historico_VU!E2,IF($I$4="C3",historico_VU!F2,IF($I$4="C4",historico_VU!G2,"")))))))),"",ROUND(N2*IF($I$4="C0",historico_VU!C2,IF($I$4="C1",historico_VU!D2,IF($I$4="C2",historico_VU!E2,IF($I$4="C3",historico_VU!F2,IF($I$4="C4",historico_VU!G2,""))))),2))</f>
        <v>19710</v>
      </c>
      <c r="Q2" s="179">
        <f t="shared" ref="Q2:Q33" ca="1" si="2">IF(OR(A2="",D2="",K2=""),"",ROUND(D2*K2,2))</f>
        <v>11250</v>
      </c>
      <c r="R2" s="179">
        <f ca="1">IF(OR(A2="",L2="",NOT(ISNUMBER(IF($I$4="C0",historico_VU!C2,IF($I$4="C1",historico_VU!D2,IF($I$4="C2",historico_VU!E2,IF($I$4="C3",historico_VU!F2,IF($I$4="C4",historico_VU!G2,"")))))))),"",ROUND(L2*IF($I$4="C0",historico_VU!C2,IF($I$4="C1",historico_VU!D2,IF($I$4="C2",historico_VU!E2,IF($I$4="C3",historico_VU!F2,IF($I$4="C4",historico_VU!G2,""))))),2))</f>
        <v>31536</v>
      </c>
    </row>
    <row r="3" spans="1:18" x14ac:dyDescent="0.35">
      <c r="A3" s="81" t="str">
        <f>IF(itens_Remanesc!A3="","",itens_Remanesc!A3)</f>
        <v>ITEM-002</v>
      </c>
      <c r="B3" s="217">
        <v>30</v>
      </c>
      <c r="C3" s="218">
        <f ca="1">IF(A3="","",IF($I$5="","POSICAO DE REFERENCIA INDISPONIVEL",ROUND(IF(itens_Remanesc!B3="",0,itens_Remanesc!B3)+SUMIFS(aditivos!$L$2:$L$200,aditivos!$A$2:$A$200,A3,aditivos!$B$2:$B$200,"&lt;="&amp;$I$5),2)))</f>
        <v>80</v>
      </c>
      <c r="D3" s="218">
        <f ca="1">IF(A3="","",IF($I$4="","",IF($I$2,IF(ISNUMBER(B3),B3,""),IF($I$4="C0",posicao_contratual!G3,IF($I$4="C1",posicao_contratual!K3,IF($I$4="C2",posicao_contratual!O3,IF($I$4="C3",posicao_contratual!S3,IF($I$4="C4",posicao_contratual!W3,""))))))))</f>
        <v>30</v>
      </c>
      <c r="E3" s="219" t="str">
        <f t="shared" ca="1" si="0"/>
        <v>POSICAO FISICA (CICLO_EM_EXECUCAO)</v>
      </c>
      <c r="F3" s="81" t="str">
        <f ca="1">IF(A3="","",IF(COUNTIF($A$2:$A$200,A3)&gt;1,"ITEM DUPLICADO",IF($I$4="","POSICAO DE REFERENCIA INDISPONIVEL",IF(AND(B3&lt;&gt;"",NOT(ISNUMBER(B3))),"QTD NAO NUMERICA",IF(AND(ISNUMBER(B3),B3&lt;0),"NEGATIVO NAO PERMITIDO",IF(NOT(ISNUMBER(C3)),"POSICAO CONTRATUAL INDISPONIVEL",IF(OR(AND(posicao_contratual!$Y3&lt;&gt;"",posicao_contratual!$Y3&gt;IFERROR(VALUE(MID($I$4,2,1)),-1)),AND(posicao_contratual!$Z3,ISNUMBER(C3),C3&lt;=0)),"ITEM POSTERIOR A REFERENCIA",IF(D3="","REMANESCENTE DE REFERENCIA INDISPONIVEL",IF(AND(ISNUMBER(D3),ISNUMBER(C3),D3&gt;C3),"REMANESCENTE DE REFERENCIA SUPERA POSICAO CONTRATUAL","OK")))))))))</f>
        <v>OK</v>
      </c>
      <c r="H3" s="220" t="s">
        <v>214</v>
      </c>
      <c r="I3" s="221" t="str">
        <f>IF(AND(ISNUMBER(parametros!$C$6),COUNT(posicao_contratual!$W$2:$W$200)&gt;0),"C4",IF(AND(ISNUMBER(parametros!$C$5),COUNT(posicao_contratual!$S$2:$S$200)&gt;0),"C3",IF(AND(ISNUMBER(parametros!$C$4),COUNT(posicao_contratual!$O$2:$O$200)&gt;0),"C2",IF(AND(ISNUMBER(parametros!$C$3),COUNT(posicao_contratual!$K$2:$K$200)&gt;0),"C1",IF(AND(ISNUMBER(parametros!$C$2),COUNT(posicao_contratual!$G$2:$G$200)&gt;0),"C0","")))))</f>
        <v>C4</v>
      </c>
      <c r="K3" s="179">
        <f>IF(A3="","",itens_Remanesc!C3)</f>
        <v>1500</v>
      </c>
      <c r="L3" s="179">
        <f ca="1">IF(A3="","",IF($I$4="C0",posicao_contratual!G3,IF($I$4="C1",posicao_contratual!K3,IF($I$4="C2",posicao_contratual!O3,IF($I$4="C3",posicao_contratual!S3,IF($I$4="C4",posicao_contratual!W3,""))))))</f>
        <v>80</v>
      </c>
      <c r="M3" s="179">
        <f ca="1">IF(OR(A3="",$I$5="",$I$6=""),"",ROUND(SUMIFS(aditivos!$L$2:$L$200,aditivos!$A$2:$A$200,A3,aditivos!$B$2:$B$200,"&gt;"&amp;$I$6,aditivos!$B$2:$B$200,"&lt;="&amp;$I$5),2))</f>
        <v>0</v>
      </c>
      <c r="N3" s="179">
        <f t="shared" ca="1" si="1"/>
        <v>50</v>
      </c>
      <c r="O3" s="179">
        <f ca="1">IF(OR(A3="",D3="",NOT(ISNUMBER(IF($I$4="C0",historico_VU!C3,IF($I$4="C1",historico_VU!D3,IF($I$4="C2",historico_VU!E3,IF($I$4="C3",historico_VU!F3,IF($I$4="C4",historico_VU!G3,"")))))))),"",ROUND(D3*IF($I$4="C0",historico_VU!C3,IF($I$4="C1",historico_VU!D3,IF($I$4="C2",historico_VU!E3,IF($I$4="C3",historico_VU!F3,IF($I$4="C4",historico_VU!G3,""))))),2))</f>
        <v>47304</v>
      </c>
      <c r="P3" s="179">
        <f ca="1">IF(OR(A3="",N3="",NOT(ISNUMBER(IF($I$4="C0",historico_VU!C3,IF($I$4="C1",historico_VU!D3,IF($I$4="C2",historico_VU!E3,IF($I$4="C3",historico_VU!F3,IF($I$4="C4",historico_VU!G3,"")))))))),"",ROUND(N3*IF($I$4="C0",historico_VU!C3,IF($I$4="C1",historico_VU!D3,IF($I$4="C2",historico_VU!E3,IF($I$4="C3",historico_VU!F3,IF($I$4="C4",historico_VU!G3,""))))),2))</f>
        <v>78840</v>
      </c>
      <c r="Q3" s="179">
        <f t="shared" ca="1" si="2"/>
        <v>45000</v>
      </c>
      <c r="R3" s="179">
        <f ca="1">IF(OR(A3="",L3="",NOT(ISNUMBER(IF($I$4="C0",historico_VU!C3,IF($I$4="C1",historico_VU!D3,IF($I$4="C2",historico_VU!E3,IF($I$4="C3",historico_VU!F3,IF($I$4="C4",historico_VU!G3,"")))))))),"",ROUND(L3*IF($I$4="C0",historico_VU!C3,IF($I$4="C1",historico_VU!D3,IF($I$4="C2",historico_VU!E3,IF($I$4="C3",historico_VU!F3,IF($I$4="C4",historico_VU!G3,""))))),2))</f>
        <v>126144</v>
      </c>
    </row>
    <row r="4" spans="1:18" x14ac:dyDescent="0.35">
      <c r="A4" s="81" t="str">
        <f>IF(itens_Remanesc!A4="","",itens_Remanesc!A4)</f>
        <v>ITEM-003</v>
      </c>
      <c r="B4" s="217">
        <v>12</v>
      </c>
      <c r="C4" s="218">
        <f ca="1">IF(A4="","",IF($I$5="","POSICAO DE REFERENCIA INDISPONIVEL",ROUND(IF(itens_Remanesc!B4="",0,itens_Remanesc!B4)+SUMIFS(aditivos!$L$2:$L$200,aditivos!$A$2:$A$200,A4,aditivos!$B$2:$B$200,"&lt;="&amp;$I$5),2)))</f>
        <v>40</v>
      </c>
      <c r="D4" s="218">
        <f ca="1">IF(A4="","",IF($I$4="","",IF($I$2,IF(ISNUMBER(B4),B4,""),IF($I$4="C0",posicao_contratual!G4,IF($I$4="C1",posicao_contratual!K4,IF($I$4="C2",posicao_contratual!O4,IF($I$4="C3",posicao_contratual!S4,IF($I$4="C4",posicao_contratual!W4,""))))))))</f>
        <v>12</v>
      </c>
      <c r="E4" s="219" t="str">
        <f t="shared" ca="1" si="0"/>
        <v>POSICAO FISICA (CICLO_EM_EXECUCAO)</v>
      </c>
      <c r="F4" s="81" t="str">
        <f ca="1">IF(A4="","",IF(COUNTIF($A$2:$A$200,A4)&gt;1,"ITEM DUPLICADO",IF($I$4="","POSICAO DE REFERENCIA INDISPONIVEL",IF(AND(B4&lt;&gt;"",NOT(ISNUMBER(B4))),"QTD NAO NUMERICA",IF(AND(ISNUMBER(B4),B4&lt;0),"NEGATIVO NAO PERMITIDO",IF(NOT(ISNUMBER(C4)),"POSICAO CONTRATUAL INDISPONIVEL",IF(OR(AND(posicao_contratual!$Y4&lt;&gt;"",posicao_contratual!$Y4&gt;IFERROR(VALUE(MID($I$4,2,1)),-1)),AND(posicao_contratual!$Z4,ISNUMBER(C4),C4&lt;=0)),"ITEM POSTERIOR A REFERENCIA",IF(D4="","REMANESCENTE DE REFERENCIA INDISPONIVEL",IF(AND(ISNUMBER(D4),ISNUMBER(C4),D4&gt;C4),"REMANESCENTE DE REFERENCIA SUPERA POSICAO CONTRATUAL","OK")))))))))</f>
        <v>OK</v>
      </c>
      <c r="H4" s="220" t="s">
        <v>215</v>
      </c>
      <c r="I4" s="221" t="str">
        <f ca="1">IF($I$2,$I$1,$I$3)</f>
        <v>C1</v>
      </c>
      <c r="K4" s="179">
        <f>IF(A4="","",itens_Remanesc!C4)</f>
        <v>3200</v>
      </c>
      <c r="L4" s="179">
        <f ca="1">IF(A4="","",IF($I$4="C0",posicao_contratual!G4,IF($I$4="C1",posicao_contratual!K4,IF($I$4="C2",posicao_contratual!O4,IF($I$4="C3",posicao_contratual!S4,IF($I$4="C4",posicao_contratual!W4,""))))))</f>
        <v>40</v>
      </c>
      <c r="M4" s="179">
        <f ca="1">IF(OR(A4="",$I$5="",$I$6=""),"",ROUND(SUMIFS(aditivos!$L$2:$L$200,aditivos!$A$2:$A$200,A4,aditivos!$B$2:$B$200,"&gt;"&amp;$I$6,aditivos!$B$2:$B$200,"&lt;="&amp;$I$5),2))</f>
        <v>0</v>
      </c>
      <c r="N4" s="179">
        <f t="shared" ca="1" si="1"/>
        <v>28</v>
      </c>
      <c r="O4" s="179">
        <f ca="1">IF(OR(A4="",D4="",NOT(ISNUMBER(IF($I$4="C0",historico_VU!C4,IF($I$4="C1",historico_VU!D4,IF($I$4="C2",historico_VU!E4,IF($I$4="C3",historico_VU!F4,IF($I$4="C4",historico_VU!G4,"")))))))),"",ROUND(D4*IF($I$4="C0",historico_VU!C4,IF($I$4="C1",historico_VU!D4,IF($I$4="C2",historico_VU!E4,IF($I$4="C3",historico_VU!F4,IF($I$4="C4",historico_VU!G4,""))))),2))</f>
        <v>40366.080000000002</v>
      </c>
      <c r="P4" s="179">
        <f ca="1">IF(OR(A4="",N4="",NOT(ISNUMBER(IF($I$4="C0",historico_VU!C4,IF($I$4="C1",historico_VU!D4,IF($I$4="C2",historico_VU!E4,IF($I$4="C3",historico_VU!F4,IF($I$4="C4",historico_VU!G4,"")))))))),"",ROUND(N4*IF($I$4="C0",historico_VU!C4,IF($I$4="C1",historico_VU!D4,IF($I$4="C2",historico_VU!E4,IF($I$4="C3",historico_VU!F4,IF($I$4="C4",historico_VU!G4,""))))),2))</f>
        <v>94187.520000000004</v>
      </c>
      <c r="Q4" s="179">
        <f t="shared" ca="1" si="2"/>
        <v>38400</v>
      </c>
      <c r="R4" s="179">
        <f ca="1">IF(OR(A4="",L4="",NOT(ISNUMBER(IF($I$4="C0",historico_VU!C4,IF($I$4="C1",historico_VU!D4,IF($I$4="C2",historico_VU!E4,IF($I$4="C3",historico_VU!F4,IF($I$4="C4",historico_VU!G4,"")))))))),"",ROUND(L4*IF($I$4="C0",historico_VU!C4,IF($I$4="C1",historico_VU!D4,IF($I$4="C2",historico_VU!E4,IF($I$4="C3",historico_VU!F4,IF($I$4="C4",historico_VU!G4,""))))),2))</f>
        <v>134553.60000000001</v>
      </c>
    </row>
    <row r="5" spans="1:18" x14ac:dyDescent="0.35">
      <c r="A5" s="81" t="str">
        <f>IF(itens_Remanesc!A5="","",itens_Remanesc!A5)</f>
        <v/>
      </c>
      <c r="B5" s="217" t="str">
        <f t="shared" ref="B5:B36" ca="1" si="3">IF($A5="","",IF(NOT($I$2),"",IFERROR(IF(INDEX(INDIRECT("CICLO_EM_EXECUCAO!$C$13:$C$211"),MATCH($A5,INDIRECT("CICLO_EM_EXECUCAO!$A$13:$A$211"),0))="","",INDEX(INDIRECT("CICLO_EM_EXECUCAO!$C$13:$C$211"),MATCH($A5,INDIRECT("CICLO_EM_EXECUCAO!$A$13:$A$211"),0))),"")))</f>
        <v/>
      </c>
      <c r="C5" s="218" t="str">
        <f>IF(A5="","",IF($I$5="","POSICAO DE REFERENCIA INDISPONIVEL",ROUND(IF(itens_Remanesc!B5="",0,itens_Remanesc!B5)+SUMIFS(aditivos!$L$2:$L$200,aditivos!$A$2:$A$200,A5,aditivos!$B$2:$B$200,"&lt;="&amp;$I$5),2)))</f>
        <v/>
      </c>
      <c r="D5" s="218" t="str">
        <f>IF(A5="","",IF($I$4="","",IF($I$2,IF(ISNUMBER(B5),B5,""),IF($I$4="C0",posicao_contratual!G5,IF($I$4="C1",posicao_contratual!K5,IF($I$4="C2",posicao_contratual!O5,IF($I$4="C3",posicao_contratual!S5,IF($I$4="C4",posicao_contratual!W5,""))))))))</f>
        <v/>
      </c>
      <c r="E5" s="219" t="str">
        <f t="shared" si="0"/>
        <v/>
      </c>
      <c r="F5" s="81" t="str">
        <f>IF(A5="","",IF(COUNTIF($A$2:$A$200,A5)&gt;1,"ITEM DUPLICADO",IF($I$4="","POSICAO DE REFERENCIA INDISPONIVEL",IF(AND(B5&lt;&gt;"",NOT(ISNUMBER(B5))),"QTD NAO NUMERICA",IF(AND(ISNUMBER(B5),B5&lt;0),"NEGATIVO NAO PERMITIDO",IF(NOT(ISNUMBER(C5)),"POSICAO CONTRATUAL INDISPONIVEL",IF(OR(AND(posicao_contratual!$Y5&lt;&gt;"",posicao_contratual!$Y5&gt;IFERROR(VALUE(MID($I$4,2,1)),-1)),AND(posicao_contratual!$Z5,ISNUMBER(C5),C5&lt;=0)),"ITEM POSTERIOR A REFERENCIA",IF(D5="","REMANESCENTE DE REFERENCIA INDISPONIVEL",IF(AND(ISNUMBER(D5),ISNUMBER(C5),D5&gt;C5),"REMANESCENTE DE REFERENCIA SUPERA POSICAO CONTRATUAL","OK")))))))))</f>
        <v/>
      </c>
      <c r="H5" s="220" t="s">
        <v>216</v>
      </c>
      <c r="I5" s="222">
        <f ca="1">IF($I$4="","",IF($I$2,$I$9,$I$6))</f>
        <v>45657</v>
      </c>
      <c r="K5" s="179" t="str">
        <f>IF(A5="","",itens_Remanesc!C5)</f>
        <v/>
      </c>
      <c r="L5" s="179" t="str">
        <f>IF(A5="","",IF($I$4="C0",posicao_contratual!G5,IF($I$4="C1",posicao_contratual!K5,IF($I$4="C2",posicao_contratual!O5,IF($I$4="C3",posicao_contratual!S5,IF($I$4="C4",posicao_contratual!W5,""))))))</f>
        <v/>
      </c>
      <c r="M5" s="179" t="str">
        <f ca="1">IF(OR(A5="",$I$5="",$I$6=""),"",ROUND(SUMIFS(aditivos!$L$2:$L$200,aditivos!$A$2:$A$200,A5,aditivos!$B$2:$B$200,"&gt;"&amp;$I$6,aditivos!$B$2:$B$200,"&lt;="&amp;$I$5),2))</f>
        <v/>
      </c>
      <c r="N5" s="179" t="str">
        <f t="shared" si="1"/>
        <v/>
      </c>
      <c r="O5" s="179" t="str">
        <f ca="1">IF(OR(A5="",D5="",NOT(ISNUMBER(IF($I$4="C0",historico_VU!C5,IF($I$4="C1",historico_VU!D5,IF($I$4="C2",historico_VU!E5,IF($I$4="C3",historico_VU!F5,IF($I$4="C4",historico_VU!G5,"")))))))),"",ROUND(D5*IF($I$4="C0",historico_VU!C5,IF($I$4="C1",historico_VU!D5,IF($I$4="C2",historico_VU!E5,IF($I$4="C3",historico_VU!F5,IF($I$4="C4",historico_VU!G5,""))))),2))</f>
        <v/>
      </c>
      <c r="P5" s="179" t="str">
        <f ca="1">IF(OR(A5="",N5="",NOT(ISNUMBER(IF($I$4="C0",historico_VU!C5,IF($I$4="C1",historico_VU!D5,IF($I$4="C2",historico_VU!E5,IF($I$4="C3",historico_VU!F5,IF($I$4="C4",historico_VU!G5,"")))))))),"",ROUND(N5*IF($I$4="C0",historico_VU!C5,IF($I$4="C1",historico_VU!D5,IF($I$4="C2",historico_VU!E5,IF($I$4="C3",historico_VU!F5,IF($I$4="C4",historico_VU!G5,""))))),2))</f>
        <v/>
      </c>
      <c r="Q5" s="179" t="str">
        <f t="shared" si="2"/>
        <v/>
      </c>
      <c r="R5" s="179" t="str">
        <f ca="1">IF(OR(A5="",L5="",NOT(ISNUMBER(IF($I$4="C0",historico_VU!C5,IF($I$4="C1",historico_VU!D5,IF($I$4="C2",historico_VU!E5,IF($I$4="C3",historico_VU!F5,IF($I$4="C4",historico_VU!G5,"")))))))),"",ROUND(L5*IF($I$4="C0",historico_VU!C5,IF($I$4="C1",historico_VU!D5,IF($I$4="C2",historico_VU!E5,IF($I$4="C3",historico_VU!F5,IF($I$4="C4",historico_VU!G5,""))))),2))</f>
        <v/>
      </c>
    </row>
    <row r="6" spans="1:18" x14ac:dyDescent="0.35">
      <c r="A6" s="81" t="str">
        <f>IF(itens_Remanesc!A6="","",itens_Remanesc!A6)</f>
        <v/>
      </c>
      <c r="B6" s="217" t="str">
        <f t="shared" ca="1" si="3"/>
        <v/>
      </c>
      <c r="C6" s="218" t="str">
        <f>IF(A6="","",IF($I$5="","POSICAO DE REFERENCIA INDISPONIVEL",ROUND(IF(itens_Remanesc!B6="",0,itens_Remanesc!B6)+SUMIFS(aditivos!$L$2:$L$200,aditivos!$A$2:$A$200,A6,aditivos!$B$2:$B$200,"&lt;="&amp;$I$5),2)))</f>
        <v/>
      </c>
      <c r="D6" s="218" t="str">
        <f>IF(A6="","",IF($I$4="","",IF($I$2,IF(ISNUMBER(B6),B6,""),IF($I$4="C0",posicao_contratual!G6,IF($I$4="C1",posicao_contratual!K6,IF($I$4="C2",posicao_contratual!O6,IF($I$4="C3",posicao_contratual!S6,IF($I$4="C4",posicao_contratual!W6,""))))))))</f>
        <v/>
      </c>
      <c r="E6" s="219" t="str">
        <f t="shared" si="0"/>
        <v/>
      </c>
      <c r="F6" s="81" t="str">
        <f>IF(A6="","",IF(COUNTIF($A$2:$A$200,A6)&gt;1,"ITEM DUPLICADO",IF($I$4="","POSICAO DE REFERENCIA INDISPONIVEL",IF(AND(B6&lt;&gt;"",NOT(ISNUMBER(B6))),"QTD NAO NUMERICA",IF(AND(ISNUMBER(B6),B6&lt;0),"NEGATIVO NAO PERMITIDO",IF(NOT(ISNUMBER(C6)),"POSICAO CONTRATUAL INDISPONIVEL",IF(OR(AND(posicao_contratual!$Y6&lt;&gt;"",posicao_contratual!$Y6&gt;IFERROR(VALUE(MID($I$4,2,1)),-1)),AND(posicao_contratual!$Z6,ISNUMBER(C6),C6&lt;=0)),"ITEM POSTERIOR A REFERENCIA",IF(D6="","REMANESCENTE DE REFERENCIA INDISPONIVEL",IF(AND(ISNUMBER(D6),ISNUMBER(C6),D6&gt;C6),"REMANESCENTE DE REFERENCIA SUPERA POSICAO CONTRATUAL","OK")))))))))</f>
        <v/>
      </c>
      <c r="H6" s="220" t="s">
        <v>217</v>
      </c>
      <c r="I6" s="222">
        <f ca="1">IF($I$4="C0",parametros!$I$2,IF($I$4="C1",parametros!$I$3,IF($I$4="C2",parametros!$I$4,IF($I$4="C3",parametros!$I$5,IF($I$4="C4",parametros!$I$6,"")))))</f>
        <v>0</v>
      </c>
      <c r="K6" s="179" t="str">
        <f>IF(A6="","",itens_Remanesc!C6)</f>
        <v/>
      </c>
      <c r="L6" s="179" t="str">
        <f>IF(A6="","",IF($I$4="C0",posicao_contratual!G6,IF($I$4="C1",posicao_contratual!K6,IF($I$4="C2",posicao_contratual!O6,IF($I$4="C3",posicao_contratual!S6,IF($I$4="C4",posicao_contratual!W6,""))))))</f>
        <v/>
      </c>
      <c r="M6" s="179" t="str">
        <f ca="1">IF(OR(A6="",$I$5="",$I$6=""),"",ROUND(SUMIFS(aditivos!$L$2:$L$200,aditivos!$A$2:$A$200,A6,aditivos!$B$2:$B$200,"&gt;"&amp;$I$6,aditivos!$B$2:$B$200,"&lt;="&amp;$I$5),2))</f>
        <v/>
      </c>
      <c r="N6" s="179" t="str">
        <f t="shared" si="1"/>
        <v/>
      </c>
      <c r="O6" s="179" t="str">
        <f ca="1">IF(OR(A6="",D6="",NOT(ISNUMBER(IF($I$4="C0",historico_VU!C6,IF($I$4="C1",historico_VU!D6,IF($I$4="C2",historico_VU!E6,IF($I$4="C3",historico_VU!F6,IF($I$4="C4",historico_VU!G6,"")))))))),"",ROUND(D6*IF($I$4="C0",historico_VU!C6,IF($I$4="C1",historico_VU!D6,IF($I$4="C2",historico_VU!E6,IF($I$4="C3",historico_VU!F6,IF($I$4="C4",historico_VU!G6,""))))),2))</f>
        <v/>
      </c>
      <c r="P6" s="179" t="str">
        <f ca="1">IF(OR(A6="",N6="",NOT(ISNUMBER(IF($I$4="C0",historico_VU!C6,IF($I$4="C1",historico_VU!D6,IF($I$4="C2",historico_VU!E6,IF($I$4="C3",historico_VU!F6,IF($I$4="C4",historico_VU!G6,"")))))))),"",ROUND(N6*IF($I$4="C0",historico_VU!C6,IF($I$4="C1",historico_VU!D6,IF($I$4="C2",historico_VU!E6,IF($I$4="C3",historico_VU!F6,IF($I$4="C4",historico_VU!G6,""))))),2))</f>
        <v/>
      </c>
      <c r="Q6" s="179" t="str">
        <f t="shared" si="2"/>
        <v/>
      </c>
      <c r="R6" s="179" t="str">
        <f ca="1">IF(OR(A6="",L6="",NOT(ISNUMBER(IF($I$4="C0",historico_VU!C6,IF($I$4="C1",historico_VU!D6,IF($I$4="C2",historico_VU!E6,IF($I$4="C3",historico_VU!F6,IF($I$4="C4",historico_VU!G6,"")))))))),"",ROUND(L6*IF($I$4="C0",historico_VU!C6,IF($I$4="C1",historico_VU!D6,IF($I$4="C2",historico_VU!E6,IF($I$4="C3",historico_VU!F6,IF($I$4="C4",historico_VU!G6,""))))),2))</f>
        <v/>
      </c>
    </row>
    <row r="7" spans="1:18" x14ac:dyDescent="0.35">
      <c r="A7" s="81" t="str">
        <f>IF(itens_Remanesc!A7="","",itens_Remanesc!A7)</f>
        <v/>
      </c>
      <c r="B7" s="217" t="str">
        <f t="shared" ca="1" si="3"/>
        <v/>
      </c>
      <c r="C7" s="218" t="str">
        <f>IF(A7="","",IF($I$5="","POSICAO DE REFERENCIA INDISPONIVEL",ROUND(IF(itens_Remanesc!B7="",0,itens_Remanesc!B7)+SUMIFS(aditivos!$L$2:$L$200,aditivos!$A$2:$A$200,A7,aditivos!$B$2:$B$200,"&lt;="&amp;$I$5),2)))</f>
        <v/>
      </c>
      <c r="D7" s="218" t="str">
        <f>IF(A7="","",IF($I$4="","",IF($I$2,IF(ISNUMBER(B7),B7,""),IF($I$4="C0",posicao_contratual!G7,IF($I$4="C1",posicao_contratual!K7,IF($I$4="C2",posicao_contratual!O7,IF($I$4="C3",posicao_contratual!S7,IF($I$4="C4",posicao_contratual!W7,""))))))))</f>
        <v/>
      </c>
      <c r="E7" s="219" t="str">
        <f t="shared" si="0"/>
        <v/>
      </c>
      <c r="F7" s="81" t="str">
        <f>IF(A7="","",IF(COUNTIF($A$2:$A$200,A7)&gt;1,"ITEM DUPLICADO",IF($I$4="","POSICAO DE REFERENCIA INDISPONIVEL",IF(AND(B7&lt;&gt;"",NOT(ISNUMBER(B7))),"QTD NAO NUMERICA",IF(AND(ISNUMBER(B7),B7&lt;0),"NEGATIVO NAO PERMITIDO",IF(NOT(ISNUMBER(C7)),"POSICAO CONTRATUAL INDISPONIVEL",IF(OR(AND(posicao_contratual!$Y7&lt;&gt;"",posicao_contratual!$Y7&gt;IFERROR(VALUE(MID($I$4,2,1)),-1)),AND(posicao_contratual!$Z7,ISNUMBER(C7),C7&lt;=0)),"ITEM POSTERIOR A REFERENCIA",IF(D7="","REMANESCENTE DE REFERENCIA INDISPONIVEL",IF(AND(ISNUMBER(D7),ISNUMBER(C7),D7&gt;C7),"REMANESCENTE DE REFERENCIA SUPERA POSICAO CONTRATUAL","OK")))))))))</f>
        <v/>
      </c>
      <c r="H7" s="220" t="s">
        <v>218</v>
      </c>
      <c r="I7" s="223">
        <f ca="1">IF($I$4="C0",parametros!$F$2,IF($I$4="C1",parametros!$F$3,IF($I$4="C2",parametros!$F$4,IF($I$4="C3",parametros!$F$5,IF($I$4="C4",parametros!$F$6,"")))))</f>
        <v>1.0511999999999999</v>
      </c>
      <c r="K7" s="179" t="str">
        <f>IF(A7="","",itens_Remanesc!C7)</f>
        <v/>
      </c>
      <c r="L7" s="179" t="str">
        <f>IF(A7="","",IF($I$4="C0",posicao_contratual!G7,IF($I$4="C1",posicao_contratual!K7,IF($I$4="C2",posicao_contratual!O7,IF($I$4="C3",posicao_contratual!S7,IF($I$4="C4",posicao_contratual!W7,""))))))</f>
        <v/>
      </c>
      <c r="M7" s="179" t="str">
        <f ca="1">IF(OR(A7="",$I$5="",$I$6=""),"",ROUND(SUMIFS(aditivos!$L$2:$L$200,aditivos!$A$2:$A$200,A7,aditivos!$B$2:$B$200,"&gt;"&amp;$I$6,aditivos!$B$2:$B$200,"&lt;="&amp;$I$5),2))</f>
        <v/>
      </c>
      <c r="N7" s="179" t="str">
        <f t="shared" si="1"/>
        <v/>
      </c>
      <c r="O7" s="179" t="str">
        <f ca="1">IF(OR(A7="",D7="",NOT(ISNUMBER(IF($I$4="C0",historico_VU!C7,IF($I$4="C1",historico_VU!D7,IF($I$4="C2",historico_VU!E7,IF($I$4="C3",historico_VU!F7,IF($I$4="C4",historico_VU!G7,"")))))))),"",ROUND(D7*IF($I$4="C0",historico_VU!C7,IF($I$4="C1",historico_VU!D7,IF($I$4="C2",historico_VU!E7,IF($I$4="C3",historico_VU!F7,IF($I$4="C4",historico_VU!G7,""))))),2))</f>
        <v/>
      </c>
      <c r="P7" s="179" t="str">
        <f ca="1">IF(OR(A7="",N7="",NOT(ISNUMBER(IF($I$4="C0",historico_VU!C7,IF($I$4="C1",historico_VU!D7,IF($I$4="C2",historico_VU!E7,IF($I$4="C3",historico_VU!F7,IF($I$4="C4",historico_VU!G7,"")))))))),"",ROUND(N7*IF($I$4="C0",historico_VU!C7,IF($I$4="C1",historico_VU!D7,IF($I$4="C2",historico_VU!E7,IF($I$4="C3",historico_VU!F7,IF($I$4="C4",historico_VU!G7,""))))),2))</f>
        <v/>
      </c>
      <c r="Q7" s="179" t="str">
        <f t="shared" si="2"/>
        <v/>
      </c>
      <c r="R7" s="179" t="str">
        <f ca="1">IF(OR(A7="",L7="",NOT(ISNUMBER(IF($I$4="C0",historico_VU!C7,IF($I$4="C1",historico_VU!D7,IF($I$4="C2",historico_VU!E7,IF($I$4="C3",historico_VU!F7,IF($I$4="C4",historico_VU!G7,"")))))))),"",ROUND(L7*IF($I$4="C0",historico_VU!C7,IF($I$4="C1",historico_VU!D7,IF($I$4="C2",historico_VU!E7,IF($I$4="C3",historico_VU!F7,IF($I$4="C4",historico_VU!G7,""))))),2))</f>
        <v/>
      </c>
    </row>
    <row r="8" spans="1:18" x14ac:dyDescent="0.35">
      <c r="A8" s="81" t="str">
        <f>IF(itens_Remanesc!A8="","",itens_Remanesc!A8)</f>
        <v/>
      </c>
      <c r="B8" s="217" t="str">
        <f t="shared" ca="1" si="3"/>
        <v/>
      </c>
      <c r="C8" s="218" t="str">
        <f>IF(A8="","",IF($I$5="","POSICAO DE REFERENCIA INDISPONIVEL",ROUND(IF(itens_Remanesc!B8="",0,itens_Remanesc!B8)+SUMIFS(aditivos!$L$2:$L$200,aditivos!$A$2:$A$200,A8,aditivos!$B$2:$B$200,"&lt;="&amp;$I$5),2)))</f>
        <v/>
      </c>
      <c r="D8" s="218" t="str">
        <f>IF(A8="","",IF($I$4="","",IF($I$2,IF(ISNUMBER(B8),B8,""),IF($I$4="C0",posicao_contratual!G8,IF($I$4="C1",posicao_contratual!K8,IF($I$4="C2",posicao_contratual!O8,IF($I$4="C3",posicao_contratual!S8,IF($I$4="C4",posicao_contratual!W8,""))))))))</f>
        <v/>
      </c>
      <c r="E8" s="219" t="str">
        <f t="shared" si="0"/>
        <v/>
      </c>
      <c r="F8" s="81" t="str">
        <f>IF(A8="","",IF(COUNTIF($A$2:$A$200,A8)&gt;1,"ITEM DUPLICADO",IF($I$4="","POSICAO DE REFERENCIA INDISPONIVEL",IF(AND(B8&lt;&gt;"",NOT(ISNUMBER(B8))),"QTD NAO NUMERICA",IF(AND(ISNUMBER(B8),B8&lt;0),"NEGATIVO NAO PERMITIDO",IF(NOT(ISNUMBER(C8)),"POSICAO CONTRATUAL INDISPONIVEL",IF(OR(AND(posicao_contratual!$Y8&lt;&gt;"",posicao_contratual!$Y8&gt;IFERROR(VALUE(MID($I$4,2,1)),-1)),AND(posicao_contratual!$Z8,ISNUMBER(C8),C8&lt;=0)),"ITEM POSTERIOR A REFERENCIA",IF(D8="","REMANESCENTE DE REFERENCIA INDISPONIVEL",IF(AND(ISNUMBER(D8),ISNUMBER(C8),D8&gt;C8),"REMANESCENTE DE REFERENCIA SUPERA POSICAO CONTRATUAL","OK")))))))))</f>
        <v/>
      </c>
      <c r="H8" s="220" t="s">
        <v>219</v>
      </c>
      <c r="I8" s="221" t="str">
        <f ca="1">IF($I$4="","POSICAO DE REFERENCIA INDISPONIVEL",IF($I$2,"POSICAO FISICA INFORMADA - "&amp;(RIGHT("0"&amp;DAY($I$5),2)&amp;"/"&amp;RIGHT("0"&amp;MONTH($I$5),2)&amp;"/"&amp;YEAR($I$5)),IF($I$9&lt;&gt;"","POSICAO FISICA NAO UTILIZAVEL - UTILIZADA ABERTURA "&amp;$I$4,"ABERTURA DO CICLO "&amp;$I$4&amp;" - "&amp;(RIGHT("0"&amp;DAY($I$5),2)&amp;"/"&amp;RIGHT("0"&amp;MONTH($I$5),2)&amp;"/"&amp;YEAR($I$5)))))</f>
        <v>POSICAO FISICA INFORMADA - 31/12/2024</v>
      </c>
      <c r="K8" s="179" t="str">
        <f>IF(A8="","",itens_Remanesc!C8)</f>
        <v/>
      </c>
      <c r="L8" s="179" t="str">
        <f>IF(A8="","",IF($I$4="C0",posicao_contratual!G8,IF($I$4="C1",posicao_contratual!K8,IF($I$4="C2",posicao_contratual!O8,IF($I$4="C3",posicao_contratual!S8,IF($I$4="C4",posicao_contratual!W8,""))))))</f>
        <v/>
      </c>
      <c r="M8" s="179" t="str">
        <f ca="1">IF(OR(A8="",$I$5="",$I$6=""),"",ROUND(SUMIFS(aditivos!$L$2:$L$200,aditivos!$A$2:$A$200,A8,aditivos!$B$2:$B$200,"&gt;"&amp;$I$6,aditivos!$B$2:$B$200,"&lt;="&amp;$I$5),2))</f>
        <v/>
      </c>
      <c r="N8" s="179" t="str">
        <f t="shared" si="1"/>
        <v/>
      </c>
      <c r="O8" s="179" t="str">
        <f ca="1">IF(OR(A8="",D8="",NOT(ISNUMBER(IF($I$4="C0",historico_VU!C8,IF($I$4="C1",historico_VU!D8,IF($I$4="C2",historico_VU!E8,IF($I$4="C3",historico_VU!F8,IF($I$4="C4",historico_VU!G8,"")))))))),"",ROUND(D8*IF($I$4="C0",historico_VU!C8,IF($I$4="C1",historico_VU!D8,IF($I$4="C2",historico_VU!E8,IF($I$4="C3",historico_VU!F8,IF($I$4="C4",historico_VU!G8,""))))),2))</f>
        <v/>
      </c>
      <c r="P8" s="179" t="str">
        <f ca="1">IF(OR(A8="",N8="",NOT(ISNUMBER(IF($I$4="C0",historico_VU!C8,IF($I$4="C1",historico_VU!D8,IF($I$4="C2",historico_VU!E8,IF($I$4="C3",historico_VU!F8,IF($I$4="C4",historico_VU!G8,"")))))))),"",ROUND(N8*IF($I$4="C0",historico_VU!C8,IF($I$4="C1",historico_VU!D8,IF($I$4="C2",historico_VU!E8,IF($I$4="C3",historico_VU!F8,IF($I$4="C4",historico_VU!G8,""))))),2))</f>
        <v/>
      </c>
      <c r="Q8" s="179" t="str">
        <f t="shared" si="2"/>
        <v/>
      </c>
      <c r="R8" s="179" t="str">
        <f ca="1">IF(OR(A8="",L8="",NOT(ISNUMBER(IF($I$4="C0",historico_VU!C8,IF($I$4="C1",historico_VU!D8,IF($I$4="C2",historico_VU!E8,IF($I$4="C3",historico_VU!F8,IF($I$4="C4",historico_VU!G8,"")))))))),"",ROUND(L8*IF($I$4="C0",historico_VU!C8,IF($I$4="C1",historico_VU!D8,IF($I$4="C2",historico_VU!E8,IF($I$4="C3",historico_VU!F8,IF($I$4="C4",historico_VU!G8,""))))),2))</f>
        <v/>
      </c>
    </row>
    <row r="9" spans="1:18" x14ac:dyDescent="0.35">
      <c r="A9" s="81" t="str">
        <f>IF(itens_Remanesc!A9="","",itens_Remanesc!A9)</f>
        <v/>
      </c>
      <c r="B9" s="217" t="str">
        <f t="shared" ca="1" si="3"/>
        <v/>
      </c>
      <c r="C9" s="218" t="str">
        <f>IF(A9="","",IF($I$5="","POSICAO DE REFERENCIA INDISPONIVEL",ROUND(IF(itens_Remanesc!B9="",0,itens_Remanesc!B9)+SUMIFS(aditivos!$L$2:$L$200,aditivos!$A$2:$A$200,A9,aditivos!$B$2:$B$200,"&lt;="&amp;$I$5),2)))</f>
        <v/>
      </c>
      <c r="D9" s="218" t="str">
        <f>IF(A9="","",IF($I$4="","",IF($I$2,IF(ISNUMBER(B9),B9,""),IF($I$4="C0",posicao_contratual!G9,IF($I$4="C1",posicao_contratual!K9,IF($I$4="C2",posicao_contratual!O9,IF($I$4="C3",posicao_contratual!S9,IF($I$4="C4",posicao_contratual!W9,""))))))))</f>
        <v/>
      </c>
      <c r="E9" s="219" t="str">
        <f t="shared" si="0"/>
        <v/>
      </c>
      <c r="F9" s="81" t="str">
        <f>IF(A9="","",IF(COUNTIF($A$2:$A$200,A9)&gt;1,"ITEM DUPLICADO",IF($I$4="","POSICAO DE REFERENCIA INDISPONIVEL",IF(AND(B9&lt;&gt;"",NOT(ISNUMBER(B9))),"QTD NAO NUMERICA",IF(AND(ISNUMBER(B9),B9&lt;0),"NEGATIVO NAO PERMITIDO",IF(NOT(ISNUMBER(C9)),"POSICAO CONTRATUAL INDISPONIVEL",IF(OR(AND(posicao_contratual!$Y9&lt;&gt;"",posicao_contratual!$Y9&gt;IFERROR(VALUE(MID($I$4,2,1)),-1)),AND(posicao_contratual!$Z9,ISNUMBER(C9),C9&lt;=0)),"ITEM POSTERIOR A REFERENCIA",IF(D9="","REMANESCENTE DE REFERENCIA INDISPONIVEL",IF(AND(ISNUMBER(D9),ISNUMBER(C9),D9&gt;C9),"REMANESCENTE DE REFERENCIA SUPERA POSICAO CONTRATUAL","OK")))))))))</f>
        <v/>
      </c>
      <c r="H9" s="220" t="s">
        <v>220</v>
      </c>
      <c r="I9" s="222">
        <f ca="1">IFERROR(IF(INDIRECT("CICLO_EM_EXECUCAO!$D$5")="","",INDIRECT("CICLO_EM_EXECUCAO!$D$5")),"")</f>
        <v>45657</v>
      </c>
      <c r="K9" s="179" t="str">
        <f>IF(A9="","",itens_Remanesc!C9)</f>
        <v/>
      </c>
      <c r="L9" s="179" t="str">
        <f>IF(A9="","",IF($I$4="C0",posicao_contratual!G9,IF($I$4="C1",posicao_contratual!K9,IF($I$4="C2",posicao_contratual!O9,IF($I$4="C3",posicao_contratual!S9,IF($I$4="C4",posicao_contratual!W9,""))))))</f>
        <v/>
      </c>
      <c r="M9" s="179" t="str">
        <f ca="1">IF(OR(A9="",$I$5="",$I$6=""),"",ROUND(SUMIFS(aditivos!$L$2:$L$200,aditivos!$A$2:$A$200,A9,aditivos!$B$2:$B$200,"&gt;"&amp;$I$6,aditivos!$B$2:$B$200,"&lt;="&amp;$I$5),2))</f>
        <v/>
      </c>
      <c r="N9" s="179" t="str">
        <f t="shared" si="1"/>
        <v/>
      </c>
      <c r="O9" s="179" t="str">
        <f ca="1">IF(OR(A9="",D9="",NOT(ISNUMBER(IF($I$4="C0",historico_VU!C9,IF($I$4="C1",historico_VU!D9,IF($I$4="C2",historico_VU!E9,IF($I$4="C3",historico_VU!F9,IF($I$4="C4",historico_VU!G9,"")))))))),"",ROUND(D9*IF($I$4="C0",historico_VU!C9,IF($I$4="C1",historico_VU!D9,IF($I$4="C2",historico_VU!E9,IF($I$4="C3",historico_VU!F9,IF($I$4="C4",historico_VU!G9,""))))),2))</f>
        <v/>
      </c>
      <c r="P9" s="179" t="str">
        <f ca="1">IF(OR(A9="",N9="",NOT(ISNUMBER(IF($I$4="C0",historico_VU!C9,IF($I$4="C1",historico_VU!D9,IF($I$4="C2",historico_VU!E9,IF($I$4="C3",historico_VU!F9,IF($I$4="C4",historico_VU!G9,"")))))))),"",ROUND(N9*IF($I$4="C0",historico_VU!C9,IF($I$4="C1",historico_VU!D9,IF($I$4="C2",historico_VU!E9,IF($I$4="C3",historico_VU!F9,IF($I$4="C4",historico_VU!G9,""))))),2))</f>
        <v/>
      </c>
      <c r="Q9" s="179" t="str">
        <f t="shared" si="2"/>
        <v/>
      </c>
      <c r="R9" s="179" t="str">
        <f ca="1">IF(OR(A9="",L9="",NOT(ISNUMBER(IF($I$4="C0",historico_VU!C9,IF($I$4="C1",historico_VU!D9,IF($I$4="C2",historico_VU!E9,IF($I$4="C3",historico_VU!F9,IF($I$4="C4",historico_VU!G9,"")))))))),"",ROUND(L9*IF($I$4="C0",historico_VU!C9,IF($I$4="C1",historico_VU!D9,IF($I$4="C2",historico_VU!E9,IF($I$4="C3",historico_VU!F9,IF($I$4="C4",historico_VU!G9,""))))),2))</f>
        <v/>
      </c>
    </row>
    <row r="10" spans="1:18" x14ac:dyDescent="0.35">
      <c r="A10" s="81" t="str">
        <f>IF(itens_Remanesc!A10="","",itens_Remanesc!A10)</f>
        <v/>
      </c>
      <c r="B10" s="217" t="str">
        <f t="shared" ca="1" si="3"/>
        <v/>
      </c>
      <c r="C10" s="218" t="str">
        <f>IF(A10="","",IF($I$5="","POSICAO DE REFERENCIA INDISPONIVEL",ROUND(IF(itens_Remanesc!B10="",0,itens_Remanesc!B10)+SUMIFS(aditivos!$L$2:$L$200,aditivos!$A$2:$A$200,A10,aditivos!$B$2:$B$200,"&lt;="&amp;$I$5),2)))</f>
        <v/>
      </c>
      <c r="D10" s="218" t="str">
        <f>IF(A10="","",IF($I$4="","",IF($I$2,IF(ISNUMBER(B10),B10,""),IF($I$4="C0",posicao_contratual!G10,IF($I$4="C1",posicao_contratual!K10,IF($I$4="C2",posicao_contratual!O10,IF($I$4="C3",posicao_contratual!S10,IF($I$4="C4",posicao_contratual!W10,""))))))))</f>
        <v/>
      </c>
      <c r="E10" s="219" t="str">
        <f t="shared" si="0"/>
        <v/>
      </c>
      <c r="F10" s="81" t="str">
        <f>IF(A10="","",IF(COUNTIF($A$2:$A$200,A10)&gt;1,"ITEM DUPLICADO",IF($I$4="","POSICAO DE REFERENCIA INDISPONIVEL",IF(AND(B10&lt;&gt;"",NOT(ISNUMBER(B10))),"QTD NAO NUMERICA",IF(AND(ISNUMBER(B10),B10&lt;0),"NEGATIVO NAO PERMITIDO",IF(NOT(ISNUMBER(C10)),"POSICAO CONTRATUAL INDISPONIVEL",IF(OR(AND(posicao_contratual!$Y10&lt;&gt;"",posicao_contratual!$Y10&gt;IFERROR(VALUE(MID($I$4,2,1)),-1)),AND(posicao_contratual!$Z10,ISNUMBER(C10),C10&lt;=0)),"ITEM POSTERIOR A REFERENCIA",IF(D10="","REMANESCENTE DE REFERENCIA INDISPONIVEL",IF(AND(ISNUMBER(D10),ISNUMBER(C10),D10&gt;C10),"REMANESCENTE DE REFERENCIA SUPERA POSICAO CONTRATUAL","OK")))))))))</f>
        <v/>
      </c>
      <c r="H10" s="220" t="s">
        <v>221</v>
      </c>
      <c r="I10" s="221" t="str">
        <f ca="1">IF($I$9="","NAO INFORMADA",IF(NOT(ISNUMBER(CONTROLE!$B$3)),"REVISE",IF($I$9&gt;CONTROLE!$B$3,"REVISE",IF(IFERROR(INDIRECT("CICLO_EM_EXECUCAO!$A$9")="",TRUE),"INCOMPLETA",IF($I$9=CONTROLE!$B$3,"VALIDADO","ESTIMADO")))))</f>
        <v>VALIDADO</v>
      </c>
      <c r="K10" s="179" t="str">
        <f>IF(A10="","",itens_Remanesc!C10)</f>
        <v/>
      </c>
      <c r="L10" s="179" t="str">
        <f>IF(A10="","",IF($I$4="C0",posicao_contratual!G10,IF($I$4="C1",posicao_contratual!K10,IF($I$4="C2",posicao_contratual!O10,IF($I$4="C3",posicao_contratual!S10,IF($I$4="C4",posicao_contratual!W10,""))))))</f>
        <v/>
      </c>
      <c r="M10" s="179" t="str">
        <f ca="1">IF(OR(A10="",$I$5="",$I$6=""),"",ROUND(SUMIFS(aditivos!$L$2:$L$200,aditivos!$A$2:$A$200,A10,aditivos!$B$2:$B$200,"&gt;"&amp;$I$6,aditivos!$B$2:$B$200,"&lt;="&amp;$I$5),2))</f>
        <v/>
      </c>
      <c r="N10" s="179" t="str">
        <f t="shared" si="1"/>
        <v/>
      </c>
      <c r="O10" s="179" t="str">
        <f ca="1">IF(OR(A10="",D10="",NOT(ISNUMBER(IF($I$4="C0",historico_VU!C10,IF($I$4="C1",historico_VU!D10,IF($I$4="C2",historico_VU!E10,IF($I$4="C3",historico_VU!F10,IF($I$4="C4",historico_VU!G10,"")))))))),"",ROUND(D10*IF($I$4="C0",historico_VU!C10,IF($I$4="C1",historico_VU!D10,IF($I$4="C2",historico_VU!E10,IF($I$4="C3",historico_VU!F10,IF($I$4="C4",historico_VU!G10,""))))),2))</f>
        <v/>
      </c>
      <c r="P10" s="179" t="str">
        <f ca="1">IF(OR(A10="",N10="",NOT(ISNUMBER(IF($I$4="C0",historico_VU!C10,IF($I$4="C1",historico_VU!D10,IF($I$4="C2",historico_VU!E10,IF($I$4="C3",historico_VU!F10,IF($I$4="C4",historico_VU!G10,"")))))))),"",ROUND(N10*IF($I$4="C0",historico_VU!C10,IF($I$4="C1",historico_VU!D10,IF($I$4="C2",historico_VU!E10,IF($I$4="C3",historico_VU!F10,IF($I$4="C4",historico_VU!G10,""))))),2))</f>
        <v/>
      </c>
      <c r="Q10" s="179" t="str">
        <f t="shared" si="2"/>
        <v/>
      </c>
      <c r="R10" s="179" t="str">
        <f ca="1">IF(OR(A10="",L10="",NOT(ISNUMBER(IF($I$4="C0",historico_VU!C10,IF($I$4="C1",historico_VU!D10,IF($I$4="C2",historico_VU!E10,IF($I$4="C3",historico_VU!F10,IF($I$4="C4",historico_VU!G10,"")))))))),"",ROUND(L10*IF($I$4="C0",historico_VU!C10,IF($I$4="C1",historico_VU!D10,IF($I$4="C2",historico_VU!E10,IF($I$4="C3",historico_VU!F10,IF($I$4="C4",historico_VU!G10,""))))),2))</f>
        <v/>
      </c>
    </row>
    <row r="11" spans="1:18" x14ac:dyDescent="0.35">
      <c r="A11" s="81" t="str">
        <f>IF(itens_Remanesc!A11="","",itens_Remanesc!A11)</f>
        <v/>
      </c>
      <c r="B11" s="217" t="str">
        <f t="shared" ca="1" si="3"/>
        <v/>
      </c>
      <c r="C11" s="218" t="str">
        <f>IF(A11="","",IF($I$5="","POSICAO DE REFERENCIA INDISPONIVEL",ROUND(IF(itens_Remanesc!B11="",0,itens_Remanesc!B11)+SUMIFS(aditivos!$L$2:$L$200,aditivos!$A$2:$A$200,A11,aditivos!$B$2:$B$200,"&lt;="&amp;$I$5),2)))</f>
        <v/>
      </c>
      <c r="D11" s="218" t="str">
        <f>IF(A11="","",IF($I$4="","",IF($I$2,IF(ISNUMBER(B11),B11,""),IF($I$4="C0",posicao_contratual!G11,IF($I$4="C1",posicao_contratual!K11,IF($I$4="C2",posicao_contratual!O11,IF($I$4="C3",posicao_contratual!S11,IF($I$4="C4",posicao_contratual!W11,""))))))))</f>
        <v/>
      </c>
      <c r="E11" s="219" t="str">
        <f t="shared" si="0"/>
        <v/>
      </c>
      <c r="F11" s="81" t="str">
        <f>IF(A11="","",IF(COUNTIF($A$2:$A$200,A11)&gt;1,"ITEM DUPLICADO",IF($I$4="","POSICAO DE REFERENCIA INDISPONIVEL",IF(AND(B11&lt;&gt;"",NOT(ISNUMBER(B11))),"QTD NAO NUMERICA",IF(AND(ISNUMBER(B11),B11&lt;0),"NEGATIVO NAO PERMITIDO",IF(NOT(ISNUMBER(C11)),"POSICAO CONTRATUAL INDISPONIVEL",IF(OR(AND(posicao_contratual!$Y11&lt;&gt;"",posicao_contratual!$Y11&gt;IFERROR(VALUE(MID($I$4,2,1)),-1)),AND(posicao_contratual!$Z11,ISNUMBER(C11),C11&lt;=0)),"ITEM POSTERIOR A REFERENCIA",IF(D11="","REMANESCENTE DE REFERENCIA INDISPONIVEL",IF(AND(ISNUMBER(D11),ISNUMBER(C11),D11&gt;C11),"REMANESCENTE DE REFERENCIA SUPERA POSICAO CONTRATUAL","OK")))))))))</f>
        <v/>
      </c>
      <c r="H11" s="224" t="s">
        <v>222</v>
      </c>
      <c r="I11" s="225" t="str">
        <f ca="1">IF($I$9="","POSICAO FISICA NAO INFORMADA EM CICLO_EM_EXECUCAO.",IF(NOT(ISNUMBER(CONTROLE!$B$3)),"DATA DE CORTE DA APURACAO NAO INFORMADA.",IF($I$9&gt;CONTROLE!$B$3,"POSICAO FISICA POSTERIOR A DATA DE CORTE.",IF($I$10="INCOMPLETA","POSICAO FISICA INCOMPLETA - QUANTIDADES PENDENTES EM CICLO_EM_EXECUCAO.",IF($I$10="VALIDADO","POSICAO FISICA NA DATA DE CORTE.","POSICAO FISICA ANTERIOR A DATA DE CORTE - UTILIZADA A DATA DE "&amp;(RIGHT("0"&amp;DAY($I$9),2)&amp;"/"&amp;RIGHT("0"&amp;MONTH($I$9),2)&amp;"/"&amp;YEAR($I$9))&amp;".")))))</f>
        <v>POSICAO FISICA NA DATA DE CORTE.</v>
      </c>
      <c r="K11" s="179" t="str">
        <f>IF(A11="","",itens_Remanesc!C11)</f>
        <v/>
      </c>
      <c r="L11" s="179" t="str">
        <f>IF(A11="","",IF($I$4="C0",posicao_contratual!G11,IF($I$4="C1",posicao_contratual!K11,IF($I$4="C2",posicao_contratual!O11,IF($I$4="C3",posicao_contratual!S11,IF($I$4="C4",posicao_contratual!W11,""))))))</f>
        <v/>
      </c>
      <c r="M11" s="179" t="str">
        <f ca="1">IF(OR(A11="",$I$5="",$I$6=""),"",ROUND(SUMIFS(aditivos!$L$2:$L$200,aditivos!$A$2:$A$200,A11,aditivos!$B$2:$B$200,"&gt;"&amp;$I$6,aditivos!$B$2:$B$200,"&lt;="&amp;$I$5),2))</f>
        <v/>
      </c>
      <c r="N11" s="179" t="str">
        <f t="shared" si="1"/>
        <v/>
      </c>
      <c r="O11" s="179" t="str">
        <f ca="1">IF(OR(A11="",D11="",NOT(ISNUMBER(IF($I$4="C0",historico_VU!C11,IF($I$4="C1",historico_VU!D11,IF($I$4="C2",historico_VU!E11,IF($I$4="C3",historico_VU!F11,IF($I$4="C4",historico_VU!G11,"")))))))),"",ROUND(D11*IF($I$4="C0",historico_VU!C11,IF($I$4="C1",historico_VU!D11,IF($I$4="C2",historico_VU!E11,IF($I$4="C3",historico_VU!F11,IF($I$4="C4",historico_VU!G11,""))))),2))</f>
        <v/>
      </c>
      <c r="P11" s="179" t="str">
        <f ca="1">IF(OR(A11="",N11="",NOT(ISNUMBER(IF($I$4="C0",historico_VU!C11,IF($I$4="C1",historico_VU!D11,IF($I$4="C2",historico_VU!E11,IF($I$4="C3",historico_VU!F11,IF($I$4="C4",historico_VU!G11,"")))))))),"",ROUND(N11*IF($I$4="C0",historico_VU!C11,IF($I$4="C1",historico_VU!D11,IF($I$4="C2",historico_VU!E11,IF($I$4="C3",historico_VU!F11,IF($I$4="C4",historico_VU!G11,""))))),2))</f>
        <v/>
      </c>
      <c r="Q11" s="179" t="str">
        <f t="shared" si="2"/>
        <v/>
      </c>
      <c r="R11" s="179" t="str">
        <f ca="1">IF(OR(A11="",L11="",NOT(ISNUMBER(IF($I$4="C0",historico_VU!C11,IF($I$4="C1",historico_VU!D11,IF($I$4="C2",historico_VU!E11,IF($I$4="C3",historico_VU!F11,IF($I$4="C4",historico_VU!G11,"")))))))),"",ROUND(L11*IF($I$4="C0",historico_VU!C11,IF($I$4="C1",historico_VU!D11,IF($I$4="C2",historico_VU!E11,IF($I$4="C3",historico_VU!F11,IF($I$4="C4",historico_VU!G11,""))))),2))</f>
        <v/>
      </c>
    </row>
    <row r="12" spans="1:18" x14ac:dyDescent="0.35">
      <c r="A12" s="81" t="str">
        <f>IF(itens_Remanesc!A12="","",itens_Remanesc!A12)</f>
        <v/>
      </c>
      <c r="B12" s="217" t="str">
        <f t="shared" ca="1" si="3"/>
        <v/>
      </c>
      <c r="C12" s="218" t="str">
        <f>IF(A12="","",IF($I$5="","POSICAO DE REFERENCIA INDISPONIVEL",ROUND(IF(itens_Remanesc!B12="",0,itens_Remanesc!B12)+SUMIFS(aditivos!$L$2:$L$200,aditivos!$A$2:$A$200,A12,aditivos!$B$2:$B$200,"&lt;="&amp;$I$5),2)))</f>
        <v/>
      </c>
      <c r="D12" s="218" t="str">
        <f>IF(A12="","",IF($I$4="","",IF($I$2,IF(ISNUMBER(B12),B12,""),IF($I$4="C0",posicao_contratual!G12,IF($I$4="C1",posicao_contratual!K12,IF($I$4="C2",posicao_contratual!O12,IF($I$4="C3",posicao_contratual!S12,IF($I$4="C4",posicao_contratual!W12,""))))))))</f>
        <v/>
      </c>
      <c r="E12" s="219" t="str">
        <f t="shared" si="0"/>
        <v/>
      </c>
      <c r="F12" s="81" t="str">
        <f>IF(A12="","",IF(COUNTIF($A$2:$A$200,A12)&gt;1,"ITEM DUPLICADO",IF($I$4="","POSICAO DE REFERENCIA INDISPONIVEL",IF(AND(B12&lt;&gt;"",NOT(ISNUMBER(B12))),"QTD NAO NUMERICA",IF(AND(ISNUMBER(B12),B12&lt;0),"NEGATIVO NAO PERMITIDO",IF(NOT(ISNUMBER(C12)),"POSICAO CONTRATUAL INDISPONIVEL",IF(OR(AND(posicao_contratual!$Y12&lt;&gt;"",posicao_contratual!$Y12&gt;IFERROR(VALUE(MID($I$4,2,1)),-1)),AND(posicao_contratual!$Z12,ISNUMBER(C12),C12&lt;=0)),"ITEM POSTERIOR A REFERENCIA",IF(D12="","REMANESCENTE DE REFERENCIA INDISPONIVEL",IF(AND(ISNUMBER(D12),ISNUMBER(C12),D12&gt;C12),"REMANESCENTE DE REFERENCIA SUPERA POSICAO CONTRATUAL","OK")))))))))</f>
        <v/>
      </c>
      <c r="I12" s="226"/>
      <c r="K12" s="179" t="str">
        <f>IF(A12="","",itens_Remanesc!C12)</f>
        <v/>
      </c>
      <c r="L12" s="179" t="str">
        <f>IF(A12="","",IF($I$4="C0",posicao_contratual!G12,IF($I$4="C1",posicao_contratual!K12,IF($I$4="C2",posicao_contratual!O12,IF($I$4="C3",posicao_contratual!S12,IF($I$4="C4",posicao_contratual!W12,""))))))</f>
        <v/>
      </c>
      <c r="M12" s="179" t="str">
        <f ca="1">IF(OR(A12="",$I$5="",$I$6=""),"",ROUND(SUMIFS(aditivos!$L$2:$L$200,aditivos!$A$2:$A$200,A12,aditivos!$B$2:$B$200,"&gt;"&amp;$I$6,aditivos!$B$2:$B$200,"&lt;="&amp;$I$5),2))</f>
        <v/>
      </c>
      <c r="N12" s="179" t="str">
        <f t="shared" si="1"/>
        <v/>
      </c>
      <c r="O12" s="179" t="str">
        <f ca="1">IF(OR(A12="",D12="",NOT(ISNUMBER(IF($I$4="C0",historico_VU!C12,IF($I$4="C1",historico_VU!D12,IF($I$4="C2",historico_VU!E12,IF($I$4="C3",historico_VU!F12,IF($I$4="C4",historico_VU!G12,"")))))))),"",ROUND(D12*IF($I$4="C0",historico_VU!C12,IF($I$4="C1",historico_VU!D12,IF($I$4="C2",historico_VU!E12,IF($I$4="C3",historico_VU!F12,IF($I$4="C4",historico_VU!G12,""))))),2))</f>
        <v/>
      </c>
      <c r="P12" s="179" t="str">
        <f ca="1">IF(OR(A12="",N12="",NOT(ISNUMBER(IF($I$4="C0",historico_VU!C12,IF($I$4="C1",historico_VU!D12,IF($I$4="C2",historico_VU!E12,IF($I$4="C3",historico_VU!F12,IF($I$4="C4",historico_VU!G12,"")))))))),"",ROUND(N12*IF($I$4="C0",historico_VU!C12,IF($I$4="C1",historico_VU!D12,IF($I$4="C2",historico_VU!E12,IF($I$4="C3",historico_VU!F12,IF($I$4="C4",historico_VU!G12,""))))),2))</f>
        <v/>
      </c>
      <c r="Q12" s="179" t="str">
        <f t="shared" si="2"/>
        <v/>
      </c>
      <c r="R12" s="179" t="str">
        <f ca="1">IF(OR(A12="",L12="",NOT(ISNUMBER(IF($I$4="C0",historico_VU!C12,IF($I$4="C1",historico_VU!D12,IF($I$4="C2",historico_VU!E12,IF($I$4="C3",historico_VU!F12,IF($I$4="C4",historico_VU!G12,"")))))))),"",ROUND(L12*IF($I$4="C0",historico_VU!C12,IF($I$4="C1",historico_VU!D12,IF($I$4="C2",historico_VU!E12,IF($I$4="C3",historico_VU!F12,IF($I$4="C4",historico_VU!G12,""))))),2))</f>
        <v/>
      </c>
    </row>
    <row r="13" spans="1:18" x14ac:dyDescent="0.35">
      <c r="A13" s="81" t="str">
        <f>IF(itens_Remanesc!A13="","",itens_Remanesc!A13)</f>
        <v/>
      </c>
      <c r="B13" s="217" t="str">
        <f t="shared" ca="1" si="3"/>
        <v/>
      </c>
      <c r="C13" s="218" t="str">
        <f>IF(A13="","",IF($I$5="","POSICAO DE REFERENCIA INDISPONIVEL",ROUND(IF(itens_Remanesc!B13="",0,itens_Remanesc!B13)+SUMIFS(aditivos!$L$2:$L$200,aditivos!$A$2:$A$200,A13,aditivos!$B$2:$B$200,"&lt;="&amp;$I$5),2)))</f>
        <v/>
      </c>
      <c r="D13" s="218" t="str">
        <f>IF(A13="","",IF($I$4="","",IF($I$2,IF(ISNUMBER(B13),B13,""),IF($I$4="C0",posicao_contratual!G13,IF($I$4="C1",posicao_contratual!K13,IF($I$4="C2",posicao_contratual!O13,IF($I$4="C3",posicao_contratual!S13,IF($I$4="C4",posicao_contratual!W13,""))))))))</f>
        <v/>
      </c>
      <c r="E13" s="219" t="str">
        <f t="shared" si="0"/>
        <v/>
      </c>
      <c r="F13" s="81" t="str">
        <f>IF(A13="","",IF(COUNTIF($A$2:$A$200,A13)&gt;1,"ITEM DUPLICADO",IF($I$4="","POSICAO DE REFERENCIA INDISPONIVEL",IF(AND(B13&lt;&gt;"",NOT(ISNUMBER(B13))),"QTD NAO NUMERICA",IF(AND(ISNUMBER(B13),B13&lt;0),"NEGATIVO NAO PERMITIDO",IF(NOT(ISNUMBER(C13)),"POSICAO CONTRATUAL INDISPONIVEL",IF(OR(AND(posicao_contratual!$Y13&lt;&gt;"",posicao_contratual!$Y13&gt;IFERROR(VALUE(MID($I$4,2,1)),-1)),AND(posicao_contratual!$Z13,ISNUMBER(C13),C13&lt;=0)),"ITEM POSTERIOR A REFERENCIA",IF(D13="","REMANESCENTE DE REFERENCIA INDISPONIVEL",IF(AND(ISNUMBER(D13),ISNUMBER(C13),D13&gt;C13),"REMANESCENTE DE REFERENCIA SUPERA POSICAO CONTRATUAL","OK")))))))))</f>
        <v/>
      </c>
      <c r="I13" s="226"/>
      <c r="K13" s="179" t="str">
        <f>IF(A13="","",itens_Remanesc!C13)</f>
        <v/>
      </c>
      <c r="L13" s="179" t="str">
        <f>IF(A13="","",IF($I$4="C0",posicao_contratual!G13,IF($I$4="C1",posicao_contratual!K13,IF($I$4="C2",posicao_contratual!O13,IF($I$4="C3",posicao_contratual!S13,IF($I$4="C4",posicao_contratual!W13,""))))))</f>
        <v/>
      </c>
      <c r="M13" s="179" t="str">
        <f ca="1">IF(OR(A13="",$I$5="",$I$6=""),"",ROUND(SUMIFS(aditivos!$L$2:$L$200,aditivos!$A$2:$A$200,A13,aditivos!$B$2:$B$200,"&gt;"&amp;$I$6,aditivos!$B$2:$B$200,"&lt;="&amp;$I$5),2))</f>
        <v/>
      </c>
      <c r="N13" s="179" t="str">
        <f t="shared" si="1"/>
        <v/>
      </c>
      <c r="O13" s="179" t="str">
        <f ca="1">IF(OR(A13="",D13="",NOT(ISNUMBER(IF($I$4="C0",historico_VU!C13,IF($I$4="C1",historico_VU!D13,IF($I$4="C2",historico_VU!E13,IF($I$4="C3",historico_VU!F13,IF($I$4="C4",historico_VU!G13,"")))))))),"",ROUND(D13*IF($I$4="C0",historico_VU!C13,IF($I$4="C1",historico_VU!D13,IF($I$4="C2",historico_VU!E13,IF($I$4="C3",historico_VU!F13,IF($I$4="C4",historico_VU!G13,""))))),2))</f>
        <v/>
      </c>
      <c r="P13" s="179" t="str">
        <f ca="1">IF(OR(A13="",N13="",NOT(ISNUMBER(IF($I$4="C0",historico_VU!C13,IF($I$4="C1",historico_VU!D13,IF($I$4="C2",historico_VU!E13,IF($I$4="C3",historico_VU!F13,IF($I$4="C4",historico_VU!G13,"")))))))),"",ROUND(N13*IF($I$4="C0",historico_VU!C13,IF($I$4="C1",historico_VU!D13,IF($I$4="C2",historico_VU!E13,IF($I$4="C3",historico_VU!F13,IF($I$4="C4",historico_VU!G13,""))))),2))</f>
        <v/>
      </c>
      <c r="Q13" s="179" t="str">
        <f t="shared" si="2"/>
        <v/>
      </c>
      <c r="R13" s="179" t="str">
        <f ca="1">IF(OR(A13="",L13="",NOT(ISNUMBER(IF($I$4="C0",historico_VU!C13,IF($I$4="C1",historico_VU!D13,IF($I$4="C2",historico_VU!E13,IF($I$4="C3",historico_VU!F13,IF($I$4="C4",historico_VU!G13,"")))))))),"",ROUND(L13*IF($I$4="C0",historico_VU!C13,IF($I$4="C1",historico_VU!D13,IF($I$4="C2",historico_VU!E13,IF($I$4="C3",historico_VU!F13,IF($I$4="C4",historico_VU!G13,""))))),2))</f>
        <v/>
      </c>
    </row>
    <row r="14" spans="1:18" x14ac:dyDescent="0.35">
      <c r="A14" s="81" t="str">
        <f>IF(itens_Remanesc!A14="","",itens_Remanesc!A14)</f>
        <v/>
      </c>
      <c r="B14" s="217" t="str">
        <f t="shared" ca="1" si="3"/>
        <v/>
      </c>
      <c r="C14" s="218" t="str">
        <f>IF(A14="","",IF($I$5="","POSICAO DE REFERENCIA INDISPONIVEL",ROUND(IF(itens_Remanesc!B14="",0,itens_Remanesc!B14)+SUMIFS(aditivos!$L$2:$L$200,aditivos!$A$2:$A$200,A14,aditivos!$B$2:$B$200,"&lt;="&amp;$I$5),2)))</f>
        <v/>
      </c>
      <c r="D14" s="218" t="str">
        <f>IF(A14="","",IF($I$4="","",IF($I$2,IF(ISNUMBER(B14),B14,""),IF($I$4="C0",posicao_contratual!G14,IF($I$4="C1",posicao_contratual!K14,IF($I$4="C2",posicao_contratual!O14,IF($I$4="C3",posicao_contratual!S14,IF($I$4="C4",posicao_contratual!W14,""))))))))</f>
        <v/>
      </c>
      <c r="E14" s="219" t="str">
        <f t="shared" si="0"/>
        <v/>
      </c>
      <c r="F14" s="81" t="str">
        <f>IF(A14="","",IF(COUNTIF($A$2:$A$200,A14)&gt;1,"ITEM DUPLICADO",IF($I$4="","POSICAO DE REFERENCIA INDISPONIVEL",IF(AND(B14&lt;&gt;"",NOT(ISNUMBER(B14))),"QTD NAO NUMERICA",IF(AND(ISNUMBER(B14),B14&lt;0),"NEGATIVO NAO PERMITIDO",IF(NOT(ISNUMBER(C14)),"POSICAO CONTRATUAL INDISPONIVEL",IF(OR(AND(posicao_contratual!$Y14&lt;&gt;"",posicao_contratual!$Y14&gt;IFERROR(VALUE(MID($I$4,2,1)),-1)),AND(posicao_contratual!$Z14,ISNUMBER(C14),C14&lt;=0)),"ITEM POSTERIOR A REFERENCIA",IF(D14="","REMANESCENTE DE REFERENCIA INDISPONIVEL",IF(AND(ISNUMBER(D14),ISNUMBER(C14),D14&gt;C14),"REMANESCENTE DE REFERENCIA SUPERA POSICAO CONTRATUAL","OK")))))))))</f>
        <v/>
      </c>
      <c r="I14" s="226"/>
      <c r="K14" s="179" t="str">
        <f>IF(A14="","",itens_Remanesc!C14)</f>
        <v/>
      </c>
      <c r="L14" s="179" t="str">
        <f>IF(A14="","",IF($I$4="C0",posicao_contratual!G14,IF($I$4="C1",posicao_contratual!K14,IF($I$4="C2",posicao_contratual!O14,IF($I$4="C3",posicao_contratual!S14,IF($I$4="C4",posicao_contratual!W14,""))))))</f>
        <v/>
      </c>
      <c r="M14" s="179" t="str">
        <f ca="1">IF(OR(A14="",$I$5="",$I$6=""),"",ROUND(SUMIFS(aditivos!$L$2:$L$200,aditivos!$A$2:$A$200,A14,aditivos!$B$2:$B$200,"&gt;"&amp;$I$6,aditivos!$B$2:$B$200,"&lt;="&amp;$I$5),2))</f>
        <v/>
      </c>
      <c r="N14" s="179" t="str">
        <f t="shared" si="1"/>
        <v/>
      </c>
      <c r="O14" s="179" t="str">
        <f ca="1">IF(OR(A14="",D14="",NOT(ISNUMBER(IF($I$4="C0",historico_VU!C14,IF($I$4="C1",historico_VU!D14,IF($I$4="C2",historico_VU!E14,IF($I$4="C3",historico_VU!F14,IF($I$4="C4",historico_VU!G14,"")))))))),"",ROUND(D14*IF($I$4="C0",historico_VU!C14,IF($I$4="C1",historico_VU!D14,IF($I$4="C2",historico_VU!E14,IF($I$4="C3",historico_VU!F14,IF($I$4="C4",historico_VU!G14,""))))),2))</f>
        <v/>
      </c>
      <c r="P14" s="179" t="str">
        <f ca="1">IF(OR(A14="",N14="",NOT(ISNUMBER(IF($I$4="C0",historico_VU!C14,IF($I$4="C1",historico_VU!D14,IF($I$4="C2",historico_VU!E14,IF($I$4="C3",historico_VU!F14,IF($I$4="C4",historico_VU!G14,"")))))))),"",ROUND(N14*IF($I$4="C0",historico_VU!C14,IF($I$4="C1",historico_VU!D14,IF($I$4="C2",historico_VU!E14,IF($I$4="C3",historico_VU!F14,IF($I$4="C4",historico_VU!G14,""))))),2))</f>
        <v/>
      </c>
      <c r="Q14" s="179" t="str">
        <f t="shared" si="2"/>
        <v/>
      </c>
      <c r="R14" s="179" t="str">
        <f ca="1">IF(OR(A14="",L14="",NOT(ISNUMBER(IF($I$4="C0",historico_VU!C14,IF($I$4="C1",historico_VU!D14,IF($I$4="C2",historico_VU!E14,IF($I$4="C3",historico_VU!F14,IF($I$4="C4",historico_VU!G14,"")))))))),"",ROUND(L14*IF($I$4="C0",historico_VU!C14,IF($I$4="C1",historico_VU!D14,IF($I$4="C2",historico_VU!E14,IF($I$4="C3",historico_VU!F14,IF($I$4="C4",historico_VU!G14,""))))),2))</f>
        <v/>
      </c>
    </row>
    <row r="15" spans="1:18" x14ac:dyDescent="0.35">
      <c r="A15" s="81" t="str">
        <f>IF(itens_Remanesc!A15="","",itens_Remanesc!A15)</f>
        <v/>
      </c>
      <c r="B15" s="217" t="str">
        <f t="shared" ca="1" si="3"/>
        <v/>
      </c>
      <c r="C15" s="218" t="str">
        <f>IF(A15="","",IF($I$5="","POSICAO DE REFERENCIA INDISPONIVEL",ROUND(IF(itens_Remanesc!B15="",0,itens_Remanesc!B15)+SUMIFS(aditivos!$L$2:$L$200,aditivos!$A$2:$A$200,A15,aditivos!$B$2:$B$200,"&lt;="&amp;$I$5),2)))</f>
        <v/>
      </c>
      <c r="D15" s="218" t="str">
        <f>IF(A15="","",IF($I$4="","",IF($I$2,IF(ISNUMBER(B15),B15,""),IF($I$4="C0",posicao_contratual!G15,IF($I$4="C1",posicao_contratual!K15,IF($I$4="C2",posicao_contratual!O15,IF($I$4="C3",posicao_contratual!S15,IF($I$4="C4",posicao_contratual!W15,""))))))))</f>
        <v/>
      </c>
      <c r="E15" s="219" t="str">
        <f t="shared" si="0"/>
        <v/>
      </c>
      <c r="F15" s="81" t="str">
        <f>IF(A15="","",IF(COUNTIF($A$2:$A$200,A15)&gt;1,"ITEM DUPLICADO",IF($I$4="","POSICAO DE REFERENCIA INDISPONIVEL",IF(AND(B15&lt;&gt;"",NOT(ISNUMBER(B15))),"QTD NAO NUMERICA",IF(AND(ISNUMBER(B15),B15&lt;0),"NEGATIVO NAO PERMITIDO",IF(NOT(ISNUMBER(C15)),"POSICAO CONTRATUAL INDISPONIVEL",IF(OR(AND(posicao_contratual!$Y15&lt;&gt;"",posicao_contratual!$Y15&gt;IFERROR(VALUE(MID($I$4,2,1)),-1)),AND(posicao_contratual!$Z15,ISNUMBER(C15),C15&lt;=0)),"ITEM POSTERIOR A REFERENCIA",IF(D15="","REMANESCENTE DE REFERENCIA INDISPONIVEL",IF(AND(ISNUMBER(D15),ISNUMBER(C15),D15&gt;C15),"REMANESCENTE DE REFERENCIA SUPERA POSICAO CONTRATUAL","OK")))))))))</f>
        <v/>
      </c>
      <c r="I15" s="226"/>
      <c r="K15" s="179" t="str">
        <f>IF(A15="","",itens_Remanesc!C15)</f>
        <v/>
      </c>
      <c r="L15" s="179" t="str">
        <f>IF(A15="","",IF($I$4="C0",posicao_contratual!G15,IF($I$4="C1",posicao_contratual!K15,IF($I$4="C2",posicao_contratual!O15,IF($I$4="C3",posicao_contratual!S15,IF($I$4="C4",posicao_contratual!W15,""))))))</f>
        <v/>
      </c>
      <c r="M15" s="179" t="str">
        <f ca="1">IF(OR(A15="",$I$5="",$I$6=""),"",ROUND(SUMIFS(aditivos!$L$2:$L$200,aditivos!$A$2:$A$200,A15,aditivos!$B$2:$B$200,"&gt;"&amp;$I$6,aditivos!$B$2:$B$200,"&lt;="&amp;$I$5),2))</f>
        <v/>
      </c>
      <c r="N15" s="179" t="str">
        <f t="shared" si="1"/>
        <v/>
      </c>
      <c r="O15" s="179" t="str">
        <f ca="1">IF(OR(A15="",D15="",NOT(ISNUMBER(IF($I$4="C0",historico_VU!C15,IF($I$4="C1",historico_VU!D15,IF($I$4="C2",historico_VU!E15,IF($I$4="C3",historico_VU!F15,IF($I$4="C4",historico_VU!G15,"")))))))),"",ROUND(D15*IF($I$4="C0",historico_VU!C15,IF($I$4="C1",historico_VU!D15,IF($I$4="C2",historico_VU!E15,IF($I$4="C3",historico_VU!F15,IF($I$4="C4",historico_VU!G15,""))))),2))</f>
        <v/>
      </c>
      <c r="P15" s="179" t="str">
        <f ca="1">IF(OR(A15="",N15="",NOT(ISNUMBER(IF($I$4="C0",historico_VU!C15,IF($I$4="C1",historico_VU!D15,IF($I$4="C2",historico_VU!E15,IF($I$4="C3",historico_VU!F15,IF($I$4="C4",historico_VU!G15,"")))))))),"",ROUND(N15*IF($I$4="C0",historico_VU!C15,IF($I$4="C1",historico_VU!D15,IF($I$4="C2",historico_VU!E15,IF($I$4="C3",historico_VU!F15,IF($I$4="C4",historico_VU!G15,""))))),2))</f>
        <v/>
      </c>
      <c r="Q15" s="179" t="str">
        <f t="shared" si="2"/>
        <v/>
      </c>
      <c r="R15" s="179" t="str">
        <f ca="1">IF(OR(A15="",L15="",NOT(ISNUMBER(IF($I$4="C0",historico_VU!C15,IF($I$4="C1",historico_VU!D15,IF($I$4="C2",historico_VU!E15,IF($I$4="C3",historico_VU!F15,IF($I$4="C4",historico_VU!G15,"")))))))),"",ROUND(L15*IF($I$4="C0",historico_VU!C15,IF($I$4="C1",historico_VU!D15,IF($I$4="C2",historico_VU!E15,IF($I$4="C3",historico_VU!F15,IF($I$4="C4",historico_VU!G15,""))))),2))</f>
        <v/>
      </c>
    </row>
    <row r="16" spans="1:18" x14ac:dyDescent="0.35">
      <c r="A16" s="81" t="str">
        <f>IF(itens_Remanesc!A16="","",itens_Remanesc!A16)</f>
        <v/>
      </c>
      <c r="B16" s="217" t="str">
        <f t="shared" ca="1" si="3"/>
        <v/>
      </c>
      <c r="C16" s="218" t="str">
        <f>IF(A16="","",IF($I$5="","POSICAO DE REFERENCIA INDISPONIVEL",ROUND(IF(itens_Remanesc!B16="",0,itens_Remanesc!B16)+SUMIFS(aditivos!$L$2:$L$200,aditivos!$A$2:$A$200,A16,aditivos!$B$2:$B$200,"&lt;="&amp;$I$5),2)))</f>
        <v/>
      </c>
      <c r="D16" s="218" t="str">
        <f>IF(A16="","",IF($I$4="","",IF($I$2,IF(ISNUMBER(B16),B16,""),IF($I$4="C0",posicao_contratual!G16,IF($I$4="C1",posicao_contratual!K16,IF($I$4="C2",posicao_contratual!O16,IF($I$4="C3",posicao_contratual!S16,IF($I$4="C4",posicao_contratual!W16,""))))))))</f>
        <v/>
      </c>
      <c r="E16" s="219" t="str">
        <f t="shared" si="0"/>
        <v/>
      </c>
      <c r="F16" s="81" t="str">
        <f>IF(A16="","",IF(COUNTIF($A$2:$A$200,A16)&gt;1,"ITEM DUPLICADO",IF($I$4="","POSICAO DE REFERENCIA INDISPONIVEL",IF(AND(B16&lt;&gt;"",NOT(ISNUMBER(B16))),"QTD NAO NUMERICA",IF(AND(ISNUMBER(B16),B16&lt;0),"NEGATIVO NAO PERMITIDO",IF(NOT(ISNUMBER(C16)),"POSICAO CONTRATUAL INDISPONIVEL",IF(OR(AND(posicao_contratual!$Y16&lt;&gt;"",posicao_contratual!$Y16&gt;IFERROR(VALUE(MID($I$4,2,1)),-1)),AND(posicao_contratual!$Z16,ISNUMBER(C16),C16&lt;=0)),"ITEM POSTERIOR A REFERENCIA",IF(D16="","REMANESCENTE DE REFERENCIA INDISPONIVEL",IF(AND(ISNUMBER(D16),ISNUMBER(C16),D16&gt;C16),"REMANESCENTE DE REFERENCIA SUPERA POSICAO CONTRATUAL","OK")))))))))</f>
        <v/>
      </c>
      <c r="I16" s="226"/>
      <c r="K16" s="179" t="str">
        <f>IF(A16="","",itens_Remanesc!C16)</f>
        <v/>
      </c>
      <c r="L16" s="179" t="str">
        <f>IF(A16="","",IF($I$4="C0",posicao_contratual!G16,IF($I$4="C1",posicao_contratual!K16,IF($I$4="C2",posicao_contratual!O16,IF($I$4="C3",posicao_contratual!S16,IF($I$4="C4",posicao_contratual!W16,""))))))</f>
        <v/>
      </c>
      <c r="M16" s="179" t="str">
        <f ca="1">IF(OR(A16="",$I$5="",$I$6=""),"",ROUND(SUMIFS(aditivos!$L$2:$L$200,aditivos!$A$2:$A$200,A16,aditivos!$B$2:$B$200,"&gt;"&amp;$I$6,aditivos!$B$2:$B$200,"&lt;="&amp;$I$5),2))</f>
        <v/>
      </c>
      <c r="N16" s="179" t="str">
        <f t="shared" si="1"/>
        <v/>
      </c>
      <c r="O16" s="179" t="str">
        <f ca="1">IF(OR(A16="",D16="",NOT(ISNUMBER(IF($I$4="C0",historico_VU!C16,IF($I$4="C1",historico_VU!D16,IF($I$4="C2",historico_VU!E16,IF($I$4="C3",historico_VU!F16,IF($I$4="C4",historico_VU!G16,"")))))))),"",ROUND(D16*IF($I$4="C0",historico_VU!C16,IF($I$4="C1",historico_VU!D16,IF($I$4="C2",historico_VU!E16,IF($I$4="C3",historico_VU!F16,IF($I$4="C4",historico_VU!G16,""))))),2))</f>
        <v/>
      </c>
      <c r="P16" s="179" t="str">
        <f ca="1">IF(OR(A16="",N16="",NOT(ISNUMBER(IF($I$4="C0",historico_VU!C16,IF($I$4="C1",historico_VU!D16,IF($I$4="C2",historico_VU!E16,IF($I$4="C3",historico_VU!F16,IF($I$4="C4",historico_VU!G16,"")))))))),"",ROUND(N16*IF($I$4="C0",historico_VU!C16,IF($I$4="C1",historico_VU!D16,IF($I$4="C2",historico_VU!E16,IF($I$4="C3",historico_VU!F16,IF($I$4="C4",historico_VU!G16,""))))),2))</f>
        <v/>
      </c>
      <c r="Q16" s="179" t="str">
        <f t="shared" si="2"/>
        <v/>
      </c>
      <c r="R16" s="179" t="str">
        <f ca="1">IF(OR(A16="",L16="",NOT(ISNUMBER(IF($I$4="C0",historico_VU!C16,IF($I$4="C1",historico_VU!D16,IF($I$4="C2",historico_VU!E16,IF($I$4="C3",historico_VU!F16,IF($I$4="C4",historico_VU!G16,"")))))))),"",ROUND(L16*IF($I$4="C0",historico_VU!C16,IF($I$4="C1",historico_VU!D16,IF($I$4="C2",historico_VU!E16,IF($I$4="C3",historico_VU!F16,IF($I$4="C4",historico_VU!G16,""))))),2))</f>
        <v/>
      </c>
    </row>
    <row r="17" spans="1:18" x14ac:dyDescent="0.35">
      <c r="A17" s="81" t="str">
        <f>IF(itens_Remanesc!A17="","",itens_Remanesc!A17)</f>
        <v/>
      </c>
      <c r="B17" s="217" t="str">
        <f t="shared" ca="1" si="3"/>
        <v/>
      </c>
      <c r="C17" s="218" t="str">
        <f>IF(A17="","",IF($I$5="","POSICAO DE REFERENCIA INDISPONIVEL",ROUND(IF(itens_Remanesc!B17="",0,itens_Remanesc!B17)+SUMIFS(aditivos!$L$2:$L$200,aditivos!$A$2:$A$200,A17,aditivos!$B$2:$B$200,"&lt;="&amp;$I$5),2)))</f>
        <v/>
      </c>
      <c r="D17" s="218" t="str">
        <f>IF(A17="","",IF($I$4="","",IF($I$2,IF(ISNUMBER(B17),B17,""),IF($I$4="C0",posicao_contratual!G17,IF($I$4="C1",posicao_contratual!K17,IF($I$4="C2",posicao_contratual!O17,IF($I$4="C3",posicao_contratual!S17,IF($I$4="C4",posicao_contratual!W17,""))))))))</f>
        <v/>
      </c>
      <c r="E17" s="219" t="str">
        <f t="shared" si="0"/>
        <v/>
      </c>
      <c r="F17" s="81" t="str">
        <f>IF(A17="","",IF(COUNTIF($A$2:$A$200,A17)&gt;1,"ITEM DUPLICADO",IF($I$4="","POSICAO DE REFERENCIA INDISPONIVEL",IF(AND(B17&lt;&gt;"",NOT(ISNUMBER(B17))),"QTD NAO NUMERICA",IF(AND(ISNUMBER(B17),B17&lt;0),"NEGATIVO NAO PERMITIDO",IF(NOT(ISNUMBER(C17)),"POSICAO CONTRATUAL INDISPONIVEL",IF(OR(AND(posicao_contratual!$Y17&lt;&gt;"",posicao_contratual!$Y17&gt;IFERROR(VALUE(MID($I$4,2,1)),-1)),AND(posicao_contratual!$Z17,ISNUMBER(C17),C17&lt;=0)),"ITEM POSTERIOR A REFERENCIA",IF(D17="","REMANESCENTE DE REFERENCIA INDISPONIVEL",IF(AND(ISNUMBER(D17),ISNUMBER(C17),D17&gt;C17),"REMANESCENTE DE REFERENCIA SUPERA POSICAO CONTRATUAL","OK")))))))))</f>
        <v/>
      </c>
      <c r="I17" s="226"/>
      <c r="K17" s="179" t="str">
        <f>IF(A17="","",itens_Remanesc!C17)</f>
        <v/>
      </c>
      <c r="L17" s="179" t="str">
        <f>IF(A17="","",IF($I$4="C0",posicao_contratual!G17,IF($I$4="C1",posicao_contratual!K17,IF($I$4="C2",posicao_contratual!O17,IF($I$4="C3",posicao_contratual!S17,IF($I$4="C4",posicao_contratual!W17,""))))))</f>
        <v/>
      </c>
      <c r="M17" s="179" t="str">
        <f ca="1">IF(OR(A17="",$I$5="",$I$6=""),"",ROUND(SUMIFS(aditivos!$L$2:$L$200,aditivos!$A$2:$A$200,A17,aditivos!$B$2:$B$200,"&gt;"&amp;$I$6,aditivos!$B$2:$B$200,"&lt;="&amp;$I$5),2))</f>
        <v/>
      </c>
      <c r="N17" s="179" t="str">
        <f t="shared" si="1"/>
        <v/>
      </c>
      <c r="O17" s="179" t="str">
        <f ca="1">IF(OR(A17="",D17="",NOT(ISNUMBER(IF($I$4="C0",historico_VU!C17,IF($I$4="C1",historico_VU!D17,IF($I$4="C2",historico_VU!E17,IF($I$4="C3",historico_VU!F17,IF($I$4="C4",historico_VU!G17,"")))))))),"",ROUND(D17*IF($I$4="C0",historico_VU!C17,IF($I$4="C1",historico_VU!D17,IF($I$4="C2",historico_VU!E17,IF($I$4="C3",historico_VU!F17,IF($I$4="C4",historico_VU!G17,""))))),2))</f>
        <v/>
      </c>
      <c r="P17" s="179" t="str">
        <f ca="1">IF(OR(A17="",N17="",NOT(ISNUMBER(IF($I$4="C0",historico_VU!C17,IF($I$4="C1",historico_VU!D17,IF($I$4="C2",historico_VU!E17,IF($I$4="C3",historico_VU!F17,IF($I$4="C4",historico_VU!G17,"")))))))),"",ROUND(N17*IF($I$4="C0",historico_VU!C17,IF($I$4="C1",historico_VU!D17,IF($I$4="C2",historico_VU!E17,IF($I$4="C3",historico_VU!F17,IF($I$4="C4",historico_VU!G17,""))))),2))</f>
        <v/>
      </c>
      <c r="Q17" s="179" t="str">
        <f t="shared" si="2"/>
        <v/>
      </c>
      <c r="R17" s="179" t="str">
        <f ca="1">IF(OR(A17="",L17="",NOT(ISNUMBER(IF($I$4="C0",historico_VU!C17,IF($I$4="C1",historico_VU!D17,IF($I$4="C2",historico_VU!E17,IF($I$4="C3",historico_VU!F17,IF($I$4="C4",historico_VU!G17,"")))))))),"",ROUND(L17*IF($I$4="C0",historico_VU!C17,IF($I$4="C1",historico_VU!D17,IF($I$4="C2",historico_VU!E17,IF($I$4="C3",historico_VU!F17,IF($I$4="C4",historico_VU!G17,""))))),2))</f>
        <v/>
      </c>
    </row>
    <row r="18" spans="1:18" x14ac:dyDescent="0.35">
      <c r="A18" s="81" t="str">
        <f>IF(itens_Remanesc!A18="","",itens_Remanesc!A18)</f>
        <v/>
      </c>
      <c r="B18" s="217" t="str">
        <f t="shared" ca="1" si="3"/>
        <v/>
      </c>
      <c r="C18" s="218" t="str">
        <f>IF(A18="","",IF($I$5="","POSICAO DE REFERENCIA INDISPONIVEL",ROUND(IF(itens_Remanesc!B18="",0,itens_Remanesc!B18)+SUMIFS(aditivos!$L$2:$L$200,aditivos!$A$2:$A$200,A18,aditivos!$B$2:$B$200,"&lt;="&amp;$I$5),2)))</f>
        <v/>
      </c>
      <c r="D18" s="218" t="str">
        <f>IF(A18="","",IF($I$4="","",IF($I$2,IF(ISNUMBER(B18),B18,""),IF($I$4="C0",posicao_contratual!G18,IF($I$4="C1",posicao_contratual!K18,IF($I$4="C2",posicao_contratual!O18,IF($I$4="C3",posicao_contratual!S18,IF($I$4="C4",posicao_contratual!W18,""))))))))</f>
        <v/>
      </c>
      <c r="E18" s="219" t="str">
        <f t="shared" si="0"/>
        <v/>
      </c>
      <c r="F18" s="81" t="str">
        <f>IF(A18="","",IF(COUNTIF($A$2:$A$200,A18)&gt;1,"ITEM DUPLICADO",IF($I$4="","POSICAO DE REFERENCIA INDISPONIVEL",IF(AND(B18&lt;&gt;"",NOT(ISNUMBER(B18))),"QTD NAO NUMERICA",IF(AND(ISNUMBER(B18),B18&lt;0),"NEGATIVO NAO PERMITIDO",IF(NOT(ISNUMBER(C18)),"POSICAO CONTRATUAL INDISPONIVEL",IF(OR(AND(posicao_contratual!$Y18&lt;&gt;"",posicao_contratual!$Y18&gt;IFERROR(VALUE(MID($I$4,2,1)),-1)),AND(posicao_contratual!$Z18,ISNUMBER(C18),C18&lt;=0)),"ITEM POSTERIOR A REFERENCIA",IF(D18="","REMANESCENTE DE REFERENCIA INDISPONIVEL",IF(AND(ISNUMBER(D18),ISNUMBER(C18),D18&gt;C18),"REMANESCENTE DE REFERENCIA SUPERA POSICAO CONTRATUAL","OK")))))))))</f>
        <v/>
      </c>
      <c r="I18" s="226"/>
      <c r="K18" s="179" t="str">
        <f>IF(A18="","",itens_Remanesc!C18)</f>
        <v/>
      </c>
      <c r="L18" s="179" t="str">
        <f>IF(A18="","",IF($I$4="C0",posicao_contratual!G18,IF($I$4="C1",posicao_contratual!K18,IF($I$4="C2",posicao_contratual!O18,IF($I$4="C3",posicao_contratual!S18,IF($I$4="C4",posicao_contratual!W18,""))))))</f>
        <v/>
      </c>
      <c r="M18" s="179" t="str">
        <f ca="1">IF(OR(A18="",$I$5="",$I$6=""),"",ROUND(SUMIFS(aditivos!$L$2:$L$200,aditivos!$A$2:$A$200,A18,aditivos!$B$2:$B$200,"&gt;"&amp;$I$6,aditivos!$B$2:$B$200,"&lt;="&amp;$I$5),2))</f>
        <v/>
      </c>
      <c r="N18" s="179" t="str">
        <f t="shared" si="1"/>
        <v/>
      </c>
      <c r="O18" s="179" t="str">
        <f ca="1">IF(OR(A18="",D18="",NOT(ISNUMBER(IF($I$4="C0",historico_VU!C18,IF($I$4="C1",historico_VU!D18,IF($I$4="C2",historico_VU!E18,IF($I$4="C3",historico_VU!F18,IF($I$4="C4",historico_VU!G18,"")))))))),"",ROUND(D18*IF($I$4="C0",historico_VU!C18,IF($I$4="C1",historico_VU!D18,IF($I$4="C2",historico_VU!E18,IF($I$4="C3",historico_VU!F18,IF($I$4="C4",historico_VU!G18,""))))),2))</f>
        <v/>
      </c>
      <c r="P18" s="179" t="str">
        <f ca="1">IF(OR(A18="",N18="",NOT(ISNUMBER(IF($I$4="C0",historico_VU!C18,IF($I$4="C1",historico_VU!D18,IF($I$4="C2",historico_VU!E18,IF($I$4="C3",historico_VU!F18,IF($I$4="C4",historico_VU!G18,"")))))))),"",ROUND(N18*IF($I$4="C0",historico_VU!C18,IF($I$4="C1",historico_VU!D18,IF($I$4="C2",historico_VU!E18,IF($I$4="C3",historico_VU!F18,IF($I$4="C4",historico_VU!G18,""))))),2))</f>
        <v/>
      </c>
      <c r="Q18" s="179" t="str">
        <f t="shared" si="2"/>
        <v/>
      </c>
      <c r="R18" s="179" t="str">
        <f ca="1">IF(OR(A18="",L18="",NOT(ISNUMBER(IF($I$4="C0",historico_VU!C18,IF($I$4="C1",historico_VU!D18,IF($I$4="C2",historico_VU!E18,IF($I$4="C3",historico_VU!F18,IF($I$4="C4",historico_VU!G18,"")))))))),"",ROUND(L18*IF($I$4="C0",historico_VU!C18,IF($I$4="C1",historico_VU!D18,IF($I$4="C2",historico_VU!E18,IF($I$4="C3",historico_VU!F18,IF($I$4="C4",historico_VU!G18,""))))),2))</f>
        <v/>
      </c>
    </row>
    <row r="19" spans="1:18" x14ac:dyDescent="0.35">
      <c r="A19" s="81" t="str">
        <f>IF(itens_Remanesc!A19="","",itens_Remanesc!A19)</f>
        <v/>
      </c>
      <c r="B19" s="217" t="str">
        <f t="shared" ca="1" si="3"/>
        <v/>
      </c>
      <c r="C19" s="218" t="str">
        <f>IF(A19="","",IF($I$5="","POSICAO DE REFERENCIA INDISPONIVEL",ROUND(IF(itens_Remanesc!B19="",0,itens_Remanesc!B19)+SUMIFS(aditivos!$L$2:$L$200,aditivos!$A$2:$A$200,A19,aditivos!$B$2:$B$200,"&lt;="&amp;$I$5),2)))</f>
        <v/>
      </c>
      <c r="D19" s="218" t="str">
        <f>IF(A19="","",IF($I$4="","",IF($I$2,IF(ISNUMBER(B19),B19,""),IF($I$4="C0",posicao_contratual!G19,IF($I$4="C1",posicao_contratual!K19,IF($I$4="C2",posicao_contratual!O19,IF($I$4="C3",posicao_contratual!S19,IF($I$4="C4",posicao_contratual!W19,""))))))))</f>
        <v/>
      </c>
      <c r="E19" s="219" t="str">
        <f t="shared" si="0"/>
        <v/>
      </c>
      <c r="F19" s="81" t="str">
        <f>IF(A19="","",IF(COUNTIF($A$2:$A$200,A19)&gt;1,"ITEM DUPLICADO",IF($I$4="","POSICAO DE REFERENCIA INDISPONIVEL",IF(AND(B19&lt;&gt;"",NOT(ISNUMBER(B19))),"QTD NAO NUMERICA",IF(AND(ISNUMBER(B19),B19&lt;0),"NEGATIVO NAO PERMITIDO",IF(NOT(ISNUMBER(C19)),"POSICAO CONTRATUAL INDISPONIVEL",IF(OR(AND(posicao_contratual!$Y19&lt;&gt;"",posicao_contratual!$Y19&gt;IFERROR(VALUE(MID($I$4,2,1)),-1)),AND(posicao_contratual!$Z19,ISNUMBER(C19),C19&lt;=0)),"ITEM POSTERIOR A REFERENCIA",IF(D19="","REMANESCENTE DE REFERENCIA INDISPONIVEL",IF(AND(ISNUMBER(D19),ISNUMBER(C19),D19&gt;C19),"REMANESCENTE DE REFERENCIA SUPERA POSICAO CONTRATUAL","OK")))))))))</f>
        <v/>
      </c>
      <c r="I19" s="226"/>
      <c r="K19" s="179" t="str">
        <f>IF(A19="","",itens_Remanesc!C19)</f>
        <v/>
      </c>
      <c r="L19" s="179" t="str">
        <f>IF(A19="","",IF($I$4="C0",posicao_contratual!G19,IF($I$4="C1",posicao_contratual!K19,IF($I$4="C2",posicao_contratual!O19,IF($I$4="C3",posicao_contratual!S19,IF($I$4="C4",posicao_contratual!W19,""))))))</f>
        <v/>
      </c>
      <c r="M19" s="179" t="str">
        <f ca="1">IF(OR(A19="",$I$5="",$I$6=""),"",ROUND(SUMIFS(aditivos!$L$2:$L$200,aditivos!$A$2:$A$200,A19,aditivos!$B$2:$B$200,"&gt;"&amp;$I$6,aditivos!$B$2:$B$200,"&lt;="&amp;$I$5),2))</f>
        <v/>
      </c>
      <c r="N19" s="179" t="str">
        <f t="shared" si="1"/>
        <v/>
      </c>
      <c r="O19" s="179" t="str">
        <f ca="1">IF(OR(A19="",D19="",NOT(ISNUMBER(IF($I$4="C0",historico_VU!C19,IF($I$4="C1",historico_VU!D19,IF($I$4="C2",historico_VU!E19,IF($I$4="C3",historico_VU!F19,IF($I$4="C4",historico_VU!G19,"")))))))),"",ROUND(D19*IF($I$4="C0",historico_VU!C19,IF($I$4="C1",historico_VU!D19,IF($I$4="C2",historico_VU!E19,IF($I$4="C3",historico_VU!F19,IF($I$4="C4",historico_VU!G19,""))))),2))</f>
        <v/>
      </c>
      <c r="P19" s="179" t="str">
        <f ca="1">IF(OR(A19="",N19="",NOT(ISNUMBER(IF($I$4="C0",historico_VU!C19,IF($I$4="C1",historico_VU!D19,IF($I$4="C2",historico_VU!E19,IF($I$4="C3",historico_VU!F19,IF($I$4="C4",historico_VU!G19,"")))))))),"",ROUND(N19*IF($I$4="C0",historico_VU!C19,IF($I$4="C1",historico_VU!D19,IF($I$4="C2",historico_VU!E19,IF($I$4="C3",historico_VU!F19,IF($I$4="C4",historico_VU!G19,""))))),2))</f>
        <v/>
      </c>
      <c r="Q19" s="179" t="str">
        <f t="shared" si="2"/>
        <v/>
      </c>
      <c r="R19" s="179" t="str">
        <f ca="1">IF(OR(A19="",L19="",NOT(ISNUMBER(IF($I$4="C0",historico_VU!C19,IF($I$4="C1",historico_VU!D19,IF($I$4="C2",historico_VU!E19,IF($I$4="C3",historico_VU!F19,IF($I$4="C4",historico_VU!G19,"")))))))),"",ROUND(L19*IF($I$4="C0",historico_VU!C19,IF($I$4="C1",historico_VU!D19,IF($I$4="C2",historico_VU!E19,IF($I$4="C3",historico_VU!F19,IF($I$4="C4",historico_VU!G19,""))))),2))</f>
        <v/>
      </c>
    </row>
    <row r="20" spans="1:18" x14ac:dyDescent="0.35">
      <c r="A20" s="81" t="str">
        <f>IF(itens_Remanesc!A20="","",itens_Remanesc!A20)</f>
        <v/>
      </c>
      <c r="B20" s="217" t="str">
        <f t="shared" ca="1" si="3"/>
        <v/>
      </c>
      <c r="C20" s="218" t="str">
        <f>IF(A20="","",IF($I$5="","POSICAO DE REFERENCIA INDISPONIVEL",ROUND(IF(itens_Remanesc!B20="",0,itens_Remanesc!B20)+SUMIFS(aditivos!$L$2:$L$200,aditivos!$A$2:$A$200,A20,aditivos!$B$2:$B$200,"&lt;="&amp;$I$5),2)))</f>
        <v/>
      </c>
      <c r="D20" s="218" t="str">
        <f>IF(A20="","",IF($I$4="","",IF($I$2,IF(ISNUMBER(B20),B20,""),IF($I$4="C0",posicao_contratual!G20,IF($I$4="C1",posicao_contratual!K20,IF($I$4="C2",posicao_contratual!O20,IF($I$4="C3",posicao_contratual!S20,IF($I$4="C4",posicao_contratual!W20,""))))))))</f>
        <v/>
      </c>
      <c r="E20" s="219" t="str">
        <f t="shared" si="0"/>
        <v/>
      </c>
      <c r="F20" s="81" t="str">
        <f>IF(A20="","",IF(COUNTIF($A$2:$A$200,A20)&gt;1,"ITEM DUPLICADO",IF($I$4="","POSICAO DE REFERENCIA INDISPONIVEL",IF(AND(B20&lt;&gt;"",NOT(ISNUMBER(B20))),"QTD NAO NUMERICA",IF(AND(ISNUMBER(B20),B20&lt;0),"NEGATIVO NAO PERMITIDO",IF(NOT(ISNUMBER(C20)),"POSICAO CONTRATUAL INDISPONIVEL",IF(OR(AND(posicao_contratual!$Y20&lt;&gt;"",posicao_contratual!$Y20&gt;IFERROR(VALUE(MID($I$4,2,1)),-1)),AND(posicao_contratual!$Z20,ISNUMBER(C20),C20&lt;=0)),"ITEM POSTERIOR A REFERENCIA",IF(D20="","REMANESCENTE DE REFERENCIA INDISPONIVEL",IF(AND(ISNUMBER(D20),ISNUMBER(C20),D20&gt;C20),"REMANESCENTE DE REFERENCIA SUPERA POSICAO CONTRATUAL","OK")))))))))</f>
        <v/>
      </c>
      <c r="I20" s="226"/>
      <c r="K20" s="179" t="str">
        <f>IF(A20="","",itens_Remanesc!C20)</f>
        <v/>
      </c>
      <c r="L20" s="179" t="str">
        <f>IF(A20="","",IF($I$4="C0",posicao_contratual!G20,IF($I$4="C1",posicao_contratual!K20,IF($I$4="C2",posicao_contratual!O20,IF($I$4="C3",posicao_contratual!S20,IF($I$4="C4",posicao_contratual!W20,""))))))</f>
        <v/>
      </c>
      <c r="M20" s="179" t="str">
        <f ca="1">IF(OR(A20="",$I$5="",$I$6=""),"",ROUND(SUMIFS(aditivos!$L$2:$L$200,aditivos!$A$2:$A$200,A20,aditivos!$B$2:$B$200,"&gt;"&amp;$I$6,aditivos!$B$2:$B$200,"&lt;="&amp;$I$5),2))</f>
        <v/>
      </c>
      <c r="N20" s="179" t="str">
        <f t="shared" si="1"/>
        <v/>
      </c>
      <c r="O20" s="179" t="str">
        <f ca="1">IF(OR(A20="",D20="",NOT(ISNUMBER(IF($I$4="C0",historico_VU!C20,IF($I$4="C1",historico_VU!D20,IF($I$4="C2",historico_VU!E20,IF($I$4="C3",historico_VU!F20,IF($I$4="C4",historico_VU!G20,"")))))))),"",ROUND(D20*IF($I$4="C0",historico_VU!C20,IF($I$4="C1",historico_VU!D20,IF($I$4="C2",historico_VU!E20,IF($I$4="C3",historico_VU!F20,IF($I$4="C4",historico_VU!G20,""))))),2))</f>
        <v/>
      </c>
      <c r="P20" s="179" t="str">
        <f ca="1">IF(OR(A20="",N20="",NOT(ISNUMBER(IF($I$4="C0",historico_VU!C20,IF($I$4="C1",historico_VU!D20,IF($I$4="C2",historico_VU!E20,IF($I$4="C3",historico_VU!F20,IF($I$4="C4",historico_VU!G20,"")))))))),"",ROUND(N20*IF($I$4="C0",historico_VU!C20,IF($I$4="C1",historico_VU!D20,IF($I$4="C2",historico_VU!E20,IF($I$4="C3",historico_VU!F20,IF($I$4="C4",historico_VU!G20,""))))),2))</f>
        <v/>
      </c>
      <c r="Q20" s="179" t="str">
        <f t="shared" si="2"/>
        <v/>
      </c>
      <c r="R20" s="179" t="str">
        <f ca="1">IF(OR(A20="",L20="",NOT(ISNUMBER(IF($I$4="C0",historico_VU!C20,IF($I$4="C1",historico_VU!D20,IF($I$4="C2",historico_VU!E20,IF($I$4="C3",historico_VU!F20,IF($I$4="C4",historico_VU!G20,"")))))))),"",ROUND(L20*IF($I$4="C0",historico_VU!C20,IF($I$4="C1",historico_VU!D20,IF($I$4="C2",historico_VU!E20,IF($I$4="C3",historico_VU!F20,IF($I$4="C4",historico_VU!G20,""))))),2))</f>
        <v/>
      </c>
    </row>
    <row r="21" spans="1:18" x14ac:dyDescent="0.35">
      <c r="A21" s="81" t="str">
        <f>IF(itens_Remanesc!A21="","",itens_Remanesc!A21)</f>
        <v/>
      </c>
      <c r="B21" s="217" t="str">
        <f t="shared" ca="1" si="3"/>
        <v/>
      </c>
      <c r="C21" s="218" t="str">
        <f>IF(A21="","",IF($I$5="","POSICAO DE REFERENCIA INDISPONIVEL",ROUND(IF(itens_Remanesc!B21="",0,itens_Remanesc!B21)+SUMIFS(aditivos!$L$2:$L$200,aditivos!$A$2:$A$200,A21,aditivos!$B$2:$B$200,"&lt;="&amp;$I$5),2)))</f>
        <v/>
      </c>
      <c r="D21" s="218" t="str">
        <f>IF(A21="","",IF($I$4="","",IF($I$2,IF(ISNUMBER(B21),B21,""),IF($I$4="C0",posicao_contratual!G21,IF($I$4="C1",posicao_contratual!K21,IF($I$4="C2",posicao_contratual!O21,IF($I$4="C3",posicao_contratual!S21,IF($I$4="C4",posicao_contratual!W21,""))))))))</f>
        <v/>
      </c>
      <c r="E21" s="219" t="str">
        <f t="shared" si="0"/>
        <v/>
      </c>
      <c r="F21" s="81" t="str">
        <f>IF(A21="","",IF(COUNTIF($A$2:$A$200,A21)&gt;1,"ITEM DUPLICADO",IF($I$4="","POSICAO DE REFERENCIA INDISPONIVEL",IF(AND(B21&lt;&gt;"",NOT(ISNUMBER(B21))),"QTD NAO NUMERICA",IF(AND(ISNUMBER(B21),B21&lt;0),"NEGATIVO NAO PERMITIDO",IF(NOT(ISNUMBER(C21)),"POSICAO CONTRATUAL INDISPONIVEL",IF(OR(AND(posicao_contratual!$Y21&lt;&gt;"",posicao_contratual!$Y21&gt;IFERROR(VALUE(MID($I$4,2,1)),-1)),AND(posicao_contratual!$Z21,ISNUMBER(C21),C21&lt;=0)),"ITEM POSTERIOR A REFERENCIA",IF(D21="","REMANESCENTE DE REFERENCIA INDISPONIVEL",IF(AND(ISNUMBER(D21),ISNUMBER(C21),D21&gt;C21),"REMANESCENTE DE REFERENCIA SUPERA POSICAO CONTRATUAL","OK")))))))))</f>
        <v/>
      </c>
      <c r="I21" s="226"/>
      <c r="K21" s="179" t="str">
        <f>IF(A21="","",itens_Remanesc!C21)</f>
        <v/>
      </c>
      <c r="L21" s="179" t="str">
        <f>IF(A21="","",IF($I$4="C0",posicao_contratual!G21,IF($I$4="C1",posicao_contratual!K21,IF($I$4="C2",posicao_contratual!O21,IF($I$4="C3",posicao_contratual!S21,IF($I$4="C4",posicao_contratual!W21,""))))))</f>
        <v/>
      </c>
      <c r="M21" s="179" t="str">
        <f ca="1">IF(OR(A21="",$I$5="",$I$6=""),"",ROUND(SUMIFS(aditivos!$L$2:$L$200,aditivos!$A$2:$A$200,A21,aditivos!$B$2:$B$200,"&gt;"&amp;$I$6,aditivos!$B$2:$B$200,"&lt;="&amp;$I$5),2))</f>
        <v/>
      </c>
      <c r="N21" s="179" t="str">
        <f t="shared" si="1"/>
        <v/>
      </c>
      <c r="O21" s="179" t="str">
        <f ca="1">IF(OR(A21="",D21="",NOT(ISNUMBER(IF($I$4="C0",historico_VU!C21,IF($I$4="C1",historico_VU!D21,IF($I$4="C2",historico_VU!E21,IF($I$4="C3",historico_VU!F21,IF($I$4="C4",historico_VU!G21,"")))))))),"",ROUND(D21*IF($I$4="C0",historico_VU!C21,IF($I$4="C1",historico_VU!D21,IF($I$4="C2",historico_VU!E21,IF($I$4="C3",historico_VU!F21,IF($I$4="C4",historico_VU!G21,""))))),2))</f>
        <v/>
      </c>
      <c r="P21" s="179" t="str">
        <f ca="1">IF(OR(A21="",N21="",NOT(ISNUMBER(IF($I$4="C0",historico_VU!C21,IF($I$4="C1",historico_VU!D21,IF($I$4="C2",historico_VU!E21,IF($I$4="C3",historico_VU!F21,IF($I$4="C4",historico_VU!G21,"")))))))),"",ROUND(N21*IF($I$4="C0",historico_VU!C21,IF($I$4="C1",historico_VU!D21,IF($I$4="C2",historico_VU!E21,IF($I$4="C3",historico_VU!F21,IF($I$4="C4",historico_VU!G21,""))))),2))</f>
        <v/>
      </c>
      <c r="Q21" s="179" t="str">
        <f t="shared" si="2"/>
        <v/>
      </c>
      <c r="R21" s="179" t="str">
        <f ca="1">IF(OR(A21="",L21="",NOT(ISNUMBER(IF($I$4="C0",historico_VU!C21,IF($I$4="C1",historico_VU!D21,IF($I$4="C2",historico_VU!E21,IF($I$4="C3",historico_VU!F21,IF($I$4="C4",historico_VU!G21,"")))))))),"",ROUND(L21*IF($I$4="C0",historico_VU!C21,IF($I$4="C1",historico_VU!D21,IF($I$4="C2",historico_VU!E21,IF($I$4="C3",historico_VU!F21,IF($I$4="C4",historico_VU!G21,""))))),2))</f>
        <v/>
      </c>
    </row>
    <row r="22" spans="1:18" x14ac:dyDescent="0.35">
      <c r="A22" s="81" t="str">
        <f>IF(itens_Remanesc!A22="","",itens_Remanesc!A22)</f>
        <v/>
      </c>
      <c r="B22" s="217" t="str">
        <f t="shared" ca="1" si="3"/>
        <v/>
      </c>
      <c r="C22" s="218" t="str">
        <f>IF(A22="","",IF($I$5="","POSICAO DE REFERENCIA INDISPONIVEL",ROUND(IF(itens_Remanesc!B22="",0,itens_Remanesc!B22)+SUMIFS(aditivos!$L$2:$L$200,aditivos!$A$2:$A$200,A22,aditivos!$B$2:$B$200,"&lt;="&amp;$I$5),2)))</f>
        <v/>
      </c>
      <c r="D22" s="218" t="str">
        <f>IF(A22="","",IF($I$4="","",IF($I$2,IF(ISNUMBER(B22),B22,""),IF($I$4="C0",posicao_contratual!G22,IF($I$4="C1",posicao_contratual!K22,IF($I$4="C2",posicao_contratual!O22,IF($I$4="C3",posicao_contratual!S22,IF($I$4="C4",posicao_contratual!W22,""))))))))</f>
        <v/>
      </c>
      <c r="E22" s="219" t="str">
        <f t="shared" si="0"/>
        <v/>
      </c>
      <c r="F22" s="81" t="str">
        <f>IF(A22="","",IF(COUNTIF($A$2:$A$200,A22)&gt;1,"ITEM DUPLICADO",IF($I$4="","POSICAO DE REFERENCIA INDISPONIVEL",IF(AND(B22&lt;&gt;"",NOT(ISNUMBER(B22))),"QTD NAO NUMERICA",IF(AND(ISNUMBER(B22),B22&lt;0),"NEGATIVO NAO PERMITIDO",IF(NOT(ISNUMBER(C22)),"POSICAO CONTRATUAL INDISPONIVEL",IF(OR(AND(posicao_contratual!$Y22&lt;&gt;"",posicao_contratual!$Y22&gt;IFERROR(VALUE(MID($I$4,2,1)),-1)),AND(posicao_contratual!$Z22,ISNUMBER(C22),C22&lt;=0)),"ITEM POSTERIOR A REFERENCIA",IF(D22="","REMANESCENTE DE REFERENCIA INDISPONIVEL",IF(AND(ISNUMBER(D22),ISNUMBER(C22),D22&gt;C22),"REMANESCENTE DE REFERENCIA SUPERA POSICAO CONTRATUAL","OK")))))))))</f>
        <v/>
      </c>
      <c r="I22" s="226"/>
      <c r="K22" s="179" t="str">
        <f>IF(A22="","",itens_Remanesc!C22)</f>
        <v/>
      </c>
      <c r="L22" s="179" t="str">
        <f>IF(A22="","",IF($I$4="C0",posicao_contratual!G22,IF($I$4="C1",posicao_contratual!K22,IF($I$4="C2",posicao_contratual!O22,IF($I$4="C3",posicao_contratual!S22,IF($I$4="C4",posicao_contratual!W22,""))))))</f>
        <v/>
      </c>
      <c r="M22" s="179" t="str">
        <f ca="1">IF(OR(A22="",$I$5="",$I$6=""),"",ROUND(SUMIFS(aditivos!$L$2:$L$200,aditivos!$A$2:$A$200,A22,aditivos!$B$2:$B$200,"&gt;"&amp;$I$6,aditivos!$B$2:$B$200,"&lt;="&amp;$I$5),2))</f>
        <v/>
      </c>
      <c r="N22" s="179" t="str">
        <f t="shared" si="1"/>
        <v/>
      </c>
      <c r="O22" s="179" t="str">
        <f ca="1">IF(OR(A22="",D22="",NOT(ISNUMBER(IF($I$4="C0",historico_VU!C22,IF($I$4="C1",historico_VU!D22,IF($I$4="C2",historico_VU!E22,IF($I$4="C3",historico_VU!F22,IF($I$4="C4",historico_VU!G22,"")))))))),"",ROUND(D22*IF($I$4="C0",historico_VU!C22,IF($I$4="C1",historico_VU!D22,IF($I$4="C2",historico_VU!E22,IF($I$4="C3",historico_VU!F22,IF($I$4="C4",historico_VU!G22,""))))),2))</f>
        <v/>
      </c>
      <c r="P22" s="179" t="str">
        <f ca="1">IF(OR(A22="",N22="",NOT(ISNUMBER(IF($I$4="C0",historico_VU!C22,IF($I$4="C1",historico_VU!D22,IF($I$4="C2",historico_VU!E22,IF($I$4="C3",historico_VU!F22,IF($I$4="C4",historico_VU!G22,"")))))))),"",ROUND(N22*IF($I$4="C0",historico_VU!C22,IF($I$4="C1",historico_VU!D22,IF($I$4="C2",historico_VU!E22,IF($I$4="C3",historico_VU!F22,IF($I$4="C4",historico_VU!G22,""))))),2))</f>
        <v/>
      </c>
      <c r="Q22" s="179" t="str">
        <f t="shared" si="2"/>
        <v/>
      </c>
      <c r="R22" s="179" t="str">
        <f ca="1">IF(OR(A22="",L22="",NOT(ISNUMBER(IF($I$4="C0",historico_VU!C22,IF($I$4="C1",historico_VU!D22,IF($I$4="C2",historico_VU!E22,IF($I$4="C3",historico_VU!F22,IF($I$4="C4",historico_VU!G22,"")))))))),"",ROUND(L22*IF($I$4="C0",historico_VU!C22,IF($I$4="C1",historico_VU!D22,IF($I$4="C2",historico_VU!E22,IF($I$4="C3",historico_VU!F22,IF($I$4="C4",historico_VU!G22,""))))),2))</f>
        <v/>
      </c>
    </row>
    <row r="23" spans="1:18" x14ac:dyDescent="0.35">
      <c r="A23" s="81" t="str">
        <f>IF(itens_Remanesc!A23="","",itens_Remanesc!A23)</f>
        <v/>
      </c>
      <c r="B23" s="217" t="str">
        <f t="shared" ca="1" si="3"/>
        <v/>
      </c>
      <c r="C23" s="218" t="str">
        <f>IF(A23="","",IF($I$5="","POSICAO DE REFERENCIA INDISPONIVEL",ROUND(IF(itens_Remanesc!B23="",0,itens_Remanesc!B23)+SUMIFS(aditivos!$L$2:$L$200,aditivos!$A$2:$A$200,A23,aditivos!$B$2:$B$200,"&lt;="&amp;$I$5),2)))</f>
        <v/>
      </c>
      <c r="D23" s="218" t="str">
        <f>IF(A23="","",IF($I$4="","",IF($I$2,IF(ISNUMBER(B23),B23,""),IF($I$4="C0",posicao_contratual!G23,IF($I$4="C1",posicao_contratual!K23,IF($I$4="C2",posicao_contratual!O23,IF($I$4="C3",posicao_contratual!S23,IF($I$4="C4",posicao_contratual!W23,""))))))))</f>
        <v/>
      </c>
      <c r="E23" s="219" t="str">
        <f t="shared" si="0"/>
        <v/>
      </c>
      <c r="F23" s="81" t="str">
        <f>IF(A23="","",IF(COUNTIF($A$2:$A$200,A23)&gt;1,"ITEM DUPLICADO",IF($I$4="","POSICAO DE REFERENCIA INDISPONIVEL",IF(AND(B23&lt;&gt;"",NOT(ISNUMBER(B23))),"QTD NAO NUMERICA",IF(AND(ISNUMBER(B23),B23&lt;0),"NEGATIVO NAO PERMITIDO",IF(NOT(ISNUMBER(C23)),"POSICAO CONTRATUAL INDISPONIVEL",IF(OR(AND(posicao_contratual!$Y23&lt;&gt;"",posicao_contratual!$Y23&gt;IFERROR(VALUE(MID($I$4,2,1)),-1)),AND(posicao_contratual!$Z23,ISNUMBER(C23),C23&lt;=0)),"ITEM POSTERIOR A REFERENCIA",IF(D23="","REMANESCENTE DE REFERENCIA INDISPONIVEL",IF(AND(ISNUMBER(D23),ISNUMBER(C23),D23&gt;C23),"REMANESCENTE DE REFERENCIA SUPERA POSICAO CONTRATUAL","OK")))))))))</f>
        <v/>
      </c>
      <c r="I23" s="226"/>
      <c r="K23" s="179" t="str">
        <f>IF(A23="","",itens_Remanesc!C23)</f>
        <v/>
      </c>
      <c r="L23" s="179" t="str">
        <f>IF(A23="","",IF($I$4="C0",posicao_contratual!G23,IF($I$4="C1",posicao_contratual!K23,IF($I$4="C2",posicao_contratual!O23,IF($I$4="C3",posicao_contratual!S23,IF($I$4="C4",posicao_contratual!W23,""))))))</f>
        <v/>
      </c>
      <c r="M23" s="179" t="str">
        <f ca="1">IF(OR(A23="",$I$5="",$I$6=""),"",ROUND(SUMIFS(aditivos!$L$2:$L$200,aditivos!$A$2:$A$200,A23,aditivos!$B$2:$B$200,"&gt;"&amp;$I$6,aditivos!$B$2:$B$200,"&lt;="&amp;$I$5),2))</f>
        <v/>
      </c>
      <c r="N23" s="179" t="str">
        <f t="shared" si="1"/>
        <v/>
      </c>
      <c r="O23" s="179" t="str">
        <f ca="1">IF(OR(A23="",D23="",NOT(ISNUMBER(IF($I$4="C0",historico_VU!C23,IF($I$4="C1",historico_VU!D23,IF($I$4="C2",historico_VU!E23,IF($I$4="C3",historico_VU!F23,IF($I$4="C4",historico_VU!G23,"")))))))),"",ROUND(D23*IF($I$4="C0",historico_VU!C23,IF($I$4="C1",historico_VU!D23,IF($I$4="C2",historico_VU!E23,IF($I$4="C3",historico_VU!F23,IF($I$4="C4",historico_VU!G23,""))))),2))</f>
        <v/>
      </c>
      <c r="P23" s="179" t="str">
        <f ca="1">IF(OR(A23="",N23="",NOT(ISNUMBER(IF($I$4="C0",historico_VU!C23,IF($I$4="C1",historico_VU!D23,IF($I$4="C2",historico_VU!E23,IF($I$4="C3",historico_VU!F23,IF($I$4="C4",historico_VU!G23,"")))))))),"",ROUND(N23*IF($I$4="C0",historico_VU!C23,IF($I$4="C1",historico_VU!D23,IF($I$4="C2",historico_VU!E23,IF($I$4="C3",historico_VU!F23,IF($I$4="C4",historico_VU!G23,""))))),2))</f>
        <v/>
      </c>
      <c r="Q23" s="179" t="str">
        <f t="shared" si="2"/>
        <v/>
      </c>
      <c r="R23" s="179" t="str">
        <f ca="1">IF(OR(A23="",L23="",NOT(ISNUMBER(IF($I$4="C0",historico_VU!C23,IF($I$4="C1",historico_VU!D23,IF($I$4="C2",historico_VU!E23,IF($I$4="C3",historico_VU!F23,IF($I$4="C4",historico_VU!G23,"")))))))),"",ROUND(L23*IF($I$4="C0",historico_VU!C23,IF($I$4="C1",historico_VU!D23,IF($I$4="C2",historico_VU!E23,IF($I$4="C3",historico_VU!F23,IF($I$4="C4",historico_VU!G23,""))))),2))</f>
        <v/>
      </c>
    </row>
    <row r="24" spans="1:18" x14ac:dyDescent="0.35">
      <c r="A24" s="81" t="str">
        <f>IF(itens_Remanesc!A24="","",itens_Remanesc!A24)</f>
        <v/>
      </c>
      <c r="B24" s="217" t="str">
        <f t="shared" ca="1" si="3"/>
        <v/>
      </c>
      <c r="C24" s="218" t="str">
        <f>IF(A24="","",IF($I$5="","POSICAO DE REFERENCIA INDISPONIVEL",ROUND(IF(itens_Remanesc!B24="",0,itens_Remanesc!B24)+SUMIFS(aditivos!$L$2:$L$200,aditivos!$A$2:$A$200,A24,aditivos!$B$2:$B$200,"&lt;="&amp;$I$5),2)))</f>
        <v/>
      </c>
      <c r="D24" s="218" t="str">
        <f>IF(A24="","",IF($I$4="","",IF($I$2,IF(ISNUMBER(B24),B24,""),IF($I$4="C0",posicao_contratual!G24,IF($I$4="C1",posicao_contratual!K24,IF($I$4="C2",posicao_contratual!O24,IF($I$4="C3",posicao_contratual!S24,IF($I$4="C4",posicao_contratual!W24,""))))))))</f>
        <v/>
      </c>
      <c r="E24" s="219" t="str">
        <f t="shared" si="0"/>
        <v/>
      </c>
      <c r="F24" s="81" t="str">
        <f>IF(A24="","",IF(COUNTIF($A$2:$A$200,A24)&gt;1,"ITEM DUPLICADO",IF($I$4="","POSICAO DE REFERENCIA INDISPONIVEL",IF(AND(B24&lt;&gt;"",NOT(ISNUMBER(B24))),"QTD NAO NUMERICA",IF(AND(ISNUMBER(B24),B24&lt;0),"NEGATIVO NAO PERMITIDO",IF(NOT(ISNUMBER(C24)),"POSICAO CONTRATUAL INDISPONIVEL",IF(OR(AND(posicao_contratual!$Y24&lt;&gt;"",posicao_contratual!$Y24&gt;IFERROR(VALUE(MID($I$4,2,1)),-1)),AND(posicao_contratual!$Z24,ISNUMBER(C24),C24&lt;=0)),"ITEM POSTERIOR A REFERENCIA",IF(D24="","REMANESCENTE DE REFERENCIA INDISPONIVEL",IF(AND(ISNUMBER(D24),ISNUMBER(C24),D24&gt;C24),"REMANESCENTE DE REFERENCIA SUPERA POSICAO CONTRATUAL","OK")))))))))</f>
        <v/>
      </c>
      <c r="I24" s="226"/>
      <c r="K24" s="179" t="str">
        <f>IF(A24="","",itens_Remanesc!C24)</f>
        <v/>
      </c>
      <c r="L24" s="179" t="str">
        <f>IF(A24="","",IF($I$4="C0",posicao_contratual!G24,IF($I$4="C1",posicao_contratual!K24,IF($I$4="C2",posicao_contratual!O24,IF($I$4="C3",posicao_contratual!S24,IF($I$4="C4",posicao_contratual!W24,""))))))</f>
        <v/>
      </c>
      <c r="M24" s="179" t="str">
        <f ca="1">IF(OR(A24="",$I$5="",$I$6=""),"",ROUND(SUMIFS(aditivos!$L$2:$L$200,aditivos!$A$2:$A$200,A24,aditivos!$B$2:$B$200,"&gt;"&amp;$I$6,aditivos!$B$2:$B$200,"&lt;="&amp;$I$5),2))</f>
        <v/>
      </c>
      <c r="N24" s="179" t="str">
        <f t="shared" si="1"/>
        <v/>
      </c>
      <c r="O24" s="179" t="str">
        <f ca="1">IF(OR(A24="",D24="",NOT(ISNUMBER(IF($I$4="C0",historico_VU!C24,IF($I$4="C1",historico_VU!D24,IF($I$4="C2",historico_VU!E24,IF($I$4="C3",historico_VU!F24,IF($I$4="C4",historico_VU!G24,"")))))))),"",ROUND(D24*IF($I$4="C0",historico_VU!C24,IF($I$4="C1",historico_VU!D24,IF($I$4="C2",historico_VU!E24,IF($I$4="C3",historico_VU!F24,IF($I$4="C4",historico_VU!G24,""))))),2))</f>
        <v/>
      </c>
      <c r="P24" s="179" t="str">
        <f ca="1">IF(OR(A24="",N24="",NOT(ISNUMBER(IF($I$4="C0",historico_VU!C24,IF($I$4="C1",historico_VU!D24,IF($I$4="C2",historico_VU!E24,IF($I$4="C3",historico_VU!F24,IF($I$4="C4",historico_VU!G24,"")))))))),"",ROUND(N24*IF($I$4="C0",historico_VU!C24,IF($I$4="C1",historico_VU!D24,IF($I$4="C2",historico_VU!E24,IF($I$4="C3",historico_VU!F24,IF($I$4="C4",historico_VU!G24,""))))),2))</f>
        <v/>
      </c>
      <c r="Q24" s="179" t="str">
        <f t="shared" si="2"/>
        <v/>
      </c>
      <c r="R24" s="179" t="str">
        <f ca="1">IF(OR(A24="",L24="",NOT(ISNUMBER(IF($I$4="C0",historico_VU!C24,IF($I$4="C1",historico_VU!D24,IF($I$4="C2",historico_VU!E24,IF($I$4="C3",historico_VU!F24,IF($I$4="C4",historico_VU!G24,"")))))))),"",ROUND(L24*IF($I$4="C0",historico_VU!C24,IF($I$4="C1",historico_VU!D24,IF($I$4="C2",historico_VU!E24,IF($I$4="C3",historico_VU!F24,IF($I$4="C4",historico_VU!G24,""))))),2))</f>
        <v/>
      </c>
    </row>
    <row r="25" spans="1:18" x14ac:dyDescent="0.35">
      <c r="A25" s="81" t="str">
        <f>IF(itens_Remanesc!A25="","",itens_Remanesc!A25)</f>
        <v/>
      </c>
      <c r="B25" s="217" t="str">
        <f t="shared" ca="1" si="3"/>
        <v/>
      </c>
      <c r="C25" s="218" t="str">
        <f>IF(A25="","",IF($I$5="","POSICAO DE REFERENCIA INDISPONIVEL",ROUND(IF(itens_Remanesc!B25="",0,itens_Remanesc!B25)+SUMIFS(aditivos!$L$2:$L$200,aditivos!$A$2:$A$200,A25,aditivos!$B$2:$B$200,"&lt;="&amp;$I$5),2)))</f>
        <v/>
      </c>
      <c r="D25" s="218" t="str">
        <f>IF(A25="","",IF($I$4="","",IF($I$2,IF(ISNUMBER(B25),B25,""),IF($I$4="C0",posicao_contratual!G25,IF($I$4="C1",posicao_contratual!K25,IF($I$4="C2",posicao_contratual!O25,IF($I$4="C3",posicao_contratual!S25,IF($I$4="C4",posicao_contratual!W25,""))))))))</f>
        <v/>
      </c>
      <c r="E25" s="219" t="str">
        <f t="shared" si="0"/>
        <v/>
      </c>
      <c r="F25" s="81" t="str">
        <f>IF(A25="","",IF(COUNTIF($A$2:$A$200,A25)&gt;1,"ITEM DUPLICADO",IF($I$4="","POSICAO DE REFERENCIA INDISPONIVEL",IF(AND(B25&lt;&gt;"",NOT(ISNUMBER(B25))),"QTD NAO NUMERICA",IF(AND(ISNUMBER(B25),B25&lt;0),"NEGATIVO NAO PERMITIDO",IF(NOT(ISNUMBER(C25)),"POSICAO CONTRATUAL INDISPONIVEL",IF(OR(AND(posicao_contratual!$Y25&lt;&gt;"",posicao_contratual!$Y25&gt;IFERROR(VALUE(MID($I$4,2,1)),-1)),AND(posicao_contratual!$Z25,ISNUMBER(C25),C25&lt;=0)),"ITEM POSTERIOR A REFERENCIA",IF(D25="","REMANESCENTE DE REFERENCIA INDISPONIVEL",IF(AND(ISNUMBER(D25),ISNUMBER(C25),D25&gt;C25),"REMANESCENTE DE REFERENCIA SUPERA POSICAO CONTRATUAL","OK")))))))))</f>
        <v/>
      </c>
      <c r="I25" s="226"/>
      <c r="K25" s="179" t="str">
        <f>IF(A25="","",itens_Remanesc!C25)</f>
        <v/>
      </c>
      <c r="L25" s="179" t="str">
        <f>IF(A25="","",IF($I$4="C0",posicao_contratual!G25,IF($I$4="C1",posicao_contratual!K25,IF($I$4="C2",posicao_contratual!O25,IF($I$4="C3",posicao_contratual!S25,IF($I$4="C4",posicao_contratual!W25,""))))))</f>
        <v/>
      </c>
      <c r="M25" s="179" t="str">
        <f ca="1">IF(OR(A25="",$I$5="",$I$6=""),"",ROUND(SUMIFS(aditivos!$L$2:$L$200,aditivos!$A$2:$A$200,A25,aditivos!$B$2:$B$200,"&gt;"&amp;$I$6,aditivos!$B$2:$B$200,"&lt;="&amp;$I$5),2))</f>
        <v/>
      </c>
      <c r="N25" s="179" t="str">
        <f t="shared" si="1"/>
        <v/>
      </c>
      <c r="O25" s="179" t="str">
        <f ca="1">IF(OR(A25="",D25="",NOT(ISNUMBER(IF($I$4="C0",historico_VU!C25,IF($I$4="C1",historico_VU!D25,IF($I$4="C2",historico_VU!E25,IF($I$4="C3",historico_VU!F25,IF($I$4="C4",historico_VU!G25,"")))))))),"",ROUND(D25*IF($I$4="C0",historico_VU!C25,IF($I$4="C1",historico_VU!D25,IF($I$4="C2",historico_VU!E25,IF($I$4="C3",historico_VU!F25,IF($I$4="C4",historico_VU!G25,""))))),2))</f>
        <v/>
      </c>
      <c r="P25" s="179" t="str">
        <f ca="1">IF(OR(A25="",N25="",NOT(ISNUMBER(IF($I$4="C0",historico_VU!C25,IF($I$4="C1",historico_VU!D25,IF($I$4="C2",historico_VU!E25,IF($I$4="C3",historico_VU!F25,IF($I$4="C4",historico_VU!G25,"")))))))),"",ROUND(N25*IF($I$4="C0",historico_VU!C25,IF($I$4="C1",historico_VU!D25,IF($I$4="C2",historico_VU!E25,IF($I$4="C3",historico_VU!F25,IF($I$4="C4",historico_VU!G25,""))))),2))</f>
        <v/>
      </c>
      <c r="Q25" s="179" t="str">
        <f t="shared" si="2"/>
        <v/>
      </c>
      <c r="R25" s="179" t="str">
        <f ca="1">IF(OR(A25="",L25="",NOT(ISNUMBER(IF($I$4="C0",historico_VU!C25,IF($I$4="C1",historico_VU!D25,IF($I$4="C2",historico_VU!E25,IF($I$4="C3",historico_VU!F25,IF($I$4="C4",historico_VU!G25,"")))))))),"",ROUND(L25*IF($I$4="C0",historico_VU!C25,IF($I$4="C1",historico_VU!D25,IF($I$4="C2",historico_VU!E25,IF($I$4="C3",historico_VU!F25,IF($I$4="C4",historico_VU!G25,""))))),2))</f>
        <v/>
      </c>
    </row>
    <row r="26" spans="1:18" x14ac:dyDescent="0.35">
      <c r="A26" s="81" t="str">
        <f>IF(itens_Remanesc!A26="","",itens_Remanesc!A26)</f>
        <v/>
      </c>
      <c r="B26" s="217" t="str">
        <f t="shared" ca="1" si="3"/>
        <v/>
      </c>
      <c r="C26" s="218" t="str">
        <f>IF(A26="","",IF($I$5="","POSICAO DE REFERENCIA INDISPONIVEL",ROUND(IF(itens_Remanesc!B26="",0,itens_Remanesc!B26)+SUMIFS(aditivos!$L$2:$L$200,aditivos!$A$2:$A$200,A26,aditivos!$B$2:$B$200,"&lt;="&amp;$I$5),2)))</f>
        <v/>
      </c>
      <c r="D26" s="218" t="str">
        <f>IF(A26="","",IF($I$4="","",IF($I$2,IF(ISNUMBER(B26),B26,""),IF($I$4="C0",posicao_contratual!G26,IF($I$4="C1",posicao_contratual!K26,IF($I$4="C2",posicao_contratual!O26,IF($I$4="C3",posicao_contratual!S26,IF($I$4="C4",posicao_contratual!W26,""))))))))</f>
        <v/>
      </c>
      <c r="E26" s="219" t="str">
        <f t="shared" si="0"/>
        <v/>
      </c>
      <c r="F26" s="81" t="str">
        <f>IF(A26="","",IF(COUNTIF($A$2:$A$200,A26)&gt;1,"ITEM DUPLICADO",IF($I$4="","POSICAO DE REFERENCIA INDISPONIVEL",IF(AND(B26&lt;&gt;"",NOT(ISNUMBER(B26))),"QTD NAO NUMERICA",IF(AND(ISNUMBER(B26),B26&lt;0),"NEGATIVO NAO PERMITIDO",IF(NOT(ISNUMBER(C26)),"POSICAO CONTRATUAL INDISPONIVEL",IF(OR(AND(posicao_contratual!$Y26&lt;&gt;"",posicao_contratual!$Y26&gt;IFERROR(VALUE(MID($I$4,2,1)),-1)),AND(posicao_contratual!$Z26,ISNUMBER(C26),C26&lt;=0)),"ITEM POSTERIOR A REFERENCIA",IF(D26="","REMANESCENTE DE REFERENCIA INDISPONIVEL",IF(AND(ISNUMBER(D26),ISNUMBER(C26),D26&gt;C26),"REMANESCENTE DE REFERENCIA SUPERA POSICAO CONTRATUAL","OK")))))))))</f>
        <v/>
      </c>
      <c r="I26" s="226"/>
      <c r="K26" s="179" t="str">
        <f>IF(A26="","",itens_Remanesc!C26)</f>
        <v/>
      </c>
      <c r="L26" s="179" t="str">
        <f>IF(A26="","",IF($I$4="C0",posicao_contratual!G26,IF($I$4="C1",posicao_contratual!K26,IF($I$4="C2",posicao_contratual!O26,IF($I$4="C3",posicao_contratual!S26,IF($I$4="C4",posicao_contratual!W26,""))))))</f>
        <v/>
      </c>
      <c r="M26" s="179" t="str">
        <f ca="1">IF(OR(A26="",$I$5="",$I$6=""),"",ROUND(SUMIFS(aditivos!$L$2:$L$200,aditivos!$A$2:$A$200,A26,aditivos!$B$2:$B$200,"&gt;"&amp;$I$6,aditivos!$B$2:$B$200,"&lt;="&amp;$I$5),2))</f>
        <v/>
      </c>
      <c r="N26" s="179" t="str">
        <f t="shared" si="1"/>
        <v/>
      </c>
      <c r="O26" s="179" t="str">
        <f ca="1">IF(OR(A26="",D26="",NOT(ISNUMBER(IF($I$4="C0",historico_VU!C26,IF($I$4="C1",historico_VU!D26,IF($I$4="C2",historico_VU!E26,IF($I$4="C3",historico_VU!F26,IF($I$4="C4",historico_VU!G26,"")))))))),"",ROUND(D26*IF($I$4="C0",historico_VU!C26,IF($I$4="C1",historico_VU!D26,IF($I$4="C2",historico_VU!E26,IF($I$4="C3",historico_VU!F26,IF($I$4="C4",historico_VU!G26,""))))),2))</f>
        <v/>
      </c>
      <c r="P26" s="179" t="str">
        <f ca="1">IF(OR(A26="",N26="",NOT(ISNUMBER(IF($I$4="C0",historico_VU!C26,IF($I$4="C1",historico_VU!D26,IF($I$4="C2",historico_VU!E26,IF($I$4="C3",historico_VU!F26,IF($I$4="C4",historico_VU!G26,"")))))))),"",ROUND(N26*IF($I$4="C0",historico_VU!C26,IF($I$4="C1",historico_VU!D26,IF($I$4="C2",historico_VU!E26,IF($I$4="C3",historico_VU!F26,IF($I$4="C4",historico_VU!G26,""))))),2))</f>
        <v/>
      </c>
      <c r="Q26" s="179" t="str">
        <f t="shared" si="2"/>
        <v/>
      </c>
      <c r="R26" s="179" t="str">
        <f ca="1">IF(OR(A26="",L26="",NOT(ISNUMBER(IF($I$4="C0",historico_VU!C26,IF($I$4="C1",historico_VU!D26,IF($I$4="C2",historico_VU!E26,IF($I$4="C3",historico_VU!F26,IF($I$4="C4",historico_VU!G26,"")))))))),"",ROUND(L26*IF($I$4="C0",historico_VU!C26,IF($I$4="C1",historico_VU!D26,IF($I$4="C2",historico_VU!E26,IF($I$4="C3",historico_VU!F26,IF($I$4="C4",historico_VU!G26,""))))),2))</f>
        <v/>
      </c>
    </row>
    <row r="27" spans="1:18" x14ac:dyDescent="0.35">
      <c r="A27" s="81" t="str">
        <f>IF(itens_Remanesc!A27="","",itens_Remanesc!A27)</f>
        <v/>
      </c>
      <c r="B27" s="217" t="str">
        <f t="shared" ca="1" si="3"/>
        <v/>
      </c>
      <c r="C27" s="218" t="str">
        <f>IF(A27="","",IF($I$5="","POSICAO DE REFERENCIA INDISPONIVEL",ROUND(IF(itens_Remanesc!B27="",0,itens_Remanesc!B27)+SUMIFS(aditivos!$L$2:$L$200,aditivos!$A$2:$A$200,A27,aditivos!$B$2:$B$200,"&lt;="&amp;$I$5),2)))</f>
        <v/>
      </c>
      <c r="D27" s="218" t="str">
        <f>IF(A27="","",IF($I$4="","",IF($I$2,IF(ISNUMBER(B27),B27,""),IF($I$4="C0",posicao_contratual!G27,IF($I$4="C1",posicao_contratual!K27,IF($I$4="C2",posicao_contratual!O27,IF($I$4="C3",posicao_contratual!S27,IF($I$4="C4",posicao_contratual!W27,""))))))))</f>
        <v/>
      </c>
      <c r="E27" s="219" t="str">
        <f t="shared" si="0"/>
        <v/>
      </c>
      <c r="F27" s="81" t="str">
        <f>IF(A27="","",IF(COUNTIF($A$2:$A$200,A27)&gt;1,"ITEM DUPLICADO",IF($I$4="","POSICAO DE REFERENCIA INDISPONIVEL",IF(AND(B27&lt;&gt;"",NOT(ISNUMBER(B27))),"QTD NAO NUMERICA",IF(AND(ISNUMBER(B27),B27&lt;0),"NEGATIVO NAO PERMITIDO",IF(NOT(ISNUMBER(C27)),"POSICAO CONTRATUAL INDISPONIVEL",IF(OR(AND(posicao_contratual!$Y27&lt;&gt;"",posicao_contratual!$Y27&gt;IFERROR(VALUE(MID($I$4,2,1)),-1)),AND(posicao_contratual!$Z27,ISNUMBER(C27),C27&lt;=0)),"ITEM POSTERIOR A REFERENCIA",IF(D27="","REMANESCENTE DE REFERENCIA INDISPONIVEL",IF(AND(ISNUMBER(D27),ISNUMBER(C27),D27&gt;C27),"REMANESCENTE DE REFERENCIA SUPERA POSICAO CONTRATUAL","OK")))))))))</f>
        <v/>
      </c>
      <c r="I27" s="226"/>
      <c r="K27" s="179" t="str">
        <f>IF(A27="","",itens_Remanesc!C27)</f>
        <v/>
      </c>
      <c r="L27" s="179" t="str">
        <f>IF(A27="","",IF($I$4="C0",posicao_contratual!G27,IF($I$4="C1",posicao_contratual!K27,IF($I$4="C2",posicao_contratual!O27,IF($I$4="C3",posicao_contratual!S27,IF($I$4="C4",posicao_contratual!W27,""))))))</f>
        <v/>
      </c>
      <c r="M27" s="179" t="str">
        <f ca="1">IF(OR(A27="",$I$5="",$I$6=""),"",ROUND(SUMIFS(aditivos!$L$2:$L$200,aditivos!$A$2:$A$200,A27,aditivos!$B$2:$B$200,"&gt;"&amp;$I$6,aditivos!$B$2:$B$200,"&lt;="&amp;$I$5),2))</f>
        <v/>
      </c>
      <c r="N27" s="179" t="str">
        <f t="shared" si="1"/>
        <v/>
      </c>
      <c r="O27" s="179" t="str">
        <f ca="1">IF(OR(A27="",D27="",NOT(ISNUMBER(IF($I$4="C0",historico_VU!C27,IF($I$4="C1",historico_VU!D27,IF($I$4="C2",historico_VU!E27,IF($I$4="C3",historico_VU!F27,IF($I$4="C4",historico_VU!G27,"")))))))),"",ROUND(D27*IF($I$4="C0",historico_VU!C27,IF($I$4="C1",historico_VU!D27,IF($I$4="C2",historico_VU!E27,IF($I$4="C3",historico_VU!F27,IF($I$4="C4",historico_VU!G27,""))))),2))</f>
        <v/>
      </c>
      <c r="P27" s="179" t="str">
        <f ca="1">IF(OR(A27="",N27="",NOT(ISNUMBER(IF($I$4="C0",historico_VU!C27,IF($I$4="C1",historico_VU!D27,IF($I$4="C2",historico_VU!E27,IF($I$4="C3",historico_VU!F27,IF($I$4="C4",historico_VU!G27,"")))))))),"",ROUND(N27*IF($I$4="C0",historico_VU!C27,IF($I$4="C1",historico_VU!D27,IF($I$4="C2",historico_VU!E27,IF($I$4="C3",historico_VU!F27,IF($I$4="C4",historico_VU!G27,""))))),2))</f>
        <v/>
      </c>
      <c r="Q27" s="179" t="str">
        <f t="shared" si="2"/>
        <v/>
      </c>
      <c r="R27" s="179" t="str">
        <f ca="1">IF(OR(A27="",L27="",NOT(ISNUMBER(IF($I$4="C0",historico_VU!C27,IF($I$4="C1",historico_VU!D27,IF($I$4="C2",historico_VU!E27,IF($I$4="C3",historico_VU!F27,IF($I$4="C4",historico_VU!G27,"")))))))),"",ROUND(L27*IF($I$4="C0",historico_VU!C27,IF($I$4="C1",historico_VU!D27,IF($I$4="C2",historico_VU!E27,IF($I$4="C3",historico_VU!F27,IF($I$4="C4",historico_VU!G27,""))))),2))</f>
        <v/>
      </c>
    </row>
    <row r="28" spans="1:18" x14ac:dyDescent="0.35">
      <c r="A28" s="81" t="str">
        <f>IF(itens_Remanesc!A28="","",itens_Remanesc!A28)</f>
        <v/>
      </c>
      <c r="B28" s="217" t="str">
        <f t="shared" ca="1" si="3"/>
        <v/>
      </c>
      <c r="C28" s="218" t="str">
        <f>IF(A28="","",IF($I$5="","POSICAO DE REFERENCIA INDISPONIVEL",ROUND(IF(itens_Remanesc!B28="",0,itens_Remanesc!B28)+SUMIFS(aditivos!$L$2:$L$200,aditivos!$A$2:$A$200,A28,aditivos!$B$2:$B$200,"&lt;="&amp;$I$5),2)))</f>
        <v/>
      </c>
      <c r="D28" s="218" t="str">
        <f>IF(A28="","",IF($I$4="","",IF($I$2,IF(ISNUMBER(B28),B28,""),IF($I$4="C0",posicao_contratual!G28,IF($I$4="C1",posicao_contratual!K28,IF($I$4="C2",posicao_contratual!O28,IF($I$4="C3",posicao_contratual!S28,IF($I$4="C4",posicao_contratual!W28,""))))))))</f>
        <v/>
      </c>
      <c r="E28" s="219" t="str">
        <f t="shared" si="0"/>
        <v/>
      </c>
      <c r="F28" s="81" t="str">
        <f>IF(A28="","",IF(COUNTIF($A$2:$A$200,A28)&gt;1,"ITEM DUPLICADO",IF($I$4="","POSICAO DE REFERENCIA INDISPONIVEL",IF(AND(B28&lt;&gt;"",NOT(ISNUMBER(B28))),"QTD NAO NUMERICA",IF(AND(ISNUMBER(B28),B28&lt;0),"NEGATIVO NAO PERMITIDO",IF(NOT(ISNUMBER(C28)),"POSICAO CONTRATUAL INDISPONIVEL",IF(OR(AND(posicao_contratual!$Y28&lt;&gt;"",posicao_contratual!$Y28&gt;IFERROR(VALUE(MID($I$4,2,1)),-1)),AND(posicao_contratual!$Z28,ISNUMBER(C28),C28&lt;=0)),"ITEM POSTERIOR A REFERENCIA",IF(D28="","REMANESCENTE DE REFERENCIA INDISPONIVEL",IF(AND(ISNUMBER(D28),ISNUMBER(C28),D28&gt;C28),"REMANESCENTE DE REFERENCIA SUPERA POSICAO CONTRATUAL","OK")))))))))</f>
        <v/>
      </c>
      <c r="I28" s="226"/>
      <c r="K28" s="179" t="str">
        <f>IF(A28="","",itens_Remanesc!C28)</f>
        <v/>
      </c>
      <c r="L28" s="179" t="str">
        <f>IF(A28="","",IF($I$4="C0",posicao_contratual!G28,IF($I$4="C1",posicao_contratual!K28,IF($I$4="C2",posicao_contratual!O28,IF($I$4="C3",posicao_contratual!S28,IF($I$4="C4",posicao_contratual!W28,""))))))</f>
        <v/>
      </c>
      <c r="M28" s="179" t="str">
        <f ca="1">IF(OR(A28="",$I$5="",$I$6=""),"",ROUND(SUMIFS(aditivos!$L$2:$L$200,aditivos!$A$2:$A$200,A28,aditivos!$B$2:$B$200,"&gt;"&amp;$I$6,aditivos!$B$2:$B$200,"&lt;="&amp;$I$5),2))</f>
        <v/>
      </c>
      <c r="N28" s="179" t="str">
        <f t="shared" si="1"/>
        <v/>
      </c>
      <c r="O28" s="179" t="str">
        <f ca="1">IF(OR(A28="",D28="",NOT(ISNUMBER(IF($I$4="C0",historico_VU!C28,IF($I$4="C1",historico_VU!D28,IF($I$4="C2",historico_VU!E28,IF($I$4="C3",historico_VU!F28,IF($I$4="C4",historico_VU!G28,"")))))))),"",ROUND(D28*IF($I$4="C0",historico_VU!C28,IF($I$4="C1",historico_VU!D28,IF($I$4="C2",historico_VU!E28,IF($I$4="C3",historico_VU!F28,IF($I$4="C4",historico_VU!G28,""))))),2))</f>
        <v/>
      </c>
      <c r="P28" s="179" t="str">
        <f ca="1">IF(OR(A28="",N28="",NOT(ISNUMBER(IF($I$4="C0",historico_VU!C28,IF($I$4="C1",historico_VU!D28,IF($I$4="C2",historico_VU!E28,IF($I$4="C3",historico_VU!F28,IF($I$4="C4",historico_VU!G28,"")))))))),"",ROUND(N28*IF($I$4="C0",historico_VU!C28,IF($I$4="C1",historico_VU!D28,IF($I$4="C2",historico_VU!E28,IF($I$4="C3",historico_VU!F28,IF($I$4="C4",historico_VU!G28,""))))),2))</f>
        <v/>
      </c>
      <c r="Q28" s="179" t="str">
        <f t="shared" si="2"/>
        <v/>
      </c>
      <c r="R28" s="179" t="str">
        <f ca="1">IF(OR(A28="",L28="",NOT(ISNUMBER(IF($I$4="C0",historico_VU!C28,IF($I$4="C1",historico_VU!D28,IF($I$4="C2",historico_VU!E28,IF($I$4="C3",historico_VU!F28,IF($I$4="C4",historico_VU!G28,"")))))))),"",ROUND(L28*IF($I$4="C0",historico_VU!C28,IF($I$4="C1",historico_VU!D28,IF($I$4="C2",historico_VU!E28,IF($I$4="C3",historico_VU!F28,IF($I$4="C4",historico_VU!G28,""))))),2))</f>
        <v/>
      </c>
    </row>
    <row r="29" spans="1:18" x14ac:dyDescent="0.35">
      <c r="A29" s="81" t="str">
        <f>IF(itens_Remanesc!A29="","",itens_Remanesc!A29)</f>
        <v/>
      </c>
      <c r="B29" s="217" t="str">
        <f t="shared" ca="1" si="3"/>
        <v/>
      </c>
      <c r="C29" s="218" t="str">
        <f>IF(A29="","",IF($I$5="","POSICAO DE REFERENCIA INDISPONIVEL",ROUND(IF(itens_Remanesc!B29="",0,itens_Remanesc!B29)+SUMIFS(aditivos!$L$2:$L$200,aditivos!$A$2:$A$200,A29,aditivos!$B$2:$B$200,"&lt;="&amp;$I$5),2)))</f>
        <v/>
      </c>
      <c r="D29" s="218" t="str">
        <f>IF(A29="","",IF($I$4="","",IF($I$2,IF(ISNUMBER(B29),B29,""),IF($I$4="C0",posicao_contratual!G29,IF($I$4="C1",posicao_contratual!K29,IF($I$4="C2",posicao_contratual!O29,IF($I$4="C3",posicao_contratual!S29,IF($I$4="C4",posicao_contratual!W29,""))))))))</f>
        <v/>
      </c>
      <c r="E29" s="219" t="str">
        <f t="shared" si="0"/>
        <v/>
      </c>
      <c r="F29" s="81" t="str">
        <f>IF(A29="","",IF(COUNTIF($A$2:$A$200,A29)&gt;1,"ITEM DUPLICADO",IF($I$4="","POSICAO DE REFERENCIA INDISPONIVEL",IF(AND(B29&lt;&gt;"",NOT(ISNUMBER(B29))),"QTD NAO NUMERICA",IF(AND(ISNUMBER(B29),B29&lt;0),"NEGATIVO NAO PERMITIDO",IF(NOT(ISNUMBER(C29)),"POSICAO CONTRATUAL INDISPONIVEL",IF(OR(AND(posicao_contratual!$Y29&lt;&gt;"",posicao_contratual!$Y29&gt;IFERROR(VALUE(MID($I$4,2,1)),-1)),AND(posicao_contratual!$Z29,ISNUMBER(C29),C29&lt;=0)),"ITEM POSTERIOR A REFERENCIA",IF(D29="","REMANESCENTE DE REFERENCIA INDISPONIVEL",IF(AND(ISNUMBER(D29),ISNUMBER(C29),D29&gt;C29),"REMANESCENTE DE REFERENCIA SUPERA POSICAO CONTRATUAL","OK")))))))))</f>
        <v/>
      </c>
      <c r="I29" s="226"/>
      <c r="K29" s="179" t="str">
        <f>IF(A29="","",itens_Remanesc!C29)</f>
        <v/>
      </c>
      <c r="L29" s="179" t="str">
        <f>IF(A29="","",IF($I$4="C0",posicao_contratual!G29,IF($I$4="C1",posicao_contratual!K29,IF($I$4="C2",posicao_contratual!O29,IF($I$4="C3",posicao_contratual!S29,IF($I$4="C4",posicao_contratual!W29,""))))))</f>
        <v/>
      </c>
      <c r="M29" s="179" t="str">
        <f ca="1">IF(OR(A29="",$I$5="",$I$6=""),"",ROUND(SUMIFS(aditivos!$L$2:$L$200,aditivos!$A$2:$A$200,A29,aditivos!$B$2:$B$200,"&gt;"&amp;$I$6,aditivos!$B$2:$B$200,"&lt;="&amp;$I$5),2))</f>
        <v/>
      </c>
      <c r="N29" s="179" t="str">
        <f t="shared" si="1"/>
        <v/>
      </c>
      <c r="O29" s="179" t="str">
        <f ca="1">IF(OR(A29="",D29="",NOT(ISNUMBER(IF($I$4="C0",historico_VU!C29,IF($I$4="C1",historico_VU!D29,IF($I$4="C2",historico_VU!E29,IF($I$4="C3",historico_VU!F29,IF($I$4="C4",historico_VU!G29,"")))))))),"",ROUND(D29*IF($I$4="C0",historico_VU!C29,IF($I$4="C1",historico_VU!D29,IF($I$4="C2",historico_VU!E29,IF($I$4="C3",historico_VU!F29,IF($I$4="C4",historico_VU!G29,""))))),2))</f>
        <v/>
      </c>
      <c r="P29" s="179" t="str">
        <f ca="1">IF(OR(A29="",N29="",NOT(ISNUMBER(IF($I$4="C0",historico_VU!C29,IF($I$4="C1",historico_VU!D29,IF($I$4="C2",historico_VU!E29,IF($I$4="C3",historico_VU!F29,IF($I$4="C4",historico_VU!G29,"")))))))),"",ROUND(N29*IF($I$4="C0",historico_VU!C29,IF($I$4="C1",historico_VU!D29,IF($I$4="C2",historico_VU!E29,IF($I$4="C3",historico_VU!F29,IF($I$4="C4",historico_VU!G29,""))))),2))</f>
        <v/>
      </c>
      <c r="Q29" s="179" t="str">
        <f t="shared" si="2"/>
        <v/>
      </c>
      <c r="R29" s="179" t="str">
        <f ca="1">IF(OR(A29="",L29="",NOT(ISNUMBER(IF($I$4="C0",historico_VU!C29,IF($I$4="C1",historico_VU!D29,IF($I$4="C2",historico_VU!E29,IF($I$4="C3",historico_VU!F29,IF($I$4="C4",historico_VU!G29,"")))))))),"",ROUND(L29*IF($I$4="C0",historico_VU!C29,IF($I$4="C1",historico_VU!D29,IF($I$4="C2",historico_VU!E29,IF($I$4="C3",historico_VU!F29,IF($I$4="C4",historico_VU!G29,""))))),2))</f>
        <v/>
      </c>
    </row>
    <row r="30" spans="1:18" x14ac:dyDescent="0.35">
      <c r="A30" s="81" t="str">
        <f>IF(itens_Remanesc!A30="","",itens_Remanesc!A30)</f>
        <v/>
      </c>
      <c r="B30" s="217" t="str">
        <f t="shared" ca="1" si="3"/>
        <v/>
      </c>
      <c r="C30" s="218" t="str">
        <f>IF(A30="","",IF($I$5="","POSICAO DE REFERENCIA INDISPONIVEL",ROUND(IF(itens_Remanesc!B30="",0,itens_Remanesc!B30)+SUMIFS(aditivos!$L$2:$L$200,aditivos!$A$2:$A$200,A30,aditivos!$B$2:$B$200,"&lt;="&amp;$I$5),2)))</f>
        <v/>
      </c>
      <c r="D30" s="218" t="str">
        <f>IF(A30="","",IF($I$4="","",IF($I$2,IF(ISNUMBER(B30),B30,""),IF($I$4="C0",posicao_contratual!G30,IF($I$4="C1",posicao_contratual!K30,IF($I$4="C2",posicao_contratual!O30,IF($I$4="C3",posicao_contratual!S30,IF($I$4="C4",posicao_contratual!W30,""))))))))</f>
        <v/>
      </c>
      <c r="E30" s="219" t="str">
        <f t="shared" si="0"/>
        <v/>
      </c>
      <c r="F30" s="81" t="str">
        <f>IF(A30="","",IF(COUNTIF($A$2:$A$200,A30)&gt;1,"ITEM DUPLICADO",IF($I$4="","POSICAO DE REFERENCIA INDISPONIVEL",IF(AND(B30&lt;&gt;"",NOT(ISNUMBER(B30))),"QTD NAO NUMERICA",IF(AND(ISNUMBER(B30),B30&lt;0),"NEGATIVO NAO PERMITIDO",IF(NOT(ISNUMBER(C30)),"POSICAO CONTRATUAL INDISPONIVEL",IF(OR(AND(posicao_contratual!$Y30&lt;&gt;"",posicao_contratual!$Y30&gt;IFERROR(VALUE(MID($I$4,2,1)),-1)),AND(posicao_contratual!$Z30,ISNUMBER(C30),C30&lt;=0)),"ITEM POSTERIOR A REFERENCIA",IF(D30="","REMANESCENTE DE REFERENCIA INDISPONIVEL",IF(AND(ISNUMBER(D30),ISNUMBER(C30),D30&gt;C30),"REMANESCENTE DE REFERENCIA SUPERA POSICAO CONTRATUAL","OK")))))))))</f>
        <v/>
      </c>
      <c r="I30" s="226"/>
      <c r="K30" s="179" t="str">
        <f>IF(A30="","",itens_Remanesc!C30)</f>
        <v/>
      </c>
      <c r="L30" s="179" t="str">
        <f>IF(A30="","",IF($I$4="C0",posicao_contratual!G30,IF($I$4="C1",posicao_contratual!K30,IF($I$4="C2",posicao_contratual!O30,IF($I$4="C3",posicao_contratual!S30,IF($I$4="C4",posicao_contratual!W30,""))))))</f>
        <v/>
      </c>
      <c r="M30" s="179" t="str">
        <f ca="1">IF(OR(A30="",$I$5="",$I$6=""),"",ROUND(SUMIFS(aditivos!$L$2:$L$200,aditivos!$A$2:$A$200,A30,aditivos!$B$2:$B$200,"&gt;"&amp;$I$6,aditivos!$B$2:$B$200,"&lt;="&amp;$I$5),2))</f>
        <v/>
      </c>
      <c r="N30" s="179" t="str">
        <f t="shared" si="1"/>
        <v/>
      </c>
      <c r="O30" s="179" t="str">
        <f ca="1">IF(OR(A30="",D30="",NOT(ISNUMBER(IF($I$4="C0",historico_VU!C30,IF($I$4="C1",historico_VU!D30,IF($I$4="C2",historico_VU!E30,IF($I$4="C3",historico_VU!F30,IF($I$4="C4",historico_VU!G30,"")))))))),"",ROUND(D30*IF($I$4="C0",historico_VU!C30,IF($I$4="C1",historico_VU!D30,IF($I$4="C2",historico_VU!E30,IF($I$4="C3",historico_VU!F30,IF($I$4="C4",historico_VU!G30,""))))),2))</f>
        <v/>
      </c>
      <c r="P30" s="179" t="str">
        <f ca="1">IF(OR(A30="",N30="",NOT(ISNUMBER(IF($I$4="C0",historico_VU!C30,IF($I$4="C1",historico_VU!D30,IF($I$4="C2",historico_VU!E30,IF($I$4="C3",historico_VU!F30,IF($I$4="C4",historico_VU!G30,"")))))))),"",ROUND(N30*IF($I$4="C0",historico_VU!C30,IF($I$4="C1",historico_VU!D30,IF($I$4="C2",historico_VU!E30,IF($I$4="C3",historico_VU!F30,IF($I$4="C4",historico_VU!G30,""))))),2))</f>
        <v/>
      </c>
      <c r="Q30" s="179" t="str">
        <f t="shared" si="2"/>
        <v/>
      </c>
      <c r="R30" s="179" t="str">
        <f ca="1">IF(OR(A30="",L30="",NOT(ISNUMBER(IF($I$4="C0",historico_VU!C30,IF($I$4="C1",historico_VU!D30,IF($I$4="C2",historico_VU!E30,IF($I$4="C3",historico_VU!F30,IF($I$4="C4",historico_VU!G30,"")))))))),"",ROUND(L30*IF($I$4="C0",historico_VU!C30,IF($I$4="C1",historico_VU!D30,IF($I$4="C2",historico_VU!E30,IF($I$4="C3",historico_VU!F30,IF($I$4="C4",historico_VU!G30,""))))),2))</f>
        <v/>
      </c>
    </row>
    <row r="31" spans="1:18" x14ac:dyDescent="0.35">
      <c r="A31" s="81" t="str">
        <f>IF(itens_Remanesc!A31="","",itens_Remanesc!A31)</f>
        <v/>
      </c>
      <c r="B31" s="217" t="str">
        <f t="shared" ca="1" si="3"/>
        <v/>
      </c>
      <c r="C31" s="218" t="str">
        <f>IF(A31="","",IF($I$5="","POSICAO DE REFERENCIA INDISPONIVEL",ROUND(IF(itens_Remanesc!B31="",0,itens_Remanesc!B31)+SUMIFS(aditivos!$L$2:$L$200,aditivos!$A$2:$A$200,A31,aditivos!$B$2:$B$200,"&lt;="&amp;$I$5),2)))</f>
        <v/>
      </c>
      <c r="D31" s="218" t="str">
        <f>IF(A31="","",IF($I$4="","",IF($I$2,IF(ISNUMBER(B31),B31,""),IF($I$4="C0",posicao_contratual!G31,IF($I$4="C1",posicao_contratual!K31,IF($I$4="C2",posicao_contratual!O31,IF($I$4="C3",posicao_contratual!S31,IF($I$4="C4",posicao_contratual!W31,""))))))))</f>
        <v/>
      </c>
      <c r="E31" s="219" t="str">
        <f t="shared" si="0"/>
        <v/>
      </c>
      <c r="F31" s="81" t="str">
        <f>IF(A31="","",IF(COUNTIF($A$2:$A$200,A31)&gt;1,"ITEM DUPLICADO",IF($I$4="","POSICAO DE REFERENCIA INDISPONIVEL",IF(AND(B31&lt;&gt;"",NOT(ISNUMBER(B31))),"QTD NAO NUMERICA",IF(AND(ISNUMBER(B31),B31&lt;0),"NEGATIVO NAO PERMITIDO",IF(NOT(ISNUMBER(C31)),"POSICAO CONTRATUAL INDISPONIVEL",IF(OR(AND(posicao_contratual!$Y31&lt;&gt;"",posicao_contratual!$Y31&gt;IFERROR(VALUE(MID($I$4,2,1)),-1)),AND(posicao_contratual!$Z31,ISNUMBER(C31),C31&lt;=0)),"ITEM POSTERIOR A REFERENCIA",IF(D31="","REMANESCENTE DE REFERENCIA INDISPONIVEL",IF(AND(ISNUMBER(D31),ISNUMBER(C31),D31&gt;C31),"REMANESCENTE DE REFERENCIA SUPERA POSICAO CONTRATUAL","OK")))))))))</f>
        <v/>
      </c>
      <c r="I31" s="226"/>
      <c r="K31" s="179" t="str">
        <f>IF(A31="","",itens_Remanesc!C31)</f>
        <v/>
      </c>
      <c r="L31" s="179" t="str">
        <f>IF(A31="","",IF($I$4="C0",posicao_contratual!G31,IF($I$4="C1",posicao_contratual!K31,IF($I$4="C2",posicao_contratual!O31,IF($I$4="C3",posicao_contratual!S31,IF($I$4="C4",posicao_contratual!W31,""))))))</f>
        <v/>
      </c>
      <c r="M31" s="179" t="str">
        <f ca="1">IF(OR(A31="",$I$5="",$I$6=""),"",ROUND(SUMIFS(aditivos!$L$2:$L$200,aditivos!$A$2:$A$200,A31,aditivos!$B$2:$B$200,"&gt;"&amp;$I$6,aditivos!$B$2:$B$200,"&lt;="&amp;$I$5),2))</f>
        <v/>
      </c>
      <c r="N31" s="179" t="str">
        <f t="shared" si="1"/>
        <v/>
      </c>
      <c r="O31" s="179" t="str">
        <f ca="1">IF(OR(A31="",D31="",NOT(ISNUMBER(IF($I$4="C0",historico_VU!C31,IF($I$4="C1",historico_VU!D31,IF($I$4="C2",historico_VU!E31,IF($I$4="C3",historico_VU!F31,IF($I$4="C4",historico_VU!G31,"")))))))),"",ROUND(D31*IF($I$4="C0",historico_VU!C31,IF($I$4="C1",historico_VU!D31,IF($I$4="C2",historico_VU!E31,IF($I$4="C3",historico_VU!F31,IF($I$4="C4",historico_VU!G31,""))))),2))</f>
        <v/>
      </c>
      <c r="P31" s="179" t="str">
        <f ca="1">IF(OR(A31="",N31="",NOT(ISNUMBER(IF($I$4="C0",historico_VU!C31,IF($I$4="C1",historico_VU!D31,IF($I$4="C2",historico_VU!E31,IF($I$4="C3",historico_VU!F31,IF($I$4="C4",historico_VU!G31,"")))))))),"",ROUND(N31*IF($I$4="C0",historico_VU!C31,IF($I$4="C1",historico_VU!D31,IF($I$4="C2",historico_VU!E31,IF($I$4="C3",historico_VU!F31,IF($I$4="C4",historico_VU!G31,""))))),2))</f>
        <v/>
      </c>
      <c r="Q31" s="179" t="str">
        <f t="shared" si="2"/>
        <v/>
      </c>
      <c r="R31" s="179" t="str">
        <f ca="1">IF(OR(A31="",L31="",NOT(ISNUMBER(IF($I$4="C0",historico_VU!C31,IF($I$4="C1",historico_VU!D31,IF($I$4="C2",historico_VU!E31,IF($I$4="C3",historico_VU!F31,IF($I$4="C4",historico_VU!G31,"")))))))),"",ROUND(L31*IF($I$4="C0",historico_VU!C31,IF($I$4="C1",historico_VU!D31,IF($I$4="C2",historico_VU!E31,IF($I$4="C3",historico_VU!F31,IF($I$4="C4",historico_VU!G31,""))))),2))</f>
        <v/>
      </c>
    </row>
    <row r="32" spans="1:18" x14ac:dyDescent="0.35">
      <c r="A32" s="81" t="str">
        <f>IF(itens_Remanesc!A32="","",itens_Remanesc!A32)</f>
        <v/>
      </c>
      <c r="B32" s="217" t="str">
        <f t="shared" ca="1" si="3"/>
        <v/>
      </c>
      <c r="C32" s="218" t="str">
        <f>IF(A32="","",IF($I$5="","POSICAO DE REFERENCIA INDISPONIVEL",ROUND(IF(itens_Remanesc!B32="",0,itens_Remanesc!B32)+SUMIFS(aditivos!$L$2:$L$200,aditivos!$A$2:$A$200,A32,aditivos!$B$2:$B$200,"&lt;="&amp;$I$5),2)))</f>
        <v/>
      </c>
      <c r="D32" s="218" t="str">
        <f>IF(A32="","",IF($I$4="","",IF($I$2,IF(ISNUMBER(B32),B32,""),IF($I$4="C0",posicao_contratual!G32,IF($I$4="C1",posicao_contratual!K32,IF($I$4="C2",posicao_contratual!O32,IF($I$4="C3",posicao_contratual!S32,IF($I$4="C4",posicao_contratual!W32,""))))))))</f>
        <v/>
      </c>
      <c r="E32" s="219" t="str">
        <f t="shared" si="0"/>
        <v/>
      </c>
      <c r="F32" s="81" t="str">
        <f>IF(A32="","",IF(COUNTIF($A$2:$A$200,A32)&gt;1,"ITEM DUPLICADO",IF($I$4="","POSICAO DE REFERENCIA INDISPONIVEL",IF(AND(B32&lt;&gt;"",NOT(ISNUMBER(B32))),"QTD NAO NUMERICA",IF(AND(ISNUMBER(B32),B32&lt;0),"NEGATIVO NAO PERMITIDO",IF(NOT(ISNUMBER(C32)),"POSICAO CONTRATUAL INDISPONIVEL",IF(OR(AND(posicao_contratual!$Y32&lt;&gt;"",posicao_contratual!$Y32&gt;IFERROR(VALUE(MID($I$4,2,1)),-1)),AND(posicao_contratual!$Z32,ISNUMBER(C32),C32&lt;=0)),"ITEM POSTERIOR A REFERENCIA",IF(D32="","REMANESCENTE DE REFERENCIA INDISPONIVEL",IF(AND(ISNUMBER(D32),ISNUMBER(C32),D32&gt;C32),"REMANESCENTE DE REFERENCIA SUPERA POSICAO CONTRATUAL","OK")))))))))</f>
        <v/>
      </c>
      <c r="I32" s="226"/>
      <c r="K32" s="179" t="str">
        <f>IF(A32="","",itens_Remanesc!C32)</f>
        <v/>
      </c>
      <c r="L32" s="179" t="str">
        <f>IF(A32="","",IF($I$4="C0",posicao_contratual!G32,IF($I$4="C1",posicao_contratual!K32,IF($I$4="C2",posicao_contratual!O32,IF($I$4="C3",posicao_contratual!S32,IF($I$4="C4",posicao_contratual!W32,""))))))</f>
        <v/>
      </c>
      <c r="M32" s="179" t="str">
        <f ca="1">IF(OR(A32="",$I$5="",$I$6=""),"",ROUND(SUMIFS(aditivos!$L$2:$L$200,aditivos!$A$2:$A$200,A32,aditivos!$B$2:$B$200,"&gt;"&amp;$I$6,aditivos!$B$2:$B$200,"&lt;="&amp;$I$5),2))</f>
        <v/>
      </c>
      <c r="N32" s="179" t="str">
        <f t="shared" si="1"/>
        <v/>
      </c>
      <c r="O32" s="179" t="str">
        <f ca="1">IF(OR(A32="",D32="",NOT(ISNUMBER(IF($I$4="C0",historico_VU!C32,IF($I$4="C1",historico_VU!D32,IF($I$4="C2",historico_VU!E32,IF($I$4="C3",historico_VU!F32,IF($I$4="C4",historico_VU!G32,"")))))))),"",ROUND(D32*IF($I$4="C0",historico_VU!C32,IF($I$4="C1",historico_VU!D32,IF($I$4="C2",historico_VU!E32,IF($I$4="C3",historico_VU!F32,IF($I$4="C4",historico_VU!G32,""))))),2))</f>
        <v/>
      </c>
      <c r="P32" s="179" t="str">
        <f ca="1">IF(OR(A32="",N32="",NOT(ISNUMBER(IF($I$4="C0",historico_VU!C32,IF($I$4="C1",historico_VU!D32,IF($I$4="C2",historico_VU!E32,IF($I$4="C3",historico_VU!F32,IF($I$4="C4",historico_VU!G32,"")))))))),"",ROUND(N32*IF($I$4="C0",historico_VU!C32,IF($I$4="C1",historico_VU!D32,IF($I$4="C2",historico_VU!E32,IF($I$4="C3",historico_VU!F32,IF($I$4="C4",historico_VU!G32,""))))),2))</f>
        <v/>
      </c>
      <c r="Q32" s="179" t="str">
        <f t="shared" si="2"/>
        <v/>
      </c>
      <c r="R32" s="179" t="str">
        <f ca="1">IF(OR(A32="",L32="",NOT(ISNUMBER(IF($I$4="C0",historico_VU!C32,IF($I$4="C1",historico_VU!D32,IF($I$4="C2",historico_VU!E32,IF($I$4="C3",historico_VU!F32,IF($I$4="C4",historico_VU!G32,"")))))))),"",ROUND(L32*IF($I$4="C0",historico_VU!C32,IF($I$4="C1",historico_VU!D32,IF($I$4="C2",historico_VU!E32,IF($I$4="C3",historico_VU!F32,IF($I$4="C4",historico_VU!G32,""))))),2))</f>
        <v/>
      </c>
    </row>
    <row r="33" spans="1:18" x14ac:dyDescent="0.35">
      <c r="A33" s="81" t="str">
        <f>IF(itens_Remanesc!A33="","",itens_Remanesc!A33)</f>
        <v/>
      </c>
      <c r="B33" s="217" t="str">
        <f t="shared" ca="1" si="3"/>
        <v/>
      </c>
      <c r="C33" s="218" t="str">
        <f>IF(A33="","",IF($I$5="","POSICAO DE REFERENCIA INDISPONIVEL",ROUND(IF(itens_Remanesc!B33="",0,itens_Remanesc!B33)+SUMIFS(aditivos!$L$2:$L$200,aditivos!$A$2:$A$200,A33,aditivos!$B$2:$B$200,"&lt;="&amp;$I$5),2)))</f>
        <v/>
      </c>
      <c r="D33" s="218" t="str">
        <f>IF(A33="","",IF($I$4="","",IF($I$2,IF(ISNUMBER(B33),B33,""),IF($I$4="C0",posicao_contratual!G33,IF($I$4="C1",posicao_contratual!K33,IF($I$4="C2",posicao_contratual!O33,IF($I$4="C3",posicao_contratual!S33,IF($I$4="C4",posicao_contratual!W33,""))))))))</f>
        <v/>
      </c>
      <c r="E33" s="219" t="str">
        <f t="shared" si="0"/>
        <v/>
      </c>
      <c r="F33" s="81" t="str">
        <f>IF(A33="","",IF(COUNTIF($A$2:$A$200,A33)&gt;1,"ITEM DUPLICADO",IF($I$4="","POSICAO DE REFERENCIA INDISPONIVEL",IF(AND(B33&lt;&gt;"",NOT(ISNUMBER(B33))),"QTD NAO NUMERICA",IF(AND(ISNUMBER(B33),B33&lt;0),"NEGATIVO NAO PERMITIDO",IF(NOT(ISNUMBER(C33)),"POSICAO CONTRATUAL INDISPONIVEL",IF(OR(AND(posicao_contratual!$Y33&lt;&gt;"",posicao_contratual!$Y33&gt;IFERROR(VALUE(MID($I$4,2,1)),-1)),AND(posicao_contratual!$Z33,ISNUMBER(C33),C33&lt;=0)),"ITEM POSTERIOR A REFERENCIA",IF(D33="","REMANESCENTE DE REFERENCIA INDISPONIVEL",IF(AND(ISNUMBER(D33),ISNUMBER(C33),D33&gt;C33),"REMANESCENTE DE REFERENCIA SUPERA POSICAO CONTRATUAL","OK")))))))))</f>
        <v/>
      </c>
      <c r="I33" s="226"/>
      <c r="K33" s="179" t="str">
        <f>IF(A33="","",itens_Remanesc!C33)</f>
        <v/>
      </c>
      <c r="L33" s="179" t="str">
        <f>IF(A33="","",IF($I$4="C0",posicao_contratual!G33,IF($I$4="C1",posicao_contratual!K33,IF($I$4="C2",posicao_contratual!O33,IF($I$4="C3",posicao_contratual!S33,IF($I$4="C4",posicao_contratual!W33,""))))))</f>
        <v/>
      </c>
      <c r="M33" s="179" t="str">
        <f ca="1">IF(OR(A33="",$I$5="",$I$6=""),"",ROUND(SUMIFS(aditivos!$L$2:$L$200,aditivos!$A$2:$A$200,A33,aditivos!$B$2:$B$200,"&gt;"&amp;$I$6,aditivos!$B$2:$B$200,"&lt;="&amp;$I$5),2))</f>
        <v/>
      </c>
      <c r="N33" s="179" t="str">
        <f t="shared" si="1"/>
        <v/>
      </c>
      <c r="O33" s="179" t="str">
        <f ca="1">IF(OR(A33="",D33="",NOT(ISNUMBER(IF($I$4="C0",historico_VU!C33,IF($I$4="C1",historico_VU!D33,IF($I$4="C2",historico_VU!E33,IF($I$4="C3",historico_VU!F33,IF($I$4="C4",historico_VU!G33,"")))))))),"",ROUND(D33*IF($I$4="C0",historico_VU!C33,IF($I$4="C1",historico_VU!D33,IF($I$4="C2",historico_VU!E33,IF($I$4="C3",historico_VU!F33,IF($I$4="C4",historico_VU!G33,""))))),2))</f>
        <v/>
      </c>
      <c r="P33" s="179" t="str">
        <f ca="1">IF(OR(A33="",N33="",NOT(ISNUMBER(IF($I$4="C0",historico_VU!C33,IF($I$4="C1",historico_VU!D33,IF($I$4="C2",historico_VU!E33,IF($I$4="C3",historico_VU!F33,IF($I$4="C4",historico_VU!G33,"")))))))),"",ROUND(N33*IF($I$4="C0",historico_VU!C33,IF($I$4="C1",historico_VU!D33,IF($I$4="C2",historico_VU!E33,IF($I$4="C3",historico_VU!F33,IF($I$4="C4",historico_VU!G33,""))))),2))</f>
        <v/>
      </c>
      <c r="Q33" s="179" t="str">
        <f t="shared" si="2"/>
        <v/>
      </c>
      <c r="R33" s="179" t="str">
        <f ca="1">IF(OR(A33="",L33="",NOT(ISNUMBER(IF($I$4="C0",historico_VU!C33,IF($I$4="C1",historico_VU!D33,IF($I$4="C2",historico_VU!E33,IF($I$4="C3",historico_VU!F33,IF($I$4="C4",historico_VU!G33,"")))))))),"",ROUND(L33*IF($I$4="C0",historico_VU!C33,IF($I$4="C1",historico_VU!D33,IF($I$4="C2",historico_VU!E33,IF($I$4="C3",historico_VU!F33,IF($I$4="C4",historico_VU!G33,""))))),2))</f>
        <v/>
      </c>
    </row>
    <row r="34" spans="1:18" x14ac:dyDescent="0.35">
      <c r="A34" s="81" t="str">
        <f>IF(itens_Remanesc!A34="","",itens_Remanesc!A34)</f>
        <v/>
      </c>
      <c r="B34" s="217" t="str">
        <f t="shared" ca="1" si="3"/>
        <v/>
      </c>
      <c r="C34" s="218" t="str">
        <f>IF(A34="","",IF($I$5="","POSICAO DE REFERENCIA INDISPONIVEL",ROUND(IF(itens_Remanesc!B34="",0,itens_Remanesc!B34)+SUMIFS(aditivos!$L$2:$L$200,aditivos!$A$2:$A$200,A34,aditivos!$B$2:$B$200,"&lt;="&amp;$I$5),2)))</f>
        <v/>
      </c>
      <c r="D34" s="218" t="str">
        <f>IF(A34="","",IF($I$4="","",IF($I$2,IF(ISNUMBER(B34),B34,""),IF($I$4="C0",posicao_contratual!G34,IF($I$4="C1",posicao_contratual!K34,IF($I$4="C2",posicao_contratual!O34,IF($I$4="C3",posicao_contratual!S34,IF($I$4="C4",posicao_contratual!W34,""))))))))</f>
        <v/>
      </c>
      <c r="E34" s="219" t="str">
        <f t="shared" ref="E34:E65" si="4">IF(A34="","",IF($I$4="","POSICAO DE REFERENCIA INDISPONIVEL",IF($I$2,"POSICAO FISICA (CICLO_EM_EXECUCAO)",IF(ISNUMBER(B34),"POSICAO FISICA NAO UTILIZAVEL - FOTOGRAFIA "&amp;$I$4,"FOTOGRAFIA "&amp;$I$4))))</f>
        <v/>
      </c>
      <c r="F34" s="81" t="str">
        <f>IF(A34="","",IF(COUNTIF($A$2:$A$200,A34)&gt;1,"ITEM DUPLICADO",IF($I$4="","POSICAO DE REFERENCIA INDISPONIVEL",IF(AND(B34&lt;&gt;"",NOT(ISNUMBER(B34))),"QTD NAO NUMERICA",IF(AND(ISNUMBER(B34),B34&lt;0),"NEGATIVO NAO PERMITIDO",IF(NOT(ISNUMBER(C34)),"POSICAO CONTRATUAL INDISPONIVEL",IF(OR(AND(posicao_contratual!$Y34&lt;&gt;"",posicao_contratual!$Y34&gt;IFERROR(VALUE(MID($I$4,2,1)),-1)),AND(posicao_contratual!$Z34,ISNUMBER(C34),C34&lt;=0)),"ITEM POSTERIOR A REFERENCIA",IF(D34="","REMANESCENTE DE REFERENCIA INDISPONIVEL",IF(AND(ISNUMBER(D34),ISNUMBER(C34),D34&gt;C34),"REMANESCENTE DE REFERENCIA SUPERA POSICAO CONTRATUAL","OK")))))))))</f>
        <v/>
      </c>
      <c r="I34" s="226"/>
      <c r="K34" s="179" t="str">
        <f>IF(A34="","",itens_Remanesc!C34)</f>
        <v/>
      </c>
      <c r="L34" s="179" t="str">
        <f>IF(A34="","",IF($I$4="C0",posicao_contratual!G34,IF($I$4="C1",posicao_contratual!K34,IF($I$4="C2",posicao_contratual!O34,IF($I$4="C3",posicao_contratual!S34,IF($I$4="C4",posicao_contratual!W34,""))))))</f>
        <v/>
      </c>
      <c r="M34" s="179" t="str">
        <f ca="1">IF(OR(A34="",$I$5="",$I$6=""),"",ROUND(SUMIFS(aditivos!$L$2:$L$200,aditivos!$A$2:$A$200,A34,aditivos!$B$2:$B$200,"&gt;"&amp;$I$6,aditivos!$B$2:$B$200,"&lt;="&amp;$I$5),2))</f>
        <v/>
      </c>
      <c r="N34" s="179" t="str">
        <f t="shared" ref="N34:N65" si="5">IF(OR(A34="",L34="",D34=""),"",ROUND(MAX(L34+IF(ISNUMBER(M34),M34,0)-D34,0),2))</f>
        <v/>
      </c>
      <c r="O34" s="179" t="str">
        <f ca="1">IF(OR(A34="",D34="",NOT(ISNUMBER(IF($I$4="C0",historico_VU!C34,IF($I$4="C1",historico_VU!D34,IF($I$4="C2",historico_VU!E34,IF($I$4="C3",historico_VU!F34,IF($I$4="C4",historico_VU!G34,"")))))))),"",ROUND(D34*IF($I$4="C0",historico_VU!C34,IF($I$4="C1",historico_VU!D34,IF($I$4="C2",historico_VU!E34,IF($I$4="C3",historico_VU!F34,IF($I$4="C4",historico_VU!G34,""))))),2))</f>
        <v/>
      </c>
      <c r="P34" s="179" t="str">
        <f ca="1">IF(OR(A34="",N34="",NOT(ISNUMBER(IF($I$4="C0",historico_VU!C34,IF($I$4="C1",historico_VU!D34,IF($I$4="C2",historico_VU!E34,IF($I$4="C3",historico_VU!F34,IF($I$4="C4",historico_VU!G34,"")))))))),"",ROUND(N34*IF($I$4="C0",historico_VU!C34,IF($I$4="C1",historico_VU!D34,IF($I$4="C2",historico_VU!E34,IF($I$4="C3",historico_VU!F34,IF($I$4="C4",historico_VU!G34,""))))),2))</f>
        <v/>
      </c>
      <c r="Q34" s="179" t="str">
        <f t="shared" ref="Q34:Q65" si="6">IF(OR(A34="",D34="",K34=""),"",ROUND(D34*K34,2))</f>
        <v/>
      </c>
      <c r="R34" s="179" t="str">
        <f ca="1">IF(OR(A34="",L34="",NOT(ISNUMBER(IF($I$4="C0",historico_VU!C34,IF($I$4="C1",historico_VU!D34,IF($I$4="C2",historico_VU!E34,IF($I$4="C3",historico_VU!F34,IF($I$4="C4",historico_VU!G34,"")))))))),"",ROUND(L34*IF($I$4="C0",historico_VU!C34,IF($I$4="C1",historico_VU!D34,IF($I$4="C2",historico_VU!E34,IF($I$4="C3",historico_VU!F34,IF($I$4="C4",historico_VU!G34,""))))),2))</f>
        <v/>
      </c>
    </row>
    <row r="35" spans="1:18" x14ac:dyDescent="0.35">
      <c r="A35" s="81" t="str">
        <f>IF(itens_Remanesc!A35="","",itens_Remanesc!A35)</f>
        <v/>
      </c>
      <c r="B35" s="217" t="str">
        <f t="shared" ca="1" si="3"/>
        <v/>
      </c>
      <c r="C35" s="218" t="str">
        <f>IF(A35="","",IF($I$5="","POSICAO DE REFERENCIA INDISPONIVEL",ROUND(IF(itens_Remanesc!B35="",0,itens_Remanesc!B35)+SUMIFS(aditivos!$L$2:$L$200,aditivos!$A$2:$A$200,A35,aditivos!$B$2:$B$200,"&lt;="&amp;$I$5),2)))</f>
        <v/>
      </c>
      <c r="D35" s="218" t="str">
        <f>IF(A35="","",IF($I$4="","",IF($I$2,IF(ISNUMBER(B35),B35,""),IF($I$4="C0",posicao_contratual!G35,IF($I$4="C1",posicao_contratual!K35,IF($I$4="C2",posicao_contratual!O35,IF($I$4="C3",posicao_contratual!S35,IF($I$4="C4",posicao_contratual!W35,""))))))))</f>
        <v/>
      </c>
      <c r="E35" s="219" t="str">
        <f t="shared" si="4"/>
        <v/>
      </c>
      <c r="F35" s="81" t="str">
        <f>IF(A35="","",IF(COUNTIF($A$2:$A$200,A35)&gt;1,"ITEM DUPLICADO",IF($I$4="","POSICAO DE REFERENCIA INDISPONIVEL",IF(AND(B35&lt;&gt;"",NOT(ISNUMBER(B35))),"QTD NAO NUMERICA",IF(AND(ISNUMBER(B35),B35&lt;0),"NEGATIVO NAO PERMITIDO",IF(NOT(ISNUMBER(C35)),"POSICAO CONTRATUAL INDISPONIVEL",IF(OR(AND(posicao_contratual!$Y35&lt;&gt;"",posicao_contratual!$Y35&gt;IFERROR(VALUE(MID($I$4,2,1)),-1)),AND(posicao_contratual!$Z35,ISNUMBER(C35),C35&lt;=0)),"ITEM POSTERIOR A REFERENCIA",IF(D35="","REMANESCENTE DE REFERENCIA INDISPONIVEL",IF(AND(ISNUMBER(D35),ISNUMBER(C35),D35&gt;C35),"REMANESCENTE DE REFERENCIA SUPERA POSICAO CONTRATUAL","OK")))))))))</f>
        <v/>
      </c>
      <c r="I35" s="226"/>
      <c r="K35" s="179" t="str">
        <f>IF(A35="","",itens_Remanesc!C35)</f>
        <v/>
      </c>
      <c r="L35" s="179" t="str">
        <f>IF(A35="","",IF($I$4="C0",posicao_contratual!G35,IF($I$4="C1",posicao_contratual!K35,IF($I$4="C2",posicao_contratual!O35,IF($I$4="C3",posicao_contratual!S35,IF($I$4="C4",posicao_contratual!W35,""))))))</f>
        <v/>
      </c>
      <c r="M35" s="179" t="str">
        <f ca="1">IF(OR(A35="",$I$5="",$I$6=""),"",ROUND(SUMIFS(aditivos!$L$2:$L$200,aditivos!$A$2:$A$200,A35,aditivos!$B$2:$B$200,"&gt;"&amp;$I$6,aditivos!$B$2:$B$200,"&lt;="&amp;$I$5),2))</f>
        <v/>
      </c>
      <c r="N35" s="179" t="str">
        <f t="shared" si="5"/>
        <v/>
      </c>
      <c r="O35" s="179" t="str">
        <f ca="1">IF(OR(A35="",D35="",NOT(ISNUMBER(IF($I$4="C0",historico_VU!C35,IF($I$4="C1",historico_VU!D35,IF($I$4="C2",historico_VU!E35,IF($I$4="C3",historico_VU!F35,IF($I$4="C4",historico_VU!G35,"")))))))),"",ROUND(D35*IF($I$4="C0",historico_VU!C35,IF($I$4="C1",historico_VU!D35,IF($I$4="C2",historico_VU!E35,IF($I$4="C3",historico_VU!F35,IF($I$4="C4",historico_VU!G35,""))))),2))</f>
        <v/>
      </c>
      <c r="P35" s="179" t="str">
        <f ca="1">IF(OR(A35="",N35="",NOT(ISNUMBER(IF($I$4="C0",historico_VU!C35,IF($I$4="C1",historico_VU!D35,IF($I$4="C2",historico_VU!E35,IF($I$4="C3",historico_VU!F35,IF($I$4="C4",historico_VU!G35,"")))))))),"",ROUND(N35*IF($I$4="C0",historico_VU!C35,IF($I$4="C1",historico_VU!D35,IF($I$4="C2",historico_VU!E35,IF($I$4="C3",historico_VU!F35,IF($I$4="C4",historico_VU!G35,""))))),2))</f>
        <v/>
      </c>
      <c r="Q35" s="179" t="str">
        <f t="shared" si="6"/>
        <v/>
      </c>
      <c r="R35" s="179" t="str">
        <f ca="1">IF(OR(A35="",L35="",NOT(ISNUMBER(IF($I$4="C0",historico_VU!C35,IF($I$4="C1",historico_VU!D35,IF($I$4="C2",historico_VU!E35,IF($I$4="C3",historico_VU!F35,IF($I$4="C4",historico_VU!G35,"")))))))),"",ROUND(L35*IF($I$4="C0",historico_VU!C35,IF($I$4="C1",historico_VU!D35,IF($I$4="C2",historico_VU!E35,IF($I$4="C3",historico_VU!F35,IF($I$4="C4",historico_VU!G35,""))))),2))</f>
        <v/>
      </c>
    </row>
    <row r="36" spans="1:18" x14ac:dyDescent="0.35">
      <c r="A36" s="81" t="str">
        <f>IF(itens_Remanesc!A36="","",itens_Remanesc!A36)</f>
        <v/>
      </c>
      <c r="B36" s="217" t="str">
        <f t="shared" ca="1" si="3"/>
        <v/>
      </c>
      <c r="C36" s="218" t="str">
        <f>IF(A36="","",IF($I$5="","POSICAO DE REFERENCIA INDISPONIVEL",ROUND(IF(itens_Remanesc!B36="",0,itens_Remanesc!B36)+SUMIFS(aditivos!$L$2:$L$200,aditivos!$A$2:$A$200,A36,aditivos!$B$2:$B$200,"&lt;="&amp;$I$5),2)))</f>
        <v/>
      </c>
      <c r="D36" s="218" t="str">
        <f>IF(A36="","",IF($I$4="","",IF($I$2,IF(ISNUMBER(B36),B36,""),IF($I$4="C0",posicao_contratual!G36,IF($I$4="C1",posicao_contratual!K36,IF($I$4="C2",posicao_contratual!O36,IF($I$4="C3",posicao_contratual!S36,IF($I$4="C4",posicao_contratual!W36,""))))))))</f>
        <v/>
      </c>
      <c r="E36" s="219" t="str">
        <f t="shared" si="4"/>
        <v/>
      </c>
      <c r="F36" s="81" t="str">
        <f>IF(A36="","",IF(COUNTIF($A$2:$A$200,A36)&gt;1,"ITEM DUPLICADO",IF($I$4="","POSICAO DE REFERENCIA INDISPONIVEL",IF(AND(B36&lt;&gt;"",NOT(ISNUMBER(B36))),"QTD NAO NUMERICA",IF(AND(ISNUMBER(B36),B36&lt;0),"NEGATIVO NAO PERMITIDO",IF(NOT(ISNUMBER(C36)),"POSICAO CONTRATUAL INDISPONIVEL",IF(OR(AND(posicao_contratual!$Y36&lt;&gt;"",posicao_contratual!$Y36&gt;IFERROR(VALUE(MID($I$4,2,1)),-1)),AND(posicao_contratual!$Z36,ISNUMBER(C36),C36&lt;=0)),"ITEM POSTERIOR A REFERENCIA",IF(D36="","REMANESCENTE DE REFERENCIA INDISPONIVEL",IF(AND(ISNUMBER(D36),ISNUMBER(C36),D36&gt;C36),"REMANESCENTE DE REFERENCIA SUPERA POSICAO CONTRATUAL","OK")))))))))</f>
        <v/>
      </c>
      <c r="I36" s="226"/>
      <c r="K36" s="179" t="str">
        <f>IF(A36="","",itens_Remanesc!C36)</f>
        <v/>
      </c>
      <c r="L36" s="179" t="str">
        <f>IF(A36="","",IF($I$4="C0",posicao_contratual!G36,IF($I$4="C1",posicao_contratual!K36,IF($I$4="C2",posicao_contratual!O36,IF($I$4="C3",posicao_contratual!S36,IF($I$4="C4",posicao_contratual!W36,""))))))</f>
        <v/>
      </c>
      <c r="M36" s="179" t="str">
        <f ca="1">IF(OR(A36="",$I$5="",$I$6=""),"",ROUND(SUMIFS(aditivos!$L$2:$L$200,aditivos!$A$2:$A$200,A36,aditivos!$B$2:$B$200,"&gt;"&amp;$I$6,aditivos!$B$2:$B$200,"&lt;="&amp;$I$5),2))</f>
        <v/>
      </c>
      <c r="N36" s="179" t="str">
        <f t="shared" si="5"/>
        <v/>
      </c>
      <c r="O36" s="179" t="str">
        <f ca="1">IF(OR(A36="",D36="",NOT(ISNUMBER(IF($I$4="C0",historico_VU!C36,IF($I$4="C1",historico_VU!D36,IF($I$4="C2",historico_VU!E36,IF($I$4="C3",historico_VU!F36,IF($I$4="C4",historico_VU!G36,"")))))))),"",ROUND(D36*IF($I$4="C0",historico_VU!C36,IF($I$4="C1",historico_VU!D36,IF($I$4="C2",historico_VU!E36,IF($I$4="C3",historico_VU!F36,IF($I$4="C4",historico_VU!G36,""))))),2))</f>
        <v/>
      </c>
      <c r="P36" s="179" t="str">
        <f ca="1">IF(OR(A36="",N36="",NOT(ISNUMBER(IF($I$4="C0",historico_VU!C36,IF($I$4="C1",historico_VU!D36,IF($I$4="C2",historico_VU!E36,IF($I$4="C3",historico_VU!F36,IF($I$4="C4",historico_VU!G36,"")))))))),"",ROUND(N36*IF($I$4="C0",historico_VU!C36,IF($I$4="C1",historico_VU!D36,IF($I$4="C2",historico_VU!E36,IF($I$4="C3",historico_VU!F36,IF($I$4="C4",historico_VU!G36,""))))),2))</f>
        <v/>
      </c>
      <c r="Q36" s="179" t="str">
        <f t="shared" si="6"/>
        <v/>
      </c>
      <c r="R36" s="179" t="str">
        <f ca="1">IF(OR(A36="",L36="",NOT(ISNUMBER(IF($I$4="C0",historico_VU!C36,IF($I$4="C1",historico_VU!D36,IF($I$4="C2",historico_VU!E36,IF($I$4="C3",historico_VU!F36,IF($I$4="C4",historico_VU!G36,"")))))))),"",ROUND(L36*IF($I$4="C0",historico_VU!C36,IF($I$4="C1",historico_VU!D36,IF($I$4="C2",historico_VU!E36,IF($I$4="C3",historico_VU!F36,IF($I$4="C4",historico_VU!G36,""))))),2))</f>
        <v/>
      </c>
    </row>
    <row r="37" spans="1:18" x14ac:dyDescent="0.35">
      <c r="A37" s="81" t="str">
        <f>IF(itens_Remanesc!A37="","",itens_Remanesc!A37)</f>
        <v/>
      </c>
      <c r="B37" s="217" t="str">
        <f t="shared" ref="B37:B68" ca="1" si="7">IF($A37="","",IF(NOT($I$2),"",IFERROR(IF(INDEX(INDIRECT("CICLO_EM_EXECUCAO!$C$13:$C$211"),MATCH($A37,INDIRECT("CICLO_EM_EXECUCAO!$A$13:$A$211"),0))="","",INDEX(INDIRECT("CICLO_EM_EXECUCAO!$C$13:$C$211"),MATCH($A37,INDIRECT("CICLO_EM_EXECUCAO!$A$13:$A$211"),0))),"")))</f>
        <v/>
      </c>
      <c r="C37" s="218" t="str">
        <f>IF(A37="","",IF($I$5="","POSICAO DE REFERENCIA INDISPONIVEL",ROUND(IF(itens_Remanesc!B37="",0,itens_Remanesc!B37)+SUMIFS(aditivos!$L$2:$L$200,aditivos!$A$2:$A$200,A37,aditivos!$B$2:$B$200,"&lt;="&amp;$I$5),2)))</f>
        <v/>
      </c>
      <c r="D37" s="218" t="str">
        <f>IF(A37="","",IF($I$4="","",IF($I$2,IF(ISNUMBER(B37),B37,""),IF($I$4="C0",posicao_contratual!G37,IF($I$4="C1",posicao_contratual!K37,IF($I$4="C2",posicao_contratual!O37,IF($I$4="C3",posicao_contratual!S37,IF($I$4="C4",posicao_contratual!W37,""))))))))</f>
        <v/>
      </c>
      <c r="E37" s="219" t="str">
        <f t="shared" si="4"/>
        <v/>
      </c>
      <c r="F37" s="81" t="str">
        <f>IF(A37="","",IF(COUNTIF($A$2:$A$200,A37)&gt;1,"ITEM DUPLICADO",IF($I$4="","POSICAO DE REFERENCIA INDISPONIVEL",IF(AND(B37&lt;&gt;"",NOT(ISNUMBER(B37))),"QTD NAO NUMERICA",IF(AND(ISNUMBER(B37),B37&lt;0),"NEGATIVO NAO PERMITIDO",IF(NOT(ISNUMBER(C37)),"POSICAO CONTRATUAL INDISPONIVEL",IF(OR(AND(posicao_contratual!$Y37&lt;&gt;"",posicao_contratual!$Y37&gt;IFERROR(VALUE(MID($I$4,2,1)),-1)),AND(posicao_contratual!$Z37,ISNUMBER(C37),C37&lt;=0)),"ITEM POSTERIOR A REFERENCIA",IF(D37="","REMANESCENTE DE REFERENCIA INDISPONIVEL",IF(AND(ISNUMBER(D37),ISNUMBER(C37),D37&gt;C37),"REMANESCENTE DE REFERENCIA SUPERA POSICAO CONTRATUAL","OK")))))))))</f>
        <v/>
      </c>
      <c r="I37" s="226"/>
      <c r="K37" s="179" t="str">
        <f>IF(A37="","",itens_Remanesc!C37)</f>
        <v/>
      </c>
      <c r="L37" s="179" t="str">
        <f>IF(A37="","",IF($I$4="C0",posicao_contratual!G37,IF($I$4="C1",posicao_contratual!K37,IF($I$4="C2",posicao_contratual!O37,IF($I$4="C3",posicao_contratual!S37,IF($I$4="C4",posicao_contratual!W37,""))))))</f>
        <v/>
      </c>
      <c r="M37" s="179" t="str">
        <f ca="1">IF(OR(A37="",$I$5="",$I$6=""),"",ROUND(SUMIFS(aditivos!$L$2:$L$200,aditivos!$A$2:$A$200,A37,aditivos!$B$2:$B$200,"&gt;"&amp;$I$6,aditivos!$B$2:$B$200,"&lt;="&amp;$I$5),2))</f>
        <v/>
      </c>
      <c r="N37" s="179" t="str">
        <f t="shared" si="5"/>
        <v/>
      </c>
      <c r="O37" s="179" t="str">
        <f ca="1">IF(OR(A37="",D37="",NOT(ISNUMBER(IF($I$4="C0",historico_VU!C37,IF($I$4="C1",historico_VU!D37,IF($I$4="C2",historico_VU!E37,IF($I$4="C3",historico_VU!F37,IF($I$4="C4",historico_VU!G37,"")))))))),"",ROUND(D37*IF($I$4="C0",historico_VU!C37,IF($I$4="C1",historico_VU!D37,IF($I$4="C2",historico_VU!E37,IF($I$4="C3",historico_VU!F37,IF($I$4="C4",historico_VU!G37,""))))),2))</f>
        <v/>
      </c>
      <c r="P37" s="179" t="str">
        <f ca="1">IF(OR(A37="",N37="",NOT(ISNUMBER(IF($I$4="C0",historico_VU!C37,IF($I$4="C1",historico_VU!D37,IF($I$4="C2",historico_VU!E37,IF($I$4="C3",historico_VU!F37,IF($I$4="C4",historico_VU!G37,"")))))))),"",ROUND(N37*IF($I$4="C0",historico_VU!C37,IF($I$4="C1",historico_VU!D37,IF($I$4="C2",historico_VU!E37,IF($I$4="C3",historico_VU!F37,IF($I$4="C4",historico_VU!G37,""))))),2))</f>
        <v/>
      </c>
      <c r="Q37" s="179" t="str">
        <f t="shared" si="6"/>
        <v/>
      </c>
      <c r="R37" s="179" t="str">
        <f ca="1">IF(OR(A37="",L37="",NOT(ISNUMBER(IF($I$4="C0",historico_VU!C37,IF($I$4="C1",historico_VU!D37,IF($I$4="C2",historico_VU!E37,IF($I$4="C3",historico_VU!F37,IF($I$4="C4",historico_VU!G37,"")))))))),"",ROUND(L37*IF($I$4="C0",historico_VU!C37,IF($I$4="C1",historico_VU!D37,IF($I$4="C2",historico_VU!E37,IF($I$4="C3",historico_VU!F37,IF($I$4="C4",historico_VU!G37,""))))),2))</f>
        <v/>
      </c>
    </row>
    <row r="38" spans="1:18" x14ac:dyDescent="0.35">
      <c r="A38" s="81" t="str">
        <f>IF(itens_Remanesc!A38="","",itens_Remanesc!A38)</f>
        <v/>
      </c>
      <c r="B38" s="217" t="str">
        <f t="shared" ca="1" si="7"/>
        <v/>
      </c>
      <c r="C38" s="218" t="str">
        <f>IF(A38="","",IF($I$5="","POSICAO DE REFERENCIA INDISPONIVEL",ROUND(IF(itens_Remanesc!B38="",0,itens_Remanesc!B38)+SUMIFS(aditivos!$L$2:$L$200,aditivos!$A$2:$A$200,A38,aditivos!$B$2:$B$200,"&lt;="&amp;$I$5),2)))</f>
        <v/>
      </c>
      <c r="D38" s="218" t="str">
        <f>IF(A38="","",IF($I$4="","",IF($I$2,IF(ISNUMBER(B38),B38,""),IF($I$4="C0",posicao_contratual!G38,IF($I$4="C1",posicao_contratual!K38,IF($I$4="C2",posicao_contratual!O38,IF($I$4="C3",posicao_contratual!S38,IF($I$4="C4",posicao_contratual!W38,""))))))))</f>
        <v/>
      </c>
      <c r="E38" s="219" t="str">
        <f t="shared" si="4"/>
        <v/>
      </c>
      <c r="F38" s="81" t="str">
        <f>IF(A38="","",IF(COUNTIF($A$2:$A$200,A38)&gt;1,"ITEM DUPLICADO",IF($I$4="","POSICAO DE REFERENCIA INDISPONIVEL",IF(AND(B38&lt;&gt;"",NOT(ISNUMBER(B38))),"QTD NAO NUMERICA",IF(AND(ISNUMBER(B38),B38&lt;0),"NEGATIVO NAO PERMITIDO",IF(NOT(ISNUMBER(C38)),"POSICAO CONTRATUAL INDISPONIVEL",IF(OR(AND(posicao_contratual!$Y38&lt;&gt;"",posicao_contratual!$Y38&gt;IFERROR(VALUE(MID($I$4,2,1)),-1)),AND(posicao_contratual!$Z38,ISNUMBER(C38),C38&lt;=0)),"ITEM POSTERIOR A REFERENCIA",IF(D38="","REMANESCENTE DE REFERENCIA INDISPONIVEL",IF(AND(ISNUMBER(D38),ISNUMBER(C38),D38&gt;C38),"REMANESCENTE DE REFERENCIA SUPERA POSICAO CONTRATUAL","OK")))))))))</f>
        <v/>
      </c>
      <c r="I38" s="226"/>
      <c r="K38" s="179" t="str">
        <f>IF(A38="","",itens_Remanesc!C38)</f>
        <v/>
      </c>
      <c r="L38" s="179" t="str">
        <f>IF(A38="","",IF($I$4="C0",posicao_contratual!G38,IF($I$4="C1",posicao_contratual!K38,IF($I$4="C2",posicao_contratual!O38,IF($I$4="C3",posicao_contratual!S38,IF($I$4="C4",posicao_contratual!W38,""))))))</f>
        <v/>
      </c>
      <c r="M38" s="179" t="str">
        <f ca="1">IF(OR(A38="",$I$5="",$I$6=""),"",ROUND(SUMIFS(aditivos!$L$2:$L$200,aditivos!$A$2:$A$200,A38,aditivos!$B$2:$B$200,"&gt;"&amp;$I$6,aditivos!$B$2:$B$200,"&lt;="&amp;$I$5),2))</f>
        <v/>
      </c>
      <c r="N38" s="179" t="str">
        <f t="shared" si="5"/>
        <v/>
      </c>
      <c r="O38" s="179" t="str">
        <f ca="1">IF(OR(A38="",D38="",NOT(ISNUMBER(IF($I$4="C0",historico_VU!C38,IF($I$4="C1",historico_VU!D38,IF($I$4="C2",historico_VU!E38,IF($I$4="C3",historico_VU!F38,IF($I$4="C4",historico_VU!G38,"")))))))),"",ROUND(D38*IF($I$4="C0",historico_VU!C38,IF($I$4="C1",historico_VU!D38,IF($I$4="C2",historico_VU!E38,IF($I$4="C3",historico_VU!F38,IF($I$4="C4",historico_VU!G38,""))))),2))</f>
        <v/>
      </c>
      <c r="P38" s="179" t="str">
        <f ca="1">IF(OR(A38="",N38="",NOT(ISNUMBER(IF($I$4="C0",historico_VU!C38,IF($I$4="C1",historico_VU!D38,IF($I$4="C2",historico_VU!E38,IF($I$4="C3",historico_VU!F38,IF($I$4="C4",historico_VU!G38,"")))))))),"",ROUND(N38*IF($I$4="C0",historico_VU!C38,IF($I$4="C1",historico_VU!D38,IF($I$4="C2",historico_VU!E38,IF($I$4="C3",historico_VU!F38,IF($I$4="C4",historico_VU!G38,""))))),2))</f>
        <v/>
      </c>
      <c r="Q38" s="179" t="str">
        <f t="shared" si="6"/>
        <v/>
      </c>
      <c r="R38" s="179" t="str">
        <f ca="1">IF(OR(A38="",L38="",NOT(ISNUMBER(IF($I$4="C0",historico_VU!C38,IF($I$4="C1",historico_VU!D38,IF($I$4="C2",historico_VU!E38,IF($I$4="C3",historico_VU!F38,IF($I$4="C4",historico_VU!G38,"")))))))),"",ROUND(L38*IF($I$4="C0",historico_VU!C38,IF($I$4="C1",historico_VU!D38,IF($I$4="C2",historico_VU!E38,IF($I$4="C3",historico_VU!F38,IF($I$4="C4",historico_VU!G38,""))))),2))</f>
        <v/>
      </c>
    </row>
    <row r="39" spans="1:18" x14ac:dyDescent="0.35">
      <c r="A39" s="81" t="str">
        <f>IF(itens_Remanesc!A39="","",itens_Remanesc!A39)</f>
        <v/>
      </c>
      <c r="B39" s="217" t="str">
        <f t="shared" ca="1" si="7"/>
        <v/>
      </c>
      <c r="C39" s="218" t="str">
        <f>IF(A39="","",IF($I$5="","POSICAO DE REFERENCIA INDISPONIVEL",ROUND(IF(itens_Remanesc!B39="",0,itens_Remanesc!B39)+SUMIFS(aditivos!$L$2:$L$200,aditivos!$A$2:$A$200,A39,aditivos!$B$2:$B$200,"&lt;="&amp;$I$5),2)))</f>
        <v/>
      </c>
      <c r="D39" s="218" t="str">
        <f>IF(A39="","",IF($I$4="","",IF($I$2,IF(ISNUMBER(B39),B39,""),IF($I$4="C0",posicao_contratual!G39,IF($I$4="C1",posicao_contratual!K39,IF($I$4="C2",posicao_contratual!O39,IF($I$4="C3",posicao_contratual!S39,IF($I$4="C4",posicao_contratual!W39,""))))))))</f>
        <v/>
      </c>
      <c r="E39" s="219" t="str">
        <f t="shared" si="4"/>
        <v/>
      </c>
      <c r="F39" s="81" t="str">
        <f>IF(A39="","",IF(COUNTIF($A$2:$A$200,A39)&gt;1,"ITEM DUPLICADO",IF($I$4="","POSICAO DE REFERENCIA INDISPONIVEL",IF(AND(B39&lt;&gt;"",NOT(ISNUMBER(B39))),"QTD NAO NUMERICA",IF(AND(ISNUMBER(B39),B39&lt;0),"NEGATIVO NAO PERMITIDO",IF(NOT(ISNUMBER(C39)),"POSICAO CONTRATUAL INDISPONIVEL",IF(OR(AND(posicao_contratual!$Y39&lt;&gt;"",posicao_contratual!$Y39&gt;IFERROR(VALUE(MID($I$4,2,1)),-1)),AND(posicao_contratual!$Z39,ISNUMBER(C39),C39&lt;=0)),"ITEM POSTERIOR A REFERENCIA",IF(D39="","REMANESCENTE DE REFERENCIA INDISPONIVEL",IF(AND(ISNUMBER(D39),ISNUMBER(C39),D39&gt;C39),"REMANESCENTE DE REFERENCIA SUPERA POSICAO CONTRATUAL","OK")))))))))</f>
        <v/>
      </c>
      <c r="I39" s="226"/>
      <c r="K39" s="179" t="str">
        <f>IF(A39="","",itens_Remanesc!C39)</f>
        <v/>
      </c>
      <c r="L39" s="179" t="str">
        <f>IF(A39="","",IF($I$4="C0",posicao_contratual!G39,IF($I$4="C1",posicao_contratual!K39,IF($I$4="C2",posicao_contratual!O39,IF($I$4="C3",posicao_contratual!S39,IF($I$4="C4",posicao_contratual!W39,""))))))</f>
        <v/>
      </c>
      <c r="M39" s="179" t="str">
        <f ca="1">IF(OR(A39="",$I$5="",$I$6=""),"",ROUND(SUMIFS(aditivos!$L$2:$L$200,aditivos!$A$2:$A$200,A39,aditivos!$B$2:$B$200,"&gt;"&amp;$I$6,aditivos!$B$2:$B$200,"&lt;="&amp;$I$5),2))</f>
        <v/>
      </c>
      <c r="N39" s="179" t="str">
        <f t="shared" si="5"/>
        <v/>
      </c>
      <c r="O39" s="179" t="str">
        <f ca="1">IF(OR(A39="",D39="",NOT(ISNUMBER(IF($I$4="C0",historico_VU!C39,IF($I$4="C1",historico_VU!D39,IF($I$4="C2",historico_VU!E39,IF($I$4="C3",historico_VU!F39,IF($I$4="C4",historico_VU!G39,"")))))))),"",ROUND(D39*IF($I$4="C0",historico_VU!C39,IF($I$4="C1",historico_VU!D39,IF($I$4="C2",historico_VU!E39,IF($I$4="C3",historico_VU!F39,IF($I$4="C4",historico_VU!G39,""))))),2))</f>
        <v/>
      </c>
      <c r="P39" s="179" t="str">
        <f ca="1">IF(OR(A39="",N39="",NOT(ISNUMBER(IF($I$4="C0",historico_VU!C39,IF($I$4="C1",historico_VU!D39,IF($I$4="C2",historico_VU!E39,IF($I$4="C3",historico_VU!F39,IF($I$4="C4",historico_VU!G39,"")))))))),"",ROUND(N39*IF($I$4="C0",historico_VU!C39,IF($I$4="C1",historico_VU!D39,IF($I$4="C2",historico_VU!E39,IF($I$4="C3",historico_VU!F39,IF($I$4="C4",historico_VU!G39,""))))),2))</f>
        <v/>
      </c>
      <c r="Q39" s="179" t="str">
        <f t="shared" si="6"/>
        <v/>
      </c>
      <c r="R39" s="179" t="str">
        <f ca="1">IF(OR(A39="",L39="",NOT(ISNUMBER(IF($I$4="C0",historico_VU!C39,IF($I$4="C1",historico_VU!D39,IF($I$4="C2",historico_VU!E39,IF($I$4="C3",historico_VU!F39,IF($I$4="C4",historico_VU!G39,"")))))))),"",ROUND(L39*IF($I$4="C0",historico_VU!C39,IF($I$4="C1",historico_VU!D39,IF($I$4="C2",historico_VU!E39,IF($I$4="C3",historico_VU!F39,IF($I$4="C4",historico_VU!G39,""))))),2))</f>
        <v/>
      </c>
    </row>
    <row r="40" spans="1:18" x14ac:dyDescent="0.35">
      <c r="A40" s="81" t="str">
        <f>IF(itens_Remanesc!A40="","",itens_Remanesc!A40)</f>
        <v/>
      </c>
      <c r="B40" s="217" t="str">
        <f t="shared" ca="1" si="7"/>
        <v/>
      </c>
      <c r="C40" s="218" t="str">
        <f>IF(A40="","",IF($I$5="","POSICAO DE REFERENCIA INDISPONIVEL",ROUND(IF(itens_Remanesc!B40="",0,itens_Remanesc!B40)+SUMIFS(aditivos!$L$2:$L$200,aditivos!$A$2:$A$200,A40,aditivos!$B$2:$B$200,"&lt;="&amp;$I$5),2)))</f>
        <v/>
      </c>
      <c r="D40" s="218" t="str">
        <f>IF(A40="","",IF($I$4="","",IF($I$2,IF(ISNUMBER(B40),B40,""),IF($I$4="C0",posicao_contratual!G40,IF($I$4="C1",posicao_contratual!K40,IF($I$4="C2",posicao_contratual!O40,IF($I$4="C3",posicao_contratual!S40,IF($I$4="C4",posicao_contratual!W40,""))))))))</f>
        <v/>
      </c>
      <c r="E40" s="219" t="str">
        <f t="shared" si="4"/>
        <v/>
      </c>
      <c r="F40" s="81" t="str">
        <f>IF(A40="","",IF(COUNTIF($A$2:$A$200,A40)&gt;1,"ITEM DUPLICADO",IF($I$4="","POSICAO DE REFERENCIA INDISPONIVEL",IF(AND(B40&lt;&gt;"",NOT(ISNUMBER(B40))),"QTD NAO NUMERICA",IF(AND(ISNUMBER(B40),B40&lt;0),"NEGATIVO NAO PERMITIDO",IF(NOT(ISNUMBER(C40)),"POSICAO CONTRATUAL INDISPONIVEL",IF(OR(AND(posicao_contratual!$Y40&lt;&gt;"",posicao_contratual!$Y40&gt;IFERROR(VALUE(MID($I$4,2,1)),-1)),AND(posicao_contratual!$Z40,ISNUMBER(C40),C40&lt;=0)),"ITEM POSTERIOR A REFERENCIA",IF(D40="","REMANESCENTE DE REFERENCIA INDISPONIVEL",IF(AND(ISNUMBER(D40),ISNUMBER(C40),D40&gt;C40),"REMANESCENTE DE REFERENCIA SUPERA POSICAO CONTRATUAL","OK")))))))))</f>
        <v/>
      </c>
      <c r="I40" s="226"/>
      <c r="K40" s="179" t="str">
        <f>IF(A40="","",itens_Remanesc!C40)</f>
        <v/>
      </c>
      <c r="L40" s="179" t="str">
        <f>IF(A40="","",IF($I$4="C0",posicao_contratual!G40,IF($I$4="C1",posicao_contratual!K40,IF($I$4="C2",posicao_contratual!O40,IF($I$4="C3",posicao_contratual!S40,IF($I$4="C4",posicao_contratual!W40,""))))))</f>
        <v/>
      </c>
      <c r="M40" s="179" t="str">
        <f ca="1">IF(OR(A40="",$I$5="",$I$6=""),"",ROUND(SUMIFS(aditivos!$L$2:$L$200,aditivos!$A$2:$A$200,A40,aditivos!$B$2:$B$200,"&gt;"&amp;$I$6,aditivos!$B$2:$B$200,"&lt;="&amp;$I$5),2))</f>
        <v/>
      </c>
      <c r="N40" s="179" t="str">
        <f t="shared" si="5"/>
        <v/>
      </c>
      <c r="O40" s="179" t="str">
        <f ca="1">IF(OR(A40="",D40="",NOT(ISNUMBER(IF($I$4="C0",historico_VU!C40,IF($I$4="C1",historico_VU!D40,IF($I$4="C2",historico_VU!E40,IF($I$4="C3",historico_VU!F40,IF($I$4="C4",historico_VU!G40,"")))))))),"",ROUND(D40*IF($I$4="C0",historico_VU!C40,IF($I$4="C1",historico_VU!D40,IF($I$4="C2",historico_VU!E40,IF($I$4="C3",historico_VU!F40,IF($I$4="C4",historico_VU!G40,""))))),2))</f>
        <v/>
      </c>
      <c r="P40" s="179" t="str">
        <f ca="1">IF(OR(A40="",N40="",NOT(ISNUMBER(IF($I$4="C0",historico_VU!C40,IF($I$4="C1",historico_VU!D40,IF($I$4="C2",historico_VU!E40,IF($I$4="C3",historico_VU!F40,IF($I$4="C4",historico_VU!G40,"")))))))),"",ROUND(N40*IF($I$4="C0",historico_VU!C40,IF($I$4="C1",historico_VU!D40,IF($I$4="C2",historico_VU!E40,IF($I$4="C3",historico_VU!F40,IF($I$4="C4",historico_VU!G40,""))))),2))</f>
        <v/>
      </c>
      <c r="Q40" s="179" t="str">
        <f t="shared" si="6"/>
        <v/>
      </c>
      <c r="R40" s="179" t="str">
        <f ca="1">IF(OR(A40="",L40="",NOT(ISNUMBER(IF($I$4="C0",historico_VU!C40,IF($I$4="C1",historico_VU!D40,IF($I$4="C2",historico_VU!E40,IF($I$4="C3",historico_VU!F40,IF($I$4="C4",historico_VU!G40,"")))))))),"",ROUND(L40*IF($I$4="C0",historico_VU!C40,IF($I$4="C1",historico_VU!D40,IF($I$4="C2",historico_VU!E40,IF($I$4="C3",historico_VU!F40,IF($I$4="C4",historico_VU!G40,""))))),2))</f>
        <v/>
      </c>
    </row>
    <row r="41" spans="1:18" x14ac:dyDescent="0.35">
      <c r="A41" s="81" t="str">
        <f>IF(itens_Remanesc!A41="","",itens_Remanesc!A41)</f>
        <v/>
      </c>
      <c r="B41" s="217" t="str">
        <f t="shared" ca="1" si="7"/>
        <v/>
      </c>
      <c r="C41" s="218" t="str">
        <f>IF(A41="","",IF($I$5="","POSICAO DE REFERENCIA INDISPONIVEL",ROUND(IF(itens_Remanesc!B41="",0,itens_Remanesc!B41)+SUMIFS(aditivos!$L$2:$L$200,aditivos!$A$2:$A$200,A41,aditivos!$B$2:$B$200,"&lt;="&amp;$I$5),2)))</f>
        <v/>
      </c>
      <c r="D41" s="218" t="str">
        <f>IF(A41="","",IF($I$4="","",IF($I$2,IF(ISNUMBER(B41),B41,""),IF($I$4="C0",posicao_contratual!G41,IF($I$4="C1",posicao_contratual!K41,IF($I$4="C2",posicao_contratual!O41,IF($I$4="C3",posicao_contratual!S41,IF($I$4="C4",posicao_contratual!W41,""))))))))</f>
        <v/>
      </c>
      <c r="E41" s="219" t="str">
        <f t="shared" si="4"/>
        <v/>
      </c>
      <c r="F41" s="81" t="str">
        <f>IF(A41="","",IF(COUNTIF($A$2:$A$200,A41)&gt;1,"ITEM DUPLICADO",IF($I$4="","POSICAO DE REFERENCIA INDISPONIVEL",IF(AND(B41&lt;&gt;"",NOT(ISNUMBER(B41))),"QTD NAO NUMERICA",IF(AND(ISNUMBER(B41),B41&lt;0),"NEGATIVO NAO PERMITIDO",IF(NOT(ISNUMBER(C41)),"POSICAO CONTRATUAL INDISPONIVEL",IF(OR(AND(posicao_contratual!$Y41&lt;&gt;"",posicao_contratual!$Y41&gt;IFERROR(VALUE(MID($I$4,2,1)),-1)),AND(posicao_contratual!$Z41,ISNUMBER(C41),C41&lt;=0)),"ITEM POSTERIOR A REFERENCIA",IF(D41="","REMANESCENTE DE REFERENCIA INDISPONIVEL",IF(AND(ISNUMBER(D41),ISNUMBER(C41),D41&gt;C41),"REMANESCENTE DE REFERENCIA SUPERA POSICAO CONTRATUAL","OK")))))))))</f>
        <v/>
      </c>
      <c r="K41" s="179" t="str">
        <f>IF(A41="","",itens_Remanesc!C41)</f>
        <v/>
      </c>
      <c r="L41" s="179" t="str">
        <f>IF(A41="","",IF($I$4="C0",posicao_contratual!G41,IF($I$4="C1",posicao_contratual!K41,IF($I$4="C2",posicao_contratual!O41,IF($I$4="C3",posicao_contratual!S41,IF($I$4="C4",posicao_contratual!W41,""))))))</f>
        <v/>
      </c>
      <c r="M41" s="179" t="str">
        <f ca="1">IF(OR(A41="",$I$5="",$I$6=""),"",ROUND(SUMIFS(aditivos!$L$2:$L$200,aditivos!$A$2:$A$200,A41,aditivos!$B$2:$B$200,"&gt;"&amp;$I$6,aditivos!$B$2:$B$200,"&lt;="&amp;$I$5),2))</f>
        <v/>
      </c>
      <c r="N41" s="179" t="str">
        <f t="shared" si="5"/>
        <v/>
      </c>
      <c r="O41" s="179" t="str">
        <f ca="1">IF(OR(A41="",D41="",NOT(ISNUMBER(IF($I$4="C0",historico_VU!C41,IF($I$4="C1",historico_VU!D41,IF($I$4="C2",historico_VU!E41,IF($I$4="C3",historico_VU!F41,IF($I$4="C4",historico_VU!G41,"")))))))),"",ROUND(D41*IF($I$4="C0",historico_VU!C41,IF($I$4="C1",historico_VU!D41,IF($I$4="C2",historico_VU!E41,IF($I$4="C3",historico_VU!F41,IF($I$4="C4",historico_VU!G41,""))))),2))</f>
        <v/>
      </c>
      <c r="P41" s="179" t="str">
        <f ca="1">IF(OR(A41="",N41="",NOT(ISNUMBER(IF($I$4="C0",historico_VU!C41,IF($I$4="C1",historico_VU!D41,IF($I$4="C2",historico_VU!E41,IF($I$4="C3",historico_VU!F41,IF($I$4="C4",historico_VU!G41,"")))))))),"",ROUND(N41*IF($I$4="C0",historico_VU!C41,IF($I$4="C1",historico_VU!D41,IF($I$4="C2",historico_VU!E41,IF($I$4="C3",historico_VU!F41,IF($I$4="C4",historico_VU!G41,""))))),2))</f>
        <v/>
      </c>
      <c r="Q41" s="179" t="str">
        <f t="shared" si="6"/>
        <v/>
      </c>
      <c r="R41" s="179" t="str">
        <f ca="1">IF(OR(A41="",L41="",NOT(ISNUMBER(IF($I$4="C0",historico_VU!C41,IF($I$4="C1",historico_VU!D41,IF($I$4="C2",historico_VU!E41,IF($I$4="C3",historico_VU!F41,IF($I$4="C4",historico_VU!G41,"")))))))),"",ROUND(L41*IF($I$4="C0",historico_VU!C41,IF($I$4="C1",historico_VU!D41,IF($I$4="C2",historico_VU!E41,IF($I$4="C3",historico_VU!F41,IF($I$4="C4",historico_VU!G41,""))))),2))</f>
        <v/>
      </c>
    </row>
    <row r="42" spans="1:18" x14ac:dyDescent="0.35">
      <c r="A42" s="81" t="str">
        <f>IF(itens_Remanesc!A42="","",itens_Remanesc!A42)</f>
        <v/>
      </c>
      <c r="B42" s="217" t="str">
        <f t="shared" ca="1" si="7"/>
        <v/>
      </c>
      <c r="C42" s="218" t="str">
        <f>IF(A42="","",IF($I$5="","POSICAO DE REFERENCIA INDISPONIVEL",ROUND(IF(itens_Remanesc!B42="",0,itens_Remanesc!B42)+SUMIFS(aditivos!$L$2:$L$200,aditivos!$A$2:$A$200,A42,aditivos!$B$2:$B$200,"&lt;="&amp;$I$5),2)))</f>
        <v/>
      </c>
      <c r="D42" s="218" t="str">
        <f>IF(A42="","",IF($I$4="","",IF($I$2,IF(ISNUMBER(B42),B42,""),IF($I$4="C0",posicao_contratual!G42,IF($I$4="C1",posicao_contratual!K42,IF($I$4="C2",posicao_contratual!O42,IF($I$4="C3",posicao_contratual!S42,IF($I$4="C4",posicao_contratual!W42,""))))))))</f>
        <v/>
      </c>
      <c r="E42" s="219" t="str">
        <f t="shared" si="4"/>
        <v/>
      </c>
      <c r="F42" s="81" t="str">
        <f>IF(A42="","",IF(COUNTIF($A$2:$A$200,A42)&gt;1,"ITEM DUPLICADO",IF($I$4="","POSICAO DE REFERENCIA INDISPONIVEL",IF(AND(B42&lt;&gt;"",NOT(ISNUMBER(B42))),"QTD NAO NUMERICA",IF(AND(ISNUMBER(B42),B42&lt;0),"NEGATIVO NAO PERMITIDO",IF(NOT(ISNUMBER(C42)),"POSICAO CONTRATUAL INDISPONIVEL",IF(OR(AND(posicao_contratual!$Y42&lt;&gt;"",posicao_contratual!$Y42&gt;IFERROR(VALUE(MID($I$4,2,1)),-1)),AND(posicao_contratual!$Z42,ISNUMBER(C42),C42&lt;=0)),"ITEM POSTERIOR A REFERENCIA",IF(D42="","REMANESCENTE DE REFERENCIA INDISPONIVEL",IF(AND(ISNUMBER(D42),ISNUMBER(C42),D42&gt;C42),"REMANESCENTE DE REFERENCIA SUPERA POSICAO CONTRATUAL","OK")))))))))</f>
        <v/>
      </c>
      <c r="K42" s="179" t="str">
        <f>IF(A42="","",itens_Remanesc!C42)</f>
        <v/>
      </c>
      <c r="L42" s="179" t="str">
        <f>IF(A42="","",IF($I$4="C0",posicao_contratual!G42,IF($I$4="C1",posicao_contratual!K42,IF($I$4="C2",posicao_contratual!O42,IF($I$4="C3",posicao_contratual!S42,IF($I$4="C4",posicao_contratual!W42,""))))))</f>
        <v/>
      </c>
      <c r="M42" s="179" t="str">
        <f ca="1">IF(OR(A42="",$I$5="",$I$6=""),"",ROUND(SUMIFS(aditivos!$L$2:$L$200,aditivos!$A$2:$A$200,A42,aditivos!$B$2:$B$200,"&gt;"&amp;$I$6,aditivos!$B$2:$B$200,"&lt;="&amp;$I$5),2))</f>
        <v/>
      </c>
      <c r="N42" s="179" t="str">
        <f t="shared" si="5"/>
        <v/>
      </c>
      <c r="O42" s="179" t="str">
        <f ca="1">IF(OR(A42="",D42="",NOT(ISNUMBER(IF($I$4="C0",historico_VU!C42,IF($I$4="C1",historico_VU!D42,IF($I$4="C2",historico_VU!E42,IF($I$4="C3",historico_VU!F42,IF($I$4="C4",historico_VU!G42,"")))))))),"",ROUND(D42*IF($I$4="C0",historico_VU!C42,IF($I$4="C1",historico_VU!D42,IF($I$4="C2",historico_VU!E42,IF($I$4="C3",historico_VU!F42,IF($I$4="C4",historico_VU!G42,""))))),2))</f>
        <v/>
      </c>
      <c r="P42" s="179" t="str">
        <f ca="1">IF(OR(A42="",N42="",NOT(ISNUMBER(IF($I$4="C0",historico_VU!C42,IF($I$4="C1",historico_VU!D42,IF($I$4="C2",historico_VU!E42,IF($I$4="C3",historico_VU!F42,IF($I$4="C4",historico_VU!G42,"")))))))),"",ROUND(N42*IF($I$4="C0",historico_VU!C42,IF($I$4="C1",historico_VU!D42,IF($I$4="C2",historico_VU!E42,IF($I$4="C3",historico_VU!F42,IF($I$4="C4",historico_VU!G42,""))))),2))</f>
        <v/>
      </c>
      <c r="Q42" s="179" t="str">
        <f t="shared" si="6"/>
        <v/>
      </c>
      <c r="R42" s="179" t="str">
        <f ca="1">IF(OR(A42="",L42="",NOT(ISNUMBER(IF($I$4="C0",historico_VU!C42,IF($I$4="C1",historico_VU!D42,IF($I$4="C2",historico_VU!E42,IF($I$4="C3",historico_VU!F42,IF($I$4="C4",historico_VU!G42,"")))))))),"",ROUND(L42*IF($I$4="C0",historico_VU!C42,IF($I$4="C1",historico_VU!D42,IF($I$4="C2",historico_VU!E42,IF($I$4="C3",historico_VU!F42,IF($I$4="C4",historico_VU!G42,""))))),2))</f>
        <v/>
      </c>
    </row>
    <row r="43" spans="1:18" x14ac:dyDescent="0.35">
      <c r="A43" s="81" t="str">
        <f>IF(itens_Remanesc!A43="","",itens_Remanesc!A43)</f>
        <v/>
      </c>
      <c r="B43" s="217" t="str">
        <f t="shared" ca="1" si="7"/>
        <v/>
      </c>
      <c r="C43" s="218" t="str">
        <f>IF(A43="","",IF($I$5="","POSICAO DE REFERENCIA INDISPONIVEL",ROUND(IF(itens_Remanesc!B43="",0,itens_Remanesc!B43)+SUMIFS(aditivos!$L$2:$L$200,aditivos!$A$2:$A$200,A43,aditivos!$B$2:$B$200,"&lt;="&amp;$I$5),2)))</f>
        <v/>
      </c>
      <c r="D43" s="218" t="str">
        <f>IF(A43="","",IF($I$4="","",IF($I$2,IF(ISNUMBER(B43),B43,""),IF($I$4="C0",posicao_contratual!G43,IF($I$4="C1",posicao_contratual!K43,IF($I$4="C2",posicao_contratual!O43,IF($I$4="C3",posicao_contratual!S43,IF($I$4="C4",posicao_contratual!W43,""))))))))</f>
        <v/>
      </c>
      <c r="E43" s="219" t="str">
        <f t="shared" si="4"/>
        <v/>
      </c>
      <c r="F43" s="81" t="str">
        <f>IF(A43="","",IF(COUNTIF($A$2:$A$200,A43)&gt;1,"ITEM DUPLICADO",IF($I$4="","POSICAO DE REFERENCIA INDISPONIVEL",IF(AND(B43&lt;&gt;"",NOT(ISNUMBER(B43))),"QTD NAO NUMERICA",IF(AND(ISNUMBER(B43),B43&lt;0),"NEGATIVO NAO PERMITIDO",IF(NOT(ISNUMBER(C43)),"POSICAO CONTRATUAL INDISPONIVEL",IF(OR(AND(posicao_contratual!$Y43&lt;&gt;"",posicao_contratual!$Y43&gt;IFERROR(VALUE(MID($I$4,2,1)),-1)),AND(posicao_contratual!$Z43,ISNUMBER(C43),C43&lt;=0)),"ITEM POSTERIOR A REFERENCIA",IF(D43="","REMANESCENTE DE REFERENCIA INDISPONIVEL",IF(AND(ISNUMBER(D43),ISNUMBER(C43),D43&gt;C43),"REMANESCENTE DE REFERENCIA SUPERA POSICAO CONTRATUAL","OK")))))))))</f>
        <v/>
      </c>
      <c r="K43" s="179" t="str">
        <f>IF(A43="","",itens_Remanesc!C43)</f>
        <v/>
      </c>
      <c r="L43" s="179" t="str">
        <f>IF(A43="","",IF($I$4="C0",posicao_contratual!G43,IF($I$4="C1",posicao_contratual!K43,IF($I$4="C2",posicao_contratual!O43,IF($I$4="C3",posicao_contratual!S43,IF($I$4="C4",posicao_contratual!W43,""))))))</f>
        <v/>
      </c>
      <c r="M43" s="179" t="str">
        <f ca="1">IF(OR(A43="",$I$5="",$I$6=""),"",ROUND(SUMIFS(aditivos!$L$2:$L$200,aditivos!$A$2:$A$200,A43,aditivos!$B$2:$B$200,"&gt;"&amp;$I$6,aditivos!$B$2:$B$200,"&lt;="&amp;$I$5),2))</f>
        <v/>
      </c>
      <c r="N43" s="179" t="str">
        <f t="shared" si="5"/>
        <v/>
      </c>
      <c r="O43" s="179" t="str">
        <f ca="1">IF(OR(A43="",D43="",NOT(ISNUMBER(IF($I$4="C0",historico_VU!C43,IF($I$4="C1",historico_VU!D43,IF($I$4="C2",historico_VU!E43,IF($I$4="C3",historico_VU!F43,IF($I$4="C4",historico_VU!G43,"")))))))),"",ROUND(D43*IF($I$4="C0",historico_VU!C43,IF($I$4="C1",historico_VU!D43,IF($I$4="C2",historico_VU!E43,IF($I$4="C3",historico_VU!F43,IF($I$4="C4",historico_VU!G43,""))))),2))</f>
        <v/>
      </c>
      <c r="P43" s="179" t="str">
        <f ca="1">IF(OR(A43="",N43="",NOT(ISNUMBER(IF($I$4="C0",historico_VU!C43,IF($I$4="C1",historico_VU!D43,IF($I$4="C2",historico_VU!E43,IF($I$4="C3",historico_VU!F43,IF($I$4="C4",historico_VU!G43,"")))))))),"",ROUND(N43*IF($I$4="C0",historico_VU!C43,IF($I$4="C1",historico_VU!D43,IF($I$4="C2",historico_VU!E43,IF($I$4="C3",historico_VU!F43,IF($I$4="C4",historico_VU!G43,""))))),2))</f>
        <v/>
      </c>
      <c r="Q43" s="179" t="str">
        <f t="shared" si="6"/>
        <v/>
      </c>
      <c r="R43" s="179" t="str">
        <f ca="1">IF(OR(A43="",L43="",NOT(ISNUMBER(IF($I$4="C0",historico_VU!C43,IF($I$4="C1",historico_VU!D43,IF($I$4="C2",historico_VU!E43,IF($I$4="C3",historico_VU!F43,IF($I$4="C4",historico_VU!G43,"")))))))),"",ROUND(L43*IF($I$4="C0",historico_VU!C43,IF($I$4="C1",historico_VU!D43,IF($I$4="C2",historico_VU!E43,IF($I$4="C3",historico_VU!F43,IF($I$4="C4",historico_VU!G43,""))))),2))</f>
        <v/>
      </c>
    </row>
    <row r="44" spans="1:18" x14ac:dyDescent="0.35">
      <c r="A44" s="81" t="str">
        <f>IF(itens_Remanesc!A44="","",itens_Remanesc!A44)</f>
        <v/>
      </c>
      <c r="B44" s="217" t="str">
        <f t="shared" ca="1" si="7"/>
        <v/>
      </c>
      <c r="C44" s="218" t="str">
        <f>IF(A44="","",IF($I$5="","POSICAO DE REFERENCIA INDISPONIVEL",ROUND(IF(itens_Remanesc!B44="",0,itens_Remanesc!B44)+SUMIFS(aditivos!$L$2:$L$200,aditivos!$A$2:$A$200,A44,aditivos!$B$2:$B$200,"&lt;="&amp;$I$5),2)))</f>
        <v/>
      </c>
      <c r="D44" s="218" t="str">
        <f>IF(A44="","",IF($I$4="","",IF($I$2,IF(ISNUMBER(B44),B44,""),IF($I$4="C0",posicao_contratual!G44,IF($I$4="C1",posicao_contratual!K44,IF($I$4="C2",posicao_contratual!O44,IF($I$4="C3",posicao_contratual!S44,IF($I$4="C4",posicao_contratual!W44,""))))))))</f>
        <v/>
      </c>
      <c r="E44" s="219" t="str">
        <f t="shared" si="4"/>
        <v/>
      </c>
      <c r="F44" s="81" t="str">
        <f>IF(A44="","",IF(COUNTIF($A$2:$A$200,A44)&gt;1,"ITEM DUPLICADO",IF($I$4="","POSICAO DE REFERENCIA INDISPONIVEL",IF(AND(B44&lt;&gt;"",NOT(ISNUMBER(B44))),"QTD NAO NUMERICA",IF(AND(ISNUMBER(B44),B44&lt;0),"NEGATIVO NAO PERMITIDO",IF(NOT(ISNUMBER(C44)),"POSICAO CONTRATUAL INDISPONIVEL",IF(OR(AND(posicao_contratual!$Y44&lt;&gt;"",posicao_contratual!$Y44&gt;IFERROR(VALUE(MID($I$4,2,1)),-1)),AND(posicao_contratual!$Z44,ISNUMBER(C44),C44&lt;=0)),"ITEM POSTERIOR A REFERENCIA",IF(D44="","REMANESCENTE DE REFERENCIA INDISPONIVEL",IF(AND(ISNUMBER(D44),ISNUMBER(C44),D44&gt;C44),"REMANESCENTE DE REFERENCIA SUPERA POSICAO CONTRATUAL","OK")))))))))</f>
        <v/>
      </c>
      <c r="K44" s="179" t="str">
        <f>IF(A44="","",itens_Remanesc!C44)</f>
        <v/>
      </c>
      <c r="L44" s="179" t="str">
        <f>IF(A44="","",IF($I$4="C0",posicao_contratual!G44,IF($I$4="C1",posicao_contratual!K44,IF($I$4="C2",posicao_contratual!O44,IF($I$4="C3",posicao_contratual!S44,IF($I$4="C4",posicao_contratual!W44,""))))))</f>
        <v/>
      </c>
      <c r="M44" s="179" t="str">
        <f ca="1">IF(OR(A44="",$I$5="",$I$6=""),"",ROUND(SUMIFS(aditivos!$L$2:$L$200,aditivos!$A$2:$A$200,A44,aditivos!$B$2:$B$200,"&gt;"&amp;$I$6,aditivos!$B$2:$B$200,"&lt;="&amp;$I$5),2))</f>
        <v/>
      </c>
      <c r="N44" s="179" t="str">
        <f t="shared" si="5"/>
        <v/>
      </c>
      <c r="O44" s="179" t="str">
        <f ca="1">IF(OR(A44="",D44="",NOT(ISNUMBER(IF($I$4="C0",historico_VU!C44,IF($I$4="C1",historico_VU!D44,IF($I$4="C2",historico_VU!E44,IF($I$4="C3",historico_VU!F44,IF($I$4="C4",historico_VU!G44,"")))))))),"",ROUND(D44*IF($I$4="C0",historico_VU!C44,IF($I$4="C1",historico_VU!D44,IF($I$4="C2",historico_VU!E44,IF($I$4="C3",historico_VU!F44,IF($I$4="C4",historico_VU!G44,""))))),2))</f>
        <v/>
      </c>
      <c r="P44" s="179" t="str">
        <f ca="1">IF(OR(A44="",N44="",NOT(ISNUMBER(IF($I$4="C0",historico_VU!C44,IF($I$4="C1",historico_VU!D44,IF($I$4="C2",historico_VU!E44,IF($I$4="C3",historico_VU!F44,IF($I$4="C4",historico_VU!G44,"")))))))),"",ROUND(N44*IF($I$4="C0",historico_VU!C44,IF($I$4="C1",historico_VU!D44,IF($I$4="C2",historico_VU!E44,IF($I$4="C3",historico_VU!F44,IF($I$4="C4",historico_VU!G44,""))))),2))</f>
        <v/>
      </c>
      <c r="Q44" s="179" t="str">
        <f t="shared" si="6"/>
        <v/>
      </c>
      <c r="R44" s="179" t="str">
        <f ca="1">IF(OR(A44="",L44="",NOT(ISNUMBER(IF($I$4="C0",historico_VU!C44,IF($I$4="C1",historico_VU!D44,IF($I$4="C2",historico_VU!E44,IF($I$4="C3",historico_VU!F44,IF($I$4="C4",historico_VU!G44,"")))))))),"",ROUND(L44*IF($I$4="C0",historico_VU!C44,IF($I$4="C1",historico_VU!D44,IF($I$4="C2",historico_VU!E44,IF($I$4="C3",historico_VU!F44,IF($I$4="C4",historico_VU!G44,""))))),2))</f>
        <v/>
      </c>
    </row>
    <row r="45" spans="1:18" x14ac:dyDescent="0.35">
      <c r="A45" s="81" t="str">
        <f>IF(itens_Remanesc!A45="","",itens_Remanesc!A45)</f>
        <v/>
      </c>
      <c r="B45" s="217" t="str">
        <f t="shared" ca="1" si="7"/>
        <v/>
      </c>
      <c r="C45" s="218" t="str">
        <f>IF(A45="","",IF($I$5="","POSICAO DE REFERENCIA INDISPONIVEL",ROUND(IF(itens_Remanesc!B45="",0,itens_Remanesc!B45)+SUMIFS(aditivos!$L$2:$L$200,aditivos!$A$2:$A$200,A45,aditivos!$B$2:$B$200,"&lt;="&amp;$I$5),2)))</f>
        <v/>
      </c>
      <c r="D45" s="218" t="str">
        <f>IF(A45="","",IF($I$4="","",IF($I$2,IF(ISNUMBER(B45),B45,""),IF($I$4="C0",posicao_contratual!G45,IF($I$4="C1",posicao_contratual!K45,IF($I$4="C2",posicao_contratual!O45,IF($I$4="C3",posicao_contratual!S45,IF($I$4="C4",posicao_contratual!W45,""))))))))</f>
        <v/>
      </c>
      <c r="E45" s="219" t="str">
        <f t="shared" si="4"/>
        <v/>
      </c>
      <c r="F45" s="81" t="str">
        <f>IF(A45="","",IF(COUNTIF($A$2:$A$200,A45)&gt;1,"ITEM DUPLICADO",IF($I$4="","POSICAO DE REFERENCIA INDISPONIVEL",IF(AND(B45&lt;&gt;"",NOT(ISNUMBER(B45))),"QTD NAO NUMERICA",IF(AND(ISNUMBER(B45),B45&lt;0),"NEGATIVO NAO PERMITIDO",IF(NOT(ISNUMBER(C45)),"POSICAO CONTRATUAL INDISPONIVEL",IF(OR(AND(posicao_contratual!$Y45&lt;&gt;"",posicao_contratual!$Y45&gt;IFERROR(VALUE(MID($I$4,2,1)),-1)),AND(posicao_contratual!$Z45,ISNUMBER(C45),C45&lt;=0)),"ITEM POSTERIOR A REFERENCIA",IF(D45="","REMANESCENTE DE REFERENCIA INDISPONIVEL",IF(AND(ISNUMBER(D45),ISNUMBER(C45),D45&gt;C45),"REMANESCENTE DE REFERENCIA SUPERA POSICAO CONTRATUAL","OK")))))))))</f>
        <v/>
      </c>
      <c r="K45" s="179" t="str">
        <f>IF(A45="","",itens_Remanesc!C45)</f>
        <v/>
      </c>
      <c r="L45" s="179" t="str">
        <f>IF(A45="","",IF($I$4="C0",posicao_contratual!G45,IF($I$4="C1",posicao_contratual!K45,IF($I$4="C2",posicao_contratual!O45,IF($I$4="C3",posicao_contratual!S45,IF($I$4="C4",posicao_contratual!W45,""))))))</f>
        <v/>
      </c>
      <c r="M45" s="179" t="str">
        <f ca="1">IF(OR(A45="",$I$5="",$I$6=""),"",ROUND(SUMIFS(aditivos!$L$2:$L$200,aditivos!$A$2:$A$200,A45,aditivos!$B$2:$B$200,"&gt;"&amp;$I$6,aditivos!$B$2:$B$200,"&lt;="&amp;$I$5),2))</f>
        <v/>
      </c>
      <c r="N45" s="179" t="str">
        <f t="shared" si="5"/>
        <v/>
      </c>
      <c r="O45" s="179" t="str">
        <f ca="1">IF(OR(A45="",D45="",NOT(ISNUMBER(IF($I$4="C0",historico_VU!C45,IF($I$4="C1",historico_VU!D45,IF($I$4="C2",historico_VU!E45,IF($I$4="C3",historico_VU!F45,IF($I$4="C4",historico_VU!G45,"")))))))),"",ROUND(D45*IF($I$4="C0",historico_VU!C45,IF($I$4="C1",historico_VU!D45,IF($I$4="C2",historico_VU!E45,IF($I$4="C3",historico_VU!F45,IF($I$4="C4",historico_VU!G45,""))))),2))</f>
        <v/>
      </c>
      <c r="P45" s="179" t="str">
        <f ca="1">IF(OR(A45="",N45="",NOT(ISNUMBER(IF($I$4="C0",historico_VU!C45,IF($I$4="C1",historico_VU!D45,IF($I$4="C2",historico_VU!E45,IF($I$4="C3",historico_VU!F45,IF($I$4="C4",historico_VU!G45,"")))))))),"",ROUND(N45*IF($I$4="C0",historico_VU!C45,IF($I$4="C1",historico_VU!D45,IF($I$4="C2",historico_VU!E45,IF($I$4="C3",historico_VU!F45,IF($I$4="C4",historico_VU!G45,""))))),2))</f>
        <v/>
      </c>
      <c r="Q45" s="179" t="str">
        <f t="shared" si="6"/>
        <v/>
      </c>
      <c r="R45" s="179" t="str">
        <f ca="1">IF(OR(A45="",L45="",NOT(ISNUMBER(IF($I$4="C0",historico_VU!C45,IF($I$4="C1",historico_VU!D45,IF($I$4="C2",historico_VU!E45,IF($I$4="C3",historico_VU!F45,IF($I$4="C4",historico_VU!G45,"")))))))),"",ROUND(L45*IF($I$4="C0",historico_VU!C45,IF($I$4="C1",historico_VU!D45,IF($I$4="C2",historico_VU!E45,IF($I$4="C3",historico_VU!F45,IF($I$4="C4",historico_VU!G45,""))))),2))</f>
        <v/>
      </c>
    </row>
    <row r="46" spans="1:18" x14ac:dyDescent="0.35">
      <c r="A46" s="81" t="str">
        <f>IF(itens_Remanesc!A46="","",itens_Remanesc!A46)</f>
        <v/>
      </c>
      <c r="B46" s="217" t="str">
        <f t="shared" ca="1" si="7"/>
        <v/>
      </c>
      <c r="C46" s="218" t="str">
        <f>IF(A46="","",IF($I$5="","POSICAO DE REFERENCIA INDISPONIVEL",ROUND(IF(itens_Remanesc!B46="",0,itens_Remanesc!B46)+SUMIFS(aditivos!$L$2:$L$200,aditivos!$A$2:$A$200,A46,aditivos!$B$2:$B$200,"&lt;="&amp;$I$5),2)))</f>
        <v/>
      </c>
      <c r="D46" s="218" t="str">
        <f>IF(A46="","",IF($I$4="","",IF($I$2,IF(ISNUMBER(B46),B46,""),IF($I$4="C0",posicao_contratual!G46,IF($I$4="C1",posicao_contratual!K46,IF($I$4="C2",posicao_contratual!O46,IF($I$4="C3",posicao_contratual!S46,IF($I$4="C4",posicao_contratual!W46,""))))))))</f>
        <v/>
      </c>
      <c r="E46" s="219" t="str">
        <f t="shared" si="4"/>
        <v/>
      </c>
      <c r="F46" s="81" t="str">
        <f>IF(A46="","",IF(COUNTIF($A$2:$A$200,A46)&gt;1,"ITEM DUPLICADO",IF($I$4="","POSICAO DE REFERENCIA INDISPONIVEL",IF(AND(B46&lt;&gt;"",NOT(ISNUMBER(B46))),"QTD NAO NUMERICA",IF(AND(ISNUMBER(B46),B46&lt;0),"NEGATIVO NAO PERMITIDO",IF(NOT(ISNUMBER(C46)),"POSICAO CONTRATUAL INDISPONIVEL",IF(OR(AND(posicao_contratual!$Y46&lt;&gt;"",posicao_contratual!$Y46&gt;IFERROR(VALUE(MID($I$4,2,1)),-1)),AND(posicao_contratual!$Z46,ISNUMBER(C46),C46&lt;=0)),"ITEM POSTERIOR A REFERENCIA",IF(D46="","REMANESCENTE DE REFERENCIA INDISPONIVEL",IF(AND(ISNUMBER(D46),ISNUMBER(C46),D46&gt;C46),"REMANESCENTE DE REFERENCIA SUPERA POSICAO CONTRATUAL","OK")))))))))</f>
        <v/>
      </c>
      <c r="K46" s="179" t="str">
        <f>IF(A46="","",itens_Remanesc!C46)</f>
        <v/>
      </c>
      <c r="L46" s="179" t="str">
        <f>IF(A46="","",IF($I$4="C0",posicao_contratual!G46,IF($I$4="C1",posicao_contratual!K46,IF($I$4="C2",posicao_contratual!O46,IF($I$4="C3",posicao_contratual!S46,IF($I$4="C4",posicao_contratual!W46,""))))))</f>
        <v/>
      </c>
      <c r="M46" s="179" t="str">
        <f ca="1">IF(OR(A46="",$I$5="",$I$6=""),"",ROUND(SUMIFS(aditivos!$L$2:$L$200,aditivos!$A$2:$A$200,A46,aditivos!$B$2:$B$200,"&gt;"&amp;$I$6,aditivos!$B$2:$B$200,"&lt;="&amp;$I$5),2))</f>
        <v/>
      </c>
      <c r="N46" s="179" t="str">
        <f t="shared" si="5"/>
        <v/>
      </c>
      <c r="O46" s="179" t="str">
        <f ca="1">IF(OR(A46="",D46="",NOT(ISNUMBER(IF($I$4="C0",historico_VU!C46,IF($I$4="C1",historico_VU!D46,IF($I$4="C2",historico_VU!E46,IF($I$4="C3",historico_VU!F46,IF($I$4="C4",historico_VU!G46,"")))))))),"",ROUND(D46*IF($I$4="C0",historico_VU!C46,IF($I$4="C1",historico_VU!D46,IF($I$4="C2",historico_VU!E46,IF($I$4="C3",historico_VU!F46,IF($I$4="C4",historico_VU!G46,""))))),2))</f>
        <v/>
      </c>
      <c r="P46" s="179" t="str">
        <f ca="1">IF(OR(A46="",N46="",NOT(ISNUMBER(IF($I$4="C0",historico_VU!C46,IF($I$4="C1",historico_VU!D46,IF($I$4="C2",historico_VU!E46,IF($I$4="C3",historico_VU!F46,IF($I$4="C4",historico_VU!G46,"")))))))),"",ROUND(N46*IF($I$4="C0",historico_VU!C46,IF($I$4="C1",historico_VU!D46,IF($I$4="C2",historico_VU!E46,IF($I$4="C3",historico_VU!F46,IF($I$4="C4",historico_VU!G46,""))))),2))</f>
        <v/>
      </c>
      <c r="Q46" s="179" t="str">
        <f t="shared" si="6"/>
        <v/>
      </c>
      <c r="R46" s="179" t="str">
        <f ca="1">IF(OR(A46="",L46="",NOT(ISNUMBER(IF($I$4="C0",historico_VU!C46,IF($I$4="C1",historico_VU!D46,IF($I$4="C2",historico_VU!E46,IF($I$4="C3",historico_VU!F46,IF($I$4="C4",historico_VU!G46,"")))))))),"",ROUND(L46*IF($I$4="C0",historico_VU!C46,IF($I$4="C1",historico_VU!D46,IF($I$4="C2",historico_VU!E46,IF($I$4="C3",historico_VU!F46,IF($I$4="C4",historico_VU!G46,""))))),2))</f>
        <v/>
      </c>
    </row>
    <row r="47" spans="1:18" x14ac:dyDescent="0.35">
      <c r="A47" s="81" t="str">
        <f>IF(itens_Remanesc!A47="","",itens_Remanesc!A47)</f>
        <v/>
      </c>
      <c r="B47" s="217" t="str">
        <f t="shared" ca="1" si="7"/>
        <v/>
      </c>
      <c r="C47" s="218" t="str">
        <f>IF(A47="","",IF($I$5="","POSICAO DE REFERENCIA INDISPONIVEL",ROUND(IF(itens_Remanesc!B47="",0,itens_Remanesc!B47)+SUMIFS(aditivos!$L$2:$L$200,aditivos!$A$2:$A$200,A47,aditivos!$B$2:$B$200,"&lt;="&amp;$I$5),2)))</f>
        <v/>
      </c>
      <c r="D47" s="218" t="str">
        <f>IF(A47="","",IF($I$4="","",IF($I$2,IF(ISNUMBER(B47),B47,""),IF($I$4="C0",posicao_contratual!G47,IF($I$4="C1",posicao_contratual!K47,IF($I$4="C2",posicao_contratual!O47,IF($I$4="C3",posicao_contratual!S47,IF($I$4="C4",posicao_contratual!W47,""))))))))</f>
        <v/>
      </c>
      <c r="E47" s="219" t="str">
        <f t="shared" si="4"/>
        <v/>
      </c>
      <c r="F47" s="81" t="str">
        <f>IF(A47="","",IF(COUNTIF($A$2:$A$200,A47)&gt;1,"ITEM DUPLICADO",IF($I$4="","POSICAO DE REFERENCIA INDISPONIVEL",IF(AND(B47&lt;&gt;"",NOT(ISNUMBER(B47))),"QTD NAO NUMERICA",IF(AND(ISNUMBER(B47),B47&lt;0),"NEGATIVO NAO PERMITIDO",IF(NOT(ISNUMBER(C47)),"POSICAO CONTRATUAL INDISPONIVEL",IF(OR(AND(posicao_contratual!$Y47&lt;&gt;"",posicao_contratual!$Y47&gt;IFERROR(VALUE(MID($I$4,2,1)),-1)),AND(posicao_contratual!$Z47,ISNUMBER(C47),C47&lt;=0)),"ITEM POSTERIOR A REFERENCIA",IF(D47="","REMANESCENTE DE REFERENCIA INDISPONIVEL",IF(AND(ISNUMBER(D47),ISNUMBER(C47),D47&gt;C47),"REMANESCENTE DE REFERENCIA SUPERA POSICAO CONTRATUAL","OK")))))))))</f>
        <v/>
      </c>
      <c r="K47" s="179" t="str">
        <f>IF(A47="","",itens_Remanesc!C47)</f>
        <v/>
      </c>
      <c r="L47" s="179" t="str">
        <f>IF(A47="","",IF($I$4="C0",posicao_contratual!G47,IF($I$4="C1",posicao_contratual!K47,IF($I$4="C2",posicao_contratual!O47,IF($I$4="C3",posicao_contratual!S47,IF($I$4="C4",posicao_contratual!W47,""))))))</f>
        <v/>
      </c>
      <c r="M47" s="179" t="str">
        <f ca="1">IF(OR(A47="",$I$5="",$I$6=""),"",ROUND(SUMIFS(aditivos!$L$2:$L$200,aditivos!$A$2:$A$200,A47,aditivos!$B$2:$B$200,"&gt;"&amp;$I$6,aditivos!$B$2:$B$200,"&lt;="&amp;$I$5),2))</f>
        <v/>
      </c>
      <c r="N47" s="179" t="str">
        <f t="shared" si="5"/>
        <v/>
      </c>
      <c r="O47" s="179" t="str">
        <f ca="1">IF(OR(A47="",D47="",NOT(ISNUMBER(IF($I$4="C0",historico_VU!C47,IF($I$4="C1",historico_VU!D47,IF($I$4="C2",historico_VU!E47,IF($I$4="C3",historico_VU!F47,IF($I$4="C4",historico_VU!G47,"")))))))),"",ROUND(D47*IF($I$4="C0",historico_VU!C47,IF($I$4="C1",historico_VU!D47,IF($I$4="C2",historico_VU!E47,IF($I$4="C3",historico_VU!F47,IF($I$4="C4",historico_VU!G47,""))))),2))</f>
        <v/>
      </c>
      <c r="P47" s="179" t="str">
        <f ca="1">IF(OR(A47="",N47="",NOT(ISNUMBER(IF($I$4="C0",historico_VU!C47,IF($I$4="C1",historico_VU!D47,IF($I$4="C2",historico_VU!E47,IF($I$4="C3",historico_VU!F47,IF($I$4="C4",historico_VU!G47,"")))))))),"",ROUND(N47*IF($I$4="C0",historico_VU!C47,IF($I$4="C1",historico_VU!D47,IF($I$4="C2",historico_VU!E47,IF($I$4="C3",historico_VU!F47,IF($I$4="C4",historico_VU!G47,""))))),2))</f>
        <v/>
      </c>
      <c r="Q47" s="179" t="str">
        <f t="shared" si="6"/>
        <v/>
      </c>
      <c r="R47" s="179" t="str">
        <f ca="1">IF(OR(A47="",L47="",NOT(ISNUMBER(IF($I$4="C0",historico_VU!C47,IF($I$4="C1",historico_VU!D47,IF($I$4="C2",historico_VU!E47,IF($I$4="C3",historico_VU!F47,IF($I$4="C4",historico_VU!G47,"")))))))),"",ROUND(L47*IF($I$4="C0",historico_VU!C47,IF($I$4="C1",historico_VU!D47,IF($I$4="C2",historico_VU!E47,IF($I$4="C3",historico_VU!F47,IF($I$4="C4",historico_VU!G47,""))))),2))</f>
        <v/>
      </c>
    </row>
    <row r="48" spans="1:18" x14ac:dyDescent="0.35">
      <c r="A48" s="81" t="str">
        <f>IF(itens_Remanesc!A48="","",itens_Remanesc!A48)</f>
        <v/>
      </c>
      <c r="B48" s="217" t="str">
        <f t="shared" ca="1" si="7"/>
        <v/>
      </c>
      <c r="C48" s="218" t="str">
        <f>IF(A48="","",IF($I$5="","POSICAO DE REFERENCIA INDISPONIVEL",ROUND(IF(itens_Remanesc!B48="",0,itens_Remanesc!B48)+SUMIFS(aditivos!$L$2:$L$200,aditivos!$A$2:$A$200,A48,aditivos!$B$2:$B$200,"&lt;="&amp;$I$5),2)))</f>
        <v/>
      </c>
      <c r="D48" s="218" t="str">
        <f>IF(A48="","",IF($I$4="","",IF($I$2,IF(ISNUMBER(B48),B48,""),IF($I$4="C0",posicao_contratual!G48,IF($I$4="C1",posicao_contratual!K48,IF($I$4="C2",posicao_contratual!O48,IF($I$4="C3",posicao_contratual!S48,IF($I$4="C4",posicao_contratual!W48,""))))))))</f>
        <v/>
      </c>
      <c r="E48" s="219" t="str">
        <f t="shared" si="4"/>
        <v/>
      </c>
      <c r="F48" s="81" t="str">
        <f>IF(A48="","",IF(COUNTIF($A$2:$A$200,A48)&gt;1,"ITEM DUPLICADO",IF($I$4="","POSICAO DE REFERENCIA INDISPONIVEL",IF(AND(B48&lt;&gt;"",NOT(ISNUMBER(B48))),"QTD NAO NUMERICA",IF(AND(ISNUMBER(B48),B48&lt;0),"NEGATIVO NAO PERMITIDO",IF(NOT(ISNUMBER(C48)),"POSICAO CONTRATUAL INDISPONIVEL",IF(OR(AND(posicao_contratual!$Y48&lt;&gt;"",posicao_contratual!$Y48&gt;IFERROR(VALUE(MID($I$4,2,1)),-1)),AND(posicao_contratual!$Z48,ISNUMBER(C48),C48&lt;=0)),"ITEM POSTERIOR A REFERENCIA",IF(D48="","REMANESCENTE DE REFERENCIA INDISPONIVEL",IF(AND(ISNUMBER(D48),ISNUMBER(C48),D48&gt;C48),"REMANESCENTE DE REFERENCIA SUPERA POSICAO CONTRATUAL","OK")))))))))</f>
        <v/>
      </c>
      <c r="K48" s="179" t="str">
        <f>IF(A48="","",itens_Remanesc!C48)</f>
        <v/>
      </c>
      <c r="L48" s="179" t="str">
        <f>IF(A48="","",IF($I$4="C0",posicao_contratual!G48,IF($I$4="C1",posicao_contratual!K48,IF($I$4="C2",posicao_contratual!O48,IF($I$4="C3",posicao_contratual!S48,IF($I$4="C4",posicao_contratual!W48,""))))))</f>
        <v/>
      </c>
      <c r="M48" s="179" t="str">
        <f ca="1">IF(OR(A48="",$I$5="",$I$6=""),"",ROUND(SUMIFS(aditivos!$L$2:$L$200,aditivos!$A$2:$A$200,A48,aditivos!$B$2:$B$200,"&gt;"&amp;$I$6,aditivos!$B$2:$B$200,"&lt;="&amp;$I$5),2))</f>
        <v/>
      </c>
      <c r="N48" s="179" t="str">
        <f t="shared" si="5"/>
        <v/>
      </c>
      <c r="O48" s="179" t="str">
        <f ca="1">IF(OR(A48="",D48="",NOT(ISNUMBER(IF($I$4="C0",historico_VU!C48,IF($I$4="C1",historico_VU!D48,IF($I$4="C2",historico_VU!E48,IF($I$4="C3",historico_VU!F48,IF($I$4="C4",historico_VU!G48,"")))))))),"",ROUND(D48*IF($I$4="C0",historico_VU!C48,IF($I$4="C1",historico_VU!D48,IF($I$4="C2",historico_VU!E48,IF($I$4="C3",historico_VU!F48,IF($I$4="C4",historico_VU!G48,""))))),2))</f>
        <v/>
      </c>
      <c r="P48" s="179" t="str">
        <f ca="1">IF(OR(A48="",N48="",NOT(ISNUMBER(IF($I$4="C0",historico_VU!C48,IF($I$4="C1",historico_VU!D48,IF($I$4="C2",historico_VU!E48,IF($I$4="C3",historico_VU!F48,IF($I$4="C4",historico_VU!G48,"")))))))),"",ROUND(N48*IF($I$4="C0",historico_VU!C48,IF($I$4="C1",historico_VU!D48,IF($I$4="C2",historico_VU!E48,IF($I$4="C3",historico_VU!F48,IF($I$4="C4",historico_VU!G48,""))))),2))</f>
        <v/>
      </c>
      <c r="Q48" s="179" t="str">
        <f t="shared" si="6"/>
        <v/>
      </c>
      <c r="R48" s="179" t="str">
        <f ca="1">IF(OR(A48="",L48="",NOT(ISNUMBER(IF($I$4="C0",historico_VU!C48,IF($I$4="C1",historico_VU!D48,IF($I$4="C2",historico_VU!E48,IF($I$4="C3",historico_VU!F48,IF($I$4="C4",historico_VU!G48,"")))))))),"",ROUND(L48*IF($I$4="C0",historico_VU!C48,IF($I$4="C1",historico_VU!D48,IF($I$4="C2",historico_VU!E48,IF($I$4="C3",historico_VU!F48,IF($I$4="C4",historico_VU!G48,""))))),2))</f>
        <v/>
      </c>
    </row>
    <row r="49" spans="1:18" x14ac:dyDescent="0.35">
      <c r="A49" s="81" t="str">
        <f>IF(itens_Remanesc!A49="","",itens_Remanesc!A49)</f>
        <v/>
      </c>
      <c r="B49" s="217" t="str">
        <f t="shared" ca="1" si="7"/>
        <v/>
      </c>
      <c r="C49" s="218" t="str">
        <f>IF(A49="","",IF($I$5="","POSICAO DE REFERENCIA INDISPONIVEL",ROUND(IF(itens_Remanesc!B49="",0,itens_Remanesc!B49)+SUMIFS(aditivos!$L$2:$L$200,aditivos!$A$2:$A$200,A49,aditivos!$B$2:$B$200,"&lt;="&amp;$I$5),2)))</f>
        <v/>
      </c>
      <c r="D49" s="218" t="str">
        <f>IF(A49="","",IF($I$4="","",IF($I$2,IF(ISNUMBER(B49),B49,""),IF($I$4="C0",posicao_contratual!G49,IF($I$4="C1",posicao_contratual!K49,IF($I$4="C2",posicao_contratual!O49,IF($I$4="C3",posicao_contratual!S49,IF($I$4="C4",posicao_contratual!W49,""))))))))</f>
        <v/>
      </c>
      <c r="E49" s="219" t="str">
        <f t="shared" si="4"/>
        <v/>
      </c>
      <c r="F49" s="81" t="str">
        <f>IF(A49="","",IF(COUNTIF($A$2:$A$200,A49)&gt;1,"ITEM DUPLICADO",IF($I$4="","POSICAO DE REFERENCIA INDISPONIVEL",IF(AND(B49&lt;&gt;"",NOT(ISNUMBER(B49))),"QTD NAO NUMERICA",IF(AND(ISNUMBER(B49),B49&lt;0),"NEGATIVO NAO PERMITIDO",IF(NOT(ISNUMBER(C49)),"POSICAO CONTRATUAL INDISPONIVEL",IF(OR(AND(posicao_contratual!$Y49&lt;&gt;"",posicao_contratual!$Y49&gt;IFERROR(VALUE(MID($I$4,2,1)),-1)),AND(posicao_contratual!$Z49,ISNUMBER(C49),C49&lt;=0)),"ITEM POSTERIOR A REFERENCIA",IF(D49="","REMANESCENTE DE REFERENCIA INDISPONIVEL",IF(AND(ISNUMBER(D49),ISNUMBER(C49),D49&gt;C49),"REMANESCENTE DE REFERENCIA SUPERA POSICAO CONTRATUAL","OK")))))))))</f>
        <v/>
      </c>
      <c r="K49" s="179" t="str">
        <f>IF(A49="","",itens_Remanesc!C49)</f>
        <v/>
      </c>
      <c r="L49" s="179" t="str">
        <f>IF(A49="","",IF($I$4="C0",posicao_contratual!G49,IF($I$4="C1",posicao_contratual!K49,IF($I$4="C2",posicao_contratual!O49,IF($I$4="C3",posicao_contratual!S49,IF($I$4="C4",posicao_contratual!W49,""))))))</f>
        <v/>
      </c>
      <c r="M49" s="179" t="str">
        <f ca="1">IF(OR(A49="",$I$5="",$I$6=""),"",ROUND(SUMIFS(aditivos!$L$2:$L$200,aditivos!$A$2:$A$200,A49,aditivos!$B$2:$B$200,"&gt;"&amp;$I$6,aditivos!$B$2:$B$200,"&lt;="&amp;$I$5),2))</f>
        <v/>
      </c>
      <c r="N49" s="179" t="str">
        <f t="shared" si="5"/>
        <v/>
      </c>
      <c r="O49" s="179" t="str">
        <f ca="1">IF(OR(A49="",D49="",NOT(ISNUMBER(IF($I$4="C0",historico_VU!C49,IF($I$4="C1",historico_VU!D49,IF($I$4="C2",historico_VU!E49,IF($I$4="C3",historico_VU!F49,IF($I$4="C4",historico_VU!G49,"")))))))),"",ROUND(D49*IF($I$4="C0",historico_VU!C49,IF($I$4="C1",historico_VU!D49,IF($I$4="C2",historico_VU!E49,IF($I$4="C3",historico_VU!F49,IF($I$4="C4",historico_VU!G49,""))))),2))</f>
        <v/>
      </c>
      <c r="P49" s="179" t="str">
        <f ca="1">IF(OR(A49="",N49="",NOT(ISNUMBER(IF($I$4="C0",historico_VU!C49,IF($I$4="C1",historico_VU!D49,IF($I$4="C2",historico_VU!E49,IF($I$4="C3",historico_VU!F49,IF($I$4="C4",historico_VU!G49,"")))))))),"",ROUND(N49*IF($I$4="C0",historico_VU!C49,IF($I$4="C1",historico_VU!D49,IF($I$4="C2",historico_VU!E49,IF($I$4="C3",historico_VU!F49,IF($I$4="C4",historico_VU!G49,""))))),2))</f>
        <v/>
      </c>
      <c r="Q49" s="179" t="str">
        <f t="shared" si="6"/>
        <v/>
      </c>
      <c r="R49" s="179" t="str">
        <f ca="1">IF(OR(A49="",L49="",NOT(ISNUMBER(IF($I$4="C0",historico_VU!C49,IF($I$4="C1",historico_VU!D49,IF($I$4="C2",historico_VU!E49,IF($I$4="C3",historico_VU!F49,IF($I$4="C4",historico_VU!G49,"")))))))),"",ROUND(L49*IF($I$4="C0",historico_VU!C49,IF($I$4="C1",historico_VU!D49,IF($I$4="C2",historico_VU!E49,IF($I$4="C3",historico_VU!F49,IF($I$4="C4",historico_VU!G49,""))))),2))</f>
        <v/>
      </c>
    </row>
    <row r="50" spans="1:18" x14ac:dyDescent="0.35">
      <c r="A50" s="81" t="str">
        <f>IF(itens_Remanesc!A50="","",itens_Remanesc!A50)</f>
        <v/>
      </c>
      <c r="B50" s="217" t="str">
        <f t="shared" ca="1" si="7"/>
        <v/>
      </c>
      <c r="C50" s="218" t="str">
        <f>IF(A50="","",IF($I$5="","POSICAO DE REFERENCIA INDISPONIVEL",ROUND(IF(itens_Remanesc!B50="",0,itens_Remanesc!B50)+SUMIFS(aditivos!$L$2:$L$200,aditivos!$A$2:$A$200,A50,aditivos!$B$2:$B$200,"&lt;="&amp;$I$5),2)))</f>
        <v/>
      </c>
      <c r="D50" s="218" t="str">
        <f>IF(A50="","",IF($I$4="","",IF($I$2,IF(ISNUMBER(B50),B50,""),IF($I$4="C0",posicao_contratual!G50,IF($I$4="C1",posicao_contratual!K50,IF($I$4="C2",posicao_contratual!O50,IF($I$4="C3",posicao_contratual!S50,IF($I$4="C4",posicao_contratual!W50,""))))))))</f>
        <v/>
      </c>
      <c r="E50" s="219" t="str">
        <f t="shared" si="4"/>
        <v/>
      </c>
      <c r="F50" s="81" t="str">
        <f>IF(A50="","",IF(COUNTIF($A$2:$A$200,A50)&gt;1,"ITEM DUPLICADO",IF($I$4="","POSICAO DE REFERENCIA INDISPONIVEL",IF(AND(B50&lt;&gt;"",NOT(ISNUMBER(B50))),"QTD NAO NUMERICA",IF(AND(ISNUMBER(B50),B50&lt;0),"NEGATIVO NAO PERMITIDO",IF(NOT(ISNUMBER(C50)),"POSICAO CONTRATUAL INDISPONIVEL",IF(OR(AND(posicao_contratual!$Y50&lt;&gt;"",posicao_contratual!$Y50&gt;IFERROR(VALUE(MID($I$4,2,1)),-1)),AND(posicao_contratual!$Z50,ISNUMBER(C50),C50&lt;=0)),"ITEM POSTERIOR A REFERENCIA",IF(D50="","REMANESCENTE DE REFERENCIA INDISPONIVEL",IF(AND(ISNUMBER(D50),ISNUMBER(C50),D50&gt;C50),"REMANESCENTE DE REFERENCIA SUPERA POSICAO CONTRATUAL","OK")))))))))</f>
        <v/>
      </c>
      <c r="K50" s="179" t="str">
        <f>IF(A50="","",itens_Remanesc!C50)</f>
        <v/>
      </c>
      <c r="L50" s="179" t="str">
        <f>IF(A50="","",IF($I$4="C0",posicao_contratual!G50,IF($I$4="C1",posicao_contratual!K50,IF($I$4="C2",posicao_contratual!O50,IF($I$4="C3",posicao_contratual!S50,IF($I$4="C4",posicao_contratual!W50,""))))))</f>
        <v/>
      </c>
      <c r="M50" s="179" t="str">
        <f ca="1">IF(OR(A50="",$I$5="",$I$6=""),"",ROUND(SUMIFS(aditivos!$L$2:$L$200,aditivos!$A$2:$A$200,A50,aditivos!$B$2:$B$200,"&gt;"&amp;$I$6,aditivos!$B$2:$B$200,"&lt;="&amp;$I$5),2))</f>
        <v/>
      </c>
      <c r="N50" s="179" t="str">
        <f t="shared" si="5"/>
        <v/>
      </c>
      <c r="O50" s="179" t="str">
        <f ca="1">IF(OR(A50="",D50="",NOT(ISNUMBER(IF($I$4="C0",historico_VU!C50,IF($I$4="C1",historico_VU!D50,IF($I$4="C2",historico_VU!E50,IF($I$4="C3",historico_VU!F50,IF($I$4="C4",historico_VU!G50,"")))))))),"",ROUND(D50*IF($I$4="C0",historico_VU!C50,IF($I$4="C1",historico_VU!D50,IF($I$4="C2",historico_VU!E50,IF($I$4="C3",historico_VU!F50,IF($I$4="C4",historico_VU!G50,""))))),2))</f>
        <v/>
      </c>
      <c r="P50" s="179" t="str">
        <f ca="1">IF(OR(A50="",N50="",NOT(ISNUMBER(IF($I$4="C0",historico_VU!C50,IF($I$4="C1",historico_VU!D50,IF($I$4="C2",historico_VU!E50,IF($I$4="C3",historico_VU!F50,IF($I$4="C4",historico_VU!G50,"")))))))),"",ROUND(N50*IF($I$4="C0",historico_VU!C50,IF($I$4="C1",historico_VU!D50,IF($I$4="C2",historico_VU!E50,IF($I$4="C3",historico_VU!F50,IF($I$4="C4",historico_VU!G50,""))))),2))</f>
        <v/>
      </c>
      <c r="Q50" s="179" t="str">
        <f t="shared" si="6"/>
        <v/>
      </c>
      <c r="R50" s="179" t="str">
        <f ca="1">IF(OR(A50="",L50="",NOT(ISNUMBER(IF($I$4="C0",historico_VU!C50,IF($I$4="C1",historico_VU!D50,IF($I$4="C2",historico_VU!E50,IF($I$4="C3",historico_VU!F50,IF($I$4="C4",historico_VU!G50,"")))))))),"",ROUND(L50*IF($I$4="C0",historico_VU!C50,IF($I$4="C1",historico_VU!D50,IF($I$4="C2",historico_VU!E50,IF($I$4="C3",historico_VU!F50,IF($I$4="C4",historico_VU!G50,""))))),2))</f>
        <v/>
      </c>
    </row>
    <row r="51" spans="1:18" x14ac:dyDescent="0.35">
      <c r="A51" s="81" t="str">
        <f>IF(itens_Remanesc!A51="","",itens_Remanesc!A51)</f>
        <v/>
      </c>
      <c r="B51" s="217" t="str">
        <f t="shared" ca="1" si="7"/>
        <v/>
      </c>
      <c r="C51" s="218" t="str">
        <f>IF(A51="","",IF($I$5="","POSICAO DE REFERENCIA INDISPONIVEL",ROUND(IF(itens_Remanesc!B51="",0,itens_Remanesc!B51)+SUMIFS(aditivos!$L$2:$L$200,aditivos!$A$2:$A$200,A51,aditivos!$B$2:$B$200,"&lt;="&amp;$I$5),2)))</f>
        <v/>
      </c>
      <c r="D51" s="218" t="str">
        <f>IF(A51="","",IF($I$4="","",IF($I$2,IF(ISNUMBER(B51),B51,""),IF($I$4="C0",posicao_contratual!G51,IF($I$4="C1",posicao_contratual!K51,IF($I$4="C2",posicao_contratual!O51,IF($I$4="C3",posicao_contratual!S51,IF($I$4="C4",posicao_contratual!W51,""))))))))</f>
        <v/>
      </c>
      <c r="E51" s="219" t="str">
        <f t="shared" si="4"/>
        <v/>
      </c>
      <c r="F51" s="81" t="str">
        <f>IF(A51="","",IF(COUNTIF($A$2:$A$200,A51)&gt;1,"ITEM DUPLICADO",IF($I$4="","POSICAO DE REFERENCIA INDISPONIVEL",IF(AND(B51&lt;&gt;"",NOT(ISNUMBER(B51))),"QTD NAO NUMERICA",IF(AND(ISNUMBER(B51),B51&lt;0),"NEGATIVO NAO PERMITIDO",IF(NOT(ISNUMBER(C51)),"POSICAO CONTRATUAL INDISPONIVEL",IF(OR(AND(posicao_contratual!$Y51&lt;&gt;"",posicao_contratual!$Y51&gt;IFERROR(VALUE(MID($I$4,2,1)),-1)),AND(posicao_contratual!$Z51,ISNUMBER(C51),C51&lt;=0)),"ITEM POSTERIOR A REFERENCIA",IF(D51="","REMANESCENTE DE REFERENCIA INDISPONIVEL",IF(AND(ISNUMBER(D51),ISNUMBER(C51),D51&gt;C51),"REMANESCENTE DE REFERENCIA SUPERA POSICAO CONTRATUAL","OK")))))))))</f>
        <v/>
      </c>
      <c r="K51" s="179" t="str">
        <f>IF(A51="","",itens_Remanesc!C51)</f>
        <v/>
      </c>
      <c r="L51" s="179" t="str">
        <f>IF(A51="","",IF($I$4="C0",posicao_contratual!G51,IF($I$4="C1",posicao_contratual!K51,IF($I$4="C2",posicao_contratual!O51,IF($I$4="C3",posicao_contratual!S51,IF($I$4="C4",posicao_contratual!W51,""))))))</f>
        <v/>
      </c>
      <c r="M51" s="179" t="str">
        <f ca="1">IF(OR(A51="",$I$5="",$I$6=""),"",ROUND(SUMIFS(aditivos!$L$2:$L$200,aditivos!$A$2:$A$200,A51,aditivos!$B$2:$B$200,"&gt;"&amp;$I$6,aditivos!$B$2:$B$200,"&lt;="&amp;$I$5),2))</f>
        <v/>
      </c>
      <c r="N51" s="179" t="str">
        <f t="shared" si="5"/>
        <v/>
      </c>
      <c r="O51" s="179" t="str">
        <f ca="1">IF(OR(A51="",D51="",NOT(ISNUMBER(IF($I$4="C0",historico_VU!C51,IF($I$4="C1",historico_VU!D51,IF($I$4="C2",historico_VU!E51,IF($I$4="C3",historico_VU!F51,IF($I$4="C4",historico_VU!G51,"")))))))),"",ROUND(D51*IF($I$4="C0",historico_VU!C51,IF($I$4="C1",historico_VU!D51,IF($I$4="C2",historico_VU!E51,IF($I$4="C3",historico_VU!F51,IF($I$4="C4",historico_VU!G51,""))))),2))</f>
        <v/>
      </c>
      <c r="P51" s="179" t="str">
        <f ca="1">IF(OR(A51="",N51="",NOT(ISNUMBER(IF($I$4="C0",historico_VU!C51,IF($I$4="C1",historico_VU!D51,IF($I$4="C2",historico_VU!E51,IF($I$4="C3",historico_VU!F51,IF($I$4="C4",historico_VU!G51,"")))))))),"",ROUND(N51*IF($I$4="C0",historico_VU!C51,IF($I$4="C1",historico_VU!D51,IF($I$4="C2",historico_VU!E51,IF($I$4="C3",historico_VU!F51,IF($I$4="C4",historico_VU!G51,""))))),2))</f>
        <v/>
      </c>
      <c r="Q51" s="179" t="str">
        <f t="shared" si="6"/>
        <v/>
      </c>
      <c r="R51" s="179" t="str">
        <f ca="1">IF(OR(A51="",L51="",NOT(ISNUMBER(IF($I$4="C0",historico_VU!C51,IF($I$4="C1",historico_VU!D51,IF($I$4="C2",historico_VU!E51,IF($I$4="C3",historico_VU!F51,IF($I$4="C4",historico_VU!G51,"")))))))),"",ROUND(L51*IF($I$4="C0",historico_VU!C51,IF($I$4="C1",historico_VU!D51,IF($I$4="C2",historico_VU!E51,IF($I$4="C3",historico_VU!F51,IF($I$4="C4",historico_VU!G51,""))))),2))</f>
        <v/>
      </c>
    </row>
    <row r="52" spans="1:18" x14ac:dyDescent="0.35">
      <c r="A52" s="81" t="str">
        <f>IF(itens_Remanesc!A52="","",itens_Remanesc!A52)</f>
        <v/>
      </c>
      <c r="B52" s="217" t="str">
        <f t="shared" ca="1" si="7"/>
        <v/>
      </c>
      <c r="C52" s="218" t="str">
        <f>IF(A52="","",IF($I$5="","POSICAO DE REFERENCIA INDISPONIVEL",ROUND(IF(itens_Remanesc!B52="",0,itens_Remanesc!B52)+SUMIFS(aditivos!$L$2:$L$200,aditivos!$A$2:$A$200,A52,aditivos!$B$2:$B$200,"&lt;="&amp;$I$5),2)))</f>
        <v/>
      </c>
      <c r="D52" s="218" t="str">
        <f>IF(A52="","",IF($I$4="","",IF($I$2,IF(ISNUMBER(B52),B52,""),IF($I$4="C0",posicao_contratual!G52,IF($I$4="C1",posicao_contratual!K52,IF($I$4="C2",posicao_contratual!O52,IF($I$4="C3",posicao_contratual!S52,IF($I$4="C4",posicao_contratual!W52,""))))))))</f>
        <v/>
      </c>
      <c r="E52" s="219" t="str">
        <f t="shared" si="4"/>
        <v/>
      </c>
      <c r="F52" s="81" t="str">
        <f>IF(A52="","",IF(COUNTIF($A$2:$A$200,A52)&gt;1,"ITEM DUPLICADO",IF($I$4="","POSICAO DE REFERENCIA INDISPONIVEL",IF(AND(B52&lt;&gt;"",NOT(ISNUMBER(B52))),"QTD NAO NUMERICA",IF(AND(ISNUMBER(B52),B52&lt;0),"NEGATIVO NAO PERMITIDO",IF(NOT(ISNUMBER(C52)),"POSICAO CONTRATUAL INDISPONIVEL",IF(OR(AND(posicao_contratual!$Y52&lt;&gt;"",posicao_contratual!$Y52&gt;IFERROR(VALUE(MID($I$4,2,1)),-1)),AND(posicao_contratual!$Z52,ISNUMBER(C52),C52&lt;=0)),"ITEM POSTERIOR A REFERENCIA",IF(D52="","REMANESCENTE DE REFERENCIA INDISPONIVEL",IF(AND(ISNUMBER(D52),ISNUMBER(C52),D52&gt;C52),"REMANESCENTE DE REFERENCIA SUPERA POSICAO CONTRATUAL","OK")))))))))</f>
        <v/>
      </c>
      <c r="K52" s="179" t="str">
        <f>IF(A52="","",itens_Remanesc!C52)</f>
        <v/>
      </c>
      <c r="L52" s="179" t="str">
        <f>IF(A52="","",IF($I$4="C0",posicao_contratual!G52,IF($I$4="C1",posicao_contratual!K52,IF($I$4="C2",posicao_contratual!O52,IF($I$4="C3",posicao_contratual!S52,IF($I$4="C4",posicao_contratual!W52,""))))))</f>
        <v/>
      </c>
      <c r="M52" s="179" t="str">
        <f ca="1">IF(OR(A52="",$I$5="",$I$6=""),"",ROUND(SUMIFS(aditivos!$L$2:$L$200,aditivos!$A$2:$A$200,A52,aditivos!$B$2:$B$200,"&gt;"&amp;$I$6,aditivos!$B$2:$B$200,"&lt;="&amp;$I$5),2))</f>
        <v/>
      </c>
      <c r="N52" s="179" t="str">
        <f t="shared" si="5"/>
        <v/>
      </c>
      <c r="O52" s="179" t="str">
        <f ca="1">IF(OR(A52="",D52="",NOT(ISNUMBER(IF($I$4="C0",historico_VU!C52,IF($I$4="C1",historico_VU!D52,IF($I$4="C2",historico_VU!E52,IF($I$4="C3",historico_VU!F52,IF($I$4="C4",historico_VU!G52,"")))))))),"",ROUND(D52*IF($I$4="C0",historico_VU!C52,IF($I$4="C1",historico_VU!D52,IF($I$4="C2",historico_VU!E52,IF($I$4="C3",historico_VU!F52,IF($I$4="C4",historico_VU!G52,""))))),2))</f>
        <v/>
      </c>
      <c r="P52" s="179" t="str">
        <f ca="1">IF(OR(A52="",N52="",NOT(ISNUMBER(IF($I$4="C0",historico_VU!C52,IF($I$4="C1",historico_VU!D52,IF($I$4="C2",historico_VU!E52,IF($I$4="C3",historico_VU!F52,IF($I$4="C4",historico_VU!G52,"")))))))),"",ROUND(N52*IF($I$4="C0",historico_VU!C52,IF($I$4="C1",historico_VU!D52,IF($I$4="C2",historico_VU!E52,IF($I$4="C3",historico_VU!F52,IF($I$4="C4",historico_VU!G52,""))))),2))</f>
        <v/>
      </c>
      <c r="Q52" s="179" t="str">
        <f t="shared" si="6"/>
        <v/>
      </c>
      <c r="R52" s="179" t="str">
        <f ca="1">IF(OR(A52="",L52="",NOT(ISNUMBER(IF($I$4="C0",historico_VU!C52,IF($I$4="C1",historico_VU!D52,IF($I$4="C2",historico_VU!E52,IF($I$4="C3",historico_VU!F52,IF($I$4="C4",historico_VU!G52,"")))))))),"",ROUND(L52*IF($I$4="C0",historico_VU!C52,IF($I$4="C1",historico_VU!D52,IF($I$4="C2",historico_VU!E52,IF($I$4="C3",historico_VU!F52,IF($I$4="C4",historico_VU!G52,""))))),2))</f>
        <v/>
      </c>
    </row>
    <row r="53" spans="1:18" x14ac:dyDescent="0.35">
      <c r="A53" s="81" t="str">
        <f>IF(itens_Remanesc!A53="","",itens_Remanesc!A53)</f>
        <v/>
      </c>
      <c r="B53" s="217" t="str">
        <f t="shared" ca="1" si="7"/>
        <v/>
      </c>
      <c r="C53" s="218" t="str">
        <f>IF(A53="","",IF($I$5="","POSICAO DE REFERENCIA INDISPONIVEL",ROUND(IF(itens_Remanesc!B53="",0,itens_Remanesc!B53)+SUMIFS(aditivos!$L$2:$L$200,aditivos!$A$2:$A$200,A53,aditivos!$B$2:$B$200,"&lt;="&amp;$I$5),2)))</f>
        <v/>
      </c>
      <c r="D53" s="218" t="str">
        <f>IF(A53="","",IF($I$4="","",IF($I$2,IF(ISNUMBER(B53),B53,""),IF($I$4="C0",posicao_contratual!G53,IF($I$4="C1",posicao_contratual!K53,IF($I$4="C2",posicao_contratual!O53,IF($I$4="C3",posicao_contratual!S53,IF($I$4="C4",posicao_contratual!W53,""))))))))</f>
        <v/>
      </c>
      <c r="E53" s="219" t="str">
        <f t="shared" si="4"/>
        <v/>
      </c>
      <c r="F53" s="81" t="str">
        <f>IF(A53="","",IF(COUNTIF($A$2:$A$200,A53)&gt;1,"ITEM DUPLICADO",IF($I$4="","POSICAO DE REFERENCIA INDISPONIVEL",IF(AND(B53&lt;&gt;"",NOT(ISNUMBER(B53))),"QTD NAO NUMERICA",IF(AND(ISNUMBER(B53),B53&lt;0),"NEGATIVO NAO PERMITIDO",IF(NOT(ISNUMBER(C53)),"POSICAO CONTRATUAL INDISPONIVEL",IF(OR(AND(posicao_contratual!$Y53&lt;&gt;"",posicao_contratual!$Y53&gt;IFERROR(VALUE(MID($I$4,2,1)),-1)),AND(posicao_contratual!$Z53,ISNUMBER(C53),C53&lt;=0)),"ITEM POSTERIOR A REFERENCIA",IF(D53="","REMANESCENTE DE REFERENCIA INDISPONIVEL",IF(AND(ISNUMBER(D53),ISNUMBER(C53),D53&gt;C53),"REMANESCENTE DE REFERENCIA SUPERA POSICAO CONTRATUAL","OK")))))))))</f>
        <v/>
      </c>
      <c r="K53" s="179" t="str">
        <f>IF(A53="","",itens_Remanesc!C53)</f>
        <v/>
      </c>
      <c r="L53" s="179" t="str">
        <f>IF(A53="","",IF($I$4="C0",posicao_contratual!G53,IF($I$4="C1",posicao_contratual!K53,IF($I$4="C2",posicao_contratual!O53,IF($I$4="C3",posicao_contratual!S53,IF($I$4="C4",posicao_contratual!W53,""))))))</f>
        <v/>
      </c>
      <c r="M53" s="179" t="str">
        <f ca="1">IF(OR(A53="",$I$5="",$I$6=""),"",ROUND(SUMIFS(aditivos!$L$2:$L$200,aditivos!$A$2:$A$200,A53,aditivos!$B$2:$B$200,"&gt;"&amp;$I$6,aditivos!$B$2:$B$200,"&lt;="&amp;$I$5),2))</f>
        <v/>
      </c>
      <c r="N53" s="179" t="str">
        <f t="shared" si="5"/>
        <v/>
      </c>
      <c r="O53" s="179" t="str">
        <f ca="1">IF(OR(A53="",D53="",NOT(ISNUMBER(IF($I$4="C0",historico_VU!C53,IF($I$4="C1",historico_VU!D53,IF($I$4="C2",historico_VU!E53,IF($I$4="C3",historico_VU!F53,IF($I$4="C4",historico_VU!G53,"")))))))),"",ROUND(D53*IF($I$4="C0",historico_VU!C53,IF($I$4="C1",historico_VU!D53,IF($I$4="C2",historico_VU!E53,IF($I$4="C3",historico_VU!F53,IF($I$4="C4",historico_VU!G53,""))))),2))</f>
        <v/>
      </c>
      <c r="P53" s="179" t="str">
        <f ca="1">IF(OR(A53="",N53="",NOT(ISNUMBER(IF($I$4="C0",historico_VU!C53,IF($I$4="C1",historico_VU!D53,IF($I$4="C2",historico_VU!E53,IF($I$4="C3",historico_VU!F53,IF($I$4="C4",historico_VU!G53,"")))))))),"",ROUND(N53*IF($I$4="C0",historico_VU!C53,IF($I$4="C1",historico_VU!D53,IF($I$4="C2",historico_VU!E53,IF($I$4="C3",historico_VU!F53,IF($I$4="C4",historico_VU!G53,""))))),2))</f>
        <v/>
      </c>
      <c r="Q53" s="179" t="str">
        <f t="shared" si="6"/>
        <v/>
      </c>
      <c r="R53" s="179" t="str">
        <f ca="1">IF(OR(A53="",L53="",NOT(ISNUMBER(IF($I$4="C0",historico_VU!C53,IF($I$4="C1",historico_VU!D53,IF($I$4="C2",historico_VU!E53,IF($I$4="C3",historico_VU!F53,IF($I$4="C4",historico_VU!G53,"")))))))),"",ROUND(L53*IF($I$4="C0",historico_VU!C53,IF($I$4="C1",historico_VU!D53,IF($I$4="C2",historico_VU!E53,IF($I$4="C3",historico_VU!F53,IF($I$4="C4",historico_VU!G53,""))))),2))</f>
        <v/>
      </c>
    </row>
    <row r="54" spans="1:18" x14ac:dyDescent="0.35">
      <c r="A54" s="81" t="str">
        <f>IF(itens_Remanesc!A54="","",itens_Remanesc!A54)</f>
        <v/>
      </c>
      <c r="B54" s="217" t="str">
        <f t="shared" ca="1" si="7"/>
        <v/>
      </c>
      <c r="C54" s="218" t="str">
        <f>IF(A54="","",IF($I$5="","POSICAO DE REFERENCIA INDISPONIVEL",ROUND(IF(itens_Remanesc!B54="",0,itens_Remanesc!B54)+SUMIFS(aditivos!$L$2:$L$200,aditivos!$A$2:$A$200,A54,aditivos!$B$2:$B$200,"&lt;="&amp;$I$5),2)))</f>
        <v/>
      </c>
      <c r="D54" s="218" t="str">
        <f>IF(A54="","",IF($I$4="","",IF($I$2,IF(ISNUMBER(B54),B54,""),IF($I$4="C0",posicao_contratual!G54,IF($I$4="C1",posicao_contratual!K54,IF($I$4="C2",posicao_contratual!O54,IF($I$4="C3",posicao_contratual!S54,IF($I$4="C4",posicao_contratual!W54,""))))))))</f>
        <v/>
      </c>
      <c r="E54" s="219" t="str">
        <f t="shared" si="4"/>
        <v/>
      </c>
      <c r="F54" s="81" t="str">
        <f>IF(A54="","",IF(COUNTIF($A$2:$A$200,A54)&gt;1,"ITEM DUPLICADO",IF($I$4="","POSICAO DE REFERENCIA INDISPONIVEL",IF(AND(B54&lt;&gt;"",NOT(ISNUMBER(B54))),"QTD NAO NUMERICA",IF(AND(ISNUMBER(B54),B54&lt;0),"NEGATIVO NAO PERMITIDO",IF(NOT(ISNUMBER(C54)),"POSICAO CONTRATUAL INDISPONIVEL",IF(OR(AND(posicao_contratual!$Y54&lt;&gt;"",posicao_contratual!$Y54&gt;IFERROR(VALUE(MID($I$4,2,1)),-1)),AND(posicao_contratual!$Z54,ISNUMBER(C54),C54&lt;=0)),"ITEM POSTERIOR A REFERENCIA",IF(D54="","REMANESCENTE DE REFERENCIA INDISPONIVEL",IF(AND(ISNUMBER(D54),ISNUMBER(C54),D54&gt;C54),"REMANESCENTE DE REFERENCIA SUPERA POSICAO CONTRATUAL","OK")))))))))</f>
        <v/>
      </c>
      <c r="K54" s="179" t="str">
        <f>IF(A54="","",itens_Remanesc!C54)</f>
        <v/>
      </c>
      <c r="L54" s="179" t="str">
        <f>IF(A54="","",IF($I$4="C0",posicao_contratual!G54,IF($I$4="C1",posicao_contratual!K54,IF($I$4="C2",posicao_contratual!O54,IF($I$4="C3",posicao_contratual!S54,IF($I$4="C4",posicao_contratual!W54,""))))))</f>
        <v/>
      </c>
      <c r="M54" s="179" t="str">
        <f ca="1">IF(OR(A54="",$I$5="",$I$6=""),"",ROUND(SUMIFS(aditivos!$L$2:$L$200,aditivos!$A$2:$A$200,A54,aditivos!$B$2:$B$200,"&gt;"&amp;$I$6,aditivos!$B$2:$B$200,"&lt;="&amp;$I$5),2))</f>
        <v/>
      </c>
      <c r="N54" s="179" t="str">
        <f t="shared" si="5"/>
        <v/>
      </c>
      <c r="O54" s="179" t="str">
        <f ca="1">IF(OR(A54="",D54="",NOT(ISNUMBER(IF($I$4="C0",historico_VU!C54,IF($I$4="C1",historico_VU!D54,IF($I$4="C2",historico_VU!E54,IF($I$4="C3",historico_VU!F54,IF($I$4="C4",historico_VU!G54,"")))))))),"",ROUND(D54*IF($I$4="C0",historico_VU!C54,IF($I$4="C1",historico_VU!D54,IF($I$4="C2",historico_VU!E54,IF($I$4="C3",historico_VU!F54,IF($I$4="C4",historico_VU!G54,""))))),2))</f>
        <v/>
      </c>
      <c r="P54" s="179" t="str">
        <f ca="1">IF(OR(A54="",N54="",NOT(ISNUMBER(IF($I$4="C0",historico_VU!C54,IF($I$4="C1",historico_VU!D54,IF($I$4="C2",historico_VU!E54,IF($I$4="C3",historico_VU!F54,IF($I$4="C4",historico_VU!G54,"")))))))),"",ROUND(N54*IF($I$4="C0",historico_VU!C54,IF($I$4="C1",historico_VU!D54,IF($I$4="C2",historico_VU!E54,IF($I$4="C3",historico_VU!F54,IF($I$4="C4",historico_VU!G54,""))))),2))</f>
        <v/>
      </c>
      <c r="Q54" s="179" t="str">
        <f t="shared" si="6"/>
        <v/>
      </c>
      <c r="R54" s="179" t="str">
        <f ca="1">IF(OR(A54="",L54="",NOT(ISNUMBER(IF($I$4="C0",historico_VU!C54,IF($I$4="C1",historico_VU!D54,IF($I$4="C2",historico_VU!E54,IF($I$4="C3",historico_VU!F54,IF($I$4="C4",historico_VU!G54,"")))))))),"",ROUND(L54*IF($I$4="C0",historico_VU!C54,IF($I$4="C1",historico_VU!D54,IF($I$4="C2",historico_VU!E54,IF($I$4="C3",historico_VU!F54,IF($I$4="C4",historico_VU!G54,""))))),2))</f>
        <v/>
      </c>
    </row>
    <row r="55" spans="1:18" x14ac:dyDescent="0.35">
      <c r="A55" s="81" t="str">
        <f>IF(itens_Remanesc!A55="","",itens_Remanesc!A55)</f>
        <v/>
      </c>
      <c r="B55" s="217" t="str">
        <f t="shared" ca="1" si="7"/>
        <v/>
      </c>
      <c r="C55" s="218" t="str">
        <f>IF(A55="","",IF($I$5="","POSICAO DE REFERENCIA INDISPONIVEL",ROUND(IF(itens_Remanesc!B55="",0,itens_Remanesc!B55)+SUMIFS(aditivos!$L$2:$L$200,aditivos!$A$2:$A$200,A55,aditivos!$B$2:$B$200,"&lt;="&amp;$I$5),2)))</f>
        <v/>
      </c>
      <c r="D55" s="218" t="str">
        <f>IF(A55="","",IF($I$4="","",IF($I$2,IF(ISNUMBER(B55),B55,""),IF($I$4="C0",posicao_contratual!G55,IF($I$4="C1",posicao_contratual!K55,IF($I$4="C2",posicao_contratual!O55,IF($I$4="C3",posicao_contratual!S55,IF($I$4="C4",posicao_contratual!W55,""))))))))</f>
        <v/>
      </c>
      <c r="E55" s="219" t="str">
        <f t="shared" si="4"/>
        <v/>
      </c>
      <c r="F55" s="81" t="str">
        <f>IF(A55="","",IF(COUNTIF($A$2:$A$200,A55)&gt;1,"ITEM DUPLICADO",IF($I$4="","POSICAO DE REFERENCIA INDISPONIVEL",IF(AND(B55&lt;&gt;"",NOT(ISNUMBER(B55))),"QTD NAO NUMERICA",IF(AND(ISNUMBER(B55),B55&lt;0),"NEGATIVO NAO PERMITIDO",IF(NOT(ISNUMBER(C55)),"POSICAO CONTRATUAL INDISPONIVEL",IF(OR(AND(posicao_contratual!$Y55&lt;&gt;"",posicao_contratual!$Y55&gt;IFERROR(VALUE(MID($I$4,2,1)),-1)),AND(posicao_contratual!$Z55,ISNUMBER(C55),C55&lt;=0)),"ITEM POSTERIOR A REFERENCIA",IF(D55="","REMANESCENTE DE REFERENCIA INDISPONIVEL",IF(AND(ISNUMBER(D55),ISNUMBER(C55),D55&gt;C55),"REMANESCENTE DE REFERENCIA SUPERA POSICAO CONTRATUAL","OK")))))))))</f>
        <v/>
      </c>
      <c r="K55" s="179" t="str">
        <f>IF(A55="","",itens_Remanesc!C55)</f>
        <v/>
      </c>
      <c r="L55" s="179" t="str">
        <f>IF(A55="","",IF($I$4="C0",posicao_contratual!G55,IF($I$4="C1",posicao_contratual!K55,IF($I$4="C2",posicao_contratual!O55,IF($I$4="C3",posicao_contratual!S55,IF($I$4="C4",posicao_contratual!W55,""))))))</f>
        <v/>
      </c>
      <c r="M55" s="179" t="str">
        <f ca="1">IF(OR(A55="",$I$5="",$I$6=""),"",ROUND(SUMIFS(aditivos!$L$2:$L$200,aditivos!$A$2:$A$200,A55,aditivos!$B$2:$B$200,"&gt;"&amp;$I$6,aditivos!$B$2:$B$200,"&lt;="&amp;$I$5),2))</f>
        <v/>
      </c>
      <c r="N55" s="179" t="str">
        <f t="shared" si="5"/>
        <v/>
      </c>
      <c r="O55" s="179" t="str">
        <f ca="1">IF(OR(A55="",D55="",NOT(ISNUMBER(IF($I$4="C0",historico_VU!C55,IF($I$4="C1",historico_VU!D55,IF($I$4="C2",historico_VU!E55,IF($I$4="C3",historico_VU!F55,IF($I$4="C4",historico_VU!G55,"")))))))),"",ROUND(D55*IF($I$4="C0",historico_VU!C55,IF($I$4="C1",historico_VU!D55,IF($I$4="C2",historico_VU!E55,IF($I$4="C3",historico_VU!F55,IF($I$4="C4",historico_VU!G55,""))))),2))</f>
        <v/>
      </c>
      <c r="P55" s="179" t="str">
        <f ca="1">IF(OR(A55="",N55="",NOT(ISNUMBER(IF($I$4="C0",historico_VU!C55,IF($I$4="C1",historico_VU!D55,IF($I$4="C2",historico_VU!E55,IF($I$4="C3",historico_VU!F55,IF($I$4="C4",historico_VU!G55,"")))))))),"",ROUND(N55*IF($I$4="C0",historico_VU!C55,IF($I$4="C1",historico_VU!D55,IF($I$4="C2",historico_VU!E55,IF($I$4="C3",historico_VU!F55,IF($I$4="C4",historico_VU!G55,""))))),2))</f>
        <v/>
      </c>
      <c r="Q55" s="179" t="str">
        <f t="shared" si="6"/>
        <v/>
      </c>
      <c r="R55" s="179" t="str">
        <f ca="1">IF(OR(A55="",L55="",NOT(ISNUMBER(IF($I$4="C0",historico_VU!C55,IF($I$4="C1",historico_VU!D55,IF($I$4="C2",historico_VU!E55,IF($I$4="C3",historico_VU!F55,IF($I$4="C4",historico_VU!G55,"")))))))),"",ROUND(L55*IF($I$4="C0",historico_VU!C55,IF($I$4="C1",historico_VU!D55,IF($I$4="C2",historico_VU!E55,IF($I$4="C3",historico_VU!F55,IF($I$4="C4",historico_VU!G55,""))))),2))</f>
        <v/>
      </c>
    </row>
    <row r="56" spans="1:18" x14ac:dyDescent="0.35">
      <c r="A56" s="81" t="str">
        <f>IF(itens_Remanesc!A56="","",itens_Remanesc!A56)</f>
        <v/>
      </c>
      <c r="B56" s="217" t="str">
        <f t="shared" ca="1" si="7"/>
        <v/>
      </c>
      <c r="C56" s="218" t="str">
        <f>IF(A56="","",IF($I$5="","POSICAO DE REFERENCIA INDISPONIVEL",ROUND(IF(itens_Remanesc!B56="",0,itens_Remanesc!B56)+SUMIFS(aditivos!$L$2:$L$200,aditivos!$A$2:$A$200,A56,aditivos!$B$2:$B$200,"&lt;="&amp;$I$5),2)))</f>
        <v/>
      </c>
      <c r="D56" s="218" t="str">
        <f>IF(A56="","",IF($I$4="","",IF($I$2,IF(ISNUMBER(B56),B56,""),IF($I$4="C0",posicao_contratual!G56,IF($I$4="C1",posicao_contratual!K56,IF($I$4="C2",posicao_contratual!O56,IF($I$4="C3",posicao_contratual!S56,IF($I$4="C4",posicao_contratual!W56,""))))))))</f>
        <v/>
      </c>
      <c r="E56" s="219" t="str">
        <f t="shared" si="4"/>
        <v/>
      </c>
      <c r="F56" s="81" t="str">
        <f>IF(A56="","",IF(COUNTIF($A$2:$A$200,A56)&gt;1,"ITEM DUPLICADO",IF($I$4="","POSICAO DE REFERENCIA INDISPONIVEL",IF(AND(B56&lt;&gt;"",NOT(ISNUMBER(B56))),"QTD NAO NUMERICA",IF(AND(ISNUMBER(B56),B56&lt;0),"NEGATIVO NAO PERMITIDO",IF(NOT(ISNUMBER(C56)),"POSICAO CONTRATUAL INDISPONIVEL",IF(OR(AND(posicao_contratual!$Y56&lt;&gt;"",posicao_contratual!$Y56&gt;IFERROR(VALUE(MID($I$4,2,1)),-1)),AND(posicao_contratual!$Z56,ISNUMBER(C56),C56&lt;=0)),"ITEM POSTERIOR A REFERENCIA",IF(D56="","REMANESCENTE DE REFERENCIA INDISPONIVEL",IF(AND(ISNUMBER(D56),ISNUMBER(C56),D56&gt;C56),"REMANESCENTE DE REFERENCIA SUPERA POSICAO CONTRATUAL","OK")))))))))</f>
        <v/>
      </c>
      <c r="K56" s="179" t="str">
        <f>IF(A56="","",itens_Remanesc!C56)</f>
        <v/>
      </c>
      <c r="L56" s="179" t="str">
        <f>IF(A56="","",IF($I$4="C0",posicao_contratual!G56,IF($I$4="C1",posicao_contratual!K56,IF($I$4="C2",posicao_contratual!O56,IF($I$4="C3",posicao_contratual!S56,IF($I$4="C4",posicao_contratual!W56,""))))))</f>
        <v/>
      </c>
      <c r="M56" s="179" t="str">
        <f ca="1">IF(OR(A56="",$I$5="",$I$6=""),"",ROUND(SUMIFS(aditivos!$L$2:$L$200,aditivos!$A$2:$A$200,A56,aditivos!$B$2:$B$200,"&gt;"&amp;$I$6,aditivos!$B$2:$B$200,"&lt;="&amp;$I$5),2))</f>
        <v/>
      </c>
      <c r="N56" s="179" t="str">
        <f t="shared" si="5"/>
        <v/>
      </c>
      <c r="O56" s="179" t="str">
        <f ca="1">IF(OR(A56="",D56="",NOT(ISNUMBER(IF($I$4="C0",historico_VU!C56,IF($I$4="C1",historico_VU!D56,IF($I$4="C2",historico_VU!E56,IF($I$4="C3",historico_VU!F56,IF($I$4="C4",historico_VU!G56,"")))))))),"",ROUND(D56*IF($I$4="C0",historico_VU!C56,IF($I$4="C1",historico_VU!D56,IF($I$4="C2",historico_VU!E56,IF($I$4="C3",historico_VU!F56,IF($I$4="C4",historico_VU!G56,""))))),2))</f>
        <v/>
      </c>
      <c r="P56" s="179" t="str">
        <f ca="1">IF(OR(A56="",N56="",NOT(ISNUMBER(IF($I$4="C0",historico_VU!C56,IF($I$4="C1",historico_VU!D56,IF($I$4="C2",historico_VU!E56,IF($I$4="C3",historico_VU!F56,IF($I$4="C4",historico_VU!G56,"")))))))),"",ROUND(N56*IF($I$4="C0",historico_VU!C56,IF($I$4="C1",historico_VU!D56,IF($I$4="C2",historico_VU!E56,IF($I$4="C3",historico_VU!F56,IF($I$4="C4",historico_VU!G56,""))))),2))</f>
        <v/>
      </c>
      <c r="Q56" s="179" t="str">
        <f t="shared" si="6"/>
        <v/>
      </c>
      <c r="R56" s="179" t="str">
        <f ca="1">IF(OR(A56="",L56="",NOT(ISNUMBER(IF($I$4="C0",historico_VU!C56,IF($I$4="C1",historico_VU!D56,IF($I$4="C2",historico_VU!E56,IF($I$4="C3",historico_VU!F56,IF($I$4="C4",historico_VU!G56,"")))))))),"",ROUND(L56*IF($I$4="C0",historico_VU!C56,IF($I$4="C1",historico_VU!D56,IF($I$4="C2",historico_VU!E56,IF($I$4="C3",historico_VU!F56,IF($I$4="C4",historico_VU!G56,""))))),2))</f>
        <v/>
      </c>
    </row>
    <row r="57" spans="1:18" x14ac:dyDescent="0.35">
      <c r="A57" s="81" t="str">
        <f>IF(itens_Remanesc!A57="","",itens_Remanesc!A57)</f>
        <v/>
      </c>
      <c r="B57" s="217" t="str">
        <f t="shared" ca="1" si="7"/>
        <v/>
      </c>
      <c r="C57" s="218" t="str">
        <f>IF(A57="","",IF($I$5="","POSICAO DE REFERENCIA INDISPONIVEL",ROUND(IF(itens_Remanesc!B57="",0,itens_Remanesc!B57)+SUMIFS(aditivos!$L$2:$L$200,aditivos!$A$2:$A$200,A57,aditivos!$B$2:$B$200,"&lt;="&amp;$I$5),2)))</f>
        <v/>
      </c>
      <c r="D57" s="218" t="str">
        <f>IF(A57="","",IF($I$4="","",IF($I$2,IF(ISNUMBER(B57),B57,""),IF($I$4="C0",posicao_contratual!G57,IF($I$4="C1",posicao_contratual!K57,IF($I$4="C2",posicao_contratual!O57,IF($I$4="C3",posicao_contratual!S57,IF($I$4="C4",posicao_contratual!W57,""))))))))</f>
        <v/>
      </c>
      <c r="E57" s="219" t="str">
        <f t="shared" si="4"/>
        <v/>
      </c>
      <c r="F57" s="81" t="str">
        <f>IF(A57="","",IF(COUNTIF($A$2:$A$200,A57)&gt;1,"ITEM DUPLICADO",IF($I$4="","POSICAO DE REFERENCIA INDISPONIVEL",IF(AND(B57&lt;&gt;"",NOT(ISNUMBER(B57))),"QTD NAO NUMERICA",IF(AND(ISNUMBER(B57),B57&lt;0),"NEGATIVO NAO PERMITIDO",IF(NOT(ISNUMBER(C57)),"POSICAO CONTRATUAL INDISPONIVEL",IF(OR(AND(posicao_contratual!$Y57&lt;&gt;"",posicao_contratual!$Y57&gt;IFERROR(VALUE(MID($I$4,2,1)),-1)),AND(posicao_contratual!$Z57,ISNUMBER(C57),C57&lt;=0)),"ITEM POSTERIOR A REFERENCIA",IF(D57="","REMANESCENTE DE REFERENCIA INDISPONIVEL",IF(AND(ISNUMBER(D57),ISNUMBER(C57),D57&gt;C57),"REMANESCENTE DE REFERENCIA SUPERA POSICAO CONTRATUAL","OK")))))))))</f>
        <v/>
      </c>
      <c r="K57" s="179" t="str">
        <f>IF(A57="","",itens_Remanesc!C57)</f>
        <v/>
      </c>
      <c r="L57" s="179" t="str">
        <f>IF(A57="","",IF($I$4="C0",posicao_contratual!G57,IF($I$4="C1",posicao_contratual!K57,IF($I$4="C2",posicao_contratual!O57,IF($I$4="C3",posicao_contratual!S57,IF($I$4="C4",posicao_contratual!W57,""))))))</f>
        <v/>
      </c>
      <c r="M57" s="179" t="str">
        <f ca="1">IF(OR(A57="",$I$5="",$I$6=""),"",ROUND(SUMIFS(aditivos!$L$2:$L$200,aditivos!$A$2:$A$200,A57,aditivos!$B$2:$B$200,"&gt;"&amp;$I$6,aditivos!$B$2:$B$200,"&lt;="&amp;$I$5),2))</f>
        <v/>
      </c>
      <c r="N57" s="179" t="str">
        <f t="shared" si="5"/>
        <v/>
      </c>
      <c r="O57" s="179" t="str">
        <f ca="1">IF(OR(A57="",D57="",NOT(ISNUMBER(IF($I$4="C0",historico_VU!C57,IF($I$4="C1",historico_VU!D57,IF($I$4="C2",historico_VU!E57,IF($I$4="C3",historico_VU!F57,IF($I$4="C4",historico_VU!G57,"")))))))),"",ROUND(D57*IF($I$4="C0",historico_VU!C57,IF($I$4="C1",historico_VU!D57,IF($I$4="C2",historico_VU!E57,IF($I$4="C3",historico_VU!F57,IF($I$4="C4",historico_VU!G57,""))))),2))</f>
        <v/>
      </c>
      <c r="P57" s="179" t="str">
        <f ca="1">IF(OR(A57="",N57="",NOT(ISNUMBER(IF($I$4="C0",historico_VU!C57,IF($I$4="C1",historico_VU!D57,IF($I$4="C2",historico_VU!E57,IF($I$4="C3",historico_VU!F57,IF($I$4="C4",historico_VU!G57,"")))))))),"",ROUND(N57*IF($I$4="C0",historico_VU!C57,IF($I$4="C1",historico_VU!D57,IF($I$4="C2",historico_VU!E57,IF($I$4="C3",historico_VU!F57,IF($I$4="C4",historico_VU!G57,""))))),2))</f>
        <v/>
      </c>
      <c r="Q57" s="179" t="str">
        <f t="shared" si="6"/>
        <v/>
      </c>
      <c r="R57" s="179" t="str">
        <f ca="1">IF(OR(A57="",L57="",NOT(ISNUMBER(IF($I$4="C0",historico_VU!C57,IF($I$4="C1",historico_VU!D57,IF($I$4="C2",historico_VU!E57,IF($I$4="C3",historico_VU!F57,IF($I$4="C4",historico_VU!G57,"")))))))),"",ROUND(L57*IF($I$4="C0",historico_VU!C57,IF($I$4="C1",historico_VU!D57,IF($I$4="C2",historico_VU!E57,IF($I$4="C3",historico_VU!F57,IF($I$4="C4",historico_VU!G57,""))))),2))</f>
        <v/>
      </c>
    </row>
    <row r="58" spans="1:18" x14ac:dyDescent="0.35">
      <c r="A58" s="81" t="str">
        <f>IF(itens_Remanesc!A58="","",itens_Remanesc!A58)</f>
        <v/>
      </c>
      <c r="B58" s="217" t="str">
        <f t="shared" ca="1" si="7"/>
        <v/>
      </c>
      <c r="C58" s="218" t="str">
        <f>IF(A58="","",IF($I$5="","POSICAO DE REFERENCIA INDISPONIVEL",ROUND(IF(itens_Remanesc!B58="",0,itens_Remanesc!B58)+SUMIFS(aditivos!$L$2:$L$200,aditivos!$A$2:$A$200,A58,aditivos!$B$2:$B$200,"&lt;="&amp;$I$5),2)))</f>
        <v/>
      </c>
      <c r="D58" s="218" t="str">
        <f>IF(A58="","",IF($I$4="","",IF($I$2,IF(ISNUMBER(B58),B58,""),IF($I$4="C0",posicao_contratual!G58,IF($I$4="C1",posicao_contratual!K58,IF($I$4="C2",posicao_contratual!O58,IF($I$4="C3",posicao_contratual!S58,IF($I$4="C4",posicao_contratual!W58,""))))))))</f>
        <v/>
      </c>
      <c r="E58" s="219" t="str">
        <f t="shared" si="4"/>
        <v/>
      </c>
      <c r="F58" s="81" t="str">
        <f>IF(A58="","",IF(COUNTIF($A$2:$A$200,A58)&gt;1,"ITEM DUPLICADO",IF($I$4="","POSICAO DE REFERENCIA INDISPONIVEL",IF(AND(B58&lt;&gt;"",NOT(ISNUMBER(B58))),"QTD NAO NUMERICA",IF(AND(ISNUMBER(B58),B58&lt;0),"NEGATIVO NAO PERMITIDO",IF(NOT(ISNUMBER(C58)),"POSICAO CONTRATUAL INDISPONIVEL",IF(OR(AND(posicao_contratual!$Y58&lt;&gt;"",posicao_contratual!$Y58&gt;IFERROR(VALUE(MID($I$4,2,1)),-1)),AND(posicao_contratual!$Z58,ISNUMBER(C58),C58&lt;=0)),"ITEM POSTERIOR A REFERENCIA",IF(D58="","REMANESCENTE DE REFERENCIA INDISPONIVEL",IF(AND(ISNUMBER(D58),ISNUMBER(C58),D58&gt;C58),"REMANESCENTE DE REFERENCIA SUPERA POSICAO CONTRATUAL","OK")))))))))</f>
        <v/>
      </c>
      <c r="K58" s="179" t="str">
        <f>IF(A58="","",itens_Remanesc!C58)</f>
        <v/>
      </c>
      <c r="L58" s="179" t="str">
        <f>IF(A58="","",IF($I$4="C0",posicao_contratual!G58,IF($I$4="C1",posicao_contratual!K58,IF($I$4="C2",posicao_contratual!O58,IF($I$4="C3",posicao_contratual!S58,IF($I$4="C4",posicao_contratual!W58,""))))))</f>
        <v/>
      </c>
      <c r="M58" s="179" t="str">
        <f ca="1">IF(OR(A58="",$I$5="",$I$6=""),"",ROUND(SUMIFS(aditivos!$L$2:$L$200,aditivos!$A$2:$A$200,A58,aditivos!$B$2:$B$200,"&gt;"&amp;$I$6,aditivos!$B$2:$B$200,"&lt;="&amp;$I$5),2))</f>
        <v/>
      </c>
      <c r="N58" s="179" t="str">
        <f t="shared" si="5"/>
        <v/>
      </c>
      <c r="O58" s="179" t="str">
        <f ca="1">IF(OR(A58="",D58="",NOT(ISNUMBER(IF($I$4="C0",historico_VU!C58,IF($I$4="C1",historico_VU!D58,IF($I$4="C2",historico_VU!E58,IF($I$4="C3",historico_VU!F58,IF($I$4="C4",historico_VU!G58,"")))))))),"",ROUND(D58*IF($I$4="C0",historico_VU!C58,IF($I$4="C1",historico_VU!D58,IF($I$4="C2",historico_VU!E58,IF($I$4="C3",historico_VU!F58,IF($I$4="C4",historico_VU!G58,""))))),2))</f>
        <v/>
      </c>
      <c r="P58" s="179" t="str">
        <f ca="1">IF(OR(A58="",N58="",NOT(ISNUMBER(IF($I$4="C0",historico_VU!C58,IF($I$4="C1",historico_VU!D58,IF($I$4="C2",historico_VU!E58,IF($I$4="C3",historico_VU!F58,IF($I$4="C4",historico_VU!G58,"")))))))),"",ROUND(N58*IF($I$4="C0",historico_VU!C58,IF($I$4="C1",historico_VU!D58,IF($I$4="C2",historico_VU!E58,IF($I$4="C3",historico_VU!F58,IF($I$4="C4",historico_VU!G58,""))))),2))</f>
        <v/>
      </c>
      <c r="Q58" s="179" t="str">
        <f t="shared" si="6"/>
        <v/>
      </c>
      <c r="R58" s="179" t="str">
        <f ca="1">IF(OR(A58="",L58="",NOT(ISNUMBER(IF($I$4="C0",historico_VU!C58,IF($I$4="C1",historico_VU!D58,IF($I$4="C2",historico_VU!E58,IF($I$4="C3",historico_VU!F58,IF($I$4="C4",historico_VU!G58,"")))))))),"",ROUND(L58*IF($I$4="C0",historico_VU!C58,IF($I$4="C1",historico_VU!D58,IF($I$4="C2",historico_VU!E58,IF($I$4="C3",historico_VU!F58,IF($I$4="C4",historico_VU!G58,""))))),2))</f>
        <v/>
      </c>
    </row>
    <row r="59" spans="1:18" x14ac:dyDescent="0.35">
      <c r="A59" s="81" t="str">
        <f>IF(itens_Remanesc!A59="","",itens_Remanesc!A59)</f>
        <v/>
      </c>
      <c r="B59" s="217" t="str">
        <f t="shared" ca="1" si="7"/>
        <v/>
      </c>
      <c r="C59" s="218" t="str">
        <f>IF(A59="","",IF($I$5="","POSICAO DE REFERENCIA INDISPONIVEL",ROUND(IF(itens_Remanesc!B59="",0,itens_Remanesc!B59)+SUMIFS(aditivos!$L$2:$L$200,aditivos!$A$2:$A$200,A59,aditivos!$B$2:$B$200,"&lt;="&amp;$I$5),2)))</f>
        <v/>
      </c>
      <c r="D59" s="218" t="str">
        <f>IF(A59="","",IF($I$4="","",IF($I$2,IF(ISNUMBER(B59),B59,""),IF($I$4="C0",posicao_contratual!G59,IF($I$4="C1",posicao_contratual!K59,IF($I$4="C2",posicao_contratual!O59,IF($I$4="C3",posicao_contratual!S59,IF($I$4="C4",posicao_contratual!W59,""))))))))</f>
        <v/>
      </c>
      <c r="E59" s="219" t="str">
        <f t="shared" si="4"/>
        <v/>
      </c>
      <c r="F59" s="81" t="str">
        <f>IF(A59="","",IF(COUNTIF($A$2:$A$200,A59)&gt;1,"ITEM DUPLICADO",IF($I$4="","POSICAO DE REFERENCIA INDISPONIVEL",IF(AND(B59&lt;&gt;"",NOT(ISNUMBER(B59))),"QTD NAO NUMERICA",IF(AND(ISNUMBER(B59),B59&lt;0),"NEGATIVO NAO PERMITIDO",IF(NOT(ISNUMBER(C59)),"POSICAO CONTRATUAL INDISPONIVEL",IF(OR(AND(posicao_contratual!$Y59&lt;&gt;"",posicao_contratual!$Y59&gt;IFERROR(VALUE(MID($I$4,2,1)),-1)),AND(posicao_contratual!$Z59,ISNUMBER(C59),C59&lt;=0)),"ITEM POSTERIOR A REFERENCIA",IF(D59="","REMANESCENTE DE REFERENCIA INDISPONIVEL",IF(AND(ISNUMBER(D59),ISNUMBER(C59),D59&gt;C59),"REMANESCENTE DE REFERENCIA SUPERA POSICAO CONTRATUAL","OK")))))))))</f>
        <v/>
      </c>
      <c r="K59" s="179" t="str">
        <f>IF(A59="","",itens_Remanesc!C59)</f>
        <v/>
      </c>
      <c r="L59" s="179" t="str">
        <f>IF(A59="","",IF($I$4="C0",posicao_contratual!G59,IF($I$4="C1",posicao_contratual!K59,IF($I$4="C2",posicao_contratual!O59,IF($I$4="C3",posicao_contratual!S59,IF($I$4="C4",posicao_contratual!W59,""))))))</f>
        <v/>
      </c>
      <c r="M59" s="179" t="str">
        <f ca="1">IF(OR(A59="",$I$5="",$I$6=""),"",ROUND(SUMIFS(aditivos!$L$2:$L$200,aditivos!$A$2:$A$200,A59,aditivos!$B$2:$B$200,"&gt;"&amp;$I$6,aditivos!$B$2:$B$200,"&lt;="&amp;$I$5),2))</f>
        <v/>
      </c>
      <c r="N59" s="179" t="str">
        <f t="shared" si="5"/>
        <v/>
      </c>
      <c r="O59" s="179" t="str">
        <f ca="1">IF(OR(A59="",D59="",NOT(ISNUMBER(IF($I$4="C0",historico_VU!C59,IF($I$4="C1",historico_VU!D59,IF($I$4="C2",historico_VU!E59,IF($I$4="C3",historico_VU!F59,IF($I$4="C4",historico_VU!G59,"")))))))),"",ROUND(D59*IF($I$4="C0",historico_VU!C59,IF($I$4="C1",historico_VU!D59,IF($I$4="C2",historico_VU!E59,IF($I$4="C3",historico_VU!F59,IF($I$4="C4",historico_VU!G59,""))))),2))</f>
        <v/>
      </c>
      <c r="P59" s="179" t="str">
        <f ca="1">IF(OR(A59="",N59="",NOT(ISNUMBER(IF($I$4="C0",historico_VU!C59,IF($I$4="C1",historico_VU!D59,IF($I$4="C2",historico_VU!E59,IF($I$4="C3",historico_VU!F59,IF($I$4="C4",historico_VU!G59,"")))))))),"",ROUND(N59*IF($I$4="C0",historico_VU!C59,IF($I$4="C1",historico_VU!D59,IF($I$4="C2",historico_VU!E59,IF($I$4="C3",historico_VU!F59,IF($I$4="C4",historico_VU!G59,""))))),2))</f>
        <v/>
      </c>
      <c r="Q59" s="179" t="str">
        <f t="shared" si="6"/>
        <v/>
      </c>
      <c r="R59" s="179" t="str">
        <f ca="1">IF(OR(A59="",L59="",NOT(ISNUMBER(IF($I$4="C0",historico_VU!C59,IF($I$4="C1",historico_VU!D59,IF($I$4="C2",historico_VU!E59,IF($I$4="C3",historico_VU!F59,IF($I$4="C4",historico_VU!G59,"")))))))),"",ROUND(L59*IF($I$4="C0",historico_VU!C59,IF($I$4="C1",historico_VU!D59,IF($I$4="C2",historico_VU!E59,IF($I$4="C3",historico_VU!F59,IF($I$4="C4",historico_VU!G59,""))))),2))</f>
        <v/>
      </c>
    </row>
    <row r="60" spans="1:18" x14ac:dyDescent="0.35">
      <c r="A60" s="81" t="str">
        <f>IF(itens_Remanesc!A60="","",itens_Remanesc!A60)</f>
        <v/>
      </c>
      <c r="B60" s="217" t="str">
        <f t="shared" ca="1" si="7"/>
        <v/>
      </c>
      <c r="C60" s="218" t="str">
        <f>IF(A60="","",IF($I$5="","POSICAO DE REFERENCIA INDISPONIVEL",ROUND(IF(itens_Remanesc!B60="",0,itens_Remanesc!B60)+SUMIFS(aditivos!$L$2:$L$200,aditivos!$A$2:$A$200,A60,aditivos!$B$2:$B$200,"&lt;="&amp;$I$5),2)))</f>
        <v/>
      </c>
      <c r="D60" s="218" t="str">
        <f>IF(A60="","",IF($I$4="","",IF($I$2,IF(ISNUMBER(B60),B60,""),IF($I$4="C0",posicao_contratual!G60,IF($I$4="C1",posicao_contratual!K60,IF($I$4="C2",posicao_contratual!O60,IF($I$4="C3",posicao_contratual!S60,IF($I$4="C4",posicao_contratual!W60,""))))))))</f>
        <v/>
      </c>
      <c r="E60" s="219" t="str">
        <f t="shared" si="4"/>
        <v/>
      </c>
      <c r="F60" s="81" t="str">
        <f>IF(A60="","",IF(COUNTIF($A$2:$A$200,A60)&gt;1,"ITEM DUPLICADO",IF($I$4="","POSICAO DE REFERENCIA INDISPONIVEL",IF(AND(B60&lt;&gt;"",NOT(ISNUMBER(B60))),"QTD NAO NUMERICA",IF(AND(ISNUMBER(B60),B60&lt;0),"NEGATIVO NAO PERMITIDO",IF(NOT(ISNUMBER(C60)),"POSICAO CONTRATUAL INDISPONIVEL",IF(OR(AND(posicao_contratual!$Y60&lt;&gt;"",posicao_contratual!$Y60&gt;IFERROR(VALUE(MID($I$4,2,1)),-1)),AND(posicao_contratual!$Z60,ISNUMBER(C60),C60&lt;=0)),"ITEM POSTERIOR A REFERENCIA",IF(D60="","REMANESCENTE DE REFERENCIA INDISPONIVEL",IF(AND(ISNUMBER(D60),ISNUMBER(C60),D60&gt;C60),"REMANESCENTE DE REFERENCIA SUPERA POSICAO CONTRATUAL","OK")))))))))</f>
        <v/>
      </c>
      <c r="K60" s="179" t="str">
        <f>IF(A60="","",itens_Remanesc!C60)</f>
        <v/>
      </c>
      <c r="L60" s="179" t="str">
        <f>IF(A60="","",IF($I$4="C0",posicao_contratual!G60,IF($I$4="C1",posicao_contratual!K60,IF($I$4="C2",posicao_contratual!O60,IF($I$4="C3",posicao_contratual!S60,IF($I$4="C4",posicao_contratual!W60,""))))))</f>
        <v/>
      </c>
      <c r="M60" s="179" t="str">
        <f ca="1">IF(OR(A60="",$I$5="",$I$6=""),"",ROUND(SUMIFS(aditivos!$L$2:$L$200,aditivos!$A$2:$A$200,A60,aditivos!$B$2:$B$200,"&gt;"&amp;$I$6,aditivos!$B$2:$B$200,"&lt;="&amp;$I$5),2))</f>
        <v/>
      </c>
      <c r="N60" s="179" t="str">
        <f t="shared" si="5"/>
        <v/>
      </c>
      <c r="O60" s="179" t="str">
        <f ca="1">IF(OR(A60="",D60="",NOT(ISNUMBER(IF($I$4="C0",historico_VU!C60,IF($I$4="C1",historico_VU!D60,IF($I$4="C2",historico_VU!E60,IF($I$4="C3",historico_VU!F60,IF($I$4="C4",historico_VU!G60,"")))))))),"",ROUND(D60*IF($I$4="C0",historico_VU!C60,IF($I$4="C1",historico_VU!D60,IF($I$4="C2",historico_VU!E60,IF($I$4="C3",historico_VU!F60,IF($I$4="C4",historico_VU!G60,""))))),2))</f>
        <v/>
      </c>
      <c r="P60" s="179" t="str">
        <f ca="1">IF(OR(A60="",N60="",NOT(ISNUMBER(IF($I$4="C0",historico_VU!C60,IF($I$4="C1",historico_VU!D60,IF($I$4="C2",historico_VU!E60,IF($I$4="C3",historico_VU!F60,IF($I$4="C4",historico_VU!G60,"")))))))),"",ROUND(N60*IF($I$4="C0",historico_VU!C60,IF($I$4="C1",historico_VU!D60,IF($I$4="C2",historico_VU!E60,IF($I$4="C3",historico_VU!F60,IF($I$4="C4",historico_VU!G60,""))))),2))</f>
        <v/>
      </c>
      <c r="Q60" s="179" t="str">
        <f t="shared" si="6"/>
        <v/>
      </c>
      <c r="R60" s="179" t="str">
        <f ca="1">IF(OR(A60="",L60="",NOT(ISNUMBER(IF($I$4="C0",historico_VU!C60,IF($I$4="C1",historico_VU!D60,IF($I$4="C2",historico_VU!E60,IF($I$4="C3",historico_VU!F60,IF($I$4="C4",historico_VU!G60,"")))))))),"",ROUND(L60*IF($I$4="C0",historico_VU!C60,IF($I$4="C1",historico_VU!D60,IF($I$4="C2",historico_VU!E60,IF($I$4="C3",historico_VU!F60,IF($I$4="C4",historico_VU!G60,""))))),2))</f>
        <v/>
      </c>
    </row>
    <row r="61" spans="1:18" x14ac:dyDescent="0.35">
      <c r="A61" s="81" t="str">
        <f>IF(itens_Remanesc!A61="","",itens_Remanesc!A61)</f>
        <v/>
      </c>
      <c r="B61" s="217" t="str">
        <f t="shared" ca="1" si="7"/>
        <v/>
      </c>
      <c r="C61" s="218" t="str">
        <f>IF(A61="","",IF($I$5="","POSICAO DE REFERENCIA INDISPONIVEL",ROUND(IF(itens_Remanesc!B61="",0,itens_Remanesc!B61)+SUMIFS(aditivos!$L$2:$L$200,aditivos!$A$2:$A$200,A61,aditivos!$B$2:$B$200,"&lt;="&amp;$I$5),2)))</f>
        <v/>
      </c>
      <c r="D61" s="218" t="str">
        <f>IF(A61="","",IF($I$4="","",IF($I$2,IF(ISNUMBER(B61),B61,""),IF($I$4="C0",posicao_contratual!G61,IF($I$4="C1",posicao_contratual!K61,IF($I$4="C2",posicao_contratual!O61,IF($I$4="C3",posicao_contratual!S61,IF($I$4="C4",posicao_contratual!W61,""))))))))</f>
        <v/>
      </c>
      <c r="E61" s="219" t="str">
        <f t="shared" si="4"/>
        <v/>
      </c>
      <c r="F61" s="81" t="str">
        <f>IF(A61="","",IF(COUNTIF($A$2:$A$200,A61)&gt;1,"ITEM DUPLICADO",IF($I$4="","POSICAO DE REFERENCIA INDISPONIVEL",IF(AND(B61&lt;&gt;"",NOT(ISNUMBER(B61))),"QTD NAO NUMERICA",IF(AND(ISNUMBER(B61),B61&lt;0),"NEGATIVO NAO PERMITIDO",IF(NOT(ISNUMBER(C61)),"POSICAO CONTRATUAL INDISPONIVEL",IF(OR(AND(posicao_contratual!$Y61&lt;&gt;"",posicao_contratual!$Y61&gt;IFERROR(VALUE(MID($I$4,2,1)),-1)),AND(posicao_contratual!$Z61,ISNUMBER(C61),C61&lt;=0)),"ITEM POSTERIOR A REFERENCIA",IF(D61="","REMANESCENTE DE REFERENCIA INDISPONIVEL",IF(AND(ISNUMBER(D61),ISNUMBER(C61),D61&gt;C61),"REMANESCENTE DE REFERENCIA SUPERA POSICAO CONTRATUAL","OK")))))))))</f>
        <v/>
      </c>
      <c r="K61" s="179" t="str">
        <f>IF(A61="","",itens_Remanesc!C61)</f>
        <v/>
      </c>
      <c r="L61" s="179" t="str">
        <f>IF(A61="","",IF($I$4="C0",posicao_contratual!G61,IF($I$4="C1",posicao_contratual!K61,IF($I$4="C2",posicao_contratual!O61,IF($I$4="C3",posicao_contratual!S61,IF($I$4="C4",posicao_contratual!W61,""))))))</f>
        <v/>
      </c>
      <c r="M61" s="179" t="str">
        <f ca="1">IF(OR(A61="",$I$5="",$I$6=""),"",ROUND(SUMIFS(aditivos!$L$2:$L$200,aditivos!$A$2:$A$200,A61,aditivos!$B$2:$B$200,"&gt;"&amp;$I$6,aditivos!$B$2:$B$200,"&lt;="&amp;$I$5),2))</f>
        <v/>
      </c>
      <c r="N61" s="179" t="str">
        <f t="shared" si="5"/>
        <v/>
      </c>
      <c r="O61" s="179" t="str">
        <f ca="1">IF(OR(A61="",D61="",NOT(ISNUMBER(IF($I$4="C0",historico_VU!C61,IF($I$4="C1",historico_VU!D61,IF($I$4="C2",historico_VU!E61,IF($I$4="C3",historico_VU!F61,IF($I$4="C4",historico_VU!G61,"")))))))),"",ROUND(D61*IF($I$4="C0",historico_VU!C61,IF($I$4="C1",historico_VU!D61,IF($I$4="C2",historico_VU!E61,IF($I$4="C3",historico_VU!F61,IF($I$4="C4",historico_VU!G61,""))))),2))</f>
        <v/>
      </c>
      <c r="P61" s="179" t="str">
        <f ca="1">IF(OR(A61="",N61="",NOT(ISNUMBER(IF($I$4="C0",historico_VU!C61,IF($I$4="C1",historico_VU!D61,IF($I$4="C2",historico_VU!E61,IF($I$4="C3",historico_VU!F61,IF($I$4="C4",historico_VU!G61,"")))))))),"",ROUND(N61*IF($I$4="C0",historico_VU!C61,IF($I$4="C1",historico_VU!D61,IF($I$4="C2",historico_VU!E61,IF($I$4="C3",historico_VU!F61,IF($I$4="C4",historico_VU!G61,""))))),2))</f>
        <v/>
      </c>
      <c r="Q61" s="179" t="str">
        <f t="shared" si="6"/>
        <v/>
      </c>
      <c r="R61" s="179" t="str">
        <f ca="1">IF(OR(A61="",L61="",NOT(ISNUMBER(IF($I$4="C0",historico_VU!C61,IF($I$4="C1",historico_VU!D61,IF($I$4="C2",historico_VU!E61,IF($I$4="C3",historico_VU!F61,IF($I$4="C4",historico_VU!G61,"")))))))),"",ROUND(L61*IF($I$4="C0",historico_VU!C61,IF($I$4="C1",historico_VU!D61,IF($I$4="C2",historico_VU!E61,IF($I$4="C3",historico_VU!F61,IF($I$4="C4",historico_VU!G61,""))))),2))</f>
        <v/>
      </c>
    </row>
    <row r="62" spans="1:18" x14ac:dyDescent="0.35">
      <c r="A62" s="81" t="str">
        <f>IF(itens_Remanesc!A62="","",itens_Remanesc!A62)</f>
        <v/>
      </c>
      <c r="B62" s="217" t="str">
        <f t="shared" ca="1" si="7"/>
        <v/>
      </c>
      <c r="C62" s="218" t="str">
        <f>IF(A62="","",IF($I$5="","POSICAO DE REFERENCIA INDISPONIVEL",ROUND(IF(itens_Remanesc!B62="",0,itens_Remanesc!B62)+SUMIFS(aditivos!$L$2:$L$200,aditivos!$A$2:$A$200,A62,aditivos!$B$2:$B$200,"&lt;="&amp;$I$5),2)))</f>
        <v/>
      </c>
      <c r="D62" s="218" t="str">
        <f>IF(A62="","",IF($I$4="","",IF($I$2,IF(ISNUMBER(B62),B62,""),IF($I$4="C0",posicao_contratual!G62,IF($I$4="C1",posicao_contratual!K62,IF($I$4="C2",posicao_contratual!O62,IF($I$4="C3",posicao_contratual!S62,IF($I$4="C4",posicao_contratual!W62,""))))))))</f>
        <v/>
      </c>
      <c r="E62" s="219" t="str">
        <f t="shared" si="4"/>
        <v/>
      </c>
      <c r="F62" s="81" t="str">
        <f>IF(A62="","",IF(COUNTIF($A$2:$A$200,A62)&gt;1,"ITEM DUPLICADO",IF($I$4="","POSICAO DE REFERENCIA INDISPONIVEL",IF(AND(B62&lt;&gt;"",NOT(ISNUMBER(B62))),"QTD NAO NUMERICA",IF(AND(ISNUMBER(B62),B62&lt;0),"NEGATIVO NAO PERMITIDO",IF(NOT(ISNUMBER(C62)),"POSICAO CONTRATUAL INDISPONIVEL",IF(OR(AND(posicao_contratual!$Y62&lt;&gt;"",posicao_contratual!$Y62&gt;IFERROR(VALUE(MID($I$4,2,1)),-1)),AND(posicao_contratual!$Z62,ISNUMBER(C62),C62&lt;=0)),"ITEM POSTERIOR A REFERENCIA",IF(D62="","REMANESCENTE DE REFERENCIA INDISPONIVEL",IF(AND(ISNUMBER(D62),ISNUMBER(C62),D62&gt;C62),"REMANESCENTE DE REFERENCIA SUPERA POSICAO CONTRATUAL","OK")))))))))</f>
        <v/>
      </c>
      <c r="K62" s="179" t="str">
        <f>IF(A62="","",itens_Remanesc!C62)</f>
        <v/>
      </c>
      <c r="L62" s="179" t="str">
        <f>IF(A62="","",IF($I$4="C0",posicao_contratual!G62,IF($I$4="C1",posicao_contratual!K62,IF($I$4="C2",posicao_contratual!O62,IF($I$4="C3",posicao_contratual!S62,IF($I$4="C4",posicao_contratual!W62,""))))))</f>
        <v/>
      </c>
      <c r="M62" s="179" t="str">
        <f ca="1">IF(OR(A62="",$I$5="",$I$6=""),"",ROUND(SUMIFS(aditivos!$L$2:$L$200,aditivos!$A$2:$A$200,A62,aditivos!$B$2:$B$200,"&gt;"&amp;$I$6,aditivos!$B$2:$B$200,"&lt;="&amp;$I$5),2))</f>
        <v/>
      </c>
      <c r="N62" s="179" t="str">
        <f t="shared" si="5"/>
        <v/>
      </c>
      <c r="O62" s="179" t="str">
        <f ca="1">IF(OR(A62="",D62="",NOT(ISNUMBER(IF($I$4="C0",historico_VU!C62,IF($I$4="C1",historico_VU!D62,IF($I$4="C2",historico_VU!E62,IF($I$4="C3",historico_VU!F62,IF($I$4="C4",historico_VU!G62,"")))))))),"",ROUND(D62*IF($I$4="C0",historico_VU!C62,IF($I$4="C1",historico_VU!D62,IF($I$4="C2",historico_VU!E62,IF($I$4="C3",historico_VU!F62,IF($I$4="C4",historico_VU!G62,""))))),2))</f>
        <v/>
      </c>
      <c r="P62" s="179" t="str">
        <f ca="1">IF(OR(A62="",N62="",NOT(ISNUMBER(IF($I$4="C0",historico_VU!C62,IF($I$4="C1",historico_VU!D62,IF($I$4="C2",historico_VU!E62,IF($I$4="C3",historico_VU!F62,IF($I$4="C4",historico_VU!G62,"")))))))),"",ROUND(N62*IF($I$4="C0",historico_VU!C62,IF($I$4="C1",historico_VU!D62,IF($I$4="C2",historico_VU!E62,IF($I$4="C3",historico_VU!F62,IF($I$4="C4",historico_VU!G62,""))))),2))</f>
        <v/>
      </c>
      <c r="Q62" s="179" t="str">
        <f t="shared" si="6"/>
        <v/>
      </c>
      <c r="R62" s="179" t="str">
        <f ca="1">IF(OR(A62="",L62="",NOT(ISNUMBER(IF($I$4="C0",historico_VU!C62,IF($I$4="C1",historico_VU!D62,IF($I$4="C2",historico_VU!E62,IF($I$4="C3",historico_VU!F62,IF($I$4="C4",historico_VU!G62,"")))))))),"",ROUND(L62*IF($I$4="C0",historico_VU!C62,IF($I$4="C1",historico_VU!D62,IF($I$4="C2",historico_VU!E62,IF($I$4="C3",historico_VU!F62,IF($I$4="C4",historico_VU!G62,""))))),2))</f>
        <v/>
      </c>
    </row>
    <row r="63" spans="1:18" x14ac:dyDescent="0.35">
      <c r="A63" s="81" t="str">
        <f>IF(itens_Remanesc!A63="","",itens_Remanesc!A63)</f>
        <v/>
      </c>
      <c r="B63" s="217" t="str">
        <f t="shared" ca="1" si="7"/>
        <v/>
      </c>
      <c r="C63" s="218" t="str">
        <f>IF(A63="","",IF($I$5="","POSICAO DE REFERENCIA INDISPONIVEL",ROUND(IF(itens_Remanesc!B63="",0,itens_Remanesc!B63)+SUMIFS(aditivos!$L$2:$L$200,aditivos!$A$2:$A$200,A63,aditivos!$B$2:$B$200,"&lt;="&amp;$I$5),2)))</f>
        <v/>
      </c>
      <c r="D63" s="218" t="str">
        <f>IF(A63="","",IF($I$4="","",IF($I$2,IF(ISNUMBER(B63),B63,""),IF($I$4="C0",posicao_contratual!G63,IF($I$4="C1",posicao_contratual!K63,IF($I$4="C2",posicao_contratual!O63,IF($I$4="C3",posicao_contratual!S63,IF($I$4="C4",posicao_contratual!W63,""))))))))</f>
        <v/>
      </c>
      <c r="E63" s="219" t="str">
        <f t="shared" si="4"/>
        <v/>
      </c>
      <c r="F63" s="81" t="str">
        <f>IF(A63="","",IF(COUNTIF($A$2:$A$200,A63)&gt;1,"ITEM DUPLICADO",IF($I$4="","POSICAO DE REFERENCIA INDISPONIVEL",IF(AND(B63&lt;&gt;"",NOT(ISNUMBER(B63))),"QTD NAO NUMERICA",IF(AND(ISNUMBER(B63),B63&lt;0),"NEGATIVO NAO PERMITIDO",IF(NOT(ISNUMBER(C63)),"POSICAO CONTRATUAL INDISPONIVEL",IF(OR(AND(posicao_contratual!$Y63&lt;&gt;"",posicao_contratual!$Y63&gt;IFERROR(VALUE(MID($I$4,2,1)),-1)),AND(posicao_contratual!$Z63,ISNUMBER(C63),C63&lt;=0)),"ITEM POSTERIOR A REFERENCIA",IF(D63="","REMANESCENTE DE REFERENCIA INDISPONIVEL",IF(AND(ISNUMBER(D63),ISNUMBER(C63),D63&gt;C63),"REMANESCENTE DE REFERENCIA SUPERA POSICAO CONTRATUAL","OK")))))))))</f>
        <v/>
      </c>
      <c r="K63" s="179" t="str">
        <f>IF(A63="","",itens_Remanesc!C63)</f>
        <v/>
      </c>
      <c r="L63" s="179" t="str">
        <f>IF(A63="","",IF($I$4="C0",posicao_contratual!G63,IF($I$4="C1",posicao_contratual!K63,IF($I$4="C2",posicao_contratual!O63,IF($I$4="C3",posicao_contratual!S63,IF($I$4="C4",posicao_contratual!W63,""))))))</f>
        <v/>
      </c>
      <c r="M63" s="179" t="str">
        <f ca="1">IF(OR(A63="",$I$5="",$I$6=""),"",ROUND(SUMIFS(aditivos!$L$2:$L$200,aditivos!$A$2:$A$200,A63,aditivos!$B$2:$B$200,"&gt;"&amp;$I$6,aditivos!$B$2:$B$200,"&lt;="&amp;$I$5),2))</f>
        <v/>
      </c>
      <c r="N63" s="179" t="str">
        <f t="shared" si="5"/>
        <v/>
      </c>
      <c r="O63" s="179" t="str">
        <f ca="1">IF(OR(A63="",D63="",NOT(ISNUMBER(IF($I$4="C0",historico_VU!C63,IF($I$4="C1",historico_VU!D63,IF($I$4="C2",historico_VU!E63,IF($I$4="C3",historico_VU!F63,IF($I$4="C4",historico_VU!G63,"")))))))),"",ROUND(D63*IF($I$4="C0",historico_VU!C63,IF($I$4="C1",historico_VU!D63,IF($I$4="C2",historico_VU!E63,IF($I$4="C3",historico_VU!F63,IF($I$4="C4",historico_VU!G63,""))))),2))</f>
        <v/>
      </c>
      <c r="P63" s="179" t="str">
        <f ca="1">IF(OR(A63="",N63="",NOT(ISNUMBER(IF($I$4="C0",historico_VU!C63,IF($I$4="C1",historico_VU!D63,IF($I$4="C2",historico_VU!E63,IF($I$4="C3",historico_VU!F63,IF($I$4="C4",historico_VU!G63,"")))))))),"",ROUND(N63*IF($I$4="C0",historico_VU!C63,IF($I$4="C1",historico_VU!D63,IF($I$4="C2",historico_VU!E63,IF($I$4="C3",historico_VU!F63,IF($I$4="C4",historico_VU!G63,""))))),2))</f>
        <v/>
      </c>
      <c r="Q63" s="179" t="str">
        <f t="shared" si="6"/>
        <v/>
      </c>
      <c r="R63" s="179" t="str">
        <f ca="1">IF(OR(A63="",L63="",NOT(ISNUMBER(IF($I$4="C0",historico_VU!C63,IF($I$4="C1",historico_VU!D63,IF($I$4="C2",historico_VU!E63,IF($I$4="C3",historico_VU!F63,IF($I$4="C4",historico_VU!G63,"")))))))),"",ROUND(L63*IF($I$4="C0",historico_VU!C63,IF($I$4="C1",historico_VU!D63,IF($I$4="C2",historico_VU!E63,IF($I$4="C3",historico_VU!F63,IF($I$4="C4",historico_VU!G63,""))))),2))</f>
        <v/>
      </c>
    </row>
    <row r="64" spans="1:18" x14ac:dyDescent="0.35">
      <c r="A64" s="81" t="str">
        <f>IF(itens_Remanesc!A64="","",itens_Remanesc!A64)</f>
        <v/>
      </c>
      <c r="B64" s="217" t="str">
        <f t="shared" ca="1" si="7"/>
        <v/>
      </c>
      <c r="C64" s="218" t="str">
        <f>IF(A64="","",IF($I$5="","POSICAO DE REFERENCIA INDISPONIVEL",ROUND(IF(itens_Remanesc!B64="",0,itens_Remanesc!B64)+SUMIFS(aditivos!$L$2:$L$200,aditivos!$A$2:$A$200,A64,aditivos!$B$2:$B$200,"&lt;="&amp;$I$5),2)))</f>
        <v/>
      </c>
      <c r="D64" s="218" t="str">
        <f>IF(A64="","",IF($I$4="","",IF($I$2,IF(ISNUMBER(B64),B64,""),IF($I$4="C0",posicao_contratual!G64,IF($I$4="C1",posicao_contratual!K64,IF($I$4="C2",posicao_contratual!O64,IF($I$4="C3",posicao_contratual!S64,IF($I$4="C4",posicao_contratual!W64,""))))))))</f>
        <v/>
      </c>
      <c r="E64" s="219" t="str">
        <f t="shared" si="4"/>
        <v/>
      </c>
      <c r="F64" s="81" t="str">
        <f>IF(A64="","",IF(COUNTIF($A$2:$A$200,A64)&gt;1,"ITEM DUPLICADO",IF($I$4="","POSICAO DE REFERENCIA INDISPONIVEL",IF(AND(B64&lt;&gt;"",NOT(ISNUMBER(B64))),"QTD NAO NUMERICA",IF(AND(ISNUMBER(B64),B64&lt;0),"NEGATIVO NAO PERMITIDO",IF(NOT(ISNUMBER(C64)),"POSICAO CONTRATUAL INDISPONIVEL",IF(OR(AND(posicao_contratual!$Y64&lt;&gt;"",posicao_contratual!$Y64&gt;IFERROR(VALUE(MID($I$4,2,1)),-1)),AND(posicao_contratual!$Z64,ISNUMBER(C64),C64&lt;=0)),"ITEM POSTERIOR A REFERENCIA",IF(D64="","REMANESCENTE DE REFERENCIA INDISPONIVEL",IF(AND(ISNUMBER(D64),ISNUMBER(C64),D64&gt;C64),"REMANESCENTE DE REFERENCIA SUPERA POSICAO CONTRATUAL","OK")))))))))</f>
        <v/>
      </c>
      <c r="K64" s="179" t="str">
        <f>IF(A64="","",itens_Remanesc!C64)</f>
        <v/>
      </c>
      <c r="L64" s="179" t="str">
        <f>IF(A64="","",IF($I$4="C0",posicao_contratual!G64,IF($I$4="C1",posicao_contratual!K64,IF($I$4="C2",posicao_contratual!O64,IF($I$4="C3",posicao_contratual!S64,IF($I$4="C4",posicao_contratual!W64,""))))))</f>
        <v/>
      </c>
      <c r="M64" s="179" t="str">
        <f ca="1">IF(OR(A64="",$I$5="",$I$6=""),"",ROUND(SUMIFS(aditivos!$L$2:$L$200,aditivos!$A$2:$A$200,A64,aditivos!$B$2:$B$200,"&gt;"&amp;$I$6,aditivos!$B$2:$B$200,"&lt;="&amp;$I$5),2))</f>
        <v/>
      </c>
      <c r="N64" s="179" t="str">
        <f t="shared" si="5"/>
        <v/>
      </c>
      <c r="O64" s="179" t="str">
        <f ca="1">IF(OR(A64="",D64="",NOT(ISNUMBER(IF($I$4="C0",historico_VU!C64,IF($I$4="C1",historico_VU!D64,IF($I$4="C2",historico_VU!E64,IF($I$4="C3",historico_VU!F64,IF($I$4="C4",historico_VU!G64,"")))))))),"",ROUND(D64*IF($I$4="C0",historico_VU!C64,IF($I$4="C1",historico_VU!D64,IF($I$4="C2",historico_VU!E64,IF($I$4="C3",historico_VU!F64,IF($I$4="C4",historico_VU!G64,""))))),2))</f>
        <v/>
      </c>
      <c r="P64" s="179" t="str">
        <f ca="1">IF(OR(A64="",N64="",NOT(ISNUMBER(IF($I$4="C0",historico_VU!C64,IF($I$4="C1",historico_VU!D64,IF($I$4="C2",historico_VU!E64,IF($I$4="C3",historico_VU!F64,IF($I$4="C4",historico_VU!G64,"")))))))),"",ROUND(N64*IF($I$4="C0",historico_VU!C64,IF($I$4="C1",historico_VU!D64,IF($I$4="C2",historico_VU!E64,IF($I$4="C3",historico_VU!F64,IF($I$4="C4",historico_VU!G64,""))))),2))</f>
        <v/>
      </c>
      <c r="Q64" s="179" t="str">
        <f t="shared" si="6"/>
        <v/>
      </c>
      <c r="R64" s="179" t="str">
        <f ca="1">IF(OR(A64="",L64="",NOT(ISNUMBER(IF($I$4="C0",historico_VU!C64,IF($I$4="C1",historico_VU!D64,IF($I$4="C2",historico_VU!E64,IF($I$4="C3",historico_VU!F64,IF($I$4="C4",historico_VU!G64,"")))))))),"",ROUND(L64*IF($I$4="C0",historico_VU!C64,IF($I$4="C1",historico_VU!D64,IF($I$4="C2",historico_VU!E64,IF($I$4="C3",historico_VU!F64,IF($I$4="C4",historico_VU!G64,""))))),2))</f>
        <v/>
      </c>
    </row>
    <row r="65" spans="1:18" x14ac:dyDescent="0.35">
      <c r="A65" s="81" t="str">
        <f>IF(itens_Remanesc!A65="","",itens_Remanesc!A65)</f>
        <v/>
      </c>
      <c r="B65" s="217" t="str">
        <f t="shared" ca="1" si="7"/>
        <v/>
      </c>
      <c r="C65" s="218" t="str">
        <f>IF(A65="","",IF($I$5="","POSICAO DE REFERENCIA INDISPONIVEL",ROUND(IF(itens_Remanesc!B65="",0,itens_Remanesc!B65)+SUMIFS(aditivos!$L$2:$L$200,aditivos!$A$2:$A$200,A65,aditivos!$B$2:$B$200,"&lt;="&amp;$I$5),2)))</f>
        <v/>
      </c>
      <c r="D65" s="218" t="str">
        <f>IF(A65="","",IF($I$4="","",IF($I$2,IF(ISNUMBER(B65),B65,""),IF($I$4="C0",posicao_contratual!G65,IF($I$4="C1",posicao_contratual!K65,IF($I$4="C2",posicao_contratual!O65,IF($I$4="C3",posicao_contratual!S65,IF($I$4="C4",posicao_contratual!W65,""))))))))</f>
        <v/>
      </c>
      <c r="E65" s="219" t="str">
        <f t="shared" si="4"/>
        <v/>
      </c>
      <c r="F65" s="81" t="str">
        <f>IF(A65="","",IF(COUNTIF($A$2:$A$200,A65)&gt;1,"ITEM DUPLICADO",IF($I$4="","POSICAO DE REFERENCIA INDISPONIVEL",IF(AND(B65&lt;&gt;"",NOT(ISNUMBER(B65))),"QTD NAO NUMERICA",IF(AND(ISNUMBER(B65),B65&lt;0),"NEGATIVO NAO PERMITIDO",IF(NOT(ISNUMBER(C65)),"POSICAO CONTRATUAL INDISPONIVEL",IF(OR(AND(posicao_contratual!$Y65&lt;&gt;"",posicao_contratual!$Y65&gt;IFERROR(VALUE(MID($I$4,2,1)),-1)),AND(posicao_contratual!$Z65,ISNUMBER(C65),C65&lt;=0)),"ITEM POSTERIOR A REFERENCIA",IF(D65="","REMANESCENTE DE REFERENCIA INDISPONIVEL",IF(AND(ISNUMBER(D65),ISNUMBER(C65),D65&gt;C65),"REMANESCENTE DE REFERENCIA SUPERA POSICAO CONTRATUAL","OK")))))))))</f>
        <v/>
      </c>
      <c r="K65" s="179" t="str">
        <f>IF(A65="","",itens_Remanesc!C65)</f>
        <v/>
      </c>
      <c r="L65" s="179" t="str">
        <f>IF(A65="","",IF($I$4="C0",posicao_contratual!G65,IF($I$4="C1",posicao_contratual!K65,IF($I$4="C2",posicao_contratual!O65,IF($I$4="C3",posicao_contratual!S65,IF($I$4="C4",posicao_contratual!W65,""))))))</f>
        <v/>
      </c>
      <c r="M65" s="179" t="str">
        <f ca="1">IF(OR(A65="",$I$5="",$I$6=""),"",ROUND(SUMIFS(aditivos!$L$2:$L$200,aditivos!$A$2:$A$200,A65,aditivos!$B$2:$B$200,"&gt;"&amp;$I$6,aditivos!$B$2:$B$200,"&lt;="&amp;$I$5),2))</f>
        <v/>
      </c>
      <c r="N65" s="179" t="str">
        <f t="shared" si="5"/>
        <v/>
      </c>
      <c r="O65" s="179" t="str">
        <f ca="1">IF(OR(A65="",D65="",NOT(ISNUMBER(IF($I$4="C0",historico_VU!C65,IF($I$4="C1",historico_VU!D65,IF($I$4="C2",historico_VU!E65,IF($I$4="C3",historico_VU!F65,IF($I$4="C4",historico_VU!G65,"")))))))),"",ROUND(D65*IF($I$4="C0",historico_VU!C65,IF($I$4="C1",historico_VU!D65,IF($I$4="C2",historico_VU!E65,IF($I$4="C3",historico_VU!F65,IF($I$4="C4",historico_VU!G65,""))))),2))</f>
        <v/>
      </c>
      <c r="P65" s="179" t="str">
        <f ca="1">IF(OR(A65="",N65="",NOT(ISNUMBER(IF($I$4="C0",historico_VU!C65,IF($I$4="C1",historico_VU!D65,IF($I$4="C2",historico_VU!E65,IF($I$4="C3",historico_VU!F65,IF($I$4="C4",historico_VU!G65,"")))))))),"",ROUND(N65*IF($I$4="C0",historico_VU!C65,IF($I$4="C1",historico_VU!D65,IF($I$4="C2",historico_VU!E65,IF($I$4="C3",historico_VU!F65,IF($I$4="C4",historico_VU!G65,""))))),2))</f>
        <v/>
      </c>
      <c r="Q65" s="179" t="str">
        <f t="shared" si="6"/>
        <v/>
      </c>
      <c r="R65" s="179" t="str">
        <f ca="1">IF(OR(A65="",L65="",NOT(ISNUMBER(IF($I$4="C0",historico_VU!C65,IF($I$4="C1",historico_VU!D65,IF($I$4="C2",historico_VU!E65,IF($I$4="C3",historico_VU!F65,IF($I$4="C4",historico_VU!G65,"")))))))),"",ROUND(L65*IF($I$4="C0",historico_VU!C65,IF($I$4="C1",historico_VU!D65,IF($I$4="C2",historico_VU!E65,IF($I$4="C3",historico_VU!F65,IF($I$4="C4",historico_VU!G65,""))))),2))</f>
        <v/>
      </c>
    </row>
    <row r="66" spans="1:18" x14ac:dyDescent="0.35">
      <c r="A66" s="81" t="str">
        <f>IF(itens_Remanesc!A66="","",itens_Remanesc!A66)</f>
        <v/>
      </c>
      <c r="B66" s="217" t="str">
        <f t="shared" ca="1" si="7"/>
        <v/>
      </c>
      <c r="C66" s="218" t="str">
        <f>IF(A66="","",IF($I$5="","POSICAO DE REFERENCIA INDISPONIVEL",ROUND(IF(itens_Remanesc!B66="",0,itens_Remanesc!B66)+SUMIFS(aditivos!$L$2:$L$200,aditivos!$A$2:$A$200,A66,aditivos!$B$2:$B$200,"&lt;="&amp;$I$5),2)))</f>
        <v/>
      </c>
      <c r="D66" s="218" t="str">
        <f>IF(A66="","",IF($I$4="","",IF($I$2,IF(ISNUMBER(B66),B66,""),IF($I$4="C0",posicao_contratual!G66,IF($I$4="C1",posicao_contratual!K66,IF($I$4="C2",posicao_contratual!O66,IF($I$4="C3",posicao_contratual!S66,IF($I$4="C4",posicao_contratual!W66,""))))))))</f>
        <v/>
      </c>
      <c r="E66" s="219" t="str">
        <f t="shared" ref="E66:E97" si="8">IF(A66="","",IF($I$4="","POSICAO DE REFERENCIA INDISPONIVEL",IF($I$2,"POSICAO FISICA (CICLO_EM_EXECUCAO)",IF(ISNUMBER(B66),"POSICAO FISICA NAO UTILIZAVEL - FOTOGRAFIA "&amp;$I$4,"FOTOGRAFIA "&amp;$I$4))))</f>
        <v/>
      </c>
      <c r="F66" s="81" t="str">
        <f>IF(A66="","",IF(COUNTIF($A$2:$A$200,A66)&gt;1,"ITEM DUPLICADO",IF($I$4="","POSICAO DE REFERENCIA INDISPONIVEL",IF(AND(B66&lt;&gt;"",NOT(ISNUMBER(B66))),"QTD NAO NUMERICA",IF(AND(ISNUMBER(B66),B66&lt;0),"NEGATIVO NAO PERMITIDO",IF(NOT(ISNUMBER(C66)),"POSICAO CONTRATUAL INDISPONIVEL",IF(OR(AND(posicao_contratual!$Y66&lt;&gt;"",posicao_contratual!$Y66&gt;IFERROR(VALUE(MID($I$4,2,1)),-1)),AND(posicao_contratual!$Z66,ISNUMBER(C66),C66&lt;=0)),"ITEM POSTERIOR A REFERENCIA",IF(D66="","REMANESCENTE DE REFERENCIA INDISPONIVEL",IF(AND(ISNUMBER(D66),ISNUMBER(C66),D66&gt;C66),"REMANESCENTE DE REFERENCIA SUPERA POSICAO CONTRATUAL","OK")))))))))</f>
        <v/>
      </c>
      <c r="K66" s="179" t="str">
        <f>IF(A66="","",itens_Remanesc!C66)</f>
        <v/>
      </c>
      <c r="L66" s="179" t="str">
        <f>IF(A66="","",IF($I$4="C0",posicao_contratual!G66,IF($I$4="C1",posicao_contratual!K66,IF($I$4="C2",posicao_contratual!O66,IF($I$4="C3",posicao_contratual!S66,IF($I$4="C4",posicao_contratual!W66,""))))))</f>
        <v/>
      </c>
      <c r="M66" s="179" t="str">
        <f ca="1">IF(OR(A66="",$I$5="",$I$6=""),"",ROUND(SUMIFS(aditivos!$L$2:$L$200,aditivos!$A$2:$A$200,A66,aditivos!$B$2:$B$200,"&gt;"&amp;$I$6,aditivos!$B$2:$B$200,"&lt;="&amp;$I$5),2))</f>
        <v/>
      </c>
      <c r="N66" s="179" t="str">
        <f t="shared" ref="N66:N97" si="9">IF(OR(A66="",L66="",D66=""),"",ROUND(MAX(L66+IF(ISNUMBER(M66),M66,0)-D66,0),2))</f>
        <v/>
      </c>
      <c r="O66" s="179" t="str">
        <f ca="1">IF(OR(A66="",D66="",NOT(ISNUMBER(IF($I$4="C0",historico_VU!C66,IF($I$4="C1",historico_VU!D66,IF($I$4="C2",historico_VU!E66,IF($I$4="C3",historico_VU!F66,IF($I$4="C4",historico_VU!G66,"")))))))),"",ROUND(D66*IF($I$4="C0",historico_VU!C66,IF($I$4="C1",historico_VU!D66,IF($I$4="C2",historico_VU!E66,IF($I$4="C3",historico_VU!F66,IF($I$4="C4",historico_VU!G66,""))))),2))</f>
        <v/>
      </c>
      <c r="P66" s="179" t="str">
        <f ca="1">IF(OR(A66="",N66="",NOT(ISNUMBER(IF($I$4="C0",historico_VU!C66,IF($I$4="C1",historico_VU!D66,IF($I$4="C2",historico_VU!E66,IF($I$4="C3",historico_VU!F66,IF($I$4="C4",historico_VU!G66,"")))))))),"",ROUND(N66*IF($I$4="C0",historico_VU!C66,IF($I$4="C1",historico_VU!D66,IF($I$4="C2",historico_VU!E66,IF($I$4="C3",historico_VU!F66,IF($I$4="C4",historico_VU!G66,""))))),2))</f>
        <v/>
      </c>
      <c r="Q66" s="179" t="str">
        <f t="shared" ref="Q66:Q97" si="10">IF(OR(A66="",D66="",K66=""),"",ROUND(D66*K66,2))</f>
        <v/>
      </c>
      <c r="R66" s="179" t="str">
        <f ca="1">IF(OR(A66="",L66="",NOT(ISNUMBER(IF($I$4="C0",historico_VU!C66,IF($I$4="C1",historico_VU!D66,IF($I$4="C2",historico_VU!E66,IF($I$4="C3",historico_VU!F66,IF($I$4="C4",historico_VU!G66,"")))))))),"",ROUND(L66*IF($I$4="C0",historico_VU!C66,IF($I$4="C1",historico_VU!D66,IF($I$4="C2",historico_VU!E66,IF($I$4="C3",historico_VU!F66,IF($I$4="C4",historico_VU!G66,""))))),2))</f>
        <v/>
      </c>
    </row>
    <row r="67" spans="1:18" x14ac:dyDescent="0.35">
      <c r="A67" s="81" t="str">
        <f>IF(itens_Remanesc!A67="","",itens_Remanesc!A67)</f>
        <v/>
      </c>
      <c r="B67" s="217" t="str">
        <f t="shared" ca="1" si="7"/>
        <v/>
      </c>
      <c r="C67" s="218" t="str">
        <f>IF(A67="","",IF($I$5="","POSICAO DE REFERENCIA INDISPONIVEL",ROUND(IF(itens_Remanesc!B67="",0,itens_Remanesc!B67)+SUMIFS(aditivos!$L$2:$L$200,aditivos!$A$2:$A$200,A67,aditivos!$B$2:$B$200,"&lt;="&amp;$I$5),2)))</f>
        <v/>
      </c>
      <c r="D67" s="218" t="str">
        <f>IF(A67="","",IF($I$4="","",IF($I$2,IF(ISNUMBER(B67),B67,""),IF($I$4="C0",posicao_contratual!G67,IF($I$4="C1",posicao_contratual!K67,IF($I$4="C2",posicao_contratual!O67,IF($I$4="C3",posicao_contratual!S67,IF($I$4="C4",posicao_contratual!W67,""))))))))</f>
        <v/>
      </c>
      <c r="E67" s="219" t="str">
        <f t="shared" si="8"/>
        <v/>
      </c>
      <c r="F67" s="81" t="str">
        <f>IF(A67="","",IF(COUNTIF($A$2:$A$200,A67)&gt;1,"ITEM DUPLICADO",IF($I$4="","POSICAO DE REFERENCIA INDISPONIVEL",IF(AND(B67&lt;&gt;"",NOT(ISNUMBER(B67))),"QTD NAO NUMERICA",IF(AND(ISNUMBER(B67),B67&lt;0),"NEGATIVO NAO PERMITIDO",IF(NOT(ISNUMBER(C67)),"POSICAO CONTRATUAL INDISPONIVEL",IF(OR(AND(posicao_contratual!$Y67&lt;&gt;"",posicao_contratual!$Y67&gt;IFERROR(VALUE(MID($I$4,2,1)),-1)),AND(posicao_contratual!$Z67,ISNUMBER(C67),C67&lt;=0)),"ITEM POSTERIOR A REFERENCIA",IF(D67="","REMANESCENTE DE REFERENCIA INDISPONIVEL",IF(AND(ISNUMBER(D67),ISNUMBER(C67),D67&gt;C67),"REMANESCENTE DE REFERENCIA SUPERA POSICAO CONTRATUAL","OK")))))))))</f>
        <v/>
      </c>
      <c r="K67" s="179" t="str">
        <f>IF(A67="","",itens_Remanesc!C67)</f>
        <v/>
      </c>
      <c r="L67" s="179" t="str">
        <f>IF(A67="","",IF($I$4="C0",posicao_contratual!G67,IF($I$4="C1",posicao_contratual!K67,IF($I$4="C2",posicao_contratual!O67,IF($I$4="C3",posicao_contratual!S67,IF($I$4="C4",posicao_contratual!W67,""))))))</f>
        <v/>
      </c>
      <c r="M67" s="179" t="str">
        <f ca="1">IF(OR(A67="",$I$5="",$I$6=""),"",ROUND(SUMIFS(aditivos!$L$2:$L$200,aditivos!$A$2:$A$200,A67,aditivos!$B$2:$B$200,"&gt;"&amp;$I$6,aditivos!$B$2:$B$200,"&lt;="&amp;$I$5),2))</f>
        <v/>
      </c>
      <c r="N67" s="179" t="str">
        <f t="shared" si="9"/>
        <v/>
      </c>
      <c r="O67" s="179" t="str">
        <f ca="1">IF(OR(A67="",D67="",NOT(ISNUMBER(IF($I$4="C0",historico_VU!C67,IF($I$4="C1",historico_VU!D67,IF($I$4="C2",historico_VU!E67,IF($I$4="C3",historico_VU!F67,IF($I$4="C4",historico_VU!G67,"")))))))),"",ROUND(D67*IF($I$4="C0",historico_VU!C67,IF($I$4="C1",historico_VU!D67,IF($I$4="C2",historico_VU!E67,IF($I$4="C3",historico_VU!F67,IF($I$4="C4",historico_VU!G67,""))))),2))</f>
        <v/>
      </c>
      <c r="P67" s="179" t="str">
        <f ca="1">IF(OR(A67="",N67="",NOT(ISNUMBER(IF($I$4="C0",historico_VU!C67,IF($I$4="C1",historico_VU!D67,IF($I$4="C2",historico_VU!E67,IF($I$4="C3",historico_VU!F67,IF($I$4="C4",historico_VU!G67,"")))))))),"",ROUND(N67*IF($I$4="C0",historico_VU!C67,IF($I$4="C1",historico_VU!D67,IF($I$4="C2",historico_VU!E67,IF($I$4="C3",historico_VU!F67,IF($I$4="C4",historico_VU!G67,""))))),2))</f>
        <v/>
      </c>
      <c r="Q67" s="179" t="str">
        <f t="shared" si="10"/>
        <v/>
      </c>
      <c r="R67" s="179" t="str">
        <f ca="1">IF(OR(A67="",L67="",NOT(ISNUMBER(IF($I$4="C0",historico_VU!C67,IF($I$4="C1",historico_VU!D67,IF($I$4="C2",historico_VU!E67,IF($I$4="C3",historico_VU!F67,IF($I$4="C4",historico_VU!G67,"")))))))),"",ROUND(L67*IF($I$4="C0",historico_VU!C67,IF($I$4="C1",historico_VU!D67,IF($I$4="C2",historico_VU!E67,IF($I$4="C3",historico_VU!F67,IF($I$4="C4",historico_VU!G67,""))))),2))</f>
        <v/>
      </c>
    </row>
    <row r="68" spans="1:18" x14ac:dyDescent="0.35">
      <c r="A68" s="81" t="str">
        <f>IF(itens_Remanesc!A68="","",itens_Remanesc!A68)</f>
        <v/>
      </c>
      <c r="B68" s="217" t="str">
        <f t="shared" ca="1" si="7"/>
        <v/>
      </c>
      <c r="C68" s="218" t="str">
        <f>IF(A68="","",IF($I$5="","POSICAO DE REFERENCIA INDISPONIVEL",ROUND(IF(itens_Remanesc!B68="",0,itens_Remanesc!B68)+SUMIFS(aditivos!$L$2:$L$200,aditivos!$A$2:$A$200,A68,aditivos!$B$2:$B$200,"&lt;="&amp;$I$5),2)))</f>
        <v/>
      </c>
      <c r="D68" s="218" t="str">
        <f>IF(A68="","",IF($I$4="","",IF($I$2,IF(ISNUMBER(B68),B68,""),IF($I$4="C0",posicao_contratual!G68,IF($I$4="C1",posicao_contratual!K68,IF($I$4="C2",posicao_contratual!O68,IF($I$4="C3",posicao_contratual!S68,IF($I$4="C4",posicao_contratual!W68,""))))))))</f>
        <v/>
      </c>
      <c r="E68" s="219" t="str">
        <f t="shared" si="8"/>
        <v/>
      </c>
      <c r="F68" s="81" t="str">
        <f>IF(A68="","",IF(COUNTIF($A$2:$A$200,A68)&gt;1,"ITEM DUPLICADO",IF($I$4="","POSICAO DE REFERENCIA INDISPONIVEL",IF(AND(B68&lt;&gt;"",NOT(ISNUMBER(B68))),"QTD NAO NUMERICA",IF(AND(ISNUMBER(B68),B68&lt;0),"NEGATIVO NAO PERMITIDO",IF(NOT(ISNUMBER(C68)),"POSICAO CONTRATUAL INDISPONIVEL",IF(OR(AND(posicao_contratual!$Y68&lt;&gt;"",posicao_contratual!$Y68&gt;IFERROR(VALUE(MID($I$4,2,1)),-1)),AND(posicao_contratual!$Z68,ISNUMBER(C68),C68&lt;=0)),"ITEM POSTERIOR A REFERENCIA",IF(D68="","REMANESCENTE DE REFERENCIA INDISPONIVEL",IF(AND(ISNUMBER(D68),ISNUMBER(C68),D68&gt;C68),"REMANESCENTE DE REFERENCIA SUPERA POSICAO CONTRATUAL","OK")))))))))</f>
        <v/>
      </c>
      <c r="K68" s="179" t="str">
        <f>IF(A68="","",itens_Remanesc!C68)</f>
        <v/>
      </c>
      <c r="L68" s="179" t="str">
        <f>IF(A68="","",IF($I$4="C0",posicao_contratual!G68,IF($I$4="C1",posicao_contratual!K68,IF($I$4="C2",posicao_contratual!O68,IF($I$4="C3",posicao_contratual!S68,IF($I$4="C4",posicao_contratual!W68,""))))))</f>
        <v/>
      </c>
      <c r="M68" s="179" t="str">
        <f ca="1">IF(OR(A68="",$I$5="",$I$6=""),"",ROUND(SUMIFS(aditivos!$L$2:$L$200,aditivos!$A$2:$A$200,A68,aditivos!$B$2:$B$200,"&gt;"&amp;$I$6,aditivos!$B$2:$B$200,"&lt;="&amp;$I$5),2))</f>
        <v/>
      </c>
      <c r="N68" s="179" t="str">
        <f t="shared" si="9"/>
        <v/>
      </c>
      <c r="O68" s="179" t="str">
        <f ca="1">IF(OR(A68="",D68="",NOT(ISNUMBER(IF($I$4="C0",historico_VU!C68,IF($I$4="C1",historico_VU!D68,IF($I$4="C2",historico_VU!E68,IF($I$4="C3",historico_VU!F68,IF($I$4="C4",historico_VU!G68,"")))))))),"",ROUND(D68*IF($I$4="C0",historico_VU!C68,IF($I$4="C1",historico_VU!D68,IF($I$4="C2",historico_VU!E68,IF($I$4="C3",historico_VU!F68,IF($I$4="C4",historico_VU!G68,""))))),2))</f>
        <v/>
      </c>
      <c r="P68" s="179" t="str">
        <f ca="1">IF(OR(A68="",N68="",NOT(ISNUMBER(IF($I$4="C0",historico_VU!C68,IF($I$4="C1",historico_VU!D68,IF($I$4="C2",historico_VU!E68,IF($I$4="C3",historico_VU!F68,IF($I$4="C4",historico_VU!G68,"")))))))),"",ROUND(N68*IF($I$4="C0",historico_VU!C68,IF($I$4="C1",historico_VU!D68,IF($I$4="C2",historico_VU!E68,IF($I$4="C3",historico_VU!F68,IF($I$4="C4",historico_VU!G68,""))))),2))</f>
        <v/>
      </c>
      <c r="Q68" s="179" t="str">
        <f t="shared" si="10"/>
        <v/>
      </c>
      <c r="R68" s="179" t="str">
        <f ca="1">IF(OR(A68="",L68="",NOT(ISNUMBER(IF($I$4="C0",historico_VU!C68,IF($I$4="C1",historico_VU!D68,IF($I$4="C2",historico_VU!E68,IF($I$4="C3",historico_VU!F68,IF($I$4="C4",historico_VU!G68,"")))))))),"",ROUND(L68*IF($I$4="C0",historico_VU!C68,IF($I$4="C1",historico_VU!D68,IF($I$4="C2",historico_VU!E68,IF($I$4="C3",historico_VU!F68,IF($I$4="C4",historico_VU!G68,""))))),2))</f>
        <v/>
      </c>
    </row>
    <row r="69" spans="1:18" x14ac:dyDescent="0.35">
      <c r="A69" s="81" t="str">
        <f>IF(itens_Remanesc!A69="","",itens_Remanesc!A69)</f>
        <v/>
      </c>
      <c r="B69" s="217" t="str">
        <f t="shared" ref="B69:B100" ca="1" si="11">IF($A69="","",IF(NOT($I$2),"",IFERROR(IF(INDEX(INDIRECT("CICLO_EM_EXECUCAO!$C$13:$C$211"),MATCH($A69,INDIRECT("CICLO_EM_EXECUCAO!$A$13:$A$211"),0))="","",INDEX(INDIRECT("CICLO_EM_EXECUCAO!$C$13:$C$211"),MATCH($A69,INDIRECT("CICLO_EM_EXECUCAO!$A$13:$A$211"),0))),"")))</f>
        <v/>
      </c>
      <c r="C69" s="218" t="str">
        <f>IF(A69="","",IF($I$5="","POSICAO DE REFERENCIA INDISPONIVEL",ROUND(IF(itens_Remanesc!B69="",0,itens_Remanesc!B69)+SUMIFS(aditivos!$L$2:$L$200,aditivos!$A$2:$A$200,A69,aditivos!$B$2:$B$200,"&lt;="&amp;$I$5),2)))</f>
        <v/>
      </c>
      <c r="D69" s="218" t="str">
        <f>IF(A69="","",IF($I$4="","",IF($I$2,IF(ISNUMBER(B69),B69,""),IF($I$4="C0",posicao_contratual!G69,IF($I$4="C1",posicao_contratual!K69,IF($I$4="C2",posicao_contratual!O69,IF($I$4="C3",posicao_contratual!S69,IF($I$4="C4",posicao_contratual!W69,""))))))))</f>
        <v/>
      </c>
      <c r="E69" s="219" t="str">
        <f t="shared" si="8"/>
        <v/>
      </c>
      <c r="F69" s="81" t="str">
        <f>IF(A69="","",IF(COUNTIF($A$2:$A$200,A69)&gt;1,"ITEM DUPLICADO",IF($I$4="","POSICAO DE REFERENCIA INDISPONIVEL",IF(AND(B69&lt;&gt;"",NOT(ISNUMBER(B69))),"QTD NAO NUMERICA",IF(AND(ISNUMBER(B69),B69&lt;0),"NEGATIVO NAO PERMITIDO",IF(NOT(ISNUMBER(C69)),"POSICAO CONTRATUAL INDISPONIVEL",IF(OR(AND(posicao_contratual!$Y69&lt;&gt;"",posicao_contratual!$Y69&gt;IFERROR(VALUE(MID($I$4,2,1)),-1)),AND(posicao_contratual!$Z69,ISNUMBER(C69),C69&lt;=0)),"ITEM POSTERIOR A REFERENCIA",IF(D69="","REMANESCENTE DE REFERENCIA INDISPONIVEL",IF(AND(ISNUMBER(D69),ISNUMBER(C69),D69&gt;C69),"REMANESCENTE DE REFERENCIA SUPERA POSICAO CONTRATUAL","OK")))))))))</f>
        <v/>
      </c>
      <c r="K69" s="179" t="str">
        <f>IF(A69="","",itens_Remanesc!C69)</f>
        <v/>
      </c>
      <c r="L69" s="179" t="str">
        <f>IF(A69="","",IF($I$4="C0",posicao_contratual!G69,IF($I$4="C1",posicao_contratual!K69,IF($I$4="C2",posicao_contratual!O69,IF($I$4="C3",posicao_contratual!S69,IF($I$4="C4",posicao_contratual!W69,""))))))</f>
        <v/>
      </c>
      <c r="M69" s="179" t="str">
        <f ca="1">IF(OR(A69="",$I$5="",$I$6=""),"",ROUND(SUMIFS(aditivos!$L$2:$L$200,aditivos!$A$2:$A$200,A69,aditivos!$B$2:$B$200,"&gt;"&amp;$I$6,aditivos!$B$2:$B$200,"&lt;="&amp;$I$5),2))</f>
        <v/>
      </c>
      <c r="N69" s="179" t="str">
        <f t="shared" si="9"/>
        <v/>
      </c>
      <c r="O69" s="179" t="str">
        <f ca="1">IF(OR(A69="",D69="",NOT(ISNUMBER(IF($I$4="C0",historico_VU!C69,IF($I$4="C1",historico_VU!D69,IF($I$4="C2",historico_VU!E69,IF($I$4="C3",historico_VU!F69,IF($I$4="C4",historico_VU!G69,"")))))))),"",ROUND(D69*IF($I$4="C0",historico_VU!C69,IF($I$4="C1",historico_VU!D69,IF($I$4="C2",historico_VU!E69,IF($I$4="C3",historico_VU!F69,IF($I$4="C4",historico_VU!G69,""))))),2))</f>
        <v/>
      </c>
      <c r="P69" s="179" t="str">
        <f ca="1">IF(OR(A69="",N69="",NOT(ISNUMBER(IF($I$4="C0",historico_VU!C69,IF($I$4="C1",historico_VU!D69,IF($I$4="C2",historico_VU!E69,IF($I$4="C3",historico_VU!F69,IF($I$4="C4",historico_VU!G69,"")))))))),"",ROUND(N69*IF($I$4="C0",historico_VU!C69,IF($I$4="C1",historico_VU!D69,IF($I$4="C2",historico_VU!E69,IF($I$4="C3",historico_VU!F69,IF($I$4="C4",historico_VU!G69,""))))),2))</f>
        <v/>
      </c>
      <c r="Q69" s="179" t="str">
        <f t="shared" si="10"/>
        <v/>
      </c>
      <c r="R69" s="179" t="str">
        <f ca="1">IF(OR(A69="",L69="",NOT(ISNUMBER(IF($I$4="C0",historico_VU!C69,IF($I$4="C1",historico_VU!D69,IF($I$4="C2",historico_VU!E69,IF($I$4="C3",historico_VU!F69,IF($I$4="C4",historico_VU!G69,"")))))))),"",ROUND(L69*IF($I$4="C0",historico_VU!C69,IF($I$4="C1",historico_VU!D69,IF($I$4="C2",historico_VU!E69,IF($I$4="C3",historico_VU!F69,IF($I$4="C4",historico_VU!G69,""))))),2))</f>
        <v/>
      </c>
    </row>
    <row r="70" spans="1:18" x14ac:dyDescent="0.35">
      <c r="A70" s="81" t="str">
        <f>IF(itens_Remanesc!A70="","",itens_Remanesc!A70)</f>
        <v/>
      </c>
      <c r="B70" s="217" t="str">
        <f t="shared" ca="1" si="11"/>
        <v/>
      </c>
      <c r="C70" s="218" t="str">
        <f>IF(A70="","",IF($I$5="","POSICAO DE REFERENCIA INDISPONIVEL",ROUND(IF(itens_Remanesc!B70="",0,itens_Remanesc!B70)+SUMIFS(aditivos!$L$2:$L$200,aditivos!$A$2:$A$200,A70,aditivos!$B$2:$B$200,"&lt;="&amp;$I$5),2)))</f>
        <v/>
      </c>
      <c r="D70" s="218" t="str">
        <f>IF(A70="","",IF($I$4="","",IF($I$2,IF(ISNUMBER(B70),B70,""),IF($I$4="C0",posicao_contratual!G70,IF($I$4="C1",posicao_contratual!K70,IF($I$4="C2",posicao_contratual!O70,IF($I$4="C3",posicao_contratual!S70,IF($I$4="C4",posicao_contratual!W70,""))))))))</f>
        <v/>
      </c>
      <c r="E70" s="219" t="str">
        <f t="shared" si="8"/>
        <v/>
      </c>
      <c r="F70" s="81" t="str">
        <f>IF(A70="","",IF(COUNTIF($A$2:$A$200,A70)&gt;1,"ITEM DUPLICADO",IF($I$4="","POSICAO DE REFERENCIA INDISPONIVEL",IF(AND(B70&lt;&gt;"",NOT(ISNUMBER(B70))),"QTD NAO NUMERICA",IF(AND(ISNUMBER(B70),B70&lt;0),"NEGATIVO NAO PERMITIDO",IF(NOT(ISNUMBER(C70)),"POSICAO CONTRATUAL INDISPONIVEL",IF(OR(AND(posicao_contratual!$Y70&lt;&gt;"",posicao_contratual!$Y70&gt;IFERROR(VALUE(MID($I$4,2,1)),-1)),AND(posicao_contratual!$Z70,ISNUMBER(C70),C70&lt;=0)),"ITEM POSTERIOR A REFERENCIA",IF(D70="","REMANESCENTE DE REFERENCIA INDISPONIVEL",IF(AND(ISNUMBER(D70),ISNUMBER(C70),D70&gt;C70),"REMANESCENTE DE REFERENCIA SUPERA POSICAO CONTRATUAL","OK")))))))))</f>
        <v/>
      </c>
      <c r="K70" s="179" t="str">
        <f>IF(A70="","",itens_Remanesc!C70)</f>
        <v/>
      </c>
      <c r="L70" s="179" t="str">
        <f>IF(A70="","",IF($I$4="C0",posicao_contratual!G70,IF($I$4="C1",posicao_contratual!K70,IF($I$4="C2",posicao_contratual!O70,IF($I$4="C3",posicao_contratual!S70,IF($I$4="C4",posicao_contratual!W70,""))))))</f>
        <v/>
      </c>
      <c r="M70" s="179" t="str">
        <f ca="1">IF(OR(A70="",$I$5="",$I$6=""),"",ROUND(SUMIFS(aditivos!$L$2:$L$200,aditivos!$A$2:$A$200,A70,aditivos!$B$2:$B$200,"&gt;"&amp;$I$6,aditivos!$B$2:$B$200,"&lt;="&amp;$I$5),2))</f>
        <v/>
      </c>
      <c r="N70" s="179" t="str">
        <f t="shared" si="9"/>
        <v/>
      </c>
      <c r="O70" s="179" t="str">
        <f ca="1">IF(OR(A70="",D70="",NOT(ISNUMBER(IF($I$4="C0",historico_VU!C70,IF($I$4="C1",historico_VU!D70,IF($I$4="C2",historico_VU!E70,IF($I$4="C3",historico_VU!F70,IF($I$4="C4",historico_VU!G70,"")))))))),"",ROUND(D70*IF($I$4="C0",historico_VU!C70,IF($I$4="C1",historico_VU!D70,IF($I$4="C2",historico_VU!E70,IF($I$4="C3",historico_VU!F70,IF($I$4="C4",historico_VU!G70,""))))),2))</f>
        <v/>
      </c>
      <c r="P70" s="179" t="str">
        <f ca="1">IF(OR(A70="",N70="",NOT(ISNUMBER(IF($I$4="C0",historico_VU!C70,IF($I$4="C1",historico_VU!D70,IF($I$4="C2",historico_VU!E70,IF($I$4="C3",historico_VU!F70,IF($I$4="C4",historico_VU!G70,"")))))))),"",ROUND(N70*IF($I$4="C0",historico_VU!C70,IF($I$4="C1",historico_VU!D70,IF($I$4="C2",historico_VU!E70,IF($I$4="C3",historico_VU!F70,IF($I$4="C4",historico_VU!G70,""))))),2))</f>
        <v/>
      </c>
      <c r="Q70" s="179" t="str">
        <f t="shared" si="10"/>
        <v/>
      </c>
      <c r="R70" s="179" t="str">
        <f ca="1">IF(OR(A70="",L70="",NOT(ISNUMBER(IF($I$4="C0",historico_VU!C70,IF($I$4="C1",historico_VU!D70,IF($I$4="C2",historico_VU!E70,IF($I$4="C3",historico_VU!F70,IF($I$4="C4",historico_VU!G70,"")))))))),"",ROUND(L70*IF($I$4="C0",historico_VU!C70,IF($I$4="C1",historico_VU!D70,IF($I$4="C2",historico_VU!E70,IF($I$4="C3",historico_VU!F70,IF($I$4="C4",historico_VU!G70,""))))),2))</f>
        <v/>
      </c>
    </row>
    <row r="71" spans="1:18" x14ac:dyDescent="0.35">
      <c r="A71" s="81" t="str">
        <f>IF(itens_Remanesc!A71="","",itens_Remanesc!A71)</f>
        <v/>
      </c>
      <c r="B71" s="217" t="str">
        <f t="shared" ca="1" si="11"/>
        <v/>
      </c>
      <c r="C71" s="218" t="str">
        <f>IF(A71="","",IF($I$5="","POSICAO DE REFERENCIA INDISPONIVEL",ROUND(IF(itens_Remanesc!B71="",0,itens_Remanesc!B71)+SUMIFS(aditivos!$L$2:$L$200,aditivos!$A$2:$A$200,A71,aditivos!$B$2:$B$200,"&lt;="&amp;$I$5),2)))</f>
        <v/>
      </c>
      <c r="D71" s="218" t="str">
        <f>IF(A71="","",IF($I$4="","",IF($I$2,IF(ISNUMBER(B71),B71,""),IF($I$4="C0",posicao_contratual!G71,IF($I$4="C1",posicao_contratual!K71,IF($I$4="C2",posicao_contratual!O71,IF($I$4="C3",posicao_contratual!S71,IF($I$4="C4",posicao_contratual!W71,""))))))))</f>
        <v/>
      </c>
      <c r="E71" s="219" t="str">
        <f t="shared" si="8"/>
        <v/>
      </c>
      <c r="F71" s="81" t="str">
        <f>IF(A71="","",IF(COUNTIF($A$2:$A$200,A71)&gt;1,"ITEM DUPLICADO",IF($I$4="","POSICAO DE REFERENCIA INDISPONIVEL",IF(AND(B71&lt;&gt;"",NOT(ISNUMBER(B71))),"QTD NAO NUMERICA",IF(AND(ISNUMBER(B71),B71&lt;0),"NEGATIVO NAO PERMITIDO",IF(NOT(ISNUMBER(C71)),"POSICAO CONTRATUAL INDISPONIVEL",IF(OR(AND(posicao_contratual!$Y71&lt;&gt;"",posicao_contratual!$Y71&gt;IFERROR(VALUE(MID($I$4,2,1)),-1)),AND(posicao_contratual!$Z71,ISNUMBER(C71),C71&lt;=0)),"ITEM POSTERIOR A REFERENCIA",IF(D71="","REMANESCENTE DE REFERENCIA INDISPONIVEL",IF(AND(ISNUMBER(D71),ISNUMBER(C71),D71&gt;C71),"REMANESCENTE DE REFERENCIA SUPERA POSICAO CONTRATUAL","OK")))))))))</f>
        <v/>
      </c>
      <c r="K71" s="179" t="str">
        <f>IF(A71="","",itens_Remanesc!C71)</f>
        <v/>
      </c>
      <c r="L71" s="179" t="str">
        <f>IF(A71="","",IF($I$4="C0",posicao_contratual!G71,IF($I$4="C1",posicao_contratual!K71,IF($I$4="C2",posicao_contratual!O71,IF($I$4="C3",posicao_contratual!S71,IF($I$4="C4",posicao_contratual!W71,""))))))</f>
        <v/>
      </c>
      <c r="M71" s="179" t="str">
        <f ca="1">IF(OR(A71="",$I$5="",$I$6=""),"",ROUND(SUMIFS(aditivos!$L$2:$L$200,aditivos!$A$2:$A$200,A71,aditivos!$B$2:$B$200,"&gt;"&amp;$I$6,aditivos!$B$2:$B$200,"&lt;="&amp;$I$5),2))</f>
        <v/>
      </c>
      <c r="N71" s="179" t="str">
        <f t="shared" si="9"/>
        <v/>
      </c>
      <c r="O71" s="179" t="str">
        <f ca="1">IF(OR(A71="",D71="",NOT(ISNUMBER(IF($I$4="C0",historico_VU!C71,IF($I$4="C1",historico_VU!D71,IF($I$4="C2",historico_VU!E71,IF($I$4="C3",historico_VU!F71,IF($I$4="C4",historico_VU!G71,"")))))))),"",ROUND(D71*IF($I$4="C0",historico_VU!C71,IF($I$4="C1",historico_VU!D71,IF($I$4="C2",historico_VU!E71,IF($I$4="C3",historico_VU!F71,IF($I$4="C4",historico_VU!G71,""))))),2))</f>
        <v/>
      </c>
      <c r="P71" s="179" t="str">
        <f ca="1">IF(OR(A71="",N71="",NOT(ISNUMBER(IF($I$4="C0",historico_VU!C71,IF($I$4="C1",historico_VU!D71,IF($I$4="C2",historico_VU!E71,IF($I$4="C3",historico_VU!F71,IF($I$4="C4",historico_VU!G71,"")))))))),"",ROUND(N71*IF($I$4="C0",historico_VU!C71,IF($I$4="C1",historico_VU!D71,IF($I$4="C2",historico_VU!E71,IF($I$4="C3",historico_VU!F71,IF($I$4="C4",historico_VU!G71,""))))),2))</f>
        <v/>
      </c>
      <c r="Q71" s="179" t="str">
        <f t="shared" si="10"/>
        <v/>
      </c>
      <c r="R71" s="179" t="str">
        <f ca="1">IF(OR(A71="",L71="",NOT(ISNUMBER(IF($I$4="C0",historico_VU!C71,IF($I$4="C1",historico_VU!D71,IF($I$4="C2",historico_VU!E71,IF($I$4="C3",historico_VU!F71,IF($I$4="C4",historico_VU!G71,"")))))))),"",ROUND(L71*IF($I$4="C0",historico_VU!C71,IF($I$4="C1",historico_VU!D71,IF($I$4="C2",historico_VU!E71,IF($I$4="C3",historico_VU!F71,IF($I$4="C4",historico_VU!G71,""))))),2))</f>
        <v/>
      </c>
    </row>
    <row r="72" spans="1:18" x14ac:dyDescent="0.35">
      <c r="A72" s="81" t="str">
        <f>IF(itens_Remanesc!A72="","",itens_Remanesc!A72)</f>
        <v/>
      </c>
      <c r="B72" s="217" t="str">
        <f t="shared" ca="1" si="11"/>
        <v/>
      </c>
      <c r="C72" s="218" t="str">
        <f>IF(A72="","",IF($I$5="","POSICAO DE REFERENCIA INDISPONIVEL",ROUND(IF(itens_Remanesc!B72="",0,itens_Remanesc!B72)+SUMIFS(aditivos!$L$2:$L$200,aditivos!$A$2:$A$200,A72,aditivos!$B$2:$B$200,"&lt;="&amp;$I$5),2)))</f>
        <v/>
      </c>
      <c r="D72" s="218" t="str">
        <f>IF(A72="","",IF($I$4="","",IF($I$2,IF(ISNUMBER(B72),B72,""),IF($I$4="C0",posicao_contratual!G72,IF($I$4="C1",posicao_contratual!K72,IF($I$4="C2",posicao_contratual!O72,IF($I$4="C3",posicao_contratual!S72,IF($I$4="C4",posicao_contratual!W72,""))))))))</f>
        <v/>
      </c>
      <c r="E72" s="219" t="str">
        <f t="shared" si="8"/>
        <v/>
      </c>
      <c r="F72" s="81" t="str">
        <f>IF(A72="","",IF(COUNTIF($A$2:$A$200,A72)&gt;1,"ITEM DUPLICADO",IF($I$4="","POSICAO DE REFERENCIA INDISPONIVEL",IF(AND(B72&lt;&gt;"",NOT(ISNUMBER(B72))),"QTD NAO NUMERICA",IF(AND(ISNUMBER(B72),B72&lt;0),"NEGATIVO NAO PERMITIDO",IF(NOT(ISNUMBER(C72)),"POSICAO CONTRATUAL INDISPONIVEL",IF(OR(AND(posicao_contratual!$Y72&lt;&gt;"",posicao_contratual!$Y72&gt;IFERROR(VALUE(MID($I$4,2,1)),-1)),AND(posicao_contratual!$Z72,ISNUMBER(C72),C72&lt;=0)),"ITEM POSTERIOR A REFERENCIA",IF(D72="","REMANESCENTE DE REFERENCIA INDISPONIVEL",IF(AND(ISNUMBER(D72),ISNUMBER(C72),D72&gt;C72),"REMANESCENTE DE REFERENCIA SUPERA POSICAO CONTRATUAL","OK")))))))))</f>
        <v/>
      </c>
      <c r="K72" s="179" t="str">
        <f>IF(A72="","",itens_Remanesc!C72)</f>
        <v/>
      </c>
      <c r="L72" s="179" t="str">
        <f>IF(A72="","",IF($I$4="C0",posicao_contratual!G72,IF($I$4="C1",posicao_contratual!K72,IF($I$4="C2",posicao_contratual!O72,IF($I$4="C3",posicao_contratual!S72,IF($I$4="C4",posicao_contratual!W72,""))))))</f>
        <v/>
      </c>
      <c r="M72" s="179" t="str">
        <f ca="1">IF(OR(A72="",$I$5="",$I$6=""),"",ROUND(SUMIFS(aditivos!$L$2:$L$200,aditivos!$A$2:$A$200,A72,aditivos!$B$2:$B$200,"&gt;"&amp;$I$6,aditivos!$B$2:$B$200,"&lt;="&amp;$I$5),2))</f>
        <v/>
      </c>
      <c r="N72" s="179" t="str">
        <f t="shared" si="9"/>
        <v/>
      </c>
      <c r="O72" s="179" t="str">
        <f ca="1">IF(OR(A72="",D72="",NOT(ISNUMBER(IF($I$4="C0",historico_VU!C72,IF($I$4="C1",historico_VU!D72,IF($I$4="C2",historico_VU!E72,IF($I$4="C3",historico_VU!F72,IF($I$4="C4",historico_VU!G72,"")))))))),"",ROUND(D72*IF($I$4="C0",historico_VU!C72,IF($I$4="C1",historico_VU!D72,IF($I$4="C2",historico_VU!E72,IF($I$4="C3",historico_VU!F72,IF($I$4="C4",historico_VU!G72,""))))),2))</f>
        <v/>
      </c>
      <c r="P72" s="179" t="str">
        <f ca="1">IF(OR(A72="",N72="",NOT(ISNUMBER(IF($I$4="C0",historico_VU!C72,IF($I$4="C1",historico_VU!D72,IF($I$4="C2",historico_VU!E72,IF($I$4="C3",historico_VU!F72,IF($I$4="C4",historico_VU!G72,"")))))))),"",ROUND(N72*IF($I$4="C0",historico_VU!C72,IF($I$4="C1",historico_VU!D72,IF($I$4="C2",historico_VU!E72,IF($I$4="C3",historico_VU!F72,IF($I$4="C4",historico_VU!G72,""))))),2))</f>
        <v/>
      </c>
      <c r="Q72" s="179" t="str">
        <f t="shared" si="10"/>
        <v/>
      </c>
      <c r="R72" s="179" t="str">
        <f ca="1">IF(OR(A72="",L72="",NOT(ISNUMBER(IF($I$4="C0",historico_VU!C72,IF($I$4="C1",historico_VU!D72,IF($I$4="C2",historico_VU!E72,IF($I$4="C3",historico_VU!F72,IF($I$4="C4",historico_VU!G72,"")))))))),"",ROUND(L72*IF($I$4="C0",historico_VU!C72,IF($I$4="C1",historico_VU!D72,IF($I$4="C2",historico_VU!E72,IF($I$4="C3",historico_VU!F72,IF($I$4="C4",historico_VU!G72,""))))),2))</f>
        <v/>
      </c>
    </row>
    <row r="73" spans="1:18" x14ac:dyDescent="0.35">
      <c r="A73" s="81" t="str">
        <f>IF(itens_Remanesc!A73="","",itens_Remanesc!A73)</f>
        <v/>
      </c>
      <c r="B73" s="217" t="str">
        <f t="shared" ca="1" si="11"/>
        <v/>
      </c>
      <c r="C73" s="218" t="str">
        <f>IF(A73="","",IF($I$5="","POSICAO DE REFERENCIA INDISPONIVEL",ROUND(IF(itens_Remanesc!B73="",0,itens_Remanesc!B73)+SUMIFS(aditivos!$L$2:$L$200,aditivos!$A$2:$A$200,A73,aditivos!$B$2:$B$200,"&lt;="&amp;$I$5),2)))</f>
        <v/>
      </c>
      <c r="D73" s="218" t="str">
        <f>IF(A73="","",IF($I$4="","",IF($I$2,IF(ISNUMBER(B73),B73,""),IF($I$4="C0",posicao_contratual!G73,IF($I$4="C1",posicao_contratual!K73,IF($I$4="C2",posicao_contratual!O73,IF($I$4="C3",posicao_contratual!S73,IF($I$4="C4",posicao_contratual!W73,""))))))))</f>
        <v/>
      </c>
      <c r="E73" s="219" t="str">
        <f t="shared" si="8"/>
        <v/>
      </c>
      <c r="F73" s="81" t="str">
        <f>IF(A73="","",IF(COUNTIF($A$2:$A$200,A73)&gt;1,"ITEM DUPLICADO",IF($I$4="","POSICAO DE REFERENCIA INDISPONIVEL",IF(AND(B73&lt;&gt;"",NOT(ISNUMBER(B73))),"QTD NAO NUMERICA",IF(AND(ISNUMBER(B73),B73&lt;0),"NEGATIVO NAO PERMITIDO",IF(NOT(ISNUMBER(C73)),"POSICAO CONTRATUAL INDISPONIVEL",IF(OR(AND(posicao_contratual!$Y73&lt;&gt;"",posicao_contratual!$Y73&gt;IFERROR(VALUE(MID($I$4,2,1)),-1)),AND(posicao_contratual!$Z73,ISNUMBER(C73),C73&lt;=0)),"ITEM POSTERIOR A REFERENCIA",IF(D73="","REMANESCENTE DE REFERENCIA INDISPONIVEL",IF(AND(ISNUMBER(D73),ISNUMBER(C73),D73&gt;C73),"REMANESCENTE DE REFERENCIA SUPERA POSICAO CONTRATUAL","OK")))))))))</f>
        <v/>
      </c>
      <c r="K73" s="179" t="str">
        <f>IF(A73="","",itens_Remanesc!C73)</f>
        <v/>
      </c>
      <c r="L73" s="179" t="str">
        <f>IF(A73="","",IF($I$4="C0",posicao_contratual!G73,IF($I$4="C1",posicao_contratual!K73,IF($I$4="C2",posicao_contratual!O73,IF($I$4="C3",posicao_contratual!S73,IF($I$4="C4",posicao_contratual!W73,""))))))</f>
        <v/>
      </c>
      <c r="M73" s="179" t="str">
        <f ca="1">IF(OR(A73="",$I$5="",$I$6=""),"",ROUND(SUMIFS(aditivos!$L$2:$L$200,aditivos!$A$2:$A$200,A73,aditivos!$B$2:$B$200,"&gt;"&amp;$I$6,aditivos!$B$2:$B$200,"&lt;="&amp;$I$5),2))</f>
        <v/>
      </c>
      <c r="N73" s="179" t="str">
        <f t="shared" si="9"/>
        <v/>
      </c>
      <c r="O73" s="179" t="str">
        <f ca="1">IF(OR(A73="",D73="",NOT(ISNUMBER(IF($I$4="C0",historico_VU!C73,IF($I$4="C1",historico_VU!D73,IF($I$4="C2",historico_VU!E73,IF($I$4="C3",historico_VU!F73,IF($I$4="C4",historico_VU!G73,"")))))))),"",ROUND(D73*IF($I$4="C0",historico_VU!C73,IF($I$4="C1",historico_VU!D73,IF($I$4="C2",historico_VU!E73,IF($I$4="C3",historico_VU!F73,IF($I$4="C4",historico_VU!G73,""))))),2))</f>
        <v/>
      </c>
      <c r="P73" s="179" t="str">
        <f ca="1">IF(OR(A73="",N73="",NOT(ISNUMBER(IF($I$4="C0",historico_VU!C73,IF($I$4="C1",historico_VU!D73,IF($I$4="C2",historico_VU!E73,IF($I$4="C3",historico_VU!F73,IF($I$4="C4",historico_VU!G73,"")))))))),"",ROUND(N73*IF($I$4="C0",historico_VU!C73,IF($I$4="C1",historico_VU!D73,IF($I$4="C2",historico_VU!E73,IF($I$4="C3",historico_VU!F73,IF($I$4="C4",historico_VU!G73,""))))),2))</f>
        <v/>
      </c>
      <c r="Q73" s="179" t="str">
        <f t="shared" si="10"/>
        <v/>
      </c>
      <c r="R73" s="179" t="str">
        <f ca="1">IF(OR(A73="",L73="",NOT(ISNUMBER(IF($I$4="C0",historico_VU!C73,IF($I$4="C1",historico_VU!D73,IF($I$4="C2",historico_VU!E73,IF($I$4="C3",historico_VU!F73,IF($I$4="C4",historico_VU!G73,"")))))))),"",ROUND(L73*IF($I$4="C0",historico_VU!C73,IF($I$4="C1",historico_VU!D73,IF($I$4="C2",historico_VU!E73,IF($I$4="C3",historico_VU!F73,IF($I$4="C4",historico_VU!G73,""))))),2))</f>
        <v/>
      </c>
    </row>
    <row r="74" spans="1:18" x14ac:dyDescent="0.35">
      <c r="A74" s="81" t="str">
        <f>IF(itens_Remanesc!A74="","",itens_Remanesc!A74)</f>
        <v/>
      </c>
      <c r="B74" s="217" t="str">
        <f t="shared" ca="1" si="11"/>
        <v/>
      </c>
      <c r="C74" s="218" t="str">
        <f>IF(A74="","",IF($I$5="","POSICAO DE REFERENCIA INDISPONIVEL",ROUND(IF(itens_Remanesc!B74="",0,itens_Remanesc!B74)+SUMIFS(aditivos!$L$2:$L$200,aditivos!$A$2:$A$200,A74,aditivos!$B$2:$B$200,"&lt;="&amp;$I$5),2)))</f>
        <v/>
      </c>
      <c r="D74" s="218" t="str">
        <f>IF(A74="","",IF($I$4="","",IF($I$2,IF(ISNUMBER(B74),B74,""),IF($I$4="C0",posicao_contratual!G74,IF($I$4="C1",posicao_contratual!K74,IF($I$4="C2",posicao_contratual!O74,IF($I$4="C3",posicao_contratual!S74,IF($I$4="C4",posicao_contratual!W74,""))))))))</f>
        <v/>
      </c>
      <c r="E74" s="219" t="str">
        <f t="shared" si="8"/>
        <v/>
      </c>
      <c r="F74" s="81" t="str">
        <f>IF(A74="","",IF(COUNTIF($A$2:$A$200,A74)&gt;1,"ITEM DUPLICADO",IF($I$4="","POSICAO DE REFERENCIA INDISPONIVEL",IF(AND(B74&lt;&gt;"",NOT(ISNUMBER(B74))),"QTD NAO NUMERICA",IF(AND(ISNUMBER(B74),B74&lt;0),"NEGATIVO NAO PERMITIDO",IF(NOT(ISNUMBER(C74)),"POSICAO CONTRATUAL INDISPONIVEL",IF(OR(AND(posicao_contratual!$Y74&lt;&gt;"",posicao_contratual!$Y74&gt;IFERROR(VALUE(MID($I$4,2,1)),-1)),AND(posicao_contratual!$Z74,ISNUMBER(C74),C74&lt;=0)),"ITEM POSTERIOR A REFERENCIA",IF(D74="","REMANESCENTE DE REFERENCIA INDISPONIVEL",IF(AND(ISNUMBER(D74),ISNUMBER(C74),D74&gt;C74),"REMANESCENTE DE REFERENCIA SUPERA POSICAO CONTRATUAL","OK")))))))))</f>
        <v/>
      </c>
      <c r="K74" s="179" t="str">
        <f>IF(A74="","",itens_Remanesc!C74)</f>
        <v/>
      </c>
      <c r="L74" s="179" t="str">
        <f>IF(A74="","",IF($I$4="C0",posicao_contratual!G74,IF($I$4="C1",posicao_contratual!K74,IF($I$4="C2",posicao_contratual!O74,IF($I$4="C3",posicao_contratual!S74,IF($I$4="C4",posicao_contratual!W74,""))))))</f>
        <v/>
      </c>
      <c r="M74" s="179" t="str">
        <f ca="1">IF(OR(A74="",$I$5="",$I$6=""),"",ROUND(SUMIFS(aditivos!$L$2:$L$200,aditivos!$A$2:$A$200,A74,aditivos!$B$2:$B$200,"&gt;"&amp;$I$6,aditivos!$B$2:$B$200,"&lt;="&amp;$I$5),2))</f>
        <v/>
      </c>
      <c r="N74" s="179" t="str">
        <f t="shared" si="9"/>
        <v/>
      </c>
      <c r="O74" s="179" t="str">
        <f ca="1">IF(OR(A74="",D74="",NOT(ISNUMBER(IF($I$4="C0",historico_VU!C74,IF($I$4="C1",historico_VU!D74,IF($I$4="C2",historico_VU!E74,IF($I$4="C3",historico_VU!F74,IF($I$4="C4",historico_VU!G74,"")))))))),"",ROUND(D74*IF($I$4="C0",historico_VU!C74,IF($I$4="C1",historico_VU!D74,IF($I$4="C2",historico_VU!E74,IF($I$4="C3",historico_VU!F74,IF($I$4="C4",historico_VU!G74,""))))),2))</f>
        <v/>
      </c>
      <c r="P74" s="179" t="str">
        <f ca="1">IF(OR(A74="",N74="",NOT(ISNUMBER(IF($I$4="C0",historico_VU!C74,IF($I$4="C1",historico_VU!D74,IF($I$4="C2",historico_VU!E74,IF($I$4="C3",historico_VU!F74,IF($I$4="C4",historico_VU!G74,"")))))))),"",ROUND(N74*IF($I$4="C0",historico_VU!C74,IF($I$4="C1",historico_VU!D74,IF($I$4="C2",historico_VU!E74,IF($I$4="C3",historico_VU!F74,IF($I$4="C4",historico_VU!G74,""))))),2))</f>
        <v/>
      </c>
      <c r="Q74" s="179" t="str">
        <f t="shared" si="10"/>
        <v/>
      </c>
      <c r="R74" s="179" t="str">
        <f ca="1">IF(OR(A74="",L74="",NOT(ISNUMBER(IF($I$4="C0",historico_VU!C74,IF($I$4="C1",historico_VU!D74,IF($I$4="C2",historico_VU!E74,IF($I$4="C3",historico_VU!F74,IF($I$4="C4",historico_VU!G74,"")))))))),"",ROUND(L74*IF($I$4="C0",historico_VU!C74,IF($I$4="C1",historico_VU!D74,IF($I$4="C2",historico_VU!E74,IF($I$4="C3",historico_VU!F74,IF($I$4="C4",historico_VU!G74,""))))),2))</f>
        <v/>
      </c>
    </row>
    <row r="75" spans="1:18" x14ac:dyDescent="0.35">
      <c r="A75" s="81" t="str">
        <f>IF(itens_Remanesc!A75="","",itens_Remanesc!A75)</f>
        <v/>
      </c>
      <c r="B75" s="217" t="str">
        <f t="shared" ca="1" si="11"/>
        <v/>
      </c>
      <c r="C75" s="218" t="str">
        <f>IF(A75="","",IF($I$5="","POSICAO DE REFERENCIA INDISPONIVEL",ROUND(IF(itens_Remanesc!B75="",0,itens_Remanesc!B75)+SUMIFS(aditivos!$L$2:$L$200,aditivos!$A$2:$A$200,A75,aditivos!$B$2:$B$200,"&lt;="&amp;$I$5),2)))</f>
        <v/>
      </c>
      <c r="D75" s="218" t="str">
        <f>IF(A75="","",IF($I$4="","",IF($I$2,IF(ISNUMBER(B75),B75,""),IF($I$4="C0",posicao_contratual!G75,IF($I$4="C1",posicao_contratual!K75,IF($I$4="C2",posicao_contratual!O75,IF($I$4="C3",posicao_contratual!S75,IF($I$4="C4",posicao_contratual!W75,""))))))))</f>
        <v/>
      </c>
      <c r="E75" s="219" t="str">
        <f t="shared" si="8"/>
        <v/>
      </c>
      <c r="F75" s="81" t="str">
        <f>IF(A75="","",IF(COUNTIF($A$2:$A$200,A75)&gt;1,"ITEM DUPLICADO",IF($I$4="","POSICAO DE REFERENCIA INDISPONIVEL",IF(AND(B75&lt;&gt;"",NOT(ISNUMBER(B75))),"QTD NAO NUMERICA",IF(AND(ISNUMBER(B75),B75&lt;0),"NEGATIVO NAO PERMITIDO",IF(NOT(ISNUMBER(C75)),"POSICAO CONTRATUAL INDISPONIVEL",IF(OR(AND(posicao_contratual!$Y75&lt;&gt;"",posicao_contratual!$Y75&gt;IFERROR(VALUE(MID($I$4,2,1)),-1)),AND(posicao_contratual!$Z75,ISNUMBER(C75),C75&lt;=0)),"ITEM POSTERIOR A REFERENCIA",IF(D75="","REMANESCENTE DE REFERENCIA INDISPONIVEL",IF(AND(ISNUMBER(D75),ISNUMBER(C75),D75&gt;C75),"REMANESCENTE DE REFERENCIA SUPERA POSICAO CONTRATUAL","OK")))))))))</f>
        <v/>
      </c>
      <c r="K75" s="179" t="str">
        <f>IF(A75="","",itens_Remanesc!C75)</f>
        <v/>
      </c>
      <c r="L75" s="179" t="str">
        <f>IF(A75="","",IF($I$4="C0",posicao_contratual!G75,IF($I$4="C1",posicao_contratual!K75,IF($I$4="C2",posicao_contratual!O75,IF($I$4="C3",posicao_contratual!S75,IF($I$4="C4",posicao_contratual!W75,""))))))</f>
        <v/>
      </c>
      <c r="M75" s="179" t="str">
        <f ca="1">IF(OR(A75="",$I$5="",$I$6=""),"",ROUND(SUMIFS(aditivos!$L$2:$L$200,aditivos!$A$2:$A$200,A75,aditivos!$B$2:$B$200,"&gt;"&amp;$I$6,aditivos!$B$2:$B$200,"&lt;="&amp;$I$5),2))</f>
        <v/>
      </c>
      <c r="N75" s="179" t="str">
        <f t="shared" si="9"/>
        <v/>
      </c>
      <c r="O75" s="179" t="str">
        <f ca="1">IF(OR(A75="",D75="",NOT(ISNUMBER(IF($I$4="C0",historico_VU!C75,IF($I$4="C1",historico_VU!D75,IF($I$4="C2",historico_VU!E75,IF($I$4="C3",historico_VU!F75,IF($I$4="C4",historico_VU!G75,"")))))))),"",ROUND(D75*IF($I$4="C0",historico_VU!C75,IF($I$4="C1",historico_VU!D75,IF($I$4="C2",historico_VU!E75,IF($I$4="C3",historico_VU!F75,IF($I$4="C4",historico_VU!G75,""))))),2))</f>
        <v/>
      </c>
      <c r="P75" s="179" t="str">
        <f ca="1">IF(OR(A75="",N75="",NOT(ISNUMBER(IF($I$4="C0",historico_VU!C75,IF($I$4="C1",historico_VU!D75,IF($I$4="C2",historico_VU!E75,IF($I$4="C3",historico_VU!F75,IF($I$4="C4",historico_VU!G75,"")))))))),"",ROUND(N75*IF($I$4="C0",historico_VU!C75,IF($I$4="C1",historico_VU!D75,IF($I$4="C2",historico_VU!E75,IF($I$4="C3",historico_VU!F75,IF($I$4="C4",historico_VU!G75,""))))),2))</f>
        <v/>
      </c>
      <c r="Q75" s="179" t="str">
        <f t="shared" si="10"/>
        <v/>
      </c>
      <c r="R75" s="179" t="str">
        <f ca="1">IF(OR(A75="",L75="",NOT(ISNUMBER(IF($I$4="C0",historico_VU!C75,IF($I$4="C1",historico_VU!D75,IF($I$4="C2",historico_VU!E75,IF($I$4="C3",historico_VU!F75,IF($I$4="C4",historico_VU!G75,"")))))))),"",ROUND(L75*IF($I$4="C0",historico_VU!C75,IF($I$4="C1",historico_VU!D75,IF($I$4="C2",historico_VU!E75,IF($I$4="C3",historico_VU!F75,IF($I$4="C4",historico_VU!G75,""))))),2))</f>
        <v/>
      </c>
    </row>
    <row r="76" spans="1:18" x14ac:dyDescent="0.35">
      <c r="A76" s="81" t="str">
        <f>IF(itens_Remanesc!A76="","",itens_Remanesc!A76)</f>
        <v/>
      </c>
      <c r="B76" s="217" t="str">
        <f t="shared" ca="1" si="11"/>
        <v/>
      </c>
      <c r="C76" s="218" t="str">
        <f>IF(A76="","",IF($I$5="","POSICAO DE REFERENCIA INDISPONIVEL",ROUND(IF(itens_Remanesc!B76="",0,itens_Remanesc!B76)+SUMIFS(aditivos!$L$2:$L$200,aditivos!$A$2:$A$200,A76,aditivos!$B$2:$B$200,"&lt;="&amp;$I$5),2)))</f>
        <v/>
      </c>
      <c r="D76" s="218" t="str">
        <f>IF(A76="","",IF($I$4="","",IF($I$2,IF(ISNUMBER(B76),B76,""),IF($I$4="C0",posicao_contratual!G76,IF($I$4="C1",posicao_contratual!K76,IF($I$4="C2",posicao_contratual!O76,IF($I$4="C3",posicao_contratual!S76,IF($I$4="C4",posicao_contratual!W76,""))))))))</f>
        <v/>
      </c>
      <c r="E76" s="219" t="str">
        <f t="shared" si="8"/>
        <v/>
      </c>
      <c r="F76" s="81" t="str">
        <f>IF(A76="","",IF(COUNTIF($A$2:$A$200,A76)&gt;1,"ITEM DUPLICADO",IF($I$4="","POSICAO DE REFERENCIA INDISPONIVEL",IF(AND(B76&lt;&gt;"",NOT(ISNUMBER(B76))),"QTD NAO NUMERICA",IF(AND(ISNUMBER(B76),B76&lt;0),"NEGATIVO NAO PERMITIDO",IF(NOT(ISNUMBER(C76)),"POSICAO CONTRATUAL INDISPONIVEL",IF(OR(AND(posicao_contratual!$Y76&lt;&gt;"",posicao_contratual!$Y76&gt;IFERROR(VALUE(MID($I$4,2,1)),-1)),AND(posicao_contratual!$Z76,ISNUMBER(C76),C76&lt;=0)),"ITEM POSTERIOR A REFERENCIA",IF(D76="","REMANESCENTE DE REFERENCIA INDISPONIVEL",IF(AND(ISNUMBER(D76),ISNUMBER(C76),D76&gt;C76),"REMANESCENTE DE REFERENCIA SUPERA POSICAO CONTRATUAL","OK")))))))))</f>
        <v/>
      </c>
      <c r="K76" s="179" t="str">
        <f>IF(A76="","",itens_Remanesc!C76)</f>
        <v/>
      </c>
      <c r="L76" s="179" t="str">
        <f>IF(A76="","",IF($I$4="C0",posicao_contratual!G76,IF($I$4="C1",posicao_contratual!K76,IF($I$4="C2",posicao_contratual!O76,IF($I$4="C3",posicao_contratual!S76,IF($I$4="C4",posicao_contratual!W76,""))))))</f>
        <v/>
      </c>
      <c r="M76" s="179" t="str">
        <f ca="1">IF(OR(A76="",$I$5="",$I$6=""),"",ROUND(SUMIFS(aditivos!$L$2:$L$200,aditivos!$A$2:$A$200,A76,aditivos!$B$2:$B$200,"&gt;"&amp;$I$6,aditivos!$B$2:$B$200,"&lt;="&amp;$I$5),2))</f>
        <v/>
      </c>
      <c r="N76" s="179" t="str">
        <f t="shared" si="9"/>
        <v/>
      </c>
      <c r="O76" s="179" t="str">
        <f ca="1">IF(OR(A76="",D76="",NOT(ISNUMBER(IF($I$4="C0",historico_VU!C76,IF($I$4="C1",historico_VU!D76,IF($I$4="C2",historico_VU!E76,IF($I$4="C3",historico_VU!F76,IF($I$4="C4",historico_VU!G76,"")))))))),"",ROUND(D76*IF($I$4="C0",historico_VU!C76,IF($I$4="C1",historico_VU!D76,IF($I$4="C2",historico_VU!E76,IF($I$4="C3",historico_VU!F76,IF($I$4="C4",historico_VU!G76,""))))),2))</f>
        <v/>
      </c>
      <c r="P76" s="179" t="str">
        <f ca="1">IF(OR(A76="",N76="",NOT(ISNUMBER(IF($I$4="C0",historico_VU!C76,IF($I$4="C1",historico_VU!D76,IF($I$4="C2",historico_VU!E76,IF($I$4="C3",historico_VU!F76,IF($I$4="C4",historico_VU!G76,"")))))))),"",ROUND(N76*IF($I$4="C0",historico_VU!C76,IF($I$4="C1",historico_VU!D76,IF($I$4="C2",historico_VU!E76,IF($I$4="C3",historico_VU!F76,IF($I$4="C4",historico_VU!G76,""))))),2))</f>
        <v/>
      </c>
      <c r="Q76" s="179" t="str">
        <f t="shared" si="10"/>
        <v/>
      </c>
      <c r="R76" s="179" t="str">
        <f ca="1">IF(OR(A76="",L76="",NOT(ISNUMBER(IF($I$4="C0",historico_VU!C76,IF($I$4="C1",historico_VU!D76,IF($I$4="C2",historico_VU!E76,IF($I$4="C3",historico_VU!F76,IF($I$4="C4",historico_VU!G76,"")))))))),"",ROUND(L76*IF($I$4="C0",historico_VU!C76,IF($I$4="C1",historico_VU!D76,IF($I$4="C2",historico_VU!E76,IF($I$4="C3",historico_VU!F76,IF($I$4="C4",historico_VU!G76,""))))),2))</f>
        <v/>
      </c>
    </row>
    <row r="77" spans="1:18" x14ac:dyDescent="0.35">
      <c r="A77" s="81" t="str">
        <f>IF(itens_Remanesc!A77="","",itens_Remanesc!A77)</f>
        <v/>
      </c>
      <c r="B77" s="217" t="str">
        <f t="shared" ca="1" si="11"/>
        <v/>
      </c>
      <c r="C77" s="218" t="str">
        <f>IF(A77="","",IF($I$5="","POSICAO DE REFERENCIA INDISPONIVEL",ROUND(IF(itens_Remanesc!B77="",0,itens_Remanesc!B77)+SUMIFS(aditivos!$L$2:$L$200,aditivos!$A$2:$A$200,A77,aditivos!$B$2:$B$200,"&lt;="&amp;$I$5),2)))</f>
        <v/>
      </c>
      <c r="D77" s="218" t="str">
        <f>IF(A77="","",IF($I$4="","",IF($I$2,IF(ISNUMBER(B77),B77,""),IF($I$4="C0",posicao_contratual!G77,IF($I$4="C1",posicao_contratual!K77,IF($I$4="C2",posicao_contratual!O77,IF($I$4="C3",posicao_contratual!S77,IF($I$4="C4",posicao_contratual!W77,""))))))))</f>
        <v/>
      </c>
      <c r="E77" s="219" t="str">
        <f t="shared" si="8"/>
        <v/>
      </c>
      <c r="F77" s="81" t="str">
        <f>IF(A77="","",IF(COUNTIF($A$2:$A$200,A77)&gt;1,"ITEM DUPLICADO",IF($I$4="","POSICAO DE REFERENCIA INDISPONIVEL",IF(AND(B77&lt;&gt;"",NOT(ISNUMBER(B77))),"QTD NAO NUMERICA",IF(AND(ISNUMBER(B77),B77&lt;0),"NEGATIVO NAO PERMITIDO",IF(NOT(ISNUMBER(C77)),"POSICAO CONTRATUAL INDISPONIVEL",IF(OR(AND(posicao_contratual!$Y77&lt;&gt;"",posicao_contratual!$Y77&gt;IFERROR(VALUE(MID($I$4,2,1)),-1)),AND(posicao_contratual!$Z77,ISNUMBER(C77),C77&lt;=0)),"ITEM POSTERIOR A REFERENCIA",IF(D77="","REMANESCENTE DE REFERENCIA INDISPONIVEL",IF(AND(ISNUMBER(D77),ISNUMBER(C77),D77&gt;C77),"REMANESCENTE DE REFERENCIA SUPERA POSICAO CONTRATUAL","OK")))))))))</f>
        <v/>
      </c>
      <c r="K77" s="179" t="str">
        <f>IF(A77="","",itens_Remanesc!C77)</f>
        <v/>
      </c>
      <c r="L77" s="179" t="str">
        <f>IF(A77="","",IF($I$4="C0",posicao_contratual!G77,IF($I$4="C1",posicao_contratual!K77,IF($I$4="C2",posicao_contratual!O77,IF($I$4="C3",posicao_contratual!S77,IF($I$4="C4",posicao_contratual!W77,""))))))</f>
        <v/>
      </c>
      <c r="M77" s="179" t="str">
        <f ca="1">IF(OR(A77="",$I$5="",$I$6=""),"",ROUND(SUMIFS(aditivos!$L$2:$L$200,aditivos!$A$2:$A$200,A77,aditivos!$B$2:$B$200,"&gt;"&amp;$I$6,aditivos!$B$2:$B$200,"&lt;="&amp;$I$5),2))</f>
        <v/>
      </c>
      <c r="N77" s="179" t="str">
        <f t="shared" si="9"/>
        <v/>
      </c>
      <c r="O77" s="179" t="str">
        <f ca="1">IF(OR(A77="",D77="",NOT(ISNUMBER(IF($I$4="C0",historico_VU!C77,IF($I$4="C1",historico_VU!D77,IF($I$4="C2",historico_VU!E77,IF($I$4="C3",historico_VU!F77,IF($I$4="C4",historico_VU!G77,"")))))))),"",ROUND(D77*IF($I$4="C0",historico_VU!C77,IF($I$4="C1",historico_VU!D77,IF($I$4="C2",historico_VU!E77,IF($I$4="C3",historico_VU!F77,IF($I$4="C4",historico_VU!G77,""))))),2))</f>
        <v/>
      </c>
      <c r="P77" s="179" t="str">
        <f ca="1">IF(OR(A77="",N77="",NOT(ISNUMBER(IF($I$4="C0",historico_VU!C77,IF($I$4="C1",historico_VU!D77,IF($I$4="C2",historico_VU!E77,IF($I$4="C3",historico_VU!F77,IF($I$4="C4",historico_VU!G77,"")))))))),"",ROUND(N77*IF($I$4="C0",historico_VU!C77,IF($I$4="C1",historico_VU!D77,IF($I$4="C2",historico_VU!E77,IF($I$4="C3",historico_VU!F77,IF($I$4="C4",historico_VU!G77,""))))),2))</f>
        <v/>
      </c>
      <c r="Q77" s="179" t="str">
        <f t="shared" si="10"/>
        <v/>
      </c>
      <c r="R77" s="179" t="str">
        <f ca="1">IF(OR(A77="",L77="",NOT(ISNUMBER(IF($I$4="C0",historico_VU!C77,IF($I$4="C1",historico_VU!D77,IF($I$4="C2",historico_VU!E77,IF($I$4="C3",historico_VU!F77,IF($I$4="C4",historico_VU!G77,"")))))))),"",ROUND(L77*IF($I$4="C0",historico_VU!C77,IF($I$4="C1",historico_VU!D77,IF($I$4="C2",historico_VU!E77,IF($I$4="C3",historico_VU!F77,IF($I$4="C4",historico_VU!G77,""))))),2))</f>
        <v/>
      </c>
    </row>
    <row r="78" spans="1:18" x14ac:dyDescent="0.35">
      <c r="A78" s="81" t="str">
        <f>IF(itens_Remanesc!A78="","",itens_Remanesc!A78)</f>
        <v/>
      </c>
      <c r="B78" s="217" t="str">
        <f t="shared" ca="1" si="11"/>
        <v/>
      </c>
      <c r="C78" s="218" t="str">
        <f>IF(A78="","",IF($I$5="","POSICAO DE REFERENCIA INDISPONIVEL",ROUND(IF(itens_Remanesc!B78="",0,itens_Remanesc!B78)+SUMIFS(aditivos!$L$2:$L$200,aditivos!$A$2:$A$200,A78,aditivos!$B$2:$B$200,"&lt;="&amp;$I$5),2)))</f>
        <v/>
      </c>
      <c r="D78" s="218" t="str">
        <f>IF(A78="","",IF($I$4="","",IF($I$2,IF(ISNUMBER(B78),B78,""),IF($I$4="C0",posicao_contratual!G78,IF($I$4="C1",posicao_contratual!K78,IF($I$4="C2",posicao_contratual!O78,IF($I$4="C3",posicao_contratual!S78,IF($I$4="C4",posicao_contratual!W78,""))))))))</f>
        <v/>
      </c>
      <c r="E78" s="219" t="str">
        <f t="shared" si="8"/>
        <v/>
      </c>
      <c r="F78" s="81" t="str">
        <f>IF(A78="","",IF(COUNTIF($A$2:$A$200,A78)&gt;1,"ITEM DUPLICADO",IF($I$4="","POSICAO DE REFERENCIA INDISPONIVEL",IF(AND(B78&lt;&gt;"",NOT(ISNUMBER(B78))),"QTD NAO NUMERICA",IF(AND(ISNUMBER(B78),B78&lt;0),"NEGATIVO NAO PERMITIDO",IF(NOT(ISNUMBER(C78)),"POSICAO CONTRATUAL INDISPONIVEL",IF(OR(AND(posicao_contratual!$Y78&lt;&gt;"",posicao_contratual!$Y78&gt;IFERROR(VALUE(MID($I$4,2,1)),-1)),AND(posicao_contratual!$Z78,ISNUMBER(C78),C78&lt;=0)),"ITEM POSTERIOR A REFERENCIA",IF(D78="","REMANESCENTE DE REFERENCIA INDISPONIVEL",IF(AND(ISNUMBER(D78),ISNUMBER(C78),D78&gt;C78),"REMANESCENTE DE REFERENCIA SUPERA POSICAO CONTRATUAL","OK")))))))))</f>
        <v/>
      </c>
      <c r="K78" s="179" t="str">
        <f>IF(A78="","",itens_Remanesc!C78)</f>
        <v/>
      </c>
      <c r="L78" s="179" t="str">
        <f>IF(A78="","",IF($I$4="C0",posicao_contratual!G78,IF($I$4="C1",posicao_contratual!K78,IF($I$4="C2",posicao_contratual!O78,IF($I$4="C3",posicao_contratual!S78,IF($I$4="C4",posicao_contratual!W78,""))))))</f>
        <v/>
      </c>
      <c r="M78" s="179" t="str">
        <f ca="1">IF(OR(A78="",$I$5="",$I$6=""),"",ROUND(SUMIFS(aditivos!$L$2:$L$200,aditivos!$A$2:$A$200,A78,aditivos!$B$2:$B$200,"&gt;"&amp;$I$6,aditivos!$B$2:$B$200,"&lt;="&amp;$I$5),2))</f>
        <v/>
      </c>
      <c r="N78" s="179" t="str">
        <f t="shared" si="9"/>
        <v/>
      </c>
      <c r="O78" s="179" t="str">
        <f ca="1">IF(OR(A78="",D78="",NOT(ISNUMBER(IF($I$4="C0",historico_VU!C78,IF($I$4="C1",historico_VU!D78,IF($I$4="C2",historico_VU!E78,IF($I$4="C3",historico_VU!F78,IF($I$4="C4",historico_VU!G78,"")))))))),"",ROUND(D78*IF($I$4="C0",historico_VU!C78,IF($I$4="C1",historico_VU!D78,IF($I$4="C2",historico_VU!E78,IF($I$4="C3",historico_VU!F78,IF($I$4="C4",historico_VU!G78,""))))),2))</f>
        <v/>
      </c>
      <c r="P78" s="179" t="str">
        <f ca="1">IF(OR(A78="",N78="",NOT(ISNUMBER(IF($I$4="C0",historico_VU!C78,IF($I$4="C1",historico_VU!D78,IF($I$4="C2",historico_VU!E78,IF($I$4="C3",historico_VU!F78,IF($I$4="C4",historico_VU!G78,"")))))))),"",ROUND(N78*IF($I$4="C0",historico_VU!C78,IF($I$4="C1",historico_VU!D78,IF($I$4="C2",historico_VU!E78,IF($I$4="C3",historico_VU!F78,IF($I$4="C4",historico_VU!G78,""))))),2))</f>
        <v/>
      </c>
      <c r="Q78" s="179" t="str">
        <f t="shared" si="10"/>
        <v/>
      </c>
      <c r="R78" s="179" t="str">
        <f ca="1">IF(OR(A78="",L78="",NOT(ISNUMBER(IF($I$4="C0",historico_VU!C78,IF($I$4="C1",historico_VU!D78,IF($I$4="C2",historico_VU!E78,IF($I$4="C3",historico_VU!F78,IF($I$4="C4",historico_VU!G78,"")))))))),"",ROUND(L78*IF($I$4="C0",historico_VU!C78,IF($I$4="C1",historico_VU!D78,IF($I$4="C2",historico_VU!E78,IF($I$4="C3",historico_VU!F78,IF($I$4="C4",historico_VU!G78,""))))),2))</f>
        <v/>
      </c>
    </row>
    <row r="79" spans="1:18" x14ac:dyDescent="0.35">
      <c r="A79" s="81" t="str">
        <f>IF(itens_Remanesc!A79="","",itens_Remanesc!A79)</f>
        <v/>
      </c>
      <c r="B79" s="217" t="str">
        <f t="shared" ca="1" si="11"/>
        <v/>
      </c>
      <c r="C79" s="218" t="str">
        <f>IF(A79="","",IF($I$5="","POSICAO DE REFERENCIA INDISPONIVEL",ROUND(IF(itens_Remanesc!B79="",0,itens_Remanesc!B79)+SUMIFS(aditivos!$L$2:$L$200,aditivos!$A$2:$A$200,A79,aditivos!$B$2:$B$200,"&lt;="&amp;$I$5),2)))</f>
        <v/>
      </c>
      <c r="D79" s="218" t="str">
        <f>IF(A79="","",IF($I$4="","",IF($I$2,IF(ISNUMBER(B79),B79,""),IF($I$4="C0",posicao_contratual!G79,IF($I$4="C1",posicao_contratual!K79,IF($I$4="C2",posicao_contratual!O79,IF($I$4="C3",posicao_contratual!S79,IF($I$4="C4",posicao_contratual!W79,""))))))))</f>
        <v/>
      </c>
      <c r="E79" s="219" t="str">
        <f t="shared" si="8"/>
        <v/>
      </c>
      <c r="F79" s="81" t="str">
        <f>IF(A79="","",IF(COUNTIF($A$2:$A$200,A79)&gt;1,"ITEM DUPLICADO",IF($I$4="","POSICAO DE REFERENCIA INDISPONIVEL",IF(AND(B79&lt;&gt;"",NOT(ISNUMBER(B79))),"QTD NAO NUMERICA",IF(AND(ISNUMBER(B79),B79&lt;0),"NEGATIVO NAO PERMITIDO",IF(NOT(ISNUMBER(C79)),"POSICAO CONTRATUAL INDISPONIVEL",IF(OR(AND(posicao_contratual!$Y79&lt;&gt;"",posicao_contratual!$Y79&gt;IFERROR(VALUE(MID($I$4,2,1)),-1)),AND(posicao_contratual!$Z79,ISNUMBER(C79),C79&lt;=0)),"ITEM POSTERIOR A REFERENCIA",IF(D79="","REMANESCENTE DE REFERENCIA INDISPONIVEL",IF(AND(ISNUMBER(D79),ISNUMBER(C79),D79&gt;C79),"REMANESCENTE DE REFERENCIA SUPERA POSICAO CONTRATUAL","OK")))))))))</f>
        <v/>
      </c>
      <c r="K79" s="179" t="str">
        <f>IF(A79="","",itens_Remanesc!C79)</f>
        <v/>
      </c>
      <c r="L79" s="179" t="str">
        <f>IF(A79="","",IF($I$4="C0",posicao_contratual!G79,IF($I$4="C1",posicao_contratual!K79,IF($I$4="C2",posicao_contratual!O79,IF($I$4="C3",posicao_contratual!S79,IF($I$4="C4",posicao_contratual!W79,""))))))</f>
        <v/>
      </c>
      <c r="M79" s="179" t="str">
        <f ca="1">IF(OR(A79="",$I$5="",$I$6=""),"",ROUND(SUMIFS(aditivos!$L$2:$L$200,aditivos!$A$2:$A$200,A79,aditivos!$B$2:$B$200,"&gt;"&amp;$I$6,aditivos!$B$2:$B$200,"&lt;="&amp;$I$5),2))</f>
        <v/>
      </c>
      <c r="N79" s="179" t="str">
        <f t="shared" si="9"/>
        <v/>
      </c>
      <c r="O79" s="179" t="str">
        <f ca="1">IF(OR(A79="",D79="",NOT(ISNUMBER(IF($I$4="C0",historico_VU!C79,IF($I$4="C1",historico_VU!D79,IF($I$4="C2",historico_VU!E79,IF($I$4="C3",historico_VU!F79,IF($I$4="C4",historico_VU!G79,"")))))))),"",ROUND(D79*IF($I$4="C0",historico_VU!C79,IF($I$4="C1",historico_VU!D79,IF($I$4="C2",historico_VU!E79,IF($I$4="C3",historico_VU!F79,IF($I$4="C4",historico_VU!G79,""))))),2))</f>
        <v/>
      </c>
      <c r="P79" s="179" t="str">
        <f ca="1">IF(OR(A79="",N79="",NOT(ISNUMBER(IF($I$4="C0",historico_VU!C79,IF($I$4="C1",historico_VU!D79,IF($I$4="C2",historico_VU!E79,IF($I$4="C3",historico_VU!F79,IF($I$4="C4",historico_VU!G79,"")))))))),"",ROUND(N79*IF($I$4="C0",historico_VU!C79,IF($I$4="C1",historico_VU!D79,IF($I$4="C2",historico_VU!E79,IF($I$4="C3",historico_VU!F79,IF($I$4="C4",historico_VU!G79,""))))),2))</f>
        <v/>
      </c>
      <c r="Q79" s="179" t="str">
        <f t="shared" si="10"/>
        <v/>
      </c>
      <c r="R79" s="179" t="str">
        <f ca="1">IF(OR(A79="",L79="",NOT(ISNUMBER(IF($I$4="C0",historico_VU!C79,IF($I$4="C1",historico_VU!D79,IF($I$4="C2",historico_VU!E79,IF($I$4="C3",historico_VU!F79,IF($I$4="C4",historico_VU!G79,"")))))))),"",ROUND(L79*IF($I$4="C0",historico_VU!C79,IF($I$4="C1",historico_VU!D79,IF($I$4="C2",historico_VU!E79,IF($I$4="C3",historico_VU!F79,IF($I$4="C4",historico_VU!G79,""))))),2))</f>
        <v/>
      </c>
    </row>
    <row r="80" spans="1:18" x14ac:dyDescent="0.35">
      <c r="A80" s="81" t="str">
        <f>IF(itens_Remanesc!A80="","",itens_Remanesc!A80)</f>
        <v/>
      </c>
      <c r="B80" s="217" t="str">
        <f t="shared" ca="1" si="11"/>
        <v/>
      </c>
      <c r="C80" s="218" t="str">
        <f>IF(A80="","",IF($I$5="","POSICAO DE REFERENCIA INDISPONIVEL",ROUND(IF(itens_Remanesc!B80="",0,itens_Remanesc!B80)+SUMIFS(aditivos!$L$2:$L$200,aditivos!$A$2:$A$200,A80,aditivos!$B$2:$B$200,"&lt;="&amp;$I$5),2)))</f>
        <v/>
      </c>
      <c r="D80" s="218" t="str">
        <f>IF(A80="","",IF($I$4="","",IF($I$2,IF(ISNUMBER(B80),B80,""),IF($I$4="C0",posicao_contratual!G80,IF($I$4="C1",posicao_contratual!K80,IF($I$4="C2",posicao_contratual!O80,IF($I$4="C3",posicao_contratual!S80,IF($I$4="C4",posicao_contratual!W80,""))))))))</f>
        <v/>
      </c>
      <c r="E80" s="219" t="str">
        <f t="shared" si="8"/>
        <v/>
      </c>
      <c r="F80" s="81" t="str">
        <f>IF(A80="","",IF(COUNTIF($A$2:$A$200,A80)&gt;1,"ITEM DUPLICADO",IF($I$4="","POSICAO DE REFERENCIA INDISPONIVEL",IF(AND(B80&lt;&gt;"",NOT(ISNUMBER(B80))),"QTD NAO NUMERICA",IF(AND(ISNUMBER(B80),B80&lt;0),"NEGATIVO NAO PERMITIDO",IF(NOT(ISNUMBER(C80)),"POSICAO CONTRATUAL INDISPONIVEL",IF(OR(AND(posicao_contratual!$Y80&lt;&gt;"",posicao_contratual!$Y80&gt;IFERROR(VALUE(MID($I$4,2,1)),-1)),AND(posicao_contratual!$Z80,ISNUMBER(C80),C80&lt;=0)),"ITEM POSTERIOR A REFERENCIA",IF(D80="","REMANESCENTE DE REFERENCIA INDISPONIVEL",IF(AND(ISNUMBER(D80),ISNUMBER(C80),D80&gt;C80),"REMANESCENTE DE REFERENCIA SUPERA POSICAO CONTRATUAL","OK")))))))))</f>
        <v/>
      </c>
      <c r="K80" s="179" t="str">
        <f>IF(A80="","",itens_Remanesc!C80)</f>
        <v/>
      </c>
      <c r="L80" s="179" t="str">
        <f>IF(A80="","",IF($I$4="C0",posicao_contratual!G80,IF($I$4="C1",posicao_contratual!K80,IF($I$4="C2",posicao_contratual!O80,IF($I$4="C3",posicao_contratual!S80,IF($I$4="C4",posicao_contratual!W80,""))))))</f>
        <v/>
      </c>
      <c r="M80" s="179" t="str">
        <f ca="1">IF(OR(A80="",$I$5="",$I$6=""),"",ROUND(SUMIFS(aditivos!$L$2:$L$200,aditivos!$A$2:$A$200,A80,aditivos!$B$2:$B$200,"&gt;"&amp;$I$6,aditivos!$B$2:$B$200,"&lt;="&amp;$I$5),2))</f>
        <v/>
      </c>
      <c r="N80" s="179" t="str">
        <f t="shared" si="9"/>
        <v/>
      </c>
      <c r="O80" s="179" t="str">
        <f ca="1">IF(OR(A80="",D80="",NOT(ISNUMBER(IF($I$4="C0",historico_VU!C80,IF($I$4="C1",historico_VU!D80,IF($I$4="C2",historico_VU!E80,IF($I$4="C3",historico_VU!F80,IF($I$4="C4",historico_VU!G80,"")))))))),"",ROUND(D80*IF($I$4="C0",historico_VU!C80,IF($I$4="C1",historico_VU!D80,IF($I$4="C2",historico_VU!E80,IF($I$4="C3",historico_VU!F80,IF($I$4="C4",historico_VU!G80,""))))),2))</f>
        <v/>
      </c>
      <c r="P80" s="179" t="str">
        <f ca="1">IF(OR(A80="",N80="",NOT(ISNUMBER(IF($I$4="C0",historico_VU!C80,IF($I$4="C1",historico_VU!D80,IF($I$4="C2",historico_VU!E80,IF($I$4="C3",historico_VU!F80,IF($I$4="C4",historico_VU!G80,"")))))))),"",ROUND(N80*IF($I$4="C0",historico_VU!C80,IF($I$4="C1",historico_VU!D80,IF($I$4="C2",historico_VU!E80,IF($I$4="C3",historico_VU!F80,IF($I$4="C4",historico_VU!G80,""))))),2))</f>
        <v/>
      </c>
      <c r="Q80" s="179" t="str">
        <f t="shared" si="10"/>
        <v/>
      </c>
      <c r="R80" s="179" t="str">
        <f ca="1">IF(OR(A80="",L80="",NOT(ISNUMBER(IF($I$4="C0",historico_VU!C80,IF($I$4="C1",historico_VU!D80,IF($I$4="C2",historico_VU!E80,IF($I$4="C3",historico_VU!F80,IF($I$4="C4",historico_VU!G80,"")))))))),"",ROUND(L80*IF($I$4="C0",historico_VU!C80,IF($I$4="C1",historico_VU!D80,IF($I$4="C2",historico_VU!E80,IF($I$4="C3",historico_VU!F80,IF($I$4="C4",historico_VU!G80,""))))),2))</f>
        <v/>
      </c>
    </row>
    <row r="81" spans="1:18" x14ac:dyDescent="0.35">
      <c r="A81" s="81" t="str">
        <f>IF(itens_Remanesc!A81="","",itens_Remanesc!A81)</f>
        <v/>
      </c>
      <c r="B81" s="217" t="str">
        <f t="shared" ca="1" si="11"/>
        <v/>
      </c>
      <c r="C81" s="218" t="str">
        <f>IF(A81="","",IF($I$5="","POSICAO DE REFERENCIA INDISPONIVEL",ROUND(IF(itens_Remanesc!B81="",0,itens_Remanesc!B81)+SUMIFS(aditivos!$L$2:$L$200,aditivos!$A$2:$A$200,A81,aditivos!$B$2:$B$200,"&lt;="&amp;$I$5),2)))</f>
        <v/>
      </c>
      <c r="D81" s="218" t="str">
        <f>IF(A81="","",IF($I$4="","",IF($I$2,IF(ISNUMBER(B81),B81,""),IF($I$4="C0",posicao_contratual!G81,IF($I$4="C1",posicao_contratual!K81,IF($I$4="C2",posicao_contratual!O81,IF($I$4="C3",posicao_contratual!S81,IF($I$4="C4",posicao_contratual!W81,""))))))))</f>
        <v/>
      </c>
      <c r="E81" s="219" t="str">
        <f t="shared" si="8"/>
        <v/>
      </c>
      <c r="F81" s="81" t="str">
        <f>IF(A81="","",IF(COUNTIF($A$2:$A$200,A81)&gt;1,"ITEM DUPLICADO",IF($I$4="","POSICAO DE REFERENCIA INDISPONIVEL",IF(AND(B81&lt;&gt;"",NOT(ISNUMBER(B81))),"QTD NAO NUMERICA",IF(AND(ISNUMBER(B81),B81&lt;0),"NEGATIVO NAO PERMITIDO",IF(NOT(ISNUMBER(C81)),"POSICAO CONTRATUAL INDISPONIVEL",IF(OR(AND(posicao_contratual!$Y81&lt;&gt;"",posicao_contratual!$Y81&gt;IFERROR(VALUE(MID($I$4,2,1)),-1)),AND(posicao_contratual!$Z81,ISNUMBER(C81),C81&lt;=0)),"ITEM POSTERIOR A REFERENCIA",IF(D81="","REMANESCENTE DE REFERENCIA INDISPONIVEL",IF(AND(ISNUMBER(D81),ISNUMBER(C81),D81&gt;C81),"REMANESCENTE DE REFERENCIA SUPERA POSICAO CONTRATUAL","OK")))))))))</f>
        <v/>
      </c>
      <c r="K81" s="179" t="str">
        <f>IF(A81="","",itens_Remanesc!C81)</f>
        <v/>
      </c>
      <c r="L81" s="179" t="str">
        <f>IF(A81="","",IF($I$4="C0",posicao_contratual!G81,IF($I$4="C1",posicao_contratual!K81,IF($I$4="C2",posicao_contratual!O81,IF($I$4="C3",posicao_contratual!S81,IF($I$4="C4",posicao_contratual!W81,""))))))</f>
        <v/>
      </c>
      <c r="M81" s="179" t="str">
        <f ca="1">IF(OR(A81="",$I$5="",$I$6=""),"",ROUND(SUMIFS(aditivos!$L$2:$L$200,aditivos!$A$2:$A$200,A81,aditivos!$B$2:$B$200,"&gt;"&amp;$I$6,aditivos!$B$2:$B$200,"&lt;="&amp;$I$5),2))</f>
        <v/>
      </c>
      <c r="N81" s="179" t="str">
        <f t="shared" si="9"/>
        <v/>
      </c>
      <c r="O81" s="179" t="str">
        <f ca="1">IF(OR(A81="",D81="",NOT(ISNUMBER(IF($I$4="C0",historico_VU!C81,IF($I$4="C1",historico_VU!D81,IF($I$4="C2",historico_VU!E81,IF($I$4="C3",historico_VU!F81,IF($I$4="C4",historico_VU!G81,"")))))))),"",ROUND(D81*IF($I$4="C0",historico_VU!C81,IF($I$4="C1",historico_VU!D81,IF($I$4="C2",historico_VU!E81,IF($I$4="C3",historico_VU!F81,IF($I$4="C4",historico_VU!G81,""))))),2))</f>
        <v/>
      </c>
      <c r="P81" s="179" t="str">
        <f ca="1">IF(OR(A81="",N81="",NOT(ISNUMBER(IF($I$4="C0",historico_VU!C81,IF($I$4="C1",historico_VU!D81,IF($I$4="C2",historico_VU!E81,IF($I$4="C3",historico_VU!F81,IF($I$4="C4",historico_VU!G81,"")))))))),"",ROUND(N81*IF($I$4="C0",historico_VU!C81,IF($I$4="C1",historico_VU!D81,IF($I$4="C2",historico_VU!E81,IF($I$4="C3",historico_VU!F81,IF($I$4="C4",historico_VU!G81,""))))),2))</f>
        <v/>
      </c>
      <c r="Q81" s="179" t="str">
        <f t="shared" si="10"/>
        <v/>
      </c>
      <c r="R81" s="179" t="str">
        <f ca="1">IF(OR(A81="",L81="",NOT(ISNUMBER(IF($I$4="C0",historico_VU!C81,IF($I$4="C1",historico_VU!D81,IF($I$4="C2",historico_VU!E81,IF($I$4="C3",historico_VU!F81,IF($I$4="C4",historico_VU!G81,"")))))))),"",ROUND(L81*IF($I$4="C0",historico_VU!C81,IF($I$4="C1",historico_VU!D81,IF($I$4="C2",historico_VU!E81,IF($I$4="C3",historico_VU!F81,IF($I$4="C4",historico_VU!G81,""))))),2))</f>
        <v/>
      </c>
    </row>
    <row r="82" spans="1:18" x14ac:dyDescent="0.35">
      <c r="A82" s="81" t="str">
        <f>IF(itens_Remanesc!A82="","",itens_Remanesc!A82)</f>
        <v/>
      </c>
      <c r="B82" s="217" t="str">
        <f t="shared" ca="1" si="11"/>
        <v/>
      </c>
      <c r="C82" s="218" t="str">
        <f>IF(A82="","",IF($I$5="","POSICAO DE REFERENCIA INDISPONIVEL",ROUND(IF(itens_Remanesc!B82="",0,itens_Remanesc!B82)+SUMIFS(aditivos!$L$2:$L$200,aditivos!$A$2:$A$200,A82,aditivos!$B$2:$B$200,"&lt;="&amp;$I$5),2)))</f>
        <v/>
      </c>
      <c r="D82" s="218" t="str">
        <f>IF(A82="","",IF($I$4="","",IF($I$2,IF(ISNUMBER(B82),B82,""),IF($I$4="C0",posicao_contratual!G82,IF($I$4="C1",posicao_contratual!K82,IF($I$4="C2",posicao_contratual!O82,IF($I$4="C3",posicao_contratual!S82,IF($I$4="C4",posicao_contratual!W82,""))))))))</f>
        <v/>
      </c>
      <c r="E82" s="219" t="str">
        <f t="shared" si="8"/>
        <v/>
      </c>
      <c r="F82" s="81" t="str">
        <f>IF(A82="","",IF(COUNTIF($A$2:$A$200,A82)&gt;1,"ITEM DUPLICADO",IF($I$4="","POSICAO DE REFERENCIA INDISPONIVEL",IF(AND(B82&lt;&gt;"",NOT(ISNUMBER(B82))),"QTD NAO NUMERICA",IF(AND(ISNUMBER(B82),B82&lt;0),"NEGATIVO NAO PERMITIDO",IF(NOT(ISNUMBER(C82)),"POSICAO CONTRATUAL INDISPONIVEL",IF(OR(AND(posicao_contratual!$Y82&lt;&gt;"",posicao_contratual!$Y82&gt;IFERROR(VALUE(MID($I$4,2,1)),-1)),AND(posicao_contratual!$Z82,ISNUMBER(C82),C82&lt;=0)),"ITEM POSTERIOR A REFERENCIA",IF(D82="","REMANESCENTE DE REFERENCIA INDISPONIVEL",IF(AND(ISNUMBER(D82),ISNUMBER(C82),D82&gt;C82),"REMANESCENTE DE REFERENCIA SUPERA POSICAO CONTRATUAL","OK")))))))))</f>
        <v/>
      </c>
      <c r="K82" s="179" t="str">
        <f>IF(A82="","",itens_Remanesc!C82)</f>
        <v/>
      </c>
      <c r="L82" s="179" t="str">
        <f>IF(A82="","",IF($I$4="C0",posicao_contratual!G82,IF($I$4="C1",posicao_contratual!K82,IF($I$4="C2",posicao_contratual!O82,IF($I$4="C3",posicao_contratual!S82,IF($I$4="C4",posicao_contratual!W82,""))))))</f>
        <v/>
      </c>
      <c r="M82" s="179" t="str">
        <f ca="1">IF(OR(A82="",$I$5="",$I$6=""),"",ROUND(SUMIFS(aditivos!$L$2:$L$200,aditivos!$A$2:$A$200,A82,aditivos!$B$2:$B$200,"&gt;"&amp;$I$6,aditivos!$B$2:$B$200,"&lt;="&amp;$I$5),2))</f>
        <v/>
      </c>
      <c r="N82" s="179" t="str">
        <f t="shared" si="9"/>
        <v/>
      </c>
      <c r="O82" s="179" t="str">
        <f ca="1">IF(OR(A82="",D82="",NOT(ISNUMBER(IF($I$4="C0",historico_VU!C82,IF($I$4="C1",historico_VU!D82,IF($I$4="C2",historico_VU!E82,IF($I$4="C3",historico_VU!F82,IF($I$4="C4",historico_VU!G82,"")))))))),"",ROUND(D82*IF($I$4="C0",historico_VU!C82,IF($I$4="C1",historico_VU!D82,IF($I$4="C2",historico_VU!E82,IF($I$4="C3",historico_VU!F82,IF($I$4="C4",historico_VU!G82,""))))),2))</f>
        <v/>
      </c>
      <c r="P82" s="179" t="str">
        <f ca="1">IF(OR(A82="",N82="",NOT(ISNUMBER(IF($I$4="C0",historico_VU!C82,IF($I$4="C1",historico_VU!D82,IF($I$4="C2",historico_VU!E82,IF($I$4="C3",historico_VU!F82,IF($I$4="C4",historico_VU!G82,"")))))))),"",ROUND(N82*IF($I$4="C0",historico_VU!C82,IF($I$4="C1",historico_VU!D82,IF($I$4="C2",historico_VU!E82,IF($I$4="C3",historico_VU!F82,IF($I$4="C4",historico_VU!G82,""))))),2))</f>
        <v/>
      </c>
      <c r="Q82" s="179" t="str">
        <f t="shared" si="10"/>
        <v/>
      </c>
      <c r="R82" s="179" t="str">
        <f ca="1">IF(OR(A82="",L82="",NOT(ISNUMBER(IF($I$4="C0",historico_VU!C82,IF($I$4="C1",historico_VU!D82,IF($I$4="C2",historico_VU!E82,IF($I$4="C3",historico_VU!F82,IF($I$4="C4",historico_VU!G82,"")))))))),"",ROUND(L82*IF($I$4="C0",historico_VU!C82,IF($I$4="C1",historico_VU!D82,IF($I$4="C2",historico_VU!E82,IF($I$4="C3",historico_VU!F82,IF($I$4="C4",historico_VU!G82,""))))),2))</f>
        <v/>
      </c>
    </row>
    <row r="83" spans="1:18" x14ac:dyDescent="0.35">
      <c r="A83" s="81" t="str">
        <f>IF(itens_Remanesc!A83="","",itens_Remanesc!A83)</f>
        <v/>
      </c>
      <c r="B83" s="217" t="str">
        <f t="shared" ca="1" si="11"/>
        <v/>
      </c>
      <c r="C83" s="218" t="str">
        <f>IF(A83="","",IF($I$5="","POSICAO DE REFERENCIA INDISPONIVEL",ROUND(IF(itens_Remanesc!B83="",0,itens_Remanesc!B83)+SUMIFS(aditivos!$L$2:$L$200,aditivos!$A$2:$A$200,A83,aditivos!$B$2:$B$200,"&lt;="&amp;$I$5),2)))</f>
        <v/>
      </c>
      <c r="D83" s="218" t="str">
        <f>IF(A83="","",IF($I$4="","",IF($I$2,IF(ISNUMBER(B83),B83,""),IF($I$4="C0",posicao_contratual!G83,IF($I$4="C1",posicao_contratual!K83,IF($I$4="C2",posicao_contratual!O83,IF($I$4="C3",posicao_contratual!S83,IF($I$4="C4",posicao_contratual!W83,""))))))))</f>
        <v/>
      </c>
      <c r="E83" s="219" t="str">
        <f t="shared" si="8"/>
        <v/>
      </c>
      <c r="F83" s="81" t="str">
        <f>IF(A83="","",IF(COUNTIF($A$2:$A$200,A83)&gt;1,"ITEM DUPLICADO",IF($I$4="","POSICAO DE REFERENCIA INDISPONIVEL",IF(AND(B83&lt;&gt;"",NOT(ISNUMBER(B83))),"QTD NAO NUMERICA",IF(AND(ISNUMBER(B83),B83&lt;0),"NEGATIVO NAO PERMITIDO",IF(NOT(ISNUMBER(C83)),"POSICAO CONTRATUAL INDISPONIVEL",IF(OR(AND(posicao_contratual!$Y83&lt;&gt;"",posicao_contratual!$Y83&gt;IFERROR(VALUE(MID($I$4,2,1)),-1)),AND(posicao_contratual!$Z83,ISNUMBER(C83),C83&lt;=0)),"ITEM POSTERIOR A REFERENCIA",IF(D83="","REMANESCENTE DE REFERENCIA INDISPONIVEL",IF(AND(ISNUMBER(D83),ISNUMBER(C83),D83&gt;C83),"REMANESCENTE DE REFERENCIA SUPERA POSICAO CONTRATUAL","OK")))))))))</f>
        <v/>
      </c>
      <c r="K83" s="179" t="str">
        <f>IF(A83="","",itens_Remanesc!C83)</f>
        <v/>
      </c>
      <c r="L83" s="179" t="str">
        <f>IF(A83="","",IF($I$4="C0",posicao_contratual!G83,IF($I$4="C1",posicao_contratual!K83,IF($I$4="C2",posicao_contratual!O83,IF($I$4="C3",posicao_contratual!S83,IF($I$4="C4",posicao_contratual!W83,""))))))</f>
        <v/>
      </c>
      <c r="M83" s="179" t="str">
        <f ca="1">IF(OR(A83="",$I$5="",$I$6=""),"",ROUND(SUMIFS(aditivos!$L$2:$L$200,aditivos!$A$2:$A$200,A83,aditivos!$B$2:$B$200,"&gt;"&amp;$I$6,aditivos!$B$2:$B$200,"&lt;="&amp;$I$5),2))</f>
        <v/>
      </c>
      <c r="N83" s="179" t="str">
        <f t="shared" si="9"/>
        <v/>
      </c>
      <c r="O83" s="179" t="str">
        <f ca="1">IF(OR(A83="",D83="",NOT(ISNUMBER(IF($I$4="C0",historico_VU!C83,IF($I$4="C1",historico_VU!D83,IF($I$4="C2",historico_VU!E83,IF($I$4="C3",historico_VU!F83,IF($I$4="C4",historico_VU!G83,"")))))))),"",ROUND(D83*IF($I$4="C0",historico_VU!C83,IF($I$4="C1",historico_VU!D83,IF($I$4="C2",historico_VU!E83,IF($I$4="C3",historico_VU!F83,IF($I$4="C4",historico_VU!G83,""))))),2))</f>
        <v/>
      </c>
      <c r="P83" s="179" t="str">
        <f ca="1">IF(OR(A83="",N83="",NOT(ISNUMBER(IF($I$4="C0",historico_VU!C83,IF($I$4="C1",historico_VU!D83,IF($I$4="C2",historico_VU!E83,IF($I$4="C3",historico_VU!F83,IF($I$4="C4",historico_VU!G83,"")))))))),"",ROUND(N83*IF($I$4="C0",historico_VU!C83,IF($I$4="C1",historico_VU!D83,IF($I$4="C2",historico_VU!E83,IF($I$4="C3",historico_VU!F83,IF($I$4="C4",historico_VU!G83,""))))),2))</f>
        <v/>
      </c>
      <c r="Q83" s="179" t="str">
        <f t="shared" si="10"/>
        <v/>
      </c>
      <c r="R83" s="179" t="str">
        <f ca="1">IF(OR(A83="",L83="",NOT(ISNUMBER(IF($I$4="C0",historico_VU!C83,IF($I$4="C1",historico_VU!D83,IF($I$4="C2",historico_VU!E83,IF($I$4="C3",historico_VU!F83,IF($I$4="C4",historico_VU!G83,"")))))))),"",ROUND(L83*IF($I$4="C0",historico_VU!C83,IF($I$4="C1",historico_VU!D83,IF($I$4="C2",historico_VU!E83,IF($I$4="C3",historico_VU!F83,IF($I$4="C4",historico_VU!G83,""))))),2))</f>
        <v/>
      </c>
    </row>
    <row r="84" spans="1:18" x14ac:dyDescent="0.35">
      <c r="A84" s="81" t="str">
        <f>IF(itens_Remanesc!A84="","",itens_Remanesc!A84)</f>
        <v/>
      </c>
      <c r="B84" s="217" t="str">
        <f t="shared" ca="1" si="11"/>
        <v/>
      </c>
      <c r="C84" s="218" t="str">
        <f>IF(A84="","",IF($I$5="","POSICAO DE REFERENCIA INDISPONIVEL",ROUND(IF(itens_Remanesc!B84="",0,itens_Remanesc!B84)+SUMIFS(aditivos!$L$2:$L$200,aditivos!$A$2:$A$200,A84,aditivos!$B$2:$B$200,"&lt;="&amp;$I$5),2)))</f>
        <v/>
      </c>
      <c r="D84" s="218" t="str">
        <f>IF(A84="","",IF($I$4="","",IF($I$2,IF(ISNUMBER(B84),B84,""),IF($I$4="C0",posicao_contratual!G84,IF($I$4="C1",posicao_contratual!K84,IF($I$4="C2",posicao_contratual!O84,IF($I$4="C3",posicao_contratual!S84,IF($I$4="C4",posicao_contratual!W84,""))))))))</f>
        <v/>
      </c>
      <c r="E84" s="219" t="str">
        <f t="shared" si="8"/>
        <v/>
      </c>
      <c r="F84" s="81" t="str">
        <f>IF(A84="","",IF(COUNTIF($A$2:$A$200,A84)&gt;1,"ITEM DUPLICADO",IF($I$4="","POSICAO DE REFERENCIA INDISPONIVEL",IF(AND(B84&lt;&gt;"",NOT(ISNUMBER(B84))),"QTD NAO NUMERICA",IF(AND(ISNUMBER(B84),B84&lt;0),"NEGATIVO NAO PERMITIDO",IF(NOT(ISNUMBER(C84)),"POSICAO CONTRATUAL INDISPONIVEL",IF(OR(AND(posicao_contratual!$Y84&lt;&gt;"",posicao_contratual!$Y84&gt;IFERROR(VALUE(MID($I$4,2,1)),-1)),AND(posicao_contratual!$Z84,ISNUMBER(C84),C84&lt;=0)),"ITEM POSTERIOR A REFERENCIA",IF(D84="","REMANESCENTE DE REFERENCIA INDISPONIVEL",IF(AND(ISNUMBER(D84),ISNUMBER(C84),D84&gt;C84),"REMANESCENTE DE REFERENCIA SUPERA POSICAO CONTRATUAL","OK")))))))))</f>
        <v/>
      </c>
      <c r="K84" s="179" t="str">
        <f>IF(A84="","",itens_Remanesc!C84)</f>
        <v/>
      </c>
      <c r="L84" s="179" t="str">
        <f>IF(A84="","",IF($I$4="C0",posicao_contratual!G84,IF($I$4="C1",posicao_contratual!K84,IF($I$4="C2",posicao_contratual!O84,IF($I$4="C3",posicao_contratual!S84,IF($I$4="C4",posicao_contratual!W84,""))))))</f>
        <v/>
      </c>
      <c r="M84" s="179" t="str">
        <f ca="1">IF(OR(A84="",$I$5="",$I$6=""),"",ROUND(SUMIFS(aditivos!$L$2:$L$200,aditivos!$A$2:$A$200,A84,aditivos!$B$2:$B$200,"&gt;"&amp;$I$6,aditivos!$B$2:$B$200,"&lt;="&amp;$I$5),2))</f>
        <v/>
      </c>
      <c r="N84" s="179" t="str">
        <f t="shared" si="9"/>
        <v/>
      </c>
      <c r="O84" s="179" t="str">
        <f ca="1">IF(OR(A84="",D84="",NOT(ISNUMBER(IF($I$4="C0",historico_VU!C84,IF($I$4="C1",historico_VU!D84,IF($I$4="C2",historico_VU!E84,IF($I$4="C3",historico_VU!F84,IF($I$4="C4",historico_VU!G84,"")))))))),"",ROUND(D84*IF($I$4="C0",historico_VU!C84,IF($I$4="C1",historico_VU!D84,IF($I$4="C2",historico_VU!E84,IF($I$4="C3",historico_VU!F84,IF($I$4="C4",historico_VU!G84,""))))),2))</f>
        <v/>
      </c>
      <c r="P84" s="179" t="str">
        <f ca="1">IF(OR(A84="",N84="",NOT(ISNUMBER(IF($I$4="C0",historico_VU!C84,IF($I$4="C1",historico_VU!D84,IF($I$4="C2",historico_VU!E84,IF($I$4="C3",historico_VU!F84,IF($I$4="C4",historico_VU!G84,"")))))))),"",ROUND(N84*IF($I$4="C0",historico_VU!C84,IF($I$4="C1",historico_VU!D84,IF($I$4="C2",historico_VU!E84,IF($I$4="C3",historico_VU!F84,IF($I$4="C4",historico_VU!G84,""))))),2))</f>
        <v/>
      </c>
      <c r="Q84" s="179" t="str">
        <f t="shared" si="10"/>
        <v/>
      </c>
      <c r="R84" s="179" t="str">
        <f ca="1">IF(OR(A84="",L84="",NOT(ISNUMBER(IF($I$4="C0",historico_VU!C84,IF($I$4="C1",historico_VU!D84,IF($I$4="C2",historico_VU!E84,IF($I$4="C3",historico_VU!F84,IF($I$4="C4",historico_VU!G84,"")))))))),"",ROUND(L84*IF($I$4="C0",historico_VU!C84,IF($I$4="C1",historico_VU!D84,IF($I$4="C2",historico_VU!E84,IF($I$4="C3",historico_VU!F84,IF($I$4="C4",historico_VU!G84,""))))),2))</f>
        <v/>
      </c>
    </row>
    <row r="85" spans="1:18" x14ac:dyDescent="0.35">
      <c r="A85" s="81" t="str">
        <f>IF(itens_Remanesc!A85="","",itens_Remanesc!A85)</f>
        <v/>
      </c>
      <c r="B85" s="217" t="str">
        <f t="shared" ca="1" si="11"/>
        <v/>
      </c>
      <c r="C85" s="218" t="str">
        <f>IF(A85="","",IF($I$5="","POSICAO DE REFERENCIA INDISPONIVEL",ROUND(IF(itens_Remanesc!B85="",0,itens_Remanesc!B85)+SUMIFS(aditivos!$L$2:$L$200,aditivos!$A$2:$A$200,A85,aditivos!$B$2:$B$200,"&lt;="&amp;$I$5),2)))</f>
        <v/>
      </c>
      <c r="D85" s="218" t="str">
        <f>IF(A85="","",IF($I$4="","",IF($I$2,IF(ISNUMBER(B85),B85,""),IF($I$4="C0",posicao_contratual!G85,IF($I$4="C1",posicao_contratual!K85,IF($I$4="C2",posicao_contratual!O85,IF($I$4="C3",posicao_contratual!S85,IF($I$4="C4",posicao_contratual!W85,""))))))))</f>
        <v/>
      </c>
      <c r="E85" s="219" t="str">
        <f t="shared" si="8"/>
        <v/>
      </c>
      <c r="F85" s="81" t="str">
        <f>IF(A85="","",IF(COUNTIF($A$2:$A$200,A85)&gt;1,"ITEM DUPLICADO",IF($I$4="","POSICAO DE REFERENCIA INDISPONIVEL",IF(AND(B85&lt;&gt;"",NOT(ISNUMBER(B85))),"QTD NAO NUMERICA",IF(AND(ISNUMBER(B85),B85&lt;0),"NEGATIVO NAO PERMITIDO",IF(NOT(ISNUMBER(C85)),"POSICAO CONTRATUAL INDISPONIVEL",IF(OR(AND(posicao_contratual!$Y85&lt;&gt;"",posicao_contratual!$Y85&gt;IFERROR(VALUE(MID($I$4,2,1)),-1)),AND(posicao_contratual!$Z85,ISNUMBER(C85),C85&lt;=0)),"ITEM POSTERIOR A REFERENCIA",IF(D85="","REMANESCENTE DE REFERENCIA INDISPONIVEL",IF(AND(ISNUMBER(D85),ISNUMBER(C85),D85&gt;C85),"REMANESCENTE DE REFERENCIA SUPERA POSICAO CONTRATUAL","OK")))))))))</f>
        <v/>
      </c>
      <c r="K85" s="179" t="str">
        <f>IF(A85="","",itens_Remanesc!C85)</f>
        <v/>
      </c>
      <c r="L85" s="179" t="str">
        <f>IF(A85="","",IF($I$4="C0",posicao_contratual!G85,IF($I$4="C1",posicao_contratual!K85,IF($I$4="C2",posicao_contratual!O85,IF($I$4="C3",posicao_contratual!S85,IF($I$4="C4",posicao_contratual!W85,""))))))</f>
        <v/>
      </c>
      <c r="M85" s="179" t="str">
        <f ca="1">IF(OR(A85="",$I$5="",$I$6=""),"",ROUND(SUMIFS(aditivos!$L$2:$L$200,aditivos!$A$2:$A$200,A85,aditivos!$B$2:$B$200,"&gt;"&amp;$I$6,aditivos!$B$2:$B$200,"&lt;="&amp;$I$5),2))</f>
        <v/>
      </c>
      <c r="N85" s="179" t="str">
        <f t="shared" si="9"/>
        <v/>
      </c>
      <c r="O85" s="179" t="str">
        <f ca="1">IF(OR(A85="",D85="",NOT(ISNUMBER(IF($I$4="C0",historico_VU!C85,IF($I$4="C1",historico_VU!D85,IF($I$4="C2",historico_VU!E85,IF($I$4="C3",historico_VU!F85,IF($I$4="C4",historico_VU!G85,"")))))))),"",ROUND(D85*IF($I$4="C0",historico_VU!C85,IF($I$4="C1",historico_VU!D85,IF($I$4="C2",historico_VU!E85,IF($I$4="C3",historico_VU!F85,IF($I$4="C4",historico_VU!G85,""))))),2))</f>
        <v/>
      </c>
      <c r="P85" s="179" t="str">
        <f ca="1">IF(OR(A85="",N85="",NOT(ISNUMBER(IF($I$4="C0",historico_VU!C85,IF($I$4="C1",historico_VU!D85,IF($I$4="C2",historico_VU!E85,IF($I$4="C3",historico_VU!F85,IF($I$4="C4",historico_VU!G85,"")))))))),"",ROUND(N85*IF($I$4="C0",historico_VU!C85,IF($I$4="C1",historico_VU!D85,IF($I$4="C2",historico_VU!E85,IF($I$4="C3",historico_VU!F85,IF($I$4="C4",historico_VU!G85,""))))),2))</f>
        <v/>
      </c>
      <c r="Q85" s="179" t="str">
        <f t="shared" si="10"/>
        <v/>
      </c>
      <c r="R85" s="179" t="str">
        <f ca="1">IF(OR(A85="",L85="",NOT(ISNUMBER(IF($I$4="C0",historico_VU!C85,IF($I$4="C1",historico_VU!D85,IF($I$4="C2",historico_VU!E85,IF($I$4="C3",historico_VU!F85,IF($I$4="C4",historico_VU!G85,"")))))))),"",ROUND(L85*IF($I$4="C0",historico_VU!C85,IF($I$4="C1",historico_VU!D85,IF($I$4="C2",historico_VU!E85,IF($I$4="C3",historico_VU!F85,IF($I$4="C4",historico_VU!G85,""))))),2))</f>
        <v/>
      </c>
    </row>
    <row r="86" spans="1:18" x14ac:dyDescent="0.35">
      <c r="A86" s="81" t="str">
        <f>IF(itens_Remanesc!A86="","",itens_Remanesc!A86)</f>
        <v/>
      </c>
      <c r="B86" s="217" t="str">
        <f t="shared" ca="1" si="11"/>
        <v/>
      </c>
      <c r="C86" s="218" t="str">
        <f>IF(A86="","",IF($I$5="","POSICAO DE REFERENCIA INDISPONIVEL",ROUND(IF(itens_Remanesc!B86="",0,itens_Remanesc!B86)+SUMIFS(aditivos!$L$2:$L$200,aditivos!$A$2:$A$200,A86,aditivos!$B$2:$B$200,"&lt;="&amp;$I$5),2)))</f>
        <v/>
      </c>
      <c r="D86" s="218" t="str">
        <f>IF(A86="","",IF($I$4="","",IF($I$2,IF(ISNUMBER(B86),B86,""),IF($I$4="C0",posicao_contratual!G86,IF($I$4="C1",posicao_contratual!K86,IF($I$4="C2",posicao_contratual!O86,IF($I$4="C3",posicao_contratual!S86,IF($I$4="C4",posicao_contratual!W86,""))))))))</f>
        <v/>
      </c>
      <c r="E86" s="219" t="str">
        <f t="shared" si="8"/>
        <v/>
      </c>
      <c r="F86" s="81" t="str">
        <f>IF(A86="","",IF(COUNTIF($A$2:$A$200,A86)&gt;1,"ITEM DUPLICADO",IF($I$4="","POSICAO DE REFERENCIA INDISPONIVEL",IF(AND(B86&lt;&gt;"",NOT(ISNUMBER(B86))),"QTD NAO NUMERICA",IF(AND(ISNUMBER(B86),B86&lt;0),"NEGATIVO NAO PERMITIDO",IF(NOT(ISNUMBER(C86)),"POSICAO CONTRATUAL INDISPONIVEL",IF(OR(AND(posicao_contratual!$Y86&lt;&gt;"",posicao_contratual!$Y86&gt;IFERROR(VALUE(MID($I$4,2,1)),-1)),AND(posicao_contratual!$Z86,ISNUMBER(C86),C86&lt;=0)),"ITEM POSTERIOR A REFERENCIA",IF(D86="","REMANESCENTE DE REFERENCIA INDISPONIVEL",IF(AND(ISNUMBER(D86),ISNUMBER(C86),D86&gt;C86),"REMANESCENTE DE REFERENCIA SUPERA POSICAO CONTRATUAL","OK")))))))))</f>
        <v/>
      </c>
      <c r="K86" s="179" t="str">
        <f>IF(A86="","",itens_Remanesc!C86)</f>
        <v/>
      </c>
      <c r="L86" s="179" t="str">
        <f>IF(A86="","",IF($I$4="C0",posicao_contratual!G86,IF($I$4="C1",posicao_contratual!K86,IF($I$4="C2",posicao_contratual!O86,IF($I$4="C3",posicao_contratual!S86,IF($I$4="C4",posicao_contratual!W86,""))))))</f>
        <v/>
      </c>
      <c r="M86" s="179" t="str">
        <f ca="1">IF(OR(A86="",$I$5="",$I$6=""),"",ROUND(SUMIFS(aditivos!$L$2:$L$200,aditivos!$A$2:$A$200,A86,aditivos!$B$2:$B$200,"&gt;"&amp;$I$6,aditivos!$B$2:$B$200,"&lt;="&amp;$I$5),2))</f>
        <v/>
      </c>
      <c r="N86" s="179" t="str">
        <f t="shared" si="9"/>
        <v/>
      </c>
      <c r="O86" s="179" t="str">
        <f ca="1">IF(OR(A86="",D86="",NOT(ISNUMBER(IF($I$4="C0",historico_VU!C86,IF($I$4="C1",historico_VU!D86,IF($I$4="C2",historico_VU!E86,IF($I$4="C3",historico_VU!F86,IF($I$4="C4",historico_VU!G86,"")))))))),"",ROUND(D86*IF($I$4="C0",historico_VU!C86,IF($I$4="C1",historico_VU!D86,IF($I$4="C2",historico_VU!E86,IF($I$4="C3",historico_VU!F86,IF($I$4="C4",historico_VU!G86,""))))),2))</f>
        <v/>
      </c>
      <c r="P86" s="179" t="str">
        <f ca="1">IF(OR(A86="",N86="",NOT(ISNUMBER(IF($I$4="C0",historico_VU!C86,IF($I$4="C1",historico_VU!D86,IF($I$4="C2",historico_VU!E86,IF($I$4="C3",historico_VU!F86,IF($I$4="C4",historico_VU!G86,"")))))))),"",ROUND(N86*IF($I$4="C0",historico_VU!C86,IF($I$4="C1",historico_VU!D86,IF($I$4="C2",historico_VU!E86,IF($I$4="C3",historico_VU!F86,IF($I$4="C4",historico_VU!G86,""))))),2))</f>
        <v/>
      </c>
      <c r="Q86" s="179" t="str">
        <f t="shared" si="10"/>
        <v/>
      </c>
      <c r="R86" s="179" t="str">
        <f ca="1">IF(OR(A86="",L86="",NOT(ISNUMBER(IF($I$4="C0",historico_VU!C86,IF($I$4="C1",historico_VU!D86,IF($I$4="C2",historico_VU!E86,IF($I$4="C3",historico_VU!F86,IF($I$4="C4",historico_VU!G86,"")))))))),"",ROUND(L86*IF($I$4="C0",historico_VU!C86,IF($I$4="C1",historico_VU!D86,IF($I$4="C2",historico_VU!E86,IF($I$4="C3",historico_VU!F86,IF($I$4="C4",historico_VU!G86,""))))),2))</f>
        <v/>
      </c>
    </row>
    <row r="87" spans="1:18" x14ac:dyDescent="0.35">
      <c r="A87" s="81" t="str">
        <f>IF(itens_Remanesc!A87="","",itens_Remanesc!A87)</f>
        <v/>
      </c>
      <c r="B87" s="217" t="str">
        <f t="shared" ca="1" si="11"/>
        <v/>
      </c>
      <c r="C87" s="218" t="str">
        <f>IF(A87="","",IF($I$5="","POSICAO DE REFERENCIA INDISPONIVEL",ROUND(IF(itens_Remanesc!B87="",0,itens_Remanesc!B87)+SUMIFS(aditivos!$L$2:$L$200,aditivos!$A$2:$A$200,A87,aditivos!$B$2:$B$200,"&lt;="&amp;$I$5),2)))</f>
        <v/>
      </c>
      <c r="D87" s="218" t="str">
        <f>IF(A87="","",IF($I$4="","",IF($I$2,IF(ISNUMBER(B87),B87,""),IF($I$4="C0",posicao_contratual!G87,IF($I$4="C1",posicao_contratual!K87,IF($I$4="C2",posicao_contratual!O87,IF($I$4="C3",posicao_contratual!S87,IF($I$4="C4",posicao_contratual!W87,""))))))))</f>
        <v/>
      </c>
      <c r="E87" s="219" t="str">
        <f t="shared" si="8"/>
        <v/>
      </c>
      <c r="F87" s="81" t="str">
        <f>IF(A87="","",IF(COUNTIF($A$2:$A$200,A87)&gt;1,"ITEM DUPLICADO",IF($I$4="","POSICAO DE REFERENCIA INDISPONIVEL",IF(AND(B87&lt;&gt;"",NOT(ISNUMBER(B87))),"QTD NAO NUMERICA",IF(AND(ISNUMBER(B87),B87&lt;0),"NEGATIVO NAO PERMITIDO",IF(NOT(ISNUMBER(C87)),"POSICAO CONTRATUAL INDISPONIVEL",IF(OR(AND(posicao_contratual!$Y87&lt;&gt;"",posicao_contratual!$Y87&gt;IFERROR(VALUE(MID($I$4,2,1)),-1)),AND(posicao_contratual!$Z87,ISNUMBER(C87),C87&lt;=0)),"ITEM POSTERIOR A REFERENCIA",IF(D87="","REMANESCENTE DE REFERENCIA INDISPONIVEL",IF(AND(ISNUMBER(D87),ISNUMBER(C87),D87&gt;C87),"REMANESCENTE DE REFERENCIA SUPERA POSICAO CONTRATUAL","OK")))))))))</f>
        <v/>
      </c>
      <c r="K87" s="179" t="str">
        <f>IF(A87="","",itens_Remanesc!C87)</f>
        <v/>
      </c>
      <c r="L87" s="179" t="str">
        <f>IF(A87="","",IF($I$4="C0",posicao_contratual!G87,IF($I$4="C1",posicao_contratual!K87,IF($I$4="C2",posicao_contratual!O87,IF($I$4="C3",posicao_contratual!S87,IF($I$4="C4",posicao_contratual!W87,""))))))</f>
        <v/>
      </c>
      <c r="M87" s="179" t="str">
        <f ca="1">IF(OR(A87="",$I$5="",$I$6=""),"",ROUND(SUMIFS(aditivos!$L$2:$L$200,aditivos!$A$2:$A$200,A87,aditivos!$B$2:$B$200,"&gt;"&amp;$I$6,aditivos!$B$2:$B$200,"&lt;="&amp;$I$5),2))</f>
        <v/>
      </c>
      <c r="N87" s="179" t="str">
        <f t="shared" si="9"/>
        <v/>
      </c>
      <c r="O87" s="179" t="str">
        <f ca="1">IF(OR(A87="",D87="",NOT(ISNUMBER(IF($I$4="C0",historico_VU!C87,IF($I$4="C1",historico_VU!D87,IF($I$4="C2",historico_VU!E87,IF($I$4="C3",historico_VU!F87,IF($I$4="C4",historico_VU!G87,"")))))))),"",ROUND(D87*IF($I$4="C0",historico_VU!C87,IF($I$4="C1",historico_VU!D87,IF($I$4="C2",historico_VU!E87,IF($I$4="C3",historico_VU!F87,IF($I$4="C4",historico_VU!G87,""))))),2))</f>
        <v/>
      </c>
      <c r="P87" s="179" t="str">
        <f ca="1">IF(OR(A87="",N87="",NOT(ISNUMBER(IF($I$4="C0",historico_VU!C87,IF($I$4="C1",historico_VU!D87,IF($I$4="C2",historico_VU!E87,IF($I$4="C3",historico_VU!F87,IF($I$4="C4",historico_VU!G87,"")))))))),"",ROUND(N87*IF($I$4="C0",historico_VU!C87,IF($I$4="C1",historico_VU!D87,IF($I$4="C2",historico_VU!E87,IF($I$4="C3",historico_VU!F87,IF($I$4="C4",historico_VU!G87,""))))),2))</f>
        <v/>
      </c>
      <c r="Q87" s="179" t="str">
        <f t="shared" si="10"/>
        <v/>
      </c>
      <c r="R87" s="179" t="str">
        <f ca="1">IF(OR(A87="",L87="",NOT(ISNUMBER(IF($I$4="C0",historico_VU!C87,IF($I$4="C1",historico_VU!D87,IF($I$4="C2",historico_VU!E87,IF($I$4="C3",historico_VU!F87,IF($I$4="C4",historico_VU!G87,"")))))))),"",ROUND(L87*IF($I$4="C0",historico_VU!C87,IF($I$4="C1",historico_VU!D87,IF($I$4="C2",historico_VU!E87,IF($I$4="C3",historico_VU!F87,IF($I$4="C4",historico_VU!G87,""))))),2))</f>
        <v/>
      </c>
    </row>
    <row r="88" spans="1:18" x14ac:dyDescent="0.35">
      <c r="A88" s="81" t="str">
        <f>IF(itens_Remanesc!A88="","",itens_Remanesc!A88)</f>
        <v/>
      </c>
      <c r="B88" s="217" t="str">
        <f t="shared" ca="1" si="11"/>
        <v/>
      </c>
      <c r="C88" s="218" t="str">
        <f>IF(A88="","",IF($I$5="","POSICAO DE REFERENCIA INDISPONIVEL",ROUND(IF(itens_Remanesc!B88="",0,itens_Remanesc!B88)+SUMIFS(aditivos!$L$2:$L$200,aditivos!$A$2:$A$200,A88,aditivos!$B$2:$B$200,"&lt;="&amp;$I$5),2)))</f>
        <v/>
      </c>
      <c r="D88" s="218" t="str">
        <f>IF(A88="","",IF($I$4="","",IF($I$2,IF(ISNUMBER(B88),B88,""),IF($I$4="C0",posicao_contratual!G88,IF($I$4="C1",posicao_contratual!K88,IF($I$4="C2",posicao_contratual!O88,IF($I$4="C3",posicao_contratual!S88,IF($I$4="C4",posicao_contratual!W88,""))))))))</f>
        <v/>
      </c>
      <c r="E88" s="219" t="str">
        <f t="shared" si="8"/>
        <v/>
      </c>
      <c r="F88" s="81" t="str">
        <f>IF(A88="","",IF(COUNTIF($A$2:$A$200,A88)&gt;1,"ITEM DUPLICADO",IF($I$4="","POSICAO DE REFERENCIA INDISPONIVEL",IF(AND(B88&lt;&gt;"",NOT(ISNUMBER(B88))),"QTD NAO NUMERICA",IF(AND(ISNUMBER(B88),B88&lt;0),"NEGATIVO NAO PERMITIDO",IF(NOT(ISNUMBER(C88)),"POSICAO CONTRATUAL INDISPONIVEL",IF(OR(AND(posicao_contratual!$Y88&lt;&gt;"",posicao_contratual!$Y88&gt;IFERROR(VALUE(MID($I$4,2,1)),-1)),AND(posicao_contratual!$Z88,ISNUMBER(C88),C88&lt;=0)),"ITEM POSTERIOR A REFERENCIA",IF(D88="","REMANESCENTE DE REFERENCIA INDISPONIVEL",IF(AND(ISNUMBER(D88),ISNUMBER(C88),D88&gt;C88),"REMANESCENTE DE REFERENCIA SUPERA POSICAO CONTRATUAL","OK")))))))))</f>
        <v/>
      </c>
      <c r="K88" s="179" t="str">
        <f>IF(A88="","",itens_Remanesc!C88)</f>
        <v/>
      </c>
      <c r="L88" s="179" t="str">
        <f>IF(A88="","",IF($I$4="C0",posicao_contratual!G88,IF($I$4="C1",posicao_contratual!K88,IF($I$4="C2",posicao_contratual!O88,IF($I$4="C3",posicao_contratual!S88,IF($I$4="C4",posicao_contratual!W88,""))))))</f>
        <v/>
      </c>
      <c r="M88" s="179" t="str">
        <f ca="1">IF(OR(A88="",$I$5="",$I$6=""),"",ROUND(SUMIFS(aditivos!$L$2:$L$200,aditivos!$A$2:$A$200,A88,aditivos!$B$2:$B$200,"&gt;"&amp;$I$6,aditivos!$B$2:$B$200,"&lt;="&amp;$I$5),2))</f>
        <v/>
      </c>
      <c r="N88" s="179" t="str">
        <f t="shared" si="9"/>
        <v/>
      </c>
      <c r="O88" s="179" t="str">
        <f ca="1">IF(OR(A88="",D88="",NOT(ISNUMBER(IF($I$4="C0",historico_VU!C88,IF($I$4="C1",historico_VU!D88,IF($I$4="C2",historico_VU!E88,IF($I$4="C3",historico_VU!F88,IF($I$4="C4",historico_VU!G88,"")))))))),"",ROUND(D88*IF($I$4="C0",historico_VU!C88,IF($I$4="C1",historico_VU!D88,IF($I$4="C2",historico_VU!E88,IF($I$4="C3",historico_VU!F88,IF($I$4="C4",historico_VU!G88,""))))),2))</f>
        <v/>
      </c>
      <c r="P88" s="179" t="str">
        <f ca="1">IF(OR(A88="",N88="",NOT(ISNUMBER(IF($I$4="C0",historico_VU!C88,IF($I$4="C1",historico_VU!D88,IF($I$4="C2",historico_VU!E88,IF($I$4="C3",historico_VU!F88,IF($I$4="C4",historico_VU!G88,"")))))))),"",ROUND(N88*IF($I$4="C0",historico_VU!C88,IF($I$4="C1",historico_VU!D88,IF($I$4="C2",historico_VU!E88,IF($I$4="C3",historico_VU!F88,IF($I$4="C4",historico_VU!G88,""))))),2))</f>
        <v/>
      </c>
      <c r="Q88" s="179" t="str">
        <f t="shared" si="10"/>
        <v/>
      </c>
      <c r="R88" s="179" t="str">
        <f ca="1">IF(OR(A88="",L88="",NOT(ISNUMBER(IF($I$4="C0",historico_VU!C88,IF($I$4="C1",historico_VU!D88,IF($I$4="C2",historico_VU!E88,IF($I$4="C3",historico_VU!F88,IF($I$4="C4",historico_VU!G88,"")))))))),"",ROUND(L88*IF($I$4="C0",historico_VU!C88,IF($I$4="C1",historico_VU!D88,IF($I$4="C2",historico_VU!E88,IF($I$4="C3",historico_VU!F88,IF($I$4="C4",historico_VU!G88,""))))),2))</f>
        <v/>
      </c>
    </row>
    <row r="89" spans="1:18" x14ac:dyDescent="0.35">
      <c r="A89" s="81" t="str">
        <f>IF(itens_Remanesc!A89="","",itens_Remanesc!A89)</f>
        <v/>
      </c>
      <c r="B89" s="217" t="str">
        <f t="shared" ca="1" si="11"/>
        <v/>
      </c>
      <c r="C89" s="218" t="str">
        <f>IF(A89="","",IF($I$5="","POSICAO DE REFERENCIA INDISPONIVEL",ROUND(IF(itens_Remanesc!B89="",0,itens_Remanesc!B89)+SUMIFS(aditivos!$L$2:$L$200,aditivos!$A$2:$A$200,A89,aditivos!$B$2:$B$200,"&lt;="&amp;$I$5),2)))</f>
        <v/>
      </c>
      <c r="D89" s="218" t="str">
        <f>IF(A89="","",IF($I$4="","",IF($I$2,IF(ISNUMBER(B89),B89,""),IF($I$4="C0",posicao_contratual!G89,IF($I$4="C1",posicao_contratual!K89,IF($I$4="C2",posicao_contratual!O89,IF($I$4="C3",posicao_contratual!S89,IF($I$4="C4",posicao_contratual!W89,""))))))))</f>
        <v/>
      </c>
      <c r="E89" s="219" t="str">
        <f t="shared" si="8"/>
        <v/>
      </c>
      <c r="F89" s="81" t="str">
        <f>IF(A89="","",IF(COUNTIF($A$2:$A$200,A89)&gt;1,"ITEM DUPLICADO",IF($I$4="","POSICAO DE REFERENCIA INDISPONIVEL",IF(AND(B89&lt;&gt;"",NOT(ISNUMBER(B89))),"QTD NAO NUMERICA",IF(AND(ISNUMBER(B89),B89&lt;0),"NEGATIVO NAO PERMITIDO",IF(NOT(ISNUMBER(C89)),"POSICAO CONTRATUAL INDISPONIVEL",IF(OR(AND(posicao_contratual!$Y89&lt;&gt;"",posicao_contratual!$Y89&gt;IFERROR(VALUE(MID($I$4,2,1)),-1)),AND(posicao_contratual!$Z89,ISNUMBER(C89),C89&lt;=0)),"ITEM POSTERIOR A REFERENCIA",IF(D89="","REMANESCENTE DE REFERENCIA INDISPONIVEL",IF(AND(ISNUMBER(D89),ISNUMBER(C89),D89&gt;C89),"REMANESCENTE DE REFERENCIA SUPERA POSICAO CONTRATUAL","OK")))))))))</f>
        <v/>
      </c>
      <c r="K89" s="179" t="str">
        <f>IF(A89="","",itens_Remanesc!C89)</f>
        <v/>
      </c>
      <c r="L89" s="179" t="str">
        <f>IF(A89="","",IF($I$4="C0",posicao_contratual!G89,IF($I$4="C1",posicao_contratual!K89,IF($I$4="C2",posicao_contratual!O89,IF($I$4="C3",posicao_contratual!S89,IF($I$4="C4",posicao_contratual!W89,""))))))</f>
        <v/>
      </c>
      <c r="M89" s="179" t="str">
        <f ca="1">IF(OR(A89="",$I$5="",$I$6=""),"",ROUND(SUMIFS(aditivos!$L$2:$L$200,aditivos!$A$2:$A$200,A89,aditivos!$B$2:$B$200,"&gt;"&amp;$I$6,aditivos!$B$2:$B$200,"&lt;="&amp;$I$5),2))</f>
        <v/>
      </c>
      <c r="N89" s="179" t="str">
        <f t="shared" si="9"/>
        <v/>
      </c>
      <c r="O89" s="179" t="str">
        <f ca="1">IF(OR(A89="",D89="",NOT(ISNUMBER(IF($I$4="C0",historico_VU!C89,IF($I$4="C1",historico_VU!D89,IF($I$4="C2",historico_VU!E89,IF($I$4="C3",historico_VU!F89,IF($I$4="C4",historico_VU!G89,"")))))))),"",ROUND(D89*IF($I$4="C0",historico_VU!C89,IF($I$4="C1",historico_VU!D89,IF($I$4="C2",historico_VU!E89,IF($I$4="C3",historico_VU!F89,IF($I$4="C4",historico_VU!G89,""))))),2))</f>
        <v/>
      </c>
      <c r="P89" s="179" t="str">
        <f ca="1">IF(OR(A89="",N89="",NOT(ISNUMBER(IF($I$4="C0",historico_VU!C89,IF($I$4="C1",historico_VU!D89,IF($I$4="C2",historico_VU!E89,IF($I$4="C3",historico_VU!F89,IF($I$4="C4",historico_VU!G89,"")))))))),"",ROUND(N89*IF($I$4="C0",historico_VU!C89,IF($I$4="C1",historico_VU!D89,IF($I$4="C2",historico_VU!E89,IF($I$4="C3",historico_VU!F89,IF($I$4="C4",historico_VU!G89,""))))),2))</f>
        <v/>
      </c>
      <c r="Q89" s="179" t="str">
        <f t="shared" si="10"/>
        <v/>
      </c>
      <c r="R89" s="179" t="str">
        <f ca="1">IF(OR(A89="",L89="",NOT(ISNUMBER(IF($I$4="C0",historico_VU!C89,IF($I$4="C1",historico_VU!D89,IF($I$4="C2",historico_VU!E89,IF($I$4="C3",historico_VU!F89,IF($I$4="C4",historico_VU!G89,"")))))))),"",ROUND(L89*IF($I$4="C0",historico_VU!C89,IF($I$4="C1",historico_VU!D89,IF($I$4="C2",historico_VU!E89,IF($I$4="C3",historico_VU!F89,IF($I$4="C4",historico_VU!G89,""))))),2))</f>
        <v/>
      </c>
    </row>
    <row r="90" spans="1:18" x14ac:dyDescent="0.35">
      <c r="A90" s="81" t="str">
        <f>IF(itens_Remanesc!A90="","",itens_Remanesc!A90)</f>
        <v/>
      </c>
      <c r="B90" s="217" t="str">
        <f t="shared" ca="1" si="11"/>
        <v/>
      </c>
      <c r="C90" s="218" t="str">
        <f>IF(A90="","",IF($I$5="","POSICAO DE REFERENCIA INDISPONIVEL",ROUND(IF(itens_Remanesc!B90="",0,itens_Remanesc!B90)+SUMIFS(aditivos!$L$2:$L$200,aditivos!$A$2:$A$200,A90,aditivos!$B$2:$B$200,"&lt;="&amp;$I$5),2)))</f>
        <v/>
      </c>
      <c r="D90" s="218" t="str">
        <f>IF(A90="","",IF($I$4="","",IF($I$2,IF(ISNUMBER(B90),B90,""),IF($I$4="C0",posicao_contratual!G90,IF($I$4="C1",posicao_contratual!K90,IF($I$4="C2",posicao_contratual!O90,IF($I$4="C3",posicao_contratual!S90,IF($I$4="C4",posicao_contratual!W90,""))))))))</f>
        <v/>
      </c>
      <c r="E90" s="219" t="str">
        <f t="shared" si="8"/>
        <v/>
      </c>
      <c r="F90" s="81" t="str">
        <f>IF(A90="","",IF(COUNTIF($A$2:$A$200,A90)&gt;1,"ITEM DUPLICADO",IF($I$4="","POSICAO DE REFERENCIA INDISPONIVEL",IF(AND(B90&lt;&gt;"",NOT(ISNUMBER(B90))),"QTD NAO NUMERICA",IF(AND(ISNUMBER(B90),B90&lt;0),"NEGATIVO NAO PERMITIDO",IF(NOT(ISNUMBER(C90)),"POSICAO CONTRATUAL INDISPONIVEL",IF(OR(AND(posicao_contratual!$Y90&lt;&gt;"",posicao_contratual!$Y90&gt;IFERROR(VALUE(MID($I$4,2,1)),-1)),AND(posicao_contratual!$Z90,ISNUMBER(C90),C90&lt;=0)),"ITEM POSTERIOR A REFERENCIA",IF(D90="","REMANESCENTE DE REFERENCIA INDISPONIVEL",IF(AND(ISNUMBER(D90),ISNUMBER(C90),D90&gt;C90),"REMANESCENTE DE REFERENCIA SUPERA POSICAO CONTRATUAL","OK")))))))))</f>
        <v/>
      </c>
      <c r="K90" s="179" t="str">
        <f>IF(A90="","",itens_Remanesc!C90)</f>
        <v/>
      </c>
      <c r="L90" s="179" t="str">
        <f>IF(A90="","",IF($I$4="C0",posicao_contratual!G90,IF($I$4="C1",posicao_contratual!K90,IF($I$4="C2",posicao_contratual!O90,IF($I$4="C3",posicao_contratual!S90,IF($I$4="C4",posicao_contratual!W90,""))))))</f>
        <v/>
      </c>
      <c r="M90" s="179" t="str">
        <f ca="1">IF(OR(A90="",$I$5="",$I$6=""),"",ROUND(SUMIFS(aditivos!$L$2:$L$200,aditivos!$A$2:$A$200,A90,aditivos!$B$2:$B$200,"&gt;"&amp;$I$6,aditivos!$B$2:$B$200,"&lt;="&amp;$I$5),2))</f>
        <v/>
      </c>
      <c r="N90" s="179" t="str">
        <f t="shared" si="9"/>
        <v/>
      </c>
      <c r="O90" s="179" t="str">
        <f ca="1">IF(OR(A90="",D90="",NOT(ISNUMBER(IF($I$4="C0",historico_VU!C90,IF($I$4="C1",historico_VU!D90,IF($I$4="C2",historico_VU!E90,IF($I$4="C3",historico_VU!F90,IF($I$4="C4",historico_VU!G90,"")))))))),"",ROUND(D90*IF($I$4="C0",historico_VU!C90,IF($I$4="C1",historico_VU!D90,IF($I$4="C2",historico_VU!E90,IF($I$4="C3",historico_VU!F90,IF($I$4="C4",historico_VU!G90,""))))),2))</f>
        <v/>
      </c>
      <c r="P90" s="179" t="str">
        <f ca="1">IF(OR(A90="",N90="",NOT(ISNUMBER(IF($I$4="C0",historico_VU!C90,IF($I$4="C1",historico_VU!D90,IF($I$4="C2",historico_VU!E90,IF($I$4="C3",historico_VU!F90,IF($I$4="C4",historico_VU!G90,"")))))))),"",ROUND(N90*IF($I$4="C0",historico_VU!C90,IF($I$4="C1",historico_VU!D90,IF($I$4="C2",historico_VU!E90,IF($I$4="C3",historico_VU!F90,IF($I$4="C4",historico_VU!G90,""))))),2))</f>
        <v/>
      </c>
      <c r="Q90" s="179" t="str">
        <f t="shared" si="10"/>
        <v/>
      </c>
      <c r="R90" s="179" t="str">
        <f ca="1">IF(OR(A90="",L90="",NOT(ISNUMBER(IF($I$4="C0",historico_VU!C90,IF($I$4="C1",historico_VU!D90,IF($I$4="C2",historico_VU!E90,IF($I$4="C3",historico_VU!F90,IF($I$4="C4",historico_VU!G90,"")))))))),"",ROUND(L90*IF($I$4="C0",historico_VU!C90,IF($I$4="C1",historico_VU!D90,IF($I$4="C2",historico_VU!E90,IF($I$4="C3",historico_VU!F90,IF($I$4="C4",historico_VU!G90,""))))),2))</f>
        <v/>
      </c>
    </row>
    <row r="91" spans="1:18" x14ac:dyDescent="0.35">
      <c r="A91" s="81" t="str">
        <f>IF(itens_Remanesc!A91="","",itens_Remanesc!A91)</f>
        <v/>
      </c>
      <c r="B91" s="217" t="str">
        <f t="shared" ca="1" si="11"/>
        <v/>
      </c>
      <c r="C91" s="218" t="str">
        <f>IF(A91="","",IF($I$5="","POSICAO DE REFERENCIA INDISPONIVEL",ROUND(IF(itens_Remanesc!B91="",0,itens_Remanesc!B91)+SUMIFS(aditivos!$L$2:$L$200,aditivos!$A$2:$A$200,A91,aditivos!$B$2:$B$200,"&lt;="&amp;$I$5),2)))</f>
        <v/>
      </c>
      <c r="D91" s="218" t="str">
        <f>IF(A91="","",IF($I$4="","",IF($I$2,IF(ISNUMBER(B91),B91,""),IF($I$4="C0",posicao_contratual!G91,IF($I$4="C1",posicao_contratual!K91,IF($I$4="C2",posicao_contratual!O91,IF($I$4="C3",posicao_contratual!S91,IF($I$4="C4",posicao_contratual!W91,""))))))))</f>
        <v/>
      </c>
      <c r="E91" s="219" t="str">
        <f t="shared" si="8"/>
        <v/>
      </c>
      <c r="F91" s="81" t="str">
        <f>IF(A91="","",IF(COUNTIF($A$2:$A$200,A91)&gt;1,"ITEM DUPLICADO",IF($I$4="","POSICAO DE REFERENCIA INDISPONIVEL",IF(AND(B91&lt;&gt;"",NOT(ISNUMBER(B91))),"QTD NAO NUMERICA",IF(AND(ISNUMBER(B91),B91&lt;0),"NEGATIVO NAO PERMITIDO",IF(NOT(ISNUMBER(C91)),"POSICAO CONTRATUAL INDISPONIVEL",IF(OR(AND(posicao_contratual!$Y91&lt;&gt;"",posicao_contratual!$Y91&gt;IFERROR(VALUE(MID($I$4,2,1)),-1)),AND(posicao_contratual!$Z91,ISNUMBER(C91),C91&lt;=0)),"ITEM POSTERIOR A REFERENCIA",IF(D91="","REMANESCENTE DE REFERENCIA INDISPONIVEL",IF(AND(ISNUMBER(D91),ISNUMBER(C91),D91&gt;C91),"REMANESCENTE DE REFERENCIA SUPERA POSICAO CONTRATUAL","OK")))))))))</f>
        <v/>
      </c>
      <c r="K91" s="179" t="str">
        <f>IF(A91="","",itens_Remanesc!C91)</f>
        <v/>
      </c>
      <c r="L91" s="179" t="str">
        <f>IF(A91="","",IF($I$4="C0",posicao_contratual!G91,IF($I$4="C1",posicao_contratual!K91,IF($I$4="C2",posicao_contratual!O91,IF($I$4="C3",posicao_contratual!S91,IF($I$4="C4",posicao_contratual!W91,""))))))</f>
        <v/>
      </c>
      <c r="M91" s="179" t="str">
        <f ca="1">IF(OR(A91="",$I$5="",$I$6=""),"",ROUND(SUMIFS(aditivos!$L$2:$L$200,aditivos!$A$2:$A$200,A91,aditivos!$B$2:$B$200,"&gt;"&amp;$I$6,aditivos!$B$2:$B$200,"&lt;="&amp;$I$5),2))</f>
        <v/>
      </c>
      <c r="N91" s="179" t="str">
        <f t="shared" si="9"/>
        <v/>
      </c>
      <c r="O91" s="179" t="str">
        <f ca="1">IF(OR(A91="",D91="",NOT(ISNUMBER(IF($I$4="C0",historico_VU!C91,IF($I$4="C1",historico_VU!D91,IF($I$4="C2",historico_VU!E91,IF($I$4="C3",historico_VU!F91,IF($I$4="C4",historico_VU!G91,"")))))))),"",ROUND(D91*IF($I$4="C0",historico_VU!C91,IF($I$4="C1",historico_VU!D91,IF($I$4="C2",historico_VU!E91,IF($I$4="C3",historico_VU!F91,IF($I$4="C4",historico_VU!G91,""))))),2))</f>
        <v/>
      </c>
      <c r="P91" s="179" t="str">
        <f ca="1">IF(OR(A91="",N91="",NOT(ISNUMBER(IF($I$4="C0",historico_VU!C91,IF($I$4="C1",historico_VU!D91,IF($I$4="C2",historico_VU!E91,IF($I$4="C3",historico_VU!F91,IF($I$4="C4",historico_VU!G91,"")))))))),"",ROUND(N91*IF($I$4="C0",historico_VU!C91,IF($I$4="C1",historico_VU!D91,IF($I$4="C2",historico_VU!E91,IF($I$4="C3",historico_VU!F91,IF($I$4="C4",historico_VU!G91,""))))),2))</f>
        <v/>
      </c>
      <c r="Q91" s="179" t="str">
        <f t="shared" si="10"/>
        <v/>
      </c>
      <c r="R91" s="179" t="str">
        <f ca="1">IF(OR(A91="",L91="",NOT(ISNUMBER(IF($I$4="C0",historico_VU!C91,IF($I$4="C1",historico_VU!D91,IF($I$4="C2",historico_VU!E91,IF($I$4="C3",historico_VU!F91,IF($I$4="C4",historico_VU!G91,"")))))))),"",ROUND(L91*IF($I$4="C0",historico_VU!C91,IF($I$4="C1",historico_VU!D91,IF($I$4="C2",historico_VU!E91,IF($I$4="C3",historico_VU!F91,IF($I$4="C4",historico_VU!G91,""))))),2))</f>
        <v/>
      </c>
    </row>
    <row r="92" spans="1:18" x14ac:dyDescent="0.35">
      <c r="A92" s="81" t="str">
        <f>IF(itens_Remanesc!A92="","",itens_Remanesc!A92)</f>
        <v/>
      </c>
      <c r="B92" s="217" t="str">
        <f t="shared" ca="1" si="11"/>
        <v/>
      </c>
      <c r="C92" s="218" t="str">
        <f>IF(A92="","",IF($I$5="","POSICAO DE REFERENCIA INDISPONIVEL",ROUND(IF(itens_Remanesc!B92="",0,itens_Remanesc!B92)+SUMIFS(aditivos!$L$2:$L$200,aditivos!$A$2:$A$200,A92,aditivos!$B$2:$B$200,"&lt;="&amp;$I$5),2)))</f>
        <v/>
      </c>
      <c r="D92" s="218" t="str">
        <f>IF(A92="","",IF($I$4="","",IF($I$2,IF(ISNUMBER(B92),B92,""),IF($I$4="C0",posicao_contratual!G92,IF($I$4="C1",posicao_contratual!K92,IF($I$4="C2",posicao_contratual!O92,IF($I$4="C3",posicao_contratual!S92,IF($I$4="C4",posicao_contratual!W92,""))))))))</f>
        <v/>
      </c>
      <c r="E92" s="219" t="str">
        <f t="shared" si="8"/>
        <v/>
      </c>
      <c r="F92" s="81" t="str">
        <f>IF(A92="","",IF(COUNTIF($A$2:$A$200,A92)&gt;1,"ITEM DUPLICADO",IF($I$4="","POSICAO DE REFERENCIA INDISPONIVEL",IF(AND(B92&lt;&gt;"",NOT(ISNUMBER(B92))),"QTD NAO NUMERICA",IF(AND(ISNUMBER(B92),B92&lt;0),"NEGATIVO NAO PERMITIDO",IF(NOT(ISNUMBER(C92)),"POSICAO CONTRATUAL INDISPONIVEL",IF(OR(AND(posicao_contratual!$Y92&lt;&gt;"",posicao_contratual!$Y92&gt;IFERROR(VALUE(MID($I$4,2,1)),-1)),AND(posicao_contratual!$Z92,ISNUMBER(C92),C92&lt;=0)),"ITEM POSTERIOR A REFERENCIA",IF(D92="","REMANESCENTE DE REFERENCIA INDISPONIVEL",IF(AND(ISNUMBER(D92),ISNUMBER(C92),D92&gt;C92),"REMANESCENTE DE REFERENCIA SUPERA POSICAO CONTRATUAL","OK")))))))))</f>
        <v/>
      </c>
      <c r="K92" s="179" t="str">
        <f>IF(A92="","",itens_Remanesc!C92)</f>
        <v/>
      </c>
      <c r="L92" s="179" t="str">
        <f>IF(A92="","",IF($I$4="C0",posicao_contratual!G92,IF($I$4="C1",posicao_contratual!K92,IF($I$4="C2",posicao_contratual!O92,IF($I$4="C3",posicao_contratual!S92,IF($I$4="C4",posicao_contratual!W92,""))))))</f>
        <v/>
      </c>
      <c r="M92" s="179" t="str">
        <f ca="1">IF(OR(A92="",$I$5="",$I$6=""),"",ROUND(SUMIFS(aditivos!$L$2:$L$200,aditivos!$A$2:$A$200,A92,aditivos!$B$2:$B$200,"&gt;"&amp;$I$6,aditivos!$B$2:$B$200,"&lt;="&amp;$I$5),2))</f>
        <v/>
      </c>
      <c r="N92" s="179" t="str">
        <f t="shared" si="9"/>
        <v/>
      </c>
      <c r="O92" s="179" t="str">
        <f ca="1">IF(OR(A92="",D92="",NOT(ISNUMBER(IF($I$4="C0",historico_VU!C92,IF($I$4="C1",historico_VU!D92,IF($I$4="C2",historico_VU!E92,IF($I$4="C3",historico_VU!F92,IF($I$4="C4",historico_VU!G92,"")))))))),"",ROUND(D92*IF($I$4="C0",historico_VU!C92,IF($I$4="C1",historico_VU!D92,IF($I$4="C2",historico_VU!E92,IF($I$4="C3",historico_VU!F92,IF($I$4="C4",historico_VU!G92,""))))),2))</f>
        <v/>
      </c>
      <c r="P92" s="179" t="str">
        <f ca="1">IF(OR(A92="",N92="",NOT(ISNUMBER(IF($I$4="C0",historico_VU!C92,IF($I$4="C1",historico_VU!D92,IF($I$4="C2",historico_VU!E92,IF($I$4="C3",historico_VU!F92,IF($I$4="C4",historico_VU!G92,"")))))))),"",ROUND(N92*IF($I$4="C0",historico_VU!C92,IF($I$4="C1",historico_VU!D92,IF($I$4="C2",historico_VU!E92,IF($I$4="C3",historico_VU!F92,IF($I$4="C4",historico_VU!G92,""))))),2))</f>
        <v/>
      </c>
      <c r="Q92" s="179" t="str">
        <f t="shared" si="10"/>
        <v/>
      </c>
      <c r="R92" s="179" t="str">
        <f ca="1">IF(OR(A92="",L92="",NOT(ISNUMBER(IF($I$4="C0",historico_VU!C92,IF($I$4="C1",historico_VU!D92,IF($I$4="C2",historico_VU!E92,IF($I$4="C3",historico_VU!F92,IF($I$4="C4",historico_VU!G92,"")))))))),"",ROUND(L92*IF($I$4="C0",historico_VU!C92,IF($I$4="C1",historico_VU!D92,IF($I$4="C2",historico_VU!E92,IF($I$4="C3",historico_VU!F92,IF($I$4="C4",historico_VU!G92,""))))),2))</f>
        <v/>
      </c>
    </row>
    <row r="93" spans="1:18" x14ac:dyDescent="0.35">
      <c r="A93" s="81" t="str">
        <f>IF(itens_Remanesc!A93="","",itens_Remanesc!A93)</f>
        <v/>
      </c>
      <c r="B93" s="217" t="str">
        <f t="shared" ca="1" si="11"/>
        <v/>
      </c>
      <c r="C93" s="218" t="str">
        <f>IF(A93="","",IF($I$5="","POSICAO DE REFERENCIA INDISPONIVEL",ROUND(IF(itens_Remanesc!B93="",0,itens_Remanesc!B93)+SUMIFS(aditivos!$L$2:$L$200,aditivos!$A$2:$A$200,A93,aditivos!$B$2:$B$200,"&lt;="&amp;$I$5),2)))</f>
        <v/>
      </c>
      <c r="D93" s="218" t="str">
        <f>IF(A93="","",IF($I$4="","",IF($I$2,IF(ISNUMBER(B93),B93,""),IF($I$4="C0",posicao_contratual!G93,IF($I$4="C1",posicao_contratual!K93,IF($I$4="C2",posicao_contratual!O93,IF($I$4="C3",posicao_contratual!S93,IF($I$4="C4",posicao_contratual!W93,""))))))))</f>
        <v/>
      </c>
      <c r="E93" s="219" t="str">
        <f t="shared" si="8"/>
        <v/>
      </c>
      <c r="F93" s="81" t="str">
        <f>IF(A93="","",IF(COUNTIF($A$2:$A$200,A93)&gt;1,"ITEM DUPLICADO",IF($I$4="","POSICAO DE REFERENCIA INDISPONIVEL",IF(AND(B93&lt;&gt;"",NOT(ISNUMBER(B93))),"QTD NAO NUMERICA",IF(AND(ISNUMBER(B93),B93&lt;0),"NEGATIVO NAO PERMITIDO",IF(NOT(ISNUMBER(C93)),"POSICAO CONTRATUAL INDISPONIVEL",IF(OR(AND(posicao_contratual!$Y93&lt;&gt;"",posicao_contratual!$Y93&gt;IFERROR(VALUE(MID($I$4,2,1)),-1)),AND(posicao_contratual!$Z93,ISNUMBER(C93),C93&lt;=0)),"ITEM POSTERIOR A REFERENCIA",IF(D93="","REMANESCENTE DE REFERENCIA INDISPONIVEL",IF(AND(ISNUMBER(D93),ISNUMBER(C93),D93&gt;C93),"REMANESCENTE DE REFERENCIA SUPERA POSICAO CONTRATUAL","OK")))))))))</f>
        <v/>
      </c>
      <c r="K93" s="179" t="str">
        <f>IF(A93="","",itens_Remanesc!C93)</f>
        <v/>
      </c>
      <c r="L93" s="179" t="str">
        <f>IF(A93="","",IF($I$4="C0",posicao_contratual!G93,IF($I$4="C1",posicao_contratual!K93,IF($I$4="C2",posicao_contratual!O93,IF($I$4="C3",posicao_contratual!S93,IF($I$4="C4",posicao_contratual!W93,""))))))</f>
        <v/>
      </c>
      <c r="M93" s="179" t="str">
        <f ca="1">IF(OR(A93="",$I$5="",$I$6=""),"",ROUND(SUMIFS(aditivos!$L$2:$L$200,aditivos!$A$2:$A$200,A93,aditivos!$B$2:$B$200,"&gt;"&amp;$I$6,aditivos!$B$2:$B$200,"&lt;="&amp;$I$5),2))</f>
        <v/>
      </c>
      <c r="N93" s="179" t="str">
        <f t="shared" si="9"/>
        <v/>
      </c>
      <c r="O93" s="179" t="str">
        <f ca="1">IF(OR(A93="",D93="",NOT(ISNUMBER(IF($I$4="C0",historico_VU!C93,IF($I$4="C1",historico_VU!D93,IF($I$4="C2",historico_VU!E93,IF($I$4="C3",historico_VU!F93,IF($I$4="C4",historico_VU!G93,"")))))))),"",ROUND(D93*IF($I$4="C0",historico_VU!C93,IF($I$4="C1",historico_VU!D93,IF($I$4="C2",historico_VU!E93,IF($I$4="C3",historico_VU!F93,IF($I$4="C4",historico_VU!G93,""))))),2))</f>
        <v/>
      </c>
      <c r="P93" s="179" t="str">
        <f ca="1">IF(OR(A93="",N93="",NOT(ISNUMBER(IF($I$4="C0",historico_VU!C93,IF($I$4="C1",historico_VU!D93,IF($I$4="C2",historico_VU!E93,IF($I$4="C3",historico_VU!F93,IF($I$4="C4",historico_VU!G93,"")))))))),"",ROUND(N93*IF($I$4="C0",historico_VU!C93,IF($I$4="C1",historico_VU!D93,IF($I$4="C2",historico_VU!E93,IF($I$4="C3",historico_VU!F93,IF($I$4="C4",historico_VU!G93,""))))),2))</f>
        <v/>
      </c>
      <c r="Q93" s="179" t="str">
        <f t="shared" si="10"/>
        <v/>
      </c>
      <c r="R93" s="179" t="str">
        <f ca="1">IF(OR(A93="",L93="",NOT(ISNUMBER(IF($I$4="C0",historico_VU!C93,IF($I$4="C1",historico_VU!D93,IF($I$4="C2",historico_VU!E93,IF($I$4="C3",historico_VU!F93,IF($I$4="C4",historico_VU!G93,"")))))))),"",ROUND(L93*IF($I$4="C0",historico_VU!C93,IF($I$4="C1",historico_VU!D93,IF($I$4="C2",historico_VU!E93,IF($I$4="C3",historico_VU!F93,IF($I$4="C4",historico_VU!G93,""))))),2))</f>
        <v/>
      </c>
    </row>
    <row r="94" spans="1:18" x14ac:dyDescent="0.35">
      <c r="A94" s="81" t="str">
        <f>IF(itens_Remanesc!A94="","",itens_Remanesc!A94)</f>
        <v/>
      </c>
      <c r="B94" s="217" t="str">
        <f t="shared" ca="1" si="11"/>
        <v/>
      </c>
      <c r="C94" s="218" t="str">
        <f>IF(A94="","",IF($I$5="","POSICAO DE REFERENCIA INDISPONIVEL",ROUND(IF(itens_Remanesc!B94="",0,itens_Remanesc!B94)+SUMIFS(aditivos!$L$2:$L$200,aditivos!$A$2:$A$200,A94,aditivos!$B$2:$B$200,"&lt;="&amp;$I$5),2)))</f>
        <v/>
      </c>
      <c r="D94" s="218" t="str">
        <f>IF(A94="","",IF($I$4="","",IF($I$2,IF(ISNUMBER(B94),B94,""),IF($I$4="C0",posicao_contratual!G94,IF($I$4="C1",posicao_contratual!K94,IF($I$4="C2",posicao_contratual!O94,IF($I$4="C3",posicao_contratual!S94,IF($I$4="C4",posicao_contratual!W94,""))))))))</f>
        <v/>
      </c>
      <c r="E94" s="219" t="str">
        <f t="shared" si="8"/>
        <v/>
      </c>
      <c r="F94" s="81" t="str">
        <f>IF(A94="","",IF(COUNTIF($A$2:$A$200,A94)&gt;1,"ITEM DUPLICADO",IF($I$4="","POSICAO DE REFERENCIA INDISPONIVEL",IF(AND(B94&lt;&gt;"",NOT(ISNUMBER(B94))),"QTD NAO NUMERICA",IF(AND(ISNUMBER(B94),B94&lt;0),"NEGATIVO NAO PERMITIDO",IF(NOT(ISNUMBER(C94)),"POSICAO CONTRATUAL INDISPONIVEL",IF(OR(AND(posicao_contratual!$Y94&lt;&gt;"",posicao_contratual!$Y94&gt;IFERROR(VALUE(MID($I$4,2,1)),-1)),AND(posicao_contratual!$Z94,ISNUMBER(C94),C94&lt;=0)),"ITEM POSTERIOR A REFERENCIA",IF(D94="","REMANESCENTE DE REFERENCIA INDISPONIVEL",IF(AND(ISNUMBER(D94),ISNUMBER(C94),D94&gt;C94),"REMANESCENTE DE REFERENCIA SUPERA POSICAO CONTRATUAL","OK")))))))))</f>
        <v/>
      </c>
      <c r="K94" s="179" t="str">
        <f>IF(A94="","",itens_Remanesc!C94)</f>
        <v/>
      </c>
      <c r="L94" s="179" t="str">
        <f>IF(A94="","",IF($I$4="C0",posicao_contratual!G94,IF($I$4="C1",posicao_contratual!K94,IF($I$4="C2",posicao_contratual!O94,IF($I$4="C3",posicao_contratual!S94,IF($I$4="C4",posicao_contratual!W94,""))))))</f>
        <v/>
      </c>
      <c r="M94" s="179" t="str">
        <f ca="1">IF(OR(A94="",$I$5="",$I$6=""),"",ROUND(SUMIFS(aditivos!$L$2:$L$200,aditivos!$A$2:$A$200,A94,aditivos!$B$2:$B$200,"&gt;"&amp;$I$6,aditivos!$B$2:$B$200,"&lt;="&amp;$I$5),2))</f>
        <v/>
      </c>
      <c r="N94" s="179" t="str">
        <f t="shared" si="9"/>
        <v/>
      </c>
      <c r="O94" s="179" t="str">
        <f ca="1">IF(OR(A94="",D94="",NOT(ISNUMBER(IF($I$4="C0",historico_VU!C94,IF($I$4="C1",historico_VU!D94,IF($I$4="C2",historico_VU!E94,IF($I$4="C3",historico_VU!F94,IF($I$4="C4",historico_VU!G94,"")))))))),"",ROUND(D94*IF($I$4="C0",historico_VU!C94,IF($I$4="C1",historico_VU!D94,IF($I$4="C2",historico_VU!E94,IF($I$4="C3",historico_VU!F94,IF($I$4="C4",historico_VU!G94,""))))),2))</f>
        <v/>
      </c>
      <c r="P94" s="179" t="str">
        <f ca="1">IF(OR(A94="",N94="",NOT(ISNUMBER(IF($I$4="C0",historico_VU!C94,IF($I$4="C1",historico_VU!D94,IF($I$4="C2",historico_VU!E94,IF($I$4="C3",historico_VU!F94,IF($I$4="C4",historico_VU!G94,"")))))))),"",ROUND(N94*IF($I$4="C0",historico_VU!C94,IF($I$4="C1",historico_VU!D94,IF($I$4="C2",historico_VU!E94,IF($I$4="C3",historico_VU!F94,IF($I$4="C4",historico_VU!G94,""))))),2))</f>
        <v/>
      </c>
      <c r="Q94" s="179" t="str">
        <f t="shared" si="10"/>
        <v/>
      </c>
      <c r="R94" s="179" t="str">
        <f ca="1">IF(OR(A94="",L94="",NOT(ISNUMBER(IF($I$4="C0",historico_VU!C94,IF($I$4="C1",historico_VU!D94,IF($I$4="C2",historico_VU!E94,IF($I$4="C3",historico_VU!F94,IF($I$4="C4",historico_VU!G94,"")))))))),"",ROUND(L94*IF($I$4="C0",historico_VU!C94,IF($I$4="C1",historico_VU!D94,IF($I$4="C2",historico_VU!E94,IF($I$4="C3",historico_VU!F94,IF($I$4="C4",historico_VU!G94,""))))),2))</f>
        <v/>
      </c>
    </row>
    <row r="95" spans="1:18" x14ac:dyDescent="0.35">
      <c r="A95" s="81" t="str">
        <f>IF(itens_Remanesc!A95="","",itens_Remanesc!A95)</f>
        <v/>
      </c>
      <c r="B95" s="217" t="str">
        <f t="shared" ca="1" si="11"/>
        <v/>
      </c>
      <c r="C95" s="218" t="str">
        <f>IF(A95="","",IF($I$5="","POSICAO DE REFERENCIA INDISPONIVEL",ROUND(IF(itens_Remanesc!B95="",0,itens_Remanesc!B95)+SUMIFS(aditivos!$L$2:$L$200,aditivos!$A$2:$A$200,A95,aditivos!$B$2:$B$200,"&lt;="&amp;$I$5),2)))</f>
        <v/>
      </c>
      <c r="D95" s="218" t="str">
        <f>IF(A95="","",IF($I$4="","",IF($I$2,IF(ISNUMBER(B95),B95,""),IF($I$4="C0",posicao_contratual!G95,IF($I$4="C1",posicao_contratual!K95,IF($I$4="C2",posicao_contratual!O95,IF($I$4="C3",posicao_contratual!S95,IF($I$4="C4",posicao_contratual!W95,""))))))))</f>
        <v/>
      </c>
      <c r="E95" s="219" t="str">
        <f t="shared" si="8"/>
        <v/>
      </c>
      <c r="F95" s="81" t="str">
        <f>IF(A95="","",IF(COUNTIF($A$2:$A$200,A95)&gt;1,"ITEM DUPLICADO",IF($I$4="","POSICAO DE REFERENCIA INDISPONIVEL",IF(AND(B95&lt;&gt;"",NOT(ISNUMBER(B95))),"QTD NAO NUMERICA",IF(AND(ISNUMBER(B95),B95&lt;0),"NEGATIVO NAO PERMITIDO",IF(NOT(ISNUMBER(C95)),"POSICAO CONTRATUAL INDISPONIVEL",IF(OR(AND(posicao_contratual!$Y95&lt;&gt;"",posicao_contratual!$Y95&gt;IFERROR(VALUE(MID($I$4,2,1)),-1)),AND(posicao_contratual!$Z95,ISNUMBER(C95),C95&lt;=0)),"ITEM POSTERIOR A REFERENCIA",IF(D95="","REMANESCENTE DE REFERENCIA INDISPONIVEL",IF(AND(ISNUMBER(D95),ISNUMBER(C95),D95&gt;C95),"REMANESCENTE DE REFERENCIA SUPERA POSICAO CONTRATUAL","OK")))))))))</f>
        <v/>
      </c>
      <c r="K95" s="179" t="str">
        <f>IF(A95="","",itens_Remanesc!C95)</f>
        <v/>
      </c>
      <c r="L95" s="179" t="str">
        <f>IF(A95="","",IF($I$4="C0",posicao_contratual!G95,IF($I$4="C1",posicao_contratual!K95,IF($I$4="C2",posicao_contratual!O95,IF($I$4="C3",posicao_contratual!S95,IF($I$4="C4",posicao_contratual!W95,""))))))</f>
        <v/>
      </c>
      <c r="M95" s="179" t="str">
        <f ca="1">IF(OR(A95="",$I$5="",$I$6=""),"",ROUND(SUMIFS(aditivos!$L$2:$L$200,aditivos!$A$2:$A$200,A95,aditivos!$B$2:$B$200,"&gt;"&amp;$I$6,aditivos!$B$2:$B$200,"&lt;="&amp;$I$5),2))</f>
        <v/>
      </c>
      <c r="N95" s="179" t="str">
        <f t="shared" si="9"/>
        <v/>
      </c>
      <c r="O95" s="179" t="str">
        <f ca="1">IF(OR(A95="",D95="",NOT(ISNUMBER(IF($I$4="C0",historico_VU!C95,IF($I$4="C1",historico_VU!D95,IF($I$4="C2",historico_VU!E95,IF($I$4="C3",historico_VU!F95,IF($I$4="C4",historico_VU!G95,"")))))))),"",ROUND(D95*IF($I$4="C0",historico_VU!C95,IF($I$4="C1",historico_VU!D95,IF($I$4="C2",historico_VU!E95,IF($I$4="C3",historico_VU!F95,IF($I$4="C4",historico_VU!G95,""))))),2))</f>
        <v/>
      </c>
      <c r="P95" s="179" t="str">
        <f ca="1">IF(OR(A95="",N95="",NOT(ISNUMBER(IF($I$4="C0",historico_VU!C95,IF($I$4="C1",historico_VU!D95,IF($I$4="C2",historico_VU!E95,IF($I$4="C3",historico_VU!F95,IF($I$4="C4",historico_VU!G95,"")))))))),"",ROUND(N95*IF($I$4="C0",historico_VU!C95,IF($I$4="C1",historico_VU!D95,IF($I$4="C2",historico_VU!E95,IF($I$4="C3",historico_VU!F95,IF($I$4="C4",historico_VU!G95,""))))),2))</f>
        <v/>
      </c>
      <c r="Q95" s="179" t="str">
        <f t="shared" si="10"/>
        <v/>
      </c>
      <c r="R95" s="179" t="str">
        <f ca="1">IF(OR(A95="",L95="",NOT(ISNUMBER(IF($I$4="C0",historico_VU!C95,IF($I$4="C1",historico_VU!D95,IF($I$4="C2",historico_VU!E95,IF($I$4="C3",historico_VU!F95,IF($I$4="C4",historico_VU!G95,"")))))))),"",ROUND(L95*IF($I$4="C0",historico_VU!C95,IF($I$4="C1",historico_VU!D95,IF($I$4="C2",historico_VU!E95,IF($I$4="C3",historico_VU!F95,IF($I$4="C4",historico_VU!G95,""))))),2))</f>
        <v/>
      </c>
    </row>
    <row r="96" spans="1:18" x14ac:dyDescent="0.35">
      <c r="A96" s="81" t="str">
        <f>IF(itens_Remanesc!A96="","",itens_Remanesc!A96)</f>
        <v/>
      </c>
      <c r="B96" s="217" t="str">
        <f t="shared" ca="1" si="11"/>
        <v/>
      </c>
      <c r="C96" s="218" t="str">
        <f>IF(A96="","",IF($I$5="","POSICAO DE REFERENCIA INDISPONIVEL",ROUND(IF(itens_Remanesc!B96="",0,itens_Remanesc!B96)+SUMIFS(aditivos!$L$2:$L$200,aditivos!$A$2:$A$200,A96,aditivos!$B$2:$B$200,"&lt;="&amp;$I$5),2)))</f>
        <v/>
      </c>
      <c r="D96" s="218" t="str">
        <f>IF(A96="","",IF($I$4="","",IF($I$2,IF(ISNUMBER(B96),B96,""),IF($I$4="C0",posicao_contratual!G96,IF($I$4="C1",posicao_contratual!K96,IF($I$4="C2",posicao_contratual!O96,IF($I$4="C3",posicao_contratual!S96,IF($I$4="C4",posicao_contratual!W96,""))))))))</f>
        <v/>
      </c>
      <c r="E96" s="219" t="str">
        <f t="shared" si="8"/>
        <v/>
      </c>
      <c r="F96" s="81" t="str">
        <f>IF(A96="","",IF(COUNTIF($A$2:$A$200,A96)&gt;1,"ITEM DUPLICADO",IF($I$4="","POSICAO DE REFERENCIA INDISPONIVEL",IF(AND(B96&lt;&gt;"",NOT(ISNUMBER(B96))),"QTD NAO NUMERICA",IF(AND(ISNUMBER(B96),B96&lt;0),"NEGATIVO NAO PERMITIDO",IF(NOT(ISNUMBER(C96)),"POSICAO CONTRATUAL INDISPONIVEL",IF(OR(AND(posicao_contratual!$Y96&lt;&gt;"",posicao_contratual!$Y96&gt;IFERROR(VALUE(MID($I$4,2,1)),-1)),AND(posicao_contratual!$Z96,ISNUMBER(C96),C96&lt;=0)),"ITEM POSTERIOR A REFERENCIA",IF(D96="","REMANESCENTE DE REFERENCIA INDISPONIVEL",IF(AND(ISNUMBER(D96),ISNUMBER(C96),D96&gt;C96),"REMANESCENTE DE REFERENCIA SUPERA POSICAO CONTRATUAL","OK")))))))))</f>
        <v/>
      </c>
      <c r="K96" s="179" t="str">
        <f>IF(A96="","",itens_Remanesc!C96)</f>
        <v/>
      </c>
      <c r="L96" s="179" t="str">
        <f>IF(A96="","",IF($I$4="C0",posicao_contratual!G96,IF($I$4="C1",posicao_contratual!K96,IF($I$4="C2",posicao_contratual!O96,IF($I$4="C3",posicao_contratual!S96,IF($I$4="C4",posicao_contratual!W96,""))))))</f>
        <v/>
      </c>
      <c r="M96" s="179" t="str">
        <f ca="1">IF(OR(A96="",$I$5="",$I$6=""),"",ROUND(SUMIFS(aditivos!$L$2:$L$200,aditivos!$A$2:$A$200,A96,aditivos!$B$2:$B$200,"&gt;"&amp;$I$6,aditivos!$B$2:$B$200,"&lt;="&amp;$I$5),2))</f>
        <v/>
      </c>
      <c r="N96" s="179" t="str">
        <f t="shared" si="9"/>
        <v/>
      </c>
      <c r="O96" s="179" t="str">
        <f ca="1">IF(OR(A96="",D96="",NOT(ISNUMBER(IF($I$4="C0",historico_VU!C96,IF($I$4="C1",historico_VU!D96,IF($I$4="C2",historico_VU!E96,IF($I$4="C3",historico_VU!F96,IF($I$4="C4",historico_VU!G96,"")))))))),"",ROUND(D96*IF($I$4="C0",historico_VU!C96,IF($I$4="C1",historico_VU!D96,IF($I$4="C2",historico_VU!E96,IF($I$4="C3",historico_VU!F96,IF($I$4="C4",historico_VU!G96,""))))),2))</f>
        <v/>
      </c>
      <c r="P96" s="179" t="str">
        <f ca="1">IF(OR(A96="",N96="",NOT(ISNUMBER(IF($I$4="C0",historico_VU!C96,IF($I$4="C1",historico_VU!D96,IF($I$4="C2",historico_VU!E96,IF($I$4="C3",historico_VU!F96,IF($I$4="C4",historico_VU!G96,"")))))))),"",ROUND(N96*IF($I$4="C0",historico_VU!C96,IF($I$4="C1",historico_VU!D96,IF($I$4="C2",historico_VU!E96,IF($I$4="C3",historico_VU!F96,IF($I$4="C4",historico_VU!G96,""))))),2))</f>
        <v/>
      </c>
      <c r="Q96" s="179" t="str">
        <f t="shared" si="10"/>
        <v/>
      </c>
      <c r="R96" s="179" t="str">
        <f ca="1">IF(OR(A96="",L96="",NOT(ISNUMBER(IF($I$4="C0",historico_VU!C96,IF($I$4="C1",historico_VU!D96,IF($I$4="C2",historico_VU!E96,IF($I$4="C3",historico_VU!F96,IF($I$4="C4",historico_VU!G96,"")))))))),"",ROUND(L96*IF($I$4="C0",historico_VU!C96,IF($I$4="C1",historico_VU!D96,IF($I$4="C2",historico_VU!E96,IF($I$4="C3",historico_VU!F96,IF($I$4="C4",historico_VU!G96,""))))),2))</f>
        <v/>
      </c>
    </row>
    <row r="97" spans="1:18" x14ac:dyDescent="0.35">
      <c r="A97" s="81" t="str">
        <f>IF(itens_Remanesc!A97="","",itens_Remanesc!A97)</f>
        <v/>
      </c>
      <c r="B97" s="217" t="str">
        <f t="shared" ca="1" si="11"/>
        <v/>
      </c>
      <c r="C97" s="218" t="str">
        <f>IF(A97="","",IF($I$5="","POSICAO DE REFERENCIA INDISPONIVEL",ROUND(IF(itens_Remanesc!B97="",0,itens_Remanesc!B97)+SUMIFS(aditivos!$L$2:$L$200,aditivos!$A$2:$A$200,A97,aditivos!$B$2:$B$200,"&lt;="&amp;$I$5),2)))</f>
        <v/>
      </c>
      <c r="D97" s="218" t="str">
        <f>IF(A97="","",IF($I$4="","",IF($I$2,IF(ISNUMBER(B97),B97,""),IF($I$4="C0",posicao_contratual!G97,IF($I$4="C1",posicao_contratual!K97,IF($I$4="C2",posicao_contratual!O97,IF($I$4="C3",posicao_contratual!S97,IF($I$4="C4",posicao_contratual!W97,""))))))))</f>
        <v/>
      </c>
      <c r="E97" s="219" t="str">
        <f t="shared" si="8"/>
        <v/>
      </c>
      <c r="F97" s="81" t="str">
        <f>IF(A97="","",IF(COUNTIF($A$2:$A$200,A97)&gt;1,"ITEM DUPLICADO",IF($I$4="","POSICAO DE REFERENCIA INDISPONIVEL",IF(AND(B97&lt;&gt;"",NOT(ISNUMBER(B97))),"QTD NAO NUMERICA",IF(AND(ISNUMBER(B97),B97&lt;0),"NEGATIVO NAO PERMITIDO",IF(NOT(ISNUMBER(C97)),"POSICAO CONTRATUAL INDISPONIVEL",IF(OR(AND(posicao_contratual!$Y97&lt;&gt;"",posicao_contratual!$Y97&gt;IFERROR(VALUE(MID($I$4,2,1)),-1)),AND(posicao_contratual!$Z97,ISNUMBER(C97),C97&lt;=0)),"ITEM POSTERIOR A REFERENCIA",IF(D97="","REMANESCENTE DE REFERENCIA INDISPONIVEL",IF(AND(ISNUMBER(D97),ISNUMBER(C97),D97&gt;C97),"REMANESCENTE DE REFERENCIA SUPERA POSICAO CONTRATUAL","OK")))))))))</f>
        <v/>
      </c>
      <c r="K97" s="179" t="str">
        <f>IF(A97="","",itens_Remanesc!C97)</f>
        <v/>
      </c>
      <c r="L97" s="179" t="str">
        <f>IF(A97="","",IF($I$4="C0",posicao_contratual!G97,IF($I$4="C1",posicao_contratual!K97,IF($I$4="C2",posicao_contratual!O97,IF($I$4="C3",posicao_contratual!S97,IF($I$4="C4",posicao_contratual!W97,""))))))</f>
        <v/>
      </c>
      <c r="M97" s="179" t="str">
        <f ca="1">IF(OR(A97="",$I$5="",$I$6=""),"",ROUND(SUMIFS(aditivos!$L$2:$L$200,aditivos!$A$2:$A$200,A97,aditivos!$B$2:$B$200,"&gt;"&amp;$I$6,aditivos!$B$2:$B$200,"&lt;="&amp;$I$5),2))</f>
        <v/>
      </c>
      <c r="N97" s="179" t="str">
        <f t="shared" si="9"/>
        <v/>
      </c>
      <c r="O97" s="179" t="str">
        <f ca="1">IF(OR(A97="",D97="",NOT(ISNUMBER(IF($I$4="C0",historico_VU!C97,IF($I$4="C1",historico_VU!D97,IF($I$4="C2",historico_VU!E97,IF($I$4="C3",historico_VU!F97,IF($I$4="C4",historico_VU!G97,"")))))))),"",ROUND(D97*IF($I$4="C0",historico_VU!C97,IF($I$4="C1",historico_VU!D97,IF($I$4="C2",historico_VU!E97,IF($I$4="C3",historico_VU!F97,IF($I$4="C4",historico_VU!G97,""))))),2))</f>
        <v/>
      </c>
      <c r="P97" s="179" t="str">
        <f ca="1">IF(OR(A97="",N97="",NOT(ISNUMBER(IF($I$4="C0",historico_VU!C97,IF($I$4="C1",historico_VU!D97,IF($I$4="C2",historico_VU!E97,IF($I$4="C3",historico_VU!F97,IF($I$4="C4",historico_VU!G97,"")))))))),"",ROUND(N97*IF($I$4="C0",historico_VU!C97,IF($I$4="C1",historico_VU!D97,IF($I$4="C2",historico_VU!E97,IF($I$4="C3",historico_VU!F97,IF($I$4="C4",historico_VU!G97,""))))),2))</f>
        <v/>
      </c>
      <c r="Q97" s="179" t="str">
        <f t="shared" si="10"/>
        <v/>
      </c>
      <c r="R97" s="179" t="str">
        <f ca="1">IF(OR(A97="",L97="",NOT(ISNUMBER(IF($I$4="C0",historico_VU!C97,IF($I$4="C1",historico_VU!D97,IF($I$4="C2",historico_VU!E97,IF($I$4="C3",historico_VU!F97,IF($I$4="C4",historico_VU!G97,"")))))))),"",ROUND(L97*IF($I$4="C0",historico_VU!C97,IF($I$4="C1",historico_VU!D97,IF($I$4="C2",historico_VU!E97,IF($I$4="C3",historico_VU!F97,IF($I$4="C4",historico_VU!G97,""))))),2))</f>
        <v/>
      </c>
    </row>
    <row r="98" spans="1:18" x14ac:dyDescent="0.35">
      <c r="A98" s="81" t="str">
        <f>IF(itens_Remanesc!A98="","",itens_Remanesc!A98)</f>
        <v/>
      </c>
      <c r="B98" s="217" t="str">
        <f t="shared" ca="1" si="11"/>
        <v/>
      </c>
      <c r="C98" s="218" t="str">
        <f>IF(A98="","",IF($I$5="","POSICAO DE REFERENCIA INDISPONIVEL",ROUND(IF(itens_Remanesc!B98="",0,itens_Remanesc!B98)+SUMIFS(aditivos!$L$2:$L$200,aditivos!$A$2:$A$200,A98,aditivos!$B$2:$B$200,"&lt;="&amp;$I$5),2)))</f>
        <v/>
      </c>
      <c r="D98" s="218" t="str">
        <f>IF(A98="","",IF($I$4="","",IF($I$2,IF(ISNUMBER(B98),B98,""),IF($I$4="C0",posicao_contratual!G98,IF($I$4="C1",posicao_contratual!K98,IF($I$4="C2",posicao_contratual!O98,IF($I$4="C3",posicao_contratual!S98,IF($I$4="C4",posicao_contratual!W98,""))))))))</f>
        <v/>
      </c>
      <c r="E98" s="219" t="str">
        <f t="shared" ref="E98:E129" si="12">IF(A98="","",IF($I$4="","POSICAO DE REFERENCIA INDISPONIVEL",IF($I$2,"POSICAO FISICA (CICLO_EM_EXECUCAO)",IF(ISNUMBER(B98),"POSICAO FISICA NAO UTILIZAVEL - FOTOGRAFIA "&amp;$I$4,"FOTOGRAFIA "&amp;$I$4))))</f>
        <v/>
      </c>
      <c r="F98" s="81" t="str">
        <f>IF(A98="","",IF(COUNTIF($A$2:$A$200,A98)&gt;1,"ITEM DUPLICADO",IF($I$4="","POSICAO DE REFERENCIA INDISPONIVEL",IF(AND(B98&lt;&gt;"",NOT(ISNUMBER(B98))),"QTD NAO NUMERICA",IF(AND(ISNUMBER(B98),B98&lt;0),"NEGATIVO NAO PERMITIDO",IF(NOT(ISNUMBER(C98)),"POSICAO CONTRATUAL INDISPONIVEL",IF(OR(AND(posicao_contratual!$Y98&lt;&gt;"",posicao_contratual!$Y98&gt;IFERROR(VALUE(MID($I$4,2,1)),-1)),AND(posicao_contratual!$Z98,ISNUMBER(C98),C98&lt;=0)),"ITEM POSTERIOR A REFERENCIA",IF(D98="","REMANESCENTE DE REFERENCIA INDISPONIVEL",IF(AND(ISNUMBER(D98),ISNUMBER(C98),D98&gt;C98),"REMANESCENTE DE REFERENCIA SUPERA POSICAO CONTRATUAL","OK")))))))))</f>
        <v/>
      </c>
      <c r="K98" s="179" t="str">
        <f>IF(A98="","",itens_Remanesc!C98)</f>
        <v/>
      </c>
      <c r="L98" s="179" t="str">
        <f>IF(A98="","",IF($I$4="C0",posicao_contratual!G98,IF($I$4="C1",posicao_contratual!K98,IF($I$4="C2",posicao_contratual!O98,IF($I$4="C3",posicao_contratual!S98,IF($I$4="C4",posicao_contratual!W98,""))))))</f>
        <v/>
      </c>
      <c r="M98" s="179" t="str">
        <f ca="1">IF(OR(A98="",$I$5="",$I$6=""),"",ROUND(SUMIFS(aditivos!$L$2:$L$200,aditivos!$A$2:$A$200,A98,aditivos!$B$2:$B$200,"&gt;"&amp;$I$6,aditivos!$B$2:$B$200,"&lt;="&amp;$I$5),2))</f>
        <v/>
      </c>
      <c r="N98" s="179" t="str">
        <f t="shared" ref="N98:N129" si="13">IF(OR(A98="",L98="",D98=""),"",ROUND(MAX(L98+IF(ISNUMBER(M98),M98,0)-D98,0),2))</f>
        <v/>
      </c>
      <c r="O98" s="179" t="str">
        <f ca="1">IF(OR(A98="",D98="",NOT(ISNUMBER(IF($I$4="C0",historico_VU!C98,IF($I$4="C1",historico_VU!D98,IF($I$4="C2",historico_VU!E98,IF($I$4="C3",historico_VU!F98,IF($I$4="C4",historico_VU!G98,"")))))))),"",ROUND(D98*IF($I$4="C0",historico_VU!C98,IF($I$4="C1",historico_VU!D98,IF($I$4="C2",historico_VU!E98,IF($I$4="C3",historico_VU!F98,IF($I$4="C4",historico_VU!G98,""))))),2))</f>
        <v/>
      </c>
      <c r="P98" s="179" t="str">
        <f ca="1">IF(OR(A98="",N98="",NOT(ISNUMBER(IF($I$4="C0",historico_VU!C98,IF($I$4="C1",historico_VU!D98,IF($I$4="C2",historico_VU!E98,IF($I$4="C3",historico_VU!F98,IF($I$4="C4",historico_VU!G98,"")))))))),"",ROUND(N98*IF($I$4="C0",historico_VU!C98,IF($I$4="C1",historico_VU!D98,IF($I$4="C2",historico_VU!E98,IF($I$4="C3",historico_VU!F98,IF($I$4="C4",historico_VU!G98,""))))),2))</f>
        <v/>
      </c>
      <c r="Q98" s="179" t="str">
        <f t="shared" ref="Q98:Q129" si="14">IF(OR(A98="",D98="",K98=""),"",ROUND(D98*K98,2))</f>
        <v/>
      </c>
      <c r="R98" s="179" t="str">
        <f ca="1">IF(OR(A98="",L98="",NOT(ISNUMBER(IF($I$4="C0",historico_VU!C98,IF($I$4="C1",historico_VU!D98,IF($I$4="C2",historico_VU!E98,IF($I$4="C3",historico_VU!F98,IF($I$4="C4",historico_VU!G98,"")))))))),"",ROUND(L98*IF($I$4="C0",historico_VU!C98,IF($I$4="C1",historico_VU!D98,IF($I$4="C2",historico_VU!E98,IF($I$4="C3",historico_VU!F98,IF($I$4="C4",historico_VU!G98,""))))),2))</f>
        <v/>
      </c>
    </row>
    <row r="99" spans="1:18" x14ac:dyDescent="0.35">
      <c r="A99" s="81" t="str">
        <f>IF(itens_Remanesc!A99="","",itens_Remanesc!A99)</f>
        <v/>
      </c>
      <c r="B99" s="217" t="str">
        <f t="shared" ca="1" si="11"/>
        <v/>
      </c>
      <c r="C99" s="218" t="str">
        <f>IF(A99="","",IF($I$5="","POSICAO DE REFERENCIA INDISPONIVEL",ROUND(IF(itens_Remanesc!B99="",0,itens_Remanesc!B99)+SUMIFS(aditivos!$L$2:$L$200,aditivos!$A$2:$A$200,A99,aditivos!$B$2:$B$200,"&lt;="&amp;$I$5),2)))</f>
        <v/>
      </c>
      <c r="D99" s="218" t="str">
        <f>IF(A99="","",IF($I$4="","",IF($I$2,IF(ISNUMBER(B99),B99,""),IF($I$4="C0",posicao_contratual!G99,IF($I$4="C1",posicao_contratual!K99,IF($I$4="C2",posicao_contratual!O99,IF($I$4="C3",posicao_contratual!S99,IF($I$4="C4",posicao_contratual!W99,""))))))))</f>
        <v/>
      </c>
      <c r="E99" s="219" t="str">
        <f t="shared" si="12"/>
        <v/>
      </c>
      <c r="F99" s="81" t="str">
        <f>IF(A99="","",IF(COUNTIF($A$2:$A$200,A99)&gt;1,"ITEM DUPLICADO",IF($I$4="","POSICAO DE REFERENCIA INDISPONIVEL",IF(AND(B99&lt;&gt;"",NOT(ISNUMBER(B99))),"QTD NAO NUMERICA",IF(AND(ISNUMBER(B99),B99&lt;0),"NEGATIVO NAO PERMITIDO",IF(NOT(ISNUMBER(C99)),"POSICAO CONTRATUAL INDISPONIVEL",IF(OR(AND(posicao_contratual!$Y99&lt;&gt;"",posicao_contratual!$Y99&gt;IFERROR(VALUE(MID($I$4,2,1)),-1)),AND(posicao_contratual!$Z99,ISNUMBER(C99),C99&lt;=0)),"ITEM POSTERIOR A REFERENCIA",IF(D99="","REMANESCENTE DE REFERENCIA INDISPONIVEL",IF(AND(ISNUMBER(D99),ISNUMBER(C99),D99&gt;C99),"REMANESCENTE DE REFERENCIA SUPERA POSICAO CONTRATUAL","OK")))))))))</f>
        <v/>
      </c>
      <c r="K99" s="179" t="str">
        <f>IF(A99="","",itens_Remanesc!C99)</f>
        <v/>
      </c>
      <c r="L99" s="179" t="str">
        <f>IF(A99="","",IF($I$4="C0",posicao_contratual!G99,IF($I$4="C1",posicao_contratual!K99,IF($I$4="C2",posicao_contratual!O99,IF($I$4="C3",posicao_contratual!S99,IF($I$4="C4",posicao_contratual!W99,""))))))</f>
        <v/>
      </c>
      <c r="M99" s="179" t="str">
        <f ca="1">IF(OR(A99="",$I$5="",$I$6=""),"",ROUND(SUMIFS(aditivos!$L$2:$L$200,aditivos!$A$2:$A$200,A99,aditivos!$B$2:$B$200,"&gt;"&amp;$I$6,aditivos!$B$2:$B$200,"&lt;="&amp;$I$5),2))</f>
        <v/>
      </c>
      <c r="N99" s="179" t="str">
        <f t="shared" si="13"/>
        <v/>
      </c>
      <c r="O99" s="179" t="str">
        <f ca="1">IF(OR(A99="",D99="",NOT(ISNUMBER(IF($I$4="C0",historico_VU!C99,IF($I$4="C1",historico_VU!D99,IF($I$4="C2",historico_VU!E99,IF($I$4="C3",historico_VU!F99,IF($I$4="C4",historico_VU!G99,"")))))))),"",ROUND(D99*IF($I$4="C0",historico_VU!C99,IF($I$4="C1",historico_VU!D99,IF($I$4="C2",historico_VU!E99,IF($I$4="C3",historico_VU!F99,IF($I$4="C4",historico_VU!G99,""))))),2))</f>
        <v/>
      </c>
      <c r="P99" s="179" t="str">
        <f ca="1">IF(OR(A99="",N99="",NOT(ISNUMBER(IF($I$4="C0",historico_VU!C99,IF($I$4="C1",historico_VU!D99,IF($I$4="C2",historico_VU!E99,IF($I$4="C3",historico_VU!F99,IF($I$4="C4",historico_VU!G99,"")))))))),"",ROUND(N99*IF($I$4="C0",historico_VU!C99,IF($I$4="C1",historico_VU!D99,IF($I$4="C2",historico_VU!E99,IF($I$4="C3",historico_VU!F99,IF($I$4="C4",historico_VU!G99,""))))),2))</f>
        <v/>
      </c>
      <c r="Q99" s="179" t="str">
        <f t="shared" si="14"/>
        <v/>
      </c>
      <c r="R99" s="179" t="str">
        <f ca="1">IF(OR(A99="",L99="",NOT(ISNUMBER(IF($I$4="C0",historico_VU!C99,IF($I$4="C1",historico_VU!D99,IF($I$4="C2",historico_VU!E99,IF($I$4="C3",historico_VU!F99,IF($I$4="C4",historico_VU!G99,"")))))))),"",ROUND(L99*IF($I$4="C0",historico_VU!C99,IF($I$4="C1",historico_VU!D99,IF($I$4="C2",historico_VU!E99,IF($I$4="C3",historico_VU!F99,IF($I$4="C4",historico_VU!G99,""))))),2))</f>
        <v/>
      </c>
    </row>
    <row r="100" spans="1:18" x14ac:dyDescent="0.35">
      <c r="A100" s="81" t="str">
        <f>IF(itens_Remanesc!A100="","",itens_Remanesc!A100)</f>
        <v/>
      </c>
      <c r="B100" s="217" t="str">
        <f t="shared" ca="1" si="11"/>
        <v/>
      </c>
      <c r="C100" s="218" t="str">
        <f>IF(A100="","",IF($I$5="","POSICAO DE REFERENCIA INDISPONIVEL",ROUND(IF(itens_Remanesc!B100="",0,itens_Remanesc!B100)+SUMIFS(aditivos!$L$2:$L$200,aditivos!$A$2:$A$200,A100,aditivos!$B$2:$B$200,"&lt;="&amp;$I$5),2)))</f>
        <v/>
      </c>
      <c r="D100" s="218" t="str">
        <f>IF(A100="","",IF($I$4="","",IF($I$2,IF(ISNUMBER(B100),B100,""),IF($I$4="C0",posicao_contratual!G100,IF($I$4="C1",posicao_contratual!K100,IF($I$4="C2",posicao_contratual!O100,IF($I$4="C3",posicao_contratual!S100,IF($I$4="C4",posicao_contratual!W100,""))))))))</f>
        <v/>
      </c>
      <c r="E100" s="219" t="str">
        <f t="shared" si="12"/>
        <v/>
      </c>
      <c r="F100" s="81" t="str">
        <f>IF(A100="","",IF(COUNTIF($A$2:$A$200,A100)&gt;1,"ITEM DUPLICADO",IF($I$4="","POSICAO DE REFERENCIA INDISPONIVEL",IF(AND(B100&lt;&gt;"",NOT(ISNUMBER(B100))),"QTD NAO NUMERICA",IF(AND(ISNUMBER(B100),B100&lt;0),"NEGATIVO NAO PERMITIDO",IF(NOT(ISNUMBER(C100)),"POSICAO CONTRATUAL INDISPONIVEL",IF(OR(AND(posicao_contratual!$Y100&lt;&gt;"",posicao_contratual!$Y100&gt;IFERROR(VALUE(MID($I$4,2,1)),-1)),AND(posicao_contratual!$Z100,ISNUMBER(C100),C100&lt;=0)),"ITEM POSTERIOR A REFERENCIA",IF(D100="","REMANESCENTE DE REFERENCIA INDISPONIVEL",IF(AND(ISNUMBER(D100),ISNUMBER(C100),D100&gt;C100),"REMANESCENTE DE REFERENCIA SUPERA POSICAO CONTRATUAL","OK")))))))))</f>
        <v/>
      </c>
      <c r="K100" s="179" t="str">
        <f>IF(A100="","",itens_Remanesc!C100)</f>
        <v/>
      </c>
      <c r="L100" s="179" t="str">
        <f>IF(A100="","",IF($I$4="C0",posicao_contratual!G100,IF($I$4="C1",posicao_contratual!K100,IF($I$4="C2",posicao_contratual!O100,IF($I$4="C3",posicao_contratual!S100,IF($I$4="C4",posicao_contratual!W100,""))))))</f>
        <v/>
      </c>
      <c r="M100" s="179" t="str">
        <f ca="1">IF(OR(A100="",$I$5="",$I$6=""),"",ROUND(SUMIFS(aditivos!$L$2:$L$200,aditivos!$A$2:$A$200,A100,aditivos!$B$2:$B$200,"&gt;"&amp;$I$6,aditivos!$B$2:$B$200,"&lt;="&amp;$I$5),2))</f>
        <v/>
      </c>
      <c r="N100" s="179" t="str">
        <f t="shared" si="13"/>
        <v/>
      </c>
      <c r="O100" s="179" t="str">
        <f ca="1">IF(OR(A100="",D100="",NOT(ISNUMBER(IF($I$4="C0",historico_VU!C100,IF($I$4="C1",historico_VU!D100,IF($I$4="C2",historico_VU!E100,IF($I$4="C3",historico_VU!F100,IF($I$4="C4",historico_VU!G100,"")))))))),"",ROUND(D100*IF($I$4="C0",historico_VU!C100,IF($I$4="C1",historico_VU!D100,IF($I$4="C2",historico_VU!E100,IF($I$4="C3",historico_VU!F100,IF($I$4="C4",historico_VU!G100,""))))),2))</f>
        <v/>
      </c>
      <c r="P100" s="179" t="str">
        <f ca="1">IF(OR(A100="",N100="",NOT(ISNUMBER(IF($I$4="C0",historico_VU!C100,IF($I$4="C1",historico_VU!D100,IF($I$4="C2",historico_VU!E100,IF($I$4="C3",historico_VU!F100,IF($I$4="C4",historico_VU!G100,"")))))))),"",ROUND(N100*IF($I$4="C0",historico_VU!C100,IF($I$4="C1",historico_VU!D100,IF($I$4="C2",historico_VU!E100,IF($I$4="C3",historico_VU!F100,IF($I$4="C4",historico_VU!G100,""))))),2))</f>
        <v/>
      </c>
      <c r="Q100" s="179" t="str">
        <f t="shared" si="14"/>
        <v/>
      </c>
      <c r="R100" s="179" t="str">
        <f ca="1">IF(OR(A100="",L100="",NOT(ISNUMBER(IF($I$4="C0",historico_VU!C100,IF($I$4="C1",historico_VU!D100,IF($I$4="C2",historico_VU!E100,IF($I$4="C3",historico_VU!F100,IF($I$4="C4",historico_VU!G100,"")))))))),"",ROUND(L100*IF($I$4="C0",historico_VU!C100,IF($I$4="C1",historico_VU!D100,IF($I$4="C2",historico_VU!E100,IF($I$4="C3",historico_VU!F100,IF($I$4="C4",historico_VU!G100,""))))),2))</f>
        <v/>
      </c>
    </row>
    <row r="101" spans="1:18" x14ac:dyDescent="0.35">
      <c r="A101" s="81" t="str">
        <f>IF(itens_Remanesc!A101="","",itens_Remanesc!A101)</f>
        <v/>
      </c>
      <c r="B101" s="217" t="str">
        <f t="shared" ref="B101:B132" ca="1" si="15">IF($A101="","",IF(NOT($I$2),"",IFERROR(IF(INDEX(INDIRECT("CICLO_EM_EXECUCAO!$C$13:$C$211"),MATCH($A101,INDIRECT("CICLO_EM_EXECUCAO!$A$13:$A$211"),0))="","",INDEX(INDIRECT("CICLO_EM_EXECUCAO!$C$13:$C$211"),MATCH($A101,INDIRECT("CICLO_EM_EXECUCAO!$A$13:$A$211"),0))),"")))</f>
        <v/>
      </c>
      <c r="C101" s="218" t="str">
        <f>IF(A101="","",IF($I$5="","POSICAO DE REFERENCIA INDISPONIVEL",ROUND(IF(itens_Remanesc!B101="",0,itens_Remanesc!B101)+SUMIFS(aditivos!$L$2:$L$200,aditivos!$A$2:$A$200,A101,aditivos!$B$2:$B$200,"&lt;="&amp;$I$5),2)))</f>
        <v/>
      </c>
      <c r="D101" s="218" t="str">
        <f>IF(A101="","",IF($I$4="","",IF($I$2,IF(ISNUMBER(B101),B101,""),IF($I$4="C0",posicao_contratual!G101,IF($I$4="C1",posicao_contratual!K101,IF($I$4="C2",posicao_contratual!O101,IF($I$4="C3",posicao_contratual!S101,IF($I$4="C4",posicao_contratual!W101,""))))))))</f>
        <v/>
      </c>
      <c r="E101" s="219" t="str">
        <f t="shared" si="12"/>
        <v/>
      </c>
      <c r="F101" s="81" t="str">
        <f>IF(A101="","",IF(COUNTIF($A$2:$A$200,A101)&gt;1,"ITEM DUPLICADO",IF($I$4="","POSICAO DE REFERENCIA INDISPONIVEL",IF(AND(B101&lt;&gt;"",NOT(ISNUMBER(B101))),"QTD NAO NUMERICA",IF(AND(ISNUMBER(B101),B101&lt;0),"NEGATIVO NAO PERMITIDO",IF(NOT(ISNUMBER(C101)),"POSICAO CONTRATUAL INDISPONIVEL",IF(OR(AND(posicao_contratual!$Y101&lt;&gt;"",posicao_contratual!$Y101&gt;IFERROR(VALUE(MID($I$4,2,1)),-1)),AND(posicao_contratual!$Z101,ISNUMBER(C101),C101&lt;=0)),"ITEM POSTERIOR A REFERENCIA",IF(D101="","REMANESCENTE DE REFERENCIA INDISPONIVEL",IF(AND(ISNUMBER(D101),ISNUMBER(C101),D101&gt;C101),"REMANESCENTE DE REFERENCIA SUPERA POSICAO CONTRATUAL","OK")))))))))</f>
        <v/>
      </c>
      <c r="K101" s="179" t="str">
        <f>IF(A101="","",itens_Remanesc!C101)</f>
        <v/>
      </c>
      <c r="L101" s="179" t="str">
        <f>IF(A101="","",IF($I$4="C0",posicao_contratual!G101,IF($I$4="C1",posicao_contratual!K101,IF($I$4="C2",posicao_contratual!O101,IF($I$4="C3",posicao_contratual!S101,IF($I$4="C4",posicao_contratual!W101,""))))))</f>
        <v/>
      </c>
      <c r="M101" s="179" t="str">
        <f ca="1">IF(OR(A101="",$I$5="",$I$6=""),"",ROUND(SUMIFS(aditivos!$L$2:$L$200,aditivos!$A$2:$A$200,A101,aditivos!$B$2:$B$200,"&gt;"&amp;$I$6,aditivos!$B$2:$B$200,"&lt;="&amp;$I$5),2))</f>
        <v/>
      </c>
      <c r="N101" s="179" t="str">
        <f t="shared" si="13"/>
        <v/>
      </c>
      <c r="O101" s="179" t="str">
        <f ca="1">IF(OR(A101="",D101="",NOT(ISNUMBER(IF($I$4="C0",historico_VU!C101,IF($I$4="C1",historico_VU!D101,IF($I$4="C2",historico_VU!E101,IF($I$4="C3",historico_VU!F101,IF($I$4="C4",historico_VU!G101,"")))))))),"",ROUND(D101*IF($I$4="C0",historico_VU!C101,IF($I$4="C1",historico_VU!D101,IF($I$4="C2",historico_VU!E101,IF($I$4="C3",historico_VU!F101,IF($I$4="C4",historico_VU!G101,""))))),2))</f>
        <v/>
      </c>
      <c r="P101" s="179" t="str">
        <f ca="1">IF(OR(A101="",N101="",NOT(ISNUMBER(IF($I$4="C0",historico_VU!C101,IF($I$4="C1",historico_VU!D101,IF($I$4="C2",historico_VU!E101,IF($I$4="C3",historico_VU!F101,IF($I$4="C4",historico_VU!G101,"")))))))),"",ROUND(N101*IF($I$4="C0",historico_VU!C101,IF($I$4="C1",historico_VU!D101,IF($I$4="C2",historico_VU!E101,IF($I$4="C3",historico_VU!F101,IF($I$4="C4",historico_VU!G101,""))))),2))</f>
        <v/>
      </c>
      <c r="Q101" s="179" t="str">
        <f t="shared" si="14"/>
        <v/>
      </c>
      <c r="R101" s="179" t="str">
        <f ca="1">IF(OR(A101="",L101="",NOT(ISNUMBER(IF($I$4="C0",historico_VU!C101,IF($I$4="C1",historico_VU!D101,IF($I$4="C2",historico_VU!E101,IF($I$4="C3",historico_VU!F101,IF($I$4="C4",historico_VU!G101,"")))))))),"",ROUND(L101*IF($I$4="C0",historico_VU!C101,IF($I$4="C1",historico_VU!D101,IF($I$4="C2",historico_VU!E101,IF($I$4="C3",historico_VU!F101,IF($I$4="C4",historico_VU!G101,""))))),2))</f>
        <v/>
      </c>
    </row>
    <row r="102" spans="1:18" x14ac:dyDescent="0.35">
      <c r="A102" s="81" t="str">
        <f>IF(itens_Remanesc!A102="","",itens_Remanesc!A102)</f>
        <v/>
      </c>
      <c r="B102" s="217" t="str">
        <f t="shared" ca="1" si="15"/>
        <v/>
      </c>
      <c r="C102" s="218" t="str">
        <f>IF(A102="","",IF($I$5="","POSICAO DE REFERENCIA INDISPONIVEL",ROUND(IF(itens_Remanesc!B102="",0,itens_Remanesc!B102)+SUMIFS(aditivos!$L$2:$L$200,aditivos!$A$2:$A$200,A102,aditivos!$B$2:$B$200,"&lt;="&amp;$I$5),2)))</f>
        <v/>
      </c>
      <c r="D102" s="218" t="str">
        <f>IF(A102="","",IF($I$4="","",IF($I$2,IF(ISNUMBER(B102),B102,""),IF($I$4="C0",posicao_contratual!G102,IF($I$4="C1",posicao_contratual!K102,IF($I$4="C2",posicao_contratual!O102,IF($I$4="C3",posicao_contratual!S102,IF($I$4="C4",posicao_contratual!W102,""))))))))</f>
        <v/>
      </c>
      <c r="E102" s="219" t="str">
        <f t="shared" si="12"/>
        <v/>
      </c>
      <c r="F102" s="81" t="str">
        <f>IF(A102="","",IF(COUNTIF($A$2:$A$200,A102)&gt;1,"ITEM DUPLICADO",IF($I$4="","POSICAO DE REFERENCIA INDISPONIVEL",IF(AND(B102&lt;&gt;"",NOT(ISNUMBER(B102))),"QTD NAO NUMERICA",IF(AND(ISNUMBER(B102),B102&lt;0),"NEGATIVO NAO PERMITIDO",IF(NOT(ISNUMBER(C102)),"POSICAO CONTRATUAL INDISPONIVEL",IF(OR(AND(posicao_contratual!$Y102&lt;&gt;"",posicao_contratual!$Y102&gt;IFERROR(VALUE(MID($I$4,2,1)),-1)),AND(posicao_contratual!$Z102,ISNUMBER(C102),C102&lt;=0)),"ITEM POSTERIOR A REFERENCIA",IF(D102="","REMANESCENTE DE REFERENCIA INDISPONIVEL",IF(AND(ISNUMBER(D102),ISNUMBER(C102),D102&gt;C102),"REMANESCENTE DE REFERENCIA SUPERA POSICAO CONTRATUAL","OK")))))))))</f>
        <v/>
      </c>
      <c r="K102" s="179" t="str">
        <f>IF(A102="","",itens_Remanesc!C102)</f>
        <v/>
      </c>
      <c r="L102" s="179" t="str">
        <f>IF(A102="","",IF($I$4="C0",posicao_contratual!G102,IF($I$4="C1",posicao_contratual!K102,IF($I$4="C2",posicao_contratual!O102,IF($I$4="C3",posicao_contratual!S102,IF($I$4="C4",posicao_contratual!W102,""))))))</f>
        <v/>
      </c>
      <c r="M102" s="179" t="str">
        <f ca="1">IF(OR(A102="",$I$5="",$I$6=""),"",ROUND(SUMIFS(aditivos!$L$2:$L$200,aditivos!$A$2:$A$200,A102,aditivos!$B$2:$B$200,"&gt;"&amp;$I$6,aditivos!$B$2:$B$200,"&lt;="&amp;$I$5),2))</f>
        <v/>
      </c>
      <c r="N102" s="179" t="str">
        <f t="shared" si="13"/>
        <v/>
      </c>
      <c r="O102" s="179" t="str">
        <f ca="1">IF(OR(A102="",D102="",NOT(ISNUMBER(IF($I$4="C0",historico_VU!C102,IF($I$4="C1",historico_VU!D102,IF($I$4="C2",historico_VU!E102,IF($I$4="C3",historico_VU!F102,IF($I$4="C4",historico_VU!G102,"")))))))),"",ROUND(D102*IF($I$4="C0",historico_VU!C102,IF($I$4="C1",historico_VU!D102,IF($I$4="C2",historico_VU!E102,IF($I$4="C3",historico_VU!F102,IF($I$4="C4",historico_VU!G102,""))))),2))</f>
        <v/>
      </c>
      <c r="P102" s="179" t="str">
        <f ca="1">IF(OR(A102="",N102="",NOT(ISNUMBER(IF($I$4="C0",historico_VU!C102,IF($I$4="C1",historico_VU!D102,IF($I$4="C2",historico_VU!E102,IF($I$4="C3",historico_VU!F102,IF($I$4="C4",historico_VU!G102,"")))))))),"",ROUND(N102*IF($I$4="C0",historico_VU!C102,IF($I$4="C1",historico_VU!D102,IF($I$4="C2",historico_VU!E102,IF($I$4="C3",historico_VU!F102,IF($I$4="C4",historico_VU!G102,""))))),2))</f>
        <v/>
      </c>
      <c r="Q102" s="179" t="str">
        <f t="shared" si="14"/>
        <v/>
      </c>
      <c r="R102" s="179" t="str">
        <f ca="1">IF(OR(A102="",L102="",NOT(ISNUMBER(IF($I$4="C0",historico_VU!C102,IF($I$4="C1",historico_VU!D102,IF($I$4="C2",historico_VU!E102,IF($I$4="C3",historico_VU!F102,IF($I$4="C4",historico_VU!G102,"")))))))),"",ROUND(L102*IF($I$4="C0",historico_VU!C102,IF($I$4="C1",historico_VU!D102,IF($I$4="C2",historico_VU!E102,IF($I$4="C3",historico_VU!F102,IF($I$4="C4",historico_VU!G102,""))))),2))</f>
        <v/>
      </c>
    </row>
    <row r="103" spans="1:18" x14ac:dyDescent="0.35">
      <c r="A103" s="81" t="str">
        <f>IF(itens_Remanesc!A103="","",itens_Remanesc!A103)</f>
        <v/>
      </c>
      <c r="B103" s="217" t="str">
        <f t="shared" ca="1" si="15"/>
        <v/>
      </c>
      <c r="C103" s="218" t="str">
        <f>IF(A103="","",IF($I$5="","POSICAO DE REFERENCIA INDISPONIVEL",ROUND(IF(itens_Remanesc!B103="",0,itens_Remanesc!B103)+SUMIFS(aditivos!$L$2:$L$200,aditivos!$A$2:$A$200,A103,aditivos!$B$2:$B$200,"&lt;="&amp;$I$5),2)))</f>
        <v/>
      </c>
      <c r="D103" s="218" t="str">
        <f>IF(A103="","",IF($I$4="","",IF($I$2,IF(ISNUMBER(B103),B103,""),IF($I$4="C0",posicao_contratual!G103,IF($I$4="C1",posicao_contratual!K103,IF($I$4="C2",posicao_contratual!O103,IF($I$4="C3",posicao_contratual!S103,IF($I$4="C4",posicao_contratual!W103,""))))))))</f>
        <v/>
      </c>
      <c r="E103" s="219" t="str">
        <f t="shared" si="12"/>
        <v/>
      </c>
      <c r="F103" s="81" t="str">
        <f>IF(A103="","",IF(COUNTIF($A$2:$A$200,A103)&gt;1,"ITEM DUPLICADO",IF($I$4="","POSICAO DE REFERENCIA INDISPONIVEL",IF(AND(B103&lt;&gt;"",NOT(ISNUMBER(B103))),"QTD NAO NUMERICA",IF(AND(ISNUMBER(B103),B103&lt;0),"NEGATIVO NAO PERMITIDO",IF(NOT(ISNUMBER(C103)),"POSICAO CONTRATUAL INDISPONIVEL",IF(OR(AND(posicao_contratual!$Y103&lt;&gt;"",posicao_contratual!$Y103&gt;IFERROR(VALUE(MID($I$4,2,1)),-1)),AND(posicao_contratual!$Z103,ISNUMBER(C103),C103&lt;=0)),"ITEM POSTERIOR A REFERENCIA",IF(D103="","REMANESCENTE DE REFERENCIA INDISPONIVEL",IF(AND(ISNUMBER(D103),ISNUMBER(C103),D103&gt;C103),"REMANESCENTE DE REFERENCIA SUPERA POSICAO CONTRATUAL","OK")))))))))</f>
        <v/>
      </c>
      <c r="K103" s="179" t="str">
        <f>IF(A103="","",itens_Remanesc!C103)</f>
        <v/>
      </c>
      <c r="L103" s="179" t="str">
        <f>IF(A103="","",IF($I$4="C0",posicao_contratual!G103,IF($I$4="C1",posicao_contratual!K103,IF($I$4="C2",posicao_contratual!O103,IF($I$4="C3",posicao_contratual!S103,IF($I$4="C4",posicao_contratual!W103,""))))))</f>
        <v/>
      </c>
      <c r="M103" s="179" t="str">
        <f ca="1">IF(OR(A103="",$I$5="",$I$6=""),"",ROUND(SUMIFS(aditivos!$L$2:$L$200,aditivos!$A$2:$A$200,A103,aditivos!$B$2:$B$200,"&gt;"&amp;$I$6,aditivos!$B$2:$B$200,"&lt;="&amp;$I$5),2))</f>
        <v/>
      </c>
      <c r="N103" s="179" t="str">
        <f t="shared" si="13"/>
        <v/>
      </c>
      <c r="O103" s="179" t="str">
        <f ca="1">IF(OR(A103="",D103="",NOT(ISNUMBER(IF($I$4="C0",historico_VU!C103,IF($I$4="C1",historico_VU!D103,IF($I$4="C2",historico_VU!E103,IF($I$4="C3",historico_VU!F103,IF($I$4="C4",historico_VU!G103,"")))))))),"",ROUND(D103*IF($I$4="C0",historico_VU!C103,IF($I$4="C1",historico_VU!D103,IF($I$4="C2",historico_VU!E103,IF($I$4="C3",historico_VU!F103,IF($I$4="C4",historico_VU!G103,""))))),2))</f>
        <v/>
      </c>
      <c r="P103" s="179" t="str">
        <f ca="1">IF(OR(A103="",N103="",NOT(ISNUMBER(IF($I$4="C0",historico_VU!C103,IF($I$4="C1",historico_VU!D103,IF($I$4="C2",historico_VU!E103,IF($I$4="C3",historico_VU!F103,IF($I$4="C4",historico_VU!G103,"")))))))),"",ROUND(N103*IF($I$4="C0",historico_VU!C103,IF($I$4="C1",historico_VU!D103,IF($I$4="C2",historico_VU!E103,IF($I$4="C3",historico_VU!F103,IF($I$4="C4",historico_VU!G103,""))))),2))</f>
        <v/>
      </c>
      <c r="Q103" s="179" t="str">
        <f t="shared" si="14"/>
        <v/>
      </c>
      <c r="R103" s="179" t="str">
        <f ca="1">IF(OR(A103="",L103="",NOT(ISNUMBER(IF($I$4="C0",historico_VU!C103,IF($I$4="C1",historico_VU!D103,IF($I$4="C2",historico_VU!E103,IF($I$4="C3",historico_VU!F103,IF($I$4="C4",historico_VU!G103,"")))))))),"",ROUND(L103*IF($I$4="C0",historico_VU!C103,IF($I$4="C1",historico_VU!D103,IF($I$4="C2",historico_VU!E103,IF($I$4="C3",historico_VU!F103,IF($I$4="C4",historico_VU!G103,""))))),2))</f>
        <v/>
      </c>
    </row>
    <row r="104" spans="1:18" x14ac:dyDescent="0.35">
      <c r="A104" s="81" t="str">
        <f>IF(itens_Remanesc!A104="","",itens_Remanesc!A104)</f>
        <v/>
      </c>
      <c r="B104" s="217" t="str">
        <f t="shared" ca="1" si="15"/>
        <v/>
      </c>
      <c r="C104" s="218" t="str">
        <f>IF(A104="","",IF($I$5="","POSICAO DE REFERENCIA INDISPONIVEL",ROUND(IF(itens_Remanesc!B104="",0,itens_Remanesc!B104)+SUMIFS(aditivos!$L$2:$L$200,aditivos!$A$2:$A$200,A104,aditivos!$B$2:$B$200,"&lt;="&amp;$I$5),2)))</f>
        <v/>
      </c>
      <c r="D104" s="218" t="str">
        <f>IF(A104="","",IF($I$4="","",IF($I$2,IF(ISNUMBER(B104),B104,""),IF($I$4="C0",posicao_contratual!G104,IF($I$4="C1",posicao_contratual!K104,IF($I$4="C2",posicao_contratual!O104,IF($I$4="C3",posicao_contratual!S104,IF($I$4="C4",posicao_contratual!W104,""))))))))</f>
        <v/>
      </c>
      <c r="E104" s="219" t="str">
        <f t="shared" si="12"/>
        <v/>
      </c>
      <c r="F104" s="81" t="str">
        <f>IF(A104="","",IF(COUNTIF($A$2:$A$200,A104)&gt;1,"ITEM DUPLICADO",IF($I$4="","POSICAO DE REFERENCIA INDISPONIVEL",IF(AND(B104&lt;&gt;"",NOT(ISNUMBER(B104))),"QTD NAO NUMERICA",IF(AND(ISNUMBER(B104),B104&lt;0),"NEGATIVO NAO PERMITIDO",IF(NOT(ISNUMBER(C104)),"POSICAO CONTRATUAL INDISPONIVEL",IF(OR(AND(posicao_contratual!$Y104&lt;&gt;"",posicao_contratual!$Y104&gt;IFERROR(VALUE(MID($I$4,2,1)),-1)),AND(posicao_contratual!$Z104,ISNUMBER(C104),C104&lt;=0)),"ITEM POSTERIOR A REFERENCIA",IF(D104="","REMANESCENTE DE REFERENCIA INDISPONIVEL",IF(AND(ISNUMBER(D104),ISNUMBER(C104),D104&gt;C104),"REMANESCENTE DE REFERENCIA SUPERA POSICAO CONTRATUAL","OK")))))))))</f>
        <v/>
      </c>
      <c r="K104" s="179" t="str">
        <f>IF(A104="","",itens_Remanesc!C104)</f>
        <v/>
      </c>
      <c r="L104" s="179" t="str">
        <f>IF(A104="","",IF($I$4="C0",posicao_contratual!G104,IF($I$4="C1",posicao_contratual!K104,IF($I$4="C2",posicao_contratual!O104,IF($I$4="C3",posicao_contratual!S104,IF($I$4="C4",posicao_contratual!W104,""))))))</f>
        <v/>
      </c>
      <c r="M104" s="179" t="str">
        <f ca="1">IF(OR(A104="",$I$5="",$I$6=""),"",ROUND(SUMIFS(aditivos!$L$2:$L$200,aditivos!$A$2:$A$200,A104,aditivos!$B$2:$B$200,"&gt;"&amp;$I$6,aditivos!$B$2:$B$200,"&lt;="&amp;$I$5),2))</f>
        <v/>
      </c>
      <c r="N104" s="179" t="str">
        <f t="shared" si="13"/>
        <v/>
      </c>
      <c r="O104" s="179" t="str">
        <f ca="1">IF(OR(A104="",D104="",NOT(ISNUMBER(IF($I$4="C0",historico_VU!C104,IF($I$4="C1",historico_VU!D104,IF($I$4="C2",historico_VU!E104,IF($I$4="C3",historico_VU!F104,IF($I$4="C4",historico_VU!G104,"")))))))),"",ROUND(D104*IF($I$4="C0",historico_VU!C104,IF($I$4="C1",historico_VU!D104,IF($I$4="C2",historico_VU!E104,IF($I$4="C3",historico_VU!F104,IF($I$4="C4",historico_VU!G104,""))))),2))</f>
        <v/>
      </c>
      <c r="P104" s="179" t="str">
        <f ca="1">IF(OR(A104="",N104="",NOT(ISNUMBER(IF($I$4="C0",historico_VU!C104,IF($I$4="C1",historico_VU!D104,IF($I$4="C2",historico_VU!E104,IF($I$4="C3",historico_VU!F104,IF($I$4="C4",historico_VU!G104,"")))))))),"",ROUND(N104*IF($I$4="C0",historico_VU!C104,IF($I$4="C1",historico_VU!D104,IF($I$4="C2",historico_VU!E104,IF($I$4="C3",historico_VU!F104,IF($I$4="C4",historico_VU!G104,""))))),2))</f>
        <v/>
      </c>
      <c r="Q104" s="179" t="str">
        <f t="shared" si="14"/>
        <v/>
      </c>
      <c r="R104" s="179" t="str">
        <f ca="1">IF(OR(A104="",L104="",NOT(ISNUMBER(IF($I$4="C0",historico_VU!C104,IF($I$4="C1",historico_VU!D104,IF($I$4="C2",historico_VU!E104,IF($I$4="C3",historico_VU!F104,IF($I$4="C4",historico_VU!G104,"")))))))),"",ROUND(L104*IF($I$4="C0",historico_VU!C104,IF($I$4="C1",historico_VU!D104,IF($I$4="C2",historico_VU!E104,IF($I$4="C3",historico_VU!F104,IF($I$4="C4",historico_VU!G104,""))))),2))</f>
        <v/>
      </c>
    </row>
    <row r="105" spans="1:18" x14ac:dyDescent="0.35">
      <c r="A105" s="81" t="str">
        <f>IF(itens_Remanesc!A105="","",itens_Remanesc!A105)</f>
        <v/>
      </c>
      <c r="B105" s="217" t="str">
        <f t="shared" ca="1" si="15"/>
        <v/>
      </c>
      <c r="C105" s="218" t="str">
        <f>IF(A105="","",IF($I$5="","POSICAO DE REFERENCIA INDISPONIVEL",ROUND(IF(itens_Remanesc!B105="",0,itens_Remanesc!B105)+SUMIFS(aditivos!$L$2:$L$200,aditivos!$A$2:$A$200,A105,aditivos!$B$2:$B$200,"&lt;="&amp;$I$5),2)))</f>
        <v/>
      </c>
      <c r="D105" s="218" t="str">
        <f>IF(A105="","",IF($I$4="","",IF($I$2,IF(ISNUMBER(B105),B105,""),IF($I$4="C0",posicao_contratual!G105,IF($I$4="C1",posicao_contratual!K105,IF($I$4="C2",posicao_contratual!O105,IF($I$4="C3",posicao_contratual!S105,IF($I$4="C4",posicao_contratual!W105,""))))))))</f>
        <v/>
      </c>
      <c r="E105" s="219" t="str">
        <f t="shared" si="12"/>
        <v/>
      </c>
      <c r="F105" s="81" t="str">
        <f>IF(A105="","",IF(COUNTIF($A$2:$A$200,A105)&gt;1,"ITEM DUPLICADO",IF($I$4="","POSICAO DE REFERENCIA INDISPONIVEL",IF(AND(B105&lt;&gt;"",NOT(ISNUMBER(B105))),"QTD NAO NUMERICA",IF(AND(ISNUMBER(B105),B105&lt;0),"NEGATIVO NAO PERMITIDO",IF(NOT(ISNUMBER(C105)),"POSICAO CONTRATUAL INDISPONIVEL",IF(OR(AND(posicao_contratual!$Y105&lt;&gt;"",posicao_contratual!$Y105&gt;IFERROR(VALUE(MID($I$4,2,1)),-1)),AND(posicao_contratual!$Z105,ISNUMBER(C105),C105&lt;=0)),"ITEM POSTERIOR A REFERENCIA",IF(D105="","REMANESCENTE DE REFERENCIA INDISPONIVEL",IF(AND(ISNUMBER(D105),ISNUMBER(C105),D105&gt;C105),"REMANESCENTE DE REFERENCIA SUPERA POSICAO CONTRATUAL","OK")))))))))</f>
        <v/>
      </c>
      <c r="K105" s="179" t="str">
        <f>IF(A105="","",itens_Remanesc!C105)</f>
        <v/>
      </c>
      <c r="L105" s="179" t="str">
        <f>IF(A105="","",IF($I$4="C0",posicao_contratual!G105,IF($I$4="C1",posicao_contratual!K105,IF($I$4="C2",posicao_contratual!O105,IF($I$4="C3",posicao_contratual!S105,IF($I$4="C4",posicao_contratual!W105,""))))))</f>
        <v/>
      </c>
      <c r="M105" s="179" t="str">
        <f ca="1">IF(OR(A105="",$I$5="",$I$6=""),"",ROUND(SUMIFS(aditivos!$L$2:$L$200,aditivos!$A$2:$A$200,A105,aditivos!$B$2:$B$200,"&gt;"&amp;$I$6,aditivos!$B$2:$B$200,"&lt;="&amp;$I$5),2))</f>
        <v/>
      </c>
      <c r="N105" s="179" t="str">
        <f t="shared" si="13"/>
        <v/>
      </c>
      <c r="O105" s="179" t="str">
        <f ca="1">IF(OR(A105="",D105="",NOT(ISNUMBER(IF($I$4="C0",historico_VU!C105,IF($I$4="C1",historico_VU!D105,IF($I$4="C2",historico_VU!E105,IF($I$4="C3",historico_VU!F105,IF($I$4="C4",historico_VU!G105,"")))))))),"",ROUND(D105*IF($I$4="C0",historico_VU!C105,IF($I$4="C1",historico_VU!D105,IF($I$4="C2",historico_VU!E105,IF($I$4="C3",historico_VU!F105,IF($I$4="C4",historico_VU!G105,""))))),2))</f>
        <v/>
      </c>
      <c r="P105" s="179" t="str">
        <f ca="1">IF(OR(A105="",N105="",NOT(ISNUMBER(IF($I$4="C0",historico_VU!C105,IF($I$4="C1",historico_VU!D105,IF($I$4="C2",historico_VU!E105,IF($I$4="C3",historico_VU!F105,IF($I$4="C4",historico_VU!G105,"")))))))),"",ROUND(N105*IF($I$4="C0",historico_VU!C105,IF($I$4="C1",historico_VU!D105,IF($I$4="C2",historico_VU!E105,IF($I$4="C3",historico_VU!F105,IF($I$4="C4",historico_VU!G105,""))))),2))</f>
        <v/>
      </c>
      <c r="Q105" s="179" t="str">
        <f t="shared" si="14"/>
        <v/>
      </c>
      <c r="R105" s="179" t="str">
        <f ca="1">IF(OR(A105="",L105="",NOT(ISNUMBER(IF($I$4="C0",historico_VU!C105,IF($I$4="C1",historico_VU!D105,IF($I$4="C2",historico_VU!E105,IF($I$4="C3",historico_VU!F105,IF($I$4="C4",historico_VU!G105,"")))))))),"",ROUND(L105*IF($I$4="C0",historico_VU!C105,IF($I$4="C1",historico_VU!D105,IF($I$4="C2",historico_VU!E105,IF($I$4="C3",historico_VU!F105,IF($I$4="C4",historico_VU!G105,""))))),2))</f>
        <v/>
      </c>
    </row>
    <row r="106" spans="1:18" x14ac:dyDescent="0.35">
      <c r="A106" s="81" t="str">
        <f>IF(itens_Remanesc!A106="","",itens_Remanesc!A106)</f>
        <v/>
      </c>
      <c r="B106" s="217" t="str">
        <f t="shared" ca="1" si="15"/>
        <v/>
      </c>
      <c r="C106" s="218" t="str">
        <f>IF(A106="","",IF($I$5="","POSICAO DE REFERENCIA INDISPONIVEL",ROUND(IF(itens_Remanesc!B106="",0,itens_Remanesc!B106)+SUMIFS(aditivos!$L$2:$L$200,aditivos!$A$2:$A$200,A106,aditivos!$B$2:$B$200,"&lt;="&amp;$I$5),2)))</f>
        <v/>
      </c>
      <c r="D106" s="218" t="str">
        <f>IF(A106="","",IF($I$4="","",IF($I$2,IF(ISNUMBER(B106),B106,""),IF($I$4="C0",posicao_contratual!G106,IF($I$4="C1",posicao_contratual!K106,IF($I$4="C2",posicao_contratual!O106,IF($I$4="C3",posicao_contratual!S106,IF($I$4="C4",posicao_contratual!W106,""))))))))</f>
        <v/>
      </c>
      <c r="E106" s="219" t="str">
        <f t="shared" si="12"/>
        <v/>
      </c>
      <c r="F106" s="81" t="str">
        <f>IF(A106="","",IF(COUNTIF($A$2:$A$200,A106)&gt;1,"ITEM DUPLICADO",IF($I$4="","POSICAO DE REFERENCIA INDISPONIVEL",IF(AND(B106&lt;&gt;"",NOT(ISNUMBER(B106))),"QTD NAO NUMERICA",IF(AND(ISNUMBER(B106),B106&lt;0),"NEGATIVO NAO PERMITIDO",IF(NOT(ISNUMBER(C106)),"POSICAO CONTRATUAL INDISPONIVEL",IF(OR(AND(posicao_contratual!$Y106&lt;&gt;"",posicao_contratual!$Y106&gt;IFERROR(VALUE(MID($I$4,2,1)),-1)),AND(posicao_contratual!$Z106,ISNUMBER(C106),C106&lt;=0)),"ITEM POSTERIOR A REFERENCIA",IF(D106="","REMANESCENTE DE REFERENCIA INDISPONIVEL",IF(AND(ISNUMBER(D106),ISNUMBER(C106),D106&gt;C106),"REMANESCENTE DE REFERENCIA SUPERA POSICAO CONTRATUAL","OK")))))))))</f>
        <v/>
      </c>
      <c r="K106" s="179" t="str">
        <f>IF(A106="","",itens_Remanesc!C106)</f>
        <v/>
      </c>
      <c r="L106" s="179" t="str">
        <f>IF(A106="","",IF($I$4="C0",posicao_contratual!G106,IF($I$4="C1",posicao_contratual!K106,IF($I$4="C2",posicao_contratual!O106,IF($I$4="C3",posicao_contratual!S106,IF($I$4="C4",posicao_contratual!W106,""))))))</f>
        <v/>
      </c>
      <c r="M106" s="179" t="str">
        <f ca="1">IF(OR(A106="",$I$5="",$I$6=""),"",ROUND(SUMIFS(aditivos!$L$2:$L$200,aditivos!$A$2:$A$200,A106,aditivos!$B$2:$B$200,"&gt;"&amp;$I$6,aditivos!$B$2:$B$200,"&lt;="&amp;$I$5),2))</f>
        <v/>
      </c>
      <c r="N106" s="179" t="str">
        <f t="shared" si="13"/>
        <v/>
      </c>
      <c r="O106" s="179" t="str">
        <f ca="1">IF(OR(A106="",D106="",NOT(ISNUMBER(IF($I$4="C0",historico_VU!C106,IF($I$4="C1",historico_VU!D106,IF($I$4="C2",historico_VU!E106,IF($I$4="C3",historico_VU!F106,IF($I$4="C4",historico_VU!G106,"")))))))),"",ROUND(D106*IF($I$4="C0",historico_VU!C106,IF($I$4="C1",historico_VU!D106,IF($I$4="C2",historico_VU!E106,IF($I$4="C3",historico_VU!F106,IF($I$4="C4",historico_VU!G106,""))))),2))</f>
        <v/>
      </c>
      <c r="P106" s="179" t="str">
        <f ca="1">IF(OR(A106="",N106="",NOT(ISNUMBER(IF($I$4="C0",historico_VU!C106,IF($I$4="C1",historico_VU!D106,IF($I$4="C2",historico_VU!E106,IF($I$4="C3",historico_VU!F106,IF($I$4="C4",historico_VU!G106,"")))))))),"",ROUND(N106*IF($I$4="C0",historico_VU!C106,IF($I$4="C1",historico_VU!D106,IF($I$4="C2",historico_VU!E106,IF($I$4="C3",historico_VU!F106,IF($I$4="C4",historico_VU!G106,""))))),2))</f>
        <v/>
      </c>
      <c r="Q106" s="179" t="str">
        <f t="shared" si="14"/>
        <v/>
      </c>
      <c r="R106" s="179" t="str">
        <f ca="1">IF(OR(A106="",L106="",NOT(ISNUMBER(IF($I$4="C0",historico_VU!C106,IF($I$4="C1",historico_VU!D106,IF($I$4="C2",historico_VU!E106,IF($I$4="C3",historico_VU!F106,IF($I$4="C4",historico_VU!G106,"")))))))),"",ROUND(L106*IF($I$4="C0",historico_VU!C106,IF($I$4="C1",historico_VU!D106,IF($I$4="C2",historico_VU!E106,IF($I$4="C3",historico_VU!F106,IF($I$4="C4",historico_VU!G106,""))))),2))</f>
        <v/>
      </c>
    </row>
    <row r="107" spans="1:18" x14ac:dyDescent="0.35">
      <c r="A107" s="81" t="str">
        <f>IF(itens_Remanesc!A107="","",itens_Remanesc!A107)</f>
        <v/>
      </c>
      <c r="B107" s="217" t="str">
        <f t="shared" ca="1" si="15"/>
        <v/>
      </c>
      <c r="C107" s="218" t="str">
        <f>IF(A107="","",IF($I$5="","POSICAO DE REFERENCIA INDISPONIVEL",ROUND(IF(itens_Remanesc!B107="",0,itens_Remanesc!B107)+SUMIFS(aditivos!$L$2:$L$200,aditivos!$A$2:$A$200,A107,aditivos!$B$2:$B$200,"&lt;="&amp;$I$5),2)))</f>
        <v/>
      </c>
      <c r="D107" s="218" t="str">
        <f>IF(A107="","",IF($I$4="","",IF($I$2,IF(ISNUMBER(B107),B107,""),IF($I$4="C0",posicao_contratual!G107,IF($I$4="C1",posicao_contratual!K107,IF($I$4="C2",posicao_contratual!O107,IF($I$4="C3",posicao_contratual!S107,IF($I$4="C4",posicao_contratual!W107,""))))))))</f>
        <v/>
      </c>
      <c r="E107" s="219" t="str">
        <f t="shared" si="12"/>
        <v/>
      </c>
      <c r="F107" s="81" t="str">
        <f>IF(A107="","",IF(COUNTIF($A$2:$A$200,A107)&gt;1,"ITEM DUPLICADO",IF($I$4="","POSICAO DE REFERENCIA INDISPONIVEL",IF(AND(B107&lt;&gt;"",NOT(ISNUMBER(B107))),"QTD NAO NUMERICA",IF(AND(ISNUMBER(B107),B107&lt;0),"NEGATIVO NAO PERMITIDO",IF(NOT(ISNUMBER(C107)),"POSICAO CONTRATUAL INDISPONIVEL",IF(OR(AND(posicao_contratual!$Y107&lt;&gt;"",posicao_contratual!$Y107&gt;IFERROR(VALUE(MID($I$4,2,1)),-1)),AND(posicao_contratual!$Z107,ISNUMBER(C107),C107&lt;=0)),"ITEM POSTERIOR A REFERENCIA",IF(D107="","REMANESCENTE DE REFERENCIA INDISPONIVEL",IF(AND(ISNUMBER(D107),ISNUMBER(C107),D107&gt;C107),"REMANESCENTE DE REFERENCIA SUPERA POSICAO CONTRATUAL","OK")))))))))</f>
        <v/>
      </c>
      <c r="K107" s="179" t="str">
        <f>IF(A107="","",itens_Remanesc!C107)</f>
        <v/>
      </c>
      <c r="L107" s="179" t="str">
        <f>IF(A107="","",IF($I$4="C0",posicao_contratual!G107,IF($I$4="C1",posicao_contratual!K107,IF($I$4="C2",posicao_contratual!O107,IF($I$4="C3",posicao_contratual!S107,IF($I$4="C4",posicao_contratual!W107,""))))))</f>
        <v/>
      </c>
      <c r="M107" s="179" t="str">
        <f ca="1">IF(OR(A107="",$I$5="",$I$6=""),"",ROUND(SUMIFS(aditivos!$L$2:$L$200,aditivos!$A$2:$A$200,A107,aditivos!$B$2:$B$200,"&gt;"&amp;$I$6,aditivos!$B$2:$B$200,"&lt;="&amp;$I$5),2))</f>
        <v/>
      </c>
      <c r="N107" s="179" t="str">
        <f t="shared" si="13"/>
        <v/>
      </c>
      <c r="O107" s="179" t="str">
        <f ca="1">IF(OR(A107="",D107="",NOT(ISNUMBER(IF($I$4="C0",historico_VU!C107,IF($I$4="C1",historico_VU!D107,IF($I$4="C2",historico_VU!E107,IF($I$4="C3",historico_VU!F107,IF($I$4="C4",historico_VU!G107,"")))))))),"",ROUND(D107*IF($I$4="C0",historico_VU!C107,IF($I$4="C1",historico_VU!D107,IF($I$4="C2",historico_VU!E107,IF($I$4="C3",historico_VU!F107,IF($I$4="C4",historico_VU!G107,""))))),2))</f>
        <v/>
      </c>
      <c r="P107" s="179" t="str">
        <f ca="1">IF(OR(A107="",N107="",NOT(ISNUMBER(IF($I$4="C0",historico_VU!C107,IF($I$4="C1",historico_VU!D107,IF($I$4="C2",historico_VU!E107,IF($I$4="C3",historico_VU!F107,IF($I$4="C4",historico_VU!G107,"")))))))),"",ROUND(N107*IF($I$4="C0",historico_VU!C107,IF($I$4="C1",historico_VU!D107,IF($I$4="C2",historico_VU!E107,IF($I$4="C3",historico_VU!F107,IF($I$4="C4",historico_VU!G107,""))))),2))</f>
        <v/>
      </c>
      <c r="Q107" s="179" t="str">
        <f t="shared" si="14"/>
        <v/>
      </c>
      <c r="R107" s="179" t="str">
        <f ca="1">IF(OR(A107="",L107="",NOT(ISNUMBER(IF($I$4="C0",historico_VU!C107,IF($I$4="C1",historico_VU!D107,IF($I$4="C2",historico_VU!E107,IF($I$4="C3",historico_VU!F107,IF($I$4="C4",historico_VU!G107,"")))))))),"",ROUND(L107*IF($I$4="C0",historico_VU!C107,IF($I$4="C1",historico_VU!D107,IF($I$4="C2",historico_VU!E107,IF($I$4="C3",historico_VU!F107,IF($I$4="C4",historico_VU!G107,""))))),2))</f>
        <v/>
      </c>
    </row>
    <row r="108" spans="1:18" x14ac:dyDescent="0.35">
      <c r="A108" s="81" t="str">
        <f>IF(itens_Remanesc!A108="","",itens_Remanesc!A108)</f>
        <v/>
      </c>
      <c r="B108" s="217" t="str">
        <f t="shared" ca="1" si="15"/>
        <v/>
      </c>
      <c r="C108" s="218" t="str">
        <f>IF(A108="","",IF($I$5="","POSICAO DE REFERENCIA INDISPONIVEL",ROUND(IF(itens_Remanesc!B108="",0,itens_Remanesc!B108)+SUMIFS(aditivos!$L$2:$L$200,aditivos!$A$2:$A$200,A108,aditivos!$B$2:$B$200,"&lt;="&amp;$I$5),2)))</f>
        <v/>
      </c>
      <c r="D108" s="218" t="str">
        <f>IF(A108="","",IF($I$4="","",IF($I$2,IF(ISNUMBER(B108),B108,""),IF($I$4="C0",posicao_contratual!G108,IF($I$4="C1",posicao_contratual!K108,IF($I$4="C2",posicao_contratual!O108,IF($I$4="C3",posicao_contratual!S108,IF($I$4="C4",posicao_contratual!W108,""))))))))</f>
        <v/>
      </c>
      <c r="E108" s="219" t="str">
        <f t="shared" si="12"/>
        <v/>
      </c>
      <c r="F108" s="81" t="str">
        <f>IF(A108="","",IF(COUNTIF($A$2:$A$200,A108)&gt;1,"ITEM DUPLICADO",IF($I$4="","POSICAO DE REFERENCIA INDISPONIVEL",IF(AND(B108&lt;&gt;"",NOT(ISNUMBER(B108))),"QTD NAO NUMERICA",IF(AND(ISNUMBER(B108),B108&lt;0),"NEGATIVO NAO PERMITIDO",IF(NOT(ISNUMBER(C108)),"POSICAO CONTRATUAL INDISPONIVEL",IF(OR(AND(posicao_contratual!$Y108&lt;&gt;"",posicao_contratual!$Y108&gt;IFERROR(VALUE(MID($I$4,2,1)),-1)),AND(posicao_contratual!$Z108,ISNUMBER(C108),C108&lt;=0)),"ITEM POSTERIOR A REFERENCIA",IF(D108="","REMANESCENTE DE REFERENCIA INDISPONIVEL",IF(AND(ISNUMBER(D108),ISNUMBER(C108),D108&gt;C108),"REMANESCENTE DE REFERENCIA SUPERA POSICAO CONTRATUAL","OK")))))))))</f>
        <v/>
      </c>
      <c r="K108" s="179" t="str">
        <f>IF(A108="","",itens_Remanesc!C108)</f>
        <v/>
      </c>
      <c r="L108" s="179" t="str">
        <f>IF(A108="","",IF($I$4="C0",posicao_contratual!G108,IF($I$4="C1",posicao_contratual!K108,IF($I$4="C2",posicao_contratual!O108,IF($I$4="C3",posicao_contratual!S108,IF($I$4="C4",posicao_contratual!W108,""))))))</f>
        <v/>
      </c>
      <c r="M108" s="179" t="str">
        <f ca="1">IF(OR(A108="",$I$5="",$I$6=""),"",ROUND(SUMIFS(aditivos!$L$2:$L$200,aditivos!$A$2:$A$200,A108,aditivos!$B$2:$B$200,"&gt;"&amp;$I$6,aditivos!$B$2:$B$200,"&lt;="&amp;$I$5),2))</f>
        <v/>
      </c>
      <c r="N108" s="179" t="str">
        <f t="shared" si="13"/>
        <v/>
      </c>
      <c r="O108" s="179" t="str">
        <f ca="1">IF(OR(A108="",D108="",NOT(ISNUMBER(IF($I$4="C0",historico_VU!C108,IF($I$4="C1",historico_VU!D108,IF($I$4="C2",historico_VU!E108,IF($I$4="C3",historico_VU!F108,IF($I$4="C4",historico_VU!G108,"")))))))),"",ROUND(D108*IF($I$4="C0",historico_VU!C108,IF($I$4="C1",historico_VU!D108,IF($I$4="C2",historico_VU!E108,IF($I$4="C3",historico_VU!F108,IF($I$4="C4",historico_VU!G108,""))))),2))</f>
        <v/>
      </c>
      <c r="P108" s="179" t="str">
        <f ca="1">IF(OR(A108="",N108="",NOT(ISNUMBER(IF($I$4="C0",historico_VU!C108,IF($I$4="C1",historico_VU!D108,IF($I$4="C2",historico_VU!E108,IF($I$4="C3",historico_VU!F108,IF($I$4="C4",historico_VU!G108,"")))))))),"",ROUND(N108*IF($I$4="C0",historico_VU!C108,IF($I$4="C1",historico_VU!D108,IF($I$4="C2",historico_VU!E108,IF($I$4="C3",historico_VU!F108,IF($I$4="C4",historico_VU!G108,""))))),2))</f>
        <v/>
      </c>
      <c r="Q108" s="179" t="str">
        <f t="shared" si="14"/>
        <v/>
      </c>
      <c r="R108" s="179" t="str">
        <f ca="1">IF(OR(A108="",L108="",NOT(ISNUMBER(IF($I$4="C0",historico_VU!C108,IF($I$4="C1",historico_VU!D108,IF($I$4="C2",historico_VU!E108,IF($I$4="C3",historico_VU!F108,IF($I$4="C4",historico_VU!G108,"")))))))),"",ROUND(L108*IF($I$4="C0",historico_VU!C108,IF($I$4="C1",historico_VU!D108,IF($I$4="C2",historico_VU!E108,IF($I$4="C3",historico_VU!F108,IF($I$4="C4",historico_VU!G108,""))))),2))</f>
        <v/>
      </c>
    </row>
    <row r="109" spans="1:18" x14ac:dyDescent="0.35">
      <c r="A109" s="81" t="str">
        <f>IF(itens_Remanesc!A109="","",itens_Remanesc!A109)</f>
        <v/>
      </c>
      <c r="B109" s="217" t="str">
        <f t="shared" ca="1" si="15"/>
        <v/>
      </c>
      <c r="C109" s="218" t="str">
        <f>IF(A109="","",IF($I$5="","POSICAO DE REFERENCIA INDISPONIVEL",ROUND(IF(itens_Remanesc!B109="",0,itens_Remanesc!B109)+SUMIFS(aditivos!$L$2:$L$200,aditivos!$A$2:$A$200,A109,aditivos!$B$2:$B$200,"&lt;="&amp;$I$5),2)))</f>
        <v/>
      </c>
      <c r="D109" s="218" t="str">
        <f>IF(A109="","",IF($I$4="","",IF($I$2,IF(ISNUMBER(B109),B109,""),IF($I$4="C0",posicao_contratual!G109,IF($I$4="C1",posicao_contratual!K109,IF($I$4="C2",posicao_contratual!O109,IF($I$4="C3",posicao_contratual!S109,IF($I$4="C4",posicao_contratual!W109,""))))))))</f>
        <v/>
      </c>
      <c r="E109" s="219" t="str">
        <f t="shared" si="12"/>
        <v/>
      </c>
      <c r="F109" s="81" t="str">
        <f>IF(A109="","",IF(COUNTIF($A$2:$A$200,A109)&gt;1,"ITEM DUPLICADO",IF($I$4="","POSICAO DE REFERENCIA INDISPONIVEL",IF(AND(B109&lt;&gt;"",NOT(ISNUMBER(B109))),"QTD NAO NUMERICA",IF(AND(ISNUMBER(B109),B109&lt;0),"NEGATIVO NAO PERMITIDO",IF(NOT(ISNUMBER(C109)),"POSICAO CONTRATUAL INDISPONIVEL",IF(OR(AND(posicao_contratual!$Y109&lt;&gt;"",posicao_contratual!$Y109&gt;IFERROR(VALUE(MID($I$4,2,1)),-1)),AND(posicao_contratual!$Z109,ISNUMBER(C109),C109&lt;=0)),"ITEM POSTERIOR A REFERENCIA",IF(D109="","REMANESCENTE DE REFERENCIA INDISPONIVEL",IF(AND(ISNUMBER(D109),ISNUMBER(C109),D109&gt;C109),"REMANESCENTE DE REFERENCIA SUPERA POSICAO CONTRATUAL","OK")))))))))</f>
        <v/>
      </c>
      <c r="K109" s="179" t="str">
        <f>IF(A109="","",itens_Remanesc!C109)</f>
        <v/>
      </c>
      <c r="L109" s="179" t="str">
        <f>IF(A109="","",IF($I$4="C0",posicao_contratual!G109,IF($I$4="C1",posicao_contratual!K109,IF($I$4="C2",posicao_contratual!O109,IF($I$4="C3",posicao_contratual!S109,IF($I$4="C4",posicao_contratual!W109,""))))))</f>
        <v/>
      </c>
      <c r="M109" s="179" t="str">
        <f ca="1">IF(OR(A109="",$I$5="",$I$6=""),"",ROUND(SUMIFS(aditivos!$L$2:$L$200,aditivos!$A$2:$A$200,A109,aditivos!$B$2:$B$200,"&gt;"&amp;$I$6,aditivos!$B$2:$B$200,"&lt;="&amp;$I$5),2))</f>
        <v/>
      </c>
      <c r="N109" s="179" t="str">
        <f t="shared" si="13"/>
        <v/>
      </c>
      <c r="O109" s="179" t="str">
        <f ca="1">IF(OR(A109="",D109="",NOT(ISNUMBER(IF($I$4="C0",historico_VU!C109,IF($I$4="C1",historico_VU!D109,IF($I$4="C2",historico_VU!E109,IF($I$4="C3",historico_VU!F109,IF($I$4="C4",historico_VU!G109,"")))))))),"",ROUND(D109*IF($I$4="C0",historico_VU!C109,IF($I$4="C1",historico_VU!D109,IF($I$4="C2",historico_VU!E109,IF($I$4="C3",historico_VU!F109,IF($I$4="C4",historico_VU!G109,""))))),2))</f>
        <v/>
      </c>
      <c r="P109" s="179" t="str">
        <f ca="1">IF(OR(A109="",N109="",NOT(ISNUMBER(IF($I$4="C0",historico_VU!C109,IF($I$4="C1",historico_VU!D109,IF($I$4="C2",historico_VU!E109,IF($I$4="C3",historico_VU!F109,IF($I$4="C4",historico_VU!G109,"")))))))),"",ROUND(N109*IF($I$4="C0",historico_VU!C109,IF($I$4="C1",historico_VU!D109,IF($I$4="C2",historico_VU!E109,IF($I$4="C3",historico_VU!F109,IF($I$4="C4",historico_VU!G109,""))))),2))</f>
        <v/>
      </c>
      <c r="Q109" s="179" t="str">
        <f t="shared" si="14"/>
        <v/>
      </c>
      <c r="R109" s="179" t="str">
        <f ca="1">IF(OR(A109="",L109="",NOT(ISNUMBER(IF($I$4="C0",historico_VU!C109,IF($I$4="C1",historico_VU!D109,IF($I$4="C2",historico_VU!E109,IF($I$4="C3",historico_VU!F109,IF($I$4="C4",historico_VU!G109,"")))))))),"",ROUND(L109*IF($I$4="C0",historico_VU!C109,IF($I$4="C1",historico_VU!D109,IF($I$4="C2",historico_VU!E109,IF($I$4="C3",historico_VU!F109,IF($I$4="C4",historico_VU!G109,""))))),2))</f>
        <v/>
      </c>
    </row>
    <row r="110" spans="1:18" x14ac:dyDescent="0.35">
      <c r="A110" s="81" t="str">
        <f>IF(itens_Remanesc!A110="","",itens_Remanesc!A110)</f>
        <v/>
      </c>
      <c r="B110" s="217" t="str">
        <f t="shared" ca="1" si="15"/>
        <v/>
      </c>
      <c r="C110" s="218" t="str">
        <f>IF(A110="","",IF($I$5="","POSICAO DE REFERENCIA INDISPONIVEL",ROUND(IF(itens_Remanesc!B110="",0,itens_Remanesc!B110)+SUMIFS(aditivos!$L$2:$L$200,aditivos!$A$2:$A$200,A110,aditivos!$B$2:$B$200,"&lt;="&amp;$I$5),2)))</f>
        <v/>
      </c>
      <c r="D110" s="218" t="str">
        <f>IF(A110="","",IF($I$4="","",IF($I$2,IF(ISNUMBER(B110),B110,""),IF($I$4="C0",posicao_contratual!G110,IF($I$4="C1",posicao_contratual!K110,IF($I$4="C2",posicao_contratual!O110,IF($I$4="C3",posicao_contratual!S110,IF($I$4="C4",posicao_contratual!W110,""))))))))</f>
        <v/>
      </c>
      <c r="E110" s="219" t="str">
        <f t="shared" si="12"/>
        <v/>
      </c>
      <c r="F110" s="81" t="str">
        <f>IF(A110="","",IF(COUNTIF($A$2:$A$200,A110)&gt;1,"ITEM DUPLICADO",IF($I$4="","POSICAO DE REFERENCIA INDISPONIVEL",IF(AND(B110&lt;&gt;"",NOT(ISNUMBER(B110))),"QTD NAO NUMERICA",IF(AND(ISNUMBER(B110),B110&lt;0),"NEGATIVO NAO PERMITIDO",IF(NOT(ISNUMBER(C110)),"POSICAO CONTRATUAL INDISPONIVEL",IF(OR(AND(posicao_contratual!$Y110&lt;&gt;"",posicao_contratual!$Y110&gt;IFERROR(VALUE(MID($I$4,2,1)),-1)),AND(posicao_contratual!$Z110,ISNUMBER(C110),C110&lt;=0)),"ITEM POSTERIOR A REFERENCIA",IF(D110="","REMANESCENTE DE REFERENCIA INDISPONIVEL",IF(AND(ISNUMBER(D110),ISNUMBER(C110),D110&gt;C110),"REMANESCENTE DE REFERENCIA SUPERA POSICAO CONTRATUAL","OK")))))))))</f>
        <v/>
      </c>
      <c r="K110" s="179" t="str">
        <f>IF(A110="","",itens_Remanesc!C110)</f>
        <v/>
      </c>
      <c r="L110" s="179" t="str">
        <f>IF(A110="","",IF($I$4="C0",posicao_contratual!G110,IF($I$4="C1",posicao_contratual!K110,IF($I$4="C2",posicao_contratual!O110,IF($I$4="C3",posicao_contratual!S110,IF($I$4="C4",posicao_contratual!W110,""))))))</f>
        <v/>
      </c>
      <c r="M110" s="179" t="str">
        <f ca="1">IF(OR(A110="",$I$5="",$I$6=""),"",ROUND(SUMIFS(aditivos!$L$2:$L$200,aditivos!$A$2:$A$200,A110,aditivos!$B$2:$B$200,"&gt;"&amp;$I$6,aditivos!$B$2:$B$200,"&lt;="&amp;$I$5),2))</f>
        <v/>
      </c>
      <c r="N110" s="179" t="str">
        <f t="shared" si="13"/>
        <v/>
      </c>
      <c r="O110" s="179" t="str">
        <f ca="1">IF(OR(A110="",D110="",NOT(ISNUMBER(IF($I$4="C0",historico_VU!C110,IF($I$4="C1",historico_VU!D110,IF($I$4="C2",historico_VU!E110,IF($I$4="C3",historico_VU!F110,IF($I$4="C4",historico_VU!G110,"")))))))),"",ROUND(D110*IF($I$4="C0",historico_VU!C110,IF($I$4="C1",historico_VU!D110,IF($I$4="C2",historico_VU!E110,IF($I$4="C3",historico_VU!F110,IF($I$4="C4",historico_VU!G110,""))))),2))</f>
        <v/>
      </c>
      <c r="P110" s="179" t="str">
        <f ca="1">IF(OR(A110="",N110="",NOT(ISNUMBER(IF($I$4="C0",historico_VU!C110,IF($I$4="C1",historico_VU!D110,IF($I$4="C2",historico_VU!E110,IF($I$4="C3",historico_VU!F110,IF($I$4="C4",historico_VU!G110,"")))))))),"",ROUND(N110*IF($I$4="C0",historico_VU!C110,IF($I$4="C1",historico_VU!D110,IF($I$4="C2",historico_VU!E110,IF($I$4="C3",historico_VU!F110,IF($I$4="C4",historico_VU!G110,""))))),2))</f>
        <v/>
      </c>
      <c r="Q110" s="179" t="str">
        <f t="shared" si="14"/>
        <v/>
      </c>
      <c r="R110" s="179" t="str">
        <f ca="1">IF(OR(A110="",L110="",NOT(ISNUMBER(IF($I$4="C0",historico_VU!C110,IF($I$4="C1",historico_VU!D110,IF($I$4="C2",historico_VU!E110,IF($I$4="C3",historico_VU!F110,IF($I$4="C4",historico_VU!G110,"")))))))),"",ROUND(L110*IF($I$4="C0",historico_VU!C110,IF($I$4="C1",historico_VU!D110,IF($I$4="C2",historico_VU!E110,IF($I$4="C3",historico_VU!F110,IF($I$4="C4",historico_VU!G110,""))))),2))</f>
        <v/>
      </c>
    </row>
    <row r="111" spans="1:18" x14ac:dyDescent="0.35">
      <c r="A111" s="81" t="str">
        <f>IF(itens_Remanesc!A111="","",itens_Remanesc!A111)</f>
        <v/>
      </c>
      <c r="B111" s="217" t="str">
        <f t="shared" ca="1" si="15"/>
        <v/>
      </c>
      <c r="C111" s="218" t="str">
        <f>IF(A111="","",IF($I$5="","POSICAO DE REFERENCIA INDISPONIVEL",ROUND(IF(itens_Remanesc!B111="",0,itens_Remanesc!B111)+SUMIFS(aditivos!$L$2:$L$200,aditivos!$A$2:$A$200,A111,aditivos!$B$2:$B$200,"&lt;="&amp;$I$5),2)))</f>
        <v/>
      </c>
      <c r="D111" s="218" t="str">
        <f>IF(A111="","",IF($I$4="","",IF($I$2,IF(ISNUMBER(B111),B111,""),IF($I$4="C0",posicao_contratual!G111,IF($I$4="C1",posicao_contratual!K111,IF($I$4="C2",posicao_contratual!O111,IF($I$4="C3",posicao_contratual!S111,IF($I$4="C4",posicao_contratual!W111,""))))))))</f>
        <v/>
      </c>
      <c r="E111" s="219" t="str">
        <f t="shared" si="12"/>
        <v/>
      </c>
      <c r="F111" s="81" t="str">
        <f>IF(A111="","",IF(COUNTIF($A$2:$A$200,A111)&gt;1,"ITEM DUPLICADO",IF($I$4="","POSICAO DE REFERENCIA INDISPONIVEL",IF(AND(B111&lt;&gt;"",NOT(ISNUMBER(B111))),"QTD NAO NUMERICA",IF(AND(ISNUMBER(B111),B111&lt;0),"NEGATIVO NAO PERMITIDO",IF(NOT(ISNUMBER(C111)),"POSICAO CONTRATUAL INDISPONIVEL",IF(OR(AND(posicao_contratual!$Y111&lt;&gt;"",posicao_contratual!$Y111&gt;IFERROR(VALUE(MID($I$4,2,1)),-1)),AND(posicao_contratual!$Z111,ISNUMBER(C111),C111&lt;=0)),"ITEM POSTERIOR A REFERENCIA",IF(D111="","REMANESCENTE DE REFERENCIA INDISPONIVEL",IF(AND(ISNUMBER(D111),ISNUMBER(C111),D111&gt;C111),"REMANESCENTE DE REFERENCIA SUPERA POSICAO CONTRATUAL","OK")))))))))</f>
        <v/>
      </c>
      <c r="K111" s="179" t="str">
        <f>IF(A111="","",itens_Remanesc!C111)</f>
        <v/>
      </c>
      <c r="L111" s="179" t="str">
        <f>IF(A111="","",IF($I$4="C0",posicao_contratual!G111,IF($I$4="C1",posicao_contratual!K111,IF($I$4="C2",posicao_contratual!O111,IF($I$4="C3",posicao_contratual!S111,IF($I$4="C4",posicao_contratual!W111,""))))))</f>
        <v/>
      </c>
      <c r="M111" s="179" t="str">
        <f ca="1">IF(OR(A111="",$I$5="",$I$6=""),"",ROUND(SUMIFS(aditivos!$L$2:$L$200,aditivos!$A$2:$A$200,A111,aditivos!$B$2:$B$200,"&gt;"&amp;$I$6,aditivos!$B$2:$B$200,"&lt;="&amp;$I$5),2))</f>
        <v/>
      </c>
      <c r="N111" s="179" t="str">
        <f t="shared" si="13"/>
        <v/>
      </c>
      <c r="O111" s="179" t="str">
        <f ca="1">IF(OR(A111="",D111="",NOT(ISNUMBER(IF($I$4="C0",historico_VU!C111,IF($I$4="C1",historico_VU!D111,IF($I$4="C2",historico_VU!E111,IF($I$4="C3",historico_VU!F111,IF($I$4="C4",historico_VU!G111,"")))))))),"",ROUND(D111*IF($I$4="C0",historico_VU!C111,IF($I$4="C1",historico_VU!D111,IF($I$4="C2",historico_VU!E111,IF($I$4="C3",historico_VU!F111,IF($I$4="C4",historico_VU!G111,""))))),2))</f>
        <v/>
      </c>
      <c r="P111" s="179" t="str">
        <f ca="1">IF(OR(A111="",N111="",NOT(ISNUMBER(IF($I$4="C0",historico_VU!C111,IF($I$4="C1",historico_VU!D111,IF($I$4="C2",historico_VU!E111,IF($I$4="C3",historico_VU!F111,IF($I$4="C4",historico_VU!G111,"")))))))),"",ROUND(N111*IF($I$4="C0",historico_VU!C111,IF($I$4="C1",historico_VU!D111,IF($I$4="C2",historico_VU!E111,IF($I$4="C3",historico_VU!F111,IF($I$4="C4",historico_VU!G111,""))))),2))</f>
        <v/>
      </c>
      <c r="Q111" s="179" t="str">
        <f t="shared" si="14"/>
        <v/>
      </c>
      <c r="R111" s="179" t="str">
        <f ca="1">IF(OR(A111="",L111="",NOT(ISNUMBER(IF($I$4="C0",historico_VU!C111,IF($I$4="C1",historico_VU!D111,IF($I$4="C2",historico_VU!E111,IF($I$4="C3",historico_VU!F111,IF($I$4="C4",historico_VU!G111,"")))))))),"",ROUND(L111*IF($I$4="C0",historico_VU!C111,IF($I$4="C1",historico_VU!D111,IF($I$4="C2",historico_VU!E111,IF($I$4="C3",historico_VU!F111,IF($I$4="C4",historico_VU!G111,""))))),2))</f>
        <v/>
      </c>
    </row>
    <row r="112" spans="1:18" x14ac:dyDescent="0.35">
      <c r="A112" s="81" t="str">
        <f>IF(itens_Remanesc!A112="","",itens_Remanesc!A112)</f>
        <v/>
      </c>
      <c r="B112" s="217" t="str">
        <f t="shared" ca="1" si="15"/>
        <v/>
      </c>
      <c r="C112" s="218" t="str">
        <f>IF(A112="","",IF($I$5="","POSICAO DE REFERENCIA INDISPONIVEL",ROUND(IF(itens_Remanesc!B112="",0,itens_Remanesc!B112)+SUMIFS(aditivos!$L$2:$L$200,aditivos!$A$2:$A$200,A112,aditivos!$B$2:$B$200,"&lt;="&amp;$I$5),2)))</f>
        <v/>
      </c>
      <c r="D112" s="218" t="str">
        <f>IF(A112="","",IF($I$4="","",IF($I$2,IF(ISNUMBER(B112),B112,""),IF($I$4="C0",posicao_contratual!G112,IF($I$4="C1",posicao_contratual!K112,IF($I$4="C2",posicao_contratual!O112,IF($I$4="C3",posicao_contratual!S112,IF($I$4="C4",posicao_contratual!W112,""))))))))</f>
        <v/>
      </c>
      <c r="E112" s="219" t="str">
        <f t="shared" si="12"/>
        <v/>
      </c>
      <c r="F112" s="81" t="str">
        <f>IF(A112="","",IF(COUNTIF($A$2:$A$200,A112)&gt;1,"ITEM DUPLICADO",IF($I$4="","POSICAO DE REFERENCIA INDISPONIVEL",IF(AND(B112&lt;&gt;"",NOT(ISNUMBER(B112))),"QTD NAO NUMERICA",IF(AND(ISNUMBER(B112),B112&lt;0),"NEGATIVO NAO PERMITIDO",IF(NOT(ISNUMBER(C112)),"POSICAO CONTRATUAL INDISPONIVEL",IF(OR(AND(posicao_contratual!$Y112&lt;&gt;"",posicao_contratual!$Y112&gt;IFERROR(VALUE(MID($I$4,2,1)),-1)),AND(posicao_contratual!$Z112,ISNUMBER(C112),C112&lt;=0)),"ITEM POSTERIOR A REFERENCIA",IF(D112="","REMANESCENTE DE REFERENCIA INDISPONIVEL",IF(AND(ISNUMBER(D112),ISNUMBER(C112),D112&gt;C112),"REMANESCENTE DE REFERENCIA SUPERA POSICAO CONTRATUAL","OK")))))))))</f>
        <v/>
      </c>
      <c r="K112" s="179" t="str">
        <f>IF(A112="","",itens_Remanesc!C112)</f>
        <v/>
      </c>
      <c r="L112" s="179" t="str">
        <f>IF(A112="","",IF($I$4="C0",posicao_contratual!G112,IF($I$4="C1",posicao_contratual!K112,IF($I$4="C2",posicao_contratual!O112,IF($I$4="C3",posicao_contratual!S112,IF($I$4="C4",posicao_contratual!W112,""))))))</f>
        <v/>
      </c>
      <c r="M112" s="179" t="str">
        <f ca="1">IF(OR(A112="",$I$5="",$I$6=""),"",ROUND(SUMIFS(aditivos!$L$2:$L$200,aditivos!$A$2:$A$200,A112,aditivos!$B$2:$B$200,"&gt;"&amp;$I$6,aditivos!$B$2:$B$200,"&lt;="&amp;$I$5),2))</f>
        <v/>
      </c>
      <c r="N112" s="179" t="str">
        <f t="shared" si="13"/>
        <v/>
      </c>
      <c r="O112" s="179" t="str">
        <f ca="1">IF(OR(A112="",D112="",NOT(ISNUMBER(IF($I$4="C0",historico_VU!C112,IF($I$4="C1",historico_VU!D112,IF($I$4="C2",historico_VU!E112,IF($I$4="C3",historico_VU!F112,IF($I$4="C4",historico_VU!G112,"")))))))),"",ROUND(D112*IF($I$4="C0",historico_VU!C112,IF($I$4="C1",historico_VU!D112,IF($I$4="C2",historico_VU!E112,IF($I$4="C3",historico_VU!F112,IF($I$4="C4",historico_VU!G112,""))))),2))</f>
        <v/>
      </c>
      <c r="P112" s="179" t="str">
        <f ca="1">IF(OR(A112="",N112="",NOT(ISNUMBER(IF($I$4="C0",historico_VU!C112,IF($I$4="C1",historico_VU!D112,IF($I$4="C2",historico_VU!E112,IF($I$4="C3",historico_VU!F112,IF($I$4="C4",historico_VU!G112,"")))))))),"",ROUND(N112*IF($I$4="C0",historico_VU!C112,IF($I$4="C1",historico_VU!D112,IF($I$4="C2",historico_VU!E112,IF($I$4="C3",historico_VU!F112,IF($I$4="C4",historico_VU!G112,""))))),2))</f>
        <v/>
      </c>
      <c r="Q112" s="179" t="str">
        <f t="shared" si="14"/>
        <v/>
      </c>
      <c r="R112" s="179" t="str">
        <f ca="1">IF(OR(A112="",L112="",NOT(ISNUMBER(IF($I$4="C0",historico_VU!C112,IF($I$4="C1",historico_VU!D112,IF($I$4="C2",historico_VU!E112,IF($I$4="C3",historico_VU!F112,IF($I$4="C4",historico_VU!G112,"")))))))),"",ROUND(L112*IF($I$4="C0",historico_VU!C112,IF($I$4="C1",historico_VU!D112,IF($I$4="C2",historico_VU!E112,IF($I$4="C3",historico_VU!F112,IF($I$4="C4",historico_VU!G112,""))))),2))</f>
        <v/>
      </c>
    </row>
    <row r="113" spans="1:18" x14ac:dyDescent="0.35">
      <c r="A113" s="81" t="str">
        <f>IF(itens_Remanesc!A113="","",itens_Remanesc!A113)</f>
        <v/>
      </c>
      <c r="B113" s="217" t="str">
        <f t="shared" ca="1" si="15"/>
        <v/>
      </c>
      <c r="C113" s="218" t="str">
        <f>IF(A113="","",IF($I$5="","POSICAO DE REFERENCIA INDISPONIVEL",ROUND(IF(itens_Remanesc!B113="",0,itens_Remanesc!B113)+SUMIFS(aditivos!$L$2:$L$200,aditivos!$A$2:$A$200,A113,aditivos!$B$2:$B$200,"&lt;="&amp;$I$5),2)))</f>
        <v/>
      </c>
      <c r="D113" s="218" t="str">
        <f>IF(A113="","",IF($I$4="","",IF($I$2,IF(ISNUMBER(B113),B113,""),IF($I$4="C0",posicao_contratual!G113,IF($I$4="C1",posicao_contratual!K113,IF($I$4="C2",posicao_contratual!O113,IF($I$4="C3",posicao_contratual!S113,IF($I$4="C4",posicao_contratual!W113,""))))))))</f>
        <v/>
      </c>
      <c r="E113" s="219" t="str">
        <f t="shared" si="12"/>
        <v/>
      </c>
      <c r="F113" s="81" t="str">
        <f>IF(A113="","",IF(COUNTIF($A$2:$A$200,A113)&gt;1,"ITEM DUPLICADO",IF($I$4="","POSICAO DE REFERENCIA INDISPONIVEL",IF(AND(B113&lt;&gt;"",NOT(ISNUMBER(B113))),"QTD NAO NUMERICA",IF(AND(ISNUMBER(B113),B113&lt;0),"NEGATIVO NAO PERMITIDO",IF(NOT(ISNUMBER(C113)),"POSICAO CONTRATUAL INDISPONIVEL",IF(OR(AND(posicao_contratual!$Y113&lt;&gt;"",posicao_contratual!$Y113&gt;IFERROR(VALUE(MID($I$4,2,1)),-1)),AND(posicao_contratual!$Z113,ISNUMBER(C113),C113&lt;=0)),"ITEM POSTERIOR A REFERENCIA",IF(D113="","REMANESCENTE DE REFERENCIA INDISPONIVEL",IF(AND(ISNUMBER(D113),ISNUMBER(C113),D113&gt;C113),"REMANESCENTE DE REFERENCIA SUPERA POSICAO CONTRATUAL","OK")))))))))</f>
        <v/>
      </c>
      <c r="K113" s="179" t="str">
        <f>IF(A113="","",itens_Remanesc!C113)</f>
        <v/>
      </c>
      <c r="L113" s="179" t="str">
        <f>IF(A113="","",IF($I$4="C0",posicao_contratual!G113,IF($I$4="C1",posicao_contratual!K113,IF($I$4="C2",posicao_contratual!O113,IF($I$4="C3",posicao_contratual!S113,IF($I$4="C4",posicao_contratual!W113,""))))))</f>
        <v/>
      </c>
      <c r="M113" s="179" t="str">
        <f ca="1">IF(OR(A113="",$I$5="",$I$6=""),"",ROUND(SUMIFS(aditivos!$L$2:$L$200,aditivos!$A$2:$A$200,A113,aditivos!$B$2:$B$200,"&gt;"&amp;$I$6,aditivos!$B$2:$B$200,"&lt;="&amp;$I$5),2))</f>
        <v/>
      </c>
      <c r="N113" s="179" t="str">
        <f t="shared" si="13"/>
        <v/>
      </c>
      <c r="O113" s="179" t="str">
        <f ca="1">IF(OR(A113="",D113="",NOT(ISNUMBER(IF($I$4="C0",historico_VU!C113,IF($I$4="C1",historico_VU!D113,IF($I$4="C2",historico_VU!E113,IF($I$4="C3",historico_VU!F113,IF($I$4="C4",historico_VU!G113,"")))))))),"",ROUND(D113*IF($I$4="C0",historico_VU!C113,IF($I$4="C1",historico_VU!D113,IF($I$4="C2",historico_VU!E113,IF($I$4="C3",historico_VU!F113,IF($I$4="C4",historico_VU!G113,""))))),2))</f>
        <v/>
      </c>
      <c r="P113" s="179" t="str">
        <f ca="1">IF(OR(A113="",N113="",NOT(ISNUMBER(IF($I$4="C0",historico_VU!C113,IF($I$4="C1",historico_VU!D113,IF($I$4="C2",historico_VU!E113,IF($I$4="C3",historico_VU!F113,IF($I$4="C4",historico_VU!G113,"")))))))),"",ROUND(N113*IF($I$4="C0",historico_VU!C113,IF($I$4="C1",historico_VU!D113,IF($I$4="C2",historico_VU!E113,IF($I$4="C3",historico_VU!F113,IF($I$4="C4",historico_VU!G113,""))))),2))</f>
        <v/>
      </c>
      <c r="Q113" s="179" t="str">
        <f t="shared" si="14"/>
        <v/>
      </c>
      <c r="R113" s="179" t="str">
        <f ca="1">IF(OR(A113="",L113="",NOT(ISNUMBER(IF($I$4="C0",historico_VU!C113,IF($I$4="C1",historico_VU!D113,IF($I$4="C2",historico_VU!E113,IF($I$4="C3",historico_VU!F113,IF($I$4="C4",historico_VU!G113,"")))))))),"",ROUND(L113*IF($I$4="C0",historico_VU!C113,IF($I$4="C1",historico_VU!D113,IF($I$4="C2",historico_VU!E113,IF($I$4="C3",historico_VU!F113,IF($I$4="C4",historico_VU!G113,""))))),2))</f>
        <v/>
      </c>
    </row>
    <row r="114" spans="1:18" x14ac:dyDescent="0.35">
      <c r="A114" s="81" t="str">
        <f>IF(itens_Remanesc!A114="","",itens_Remanesc!A114)</f>
        <v/>
      </c>
      <c r="B114" s="217" t="str">
        <f t="shared" ca="1" si="15"/>
        <v/>
      </c>
      <c r="C114" s="218" t="str">
        <f>IF(A114="","",IF($I$5="","POSICAO DE REFERENCIA INDISPONIVEL",ROUND(IF(itens_Remanesc!B114="",0,itens_Remanesc!B114)+SUMIFS(aditivos!$L$2:$L$200,aditivos!$A$2:$A$200,A114,aditivos!$B$2:$B$200,"&lt;="&amp;$I$5),2)))</f>
        <v/>
      </c>
      <c r="D114" s="218" t="str">
        <f>IF(A114="","",IF($I$4="","",IF($I$2,IF(ISNUMBER(B114),B114,""),IF($I$4="C0",posicao_contratual!G114,IF($I$4="C1",posicao_contratual!K114,IF($I$4="C2",posicao_contratual!O114,IF($I$4="C3",posicao_contratual!S114,IF($I$4="C4",posicao_contratual!W114,""))))))))</f>
        <v/>
      </c>
      <c r="E114" s="219" t="str">
        <f t="shared" si="12"/>
        <v/>
      </c>
      <c r="F114" s="81" t="str">
        <f>IF(A114="","",IF(COUNTIF($A$2:$A$200,A114)&gt;1,"ITEM DUPLICADO",IF($I$4="","POSICAO DE REFERENCIA INDISPONIVEL",IF(AND(B114&lt;&gt;"",NOT(ISNUMBER(B114))),"QTD NAO NUMERICA",IF(AND(ISNUMBER(B114),B114&lt;0),"NEGATIVO NAO PERMITIDO",IF(NOT(ISNUMBER(C114)),"POSICAO CONTRATUAL INDISPONIVEL",IF(OR(AND(posicao_contratual!$Y114&lt;&gt;"",posicao_contratual!$Y114&gt;IFERROR(VALUE(MID($I$4,2,1)),-1)),AND(posicao_contratual!$Z114,ISNUMBER(C114),C114&lt;=0)),"ITEM POSTERIOR A REFERENCIA",IF(D114="","REMANESCENTE DE REFERENCIA INDISPONIVEL",IF(AND(ISNUMBER(D114),ISNUMBER(C114),D114&gt;C114),"REMANESCENTE DE REFERENCIA SUPERA POSICAO CONTRATUAL","OK")))))))))</f>
        <v/>
      </c>
      <c r="K114" s="179" t="str">
        <f>IF(A114="","",itens_Remanesc!C114)</f>
        <v/>
      </c>
      <c r="L114" s="179" t="str">
        <f>IF(A114="","",IF($I$4="C0",posicao_contratual!G114,IF($I$4="C1",posicao_contratual!K114,IF($I$4="C2",posicao_contratual!O114,IF($I$4="C3",posicao_contratual!S114,IF($I$4="C4",posicao_contratual!W114,""))))))</f>
        <v/>
      </c>
      <c r="M114" s="179" t="str">
        <f ca="1">IF(OR(A114="",$I$5="",$I$6=""),"",ROUND(SUMIFS(aditivos!$L$2:$L$200,aditivos!$A$2:$A$200,A114,aditivos!$B$2:$B$200,"&gt;"&amp;$I$6,aditivos!$B$2:$B$200,"&lt;="&amp;$I$5),2))</f>
        <v/>
      </c>
      <c r="N114" s="179" t="str">
        <f t="shared" si="13"/>
        <v/>
      </c>
      <c r="O114" s="179" t="str">
        <f ca="1">IF(OR(A114="",D114="",NOT(ISNUMBER(IF($I$4="C0",historico_VU!C114,IF($I$4="C1",historico_VU!D114,IF($I$4="C2",historico_VU!E114,IF($I$4="C3",historico_VU!F114,IF($I$4="C4",historico_VU!G114,"")))))))),"",ROUND(D114*IF($I$4="C0",historico_VU!C114,IF($I$4="C1",historico_VU!D114,IF($I$4="C2",historico_VU!E114,IF($I$4="C3",historico_VU!F114,IF($I$4="C4",historico_VU!G114,""))))),2))</f>
        <v/>
      </c>
      <c r="P114" s="179" t="str">
        <f ca="1">IF(OR(A114="",N114="",NOT(ISNUMBER(IF($I$4="C0",historico_VU!C114,IF($I$4="C1",historico_VU!D114,IF($I$4="C2",historico_VU!E114,IF($I$4="C3",historico_VU!F114,IF($I$4="C4",historico_VU!G114,"")))))))),"",ROUND(N114*IF($I$4="C0",historico_VU!C114,IF($I$4="C1",historico_VU!D114,IF($I$4="C2",historico_VU!E114,IF($I$4="C3",historico_VU!F114,IF($I$4="C4",historico_VU!G114,""))))),2))</f>
        <v/>
      </c>
      <c r="Q114" s="179" t="str">
        <f t="shared" si="14"/>
        <v/>
      </c>
      <c r="R114" s="179" t="str">
        <f ca="1">IF(OR(A114="",L114="",NOT(ISNUMBER(IF($I$4="C0",historico_VU!C114,IF($I$4="C1",historico_VU!D114,IF($I$4="C2",historico_VU!E114,IF($I$4="C3",historico_VU!F114,IF($I$4="C4",historico_VU!G114,"")))))))),"",ROUND(L114*IF($I$4="C0",historico_VU!C114,IF($I$4="C1",historico_VU!D114,IF($I$4="C2",historico_VU!E114,IF($I$4="C3",historico_VU!F114,IF($I$4="C4",historico_VU!G114,""))))),2))</f>
        <v/>
      </c>
    </row>
    <row r="115" spans="1:18" x14ac:dyDescent="0.35">
      <c r="A115" s="81" t="str">
        <f>IF(itens_Remanesc!A115="","",itens_Remanesc!A115)</f>
        <v/>
      </c>
      <c r="B115" s="217" t="str">
        <f t="shared" ca="1" si="15"/>
        <v/>
      </c>
      <c r="C115" s="218" t="str">
        <f>IF(A115="","",IF($I$5="","POSICAO DE REFERENCIA INDISPONIVEL",ROUND(IF(itens_Remanesc!B115="",0,itens_Remanesc!B115)+SUMIFS(aditivos!$L$2:$L$200,aditivos!$A$2:$A$200,A115,aditivos!$B$2:$B$200,"&lt;="&amp;$I$5),2)))</f>
        <v/>
      </c>
      <c r="D115" s="218" t="str">
        <f>IF(A115="","",IF($I$4="","",IF($I$2,IF(ISNUMBER(B115),B115,""),IF($I$4="C0",posicao_contratual!G115,IF($I$4="C1",posicao_contratual!K115,IF($I$4="C2",posicao_contratual!O115,IF($I$4="C3",posicao_contratual!S115,IF($I$4="C4",posicao_contratual!W115,""))))))))</f>
        <v/>
      </c>
      <c r="E115" s="219" t="str">
        <f t="shared" si="12"/>
        <v/>
      </c>
      <c r="F115" s="81" t="str">
        <f>IF(A115="","",IF(COUNTIF($A$2:$A$200,A115)&gt;1,"ITEM DUPLICADO",IF($I$4="","POSICAO DE REFERENCIA INDISPONIVEL",IF(AND(B115&lt;&gt;"",NOT(ISNUMBER(B115))),"QTD NAO NUMERICA",IF(AND(ISNUMBER(B115),B115&lt;0),"NEGATIVO NAO PERMITIDO",IF(NOT(ISNUMBER(C115)),"POSICAO CONTRATUAL INDISPONIVEL",IF(OR(AND(posicao_contratual!$Y115&lt;&gt;"",posicao_contratual!$Y115&gt;IFERROR(VALUE(MID($I$4,2,1)),-1)),AND(posicao_contratual!$Z115,ISNUMBER(C115),C115&lt;=0)),"ITEM POSTERIOR A REFERENCIA",IF(D115="","REMANESCENTE DE REFERENCIA INDISPONIVEL",IF(AND(ISNUMBER(D115),ISNUMBER(C115),D115&gt;C115),"REMANESCENTE DE REFERENCIA SUPERA POSICAO CONTRATUAL","OK")))))))))</f>
        <v/>
      </c>
      <c r="K115" s="179" t="str">
        <f>IF(A115="","",itens_Remanesc!C115)</f>
        <v/>
      </c>
      <c r="L115" s="179" t="str">
        <f>IF(A115="","",IF($I$4="C0",posicao_contratual!G115,IF($I$4="C1",posicao_contratual!K115,IF($I$4="C2",posicao_contratual!O115,IF($I$4="C3",posicao_contratual!S115,IF($I$4="C4",posicao_contratual!W115,""))))))</f>
        <v/>
      </c>
      <c r="M115" s="179" t="str">
        <f ca="1">IF(OR(A115="",$I$5="",$I$6=""),"",ROUND(SUMIFS(aditivos!$L$2:$L$200,aditivos!$A$2:$A$200,A115,aditivos!$B$2:$B$200,"&gt;"&amp;$I$6,aditivos!$B$2:$B$200,"&lt;="&amp;$I$5),2))</f>
        <v/>
      </c>
      <c r="N115" s="179" t="str">
        <f t="shared" si="13"/>
        <v/>
      </c>
      <c r="O115" s="179" t="str">
        <f ca="1">IF(OR(A115="",D115="",NOT(ISNUMBER(IF($I$4="C0",historico_VU!C115,IF($I$4="C1",historico_VU!D115,IF($I$4="C2",historico_VU!E115,IF($I$4="C3",historico_VU!F115,IF($I$4="C4",historico_VU!G115,"")))))))),"",ROUND(D115*IF($I$4="C0",historico_VU!C115,IF($I$4="C1",historico_VU!D115,IF($I$4="C2",historico_VU!E115,IF($I$4="C3",historico_VU!F115,IF($I$4="C4",historico_VU!G115,""))))),2))</f>
        <v/>
      </c>
      <c r="P115" s="179" t="str">
        <f ca="1">IF(OR(A115="",N115="",NOT(ISNUMBER(IF($I$4="C0",historico_VU!C115,IF($I$4="C1",historico_VU!D115,IF($I$4="C2",historico_VU!E115,IF($I$4="C3",historico_VU!F115,IF($I$4="C4",historico_VU!G115,"")))))))),"",ROUND(N115*IF($I$4="C0",historico_VU!C115,IF($I$4="C1",historico_VU!D115,IF($I$4="C2",historico_VU!E115,IF($I$4="C3",historico_VU!F115,IF($I$4="C4",historico_VU!G115,""))))),2))</f>
        <v/>
      </c>
      <c r="Q115" s="179" t="str">
        <f t="shared" si="14"/>
        <v/>
      </c>
      <c r="R115" s="179" t="str">
        <f ca="1">IF(OR(A115="",L115="",NOT(ISNUMBER(IF($I$4="C0",historico_VU!C115,IF($I$4="C1",historico_VU!D115,IF($I$4="C2",historico_VU!E115,IF($I$4="C3",historico_VU!F115,IF($I$4="C4",historico_VU!G115,"")))))))),"",ROUND(L115*IF($I$4="C0",historico_VU!C115,IF($I$4="C1",historico_VU!D115,IF($I$4="C2",historico_VU!E115,IF($I$4="C3",historico_VU!F115,IF($I$4="C4",historico_VU!G115,""))))),2))</f>
        <v/>
      </c>
    </row>
    <row r="116" spans="1:18" x14ac:dyDescent="0.35">
      <c r="A116" s="81" t="str">
        <f>IF(itens_Remanesc!A116="","",itens_Remanesc!A116)</f>
        <v/>
      </c>
      <c r="B116" s="217" t="str">
        <f t="shared" ca="1" si="15"/>
        <v/>
      </c>
      <c r="C116" s="218" t="str">
        <f>IF(A116="","",IF($I$5="","POSICAO DE REFERENCIA INDISPONIVEL",ROUND(IF(itens_Remanesc!B116="",0,itens_Remanesc!B116)+SUMIFS(aditivos!$L$2:$L$200,aditivos!$A$2:$A$200,A116,aditivos!$B$2:$B$200,"&lt;="&amp;$I$5),2)))</f>
        <v/>
      </c>
      <c r="D116" s="218" t="str">
        <f>IF(A116="","",IF($I$4="","",IF($I$2,IF(ISNUMBER(B116),B116,""),IF($I$4="C0",posicao_contratual!G116,IF($I$4="C1",posicao_contratual!K116,IF($I$4="C2",posicao_contratual!O116,IF($I$4="C3",posicao_contratual!S116,IF($I$4="C4",posicao_contratual!W116,""))))))))</f>
        <v/>
      </c>
      <c r="E116" s="219" t="str">
        <f t="shared" si="12"/>
        <v/>
      </c>
      <c r="F116" s="81" t="str">
        <f>IF(A116="","",IF(COUNTIF($A$2:$A$200,A116)&gt;1,"ITEM DUPLICADO",IF($I$4="","POSICAO DE REFERENCIA INDISPONIVEL",IF(AND(B116&lt;&gt;"",NOT(ISNUMBER(B116))),"QTD NAO NUMERICA",IF(AND(ISNUMBER(B116),B116&lt;0),"NEGATIVO NAO PERMITIDO",IF(NOT(ISNUMBER(C116)),"POSICAO CONTRATUAL INDISPONIVEL",IF(OR(AND(posicao_contratual!$Y116&lt;&gt;"",posicao_contratual!$Y116&gt;IFERROR(VALUE(MID($I$4,2,1)),-1)),AND(posicao_contratual!$Z116,ISNUMBER(C116),C116&lt;=0)),"ITEM POSTERIOR A REFERENCIA",IF(D116="","REMANESCENTE DE REFERENCIA INDISPONIVEL",IF(AND(ISNUMBER(D116),ISNUMBER(C116),D116&gt;C116),"REMANESCENTE DE REFERENCIA SUPERA POSICAO CONTRATUAL","OK")))))))))</f>
        <v/>
      </c>
      <c r="K116" s="179" t="str">
        <f>IF(A116="","",itens_Remanesc!C116)</f>
        <v/>
      </c>
      <c r="L116" s="179" t="str">
        <f>IF(A116="","",IF($I$4="C0",posicao_contratual!G116,IF($I$4="C1",posicao_contratual!K116,IF($I$4="C2",posicao_contratual!O116,IF($I$4="C3",posicao_contratual!S116,IF($I$4="C4",posicao_contratual!W116,""))))))</f>
        <v/>
      </c>
      <c r="M116" s="179" t="str">
        <f ca="1">IF(OR(A116="",$I$5="",$I$6=""),"",ROUND(SUMIFS(aditivos!$L$2:$L$200,aditivos!$A$2:$A$200,A116,aditivos!$B$2:$B$200,"&gt;"&amp;$I$6,aditivos!$B$2:$B$200,"&lt;="&amp;$I$5),2))</f>
        <v/>
      </c>
      <c r="N116" s="179" t="str">
        <f t="shared" si="13"/>
        <v/>
      </c>
      <c r="O116" s="179" t="str">
        <f ca="1">IF(OR(A116="",D116="",NOT(ISNUMBER(IF($I$4="C0",historico_VU!C116,IF($I$4="C1",historico_VU!D116,IF($I$4="C2",historico_VU!E116,IF($I$4="C3",historico_VU!F116,IF($I$4="C4",historico_VU!G116,"")))))))),"",ROUND(D116*IF($I$4="C0",historico_VU!C116,IF($I$4="C1",historico_VU!D116,IF($I$4="C2",historico_VU!E116,IF($I$4="C3",historico_VU!F116,IF($I$4="C4",historico_VU!G116,""))))),2))</f>
        <v/>
      </c>
      <c r="P116" s="179" t="str">
        <f ca="1">IF(OR(A116="",N116="",NOT(ISNUMBER(IF($I$4="C0",historico_VU!C116,IF($I$4="C1",historico_VU!D116,IF($I$4="C2",historico_VU!E116,IF($I$4="C3",historico_VU!F116,IF($I$4="C4",historico_VU!G116,"")))))))),"",ROUND(N116*IF($I$4="C0",historico_VU!C116,IF($I$4="C1",historico_VU!D116,IF($I$4="C2",historico_VU!E116,IF($I$4="C3",historico_VU!F116,IF($I$4="C4",historico_VU!G116,""))))),2))</f>
        <v/>
      </c>
      <c r="Q116" s="179" t="str">
        <f t="shared" si="14"/>
        <v/>
      </c>
      <c r="R116" s="179" t="str">
        <f ca="1">IF(OR(A116="",L116="",NOT(ISNUMBER(IF($I$4="C0",historico_VU!C116,IF($I$4="C1",historico_VU!D116,IF($I$4="C2",historico_VU!E116,IF($I$4="C3",historico_VU!F116,IF($I$4="C4",historico_VU!G116,"")))))))),"",ROUND(L116*IF($I$4="C0",historico_VU!C116,IF($I$4="C1",historico_VU!D116,IF($I$4="C2",historico_VU!E116,IF($I$4="C3",historico_VU!F116,IF($I$4="C4",historico_VU!G116,""))))),2))</f>
        <v/>
      </c>
    </row>
    <row r="117" spans="1:18" x14ac:dyDescent="0.35">
      <c r="A117" s="81" t="str">
        <f>IF(itens_Remanesc!A117="","",itens_Remanesc!A117)</f>
        <v/>
      </c>
      <c r="B117" s="217" t="str">
        <f t="shared" ca="1" si="15"/>
        <v/>
      </c>
      <c r="C117" s="218" t="str">
        <f>IF(A117="","",IF($I$5="","POSICAO DE REFERENCIA INDISPONIVEL",ROUND(IF(itens_Remanesc!B117="",0,itens_Remanesc!B117)+SUMIFS(aditivos!$L$2:$L$200,aditivos!$A$2:$A$200,A117,aditivos!$B$2:$B$200,"&lt;="&amp;$I$5),2)))</f>
        <v/>
      </c>
      <c r="D117" s="218" t="str">
        <f>IF(A117="","",IF($I$4="","",IF($I$2,IF(ISNUMBER(B117),B117,""),IF($I$4="C0",posicao_contratual!G117,IF($I$4="C1",posicao_contratual!K117,IF($I$4="C2",posicao_contratual!O117,IF($I$4="C3",posicao_contratual!S117,IF($I$4="C4",posicao_contratual!W117,""))))))))</f>
        <v/>
      </c>
      <c r="E117" s="219" t="str">
        <f t="shared" si="12"/>
        <v/>
      </c>
      <c r="F117" s="81" t="str">
        <f>IF(A117="","",IF(COUNTIF($A$2:$A$200,A117)&gt;1,"ITEM DUPLICADO",IF($I$4="","POSICAO DE REFERENCIA INDISPONIVEL",IF(AND(B117&lt;&gt;"",NOT(ISNUMBER(B117))),"QTD NAO NUMERICA",IF(AND(ISNUMBER(B117),B117&lt;0),"NEGATIVO NAO PERMITIDO",IF(NOT(ISNUMBER(C117)),"POSICAO CONTRATUAL INDISPONIVEL",IF(OR(AND(posicao_contratual!$Y117&lt;&gt;"",posicao_contratual!$Y117&gt;IFERROR(VALUE(MID($I$4,2,1)),-1)),AND(posicao_contratual!$Z117,ISNUMBER(C117),C117&lt;=0)),"ITEM POSTERIOR A REFERENCIA",IF(D117="","REMANESCENTE DE REFERENCIA INDISPONIVEL",IF(AND(ISNUMBER(D117),ISNUMBER(C117),D117&gt;C117),"REMANESCENTE DE REFERENCIA SUPERA POSICAO CONTRATUAL","OK")))))))))</f>
        <v/>
      </c>
      <c r="K117" s="179" t="str">
        <f>IF(A117="","",itens_Remanesc!C117)</f>
        <v/>
      </c>
      <c r="L117" s="179" t="str">
        <f>IF(A117="","",IF($I$4="C0",posicao_contratual!G117,IF($I$4="C1",posicao_contratual!K117,IF($I$4="C2",posicao_contratual!O117,IF($I$4="C3",posicao_contratual!S117,IF($I$4="C4",posicao_contratual!W117,""))))))</f>
        <v/>
      </c>
      <c r="M117" s="179" t="str">
        <f ca="1">IF(OR(A117="",$I$5="",$I$6=""),"",ROUND(SUMIFS(aditivos!$L$2:$L$200,aditivos!$A$2:$A$200,A117,aditivos!$B$2:$B$200,"&gt;"&amp;$I$6,aditivos!$B$2:$B$200,"&lt;="&amp;$I$5),2))</f>
        <v/>
      </c>
      <c r="N117" s="179" t="str">
        <f t="shared" si="13"/>
        <v/>
      </c>
      <c r="O117" s="179" t="str">
        <f ca="1">IF(OR(A117="",D117="",NOT(ISNUMBER(IF($I$4="C0",historico_VU!C117,IF($I$4="C1",historico_VU!D117,IF($I$4="C2",historico_VU!E117,IF($I$4="C3",historico_VU!F117,IF($I$4="C4",historico_VU!G117,"")))))))),"",ROUND(D117*IF($I$4="C0",historico_VU!C117,IF($I$4="C1",historico_VU!D117,IF($I$4="C2",historico_VU!E117,IF($I$4="C3",historico_VU!F117,IF($I$4="C4",historico_VU!G117,""))))),2))</f>
        <v/>
      </c>
      <c r="P117" s="179" t="str">
        <f ca="1">IF(OR(A117="",N117="",NOT(ISNUMBER(IF($I$4="C0",historico_VU!C117,IF($I$4="C1",historico_VU!D117,IF($I$4="C2",historico_VU!E117,IF($I$4="C3",historico_VU!F117,IF($I$4="C4",historico_VU!G117,"")))))))),"",ROUND(N117*IF($I$4="C0",historico_VU!C117,IF($I$4="C1",historico_VU!D117,IF($I$4="C2",historico_VU!E117,IF($I$4="C3",historico_VU!F117,IF($I$4="C4",historico_VU!G117,""))))),2))</f>
        <v/>
      </c>
      <c r="Q117" s="179" t="str">
        <f t="shared" si="14"/>
        <v/>
      </c>
      <c r="R117" s="179" t="str">
        <f ca="1">IF(OR(A117="",L117="",NOT(ISNUMBER(IF($I$4="C0",historico_VU!C117,IF($I$4="C1",historico_VU!D117,IF($I$4="C2",historico_VU!E117,IF($I$4="C3",historico_VU!F117,IF($I$4="C4",historico_VU!G117,"")))))))),"",ROUND(L117*IF($I$4="C0",historico_VU!C117,IF($I$4="C1",historico_VU!D117,IF($I$4="C2",historico_VU!E117,IF($I$4="C3",historico_VU!F117,IF($I$4="C4",historico_VU!G117,""))))),2))</f>
        <v/>
      </c>
    </row>
    <row r="118" spans="1:18" x14ac:dyDescent="0.35">
      <c r="A118" s="81" t="str">
        <f>IF(itens_Remanesc!A118="","",itens_Remanesc!A118)</f>
        <v/>
      </c>
      <c r="B118" s="217" t="str">
        <f t="shared" ca="1" si="15"/>
        <v/>
      </c>
      <c r="C118" s="218" t="str">
        <f>IF(A118="","",IF($I$5="","POSICAO DE REFERENCIA INDISPONIVEL",ROUND(IF(itens_Remanesc!B118="",0,itens_Remanesc!B118)+SUMIFS(aditivos!$L$2:$L$200,aditivos!$A$2:$A$200,A118,aditivos!$B$2:$B$200,"&lt;="&amp;$I$5),2)))</f>
        <v/>
      </c>
      <c r="D118" s="218" t="str">
        <f>IF(A118="","",IF($I$4="","",IF($I$2,IF(ISNUMBER(B118),B118,""),IF($I$4="C0",posicao_contratual!G118,IF($I$4="C1",posicao_contratual!K118,IF($I$4="C2",posicao_contratual!O118,IF($I$4="C3",posicao_contratual!S118,IF($I$4="C4",posicao_contratual!W118,""))))))))</f>
        <v/>
      </c>
      <c r="E118" s="219" t="str">
        <f t="shared" si="12"/>
        <v/>
      </c>
      <c r="F118" s="81" t="str">
        <f>IF(A118="","",IF(COUNTIF($A$2:$A$200,A118)&gt;1,"ITEM DUPLICADO",IF($I$4="","POSICAO DE REFERENCIA INDISPONIVEL",IF(AND(B118&lt;&gt;"",NOT(ISNUMBER(B118))),"QTD NAO NUMERICA",IF(AND(ISNUMBER(B118),B118&lt;0),"NEGATIVO NAO PERMITIDO",IF(NOT(ISNUMBER(C118)),"POSICAO CONTRATUAL INDISPONIVEL",IF(OR(AND(posicao_contratual!$Y118&lt;&gt;"",posicao_contratual!$Y118&gt;IFERROR(VALUE(MID($I$4,2,1)),-1)),AND(posicao_contratual!$Z118,ISNUMBER(C118),C118&lt;=0)),"ITEM POSTERIOR A REFERENCIA",IF(D118="","REMANESCENTE DE REFERENCIA INDISPONIVEL",IF(AND(ISNUMBER(D118),ISNUMBER(C118),D118&gt;C118),"REMANESCENTE DE REFERENCIA SUPERA POSICAO CONTRATUAL","OK")))))))))</f>
        <v/>
      </c>
      <c r="K118" s="179" t="str">
        <f>IF(A118="","",itens_Remanesc!C118)</f>
        <v/>
      </c>
      <c r="L118" s="179" t="str">
        <f>IF(A118="","",IF($I$4="C0",posicao_contratual!G118,IF($I$4="C1",posicao_contratual!K118,IF($I$4="C2",posicao_contratual!O118,IF($I$4="C3",posicao_contratual!S118,IF($I$4="C4",posicao_contratual!W118,""))))))</f>
        <v/>
      </c>
      <c r="M118" s="179" t="str">
        <f ca="1">IF(OR(A118="",$I$5="",$I$6=""),"",ROUND(SUMIFS(aditivos!$L$2:$L$200,aditivos!$A$2:$A$200,A118,aditivos!$B$2:$B$200,"&gt;"&amp;$I$6,aditivos!$B$2:$B$200,"&lt;="&amp;$I$5),2))</f>
        <v/>
      </c>
      <c r="N118" s="179" t="str">
        <f t="shared" si="13"/>
        <v/>
      </c>
      <c r="O118" s="179" t="str">
        <f ca="1">IF(OR(A118="",D118="",NOT(ISNUMBER(IF($I$4="C0",historico_VU!C118,IF($I$4="C1",historico_VU!D118,IF($I$4="C2",historico_VU!E118,IF($I$4="C3",historico_VU!F118,IF($I$4="C4",historico_VU!G118,"")))))))),"",ROUND(D118*IF($I$4="C0",historico_VU!C118,IF($I$4="C1",historico_VU!D118,IF($I$4="C2",historico_VU!E118,IF($I$4="C3",historico_VU!F118,IF($I$4="C4",historico_VU!G118,""))))),2))</f>
        <v/>
      </c>
      <c r="P118" s="179" t="str">
        <f ca="1">IF(OR(A118="",N118="",NOT(ISNUMBER(IF($I$4="C0",historico_VU!C118,IF($I$4="C1",historico_VU!D118,IF($I$4="C2",historico_VU!E118,IF($I$4="C3",historico_VU!F118,IF($I$4="C4",historico_VU!G118,"")))))))),"",ROUND(N118*IF($I$4="C0",historico_VU!C118,IF($I$4="C1",historico_VU!D118,IF($I$4="C2",historico_VU!E118,IF($I$4="C3",historico_VU!F118,IF($I$4="C4",historico_VU!G118,""))))),2))</f>
        <v/>
      </c>
      <c r="Q118" s="179" t="str">
        <f t="shared" si="14"/>
        <v/>
      </c>
      <c r="R118" s="179" t="str">
        <f ca="1">IF(OR(A118="",L118="",NOT(ISNUMBER(IF($I$4="C0",historico_VU!C118,IF($I$4="C1",historico_VU!D118,IF($I$4="C2",historico_VU!E118,IF($I$4="C3",historico_VU!F118,IF($I$4="C4",historico_VU!G118,"")))))))),"",ROUND(L118*IF($I$4="C0",historico_VU!C118,IF($I$4="C1",historico_VU!D118,IF($I$4="C2",historico_VU!E118,IF($I$4="C3",historico_VU!F118,IF($I$4="C4",historico_VU!G118,""))))),2))</f>
        <v/>
      </c>
    </row>
    <row r="119" spans="1:18" x14ac:dyDescent="0.35">
      <c r="A119" s="81" t="str">
        <f>IF(itens_Remanesc!A119="","",itens_Remanesc!A119)</f>
        <v/>
      </c>
      <c r="B119" s="217" t="str">
        <f t="shared" ca="1" si="15"/>
        <v/>
      </c>
      <c r="C119" s="218" t="str">
        <f>IF(A119="","",IF($I$5="","POSICAO DE REFERENCIA INDISPONIVEL",ROUND(IF(itens_Remanesc!B119="",0,itens_Remanesc!B119)+SUMIFS(aditivos!$L$2:$L$200,aditivos!$A$2:$A$200,A119,aditivos!$B$2:$B$200,"&lt;="&amp;$I$5),2)))</f>
        <v/>
      </c>
      <c r="D119" s="218" t="str">
        <f>IF(A119="","",IF($I$4="","",IF($I$2,IF(ISNUMBER(B119),B119,""),IF($I$4="C0",posicao_contratual!G119,IF($I$4="C1",posicao_contratual!K119,IF($I$4="C2",posicao_contratual!O119,IF($I$4="C3",posicao_contratual!S119,IF($I$4="C4",posicao_contratual!W119,""))))))))</f>
        <v/>
      </c>
      <c r="E119" s="219" t="str">
        <f t="shared" si="12"/>
        <v/>
      </c>
      <c r="F119" s="81" t="str">
        <f>IF(A119="","",IF(COUNTIF($A$2:$A$200,A119)&gt;1,"ITEM DUPLICADO",IF($I$4="","POSICAO DE REFERENCIA INDISPONIVEL",IF(AND(B119&lt;&gt;"",NOT(ISNUMBER(B119))),"QTD NAO NUMERICA",IF(AND(ISNUMBER(B119),B119&lt;0),"NEGATIVO NAO PERMITIDO",IF(NOT(ISNUMBER(C119)),"POSICAO CONTRATUAL INDISPONIVEL",IF(OR(AND(posicao_contratual!$Y119&lt;&gt;"",posicao_contratual!$Y119&gt;IFERROR(VALUE(MID($I$4,2,1)),-1)),AND(posicao_contratual!$Z119,ISNUMBER(C119),C119&lt;=0)),"ITEM POSTERIOR A REFERENCIA",IF(D119="","REMANESCENTE DE REFERENCIA INDISPONIVEL",IF(AND(ISNUMBER(D119),ISNUMBER(C119),D119&gt;C119),"REMANESCENTE DE REFERENCIA SUPERA POSICAO CONTRATUAL","OK")))))))))</f>
        <v/>
      </c>
      <c r="K119" s="179" t="str">
        <f>IF(A119="","",itens_Remanesc!C119)</f>
        <v/>
      </c>
      <c r="L119" s="179" t="str">
        <f>IF(A119="","",IF($I$4="C0",posicao_contratual!G119,IF($I$4="C1",posicao_contratual!K119,IF($I$4="C2",posicao_contratual!O119,IF($I$4="C3",posicao_contratual!S119,IF($I$4="C4",posicao_contratual!W119,""))))))</f>
        <v/>
      </c>
      <c r="M119" s="179" t="str">
        <f ca="1">IF(OR(A119="",$I$5="",$I$6=""),"",ROUND(SUMIFS(aditivos!$L$2:$L$200,aditivos!$A$2:$A$200,A119,aditivos!$B$2:$B$200,"&gt;"&amp;$I$6,aditivos!$B$2:$B$200,"&lt;="&amp;$I$5),2))</f>
        <v/>
      </c>
      <c r="N119" s="179" t="str">
        <f t="shared" si="13"/>
        <v/>
      </c>
      <c r="O119" s="179" t="str">
        <f ca="1">IF(OR(A119="",D119="",NOT(ISNUMBER(IF($I$4="C0",historico_VU!C119,IF($I$4="C1",historico_VU!D119,IF($I$4="C2",historico_VU!E119,IF($I$4="C3",historico_VU!F119,IF($I$4="C4",historico_VU!G119,"")))))))),"",ROUND(D119*IF($I$4="C0",historico_VU!C119,IF($I$4="C1",historico_VU!D119,IF($I$4="C2",historico_VU!E119,IF($I$4="C3",historico_VU!F119,IF($I$4="C4",historico_VU!G119,""))))),2))</f>
        <v/>
      </c>
      <c r="P119" s="179" t="str">
        <f ca="1">IF(OR(A119="",N119="",NOT(ISNUMBER(IF($I$4="C0",historico_VU!C119,IF($I$4="C1",historico_VU!D119,IF($I$4="C2",historico_VU!E119,IF($I$4="C3",historico_VU!F119,IF($I$4="C4",historico_VU!G119,"")))))))),"",ROUND(N119*IF($I$4="C0",historico_VU!C119,IF($I$4="C1",historico_VU!D119,IF($I$4="C2",historico_VU!E119,IF($I$4="C3",historico_VU!F119,IF($I$4="C4",historico_VU!G119,""))))),2))</f>
        <v/>
      </c>
      <c r="Q119" s="179" t="str">
        <f t="shared" si="14"/>
        <v/>
      </c>
      <c r="R119" s="179" t="str">
        <f ca="1">IF(OR(A119="",L119="",NOT(ISNUMBER(IF($I$4="C0",historico_VU!C119,IF($I$4="C1",historico_VU!D119,IF($I$4="C2",historico_VU!E119,IF($I$4="C3",historico_VU!F119,IF($I$4="C4",historico_VU!G119,"")))))))),"",ROUND(L119*IF($I$4="C0",historico_VU!C119,IF($I$4="C1",historico_VU!D119,IF($I$4="C2",historico_VU!E119,IF($I$4="C3",historico_VU!F119,IF($I$4="C4",historico_VU!G119,""))))),2))</f>
        <v/>
      </c>
    </row>
    <row r="120" spans="1:18" x14ac:dyDescent="0.35">
      <c r="A120" s="81" t="str">
        <f>IF(itens_Remanesc!A120="","",itens_Remanesc!A120)</f>
        <v/>
      </c>
      <c r="B120" s="217" t="str">
        <f t="shared" ca="1" si="15"/>
        <v/>
      </c>
      <c r="C120" s="218" t="str">
        <f>IF(A120="","",IF($I$5="","POSICAO DE REFERENCIA INDISPONIVEL",ROUND(IF(itens_Remanesc!B120="",0,itens_Remanesc!B120)+SUMIFS(aditivos!$L$2:$L$200,aditivos!$A$2:$A$200,A120,aditivos!$B$2:$B$200,"&lt;="&amp;$I$5),2)))</f>
        <v/>
      </c>
      <c r="D120" s="218" t="str">
        <f>IF(A120="","",IF($I$4="","",IF($I$2,IF(ISNUMBER(B120),B120,""),IF($I$4="C0",posicao_contratual!G120,IF($I$4="C1",posicao_contratual!K120,IF($I$4="C2",posicao_contratual!O120,IF($I$4="C3",posicao_contratual!S120,IF($I$4="C4",posicao_contratual!W120,""))))))))</f>
        <v/>
      </c>
      <c r="E120" s="219" t="str">
        <f t="shared" si="12"/>
        <v/>
      </c>
      <c r="F120" s="81" t="str">
        <f>IF(A120="","",IF(COUNTIF($A$2:$A$200,A120)&gt;1,"ITEM DUPLICADO",IF($I$4="","POSICAO DE REFERENCIA INDISPONIVEL",IF(AND(B120&lt;&gt;"",NOT(ISNUMBER(B120))),"QTD NAO NUMERICA",IF(AND(ISNUMBER(B120),B120&lt;0),"NEGATIVO NAO PERMITIDO",IF(NOT(ISNUMBER(C120)),"POSICAO CONTRATUAL INDISPONIVEL",IF(OR(AND(posicao_contratual!$Y120&lt;&gt;"",posicao_contratual!$Y120&gt;IFERROR(VALUE(MID($I$4,2,1)),-1)),AND(posicao_contratual!$Z120,ISNUMBER(C120),C120&lt;=0)),"ITEM POSTERIOR A REFERENCIA",IF(D120="","REMANESCENTE DE REFERENCIA INDISPONIVEL",IF(AND(ISNUMBER(D120),ISNUMBER(C120),D120&gt;C120),"REMANESCENTE DE REFERENCIA SUPERA POSICAO CONTRATUAL","OK")))))))))</f>
        <v/>
      </c>
      <c r="K120" s="179" t="str">
        <f>IF(A120="","",itens_Remanesc!C120)</f>
        <v/>
      </c>
      <c r="L120" s="179" t="str">
        <f>IF(A120="","",IF($I$4="C0",posicao_contratual!G120,IF($I$4="C1",posicao_contratual!K120,IF($I$4="C2",posicao_contratual!O120,IF($I$4="C3",posicao_contratual!S120,IF($I$4="C4",posicao_contratual!W120,""))))))</f>
        <v/>
      </c>
      <c r="M120" s="179" t="str">
        <f ca="1">IF(OR(A120="",$I$5="",$I$6=""),"",ROUND(SUMIFS(aditivos!$L$2:$L$200,aditivos!$A$2:$A$200,A120,aditivos!$B$2:$B$200,"&gt;"&amp;$I$6,aditivos!$B$2:$B$200,"&lt;="&amp;$I$5),2))</f>
        <v/>
      </c>
      <c r="N120" s="179" t="str">
        <f t="shared" si="13"/>
        <v/>
      </c>
      <c r="O120" s="179" t="str">
        <f ca="1">IF(OR(A120="",D120="",NOT(ISNUMBER(IF($I$4="C0",historico_VU!C120,IF($I$4="C1",historico_VU!D120,IF($I$4="C2",historico_VU!E120,IF($I$4="C3",historico_VU!F120,IF($I$4="C4",historico_VU!G120,"")))))))),"",ROUND(D120*IF($I$4="C0",historico_VU!C120,IF($I$4="C1",historico_VU!D120,IF($I$4="C2",historico_VU!E120,IF($I$4="C3",historico_VU!F120,IF($I$4="C4",historico_VU!G120,""))))),2))</f>
        <v/>
      </c>
      <c r="P120" s="179" t="str">
        <f ca="1">IF(OR(A120="",N120="",NOT(ISNUMBER(IF($I$4="C0",historico_VU!C120,IF($I$4="C1",historico_VU!D120,IF($I$4="C2",historico_VU!E120,IF($I$4="C3",historico_VU!F120,IF($I$4="C4",historico_VU!G120,"")))))))),"",ROUND(N120*IF($I$4="C0",historico_VU!C120,IF($I$4="C1",historico_VU!D120,IF($I$4="C2",historico_VU!E120,IF($I$4="C3",historico_VU!F120,IF($I$4="C4",historico_VU!G120,""))))),2))</f>
        <v/>
      </c>
      <c r="Q120" s="179" t="str">
        <f t="shared" si="14"/>
        <v/>
      </c>
      <c r="R120" s="179" t="str">
        <f ca="1">IF(OR(A120="",L120="",NOT(ISNUMBER(IF($I$4="C0",historico_VU!C120,IF($I$4="C1",historico_VU!D120,IF($I$4="C2",historico_VU!E120,IF($I$4="C3",historico_VU!F120,IF($I$4="C4",historico_VU!G120,"")))))))),"",ROUND(L120*IF($I$4="C0",historico_VU!C120,IF($I$4="C1",historico_VU!D120,IF($I$4="C2",historico_VU!E120,IF($I$4="C3",historico_VU!F120,IF($I$4="C4",historico_VU!G120,""))))),2))</f>
        <v/>
      </c>
    </row>
    <row r="121" spans="1:18" x14ac:dyDescent="0.35">
      <c r="A121" s="81" t="str">
        <f>IF(itens_Remanesc!A121="","",itens_Remanesc!A121)</f>
        <v/>
      </c>
      <c r="B121" s="217" t="str">
        <f t="shared" ca="1" si="15"/>
        <v/>
      </c>
      <c r="C121" s="218" t="str">
        <f>IF(A121="","",IF($I$5="","POSICAO DE REFERENCIA INDISPONIVEL",ROUND(IF(itens_Remanesc!B121="",0,itens_Remanesc!B121)+SUMIFS(aditivos!$L$2:$L$200,aditivos!$A$2:$A$200,A121,aditivos!$B$2:$B$200,"&lt;="&amp;$I$5),2)))</f>
        <v/>
      </c>
      <c r="D121" s="218" t="str">
        <f>IF(A121="","",IF($I$4="","",IF($I$2,IF(ISNUMBER(B121),B121,""),IF($I$4="C0",posicao_contratual!G121,IF($I$4="C1",posicao_contratual!K121,IF($I$4="C2",posicao_contratual!O121,IF($I$4="C3",posicao_contratual!S121,IF($I$4="C4",posicao_contratual!W121,""))))))))</f>
        <v/>
      </c>
      <c r="E121" s="219" t="str">
        <f t="shared" si="12"/>
        <v/>
      </c>
      <c r="F121" s="81" t="str">
        <f>IF(A121="","",IF(COUNTIF($A$2:$A$200,A121)&gt;1,"ITEM DUPLICADO",IF($I$4="","POSICAO DE REFERENCIA INDISPONIVEL",IF(AND(B121&lt;&gt;"",NOT(ISNUMBER(B121))),"QTD NAO NUMERICA",IF(AND(ISNUMBER(B121),B121&lt;0),"NEGATIVO NAO PERMITIDO",IF(NOT(ISNUMBER(C121)),"POSICAO CONTRATUAL INDISPONIVEL",IF(OR(AND(posicao_contratual!$Y121&lt;&gt;"",posicao_contratual!$Y121&gt;IFERROR(VALUE(MID($I$4,2,1)),-1)),AND(posicao_contratual!$Z121,ISNUMBER(C121),C121&lt;=0)),"ITEM POSTERIOR A REFERENCIA",IF(D121="","REMANESCENTE DE REFERENCIA INDISPONIVEL",IF(AND(ISNUMBER(D121),ISNUMBER(C121),D121&gt;C121),"REMANESCENTE DE REFERENCIA SUPERA POSICAO CONTRATUAL","OK")))))))))</f>
        <v/>
      </c>
      <c r="K121" s="179" t="str">
        <f>IF(A121="","",itens_Remanesc!C121)</f>
        <v/>
      </c>
      <c r="L121" s="179" t="str">
        <f>IF(A121="","",IF($I$4="C0",posicao_contratual!G121,IF($I$4="C1",posicao_contratual!K121,IF($I$4="C2",posicao_contratual!O121,IF($I$4="C3",posicao_contratual!S121,IF($I$4="C4",posicao_contratual!W121,""))))))</f>
        <v/>
      </c>
      <c r="M121" s="179" t="str">
        <f ca="1">IF(OR(A121="",$I$5="",$I$6=""),"",ROUND(SUMIFS(aditivos!$L$2:$L$200,aditivos!$A$2:$A$200,A121,aditivos!$B$2:$B$200,"&gt;"&amp;$I$6,aditivos!$B$2:$B$200,"&lt;="&amp;$I$5),2))</f>
        <v/>
      </c>
      <c r="N121" s="179" t="str">
        <f t="shared" si="13"/>
        <v/>
      </c>
      <c r="O121" s="179" t="str">
        <f ca="1">IF(OR(A121="",D121="",NOT(ISNUMBER(IF($I$4="C0",historico_VU!C121,IF($I$4="C1",historico_VU!D121,IF($I$4="C2",historico_VU!E121,IF($I$4="C3",historico_VU!F121,IF($I$4="C4",historico_VU!G121,"")))))))),"",ROUND(D121*IF($I$4="C0",historico_VU!C121,IF($I$4="C1",historico_VU!D121,IF($I$4="C2",historico_VU!E121,IF($I$4="C3",historico_VU!F121,IF($I$4="C4",historico_VU!G121,""))))),2))</f>
        <v/>
      </c>
      <c r="P121" s="179" t="str">
        <f ca="1">IF(OR(A121="",N121="",NOT(ISNUMBER(IF($I$4="C0",historico_VU!C121,IF($I$4="C1",historico_VU!D121,IF($I$4="C2",historico_VU!E121,IF($I$4="C3",historico_VU!F121,IF($I$4="C4",historico_VU!G121,"")))))))),"",ROUND(N121*IF($I$4="C0",historico_VU!C121,IF($I$4="C1",historico_VU!D121,IF($I$4="C2",historico_VU!E121,IF($I$4="C3",historico_VU!F121,IF($I$4="C4",historico_VU!G121,""))))),2))</f>
        <v/>
      </c>
      <c r="Q121" s="179" t="str">
        <f t="shared" si="14"/>
        <v/>
      </c>
      <c r="R121" s="179" t="str">
        <f ca="1">IF(OR(A121="",L121="",NOT(ISNUMBER(IF($I$4="C0",historico_VU!C121,IF($I$4="C1",historico_VU!D121,IF($I$4="C2",historico_VU!E121,IF($I$4="C3",historico_VU!F121,IF($I$4="C4",historico_VU!G121,"")))))))),"",ROUND(L121*IF($I$4="C0",historico_VU!C121,IF($I$4="C1",historico_VU!D121,IF($I$4="C2",historico_VU!E121,IF($I$4="C3",historico_VU!F121,IF($I$4="C4",historico_VU!G121,""))))),2))</f>
        <v/>
      </c>
    </row>
    <row r="122" spans="1:18" x14ac:dyDescent="0.35">
      <c r="A122" s="81" t="str">
        <f>IF(itens_Remanesc!A122="","",itens_Remanesc!A122)</f>
        <v/>
      </c>
      <c r="B122" s="217" t="str">
        <f t="shared" ca="1" si="15"/>
        <v/>
      </c>
      <c r="C122" s="218" t="str">
        <f>IF(A122="","",IF($I$5="","POSICAO DE REFERENCIA INDISPONIVEL",ROUND(IF(itens_Remanesc!B122="",0,itens_Remanesc!B122)+SUMIFS(aditivos!$L$2:$L$200,aditivos!$A$2:$A$200,A122,aditivos!$B$2:$B$200,"&lt;="&amp;$I$5),2)))</f>
        <v/>
      </c>
      <c r="D122" s="218" t="str">
        <f>IF(A122="","",IF($I$4="","",IF($I$2,IF(ISNUMBER(B122),B122,""),IF($I$4="C0",posicao_contratual!G122,IF($I$4="C1",posicao_contratual!K122,IF($I$4="C2",posicao_contratual!O122,IF($I$4="C3",posicao_contratual!S122,IF($I$4="C4",posicao_contratual!W122,""))))))))</f>
        <v/>
      </c>
      <c r="E122" s="219" t="str">
        <f t="shared" si="12"/>
        <v/>
      </c>
      <c r="F122" s="81" t="str">
        <f>IF(A122="","",IF(COUNTIF($A$2:$A$200,A122)&gt;1,"ITEM DUPLICADO",IF($I$4="","POSICAO DE REFERENCIA INDISPONIVEL",IF(AND(B122&lt;&gt;"",NOT(ISNUMBER(B122))),"QTD NAO NUMERICA",IF(AND(ISNUMBER(B122),B122&lt;0),"NEGATIVO NAO PERMITIDO",IF(NOT(ISNUMBER(C122)),"POSICAO CONTRATUAL INDISPONIVEL",IF(OR(AND(posicao_contratual!$Y122&lt;&gt;"",posicao_contratual!$Y122&gt;IFERROR(VALUE(MID($I$4,2,1)),-1)),AND(posicao_contratual!$Z122,ISNUMBER(C122),C122&lt;=0)),"ITEM POSTERIOR A REFERENCIA",IF(D122="","REMANESCENTE DE REFERENCIA INDISPONIVEL",IF(AND(ISNUMBER(D122),ISNUMBER(C122),D122&gt;C122),"REMANESCENTE DE REFERENCIA SUPERA POSICAO CONTRATUAL","OK")))))))))</f>
        <v/>
      </c>
      <c r="K122" s="179" t="str">
        <f>IF(A122="","",itens_Remanesc!C122)</f>
        <v/>
      </c>
      <c r="L122" s="179" t="str">
        <f>IF(A122="","",IF($I$4="C0",posicao_contratual!G122,IF($I$4="C1",posicao_contratual!K122,IF($I$4="C2",posicao_contratual!O122,IF($I$4="C3",posicao_contratual!S122,IF($I$4="C4",posicao_contratual!W122,""))))))</f>
        <v/>
      </c>
      <c r="M122" s="179" t="str">
        <f ca="1">IF(OR(A122="",$I$5="",$I$6=""),"",ROUND(SUMIFS(aditivos!$L$2:$L$200,aditivos!$A$2:$A$200,A122,aditivos!$B$2:$B$200,"&gt;"&amp;$I$6,aditivos!$B$2:$B$200,"&lt;="&amp;$I$5),2))</f>
        <v/>
      </c>
      <c r="N122" s="179" t="str">
        <f t="shared" si="13"/>
        <v/>
      </c>
      <c r="O122" s="179" t="str">
        <f ca="1">IF(OR(A122="",D122="",NOT(ISNUMBER(IF($I$4="C0",historico_VU!C122,IF($I$4="C1",historico_VU!D122,IF($I$4="C2",historico_VU!E122,IF($I$4="C3",historico_VU!F122,IF($I$4="C4",historico_VU!G122,"")))))))),"",ROUND(D122*IF($I$4="C0",historico_VU!C122,IF($I$4="C1",historico_VU!D122,IF($I$4="C2",historico_VU!E122,IF($I$4="C3",historico_VU!F122,IF($I$4="C4",historico_VU!G122,""))))),2))</f>
        <v/>
      </c>
      <c r="P122" s="179" t="str">
        <f ca="1">IF(OR(A122="",N122="",NOT(ISNUMBER(IF($I$4="C0",historico_VU!C122,IF($I$4="C1",historico_VU!D122,IF($I$4="C2",historico_VU!E122,IF($I$4="C3",historico_VU!F122,IF($I$4="C4",historico_VU!G122,"")))))))),"",ROUND(N122*IF($I$4="C0",historico_VU!C122,IF($I$4="C1",historico_VU!D122,IF($I$4="C2",historico_VU!E122,IF($I$4="C3",historico_VU!F122,IF($I$4="C4",historico_VU!G122,""))))),2))</f>
        <v/>
      </c>
      <c r="Q122" s="179" t="str">
        <f t="shared" si="14"/>
        <v/>
      </c>
      <c r="R122" s="179" t="str">
        <f ca="1">IF(OR(A122="",L122="",NOT(ISNUMBER(IF($I$4="C0",historico_VU!C122,IF($I$4="C1",historico_VU!D122,IF($I$4="C2",historico_VU!E122,IF($I$4="C3",historico_VU!F122,IF($I$4="C4",historico_VU!G122,"")))))))),"",ROUND(L122*IF($I$4="C0",historico_VU!C122,IF($I$4="C1",historico_VU!D122,IF($I$4="C2",historico_VU!E122,IF($I$4="C3",historico_VU!F122,IF($I$4="C4",historico_VU!G122,""))))),2))</f>
        <v/>
      </c>
    </row>
    <row r="123" spans="1:18" x14ac:dyDescent="0.35">
      <c r="A123" s="81" t="str">
        <f>IF(itens_Remanesc!A123="","",itens_Remanesc!A123)</f>
        <v/>
      </c>
      <c r="B123" s="217" t="str">
        <f t="shared" ca="1" si="15"/>
        <v/>
      </c>
      <c r="C123" s="218" t="str">
        <f>IF(A123="","",IF($I$5="","POSICAO DE REFERENCIA INDISPONIVEL",ROUND(IF(itens_Remanesc!B123="",0,itens_Remanesc!B123)+SUMIFS(aditivos!$L$2:$L$200,aditivos!$A$2:$A$200,A123,aditivos!$B$2:$B$200,"&lt;="&amp;$I$5),2)))</f>
        <v/>
      </c>
      <c r="D123" s="218" t="str">
        <f>IF(A123="","",IF($I$4="","",IF($I$2,IF(ISNUMBER(B123),B123,""),IF($I$4="C0",posicao_contratual!G123,IF($I$4="C1",posicao_contratual!K123,IF($I$4="C2",posicao_contratual!O123,IF($I$4="C3",posicao_contratual!S123,IF($I$4="C4",posicao_contratual!W123,""))))))))</f>
        <v/>
      </c>
      <c r="E123" s="219" t="str">
        <f t="shared" si="12"/>
        <v/>
      </c>
      <c r="F123" s="81" t="str">
        <f>IF(A123="","",IF(COUNTIF($A$2:$A$200,A123)&gt;1,"ITEM DUPLICADO",IF($I$4="","POSICAO DE REFERENCIA INDISPONIVEL",IF(AND(B123&lt;&gt;"",NOT(ISNUMBER(B123))),"QTD NAO NUMERICA",IF(AND(ISNUMBER(B123),B123&lt;0),"NEGATIVO NAO PERMITIDO",IF(NOT(ISNUMBER(C123)),"POSICAO CONTRATUAL INDISPONIVEL",IF(OR(AND(posicao_contratual!$Y123&lt;&gt;"",posicao_contratual!$Y123&gt;IFERROR(VALUE(MID($I$4,2,1)),-1)),AND(posicao_contratual!$Z123,ISNUMBER(C123),C123&lt;=0)),"ITEM POSTERIOR A REFERENCIA",IF(D123="","REMANESCENTE DE REFERENCIA INDISPONIVEL",IF(AND(ISNUMBER(D123),ISNUMBER(C123),D123&gt;C123),"REMANESCENTE DE REFERENCIA SUPERA POSICAO CONTRATUAL","OK")))))))))</f>
        <v/>
      </c>
      <c r="K123" s="179" t="str">
        <f>IF(A123="","",itens_Remanesc!C123)</f>
        <v/>
      </c>
      <c r="L123" s="179" t="str">
        <f>IF(A123="","",IF($I$4="C0",posicao_contratual!G123,IF($I$4="C1",posicao_contratual!K123,IF($I$4="C2",posicao_contratual!O123,IF($I$4="C3",posicao_contratual!S123,IF($I$4="C4",posicao_contratual!W123,""))))))</f>
        <v/>
      </c>
      <c r="M123" s="179" t="str">
        <f ca="1">IF(OR(A123="",$I$5="",$I$6=""),"",ROUND(SUMIFS(aditivos!$L$2:$L$200,aditivos!$A$2:$A$200,A123,aditivos!$B$2:$B$200,"&gt;"&amp;$I$6,aditivos!$B$2:$B$200,"&lt;="&amp;$I$5),2))</f>
        <v/>
      </c>
      <c r="N123" s="179" t="str">
        <f t="shared" si="13"/>
        <v/>
      </c>
      <c r="O123" s="179" t="str">
        <f ca="1">IF(OR(A123="",D123="",NOT(ISNUMBER(IF($I$4="C0",historico_VU!C123,IF($I$4="C1",historico_VU!D123,IF($I$4="C2",historico_VU!E123,IF($I$4="C3",historico_VU!F123,IF($I$4="C4",historico_VU!G123,"")))))))),"",ROUND(D123*IF($I$4="C0",historico_VU!C123,IF($I$4="C1",historico_VU!D123,IF($I$4="C2",historico_VU!E123,IF($I$4="C3",historico_VU!F123,IF($I$4="C4",historico_VU!G123,""))))),2))</f>
        <v/>
      </c>
      <c r="P123" s="179" t="str">
        <f ca="1">IF(OR(A123="",N123="",NOT(ISNUMBER(IF($I$4="C0",historico_VU!C123,IF($I$4="C1",historico_VU!D123,IF($I$4="C2",historico_VU!E123,IF($I$4="C3",historico_VU!F123,IF($I$4="C4",historico_VU!G123,"")))))))),"",ROUND(N123*IF($I$4="C0",historico_VU!C123,IF($I$4="C1",historico_VU!D123,IF($I$4="C2",historico_VU!E123,IF($I$4="C3",historico_VU!F123,IF($I$4="C4",historico_VU!G123,""))))),2))</f>
        <v/>
      </c>
      <c r="Q123" s="179" t="str">
        <f t="shared" si="14"/>
        <v/>
      </c>
      <c r="R123" s="179" t="str">
        <f ca="1">IF(OR(A123="",L123="",NOT(ISNUMBER(IF($I$4="C0",historico_VU!C123,IF($I$4="C1",historico_VU!D123,IF($I$4="C2",historico_VU!E123,IF($I$4="C3",historico_VU!F123,IF($I$4="C4",historico_VU!G123,"")))))))),"",ROUND(L123*IF($I$4="C0",historico_VU!C123,IF($I$4="C1",historico_VU!D123,IF($I$4="C2",historico_VU!E123,IF($I$4="C3",historico_VU!F123,IF($I$4="C4",historico_VU!G123,""))))),2))</f>
        <v/>
      </c>
    </row>
    <row r="124" spans="1:18" x14ac:dyDescent="0.35">
      <c r="A124" s="81" t="str">
        <f>IF(itens_Remanesc!A124="","",itens_Remanesc!A124)</f>
        <v/>
      </c>
      <c r="B124" s="217" t="str">
        <f t="shared" ca="1" si="15"/>
        <v/>
      </c>
      <c r="C124" s="218" t="str">
        <f>IF(A124="","",IF($I$5="","POSICAO DE REFERENCIA INDISPONIVEL",ROUND(IF(itens_Remanesc!B124="",0,itens_Remanesc!B124)+SUMIFS(aditivos!$L$2:$L$200,aditivos!$A$2:$A$200,A124,aditivos!$B$2:$B$200,"&lt;="&amp;$I$5),2)))</f>
        <v/>
      </c>
      <c r="D124" s="218" t="str">
        <f>IF(A124="","",IF($I$4="","",IF($I$2,IF(ISNUMBER(B124),B124,""),IF($I$4="C0",posicao_contratual!G124,IF($I$4="C1",posicao_contratual!K124,IF($I$4="C2",posicao_contratual!O124,IF($I$4="C3",posicao_contratual!S124,IF($I$4="C4",posicao_contratual!W124,""))))))))</f>
        <v/>
      </c>
      <c r="E124" s="219" t="str">
        <f t="shared" si="12"/>
        <v/>
      </c>
      <c r="F124" s="81" t="str">
        <f>IF(A124="","",IF(COUNTIF($A$2:$A$200,A124)&gt;1,"ITEM DUPLICADO",IF($I$4="","POSICAO DE REFERENCIA INDISPONIVEL",IF(AND(B124&lt;&gt;"",NOT(ISNUMBER(B124))),"QTD NAO NUMERICA",IF(AND(ISNUMBER(B124),B124&lt;0),"NEGATIVO NAO PERMITIDO",IF(NOT(ISNUMBER(C124)),"POSICAO CONTRATUAL INDISPONIVEL",IF(OR(AND(posicao_contratual!$Y124&lt;&gt;"",posicao_contratual!$Y124&gt;IFERROR(VALUE(MID($I$4,2,1)),-1)),AND(posicao_contratual!$Z124,ISNUMBER(C124),C124&lt;=0)),"ITEM POSTERIOR A REFERENCIA",IF(D124="","REMANESCENTE DE REFERENCIA INDISPONIVEL",IF(AND(ISNUMBER(D124),ISNUMBER(C124),D124&gt;C124),"REMANESCENTE DE REFERENCIA SUPERA POSICAO CONTRATUAL","OK")))))))))</f>
        <v/>
      </c>
      <c r="K124" s="179" t="str">
        <f>IF(A124="","",itens_Remanesc!C124)</f>
        <v/>
      </c>
      <c r="L124" s="179" t="str">
        <f>IF(A124="","",IF($I$4="C0",posicao_contratual!G124,IF($I$4="C1",posicao_contratual!K124,IF($I$4="C2",posicao_contratual!O124,IF($I$4="C3",posicao_contratual!S124,IF($I$4="C4",posicao_contratual!W124,""))))))</f>
        <v/>
      </c>
      <c r="M124" s="179" t="str">
        <f ca="1">IF(OR(A124="",$I$5="",$I$6=""),"",ROUND(SUMIFS(aditivos!$L$2:$L$200,aditivos!$A$2:$A$200,A124,aditivos!$B$2:$B$200,"&gt;"&amp;$I$6,aditivos!$B$2:$B$200,"&lt;="&amp;$I$5),2))</f>
        <v/>
      </c>
      <c r="N124" s="179" t="str">
        <f t="shared" si="13"/>
        <v/>
      </c>
      <c r="O124" s="179" t="str">
        <f ca="1">IF(OR(A124="",D124="",NOT(ISNUMBER(IF($I$4="C0",historico_VU!C124,IF($I$4="C1",historico_VU!D124,IF($I$4="C2",historico_VU!E124,IF($I$4="C3",historico_VU!F124,IF($I$4="C4",historico_VU!G124,"")))))))),"",ROUND(D124*IF($I$4="C0",historico_VU!C124,IF($I$4="C1",historico_VU!D124,IF($I$4="C2",historico_VU!E124,IF($I$4="C3",historico_VU!F124,IF($I$4="C4",historico_VU!G124,""))))),2))</f>
        <v/>
      </c>
      <c r="P124" s="179" t="str">
        <f ca="1">IF(OR(A124="",N124="",NOT(ISNUMBER(IF($I$4="C0",historico_VU!C124,IF($I$4="C1",historico_VU!D124,IF($I$4="C2",historico_VU!E124,IF($I$4="C3",historico_VU!F124,IF($I$4="C4",historico_VU!G124,"")))))))),"",ROUND(N124*IF($I$4="C0",historico_VU!C124,IF($I$4="C1",historico_VU!D124,IF($I$4="C2",historico_VU!E124,IF($I$4="C3",historico_VU!F124,IF($I$4="C4",historico_VU!G124,""))))),2))</f>
        <v/>
      </c>
      <c r="Q124" s="179" t="str">
        <f t="shared" si="14"/>
        <v/>
      </c>
      <c r="R124" s="179" t="str">
        <f ca="1">IF(OR(A124="",L124="",NOT(ISNUMBER(IF($I$4="C0",historico_VU!C124,IF($I$4="C1",historico_VU!D124,IF($I$4="C2",historico_VU!E124,IF($I$4="C3",historico_VU!F124,IF($I$4="C4",historico_VU!G124,"")))))))),"",ROUND(L124*IF($I$4="C0",historico_VU!C124,IF($I$4="C1",historico_VU!D124,IF($I$4="C2",historico_VU!E124,IF($I$4="C3",historico_VU!F124,IF($I$4="C4",historico_VU!G124,""))))),2))</f>
        <v/>
      </c>
    </row>
    <row r="125" spans="1:18" x14ac:dyDescent="0.35">
      <c r="A125" s="81" t="str">
        <f>IF(itens_Remanesc!A125="","",itens_Remanesc!A125)</f>
        <v/>
      </c>
      <c r="B125" s="217" t="str">
        <f t="shared" ca="1" si="15"/>
        <v/>
      </c>
      <c r="C125" s="218" t="str">
        <f>IF(A125="","",IF($I$5="","POSICAO DE REFERENCIA INDISPONIVEL",ROUND(IF(itens_Remanesc!B125="",0,itens_Remanesc!B125)+SUMIFS(aditivos!$L$2:$L$200,aditivos!$A$2:$A$200,A125,aditivos!$B$2:$B$200,"&lt;="&amp;$I$5),2)))</f>
        <v/>
      </c>
      <c r="D125" s="218" t="str">
        <f>IF(A125="","",IF($I$4="","",IF($I$2,IF(ISNUMBER(B125),B125,""),IF($I$4="C0",posicao_contratual!G125,IF($I$4="C1",posicao_contratual!K125,IF($I$4="C2",posicao_contratual!O125,IF($I$4="C3",posicao_contratual!S125,IF($I$4="C4",posicao_contratual!W125,""))))))))</f>
        <v/>
      </c>
      <c r="E125" s="219" t="str">
        <f t="shared" si="12"/>
        <v/>
      </c>
      <c r="F125" s="81" t="str">
        <f>IF(A125="","",IF(COUNTIF($A$2:$A$200,A125)&gt;1,"ITEM DUPLICADO",IF($I$4="","POSICAO DE REFERENCIA INDISPONIVEL",IF(AND(B125&lt;&gt;"",NOT(ISNUMBER(B125))),"QTD NAO NUMERICA",IF(AND(ISNUMBER(B125),B125&lt;0),"NEGATIVO NAO PERMITIDO",IF(NOT(ISNUMBER(C125)),"POSICAO CONTRATUAL INDISPONIVEL",IF(OR(AND(posicao_contratual!$Y125&lt;&gt;"",posicao_contratual!$Y125&gt;IFERROR(VALUE(MID($I$4,2,1)),-1)),AND(posicao_contratual!$Z125,ISNUMBER(C125),C125&lt;=0)),"ITEM POSTERIOR A REFERENCIA",IF(D125="","REMANESCENTE DE REFERENCIA INDISPONIVEL",IF(AND(ISNUMBER(D125),ISNUMBER(C125),D125&gt;C125),"REMANESCENTE DE REFERENCIA SUPERA POSICAO CONTRATUAL","OK")))))))))</f>
        <v/>
      </c>
      <c r="K125" s="179" t="str">
        <f>IF(A125="","",itens_Remanesc!C125)</f>
        <v/>
      </c>
      <c r="L125" s="179" t="str">
        <f>IF(A125="","",IF($I$4="C0",posicao_contratual!G125,IF($I$4="C1",posicao_contratual!K125,IF($I$4="C2",posicao_contratual!O125,IF($I$4="C3",posicao_contratual!S125,IF($I$4="C4",posicao_contratual!W125,""))))))</f>
        <v/>
      </c>
      <c r="M125" s="179" t="str">
        <f ca="1">IF(OR(A125="",$I$5="",$I$6=""),"",ROUND(SUMIFS(aditivos!$L$2:$L$200,aditivos!$A$2:$A$200,A125,aditivos!$B$2:$B$200,"&gt;"&amp;$I$6,aditivos!$B$2:$B$200,"&lt;="&amp;$I$5),2))</f>
        <v/>
      </c>
      <c r="N125" s="179" t="str">
        <f t="shared" si="13"/>
        <v/>
      </c>
      <c r="O125" s="179" t="str">
        <f ca="1">IF(OR(A125="",D125="",NOT(ISNUMBER(IF($I$4="C0",historico_VU!C125,IF($I$4="C1",historico_VU!D125,IF($I$4="C2",historico_VU!E125,IF($I$4="C3",historico_VU!F125,IF($I$4="C4",historico_VU!G125,"")))))))),"",ROUND(D125*IF($I$4="C0",historico_VU!C125,IF($I$4="C1",historico_VU!D125,IF($I$4="C2",historico_VU!E125,IF($I$4="C3",historico_VU!F125,IF($I$4="C4",historico_VU!G125,""))))),2))</f>
        <v/>
      </c>
      <c r="P125" s="179" t="str">
        <f ca="1">IF(OR(A125="",N125="",NOT(ISNUMBER(IF($I$4="C0",historico_VU!C125,IF($I$4="C1",historico_VU!D125,IF($I$4="C2",historico_VU!E125,IF($I$4="C3",historico_VU!F125,IF($I$4="C4",historico_VU!G125,"")))))))),"",ROUND(N125*IF($I$4="C0",historico_VU!C125,IF($I$4="C1",historico_VU!D125,IF($I$4="C2",historico_VU!E125,IF($I$4="C3",historico_VU!F125,IF($I$4="C4",historico_VU!G125,""))))),2))</f>
        <v/>
      </c>
      <c r="Q125" s="179" t="str">
        <f t="shared" si="14"/>
        <v/>
      </c>
      <c r="R125" s="179" t="str">
        <f ca="1">IF(OR(A125="",L125="",NOT(ISNUMBER(IF($I$4="C0",historico_VU!C125,IF($I$4="C1",historico_VU!D125,IF($I$4="C2",historico_VU!E125,IF($I$4="C3",historico_VU!F125,IF($I$4="C4",historico_VU!G125,"")))))))),"",ROUND(L125*IF($I$4="C0",historico_VU!C125,IF($I$4="C1",historico_VU!D125,IF($I$4="C2",historico_VU!E125,IF($I$4="C3",historico_VU!F125,IF($I$4="C4",historico_VU!G125,""))))),2))</f>
        <v/>
      </c>
    </row>
    <row r="126" spans="1:18" x14ac:dyDescent="0.35">
      <c r="A126" s="81" t="str">
        <f>IF(itens_Remanesc!A126="","",itens_Remanesc!A126)</f>
        <v/>
      </c>
      <c r="B126" s="217" t="str">
        <f t="shared" ca="1" si="15"/>
        <v/>
      </c>
      <c r="C126" s="218" t="str">
        <f>IF(A126="","",IF($I$5="","POSICAO DE REFERENCIA INDISPONIVEL",ROUND(IF(itens_Remanesc!B126="",0,itens_Remanesc!B126)+SUMIFS(aditivos!$L$2:$L$200,aditivos!$A$2:$A$200,A126,aditivos!$B$2:$B$200,"&lt;="&amp;$I$5),2)))</f>
        <v/>
      </c>
      <c r="D126" s="218" t="str">
        <f>IF(A126="","",IF($I$4="","",IF($I$2,IF(ISNUMBER(B126),B126,""),IF($I$4="C0",posicao_contratual!G126,IF($I$4="C1",posicao_contratual!K126,IF($I$4="C2",posicao_contratual!O126,IF($I$4="C3",posicao_contratual!S126,IF($I$4="C4",posicao_contratual!W126,""))))))))</f>
        <v/>
      </c>
      <c r="E126" s="219" t="str">
        <f t="shared" si="12"/>
        <v/>
      </c>
      <c r="F126" s="81" t="str">
        <f>IF(A126="","",IF(COUNTIF($A$2:$A$200,A126)&gt;1,"ITEM DUPLICADO",IF($I$4="","POSICAO DE REFERENCIA INDISPONIVEL",IF(AND(B126&lt;&gt;"",NOT(ISNUMBER(B126))),"QTD NAO NUMERICA",IF(AND(ISNUMBER(B126),B126&lt;0),"NEGATIVO NAO PERMITIDO",IF(NOT(ISNUMBER(C126)),"POSICAO CONTRATUAL INDISPONIVEL",IF(OR(AND(posicao_contratual!$Y126&lt;&gt;"",posicao_contratual!$Y126&gt;IFERROR(VALUE(MID($I$4,2,1)),-1)),AND(posicao_contratual!$Z126,ISNUMBER(C126),C126&lt;=0)),"ITEM POSTERIOR A REFERENCIA",IF(D126="","REMANESCENTE DE REFERENCIA INDISPONIVEL",IF(AND(ISNUMBER(D126),ISNUMBER(C126),D126&gt;C126),"REMANESCENTE DE REFERENCIA SUPERA POSICAO CONTRATUAL","OK")))))))))</f>
        <v/>
      </c>
      <c r="K126" s="179" t="str">
        <f>IF(A126="","",itens_Remanesc!C126)</f>
        <v/>
      </c>
      <c r="L126" s="179" t="str">
        <f>IF(A126="","",IF($I$4="C0",posicao_contratual!G126,IF($I$4="C1",posicao_contratual!K126,IF($I$4="C2",posicao_contratual!O126,IF($I$4="C3",posicao_contratual!S126,IF($I$4="C4",posicao_contratual!W126,""))))))</f>
        <v/>
      </c>
      <c r="M126" s="179" t="str">
        <f ca="1">IF(OR(A126="",$I$5="",$I$6=""),"",ROUND(SUMIFS(aditivos!$L$2:$L$200,aditivos!$A$2:$A$200,A126,aditivos!$B$2:$B$200,"&gt;"&amp;$I$6,aditivos!$B$2:$B$200,"&lt;="&amp;$I$5),2))</f>
        <v/>
      </c>
      <c r="N126" s="179" t="str">
        <f t="shared" si="13"/>
        <v/>
      </c>
      <c r="O126" s="179" t="str">
        <f ca="1">IF(OR(A126="",D126="",NOT(ISNUMBER(IF($I$4="C0",historico_VU!C126,IF($I$4="C1",historico_VU!D126,IF($I$4="C2",historico_VU!E126,IF($I$4="C3",historico_VU!F126,IF($I$4="C4",historico_VU!G126,"")))))))),"",ROUND(D126*IF($I$4="C0",historico_VU!C126,IF($I$4="C1",historico_VU!D126,IF($I$4="C2",historico_VU!E126,IF($I$4="C3",historico_VU!F126,IF($I$4="C4",historico_VU!G126,""))))),2))</f>
        <v/>
      </c>
      <c r="P126" s="179" t="str">
        <f ca="1">IF(OR(A126="",N126="",NOT(ISNUMBER(IF($I$4="C0",historico_VU!C126,IF($I$4="C1",historico_VU!D126,IF($I$4="C2",historico_VU!E126,IF($I$4="C3",historico_VU!F126,IF($I$4="C4",historico_VU!G126,"")))))))),"",ROUND(N126*IF($I$4="C0",historico_VU!C126,IF($I$4="C1",historico_VU!D126,IF($I$4="C2",historico_VU!E126,IF($I$4="C3",historico_VU!F126,IF($I$4="C4",historico_VU!G126,""))))),2))</f>
        <v/>
      </c>
      <c r="Q126" s="179" t="str">
        <f t="shared" si="14"/>
        <v/>
      </c>
      <c r="R126" s="179" t="str">
        <f ca="1">IF(OR(A126="",L126="",NOT(ISNUMBER(IF($I$4="C0",historico_VU!C126,IF($I$4="C1",historico_VU!D126,IF($I$4="C2",historico_VU!E126,IF($I$4="C3",historico_VU!F126,IF($I$4="C4",historico_VU!G126,"")))))))),"",ROUND(L126*IF($I$4="C0",historico_VU!C126,IF($I$4="C1",historico_VU!D126,IF($I$4="C2",historico_VU!E126,IF($I$4="C3",historico_VU!F126,IF($I$4="C4",historico_VU!G126,""))))),2))</f>
        <v/>
      </c>
    </row>
    <row r="127" spans="1:18" x14ac:dyDescent="0.35">
      <c r="A127" s="81" t="str">
        <f>IF(itens_Remanesc!A127="","",itens_Remanesc!A127)</f>
        <v/>
      </c>
      <c r="B127" s="217" t="str">
        <f t="shared" ca="1" si="15"/>
        <v/>
      </c>
      <c r="C127" s="218" t="str">
        <f>IF(A127="","",IF($I$5="","POSICAO DE REFERENCIA INDISPONIVEL",ROUND(IF(itens_Remanesc!B127="",0,itens_Remanesc!B127)+SUMIFS(aditivos!$L$2:$L$200,aditivos!$A$2:$A$200,A127,aditivos!$B$2:$B$200,"&lt;="&amp;$I$5),2)))</f>
        <v/>
      </c>
      <c r="D127" s="218" t="str">
        <f>IF(A127="","",IF($I$4="","",IF($I$2,IF(ISNUMBER(B127),B127,""),IF($I$4="C0",posicao_contratual!G127,IF($I$4="C1",posicao_contratual!K127,IF($I$4="C2",posicao_contratual!O127,IF($I$4="C3",posicao_contratual!S127,IF($I$4="C4",posicao_contratual!W127,""))))))))</f>
        <v/>
      </c>
      <c r="E127" s="219" t="str">
        <f t="shared" si="12"/>
        <v/>
      </c>
      <c r="F127" s="81" t="str">
        <f>IF(A127="","",IF(COUNTIF($A$2:$A$200,A127)&gt;1,"ITEM DUPLICADO",IF($I$4="","POSICAO DE REFERENCIA INDISPONIVEL",IF(AND(B127&lt;&gt;"",NOT(ISNUMBER(B127))),"QTD NAO NUMERICA",IF(AND(ISNUMBER(B127),B127&lt;0),"NEGATIVO NAO PERMITIDO",IF(NOT(ISNUMBER(C127)),"POSICAO CONTRATUAL INDISPONIVEL",IF(OR(AND(posicao_contratual!$Y127&lt;&gt;"",posicao_contratual!$Y127&gt;IFERROR(VALUE(MID($I$4,2,1)),-1)),AND(posicao_contratual!$Z127,ISNUMBER(C127),C127&lt;=0)),"ITEM POSTERIOR A REFERENCIA",IF(D127="","REMANESCENTE DE REFERENCIA INDISPONIVEL",IF(AND(ISNUMBER(D127),ISNUMBER(C127),D127&gt;C127),"REMANESCENTE DE REFERENCIA SUPERA POSICAO CONTRATUAL","OK")))))))))</f>
        <v/>
      </c>
      <c r="K127" s="179" t="str">
        <f>IF(A127="","",itens_Remanesc!C127)</f>
        <v/>
      </c>
      <c r="L127" s="179" t="str">
        <f>IF(A127="","",IF($I$4="C0",posicao_contratual!G127,IF($I$4="C1",posicao_contratual!K127,IF($I$4="C2",posicao_contratual!O127,IF($I$4="C3",posicao_contratual!S127,IF($I$4="C4",posicao_contratual!W127,""))))))</f>
        <v/>
      </c>
      <c r="M127" s="179" t="str">
        <f ca="1">IF(OR(A127="",$I$5="",$I$6=""),"",ROUND(SUMIFS(aditivos!$L$2:$L$200,aditivos!$A$2:$A$200,A127,aditivos!$B$2:$B$200,"&gt;"&amp;$I$6,aditivos!$B$2:$B$200,"&lt;="&amp;$I$5),2))</f>
        <v/>
      </c>
      <c r="N127" s="179" t="str">
        <f t="shared" si="13"/>
        <v/>
      </c>
      <c r="O127" s="179" t="str">
        <f ca="1">IF(OR(A127="",D127="",NOT(ISNUMBER(IF($I$4="C0",historico_VU!C127,IF($I$4="C1",historico_VU!D127,IF($I$4="C2",historico_VU!E127,IF($I$4="C3",historico_VU!F127,IF($I$4="C4",historico_VU!G127,"")))))))),"",ROUND(D127*IF($I$4="C0",historico_VU!C127,IF($I$4="C1",historico_VU!D127,IF($I$4="C2",historico_VU!E127,IF($I$4="C3",historico_VU!F127,IF($I$4="C4",historico_VU!G127,""))))),2))</f>
        <v/>
      </c>
      <c r="P127" s="179" t="str">
        <f ca="1">IF(OR(A127="",N127="",NOT(ISNUMBER(IF($I$4="C0",historico_VU!C127,IF($I$4="C1",historico_VU!D127,IF($I$4="C2",historico_VU!E127,IF($I$4="C3",historico_VU!F127,IF($I$4="C4",historico_VU!G127,"")))))))),"",ROUND(N127*IF($I$4="C0",historico_VU!C127,IF($I$4="C1",historico_VU!D127,IF($I$4="C2",historico_VU!E127,IF($I$4="C3",historico_VU!F127,IF($I$4="C4",historico_VU!G127,""))))),2))</f>
        <v/>
      </c>
      <c r="Q127" s="179" t="str">
        <f t="shared" si="14"/>
        <v/>
      </c>
      <c r="R127" s="179" t="str">
        <f ca="1">IF(OR(A127="",L127="",NOT(ISNUMBER(IF($I$4="C0",historico_VU!C127,IF($I$4="C1",historico_VU!D127,IF($I$4="C2",historico_VU!E127,IF($I$4="C3",historico_VU!F127,IF($I$4="C4",historico_VU!G127,"")))))))),"",ROUND(L127*IF($I$4="C0",historico_VU!C127,IF($I$4="C1",historico_VU!D127,IF($I$4="C2",historico_VU!E127,IF($I$4="C3",historico_VU!F127,IF($I$4="C4",historico_VU!G127,""))))),2))</f>
        <v/>
      </c>
    </row>
    <row r="128" spans="1:18" x14ac:dyDescent="0.35">
      <c r="A128" s="81" t="str">
        <f>IF(itens_Remanesc!A128="","",itens_Remanesc!A128)</f>
        <v/>
      </c>
      <c r="B128" s="217" t="str">
        <f t="shared" ca="1" si="15"/>
        <v/>
      </c>
      <c r="C128" s="218" t="str">
        <f>IF(A128="","",IF($I$5="","POSICAO DE REFERENCIA INDISPONIVEL",ROUND(IF(itens_Remanesc!B128="",0,itens_Remanesc!B128)+SUMIFS(aditivos!$L$2:$L$200,aditivos!$A$2:$A$200,A128,aditivos!$B$2:$B$200,"&lt;="&amp;$I$5),2)))</f>
        <v/>
      </c>
      <c r="D128" s="218" t="str">
        <f>IF(A128="","",IF($I$4="","",IF($I$2,IF(ISNUMBER(B128),B128,""),IF($I$4="C0",posicao_contratual!G128,IF($I$4="C1",posicao_contratual!K128,IF($I$4="C2",posicao_contratual!O128,IF($I$4="C3",posicao_contratual!S128,IF($I$4="C4",posicao_contratual!W128,""))))))))</f>
        <v/>
      </c>
      <c r="E128" s="219" t="str">
        <f t="shared" si="12"/>
        <v/>
      </c>
      <c r="F128" s="81" t="str">
        <f>IF(A128="","",IF(COUNTIF($A$2:$A$200,A128)&gt;1,"ITEM DUPLICADO",IF($I$4="","POSICAO DE REFERENCIA INDISPONIVEL",IF(AND(B128&lt;&gt;"",NOT(ISNUMBER(B128))),"QTD NAO NUMERICA",IF(AND(ISNUMBER(B128),B128&lt;0),"NEGATIVO NAO PERMITIDO",IF(NOT(ISNUMBER(C128)),"POSICAO CONTRATUAL INDISPONIVEL",IF(OR(AND(posicao_contratual!$Y128&lt;&gt;"",posicao_contratual!$Y128&gt;IFERROR(VALUE(MID($I$4,2,1)),-1)),AND(posicao_contratual!$Z128,ISNUMBER(C128),C128&lt;=0)),"ITEM POSTERIOR A REFERENCIA",IF(D128="","REMANESCENTE DE REFERENCIA INDISPONIVEL",IF(AND(ISNUMBER(D128),ISNUMBER(C128),D128&gt;C128),"REMANESCENTE DE REFERENCIA SUPERA POSICAO CONTRATUAL","OK")))))))))</f>
        <v/>
      </c>
      <c r="K128" s="179" t="str">
        <f>IF(A128="","",itens_Remanesc!C128)</f>
        <v/>
      </c>
      <c r="L128" s="179" t="str">
        <f>IF(A128="","",IF($I$4="C0",posicao_contratual!G128,IF($I$4="C1",posicao_contratual!K128,IF($I$4="C2",posicao_contratual!O128,IF($I$4="C3",posicao_contratual!S128,IF($I$4="C4",posicao_contratual!W128,""))))))</f>
        <v/>
      </c>
      <c r="M128" s="179" t="str">
        <f ca="1">IF(OR(A128="",$I$5="",$I$6=""),"",ROUND(SUMIFS(aditivos!$L$2:$L$200,aditivos!$A$2:$A$200,A128,aditivos!$B$2:$B$200,"&gt;"&amp;$I$6,aditivos!$B$2:$B$200,"&lt;="&amp;$I$5),2))</f>
        <v/>
      </c>
      <c r="N128" s="179" t="str">
        <f t="shared" si="13"/>
        <v/>
      </c>
      <c r="O128" s="179" t="str">
        <f ca="1">IF(OR(A128="",D128="",NOT(ISNUMBER(IF($I$4="C0",historico_VU!C128,IF($I$4="C1",historico_VU!D128,IF($I$4="C2",historico_VU!E128,IF($I$4="C3",historico_VU!F128,IF($I$4="C4",historico_VU!G128,"")))))))),"",ROUND(D128*IF($I$4="C0",historico_VU!C128,IF($I$4="C1",historico_VU!D128,IF($I$4="C2",historico_VU!E128,IF($I$4="C3",historico_VU!F128,IF($I$4="C4",historico_VU!G128,""))))),2))</f>
        <v/>
      </c>
      <c r="P128" s="179" t="str">
        <f ca="1">IF(OR(A128="",N128="",NOT(ISNUMBER(IF($I$4="C0",historico_VU!C128,IF($I$4="C1",historico_VU!D128,IF($I$4="C2",historico_VU!E128,IF($I$4="C3",historico_VU!F128,IF($I$4="C4",historico_VU!G128,"")))))))),"",ROUND(N128*IF($I$4="C0",historico_VU!C128,IF($I$4="C1",historico_VU!D128,IF($I$4="C2",historico_VU!E128,IF($I$4="C3",historico_VU!F128,IF($I$4="C4",historico_VU!G128,""))))),2))</f>
        <v/>
      </c>
      <c r="Q128" s="179" t="str">
        <f t="shared" si="14"/>
        <v/>
      </c>
      <c r="R128" s="179" t="str">
        <f ca="1">IF(OR(A128="",L128="",NOT(ISNUMBER(IF($I$4="C0",historico_VU!C128,IF($I$4="C1",historico_VU!D128,IF($I$4="C2",historico_VU!E128,IF($I$4="C3",historico_VU!F128,IF($I$4="C4",historico_VU!G128,"")))))))),"",ROUND(L128*IF($I$4="C0",historico_VU!C128,IF($I$4="C1",historico_VU!D128,IF($I$4="C2",historico_VU!E128,IF($I$4="C3",historico_VU!F128,IF($I$4="C4",historico_VU!G128,""))))),2))</f>
        <v/>
      </c>
    </row>
    <row r="129" spans="1:18" x14ac:dyDescent="0.35">
      <c r="A129" s="81" t="str">
        <f>IF(itens_Remanesc!A129="","",itens_Remanesc!A129)</f>
        <v/>
      </c>
      <c r="B129" s="217" t="str">
        <f t="shared" ca="1" si="15"/>
        <v/>
      </c>
      <c r="C129" s="218" t="str">
        <f>IF(A129="","",IF($I$5="","POSICAO DE REFERENCIA INDISPONIVEL",ROUND(IF(itens_Remanesc!B129="",0,itens_Remanesc!B129)+SUMIFS(aditivos!$L$2:$L$200,aditivos!$A$2:$A$200,A129,aditivos!$B$2:$B$200,"&lt;="&amp;$I$5),2)))</f>
        <v/>
      </c>
      <c r="D129" s="218" t="str">
        <f>IF(A129="","",IF($I$4="","",IF($I$2,IF(ISNUMBER(B129),B129,""),IF($I$4="C0",posicao_contratual!G129,IF($I$4="C1",posicao_contratual!K129,IF($I$4="C2",posicao_contratual!O129,IF($I$4="C3",posicao_contratual!S129,IF($I$4="C4",posicao_contratual!W129,""))))))))</f>
        <v/>
      </c>
      <c r="E129" s="219" t="str">
        <f t="shared" si="12"/>
        <v/>
      </c>
      <c r="F129" s="81" t="str">
        <f>IF(A129="","",IF(COUNTIF($A$2:$A$200,A129)&gt;1,"ITEM DUPLICADO",IF($I$4="","POSICAO DE REFERENCIA INDISPONIVEL",IF(AND(B129&lt;&gt;"",NOT(ISNUMBER(B129))),"QTD NAO NUMERICA",IF(AND(ISNUMBER(B129),B129&lt;0),"NEGATIVO NAO PERMITIDO",IF(NOT(ISNUMBER(C129)),"POSICAO CONTRATUAL INDISPONIVEL",IF(OR(AND(posicao_contratual!$Y129&lt;&gt;"",posicao_contratual!$Y129&gt;IFERROR(VALUE(MID($I$4,2,1)),-1)),AND(posicao_contratual!$Z129,ISNUMBER(C129),C129&lt;=0)),"ITEM POSTERIOR A REFERENCIA",IF(D129="","REMANESCENTE DE REFERENCIA INDISPONIVEL",IF(AND(ISNUMBER(D129),ISNUMBER(C129),D129&gt;C129),"REMANESCENTE DE REFERENCIA SUPERA POSICAO CONTRATUAL","OK")))))))))</f>
        <v/>
      </c>
      <c r="K129" s="179" t="str">
        <f>IF(A129="","",itens_Remanesc!C129)</f>
        <v/>
      </c>
      <c r="L129" s="179" t="str">
        <f>IF(A129="","",IF($I$4="C0",posicao_contratual!G129,IF($I$4="C1",posicao_contratual!K129,IF($I$4="C2",posicao_contratual!O129,IF($I$4="C3",posicao_contratual!S129,IF($I$4="C4",posicao_contratual!W129,""))))))</f>
        <v/>
      </c>
      <c r="M129" s="179" t="str">
        <f ca="1">IF(OR(A129="",$I$5="",$I$6=""),"",ROUND(SUMIFS(aditivos!$L$2:$L$200,aditivos!$A$2:$A$200,A129,aditivos!$B$2:$B$200,"&gt;"&amp;$I$6,aditivos!$B$2:$B$200,"&lt;="&amp;$I$5),2))</f>
        <v/>
      </c>
      <c r="N129" s="179" t="str">
        <f t="shared" si="13"/>
        <v/>
      </c>
      <c r="O129" s="179" t="str">
        <f ca="1">IF(OR(A129="",D129="",NOT(ISNUMBER(IF($I$4="C0",historico_VU!C129,IF($I$4="C1",historico_VU!D129,IF($I$4="C2",historico_VU!E129,IF($I$4="C3",historico_VU!F129,IF($I$4="C4",historico_VU!G129,"")))))))),"",ROUND(D129*IF($I$4="C0",historico_VU!C129,IF($I$4="C1",historico_VU!D129,IF($I$4="C2",historico_VU!E129,IF($I$4="C3",historico_VU!F129,IF($I$4="C4",historico_VU!G129,""))))),2))</f>
        <v/>
      </c>
      <c r="P129" s="179" t="str">
        <f ca="1">IF(OR(A129="",N129="",NOT(ISNUMBER(IF($I$4="C0",historico_VU!C129,IF($I$4="C1",historico_VU!D129,IF($I$4="C2",historico_VU!E129,IF($I$4="C3",historico_VU!F129,IF($I$4="C4",historico_VU!G129,"")))))))),"",ROUND(N129*IF($I$4="C0",historico_VU!C129,IF($I$4="C1",historico_VU!D129,IF($I$4="C2",historico_VU!E129,IF($I$4="C3",historico_VU!F129,IF($I$4="C4",historico_VU!G129,""))))),2))</f>
        <v/>
      </c>
      <c r="Q129" s="179" t="str">
        <f t="shared" si="14"/>
        <v/>
      </c>
      <c r="R129" s="179" t="str">
        <f ca="1">IF(OR(A129="",L129="",NOT(ISNUMBER(IF($I$4="C0",historico_VU!C129,IF($I$4="C1",historico_VU!D129,IF($I$4="C2",historico_VU!E129,IF($I$4="C3",historico_VU!F129,IF($I$4="C4",historico_VU!G129,"")))))))),"",ROUND(L129*IF($I$4="C0",historico_VU!C129,IF($I$4="C1",historico_VU!D129,IF($I$4="C2",historico_VU!E129,IF($I$4="C3",historico_VU!F129,IF($I$4="C4",historico_VU!G129,""))))),2))</f>
        <v/>
      </c>
    </row>
    <row r="130" spans="1:18" x14ac:dyDescent="0.35">
      <c r="A130" s="81" t="str">
        <f>IF(itens_Remanesc!A130="","",itens_Remanesc!A130)</f>
        <v/>
      </c>
      <c r="B130" s="217" t="str">
        <f t="shared" ca="1" si="15"/>
        <v/>
      </c>
      <c r="C130" s="218" t="str">
        <f>IF(A130="","",IF($I$5="","POSICAO DE REFERENCIA INDISPONIVEL",ROUND(IF(itens_Remanesc!B130="",0,itens_Remanesc!B130)+SUMIFS(aditivos!$L$2:$L$200,aditivos!$A$2:$A$200,A130,aditivos!$B$2:$B$200,"&lt;="&amp;$I$5),2)))</f>
        <v/>
      </c>
      <c r="D130" s="218" t="str">
        <f>IF(A130="","",IF($I$4="","",IF($I$2,IF(ISNUMBER(B130),B130,""),IF($I$4="C0",posicao_contratual!G130,IF($I$4="C1",posicao_contratual!K130,IF($I$4="C2",posicao_contratual!O130,IF($I$4="C3",posicao_contratual!S130,IF($I$4="C4",posicao_contratual!W130,""))))))))</f>
        <v/>
      </c>
      <c r="E130" s="219" t="str">
        <f t="shared" ref="E130:E161" si="16">IF(A130="","",IF($I$4="","POSICAO DE REFERENCIA INDISPONIVEL",IF($I$2,"POSICAO FISICA (CICLO_EM_EXECUCAO)",IF(ISNUMBER(B130),"POSICAO FISICA NAO UTILIZAVEL - FOTOGRAFIA "&amp;$I$4,"FOTOGRAFIA "&amp;$I$4))))</f>
        <v/>
      </c>
      <c r="F130" s="81" t="str">
        <f>IF(A130="","",IF(COUNTIF($A$2:$A$200,A130)&gt;1,"ITEM DUPLICADO",IF($I$4="","POSICAO DE REFERENCIA INDISPONIVEL",IF(AND(B130&lt;&gt;"",NOT(ISNUMBER(B130))),"QTD NAO NUMERICA",IF(AND(ISNUMBER(B130),B130&lt;0),"NEGATIVO NAO PERMITIDO",IF(NOT(ISNUMBER(C130)),"POSICAO CONTRATUAL INDISPONIVEL",IF(OR(AND(posicao_contratual!$Y130&lt;&gt;"",posicao_contratual!$Y130&gt;IFERROR(VALUE(MID($I$4,2,1)),-1)),AND(posicao_contratual!$Z130,ISNUMBER(C130),C130&lt;=0)),"ITEM POSTERIOR A REFERENCIA",IF(D130="","REMANESCENTE DE REFERENCIA INDISPONIVEL",IF(AND(ISNUMBER(D130),ISNUMBER(C130),D130&gt;C130),"REMANESCENTE DE REFERENCIA SUPERA POSICAO CONTRATUAL","OK")))))))))</f>
        <v/>
      </c>
      <c r="K130" s="179" t="str">
        <f>IF(A130="","",itens_Remanesc!C130)</f>
        <v/>
      </c>
      <c r="L130" s="179" t="str">
        <f>IF(A130="","",IF($I$4="C0",posicao_contratual!G130,IF($I$4="C1",posicao_contratual!K130,IF($I$4="C2",posicao_contratual!O130,IF($I$4="C3",posicao_contratual!S130,IF($I$4="C4",posicao_contratual!W130,""))))))</f>
        <v/>
      </c>
      <c r="M130" s="179" t="str">
        <f ca="1">IF(OR(A130="",$I$5="",$I$6=""),"",ROUND(SUMIFS(aditivos!$L$2:$L$200,aditivos!$A$2:$A$200,A130,aditivos!$B$2:$B$200,"&gt;"&amp;$I$6,aditivos!$B$2:$B$200,"&lt;="&amp;$I$5),2))</f>
        <v/>
      </c>
      <c r="N130" s="179" t="str">
        <f t="shared" ref="N130:N161" si="17">IF(OR(A130="",L130="",D130=""),"",ROUND(MAX(L130+IF(ISNUMBER(M130),M130,0)-D130,0),2))</f>
        <v/>
      </c>
      <c r="O130" s="179" t="str">
        <f ca="1">IF(OR(A130="",D130="",NOT(ISNUMBER(IF($I$4="C0",historico_VU!C130,IF($I$4="C1",historico_VU!D130,IF($I$4="C2",historico_VU!E130,IF($I$4="C3",historico_VU!F130,IF($I$4="C4",historico_VU!G130,"")))))))),"",ROUND(D130*IF($I$4="C0",historico_VU!C130,IF($I$4="C1",historico_VU!D130,IF($I$4="C2",historico_VU!E130,IF($I$4="C3",historico_VU!F130,IF($I$4="C4",historico_VU!G130,""))))),2))</f>
        <v/>
      </c>
      <c r="P130" s="179" t="str">
        <f ca="1">IF(OR(A130="",N130="",NOT(ISNUMBER(IF($I$4="C0",historico_VU!C130,IF($I$4="C1",historico_VU!D130,IF($I$4="C2",historico_VU!E130,IF($I$4="C3",historico_VU!F130,IF($I$4="C4",historico_VU!G130,"")))))))),"",ROUND(N130*IF($I$4="C0",historico_VU!C130,IF($I$4="C1",historico_VU!D130,IF($I$4="C2",historico_VU!E130,IF($I$4="C3",historico_VU!F130,IF($I$4="C4",historico_VU!G130,""))))),2))</f>
        <v/>
      </c>
      <c r="Q130" s="179" t="str">
        <f t="shared" ref="Q130:Q161" si="18">IF(OR(A130="",D130="",K130=""),"",ROUND(D130*K130,2))</f>
        <v/>
      </c>
      <c r="R130" s="179" t="str">
        <f ca="1">IF(OR(A130="",L130="",NOT(ISNUMBER(IF($I$4="C0",historico_VU!C130,IF($I$4="C1",historico_VU!D130,IF($I$4="C2",historico_VU!E130,IF($I$4="C3",historico_VU!F130,IF($I$4="C4",historico_VU!G130,"")))))))),"",ROUND(L130*IF($I$4="C0",historico_VU!C130,IF($I$4="C1",historico_VU!D130,IF($I$4="C2",historico_VU!E130,IF($I$4="C3",historico_VU!F130,IF($I$4="C4",historico_VU!G130,""))))),2))</f>
        <v/>
      </c>
    </row>
    <row r="131" spans="1:18" x14ac:dyDescent="0.35">
      <c r="A131" s="81" t="str">
        <f>IF(itens_Remanesc!A131="","",itens_Remanesc!A131)</f>
        <v/>
      </c>
      <c r="B131" s="217" t="str">
        <f t="shared" ca="1" si="15"/>
        <v/>
      </c>
      <c r="C131" s="218" t="str">
        <f>IF(A131="","",IF($I$5="","POSICAO DE REFERENCIA INDISPONIVEL",ROUND(IF(itens_Remanesc!B131="",0,itens_Remanesc!B131)+SUMIFS(aditivos!$L$2:$L$200,aditivos!$A$2:$A$200,A131,aditivos!$B$2:$B$200,"&lt;="&amp;$I$5),2)))</f>
        <v/>
      </c>
      <c r="D131" s="218" t="str">
        <f>IF(A131="","",IF($I$4="","",IF($I$2,IF(ISNUMBER(B131),B131,""),IF($I$4="C0",posicao_contratual!G131,IF($I$4="C1",posicao_contratual!K131,IF($I$4="C2",posicao_contratual!O131,IF($I$4="C3",posicao_contratual!S131,IF($I$4="C4",posicao_contratual!W131,""))))))))</f>
        <v/>
      </c>
      <c r="E131" s="219" t="str">
        <f t="shared" si="16"/>
        <v/>
      </c>
      <c r="F131" s="81" t="str">
        <f>IF(A131="","",IF(COUNTIF($A$2:$A$200,A131)&gt;1,"ITEM DUPLICADO",IF($I$4="","POSICAO DE REFERENCIA INDISPONIVEL",IF(AND(B131&lt;&gt;"",NOT(ISNUMBER(B131))),"QTD NAO NUMERICA",IF(AND(ISNUMBER(B131),B131&lt;0),"NEGATIVO NAO PERMITIDO",IF(NOT(ISNUMBER(C131)),"POSICAO CONTRATUAL INDISPONIVEL",IF(OR(AND(posicao_contratual!$Y131&lt;&gt;"",posicao_contratual!$Y131&gt;IFERROR(VALUE(MID($I$4,2,1)),-1)),AND(posicao_contratual!$Z131,ISNUMBER(C131),C131&lt;=0)),"ITEM POSTERIOR A REFERENCIA",IF(D131="","REMANESCENTE DE REFERENCIA INDISPONIVEL",IF(AND(ISNUMBER(D131),ISNUMBER(C131),D131&gt;C131),"REMANESCENTE DE REFERENCIA SUPERA POSICAO CONTRATUAL","OK")))))))))</f>
        <v/>
      </c>
      <c r="K131" s="179" t="str">
        <f>IF(A131="","",itens_Remanesc!C131)</f>
        <v/>
      </c>
      <c r="L131" s="179" t="str">
        <f>IF(A131="","",IF($I$4="C0",posicao_contratual!G131,IF($I$4="C1",posicao_contratual!K131,IF($I$4="C2",posicao_contratual!O131,IF($I$4="C3",posicao_contratual!S131,IF($I$4="C4",posicao_contratual!W131,""))))))</f>
        <v/>
      </c>
      <c r="M131" s="179" t="str">
        <f ca="1">IF(OR(A131="",$I$5="",$I$6=""),"",ROUND(SUMIFS(aditivos!$L$2:$L$200,aditivos!$A$2:$A$200,A131,aditivos!$B$2:$B$200,"&gt;"&amp;$I$6,aditivos!$B$2:$B$200,"&lt;="&amp;$I$5),2))</f>
        <v/>
      </c>
      <c r="N131" s="179" t="str">
        <f t="shared" si="17"/>
        <v/>
      </c>
      <c r="O131" s="179" t="str">
        <f ca="1">IF(OR(A131="",D131="",NOT(ISNUMBER(IF($I$4="C0",historico_VU!C131,IF($I$4="C1",historico_VU!D131,IF($I$4="C2",historico_VU!E131,IF($I$4="C3",historico_VU!F131,IF($I$4="C4",historico_VU!G131,"")))))))),"",ROUND(D131*IF($I$4="C0",historico_VU!C131,IF($I$4="C1",historico_VU!D131,IF($I$4="C2",historico_VU!E131,IF($I$4="C3",historico_VU!F131,IF($I$4="C4",historico_VU!G131,""))))),2))</f>
        <v/>
      </c>
      <c r="P131" s="179" t="str">
        <f ca="1">IF(OR(A131="",N131="",NOT(ISNUMBER(IF($I$4="C0",historico_VU!C131,IF($I$4="C1",historico_VU!D131,IF($I$4="C2",historico_VU!E131,IF($I$4="C3",historico_VU!F131,IF($I$4="C4",historico_VU!G131,"")))))))),"",ROUND(N131*IF($I$4="C0",historico_VU!C131,IF($I$4="C1",historico_VU!D131,IF($I$4="C2",historico_VU!E131,IF($I$4="C3",historico_VU!F131,IF($I$4="C4",historico_VU!G131,""))))),2))</f>
        <v/>
      </c>
      <c r="Q131" s="179" t="str">
        <f t="shared" si="18"/>
        <v/>
      </c>
      <c r="R131" s="179" t="str">
        <f ca="1">IF(OR(A131="",L131="",NOT(ISNUMBER(IF($I$4="C0",historico_VU!C131,IF($I$4="C1",historico_VU!D131,IF($I$4="C2",historico_VU!E131,IF($I$4="C3",historico_VU!F131,IF($I$4="C4",historico_VU!G131,"")))))))),"",ROUND(L131*IF($I$4="C0",historico_VU!C131,IF($I$4="C1",historico_VU!D131,IF($I$4="C2",historico_VU!E131,IF($I$4="C3",historico_VU!F131,IF($I$4="C4",historico_VU!G131,""))))),2))</f>
        <v/>
      </c>
    </row>
    <row r="132" spans="1:18" x14ac:dyDescent="0.35">
      <c r="A132" s="81" t="str">
        <f>IF(itens_Remanesc!A132="","",itens_Remanesc!A132)</f>
        <v/>
      </c>
      <c r="B132" s="217" t="str">
        <f t="shared" ca="1" si="15"/>
        <v/>
      </c>
      <c r="C132" s="218" t="str">
        <f>IF(A132="","",IF($I$5="","POSICAO DE REFERENCIA INDISPONIVEL",ROUND(IF(itens_Remanesc!B132="",0,itens_Remanesc!B132)+SUMIFS(aditivos!$L$2:$L$200,aditivos!$A$2:$A$200,A132,aditivos!$B$2:$B$200,"&lt;="&amp;$I$5),2)))</f>
        <v/>
      </c>
      <c r="D132" s="218" t="str">
        <f>IF(A132="","",IF($I$4="","",IF($I$2,IF(ISNUMBER(B132),B132,""),IF($I$4="C0",posicao_contratual!G132,IF($I$4="C1",posicao_contratual!K132,IF($I$4="C2",posicao_contratual!O132,IF($I$4="C3",posicao_contratual!S132,IF($I$4="C4",posicao_contratual!W132,""))))))))</f>
        <v/>
      </c>
      <c r="E132" s="219" t="str">
        <f t="shared" si="16"/>
        <v/>
      </c>
      <c r="F132" s="81" t="str">
        <f>IF(A132="","",IF(COUNTIF($A$2:$A$200,A132)&gt;1,"ITEM DUPLICADO",IF($I$4="","POSICAO DE REFERENCIA INDISPONIVEL",IF(AND(B132&lt;&gt;"",NOT(ISNUMBER(B132))),"QTD NAO NUMERICA",IF(AND(ISNUMBER(B132),B132&lt;0),"NEGATIVO NAO PERMITIDO",IF(NOT(ISNUMBER(C132)),"POSICAO CONTRATUAL INDISPONIVEL",IF(OR(AND(posicao_contratual!$Y132&lt;&gt;"",posicao_contratual!$Y132&gt;IFERROR(VALUE(MID($I$4,2,1)),-1)),AND(posicao_contratual!$Z132,ISNUMBER(C132),C132&lt;=0)),"ITEM POSTERIOR A REFERENCIA",IF(D132="","REMANESCENTE DE REFERENCIA INDISPONIVEL",IF(AND(ISNUMBER(D132),ISNUMBER(C132),D132&gt;C132),"REMANESCENTE DE REFERENCIA SUPERA POSICAO CONTRATUAL","OK")))))))))</f>
        <v/>
      </c>
      <c r="K132" s="179" t="str">
        <f>IF(A132="","",itens_Remanesc!C132)</f>
        <v/>
      </c>
      <c r="L132" s="179" t="str">
        <f>IF(A132="","",IF($I$4="C0",posicao_contratual!G132,IF($I$4="C1",posicao_contratual!K132,IF($I$4="C2",posicao_contratual!O132,IF($I$4="C3",posicao_contratual!S132,IF($I$4="C4",posicao_contratual!W132,""))))))</f>
        <v/>
      </c>
      <c r="M132" s="179" t="str">
        <f ca="1">IF(OR(A132="",$I$5="",$I$6=""),"",ROUND(SUMIFS(aditivos!$L$2:$L$200,aditivos!$A$2:$A$200,A132,aditivos!$B$2:$B$200,"&gt;"&amp;$I$6,aditivos!$B$2:$B$200,"&lt;="&amp;$I$5),2))</f>
        <v/>
      </c>
      <c r="N132" s="179" t="str">
        <f t="shared" si="17"/>
        <v/>
      </c>
      <c r="O132" s="179" t="str">
        <f ca="1">IF(OR(A132="",D132="",NOT(ISNUMBER(IF($I$4="C0",historico_VU!C132,IF($I$4="C1",historico_VU!D132,IF($I$4="C2",historico_VU!E132,IF($I$4="C3",historico_VU!F132,IF($I$4="C4",historico_VU!G132,"")))))))),"",ROUND(D132*IF($I$4="C0",historico_VU!C132,IF($I$4="C1",historico_VU!D132,IF($I$4="C2",historico_VU!E132,IF($I$4="C3",historico_VU!F132,IF($I$4="C4",historico_VU!G132,""))))),2))</f>
        <v/>
      </c>
      <c r="P132" s="179" t="str">
        <f ca="1">IF(OR(A132="",N132="",NOT(ISNUMBER(IF($I$4="C0",historico_VU!C132,IF($I$4="C1",historico_VU!D132,IF($I$4="C2",historico_VU!E132,IF($I$4="C3",historico_VU!F132,IF($I$4="C4",historico_VU!G132,"")))))))),"",ROUND(N132*IF($I$4="C0",historico_VU!C132,IF($I$4="C1",historico_VU!D132,IF($I$4="C2",historico_VU!E132,IF($I$4="C3",historico_VU!F132,IF($I$4="C4",historico_VU!G132,""))))),2))</f>
        <v/>
      </c>
      <c r="Q132" s="179" t="str">
        <f t="shared" si="18"/>
        <v/>
      </c>
      <c r="R132" s="179" t="str">
        <f ca="1">IF(OR(A132="",L132="",NOT(ISNUMBER(IF($I$4="C0",historico_VU!C132,IF($I$4="C1",historico_VU!D132,IF($I$4="C2",historico_VU!E132,IF($I$4="C3",historico_VU!F132,IF($I$4="C4",historico_VU!G132,"")))))))),"",ROUND(L132*IF($I$4="C0",historico_VU!C132,IF($I$4="C1",historico_VU!D132,IF($I$4="C2",historico_VU!E132,IF($I$4="C3",historico_VU!F132,IF($I$4="C4",historico_VU!G132,""))))),2))</f>
        <v/>
      </c>
    </row>
    <row r="133" spans="1:18" x14ac:dyDescent="0.35">
      <c r="A133" s="81" t="str">
        <f>IF(itens_Remanesc!A133="","",itens_Remanesc!A133)</f>
        <v/>
      </c>
      <c r="B133" s="217" t="str">
        <f t="shared" ref="B133:B164" ca="1" si="19">IF($A133="","",IF(NOT($I$2),"",IFERROR(IF(INDEX(INDIRECT("CICLO_EM_EXECUCAO!$C$13:$C$211"),MATCH($A133,INDIRECT("CICLO_EM_EXECUCAO!$A$13:$A$211"),0))="","",INDEX(INDIRECT("CICLO_EM_EXECUCAO!$C$13:$C$211"),MATCH($A133,INDIRECT("CICLO_EM_EXECUCAO!$A$13:$A$211"),0))),"")))</f>
        <v/>
      </c>
      <c r="C133" s="218" t="str">
        <f>IF(A133="","",IF($I$5="","POSICAO DE REFERENCIA INDISPONIVEL",ROUND(IF(itens_Remanesc!B133="",0,itens_Remanesc!B133)+SUMIFS(aditivos!$L$2:$L$200,aditivos!$A$2:$A$200,A133,aditivos!$B$2:$B$200,"&lt;="&amp;$I$5),2)))</f>
        <v/>
      </c>
      <c r="D133" s="218" t="str">
        <f>IF(A133="","",IF($I$4="","",IF($I$2,IF(ISNUMBER(B133),B133,""),IF($I$4="C0",posicao_contratual!G133,IF($I$4="C1",posicao_contratual!K133,IF($I$4="C2",posicao_contratual!O133,IF($I$4="C3",posicao_contratual!S133,IF($I$4="C4",posicao_contratual!W133,""))))))))</f>
        <v/>
      </c>
      <c r="E133" s="219" t="str">
        <f t="shared" si="16"/>
        <v/>
      </c>
      <c r="F133" s="81" t="str">
        <f>IF(A133="","",IF(COUNTIF($A$2:$A$200,A133)&gt;1,"ITEM DUPLICADO",IF($I$4="","POSICAO DE REFERENCIA INDISPONIVEL",IF(AND(B133&lt;&gt;"",NOT(ISNUMBER(B133))),"QTD NAO NUMERICA",IF(AND(ISNUMBER(B133),B133&lt;0),"NEGATIVO NAO PERMITIDO",IF(NOT(ISNUMBER(C133)),"POSICAO CONTRATUAL INDISPONIVEL",IF(OR(AND(posicao_contratual!$Y133&lt;&gt;"",posicao_contratual!$Y133&gt;IFERROR(VALUE(MID($I$4,2,1)),-1)),AND(posicao_contratual!$Z133,ISNUMBER(C133),C133&lt;=0)),"ITEM POSTERIOR A REFERENCIA",IF(D133="","REMANESCENTE DE REFERENCIA INDISPONIVEL",IF(AND(ISNUMBER(D133),ISNUMBER(C133),D133&gt;C133),"REMANESCENTE DE REFERENCIA SUPERA POSICAO CONTRATUAL","OK")))))))))</f>
        <v/>
      </c>
      <c r="K133" s="179" t="str">
        <f>IF(A133="","",itens_Remanesc!C133)</f>
        <v/>
      </c>
      <c r="L133" s="179" t="str">
        <f>IF(A133="","",IF($I$4="C0",posicao_contratual!G133,IF($I$4="C1",posicao_contratual!K133,IF($I$4="C2",posicao_contratual!O133,IF($I$4="C3",posicao_contratual!S133,IF($I$4="C4",posicao_contratual!W133,""))))))</f>
        <v/>
      </c>
      <c r="M133" s="179" t="str">
        <f ca="1">IF(OR(A133="",$I$5="",$I$6=""),"",ROUND(SUMIFS(aditivos!$L$2:$L$200,aditivos!$A$2:$A$200,A133,aditivos!$B$2:$B$200,"&gt;"&amp;$I$6,aditivos!$B$2:$B$200,"&lt;="&amp;$I$5),2))</f>
        <v/>
      </c>
      <c r="N133" s="179" t="str">
        <f t="shared" si="17"/>
        <v/>
      </c>
      <c r="O133" s="179" t="str">
        <f ca="1">IF(OR(A133="",D133="",NOT(ISNUMBER(IF($I$4="C0",historico_VU!C133,IF($I$4="C1",historico_VU!D133,IF($I$4="C2",historico_VU!E133,IF($I$4="C3",historico_VU!F133,IF($I$4="C4",historico_VU!G133,"")))))))),"",ROUND(D133*IF($I$4="C0",historico_VU!C133,IF($I$4="C1",historico_VU!D133,IF($I$4="C2",historico_VU!E133,IF($I$4="C3",historico_VU!F133,IF($I$4="C4",historico_VU!G133,""))))),2))</f>
        <v/>
      </c>
      <c r="P133" s="179" t="str">
        <f ca="1">IF(OR(A133="",N133="",NOT(ISNUMBER(IF($I$4="C0",historico_VU!C133,IF($I$4="C1",historico_VU!D133,IF($I$4="C2",historico_VU!E133,IF($I$4="C3",historico_VU!F133,IF($I$4="C4",historico_VU!G133,"")))))))),"",ROUND(N133*IF($I$4="C0",historico_VU!C133,IF($I$4="C1",historico_VU!D133,IF($I$4="C2",historico_VU!E133,IF($I$4="C3",historico_VU!F133,IF($I$4="C4",historico_VU!G133,""))))),2))</f>
        <v/>
      </c>
      <c r="Q133" s="179" t="str">
        <f t="shared" si="18"/>
        <v/>
      </c>
      <c r="R133" s="179" t="str">
        <f ca="1">IF(OR(A133="",L133="",NOT(ISNUMBER(IF($I$4="C0",historico_VU!C133,IF($I$4="C1",historico_VU!D133,IF($I$4="C2",historico_VU!E133,IF($I$4="C3",historico_VU!F133,IF($I$4="C4",historico_VU!G133,"")))))))),"",ROUND(L133*IF($I$4="C0",historico_VU!C133,IF($I$4="C1",historico_VU!D133,IF($I$4="C2",historico_VU!E133,IF($I$4="C3",historico_VU!F133,IF($I$4="C4",historico_VU!G133,""))))),2))</f>
        <v/>
      </c>
    </row>
    <row r="134" spans="1:18" x14ac:dyDescent="0.35">
      <c r="A134" s="81" t="str">
        <f>IF(itens_Remanesc!A134="","",itens_Remanesc!A134)</f>
        <v/>
      </c>
      <c r="B134" s="217" t="str">
        <f t="shared" ca="1" si="19"/>
        <v/>
      </c>
      <c r="C134" s="218" t="str">
        <f>IF(A134="","",IF($I$5="","POSICAO DE REFERENCIA INDISPONIVEL",ROUND(IF(itens_Remanesc!B134="",0,itens_Remanesc!B134)+SUMIFS(aditivos!$L$2:$L$200,aditivos!$A$2:$A$200,A134,aditivos!$B$2:$B$200,"&lt;="&amp;$I$5),2)))</f>
        <v/>
      </c>
      <c r="D134" s="218" t="str">
        <f>IF(A134="","",IF($I$4="","",IF($I$2,IF(ISNUMBER(B134),B134,""),IF($I$4="C0",posicao_contratual!G134,IF($I$4="C1",posicao_contratual!K134,IF($I$4="C2",posicao_contratual!O134,IF($I$4="C3",posicao_contratual!S134,IF($I$4="C4",posicao_contratual!W134,""))))))))</f>
        <v/>
      </c>
      <c r="E134" s="219" t="str">
        <f t="shared" si="16"/>
        <v/>
      </c>
      <c r="F134" s="81" t="str">
        <f>IF(A134="","",IF(COUNTIF($A$2:$A$200,A134)&gt;1,"ITEM DUPLICADO",IF($I$4="","POSICAO DE REFERENCIA INDISPONIVEL",IF(AND(B134&lt;&gt;"",NOT(ISNUMBER(B134))),"QTD NAO NUMERICA",IF(AND(ISNUMBER(B134),B134&lt;0),"NEGATIVO NAO PERMITIDO",IF(NOT(ISNUMBER(C134)),"POSICAO CONTRATUAL INDISPONIVEL",IF(OR(AND(posicao_contratual!$Y134&lt;&gt;"",posicao_contratual!$Y134&gt;IFERROR(VALUE(MID($I$4,2,1)),-1)),AND(posicao_contratual!$Z134,ISNUMBER(C134),C134&lt;=0)),"ITEM POSTERIOR A REFERENCIA",IF(D134="","REMANESCENTE DE REFERENCIA INDISPONIVEL",IF(AND(ISNUMBER(D134),ISNUMBER(C134),D134&gt;C134),"REMANESCENTE DE REFERENCIA SUPERA POSICAO CONTRATUAL","OK")))))))))</f>
        <v/>
      </c>
      <c r="K134" s="179" t="str">
        <f>IF(A134="","",itens_Remanesc!C134)</f>
        <v/>
      </c>
      <c r="L134" s="179" t="str">
        <f>IF(A134="","",IF($I$4="C0",posicao_contratual!G134,IF($I$4="C1",posicao_contratual!K134,IF($I$4="C2",posicao_contratual!O134,IF($I$4="C3",posicao_contratual!S134,IF($I$4="C4",posicao_contratual!W134,""))))))</f>
        <v/>
      </c>
      <c r="M134" s="179" t="str">
        <f ca="1">IF(OR(A134="",$I$5="",$I$6=""),"",ROUND(SUMIFS(aditivos!$L$2:$L$200,aditivos!$A$2:$A$200,A134,aditivos!$B$2:$B$200,"&gt;"&amp;$I$6,aditivos!$B$2:$B$200,"&lt;="&amp;$I$5),2))</f>
        <v/>
      </c>
      <c r="N134" s="179" t="str">
        <f t="shared" si="17"/>
        <v/>
      </c>
      <c r="O134" s="179" t="str">
        <f ca="1">IF(OR(A134="",D134="",NOT(ISNUMBER(IF($I$4="C0",historico_VU!C134,IF($I$4="C1",historico_VU!D134,IF($I$4="C2",historico_VU!E134,IF($I$4="C3",historico_VU!F134,IF($I$4="C4",historico_VU!G134,"")))))))),"",ROUND(D134*IF($I$4="C0",historico_VU!C134,IF($I$4="C1",historico_VU!D134,IF($I$4="C2",historico_VU!E134,IF($I$4="C3",historico_VU!F134,IF($I$4="C4",historico_VU!G134,""))))),2))</f>
        <v/>
      </c>
      <c r="P134" s="179" t="str">
        <f ca="1">IF(OR(A134="",N134="",NOT(ISNUMBER(IF($I$4="C0",historico_VU!C134,IF($I$4="C1",historico_VU!D134,IF($I$4="C2",historico_VU!E134,IF($I$4="C3",historico_VU!F134,IF($I$4="C4",historico_VU!G134,"")))))))),"",ROUND(N134*IF($I$4="C0",historico_VU!C134,IF($I$4="C1",historico_VU!D134,IF($I$4="C2",historico_VU!E134,IF($I$4="C3",historico_VU!F134,IF($I$4="C4",historico_VU!G134,""))))),2))</f>
        <v/>
      </c>
      <c r="Q134" s="179" t="str">
        <f t="shared" si="18"/>
        <v/>
      </c>
      <c r="R134" s="179" t="str">
        <f ca="1">IF(OR(A134="",L134="",NOT(ISNUMBER(IF($I$4="C0",historico_VU!C134,IF($I$4="C1",historico_VU!D134,IF($I$4="C2",historico_VU!E134,IF($I$4="C3",historico_VU!F134,IF($I$4="C4",historico_VU!G134,"")))))))),"",ROUND(L134*IF($I$4="C0",historico_VU!C134,IF($I$4="C1",historico_VU!D134,IF($I$4="C2",historico_VU!E134,IF($I$4="C3",historico_VU!F134,IF($I$4="C4",historico_VU!G134,""))))),2))</f>
        <v/>
      </c>
    </row>
    <row r="135" spans="1:18" x14ac:dyDescent="0.35">
      <c r="A135" s="81" t="str">
        <f>IF(itens_Remanesc!A135="","",itens_Remanesc!A135)</f>
        <v/>
      </c>
      <c r="B135" s="217" t="str">
        <f t="shared" ca="1" si="19"/>
        <v/>
      </c>
      <c r="C135" s="218" t="str">
        <f>IF(A135="","",IF($I$5="","POSICAO DE REFERENCIA INDISPONIVEL",ROUND(IF(itens_Remanesc!B135="",0,itens_Remanesc!B135)+SUMIFS(aditivos!$L$2:$L$200,aditivos!$A$2:$A$200,A135,aditivos!$B$2:$B$200,"&lt;="&amp;$I$5),2)))</f>
        <v/>
      </c>
      <c r="D135" s="218" t="str">
        <f>IF(A135="","",IF($I$4="","",IF($I$2,IF(ISNUMBER(B135),B135,""),IF($I$4="C0",posicao_contratual!G135,IF($I$4="C1",posicao_contratual!K135,IF($I$4="C2",posicao_contratual!O135,IF($I$4="C3",posicao_contratual!S135,IF($I$4="C4",posicao_contratual!W135,""))))))))</f>
        <v/>
      </c>
      <c r="E135" s="219" t="str">
        <f t="shared" si="16"/>
        <v/>
      </c>
      <c r="F135" s="81" t="str">
        <f>IF(A135="","",IF(COUNTIF($A$2:$A$200,A135)&gt;1,"ITEM DUPLICADO",IF($I$4="","POSICAO DE REFERENCIA INDISPONIVEL",IF(AND(B135&lt;&gt;"",NOT(ISNUMBER(B135))),"QTD NAO NUMERICA",IF(AND(ISNUMBER(B135),B135&lt;0),"NEGATIVO NAO PERMITIDO",IF(NOT(ISNUMBER(C135)),"POSICAO CONTRATUAL INDISPONIVEL",IF(OR(AND(posicao_contratual!$Y135&lt;&gt;"",posicao_contratual!$Y135&gt;IFERROR(VALUE(MID($I$4,2,1)),-1)),AND(posicao_contratual!$Z135,ISNUMBER(C135),C135&lt;=0)),"ITEM POSTERIOR A REFERENCIA",IF(D135="","REMANESCENTE DE REFERENCIA INDISPONIVEL",IF(AND(ISNUMBER(D135),ISNUMBER(C135),D135&gt;C135),"REMANESCENTE DE REFERENCIA SUPERA POSICAO CONTRATUAL","OK")))))))))</f>
        <v/>
      </c>
      <c r="K135" s="179" t="str">
        <f>IF(A135="","",itens_Remanesc!C135)</f>
        <v/>
      </c>
      <c r="L135" s="179" t="str">
        <f>IF(A135="","",IF($I$4="C0",posicao_contratual!G135,IF($I$4="C1",posicao_contratual!K135,IF($I$4="C2",posicao_contratual!O135,IF($I$4="C3",posicao_contratual!S135,IF($I$4="C4",posicao_contratual!W135,""))))))</f>
        <v/>
      </c>
      <c r="M135" s="179" t="str">
        <f ca="1">IF(OR(A135="",$I$5="",$I$6=""),"",ROUND(SUMIFS(aditivos!$L$2:$L$200,aditivos!$A$2:$A$200,A135,aditivos!$B$2:$B$200,"&gt;"&amp;$I$6,aditivos!$B$2:$B$200,"&lt;="&amp;$I$5),2))</f>
        <v/>
      </c>
      <c r="N135" s="179" t="str">
        <f t="shared" si="17"/>
        <v/>
      </c>
      <c r="O135" s="179" t="str">
        <f ca="1">IF(OR(A135="",D135="",NOT(ISNUMBER(IF($I$4="C0",historico_VU!C135,IF($I$4="C1",historico_VU!D135,IF($I$4="C2",historico_VU!E135,IF($I$4="C3",historico_VU!F135,IF($I$4="C4",historico_VU!G135,"")))))))),"",ROUND(D135*IF($I$4="C0",historico_VU!C135,IF($I$4="C1",historico_VU!D135,IF($I$4="C2",historico_VU!E135,IF($I$4="C3",historico_VU!F135,IF($I$4="C4",historico_VU!G135,""))))),2))</f>
        <v/>
      </c>
      <c r="P135" s="179" t="str">
        <f ca="1">IF(OR(A135="",N135="",NOT(ISNUMBER(IF($I$4="C0",historico_VU!C135,IF($I$4="C1",historico_VU!D135,IF($I$4="C2",historico_VU!E135,IF($I$4="C3",historico_VU!F135,IF($I$4="C4",historico_VU!G135,"")))))))),"",ROUND(N135*IF($I$4="C0",historico_VU!C135,IF($I$4="C1",historico_VU!D135,IF($I$4="C2",historico_VU!E135,IF($I$4="C3",historico_VU!F135,IF($I$4="C4",historico_VU!G135,""))))),2))</f>
        <v/>
      </c>
      <c r="Q135" s="179" t="str">
        <f t="shared" si="18"/>
        <v/>
      </c>
      <c r="R135" s="179" t="str">
        <f ca="1">IF(OR(A135="",L135="",NOT(ISNUMBER(IF($I$4="C0",historico_VU!C135,IF($I$4="C1",historico_VU!D135,IF($I$4="C2",historico_VU!E135,IF($I$4="C3",historico_VU!F135,IF($I$4="C4",historico_VU!G135,"")))))))),"",ROUND(L135*IF($I$4="C0",historico_VU!C135,IF($I$4="C1",historico_VU!D135,IF($I$4="C2",historico_VU!E135,IF($I$4="C3",historico_VU!F135,IF($I$4="C4",historico_VU!G135,""))))),2))</f>
        <v/>
      </c>
    </row>
    <row r="136" spans="1:18" x14ac:dyDescent="0.35">
      <c r="A136" s="81" t="str">
        <f>IF(itens_Remanesc!A136="","",itens_Remanesc!A136)</f>
        <v/>
      </c>
      <c r="B136" s="217" t="str">
        <f t="shared" ca="1" si="19"/>
        <v/>
      </c>
      <c r="C136" s="218" t="str">
        <f>IF(A136="","",IF($I$5="","POSICAO DE REFERENCIA INDISPONIVEL",ROUND(IF(itens_Remanesc!B136="",0,itens_Remanesc!B136)+SUMIFS(aditivos!$L$2:$L$200,aditivos!$A$2:$A$200,A136,aditivos!$B$2:$B$200,"&lt;="&amp;$I$5),2)))</f>
        <v/>
      </c>
      <c r="D136" s="218" t="str">
        <f>IF(A136="","",IF($I$4="","",IF($I$2,IF(ISNUMBER(B136),B136,""),IF($I$4="C0",posicao_contratual!G136,IF($I$4="C1",posicao_contratual!K136,IF($I$4="C2",posicao_contratual!O136,IF($I$4="C3",posicao_contratual!S136,IF($I$4="C4",posicao_contratual!W136,""))))))))</f>
        <v/>
      </c>
      <c r="E136" s="219" t="str">
        <f t="shared" si="16"/>
        <v/>
      </c>
      <c r="F136" s="81" t="str">
        <f>IF(A136="","",IF(COUNTIF($A$2:$A$200,A136)&gt;1,"ITEM DUPLICADO",IF($I$4="","POSICAO DE REFERENCIA INDISPONIVEL",IF(AND(B136&lt;&gt;"",NOT(ISNUMBER(B136))),"QTD NAO NUMERICA",IF(AND(ISNUMBER(B136),B136&lt;0),"NEGATIVO NAO PERMITIDO",IF(NOT(ISNUMBER(C136)),"POSICAO CONTRATUAL INDISPONIVEL",IF(OR(AND(posicao_contratual!$Y136&lt;&gt;"",posicao_contratual!$Y136&gt;IFERROR(VALUE(MID($I$4,2,1)),-1)),AND(posicao_contratual!$Z136,ISNUMBER(C136),C136&lt;=0)),"ITEM POSTERIOR A REFERENCIA",IF(D136="","REMANESCENTE DE REFERENCIA INDISPONIVEL",IF(AND(ISNUMBER(D136),ISNUMBER(C136),D136&gt;C136),"REMANESCENTE DE REFERENCIA SUPERA POSICAO CONTRATUAL","OK")))))))))</f>
        <v/>
      </c>
      <c r="K136" s="179" t="str">
        <f>IF(A136="","",itens_Remanesc!C136)</f>
        <v/>
      </c>
      <c r="L136" s="179" t="str">
        <f>IF(A136="","",IF($I$4="C0",posicao_contratual!G136,IF($I$4="C1",posicao_contratual!K136,IF($I$4="C2",posicao_contratual!O136,IF($I$4="C3",posicao_contratual!S136,IF($I$4="C4",posicao_contratual!W136,""))))))</f>
        <v/>
      </c>
      <c r="M136" s="179" t="str">
        <f ca="1">IF(OR(A136="",$I$5="",$I$6=""),"",ROUND(SUMIFS(aditivos!$L$2:$L$200,aditivos!$A$2:$A$200,A136,aditivos!$B$2:$B$200,"&gt;"&amp;$I$6,aditivos!$B$2:$B$200,"&lt;="&amp;$I$5),2))</f>
        <v/>
      </c>
      <c r="N136" s="179" t="str">
        <f t="shared" si="17"/>
        <v/>
      </c>
      <c r="O136" s="179" t="str">
        <f ca="1">IF(OR(A136="",D136="",NOT(ISNUMBER(IF($I$4="C0",historico_VU!C136,IF($I$4="C1",historico_VU!D136,IF($I$4="C2",historico_VU!E136,IF($I$4="C3",historico_VU!F136,IF($I$4="C4",historico_VU!G136,"")))))))),"",ROUND(D136*IF($I$4="C0",historico_VU!C136,IF($I$4="C1",historico_VU!D136,IF($I$4="C2",historico_VU!E136,IF($I$4="C3",historico_VU!F136,IF($I$4="C4",historico_VU!G136,""))))),2))</f>
        <v/>
      </c>
      <c r="P136" s="179" t="str">
        <f ca="1">IF(OR(A136="",N136="",NOT(ISNUMBER(IF($I$4="C0",historico_VU!C136,IF($I$4="C1",historico_VU!D136,IF($I$4="C2",historico_VU!E136,IF($I$4="C3",historico_VU!F136,IF($I$4="C4",historico_VU!G136,"")))))))),"",ROUND(N136*IF($I$4="C0",historico_VU!C136,IF($I$4="C1",historico_VU!D136,IF($I$4="C2",historico_VU!E136,IF($I$4="C3",historico_VU!F136,IF($I$4="C4",historico_VU!G136,""))))),2))</f>
        <v/>
      </c>
      <c r="Q136" s="179" t="str">
        <f t="shared" si="18"/>
        <v/>
      </c>
      <c r="R136" s="179" t="str">
        <f ca="1">IF(OR(A136="",L136="",NOT(ISNUMBER(IF($I$4="C0",historico_VU!C136,IF($I$4="C1",historico_VU!D136,IF($I$4="C2",historico_VU!E136,IF($I$4="C3",historico_VU!F136,IF($I$4="C4",historico_VU!G136,"")))))))),"",ROUND(L136*IF($I$4="C0",historico_VU!C136,IF($I$4="C1",historico_VU!D136,IF($I$4="C2",historico_VU!E136,IF($I$4="C3",historico_VU!F136,IF($I$4="C4",historico_VU!G136,""))))),2))</f>
        <v/>
      </c>
    </row>
    <row r="137" spans="1:18" x14ac:dyDescent="0.35">
      <c r="A137" s="81" t="str">
        <f>IF(itens_Remanesc!A137="","",itens_Remanesc!A137)</f>
        <v/>
      </c>
      <c r="B137" s="217" t="str">
        <f t="shared" ca="1" si="19"/>
        <v/>
      </c>
      <c r="C137" s="218" t="str">
        <f>IF(A137="","",IF($I$5="","POSICAO DE REFERENCIA INDISPONIVEL",ROUND(IF(itens_Remanesc!B137="",0,itens_Remanesc!B137)+SUMIFS(aditivos!$L$2:$L$200,aditivos!$A$2:$A$200,A137,aditivos!$B$2:$B$200,"&lt;="&amp;$I$5),2)))</f>
        <v/>
      </c>
      <c r="D137" s="218" t="str">
        <f>IF(A137="","",IF($I$4="","",IF($I$2,IF(ISNUMBER(B137),B137,""),IF($I$4="C0",posicao_contratual!G137,IF($I$4="C1",posicao_contratual!K137,IF($I$4="C2",posicao_contratual!O137,IF($I$4="C3",posicao_contratual!S137,IF($I$4="C4",posicao_contratual!W137,""))))))))</f>
        <v/>
      </c>
      <c r="E137" s="219" t="str">
        <f t="shared" si="16"/>
        <v/>
      </c>
      <c r="F137" s="81" t="str">
        <f>IF(A137="","",IF(COUNTIF($A$2:$A$200,A137)&gt;1,"ITEM DUPLICADO",IF($I$4="","POSICAO DE REFERENCIA INDISPONIVEL",IF(AND(B137&lt;&gt;"",NOT(ISNUMBER(B137))),"QTD NAO NUMERICA",IF(AND(ISNUMBER(B137),B137&lt;0),"NEGATIVO NAO PERMITIDO",IF(NOT(ISNUMBER(C137)),"POSICAO CONTRATUAL INDISPONIVEL",IF(OR(AND(posicao_contratual!$Y137&lt;&gt;"",posicao_contratual!$Y137&gt;IFERROR(VALUE(MID($I$4,2,1)),-1)),AND(posicao_contratual!$Z137,ISNUMBER(C137),C137&lt;=0)),"ITEM POSTERIOR A REFERENCIA",IF(D137="","REMANESCENTE DE REFERENCIA INDISPONIVEL",IF(AND(ISNUMBER(D137),ISNUMBER(C137),D137&gt;C137),"REMANESCENTE DE REFERENCIA SUPERA POSICAO CONTRATUAL","OK")))))))))</f>
        <v/>
      </c>
      <c r="K137" s="179" t="str">
        <f>IF(A137="","",itens_Remanesc!C137)</f>
        <v/>
      </c>
      <c r="L137" s="179" t="str">
        <f>IF(A137="","",IF($I$4="C0",posicao_contratual!G137,IF($I$4="C1",posicao_contratual!K137,IF($I$4="C2",posicao_contratual!O137,IF($I$4="C3",posicao_contratual!S137,IF($I$4="C4",posicao_contratual!W137,""))))))</f>
        <v/>
      </c>
      <c r="M137" s="179" t="str">
        <f ca="1">IF(OR(A137="",$I$5="",$I$6=""),"",ROUND(SUMIFS(aditivos!$L$2:$L$200,aditivos!$A$2:$A$200,A137,aditivos!$B$2:$B$200,"&gt;"&amp;$I$6,aditivos!$B$2:$B$200,"&lt;="&amp;$I$5),2))</f>
        <v/>
      </c>
      <c r="N137" s="179" t="str">
        <f t="shared" si="17"/>
        <v/>
      </c>
      <c r="O137" s="179" t="str">
        <f ca="1">IF(OR(A137="",D137="",NOT(ISNUMBER(IF($I$4="C0",historico_VU!C137,IF($I$4="C1",historico_VU!D137,IF($I$4="C2",historico_VU!E137,IF($I$4="C3",historico_VU!F137,IF($I$4="C4",historico_VU!G137,"")))))))),"",ROUND(D137*IF($I$4="C0",historico_VU!C137,IF($I$4="C1",historico_VU!D137,IF($I$4="C2",historico_VU!E137,IF($I$4="C3",historico_VU!F137,IF($I$4="C4",historico_VU!G137,""))))),2))</f>
        <v/>
      </c>
      <c r="P137" s="179" t="str">
        <f ca="1">IF(OR(A137="",N137="",NOT(ISNUMBER(IF($I$4="C0",historico_VU!C137,IF($I$4="C1",historico_VU!D137,IF($I$4="C2",historico_VU!E137,IF($I$4="C3",historico_VU!F137,IF($I$4="C4",historico_VU!G137,"")))))))),"",ROUND(N137*IF($I$4="C0",historico_VU!C137,IF($I$4="C1",historico_VU!D137,IF($I$4="C2",historico_VU!E137,IF($I$4="C3",historico_VU!F137,IF($I$4="C4",historico_VU!G137,""))))),2))</f>
        <v/>
      </c>
      <c r="Q137" s="179" t="str">
        <f t="shared" si="18"/>
        <v/>
      </c>
      <c r="R137" s="179" t="str">
        <f ca="1">IF(OR(A137="",L137="",NOT(ISNUMBER(IF($I$4="C0",historico_VU!C137,IF($I$4="C1",historico_VU!D137,IF($I$4="C2",historico_VU!E137,IF($I$4="C3",historico_VU!F137,IF($I$4="C4",historico_VU!G137,"")))))))),"",ROUND(L137*IF($I$4="C0",historico_VU!C137,IF($I$4="C1",historico_VU!D137,IF($I$4="C2",historico_VU!E137,IF($I$4="C3",historico_VU!F137,IF($I$4="C4",historico_VU!G137,""))))),2))</f>
        <v/>
      </c>
    </row>
    <row r="138" spans="1:18" x14ac:dyDescent="0.35">
      <c r="A138" s="81" t="str">
        <f>IF(itens_Remanesc!A138="","",itens_Remanesc!A138)</f>
        <v/>
      </c>
      <c r="B138" s="217" t="str">
        <f t="shared" ca="1" si="19"/>
        <v/>
      </c>
      <c r="C138" s="218" t="str">
        <f>IF(A138="","",IF($I$5="","POSICAO DE REFERENCIA INDISPONIVEL",ROUND(IF(itens_Remanesc!B138="",0,itens_Remanesc!B138)+SUMIFS(aditivos!$L$2:$L$200,aditivos!$A$2:$A$200,A138,aditivos!$B$2:$B$200,"&lt;="&amp;$I$5),2)))</f>
        <v/>
      </c>
      <c r="D138" s="218" t="str">
        <f>IF(A138="","",IF($I$4="","",IF($I$2,IF(ISNUMBER(B138),B138,""),IF($I$4="C0",posicao_contratual!G138,IF($I$4="C1",posicao_contratual!K138,IF($I$4="C2",posicao_contratual!O138,IF($I$4="C3",posicao_contratual!S138,IF($I$4="C4",posicao_contratual!W138,""))))))))</f>
        <v/>
      </c>
      <c r="E138" s="219" t="str">
        <f t="shared" si="16"/>
        <v/>
      </c>
      <c r="F138" s="81" t="str">
        <f>IF(A138="","",IF(COUNTIF($A$2:$A$200,A138)&gt;1,"ITEM DUPLICADO",IF($I$4="","POSICAO DE REFERENCIA INDISPONIVEL",IF(AND(B138&lt;&gt;"",NOT(ISNUMBER(B138))),"QTD NAO NUMERICA",IF(AND(ISNUMBER(B138),B138&lt;0),"NEGATIVO NAO PERMITIDO",IF(NOT(ISNUMBER(C138)),"POSICAO CONTRATUAL INDISPONIVEL",IF(OR(AND(posicao_contratual!$Y138&lt;&gt;"",posicao_contratual!$Y138&gt;IFERROR(VALUE(MID($I$4,2,1)),-1)),AND(posicao_contratual!$Z138,ISNUMBER(C138),C138&lt;=0)),"ITEM POSTERIOR A REFERENCIA",IF(D138="","REMANESCENTE DE REFERENCIA INDISPONIVEL",IF(AND(ISNUMBER(D138),ISNUMBER(C138),D138&gt;C138),"REMANESCENTE DE REFERENCIA SUPERA POSICAO CONTRATUAL","OK")))))))))</f>
        <v/>
      </c>
      <c r="K138" s="179" t="str">
        <f>IF(A138="","",itens_Remanesc!C138)</f>
        <v/>
      </c>
      <c r="L138" s="179" t="str">
        <f>IF(A138="","",IF($I$4="C0",posicao_contratual!G138,IF($I$4="C1",posicao_contratual!K138,IF($I$4="C2",posicao_contratual!O138,IF($I$4="C3",posicao_contratual!S138,IF($I$4="C4",posicao_contratual!W138,""))))))</f>
        <v/>
      </c>
      <c r="M138" s="179" t="str">
        <f ca="1">IF(OR(A138="",$I$5="",$I$6=""),"",ROUND(SUMIFS(aditivos!$L$2:$L$200,aditivos!$A$2:$A$200,A138,aditivos!$B$2:$B$200,"&gt;"&amp;$I$6,aditivos!$B$2:$B$200,"&lt;="&amp;$I$5),2))</f>
        <v/>
      </c>
      <c r="N138" s="179" t="str">
        <f t="shared" si="17"/>
        <v/>
      </c>
      <c r="O138" s="179" t="str">
        <f ca="1">IF(OR(A138="",D138="",NOT(ISNUMBER(IF($I$4="C0",historico_VU!C138,IF($I$4="C1",historico_VU!D138,IF($I$4="C2",historico_VU!E138,IF($I$4="C3",historico_VU!F138,IF($I$4="C4",historico_VU!G138,"")))))))),"",ROUND(D138*IF($I$4="C0",historico_VU!C138,IF($I$4="C1",historico_VU!D138,IF($I$4="C2",historico_VU!E138,IF($I$4="C3",historico_VU!F138,IF($I$4="C4",historico_VU!G138,""))))),2))</f>
        <v/>
      </c>
      <c r="P138" s="179" t="str">
        <f ca="1">IF(OR(A138="",N138="",NOT(ISNUMBER(IF($I$4="C0",historico_VU!C138,IF($I$4="C1",historico_VU!D138,IF($I$4="C2",historico_VU!E138,IF($I$4="C3",historico_VU!F138,IF($I$4="C4",historico_VU!G138,"")))))))),"",ROUND(N138*IF($I$4="C0",historico_VU!C138,IF($I$4="C1",historico_VU!D138,IF($I$4="C2",historico_VU!E138,IF($I$4="C3",historico_VU!F138,IF($I$4="C4",historico_VU!G138,""))))),2))</f>
        <v/>
      </c>
      <c r="Q138" s="179" t="str">
        <f t="shared" si="18"/>
        <v/>
      </c>
      <c r="R138" s="179" t="str">
        <f ca="1">IF(OR(A138="",L138="",NOT(ISNUMBER(IF($I$4="C0",historico_VU!C138,IF($I$4="C1",historico_VU!D138,IF($I$4="C2",historico_VU!E138,IF($I$4="C3",historico_VU!F138,IF($I$4="C4",historico_VU!G138,"")))))))),"",ROUND(L138*IF($I$4="C0",historico_VU!C138,IF($I$4="C1",historico_VU!D138,IF($I$4="C2",historico_VU!E138,IF($I$4="C3",historico_VU!F138,IF($I$4="C4",historico_VU!G138,""))))),2))</f>
        <v/>
      </c>
    </row>
    <row r="139" spans="1:18" x14ac:dyDescent="0.35">
      <c r="A139" s="81" t="str">
        <f>IF(itens_Remanesc!A139="","",itens_Remanesc!A139)</f>
        <v/>
      </c>
      <c r="B139" s="217" t="str">
        <f t="shared" ca="1" si="19"/>
        <v/>
      </c>
      <c r="C139" s="218" t="str">
        <f>IF(A139="","",IF($I$5="","POSICAO DE REFERENCIA INDISPONIVEL",ROUND(IF(itens_Remanesc!B139="",0,itens_Remanesc!B139)+SUMIFS(aditivos!$L$2:$L$200,aditivos!$A$2:$A$200,A139,aditivos!$B$2:$B$200,"&lt;="&amp;$I$5),2)))</f>
        <v/>
      </c>
      <c r="D139" s="218" t="str">
        <f>IF(A139="","",IF($I$4="","",IF($I$2,IF(ISNUMBER(B139),B139,""),IF($I$4="C0",posicao_contratual!G139,IF($I$4="C1",posicao_contratual!K139,IF($I$4="C2",posicao_contratual!O139,IF($I$4="C3",posicao_contratual!S139,IF($I$4="C4",posicao_contratual!W139,""))))))))</f>
        <v/>
      </c>
      <c r="E139" s="219" t="str">
        <f t="shared" si="16"/>
        <v/>
      </c>
      <c r="F139" s="81" t="str">
        <f>IF(A139="","",IF(COUNTIF($A$2:$A$200,A139)&gt;1,"ITEM DUPLICADO",IF($I$4="","POSICAO DE REFERENCIA INDISPONIVEL",IF(AND(B139&lt;&gt;"",NOT(ISNUMBER(B139))),"QTD NAO NUMERICA",IF(AND(ISNUMBER(B139),B139&lt;0),"NEGATIVO NAO PERMITIDO",IF(NOT(ISNUMBER(C139)),"POSICAO CONTRATUAL INDISPONIVEL",IF(OR(AND(posicao_contratual!$Y139&lt;&gt;"",posicao_contratual!$Y139&gt;IFERROR(VALUE(MID($I$4,2,1)),-1)),AND(posicao_contratual!$Z139,ISNUMBER(C139),C139&lt;=0)),"ITEM POSTERIOR A REFERENCIA",IF(D139="","REMANESCENTE DE REFERENCIA INDISPONIVEL",IF(AND(ISNUMBER(D139),ISNUMBER(C139),D139&gt;C139),"REMANESCENTE DE REFERENCIA SUPERA POSICAO CONTRATUAL","OK")))))))))</f>
        <v/>
      </c>
      <c r="K139" s="179" t="str">
        <f>IF(A139="","",itens_Remanesc!C139)</f>
        <v/>
      </c>
      <c r="L139" s="179" t="str">
        <f>IF(A139="","",IF($I$4="C0",posicao_contratual!G139,IF($I$4="C1",posicao_contratual!K139,IF($I$4="C2",posicao_contratual!O139,IF($I$4="C3",posicao_contratual!S139,IF($I$4="C4",posicao_contratual!W139,""))))))</f>
        <v/>
      </c>
      <c r="M139" s="179" t="str">
        <f ca="1">IF(OR(A139="",$I$5="",$I$6=""),"",ROUND(SUMIFS(aditivos!$L$2:$L$200,aditivos!$A$2:$A$200,A139,aditivos!$B$2:$B$200,"&gt;"&amp;$I$6,aditivos!$B$2:$B$200,"&lt;="&amp;$I$5),2))</f>
        <v/>
      </c>
      <c r="N139" s="179" t="str">
        <f t="shared" si="17"/>
        <v/>
      </c>
      <c r="O139" s="179" t="str">
        <f ca="1">IF(OR(A139="",D139="",NOT(ISNUMBER(IF($I$4="C0",historico_VU!C139,IF($I$4="C1",historico_VU!D139,IF($I$4="C2",historico_VU!E139,IF($I$4="C3",historico_VU!F139,IF($I$4="C4",historico_VU!G139,"")))))))),"",ROUND(D139*IF($I$4="C0",historico_VU!C139,IF($I$4="C1",historico_VU!D139,IF($I$4="C2",historico_VU!E139,IF($I$4="C3",historico_VU!F139,IF($I$4="C4",historico_VU!G139,""))))),2))</f>
        <v/>
      </c>
      <c r="P139" s="179" t="str">
        <f ca="1">IF(OR(A139="",N139="",NOT(ISNUMBER(IF($I$4="C0",historico_VU!C139,IF($I$4="C1",historico_VU!D139,IF($I$4="C2",historico_VU!E139,IF($I$4="C3",historico_VU!F139,IF($I$4="C4",historico_VU!G139,"")))))))),"",ROUND(N139*IF($I$4="C0",historico_VU!C139,IF($I$4="C1",historico_VU!D139,IF($I$4="C2",historico_VU!E139,IF($I$4="C3",historico_VU!F139,IF($I$4="C4",historico_VU!G139,""))))),2))</f>
        <v/>
      </c>
      <c r="Q139" s="179" t="str">
        <f t="shared" si="18"/>
        <v/>
      </c>
      <c r="R139" s="179" t="str">
        <f ca="1">IF(OR(A139="",L139="",NOT(ISNUMBER(IF($I$4="C0",historico_VU!C139,IF($I$4="C1",historico_VU!D139,IF($I$4="C2",historico_VU!E139,IF($I$4="C3",historico_VU!F139,IF($I$4="C4",historico_VU!G139,"")))))))),"",ROUND(L139*IF($I$4="C0",historico_VU!C139,IF($I$4="C1",historico_VU!D139,IF($I$4="C2",historico_VU!E139,IF($I$4="C3",historico_VU!F139,IF($I$4="C4",historico_VU!G139,""))))),2))</f>
        <v/>
      </c>
    </row>
    <row r="140" spans="1:18" x14ac:dyDescent="0.35">
      <c r="A140" s="81" t="str">
        <f>IF(itens_Remanesc!A140="","",itens_Remanesc!A140)</f>
        <v/>
      </c>
      <c r="B140" s="217" t="str">
        <f t="shared" ca="1" si="19"/>
        <v/>
      </c>
      <c r="C140" s="218" t="str">
        <f>IF(A140="","",IF($I$5="","POSICAO DE REFERENCIA INDISPONIVEL",ROUND(IF(itens_Remanesc!B140="",0,itens_Remanesc!B140)+SUMIFS(aditivos!$L$2:$L$200,aditivos!$A$2:$A$200,A140,aditivos!$B$2:$B$200,"&lt;="&amp;$I$5),2)))</f>
        <v/>
      </c>
      <c r="D140" s="218" t="str">
        <f>IF(A140="","",IF($I$4="","",IF($I$2,IF(ISNUMBER(B140),B140,""),IF($I$4="C0",posicao_contratual!G140,IF($I$4="C1",posicao_contratual!K140,IF($I$4="C2",posicao_contratual!O140,IF($I$4="C3",posicao_contratual!S140,IF($I$4="C4",posicao_contratual!W140,""))))))))</f>
        <v/>
      </c>
      <c r="E140" s="219" t="str">
        <f t="shared" si="16"/>
        <v/>
      </c>
      <c r="F140" s="81" t="str">
        <f>IF(A140="","",IF(COUNTIF($A$2:$A$200,A140)&gt;1,"ITEM DUPLICADO",IF($I$4="","POSICAO DE REFERENCIA INDISPONIVEL",IF(AND(B140&lt;&gt;"",NOT(ISNUMBER(B140))),"QTD NAO NUMERICA",IF(AND(ISNUMBER(B140),B140&lt;0),"NEGATIVO NAO PERMITIDO",IF(NOT(ISNUMBER(C140)),"POSICAO CONTRATUAL INDISPONIVEL",IF(OR(AND(posicao_contratual!$Y140&lt;&gt;"",posicao_contratual!$Y140&gt;IFERROR(VALUE(MID($I$4,2,1)),-1)),AND(posicao_contratual!$Z140,ISNUMBER(C140),C140&lt;=0)),"ITEM POSTERIOR A REFERENCIA",IF(D140="","REMANESCENTE DE REFERENCIA INDISPONIVEL",IF(AND(ISNUMBER(D140),ISNUMBER(C140),D140&gt;C140),"REMANESCENTE DE REFERENCIA SUPERA POSICAO CONTRATUAL","OK")))))))))</f>
        <v/>
      </c>
      <c r="K140" s="179" t="str">
        <f>IF(A140="","",itens_Remanesc!C140)</f>
        <v/>
      </c>
      <c r="L140" s="179" t="str">
        <f>IF(A140="","",IF($I$4="C0",posicao_contratual!G140,IF($I$4="C1",posicao_contratual!K140,IF($I$4="C2",posicao_contratual!O140,IF($I$4="C3",posicao_contratual!S140,IF($I$4="C4",posicao_contratual!W140,""))))))</f>
        <v/>
      </c>
      <c r="M140" s="179" t="str">
        <f ca="1">IF(OR(A140="",$I$5="",$I$6=""),"",ROUND(SUMIFS(aditivos!$L$2:$L$200,aditivos!$A$2:$A$200,A140,aditivos!$B$2:$B$200,"&gt;"&amp;$I$6,aditivos!$B$2:$B$200,"&lt;="&amp;$I$5),2))</f>
        <v/>
      </c>
      <c r="N140" s="179" t="str">
        <f t="shared" si="17"/>
        <v/>
      </c>
      <c r="O140" s="179" t="str">
        <f ca="1">IF(OR(A140="",D140="",NOT(ISNUMBER(IF($I$4="C0",historico_VU!C140,IF($I$4="C1",historico_VU!D140,IF($I$4="C2",historico_VU!E140,IF($I$4="C3",historico_VU!F140,IF($I$4="C4",historico_VU!G140,"")))))))),"",ROUND(D140*IF($I$4="C0",historico_VU!C140,IF($I$4="C1",historico_VU!D140,IF($I$4="C2",historico_VU!E140,IF($I$4="C3",historico_VU!F140,IF($I$4="C4",historico_VU!G140,""))))),2))</f>
        <v/>
      </c>
      <c r="P140" s="179" t="str">
        <f ca="1">IF(OR(A140="",N140="",NOT(ISNUMBER(IF($I$4="C0",historico_VU!C140,IF($I$4="C1",historico_VU!D140,IF($I$4="C2",historico_VU!E140,IF($I$4="C3",historico_VU!F140,IF($I$4="C4",historico_VU!G140,"")))))))),"",ROUND(N140*IF($I$4="C0",historico_VU!C140,IF($I$4="C1",historico_VU!D140,IF($I$4="C2",historico_VU!E140,IF($I$4="C3",historico_VU!F140,IF($I$4="C4",historico_VU!G140,""))))),2))</f>
        <v/>
      </c>
      <c r="Q140" s="179" t="str">
        <f t="shared" si="18"/>
        <v/>
      </c>
      <c r="R140" s="179" t="str">
        <f ca="1">IF(OR(A140="",L140="",NOT(ISNUMBER(IF($I$4="C0",historico_VU!C140,IF($I$4="C1",historico_VU!D140,IF($I$4="C2",historico_VU!E140,IF($I$4="C3",historico_VU!F140,IF($I$4="C4",historico_VU!G140,"")))))))),"",ROUND(L140*IF($I$4="C0",historico_VU!C140,IF($I$4="C1",historico_VU!D140,IF($I$4="C2",historico_VU!E140,IF($I$4="C3",historico_VU!F140,IF($I$4="C4",historico_VU!G140,""))))),2))</f>
        <v/>
      </c>
    </row>
    <row r="141" spans="1:18" x14ac:dyDescent="0.35">
      <c r="A141" s="81" t="str">
        <f>IF(itens_Remanesc!A141="","",itens_Remanesc!A141)</f>
        <v/>
      </c>
      <c r="B141" s="217" t="str">
        <f t="shared" ca="1" si="19"/>
        <v/>
      </c>
      <c r="C141" s="218" t="str">
        <f>IF(A141="","",IF($I$5="","POSICAO DE REFERENCIA INDISPONIVEL",ROUND(IF(itens_Remanesc!B141="",0,itens_Remanesc!B141)+SUMIFS(aditivos!$L$2:$L$200,aditivos!$A$2:$A$200,A141,aditivos!$B$2:$B$200,"&lt;="&amp;$I$5),2)))</f>
        <v/>
      </c>
      <c r="D141" s="218" t="str">
        <f>IF(A141="","",IF($I$4="","",IF($I$2,IF(ISNUMBER(B141),B141,""),IF($I$4="C0",posicao_contratual!G141,IF($I$4="C1",posicao_contratual!K141,IF($I$4="C2",posicao_contratual!O141,IF($I$4="C3",posicao_contratual!S141,IF($I$4="C4",posicao_contratual!W141,""))))))))</f>
        <v/>
      </c>
      <c r="E141" s="219" t="str">
        <f t="shared" si="16"/>
        <v/>
      </c>
      <c r="F141" s="81" t="str">
        <f>IF(A141="","",IF(COUNTIF($A$2:$A$200,A141)&gt;1,"ITEM DUPLICADO",IF($I$4="","POSICAO DE REFERENCIA INDISPONIVEL",IF(AND(B141&lt;&gt;"",NOT(ISNUMBER(B141))),"QTD NAO NUMERICA",IF(AND(ISNUMBER(B141),B141&lt;0),"NEGATIVO NAO PERMITIDO",IF(NOT(ISNUMBER(C141)),"POSICAO CONTRATUAL INDISPONIVEL",IF(OR(AND(posicao_contratual!$Y141&lt;&gt;"",posicao_contratual!$Y141&gt;IFERROR(VALUE(MID($I$4,2,1)),-1)),AND(posicao_contratual!$Z141,ISNUMBER(C141),C141&lt;=0)),"ITEM POSTERIOR A REFERENCIA",IF(D141="","REMANESCENTE DE REFERENCIA INDISPONIVEL",IF(AND(ISNUMBER(D141),ISNUMBER(C141),D141&gt;C141),"REMANESCENTE DE REFERENCIA SUPERA POSICAO CONTRATUAL","OK")))))))))</f>
        <v/>
      </c>
      <c r="K141" s="179" t="str">
        <f>IF(A141="","",itens_Remanesc!C141)</f>
        <v/>
      </c>
      <c r="L141" s="179" t="str">
        <f>IF(A141="","",IF($I$4="C0",posicao_contratual!G141,IF($I$4="C1",posicao_contratual!K141,IF($I$4="C2",posicao_contratual!O141,IF($I$4="C3",posicao_contratual!S141,IF($I$4="C4",posicao_contratual!W141,""))))))</f>
        <v/>
      </c>
      <c r="M141" s="179" t="str">
        <f ca="1">IF(OR(A141="",$I$5="",$I$6=""),"",ROUND(SUMIFS(aditivos!$L$2:$L$200,aditivos!$A$2:$A$200,A141,aditivos!$B$2:$B$200,"&gt;"&amp;$I$6,aditivos!$B$2:$B$200,"&lt;="&amp;$I$5),2))</f>
        <v/>
      </c>
      <c r="N141" s="179" t="str">
        <f t="shared" si="17"/>
        <v/>
      </c>
      <c r="O141" s="179" t="str">
        <f ca="1">IF(OR(A141="",D141="",NOT(ISNUMBER(IF($I$4="C0",historico_VU!C141,IF($I$4="C1",historico_VU!D141,IF($I$4="C2",historico_VU!E141,IF($I$4="C3",historico_VU!F141,IF($I$4="C4",historico_VU!G141,"")))))))),"",ROUND(D141*IF($I$4="C0",historico_VU!C141,IF($I$4="C1",historico_VU!D141,IF($I$4="C2",historico_VU!E141,IF($I$4="C3",historico_VU!F141,IF($I$4="C4",historico_VU!G141,""))))),2))</f>
        <v/>
      </c>
      <c r="P141" s="179" t="str">
        <f ca="1">IF(OR(A141="",N141="",NOT(ISNUMBER(IF($I$4="C0",historico_VU!C141,IF($I$4="C1",historico_VU!D141,IF($I$4="C2",historico_VU!E141,IF($I$4="C3",historico_VU!F141,IF($I$4="C4",historico_VU!G141,"")))))))),"",ROUND(N141*IF($I$4="C0",historico_VU!C141,IF($I$4="C1",historico_VU!D141,IF($I$4="C2",historico_VU!E141,IF($I$4="C3",historico_VU!F141,IF($I$4="C4",historico_VU!G141,""))))),2))</f>
        <v/>
      </c>
      <c r="Q141" s="179" t="str">
        <f t="shared" si="18"/>
        <v/>
      </c>
      <c r="R141" s="179" t="str">
        <f ca="1">IF(OR(A141="",L141="",NOT(ISNUMBER(IF($I$4="C0",historico_VU!C141,IF($I$4="C1",historico_VU!D141,IF($I$4="C2",historico_VU!E141,IF($I$4="C3",historico_VU!F141,IF($I$4="C4",historico_VU!G141,"")))))))),"",ROUND(L141*IF($I$4="C0",historico_VU!C141,IF($I$4="C1",historico_VU!D141,IF($I$4="C2",historico_VU!E141,IF($I$4="C3",historico_VU!F141,IF($I$4="C4",historico_VU!G141,""))))),2))</f>
        <v/>
      </c>
    </row>
    <row r="142" spans="1:18" x14ac:dyDescent="0.35">
      <c r="A142" s="81" t="str">
        <f>IF(itens_Remanesc!A142="","",itens_Remanesc!A142)</f>
        <v/>
      </c>
      <c r="B142" s="217" t="str">
        <f t="shared" ca="1" si="19"/>
        <v/>
      </c>
      <c r="C142" s="218" t="str">
        <f>IF(A142="","",IF($I$5="","POSICAO DE REFERENCIA INDISPONIVEL",ROUND(IF(itens_Remanesc!B142="",0,itens_Remanesc!B142)+SUMIFS(aditivos!$L$2:$L$200,aditivos!$A$2:$A$200,A142,aditivos!$B$2:$B$200,"&lt;="&amp;$I$5),2)))</f>
        <v/>
      </c>
      <c r="D142" s="218" t="str">
        <f>IF(A142="","",IF($I$4="","",IF($I$2,IF(ISNUMBER(B142),B142,""),IF($I$4="C0",posicao_contratual!G142,IF($I$4="C1",posicao_contratual!K142,IF($I$4="C2",posicao_contratual!O142,IF($I$4="C3",posicao_contratual!S142,IF($I$4="C4",posicao_contratual!W142,""))))))))</f>
        <v/>
      </c>
      <c r="E142" s="219" t="str">
        <f t="shared" si="16"/>
        <v/>
      </c>
      <c r="F142" s="81" t="str">
        <f>IF(A142="","",IF(COUNTIF($A$2:$A$200,A142)&gt;1,"ITEM DUPLICADO",IF($I$4="","POSICAO DE REFERENCIA INDISPONIVEL",IF(AND(B142&lt;&gt;"",NOT(ISNUMBER(B142))),"QTD NAO NUMERICA",IF(AND(ISNUMBER(B142),B142&lt;0),"NEGATIVO NAO PERMITIDO",IF(NOT(ISNUMBER(C142)),"POSICAO CONTRATUAL INDISPONIVEL",IF(OR(AND(posicao_contratual!$Y142&lt;&gt;"",posicao_contratual!$Y142&gt;IFERROR(VALUE(MID($I$4,2,1)),-1)),AND(posicao_contratual!$Z142,ISNUMBER(C142),C142&lt;=0)),"ITEM POSTERIOR A REFERENCIA",IF(D142="","REMANESCENTE DE REFERENCIA INDISPONIVEL",IF(AND(ISNUMBER(D142),ISNUMBER(C142),D142&gt;C142),"REMANESCENTE DE REFERENCIA SUPERA POSICAO CONTRATUAL","OK")))))))))</f>
        <v/>
      </c>
      <c r="K142" s="179" t="str">
        <f>IF(A142="","",itens_Remanesc!C142)</f>
        <v/>
      </c>
      <c r="L142" s="179" t="str">
        <f>IF(A142="","",IF($I$4="C0",posicao_contratual!G142,IF($I$4="C1",posicao_contratual!K142,IF($I$4="C2",posicao_contratual!O142,IF($I$4="C3",posicao_contratual!S142,IF($I$4="C4",posicao_contratual!W142,""))))))</f>
        <v/>
      </c>
      <c r="M142" s="179" t="str">
        <f ca="1">IF(OR(A142="",$I$5="",$I$6=""),"",ROUND(SUMIFS(aditivos!$L$2:$L$200,aditivos!$A$2:$A$200,A142,aditivos!$B$2:$B$200,"&gt;"&amp;$I$6,aditivos!$B$2:$B$200,"&lt;="&amp;$I$5),2))</f>
        <v/>
      </c>
      <c r="N142" s="179" t="str">
        <f t="shared" si="17"/>
        <v/>
      </c>
      <c r="O142" s="179" t="str">
        <f ca="1">IF(OR(A142="",D142="",NOT(ISNUMBER(IF($I$4="C0",historico_VU!C142,IF($I$4="C1",historico_VU!D142,IF($I$4="C2",historico_VU!E142,IF($I$4="C3",historico_VU!F142,IF($I$4="C4",historico_VU!G142,"")))))))),"",ROUND(D142*IF($I$4="C0",historico_VU!C142,IF($I$4="C1",historico_VU!D142,IF($I$4="C2",historico_VU!E142,IF($I$4="C3",historico_VU!F142,IF($I$4="C4",historico_VU!G142,""))))),2))</f>
        <v/>
      </c>
      <c r="P142" s="179" t="str">
        <f ca="1">IF(OR(A142="",N142="",NOT(ISNUMBER(IF($I$4="C0",historico_VU!C142,IF($I$4="C1",historico_VU!D142,IF($I$4="C2",historico_VU!E142,IF($I$4="C3",historico_VU!F142,IF($I$4="C4",historico_VU!G142,"")))))))),"",ROUND(N142*IF($I$4="C0",historico_VU!C142,IF($I$4="C1",historico_VU!D142,IF($I$4="C2",historico_VU!E142,IF($I$4="C3",historico_VU!F142,IF($I$4="C4",historico_VU!G142,""))))),2))</f>
        <v/>
      </c>
      <c r="Q142" s="179" t="str">
        <f t="shared" si="18"/>
        <v/>
      </c>
      <c r="R142" s="179" t="str">
        <f ca="1">IF(OR(A142="",L142="",NOT(ISNUMBER(IF($I$4="C0",historico_VU!C142,IF($I$4="C1",historico_VU!D142,IF($I$4="C2",historico_VU!E142,IF($I$4="C3",historico_VU!F142,IF($I$4="C4",historico_VU!G142,"")))))))),"",ROUND(L142*IF($I$4="C0",historico_VU!C142,IF($I$4="C1",historico_VU!D142,IF($I$4="C2",historico_VU!E142,IF($I$4="C3",historico_VU!F142,IF($I$4="C4",historico_VU!G142,""))))),2))</f>
        <v/>
      </c>
    </row>
    <row r="143" spans="1:18" x14ac:dyDescent="0.35">
      <c r="A143" s="81" t="str">
        <f>IF(itens_Remanesc!A143="","",itens_Remanesc!A143)</f>
        <v/>
      </c>
      <c r="B143" s="217" t="str">
        <f t="shared" ca="1" si="19"/>
        <v/>
      </c>
      <c r="C143" s="218" t="str">
        <f>IF(A143="","",IF($I$5="","POSICAO DE REFERENCIA INDISPONIVEL",ROUND(IF(itens_Remanesc!B143="",0,itens_Remanesc!B143)+SUMIFS(aditivos!$L$2:$L$200,aditivos!$A$2:$A$200,A143,aditivos!$B$2:$B$200,"&lt;="&amp;$I$5),2)))</f>
        <v/>
      </c>
      <c r="D143" s="218" t="str">
        <f>IF(A143="","",IF($I$4="","",IF($I$2,IF(ISNUMBER(B143),B143,""),IF($I$4="C0",posicao_contratual!G143,IF($I$4="C1",posicao_contratual!K143,IF($I$4="C2",posicao_contratual!O143,IF($I$4="C3",posicao_contratual!S143,IF($I$4="C4",posicao_contratual!W143,""))))))))</f>
        <v/>
      </c>
      <c r="E143" s="219" t="str">
        <f t="shared" si="16"/>
        <v/>
      </c>
      <c r="F143" s="81" t="str">
        <f>IF(A143="","",IF(COUNTIF($A$2:$A$200,A143)&gt;1,"ITEM DUPLICADO",IF($I$4="","POSICAO DE REFERENCIA INDISPONIVEL",IF(AND(B143&lt;&gt;"",NOT(ISNUMBER(B143))),"QTD NAO NUMERICA",IF(AND(ISNUMBER(B143),B143&lt;0),"NEGATIVO NAO PERMITIDO",IF(NOT(ISNUMBER(C143)),"POSICAO CONTRATUAL INDISPONIVEL",IF(OR(AND(posicao_contratual!$Y143&lt;&gt;"",posicao_contratual!$Y143&gt;IFERROR(VALUE(MID($I$4,2,1)),-1)),AND(posicao_contratual!$Z143,ISNUMBER(C143),C143&lt;=0)),"ITEM POSTERIOR A REFERENCIA",IF(D143="","REMANESCENTE DE REFERENCIA INDISPONIVEL",IF(AND(ISNUMBER(D143),ISNUMBER(C143),D143&gt;C143),"REMANESCENTE DE REFERENCIA SUPERA POSICAO CONTRATUAL","OK")))))))))</f>
        <v/>
      </c>
      <c r="K143" s="179" t="str">
        <f>IF(A143="","",itens_Remanesc!C143)</f>
        <v/>
      </c>
      <c r="L143" s="179" t="str">
        <f>IF(A143="","",IF($I$4="C0",posicao_contratual!G143,IF($I$4="C1",posicao_contratual!K143,IF($I$4="C2",posicao_contratual!O143,IF($I$4="C3",posicao_contratual!S143,IF($I$4="C4",posicao_contratual!W143,""))))))</f>
        <v/>
      </c>
      <c r="M143" s="179" t="str">
        <f ca="1">IF(OR(A143="",$I$5="",$I$6=""),"",ROUND(SUMIFS(aditivos!$L$2:$L$200,aditivos!$A$2:$A$200,A143,aditivos!$B$2:$B$200,"&gt;"&amp;$I$6,aditivos!$B$2:$B$200,"&lt;="&amp;$I$5),2))</f>
        <v/>
      </c>
      <c r="N143" s="179" t="str">
        <f t="shared" si="17"/>
        <v/>
      </c>
      <c r="O143" s="179" t="str">
        <f ca="1">IF(OR(A143="",D143="",NOT(ISNUMBER(IF($I$4="C0",historico_VU!C143,IF($I$4="C1",historico_VU!D143,IF($I$4="C2",historico_VU!E143,IF($I$4="C3",historico_VU!F143,IF($I$4="C4",historico_VU!G143,"")))))))),"",ROUND(D143*IF($I$4="C0",historico_VU!C143,IF($I$4="C1",historico_VU!D143,IF($I$4="C2",historico_VU!E143,IF($I$4="C3",historico_VU!F143,IF($I$4="C4",historico_VU!G143,""))))),2))</f>
        <v/>
      </c>
      <c r="P143" s="179" t="str">
        <f ca="1">IF(OR(A143="",N143="",NOT(ISNUMBER(IF($I$4="C0",historico_VU!C143,IF($I$4="C1",historico_VU!D143,IF($I$4="C2",historico_VU!E143,IF($I$4="C3",historico_VU!F143,IF($I$4="C4",historico_VU!G143,"")))))))),"",ROUND(N143*IF($I$4="C0",historico_VU!C143,IF($I$4="C1",historico_VU!D143,IF($I$4="C2",historico_VU!E143,IF($I$4="C3",historico_VU!F143,IF($I$4="C4",historico_VU!G143,""))))),2))</f>
        <v/>
      </c>
      <c r="Q143" s="179" t="str">
        <f t="shared" si="18"/>
        <v/>
      </c>
      <c r="R143" s="179" t="str">
        <f ca="1">IF(OR(A143="",L143="",NOT(ISNUMBER(IF($I$4="C0",historico_VU!C143,IF($I$4="C1",historico_VU!D143,IF($I$4="C2",historico_VU!E143,IF($I$4="C3",historico_VU!F143,IF($I$4="C4",historico_VU!G143,"")))))))),"",ROUND(L143*IF($I$4="C0",historico_VU!C143,IF($I$4="C1",historico_VU!D143,IF($I$4="C2",historico_VU!E143,IF($I$4="C3",historico_VU!F143,IF($I$4="C4",historico_VU!G143,""))))),2))</f>
        <v/>
      </c>
    </row>
    <row r="144" spans="1:18" x14ac:dyDescent="0.35">
      <c r="A144" s="81" t="str">
        <f>IF(itens_Remanesc!A144="","",itens_Remanesc!A144)</f>
        <v/>
      </c>
      <c r="B144" s="217" t="str">
        <f t="shared" ca="1" si="19"/>
        <v/>
      </c>
      <c r="C144" s="218" t="str">
        <f>IF(A144="","",IF($I$5="","POSICAO DE REFERENCIA INDISPONIVEL",ROUND(IF(itens_Remanesc!B144="",0,itens_Remanesc!B144)+SUMIFS(aditivos!$L$2:$L$200,aditivos!$A$2:$A$200,A144,aditivos!$B$2:$B$200,"&lt;="&amp;$I$5),2)))</f>
        <v/>
      </c>
      <c r="D144" s="218" t="str">
        <f>IF(A144="","",IF($I$4="","",IF($I$2,IF(ISNUMBER(B144),B144,""),IF($I$4="C0",posicao_contratual!G144,IF($I$4="C1",posicao_contratual!K144,IF($I$4="C2",posicao_contratual!O144,IF($I$4="C3",posicao_contratual!S144,IF($I$4="C4",posicao_contratual!W144,""))))))))</f>
        <v/>
      </c>
      <c r="E144" s="219" t="str">
        <f t="shared" si="16"/>
        <v/>
      </c>
      <c r="F144" s="81" t="str">
        <f>IF(A144="","",IF(COUNTIF($A$2:$A$200,A144)&gt;1,"ITEM DUPLICADO",IF($I$4="","POSICAO DE REFERENCIA INDISPONIVEL",IF(AND(B144&lt;&gt;"",NOT(ISNUMBER(B144))),"QTD NAO NUMERICA",IF(AND(ISNUMBER(B144),B144&lt;0),"NEGATIVO NAO PERMITIDO",IF(NOT(ISNUMBER(C144)),"POSICAO CONTRATUAL INDISPONIVEL",IF(OR(AND(posicao_contratual!$Y144&lt;&gt;"",posicao_contratual!$Y144&gt;IFERROR(VALUE(MID($I$4,2,1)),-1)),AND(posicao_contratual!$Z144,ISNUMBER(C144),C144&lt;=0)),"ITEM POSTERIOR A REFERENCIA",IF(D144="","REMANESCENTE DE REFERENCIA INDISPONIVEL",IF(AND(ISNUMBER(D144),ISNUMBER(C144),D144&gt;C144),"REMANESCENTE DE REFERENCIA SUPERA POSICAO CONTRATUAL","OK")))))))))</f>
        <v/>
      </c>
      <c r="K144" s="179" t="str">
        <f>IF(A144="","",itens_Remanesc!C144)</f>
        <v/>
      </c>
      <c r="L144" s="179" t="str">
        <f>IF(A144="","",IF($I$4="C0",posicao_contratual!G144,IF($I$4="C1",posicao_contratual!K144,IF($I$4="C2",posicao_contratual!O144,IF($I$4="C3",posicao_contratual!S144,IF($I$4="C4",posicao_contratual!W144,""))))))</f>
        <v/>
      </c>
      <c r="M144" s="179" t="str">
        <f ca="1">IF(OR(A144="",$I$5="",$I$6=""),"",ROUND(SUMIFS(aditivos!$L$2:$L$200,aditivos!$A$2:$A$200,A144,aditivos!$B$2:$B$200,"&gt;"&amp;$I$6,aditivos!$B$2:$B$200,"&lt;="&amp;$I$5),2))</f>
        <v/>
      </c>
      <c r="N144" s="179" t="str">
        <f t="shared" si="17"/>
        <v/>
      </c>
      <c r="O144" s="179" t="str">
        <f ca="1">IF(OR(A144="",D144="",NOT(ISNUMBER(IF($I$4="C0",historico_VU!C144,IF($I$4="C1",historico_VU!D144,IF($I$4="C2",historico_VU!E144,IF($I$4="C3",historico_VU!F144,IF($I$4="C4",historico_VU!G144,"")))))))),"",ROUND(D144*IF($I$4="C0",historico_VU!C144,IF($I$4="C1",historico_VU!D144,IF($I$4="C2",historico_VU!E144,IF($I$4="C3",historico_VU!F144,IF($I$4="C4",historico_VU!G144,""))))),2))</f>
        <v/>
      </c>
      <c r="P144" s="179" t="str">
        <f ca="1">IF(OR(A144="",N144="",NOT(ISNUMBER(IF($I$4="C0",historico_VU!C144,IF($I$4="C1",historico_VU!D144,IF($I$4="C2",historico_VU!E144,IF($I$4="C3",historico_VU!F144,IF($I$4="C4",historico_VU!G144,"")))))))),"",ROUND(N144*IF($I$4="C0",historico_VU!C144,IF($I$4="C1",historico_VU!D144,IF($I$4="C2",historico_VU!E144,IF($I$4="C3",historico_VU!F144,IF($I$4="C4",historico_VU!G144,""))))),2))</f>
        <v/>
      </c>
      <c r="Q144" s="179" t="str">
        <f t="shared" si="18"/>
        <v/>
      </c>
      <c r="R144" s="179" t="str">
        <f ca="1">IF(OR(A144="",L144="",NOT(ISNUMBER(IF($I$4="C0",historico_VU!C144,IF($I$4="C1",historico_VU!D144,IF($I$4="C2",historico_VU!E144,IF($I$4="C3",historico_VU!F144,IF($I$4="C4",historico_VU!G144,"")))))))),"",ROUND(L144*IF($I$4="C0",historico_VU!C144,IF($I$4="C1",historico_VU!D144,IF($I$4="C2",historico_VU!E144,IF($I$4="C3",historico_VU!F144,IF($I$4="C4",historico_VU!G144,""))))),2))</f>
        <v/>
      </c>
    </row>
    <row r="145" spans="1:18" x14ac:dyDescent="0.35">
      <c r="A145" s="81" t="str">
        <f>IF(itens_Remanesc!A145="","",itens_Remanesc!A145)</f>
        <v/>
      </c>
      <c r="B145" s="217" t="str">
        <f t="shared" ca="1" si="19"/>
        <v/>
      </c>
      <c r="C145" s="218" t="str">
        <f>IF(A145="","",IF($I$5="","POSICAO DE REFERENCIA INDISPONIVEL",ROUND(IF(itens_Remanesc!B145="",0,itens_Remanesc!B145)+SUMIFS(aditivos!$L$2:$L$200,aditivos!$A$2:$A$200,A145,aditivos!$B$2:$B$200,"&lt;="&amp;$I$5),2)))</f>
        <v/>
      </c>
      <c r="D145" s="218" t="str">
        <f>IF(A145="","",IF($I$4="","",IF($I$2,IF(ISNUMBER(B145),B145,""),IF($I$4="C0",posicao_contratual!G145,IF($I$4="C1",posicao_contratual!K145,IF($I$4="C2",posicao_contratual!O145,IF($I$4="C3",posicao_contratual!S145,IF($I$4="C4",posicao_contratual!W145,""))))))))</f>
        <v/>
      </c>
      <c r="E145" s="219" t="str">
        <f t="shared" si="16"/>
        <v/>
      </c>
      <c r="F145" s="81" t="str">
        <f>IF(A145="","",IF(COUNTIF($A$2:$A$200,A145)&gt;1,"ITEM DUPLICADO",IF($I$4="","POSICAO DE REFERENCIA INDISPONIVEL",IF(AND(B145&lt;&gt;"",NOT(ISNUMBER(B145))),"QTD NAO NUMERICA",IF(AND(ISNUMBER(B145),B145&lt;0),"NEGATIVO NAO PERMITIDO",IF(NOT(ISNUMBER(C145)),"POSICAO CONTRATUAL INDISPONIVEL",IF(OR(AND(posicao_contratual!$Y145&lt;&gt;"",posicao_contratual!$Y145&gt;IFERROR(VALUE(MID($I$4,2,1)),-1)),AND(posicao_contratual!$Z145,ISNUMBER(C145),C145&lt;=0)),"ITEM POSTERIOR A REFERENCIA",IF(D145="","REMANESCENTE DE REFERENCIA INDISPONIVEL",IF(AND(ISNUMBER(D145),ISNUMBER(C145),D145&gt;C145),"REMANESCENTE DE REFERENCIA SUPERA POSICAO CONTRATUAL","OK")))))))))</f>
        <v/>
      </c>
      <c r="K145" s="179" t="str">
        <f>IF(A145="","",itens_Remanesc!C145)</f>
        <v/>
      </c>
      <c r="L145" s="179" t="str">
        <f>IF(A145="","",IF($I$4="C0",posicao_contratual!G145,IF($I$4="C1",posicao_contratual!K145,IF($I$4="C2",posicao_contratual!O145,IF($I$4="C3",posicao_contratual!S145,IF($I$4="C4",posicao_contratual!W145,""))))))</f>
        <v/>
      </c>
      <c r="M145" s="179" t="str">
        <f ca="1">IF(OR(A145="",$I$5="",$I$6=""),"",ROUND(SUMIFS(aditivos!$L$2:$L$200,aditivos!$A$2:$A$200,A145,aditivos!$B$2:$B$200,"&gt;"&amp;$I$6,aditivos!$B$2:$B$200,"&lt;="&amp;$I$5),2))</f>
        <v/>
      </c>
      <c r="N145" s="179" t="str">
        <f t="shared" si="17"/>
        <v/>
      </c>
      <c r="O145" s="179" t="str">
        <f ca="1">IF(OR(A145="",D145="",NOT(ISNUMBER(IF($I$4="C0",historico_VU!C145,IF($I$4="C1",historico_VU!D145,IF($I$4="C2",historico_VU!E145,IF($I$4="C3",historico_VU!F145,IF($I$4="C4",historico_VU!G145,"")))))))),"",ROUND(D145*IF($I$4="C0",historico_VU!C145,IF($I$4="C1",historico_VU!D145,IF($I$4="C2",historico_VU!E145,IF($I$4="C3",historico_VU!F145,IF($I$4="C4",historico_VU!G145,""))))),2))</f>
        <v/>
      </c>
      <c r="P145" s="179" t="str">
        <f ca="1">IF(OR(A145="",N145="",NOT(ISNUMBER(IF($I$4="C0",historico_VU!C145,IF($I$4="C1",historico_VU!D145,IF($I$4="C2",historico_VU!E145,IF($I$4="C3",historico_VU!F145,IF($I$4="C4",historico_VU!G145,"")))))))),"",ROUND(N145*IF($I$4="C0",historico_VU!C145,IF($I$4="C1",historico_VU!D145,IF($I$4="C2",historico_VU!E145,IF($I$4="C3",historico_VU!F145,IF($I$4="C4",historico_VU!G145,""))))),2))</f>
        <v/>
      </c>
      <c r="Q145" s="179" t="str">
        <f t="shared" si="18"/>
        <v/>
      </c>
      <c r="R145" s="179" t="str">
        <f ca="1">IF(OR(A145="",L145="",NOT(ISNUMBER(IF($I$4="C0",historico_VU!C145,IF($I$4="C1",historico_VU!D145,IF($I$4="C2",historico_VU!E145,IF($I$4="C3",historico_VU!F145,IF($I$4="C4",historico_VU!G145,"")))))))),"",ROUND(L145*IF($I$4="C0",historico_VU!C145,IF($I$4="C1",historico_VU!D145,IF($I$4="C2",historico_VU!E145,IF($I$4="C3",historico_VU!F145,IF($I$4="C4",historico_VU!G145,""))))),2))</f>
        <v/>
      </c>
    </row>
    <row r="146" spans="1:18" x14ac:dyDescent="0.35">
      <c r="A146" s="81" t="str">
        <f>IF(itens_Remanesc!A146="","",itens_Remanesc!A146)</f>
        <v/>
      </c>
      <c r="B146" s="217" t="str">
        <f t="shared" ca="1" si="19"/>
        <v/>
      </c>
      <c r="C146" s="218" t="str">
        <f>IF(A146="","",IF($I$5="","POSICAO DE REFERENCIA INDISPONIVEL",ROUND(IF(itens_Remanesc!B146="",0,itens_Remanesc!B146)+SUMIFS(aditivos!$L$2:$L$200,aditivos!$A$2:$A$200,A146,aditivos!$B$2:$B$200,"&lt;="&amp;$I$5),2)))</f>
        <v/>
      </c>
      <c r="D146" s="218" t="str">
        <f>IF(A146="","",IF($I$4="","",IF($I$2,IF(ISNUMBER(B146),B146,""),IF($I$4="C0",posicao_contratual!G146,IF($I$4="C1",posicao_contratual!K146,IF($I$4="C2",posicao_contratual!O146,IF($I$4="C3",posicao_contratual!S146,IF($I$4="C4",posicao_contratual!W146,""))))))))</f>
        <v/>
      </c>
      <c r="E146" s="219" t="str">
        <f t="shared" si="16"/>
        <v/>
      </c>
      <c r="F146" s="81" t="str">
        <f>IF(A146="","",IF(COUNTIF($A$2:$A$200,A146)&gt;1,"ITEM DUPLICADO",IF($I$4="","POSICAO DE REFERENCIA INDISPONIVEL",IF(AND(B146&lt;&gt;"",NOT(ISNUMBER(B146))),"QTD NAO NUMERICA",IF(AND(ISNUMBER(B146),B146&lt;0),"NEGATIVO NAO PERMITIDO",IF(NOT(ISNUMBER(C146)),"POSICAO CONTRATUAL INDISPONIVEL",IF(OR(AND(posicao_contratual!$Y146&lt;&gt;"",posicao_contratual!$Y146&gt;IFERROR(VALUE(MID($I$4,2,1)),-1)),AND(posicao_contratual!$Z146,ISNUMBER(C146),C146&lt;=0)),"ITEM POSTERIOR A REFERENCIA",IF(D146="","REMANESCENTE DE REFERENCIA INDISPONIVEL",IF(AND(ISNUMBER(D146),ISNUMBER(C146),D146&gt;C146),"REMANESCENTE DE REFERENCIA SUPERA POSICAO CONTRATUAL","OK")))))))))</f>
        <v/>
      </c>
      <c r="K146" s="179" t="str">
        <f>IF(A146="","",itens_Remanesc!C146)</f>
        <v/>
      </c>
      <c r="L146" s="179" t="str">
        <f>IF(A146="","",IF($I$4="C0",posicao_contratual!G146,IF($I$4="C1",posicao_contratual!K146,IF($I$4="C2",posicao_contratual!O146,IF($I$4="C3",posicao_contratual!S146,IF($I$4="C4",posicao_contratual!W146,""))))))</f>
        <v/>
      </c>
      <c r="M146" s="179" t="str">
        <f ca="1">IF(OR(A146="",$I$5="",$I$6=""),"",ROUND(SUMIFS(aditivos!$L$2:$L$200,aditivos!$A$2:$A$200,A146,aditivos!$B$2:$B$200,"&gt;"&amp;$I$6,aditivos!$B$2:$B$200,"&lt;="&amp;$I$5),2))</f>
        <v/>
      </c>
      <c r="N146" s="179" t="str">
        <f t="shared" si="17"/>
        <v/>
      </c>
      <c r="O146" s="179" t="str">
        <f ca="1">IF(OR(A146="",D146="",NOT(ISNUMBER(IF($I$4="C0",historico_VU!C146,IF($I$4="C1",historico_VU!D146,IF($I$4="C2",historico_VU!E146,IF($I$4="C3",historico_VU!F146,IF($I$4="C4",historico_VU!G146,"")))))))),"",ROUND(D146*IF($I$4="C0",historico_VU!C146,IF($I$4="C1",historico_VU!D146,IF($I$4="C2",historico_VU!E146,IF($I$4="C3",historico_VU!F146,IF($I$4="C4",historico_VU!G146,""))))),2))</f>
        <v/>
      </c>
      <c r="P146" s="179" t="str">
        <f ca="1">IF(OR(A146="",N146="",NOT(ISNUMBER(IF($I$4="C0",historico_VU!C146,IF($I$4="C1",historico_VU!D146,IF($I$4="C2",historico_VU!E146,IF($I$4="C3",historico_VU!F146,IF($I$4="C4",historico_VU!G146,"")))))))),"",ROUND(N146*IF($I$4="C0",historico_VU!C146,IF($I$4="C1",historico_VU!D146,IF($I$4="C2",historico_VU!E146,IF($I$4="C3",historico_VU!F146,IF($I$4="C4",historico_VU!G146,""))))),2))</f>
        <v/>
      </c>
      <c r="Q146" s="179" t="str">
        <f t="shared" si="18"/>
        <v/>
      </c>
      <c r="R146" s="179" t="str">
        <f ca="1">IF(OR(A146="",L146="",NOT(ISNUMBER(IF($I$4="C0",historico_VU!C146,IF($I$4="C1",historico_VU!D146,IF($I$4="C2",historico_VU!E146,IF($I$4="C3",historico_VU!F146,IF($I$4="C4",historico_VU!G146,"")))))))),"",ROUND(L146*IF($I$4="C0",historico_VU!C146,IF($I$4="C1",historico_VU!D146,IF($I$4="C2",historico_VU!E146,IF($I$4="C3",historico_VU!F146,IF($I$4="C4",historico_VU!G146,""))))),2))</f>
        <v/>
      </c>
    </row>
    <row r="147" spans="1:18" x14ac:dyDescent="0.35">
      <c r="A147" s="81" t="str">
        <f>IF(itens_Remanesc!A147="","",itens_Remanesc!A147)</f>
        <v/>
      </c>
      <c r="B147" s="217" t="str">
        <f t="shared" ca="1" si="19"/>
        <v/>
      </c>
      <c r="C147" s="218" t="str">
        <f>IF(A147="","",IF($I$5="","POSICAO DE REFERENCIA INDISPONIVEL",ROUND(IF(itens_Remanesc!B147="",0,itens_Remanesc!B147)+SUMIFS(aditivos!$L$2:$L$200,aditivos!$A$2:$A$200,A147,aditivos!$B$2:$B$200,"&lt;="&amp;$I$5),2)))</f>
        <v/>
      </c>
      <c r="D147" s="218" t="str">
        <f>IF(A147="","",IF($I$4="","",IF($I$2,IF(ISNUMBER(B147),B147,""),IF($I$4="C0",posicao_contratual!G147,IF($I$4="C1",posicao_contratual!K147,IF($I$4="C2",posicao_contratual!O147,IF($I$4="C3",posicao_contratual!S147,IF($I$4="C4",posicao_contratual!W147,""))))))))</f>
        <v/>
      </c>
      <c r="E147" s="219" t="str">
        <f t="shared" si="16"/>
        <v/>
      </c>
      <c r="F147" s="81" t="str">
        <f>IF(A147="","",IF(COUNTIF($A$2:$A$200,A147)&gt;1,"ITEM DUPLICADO",IF($I$4="","POSICAO DE REFERENCIA INDISPONIVEL",IF(AND(B147&lt;&gt;"",NOT(ISNUMBER(B147))),"QTD NAO NUMERICA",IF(AND(ISNUMBER(B147),B147&lt;0),"NEGATIVO NAO PERMITIDO",IF(NOT(ISNUMBER(C147)),"POSICAO CONTRATUAL INDISPONIVEL",IF(OR(AND(posicao_contratual!$Y147&lt;&gt;"",posicao_contratual!$Y147&gt;IFERROR(VALUE(MID($I$4,2,1)),-1)),AND(posicao_contratual!$Z147,ISNUMBER(C147),C147&lt;=0)),"ITEM POSTERIOR A REFERENCIA",IF(D147="","REMANESCENTE DE REFERENCIA INDISPONIVEL",IF(AND(ISNUMBER(D147),ISNUMBER(C147),D147&gt;C147),"REMANESCENTE DE REFERENCIA SUPERA POSICAO CONTRATUAL","OK")))))))))</f>
        <v/>
      </c>
      <c r="K147" s="179" t="str">
        <f>IF(A147="","",itens_Remanesc!C147)</f>
        <v/>
      </c>
      <c r="L147" s="179" t="str">
        <f>IF(A147="","",IF($I$4="C0",posicao_contratual!G147,IF($I$4="C1",posicao_contratual!K147,IF($I$4="C2",posicao_contratual!O147,IF($I$4="C3",posicao_contratual!S147,IF($I$4="C4",posicao_contratual!W147,""))))))</f>
        <v/>
      </c>
      <c r="M147" s="179" t="str">
        <f ca="1">IF(OR(A147="",$I$5="",$I$6=""),"",ROUND(SUMIFS(aditivos!$L$2:$L$200,aditivos!$A$2:$A$200,A147,aditivos!$B$2:$B$200,"&gt;"&amp;$I$6,aditivos!$B$2:$B$200,"&lt;="&amp;$I$5),2))</f>
        <v/>
      </c>
      <c r="N147" s="179" t="str">
        <f t="shared" si="17"/>
        <v/>
      </c>
      <c r="O147" s="179" t="str">
        <f ca="1">IF(OR(A147="",D147="",NOT(ISNUMBER(IF($I$4="C0",historico_VU!C147,IF($I$4="C1",historico_VU!D147,IF($I$4="C2",historico_VU!E147,IF($I$4="C3",historico_VU!F147,IF($I$4="C4",historico_VU!G147,"")))))))),"",ROUND(D147*IF($I$4="C0",historico_VU!C147,IF($I$4="C1",historico_VU!D147,IF($I$4="C2",historico_VU!E147,IF($I$4="C3",historico_VU!F147,IF($I$4="C4",historico_VU!G147,""))))),2))</f>
        <v/>
      </c>
      <c r="P147" s="179" t="str">
        <f ca="1">IF(OR(A147="",N147="",NOT(ISNUMBER(IF($I$4="C0",historico_VU!C147,IF($I$4="C1",historico_VU!D147,IF($I$4="C2",historico_VU!E147,IF($I$4="C3",historico_VU!F147,IF($I$4="C4",historico_VU!G147,"")))))))),"",ROUND(N147*IF($I$4="C0",historico_VU!C147,IF($I$4="C1",historico_VU!D147,IF($I$4="C2",historico_VU!E147,IF($I$4="C3",historico_VU!F147,IF($I$4="C4",historico_VU!G147,""))))),2))</f>
        <v/>
      </c>
      <c r="Q147" s="179" t="str">
        <f t="shared" si="18"/>
        <v/>
      </c>
      <c r="R147" s="179" t="str">
        <f ca="1">IF(OR(A147="",L147="",NOT(ISNUMBER(IF($I$4="C0",historico_VU!C147,IF($I$4="C1",historico_VU!D147,IF($I$4="C2",historico_VU!E147,IF($I$4="C3",historico_VU!F147,IF($I$4="C4",historico_VU!G147,"")))))))),"",ROUND(L147*IF($I$4="C0",historico_VU!C147,IF($I$4="C1",historico_VU!D147,IF($I$4="C2",historico_VU!E147,IF($I$4="C3",historico_VU!F147,IF($I$4="C4",historico_VU!G147,""))))),2))</f>
        <v/>
      </c>
    </row>
    <row r="148" spans="1:18" x14ac:dyDescent="0.35">
      <c r="A148" s="81" t="str">
        <f>IF(itens_Remanesc!A148="","",itens_Remanesc!A148)</f>
        <v/>
      </c>
      <c r="B148" s="217" t="str">
        <f t="shared" ca="1" si="19"/>
        <v/>
      </c>
      <c r="C148" s="218" t="str">
        <f>IF(A148="","",IF($I$5="","POSICAO DE REFERENCIA INDISPONIVEL",ROUND(IF(itens_Remanesc!B148="",0,itens_Remanesc!B148)+SUMIFS(aditivos!$L$2:$L$200,aditivos!$A$2:$A$200,A148,aditivos!$B$2:$B$200,"&lt;="&amp;$I$5),2)))</f>
        <v/>
      </c>
      <c r="D148" s="218" t="str">
        <f>IF(A148="","",IF($I$4="","",IF($I$2,IF(ISNUMBER(B148),B148,""),IF($I$4="C0",posicao_contratual!G148,IF($I$4="C1",posicao_contratual!K148,IF($I$4="C2",posicao_contratual!O148,IF($I$4="C3",posicao_contratual!S148,IF($I$4="C4",posicao_contratual!W148,""))))))))</f>
        <v/>
      </c>
      <c r="E148" s="219" t="str">
        <f t="shared" si="16"/>
        <v/>
      </c>
      <c r="F148" s="81" t="str">
        <f>IF(A148="","",IF(COUNTIF($A$2:$A$200,A148)&gt;1,"ITEM DUPLICADO",IF($I$4="","POSICAO DE REFERENCIA INDISPONIVEL",IF(AND(B148&lt;&gt;"",NOT(ISNUMBER(B148))),"QTD NAO NUMERICA",IF(AND(ISNUMBER(B148),B148&lt;0),"NEGATIVO NAO PERMITIDO",IF(NOT(ISNUMBER(C148)),"POSICAO CONTRATUAL INDISPONIVEL",IF(OR(AND(posicao_contratual!$Y148&lt;&gt;"",posicao_contratual!$Y148&gt;IFERROR(VALUE(MID($I$4,2,1)),-1)),AND(posicao_contratual!$Z148,ISNUMBER(C148),C148&lt;=0)),"ITEM POSTERIOR A REFERENCIA",IF(D148="","REMANESCENTE DE REFERENCIA INDISPONIVEL",IF(AND(ISNUMBER(D148),ISNUMBER(C148),D148&gt;C148),"REMANESCENTE DE REFERENCIA SUPERA POSICAO CONTRATUAL","OK")))))))))</f>
        <v/>
      </c>
      <c r="K148" s="179" t="str">
        <f>IF(A148="","",itens_Remanesc!C148)</f>
        <v/>
      </c>
      <c r="L148" s="179" t="str">
        <f>IF(A148="","",IF($I$4="C0",posicao_contratual!G148,IF($I$4="C1",posicao_contratual!K148,IF($I$4="C2",posicao_contratual!O148,IF($I$4="C3",posicao_contratual!S148,IF($I$4="C4",posicao_contratual!W148,""))))))</f>
        <v/>
      </c>
      <c r="M148" s="179" t="str">
        <f ca="1">IF(OR(A148="",$I$5="",$I$6=""),"",ROUND(SUMIFS(aditivos!$L$2:$L$200,aditivos!$A$2:$A$200,A148,aditivos!$B$2:$B$200,"&gt;"&amp;$I$6,aditivos!$B$2:$B$200,"&lt;="&amp;$I$5),2))</f>
        <v/>
      </c>
      <c r="N148" s="179" t="str">
        <f t="shared" si="17"/>
        <v/>
      </c>
      <c r="O148" s="179" t="str">
        <f ca="1">IF(OR(A148="",D148="",NOT(ISNUMBER(IF($I$4="C0",historico_VU!C148,IF($I$4="C1",historico_VU!D148,IF($I$4="C2",historico_VU!E148,IF($I$4="C3",historico_VU!F148,IF($I$4="C4",historico_VU!G148,"")))))))),"",ROUND(D148*IF($I$4="C0",historico_VU!C148,IF($I$4="C1",historico_VU!D148,IF($I$4="C2",historico_VU!E148,IF($I$4="C3",historico_VU!F148,IF($I$4="C4",historico_VU!G148,""))))),2))</f>
        <v/>
      </c>
      <c r="P148" s="179" t="str">
        <f ca="1">IF(OR(A148="",N148="",NOT(ISNUMBER(IF($I$4="C0",historico_VU!C148,IF($I$4="C1",historico_VU!D148,IF($I$4="C2",historico_VU!E148,IF($I$4="C3",historico_VU!F148,IF($I$4="C4",historico_VU!G148,"")))))))),"",ROUND(N148*IF($I$4="C0",historico_VU!C148,IF($I$4="C1",historico_VU!D148,IF($I$4="C2",historico_VU!E148,IF($I$4="C3",historico_VU!F148,IF($I$4="C4",historico_VU!G148,""))))),2))</f>
        <v/>
      </c>
      <c r="Q148" s="179" t="str">
        <f t="shared" si="18"/>
        <v/>
      </c>
      <c r="R148" s="179" t="str">
        <f ca="1">IF(OR(A148="",L148="",NOT(ISNUMBER(IF($I$4="C0",historico_VU!C148,IF($I$4="C1",historico_VU!D148,IF($I$4="C2",historico_VU!E148,IF($I$4="C3",historico_VU!F148,IF($I$4="C4",historico_VU!G148,"")))))))),"",ROUND(L148*IF($I$4="C0",historico_VU!C148,IF($I$4="C1",historico_VU!D148,IF($I$4="C2",historico_VU!E148,IF($I$4="C3",historico_VU!F148,IF($I$4="C4",historico_VU!G148,""))))),2))</f>
        <v/>
      </c>
    </row>
    <row r="149" spans="1:18" x14ac:dyDescent="0.35">
      <c r="A149" s="81" t="str">
        <f>IF(itens_Remanesc!A149="","",itens_Remanesc!A149)</f>
        <v/>
      </c>
      <c r="B149" s="217" t="str">
        <f t="shared" ca="1" si="19"/>
        <v/>
      </c>
      <c r="C149" s="218" t="str">
        <f>IF(A149="","",IF($I$5="","POSICAO DE REFERENCIA INDISPONIVEL",ROUND(IF(itens_Remanesc!B149="",0,itens_Remanesc!B149)+SUMIFS(aditivos!$L$2:$L$200,aditivos!$A$2:$A$200,A149,aditivos!$B$2:$B$200,"&lt;="&amp;$I$5),2)))</f>
        <v/>
      </c>
      <c r="D149" s="218" t="str">
        <f>IF(A149="","",IF($I$4="","",IF($I$2,IF(ISNUMBER(B149),B149,""),IF($I$4="C0",posicao_contratual!G149,IF($I$4="C1",posicao_contratual!K149,IF($I$4="C2",posicao_contratual!O149,IF($I$4="C3",posicao_contratual!S149,IF($I$4="C4",posicao_contratual!W149,""))))))))</f>
        <v/>
      </c>
      <c r="E149" s="219" t="str">
        <f t="shared" si="16"/>
        <v/>
      </c>
      <c r="F149" s="81" t="str">
        <f>IF(A149="","",IF(COUNTIF($A$2:$A$200,A149)&gt;1,"ITEM DUPLICADO",IF($I$4="","POSICAO DE REFERENCIA INDISPONIVEL",IF(AND(B149&lt;&gt;"",NOT(ISNUMBER(B149))),"QTD NAO NUMERICA",IF(AND(ISNUMBER(B149),B149&lt;0),"NEGATIVO NAO PERMITIDO",IF(NOT(ISNUMBER(C149)),"POSICAO CONTRATUAL INDISPONIVEL",IF(OR(AND(posicao_contratual!$Y149&lt;&gt;"",posicao_contratual!$Y149&gt;IFERROR(VALUE(MID($I$4,2,1)),-1)),AND(posicao_contratual!$Z149,ISNUMBER(C149),C149&lt;=0)),"ITEM POSTERIOR A REFERENCIA",IF(D149="","REMANESCENTE DE REFERENCIA INDISPONIVEL",IF(AND(ISNUMBER(D149),ISNUMBER(C149),D149&gt;C149),"REMANESCENTE DE REFERENCIA SUPERA POSICAO CONTRATUAL","OK")))))))))</f>
        <v/>
      </c>
      <c r="K149" s="179" t="str">
        <f>IF(A149="","",itens_Remanesc!C149)</f>
        <v/>
      </c>
      <c r="L149" s="179" t="str">
        <f>IF(A149="","",IF($I$4="C0",posicao_contratual!G149,IF($I$4="C1",posicao_contratual!K149,IF($I$4="C2",posicao_contratual!O149,IF($I$4="C3",posicao_contratual!S149,IF($I$4="C4",posicao_contratual!W149,""))))))</f>
        <v/>
      </c>
      <c r="M149" s="179" t="str">
        <f ca="1">IF(OR(A149="",$I$5="",$I$6=""),"",ROUND(SUMIFS(aditivos!$L$2:$L$200,aditivos!$A$2:$A$200,A149,aditivos!$B$2:$B$200,"&gt;"&amp;$I$6,aditivos!$B$2:$B$200,"&lt;="&amp;$I$5),2))</f>
        <v/>
      </c>
      <c r="N149" s="179" t="str">
        <f t="shared" si="17"/>
        <v/>
      </c>
      <c r="O149" s="179" t="str">
        <f ca="1">IF(OR(A149="",D149="",NOT(ISNUMBER(IF($I$4="C0",historico_VU!C149,IF($I$4="C1",historico_VU!D149,IF($I$4="C2",historico_VU!E149,IF($I$4="C3",historico_VU!F149,IF($I$4="C4",historico_VU!G149,"")))))))),"",ROUND(D149*IF($I$4="C0",historico_VU!C149,IF($I$4="C1",historico_VU!D149,IF($I$4="C2",historico_VU!E149,IF($I$4="C3",historico_VU!F149,IF($I$4="C4",historico_VU!G149,""))))),2))</f>
        <v/>
      </c>
      <c r="P149" s="179" t="str">
        <f ca="1">IF(OR(A149="",N149="",NOT(ISNUMBER(IF($I$4="C0",historico_VU!C149,IF($I$4="C1",historico_VU!D149,IF($I$4="C2",historico_VU!E149,IF($I$4="C3",historico_VU!F149,IF($I$4="C4",historico_VU!G149,"")))))))),"",ROUND(N149*IF($I$4="C0",historico_VU!C149,IF($I$4="C1",historico_VU!D149,IF($I$4="C2",historico_VU!E149,IF($I$4="C3",historico_VU!F149,IF($I$4="C4",historico_VU!G149,""))))),2))</f>
        <v/>
      </c>
      <c r="Q149" s="179" t="str">
        <f t="shared" si="18"/>
        <v/>
      </c>
      <c r="R149" s="179" t="str">
        <f ca="1">IF(OR(A149="",L149="",NOT(ISNUMBER(IF($I$4="C0",historico_VU!C149,IF($I$4="C1",historico_VU!D149,IF($I$4="C2",historico_VU!E149,IF($I$4="C3",historico_VU!F149,IF($I$4="C4",historico_VU!G149,"")))))))),"",ROUND(L149*IF($I$4="C0",historico_VU!C149,IF($I$4="C1",historico_VU!D149,IF($I$4="C2",historico_VU!E149,IF($I$4="C3",historico_VU!F149,IF($I$4="C4",historico_VU!G149,""))))),2))</f>
        <v/>
      </c>
    </row>
    <row r="150" spans="1:18" x14ac:dyDescent="0.35">
      <c r="A150" s="81" t="str">
        <f>IF(itens_Remanesc!A150="","",itens_Remanesc!A150)</f>
        <v/>
      </c>
      <c r="B150" s="217" t="str">
        <f t="shared" ca="1" si="19"/>
        <v/>
      </c>
      <c r="C150" s="218" t="str">
        <f>IF(A150="","",IF($I$5="","POSICAO DE REFERENCIA INDISPONIVEL",ROUND(IF(itens_Remanesc!B150="",0,itens_Remanesc!B150)+SUMIFS(aditivos!$L$2:$L$200,aditivos!$A$2:$A$200,A150,aditivos!$B$2:$B$200,"&lt;="&amp;$I$5),2)))</f>
        <v/>
      </c>
      <c r="D150" s="218" t="str">
        <f>IF(A150="","",IF($I$4="","",IF($I$2,IF(ISNUMBER(B150),B150,""),IF($I$4="C0",posicao_contratual!G150,IF($I$4="C1",posicao_contratual!K150,IF($I$4="C2",posicao_contratual!O150,IF($I$4="C3",posicao_contratual!S150,IF($I$4="C4",posicao_contratual!W150,""))))))))</f>
        <v/>
      </c>
      <c r="E150" s="219" t="str">
        <f t="shared" si="16"/>
        <v/>
      </c>
      <c r="F150" s="81" t="str">
        <f>IF(A150="","",IF(COUNTIF($A$2:$A$200,A150)&gt;1,"ITEM DUPLICADO",IF($I$4="","POSICAO DE REFERENCIA INDISPONIVEL",IF(AND(B150&lt;&gt;"",NOT(ISNUMBER(B150))),"QTD NAO NUMERICA",IF(AND(ISNUMBER(B150),B150&lt;0),"NEGATIVO NAO PERMITIDO",IF(NOT(ISNUMBER(C150)),"POSICAO CONTRATUAL INDISPONIVEL",IF(OR(AND(posicao_contratual!$Y150&lt;&gt;"",posicao_contratual!$Y150&gt;IFERROR(VALUE(MID($I$4,2,1)),-1)),AND(posicao_contratual!$Z150,ISNUMBER(C150),C150&lt;=0)),"ITEM POSTERIOR A REFERENCIA",IF(D150="","REMANESCENTE DE REFERENCIA INDISPONIVEL",IF(AND(ISNUMBER(D150),ISNUMBER(C150),D150&gt;C150),"REMANESCENTE DE REFERENCIA SUPERA POSICAO CONTRATUAL","OK")))))))))</f>
        <v/>
      </c>
      <c r="K150" s="179" t="str">
        <f>IF(A150="","",itens_Remanesc!C150)</f>
        <v/>
      </c>
      <c r="L150" s="179" t="str">
        <f>IF(A150="","",IF($I$4="C0",posicao_contratual!G150,IF($I$4="C1",posicao_contratual!K150,IF($I$4="C2",posicao_contratual!O150,IF($I$4="C3",posicao_contratual!S150,IF($I$4="C4",posicao_contratual!W150,""))))))</f>
        <v/>
      </c>
      <c r="M150" s="179" t="str">
        <f ca="1">IF(OR(A150="",$I$5="",$I$6=""),"",ROUND(SUMIFS(aditivos!$L$2:$L$200,aditivos!$A$2:$A$200,A150,aditivos!$B$2:$B$200,"&gt;"&amp;$I$6,aditivos!$B$2:$B$200,"&lt;="&amp;$I$5),2))</f>
        <v/>
      </c>
      <c r="N150" s="179" t="str">
        <f t="shared" si="17"/>
        <v/>
      </c>
      <c r="O150" s="179" t="str">
        <f ca="1">IF(OR(A150="",D150="",NOT(ISNUMBER(IF($I$4="C0",historico_VU!C150,IF($I$4="C1",historico_VU!D150,IF($I$4="C2",historico_VU!E150,IF($I$4="C3",historico_VU!F150,IF($I$4="C4",historico_VU!G150,"")))))))),"",ROUND(D150*IF($I$4="C0",historico_VU!C150,IF($I$4="C1",historico_VU!D150,IF($I$4="C2",historico_VU!E150,IF($I$4="C3",historico_VU!F150,IF($I$4="C4",historico_VU!G150,""))))),2))</f>
        <v/>
      </c>
      <c r="P150" s="179" t="str">
        <f ca="1">IF(OR(A150="",N150="",NOT(ISNUMBER(IF($I$4="C0",historico_VU!C150,IF($I$4="C1",historico_VU!D150,IF($I$4="C2",historico_VU!E150,IF($I$4="C3",historico_VU!F150,IF($I$4="C4",historico_VU!G150,"")))))))),"",ROUND(N150*IF($I$4="C0",historico_VU!C150,IF($I$4="C1",historico_VU!D150,IF($I$4="C2",historico_VU!E150,IF($I$4="C3",historico_VU!F150,IF($I$4="C4",historico_VU!G150,""))))),2))</f>
        <v/>
      </c>
      <c r="Q150" s="179" t="str">
        <f t="shared" si="18"/>
        <v/>
      </c>
      <c r="R150" s="179" t="str">
        <f ca="1">IF(OR(A150="",L150="",NOT(ISNUMBER(IF($I$4="C0",historico_VU!C150,IF($I$4="C1",historico_VU!D150,IF($I$4="C2",historico_VU!E150,IF($I$4="C3",historico_VU!F150,IF($I$4="C4",historico_VU!G150,"")))))))),"",ROUND(L150*IF($I$4="C0",historico_VU!C150,IF($I$4="C1",historico_VU!D150,IF($I$4="C2",historico_VU!E150,IF($I$4="C3",historico_VU!F150,IF($I$4="C4",historico_VU!G150,""))))),2))</f>
        <v/>
      </c>
    </row>
    <row r="151" spans="1:18" x14ac:dyDescent="0.35">
      <c r="A151" s="81" t="str">
        <f>IF(itens_Remanesc!A151="","",itens_Remanesc!A151)</f>
        <v/>
      </c>
      <c r="B151" s="217" t="str">
        <f t="shared" ca="1" si="19"/>
        <v/>
      </c>
      <c r="C151" s="218" t="str">
        <f>IF(A151="","",IF($I$5="","POSICAO DE REFERENCIA INDISPONIVEL",ROUND(IF(itens_Remanesc!B151="",0,itens_Remanesc!B151)+SUMIFS(aditivos!$L$2:$L$200,aditivos!$A$2:$A$200,A151,aditivos!$B$2:$B$200,"&lt;="&amp;$I$5),2)))</f>
        <v/>
      </c>
      <c r="D151" s="218" t="str">
        <f>IF(A151="","",IF($I$4="","",IF($I$2,IF(ISNUMBER(B151),B151,""),IF($I$4="C0",posicao_contratual!G151,IF($I$4="C1",posicao_contratual!K151,IF($I$4="C2",posicao_contratual!O151,IF($I$4="C3",posicao_contratual!S151,IF($I$4="C4",posicao_contratual!W151,""))))))))</f>
        <v/>
      </c>
      <c r="E151" s="219" t="str">
        <f t="shared" si="16"/>
        <v/>
      </c>
      <c r="F151" s="81" t="str">
        <f>IF(A151="","",IF(COUNTIF($A$2:$A$200,A151)&gt;1,"ITEM DUPLICADO",IF($I$4="","POSICAO DE REFERENCIA INDISPONIVEL",IF(AND(B151&lt;&gt;"",NOT(ISNUMBER(B151))),"QTD NAO NUMERICA",IF(AND(ISNUMBER(B151),B151&lt;0),"NEGATIVO NAO PERMITIDO",IF(NOT(ISNUMBER(C151)),"POSICAO CONTRATUAL INDISPONIVEL",IF(OR(AND(posicao_contratual!$Y151&lt;&gt;"",posicao_contratual!$Y151&gt;IFERROR(VALUE(MID($I$4,2,1)),-1)),AND(posicao_contratual!$Z151,ISNUMBER(C151),C151&lt;=0)),"ITEM POSTERIOR A REFERENCIA",IF(D151="","REMANESCENTE DE REFERENCIA INDISPONIVEL",IF(AND(ISNUMBER(D151),ISNUMBER(C151),D151&gt;C151),"REMANESCENTE DE REFERENCIA SUPERA POSICAO CONTRATUAL","OK")))))))))</f>
        <v/>
      </c>
      <c r="K151" s="179" t="str">
        <f>IF(A151="","",itens_Remanesc!C151)</f>
        <v/>
      </c>
      <c r="L151" s="179" t="str">
        <f>IF(A151="","",IF($I$4="C0",posicao_contratual!G151,IF($I$4="C1",posicao_contratual!K151,IF($I$4="C2",posicao_contratual!O151,IF($I$4="C3",posicao_contratual!S151,IF($I$4="C4",posicao_contratual!W151,""))))))</f>
        <v/>
      </c>
      <c r="M151" s="179" t="str">
        <f ca="1">IF(OR(A151="",$I$5="",$I$6=""),"",ROUND(SUMIFS(aditivos!$L$2:$L$200,aditivos!$A$2:$A$200,A151,aditivos!$B$2:$B$200,"&gt;"&amp;$I$6,aditivos!$B$2:$B$200,"&lt;="&amp;$I$5),2))</f>
        <v/>
      </c>
      <c r="N151" s="179" t="str">
        <f t="shared" si="17"/>
        <v/>
      </c>
      <c r="O151" s="179" t="str">
        <f ca="1">IF(OR(A151="",D151="",NOT(ISNUMBER(IF($I$4="C0",historico_VU!C151,IF($I$4="C1",historico_VU!D151,IF($I$4="C2",historico_VU!E151,IF($I$4="C3",historico_VU!F151,IF($I$4="C4",historico_VU!G151,"")))))))),"",ROUND(D151*IF($I$4="C0",historico_VU!C151,IF($I$4="C1",historico_VU!D151,IF($I$4="C2",historico_VU!E151,IF($I$4="C3",historico_VU!F151,IF($I$4="C4",historico_VU!G151,""))))),2))</f>
        <v/>
      </c>
      <c r="P151" s="179" t="str">
        <f ca="1">IF(OR(A151="",N151="",NOT(ISNUMBER(IF($I$4="C0",historico_VU!C151,IF($I$4="C1",historico_VU!D151,IF($I$4="C2",historico_VU!E151,IF($I$4="C3",historico_VU!F151,IF($I$4="C4",historico_VU!G151,"")))))))),"",ROUND(N151*IF($I$4="C0",historico_VU!C151,IF($I$4="C1",historico_VU!D151,IF($I$4="C2",historico_VU!E151,IF($I$4="C3",historico_VU!F151,IF($I$4="C4",historico_VU!G151,""))))),2))</f>
        <v/>
      </c>
      <c r="Q151" s="179" t="str">
        <f t="shared" si="18"/>
        <v/>
      </c>
      <c r="R151" s="179" t="str">
        <f ca="1">IF(OR(A151="",L151="",NOT(ISNUMBER(IF($I$4="C0",historico_VU!C151,IF($I$4="C1",historico_VU!D151,IF($I$4="C2",historico_VU!E151,IF($I$4="C3",historico_VU!F151,IF($I$4="C4",historico_VU!G151,"")))))))),"",ROUND(L151*IF($I$4="C0",historico_VU!C151,IF($I$4="C1",historico_VU!D151,IF($I$4="C2",historico_VU!E151,IF($I$4="C3",historico_VU!F151,IF($I$4="C4",historico_VU!G151,""))))),2))</f>
        <v/>
      </c>
    </row>
    <row r="152" spans="1:18" x14ac:dyDescent="0.35">
      <c r="A152" s="81" t="str">
        <f>IF(itens_Remanesc!A152="","",itens_Remanesc!A152)</f>
        <v/>
      </c>
      <c r="B152" s="217" t="str">
        <f t="shared" ca="1" si="19"/>
        <v/>
      </c>
      <c r="C152" s="218" t="str">
        <f>IF(A152="","",IF($I$5="","POSICAO DE REFERENCIA INDISPONIVEL",ROUND(IF(itens_Remanesc!B152="",0,itens_Remanesc!B152)+SUMIFS(aditivos!$L$2:$L$200,aditivos!$A$2:$A$200,A152,aditivos!$B$2:$B$200,"&lt;="&amp;$I$5),2)))</f>
        <v/>
      </c>
      <c r="D152" s="218" t="str">
        <f>IF(A152="","",IF($I$4="","",IF($I$2,IF(ISNUMBER(B152),B152,""),IF($I$4="C0",posicao_contratual!G152,IF($I$4="C1",posicao_contratual!K152,IF($I$4="C2",posicao_contratual!O152,IF($I$4="C3",posicao_contratual!S152,IF($I$4="C4",posicao_contratual!W152,""))))))))</f>
        <v/>
      </c>
      <c r="E152" s="219" t="str">
        <f t="shared" si="16"/>
        <v/>
      </c>
      <c r="F152" s="81" t="str">
        <f>IF(A152="","",IF(COUNTIF($A$2:$A$200,A152)&gt;1,"ITEM DUPLICADO",IF($I$4="","POSICAO DE REFERENCIA INDISPONIVEL",IF(AND(B152&lt;&gt;"",NOT(ISNUMBER(B152))),"QTD NAO NUMERICA",IF(AND(ISNUMBER(B152),B152&lt;0),"NEGATIVO NAO PERMITIDO",IF(NOT(ISNUMBER(C152)),"POSICAO CONTRATUAL INDISPONIVEL",IF(OR(AND(posicao_contratual!$Y152&lt;&gt;"",posicao_contratual!$Y152&gt;IFERROR(VALUE(MID($I$4,2,1)),-1)),AND(posicao_contratual!$Z152,ISNUMBER(C152),C152&lt;=0)),"ITEM POSTERIOR A REFERENCIA",IF(D152="","REMANESCENTE DE REFERENCIA INDISPONIVEL",IF(AND(ISNUMBER(D152),ISNUMBER(C152),D152&gt;C152),"REMANESCENTE DE REFERENCIA SUPERA POSICAO CONTRATUAL","OK")))))))))</f>
        <v/>
      </c>
      <c r="K152" s="179" t="str">
        <f>IF(A152="","",itens_Remanesc!C152)</f>
        <v/>
      </c>
      <c r="L152" s="179" t="str">
        <f>IF(A152="","",IF($I$4="C0",posicao_contratual!G152,IF($I$4="C1",posicao_contratual!K152,IF($I$4="C2",posicao_contratual!O152,IF($I$4="C3",posicao_contratual!S152,IF($I$4="C4",posicao_contratual!W152,""))))))</f>
        <v/>
      </c>
      <c r="M152" s="179" t="str">
        <f ca="1">IF(OR(A152="",$I$5="",$I$6=""),"",ROUND(SUMIFS(aditivos!$L$2:$L$200,aditivos!$A$2:$A$200,A152,aditivos!$B$2:$B$200,"&gt;"&amp;$I$6,aditivos!$B$2:$B$200,"&lt;="&amp;$I$5),2))</f>
        <v/>
      </c>
      <c r="N152" s="179" t="str">
        <f t="shared" si="17"/>
        <v/>
      </c>
      <c r="O152" s="179" t="str">
        <f ca="1">IF(OR(A152="",D152="",NOT(ISNUMBER(IF($I$4="C0",historico_VU!C152,IF($I$4="C1",historico_VU!D152,IF($I$4="C2",historico_VU!E152,IF($I$4="C3",historico_VU!F152,IF($I$4="C4",historico_VU!G152,"")))))))),"",ROUND(D152*IF($I$4="C0",historico_VU!C152,IF($I$4="C1",historico_VU!D152,IF($I$4="C2",historico_VU!E152,IF($I$4="C3",historico_VU!F152,IF($I$4="C4",historico_VU!G152,""))))),2))</f>
        <v/>
      </c>
      <c r="P152" s="179" t="str">
        <f ca="1">IF(OR(A152="",N152="",NOT(ISNUMBER(IF($I$4="C0",historico_VU!C152,IF($I$4="C1",historico_VU!D152,IF($I$4="C2",historico_VU!E152,IF($I$4="C3",historico_VU!F152,IF($I$4="C4",historico_VU!G152,"")))))))),"",ROUND(N152*IF($I$4="C0",historico_VU!C152,IF($I$4="C1",historico_VU!D152,IF($I$4="C2",historico_VU!E152,IF($I$4="C3",historico_VU!F152,IF($I$4="C4",historico_VU!G152,""))))),2))</f>
        <v/>
      </c>
      <c r="Q152" s="179" t="str">
        <f t="shared" si="18"/>
        <v/>
      </c>
      <c r="R152" s="179" t="str">
        <f ca="1">IF(OR(A152="",L152="",NOT(ISNUMBER(IF($I$4="C0",historico_VU!C152,IF($I$4="C1",historico_VU!D152,IF($I$4="C2",historico_VU!E152,IF($I$4="C3",historico_VU!F152,IF($I$4="C4",historico_VU!G152,"")))))))),"",ROUND(L152*IF($I$4="C0",historico_VU!C152,IF($I$4="C1",historico_VU!D152,IF($I$4="C2",historico_VU!E152,IF($I$4="C3",historico_VU!F152,IF($I$4="C4",historico_VU!G152,""))))),2))</f>
        <v/>
      </c>
    </row>
    <row r="153" spans="1:18" x14ac:dyDescent="0.35">
      <c r="A153" s="81" t="str">
        <f>IF(itens_Remanesc!A153="","",itens_Remanesc!A153)</f>
        <v/>
      </c>
      <c r="B153" s="217" t="str">
        <f t="shared" ca="1" si="19"/>
        <v/>
      </c>
      <c r="C153" s="218" t="str">
        <f>IF(A153="","",IF($I$5="","POSICAO DE REFERENCIA INDISPONIVEL",ROUND(IF(itens_Remanesc!B153="",0,itens_Remanesc!B153)+SUMIFS(aditivos!$L$2:$L$200,aditivos!$A$2:$A$200,A153,aditivos!$B$2:$B$200,"&lt;="&amp;$I$5),2)))</f>
        <v/>
      </c>
      <c r="D153" s="218" t="str">
        <f>IF(A153="","",IF($I$4="","",IF($I$2,IF(ISNUMBER(B153),B153,""),IF($I$4="C0",posicao_contratual!G153,IF($I$4="C1",posicao_contratual!K153,IF($I$4="C2",posicao_contratual!O153,IF($I$4="C3",posicao_contratual!S153,IF($I$4="C4",posicao_contratual!W153,""))))))))</f>
        <v/>
      </c>
      <c r="E153" s="219" t="str">
        <f t="shared" si="16"/>
        <v/>
      </c>
      <c r="F153" s="81" t="str">
        <f>IF(A153="","",IF(COUNTIF($A$2:$A$200,A153)&gt;1,"ITEM DUPLICADO",IF($I$4="","POSICAO DE REFERENCIA INDISPONIVEL",IF(AND(B153&lt;&gt;"",NOT(ISNUMBER(B153))),"QTD NAO NUMERICA",IF(AND(ISNUMBER(B153),B153&lt;0),"NEGATIVO NAO PERMITIDO",IF(NOT(ISNUMBER(C153)),"POSICAO CONTRATUAL INDISPONIVEL",IF(OR(AND(posicao_contratual!$Y153&lt;&gt;"",posicao_contratual!$Y153&gt;IFERROR(VALUE(MID($I$4,2,1)),-1)),AND(posicao_contratual!$Z153,ISNUMBER(C153),C153&lt;=0)),"ITEM POSTERIOR A REFERENCIA",IF(D153="","REMANESCENTE DE REFERENCIA INDISPONIVEL",IF(AND(ISNUMBER(D153),ISNUMBER(C153),D153&gt;C153),"REMANESCENTE DE REFERENCIA SUPERA POSICAO CONTRATUAL","OK")))))))))</f>
        <v/>
      </c>
      <c r="K153" s="179" t="str">
        <f>IF(A153="","",itens_Remanesc!C153)</f>
        <v/>
      </c>
      <c r="L153" s="179" t="str">
        <f>IF(A153="","",IF($I$4="C0",posicao_contratual!G153,IF($I$4="C1",posicao_contratual!K153,IF($I$4="C2",posicao_contratual!O153,IF($I$4="C3",posicao_contratual!S153,IF($I$4="C4",posicao_contratual!W153,""))))))</f>
        <v/>
      </c>
      <c r="M153" s="179" t="str">
        <f ca="1">IF(OR(A153="",$I$5="",$I$6=""),"",ROUND(SUMIFS(aditivos!$L$2:$L$200,aditivos!$A$2:$A$200,A153,aditivos!$B$2:$B$200,"&gt;"&amp;$I$6,aditivos!$B$2:$B$200,"&lt;="&amp;$I$5),2))</f>
        <v/>
      </c>
      <c r="N153" s="179" t="str">
        <f t="shared" si="17"/>
        <v/>
      </c>
      <c r="O153" s="179" t="str">
        <f ca="1">IF(OR(A153="",D153="",NOT(ISNUMBER(IF($I$4="C0",historico_VU!C153,IF($I$4="C1",historico_VU!D153,IF($I$4="C2",historico_VU!E153,IF($I$4="C3",historico_VU!F153,IF($I$4="C4",historico_VU!G153,"")))))))),"",ROUND(D153*IF($I$4="C0",historico_VU!C153,IF($I$4="C1",historico_VU!D153,IF($I$4="C2",historico_VU!E153,IF($I$4="C3",historico_VU!F153,IF($I$4="C4",historico_VU!G153,""))))),2))</f>
        <v/>
      </c>
      <c r="P153" s="179" t="str">
        <f ca="1">IF(OR(A153="",N153="",NOT(ISNUMBER(IF($I$4="C0",historico_VU!C153,IF($I$4="C1",historico_VU!D153,IF($I$4="C2",historico_VU!E153,IF($I$4="C3",historico_VU!F153,IF($I$4="C4",historico_VU!G153,"")))))))),"",ROUND(N153*IF($I$4="C0",historico_VU!C153,IF($I$4="C1",historico_VU!D153,IF($I$4="C2",historico_VU!E153,IF($I$4="C3",historico_VU!F153,IF($I$4="C4",historico_VU!G153,""))))),2))</f>
        <v/>
      </c>
      <c r="Q153" s="179" t="str">
        <f t="shared" si="18"/>
        <v/>
      </c>
      <c r="R153" s="179" t="str">
        <f ca="1">IF(OR(A153="",L153="",NOT(ISNUMBER(IF($I$4="C0",historico_VU!C153,IF($I$4="C1",historico_VU!D153,IF($I$4="C2",historico_VU!E153,IF($I$4="C3",historico_VU!F153,IF($I$4="C4",historico_VU!G153,"")))))))),"",ROUND(L153*IF($I$4="C0",historico_VU!C153,IF($I$4="C1",historico_VU!D153,IF($I$4="C2",historico_VU!E153,IF($I$4="C3",historico_VU!F153,IF($I$4="C4",historico_VU!G153,""))))),2))</f>
        <v/>
      </c>
    </row>
    <row r="154" spans="1:18" x14ac:dyDescent="0.35">
      <c r="A154" s="81" t="str">
        <f>IF(itens_Remanesc!A154="","",itens_Remanesc!A154)</f>
        <v/>
      </c>
      <c r="B154" s="217" t="str">
        <f t="shared" ca="1" si="19"/>
        <v/>
      </c>
      <c r="C154" s="218" t="str">
        <f>IF(A154="","",IF($I$5="","POSICAO DE REFERENCIA INDISPONIVEL",ROUND(IF(itens_Remanesc!B154="",0,itens_Remanesc!B154)+SUMIFS(aditivos!$L$2:$L$200,aditivos!$A$2:$A$200,A154,aditivos!$B$2:$B$200,"&lt;="&amp;$I$5),2)))</f>
        <v/>
      </c>
      <c r="D154" s="218" t="str">
        <f>IF(A154="","",IF($I$4="","",IF($I$2,IF(ISNUMBER(B154),B154,""),IF($I$4="C0",posicao_contratual!G154,IF($I$4="C1",posicao_contratual!K154,IF($I$4="C2",posicao_contratual!O154,IF($I$4="C3",posicao_contratual!S154,IF($I$4="C4",posicao_contratual!W154,""))))))))</f>
        <v/>
      </c>
      <c r="E154" s="219" t="str">
        <f t="shared" si="16"/>
        <v/>
      </c>
      <c r="F154" s="81" t="str">
        <f>IF(A154="","",IF(COUNTIF($A$2:$A$200,A154)&gt;1,"ITEM DUPLICADO",IF($I$4="","POSICAO DE REFERENCIA INDISPONIVEL",IF(AND(B154&lt;&gt;"",NOT(ISNUMBER(B154))),"QTD NAO NUMERICA",IF(AND(ISNUMBER(B154),B154&lt;0),"NEGATIVO NAO PERMITIDO",IF(NOT(ISNUMBER(C154)),"POSICAO CONTRATUAL INDISPONIVEL",IF(OR(AND(posicao_contratual!$Y154&lt;&gt;"",posicao_contratual!$Y154&gt;IFERROR(VALUE(MID($I$4,2,1)),-1)),AND(posicao_contratual!$Z154,ISNUMBER(C154),C154&lt;=0)),"ITEM POSTERIOR A REFERENCIA",IF(D154="","REMANESCENTE DE REFERENCIA INDISPONIVEL",IF(AND(ISNUMBER(D154),ISNUMBER(C154),D154&gt;C154),"REMANESCENTE DE REFERENCIA SUPERA POSICAO CONTRATUAL","OK")))))))))</f>
        <v/>
      </c>
      <c r="K154" s="179" t="str">
        <f>IF(A154="","",itens_Remanesc!C154)</f>
        <v/>
      </c>
      <c r="L154" s="179" t="str">
        <f>IF(A154="","",IF($I$4="C0",posicao_contratual!G154,IF($I$4="C1",posicao_contratual!K154,IF($I$4="C2",posicao_contratual!O154,IF($I$4="C3",posicao_contratual!S154,IF($I$4="C4",posicao_contratual!W154,""))))))</f>
        <v/>
      </c>
      <c r="M154" s="179" t="str">
        <f ca="1">IF(OR(A154="",$I$5="",$I$6=""),"",ROUND(SUMIFS(aditivos!$L$2:$L$200,aditivos!$A$2:$A$200,A154,aditivos!$B$2:$B$200,"&gt;"&amp;$I$6,aditivos!$B$2:$B$200,"&lt;="&amp;$I$5),2))</f>
        <v/>
      </c>
      <c r="N154" s="179" t="str">
        <f t="shared" si="17"/>
        <v/>
      </c>
      <c r="O154" s="179" t="str">
        <f ca="1">IF(OR(A154="",D154="",NOT(ISNUMBER(IF($I$4="C0",historico_VU!C154,IF($I$4="C1",historico_VU!D154,IF($I$4="C2",historico_VU!E154,IF($I$4="C3",historico_VU!F154,IF($I$4="C4",historico_VU!G154,"")))))))),"",ROUND(D154*IF($I$4="C0",historico_VU!C154,IF($I$4="C1",historico_VU!D154,IF($I$4="C2",historico_VU!E154,IF($I$4="C3",historico_VU!F154,IF($I$4="C4",historico_VU!G154,""))))),2))</f>
        <v/>
      </c>
      <c r="P154" s="179" t="str">
        <f ca="1">IF(OR(A154="",N154="",NOT(ISNUMBER(IF($I$4="C0",historico_VU!C154,IF($I$4="C1",historico_VU!D154,IF($I$4="C2",historico_VU!E154,IF($I$4="C3",historico_VU!F154,IF($I$4="C4",historico_VU!G154,"")))))))),"",ROUND(N154*IF($I$4="C0",historico_VU!C154,IF($I$4="C1",historico_VU!D154,IF($I$4="C2",historico_VU!E154,IF($I$4="C3",historico_VU!F154,IF($I$4="C4",historico_VU!G154,""))))),2))</f>
        <v/>
      </c>
      <c r="Q154" s="179" t="str">
        <f t="shared" si="18"/>
        <v/>
      </c>
      <c r="R154" s="179" t="str">
        <f ca="1">IF(OR(A154="",L154="",NOT(ISNUMBER(IF($I$4="C0",historico_VU!C154,IF($I$4="C1",historico_VU!D154,IF($I$4="C2",historico_VU!E154,IF($I$4="C3",historico_VU!F154,IF($I$4="C4",historico_VU!G154,"")))))))),"",ROUND(L154*IF($I$4="C0",historico_VU!C154,IF($I$4="C1",historico_VU!D154,IF($I$4="C2",historico_VU!E154,IF($I$4="C3",historico_VU!F154,IF($I$4="C4",historico_VU!G154,""))))),2))</f>
        <v/>
      </c>
    </row>
    <row r="155" spans="1:18" x14ac:dyDescent="0.35">
      <c r="A155" s="81" t="str">
        <f>IF(itens_Remanesc!A155="","",itens_Remanesc!A155)</f>
        <v/>
      </c>
      <c r="B155" s="217" t="str">
        <f t="shared" ca="1" si="19"/>
        <v/>
      </c>
      <c r="C155" s="218" t="str">
        <f>IF(A155="","",IF($I$5="","POSICAO DE REFERENCIA INDISPONIVEL",ROUND(IF(itens_Remanesc!B155="",0,itens_Remanesc!B155)+SUMIFS(aditivos!$L$2:$L$200,aditivos!$A$2:$A$200,A155,aditivos!$B$2:$B$200,"&lt;="&amp;$I$5),2)))</f>
        <v/>
      </c>
      <c r="D155" s="218" t="str">
        <f>IF(A155="","",IF($I$4="","",IF($I$2,IF(ISNUMBER(B155),B155,""),IF($I$4="C0",posicao_contratual!G155,IF($I$4="C1",posicao_contratual!K155,IF($I$4="C2",posicao_contratual!O155,IF($I$4="C3",posicao_contratual!S155,IF($I$4="C4",posicao_contratual!W155,""))))))))</f>
        <v/>
      </c>
      <c r="E155" s="219" t="str">
        <f t="shared" si="16"/>
        <v/>
      </c>
      <c r="F155" s="81" t="str">
        <f>IF(A155="","",IF(COUNTIF($A$2:$A$200,A155)&gt;1,"ITEM DUPLICADO",IF($I$4="","POSICAO DE REFERENCIA INDISPONIVEL",IF(AND(B155&lt;&gt;"",NOT(ISNUMBER(B155))),"QTD NAO NUMERICA",IF(AND(ISNUMBER(B155),B155&lt;0),"NEGATIVO NAO PERMITIDO",IF(NOT(ISNUMBER(C155)),"POSICAO CONTRATUAL INDISPONIVEL",IF(OR(AND(posicao_contratual!$Y155&lt;&gt;"",posicao_contratual!$Y155&gt;IFERROR(VALUE(MID($I$4,2,1)),-1)),AND(posicao_contratual!$Z155,ISNUMBER(C155),C155&lt;=0)),"ITEM POSTERIOR A REFERENCIA",IF(D155="","REMANESCENTE DE REFERENCIA INDISPONIVEL",IF(AND(ISNUMBER(D155),ISNUMBER(C155),D155&gt;C155),"REMANESCENTE DE REFERENCIA SUPERA POSICAO CONTRATUAL","OK")))))))))</f>
        <v/>
      </c>
      <c r="K155" s="179" t="str">
        <f>IF(A155="","",itens_Remanesc!C155)</f>
        <v/>
      </c>
      <c r="L155" s="179" t="str">
        <f>IF(A155="","",IF($I$4="C0",posicao_contratual!G155,IF($I$4="C1",posicao_contratual!K155,IF($I$4="C2",posicao_contratual!O155,IF($I$4="C3",posicao_contratual!S155,IF($I$4="C4",posicao_contratual!W155,""))))))</f>
        <v/>
      </c>
      <c r="M155" s="179" t="str">
        <f ca="1">IF(OR(A155="",$I$5="",$I$6=""),"",ROUND(SUMIFS(aditivos!$L$2:$L$200,aditivos!$A$2:$A$200,A155,aditivos!$B$2:$B$200,"&gt;"&amp;$I$6,aditivos!$B$2:$B$200,"&lt;="&amp;$I$5),2))</f>
        <v/>
      </c>
      <c r="N155" s="179" t="str">
        <f t="shared" si="17"/>
        <v/>
      </c>
      <c r="O155" s="179" t="str">
        <f ca="1">IF(OR(A155="",D155="",NOT(ISNUMBER(IF($I$4="C0",historico_VU!C155,IF($I$4="C1",historico_VU!D155,IF($I$4="C2",historico_VU!E155,IF($I$4="C3",historico_VU!F155,IF($I$4="C4",historico_VU!G155,"")))))))),"",ROUND(D155*IF($I$4="C0",historico_VU!C155,IF($I$4="C1",historico_VU!D155,IF($I$4="C2",historico_VU!E155,IF($I$4="C3",historico_VU!F155,IF($I$4="C4",historico_VU!G155,""))))),2))</f>
        <v/>
      </c>
      <c r="P155" s="179" t="str">
        <f ca="1">IF(OR(A155="",N155="",NOT(ISNUMBER(IF($I$4="C0",historico_VU!C155,IF($I$4="C1",historico_VU!D155,IF($I$4="C2",historico_VU!E155,IF($I$4="C3",historico_VU!F155,IF($I$4="C4",historico_VU!G155,"")))))))),"",ROUND(N155*IF($I$4="C0",historico_VU!C155,IF($I$4="C1",historico_VU!D155,IF($I$4="C2",historico_VU!E155,IF($I$4="C3",historico_VU!F155,IF($I$4="C4",historico_VU!G155,""))))),2))</f>
        <v/>
      </c>
      <c r="Q155" s="179" t="str">
        <f t="shared" si="18"/>
        <v/>
      </c>
      <c r="R155" s="179" t="str">
        <f ca="1">IF(OR(A155="",L155="",NOT(ISNUMBER(IF($I$4="C0",historico_VU!C155,IF($I$4="C1",historico_VU!D155,IF($I$4="C2",historico_VU!E155,IF($I$4="C3",historico_VU!F155,IF($I$4="C4",historico_VU!G155,"")))))))),"",ROUND(L155*IF($I$4="C0",historico_VU!C155,IF($I$4="C1",historico_VU!D155,IF($I$4="C2",historico_VU!E155,IF($I$4="C3",historico_VU!F155,IF($I$4="C4",historico_VU!G155,""))))),2))</f>
        <v/>
      </c>
    </row>
    <row r="156" spans="1:18" x14ac:dyDescent="0.35">
      <c r="A156" s="81" t="str">
        <f>IF(itens_Remanesc!A156="","",itens_Remanesc!A156)</f>
        <v/>
      </c>
      <c r="B156" s="217" t="str">
        <f t="shared" ca="1" si="19"/>
        <v/>
      </c>
      <c r="C156" s="218" t="str">
        <f>IF(A156="","",IF($I$5="","POSICAO DE REFERENCIA INDISPONIVEL",ROUND(IF(itens_Remanesc!B156="",0,itens_Remanesc!B156)+SUMIFS(aditivos!$L$2:$L$200,aditivos!$A$2:$A$200,A156,aditivos!$B$2:$B$200,"&lt;="&amp;$I$5),2)))</f>
        <v/>
      </c>
      <c r="D156" s="218" t="str">
        <f>IF(A156="","",IF($I$4="","",IF($I$2,IF(ISNUMBER(B156),B156,""),IF($I$4="C0",posicao_contratual!G156,IF($I$4="C1",posicao_contratual!K156,IF($I$4="C2",posicao_contratual!O156,IF($I$4="C3",posicao_contratual!S156,IF($I$4="C4",posicao_contratual!W156,""))))))))</f>
        <v/>
      </c>
      <c r="E156" s="219" t="str">
        <f t="shared" si="16"/>
        <v/>
      </c>
      <c r="F156" s="81" t="str">
        <f>IF(A156="","",IF(COUNTIF($A$2:$A$200,A156)&gt;1,"ITEM DUPLICADO",IF($I$4="","POSICAO DE REFERENCIA INDISPONIVEL",IF(AND(B156&lt;&gt;"",NOT(ISNUMBER(B156))),"QTD NAO NUMERICA",IF(AND(ISNUMBER(B156),B156&lt;0),"NEGATIVO NAO PERMITIDO",IF(NOT(ISNUMBER(C156)),"POSICAO CONTRATUAL INDISPONIVEL",IF(OR(AND(posicao_contratual!$Y156&lt;&gt;"",posicao_contratual!$Y156&gt;IFERROR(VALUE(MID($I$4,2,1)),-1)),AND(posicao_contratual!$Z156,ISNUMBER(C156),C156&lt;=0)),"ITEM POSTERIOR A REFERENCIA",IF(D156="","REMANESCENTE DE REFERENCIA INDISPONIVEL",IF(AND(ISNUMBER(D156),ISNUMBER(C156),D156&gt;C156),"REMANESCENTE DE REFERENCIA SUPERA POSICAO CONTRATUAL","OK")))))))))</f>
        <v/>
      </c>
      <c r="K156" s="179" t="str">
        <f>IF(A156="","",itens_Remanesc!C156)</f>
        <v/>
      </c>
      <c r="L156" s="179" t="str">
        <f>IF(A156="","",IF($I$4="C0",posicao_contratual!G156,IF($I$4="C1",posicao_contratual!K156,IF($I$4="C2",posicao_contratual!O156,IF($I$4="C3",posicao_contratual!S156,IF($I$4="C4",posicao_contratual!W156,""))))))</f>
        <v/>
      </c>
      <c r="M156" s="179" t="str">
        <f ca="1">IF(OR(A156="",$I$5="",$I$6=""),"",ROUND(SUMIFS(aditivos!$L$2:$L$200,aditivos!$A$2:$A$200,A156,aditivos!$B$2:$B$200,"&gt;"&amp;$I$6,aditivos!$B$2:$B$200,"&lt;="&amp;$I$5),2))</f>
        <v/>
      </c>
      <c r="N156" s="179" t="str">
        <f t="shared" si="17"/>
        <v/>
      </c>
      <c r="O156" s="179" t="str">
        <f ca="1">IF(OR(A156="",D156="",NOT(ISNUMBER(IF($I$4="C0",historico_VU!C156,IF($I$4="C1",historico_VU!D156,IF($I$4="C2",historico_VU!E156,IF($I$4="C3",historico_VU!F156,IF($I$4="C4",historico_VU!G156,"")))))))),"",ROUND(D156*IF($I$4="C0",historico_VU!C156,IF($I$4="C1",historico_VU!D156,IF($I$4="C2",historico_VU!E156,IF($I$4="C3",historico_VU!F156,IF($I$4="C4",historico_VU!G156,""))))),2))</f>
        <v/>
      </c>
      <c r="P156" s="179" t="str">
        <f ca="1">IF(OR(A156="",N156="",NOT(ISNUMBER(IF($I$4="C0",historico_VU!C156,IF($I$4="C1",historico_VU!D156,IF($I$4="C2",historico_VU!E156,IF($I$4="C3",historico_VU!F156,IF($I$4="C4",historico_VU!G156,"")))))))),"",ROUND(N156*IF($I$4="C0",historico_VU!C156,IF($I$4="C1",historico_VU!D156,IF($I$4="C2",historico_VU!E156,IF($I$4="C3",historico_VU!F156,IF($I$4="C4",historico_VU!G156,""))))),2))</f>
        <v/>
      </c>
      <c r="Q156" s="179" t="str">
        <f t="shared" si="18"/>
        <v/>
      </c>
      <c r="R156" s="179" t="str">
        <f ca="1">IF(OR(A156="",L156="",NOT(ISNUMBER(IF($I$4="C0",historico_VU!C156,IF($I$4="C1",historico_VU!D156,IF($I$4="C2",historico_VU!E156,IF($I$4="C3",historico_VU!F156,IF($I$4="C4",historico_VU!G156,"")))))))),"",ROUND(L156*IF($I$4="C0",historico_VU!C156,IF($I$4="C1",historico_VU!D156,IF($I$4="C2",historico_VU!E156,IF($I$4="C3",historico_VU!F156,IF($I$4="C4",historico_VU!G156,""))))),2))</f>
        <v/>
      </c>
    </row>
    <row r="157" spans="1:18" x14ac:dyDescent="0.35">
      <c r="A157" s="81" t="str">
        <f>IF(itens_Remanesc!A157="","",itens_Remanesc!A157)</f>
        <v/>
      </c>
      <c r="B157" s="217" t="str">
        <f t="shared" ca="1" si="19"/>
        <v/>
      </c>
      <c r="C157" s="218" t="str">
        <f>IF(A157="","",IF($I$5="","POSICAO DE REFERENCIA INDISPONIVEL",ROUND(IF(itens_Remanesc!B157="",0,itens_Remanesc!B157)+SUMIFS(aditivos!$L$2:$L$200,aditivos!$A$2:$A$200,A157,aditivos!$B$2:$B$200,"&lt;="&amp;$I$5),2)))</f>
        <v/>
      </c>
      <c r="D157" s="218" t="str">
        <f>IF(A157="","",IF($I$4="","",IF($I$2,IF(ISNUMBER(B157),B157,""),IF($I$4="C0",posicao_contratual!G157,IF($I$4="C1",posicao_contratual!K157,IF($I$4="C2",posicao_contratual!O157,IF($I$4="C3",posicao_contratual!S157,IF($I$4="C4",posicao_contratual!W157,""))))))))</f>
        <v/>
      </c>
      <c r="E157" s="219" t="str">
        <f t="shared" si="16"/>
        <v/>
      </c>
      <c r="F157" s="81" t="str">
        <f>IF(A157="","",IF(COUNTIF($A$2:$A$200,A157)&gt;1,"ITEM DUPLICADO",IF($I$4="","POSICAO DE REFERENCIA INDISPONIVEL",IF(AND(B157&lt;&gt;"",NOT(ISNUMBER(B157))),"QTD NAO NUMERICA",IF(AND(ISNUMBER(B157),B157&lt;0),"NEGATIVO NAO PERMITIDO",IF(NOT(ISNUMBER(C157)),"POSICAO CONTRATUAL INDISPONIVEL",IF(OR(AND(posicao_contratual!$Y157&lt;&gt;"",posicao_contratual!$Y157&gt;IFERROR(VALUE(MID($I$4,2,1)),-1)),AND(posicao_contratual!$Z157,ISNUMBER(C157),C157&lt;=0)),"ITEM POSTERIOR A REFERENCIA",IF(D157="","REMANESCENTE DE REFERENCIA INDISPONIVEL",IF(AND(ISNUMBER(D157),ISNUMBER(C157),D157&gt;C157),"REMANESCENTE DE REFERENCIA SUPERA POSICAO CONTRATUAL","OK")))))))))</f>
        <v/>
      </c>
      <c r="K157" s="179" t="str">
        <f>IF(A157="","",itens_Remanesc!C157)</f>
        <v/>
      </c>
      <c r="L157" s="179" t="str">
        <f>IF(A157="","",IF($I$4="C0",posicao_contratual!G157,IF($I$4="C1",posicao_contratual!K157,IF($I$4="C2",posicao_contratual!O157,IF($I$4="C3",posicao_contratual!S157,IF($I$4="C4",posicao_contratual!W157,""))))))</f>
        <v/>
      </c>
      <c r="M157" s="179" t="str">
        <f ca="1">IF(OR(A157="",$I$5="",$I$6=""),"",ROUND(SUMIFS(aditivos!$L$2:$L$200,aditivos!$A$2:$A$200,A157,aditivos!$B$2:$B$200,"&gt;"&amp;$I$6,aditivos!$B$2:$B$200,"&lt;="&amp;$I$5),2))</f>
        <v/>
      </c>
      <c r="N157" s="179" t="str">
        <f t="shared" si="17"/>
        <v/>
      </c>
      <c r="O157" s="179" t="str">
        <f ca="1">IF(OR(A157="",D157="",NOT(ISNUMBER(IF($I$4="C0",historico_VU!C157,IF($I$4="C1",historico_VU!D157,IF($I$4="C2",historico_VU!E157,IF($I$4="C3",historico_VU!F157,IF($I$4="C4",historico_VU!G157,"")))))))),"",ROUND(D157*IF($I$4="C0",historico_VU!C157,IF($I$4="C1",historico_VU!D157,IF($I$4="C2",historico_VU!E157,IF($I$4="C3",historico_VU!F157,IF($I$4="C4",historico_VU!G157,""))))),2))</f>
        <v/>
      </c>
      <c r="P157" s="179" t="str">
        <f ca="1">IF(OR(A157="",N157="",NOT(ISNUMBER(IF($I$4="C0",historico_VU!C157,IF($I$4="C1",historico_VU!D157,IF($I$4="C2",historico_VU!E157,IF($I$4="C3",historico_VU!F157,IF($I$4="C4",historico_VU!G157,"")))))))),"",ROUND(N157*IF($I$4="C0",historico_VU!C157,IF($I$4="C1",historico_VU!D157,IF($I$4="C2",historico_VU!E157,IF($I$4="C3",historico_VU!F157,IF($I$4="C4",historico_VU!G157,""))))),2))</f>
        <v/>
      </c>
      <c r="Q157" s="179" t="str">
        <f t="shared" si="18"/>
        <v/>
      </c>
      <c r="R157" s="179" t="str">
        <f ca="1">IF(OR(A157="",L157="",NOT(ISNUMBER(IF($I$4="C0",historico_VU!C157,IF($I$4="C1",historico_VU!D157,IF($I$4="C2",historico_VU!E157,IF($I$4="C3",historico_VU!F157,IF($I$4="C4",historico_VU!G157,"")))))))),"",ROUND(L157*IF($I$4="C0",historico_VU!C157,IF($I$4="C1",historico_VU!D157,IF($I$4="C2",historico_VU!E157,IF($I$4="C3",historico_VU!F157,IF($I$4="C4",historico_VU!G157,""))))),2))</f>
        <v/>
      </c>
    </row>
    <row r="158" spans="1:18" x14ac:dyDescent="0.35">
      <c r="A158" s="81" t="str">
        <f>IF(itens_Remanesc!A158="","",itens_Remanesc!A158)</f>
        <v/>
      </c>
      <c r="B158" s="217" t="str">
        <f t="shared" ca="1" si="19"/>
        <v/>
      </c>
      <c r="C158" s="218" t="str">
        <f>IF(A158="","",IF($I$5="","POSICAO DE REFERENCIA INDISPONIVEL",ROUND(IF(itens_Remanesc!B158="",0,itens_Remanesc!B158)+SUMIFS(aditivos!$L$2:$L$200,aditivos!$A$2:$A$200,A158,aditivos!$B$2:$B$200,"&lt;="&amp;$I$5),2)))</f>
        <v/>
      </c>
      <c r="D158" s="218" t="str">
        <f>IF(A158="","",IF($I$4="","",IF($I$2,IF(ISNUMBER(B158),B158,""),IF($I$4="C0",posicao_contratual!G158,IF($I$4="C1",posicao_contratual!K158,IF($I$4="C2",posicao_contratual!O158,IF($I$4="C3",posicao_contratual!S158,IF($I$4="C4",posicao_contratual!W158,""))))))))</f>
        <v/>
      </c>
      <c r="E158" s="219" t="str">
        <f t="shared" si="16"/>
        <v/>
      </c>
      <c r="F158" s="81" t="str">
        <f>IF(A158="","",IF(COUNTIF($A$2:$A$200,A158)&gt;1,"ITEM DUPLICADO",IF($I$4="","POSICAO DE REFERENCIA INDISPONIVEL",IF(AND(B158&lt;&gt;"",NOT(ISNUMBER(B158))),"QTD NAO NUMERICA",IF(AND(ISNUMBER(B158),B158&lt;0),"NEGATIVO NAO PERMITIDO",IF(NOT(ISNUMBER(C158)),"POSICAO CONTRATUAL INDISPONIVEL",IF(OR(AND(posicao_contratual!$Y158&lt;&gt;"",posicao_contratual!$Y158&gt;IFERROR(VALUE(MID($I$4,2,1)),-1)),AND(posicao_contratual!$Z158,ISNUMBER(C158),C158&lt;=0)),"ITEM POSTERIOR A REFERENCIA",IF(D158="","REMANESCENTE DE REFERENCIA INDISPONIVEL",IF(AND(ISNUMBER(D158),ISNUMBER(C158),D158&gt;C158),"REMANESCENTE DE REFERENCIA SUPERA POSICAO CONTRATUAL","OK")))))))))</f>
        <v/>
      </c>
      <c r="K158" s="179" t="str">
        <f>IF(A158="","",itens_Remanesc!C158)</f>
        <v/>
      </c>
      <c r="L158" s="179" t="str">
        <f>IF(A158="","",IF($I$4="C0",posicao_contratual!G158,IF($I$4="C1",posicao_contratual!K158,IF($I$4="C2",posicao_contratual!O158,IF($I$4="C3",posicao_contratual!S158,IF($I$4="C4",posicao_contratual!W158,""))))))</f>
        <v/>
      </c>
      <c r="M158" s="179" t="str">
        <f ca="1">IF(OR(A158="",$I$5="",$I$6=""),"",ROUND(SUMIFS(aditivos!$L$2:$L$200,aditivos!$A$2:$A$200,A158,aditivos!$B$2:$B$200,"&gt;"&amp;$I$6,aditivos!$B$2:$B$200,"&lt;="&amp;$I$5),2))</f>
        <v/>
      </c>
      <c r="N158" s="179" t="str">
        <f t="shared" si="17"/>
        <v/>
      </c>
      <c r="O158" s="179" t="str">
        <f ca="1">IF(OR(A158="",D158="",NOT(ISNUMBER(IF($I$4="C0",historico_VU!C158,IF($I$4="C1",historico_VU!D158,IF($I$4="C2",historico_VU!E158,IF($I$4="C3",historico_VU!F158,IF($I$4="C4",historico_VU!G158,"")))))))),"",ROUND(D158*IF($I$4="C0",historico_VU!C158,IF($I$4="C1",historico_VU!D158,IF($I$4="C2",historico_VU!E158,IF($I$4="C3",historico_VU!F158,IF($I$4="C4",historico_VU!G158,""))))),2))</f>
        <v/>
      </c>
      <c r="P158" s="179" t="str">
        <f ca="1">IF(OR(A158="",N158="",NOT(ISNUMBER(IF($I$4="C0",historico_VU!C158,IF($I$4="C1",historico_VU!D158,IF($I$4="C2",historico_VU!E158,IF($I$4="C3",historico_VU!F158,IF($I$4="C4",historico_VU!G158,"")))))))),"",ROUND(N158*IF($I$4="C0",historico_VU!C158,IF($I$4="C1",historico_VU!D158,IF($I$4="C2",historico_VU!E158,IF($I$4="C3",historico_VU!F158,IF($I$4="C4",historico_VU!G158,""))))),2))</f>
        <v/>
      </c>
      <c r="Q158" s="179" t="str">
        <f t="shared" si="18"/>
        <v/>
      </c>
      <c r="R158" s="179" t="str">
        <f ca="1">IF(OR(A158="",L158="",NOT(ISNUMBER(IF($I$4="C0",historico_VU!C158,IF($I$4="C1",historico_VU!D158,IF($I$4="C2",historico_VU!E158,IF($I$4="C3",historico_VU!F158,IF($I$4="C4",historico_VU!G158,"")))))))),"",ROUND(L158*IF($I$4="C0",historico_VU!C158,IF($I$4="C1",historico_VU!D158,IF($I$4="C2",historico_VU!E158,IF($I$4="C3",historico_VU!F158,IF($I$4="C4",historico_VU!G158,""))))),2))</f>
        <v/>
      </c>
    </row>
    <row r="159" spans="1:18" x14ac:dyDescent="0.35">
      <c r="A159" s="81" t="str">
        <f>IF(itens_Remanesc!A159="","",itens_Remanesc!A159)</f>
        <v/>
      </c>
      <c r="B159" s="217" t="str">
        <f t="shared" ca="1" si="19"/>
        <v/>
      </c>
      <c r="C159" s="218" t="str">
        <f>IF(A159="","",IF($I$5="","POSICAO DE REFERENCIA INDISPONIVEL",ROUND(IF(itens_Remanesc!B159="",0,itens_Remanesc!B159)+SUMIFS(aditivos!$L$2:$L$200,aditivos!$A$2:$A$200,A159,aditivos!$B$2:$B$200,"&lt;="&amp;$I$5),2)))</f>
        <v/>
      </c>
      <c r="D159" s="218" t="str">
        <f>IF(A159="","",IF($I$4="","",IF($I$2,IF(ISNUMBER(B159),B159,""),IF($I$4="C0",posicao_contratual!G159,IF($I$4="C1",posicao_contratual!K159,IF($I$4="C2",posicao_contratual!O159,IF($I$4="C3",posicao_contratual!S159,IF($I$4="C4",posicao_contratual!W159,""))))))))</f>
        <v/>
      </c>
      <c r="E159" s="219" t="str">
        <f t="shared" si="16"/>
        <v/>
      </c>
      <c r="F159" s="81" t="str">
        <f>IF(A159="","",IF(COUNTIF($A$2:$A$200,A159)&gt;1,"ITEM DUPLICADO",IF($I$4="","POSICAO DE REFERENCIA INDISPONIVEL",IF(AND(B159&lt;&gt;"",NOT(ISNUMBER(B159))),"QTD NAO NUMERICA",IF(AND(ISNUMBER(B159),B159&lt;0),"NEGATIVO NAO PERMITIDO",IF(NOT(ISNUMBER(C159)),"POSICAO CONTRATUAL INDISPONIVEL",IF(OR(AND(posicao_contratual!$Y159&lt;&gt;"",posicao_contratual!$Y159&gt;IFERROR(VALUE(MID($I$4,2,1)),-1)),AND(posicao_contratual!$Z159,ISNUMBER(C159),C159&lt;=0)),"ITEM POSTERIOR A REFERENCIA",IF(D159="","REMANESCENTE DE REFERENCIA INDISPONIVEL",IF(AND(ISNUMBER(D159),ISNUMBER(C159),D159&gt;C159),"REMANESCENTE DE REFERENCIA SUPERA POSICAO CONTRATUAL","OK")))))))))</f>
        <v/>
      </c>
      <c r="K159" s="179" t="str">
        <f>IF(A159="","",itens_Remanesc!C159)</f>
        <v/>
      </c>
      <c r="L159" s="179" t="str">
        <f>IF(A159="","",IF($I$4="C0",posicao_contratual!G159,IF($I$4="C1",posicao_contratual!K159,IF($I$4="C2",posicao_contratual!O159,IF($I$4="C3",posicao_contratual!S159,IF($I$4="C4",posicao_contratual!W159,""))))))</f>
        <v/>
      </c>
      <c r="M159" s="179" t="str">
        <f ca="1">IF(OR(A159="",$I$5="",$I$6=""),"",ROUND(SUMIFS(aditivos!$L$2:$L$200,aditivos!$A$2:$A$200,A159,aditivos!$B$2:$B$200,"&gt;"&amp;$I$6,aditivos!$B$2:$B$200,"&lt;="&amp;$I$5),2))</f>
        <v/>
      </c>
      <c r="N159" s="179" t="str">
        <f t="shared" si="17"/>
        <v/>
      </c>
      <c r="O159" s="179" t="str">
        <f ca="1">IF(OR(A159="",D159="",NOT(ISNUMBER(IF($I$4="C0",historico_VU!C159,IF($I$4="C1",historico_VU!D159,IF($I$4="C2",historico_VU!E159,IF($I$4="C3",historico_VU!F159,IF($I$4="C4",historico_VU!G159,"")))))))),"",ROUND(D159*IF($I$4="C0",historico_VU!C159,IF($I$4="C1",historico_VU!D159,IF($I$4="C2",historico_VU!E159,IF($I$4="C3",historico_VU!F159,IF($I$4="C4",historico_VU!G159,""))))),2))</f>
        <v/>
      </c>
      <c r="P159" s="179" t="str">
        <f ca="1">IF(OR(A159="",N159="",NOT(ISNUMBER(IF($I$4="C0",historico_VU!C159,IF($I$4="C1",historico_VU!D159,IF($I$4="C2",historico_VU!E159,IF($I$4="C3",historico_VU!F159,IF($I$4="C4",historico_VU!G159,"")))))))),"",ROUND(N159*IF($I$4="C0",historico_VU!C159,IF($I$4="C1",historico_VU!D159,IF($I$4="C2",historico_VU!E159,IF($I$4="C3",historico_VU!F159,IF($I$4="C4",historico_VU!G159,""))))),2))</f>
        <v/>
      </c>
      <c r="Q159" s="179" t="str">
        <f t="shared" si="18"/>
        <v/>
      </c>
      <c r="R159" s="179" t="str">
        <f ca="1">IF(OR(A159="",L159="",NOT(ISNUMBER(IF($I$4="C0",historico_VU!C159,IF($I$4="C1",historico_VU!D159,IF($I$4="C2",historico_VU!E159,IF($I$4="C3",historico_VU!F159,IF($I$4="C4",historico_VU!G159,"")))))))),"",ROUND(L159*IF($I$4="C0",historico_VU!C159,IF($I$4="C1",historico_VU!D159,IF($I$4="C2",historico_VU!E159,IF($I$4="C3",historico_VU!F159,IF($I$4="C4",historico_VU!G159,""))))),2))</f>
        <v/>
      </c>
    </row>
    <row r="160" spans="1:18" x14ac:dyDescent="0.35">
      <c r="A160" s="81" t="str">
        <f>IF(itens_Remanesc!A160="","",itens_Remanesc!A160)</f>
        <v/>
      </c>
      <c r="B160" s="217" t="str">
        <f t="shared" ca="1" si="19"/>
        <v/>
      </c>
      <c r="C160" s="218" t="str">
        <f>IF(A160="","",IF($I$5="","POSICAO DE REFERENCIA INDISPONIVEL",ROUND(IF(itens_Remanesc!B160="",0,itens_Remanesc!B160)+SUMIFS(aditivos!$L$2:$L$200,aditivos!$A$2:$A$200,A160,aditivos!$B$2:$B$200,"&lt;="&amp;$I$5),2)))</f>
        <v/>
      </c>
      <c r="D160" s="218" t="str">
        <f>IF(A160="","",IF($I$4="","",IF($I$2,IF(ISNUMBER(B160),B160,""),IF($I$4="C0",posicao_contratual!G160,IF($I$4="C1",posicao_contratual!K160,IF($I$4="C2",posicao_contratual!O160,IF($I$4="C3",posicao_contratual!S160,IF($I$4="C4",posicao_contratual!W160,""))))))))</f>
        <v/>
      </c>
      <c r="E160" s="219" t="str">
        <f t="shared" si="16"/>
        <v/>
      </c>
      <c r="F160" s="81" t="str">
        <f>IF(A160="","",IF(COUNTIF($A$2:$A$200,A160)&gt;1,"ITEM DUPLICADO",IF($I$4="","POSICAO DE REFERENCIA INDISPONIVEL",IF(AND(B160&lt;&gt;"",NOT(ISNUMBER(B160))),"QTD NAO NUMERICA",IF(AND(ISNUMBER(B160),B160&lt;0),"NEGATIVO NAO PERMITIDO",IF(NOT(ISNUMBER(C160)),"POSICAO CONTRATUAL INDISPONIVEL",IF(OR(AND(posicao_contratual!$Y160&lt;&gt;"",posicao_contratual!$Y160&gt;IFERROR(VALUE(MID($I$4,2,1)),-1)),AND(posicao_contratual!$Z160,ISNUMBER(C160),C160&lt;=0)),"ITEM POSTERIOR A REFERENCIA",IF(D160="","REMANESCENTE DE REFERENCIA INDISPONIVEL",IF(AND(ISNUMBER(D160),ISNUMBER(C160),D160&gt;C160),"REMANESCENTE DE REFERENCIA SUPERA POSICAO CONTRATUAL","OK")))))))))</f>
        <v/>
      </c>
      <c r="K160" s="179" t="str">
        <f>IF(A160="","",itens_Remanesc!C160)</f>
        <v/>
      </c>
      <c r="L160" s="179" t="str">
        <f>IF(A160="","",IF($I$4="C0",posicao_contratual!G160,IF($I$4="C1",posicao_contratual!K160,IF($I$4="C2",posicao_contratual!O160,IF($I$4="C3",posicao_contratual!S160,IF($I$4="C4",posicao_contratual!W160,""))))))</f>
        <v/>
      </c>
      <c r="M160" s="179" t="str">
        <f ca="1">IF(OR(A160="",$I$5="",$I$6=""),"",ROUND(SUMIFS(aditivos!$L$2:$L$200,aditivos!$A$2:$A$200,A160,aditivos!$B$2:$B$200,"&gt;"&amp;$I$6,aditivos!$B$2:$B$200,"&lt;="&amp;$I$5),2))</f>
        <v/>
      </c>
      <c r="N160" s="179" t="str">
        <f t="shared" si="17"/>
        <v/>
      </c>
      <c r="O160" s="179" t="str">
        <f ca="1">IF(OR(A160="",D160="",NOT(ISNUMBER(IF($I$4="C0",historico_VU!C160,IF($I$4="C1",historico_VU!D160,IF($I$4="C2",historico_VU!E160,IF($I$4="C3",historico_VU!F160,IF($I$4="C4",historico_VU!G160,"")))))))),"",ROUND(D160*IF($I$4="C0",historico_VU!C160,IF($I$4="C1",historico_VU!D160,IF($I$4="C2",historico_VU!E160,IF($I$4="C3",historico_VU!F160,IF($I$4="C4",historico_VU!G160,""))))),2))</f>
        <v/>
      </c>
      <c r="P160" s="179" t="str">
        <f ca="1">IF(OR(A160="",N160="",NOT(ISNUMBER(IF($I$4="C0",historico_VU!C160,IF($I$4="C1",historico_VU!D160,IF($I$4="C2",historico_VU!E160,IF($I$4="C3",historico_VU!F160,IF($I$4="C4",historico_VU!G160,"")))))))),"",ROUND(N160*IF($I$4="C0",historico_VU!C160,IF($I$4="C1",historico_VU!D160,IF($I$4="C2",historico_VU!E160,IF($I$4="C3",historico_VU!F160,IF($I$4="C4",historico_VU!G160,""))))),2))</f>
        <v/>
      </c>
      <c r="Q160" s="179" t="str">
        <f t="shared" si="18"/>
        <v/>
      </c>
      <c r="R160" s="179" t="str">
        <f ca="1">IF(OR(A160="",L160="",NOT(ISNUMBER(IF($I$4="C0",historico_VU!C160,IF($I$4="C1",historico_VU!D160,IF($I$4="C2",historico_VU!E160,IF($I$4="C3",historico_VU!F160,IF($I$4="C4",historico_VU!G160,"")))))))),"",ROUND(L160*IF($I$4="C0",historico_VU!C160,IF($I$4="C1",historico_VU!D160,IF($I$4="C2",historico_VU!E160,IF($I$4="C3",historico_VU!F160,IF($I$4="C4",historico_VU!G160,""))))),2))</f>
        <v/>
      </c>
    </row>
    <row r="161" spans="1:18" x14ac:dyDescent="0.35">
      <c r="A161" s="81" t="str">
        <f>IF(itens_Remanesc!A161="","",itens_Remanesc!A161)</f>
        <v/>
      </c>
      <c r="B161" s="217" t="str">
        <f t="shared" ca="1" si="19"/>
        <v/>
      </c>
      <c r="C161" s="218" t="str">
        <f>IF(A161="","",IF($I$5="","POSICAO DE REFERENCIA INDISPONIVEL",ROUND(IF(itens_Remanesc!B161="",0,itens_Remanesc!B161)+SUMIFS(aditivos!$L$2:$L$200,aditivos!$A$2:$A$200,A161,aditivos!$B$2:$B$200,"&lt;="&amp;$I$5),2)))</f>
        <v/>
      </c>
      <c r="D161" s="218" t="str">
        <f>IF(A161="","",IF($I$4="","",IF($I$2,IF(ISNUMBER(B161),B161,""),IF($I$4="C0",posicao_contratual!G161,IF($I$4="C1",posicao_contratual!K161,IF($I$4="C2",posicao_contratual!O161,IF($I$4="C3",posicao_contratual!S161,IF($I$4="C4",posicao_contratual!W161,""))))))))</f>
        <v/>
      </c>
      <c r="E161" s="219" t="str">
        <f t="shared" si="16"/>
        <v/>
      </c>
      <c r="F161" s="81" t="str">
        <f>IF(A161="","",IF(COUNTIF($A$2:$A$200,A161)&gt;1,"ITEM DUPLICADO",IF($I$4="","POSICAO DE REFERENCIA INDISPONIVEL",IF(AND(B161&lt;&gt;"",NOT(ISNUMBER(B161))),"QTD NAO NUMERICA",IF(AND(ISNUMBER(B161),B161&lt;0),"NEGATIVO NAO PERMITIDO",IF(NOT(ISNUMBER(C161)),"POSICAO CONTRATUAL INDISPONIVEL",IF(OR(AND(posicao_contratual!$Y161&lt;&gt;"",posicao_contratual!$Y161&gt;IFERROR(VALUE(MID($I$4,2,1)),-1)),AND(posicao_contratual!$Z161,ISNUMBER(C161),C161&lt;=0)),"ITEM POSTERIOR A REFERENCIA",IF(D161="","REMANESCENTE DE REFERENCIA INDISPONIVEL",IF(AND(ISNUMBER(D161),ISNUMBER(C161),D161&gt;C161),"REMANESCENTE DE REFERENCIA SUPERA POSICAO CONTRATUAL","OK")))))))))</f>
        <v/>
      </c>
      <c r="K161" s="179" t="str">
        <f>IF(A161="","",itens_Remanesc!C161)</f>
        <v/>
      </c>
      <c r="L161" s="179" t="str">
        <f>IF(A161="","",IF($I$4="C0",posicao_contratual!G161,IF($I$4="C1",posicao_contratual!K161,IF($I$4="C2",posicao_contratual!O161,IF($I$4="C3",posicao_contratual!S161,IF($I$4="C4",posicao_contratual!W161,""))))))</f>
        <v/>
      </c>
      <c r="M161" s="179" t="str">
        <f ca="1">IF(OR(A161="",$I$5="",$I$6=""),"",ROUND(SUMIFS(aditivos!$L$2:$L$200,aditivos!$A$2:$A$200,A161,aditivos!$B$2:$B$200,"&gt;"&amp;$I$6,aditivos!$B$2:$B$200,"&lt;="&amp;$I$5),2))</f>
        <v/>
      </c>
      <c r="N161" s="179" t="str">
        <f t="shared" si="17"/>
        <v/>
      </c>
      <c r="O161" s="179" t="str">
        <f ca="1">IF(OR(A161="",D161="",NOT(ISNUMBER(IF($I$4="C0",historico_VU!C161,IF($I$4="C1",historico_VU!D161,IF($I$4="C2",historico_VU!E161,IF($I$4="C3",historico_VU!F161,IF($I$4="C4",historico_VU!G161,"")))))))),"",ROUND(D161*IF($I$4="C0",historico_VU!C161,IF($I$4="C1",historico_VU!D161,IF($I$4="C2",historico_VU!E161,IF($I$4="C3",historico_VU!F161,IF($I$4="C4",historico_VU!G161,""))))),2))</f>
        <v/>
      </c>
      <c r="P161" s="179" t="str">
        <f ca="1">IF(OR(A161="",N161="",NOT(ISNUMBER(IF($I$4="C0",historico_VU!C161,IF($I$4="C1",historico_VU!D161,IF($I$4="C2",historico_VU!E161,IF($I$4="C3",historico_VU!F161,IF($I$4="C4",historico_VU!G161,"")))))))),"",ROUND(N161*IF($I$4="C0",historico_VU!C161,IF($I$4="C1",historico_VU!D161,IF($I$4="C2",historico_VU!E161,IF($I$4="C3",historico_VU!F161,IF($I$4="C4",historico_VU!G161,""))))),2))</f>
        <v/>
      </c>
      <c r="Q161" s="179" t="str">
        <f t="shared" si="18"/>
        <v/>
      </c>
      <c r="R161" s="179" t="str">
        <f ca="1">IF(OR(A161="",L161="",NOT(ISNUMBER(IF($I$4="C0",historico_VU!C161,IF($I$4="C1",historico_VU!D161,IF($I$4="C2",historico_VU!E161,IF($I$4="C3",historico_VU!F161,IF($I$4="C4",historico_VU!G161,"")))))))),"",ROUND(L161*IF($I$4="C0",historico_VU!C161,IF($I$4="C1",historico_VU!D161,IF($I$4="C2",historico_VU!E161,IF($I$4="C3",historico_VU!F161,IF($I$4="C4",historico_VU!G161,""))))),2))</f>
        <v/>
      </c>
    </row>
    <row r="162" spans="1:18" x14ac:dyDescent="0.35">
      <c r="A162" s="81" t="str">
        <f>IF(itens_Remanesc!A162="","",itens_Remanesc!A162)</f>
        <v/>
      </c>
      <c r="B162" s="217" t="str">
        <f t="shared" ca="1" si="19"/>
        <v/>
      </c>
      <c r="C162" s="218" t="str">
        <f>IF(A162="","",IF($I$5="","POSICAO DE REFERENCIA INDISPONIVEL",ROUND(IF(itens_Remanesc!B162="",0,itens_Remanesc!B162)+SUMIFS(aditivos!$L$2:$L$200,aditivos!$A$2:$A$200,A162,aditivos!$B$2:$B$200,"&lt;="&amp;$I$5),2)))</f>
        <v/>
      </c>
      <c r="D162" s="218" t="str">
        <f>IF(A162="","",IF($I$4="","",IF($I$2,IF(ISNUMBER(B162),B162,""),IF($I$4="C0",posicao_contratual!G162,IF($I$4="C1",posicao_contratual!K162,IF($I$4="C2",posicao_contratual!O162,IF($I$4="C3",posicao_contratual!S162,IF($I$4="C4",posicao_contratual!W162,""))))))))</f>
        <v/>
      </c>
      <c r="E162" s="219" t="str">
        <f t="shared" ref="E162:E193" si="20">IF(A162="","",IF($I$4="","POSICAO DE REFERENCIA INDISPONIVEL",IF($I$2,"POSICAO FISICA (CICLO_EM_EXECUCAO)",IF(ISNUMBER(B162),"POSICAO FISICA NAO UTILIZAVEL - FOTOGRAFIA "&amp;$I$4,"FOTOGRAFIA "&amp;$I$4))))</f>
        <v/>
      </c>
      <c r="F162" s="81" t="str">
        <f>IF(A162="","",IF(COUNTIF($A$2:$A$200,A162)&gt;1,"ITEM DUPLICADO",IF($I$4="","POSICAO DE REFERENCIA INDISPONIVEL",IF(AND(B162&lt;&gt;"",NOT(ISNUMBER(B162))),"QTD NAO NUMERICA",IF(AND(ISNUMBER(B162),B162&lt;0),"NEGATIVO NAO PERMITIDO",IF(NOT(ISNUMBER(C162)),"POSICAO CONTRATUAL INDISPONIVEL",IF(OR(AND(posicao_contratual!$Y162&lt;&gt;"",posicao_contratual!$Y162&gt;IFERROR(VALUE(MID($I$4,2,1)),-1)),AND(posicao_contratual!$Z162,ISNUMBER(C162),C162&lt;=0)),"ITEM POSTERIOR A REFERENCIA",IF(D162="","REMANESCENTE DE REFERENCIA INDISPONIVEL",IF(AND(ISNUMBER(D162),ISNUMBER(C162),D162&gt;C162),"REMANESCENTE DE REFERENCIA SUPERA POSICAO CONTRATUAL","OK")))))))))</f>
        <v/>
      </c>
      <c r="K162" s="179" t="str">
        <f>IF(A162="","",itens_Remanesc!C162)</f>
        <v/>
      </c>
      <c r="L162" s="179" t="str">
        <f>IF(A162="","",IF($I$4="C0",posicao_contratual!G162,IF($I$4="C1",posicao_contratual!K162,IF($I$4="C2",posicao_contratual!O162,IF($I$4="C3",posicao_contratual!S162,IF($I$4="C4",posicao_contratual!W162,""))))))</f>
        <v/>
      </c>
      <c r="M162" s="179" t="str">
        <f ca="1">IF(OR(A162="",$I$5="",$I$6=""),"",ROUND(SUMIFS(aditivos!$L$2:$L$200,aditivos!$A$2:$A$200,A162,aditivos!$B$2:$B$200,"&gt;"&amp;$I$6,aditivos!$B$2:$B$200,"&lt;="&amp;$I$5),2))</f>
        <v/>
      </c>
      <c r="N162" s="179" t="str">
        <f t="shared" ref="N162:N193" si="21">IF(OR(A162="",L162="",D162=""),"",ROUND(MAX(L162+IF(ISNUMBER(M162),M162,0)-D162,0),2))</f>
        <v/>
      </c>
      <c r="O162" s="179" t="str">
        <f ca="1">IF(OR(A162="",D162="",NOT(ISNUMBER(IF($I$4="C0",historico_VU!C162,IF($I$4="C1",historico_VU!D162,IF($I$4="C2",historico_VU!E162,IF($I$4="C3",historico_VU!F162,IF($I$4="C4",historico_VU!G162,"")))))))),"",ROUND(D162*IF($I$4="C0",historico_VU!C162,IF($I$4="C1",historico_VU!D162,IF($I$4="C2",historico_VU!E162,IF($I$4="C3",historico_VU!F162,IF($I$4="C4",historico_VU!G162,""))))),2))</f>
        <v/>
      </c>
      <c r="P162" s="179" t="str">
        <f ca="1">IF(OR(A162="",N162="",NOT(ISNUMBER(IF($I$4="C0",historico_VU!C162,IF($I$4="C1",historico_VU!D162,IF($I$4="C2",historico_VU!E162,IF($I$4="C3",historico_VU!F162,IF($I$4="C4",historico_VU!G162,"")))))))),"",ROUND(N162*IF($I$4="C0",historico_VU!C162,IF($I$4="C1",historico_VU!D162,IF($I$4="C2",historico_VU!E162,IF($I$4="C3",historico_VU!F162,IF($I$4="C4",historico_VU!G162,""))))),2))</f>
        <v/>
      </c>
      <c r="Q162" s="179" t="str">
        <f t="shared" ref="Q162:Q193" si="22">IF(OR(A162="",D162="",K162=""),"",ROUND(D162*K162,2))</f>
        <v/>
      </c>
      <c r="R162" s="179" t="str">
        <f ca="1">IF(OR(A162="",L162="",NOT(ISNUMBER(IF($I$4="C0",historico_VU!C162,IF($I$4="C1",historico_VU!D162,IF($I$4="C2",historico_VU!E162,IF($I$4="C3",historico_VU!F162,IF($I$4="C4",historico_VU!G162,"")))))))),"",ROUND(L162*IF($I$4="C0",historico_VU!C162,IF($I$4="C1",historico_VU!D162,IF($I$4="C2",historico_VU!E162,IF($I$4="C3",historico_VU!F162,IF($I$4="C4",historico_VU!G162,""))))),2))</f>
        <v/>
      </c>
    </row>
    <row r="163" spans="1:18" x14ac:dyDescent="0.35">
      <c r="A163" s="81" t="str">
        <f>IF(itens_Remanesc!A163="","",itens_Remanesc!A163)</f>
        <v/>
      </c>
      <c r="B163" s="217" t="str">
        <f t="shared" ca="1" si="19"/>
        <v/>
      </c>
      <c r="C163" s="218" t="str">
        <f>IF(A163="","",IF($I$5="","POSICAO DE REFERENCIA INDISPONIVEL",ROUND(IF(itens_Remanesc!B163="",0,itens_Remanesc!B163)+SUMIFS(aditivos!$L$2:$L$200,aditivos!$A$2:$A$200,A163,aditivos!$B$2:$B$200,"&lt;="&amp;$I$5),2)))</f>
        <v/>
      </c>
      <c r="D163" s="218" t="str">
        <f>IF(A163="","",IF($I$4="","",IF($I$2,IF(ISNUMBER(B163),B163,""),IF($I$4="C0",posicao_contratual!G163,IF($I$4="C1",posicao_contratual!K163,IF($I$4="C2",posicao_contratual!O163,IF($I$4="C3",posicao_contratual!S163,IF($I$4="C4",posicao_contratual!W163,""))))))))</f>
        <v/>
      </c>
      <c r="E163" s="219" t="str">
        <f t="shared" si="20"/>
        <v/>
      </c>
      <c r="F163" s="81" t="str">
        <f>IF(A163="","",IF(COUNTIF($A$2:$A$200,A163)&gt;1,"ITEM DUPLICADO",IF($I$4="","POSICAO DE REFERENCIA INDISPONIVEL",IF(AND(B163&lt;&gt;"",NOT(ISNUMBER(B163))),"QTD NAO NUMERICA",IF(AND(ISNUMBER(B163),B163&lt;0),"NEGATIVO NAO PERMITIDO",IF(NOT(ISNUMBER(C163)),"POSICAO CONTRATUAL INDISPONIVEL",IF(OR(AND(posicao_contratual!$Y163&lt;&gt;"",posicao_contratual!$Y163&gt;IFERROR(VALUE(MID($I$4,2,1)),-1)),AND(posicao_contratual!$Z163,ISNUMBER(C163),C163&lt;=0)),"ITEM POSTERIOR A REFERENCIA",IF(D163="","REMANESCENTE DE REFERENCIA INDISPONIVEL",IF(AND(ISNUMBER(D163),ISNUMBER(C163),D163&gt;C163),"REMANESCENTE DE REFERENCIA SUPERA POSICAO CONTRATUAL","OK")))))))))</f>
        <v/>
      </c>
      <c r="K163" s="179" t="str">
        <f>IF(A163="","",itens_Remanesc!C163)</f>
        <v/>
      </c>
      <c r="L163" s="179" t="str">
        <f>IF(A163="","",IF($I$4="C0",posicao_contratual!G163,IF($I$4="C1",posicao_contratual!K163,IF($I$4="C2",posicao_contratual!O163,IF($I$4="C3",posicao_contratual!S163,IF($I$4="C4",posicao_contratual!W163,""))))))</f>
        <v/>
      </c>
      <c r="M163" s="179" t="str">
        <f ca="1">IF(OR(A163="",$I$5="",$I$6=""),"",ROUND(SUMIFS(aditivos!$L$2:$L$200,aditivos!$A$2:$A$200,A163,aditivos!$B$2:$B$200,"&gt;"&amp;$I$6,aditivos!$B$2:$B$200,"&lt;="&amp;$I$5),2))</f>
        <v/>
      </c>
      <c r="N163" s="179" t="str">
        <f t="shared" si="21"/>
        <v/>
      </c>
      <c r="O163" s="179" t="str">
        <f ca="1">IF(OR(A163="",D163="",NOT(ISNUMBER(IF($I$4="C0",historico_VU!C163,IF($I$4="C1",historico_VU!D163,IF($I$4="C2",historico_VU!E163,IF($I$4="C3",historico_VU!F163,IF($I$4="C4",historico_VU!G163,"")))))))),"",ROUND(D163*IF($I$4="C0",historico_VU!C163,IF($I$4="C1",historico_VU!D163,IF($I$4="C2",historico_VU!E163,IF($I$4="C3",historico_VU!F163,IF($I$4="C4",historico_VU!G163,""))))),2))</f>
        <v/>
      </c>
      <c r="P163" s="179" t="str">
        <f ca="1">IF(OR(A163="",N163="",NOT(ISNUMBER(IF($I$4="C0",historico_VU!C163,IF($I$4="C1",historico_VU!D163,IF($I$4="C2",historico_VU!E163,IF($I$4="C3",historico_VU!F163,IF($I$4="C4",historico_VU!G163,"")))))))),"",ROUND(N163*IF($I$4="C0",historico_VU!C163,IF($I$4="C1",historico_VU!D163,IF($I$4="C2",historico_VU!E163,IF($I$4="C3",historico_VU!F163,IF($I$4="C4",historico_VU!G163,""))))),2))</f>
        <v/>
      </c>
      <c r="Q163" s="179" t="str">
        <f t="shared" si="22"/>
        <v/>
      </c>
      <c r="R163" s="179" t="str">
        <f ca="1">IF(OR(A163="",L163="",NOT(ISNUMBER(IF($I$4="C0",historico_VU!C163,IF($I$4="C1",historico_VU!D163,IF($I$4="C2",historico_VU!E163,IF($I$4="C3",historico_VU!F163,IF($I$4="C4",historico_VU!G163,"")))))))),"",ROUND(L163*IF($I$4="C0",historico_VU!C163,IF($I$4="C1",historico_VU!D163,IF($I$4="C2",historico_VU!E163,IF($I$4="C3",historico_VU!F163,IF($I$4="C4",historico_VU!G163,""))))),2))</f>
        <v/>
      </c>
    </row>
    <row r="164" spans="1:18" x14ac:dyDescent="0.35">
      <c r="A164" s="81" t="str">
        <f>IF(itens_Remanesc!A164="","",itens_Remanesc!A164)</f>
        <v/>
      </c>
      <c r="B164" s="217" t="str">
        <f t="shared" ca="1" si="19"/>
        <v/>
      </c>
      <c r="C164" s="218" t="str">
        <f>IF(A164="","",IF($I$5="","POSICAO DE REFERENCIA INDISPONIVEL",ROUND(IF(itens_Remanesc!B164="",0,itens_Remanesc!B164)+SUMIFS(aditivos!$L$2:$L$200,aditivos!$A$2:$A$200,A164,aditivos!$B$2:$B$200,"&lt;="&amp;$I$5),2)))</f>
        <v/>
      </c>
      <c r="D164" s="218" t="str">
        <f>IF(A164="","",IF($I$4="","",IF($I$2,IF(ISNUMBER(B164),B164,""),IF($I$4="C0",posicao_contratual!G164,IF($I$4="C1",posicao_contratual!K164,IF($I$4="C2",posicao_contratual!O164,IF($I$4="C3",posicao_contratual!S164,IF($I$4="C4",posicao_contratual!W164,""))))))))</f>
        <v/>
      </c>
      <c r="E164" s="219" t="str">
        <f t="shared" si="20"/>
        <v/>
      </c>
      <c r="F164" s="81" t="str">
        <f>IF(A164="","",IF(COUNTIF($A$2:$A$200,A164)&gt;1,"ITEM DUPLICADO",IF($I$4="","POSICAO DE REFERENCIA INDISPONIVEL",IF(AND(B164&lt;&gt;"",NOT(ISNUMBER(B164))),"QTD NAO NUMERICA",IF(AND(ISNUMBER(B164),B164&lt;0),"NEGATIVO NAO PERMITIDO",IF(NOT(ISNUMBER(C164)),"POSICAO CONTRATUAL INDISPONIVEL",IF(OR(AND(posicao_contratual!$Y164&lt;&gt;"",posicao_contratual!$Y164&gt;IFERROR(VALUE(MID($I$4,2,1)),-1)),AND(posicao_contratual!$Z164,ISNUMBER(C164),C164&lt;=0)),"ITEM POSTERIOR A REFERENCIA",IF(D164="","REMANESCENTE DE REFERENCIA INDISPONIVEL",IF(AND(ISNUMBER(D164),ISNUMBER(C164),D164&gt;C164),"REMANESCENTE DE REFERENCIA SUPERA POSICAO CONTRATUAL","OK")))))))))</f>
        <v/>
      </c>
      <c r="K164" s="179" t="str">
        <f>IF(A164="","",itens_Remanesc!C164)</f>
        <v/>
      </c>
      <c r="L164" s="179" t="str">
        <f>IF(A164="","",IF($I$4="C0",posicao_contratual!G164,IF($I$4="C1",posicao_contratual!K164,IF($I$4="C2",posicao_contratual!O164,IF($I$4="C3",posicao_contratual!S164,IF($I$4="C4",posicao_contratual!W164,""))))))</f>
        <v/>
      </c>
      <c r="M164" s="179" t="str">
        <f ca="1">IF(OR(A164="",$I$5="",$I$6=""),"",ROUND(SUMIFS(aditivos!$L$2:$L$200,aditivos!$A$2:$A$200,A164,aditivos!$B$2:$B$200,"&gt;"&amp;$I$6,aditivos!$B$2:$B$200,"&lt;="&amp;$I$5),2))</f>
        <v/>
      </c>
      <c r="N164" s="179" t="str">
        <f t="shared" si="21"/>
        <v/>
      </c>
      <c r="O164" s="179" t="str">
        <f ca="1">IF(OR(A164="",D164="",NOT(ISNUMBER(IF($I$4="C0",historico_VU!C164,IF($I$4="C1",historico_VU!D164,IF($I$4="C2",historico_VU!E164,IF($I$4="C3",historico_VU!F164,IF($I$4="C4",historico_VU!G164,"")))))))),"",ROUND(D164*IF($I$4="C0",historico_VU!C164,IF($I$4="C1",historico_VU!D164,IF($I$4="C2",historico_VU!E164,IF($I$4="C3",historico_VU!F164,IF($I$4="C4",historico_VU!G164,""))))),2))</f>
        <v/>
      </c>
      <c r="P164" s="179" t="str">
        <f ca="1">IF(OR(A164="",N164="",NOT(ISNUMBER(IF($I$4="C0",historico_VU!C164,IF($I$4="C1",historico_VU!D164,IF($I$4="C2",historico_VU!E164,IF($I$4="C3",historico_VU!F164,IF($I$4="C4",historico_VU!G164,"")))))))),"",ROUND(N164*IF($I$4="C0",historico_VU!C164,IF($I$4="C1",historico_VU!D164,IF($I$4="C2",historico_VU!E164,IF($I$4="C3",historico_VU!F164,IF($I$4="C4",historico_VU!G164,""))))),2))</f>
        <v/>
      </c>
      <c r="Q164" s="179" t="str">
        <f t="shared" si="22"/>
        <v/>
      </c>
      <c r="R164" s="179" t="str">
        <f ca="1">IF(OR(A164="",L164="",NOT(ISNUMBER(IF($I$4="C0",historico_VU!C164,IF($I$4="C1",historico_VU!D164,IF($I$4="C2",historico_VU!E164,IF($I$4="C3",historico_VU!F164,IF($I$4="C4",historico_VU!G164,"")))))))),"",ROUND(L164*IF($I$4="C0",historico_VU!C164,IF($I$4="C1",historico_VU!D164,IF($I$4="C2",historico_VU!E164,IF($I$4="C3",historico_VU!F164,IF($I$4="C4",historico_VU!G164,""))))),2))</f>
        <v/>
      </c>
    </row>
    <row r="165" spans="1:18" x14ac:dyDescent="0.35">
      <c r="A165" s="81" t="str">
        <f>IF(itens_Remanesc!A165="","",itens_Remanesc!A165)</f>
        <v/>
      </c>
      <c r="B165" s="217" t="str">
        <f t="shared" ref="B165:B200" ca="1" si="23">IF($A165="","",IF(NOT($I$2),"",IFERROR(IF(INDEX(INDIRECT("CICLO_EM_EXECUCAO!$C$13:$C$211"),MATCH($A165,INDIRECT("CICLO_EM_EXECUCAO!$A$13:$A$211"),0))="","",INDEX(INDIRECT("CICLO_EM_EXECUCAO!$C$13:$C$211"),MATCH($A165,INDIRECT("CICLO_EM_EXECUCAO!$A$13:$A$211"),0))),"")))</f>
        <v/>
      </c>
      <c r="C165" s="218" t="str">
        <f>IF(A165="","",IF($I$5="","POSICAO DE REFERENCIA INDISPONIVEL",ROUND(IF(itens_Remanesc!B165="",0,itens_Remanesc!B165)+SUMIFS(aditivos!$L$2:$L$200,aditivos!$A$2:$A$200,A165,aditivos!$B$2:$B$200,"&lt;="&amp;$I$5),2)))</f>
        <v/>
      </c>
      <c r="D165" s="218" t="str">
        <f>IF(A165="","",IF($I$4="","",IF($I$2,IF(ISNUMBER(B165),B165,""),IF($I$4="C0",posicao_contratual!G165,IF($I$4="C1",posicao_contratual!K165,IF($I$4="C2",posicao_contratual!O165,IF($I$4="C3",posicao_contratual!S165,IF($I$4="C4",posicao_contratual!W165,""))))))))</f>
        <v/>
      </c>
      <c r="E165" s="219" t="str">
        <f t="shared" si="20"/>
        <v/>
      </c>
      <c r="F165" s="81" t="str">
        <f>IF(A165="","",IF(COUNTIF($A$2:$A$200,A165)&gt;1,"ITEM DUPLICADO",IF($I$4="","POSICAO DE REFERENCIA INDISPONIVEL",IF(AND(B165&lt;&gt;"",NOT(ISNUMBER(B165))),"QTD NAO NUMERICA",IF(AND(ISNUMBER(B165),B165&lt;0),"NEGATIVO NAO PERMITIDO",IF(NOT(ISNUMBER(C165)),"POSICAO CONTRATUAL INDISPONIVEL",IF(OR(AND(posicao_contratual!$Y165&lt;&gt;"",posicao_contratual!$Y165&gt;IFERROR(VALUE(MID($I$4,2,1)),-1)),AND(posicao_contratual!$Z165,ISNUMBER(C165),C165&lt;=0)),"ITEM POSTERIOR A REFERENCIA",IF(D165="","REMANESCENTE DE REFERENCIA INDISPONIVEL",IF(AND(ISNUMBER(D165),ISNUMBER(C165),D165&gt;C165),"REMANESCENTE DE REFERENCIA SUPERA POSICAO CONTRATUAL","OK")))))))))</f>
        <v/>
      </c>
      <c r="K165" s="179" t="str">
        <f>IF(A165="","",itens_Remanesc!C165)</f>
        <v/>
      </c>
      <c r="L165" s="179" t="str">
        <f>IF(A165="","",IF($I$4="C0",posicao_contratual!G165,IF($I$4="C1",posicao_contratual!K165,IF($I$4="C2",posicao_contratual!O165,IF($I$4="C3",posicao_contratual!S165,IF($I$4="C4",posicao_contratual!W165,""))))))</f>
        <v/>
      </c>
      <c r="M165" s="179" t="str">
        <f ca="1">IF(OR(A165="",$I$5="",$I$6=""),"",ROUND(SUMIFS(aditivos!$L$2:$L$200,aditivos!$A$2:$A$200,A165,aditivos!$B$2:$B$200,"&gt;"&amp;$I$6,aditivos!$B$2:$B$200,"&lt;="&amp;$I$5),2))</f>
        <v/>
      </c>
      <c r="N165" s="179" t="str">
        <f t="shared" si="21"/>
        <v/>
      </c>
      <c r="O165" s="179" t="str">
        <f ca="1">IF(OR(A165="",D165="",NOT(ISNUMBER(IF($I$4="C0",historico_VU!C165,IF($I$4="C1",historico_VU!D165,IF($I$4="C2",historico_VU!E165,IF($I$4="C3",historico_VU!F165,IF($I$4="C4",historico_VU!G165,"")))))))),"",ROUND(D165*IF($I$4="C0",historico_VU!C165,IF($I$4="C1",historico_VU!D165,IF($I$4="C2",historico_VU!E165,IF($I$4="C3",historico_VU!F165,IF($I$4="C4",historico_VU!G165,""))))),2))</f>
        <v/>
      </c>
      <c r="P165" s="179" t="str">
        <f ca="1">IF(OR(A165="",N165="",NOT(ISNUMBER(IF($I$4="C0",historico_VU!C165,IF($I$4="C1",historico_VU!D165,IF($I$4="C2",historico_VU!E165,IF($I$4="C3",historico_VU!F165,IF($I$4="C4",historico_VU!G165,"")))))))),"",ROUND(N165*IF($I$4="C0",historico_VU!C165,IF($I$4="C1",historico_VU!D165,IF($I$4="C2",historico_VU!E165,IF($I$4="C3",historico_VU!F165,IF($I$4="C4",historico_VU!G165,""))))),2))</f>
        <v/>
      </c>
      <c r="Q165" s="179" t="str">
        <f t="shared" si="22"/>
        <v/>
      </c>
      <c r="R165" s="179" t="str">
        <f ca="1">IF(OR(A165="",L165="",NOT(ISNUMBER(IF($I$4="C0",historico_VU!C165,IF($I$4="C1",historico_VU!D165,IF($I$4="C2",historico_VU!E165,IF($I$4="C3",historico_VU!F165,IF($I$4="C4",historico_VU!G165,"")))))))),"",ROUND(L165*IF($I$4="C0",historico_VU!C165,IF($I$4="C1",historico_VU!D165,IF($I$4="C2",historico_VU!E165,IF($I$4="C3",historico_VU!F165,IF($I$4="C4",historico_VU!G165,""))))),2))</f>
        <v/>
      </c>
    </row>
    <row r="166" spans="1:18" x14ac:dyDescent="0.35">
      <c r="A166" s="81" t="str">
        <f>IF(itens_Remanesc!A166="","",itens_Remanesc!A166)</f>
        <v/>
      </c>
      <c r="B166" s="217" t="str">
        <f t="shared" ca="1" si="23"/>
        <v/>
      </c>
      <c r="C166" s="218" t="str">
        <f>IF(A166="","",IF($I$5="","POSICAO DE REFERENCIA INDISPONIVEL",ROUND(IF(itens_Remanesc!B166="",0,itens_Remanesc!B166)+SUMIFS(aditivos!$L$2:$L$200,aditivos!$A$2:$A$200,A166,aditivos!$B$2:$B$200,"&lt;="&amp;$I$5),2)))</f>
        <v/>
      </c>
      <c r="D166" s="218" t="str">
        <f>IF(A166="","",IF($I$4="","",IF($I$2,IF(ISNUMBER(B166),B166,""),IF($I$4="C0",posicao_contratual!G166,IF($I$4="C1",posicao_contratual!K166,IF($I$4="C2",posicao_contratual!O166,IF($I$4="C3",posicao_contratual!S166,IF($I$4="C4",posicao_contratual!W166,""))))))))</f>
        <v/>
      </c>
      <c r="E166" s="219" t="str">
        <f t="shared" si="20"/>
        <v/>
      </c>
      <c r="F166" s="81" t="str">
        <f>IF(A166="","",IF(COUNTIF($A$2:$A$200,A166)&gt;1,"ITEM DUPLICADO",IF($I$4="","POSICAO DE REFERENCIA INDISPONIVEL",IF(AND(B166&lt;&gt;"",NOT(ISNUMBER(B166))),"QTD NAO NUMERICA",IF(AND(ISNUMBER(B166),B166&lt;0),"NEGATIVO NAO PERMITIDO",IF(NOT(ISNUMBER(C166)),"POSICAO CONTRATUAL INDISPONIVEL",IF(OR(AND(posicao_contratual!$Y166&lt;&gt;"",posicao_contratual!$Y166&gt;IFERROR(VALUE(MID($I$4,2,1)),-1)),AND(posicao_contratual!$Z166,ISNUMBER(C166),C166&lt;=0)),"ITEM POSTERIOR A REFERENCIA",IF(D166="","REMANESCENTE DE REFERENCIA INDISPONIVEL",IF(AND(ISNUMBER(D166),ISNUMBER(C166),D166&gt;C166),"REMANESCENTE DE REFERENCIA SUPERA POSICAO CONTRATUAL","OK")))))))))</f>
        <v/>
      </c>
      <c r="K166" s="179" t="str">
        <f>IF(A166="","",itens_Remanesc!C166)</f>
        <v/>
      </c>
      <c r="L166" s="179" t="str">
        <f>IF(A166="","",IF($I$4="C0",posicao_contratual!G166,IF($I$4="C1",posicao_contratual!K166,IF($I$4="C2",posicao_contratual!O166,IF($I$4="C3",posicao_contratual!S166,IF($I$4="C4",posicao_contratual!W166,""))))))</f>
        <v/>
      </c>
      <c r="M166" s="179" t="str">
        <f ca="1">IF(OR(A166="",$I$5="",$I$6=""),"",ROUND(SUMIFS(aditivos!$L$2:$L$200,aditivos!$A$2:$A$200,A166,aditivos!$B$2:$B$200,"&gt;"&amp;$I$6,aditivos!$B$2:$B$200,"&lt;="&amp;$I$5),2))</f>
        <v/>
      </c>
      <c r="N166" s="179" t="str">
        <f t="shared" si="21"/>
        <v/>
      </c>
      <c r="O166" s="179" t="str">
        <f ca="1">IF(OR(A166="",D166="",NOT(ISNUMBER(IF($I$4="C0",historico_VU!C166,IF($I$4="C1",historico_VU!D166,IF($I$4="C2",historico_VU!E166,IF($I$4="C3",historico_VU!F166,IF($I$4="C4",historico_VU!G166,"")))))))),"",ROUND(D166*IF($I$4="C0",historico_VU!C166,IF($I$4="C1",historico_VU!D166,IF($I$4="C2",historico_VU!E166,IF($I$4="C3",historico_VU!F166,IF($I$4="C4",historico_VU!G166,""))))),2))</f>
        <v/>
      </c>
      <c r="P166" s="179" t="str">
        <f ca="1">IF(OR(A166="",N166="",NOT(ISNUMBER(IF($I$4="C0",historico_VU!C166,IF($I$4="C1",historico_VU!D166,IF($I$4="C2",historico_VU!E166,IF($I$4="C3",historico_VU!F166,IF($I$4="C4",historico_VU!G166,"")))))))),"",ROUND(N166*IF($I$4="C0",historico_VU!C166,IF($I$4="C1",historico_VU!D166,IF($I$4="C2",historico_VU!E166,IF($I$4="C3",historico_VU!F166,IF($I$4="C4",historico_VU!G166,""))))),2))</f>
        <v/>
      </c>
      <c r="Q166" s="179" t="str">
        <f t="shared" si="22"/>
        <v/>
      </c>
      <c r="R166" s="179" t="str">
        <f ca="1">IF(OR(A166="",L166="",NOT(ISNUMBER(IF($I$4="C0",historico_VU!C166,IF($I$4="C1",historico_VU!D166,IF($I$4="C2",historico_VU!E166,IF($I$4="C3",historico_VU!F166,IF($I$4="C4",historico_VU!G166,"")))))))),"",ROUND(L166*IF($I$4="C0",historico_VU!C166,IF($I$4="C1",historico_VU!D166,IF($I$4="C2",historico_VU!E166,IF($I$4="C3",historico_VU!F166,IF($I$4="C4",historico_VU!G166,""))))),2))</f>
        <v/>
      </c>
    </row>
    <row r="167" spans="1:18" x14ac:dyDescent="0.35">
      <c r="A167" s="81" t="str">
        <f>IF(itens_Remanesc!A167="","",itens_Remanesc!A167)</f>
        <v/>
      </c>
      <c r="B167" s="217" t="str">
        <f t="shared" ca="1" si="23"/>
        <v/>
      </c>
      <c r="C167" s="218" t="str">
        <f>IF(A167="","",IF($I$5="","POSICAO DE REFERENCIA INDISPONIVEL",ROUND(IF(itens_Remanesc!B167="",0,itens_Remanesc!B167)+SUMIFS(aditivos!$L$2:$L$200,aditivos!$A$2:$A$200,A167,aditivos!$B$2:$B$200,"&lt;="&amp;$I$5),2)))</f>
        <v/>
      </c>
      <c r="D167" s="218" t="str">
        <f>IF(A167="","",IF($I$4="","",IF($I$2,IF(ISNUMBER(B167),B167,""),IF($I$4="C0",posicao_contratual!G167,IF($I$4="C1",posicao_contratual!K167,IF($I$4="C2",posicao_contratual!O167,IF($I$4="C3",posicao_contratual!S167,IF($I$4="C4",posicao_contratual!W167,""))))))))</f>
        <v/>
      </c>
      <c r="E167" s="219" t="str">
        <f t="shared" si="20"/>
        <v/>
      </c>
      <c r="F167" s="81" t="str">
        <f>IF(A167="","",IF(COUNTIF($A$2:$A$200,A167)&gt;1,"ITEM DUPLICADO",IF($I$4="","POSICAO DE REFERENCIA INDISPONIVEL",IF(AND(B167&lt;&gt;"",NOT(ISNUMBER(B167))),"QTD NAO NUMERICA",IF(AND(ISNUMBER(B167),B167&lt;0),"NEGATIVO NAO PERMITIDO",IF(NOT(ISNUMBER(C167)),"POSICAO CONTRATUAL INDISPONIVEL",IF(OR(AND(posicao_contratual!$Y167&lt;&gt;"",posicao_contratual!$Y167&gt;IFERROR(VALUE(MID($I$4,2,1)),-1)),AND(posicao_contratual!$Z167,ISNUMBER(C167),C167&lt;=0)),"ITEM POSTERIOR A REFERENCIA",IF(D167="","REMANESCENTE DE REFERENCIA INDISPONIVEL",IF(AND(ISNUMBER(D167),ISNUMBER(C167),D167&gt;C167),"REMANESCENTE DE REFERENCIA SUPERA POSICAO CONTRATUAL","OK")))))))))</f>
        <v/>
      </c>
      <c r="K167" s="179" t="str">
        <f>IF(A167="","",itens_Remanesc!C167)</f>
        <v/>
      </c>
      <c r="L167" s="179" t="str">
        <f>IF(A167="","",IF($I$4="C0",posicao_contratual!G167,IF($I$4="C1",posicao_contratual!K167,IF($I$4="C2",posicao_contratual!O167,IF($I$4="C3",posicao_contratual!S167,IF($I$4="C4",posicao_contratual!W167,""))))))</f>
        <v/>
      </c>
      <c r="M167" s="179" t="str">
        <f ca="1">IF(OR(A167="",$I$5="",$I$6=""),"",ROUND(SUMIFS(aditivos!$L$2:$L$200,aditivos!$A$2:$A$200,A167,aditivos!$B$2:$B$200,"&gt;"&amp;$I$6,aditivos!$B$2:$B$200,"&lt;="&amp;$I$5),2))</f>
        <v/>
      </c>
      <c r="N167" s="179" t="str">
        <f t="shared" si="21"/>
        <v/>
      </c>
      <c r="O167" s="179" t="str">
        <f ca="1">IF(OR(A167="",D167="",NOT(ISNUMBER(IF($I$4="C0",historico_VU!C167,IF($I$4="C1",historico_VU!D167,IF($I$4="C2",historico_VU!E167,IF($I$4="C3",historico_VU!F167,IF($I$4="C4",historico_VU!G167,"")))))))),"",ROUND(D167*IF($I$4="C0",historico_VU!C167,IF($I$4="C1",historico_VU!D167,IF($I$4="C2",historico_VU!E167,IF($I$4="C3",historico_VU!F167,IF($I$4="C4",historico_VU!G167,""))))),2))</f>
        <v/>
      </c>
      <c r="P167" s="179" t="str">
        <f ca="1">IF(OR(A167="",N167="",NOT(ISNUMBER(IF($I$4="C0",historico_VU!C167,IF($I$4="C1",historico_VU!D167,IF($I$4="C2",historico_VU!E167,IF($I$4="C3",historico_VU!F167,IF($I$4="C4",historico_VU!G167,"")))))))),"",ROUND(N167*IF($I$4="C0",historico_VU!C167,IF($I$4="C1",historico_VU!D167,IF($I$4="C2",historico_VU!E167,IF($I$4="C3",historico_VU!F167,IF($I$4="C4",historico_VU!G167,""))))),2))</f>
        <v/>
      </c>
      <c r="Q167" s="179" t="str">
        <f t="shared" si="22"/>
        <v/>
      </c>
      <c r="R167" s="179" t="str">
        <f ca="1">IF(OR(A167="",L167="",NOT(ISNUMBER(IF($I$4="C0",historico_VU!C167,IF($I$4="C1",historico_VU!D167,IF($I$4="C2",historico_VU!E167,IF($I$4="C3",historico_VU!F167,IF($I$4="C4",historico_VU!G167,"")))))))),"",ROUND(L167*IF($I$4="C0",historico_VU!C167,IF($I$4="C1",historico_VU!D167,IF($I$4="C2",historico_VU!E167,IF($I$4="C3",historico_VU!F167,IF($I$4="C4",historico_VU!G167,""))))),2))</f>
        <v/>
      </c>
    </row>
    <row r="168" spans="1:18" x14ac:dyDescent="0.35">
      <c r="A168" s="81" t="str">
        <f>IF(itens_Remanesc!A168="","",itens_Remanesc!A168)</f>
        <v/>
      </c>
      <c r="B168" s="217" t="str">
        <f t="shared" ca="1" si="23"/>
        <v/>
      </c>
      <c r="C168" s="218" t="str">
        <f>IF(A168="","",IF($I$5="","POSICAO DE REFERENCIA INDISPONIVEL",ROUND(IF(itens_Remanesc!B168="",0,itens_Remanesc!B168)+SUMIFS(aditivos!$L$2:$L$200,aditivos!$A$2:$A$200,A168,aditivos!$B$2:$B$200,"&lt;="&amp;$I$5),2)))</f>
        <v/>
      </c>
      <c r="D168" s="218" t="str">
        <f>IF(A168="","",IF($I$4="","",IF($I$2,IF(ISNUMBER(B168),B168,""),IF($I$4="C0",posicao_contratual!G168,IF($I$4="C1",posicao_contratual!K168,IF($I$4="C2",posicao_contratual!O168,IF($I$4="C3",posicao_contratual!S168,IF($I$4="C4",posicao_contratual!W168,""))))))))</f>
        <v/>
      </c>
      <c r="E168" s="219" t="str">
        <f t="shared" si="20"/>
        <v/>
      </c>
      <c r="F168" s="81" t="str">
        <f>IF(A168="","",IF(COUNTIF($A$2:$A$200,A168)&gt;1,"ITEM DUPLICADO",IF($I$4="","POSICAO DE REFERENCIA INDISPONIVEL",IF(AND(B168&lt;&gt;"",NOT(ISNUMBER(B168))),"QTD NAO NUMERICA",IF(AND(ISNUMBER(B168),B168&lt;0),"NEGATIVO NAO PERMITIDO",IF(NOT(ISNUMBER(C168)),"POSICAO CONTRATUAL INDISPONIVEL",IF(OR(AND(posicao_contratual!$Y168&lt;&gt;"",posicao_contratual!$Y168&gt;IFERROR(VALUE(MID($I$4,2,1)),-1)),AND(posicao_contratual!$Z168,ISNUMBER(C168),C168&lt;=0)),"ITEM POSTERIOR A REFERENCIA",IF(D168="","REMANESCENTE DE REFERENCIA INDISPONIVEL",IF(AND(ISNUMBER(D168),ISNUMBER(C168),D168&gt;C168),"REMANESCENTE DE REFERENCIA SUPERA POSICAO CONTRATUAL","OK")))))))))</f>
        <v/>
      </c>
      <c r="K168" s="179" t="str">
        <f>IF(A168="","",itens_Remanesc!C168)</f>
        <v/>
      </c>
      <c r="L168" s="179" t="str">
        <f>IF(A168="","",IF($I$4="C0",posicao_contratual!G168,IF($I$4="C1",posicao_contratual!K168,IF($I$4="C2",posicao_contratual!O168,IF($I$4="C3",posicao_contratual!S168,IF($I$4="C4",posicao_contratual!W168,""))))))</f>
        <v/>
      </c>
      <c r="M168" s="179" t="str">
        <f ca="1">IF(OR(A168="",$I$5="",$I$6=""),"",ROUND(SUMIFS(aditivos!$L$2:$L$200,aditivos!$A$2:$A$200,A168,aditivos!$B$2:$B$200,"&gt;"&amp;$I$6,aditivos!$B$2:$B$200,"&lt;="&amp;$I$5),2))</f>
        <v/>
      </c>
      <c r="N168" s="179" t="str">
        <f t="shared" si="21"/>
        <v/>
      </c>
      <c r="O168" s="179" t="str">
        <f ca="1">IF(OR(A168="",D168="",NOT(ISNUMBER(IF($I$4="C0",historico_VU!C168,IF($I$4="C1",historico_VU!D168,IF($I$4="C2",historico_VU!E168,IF($I$4="C3",historico_VU!F168,IF($I$4="C4",historico_VU!G168,"")))))))),"",ROUND(D168*IF($I$4="C0",historico_VU!C168,IF($I$4="C1",historico_VU!D168,IF($I$4="C2",historico_VU!E168,IF($I$4="C3",historico_VU!F168,IF($I$4="C4",historico_VU!G168,""))))),2))</f>
        <v/>
      </c>
      <c r="P168" s="179" t="str">
        <f ca="1">IF(OR(A168="",N168="",NOT(ISNUMBER(IF($I$4="C0",historico_VU!C168,IF($I$4="C1",historico_VU!D168,IF($I$4="C2",historico_VU!E168,IF($I$4="C3",historico_VU!F168,IF($I$4="C4",historico_VU!G168,"")))))))),"",ROUND(N168*IF($I$4="C0",historico_VU!C168,IF($I$4="C1",historico_VU!D168,IF($I$4="C2",historico_VU!E168,IF($I$4="C3",historico_VU!F168,IF($I$4="C4",historico_VU!G168,""))))),2))</f>
        <v/>
      </c>
      <c r="Q168" s="179" t="str">
        <f t="shared" si="22"/>
        <v/>
      </c>
      <c r="R168" s="179" t="str">
        <f ca="1">IF(OR(A168="",L168="",NOT(ISNUMBER(IF($I$4="C0",historico_VU!C168,IF($I$4="C1",historico_VU!D168,IF($I$4="C2",historico_VU!E168,IF($I$4="C3",historico_VU!F168,IF($I$4="C4",historico_VU!G168,"")))))))),"",ROUND(L168*IF($I$4="C0",historico_VU!C168,IF($I$4="C1",historico_VU!D168,IF($I$4="C2",historico_VU!E168,IF($I$4="C3",historico_VU!F168,IF($I$4="C4",historico_VU!G168,""))))),2))</f>
        <v/>
      </c>
    </row>
    <row r="169" spans="1:18" x14ac:dyDescent="0.35">
      <c r="A169" s="81" t="str">
        <f>IF(itens_Remanesc!A169="","",itens_Remanesc!A169)</f>
        <v/>
      </c>
      <c r="B169" s="217" t="str">
        <f t="shared" ca="1" si="23"/>
        <v/>
      </c>
      <c r="C169" s="218" t="str">
        <f>IF(A169="","",IF($I$5="","POSICAO DE REFERENCIA INDISPONIVEL",ROUND(IF(itens_Remanesc!B169="",0,itens_Remanesc!B169)+SUMIFS(aditivos!$L$2:$L$200,aditivos!$A$2:$A$200,A169,aditivos!$B$2:$B$200,"&lt;="&amp;$I$5),2)))</f>
        <v/>
      </c>
      <c r="D169" s="218" t="str">
        <f>IF(A169="","",IF($I$4="","",IF($I$2,IF(ISNUMBER(B169),B169,""),IF($I$4="C0",posicao_contratual!G169,IF($I$4="C1",posicao_contratual!K169,IF($I$4="C2",posicao_contratual!O169,IF($I$4="C3",posicao_contratual!S169,IF($I$4="C4",posicao_contratual!W169,""))))))))</f>
        <v/>
      </c>
      <c r="E169" s="219" t="str">
        <f t="shared" si="20"/>
        <v/>
      </c>
      <c r="F169" s="81" t="str">
        <f>IF(A169="","",IF(COUNTIF($A$2:$A$200,A169)&gt;1,"ITEM DUPLICADO",IF($I$4="","POSICAO DE REFERENCIA INDISPONIVEL",IF(AND(B169&lt;&gt;"",NOT(ISNUMBER(B169))),"QTD NAO NUMERICA",IF(AND(ISNUMBER(B169),B169&lt;0),"NEGATIVO NAO PERMITIDO",IF(NOT(ISNUMBER(C169)),"POSICAO CONTRATUAL INDISPONIVEL",IF(OR(AND(posicao_contratual!$Y169&lt;&gt;"",posicao_contratual!$Y169&gt;IFERROR(VALUE(MID($I$4,2,1)),-1)),AND(posicao_contratual!$Z169,ISNUMBER(C169),C169&lt;=0)),"ITEM POSTERIOR A REFERENCIA",IF(D169="","REMANESCENTE DE REFERENCIA INDISPONIVEL",IF(AND(ISNUMBER(D169),ISNUMBER(C169),D169&gt;C169),"REMANESCENTE DE REFERENCIA SUPERA POSICAO CONTRATUAL","OK")))))))))</f>
        <v/>
      </c>
      <c r="K169" s="179" t="str">
        <f>IF(A169="","",itens_Remanesc!C169)</f>
        <v/>
      </c>
      <c r="L169" s="179" t="str">
        <f>IF(A169="","",IF($I$4="C0",posicao_contratual!G169,IF($I$4="C1",posicao_contratual!K169,IF($I$4="C2",posicao_contratual!O169,IF($I$4="C3",posicao_contratual!S169,IF($I$4="C4",posicao_contratual!W169,""))))))</f>
        <v/>
      </c>
      <c r="M169" s="179" t="str">
        <f ca="1">IF(OR(A169="",$I$5="",$I$6=""),"",ROUND(SUMIFS(aditivos!$L$2:$L$200,aditivos!$A$2:$A$200,A169,aditivos!$B$2:$B$200,"&gt;"&amp;$I$6,aditivos!$B$2:$B$200,"&lt;="&amp;$I$5),2))</f>
        <v/>
      </c>
      <c r="N169" s="179" t="str">
        <f t="shared" si="21"/>
        <v/>
      </c>
      <c r="O169" s="179" t="str">
        <f ca="1">IF(OR(A169="",D169="",NOT(ISNUMBER(IF($I$4="C0",historico_VU!C169,IF($I$4="C1",historico_VU!D169,IF($I$4="C2",historico_VU!E169,IF($I$4="C3",historico_VU!F169,IF($I$4="C4",historico_VU!G169,"")))))))),"",ROUND(D169*IF($I$4="C0",historico_VU!C169,IF($I$4="C1",historico_VU!D169,IF($I$4="C2",historico_VU!E169,IF($I$4="C3",historico_VU!F169,IF($I$4="C4",historico_VU!G169,""))))),2))</f>
        <v/>
      </c>
      <c r="P169" s="179" t="str">
        <f ca="1">IF(OR(A169="",N169="",NOT(ISNUMBER(IF($I$4="C0",historico_VU!C169,IF($I$4="C1",historico_VU!D169,IF($I$4="C2",historico_VU!E169,IF($I$4="C3",historico_VU!F169,IF($I$4="C4",historico_VU!G169,"")))))))),"",ROUND(N169*IF($I$4="C0",historico_VU!C169,IF($I$4="C1",historico_VU!D169,IF($I$4="C2",historico_VU!E169,IF($I$4="C3",historico_VU!F169,IF($I$4="C4",historico_VU!G169,""))))),2))</f>
        <v/>
      </c>
      <c r="Q169" s="179" t="str">
        <f t="shared" si="22"/>
        <v/>
      </c>
      <c r="R169" s="179" t="str">
        <f ca="1">IF(OR(A169="",L169="",NOT(ISNUMBER(IF($I$4="C0",historico_VU!C169,IF($I$4="C1",historico_VU!D169,IF($I$4="C2",historico_VU!E169,IF($I$4="C3",historico_VU!F169,IF($I$4="C4",historico_VU!G169,"")))))))),"",ROUND(L169*IF($I$4="C0",historico_VU!C169,IF($I$4="C1",historico_VU!D169,IF($I$4="C2",historico_VU!E169,IF($I$4="C3",historico_VU!F169,IF($I$4="C4",historico_VU!G169,""))))),2))</f>
        <v/>
      </c>
    </row>
    <row r="170" spans="1:18" x14ac:dyDescent="0.35">
      <c r="A170" s="81" t="str">
        <f>IF(itens_Remanesc!A170="","",itens_Remanesc!A170)</f>
        <v/>
      </c>
      <c r="B170" s="217" t="str">
        <f t="shared" ca="1" si="23"/>
        <v/>
      </c>
      <c r="C170" s="218" t="str">
        <f>IF(A170="","",IF($I$5="","POSICAO DE REFERENCIA INDISPONIVEL",ROUND(IF(itens_Remanesc!B170="",0,itens_Remanesc!B170)+SUMIFS(aditivos!$L$2:$L$200,aditivos!$A$2:$A$200,A170,aditivos!$B$2:$B$200,"&lt;="&amp;$I$5),2)))</f>
        <v/>
      </c>
      <c r="D170" s="218" t="str">
        <f>IF(A170="","",IF($I$4="","",IF($I$2,IF(ISNUMBER(B170),B170,""),IF($I$4="C0",posicao_contratual!G170,IF($I$4="C1",posicao_contratual!K170,IF($I$4="C2",posicao_contratual!O170,IF($I$4="C3",posicao_contratual!S170,IF($I$4="C4",posicao_contratual!W170,""))))))))</f>
        <v/>
      </c>
      <c r="E170" s="219" t="str">
        <f t="shared" si="20"/>
        <v/>
      </c>
      <c r="F170" s="81" t="str">
        <f>IF(A170="","",IF(COUNTIF($A$2:$A$200,A170)&gt;1,"ITEM DUPLICADO",IF($I$4="","POSICAO DE REFERENCIA INDISPONIVEL",IF(AND(B170&lt;&gt;"",NOT(ISNUMBER(B170))),"QTD NAO NUMERICA",IF(AND(ISNUMBER(B170),B170&lt;0),"NEGATIVO NAO PERMITIDO",IF(NOT(ISNUMBER(C170)),"POSICAO CONTRATUAL INDISPONIVEL",IF(OR(AND(posicao_contratual!$Y170&lt;&gt;"",posicao_contratual!$Y170&gt;IFERROR(VALUE(MID($I$4,2,1)),-1)),AND(posicao_contratual!$Z170,ISNUMBER(C170),C170&lt;=0)),"ITEM POSTERIOR A REFERENCIA",IF(D170="","REMANESCENTE DE REFERENCIA INDISPONIVEL",IF(AND(ISNUMBER(D170),ISNUMBER(C170),D170&gt;C170),"REMANESCENTE DE REFERENCIA SUPERA POSICAO CONTRATUAL","OK")))))))))</f>
        <v/>
      </c>
      <c r="K170" s="179" t="str">
        <f>IF(A170="","",itens_Remanesc!C170)</f>
        <v/>
      </c>
      <c r="L170" s="179" t="str">
        <f>IF(A170="","",IF($I$4="C0",posicao_contratual!G170,IF($I$4="C1",posicao_contratual!K170,IF($I$4="C2",posicao_contratual!O170,IF($I$4="C3",posicao_contratual!S170,IF($I$4="C4",posicao_contratual!W170,""))))))</f>
        <v/>
      </c>
      <c r="M170" s="179" t="str">
        <f ca="1">IF(OR(A170="",$I$5="",$I$6=""),"",ROUND(SUMIFS(aditivos!$L$2:$L$200,aditivos!$A$2:$A$200,A170,aditivos!$B$2:$B$200,"&gt;"&amp;$I$6,aditivos!$B$2:$B$200,"&lt;="&amp;$I$5),2))</f>
        <v/>
      </c>
      <c r="N170" s="179" t="str">
        <f t="shared" si="21"/>
        <v/>
      </c>
      <c r="O170" s="179" t="str">
        <f ca="1">IF(OR(A170="",D170="",NOT(ISNUMBER(IF($I$4="C0",historico_VU!C170,IF($I$4="C1",historico_VU!D170,IF($I$4="C2",historico_VU!E170,IF($I$4="C3",historico_VU!F170,IF($I$4="C4",historico_VU!G170,"")))))))),"",ROUND(D170*IF($I$4="C0",historico_VU!C170,IF($I$4="C1",historico_VU!D170,IF($I$4="C2",historico_VU!E170,IF($I$4="C3",historico_VU!F170,IF($I$4="C4",historico_VU!G170,""))))),2))</f>
        <v/>
      </c>
      <c r="P170" s="179" t="str">
        <f ca="1">IF(OR(A170="",N170="",NOT(ISNUMBER(IF($I$4="C0",historico_VU!C170,IF($I$4="C1",historico_VU!D170,IF($I$4="C2",historico_VU!E170,IF($I$4="C3",historico_VU!F170,IF($I$4="C4",historico_VU!G170,"")))))))),"",ROUND(N170*IF($I$4="C0",historico_VU!C170,IF($I$4="C1",historico_VU!D170,IF($I$4="C2",historico_VU!E170,IF($I$4="C3",historico_VU!F170,IF($I$4="C4",historico_VU!G170,""))))),2))</f>
        <v/>
      </c>
      <c r="Q170" s="179" t="str">
        <f t="shared" si="22"/>
        <v/>
      </c>
      <c r="R170" s="179" t="str">
        <f ca="1">IF(OR(A170="",L170="",NOT(ISNUMBER(IF($I$4="C0",historico_VU!C170,IF($I$4="C1",historico_VU!D170,IF($I$4="C2",historico_VU!E170,IF($I$4="C3",historico_VU!F170,IF($I$4="C4",historico_VU!G170,"")))))))),"",ROUND(L170*IF($I$4="C0",historico_VU!C170,IF($I$4="C1",historico_VU!D170,IF($I$4="C2",historico_VU!E170,IF($I$4="C3",historico_VU!F170,IF($I$4="C4",historico_VU!G170,""))))),2))</f>
        <v/>
      </c>
    </row>
    <row r="171" spans="1:18" x14ac:dyDescent="0.35">
      <c r="A171" s="81" t="str">
        <f>IF(itens_Remanesc!A171="","",itens_Remanesc!A171)</f>
        <v/>
      </c>
      <c r="B171" s="217" t="str">
        <f t="shared" ca="1" si="23"/>
        <v/>
      </c>
      <c r="C171" s="218" t="str">
        <f>IF(A171="","",IF($I$5="","POSICAO DE REFERENCIA INDISPONIVEL",ROUND(IF(itens_Remanesc!B171="",0,itens_Remanesc!B171)+SUMIFS(aditivos!$L$2:$L$200,aditivos!$A$2:$A$200,A171,aditivos!$B$2:$B$200,"&lt;="&amp;$I$5),2)))</f>
        <v/>
      </c>
      <c r="D171" s="218" t="str">
        <f>IF(A171="","",IF($I$4="","",IF($I$2,IF(ISNUMBER(B171),B171,""),IF($I$4="C0",posicao_contratual!G171,IF($I$4="C1",posicao_contratual!K171,IF($I$4="C2",posicao_contratual!O171,IF($I$4="C3",posicao_contratual!S171,IF($I$4="C4",posicao_contratual!W171,""))))))))</f>
        <v/>
      </c>
      <c r="E171" s="219" t="str">
        <f t="shared" si="20"/>
        <v/>
      </c>
      <c r="F171" s="81" t="str">
        <f>IF(A171="","",IF(COUNTIF($A$2:$A$200,A171)&gt;1,"ITEM DUPLICADO",IF($I$4="","POSICAO DE REFERENCIA INDISPONIVEL",IF(AND(B171&lt;&gt;"",NOT(ISNUMBER(B171))),"QTD NAO NUMERICA",IF(AND(ISNUMBER(B171),B171&lt;0),"NEGATIVO NAO PERMITIDO",IF(NOT(ISNUMBER(C171)),"POSICAO CONTRATUAL INDISPONIVEL",IF(OR(AND(posicao_contratual!$Y171&lt;&gt;"",posicao_contratual!$Y171&gt;IFERROR(VALUE(MID($I$4,2,1)),-1)),AND(posicao_contratual!$Z171,ISNUMBER(C171),C171&lt;=0)),"ITEM POSTERIOR A REFERENCIA",IF(D171="","REMANESCENTE DE REFERENCIA INDISPONIVEL",IF(AND(ISNUMBER(D171),ISNUMBER(C171),D171&gt;C171),"REMANESCENTE DE REFERENCIA SUPERA POSICAO CONTRATUAL","OK")))))))))</f>
        <v/>
      </c>
      <c r="K171" s="179" t="str">
        <f>IF(A171="","",itens_Remanesc!C171)</f>
        <v/>
      </c>
      <c r="L171" s="179" t="str">
        <f>IF(A171="","",IF($I$4="C0",posicao_contratual!G171,IF($I$4="C1",posicao_contratual!K171,IF($I$4="C2",posicao_contratual!O171,IF($I$4="C3",posicao_contratual!S171,IF($I$4="C4",posicao_contratual!W171,""))))))</f>
        <v/>
      </c>
      <c r="M171" s="179" t="str">
        <f ca="1">IF(OR(A171="",$I$5="",$I$6=""),"",ROUND(SUMIFS(aditivos!$L$2:$L$200,aditivos!$A$2:$A$200,A171,aditivos!$B$2:$B$200,"&gt;"&amp;$I$6,aditivos!$B$2:$B$200,"&lt;="&amp;$I$5),2))</f>
        <v/>
      </c>
      <c r="N171" s="179" t="str">
        <f t="shared" si="21"/>
        <v/>
      </c>
      <c r="O171" s="179" t="str">
        <f ca="1">IF(OR(A171="",D171="",NOT(ISNUMBER(IF($I$4="C0",historico_VU!C171,IF($I$4="C1",historico_VU!D171,IF($I$4="C2",historico_VU!E171,IF($I$4="C3",historico_VU!F171,IF($I$4="C4",historico_VU!G171,"")))))))),"",ROUND(D171*IF($I$4="C0",historico_VU!C171,IF($I$4="C1",historico_VU!D171,IF($I$4="C2",historico_VU!E171,IF($I$4="C3",historico_VU!F171,IF($I$4="C4",historico_VU!G171,""))))),2))</f>
        <v/>
      </c>
      <c r="P171" s="179" t="str">
        <f ca="1">IF(OR(A171="",N171="",NOT(ISNUMBER(IF($I$4="C0",historico_VU!C171,IF($I$4="C1",historico_VU!D171,IF($I$4="C2",historico_VU!E171,IF($I$4="C3",historico_VU!F171,IF($I$4="C4",historico_VU!G171,"")))))))),"",ROUND(N171*IF($I$4="C0",historico_VU!C171,IF($I$4="C1",historico_VU!D171,IF($I$4="C2",historico_VU!E171,IF($I$4="C3",historico_VU!F171,IF($I$4="C4",historico_VU!G171,""))))),2))</f>
        <v/>
      </c>
      <c r="Q171" s="179" t="str">
        <f t="shared" si="22"/>
        <v/>
      </c>
      <c r="R171" s="179" t="str">
        <f ca="1">IF(OR(A171="",L171="",NOT(ISNUMBER(IF($I$4="C0",historico_VU!C171,IF($I$4="C1",historico_VU!D171,IF($I$4="C2",historico_VU!E171,IF($I$4="C3",historico_VU!F171,IF($I$4="C4",historico_VU!G171,"")))))))),"",ROUND(L171*IF($I$4="C0",historico_VU!C171,IF($I$4="C1",historico_VU!D171,IF($I$4="C2",historico_VU!E171,IF($I$4="C3",historico_VU!F171,IF($I$4="C4",historico_VU!G171,""))))),2))</f>
        <v/>
      </c>
    </row>
    <row r="172" spans="1:18" x14ac:dyDescent="0.35">
      <c r="A172" s="81" t="str">
        <f>IF(itens_Remanesc!A172="","",itens_Remanesc!A172)</f>
        <v/>
      </c>
      <c r="B172" s="217" t="str">
        <f t="shared" ca="1" si="23"/>
        <v/>
      </c>
      <c r="C172" s="218" t="str">
        <f>IF(A172="","",IF($I$5="","POSICAO DE REFERENCIA INDISPONIVEL",ROUND(IF(itens_Remanesc!B172="",0,itens_Remanesc!B172)+SUMIFS(aditivos!$L$2:$L$200,aditivos!$A$2:$A$200,A172,aditivos!$B$2:$B$200,"&lt;="&amp;$I$5),2)))</f>
        <v/>
      </c>
      <c r="D172" s="218" t="str">
        <f>IF(A172="","",IF($I$4="","",IF($I$2,IF(ISNUMBER(B172),B172,""),IF($I$4="C0",posicao_contratual!G172,IF($I$4="C1",posicao_contratual!K172,IF($I$4="C2",posicao_contratual!O172,IF($I$4="C3",posicao_contratual!S172,IF($I$4="C4",posicao_contratual!W172,""))))))))</f>
        <v/>
      </c>
      <c r="E172" s="219" t="str">
        <f t="shared" si="20"/>
        <v/>
      </c>
      <c r="F172" s="81" t="str">
        <f>IF(A172="","",IF(COUNTIF($A$2:$A$200,A172)&gt;1,"ITEM DUPLICADO",IF($I$4="","POSICAO DE REFERENCIA INDISPONIVEL",IF(AND(B172&lt;&gt;"",NOT(ISNUMBER(B172))),"QTD NAO NUMERICA",IF(AND(ISNUMBER(B172),B172&lt;0),"NEGATIVO NAO PERMITIDO",IF(NOT(ISNUMBER(C172)),"POSICAO CONTRATUAL INDISPONIVEL",IF(OR(AND(posicao_contratual!$Y172&lt;&gt;"",posicao_contratual!$Y172&gt;IFERROR(VALUE(MID($I$4,2,1)),-1)),AND(posicao_contratual!$Z172,ISNUMBER(C172),C172&lt;=0)),"ITEM POSTERIOR A REFERENCIA",IF(D172="","REMANESCENTE DE REFERENCIA INDISPONIVEL",IF(AND(ISNUMBER(D172),ISNUMBER(C172),D172&gt;C172),"REMANESCENTE DE REFERENCIA SUPERA POSICAO CONTRATUAL","OK")))))))))</f>
        <v/>
      </c>
      <c r="K172" s="179" t="str">
        <f>IF(A172="","",itens_Remanesc!C172)</f>
        <v/>
      </c>
      <c r="L172" s="179" t="str">
        <f>IF(A172="","",IF($I$4="C0",posicao_contratual!G172,IF($I$4="C1",posicao_contratual!K172,IF($I$4="C2",posicao_contratual!O172,IF($I$4="C3",posicao_contratual!S172,IF($I$4="C4",posicao_contratual!W172,""))))))</f>
        <v/>
      </c>
      <c r="M172" s="179" t="str">
        <f ca="1">IF(OR(A172="",$I$5="",$I$6=""),"",ROUND(SUMIFS(aditivos!$L$2:$L$200,aditivos!$A$2:$A$200,A172,aditivos!$B$2:$B$200,"&gt;"&amp;$I$6,aditivos!$B$2:$B$200,"&lt;="&amp;$I$5),2))</f>
        <v/>
      </c>
      <c r="N172" s="179" t="str">
        <f t="shared" si="21"/>
        <v/>
      </c>
      <c r="O172" s="179" t="str">
        <f ca="1">IF(OR(A172="",D172="",NOT(ISNUMBER(IF($I$4="C0",historico_VU!C172,IF($I$4="C1",historico_VU!D172,IF($I$4="C2",historico_VU!E172,IF($I$4="C3",historico_VU!F172,IF($I$4="C4",historico_VU!G172,"")))))))),"",ROUND(D172*IF($I$4="C0",historico_VU!C172,IF($I$4="C1",historico_VU!D172,IF($I$4="C2",historico_VU!E172,IF($I$4="C3",historico_VU!F172,IF($I$4="C4",historico_VU!G172,""))))),2))</f>
        <v/>
      </c>
      <c r="P172" s="179" t="str">
        <f ca="1">IF(OR(A172="",N172="",NOT(ISNUMBER(IF($I$4="C0",historico_VU!C172,IF($I$4="C1",historico_VU!D172,IF($I$4="C2",historico_VU!E172,IF($I$4="C3",historico_VU!F172,IF($I$4="C4",historico_VU!G172,"")))))))),"",ROUND(N172*IF($I$4="C0",historico_VU!C172,IF($I$4="C1",historico_VU!D172,IF($I$4="C2",historico_VU!E172,IF($I$4="C3",historico_VU!F172,IF($I$4="C4",historico_VU!G172,""))))),2))</f>
        <v/>
      </c>
      <c r="Q172" s="179" t="str">
        <f t="shared" si="22"/>
        <v/>
      </c>
      <c r="R172" s="179" t="str">
        <f ca="1">IF(OR(A172="",L172="",NOT(ISNUMBER(IF($I$4="C0",historico_VU!C172,IF($I$4="C1",historico_VU!D172,IF($I$4="C2",historico_VU!E172,IF($I$4="C3",historico_VU!F172,IF($I$4="C4",historico_VU!G172,"")))))))),"",ROUND(L172*IF($I$4="C0",historico_VU!C172,IF($I$4="C1",historico_VU!D172,IF($I$4="C2",historico_VU!E172,IF($I$4="C3",historico_VU!F172,IF($I$4="C4",historico_VU!G172,""))))),2))</f>
        <v/>
      </c>
    </row>
    <row r="173" spans="1:18" x14ac:dyDescent="0.35">
      <c r="A173" s="81" t="str">
        <f>IF(itens_Remanesc!A173="","",itens_Remanesc!A173)</f>
        <v/>
      </c>
      <c r="B173" s="217" t="str">
        <f t="shared" ca="1" si="23"/>
        <v/>
      </c>
      <c r="C173" s="218" t="str">
        <f>IF(A173="","",IF($I$5="","POSICAO DE REFERENCIA INDISPONIVEL",ROUND(IF(itens_Remanesc!B173="",0,itens_Remanesc!B173)+SUMIFS(aditivos!$L$2:$L$200,aditivos!$A$2:$A$200,A173,aditivos!$B$2:$B$200,"&lt;="&amp;$I$5),2)))</f>
        <v/>
      </c>
      <c r="D173" s="218" t="str">
        <f>IF(A173="","",IF($I$4="","",IF($I$2,IF(ISNUMBER(B173),B173,""),IF($I$4="C0",posicao_contratual!G173,IF($I$4="C1",posicao_contratual!K173,IF($I$4="C2",posicao_contratual!O173,IF($I$4="C3",posicao_contratual!S173,IF($I$4="C4",posicao_contratual!W173,""))))))))</f>
        <v/>
      </c>
      <c r="E173" s="219" t="str">
        <f t="shared" si="20"/>
        <v/>
      </c>
      <c r="F173" s="81" t="str">
        <f>IF(A173="","",IF(COUNTIF($A$2:$A$200,A173)&gt;1,"ITEM DUPLICADO",IF($I$4="","POSICAO DE REFERENCIA INDISPONIVEL",IF(AND(B173&lt;&gt;"",NOT(ISNUMBER(B173))),"QTD NAO NUMERICA",IF(AND(ISNUMBER(B173),B173&lt;0),"NEGATIVO NAO PERMITIDO",IF(NOT(ISNUMBER(C173)),"POSICAO CONTRATUAL INDISPONIVEL",IF(OR(AND(posicao_contratual!$Y173&lt;&gt;"",posicao_contratual!$Y173&gt;IFERROR(VALUE(MID($I$4,2,1)),-1)),AND(posicao_contratual!$Z173,ISNUMBER(C173),C173&lt;=0)),"ITEM POSTERIOR A REFERENCIA",IF(D173="","REMANESCENTE DE REFERENCIA INDISPONIVEL",IF(AND(ISNUMBER(D173),ISNUMBER(C173),D173&gt;C173),"REMANESCENTE DE REFERENCIA SUPERA POSICAO CONTRATUAL","OK")))))))))</f>
        <v/>
      </c>
      <c r="K173" s="179" t="str">
        <f>IF(A173="","",itens_Remanesc!C173)</f>
        <v/>
      </c>
      <c r="L173" s="179" t="str">
        <f>IF(A173="","",IF($I$4="C0",posicao_contratual!G173,IF($I$4="C1",posicao_contratual!K173,IF($I$4="C2",posicao_contratual!O173,IF($I$4="C3",posicao_contratual!S173,IF($I$4="C4",posicao_contratual!W173,""))))))</f>
        <v/>
      </c>
      <c r="M173" s="179" t="str">
        <f ca="1">IF(OR(A173="",$I$5="",$I$6=""),"",ROUND(SUMIFS(aditivos!$L$2:$L$200,aditivos!$A$2:$A$200,A173,aditivos!$B$2:$B$200,"&gt;"&amp;$I$6,aditivos!$B$2:$B$200,"&lt;="&amp;$I$5),2))</f>
        <v/>
      </c>
      <c r="N173" s="179" t="str">
        <f t="shared" si="21"/>
        <v/>
      </c>
      <c r="O173" s="179" t="str">
        <f ca="1">IF(OR(A173="",D173="",NOT(ISNUMBER(IF($I$4="C0",historico_VU!C173,IF($I$4="C1",historico_VU!D173,IF($I$4="C2",historico_VU!E173,IF($I$4="C3",historico_VU!F173,IF($I$4="C4",historico_VU!G173,"")))))))),"",ROUND(D173*IF($I$4="C0",historico_VU!C173,IF($I$4="C1",historico_VU!D173,IF($I$4="C2",historico_VU!E173,IF($I$4="C3",historico_VU!F173,IF($I$4="C4",historico_VU!G173,""))))),2))</f>
        <v/>
      </c>
      <c r="P173" s="179" t="str">
        <f ca="1">IF(OR(A173="",N173="",NOT(ISNUMBER(IF($I$4="C0",historico_VU!C173,IF($I$4="C1",historico_VU!D173,IF($I$4="C2",historico_VU!E173,IF($I$4="C3",historico_VU!F173,IF($I$4="C4",historico_VU!G173,"")))))))),"",ROUND(N173*IF($I$4="C0",historico_VU!C173,IF($I$4="C1",historico_VU!D173,IF($I$4="C2",historico_VU!E173,IF($I$4="C3",historico_VU!F173,IF($I$4="C4",historico_VU!G173,""))))),2))</f>
        <v/>
      </c>
      <c r="Q173" s="179" t="str">
        <f t="shared" si="22"/>
        <v/>
      </c>
      <c r="R173" s="179" t="str">
        <f ca="1">IF(OR(A173="",L173="",NOT(ISNUMBER(IF($I$4="C0",historico_VU!C173,IF($I$4="C1",historico_VU!D173,IF($I$4="C2",historico_VU!E173,IF($I$4="C3",historico_VU!F173,IF($I$4="C4",historico_VU!G173,"")))))))),"",ROUND(L173*IF($I$4="C0",historico_VU!C173,IF($I$4="C1",historico_VU!D173,IF($I$4="C2",historico_VU!E173,IF($I$4="C3",historico_VU!F173,IF($I$4="C4",historico_VU!G173,""))))),2))</f>
        <v/>
      </c>
    </row>
    <row r="174" spans="1:18" x14ac:dyDescent="0.35">
      <c r="A174" s="81" t="str">
        <f>IF(itens_Remanesc!A174="","",itens_Remanesc!A174)</f>
        <v/>
      </c>
      <c r="B174" s="217" t="str">
        <f t="shared" ca="1" si="23"/>
        <v/>
      </c>
      <c r="C174" s="218" t="str">
        <f>IF(A174="","",IF($I$5="","POSICAO DE REFERENCIA INDISPONIVEL",ROUND(IF(itens_Remanesc!B174="",0,itens_Remanesc!B174)+SUMIFS(aditivos!$L$2:$L$200,aditivos!$A$2:$A$200,A174,aditivos!$B$2:$B$200,"&lt;="&amp;$I$5),2)))</f>
        <v/>
      </c>
      <c r="D174" s="218" t="str">
        <f>IF(A174="","",IF($I$4="","",IF($I$2,IF(ISNUMBER(B174),B174,""),IF($I$4="C0",posicao_contratual!G174,IF($I$4="C1",posicao_contratual!K174,IF($I$4="C2",posicao_contratual!O174,IF($I$4="C3",posicao_contratual!S174,IF($I$4="C4",posicao_contratual!W174,""))))))))</f>
        <v/>
      </c>
      <c r="E174" s="219" t="str">
        <f t="shared" si="20"/>
        <v/>
      </c>
      <c r="F174" s="81" t="str">
        <f>IF(A174="","",IF(COUNTIF($A$2:$A$200,A174)&gt;1,"ITEM DUPLICADO",IF($I$4="","POSICAO DE REFERENCIA INDISPONIVEL",IF(AND(B174&lt;&gt;"",NOT(ISNUMBER(B174))),"QTD NAO NUMERICA",IF(AND(ISNUMBER(B174),B174&lt;0),"NEGATIVO NAO PERMITIDO",IF(NOT(ISNUMBER(C174)),"POSICAO CONTRATUAL INDISPONIVEL",IF(OR(AND(posicao_contratual!$Y174&lt;&gt;"",posicao_contratual!$Y174&gt;IFERROR(VALUE(MID($I$4,2,1)),-1)),AND(posicao_contratual!$Z174,ISNUMBER(C174),C174&lt;=0)),"ITEM POSTERIOR A REFERENCIA",IF(D174="","REMANESCENTE DE REFERENCIA INDISPONIVEL",IF(AND(ISNUMBER(D174),ISNUMBER(C174),D174&gt;C174),"REMANESCENTE DE REFERENCIA SUPERA POSICAO CONTRATUAL","OK")))))))))</f>
        <v/>
      </c>
      <c r="K174" s="179" t="str">
        <f>IF(A174="","",itens_Remanesc!C174)</f>
        <v/>
      </c>
      <c r="L174" s="179" t="str">
        <f>IF(A174="","",IF($I$4="C0",posicao_contratual!G174,IF($I$4="C1",posicao_contratual!K174,IF($I$4="C2",posicao_contratual!O174,IF($I$4="C3",posicao_contratual!S174,IF($I$4="C4",posicao_contratual!W174,""))))))</f>
        <v/>
      </c>
      <c r="M174" s="179" t="str">
        <f ca="1">IF(OR(A174="",$I$5="",$I$6=""),"",ROUND(SUMIFS(aditivos!$L$2:$L$200,aditivos!$A$2:$A$200,A174,aditivos!$B$2:$B$200,"&gt;"&amp;$I$6,aditivos!$B$2:$B$200,"&lt;="&amp;$I$5),2))</f>
        <v/>
      </c>
      <c r="N174" s="179" t="str">
        <f t="shared" si="21"/>
        <v/>
      </c>
      <c r="O174" s="179" t="str">
        <f ca="1">IF(OR(A174="",D174="",NOT(ISNUMBER(IF($I$4="C0",historico_VU!C174,IF($I$4="C1",historico_VU!D174,IF($I$4="C2",historico_VU!E174,IF($I$4="C3",historico_VU!F174,IF($I$4="C4",historico_VU!G174,"")))))))),"",ROUND(D174*IF($I$4="C0",historico_VU!C174,IF($I$4="C1",historico_VU!D174,IF($I$4="C2",historico_VU!E174,IF($I$4="C3",historico_VU!F174,IF($I$4="C4",historico_VU!G174,""))))),2))</f>
        <v/>
      </c>
      <c r="P174" s="179" t="str">
        <f ca="1">IF(OR(A174="",N174="",NOT(ISNUMBER(IF($I$4="C0",historico_VU!C174,IF($I$4="C1",historico_VU!D174,IF($I$4="C2",historico_VU!E174,IF($I$4="C3",historico_VU!F174,IF($I$4="C4",historico_VU!G174,"")))))))),"",ROUND(N174*IF($I$4="C0",historico_VU!C174,IF($I$4="C1",historico_VU!D174,IF($I$4="C2",historico_VU!E174,IF($I$4="C3",historico_VU!F174,IF($I$4="C4",historico_VU!G174,""))))),2))</f>
        <v/>
      </c>
      <c r="Q174" s="179" t="str">
        <f t="shared" si="22"/>
        <v/>
      </c>
      <c r="R174" s="179" t="str">
        <f ca="1">IF(OR(A174="",L174="",NOT(ISNUMBER(IF($I$4="C0",historico_VU!C174,IF($I$4="C1",historico_VU!D174,IF($I$4="C2",historico_VU!E174,IF($I$4="C3",historico_VU!F174,IF($I$4="C4",historico_VU!G174,"")))))))),"",ROUND(L174*IF($I$4="C0",historico_VU!C174,IF($I$4="C1",historico_VU!D174,IF($I$4="C2",historico_VU!E174,IF($I$4="C3",historico_VU!F174,IF($I$4="C4",historico_VU!G174,""))))),2))</f>
        <v/>
      </c>
    </row>
    <row r="175" spans="1:18" x14ac:dyDescent="0.35">
      <c r="A175" s="81" t="str">
        <f>IF(itens_Remanesc!A175="","",itens_Remanesc!A175)</f>
        <v/>
      </c>
      <c r="B175" s="217" t="str">
        <f t="shared" ca="1" si="23"/>
        <v/>
      </c>
      <c r="C175" s="218" t="str">
        <f>IF(A175="","",IF($I$5="","POSICAO DE REFERENCIA INDISPONIVEL",ROUND(IF(itens_Remanesc!B175="",0,itens_Remanesc!B175)+SUMIFS(aditivos!$L$2:$L$200,aditivos!$A$2:$A$200,A175,aditivos!$B$2:$B$200,"&lt;="&amp;$I$5),2)))</f>
        <v/>
      </c>
      <c r="D175" s="218" t="str">
        <f>IF(A175="","",IF($I$4="","",IF($I$2,IF(ISNUMBER(B175),B175,""),IF($I$4="C0",posicao_contratual!G175,IF($I$4="C1",posicao_contratual!K175,IF($I$4="C2",posicao_contratual!O175,IF($I$4="C3",posicao_contratual!S175,IF($I$4="C4",posicao_contratual!W175,""))))))))</f>
        <v/>
      </c>
      <c r="E175" s="219" t="str">
        <f t="shared" si="20"/>
        <v/>
      </c>
      <c r="F175" s="81" t="str">
        <f>IF(A175="","",IF(COUNTIF($A$2:$A$200,A175)&gt;1,"ITEM DUPLICADO",IF($I$4="","POSICAO DE REFERENCIA INDISPONIVEL",IF(AND(B175&lt;&gt;"",NOT(ISNUMBER(B175))),"QTD NAO NUMERICA",IF(AND(ISNUMBER(B175),B175&lt;0),"NEGATIVO NAO PERMITIDO",IF(NOT(ISNUMBER(C175)),"POSICAO CONTRATUAL INDISPONIVEL",IF(OR(AND(posicao_contratual!$Y175&lt;&gt;"",posicao_contratual!$Y175&gt;IFERROR(VALUE(MID($I$4,2,1)),-1)),AND(posicao_contratual!$Z175,ISNUMBER(C175),C175&lt;=0)),"ITEM POSTERIOR A REFERENCIA",IF(D175="","REMANESCENTE DE REFERENCIA INDISPONIVEL",IF(AND(ISNUMBER(D175),ISNUMBER(C175),D175&gt;C175),"REMANESCENTE DE REFERENCIA SUPERA POSICAO CONTRATUAL","OK")))))))))</f>
        <v/>
      </c>
      <c r="K175" s="179" t="str">
        <f>IF(A175="","",itens_Remanesc!C175)</f>
        <v/>
      </c>
      <c r="L175" s="179" t="str">
        <f>IF(A175="","",IF($I$4="C0",posicao_contratual!G175,IF($I$4="C1",posicao_contratual!K175,IF($I$4="C2",posicao_contratual!O175,IF($I$4="C3",posicao_contratual!S175,IF($I$4="C4",posicao_contratual!W175,""))))))</f>
        <v/>
      </c>
      <c r="M175" s="179" t="str">
        <f ca="1">IF(OR(A175="",$I$5="",$I$6=""),"",ROUND(SUMIFS(aditivos!$L$2:$L$200,aditivos!$A$2:$A$200,A175,aditivos!$B$2:$B$200,"&gt;"&amp;$I$6,aditivos!$B$2:$B$200,"&lt;="&amp;$I$5),2))</f>
        <v/>
      </c>
      <c r="N175" s="179" t="str">
        <f t="shared" si="21"/>
        <v/>
      </c>
      <c r="O175" s="179" t="str">
        <f ca="1">IF(OR(A175="",D175="",NOT(ISNUMBER(IF($I$4="C0",historico_VU!C175,IF($I$4="C1",historico_VU!D175,IF($I$4="C2",historico_VU!E175,IF($I$4="C3",historico_VU!F175,IF($I$4="C4",historico_VU!G175,"")))))))),"",ROUND(D175*IF($I$4="C0",historico_VU!C175,IF($I$4="C1",historico_VU!D175,IF($I$4="C2",historico_VU!E175,IF($I$4="C3",historico_VU!F175,IF($I$4="C4",historico_VU!G175,""))))),2))</f>
        <v/>
      </c>
      <c r="P175" s="179" t="str">
        <f ca="1">IF(OR(A175="",N175="",NOT(ISNUMBER(IF($I$4="C0",historico_VU!C175,IF($I$4="C1",historico_VU!D175,IF($I$4="C2",historico_VU!E175,IF($I$4="C3",historico_VU!F175,IF($I$4="C4",historico_VU!G175,"")))))))),"",ROUND(N175*IF($I$4="C0",historico_VU!C175,IF($I$4="C1",historico_VU!D175,IF($I$4="C2",historico_VU!E175,IF($I$4="C3",historico_VU!F175,IF($I$4="C4",historico_VU!G175,""))))),2))</f>
        <v/>
      </c>
      <c r="Q175" s="179" t="str">
        <f t="shared" si="22"/>
        <v/>
      </c>
      <c r="R175" s="179" t="str">
        <f ca="1">IF(OR(A175="",L175="",NOT(ISNUMBER(IF($I$4="C0",historico_VU!C175,IF($I$4="C1",historico_VU!D175,IF($I$4="C2",historico_VU!E175,IF($I$4="C3",historico_VU!F175,IF($I$4="C4",historico_VU!G175,"")))))))),"",ROUND(L175*IF($I$4="C0",historico_VU!C175,IF($I$4="C1",historico_VU!D175,IF($I$4="C2",historico_VU!E175,IF($I$4="C3",historico_VU!F175,IF($I$4="C4",historico_VU!G175,""))))),2))</f>
        <v/>
      </c>
    </row>
    <row r="176" spans="1:18" x14ac:dyDescent="0.35">
      <c r="A176" s="81" t="str">
        <f>IF(itens_Remanesc!A176="","",itens_Remanesc!A176)</f>
        <v/>
      </c>
      <c r="B176" s="217" t="str">
        <f t="shared" ca="1" si="23"/>
        <v/>
      </c>
      <c r="C176" s="218" t="str">
        <f>IF(A176="","",IF($I$5="","POSICAO DE REFERENCIA INDISPONIVEL",ROUND(IF(itens_Remanesc!B176="",0,itens_Remanesc!B176)+SUMIFS(aditivos!$L$2:$L$200,aditivos!$A$2:$A$200,A176,aditivos!$B$2:$B$200,"&lt;="&amp;$I$5),2)))</f>
        <v/>
      </c>
      <c r="D176" s="218" t="str">
        <f>IF(A176="","",IF($I$4="","",IF($I$2,IF(ISNUMBER(B176),B176,""),IF($I$4="C0",posicao_contratual!G176,IF($I$4="C1",posicao_contratual!K176,IF($I$4="C2",posicao_contratual!O176,IF($I$4="C3",posicao_contratual!S176,IF($I$4="C4",posicao_contratual!W176,""))))))))</f>
        <v/>
      </c>
      <c r="E176" s="219" t="str">
        <f t="shared" si="20"/>
        <v/>
      </c>
      <c r="F176" s="81" t="str">
        <f>IF(A176="","",IF(COUNTIF($A$2:$A$200,A176)&gt;1,"ITEM DUPLICADO",IF($I$4="","POSICAO DE REFERENCIA INDISPONIVEL",IF(AND(B176&lt;&gt;"",NOT(ISNUMBER(B176))),"QTD NAO NUMERICA",IF(AND(ISNUMBER(B176),B176&lt;0),"NEGATIVO NAO PERMITIDO",IF(NOT(ISNUMBER(C176)),"POSICAO CONTRATUAL INDISPONIVEL",IF(OR(AND(posicao_contratual!$Y176&lt;&gt;"",posicao_contratual!$Y176&gt;IFERROR(VALUE(MID($I$4,2,1)),-1)),AND(posicao_contratual!$Z176,ISNUMBER(C176),C176&lt;=0)),"ITEM POSTERIOR A REFERENCIA",IF(D176="","REMANESCENTE DE REFERENCIA INDISPONIVEL",IF(AND(ISNUMBER(D176),ISNUMBER(C176),D176&gt;C176),"REMANESCENTE DE REFERENCIA SUPERA POSICAO CONTRATUAL","OK")))))))))</f>
        <v/>
      </c>
      <c r="K176" s="179" t="str">
        <f>IF(A176="","",itens_Remanesc!C176)</f>
        <v/>
      </c>
      <c r="L176" s="179" t="str">
        <f>IF(A176="","",IF($I$4="C0",posicao_contratual!G176,IF($I$4="C1",posicao_contratual!K176,IF($I$4="C2",posicao_contratual!O176,IF($I$4="C3",posicao_contratual!S176,IF($I$4="C4",posicao_contratual!W176,""))))))</f>
        <v/>
      </c>
      <c r="M176" s="179" t="str">
        <f ca="1">IF(OR(A176="",$I$5="",$I$6=""),"",ROUND(SUMIFS(aditivos!$L$2:$L$200,aditivos!$A$2:$A$200,A176,aditivos!$B$2:$B$200,"&gt;"&amp;$I$6,aditivos!$B$2:$B$200,"&lt;="&amp;$I$5),2))</f>
        <v/>
      </c>
      <c r="N176" s="179" t="str">
        <f t="shared" si="21"/>
        <v/>
      </c>
      <c r="O176" s="179" t="str">
        <f ca="1">IF(OR(A176="",D176="",NOT(ISNUMBER(IF($I$4="C0",historico_VU!C176,IF($I$4="C1",historico_VU!D176,IF($I$4="C2",historico_VU!E176,IF($I$4="C3",historico_VU!F176,IF($I$4="C4",historico_VU!G176,"")))))))),"",ROUND(D176*IF($I$4="C0",historico_VU!C176,IF($I$4="C1",historico_VU!D176,IF($I$4="C2",historico_VU!E176,IF($I$4="C3",historico_VU!F176,IF($I$4="C4",historico_VU!G176,""))))),2))</f>
        <v/>
      </c>
      <c r="P176" s="179" t="str">
        <f ca="1">IF(OR(A176="",N176="",NOT(ISNUMBER(IF($I$4="C0",historico_VU!C176,IF($I$4="C1",historico_VU!D176,IF($I$4="C2",historico_VU!E176,IF($I$4="C3",historico_VU!F176,IF($I$4="C4",historico_VU!G176,"")))))))),"",ROUND(N176*IF($I$4="C0",historico_VU!C176,IF($I$4="C1",historico_VU!D176,IF($I$4="C2",historico_VU!E176,IF($I$4="C3",historico_VU!F176,IF($I$4="C4",historico_VU!G176,""))))),2))</f>
        <v/>
      </c>
      <c r="Q176" s="179" t="str">
        <f t="shared" si="22"/>
        <v/>
      </c>
      <c r="R176" s="179" t="str">
        <f ca="1">IF(OR(A176="",L176="",NOT(ISNUMBER(IF($I$4="C0",historico_VU!C176,IF($I$4="C1",historico_VU!D176,IF($I$4="C2",historico_VU!E176,IF($I$4="C3",historico_VU!F176,IF($I$4="C4",historico_VU!G176,"")))))))),"",ROUND(L176*IF($I$4="C0",historico_VU!C176,IF($I$4="C1",historico_VU!D176,IF($I$4="C2",historico_VU!E176,IF($I$4="C3",historico_VU!F176,IF($I$4="C4",historico_VU!G176,""))))),2))</f>
        <v/>
      </c>
    </row>
    <row r="177" spans="1:18" x14ac:dyDescent="0.35">
      <c r="A177" s="81" t="str">
        <f>IF(itens_Remanesc!A177="","",itens_Remanesc!A177)</f>
        <v/>
      </c>
      <c r="B177" s="217" t="str">
        <f t="shared" ca="1" si="23"/>
        <v/>
      </c>
      <c r="C177" s="218" t="str">
        <f>IF(A177="","",IF($I$5="","POSICAO DE REFERENCIA INDISPONIVEL",ROUND(IF(itens_Remanesc!B177="",0,itens_Remanesc!B177)+SUMIFS(aditivos!$L$2:$L$200,aditivos!$A$2:$A$200,A177,aditivos!$B$2:$B$200,"&lt;="&amp;$I$5),2)))</f>
        <v/>
      </c>
      <c r="D177" s="218" t="str">
        <f>IF(A177="","",IF($I$4="","",IF($I$2,IF(ISNUMBER(B177),B177,""),IF($I$4="C0",posicao_contratual!G177,IF($I$4="C1",posicao_contratual!K177,IF($I$4="C2",posicao_contratual!O177,IF($I$4="C3",posicao_contratual!S177,IF($I$4="C4",posicao_contratual!W177,""))))))))</f>
        <v/>
      </c>
      <c r="E177" s="219" t="str">
        <f t="shared" si="20"/>
        <v/>
      </c>
      <c r="F177" s="81" t="str">
        <f>IF(A177="","",IF(COUNTIF($A$2:$A$200,A177)&gt;1,"ITEM DUPLICADO",IF($I$4="","POSICAO DE REFERENCIA INDISPONIVEL",IF(AND(B177&lt;&gt;"",NOT(ISNUMBER(B177))),"QTD NAO NUMERICA",IF(AND(ISNUMBER(B177),B177&lt;0),"NEGATIVO NAO PERMITIDO",IF(NOT(ISNUMBER(C177)),"POSICAO CONTRATUAL INDISPONIVEL",IF(OR(AND(posicao_contratual!$Y177&lt;&gt;"",posicao_contratual!$Y177&gt;IFERROR(VALUE(MID($I$4,2,1)),-1)),AND(posicao_contratual!$Z177,ISNUMBER(C177),C177&lt;=0)),"ITEM POSTERIOR A REFERENCIA",IF(D177="","REMANESCENTE DE REFERENCIA INDISPONIVEL",IF(AND(ISNUMBER(D177),ISNUMBER(C177),D177&gt;C177),"REMANESCENTE DE REFERENCIA SUPERA POSICAO CONTRATUAL","OK")))))))))</f>
        <v/>
      </c>
      <c r="K177" s="179" t="str">
        <f>IF(A177="","",itens_Remanesc!C177)</f>
        <v/>
      </c>
      <c r="L177" s="179" t="str">
        <f>IF(A177="","",IF($I$4="C0",posicao_contratual!G177,IF($I$4="C1",posicao_contratual!K177,IF($I$4="C2",posicao_contratual!O177,IF($I$4="C3",posicao_contratual!S177,IF($I$4="C4",posicao_contratual!W177,""))))))</f>
        <v/>
      </c>
      <c r="M177" s="179" t="str">
        <f ca="1">IF(OR(A177="",$I$5="",$I$6=""),"",ROUND(SUMIFS(aditivos!$L$2:$L$200,aditivos!$A$2:$A$200,A177,aditivos!$B$2:$B$200,"&gt;"&amp;$I$6,aditivos!$B$2:$B$200,"&lt;="&amp;$I$5),2))</f>
        <v/>
      </c>
      <c r="N177" s="179" t="str">
        <f t="shared" si="21"/>
        <v/>
      </c>
      <c r="O177" s="179" t="str">
        <f ca="1">IF(OR(A177="",D177="",NOT(ISNUMBER(IF($I$4="C0",historico_VU!C177,IF($I$4="C1",historico_VU!D177,IF($I$4="C2",historico_VU!E177,IF($I$4="C3",historico_VU!F177,IF($I$4="C4",historico_VU!G177,"")))))))),"",ROUND(D177*IF($I$4="C0",historico_VU!C177,IF($I$4="C1",historico_VU!D177,IF($I$4="C2",historico_VU!E177,IF($I$4="C3",historico_VU!F177,IF($I$4="C4",historico_VU!G177,""))))),2))</f>
        <v/>
      </c>
      <c r="P177" s="179" t="str">
        <f ca="1">IF(OR(A177="",N177="",NOT(ISNUMBER(IF($I$4="C0",historico_VU!C177,IF($I$4="C1",historico_VU!D177,IF($I$4="C2",historico_VU!E177,IF($I$4="C3",historico_VU!F177,IF($I$4="C4",historico_VU!G177,"")))))))),"",ROUND(N177*IF($I$4="C0",historico_VU!C177,IF($I$4="C1",historico_VU!D177,IF($I$4="C2",historico_VU!E177,IF($I$4="C3",historico_VU!F177,IF($I$4="C4",historico_VU!G177,""))))),2))</f>
        <v/>
      </c>
      <c r="Q177" s="179" t="str">
        <f t="shared" si="22"/>
        <v/>
      </c>
      <c r="R177" s="179" t="str">
        <f ca="1">IF(OR(A177="",L177="",NOT(ISNUMBER(IF($I$4="C0",historico_VU!C177,IF($I$4="C1",historico_VU!D177,IF($I$4="C2",historico_VU!E177,IF($I$4="C3",historico_VU!F177,IF($I$4="C4",historico_VU!G177,"")))))))),"",ROUND(L177*IF($I$4="C0",historico_VU!C177,IF($I$4="C1",historico_VU!D177,IF($I$4="C2",historico_VU!E177,IF($I$4="C3",historico_VU!F177,IF($I$4="C4",historico_VU!G177,""))))),2))</f>
        <v/>
      </c>
    </row>
    <row r="178" spans="1:18" x14ac:dyDescent="0.35">
      <c r="A178" s="81" t="str">
        <f>IF(itens_Remanesc!A178="","",itens_Remanesc!A178)</f>
        <v/>
      </c>
      <c r="B178" s="217" t="str">
        <f t="shared" ca="1" si="23"/>
        <v/>
      </c>
      <c r="C178" s="218" t="str">
        <f>IF(A178="","",IF($I$5="","POSICAO DE REFERENCIA INDISPONIVEL",ROUND(IF(itens_Remanesc!B178="",0,itens_Remanesc!B178)+SUMIFS(aditivos!$L$2:$L$200,aditivos!$A$2:$A$200,A178,aditivos!$B$2:$B$200,"&lt;="&amp;$I$5),2)))</f>
        <v/>
      </c>
      <c r="D178" s="218" t="str">
        <f>IF(A178="","",IF($I$4="","",IF($I$2,IF(ISNUMBER(B178),B178,""),IF($I$4="C0",posicao_contratual!G178,IF($I$4="C1",posicao_contratual!K178,IF($I$4="C2",posicao_contratual!O178,IF($I$4="C3",posicao_contratual!S178,IF($I$4="C4",posicao_contratual!W178,""))))))))</f>
        <v/>
      </c>
      <c r="E178" s="219" t="str">
        <f t="shared" si="20"/>
        <v/>
      </c>
      <c r="F178" s="81" t="str">
        <f>IF(A178="","",IF(COUNTIF($A$2:$A$200,A178)&gt;1,"ITEM DUPLICADO",IF($I$4="","POSICAO DE REFERENCIA INDISPONIVEL",IF(AND(B178&lt;&gt;"",NOT(ISNUMBER(B178))),"QTD NAO NUMERICA",IF(AND(ISNUMBER(B178),B178&lt;0),"NEGATIVO NAO PERMITIDO",IF(NOT(ISNUMBER(C178)),"POSICAO CONTRATUAL INDISPONIVEL",IF(OR(AND(posicao_contratual!$Y178&lt;&gt;"",posicao_contratual!$Y178&gt;IFERROR(VALUE(MID($I$4,2,1)),-1)),AND(posicao_contratual!$Z178,ISNUMBER(C178),C178&lt;=0)),"ITEM POSTERIOR A REFERENCIA",IF(D178="","REMANESCENTE DE REFERENCIA INDISPONIVEL",IF(AND(ISNUMBER(D178),ISNUMBER(C178),D178&gt;C178),"REMANESCENTE DE REFERENCIA SUPERA POSICAO CONTRATUAL","OK")))))))))</f>
        <v/>
      </c>
      <c r="K178" s="179" t="str">
        <f>IF(A178="","",itens_Remanesc!C178)</f>
        <v/>
      </c>
      <c r="L178" s="179" t="str">
        <f>IF(A178="","",IF($I$4="C0",posicao_contratual!G178,IF($I$4="C1",posicao_contratual!K178,IF($I$4="C2",posicao_contratual!O178,IF($I$4="C3",posicao_contratual!S178,IF($I$4="C4",posicao_contratual!W178,""))))))</f>
        <v/>
      </c>
      <c r="M178" s="179" t="str">
        <f ca="1">IF(OR(A178="",$I$5="",$I$6=""),"",ROUND(SUMIFS(aditivos!$L$2:$L$200,aditivos!$A$2:$A$200,A178,aditivos!$B$2:$B$200,"&gt;"&amp;$I$6,aditivos!$B$2:$B$200,"&lt;="&amp;$I$5),2))</f>
        <v/>
      </c>
      <c r="N178" s="179" t="str">
        <f t="shared" si="21"/>
        <v/>
      </c>
      <c r="O178" s="179" t="str">
        <f ca="1">IF(OR(A178="",D178="",NOT(ISNUMBER(IF($I$4="C0",historico_VU!C178,IF($I$4="C1",historico_VU!D178,IF($I$4="C2",historico_VU!E178,IF($I$4="C3",historico_VU!F178,IF($I$4="C4",historico_VU!G178,"")))))))),"",ROUND(D178*IF($I$4="C0",historico_VU!C178,IF($I$4="C1",historico_VU!D178,IF($I$4="C2",historico_VU!E178,IF($I$4="C3",historico_VU!F178,IF($I$4="C4",historico_VU!G178,""))))),2))</f>
        <v/>
      </c>
      <c r="P178" s="179" t="str">
        <f ca="1">IF(OR(A178="",N178="",NOT(ISNUMBER(IF($I$4="C0",historico_VU!C178,IF($I$4="C1",historico_VU!D178,IF($I$4="C2",historico_VU!E178,IF($I$4="C3",historico_VU!F178,IF($I$4="C4",historico_VU!G178,"")))))))),"",ROUND(N178*IF($I$4="C0",historico_VU!C178,IF($I$4="C1",historico_VU!D178,IF($I$4="C2",historico_VU!E178,IF($I$4="C3",historico_VU!F178,IF($I$4="C4",historico_VU!G178,""))))),2))</f>
        <v/>
      </c>
      <c r="Q178" s="179" t="str">
        <f t="shared" si="22"/>
        <v/>
      </c>
      <c r="R178" s="179" t="str">
        <f ca="1">IF(OR(A178="",L178="",NOT(ISNUMBER(IF($I$4="C0",historico_VU!C178,IF($I$4="C1",historico_VU!D178,IF($I$4="C2",historico_VU!E178,IF($I$4="C3",historico_VU!F178,IF($I$4="C4",historico_VU!G178,"")))))))),"",ROUND(L178*IF($I$4="C0",historico_VU!C178,IF($I$4="C1",historico_VU!D178,IF($I$4="C2",historico_VU!E178,IF($I$4="C3",historico_VU!F178,IF($I$4="C4",historico_VU!G178,""))))),2))</f>
        <v/>
      </c>
    </row>
    <row r="179" spans="1:18" x14ac:dyDescent="0.35">
      <c r="A179" s="81" t="str">
        <f>IF(itens_Remanesc!A179="","",itens_Remanesc!A179)</f>
        <v/>
      </c>
      <c r="B179" s="217" t="str">
        <f t="shared" ca="1" si="23"/>
        <v/>
      </c>
      <c r="C179" s="218" t="str">
        <f>IF(A179="","",IF($I$5="","POSICAO DE REFERENCIA INDISPONIVEL",ROUND(IF(itens_Remanesc!B179="",0,itens_Remanesc!B179)+SUMIFS(aditivos!$L$2:$L$200,aditivos!$A$2:$A$200,A179,aditivos!$B$2:$B$200,"&lt;="&amp;$I$5),2)))</f>
        <v/>
      </c>
      <c r="D179" s="218" t="str">
        <f>IF(A179="","",IF($I$4="","",IF($I$2,IF(ISNUMBER(B179),B179,""),IF($I$4="C0",posicao_contratual!G179,IF($I$4="C1",posicao_contratual!K179,IF($I$4="C2",posicao_contratual!O179,IF($I$4="C3",posicao_contratual!S179,IF($I$4="C4",posicao_contratual!W179,""))))))))</f>
        <v/>
      </c>
      <c r="E179" s="219" t="str">
        <f t="shared" si="20"/>
        <v/>
      </c>
      <c r="F179" s="81" t="str">
        <f>IF(A179="","",IF(COUNTIF($A$2:$A$200,A179)&gt;1,"ITEM DUPLICADO",IF($I$4="","POSICAO DE REFERENCIA INDISPONIVEL",IF(AND(B179&lt;&gt;"",NOT(ISNUMBER(B179))),"QTD NAO NUMERICA",IF(AND(ISNUMBER(B179),B179&lt;0),"NEGATIVO NAO PERMITIDO",IF(NOT(ISNUMBER(C179)),"POSICAO CONTRATUAL INDISPONIVEL",IF(OR(AND(posicao_contratual!$Y179&lt;&gt;"",posicao_contratual!$Y179&gt;IFERROR(VALUE(MID($I$4,2,1)),-1)),AND(posicao_contratual!$Z179,ISNUMBER(C179),C179&lt;=0)),"ITEM POSTERIOR A REFERENCIA",IF(D179="","REMANESCENTE DE REFERENCIA INDISPONIVEL",IF(AND(ISNUMBER(D179),ISNUMBER(C179),D179&gt;C179),"REMANESCENTE DE REFERENCIA SUPERA POSICAO CONTRATUAL","OK")))))))))</f>
        <v/>
      </c>
      <c r="K179" s="179" t="str">
        <f>IF(A179="","",itens_Remanesc!C179)</f>
        <v/>
      </c>
      <c r="L179" s="179" t="str">
        <f>IF(A179="","",IF($I$4="C0",posicao_contratual!G179,IF($I$4="C1",posicao_contratual!K179,IF($I$4="C2",posicao_contratual!O179,IF($I$4="C3",posicao_contratual!S179,IF($I$4="C4",posicao_contratual!W179,""))))))</f>
        <v/>
      </c>
      <c r="M179" s="179" t="str">
        <f ca="1">IF(OR(A179="",$I$5="",$I$6=""),"",ROUND(SUMIFS(aditivos!$L$2:$L$200,aditivos!$A$2:$A$200,A179,aditivos!$B$2:$B$200,"&gt;"&amp;$I$6,aditivos!$B$2:$B$200,"&lt;="&amp;$I$5),2))</f>
        <v/>
      </c>
      <c r="N179" s="179" t="str">
        <f t="shared" si="21"/>
        <v/>
      </c>
      <c r="O179" s="179" t="str">
        <f ca="1">IF(OR(A179="",D179="",NOT(ISNUMBER(IF($I$4="C0",historico_VU!C179,IF($I$4="C1",historico_VU!D179,IF($I$4="C2",historico_VU!E179,IF($I$4="C3",historico_VU!F179,IF($I$4="C4",historico_VU!G179,"")))))))),"",ROUND(D179*IF($I$4="C0",historico_VU!C179,IF($I$4="C1",historico_VU!D179,IF($I$4="C2",historico_VU!E179,IF($I$4="C3",historico_VU!F179,IF($I$4="C4",historico_VU!G179,""))))),2))</f>
        <v/>
      </c>
      <c r="P179" s="179" t="str">
        <f ca="1">IF(OR(A179="",N179="",NOT(ISNUMBER(IF($I$4="C0",historico_VU!C179,IF($I$4="C1",historico_VU!D179,IF($I$4="C2",historico_VU!E179,IF($I$4="C3",historico_VU!F179,IF($I$4="C4",historico_VU!G179,"")))))))),"",ROUND(N179*IF($I$4="C0",historico_VU!C179,IF($I$4="C1",historico_VU!D179,IF($I$4="C2",historico_VU!E179,IF($I$4="C3",historico_VU!F179,IF($I$4="C4",historico_VU!G179,""))))),2))</f>
        <v/>
      </c>
      <c r="Q179" s="179" t="str">
        <f t="shared" si="22"/>
        <v/>
      </c>
      <c r="R179" s="179" t="str">
        <f ca="1">IF(OR(A179="",L179="",NOT(ISNUMBER(IF($I$4="C0",historico_VU!C179,IF($I$4="C1",historico_VU!D179,IF($I$4="C2",historico_VU!E179,IF($I$4="C3",historico_VU!F179,IF($I$4="C4",historico_VU!G179,"")))))))),"",ROUND(L179*IF($I$4="C0",historico_VU!C179,IF($I$4="C1",historico_VU!D179,IF($I$4="C2",historico_VU!E179,IF($I$4="C3",historico_VU!F179,IF($I$4="C4",historico_VU!G179,""))))),2))</f>
        <v/>
      </c>
    </row>
    <row r="180" spans="1:18" x14ac:dyDescent="0.35">
      <c r="A180" s="81" t="str">
        <f>IF(itens_Remanesc!A180="","",itens_Remanesc!A180)</f>
        <v/>
      </c>
      <c r="B180" s="217" t="str">
        <f t="shared" ca="1" si="23"/>
        <v/>
      </c>
      <c r="C180" s="218" t="str">
        <f>IF(A180="","",IF($I$5="","POSICAO DE REFERENCIA INDISPONIVEL",ROUND(IF(itens_Remanesc!B180="",0,itens_Remanesc!B180)+SUMIFS(aditivos!$L$2:$L$200,aditivos!$A$2:$A$200,A180,aditivos!$B$2:$B$200,"&lt;="&amp;$I$5),2)))</f>
        <v/>
      </c>
      <c r="D180" s="218" t="str">
        <f>IF(A180="","",IF($I$4="","",IF($I$2,IF(ISNUMBER(B180),B180,""),IF($I$4="C0",posicao_contratual!G180,IF($I$4="C1",posicao_contratual!K180,IF($I$4="C2",posicao_contratual!O180,IF($I$4="C3",posicao_contratual!S180,IF($I$4="C4",posicao_contratual!W180,""))))))))</f>
        <v/>
      </c>
      <c r="E180" s="219" t="str">
        <f t="shared" si="20"/>
        <v/>
      </c>
      <c r="F180" s="81" t="str">
        <f>IF(A180="","",IF(COUNTIF($A$2:$A$200,A180)&gt;1,"ITEM DUPLICADO",IF($I$4="","POSICAO DE REFERENCIA INDISPONIVEL",IF(AND(B180&lt;&gt;"",NOT(ISNUMBER(B180))),"QTD NAO NUMERICA",IF(AND(ISNUMBER(B180),B180&lt;0),"NEGATIVO NAO PERMITIDO",IF(NOT(ISNUMBER(C180)),"POSICAO CONTRATUAL INDISPONIVEL",IF(OR(AND(posicao_contratual!$Y180&lt;&gt;"",posicao_contratual!$Y180&gt;IFERROR(VALUE(MID($I$4,2,1)),-1)),AND(posicao_contratual!$Z180,ISNUMBER(C180),C180&lt;=0)),"ITEM POSTERIOR A REFERENCIA",IF(D180="","REMANESCENTE DE REFERENCIA INDISPONIVEL",IF(AND(ISNUMBER(D180),ISNUMBER(C180),D180&gt;C180),"REMANESCENTE DE REFERENCIA SUPERA POSICAO CONTRATUAL","OK")))))))))</f>
        <v/>
      </c>
      <c r="K180" s="179" t="str">
        <f>IF(A180="","",itens_Remanesc!C180)</f>
        <v/>
      </c>
      <c r="L180" s="179" t="str">
        <f>IF(A180="","",IF($I$4="C0",posicao_contratual!G180,IF($I$4="C1",posicao_contratual!K180,IF($I$4="C2",posicao_contratual!O180,IF($I$4="C3",posicao_contratual!S180,IF($I$4="C4",posicao_contratual!W180,""))))))</f>
        <v/>
      </c>
      <c r="M180" s="179" t="str">
        <f ca="1">IF(OR(A180="",$I$5="",$I$6=""),"",ROUND(SUMIFS(aditivos!$L$2:$L$200,aditivos!$A$2:$A$200,A180,aditivos!$B$2:$B$200,"&gt;"&amp;$I$6,aditivos!$B$2:$B$200,"&lt;="&amp;$I$5),2))</f>
        <v/>
      </c>
      <c r="N180" s="179" t="str">
        <f t="shared" si="21"/>
        <v/>
      </c>
      <c r="O180" s="179" t="str">
        <f ca="1">IF(OR(A180="",D180="",NOT(ISNUMBER(IF($I$4="C0",historico_VU!C180,IF($I$4="C1",historico_VU!D180,IF($I$4="C2",historico_VU!E180,IF($I$4="C3",historico_VU!F180,IF($I$4="C4",historico_VU!G180,"")))))))),"",ROUND(D180*IF($I$4="C0",historico_VU!C180,IF($I$4="C1",historico_VU!D180,IF($I$4="C2",historico_VU!E180,IF($I$4="C3",historico_VU!F180,IF($I$4="C4",historico_VU!G180,""))))),2))</f>
        <v/>
      </c>
      <c r="P180" s="179" t="str">
        <f ca="1">IF(OR(A180="",N180="",NOT(ISNUMBER(IF($I$4="C0",historico_VU!C180,IF($I$4="C1",historico_VU!D180,IF($I$4="C2",historico_VU!E180,IF($I$4="C3",historico_VU!F180,IF($I$4="C4",historico_VU!G180,"")))))))),"",ROUND(N180*IF($I$4="C0",historico_VU!C180,IF($I$4="C1",historico_VU!D180,IF($I$4="C2",historico_VU!E180,IF($I$4="C3",historico_VU!F180,IF($I$4="C4",historico_VU!G180,""))))),2))</f>
        <v/>
      </c>
      <c r="Q180" s="179" t="str">
        <f t="shared" si="22"/>
        <v/>
      </c>
      <c r="R180" s="179" t="str">
        <f ca="1">IF(OR(A180="",L180="",NOT(ISNUMBER(IF($I$4="C0",historico_VU!C180,IF($I$4="C1",historico_VU!D180,IF($I$4="C2",historico_VU!E180,IF($I$4="C3",historico_VU!F180,IF($I$4="C4",historico_VU!G180,"")))))))),"",ROUND(L180*IF($I$4="C0",historico_VU!C180,IF($I$4="C1",historico_VU!D180,IF($I$4="C2",historico_VU!E180,IF($I$4="C3",historico_VU!F180,IF($I$4="C4",historico_VU!G180,""))))),2))</f>
        <v/>
      </c>
    </row>
    <row r="181" spans="1:18" x14ac:dyDescent="0.35">
      <c r="A181" s="81" t="str">
        <f>IF(itens_Remanesc!A181="","",itens_Remanesc!A181)</f>
        <v/>
      </c>
      <c r="B181" s="217" t="str">
        <f t="shared" ca="1" si="23"/>
        <v/>
      </c>
      <c r="C181" s="218" t="str">
        <f>IF(A181="","",IF($I$5="","POSICAO DE REFERENCIA INDISPONIVEL",ROUND(IF(itens_Remanesc!B181="",0,itens_Remanesc!B181)+SUMIFS(aditivos!$L$2:$L$200,aditivos!$A$2:$A$200,A181,aditivos!$B$2:$B$200,"&lt;="&amp;$I$5),2)))</f>
        <v/>
      </c>
      <c r="D181" s="218" t="str">
        <f>IF(A181="","",IF($I$4="","",IF($I$2,IF(ISNUMBER(B181),B181,""),IF($I$4="C0",posicao_contratual!G181,IF($I$4="C1",posicao_contratual!K181,IF($I$4="C2",posicao_contratual!O181,IF($I$4="C3",posicao_contratual!S181,IF($I$4="C4",posicao_contratual!W181,""))))))))</f>
        <v/>
      </c>
      <c r="E181" s="219" t="str">
        <f t="shared" si="20"/>
        <v/>
      </c>
      <c r="F181" s="81" t="str">
        <f>IF(A181="","",IF(COUNTIF($A$2:$A$200,A181)&gt;1,"ITEM DUPLICADO",IF($I$4="","POSICAO DE REFERENCIA INDISPONIVEL",IF(AND(B181&lt;&gt;"",NOT(ISNUMBER(B181))),"QTD NAO NUMERICA",IF(AND(ISNUMBER(B181),B181&lt;0),"NEGATIVO NAO PERMITIDO",IF(NOT(ISNUMBER(C181)),"POSICAO CONTRATUAL INDISPONIVEL",IF(OR(AND(posicao_contratual!$Y181&lt;&gt;"",posicao_contratual!$Y181&gt;IFERROR(VALUE(MID($I$4,2,1)),-1)),AND(posicao_contratual!$Z181,ISNUMBER(C181),C181&lt;=0)),"ITEM POSTERIOR A REFERENCIA",IF(D181="","REMANESCENTE DE REFERENCIA INDISPONIVEL",IF(AND(ISNUMBER(D181),ISNUMBER(C181),D181&gt;C181),"REMANESCENTE DE REFERENCIA SUPERA POSICAO CONTRATUAL","OK")))))))))</f>
        <v/>
      </c>
      <c r="K181" s="179" t="str">
        <f>IF(A181="","",itens_Remanesc!C181)</f>
        <v/>
      </c>
      <c r="L181" s="179" t="str">
        <f>IF(A181="","",IF($I$4="C0",posicao_contratual!G181,IF($I$4="C1",posicao_contratual!K181,IF($I$4="C2",posicao_contratual!O181,IF($I$4="C3",posicao_contratual!S181,IF($I$4="C4",posicao_contratual!W181,""))))))</f>
        <v/>
      </c>
      <c r="M181" s="179" t="str">
        <f ca="1">IF(OR(A181="",$I$5="",$I$6=""),"",ROUND(SUMIFS(aditivos!$L$2:$L$200,aditivos!$A$2:$A$200,A181,aditivos!$B$2:$B$200,"&gt;"&amp;$I$6,aditivos!$B$2:$B$200,"&lt;="&amp;$I$5),2))</f>
        <v/>
      </c>
      <c r="N181" s="179" t="str">
        <f t="shared" si="21"/>
        <v/>
      </c>
      <c r="O181" s="179" t="str">
        <f ca="1">IF(OR(A181="",D181="",NOT(ISNUMBER(IF($I$4="C0",historico_VU!C181,IF($I$4="C1",historico_VU!D181,IF($I$4="C2",historico_VU!E181,IF($I$4="C3",historico_VU!F181,IF($I$4="C4",historico_VU!G181,"")))))))),"",ROUND(D181*IF($I$4="C0",historico_VU!C181,IF($I$4="C1",historico_VU!D181,IF($I$4="C2",historico_VU!E181,IF($I$4="C3",historico_VU!F181,IF($I$4="C4",historico_VU!G181,""))))),2))</f>
        <v/>
      </c>
      <c r="P181" s="179" t="str">
        <f ca="1">IF(OR(A181="",N181="",NOT(ISNUMBER(IF($I$4="C0",historico_VU!C181,IF($I$4="C1",historico_VU!D181,IF($I$4="C2",historico_VU!E181,IF($I$4="C3",historico_VU!F181,IF($I$4="C4",historico_VU!G181,"")))))))),"",ROUND(N181*IF($I$4="C0",historico_VU!C181,IF($I$4="C1",historico_VU!D181,IF($I$4="C2",historico_VU!E181,IF($I$4="C3",historico_VU!F181,IF($I$4="C4",historico_VU!G181,""))))),2))</f>
        <v/>
      </c>
      <c r="Q181" s="179" t="str">
        <f t="shared" si="22"/>
        <v/>
      </c>
      <c r="R181" s="179" t="str">
        <f ca="1">IF(OR(A181="",L181="",NOT(ISNUMBER(IF($I$4="C0",historico_VU!C181,IF($I$4="C1",historico_VU!D181,IF($I$4="C2",historico_VU!E181,IF($I$4="C3",historico_VU!F181,IF($I$4="C4",historico_VU!G181,"")))))))),"",ROUND(L181*IF($I$4="C0",historico_VU!C181,IF($I$4="C1",historico_VU!D181,IF($I$4="C2",historico_VU!E181,IF($I$4="C3",historico_VU!F181,IF($I$4="C4",historico_VU!G181,""))))),2))</f>
        <v/>
      </c>
    </row>
    <row r="182" spans="1:18" x14ac:dyDescent="0.35">
      <c r="A182" s="81" t="str">
        <f>IF(itens_Remanesc!A182="","",itens_Remanesc!A182)</f>
        <v/>
      </c>
      <c r="B182" s="217" t="str">
        <f t="shared" ca="1" si="23"/>
        <v/>
      </c>
      <c r="C182" s="218" t="str">
        <f>IF(A182="","",IF($I$5="","POSICAO DE REFERENCIA INDISPONIVEL",ROUND(IF(itens_Remanesc!B182="",0,itens_Remanesc!B182)+SUMIFS(aditivos!$L$2:$L$200,aditivos!$A$2:$A$200,A182,aditivos!$B$2:$B$200,"&lt;="&amp;$I$5),2)))</f>
        <v/>
      </c>
      <c r="D182" s="218" t="str">
        <f>IF(A182="","",IF($I$4="","",IF($I$2,IF(ISNUMBER(B182),B182,""),IF($I$4="C0",posicao_contratual!G182,IF($I$4="C1",posicao_contratual!K182,IF($I$4="C2",posicao_contratual!O182,IF($I$4="C3",posicao_contratual!S182,IF($I$4="C4",posicao_contratual!W182,""))))))))</f>
        <v/>
      </c>
      <c r="E182" s="219" t="str">
        <f t="shared" si="20"/>
        <v/>
      </c>
      <c r="F182" s="81" t="str">
        <f>IF(A182="","",IF(COUNTIF($A$2:$A$200,A182)&gt;1,"ITEM DUPLICADO",IF($I$4="","POSICAO DE REFERENCIA INDISPONIVEL",IF(AND(B182&lt;&gt;"",NOT(ISNUMBER(B182))),"QTD NAO NUMERICA",IF(AND(ISNUMBER(B182),B182&lt;0),"NEGATIVO NAO PERMITIDO",IF(NOT(ISNUMBER(C182)),"POSICAO CONTRATUAL INDISPONIVEL",IF(OR(AND(posicao_contratual!$Y182&lt;&gt;"",posicao_contratual!$Y182&gt;IFERROR(VALUE(MID($I$4,2,1)),-1)),AND(posicao_contratual!$Z182,ISNUMBER(C182),C182&lt;=0)),"ITEM POSTERIOR A REFERENCIA",IF(D182="","REMANESCENTE DE REFERENCIA INDISPONIVEL",IF(AND(ISNUMBER(D182),ISNUMBER(C182),D182&gt;C182),"REMANESCENTE DE REFERENCIA SUPERA POSICAO CONTRATUAL","OK")))))))))</f>
        <v/>
      </c>
      <c r="K182" s="179" t="str">
        <f>IF(A182="","",itens_Remanesc!C182)</f>
        <v/>
      </c>
      <c r="L182" s="179" t="str">
        <f>IF(A182="","",IF($I$4="C0",posicao_contratual!G182,IF($I$4="C1",posicao_contratual!K182,IF($I$4="C2",posicao_contratual!O182,IF($I$4="C3",posicao_contratual!S182,IF($I$4="C4",posicao_contratual!W182,""))))))</f>
        <v/>
      </c>
      <c r="M182" s="179" t="str">
        <f ca="1">IF(OR(A182="",$I$5="",$I$6=""),"",ROUND(SUMIFS(aditivos!$L$2:$L$200,aditivos!$A$2:$A$200,A182,aditivos!$B$2:$B$200,"&gt;"&amp;$I$6,aditivos!$B$2:$B$200,"&lt;="&amp;$I$5),2))</f>
        <v/>
      </c>
      <c r="N182" s="179" t="str">
        <f t="shared" si="21"/>
        <v/>
      </c>
      <c r="O182" s="179" t="str">
        <f ca="1">IF(OR(A182="",D182="",NOT(ISNUMBER(IF($I$4="C0",historico_VU!C182,IF($I$4="C1",historico_VU!D182,IF($I$4="C2",historico_VU!E182,IF($I$4="C3",historico_VU!F182,IF($I$4="C4",historico_VU!G182,"")))))))),"",ROUND(D182*IF($I$4="C0",historico_VU!C182,IF($I$4="C1",historico_VU!D182,IF($I$4="C2",historico_VU!E182,IF($I$4="C3",historico_VU!F182,IF($I$4="C4",historico_VU!G182,""))))),2))</f>
        <v/>
      </c>
      <c r="P182" s="179" t="str">
        <f ca="1">IF(OR(A182="",N182="",NOT(ISNUMBER(IF($I$4="C0",historico_VU!C182,IF($I$4="C1",historico_VU!D182,IF($I$4="C2",historico_VU!E182,IF($I$4="C3",historico_VU!F182,IF($I$4="C4",historico_VU!G182,"")))))))),"",ROUND(N182*IF($I$4="C0",historico_VU!C182,IF($I$4="C1",historico_VU!D182,IF($I$4="C2",historico_VU!E182,IF($I$4="C3",historico_VU!F182,IF($I$4="C4",historico_VU!G182,""))))),2))</f>
        <v/>
      </c>
      <c r="Q182" s="179" t="str">
        <f t="shared" si="22"/>
        <v/>
      </c>
      <c r="R182" s="179" t="str">
        <f ca="1">IF(OR(A182="",L182="",NOT(ISNUMBER(IF($I$4="C0",historico_VU!C182,IF($I$4="C1",historico_VU!D182,IF($I$4="C2",historico_VU!E182,IF($I$4="C3",historico_VU!F182,IF($I$4="C4",historico_VU!G182,"")))))))),"",ROUND(L182*IF($I$4="C0",historico_VU!C182,IF($I$4="C1",historico_VU!D182,IF($I$4="C2",historico_VU!E182,IF($I$4="C3",historico_VU!F182,IF($I$4="C4",historico_VU!G182,""))))),2))</f>
        <v/>
      </c>
    </row>
    <row r="183" spans="1:18" x14ac:dyDescent="0.35">
      <c r="A183" s="81" t="str">
        <f>IF(itens_Remanesc!A183="","",itens_Remanesc!A183)</f>
        <v/>
      </c>
      <c r="B183" s="217" t="str">
        <f t="shared" ca="1" si="23"/>
        <v/>
      </c>
      <c r="C183" s="218" t="str">
        <f>IF(A183="","",IF($I$5="","POSICAO DE REFERENCIA INDISPONIVEL",ROUND(IF(itens_Remanesc!B183="",0,itens_Remanesc!B183)+SUMIFS(aditivos!$L$2:$L$200,aditivos!$A$2:$A$200,A183,aditivos!$B$2:$B$200,"&lt;="&amp;$I$5),2)))</f>
        <v/>
      </c>
      <c r="D183" s="218" t="str">
        <f>IF(A183="","",IF($I$4="","",IF($I$2,IF(ISNUMBER(B183),B183,""),IF($I$4="C0",posicao_contratual!G183,IF($I$4="C1",posicao_contratual!K183,IF($I$4="C2",posicao_contratual!O183,IF($I$4="C3",posicao_contratual!S183,IF($I$4="C4",posicao_contratual!W183,""))))))))</f>
        <v/>
      </c>
      <c r="E183" s="219" t="str">
        <f t="shared" si="20"/>
        <v/>
      </c>
      <c r="F183" s="81" t="str">
        <f>IF(A183="","",IF(COUNTIF($A$2:$A$200,A183)&gt;1,"ITEM DUPLICADO",IF($I$4="","POSICAO DE REFERENCIA INDISPONIVEL",IF(AND(B183&lt;&gt;"",NOT(ISNUMBER(B183))),"QTD NAO NUMERICA",IF(AND(ISNUMBER(B183),B183&lt;0),"NEGATIVO NAO PERMITIDO",IF(NOT(ISNUMBER(C183)),"POSICAO CONTRATUAL INDISPONIVEL",IF(OR(AND(posicao_contratual!$Y183&lt;&gt;"",posicao_contratual!$Y183&gt;IFERROR(VALUE(MID($I$4,2,1)),-1)),AND(posicao_contratual!$Z183,ISNUMBER(C183),C183&lt;=0)),"ITEM POSTERIOR A REFERENCIA",IF(D183="","REMANESCENTE DE REFERENCIA INDISPONIVEL",IF(AND(ISNUMBER(D183),ISNUMBER(C183),D183&gt;C183),"REMANESCENTE DE REFERENCIA SUPERA POSICAO CONTRATUAL","OK")))))))))</f>
        <v/>
      </c>
      <c r="K183" s="179" t="str">
        <f>IF(A183="","",itens_Remanesc!C183)</f>
        <v/>
      </c>
      <c r="L183" s="179" t="str">
        <f>IF(A183="","",IF($I$4="C0",posicao_contratual!G183,IF($I$4="C1",posicao_contratual!K183,IF($I$4="C2",posicao_contratual!O183,IF($I$4="C3",posicao_contratual!S183,IF($I$4="C4",posicao_contratual!W183,""))))))</f>
        <v/>
      </c>
      <c r="M183" s="179" t="str">
        <f ca="1">IF(OR(A183="",$I$5="",$I$6=""),"",ROUND(SUMIFS(aditivos!$L$2:$L$200,aditivos!$A$2:$A$200,A183,aditivos!$B$2:$B$200,"&gt;"&amp;$I$6,aditivos!$B$2:$B$200,"&lt;="&amp;$I$5),2))</f>
        <v/>
      </c>
      <c r="N183" s="179" t="str">
        <f t="shared" si="21"/>
        <v/>
      </c>
      <c r="O183" s="179" t="str">
        <f ca="1">IF(OR(A183="",D183="",NOT(ISNUMBER(IF($I$4="C0",historico_VU!C183,IF($I$4="C1",historico_VU!D183,IF($I$4="C2",historico_VU!E183,IF($I$4="C3",historico_VU!F183,IF($I$4="C4",historico_VU!G183,"")))))))),"",ROUND(D183*IF($I$4="C0",historico_VU!C183,IF($I$4="C1",historico_VU!D183,IF($I$4="C2",historico_VU!E183,IF($I$4="C3",historico_VU!F183,IF($I$4="C4",historico_VU!G183,""))))),2))</f>
        <v/>
      </c>
      <c r="P183" s="179" t="str">
        <f ca="1">IF(OR(A183="",N183="",NOT(ISNUMBER(IF($I$4="C0",historico_VU!C183,IF($I$4="C1",historico_VU!D183,IF($I$4="C2",historico_VU!E183,IF($I$4="C3",historico_VU!F183,IF($I$4="C4",historico_VU!G183,"")))))))),"",ROUND(N183*IF($I$4="C0",historico_VU!C183,IF($I$4="C1",historico_VU!D183,IF($I$4="C2",historico_VU!E183,IF($I$4="C3",historico_VU!F183,IF($I$4="C4",historico_VU!G183,""))))),2))</f>
        <v/>
      </c>
      <c r="Q183" s="179" t="str">
        <f t="shared" si="22"/>
        <v/>
      </c>
      <c r="R183" s="179" t="str">
        <f ca="1">IF(OR(A183="",L183="",NOT(ISNUMBER(IF($I$4="C0",historico_VU!C183,IF($I$4="C1",historico_VU!D183,IF($I$4="C2",historico_VU!E183,IF($I$4="C3",historico_VU!F183,IF($I$4="C4",historico_VU!G183,"")))))))),"",ROUND(L183*IF($I$4="C0",historico_VU!C183,IF($I$4="C1",historico_VU!D183,IF($I$4="C2",historico_VU!E183,IF($I$4="C3",historico_VU!F183,IF($I$4="C4",historico_VU!G183,""))))),2))</f>
        <v/>
      </c>
    </row>
    <row r="184" spans="1:18" x14ac:dyDescent="0.35">
      <c r="A184" s="81" t="str">
        <f>IF(itens_Remanesc!A184="","",itens_Remanesc!A184)</f>
        <v/>
      </c>
      <c r="B184" s="217" t="str">
        <f t="shared" ca="1" si="23"/>
        <v/>
      </c>
      <c r="C184" s="218" t="str">
        <f>IF(A184="","",IF($I$5="","POSICAO DE REFERENCIA INDISPONIVEL",ROUND(IF(itens_Remanesc!B184="",0,itens_Remanesc!B184)+SUMIFS(aditivos!$L$2:$L$200,aditivos!$A$2:$A$200,A184,aditivos!$B$2:$B$200,"&lt;="&amp;$I$5),2)))</f>
        <v/>
      </c>
      <c r="D184" s="218" t="str">
        <f>IF(A184="","",IF($I$4="","",IF($I$2,IF(ISNUMBER(B184),B184,""),IF($I$4="C0",posicao_contratual!G184,IF($I$4="C1",posicao_contratual!K184,IF($I$4="C2",posicao_contratual!O184,IF($I$4="C3",posicao_contratual!S184,IF($I$4="C4",posicao_contratual!W184,""))))))))</f>
        <v/>
      </c>
      <c r="E184" s="219" t="str">
        <f t="shared" si="20"/>
        <v/>
      </c>
      <c r="F184" s="81" t="str">
        <f>IF(A184="","",IF(COUNTIF($A$2:$A$200,A184)&gt;1,"ITEM DUPLICADO",IF($I$4="","POSICAO DE REFERENCIA INDISPONIVEL",IF(AND(B184&lt;&gt;"",NOT(ISNUMBER(B184))),"QTD NAO NUMERICA",IF(AND(ISNUMBER(B184),B184&lt;0),"NEGATIVO NAO PERMITIDO",IF(NOT(ISNUMBER(C184)),"POSICAO CONTRATUAL INDISPONIVEL",IF(OR(AND(posicao_contratual!$Y184&lt;&gt;"",posicao_contratual!$Y184&gt;IFERROR(VALUE(MID($I$4,2,1)),-1)),AND(posicao_contratual!$Z184,ISNUMBER(C184),C184&lt;=0)),"ITEM POSTERIOR A REFERENCIA",IF(D184="","REMANESCENTE DE REFERENCIA INDISPONIVEL",IF(AND(ISNUMBER(D184),ISNUMBER(C184),D184&gt;C184),"REMANESCENTE DE REFERENCIA SUPERA POSICAO CONTRATUAL","OK")))))))))</f>
        <v/>
      </c>
      <c r="K184" s="179" t="str">
        <f>IF(A184="","",itens_Remanesc!C184)</f>
        <v/>
      </c>
      <c r="L184" s="179" t="str">
        <f>IF(A184="","",IF($I$4="C0",posicao_contratual!G184,IF($I$4="C1",posicao_contratual!K184,IF($I$4="C2",posicao_contratual!O184,IF($I$4="C3",posicao_contratual!S184,IF($I$4="C4",posicao_contratual!W184,""))))))</f>
        <v/>
      </c>
      <c r="M184" s="179" t="str">
        <f ca="1">IF(OR(A184="",$I$5="",$I$6=""),"",ROUND(SUMIFS(aditivos!$L$2:$L$200,aditivos!$A$2:$A$200,A184,aditivos!$B$2:$B$200,"&gt;"&amp;$I$6,aditivos!$B$2:$B$200,"&lt;="&amp;$I$5),2))</f>
        <v/>
      </c>
      <c r="N184" s="179" t="str">
        <f t="shared" si="21"/>
        <v/>
      </c>
      <c r="O184" s="179" t="str">
        <f ca="1">IF(OR(A184="",D184="",NOT(ISNUMBER(IF($I$4="C0",historico_VU!C184,IF($I$4="C1",historico_VU!D184,IF($I$4="C2",historico_VU!E184,IF($I$4="C3",historico_VU!F184,IF($I$4="C4",historico_VU!G184,"")))))))),"",ROUND(D184*IF($I$4="C0",historico_VU!C184,IF($I$4="C1",historico_VU!D184,IF($I$4="C2",historico_VU!E184,IF($I$4="C3",historico_VU!F184,IF($I$4="C4",historico_VU!G184,""))))),2))</f>
        <v/>
      </c>
      <c r="P184" s="179" t="str">
        <f ca="1">IF(OR(A184="",N184="",NOT(ISNUMBER(IF($I$4="C0",historico_VU!C184,IF($I$4="C1",historico_VU!D184,IF($I$4="C2",historico_VU!E184,IF($I$4="C3",historico_VU!F184,IF($I$4="C4",historico_VU!G184,"")))))))),"",ROUND(N184*IF($I$4="C0",historico_VU!C184,IF($I$4="C1",historico_VU!D184,IF($I$4="C2",historico_VU!E184,IF($I$4="C3",historico_VU!F184,IF($I$4="C4",historico_VU!G184,""))))),2))</f>
        <v/>
      </c>
      <c r="Q184" s="179" t="str">
        <f t="shared" si="22"/>
        <v/>
      </c>
      <c r="R184" s="179" t="str">
        <f ca="1">IF(OR(A184="",L184="",NOT(ISNUMBER(IF($I$4="C0",historico_VU!C184,IF($I$4="C1",historico_VU!D184,IF($I$4="C2",historico_VU!E184,IF($I$4="C3",historico_VU!F184,IF($I$4="C4",historico_VU!G184,"")))))))),"",ROUND(L184*IF($I$4="C0",historico_VU!C184,IF($I$4="C1",historico_VU!D184,IF($I$4="C2",historico_VU!E184,IF($I$4="C3",historico_VU!F184,IF($I$4="C4",historico_VU!G184,""))))),2))</f>
        <v/>
      </c>
    </row>
    <row r="185" spans="1:18" x14ac:dyDescent="0.35">
      <c r="A185" s="81" t="str">
        <f>IF(itens_Remanesc!A185="","",itens_Remanesc!A185)</f>
        <v/>
      </c>
      <c r="B185" s="217" t="str">
        <f t="shared" ca="1" si="23"/>
        <v/>
      </c>
      <c r="C185" s="218" t="str">
        <f>IF(A185="","",IF($I$5="","POSICAO DE REFERENCIA INDISPONIVEL",ROUND(IF(itens_Remanesc!B185="",0,itens_Remanesc!B185)+SUMIFS(aditivos!$L$2:$L$200,aditivos!$A$2:$A$200,A185,aditivos!$B$2:$B$200,"&lt;="&amp;$I$5),2)))</f>
        <v/>
      </c>
      <c r="D185" s="218" t="str">
        <f>IF(A185="","",IF($I$4="","",IF($I$2,IF(ISNUMBER(B185),B185,""),IF($I$4="C0",posicao_contratual!G185,IF($I$4="C1",posicao_contratual!K185,IF($I$4="C2",posicao_contratual!O185,IF($I$4="C3",posicao_contratual!S185,IF($I$4="C4",posicao_contratual!W185,""))))))))</f>
        <v/>
      </c>
      <c r="E185" s="219" t="str">
        <f t="shared" si="20"/>
        <v/>
      </c>
      <c r="F185" s="81" t="str">
        <f>IF(A185="","",IF(COUNTIF($A$2:$A$200,A185)&gt;1,"ITEM DUPLICADO",IF($I$4="","POSICAO DE REFERENCIA INDISPONIVEL",IF(AND(B185&lt;&gt;"",NOT(ISNUMBER(B185))),"QTD NAO NUMERICA",IF(AND(ISNUMBER(B185),B185&lt;0),"NEGATIVO NAO PERMITIDO",IF(NOT(ISNUMBER(C185)),"POSICAO CONTRATUAL INDISPONIVEL",IF(OR(AND(posicao_contratual!$Y185&lt;&gt;"",posicao_contratual!$Y185&gt;IFERROR(VALUE(MID($I$4,2,1)),-1)),AND(posicao_contratual!$Z185,ISNUMBER(C185),C185&lt;=0)),"ITEM POSTERIOR A REFERENCIA",IF(D185="","REMANESCENTE DE REFERENCIA INDISPONIVEL",IF(AND(ISNUMBER(D185),ISNUMBER(C185),D185&gt;C185),"REMANESCENTE DE REFERENCIA SUPERA POSICAO CONTRATUAL","OK")))))))))</f>
        <v/>
      </c>
      <c r="K185" s="179" t="str">
        <f>IF(A185="","",itens_Remanesc!C185)</f>
        <v/>
      </c>
      <c r="L185" s="179" t="str">
        <f>IF(A185="","",IF($I$4="C0",posicao_contratual!G185,IF($I$4="C1",posicao_contratual!K185,IF($I$4="C2",posicao_contratual!O185,IF($I$4="C3",posicao_contratual!S185,IF($I$4="C4",posicao_contratual!W185,""))))))</f>
        <v/>
      </c>
      <c r="M185" s="179" t="str">
        <f ca="1">IF(OR(A185="",$I$5="",$I$6=""),"",ROUND(SUMIFS(aditivos!$L$2:$L$200,aditivos!$A$2:$A$200,A185,aditivos!$B$2:$B$200,"&gt;"&amp;$I$6,aditivos!$B$2:$B$200,"&lt;="&amp;$I$5),2))</f>
        <v/>
      </c>
      <c r="N185" s="179" t="str">
        <f t="shared" si="21"/>
        <v/>
      </c>
      <c r="O185" s="179" t="str">
        <f ca="1">IF(OR(A185="",D185="",NOT(ISNUMBER(IF($I$4="C0",historico_VU!C185,IF($I$4="C1",historico_VU!D185,IF($I$4="C2",historico_VU!E185,IF($I$4="C3",historico_VU!F185,IF($I$4="C4",historico_VU!G185,"")))))))),"",ROUND(D185*IF($I$4="C0",historico_VU!C185,IF($I$4="C1",historico_VU!D185,IF($I$4="C2",historico_VU!E185,IF($I$4="C3",historico_VU!F185,IF($I$4="C4",historico_VU!G185,""))))),2))</f>
        <v/>
      </c>
      <c r="P185" s="179" t="str">
        <f ca="1">IF(OR(A185="",N185="",NOT(ISNUMBER(IF($I$4="C0",historico_VU!C185,IF($I$4="C1",historico_VU!D185,IF($I$4="C2",historico_VU!E185,IF($I$4="C3",historico_VU!F185,IF($I$4="C4",historico_VU!G185,"")))))))),"",ROUND(N185*IF($I$4="C0",historico_VU!C185,IF($I$4="C1",historico_VU!D185,IF($I$4="C2",historico_VU!E185,IF($I$4="C3",historico_VU!F185,IF($I$4="C4",historico_VU!G185,""))))),2))</f>
        <v/>
      </c>
      <c r="Q185" s="179" t="str">
        <f t="shared" si="22"/>
        <v/>
      </c>
      <c r="R185" s="179" t="str">
        <f ca="1">IF(OR(A185="",L185="",NOT(ISNUMBER(IF($I$4="C0",historico_VU!C185,IF($I$4="C1",historico_VU!D185,IF($I$4="C2",historico_VU!E185,IF($I$4="C3",historico_VU!F185,IF($I$4="C4",historico_VU!G185,"")))))))),"",ROUND(L185*IF($I$4="C0",historico_VU!C185,IF($I$4="C1",historico_VU!D185,IF($I$4="C2",historico_VU!E185,IF($I$4="C3",historico_VU!F185,IF($I$4="C4",historico_VU!G185,""))))),2))</f>
        <v/>
      </c>
    </row>
    <row r="186" spans="1:18" x14ac:dyDescent="0.35">
      <c r="A186" s="81" t="str">
        <f>IF(itens_Remanesc!A186="","",itens_Remanesc!A186)</f>
        <v/>
      </c>
      <c r="B186" s="217" t="str">
        <f t="shared" ca="1" si="23"/>
        <v/>
      </c>
      <c r="C186" s="218" t="str">
        <f>IF(A186="","",IF($I$5="","POSICAO DE REFERENCIA INDISPONIVEL",ROUND(IF(itens_Remanesc!B186="",0,itens_Remanesc!B186)+SUMIFS(aditivos!$L$2:$L$200,aditivos!$A$2:$A$200,A186,aditivos!$B$2:$B$200,"&lt;="&amp;$I$5),2)))</f>
        <v/>
      </c>
      <c r="D186" s="218" t="str">
        <f>IF(A186="","",IF($I$4="","",IF($I$2,IF(ISNUMBER(B186),B186,""),IF($I$4="C0",posicao_contratual!G186,IF($I$4="C1",posicao_contratual!K186,IF($I$4="C2",posicao_contratual!O186,IF($I$4="C3",posicao_contratual!S186,IF($I$4="C4",posicao_contratual!W186,""))))))))</f>
        <v/>
      </c>
      <c r="E186" s="219" t="str">
        <f t="shared" si="20"/>
        <v/>
      </c>
      <c r="F186" s="81" t="str">
        <f>IF(A186="","",IF(COUNTIF($A$2:$A$200,A186)&gt;1,"ITEM DUPLICADO",IF($I$4="","POSICAO DE REFERENCIA INDISPONIVEL",IF(AND(B186&lt;&gt;"",NOT(ISNUMBER(B186))),"QTD NAO NUMERICA",IF(AND(ISNUMBER(B186),B186&lt;0),"NEGATIVO NAO PERMITIDO",IF(NOT(ISNUMBER(C186)),"POSICAO CONTRATUAL INDISPONIVEL",IF(OR(AND(posicao_contratual!$Y186&lt;&gt;"",posicao_contratual!$Y186&gt;IFERROR(VALUE(MID($I$4,2,1)),-1)),AND(posicao_contratual!$Z186,ISNUMBER(C186),C186&lt;=0)),"ITEM POSTERIOR A REFERENCIA",IF(D186="","REMANESCENTE DE REFERENCIA INDISPONIVEL",IF(AND(ISNUMBER(D186),ISNUMBER(C186),D186&gt;C186),"REMANESCENTE DE REFERENCIA SUPERA POSICAO CONTRATUAL","OK")))))))))</f>
        <v/>
      </c>
      <c r="K186" s="179" t="str">
        <f>IF(A186="","",itens_Remanesc!C186)</f>
        <v/>
      </c>
      <c r="L186" s="179" t="str">
        <f>IF(A186="","",IF($I$4="C0",posicao_contratual!G186,IF($I$4="C1",posicao_contratual!K186,IF($I$4="C2",posicao_contratual!O186,IF($I$4="C3",posicao_contratual!S186,IF($I$4="C4",posicao_contratual!W186,""))))))</f>
        <v/>
      </c>
      <c r="M186" s="179" t="str">
        <f ca="1">IF(OR(A186="",$I$5="",$I$6=""),"",ROUND(SUMIFS(aditivos!$L$2:$L$200,aditivos!$A$2:$A$200,A186,aditivos!$B$2:$B$200,"&gt;"&amp;$I$6,aditivos!$B$2:$B$200,"&lt;="&amp;$I$5),2))</f>
        <v/>
      </c>
      <c r="N186" s="179" t="str">
        <f t="shared" si="21"/>
        <v/>
      </c>
      <c r="O186" s="179" t="str">
        <f ca="1">IF(OR(A186="",D186="",NOT(ISNUMBER(IF($I$4="C0",historico_VU!C186,IF($I$4="C1",historico_VU!D186,IF($I$4="C2",historico_VU!E186,IF($I$4="C3",historico_VU!F186,IF($I$4="C4",historico_VU!G186,"")))))))),"",ROUND(D186*IF($I$4="C0",historico_VU!C186,IF($I$4="C1",historico_VU!D186,IF($I$4="C2",historico_VU!E186,IF($I$4="C3",historico_VU!F186,IF($I$4="C4",historico_VU!G186,""))))),2))</f>
        <v/>
      </c>
      <c r="P186" s="179" t="str">
        <f ca="1">IF(OR(A186="",N186="",NOT(ISNUMBER(IF($I$4="C0",historico_VU!C186,IF($I$4="C1",historico_VU!D186,IF($I$4="C2",historico_VU!E186,IF($I$4="C3",historico_VU!F186,IF($I$4="C4",historico_VU!G186,"")))))))),"",ROUND(N186*IF($I$4="C0",historico_VU!C186,IF($I$4="C1",historico_VU!D186,IF($I$4="C2",historico_VU!E186,IF($I$4="C3",historico_VU!F186,IF($I$4="C4",historico_VU!G186,""))))),2))</f>
        <v/>
      </c>
      <c r="Q186" s="179" t="str">
        <f t="shared" si="22"/>
        <v/>
      </c>
      <c r="R186" s="179" t="str">
        <f ca="1">IF(OR(A186="",L186="",NOT(ISNUMBER(IF($I$4="C0",historico_VU!C186,IF($I$4="C1",historico_VU!D186,IF($I$4="C2",historico_VU!E186,IF($I$4="C3",historico_VU!F186,IF($I$4="C4",historico_VU!G186,"")))))))),"",ROUND(L186*IF($I$4="C0",historico_VU!C186,IF($I$4="C1",historico_VU!D186,IF($I$4="C2",historico_VU!E186,IF($I$4="C3",historico_VU!F186,IF($I$4="C4",historico_VU!G186,""))))),2))</f>
        <v/>
      </c>
    </row>
    <row r="187" spans="1:18" x14ac:dyDescent="0.35">
      <c r="A187" s="81" t="str">
        <f>IF(itens_Remanesc!A187="","",itens_Remanesc!A187)</f>
        <v/>
      </c>
      <c r="B187" s="217" t="str">
        <f t="shared" ca="1" si="23"/>
        <v/>
      </c>
      <c r="C187" s="218" t="str">
        <f>IF(A187="","",IF($I$5="","POSICAO DE REFERENCIA INDISPONIVEL",ROUND(IF(itens_Remanesc!B187="",0,itens_Remanesc!B187)+SUMIFS(aditivos!$L$2:$L$200,aditivos!$A$2:$A$200,A187,aditivos!$B$2:$B$200,"&lt;="&amp;$I$5),2)))</f>
        <v/>
      </c>
      <c r="D187" s="218" t="str">
        <f>IF(A187="","",IF($I$4="","",IF($I$2,IF(ISNUMBER(B187),B187,""),IF($I$4="C0",posicao_contratual!G187,IF($I$4="C1",posicao_contratual!K187,IF($I$4="C2",posicao_contratual!O187,IF($I$4="C3",posicao_contratual!S187,IF($I$4="C4",posicao_contratual!W187,""))))))))</f>
        <v/>
      </c>
      <c r="E187" s="219" t="str">
        <f t="shared" si="20"/>
        <v/>
      </c>
      <c r="F187" s="81" t="str">
        <f>IF(A187="","",IF(COUNTIF($A$2:$A$200,A187)&gt;1,"ITEM DUPLICADO",IF($I$4="","POSICAO DE REFERENCIA INDISPONIVEL",IF(AND(B187&lt;&gt;"",NOT(ISNUMBER(B187))),"QTD NAO NUMERICA",IF(AND(ISNUMBER(B187),B187&lt;0),"NEGATIVO NAO PERMITIDO",IF(NOT(ISNUMBER(C187)),"POSICAO CONTRATUAL INDISPONIVEL",IF(OR(AND(posicao_contratual!$Y187&lt;&gt;"",posicao_contratual!$Y187&gt;IFERROR(VALUE(MID($I$4,2,1)),-1)),AND(posicao_contratual!$Z187,ISNUMBER(C187),C187&lt;=0)),"ITEM POSTERIOR A REFERENCIA",IF(D187="","REMANESCENTE DE REFERENCIA INDISPONIVEL",IF(AND(ISNUMBER(D187),ISNUMBER(C187),D187&gt;C187),"REMANESCENTE DE REFERENCIA SUPERA POSICAO CONTRATUAL","OK")))))))))</f>
        <v/>
      </c>
      <c r="K187" s="179" t="str">
        <f>IF(A187="","",itens_Remanesc!C187)</f>
        <v/>
      </c>
      <c r="L187" s="179" t="str">
        <f>IF(A187="","",IF($I$4="C0",posicao_contratual!G187,IF($I$4="C1",posicao_contratual!K187,IF($I$4="C2",posicao_contratual!O187,IF($I$4="C3",posicao_contratual!S187,IF($I$4="C4",posicao_contratual!W187,""))))))</f>
        <v/>
      </c>
      <c r="M187" s="179" t="str">
        <f ca="1">IF(OR(A187="",$I$5="",$I$6=""),"",ROUND(SUMIFS(aditivos!$L$2:$L$200,aditivos!$A$2:$A$200,A187,aditivos!$B$2:$B$200,"&gt;"&amp;$I$6,aditivos!$B$2:$B$200,"&lt;="&amp;$I$5),2))</f>
        <v/>
      </c>
      <c r="N187" s="179" t="str">
        <f t="shared" si="21"/>
        <v/>
      </c>
      <c r="O187" s="179" t="str">
        <f ca="1">IF(OR(A187="",D187="",NOT(ISNUMBER(IF($I$4="C0",historico_VU!C187,IF($I$4="C1",historico_VU!D187,IF($I$4="C2",historico_VU!E187,IF($I$4="C3",historico_VU!F187,IF($I$4="C4",historico_VU!G187,"")))))))),"",ROUND(D187*IF($I$4="C0",historico_VU!C187,IF($I$4="C1",historico_VU!D187,IF($I$4="C2",historico_VU!E187,IF($I$4="C3",historico_VU!F187,IF($I$4="C4",historico_VU!G187,""))))),2))</f>
        <v/>
      </c>
      <c r="P187" s="179" t="str">
        <f ca="1">IF(OR(A187="",N187="",NOT(ISNUMBER(IF($I$4="C0",historico_VU!C187,IF($I$4="C1",historico_VU!D187,IF($I$4="C2",historico_VU!E187,IF($I$4="C3",historico_VU!F187,IF($I$4="C4",historico_VU!G187,"")))))))),"",ROUND(N187*IF($I$4="C0",historico_VU!C187,IF($I$4="C1",historico_VU!D187,IF($I$4="C2",historico_VU!E187,IF($I$4="C3",historico_VU!F187,IF($I$4="C4",historico_VU!G187,""))))),2))</f>
        <v/>
      </c>
      <c r="Q187" s="179" t="str">
        <f t="shared" si="22"/>
        <v/>
      </c>
      <c r="R187" s="179" t="str">
        <f ca="1">IF(OR(A187="",L187="",NOT(ISNUMBER(IF($I$4="C0",historico_VU!C187,IF($I$4="C1",historico_VU!D187,IF($I$4="C2",historico_VU!E187,IF($I$4="C3",historico_VU!F187,IF($I$4="C4",historico_VU!G187,"")))))))),"",ROUND(L187*IF($I$4="C0",historico_VU!C187,IF($I$4="C1",historico_VU!D187,IF($I$4="C2",historico_VU!E187,IF($I$4="C3",historico_VU!F187,IF($I$4="C4",historico_VU!G187,""))))),2))</f>
        <v/>
      </c>
    </row>
    <row r="188" spans="1:18" x14ac:dyDescent="0.35">
      <c r="A188" s="81" t="str">
        <f>IF(itens_Remanesc!A188="","",itens_Remanesc!A188)</f>
        <v/>
      </c>
      <c r="B188" s="217" t="str">
        <f t="shared" ca="1" si="23"/>
        <v/>
      </c>
      <c r="C188" s="218" t="str">
        <f>IF(A188="","",IF($I$5="","POSICAO DE REFERENCIA INDISPONIVEL",ROUND(IF(itens_Remanesc!B188="",0,itens_Remanesc!B188)+SUMIFS(aditivos!$L$2:$L$200,aditivos!$A$2:$A$200,A188,aditivos!$B$2:$B$200,"&lt;="&amp;$I$5),2)))</f>
        <v/>
      </c>
      <c r="D188" s="218" t="str">
        <f>IF(A188="","",IF($I$4="","",IF($I$2,IF(ISNUMBER(B188),B188,""),IF($I$4="C0",posicao_contratual!G188,IF($I$4="C1",posicao_contratual!K188,IF($I$4="C2",posicao_contratual!O188,IF($I$4="C3",posicao_contratual!S188,IF($I$4="C4",posicao_contratual!W188,""))))))))</f>
        <v/>
      </c>
      <c r="E188" s="219" t="str">
        <f t="shared" si="20"/>
        <v/>
      </c>
      <c r="F188" s="81" t="str">
        <f>IF(A188="","",IF(COUNTIF($A$2:$A$200,A188)&gt;1,"ITEM DUPLICADO",IF($I$4="","POSICAO DE REFERENCIA INDISPONIVEL",IF(AND(B188&lt;&gt;"",NOT(ISNUMBER(B188))),"QTD NAO NUMERICA",IF(AND(ISNUMBER(B188),B188&lt;0),"NEGATIVO NAO PERMITIDO",IF(NOT(ISNUMBER(C188)),"POSICAO CONTRATUAL INDISPONIVEL",IF(OR(AND(posicao_contratual!$Y188&lt;&gt;"",posicao_contratual!$Y188&gt;IFERROR(VALUE(MID($I$4,2,1)),-1)),AND(posicao_contratual!$Z188,ISNUMBER(C188),C188&lt;=0)),"ITEM POSTERIOR A REFERENCIA",IF(D188="","REMANESCENTE DE REFERENCIA INDISPONIVEL",IF(AND(ISNUMBER(D188),ISNUMBER(C188),D188&gt;C188),"REMANESCENTE DE REFERENCIA SUPERA POSICAO CONTRATUAL","OK")))))))))</f>
        <v/>
      </c>
      <c r="K188" s="179" t="str">
        <f>IF(A188="","",itens_Remanesc!C188)</f>
        <v/>
      </c>
      <c r="L188" s="179" t="str">
        <f>IF(A188="","",IF($I$4="C0",posicao_contratual!G188,IF($I$4="C1",posicao_contratual!K188,IF($I$4="C2",posicao_contratual!O188,IF($I$4="C3",posicao_contratual!S188,IF($I$4="C4",posicao_contratual!W188,""))))))</f>
        <v/>
      </c>
      <c r="M188" s="179" t="str">
        <f ca="1">IF(OR(A188="",$I$5="",$I$6=""),"",ROUND(SUMIFS(aditivos!$L$2:$L$200,aditivos!$A$2:$A$200,A188,aditivos!$B$2:$B$200,"&gt;"&amp;$I$6,aditivos!$B$2:$B$200,"&lt;="&amp;$I$5),2))</f>
        <v/>
      </c>
      <c r="N188" s="179" t="str">
        <f t="shared" si="21"/>
        <v/>
      </c>
      <c r="O188" s="179" t="str">
        <f ca="1">IF(OR(A188="",D188="",NOT(ISNUMBER(IF($I$4="C0",historico_VU!C188,IF($I$4="C1",historico_VU!D188,IF($I$4="C2",historico_VU!E188,IF($I$4="C3",historico_VU!F188,IF($I$4="C4",historico_VU!G188,"")))))))),"",ROUND(D188*IF($I$4="C0",historico_VU!C188,IF($I$4="C1",historico_VU!D188,IF($I$4="C2",historico_VU!E188,IF($I$4="C3",historico_VU!F188,IF($I$4="C4",historico_VU!G188,""))))),2))</f>
        <v/>
      </c>
      <c r="P188" s="179" t="str">
        <f ca="1">IF(OR(A188="",N188="",NOT(ISNUMBER(IF($I$4="C0",historico_VU!C188,IF($I$4="C1",historico_VU!D188,IF($I$4="C2",historico_VU!E188,IF($I$4="C3",historico_VU!F188,IF($I$4="C4",historico_VU!G188,"")))))))),"",ROUND(N188*IF($I$4="C0",historico_VU!C188,IF($I$4="C1",historico_VU!D188,IF($I$4="C2",historico_VU!E188,IF($I$4="C3",historico_VU!F188,IF($I$4="C4",historico_VU!G188,""))))),2))</f>
        <v/>
      </c>
      <c r="Q188" s="179" t="str">
        <f t="shared" si="22"/>
        <v/>
      </c>
      <c r="R188" s="179" t="str">
        <f ca="1">IF(OR(A188="",L188="",NOT(ISNUMBER(IF($I$4="C0",historico_VU!C188,IF($I$4="C1",historico_VU!D188,IF($I$4="C2",historico_VU!E188,IF($I$4="C3",historico_VU!F188,IF($I$4="C4",historico_VU!G188,"")))))))),"",ROUND(L188*IF($I$4="C0",historico_VU!C188,IF($I$4="C1",historico_VU!D188,IF($I$4="C2",historico_VU!E188,IF($I$4="C3",historico_VU!F188,IF($I$4="C4",historico_VU!G188,""))))),2))</f>
        <v/>
      </c>
    </row>
    <row r="189" spans="1:18" x14ac:dyDescent="0.35">
      <c r="A189" s="81" t="str">
        <f>IF(itens_Remanesc!A189="","",itens_Remanesc!A189)</f>
        <v/>
      </c>
      <c r="B189" s="217" t="str">
        <f t="shared" ca="1" si="23"/>
        <v/>
      </c>
      <c r="C189" s="218" t="str">
        <f>IF(A189="","",IF($I$5="","POSICAO DE REFERENCIA INDISPONIVEL",ROUND(IF(itens_Remanesc!B189="",0,itens_Remanesc!B189)+SUMIFS(aditivos!$L$2:$L$200,aditivos!$A$2:$A$200,A189,aditivos!$B$2:$B$200,"&lt;="&amp;$I$5),2)))</f>
        <v/>
      </c>
      <c r="D189" s="218" t="str">
        <f>IF(A189="","",IF($I$4="","",IF($I$2,IF(ISNUMBER(B189),B189,""),IF($I$4="C0",posicao_contratual!G189,IF($I$4="C1",posicao_contratual!K189,IF($I$4="C2",posicao_contratual!O189,IF($I$4="C3",posicao_contratual!S189,IF($I$4="C4",posicao_contratual!W189,""))))))))</f>
        <v/>
      </c>
      <c r="E189" s="219" t="str">
        <f t="shared" si="20"/>
        <v/>
      </c>
      <c r="F189" s="81" t="str">
        <f>IF(A189="","",IF(COUNTIF($A$2:$A$200,A189)&gt;1,"ITEM DUPLICADO",IF($I$4="","POSICAO DE REFERENCIA INDISPONIVEL",IF(AND(B189&lt;&gt;"",NOT(ISNUMBER(B189))),"QTD NAO NUMERICA",IF(AND(ISNUMBER(B189),B189&lt;0),"NEGATIVO NAO PERMITIDO",IF(NOT(ISNUMBER(C189)),"POSICAO CONTRATUAL INDISPONIVEL",IF(OR(AND(posicao_contratual!$Y189&lt;&gt;"",posicao_contratual!$Y189&gt;IFERROR(VALUE(MID($I$4,2,1)),-1)),AND(posicao_contratual!$Z189,ISNUMBER(C189),C189&lt;=0)),"ITEM POSTERIOR A REFERENCIA",IF(D189="","REMANESCENTE DE REFERENCIA INDISPONIVEL",IF(AND(ISNUMBER(D189),ISNUMBER(C189),D189&gt;C189),"REMANESCENTE DE REFERENCIA SUPERA POSICAO CONTRATUAL","OK")))))))))</f>
        <v/>
      </c>
      <c r="K189" s="179" t="str">
        <f>IF(A189="","",itens_Remanesc!C189)</f>
        <v/>
      </c>
      <c r="L189" s="179" t="str">
        <f>IF(A189="","",IF($I$4="C0",posicao_contratual!G189,IF($I$4="C1",posicao_contratual!K189,IF($I$4="C2",posicao_contratual!O189,IF($I$4="C3",posicao_contratual!S189,IF($I$4="C4",posicao_contratual!W189,""))))))</f>
        <v/>
      </c>
      <c r="M189" s="179" t="str">
        <f ca="1">IF(OR(A189="",$I$5="",$I$6=""),"",ROUND(SUMIFS(aditivos!$L$2:$L$200,aditivos!$A$2:$A$200,A189,aditivos!$B$2:$B$200,"&gt;"&amp;$I$6,aditivos!$B$2:$B$200,"&lt;="&amp;$I$5),2))</f>
        <v/>
      </c>
      <c r="N189" s="179" t="str">
        <f t="shared" si="21"/>
        <v/>
      </c>
      <c r="O189" s="179" t="str">
        <f ca="1">IF(OR(A189="",D189="",NOT(ISNUMBER(IF($I$4="C0",historico_VU!C189,IF($I$4="C1",historico_VU!D189,IF($I$4="C2",historico_VU!E189,IF($I$4="C3",historico_VU!F189,IF($I$4="C4",historico_VU!G189,"")))))))),"",ROUND(D189*IF($I$4="C0",historico_VU!C189,IF($I$4="C1",historico_VU!D189,IF($I$4="C2",historico_VU!E189,IF($I$4="C3",historico_VU!F189,IF($I$4="C4",historico_VU!G189,""))))),2))</f>
        <v/>
      </c>
      <c r="P189" s="179" t="str">
        <f ca="1">IF(OR(A189="",N189="",NOT(ISNUMBER(IF($I$4="C0",historico_VU!C189,IF($I$4="C1",historico_VU!D189,IF($I$4="C2",historico_VU!E189,IF($I$4="C3",historico_VU!F189,IF($I$4="C4",historico_VU!G189,"")))))))),"",ROUND(N189*IF($I$4="C0",historico_VU!C189,IF($I$4="C1",historico_VU!D189,IF($I$4="C2",historico_VU!E189,IF($I$4="C3",historico_VU!F189,IF($I$4="C4",historico_VU!G189,""))))),2))</f>
        <v/>
      </c>
      <c r="Q189" s="179" t="str">
        <f t="shared" si="22"/>
        <v/>
      </c>
      <c r="R189" s="179" t="str">
        <f ca="1">IF(OR(A189="",L189="",NOT(ISNUMBER(IF($I$4="C0",historico_VU!C189,IF($I$4="C1",historico_VU!D189,IF($I$4="C2",historico_VU!E189,IF($I$4="C3",historico_VU!F189,IF($I$4="C4",historico_VU!G189,"")))))))),"",ROUND(L189*IF($I$4="C0",historico_VU!C189,IF($I$4="C1",historico_VU!D189,IF($I$4="C2",historico_VU!E189,IF($I$4="C3",historico_VU!F189,IF($I$4="C4",historico_VU!G189,""))))),2))</f>
        <v/>
      </c>
    </row>
    <row r="190" spans="1:18" x14ac:dyDescent="0.35">
      <c r="A190" s="81" t="str">
        <f>IF(itens_Remanesc!A190="","",itens_Remanesc!A190)</f>
        <v/>
      </c>
      <c r="B190" s="217" t="str">
        <f t="shared" ca="1" si="23"/>
        <v/>
      </c>
      <c r="C190" s="218" t="str">
        <f>IF(A190="","",IF($I$5="","POSICAO DE REFERENCIA INDISPONIVEL",ROUND(IF(itens_Remanesc!B190="",0,itens_Remanesc!B190)+SUMIFS(aditivos!$L$2:$L$200,aditivos!$A$2:$A$200,A190,aditivos!$B$2:$B$200,"&lt;="&amp;$I$5),2)))</f>
        <v/>
      </c>
      <c r="D190" s="218" t="str">
        <f>IF(A190="","",IF($I$4="","",IF($I$2,IF(ISNUMBER(B190),B190,""),IF($I$4="C0",posicao_contratual!G190,IF($I$4="C1",posicao_contratual!K190,IF($I$4="C2",posicao_contratual!O190,IF($I$4="C3",posicao_contratual!S190,IF($I$4="C4",posicao_contratual!W190,""))))))))</f>
        <v/>
      </c>
      <c r="E190" s="219" t="str">
        <f t="shared" si="20"/>
        <v/>
      </c>
      <c r="F190" s="81" t="str">
        <f>IF(A190="","",IF(COUNTIF($A$2:$A$200,A190)&gt;1,"ITEM DUPLICADO",IF($I$4="","POSICAO DE REFERENCIA INDISPONIVEL",IF(AND(B190&lt;&gt;"",NOT(ISNUMBER(B190))),"QTD NAO NUMERICA",IF(AND(ISNUMBER(B190),B190&lt;0),"NEGATIVO NAO PERMITIDO",IF(NOT(ISNUMBER(C190)),"POSICAO CONTRATUAL INDISPONIVEL",IF(OR(AND(posicao_contratual!$Y190&lt;&gt;"",posicao_contratual!$Y190&gt;IFERROR(VALUE(MID($I$4,2,1)),-1)),AND(posicao_contratual!$Z190,ISNUMBER(C190),C190&lt;=0)),"ITEM POSTERIOR A REFERENCIA",IF(D190="","REMANESCENTE DE REFERENCIA INDISPONIVEL",IF(AND(ISNUMBER(D190),ISNUMBER(C190),D190&gt;C190),"REMANESCENTE DE REFERENCIA SUPERA POSICAO CONTRATUAL","OK")))))))))</f>
        <v/>
      </c>
      <c r="K190" s="179" t="str">
        <f>IF(A190="","",itens_Remanesc!C190)</f>
        <v/>
      </c>
      <c r="L190" s="179" t="str">
        <f>IF(A190="","",IF($I$4="C0",posicao_contratual!G190,IF($I$4="C1",posicao_contratual!K190,IF($I$4="C2",posicao_contratual!O190,IF($I$4="C3",posicao_contratual!S190,IF($I$4="C4",posicao_contratual!W190,""))))))</f>
        <v/>
      </c>
      <c r="M190" s="179" t="str">
        <f ca="1">IF(OR(A190="",$I$5="",$I$6=""),"",ROUND(SUMIFS(aditivos!$L$2:$L$200,aditivos!$A$2:$A$200,A190,aditivos!$B$2:$B$200,"&gt;"&amp;$I$6,aditivos!$B$2:$B$200,"&lt;="&amp;$I$5),2))</f>
        <v/>
      </c>
      <c r="N190" s="179" t="str">
        <f t="shared" si="21"/>
        <v/>
      </c>
      <c r="O190" s="179" t="str">
        <f ca="1">IF(OR(A190="",D190="",NOT(ISNUMBER(IF($I$4="C0",historico_VU!C190,IF($I$4="C1",historico_VU!D190,IF($I$4="C2",historico_VU!E190,IF($I$4="C3",historico_VU!F190,IF($I$4="C4",historico_VU!G190,"")))))))),"",ROUND(D190*IF($I$4="C0",historico_VU!C190,IF($I$4="C1",historico_VU!D190,IF($I$4="C2",historico_VU!E190,IF($I$4="C3",historico_VU!F190,IF($I$4="C4",historico_VU!G190,""))))),2))</f>
        <v/>
      </c>
      <c r="P190" s="179" t="str">
        <f ca="1">IF(OR(A190="",N190="",NOT(ISNUMBER(IF($I$4="C0",historico_VU!C190,IF($I$4="C1",historico_VU!D190,IF($I$4="C2",historico_VU!E190,IF($I$4="C3",historico_VU!F190,IF($I$4="C4",historico_VU!G190,"")))))))),"",ROUND(N190*IF($I$4="C0",historico_VU!C190,IF($I$4="C1",historico_VU!D190,IF($I$4="C2",historico_VU!E190,IF($I$4="C3",historico_VU!F190,IF($I$4="C4",historico_VU!G190,""))))),2))</f>
        <v/>
      </c>
      <c r="Q190" s="179" t="str">
        <f t="shared" si="22"/>
        <v/>
      </c>
      <c r="R190" s="179" t="str">
        <f ca="1">IF(OR(A190="",L190="",NOT(ISNUMBER(IF($I$4="C0",historico_VU!C190,IF($I$4="C1",historico_VU!D190,IF($I$4="C2",historico_VU!E190,IF($I$4="C3",historico_VU!F190,IF($I$4="C4",historico_VU!G190,"")))))))),"",ROUND(L190*IF($I$4="C0",historico_VU!C190,IF($I$4="C1",historico_VU!D190,IF($I$4="C2",historico_VU!E190,IF($I$4="C3",historico_VU!F190,IF($I$4="C4",historico_VU!G190,""))))),2))</f>
        <v/>
      </c>
    </row>
    <row r="191" spans="1:18" x14ac:dyDescent="0.35">
      <c r="A191" s="81" t="str">
        <f>IF(itens_Remanesc!A191="","",itens_Remanesc!A191)</f>
        <v/>
      </c>
      <c r="B191" s="217" t="str">
        <f t="shared" ca="1" si="23"/>
        <v/>
      </c>
      <c r="C191" s="218" t="str">
        <f>IF(A191="","",IF($I$5="","POSICAO DE REFERENCIA INDISPONIVEL",ROUND(IF(itens_Remanesc!B191="",0,itens_Remanesc!B191)+SUMIFS(aditivos!$L$2:$L$200,aditivos!$A$2:$A$200,A191,aditivos!$B$2:$B$200,"&lt;="&amp;$I$5),2)))</f>
        <v/>
      </c>
      <c r="D191" s="218" t="str">
        <f>IF(A191="","",IF($I$4="","",IF($I$2,IF(ISNUMBER(B191),B191,""),IF($I$4="C0",posicao_contratual!G191,IF($I$4="C1",posicao_contratual!K191,IF($I$4="C2",posicao_contratual!O191,IF($I$4="C3",posicao_contratual!S191,IF($I$4="C4",posicao_contratual!W191,""))))))))</f>
        <v/>
      </c>
      <c r="E191" s="219" t="str">
        <f t="shared" si="20"/>
        <v/>
      </c>
      <c r="F191" s="81" t="str">
        <f>IF(A191="","",IF(COUNTIF($A$2:$A$200,A191)&gt;1,"ITEM DUPLICADO",IF($I$4="","POSICAO DE REFERENCIA INDISPONIVEL",IF(AND(B191&lt;&gt;"",NOT(ISNUMBER(B191))),"QTD NAO NUMERICA",IF(AND(ISNUMBER(B191),B191&lt;0),"NEGATIVO NAO PERMITIDO",IF(NOT(ISNUMBER(C191)),"POSICAO CONTRATUAL INDISPONIVEL",IF(OR(AND(posicao_contratual!$Y191&lt;&gt;"",posicao_contratual!$Y191&gt;IFERROR(VALUE(MID($I$4,2,1)),-1)),AND(posicao_contratual!$Z191,ISNUMBER(C191),C191&lt;=0)),"ITEM POSTERIOR A REFERENCIA",IF(D191="","REMANESCENTE DE REFERENCIA INDISPONIVEL",IF(AND(ISNUMBER(D191),ISNUMBER(C191),D191&gt;C191),"REMANESCENTE DE REFERENCIA SUPERA POSICAO CONTRATUAL","OK")))))))))</f>
        <v/>
      </c>
      <c r="K191" s="179" t="str">
        <f>IF(A191="","",itens_Remanesc!C191)</f>
        <v/>
      </c>
      <c r="L191" s="179" t="str">
        <f>IF(A191="","",IF($I$4="C0",posicao_contratual!G191,IF($I$4="C1",posicao_contratual!K191,IF($I$4="C2",posicao_contratual!O191,IF($I$4="C3",posicao_contratual!S191,IF($I$4="C4",posicao_contratual!W191,""))))))</f>
        <v/>
      </c>
      <c r="M191" s="179" t="str">
        <f ca="1">IF(OR(A191="",$I$5="",$I$6=""),"",ROUND(SUMIFS(aditivos!$L$2:$L$200,aditivos!$A$2:$A$200,A191,aditivos!$B$2:$B$200,"&gt;"&amp;$I$6,aditivos!$B$2:$B$200,"&lt;="&amp;$I$5),2))</f>
        <v/>
      </c>
      <c r="N191" s="179" t="str">
        <f t="shared" si="21"/>
        <v/>
      </c>
      <c r="O191" s="179" t="str">
        <f ca="1">IF(OR(A191="",D191="",NOT(ISNUMBER(IF($I$4="C0",historico_VU!C191,IF($I$4="C1",historico_VU!D191,IF($I$4="C2",historico_VU!E191,IF($I$4="C3",historico_VU!F191,IF($I$4="C4",historico_VU!G191,"")))))))),"",ROUND(D191*IF($I$4="C0",historico_VU!C191,IF($I$4="C1",historico_VU!D191,IF($I$4="C2",historico_VU!E191,IF($I$4="C3",historico_VU!F191,IF($I$4="C4",historico_VU!G191,""))))),2))</f>
        <v/>
      </c>
      <c r="P191" s="179" t="str">
        <f ca="1">IF(OR(A191="",N191="",NOT(ISNUMBER(IF($I$4="C0",historico_VU!C191,IF($I$4="C1",historico_VU!D191,IF($I$4="C2",historico_VU!E191,IF($I$4="C3",historico_VU!F191,IF($I$4="C4",historico_VU!G191,"")))))))),"",ROUND(N191*IF($I$4="C0",historico_VU!C191,IF($I$4="C1",historico_VU!D191,IF($I$4="C2",historico_VU!E191,IF($I$4="C3",historico_VU!F191,IF($I$4="C4",historico_VU!G191,""))))),2))</f>
        <v/>
      </c>
      <c r="Q191" s="179" t="str">
        <f t="shared" si="22"/>
        <v/>
      </c>
      <c r="R191" s="179" t="str">
        <f ca="1">IF(OR(A191="",L191="",NOT(ISNUMBER(IF($I$4="C0",historico_VU!C191,IF($I$4="C1",historico_VU!D191,IF($I$4="C2",historico_VU!E191,IF($I$4="C3",historico_VU!F191,IF($I$4="C4",historico_VU!G191,"")))))))),"",ROUND(L191*IF($I$4="C0",historico_VU!C191,IF($I$4="C1",historico_VU!D191,IF($I$4="C2",historico_VU!E191,IF($I$4="C3",historico_VU!F191,IF($I$4="C4",historico_VU!G191,""))))),2))</f>
        <v/>
      </c>
    </row>
    <row r="192" spans="1:18" x14ac:dyDescent="0.35">
      <c r="A192" s="81" t="str">
        <f>IF(itens_Remanesc!A192="","",itens_Remanesc!A192)</f>
        <v/>
      </c>
      <c r="B192" s="217" t="str">
        <f t="shared" ca="1" si="23"/>
        <v/>
      </c>
      <c r="C192" s="218" t="str">
        <f>IF(A192="","",IF($I$5="","POSICAO DE REFERENCIA INDISPONIVEL",ROUND(IF(itens_Remanesc!B192="",0,itens_Remanesc!B192)+SUMIFS(aditivos!$L$2:$L$200,aditivos!$A$2:$A$200,A192,aditivos!$B$2:$B$200,"&lt;="&amp;$I$5),2)))</f>
        <v/>
      </c>
      <c r="D192" s="218" t="str">
        <f>IF(A192="","",IF($I$4="","",IF($I$2,IF(ISNUMBER(B192),B192,""),IF($I$4="C0",posicao_contratual!G192,IF($I$4="C1",posicao_contratual!K192,IF($I$4="C2",posicao_contratual!O192,IF($I$4="C3",posicao_contratual!S192,IF($I$4="C4",posicao_contratual!W192,""))))))))</f>
        <v/>
      </c>
      <c r="E192" s="219" t="str">
        <f t="shared" si="20"/>
        <v/>
      </c>
      <c r="F192" s="81" t="str">
        <f>IF(A192="","",IF(COUNTIF($A$2:$A$200,A192)&gt;1,"ITEM DUPLICADO",IF($I$4="","POSICAO DE REFERENCIA INDISPONIVEL",IF(AND(B192&lt;&gt;"",NOT(ISNUMBER(B192))),"QTD NAO NUMERICA",IF(AND(ISNUMBER(B192),B192&lt;0),"NEGATIVO NAO PERMITIDO",IF(NOT(ISNUMBER(C192)),"POSICAO CONTRATUAL INDISPONIVEL",IF(OR(AND(posicao_contratual!$Y192&lt;&gt;"",posicao_contratual!$Y192&gt;IFERROR(VALUE(MID($I$4,2,1)),-1)),AND(posicao_contratual!$Z192,ISNUMBER(C192),C192&lt;=0)),"ITEM POSTERIOR A REFERENCIA",IF(D192="","REMANESCENTE DE REFERENCIA INDISPONIVEL",IF(AND(ISNUMBER(D192),ISNUMBER(C192),D192&gt;C192),"REMANESCENTE DE REFERENCIA SUPERA POSICAO CONTRATUAL","OK")))))))))</f>
        <v/>
      </c>
      <c r="K192" s="179" t="str">
        <f>IF(A192="","",itens_Remanesc!C192)</f>
        <v/>
      </c>
      <c r="L192" s="179" t="str">
        <f>IF(A192="","",IF($I$4="C0",posicao_contratual!G192,IF($I$4="C1",posicao_contratual!K192,IF($I$4="C2",posicao_contratual!O192,IF($I$4="C3",posicao_contratual!S192,IF($I$4="C4",posicao_contratual!W192,""))))))</f>
        <v/>
      </c>
      <c r="M192" s="179" t="str">
        <f ca="1">IF(OR(A192="",$I$5="",$I$6=""),"",ROUND(SUMIFS(aditivos!$L$2:$L$200,aditivos!$A$2:$A$200,A192,aditivos!$B$2:$B$200,"&gt;"&amp;$I$6,aditivos!$B$2:$B$200,"&lt;="&amp;$I$5),2))</f>
        <v/>
      </c>
      <c r="N192" s="179" t="str">
        <f t="shared" si="21"/>
        <v/>
      </c>
      <c r="O192" s="179" t="str">
        <f ca="1">IF(OR(A192="",D192="",NOT(ISNUMBER(IF($I$4="C0",historico_VU!C192,IF($I$4="C1",historico_VU!D192,IF($I$4="C2",historico_VU!E192,IF($I$4="C3",historico_VU!F192,IF($I$4="C4",historico_VU!G192,"")))))))),"",ROUND(D192*IF($I$4="C0",historico_VU!C192,IF($I$4="C1",historico_VU!D192,IF($I$4="C2",historico_VU!E192,IF($I$4="C3",historico_VU!F192,IF($I$4="C4",historico_VU!G192,""))))),2))</f>
        <v/>
      </c>
      <c r="P192" s="179" t="str">
        <f ca="1">IF(OR(A192="",N192="",NOT(ISNUMBER(IF($I$4="C0",historico_VU!C192,IF($I$4="C1",historico_VU!D192,IF($I$4="C2",historico_VU!E192,IF($I$4="C3",historico_VU!F192,IF($I$4="C4",historico_VU!G192,"")))))))),"",ROUND(N192*IF($I$4="C0",historico_VU!C192,IF($I$4="C1",historico_VU!D192,IF($I$4="C2",historico_VU!E192,IF($I$4="C3",historico_VU!F192,IF($I$4="C4",historico_VU!G192,""))))),2))</f>
        <v/>
      </c>
      <c r="Q192" s="179" t="str">
        <f t="shared" si="22"/>
        <v/>
      </c>
      <c r="R192" s="179" t="str">
        <f ca="1">IF(OR(A192="",L192="",NOT(ISNUMBER(IF($I$4="C0",historico_VU!C192,IF($I$4="C1",historico_VU!D192,IF($I$4="C2",historico_VU!E192,IF($I$4="C3",historico_VU!F192,IF($I$4="C4",historico_VU!G192,"")))))))),"",ROUND(L192*IF($I$4="C0",historico_VU!C192,IF($I$4="C1",historico_VU!D192,IF($I$4="C2",historico_VU!E192,IF($I$4="C3",historico_VU!F192,IF($I$4="C4",historico_VU!G192,""))))),2))</f>
        <v/>
      </c>
    </row>
    <row r="193" spans="1:18" x14ac:dyDescent="0.35">
      <c r="A193" s="81" t="str">
        <f>IF(itens_Remanesc!A193="","",itens_Remanesc!A193)</f>
        <v/>
      </c>
      <c r="B193" s="217" t="str">
        <f t="shared" ca="1" si="23"/>
        <v/>
      </c>
      <c r="C193" s="218" t="str">
        <f>IF(A193="","",IF($I$5="","POSICAO DE REFERENCIA INDISPONIVEL",ROUND(IF(itens_Remanesc!B193="",0,itens_Remanesc!B193)+SUMIFS(aditivos!$L$2:$L$200,aditivos!$A$2:$A$200,A193,aditivos!$B$2:$B$200,"&lt;="&amp;$I$5),2)))</f>
        <v/>
      </c>
      <c r="D193" s="218" t="str">
        <f>IF(A193="","",IF($I$4="","",IF($I$2,IF(ISNUMBER(B193),B193,""),IF($I$4="C0",posicao_contratual!G193,IF($I$4="C1",posicao_contratual!K193,IF($I$4="C2",posicao_contratual!O193,IF($I$4="C3",posicao_contratual!S193,IF($I$4="C4",posicao_contratual!W193,""))))))))</f>
        <v/>
      </c>
      <c r="E193" s="219" t="str">
        <f t="shared" si="20"/>
        <v/>
      </c>
      <c r="F193" s="81" t="str">
        <f>IF(A193="","",IF(COUNTIF($A$2:$A$200,A193)&gt;1,"ITEM DUPLICADO",IF($I$4="","POSICAO DE REFERENCIA INDISPONIVEL",IF(AND(B193&lt;&gt;"",NOT(ISNUMBER(B193))),"QTD NAO NUMERICA",IF(AND(ISNUMBER(B193),B193&lt;0),"NEGATIVO NAO PERMITIDO",IF(NOT(ISNUMBER(C193)),"POSICAO CONTRATUAL INDISPONIVEL",IF(OR(AND(posicao_contratual!$Y193&lt;&gt;"",posicao_contratual!$Y193&gt;IFERROR(VALUE(MID($I$4,2,1)),-1)),AND(posicao_contratual!$Z193,ISNUMBER(C193),C193&lt;=0)),"ITEM POSTERIOR A REFERENCIA",IF(D193="","REMANESCENTE DE REFERENCIA INDISPONIVEL",IF(AND(ISNUMBER(D193),ISNUMBER(C193),D193&gt;C193),"REMANESCENTE DE REFERENCIA SUPERA POSICAO CONTRATUAL","OK")))))))))</f>
        <v/>
      </c>
      <c r="K193" s="179" t="str">
        <f>IF(A193="","",itens_Remanesc!C193)</f>
        <v/>
      </c>
      <c r="L193" s="179" t="str">
        <f>IF(A193="","",IF($I$4="C0",posicao_contratual!G193,IF($I$4="C1",posicao_contratual!K193,IF($I$4="C2",posicao_contratual!O193,IF($I$4="C3",posicao_contratual!S193,IF($I$4="C4",posicao_contratual!W193,""))))))</f>
        <v/>
      </c>
      <c r="M193" s="179" t="str">
        <f ca="1">IF(OR(A193="",$I$5="",$I$6=""),"",ROUND(SUMIFS(aditivos!$L$2:$L$200,aditivos!$A$2:$A$200,A193,aditivos!$B$2:$B$200,"&gt;"&amp;$I$6,aditivos!$B$2:$B$200,"&lt;="&amp;$I$5),2))</f>
        <v/>
      </c>
      <c r="N193" s="179" t="str">
        <f t="shared" si="21"/>
        <v/>
      </c>
      <c r="O193" s="179" t="str">
        <f ca="1">IF(OR(A193="",D193="",NOT(ISNUMBER(IF($I$4="C0",historico_VU!C193,IF($I$4="C1",historico_VU!D193,IF($I$4="C2",historico_VU!E193,IF($I$4="C3",historico_VU!F193,IF($I$4="C4",historico_VU!G193,"")))))))),"",ROUND(D193*IF($I$4="C0",historico_VU!C193,IF($I$4="C1",historico_VU!D193,IF($I$4="C2",historico_VU!E193,IF($I$4="C3",historico_VU!F193,IF($I$4="C4",historico_VU!G193,""))))),2))</f>
        <v/>
      </c>
      <c r="P193" s="179" t="str">
        <f ca="1">IF(OR(A193="",N193="",NOT(ISNUMBER(IF($I$4="C0",historico_VU!C193,IF($I$4="C1",historico_VU!D193,IF($I$4="C2",historico_VU!E193,IF($I$4="C3",historico_VU!F193,IF($I$4="C4",historico_VU!G193,"")))))))),"",ROUND(N193*IF($I$4="C0",historico_VU!C193,IF($I$4="C1",historico_VU!D193,IF($I$4="C2",historico_VU!E193,IF($I$4="C3",historico_VU!F193,IF($I$4="C4",historico_VU!G193,""))))),2))</f>
        <v/>
      </c>
      <c r="Q193" s="179" t="str">
        <f t="shared" si="22"/>
        <v/>
      </c>
      <c r="R193" s="179" t="str">
        <f ca="1">IF(OR(A193="",L193="",NOT(ISNUMBER(IF($I$4="C0",historico_VU!C193,IF($I$4="C1",historico_VU!D193,IF($I$4="C2",historico_VU!E193,IF($I$4="C3",historico_VU!F193,IF($I$4="C4",historico_VU!G193,"")))))))),"",ROUND(L193*IF($I$4="C0",historico_VU!C193,IF($I$4="C1",historico_VU!D193,IF($I$4="C2",historico_VU!E193,IF($I$4="C3",historico_VU!F193,IF($I$4="C4",historico_VU!G193,""))))),2))</f>
        <v/>
      </c>
    </row>
    <row r="194" spans="1:18" x14ac:dyDescent="0.35">
      <c r="A194" s="81" t="str">
        <f>IF(itens_Remanesc!A194="","",itens_Remanesc!A194)</f>
        <v/>
      </c>
      <c r="B194" s="217" t="str">
        <f t="shared" ca="1" si="23"/>
        <v/>
      </c>
      <c r="C194" s="218" t="str">
        <f>IF(A194="","",IF($I$5="","POSICAO DE REFERENCIA INDISPONIVEL",ROUND(IF(itens_Remanesc!B194="",0,itens_Remanesc!B194)+SUMIFS(aditivos!$L$2:$L$200,aditivos!$A$2:$A$200,A194,aditivos!$B$2:$B$200,"&lt;="&amp;$I$5),2)))</f>
        <v/>
      </c>
      <c r="D194" s="218" t="str">
        <f>IF(A194="","",IF($I$4="","",IF($I$2,IF(ISNUMBER(B194),B194,""),IF($I$4="C0",posicao_contratual!G194,IF($I$4="C1",posicao_contratual!K194,IF($I$4="C2",posicao_contratual!O194,IF($I$4="C3",posicao_contratual!S194,IF($I$4="C4",posicao_contratual!W194,""))))))))</f>
        <v/>
      </c>
      <c r="E194" s="219" t="str">
        <f t="shared" ref="E194:E200" si="24">IF(A194="","",IF($I$4="","POSICAO DE REFERENCIA INDISPONIVEL",IF($I$2,"POSICAO FISICA (CICLO_EM_EXECUCAO)",IF(ISNUMBER(B194),"POSICAO FISICA NAO UTILIZAVEL - FOTOGRAFIA "&amp;$I$4,"FOTOGRAFIA "&amp;$I$4))))</f>
        <v/>
      </c>
      <c r="F194" s="81" t="str">
        <f>IF(A194="","",IF(COUNTIF($A$2:$A$200,A194)&gt;1,"ITEM DUPLICADO",IF($I$4="","POSICAO DE REFERENCIA INDISPONIVEL",IF(AND(B194&lt;&gt;"",NOT(ISNUMBER(B194))),"QTD NAO NUMERICA",IF(AND(ISNUMBER(B194),B194&lt;0),"NEGATIVO NAO PERMITIDO",IF(NOT(ISNUMBER(C194)),"POSICAO CONTRATUAL INDISPONIVEL",IF(OR(AND(posicao_contratual!$Y194&lt;&gt;"",posicao_contratual!$Y194&gt;IFERROR(VALUE(MID($I$4,2,1)),-1)),AND(posicao_contratual!$Z194,ISNUMBER(C194),C194&lt;=0)),"ITEM POSTERIOR A REFERENCIA",IF(D194="","REMANESCENTE DE REFERENCIA INDISPONIVEL",IF(AND(ISNUMBER(D194),ISNUMBER(C194),D194&gt;C194),"REMANESCENTE DE REFERENCIA SUPERA POSICAO CONTRATUAL","OK")))))))))</f>
        <v/>
      </c>
      <c r="K194" s="179" t="str">
        <f>IF(A194="","",itens_Remanesc!C194)</f>
        <v/>
      </c>
      <c r="L194" s="179" t="str">
        <f>IF(A194="","",IF($I$4="C0",posicao_contratual!G194,IF($I$4="C1",posicao_contratual!K194,IF($I$4="C2",posicao_contratual!O194,IF($I$4="C3",posicao_contratual!S194,IF($I$4="C4",posicao_contratual!W194,""))))))</f>
        <v/>
      </c>
      <c r="M194" s="179" t="str">
        <f ca="1">IF(OR(A194="",$I$5="",$I$6=""),"",ROUND(SUMIFS(aditivos!$L$2:$L$200,aditivos!$A$2:$A$200,A194,aditivos!$B$2:$B$200,"&gt;"&amp;$I$6,aditivos!$B$2:$B$200,"&lt;="&amp;$I$5),2))</f>
        <v/>
      </c>
      <c r="N194" s="179" t="str">
        <f t="shared" ref="N194:N225" si="25">IF(OR(A194="",L194="",D194=""),"",ROUND(MAX(L194+IF(ISNUMBER(M194),M194,0)-D194,0),2))</f>
        <v/>
      </c>
      <c r="O194" s="179" t="str">
        <f ca="1">IF(OR(A194="",D194="",NOT(ISNUMBER(IF($I$4="C0",historico_VU!C194,IF($I$4="C1",historico_VU!D194,IF($I$4="C2",historico_VU!E194,IF($I$4="C3",historico_VU!F194,IF($I$4="C4",historico_VU!G194,"")))))))),"",ROUND(D194*IF($I$4="C0",historico_VU!C194,IF($I$4="C1",historico_VU!D194,IF($I$4="C2",historico_VU!E194,IF($I$4="C3",historico_VU!F194,IF($I$4="C4",historico_VU!G194,""))))),2))</f>
        <v/>
      </c>
      <c r="P194" s="179" t="str">
        <f ca="1">IF(OR(A194="",N194="",NOT(ISNUMBER(IF($I$4="C0",historico_VU!C194,IF($I$4="C1",historico_VU!D194,IF($I$4="C2",historico_VU!E194,IF($I$4="C3",historico_VU!F194,IF($I$4="C4",historico_VU!G194,"")))))))),"",ROUND(N194*IF($I$4="C0",historico_VU!C194,IF($I$4="C1",historico_VU!D194,IF($I$4="C2",historico_VU!E194,IF($I$4="C3",historico_VU!F194,IF($I$4="C4",historico_VU!G194,""))))),2))</f>
        <v/>
      </c>
      <c r="Q194" s="179" t="str">
        <f t="shared" ref="Q194:Q200" si="26">IF(OR(A194="",D194="",K194=""),"",ROUND(D194*K194,2))</f>
        <v/>
      </c>
      <c r="R194" s="179" t="str">
        <f ca="1">IF(OR(A194="",L194="",NOT(ISNUMBER(IF($I$4="C0",historico_VU!C194,IF($I$4="C1",historico_VU!D194,IF($I$4="C2",historico_VU!E194,IF($I$4="C3",historico_VU!F194,IF($I$4="C4",historico_VU!G194,"")))))))),"",ROUND(L194*IF($I$4="C0",historico_VU!C194,IF($I$4="C1",historico_VU!D194,IF($I$4="C2",historico_VU!E194,IF($I$4="C3",historico_VU!F194,IF($I$4="C4",historico_VU!G194,""))))),2))</f>
        <v/>
      </c>
    </row>
    <row r="195" spans="1:18" x14ac:dyDescent="0.35">
      <c r="A195" s="81" t="str">
        <f>IF(itens_Remanesc!A195="","",itens_Remanesc!A195)</f>
        <v/>
      </c>
      <c r="B195" s="217" t="str">
        <f t="shared" ca="1" si="23"/>
        <v/>
      </c>
      <c r="C195" s="218" t="str">
        <f>IF(A195="","",IF($I$5="","POSICAO DE REFERENCIA INDISPONIVEL",ROUND(IF(itens_Remanesc!B195="",0,itens_Remanesc!B195)+SUMIFS(aditivos!$L$2:$L$200,aditivos!$A$2:$A$200,A195,aditivos!$B$2:$B$200,"&lt;="&amp;$I$5),2)))</f>
        <v/>
      </c>
      <c r="D195" s="218" t="str">
        <f>IF(A195="","",IF($I$4="","",IF($I$2,IF(ISNUMBER(B195),B195,""),IF($I$4="C0",posicao_contratual!G195,IF($I$4="C1",posicao_contratual!K195,IF($I$4="C2",posicao_contratual!O195,IF($I$4="C3",posicao_contratual!S195,IF($I$4="C4",posicao_contratual!W195,""))))))))</f>
        <v/>
      </c>
      <c r="E195" s="219" t="str">
        <f t="shared" si="24"/>
        <v/>
      </c>
      <c r="F195" s="81" t="str">
        <f>IF(A195="","",IF(COUNTIF($A$2:$A$200,A195)&gt;1,"ITEM DUPLICADO",IF($I$4="","POSICAO DE REFERENCIA INDISPONIVEL",IF(AND(B195&lt;&gt;"",NOT(ISNUMBER(B195))),"QTD NAO NUMERICA",IF(AND(ISNUMBER(B195),B195&lt;0),"NEGATIVO NAO PERMITIDO",IF(NOT(ISNUMBER(C195)),"POSICAO CONTRATUAL INDISPONIVEL",IF(OR(AND(posicao_contratual!$Y195&lt;&gt;"",posicao_contratual!$Y195&gt;IFERROR(VALUE(MID($I$4,2,1)),-1)),AND(posicao_contratual!$Z195,ISNUMBER(C195),C195&lt;=0)),"ITEM POSTERIOR A REFERENCIA",IF(D195="","REMANESCENTE DE REFERENCIA INDISPONIVEL",IF(AND(ISNUMBER(D195),ISNUMBER(C195),D195&gt;C195),"REMANESCENTE DE REFERENCIA SUPERA POSICAO CONTRATUAL","OK")))))))))</f>
        <v/>
      </c>
      <c r="K195" s="179" t="str">
        <f>IF(A195="","",itens_Remanesc!C195)</f>
        <v/>
      </c>
      <c r="L195" s="179" t="str">
        <f>IF(A195="","",IF($I$4="C0",posicao_contratual!G195,IF($I$4="C1",posicao_contratual!K195,IF($I$4="C2",posicao_contratual!O195,IF($I$4="C3",posicao_contratual!S195,IF($I$4="C4",posicao_contratual!W195,""))))))</f>
        <v/>
      </c>
      <c r="M195" s="179" t="str">
        <f ca="1">IF(OR(A195="",$I$5="",$I$6=""),"",ROUND(SUMIFS(aditivos!$L$2:$L$200,aditivos!$A$2:$A$200,A195,aditivos!$B$2:$B$200,"&gt;"&amp;$I$6,aditivos!$B$2:$B$200,"&lt;="&amp;$I$5),2))</f>
        <v/>
      </c>
      <c r="N195" s="179" t="str">
        <f t="shared" si="25"/>
        <v/>
      </c>
      <c r="O195" s="179" t="str">
        <f ca="1">IF(OR(A195="",D195="",NOT(ISNUMBER(IF($I$4="C0",historico_VU!C195,IF($I$4="C1",historico_VU!D195,IF($I$4="C2",historico_VU!E195,IF($I$4="C3",historico_VU!F195,IF($I$4="C4",historico_VU!G195,"")))))))),"",ROUND(D195*IF($I$4="C0",historico_VU!C195,IF($I$4="C1",historico_VU!D195,IF($I$4="C2",historico_VU!E195,IF($I$4="C3",historico_VU!F195,IF($I$4="C4",historico_VU!G195,""))))),2))</f>
        <v/>
      </c>
      <c r="P195" s="179" t="str">
        <f ca="1">IF(OR(A195="",N195="",NOT(ISNUMBER(IF($I$4="C0",historico_VU!C195,IF($I$4="C1",historico_VU!D195,IF($I$4="C2",historico_VU!E195,IF($I$4="C3",historico_VU!F195,IF($I$4="C4",historico_VU!G195,"")))))))),"",ROUND(N195*IF($I$4="C0",historico_VU!C195,IF($I$4="C1",historico_VU!D195,IF($I$4="C2",historico_VU!E195,IF($I$4="C3",historico_VU!F195,IF($I$4="C4",historico_VU!G195,""))))),2))</f>
        <v/>
      </c>
      <c r="Q195" s="179" t="str">
        <f t="shared" si="26"/>
        <v/>
      </c>
      <c r="R195" s="179" t="str">
        <f ca="1">IF(OR(A195="",L195="",NOT(ISNUMBER(IF($I$4="C0",historico_VU!C195,IF($I$4="C1",historico_VU!D195,IF($I$4="C2",historico_VU!E195,IF($I$4="C3",historico_VU!F195,IF($I$4="C4",historico_VU!G195,"")))))))),"",ROUND(L195*IF($I$4="C0",historico_VU!C195,IF($I$4="C1",historico_VU!D195,IF($I$4="C2",historico_VU!E195,IF($I$4="C3",historico_VU!F195,IF($I$4="C4",historico_VU!G195,""))))),2))</f>
        <v/>
      </c>
    </row>
    <row r="196" spans="1:18" x14ac:dyDescent="0.35">
      <c r="A196" s="81" t="str">
        <f>IF(itens_Remanesc!A196="","",itens_Remanesc!A196)</f>
        <v/>
      </c>
      <c r="B196" s="217" t="str">
        <f t="shared" ca="1" si="23"/>
        <v/>
      </c>
      <c r="C196" s="218" t="str">
        <f>IF(A196="","",IF($I$5="","POSICAO DE REFERENCIA INDISPONIVEL",ROUND(IF(itens_Remanesc!B196="",0,itens_Remanesc!B196)+SUMIFS(aditivos!$L$2:$L$200,aditivos!$A$2:$A$200,A196,aditivos!$B$2:$B$200,"&lt;="&amp;$I$5),2)))</f>
        <v/>
      </c>
      <c r="D196" s="218" t="str">
        <f>IF(A196="","",IF($I$4="","",IF($I$2,IF(ISNUMBER(B196),B196,""),IF($I$4="C0",posicao_contratual!G196,IF($I$4="C1",posicao_contratual!K196,IF($I$4="C2",posicao_contratual!O196,IF($I$4="C3",posicao_contratual!S196,IF($I$4="C4",posicao_contratual!W196,""))))))))</f>
        <v/>
      </c>
      <c r="E196" s="219" t="str">
        <f t="shared" si="24"/>
        <v/>
      </c>
      <c r="F196" s="81" t="str">
        <f>IF(A196="","",IF(COUNTIF($A$2:$A$200,A196)&gt;1,"ITEM DUPLICADO",IF($I$4="","POSICAO DE REFERENCIA INDISPONIVEL",IF(AND(B196&lt;&gt;"",NOT(ISNUMBER(B196))),"QTD NAO NUMERICA",IF(AND(ISNUMBER(B196),B196&lt;0),"NEGATIVO NAO PERMITIDO",IF(NOT(ISNUMBER(C196)),"POSICAO CONTRATUAL INDISPONIVEL",IF(OR(AND(posicao_contratual!$Y196&lt;&gt;"",posicao_contratual!$Y196&gt;IFERROR(VALUE(MID($I$4,2,1)),-1)),AND(posicao_contratual!$Z196,ISNUMBER(C196),C196&lt;=0)),"ITEM POSTERIOR A REFERENCIA",IF(D196="","REMANESCENTE DE REFERENCIA INDISPONIVEL",IF(AND(ISNUMBER(D196),ISNUMBER(C196),D196&gt;C196),"REMANESCENTE DE REFERENCIA SUPERA POSICAO CONTRATUAL","OK")))))))))</f>
        <v/>
      </c>
      <c r="K196" s="179" t="str">
        <f>IF(A196="","",itens_Remanesc!C196)</f>
        <v/>
      </c>
      <c r="L196" s="179" t="str">
        <f>IF(A196="","",IF($I$4="C0",posicao_contratual!G196,IF($I$4="C1",posicao_contratual!K196,IF($I$4="C2",posicao_contratual!O196,IF($I$4="C3",posicao_contratual!S196,IF($I$4="C4",posicao_contratual!W196,""))))))</f>
        <v/>
      </c>
      <c r="M196" s="179" t="str">
        <f ca="1">IF(OR(A196="",$I$5="",$I$6=""),"",ROUND(SUMIFS(aditivos!$L$2:$L$200,aditivos!$A$2:$A$200,A196,aditivos!$B$2:$B$200,"&gt;"&amp;$I$6,aditivos!$B$2:$B$200,"&lt;="&amp;$I$5),2))</f>
        <v/>
      </c>
      <c r="N196" s="179" t="str">
        <f t="shared" si="25"/>
        <v/>
      </c>
      <c r="O196" s="179" t="str">
        <f ca="1">IF(OR(A196="",D196="",NOT(ISNUMBER(IF($I$4="C0",historico_VU!C196,IF($I$4="C1",historico_VU!D196,IF($I$4="C2",historico_VU!E196,IF($I$4="C3",historico_VU!F196,IF($I$4="C4",historico_VU!G196,"")))))))),"",ROUND(D196*IF($I$4="C0",historico_VU!C196,IF($I$4="C1",historico_VU!D196,IF($I$4="C2",historico_VU!E196,IF($I$4="C3",historico_VU!F196,IF($I$4="C4",historico_VU!G196,""))))),2))</f>
        <v/>
      </c>
      <c r="P196" s="179" t="str">
        <f ca="1">IF(OR(A196="",N196="",NOT(ISNUMBER(IF($I$4="C0",historico_VU!C196,IF($I$4="C1",historico_VU!D196,IF($I$4="C2",historico_VU!E196,IF($I$4="C3",historico_VU!F196,IF($I$4="C4",historico_VU!G196,"")))))))),"",ROUND(N196*IF($I$4="C0",historico_VU!C196,IF($I$4="C1",historico_VU!D196,IF($I$4="C2",historico_VU!E196,IF($I$4="C3",historico_VU!F196,IF($I$4="C4",historico_VU!G196,""))))),2))</f>
        <v/>
      </c>
      <c r="Q196" s="179" t="str">
        <f t="shared" si="26"/>
        <v/>
      </c>
      <c r="R196" s="179" t="str">
        <f ca="1">IF(OR(A196="",L196="",NOT(ISNUMBER(IF($I$4="C0",historico_VU!C196,IF($I$4="C1",historico_VU!D196,IF($I$4="C2",historico_VU!E196,IF($I$4="C3",historico_VU!F196,IF($I$4="C4",historico_VU!G196,"")))))))),"",ROUND(L196*IF($I$4="C0",historico_VU!C196,IF($I$4="C1",historico_VU!D196,IF($I$4="C2",historico_VU!E196,IF($I$4="C3",historico_VU!F196,IF($I$4="C4",historico_VU!G196,""))))),2))</f>
        <v/>
      </c>
    </row>
    <row r="197" spans="1:18" x14ac:dyDescent="0.35">
      <c r="A197" s="81" t="str">
        <f>IF(itens_Remanesc!A197="","",itens_Remanesc!A197)</f>
        <v/>
      </c>
      <c r="B197" s="217" t="str">
        <f t="shared" ca="1" si="23"/>
        <v/>
      </c>
      <c r="C197" s="218" t="str">
        <f>IF(A197="","",IF($I$5="","POSICAO DE REFERENCIA INDISPONIVEL",ROUND(IF(itens_Remanesc!B197="",0,itens_Remanesc!B197)+SUMIFS(aditivos!$L$2:$L$200,aditivos!$A$2:$A$200,A197,aditivos!$B$2:$B$200,"&lt;="&amp;$I$5),2)))</f>
        <v/>
      </c>
      <c r="D197" s="218" t="str">
        <f>IF(A197="","",IF($I$4="","",IF($I$2,IF(ISNUMBER(B197),B197,""),IF($I$4="C0",posicao_contratual!G197,IF($I$4="C1",posicao_contratual!K197,IF($I$4="C2",posicao_contratual!O197,IF($I$4="C3",posicao_contratual!S197,IF($I$4="C4",posicao_contratual!W197,""))))))))</f>
        <v/>
      </c>
      <c r="E197" s="219" t="str">
        <f t="shared" si="24"/>
        <v/>
      </c>
      <c r="F197" s="81" t="str">
        <f>IF(A197="","",IF(COUNTIF($A$2:$A$200,A197)&gt;1,"ITEM DUPLICADO",IF($I$4="","POSICAO DE REFERENCIA INDISPONIVEL",IF(AND(B197&lt;&gt;"",NOT(ISNUMBER(B197))),"QTD NAO NUMERICA",IF(AND(ISNUMBER(B197),B197&lt;0),"NEGATIVO NAO PERMITIDO",IF(NOT(ISNUMBER(C197)),"POSICAO CONTRATUAL INDISPONIVEL",IF(OR(AND(posicao_contratual!$Y197&lt;&gt;"",posicao_contratual!$Y197&gt;IFERROR(VALUE(MID($I$4,2,1)),-1)),AND(posicao_contratual!$Z197,ISNUMBER(C197),C197&lt;=0)),"ITEM POSTERIOR A REFERENCIA",IF(D197="","REMANESCENTE DE REFERENCIA INDISPONIVEL",IF(AND(ISNUMBER(D197),ISNUMBER(C197),D197&gt;C197),"REMANESCENTE DE REFERENCIA SUPERA POSICAO CONTRATUAL","OK")))))))))</f>
        <v/>
      </c>
      <c r="K197" s="179" t="str">
        <f>IF(A197="","",itens_Remanesc!C197)</f>
        <v/>
      </c>
      <c r="L197" s="179" t="str">
        <f>IF(A197="","",IF($I$4="C0",posicao_contratual!G197,IF($I$4="C1",posicao_contratual!K197,IF($I$4="C2",posicao_contratual!O197,IF($I$4="C3",posicao_contratual!S197,IF($I$4="C4",posicao_contratual!W197,""))))))</f>
        <v/>
      </c>
      <c r="M197" s="179" t="str">
        <f ca="1">IF(OR(A197="",$I$5="",$I$6=""),"",ROUND(SUMIFS(aditivos!$L$2:$L$200,aditivos!$A$2:$A$200,A197,aditivos!$B$2:$B$200,"&gt;"&amp;$I$6,aditivos!$B$2:$B$200,"&lt;="&amp;$I$5),2))</f>
        <v/>
      </c>
      <c r="N197" s="179" t="str">
        <f t="shared" si="25"/>
        <v/>
      </c>
      <c r="O197" s="179" t="str">
        <f ca="1">IF(OR(A197="",D197="",NOT(ISNUMBER(IF($I$4="C0",historico_VU!C197,IF($I$4="C1",historico_VU!D197,IF($I$4="C2",historico_VU!E197,IF($I$4="C3",historico_VU!F197,IF($I$4="C4",historico_VU!G197,"")))))))),"",ROUND(D197*IF($I$4="C0",historico_VU!C197,IF($I$4="C1",historico_VU!D197,IF($I$4="C2",historico_VU!E197,IF($I$4="C3",historico_VU!F197,IF($I$4="C4",historico_VU!G197,""))))),2))</f>
        <v/>
      </c>
      <c r="P197" s="179" t="str">
        <f ca="1">IF(OR(A197="",N197="",NOT(ISNUMBER(IF($I$4="C0",historico_VU!C197,IF($I$4="C1",historico_VU!D197,IF($I$4="C2",historico_VU!E197,IF($I$4="C3",historico_VU!F197,IF($I$4="C4",historico_VU!G197,"")))))))),"",ROUND(N197*IF($I$4="C0",historico_VU!C197,IF($I$4="C1",historico_VU!D197,IF($I$4="C2",historico_VU!E197,IF($I$4="C3",historico_VU!F197,IF($I$4="C4",historico_VU!G197,""))))),2))</f>
        <v/>
      </c>
      <c r="Q197" s="179" t="str">
        <f t="shared" si="26"/>
        <v/>
      </c>
      <c r="R197" s="179" t="str">
        <f ca="1">IF(OR(A197="",L197="",NOT(ISNUMBER(IF($I$4="C0",historico_VU!C197,IF($I$4="C1",historico_VU!D197,IF($I$4="C2",historico_VU!E197,IF($I$4="C3",historico_VU!F197,IF($I$4="C4",historico_VU!G197,"")))))))),"",ROUND(L197*IF($I$4="C0",historico_VU!C197,IF($I$4="C1",historico_VU!D197,IF($I$4="C2",historico_VU!E197,IF($I$4="C3",historico_VU!F197,IF($I$4="C4",historico_VU!G197,""))))),2))</f>
        <v/>
      </c>
    </row>
    <row r="198" spans="1:18" x14ac:dyDescent="0.35">
      <c r="A198" s="81" t="str">
        <f>IF(itens_Remanesc!A198="","",itens_Remanesc!A198)</f>
        <v/>
      </c>
      <c r="B198" s="217" t="str">
        <f t="shared" ca="1" si="23"/>
        <v/>
      </c>
      <c r="C198" s="218" t="str">
        <f>IF(A198="","",IF($I$5="","POSICAO DE REFERENCIA INDISPONIVEL",ROUND(IF(itens_Remanesc!B198="",0,itens_Remanesc!B198)+SUMIFS(aditivos!$L$2:$L$200,aditivos!$A$2:$A$200,A198,aditivos!$B$2:$B$200,"&lt;="&amp;$I$5),2)))</f>
        <v/>
      </c>
      <c r="D198" s="218" t="str">
        <f>IF(A198="","",IF($I$4="","",IF($I$2,IF(ISNUMBER(B198),B198,""),IF($I$4="C0",posicao_contratual!G198,IF($I$4="C1",posicao_contratual!K198,IF($I$4="C2",posicao_contratual!O198,IF($I$4="C3",posicao_contratual!S198,IF($I$4="C4",posicao_contratual!W198,""))))))))</f>
        <v/>
      </c>
      <c r="E198" s="219" t="str">
        <f t="shared" si="24"/>
        <v/>
      </c>
      <c r="F198" s="81" t="str">
        <f>IF(A198="","",IF(COUNTIF($A$2:$A$200,A198)&gt;1,"ITEM DUPLICADO",IF($I$4="","POSICAO DE REFERENCIA INDISPONIVEL",IF(AND(B198&lt;&gt;"",NOT(ISNUMBER(B198))),"QTD NAO NUMERICA",IF(AND(ISNUMBER(B198),B198&lt;0),"NEGATIVO NAO PERMITIDO",IF(NOT(ISNUMBER(C198)),"POSICAO CONTRATUAL INDISPONIVEL",IF(OR(AND(posicao_contratual!$Y198&lt;&gt;"",posicao_contratual!$Y198&gt;IFERROR(VALUE(MID($I$4,2,1)),-1)),AND(posicao_contratual!$Z198,ISNUMBER(C198),C198&lt;=0)),"ITEM POSTERIOR A REFERENCIA",IF(D198="","REMANESCENTE DE REFERENCIA INDISPONIVEL",IF(AND(ISNUMBER(D198),ISNUMBER(C198),D198&gt;C198),"REMANESCENTE DE REFERENCIA SUPERA POSICAO CONTRATUAL","OK")))))))))</f>
        <v/>
      </c>
      <c r="K198" s="179" t="str">
        <f>IF(A198="","",itens_Remanesc!C198)</f>
        <v/>
      </c>
      <c r="L198" s="179" t="str">
        <f>IF(A198="","",IF($I$4="C0",posicao_contratual!G198,IF($I$4="C1",posicao_contratual!K198,IF($I$4="C2",posicao_contratual!O198,IF($I$4="C3",posicao_contratual!S198,IF($I$4="C4",posicao_contratual!W198,""))))))</f>
        <v/>
      </c>
      <c r="M198" s="179" t="str">
        <f ca="1">IF(OR(A198="",$I$5="",$I$6=""),"",ROUND(SUMIFS(aditivos!$L$2:$L$200,aditivos!$A$2:$A$200,A198,aditivos!$B$2:$B$200,"&gt;"&amp;$I$6,aditivos!$B$2:$B$200,"&lt;="&amp;$I$5),2))</f>
        <v/>
      </c>
      <c r="N198" s="179" t="str">
        <f t="shared" si="25"/>
        <v/>
      </c>
      <c r="O198" s="179" t="str">
        <f ca="1">IF(OR(A198="",D198="",NOT(ISNUMBER(IF($I$4="C0",historico_VU!C198,IF($I$4="C1",historico_VU!D198,IF($I$4="C2",historico_VU!E198,IF($I$4="C3",historico_VU!F198,IF($I$4="C4",historico_VU!G198,"")))))))),"",ROUND(D198*IF($I$4="C0",historico_VU!C198,IF($I$4="C1",historico_VU!D198,IF($I$4="C2",historico_VU!E198,IF($I$4="C3",historico_VU!F198,IF($I$4="C4",historico_VU!G198,""))))),2))</f>
        <v/>
      </c>
      <c r="P198" s="179" t="str">
        <f ca="1">IF(OR(A198="",N198="",NOT(ISNUMBER(IF($I$4="C0",historico_VU!C198,IF($I$4="C1",historico_VU!D198,IF($I$4="C2",historico_VU!E198,IF($I$4="C3",historico_VU!F198,IF($I$4="C4",historico_VU!G198,"")))))))),"",ROUND(N198*IF($I$4="C0",historico_VU!C198,IF($I$4="C1",historico_VU!D198,IF($I$4="C2",historico_VU!E198,IF($I$4="C3",historico_VU!F198,IF($I$4="C4",historico_VU!G198,""))))),2))</f>
        <v/>
      </c>
      <c r="Q198" s="179" t="str">
        <f t="shared" si="26"/>
        <v/>
      </c>
      <c r="R198" s="179" t="str">
        <f ca="1">IF(OR(A198="",L198="",NOT(ISNUMBER(IF($I$4="C0",historico_VU!C198,IF($I$4="C1",historico_VU!D198,IF($I$4="C2",historico_VU!E198,IF($I$4="C3",historico_VU!F198,IF($I$4="C4",historico_VU!G198,"")))))))),"",ROUND(L198*IF($I$4="C0",historico_VU!C198,IF($I$4="C1",historico_VU!D198,IF($I$4="C2",historico_VU!E198,IF($I$4="C3",historico_VU!F198,IF($I$4="C4",historico_VU!G198,""))))),2))</f>
        <v/>
      </c>
    </row>
    <row r="199" spans="1:18" x14ac:dyDescent="0.35">
      <c r="A199" s="81" t="str">
        <f>IF(itens_Remanesc!A199="","",itens_Remanesc!A199)</f>
        <v/>
      </c>
      <c r="B199" s="217" t="str">
        <f t="shared" ca="1" si="23"/>
        <v/>
      </c>
      <c r="C199" s="218" t="str">
        <f>IF(A199="","",IF($I$5="","POSICAO DE REFERENCIA INDISPONIVEL",ROUND(IF(itens_Remanesc!B199="",0,itens_Remanesc!B199)+SUMIFS(aditivos!$L$2:$L$200,aditivos!$A$2:$A$200,A199,aditivos!$B$2:$B$200,"&lt;="&amp;$I$5),2)))</f>
        <v/>
      </c>
      <c r="D199" s="218" t="str">
        <f>IF(A199="","",IF($I$4="","",IF($I$2,IF(ISNUMBER(B199),B199,""),IF($I$4="C0",posicao_contratual!G199,IF($I$4="C1",posicao_contratual!K199,IF($I$4="C2",posicao_contratual!O199,IF($I$4="C3",posicao_contratual!S199,IF($I$4="C4",posicao_contratual!W199,""))))))))</f>
        <v/>
      </c>
      <c r="E199" s="219" t="str">
        <f t="shared" si="24"/>
        <v/>
      </c>
      <c r="F199" s="81" t="str">
        <f>IF(A199="","",IF(COUNTIF($A$2:$A$200,A199)&gt;1,"ITEM DUPLICADO",IF($I$4="","POSICAO DE REFERENCIA INDISPONIVEL",IF(AND(B199&lt;&gt;"",NOT(ISNUMBER(B199))),"QTD NAO NUMERICA",IF(AND(ISNUMBER(B199),B199&lt;0),"NEGATIVO NAO PERMITIDO",IF(NOT(ISNUMBER(C199)),"POSICAO CONTRATUAL INDISPONIVEL",IF(OR(AND(posicao_contratual!$Y199&lt;&gt;"",posicao_contratual!$Y199&gt;IFERROR(VALUE(MID($I$4,2,1)),-1)),AND(posicao_contratual!$Z199,ISNUMBER(C199),C199&lt;=0)),"ITEM POSTERIOR A REFERENCIA",IF(D199="","REMANESCENTE DE REFERENCIA INDISPONIVEL",IF(AND(ISNUMBER(D199),ISNUMBER(C199),D199&gt;C199),"REMANESCENTE DE REFERENCIA SUPERA POSICAO CONTRATUAL","OK")))))))))</f>
        <v/>
      </c>
      <c r="K199" s="179" t="str">
        <f>IF(A199="","",itens_Remanesc!C199)</f>
        <v/>
      </c>
      <c r="L199" s="179" t="str">
        <f>IF(A199="","",IF($I$4="C0",posicao_contratual!G199,IF($I$4="C1",posicao_contratual!K199,IF($I$4="C2",posicao_contratual!O199,IF($I$4="C3",posicao_contratual!S199,IF($I$4="C4",posicao_contratual!W199,""))))))</f>
        <v/>
      </c>
      <c r="M199" s="179" t="str">
        <f ca="1">IF(OR(A199="",$I$5="",$I$6=""),"",ROUND(SUMIFS(aditivos!$L$2:$L$200,aditivos!$A$2:$A$200,A199,aditivos!$B$2:$B$200,"&gt;"&amp;$I$6,aditivos!$B$2:$B$200,"&lt;="&amp;$I$5),2))</f>
        <v/>
      </c>
      <c r="N199" s="179" t="str">
        <f t="shared" si="25"/>
        <v/>
      </c>
      <c r="O199" s="179" t="str">
        <f ca="1">IF(OR(A199="",D199="",NOT(ISNUMBER(IF($I$4="C0",historico_VU!C199,IF($I$4="C1",historico_VU!D199,IF($I$4="C2",historico_VU!E199,IF($I$4="C3",historico_VU!F199,IF($I$4="C4",historico_VU!G199,"")))))))),"",ROUND(D199*IF($I$4="C0",historico_VU!C199,IF($I$4="C1",historico_VU!D199,IF($I$4="C2",historico_VU!E199,IF($I$4="C3",historico_VU!F199,IF($I$4="C4",historico_VU!G199,""))))),2))</f>
        <v/>
      </c>
      <c r="P199" s="179" t="str">
        <f ca="1">IF(OR(A199="",N199="",NOT(ISNUMBER(IF($I$4="C0",historico_VU!C199,IF($I$4="C1",historico_VU!D199,IF($I$4="C2",historico_VU!E199,IF($I$4="C3",historico_VU!F199,IF($I$4="C4",historico_VU!G199,"")))))))),"",ROUND(N199*IF($I$4="C0",historico_VU!C199,IF($I$4="C1",historico_VU!D199,IF($I$4="C2",historico_VU!E199,IF($I$4="C3",historico_VU!F199,IF($I$4="C4",historico_VU!G199,""))))),2))</f>
        <v/>
      </c>
      <c r="Q199" s="179" t="str">
        <f t="shared" si="26"/>
        <v/>
      </c>
      <c r="R199" s="179" t="str">
        <f ca="1">IF(OR(A199="",L199="",NOT(ISNUMBER(IF($I$4="C0",historico_VU!C199,IF($I$4="C1",historico_VU!D199,IF($I$4="C2",historico_VU!E199,IF($I$4="C3",historico_VU!F199,IF($I$4="C4",historico_VU!G199,"")))))))),"",ROUND(L199*IF($I$4="C0",historico_VU!C199,IF($I$4="C1",historico_VU!D199,IF($I$4="C2",historico_VU!E199,IF($I$4="C3",historico_VU!F199,IF($I$4="C4",historico_VU!G199,""))))),2))</f>
        <v/>
      </c>
    </row>
    <row r="200" spans="1:18" x14ac:dyDescent="0.35">
      <c r="A200" s="81" t="str">
        <f>IF(itens_Remanesc!A200="","",itens_Remanesc!A200)</f>
        <v/>
      </c>
      <c r="B200" s="217" t="str">
        <f t="shared" ca="1" si="23"/>
        <v/>
      </c>
      <c r="C200" s="218" t="str">
        <f>IF(A200="","",IF($I$5="","POSICAO DE REFERENCIA INDISPONIVEL",ROUND(IF(itens_Remanesc!B200="",0,itens_Remanesc!B200)+SUMIFS(aditivos!$L$2:$L$200,aditivos!$A$2:$A$200,A200,aditivos!$B$2:$B$200,"&lt;="&amp;$I$5),2)))</f>
        <v/>
      </c>
      <c r="D200" s="218" t="str">
        <f>IF(A200="","",IF($I$4="","",IF($I$2,IF(ISNUMBER(B200),B200,""),IF($I$4="C0",posicao_contratual!G200,IF($I$4="C1",posicao_contratual!K200,IF($I$4="C2",posicao_contratual!O200,IF($I$4="C3",posicao_contratual!S200,IF($I$4="C4",posicao_contratual!W200,""))))))))</f>
        <v/>
      </c>
      <c r="E200" s="219" t="str">
        <f t="shared" si="24"/>
        <v/>
      </c>
      <c r="F200" s="81" t="str">
        <f>IF(A200="","",IF(COUNTIF($A$2:$A$200,A200)&gt;1,"ITEM DUPLICADO",IF($I$4="","POSICAO DE REFERENCIA INDISPONIVEL",IF(AND(B200&lt;&gt;"",NOT(ISNUMBER(B200))),"QTD NAO NUMERICA",IF(AND(ISNUMBER(B200),B200&lt;0),"NEGATIVO NAO PERMITIDO",IF(NOT(ISNUMBER(C200)),"POSICAO CONTRATUAL INDISPONIVEL",IF(OR(AND(posicao_contratual!$Y200&lt;&gt;"",posicao_contratual!$Y200&gt;IFERROR(VALUE(MID($I$4,2,1)),-1)),AND(posicao_contratual!$Z200,ISNUMBER(C200),C200&lt;=0)),"ITEM POSTERIOR A REFERENCIA",IF(D200="","REMANESCENTE DE REFERENCIA INDISPONIVEL",IF(AND(ISNUMBER(D200),ISNUMBER(C200),D200&gt;C200),"REMANESCENTE DE REFERENCIA SUPERA POSICAO CONTRATUAL","OK")))))))))</f>
        <v/>
      </c>
      <c r="K200" s="179" t="str">
        <f>IF(A200="","",itens_Remanesc!C200)</f>
        <v/>
      </c>
      <c r="L200" s="179" t="str">
        <f>IF(A200="","",IF($I$4="C0",posicao_contratual!G200,IF($I$4="C1",posicao_contratual!K200,IF($I$4="C2",posicao_contratual!O200,IF($I$4="C3",posicao_contratual!S200,IF($I$4="C4",posicao_contratual!W200,""))))))</f>
        <v/>
      </c>
      <c r="M200" s="179" t="str">
        <f ca="1">IF(OR(A200="",$I$5="",$I$6=""),"",ROUND(SUMIFS(aditivos!$L$2:$L$200,aditivos!$A$2:$A$200,A200,aditivos!$B$2:$B$200,"&gt;"&amp;$I$6,aditivos!$B$2:$B$200,"&lt;="&amp;$I$5),2))</f>
        <v/>
      </c>
      <c r="N200" s="179" t="str">
        <f t="shared" si="25"/>
        <v/>
      </c>
      <c r="O200" s="179" t="str">
        <f ca="1">IF(OR(A200="",D200="",NOT(ISNUMBER(IF($I$4="C0",historico_VU!C200,IF($I$4="C1",historico_VU!D200,IF($I$4="C2",historico_VU!E200,IF($I$4="C3",historico_VU!F200,IF($I$4="C4",historico_VU!G200,"")))))))),"",ROUND(D200*IF($I$4="C0",historico_VU!C200,IF($I$4="C1",historico_VU!D200,IF($I$4="C2",historico_VU!E200,IF($I$4="C3",historico_VU!F200,IF($I$4="C4",historico_VU!G200,""))))),2))</f>
        <v/>
      </c>
      <c r="P200" s="179" t="str">
        <f ca="1">IF(OR(A200="",N200="",NOT(ISNUMBER(IF($I$4="C0",historico_VU!C200,IF($I$4="C1",historico_VU!D200,IF($I$4="C2",historico_VU!E200,IF($I$4="C3",historico_VU!F200,IF($I$4="C4",historico_VU!G200,"")))))))),"",ROUND(N200*IF($I$4="C0",historico_VU!C200,IF($I$4="C1",historico_VU!D200,IF($I$4="C2",historico_VU!E200,IF($I$4="C3",historico_VU!F200,IF($I$4="C4",historico_VU!G200,""))))),2))</f>
        <v/>
      </c>
      <c r="Q200" s="179" t="str">
        <f t="shared" si="26"/>
        <v/>
      </c>
      <c r="R200" s="179" t="str">
        <f ca="1">IF(OR(A200="",L200="",NOT(ISNUMBER(IF($I$4="C0",historico_VU!C200,IF($I$4="C1",historico_VU!D200,IF($I$4="C2",historico_VU!E200,IF($I$4="C3",historico_VU!F200,IF($I$4="C4",historico_VU!G200,"")))))))),"",ROUND(L200*IF($I$4="C0",historico_VU!C200,IF($I$4="C1",historico_VU!D200,IF($I$4="C2",historico_VU!E200,IF($I$4="C3",historico_VU!F200,IF($I$4="C4",historico_VU!G200,""))))),2))</f>
        <v/>
      </c>
    </row>
  </sheetData>
  <sheetProtection sheet="1" objects="1" scenarios="1"/>
  <conditionalFormatting sqref="A2:F200">
    <cfRule type="expression" dxfId="42" priority="1">
      <formula>$U2="TOTAL"</formula>
    </cfRule>
  </conditionalFormatting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O211"/>
  <sheetViews>
    <sheetView showGridLines="0" workbookViewId="0"/>
  </sheetViews>
  <sheetFormatPr defaultRowHeight="14.5" x14ac:dyDescent="0.35"/>
  <cols>
    <col min="1" max="1" width="18" customWidth="1"/>
    <col min="2" max="3" width="24" customWidth="1"/>
    <col min="4" max="4" width="23" customWidth="1"/>
    <col min="5" max="5" width="18" customWidth="1"/>
    <col min="6" max="6" width="20" customWidth="1"/>
    <col min="7" max="7" width="25" customWidth="1"/>
    <col min="8" max="15" width="13" hidden="1" customWidth="1"/>
  </cols>
  <sheetData>
    <row r="1" spans="1:15" ht="30" customHeight="1" x14ac:dyDescent="0.35">
      <c r="A1" s="439" t="s">
        <v>223</v>
      </c>
      <c r="B1" s="440"/>
      <c r="C1" s="440"/>
      <c r="D1" s="440"/>
      <c r="E1" s="440"/>
      <c r="F1" s="440"/>
      <c r="G1" s="441"/>
      <c r="H1" t="s">
        <v>224</v>
      </c>
    </row>
    <row r="2" spans="1:15" x14ac:dyDescent="0.35">
      <c r="H2" t="s">
        <v>225</v>
      </c>
    </row>
    <row r="3" spans="1:15" ht="28" customHeight="1" x14ac:dyDescent="0.35">
      <c r="A3" s="459" t="s">
        <v>226</v>
      </c>
      <c r="B3" s="438"/>
      <c r="C3" s="412" t="str">
        <f>CONTROLE!$B$2</f>
        <v>C1</v>
      </c>
      <c r="D3" s="459" t="s">
        <v>227</v>
      </c>
      <c r="E3" s="438"/>
      <c r="F3" s="437">
        <f>IFERROR(INDEX(parametros!$C$2:$C$6,MATCH($C$3,parametros!$B$2:$B$6,0)),"")</f>
        <v>45292</v>
      </c>
      <c r="G3" s="438"/>
      <c r="H3" s="181">
        <f>IFERROR(INDEX(parametros!$D$2:$D$6,MATCH($C$3,parametros!$B$2:$B$6,0)),"")</f>
        <v>45657</v>
      </c>
    </row>
    <row r="5" spans="1:15" ht="34" customHeight="1" x14ac:dyDescent="0.35">
      <c r="A5" s="444" t="s">
        <v>228</v>
      </c>
      <c r="B5" s="445"/>
      <c r="C5" s="446"/>
      <c r="D5" s="456">
        <v>45657</v>
      </c>
      <c r="E5" s="457"/>
      <c r="F5" s="457"/>
      <c r="G5" s="458"/>
    </row>
    <row r="7" spans="1:15" ht="28" customHeight="1" x14ac:dyDescent="0.35">
      <c r="A7" s="447" t="s">
        <v>229</v>
      </c>
      <c r="B7" s="448"/>
      <c r="C7" s="448"/>
      <c r="D7" s="448"/>
      <c r="E7" s="448"/>
      <c r="F7" s="448"/>
      <c r="G7" s="449"/>
    </row>
    <row r="8" spans="1:15" ht="23" customHeight="1" x14ac:dyDescent="0.35">
      <c r="A8" s="447" t="str">
        <f>IF($D$5="","Data da posicao fisica: [PREENCHER]","Data da posicao fisica: "&amp;RIGHT("0"&amp;DAY($D$5),2)&amp;"/"&amp;RIGHT("0"&amp;MONTH($D$5),2)&amp;"/"&amp;YEAR($D$5))</f>
        <v>Data da posicao fisica: 31/12/2024</v>
      </c>
      <c r="B8" s="448"/>
      <c r="C8" s="448"/>
      <c r="D8" s="448"/>
      <c r="E8" s="448"/>
      <c r="F8" s="448"/>
      <c r="G8" s="449"/>
    </row>
    <row r="9" spans="1:15" ht="26" customHeight="1" x14ac:dyDescent="0.35">
      <c r="A9" s="450">
        <f>IF(OR($D$5="",COUNTIF($A$13:$A$211,"&lt;&gt;")=0,COUNTIF($K$13:$K$211,"ERRO:*")&gt;0,COUNTIF($K$13:$K$211,"INCOMPLETO:*")&gt;0),"",ROUND(SUM($G$13:$G$211),2))</f>
        <v>99496.08</v>
      </c>
      <c r="B9" s="451"/>
      <c r="C9" s="451"/>
      <c r="D9" s="451"/>
      <c r="E9" s="451"/>
      <c r="F9" s="451"/>
      <c r="G9" s="452"/>
    </row>
    <row r="10" spans="1:15" ht="26" customHeight="1" x14ac:dyDescent="0.35">
      <c r="A10" s="453"/>
      <c r="B10" s="454"/>
      <c r="C10" s="454"/>
      <c r="D10" s="454"/>
      <c r="E10" s="454"/>
      <c r="F10" s="454"/>
      <c r="G10" s="455"/>
    </row>
    <row r="11" spans="1:15" ht="22" customHeight="1" x14ac:dyDescent="0.35">
      <c r="A11" s="442" t="str">
        <f>IF($D$5="","",IF(NOT(ISNUMBER(CONTROLE!$B$3)),"DATA DE CORTE DA APURACAO NAO INFORMADA EM CONTROLE!B3.",IF($D$5&gt;CONTROLE!$B$3,"POSICAO FISICA POSTERIOR A DATA DE CORTE.",IF($D$5=CONTROLE!$B$3,"POSICAO FISICA NA DATA DE CORTE - REFERENCIA VALIDADA.","POSICAO FISICA ANTERIOR A DATA DE CORTE - REFERENCIA ESTIMADA."))))</f>
        <v>POSICAO FISICA NA DATA DE CORTE - REFERENCIA VALIDADA.</v>
      </c>
      <c r="B11" s="443"/>
      <c r="C11" s="443"/>
      <c r="D11" s="443"/>
      <c r="E11" s="443"/>
      <c r="F11" s="443"/>
      <c r="G11" s="438"/>
    </row>
    <row r="12" spans="1:15" ht="58" customHeight="1" x14ac:dyDescent="0.35">
      <c r="A12" s="411" t="s">
        <v>230</v>
      </c>
      <c r="B12" s="413" t="s">
        <v>231</v>
      </c>
      <c r="C12" s="414" t="s">
        <v>232</v>
      </c>
      <c r="D12" s="413" t="s">
        <v>233</v>
      </c>
      <c r="E12" s="415" t="s">
        <v>234</v>
      </c>
      <c r="F12" s="415" t="s">
        <v>235</v>
      </c>
      <c r="G12" s="415" t="s">
        <v>236</v>
      </c>
      <c r="I12" t="s">
        <v>237</v>
      </c>
      <c r="J12" t="s">
        <v>238</v>
      </c>
      <c r="K12" t="s">
        <v>239</v>
      </c>
      <c r="L12" t="s">
        <v>240</v>
      </c>
      <c r="M12" t="s">
        <v>241</v>
      </c>
      <c r="N12" t="s">
        <v>242</v>
      </c>
      <c r="O12" t="s">
        <v>243</v>
      </c>
    </row>
    <row r="13" spans="1:15" ht="20" customHeight="1" x14ac:dyDescent="0.35">
      <c r="A13" s="416" t="str">
        <f>IF(itens_Remanesc!$A2="","",IF(NOT(posicao_contratual!$Z2),itens_Remanesc!$A2,IF(AND(ISNUMBER($D$5),$O13&gt;0),itens_Remanesc!$A2,"")))</f>
        <v>ITEM-001</v>
      </c>
      <c r="B13" s="417">
        <f>IF(A13="","",IF(AND(posicao_contratual!$Z2,COUNTIFS(aditivos!$A$2:$A$200,itens_Remanesc!$A2,aditivos!$B$2:$B$200,"&lt;"&amp;(INT($F$3)+1),aditivos!$L$2:$L$200,"&gt;0")=0),0,IF(ISNUMBER(IF($C$3="C0",posicao_contratual!$F2,IF($C$3="C1",posicao_contratual!$J2,IF($C$3="C2",posicao_contratual!$N2,IF($C$3="C3",posicao_contratual!$R2,IF($C$3="C4",posicao_contratual!$V2,"")))))),ROUND(IF($C$3="C0",posicao_contratual!$F2,IF($C$3="C1",posicao_contratual!$J2,IF($C$3="C2",posicao_contratual!$N2,IF($C$3="C3",posicao_contratual!$R2,IF($C$3="C4",posicao_contratual!$V2,"")))))+ROUND(SUMIFS(aditivos!$L$2:$L$200,aditivos!$A$2:$A$200,A13,aditivos!$C$2:$C$200,$C$3,aditivos!$B$2:$B$200,"&lt;"&amp;(INT($F$3)+1)),2),2),IF(ROUND(SUMIFS(aditivos!$L$2:$L$200,aditivos!$A$2:$A$200,A13,aditivos!$C$2:$C$200,$C$3,aditivos!$B$2:$B$200,"&lt;"&amp;(INT($F$3)+1)),2)&gt;0,ROUND(SUMIFS(aditivos!$L$2:$L$200,aditivos!$A$2:$A$200,A13,aditivos!$C$2:$C$200,$C$3,aditivos!$B$2:$B$200,"&lt;"&amp;(INT($F$3)+1)),2),""))))</f>
        <v>120</v>
      </c>
      <c r="C13" s="418">
        <v>45</v>
      </c>
      <c r="D13" s="417">
        <f t="shared" ref="D13:D44" si="0">IF(OR(A13="",$D$5="",C13=""),"",ROUND(B13+I13-C13,2))</f>
        <v>75</v>
      </c>
      <c r="E13" s="419">
        <f>IF(A13="","",IF($C$3="C0",historico_VU!$C2,IF($C$3="C1",historico_VU!$D2,IF($C$3="C2",historico_VU!$E2,IF($C$3="C3",historico_VU!$F2,IF($C$3="C4",historico_VU!$G2,""))))))</f>
        <v>262.8</v>
      </c>
      <c r="F13" s="419">
        <f t="shared" ref="F13:F44" si="1">IF(OR(D13="",E13=""),"",ROUND(D13*E13,2))</f>
        <v>19710</v>
      </c>
      <c r="G13" s="419">
        <f t="shared" ref="G13:G44" si="2">IF(OR(C13="",E13=""),"",ROUND(C13*E13,2))</f>
        <v>11826</v>
      </c>
      <c r="I13">
        <f>IF(OR(A13="",$D$5="",$F$3=""),"",ROUND(SUMIFS(aditivos!$L$2:$L$200,aditivos!$A$2:$A$200,A13,aditivos!$B$2:$B$200,"&gt;="&amp;(INT($F$3)+1),aditivos!$B$2:$B$200,"&lt;="&amp;$D$5),2))</f>
        <v>0</v>
      </c>
      <c r="J13">
        <f t="shared" ref="J13:J44" si="3">IF(OR(A13="",D13="",C13="",I13=""),"",ROUND(B13+I13-D13-C13,2))</f>
        <v>0</v>
      </c>
      <c r="K13" t="str">
        <f t="shared" ref="K13:K44" si="4">IF(A13="","",IF(OR(NOT(ISNUMBER($D$5)),NOT(ISNUMBER($F$3)),NOT(ISNUMBER($H$3)),$D$5&lt;$F$3,$D$5&gt;$H$3),"ERRO: DATA FORA DO CICLO",IF(COUNTIF($A$13:$A$211,A13)&gt;1,"ERRO: ITEM DUPLICADO",IF(NOT(ISNUMBER(B13)),"INCOMPLETO: REMANESCENTE INICIAL",IF(C13="","INCOMPLETO: QTD ATUAL",IF(OR(NOT(ISNUMBER(C13)),C13&lt;0),"ERRO: QTD INVALIDA",IF(NOT(ISNUMBER(I13)),"INCOMPLETO: ADITIVOS",IF(C13&gt;B13+I13,"ERRO: REMANESCENTE SUPERA DISPONIVEL",IF(D13&lt;0,"ERRO: CONSUMO NEGATIVO",IF(NOT(ISNUMBER(E13)),"INCOMPLETO: VU",IF(ABS(J13)&gt;0.005,"ERRO: CHECK FISICO","OK")))))))))))</f>
        <v>OK</v>
      </c>
      <c r="L13">
        <f>IF(A13="","",IF($C$3="C0",SUMIFS(itens_Consumidos!$E$2:$E$200,itens_Consumidos!$A$2:$A$200,A13),IF($C$3="C1",SUMIFS(itens_Consumidos!$G$2:$G$200,itens_Consumidos!$A$2:$A$200,A13),IF($C$3="C2",SUMIFS(itens_Consumidos!$I$2:$I$200,itens_Consumidos!$A$2:$A$200,A13),IF($C$3="C3",SUMIFS(itens_Consumidos!$K$2:$K$200,itens_Consumidos!$A$2:$A$200,A13),IF($C$3="C4",SUMIFS(itens_Consumidos!$M$2:$M$200,itens_Consumidos!$A$2:$A$200,A13),""))))))</f>
        <v>0</v>
      </c>
      <c r="M13" t="str">
        <f t="shared" ref="M13:M44" si="5">IF(OR(A13="",D13="",N13=0),"",ROUND(D13-L13,2))</f>
        <v/>
      </c>
      <c r="N13">
        <f>IF(A13="","",IF($C$3="C0",COUNTIFS(itens_Consumidos!$A$2:$A$200,A13,itens_Consumidos!$E$2:$E$200,"&lt;&gt;"),IF($C$3="C1",COUNTIFS(itens_Consumidos!$A$2:$A$200,A13,itens_Consumidos!$G$2:$G$200,"&lt;&gt;"),IF($C$3="C2",COUNTIFS(itens_Consumidos!$A$2:$A$200,A13,itens_Consumidos!$I$2:$I$200,"&lt;&gt;"),IF($C$3="C3",COUNTIFS(itens_Consumidos!$A$2:$A$200,A13,itens_Consumidos!$K$2:$K$200,"&lt;&gt;"),IF($C$3="C4",COUNTIFS(itens_Consumidos!$A$2:$A$200,A13,itens_Consumidos!$M$2:$M$200,"&lt;&gt;"),""))))))</f>
        <v>0</v>
      </c>
      <c r="O13">
        <f>IF(itens_Remanesc!$A2="","",COUNTIFS(aditivos!$A$2:$A$200,itens_Remanesc!$A2,aditivos!$B$2:$B$200,"&lt;="&amp;$D$5,aditivos!$L$2:$L$200,"&gt;0"))</f>
        <v>0</v>
      </c>
    </row>
    <row r="14" spans="1:15" ht="20" customHeight="1" x14ac:dyDescent="0.35">
      <c r="A14" s="416" t="str">
        <f>IF(itens_Remanesc!$A3="","",IF(NOT(posicao_contratual!$Z3),itens_Remanesc!$A3,IF(AND(ISNUMBER($D$5),$O14&gt;0),itens_Remanesc!$A3,"")))</f>
        <v>ITEM-002</v>
      </c>
      <c r="B14" s="417">
        <f>IF(A14="","",IF(AND(posicao_contratual!$Z3,COUNTIFS(aditivos!$A$2:$A$200,itens_Remanesc!$A3,aditivos!$B$2:$B$200,"&lt;"&amp;(INT($F$3)+1),aditivos!$L$2:$L$200,"&gt;0")=0),0,IF(ISNUMBER(IF($C$3="C0",posicao_contratual!$F3,IF($C$3="C1",posicao_contratual!$J3,IF($C$3="C2",posicao_contratual!$N3,IF($C$3="C3",posicao_contratual!$R3,IF($C$3="C4",posicao_contratual!$V3,"")))))),ROUND(IF($C$3="C0",posicao_contratual!$F3,IF($C$3="C1",posicao_contratual!$J3,IF($C$3="C2",posicao_contratual!$N3,IF($C$3="C3",posicao_contratual!$R3,IF($C$3="C4",posicao_contratual!$V3,"")))))+ROUND(SUMIFS(aditivos!$L$2:$L$200,aditivos!$A$2:$A$200,A14,aditivos!$C$2:$C$200,$C$3,aditivos!$B$2:$B$200,"&lt;"&amp;(INT($F$3)+1)),2),2),IF(ROUND(SUMIFS(aditivos!$L$2:$L$200,aditivos!$A$2:$A$200,A14,aditivos!$C$2:$C$200,$C$3,aditivos!$B$2:$B$200,"&lt;"&amp;(INT($F$3)+1)),2)&gt;0,ROUND(SUMIFS(aditivos!$L$2:$L$200,aditivos!$A$2:$A$200,A14,aditivos!$C$2:$C$200,$C$3,aditivos!$B$2:$B$200,"&lt;"&amp;(INT($F$3)+1)),2),""))))</f>
        <v>80</v>
      </c>
      <c r="C14" s="418">
        <v>30</v>
      </c>
      <c r="D14" s="417">
        <f t="shared" si="0"/>
        <v>50</v>
      </c>
      <c r="E14" s="419">
        <f>IF(A14="","",IF($C$3="C0",historico_VU!$C3,IF($C$3="C1",historico_VU!$D3,IF($C$3="C2",historico_VU!$E3,IF($C$3="C3",historico_VU!$F3,IF($C$3="C4",historico_VU!$G3,""))))))</f>
        <v>1576.8</v>
      </c>
      <c r="F14" s="419">
        <f t="shared" si="1"/>
        <v>78840</v>
      </c>
      <c r="G14" s="419">
        <f t="shared" si="2"/>
        <v>47304</v>
      </c>
      <c r="I14">
        <f>IF(OR(A14="",$D$5="",$F$3=""),"",ROUND(SUMIFS(aditivos!$L$2:$L$200,aditivos!$A$2:$A$200,A14,aditivos!$B$2:$B$200,"&gt;="&amp;(INT($F$3)+1),aditivos!$B$2:$B$200,"&lt;="&amp;$D$5),2))</f>
        <v>0</v>
      </c>
      <c r="J14">
        <f t="shared" si="3"/>
        <v>0</v>
      </c>
      <c r="K14" t="str">
        <f t="shared" si="4"/>
        <v>OK</v>
      </c>
      <c r="L14">
        <f>IF(A14="","",IF($C$3="C0",SUMIFS(itens_Consumidos!$E$2:$E$200,itens_Consumidos!$A$2:$A$200,A14),IF($C$3="C1",SUMIFS(itens_Consumidos!$G$2:$G$200,itens_Consumidos!$A$2:$A$200,A14),IF($C$3="C2",SUMIFS(itens_Consumidos!$I$2:$I$200,itens_Consumidos!$A$2:$A$200,A14),IF($C$3="C3",SUMIFS(itens_Consumidos!$K$2:$K$200,itens_Consumidos!$A$2:$A$200,A14),IF($C$3="C4",SUMIFS(itens_Consumidos!$M$2:$M$200,itens_Consumidos!$A$2:$A$200,A14),""))))))</f>
        <v>0</v>
      </c>
      <c r="M14" t="str">
        <f t="shared" si="5"/>
        <v/>
      </c>
      <c r="N14">
        <f>IF(A14="","",IF($C$3="C0",COUNTIFS(itens_Consumidos!$A$2:$A$200,A14,itens_Consumidos!$E$2:$E$200,"&lt;&gt;"),IF($C$3="C1",COUNTIFS(itens_Consumidos!$A$2:$A$200,A14,itens_Consumidos!$G$2:$G$200,"&lt;&gt;"),IF($C$3="C2",COUNTIFS(itens_Consumidos!$A$2:$A$200,A14,itens_Consumidos!$I$2:$I$200,"&lt;&gt;"),IF($C$3="C3",COUNTIFS(itens_Consumidos!$A$2:$A$200,A14,itens_Consumidos!$K$2:$K$200,"&lt;&gt;"),IF($C$3="C4",COUNTIFS(itens_Consumidos!$A$2:$A$200,A14,itens_Consumidos!$M$2:$M$200,"&lt;&gt;"),""))))))</f>
        <v>0</v>
      </c>
      <c r="O14">
        <f>IF(itens_Remanesc!$A3="","",COUNTIFS(aditivos!$A$2:$A$200,itens_Remanesc!$A3,aditivos!$B$2:$B$200,"&lt;="&amp;$D$5,aditivos!$L$2:$L$200,"&gt;0"))</f>
        <v>0</v>
      </c>
    </row>
    <row r="15" spans="1:15" ht="20" customHeight="1" x14ac:dyDescent="0.35">
      <c r="A15" s="416" t="str">
        <f>IF(itens_Remanesc!$A4="","",IF(NOT(posicao_contratual!$Z4),itens_Remanesc!$A4,IF(AND(ISNUMBER($D$5),$O15&gt;0),itens_Remanesc!$A4,"")))</f>
        <v>ITEM-003</v>
      </c>
      <c r="B15" s="417">
        <f>IF(A15="","",IF(AND(posicao_contratual!$Z4,COUNTIFS(aditivos!$A$2:$A$200,itens_Remanesc!$A4,aditivos!$B$2:$B$200,"&lt;"&amp;(INT($F$3)+1),aditivos!$L$2:$L$200,"&gt;0")=0),0,IF(ISNUMBER(IF($C$3="C0",posicao_contratual!$F4,IF($C$3="C1",posicao_contratual!$J4,IF($C$3="C2",posicao_contratual!$N4,IF($C$3="C3",posicao_contratual!$R4,IF($C$3="C4",posicao_contratual!$V4,"")))))),ROUND(IF($C$3="C0",posicao_contratual!$F4,IF($C$3="C1",posicao_contratual!$J4,IF($C$3="C2",posicao_contratual!$N4,IF($C$3="C3",posicao_contratual!$R4,IF($C$3="C4",posicao_contratual!$V4,"")))))+ROUND(SUMIFS(aditivos!$L$2:$L$200,aditivos!$A$2:$A$200,A15,aditivos!$C$2:$C$200,$C$3,aditivos!$B$2:$B$200,"&lt;"&amp;(INT($F$3)+1)),2),2),IF(ROUND(SUMIFS(aditivos!$L$2:$L$200,aditivos!$A$2:$A$200,A15,aditivos!$C$2:$C$200,$C$3,aditivos!$B$2:$B$200,"&lt;"&amp;(INT($F$3)+1)),2)&gt;0,ROUND(SUMIFS(aditivos!$L$2:$L$200,aditivos!$A$2:$A$200,A15,aditivos!$C$2:$C$200,$C$3,aditivos!$B$2:$B$200,"&lt;"&amp;(INT($F$3)+1)),2),""))))</f>
        <v>40</v>
      </c>
      <c r="C15" s="418">
        <v>12</v>
      </c>
      <c r="D15" s="417">
        <f t="shared" si="0"/>
        <v>28</v>
      </c>
      <c r="E15" s="419">
        <f>IF(A15="","",IF($C$3="C0",historico_VU!$C4,IF($C$3="C1",historico_VU!$D4,IF($C$3="C2",historico_VU!$E4,IF($C$3="C3",historico_VU!$F4,IF($C$3="C4",historico_VU!$G4,""))))))</f>
        <v>3363.84</v>
      </c>
      <c r="F15" s="419">
        <f t="shared" si="1"/>
        <v>94187.520000000004</v>
      </c>
      <c r="G15" s="419">
        <f t="shared" si="2"/>
        <v>40366.080000000002</v>
      </c>
      <c r="I15">
        <f>IF(OR(A15="",$D$5="",$F$3=""),"",ROUND(SUMIFS(aditivos!$L$2:$L$200,aditivos!$A$2:$A$200,A15,aditivos!$B$2:$B$200,"&gt;="&amp;(INT($F$3)+1),aditivos!$B$2:$B$200,"&lt;="&amp;$D$5),2))</f>
        <v>0</v>
      </c>
      <c r="J15">
        <f t="shared" si="3"/>
        <v>0</v>
      </c>
      <c r="K15" t="str">
        <f t="shared" si="4"/>
        <v>OK</v>
      </c>
      <c r="L15">
        <f>IF(A15="","",IF($C$3="C0",SUMIFS(itens_Consumidos!$E$2:$E$200,itens_Consumidos!$A$2:$A$200,A15),IF($C$3="C1",SUMIFS(itens_Consumidos!$G$2:$G$200,itens_Consumidos!$A$2:$A$200,A15),IF($C$3="C2",SUMIFS(itens_Consumidos!$I$2:$I$200,itens_Consumidos!$A$2:$A$200,A15),IF($C$3="C3",SUMIFS(itens_Consumidos!$K$2:$K$200,itens_Consumidos!$A$2:$A$200,A15),IF($C$3="C4",SUMIFS(itens_Consumidos!$M$2:$M$200,itens_Consumidos!$A$2:$A$200,A15),""))))))</f>
        <v>0</v>
      </c>
      <c r="M15" t="str">
        <f t="shared" si="5"/>
        <v/>
      </c>
      <c r="N15">
        <f>IF(A15="","",IF($C$3="C0",COUNTIFS(itens_Consumidos!$A$2:$A$200,A15,itens_Consumidos!$E$2:$E$200,"&lt;&gt;"),IF($C$3="C1",COUNTIFS(itens_Consumidos!$A$2:$A$200,A15,itens_Consumidos!$G$2:$G$200,"&lt;&gt;"),IF($C$3="C2",COUNTIFS(itens_Consumidos!$A$2:$A$200,A15,itens_Consumidos!$I$2:$I$200,"&lt;&gt;"),IF($C$3="C3",COUNTIFS(itens_Consumidos!$A$2:$A$200,A15,itens_Consumidos!$K$2:$K$200,"&lt;&gt;"),IF($C$3="C4",COUNTIFS(itens_Consumidos!$A$2:$A$200,A15,itens_Consumidos!$M$2:$M$200,"&lt;&gt;"),""))))))</f>
        <v>0</v>
      </c>
      <c r="O15">
        <f>IF(itens_Remanesc!$A4="","",COUNTIFS(aditivos!$A$2:$A$200,itens_Remanesc!$A4,aditivos!$B$2:$B$200,"&lt;="&amp;$D$5,aditivos!$L$2:$L$200,"&gt;0"))</f>
        <v>0</v>
      </c>
    </row>
    <row r="16" spans="1:15" ht="20" customHeight="1" x14ac:dyDescent="0.35">
      <c r="A16" s="416" t="str">
        <f>IF(itens_Remanesc!$A5="","",IF(NOT(posicao_contratual!$Z5),itens_Remanesc!$A5,IF(AND(ISNUMBER($D$5),$O16&gt;0),itens_Remanesc!$A5,"")))</f>
        <v/>
      </c>
      <c r="B16" s="417" t="str">
        <f>IF(A16="","",IF(AND(posicao_contratual!$Z5,COUNTIFS(aditivos!$A$2:$A$200,itens_Remanesc!$A5,aditivos!$B$2:$B$200,"&lt;"&amp;(INT($F$3)+1),aditivos!$L$2:$L$200,"&gt;0")=0),0,IF(ISNUMBER(IF($C$3="C0",posicao_contratual!$F5,IF($C$3="C1",posicao_contratual!$J5,IF($C$3="C2",posicao_contratual!$N5,IF($C$3="C3",posicao_contratual!$R5,IF($C$3="C4",posicao_contratual!$V5,"")))))),ROUND(IF($C$3="C0",posicao_contratual!$F5,IF($C$3="C1",posicao_contratual!$J5,IF($C$3="C2",posicao_contratual!$N5,IF($C$3="C3",posicao_contratual!$R5,IF($C$3="C4",posicao_contratual!$V5,"")))))+ROUND(SUMIFS(aditivos!$L$2:$L$200,aditivos!$A$2:$A$200,A16,aditivos!$C$2:$C$200,$C$3,aditivos!$B$2:$B$200,"&lt;"&amp;(INT($F$3)+1)),2),2),IF(ROUND(SUMIFS(aditivos!$L$2:$L$200,aditivos!$A$2:$A$200,A16,aditivos!$C$2:$C$200,$C$3,aditivos!$B$2:$B$200,"&lt;"&amp;(INT($F$3)+1)),2)&gt;0,ROUND(SUMIFS(aditivos!$L$2:$L$200,aditivos!$A$2:$A$200,A16,aditivos!$C$2:$C$200,$C$3,aditivos!$B$2:$B$200,"&lt;"&amp;(INT($F$3)+1)),2),""))))</f>
        <v/>
      </c>
      <c r="C16" s="418"/>
      <c r="D16" s="417" t="str">
        <f t="shared" si="0"/>
        <v/>
      </c>
      <c r="E16" s="419" t="str">
        <f>IF(A16="","",IF($C$3="C0",historico_VU!$C5,IF($C$3="C1",historico_VU!$D5,IF($C$3="C2",historico_VU!$E5,IF($C$3="C3",historico_VU!$F5,IF($C$3="C4",historico_VU!$G5,""))))))</f>
        <v/>
      </c>
      <c r="F16" s="419" t="str">
        <f t="shared" si="1"/>
        <v/>
      </c>
      <c r="G16" s="419" t="str">
        <f t="shared" si="2"/>
        <v/>
      </c>
      <c r="I16" t="str">
        <f>IF(OR(A16="",$D$5="",$F$3=""),"",ROUND(SUMIFS(aditivos!$L$2:$L$200,aditivos!$A$2:$A$200,A16,aditivos!$B$2:$B$200,"&gt;="&amp;(INT($F$3)+1),aditivos!$B$2:$B$200,"&lt;="&amp;$D$5),2))</f>
        <v/>
      </c>
      <c r="J16" t="str">
        <f t="shared" si="3"/>
        <v/>
      </c>
      <c r="K16" t="str">
        <f t="shared" si="4"/>
        <v/>
      </c>
      <c r="L16" t="str">
        <f>IF(A16="","",IF($C$3="C0",SUMIFS(itens_Consumidos!$E$2:$E$200,itens_Consumidos!$A$2:$A$200,A16),IF($C$3="C1",SUMIFS(itens_Consumidos!$G$2:$G$200,itens_Consumidos!$A$2:$A$200,A16),IF($C$3="C2",SUMIFS(itens_Consumidos!$I$2:$I$200,itens_Consumidos!$A$2:$A$200,A16),IF($C$3="C3",SUMIFS(itens_Consumidos!$K$2:$K$200,itens_Consumidos!$A$2:$A$200,A16),IF($C$3="C4",SUMIFS(itens_Consumidos!$M$2:$M$200,itens_Consumidos!$A$2:$A$200,A16),""))))))</f>
        <v/>
      </c>
      <c r="M16" t="str">
        <f t="shared" si="5"/>
        <v/>
      </c>
      <c r="N16" t="str">
        <f>IF(A16="","",IF($C$3="C0",COUNTIFS(itens_Consumidos!$A$2:$A$200,A16,itens_Consumidos!$E$2:$E$200,"&lt;&gt;"),IF($C$3="C1",COUNTIFS(itens_Consumidos!$A$2:$A$200,A16,itens_Consumidos!$G$2:$G$200,"&lt;&gt;"),IF($C$3="C2",COUNTIFS(itens_Consumidos!$A$2:$A$200,A16,itens_Consumidos!$I$2:$I$200,"&lt;&gt;"),IF($C$3="C3",COUNTIFS(itens_Consumidos!$A$2:$A$200,A16,itens_Consumidos!$K$2:$K$200,"&lt;&gt;"),IF($C$3="C4",COUNTIFS(itens_Consumidos!$A$2:$A$200,A16,itens_Consumidos!$M$2:$M$200,"&lt;&gt;"),""))))))</f>
        <v/>
      </c>
      <c r="O16" t="str">
        <f>IF(itens_Remanesc!$A5="","",COUNTIFS(aditivos!$A$2:$A$200,itens_Remanesc!$A5,aditivos!$B$2:$B$200,"&lt;="&amp;$D$5,aditivos!$L$2:$L$200,"&gt;0"))</f>
        <v/>
      </c>
    </row>
    <row r="17" spans="1:15" ht="20" customHeight="1" x14ac:dyDescent="0.35">
      <c r="A17" s="416" t="str">
        <f>IF(itens_Remanesc!$A6="","",IF(NOT(posicao_contratual!$Z6),itens_Remanesc!$A6,IF(AND(ISNUMBER($D$5),$O17&gt;0),itens_Remanesc!$A6,"")))</f>
        <v/>
      </c>
      <c r="B17" s="417" t="str">
        <f>IF(A17="","",IF(AND(posicao_contratual!$Z6,COUNTIFS(aditivos!$A$2:$A$200,itens_Remanesc!$A6,aditivos!$B$2:$B$200,"&lt;"&amp;(INT($F$3)+1),aditivos!$L$2:$L$200,"&gt;0")=0),0,IF(ISNUMBER(IF($C$3="C0",posicao_contratual!$F6,IF($C$3="C1",posicao_contratual!$J6,IF($C$3="C2",posicao_contratual!$N6,IF($C$3="C3",posicao_contratual!$R6,IF($C$3="C4",posicao_contratual!$V6,"")))))),ROUND(IF($C$3="C0",posicao_contratual!$F6,IF($C$3="C1",posicao_contratual!$J6,IF($C$3="C2",posicao_contratual!$N6,IF($C$3="C3",posicao_contratual!$R6,IF($C$3="C4",posicao_contratual!$V6,"")))))+ROUND(SUMIFS(aditivos!$L$2:$L$200,aditivos!$A$2:$A$200,A17,aditivos!$C$2:$C$200,$C$3,aditivos!$B$2:$B$200,"&lt;"&amp;(INT($F$3)+1)),2),2),IF(ROUND(SUMIFS(aditivos!$L$2:$L$200,aditivos!$A$2:$A$200,A17,aditivos!$C$2:$C$200,$C$3,aditivos!$B$2:$B$200,"&lt;"&amp;(INT($F$3)+1)),2)&gt;0,ROUND(SUMIFS(aditivos!$L$2:$L$200,aditivos!$A$2:$A$200,A17,aditivos!$C$2:$C$200,$C$3,aditivos!$B$2:$B$200,"&lt;"&amp;(INT($F$3)+1)),2),""))))</f>
        <v/>
      </c>
      <c r="C17" s="418"/>
      <c r="D17" s="417" t="str">
        <f t="shared" si="0"/>
        <v/>
      </c>
      <c r="E17" s="419" t="str">
        <f>IF(A17="","",IF($C$3="C0",historico_VU!$C6,IF($C$3="C1",historico_VU!$D6,IF($C$3="C2",historico_VU!$E6,IF($C$3="C3",historico_VU!$F6,IF($C$3="C4",historico_VU!$G6,""))))))</f>
        <v/>
      </c>
      <c r="F17" s="419" t="str">
        <f t="shared" si="1"/>
        <v/>
      </c>
      <c r="G17" s="419" t="str">
        <f t="shared" si="2"/>
        <v/>
      </c>
      <c r="I17" t="str">
        <f>IF(OR(A17="",$D$5="",$F$3=""),"",ROUND(SUMIFS(aditivos!$L$2:$L$200,aditivos!$A$2:$A$200,A17,aditivos!$B$2:$B$200,"&gt;="&amp;(INT($F$3)+1),aditivos!$B$2:$B$200,"&lt;="&amp;$D$5),2))</f>
        <v/>
      </c>
      <c r="J17" t="str">
        <f t="shared" si="3"/>
        <v/>
      </c>
      <c r="K17" t="str">
        <f t="shared" si="4"/>
        <v/>
      </c>
      <c r="L17" t="str">
        <f>IF(A17="","",IF($C$3="C0",SUMIFS(itens_Consumidos!$E$2:$E$200,itens_Consumidos!$A$2:$A$200,A17),IF($C$3="C1",SUMIFS(itens_Consumidos!$G$2:$G$200,itens_Consumidos!$A$2:$A$200,A17),IF($C$3="C2",SUMIFS(itens_Consumidos!$I$2:$I$200,itens_Consumidos!$A$2:$A$200,A17),IF($C$3="C3",SUMIFS(itens_Consumidos!$K$2:$K$200,itens_Consumidos!$A$2:$A$200,A17),IF($C$3="C4",SUMIFS(itens_Consumidos!$M$2:$M$200,itens_Consumidos!$A$2:$A$200,A17),""))))))</f>
        <v/>
      </c>
      <c r="M17" t="str">
        <f t="shared" si="5"/>
        <v/>
      </c>
      <c r="N17" t="str">
        <f>IF(A17="","",IF($C$3="C0",COUNTIFS(itens_Consumidos!$A$2:$A$200,A17,itens_Consumidos!$E$2:$E$200,"&lt;&gt;"),IF($C$3="C1",COUNTIFS(itens_Consumidos!$A$2:$A$200,A17,itens_Consumidos!$G$2:$G$200,"&lt;&gt;"),IF($C$3="C2",COUNTIFS(itens_Consumidos!$A$2:$A$200,A17,itens_Consumidos!$I$2:$I$200,"&lt;&gt;"),IF($C$3="C3",COUNTIFS(itens_Consumidos!$A$2:$A$200,A17,itens_Consumidos!$K$2:$K$200,"&lt;&gt;"),IF($C$3="C4",COUNTIFS(itens_Consumidos!$A$2:$A$200,A17,itens_Consumidos!$M$2:$M$200,"&lt;&gt;"),""))))))</f>
        <v/>
      </c>
      <c r="O17" t="str">
        <f>IF(itens_Remanesc!$A6="","",COUNTIFS(aditivos!$A$2:$A$200,itens_Remanesc!$A6,aditivos!$B$2:$B$200,"&lt;="&amp;$D$5,aditivos!$L$2:$L$200,"&gt;0"))</f>
        <v/>
      </c>
    </row>
    <row r="18" spans="1:15" ht="20" customHeight="1" x14ac:dyDescent="0.35">
      <c r="A18" s="416" t="str">
        <f>IF(itens_Remanesc!$A7="","",IF(NOT(posicao_contratual!$Z7),itens_Remanesc!$A7,IF(AND(ISNUMBER($D$5),$O18&gt;0),itens_Remanesc!$A7,"")))</f>
        <v/>
      </c>
      <c r="B18" s="417" t="str">
        <f>IF(A18="","",IF(AND(posicao_contratual!$Z7,COUNTIFS(aditivos!$A$2:$A$200,itens_Remanesc!$A7,aditivos!$B$2:$B$200,"&lt;"&amp;(INT($F$3)+1),aditivos!$L$2:$L$200,"&gt;0")=0),0,IF(ISNUMBER(IF($C$3="C0",posicao_contratual!$F7,IF($C$3="C1",posicao_contratual!$J7,IF($C$3="C2",posicao_contratual!$N7,IF($C$3="C3",posicao_contratual!$R7,IF($C$3="C4",posicao_contratual!$V7,"")))))),ROUND(IF($C$3="C0",posicao_contratual!$F7,IF($C$3="C1",posicao_contratual!$J7,IF($C$3="C2",posicao_contratual!$N7,IF($C$3="C3",posicao_contratual!$R7,IF($C$3="C4",posicao_contratual!$V7,"")))))+ROUND(SUMIFS(aditivos!$L$2:$L$200,aditivos!$A$2:$A$200,A18,aditivos!$C$2:$C$200,$C$3,aditivos!$B$2:$B$200,"&lt;"&amp;(INT($F$3)+1)),2),2),IF(ROUND(SUMIFS(aditivos!$L$2:$L$200,aditivos!$A$2:$A$200,A18,aditivos!$C$2:$C$200,$C$3,aditivos!$B$2:$B$200,"&lt;"&amp;(INT($F$3)+1)),2)&gt;0,ROUND(SUMIFS(aditivos!$L$2:$L$200,aditivos!$A$2:$A$200,A18,aditivos!$C$2:$C$200,$C$3,aditivos!$B$2:$B$200,"&lt;"&amp;(INT($F$3)+1)),2),""))))</f>
        <v/>
      </c>
      <c r="C18" s="418"/>
      <c r="D18" s="417" t="str">
        <f t="shared" si="0"/>
        <v/>
      </c>
      <c r="E18" s="419" t="str">
        <f>IF(A18="","",IF($C$3="C0",historico_VU!$C7,IF($C$3="C1",historico_VU!$D7,IF($C$3="C2",historico_VU!$E7,IF($C$3="C3",historico_VU!$F7,IF($C$3="C4",historico_VU!$G7,""))))))</f>
        <v/>
      </c>
      <c r="F18" s="419" t="str">
        <f t="shared" si="1"/>
        <v/>
      </c>
      <c r="G18" s="419" t="str">
        <f t="shared" si="2"/>
        <v/>
      </c>
      <c r="I18" t="str">
        <f>IF(OR(A18="",$D$5="",$F$3=""),"",ROUND(SUMIFS(aditivos!$L$2:$L$200,aditivos!$A$2:$A$200,A18,aditivos!$B$2:$B$200,"&gt;="&amp;(INT($F$3)+1),aditivos!$B$2:$B$200,"&lt;="&amp;$D$5),2))</f>
        <v/>
      </c>
      <c r="J18" t="str">
        <f t="shared" si="3"/>
        <v/>
      </c>
      <c r="K18" t="str">
        <f t="shared" si="4"/>
        <v/>
      </c>
      <c r="L18" t="str">
        <f>IF(A18="","",IF($C$3="C0",SUMIFS(itens_Consumidos!$E$2:$E$200,itens_Consumidos!$A$2:$A$200,A18),IF($C$3="C1",SUMIFS(itens_Consumidos!$G$2:$G$200,itens_Consumidos!$A$2:$A$200,A18),IF($C$3="C2",SUMIFS(itens_Consumidos!$I$2:$I$200,itens_Consumidos!$A$2:$A$200,A18),IF($C$3="C3",SUMIFS(itens_Consumidos!$K$2:$K$200,itens_Consumidos!$A$2:$A$200,A18),IF($C$3="C4",SUMIFS(itens_Consumidos!$M$2:$M$200,itens_Consumidos!$A$2:$A$200,A18),""))))))</f>
        <v/>
      </c>
      <c r="M18" t="str">
        <f t="shared" si="5"/>
        <v/>
      </c>
      <c r="N18" t="str">
        <f>IF(A18="","",IF($C$3="C0",COUNTIFS(itens_Consumidos!$A$2:$A$200,A18,itens_Consumidos!$E$2:$E$200,"&lt;&gt;"),IF($C$3="C1",COUNTIFS(itens_Consumidos!$A$2:$A$200,A18,itens_Consumidos!$G$2:$G$200,"&lt;&gt;"),IF($C$3="C2",COUNTIFS(itens_Consumidos!$A$2:$A$200,A18,itens_Consumidos!$I$2:$I$200,"&lt;&gt;"),IF($C$3="C3",COUNTIFS(itens_Consumidos!$A$2:$A$200,A18,itens_Consumidos!$K$2:$K$200,"&lt;&gt;"),IF($C$3="C4",COUNTIFS(itens_Consumidos!$A$2:$A$200,A18,itens_Consumidos!$M$2:$M$200,"&lt;&gt;"),""))))))</f>
        <v/>
      </c>
      <c r="O18" t="str">
        <f>IF(itens_Remanesc!$A7="","",COUNTIFS(aditivos!$A$2:$A$200,itens_Remanesc!$A7,aditivos!$B$2:$B$200,"&lt;="&amp;$D$5,aditivos!$L$2:$L$200,"&gt;0"))</f>
        <v/>
      </c>
    </row>
    <row r="19" spans="1:15" ht="20" customHeight="1" x14ac:dyDescent="0.35">
      <c r="A19" s="416" t="str">
        <f>IF(itens_Remanesc!$A8="","",IF(NOT(posicao_contratual!$Z8),itens_Remanesc!$A8,IF(AND(ISNUMBER($D$5),$O19&gt;0),itens_Remanesc!$A8,"")))</f>
        <v/>
      </c>
      <c r="B19" s="417" t="str">
        <f>IF(A19="","",IF(AND(posicao_contratual!$Z8,COUNTIFS(aditivos!$A$2:$A$200,itens_Remanesc!$A8,aditivos!$B$2:$B$200,"&lt;"&amp;(INT($F$3)+1),aditivos!$L$2:$L$200,"&gt;0")=0),0,IF(ISNUMBER(IF($C$3="C0",posicao_contratual!$F8,IF($C$3="C1",posicao_contratual!$J8,IF($C$3="C2",posicao_contratual!$N8,IF($C$3="C3",posicao_contratual!$R8,IF($C$3="C4",posicao_contratual!$V8,"")))))),ROUND(IF($C$3="C0",posicao_contratual!$F8,IF($C$3="C1",posicao_contratual!$J8,IF($C$3="C2",posicao_contratual!$N8,IF($C$3="C3",posicao_contratual!$R8,IF($C$3="C4",posicao_contratual!$V8,"")))))+ROUND(SUMIFS(aditivos!$L$2:$L$200,aditivos!$A$2:$A$200,A19,aditivos!$C$2:$C$200,$C$3,aditivos!$B$2:$B$200,"&lt;"&amp;(INT($F$3)+1)),2),2),IF(ROUND(SUMIFS(aditivos!$L$2:$L$200,aditivos!$A$2:$A$200,A19,aditivos!$C$2:$C$200,$C$3,aditivos!$B$2:$B$200,"&lt;"&amp;(INT($F$3)+1)),2)&gt;0,ROUND(SUMIFS(aditivos!$L$2:$L$200,aditivos!$A$2:$A$200,A19,aditivos!$C$2:$C$200,$C$3,aditivos!$B$2:$B$200,"&lt;"&amp;(INT($F$3)+1)),2),""))))</f>
        <v/>
      </c>
      <c r="C19" s="418"/>
      <c r="D19" s="417" t="str">
        <f t="shared" si="0"/>
        <v/>
      </c>
      <c r="E19" s="419" t="str">
        <f>IF(A19="","",IF($C$3="C0",historico_VU!$C8,IF($C$3="C1",historico_VU!$D8,IF($C$3="C2",historico_VU!$E8,IF($C$3="C3",historico_VU!$F8,IF($C$3="C4",historico_VU!$G8,""))))))</f>
        <v/>
      </c>
      <c r="F19" s="419" t="str">
        <f t="shared" si="1"/>
        <v/>
      </c>
      <c r="G19" s="419" t="str">
        <f t="shared" si="2"/>
        <v/>
      </c>
      <c r="I19" t="str">
        <f>IF(OR(A19="",$D$5="",$F$3=""),"",ROUND(SUMIFS(aditivos!$L$2:$L$200,aditivos!$A$2:$A$200,A19,aditivos!$B$2:$B$200,"&gt;="&amp;(INT($F$3)+1),aditivos!$B$2:$B$200,"&lt;="&amp;$D$5),2))</f>
        <v/>
      </c>
      <c r="J19" t="str">
        <f t="shared" si="3"/>
        <v/>
      </c>
      <c r="K19" t="str">
        <f t="shared" si="4"/>
        <v/>
      </c>
      <c r="L19" t="str">
        <f>IF(A19="","",IF($C$3="C0",SUMIFS(itens_Consumidos!$E$2:$E$200,itens_Consumidos!$A$2:$A$200,A19),IF($C$3="C1",SUMIFS(itens_Consumidos!$G$2:$G$200,itens_Consumidos!$A$2:$A$200,A19),IF($C$3="C2",SUMIFS(itens_Consumidos!$I$2:$I$200,itens_Consumidos!$A$2:$A$200,A19),IF($C$3="C3",SUMIFS(itens_Consumidos!$K$2:$K$200,itens_Consumidos!$A$2:$A$200,A19),IF($C$3="C4",SUMIFS(itens_Consumidos!$M$2:$M$200,itens_Consumidos!$A$2:$A$200,A19),""))))))</f>
        <v/>
      </c>
      <c r="M19" t="str">
        <f t="shared" si="5"/>
        <v/>
      </c>
      <c r="N19" t="str">
        <f>IF(A19="","",IF($C$3="C0",COUNTIFS(itens_Consumidos!$A$2:$A$200,A19,itens_Consumidos!$E$2:$E$200,"&lt;&gt;"),IF($C$3="C1",COUNTIFS(itens_Consumidos!$A$2:$A$200,A19,itens_Consumidos!$G$2:$G$200,"&lt;&gt;"),IF($C$3="C2",COUNTIFS(itens_Consumidos!$A$2:$A$200,A19,itens_Consumidos!$I$2:$I$200,"&lt;&gt;"),IF($C$3="C3",COUNTIFS(itens_Consumidos!$A$2:$A$200,A19,itens_Consumidos!$K$2:$K$200,"&lt;&gt;"),IF($C$3="C4",COUNTIFS(itens_Consumidos!$A$2:$A$200,A19,itens_Consumidos!$M$2:$M$200,"&lt;&gt;"),""))))))</f>
        <v/>
      </c>
      <c r="O19" t="str">
        <f>IF(itens_Remanesc!$A8="","",COUNTIFS(aditivos!$A$2:$A$200,itens_Remanesc!$A8,aditivos!$B$2:$B$200,"&lt;="&amp;$D$5,aditivos!$L$2:$L$200,"&gt;0"))</f>
        <v/>
      </c>
    </row>
    <row r="20" spans="1:15" ht="20" customHeight="1" x14ac:dyDescent="0.35">
      <c r="A20" s="416" t="str">
        <f>IF(itens_Remanesc!$A9="","",IF(NOT(posicao_contratual!$Z9),itens_Remanesc!$A9,IF(AND(ISNUMBER($D$5),$O20&gt;0),itens_Remanesc!$A9,"")))</f>
        <v/>
      </c>
      <c r="B20" s="417" t="str">
        <f>IF(A20="","",IF(AND(posicao_contratual!$Z9,COUNTIFS(aditivos!$A$2:$A$200,itens_Remanesc!$A9,aditivos!$B$2:$B$200,"&lt;"&amp;(INT($F$3)+1),aditivos!$L$2:$L$200,"&gt;0")=0),0,IF(ISNUMBER(IF($C$3="C0",posicao_contratual!$F9,IF($C$3="C1",posicao_contratual!$J9,IF($C$3="C2",posicao_contratual!$N9,IF($C$3="C3",posicao_contratual!$R9,IF($C$3="C4",posicao_contratual!$V9,"")))))),ROUND(IF($C$3="C0",posicao_contratual!$F9,IF($C$3="C1",posicao_contratual!$J9,IF($C$3="C2",posicao_contratual!$N9,IF($C$3="C3",posicao_contratual!$R9,IF($C$3="C4",posicao_contratual!$V9,"")))))+ROUND(SUMIFS(aditivos!$L$2:$L$200,aditivos!$A$2:$A$200,A20,aditivos!$C$2:$C$200,$C$3,aditivos!$B$2:$B$200,"&lt;"&amp;(INT($F$3)+1)),2),2),IF(ROUND(SUMIFS(aditivos!$L$2:$L$200,aditivos!$A$2:$A$200,A20,aditivos!$C$2:$C$200,$C$3,aditivos!$B$2:$B$200,"&lt;"&amp;(INT($F$3)+1)),2)&gt;0,ROUND(SUMIFS(aditivos!$L$2:$L$200,aditivos!$A$2:$A$200,A20,aditivos!$C$2:$C$200,$C$3,aditivos!$B$2:$B$200,"&lt;"&amp;(INT($F$3)+1)),2),""))))</f>
        <v/>
      </c>
      <c r="C20" s="418"/>
      <c r="D20" s="417" t="str">
        <f t="shared" si="0"/>
        <v/>
      </c>
      <c r="E20" s="419" t="str">
        <f>IF(A20="","",IF($C$3="C0",historico_VU!$C9,IF($C$3="C1",historico_VU!$D9,IF($C$3="C2",historico_VU!$E9,IF($C$3="C3",historico_VU!$F9,IF($C$3="C4",historico_VU!$G9,""))))))</f>
        <v/>
      </c>
      <c r="F20" s="419" t="str">
        <f t="shared" si="1"/>
        <v/>
      </c>
      <c r="G20" s="419" t="str">
        <f t="shared" si="2"/>
        <v/>
      </c>
      <c r="I20" t="str">
        <f>IF(OR(A20="",$D$5="",$F$3=""),"",ROUND(SUMIFS(aditivos!$L$2:$L$200,aditivos!$A$2:$A$200,A20,aditivos!$B$2:$B$200,"&gt;="&amp;(INT($F$3)+1),aditivos!$B$2:$B$200,"&lt;="&amp;$D$5),2))</f>
        <v/>
      </c>
      <c r="J20" t="str">
        <f t="shared" si="3"/>
        <v/>
      </c>
      <c r="K20" t="str">
        <f t="shared" si="4"/>
        <v/>
      </c>
      <c r="L20" t="str">
        <f>IF(A20="","",IF($C$3="C0",SUMIFS(itens_Consumidos!$E$2:$E$200,itens_Consumidos!$A$2:$A$200,A20),IF($C$3="C1",SUMIFS(itens_Consumidos!$G$2:$G$200,itens_Consumidos!$A$2:$A$200,A20),IF($C$3="C2",SUMIFS(itens_Consumidos!$I$2:$I$200,itens_Consumidos!$A$2:$A$200,A20),IF($C$3="C3",SUMIFS(itens_Consumidos!$K$2:$K$200,itens_Consumidos!$A$2:$A$200,A20),IF($C$3="C4",SUMIFS(itens_Consumidos!$M$2:$M$200,itens_Consumidos!$A$2:$A$200,A20),""))))))</f>
        <v/>
      </c>
      <c r="M20" t="str">
        <f t="shared" si="5"/>
        <v/>
      </c>
      <c r="N20" t="str">
        <f>IF(A20="","",IF($C$3="C0",COUNTIFS(itens_Consumidos!$A$2:$A$200,A20,itens_Consumidos!$E$2:$E$200,"&lt;&gt;"),IF($C$3="C1",COUNTIFS(itens_Consumidos!$A$2:$A$200,A20,itens_Consumidos!$G$2:$G$200,"&lt;&gt;"),IF($C$3="C2",COUNTIFS(itens_Consumidos!$A$2:$A$200,A20,itens_Consumidos!$I$2:$I$200,"&lt;&gt;"),IF($C$3="C3",COUNTIFS(itens_Consumidos!$A$2:$A$200,A20,itens_Consumidos!$K$2:$K$200,"&lt;&gt;"),IF($C$3="C4",COUNTIFS(itens_Consumidos!$A$2:$A$200,A20,itens_Consumidos!$M$2:$M$200,"&lt;&gt;"),""))))))</f>
        <v/>
      </c>
      <c r="O20" t="str">
        <f>IF(itens_Remanesc!$A9="","",COUNTIFS(aditivos!$A$2:$A$200,itens_Remanesc!$A9,aditivos!$B$2:$B$200,"&lt;="&amp;$D$5,aditivos!$L$2:$L$200,"&gt;0"))</f>
        <v/>
      </c>
    </row>
    <row r="21" spans="1:15" ht="20" customHeight="1" x14ac:dyDescent="0.35">
      <c r="A21" s="416" t="str">
        <f>IF(itens_Remanesc!$A10="","",IF(NOT(posicao_contratual!$Z10),itens_Remanesc!$A10,IF(AND(ISNUMBER($D$5),$O21&gt;0),itens_Remanesc!$A10,"")))</f>
        <v/>
      </c>
      <c r="B21" s="417" t="str">
        <f>IF(A21="","",IF(AND(posicao_contratual!$Z10,COUNTIFS(aditivos!$A$2:$A$200,itens_Remanesc!$A10,aditivos!$B$2:$B$200,"&lt;"&amp;(INT($F$3)+1),aditivos!$L$2:$L$200,"&gt;0")=0),0,IF(ISNUMBER(IF($C$3="C0",posicao_contratual!$F10,IF($C$3="C1",posicao_contratual!$J10,IF($C$3="C2",posicao_contratual!$N10,IF($C$3="C3",posicao_contratual!$R10,IF($C$3="C4",posicao_contratual!$V10,"")))))),ROUND(IF($C$3="C0",posicao_contratual!$F10,IF($C$3="C1",posicao_contratual!$J10,IF($C$3="C2",posicao_contratual!$N10,IF($C$3="C3",posicao_contratual!$R10,IF($C$3="C4",posicao_contratual!$V10,"")))))+ROUND(SUMIFS(aditivos!$L$2:$L$200,aditivos!$A$2:$A$200,A21,aditivos!$C$2:$C$200,$C$3,aditivos!$B$2:$B$200,"&lt;"&amp;(INT($F$3)+1)),2),2),IF(ROUND(SUMIFS(aditivos!$L$2:$L$200,aditivos!$A$2:$A$200,A21,aditivos!$C$2:$C$200,$C$3,aditivos!$B$2:$B$200,"&lt;"&amp;(INT($F$3)+1)),2)&gt;0,ROUND(SUMIFS(aditivos!$L$2:$L$200,aditivos!$A$2:$A$200,A21,aditivos!$C$2:$C$200,$C$3,aditivos!$B$2:$B$200,"&lt;"&amp;(INT($F$3)+1)),2),""))))</f>
        <v/>
      </c>
      <c r="C21" s="418"/>
      <c r="D21" s="417" t="str">
        <f t="shared" si="0"/>
        <v/>
      </c>
      <c r="E21" s="419" t="str">
        <f>IF(A21="","",IF($C$3="C0",historico_VU!$C10,IF($C$3="C1",historico_VU!$D10,IF($C$3="C2",historico_VU!$E10,IF($C$3="C3",historico_VU!$F10,IF($C$3="C4",historico_VU!$G10,""))))))</f>
        <v/>
      </c>
      <c r="F21" s="419" t="str">
        <f t="shared" si="1"/>
        <v/>
      </c>
      <c r="G21" s="419" t="str">
        <f t="shared" si="2"/>
        <v/>
      </c>
      <c r="I21" t="str">
        <f>IF(OR(A21="",$D$5="",$F$3=""),"",ROUND(SUMIFS(aditivos!$L$2:$L$200,aditivos!$A$2:$A$200,A21,aditivos!$B$2:$B$200,"&gt;="&amp;(INT($F$3)+1),aditivos!$B$2:$B$200,"&lt;="&amp;$D$5),2))</f>
        <v/>
      </c>
      <c r="J21" t="str">
        <f t="shared" si="3"/>
        <v/>
      </c>
      <c r="K21" t="str">
        <f t="shared" si="4"/>
        <v/>
      </c>
      <c r="L21" t="str">
        <f>IF(A21="","",IF($C$3="C0",SUMIFS(itens_Consumidos!$E$2:$E$200,itens_Consumidos!$A$2:$A$200,A21),IF($C$3="C1",SUMIFS(itens_Consumidos!$G$2:$G$200,itens_Consumidos!$A$2:$A$200,A21),IF($C$3="C2",SUMIFS(itens_Consumidos!$I$2:$I$200,itens_Consumidos!$A$2:$A$200,A21),IF($C$3="C3",SUMIFS(itens_Consumidos!$K$2:$K$200,itens_Consumidos!$A$2:$A$200,A21),IF($C$3="C4",SUMIFS(itens_Consumidos!$M$2:$M$200,itens_Consumidos!$A$2:$A$200,A21),""))))))</f>
        <v/>
      </c>
      <c r="M21" t="str">
        <f t="shared" si="5"/>
        <v/>
      </c>
      <c r="N21" t="str">
        <f>IF(A21="","",IF($C$3="C0",COUNTIFS(itens_Consumidos!$A$2:$A$200,A21,itens_Consumidos!$E$2:$E$200,"&lt;&gt;"),IF($C$3="C1",COUNTIFS(itens_Consumidos!$A$2:$A$200,A21,itens_Consumidos!$G$2:$G$200,"&lt;&gt;"),IF($C$3="C2",COUNTIFS(itens_Consumidos!$A$2:$A$200,A21,itens_Consumidos!$I$2:$I$200,"&lt;&gt;"),IF($C$3="C3",COUNTIFS(itens_Consumidos!$A$2:$A$200,A21,itens_Consumidos!$K$2:$K$200,"&lt;&gt;"),IF($C$3="C4",COUNTIFS(itens_Consumidos!$A$2:$A$200,A21,itens_Consumidos!$M$2:$M$200,"&lt;&gt;"),""))))))</f>
        <v/>
      </c>
      <c r="O21" t="str">
        <f>IF(itens_Remanesc!$A10="","",COUNTIFS(aditivos!$A$2:$A$200,itens_Remanesc!$A10,aditivos!$B$2:$B$200,"&lt;="&amp;$D$5,aditivos!$L$2:$L$200,"&gt;0"))</f>
        <v/>
      </c>
    </row>
    <row r="22" spans="1:15" ht="20" customHeight="1" x14ac:dyDescent="0.35">
      <c r="A22" s="416" t="str">
        <f>IF(itens_Remanesc!$A11="","",IF(NOT(posicao_contratual!$Z11),itens_Remanesc!$A11,IF(AND(ISNUMBER($D$5),$O22&gt;0),itens_Remanesc!$A11,"")))</f>
        <v/>
      </c>
      <c r="B22" s="417" t="str">
        <f>IF(A22="","",IF(AND(posicao_contratual!$Z11,COUNTIFS(aditivos!$A$2:$A$200,itens_Remanesc!$A11,aditivos!$B$2:$B$200,"&lt;"&amp;(INT($F$3)+1),aditivos!$L$2:$L$200,"&gt;0")=0),0,IF(ISNUMBER(IF($C$3="C0",posicao_contratual!$F11,IF($C$3="C1",posicao_contratual!$J11,IF($C$3="C2",posicao_contratual!$N11,IF($C$3="C3",posicao_contratual!$R11,IF($C$3="C4",posicao_contratual!$V11,"")))))),ROUND(IF($C$3="C0",posicao_contratual!$F11,IF($C$3="C1",posicao_contratual!$J11,IF($C$3="C2",posicao_contratual!$N11,IF($C$3="C3",posicao_contratual!$R11,IF($C$3="C4",posicao_contratual!$V11,"")))))+ROUND(SUMIFS(aditivos!$L$2:$L$200,aditivos!$A$2:$A$200,A22,aditivos!$C$2:$C$200,$C$3,aditivos!$B$2:$B$200,"&lt;"&amp;(INT($F$3)+1)),2),2),IF(ROUND(SUMIFS(aditivos!$L$2:$L$200,aditivos!$A$2:$A$200,A22,aditivos!$C$2:$C$200,$C$3,aditivos!$B$2:$B$200,"&lt;"&amp;(INT($F$3)+1)),2)&gt;0,ROUND(SUMIFS(aditivos!$L$2:$L$200,aditivos!$A$2:$A$200,A22,aditivos!$C$2:$C$200,$C$3,aditivos!$B$2:$B$200,"&lt;"&amp;(INT($F$3)+1)),2),""))))</f>
        <v/>
      </c>
      <c r="C22" s="418"/>
      <c r="D22" s="417" t="str">
        <f t="shared" si="0"/>
        <v/>
      </c>
      <c r="E22" s="419" t="str">
        <f>IF(A22="","",IF($C$3="C0",historico_VU!$C11,IF($C$3="C1",historico_VU!$D11,IF($C$3="C2",historico_VU!$E11,IF($C$3="C3",historico_VU!$F11,IF($C$3="C4",historico_VU!$G11,""))))))</f>
        <v/>
      </c>
      <c r="F22" s="419" t="str">
        <f t="shared" si="1"/>
        <v/>
      </c>
      <c r="G22" s="419" t="str">
        <f t="shared" si="2"/>
        <v/>
      </c>
      <c r="I22" t="str">
        <f>IF(OR(A22="",$D$5="",$F$3=""),"",ROUND(SUMIFS(aditivos!$L$2:$L$200,aditivos!$A$2:$A$200,A22,aditivos!$B$2:$B$200,"&gt;="&amp;(INT($F$3)+1),aditivos!$B$2:$B$200,"&lt;="&amp;$D$5),2))</f>
        <v/>
      </c>
      <c r="J22" t="str">
        <f t="shared" si="3"/>
        <v/>
      </c>
      <c r="K22" t="str">
        <f t="shared" si="4"/>
        <v/>
      </c>
      <c r="L22" t="str">
        <f>IF(A22="","",IF($C$3="C0",SUMIFS(itens_Consumidos!$E$2:$E$200,itens_Consumidos!$A$2:$A$200,A22),IF($C$3="C1",SUMIFS(itens_Consumidos!$G$2:$G$200,itens_Consumidos!$A$2:$A$200,A22),IF($C$3="C2",SUMIFS(itens_Consumidos!$I$2:$I$200,itens_Consumidos!$A$2:$A$200,A22),IF($C$3="C3",SUMIFS(itens_Consumidos!$K$2:$K$200,itens_Consumidos!$A$2:$A$200,A22),IF($C$3="C4",SUMIFS(itens_Consumidos!$M$2:$M$200,itens_Consumidos!$A$2:$A$200,A22),""))))))</f>
        <v/>
      </c>
      <c r="M22" t="str">
        <f t="shared" si="5"/>
        <v/>
      </c>
      <c r="N22" t="str">
        <f>IF(A22="","",IF($C$3="C0",COUNTIFS(itens_Consumidos!$A$2:$A$200,A22,itens_Consumidos!$E$2:$E$200,"&lt;&gt;"),IF($C$3="C1",COUNTIFS(itens_Consumidos!$A$2:$A$200,A22,itens_Consumidos!$G$2:$G$200,"&lt;&gt;"),IF($C$3="C2",COUNTIFS(itens_Consumidos!$A$2:$A$200,A22,itens_Consumidos!$I$2:$I$200,"&lt;&gt;"),IF($C$3="C3",COUNTIFS(itens_Consumidos!$A$2:$A$200,A22,itens_Consumidos!$K$2:$K$200,"&lt;&gt;"),IF($C$3="C4",COUNTIFS(itens_Consumidos!$A$2:$A$200,A22,itens_Consumidos!$M$2:$M$200,"&lt;&gt;"),""))))))</f>
        <v/>
      </c>
      <c r="O22" t="str">
        <f>IF(itens_Remanesc!$A11="","",COUNTIFS(aditivos!$A$2:$A$200,itens_Remanesc!$A11,aditivos!$B$2:$B$200,"&lt;="&amp;$D$5,aditivos!$L$2:$L$200,"&gt;0"))</f>
        <v/>
      </c>
    </row>
    <row r="23" spans="1:15" ht="20" customHeight="1" x14ac:dyDescent="0.35">
      <c r="A23" s="416" t="str">
        <f>IF(itens_Remanesc!$A12="","",IF(NOT(posicao_contratual!$Z12),itens_Remanesc!$A12,IF(AND(ISNUMBER($D$5),$O23&gt;0),itens_Remanesc!$A12,"")))</f>
        <v/>
      </c>
      <c r="B23" s="417" t="str">
        <f>IF(A23="","",IF(AND(posicao_contratual!$Z12,COUNTIFS(aditivos!$A$2:$A$200,itens_Remanesc!$A12,aditivos!$B$2:$B$200,"&lt;"&amp;(INT($F$3)+1),aditivos!$L$2:$L$200,"&gt;0")=0),0,IF(ISNUMBER(IF($C$3="C0",posicao_contratual!$F12,IF($C$3="C1",posicao_contratual!$J12,IF($C$3="C2",posicao_contratual!$N12,IF($C$3="C3",posicao_contratual!$R12,IF($C$3="C4",posicao_contratual!$V12,"")))))),ROUND(IF($C$3="C0",posicao_contratual!$F12,IF($C$3="C1",posicao_contratual!$J12,IF($C$3="C2",posicao_contratual!$N12,IF($C$3="C3",posicao_contratual!$R12,IF($C$3="C4",posicao_contratual!$V12,"")))))+ROUND(SUMIFS(aditivos!$L$2:$L$200,aditivos!$A$2:$A$200,A23,aditivos!$C$2:$C$200,$C$3,aditivos!$B$2:$B$200,"&lt;"&amp;(INT($F$3)+1)),2),2),IF(ROUND(SUMIFS(aditivos!$L$2:$L$200,aditivos!$A$2:$A$200,A23,aditivos!$C$2:$C$200,$C$3,aditivos!$B$2:$B$200,"&lt;"&amp;(INT($F$3)+1)),2)&gt;0,ROUND(SUMIFS(aditivos!$L$2:$L$200,aditivos!$A$2:$A$200,A23,aditivos!$C$2:$C$200,$C$3,aditivos!$B$2:$B$200,"&lt;"&amp;(INT($F$3)+1)),2),""))))</f>
        <v/>
      </c>
      <c r="C23" s="418"/>
      <c r="D23" s="417" t="str">
        <f t="shared" si="0"/>
        <v/>
      </c>
      <c r="E23" s="419" t="str">
        <f>IF(A23="","",IF($C$3="C0",historico_VU!$C12,IF($C$3="C1",historico_VU!$D12,IF($C$3="C2",historico_VU!$E12,IF($C$3="C3",historico_VU!$F12,IF($C$3="C4",historico_VU!$G12,""))))))</f>
        <v/>
      </c>
      <c r="F23" s="419" t="str">
        <f t="shared" si="1"/>
        <v/>
      </c>
      <c r="G23" s="419" t="str">
        <f t="shared" si="2"/>
        <v/>
      </c>
      <c r="I23" t="str">
        <f>IF(OR(A23="",$D$5="",$F$3=""),"",ROUND(SUMIFS(aditivos!$L$2:$L$200,aditivos!$A$2:$A$200,A23,aditivos!$B$2:$B$200,"&gt;="&amp;(INT($F$3)+1),aditivos!$B$2:$B$200,"&lt;="&amp;$D$5),2))</f>
        <v/>
      </c>
      <c r="J23" t="str">
        <f t="shared" si="3"/>
        <v/>
      </c>
      <c r="K23" t="str">
        <f t="shared" si="4"/>
        <v/>
      </c>
      <c r="L23" t="str">
        <f>IF(A23="","",IF($C$3="C0",SUMIFS(itens_Consumidos!$E$2:$E$200,itens_Consumidos!$A$2:$A$200,A23),IF($C$3="C1",SUMIFS(itens_Consumidos!$G$2:$G$200,itens_Consumidos!$A$2:$A$200,A23),IF($C$3="C2",SUMIFS(itens_Consumidos!$I$2:$I$200,itens_Consumidos!$A$2:$A$200,A23),IF($C$3="C3",SUMIFS(itens_Consumidos!$K$2:$K$200,itens_Consumidos!$A$2:$A$200,A23),IF($C$3="C4",SUMIFS(itens_Consumidos!$M$2:$M$200,itens_Consumidos!$A$2:$A$200,A23),""))))))</f>
        <v/>
      </c>
      <c r="M23" t="str">
        <f t="shared" si="5"/>
        <v/>
      </c>
      <c r="N23" t="str">
        <f>IF(A23="","",IF($C$3="C0",COUNTIFS(itens_Consumidos!$A$2:$A$200,A23,itens_Consumidos!$E$2:$E$200,"&lt;&gt;"),IF($C$3="C1",COUNTIFS(itens_Consumidos!$A$2:$A$200,A23,itens_Consumidos!$G$2:$G$200,"&lt;&gt;"),IF($C$3="C2",COUNTIFS(itens_Consumidos!$A$2:$A$200,A23,itens_Consumidos!$I$2:$I$200,"&lt;&gt;"),IF($C$3="C3",COUNTIFS(itens_Consumidos!$A$2:$A$200,A23,itens_Consumidos!$K$2:$K$200,"&lt;&gt;"),IF($C$3="C4",COUNTIFS(itens_Consumidos!$A$2:$A$200,A23,itens_Consumidos!$M$2:$M$200,"&lt;&gt;"),""))))))</f>
        <v/>
      </c>
      <c r="O23" t="str">
        <f>IF(itens_Remanesc!$A12="","",COUNTIFS(aditivos!$A$2:$A$200,itens_Remanesc!$A12,aditivos!$B$2:$B$200,"&lt;="&amp;$D$5,aditivos!$L$2:$L$200,"&gt;0"))</f>
        <v/>
      </c>
    </row>
    <row r="24" spans="1:15" ht="20" customHeight="1" x14ac:dyDescent="0.35">
      <c r="A24" s="416" t="str">
        <f>IF(itens_Remanesc!$A13="","",IF(NOT(posicao_contratual!$Z13),itens_Remanesc!$A13,IF(AND(ISNUMBER($D$5),$O24&gt;0),itens_Remanesc!$A13,"")))</f>
        <v/>
      </c>
      <c r="B24" s="417" t="str">
        <f>IF(A24="","",IF(AND(posicao_contratual!$Z13,COUNTIFS(aditivos!$A$2:$A$200,itens_Remanesc!$A13,aditivos!$B$2:$B$200,"&lt;"&amp;(INT($F$3)+1),aditivos!$L$2:$L$200,"&gt;0")=0),0,IF(ISNUMBER(IF($C$3="C0",posicao_contratual!$F13,IF($C$3="C1",posicao_contratual!$J13,IF($C$3="C2",posicao_contratual!$N13,IF($C$3="C3",posicao_contratual!$R13,IF($C$3="C4",posicao_contratual!$V13,"")))))),ROUND(IF($C$3="C0",posicao_contratual!$F13,IF($C$3="C1",posicao_contratual!$J13,IF($C$3="C2",posicao_contratual!$N13,IF($C$3="C3",posicao_contratual!$R13,IF($C$3="C4",posicao_contratual!$V13,"")))))+ROUND(SUMIFS(aditivos!$L$2:$L$200,aditivos!$A$2:$A$200,A24,aditivos!$C$2:$C$200,$C$3,aditivos!$B$2:$B$200,"&lt;"&amp;(INT($F$3)+1)),2),2),IF(ROUND(SUMIFS(aditivos!$L$2:$L$200,aditivos!$A$2:$A$200,A24,aditivos!$C$2:$C$200,$C$3,aditivos!$B$2:$B$200,"&lt;"&amp;(INT($F$3)+1)),2)&gt;0,ROUND(SUMIFS(aditivos!$L$2:$L$200,aditivos!$A$2:$A$200,A24,aditivos!$C$2:$C$200,$C$3,aditivos!$B$2:$B$200,"&lt;"&amp;(INT($F$3)+1)),2),""))))</f>
        <v/>
      </c>
      <c r="C24" s="418"/>
      <c r="D24" s="417" t="str">
        <f t="shared" si="0"/>
        <v/>
      </c>
      <c r="E24" s="419" t="str">
        <f>IF(A24="","",IF($C$3="C0",historico_VU!$C13,IF($C$3="C1",historico_VU!$D13,IF($C$3="C2",historico_VU!$E13,IF($C$3="C3",historico_VU!$F13,IF($C$3="C4",historico_VU!$G13,""))))))</f>
        <v/>
      </c>
      <c r="F24" s="419" t="str">
        <f t="shared" si="1"/>
        <v/>
      </c>
      <c r="G24" s="419" t="str">
        <f t="shared" si="2"/>
        <v/>
      </c>
      <c r="I24" t="str">
        <f>IF(OR(A24="",$D$5="",$F$3=""),"",ROUND(SUMIFS(aditivos!$L$2:$L$200,aditivos!$A$2:$A$200,A24,aditivos!$B$2:$B$200,"&gt;="&amp;(INT($F$3)+1),aditivos!$B$2:$B$200,"&lt;="&amp;$D$5),2))</f>
        <v/>
      </c>
      <c r="J24" t="str">
        <f t="shared" si="3"/>
        <v/>
      </c>
      <c r="K24" t="str">
        <f t="shared" si="4"/>
        <v/>
      </c>
      <c r="L24" t="str">
        <f>IF(A24="","",IF($C$3="C0",SUMIFS(itens_Consumidos!$E$2:$E$200,itens_Consumidos!$A$2:$A$200,A24),IF($C$3="C1",SUMIFS(itens_Consumidos!$G$2:$G$200,itens_Consumidos!$A$2:$A$200,A24),IF($C$3="C2",SUMIFS(itens_Consumidos!$I$2:$I$200,itens_Consumidos!$A$2:$A$200,A24),IF($C$3="C3",SUMIFS(itens_Consumidos!$K$2:$K$200,itens_Consumidos!$A$2:$A$200,A24),IF($C$3="C4",SUMIFS(itens_Consumidos!$M$2:$M$200,itens_Consumidos!$A$2:$A$200,A24),""))))))</f>
        <v/>
      </c>
      <c r="M24" t="str">
        <f t="shared" si="5"/>
        <v/>
      </c>
      <c r="N24" t="str">
        <f>IF(A24="","",IF($C$3="C0",COUNTIFS(itens_Consumidos!$A$2:$A$200,A24,itens_Consumidos!$E$2:$E$200,"&lt;&gt;"),IF($C$3="C1",COUNTIFS(itens_Consumidos!$A$2:$A$200,A24,itens_Consumidos!$G$2:$G$200,"&lt;&gt;"),IF($C$3="C2",COUNTIFS(itens_Consumidos!$A$2:$A$200,A24,itens_Consumidos!$I$2:$I$200,"&lt;&gt;"),IF($C$3="C3",COUNTIFS(itens_Consumidos!$A$2:$A$200,A24,itens_Consumidos!$K$2:$K$200,"&lt;&gt;"),IF($C$3="C4",COUNTIFS(itens_Consumidos!$A$2:$A$200,A24,itens_Consumidos!$M$2:$M$200,"&lt;&gt;"),""))))))</f>
        <v/>
      </c>
      <c r="O24" t="str">
        <f>IF(itens_Remanesc!$A13="","",COUNTIFS(aditivos!$A$2:$A$200,itens_Remanesc!$A13,aditivos!$B$2:$B$200,"&lt;="&amp;$D$5,aditivos!$L$2:$L$200,"&gt;0"))</f>
        <v/>
      </c>
    </row>
    <row r="25" spans="1:15" ht="20" customHeight="1" x14ac:dyDescent="0.35">
      <c r="A25" s="416" t="str">
        <f>IF(itens_Remanesc!$A14="","",IF(NOT(posicao_contratual!$Z14),itens_Remanesc!$A14,IF(AND(ISNUMBER($D$5),$O25&gt;0),itens_Remanesc!$A14,"")))</f>
        <v/>
      </c>
      <c r="B25" s="417" t="str">
        <f>IF(A25="","",IF(AND(posicao_contratual!$Z14,COUNTIFS(aditivos!$A$2:$A$200,itens_Remanesc!$A14,aditivos!$B$2:$B$200,"&lt;"&amp;(INT($F$3)+1),aditivos!$L$2:$L$200,"&gt;0")=0),0,IF(ISNUMBER(IF($C$3="C0",posicao_contratual!$F14,IF($C$3="C1",posicao_contratual!$J14,IF($C$3="C2",posicao_contratual!$N14,IF($C$3="C3",posicao_contratual!$R14,IF($C$3="C4",posicao_contratual!$V14,"")))))),ROUND(IF($C$3="C0",posicao_contratual!$F14,IF($C$3="C1",posicao_contratual!$J14,IF($C$3="C2",posicao_contratual!$N14,IF($C$3="C3",posicao_contratual!$R14,IF($C$3="C4",posicao_contratual!$V14,"")))))+ROUND(SUMIFS(aditivos!$L$2:$L$200,aditivos!$A$2:$A$200,A25,aditivos!$C$2:$C$200,$C$3,aditivos!$B$2:$B$200,"&lt;"&amp;(INT($F$3)+1)),2),2),IF(ROUND(SUMIFS(aditivos!$L$2:$L$200,aditivos!$A$2:$A$200,A25,aditivos!$C$2:$C$200,$C$3,aditivos!$B$2:$B$200,"&lt;"&amp;(INT($F$3)+1)),2)&gt;0,ROUND(SUMIFS(aditivos!$L$2:$L$200,aditivos!$A$2:$A$200,A25,aditivos!$C$2:$C$200,$C$3,aditivos!$B$2:$B$200,"&lt;"&amp;(INT($F$3)+1)),2),""))))</f>
        <v/>
      </c>
      <c r="C25" s="418"/>
      <c r="D25" s="417" t="str">
        <f t="shared" si="0"/>
        <v/>
      </c>
      <c r="E25" s="419" t="str">
        <f>IF(A25="","",IF($C$3="C0",historico_VU!$C14,IF($C$3="C1",historico_VU!$D14,IF($C$3="C2",historico_VU!$E14,IF($C$3="C3",historico_VU!$F14,IF($C$3="C4",historico_VU!$G14,""))))))</f>
        <v/>
      </c>
      <c r="F25" s="419" t="str">
        <f t="shared" si="1"/>
        <v/>
      </c>
      <c r="G25" s="419" t="str">
        <f t="shared" si="2"/>
        <v/>
      </c>
      <c r="I25" t="str">
        <f>IF(OR(A25="",$D$5="",$F$3=""),"",ROUND(SUMIFS(aditivos!$L$2:$L$200,aditivos!$A$2:$A$200,A25,aditivos!$B$2:$B$200,"&gt;="&amp;(INT($F$3)+1),aditivos!$B$2:$B$200,"&lt;="&amp;$D$5),2))</f>
        <v/>
      </c>
      <c r="J25" t="str">
        <f t="shared" si="3"/>
        <v/>
      </c>
      <c r="K25" t="str">
        <f t="shared" si="4"/>
        <v/>
      </c>
      <c r="L25" t="str">
        <f>IF(A25="","",IF($C$3="C0",SUMIFS(itens_Consumidos!$E$2:$E$200,itens_Consumidos!$A$2:$A$200,A25),IF($C$3="C1",SUMIFS(itens_Consumidos!$G$2:$G$200,itens_Consumidos!$A$2:$A$200,A25),IF($C$3="C2",SUMIFS(itens_Consumidos!$I$2:$I$200,itens_Consumidos!$A$2:$A$200,A25),IF($C$3="C3",SUMIFS(itens_Consumidos!$K$2:$K$200,itens_Consumidos!$A$2:$A$200,A25),IF($C$3="C4",SUMIFS(itens_Consumidos!$M$2:$M$200,itens_Consumidos!$A$2:$A$200,A25),""))))))</f>
        <v/>
      </c>
      <c r="M25" t="str">
        <f t="shared" si="5"/>
        <v/>
      </c>
      <c r="N25" t="str">
        <f>IF(A25="","",IF($C$3="C0",COUNTIFS(itens_Consumidos!$A$2:$A$200,A25,itens_Consumidos!$E$2:$E$200,"&lt;&gt;"),IF($C$3="C1",COUNTIFS(itens_Consumidos!$A$2:$A$200,A25,itens_Consumidos!$G$2:$G$200,"&lt;&gt;"),IF($C$3="C2",COUNTIFS(itens_Consumidos!$A$2:$A$200,A25,itens_Consumidos!$I$2:$I$200,"&lt;&gt;"),IF($C$3="C3",COUNTIFS(itens_Consumidos!$A$2:$A$200,A25,itens_Consumidos!$K$2:$K$200,"&lt;&gt;"),IF($C$3="C4",COUNTIFS(itens_Consumidos!$A$2:$A$200,A25,itens_Consumidos!$M$2:$M$200,"&lt;&gt;"),""))))))</f>
        <v/>
      </c>
      <c r="O25" t="str">
        <f>IF(itens_Remanesc!$A14="","",COUNTIFS(aditivos!$A$2:$A$200,itens_Remanesc!$A14,aditivos!$B$2:$B$200,"&lt;="&amp;$D$5,aditivos!$L$2:$L$200,"&gt;0"))</f>
        <v/>
      </c>
    </row>
    <row r="26" spans="1:15" ht="20" customHeight="1" x14ac:dyDescent="0.35">
      <c r="A26" s="416" t="str">
        <f>IF(itens_Remanesc!$A15="","",IF(NOT(posicao_contratual!$Z15),itens_Remanesc!$A15,IF(AND(ISNUMBER($D$5),$O26&gt;0),itens_Remanesc!$A15,"")))</f>
        <v/>
      </c>
      <c r="B26" s="417" t="str">
        <f>IF(A26="","",IF(AND(posicao_contratual!$Z15,COUNTIFS(aditivos!$A$2:$A$200,itens_Remanesc!$A15,aditivos!$B$2:$B$200,"&lt;"&amp;(INT($F$3)+1),aditivos!$L$2:$L$200,"&gt;0")=0),0,IF(ISNUMBER(IF($C$3="C0",posicao_contratual!$F15,IF($C$3="C1",posicao_contratual!$J15,IF($C$3="C2",posicao_contratual!$N15,IF($C$3="C3",posicao_contratual!$R15,IF($C$3="C4",posicao_contratual!$V15,"")))))),ROUND(IF($C$3="C0",posicao_contratual!$F15,IF($C$3="C1",posicao_contratual!$J15,IF($C$3="C2",posicao_contratual!$N15,IF($C$3="C3",posicao_contratual!$R15,IF($C$3="C4",posicao_contratual!$V15,"")))))+ROUND(SUMIFS(aditivos!$L$2:$L$200,aditivos!$A$2:$A$200,A26,aditivos!$C$2:$C$200,$C$3,aditivos!$B$2:$B$200,"&lt;"&amp;(INT($F$3)+1)),2),2),IF(ROUND(SUMIFS(aditivos!$L$2:$L$200,aditivos!$A$2:$A$200,A26,aditivos!$C$2:$C$200,$C$3,aditivos!$B$2:$B$200,"&lt;"&amp;(INT($F$3)+1)),2)&gt;0,ROUND(SUMIFS(aditivos!$L$2:$L$200,aditivos!$A$2:$A$200,A26,aditivos!$C$2:$C$200,$C$3,aditivos!$B$2:$B$200,"&lt;"&amp;(INT($F$3)+1)),2),""))))</f>
        <v/>
      </c>
      <c r="C26" s="418"/>
      <c r="D26" s="417" t="str">
        <f t="shared" si="0"/>
        <v/>
      </c>
      <c r="E26" s="419" t="str">
        <f>IF(A26="","",IF($C$3="C0",historico_VU!$C15,IF($C$3="C1",historico_VU!$D15,IF($C$3="C2",historico_VU!$E15,IF($C$3="C3",historico_VU!$F15,IF($C$3="C4",historico_VU!$G15,""))))))</f>
        <v/>
      </c>
      <c r="F26" s="419" t="str">
        <f t="shared" si="1"/>
        <v/>
      </c>
      <c r="G26" s="419" t="str">
        <f t="shared" si="2"/>
        <v/>
      </c>
      <c r="I26" t="str">
        <f>IF(OR(A26="",$D$5="",$F$3=""),"",ROUND(SUMIFS(aditivos!$L$2:$L$200,aditivos!$A$2:$A$200,A26,aditivos!$B$2:$B$200,"&gt;="&amp;(INT($F$3)+1),aditivos!$B$2:$B$200,"&lt;="&amp;$D$5),2))</f>
        <v/>
      </c>
      <c r="J26" t="str">
        <f t="shared" si="3"/>
        <v/>
      </c>
      <c r="K26" t="str">
        <f t="shared" si="4"/>
        <v/>
      </c>
      <c r="L26" t="str">
        <f>IF(A26="","",IF($C$3="C0",SUMIFS(itens_Consumidos!$E$2:$E$200,itens_Consumidos!$A$2:$A$200,A26),IF($C$3="C1",SUMIFS(itens_Consumidos!$G$2:$G$200,itens_Consumidos!$A$2:$A$200,A26),IF($C$3="C2",SUMIFS(itens_Consumidos!$I$2:$I$200,itens_Consumidos!$A$2:$A$200,A26),IF($C$3="C3",SUMIFS(itens_Consumidos!$K$2:$K$200,itens_Consumidos!$A$2:$A$200,A26),IF($C$3="C4",SUMIFS(itens_Consumidos!$M$2:$M$200,itens_Consumidos!$A$2:$A$200,A26),""))))))</f>
        <v/>
      </c>
      <c r="M26" t="str">
        <f t="shared" si="5"/>
        <v/>
      </c>
      <c r="N26" t="str">
        <f>IF(A26="","",IF($C$3="C0",COUNTIFS(itens_Consumidos!$A$2:$A$200,A26,itens_Consumidos!$E$2:$E$200,"&lt;&gt;"),IF($C$3="C1",COUNTIFS(itens_Consumidos!$A$2:$A$200,A26,itens_Consumidos!$G$2:$G$200,"&lt;&gt;"),IF($C$3="C2",COUNTIFS(itens_Consumidos!$A$2:$A$200,A26,itens_Consumidos!$I$2:$I$200,"&lt;&gt;"),IF($C$3="C3",COUNTIFS(itens_Consumidos!$A$2:$A$200,A26,itens_Consumidos!$K$2:$K$200,"&lt;&gt;"),IF($C$3="C4",COUNTIFS(itens_Consumidos!$A$2:$A$200,A26,itens_Consumidos!$M$2:$M$200,"&lt;&gt;"),""))))))</f>
        <v/>
      </c>
      <c r="O26" t="str">
        <f>IF(itens_Remanesc!$A15="","",COUNTIFS(aditivos!$A$2:$A$200,itens_Remanesc!$A15,aditivos!$B$2:$B$200,"&lt;="&amp;$D$5,aditivos!$L$2:$L$200,"&gt;0"))</f>
        <v/>
      </c>
    </row>
    <row r="27" spans="1:15" ht="20" customHeight="1" x14ac:dyDescent="0.35">
      <c r="A27" s="416" t="str">
        <f>IF(itens_Remanesc!$A16="","",IF(NOT(posicao_contratual!$Z16),itens_Remanesc!$A16,IF(AND(ISNUMBER($D$5),$O27&gt;0),itens_Remanesc!$A16,"")))</f>
        <v/>
      </c>
      <c r="B27" s="417" t="str">
        <f>IF(A27="","",IF(AND(posicao_contratual!$Z16,COUNTIFS(aditivos!$A$2:$A$200,itens_Remanesc!$A16,aditivos!$B$2:$B$200,"&lt;"&amp;(INT($F$3)+1),aditivos!$L$2:$L$200,"&gt;0")=0),0,IF(ISNUMBER(IF($C$3="C0",posicao_contratual!$F16,IF($C$3="C1",posicao_contratual!$J16,IF($C$3="C2",posicao_contratual!$N16,IF($C$3="C3",posicao_contratual!$R16,IF($C$3="C4",posicao_contratual!$V16,"")))))),ROUND(IF($C$3="C0",posicao_contratual!$F16,IF($C$3="C1",posicao_contratual!$J16,IF($C$3="C2",posicao_contratual!$N16,IF($C$3="C3",posicao_contratual!$R16,IF($C$3="C4",posicao_contratual!$V16,"")))))+ROUND(SUMIFS(aditivos!$L$2:$L$200,aditivos!$A$2:$A$200,A27,aditivos!$C$2:$C$200,$C$3,aditivos!$B$2:$B$200,"&lt;"&amp;(INT($F$3)+1)),2),2),IF(ROUND(SUMIFS(aditivos!$L$2:$L$200,aditivos!$A$2:$A$200,A27,aditivos!$C$2:$C$200,$C$3,aditivos!$B$2:$B$200,"&lt;"&amp;(INT($F$3)+1)),2)&gt;0,ROUND(SUMIFS(aditivos!$L$2:$L$200,aditivos!$A$2:$A$200,A27,aditivos!$C$2:$C$200,$C$3,aditivos!$B$2:$B$200,"&lt;"&amp;(INT($F$3)+1)),2),""))))</f>
        <v/>
      </c>
      <c r="C27" s="418"/>
      <c r="D27" s="417" t="str">
        <f t="shared" si="0"/>
        <v/>
      </c>
      <c r="E27" s="419" t="str">
        <f>IF(A27="","",IF($C$3="C0",historico_VU!$C16,IF($C$3="C1",historico_VU!$D16,IF($C$3="C2",historico_VU!$E16,IF($C$3="C3",historico_VU!$F16,IF($C$3="C4",historico_VU!$G16,""))))))</f>
        <v/>
      </c>
      <c r="F27" s="419" t="str">
        <f t="shared" si="1"/>
        <v/>
      </c>
      <c r="G27" s="419" t="str">
        <f t="shared" si="2"/>
        <v/>
      </c>
      <c r="I27" t="str">
        <f>IF(OR(A27="",$D$5="",$F$3=""),"",ROUND(SUMIFS(aditivos!$L$2:$L$200,aditivos!$A$2:$A$200,A27,aditivos!$B$2:$B$200,"&gt;="&amp;(INT($F$3)+1),aditivos!$B$2:$B$200,"&lt;="&amp;$D$5),2))</f>
        <v/>
      </c>
      <c r="J27" t="str">
        <f t="shared" si="3"/>
        <v/>
      </c>
      <c r="K27" t="str">
        <f t="shared" si="4"/>
        <v/>
      </c>
      <c r="L27" t="str">
        <f>IF(A27="","",IF($C$3="C0",SUMIFS(itens_Consumidos!$E$2:$E$200,itens_Consumidos!$A$2:$A$200,A27),IF($C$3="C1",SUMIFS(itens_Consumidos!$G$2:$G$200,itens_Consumidos!$A$2:$A$200,A27),IF($C$3="C2",SUMIFS(itens_Consumidos!$I$2:$I$200,itens_Consumidos!$A$2:$A$200,A27),IF($C$3="C3",SUMIFS(itens_Consumidos!$K$2:$K$200,itens_Consumidos!$A$2:$A$200,A27),IF($C$3="C4",SUMIFS(itens_Consumidos!$M$2:$M$200,itens_Consumidos!$A$2:$A$200,A27),""))))))</f>
        <v/>
      </c>
      <c r="M27" t="str">
        <f t="shared" si="5"/>
        <v/>
      </c>
      <c r="N27" t="str">
        <f>IF(A27="","",IF($C$3="C0",COUNTIFS(itens_Consumidos!$A$2:$A$200,A27,itens_Consumidos!$E$2:$E$200,"&lt;&gt;"),IF($C$3="C1",COUNTIFS(itens_Consumidos!$A$2:$A$200,A27,itens_Consumidos!$G$2:$G$200,"&lt;&gt;"),IF($C$3="C2",COUNTIFS(itens_Consumidos!$A$2:$A$200,A27,itens_Consumidos!$I$2:$I$200,"&lt;&gt;"),IF($C$3="C3",COUNTIFS(itens_Consumidos!$A$2:$A$200,A27,itens_Consumidos!$K$2:$K$200,"&lt;&gt;"),IF($C$3="C4",COUNTIFS(itens_Consumidos!$A$2:$A$200,A27,itens_Consumidos!$M$2:$M$200,"&lt;&gt;"),""))))))</f>
        <v/>
      </c>
      <c r="O27" t="str">
        <f>IF(itens_Remanesc!$A16="","",COUNTIFS(aditivos!$A$2:$A$200,itens_Remanesc!$A16,aditivos!$B$2:$B$200,"&lt;="&amp;$D$5,aditivos!$L$2:$L$200,"&gt;0"))</f>
        <v/>
      </c>
    </row>
    <row r="28" spans="1:15" ht="20" customHeight="1" x14ac:dyDescent="0.35">
      <c r="A28" s="416" t="str">
        <f>IF(itens_Remanesc!$A17="","",IF(NOT(posicao_contratual!$Z17),itens_Remanesc!$A17,IF(AND(ISNUMBER($D$5),$O28&gt;0),itens_Remanesc!$A17,"")))</f>
        <v/>
      </c>
      <c r="B28" s="417" t="str">
        <f>IF(A28="","",IF(AND(posicao_contratual!$Z17,COUNTIFS(aditivos!$A$2:$A$200,itens_Remanesc!$A17,aditivos!$B$2:$B$200,"&lt;"&amp;(INT($F$3)+1),aditivos!$L$2:$L$200,"&gt;0")=0),0,IF(ISNUMBER(IF($C$3="C0",posicao_contratual!$F17,IF($C$3="C1",posicao_contratual!$J17,IF($C$3="C2",posicao_contratual!$N17,IF($C$3="C3",posicao_contratual!$R17,IF($C$3="C4",posicao_contratual!$V17,"")))))),ROUND(IF($C$3="C0",posicao_contratual!$F17,IF($C$3="C1",posicao_contratual!$J17,IF($C$3="C2",posicao_contratual!$N17,IF($C$3="C3",posicao_contratual!$R17,IF($C$3="C4",posicao_contratual!$V17,"")))))+ROUND(SUMIFS(aditivos!$L$2:$L$200,aditivos!$A$2:$A$200,A28,aditivos!$C$2:$C$200,$C$3,aditivos!$B$2:$B$200,"&lt;"&amp;(INT($F$3)+1)),2),2),IF(ROUND(SUMIFS(aditivos!$L$2:$L$200,aditivos!$A$2:$A$200,A28,aditivos!$C$2:$C$200,$C$3,aditivos!$B$2:$B$200,"&lt;"&amp;(INT($F$3)+1)),2)&gt;0,ROUND(SUMIFS(aditivos!$L$2:$L$200,aditivos!$A$2:$A$200,A28,aditivos!$C$2:$C$200,$C$3,aditivos!$B$2:$B$200,"&lt;"&amp;(INT($F$3)+1)),2),""))))</f>
        <v/>
      </c>
      <c r="C28" s="418"/>
      <c r="D28" s="417" t="str">
        <f t="shared" si="0"/>
        <v/>
      </c>
      <c r="E28" s="419" t="str">
        <f>IF(A28="","",IF($C$3="C0",historico_VU!$C17,IF($C$3="C1",historico_VU!$D17,IF($C$3="C2",historico_VU!$E17,IF($C$3="C3",historico_VU!$F17,IF($C$3="C4",historico_VU!$G17,""))))))</f>
        <v/>
      </c>
      <c r="F28" s="419" t="str">
        <f t="shared" si="1"/>
        <v/>
      </c>
      <c r="G28" s="419" t="str">
        <f t="shared" si="2"/>
        <v/>
      </c>
      <c r="I28" t="str">
        <f>IF(OR(A28="",$D$5="",$F$3=""),"",ROUND(SUMIFS(aditivos!$L$2:$L$200,aditivos!$A$2:$A$200,A28,aditivos!$B$2:$B$200,"&gt;="&amp;(INT($F$3)+1),aditivos!$B$2:$B$200,"&lt;="&amp;$D$5),2))</f>
        <v/>
      </c>
      <c r="J28" t="str">
        <f t="shared" si="3"/>
        <v/>
      </c>
      <c r="K28" t="str">
        <f t="shared" si="4"/>
        <v/>
      </c>
      <c r="L28" t="str">
        <f>IF(A28="","",IF($C$3="C0",SUMIFS(itens_Consumidos!$E$2:$E$200,itens_Consumidos!$A$2:$A$200,A28),IF($C$3="C1",SUMIFS(itens_Consumidos!$G$2:$G$200,itens_Consumidos!$A$2:$A$200,A28),IF($C$3="C2",SUMIFS(itens_Consumidos!$I$2:$I$200,itens_Consumidos!$A$2:$A$200,A28),IF($C$3="C3",SUMIFS(itens_Consumidos!$K$2:$K$200,itens_Consumidos!$A$2:$A$200,A28),IF($C$3="C4",SUMIFS(itens_Consumidos!$M$2:$M$200,itens_Consumidos!$A$2:$A$200,A28),""))))))</f>
        <v/>
      </c>
      <c r="M28" t="str">
        <f t="shared" si="5"/>
        <v/>
      </c>
      <c r="N28" t="str">
        <f>IF(A28="","",IF($C$3="C0",COUNTIFS(itens_Consumidos!$A$2:$A$200,A28,itens_Consumidos!$E$2:$E$200,"&lt;&gt;"),IF($C$3="C1",COUNTIFS(itens_Consumidos!$A$2:$A$200,A28,itens_Consumidos!$G$2:$G$200,"&lt;&gt;"),IF($C$3="C2",COUNTIFS(itens_Consumidos!$A$2:$A$200,A28,itens_Consumidos!$I$2:$I$200,"&lt;&gt;"),IF($C$3="C3",COUNTIFS(itens_Consumidos!$A$2:$A$200,A28,itens_Consumidos!$K$2:$K$200,"&lt;&gt;"),IF($C$3="C4",COUNTIFS(itens_Consumidos!$A$2:$A$200,A28,itens_Consumidos!$M$2:$M$200,"&lt;&gt;"),""))))))</f>
        <v/>
      </c>
      <c r="O28" t="str">
        <f>IF(itens_Remanesc!$A17="","",COUNTIFS(aditivos!$A$2:$A$200,itens_Remanesc!$A17,aditivos!$B$2:$B$200,"&lt;="&amp;$D$5,aditivos!$L$2:$L$200,"&gt;0"))</f>
        <v/>
      </c>
    </row>
    <row r="29" spans="1:15" ht="20" customHeight="1" x14ac:dyDescent="0.35">
      <c r="A29" s="416" t="str">
        <f>IF(itens_Remanesc!$A18="","",IF(NOT(posicao_contratual!$Z18),itens_Remanesc!$A18,IF(AND(ISNUMBER($D$5),$O29&gt;0),itens_Remanesc!$A18,"")))</f>
        <v/>
      </c>
      <c r="B29" s="417" t="str">
        <f>IF(A29="","",IF(AND(posicao_contratual!$Z18,COUNTIFS(aditivos!$A$2:$A$200,itens_Remanesc!$A18,aditivos!$B$2:$B$200,"&lt;"&amp;(INT($F$3)+1),aditivos!$L$2:$L$200,"&gt;0")=0),0,IF(ISNUMBER(IF($C$3="C0",posicao_contratual!$F18,IF($C$3="C1",posicao_contratual!$J18,IF($C$3="C2",posicao_contratual!$N18,IF($C$3="C3",posicao_contratual!$R18,IF($C$3="C4",posicao_contratual!$V18,"")))))),ROUND(IF($C$3="C0",posicao_contratual!$F18,IF($C$3="C1",posicao_contratual!$J18,IF($C$3="C2",posicao_contratual!$N18,IF($C$3="C3",posicao_contratual!$R18,IF($C$3="C4",posicao_contratual!$V18,"")))))+ROUND(SUMIFS(aditivos!$L$2:$L$200,aditivos!$A$2:$A$200,A29,aditivos!$C$2:$C$200,$C$3,aditivos!$B$2:$B$200,"&lt;"&amp;(INT($F$3)+1)),2),2),IF(ROUND(SUMIFS(aditivos!$L$2:$L$200,aditivos!$A$2:$A$200,A29,aditivos!$C$2:$C$200,$C$3,aditivos!$B$2:$B$200,"&lt;"&amp;(INT($F$3)+1)),2)&gt;0,ROUND(SUMIFS(aditivos!$L$2:$L$200,aditivos!$A$2:$A$200,A29,aditivos!$C$2:$C$200,$C$3,aditivos!$B$2:$B$200,"&lt;"&amp;(INT($F$3)+1)),2),""))))</f>
        <v/>
      </c>
      <c r="C29" s="418"/>
      <c r="D29" s="417" t="str">
        <f t="shared" si="0"/>
        <v/>
      </c>
      <c r="E29" s="419" t="str">
        <f>IF(A29="","",IF($C$3="C0",historico_VU!$C18,IF($C$3="C1",historico_VU!$D18,IF($C$3="C2",historico_VU!$E18,IF($C$3="C3",historico_VU!$F18,IF($C$3="C4",historico_VU!$G18,""))))))</f>
        <v/>
      </c>
      <c r="F29" s="419" t="str">
        <f t="shared" si="1"/>
        <v/>
      </c>
      <c r="G29" s="419" t="str">
        <f t="shared" si="2"/>
        <v/>
      </c>
      <c r="I29" t="str">
        <f>IF(OR(A29="",$D$5="",$F$3=""),"",ROUND(SUMIFS(aditivos!$L$2:$L$200,aditivos!$A$2:$A$200,A29,aditivos!$B$2:$B$200,"&gt;="&amp;(INT($F$3)+1),aditivos!$B$2:$B$200,"&lt;="&amp;$D$5),2))</f>
        <v/>
      </c>
      <c r="J29" t="str">
        <f t="shared" si="3"/>
        <v/>
      </c>
      <c r="K29" t="str">
        <f t="shared" si="4"/>
        <v/>
      </c>
      <c r="L29" t="str">
        <f>IF(A29="","",IF($C$3="C0",SUMIFS(itens_Consumidos!$E$2:$E$200,itens_Consumidos!$A$2:$A$200,A29),IF($C$3="C1",SUMIFS(itens_Consumidos!$G$2:$G$200,itens_Consumidos!$A$2:$A$200,A29),IF($C$3="C2",SUMIFS(itens_Consumidos!$I$2:$I$200,itens_Consumidos!$A$2:$A$200,A29),IF($C$3="C3",SUMIFS(itens_Consumidos!$K$2:$K$200,itens_Consumidos!$A$2:$A$200,A29),IF($C$3="C4",SUMIFS(itens_Consumidos!$M$2:$M$200,itens_Consumidos!$A$2:$A$200,A29),""))))))</f>
        <v/>
      </c>
      <c r="M29" t="str">
        <f t="shared" si="5"/>
        <v/>
      </c>
      <c r="N29" t="str">
        <f>IF(A29="","",IF($C$3="C0",COUNTIFS(itens_Consumidos!$A$2:$A$200,A29,itens_Consumidos!$E$2:$E$200,"&lt;&gt;"),IF($C$3="C1",COUNTIFS(itens_Consumidos!$A$2:$A$200,A29,itens_Consumidos!$G$2:$G$200,"&lt;&gt;"),IF($C$3="C2",COUNTIFS(itens_Consumidos!$A$2:$A$200,A29,itens_Consumidos!$I$2:$I$200,"&lt;&gt;"),IF($C$3="C3",COUNTIFS(itens_Consumidos!$A$2:$A$200,A29,itens_Consumidos!$K$2:$K$200,"&lt;&gt;"),IF($C$3="C4",COUNTIFS(itens_Consumidos!$A$2:$A$200,A29,itens_Consumidos!$M$2:$M$200,"&lt;&gt;"),""))))))</f>
        <v/>
      </c>
      <c r="O29" t="str">
        <f>IF(itens_Remanesc!$A18="","",COUNTIFS(aditivos!$A$2:$A$200,itens_Remanesc!$A18,aditivos!$B$2:$B$200,"&lt;="&amp;$D$5,aditivos!$L$2:$L$200,"&gt;0"))</f>
        <v/>
      </c>
    </row>
    <row r="30" spans="1:15" ht="20" customHeight="1" x14ac:dyDescent="0.35">
      <c r="A30" s="416" t="str">
        <f>IF(itens_Remanesc!$A19="","",IF(NOT(posicao_contratual!$Z19),itens_Remanesc!$A19,IF(AND(ISNUMBER($D$5),$O30&gt;0),itens_Remanesc!$A19,"")))</f>
        <v/>
      </c>
      <c r="B30" s="417" t="str">
        <f>IF(A30="","",IF(AND(posicao_contratual!$Z19,COUNTIFS(aditivos!$A$2:$A$200,itens_Remanesc!$A19,aditivos!$B$2:$B$200,"&lt;"&amp;(INT($F$3)+1),aditivos!$L$2:$L$200,"&gt;0")=0),0,IF(ISNUMBER(IF($C$3="C0",posicao_contratual!$F19,IF($C$3="C1",posicao_contratual!$J19,IF($C$3="C2",posicao_contratual!$N19,IF($C$3="C3",posicao_contratual!$R19,IF($C$3="C4",posicao_contratual!$V19,"")))))),ROUND(IF($C$3="C0",posicao_contratual!$F19,IF($C$3="C1",posicao_contratual!$J19,IF($C$3="C2",posicao_contratual!$N19,IF($C$3="C3",posicao_contratual!$R19,IF($C$3="C4",posicao_contratual!$V19,"")))))+ROUND(SUMIFS(aditivos!$L$2:$L$200,aditivos!$A$2:$A$200,A30,aditivos!$C$2:$C$200,$C$3,aditivos!$B$2:$B$200,"&lt;"&amp;(INT($F$3)+1)),2),2),IF(ROUND(SUMIFS(aditivos!$L$2:$L$200,aditivos!$A$2:$A$200,A30,aditivos!$C$2:$C$200,$C$3,aditivos!$B$2:$B$200,"&lt;"&amp;(INT($F$3)+1)),2)&gt;0,ROUND(SUMIFS(aditivos!$L$2:$L$200,aditivos!$A$2:$A$200,A30,aditivos!$C$2:$C$200,$C$3,aditivos!$B$2:$B$200,"&lt;"&amp;(INT($F$3)+1)),2),""))))</f>
        <v/>
      </c>
      <c r="C30" s="418"/>
      <c r="D30" s="417" t="str">
        <f t="shared" si="0"/>
        <v/>
      </c>
      <c r="E30" s="419" t="str">
        <f>IF(A30="","",IF($C$3="C0",historico_VU!$C19,IF($C$3="C1",historico_VU!$D19,IF($C$3="C2",historico_VU!$E19,IF($C$3="C3",historico_VU!$F19,IF($C$3="C4",historico_VU!$G19,""))))))</f>
        <v/>
      </c>
      <c r="F30" s="419" t="str">
        <f t="shared" si="1"/>
        <v/>
      </c>
      <c r="G30" s="419" t="str">
        <f t="shared" si="2"/>
        <v/>
      </c>
      <c r="I30" t="str">
        <f>IF(OR(A30="",$D$5="",$F$3=""),"",ROUND(SUMIFS(aditivos!$L$2:$L$200,aditivos!$A$2:$A$200,A30,aditivos!$B$2:$B$200,"&gt;="&amp;(INT($F$3)+1),aditivos!$B$2:$B$200,"&lt;="&amp;$D$5),2))</f>
        <v/>
      </c>
      <c r="J30" t="str">
        <f t="shared" si="3"/>
        <v/>
      </c>
      <c r="K30" t="str">
        <f t="shared" si="4"/>
        <v/>
      </c>
      <c r="L30" t="str">
        <f>IF(A30="","",IF($C$3="C0",SUMIFS(itens_Consumidos!$E$2:$E$200,itens_Consumidos!$A$2:$A$200,A30),IF($C$3="C1",SUMIFS(itens_Consumidos!$G$2:$G$200,itens_Consumidos!$A$2:$A$200,A30),IF($C$3="C2",SUMIFS(itens_Consumidos!$I$2:$I$200,itens_Consumidos!$A$2:$A$200,A30),IF($C$3="C3",SUMIFS(itens_Consumidos!$K$2:$K$200,itens_Consumidos!$A$2:$A$200,A30),IF($C$3="C4",SUMIFS(itens_Consumidos!$M$2:$M$200,itens_Consumidos!$A$2:$A$200,A30),""))))))</f>
        <v/>
      </c>
      <c r="M30" t="str">
        <f t="shared" si="5"/>
        <v/>
      </c>
      <c r="N30" t="str">
        <f>IF(A30="","",IF($C$3="C0",COUNTIFS(itens_Consumidos!$A$2:$A$200,A30,itens_Consumidos!$E$2:$E$200,"&lt;&gt;"),IF($C$3="C1",COUNTIFS(itens_Consumidos!$A$2:$A$200,A30,itens_Consumidos!$G$2:$G$200,"&lt;&gt;"),IF($C$3="C2",COUNTIFS(itens_Consumidos!$A$2:$A$200,A30,itens_Consumidos!$I$2:$I$200,"&lt;&gt;"),IF($C$3="C3",COUNTIFS(itens_Consumidos!$A$2:$A$200,A30,itens_Consumidos!$K$2:$K$200,"&lt;&gt;"),IF($C$3="C4",COUNTIFS(itens_Consumidos!$A$2:$A$200,A30,itens_Consumidos!$M$2:$M$200,"&lt;&gt;"),""))))))</f>
        <v/>
      </c>
      <c r="O30" t="str">
        <f>IF(itens_Remanesc!$A19="","",COUNTIFS(aditivos!$A$2:$A$200,itens_Remanesc!$A19,aditivos!$B$2:$B$200,"&lt;="&amp;$D$5,aditivos!$L$2:$L$200,"&gt;0"))</f>
        <v/>
      </c>
    </row>
    <row r="31" spans="1:15" ht="20" customHeight="1" x14ac:dyDescent="0.35">
      <c r="A31" s="416" t="str">
        <f>IF(itens_Remanesc!$A20="","",IF(NOT(posicao_contratual!$Z20),itens_Remanesc!$A20,IF(AND(ISNUMBER($D$5),$O31&gt;0),itens_Remanesc!$A20,"")))</f>
        <v/>
      </c>
      <c r="B31" s="417" t="str">
        <f>IF(A31="","",IF(AND(posicao_contratual!$Z20,COUNTIFS(aditivos!$A$2:$A$200,itens_Remanesc!$A20,aditivos!$B$2:$B$200,"&lt;"&amp;(INT($F$3)+1),aditivos!$L$2:$L$200,"&gt;0")=0),0,IF(ISNUMBER(IF($C$3="C0",posicao_contratual!$F20,IF($C$3="C1",posicao_contratual!$J20,IF($C$3="C2",posicao_contratual!$N20,IF($C$3="C3",posicao_contratual!$R20,IF($C$3="C4",posicao_contratual!$V20,"")))))),ROUND(IF($C$3="C0",posicao_contratual!$F20,IF($C$3="C1",posicao_contratual!$J20,IF($C$3="C2",posicao_contratual!$N20,IF($C$3="C3",posicao_contratual!$R20,IF($C$3="C4",posicao_contratual!$V20,"")))))+ROUND(SUMIFS(aditivos!$L$2:$L$200,aditivos!$A$2:$A$200,A31,aditivos!$C$2:$C$200,$C$3,aditivos!$B$2:$B$200,"&lt;"&amp;(INT($F$3)+1)),2),2),IF(ROUND(SUMIFS(aditivos!$L$2:$L$200,aditivos!$A$2:$A$200,A31,aditivos!$C$2:$C$200,$C$3,aditivos!$B$2:$B$200,"&lt;"&amp;(INT($F$3)+1)),2)&gt;0,ROUND(SUMIFS(aditivos!$L$2:$L$200,aditivos!$A$2:$A$200,A31,aditivos!$C$2:$C$200,$C$3,aditivos!$B$2:$B$200,"&lt;"&amp;(INT($F$3)+1)),2),""))))</f>
        <v/>
      </c>
      <c r="C31" s="418"/>
      <c r="D31" s="417" t="str">
        <f t="shared" si="0"/>
        <v/>
      </c>
      <c r="E31" s="419" t="str">
        <f>IF(A31="","",IF($C$3="C0",historico_VU!$C20,IF($C$3="C1",historico_VU!$D20,IF($C$3="C2",historico_VU!$E20,IF($C$3="C3",historico_VU!$F20,IF($C$3="C4",historico_VU!$G20,""))))))</f>
        <v/>
      </c>
      <c r="F31" s="419" t="str">
        <f t="shared" si="1"/>
        <v/>
      </c>
      <c r="G31" s="419" t="str">
        <f t="shared" si="2"/>
        <v/>
      </c>
      <c r="I31" t="str">
        <f>IF(OR(A31="",$D$5="",$F$3=""),"",ROUND(SUMIFS(aditivos!$L$2:$L$200,aditivos!$A$2:$A$200,A31,aditivos!$B$2:$B$200,"&gt;="&amp;(INT($F$3)+1),aditivos!$B$2:$B$200,"&lt;="&amp;$D$5),2))</f>
        <v/>
      </c>
      <c r="J31" t="str">
        <f t="shared" si="3"/>
        <v/>
      </c>
      <c r="K31" t="str">
        <f t="shared" si="4"/>
        <v/>
      </c>
      <c r="L31" t="str">
        <f>IF(A31="","",IF($C$3="C0",SUMIFS(itens_Consumidos!$E$2:$E$200,itens_Consumidos!$A$2:$A$200,A31),IF($C$3="C1",SUMIFS(itens_Consumidos!$G$2:$G$200,itens_Consumidos!$A$2:$A$200,A31),IF($C$3="C2",SUMIFS(itens_Consumidos!$I$2:$I$200,itens_Consumidos!$A$2:$A$200,A31),IF($C$3="C3",SUMIFS(itens_Consumidos!$K$2:$K$200,itens_Consumidos!$A$2:$A$200,A31),IF($C$3="C4",SUMIFS(itens_Consumidos!$M$2:$M$200,itens_Consumidos!$A$2:$A$200,A31),""))))))</f>
        <v/>
      </c>
      <c r="M31" t="str">
        <f t="shared" si="5"/>
        <v/>
      </c>
      <c r="N31" t="str">
        <f>IF(A31="","",IF($C$3="C0",COUNTIFS(itens_Consumidos!$A$2:$A$200,A31,itens_Consumidos!$E$2:$E$200,"&lt;&gt;"),IF($C$3="C1",COUNTIFS(itens_Consumidos!$A$2:$A$200,A31,itens_Consumidos!$G$2:$G$200,"&lt;&gt;"),IF($C$3="C2",COUNTIFS(itens_Consumidos!$A$2:$A$200,A31,itens_Consumidos!$I$2:$I$200,"&lt;&gt;"),IF($C$3="C3",COUNTIFS(itens_Consumidos!$A$2:$A$200,A31,itens_Consumidos!$K$2:$K$200,"&lt;&gt;"),IF($C$3="C4",COUNTIFS(itens_Consumidos!$A$2:$A$200,A31,itens_Consumidos!$M$2:$M$200,"&lt;&gt;"),""))))))</f>
        <v/>
      </c>
      <c r="O31" t="str">
        <f>IF(itens_Remanesc!$A20="","",COUNTIFS(aditivos!$A$2:$A$200,itens_Remanesc!$A20,aditivos!$B$2:$B$200,"&lt;="&amp;$D$5,aditivos!$L$2:$L$200,"&gt;0"))</f>
        <v/>
      </c>
    </row>
    <row r="32" spans="1:15" ht="20" customHeight="1" x14ac:dyDescent="0.35">
      <c r="A32" s="416" t="str">
        <f>IF(itens_Remanesc!$A21="","",IF(NOT(posicao_contratual!$Z21),itens_Remanesc!$A21,IF(AND(ISNUMBER($D$5),$O32&gt;0),itens_Remanesc!$A21,"")))</f>
        <v/>
      </c>
      <c r="B32" s="417" t="str">
        <f>IF(A32="","",IF(AND(posicao_contratual!$Z21,COUNTIFS(aditivos!$A$2:$A$200,itens_Remanesc!$A21,aditivos!$B$2:$B$200,"&lt;"&amp;(INT($F$3)+1),aditivos!$L$2:$L$200,"&gt;0")=0),0,IF(ISNUMBER(IF($C$3="C0",posicao_contratual!$F21,IF($C$3="C1",posicao_contratual!$J21,IF($C$3="C2",posicao_contratual!$N21,IF($C$3="C3",posicao_contratual!$R21,IF($C$3="C4",posicao_contratual!$V21,"")))))),ROUND(IF($C$3="C0",posicao_contratual!$F21,IF($C$3="C1",posicao_contratual!$J21,IF($C$3="C2",posicao_contratual!$N21,IF($C$3="C3",posicao_contratual!$R21,IF($C$3="C4",posicao_contratual!$V21,"")))))+ROUND(SUMIFS(aditivos!$L$2:$L$200,aditivos!$A$2:$A$200,A32,aditivos!$C$2:$C$200,$C$3,aditivos!$B$2:$B$200,"&lt;"&amp;(INT($F$3)+1)),2),2),IF(ROUND(SUMIFS(aditivos!$L$2:$L$200,aditivos!$A$2:$A$200,A32,aditivos!$C$2:$C$200,$C$3,aditivos!$B$2:$B$200,"&lt;"&amp;(INT($F$3)+1)),2)&gt;0,ROUND(SUMIFS(aditivos!$L$2:$L$200,aditivos!$A$2:$A$200,A32,aditivos!$C$2:$C$200,$C$3,aditivos!$B$2:$B$200,"&lt;"&amp;(INT($F$3)+1)),2),""))))</f>
        <v/>
      </c>
      <c r="C32" s="418"/>
      <c r="D32" s="417" t="str">
        <f t="shared" si="0"/>
        <v/>
      </c>
      <c r="E32" s="419" t="str">
        <f>IF(A32="","",IF($C$3="C0",historico_VU!$C21,IF($C$3="C1",historico_VU!$D21,IF($C$3="C2",historico_VU!$E21,IF($C$3="C3",historico_VU!$F21,IF($C$3="C4",historico_VU!$G21,""))))))</f>
        <v/>
      </c>
      <c r="F32" s="419" t="str">
        <f t="shared" si="1"/>
        <v/>
      </c>
      <c r="G32" s="419" t="str">
        <f t="shared" si="2"/>
        <v/>
      </c>
      <c r="I32" t="str">
        <f>IF(OR(A32="",$D$5="",$F$3=""),"",ROUND(SUMIFS(aditivos!$L$2:$L$200,aditivos!$A$2:$A$200,A32,aditivos!$B$2:$B$200,"&gt;="&amp;(INT($F$3)+1),aditivos!$B$2:$B$200,"&lt;="&amp;$D$5),2))</f>
        <v/>
      </c>
      <c r="J32" t="str">
        <f t="shared" si="3"/>
        <v/>
      </c>
      <c r="K32" t="str">
        <f t="shared" si="4"/>
        <v/>
      </c>
      <c r="L32" t="str">
        <f>IF(A32="","",IF($C$3="C0",SUMIFS(itens_Consumidos!$E$2:$E$200,itens_Consumidos!$A$2:$A$200,A32),IF($C$3="C1",SUMIFS(itens_Consumidos!$G$2:$G$200,itens_Consumidos!$A$2:$A$200,A32),IF($C$3="C2",SUMIFS(itens_Consumidos!$I$2:$I$200,itens_Consumidos!$A$2:$A$200,A32),IF($C$3="C3",SUMIFS(itens_Consumidos!$K$2:$K$200,itens_Consumidos!$A$2:$A$200,A32),IF($C$3="C4",SUMIFS(itens_Consumidos!$M$2:$M$200,itens_Consumidos!$A$2:$A$200,A32),""))))))</f>
        <v/>
      </c>
      <c r="M32" t="str">
        <f t="shared" si="5"/>
        <v/>
      </c>
      <c r="N32" t="str">
        <f>IF(A32="","",IF($C$3="C0",COUNTIFS(itens_Consumidos!$A$2:$A$200,A32,itens_Consumidos!$E$2:$E$200,"&lt;&gt;"),IF($C$3="C1",COUNTIFS(itens_Consumidos!$A$2:$A$200,A32,itens_Consumidos!$G$2:$G$200,"&lt;&gt;"),IF($C$3="C2",COUNTIFS(itens_Consumidos!$A$2:$A$200,A32,itens_Consumidos!$I$2:$I$200,"&lt;&gt;"),IF($C$3="C3",COUNTIFS(itens_Consumidos!$A$2:$A$200,A32,itens_Consumidos!$K$2:$K$200,"&lt;&gt;"),IF($C$3="C4",COUNTIFS(itens_Consumidos!$A$2:$A$200,A32,itens_Consumidos!$M$2:$M$200,"&lt;&gt;"),""))))))</f>
        <v/>
      </c>
      <c r="O32" t="str">
        <f>IF(itens_Remanesc!$A21="","",COUNTIFS(aditivos!$A$2:$A$200,itens_Remanesc!$A21,aditivos!$B$2:$B$200,"&lt;="&amp;$D$5,aditivos!$L$2:$L$200,"&gt;0"))</f>
        <v/>
      </c>
    </row>
    <row r="33" spans="1:15" ht="20" customHeight="1" x14ac:dyDescent="0.35">
      <c r="A33" s="416" t="str">
        <f>IF(itens_Remanesc!$A22="","",IF(NOT(posicao_contratual!$Z22),itens_Remanesc!$A22,IF(AND(ISNUMBER($D$5),$O33&gt;0),itens_Remanesc!$A22,"")))</f>
        <v/>
      </c>
      <c r="B33" s="417" t="str">
        <f>IF(A33="","",IF(AND(posicao_contratual!$Z22,COUNTIFS(aditivos!$A$2:$A$200,itens_Remanesc!$A22,aditivos!$B$2:$B$200,"&lt;"&amp;(INT($F$3)+1),aditivos!$L$2:$L$200,"&gt;0")=0),0,IF(ISNUMBER(IF($C$3="C0",posicao_contratual!$F22,IF($C$3="C1",posicao_contratual!$J22,IF($C$3="C2",posicao_contratual!$N22,IF($C$3="C3",posicao_contratual!$R22,IF($C$3="C4",posicao_contratual!$V22,"")))))),ROUND(IF($C$3="C0",posicao_contratual!$F22,IF($C$3="C1",posicao_contratual!$J22,IF($C$3="C2",posicao_contratual!$N22,IF($C$3="C3",posicao_contratual!$R22,IF($C$3="C4",posicao_contratual!$V22,"")))))+ROUND(SUMIFS(aditivos!$L$2:$L$200,aditivos!$A$2:$A$200,A33,aditivos!$C$2:$C$200,$C$3,aditivos!$B$2:$B$200,"&lt;"&amp;(INT($F$3)+1)),2),2),IF(ROUND(SUMIFS(aditivos!$L$2:$L$200,aditivos!$A$2:$A$200,A33,aditivos!$C$2:$C$200,$C$3,aditivos!$B$2:$B$200,"&lt;"&amp;(INT($F$3)+1)),2)&gt;0,ROUND(SUMIFS(aditivos!$L$2:$L$200,aditivos!$A$2:$A$200,A33,aditivos!$C$2:$C$200,$C$3,aditivos!$B$2:$B$200,"&lt;"&amp;(INT($F$3)+1)),2),""))))</f>
        <v/>
      </c>
      <c r="C33" s="418"/>
      <c r="D33" s="417" t="str">
        <f t="shared" si="0"/>
        <v/>
      </c>
      <c r="E33" s="419" t="str">
        <f>IF(A33="","",IF($C$3="C0",historico_VU!$C22,IF($C$3="C1",historico_VU!$D22,IF($C$3="C2",historico_VU!$E22,IF($C$3="C3",historico_VU!$F22,IF($C$3="C4",historico_VU!$G22,""))))))</f>
        <v/>
      </c>
      <c r="F33" s="419" t="str">
        <f t="shared" si="1"/>
        <v/>
      </c>
      <c r="G33" s="419" t="str">
        <f t="shared" si="2"/>
        <v/>
      </c>
      <c r="I33" t="str">
        <f>IF(OR(A33="",$D$5="",$F$3=""),"",ROUND(SUMIFS(aditivos!$L$2:$L$200,aditivos!$A$2:$A$200,A33,aditivos!$B$2:$B$200,"&gt;="&amp;(INT($F$3)+1),aditivos!$B$2:$B$200,"&lt;="&amp;$D$5),2))</f>
        <v/>
      </c>
      <c r="J33" t="str">
        <f t="shared" si="3"/>
        <v/>
      </c>
      <c r="K33" t="str">
        <f t="shared" si="4"/>
        <v/>
      </c>
      <c r="L33" t="str">
        <f>IF(A33="","",IF($C$3="C0",SUMIFS(itens_Consumidos!$E$2:$E$200,itens_Consumidos!$A$2:$A$200,A33),IF($C$3="C1",SUMIFS(itens_Consumidos!$G$2:$G$200,itens_Consumidos!$A$2:$A$200,A33),IF($C$3="C2",SUMIFS(itens_Consumidos!$I$2:$I$200,itens_Consumidos!$A$2:$A$200,A33),IF($C$3="C3",SUMIFS(itens_Consumidos!$K$2:$K$200,itens_Consumidos!$A$2:$A$200,A33),IF($C$3="C4",SUMIFS(itens_Consumidos!$M$2:$M$200,itens_Consumidos!$A$2:$A$200,A33),""))))))</f>
        <v/>
      </c>
      <c r="M33" t="str">
        <f t="shared" si="5"/>
        <v/>
      </c>
      <c r="N33" t="str">
        <f>IF(A33="","",IF($C$3="C0",COUNTIFS(itens_Consumidos!$A$2:$A$200,A33,itens_Consumidos!$E$2:$E$200,"&lt;&gt;"),IF($C$3="C1",COUNTIFS(itens_Consumidos!$A$2:$A$200,A33,itens_Consumidos!$G$2:$G$200,"&lt;&gt;"),IF($C$3="C2",COUNTIFS(itens_Consumidos!$A$2:$A$200,A33,itens_Consumidos!$I$2:$I$200,"&lt;&gt;"),IF($C$3="C3",COUNTIFS(itens_Consumidos!$A$2:$A$200,A33,itens_Consumidos!$K$2:$K$200,"&lt;&gt;"),IF($C$3="C4",COUNTIFS(itens_Consumidos!$A$2:$A$200,A33,itens_Consumidos!$M$2:$M$200,"&lt;&gt;"),""))))))</f>
        <v/>
      </c>
      <c r="O33" t="str">
        <f>IF(itens_Remanesc!$A22="","",COUNTIFS(aditivos!$A$2:$A$200,itens_Remanesc!$A22,aditivos!$B$2:$B$200,"&lt;="&amp;$D$5,aditivos!$L$2:$L$200,"&gt;0"))</f>
        <v/>
      </c>
    </row>
    <row r="34" spans="1:15" ht="20" customHeight="1" x14ac:dyDescent="0.35">
      <c r="A34" s="416" t="str">
        <f>IF(itens_Remanesc!$A23="","",IF(NOT(posicao_contratual!$Z23),itens_Remanesc!$A23,IF(AND(ISNUMBER($D$5),$O34&gt;0),itens_Remanesc!$A23,"")))</f>
        <v/>
      </c>
      <c r="B34" s="417" t="str">
        <f>IF(A34="","",IF(AND(posicao_contratual!$Z23,COUNTIFS(aditivos!$A$2:$A$200,itens_Remanesc!$A23,aditivos!$B$2:$B$200,"&lt;"&amp;(INT($F$3)+1),aditivos!$L$2:$L$200,"&gt;0")=0),0,IF(ISNUMBER(IF($C$3="C0",posicao_contratual!$F23,IF($C$3="C1",posicao_contratual!$J23,IF($C$3="C2",posicao_contratual!$N23,IF($C$3="C3",posicao_contratual!$R23,IF($C$3="C4",posicao_contratual!$V23,"")))))),ROUND(IF($C$3="C0",posicao_contratual!$F23,IF($C$3="C1",posicao_contratual!$J23,IF($C$3="C2",posicao_contratual!$N23,IF($C$3="C3",posicao_contratual!$R23,IF($C$3="C4",posicao_contratual!$V23,"")))))+ROUND(SUMIFS(aditivos!$L$2:$L$200,aditivos!$A$2:$A$200,A34,aditivos!$C$2:$C$200,$C$3,aditivos!$B$2:$B$200,"&lt;"&amp;(INT($F$3)+1)),2),2),IF(ROUND(SUMIFS(aditivos!$L$2:$L$200,aditivos!$A$2:$A$200,A34,aditivos!$C$2:$C$200,$C$3,aditivos!$B$2:$B$200,"&lt;"&amp;(INT($F$3)+1)),2)&gt;0,ROUND(SUMIFS(aditivos!$L$2:$L$200,aditivos!$A$2:$A$200,A34,aditivos!$C$2:$C$200,$C$3,aditivos!$B$2:$B$200,"&lt;"&amp;(INT($F$3)+1)),2),""))))</f>
        <v/>
      </c>
      <c r="C34" s="418"/>
      <c r="D34" s="417" t="str">
        <f t="shared" si="0"/>
        <v/>
      </c>
      <c r="E34" s="419" t="str">
        <f>IF(A34="","",IF($C$3="C0",historico_VU!$C23,IF($C$3="C1",historico_VU!$D23,IF($C$3="C2",historico_VU!$E23,IF($C$3="C3",historico_VU!$F23,IF($C$3="C4",historico_VU!$G23,""))))))</f>
        <v/>
      </c>
      <c r="F34" s="419" t="str">
        <f t="shared" si="1"/>
        <v/>
      </c>
      <c r="G34" s="419" t="str">
        <f t="shared" si="2"/>
        <v/>
      </c>
      <c r="I34" t="str">
        <f>IF(OR(A34="",$D$5="",$F$3=""),"",ROUND(SUMIFS(aditivos!$L$2:$L$200,aditivos!$A$2:$A$200,A34,aditivos!$B$2:$B$200,"&gt;="&amp;(INT($F$3)+1),aditivos!$B$2:$B$200,"&lt;="&amp;$D$5),2))</f>
        <v/>
      </c>
      <c r="J34" t="str">
        <f t="shared" si="3"/>
        <v/>
      </c>
      <c r="K34" t="str">
        <f t="shared" si="4"/>
        <v/>
      </c>
      <c r="L34" t="str">
        <f>IF(A34="","",IF($C$3="C0",SUMIFS(itens_Consumidos!$E$2:$E$200,itens_Consumidos!$A$2:$A$200,A34),IF($C$3="C1",SUMIFS(itens_Consumidos!$G$2:$G$200,itens_Consumidos!$A$2:$A$200,A34),IF($C$3="C2",SUMIFS(itens_Consumidos!$I$2:$I$200,itens_Consumidos!$A$2:$A$200,A34),IF($C$3="C3",SUMIFS(itens_Consumidos!$K$2:$K$200,itens_Consumidos!$A$2:$A$200,A34),IF($C$3="C4",SUMIFS(itens_Consumidos!$M$2:$M$200,itens_Consumidos!$A$2:$A$200,A34),""))))))</f>
        <v/>
      </c>
      <c r="M34" t="str">
        <f t="shared" si="5"/>
        <v/>
      </c>
      <c r="N34" t="str">
        <f>IF(A34="","",IF($C$3="C0",COUNTIFS(itens_Consumidos!$A$2:$A$200,A34,itens_Consumidos!$E$2:$E$200,"&lt;&gt;"),IF($C$3="C1",COUNTIFS(itens_Consumidos!$A$2:$A$200,A34,itens_Consumidos!$G$2:$G$200,"&lt;&gt;"),IF($C$3="C2",COUNTIFS(itens_Consumidos!$A$2:$A$200,A34,itens_Consumidos!$I$2:$I$200,"&lt;&gt;"),IF($C$3="C3",COUNTIFS(itens_Consumidos!$A$2:$A$200,A34,itens_Consumidos!$K$2:$K$200,"&lt;&gt;"),IF($C$3="C4",COUNTIFS(itens_Consumidos!$A$2:$A$200,A34,itens_Consumidos!$M$2:$M$200,"&lt;&gt;"),""))))))</f>
        <v/>
      </c>
      <c r="O34" t="str">
        <f>IF(itens_Remanesc!$A23="","",COUNTIFS(aditivos!$A$2:$A$200,itens_Remanesc!$A23,aditivos!$B$2:$B$200,"&lt;="&amp;$D$5,aditivos!$L$2:$L$200,"&gt;0"))</f>
        <v/>
      </c>
    </row>
    <row r="35" spans="1:15" ht="20" customHeight="1" x14ac:dyDescent="0.35">
      <c r="A35" s="416" t="str">
        <f>IF(itens_Remanesc!$A24="","",IF(NOT(posicao_contratual!$Z24),itens_Remanesc!$A24,IF(AND(ISNUMBER($D$5),$O35&gt;0),itens_Remanesc!$A24,"")))</f>
        <v/>
      </c>
      <c r="B35" s="417" t="str">
        <f>IF(A35="","",IF(AND(posicao_contratual!$Z24,COUNTIFS(aditivos!$A$2:$A$200,itens_Remanesc!$A24,aditivos!$B$2:$B$200,"&lt;"&amp;(INT($F$3)+1),aditivos!$L$2:$L$200,"&gt;0")=0),0,IF(ISNUMBER(IF($C$3="C0",posicao_contratual!$F24,IF($C$3="C1",posicao_contratual!$J24,IF($C$3="C2",posicao_contratual!$N24,IF($C$3="C3",posicao_contratual!$R24,IF($C$3="C4",posicao_contratual!$V24,"")))))),ROUND(IF($C$3="C0",posicao_contratual!$F24,IF($C$3="C1",posicao_contratual!$J24,IF($C$3="C2",posicao_contratual!$N24,IF($C$3="C3",posicao_contratual!$R24,IF($C$3="C4",posicao_contratual!$V24,"")))))+ROUND(SUMIFS(aditivos!$L$2:$L$200,aditivos!$A$2:$A$200,A35,aditivos!$C$2:$C$200,$C$3,aditivos!$B$2:$B$200,"&lt;"&amp;(INT($F$3)+1)),2),2),IF(ROUND(SUMIFS(aditivos!$L$2:$L$200,aditivos!$A$2:$A$200,A35,aditivos!$C$2:$C$200,$C$3,aditivos!$B$2:$B$200,"&lt;"&amp;(INT($F$3)+1)),2)&gt;0,ROUND(SUMIFS(aditivos!$L$2:$L$200,aditivos!$A$2:$A$200,A35,aditivos!$C$2:$C$200,$C$3,aditivos!$B$2:$B$200,"&lt;"&amp;(INT($F$3)+1)),2),""))))</f>
        <v/>
      </c>
      <c r="C35" s="418"/>
      <c r="D35" s="417" t="str">
        <f t="shared" si="0"/>
        <v/>
      </c>
      <c r="E35" s="419" t="str">
        <f>IF(A35="","",IF($C$3="C0",historico_VU!$C24,IF($C$3="C1",historico_VU!$D24,IF($C$3="C2",historico_VU!$E24,IF($C$3="C3",historico_VU!$F24,IF($C$3="C4",historico_VU!$G24,""))))))</f>
        <v/>
      </c>
      <c r="F35" s="419" t="str">
        <f t="shared" si="1"/>
        <v/>
      </c>
      <c r="G35" s="419" t="str">
        <f t="shared" si="2"/>
        <v/>
      </c>
      <c r="I35" t="str">
        <f>IF(OR(A35="",$D$5="",$F$3=""),"",ROUND(SUMIFS(aditivos!$L$2:$L$200,aditivos!$A$2:$A$200,A35,aditivos!$B$2:$B$200,"&gt;="&amp;(INT($F$3)+1),aditivos!$B$2:$B$200,"&lt;="&amp;$D$5),2))</f>
        <v/>
      </c>
      <c r="J35" t="str">
        <f t="shared" si="3"/>
        <v/>
      </c>
      <c r="K35" t="str">
        <f t="shared" si="4"/>
        <v/>
      </c>
      <c r="L35" t="str">
        <f>IF(A35="","",IF($C$3="C0",SUMIFS(itens_Consumidos!$E$2:$E$200,itens_Consumidos!$A$2:$A$200,A35),IF($C$3="C1",SUMIFS(itens_Consumidos!$G$2:$G$200,itens_Consumidos!$A$2:$A$200,A35),IF($C$3="C2",SUMIFS(itens_Consumidos!$I$2:$I$200,itens_Consumidos!$A$2:$A$200,A35),IF($C$3="C3",SUMIFS(itens_Consumidos!$K$2:$K$200,itens_Consumidos!$A$2:$A$200,A35),IF($C$3="C4",SUMIFS(itens_Consumidos!$M$2:$M$200,itens_Consumidos!$A$2:$A$200,A35),""))))))</f>
        <v/>
      </c>
      <c r="M35" t="str">
        <f t="shared" si="5"/>
        <v/>
      </c>
      <c r="N35" t="str">
        <f>IF(A35="","",IF($C$3="C0",COUNTIFS(itens_Consumidos!$A$2:$A$200,A35,itens_Consumidos!$E$2:$E$200,"&lt;&gt;"),IF($C$3="C1",COUNTIFS(itens_Consumidos!$A$2:$A$200,A35,itens_Consumidos!$G$2:$G$200,"&lt;&gt;"),IF($C$3="C2",COUNTIFS(itens_Consumidos!$A$2:$A$200,A35,itens_Consumidos!$I$2:$I$200,"&lt;&gt;"),IF($C$3="C3",COUNTIFS(itens_Consumidos!$A$2:$A$200,A35,itens_Consumidos!$K$2:$K$200,"&lt;&gt;"),IF($C$3="C4",COUNTIFS(itens_Consumidos!$A$2:$A$200,A35,itens_Consumidos!$M$2:$M$200,"&lt;&gt;"),""))))))</f>
        <v/>
      </c>
      <c r="O35" t="str">
        <f>IF(itens_Remanesc!$A24="","",COUNTIFS(aditivos!$A$2:$A$200,itens_Remanesc!$A24,aditivos!$B$2:$B$200,"&lt;="&amp;$D$5,aditivos!$L$2:$L$200,"&gt;0"))</f>
        <v/>
      </c>
    </row>
    <row r="36" spans="1:15" ht="20" customHeight="1" x14ac:dyDescent="0.35">
      <c r="A36" s="416" t="str">
        <f>IF(itens_Remanesc!$A25="","",IF(NOT(posicao_contratual!$Z25),itens_Remanesc!$A25,IF(AND(ISNUMBER($D$5),$O36&gt;0),itens_Remanesc!$A25,"")))</f>
        <v/>
      </c>
      <c r="B36" s="417" t="str">
        <f>IF(A36="","",IF(AND(posicao_contratual!$Z25,COUNTIFS(aditivos!$A$2:$A$200,itens_Remanesc!$A25,aditivos!$B$2:$B$200,"&lt;"&amp;(INT($F$3)+1),aditivos!$L$2:$L$200,"&gt;0")=0),0,IF(ISNUMBER(IF($C$3="C0",posicao_contratual!$F25,IF($C$3="C1",posicao_contratual!$J25,IF($C$3="C2",posicao_contratual!$N25,IF($C$3="C3",posicao_contratual!$R25,IF($C$3="C4",posicao_contratual!$V25,"")))))),ROUND(IF($C$3="C0",posicao_contratual!$F25,IF($C$3="C1",posicao_contratual!$J25,IF($C$3="C2",posicao_contratual!$N25,IF($C$3="C3",posicao_contratual!$R25,IF($C$3="C4",posicao_contratual!$V25,"")))))+ROUND(SUMIFS(aditivos!$L$2:$L$200,aditivos!$A$2:$A$200,A36,aditivos!$C$2:$C$200,$C$3,aditivos!$B$2:$B$200,"&lt;"&amp;(INT($F$3)+1)),2),2),IF(ROUND(SUMIFS(aditivos!$L$2:$L$200,aditivos!$A$2:$A$200,A36,aditivos!$C$2:$C$200,$C$3,aditivos!$B$2:$B$200,"&lt;"&amp;(INT($F$3)+1)),2)&gt;0,ROUND(SUMIFS(aditivos!$L$2:$L$200,aditivos!$A$2:$A$200,A36,aditivos!$C$2:$C$200,$C$3,aditivos!$B$2:$B$200,"&lt;"&amp;(INT($F$3)+1)),2),""))))</f>
        <v/>
      </c>
      <c r="C36" s="418"/>
      <c r="D36" s="417" t="str">
        <f t="shared" si="0"/>
        <v/>
      </c>
      <c r="E36" s="419" t="str">
        <f>IF(A36="","",IF($C$3="C0",historico_VU!$C25,IF($C$3="C1",historico_VU!$D25,IF($C$3="C2",historico_VU!$E25,IF($C$3="C3",historico_VU!$F25,IF($C$3="C4",historico_VU!$G25,""))))))</f>
        <v/>
      </c>
      <c r="F36" s="419" t="str">
        <f t="shared" si="1"/>
        <v/>
      </c>
      <c r="G36" s="419" t="str">
        <f t="shared" si="2"/>
        <v/>
      </c>
      <c r="I36" t="str">
        <f>IF(OR(A36="",$D$5="",$F$3=""),"",ROUND(SUMIFS(aditivos!$L$2:$L$200,aditivos!$A$2:$A$200,A36,aditivos!$B$2:$B$200,"&gt;="&amp;(INT($F$3)+1),aditivos!$B$2:$B$200,"&lt;="&amp;$D$5),2))</f>
        <v/>
      </c>
      <c r="J36" t="str">
        <f t="shared" si="3"/>
        <v/>
      </c>
      <c r="K36" t="str">
        <f t="shared" si="4"/>
        <v/>
      </c>
      <c r="L36" t="str">
        <f>IF(A36="","",IF($C$3="C0",SUMIFS(itens_Consumidos!$E$2:$E$200,itens_Consumidos!$A$2:$A$200,A36),IF($C$3="C1",SUMIFS(itens_Consumidos!$G$2:$G$200,itens_Consumidos!$A$2:$A$200,A36),IF($C$3="C2",SUMIFS(itens_Consumidos!$I$2:$I$200,itens_Consumidos!$A$2:$A$200,A36),IF($C$3="C3",SUMIFS(itens_Consumidos!$K$2:$K$200,itens_Consumidos!$A$2:$A$200,A36),IF($C$3="C4",SUMIFS(itens_Consumidos!$M$2:$M$200,itens_Consumidos!$A$2:$A$200,A36),""))))))</f>
        <v/>
      </c>
      <c r="M36" t="str">
        <f t="shared" si="5"/>
        <v/>
      </c>
      <c r="N36" t="str">
        <f>IF(A36="","",IF($C$3="C0",COUNTIFS(itens_Consumidos!$A$2:$A$200,A36,itens_Consumidos!$E$2:$E$200,"&lt;&gt;"),IF($C$3="C1",COUNTIFS(itens_Consumidos!$A$2:$A$200,A36,itens_Consumidos!$G$2:$G$200,"&lt;&gt;"),IF($C$3="C2",COUNTIFS(itens_Consumidos!$A$2:$A$200,A36,itens_Consumidos!$I$2:$I$200,"&lt;&gt;"),IF($C$3="C3",COUNTIFS(itens_Consumidos!$A$2:$A$200,A36,itens_Consumidos!$K$2:$K$200,"&lt;&gt;"),IF($C$3="C4",COUNTIFS(itens_Consumidos!$A$2:$A$200,A36,itens_Consumidos!$M$2:$M$200,"&lt;&gt;"),""))))))</f>
        <v/>
      </c>
      <c r="O36" t="str">
        <f>IF(itens_Remanesc!$A25="","",COUNTIFS(aditivos!$A$2:$A$200,itens_Remanesc!$A25,aditivos!$B$2:$B$200,"&lt;="&amp;$D$5,aditivos!$L$2:$L$200,"&gt;0"))</f>
        <v/>
      </c>
    </row>
    <row r="37" spans="1:15" ht="20" customHeight="1" x14ac:dyDescent="0.35">
      <c r="A37" s="416" t="str">
        <f>IF(itens_Remanesc!$A26="","",IF(NOT(posicao_contratual!$Z26),itens_Remanesc!$A26,IF(AND(ISNUMBER($D$5),$O37&gt;0),itens_Remanesc!$A26,"")))</f>
        <v/>
      </c>
      <c r="B37" s="417" t="str">
        <f>IF(A37="","",IF(AND(posicao_contratual!$Z26,COUNTIFS(aditivos!$A$2:$A$200,itens_Remanesc!$A26,aditivos!$B$2:$B$200,"&lt;"&amp;(INT($F$3)+1),aditivos!$L$2:$L$200,"&gt;0")=0),0,IF(ISNUMBER(IF($C$3="C0",posicao_contratual!$F26,IF($C$3="C1",posicao_contratual!$J26,IF($C$3="C2",posicao_contratual!$N26,IF($C$3="C3",posicao_contratual!$R26,IF($C$3="C4",posicao_contratual!$V26,"")))))),ROUND(IF($C$3="C0",posicao_contratual!$F26,IF($C$3="C1",posicao_contratual!$J26,IF($C$3="C2",posicao_contratual!$N26,IF($C$3="C3",posicao_contratual!$R26,IF($C$3="C4",posicao_contratual!$V26,"")))))+ROUND(SUMIFS(aditivos!$L$2:$L$200,aditivos!$A$2:$A$200,A37,aditivos!$C$2:$C$200,$C$3,aditivos!$B$2:$B$200,"&lt;"&amp;(INT($F$3)+1)),2),2),IF(ROUND(SUMIFS(aditivos!$L$2:$L$200,aditivos!$A$2:$A$200,A37,aditivos!$C$2:$C$200,$C$3,aditivos!$B$2:$B$200,"&lt;"&amp;(INT($F$3)+1)),2)&gt;0,ROUND(SUMIFS(aditivos!$L$2:$L$200,aditivos!$A$2:$A$200,A37,aditivos!$C$2:$C$200,$C$3,aditivos!$B$2:$B$200,"&lt;"&amp;(INT($F$3)+1)),2),""))))</f>
        <v/>
      </c>
      <c r="C37" s="418"/>
      <c r="D37" s="417" t="str">
        <f t="shared" si="0"/>
        <v/>
      </c>
      <c r="E37" s="419" t="str">
        <f>IF(A37="","",IF($C$3="C0",historico_VU!$C26,IF($C$3="C1",historico_VU!$D26,IF($C$3="C2",historico_VU!$E26,IF($C$3="C3",historico_VU!$F26,IF($C$3="C4",historico_VU!$G26,""))))))</f>
        <v/>
      </c>
      <c r="F37" s="419" t="str">
        <f t="shared" si="1"/>
        <v/>
      </c>
      <c r="G37" s="419" t="str">
        <f t="shared" si="2"/>
        <v/>
      </c>
      <c r="I37" t="str">
        <f>IF(OR(A37="",$D$5="",$F$3=""),"",ROUND(SUMIFS(aditivos!$L$2:$L$200,aditivos!$A$2:$A$200,A37,aditivos!$B$2:$B$200,"&gt;="&amp;(INT($F$3)+1),aditivos!$B$2:$B$200,"&lt;="&amp;$D$5),2))</f>
        <v/>
      </c>
      <c r="J37" t="str">
        <f t="shared" si="3"/>
        <v/>
      </c>
      <c r="K37" t="str">
        <f t="shared" si="4"/>
        <v/>
      </c>
      <c r="L37" t="str">
        <f>IF(A37="","",IF($C$3="C0",SUMIFS(itens_Consumidos!$E$2:$E$200,itens_Consumidos!$A$2:$A$200,A37),IF($C$3="C1",SUMIFS(itens_Consumidos!$G$2:$G$200,itens_Consumidos!$A$2:$A$200,A37),IF($C$3="C2",SUMIFS(itens_Consumidos!$I$2:$I$200,itens_Consumidos!$A$2:$A$200,A37),IF($C$3="C3",SUMIFS(itens_Consumidos!$K$2:$K$200,itens_Consumidos!$A$2:$A$200,A37),IF($C$3="C4",SUMIFS(itens_Consumidos!$M$2:$M$200,itens_Consumidos!$A$2:$A$200,A37),""))))))</f>
        <v/>
      </c>
      <c r="M37" t="str">
        <f t="shared" si="5"/>
        <v/>
      </c>
      <c r="N37" t="str">
        <f>IF(A37="","",IF($C$3="C0",COUNTIFS(itens_Consumidos!$A$2:$A$200,A37,itens_Consumidos!$E$2:$E$200,"&lt;&gt;"),IF($C$3="C1",COUNTIFS(itens_Consumidos!$A$2:$A$200,A37,itens_Consumidos!$G$2:$G$200,"&lt;&gt;"),IF($C$3="C2",COUNTIFS(itens_Consumidos!$A$2:$A$200,A37,itens_Consumidos!$I$2:$I$200,"&lt;&gt;"),IF($C$3="C3",COUNTIFS(itens_Consumidos!$A$2:$A$200,A37,itens_Consumidos!$K$2:$K$200,"&lt;&gt;"),IF($C$3="C4",COUNTIFS(itens_Consumidos!$A$2:$A$200,A37,itens_Consumidos!$M$2:$M$200,"&lt;&gt;"),""))))))</f>
        <v/>
      </c>
      <c r="O37" t="str">
        <f>IF(itens_Remanesc!$A26="","",COUNTIFS(aditivos!$A$2:$A$200,itens_Remanesc!$A26,aditivos!$B$2:$B$200,"&lt;="&amp;$D$5,aditivos!$L$2:$L$200,"&gt;0"))</f>
        <v/>
      </c>
    </row>
    <row r="38" spans="1:15" ht="20" customHeight="1" x14ac:dyDescent="0.35">
      <c r="A38" s="416" t="str">
        <f>IF(itens_Remanesc!$A27="","",IF(NOT(posicao_contratual!$Z27),itens_Remanesc!$A27,IF(AND(ISNUMBER($D$5),$O38&gt;0),itens_Remanesc!$A27,"")))</f>
        <v/>
      </c>
      <c r="B38" s="417" t="str">
        <f>IF(A38="","",IF(AND(posicao_contratual!$Z27,COUNTIFS(aditivos!$A$2:$A$200,itens_Remanesc!$A27,aditivos!$B$2:$B$200,"&lt;"&amp;(INT($F$3)+1),aditivos!$L$2:$L$200,"&gt;0")=0),0,IF(ISNUMBER(IF($C$3="C0",posicao_contratual!$F27,IF($C$3="C1",posicao_contratual!$J27,IF($C$3="C2",posicao_contratual!$N27,IF($C$3="C3",posicao_contratual!$R27,IF($C$3="C4",posicao_contratual!$V27,"")))))),ROUND(IF($C$3="C0",posicao_contratual!$F27,IF($C$3="C1",posicao_contratual!$J27,IF($C$3="C2",posicao_contratual!$N27,IF($C$3="C3",posicao_contratual!$R27,IF($C$3="C4",posicao_contratual!$V27,"")))))+ROUND(SUMIFS(aditivos!$L$2:$L$200,aditivos!$A$2:$A$200,A38,aditivos!$C$2:$C$200,$C$3,aditivos!$B$2:$B$200,"&lt;"&amp;(INT($F$3)+1)),2),2),IF(ROUND(SUMIFS(aditivos!$L$2:$L$200,aditivos!$A$2:$A$200,A38,aditivos!$C$2:$C$200,$C$3,aditivos!$B$2:$B$200,"&lt;"&amp;(INT($F$3)+1)),2)&gt;0,ROUND(SUMIFS(aditivos!$L$2:$L$200,aditivos!$A$2:$A$200,A38,aditivos!$C$2:$C$200,$C$3,aditivos!$B$2:$B$200,"&lt;"&amp;(INT($F$3)+1)),2),""))))</f>
        <v/>
      </c>
      <c r="C38" s="418"/>
      <c r="D38" s="417" t="str">
        <f t="shared" si="0"/>
        <v/>
      </c>
      <c r="E38" s="419" t="str">
        <f>IF(A38="","",IF($C$3="C0",historico_VU!$C27,IF($C$3="C1",historico_VU!$D27,IF($C$3="C2",historico_VU!$E27,IF($C$3="C3",historico_VU!$F27,IF($C$3="C4",historico_VU!$G27,""))))))</f>
        <v/>
      </c>
      <c r="F38" s="419" t="str">
        <f t="shared" si="1"/>
        <v/>
      </c>
      <c r="G38" s="419" t="str">
        <f t="shared" si="2"/>
        <v/>
      </c>
      <c r="I38" t="str">
        <f>IF(OR(A38="",$D$5="",$F$3=""),"",ROUND(SUMIFS(aditivos!$L$2:$L$200,aditivos!$A$2:$A$200,A38,aditivos!$B$2:$B$200,"&gt;="&amp;(INT($F$3)+1),aditivos!$B$2:$B$200,"&lt;="&amp;$D$5),2))</f>
        <v/>
      </c>
      <c r="J38" t="str">
        <f t="shared" si="3"/>
        <v/>
      </c>
      <c r="K38" t="str">
        <f t="shared" si="4"/>
        <v/>
      </c>
      <c r="L38" t="str">
        <f>IF(A38="","",IF($C$3="C0",SUMIFS(itens_Consumidos!$E$2:$E$200,itens_Consumidos!$A$2:$A$200,A38),IF($C$3="C1",SUMIFS(itens_Consumidos!$G$2:$G$200,itens_Consumidos!$A$2:$A$200,A38),IF($C$3="C2",SUMIFS(itens_Consumidos!$I$2:$I$200,itens_Consumidos!$A$2:$A$200,A38),IF($C$3="C3",SUMIFS(itens_Consumidos!$K$2:$K$200,itens_Consumidos!$A$2:$A$200,A38),IF($C$3="C4",SUMIFS(itens_Consumidos!$M$2:$M$200,itens_Consumidos!$A$2:$A$200,A38),""))))))</f>
        <v/>
      </c>
      <c r="M38" t="str">
        <f t="shared" si="5"/>
        <v/>
      </c>
      <c r="N38" t="str">
        <f>IF(A38="","",IF($C$3="C0",COUNTIFS(itens_Consumidos!$A$2:$A$200,A38,itens_Consumidos!$E$2:$E$200,"&lt;&gt;"),IF($C$3="C1",COUNTIFS(itens_Consumidos!$A$2:$A$200,A38,itens_Consumidos!$G$2:$G$200,"&lt;&gt;"),IF($C$3="C2",COUNTIFS(itens_Consumidos!$A$2:$A$200,A38,itens_Consumidos!$I$2:$I$200,"&lt;&gt;"),IF($C$3="C3",COUNTIFS(itens_Consumidos!$A$2:$A$200,A38,itens_Consumidos!$K$2:$K$200,"&lt;&gt;"),IF($C$3="C4",COUNTIFS(itens_Consumidos!$A$2:$A$200,A38,itens_Consumidos!$M$2:$M$200,"&lt;&gt;"),""))))))</f>
        <v/>
      </c>
      <c r="O38" t="str">
        <f>IF(itens_Remanesc!$A27="","",COUNTIFS(aditivos!$A$2:$A$200,itens_Remanesc!$A27,aditivos!$B$2:$B$200,"&lt;="&amp;$D$5,aditivos!$L$2:$L$200,"&gt;0"))</f>
        <v/>
      </c>
    </row>
    <row r="39" spans="1:15" ht="20" customHeight="1" x14ac:dyDescent="0.35">
      <c r="A39" s="416" t="str">
        <f>IF(itens_Remanesc!$A28="","",IF(NOT(posicao_contratual!$Z28),itens_Remanesc!$A28,IF(AND(ISNUMBER($D$5),$O39&gt;0),itens_Remanesc!$A28,"")))</f>
        <v/>
      </c>
      <c r="B39" s="417" t="str">
        <f>IF(A39="","",IF(AND(posicao_contratual!$Z28,COUNTIFS(aditivos!$A$2:$A$200,itens_Remanesc!$A28,aditivos!$B$2:$B$200,"&lt;"&amp;(INT($F$3)+1),aditivos!$L$2:$L$200,"&gt;0")=0),0,IF(ISNUMBER(IF($C$3="C0",posicao_contratual!$F28,IF($C$3="C1",posicao_contratual!$J28,IF($C$3="C2",posicao_contratual!$N28,IF($C$3="C3",posicao_contratual!$R28,IF($C$3="C4",posicao_contratual!$V28,"")))))),ROUND(IF($C$3="C0",posicao_contratual!$F28,IF($C$3="C1",posicao_contratual!$J28,IF($C$3="C2",posicao_contratual!$N28,IF($C$3="C3",posicao_contratual!$R28,IF($C$3="C4",posicao_contratual!$V28,"")))))+ROUND(SUMIFS(aditivos!$L$2:$L$200,aditivos!$A$2:$A$200,A39,aditivos!$C$2:$C$200,$C$3,aditivos!$B$2:$B$200,"&lt;"&amp;(INT($F$3)+1)),2),2),IF(ROUND(SUMIFS(aditivos!$L$2:$L$200,aditivos!$A$2:$A$200,A39,aditivos!$C$2:$C$200,$C$3,aditivos!$B$2:$B$200,"&lt;"&amp;(INT($F$3)+1)),2)&gt;0,ROUND(SUMIFS(aditivos!$L$2:$L$200,aditivos!$A$2:$A$200,A39,aditivos!$C$2:$C$200,$C$3,aditivos!$B$2:$B$200,"&lt;"&amp;(INT($F$3)+1)),2),""))))</f>
        <v/>
      </c>
      <c r="C39" s="418"/>
      <c r="D39" s="417" t="str">
        <f t="shared" si="0"/>
        <v/>
      </c>
      <c r="E39" s="419" t="str">
        <f>IF(A39="","",IF($C$3="C0",historico_VU!$C28,IF($C$3="C1",historico_VU!$D28,IF($C$3="C2",historico_VU!$E28,IF($C$3="C3",historico_VU!$F28,IF($C$3="C4",historico_VU!$G28,""))))))</f>
        <v/>
      </c>
      <c r="F39" s="419" t="str">
        <f t="shared" si="1"/>
        <v/>
      </c>
      <c r="G39" s="419" t="str">
        <f t="shared" si="2"/>
        <v/>
      </c>
      <c r="I39" t="str">
        <f>IF(OR(A39="",$D$5="",$F$3=""),"",ROUND(SUMIFS(aditivos!$L$2:$L$200,aditivos!$A$2:$A$200,A39,aditivos!$B$2:$B$200,"&gt;="&amp;(INT($F$3)+1),aditivos!$B$2:$B$200,"&lt;="&amp;$D$5),2))</f>
        <v/>
      </c>
      <c r="J39" t="str">
        <f t="shared" si="3"/>
        <v/>
      </c>
      <c r="K39" t="str">
        <f t="shared" si="4"/>
        <v/>
      </c>
      <c r="L39" t="str">
        <f>IF(A39="","",IF($C$3="C0",SUMIFS(itens_Consumidos!$E$2:$E$200,itens_Consumidos!$A$2:$A$200,A39),IF($C$3="C1",SUMIFS(itens_Consumidos!$G$2:$G$200,itens_Consumidos!$A$2:$A$200,A39),IF($C$3="C2",SUMIFS(itens_Consumidos!$I$2:$I$200,itens_Consumidos!$A$2:$A$200,A39),IF($C$3="C3",SUMIFS(itens_Consumidos!$K$2:$K$200,itens_Consumidos!$A$2:$A$200,A39),IF($C$3="C4",SUMIFS(itens_Consumidos!$M$2:$M$200,itens_Consumidos!$A$2:$A$200,A39),""))))))</f>
        <v/>
      </c>
      <c r="M39" t="str">
        <f t="shared" si="5"/>
        <v/>
      </c>
      <c r="N39" t="str">
        <f>IF(A39="","",IF($C$3="C0",COUNTIFS(itens_Consumidos!$A$2:$A$200,A39,itens_Consumidos!$E$2:$E$200,"&lt;&gt;"),IF($C$3="C1",COUNTIFS(itens_Consumidos!$A$2:$A$200,A39,itens_Consumidos!$G$2:$G$200,"&lt;&gt;"),IF($C$3="C2",COUNTIFS(itens_Consumidos!$A$2:$A$200,A39,itens_Consumidos!$I$2:$I$200,"&lt;&gt;"),IF($C$3="C3",COUNTIFS(itens_Consumidos!$A$2:$A$200,A39,itens_Consumidos!$K$2:$K$200,"&lt;&gt;"),IF($C$3="C4",COUNTIFS(itens_Consumidos!$A$2:$A$200,A39,itens_Consumidos!$M$2:$M$200,"&lt;&gt;"),""))))))</f>
        <v/>
      </c>
      <c r="O39" t="str">
        <f>IF(itens_Remanesc!$A28="","",COUNTIFS(aditivos!$A$2:$A$200,itens_Remanesc!$A28,aditivos!$B$2:$B$200,"&lt;="&amp;$D$5,aditivos!$L$2:$L$200,"&gt;0"))</f>
        <v/>
      </c>
    </row>
    <row r="40" spans="1:15" ht="20" customHeight="1" x14ac:dyDescent="0.35">
      <c r="A40" s="416" t="str">
        <f>IF(itens_Remanesc!$A29="","",IF(NOT(posicao_contratual!$Z29),itens_Remanesc!$A29,IF(AND(ISNUMBER($D$5),$O40&gt;0),itens_Remanesc!$A29,"")))</f>
        <v/>
      </c>
      <c r="B40" s="417" t="str">
        <f>IF(A40="","",IF(AND(posicao_contratual!$Z29,COUNTIFS(aditivos!$A$2:$A$200,itens_Remanesc!$A29,aditivos!$B$2:$B$200,"&lt;"&amp;(INT($F$3)+1),aditivos!$L$2:$L$200,"&gt;0")=0),0,IF(ISNUMBER(IF($C$3="C0",posicao_contratual!$F29,IF($C$3="C1",posicao_contratual!$J29,IF($C$3="C2",posicao_contratual!$N29,IF($C$3="C3",posicao_contratual!$R29,IF($C$3="C4",posicao_contratual!$V29,"")))))),ROUND(IF($C$3="C0",posicao_contratual!$F29,IF($C$3="C1",posicao_contratual!$J29,IF($C$3="C2",posicao_contratual!$N29,IF($C$3="C3",posicao_contratual!$R29,IF($C$3="C4",posicao_contratual!$V29,"")))))+ROUND(SUMIFS(aditivos!$L$2:$L$200,aditivos!$A$2:$A$200,A40,aditivos!$C$2:$C$200,$C$3,aditivos!$B$2:$B$200,"&lt;"&amp;(INT($F$3)+1)),2),2),IF(ROUND(SUMIFS(aditivos!$L$2:$L$200,aditivos!$A$2:$A$200,A40,aditivos!$C$2:$C$200,$C$3,aditivos!$B$2:$B$200,"&lt;"&amp;(INT($F$3)+1)),2)&gt;0,ROUND(SUMIFS(aditivos!$L$2:$L$200,aditivos!$A$2:$A$200,A40,aditivos!$C$2:$C$200,$C$3,aditivos!$B$2:$B$200,"&lt;"&amp;(INT($F$3)+1)),2),""))))</f>
        <v/>
      </c>
      <c r="C40" s="418"/>
      <c r="D40" s="417" t="str">
        <f t="shared" si="0"/>
        <v/>
      </c>
      <c r="E40" s="419" t="str">
        <f>IF(A40="","",IF($C$3="C0",historico_VU!$C29,IF($C$3="C1",historico_VU!$D29,IF($C$3="C2",historico_VU!$E29,IF($C$3="C3",historico_VU!$F29,IF($C$3="C4",historico_VU!$G29,""))))))</f>
        <v/>
      </c>
      <c r="F40" s="419" t="str">
        <f t="shared" si="1"/>
        <v/>
      </c>
      <c r="G40" s="419" t="str">
        <f t="shared" si="2"/>
        <v/>
      </c>
      <c r="I40" t="str">
        <f>IF(OR(A40="",$D$5="",$F$3=""),"",ROUND(SUMIFS(aditivos!$L$2:$L$200,aditivos!$A$2:$A$200,A40,aditivos!$B$2:$B$200,"&gt;="&amp;(INT($F$3)+1),aditivos!$B$2:$B$200,"&lt;="&amp;$D$5),2))</f>
        <v/>
      </c>
      <c r="J40" t="str">
        <f t="shared" si="3"/>
        <v/>
      </c>
      <c r="K40" t="str">
        <f t="shared" si="4"/>
        <v/>
      </c>
      <c r="L40" t="str">
        <f>IF(A40="","",IF($C$3="C0",SUMIFS(itens_Consumidos!$E$2:$E$200,itens_Consumidos!$A$2:$A$200,A40),IF($C$3="C1",SUMIFS(itens_Consumidos!$G$2:$G$200,itens_Consumidos!$A$2:$A$200,A40),IF($C$3="C2",SUMIFS(itens_Consumidos!$I$2:$I$200,itens_Consumidos!$A$2:$A$200,A40),IF($C$3="C3",SUMIFS(itens_Consumidos!$K$2:$K$200,itens_Consumidos!$A$2:$A$200,A40),IF($C$3="C4",SUMIFS(itens_Consumidos!$M$2:$M$200,itens_Consumidos!$A$2:$A$200,A40),""))))))</f>
        <v/>
      </c>
      <c r="M40" t="str">
        <f t="shared" si="5"/>
        <v/>
      </c>
      <c r="N40" t="str">
        <f>IF(A40="","",IF($C$3="C0",COUNTIFS(itens_Consumidos!$A$2:$A$200,A40,itens_Consumidos!$E$2:$E$200,"&lt;&gt;"),IF($C$3="C1",COUNTIFS(itens_Consumidos!$A$2:$A$200,A40,itens_Consumidos!$G$2:$G$200,"&lt;&gt;"),IF($C$3="C2",COUNTIFS(itens_Consumidos!$A$2:$A$200,A40,itens_Consumidos!$I$2:$I$200,"&lt;&gt;"),IF($C$3="C3",COUNTIFS(itens_Consumidos!$A$2:$A$200,A40,itens_Consumidos!$K$2:$K$200,"&lt;&gt;"),IF($C$3="C4",COUNTIFS(itens_Consumidos!$A$2:$A$200,A40,itens_Consumidos!$M$2:$M$200,"&lt;&gt;"),""))))))</f>
        <v/>
      </c>
      <c r="O40" t="str">
        <f>IF(itens_Remanesc!$A29="","",COUNTIFS(aditivos!$A$2:$A$200,itens_Remanesc!$A29,aditivos!$B$2:$B$200,"&lt;="&amp;$D$5,aditivos!$L$2:$L$200,"&gt;0"))</f>
        <v/>
      </c>
    </row>
    <row r="41" spans="1:15" ht="20" customHeight="1" x14ac:dyDescent="0.35">
      <c r="A41" s="416" t="str">
        <f>IF(itens_Remanesc!$A30="","",IF(NOT(posicao_contratual!$Z30),itens_Remanesc!$A30,IF(AND(ISNUMBER($D$5),$O41&gt;0),itens_Remanesc!$A30,"")))</f>
        <v/>
      </c>
      <c r="B41" s="417" t="str">
        <f>IF(A41="","",IF(AND(posicao_contratual!$Z30,COUNTIFS(aditivos!$A$2:$A$200,itens_Remanesc!$A30,aditivos!$B$2:$B$200,"&lt;"&amp;(INT($F$3)+1),aditivos!$L$2:$L$200,"&gt;0")=0),0,IF(ISNUMBER(IF($C$3="C0",posicao_contratual!$F30,IF($C$3="C1",posicao_contratual!$J30,IF($C$3="C2",posicao_contratual!$N30,IF($C$3="C3",posicao_contratual!$R30,IF($C$3="C4",posicao_contratual!$V30,"")))))),ROUND(IF($C$3="C0",posicao_contratual!$F30,IF($C$3="C1",posicao_contratual!$J30,IF($C$3="C2",posicao_contratual!$N30,IF($C$3="C3",posicao_contratual!$R30,IF($C$3="C4",posicao_contratual!$V30,"")))))+ROUND(SUMIFS(aditivos!$L$2:$L$200,aditivos!$A$2:$A$200,A41,aditivos!$C$2:$C$200,$C$3,aditivos!$B$2:$B$200,"&lt;"&amp;(INT($F$3)+1)),2),2),IF(ROUND(SUMIFS(aditivos!$L$2:$L$200,aditivos!$A$2:$A$200,A41,aditivos!$C$2:$C$200,$C$3,aditivos!$B$2:$B$200,"&lt;"&amp;(INT($F$3)+1)),2)&gt;0,ROUND(SUMIFS(aditivos!$L$2:$L$200,aditivos!$A$2:$A$200,A41,aditivos!$C$2:$C$200,$C$3,aditivos!$B$2:$B$200,"&lt;"&amp;(INT($F$3)+1)),2),""))))</f>
        <v/>
      </c>
      <c r="C41" s="418"/>
      <c r="D41" s="417" t="str">
        <f t="shared" si="0"/>
        <v/>
      </c>
      <c r="E41" s="419" t="str">
        <f>IF(A41="","",IF($C$3="C0",historico_VU!$C30,IF($C$3="C1",historico_VU!$D30,IF($C$3="C2",historico_VU!$E30,IF($C$3="C3",historico_VU!$F30,IF($C$3="C4",historico_VU!$G30,""))))))</f>
        <v/>
      </c>
      <c r="F41" s="419" t="str">
        <f t="shared" si="1"/>
        <v/>
      </c>
      <c r="G41" s="419" t="str">
        <f t="shared" si="2"/>
        <v/>
      </c>
      <c r="I41" t="str">
        <f>IF(OR(A41="",$D$5="",$F$3=""),"",ROUND(SUMIFS(aditivos!$L$2:$L$200,aditivos!$A$2:$A$200,A41,aditivos!$B$2:$B$200,"&gt;="&amp;(INT($F$3)+1),aditivos!$B$2:$B$200,"&lt;="&amp;$D$5),2))</f>
        <v/>
      </c>
      <c r="J41" t="str">
        <f t="shared" si="3"/>
        <v/>
      </c>
      <c r="K41" t="str">
        <f t="shared" si="4"/>
        <v/>
      </c>
      <c r="L41" t="str">
        <f>IF(A41="","",IF($C$3="C0",SUMIFS(itens_Consumidos!$E$2:$E$200,itens_Consumidos!$A$2:$A$200,A41),IF($C$3="C1",SUMIFS(itens_Consumidos!$G$2:$G$200,itens_Consumidos!$A$2:$A$200,A41),IF($C$3="C2",SUMIFS(itens_Consumidos!$I$2:$I$200,itens_Consumidos!$A$2:$A$200,A41),IF($C$3="C3",SUMIFS(itens_Consumidos!$K$2:$K$200,itens_Consumidos!$A$2:$A$200,A41),IF($C$3="C4",SUMIFS(itens_Consumidos!$M$2:$M$200,itens_Consumidos!$A$2:$A$200,A41),""))))))</f>
        <v/>
      </c>
      <c r="M41" t="str">
        <f t="shared" si="5"/>
        <v/>
      </c>
      <c r="N41" t="str">
        <f>IF(A41="","",IF($C$3="C0",COUNTIFS(itens_Consumidos!$A$2:$A$200,A41,itens_Consumidos!$E$2:$E$200,"&lt;&gt;"),IF($C$3="C1",COUNTIFS(itens_Consumidos!$A$2:$A$200,A41,itens_Consumidos!$G$2:$G$200,"&lt;&gt;"),IF($C$3="C2",COUNTIFS(itens_Consumidos!$A$2:$A$200,A41,itens_Consumidos!$I$2:$I$200,"&lt;&gt;"),IF($C$3="C3",COUNTIFS(itens_Consumidos!$A$2:$A$200,A41,itens_Consumidos!$K$2:$K$200,"&lt;&gt;"),IF($C$3="C4",COUNTIFS(itens_Consumidos!$A$2:$A$200,A41,itens_Consumidos!$M$2:$M$200,"&lt;&gt;"),""))))))</f>
        <v/>
      </c>
      <c r="O41" t="str">
        <f>IF(itens_Remanesc!$A30="","",COUNTIFS(aditivos!$A$2:$A$200,itens_Remanesc!$A30,aditivos!$B$2:$B$200,"&lt;="&amp;$D$5,aditivos!$L$2:$L$200,"&gt;0"))</f>
        <v/>
      </c>
    </row>
    <row r="42" spans="1:15" ht="20" customHeight="1" x14ac:dyDescent="0.35">
      <c r="A42" s="416" t="str">
        <f>IF(itens_Remanesc!$A31="","",IF(NOT(posicao_contratual!$Z31),itens_Remanesc!$A31,IF(AND(ISNUMBER($D$5),$O42&gt;0),itens_Remanesc!$A31,"")))</f>
        <v/>
      </c>
      <c r="B42" s="417" t="str">
        <f>IF(A42="","",IF(AND(posicao_contratual!$Z31,COUNTIFS(aditivos!$A$2:$A$200,itens_Remanesc!$A31,aditivos!$B$2:$B$200,"&lt;"&amp;(INT($F$3)+1),aditivos!$L$2:$L$200,"&gt;0")=0),0,IF(ISNUMBER(IF($C$3="C0",posicao_contratual!$F31,IF($C$3="C1",posicao_contratual!$J31,IF($C$3="C2",posicao_contratual!$N31,IF($C$3="C3",posicao_contratual!$R31,IF($C$3="C4",posicao_contratual!$V31,"")))))),ROUND(IF($C$3="C0",posicao_contratual!$F31,IF($C$3="C1",posicao_contratual!$J31,IF($C$3="C2",posicao_contratual!$N31,IF($C$3="C3",posicao_contratual!$R31,IF($C$3="C4",posicao_contratual!$V31,"")))))+ROUND(SUMIFS(aditivos!$L$2:$L$200,aditivos!$A$2:$A$200,A42,aditivos!$C$2:$C$200,$C$3,aditivos!$B$2:$B$200,"&lt;"&amp;(INT($F$3)+1)),2),2),IF(ROUND(SUMIFS(aditivos!$L$2:$L$200,aditivos!$A$2:$A$200,A42,aditivos!$C$2:$C$200,$C$3,aditivos!$B$2:$B$200,"&lt;"&amp;(INT($F$3)+1)),2)&gt;0,ROUND(SUMIFS(aditivos!$L$2:$L$200,aditivos!$A$2:$A$200,A42,aditivos!$C$2:$C$200,$C$3,aditivos!$B$2:$B$200,"&lt;"&amp;(INT($F$3)+1)),2),""))))</f>
        <v/>
      </c>
      <c r="C42" s="418"/>
      <c r="D42" s="417" t="str">
        <f t="shared" si="0"/>
        <v/>
      </c>
      <c r="E42" s="419" t="str">
        <f>IF(A42="","",IF($C$3="C0",historico_VU!$C31,IF($C$3="C1",historico_VU!$D31,IF($C$3="C2",historico_VU!$E31,IF($C$3="C3",historico_VU!$F31,IF($C$3="C4",historico_VU!$G31,""))))))</f>
        <v/>
      </c>
      <c r="F42" s="419" t="str">
        <f t="shared" si="1"/>
        <v/>
      </c>
      <c r="G42" s="419" t="str">
        <f t="shared" si="2"/>
        <v/>
      </c>
      <c r="I42" t="str">
        <f>IF(OR(A42="",$D$5="",$F$3=""),"",ROUND(SUMIFS(aditivos!$L$2:$L$200,aditivos!$A$2:$A$200,A42,aditivos!$B$2:$B$200,"&gt;="&amp;(INT($F$3)+1),aditivos!$B$2:$B$200,"&lt;="&amp;$D$5),2))</f>
        <v/>
      </c>
      <c r="J42" t="str">
        <f t="shared" si="3"/>
        <v/>
      </c>
      <c r="K42" t="str">
        <f t="shared" si="4"/>
        <v/>
      </c>
      <c r="L42" t="str">
        <f>IF(A42="","",IF($C$3="C0",SUMIFS(itens_Consumidos!$E$2:$E$200,itens_Consumidos!$A$2:$A$200,A42),IF($C$3="C1",SUMIFS(itens_Consumidos!$G$2:$G$200,itens_Consumidos!$A$2:$A$200,A42),IF($C$3="C2",SUMIFS(itens_Consumidos!$I$2:$I$200,itens_Consumidos!$A$2:$A$200,A42),IF($C$3="C3",SUMIFS(itens_Consumidos!$K$2:$K$200,itens_Consumidos!$A$2:$A$200,A42),IF($C$3="C4",SUMIFS(itens_Consumidos!$M$2:$M$200,itens_Consumidos!$A$2:$A$200,A42),""))))))</f>
        <v/>
      </c>
      <c r="M42" t="str">
        <f t="shared" si="5"/>
        <v/>
      </c>
      <c r="N42" t="str">
        <f>IF(A42="","",IF($C$3="C0",COUNTIFS(itens_Consumidos!$A$2:$A$200,A42,itens_Consumidos!$E$2:$E$200,"&lt;&gt;"),IF($C$3="C1",COUNTIFS(itens_Consumidos!$A$2:$A$200,A42,itens_Consumidos!$G$2:$G$200,"&lt;&gt;"),IF($C$3="C2",COUNTIFS(itens_Consumidos!$A$2:$A$200,A42,itens_Consumidos!$I$2:$I$200,"&lt;&gt;"),IF($C$3="C3",COUNTIFS(itens_Consumidos!$A$2:$A$200,A42,itens_Consumidos!$K$2:$K$200,"&lt;&gt;"),IF($C$3="C4",COUNTIFS(itens_Consumidos!$A$2:$A$200,A42,itens_Consumidos!$M$2:$M$200,"&lt;&gt;"),""))))))</f>
        <v/>
      </c>
      <c r="O42" t="str">
        <f>IF(itens_Remanesc!$A31="","",COUNTIFS(aditivos!$A$2:$A$200,itens_Remanesc!$A31,aditivos!$B$2:$B$200,"&lt;="&amp;$D$5,aditivos!$L$2:$L$200,"&gt;0"))</f>
        <v/>
      </c>
    </row>
    <row r="43" spans="1:15" ht="20" customHeight="1" x14ac:dyDescent="0.35">
      <c r="A43" s="416" t="str">
        <f>IF(itens_Remanesc!$A32="","",IF(NOT(posicao_contratual!$Z32),itens_Remanesc!$A32,IF(AND(ISNUMBER($D$5),$O43&gt;0),itens_Remanesc!$A32,"")))</f>
        <v/>
      </c>
      <c r="B43" s="417" t="str">
        <f>IF(A43="","",IF(AND(posicao_contratual!$Z32,COUNTIFS(aditivos!$A$2:$A$200,itens_Remanesc!$A32,aditivos!$B$2:$B$200,"&lt;"&amp;(INT($F$3)+1),aditivos!$L$2:$L$200,"&gt;0")=0),0,IF(ISNUMBER(IF($C$3="C0",posicao_contratual!$F32,IF($C$3="C1",posicao_contratual!$J32,IF($C$3="C2",posicao_contratual!$N32,IF($C$3="C3",posicao_contratual!$R32,IF($C$3="C4",posicao_contratual!$V32,"")))))),ROUND(IF($C$3="C0",posicao_contratual!$F32,IF($C$3="C1",posicao_contratual!$J32,IF($C$3="C2",posicao_contratual!$N32,IF($C$3="C3",posicao_contratual!$R32,IF($C$3="C4",posicao_contratual!$V32,"")))))+ROUND(SUMIFS(aditivos!$L$2:$L$200,aditivos!$A$2:$A$200,A43,aditivos!$C$2:$C$200,$C$3,aditivos!$B$2:$B$200,"&lt;"&amp;(INT($F$3)+1)),2),2),IF(ROUND(SUMIFS(aditivos!$L$2:$L$200,aditivos!$A$2:$A$200,A43,aditivos!$C$2:$C$200,$C$3,aditivos!$B$2:$B$200,"&lt;"&amp;(INT($F$3)+1)),2)&gt;0,ROUND(SUMIFS(aditivos!$L$2:$L$200,aditivos!$A$2:$A$200,A43,aditivos!$C$2:$C$200,$C$3,aditivos!$B$2:$B$200,"&lt;"&amp;(INT($F$3)+1)),2),""))))</f>
        <v/>
      </c>
      <c r="C43" s="418"/>
      <c r="D43" s="417" t="str">
        <f t="shared" si="0"/>
        <v/>
      </c>
      <c r="E43" s="419" t="str">
        <f>IF(A43="","",IF($C$3="C0",historico_VU!$C32,IF($C$3="C1",historico_VU!$D32,IF($C$3="C2",historico_VU!$E32,IF($C$3="C3",historico_VU!$F32,IF($C$3="C4",historico_VU!$G32,""))))))</f>
        <v/>
      </c>
      <c r="F43" s="419" t="str">
        <f t="shared" si="1"/>
        <v/>
      </c>
      <c r="G43" s="419" t="str">
        <f t="shared" si="2"/>
        <v/>
      </c>
      <c r="I43" t="str">
        <f>IF(OR(A43="",$D$5="",$F$3=""),"",ROUND(SUMIFS(aditivos!$L$2:$L$200,aditivos!$A$2:$A$200,A43,aditivos!$B$2:$B$200,"&gt;="&amp;(INT($F$3)+1),aditivos!$B$2:$B$200,"&lt;="&amp;$D$5),2))</f>
        <v/>
      </c>
      <c r="J43" t="str">
        <f t="shared" si="3"/>
        <v/>
      </c>
      <c r="K43" t="str">
        <f t="shared" si="4"/>
        <v/>
      </c>
      <c r="L43" t="str">
        <f>IF(A43="","",IF($C$3="C0",SUMIFS(itens_Consumidos!$E$2:$E$200,itens_Consumidos!$A$2:$A$200,A43),IF($C$3="C1",SUMIFS(itens_Consumidos!$G$2:$G$200,itens_Consumidos!$A$2:$A$200,A43),IF($C$3="C2",SUMIFS(itens_Consumidos!$I$2:$I$200,itens_Consumidos!$A$2:$A$200,A43),IF($C$3="C3",SUMIFS(itens_Consumidos!$K$2:$K$200,itens_Consumidos!$A$2:$A$200,A43),IF($C$3="C4",SUMIFS(itens_Consumidos!$M$2:$M$200,itens_Consumidos!$A$2:$A$200,A43),""))))))</f>
        <v/>
      </c>
      <c r="M43" t="str">
        <f t="shared" si="5"/>
        <v/>
      </c>
      <c r="N43" t="str">
        <f>IF(A43="","",IF($C$3="C0",COUNTIFS(itens_Consumidos!$A$2:$A$200,A43,itens_Consumidos!$E$2:$E$200,"&lt;&gt;"),IF($C$3="C1",COUNTIFS(itens_Consumidos!$A$2:$A$200,A43,itens_Consumidos!$G$2:$G$200,"&lt;&gt;"),IF($C$3="C2",COUNTIFS(itens_Consumidos!$A$2:$A$200,A43,itens_Consumidos!$I$2:$I$200,"&lt;&gt;"),IF($C$3="C3",COUNTIFS(itens_Consumidos!$A$2:$A$200,A43,itens_Consumidos!$K$2:$K$200,"&lt;&gt;"),IF($C$3="C4",COUNTIFS(itens_Consumidos!$A$2:$A$200,A43,itens_Consumidos!$M$2:$M$200,"&lt;&gt;"),""))))))</f>
        <v/>
      </c>
      <c r="O43" t="str">
        <f>IF(itens_Remanesc!$A32="","",COUNTIFS(aditivos!$A$2:$A$200,itens_Remanesc!$A32,aditivos!$B$2:$B$200,"&lt;="&amp;$D$5,aditivos!$L$2:$L$200,"&gt;0"))</f>
        <v/>
      </c>
    </row>
    <row r="44" spans="1:15" ht="20" customHeight="1" x14ac:dyDescent="0.35">
      <c r="A44" s="416" t="str">
        <f>IF(itens_Remanesc!$A33="","",IF(NOT(posicao_contratual!$Z33),itens_Remanesc!$A33,IF(AND(ISNUMBER($D$5),$O44&gt;0),itens_Remanesc!$A33,"")))</f>
        <v/>
      </c>
      <c r="B44" s="417" t="str">
        <f>IF(A44="","",IF(AND(posicao_contratual!$Z33,COUNTIFS(aditivos!$A$2:$A$200,itens_Remanesc!$A33,aditivos!$B$2:$B$200,"&lt;"&amp;(INT($F$3)+1),aditivos!$L$2:$L$200,"&gt;0")=0),0,IF(ISNUMBER(IF($C$3="C0",posicao_contratual!$F33,IF($C$3="C1",posicao_contratual!$J33,IF($C$3="C2",posicao_contratual!$N33,IF($C$3="C3",posicao_contratual!$R33,IF($C$3="C4",posicao_contratual!$V33,"")))))),ROUND(IF($C$3="C0",posicao_contratual!$F33,IF($C$3="C1",posicao_contratual!$J33,IF($C$3="C2",posicao_contratual!$N33,IF($C$3="C3",posicao_contratual!$R33,IF($C$3="C4",posicao_contratual!$V33,"")))))+ROUND(SUMIFS(aditivos!$L$2:$L$200,aditivos!$A$2:$A$200,A44,aditivos!$C$2:$C$200,$C$3,aditivos!$B$2:$B$200,"&lt;"&amp;(INT($F$3)+1)),2),2),IF(ROUND(SUMIFS(aditivos!$L$2:$L$200,aditivos!$A$2:$A$200,A44,aditivos!$C$2:$C$200,$C$3,aditivos!$B$2:$B$200,"&lt;"&amp;(INT($F$3)+1)),2)&gt;0,ROUND(SUMIFS(aditivos!$L$2:$L$200,aditivos!$A$2:$A$200,A44,aditivos!$C$2:$C$200,$C$3,aditivos!$B$2:$B$200,"&lt;"&amp;(INT($F$3)+1)),2),""))))</f>
        <v/>
      </c>
      <c r="C44" s="418"/>
      <c r="D44" s="417" t="str">
        <f t="shared" si="0"/>
        <v/>
      </c>
      <c r="E44" s="419" t="str">
        <f>IF(A44="","",IF($C$3="C0",historico_VU!$C33,IF($C$3="C1",historico_VU!$D33,IF($C$3="C2",historico_VU!$E33,IF($C$3="C3",historico_VU!$F33,IF($C$3="C4",historico_VU!$G33,""))))))</f>
        <v/>
      </c>
      <c r="F44" s="419" t="str">
        <f t="shared" si="1"/>
        <v/>
      </c>
      <c r="G44" s="419" t="str">
        <f t="shared" si="2"/>
        <v/>
      </c>
      <c r="I44" t="str">
        <f>IF(OR(A44="",$D$5="",$F$3=""),"",ROUND(SUMIFS(aditivos!$L$2:$L$200,aditivos!$A$2:$A$200,A44,aditivos!$B$2:$B$200,"&gt;="&amp;(INT($F$3)+1),aditivos!$B$2:$B$200,"&lt;="&amp;$D$5),2))</f>
        <v/>
      </c>
      <c r="J44" t="str">
        <f t="shared" si="3"/>
        <v/>
      </c>
      <c r="K44" t="str">
        <f t="shared" si="4"/>
        <v/>
      </c>
      <c r="L44" t="str">
        <f>IF(A44="","",IF($C$3="C0",SUMIFS(itens_Consumidos!$E$2:$E$200,itens_Consumidos!$A$2:$A$200,A44),IF($C$3="C1",SUMIFS(itens_Consumidos!$G$2:$G$200,itens_Consumidos!$A$2:$A$200,A44),IF($C$3="C2",SUMIFS(itens_Consumidos!$I$2:$I$200,itens_Consumidos!$A$2:$A$200,A44),IF($C$3="C3",SUMIFS(itens_Consumidos!$K$2:$K$200,itens_Consumidos!$A$2:$A$200,A44),IF($C$3="C4",SUMIFS(itens_Consumidos!$M$2:$M$200,itens_Consumidos!$A$2:$A$200,A44),""))))))</f>
        <v/>
      </c>
      <c r="M44" t="str">
        <f t="shared" si="5"/>
        <v/>
      </c>
      <c r="N44" t="str">
        <f>IF(A44="","",IF($C$3="C0",COUNTIFS(itens_Consumidos!$A$2:$A$200,A44,itens_Consumidos!$E$2:$E$200,"&lt;&gt;"),IF($C$3="C1",COUNTIFS(itens_Consumidos!$A$2:$A$200,A44,itens_Consumidos!$G$2:$G$200,"&lt;&gt;"),IF($C$3="C2",COUNTIFS(itens_Consumidos!$A$2:$A$200,A44,itens_Consumidos!$I$2:$I$200,"&lt;&gt;"),IF($C$3="C3",COUNTIFS(itens_Consumidos!$A$2:$A$200,A44,itens_Consumidos!$K$2:$K$200,"&lt;&gt;"),IF($C$3="C4",COUNTIFS(itens_Consumidos!$A$2:$A$200,A44,itens_Consumidos!$M$2:$M$200,"&lt;&gt;"),""))))))</f>
        <v/>
      </c>
      <c r="O44" t="str">
        <f>IF(itens_Remanesc!$A33="","",COUNTIFS(aditivos!$A$2:$A$200,itens_Remanesc!$A33,aditivos!$B$2:$B$200,"&lt;="&amp;$D$5,aditivos!$L$2:$L$200,"&gt;0"))</f>
        <v/>
      </c>
    </row>
    <row r="45" spans="1:15" ht="20" customHeight="1" x14ac:dyDescent="0.35">
      <c r="A45" s="416" t="str">
        <f>IF(itens_Remanesc!$A34="","",IF(NOT(posicao_contratual!$Z34),itens_Remanesc!$A34,IF(AND(ISNUMBER($D$5),$O45&gt;0),itens_Remanesc!$A34,"")))</f>
        <v/>
      </c>
      <c r="B45" s="417" t="str">
        <f>IF(A45="","",IF(AND(posicao_contratual!$Z34,COUNTIFS(aditivos!$A$2:$A$200,itens_Remanesc!$A34,aditivos!$B$2:$B$200,"&lt;"&amp;(INT($F$3)+1),aditivos!$L$2:$L$200,"&gt;0")=0),0,IF(ISNUMBER(IF($C$3="C0",posicao_contratual!$F34,IF($C$3="C1",posicao_contratual!$J34,IF($C$3="C2",posicao_contratual!$N34,IF($C$3="C3",posicao_contratual!$R34,IF($C$3="C4",posicao_contratual!$V34,"")))))),ROUND(IF($C$3="C0",posicao_contratual!$F34,IF($C$3="C1",posicao_contratual!$J34,IF($C$3="C2",posicao_contratual!$N34,IF($C$3="C3",posicao_contratual!$R34,IF($C$3="C4",posicao_contratual!$V34,"")))))+ROUND(SUMIFS(aditivos!$L$2:$L$200,aditivos!$A$2:$A$200,A45,aditivos!$C$2:$C$200,$C$3,aditivos!$B$2:$B$200,"&lt;"&amp;(INT($F$3)+1)),2),2),IF(ROUND(SUMIFS(aditivos!$L$2:$L$200,aditivos!$A$2:$A$200,A45,aditivos!$C$2:$C$200,$C$3,aditivos!$B$2:$B$200,"&lt;"&amp;(INT($F$3)+1)),2)&gt;0,ROUND(SUMIFS(aditivos!$L$2:$L$200,aditivos!$A$2:$A$200,A45,aditivos!$C$2:$C$200,$C$3,aditivos!$B$2:$B$200,"&lt;"&amp;(INT($F$3)+1)),2),""))))</f>
        <v/>
      </c>
      <c r="C45" s="418"/>
      <c r="D45" s="417" t="str">
        <f t="shared" ref="D45:D76" si="6">IF(OR(A45="",$D$5="",C45=""),"",ROUND(B45+I45-C45,2))</f>
        <v/>
      </c>
      <c r="E45" s="419" t="str">
        <f>IF(A45="","",IF($C$3="C0",historico_VU!$C34,IF($C$3="C1",historico_VU!$D34,IF($C$3="C2",historico_VU!$E34,IF($C$3="C3",historico_VU!$F34,IF($C$3="C4",historico_VU!$G34,""))))))</f>
        <v/>
      </c>
      <c r="F45" s="419" t="str">
        <f t="shared" ref="F45:F76" si="7">IF(OR(D45="",E45=""),"",ROUND(D45*E45,2))</f>
        <v/>
      </c>
      <c r="G45" s="419" t="str">
        <f t="shared" ref="G45:G76" si="8">IF(OR(C45="",E45=""),"",ROUND(C45*E45,2))</f>
        <v/>
      </c>
      <c r="I45" t="str">
        <f>IF(OR(A45="",$D$5="",$F$3=""),"",ROUND(SUMIFS(aditivos!$L$2:$L$200,aditivos!$A$2:$A$200,A45,aditivos!$B$2:$B$200,"&gt;="&amp;(INT($F$3)+1),aditivos!$B$2:$B$200,"&lt;="&amp;$D$5),2))</f>
        <v/>
      </c>
      <c r="J45" t="str">
        <f t="shared" ref="J45:J76" si="9">IF(OR(A45="",D45="",C45="",I45=""),"",ROUND(B45+I45-D45-C45,2))</f>
        <v/>
      </c>
      <c r="K45" t="str">
        <f t="shared" ref="K45:K76" si="10">IF(A45="","",IF(OR(NOT(ISNUMBER($D$5)),NOT(ISNUMBER($F$3)),NOT(ISNUMBER($H$3)),$D$5&lt;$F$3,$D$5&gt;$H$3),"ERRO: DATA FORA DO CICLO",IF(COUNTIF($A$13:$A$211,A45)&gt;1,"ERRO: ITEM DUPLICADO",IF(NOT(ISNUMBER(B45)),"INCOMPLETO: REMANESCENTE INICIAL",IF(C45="","INCOMPLETO: QTD ATUAL",IF(OR(NOT(ISNUMBER(C45)),C45&lt;0),"ERRO: QTD INVALIDA",IF(NOT(ISNUMBER(I45)),"INCOMPLETO: ADITIVOS",IF(C45&gt;B45+I45,"ERRO: REMANESCENTE SUPERA DISPONIVEL",IF(D45&lt;0,"ERRO: CONSUMO NEGATIVO",IF(NOT(ISNUMBER(E45)),"INCOMPLETO: VU",IF(ABS(J45)&gt;0.005,"ERRO: CHECK FISICO","OK")))))))))))</f>
        <v/>
      </c>
      <c r="L45" t="str">
        <f>IF(A45="","",IF($C$3="C0",SUMIFS(itens_Consumidos!$E$2:$E$200,itens_Consumidos!$A$2:$A$200,A45),IF($C$3="C1",SUMIFS(itens_Consumidos!$G$2:$G$200,itens_Consumidos!$A$2:$A$200,A45),IF($C$3="C2",SUMIFS(itens_Consumidos!$I$2:$I$200,itens_Consumidos!$A$2:$A$200,A45),IF($C$3="C3",SUMIFS(itens_Consumidos!$K$2:$K$200,itens_Consumidos!$A$2:$A$200,A45),IF($C$3="C4",SUMIFS(itens_Consumidos!$M$2:$M$200,itens_Consumidos!$A$2:$A$200,A45),""))))))</f>
        <v/>
      </c>
      <c r="M45" t="str">
        <f t="shared" ref="M45:M76" si="11">IF(OR(A45="",D45="",N45=0),"",ROUND(D45-L45,2))</f>
        <v/>
      </c>
      <c r="N45" t="str">
        <f>IF(A45="","",IF($C$3="C0",COUNTIFS(itens_Consumidos!$A$2:$A$200,A45,itens_Consumidos!$E$2:$E$200,"&lt;&gt;"),IF($C$3="C1",COUNTIFS(itens_Consumidos!$A$2:$A$200,A45,itens_Consumidos!$G$2:$G$200,"&lt;&gt;"),IF($C$3="C2",COUNTIFS(itens_Consumidos!$A$2:$A$200,A45,itens_Consumidos!$I$2:$I$200,"&lt;&gt;"),IF($C$3="C3",COUNTIFS(itens_Consumidos!$A$2:$A$200,A45,itens_Consumidos!$K$2:$K$200,"&lt;&gt;"),IF($C$3="C4",COUNTIFS(itens_Consumidos!$A$2:$A$200,A45,itens_Consumidos!$M$2:$M$200,"&lt;&gt;"),""))))))</f>
        <v/>
      </c>
      <c r="O45" t="str">
        <f>IF(itens_Remanesc!$A34="","",COUNTIFS(aditivos!$A$2:$A$200,itens_Remanesc!$A34,aditivos!$B$2:$B$200,"&lt;="&amp;$D$5,aditivos!$L$2:$L$200,"&gt;0"))</f>
        <v/>
      </c>
    </row>
    <row r="46" spans="1:15" ht="20" customHeight="1" x14ac:dyDescent="0.35">
      <c r="A46" s="416" t="str">
        <f>IF(itens_Remanesc!$A35="","",IF(NOT(posicao_contratual!$Z35),itens_Remanesc!$A35,IF(AND(ISNUMBER($D$5),$O46&gt;0),itens_Remanesc!$A35,"")))</f>
        <v/>
      </c>
      <c r="B46" s="417" t="str">
        <f>IF(A46="","",IF(AND(posicao_contratual!$Z35,COUNTIFS(aditivos!$A$2:$A$200,itens_Remanesc!$A35,aditivos!$B$2:$B$200,"&lt;"&amp;(INT($F$3)+1),aditivos!$L$2:$L$200,"&gt;0")=0),0,IF(ISNUMBER(IF($C$3="C0",posicao_contratual!$F35,IF($C$3="C1",posicao_contratual!$J35,IF($C$3="C2",posicao_contratual!$N35,IF($C$3="C3",posicao_contratual!$R35,IF($C$3="C4",posicao_contratual!$V35,"")))))),ROUND(IF($C$3="C0",posicao_contratual!$F35,IF($C$3="C1",posicao_contratual!$J35,IF($C$3="C2",posicao_contratual!$N35,IF($C$3="C3",posicao_contratual!$R35,IF($C$3="C4",posicao_contratual!$V35,"")))))+ROUND(SUMIFS(aditivos!$L$2:$L$200,aditivos!$A$2:$A$200,A46,aditivos!$C$2:$C$200,$C$3,aditivos!$B$2:$B$200,"&lt;"&amp;(INT($F$3)+1)),2),2),IF(ROUND(SUMIFS(aditivos!$L$2:$L$200,aditivos!$A$2:$A$200,A46,aditivos!$C$2:$C$200,$C$3,aditivos!$B$2:$B$200,"&lt;"&amp;(INT($F$3)+1)),2)&gt;0,ROUND(SUMIFS(aditivos!$L$2:$L$200,aditivos!$A$2:$A$200,A46,aditivos!$C$2:$C$200,$C$3,aditivos!$B$2:$B$200,"&lt;"&amp;(INT($F$3)+1)),2),""))))</f>
        <v/>
      </c>
      <c r="C46" s="418"/>
      <c r="D46" s="417" t="str">
        <f t="shared" si="6"/>
        <v/>
      </c>
      <c r="E46" s="419" t="str">
        <f>IF(A46="","",IF($C$3="C0",historico_VU!$C35,IF($C$3="C1",historico_VU!$D35,IF($C$3="C2",historico_VU!$E35,IF($C$3="C3",historico_VU!$F35,IF($C$3="C4",historico_VU!$G35,""))))))</f>
        <v/>
      </c>
      <c r="F46" s="419" t="str">
        <f t="shared" si="7"/>
        <v/>
      </c>
      <c r="G46" s="419" t="str">
        <f t="shared" si="8"/>
        <v/>
      </c>
      <c r="I46" t="str">
        <f>IF(OR(A46="",$D$5="",$F$3=""),"",ROUND(SUMIFS(aditivos!$L$2:$L$200,aditivos!$A$2:$A$200,A46,aditivos!$B$2:$B$200,"&gt;="&amp;(INT($F$3)+1),aditivos!$B$2:$B$200,"&lt;="&amp;$D$5),2))</f>
        <v/>
      </c>
      <c r="J46" t="str">
        <f t="shared" si="9"/>
        <v/>
      </c>
      <c r="K46" t="str">
        <f t="shared" si="10"/>
        <v/>
      </c>
      <c r="L46" t="str">
        <f>IF(A46="","",IF($C$3="C0",SUMIFS(itens_Consumidos!$E$2:$E$200,itens_Consumidos!$A$2:$A$200,A46),IF($C$3="C1",SUMIFS(itens_Consumidos!$G$2:$G$200,itens_Consumidos!$A$2:$A$200,A46),IF($C$3="C2",SUMIFS(itens_Consumidos!$I$2:$I$200,itens_Consumidos!$A$2:$A$200,A46),IF($C$3="C3",SUMIFS(itens_Consumidos!$K$2:$K$200,itens_Consumidos!$A$2:$A$200,A46),IF($C$3="C4",SUMIFS(itens_Consumidos!$M$2:$M$200,itens_Consumidos!$A$2:$A$200,A46),""))))))</f>
        <v/>
      </c>
      <c r="M46" t="str">
        <f t="shared" si="11"/>
        <v/>
      </c>
      <c r="N46" t="str">
        <f>IF(A46="","",IF($C$3="C0",COUNTIFS(itens_Consumidos!$A$2:$A$200,A46,itens_Consumidos!$E$2:$E$200,"&lt;&gt;"),IF($C$3="C1",COUNTIFS(itens_Consumidos!$A$2:$A$200,A46,itens_Consumidos!$G$2:$G$200,"&lt;&gt;"),IF($C$3="C2",COUNTIFS(itens_Consumidos!$A$2:$A$200,A46,itens_Consumidos!$I$2:$I$200,"&lt;&gt;"),IF($C$3="C3",COUNTIFS(itens_Consumidos!$A$2:$A$200,A46,itens_Consumidos!$K$2:$K$200,"&lt;&gt;"),IF($C$3="C4",COUNTIFS(itens_Consumidos!$A$2:$A$200,A46,itens_Consumidos!$M$2:$M$200,"&lt;&gt;"),""))))))</f>
        <v/>
      </c>
      <c r="O46" t="str">
        <f>IF(itens_Remanesc!$A35="","",COUNTIFS(aditivos!$A$2:$A$200,itens_Remanesc!$A35,aditivos!$B$2:$B$200,"&lt;="&amp;$D$5,aditivos!$L$2:$L$200,"&gt;0"))</f>
        <v/>
      </c>
    </row>
    <row r="47" spans="1:15" ht="20" customHeight="1" x14ac:dyDescent="0.35">
      <c r="A47" s="416" t="str">
        <f>IF(itens_Remanesc!$A36="","",IF(NOT(posicao_contratual!$Z36),itens_Remanesc!$A36,IF(AND(ISNUMBER($D$5),$O47&gt;0),itens_Remanesc!$A36,"")))</f>
        <v/>
      </c>
      <c r="B47" s="417" t="str">
        <f>IF(A47="","",IF(AND(posicao_contratual!$Z36,COUNTIFS(aditivos!$A$2:$A$200,itens_Remanesc!$A36,aditivos!$B$2:$B$200,"&lt;"&amp;(INT($F$3)+1),aditivos!$L$2:$L$200,"&gt;0")=0),0,IF(ISNUMBER(IF($C$3="C0",posicao_contratual!$F36,IF($C$3="C1",posicao_contratual!$J36,IF($C$3="C2",posicao_contratual!$N36,IF($C$3="C3",posicao_contratual!$R36,IF($C$3="C4",posicao_contratual!$V36,"")))))),ROUND(IF($C$3="C0",posicao_contratual!$F36,IF($C$3="C1",posicao_contratual!$J36,IF($C$3="C2",posicao_contratual!$N36,IF($C$3="C3",posicao_contratual!$R36,IF($C$3="C4",posicao_contratual!$V36,"")))))+ROUND(SUMIFS(aditivos!$L$2:$L$200,aditivos!$A$2:$A$200,A47,aditivos!$C$2:$C$200,$C$3,aditivos!$B$2:$B$200,"&lt;"&amp;(INT($F$3)+1)),2),2),IF(ROUND(SUMIFS(aditivos!$L$2:$L$200,aditivos!$A$2:$A$200,A47,aditivos!$C$2:$C$200,$C$3,aditivos!$B$2:$B$200,"&lt;"&amp;(INT($F$3)+1)),2)&gt;0,ROUND(SUMIFS(aditivos!$L$2:$L$200,aditivos!$A$2:$A$200,A47,aditivos!$C$2:$C$200,$C$3,aditivos!$B$2:$B$200,"&lt;"&amp;(INT($F$3)+1)),2),""))))</f>
        <v/>
      </c>
      <c r="C47" s="418"/>
      <c r="D47" s="417" t="str">
        <f t="shared" si="6"/>
        <v/>
      </c>
      <c r="E47" s="419" t="str">
        <f>IF(A47="","",IF($C$3="C0",historico_VU!$C36,IF($C$3="C1",historico_VU!$D36,IF($C$3="C2",historico_VU!$E36,IF($C$3="C3",historico_VU!$F36,IF($C$3="C4",historico_VU!$G36,""))))))</f>
        <v/>
      </c>
      <c r="F47" s="419" t="str">
        <f t="shared" si="7"/>
        <v/>
      </c>
      <c r="G47" s="419" t="str">
        <f t="shared" si="8"/>
        <v/>
      </c>
      <c r="I47" t="str">
        <f>IF(OR(A47="",$D$5="",$F$3=""),"",ROUND(SUMIFS(aditivos!$L$2:$L$200,aditivos!$A$2:$A$200,A47,aditivos!$B$2:$B$200,"&gt;="&amp;(INT($F$3)+1),aditivos!$B$2:$B$200,"&lt;="&amp;$D$5),2))</f>
        <v/>
      </c>
      <c r="J47" t="str">
        <f t="shared" si="9"/>
        <v/>
      </c>
      <c r="K47" t="str">
        <f t="shared" si="10"/>
        <v/>
      </c>
      <c r="L47" t="str">
        <f>IF(A47="","",IF($C$3="C0",SUMIFS(itens_Consumidos!$E$2:$E$200,itens_Consumidos!$A$2:$A$200,A47),IF($C$3="C1",SUMIFS(itens_Consumidos!$G$2:$G$200,itens_Consumidos!$A$2:$A$200,A47),IF($C$3="C2",SUMIFS(itens_Consumidos!$I$2:$I$200,itens_Consumidos!$A$2:$A$200,A47),IF($C$3="C3",SUMIFS(itens_Consumidos!$K$2:$K$200,itens_Consumidos!$A$2:$A$200,A47),IF($C$3="C4",SUMIFS(itens_Consumidos!$M$2:$M$200,itens_Consumidos!$A$2:$A$200,A47),""))))))</f>
        <v/>
      </c>
      <c r="M47" t="str">
        <f t="shared" si="11"/>
        <v/>
      </c>
      <c r="N47" t="str">
        <f>IF(A47="","",IF($C$3="C0",COUNTIFS(itens_Consumidos!$A$2:$A$200,A47,itens_Consumidos!$E$2:$E$200,"&lt;&gt;"),IF($C$3="C1",COUNTIFS(itens_Consumidos!$A$2:$A$200,A47,itens_Consumidos!$G$2:$G$200,"&lt;&gt;"),IF($C$3="C2",COUNTIFS(itens_Consumidos!$A$2:$A$200,A47,itens_Consumidos!$I$2:$I$200,"&lt;&gt;"),IF($C$3="C3",COUNTIFS(itens_Consumidos!$A$2:$A$200,A47,itens_Consumidos!$K$2:$K$200,"&lt;&gt;"),IF($C$3="C4",COUNTIFS(itens_Consumidos!$A$2:$A$200,A47,itens_Consumidos!$M$2:$M$200,"&lt;&gt;"),""))))))</f>
        <v/>
      </c>
      <c r="O47" t="str">
        <f>IF(itens_Remanesc!$A36="","",COUNTIFS(aditivos!$A$2:$A$200,itens_Remanesc!$A36,aditivos!$B$2:$B$200,"&lt;="&amp;$D$5,aditivos!$L$2:$L$200,"&gt;0"))</f>
        <v/>
      </c>
    </row>
    <row r="48" spans="1:15" ht="20" customHeight="1" x14ac:dyDescent="0.35">
      <c r="A48" s="416" t="str">
        <f>IF(itens_Remanesc!$A37="","",IF(NOT(posicao_contratual!$Z37),itens_Remanesc!$A37,IF(AND(ISNUMBER($D$5),$O48&gt;0),itens_Remanesc!$A37,"")))</f>
        <v/>
      </c>
      <c r="B48" s="417" t="str">
        <f>IF(A48="","",IF(AND(posicao_contratual!$Z37,COUNTIFS(aditivos!$A$2:$A$200,itens_Remanesc!$A37,aditivos!$B$2:$B$200,"&lt;"&amp;(INT($F$3)+1),aditivos!$L$2:$L$200,"&gt;0")=0),0,IF(ISNUMBER(IF($C$3="C0",posicao_contratual!$F37,IF($C$3="C1",posicao_contratual!$J37,IF($C$3="C2",posicao_contratual!$N37,IF($C$3="C3",posicao_contratual!$R37,IF($C$3="C4",posicao_contratual!$V37,"")))))),ROUND(IF($C$3="C0",posicao_contratual!$F37,IF($C$3="C1",posicao_contratual!$J37,IF($C$3="C2",posicao_contratual!$N37,IF($C$3="C3",posicao_contratual!$R37,IF($C$3="C4",posicao_contratual!$V37,"")))))+ROUND(SUMIFS(aditivos!$L$2:$L$200,aditivos!$A$2:$A$200,A48,aditivos!$C$2:$C$200,$C$3,aditivos!$B$2:$B$200,"&lt;"&amp;(INT($F$3)+1)),2),2),IF(ROUND(SUMIFS(aditivos!$L$2:$L$200,aditivos!$A$2:$A$200,A48,aditivos!$C$2:$C$200,$C$3,aditivos!$B$2:$B$200,"&lt;"&amp;(INT($F$3)+1)),2)&gt;0,ROUND(SUMIFS(aditivos!$L$2:$L$200,aditivos!$A$2:$A$200,A48,aditivos!$C$2:$C$200,$C$3,aditivos!$B$2:$B$200,"&lt;"&amp;(INT($F$3)+1)),2),""))))</f>
        <v/>
      </c>
      <c r="C48" s="418"/>
      <c r="D48" s="417" t="str">
        <f t="shared" si="6"/>
        <v/>
      </c>
      <c r="E48" s="419" t="str">
        <f>IF(A48="","",IF($C$3="C0",historico_VU!$C37,IF($C$3="C1",historico_VU!$D37,IF($C$3="C2",historico_VU!$E37,IF($C$3="C3",historico_VU!$F37,IF($C$3="C4",historico_VU!$G37,""))))))</f>
        <v/>
      </c>
      <c r="F48" s="419" t="str">
        <f t="shared" si="7"/>
        <v/>
      </c>
      <c r="G48" s="419" t="str">
        <f t="shared" si="8"/>
        <v/>
      </c>
      <c r="I48" t="str">
        <f>IF(OR(A48="",$D$5="",$F$3=""),"",ROUND(SUMIFS(aditivos!$L$2:$L$200,aditivos!$A$2:$A$200,A48,aditivos!$B$2:$B$200,"&gt;="&amp;(INT($F$3)+1),aditivos!$B$2:$B$200,"&lt;="&amp;$D$5),2))</f>
        <v/>
      </c>
      <c r="J48" t="str">
        <f t="shared" si="9"/>
        <v/>
      </c>
      <c r="K48" t="str">
        <f t="shared" si="10"/>
        <v/>
      </c>
      <c r="L48" t="str">
        <f>IF(A48="","",IF($C$3="C0",SUMIFS(itens_Consumidos!$E$2:$E$200,itens_Consumidos!$A$2:$A$200,A48),IF($C$3="C1",SUMIFS(itens_Consumidos!$G$2:$G$200,itens_Consumidos!$A$2:$A$200,A48),IF($C$3="C2",SUMIFS(itens_Consumidos!$I$2:$I$200,itens_Consumidos!$A$2:$A$200,A48),IF($C$3="C3",SUMIFS(itens_Consumidos!$K$2:$K$200,itens_Consumidos!$A$2:$A$200,A48),IF($C$3="C4",SUMIFS(itens_Consumidos!$M$2:$M$200,itens_Consumidos!$A$2:$A$200,A48),""))))))</f>
        <v/>
      </c>
      <c r="M48" t="str">
        <f t="shared" si="11"/>
        <v/>
      </c>
      <c r="N48" t="str">
        <f>IF(A48="","",IF($C$3="C0",COUNTIFS(itens_Consumidos!$A$2:$A$200,A48,itens_Consumidos!$E$2:$E$200,"&lt;&gt;"),IF($C$3="C1",COUNTIFS(itens_Consumidos!$A$2:$A$200,A48,itens_Consumidos!$G$2:$G$200,"&lt;&gt;"),IF($C$3="C2",COUNTIFS(itens_Consumidos!$A$2:$A$200,A48,itens_Consumidos!$I$2:$I$200,"&lt;&gt;"),IF($C$3="C3",COUNTIFS(itens_Consumidos!$A$2:$A$200,A48,itens_Consumidos!$K$2:$K$200,"&lt;&gt;"),IF($C$3="C4",COUNTIFS(itens_Consumidos!$A$2:$A$200,A48,itens_Consumidos!$M$2:$M$200,"&lt;&gt;"),""))))))</f>
        <v/>
      </c>
      <c r="O48" t="str">
        <f>IF(itens_Remanesc!$A37="","",COUNTIFS(aditivos!$A$2:$A$200,itens_Remanesc!$A37,aditivos!$B$2:$B$200,"&lt;="&amp;$D$5,aditivos!$L$2:$L$200,"&gt;0"))</f>
        <v/>
      </c>
    </row>
    <row r="49" spans="1:15" ht="20" customHeight="1" x14ac:dyDescent="0.35">
      <c r="A49" s="416" t="str">
        <f>IF(itens_Remanesc!$A38="","",IF(NOT(posicao_contratual!$Z38),itens_Remanesc!$A38,IF(AND(ISNUMBER($D$5),$O49&gt;0),itens_Remanesc!$A38,"")))</f>
        <v/>
      </c>
      <c r="B49" s="417" t="str">
        <f>IF(A49="","",IF(AND(posicao_contratual!$Z38,COUNTIFS(aditivos!$A$2:$A$200,itens_Remanesc!$A38,aditivos!$B$2:$B$200,"&lt;"&amp;(INT($F$3)+1),aditivos!$L$2:$L$200,"&gt;0")=0),0,IF(ISNUMBER(IF($C$3="C0",posicao_contratual!$F38,IF($C$3="C1",posicao_contratual!$J38,IF($C$3="C2",posicao_contratual!$N38,IF($C$3="C3",posicao_contratual!$R38,IF($C$3="C4",posicao_contratual!$V38,"")))))),ROUND(IF($C$3="C0",posicao_contratual!$F38,IF($C$3="C1",posicao_contratual!$J38,IF($C$3="C2",posicao_contratual!$N38,IF($C$3="C3",posicao_contratual!$R38,IF($C$3="C4",posicao_contratual!$V38,"")))))+ROUND(SUMIFS(aditivos!$L$2:$L$200,aditivos!$A$2:$A$200,A49,aditivos!$C$2:$C$200,$C$3,aditivos!$B$2:$B$200,"&lt;"&amp;(INT($F$3)+1)),2),2),IF(ROUND(SUMIFS(aditivos!$L$2:$L$200,aditivos!$A$2:$A$200,A49,aditivos!$C$2:$C$200,$C$3,aditivos!$B$2:$B$200,"&lt;"&amp;(INT($F$3)+1)),2)&gt;0,ROUND(SUMIFS(aditivos!$L$2:$L$200,aditivos!$A$2:$A$200,A49,aditivos!$C$2:$C$200,$C$3,aditivos!$B$2:$B$200,"&lt;"&amp;(INT($F$3)+1)),2),""))))</f>
        <v/>
      </c>
      <c r="C49" s="418"/>
      <c r="D49" s="417" t="str">
        <f t="shared" si="6"/>
        <v/>
      </c>
      <c r="E49" s="419" t="str">
        <f>IF(A49="","",IF($C$3="C0",historico_VU!$C38,IF($C$3="C1",historico_VU!$D38,IF($C$3="C2",historico_VU!$E38,IF($C$3="C3",historico_VU!$F38,IF($C$3="C4",historico_VU!$G38,""))))))</f>
        <v/>
      </c>
      <c r="F49" s="419" t="str">
        <f t="shared" si="7"/>
        <v/>
      </c>
      <c r="G49" s="419" t="str">
        <f t="shared" si="8"/>
        <v/>
      </c>
      <c r="I49" t="str">
        <f>IF(OR(A49="",$D$5="",$F$3=""),"",ROUND(SUMIFS(aditivos!$L$2:$L$200,aditivos!$A$2:$A$200,A49,aditivos!$B$2:$B$200,"&gt;="&amp;(INT($F$3)+1),aditivos!$B$2:$B$200,"&lt;="&amp;$D$5),2))</f>
        <v/>
      </c>
      <c r="J49" t="str">
        <f t="shared" si="9"/>
        <v/>
      </c>
      <c r="K49" t="str">
        <f t="shared" si="10"/>
        <v/>
      </c>
      <c r="L49" t="str">
        <f>IF(A49="","",IF($C$3="C0",SUMIFS(itens_Consumidos!$E$2:$E$200,itens_Consumidos!$A$2:$A$200,A49),IF($C$3="C1",SUMIFS(itens_Consumidos!$G$2:$G$200,itens_Consumidos!$A$2:$A$200,A49),IF($C$3="C2",SUMIFS(itens_Consumidos!$I$2:$I$200,itens_Consumidos!$A$2:$A$200,A49),IF($C$3="C3",SUMIFS(itens_Consumidos!$K$2:$K$200,itens_Consumidos!$A$2:$A$200,A49),IF($C$3="C4",SUMIFS(itens_Consumidos!$M$2:$M$200,itens_Consumidos!$A$2:$A$200,A49),""))))))</f>
        <v/>
      </c>
      <c r="M49" t="str">
        <f t="shared" si="11"/>
        <v/>
      </c>
      <c r="N49" t="str">
        <f>IF(A49="","",IF($C$3="C0",COUNTIFS(itens_Consumidos!$A$2:$A$200,A49,itens_Consumidos!$E$2:$E$200,"&lt;&gt;"),IF($C$3="C1",COUNTIFS(itens_Consumidos!$A$2:$A$200,A49,itens_Consumidos!$G$2:$G$200,"&lt;&gt;"),IF($C$3="C2",COUNTIFS(itens_Consumidos!$A$2:$A$200,A49,itens_Consumidos!$I$2:$I$200,"&lt;&gt;"),IF($C$3="C3",COUNTIFS(itens_Consumidos!$A$2:$A$200,A49,itens_Consumidos!$K$2:$K$200,"&lt;&gt;"),IF($C$3="C4",COUNTIFS(itens_Consumidos!$A$2:$A$200,A49,itens_Consumidos!$M$2:$M$200,"&lt;&gt;"),""))))))</f>
        <v/>
      </c>
      <c r="O49" t="str">
        <f>IF(itens_Remanesc!$A38="","",COUNTIFS(aditivos!$A$2:$A$200,itens_Remanesc!$A38,aditivos!$B$2:$B$200,"&lt;="&amp;$D$5,aditivos!$L$2:$L$200,"&gt;0"))</f>
        <v/>
      </c>
    </row>
    <row r="50" spans="1:15" ht="20" customHeight="1" x14ac:dyDescent="0.35">
      <c r="A50" s="416" t="str">
        <f>IF(itens_Remanesc!$A39="","",IF(NOT(posicao_contratual!$Z39),itens_Remanesc!$A39,IF(AND(ISNUMBER($D$5),$O50&gt;0),itens_Remanesc!$A39,"")))</f>
        <v/>
      </c>
      <c r="B50" s="417" t="str">
        <f>IF(A50="","",IF(AND(posicao_contratual!$Z39,COUNTIFS(aditivos!$A$2:$A$200,itens_Remanesc!$A39,aditivos!$B$2:$B$200,"&lt;"&amp;(INT($F$3)+1),aditivos!$L$2:$L$200,"&gt;0")=0),0,IF(ISNUMBER(IF($C$3="C0",posicao_contratual!$F39,IF($C$3="C1",posicao_contratual!$J39,IF($C$3="C2",posicao_contratual!$N39,IF($C$3="C3",posicao_contratual!$R39,IF($C$3="C4",posicao_contratual!$V39,"")))))),ROUND(IF($C$3="C0",posicao_contratual!$F39,IF($C$3="C1",posicao_contratual!$J39,IF($C$3="C2",posicao_contratual!$N39,IF($C$3="C3",posicao_contratual!$R39,IF($C$3="C4",posicao_contratual!$V39,"")))))+ROUND(SUMIFS(aditivos!$L$2:$L$200,aditivos!$A$2:$A$200,A50,aditivos!$C$2:$C$200,$C$3,aditivos!$B$2:$B$200,"&lt;"&amp;(INT($F$3)+1)),2),2),IF(ROUND(SUMIFS(aditivos!$L$2:$L$200,aditivos!$A$2:$A$200,A50,aditivos!$C$2:$C$200,$C$3,aditivos!$B$2:$B$200,"&lt;"&amp;(INT($F$3)+1)),2)&gt;0,ROUND(SUMIFS(aditivos!$L$2:$L$200,aditivos!$A$2:$A$200,A50,aditivos!$C$2:$C$200,$C$3,aditivos!$B$2:$B$200,"&lt;"&amp;(INT($F$3)+1)),2),""))))</f>
        <v/>
      </c>
      <c r="C50" s="418"/>
      <c r="D50" s="417" t="str">
        <f t="shared" si="6"/>
        <v/>
      </c>
      <c r="E50" s="419" t="str">
        <f>IF(A50="","",IF($C$3="C0",historico_VU!$C39,IF($C$3="C1",historico_VU!$D39,IF($C$3="C2",historico_VU!$E39,IF($C$3="C3",historico_VU!$F39,IF($C$3="C4",historico_VU!$G39,""))))))</f>
        <v/>
      </c>
      <c r="F50" s="419" t="str">
        <f t="shared" si="7"/>
        <v/>
      </c>
      <c r="G50" s="419" t="str">
        <f t="shared" si="8"/>
        <v/>
      </c>
      <c r="I50" t="str">
        <f>IF(OR(A50="",$D$5="",$F$3=""),"",ROUND(SUMIFS(aditivos!$L$2:$L$200,aditivos!$A$2:$A$200,A50,aditivos!$B$2:$B$200,"&gt;="&amp;(INT($F$3)+1),aditivos!$B$2:$B$200,"&lt;="&amp;$D$5),2))</f>
        <v/>
      </c>
      <c r="J50" t="str">
        <f t="shared" si="9"/>
        <v/>
      </c>
      <c r="K50" t="str">
        <f t="shared" si="10"/>
        <v/>
      </c>
      <c r="L50" t="str">
        <f>IF(A50="","",IF($C$3="C0",SUMIFS(itens_Consumidos!$E$2:$E$200,itens_Consumidos!$A$2:$A$200,A50),IF($C$3="C1",SUMIFS(itens_Consumidos!$G$2:$G$200,itens_Consumidos!$A$2:$A$200,A50),IF($C$3="C2",SUMIFS(itens_Consumidos!$I$2:$I$200,itens_Consumidos!$A$2:$A$200,A50),IF($C$3="C3",SUMIFS(itens_Consumidos!$K$2:$K$200,itens_Consumidos!$A$2:$A$200,A50),IF($C$3="C4",SUMIFS(itens_Consumidos!$M$2:$M$200,itens_Consumidos!$A$2:$A$200,A50),""))))))</f>
        <v/>
      </c>
      <c r="M50" t="str">
        <f t="shared" si="11"/>
        <v/>
      </c>
      <c r="N50" t="str">
        <f>IF(A50="","",IF($C$3="C0",COUNTIFS(itens_Consumidos!$A$2:$A$200,A50,itens_Consumidos!$E$2:$E$200,"&lt;&gt;"),IF($C$3="C1",COUNTIFS(itens_Consumidos!$A$2:$A$200,A50,itens_Consumidos!$G$2:$G$200,"&lt;&gt;"),IF($C$3="C2",COUNTIFS(itens_Consumidos!$A$2:$A$200,A50,itens_Consumidos!$I$2:$I$200,"&lt;&gt;"),IF($C$3="C3",COUNTIFS(itens_Consumidos!$A$2:$A$200,A50,itens_Consumidos!$K$2:$K$200,"&lt;&gt;"),IF($C$3="C4",COUNTIFS(itens_Consumidos!$A$2:$A$200,A50,itens_Consumidos!$M$2:$M$200,"&lt;&gt;"),""))))))</f>
        <v/>
      </c>
      <c r="O50" t="str">
        <f>IF(itens_Remanesc!$A39="","",COUNTIFS(aditivos!$A$2:$A$200,itens_Remanesc!$A39,aditivos!$B$2:$B$200,"&lt;="&amp;$D$5,aditivos!$L$2:$L$200,"&gt;0"))</f>
        <v/>
      </c>
    </row>
    <row r="51" spans="1:15" ht="20" customHeight="1" x14ac:dyDescent="0.35">
      <c r="A51" s="416" t="str">
        <f>IF(itens_Remanesc!$A40="","",IF(NOT(posicao_contratual!$Z40),itens_Remanesc!$A40,IF(AND(ISNUMBER($D$5),$O51&gt;0),itens_Remanesc!$A40,"")))</f>
        <v/>
      </c>
      <c r="B51" s="417" t="str">
        <f>IF(A51="","",IF(AND(posicao_contratual!$Z40,COUNTIFS(aditivos!$A$2:$A$200,itens_Remanesc!$A40,aditivos!$B$2:$B$200,"&lt;"&amp;(INT($F$3)+1),aditivos!$L$2:$L$200,"&gt;0")=0),0,IF(ISNUMBER(IF($C$3="C0",posicao_contratual!$F40,IF($C$3="C1",posicao_contratual!$J40,IF($C$3="C2",posicao_contratual!$N40,IF($C$3="C3",posicao_contratual!$R40,IF($C$3="C4",posicao_contratual!$V40,"")))))),ROUND(IF($C$3="C0",posicao_contratual!$F40,IF($C$3="C1",posicao_contratual!$J40,IF($C$3="C2",posicao_contratual!$N40,IF($C$3="C3",posicao_contratual!$R40,IF($C$3="C4",posicao_contratual!$V40,"")))))+ROUND(SUMIFS(aditivos!$L$2:$L$200,aditivos!$A$2:$A$200,A51,aditivos!$C$2:$C$200,$C$3,aditivos!$B$2:$B$200,"&lt;"&amp;(INT($F$3)+1)),2),2),IF(ROUND(SUMIFS(aditivos!$L$2:$L$200,aditivos!$A$2:$A$200,A51,aditivos!$C$2:$C$200,$C$3,aditivos!$B$2:$B$200,"&lt;"&amp;(INT($F$3)+1)),2)&gt;0,ROUND(SUMIFS(aditivos!$L$2:$L$200,aditivos!$A$2:$A$200,A51,aditivos!$C$2:$C$200,$C$3,aditivos!$B$2:$B$200,"&lt;"&amp;(INT($F$3)+1)),2),""))))</f>
        <v/>
      </c>
      <c r="C51" s="418"/>
      <c r="D51" s="417" t="str">
        <f t="shared" si="6"/>
        <v/>
      </c>
      <c r="E51" s="419" t="str">
        <f>IF(A51="","",IF($C$3="C0",historico_VU!$C40,IF($C$3="C1",historico_VU!$D40,IF($C$3="C2",historico_VU!$E40,IF($C$3="C3",historico_VU!$F40,IF($C$3="C4",historico_VU!$G40,""))))))</f>
        <v/>
      </c>
      <c r="F51" s="419" t="str">
        <f t="shared" si="7"/>
        <v/>
      </c>
      <c r="G51" s="419" t="str">
        <f t="shared" si="8"/>
        <v/>
      </c>
      <c r="I51" t="str">
        <f>IF(OR(A51="",$D$5="",$F$3=""),"",ROUND(SUMIFS(aditivos!$L$2:$L$200,aditivos!$A$2:$A$200,A51,aditivos!$B$2:$B$200,"&gt;="&amp;(INT($F$3)+1),aditivos!$B$2:$B$200,"&lt;="&amp;$D$5),2))</f>
        <v/>
      </c>
      <c r="J51" t="str">
        <f t="shared" si="9"/>
        <v/>
      </c>
      <c r="K51" t="str">
        <f t="shared" si="10"/>
        <v/>
      </c>
      <c r="L51" t="str">
        <f>IF(A51="","",IF($C$3="C0",SUMIFS(itens_Consumidos!$E$2:$E$200,itens_Consumidos!$A$2:$A$200,A51),IF($C$3="C1",SUMIFS(itens_Consumidos!$G$2:$G$200,itens_Consumidos!$A$2:$A$200,A51),IF($C$3="C2",SUMIFS(itens_Consumidos!$I$2:$I$200,itens_Consumidos!$A$2:$A$200,A51),IF($C$3="C3",SUMIFS(itens_Consumidos!$K$2:$K$200,itens_Consumidos!$A$2:$A$200,A51),IF($C$3="C4",SUMIFS(itens_Consumidos!$M$2:$M$200,itens_Consumidos!$A$2:$A$200,A51),""))))))</f>
        <v/>
      </c>
      <c r="M51" t="str">
        <f t="shared" si="11"/>
        <v/>
      </c>
      <c r="N51" t="str">
        <f>IF(A51="","",IF($C$3="C0",COUNTIFS(itens_Consumidos!$A$2:$A$200,A51,itens_Consumidos!$E$2:$E$200,"&lt;&gt;"),IF($C$3="C1",COUNTIFS(itens_Consumidos!$A$2:$A$200,A51,itens_Consumidos!$G$2:$G$200,"&lt;&gt;"),IF($C$3="C2",COUNTIFS(itens_Consumidos!$A$2:$A$200,A51,itens_Consumidos!$I$2:$I$200,"&lt;&gt;"),IF($C$3="C3",COUNTIFS(itens_Consumidos!$A$2:$A$200,A51,itens_Consumidos!$K$2:$K$200,"&lt;&gt;"),IF($C$3="C4",COUNTIFS(itens_Consumidos!$A$2:$A$200,A51,itens_Consumidos!$M$2:$M$200,"&lt;&gt;"),""))))))</f>
        <v/>
      </c>
      <c r="O51" t="str">
        <f>IF(itens_Remanesc!$A40="","",COUNTIFS(aditivos!$A$2:$A$200,itens_Remanesc!$A40,aditivos!$B$2:$B$200,"&lt;="&amp;$D$5,aditivos!$L$2:$L$200,"&gt;0"))</f>
        <v/>
      </c>
    </row>
    <row r="52" spans="1:15" ht="20" customHeight="1" x14ac:dyDescent="0.35">
      <c r="A52" s="416" t="str">
        <f>IF(itens_Remanesc!$A41="","",IF(NOT(posicao_contratual!$Z41),itens_Remanesc!$A41,IF(AND(ISNUMBER($D$5),$O52&gt;0),itens_Remanesc!$A41,"")))</f>
        <v/>
      </c>
      <c r="B52" s="417" t="str">
        <f>IF(A52="","",IF(AND(posicao_contratual!$Z41,COUNTIFS(aditivos!$A$2:$A$200,itens_Remanesc!$A41,aditivos!$B$2:$B$200,"&lt;"&amp;(INT($F$3)+1),aditivos!$L$2:$L$200,"&gt;0")=0),0,IF(ISNUMBER(IF($C$3="C0",posicao_contratual!$F41,IF($C$3="C1",posicao_contratual!$J41,IF($C$3="C2",posicao_contratual!$N41,IF($C$3="C3",posicao_contratual!$R41,IF($C$3="C4",posicao_contratual!$V41,"")))))),ROUND(IF($C$3="C0",posicao_contratual!$F41,IF($C$3="C1",posicao_contratual!$J41,IF($C$3="C2",posicao_contratual!$N41,IF($C$3="C3",posicao_contratual!$R41,IF($C$3="C4",posicao_contratual!$V41,"")))))+ROUND(SUMIFS(aditivos!$L$2:$L$200,aditivos!$A$2:$A$200,A52,aditivos!$C$2:$C$200,$C$3,aditivos!$B$2:$B$200,"&lt;"&amp;(INT($F$3)+1)),2),2),IF(ROUND(SUMIFS(aditivos!$L$2:$L$200,aditivos!$A$2:$A$200,A52,aditivos!$C$2:$C$200,$C$3,aditivos!$B$2:$B$200,"&lt;"&amp;(INT($F$3)+1)),2)&gt;0,ROUND(SUMIFS(aditivos!$L$2:$L$200,aditivos!$A$2:$A$200,A52,aditivos!$C$2:$C$200,$C$3,aditivos!$B$2:$B$200,"&lt;"&amp;(INT($F$3)+1)),2),""))))</f>
        <v/>
      </c>
      <c r="C52" s="418"/>
      <c r="D52" s="417" t="str">
        <f t="shared" si="6"/>
        <v/>
      </c>
      <c r="E52" s="419" t="str">
        <f>IF(A52="","",IF($C$3="C0",historico_VU!$C41,IF($C$3="C1",historico_VU!$D41,IF($C$3="C2",historico_VU!$E41,IF($C$3="C3",historico_VU!$F41,IF($C$3="C4",historico_VU!$G41,""))))))</f>
        <v/>
      </c>
      <c r="F52" s="419" t="str">
        <f t="shared" si="7"/>
        <v/>
      </c>
      <c r="G52" s="419" t="str">
        <f t="shared" si="8"/>
        <v/>
      </c>
      <c r="I52" t="str">
        <f>IF(OR(A52="",$D$5="",$F$3=""),"",ROUND(SUMIFS(aditivos!$L$2:$L$200,aditivos!$A$2:$A$200,A52,aditivos!$B$2:$B$200,"&gt;="&amp;(INT($F$3)+1),aditivos!$B$2:$B$200,"&lt;="&amp;$D$5),2))</f>
        <v/>
      </c>
      <c r="J52" t="str">
        <f t="shared" si="9"/>
        <v/>
      </c>
      <c r="K52" t="str">
        <f t="shared" si="10"/>
        <v/>
      </c>
      <c r="L52" t="str">
        <f>IF(A52="","",IF($C$3="C0",SUMIFS(itens_Consumidos!$E$2:$E$200,itens_Consumidos!$A$2:$A$200,A52),IF($C$3="C1",SUMIFS(itens_Consumidos!$G$2:$G$200,itens_Consumidos!$A$2:$A$200,A52),IF($C$3="C2",SUMIFS(itens_Consumidos!$I$2:$I$200,itens_Consumidos!$A$2:$A$200,A52),IF($C$3="C3",SUMIFS(itens_Consumidos!$K$2:$K$200,itens_Consumidos!$A$2:$A$200,A52),IF($C$3="C4",SUMIFS(itens_Consumidos!$M$2:$M$200,itens_Consumidos!$A$2:$A$200,A52),""))))))</f>
        <v/>
      </c>
      <c r="M52" t="str">
        <f t="shared" si="11"/>
        <v/>
      </c>
      <c r="N52" t="str">
        <f>IF(A52="","",IF($C$3="C0",COUNTIFS(itens_Consumidos!$A$2:$A$200,A52,itens_Consumidos!$E$2:$E$200,"&lt;&gt;"),IF($C$3="C1",COUNTIFS(itens_Consumidos!$A$2:$A$200,A52,itens_Consumidos!$G$2:$G$200,"&lt;&gt;"),IF($C$3="C2",COUNTIFS(itens_Consumidos!$A$2:$A$200,A52,itens_Consumidos!$I$2:$I$200,"&lt;&gt;"),IF($C$3="C3",COUNTIFS(itens_Consumidos!$A$2:$A$200,A52,itens_Consumidos!$K$2:$K$200,"&lt;&gt;"),IF($C$3="C4",COUNTIFS(itens_Consumidos!$A$2:$A$200,A52,itens_Consumidos!$M$2:$M$200,"&lt;&gt;"),""))))))</f>
        <v/>
      </c>
      <c r="O52" t="str">
        <f>IF(itens_Remanesc!$A41="","",COUNTIFS(aditivos!$A$2:$A$200,itens_Remanesc!$A41,aditivos!$B$2:$B$200,"&lt;="&amp;$D$5,aditivos!$L$2:$L$200,"&gt;0"))</f>
        <v/>
      </c>
    </row>
    <row r="53" spans="1:15" ht="20" customHeight="1" x14ac:dyDescent="0.35">
      <c r="A53" s="416" t="str">
        <f>IF(itens_Remanesc!$A42="","",IF(NOT(posicao_contratual!$Z42),itens_Remanesc!$A42,IF(AND(ISNUMBER($D$5),$O53&gt;0),itens_Remanesc!$A42,"")))</f>
        <v/>
      </c>
      <c r="B53" s="417" t="str">
        <f>IF(A53="","",IF(AND(posicao_contratual!$Z42,COUNTIFS(aditivos!$A$2:$A$200,itens_Remanesc!$A42,aditivos!$B$2:$B$200,"&lt;"&amp;(INT($F$3)+1),aditivos!$L$2:$L$200,"&gt;0")=0),0,IF(ISNUMBER(IF($C$3="C0",posicao_contratual!$F42,IF($C$3="C1",posicao_contratual!$J42,IF($C$3="C2",posicao_contratual!$N42,IF($C$3="C3",posicao_contratual!$R42,IF($C$3="C4",posicao_contratual!$V42,"")))))),ROUND(IF($C$3="C0",posicao_contratual!$F42,IF($C$3="C1",posicao_contratual!$J42,IF($C$3="C2",posicao_contratual!$N42,IF($C$3="C3",posicao_contratual!$R42,IF($C$3="C4",posicao_contratual!$V42,"")))))+ROUND(SUMIFS(aditivos!$L$2:$L$200,aditivos!$A$2:$A$200,A53,aditivos!$C$2:$C$200,$C$3,aditivos!$B$2:$B$200,"&lt;"&amp;(INT($F$3)+1)),2),2),IF(ROUND(SUMIFS(aditivos!$L$2:$L$200,aditivos!$A$2:$A$200,A53,aditivos!$C$2:$C$200,$C$3,aditivos!$B$2:$B$200,"&lt;"&amp;(INT($F$3)+1)),2)&gt;0,ROUND(SUMIFS(aditivos!$L$2:$L$200,aditivos!$A$2:$A$200,A53,aditivos!$C$2:$C$200,$C$3,aditivos!$B$2:$B$200,"&lt;"&amp;(INT($F$3)+1)),2),""))))</f>
        <v/>
      </c>
      <c r="C53" s="418"/>
      <c r="D53" s="417" t="str">
        <f t="shared" si="6"/>
        <v/>
      </c>
      <c r="E53" s="419" t="str">
        <f>IF(A53="","",IF($C$3="C0",historico_VU!$C42,IF($C$3="C1",historico_VU!$D42,IF($C$3="C2",historico_VU!$E42,IF($C$3="C3",historico_VU!$F42,IF($C$3="C4",historico_VU!$G42,""))))))</f>
        <v/>
      </c>
      <c r="F53" s="419" t="str">
        <f t="shared" si="7"/>
        <v/>
      </c>
      <c r="G53" s="419" t="str">
        <f t="shared" si="8"/>
        <v/>
      </c>
      <c r="I53" t="str">
        <f>IF(OR(A53="",$D$5="",$F$3=""),"",ROUND(SUMIFS(aditivos!$L$2:$L$200,aditivos!$A$2:$A$200,A53,aditivos!$B$2:$B$200,"&gt;="&amp;(INT($F$3)+1),aditivos!$B$2:$B$200,"&lt;="&amp;$D$5),2))</f>
        <v/>
      </c>
      <c r="J53" t="str">
        <f t="shared" si="9"/>
        <v/>
      </c>
      <c r="K53" t="str">
        <f t="shared" si="10"/>
        <v/>
      </c>
      <c r="L53" t="str">
        <f>IF(A53="","",IF($C$3="C0",SUMIFS(itens_Consumidos!$E$2:$E$200,itens_Consumidos!$A$2:$A$200,A53),IF($C$3="C1",SUMIFS(itens_Consumidos!$G$2:$G$200,itens_Consumidos!$A$2:$A$200,A53),IF($C$3="C2",SUMIFS(itens_Consumidos!$I$2:$I$200,itens_Consumidos!$A$2:$A$200,A53),IF($C$3="C3",SUMIFS(itens_Consumidos!$K$2:$K$200,itens_Consumidos!$A$2:$A$200,A53),IF($C$3="C4",SUMIFS(itens_Consumidos!$M$2:$M$200,itens_Consumidos!$A$2:$A$200,A53),""))))))</f>
        <v/>
      </c>
      <c r="M53" t="str">
        <f t="shared" si="11"/>
        <v/>
      </c>
      <c r="N53" t="str">
        <f>IF(A53="","",IF($C$3="C0",COUNTIFS(itens_Consumidos!$A$2:$A$200,A53,itens_Consumidos!$E$2:$E$200,"&lt;&gt;"),IF($C$3="C1",COUNTIFS(itens_Consumidos!$A$2:$A$200,A53,itens_Consumidos!$G$2:$G$200,"&lt;&gt;"),IF($C$3="C2",COUNTIFS(itens_Consumidos!$A$2:$A$200,A53,itens_Consumidos!$I$2:$I$200,"&lt;&gt;"),IF($C$3="C3",COUNTIFS(itens_Consumidos!$A$2:$A$200,A53,itens_Consumidos!$K$2:$K$200,"&lt;&gt;"),IF($C$3="C4",COUNTIFS(itens_Consumidos!$A$2:$A$200,A53,itens_Consumidos!$M$2:$M$200,"&lt;&gt;"),""))))))</f>
        <v/>
      </c>
      <c r="O53" t="str">
        <f>IF(itens_Remanesc!$A42="","",COUNTIFS(aditivos!$A$2:$A$200,itens_Remanesc!$A42,aditivos!$B$2:$B$200,"&lt;="&amp;$D$5,aditivos!$L$2:$L$200,"&gt;0"))</f>
        <v/>
      </c>
    </row>
    <row r="54" spans="1:15" ht="20" customHeight="1" x14ac:dyDescent="0.35">
      <c r="A54" s="416" t="str">
        <f>IF(itens_Remanesc!$A43="","",IF(NOT(posicao_contratual!$Z43),itens_Remanesc!$A43,IF(AND(ISNUMBER($D$5),$O54&gt;0),itens_Remanesc!$A43,"")))</f>
        <v/>
      </c>
      <c r="B54" s="417" t="str">
        <f>IF(A54="","",IF(AND(posicao_contratual!$Z43,COUNTIFS(aditivos!$A$2:$A$200,itens_Remanesc!$A43,aditivos!$B$2:$B$200,"&lt;"&amp;(INT($F$3)+1),aditivos!$L$2:$L$200,"&gt;0")=0),0,IF(ISNUMBER(IF($C$3="C0",posicao_contratual!$F43,IF($C$3="C1",posicao_contratual!$J43,IF($C$3="C2",posicao_contratual!$N43,IF($C$3="C3",posicao_contratual!$R43,IF($C$3="C4",posicao_contratual!$V43,"")))))),ROUND(IF($C$3="C0",posicao_contratual!$F43,IF($C$3="C1",posicao_contratual!$J43,IF($C$3="C2",posicao_contratual!$N43,IF($C$3="C3",posicao_contratual!$R43,IF($C$3="C4",posicao_contratual!$V43,"")))))+ROUND(SUMIFS(aditivos!$L$2:$L$200,aditivos!$A$2:$A$200,A54,aditivos!$C$2:$C$200,$C$3,aditivos!$B$2:$B$200,"&lt;"&amp;(INT($F$3)+1)),2),2),IF(ROUND(SUMIFS(aditivos!$L$2:$L$200,aditivos!$A$2:$A$200,A54,aditivos!$C$2:$C$200,$C$3,aditivos!$B$2:$B$200,"&lt;"&amp;(INT($F$3)+1)),2)&gt;0,ROUND(SUMIFS(aditivos!$L$2:$L$200,aditivos!$A$2:$A$200,A54,aditivos!$C$2:$C$200,$C$3,aditivos!$B$2:$B$200,"&lt;"&amp;(INT($F$3)+1)),2),""))))</f>
        <v/>
      </c>
      <c r="C54" s="418"/>
      <c r="D54" s="417" t="str">
        <f t="shared" si="6"/>
        <v/>
      </c>
      <c r="E54" s="419" t="str">
        <f>IF(A54="","",IF($C$3="C0",historico_VU!$C43,IF($C$3="C1",historico_VU!$D43,IF($C$3="C2",historico_VU!$E43,IF($C$3="C3",historico_VU!$F43,IF($C$3="C4",historico_VU!$G43,""))))))</f>
        <v/>
      </c>
      <c r="F54" s="419" t="str">
        <f t="shared" si="7"/>
        <v/>
      </c>
      <c r="G54" s="419" t="str">
        <f t="shared" si="8"/>
        <v/>
      </c>
      <c r="I54" t="str">
        <f>IF(OR(A54="",$D$5="",$F$3=""),"",ROUND(SUMIFS(aditivos!$L$2:$L$200,aditivos!$A$2:$A$200,A54,aditivos!$B$2:$B$200,"&gt;="&amp;(INT($F$3)+1),aditivos!$B$2:$B$200,"&lt;="&amp;$D$5),2))</f>
        <v/>
      </c>
      <c r="J54" t="str">
        <f t="shared" si="9"/>
        <v/>
      </c>
      <c r="K54" t="str">
        <f t="shared" si="10"/>
        <v/>
      </c>
      <c r="L54" t="str">
        <f>IF(A54="","",IF($C$3="C0",SUMIFS(itens_Consumidos!$E$2:$E$200,itens_Consumidos!$A$2:$A$200,A54),IF($C$3="C1",SUMIFS(itens_Consumidos!$G$2:$G$200,itens_Consumidos!$A$2:$A$200,A54),IF($C$3="C2",SUMIFS(itens_Consumidos!$I$2:$I$200,itens_Consumidos!$A$2:$A$200,A54),IF($C$3="C3",SUMIFS(itens_Consumidos!$K$2:$K$200,itens_Consumidos!$A$2:$A$200,A54),IF($C$3="C4",SUMIFS(itens_Consumidos!$M$2:$M$200,itens_Consumidos!$A$2:$A$200,A54),""))))))</f>
        <v/>
      </c>
      <c r="M54" t="str">
        <f t="shared" si="11"/>
        <v/>
      </c>
      <c r="N54" t="str">
        <f>IF(A54="","",IF($C$3="C0",COUNTIFS(itens_Consumidos!$A$2:$A$200,A54,itens_Consumidos!$E$2:$E$200,"&lt;&gt;"),IF($C$3="C1",COUNTIFS(itens_Consumidos!$A$2:$A$200,A54,itens_Consumidos!$G$2:$G$200,"&lt;&gt;"),IF($C$3="C2",COUNTIFS(itens_Consumidos!$A$2:$A$200,A54,itens_Consumidos!$I$2:$I$200,"&lt;&gt;"),IF($C$3="C3",COUNTIFS(itens_Consumidos!$A$2:$A$200,A54,itens_Consumidos!$K$2:$K$200,"&lt;&gt;"),IF($C$3="C4",COUNTIFS(itens_Consumidos!$A$2:$A$200,A54,itens_Consumidos!$M$2:$M$200,"&lt;&gt;"),""))))))</f>
        <v/>
      </c>
      <c r="O54" t="str">
        <f>IF(itens_Remanesc!$A43="","",COUNTIFS(aditivos!$A$2:$A$200,itens_Remanesc!$A43,aditivos!$B$2:$B$200,"&lt;="&amp;$D$5,aditivos!$L$2:$L$200,"&gt;0"))</f>
        <v/>
      </c>
    </row>
    <row r="55" spans="1:15" ht="20" customHeight="1" x14ac:dyDescent="0.35">
      <c r="A55" s="416" t="str">
        <f>IF(itens_Remanesc!$A44="","",IF(NOT(posicao_contratual!$Z44),itens_Remanesc!$A44,IF(AND(ISNUMBER($D$5),$O55&gt;0),itens_Remanesc!$A44,"")))</f>
        <v/>
      </c>
      <c r="B55" s="417" t="str">
        <f>IF(A55="","",IF(AND(posicao_contratual!$Z44,COUNTIFS(aditivos!$A$2:$A$200,itens_Remanesc!$A44,aditivos!$B$2:$B$200,"&lt;"&amp;(INT($F$3)+1),aditivos!$L$2:$L$200,"&gt;0")=0),0,IF(ISNUMBER(IF($C$3="C0",posicao_contratual!$F44,IF($C$3="C1",posicao_contratual!$J44,IF($C$3="C2",posicao_contratual!$N44,IF($C$3="C3",posicao_contratual!$R44,IF($C$3="C4",posicao_contratual!$V44,"")))))),ROUND(IF($C$3="C0",posicao_contratual!$F44,IF($C$3="C1",posicao_contratual!$J44,IF($C$3="C2",posicao_contratual!$N44,IF($C$3="C3",posicao_contratual!$R44,IF($C$3="C4",posicao_contratual!$V44,"")))))+ROUND(SUMIFS(aditivos!$L$2:$L$200,aditivos!$A$2:$A$200,A55,aditivos!$C$2:$C$200,$C$3,aditivos!$B$2:$B$200,"&lt;"&amp;(INT($F$3)+1)),2),2),IF(ROUND(SUMIFS(aditivos!$L$2:$L$200,aditivos!$A$2:$A$200,A55,aditivos!$C$2:$C$200,$C$3,aditivos!$B$2:$B$200,"&lt;"&amp;(INT($F$3)+1)),2)&gt;0,ROUND(SUMIFS(aditivos!$L$2:$L$200,aditivos!$A$2:$A$200,A55,aditivos!$C$2:$C$200,$C$3,aditivos!$B$2:$B$200,"&lt;"&amp;(INT($F$3)+1)),2),""))))</f>
        <v/>
      </c>
      <c r="C55" s="418"/>
      <c r="D55" s="417" t="str">
        <f t="shared" si="6"/>
        <v/>
      </c>
      <c r="E55" s="419" t="str">
        <f>IF(A55="","",IF($C$3="C0",historico_VU!$C44,IF($C$3="C1",historico_VU!$D44,IF($C$3="C2",historico_VU!$E44,IF($C$3="C3",historico_VU!$F44,IF($C$3="C4",historico_VU!$G44,""))))))</f>
        <v/>
      </c>
      <c r="F55" s="419" t="str">
        <f t="shared" si="7"/>
        <v/>
      </c>
      <c r="G55" s="419" t="str">
        <f t="shared" si="8"/>
        <v/>
      </c>
      <c r="I55" t="str">
        <f>IF(OR(A55="",$D$5="",$F$3=""),"",ROUND(SUMIFS(aditivos!$L$2:$L$200,aditivos!$A$2:$A$200,A55,aditivos!$B$2:$B$200,"&gt;="&amp;(INT($F$3)+1),aditivos!$B$2:$B$200,"&lt;="&amp;$D$5),2))</f>
        <v/>
      </c>
      <c r="J55" t="str">
        <f t="shared" si="9"/>
        <v/>
      </c>
      <c r="K55" t="str">
        <f t="shared" si="10"/>
        <v/>
      </c>
      <c r="L55" t="str">
        <f>IF(A55="","",IF($C$3="C0",SUMIFS(itens_Consumidos!$E$2:$E$200,itens_Consumidos!$A$2:$A$200,A55),IF($C$3="C1",SUMIFS(itens_Consumidos!$G$2:$G$200,itens_Consumidos!$A$2:$A$200,A55),IF($C$3="C2",SUMIFS(itens_Consumidos!$I$2:$I$200,itens_Consumidos!$A$2:$A$200,A55),IF($C$3="C3",SUMIFS(itens_Consumidos!$K$2:$K$200,itens_Consumidos!$A$2:$A$200,A55),IF($C$3="C4",SUMIFS(itens_Consumidos!$M$2:$M$200,itens_Consumidos!$A$2:$A$200,A55),""))))))</f>
        <v/>
      </c>
      <c r="M55" t="str">
        <f t="shared" si="11"/>
        <v/>
      </c>
      <c r="N55" t="str">
        <f>IF(A55="","",IF($C$3="C0",COUNTIFS(itens_Consumidos!$A$2:$A$200,A55,itens_Consumidos!$E$2:$E$200,"&lt;&gt;"),IF($C$3="C1",COUNTIFS(itens_Consumidos!$A$2:$A$200,A55,itens_Consumidos!$G$2:$G$200,"&lt;&gt;"),IF($C$3="C2",COUNTIFS(itens_Consumidos!$A$2:$A$200,A55,itens_Consumidos!$I$2:$I$200,"&lt;&gt;"),IF($C$3="C3",COUNTIFS(itens_Consumidos!$A$2:$A$200,A55,itens_Consumidos!$K$2:$K$200,"&lt;&gt;"),IF($C$3="C4",COUNTIFS(itens_Consumidos!$A$2:$A$200,A55,itens_Consumidos!$M$2:$M$200,"&lt;&gt;"),""))))))</f>
        <v/>
      </c>
      <c r="O55" t="str">
        <f>IF(itens_Remanesc!$A44="","",COUNTIFS(aditivos!$A$2:$A$200,itens_Remanesc!$A44,aditivos!$B$2:$B$200,"&lt;="&amp;$D$5,aditivos!$L$2:$L$200,"&gt;0"))</f>
        <v/>
      </c>
    </row>
    <row r="56" spans="1:15" ht="20" customHeight="1" x14ac:dyDescent="0.35">
      <c r="A56" s="416" t="str">
        <f>IF(itens_Remanesc!$A45="","",IF(NOT(posicao_contratual!$Z45),itens_Remanesc!$A45,IF(AND(ISNUMBER($D$5),$O56&gt;0),itens_Remanesc!$A45,"")))</f>
        <v/>
      </c>
      <c r="B56" s="417" t="str">
        <f>IF(A56="","",IF(AND(posicao_contratual!$Z45,COUNTIFS(aditivos!$A$2:$A$200,itens_Remanesc!$A45,aditivos!$B$2:$B$200,"&lt;"&amp;(INT($F$3)+1),aditivos!$L$2:$L$200,"&gt;0")=0),0,IF(ISNUMBER(IF($C$3="C0",posicao_contratual!$F45,IF($C$3="C1",posicao_contratual!$J45,IF($C$3="C2",posicao_contratual!$N45,IF($C$3="C3",posicao_contratual!$R45,IF($C$3="C4",posicao_contratual!$V45,"")))))),ROUND(IF($C$3="C0",posicao_contratual!$F45,IF($C$3="C1",posicao_contratual!$J45,IF($C$3="C2",posicao_contratual!$N45,IF($C$3="C3",posicao_contratual!$R45,IF($C$3="C4",posicao_contratual!$V45,"")))))+ROUND(SUMIFS(aditivos!$L$2:$L$200,aditivos!$A$2:$A$200,A56,aditivos!$C$2:$C$200,$C$3,aditivos!$B$2:$B$200,"&lt;"&amp;(INT($F$3)+1)),2),2),IF(ROUND(SUMIFS(aditivos!$L$2:$L$200,aditivos!$A$2:$A$200,A56,aditivos!$C$2:$C$200,$C$3,aditivos!$B$2:$B$200,"&lt;"&amp;(INT($F$3)+1)),2)&gt;0,ROUND(SUMIFS(aditivos!$L$2:$L$200,aditivos!$A$2:$A$200,A56,aditivos!$C$2:$C$200,$C$3,aditivos!$B$2:$B$200,"&lt;"&amp;(INT($F$3)+1)),2),""))))</f>
        <v/>
      </c>
      <c r="C56" s="418"/>
      <c r="D56" s="417" t="str">
        <f t="shared" si="6"/>
        <v/>
      </c>
      <c r="E56" s="419" t="str">
        <f>IF(A56="","",IF($C$3="C0",historico_VU!$C45,IF($C$3="C1",historico_VU!$D45,IF($C$3="C2",historico_VU!$E45,IF($C$3="C3",historico_VU!$F45,IF($C$3="C4",historico_VU!$G45,""))))))</f>
        <v/>
      </c>
      <c r="F56" s="419" t="str">
        <f t="shared" si="7"/>
        <v/>
      </c>
      <c r="G56" s="419" t="str">
        <f t="shared" si="8"/>
        <v/>
      </c>
      <c r="I56" t="str">
        <f>IF(OR(A56="",$D$5="",$F$3=""),"",ROUND(SUMIFS(aditivos!$L$2:$L$200,aditivos!$A$2:$A$200,A56,aditivos!$B$2:$B$200,"&gt;="&amp;(INT($F$3)+1),aditivos!$B$2:$B$200,"&lt;="&amp;$D$5),2))</f>
        <v/>
      </c>
      <c r="J56" t="str">
        <f t="shared" si="9"/>
        <v/>
      </c>
      <c r="K56" t="str">
        <f t="shared" si="10"/>
        <v/>
      </c>
      <c r="L56" t="str">
        <f>IF(A56="","",IF($C$3="C0",SUMIFS(itens_Consumidos!$E$2:$E$200,itens_Consumidos!$A$2:$A$200,A56),IF($C$3="C1",SUMIFS(itens_Consumidos!$G$2:$G$200,itens_Consumidos!$A$2:$A$200,A56),IF($C$3="C2",SUMIFS(itens_Consumidos!$I$2:$I$200,itens_Consumidos!$A$2:$A$200,A56),IF($C$3="C3",SUMIFS(itens_Consumidos!$K$2:$K$200,itens_Consumidos!$A$2:$A$200,A56),IF($C$3="C4",SUMIFS(itens_Consumidos!$M$2:$M$200,itens_Consumidos!$A$2:$A$200,A56),""))))))</f>
        <v/>
      </c>
      <c r="M56" t="str">
        <f t="shared" si="11"/>
        <v/>
      </c>
      <c r="N56" t="str">
        <f>IF(A56="","",IF($C$3="C0",COUNTIFS(itens_Consumidos!$A$2:$A$200,A56,itens_Consumidos!$E$2:$E$200,"&lt;&gt;"),IF($C$3="C1",COUNTIFS(itens_Consumidos!$A$2:$A$200,A56,itens_Consumidos!$G$2:$G$200,"&lt;&gt;"),IF($C$3="C2",COUNTIFS(itens_Consumidos!$A$2:$A$200,A56,itens_Consumidos!$I$2:$I$200,"&lt;&gt;"),IF($C$3="C3",COUNTIFS(itens_Consumidos!$A$2:$A$200,A56,itens_Consumidos!$K$2:$K$200,"&lt;&gt;"),IF($C$3="C4",COUNTIFS(itens_Consumidos!$A$2:$A$200,A56,itens_Consumidos!$M$2:$M$200,"&lt;&gt;"),""))))))</f>
        <v/>
      </c>
      <c r="O56" t="str">
        <f>IF(itens_Remanesc!$A45="","",COUNTIFS(aditivos!$A$2:$A$200,itens_Remanesc!$A45,aditivos!$B$2:$B$200,"&lt;="&amp;$D$5,aditivos!$L$2:$L$200,"&gt;0"))</f>
        <v/>
      </c>
    </row>
    <row r="57" spans="1:15" ht="20" customHeight="1" x14ac:dyDescent="0.35">
      <c r="A57" s="416" t="str">
        <f>IF(itens_Remanesc!$A46="","",IF(NOT(posicao_contratual!$Z46),itens_Remanesc!$A46,IF(AND(ISNUMBER($D$5),$O57&gt;0),itens_Remanesc!$A46,"")))</f>
        <v/>
      </c>
      <c r="B57" s="417" t="str">
        <f>IF(A57="","",IF(AND(posicao_contratual!$Z46,COUNTIFS(aditivos!$A$2:$A$200,itens_Remanesc!$A46,aditivos!$B$2:$B$200,"&lt;"&amp;(INT($F$3)+1),aditivos!$L$2:$L$200,"&gt;0")=0),0,IF(ISNUMBER(IF($C$3="C0",posicao_contratual!$F46,IF($C$3="C1",posicao_contratual!$J46,IF($C$3="C2",posicao_contratual!$N46,IF($C$3="C3",posicao_contratual!$R46,IF($C$3="C4",posicao_contratual!$V46,"")))))),ROUND(IF($C$3="C0",posicao_contratual!$F46,IF($C$3="C1",posicao_contratual!$J46,IF($C$3="C2",posicao_contratual!$N46,IF($C$3="C3",posicao_contratual!$R46,IF($C$3="C4",posicao_contratual!$V46,"")))))+ROUND(SUMIFS(aditivos!$L$2:$L$200,aditivos!$A$2:$A$200,A57,aditivos!$C$2:$C$200,$C$3,aditivos!$B$2:$B$200,"&lt;"&amp;(INT($F$3)+1)),2),2),IF(ROUND(SUMIFS(aditivos!$L$2:$L$200,aditivos!$A$2:$A$200,A57,aditivos!$C$2:$C$200,$C$3,aditivos!$B$2:$B$200,"&lt;"&amp;(INT($F$3)+1)),2)&gt;0,ROUND(SUMIFS(aditivos!$L$2:$L$200,aditivos!$A$2:$A$200,A57,aditivos!$C$2:$C$200,$C$3,aditivos!$B$2:$B$200,"&lt;"&amp;(INT($F$3)+1)),2),""))))</f>
        <v/>
      </c>
      <c r="C57" s="418"/>
      <c r="D57" s="417" t="str">
        <f t="shared" si="6"/>
        <v/>
      </c>
      <c r="E57" s="419" t="str">
        <f>IF(A57="","",IF($C$3="C0",historico_VU!$C46,IF($C$3="C1",historico_VU!$D46,IF($C$3="C2",historico_VU!$E46,IF($C$3="C3",historico_VU!$F46,IF($C$3="C4",historico_VU!$G46,""))))))</f>
        <v/>
      </c>
      <c r="F57" s="419" t="str">
        <f t="shared" si="7"/>
        <v/>
      </c>
      <c r="G57" s="419" t="str">
        <f t="shared" si="8"/>
        <v/>
      </c>
      <c r="I57" t="str">
        <f>IF(OR(A57="",$D$5="",$F$3=""),"",ROUND(SUMIFS(aditivos!$L$2:$L$200,aditivos!$A$2:$A$200,A57,aditivos!$B$2:$B$200,"&gt;="&amp;(INT($F$3)+1),aditivos!$B$2:$B$200,"&lt;="&amp;$D$5),2))</f>
        <v/>
      </c>
      <c r="J57" t="str">
        <f t="shared" si="9"/>
        <v/>
      </c>
      <c r="K57" t="str">
        <f t="shared" si="10"/>
        <v/>
      </c>
      <c r="L57" t="str">
        <f>IF(A57="","",IF($C$3="C0",SUMIFS(itens_Consumidos!$E$2:$E$200,itens_Consumidos!$A$2:$A$200,A57),IF($C$3="C1",SUMIFS(itens_Consumidos!$G$2:$G$200,itens_Consumidos!$A$2:$A$200,A57),IF($C$3="C2",SUMIFS(itens_Consumidos!$I$2:$I$200,itens_Consumidos!$A$2:$A$200,A57),IF($C$3="C3",SUMIFS(itens_Consumidos!$K$2:$K$200,itens_Consumidos!$A$2:$A$200,A57),IF($C$3="C4",SUMIFS(itens_Consumidos!$M$2:$M$200,itens_Consumidos!$A$2:$A$200,A57),""))))))</f>
        <v/>
      </c>
      <c r="M57" t="str">
        <f t="shared" si="11"/>
        <v/>
      </c>
      <c r="N57" t="str">
        <f>IF(A57="","",IF($C$3="C0",COUNTIFS(itens_Consumidos!$A$2:$A$200,A57,itens_Consumidos!$E$2:$E$200,"&lt;&gt;"),IF($C$3="C1",COUNTIFS(itens_Consumidos!$A$2:$A$200,A57,itens_Consumidos!$G$2:$G$200,"&lt;&gt;"),IF($C$3="C2",COUNTIFS(itens_Consumidos!$A$2:$A$200,A57,itens_Consumidos!$I$2:$I$200,"&lt;&gt;"),IF($C$3="C3",COUNTIFS(itens_Consumidos!$A$2:$A$200,A57,itens_Consumidos!$K$2:$K$200,"&lt;&gt;"),IF($C$3="C4",COUNTIFS(itens_Consumidos!$A$2:$A$200,A57,itens_Consumidos!$M$2:$M$200,"&lt;&gt;"),""))))))</f>
        <v/>
      </c>
      <c r="O57" t="str">
        <f>IF(itens_Remanesc!$A46="","",COUNTIFS(aditivos!$A$2:$A$200,itens_Remanesc!$A46,aditivos!$B$2:$B$200,"&lt;="&amp;$D$5,aditivos!$L$2:$L$200,"&gt;0"))</f>
        <v/>
      </c>
    </row>
    <row r="58" spans="1:15" ht="20" customHeight="1" x14ac:dyDescent="0.35">
      <c r="A58" s="416" t="str">
        <f>IF(itens_Remanesc!$A47="","",IF(NOT(posicao_contratual!$Z47),itens_Remanesc!$A47,IF(AND(ISNUMBER($D$5),$O58&gt;0),itens_Remanesc!$A47,"")))</f>
        <v/>
      </c>
      <c r="B58" s="417" t="str">
        <f>IF(A58="","",IF(AND(posicao_contratual!$Z47,COUNTIFS(aditivos!$A$2:$A$200,itens_Remanesc!$A47,aditivos!$B$2:$B$200,"&lt;"&amp;(INT($F$3)+1),aditivos!$L$2:$L$200,"&gt;0")=0),0,IF(ISNUMBER(IF($C$3="C0",posicao_contratual!$F47,IF($C$3="C1",posicao_contratual!$J47,IF($C$3="C2",posicao_contratual!$N47,IF($C$3="C3",posicao_contratual!$R47,IF($C$3="C4",posicao_contratual!$V47,"")))))),ROUND(IF($C$3="C0",posicao_contratual!$F47,IF($C$3="C1",posicao_contratual!$J47,IF($C$3="C2",posicao_contratual!$N47,IF($C$3="C3",posicao_contratual!$R47,IF($C$3="C4",posicao_contratual!$V47,"")))))+ROUND(SUMIFS(aditivos!$L$2:$L$200,aditivos!$A$2:$A$200,A58,aditivos!$C$2:$C$200,$C$3,aditivos!$B$2:$B$200,"&lt;"&amp;(INT($F$3)+1)),2),2),IF(ROUND(SUMIFS(aditivos!$L$2:$L$200,aditivos!$A$2:$A$200,A58,aditivos!$C$2:$C$200,$C$3,aditivos!$B$2:$B$200,"&lt;"&amp;(INT($F$3)+1)),2)&gt;0,ROUND(SUMIFS(aditivos!$L$2:$L$200,aditivos!$A$2:$A$200,A58,aditivos!$C$2:$C$200,$C$3,aditivos!$B$2:$B$200,"&lt;"&amp;(INT($F$3)+1)),2),""))))</f>
        <v/>
      </c>
      <c r="C58" s="418"/>
      <c r="D58" s="417" t="str">
        <f t="shared" si="6"/>
        <v/>
      </c>
      <c r="E58" s="419" t="str">
        <f>IF(A58="","",IF($C$3="C0",historico_VU!$C47,IF($C$3="C1",historico_VU!$D47,IF($C$3="C2",historico_VU!$E47,IF($C$3="C3",historico_VU!$F47,IF($C$3="C4",historico_VU!$G47,""))))))</f>
        <v/>
      </c>
      <c r="F58" s="419" t="str">
        <f t="shared" si="7"/>
        <v/>
      </c>
      <c r="G58" s="419" t="str">
        <f t="shared" si="8"/>
        <v/>
      </c>
      <c r="I58" t="str">
        <f>IF(OR(A58="",$D$5="",$F$3=""),"",ROUND(SUMIFS(aditivos!$L$2:$L$200,aditivos!$A$2:$A$200,A58,aditivos!$B$2:$B$200,"&gt;="&amp;(INT($F$3)+1),aditivos!$B$2:$B$200,"&lt;="&amp;$D$5),2))</f>
        <v/>
      </c>
      <c r="J58" t="str">
        <f t="shared" si="9"/>
        <v/>
      </c>
      <c r="K58" t="str">
        <f t="shared" si="10"/>
        <v/>
      </c>
      <c r="L58" t="str">
        <f>IF(A58="","",IF($C$3="C0",SUMIFS(itens_Consumidos!$E$2:$E$200,itens_Consumidos!$A$2:$A$200,A58),IF($C$3="C1",SUMIFS(itens_Consumidos!$G$2:$G$200,itens_Consumidos!$A$2:$A$200,A58),IF($C$3="C2",SUMIFS(itens_Consumidos!$I$2:$I$200,itens_Consumidos!$A$2:$A$200,A58),IF($C$3="C3",SUMIFS(itens_Consumidos!$K$2:$K$200,itens_Consumidos!$A$2:$A$200,A58),IF($C$3="C4",SUMIFS(itens_Consumidos!$M$2:$M$200,itens_Consumidos!$A$2:$A$200,A58),""))))))</f>
        <v/>
      </c>
      <c r="M58" t="str">
        <f t="shared" si="11"/>
        <v/>
      </c>
      <c r="N58" t="str">
        <f>IF(A58="","",IF($C$3="C0",COUNTIFS(itens_Consumidos!$A$2:$A$200,A58,itens_Consumidos!$E$2:$E$200,"&lt;&gt;"),IF($C$3="C1",COUNTIFS(itens_Consumidos!$A$2:$A$200,A58,itens_Consumidos!$G$2:$G$200,"&lt;&gt;"),IF($C$3="C2",COUNTIFS(itens_Consumidos!$A$2:$A$200,A58,itens_Consumidos!$I$2:$I$200,"&lt;&gt;"),IF($C$3="C3",COUNTIFS(itens_Consumidos!$A$2:$A$200,A58,itens_Consumidos!$K$2:$K$200,"&lt;&gt;"),IF($C$3="C4",COUNTIFS(itens_Consumidos!$A$2:$A$200,A58,itens_Consumidos!$M$2:$M$200,"&lt;&gt;"),""))))))</f>
        <v/>
      </c>
      <c r="O58" t="str">
        <f>IF(itens_Remanesc!$A47="","",COUNTIFS(aditivos!$A$2:$A$200,itens_Remanesc!$A47,aditivos!$B$2:$B$200,"&lt;="&amp;$D$5,aditivos!$L$2:$L$200,"&gt;0"))</f>
        <v/>
      </c>
    </row>
    <row r="59" spans="1:15" ht="20" customHeight="1" x14ac:dyDescent="0.35">
      <c r="A59" s="416" t="str">
        <f>IF(itens_Remanesc!$A48="","",IF(NOT(posicao_contratual!$Z48),itens_Remanesc!$A48,IF(AND(ISNUMBER($D$5),$O59&gt;0),itens_Remanesc!$A48,"")))</f>
        <v/>
      </c>
      <c r="B59" s="417" t="str">
        <f>IF(A59="","",IF(AND(posicao_contratual!$Z48,COUNTIFS(aditivos!$A$2:$A$200,itens_Remanesc!$A48,aditivos!$B$2:$B$200,"&lt;"&amp;(INT($F$3)+1),aditivos!$L$2:$L$200,"&gt;0")=0),0,IF(ISNUMBER(IF($C$3="C0",posicao_contratual!$F48,IF($C$3="C1",posicao_contratual!$J48,IF($C$3="C2",posicao_contratual!$N48,IF($C$3="C3",posicao_contratual!$R48,IF($C$3="C4",posicao_contratual!$V48,"")))))),ROUND(IF($C$3="C0",posicao_contratual!$F48,IF($C$3="C1",posicao_contratual!$J48,IF($C$3="C2",posicao_contratual!$N48,IF($C$3="C3",posicao_contratual!$R48,IF($C$3="C4",posicao_contratual!$V48,"")))))+ROUND(SUMIFS(aditivos!$L$2:$L$200,aditivos!$A$2:$A$200,A59,aditivos!$C$2:$C$200,$C$3,aditivos!$B$2:$B$200,"&lt;"&amp;(INT($F$3)+1)),2),2),IF(ROUND(SUMIFS(aditivos!$L$2:$L$200,aditivos!$A$2:$A$200,A59,aditivos!$C$2:$C$200,$C$3,aditivos!$B$2:$B$200,"&lt;"&amp;(INT($F$3)+1)),2)&gt;0,ROUND(SUMIFS(aditivos!$L$2:$L$200,aditivos!$A$2:$A$200,A59,aditivos!$C$2:$C$200,$C$3,aditivos!$B$2:$B$200,"&lt;"&amp;(INT($F$3)+1)),2),""))))</f>
        <v/>
      </c>
      <c r="C59" s="418"/>
      <c r="D59" s="417" t="str">
        <f t="shared" si="6"/>
        <v/>
      </c>
      <c r="E59" s="419" t="str">
        <f>IF(A59="","",IF($C$3="C0",historico_VU!$C48,IF($C$3="C1",historico_VU!$D48,IF($C$3="C2",historico_VU!$E48,IF($C$3="C3",historico_VU!$F48,IF($C$3="C4",historico_VU!$G48,""))))))</f>
        <v/>
      </c>
      <c r="F59" s="419" t="str">
        <f t="shared" si="7"/>
        <v/>
      </c>
      <c r="G59" s="419" t="str">
        <f t="shared" si="8"/>
        <v/>
      </c>
      <c r="I59" t="str">
        <f>IF(OR(A59="",$D$5="",$F$3=""),"",ROUND(SUMIFS(aditivos!$L$2:$L$200,aditivos!$A$2:$A$200,A59,aditivos!$B$2:$B$200,"&gt;="&amp;(INT($F$3)+1),aditivos!$B$2:$B$200,"&lt;="&amp;$D$5),2))</f>
        <v/>
      </c>
      <c r="J59" t="str">
        <f t="shared" si="9"/>
        <v/>
      </c>
      <c r="K59" t="str">
        <f t="shared" si="10"/>
        <v/>
      </c>
      <c r="L59" t="str">
        <f>IF(A59="","",IF($C$3="C0",SUMIFS(itens_Consumidos!$E$2:$E$200,itens_Consumidos!$A$2:$A$200,A59),IF($C$3="C1",SUMIFS(itens_Consumidos!$G$2:$G$200,itens_Consumidos!$A$2:$A$200,A59),IF($C$3="C2",SUMIFS(itens_Consumidos!$I$2:$I$200,itens_Consumidos!$A$2:$A$200,A59),IF($C$3="C3",SUMIFS(itens_Consumidos!$K$2:$K$200,itens_Consumidos!$A$2:$A$200,A59),IF($C$3="C4",SUMIFS(itens_Consumidos!$M$2:$M$200,itens_Consumidos!$A$2:$A$200,A59),""))))))</f>
        <v/>
      </c>
      <c r="M59" t="str">
        <f t="shared" si="11"/>
        <v/>
      </c>
      <c r="N59" t="str">
        <f>IF(A59="","",IF($C$3="C0",COUNTIFS(itens_Consumidos!$A$2:$A$200,A59,itens_Consumidos!$E$2:$E$200,"&lt;&gt;"),IF($C$3="C1",COUNTIFS(itens_Consumidos!$A$2:$A$200,A59,itens_Consumidos!$G$2:$G$200,"&lt;&gt;"),IF($C$3="C2",COUNTIFS(itens_Consumidos!$A$2:$A$200,A59,itens_Consumidos!$I$2:$I$200,"&lt;&gt;"),IF($C$3="C3",COUNTIFS(itens_Consumidos!$A$2:$A$200,A59,itens_Consumidos!$K$2:$K$200,"&lt;&gt;"),IF($C$3="C4",COUNTIFS(itens_Consumidos!$A$2:$A$200,A59,itens_Consumidos!$M$2:$M$200,"&lt;&gt;"),""))))))</f>
        <v/>
      </c>
      <c r="O59" t="str">
        <f>IF(itens_Remanesc!$A48="","",COUNTIFS(aditivos!$A$2:$A$200,itens_Remanesc!$A48,aditivos!$B$2:$B$200,"&lt;="&amp;$D$5,aditivos!$L$2:$L$200,"&gt;0"))</f>
        <v/>
      </c>
    </row>
    <row r="60" spans="1:15" ht="20" customHeight="1" x14ac:dyDescent="0.35">
      <c r="A60" s="416" t="str">
        <f>IF(itens_Remanesc!$A49="","",IF(NOT(posicao_contratual!$Z49),itens_Remanesc!$A49,IF(AND(ISNUMBER($D$5),$O60&gt;0),itens_Remanesc!$A49,"")))</f>
        <v/>
      </c>
      <c r="B60" s="417" t="str">
        <f>IF(A60="","",IF(AND(posicao_contratual!$Z49,COUNTIFS(aditivos!$A$2:$A$200,itens_Remanesc!$A49,aditivos!$B$2:$B$200,"&lt;"&amp;(INT($F$3)+1),aditivos!$L$2:$L$200,"&gt;0")=0),0,IF(ISNUMBER(IF($C$3="C0",posicao_contratual!$F49,IF($C$3="C1",posicao_contratual!$J49,IF($C$3="C2",posicao_contratual!$N49,IF($C$3="C3",posicao_contratual!$R49,IF($C$3="C4",posicao_contratual!$V49,"")))))),ROUND(IF($C$3="C0",posicao_contratual!$F49,IF($C$3="C1",posicao_contratual!$J49,IF($C$3="C2",posicao_contratual!$N49,IF($C$3="C3",posicao_contratual!$R49,IF($C$3="C4",posicao_contratual!$V49,"")))))+ROUND(SUMIFS(aditivos!$L$2:$L$200,aditivos!$A$2:$A$200,A60,aditivos!$C$2:$C$200,$C$3,aditivos!$B$2:$B$200,"&lt;"&amp;(INT($F$3)+1)),2),2),IF(ROUND(SUMIFS(aditivos!$L$2:$L$200,aditivos!$A$2:$A$200,A60,aditivos!$C$2:$C$200,$C$3,aditivos!$B$2:$B$200,"&lt;"&amp;(INT($F$3)+1)),2)&gt;0,ROUND(SUMIFS(aditivos!$L$2:$L$200,aditivos!$A$2:$A$200,A60,aditivos!$C$2:$C$200,$C$3,aditivos!$B$2:$B$200,"&lt;"&amp;(INT($F$3)+1)),2),""))))</f>
        <v/>
      </c>
      <c r="C60" s="418"/>
      <c r="D60" s="417" t="str">
        <f t="shared" si="6"/>
        <v/>
      </c>
      <c r="E60" s="419" t="str">
        <f>IF(A60="","",IF($C$3="C0",historico_VU!$C49,IF($C$3="C1",historico_VU!$D49,IF($C$3="C2",historico_VU!$E49,IF($C$3="C3",historico_VU!$F49,IF($C$3="C4",historico_VU!$G49,""))))))</f>
        <v/>
      </c>
      <c r="F60" s="419" t="str">
        <f t="shared" si="7"/>
        <v/>
      </c>
      <c r="G60" s="419" t="str">
        <f t="shared" si="8"/>
        <v/>
      </c>
      <c r="I60" t="str">
        <f>IF(OR(A60="",$D$5="",$F$3=""),"",ROUND(SUMIFS(aditivos!$L$2:$L$200,aditivos!$A$2:$A$200,A60,aditivos!$B$2:$B$200,"&gt;="&amp;(INT($F$3)+1),aditivos!$B$2:$B$200,"&lt;="&amp;$D$5),2))</f>
        <v/>
      </c>
      <c r="J60" t="str">
        <f t="shared" si="9"/>
        <v/>
      </c>
      <c r="K60" t="str">
        <f t="shared" si="10"/>
        <v/>
      </c>
      <c r="L60" t="str">
        <f>IF(A60="","",IF($C$3="C0",SUMIFS(itens_Consumidos!$E$2:$E$200,itens_Consumidos!$A$2:$A$200,A60),IF($C$3="C1",SUMIFS(itens_Consumidos!$G$2:$G$200,itens_Consumidos!$A$2:$A$200,A60),IF($C$3="C2",SUMIFS(itens_Consumidos!$I$2:$I$200,itens_Consumidos!$A$2:$A$200,A60),IF($C$3="C3",SUMIFS(itens_Consumidos!$K$2:$K$200,itens_Consumidos!$A$2:$A$200,A60),IF($C$3="C4",SUMIFS(itens_Consumidos!$M$2:$M$200,itens_Consumidos!$A$2:$A$200,A60),""))))))</f>
        <v/>
      </c>
      <c r="M60" t="str">
        <f t="shared" si="11"/>
        <v/>
      </c>
      <c r="N60" t="str">
        <f>IF(A60="","",IF($C$3="C0",COUNTIFS(itens_Consumidos!$A$2:$A$200,A60,itens_Consumidos!$E$2:$E$200,"&lt;&gt;"),IF($C$3="C1",COUNTIFS(itens_Consumidos!$A$2:$A$200,A60,itens_Consumidos!$G$2:$G$200,"&lt;&gt;"),IF($C$3="C2",COUNTIFS(itens_Consumidos!$A$2:$A$200,A60,itens_Consumidos!$I$2:$I$200,"&lt;&gt;"),IF($C$3="C3",COUNTIFS(itens_Consumidos!$A$2:$A$200,A60,itens_Consumidos!$K$2:$K$200,"&lt;&gt;"),IF($C$3="C4",COUNTIFS(itens_Consumidos!$A$2:$A$200,A60,itens_Consumidos!$M$2:$M$200,"&lt;&gt;"),""))))))</f>
        <v/>
      </c>
      <c r="O60" t="str">
        <f>IF(itens_Remanesc!$A49="","",COUNTIFS(aditivos!$A$2:$A$200,itens_Remanesc!$A49,aditivos!$B$2:$B$200,"&lt;="&amp;$D$5,aditivos!$L$2:$L$200,"&gt;0"))</f>
        <v/>
      </c>
    </row>
    <row r="61" spans="1:15" ht="20" customHeight="1" x14ac:dyDescent="0.35">
      <c r="A61" s="416" t="str">
        <f>IF(itens_Remanesc!$A50="","",IF(NOT(posicao_contratual!$Z50),itens_Remanesc!$A50,IF(AND(ISNUMBER($D$5),$O61&gt;0),itens_Remanesc!$A50,"")))</f>
        <v/>
      </c>
      <c r="B61" s="417" t="str">
        <f>IF(A61="","",IF(AND(posicao_contratual!$Z50,COUNTIFS(aditivos!$A$2:$A$200,itens_Remanesc!$A50,aditivos!$B$2:$B$200,"&lt;"&amp;(INT($F$3)+1),aditivos!$L$2:$L$200,"&gt;0")=0),0,IF(ISNUMBER(IF($C$3="C0",posicao_contratual!$F50,IF($C$3="C1",posicao_contratual!$J50,IF($C$3="C2",posicao_contratual!$N50,IF($C$3="C3",posicao_contratual!$R50,IF($C$3="C4",posicao_contratual!$V50,"")))))),ROUND(IF($C$3="C0",posicao_contratual!$F50,IF($C$3="C1",posicao_contratual!$J50,IF($C$3="C2",posicao_contratual!$N50,IF($C$3="C3",posicao_contratual!$R50,IF($C$3="C4",posicao_contratual!$V50,"")))))+ROUND(SUMIFS(aditivos!$L$2:$L$200,aditivos!$A$2:$A$200,A61,aditivos!$C$2:$C$200,$C$3,aditivos!$B$2:$B$200,"&lt;"&amp;(INT($F$3)+1)),2),2),IF(ROUND(SUMIFS(aditivos!$L$2:$L$200,aditivos!$A$2:$A$200,A61,aditivos!$C$2:$C$200,$C$3,aditivos!$B$2:$B$200,"&lt;"&amp;(INT($F$3)+1)),2)&gt;0,ROUND(SUMIFS(aditivos!$L$2:$L$200,aditivos!$A$2:$A$200,A61,aditivos!$C$2:$C$200,$C$3,aditivos!$B$2:$B$200,"&lt;"&amp;(INT($F$3)+1)),2),""))))</f>
        <v/>
      </c>
      <c r="C61" s="418"/>
      <c r="D61" s="417" t="str">
        <f t="shared" si="6"/>
        <v/>
      </c>
      <c r="E61" s="419" t="str">
        <f>IF(A61="","",IF($C$3="C0",historico_VU!$C50,IF($C$3="C1",historico_VU!$D50,IF($C$3="C2",historico_VU!$E50,IF($C$3="C3",historico_VU!$F50,IF($C$3="C4",historico_VU!$G50,""))))))</f>
        <v/>
      </c>
      <c r="F61" s="419" t="str">
        <f t="shared" si="7"/>
        <v/>
      </c>
      <c r="G61" s="419" t="str">
        <f t="shared" si="8"/>
        <v/>
      </c>
      <c r="I61" t="str">
        <f>IF(OR(A61="",$D$5="",$F$3=""),"",ROUND(SUMIFS(aditivos!$L$2:$L$200,aditivos!$A$2:$A$200,A61,aditivos!$B$2:$B$200,"&gt;="&amp;(INT($F$3)+1),aditivos!$B$2:$B$200,"&lt;="&amp;$D$5),2))</f>
        <v/>
      </c>
      <c r="J61" t="str">
        <f t="shared" si="9"/>
        <v/>
      </c>
      <c r="K61" t="str">
        <f t="shared" si="10"/>
        <v/>
      </c>
      <c r="L61" t="str">
        <f>IF(A61="","",IF($C$3="C0",SUMIFS(itens_Consumidos!$E$2:$E$200,itens_Consumidos!$A$2:$A$200,A61),IF($C$3="C1",SUMIFS(itens_Consumidos!$G$2:$G$200,itens_Consumidos!$A$2:$A$200,A61),IF($C$3="C2",SUMIFS(itens_Consumidos!$I$2:$I$200,itens_Consumidos!$A$2:$A$200,A61),IF($C$3="C3",SUMIFS(itens_Consumidos!$K$2:$K$200,itens_Consumidos!$A$2:$A$200,A61),IF($C$3="C4",SUMIFS(itens_Consumidos!$M$2:$M$200,itens_Consumidos!$A$2:$A$200,A61),""))))))</f>
        <v/>
      </c>
      <c r="M61" t="str">
        <f t="shared" si="11"/>
        <v/>
      </c>
      <c r="N61" t="str">
        <f>IF(A61="","",IF($C$3="C0",COUNTIFS(itens_Consumidos!$A$2:$A$200,A61,itens_Consumidos!$E$2:$E$200,"&lt;&gt;"),IF($C$3="C1",COUNTIFS(itens_Consumidos!$A$2:$A$200,A61,itens_Consumidos!$G$2:$G$200,"&lt;&gt;"),IF($C$3="C2",COUNTIFS(itens_Consumidos!$A$2:$A$200,A61,itens_Consumidos!$I$2:$I$200,"&lt;&gt;"),IF($C$3="C3",COUNTIFS(itens_Consumidos!$A$2:$A$200,A61,itens_Consumidos!$K$2:$K$200,"&lt;&gt;"),IF($C$3="C4",COUNTIFS(itens_Consumidos!$A$2:$A$200,A61,itens_Consumidos!$M$2:$M$200,"&lt;&gt;"),""))))))</f>
        <v/>
      </c>
      <c r="O61" t="str">
        <f>IF(itens_Remanesc!$A50="","",COUNTIFS(aditivos!$A$2:$A$200,itens_Remanesc!$A50,aditivos!$B$2:$B$200,"&lt;="&amp;$D$5,aditivos!$L$2:$L$200,"&gt;0"))</f>
        <v/>
      </c>
    </row>
    <row r="62" spans="1:15" ht="20" customHeight="1" x14ac:dyDescent="0.35">
      <c r="A62" s="416" t="str">
        <f>IF(itens_Remanesc!$A51="","",IF(NOT(posicao_contratual!$Z51),itens_Remanesc!$A51,IF(AND(ISNUMBER($D$5),$O62&gt;0),itens_Remanesc!$A51,"")))</f>
        <v/>
      </c>
      <c r="B62" s="417" t="str">
        <f>IF(A62="","",IF(AND(posicao_contratual!$Z51,COUNTIFS(aditivos!$A$2:$A$200,itens_Remanesc!$A51,aditivos!$B$2:$B$200,"&lt;"&amp;(INT($F$3)+1),aditivos!$L$2:$L$200,"&gt;0")=0),0,IF(ISNUMBER(IF($C$3="C0",posicao_contratual!$F51,IF($C$3="C1",posicao_contratual!$J51,IF($C$3="C2",posicao_contratual!$N51,IF($C$3="C3",posicao_contratual!$R51,IF($C$3="C4",posicao_contratual!$V51,"")))))),ROUND(IF($C$3="C0",posicao_contratual!$F51,IF($C$3="C1",posicao_contratual!$J51,IF($C$3="C2",posicao_contratual!$N51,IF($C$3="C3",posicao_contratual!$R51,IF($C$3="C4",posicao_contratual!$V51,"")))))+ROUND(SUMIFS(aditivos!$L$2:$L$200,aditivos!$A$2:$A$200,A62,aditivos!$C$2:$C$200,$C$3,aditivos!$B$2:$B$200,"&lt;"&amp;(INT($F$3)+1)),2),2),IF(ROUND(SUMIFS(aditivos!$L$2:$L$200,aditivos!$A$2:$A$200,A62,aditivos!$C$2:$C$200,$C$3,aditivos!$B$2:$B$200,"&lt;"&amp;(INT($F$3)+1)),2)&gt;0,ROUND(SUMIFS(aditivos!$L$2:$L$200,aditivos!$A$2:$A$200,A62,aditivos!$C$2:$C$200,$C$3,aditivos!$B$2:$B$200,"&lt;"&amp;(INT($F$3)+1)),2),""))))</f>
        <v/>
      </c>
      <c r="C62" s="418"/>
      <c r="D62" s="417" t="str">
        <f t="shared" si="6"/>
        <v/>
      </c>
      <c r="E62" s="419" t="str">
        <f>IF(A62="","",IF($C$3="C0",historico_VU!$C51,IF($C$3="C1",historico_VU!$D51,IF($C$3="C2",historico_VU!$E51,IF($C$3="C3",historico_VU!$F51,IF($C$3="C4",historico_VU!$G51,""))))))</f>
        <v/>
      </c>
      <c r="F62" s="419" t="str">
        <f t="shared" si="7"/>
        <v/>
      </c>
      <c r="G62" s="419" t="str">
        <f t="shared" si="8"/>
        <v/>
      </c>
      <c r="I62" t="str">
        <f>IF(OR(A62="",$D$5="",$F$3=""),"",ROUND(SUMIFS(aditivos!$L$2:$L$200,aditivos!$A$2:$A$200,A62,aditivos!$B$2:$B$200,"&gt;="&amp;(INT($F$3)+1),aditivos!$B$2:$B$200,"&lt;="&amp;$D$5),2))</f>
        <v/>
      </c>
      <c r="J62" t="str">
        <f t="shared" si="9"/>
        <v/>
      </c>
      <c r="K62" t="str">
        <f t="shared" si="10"/>
        <v/>
      </c>
      <c r="L62" t="str">
        <f>IF(A62="","",IF($C$3="C0",SUMIFS(itens_Consumidos!$E$2:$E$200,itens_Consumidos!$A$2:$A$200,A62),IF($C$3="C1",SUMIFS(itens_Consumidos!$G$2:$G$200,itens_Consumidos!$A$2:$A$200,A62),IF($C$3="C2",SUMIFS(itens_Consumidos!$I$2:$I$200,itens_Consumidos!$A$2:$A$200,A62),IF($C$3="C3",SUMIFS(itens_Consumidos!$K$2:$K$200,itens_Consumidos!$A$2:$A$200,A62),IF($C$3="C4",SUMIFS(itens_Consumidos!$M$2:$M$200,itens_Consumidos!$A$2:$A$200,A62),""))))))</f>
        <v/>
      </c>
      <c r="M62" t="str">
        <f t="shared" si="11"/>
        <v/>
      </c>
      <c r="N62" t="str">
        <f>IF(A62="","",IF($C$3="C0",COUNTIFS(itens_Consumidos!$A$2:$A$200,A62,itens_Consumidos!$E$2:$E$200,"&lt;&gt;"),IF($C$3="C1",COUNTIFS(itens_Consumidos!$A$2:$A$200,A62,itens_Consumidos!$G$2:$G$200,"&lt;&gt;"),IF($C$3="C2",COUNTIFS(itens_Consumidos!$A$2:$A$200,A62,itens_Consumidos!$I$2:$I$200,"&lt;&gt;"),IF($C$3="C3",COUNTIFS(itens_Consumidos!$A$2:$A$200,A62,itens_Consumidos!$K$2:$K$200,"&lt;&gt;"),IF($C$3="C4",COUNTIFS(itens_Consumidos!$A$2:$A$200,A62,itens_Consumidos!$M$2:$M$200,"&lt;&gt;"),""))))))</f>
        <v/>
      </c>
      <c r="O62" t="str">
        <f>IF(itens_Remanesc!$A51="","",COUNTIFS(aditivos!$A$2:$A$200,itens_Remanesc!$A51,aditivos!$B$2:$B$200,"&lt;="&amp;$D$5,aditivos!$L$2:$L$200,"&gt;0"))</f>
        <v/>
      </c>
    </row>
    <row r="63" spans="1:15" ht="20" customHeight="1" x14ac:dyDescent="0.35">
      <c r="A63" s="416" t="str">
        <f>IF(itens_Remanesc!$A52="","",IF(NOT(posicao_contratual!$Z52),itens_Remanesc!$A52,IF(AND(ISNUMBER($D$5),$O63&gt;0),itens_Remanesc!$A52,"")))</f>
        <v/>
      </c>
      <c r="B63" s="417" t="str">
        <f>IF(A63="","",IF(AND(posicao_contratual!$Z52,COUNTIFS(aditivos!$A$2:$A$200,itens_Remanesc!$A52,aditivos!$B$2:$B$200,"&lt;"&amp;(INT($F$3)+1),aditivos!$L$2:$L$200,"&gt;0")=0),0,IF(ISNUMBER(IF($C$3="C0",posicao_contratual!$F52,IF($C$3="C1",posicao_contratual!$J52,IF($C$3="C2",posicao_contratual!$N52,IF($C$3="C3",posicao_contratual!$R52,IF($C$3="C4",posicao_contratual!$V52,"")))))),ROUND(IF($C$3="C0",posicao_contratual!$F52,IF($C$3="C1",posicao_contratual!$J52,IF($C$3="C2",posicao_contratual!$N52,IF($C$3="C3",posicao_contratual!$R52,IF($C$3="C4",posicao_contratual!$V52,"")))))+ROUND(SUMIFS(aditivos!$L$2:$L$200,aditivos!$A$2:$A$200,A63,aditivos!$C$2:$C$200,$C$3,aditivos!$B$2:$B$200,"&lt;"&amp;(INT($F$3)+1)),2),2),IF(ROUND(SUMIFS(aditivos!$L$2:$L$200,aditivos!$A$2:$A$200,A63,aditivos!$C$2:$C$200,$C$3,aditivos!$B$2:$B$200,"&lt;"&amp;(INT($F$3)+1)),2)&gt;0,ROUND(SUMIFS(aditivos!$L$2:$L$200,aditivos!$A$2:$A$200,A63,aditivos!$C$2:$C$200,$C$3,aditivos!$B$2:$B$200,"&lt;"&amp;(INT($F$3)+1)),2),""))))</f>
        <v/>
      </c>
      <c r="C63" s="418"/>
      <c r="D63" s="417" t="str">
        <f t="shared" si="6"/>
        <v/>
      </c>
      <c r="E63" s="419" t="str">
        <f>IF(A63="","",IF($C$3="C0",historico_VU!$C52,IF($C$3="C1",historico_VU!$D52,IF($C$3="C2",historico_VU!$E52,IF($C$3="C3",historico_VU!$F52,IF($C$3="C4",historico_VU!$G52,""))))))</f>
        <v/>
      </c>
      <c r="F63" s="419" t="str">
        <f t="shared" si="7"/>
        <v/>
      </c>
      <c r="G63" s="419" t="str">
        <f t="shared" si="8"/>
        <v/>
      </c>
      <c r="I63" t="str">
        <f>IF(OR(A63="",$D$5="",$F$3=""),"",ROUND(SUMIFS(aditivos!$L$2:$L$200,aditivos!$A$2:$A$200,A63,aditivos!$B$2:$B$200,"&gt;="&amp;(INT($F$3)+1),aditivos!$B$2:$B$200,"&lt;="&amp;$D$5),2))</f>
        <v/>
      </c>
      <c r="J63" t="str">
        <f t="shared" si="9"/>
        <v/>
      </c>
      <c r="K63" t="str">
        <f t="shared" si="10"/>
        <v/>
      </c>
      <c r="L63" t="str">
        <f>IF(A63="","",IF($C$3="C0",SUMIFS(itens_Consumidos!$E$2:$E$200,itens_Consumidos!$A$2:$A$200,A63),IF($C$3="C1",SUMIFS(itens_Consumidos!$G$2:$G$200,itens_Consumidos!$A$2:$A$200,A63),IF($C$3="C2",SUMIFS(itens_Consumidos!$I$2:$I$200,itens_Consumidos!$A$2:$A$200,A63),IF($C$3="C3",SUMIFS(itens_Consumidos!$K$2:$K$200,itens_Consumidos!$A$2:$A$200,A63),IF($C$3="C4",SUMIFS(itens_Consumidos!$M$2:$M$200,itens_Consumidos!$A$2:$A$200,A63),""))))))</f>
        <v/>
      </c>
      <c r="M63" t="str">
        <f t="shared" si="11"/>
        <v/>
      </c>
      <c r="N63" t="str">
        <f>IF(A63="","",IF($C$3="C0",COUNTIFS(itens_Consumidos!$A$2:$A$200,A63,itens_Consumidos!$E$2:$E$200,"&lt;&gt;"),IF($C$3="C1",COUNTIFS(itens_Consumidos!$A$2:$A$200,A63,itens_Consumidos!$G$2:$G$200,"&lt;&gt;"),IF($C$3="C2",COUNTIFS(itens_Consumidos!$A$2:$A$200,A63,itens_Consumidos!$I$2:$I$200,"&lt;&gt;"),IF($C$3="C3",COUNTIFS(itens_Consumidos!$A$2:$A$200,A63,itens_Consumidos!$K$2:$K$200,"&lt;&gt;"),IF($C$3="C4",COUNTIFS(itens_Consumidos!$A$2:$A$200,A63,itens_Consumidos!$M$2:$M$200,"&lt;&gt;"),""))))))</f>
        <v/>
      </c>
      <c r="O63" t="str">
        <f>IF(itens_Remanesc!$A52="","",COUNTIFS(aditivos!$A$2:$A$200,itens_Remanesc!$A52,aditivos!$B$2:$B$200,"&lt;="&amp;$D$5,aditivos!$L$2:$L$200,"&gt;0"))</f>
        <v/>
      </c>
    </row>
    <row r="64" spans="1:15" ht="20" customHeight="1" x14ac:dyDescent="0.35">
      <c r="A64" s="416" t="str">
        <f>IF(itens_Remanesc!$A53="","",IF(NOT(posicao_contratual!$Z53),itens_Remanesc!$A53,IF(AND(ISNUMBER($D$5),$O64&gt;0),itens_Remanesc!$A53,"")))</f>
        <v/>
      </c>
      <c r="B64" s="417" t="str">
        <f>IF(A64="","",IF(AND(posicao_contratual!$Z53,COUNTIFS(aditivos!$A$2:$A$200,itens_Remanesc!$A53,aditivos!$B$2:$B$200,"&lt;"&amp;(INT($F$3)+1),aditivos!$L$2:$L$200,"&gt;0")=0),0,IF(ISNUMBER(IF($C$3="C0",posicao_contratual!$F53,IF($C$3="C1",posicao_contratual!$J53,IF($C$3="C2",posicao_contratual!$N53,IF($C$3="C3",posicao_contratual!$R53,IF($C$3="C4",posicao_contratual!$V53,"")))))),ROUND(IF($C$3="C0",posicao_contratual!$F53,IF($C$3="C1",posicao_contratual!$J53,IF($C$3="C2",posicao_contratual!$N53,IF($C$3="C3",posicao_contratual!$R53,IF($C$3="C4",posicao_contratual!$V53,"")))))+ROUND(SUMIFS(aditivos!$L$2:$L$200,aditivos!$A$2:$A$200,A64,aditivos!$C$2:$C$200,$C$3,aditivos!$B$2:$B$200,"&lt;"&amp;(INT($F$3)+1)),2),2),IF(ROUND(SUMIFS(aditivos!$L$2:$L$200,aditivos!$A$2:$A$200,A64,aditivos!$C$2:$C$200,$C$3,aditivos!$B$2:$B$200,"&lt;"&amp;(INT($F$3)+1)),2)&gt;0,ROUND(SUMIFS(aditivos!$L$2:$L$200,aditivos!$A$2:$A$200,A64,aditivos!$C$2:$C$200,$C$3,aditivos!$B$2:$B$200,"&lt;"&amp;(INT($F$3)+1)),2),""))))</f>
        <v/>
      </c>
      <c r="C64" s="418"/>
      <c r="D64" s="417" t="str">
        <f t="shared" si="6"/>
        <v/>
      </c>
      <c r="E64" s="419" t="str">
        <f>IF(A64="","",IF($C$3="C0",historico_VU!$C53,IF($C$3="C1",historico_VU!$D53,IF($C$3="C2",historico_VU!$E53,IF($C$3="C3",historico_VU!$F53,IF($C$3="C4",historico_VU!$G53,""))))))</f>
        <v/>
      </c>
      <c r="F64" s="419" t="str">
        <f t="shared" si="7"/>
        <v/>
      </c>
      <c r="G64" s="419" t="str">
        <f t="shared" si="8"/>
        <v/>
      </c>
      <c r="I64" t="str">
        <f>IF(OR(A64="",$D$5="",$F$3=""),"",ROUND(SUMIFS(aditivos!$L$2:$L$200,aditivos!$A$2:$A$200,A64,aditivos!$B$2:$B$200,"&gt;="&amp;(INT($F$3)+1),aditivos!$B$2:$B$200,"&lt;="&amp;$D$5),2))</f>
        <v/>
      </c>
      <c r="J64" t="str">
        <f t="shared" si="9"/>
        <v/>
      </c>
      <c r="K64" t="str">
        <f t="shared" si="10"/>
        <v/>
      </c>
      <c r="L64" t="str">
        <f>IF(A64="","",IF($C$3="C0",SUMIFS(itens_Consumidos!$E$2:$E$200,itens_Consumidos!$A$2:$A$200,A64),IF($C$3="C1",SUMIFS(itens_Consumidos!$G$2:$G$200,itens_Consumidos!$A$2:$A$200,A64),IF($C$3="C2",SUMIFS(itens_Consumidos!$I$2:$I$200,itens_Consumidos!$A$2:$A$200,A64),IF($C$3="C3",SUMIFS(itens_Consumidos!$K$2:$K$200,itens_Consumidos!$A$2:$A$200,A64),IF($C$3="C4",SUMIFS(itens_Consumidos!$M$2:$M$200,itens_Consumidos!$A$2:$A$200,A64),""))))))</f>
        <v/>
      </c>
      <c r="M64" t="str">
        <f t="shared" si="11"/>
        <v/>
      </c>
      <c r="N64" t="str">
        <f>IF(A64="","",IF($C$3="C0",COUNTIFS(itens_Consumidos!$A$2:$A$200,A64,itens_Consumidos!$E$2:$E$200,"&lt;&gt;"),IF($C$3="C1",COUNTIFS(itens_Consumidos!$A$2:$A$200,A64,itens_Consumidos!$G$2:$G$200,"&lt;&gt;"),IF($C$3="C2",COUNTIFS(itens_Consumidos!$A$2:$A$200,A64,itens_Consumidos!$I$2:$I$200,"&lt;&gt;"),IF($C$3="C3",COUNTIFS(itens_Consumidos!$A$2:$A$200,A64,itens_Consumidos!$K$2:$K$200,"&lt;&gt;"),IF($C$3="C4",COUNTIFS(itens_Consumidos!$A$2:$A$200,A64,itens_Consumidos!$M$2:$M$200,"&lt;&gt;"),""))))))</f>
        <v/>
      </c>
      <c r="O64" t="str">
        <f>IF(itens_Remanesc!$A53="","",COUNTIFS(aditivos!$A$2:$A$200,itens_Remanesc!$A53,aditivos!$B$2:$B$200,"&lt;="&amp;$D$5,aditivos!$L$2:$L$200,"&gt;0"))</f>
        <v/>
      </c>
    </row>
    <row r="65" spans="1:15" ht="20" customHeight="1" x14ac:dyDescent="0.35">
      <c r="A65" s="416" t="str">
        <f>IF(itens_Remanesc!$A54="","",IF(NOT(posicao_contratual!$Z54),itens_Remanesc!$A54,IF(AND(ISNUMBER($D$5),$O65&gt;0),itens_Remanesc!$A54,"")))</f>
        <v/>
      </c>
      <c r="B65" s="417" t="str">
        <f>IF(A65="","",IF(AND(posicao_contratual!$Z54,COUNTIFS(aditivos!$A$2:$A$200,itens_Remanesc!$A54,aditivos!$B$2:$B$200,"&lt;"&amp;(INT($F$3)+1),aditivos!$L$2:$L$200,"&gt;0")=0),0,IF(ISNUMBER(IF($C$3="C0",posicao_contratual!$F54,IF($C$3="C1",posicao_contratual!$J54,IF($C$3="C2",posicao_contratual!$N54,IF($C$3="C3",posicao_contratual!$R54,IF($C$3="C4",posicao_contratual!$V54,"")))))),ROUND(IF($C$3="C0",posicao_contratual!$F54,IF($C$3="C1",posicao_contratual!$J54,IF($C$3="C2",posicao_contratual!$N54,IF($C$3="C3",posicao_contratual!$R54,IF($C$3="C4",posicao_contratual!$V54,"")))))+ROUND(SUMIFS(aditivos!$L$2:$L$200,aditivos!$A$2:$A$200,A65,aditivos!$C$2:$C$200,$C$3,aditivos!$B$2:$B$200,"&lt;"&amp;(INT($F$3)+1)),2),2),IF(ROUND(SUMIFS(aditivos!$L$2:$L$200,aditivos!$A$2:$A$200,A65,aditivos!$C$2:$C$200,$C$3,aditivos!$B$2:$B$200,"&lt;"&amp;(INT($F$3)+1)),2)&gt;0,ROUND(SUMIFS(aditivos!$L$2:$L$200,aditivos!$A$2:$A$200,A65,aditivos!$C$2:$C$200,$C$3,aditivos!$B$2:$B$200,"&lt;"&amp;(INT($F$3)+1)),2),""))))</f>
        <v/>
      </c>
      <c r="C65" s="418"/>
      <c r="D65" s="417" t="str">
        <f t="shared" si="6"/>
        <v/>
      </c>
      <c r="E65" s="419" t="str">
        <f>IF(A65="","",IF($C$3="C0",historico_VU!$C54,IF($C$3="C1",historico_VU!$D54,IF($C$3="C2",historico_VU!$E54,IF($C$3="C3",historico_VU!$F54,IF($C$3="C4",historico_VU!$G54,""))))))</f>
        <v/>
      </c>
      <c r="F65" s="419" t="str">
        <f t="shared" si="7"/>
        <v/>
      </c>
      <c r="G65" s="419" t="str">
        <f t="shared" si="8"/>
        <v/>
      </c>
      <c r="I65" t="str">
        <f>IF(OR(A65="",$D$5="",$F$3=""),"",ROUND(SUMIFS(aditivos!$L$2:$L$200,aditivos!$A$2:$A$200,A65,aditivos!$B$2:$B$200,"&gt;="&amp;(INT($F$3)+1),aditivos!$B$2:$B$200,"&lt;="&amp;$D$5),2))</f>
        <v/>
      </c>
      <c r="J65" t="str">
        <f t="shared" si="9"/>
        <v/>
      </c>
      <c r="K65" t="str">
        <f t="shared" si="10"/>
        <v/>
      </c>
      <c r="L65" t="str">
        <f>IF(A65="","",IF($C$3="C0",SUMIFS(itens_Consumidos!$E$2:$E$200,itens_Consumidos!$A$2:$A$200,A65),IF($C$3="C1",SUMIFS(itens_Consumidos!$G$2:$G$200,itens_Consumidos!$A$2:$A$200,A65),IF($C$3="C2",SUMIFS(itens_Consumidos!$I$2:$I$200,itens_Consumidos!$A$2:$A$200,A65),IF($C$3="C3",SUMIFS(itens_Consumidos!$K$2:$K$200,itens_Consumidos!$A$2:$A$200,A65),IF($C$3="C4",SUMIFS(itens_Consumidos!$M$2:$M$200,itens_Consumidos!$A$2:$A$200,A65),""))))))</f>
        <v/>
      </c>
      <c r="M65" t="str">
        <f t="shared" si="11"/>
        <v/>
      </c>
      <c r="N65" t="str">
        <f>IF(A65="","",IF($C$3="C0",COUNTIFS(itens_Consumidos!$A$2:$A$200,A65,itens_Consumidos!$E$2:$E$200,"&lt;&gt;"),IF($C$3="C1",COUNTIFS(itens_Consumidos!$A$2:$A$200,A65,itens_Consumidos!$G$2:$G$200,"&lt;&gt;"),IF($C$3="C2",COUNTIFS(itens_Consumidos!$A$2:$A$200,A65,itens_Consumidos!$I$2:$I$200,"&lt;&gt;"),IF($C$3="C3",COUNTIFS(itens_Consumidos!$A$2:$A$200,A65,itens_Consumidos!$K$2:$K$200,"&lt;&gt;"),IF($C$3="C4",COUNTIFS(itens_Consumidos!$A$2:$A$200,A65,itens_Consumidos!$M$2:$M$200,"&lt;&gt;"),""))))))</f>
        <v/>
      </c>
      <c r="O65" t="str">
        <f>IF(itens_Remanesc!$A54="","",COUNTIFS(aditivos!$A$2:$A$200,itens_Remanesc!$A54,aditivos!$B$2:$B$200,"&lt;="&amp;$D$5,aditivos!$L$2:$L$200,"&gt;0"))</f>
        <v/>
      </c>
    </row>
    <row r="66" spans="1:15" ht="20" customHeight="1" x14ac:dyDescent="0.35">
      <c r="A66" s="416" t="str">
        <f>IF(itens_Remanesc!$A55="","",IF(NOT(posicao_contratual!$Z55),itens_Remanesc!$A55,IF(AND(ISNUMBER($D$5),$O66&gt;0),itens_Remanesc!$A55,"")))</f>
        <v/>
      </c>
      <c r="B66" s="417" t="str">
        <f>IF(A66="","",IF(AND(posicao_contratual!$Z55,COUNTIFS(aditivos!$A$2:$A$200,itens_Remanesc!$A55,aditivos!$B$2:$B$200,"&lt;"&amp;(INT($F$3)+1),aditivos!$L$2:$L$200,"&gt;0")=0),0,IF(ISNUMBER(IF($C$3="C0",posicao_contratual!$F55,IF($C$3="C1",posicao_contratual!$J55,IF($C$3="C2",posicao_contratual!$N55,IF($C$3="C3",posicao_contratual!$R55,IF($C$3="C4",posicao_contratual!$V55,"")))))),ROUND(IF($C$3="C0",posicao_contratual!$F55,IF($C$3="C1",posicao_contratual!$J55,IF($C$3="C2",posicao_contratual!$N55,IF($C$3="C3",posicao_contratual!$R55,IF($C$3="C4",posicao_contratual!$V55,"")))))+ROUND(SUMIFS(aditivos!$L$2:$L$200,aditivos!$A$2:$A$200,A66,aditivos!$C$2:$C$200,$C$3,aditivos!$B$2:$B$200,"&lt;"&amp;(INT($F$3)+1)),2),2),IF(ROUND(SUMIFS(aditivos!$L$2:$L$200,aditivos!$A$2:$A$200,A66,aditivos!$C$2:$C$200,$C$3,aditivos!$B$2:$B$200,"&lt;"&amp;(INT($F$3)+1)),2)&gt;0,ROUND(SUMIFS(aditivos!$L$2:$L$200,aditivos!$A$2:$A$200,A66,aditivos!$C$2:$C$200,$C$3,aditivos!$B$2:$B$200,"&lt;"&amp;(INT($F$3)+1)),2),""))))</f>
        <v/>
      </c>
      <c r="C66" s="418"/>
      <c r="D66" s="417" t="str">
        <f t="shared" si="6"/>
        <v/>
      </c>
      <c r="E66" s="419" t="str">
        <f>IF(A66="","",IF($C$3="C0",historico_VU!$C55,IF($C$3="C1",historico_VU!$D55,IF($C$3="C2",historico_VU!$E55,IF($C$3="C3",historico_VU!$F55,IF($C$3="C4",historico_VU!$G55,""))))))</f>
        <v/>
      </c>
      <c r="F66" s="419" t="str">
        <f t="shared" si="7"/>
        <v/>
      </c>
      <c r="G66" s="419" t="str">
        <f t="shared" si="8"/>
        <v/>
      </c>
      <c r="I66" t="str">
        <f>IF(OR(A66="",$D$5="",$F$3=""),"",ROUND(SUMIFS(aditivos!$L$2:$L$200,aditivos!$A$2:$A$200,A66,aditivos!$B$2:$B$200,"&gt;="&amp;(INT($F$3)+1),aditivos!$B$2:$B$200,"&lt;="&amp;$D$5),2))</f>
        <v/>
      </c>
      <c r="J66" t="str">
        <f t="shared" si="9"/>
        <v/>
      </c>
      <c r="K66" t="str">
        <f t="shared" si="10"/>
        <v/>
      </c>
      <c r="L66" t="str">
        <f>IF(A66="","",IF($C$3="C0",SUMIFS(itens_Consumidos!$E$2:$E$200,itens_Consumidos!$A$2:$A$200,A66),IF($C$3="C1",SUMIFS(itens_Consumidos!$G$2:$G$200,itens_Consumidos!$A$2:$A$200,A66),IF($C$3="C2",SUMIFS(itens_Consumidos!$I$2:$I$200,itens_Consumidos!$A$2:$A$200,A66),IF($C$3="C3",SUMIFS(itens_Consumidos!$K$2:$K$200,itens_Consumidos!$A$2:$A$200,A66),IF($C$3="C4",SUMIFS(itens_Consumidos!$M$2:$M$200,itens_Consumidos!$A$2:$A$200,A66),""))))))</f>
        <v/>
      </c>
      <c r="M66" t="str">
        <f t="shared" si="11"/>
        <v/>
      </c>
      <c r="N66" t="str">
        <f>IF(A66="","",IF($C$3="C0",COUNTIFS(itens_Consumidos!$A$2:$A$200,A66,itens_Consumidos!$E$2:$E$200,"&lt;&gt;"),IF($C$3="C1",COUNTIFS(itens_Consumidos!$A$2:$A$200,A66,itens_Consumidos!$G$2:$G$200,"&lt;&gt;"),IF($C$3="C2",COUNTIFS(itens_Consumidos!$A$2:$A$200,A66,itens_Consumidos!$I$2:$I$200,"&lt;&gt;"),IF($C$3="C3",COUNTIFS(itens_Consumidos!$A$2:$A$200,A66,itens_Consumidos!$K$2:$K$200,"&lt;&gt;"),IF($C$3="C4",COUNTIFS(itens_Consumidos!$A$2:$A$200,A66,itens_Consumidos!$M$2:$M$200,"&lt;&gt;"),""))))))</f>
        <v/>
      </c>
      <c r="O66" t="str">
        <f>IF(itens_Remanesc!$A55="","",COUNTIFS(aditivos!$A$2:$A$200,itens_Remanesc!$A55,aditivos!$B$2:$B$200,"&lt;="&amp;$D$5,aditivos!$L$2:$L$200,"&gt;0"))</f>
        <v/>
      </c>
    </row>
    <row r="67" spans="1:15" ht="20" customHeight="1" x14ac:dyDescent="0.35">
      <c r="A67" s="416" t="str">
        <f>IF(itens_Remanesc!$A56="","",IF(NOT(posicao_contratual!$Z56),itens_Remanesc!$A56,IF(AND(ISNUMBER($D$5),$O67&gt;0),itens_Remanesc!$A56,"")))</f>
        <v/>
      </c>
      <c r="B67" s="417" t="str">
        <f>IF(A67="","",IF(AND(posicao_contratual!$Z56,COUNTIFS(aditivos!$A$2:$A$200,itens_Remanesc!$A56,aditivos!$B$2:$B$200,"&lt;"&amp;(INT($F$3)+1),aditivos!$L$2:$L$200,"&gt;0")=0),0,IF(ISNUMBER(IF($C$3="C0",posicao_contratual!$F56,IF($C$3="C1",posicao_contratual!$J56,IF($C$3="C2",posicao_contratual!$N56,IF($C$3="C3",posicao_contratual!$R56,IF($C$3="C4",posicao_contratual!$V56,"")))))),ROUND(IF($C$3="C0",posicao_contratual!$F56,IF($C$3="C1",posicao_contratual!$J56,IF($C$3="C2",posicao_contratual!$N56,IF($C$3="C3",posicao_contratual!$R56,IF($C$3="C4",posicao_contratual!$V56,"")))))+ROUND(SUMIFS(aditivos!$L$2:$L$200,aditivos!$A$2:$A$200,A67,aditivos!$C$2:$C$200,$C$3,aditivos!$B$2:$B$200,"&lt;"&amp;(INT($F$3)+1)),2),2),IF(ROUND(SUMIFS(aditivos!$L$2:$L$200,aditivos!$A$2:$A$200,A67,aditivos!$C$2:$C$200,$C$3,aditivos!$B$2:$B$200,"&lt;"&amp;(INT($F$3)+1)),2)&gt;0,ROUND(SUMIFS(aditivos!$L$2:$L$200,aditivos!$A$2:$A$200,A67,aditivos!$C$2:$C$200,$C$3,aditivos!$B$2:$B$200,"&lt;"&amp;(INT($F$3)+1)),2),""))))</f>
        <v/>
      </c>
      <c r="C67" s="418"/>
      <c r="D67" s="417" t="str">
        <f t="shared" si="6"/>
        <v/>
      </c>
      <c r="E67" s="419" t="str">
        <f>IF(A67="","",IF($C$3="C0",historico_VU!$C56,IF($C$3="C1",historico_VU!$D56,IF($C$3="C2",historico_VU!$E56,IF($C$3="C3",historico_VU!$F56,IF($C$3="C4",historico_VU!$G56,""))))))</f>
        <v/>
      </c>
      <c r="F67" s="419" t="str">
        <f t="shared" si="7"/>
        <v/>
      </c>
      <c r="G67" s="419" t="str">
        <f t="shared" si="8"/>
        <v/>
      </c>
      <c r="I67" t="str">
        <f>IF(OR(A67="",$D$5="",$F$3=""),"",ROUND(SUMIFS(aditivos!$L$2:$L$200,aditivos!$A$2:$A$200,A67,aditivos!$B$2:$B$200,"&gt;="&amp;(INT($F$3)+1),aditivos!$B$2:$B$200,"&lt;="&amp;$D$5),2))</f>
        <v/>
      </c>
      <c r="J67" t="str">
        <f t="shared" si="9"/>
        <v/>
      </c>
      <c r="K67" t="str">
        <f t="shared" si="10"/>
        <v/>
      </c>
      <c r="L67" t="str">
        <f>IF(A67="","",IF($C$3="C0",SUMIFS(itens_Consumidos!$E$2:$E$200,itens_Consumidos!$A$2:$A$200,A67),IF($C$3="C1",SUMIFS(itens_Consumidos!$G$2:$G$200,itens_Consumidos!$A$2:$A$200,A67),IF($C$3="C2",SUMIFS(itens_Consumidos!$I$2:$I$200,itens_Consumidos!$A$2:$A$200,A67),IF($C$3="C3",SUMIFS(itens_Consumidos!$K$2:$K$200,itens_Consumidos!$A$2:$A$200,A67),IF($C$3="C4",SUMIFS(itens_Consumidos!$M$2:$M$200,itens_Consumidos!$A$2:$A$200,A67),""))))))</f>
        <v/>
      </c>
      <c r="M67" t="str">
        <f t="shared" si="11"/>
        <v/>
      </c>
      <c r="N67" t="str">
        <f>IF(A67="","",IF($C$3="C0",COUNTIFS(itens_Consumidos!$A$2:$A$200,A67,itens_Consumidos!$E$2:$E$200,"&lt;&gt;"),IF($C$3="C1",COUNTIFS(itens_Consumidos!$A$2:$A$200,A67,itens_Consumidos!$G$2:$G$200,"&lt;&gt;"),IF($C$3="C2",COUNTIFS(itens_Consumidos!$A$2:$A$200,A67,itens_Consumidos!$I$2:$I$200,"&lt;&gt;"),IF($C$3="C3",COUNTIFS(itens_Consumidos!$A$2:$A$200,A67,itens_Consumidos!$K$2:$K$200,"&lt;&gt;"),IF($C$3="C4",COUNTIFS(itens_Consumidos!$A$2:$A$200,A67,itens_Consumidos!$M$2:$M$200,"&lt;&gt;"),""))))))</f>
        <v/>
      </c>
      <c r="O67" t="str">
        <f>IF(itens_Remanesc!$A56="","",COUNTIFS(aditivos!$A$2:$A$200,itens_Remanesc!$A56,aditivos!$B$2:$B$200,"&lt;="&amp;$D$5,aditivos!$L$2:$L$200,"&gt;0"))</f>
        <v/>
      </c>
    </row>
    <row r="68" spans="1:15" ht="20" customHeight="1" x14ac:dyDescent="0.35">
      <c r="A68" s="416" t="str">
        <f>IF(itens_Remanesc!$A57="","",IF(NOT(posicao_contratual!$Z57),itens_Remanesc!$A57,IF(AND(ISNUMBER($D$5),$O68&gt;0),itens_Remanesc!$A57,"")))</f>
        <v/>
      </c>
      <c r="B68" s="417" t="str">
        <f>IF(A68="","",IF(AND(posicao_contratual!$Z57,COUNTIFS(aditivos!$A$2:$A$200,itens_Remanesc!$A57,aditivos!$B$2:$B$200,"&lt;"&amp;(INT($F$3)+1),aditivos!$L$2:$L$200,"&gt;0")=0),0,IF(ISNUMBER(IF($C$3="C0",posicao_contratual!$F57,IF($C$3="C1",posicao_contratual!$J57,IF($C$3="C2",posicao_contratual!$N57,IF($C$3="C3",posicao_contratual!$R57,IF($C$3="C4",posicao_contratual!$V57,"")))))),ROUND(IF($C$3="C0",posicao_contratual!$F57,IF($C$3="C1",posicao_contratual!$J57,IF($C$3="C2",posicao_contratual!$N57,IF($C$3="C3",posicao_contratual!$R57,IF($C$3="C4",posicao_contratual!$V57,"")))))+ROUND(SUMIFS(aditivos!$L$2:$L$200,aditivos!$A$2:$A$200,A68,aditivos!$C$2:$C$200,$C$3,aditivos!$B$2:$B$200,"&lt;"&amp;(INT($F$3)+1)),2),2),IF(ROUND(SUMIFS(aditivos!$L$2:$L$200,aditivos!$A$2:$A$200,A68,aditivos!$C$2:$C$200,$C$3,aditivos!$B$2:$B$200,"&lt;"&amp;(INT($F$3)+1)),2)&gt;0,ROUND(SUMIFS(aditivos!$L$2:$L$200,aditivos!$A$2:$A$200,A68,aditivos!$C$2:$C$200,$C$3,aditivos!$B$2:$B$200,"&lt;"&amp;(INT($F$3)+1)),2),""))))</f>
        <v/>
      </c>
      <c r="C68" s="418"/>
      <c r="D68" s="417" t="str">
        <f t="shared" si="6"/>
        <v/>
      </c>
      <c r="E68" s="419" t="str">
        <f>IF(A68="","",IF($C$3="C0",historico_VU!$C57,IF($C$3="C1",historico_VU!$D57,IF($C$3="C2",historico_VU!$E57,IF($C$3="C3",historico_VU!$F57,IF($C$3="C4",historico_VU!$G57,""))))))</f>
        <v/>
      </c>
      <c r="F68" s="419" t="str">
        <f t="shared" si="7"/>
        <v/>
      </c>
      <c r="G68" s="419" t="str">
        <f t="shared" si="8"/>
        <v/>
      </c>
      <c r="I68" t="str">
        <f>IF(OR(A68="",$D$5="",$F$3=""),"",ROUND(SUMIFS(aditivos!$L$2:$L$200,aditivos!$A$2:$A$200,A68,aditivos!$B$2:$B$200,"&gt;="&amp;(INT($F$3)+1),aditivos!$B$2:$B$200,"&lt;="&amp;$D$5),2))</f>
        <v/>
      </c>
      <c r="J68" t="str">
        <f t="shared" si="9"/>
        <v/>
      </c>
      <c r="K68" t="str">
        <f t="shared" si="10"/>
        <v/>
      </c>
      <c r="L68" t="str">
        <f>IF(A68="","",IF($C$3="C0",SUMIFS(itens_Consumidos!$E$2:$E$200,itens_Consumidos!$A$2:$A$200,A68),IF($C$3="C1",SUMIFS(itens_Consumidos!$G$2:$G$200,itens_Consumidos!$A$2:$A$200,A68),IF($C$3="C2",SUMIFS(itens_Consumidos!$I$2:$I$200,itens_Consumidos!$A$2:$A$200,A68),IF($C$3="C3",SUMIFS(itens_Consumidos!$K$2:$K$200,itens_Consumidos!$A$2:$A$200,A68),IF($C$3="C4",SUMIFS(itens_Consumidos!$M$2:$M$200,itens_Consumidos!$A$2:$A$200,A68),""))))))</f>
        <v/>
      </c>
      <c r="M68" t="str">
        <f t="shared" si="11"/>
        <v/>
      </c>
      <c r="N68" t="str">
        <f>IF(A68="","",IF($C$3="C0",COUNTIFS(itens_Consumidos!$A$2:$A$200,A68,itens_Consumidos!$E$2:$E$200,"&lt;&gt;"),IF($C$3="C1",COUNTIFS(itens_Consumidos!$A$2:$A$200,A68,itens_Consumidos!$G$2:$G$200,"&lt;&gt;"),IF($C$3="C2",COUNTIFS(itens_Consumidos!$A$2:$A$200,A68,itens_Consumidos!$I$2:$I$200,"&lt;&gt;"),IF($C$3="C3",COUNTIFS(itens_Consumidos!$A$2:$A$200,A68,itens_Consumidos!$K$2:$K$200,"&lt;&gt;"),IF($C$3="C4",COUNTIFS(itens_Consumidos!$A$2:$A$200,A68,itens_Consumidos!$M$2:$M$200,"&lt;&gt;"),""))))))</f>
        <v/>
      </c>
      <c r="O68" t="str">
        <f>IF(itens_Remanesc!$A57="","",COUNTIFS(aditivos!$A$2:$A$200,itens_Remanesc!$A57,aditivos!$B$2:$B$200,"&lt;="&amp;$D$5,aditivos!$L$2:$L$200,"&gt;0"))</f>
        <v/>
      </c>
    </row>
    <row r="69" spans="1:15" ht="20" customHeight="1" x14ac:dyDescent="0.35">
      <c r="A69" s="416" t="str">
        <f>IF(itens_Remanesc!$A58="","",IF(NOT(posicao_contratual!$Z58),itens_Remanesc!$A58,IF(AND(ISNUMBER($D$5),$O69&gt;0),itens_Remanesc!$A58,"")))</f>
        <v/>
      </c>
      <c r="B69" s="417" t="str">
        <f>IF(A69="","",IF(AND(posicao_contratual!$Z58,COUNTIFS(aditivos!$A$2:$A$200,itens_Remanesc!$A58,aditivos!$B$2:$B$200,"&lt;"&amp;(INT($F$3)+1),aditivos!$L$2:$L$200,"&gt;0")=0),0,IF(ISNUMBER(IF($C$3="C0",posicao_contratual!$F58,IF($C$3="C1",posicao_contratual!$J58,IF($C$3="C2",posicao_contratual!$N58,IF($C$3="C3",posicao_contratual!$R58,IF($C$3="C4",posicao_contratual!$V58,"")))))),ROUND(IF($C$3="C0",posicao_contratual!$F58,IF($C$3="C1",posicao_contratual!$J58,IF($C$3="C2",posicao_contratual!$N58,IF($C$3="C3",posicao_contratual!$R58,IF($C$3="C4",posicao_contratual!$V58,"")))))+ROUND(SUMIFS(aditivos!$L$2:$L$200,aditivos!$A$2:$A$200,A69,aditivos!$C$2:$C$200,$C$3,aditivos!$B$2:$B$200,"&lt;"&amp;(INT($F$3)+1)),2),2),IF(ROUND(SUMIFS(aditivos!$L$2:$L$200,aditivos!$A$2:$A$200,A69,aditivos!$C$2:$C$200,$C$3,aditivos!$B$2:$B$200,"&lt;"&amp;(INT($F$3)+1)),2)&gt;0,ROUND(SUMIFS(aditivos!$L$2:$L$200,aditivos!$A$2:$A$200,A69,aditivos!$C$2:$C$200,$C$3,aditivos!$B$2:$B$200,"&lt;"&amp;(INT($F$3)+1)),2),""))))</f>
        <v/>
      </c>
      <c r="C69" s="418"/>
      <c r="D69" s="417" t="str">
        <f t="shared" si="6"/>
        <v/>
      </c>
      <c r="E69" s="419" t="str">
        <f>IF(A69="","",IF($C$3="C0",historico_VU!$C58,IF($C$3="C1",historico_VU!$D58,IF($C$3="C2",historico_VU!$E58,IF($C$3="C3",historico_VU!$F58,IF($C$3="C4",historico_VU!$G58,""))))))</f>
        <v/>
      </c>
      <c r="F69" s="419" t="str">
        <f t="shared" si="7"/>
        <v/>
      </c>
      <c r="G69" s="419" t="str">
        <f t="shared" si="8"/>
        <v/>
      </c>
      <c r="I69" t="str">
        <f>IF(OR(A69="",$D$5="",$F$3=""),"",ROUND(SUMIFS(aditivos!$L$2:$L$200,aditivos!$A$2:$A$200,A69,aditivos!$B$2:$B$200,"&gt;="&amp;(INT($F$3)+1),aditivos!$B$2:$B$200,"&lt;="&amp;$D$5),2))</f>
        <v/>
      </c>
      <c r="J69" t="str">
        <f t="shared" si="9"/>
        <v/>
      </c>
      <c r="K69" t="str">
        <f t="shared" si="10"/>
        <v/>
      </c>
      <c r="L69" t="str">
        <f>IF(A69="","",IF($C$3="C0",SUMIFS(itens_Consumidos!$E$2:$E$200,itens_Consumidos!$A$2:$A$200,A69),IF($C$3="C1",SUMIFS(itens_Consumidos!$G$2:$G$200,itens_Consumidos!$A$2:$A$200,A69),IF($C$3="C2",SUMIFS(itens_Consumidos!$I$2:$I$200,itens_Consumidos!$A$2:$A$200,A69),IF($C$3="C3",SUMIFS(itens_Consumidos!$K$2:$K$200,itens_Consumidos!$A$2:$A$200,A69),IF($C$3="C4",SUMIFS(itens_Consumidos!$M$2:$M$200,itens_Consumidos!$A$2:$A$200,A69),""))))))</f>
        <v/>
      </c>
      <c r="M69" t="str">
        <f t="shared" si="11"/>
        <v/>
      </c>
      <c r="N69" t="str">
        <f>IF(A69="","",IF($C$3="C0",COUNTIFS(itens_Consumidos!$A$2:$A$200,A69,itens_Consumidos!$E$2:$E$200,"&lt;&gt;"),IF($C$3="C1",COUNTIFS(itens_Consumidos!$A$2:$A$200,A69,itens_Consumidos!$G$2:$G$200,"&lt;&gt;"),IF($C$3="C2",COUNTIFS(itens_Consumidos!$A$2:$A$200,A69,itens_Consumidos!$I$2:$I$200,"&lt;&gt;"),IF($C$3="C3",COUNTIFS(itens_Consumidos!$A$2:$A$200,A69,itens_Consumidos!$K$2:$K$200,"&lt;&gt;"),IF($C$3="C4",COUNTIFS(itens_Consumidos!$A$2:$A$200,A69,itens_Consumidos!$M$2:$M$200,"&lt;&gt;"),""))))))</f>
        <v/>
      </c>
      <c r="O69" t="str">
        <f>IF(itens_Remanesc!$A58="","",COUNTIFS(aditivos!$A$2:$A$200,itens_Remanesc!$A58,aditivos!$B$2:$B$200,"&lt;="&amp;$D$5,aditivos!$L$2:$L$200,"&gt;0"))</f>
        <v/>
      </c>
    </row>
    <row r="70" spans="1:15" ht="20" customHeight="1" x14ac:dyDescent="0.35">
      <c r="A70" s="416" t="str">
        <f>IF(itens_Remanesc!$A59="","",IF(NOT(posicao_contratual!$Z59),itens_Remanesc!$A59,IF(AND(ISNUMBER($D$5),$O70&gt;0),itens_Remanesc!$A59,"")))</f>
        <v/>
      </c>
      <c r="B70" s="417" t="str">
        <f>IF(A70="","",IF(AND(posicao_contratual!$Z59,COUNTIFS(aditivos!$A$2:$A$200,itens_Remanesc!$A59,aditivos!$B$2:$B$200,"&lt;"&amp;(INT($F$3)+1),aditivos!$L$2:$L$200,"&gt;0")=0),0,IF(ISNUMBER(IF($C$3="C0",posicao_contratual!$F59,IF($C$3="C1",posicao_contratual!$J59,IF($C$3="C2",posicao_contratual!$N59,IF($C$3="C3",posicao_contratual!$R59,IF($C$3="C4",posicao_contratual!$V59,"")))))),ROUND(IF($C$3="C0",posicao_contratual!$F59,IF($C$3="C1",posicao_contratual!$J59,IF($C$3="C2",posicao_contratual!$N59,IF($C$3="C3",posicao_contratual!$R59,IF($C$3="C4",posicao_contratual!$V59,"")))))+ROUND(SUMIFS(aditivos!$L$2:$L$200,aditivos!$A$2:$A$200,A70,aditivos!$C$2:$C$200,$C$3,aditivos!$B$2:$B$200,"&lt;"&amp;(INT($F$3)+1)),2),2),IF(ROUND(SUMIFS(aditivos!$L$2:$L$200,aditivos!$A$2:$A$200,A70,aditivos!$C$2:$C$200,$C$3,aditivos!$B$2:$B$200,"&lt;"&amp;(INT($F$3)+1)),2)&gt;0,ROUND(SUMIFS(aditivos!$L$2:$L$200,aditivos!$A$2:$A$200,A70,aditivos!$C$2:$C$200,$C$3,aditivos!$B$2:$B$200,"&lt;"&amp;(INT($F$3)+1)),2),""))))</f>
        <v/>
      </c>
      <c r="C70" s="418"/>
      <c r="D70" s="417" t="str">
        <f t="shared" si="6"/>
        <v/>
      </c>
      <c r="E70" s="419" t="str">
        <f>IF(A70="","",IF($C$3="C0",historico_VU!$C59,IF($C$3="C1",historico_VU!$D59,IF($C$3="C2",historico_VU!$E59,IF($C$3="C3",historico_VU!$F59,IF($C$3="C4",historico_VU!$G59,""))))))</f>
        <v/>
      </c>
      <c r="F70" s="419" t="str">
        <f t="shared" si="7"/>
        <v/>
      </c>
      <c r="G70" s="419" t="str">
        <f t="shared" si="8"/>
        <v/>
      </c>
      <c r="I70" t="str">
        <f>IF(OR(A70="",$D$5="",$F$3=""),"",ROUND(SUMIFS(aditivos!$L$2:$L$200,aditivos!$A$2:$A$200,A70,aditivos!$B$2:$B$200,"&gt;="&amp;(INT($F$3)+1),aditivos!$B$2:$B$200,"&lt;="&amp;$D$5),2))</f>
        <v/>
      </c>
      <c r="J70" t="str">
        <f t="shared" si="9"/>
        <v/>
      </c>
      <c r="K70" t="str">
        <f t="shared" si="10"/>
        <v/>
      </c>
      <c r="L70" t="str">
        <f>IF(A70="","",IF($C$3="C0",SUMIFS(itens_Consumidos!$E$2:$E$200,itens_Consumidos!$A$2:$A$200,A70),IF($C$3="C1",SUMIFS(itens_Consumidos!$G$2:$G$200,itens_Consumidos!$A$2:$A$200,A70),IF($C$3="C2",SUMIFS(itens_Consumidos!$I$2:$I$200,itens_Consumidos!$A$2:$A$200,A70),IF($C$3="C3",SUMIFS(itens_Consumidos!$K$2:$K$200,itens_Consumidos!$A$2:$A$200,A70),IF($C$3="C4",SUMIFS(itens_Consumidos!$M$2:$M$200,itens_Consumidos!$A$2:$A$200,A70),""))))))</f>
        <v/>
      </c>
      <c r="M70" t="str">
        <f t="shared" si="11"/>
        <v/>
      </c>
      <c r="N70" t="str">
        <f>IF(A70="","",IF($C$3="C0",COUNTIFS(itens_Consumidos!$A$2:$A$200,A70,itens_Consumidos!$E$2:$E$200,"&lt;&gt;"),IF($C$3="C1",COUNTIFS(itens_Consumidos!$A$2:$A$200,A70,itens_Consumidos!$G$2:$G$200,"&lt;&gt;"),IF($C$3="C2",COUNTIFS(itens_Consumidos!$A$2:$A$200,A70,itens_Consumidos!$I$2:$I$200,"&lt;&gt;"),IF($C$3="C3",COUNTIFS(itens_Consumidos!$A$2:$A$200,A70,itens_Consumidos!$K$2:$K$200,"&lt;&gt;"),IF($C$3="C4",COUNTIFS(itens_Consumidos!$A$2:$A$200,A70,itens_Consumidos!$M$2:$M$200,"&lt;&gt;"),""))))))</f>
        <v/>
      </c>
      <c r="O70" t="str">
        <f>IF(itens_Remanesc!$A59="","",COUNTIFS(aditivos!$A$2:$A$200,itens_Remanesc!$A59,aditivos!$B$2:$B$200,"&lt;="&amp;$D$5,aditivos!$L$2:$L$200,"&gt;0"))</f>
        <v/>
      </c>
    </row>
    <row r="71" spans="1:15" ht="20" customHeight="1" x14ac:dyDescent="0.35">
      <c r="A71" s="416" t="str">
        <f>IF(itens_Remanesc!$A60="","",IF(NOT(posicao_contratual!$Z60),itens_Remanesc!$A60,IF(AND(ISNUMBER($D$5),$O71&gt;0),itens_Remanesc!$A60,"")))</f>
        <v/>
      </c>
      <c r="B71" s="417" t="str">
        <f>IF(A71="","",IF(AND(posicao_contratual!$Z60,COUNTIFS(aditivos!$A$2:$A$200,itens_Remanesc!$A60,aditivos!$B$2:$B$200,"&lt;"&amp;(INT($F$3)+1),aditivos!$L$2:$L$200,"&gt;0")=0),0,IF(ISNUMBER(IF($C$3="C0",posicao_contratual!$F60,IF($C$3="C1",posicao_contratual!$J60,IF($C$3="C2",posicao_contratual!$N60,IF($C$3="C3",posicao_contratual!$R60,IF($C$3="C4",posicao_contratual!$V60,"")))))),ROUND(IF($C$3="C0",posicao_contratual!$F60,IF($C$3="C1",posicao_contratual!$J60,IF($C$3="C2",posicao_contratual!$N60,IF($C$3="C3",posicao_contratual!$R60,IF($C$3="C4",posicao_contratual!$V60,"")))))+ROUND(SUMIFS(aditivos!$L$2:$L$200,aditivos!$A$2:$A$200,A71,aditivos!$C$2:$C$200,$C$3,aditivos!$B$2:$B$200,"&lt;"&amp;(INT($F$3)+1)),2),2),IF(ROUND(SUMIFS(aditivos!$L$2:$L$200,aditivos!$A$2:$A$200,A71,aditivos!$C$2:$C$200,$C$3,aditivos!$B$2:$B$200,"&lt;"&amp;(INT($F$3)+1)),2)&gt;0,ROUND(SUMIFS(aditivos!$L$2:$L$200,aditivos!$A$2:$A$200,A71,aditivos!$C$2:$C$200,$C$3,aditivos!$B$2:$B$200,"&lt;"&amp;(INT($F$3)+1)),2),""))))</f>
        <v/>
      </c>
      <c r="C71" s="418"/>
      <c r="D71" s="417" t="str">
        <f t="shared" si="6"/>
        <v/>
      </c>
      <c r="E71" s="419" t="str">
        <f>IF(A71="","",IF($C$3="C0",historico_VU!$C60,IF($C$3="C1",historico_VU!$D60,IF($C$3="C2",historico_VU!$E60,IF($C$3="C3",historico_VU!$F60,IF($C$3="C4",historico_VU!$G60,""))))))</f>
        <v/>
      </c>
      <c r="F71" s="419" t="str">
        <f t="shared" si="7"/>
        <v/>
      </c>
      <c r="G71" s="419" t="str">
        <f t="shared" si="8"/>
        <v/>
      </c>
      <c r="I71" t="str">
        <f>IF(OR(A71="",$D$5="",$F$3=""),"",ROUND(SUMIFS(aditivos!$L$2:$L$200,aditivos!$A$2:$A$200,A71,aditivos!$B$2:$B$200,"&gt;="&amp;(INT($F$3)+1),aditivos!$B$2:$B$200,"&lt;="&amp;$D$5),2))</f>
        <v/>
      </c>
      <c r="J71" t="str">
        <f t="shared" si="9"/>
        <v/>
      </c>
      <c r="K71" t="str">
        <f t="shared" si="10"/>
        <v/>
      </c>
      <c r="L71" t="str">
        <f>IF(A71="","",IF($C$3="C0",SUMIFS(itens_Consumidos!$E$2:$E$200,itens_Consumidos!$A$2:$A$200,A71),IF($C$3="C1",SUMIFS(itens_Consumidos!$G$2:$G$200,itens_Consumidos!$A$2:$A$200,A71),IF($C$3="C2",SUMIFS(itens_Consumidos!$I$2:$I$200,itens_Consumidos!$A$2:$A$200,A71),IF($C$3="C3",SUMIFS(itens_Consumidos!$K$2:$K$200,itens_Consumidos!$A$2:$A$200,A71),IF($C$3="C4",SUMIFS(itens_Consumidos!$M$2:$M$200,itens_Consumidos!$A$2:$A$200,A71),""))))))</f>
        <v/>
      </c>
      <c r="M71" t="str">
        <f t="shared" si="11"/>
        <v/>
      </c>
      <c r="N71" t="str">
        <f>IF(A71="","",IF($C$3="C0",COUNTIFS(itens_Consumidos!$A$2:$A$200,A71,itens_Consumidos!$E$2:$E$200,"&lt;&gt;"),IF($C$3="C1",COUNTIFS(itens_Consumidos!$A$2:$A$200,A71,itens_Consumidos!$G$2:$G$200,"&lt;&gt;"),IF($C$3="C2",COUNTIFS(itens_Consumidos!$A$2:$A$200,A71,itens_Consumidos!$I$2:$I$200,"&lt;&gt;"),IF($C$3="C3",COUNTIFS(itens_Consumidos!$A$2:$A$200,A71,itens_Consumidos!$K$2:$K$200,"&lt;&gt;"),IF($C$3="C4",COUNTIFS(itens_Consumidos!$A$2:$A$200,A71,itens_Consumidos!$M$2:$M$200,"&lt;&gt;"),""))))))</f>
        <v/>
      </c>
      <c r="O71" t="str">
        <f>IF(itens_Remanesc!$A60="","",COUNTIFS(aditivos!$A$2:$A$200,itens_Remanesc!$A60,aditivos!$B$2:$B$200,"&lt;="&amp;$D$5,aditivos!$L$2:$L$200,"&gt;0"))</f>
        <v/>
      </c>
    </row>
    <row r="72" spans="1:15" ht="20" customHeight="1" x14ac:dyDescent="0.35">
      <c r="A72" s="416" t="str">
        <f>IF(itens_Remanesc!$A61="","",IF(NOT(posicao_contratual!$Z61),itens_Remanesc!$A61,IF(AND(ISNUMBER($D$5),$O72&gt;0),itens_Remanesc!$A61,"")))</f>
        <v/>
      </c>
      <c r="B72" s="417" t="str">
        <f>IF(A72="","",IF(AND(posicao_contratual!$Z61,COUNTIFS(aditivos!$A$2:$A$200,itens_Remanesc!$A61,aditivos!$B$2:$B$200,"&lt;"&amp;(INT($F$3)+1),aditivos!$L$2:$L$200,"&gt;0")=0),0,IF(ISNUMBER(IF($C$3="C0",posicao_contratual!$F61,IF($C$3="C1",posicao_contratual!$J61,IF($C$3="C2",posicao_contratual!$N61,IF($C$3="C3",posicao_contratual!$R61,IF($C$3="C4",posicao_contratual!$V61,"")))))),ROUND(IF($C$3="C0",posicao_contratual!$F61,IF($C$3="C1",posicao_contratual!$J61,IF($C$3="C2",posicao_contratual!$N61,IF($C$3="C3",posicao_contratual!$R61,IF($C$3="C4",posicao_contratual!$V61,"")))))+ROUND(SUMIFS(aditivos!$L$2:$L$200,aditivos!$A$2:$A$200,A72,aditivos!$C$2:$C$200,$C$3,aditivos!$B$2:$B$200,"&lt;"&amp;(INT($F$3)+1)),2),2),IF(ROUND(SUMIFS(aditivos!$L$2:$L$200,aditivos!$A$2:$A$200,A72,aditivos!$C$2:$C$200,$C$3,aditivos!$B$2:$B$200,"&lt;"&amp;(INT($F$3)+1)),2)&gt;0,ROUND(SUMIFS(aditivos!$L$2:$L$200,aditivos!$A$2:$A$200,A72,aditivos!$C$2:$C$200,$C$3,aditivos!$B$2:$B$200,"&lt;"&amp;(INT($F$3)+1)),2),""))))</f>
        <v/>
      </c>
      <c r="C72" s="418"/>
      <c r="D72" s="417" t="str">
        <f t="shared" si="6"/>
        <v/>
      </c>
      <c r="E72" s="419" t="str">
        <f>IF(A72="","",IF($C$3="C0",historico_VU!$C61,IF($C$3="C1",historico_VU!$D61,IF($C$3="C2",historico_VU!$E61,IF($C$3="C3",historico_VU!$F61,IF($C$3="C4",historico_VU!$G61,""))))))</f>
        <v/>
      </c>
      <c r="F72" s="419" t="str">
        <f t="shared" si="7"/>
        <v/>
      </c>
      <c r="G72" s="419" t="str">
        <f t="shared" si="8"/>
        <v/>
      </c>
      <c r="I72" t="str">
        <f>IF(OR(A72="",$D$5="",$F$3=""),"",ROUND(SUMIFS(aditivos!$L$2:$L$200,aditivos!$A$2:$A$200,A72,aditivos!$B$2:$B$200,"&gt;="&amp;(INT($F$3)+1),aditivos!$B$2:$B$200,"&lt;="&amp;$D$5),2))</f>
        <v/>
      </c>
      <c r="J72" t="str">
        <f t="shared" si="9"/>
        <v/>
      </c>
      <c r="K72" t="str">
        <f t="shared" si="10"/>
        <v/>
      </c>
      <c r="L72" t="str">
        <f>IF(A72="","",IF($C$3="C0",SUMIFS(itens_Consumidos!$E$2:$E$200,itens_Consumidos!$A$2:$A$200,A72),IF($C$3="C1",SUMIFS(itens_Consumidos!$G$2:$G$200,itens_Consumidos!$A$2:$A$200,A72),IF($C$3="C2",SUMIFS(itens_Consumidos!$I$2:$I$200,itens_Consumidos!$A$2:$A$200,A72),IF($C$3="C3",SUMIFS(itens_Consumidos!$K$2:$K$200,itens_Consumidos!$A$2:$A$200,A72),IF($C$3="C4",SUMIFS(itens_Consumidos!$M$2:$M$200,itens_Consumidos!$A$2:$A$200,A72),""))))))</f>
        <v/>
      </c>
      <c r="M72" t="str">
        <f t="shared" si="11"/>
        <v/>
      </c>
      <c r="N72" t="str">
        <f>IF(A72="","",IF($C$3="C0",COUNTIFS(itens_Consumidos!$A$2:$A$200,A72,itens_Consumidos!$E$2:$E$200,"&lt;&gt;"),IF($C$3="C1",COUNTIFS(itens_Consumidos!$A$2:$A$200,A72,itens_Consumidos!$G$2:$G$200,"&lt;&gt;"),IF($C$3="C2",COUNTIFS(itens_Consumidos!$A$2:$A$200,A72,itens_Consumidos!$I$2:$I$200,"&lt;&gt;"),IF($C$3="C3",COUNTIFS(itens_Consumidos!$A$2:$A$200,A72,itens_Consumidos!$K$2:$K$200,"&lt;&gt;"),IF($C$3="C4",COUNTIFS(itens_Consumidos!$A$2:$A$200,A72,itens_Consumidos!$M$2:$M$200,"&lt;&gt;"),""))))))</f>
        <v/>
      </c>
      <c r="O72" t="str">
        <f>IF(itens_Remanesc!$A61="","",COUNTIFS(aditivos!$A$2:$A$200,itens_Remanesc!$A61,aditivos!$B$2:$B$200,"&lt;="&amp;$D$5,aditivos!$L$2:$L$200,"&gt;0"))</f>
        <v/>
      </c>
    </row>
    <row r="73" spans="1:15" ht="20" customHeight="1" x14ac:dyDescent="0.35">
      <c r="A73" s="416" t="str">
        <f>IF(itens_Remanesc!$A62="","",IF(NOT(posicao_contratual!$Z62),itens_Remanesc!$A62,IF(AND(ISNUMBER($D$5),$O73&gt;0),itens_Remanesc!$A62,"")))</f>
        <v/>
      </c>
      <c r="B73" s="417" t="str">
        <f>IF(A73="","",IF(AND(posicao_contratual!$Z62,COUNTIFS(aditivos!$A$2:$A$200,itens_Remanesc!$A62,aditivos!$B$2:$B$200,"&lt;"&amp;(INT($F$3)+1),aditivos!$L$2:$L$200,"&gt;0")=0),0,IF(ISNUMBER(IF($C$3="C0",posicao_contratual!$F62,IF($C$3="C1",posicao_contratual!$J62,IF($C$3="C2",posicao_contratual!$N62,IF($C$3="C3",posicao_contratual!$R62,IF($C$3="C4",posicao_contratual!$V62,"")))))),ROUND(IF($C$3="C0",posicao_contratual!$F62,IF($C$3="C1",posicao_contratual!$J62,IF($C$3="C2",posicao_contratual!$N62,IF($C$3="C3",posicao_contratual!$R62,IF($C$3="C4",posicao_contratual!$V62,"")))))+ROUND(SUMIFS(aditivos!$L$2:$L$200,aditivos!$A$2:$A$200,A73,aditivos!$C$2:$C$200,$C$3,aditivos!$B$2:$B$200,"&lt;"&amp;(INT($F$3)+1)),2),2),IF(ROUND(SUMIFS(aditivos!$L$2:$L$200,aditivos!$A$2:$A$200,A73,aditivos!$C$2:$C$200,$C$3,aditivos!$B$2:$B$200,"&lt;"&amp;(INT($F$3)+1)),2)&gt;0,ROUND(SUMIFS(aditivos!$L$2:$L$200,aditivos!$A$2:$A$200,A73,aditivos!$C$2:$C$200,$C$3,aditivos!$B$2:$B$200,"&lt;"&amp;(INT($F$3)+1)),2),""))))</f>
        <v/>
      </c>
      <c r="C73" s="418"/>
      <c r="D73" s="417" t="str">
        <f t="shared" si="6"/>
        <v/>
      </c>
      <c r="E73" s="419" t="str">
        <f>IF(A73="","",IF($C$3="C0",historico_VU!$C62,IF($C$3="C1",historico_VU!$D62,IF($C$3="C2",historico_VU!$E62,IF($C$3="C3",historico_VU!$F62,IF($C$3="C4",historico_VU!$G62,""))))))</f>
        <v/>
      </c>
      <c r="F73" s="419" t="str">
        <f t="shared" si="7"/>
        <v/>
      </c>
      <c r="G73" s="419" t="str">
        <f t="shared" si="8"/>
        <v/>
      </c>
      <c r="I73" t="str">
        <f>IF(OR(A73="",$D$5="",$F$3=""),"",ROUND(SUMIFS(aditivos!$L$2:$L$200,aditivos!$A$2:$A$200,A73,aditivos!$B$2:$B$200,"&gt;="&amp;(INT($F$3)+1),aditivos!$B$2:$B$200,"&lt;="&amp;$D$5),2))</f>
        <v/>
      </c>
      <c r="J73" t="str">
        <f t="shared" si="9"/>
        <v/>
      </c>
      <c r="K73" t="str">
        <f t="shared" si="10"/>
        <v/>
      </c>
      <c r="L73" t="str">
        <f>IF(A73="","",IF($C$3="C0",SUMIFS(itens_Consumidos!$E$2:$E$200,itens_Consumidos!$A$2:$A$200,A73),IF($C$3="C1",SUMIFS(itens_Consumidos!$G$2:$G$200,itens_Consumidos!$A$2:$A$200,A73),IF($C$3="C2",SUMIFS(itens_Consumidos!$I$2:$I$200,itens_Consumidos!$A$2:$A$200,A73),IF($C$3="C3",SUMIFS(itens_Consumidos!$K$2:$K$200,itens_Consumidos!$A$2:$A$200,A73),IF($C$3="C4",SUMIFS(itens_Consumidos!$M$2:$M$200,itens_Consumidos!$A$2:$A$200,A73),""))))))</f>
        <v/>
      </c>
      <c r="M73" t="str">
        <f t="shared" si="11"/>
        <v/>
      </c>
      <c r="N73" t="str">
        <f>IF(A73="","",IF($C$3="C0",COUNTIFS(itens_Consumidos!$A$2:$A$200,A73,itens_Consumidos!$E$2:$E$200,"&lt;&gt;"),IF($C$3="C1",COUNTIFS(itens_Consumidos!$A$2:$A$200,A73,itens_Consumidos!$G$2:$G$200,"&lt;&gt;"),IF($C$3="C2",COUNTIFS(itens_Consumidos!$A$2:$A$200,A73,itens_Consumidos!$I$2:$I$200,"&lt;&gt;"),IF($C$3="C3",COUNTIFS(itens_Consumidos!$A$2:$A$200,A73,itens_Consumidos!$K$2:$K$200,"&lt;&gt;"),IF($C$3="C4",COUNTIFS(itens_Consumidos!$A$2:$A$200,A73,itens_Consumidos!$M$2:$M$200,"&lt;&gt;"),""))))))</f>
        <v/>
      </c>
      <c r="O73" t="str">
        <f>IF(itens_Remanesc!$A62="","",COUNTIFS(aditivos!$A$2:$A$200,itens_Remanesc!$A62,aditivos!$B$2:$B$200,"&lt;="&amp;$D$5,aditivos!$L$2:$L$200,"&gt;0"))</f>
        <v/>
      </c>
    </row>
    <row r="74" spans="1:15" ht="20" customHeight="1" x14ac:dyDescent="0.35">
      <c r="A74" s="416" t="str">
        <f>IF(itens_Remanesc!$A63="","",IF(NOT(posicao_contratual!$Z63),itens_Remanesc!$A63,IF(AND(ISNUMBER($D$5),$O74&gt;0),itens_Remanesc!$A63,"")))</f>
        <v/>
      </c>
      <c r="B74" s="417" t="str">
        <f>IF(A74="","",IF(AND(posicao_contratual!$Z63,COUNTIFS(aditivos!$A$2:$A$200,itens_Remanesc!$A63,aditivos!$B$2:$B$200,"&lt;"&amp;(INT($F$3)+1),aditivos!$L$2:$L$200,"&gt;0")=0),0,IF(ISNUMBER(IF($C$3="C0",posicao_contratual!$F63,IF($C$3="C1",posicao_contratual!$J63,IF($C$3="C2",posicao_contratual!$N63,IF($C$3="C3",posicao_contratual!$R63,IF($C$3="C4",posicao_contratual!$V63,"")))))),ROUND(IF($C$3="C0",posicao_contratual!$F63,IF($C$3="C1",posicao_contratual!$J63,IF($C$3="C2",posicao_contratual!$N63,IF($C$3="C3",posicao_contratual!$R63,IF($C$3="C4",posicao_contratual!$V63,"")))))+ROUND(SUMIFS(aditivos!$L$2:$L$200,aditivos!$A$2:$A$200,A74,aditivos!$C$2:$C$200,$C$3,aditivos!$B$2:$B$200,"&lt;"&amp;(INT($F$3)+1)),2),2),IF(ROUND(SUMIFS(aditivos!$L$2:$L$200,aditivos!$A$2:$A$200,A74,aditivos!$C$2:$C$200,$C$3,aditivos!$B$2:$B$200,"&lt;"&amp;(INT($F$3)+1)),2)&gt;0,ROUND(SUMIFS(aditivos!$L$2:$L$200,aditivos!$A$2:$A$200,A74,aditivos!$C$2:$C$200,$C$3,aditivos!$B$2:$B$200,"&lt;"&amp;(INT($F$3)+1)),2),""))))</f>
        <v/>
      </c>
      <c r="C74" s="418"/>
      <c r="D74" s="417" t="str">
        <f t="shared" si="6"/>
        <v/>
      </c>
      <c r="E74" s="419" t="str">
        <f>IF(A74="","",IF($C$3="C0",historico_VU!$C63,IF($C$3="C1",historico_VU!$D63,IF($C$3="C2",historico_VU!$E63,IF($C$3="C3",historico_VU!$F63,IF($C$3="C4",historico_VU!$G63,""))))))</f>
        <v/>
      </c>
      <c r="F74" s="419" t="str">
        <f t="shared" si="7"/>
        <v/>
      </c>
      <c r="G74" s="419" t="str">
        <f t="shared" si="8"/>
        <v/>
      </c>
      <c r="I74" t="str">
        <f>IF(OR(A74="",$D$5="",$F$3=""),"",ROUND(SUMIFS(aditivos!$L$2:$L$200,aditivos!$A$2:$A$200,A74,aditivos!$B$2:$B$200,"&gt;="&amp;(INT($F$3)+1),aditivos!$B$2:$B$200,"&lt;="&amp;$D$5),2))</f>
        <v/>
      </c>
      <c r="J74" t="str">
        <f t="shared" si="9"/>
        <v/>
      </c>
      <c r="K74" t="str">
        <f t="shared" si="10"/>
        <v/>
      </c>
      <c r="L74" t="str">
        <f>IF(A74="","",IF($C$3="C0",SUMIFS(itens_Consumidos!$E$2:$E$200,itens_Consumidos!$A$2:$A$200,A74),IF($C$3="C1",SUMIFS(itens_Consumidos!$G$2:$G$200,itens_Consumidos!$A$2:$A$200,A74),IF($C$3="C2",SUMIFS(itens_Consumidos!$I$2:$I$200,itens_Consumidos!$A$2:$A$200,A74),IF($C$3="C3",SUMIFS(itens_Consumidos!$K$2:$K$200,itens_Consumidos!$A$2:$A$200,A74),IF($C$3="C4",SUMIFS(itens_Consumidos!$M$2:$M$200,itens_Consumidos!$A$2:$A$200,A74),""))))))</f>
        <v/>
      </c>
      <c r="M74" t="str">
        <f t="shared" si="11"/>
        <v/>
      </c>
      <c r="N74" t="str">
        <f>IF(A74="","",IF($C$3="C0",COUNTIFS(itens_Consumidos!$A$2:$A$200,A74,itens_Consumidos!$E$2:$E$200,"&lt;&gt;"),IF($C$3="C1",COUNTIFS(itens_Consumidos!$A$2:$A$200,A74,itens_Consumidos!$G$2:$G$200,"&lt;&gt;"),IF($C$3="C2",COUNTIFS(itens_Consumidos!$A$2:$A$200,A74,itens_Consumidos!$I$2:$I$200,"&lt;&gt;"),IF($C$3="C3",COUNTIFS(itens_Consumidos!$A$2:$A$200,A74,itens_Consumidos!$K$2:$K$200,"&lt;&gt;"),IF($C$3="C4",COUNTIFS(itens_Consumidos!$A$2:$A$200,A74,itens_Consumidos!$M$2:$M$200,"&lt;&gt;"),""))))))</f>
        <v/>
      </c>
      <c r="O74" t="str">
        <f>IF(itens_Remanesc!$A63="","",COUNTIFS(aditivos!$A$2:$A$200,itens_Remanesc!$A63,aditivos!$B$2:$B$200,"&lt;="&amp;$D$5,aditivos!$L$2:$L$200,"&gt;0"))</f>
        <v/>
      </c>
    </row>
    <row r="75" spans="1:15" ht="20" customHeight="1" x14ac:dyDescent="0.35">
      <c r="A75" s="416" t="str">
        <f>IF(itens_Remanesc!$A64="","",IF(NOT(posicao_contratual!$Z64),itens_Remanesc!$A64,IF(AND(ISNUMBER($D$5),$O75&gt;0),itens_Remanesc!$A64,"")))</f>
        <v/>
      </c>
      <c r="B75" s="417" t="str">
        <f>IF(A75="","",IF(AND(posicao_contratual!$Z64,COUNTIFS(aditivos!$A$2:$A$200,itens_Remanesc!$A64,aditivos!$B$2:$B$200,"&lt;"&amp;(INT($F$3)+1),aditivos!$L$2:$L$200,"&gt;0")=0),0,IF(ISNUMBER(IF($C$3="C0",posicao_contratual!$F64,IF($C$3="C1",posicao_contratual!$J64,IF($C$3="C2",posicao_contratual!$N64,IF($C$3="C3",posicao_contratual!$R64,IF($C$3="C4",posicao_contratual!$V64,"")))))),ROUND(IF($C$3="C0",posicao_contratual!$F64,IF($C$3="C1",posicao_contratual!$J64,IF($C$3="C2",posicao_contratual!$N64,IF($C$3="C3",posicao_contratual!$R64,IF($C$3="C4",posicao_contratual!$V64,"")))))+ROUND(SUMIFS(aditivos!$L$2:$L$200,aditivos!$A$2:$A$200,A75,aditivos!$C$2:$C$200,$C$3,aditivos!$B$2:$B$200,"&lt;"&amp;(INT($F$3)+1)),2),2),IF(ROUND(SUMIFS(aditivos!$L$2:$L$200,aditivos!$A$2:$A$200,A75,aditivos!$C$2:$C$200,$C$3,aditivos!$B$2:$B$200,"&lt;"&amp;(INT($F$3)+1)),2)&gt;0,ROUND(SUMIFS(aditivos!$L$2:$L$200,aditivos!$A$2:$A$200,A75,aditivos!$C$2:$C$200,$C$3,aditivos!$B$2:$B$200,"&lt;"&amp;(INT($F$3)+1)),2),""))))</f>
        <v/>
      </c>
      <c r="C75" s="418"/>
      <c r="D75" s="417" t="str">
        <f t="shared" si="6"/>
        <v/>
      </c>
      <c r="E75" s="419" t="str">
        <f>IF(A75="","",IF($C$3="C0",historico_VU!$C64,IF($C$3="C1",historico_VU!$D64,IF($C$3="C2",historico_VU!$E64,IF($C$3="C3",historico_VU!$F64,IF($C$3="C4",historico_VU!$G64,""))))))</f>
        <v/>
      </c>
      <c r="F75" s="419" t="str">
        <f t="shared" si="7"/>
        <v/>
      </c>
      <c r="G75" s="419" t="str">
        <f t="shared" si="8"/>
        <v/>
      </c>
      <c r="I75" t="str">
        <f>IF(OR(A75="",$D$5="",$F$3=""),"",ROUND(SUMIFS(aditivos!$L$2:$L$200,aditivos!$A$2:$A$200,A75,aditivos!$B$2:$B$200,"&gt;="&amp;(INT($F$3)+1),aditivos!$B$2:$B$200,"&lt;="&amp;$D$5),2))</f>
        <v/>
      </c>
      <c r="J75" t="str">
        <f t="shared" si="9"/>
        <v/>
      </c>
      <c r="K75" t="str">
        <f t="shared" si="10"/>
        <v/>
      </c>
      <c r="L75" t="str">
        <f>IF(A75="","",IF($C$3="C0",SUMIFS(itens_Consumidos!$E$2:$E$200,itens_Consumidos!$A$2:$A$200,A75),IF($C$3="C1",SUMIFS(itens_Consumidos!$G$2:$G$200,itens_Consumidos!$A$2:$A$200,A75),IF($C$3="C2",SUMIFS(itens_Consumidos!$I$2:$I$200,itens_Consumidos!$A$2:$A$200,A75),IF($C$3="C3",SUMIFS(itens_Consumidos!$K$2:$K$200,itens_Consumidos!$A$2:$A$200,A75),IF($C$3="C4",SUMIFS(itens_Consumidos!$M$2:$M$200,itens_Consumidos!$A$2:$A$200,A75),""))))))</f>
        <v/>
      </c>
      <c r="M75" t="str">
        <f t="shared" si="11"/>
        <v/>
      </c>
      <c r="N75" t="str">
        <f>IF(A75="","",IF($C$3="C0",COUNTIFS(itens_Consumidos!$A$2:$A$200,A75,itens_Consumidos!$E$2:$E$200,"&lt;&gt;"),IF($C$3="C1",COUNTIFS(itens_Consumidos!$A$2:$A$200,A75,itens_Consumidos!$G$2:$G$200,"&lt;&gt;"),IF($C$3="C2",COUNTIFS(itens_Consumidos!$A$2:$A$200,A75,itens_Consumidos!$I$2:$I$200,"&lt;&gt;"),IF($C$3="C3",COUNTIFS(itens_Consumidos!$A$2:$A$200,A75,itens_Consumidos!$K$2:$K$200,"&lt;&gt;"),IF($C$3="C4",COUNTIFS(itens_Consumidos!$A$2:$A$200,A75,itens_Consumidos!$M$2:$M$200,"&lt;&gt;"),""))))))</f>
        <v/>
      </c>
      <c r="O75" t="str">
        <f>IF(itens_Remanesc!$A64="","",COUNTIFS(aditivos!$A$2:$A$200,itens_Remanesc!$A64,aditivos!$B$2:$B$200,"&lt;="&amp;$D$5,aditivos!$L$2:$L$200,"&gt;0"))</f>
        <v/>
      </c>
    </row>
    <row r="76" spans="1:15" ht="20" customHeight="1" x14ac:dyDescent="0.35">
      <c r="A76" s="416" t="str">
        <f>IF(itens_Remanesc!$A65="","",IF(NOT(posicao_contratual!$Z65),itens_Remanesc!$A65,IF(AND(ISNUMBER($D$5),$O76&gt;0),itens_Remanesc!$A65,"")))</f>
        <v/>
      </c>
      <c r="B76" s="417" t="str">
        <f>IF(A76="","",IF(AND(posicao_contratual!$Z65,COUNTIFS(aditivos!$A$2:$A$200,itens_Remanesc!$A65,aditivos!$B$2:$B$200,"&lt;"&amp;(INT($F$3)+1),aditivos!$L$2:$L$200,"&gt;0")=0),0,IF(ISNUMBER(IF($C$3="C0",posicao_contratual!$F65,IF($C$3="C1",posicao_contratual!$J65,IF($C$3="C2",posicao_contratual!$N65,IF($C$3="C3",posicao_contratual!$R65,IF($C$3="C4",posicao_contratual!$V65,"")))))),ROUND(IF($C$3="C0",posicao_contratual!$F65,IF($C$3="C1",posicao_contratual!$J65,IF($C$3="C2",posicao_contratual!$N65,IF($C$3="C3",posicao_contratual!$R65,IF($C$3="C4",posicao_contratual!$V65,"")))))+ROUND(SUMIFS(aditivos!$L$2:$L$200,aditivos!$A$2:$A$200,A76,aditivos!$C$2:$C$200,$C$3,aditivos!$B$2:$B$200,"&lt;"&amp;(INT($F$3)+1)),2),2),IF(ROUND(SUMIFS(aditivos!$L$2:$L$200,aditivos!$A$2:$A$200,A76,aditivos!$C$2:$C$200,$C$3,aditivos!$B$2:$B$200,"&lt;"&amp;(INT($F$3)+1)),2)&gt;0,ROUND(SUMIFS(aditivos!$L$2:$L$200,aditivos!$A$2:$A$200,A76,aditivos!$C$2:$C$200,$C$3,aditivos!$B$2:$B$200,"&lt;"&amp;(INT($F$3)+1)),2),""))))</f>
        <v/>
      </c>
      <c r="C76" s="418"/>
      <c r="D76" s="417" t="str">
        <f t="shared" si="6"/>
        <v/>
      </c>
      <c r="E76" s="419" t="str">
        <f>IF(A76="","",IF($C$3="C0",historico_VU!$C65,IF($C$3="C1",historico_VU!$D65,IF($C$3="C2",historico_VU!$E65,IF($C$3="C3",historico_VU!$F65,IF($C$3="C4",historico_VU!$G65,""))))))</f>
        <v/>
      </c>
      <c r="F76" s="419" t="str">
        <f t="shared" si="7"/>
        <v/>
      </c>
      <c r="G76" s="419" t="str">
        <f t="shared" si="8"/>
        <v/>
      </c>
      <c r="I76" t="str">
        <f>IF(OR(A76="",$D$5="",$F$3=""),"",ROUND(SUMIFS(aditivos!$L$2:$L$200,aditivos!$A$2:$A$200,A76,aditivos!$B$2:$B$200,"&gt;="&amp;(INT($F$3)+1),aditivos!$B$2:$B$200,"&lt;="&amp;$D$5),2))</f>
        <v/>
      </c>
      <c r="J76" t="str">
        <f t="shared" si="9"/>
        <v/>
      </c>
      <c r="K76" t="str">
        <f t="shared" si="10"/>
        <v/>
      </c>
      <c r="L76" t="str">
        <f>IF(A76="","",IF($C$3="C0",SUMIFS(itens_Consumidos!$E$2:$E$200,itens_Consumidos!$A$2:$A$200,A76),IF($C$3="C1",SUMIFS(itens_Consumidos!$G$2:$G$200,itens_Consumidos!$A$2:$A$200,A76),IF($C$3="C2",SUMIFS(itens_Consumidos!$I$2:$I$200,itens_Consumidos!$A$2:$A$200,A76),IF($C$3="C3",SUMIFS(itens_Consumidos!$K$2:$K$200,itens_Consumidos!$A$2:$A$200,A76),IF($C$3="C4",SUMIFS(itens_Consumidos!$M$2:$M$200,itens_Consumidos!$A$2:$A$200,A76),""))))))</f>
        <v/>
      </c>
      <c r="M76" t="str">
        <f t="shared" si="11"/>
        <v/>
      </c>
      <c r="N76" t="str">
        <f>IF(A76="","",IF($C$3="C0",COUNTIFS(itens_Consumidos!$A$2:$A$200,A76,itens_Consumidos!$E$2:$E$200,"&lt;&gt;"),IF($C$3="C1",COUNTIFS(itens_Consumidos!$A$2:$A$200,A76,itens_Consumidos!$G$2:$G$200,"&lt;&gt;"),IF($C$3="C2",COUNTIFS(itens_Consumidos!$A$2:$A$200,A76,itens_Consumidos!$I$2:$I$200,"&lt;&gt;"),IF($C$3="C3",COUNTIFS(itens_Consumidos!$A$2:$A$200,A76,itens_Consumidos!$K$2:$K$200,"&lt;&gt;"),IF($C$3="C4",COUNTIFS(itens_Consumidos!$A$2:$A$200,A76,itens_Consumidos!$M$2:$M$200,"&lt;&gt;"),""))))))</f>
        <v/>
      </c>
      <c r="O76" t="str">
        <f>IF(itens_Remanesc!$A65="","",COUNTIFS(aditivos!$A$2:$A$200,itens_Remanesc!$A65,aditivos!$B$2:$B$200,"&lt;="&amp;$D$5,aditivos!$L$2:$L$200,"&gt;0"))</f>
        <v/>
      </c>
    </row>
    <row r="77" spans="1:15" ht="20" customHeight="1" x14ac:dyDescent="0.35">
      <c r="A77" s="416" t="str">
        <f>IF(itens_Remanesc!$A66="","",IF(NOT(posicao_contratual!$Z66),itens_Remanesc!$A66,IF(AND(ISNUMBER($D$5),$O77&gt;0),itens_Remanesc!$A66,"")))</f>
        <v/>
      </c>
      <c r="B77" s="417" t="str">
        <f>IF(A77="","",IF(AND(posicao_contratual!$Z66,COUNTIFS(aditivos!$A$2:$A$200,itens_Remanesc!$A66,aditivos!$B$2:$B$200,"&lt;"&amp;(INT($F$3)+1),aditivos!$L$2:$L$200,"&gt;0")=0),0,IF(ISNUMBER(IF($C$3="C0",posicao_contratual!$F66,IF($C$3="C1",posicao_contratual!$J66,IF($C$3="C2",posicao_contratual!$N66,IF($C$3="C3",posicao_contratual!$R66,IF($C$3="C4",posicao_contratual!$V66,"")))))),ROUND(IF($C$3="C0",posicao_contratual!$F66,IF($C$3="C1",posicao_contratual!$J66,IF($C$3="C2",posicao_contratual!$N66,IF($C$3="C3",posicao_contratual!$R66,IF($C$3="C4",posicao_contratual!$V66,"")))))+ROUND(SUMIFS(aditivos!$L$2:$L$200,aditivos!$A$2:$A$200,A77,aditivos!$C$2:$C$200,$C$3,aditivos!$B$2:$B$200,"&lt;"&amp;(INT($F$3)+1)),2),2),IF(ROUND(SUMIFS(aditivos!$L$2:$L$200,aditivos!$A$2:$A$200,A77,aditivos!$C$2:$C$200,$C$3,aditivos!$B$2:$B$200,"&lt;"&amp;(INT($F$3)+1)),2)&gt;0,ROUND(SUMIFS(aditivos!$L$2:$L$200,aditivos!$A$2:$A$200,A77,aditivos!$C$2:$C$200,$C$3,aditivos!$B$2:$B$200,"&lt;"&amp;(INT($F$3)+1)),2),""))))</f>
        <v/>
      </c>
      <c r="C77" s="418"/>
      <c r="D77" s="417" t="str">
        <f t="shared" ref="D77:D108" si="12">IF(OR(A77="",$D$5="",C77=""),"",ROUND(B77+I77-C77,2))</f>
        <v/>
      </c>
      <c r="E77" s="419" t="str">
        <f>IF(A77="","",IF($C$3="C0",historico_VU!$C66,IF($C$3="C1",historico_VU!$D66,IF($C$3="C2",historico_VU!$E66,IF($C$3="C3",historico_VU!$F66,IF($C$3="C4",historico_VU!$G66,""))))))</f>
        <v/>
      </c>
      <c r="F77" s="419" t="str">
        <f t="shared" ref="F77:F108" si="13">IF(OR(D77="",E77=""),"",ROUND(D77*E77,2))</f>
        <v/>
      </c>
      <c r="G77" s="419" t="str">
        <f t="shared" ref="G77:G108" si="14">IF(OR(C77="",E77=""),"",ROUND(C77*E77,2))</f>
        <v/>
      </c>
      <c r="I77" t="str">
        <f>IF(OR(A77="",$D$5="",$F$3=""),"",ROUND(SUMIFS(aditivos!$L$2:$L$200,aditivos!$A$2:$A$200,A77,aditivos!$B$2:$B$200,"&gt;="&amp;(INT($F$3)+1),aditivos!$B$2:$B$200,"&lt;="&amp;$D$5),2))</f>
        <v/>
      </c>
      <c r="J77" t="str">
        <f t="shared" ref="J77:J108" si="15">IF(OR(A77="",D77="",C77="",I77=""),"",ROUND(B77+I77-D77-C77,2))</f>
        <v/>
      </c>
      <c r="K77" t="str">
        <f t="shared" ref="K77:K108" si="16">IF(A77="","",IF(OR(NOT(ISNUMBER($D$5)),NOT(ISNUMBER($F$3)),NOT(ISNUMBER($H$3)),$D$5&lt;$F$3,$D$5&gt;$H$3),"ERRO: DATA FORA DO CICLO",IF(COUNTIF($A$13:$A$211,A77)&gt;1,"ERRO: ITEM DUPLICADO",IF(NOT(ISNUMBER(B77)),"INCOMPLETO: REMANESCENTE INICIAL",IF(C77="","INCOMPLETO: QTD ATUAL",IF(OR(NOT(ISNUMBER(C77)),C77&lt;0),"ERRO: QTD INVALIDA",IF(NOT(ISNUMBER(I77)),"INCOMPLETO: ADITIVOS",IF(C77&gt;B77+I77,"ERRO: REMANESCENTE SUPERA DISPONIVEL",IF(D77&lt;0,"ERRO: CONSUMO NEGATIVO",IF(NOT(ISNUMBER(E77)),"INCOMPLETO: VU",IF(ABS(J77)&gt;0.005,"ERRO: CHECK FISICO","OK")))))))))))</f>
        <v/>
      </c>
      <c r="L77" t="str">
        <f>IF(A77="","",IF($C$3="C0",SUMIFS(itens_Consumidos!$E$2:$E$200,itens_Consumidos!$A$2:$A$200,A77),IF($C$3="C1",SUMIFS(itens_Consumidos!$G$2:$G$200,itens_Consumidos!$A$2:$A$200,A77),IF($C$3="C2",SUMIFS(itens_Consumidos!$I$2:$I$200,itens_Consumidos!$A$2:$A$200,A77),IF($C$3="C3",SUMIFS(itens_Consumidos!$K$2:$K$200,itens_Consumidos!$A$2:$A$200,A77),IF($C$3="C4",SUMIFS(itens_Consumidos!$M$2:$M$200,itens_Consumidos!$A$2:$A$200,A77),""))))))</f>
        <v/>
      </c>
      <c r="M77" t="str">
        <f t="shared" ref="M77:M108" si="17">IF(OR(A77="",D77="",N77=0),"",ROUND(D77-L77,2))</f>
        <v/>
      </c>
      <c r="N77" t="str">
        <f>IF(A77="","",IF($C$3="C0",COUNTIFS(itens_Consumidos!$A$2:$A$200,A77,itens_Consumidos!$E$2:$E$200,"&lt;&gt;"),IF($C$3="C1",COUNTIFS(itens_Consumidos!$A$2:$A$200,A77,itens_Consumidos!$G$2:$G$200,"&lt;&gt;"),IF($C$3="C2",COUNTIFS(itens_Consumidos!$A$2:$A$200,A77,itens_Consumidos!$I$2:$I$200,"&lt;&gt;"),IF($C$3="C3",COUNTIFS(itens_Consumidos!$A$2:$A$200,A77,itens_Consumidos!$K$2:$K$200,"&lt;&gt;"),IF($C$3="C4",COUNTIFS(itens_Consumidos!$A$2:$A$200,A77,itens_Consumidos!$M$2:$M$200,"&lt;&gt;"),""))))))</f>
        <v/>
      </c>
      <c r="O77" t="str">
        <f>IF(itens_Remanesc!$A66="","",COUNTIFS(aditivos!$A$2:$A$200,itens_Remanesc!$A66,aditivos!$B$2:$B$200,"&lt;="&amp;$D$5,aditivos!$L$2:$L$200,"&gt;0"))</f>
        <v/>
      </c>
    </row>
    <row r="78" spans="1:15" ht="20" customHeight="1" x14ac:dyDescent="0.35">
      <c r="A78" s="416" t="str">
        <f>IF(itens_Remanesc!$A67="","",IF(NOT(posicao_contratual!$Z67),itens_Remanesc!$A67,IF(AND(ISNUMBER($D$5),$O78&gt;0),itens_Remanesc!$A67,"")))</f>
        <v/>
      </c>
      <c r="B78" s="417" t="str">
        <f>IF(A78="","",IF(AND(posicao_contratual!$Z67,COUNTIFS(aditivos!$A$2:$A$200,itens_Remanesc!$A67,aditivos!$B$2:$B$200,"&lt;"&amp;(INT($F$3)+1),aditivos!$L$2:$L$200,"&gt;0")=0),0,IF(ISNUMBER(IF($C$3="C0",posicao_contratual!$F67,IF($C$3="C1",posicao_contratual!$J67,IF($C$3="C2",posicao_contratual!$N67,IF($C$3="C3",posicao_contratual!$R67,IF($C$3="C4",posicao_contratual!$V67,"")))))),ROUND(IF($C$3="C0",posicao_contratual!$F67,IF($C$3="C1",posicao_contratual!$J67,IF($C$3="C2",posicao_contratual!$N67,IF($C$3="C3",posicao_contratual!$R67,IF($C$3="C4",posicao_contratual!$V67,"")))))+ROUND(SUMIFS(aditivos!$L$2:$L$200,aditivos!$A$2:$A$200,A78,aditivos!$C$2:$C$200,$C$3,aditivos!$B$2:$B$200,"&lt;"&amp;(INT($F$3)+1)),2),2),IF(ROUND(SUMIFS(aditivos!$L$2:$L$200,aditivos!$A$2:$A$200,A78,aditivos!$C$2:$C$200,$C$3,aditivos!$B$2:$B$200,"&lt;"&amp;(INT($F$3)+1)),2)&gt;0,ROUND(SUMIFS(aditivos!$L$2:$L$200,aditivos!$A$2:$A$200,A78,aditivos!$C$2:$C$200,$C$3,aditivos!$B$2:$B$200,"&lt;"&amp;(INT($F$3)+1)),2),""))))</f>
        <v/>
      </c>
      <c r="C78" s="418"/>
      <c r="D78" s="417" t="str">
        <f t="shared" si="12"/>
        <v/>
      </c>
      <c r="E78" s="419" t="str">
        <f>IF(A78="","",IF($C$3="C0",historico_VU!$C67,IF($C$3="C1",historico_VU!$D67,IF($C$3="C2",historico_VU!$E67,IF($C$3="C3",historico_VU!$F67,IF($C$3="C4",historico_VU!$G67,""))))))</f>
        <v/>
      </c>
      <c r="F78" s="419" t="str">
        <f t="shared" si="13"/>
        <v/>
      </c>
      <c r="G78" s="419" t="str">
        <f t="shared" si="14"/>
        <v/>
      </c>
      <c r="I78" t="str">
        <f>IF(OR(A78="",$D$5="",$F$3=""),"",ROUND(SUMIFS(aditivos!$L$2:$L$200,aditivos!$A$2:$A$200,A78,aditivos!$B$2:$B$200,"&gt;="&amp;(INT($F$3)+1),aditivos!$B$2:$B$200,"&lt;="&amp;$D$5),2))</f>
        <v/>
      </c>
      <c r="J78" t="str">
        <f t="shared" si="15"/>
        <v/>
      </c>
      <c r="K78" t="str">
        <f t="shared" si="16"/>
        <v/>
      </c>
      <c r="L78" t="str">
        <f>IF(A78="","",IF($C$3="C0",SUMIFS(itens_Consumidos!$E$2:$E$200,itens_Consumidos!$A$2:$A$200,A78),IF($C$3="C1",SUMIFS(itens_Consumidos!$G$2:$G$200,itens_Consumidos!$A$2:$A$200,A78),IF($C$3="C2",SUMIFS(itens_Consumidos!$I$2:$I$200,itens_Consumidos!$A$2:$A$200,A78),IF($C$3="C3",SUMIFS(itens_Consumidos!$K$2:$K$200,itens_Consumidos!$A$2:$A$200,A78),IF($C$3="C4",SUMIFS(itens_Consumidos!$M$2:$M$200,itens_Consumidos!$A$2:$A$200,A78),""))))))</f>
        <v/>
      </c>
      <c r="M78" t="str">
        <f t="shared" si="17"/>
        <v/>
      </c>
      <c r="N78" t="str">
        <f>IF(A78="","",IF($C$3="C0",COUNTIFS(itens_Consumidos!$A$2:$A$200,A78,itens_Consumidos!$E$2:$E$200,"&lt;&gt;"),IF($C$3="C1",COUNTIFS(itens_Consumidos!$A$2:$A$200,A78,itens_Consumidos!$G$2:$G$200,"&lt;&gt;"),IF($C$3="C2",COUNTIFS(itens_Consumidos!$A$2:$A$200,A78,itens_Consumidos!$I$2:$I$200,"&lt;&gt;"),IF($C$3="C3",COUNTIFS(itens_Consumidos!$A$2:$A$200,A78,itens_Consumidos!$K$2:$K$200,"&lt;&gt;"),IF($C$3="C4",COUNTIFS(itens_Consumidos!$A$2:$A$200,A78,itens_Consumidos!$M$2:$M$200,"&lt;&gt;"),""))))))</f>
        <v/>
      </c>
      <c r="O78" t="str">
        <f>IF(itens_Remanesc!$A67="","",COUNTIFS(aditivos!$A$2:$A$200,itens_Remanesc!$A67,aditivos!$B$2:$B$200,"&lt;="&amp;$D$5,aditivos!$L$2:$L$200,"&gt;0"))</f>
        <v/>
      </c>
    </row>
    <row r="79" spans="1:15" ht="20" customHeight="1" x14ac:dyDescent="0.35">
      <c r="A79" s="416" t="str">
        <f>IF(itens_Remanesc!$A68="","",IF(NOT(posicao_contratual!$Z68),itens_Remanesc!$A68,IF(AND(ISNUMBER($D$5),$O79&gt;0),itens_Remanesc!$A68,"")))</f>
        <v/>
      </c>
      <c r="B79" s="417" t="str">
        <f>IF(A79="","",IF(AND(posicao_contratual!$Z68,COUNTIFS(aditivos!$A$2:$A$200,itens_Remanesc!$A68,aditivos!$B$2:$B$200,"&lt;"&amp;(INT($F$3)+1),aditivos!$L$2:$L$200,"&gt;0")=0),0,IF(ISNUMBER(IF($C$3="C0",posicao_contratual!$F68,IF($C$3="C1",posicao_contratual!$J68,IF($C$3="C2",posicao_contratual!$N68,IF($C$3="C3",posicao_contratual!$R68,IF($C$3="C4",posicao_contratual!$V68,"")))))),ROUND(IF($C$3="C0",posicao_contratual!$F68,IF($C$3="C1",posicao_contratual!$J68,IF($C$3="C2",posicao_contratual!$N68,IF($C$3="C3",posicao_contratual!$R68,IF($C$3="C4",posicao_contratual!$V68,"")))))+ROUND(SUMIFS(aditivos!$L$2:$L$200,aditivos!$A$2:$A$200,A79,aditivos!$C$2:$C$200,$C$3,aditivos!$B$2:$B$200,"&lt;"&amp;(INT($F$3)+1)),2),2),IF(ROUND(SUMIFS(aditivos!$L$2:$L$200,aditivos!$A$2:$A$200,A79,aditivos!$C$2:$C$200,$C$3,aditivos!$B$2:$B$200,"&lt;"&amp;(INT($F$3)+1)),2)&gt;0,ROUND(SUMIFS(aditivos!$L$2:$L$200,aditivos!$A$2:$A$200,A79,aditivos!$C$2:$C$200,$C$3,aditivos!$B$2:$B$200,"&lt;"&amp;(INT($F$3)+1)),2),""))))</f>
        <v/>
      </c>
      <c r="C79" s="418"/>
      <c r="D79" s="417" t="str">
        <f t="shared" si="12"/>
        <v/>
      </c>
      <c r="E79" s="419" t="str">
        <f>IF(A79="","",IF($C$3="C0",historico_VU!$C68,IF($C$3="C1",historico_VU!$D68,IF($C$3="C2",historico_VU!$E68,IF($C$3="C3",historico_VU!$F68,IF($C$3="C4",historico_VU!$G68,""))))))</f>
        <v/>
      </c>
      <c r="F79" s="419" t="str">
        <f t="shared" si="13"/>
        <v/>
      </c>
      <c r="G79" s="419" t="str">
        <f t="shared" si="14"/>
        <v/>
      </c>
      <c r="I79" t="str">
        <f>IF(OR(A79="",$D$5="",$F$3=""),"",ROUND(SUMIFS(aditivos!$L$2:$L$200,aditivos!$A$2:$A$200,A79,aditivos!$B$2:$B$200,"&gt;="&amp;(INT($F$3)+1),aditivos!$B$2:$B$200,"&lt;="&amp;$D$5),2))</f>
        <v/>
      </c>
      <c r="J79" t="str">
        <f t="shared" si="15"/>
        <v/>
      </c>
      <c r="K79" t="str">
        <f t="shared" si="16"/>
        <v/>
      </c>
      <c r="L79" t="str">
        <f>IF(A79="","",IF($C$3="C0",SUMIFS(itens_Consumidos!$E$2:$E$200,itens_Consumidos!$A$2:$A$200,A79),IF($C$3="C1",SUMIFS(itens_Consumidos!$G$2:$G$200,itens_Consumidos!$A$2:$A$200,A79),IF($C$3="C2",SUMIFS(itens_Consumidos!$I$2:$I$200,itens_Consumidos!$A$2:$A$200,A79),IF($C$3="C3",SUMIFS(itens_Consumidos!$K$2:$K$200,itens_Consumidos!$A$2:$A$200,A79),IF($C$3="C4",SUMIFS(itens_Consumidos!$M$2:$M$200,itens_Consumidos!$A$2:$A$200,A79),""))))))</f>
        <v/>
      </c>
      <c r="M79" t="str">
        <f t="shared" si="17"/>
        <v/>
      </c>
      <c r="N79" t="str">
        <f>IF(A79="","",IF($C$3="C0",COUNTIFS(itens_Consumidos!$A$2:$A$200,A79,itens_Consumidos!$E$2:$E$200,"&lt;&gt;"),IF($C$3="C1",COUNTIFS(itens_Consumidos!$A$2:$A$200,A79,itens_Consumidos!$G$2:$G$200,"&lt;&gt;"),IF($C$3="C2",COUNTIFS(itens_Consumidos!$A$2:$A$200,A79,itens_Consumidos!$I$2:$I$200,"&lt;&gt;"),IF($C$3="C3",COUNTIFS(itens_Consumidos!$A$2:$A$200,A79,itens_Consumidos!$K$2:$K$200,"&lt;&gt;"),IF($C$3="C4",COUNTIFS(itens_Consumidos!$A$2:$A$200,A79,itens_Consumidos!$M$2:$M$200,"&lt;&gt;"),""))))))</f>
        <v/>
      </c>
      <c r="O79" t="str">
        <f>IF(itens_Remanesc!$A68="","",COUNTIFS(aditivos!$A$2:$A$200,itens_Remanesc!$A68,aditivos!$B$2:$B$200,"&lt;="&amp;$D$5,aditivos!$L$2:$L$200,"&gt;0"))</f>
        <v/>
      </c>
    </row>
    <row r="80" spans="1:15" ht="20" customHeight="1" x14ac:dyDescent="0.35">
      <c r="A80" s="416" t="str">
        <f>IF(itens_Remanesc!$A69="","",IF(NOT(posicao_contratual!$Z69),itens_Remanesc!$A69,IF(AND(ISNUMBER($D$5),$O80&gt;0),itens_Remanesc!$A69,"")))</f>
        <v/>
      </c>
      <c r="B80" s="417" t="str">
        <f>IF(A80="","",IF(AND(posicao_contratual!$Z69,COUNTIFS(aditivos!$A$2:$A$200,itens_Remanesc!$A69,aditivos!$B$2:$B$200,"&lt;"&amp;(INT($F$3)+1),aditivos!$L$2:$L$200,"&gt;0")=0),0,IF(ISNUMBER(IF($C$3="C0",posicao_contratual!$F69,IF($C$3="C1",posicao_contratual!$J69,IF($C$3="C2",posicao_contratual!$N69,IF($C$3="C3",posicao_contratual!$R69,IF($C$3="C4",posicao_contratual!$V69,"")))))),ROUND(IF($C$3="C0",posicao_contratual!$F69,IF($C$3="C1",posicao_contratual!$J69,IF($C$3="C2",posicao_contratual!$N69,IF($C$3="C3",posicao_contratual!$R69,IF($C$3="C4",posicao_contratual!$V69,"")))))+ROUND(SUMIFS(aditivos!$L$2:$L$200,aditivos!$A$2:$A$200,A80,aditivos!$C$2:$C$200,$C$3,aditivos!$B$2:$B$200,"&lt;"&amp;(INT($F$3)+1)),2),2),IF(ROUND(SUMIFS(aditivos!$L$2:$L$200,aditivos!$A$2:$A$200,A80,aditivos!$C$2:$C$200,$C$3,aditivos!$B$2:$B$200,"&lt;"&amp;(INT($F$3)+1)),2)&gt;0,ROUND(SUMIFS(aditivos!$L$2:$L$200,aditivos!$A$2:$A$200,A80,aditivos!$C$2:$C$200,$C$3,aditivos!$B$2:$B$200,"&lt;"&amp;(INT($F$3)+1)),2),""))))</f>
        <v/>
      </c>
      <c r="C80" s="418"/>
      <c r="D80" s="417" t="str">
        <f t="shared" si="12"/>
        <v/>
      </c>
      <c r="E80" s="419" t="str">
        <f>IF(A80="","",IF($C$3="C0",historico_VU!$C69,IF($C$3="C1",historico_VU!$D69,IF($C$3="C2",historico_VU!$E69,IF($C$3="C3",historico_VU!$F69,IF($C$3="C4",historico_VU!$G69,""))))))</f>
        <v/>
      </c>
      <c r="F80" s="419" t="str">
        <f t="shared" si="13"/>
        <v/>
      </c>
      <c r="G80" s="419" t="str">
        <f t="shared" si="14"/>
        <v/>
      </c>
      <c r="I80" t="str">
        <f>IF(OR(A80="",$D$5="",$F$3=""),"",ROUND(SUMIFS(aditivos!$L$2:$L$200,aditivos!$A$2:$A$200,A80,aditivos!$B$2:$B$200,"&gt;="&amp;(INT($F$3)+1),aditivos!$B$2:$B$200,"&lt;="&amp;$D$5),2))</f>
        <v/>
      </c>
      <c r="J80" t="str">
        <f t="shared" si="15"/>
        <v/>
      </c>
      <c r="K80" t="str">
        <f t="shared" si="16"/>
        <v/>
      </c>
      <c r="L80" t="str">
        <f>IF(A80="","",IF($C$3="C0",SUMIFS(itens_Consumidos!$E$2:$E$200,itens_Consumidos!$A$2:$A$200,A80),IF($C$3="C1",SUMIFS(itens_Consumidos!$G$2:$G$200,itens_Consumidos!$A$2:$A$200,A80),IF($C$3="C2",SUMIFS(itens_Consumidos!$I$2:$I$200,itens_Consumidos!$A$2:$A$200,A80),IF($C$3="C3",SUMIFS(itens_Consumidos!$K$2:$K$200,itens_Consumidos!$A$2:$A$200,A80),IF($C$3="C4",SUMIFS(itens_Consumidos!$M$2:$M$200,itens_Consumidos!$A$2:$A$200,A80),""))))))</f>
        <v/>
      </c>
      <c r="M80" t="str">
        <f t="shared" si="17"/>
        <v/>
      </c>
      <c r="N80" t="str">
        <f>IF(A80="","",IF($C$3="C0",COUNTIFS(itens_Consumidos!$A$2:$A$200,A80,itens_Consumidos!$E$2:$E$200,"&lt;&gt;"),IF($C$3="C1",COUNTIFS(itens_Consumidos!$A$2:$A$200,A80,itens_Consumidos!$G$2:$G$200,"&lt;&gt;"),IF($C$3="C2",COUNTIFS(itens_Consumidos!$A$2:$A$200,A80,itens_Consumidos!$I$2:$I$200,"&lt;&gt;"),IF($C$3="C3",COUNTIFS(itens_Consumidos!$A$2:$A$200,A80,itens_Consumidos!$K$2:$K$200,"&lt;&gt;"),IF($C$3="C4",COUNTIFS(itens_Consumidos!$A$2:$A$200,A80,itens_Consumidos!$M$2:$M$200,"&lt;&gt;"),""))))))</f>
        <v/>
      </c>
      <c r="O80" t="str">
        <f>IF(itens_Remanesc!$A69="","",COUNTIFS(aditivos!$A$2:$A$200,itens_Remanesc!$A69,aditivos!$B$2:$B$200,"&lt;="&amp;$D$5,aditivos!$L$2:$L$200,"&gt;0"))</f>
        <v/>
      </c>
    </row>
    <row r="81" spans="1:15" ht="20" customHeight="1" x14ac:dyDescent="0.35">
      <c r="A81" s="416" t="str">
        <f>IF(itens_Remanesc!$A70="","",IF(NOT(posicao_contratual!$Z70),itens_Remanesc!$A70,IF(AND(ISNUMBER($D$5),$O81&gt;0),itens_Remanesc!$A70,"")))</f>
        <v/>
      </c>
      <c r="B81" s="417" t="str">
        <f>IF(A81="","",IF(AND(posicao_contratual!$Z70,COUNTIFS(aditivos!$A$2:$A$200,itens_Remanesc!$A70,aditivos!$B$2:$B$200,"&lt;"&amp;(INT($F$3)+1),aditivos!$L$2:$L$200,"&gt;0")=0),0,IF(ISNUMBER(IF($C$3="C0",posicao_contratual!$F70,IF($C$3="C1",posicao_contratual!$J70,IF($C$3="C2",posicao_contratual!$N70,IF($C$3="C3",posicao_contratual!$R70,IF($C$3="C4",posicao_contratual!$V70,"")))))),ROUND(IF($C$3="C0",posicao_contratual!$F70,IF($C$3="C1",posicao_contratual!$J70,IF($C$3="C2",posicao_contratual!$N70,IF($C$3="C3",posicao_contratual!$R70,IF($C$3="C4",posicao_contratual!$V70,"")))))+ROUND(SUMIFS(aditivos!$L$2:$L$200,aditivos!$A$2:$A$200,A81,aditivos!$C$2:$C$200,$C$3,aditivos!$B$2:$B$200,"&lt;"&amp;(INT($F$3)+1)),2),2),IF(ROUND(SUMIFS(aditivos!$L$2:$L$200,aditivos!$A$2:$A$200,A81,aditivos!$C$2:$C$200,$C$3,aditivos!$B$2:$B$200,"&lt;"&amp;(INT($F$3)+1)),2)&gt;0,ROUND(SUMIFS(aditivos!$L$2:$L$200,aditivos!$A$2:$A$200,A81,aditivos!$C$2:$C$200,$C$3,aditivos!$B$2:$B$200,"&lt;"&amp;(INT($F$3)+1)),2),""))))</f>
        <v/>
      </c>
      <c r="C81" s="418"/>
      <c r="D81" s="417" t="str">
        <f t="shared" si="12"/>
        <v/>
      </c>
      <c r="E81" s="419" t="str">
        <f>IF(A81="","",IF($C$3="C0",historico_VU!$C70,IF($C$3="C1",historico_VU!$D70,IF($C$3="C2",historico_VU!$E70,IF($C$3="C3",historico_VU!$F70,IF($C$3="C4",historico_VU!$G70,""))))))</f>
        <v/>
      </c>
      <c r="F81" s="419" t="str">
        <f t="shared" si="13"/>
        <v/>
      </c>
      <c r="G81" s="419" t="str">
        <f t="shared" si="14"/>
        <v/>
      </c>
      <c r="I81" t="str">
        <f>IF(OR(A81="",$D$5="",$F$3=""),"",ROUND(SUMIFS(aditivos!$L$2:$L$200,aditivos!$A$2:$A$200,A81,aditivos!$B$2:$B$200,"&gt;="&amp;(INT($F$3)+1),aditivos!$B$2:$B$200,"&lt;="&amp;$D$5),2))</f>
        <v/>
      </c>
      <c r="J81" t="str">
        <f t="shared" si="15"/>
        <v/>
      </c>
      <c r="K81" t="str">
        <f t="shared" si="16"/>
        <v/>
      </c>
      <c r="L81" t="str">
        <f>IF(A81="","",IF($C$3="C0",SUMIFS(itens_Consumidos!$E$2:$E$200,itens_Consumidos!$A$2:$A$200,A81),IF($C$3="C1",SUMIFS(itens_Consumidos!$G$2:$G$200,itens_Consumidos!$A$2:$A$200,A81),IF($C$3="C2",SUMIFS(itens_Consumidos!$I$2:$I$200,itens_Consumidos!$A$2:$A$200,A81),IF($C$3="C3",SUMIFS(itens_Consumidos!$K$2:$K$200,itens_Consumidos!$A$2:$A$200,A81),IF($C$3="C4",SUMIFS(itens_Consumidos!$M$2:$M$200,itens_Consumidos!$A$2:$A$200,A81),""))))))</f>
        <v/>
      </c>
      <c r="M81" t="str">
        <f t="shared" si="17"/>
        <v/>
      </c>
      <c r="N81" t="str">
        <f>IF(A81="","",IF($C$3="C0",COUNTIFS(itens_Consumidos!$A$2:$A$200,A81,itens_Consumidos!$E$2:$E$200,"&lt;&gt;"),IF($C$3="C1",COUNTIFS(itens_Consumidos!$A$2:$A$200,A81,itens_Consumidos!$G$2:$G$200,"&lt;&gt;"),IF($C$3="C2",COUNTIFS(itens_Consumidos!$A$2:$A$200,A81,itens_Consumidos!$I$2:$I$200,"&lt;&gt;"),IF($C$3="C3",COUNTIFS(itens_Consumidos!$A$2:$A$200,A81,itens_Consumidos!$K$2:$K$200,"&lt;&gt;"),IF($C$3="C4",COUNTIFS(itens_Consumidos!$A$2:$A$200,A81,itens_Consumidos!$M$2:$M$200,"&lt;&gt;"),""))))))</f>
        <v/>
      </c>
      <c r="O81" t="str">
        <f>IF(itens_Remanesc!$A70="","",COUNTIFS(aditivos!$A$2:$A$200,itens_Remanesc!$A70,aditivos!$B$2:$B$200,"&lt;="&amp;$D$5,aditivos!$L$2:$L$200,"&gt;0"))</f>
        <v/>
      </c>
    </row>
    <row r="82" spans="1:15" ht="20" customHeight="1" x14ac:dyDescent="0.35">
      <c r="A82" s="416" t="str">
        <f>IF(itens_Remanesc!$A71="","",IF(NOT(posicao_contratual!$Z71),itens_Remanesc!$A71,IF(AND(ISNUMBER($D$5),$O82&gt;0),itens_Remanesc!$A71,"")))</f>
        <v/>
      </c>
      <c r="B82" s="417" t="str">
        <f>IF(A82="","",IF(AND(posicao_contratual!$Z71,COUNTIFS(aditivos!$A$2:$A$200,itens_Remanesc!$A71,aditivos!$B$2:$B$200,"&lt;"&amp;(INT($F$3)+1),aditivos!$L$2:$L$200,"&gt;0")=0),0,IF(ISNUMBER(IF($C$3="C0",posicao_contratual!$F71,IF($C$3="C1",posicao_contratual!$J71,IF($C$3="C2",posicao_contratual!$N71,IF($C$3="C3",posicao_contratual!$R71,IF($C$3="C4",posicao_contratual!$V71,"")))))),ROUND(IF($C$3="C0",posicao_contratual!$F71,IF($C$3="C1",posicao_contratual!$J71,IF($C$3="C2",posicao_contratual!$N71,IF($C$3="C3",posicao_contratual!$R71,IF($C$3="C4",posicao_contratual!$V71,"")))))+ROUND(SUMIFS(aditivos!$L$2:$L$200,aditivos!$A$2:$A$200,A82,aditivos!$C$2:$C$200,$C$3,aditivos!$B$2:$B$200,"&lt;"&amp;(INT($F$3)+1)),2),2),IF(ROUND(SUMIFS(aditivos!$L$2:$L$200,aditivos!$A$2:$A$200,A82,aditivos!$C$2:$C$200,$C$3,aditivos!$B$2:$B$200,"&lt;"&amp;(INT($F$3)+1)),2)&gt;0,ROUND(SUMIFS(aditivos!$L$2:$L$200,aditivos!$A$2:$A$200,A82,aditivos!$C$2:$C$200,$C$3,aditivos!$B$2:$B$200,"&lt;"&amp;(INT($F$3)+1)),2),""))))</f>
        <v/>
      </c>
      <c r="C82" s="418"/>
      <c r="D82" s="417" t="str">
        <f t="shared" si="12"/>
        <v/>
      </c>
      <c r="E82" s="419" t="str">
        <f>IF(A82="","",IF($C$3="C0",historico_VU!$C71,IF($C$3="C1",historico_VU!$D71,IF($C$3="C2",historico_VU!$E71,IF($C$3="C3",historico_VU!$F71,IF($C$3="C4",historico_VU!$G71,""))))))</f>
        <v/>
      </c>
      <c r="F82" s="419" t="str">
        <f t="shared" si="13"/>
        <v/>
      </c>
      <c r="G82" s="419" t="str">
        <f t="shared" si="14"/>
        <v/>
      </c>
      <c r="I82" t="str">
        <f>IF(OR(A82="",$D$5="",$F$3=""),"",ROUND(SUMIFS(aditivos!$L$2:$L$200,aditivos!$A$2:$A$200,A82,aditivos!$B$2:$B$200,"&gt;="&amp;(INT($F$3)+1),aditivos!$B$2:$B$200,"&lt;="&amp;$D$5),2))</f>
        <v/>
      </c>
      <c r="J82" t="str">
        <f t="shared" si="15"/>
        <v/>
      </c>
      <c r="K82" t="str">
        <f t="shared" si="16"/>
        <v/>
      </c>
      <c r="L82" t="str">
        <f>IF(A82="","",IF($C$3="C0",SUMIFS(itens_Consumidos!$E$2:$E$200,itens_Consumidos!$A$2:$A$200,A82),IF($C$3="C1",SUMIFS(itens_Consumidos!$G$2:$G$200,itens_Consumidos!$A$2:$A$200,A82),IF($C$3="C2",SUMIFS(itens_Consumidos!$I$2:$I$200,itens_Consumidos!$A$2:$A$200,A82),IF($C$3="C3",SUMIFS(itens_Consumidos!$K$2:$K$200,itens_Consumidos!$A$2:$A$200,A82),IF($C$3="C4",SUMIFS(itens_Consumidos!$M$2:$M$200,itens_Consumidos!$A$2:$A$200,A82),""))))))</f>
        <v/>
      </c>
      <c r="M82" t="str">
        <f t="shared" si="17"/>
        <v/>
      </c>
      <c r="N82" t="str">
        <f>IF(A82="","",IF($C$3="C0",COUNTIFS(itens_Consumidos!$A$2:$A$200,A82,itens_Consumidos!$E$2:$E$200,"&lt;&gt;"),IF($C$3="C1",COUNTIFS(itens_Consumidos!$A$2:$A$200,A82,itens_Consumidos!$G$2:$G$200,"&lt;&gt;"),IF($C$3="C2",COUNTIFS(itens_Consumidos!$A$2:$A$200,A82,itens_Consumidos!$I$2:$I$200,"&lt;&gt;"),IF($C$3="C3",COUNTIFS(itens_Consumidos!$A$2:$A$200,A82,itens_Consumidos!$K$2:$K$200,"&lt;&gt;"),IF($C$3="C4",COUNTIFS(itens_Consumidos!$A$2:$A$200,A82,itens_Consumidos!$M$2:$M$200,"&lt;&gt;"),""))))))</f>
        <v/>
      </c>
      <c r="O82" t="str">
        <f>IF(itens_Remanesc!$A71="","",COUNTIFS(aditivos!$A$2:$A$200,itens_Remanesc!$A71,aditivos!$B$2:$B$200,"&lt;="&amp;$D$5,aditivos!$L$2:$L$200,"&gt;0"))</f>
        <v/>
      </c>
    </row>
    <row r="83" spans="1:15" ht="20" customHeight="1" x14ac:dyDescent="0.35">
      <c r="A83" s="416" t="str">
        <f>IF(itens_Remanesc!$A72="","",IF(NOT(posicao_contratual!$Z72),itens_Remanesc!$A72,IF(AND(ISNUMBER($D$5),$O83&gt;0),itens_Remanesc!$A72,"")))</f>
        <v/>
      </c>
      <c r="B83" s="417" t="str">
        <f>IF(A83="","",IF(AND(posicao_contratual!$Z72,COUNTIFS(aditivos!$A$2:$A$200,itens_Remanesc!$A72,aditivos!$B$2:$B$200,"&lt;"&amp;(INT($F$3)+1),aditivos!$L$2:$L$200,"&gt;0")=0),0,IF(ISNUMBER(IF($C$3="C0",posicao_contratual!$F72,IF($C$3="C1",posicao_contratual!$J72,IF($C$3="C2",posicao_contratual!$N72,IF($C$3="C3",posicao_contratual!$R72,IF($C$3="C4",posicao_contratual!$V72,"")))))),ROUND(IF($C$3="C0",posicao_contratual!$F72,IF($C$3="C1",posicao_contratual!$J72,IF($C$3="C2",posicao_contratual!$N72,IF($C$3="C3",posicao_contratual!$R72,IF($C$3="C4",posicao_contratual!$V72,"")))))+ROUND(SUMIFS(aditivos!$L$2:$L$200,aditivos!$A$2:$A$200,A83,aditivos!$C$2:$C$200,$C$3,aditivos!$B$2:$B$200,"&lt;"&amp;(INT($F$3)+1)),2),2),IF(ROUND(SUMIFS(aditivos!$L$2:$L$200,aditivos!$A$2:$A$200,A83,aditivos!$C$2:$C$200,$C$3,aditivos!$B$2:$B$200,"&lt;"&amp;(INT($F$3)+1)),2)&gt;0,ROUND(SUMIFS(aditivos!$L$2:$L$200,aditivos!$A$2:$A$200,A83,aditivos!$C$2:$C$200,$C$3,aditivos!$B$2:$B$200,"&lt;"&amp;(INT($F$3)+1)),2),""))))</f>
        <v/>
      </c>
      <c r="C83" s="418"/>
      <c r="D83" s="417" t="str">
        <f t="shared" si="12"/>
        <v/>
      </c>
      <c r="E83" s="419" t="str">
        <f>IF(A83="","",IF($C$3="C0",historico_VU!$C72,IF($C$3="C1",historico_VU!$D72,IF($C$3="C2",historico_VU!$E72,IF($C$3="C3",historico_VU!$F72,IF($C$3="C4",historico_VU!$G72,""))))))</f>
        <v/>
      </c>
      <c r="F83" s="419" t="str">
        <f t="shared" si="13"/>
        <v/>
      </c>
      <c r="G83" s="419" t="str">
        <f t="shared" si="14"/>
        <v/>
      </c>
      <c r="I83" t="str">
        <f>IF(OR(A83="",$D$5="",$F$3=""),"",ROUND(SUMIFS(aditivos!$L$2:$L$200,aditivos!$A$2:$A$200,A83,aditivos!$B$2:$B$200,"&gt;="&amp;(INT($F$3)+1),aditivos!$B$2:$B$200,"&lt;="&amp;$D$5),2))</f>
        <v/>
      </c>
      <c r="J83" t="str">
        <f t="shared" si="15"/>
        <v/>
      </c>
      <c r="K83" t="str">
        <f t="shared" si="16"/>
        <v/>
      </c>
      <c r="L83" t="str">
        <f>IF(A83="","",IF($C$3="C0",SUMIFS(itens_Consumidos!$E$2:$E$200,itens_Consumidos!$A$2:$A$200,A83),IF($C$3="C1",SUMIFS(itens_Consumidos!$G$2:$G$200,itens_Consumidos!$A$2:$A$200,A83),IF($C$3="C2",SUMIFS(itens_Consumidos!$I$2:$I$200,itens_Consumidos!$A$2:$A$200,A83),IF($C$3="C3",SUMIFS(itens_Consumidos!$K$2:$K$200,itens_Consumidos!$A$2:$A$200,A83),IF($C$3="C4",SUMIFS(itens_Consumidos!$M$2:$M$200,itens_Consumidos!$A$2:$A$200,A83),""))))))</f>
        <v/>
      </c>
      <c r="M83" t="str">
        <f t="shared" si="17"/>
        <v/>
      </c>
      <c r="N83" t="str">
        <f>IF(A83="","",IF($C$3="C0",COUNTIFS(itens_Consumidos!$A$2:$A$200,A83,itens_Consumidos!$E$2:$E$200,"&lt;&gt;"),IF($C$3="C1",COUNTIFS(itens_Consumidos!$A$2:$A$200,A83,itens_Consumidos!$G$2:$G$200,"&lt;&gt;"),IF($C$3="C2",COUNTIFS(itens_Consumidos!$A$2:$A$200,A83,itens_Consumidos!$I$2:$I$200,"&lt;&gt;"),IF($C$3="C3",COUNTIFS(itens_Consumidos!$A$2:$A$200,A83,itens_Consumidos!$K$2:$K$200,"&lt;&gt;"),IF($C$3="C4",COUNTIFS(itens_Consumidos!$A$2:$A$200,A83,itens_Consumidos!$M$2:$M$200,"&lt;&gt;"),""))))))</f>
        <v/>
      </c>
      <c r="O83" t="str">
        <f>IF(itens_Remanesc!$A72="","",COUNTIFS(aditivos!$A$2:$A$200,itens_Remanesc!$A72,aditivos!$B$2:$B$200,"&lt;="&amp;$D$5,aditivos!$L$2:$L$200,"&gt;0"))</f>
        <v/>
      </c>
    </row>
    <row r="84" spans="1:15" ht="20" customHeight="1" x14ac:dyDescent="0.35">
      <c r="A84" s="416" t="str">
        <f>IF(itens_Remanesc!$A73="","",IF(NOT(posicao_contratual!$Z73),itens_Remanesc!$A73,IF(AND(ISNUMBER($D$5),$O84&gt;0),itens_Remanesc!$A73,"")))</f>
        <v/>
      </c>
      <c r="B84" s="417" t="str">
        <f>IF(A84="","",IF(AND(posicao_contratual!$Z73,COUNTIFS(aditivos!$A$2:$A$200,itens_Remanesc!$A73,aditivos!$B$2:$B$200,"&lt;"&amp;(INT($F$3)+1),aditivos!$L$2:$L$200,"&gt;0")=0),0,IF(ISNUMBER(IF($C$3="C0",posicao_contratual!$F73,IF($C$3="C1",posicao_contratual!$J73,IF($C$3="C2",posicao_contratual!$N73,IF($C$3="C3",posicao_contratual!$R73,IF($C$3="C4",posicao_contratual!$V73,"")))))),ROUND(IF($C$3="C0",posicao_contratual!$F73,IF($C$3="C1",posicao_contratual!$J73,IF($C$3="C2",posicao_contratual!$N73,IF($C$3="C3",posicao_contratual!$R73,IF($C$3="C4",posicao_contratual!$V73,"")))))+ROUND(SUMIFS(aditivos!$L$2:$L$200,aditivos!$A$2:$A$200,A84,aditivos!$C$2:$C$200,$C$3,aditivos!$B$2:$B$200,"&lt;"&amp;(INT($F$3)+1)),2),2),IF(ROUND(SUMIFS(aditivos!$L$2:$L$200,aditivos!$A$2:$A$200,A84,aditivos!$C$2:$C$200,$C$3,aditivos!$B$2:$B$200,"&lt;"&amp;(INT($F$3)+1)),2)&gt;0,ROUND(SUMIFS(aditivos!$L$2:$L$200,aditivos!$A$2:$A$200,A84,aditivos!$C$2:$C$200,$C$3,aditivos!$B$2:$B$200,"&lt;"&amp;(INT($F$3)+1)),2),""))))</f>
        <v/>
      </c>
      <c r="C84" s="418"/>
      <c r="D84" s="417" t="str">
        <f t="shared" si="12"/>
        <v/>
      </c>
      <c r="E84" s="419" t="str">
        <f>IF(A84="","",IF($C$3="C0",historico_VU!$C73,IF($C$3="C1",historico_VU!$D73,IF($C$3="C2",historico_VU!$E73,IF($C$3="C3",historico_VU!$F73,IF($C$3="C4",historico_VU!$G73,""))))))</f>
        <v/>
      </c>
      <c r="F84" s="419" t="str">
        <f t="shared" si="13"/>
        <v/>
      </c>
      <c r="G84" s="419" t="str">
        <f t="shared" si="14"/>
        <v/>
      </c>
      <c r="I84" t="str">
        <f>IF(OR(A84="",$D$5="",$F$3=""),"",ROUND(SUMIFS(aditivos!$L$2:$L$200,aditivos!$A$2:$A$200,A84,aditivos!$B$2:$B$200,"&gt;="&amp;(INT($F$3)+1),aditivos!$B$2:$B$200,"&lt;="&amp;$D$5),2))</f>
        <v/>
      </c>
      <c r="J84" t="str">
        <f t="shared" si="15"/>
        <v/>
      </c>
      <c r="K84" t="str">
        <f t="shared" si="16"/>
        <v/>
      </c>
      <c r="L84" t="str">
        <f>IF(A84="","",IF($C$3="C0",SUMIFS(itens_Consumidos!$E$2:$E$200,itens_Consumidos!$A$2:$A$200,A84),IF($C$3="C1",SUMIFS(itens_Consumidos!$G$2:$G$200,itens_Consumidos!$A$2:$A$200,A84),IF($C$3="C2",SUMIFS(itens_Consumidos!$I$2:$I$200,itens_Consumidos!$A$2:$A$200,A84),IF($C$3="C3",SUMIFS(itens_Consumidos!$K$2:$K$200,itens_Consumidos!$A$2:$A$200,A84),IF($C$3="C4",SUMIFS(itens_Consumidos!$M$2:$M$200,itens_Consumidos!$A$2:$A$200,A84),""))))))</f>
        <v/>
      </c>
      <c r="M84" t="str">
        <f t="shared" si="17"/>
        <v/>
      </c>
      <c r="N84" t="str">
        <f>IF(A84="","",IF($C$3="C0",COUNTIFS(itens_Consumidos!$A$2:$A$200,A84,itens_Consumidos!$E$2:$E$200,"&lt;&gt;"),IF($C$3="C1",COUNTIFS(itens_Consumidos!$A$2:$A$200,A84,itens_Consumidos!$G$2:$G$200,"&lt;&gt;"),IF($C$3="C2",COUNTIFS(itens_Consumidos!$A$2:$A$200,A84,itens_Consumidos!$I$2:$I$200,"&lt;&gt;"),IF($C$3="C3",COUNTIFS(itens_Consumidos!$A$2:$A$200,A84,itens_Consumidos!$K$2:$K$200,"&lt;&gt;"),IF($C$3="C4",COUNTIFS(itens_Consumidos!$A$2:$A$200,A84,itens_Consumidos!$M$2:$M$200,"&lt;&gt;"),""))))))</f>
        <v/>
      </c>
      <c r="O84" t="str">
        <f>IF(itens_Remanesc!$A73="","",COUNTIFS(aditivos!$A$2:$A$200,itens_Remanesc!$A73,aditivos!$B$2:$B$200,"&lt;="&amp;$D$5,aditivos!$L$2:$L$200,"&gt;0"))</f>
        <v/>
      </c>
    </row>
    <row r="85" spans="1:15" ht="20" customHeight="1" x14ac:dyDescent="0.35">
      <c r="A85" s="416" t="str">
        <f>IF(itens_Remanesc!$A74="","",IF(NOT(posicao_contratual!$Z74),itens_Remanesc!$A74,IF(AND(ISNUMBER($D$5),$O85&gt;0),itens_Remanesc!$A74,"")))</f>
        <v/>
      </c>
      <c r="B85" s="417" t="str">
        <f>IF(A85="","",IF(AND(posicao_contratual!$Z74,COUNTIFS(aditivos!$A$2:$A$200,itens_Remanesc!$A74,aditivos!$B$2:$B$200,"&lt;"&amp;(INT($F$3)+1),aditivos!$L$2:$L$200,"&gt;0")=0),0,IF(ISNUMBER(IF($C$3="C0",posicao_contratual!$F74,IF($C$3="C1",posicao_contratual!$J74,IF($C$3="C2",posicao_contratual!$N74,IF($C$3="C3",posicao_contratual!$R74,IF($C$3="C4",posicao_contratual!$V74,"")))))),ROUND(IF($C$3="C0",posicao_contratual!$F74,IF($C$3="C1",posicao_contratual!$J74,IF($C$3="C2",posicao_contratual!$N74,IF($C$3="C3",posicao_contratual!$R74,IF($C$3="C4",posicao_contratual!$V74,"")))))+ROUND(SUMIFS(aditivos!$L$2:$L$200,aditivos!$A$2:$A$200,A85,aditivos!$C$2:$C$200,$C$3,aditivos!$B$2:$B$200,"&lt;"&amp;(INT($F$3)+1)),2),2),IF(ROUND(SUMIFS(aditivos!$L$2:$L$200,aditivos!$A$2:$A$200,A85,aditivos!$C$2:$C$200,$C$3,aditivos!$B$2:$B$200,"&lt;"&amp;(INT($F$3)+1)),2)&gt;0,ROUND(SUMIFS(aditivos!$L$2:$L$200,aditivos!$A$2:$A$200,A85,aditivos!$C$2:$C$200,$C$3,aditivos!$B$2:$B$200,"&lt;"&amp;(INT($F$3)+1)),2),""))))</f>
        <v/>
      </c>
      <c r="C85" s="418"/>
      <c r="D85" s="417" t="str">
        <f t="shared" si="12"/>
        <v/>
      </c>
      <c r="E85" s="419" t="str">
        <f>IF(A85="","",IF($C$3="C0",historico_VU!$C74,IF($C$3="C1",historico_VU!$D74,IF($C$3="C2",historico_VU!$E74,IF($C$3="C3",historico_VU!$F74,IF($C$3="C4",historico_VU!$G74,""))))))</f>
        <v/>
      </c>
      <c r="F85" s="419" t="str">
        <f t="shared" si="13"/>
        <v/>
      </c>
      <c r="G85" s="419" t="str">
        <f t="shared" si="14"/>
        <v/>
      </c>
      <c r="I85" t="str">
        <f>IF(OR(A85="",$D$5="",$F$3=""),"",ROUND(SUMIFS(aditivos!$L$2:$L$200,aditivos!$A$2:$A$200,A85,aditivos!$B$2:$B$200,"&gt;="&amp;(INT($F$3)+1),aditivos!$B$2:$B$200,"&lt;="&amp;$D$5),2))</f>
        <v/>
      </c>
      <c r="J85" t="str">
        <f t="shared" si="15"/>
        <v/>
      </c>
      <c r="K85" t="str">
        <f t="shared" si="16"/>
        <v/>
      </c>
      <c r="L85" t="str">
        <f>IF(A85="","",IF($C$3="C0",SUMIFS(itens_Consumidos!$E$2:$E$200,itens_Consumidos!$A$2:$A$200,A85),IF($C$3="C1",SUMIFS(itens_Consumidos!$G$2:$G$200,itens_Consumidos!$A$2:$A$200,A85),IF($C$3="C2",SUMIFS(itens_Consumidos!$I$2:$I$200,itens_Consumidos!$A$2:$A$200,A85),IF($C$3="C3",SUMIFS(itens_Consumidos!$K$2:$K$200,itens_Consumidos!$A$2:$A$200,A85),IF($C$3="C4",SUMIFS(itens_Consumidos!$M$2:$M$200,itens_Consumidos!$A$2:$A$200,A85),""))))))</f>
        <v/>
      </c>
      <c r="M85" t="str">
        <f t="shared" si="17"/>
        <v/>
      </c>
      <c r="N85" t="str">
        <f>IF(A85="","",IF($C$3="C0",COUNTIFS(itens_Consumidos!$A$2:$A$200,A85,itens_Consumidos!$E$2:$E$200,"&lt;&gt;"),IF($C$3="C1",COUNTIFS(itens_Consumidos!$A$2:$A$200,A85,itens_Consumidos!$G$2:$G$200,"&lt;&gt;"),IF($C$3="C2",COUNTIFS(itens_Consumidos!$A$2:$A$200,A85,itens_Consumidos!$I$2:$I$200,"&lt;&gt;"),IF($C$3="C3",COUNTIFS(itens_Consumidos!$A$2:$A$200,A85,itens_Consumidos!$K$2:$K$200,"&lt;&gt;"),IF($C$3="C4",COUNTIFS(itens_Consumidos!$A$2:$A$200,A85,itens_Consumidos!$M$2:$M$200,"&lt;&gt;"),""))))))</f>
        <v/>
      </c>
      <c r="O85" t="str">
        <f>IF(itens_Remanesc!$A74="","",COUNTIFS(aditivos!$A$2:$A$200,itens_Remanesc!$A74,aditivos!$B$2:$B$200,"&lt;="&amp;$D$5,aditivos!$L$2:$L$200,"&gt;0"))</f>
        <v/>
      </c>
    </row>
    <row r="86" spans="1:15" ht="20" customHeight="1" x14ac:dyDescent="0.35">
      <c r="A86" s="416" t="str">
        <f>IF(itens_Remanesc!$A75="","",IF(NOT(posicao_contratual!$Z75),itens_Remanesc!$A75,IF(AND(ISNUMBER($D$5),$O86&gt;0),itens_Remanesc!$A75,"")))</f>
        <v/>
      </c>
      <c r="B86" s="417" t="str">
        <f>IF(A86="","",IF(AND(posicao_contratual!$Z75,COUNTIFS(aditivos!$A$2:$A$200,itens_Remanesc!$A75,aditivos!$B$2:$B$200,"&lt;"&amp;(INT($F$3)+1),aditivos!$L$2:$L$200,"&gt;0")=0),0,IF(ISNUMBER(IF($C$3="C0",posicao_contratual!$F75,IF($C$3="C1",posicao_contratual!$J75,IF($C$3="C2",posicao_contratual!$N75,IF($C$3="C3",posicao_contratual!$R75,IF($C$3="C4",posicao_contratual!$V75,"")))))),ROUND(IF($C$3="C0",posicao_contratual!$F75,IF($C$3="C1",posicao_contratual!$J75,IF($C$3="C2",posicao_contratual!$N75,IF($C$3="C3",posicao_contratual!$R75,IF($C$3="C4",posicao_contratual!$V75,"")))))+ROUND(SUMIFS(aditivos!$L$2:$L$200,aditivos!$A$2:$A$200,A86,aditivos!$C$2:$C$200,$C$3,aditivos!$B$2:$B$200,"&lt;"&amp;(INT($F$3)+1)),2),2),IF(ROUND(SUMIFS(aditivos!$L$2:$L$200,aditivos!$A$2:$A$200,A86,aditivos!$C$2:$C$200,$C$3,aditivos!$B$2:$B$200,"&lt;"&amp;(INT($F$3)+1)),2)&gt;0,ROUND(SUMIFS(aditivos!$L$2:$L$200,aditivos!$A$2:$A$200,A86,aditivos!$C$2:$C$200,$C$3,aditivos!$B$2:$B$200,"&lt;"&amp;(INT($F$3)+1)),2),""))))</f>
        <v/>
      </c>
      <c r="C86" s="418"/>
      <c r="D86" s="417" t="str">
        <f t="shared" si="12"/>
        <v/>
      </c>
      <c r="E86" s="419" t="str">
        <f>IF(A86="","",IF($C$3="C0",historico_VU!$C75,IF($C$3="C1",historico_VU!$D75,IF($C$3="C2",historico_VU!$E75,IF($C$3="C3",historico_VU!$F75,IF($C$3="C4",historico_VU!$G75,""))))))</f>
        <v/>
      </c>
      <c r="F86" s="419" t="str">
        <f t="shared" si="13"/>
        <v/>
      </c>
      <c r="G86" s="419" t="str">
        <f t="shared" si="14"/>
        <v/>
      </c>
      <c r="I86" t="str">
        <f>IF(OR(A86="",$D$5="",$F$3=""),"",ROUND(SUMIFS(aditivos!$L$2:$L$200,aditivos!$A$2:$A$200,A86,aditivos!$B$2:$B$200,"&gt;="&amp;(INT($F$3)+1),aditivos!$B$2:$B$200,"&lt;="&amp;$D$5),2))</f>
        <v/>
      </c>
      <c r="J86" t="str">
        <f t="shared" si="15"/>
        <v/>
      </c>
      <c r="K86" t="str">
        <f t="shared" si="16"/>
        <v/>
      </c>
      <c r="L86" t="str">
        <f>IF(A86="","",IF($C$3="C0",SUMIFS(itens_Consumidos!$E$2:$E$200,itens_Consumidos!$A$2:$A$200,A86),IF($C$3="C1",SUMIFS(itens_Consumidos!$G$2:$G$200,itens_Consumidos!$A$2:$A$200,A86),IF($C$3="C2",SUMIFS(itens_Consumidos!$I$2:$I$200,itens_Consumidos!$A$2:$A$200,A86),IF($C$3="C3",SUMIFS(itens_Consumidos!$K$2:$K$200,itens_Consumidos!$A$2:$A$200,A86),IF($C$3="C4",SUMIFS(itens_Consumidos!$M$2:$M$200,itens_Consumidos!$A$2:$A$200,A86),""))))))</f>
        <v/>
      </c>
      <c r="M86" t="str">
        <f t="shared" si="17"/>
        <v/>
      </c>
      <c r="N86" t="str">
        <f>IF(A86="","",IF($C$3="C0",COUNTIFS(itens_Consumidos!$A$2:$A$200,A86,itens_Consumidos!$E$2:$E$200,"&lt;&gt;"),IF($C$3="C1",COUNTIFS(itens_Consumidos!$A$2:$A$200,A86,itens_Consumidos!$G$2:$G$200,"&lt;&gt;"),IF($C$3="C2",COUNTIFS(itens_Consumidos!$A$2:$A$200,A86,itens_Consumidos!$I$2:$I$200,"&lt;&gt;"),IF($C$3="C3",COUNTIFS(itens_Consumidos!$A$2:$A$200,A86,itens_Consumidos!$K$2:$K$200,"&lt;&gt;"),IF($C$3="C4",COUNTIFS(itens_Consumidos!$A$2:$A$200,A86,itens_Consumidos!$M$2:$M$200,"&lt;&gt;"),""))))))</f>
        <v/>
      </c>
      <c r="O86" t="str">
        <f>IF(itens_Remanesc!$A75="","",COUNTIFS(aditivos!$A$2:$A$200,itens_Remanesc!$A75,aditivos!$B$2:$B$200,"&lt;="&amp;$D$5,aditivos!$L$2:$L$200,"&gt;0"))</f>
        <v/>
      </c>
    </row>
    <row r="87" spans="1:15" ht="20" customHeight="1" x14ac:dyDescent="0.35">
      <c r="A87" s="416" t="str">
        <f>IF(itens_Remanesc!$A76="","",IF(NOT(posicao_contratual!$Z76),itens_Remanesc!$A76,IF(AND(ISNUMBER($D$5),$O87&gt;0),itens_Remanesc!$A76,"")))</f>
        <v/>
      </c>
      <c r="B87" s="417" t="str">
        <f>IF(A87="","",IF(AND(posicao_contratual!$Z76,COUNTIFS(aditivos!$A$2:$A$200,itens_Remanesc!$A76,aditivos!$B$2:$B$200,"&lt;"&amp;(INT($F$3)+1),aditivos!$L$2:$L$200,"&gt;0")=0),0,IF(ISNUMBER(IF($C$3="C0",posicao_contratual!$F76,IF($C$3="C1",posicao_contratual!$J76,IF($C$3="C2",posicao_contratual!$N76,IF($C$3="C3",posicao_contratual!$R76,IF($C$3="C4",posicao_contratual!$V76,"")))))),ROUND(IF($C$3="C0",posicao_contratual!$F76,IF($C$3="C1",posicao_contratual!$J76,IF($C$3="C2",posicao_contratual!$N76,IF($C$3="C3",posicao_contratual!$R76,IF($C$3="C4",posicao_contratual!$V76,"")))))+ROUND(SUMIFS(aditivos!$L$2:$L$200,aditivos!$A$2:$A$200,A87,aditivos!$C$2:$C$200,$C$3,aditivos!$B$2:$B$200,"&lt;"&amp;(INT($F$3)+1)),2),2),IF(ROUND(SUMIFS(aditivos!$L$2:$L$200,aditivos!$A$2:$A$200,A87,aditivos!$C$2:$C$200,$C$3,aditivos!$B$2:$B$200,"&lt;"&amp;(INT($F$3)+1)),2)&gt;0,ROUND(SUMIFS(aditivos!$L$2:$L$200,aditivos!$A$2:$A$200,A87,aditivos!$C$2:$C$200,$C$3,aditivos!$B$2:$B$200,"&lt;"&amp;(INT($F$3)+1)),2),""))))</f>
        <v/>
      </c>
      <c r="C87" s="418"/>
      <c r="D87" s="417" t="str">
        <f t="shared" si="12"/>
        <v/>
      </c>
      <c r="E87" s="419" t="str">
        <f>IF(A87="","",IF($C$3="C0",historico_VU!$C76,IF($C$3="C1",historico_VU!$D76,IF($C$3="C2",historico_VU!$E76,IF($C$3="C3",historico_VU!$F76,IF($C$3="C4",historico_VU!$G76,""))))))</f>
        <v/>
      </c>
      <c r="F87" s="419" t="str">
        <f t="shared" si="13"/>
        <v/>
      </c>
      <c r="G87" s="419" t="str">
        <f t="shared" si="14"/>
        <v/>
      </c>
      <c r="I87" t="str">
        <f>IF(OR(A87="",$D$5="",$F$3=""),"",ROUND(SUMIFS(aditivos!$L$2:$L$200,aditivos!$A$2:$A$200,A87,aditivos!$B$2:$B$200,"&gt;="&amp;(INT($F$3)+1),aditivos!$B$2:$B$200,"&lt;="&amp;$D$5),2))</f>
        <v/>
      </c>
      <c r="J87" t="str">
        <f t="shared" si="15"/>
        <v/>
      </c>
      <c r="K87" t="str">
        <f t="shared" si="16"/>
        <v/>
      </c>
      <c r="L87" t="str">
        <f>IF(A87="","",IF($C$3="C0",SUMIFS(itens_Consumidos!$E$2:$E$200,itens_Consumidos!$A$2:$A$200,A87),IF($C$3="C1",SUMIFS(itens_Consumidos!$G$2:$G$200,itens_Consumidos!$A$2:$A$200,A87),IF($C$3="C2",SUMIFS(itens_Consumidos!$I$2:$I$200,itens_Consumidos!$A$2:$A$200,A87),IF($C$3="C3",SUMIFS(itens_Consumidos!$K$2:$K$200,itens_Consumidos!$A$2:$A$200,A87),IF($C$3="C4",SUMIFS(itens_Consumidos!$M$2:$M$200,itens_Consumidos!$A$2:$A$200,A87),""))))))</f>
        <v/>
      </c>
      <c r="M87" t="str">
        <f t="shared" si="17"/>
        <v/>
      </c>
      <c r="N87" t="str">
        <f>IF(A87="","",IF($C$3="C0",COUNTIFS(itens_Consumidos!$A$2:$A$200,A87,itens_Consumidos!$E$2:$E$200,"&lt;&gt;"),IF($C$3="C1",COUNTIFS(itens_Consumidos!$A$2:$A$200,A87,itens_Consumidos!$G$2:$G$200,"&lt;&gt;"),IF($C$3="C2",COUNTIFS(itens_Consumidos!$A$2:$A$200,A87,itens_Consumidos!$I$2:$I$200,"&lt;&gt;"),IF($C$3="C3",COUNTIFS(itens_Consumidos!$A$2:$A$200,A87,itens_Consumidos!$K$2:$K$200,"&lt;&gt;"),IF($C$3="C4",COUNTIFS(itens_Consumidos!$A$2:$A$200,A87,itens_Consumidos!$M$2:$M$200,"&lt;&gt;"),""))))))</f>
        <v/>
      </c>
      <c r="O87" t="str">
        <f>IF(itens_Remanesc!$A76="","",COUNTIFS(aditivos!$A$2:$A$200,itens_Remanesc!$A76,aditivos!$B$2:$B$200,"&lt;="&amp;$D$5,aditivos!$L$2:$L$200,"&gt;0"))</f>
        <v/>
      </c>
    </row>
    <row r="88" spans="1:15" ht="20" customHeight="1" x14ac:dyDescent="0.35">
      <c r="A88" s="416" t="str">
        <f>IF(itens_Remanesc!$A77="","",IF(NOT(posicao_contratual!$Z77),itens_Remanesc!$A77,IF(AND(ISNUMBER($D$5),$O88&gt;0),itens_Remanesc!$A77,"")))</f>
        <v/>
      </c>
      <c r="B88" s="417" t="str">
        <f>IF(A88="","",IF(AND(posicao_contratual!$Z77,COUNTIFS(aditivos!$A$2:$A$200,itens_Remanesc!$A77,aditivos!$B$2:$B$200,"&lt;"&amp;(INT($F$3)+1),aditivos!$L$2:$L$200,"&gt;0")=0),0,IF(ISNUMBER(IF($C$3="C0",posicao_contratual!$F77,IF($C$3="C1",posicao_contratual!$J77,IF($C$3="C2",posicao_contratual!$N77,IF($C$3="C3",posicao_contratual!$R77,IF($C$3="C4",posicao_contratual!$V77,"")))))),ROUND(IF($C$3="C0",posicao_contratual!$F77,IF($C$3="C1",posicao_contratual!$J77,IF($C$3="C2",posicao_contratual!$N77,IF($C$3="C3",posicao_contratual!$R77,IF($C$3="C4",posicao_contratual!$V77,"")))))+ROUND(SUMIFS(aditivos!$L$2:$L$200,aditivos!$A$2:$A$200,A88,aditivos!$C$2:$C$200,$C$3,aditivos!$B$2:$B$200,"&lt;"&amp;(INT($F$3)+1)),2),2),IF(ROUND(SUMIFS(aditivos!$L$2:$L$200,aditivos!$A$2:$A$200,A88,aditivos!$C$2:$C$200,$C$3,aditivos!$B$2:$B$200,"&lt;"&amp;(INT($F$3)+1)),2)&gt;0,ROUND(SUMIFS(aditivos!$L$2:$L$200,aditivos!$A$2:$A$200,A88,aditivos!$C$2:$C$200,$C$3,aditivos!$B$2:$B$200,"&lt;"&amp;(INT($F$3)+1)),2),""))))</f>
        <v/>
      </c>
      <c r="C88" s="418"/>
      <c r="D88" s="417" t="str">
        <f t="shared" si="12"/>
        <v/>
      </c>
      <c r="E88" s="419" t="str">
        <f>IF(A88="","",IF($C$3="C0",historico_VU!$C77,IF($C$3="C1",historico_VU!$D77,IF($C$3="C2",historico_VU!$E77,IF($C$3="C3",historico_VU!$F77,IF($C$3="C4",historico_VU!$G77,""))))))</f>
        <v/>
      </c>
      <c r="F88" s="419" t="str">
        <f t="shared" si="13"/>
        <v/>
      </c>
      <c r="G88" s="419" t="str">
        <f t="shared" si="14"/>
        <v/>
      </c>
      <c r="I88" t="str">
        <f>IF(OR(A88="",$D$5="",$F$3=""),"",ROUND(SUMIFS(aditivos!$L$2:$L$200,aditivos!$A$2:$A$200,A88,aditivos!$B$2:$B$200,"&gt;="&amp;(INT($F$3)+1),aditivos!$B$2:$B$200,"&lt;="&amp;$D$5),2))</f>
        <v/>
      </c>
      <c r="J88" t="str">
        <f t="shared" si="15"/>
        <v/>
      </c>
      <c r="K88" t="str">
        <f t="shared" si="16"/>
        <v/>
      </c>
      <c r="L88" t="str">
        <f>IF(A88="","",IF($C$3="C0",SUMIFS(itens_Consumidos!$E$2:$E$200,itens_Consumidos!$A$2:$A$200,A88),IF($C$3="C1",SUMIFS(itens_Consumidos!$G$2:$G$200,itens_Consumidos!$A$2:$A$200,A88),IF($C$3="C2",SUMIFS(itens_Consumidos!$I$2:$I$200,itens_Consumidos!$A$2:$A$200,A88),IF($C$3="C3",SUMIFS(itens_Consumidos!$K$2:$K$200,itens_Consumidos!$A$2:$A$200,A88),IF($C$3="C4",SUMIFS(itens_Consumidos!$M$2:$M$200,itens_Consumidos!$A$2:$A$200,A88),""))))))</f>
        <v/>
      </c>
      <c r="M88" t="str">
        <f t="shared" si="17"/>
        <v/>
      </c>
      <c r="N88" t="str">
        <f>IF(A88="","",IF($C$3="C0",COUNTIFS(itens_Consumidos!$A$2:$A$200,A88,itens_Consumidos!$E$2:$E$200,"&lt;&gt;"),IF($C$3="C1",COUNTIFS(itens_Consumidos!$A$2:$A$200,A88,itens_Consumidos!$G$2:$G$200,"&lt;&gt;"),IF($C$3="C2",COUNTIFS(itens_Consumidos!$A$2:$A$200,A88,itens_Consumidos!$I$2:$I$200,"&lt;&gt;"),IF($C$3="C3",COUNTIFS(itens_Consumidos!$A$2:$A$200,A88,itens_Consumidos!$K$2:$K$200,"&lt;&gt;"),IF($C$3="C4",COUNTIFS(itens_Consumidos!$A$2:$A$200,A88,itens_Consumidos!$M$2:$M$200,"&lt;&gt;"),""))))))</f>
        <v/>
      </c>
      <c r="O88" t="str">
        <f>IF(itens_Remanesc!$A77="","",COUNTIFS(aditivos!$A$2:$A$200,itens_Remanesc!$A77,aditivos!$B$2:$B$200,"&lt;="&amp;$D$5,aditivos!$L$2:$L$200,"&gt;0"))</f>
        <v/>
      </c>
    </row>
    <row r="89" spans="1:15" ht="20" customHeight="1" x14ac:dyDescent="0.35">
      <c r="A89" s="416" t="str">
        <f>IF(itens_Remanesc!$A78="","",IF(NOT(posicao_contratual!$Z78),itens_Remanesc!$A78,IF(AND(ISNUMBER($D$5),$O89&gt;0),itens_Remanesc!$A78,"")))</f>
        <v/>
      </c>
      <c r="B89" s="417" t="str">
        <f>IF(A89="","",IF(AND(posicao_contratual!$Z78,COUNTIFS(aditivos!$A$2:$A$200,itens_Remanesc!$A78,aditivos!$B$2:$B$200,"&lt;"&amp;(INT($F$3)+1),aditivos!$L$2:$L$200,"&gt;0")=0),0,IF(ISNUMBER(IF($C$3="C0",posicao_contratual!$F78,IF($C$3="C1",posicao_contratual!$J78,IF($C$3="C2",posicao_contratual!$N78,IF($C$3="C3",posicao_contratual!$R78,IF($C$3="C4",posicao_contratual!$V78,"")))))),ROUND(IF($C$3="C0",posicao_contratual!$F78,IF($C$3="C1",posicao_contratual!$J78,IF($C$3="C2",posicao_contratual!$N78,IF($C$3="C3",posicao_contratual!$R78,IF($C$3="C4",posicao_contratual!$V78,"")))))+ROUND(SUMIFS(aditivos!$L$2:$L$200,aditivos!$A$2:$A$200,A89,aditivos!$C$2:$C$200,$C$3,aditivos!$B$2:$B$200,"&lt;"&amp;(INT($F$3)+1)),2),2),IF(ROUND(SUMIFS(aditivos!$L$2:$L$200,aditivos!$A$2:$A$200,A89,aditivos!$C$2:$C$200,$C$3,aditivos!$B$2:$B$200,"&lt;"&amp;(INT($F$3)+1)),2)&gt;0,ROUND(SUMIFS(aditivos!$L$2:$L$200,aditivos!$A$2:$A$200,A89,aditivos!$C$2:$C$200,$C$3,aditivos!$B$2:$B$200,"&lt;"&amp;(INT($F$3)+1)),2),""))))</f>
        <v/>
      </c>
      <c r="C89" s="418"/>
      <c r="D89" s="417" t="str">
        <f t="shared" si="12"/>
        <v/>
      </c>
      <c r="E89" s="419" t="str">
        <f>IF(A89="","",IF($C$3="C0",historico_VU!$C78,IF($C$3="C1",historico_VU!$D78,IF($C$3="C2",historico_VU!$E78,IF($C$3="C3",historico_VU!$F78,IF($C$3="C4",historico_VU!$G78,""))))))</f>
        <v/>
      </c>
      <c r="F89" s="419" t="str">
        <f t="shared" si="13"/>
        <v/>
      </c>
      <c r="G89" s="419" t="str">
        <f t="shared" si="14"/>
        <v/>
      </c>
      <c r="I89" t="str">
        <f>IF(OR(A89="",$D$5="",$F$3=""),"",ROUND(SUMIFS(aditivos!$L$2:$L$200,aditivos!$A$2:$A$200,A89,aditivos!$B$2:$B$200,"&gt;="&amp;(INT($F$3)+1),aditivos!$B$2:$B$200,"&lt;="&amp;$D$5),2))</f>
        <v/>
      </c>
      <c r="J89" t="str">
        <f t="shared" si="15"/>
        <v/>
      </c>
      <c r="K89" t="str">
        <f t="shared" si="16"/>
        <v/>
      </c>
      <c r="L89" t="str">
        <f>IF(A89="","",IF($C$3="C0",SUMIFS(itens_Consumidos!$E$2:$E$200,itens_Consumidos!$A$2:$A$200,A89),IF($C$3="C1",SUMIFS(itens_Consumidos!$G$2:$G$200,itens_Consumidos!$A$2:$A$200,A89),IF($C$3="C2",SUMIFS(itens_Consumidos!$I$2:$I$200,itens_Consumidos!$A$2:$A$200,A89),IF($C$3="C3",SUMIFS(itens_Consumidos!$K$2:$K$200,itens_Consumidos!$A$2:$A$200,A89),IF($C$3="C4",SUMIFS(itens_Consumidos!$M$2:$M$200,itens_Consumidos!$A$2:$A$200,A89),""))))))</f>
        <v/>
      </c>
      <c r="M89" t="str">
        <f t="shared" si="17"/>
        <v/>
      </c>
      <c r="N89" t="str">
        <f>IF(A89="","",IF($C$3="C0",COUNTIFS(itens_Consumidos!$A$2:$A$200,A89,itens_Consumidos!$E$2:$E$200,"&lt;&gt;"),IF($C$3="C1",COUNTIFS(itens_Consumidos!$A$2:$A$200,A89,itens_Consumidos!$G$2:$G$200,"&lt;&gt;"),IF($C$3="C2",COUNTIFS(itens_Consumidos!$A$2:$A$200,A89,itens_Consumidos!$I$2:$I$200,"&lt;&gt;"),IF($C$3="C3",COUNTIFS(itens_Consumidos!$A$2:$A$200,A89,itens_Consumidos!$K$2:$K$200,"&lt;&gt;"),IF($C$3="C4",COUNTIFS(itens_Consumidos!$A$2:$A$200,A89,itens_Consumidos!$M$2:$M$200,"&lt;&gt;"),""))))))</f>
        <v/>
      </c>
      <c r="O89" t="str">
        <f>IF(itens_Remanesc!$A78="","",COUNTIFS(aditivos!$A$2:$A$200,itens_Remanesc!$A78,aditivos!$B$2:$B$200,"&lt;="&amp;$D$5,aditivos!$L$2:$L$200,"&gt;0"))</f>
        <v/>
      </c>
    </row>
    <row r="90" spans="1:15" ht="20" customHeight="1" x14ac:dyDescent="0.35">
      <c r="A90" s="416" t="str">
        <f>IF(itens_Remanesc!$A79="","",IF(NOT(posicao_contratual!$Z79),itens_Remanesc!$A79,IF(AND(ISNUMBER($D$5),$O90&gt;0),itens_Remanesc!$A79,"")))</f>
        <v/>
      </c>
      <c r="B90" s="417" t="str">
        <f>IF(A90="","",IF(AND(posicao_contratual!$Z79,COUNTIFS(aditivos!$A$2:$A$200,itens_Remanesc!$A79,aditivos!$B$2:$B$200,"&lt;"&amp;(INT($F$3)+1),aditivos!$L$2:$L$200,"&gt;0")=0),0,IF(ISNUMBER(IF($C$3="C0",posicao_contratual!$F79,IF($C$3="C1",posicao_contratual!$J79,IF($C$3="C2",posicao_contratual!$N79,IF($C$3="C3",posicao_contratual!$R79,IF($C$3="C4",posicao_contratual!$V79,"")))))),ROUND(IF($C$3="C0",posicao_contratual!$F79,IF($C$3="C1",posicao_contratual!$J79,IF($C$3="C2",posicao_contratual!$N79,IF($C$3="C3",posicao_contratual!$R79,IF($C$3="C4",posicao_contratual!$V79,"")))))+ROUND(SUMIFS(aditivos!$L$2:$L$200,aditivos!$A$2:$A$200,A90,aditivos!$C$2:$C$200,$C$3,aditivos!$B$2:$B$200,"&lt;"&amp;(INT($F$3)+1)),2),2),IF(ROUND(SUMIFS(aditivos!$L$2:$L$200,aditivos!$A$2:$A$200,A90,aditivos!$C$2:$C$200,$C$3,aditivos!$B$2:$B$200,"&lt;"&amp;(INT($F$3)+1)),2)&gt;0,ROUND(SUMIFS(aditivos!$L$2:$L$200,aditivos!$A$2:$A$200,A90,aditivos!$C$2:$C$200,$C$3,aditivos!$B$2:$B$200,"&lt;"&amp;(INT($F$3)+1)),2),""))))</f>
        <v/>
      </c>
      <c r="C90" s="418"/>
      <c r="D90" s="417" t="str">
        <f t="shared" si="12"/>
        <v/>
      </c>
      <c r="E90" s="419" t="str">
        <f>IF(A90="","",IF($C$3="C0",historico_VU!$C79,IF($C$3="C1",historico_VU!$D79,IF($C$3="C2",historico_VU!$E79,IF($C$3="C3",historico_VU!$F79,IF($C$3="C4",historico_VU!$G79,""))))))</f>
        <v/>
      </c>
      <c r="F90" s="419" t="str">
        <f t="shared" si="13"/>
        <v/>
      </c>
      <c r="G90" s="419" t="str">
        <f t="shared" si="14"/>
        <v/>
      </c>
      <c r="I90" t="str">
        <f>IF(OR(A90="",$D$5="",$F$3=""),"",ROUND(SUMIFS(aditivos!$L$2:$L$200,aditivos!$A$2:$A$200,A90,aditivos!$B$2:$B$200,"&gt;="&amp;(INT($F$3)+1),aditivos!$B$2:$B$200,"&lt;="&amp;$D$5),2))</f>
        <v/>
      </c>
      <c r="J90" t="str">
        <f t="shared" si="15"/>
        <v/>
      </c>
      <c r="K90" t="str">
        <f t="shared" si="16"/>
        <v/>
      </c>
      <c r="L90" t="str">
        <f>IF(A90="","",IF($C$3="C0",SUMIFS(itens_Consumidos!$E$2:$E$200,itens_Consumidos!$A$2:$A$200,A90),IF($C$3="C1",SUMIFS(itens_Consumidos!$G$2:$G$200,itens_Consumidos!$A$2:$A$200,A90),IF($C$3="C2",SUMIFS(itens_Consumidos!$I$2:$I$200,itens_Consumidos!$A$2:$A$200,A90),IF($C$3="C3",SUMIFS(itens_Consumidos!$K$2:$K$200,itens_Consumidos!$A$2:$A$200,A90),IF($C$3="C4",SUMIFS(itens_Consumidos!$M$2:$M$200,itens_Consumidos!$A$2:$A$200,A90),""))))))</f>
        <v/>
      </c>
      <c r="M90" t="str">
        <f t="shared" si="17"/>
        <v/>
      </c>
      <c r="N90" t="str">
        <f>IF(A90="","",IF($C$3="C0",COUNTIFS(itens_Consumidos!$A$2:$A$200,A90,itens_Consumidos!$E$2:$E$200,"&lt;&gt;"),IF($C$3="C1",COUNTIFS(itens_Consumidos!$A$2:$A$200,A90,itens_Consumidos!$G$2:$G$200,"&lt;&gt;"),IF($C$3="C2",COUNTIFS(itens_Consumidos!$A$2:$A$200,A90,itens_Consumidos!$I$2:$I$200,"&lt;&gt;"),IF($C$3="C3",COUNTIFS(itens_Consumidos!$A$2:$A$200,A90,itens_Consumidos!$K$2:$K$200,"&lt;&gt;"),IF($C$3="C4",COUNTIFS(itens_Consumidos!$A$2:$A$200,A90,itens_Consumidos!$M$2:$M$200,"&lt;&gt;"),""))))))</f>
        <v/>
      </c>
      <c r="O90" t="str">
        <f>IF(itens_Remanesc!$A79="","",COUNTIFS(aditivos!$A$2:$A$200,itens_Remanesc!$A79,aditivos!$B$2:$B$200,"&lt;="&amp;$D$5,aditivos!$L$2:$L$200,"&gt;0"))</f>
        <v/>
      </c>
    </row>
    <row r="91" spans="1:15" ht="20" customHeight="1" x14ac:dyDescent="0.35">
      <c r="A91" s="416" t="str">
        <f>IF(itens_Remanesc!$A80="","",IF(NOT(posicao_contratual!$Z80),itens_Remanesc!$A80,IF(AND(ISNUMBER($D$5),$O91&gt;0),itens_Remanesc!$A80,"")))</f>
        <v/>
      </c>
      <c r="B91" s="417" t="str">
        <f>IF(A91="","",IF(AND(posicao_contratual!$Z80,COUNTIFS(aditivos!$A$2:$A$200,itens_Remanesc!$A80,aditivos!$B$2:$B$200,"&lt;"&amp;(INT($F$3)+1),aditivos!$L$2:$L$200,"&gt;0")=0),0,IF(ISNUMBER(IF($C$3="C0",posicao_contratual!$F80,IF($C$3="C1",posicao_contratual!$J80,IF($C$3="C2",posicao_contratual!$N80,IF($C$3="C3",posicao_contratual!$R80,IF($C$3="C4",posicao_contratual!$V80,"")))))),ROUND(IF($C$3="C0",posicao_contratual!$F80,IF($C$3="C1",posicao_contratual!$J80,IF($C$3="C2",posicao_contratual!$N80,IF($C$3="C3",posicao_contratual!$R80,IF($C$3="C4",posicao_contratual!$V80,"")))))+ROUND(SUMIFS(aditivos!$L$2:$L$200,aditivos!$A$2:$A$200,A91,aditivos!$C$2:$C$200,$C$3,aditivos!$B$2:$B$200,"&lt;"&amp;(INT($F$3)+1)),2),2),IF(ROUND(SUMIFS(aditivos!$L$2:$L$200,aditivos!$A$2:$A$200,A91,aditivos!$C$2:$C$200,$C$3,aditivos!$B$2:$B$200,"&lt;"&amp;(INT($F$3)+1)),2)&gt;0,ROUND(SUMIFS(aditivos!$L$2:$L$200,aditivos!$A$2:$A$200,A91,aditivos!$C$2:$C$200,$C$3,aditivos!$B$2:$B$200,"&lt;"&amp;(INT($F$3)+1)),2),""))))</f>
        <v/>
      </c>
      <c r="C91" s="418"/>
      <c r="D91" s="417" t="str">
        <f t="shared" si="12"/>
        <v/>
      </c>
      <c r="E91" s="419" t="str">
        <f>IF(A91="","",IF($C$3="C0",historico_VU!$C80,IF($C$3="C1",historico_VU!$D80,IF($C$3="C2",historico_VU!$E80,IF($C$3="C3",historico_VU!$F80,IF($C$3="C4",historico_VU!$G80,""))))))</f>
        <v/>
      </c>
      <c r="F91" s="419" t="str">
        <f t="shared" si="13"/>
        <v/>
      </c>
      <c r="G91" s="419" t="str">
        <f t="shared" si="14"/>
        <v/>
      </c>
      <c r="I91" t="str">
        <f>IF(OR(A91="",$D$5="",$F$3=""),"",ROUND(SUMIFS(aditivos!$L$2:$L$200,aditivos!$A$2:$A$200,A91,aditivos!$B$2:$B$200,"&gt;="&amp;(INT($F$3)+1),aditivos!$B$2:$B$200,"&lt;="&amp;$D$5),2))</f>
        <v/>
      </c>
      <c r="J91" t="str">
        <f t="shared" si="15"/>
        <v/>
      </c>
      <c r="K91" t="str">
        <f t="shared" si="16"/>
        <v/>
      </c>
      <c r="L91" t="str">
        <f>IF(A91="","",IF($C$3="C0",SUMIFS(itens_Consumidos!$E$2:$E$200,itens_Consumidos!$A$2:$A$200,A91),IF($C$3="C1",SUMIFS(itens_Consumidos!$G$2:$G$200,itens_Consumidos!$A$2:$A$200,A91),IF($C$3="C2",SUMIFS(itens_Consumidos!$I$2:$I$200,itens_Consumidos!$A$2:$A$200,A91),IF($C$3="C3",SUMIFS(itens_Consumidos!$K$2:$K$200,itens_Consumidos!$A$2:$A$200,A91),IF($C$3="C4",SUMIFS(itens_Consumidos!$M$2:$M$200,itens_Consumidos!$A$2:$A$200,A91),""))))))</f>
        <v/>
      </c>
      <c r="M91" t="str">
        <f t="shared" si="17"/>
        <v/>
      </c>
      <c r="N91" t="str">
        <f>IF(A91="","",IF($C$3="C0",COUNTIFS(itens_Consumidos!$A$2:$A$200,A91,itens_Consumidos!$E$2:$E$200,"&lt;&gt;"),IF($C$3="C1",COUNTIFS(itens_Consumidos!$A$2:$A$200,A91,itens_Consumidos!$G$2:$G$200,"&lt;&gt;"),IF($C$3="C2",COUNTIFS(itens_Consumidos!$A$2:$A$200,A91,itens_Consumidos!$I$2:$I$200,"&lt;&gt;"),IF($C$3="C3",COUNTIFS(itens_Consumidos!$A$2:$A$200,A91,itens_Consumidos!$K$2:$K$200,"&lt;&gt;"),IF($C$3="C4",COUNTIFS(itens_Consumidos!$A$2:$A$200,A91,itens_Consumidos!$M$2:$M$200,"&lt;&gt;"),""))))))</f>
        <v/>
      </c>
      <c r="O91" t="str">
        <f>IF(itens_Remanesc!$A80="","",COUNTIFS(aditivos!$A$2:$A$200,itens_Remanesc!$A80,aditivos!$B$2:$B$200,"&lt;="&amp;$D$5,aditivos!$L$2:$L$200,"&gt;0"))</f>
        <v/>
      </c>
    </row>
    <row r="92" spans="1:15" ht="20" customHeight="1" x14ac:dyDescent="0.35">
      <c r="A92" s="416" t="str">
        <f>IF(itens_Remanesc!$A81="","",IF(NOT(posicao_contratual!$Z81),itens_Remanesc!$A81,IF(AND(ISNUMBER($D$5),$O92&gt;0),itens_Remanesc!$A81,"")))</f>
        <v/>
      </c>
      <c r="B92" s="417" t="str">
        <f>IF(A92="","",IF(AND(posicao_contratual!$Z81,COUNTIFS(aditivos!$A$2:$A$200,itens_Remanesc!$A81,aditivos!$B$2:$B$200,"&lt;"&amp;(INT($F$3)+1),aditivos!$L$2:$L$200,"&gt;0")=0),0,IF(ISNUMBER(IF($C$3="C0",posicao_contratual!$F81,IF($C$3="C1",posicao_contratual!$J81,IF($C$3="C2",posicao_contratual!$N81,IF($C$3="C3",posicao_contratual!$R81,IF($C$3="C4",posicao_contratual!$V81,"")))))),ROUND(IF($C$3="C0",posicao_contratual!$F81,IF($C$3="C1",posicao_contratual!$J81,IF($C$3="C2",posicao_contratual!$N81,IF($C$3="C3",posicao_contratual!$R81,IF($C$3="C4",posicao_contratual!$V81,"")))))+ROUND(SUMIFS(aditivos!$L$2:$L$200,aditivos!$A$2:$A$200,A92,aditivos!$C$2:$C$200,$C$3,aditivos!$B$2:$B$200,"&lt;"&amp;(INT($F$3)+1)),2),2),IF(ROUND(SUMIFS(aditivos!$L$2:$L$200,aditivos!$A$2:$A$200,A92,aditivos!$C$2:$C$200,$C$3,aditivos!$B$2:$B$200,"&lt;"&amp;(INT($F$3)+1)),2)&gt;0,ROUND(SUMIFS(aditivos!$L$2:$L$200,aditivos!$A$2:$A$200,A92,aditivos!$C$2:$C$200,$C$3,aditivos!$B$2:$B$200,"&lt;"&amp;(INT($F$3)+1)),2),""))))</f>
        <v/>
      </c>
      <c r="C92" s="418"/>
      <c r="D92" s="417" t="str">
        <f t="shared" si="12"/>
        <v/>
      </c>
      <c r="E92" s="419" t="str">
        <f>IF(A92="","",IF($C$3="C0",historico_VU!$C81,IF($C$3="C1",historico_VU!$D81,IF($C$3="C2",historico_VU!$E81,IF($C$3="C3",historico_VU!$F81,IF($C$3="C4",historico_VU!$G81,""))))))</f>
        <v/>
      </c>
      <c r="F92" s="419" t="str">
        <f t="shared" si="13"/>
        <v/>
      </c>
      <c r="G92" s="419" t="str">
        <f t="shared" si="14"/>
        <v/>
      </c>
      <c r="I92" t="str">
        <f>IF(OR(A92="",$D$5="",$F$3=""),"",ROUND(SUMIFS(aditivos!$L$2:$L$200,aditivos!$A$2:$A$200,A92,aditivos!$B$2:$B$200,"&gt;="&amp;(INT($F$3)+1),aditivos!$B$2:$B$200,"&lt;="&amp;$D$5),2))</f>
        <v/>
      </c>
      <c r="J92" t="str">
        <f t="shared" si="15"/>
        <v/>
      </c>
      <c r="K92" t="str">
        <f t="shared" si="16"/>
        <v/>
      </c>
      <c r="L92" t="str">
        <f>IF(A92="","",IF($C$3="C0",SUMIFS(itens_Consumidos!$E$2:$E$200,itens_Consumidos!$A$2:$A$200,A92),IF($C$3="C1",SUMIFS(itens_Consumidos!$G$2:$G$200,itens_Consumidos!$A$2:$A$200,A92),IF($C$3="C2",SUMIFS(itens_Consumidos!$I$2:$I$200,itens_Consumidos!$A$2:$A$200,A92),IF($C$3="C3",SUMIFS(itens_Consumidos!$K$2:$K$200,itens_Consumidos!$A$2:$A$200,A92),IF($C$3="C4",SUMIFS(itens_Consumidos!$M$2:$M$200,itens_Consumidos!$A$2:$A$200,A92),""))))))</f>
        <v/>
      </c>
      <c r="M92" t="str">
        <f t="shared" si="17"/>
        <v/>
      </c>
      <c r="N92" t="str">
        <f>IF(A92="","",IF($C$3="C0",COUNTIFS(itens_Consumidos!$A$2:$A$200,A92,itens_Consumidos!$E$2:$E$200,"&lt;&gt;"),IF($C$3="C1",COUNTIFS(itens_Consumidos!$A$2:$A$200,A92,itens_Consumidos!$G$2:$G$200,"&lt;&gt;"),IF($C$3="C2",COUNTIFS(itens_Consumidos!$A$2:$A$200,A92,itens_Consumidos!$I$2:$I$200,"&lt;&gt;"),IF($C$3="C3",COUNTIFS(itens_Consumidos!$A$2:$A$200,A92,itens_Consumidos!$K$2:$K$200,"&lt;&gt;"),IF($C$3="C4",COUNTIFS(itens_Consumidos!$A$2:$A$200,A92,itens_Consumidos!$M$2:$M$200,"&lt;&gt;"),""))))))</f>
        <v/>
      </c>
      <c r="O92" t="str">
        <f>IF(itens_Remanesc!$A81="","",COUNTIFS(aditivos!$A$2:$A$200,itens_Remanesc!$A81,aditivos!$B$2:$B$200,"&lt;="&amp;$D$5,aditivos!$L$2:$L$200,"&gt;0"))</f>
        <v/>
      </c>
    </row>
    <row r="93" spans="1:15" ht="20" customHeight="1" x14ac:dyDescent="0.35">
      <c r="A93" s="416" t="str">
        <f>IF(itens_Remanesc!$A82="","",IF(NOT(posicao_contratual!$Z82),itens_Remanesc!$A82,IF(AND(ISNUMBER($D$5),$O93&gt;0),itens_Remanesc!$A82,"")))</f>
        <v/>
      </c>
      <c r="B93" s="417" t="str">
        <f>IF(A93="","",IF(AND(posicao_contratual!$Z82,COUNTIFS(aditivos!$A$2:$A$200,itens_Remanesc!$A82,aditivos!$B$2:$B$200,"&lt;"&amp;(INT($F$3)+1),aditivos!$L$2:$L$200,"&gt;0")=0),0,IF(ISNUMBER(IF($C$3="C0",posicao_contratual!$F82,IF($C$3="C1",posicao_contratual!$J82,IF($C$3="C2",posicao_contratual!$N82,IF($C$3="C3",posicao_contratual!$R82,IF($C$3="C4",posicao_contratual!$V82,"")))))),ROUND(IF($C$3="C0",posicao_contratual!$F82,IF($C$3="C1",posicao_contratual!$J82,IF($C$3="C2",posicao_contratual!$N82,IF($C$3="C3",posicao_contratual!$R82,IF($C$3="C4",posicao_contratual!$V82,"")))))+ROUND(SUMIFS(aditivos!$L$2:$L$200,aditivos!$A$2:$A$200,A93,aditivos!$C$2:$C$200,$C$3,aditivos!$B$2:$B$200,"&lt;"&amp;(INT($F$3)+1)),2),2),IF(ROUND(SUMIFS(aditivos!$L$2:$L$200,aditivos!$A$2:$A$200,A93,aditivos!$C$2:$C$200,$C$3,aditivos!$B$2:$B$200,"&lt;"&amp;(INT($F$3)+1)),2)&gt;0,ROUND(SUMIFS(aditivos!$L$2:$L$200,aditivos!$A$2:$A$200,A93,aditivos!$C$2:$C$200,$C$3,aditivos!$B$2:$B$200,"&lt;"&amp;(INT($F$3)+1)),2),""))))</f>
        <v/>
      </c>
      <c r="C93" s="418"/>
      <c r="D93" s="417" t="str">
        <f t="shared" si="12"/>
        <v/>
      </c>
      <c r="E93" s="419" t="str">
        <f>IF(A93="","",IF($C$3="C0",historico_VU!$C82,IF($C$3="C1",historico_VU!$D82,IF($C$3="C2",historico_VU!$E82,IF($C$3="C3",historico_VU!$F82,IF($C$3="C4",historico_VU!$G82,""))))))</f>
        <v/>
      </c>
      <c r="F93" s="419" t="str">
        <f t="shared" si="13"/>
        <v/>
      </c>
      <c r="G93" s="419" t="str">
        <f t="shared" si="14"/>
        <v/>
      </c>
      <c r="I93" t="str">
        <f>IF(OR(A93="",$D$5="",$F$3=""),"",ROUND(SUMIFS(aditivos!$L$2:$L$200,aditivos!$A$2:$A$200,A93,aditivos!$B$2:$B$200,"&gt;="&amp;(INT($F$3)+1),aditivos!$B$2:$B$200,"&lt;="&amp;$D$5),2))</f>
        <v/>
      </c>
      <c r="J93" t="str">
        <f t="shared" si="15"/>
        <v/>
      </c>
      <c r="K93" t="str">
        <f t="shared" si="16"/>
        <v/>
      </c>
      <c r="L93" t="str">
        <f>IF(A93="","",IF($C$3="C0",SUMIFS(itens_Consumidos!$E$2:$E$200,itens_Consumidos!$A$2:$A$200,A93),IF($C$3="C1",SUMIFS(itens_Consumidos!$G$2:$G$200,itens_Consumidos!$A$2:$A$200,A93),IF($C$3="C2",SUMIFS(itens_Consumidos!$I$2:$I$200,itens_Consumidos!$A$2:$A$200,A93),IF($C$3="C3",SUMIFS(itens_Consumidos!$K$2:$K$200,itens_Consumidos!$A$2:$A$200,A93),IF($C$3="C4",SUMIFS(itens_Consumidos!$M$2:$M$200,itens_Consumidos!$A$2:$A$200,A93),""))))))</f>
        <v/>
      </c>
      <c r="M93" t="str">
        <f t="shared" si="17"/>
        <v/>
      </c>
      <c r="N93" t="str">
        <f>IF(A93="","",IF($C$3="C0",COUNTIFS(itens_Consumidos!$A$2:$A$200,A93,itens_Consumidos!$E$2:$E$200,"&lt;&gt;"),IF($C$3="C1",COUNTIFS(itens_Consumidos!$A$2:$A$200,A93,itens_Consumidos!$G$2:$G$200,"&lt;&gt;"),IF($C$3="C2",COUNTIFS(itens_Consumidos!$A$2:$A$200,A93,itens_Consumidos!$I$2:$I$200,"&lt;&gt;"),IF($C$3="C3",COUNTIFS(itens_Consumidos!$A$2:$A$200,A93,itens_Consumidos!$K$2:$K$200,"&lt;&gt;"),IF($C$3="C4",COUNTIFS(itens_Consumidos!$A$2:$A$200,A93,itens_Consumidos!$M$2:$M$200,"&lt;&gt;"),""))))))</f>
        <v/>
      </c>
      <c r="O93" t="str">
        <f>IF(itens_Remanesc!$A82="","",COUNTIFS(aditivos!$A$2:$A$200,itens_Remanesc!$A82,aditivos!$B$2:$B$200,"&lt;="&amp;$D$5,aditivos!$L$2:$L$200,"&gt;0"))</f>
        <v/>
      </c>
    </row>
    <row r="94" spans="1:15" ht="20" customHeight="1" x14ac:dyDescent="0.35">
      <c r="A94" s="416" t="str">
        <f>IF(itens_Remanesc!$A83="","",IF(NOT(posicao_contratual!$Z83),itens_Remanesc!$A83,IF(AND(ISNUMBER($D$5),$O94&gt;0),itens_Remanesc!$A83,"")))</f>
        <v/>
      </c>
      <c r="B94" s="417" t="str">
        <f>IF(A94="","",IF(AND(posicao_contratual!$Z83,COUNTIFS(aditivos!$A$2:$A$200,itens_Remanesc!$A83,aditivos!$B$2:$B$200,"&lt;"&amp;(INT($F$3)+1),aditivos!$L$2:$L$200,"&gt;0")=0),0,IF(ISNUMBER(IF($C$3="C0",posicao_contratual!$F83,IF($C$3="C1",posicao_contratual!$J83,IF($C$3="C2",posicao_contratual!$N83,IF($C$3="C3",posicao_contratual!$R83,IF($C$3="C4",posicao_contratual!$V83,"")))))),ROUND(IF($C$3="C0",posicao_contratual!$F83,IF($C$3="C1",posicao_contratual!$J83,IF($C$3="C2",posicao_contratual!$N83,IF($C$3="C3",posicao_contratual!$R83,IF($C$3="C4",posicao_contratual!$V83,"")))))+ROUND(SUMIFS(aditivos!$L$2:$L$200,aditivos!$A$2:$A$200,A94,aditivos!$C$2:$C$200,$C$3,aditivos!$B$2:$B$200,"&lt;"&amp;(INT($F$3)+1)),2),2),IF(ROUND(SUMIFS(aditivos!$L$2:$L$200,aditivos!$A$2:$A$200,A94,aditivos!$C$2:$C$200,$C$3,aditivos!$B$2:$B$200,"&lt;"&amp;(INT($F$3)+1)),2)&gt;0,ROUND(SUMIFS(aditivos!$L$2:$L$200,aditivos!$A$2:$A$200,A94,aditivos!$C$2:$C$200,$C$3,aditivos!$B$2:$B$200,"&lt;"&amp;(INT($F$3)+1)),2),""))))</f>
        <v/>
      </c>
      <c r="C94" s="418"/>
      <c r="D94" s="417" t="str">
        <f t="shared" si="12"/>
        <v/>
      </c>
      <c r="E94" s="419" t="str">
        <f>IF(A94="","",IF($C$3="C0",historico_VU!$C83,IF($C$3="C1",historico_VU!$D83,IF($C$3="C2",historico_VU!$E83,IF($C$3="C3",historico_VU!$F83,IF($C$3="C4",historico_VU!$G83,""))))))</f>
        <v/>
      </c>
      <c r="F94" s="419" t="str">
        <f t="shared" si="13"/>
        <v/>
      </c>
      <c r="G94" s="419" t="str">
        <f t="shared" si="14"/>
        <v/>
      </c>
      <c r="I94" t="str">
        <f>IF(OR(A94="",$D$5="",$F$3=""),"",ROUND(SUMIFS(aditivos!$L$2:$L$200,aditivos!$A$2:$A$200,A94,aditivos!$B$2:$B$200,"&gt;="&amp;(INT($F$3)+1),aditivos!$B$2:$B$200,"&lt;="&amp;$D$5),2))</f>
        <v/>
      </c>
      <c r="J94" t="str">
        <f t="shared" si="15"/>
        <v/>
      </c>
      <c r="K94" t="str">
        <f t="shared" si="16"/>
        <v/>
      </c>
      <c r="L94" t="str">
        <f>IF(A94="","",IF($C$3="C0",SUMIFS(itens_Consumidos!$E$2:$E$200,itens_Consumidos!$A$2:$A$200,A94),IF($C$3="C1",SUMIFS(itens_Consumidos!$G$2:$G$200,itens_Consumidos!$A$2:$A$200,A94),IF($C$3="C2",SUMIFS(itens_Consumidos!$I$2:$I$200,itens_Consumidos!$A$2:$A$200,A94),IF($C$3="C3",SUMIFS(itens_Consumidos!$K$2:$K$200,itens_Consumidos!$A$2:$A$200,A94),IF($C$3="C4",SUMIFS(itens_Consumidos!$M$2:$M$200,itens_Consumidos!$A$2:$A$200,A94),""))))))</f>
        <v/>
      </c>
      <c r="M94" t="str">
        <f t="shared" si="17"/>
        <v/>
      </c>
      <c r="N94" t="str">
        <f>IF(A94="","",IF($C$3="C0",COUNTIFS(itens_Consumidos!$A$2:$A$200,A94,itens_Consumidos!$E$2:$E$200,"&lt;&gt;"),IF($C$3="C1",COUNTIFS(itens_Consumidos!$A$2:$A$200,A94,itens_Consumidos!$G$2:$G$200,"&lt;&gt;"),IF($C$3="C2",COUNTIFS(itens_Consumidos!$A$2:$A$200,A94,itens_Consumidos!$I$2:$I$200,"&lt;&gt;"),IF($C$3="C3",COUNTIFS(itens_Consumidos!$A$2:$A$200,A94,itens_Consumidos!$K$2:$K$200,"&lt;&gt;"),IF($C$3="C4",COUNTIFS(itens_Consumidos!$A$2:$A$200,A94,itens_Consumidos!$M$2:$M$200,"&lt;&gt;"),""))))))</f>
        <v/>
      </c>
      <c r="O94" t="str">
        <f>IF(itens_Remanesc!$A83="","",COUNTIFS(aditivos!$A$2:$A$200,itens_Remanesc!$A83,aditivos!$B$2:$B$200,"&lt;="&amp;$D$5,aditivos!$L$2:$L$200,"&gt;0"))</f>
        <v/>
      </c>
    </row>
    <row r="95" spans="1:15" ht="20" customHeight="1" x14ac:dyDescent="0.35">
      <c r="A95" s="416" t="str">
        <f>IF(itens_Remanesc!$A84="","",IF(NOT(posicao_contratual!$Z84),itens_Remanesc!$A84,IF(AND(ISNUMBER($D$5),$O95&gt;0),itens_Remanesc!$A84,"")))</f>
        <v/>
      </c>
      <c r="B95" s="417" t="str">
        <f>IF(A95="","",IF(AND(posicao_contratual!$Z84,COUNTIFS(aditivos!$A$2:$A$200,itens_Remanesc!$A84,aditivos!$B$2:$B$200,"&lt;"&amp;(INT($F$3)+1),aditivos!$L$2:$L$200,"&gt;0")=0),0,IF(ISNUMBER(IF($C$3="C0",posicao_contratual!$F84,IF($C$3="C1",posicao_contratual!$J84,IF($C$3="C2",posicao_contratual!$N84,IF($C$3="C3",posicao_contratual!$R84,IF($C$3="C4",posicao_contratual!$V84,"")))))),ROUND(IF($C$3="C0",posicao_contratual!$F84,IF($C$3="C1",posicao_contratual!$J84,IF($C$3="C2",posicao_contratual!$N84,IF($C$3="C3",posicao_contratual!$R84,IF($C$3="C4",posicao_contratual!$V84,"")))))+ROUND(SUMIFS(aditivos!$L$2:$L$200,aditivos!$A$2:$A$200,A95,aditivos!$C$2:$C$200,$C$3,aditivos!$B$2:$B$200,"&lt;"&amp;(INT($F$3)+1)),2),2),IF(ROUND(SUMIFS(aditivos!$L$2:$L$200,aditivos!$A$2:$A$200,A95,aditivos!$C$2:$C$200,$C$3,aditivos!$B$2:$B$200,"&lt;"&amp;(INT($F$3)+1)),2)&gt;0,ROUND(SUMIFS(aditivos!$L$2:$L$200,aditivos!$A$2:$A$200,A95,aditivos!$C$2:$C$200,$C$3,aditivos!$B$2:$B$200,"&lt;"&amp;(INT($F$3)+1)),2),""))))</f>
        <v/>
      </c>
      <c r="C95" s="418"/>
      <c r="D95" s="417" t="str">
        <f t="shared" si="12"/>
        <v/>
      </c>
      <c r="E95" s="419" t="str">
        <f>IF(A95="","",IF($C$3="C0",historico_VU!$C84,IF($C$3="C1",historico_VU!$D84,IF($C$3="C2",historico_VU!$E84,IF($C$3="C3",historico_VU!$F84,IF($C$3="C4",historico_VU!$G84,""))))))</f>
        <v/>
      </c>
      <c r="F95" s="419" t="str">
        <f t="shared" si="13"/>
        <v/>
      </c>
      <c r="G95" s="419" t="str">
        <f t="shared" si="14"/>
        <v/>
      </c>
      <c r="I95" t="str">
        <f>IF(OR(A95="",$D$5="",$F$3=""),"",ROUND(SUMIFS(aditivos!$L$2:$L$200,aditivos!$A$2:$A$200,A95,aditivos!$B$2:$B$200,"&gt;="&amp;(INT($F$3)+1),aditivos!$B$2:$B$200,"&lt;="&amp;$D$5),2))</f>
        <v/>
      </c>
      <c r="J95" t="str">
        <f t="shared" si="15"/>
        <v/>
      </c>
      <c r="K95" t="str">
        <f t="shared" si="16"/>
        <v/>
      </c>
      <c r="L95" t="str">
        <f>IF(A95="","",IF($C$3="C0",SUMIFS(itens_Consumidos!$E$2:$E$200,itens_Consumidos!$A$2:$A$200,A95),IF($C$3="C1",SUMIFS(itens_Consumidos!$G$2:$G$200,itens_Consumidos!$A$2:$A$200,A95),IF($C$3="C2",SUMIFS(itens_Consumidos!$I$2:$I$200,itens_Consumidos!$A$2:$A$200,A95),IF($C$3="C3",SUMIFS(itens_Consumidos!$K$2:$K$200,itens_Consumidos!$A$2:$A$200,A95),IF($C$3="C4",SUMIFS(itens_Consumidos!$M$2:$M$200,itens_Consumidos!$A$2:$A$200,A95),""))))))</f>
        <v/>
      </c>
      <c r="M95" t="str">
        <f t="shared" si="17"/>
        <v/>
      </c>
      <c r="N95" t="str">
        <f>IF(A95="","",IF($C$3="C0",COUNTIFS(itens_Consumidos!$A$2:$A$200,A95,itens_Consumidos!$E$2:$E$200,"&lt;&gt;"),IF($C$3="C1",COUNTIFS(itens_Consumidos!$A$2:$A$200,A95,itens_Consumidos!$G$2:$G$200,"&lt;&gt;"),IF($C$3="C2",COUNTIFS(itens_Consumidos!$A$2:$A$200,A95,itens_Consumidos!$I$2:$I$200,"&lt;&gt;"),IF($C$3="C3",COUNTIFS(itens_Consumidos!$A$2:$A$200,A95,itens_Consumidos!$K$2:$K$200,"&lt;&gt;"),IF($C$3="C4",COUNTIFS(itens_Consumidos!$A$2:$A$200,A95,itens_Consumidos!$M$2:$M$200,"&lt;&gt;"),""))))))</f>
        <v/>
      </c>
      <c r="O95" t="str">
        <f>IF(itens_Remanesc!$A84="","",COUNTIFS(aditivos!$A$2:$A$200,itens_Remanesc!$A84,aditivos!$B$2:$B$200,"&lt;="&amp;$D$5,aditivos!$L$2:$L$200,"&gt;0"))</f>
        <v/>
      </c>
    </row>
    <row r="96" spans="1:15" ht="20" customHeight="1" x14ac:dyDescent="0.35">
      <c r="A96" s="416" t="str">
        <f>IF(itens_Remanesc!$A85="","",IF(NOT(posicao_contratual!$Z85),itens_Remanesc!$A85,IF(AND(ISNUMBER($D$5),$O96&gt;0),itens_Remanesc!$A85,"")))</f>
        <v/>
      </c>
      <c r="B96" s="417" t="str">
        <f>IF(A96="","",IF(AND(posicao_contratual!$Z85,COUNTIFS(aditivos!$A$2:$A$200,itens_Remanesc!$A85,aditivos!$B$2:$B$200,"&lt;"&amp;(INT($F$3)+1),aditivos!$L$2:$L$200,"&gt;0")=0),0,IF(ISNUMBER(IF($C$3="C0",posicao_contratual!$F85,IF($C$3="C1",posicao_contratual!$J85,IF($C$3="C2",posicao_contratual!$N85,IF($C$3="C3",posicao_contratual!$R85,IF($C$3="C4",posicao_contratual!$V85,"")))))),ROUND(IF($C$3="C0",posicao_contratual!$F85,IF($C$3="C1",posicao_contratual!$J85,IF($C$3="C2",posicao_contratual!$N85,IF($C$3="C3",posicao_contratual!$R85,IF($C$3="C4",posicao_contratual!$V85,"")))))+ROUND(SUMIFS(aditivos!$L$2:$L$200,aditivos!$A$2:$A$200,A96,aditivos!$C$2:$C$200,$C$3,aditivos!$B$2:$B$200,"&lt;"&amp;(INT($F$3)+1)),2),2),IF(ROUND(SUMIFS(aditivos!$L$2:$L$200,aditivos!$A$2:$A$200,A96,aditivos!$C$2:$C$200,$C$3,aditivos!$B$2:$B$200,"&lt;"&amp;(INT($F$3)+1)),2)&gt;0,ROUND(SUMIFS(aditivos!$L$2:$L$200,aditivos!$A$2:$A$200,A96,aditivos!$C$2:$C$200,$C$3,aditivos!$B$2:$B$200,"&lt;"&amp;(INT($F$3)+1)),2),""))))</f>
        <v/>
      </c>
      <c r="C96" s="418"/>
      <c r="D96" s="417" t="str">
        <f t="shared" si="12"/>
        <v/>
      </c>
      <c r="E96" s="419" t="str">
        <f>IF(A96="","",IF($C$3="C0",historico_VU!$C85,IF($C$3="C1",historico_VU!$D85,IF($C$3="C2",historico_VU!$E85,IF($C$3="C3",historico_VU!$F85,IF($C$3="C4",historico_VU!$G85,""))))))</f>
        <v/>
      </c>
      <c r="F96" s="419" t="str">
        <f t="shared" si="13"/>
        <v/>
      </c>
      <c r="G96" s="419" t="str">
        <f t="shared" si="14"/>
        <v/>
      </c>
      <c r="I96" t="str">
        <f>IF(OR(A96="",$D$5="",$F$3=""),"",ROUND(SUMIFS(aditivos!$L$2:$L$200,aditivos!$A$2:$A$200,A96,aditivos!$B$2:$B$200,"&gt;="&amp;(INT($F$3)+1),aditivos!$B$2:$B$200,"&lt;="&amp;$D$5),2))</f>
        <v/>
      </c>
      <c r="J96" t="str">
        <f t="shared" si="15"/>
        <v/>
      </c>
      <c r="K96" t="str">
        <f t="shared" si="16"/>
        <v/>
      </c>
      <c r="L96" t="str">
        <f>IF(A96="","",IF($C$3="C0",SUMIFS(itens_Consumidos!$E$2:$E$200,itens_Consumidos!$A$2:$A$200,A96),IF($C$3="C1",SUMIFS(itens_Consumidos!$G$2:$G$200,itens_Consumidos!$A$2:$A$200,A96),IF($C$3="C2",SUMIFS(itens_Consumidos!$I$2:$I$200,itens_Consumidos!$A$2:$A$200,A96),IF($C$3="C3",SUMIFS(itens_Consumidos!$K$2:$K$200,itens_Consumidos!$A$2:$A$200,A96),IF($C$3="C4",SUMIFS(itens_Consumidos!$M$2:$M$200,itens_Consumidos!$A$2:$A$200,A96),""))))))</f>
        <v/>
      </c>
      <c r="M96" t="str">
        <f t="shared" si="17"/>
        <v/>
      </c>
      <c r="N96" t="str">
        <f>IF(A96="","",IF($C$3="C0",COUNTIFS(itens_Consumidos!$A$2:$A$200,A96,itens_Consumidos!$E$2:$E$200,"&lt;&gt;"),IF($C$3="C1",COUNTIFS(itens_Consumidos!$A$2:$A$200,A96,itens_Consumidos!$G$2:$G$200,"&lt;&gt;"),IF($C$3="C2",COUNTIFS(itens_Consumidos!$A$2:$A$200,A96,itens_Consumidos!$I$2:$I$200,"&lt;&gt;"),IF($C$3="C3",COUNTIFS(itens_Consumidos!$A$2:$A$200,A96,itens_Consumidos!$K$2:$K$200,"&lt;&gt;"),IF($C$3="C4",COUNTIFS(itens_Consumidos!$A$2:$A$200,A96,itens_Consumidos!$M$2:$M$200,"&lt;&gt;"),""))))))</f>
        <v/>
      </c>
      <c r="O96" t="str">
        <f>IF(itens_Remanesc!$A85="","",COUNTIFS(aditivos!$A$2:$A$200,itens_Remanesc!$A85,aditivos!$B$2:$B$200,"&lt;="&amp;$D$5,aditivos!$L$2:$L$200,"&gt;0"))</f>
        <v/>
      </c>
    </row>
    <row r="97" spans="1:15" ht="20" customHeight="1" x14ac:dyDescent="0.35">
      <c r="A97" s="416" t="str">
        <f>IF(itens_Remanesc!$A86="","",IF(NOT(posicao_contratual!$Z86),itens_Remanesc!$A86,IF(AND(ISNUMBER($D$5),$O97&gt;0),itens_Remanesc!$A86,"")))</f>
        <v/>
      </c>
      <c r="B97" s="417" t="str">
        <f>IF(A97="","",IF(AND(posicao_contratual!$Z86,COUNTIFS(aditivos!$A$2:$A$200,itens_Remanesc!$A86,aditivos!$B$2:$B$200,"&lt;"&amp;(INT($F$3)+1),aditivos!$L$2:$L$200,"&gt;0")=0),0,IF(ISNUMBER(IF($C$3="C0",posicao_contratual!$F86,IF($C$3="C1",posicao_contratual!$J86,IF($C$3="C2",posicao_contratual!$N86,IF($C$3="C3",posicao_contratual!$R86,IF($C$3="C4",posicao_contratual!$V86,"")))))),ROUND(IF($C$3="C0",posicao_contratual!$F86,IF($C$3="C1",posicao_contratual!$J86,IF($C$3="C2",posicao_contratual!$N86,IF($C$3="C3",posicao_contratual!$R86,IF($C$3="C4",posicao_contratual!$V86,"")))))+ROUND(SUMIFS(aditivos!$L$2:$L$200,aditivos!$A$2:$A$200,A97,aditivos!$C$2:$C$200,$C$3,aditivos!$B$2:$B$200,"&lt;"&amp;(INT($F$3)+1)),2),2),IF(ROUND(SUMIFS(aditivos!$L$2:$L$200,aditivos!$A$2:$A$200,A97,aditivos!$C$2:$C$200,$C$3,aditivos!$B$2:$B$200,"&lt;"&amp;(INT($F$3)+1)),2)&gt;0,ROUND(SUMIFS(aditivos!$L$2:$L$200,aditivos!$A$2:$A$200,A97,aditivos!$C$2:$C$200,$C$3,aditivos!$B$2:$B$200,"&lt;"&amp;(INT($F$3)+1)),2),""))))</f>
        <v/>
      </c>
      <c r="C97" s="418"/>
      <c r="D97" s="417" t="str">
        <f t="shared" si="12"/>
        <v/>
      </c>
      <c r="E97" s="419" t="str">
        <f>IF(A97="","",IF($C$3="C0",historico_VU!$C86,IF($C$3="C1",historico_VU!$D86,IF($C$3="C2",historico_VU!$E86,IF($C$3="C3",historico_VU!$F86,IF($C$3="C4",historico_VU!$G86,""))))))</f>
        <v/>
      </c>
      <c r="F97" s="419" t="str">
        <f t="shared" si="13"/>
        <v/>
      </c>
      <c r="G97" s="419" t="str">
        <f t="shared" si="14"/>
        <v/>
      </c>
      <c r="I97" t="str">
        <f>IF(OR(A97="",$D$5="",$F$3=""),"",ROUND(SUMIFS(aditivos!$L$2:$L$200,aditivos!$A$2:$A$200,A97,aditivos!$B$2:$B$200,"&gt;="&amp;(INT($F$3)+1),aditivos!$B$2:$B$200,"&lt;="&amp;$D$5),2))</f>
        <v/>
      </c>
      <c r="J97" t="str">
        <f t="shared" si="15"/>
        <v/>
      </c>
      <c r="K97" t="str">
        <f t="shared" si="16"/>
        <v/>
      </c>
      <c r="L97" t="str">
        <f>IF(A97="","",IF($C$3="C0",SUMIFS(itens_Consumidos!$E$2:$E$200,itens_Consumidos!$A$2:$A$200,A97),IF($C$3="C1",SUMIFS(itens_Consumidos!$G$2:$G$200,itens_Consumidos!$A$2:$A$200,A97),IF($C$3="C2",SUMIFS(itens_Consumidos!$I$2:$I$200,itens_Consumidos!$A$2:$A$200,A97),IF($C$3="C3",SUMIFS(itens_Consumidos!$K$2:$K$200,itens_Consumidos!$A$2:$A$200,A97),IF($C$3="C4",SUMIFS(itens_Consumidos!$M$2:$M$200,itens_Consumidos!$A$2:$A$200,A97),""))))))</f>
        <v/>
      </c>
      <c r="M97" t="str">
        <f t="shared" si="17"/>
        <v/>
      </c>
      <c r="N97" t="str">
        <f>IF(A97="","",IF($C$3="C0",COUNTIFS(itens_Consumidos!$A$2:$A$200,A97,itens_Consumidos!$E$2:$E$200,"&lt;&gt;"),IF($C$3="C1",COUNTIFS(itens_Consumidos!$A$2:$A$200,A97,itens_Consumidos!$G$2:$G$200,"&lt;&gt;"),IF($C$3="C2",COUNTIFS(itens_Consumidos!$A$2:$A$200,A97,itens_Consumidos!$I$2:$I$200,"&lt;&gt;"),IF($C$3="C3",COUNTIFS(itens_Consumidos!$A$2:$A$200,A97,itens_Consumidos!$K$2:$K$200,"&lt;&gt;"),IF($C$3="C4",COUNTIFS(itens_Consumidos!$A$2:$A$200,A97,itens_Consumidos!$M$2:$M$200,"&lt;&gt;"),""))))))</f>
        <v/>
      </c>
      <c r="O97" t="str">
        <f>IF(itens_Remanesc!$A86="","",COUNTIFS(aditivos!$A$2:$A$200,itens_Remanesc!$A86,aditivos!$B$2:$B$200,"&lt;="&amp;$D$5,aditivos!$L$2:$L$200,"&gt;0"))</f>
        <v/>
      </c>
    </row>
    <row r="98" spans="1:15" ht="20" customHeight="1" x14ac:dyDescent="0.35">
      <c r="A98" s="416" t="str">
        <f>IF(itens_Remanesc!$A87="","",IF(NOT(posicao_contratual!$Z87),itens_Remanesc!$A87,IF(AND(ISNUMBER($D$5),$O98&gt;0),itens_Remanesc!$A87,"")))</f>
        <v/>
      </c>
      <c r="B98" s="417" t="str">
        <f>IF(A98="","",IF(AND(posicao_contratual!$Z87,COUNTIFS(aditivos!$A$2:$A$200,itens_Remanesc!$A87,aditivos!$B$2:$B$200,"&lt;"&amp;(INT($F$3)+1),aditivos!$L$2:$L$200,"&gt;0")=0),0,IF(ISNUMBER(IF($C$3="C0",posicao_contratual!$F87,IF($C$3="C1",posicao_contratual!$J87,IF($C$3="C2",posicao_contratual!$N87,IF($C$3="C3",posicao_contratual!$R87,IF($C$3="C4",posicao_contratual!$V87,"")))))),ROUND(IF($C$3="C0",posicao_contratual!$F87,IF($C$3="C1",posicao_contratual!$J87,IF($C$3="C2",posicao_contratual!$N87,IF($C$3="C3",posicao_contratual!$R87,IF($C$3="C4",posicao_contratual!$V87,"")))))+ROUND(SUMIFS(aditivos!$L$2:$L$200,aditivos!$A$2:$A$200,A98,aditivos!$C$2:$C$200,$C$3,aditivos!$B$2:$B$200,"&lt;"&amp;(INT($F$3)+1)),2),2),IF(ROUND(SUMIFS(aditivos!$L$2:$L$200,aditivos!$A$2:$A$200,A98,aditivos!$C$2:$C$200,$C$3,aditivos!$B$2:$B$200,"&lt;"&amp;(INT($F$3)+1)),2)&gt;0,ROUND(SUMIFS(aditivos!$L$2:$L$200,aditivos!$A$2:$A$200,A98,aditivos!$C$2:$C$200,$C$3,aditivos!$B$2:$B$200,"&lt;"&amp;(INT($F$3)+1)),2),""))))</f>
        <v/>
      </c>
      <c r="C98" s="418"/>
      <c r="D98" s="417" t="str">
        <f t="shared" si="12"/>
        <v/>
      </c>
      <c r="E98" s="419" t="str">
        <f>IF(A98="","",IF($C$3="C0",historico_VU!$C87,IF($C$3="C1",historico_VU!$D87,IF($C$3="C2",historico_VU!$E87,IF($C$3="C3",historico_VU!$F87,IF($C$3="C4",historico_VU!$G87,""))))))</f>
        <v/>
      </c>
      <c r="F98" s="419" t="str">
        <f t="shared" si="13"/>
        <v/>
      </c>
      <c r="G98" s="419" t="str">
        <f t="shared" si="14"/>
        <v/>
      </c>
      <c r="I98" t="str">
        <f>IF(OR(A98="",$D$5="",$F$3=""),"",ROUND(SUMIFS(aditivos!$L$2:$L$200,aditivos!$A$2:$A$200,A98,aditivos!$B$2:$B$200,"&gt;="&amp;(INT($F$3)+1),aditivos!$B$2:$B$200,"&lt;="&amp;$D$5),2))</f>
        <v/>
      </c>
      <c r="J98" t="str">
        <f t="shared" si="15"/>
        <v/>
      </c>
      <c r="K98" t="str">
        <f t="shared" si="16"/>
        <v/>
      </c>
      <c r="L98" t="str">
        <f>IF(A98="","",IF($C$3="C0",SUMIFS(itens_Consumidos!$E$2:$E$200,itens_Consumidos!$A$2:$A$200,A98),IF($C$3="C1",SUMIFS(itens_Consumidos!$G$2:$G$200,itens_Consumidos!$A$2:$A$200,A98),IF($C$3="C2",SUMIFS(itens_Consumidos!$I$2:$I$200,itens_Consumidos!$A$2:$A$200,A98),IF($C$3="C3",SUMIFS(itens_Consumidos!$K$2:$K$200,itens_Consumidos!$A$2:$A$200,A98),IF($C$3="C4",SUMIFS(itens_Consumidos!$M$2:$M$200,itens_Consumidos!$A$2:$A$200,A98),""))))))</f>
        <v/>
      </c>
      <c r="M98" t="str">
        <f t="shared" si="17"/>
        <v/>
      </c>
      <c r="N98" t="str">
        <f>IF(A98="","",IF($C$3="C0",COUNTIFS(itens_Consumidos!$A$2:$A$200,A98,itens_Consumidos!$E$2:$E$200,"&lt;&gt;"),IF($C$3="C1",COUNTIFS(itens_Consumidos!$A$2:$A$200,A98,itens_Consumidos!$G$2:$G$200,"&lt;&gt;"),IF($C$3="C2",COUNTIFS(itens_Consumidos!$A$2:$A$200,A98,itens_Consumidos!$I$2:$I$200,"&lt;&gt;"),IF($C$3="C3",COUNTIFS(itens_Consumidos!$A$2:$A$200,A98,itens_Consumidos!$K$2:$K$200,"&lt;&gt;"),IF($C$3="C4",COUNTIFS(itens_Consumidos!$A$2:$A$200,A98,itens_Consumidos!$M$2:$M$200,"&lt;&gt;"),""))))))</f>
        <v/>
      </c>
      <c r="O98" t="str">
        <f>IF(itens_Remanesc!$A87="","",COUNTIFS(aditivos!$A$2:$A$200,itens_Remanesc!$A87,aditivos!$B$2:$B$200,"&lt;="&amp;$D$5,aditivos!$L$2:$L$200,"&gt;0"))</f>
        <v/>
      </c>
    </row>
    <row r="99" spans="1:15" ht="20" customHeight="1" x14ac:dyDescent="0.35">
      <c r="A99" s="416" t="str">
        <f>IF(itens_Remanesc!$A88="","",IF(NOT(posicao_contratual!$Z88),itens_Remanesc!$A88,IF(AND(ISNUMBER($D$5),$O99&gt;0),itens_Remanesc!$A88,"")))</f>
        <v/>
      </c>
      <c r="B99" s="417" t="str">
        <f>IF(A99="","",IF(AND(posicao_contratual!$Z88,COUNTIFS(aditivos!$A$2:$A$200,itens_Remanesc!$A88,aditivos!$B$2:$B$200,"&lt;"&amp;(INT($F$3)+1),aditivos!$L$2:$L$200,"&gt;0")=0),0,IF(ISNUMBER(IF($C$3="C0",posicao_contratual!$F88,IF($C$3="C1",posicao_contratual!$J88,IF($C$3="C2",posicao_contratual!$N88,IF($C$3="C3",posicao_contratual!$R88,IF($C$3="C4",posicao_contratual!$V88,"")))))),ROUND(IF($C$3="C0",posicao_contratual!$F88,IF($C$3="C1",posicao_contratual!$J88,IF($C$3="C2",posicao_contratual!$N88,IF($C$3="C3",posicao_contratual!$R88,IF($C$3="C4",posicao_contratual!$V88,"")))))+ROUND(SUMIFS(aditivos!$L$2:$L$200,aditivos!$A$2:$A$200,A99,aditivos!$C$2:$C$200,$C$3,aditivos!$B$2:$B$200,"&lt;"&amp;(INT($F$3)+1)),2),2),IF(ROUND(SUMIFS(aditivos!$L$2:$L$200,aditivos!$A$2:$A$200,A99,aditivos!$C$2:$C$200,$C$3,aditivos!$B$2:$B$200,"&lt;"&amp;(INT($F$3)+1)),2)&gt;0,ROUND(SUMIFS(aditivos!$L$2:$L$200,aditivos!$A$2:$A$200,A99,aditivos!$C$2:$C$200,$C$3,aditivos!$B$2:$B$200,"&lt;"&amp;(INT($F$3)+1)),2),""))))</f>
        <v/>
      </c>
      <c r="C99" s="418"/>
      <c r="D99" s="417" t="str">
        <f t="shared" si="12"/>
        <v/>
      </c>
      <c r="E99" s="419" t="str">
        <f>IF(A99="","",IF($C$3="C0",historico_VU!$C88,IF($C$3="C1",historico_VU!$D88,IF($C$3="C2",historico_VU!$E88,IF($C$3="C3",historico_VU!$F88,IF($C$3="C4",historico_VU!$G88,""))))))</f>
        <v/>
      </c>
      <c r="F99" s="419" t="str">
        <f t="shared" si="13"/>
        <v/>
      </c>
      <c r="G99" s="419" t="str">
        <f t="shared" si="14"/>
        <v/>
      </c>
      <c r="I99" t="str">
        <f>IF(OR(A99="",$D$5="",$F$3=""),"",ROUND(SUMIFS(aditivos!$L$2:$L$200,aditivos!$A$2:$A$200,A99,aditivos!$B$2:$B$200,"&gt;="&amp;(INT($F$3)+1),aditivos!$B$2:$B$200,"&lt;="&amp;$D$5),2))</f>
        <v/>
      </c>
      <c r="J99" t="str">
        <f t="shared" si="15"/>
        <v/>
      </c>
      <c r="K99" t="str">
        <f t="shared" si="16"/>
        <v/>
      </c>
      <c r="L99" t="str">
        <f>IF(A99="","",IF($C$3="C0",SUMIFS(itens_Consumidos!$E$2:$E$200,itens_Consumidos!$A$2:$A$200,A99),IF($C$3="C1",SUMIFS(itens_Consumidos!$G$2:$G$200,itens_Consumidos!$A$2:$A$200,A99),IF($C$3="C2",SUMIFS(itens_Consumidos!$I$2:$I$200,itens_Consumidos!$A$2:$A$200,A99),IF($C$3="C3",SUMIFS(itens_Consumidos!$K$2:$K$200,itens_Consumidos!$A$2:$A$200,A99),IF($C$3="C4",SUMIFS(itens_Consumidos!$M$2:$M$200,itens_Consumidos!$A$2:$A$200,A99),""))))))</f>
        <v/>
      </c>
      <c r="M99" t="str">
        <f t="shared" si="17"/>
        <v/>
      </c>
      <c r="N99" t="str">
        <f>IF(A99="","",IF($C$3="C0",COUNTIFS(itens_Consumidos!$A$2:$A$200,A99,itens_Consumidos!$E$2:$E$200,"&lt;&gt;"),IF($C$3="C1",COUNTIFS(itens_Consumidos!$A$2:$A$200,A99,itens_Consumidos!$G$2:$G$200,"&lt;&gt;"),IF($C$3="C2",COUNTIFS(itens_Consumidos!$A$2:$A$200,A99,itens_Consumidos!$I$2:$I$200,"&lt;&gt;"),IF($C$3="C3",COUNTIFS(itens_Consumidos!$A$2:$A$200,A99,itens_Consumidos!$K$2:$K$200,"&lt;&gt;"),IF($C$3="C4",COUNTIFS(itens_Consumidos!$A$2:$A$200,A99,itens_Consumidos!$M$2:$M$200,"&lt;&gt;"),""))))))</f>
        <v/>
      </c>
      <c r="O99" t="str">
        <f>IF(itens_Remanesc!$A88="","",COUNTIFS(aditivos!$A$2:$A$200,itens_Remanesc!$A88,aditivos!$B$2:$B$200,"&lt;="&amp;$D$5,aditivos!$L$2:$L$200,"&gt;0"))</f>
        <v/>
      </c>
    </row>
    <row r="100" spans="1:15" ht="20" customHeight="1" x14ac:dyDescent="0.35">
      <c r="A100" s="416" t="str">
        <f>IF(itens_Remanesc!$A89="","",IF(NOT(posicao_contratual!$Z89),itens_Remanesc!$A89,IF(AND(ISNUMBER($D$5),$O100&gt;0),itens_Remanesc!$A89,"")))</f>
        <v/>
      </c>
      <c r="B100" s="417" t="str">
        <f>IF(A100="","",IF(AND(posicao_contratual!$Z89,COUNTIFS(aditivos!$A$2:$A$200,itens_Remanesc!$A89,aditivos!$B$2:$B$200,"&lt;"&amp;(INT($F$3)+1),aditivos!$L$2:$L$200,"&gt;0")=0),0,IF(ISNUMBER(IF($C$3="C0",posicao_contratual!$F89,IF($C$3="C1",posicao_contratual!$J89,IF($C$3="C2",posicao_contratual!$N89,IF($C$3="C3",posicao_contratual!$R89,IF($C$3="C4",posicao_contratual!$V89,"")))))),ROUND(IF($C$3="C0",posicao_contratual!$F89,IF($C$3="C1",posicao_contratual!$J89,IF($C$3="C2",posicao_contratual!$N89,IF($C$3="C3",posicao_contratual!$R89,IF($C$3="C4",posicao_contratual!$V89,"")))))+ROUND(SUMIFS(aditivos!$L$2:$L$200,aditivos!$A$2:$A$200,A100,aditivos!$C$2:$C$200,$C$3,aditivos!$B$2:$B$200,"&lt;"&amp;(INT($F$3)+1)),2),2),IF(ROUND(SUMIFS(aditivos!$L$2:$L$200,aditivos!$A$2:$A$200,A100,aditivos!$C$2:$C$200,$C$3,aditivos!$B$2:$B$200,"&lt;"&amp;(INT($F$3)+1)),2)&gt;0,ROUND(SUMIFS(aditivos!$L$2:$L$200,aditivos!$A$2:$A$200,A100,aditivos!$C$2:$C$200,$C$3,aditivos!$B$2:$B$200,"&lt;"&amp;(INT($F$3)+1)),2),""))))</f>
        <v/>
      </c>
      <c r="C100" s="418"/>
      <c r="D100" s="417" t="str">
        <f t="shared" si="12"/>
        <v/>
      </c>
      <c r="E100" s="419" t="str">
        <f>IF(A100="","",IF($C$3="C0",historico_VU!$C89,IF($C$3="C1",historico_VU!$D89,IF($C$3="C2",historico_VU!$E89,IF($C$3="C3",historico_VU!$F89,IF($C$3="C4",historico_VU!$G89,""))))))</f>
        <v/>
      </c>
      <c r="F100" s="419" t="str">
        <f t="shared" si="13"/>
        <v/>
      </c>
      <c r="G100" s="419" t="str">
        <f t="shared" si="14"/>
        <v/>
      </c>
      <c r="I100" t="str">
        <f>IF(OR(A100="",$D$5="",$F$3=""),"",ROUND(SUMIFS(aditivos!$L$2:$L$200,aditivos!$A$2:$A$200,A100,aditivos!$B$2:$B$200,"&gt;="&amp;(INT($F$3)+1),aditivos!$B$2:$B$200,"&lt;="&amp;$D$5),2))</f>
        <v/>
      </c>
      <c r="J100" t="str">
        <f t="shared" si="15"/>
        <v/>
      </c>
      <c r="K100" t="str">
        <f t="shared" si="16"/>
        <v/>
      </c>
      <c r="L100" t="str">
        <f>IF(A100="","",IF($C$3="C0",SUMIFS(itens_Consumidos!$E$2:$E$200,itens_Consumidos!$A$2:$A$200,A100),IF($C$3="C1",SUMIFS(itens_Consumidos!$G$2:$G$200,itens_Consumidos!$A$2:$A$200,A100),IF($C$3="C2",SUMIFS(itens_Consumidos!$I$2:$I$200,itens_Consumidos!$A$2:$A$200,A100),IF($C$3="C3",SUMIFS(itens_Consumidos!$K$2:$K$200,itens_Consumidos!$A$2:$A$200,A100),IF($C$3="C4",SUMIFS(itens_Consumidos!$M$2:$M$200,itens_Consumidos!$A$2:$A$200,A100),""))))))</f>
        <v/>
      </c>
      <c r="M100" t="str">
        <f t="shared" si="17"/>
        <v/>
      </c>
      <c r="N100" t="str">
        <f>IF(A100="","",IF($C$3="C0",COUNTIFS(itens_Consumidos!$A$2:$A$200,A100,itens_Consumidos!$E$2:$E$200,"&lt;&gt;"),IF($C$3="C1",COUNTIFS(itens_Consumidos!$A$2:$A$200,A100,itens_Consumidos!$G$2:$G$200,"&lt;&gt;"),IF($C$3="C2",COUNTIFS(itens_Consumidos!$A$2:$A$200,A100,itens_Consumidos!$I$2:$I$200,"&lt;&gt;"),IF($C$3="C3",COUNTIFS(itens_Consumidos!$A$2:$A$200,A100,itens_Consumidos!$K$2:$K$200,"&lt;&gt;"),IF($C$3="C4",COUNTIFS(itens_Consumidos!$A$2:$A$200,A100,itens_Consumidos!$M$2:$M$200,"&lt;&gt;"),""))))))</f>
        <v/>
      </c>
      <c r="O100" t="str">
        <f>IF(itens_Remanesc!$A89="","",COUNTIFS(aditivos!$A$2:$A$200,itens_Remanesc!$A89,aditivos!$B$2:$B$200,"&lt;="&amp;$D$5,aditivos!$L$2:$L$200,"&gt;0"))</f>
        <v/>
      </c>
    </row>
    <row r="101" spans="1:15" ht="20" customHeight="1" x14ac:dyDescent="0.35">
      <c r="A101" s="416" t="str">
        <f>IF(itens_Remanesc!$A90="","",IF(NOT(posicao_contratual!$Z90),itens_Remanesc!$A90,IF(AND(ISNUMBER($D$5),$O101&gt;0),itens_Remanesc!$A90,"")))</f>
        <v/>
      </c>
      <c r="B101" s="417" t="str">
        <f>IF(A101="","",IF(AND(posicao_contratual!$Z90,COUNTIFS(aditivos!$A$2:$A$200,itens_Remanesc!$A90,aditivos!$B$2:$B$200,"&lt;"&amp;(INT($F$3)+1),aditivos!$L$2:$L$200,"&gt;0")=0),0,IF(ISNUMBER(IF($C$3="C0",posicao_contratual!$F90,IF($C$3="C1",posicao_contratual!$J90,IF($C$3="C2",posicao_contratual!$N90,IF($C$3="C3",posicao_contratual!$R90,IF($C$3="C4",posicao_contratual!$V90,"")))))),ROUND(IF($C$3="C0",posicao_contratual!$F90,IF($C$3="C1",posicao_contratual!$J90,IF($C$3="C2",posicao_contratual!$N90,IF($C$3="C3",posicao_contratual!$R90,IF($C$3="C4",posicao_contratual!$V90,"")))))+ROUND(SUMIFS(aditivos!$L$2:$L$200,aditivos!$A$2:$A$200,A101,aditivos!$C$2:$C$200,$C$3,aditivos!$B$2:$B$200,"&lt;"&amp;(INT($F$3)+1)),2),2),IF(ROUND(SUMIFS(aditivos!$L$2:$L$200,aditivos!$A$2:$A$200,A101,aditivos!$C$2:$C$200,$C$3,aditivos!$B$2:$B$200,"&lt;"&amp;(INT($F$3)+1)),2)&gt;0,ROUND(SUMIFS(aditivos!$L$2:$L$200,aditivos!$A$2:$A$200,A101,aditivos!$C$2:$C$200,$C$3,aditivos!$B$2:$B$200,"&lt;"&amp;(INT($F$3)+1)),2),""))))</f>
        <v/>
      </c>
      <c r="C101" s="418"/>
      <c r="D101" s="417" t="str">
        <f t="shared" si="12"/>
        <v/>
      </c>
      <c r="E101" s="419" t="str">
        <f>IF(A101="","",IF($C$3="C0",historico_VU!$C90,IF($C$3="C1",historico_VU!$D90,IF($C$3="C2",historico_VU!$E90,IF($C$3="C3",historico_VU!$F90,IF($C$3="C4",historico_VU!$G90,""))))))</f>
        <v/>
      </c>
      <c r="F101" s="419" t="str">
        <f t="shared" si="13"/>
        <v/>
      </c>
      <c r="G101" s="419" t="str">
        <f t="shared" si="14"/>
        <v/>
      </c>
      <c r="I101" t="str">
        <f>IF(OR(A101="",$D$5="",$F$3=""),"",ROUND(SUMIFS(aditivos!$L$2:$L$200,aditivos!$A$2:$A$200,A101,aditivos!$B$2:$B$200,"&gt;="&amp;(INT($F$3)+1),aditivos!$B$2:$B$200,"&lt;="&amp;$D$5),2))</f>
        <v/>
      </c>
      <c r="J101" t="str">
        <f t="shared" si="15"/>
        <v/>
      </c>
      <c r="K101" t="str">
        <f t="shared" si="16"/>
        <v/>
      </c>
      <c r="L101" t="str">
        <f>IF(A101="","",IF($C$3="C0",SUMIFS(itens_Consumidos!$E$2:$E$200,itens_Consumidos!$A$2:$A$200,A101),IF($C$3="C1",SUMIFS(itens_Consumidos!$G$2:$G$200,itens_Consumidos!$A$2:$A$200,A101),IF($C$3="C2",SUMIFS(itens_Consumidos!$I$2:$I$200,itens_Consumidos!$A$2:$A$200,A101),IF($C$3="C3",SUMIFS(itens_Consumidos!$K$2:$K$200,itens_Consumidos!$A$2:$A$200,A101),IF($C$3="C4",SUMIFS(itens_Consumidos!$M$2:$M$200,itens_Consumidos!$A$2:$A$200,A101),""))))))</f>
        <v/>
      </c>
      <c r="M101" t="str">
        <f t="shared" si="17"/>
        <v/>
      </c>
      <c r="N101" t="str">
        <f>IF(A101="","",IF($C$3="C0",COUNTIFS(itens_Consumidos!$A$2:$A$200,A101,itens_Consumidos!$E$2:$E$200,"&lt;&gt;"),IF($C$3="C1",COUNTIFS(itens_Consumidos!$A$2:$A$200,A101,itens_Consumidos!$G$2:$G$200,"&lt;&gt;"),IF($C$3="C2",COUNTIFS(itens_Consumidos!$A$2:$A$200,A101,itens_Consumidos!$I$2:$I$200,"&lt;&gt;"),IF($C$3="C3",COUNTIFS(itens_Consumidos!$A$2:$A$200,A101,itens_Consumidos!$K$2:$K$200,"&lt;&gt;"),IF($C$3="C4",COUNTIFS(itens_Consumidos!$A$2:$A$200,A101,itens_Consumidos!$M$2:$M$200,"&lt;&gt;"),""))))))</f>
        <v/>
      </c>
      <c r="O101" t="str">
        <f>IF(itens_Remanesc!$A90="","",COUNTIFS(aditivos!$A$2:$A$200,itens_Remanesc!$A90,aditivos!$B$2:$B$200,"&lt;="&amp;$D$5,aditivos!$L$2:$L$200,"&gt;0"))</f>
        <v/>
      </c>
    </row>
    <row r="102" spans="1:15" ht="20" customHeight="1" x14ac:dyDescent="0.35">
      <c r="A102" s="416" t="str">
        <f>IF(itens_Remanesc!$A91="","",IF(NOT(posicao_contratual!$Z91),itens_Remanesc!$A91,IF(AND(ISNUMBER($D$5),$O102&gt;0),itens_Remanesc!$A91,"")))</f>
        <v/>
      </c>
      <c r="B102" s="417" t="str">
        <f>IF(A102="","",IF(AND(posicao_contratual!$Z91,COUNTIFS(aditivos!$A$2:$A$200,itens_Remanesc!$A91,aditivos!$B$2:$B$200,"&lt;"&amp;(INT($F$3)+1),aditivos!$L$2:$L$200,"&gt;0")=0),0,IF(ISNUMBER(IF($C$3="C0",posicao_contratual!$F91,IF($C$3="C1",posicao_contratual!$J91,IF($C$3="C2",posicao_contratual!$N91,IF($C$3="C3",posicao_contratual!$R91,IF($C$3="C4",posicao_contratual!$V91,"")))))),ROUND(IF($C$3="C0",posicao_contratual!$F91,IF($C$3="C1",posicao_contratual!$J91,IF($C$3="C2",posicao_contratual!$N91,IF($C$3="C3",posicao_contratual!$R91,IF($C$3="C4",posicao_contratual!$V91,"")))))+ROUND(SUMIFS(aditivos!$L$2:$L$200,aditivos!$A$2:$A$200,A102,aditivos!$C$2:$C$200,$C$3,aditivos!$B$2:$B$200,"&lt;"&amp;(INT($F$3)+1)),2),2),IF(ROUND(SUMIFS(aditivos!$L$2:$L$200,aditivos!$A$2:$A$200,A102,aditivos!$C$2:$C$200,$C$3,aditivos!$B$2:$B$200,"&lt;"&amp;(INT($F$3)+1)),2)&gt;0,ROUND(SUMIFS(aditivos!$L$2:$L$200,aditivos!$A$2:$A$200,A102,aditivos!$C$2:$C$200,$C$3,aditivos!$B$2:$B$200,"&lt;"&amp;(INT($F$3)+1)),2),""))))</f>
        <v/>
      </c>
      <c r="C102" s="418"/>
      <c r="D102" s="417" t="str">
        <f t="shared" si="12"/>
        <v/>
      </c>
      <c r="E102" s="419" t="str">
        <f>IF(A102="","",IF($C$3="C0",historico_VU!$C91,IF($C$3="C1",historico_VU!$D91,IF($C$3="C2",historico_VU!$E91,IF($C$3="C3",historico_VU!$F91,IF($C$3="C4",historico_VU!$G91,""))))))</f>
        <v/>
      </c>
      <c r="F102" s="419" t="str">
        <f t="shared" si="13"/>
        <v/>
      </c>
      <c r="G102" s="419" t="str">
        <f t="shared" si="14"/>
        <v/>
      </c>
      <c r="I102" t="str">
        <f>IF(OR(A102="",$D$5="",$F$3=""),"",ROUND(SUMIFS(aditivos!$L$2:$L$200,aditivos!$A$2:$A$200,A102,aditivos!$B$2:$B$200,"&gt;="&amp;(INT($F$3)+1),aditivos!$B$2:$B$200,"&lt;="&amp;$D$5),2))</f>
        <v/>
      </c>
      <c r="J102" t="str">
        <f t="shared" si="15"/>
        <v/>
      </c>
      <c r="K102" t="str">
        <f t="shared" si="16"/>
        <v/>
      </c>
      <c r="L102" t="str">
        <f>IF(A102="","",IF($C$3="C0",SUMIFS(itens_Consumidos!$E$2:$E$200,itens_Consumidos!$A$2:$A$200,A102),IF($C$3="C1",SUMIFS(itens_Consumidos!$G$2:$G$200,itens_Consumidos!$A$2:$A$200,A102),IF($C$3="C2",SUMIFS(itens_Consumidos!$I$2:$I$200,itens_Consumidos!$A$2:$A$200,A102),IF($C$3="C3",SUMIFS(itens_Consumidos!$K$2:$K$200,itens_Consumidos!$A$2:$A$200,A102),IF($C$3="C4",SUMIFS(itens_Consumidos!$M$2:$M$200,itens_Consumidos!$A$2:$A$200,A102),""))))))</f>
        <v/>
      </c>
      <c r="M102" t="str">
        <f t="shared" si="17"/>
        <v/>
      </c>
      <c r="N102" t="str">
        <f>IF(A102="","",IF($C$3="C0",COUNTIFS(itens_Consumidos!$A$2:$A$200,A102,itens_Consumidos!$E$2:$E$200,"&lt;&gt;"),IF($C$3="C1",COUNTIFS(itens_Consumidos!$A$2:$A$200,A102,itens_Consumidos!$G$2:$G$200,"&lt;&gt;"),IF($C$3="C2",COUNTIFS(itens_Consumidos!$A$2:$A$200,A102,itens_Consumidos!$I$2:$I$200,"&lt;&gt;"),IF($C$3="C3",COUNTIFS(itens_Consumidos!$A$2:$A$200,A102,itens_Consumidos!$K$2:$K$200,"&lt;&gt;"),IF($C$3="C4",COUNTIFS(itens_Consumidos!$A$2:$A$200,A102,itens_Consumidos!$M$2:$M$200,"&lt;&gt;"),""))))))</f>
        <v/>
      </c>
      <c r="O102" t="str">
        <f>IF(itens_Remanesc!$A91="","",COUNTIFS(aditivos!$A$2:$A$200,itens_Remanesc!$A91,aditivos!$B$2:$B$200,"&lt;="&amp;$D$5,aditivos!$L$2:$L$200,"&gt;0"))</f>
        <v/>
      </c>
    </row>
    <row r="103" spans="1:15" ht="20" customHeight="1" x14ac:dyDescent="0.35">
      <c r="A103" s="416" t="str">
        <f>IF(itens_Remanesc!$A92="","",IF(NOT(posicao_contratual!$Z92),itens_Remanesc!$A92,IF(AND(ISNUMBER($D$5),$O103&gt;0),itens_Remanesc!$A92,"")))</f>
        <v/>
      </c>
      <c r="B103" s="417" t="str">
        <f>IF(A103="","",IF(AND(posicao_contratual!$Z92,COUNTIFS(aditivos!$A$2:$A$200,itens_Remanesc!$A92,aditivos!$B$2:$B$200,"&lt;"&amp;(INT($F$3)+1),aditivos!$L$2:$L$200,"&gt;0")=0),0,IF(ISNUMBER(IF($C$3="C0",posicao_contratual!$F92,IF($C$3="C1",posicao_contratual!$J92,IF($C$3="C2",posicao_contratual!$N92,IF($C$3="C3",posicao_contratual!$R92,IF($C$3="C4",posicao_contratual!$V92,"")))))),ROUND(IF($C$3="C0",posicao_contratual!$F92,IF($C$3="C1",posicao_contratual!$J92,IF($C$3="C2",posicao_contratual!$N92,IF($C$3="C3",posicao_contratual!$R92,IF($C$3="C4",posicao_contratual!$V92,"")))))+ROUND(SUMIFS(aditivos!$L$2:$L$200,aditivos!$A$2:$A$200,A103,aditivos!$C$2:$C$200,$C$3,aditivos!$B$2:$B$200,"&lt;"&amp;(INT($F$3)+1)),2),2),IF(ROUND(SUMIFS(aditivos!$L$2:$L$200,aditivos!$A$2:$A$200,A103,aditivos!$C$2:$C$200,$C$3,aditivos!$B$2:$B$200,"&lt;"&amp;(INT($F$3)+1)),2)&gt;0,ROUND(SUMIFS(aditivos!$L$2:$L$200,aditivos!$A$2:$A$200,A103,aditivos!$C$2:$C$200,$C$3,aditivos!$B$2:$B$200,"&lt;"&amp;(INT($F$3)+1)),2),""))))</f>
        <v/>
      </c>
      <c r="C103" s="418"/>
      <c r="D103" s="417" t="str">
        <f t="shared" si="12"/>
        <v/>
      </c>
      <c r="E103" s="419" t="str">
        <f>IF(A103="","",IF($C$3="C0",historico_VU!$C92,IF($C$3="C1",historico_VU!$D92,IF($C$3="C2",historico_VU!$E92,IF($C$3="C3",historico_VU!$F92,IF($C$3="C4",historico_VU!$G92,""))))))</f>
        <v/>
      </c>
      <c r="F103" s="419" t="str">
        <f t="shared" si="13"/>
        <v/>
      </c>
      <c r="G103" s="419" t="str">
        <f t="shared" si="14"/>
        <v/>
      </c>
      <c r="I103" t="str">
        <f>IF(OR(A103="",$D$5="",$F$3=""),"",ROUND(SUMIFS(aditivos!$L$2:$L$200,aditivos!$A$2:$A$200,A103,aditivos!$B$2:$B$200,"&gt;="&amp;(INT($F$3)+1),aditivos!$B$2:$B$200,"&lt;="&amp;$D$5),2))</f>
        <v/>
      </c>
      <c r="J103" t="str">
        <f t="shared" si="15"/>
        <v/>
      </c>
      <c r="K103" t="str">
        <f t="shared" si="16"/>
        <v/>
      </c>
      <c r="L103" t="str">
        <f>IF(A103="","",IF($C$3="C0",SUMIFS(itens_Consumidos!$E$2:$E$200,itens_Consumidos!$A$2:$A$200,A103),IF($C$3="C1",SUMIFS(itens_Consumidos!$G$2:$G$200,itens_Consumidos!$A$2:$A$200,A103),IF($C$3="C2",SUMIFS(itens_Consumidos!$I$2:$I$200,itens_Consumidos!$A$2:$A$200,A103),IF($C$3="C3",SUMIFS(itens_Consumidos!$K$2:$K$200,itens_Consumidos!$A$2:$A$200,A103),IF($C$3="C4",SUMIFS(itens_Consumidos!$M$2:$M$200,itens_Consumidos!$A$2:$A$200,A103),""))))))</f>
        <v/>
      </c>
      <c r="M103" t="str">
        <f t="shared" si="17"/>
        <v/>
      </c>
      <c r="N103" t="str">
        <f>IF(A103="","",IF($C$3="C0",COUNTIFS(itens_Consumidos!$A$2:$A$200,A103,itens_Consumidos!$E$2:$E$200,"&lt;&gt;"),IF($C$3="C1",COUNTIFS(itens_Consumidos!$A$2:$A$200,A103,itens_Consumidos!$G$2:$G$200,"&lt;&gt;"),IF($C$3="C2",COUNTIFS(itens_Consumidos!$A$2:$A$200,A103,itens_Consumidos!$I$2:$I$200,"&lt;&gt;"),IF($C$3="C3",COUNTIFS(itens_Consumidos!$A$2:$A$200,A103,itens_Consumidos!$K$2:$K$200,"&lt;&gt;"),IF($C$3="C4",COUNTIFS(itens_Consumidos!$A$2:$A$200,A103,itens_Consumidos!$M$2:$M$200,"&lt;&gt;"),""))))))</f>
        <v/>
      </c>
      <c r="O103" t="str">
        <f>IF(itens_Remanesc!$A92="","",COUNTIFS(aditivos!$A$2:$A$200,itens_Remanesc!$A92,aditivos!$B$2:$B$200,"&lt;="&amp;$D$5,aditivos!$L$2:$L$200,"&gt;0"))</f>
        <v/>
      </c>
    </row>
    <row r="104" spans="1:15" ht="20" customHeight="1" x14ac:dyDescent="0.35">
      <c r="A104" s="416" t="str">
        <f>IF(itens_Remanesc!$A93="","",IF(NOT(posicao_contratual!$Z93),itens_Remanesc!$A93,IF(AND(ISNUMBER($D$5),$O104&gt;0),itens_Remanesc!$A93,"")))</f>
        <v/>
      </c>
      <c r="B104" s="417" t="str">
        <f>IF(A104="","",IF(AND(posicao_contratual!$Z93,COUNTIFS(aditivos!$A$2:$A$200,itens_Remanesc!$A93,aditivos!$B$2:$B$200,"&lt;"&amp;(INT($F$3)+1),aditivos!$L$2:$L$200,"&gt;0")=0),0,IF(ISNUMBER(IF($C$3="C0",posicao_contratual!$F93,IF($C$3="C1",posicao_contratual!$J93,IF($C$3="C2",posicao_contratual!$N93,IF($C$3="C3",posicao_contratual!$R93,IF($C$3="C4",posicao_contratual!$V93,"")))))),ROUND(IF($C$3="C0",posicao_contratual!$F93,IF($C$3="C1",posicao_contratual!$J93,IF($C$3="C2",posicao_contratual!$N93,IF($C$3="C3",posicao_contratual!$R93,IF($C$3="C4",posicao_contratual!$V93,"")))))+ROUND(SUMIFS(aditivos!$L$2:$L$200,aditivos!$A$2:$A$200,A104,aditivos!$C$2:$C$200,$C$3,aditivos!$B$2:$B$200,"&lt;"&amp;(INT($F$3)+1)),2),2),IF(ROUND(SUMIFS(aditivos!$L$2:$L$200,aditivos!$A$2:$A$200,A104,aditivos!$C$2:$C$200,$C$3,aditivos!$B$2:$B$200,"&lt;"&amp;(INT($F$3)+1)),2)&gt;0,ROUND(SUMIFS(aditivos!$L$2:$L$200,aditivos!$A$2:$A$200,A104,aditivos!$C$2:$C$200,$C$3,aditivos!$B$2:$B$200,"&lt;"&amp;(INT($F$3)+1)),2),""))))</f>
        <v/>
      </c>
      <c r="C104" s="418"/>
      <c r="D104" s="417" t="str">
        <f t="shared" si="12"/>
        <v/>
      </c>
      <c r="E104" s="419" t="str">
        <f>IF(A104="","",IF($C$3="C0",historico_VU!$C93,IF($C$3="C1",historico_VU!$D93,IF($C$3="C2",historico_VU!$E93,IF($C$3="C3",historico_VU!$F93,IF($C$3="C4",historico_VU!$G93,""))))))</f>
        <v/>
      </c>
      <c r="F104" s="419" t="str">
        <f t="shared" si="13"/>
        <v/>
      </c>
      <c r="G104" s="419" t="str">
        <f t="shared" si="14"/>
        <v/>
      </c>
      <c r="I104" t="str">
        <f>IF(OR(A104="",$D$5="",$F$3=""),"",ROUND(SUMIFS(aditivos!$L$2:$L$200,aditivos!$A$2:$A$200,A104,aditivos!$B$2:$B$200,"&gt;="&amp;(INT($F$3)+1),aditivos!$B$2:$B$200,"&lt;="&amp;$D$5),2))</f>
        <v/>
      </c>
      <c r="J104" t="str">
        <f t="shared" si="15"/>
        <v/>
      </c>
      <c r="K104" t="str">
        <f t="shared" si="16"/>
        <v/>
      </c>
      <c r="L104" t="str">
        <f>IF(A104="","",IF($C$3="C0",SUMIFS(itens_Consumidos!$E$2:$E$200,itens_Consumidos!$A$2:$A$200,A104),IF($C$3="C1",SUMIFS(itens_Consumidos!$G$2:$G$200,itens_Consumidos!$A$2:$A$200,A104),IF($C$3="C2",SUMIFS(itens_Consumidos!$I$2:$I$200,itens_Consumidos!$A$2:$A$200,A104),IF($C$3="C3",SUMIFS(itens_Consumidos!$K$2:$K$200,itens_Consumidos!$A$2:$A$200,A104),IF($C$3="C4",SUMIFS(itens_Consumidos!$M$2:$M$200,itens_Consumidos!$A$2:$A$200,A104),""))))))</f>
        <v/>
      </c>
      <c r="M104" t="str">
        <f t="shared" si="17"/>
        <v/>
      </c>
      <c r="N104" t="str">
        <f>IF(A104="","",IF($C$3="C0",COUNTIFS(itens_Consumidos!$A$2:$A$200,A104,itens_Consumidos!$E$2:$E$200,"&lt;&gt;"),IF($C$3="C1",COUNTIFS(itens_Consumidos!$A$2:$A$200,A104,itens_Consumidos!$G$2:$G$200,"&lt;&gt;"),IF($C$3="C2",COUNTIFS(itens_Consumidos!$A$2:$A$200,A104,itens_Consumidos!$I$2:$I$200,"&lt;&gt;"),IF($C$3="C3",COUNTIFS(itens_Consumidos!$A$2:$A$200,A104,itens_Consumidos!$K$2:$K$200,"&lt;&gt;"),IF($C$3="C4",COUNTIFS(itens_Consumidos!$A$2:$A$200,A104,itens_Consumidos!$M$2:$M$200,"&lt;&gt;"),""))))))</f>
        <v/>
      </c>
      <c r="O104" t="str">
        <f>IF(itens_Remanesc!$A93="","",COUNTIFS(aditivos!$A$2:$A$200,itens_Remanesc!$A93,aditivos!$B$2:$B$200,"&lt;="&amp;$D$5,aditivos!$L$2:$L$200,"&gt;0"))</f>
        <v/>
      </c>
    </row>
    <row r="105" spans="1:15" ht="20" customHeight="1" x14ac:dyDescent="0.35">
      <c r="A105" s="416" t="str">
        <f>IF(itens_Remanesc!$A94="","",IF(NOT(posicao_contratual!$Z94),itens_Remanesc!$A94,IF(AND(ISNUMBER($D$5),$O105&gt;0),itens_Remanesc!$A94,"")))</f>
        <v/>
      </c>
      <c r="B105" s="417" t="str">
        <f>IF(A105="","",IF(AND(posicao_contratual!$Z94,COUNTIFS(aditivos!$A$2:$A$200,itens_Remanesc!$A94,aditivos!$B$2:$B$200,"&lt;"&amp;(INT($F$3)+1),aditivos!$L$2:$L$200,"&gt;0")=0),0,IF(ISNUMBER(IF($C$3="C0",posicao_contratual!$F94,IF($C$3="C1",posicao_contratual!$J94,IF($C$3="C2",posicao_contratual!$N94,IF($C$3="C3",posicao_contratual!$R94,IF($C$3="C4",posicao_contratual!$V94,"")))))),ROUND(IF($C$3="C0",posicao_contratual!$F94,IF($C$3="C1",posicao_contratual!$J94,IF($C$3="C2",posicao_contratual!$N94,IF($C$3="C3",posicao_contratual!$R94,IF($C$3="C4",posicao_contratual!$V94,"")))))+ROUND(SUMIFS(aditivos!$L$2:$L$200,aditivos!$A$2:$A$200,A105,aditivos!$C$2:$C$200,$C$3,aditivos!$B$2:$B$200,"&lt;"&amp;(INT($F$3)+1)),2),2),IF(ROUND(SUMIFS(aditivos!$L$2:$L$200,aditivos!$A$2:$A$200,A105,aditivos!$C$2:$C$200,$C$3,aditivos!$B$2:$B$200,"&lt;"&amp;(INT($F$3)+1)),2)&gt;0,ROUND(SUMIFS(aditivos!$L$2:$L$200,aditivos!$A$2:$A$200,A105,aditivos!$C$2:$C$200,$C$3,aditivos!$B$2:$B$200,"&lt;"&amp;(INT($F$3)+1)),2),""))))</f>
        <v/>
      </c>
      <c r="C105" s="418"/>
      <c r="D105" s="417" t="str">
        <f t="shared" si="12"/>
        <v/>
      </c>
      <c r="E105" s="419" t="str">
        <f>IF(A105="","",IF($C$3="C0",historico_VU!$C94,IF($C$3="C1",historico_VU!$D94,IF($C$3="C2",historico_VU!$E94,IF($C$3="C3",historico_VU!$F94,IF($C$3="C4",historico_VU!$G94,""))))))</f>
        <v/>
      </c>
      <c r="F105" s="419" t="str">
        <f t="shared" si="13"/>
        <v/>
      </c>
      <c r="G105" s="419" t="str">
        <f t="shared" si="14"/>
        <v/>
      </c>
      <c r="I105" t="str">
        <f>IF(OR(A105="",$D$5="",$F$3=""),"",ROUND(SUMIFS(aditivos!$L$2:$L$200,aditivos!$A$2:$A$200,A105,aditivos!$B$2:$B$200,"&gt;="&amp;(INT($F$3)+1),aditivos!$B$2:$B$200,"&lt;="&amp;$D$5),2))</f>
        <v/>
      </c>
      <c r="J105" t="str">
        <f t="shared" si="15"/>
        <v/>
      </c>
      <c r="K105" t="str">
        <f t="shared" si="16"/>
        <v/>
      </c>
      <c r="L105" t="str">
        <f>IF(A105="","",IF($C$3="C0",SUMIFS(itens_Consumidos!$E$2:$E$200,itens_Consumidos!$A$2:$A$200,A105),IF($C$3="C1",SUMIFS(itens_Consumidos!$G$2:$G$200,itens_Consumidos!$A$2:$A$200,A105),IF($C$3="C2",SUMIFS(itens_Consumidos!$I$2:$I$200,itens_Consumidos!$A$2:$A$200,A105),IF($C$3="C3",SUMIFS(itens_Consumidos!$K$2:$K$200,itens_Consumidos!$A$2:$A$200,A105),IF($C$3="C4",SUMIFS(itens_Consumidos!$M$2:$M$200,itens_Consumidos!$A$2:$A$200,A105),""))))))</f>
        <v/>
      </c>
      <c r="M105" t="str">
        <f t="shared" si="17"/>
        <v/>
      </c>
      <c r="N105" t="str">
        <f>IF(A105="","",IF($C$3="C0",COUNTIFS(itens_Consumidos!$A$2:$A$200,A105,itens_Consumidos!$E$2:$E$200,"&lt;&gt;"),IF($C$3="C1",COUNTIFS(itens_Consumidos!$A$2:$A$200,A105,itens_Consumidos!$G$2:$G$200,"&lt;&gt;"),IF($C$3="C2",COUNTIFS(itens_Consumidos!$A$2:$A$200,A105,itens_Consumidos!$I$2:$I$200,"&lt;&gt;"),IF($C$3="C3",COUNTIFS(itens_Consumidos!$A$2:$A$200,A105,itens_Consumidos!$K$2:$K$200,"&lt;&gt;"),IF($C$3="C4",COUNTIFS(itens_Consumidos!$A$2:$A$200,A105,itens_Consumidos!$M$2:$M$200,"&lt;&gt;"),""))))))</f>
        <v/>
      </c>
      <c r="O105" t="str">
        <f>IF(itens_Remanesc!$A94="","",COUNTIFS(aditivos!$A$2:$A$200,itens_Remanesc!$A94,aditivos!$B$2:$B$200,"&lt;="&amp;$D$5,aditivos!$L$2:$L$200,"&gt;0"))</f>
        <v/>
      </c>
    </row>
    <row r="106" spans="1:15" ht="20" customHeight="1" x14ac:dyDescent="0.35">
      <c r="A106" s="416" t="str">
        <f>IF(itens_Remanesc!$A95="","",IF(NOT(posicao_contratual!$Z95),itens_Remanesc!$A95,IF(AND(ISNUMBER($D$5),$O106&gt;0),itens_Remanesc!$A95,"")))</f>
        <v/>
      </c>
      <c r="B106" s="417" t="str">
        <f>IF(A106="","",IF(AND(posicao_contratual!$Z95,COUNTIFS(aditivos!$A$2:$A$200,itens_Remanesc!$A95,aditivos!$B$2:$B$200,"&lt;"&amp;(INT($F$3)+1),aditivos!$L$2:$L$200,"&gt;0")=0),0,IF(ISNUMBER(IF($C$3="C0",posicao_contratual!$F95,IF($C$3="C1",posicao_contratual!$J95,IF($C$3="C2",posicao_contratual!$N95,IF($C$3="C3",posicao_contratual!$R95,IF($C$3="C4",posicao_contratual!$V95,"")))))),ROUND(IF($C$3="C0",posicao_contratual!$F95,IF($C$3="C1",posicao_contratual!$J95,IF($C$3="C2",posicao_contratual!$N95,IF($C$3="C3",posicao_contratual!$R95,IF($C$3="C4",posicao_contratual!$V95,"")))))+ROUND(SUMIFS(aditivos!$L$2:$L$200,aditivos!$A$2:$A$200,A106,aditivos!$C$2:$C$200,$C$3,aditivos!$B$2:$B$200,"&lt;"&amp;(INT($F$3)+1)),2),2),IF(ROUND(SUMIFS(aditivos!$L$2:$L$200,aditivos!$A$2:$A$200,A106,aditivos!$C$2:$C$200,$C$3,aditivos!$B$2:$B$200,"&lt;"&amp;(INT($F$3)+1)),2)&gt;0,ROUND(SUMIFS(aditivos!$L$2:$L$200,aditivos!$A$2:$A$200,A106,aditivos!$C$2:$C$200,$C$3,aditivos!$B$2:$B$200,"&lt;"&amp;(INT($F$3)+1)),2),""))))</f>
        <v/>
      </c>
      <c r="C106" s="418"/>
      <c r="D106" s="417" t="str">
        <f t="shared" si="12"/>
        <v/>
      </c>
      <c r="E106" s="419" t="str">
        <f>IF(A106="","",IF($C$3="C0",historico_VU!$C95,IF($C$3="C1",historico_VU!$D95,IF($C$3="C2",historico_VU!$E95,IF($C$3="C3",historico_VU!$F95,IF($C$3="C4",historico_VU!$G95,""))))))</f>
        <v/>
      </c>
      <c r="F106" s="419" t="str">
        <f t="shared" si="13"/>
        <v/>
      </c>
      <c r="G106" s="419" t="str">
        <f t="shared" si="14"/>
        <v/>
      </c>
      <c r="I106" t="str">
        <f>IF(OR(A106="",$D$5="",$F$3=""),"",ROUND(SUMIFS(aditivos!$L$2:$L$200,aditivos!$A$2:$A$200,A106,aditivos!$B$2:$B$200,"&gt;="&amp;(INT($F$3)+1),aditivos!$B$2:$B$200,"&lt;="&amp;$D$5),2))</f>
        <v/>
      </c>
      <c r="J106" t="str">
        <f t="shared" si="15"/>
        <v/>
      </c>
      <c r="K106" t="str">
        <f t="shared" si="16"/>
        <v/>
      </c>
      <c r="L106" t="str">
        <f>IF(A106="","",IF($C$3="C0",SUMIFS(itens_Consumidos!$E$2:$E$200,itens_Consumidos!$A$2:$A$200,A106),IF($C$3="C1",SUMIFS(itens_Consumidos!$G$2:$G$200,itens_Consumidos!$A$2:$A$200,A106),IF($C$3="C2",SUMIFS(itens_Consumidos!$I$2:$I$200,itens_Consumidos!$A$2:$A$200,A106),IF($C$3="C3",SUMIFS(itens_Consumidos!$K$2:$K$200,itens_Consumidos!$A$2:$A$200,A106),IF($C$3="C4",SUMIFS(itens_Consumidos!$M$2:$M$200,itens_Consumidos!$A$2:$A$200,A106),""))))))</f>
        <v/>
      </c>
      <c r="M106" t="str">
        <f t="shared" si="17"/>
        <v/>
      </c>
      <c r="N106" t="str">
        <f>IF(A106="","",IF($C$3="C0",COUNTIFS(itens_Consumidos!$A$2:$A$200,A106,itens_Consumidos!$E$2:$E$200,"&lt;&gt;"),IF($C$3="C1",COUNTIFS(itens_Consumidos!$A$2:$A$200,A106,itens_Consumidos!$G$2:$G$200,"&lt;&gt;"),IF($C$3="C2",COUNTIFS(itens_Consumidos!$A$2:$A$200,A106,itens_Consumidos!$I$2:$I$200,"&lt;&gt;"),IF($C$3="C3",COUNTIFS(itens_Consumidos!$A$2:$A$200,A106,itens_Consumidos!$K$2:$K$200,"&lt;&gt;"),IF($C$3="C4",COUNTIFS(itens_Consumidos!$A$2:$A$200,A106,itens_Consumidos!$M$2:$M$200,"&lt;&gt;"),""))))))</f>
        <v/>
      </c>
      <c r="O106" t="str">
        <f>IF(itens_Remanesc!$A95="","",COUNTIFS(aditivos!$A$2:$A$200,itens_Remanesc!$A95,aditivos!$B$2:$B$200,"&lt;="&amp;$D$5,aditivos!$L$2:$L$200,"&gt;0"))</f>
        <v/>
      </c>
    </row>
    <row r="107" spans="1:15" ht="20" customHeight="1" x14ac:dyDescent="0.35">
      <c r="A107" s="416" t="str">
        <f>IF(itens_Remanesc!$A96="","",IF(NOT(posicao_contratual!$Z96),itens_Remanesc!$A96,IF(AND(ISNUMBER($D$5),$O107&gt;0),itens_Remanesc!$A96,"")))</f>
        <v/>
      </c>
      <c r="B107" s="417" t="str">
        <f>IF(A107="","",IF(AND(posicao_contratual!$Z96,COUNTIFS(aditivos!$A$2:$A$200,itens_Remanesc!$A96,aditivos!$B$2:$B$200,"&lt;"&amp;(INT($F$3)+1),aditivos!$L$2:$L$200,"&gt;0")=0),0,IF(ISNUMBER(IF($C$3="C0",posicao_contratual!$F96,IF($C$3="C1",posicao_contratual!$J96,IF($C$3="C2",posicao_contratual!$N96,IF($C$3="C3",posicao_contratual!$R96,IF($C$3="C4",posicao_contratual!$V96,"")))))),ROUND(IF($C$3="C0",posicao_contratual!$F96,IF($C$3="C1",posicao_contratual!$J96,IF($C$3="C2",posicao_contratual!$N96,IF($C$3="C3",posicao_contratual!$R96,IF($C$3="C4",posicao_contratual!$V96,"")))))+ROUND(SUMIFS(aditivos!$L$2:$L$200,aditivos!$A$2:$A$200,A107,aditivos!$C$2:$C$200,$C$3,aditivos!$B$2:$B$200,"&lt;"&amp;(INT($F$3)+1)),2),2),IF(ROUND(SUMIFS(aditivos!$L$2:$L$200,aditivos!$A$2:$A$200,A107,aditivos!$C$2:$C$200,$C$3,aditivos!$B$2:$B$200,"&lt;"&amp;(INT($F$3)+1)),2)&gt;0,ROUND(SUMIFS(aditivos!$L$2:$L$200,aditivos!$A$2:$A$200,A107,aditivos!$C$2:$C$200,$C$3,aditivos!$B$2:$B$200,"&lt;"&amp;(INT($F$3)+1)),2),""))))</f>
        <v/>
      </c>
      <c r="C107" s="418"/>
      <c r="D107" s="417" t="str">
        <f t="shared" si="12"/>
        <v/>
      </c>
      <c r="E107" s="419" t="str">
        <f>IF(A107="","",IF($C$3="C0",historico_VU!$C96,IF($C$3="C1",historico_VU!$D96,IF($C$3="C2",historico_VU!$E96,IF($C$3="C3",historico_VU!$F96,IF($C$3="C4",historico_VU!$G96,""))))))</f>
        <v/>
      </c>
      <c r="F107" s="419" t="str">
        <f t="shared" si="13"/>
        <v/>
      </c>
      <c r="G107" s="419" t="str">
        <f t="shared" si="14"/>
        <v/>
      </c>
      <c r="I107" t="str">
        <f>IF(OR(A107="",$D$5="",$F$3=""),"",ROUND(SUMIFS(aditivos!$L$2:$L$200,aditivos!$A$2:$A$200,A107,aditivos!$B$2:$B$200,"&gt;="&amp;(INT($F$3)+1),aditivos!$B$2:$B$200,"&lt;="&amp;$D$5),2))</f>
        <v/>
      </c>
      <c r="J107" t="str">
        <f t="shared" si="15"/>
        <v/>
      </c>
      <c r="K107" t="str">
        <f t="shared" si="16"/>
        <v/>
      </c>
      <c r="L107" t="str">
        <f>IF(A107="","",IF($C$3="C0",SUMIFS(itens_Consumidos!$E$2:$E$200,itens_Consumidos!$A$2:$A$200,A107),IF($C$3="C1",SUMIFS(itens_Consumidos!$G$2:$G$200,itens_Consumidos!$A$2:$A$200,A107),IF($C$3="C2",SUMIFS(itens_Consumidos!$I$2:$I$200,itens_Consumidos!$A$2:$A$200,A107),IF($C$3="C3",SUMIFS(itens_Consumidos!$K$2:$K$200,itens_Consumidos!$A$2:$A$200,A107),IF($C$3="C4",SUMIFS(itens_Consumidos!$M$2:$M$200,itens_Consumidos!$A$2:$A$200,A107),""))))))</f>
        <v/>
      </c>
      <c r="M107" t="str">
        <f t="shared" si="17"/>
        <v/>
      </c>
      <c r="N107" t="str">
        <f>IF(A107="","",IF($C$3="C0",COUNTIFS(itens_Consumidos!$A$2:$A$200,A107,itens_Consumidos!$E$2:$E$200,"&lt;&gt;"),IF($C$3="C1",COUNTIFS(itens_Consumidos!$A$2:$A$200,A107,itens_Consumidos!$G$2:$G$200,"&lt;&gt;"),IF($C$3="C2",COUNTIFS(itens_Consumidos!$A$2:$A$200,A107,itens_Consumidos!$I$2:$I$200,"&lt;&gt;"),IF($C$3="C3",COUNTIFS(itens_Consumidos!$A$2:$A$200,A107,itens_Consumidos!$K$2:$K$200,"&lt;&gt;"),IF($C$3="C4",COUNTIFS(itens_Consumidos!$A$2:$A$200,A107,itens_Consumidos!$M$2:$M$200,"&lt;&gt;"),""))))))</f>
        <v/>
      </c>
      <c r="O107" t="str">
        <f>IF(itens_Remanesc!$A96="","",COUNTIFS(aditivos!$A$2:$A$200,itens_Remanesc!$A96,aditivos!$B$2:$B$200,"&lt;="&amp;$D$5,aditivos!$L$2:$L$200,"&gt;0"))</f>
        <v/>
      </c>
    </row>
    <row r="108" spans="1:15" ht="20" customHeight="1" x14ac:dyDescent="0.35">
      <c r="A108" s="416" t="str">
        <f>IF(itens_Remanesc!$A97="","",IF(NOT(posicao_contratual!$Z97),itens_Remanesc!$A97,IF(AND(ISNUMBER($D$5),$O108&gt;0),itens_Remanesc!$A97,"")))</f>
        <v/>
      </c>
      <c r="B108" s="417" t="str">
        <f>IF(A108="","",IF(AND(posicao_contratual!$Z97,COUNTIFS(aditivos!$A$2:$A$200,itens_Remanesc!$A97,aditivos!$B$2:$B$200,"&lt;"&amp;(INT($F$3)+1),aditivos!$L$2:$L$200,"&gt;0")=0),0,IF(ISNUMBER(IF($C$3="C0",posicao_contratual!$F97,IF($C$3="C1",posicao_contratual!$J97,IF($C$3="C2",posicao_contratual!$N97,IF($C$3="C3",posicao_contratual!$R97,IF($C$3="C4",posicao_contratual!$V97,"")))))),ROUND(IF($C$3="C0",posicao_contratual!$F97,IF($C$3="C1",posicao_contratual!$J97,IF($C$3="C2",posicao_contratual!$N97,IF($C$3="C3",posicao_contratual!$R97,IF($C$3="C4",posicao_contratual!$V97,"")))))+ROUND(SUMIFS(aditivos!$L$2:$L$200,aditivos!$A$2:$A$200,A108,aditivos!$C$2:$C$200,$C$3,aditivos!$B$2:$B$200,"&lt;"&amp;(INT($F$3)+1)),2),2),IF(ROUND(SUMIFS(aditivos!$L$2:$L$200,aditivos!$A$2:$A$200,A108,aditivos!$C$2:$C$200,$C$3,aditivos!$B$2:$B$200,"&lt;"&amp;(INT($F$3)+1)),2)&gt;0,ROUND(SUMIFS(aditivos!$L$2:$L$200,aditivos!$A$2:$A$200,A108,aditivos!$C$2:$C$200,$C$3,aditivos!$B$2:$B$200,"&lt;"&amp;(INT($F$3)+1)),2),""))))</f>
        <v/>
      </c>
      <c r="C108" s="418"/>
      <c r="D108" s="417" t="str">
        <f t="shared" si="12"/>
        <v/>
      </c>
      <c r="E108" s="419" t="str">
        <f>IF(A108="","",IF($C$3="C0",historico_VU!$C97,IF($C$3="C1",historico_VU!$D97,IF($C$3="C2",historico_VU!$E97,IF($C$3="C3",historico_VU!$F97,IF($C$3="C4",historico_VU!$G97,""))))))</f>
        <v/>
      </c>
      <c r="F108" s="419" t="str">
        <f t="shared" si="13"/>
        <v/>
      </c>
      <c r="G108" s="419" t="str">
        <f t="shared" si="14"/>
        <v/>
      </c>
      <c r="I108" t="str">
        <f>IF(OR(A108="",$D$5="",$F$3=""),"",ROUND(SUMIFS(aditivos!$L$2:$L$200,aditivos!$A$2:$A$200,A108,aditivos!$B$2:$B$200,"&gt;="&amp;(INT($F$3)+1),aditivos!$B$2:$B$200,"&lt;="&amp;$D$5),2))</f>
        <v/>
      </c>
      <c r="J108" t="str">
        <f t="shared" si="15"/>
        <v/>
      </c>
      <c r="K108" t="str">
        <f t="shared" si="16"/>
        <v/>
      </c>
      <c r="L108" t="str">
        <f>IF(A108="","",IF($C$3="C0",SUMIFS(itens_Consumidos!$E$2:$E$200,itens_Consumidos!$A$2:$A$200,A108),IF($C$3="C1",SUMIFS(itens_Consumidos!$G$2:$G$200,itens_Consumidos!$A$2:$A$200,A108),IF($C$3="C2",SUMIFS(itens_Consumidos!$I$2:$I$200,itens_Consumidos!$A$2:$A$200,A108),IF($C$3="C3",SUMIFS(itens_Consumidos!$K$2:$K$200,itens_Consumidos!$A$2:$A$200,A108),IF($C$3="C4",SUMIFS(itens_Consumidos!$M$2:$M$200,itens_Consumidos!$A$2:$A$200,A108),""))))))</f>
        <v/>
      </c>
      <c r="M108" t="str">
        <f t="shared" si="17"/>
        <v/>
      </c>
      <c r="N108" t="str">
        <f>IF(A108="","",IF($C$3="C0",COUNTIFS(itens_Consumidos!$A$2:$A$200,A108,itens_Consumidos!$E$2:$E$200,"&lt;&gt;"),IF($C$3="C1",COUNTIFS(itens_Consumidos!$A$2:$A$200,A108,itens_Consumidos!$G$2:$G$200,"&lt;&gt;"),IF($C$3="C2",COUNTIFS(itens_Consumidos!$A$2:$A$200,A108,itens_Consumidos!$I$2:$I$200,"&lt;&gt;"),IF($C$3="C3",COUNTIFS(itens_Consumidos!$A$2:$A$200,A108,itens_Consumidos!$K$2:$K$200,"&lt;&gt;"),IF($C$3="C4",COUNTIFS(itens_Consumidos!$A$2:$A$200,A108,itens_Consumidos!$M$2:$M$200,"&lt;&gt;"),""))))))</f>
        <v/>
      </c>
      <c r="O108" t="str">
        <f>IF(itens_Remanesc!$A97="","",COUNTIFS(aditivos!$A$2:$A$200,itens_Remanesc!$A97,aditivos!$B$2:$B$200,"&lt;="&amp;$D$5,aditivos!$L$2:$L$200,"&gt;0"))</f>
        <v/>
      </c>
    </row>
    <row r="109" spans="1:15" ht="20" customHeight="1" x14ac:dyDescent="0.35">
      <c r="A109" s="416" t="str">
        <f>IF(itens_Remanesc!$A98="","",IF(NOT(posicao_contratual!$Z98),itens_Remanesc!$A98,IF(AND(ISNUMBER($D$5),$O109&gt;0),itens_Remanesc!$A98,"")))</f>
        <v/>
      </c>
      <c r="B109" s="417" t="str">
        <f>IF(A109="","",IF(AND(posicao_contratual!$Z98,COUNTIFS(aditivos!$A$2:$A$200,itens_Remanesc!$A98,aditivos!$B$2:$B$200,"&lt;"&amp;(INT($F$3)+1),aditivos!$L$2:$L$200,"&gt;0")=0),0,IF(ISNUMBER(IF($C$3="C0",posicao_contratual!$F98,IF($C$3="C1",posicao_contratual!$J98,IF($C$3="C2",posicao_contratual!$N98,IF($C$3="C3",posicao_contratual!$R98,IF($C$3="C4",posicao_contratual!$V98,"")))))),ROUND(IF($C$3="C0",posicao_contratual!$F98,IF($C$3="C1",posicao_contratual!$J98,IF($C$3="C2",posicao_contratual!$N98,IF($C$3="C3",posicao_contratual!$R98,IF($C$3="C4",posicao_contratual!$V98,"")))))+ROUND(SUMIFS(aditivos!$L$2:$L$200,aditivos!$A$2:$A$200,A109,aditivos!$C$2:$C$200,$C$3,aditivos!$B$2:$B$200,"&lt;"&amp;(INT($F$3)+1)),2),2),IF(ROUND(SUMIFS(aditivos!$L$2:$L$200,aditivos!$A$2:$A$200,A109,aditivos!$C$2:$C$200,$C$3,aditivos!$B$2:$B$200,"&lt;"&amp;(INT($F$3)+1)),2)&gt;0,ROUND(SUMIFS(aditivos!$L$2:$L$200,aditivos!$A$2:$A$200,A109,aditivos!$C$2:$C$200,$C$3,aditivos!$B$2:$B$200,"&lt;"&amp;(INT($F$3)+1)),2),""))))</f>
        <v/>
      </c>
      <c r="C109" s="418"/>
      <c r="D109" s="417" t="str">
        <f t="shared" ref="D109:D140" si="18">IF(OR(A109="",$D$5="",C109=""),"",ROUND(B109+I109-C109,2))</f>
        <v/>
      </c>
      <c r="E109" s="419" t="str">
        <f>IF(A109="","",IF($C$3="C0",historico_VU!$C98,IF($C$3="C1",historico_VU!$D98,IF($C$3="C2",historico_VU!$E98,IF($C$3="C3",historico_VU!$F98,IF($C$3="C4",historico_VU!$G98,""))))))</f>
        <v/>
      </c>
      <c r="F109" s="419" t="str">
        <f t="shared" ref="F109:F140" si="19">IF(OR(D109="",E109=""),"",ROUND(D109*E109,2))</f>
        <v/>
      </c>
      <c r="G109" s="419" t="str">
        <f t="shared" ref="G109:G140" si="20">IF(OR(C109="",E109=""),"",ROUND(C109*E109,2))</f>
        <v/>
      </c>
      <c r="I109" t="str">
        <f>IF(OR(A109="",$D$5="",$F$3=""),"",ROUND(SUMIFS(aditivos!$L$2:$L$200,aditivos!$A$2:$A$200,A109,aditivos!$B$2:$B$200,"&gt;="&amp;(INT($F$3)+1),aditivos!$B$2:$B$200,"&lt;="&amp;$D$5),2))</f>
        <v/>
      </c>
      <c r="J109" t="str">
        <f t="shared" ref="J109:J140" si="21">IF(OR(A109="",D109="",C109="",I109=""),"",ROUND(B109+I109-D109-C109,2))</f>
        <v/>
      </c>
      <c r="K109" t="str">
        <f t="shared" ref="K109:K140" si="22">IF(A109="","",IF(OR(NOT(ISNUMBER($D$5)),NOT(ISNUMBER($F$3)),NOT(ISNUMBER($H$3)),$D$5&lt;$F$3,$D$5&gt;$H$3),"ERRO: DATA FORA DO CICLO",IF(COUNTIF($A$13:$A$211,A109)&gt;1,"ERRO: ITEM DUPLICADO",IF(NOT(ISNUMBER(B109)),"INCOMPLETO: REMANESCENTE INICIAL",IF(C109="","INCOMPLETO: QTD ATUAL",IF(OR(NOT(ISNUMBER(C109)),C109&lt;0),"ERRO: QTD INVALIDA",IF(NOT(ISNUMBER(I109)),"INCOMPLETO: ADITIVOS",IF(C109&gt;B109+I109,"ERRO: REMANESCENTE SUPERA DISPONIVEL",IF(D109&lt;0,"ERRO: CONSUMO NEGATIVO",IF(NOT(ISNUMBER(E109)),"INCOMPLETO: VU",IF(ABS(J109)&gt;0.005,"ERRO: CHECK FISICO","OK")))))))))))</f>
        <v/>
      </c>
      <c r="L109" t="str">
        <f>IF(A109="","",IF($C$3="C0",SUMIFS(itens_Consumidos!$E$2:$E$200,itens_Consumidos!$A$2:$A$200,A109),IF($C$3="C1",SUMIFS(itens_Consumidos!$G$2:$G$200,itens_Consumidos!$A$2:$A$200,A109),IF($C$3="C2",SUMIFS(itens_Consumidos!$I$2:$I$200,itens_Consumidos!$A$2:$A$200,A109),IF($C$3="C3",SUMIFS(itens_Consumidos!$K$2:$K$200,itens_Consumidos!$A$2:$A$200,A109),IF($C$3="C4",SUMIFS(itens_Consumidos!$M$2:$M$200,itens_Consumidos!$A$2:$A$200,A109),""))))))</f>
        <v/>
      </c>
      <c r="M109" t="str">
        <f t="shared" ref="M109:M140" si="23">IF(OR(A109="",D109="",N109=0),"",ROUND(D109-L109,2))</f>
        <v/>
      </c>
      <c r="N109" t="str">
        <f>IF(A109="","",IF($C$3="C0",COUNTIFS(itens_Consumidos!$A$2:$A$200,A109,itens_Consumidos!$E$2:$E$200,"&lt;&gt;"),IF($C$3="C1",COUNTIFS(itens_Consumidos!$A$2:$A$200,A109,itens_Consumidos!$G$2:$G$200,"&lt;&gt;"),IF($C$3="C2",COUNTIFS(itens_Consumidos!$A$2:$A$200,A109,itens_Consumidos!$I$2:$I$200,"&lt;&gt;"),IF($C$3="C3",COUNTIFS(itens_Consumidos!$A$2:$A$200,A109,itens_Consumidos!$K$2:$K$200,"&lt;&gt;"),IF($C$3="C4",COUNTIFS(itens_Consumidos!$A$2:$A$200,A109,itens_Consumidos!$M$2:$M$200,"&lt;&gt;"),""))))))</f>
        <v/>
      </c>
      <c r="O109" t="str">
        <f>IF(itens_Remanesc!$A98="","",COUNTIFS(aditivos!$A$2:$A$200,itens_Remanesc!$A98,aditivos!$B$2:$B$200,"&lt;="&amp;$D$5,aditivos!$L$2:$L$200,"&gt;0"))</f>
        <v/>
      </c>
    </row>
    <row r="110" spans="1:15" ht="20" customHeight="1" x14ac:dyDescent="0.35">
      <c r="A110" s="416" t="str">
        <f>IF(itens_Remanesc!$A99="","",IF(NOT(posicao_contratual!$Z99),itens_Remanesc!$A99,IF(AND(ISNUMBER($D$5),$O110&gt;0),itens_Remanesc!$A99,"")))</f>
        <v/>
      </c>
      <c r="B110" s="417" t="str">
        <f>IF(A110="","",IF(AND(posicao_contratual!$Z99,COUNTIFS(aditivos!$A$2:$A$200,itens_Remanesc!$A99,aditivos!$B$2:$B$200,"&lt;"&amp;(INT($F$3)+1),aditivos!$L$2:$L$200,"&gt;0")=0),0,IF(ISNUMBER(IF($C$3="C0",posicao_contratual!$F99,IF($C$3="C1",posicao_contratual!$J99,IF($C$3="C2",posicao_contratual!$N99,IF($C$3="C3",posicao_contratual!$R99,IF($C$3="C4",posicao_contratual!$V99,"")))))),ROUND(IF($C$3="C0",posicao_contratual!$F99,IF($C$3="C1",posicao_contratual!$J99,IF($C$3="C2",posicao_contratual!$N99,IF($C$3="C3",posicao_contratual!$R99,IF($C$3="C4",posicao_contratual!$V99,"")))))+ROUND(SUMIFS(aditivos!$L$2:$L$200,aditivos!$A$2:$A$200,A110,aditivos!$C$2:$C$200,$C$3,aditivos!$B$2:$B$200,"&lt;"&amp;(INT($F$3)+1)),2),2),IF(ROUND(SUMIFS(aditivos!$L$2:$L$200,aditivos!$A$2:$A$200,A110,aditivos!$C$2:$C$200,$C$3,aditivos!$B$2:$B$200,"&lt;"&amp;(INT($F$3)+1)),2)&gt;0,ROUND(SUMIFS(aditivos!$L$2:$L$200,aditivos!$A$2:$A$200,A110,aditivos!$C$2:$C$200,$C$3,aditivos!$B$2:$B$200,"&lt;"&amp;(INT($F$3)+1)),2),""))))</f>
        <v/>
      </c>
      <c r="C110" s="418"/>
      <c r="D110" s="417" t="str">
        <f t="shared" si="18"/>
        <v/>
      </c>
      <c r="E110" s="419" t="str">
        <f>IF(A110="","",IF($C$3="C0",historico_VU!$C99,IF($C$3="C1",historico_VU!$D99,IF($C$3="C2",historico_VU!$E99,IF($C$3="C3",historico_VU!$F99,IF($C$3="C4",historico_VU!$G99,""))))))</f>
        <v/>
      </c>
      <c r="F110" s="419" t="str">
        <f t="shared" si="19"/>
        <v/>
      </c>
      <c r="G110" s="419" t="str">
        <f t="shared" si="20"/>
        <v/>
      </c>
      <c r="I110" t="str">
        <f>IF(OR(A110="",$D$5="",$F$3=""),"",ROUND(SUMIFS(aditivos!$L$2:$L$200,aditivos!$A$2:$A$200,A110,aditivos!$B$2:$B$200,"&gt;="&amp;(INT($F$3)+1),aditivos!$B$2:$B$200,"&lt;="&amp;$D$5),2))</f>
        <v/>
      </c>
      <c r="J110" t="str">
        <f t="shared" si="21"/>
        <v/>
      </c>
      <c r="K110" t="str">
        <f t="shared" si="22"/>
        <v/>
      </c>
      <c r="L110" t="str">
        <f>IF(A110="","",IF($C$3="C0",SUMIFS(itens_Consumidos!$E$2:$E$200,itens_Consumidos!$A$2:$A$200,A110),IF($C$3="C1",SUMIFS(itens_Consumidos!$G$2:$G$200,itens_Consumidos!$A$2:$A$200,A110),IF($C$3="C2",SUMIFS(itens_Consumidos!$I$2:$I$200,itens_Consumidos!$A$2:$A$200,A110),IF($C$3="C3",SUMIFS(itens_Consumidos!$K$2:$K$200,itens_Consumidos!$A$2:$A$200,A110),IF($C$3="C4",SUMIFS(itens_Consumidos!$M$2:$M$200,itens_Consumidos!$A$2:$A$200,A110),""))))))</f>
        <v/>
      </c>
      <c r="M110" t="str">
        <f t="shared" si="23"/>
        <v/>
      </c>
      <c r="N110" t="str">
        <f>IF(A110="","",IF($C$3="C0",COUNTIFS(itens_Consumidos!$A$2:$A$200,A110,itens_Consumidos!$E$2:$E$200,"&lt;&gt;"),IF($C$3="C1",COUNTIFS(itens_Consumidos!$A$2:$A$200,A110,itens_Consumidos!$G$2:$G$200,"&lt;&gt;"),IF($C$3="C2",COUNTIFS(itens_Consumidos!$A$2:$A$200,A110,itens_Consumidos!$I$2:$I$200,"&lt;&gt;"),IF($C$3="C3",COUNTIFS(itens_Consumidos!$A$2:$A$200,A110,itens_Consumidos!$K$2:$K$200,"&lt;&gt;"),IF($C$3="C4",COUNTIFS(itens_Consumidos!$A$2:$A$200,A110,itens_Consumidos!$M$2:$M$200,"&lt;&gt;"),""))))))</f>
        <v/>
      </c>
      <c r="O110" t="str">
        <f>IF(itens_Remanesc!$A99="","",COUNTIFS(aditivos!$A$2:$A$200,itens_Remanesc!$A99,aditivos!$B$2:$B$200,"&lt;="&amp;$D$5,aditivos!$L$2:$L$200,"&gt;0"))</f>
        <v/>
      </c>
    </row>
    <row r="111" spans="1:15" ht="20" customHeight="1" x14ac:dyDescent="0.35">
      <c r="A111" s="416" t="str">
        <f>IF(itens_Remanesc!$A100="","",IF(NOT(posicao_contratual!$Z100),itens_Remanesc!$A100,IF(AND(ISNUMBER($D$5),$O111&gt;0),itens_Remanesc!$A100,"")))</f>
        <v/>
      </c>
      <c r="B111" s="417" t="str">
        <f>IF(A111="","",IF(AND(posicao_contratual!$Z100,COUNTIFS(aditivos!$A$2:$A$200,itens_Remanesc!$A100,aditivos!$B$2:$B$200,"&lt;"&amp;(INT($F$3)+1),aditivos!$L$2:$L$200,"&gt;0")=0),0,IF(ISNUMBER(IF($C$3="C0",posicao_contratual!$F100,IF($C$3="C1",posicao_contratual!$J100,IF($C$3="C2",posicao_contratual!$N100,IF($C$3="C3",posicao_contratual!$R100,IF($C$3="C4",posicao_contratual!$V100,"")))))),ROUND(IF($C$3="C0",posicao_contratual!$F100,IF($C$3="C1",posicao_contratual!$J100,IF($C$3="C2",posicao_contratual!$N100,IF($C$3="C3",posicao_contratual!$R100,IF($C$3="C4",posicao_contratual!$V100,"")))))+ROUND(SUMIFS(aditivos!$L$2:$L$200,aditivos!$A$2:$A$200,A111,aditivos!$C$2:$C$200,$C$3,aditivos!$B$2:$B$200,"&lt;"&amp;(INT($F$3)+1)),2),2),IF(ROUND(SUMIFS(aditivos!$L$2:$L$200,aditivos!$A$2:$A$200,A111,aditivos!$C$2:$C$200,$C$3,aditivos!$B$2:$B$200,"&lt;"&amp;(INT($F$3)+1)),2)&gt;0,ROUND(SUMIFS(aditivos!$L$2:$L$200,aditivos!$A$2:$A$200,A111,aditivos!$C$2:$C$200,$C$3,aditivos!$B$2:$B$200,"&lt;"&amp;(INT($F$3)+1)),2),""))))</f>
        <v/>
      </c>
      <c r="C111" s="418"/>
      <c r="D111" s="417" t="str">
        <f t="shared" si="18"/>
        <v/>
      </c>
      <c r="E111" s="419" t="str">
        <f>IF(A111="","",IF($C$3="C0",historico_VU!$C100,IF($C$3="C1",historico_VU!$D100,IF($C$3="C2",historico_VU!$E100,IF($C$3="C3",historico_VU!$F100,IF($C$3="C4",historico_VU!$G100,""))))))</f>
        <v/>
      </c>
      <c r="F111" s="419" t="str">
        <f t="shared" si="19"/>
        <v/>
      </c>
      <c r="G111" s="419" t="str">
        <f t="shared" si="20"/>
        <v/>
      </c>
      <c r="I111" t="str">
        <f>IF(OR(A111="",$D$5="",$F$3=""),"",ROUND(SUMIFS(aditivos!$L$2:$L$200,aditivos!$A$2:$A$200,A111,aditivos!$B$2:$B$200,"&gt;="&amp;(INT($F$3)+1),aditivos!$B$2:$B$200,"&lt;="&amp;$D$5),2))</f>
        <v/>
      </c>
      <c r="J111" t="str">
        <f t="shared" si="21"/>
        <v/>
      </c>
      <c r="K111" t="str">
        <f t="shared" si="22"/>
        <v/>
      </c>
      <c r="L111" t="str">
        <f>IF(A111="","",IF($C$3="C0",SUMIFS(itens_Consumidos!$E$2:$E$200,itens_Consumidos!$A$2:$A$200,A111),IF($C$3="C1",SUMIFS(itens_Consumidos!$G$2:$G$200,itens_Consumidos!$A$2:$A$200,A111),IF($C$3="C2",SUMIFS(itens_Consumidos!$I$2:$I$200,itens_Consumidos!$A$2:$A$200,A111),IF($C$3="C3",SUMIFS(itens_Consumidos!$K$2:$K$200,itens_Consumidos!$A$2:$A$200,A111),IF($C$3="C4",SUMIFS(itens_Consumidos!$M$2:$M$200,itens_Consumidos!$A$2:$A$200,A111),""))))))</f>
        <v/>
      </c>
      <c r="M111" t="str">
        <f t="shared" si="23"/>
        <v/>
      </c>
      <c r="N111" t="str">
        <f>IF(A111="","",IF($C$3="C0",COUNTIFS(itens_Consumidos!$A$2:$A$200,A111,itens_Consumidos!$E$2:$E$200,"&lt;&gt;"),IF($C$3="C1",COUNTIFS(itens_Consumidos!$A$2:$A$200,A111,itens_Consumidos!$G$2:$G$200,"&lt;&gt;"),IF($C$3="C2",COUNTIFS(itens_Consumidos!$A$2:$A$200,A111,itens_Consumidos!$I$2:$I$200,"&lt;&gt;"),IF($C$3="C3",COUNTIFS(itens_Consumidos!$A$2:$A$200,A111,itens_Consumidos!$K$2:$K$200,"&lt;&gt;"),IF($C$3="C4",COUNTIFS(itens_Consumidos!$A$2:$A$200,A111,itens_Consumidos!$M$2:$M$200,"&lt;&gt;"),""))))))</f>
        <v/>
      </c>
      <c r="O111" t="str">
        <f>IF(itens_Remanesc!$A100="","",COUNTIFS(aditivos!$A$2:$A$200,itens_Remanesc!$A100,aditivos!$B$2:$B$200,"&lt;="&amp;$D$5,aditivos!$L$2:$L$200,"&gt;0"))</f>
        <v/>
      </c>
    </row>
    <row r="112" spans="1:15" ht="20" customHeight="1" x14ac:dyDescent="0.35">
      <c r="A112" s="416" t="str">
        <f>IF(itens_Remanesc!$A101="","",IF(NOT(posicao_contratual!$Z101),itens_Remanesc!$A101,IF(AND(ISNUMBER($D$5),$O112&gt;0),itens_Remanesc!$A101,"")))</f>
        <v/>
      </c>
      <c r="B112" s="417" t="str">
        <f>IF(A112="","",IF(AND(posicao_contratual!$Z101,COUNTIFS(aditivos!$A$2:$A$200,itens_Remanesc!$A101,aditivos!$B$2:$B$200,"&lt;"&amp;(INT($F$3)+1),aditivos!$L$2:$L$200,"&gt;0")=0),0,IF(ISNUMBER(IF($C$3="C0",posicao_contratual!$F101,IF($C$3="C1",posicao_contratual!$J101,IF($C$3="C2",posicao_contratual!$N101,IF($C$3="C3",posicao_contratual!$R101,IF($C$3="C4",posicao_contratual!$V101,"")))))),ROUND(IF($C$3="C0",posicao_contratual!$F101,IF($C$3="C1",posicao_contratual!$J101,IF($C$3="C2",posicao_contratual!$N101,IF($C$3="C3",posicao_contratual!$R101,IF($C$3="C4",posicao_contratual!$V101,"")))))+ROUND(SUMIFS(aditivos!$L$2:$L$200,aditivos!$A$2:$A$200,A112,aditivos!$C$2:$C$200,$C$3,aditivos!$B$2:$B$200,"&lt;"&amp;(INT($F$3)+1)),2),2),IF(ROUND(SUMIFS(aditivos!$L$2:$L$200,aditivos!$A$2:$A$200,A112,aditivos!$C$2:$C$200,$C$3,aditivos!$B$2:$B$200,"&lt;"&amp;(INT($F$3)+1)),2)&gt;0,ROUND(SUMIFS(aditivos!$L$2:$L$200,aditivos!$A$2:$A$200,A112,aditivos!$C$2:$C$200,$C$3,aditivos!$B$2:$B$200,"&lt;"&amp;(INT($F$3)+1)),2),""))))</f>
        <v/>
      </c>
      <c r="C112" s="418"/>
      <c r="D112" s="417" t="str">
        <f t="shared" si="18"/>
        <v/>
      </c>
      <c r="E112" s="419" t="str">
        <f>IF(A112="","",IF($C$3="C0",historico_VU!$C101,IF($C$3="C1",historico_VU!$D101,IF($C$3="C2",historico_VU!$E101,IF($C$3="C3",historico_VU!$F101,IF($C$3="C4",historico_VU!$G101,""))))))</f>
        <v/>
      </c>
      <c r="F112" s="419" t="str">
        <f t="shared" si="19"/>
        <v/>
      </c>
      <c r="G112" s="419" t="str">
        <f t="shared" si="20"/>
        <v/>
      </c>
      <c r="I112" t="str">
        <f>IF(OR(A112="",$D$5="",$F$3=""),"",ROUND(SUMIFS(aditivos!$L$2:$L$200,aditivos!$A$2:$A$200,A112,aditivos!$B$2:$B$200,"&gt;="&amp;(INT($F$3)+1),aditivos!$B$2:$B$200,"&lt;="&amp;$D$5),2))</f>
        <v/>
      </c>
      <c r="J112" t="str">
        <f t="shared" si="21"/>
        <v/>
      </c>
      <c r="K112" t="str">
        <f t="shared" si="22"/>
        <v/>
      </c>
      <c r="L112" t="str">
        <f>IF(A112="","",IF($C$3="C0",SUMIFS(itens_Consumidos!$E$2:$E$200,itens_Consumidos!$A$2:$A$200,A112),IF($C$3="C1",SUMIFS(itens_Consumidos!$G$2:$G$200,itens_Consumidos!$A$2:$A$200,A112),IF($C$3="C2",SUMIFS(itens_Consumidos!$I$2:$I$200,itens_Consumidos!$A$2:$A$200,A112),IF($C$3="C3",SUMIFS(itens_Consumidos!$K$2:$K$200,itens_Consumidos!$A$2:$A$200,A112),IF($C$3="C4",SUMIFS(itens_Consumidos!$M$2:$M$200,itens_Consumidos!$A$2:$A$200,A112),""))))))</f>
        <v/>
      </c>
      <c r="M112" t="str">
        <f t="shared" si="23"/>
        <v/>
      </c>
      <c r="N112" t="str">
        <f>IF(A112="","",IF($C$3="C0",COUNTIFS(itens_Consumidos!$A$2:$A$200,A112,itens_Consumidos!$E$2:$E$200,"&lt;&gt;"),IF($C$3="C1",COUNTIFS(itens_Consumidos!$A$2:$A$200,A112,itens_Consumidos!$G$2:$G$200,"&lt;&gt;"),IF($C$3="C2",COUNTIFS(itens_Consumidos!$A$2:$A$200,A112,itens_Consumidos!$I$2:$I$200,"&lt;&gt;"),IF($C$3="C3",COUNTIFS(itens_Consumidos!$A$2:$A$200,A112,itens_Consumidos!$K$2:$K$200,"&lt;&gt;"),IF($C$3="C4",COUNTIFS(itens_Consumidos!$A$2:$A$200,A112,itens_Consumidos!$M$2:$M$200,"&lt;&gt;"),""))))))</f>
        <v/>
      </c>
      <c r="O112" t="str">
        <f>IF(itens_Remanesc!$A101="","",COUNTIFS(aditivos!$A$2:$A$200,itens_Remanesc!$A101,aditivos!$B$2:$B$200,"&lt;="&amp;$D$5,aditivos!$L$2:$L$200,"&gt;0"))</f>
        <v/>
      </c>
    </row>
    <row r="113" spans="1:15" ht="20" customHeight="1" x14ac:dyDescent="0.35">
      <c r="A113" s="416" t="str">
        <f>IF(itens_Remanesc!$A102="","",IF(NOT(posicao_contratual!$Z102),itens_Remanesc!$A102,IF(AND(ISNUMBER($D$5),$O113&gt;0),itens_Remanesc!$A102,"")))</f>
        <v/>
      </c>
      <c r="B113" s="417" t="str">
        <f>IF(A113="","",IF(AND(posicao_contratual!$Z102,COUNTIFS(aditivos!$A$2:$A$200,itens_Remanesc!$A102,aditivos!$B$2:$B$200,"&lt;"&amp;(INT($F$3)+1),aditivos!$L$2:$L$200,"&gt;0")=0),0,IF(ISNUMBER(IF($C$3="C0",posicao_contratual!$F102,IF($C$3="C1",posicao_contratual!$J102,IF($C$3="C2",posicao_contratual!$N102,IF($C$3="C3",posicao_contratual!$R102,IF($C$3="C4",posicao_contratual!$V102,"")))))),ROUND(IF($C$3="C0",posicao_contratual!$F102,IF($C$3="C1",posicao_contratual!$J102,IF($C$3="C2",posicao_contratual!$N102,IF($C$3="C3",posicao_contratual!$R102,IF($C$3="C4",posicao_contratual!$V102,"")))))+ROUND(SUMIFS(aditivos!$L$2:$L$200,aditivos!$A$2:$A$200,A113,aditivos!$C$2:$C$200,$C$3,aditivos!$B$2:$B$200,"&lt;"&amp;(INT($F$3)+1)),2),2),IF(ROUND(SUMIFS(aditivos!$L$2:$L$200,aditivos!$A$2:$A$200,A113,aditivos!$C$2:$C$200,$C$3,aditivos!$B$2:$B$200,"&lt;"&amp;(INT($F$3)+1)),2)&gt;0,ROUND(SUMIFS(aditivos!$L$2:$L$200,aditivos!$A$2:$A$200,A113,aditivos!$C$2:$C$200,$C$3,aditivos!$B$2:$B$200,"&lt;"&amp;(INT($F$3)+1)),2),""))))</f>
        <v/>
      </c>
      <c r="C113" s="418"/>
      <c r="D113" s="417" t="str">
        <f t="shared" si="18"/>
        <v/>
      </c>
      <c r="E113" s="419" t="str">
        <f>IF(A113="","",IF($C$3="C0",historico_VU!$C102,IF($C$3="C1",historico_VU!$D102,IF($C$3="C2",historico_VU!$E102,IF($C$3="C3",historico_VU!$F102,IF($C$3="C4",historico_VU!$G102,""))))))</f>
        <v/>
      </c>
      <c r="F113" s="419" t="str">
        <f t="shared" si="19"/>
        <v/>
      </c>
      <c r="G113" s="419" t="str">
        <f t="shared" si="20"/>
        <v/>
      </c>
      <c r="I113" t="str">
        <f>IF(OR(A113="",$D$5="",$F$3=""),"",ROUND(SUMIFS(aditivos!$L$2:$L$200,aditivos!$A$2:$A$200,A113,aditivos!$B$2:$B$200,"&gt;="&amp;(INT($F$3)+1),aditivos!$B$2:$B$200,"&lt;="&amp;$D$5),2))</f>
        <v/>
      </c>
      <c r="J113" t="str">
        <f t="shared" si="21"/>
        <v/>
      </c>
      <c r="K113" t="str">
        <f t="shared" si="22"/>
        <v/>
      </c>
      <c r="L113" t="str">
        <f>IF(A113="","",IF($C$3="C0",SUMIFS(itens_Consumidos!$E$2:$E$200,itens_Consumidos!$A$2:$A$200,A113),IF($C$3="C1",SUMIFS(itens_Consumidos!$G$2:$G$200,itens_Consumidos!$A$2:$A$200,A113),IF($C$3="C2",SUMIFS(itens_Consumidos!$I$2:$I$200,itens_Consumidos!$A$2:$A$200,A113),IF($C$3="C3",SUMIFS(itens_Consumidos!$K$2:$K$200,itens_Consumidos!$A$2:$A$200,A113),IF($C$3="C4",SUMIFS(itens_Consumidos!$M$2:$M$200,itens_Consumidos!$A$2:$A$200,A113),""))))))</f>
        <v/>
      </c>
      <c r="M113" t="str">
        <f t="shared" si="23"/>
        <v/>
      </c>
      <c r="N113" t="str">
        <f>IF(A113="","",IF($C$3="C0",COUNTIFS(itens_Consumidos!$A$2:$A$200,A113,itens_Consumidos!$E$2:$E$200,"&lt;&gt;"),IF($C$3="C1",COUNTIFS(itens_Consumidos!$A$2:$A$200,A113,itens_Consumidos!$G$2:$G$200,"&lt;&gt;"),IF($C$3="C2",COUNTIFS(itens_Consumidos!$A$2:$A$200,A113,itens_Consumidos!$I$2:$I$200,"&lt;&gt;"),IF($C$3="C3",COUNTIFS(itens_Consumidos!$A$2:$A$200,A113,itens_Consumidos!$K$2:$K$200,"&lt;&gt;"),IF($C$3="C4",COUNTIFS(itens_Consumidos!$A$2:$A$200,A113,itens_Consumidos!$M$2:$M$200,"&lt;&gt;"),""))))))</f>
        <v/>
      </c>
      <c r="O113" t="str">
        <f>IF(itens_Remanesc!$A102="","",COUNTIFS(aditivos!$A$2:$A$200,itens_Remanesc!$A102,aditivos!$B$2:$B$200,"&lt;="&amp;$D$5,aditivos!$L$2:$L$200,"&gt;0"))</f>
        <v/>
      </c>
    </row>
    <row r="114" spans="1:15" ht="20" customHeight="1" x14ac:dyDescent="0.35">
      <c r="A114" s="416" t="str">
        <f>IF(itens_Remanesc!$A103="","",IF(NOT(posicao_contratual!$Z103),itens_Remanesc!$A103,IF(AND(ISNUMBER($D$5),$O114&gt;0),itens_Remanesc!$A103,"")))</f>
        <v/>
      </c>
      <c r="B114" s="417" t="str">
        <f>IF(A114="","",IF(AND(posicao_contratual!$Z103,COUNTIFS(aditivos!$A$2:$A$200,itens_Remanesc!$A103,aditivos!$B$2:$B$200,"&lt;"&amp;(INT($F$3)+1),aditivos!$L$2:$L$200,"&gt;0")=0),0,IF(ISNUMBER(IF($C$3="C0",posicao_contratual!$F103,IF($C$3="C1",posicao_contratual!$J103,IF($C$3="C2",posicao_contratual!$N103,IF($C$3="C3",posicao_contratual!$R103,IF($C$3="C4",posicao_contratual!$V103,"")))))),ROUND(IF($C$3="C0",posicao_contratual!$F103,IF($C$3="C1",posicao_contratual!$J103,IF($C$3="C2",posicao_contratual!$N103,IF($C$3="C3",posicao_contratual!$R103,IF($C$3="C4",posicao_contratual!$V103,"")))))+ROUND(SUMIFS(aditivos!$L$2:$L$200,aditivos!$A$2:$A$200,A114,aditivos!$C$2:$C$200,$C$3,aditivos!$B$2:$B$200,"&lt;"&amp;(INT($F$3)+1)),2),2),IF(ROUND(SUMIFS(aditivos!$L$2:$L$200,aditivos!$A$2:$A$200,A114,aditivos!$C$2:$C$200,$C$3,aditivos!$B$2:$B$200,"&lt;"&amp;(INT($F$3)+1)),2)&gt;0,ROUND(SUMIFS(aditivos!$L$2:$L$200,aditivos!$A$2:$A$200,A114,aditivos!$C$2:$C$200,$C$3,aditivos!$B$2:$B$200,"&lt;"&amp;(INT($F$3)+1)),2),""))))</f>
        <v/>
      </c>
      <c r="C114" s="418"/>
      <c r="D114" s="417" t="str">
        <f t="shared" si="18"/>
        <v/>
      </c>
      <c r="E114" s="419" t="str">
        <f>IF(A114="","",IF($C$3="C0",historico_VU!$C103,IF($C$3="C1",historico_VU!$D103,IF($C$3="C2",historico_VU!$E103,IF($C$3="C3",historico_VU!$F103,IF($C$3="C4",historico_VU!$G103,""))))))</f>
        <v/>
      </c>
      <c r="F114" s="419" t="str">
        <f t="shared" si="19"/>
        <v/>
      </c>
      <c r="G114" s="419" t="str">
        <f t="shared" si="20"/>
        <v/>
      </c>
      <c r="I114" t="str">
        <f>IF(OR(A114="",$D$5="",$F$3=""),"",ROUND(SUMIFS(aditivos!$L$2:$L$200,aditivos!$A$2:$A$200,A114,aditivos!$B$2:$B$200,"&gt;="&amp;(INT($F$3)+1),aditivos!$B$2:$B$200,"&lt;="&amp;$D$5),2))</f>
        <v/>
      </c>
      <c r="J114" t="str">
        <f t="shared" si="21"/>
        <v/>
      </c>
      <c r="K114" t="str">
        <f t="shared" si="22"/>
        <v/>
      </c>
      <c r="L114" t="str">
        <f>IF(A114="","",IF($C$3="C0",SUMIFS(itens_Consumidos!$E$2:$E$200,itens_Consumidos!$A$2:$A$200,A114),IF($C$3="C1",SUMIFS(itens_Consumidos!$G$2:$G$200,itens_Consumidos!$A$2:$A$200,A114),IF($C$3="C2",SUMIFS(itens_Consumidos!$I$2:$I$200,itens_Consumidos!$A$2:$A$200,A114),IF($C$3="C3",SUMIFS(itens_Consumidos!$K$2:$K$200,itens_Consumidos!$A$2:$A$200,A114),IF($C$3="C4",SUMIFS(itens_Consumidos!$M$2:$M$200,itens_Consumidos!$A$2:$A$200,A114),""))))))</f>
        <v/>
      </c>
      <c r="M114" t="str">
        <f t="shared" si="23"/>
        <v/>
      </c>
      <c r="N114" t="str">
        <f>IF(A114="","",IF($C$3="C0",COUNTIFS(itens_Consumidos!$A$2:$A$200,A114,itens_Consumidos!$E$2:$E$200,"&lt;&gt;"),IF($C$3="C1",COUNTIFS(itens_Consumidos!$A$2:$A$200,A114,itens_Consumidos!$G$2:$G$200,"&lt;&gt;"),IF($C$3="C2",COUNTIFS(itens_Consumidos!$A$2:$A$200,A114,itens_Consumidos!$I$2:$I$200,"&lt;&gt;"),IF($C$3="C3",COUNTIFS(itens_Consumidos!$A$2:$A$200,A114,itens_Consumidos!$K$2:$K$200,"&lt;&gt;"),IF($C$3="C4",COUNTIFS(itens_Consumidos!$A$2:$A$200,A114,itens_Consumidos!$M$2:$M$200,"&lt;&gt;"),""))))))</f>
        <v/>
      </c>
      <c r="O114" t="str">
        <f>IF(itens_Remanesc!$A103="","",COUNTIFS(aditivos!$A$2:$A$200,itens_Remanesc!$A103,aditivos!$B$2:$B$200,"&lt;="&amp;$D$5,aditivos!$L$2:$L$200,"&gt;0"))</f>
        <v/>
      </c>
    </row>
    <row r="115" spans="1:15" ht="20" customHeight="1" x14ac:dyDescent="0.35">
      <c r="A115" s="416" t="str">
        <f>IF(itens_Remanesc!$A104="","",IF(NOT(posicao_contratual!$Z104),itens_Remanesc!$A104,IF(AND(ISNUMBER($D$5),$O115&gt;0),itens_Remanesc!$A104,"")))</f>
        <v/>
      </c>
      <c r="B115" s="417" t="str">
        <f>IF(A115="","",IF(AND(posicao_contratual!$Z104,COUNTIFS(aditivos!$A$2:$A$200,itens_Remanesc!$A104,aditivos!$B$2:$B$200,"&lt;"&amp;(INT($F$3)+1),aditivos!$L$2:$L$200,"&gt;0")=0),0,IF(ISNUMBER(IF($C$3="C0",posicao_contratual!$F104,IF($C$3="C1",posicao_contratual!$J104,IF($C$3="C2",posicao_contratual!$N104,IF($C$3="C3",posicao_contratual!$R104,IF($C$3="C4",posicao_contratual!$V104,"")))))),ROUND(IF($C$3="C0",posicao_contratual!$F104,IF($C$3="C1",posicao_contratual!$J104,IF($C$3="C2",posicao_contratual!$N104,IF($C$3="C3",posicao_contratual!$R104,IF($C$3="C4",posicao_contratual!$V104,"")))))+ROUND(SUMIFS(aditivos!$L$2:$L$200,aditivos!$A$2:$A$200,A115,aditivos!$C$2:$C$200,$C$3,aditivos!$B$2:$B$200,"&lt;"&amp;(INT($F$3)+1)),2),2),IF(ROUND(SUMIFS(aditivos!$L$2:$L$200,aditivos!$A$2:$A$200,A115,aditivos!$C$2:$C$200,$C$3,aditivos!$B$2:$B$200,"&lt;"&amp;(INT($F$3)+1)),2)&gt;0,ROUND(SUMIFS(aditivos!$L$2:$L$200,aditivos!$A$2:$A$200,A115,aditivos!$C$2:$C$200,$C$3,aditivos!$B$2:$B$200,"&lt;"&amp;(INT($F$3)+1)),2),""))))</f>
        <v/>
      </c>
      <c r="C115" s="418"/>
      <c r="D115" s="417" t="str">
        <f t="shared" si="18"/>
        <v/>
      </c>
      <c r="E115" s="419" t="str">
        <f>IF(A115="","",IF($C$3="C0",historico_VU!$C104,IF($C$3="C1",historico_VU!$D104,IF($C$3="C2",historico_VU!$E104,IF($C$3="C3",historico_VU!$F104,IF($C$3="C4",historico_VU!$G104,""))))))</f>
        <v/>
      </c>
      <c r="F115" s="419" t="str">
        <f t="shared" si="19"/>
        <v/>
      </c>
      <c r="G115" s="419" t="str">
        <f t="shared" si="20"/>
        <v/>
      </c>
      <c r="I115" t="str">
        <f>IF(OR(A115="",$D$5="",$F$3=""),"",ROUND(SUMIFS(aditivos!$L$2:$L$200,aditivos!$A$2:$A$200,A115,aditivos!$B$2:$B$200,"&gt;="&amp;(INT($F$3)+1),aditivos!$B$2:$B$200,"&lt;="&amp;$D$5),2))</f>
        <v/>
      </c>
      <c r="J115" t="str">
        <f t="shared" si="21"/>
        <v/>
      </c>
      <c r="K115" t="str">
        <f t="shared" si="22"/>
        <v/>
      </c>
      <c r="L115" t="str">
        <f>IF(A115="","",IF($C$3="C0",SUMIFS(itens_Consumidos!$E$2:$E$200,itens_Consumidos!$A$2:$A$200,A115),IF($C$3="C1",SUMIFS(itens_Consumidos!$G$2:$G$200,itens_Consumidos!$A$2:$A$200,A115),IF($C$3="C2",SUMIFS(itens_Consumidos!$I$2:$I$200,itens_Consumidos!$A$2:$A$200,A115),IF($C$3="C3",SUMIFS(itens_Consumidos!$K$2:$K$200,itens_Consumidos!$A$2:$A$200,A115),IF($C$3="C4",SUMIFS(itens_Consumidos!$M$2:$M$200,itens_Consumidos!$A$2:$A$200,A115),""))))))</f>
        <v/>
      </c>
      <c r="M115" t="str">
        <f t="shared" si="23"/>
        <v/>
      </c>
      <c r="N115" t="str">
        <f>IF(A115="","",IF($C$3="C0",COUNTIFS(itens_Consumidos!$A$2:$A$200,A115,itens_Consumidos!$E$2:$E$200,"&lt;&gt;"),IF($C$3="C1",COUNTIFS(itens_Consumidos!$A$2:$A$200,A115,itens_Consumidos!$G$2:$G$200,"&lt;&gt;"),IF($C$3="C2",COUNTIFS(itens_Consumidos!$A$2:$A$200,A115,itens_Consumidos!$I$2:$I$200,"&lt;&gt;"),IF($C$3="C3",COUNTIFS(itens_Consumidos!$A$2:$A$200,A115,itens_Consumidos!$K$2:$K$200,"&lt;&gt;"),IF($C$3="C4",COUNTIFS(itens_Consumidos!$A$2:$A$200,A115,itens_Consumidos!$M$2:$M$200,"&lt;&gt;"),""))))))</f>
        <v/>
      </c>
      <c r="O115" t="str">
        <f>IF(itens_Remanesc!$A104="","",COUNTIFS(aditivos!$A$2:$A$200,itens_Remanesc!$A104,aditivos!$B$2:$B$200,"&lt;="&amp;$D$5,aditivos!$L$2:$L$200,"&gt;0"))</f>
        <v/>
      </c>
    </row>
    <row r="116" spans="1:15" ht="20" customHeight="1" x14ac:dyDescent="0.35">
      <c r="A116" s="416" t="str">
        <f>IF(itens_Remanesc!$A105="","",IF(NOT(posicao_contratual!$Z105),itens_Remanesc!$A105,IF(AND(ISNUMBER($D$5),$O116&gt;0),itens_Remanesc!$A105,"")))</f>
        <v/>
      </c>
      <c r="B116" s="417" t="str">
        <f>IF(A116="","",IF(AND(posicao_contratual!$Z105,COUNTIFS(aditivos!$A$2:$A$200,itens_Remanesc!$A105,aditivos!$B$2:$B$200,"&lt;"&amp;(INT($F$3)+1),aditivos!$L$2:$L$200,"&gt;0")=0),0,IF(ISNUMBER(IF($C$3="C0",posicao_contratual!$F105,IF($C$3="C1",posicao_contratual!$J105,IF($C$3="C2",posicao_contratual!$N105,IF($C$3="C3",posicao_contratual!$R105,IF($C$3="C4",posicao_contratual!$V105,"")))))),ROUND(IF($C$3="C0",posicao_contratual!$F105,IF($C$3="C1",posicao_contratual!$J105,IF($C$3="C2",posicao_contratual!$N105,IF($C$3="C3",posicao_contratual!$R105,IF($C$3="C4",posicao_contratual!$V105,"")))))+ROUND(SUMIFS(aditivos!$L$2:$L$200,aditivos!$A$2:$A$200,A116,aditivos!$C$2:$C$200,$C$3,aditivos!$B$2:$B$200,"&lt;"&amp;(INT($F$3)+1)),2),2),IF(ROUND(SUMIFS(aditivos!$L$2:$L$200,aditivos!$A$2:$A$200,A116,aditivos!$C$2:$C$200,$C$3,aditivos!$B$2:$B$200,"&lt;"&amp;(INT($F$3)+1)),2)&gt;0,ROUND(SUMIFS(aditivos!$L$2:$L$200,aditivos!$A$2:$A$200,A116,aditivos!$C$2:$C$200,$C$3,aditivos!$B$2:$B$200,"&lt;"&amp;(INT($F$3)+1)),2),""))))</f>
        <v/>
      </c>
      <c r="C116" s="418"/>
      <c r="D116" s="417" t="str">
        <f t="shared" si="18"/>
        <v/>
      </c>
      <c r="E116" s="419" t="str">
        <f>IF(A116="","",IF($C$3="C0",historico_VU!$C105,IF($C$3="C1",historico_VU!$D105,IF($C$3="C2",historico_VU!$E105,IF($C$3="C3",historico_VU!$F105,IF($C$3="C4",historico_VU!$G105,""))))))</f>
        <v/>
      </c>
      <c r="F116" s="419" t="str">
        <f t="shared" si="19"/>
        <v/>
      </c>
      <c r="G116" s="419" t="str">
        <f t="shared" si="20"/>
        <v/>
      </c>
      <c r="I116" t="str">
        <f>IF(OR(A116="",$D$5="",$F$3=""),"",ROUND(SUMIFS(aditivos!$L$2:$L$200,aditivos!$A$2:$A$200,A116,aditivos!$B$2:$B$200,"&gt;="&amp;(INT($F$3)+1),aditivos!$B$2:$B$200,"&lt;="&amp;$D$5),2))</f>
        <v/>
      </c>
      <c r="J116" t="str">
        <f t="shared" si="21"/>
        <v/>
      </c>
      <c r="K116" t="str">
        <f t="shared" si="22"/>
        <v/>
      </c>
      <c r="L116" t="str">
        <f>IF(A116="","",IF($C$3="C0",SUMIFS(itens_Consumidos!$E$2:$E$200,itens_Consumidos!$A$2:$A$200,A116),IF($C$3="C1",SUMIFS(itens_Consumidos!$G$2:$G$200,itens_Consumidos!$A$2:$A$200,A116),IF($C$3="C2",SUMIFS(itens_Consumidos!$I$2:$I$200,itens_Consumidos!$A$2:$A$200,A116),IF($C$3="C3",SUMIFS(itens_Consumidos!$K$2:$K$200,itens_Consumidos!$A$2:$A$200,A116),IF($C$3="C4",SUMIFS(itens_Consumidos!$M$2:$M$200,itens_Consumidos!$A$2:$A$200,A116),""))))))</f>
        <v/>
      </c>
      <c r="M116" t="str">
        <f t="shared" si="23"/>
        <v/>
      </c>
      <c r="N116" t="str">
        <f>IF(A116="","",IF($C$3="C0",COUNTIFS(itens_Consumidos!$A$2:$A$200,A116,itens_Consumidos!$E$2:$E$200,"&lt;&gt;"),IF($C$3="C1",COUNTIFS(itens_Consumidos!$A$2:$A$200,A116,itens_Consumidos!$G$2:$G$200,"&lt;&gt;"),IF($C$3="C2",COUNTIFS(itens_Consumidos!$A$2:$A$200,A116,itens_Consumidos!$I$2:$I$200,"&lt;&gt;"),IF($C$3="C3",COUNTIFS(itens_Consumidos!$A$2:$A$200,A116,itens_Consumidos!$K$2:$K$200,"&lt;&gt;"),IF($C$3="C4",COUNTIFS(itens_Consumidos!$A$2:$A$200,A116,itens_Consumidos!$M$2:$M$200,"&lt;&gt;"),""))))))</f>
        <v/>
      </c>
      <c r="O116" t="str">
        <f>IF(itens_Remanesc!$A105="","",COUNTIFS(aditivos!$A$2:$A$200,itens_Remanesc!$A105,aditivos!$B$2:$B$200,"&lt;="&amp;$D$5,aditivos!$L$2:$L$200,"&gt;0"))</f>
        <v/>
      </c>
    </row>
    <row r="117" spans="1:15" ht="20" customHeight="1" x14ac:dyDescent="0.35">
      <c r="A117" s="416" t="str">
        <f>IF(itens_Remanesc!$A106="","",IF(NOT(posicao_contratual!$Z106),itens_Remanesc!$A106,IF(AND(ISNUMBER($D$5),$O117&gt;0),itens_Remanesc!$A106,"")))</f>
        <v/>
      </c>
      <c r="B117" s="417" t="str">
        <f>IF(A117="","",IF(AND(posicao_contratual!$Z106,COUNTIFS(aditivos!$A$2:$A$200,itens_Remanesc!$A106,aditivos!$B$2:$B$200,"&lt;"&amp;(INT($F$3)+1),aditivos!$L$2:$L$200,"&gt;0")=0),0,IF(ISNUMBER(IF($C$3="C0",posicao_contratual!$F106,IF($C$3="C1",posicao_contratual!$J106,IF($C$3="C2",posicao_contratual!$N106,IF($C$3="C3",posicao_contratual!$R106,IF($C$3="C4",posicao_contratual!$V106,"")))))),ROUND(IF($C$3="C0",posicao_contratual!$F106,IF($C$3="C1",posicao_contratual!$J106,IF($C$3="C2",posicao_contratual!$N106,IF($C$3="C3",posicao_contratual!$R106,IF($C$3="C4",posicao_contratual!$V106,"")))))+ROUND(SUMIFS(aditivos!$L$2:$L$200,aditivos!$A$2:$A$200,A117,aditivos!$C$2:$C$200,$C$3,aditivos!$B$2:$B$200,"&lt;"&amp;(INT($F$3)+1)),2),2),IF(ROUND(SUMIFS(aditivos!$L$2:$L$200,aditivos!$A$2:$A$200,A117,aditivos!$C$2:$C$200,$C$3,aditivos!$B$2:$B$200,"&lt;"&amp;(INT($F$3)+1)),2)&gt;0,ROUND(SUMIFS(aditivos!$L$2:$L$200,aditivos!$A$2:$A$200,A117,aditivos!$C$2:$C$200,$C$3,aditivos!$B$2:$B$200,"&lt;"&amp;(INT($F$3)+1)),2),""))))</f>
        <v/>
      </c>
      <c r="C117" s="418"/>
      <c r="D117" s="417" t="str">
        <f t="shared" si="18"/>
        <v/>
      </c>
      <c r="E117" s="419" t="str">
        <f>IF(A117="","",IF($C$3="C0",historico_VU!$C106,IF($C$3="C1",historico_VU!$D106,IF($C$3="C2",historico_VU!$E106,IF($C$3="C3",historico_VU!$F106,IF($C$3="C4",historico_VU!$G106,""))))))</f>
        <v/>
      </c>
      <c r="F117" s="419" t="str">
        <f t="shared" si="19"/>
        <v/>
      </c>
      <c r="G117" s="419" t="str">
        <f t="shared" si="20"/>
        <v/>
      </c>
      <c r="I117" t="str">
        <f>IF(OR(A117="",$D$5="",$F$3=""),"",ROUND(SUMIFS(aditivos!$L$2:$L$200,aditivos!$A$2:$A$200,A117,aditivos!$B$2:$B$200,"&gt;="&amp;(INT($F$3)+1),aditivos!$B$2:$B$200,"&lt;="&amp;$D$5),2))</f>
        <v/>
      </c>
      <c r="J117" t="str">
        <f t="shared" si="21"/>
        <v/>
      </c>
      <c r="K117" t="str">
        <f t="shared" si="22"/>
        <v/>
      </c>
      <c r="L117" t="str">
        <f>IF(A117="","",IF($C$3="C0",SUMIFS(itens_Consumidos!$E$2:$E$200,itens_Consumidos!$A$2:$A$200,A117),IF($C$3="C1",SUMIFS(itens_Consumidos!$G$2:$G$200,itens_Consumidos!$A$2:$A$200,A117),IF($C$3="C2",SUMIFS(itens_Consumidos!$I$2:$I$200,itens_Consumidos!$A$2:$A$200,A117),IF($C$3="C3",SUMIFS(itens_Consumidos!$K$2:$K$200,itens_Consumidos!$A$2:$A$200,A117),IF($C$3="C4",SUMIFS(itens_Consumidos!$M$2:$M$200,itens_Consumidos!$A$2:$A$200,A117),""))))))</f>
        <v/>
      </c>
      <c r="M117" t="str">
        <f t="shared" si="23"/>
        <v/>
      </c>
      <c r="N117" t="str">
        <f>IF(A117="","",IF($C$3="C0",COUNTIFS(itens_Consumidos!$A$2:$A$200,A117,itens_Consumidos!$E$2:$E$200,"&lt;&gt;"),IF($C$3="C1",COUNTIFS(itens_Consumidos!$A$2:$A$200,A117,itens_Consumidos!$G$2:$G$200,"&lt;&gt;"),IF($C$3="C2",COUNTIFS(itens_Consumidos!$A$2:$A$200,A117,itens_Consumidos!$I$2:$I$200,"&lt;&gt;"),IF($C$3="C3",COUNTIFS(itens_Consumidos!$A$2:$A$200,A117,itens_Consumidos!$K$2:$K$200,"&lt;&gt;"),IF($C$3="C4",COUNTIFS(itens_Consumidos!$A$2:$A$200,A117,itens_Consumidos!$M$2:$M$200,"&lt;&gt;"),""))))))</f>
        <v/>
      </c>
      <c r="O117" t="str">
        <f>IF(itens_Remanesc!$A106="","",COUNTIFS(aditivos!$A$2:$A$200,itens_Remanesc!$A106,aditivos!$B$2:$B$200,"&lt;="&amp;$D$5,aditivos!$L$2:$L$200,"&gt;0"))</f>
        <v/>
      </c>
    </row>
    <row r="118" spans="1:15" ht="20" customHeight="1" x14ac:dyDescent="0.35">
      <c r="A118" s="416" t="str">
        <f>IF(itens_Remanesc!$A107="","",IF(NOT(posicao_contratual!$Z107),itens_Remanesc!$A107,IF(AND(ISNUMBER($D$5),$O118&gt;0),itens_Remanesc!$A107,"")))</f>
        <v/>
      </c>
      <c r="B118" s="417" t="str">
        <f>IF(A118="","",IF(AND(posicao_contratual!$Z107,COUNTIFS(aditivos!$A$2:$A$200,itens_Remanesc!$A107,aditivos!$B$2:$B$200,"&lt;"&amp;(INT($F$3)+1),aditivos!$L$2:$L$200,"&gt;0")=0),0,IF(ISNUMBER(IF($C$3="C0",posicao_contratual!$F107,IF($C$3="C1",posicao_contratual!$J107,IF($C$3="C2",posicao_contratual!$N107,IF($C$3="C3",posicao_contratual!$R107,IF($C$3="C4",posicao_contratual!$V107,"")))))),ROUND(IF($C$3="C0",posicao_contratual!$F107,IF($C$3="C1",posicao_contratual!$J107,IF($C$3="C2",posicao_contratual!$N107,IF($C$3="C3",posicao_contratual!$R107,IF($C$3="C4",posicao_contratual!$V107,"")))))+ROUND(SUMIFS(aditivos!$L$2:$L$200,aditivos!$A$2:$A$200,A118,aditivos!$C$2:$C$200,$C$3,aditivos!$B$2:$B$200,"&lt;"&amp;(INT($F$3)+1)),2),2),IF(ROUND(SUMIFS(aditivos!$L$2:$L$200,aditivos!$A$2:$A$200,A118,aditivos!$C$2:$C$200,$C$3,aditivos!$B$2:$B$200,"&lt;"&amp;(INT($F$3)+1)),2)&gt;0,ROUND(SUMIFS(aditivos!$L$2:$L$200,aditivos!$A$2:$A$200,A118,aditivos!$C$2:$C$200,$C$3,aditivos!$B$2:$B$200,"&lt;"&amp;(INT($F$3)+1)),2),""))))</f>
        <v/>
      </c>
      <c r="C118" s="418"/>
      <c r="D118" s="417" t="str">
        <f t="shared" si="18"/>
        <v/>
      </c>
      <c r="E118" s="419" t="str">
        <f>IF(A118="","",IF($C$3="C0",historico_VU!$C107,IF($C$3="C1",historico_VU!$D107,IF($C$3="C2",historico_VU!$E107,IF($C$3="C3",historico_VU!$F107,IF($C$3="C4",historico_VU!$G107,""))))))</f>
        <v/>
      </c>
      <c r="F118" s="419" t="str">
        <f t="shared" si="19"/>
        <v/>
      </c>
      <c r="G118" s="419" t="str">
        <f t="shared" si="20"/>
        <v/>
      </c>
      <c r="I118" t="str">
        <f>IF(OR(A118="",$D$5="",$F$3=""),"",ROUND(SUMIFS(aditivos!$L$2:$L$200,aditivos!$A$2:$A$200,A118,aditivos!$B$2:$B$200,"&gt;="&amp;(INT($F$3)+1),aditivos!$B$2:$B$200,"&lt;="&amp;$D$5),2))</f>
        <v/>
      </c>
      <c r="J118" t="str">
        <f t="shared" si="21"/>
        <v/>
      </c>
      <c r="K118" t="str">
        <f t="shared" si="22"/>
        <v/>
      </c>
      <c r="L118" t="str">
        <f>IF(A118="","",IF($C$3="C0",SUMIFS(itens_Consumidos!$E$2:$E$200,itens_Consumidos!$A$2:$A$200,A118),IF($C$3="C1",SUMIFS(itens_Consumidos!$G$2:$G$200,itens_Consumidos!$A$2:$A$200,A118),IF($C$3="C2",SUMIFS(itens_Consumidos!$I$2:$I$200,itens_Consumidos!$A$2:$A$200,A118),IF($C$3="C3",SUMIFS(itens_Consumidos!$K$2:$K$200,itens_Consumidos!$A$2:$A$200,A118),IF($C$3="C4",SUMIFS(itens_Consumidos!$M$2:$M$200,itens_Consumidos!$A$2:$A$200,A118),""))))))</f>
        <v/>
      </c>
      <c r="M118" t="str">
        <f t="shared" si="23"/>
        <v/>
      </c>
      <c r="N118" t="str">
        <f>IF(A118="","",IF($C$3="C0",COUNTIFS(itens_Consumidos!$A$2:$A$200,A118,itens_Consumidos!$E$2:$E$200,"&lt;&gt;"),IF($C$3="C1",COUNTIFS(itens_Consumidos!$A$2:$A$200,A118,itens_Consumidos!$G$2:$G$200,"&lt;&gt;"),IF($C$3="C2",COUNTIFS(itens_Consumidos!$A$2:$A$200,A118,itens_Consumidos!$I$2:$I$200,"&lt;&gt;"),IF($C$3="C3",COUNTIFS(itens_Consumidos!$A$2:$A$200,A118,itens_Consumidos!$K$2:$K$200,"&lt;&gt;"),IF($C$3="C4",COUNTIFS(itens_Consumidos!$A$2:$A$200,A118,itens_Consumidos!$M$2:$M$200,"&lt;&gt;"),""))))))</f>
        <v/>
      </c>
      <c r="O118" t="str">
        <f>IF(itens_Remanesc!$A107="","",COUNTIFS(aditivos!$A$2:$A$200,itens_Remanesc!$A107,aditivos!$B$2:$B$200,"&lt;="&amp;$D$5,aditivos!$L$2:$L$200,"&gt;0"))</f>
        <v/>
      </c>
    </row>
    <row r="119" spans="1:15" ht="20" customHeight="1" x14ac:dyDescent="0.35">
      <c r="A119" s="416" t="str">
        <f>IF(itens_Remanesc!$A108="","",IF(NOT(posicao_contratual!$Z108),itens_Remanesc!$A108,IF(AND(ISNUMBER($D$5),$O119&gt;0),itens_Remanesc!$A108,"")))</f>
        <v/>
      </c>
      <c r="B119" s="417" t="str">
        <f>IF(A119="","",IF(AND(posicao_contratual!$Z108,COUNTIFS(aditivos!$A$2:$A$200,itens_Remanesc!$A108,aditivos!$B$2:$B$200,"&lt;"&amp;(INT($F$3)+1),aditivos!$L$2:$L$200,"&gt;0")=0),0,IF(ISNUMBER(IF($C$3="C0",posicao_contratual!$F108,IF($C$3="C1",posicao_contratual!$J108,IF($C$3="C2",posicao_contratual!$N108,IF($C$3="C3",posicao_contratual!$R108,IF($C$3="C4",posicao_contratual!$V108,"")))))),ROUND(IF($C$3="C0",posicao_contratual!$F108,IF($C$3="C1",posicao_contratual!$J108,IF($C$3="C2",posicao_contratual!$N108,IF($C$3="C3",posicao_contratual!$R108,IF($C$3="C4",posicao_contratual!$V108,"")))))+ROUND(SUMIFS(aditivos!$L$2:$L$200,aditivos!$A$2:$A$200,A119,aditivos!$C$2:$C$200,$C$3,aditivos!$B$2:$B$200,"&lt;"&amp;(INT($F$3)+1)),2),2),IF(ROUND(SUMIFS(aditivos!$L$2:$L$200,aditivos!$A$2:$A$200,A119,aditivos!$C$2:$C$200,$C$3,aditivos!$B$2:$B$200,"&lt;"&amp;(INT($F$3)+1)),2)&gt;0,ROUND(SUMIFS(aditivos!$L$2:$L$200,aditivos!$A$2:$A$200,A119,aditivos!$C$2:$C$200,$C$3,aditivos!$B$2:$B$200,"&lt;"&amp;(INT($F$3)+1)),2),""))))</f>
        <v/>
      </c>
      <c r="C119" s="418"/>
      <c r="D119" s="417" t="str">
        <f t="shared" si="18"/>
        <v/>
      </c>
      <c r="E119" s="419" t="str">
        <f>IF(A119="","",IF($C$3="C0",historico_VU!$C108,IF($C$3="C1",historico_VU!$D108,IF($C$3="C2",historico_VU!$E108,IF($C$3="C3",historico_VU!$F108,IF($C$3="C4",historico_VU!$G108,""))))))</f>
        <v/>
      </c>
      <c r="F119" s="419" t="str">
        <f t="shared" si="19"/>
        <v/>
      </c>
      <c r="G119" s="419" t="str">
        <f t="shared" si="20"/>
        <v/>
      </c>
      <c r="I119" t="str">
        <f>IF(OR(A119="",$D$5="",$F$3=""),"",ROUND(SUMIFS(aditivos!$L$2:$L$200,aditivos!$A$2:$A$200,A119,aditivos!$B$2:$B$200,"&gt;="&amp;(INT($F$3)+1),aditivos!$B$2:$B$200,"&lt;="&amp;$D$5),2))</f>
        <v/>
      </c>
      <c r="J119" t="str">
        <f t="shared" si="21"/>
        <v/>
      </c>
      <c r="K119" t="str">
        <f t="shared" si="22"/>
        <v/>
      </c>
      <c r="L119" t="str">
        <f>IF(A119="","",IF($C$3="C0",SUMIFS(itens_Consumidos!$E$2:$E$200,itens_Consumidos!$A$2:$A$200,A119),IF($C$3="C1",SUMIFS(itens_Consumidos!$G$2:$G$200,itens_Consumidos!$A$2:$A$200,A119),IF($C$3="C2",SUMIFS(itens_Consumidos!$I$2:$I$200,itens_Consumidos!$A$2:$A$200,A119),IF($C$3="C3",SUMIFS(itens_Consumidos!$K$2:$K$200,itens_Consumidos!$A$2:$A$200,A119),IF($C$3="C4",SUMIFS(itens_Consumidos!$M$2:$M$200,itens_Consumidos!$A$2:$A$200,A119),""))))))</f>
        <v/>
      </c>
      <c r="M119" t="str">
        <f t="shared" si="23"/>
        <v/>
      </c>
      <c r="N119" t="str">
        <f>IF(A119="","",IF($C$3="C0",COUNTIFS(itens_Consumidos!$A$2:$A$200,A119,itens_Consumidos!$E$2:$E$200,"&lt;&gt;"),IF($C$3="C1",COUNTIFS(itens_Consumidos!$A$2:$A$200,A119,itens_Consumidos!$G$2:$G$200,"&lt;&gt;"),IF($C$3="C2",COUNTIFS(itens_Consumidos!$A$2:$A$200,A119,itens_Consumidos!$I$2:$I$200,"&lt;&gt;"),IF($C$3="C3",COUNTIFS(itens_Consumidos!$A$2:$A$200,A119,itens_Consumidos!$K$2:$K$200,"&lt;&gt;"),IF($C$3="C4",COUNTIFS(itens_Consumidos!$A$2:$A$200,A119,itens_Consumidos!$M$2:$M$200,"&lt;&gt;"),""))))))</f>
        <v/>
      </c>
      <c r="O119" t="str">
        <f>IF(itens_Remanesc!$A108="","",COUNTIFS(aditivos!$A$2:$A$200,itens_Remanesc!$A108,aditivos!$B$2:$B$200,"&lt;="&amp;$D$5,aditivos!$L$2:$L$200,"&gt;0"))</f>
        <v/>
      </c>
    </row>
    <row r="120" spans="1:15" ht="20" customHeight="1" x14ac:dyDescent="0.35">
      <c r="A120" s="416" t="str">
        <f>IF(itens_Remanesc!$A109="","",IF(NOT(posicao_contratual!$Z109),itens_Remanesc!$A109,IF(AND(ISNUMBER($D$5),$O120&gt;0),itens_Remanesc!$A109,"")))</f>
        <v/>
      </c>
      <c r="B120" s="417" t="str">
        <f>IF(A120="","",IF(AND(posicao_contratual!$Z109,COUNTIFS(aditivos!$A$2:$A$200,itens_Remanesc!$A109,aditivos!$B$2:$B$200,"&lt;"&amp;(INT($F$3)+1),aditivos!$L$2:$L$200,"&gt;0")=0),0,IF(ISNUMBER(IF($C$3="C0",posicao_contratual!$F109,IF($C$3="C1",posicao_contratual!$J109,IF($C$3="C2",posicao_contratual!$N109,IF($C$3="C3",posicao_contratual!$R109,IF($C$3="C4",posicao_contratual!$V109,"")))))),ROUND(IF($C$3="C0",posicao_contratual!$F109,IF($C$3="C1",posicao_contratual!$J109,IF($C$3="C2",posicao_contratual!$N109,IF($C$3="C3",posicao_contratual!$R109,IF($C$3="C4",posicao_contratual!$V109,"")))))+ROUND(SUMIFS(aditivos!$L$2:$L$200,aditivos!$A$2:$A$200,A120,aditivos!$C$2:$C$200,$C$3,aditivos!$B$2:$B$200,"&lt;"&amp;(INT($F$3)+1)),2),2),IF(ROUND(SUMIFS(aditivos!$L$2:$L$200,aditivos!$A$2:$A$200,A120,aditivos!$C$2:$C$200,$C$3,aditivos!$B$2:$B$200,"&lt;"&amp;(INT($F$3)+1)),2)&gt;0,ROUND(SUMIFS(aditivos!$L$2:$L$200,aditivos!$A$2:$A$200,A120,aditivos!$C$2:$C$200,$C$3,aditivos!$B$2:$B$200,"&lt;"&amp;(INT($F$3)+1)),2),""))))</f>
        <v/>
      </c>
      <c r="C120" s="418"/>
      <c r="D120" s="417" t="str">
        <f t="shared" si="18"/>
        <v/>
      </c>
      <c r="E120" s="419" t="str">
        <f>IF(A120="","",IF($C$3="C0",historico_VU!$C109,IF($C$3="C1",historico_VU!$D109,IF($C$3="C2",historico_VU!$E109,IF($C$3="C3",historico_VU!$F109,IF($C$3="C4",historico_VU!$G109,""))))))</f>
        <v/>
      </c>
      <c r="F120" s="419" t="str">
        <f t="shared" si="19"/>
        <v/>
      </c>
      <c r="G120" s="419" t="str">
        <f t="shared" si="20"/>
        <v/>
      </c>
      <c r="I120" t="str">
        <f>IF(OR(A120="",$D$5="",$F$3=""),"",ROUND(SUMIFS(aditivos!$L$2:$L$200,aditivos!$A$2:$A$200,A120,aditivos!$B$2:$B$200,"&gt;="&amp;(INT($F$3)+1),aditivos!$B$2:$B$200,"&lt;="&amp;$D$5),2))</f>
        <v/>
      </c>
      <c r="J120" t="str">
        <f t="shared" si="21"/>
        <v/>
      </c>
      <c r="K120" t="str">
        <f t="shared" si="22"/>
        <v/>
      </c>
      <c r="L120" t="str">
        <f>IF(A120="","",IF($C$3="C0",SUMIFS(itens_Consumidos!$E$2:$E$200,itens_Consumidos!$A$2:$A$200,A120),IF($C$3="C1",SUMIFS(itens_Consumidos!$G$2:$G$200,itens_Consumidos!$A$2:$A$200,A120),IF($C$3="C2",SUMIFS(itens_Consumidos!$I$2:$I$200,itens_Consumidos!$A$2:$A$200,A120),IF($C$3="C3",SUMIFS(itens_Consumidos!$K$2:$K$200,itens_Consumidos!$A$2:$A$200,A120),IF($C$3="C4",SUMIFS(itens_Consumidos!$M$2:$M$200,itens_Consumidos!$A$2:$A$200,A120),""))))))</f>
        <v/>
      </c>
      <c r="M120" t="str">
        <f t="shared" si="23"/>
        <v/>
      </c>
      <c r="N120" t="str">
        <f>IF(A120="","",IF($C$3="C0",COUNTIFS(itens_Consumidos!$A$2:$A$200,A120,itens_Consumidos!$E$2:$E$200,"&lt;&gt;"),IF($C$3="C1",COUNTIFS(itens_Consumidos!$A$2:$A$200,A120,itens_Consumidos!$G$2:$G$200,"&lt;&gt;"),IF($C$3="C2",COUNTIFS(itens_Consumidos!$A$2:$A$200,A120,itens_Consumidos!$I$2:$I$200,"&lt;&gt;"),IF($C$3="C3",COUNTIFS(itens_Consumidos!$A$2:$A$200,A120,itens_Consumidos!$K$2:$K$200,"&lt;&gt;"),IF($C$3="C4",COUNTIFS(itens_Consumidos!$A$2:$A$200,A120,itens_Consumidos!$M$2:$M$200,"&lt;&gt;"),""))))))</f>
        <v/>
      </c>
      <c r="O120" t="str">
        <f>IF(itens_Remanesc!$A109="","",COUNTIFS(aditivos!$A$2:$A$200,itens_Remanesc!$A109,aditivos!$B$2:$B$200,"&lt;="&amp;$D$5,aditivos!$L$2:$L$200,"&gt;0"))</f>
        <v/>
      </c>
    </row>
    <row r="121" spans="1:15" ht="20" customHeight="1" x14ac:dyDescent="0.35">
      <c r="A121" s="416" t="str">
        <f>IF(itens_Remanesc!$A110="","",IF(NOT(posicao_contratual!$Z110),itens_Remanesc!$A110,IF(AND(ISNUMBER($D$5),$O121&gt;0),itens_Remanesc!$A110,"")))</f>
        <v/>
      </c>
      <c r="B121" s="417" t="str">
        <f>IF(A121="","",IF(AND(posicao_contratual!$Z110,COUNTIFS(aditivos!$A$2:$A$200,itens_Remanesc!$A110,aditivos!$B$2:$B$200,"&lt;"&amp;(INT($F$3)+1),aditivos!$L$2:$L$200,"&gt;0")=0),0,IF(ISNUMBER(IF($C$3="C0",posicao_contratual!$F110,IF($C$3="C1",posicao_contratual!$J110,IF($C$3="C2",posicao_contratual!$N110,IF($C$3="C3",posicao_contratual!$R110,IF($C$3="C4",posicao_contratual!$V110,"")))))),ROUND(IF($C$3="C0",posicao_contratual!$F110,IF($C$3="C1",posicao_contratual!$J110,IF($C$3="C2",posicao_contratual!$N110,IF($C$3="C3",posicao_contratual!$R110,IF($C$3="C4",posicao_contratual!$V110,"")))))+ROUND(SUMIFS(aditivos!$L$2:$L$200,aditivos!$A$2:$A$200,A121,aditivos!$C$2:$C$200,$C$3,aditivos!$B$2:$B$200,"&lt;"&amp;(INT($F$3)+1)),2),2),IF(ROUND(SUMIFS(aditivos!$L$2:$L$200,aditivos!$A$2:$A$200,A121,aditivos!$C$2:$C$200,$C$3,aditivos!$B$2:$B$200,"&lt;"&amp;(INT($F$3)+1)),2)&gt;0,ROUND(SUMIFS(aditivos!$L$2:$L$200,aditivos!$A$2:$A$200,A121,aditivos!$C$2:$C$200,$C$3,aditivos!$B$2:$B$200,"&lt;"&amp;(INT($F$3)+1)),2),""))))</f>
        <v/>
      </c>
      <c r="C121" s="418"/>
      <c r="D121" s="417" t="str">
        <f t="shared" si="18"/>
        <v/>
      </c>
      <c r="E121" s="419" t="str">
        <f>IF(A121="","",IF($C$3="C0",historico_VU!$C110,IF($C$3="C1",historico_VU!$D110,IF($C$3="C2",historico_VU!$E110,IF($C$3="C3",historico_VU!$F110,IF($C$3="C4",historico_VU!$G110,""))))))</f>
        <v/>
      </c>
      <c r="F121" s="419" t="str">
        <f t="shared" si="19"/>
        <v/>
      </c>
      <c r="G121" s="419" t="str">
        <f t="shared" si="20"/>
        <v/>
      </c>
      <c r="I121" t="str">
        <f>IF(OR(A121="",$D$5="",$F$3=""),"",ROUND(SUMIFS(aditivos!$L$2:$L$200,aditivos!$A$2:$A$200,A121,aditivos!$B$2:$B$200,"&gt;="&amp;(INT($F$3)+1),aditivos!$B$2:$B$200,"&lt;="&amp;$D$5),2))</f>
        <v/>
      </c>
      <c r="J121" t="str">
        <f t="shared" si="21"/>
        <v/>
      </c>
      <c r="K121" t="str">
        <f t="shared" si="22"/>
        <v/>
      </c>
      <c r="L121" t="str">
        <f>IF(A121="","",IF($C$3="C0",SUMIFS(itens_Consumidos!$E$2:$E$200,itens_Consumidos!$A$2:$A$200,A121),IF($C$3="C1",SUMIFS(itens_Consumidos!$G$2:$G$200,itens_Consumidos!$A$2:$A$200,A121),IF($C$3="C2",SUMIFS(itens_Consumidos!$I$2:$I$200,itens_Consumidos!$A$2:$A$200,A121),IF($C$3="C3",SUMIFS(itens_Consumidos!$K$2:$K$200,itens_Consumidos!$A$2:$A$200,A121),IF($C$3="C4",SUMIFS(itens_Consumidos!$M$2:$M$200,itens_Consumidos!$A$2:$A$200,A121),""))))))</f>
        <v/>
      </c>
      <c r="M121" t="str">
        <f t="shared" si="23"/>
        <v/>
      </c>
      <c r="N121" t="str">
        <f>IF(A121="","",IF($C$3="C0",COUNTIFS(itens_Consumidos!$A$2:$A$200,A121,itens_Consumidos!$E$2:$E$200,"&lt;&gt;"),IF($C$3="C1",COUNTIFS(itens_Consumidos!$A$2:$A$200,A121,itens_Consumidos!$G$2:$G$200,"&lt;&gt;"),IF($C$3="C2",COUNTIFS(itens_Consumidos!$A$2:$A$200,A121,itens_Consumidos!$I$2:$I$200,"&lt;&gt;"),IF($C$3="C3",COUNTIFS(itens_Consumidos!$A$2:$A$200,A121,itens_Consumidos!$K$2:$K$200,"&lt;&gt;"),IF($C$3="C4",COUNTIFS(itens_Consumidos!$A$2:$A$200,A121,itens_Consumidos!$M$2:$M$200,"&lt;&gt;"),""))))))</f>
        <v/>
      </c>
      <c r="O121" t="str">
        <f>IF(itens_Remanesc!$A110="","",COUNTIFS(aditivos!$A$2:$A$200,itens_Remanesc!$A110,aditivos!$B$2:$B$200,"&lt;="&amp;$D$5,aditivos!$L$2:$L$200,"&gt;0"))</f>
        <v/>
      </c>
    </row>
    <row r="122" spans="1:15" ht="20" customHeight="1" x14ac:dyDescent="0.35">
      <c r="A122" s="416" t="str">
        <f>IF(itens_Remanesc!$A111="","",IF(NOT(posicao_contratual!$Z111),itens_Remanesc!$A111,IF(AND(ISNUMBER($D$5),$O122&gt;0),itens_Remanesc!$A111,"")))</f>
        <v/>
      </c>
      <c r="B122" s="417" t="str">
        <f>IF(A122="","",IF(AND(posicao_contratual!$Z111,COUNTIFS(aditivos!$A$2:$A$200,itens_Remanesc!$A111,aditivos!$B$2:$B$200,"&lt;"&amp;(INT($F$3)+1),aditivos!$L$2:$L$200,"&gt;0")=0),0,IF(ISNUMBER(IF($C$3="C0",posicao_contratual!$F111,IF($C$3="C1",posicao_contratual!$J111,IF($C$3="C2",posicao_contratual!$N111,IF($C$3="C3",posicao_contratual!$R111,IF($C$3="C4",posicao_contratual!$V111,"")))))),ROUND(IF($C$3="C0",posicao_contratual!$F111,IF($C$3="C1",posicao_contratual!$J111,IF($C$3="C2",posicao_contratual!$N111,IF($C$3="C3",posicao_contratual!$R111,IF($C$3="C4",posicao_contratual!$V111,"")))))+ROUND(SUMIFS(aditivos!$L$2:$L$200,aditivos!$A$2:$A$200,A122,aditivos!$C$2:$C$200,$C$3,aditivos!$B$2:$B$200,"&lt;"&amp;(INT($F$3)+1)),2),2),IF(ROUND(SUMIFS(aditivos!$L$2:$L$200,aditivos!$A$2:$A$200,A122,aditivos!$C$2:$C$200,$C$3,aditivos!$B$2:$B$200,"&lt;"&amp;(INT($F$3)+1)),2)&gt;0,ROUND(SUMIFS(aditivos!$L$2:$L$200,aditivos!$A$2:$A$200,A122,aditivos!$C$2:$C$200,$C$3,aditivos!$B$2:$B$200,"&lt;"&amp;(INT($F$3)+1)),2),""))))</f>
        <v/>
      </c>
      <c r="C122" s="418"/>
      <c r="D122" s="417" t="str">
        <f t="shared" si="18"/>
        <v/>
      </c>
      <c r="E122" s="419" t="str">
        <f>IF(A122="","",IF($C$3="C0",historico_VU!$C111,IF($C$3="C1",historico_VU!$D111,IF($C$3="C2",historico_VU!$E111,IF($C$3="C3",historico_VU!$F111,IF($C$3="C4",historico_VU!$G111,""))))))</f>
        <v/>
      </c>
      <c r="F122" s="419" t="str">
        <f t="shared" si="19"/>
        <v/>
      </c>
      <c r="G122" s="419" t="str">
        <f t="shared" si="20"/>
        <v/>
      </c>
      <c r="I122" t="str">
        <f>IF(OR(A122="",$D$5="",$F$3=""),"",ROUND(SUMIFS(aditivos!$L$2:$L$200,aditivos!$A$2:$A$200,A122,aditivos!$B$2:$B$200,"&gt;="&amp;(INT($F$3)+1),aditivos!$B$2:$B$200,"&lt;="&amp;$D$5),2))</f>
        <v/>
      </c>
      <c r="J122" t="str">
        <f t="shared" si="21"/>
        <v/>
      </c>
      <c r="K122" t="str">
        <f t="shared" si="22"/>
        <v/>
      </c>
      <c r="L122" t="str">
        <f>IF(A122="","",IF($C$3="C0",SUMIFS(itens_Consumidos!$E$2:$E$200,itens_Consumidos!$A$2:$A$200,A122),IF($C$3="C1",SUMIFS(itens_Consumidos!$G$2:$G$200,itens_Consumidos!$A$2:$A$200,A122),IF($C$3="C2",SUMIFS(itens_Consumidos!$I$2:$I$200,itens_Consumidos!$A$2:$A$200,A122),IF($C$3="C3",SUMIFS(itens_Consumidos!$K$2:$K$200,itens_Consumidos!$A$2:$A$200,A122),IF($C$3="C4",SUMIFS(itens_Consumidos!$M$2:$M$200,itens_Consumidos!$A$2:$A$200,A122),""))))))</f>
        <v/>
      </c>
      <c r="M122" t="str">
        <f t="shared" si="23"/>
        <v/>
      </c>
      <c r="N122" t="str">
        <f>IF(A122="","",IF($C$3="C0",COUNTIFS(itens_Consumidos!$A$2:$A$200,A122,itens_Consumidos!$E$2:$E$200,"&lt;&gt;"),IF($C$3="C1",COUNTIFS(itens_Consumidos!$A$2:$A$200,A122,itens_Consumidos!$G$2:$G$200,"&lt;&gt;"),IF($C$3="C2",COUNTIFS(itens_Consumidos!$A$2:$A$200,A122,itens_Consumidos!$I$2:$I$200,"&lt;&gt;"),IF($C$3="C3",COUNTIFS(itens_Consumidos!$A$2:$A$200,A122,itens_Consumidos!$K$2:$K$200,"&lt;&gt;"),IF($C$3="C4",COUNTIFS(itens_Consumidos!$A$2:$A$200,A122,itens_Consumidos!$M$2:$M$200,"&lt;&gt;"),""))))))</f>
        <v/>
      </c>
      <c r="O122" t="str">
        <f>IF(itens_Remanesc!$A111="","",COUNTIFS(aditivos!$A$2:$A$200,itens_Remanesc!$A111,aditivos!$B$2:$B$200,"&lt;="&amp;$D$5,aditivos!$L$2:$L$200,"&gt;0"))</f>
        <v/>
      </c>
    </row>
    <row r="123" spans="1:15" ht="20" customHeight="1" x14ac:dyDescent="0.35">
      <c r="A123" s="416" t="str">
        <f>IF(itens_Remanesc!$A112="","",IF(NOT(posicao_contratual!$Z112),itens_Remanesc!$A112,IF(AND(ISNUMBER($D$5),$O123&gt;0),itens_Remanesc!$A112,"")))</f>
        <v/>
      </c>
      <c r="B123" s="417" t="str">
        <f>IF(A123="","",IF(AND(posicao_contratual!$Z112,COUNTIFS(aditivos!$A$2:$A$200,itens_Remanesc!$A112,aditivos!$B$2:$B$200,"&lt;"&amp;(INT($F$3)+1),aditivos!$L$2:$L$200,"&gt;0")=0),0,IF(ISNUMBER(IF($C$3="C0",posicao_contratual!$F112,IF($C$3="C1",posicao_contratual!$J112,IF($C$3="C2",posicao_contratual!$N112,IF($C$3="C3",posicao_contratual!$R112,IF($C$3="C4",posicao_contratual!$V112,"")))))),ROUND(IF($C$3="C0",posicao_contratual!$F112,IF($C$3="C1",posicao_contratual!$J112,IF($C$3="C2",posicao_contratual!$N112,IF($C$3="C3",posicao_contratual!$R112,IF($C$3="C4",posicao_contratual!$V112,"")))))+ROUND(SUMIFS(aditivos!$L$2:$L$200,aditivos!$A$2:$A$200,A123,aditivos!$C$2:$C$200,$C$3,aditivos!$B$2:$B$200,"&lt;"&amp;(INT($F$3)+1)),2),2),IF(ROUND(SUMIFS(aditivos!$L$2:$L$200,aditivos!$A$2:$A$200,A123,aditivos!$C$2:$C$200,$C$3,aditivos!$B$2:$B$200,"&lt;"&amp;(INT($F$3)+1)),2)&gt;0,ROUND(SUMIFS(aditivos!$L$2:$L$200,aditivos!$A$2:$A$200,A123,aditivos!$C$2:$C$200,$C$3,aditivos!$B$2:$B$200,"&lt;"&amp;(INT($F$3)+1)),2),""))))</f>
        <v/>
      </c>
      <c r="C123" s="418"/>
      <c r="D123" s="417" t="str">
        <f t="shared" si="18"/>
        <v/>
      </c>
      <c r="E123" s="419" t="str">
        <f>IF(A123="","",IF($C$3="C0",historico_VU!$C112,IF($C$3="C1",historico_VU!$D112,IF($C$3="C2",historico_VU!$E112,IF($C$3="C3",historico_VU!$F112,IF($C$3="C4",historico_VU!$G112,""))))))</f>
        <v/>
      </c>
      <c r="F123" s="419" t="str">
        <f t="shared" si="19"/>
        <v/>
      </c>
      <c r="G123" s="419" t="str">
        <f t="shared" si="20"/>
        <v/>
      </c>
      <c r="I123" t="str">
        <f>IF(OR(A123="",$D$5="",$F$3=""),"",ROUND(SUMIFS(aditivos!$L$2:$L$200,aditivos!$A$2:$A$200,A123,aditivos!$B$2:$B$200,"&gt;="&amp;(INT($F$3)+1),aditivos!$B$2:$B$200,"&lt;="&amp;$D$5),2))</f>
        <v/>
      </c>
      <c r="J123" t="str">
        <f t="shared" si="21"/>
        <v/>
      </c>
      <c r="K123" t="str">
        <f t="shared" si="22"/>
        <v/>
      </c>
      <c r="L123" t="str">
        <f>IF(A123="","",IF($C$3="C0",SUMIFS(itens_Consumidos!$E$2:$E$200,itens_Consumidos!$A$2:$A$200,A123),IF($C$3="C1",SUMIFS(itens_Consumidos!$G$2:$G$200,itens_Consumidos!$A$2:$A$200,A123),IF($C$3="C2",SUMIFS(itens_Consumidos!$I$2:$I$200,itens_Consumidos!$A$2:$A$200,A123),IF($C$3="C3",SUMIFS(itens_Consumidos!$K$2:$K$200,itens_Consumidos!$A$2:$A$200,A123),IF($C$3="C4",SUMIFS(itens_Consumidos!$M$2:$M$200,itens_Consumidos!$A$2:$A$200,A123),""))))))</f>
        <v/>
      </c>
      <c r="M123" t="str">
        <f t="shared" si="23"/>
        <v/>
      </c>
      <c r="N123" t="str">
        <f>IF(A123="","",IF($C$3="C0",COUNTIFS(itens_Consumidos!$A$2:$A$200,A123,itens_Consumidos!$E$2:$E$200,"&lt;&gt;"),IF($C$3="C1",COUNTIFS(itens_Consumidos!$A$2:$A$200,A123,itens_Consumidos!$G$2:$G$200,"&lt;&gt;"),IF($C$3="C2",COUNTIFS(itens_Consumidos!$A$2:$A$200,A123,itens_Consumidos!$I$2:$I$200,"&lt;&gt;"),IF($C$3="C3",COUNTIFS(itens_Consumidos!$A$2:$A$200,A123,itens_Consumidos!$K$2:$K$200,"&lt;&gt;"),IF($C$3="C4",COUNTIFS(itens_Consumidos!$A$2:$A$200,A123,itens_Consumidos!$M$2:$M$200,"&lt;&gt;"),""))))))</f>
        <v/>
      </c>
      <c r="O123" t="str">
        <f>IF(itens_Remanesc!$A112="","",COUNTIFS(aditivos!$A$2:$A$200,itens_Remanesc!$A112,aditivos!$B$2:$B$200,"&lt;="&amp;$D$5,aditivos!$L$2:$L$200,"&gt;0"))</f>
        <v/>
      </c>
    </row>
    <row r="124" spans="1:15" ht="20" customHeight="1" x14ac:dyDescent="0.35">
      <c r="A124" s="416" t="str">
        <f>IF(itens_Remanesc!$A113="","",IF(NOT(posicao_contratual!$Z113),itens_Remanesc!$A113,IF(AND(ISNUMBER($D$5),$O124&gt;0),itens_Remanesc!$A113,"")))</f>
        <v/>
      </c>
      <c r="B124" s="417" t="str">
        <f>IF(A124="","",IF(AND(posicao_contratual!$Z113,COUNTIFS(aditivos!$A$2:$A$200,itens_Remanesc!$A113,aditivos!$B$2:$B$200,"&lt;"&amp;(INT($F$3)+1),aditivos!$L$2:$L$200,"&gt;0")=0),0,IF(ISNUMBER(IF($C$3="C0",posicao_contratual!$F113,IF($C$3="C1",posicao_contratual!$J113,IF($C$3="C2",posicao_contratual!$N113,IF($C$3="C3",posicao_contratual!$R113,IF($C$3="C4",posicao_contratual!$V113,"")))))),ROUND(IF($C$3="C0",posicao_contratual!$F113,IF($C$3="C1",posicao_contratual!$J113,IF($C$3="C2",posicao_contratual!$N113,IF($C$3="C3",posicao_contratual!$R113,IF($C$3="C4",posicao_contratual!$V113,"")))))+ROUND(SUMIFS(aditivos!$L$2:$L$200,aditivos!$A$2:$A$200,A124,aditivos!$C$2:$C$200,$C$3,aditivos!$B$2:$B$200,"&lt;"&amp;(INT($F$3)+1)),2),2),IF(ROUND(SUMIFS(aditivos!$L$2:$L$200,aditivos!$A$2:$A$200,A124,aditivos!$C$2:$C$200,$C$3,aditivos!$B$2:$B$200,"&lt;"&amp;(INT($F$3)+1)),2)&gt;0,ROUND(SUMIFS(aditivos!$L$2:$L$200,aditivos!$A$2:$A$200,A124,aditivos!$C$2:$C$200,$C$3,aditivos!$B$2:$B$200,"&lt;"&amp;(INT($F$3)+1)),2),""))))</f>
        <v/>
      </c>
      <c r="C124" s="418"/>
      <c r="D124" s="417" t="str">
        <f t="shared" si="18"/>
        <v/>
      </c>
      <c r="E124" s="419" t="str">
        <f>IF(A124="","",IF($C$3="C0",historico_VU!$C113,IF($C$3="C1",historico_VU!$D113,IF($C$3="C2",historico_VU!$E113,IF($C$3="C3",historico_VU!$F113,IF($C$3="C4",historico_VU!$G113,""))))))</f>
        <v/>
      </c>
      <c r="F124" s="419" t="str">
        <f t="shared" si="19"/>
        <v/>
      </c>
      <c r="G124" s="419" t="str">
        <f t="shared" si="20"/>
        <v/>
      </c>
      <c r="I124" t="str">
        <f>IF(OR(A124="",$D$5="",$F$3=""),"",ROUND(SUMIFS(aditivos!$L$2:$L$200,aditivos!$A$2:$A$200,A124,aditivos!$B$2:$B$200,"&gt;="&amp;(INT($F$3)+1),aditivos!$B$2:$B$200,"&lt;="&amp;$D$5),2))</f>
        <v/>
      </c>
      <c r="J124" t="str">
        <f t="shared" si="21"/>
        <v/>
      </c>
      <c r="K124" t="str">
        <f t="shared" si="22"/>
        <v/>
      </c>
      <c r="L124" t="str">
        <f>IF(A124="","",IF($C$3="C0",SUMIFS(itens_Consumidos!$E$2:$E$200,itens_Consumidos!$A$2:$A$200,A124),IF($C$3="C1",SUMIFS(itens_Consumidos!$G$2:$G$200,itens_Consumidos!$A$2:$A$200,A124),IF($C$3="C2",SUMIFS(itens_Consumidos!$I$2:$I$200,itens_Consumidos!$A$2:$A$200,A124),IF($C$3="C3",SUMIFS(itens_Consumidos!$K$2:$K$200,itens_Consumidos!$A$2:$A$200,A124),IF($C$3="C4",SUMIFS(itens_Consumidos!$M$2:$M$200,itens_Consumidos!$A$2:$A$200,A124),""))))))</f>
        <v/>
      </c>
      <c r="M124" t="str">
        <f t="shared" si="23"/>
        <v/>
      </c>
      <c r="N124" t="str">
        <f>IF(A124="","",IF($C$3="C0",COUNTIFS(itens_Consumidos!$A$2:$A$200,A124,itens_Consumidos!$E$2:$E$200,"&lt;&gt;"),IF($C$3="C1",COUNTIFS(itens_Consumidos!$A$2:$A$200,A124,itens_Consumidos!$G$2:$G$200,"&lt;&gt;"),IF($C$3="C2",COUNTIFS(itens_Consumidos!$A$2:$A$200,A124,itens_Consumidos!$I$2:$I$200,"&lt;&gt;"),IF($C$3="C3",COUNTIFS(itens_Consumidos!$A$2:$A$200,A124,itens_Consumidos!$K$2:$K$200,"&lt;&gt;"),IF($C$3="C4",COUNTIFS(itens_Consumidos!$A$2:$A$200,A124,itens_Consumidos!$M$2:$M$200,"&lt;&gt;"),""))))))</f>
        <v/>
      </c>
      <c r="O124" t="str">
        <f>IF(itens_Remanesc!$A113="","",COUNTIFS(aditivos!$A$2:$A$200,itens_Remanesc!$A113,aditivos!$B$2:$B$200,"&lt;="&amp;$D$5,aditivos!$L$2:$L$200,"&gt;0"))</f>
        <v/>
      </c>
    </row>
    <row r="125" spans="1:15" ht="20" customHeight="1" x14ac:dyDescent="0.35">
      <c r="A125" s="416" t="str">
        <f>IF(itens_Remanesc!$A114="","",IF(NOT(posicao_contratual!$Z114),itens_Remanesc!$A114,IF(AND(ISNUMBER($D$5),$O125&gt;0),itens_Remanesc!$A114,"")))</f>
        <v/>
      </c>
      <c r="B125" s="417" t="str">
        <f>IF(A125="","",IF(AND(posicao_contratual!$Z114,COUNTIFS(aditivos!$A$2:$A$200,itens_Remanesc!$A114,aditivos!$B$2:$B$200,"&lt;"&amp;(INT($F$3)+1),aditivos!$L$2:$L$200,"&gt;0")=0),0,IF(ISNUMBER(IF($C$3="C0",posicao_contratual!$F114,IF($C$3="C1",posicao_contratual!$J114,IF($C$3="C2",posicao_contratual!$N114,IF($C$3="C3",posicao_contratual!$R114,IF($C$3="C4",posicao_contratual!$V114,"")))))),ROUND(IF($C$3="C0",posicao_contratual!$F114,IF($C$3="C1",posicao_contratual!$J114,IF($C$3="C2",posicao_contratual!$N114,IF($C$3="C3",posicao_contratual!$R114,IF($C$3="C4",posicao_contratual!$V114,"")))))+ROUND(SUMIFS(aditivos!$L$2:$L$200,aditivos!$A$2:$A$200,A125,aditivos!$C$2:$C$200,$C$3,aditivos!$B$2:$B$200,"&lt;"&amp;(INT($F$3)+1)),2),2),IF(ROUND(SUMIFS(aditivos!$L$2:$L$200,aditivos!$A$2:$A$200,A125,aditivos!$C$2:$C$200,$C$3,aditivos!$B$2:$B$200,"&lt;"&amp;(INT($F$3)+1)),2)&gt;0,ROUND(SUMIFS(aditivos!$L$2:$L$200,aditivos!$A$2:$A$200,A125,aditivos!$C$2:$C$200,$C$3,aditivos!$B$2:$B$200,"&lt;"&amp;(INT($F$3)+1)),2),""))))</f>
        <v/>
      </c>
      <c r="C125" s="418"/>
      <c r="D125" s="417" t="str">
        <f t="shared" si="18"/>
        <v/>
      </c>
      <c r="E125" s="419" t="str">
        <f>IF(A125="","",IF($C$3="C0",historico_VU!$C114,IF($C$3="C1",historico_VU!$D114,IF($C$3="C2",historico_VU!$E114,IF($C$3="C3",historico_VU!$F114,IF($C$3="C4",historico_VU!$G114,""))))))</f>
        <v/>
      </c>
      <c r="F125" s="419" t="str">
        <f t="shared" si="19"/>
        <v/>
      </c>
      <c r="G125" s="419" t="str">
        <f t="shared" si="20"/>
        <v/>
      </c>
      <c r="I125" t="str">
        <f>IF(OR(A125="",$D$5="",$F$3=""),"",ROUND(SUMIFS(aditivos!$L$2:$L$200,aditivos!$A$2:$A$200,A125,aditivos!$B$2:$B$200,"&gt;="&amp;(INT($F$3)+1),aditivos!$B$2:$B$200,"&lt;="&amp;$D$5),2))</f>
        <v/>
      </c>
      <c r="J125" t="str">
        <f t="shared" si="21"/>
        <v/>
      </c>
      <c r="K125" t="str">
        <f t="shared" si="22"/>
        <v/>
      </c>
      <c r="L125" t="str">
        <f>IF(A125="","",IF($C$3="C0",SUMIFS(itens_Consumidos!$E$2:$E$200,itens_Consumidos!$A$2:$A$200,A125),IF($C$3="C1",SUMIFS(itens_Consumidos!$G$2:$G$200,itens_Consumidos!$A$2:$A$200,A125),IF($C$3="C2",SUMIFS(itens_Consumidos!$I$2:$I$200,itens_Consumidos!$A$2:$A$200,A125),IF($C$3="C3",SUMIFS(itens_Consumidos!$K$2:$K$200,itens_Consumidos!$A$2:$A$200,A125),IF($C$3="C4",SUMIFS(itens_Consumidos!$M$2:$M$200,itens_Consumidos!$A$2:$A$200,A125),""))))))</f>
        <v/>
      </c>
      <c r="M125" t="str">
        <f t="shared" si="23"/>
        <v/>
      </c>
      <c r="N125" t="str">
        <f>IF(A125="","",IF($C$3="C0",COUNTIFS(itens_Consumidos!$A$2:$A$200,A125,itens_Consumidos!$E$2:$E$200,"&lt;&gt;"),IF($C$3="C1",COUNTIFS(itens_Consumidos!$A$2:$A$200,A125,itens_Consumidos!$G$2:$G$200,"&lt;&gt;"),IF($C$3="C2",COUNTIFS(itens_Consumidos!$A$2:$A$200,A125,itens_Consumidos!$I$2:$I$200,"&lt;&gt;"),IF($C$3="C3",COUNTIFS(itens_Consumidos!$A$2:$A$200,A125,itens_Consumidos!$K$2:$K$200,"&lt;&gt;"),IF($C$3="C4",COUNTIFS(itens_Consumidos!$A$2:$A$200,A125,itens_Consumidos!$M$2:$M$200,"&lt;&gt;"),""))))))</f>
        <v/>
      </c>
      <c r="O125" t="str">
        <f>IF(itens_Remanesc!$A114="","",COUNTIFS(aditivos!$A$2:$A$200,itens_Remanesc!$A114,aditivos!$B$2:$B$200,"&lt;="&amp;$D$5,aditivos!$L$2:$L$200,"&gt;0"))</f>
        <v/>
      </c>
    </row>
    <row r="126" spans="1:15" ht="20" customHeight="1" x14ac:dyDescent="0.35">
      <c r="A126" s="416" t="str">
        <f>IF(itens_Remanesc!$A115="","",IF(NOT(posicao_contratual!$Z115),itens_Remanesc!$A115,IF(AND(ISNUMBER($D$5),$O126&gt;0),itens_Remanesc!$A115,"")))</f>
        <v/>
      </c>
      <c r="B126" s="417" t="str">
        <f>IF(A126="","",IF(AND(posicao_contratual!$Z115,COUNTIFS(aditivos!$A$2:$A$200,itens_Remanesc!$A115,aditivos!$B$2:$B$200,"&lt;"&amp;(INT($F$3)+1),aditivos!$L$2:$L$200,"&gt;0")=0),0,IF(ISNUMBER(IF($C$3="C0",posicao_contratual!$F115,IF($C$3="C1",posicao_contratual!$J115,IF($C$3="C2",posicao_contratual!$N115,IF($C$3="C3",posicao_contratual!$R115,IF($C$3="C4",posicao_contratual!$V115,"")))))),ROUND(IF($C$3="C0",posicao_contratual!$F115,IF($C$3="C1",posicao_contratual!$J115,IF($C$3="C2",posicao_contratual!$N115,IF($C$3="C3",posicao_contratual!$R115,IF($C$3="C4",posicao_contratual!$V115,"")))))+ROUND(SUMIFS(aditivos!$L$2:$L$200,aditivos!$A$2:$A$200,A126,aditivos!$C$2:$C$200,$C$3,aditivos!$B$2:$B$200,"&lt;"&amp;(INT($F$3)+1)),2),2),IF(ROUND(SUMIFS(aditivos!$L$2:$L$200,aditivos!$A$2:$A$200,A126,aditivos!$C$2:$C$200,$C$3,aditivos!$B$2:$B$200,"&lt;"&amp;(INT($F$3)+1)),2)&gt;0,ROUND(SUMIFS(aditivos!$L$2:$L$200,aditivos!$A$2:$A$200,A126,aditivos!$C$2:$C$200,$C$3,aditivos!$B$2:$B$200,"&lt;"&amp;(INT($F$3)+1)),2),""))))</f>
        <v/>
      </c>
      <c r="C126" s="418"/>
      <c r="D126" s="417" t="str">
        <f t="shared" si="18"/>
        <v/>
      </c>
      <c r="E126" s="419" t="str">
        <f>IF(A126="","",IF($C$3="C0",historico_VU!$C115,IF($C$3="C1",historico_VU!$D115,IF($C$3="C2",historico_VU!$E115,IF($C$3="C3",historico_VU!$F115,IF($C$3="C4",historico_VU!$G115,""))))))</f>
        <v/>
      </c>
      <c r="F126" s="419" t="str">
        <f t="shared" si="19"/>
        <v/>
      </c>
      <c r="G126" s="419" t="str">
        <f t="shared" si="20"/>
        <v/>
      </c>
      <c r="I126" t="str">
        <f>IF(OR(A126="",$D$5="",$F$3=""),"",ROUND(SUMIFS(aditivos!$L$2:$L$200,aditivos!$A$2:$A$200,A126,aditivos!$B$2:$B$200,"&gt;="&amp;(INT($F$3)+1),aditivos!$B$2:$B$200,"&lt;="&amp;$D$5),2))</f>
        <v/>
      </c>
      <c r="J126" t="str">
        <f t="shared" si="21"/>
        <v/>
      </c>
      <c r="K126" t="str">
        <f t="shared" si="22"/>
        <v/>
      </c>
      <c r="L126" t="str">
        <f>IF(A126="","",IF($C$3="C0",SUMIFS(itens_Consumidos!$E$2:$E$200,itens_Consumidos!$A$2:$A$200,A126),IF($C$3="C1",SUMIFS(itens_Consumidos!$G$2:$G$200,itens_Consumidos!$A$2:$A$200,A126),IF($C$3="C2",SUMIFS(itens_Consumidos!$I$2:$I$200,itens_Consumidos!$A$2:$A$200,A126),IF($C$3="C3",SUMIFS(itens_Consumidos!$K$2:$K$200,itens_Consumidos!$A$2:$A$200,A126),IF($C$3="C4",SUMIFS(itens_Consumidos!$M$2:$M$200,itens_Consumidos!$A$2:$A$200,A126),""))))))</f>
        <v/>
      </c>
      <c r="M126" t="str">
        <f t="shared" si="23"/>
        <v/>
      </c>
      <c r="N126" t="str">
        <f>IF(A126="","",IF($C$3="C0",COUNTIFS(itens_Consumidos!$A$2:$A$200,A126,itens_Consumidos!$E$2:$E$200,"&lt;&gt;"),IF($C$3="C1",COUNTIFS(itens_Consumidos!$A$2:$A$200,A126,itens_Consumidos!$G$2:$G$200,"&lt;&gt;"),IF($C$3="C2",COUNTIFS(itens_Consumidos!$A$2:$A$200,A126,itens_Consumidos!$I$2:$I$200,"&lt;&gt;"),IF($C$3="C3",COUNTIFS(itens_Consumidos!$A$2:$A$200,A126,itens_Consumidos!$K$2:$K$200,"&lt;&gt;"),IF($C$3="C4",COUNTIFS(itens_Consumidos!$A$2:$A$200,A126,itens_Consumidos!$M$2:$M$200,"&lt;&gt;"),""))))))</f>
        <v/>
      </c>
      <c r="O126" t="str">
        <f>IF(itens_Remanesc!$A115="","",COUNTIFS(aditivos!$A$2:$A$200,itens_Remanesc!$A115,aditivos!$B$2:$B$200,"&lt;="&amp;$D$5,aditivos!$L$2:$L$200,"&gt;0"))</f>
        <v/>
      </c>
    </row>
    <row r="127" spans="1:15" ht="20" customHeight="1" x14ac:dyDescent="0.35">
      <c r="A127" s="416" t="str">
        <f>IF(itens_Remanesc!$A116="","",IF(NOT(posicao_contratual!$Z116),itens_Remanesc!$A116,IF(AND(ISNUMBER($D$5),$O127&gt;0),itens_Remanesc!$A116,"")))</f>
        <v/>
      </c>
      <c r="B127" s="417" t="str">
        <f>IF(A127="","",IF(AND(posicao_contratual!$Z116,COUNTIFS(aditivos!$A$2:$A$200,itens_Remanesc!$A116,aditivos!$B$2:$B$200,"&lt;"&amp;(INT($F$3)+1),aditivos!$L$2:$L$200,"&gt;0")=0),0,IF(ISNUMBER(IF($C$3="C0",posicao_contratual!$F116,IF($C$3="C1",posicao_contratual!$J116,IF($C$3="C2",posicao_contratual!$N116,IF($C$3="C3",posicao_contratual!$R116,IF($C$3="C4",posicao_contratual!$V116,"")))))),ROUND(IF($C$3="C0",posicao_contratual!$F116,IF($C$3="C1",posicao_contratual!$J116,IF($C$3="C2",posicao_contratual!$N116,IF($C$3="C3",posicao_contratual!$R116,IF($C$3="C4",posicao_contratual!$V116,"")))))+ROUND(SUMIFS(aditivos!$L$2:$L$200,aditivos!$A$2:$A$200,A127,aditivos!$C$2:$C$200,$C$3,aditivos!$B$2:$B$200,"&lt;"&amp;(INT($F$3)+1)),2),2),IF(ROUND(SUMIFS(aditivos!$L$2:$L$200,aditivos!$A$2:$A$200,A127,aditivos!$C$2:$C$200,$C$3,aditivos!$B$2:$B$200,"&lt;"&amp;(INT($F$3)+1)),2)&gt;0,ROUND(SUMIFS(aditivos!$L$2:$L$200,aditivos!$A$2:$A$200,A127,aditivos!$C$2:$C$200,$C$3,aditivos!$B$2:$B$200,"&lt;"&amp;(INT($F$3)+1)),2),""))))</f>
        <v/>
      </c>
      <c r="C127" s="418"/>
      <c r="D127" s="417" t="str">
        <f t="shared" si="18"/>
        <v/>
      </c>
      <c r="E127" s="419" t="str">
        <f>IF(A127="","",IF($C$3="C0",historico_VU!$C116,IF($C$3="C1",historico_VU!$D116,IF($C$3="C2",historico_VU!$E116,IF($C$3="C3",historico_VU!$F116,IF($C$3="C4",historico_VU!$G116,""))))))</f>
        <v/>
      </c>
      <c r="F127" s="419" t="str">
        <f t="shared" si="19"/>
        <v/>
      </c>
      <c r="G127" s="419" t="str">
        <f t="shared" si="20"/>
        <v/>
      </c>
      <c r="I127" t="str">
        <f>IF(OR(A127="",$D$5="",$F$3=""),"",ROUND(SUMIFS(aditivos!$L$2:$L$200,aditivos!$A$2:$A$200,A127,aditivos!$B$2:$B$200,"&gt;="&amp;(INT($F$3)+1),aditivos!$B$2:$B$200,"&lt;="&amp;$D$5),2))</f>
        <v/>
      </c>
      <c r="J127" t="str">
        <f t="shared" si="21"/>
        <v/>
      </c>
      <c r="K127" t="str">
        <f t="shared" si="22"/>
        <v/>
      </c>
      <c r="L127" t="str">
        <f>IF(A127="","",IF($C$3="C0",SUMIFS(itens_Consumidos!$E$2:$E$200,itens_Consumidos!$A$2:$A$200,A127),IF($C$3="C1",SUMIFS(itens_Consumidos!$G$2:$G$200,itens_Consumidos!$A$2:$A$200,A127),IF($C$3="C2",SUMIFS(itens_Consumidos!$I$2:$I$200,itens_Consumidos!$A$2:$A$200,A127),IF($C$3="C3",SUMIFS(itens_Consumidos!$K$2:$K$200,itens_Consumidos!$A$2:$A$200,A127),IF($C$3="C4",SUMIFS(itens_Consumidos!$M$2:$M$200,itens_Consumidos!$A$2:$A$200,A127),""))))))</f>
        <v/>
      </c>
      <c r="M127" t="str">
        <f t="shared" si="23"/>
        <v/>
      </c>
      <c r="N127" t="str">
        <f>IF(A127="","",IF($C$3="C0",COUNTIFS(itens_Consumidos!$A$2:$A$200,A127,itens_Consumidos!$E$2:$E$200,"&lt;&gt;"),IF($C$3="C1",COUNTIFS(itens_Consumidos!$A$2:$A$200,A127,itens_Consumidos!$G$2:$G$200,"&lt;&gt;"),IF($C$3="C2",COUNTIFS(itens_Consumidos!$A$2:$A$200,A127,itens_Consumidos!$I$2:$I$200,"&lt;&gt;"),IF($C$3="C3",COUNTIFS(itens_Consumidos!$A$2:$A$200,A127,itens_Consumidos!$K$2:$K$200,"&lt;&gt;"),IF($C$3="C4",COUNTIFS(itens_Consumidos!$A$2:$A$200,A127,itens_Consumidos!$M$2:$M$200,"&lt;&gt;"),""))))))</f>
        <v/>
      </c>
      <c r="O127" t="str">
        <f>IF(itens_Remanesc!$A116="","",COUNTIFS(aditivos!$A$2:$A$200,itens_Remanesc!$A116,aditivos!$B$2:$B$200,"&lt;="&amp;$D$5,aditivos!$L$2:$L$200,"&gt;0"))</f>
        <v/>
      </c>
    </row>
    <row r="128" spans="1:15" ht="20" customHeight="1" x14ac:dyDescent="0.35">
      <c r="A128" s="416" t="str">
        <f>IF(itens_Remanesc!$A117="","",IF(NOT(posicao_contratual!$Z117),itens_Remanesc!$A117,IF(AND(ISNUMBER($D$5),$O128&gt;0),itens_Remanesc!$A117,"")))</f>
        <v/>
      </c>
      <c r="B128" s="417" t="str">
        <f>IF(A128="","",IF(AND(posicao_contratual!$Z117,COUNTIFS(aditivos!$A$2:$A$200,itens_Remanesc!$A117,aditivos!$B$2:$B$200,"&lt;"&amp;(INT($F$3)+1),aditivos!$L$2:$L$200,"&gt;0")=0),0,IF(ISNUMBER(IF($C$3="C0",posicao_contratual!$F117,IF($C$3="C1",posicao_contratual!$J117,IF($C$3="C2",posicao_contratual!$N117,IF($C$3="C3",posicao_contratual!$R117,IF($C$3="C4",posicao_contratual!$V117,"")))))),ROUND(IF($C$3="C0",posicao_contratual!$F117,IF($C$3="C1",posicao_contratual!$J117,IF($C$3="C2",posicao_contratual!$N117,IF($C$3="C3",posicao_contratual!$R117,IF($C$3="C4",posicao_contratual!$V117,"")))))+ROUND(SUMIFS(aditivos!$L$2:$L$200,aditivos!$A$2:$A$200,A128,aditivos!$C$2:$C$200,$C$3,aditivos!$B$2:$B$200,"&lt;"&amp;(INT($F$3)+1)),2),2),IF(ROUND(SUMIFS(aditivos!$L$2:$L$200,aditivos!$A$2:$A$200,A128,aditivos!$C$2:$C$200,$C$3,aditivos!$B$2:$B$200,"&lt;"&amp;(INT($F$3)+1)),2)&gt;0,ROUND(SUMIFS(aditivos!$L$2:$L$200,aditivos!$A$2:$A$200,A128,aditivos!$C$2:$C$200,$C$3,aditivos!$B$2:$B$200,"&lt;"&amp;(INT($F$3)+1)),2),""))))</f>
        <v/>
      </c>
      <c r="C128" s="418"/>
      <c r="D128" s="417" t="str">
        <f t="shared" si="18"/>
        <v/>
      </c>
      <c r="E128" s="419" t="str">
        <f>IF(A128="","",IF($C$3="C0",historico_VU!$C117,IF($C$3="C1",historico_VU!$D117,IF($C$3="C2",historico_VU!$E117,IF($C$3="C3",historico_VU!$F117,IF($C$3="C4",historico_VU!$G117,""))))))</f>
        <v/>
      </c>
      <c r="F128" s="419" t="str">
        <f t="shared" si="19"/>
        <v/>
      </c>
      <c r="G128" s="419" t="str">
        <f t="shared" si="20"/>
        <v/>
      </c>
      <c r="I128" t="str">
        <f>IF(OR(A128="",$D$5="",$F$3=""),"",ROUND(SUMIFS(aditivos!$L$2:$L$200,aditivos!$A$2:$A$200,A128,aditivos!$B$2:$B$200,"&gt;="&amp;(INT($F$3)+1),aditivos!$B$2:$B$200,"&lt;="&amp;$D$5),2))</f>
        <v/>
      </c>
      <c r="J128" t="str">
        <f t="shared" si="21"/>
        <v/>
      </c>
      <c r="K128" t="str">
        <f t="shared" si="22"/>
        <v/>
      </c>
      <c r="L128" t="str">
        <f>IF(A128="","",IF($C$3="C0",SUMIFS(itens_Consumidos!$E$2:$E$200,itens_Consumidos!$A$2:$A$200,A128),IF($C$3="C1",SUMIFS(itens_Consumidos!$G$2:$G$200,itens_Consumidos!$A$2:$A$200,A128),IF($C$3="C2",SUMIFS(itens_Consumidos!$I$2:$I$200,itens_Consumidos!$A$2:$A$200,A128),IF($C$3="C3",SUMIFS(itens_Consumidos!$K$2:$K$200,itens_Consumidos!$A$2:$A$200,A128),IF($C$3="C4",SUMIFS(itens_Consumidos!$M$2:$M$200,itens_Consumidos!$A$2:$A$200,A128),""))))))</f>
        <v/>
      </c>
      <c r="M128" t="str">
        <f t="shared" si="23"/>
        <v/>
      </c>
      <c r="N128" t="str">
        <f>IF(A128="","",IF($C$3="C0",COUNTIFS(itens_Consumidos!$A$2:$A$200,A128,itens_Consumidos!$E$2:$E$200,"&lt;&gt;"),IF($C$3="C1",COUNTIFS(itens_Consumidos!$A$2:$A$200,A128,itens_Consumidos!$G$2:$G$200,"&lt;&gt;"),IF($C$3="C2",COUNTIFS(itens_Consumidos!$A$2:$A$200,A128,itens_Consumidos!$I$2:$I$200,"&lt;&gt;"),IF($C$3="C3",COUNTIFS(itens_Consumidos!$A$2:$A$200,A128,itens_Consumidos!$K$2:$K$200,"&lt;&gt;"),IF($C$3="C4",COUNTIFS(itens_Consumidos!$A$2:$A$200,A128,itens_Consumidos!$M$2:$M$200,"&lt;&gt;"),""))))))</f>
        <v/>
      </c>
      <c r="O128" t="str">
        <f>IF(itens_Remanesc!$A117="","",COUNTIFS(aditivos!$A$2:$A$200,itens_Remanesc!$A117,aditivos!$B$2:$B$200,"&lt;="&amp;$D$5,aditivos!$L$2:$L$200,"&gt;0"))</f>
        <v/>
      </c>
    </row>
    <row r="129" spans="1:15" ht="20" customHeight="1" x14ac:dyDescent="0.35">
      <c r="A129" s="416" t="str">
        <f>IF(itens_Remanesc!$A118="","",IF(NOT(posicao_contratual!$Z118),itens_Remanesc!$A118,IF(AND(ISNUMBER($D$5),$O129&gt;0),itens_Remanesc!$A118,"")))</f>
        <v/>
      </c>
      <c r="B129" s="417" t="str">
        <f>IF(A129="","",IF(AND(posicao_contratual!$Z118,COUNTIFS(aditivos!$A$2:$A$200,itens_Remanesc!$A118,aditivos!$B$2:$B$200,"&lt;"&amp;(INT($F$3)+1),aditivos!$L$2:$L$200,"&gt;0")=0),0,IF(ISNUMBER(IF($C$3="C0",posicao_contratual!$F118,IF($C$3="C1",posicao_contratual!$J118,IF($C$3="C2",posicao_contratual!$N118,IF($C$3="C3",posicao_contratual!$R118,IF($C$3="C4",posicao_contratual!$V118,"")))))),ROUND(IF($C$3="C0",posicao_contratual!$F118,IF($C$3="C1",posicao_contratual!$J118,IF($C$3="C2",posicao_contratual!$N118,IF($C$3="C3",posicao_contratual!$R118,IF($C$3="C4",posicao_contratual!$V118,"")))))+ROUND(SUMIFS(aditivos!$L$2:$L$200,aditivos!$A$2:$A$200,A129,aditivos!$C$2:$C$200,$C$3,aditivos!$B$2:$B$200,"&lt;"&amp;(INT($F$3)+1)),2),2),IF(ROUND(SUMIFS(aditivos!$L$2:$L$200,aditivos!$A$2:$A$200,A129,aditivos!$C$2:$C$200,$C$3,aditivos!$B$2:$B$200,"&lt;"&amp;(INT($F$3)+1)),2)&gt;0,ROUND(SUMIFS(aditivos!$L$2:$L$200,aditivos!$A$2:$A$200,A129,aditivos!$C$2:$C$200,$C$3,aditivos!$B$2:$B$200,"&lt;"&amp;(INT($F$3)+1)),2),""))))</f>
        <v/>
      </c>
      <c r="C129" s="418"/>
      <c r="D129" s="417" t="str">
        <f t="shared" si="18"/>
        <v/>
      </c>
      <c r="E129" s="419" t="str">
        <f>IF(A129="","",IF($C$3="C0",historico_VU!$C118,IF($C$3="C1",historico_VU!$D118,IF($C$3="C2",historico_VU!$E118,IF($C$3="C3",historico_VU!$F118,IF($C$3="C4",historico_VU!$G118,""))))))</f>
        <v/>
      </c>
      <c r="F129" s="419" t="str">
        <f t="shared" si="19"/>
        <v/>
      </c>
      <c r="G129" s="419" t="str">
        <f t="shared" si="20"/>
        <v/>
      </c>
      <c r="I129" t="str">
        <f>IF(OR(A129="",$D$5="",$F$3=""),"",ROUND(SUMIFS(aditivos!$L$2:$L$200,aditivos!$A$2:$A$200,A129,aditivos!$B$2:$B$200,"&gt;="&amp;(INT($F$3)+1),aditivos!$B$2:$B$200,"&lt;="&amp;$D$5),2))</f>
        <v/>
      </c>
      <c r="J129" t="str">
        <f t="shared" si="21"/>
        <v/>
      </c>
      <c r="K129" t="str">
        <f t="shared" si="22"/>
        <v/>
      </c>
      <c r="L129" t="str">
        <f>IF(A129="","",IF($C$3="C0",SUMIFS(itens_Consumidos!$E$2:$E$200,itens_Consumidos!$A$2:$A$200,A129),IF($C$3="C1",SUMIFS(itens_Consumidos!$G$2:$G$200,itens_Consumidos!$A$2:$A$200,A129),IF($C$3="C2",SUMIFS(itens_Consumidos!$I$2:$I$200,itens_Consumidos!$A$2:$A$200,A129),IF($C$3="C3",SUMIFS(itens_Consumidos!$K$2:$K$200,itens_Consumidos!$A$2:$A$200,A129),IF($C$3="C4",SUMIFS(itens_Consumidos!$M$2:$M$200,itens_Consumidos!$A$2:$A$200,A129),""))))))</f>
        <v/>
      </c>
      <c r="M129" t="str">
        <f t="shared" si="23"/>
        <v/>
      </c>
      <c r="N129" t="str">
        <f>IF(A129="","",IF($C$3="C0",COUNTIFS(itens_Consumidos!$A$2:$A$200,A129,itens_Consumidos!$E$2:$E$200,"&lt;&gt;"),IF($C$3="C1",COUNTIFS(itens_Consumidos!$A$2:$A$200,A129,itens_Consumidos!$G$2:$G$200,"&lt;&gt;"),IF($C$3="C2",COUNTIFS(itens_Consumidos!$A$2:$A$200,A129,itens_Consumidos!$I$2:$I$200,"&lt;&gt;"),IF($C$3="C3",COUNTIFS(itens_Consumidos!$A$2:$A$200,A129,itens_Consumidos!$K$2:$K$200,"&lt;&gt;"),IF($C$3="C4",COUNTIFS(itens_Consumidos!$A$2:$A$200,A129,itens_Consumidos!$M$2:$M$200,"&lt;&gt;"),""))))))</f>
        <v/>
      </c>
      <c r="O129" t="str">
        <f>IF(itens_Remanesc!$A118="","",COUNTIFS(aditivos!$A$2:$A$200,itens_Remanesc!$A118,aditivos!$B$2:$B$200,"&lt;="&amp;$D$5,aditivos!$L$2:$L$200,"&gt;0"))</f>
        <v/>
      </c>
    </row>
    <row r="130" spans="1:15" ht="20" customHeight="1" x14ac:dyDescent="0.35">
      <c r="A130" s="416" t="str">
        <f>IF(itens_Remanesc!$A119="","",IF(NOT(posicao_contratual!$Z119),itens_Remanesc!$A119,IF(AND(ISNUMBER($D$5),$O130&gt;0),itens_Remanesc!$A119,"")))</f>
        <v/>
      </c>
      <c r="B130" s="417" t="str">
        <f>IF(A130="","",IF(AND(posicao_contratual!$Z119,COUNTIFS(aditivos!$A$2:$A$200,itens_Remanesc!$A119,aditivos!$B$2:$B$200,"&lt;"&amp;(INT($F$3)+1),aditivos!$L$2:$L$200,"&gt;0")=0),0,IF(ISNUMBER(IF($C$3="C0",posicao_contratual!$F119,IF($C$3="C1",posicao_contratual!$J119,IF($C$3="C2",posicao_contratual!$N119,IF($C$3="C3",posicao_contratual!$R119,IF($C$3="C4",posicao_contratual!$V119,"")))))),ROUND(IF($C$3="C0",posicao_contratual!$F119,IF($C$3="C1",posicao_contratual!$J119,IF($C$3="C2",posicao_contratual!$N119,IF($C$3="C3",posicao_contratual!$R119,IF($C$3="C4",posicao_contratual!$V119,"")))))+ROUND(SUMIFS(aditivos!$L$2:$L$200,aditivos!$A$2:$A$200,A130,aditivos!$C$2:$C$200,$C$3,aditivos!$B$2:$B$200,"&lt;"&amp;(INT($F$3)+1)),2),2),IF(ROUND(SUMIFS(aditivos!$L$2:$L$200,aditivos!$A$2:$A$200,A130,aditivos!$C$2:$C$200,$C$3,aditivos!$B$2:$B$200,"&lt;"&amp;(INT($F$3)+1)),2)&gt;0,ROUND(SUMIFS(aditivos!$L$2:$L$200,aditivos!$A$2:$A$200,A130,aditivos!$C$2:$C$200,$C$3,aditivos!$B$2:$B$200,"&lt;"&amp;(INT($F$3)+1)),2),""))))</f>
        <v/>
      </c>
      <c r="C130" s="418"/>
      <c r="D130" s="417" t="str">
        <f t="shared" si="18"/>
        <v/>
      </c>
      <c r="E130" s="419" t="str">
        <f>IF(A130="","",IF($C$3="C0",historico_VU!$C119,IF($C$3="C1",historico_VU!$D119,IF($C$3="C2",historico_VU!$E119,IF($C$3="C3",historico_VU!$F119,IF($C$3="C4",historico_VU!$G119,""))))))</f>
        <v/>
      </c>
      <c r="F130" s="419" t="str">
        <f t="shared" si="19"/>
        <v/>
      </c>
      <c r="G130" s="419" t="str">
        <f t="shared" si="20"/>
        <v/>
      </c>
      <c r="I130" t="str">
        <f>IF(OR(A130="",$D$5="",$F$3=""),"",ROUND(SUMIFS(aditivos!$L$2:$L$200,aditivos!$A$2:$A$200,A130,aditivos!$B$2:$B$200,"&gt;="&amp;(INT($F$3)+1),aditivos!$B$2:$B$200,"&lt;="&amp;$D$5),2))</f>
        <v/>
      </c>
      <c r="J130" t="str">
        <f t="shared" si="21"/>
        <v/>
      </c>
      <c r="K130" t="str">
        <f t="shared" si="22"/>
        <v/>
      </c>
      <c r="L130" t="str">
        <f>IF(A130="","",IF($C$3="C0",SUMIFS(itens_Consumidos!$E$2:$E$200,itens_Consumidos!$A$2:$A$200,A130),IF($C$3="C1",SUMIFS(itens_Consumidos!$G$2:$G$200,itens_Consumidos!$A$2:$A$200,A130),IF($C$3="C2",SUMIFS(itens_Consumidos!$I$2:$I$200,itens_Consumidos!$A$2:$A$200,A130),IF($C$3="C3",SUMIFS(itens_Consumidos!$K$2:$K$200,itens_Consumidos!$A$2:$A$200,A130),IF($C$3="C4",SUMIFS(itens_Consumidos!$M$2:$M$200,itens_Consumidos!$A$2:$A$200,A130),""))))))</f>
        <v/>
      </c>
      <c r="M130" t="str">
        <f t="shared" si="23"/>
        <v/>
      </c>
      <c r="N130" t="str">
        <f>IF(A130="","",IF($C$3="C0",COUNTIFS(itens_Consumidos!$A$2:$A$200,A130,itens_Consumidos!$E$2:$E$200,"&lt;&gt;"),IF($C$3="C1",COUNTIFS(itens_Consumidos!$A$2:$A$200,A130,itens_Consumidos!$G$2:$G$200,"&lt;&gt;"),IF($C$3="C2",COUNTIFS(itens_Consumidos!$A$2:$A$200,A130,itens_Consumidos!$I$2:$I$200,"&lt;&gt;"),IF($C$3="C3",COUNTIFS(itens_Consumidos!$A$2:$A$200,A130,itens_Consumidos!$K$2:$K$200,"&lt;&gt;"),IF($C$3="C4",COUNTIFS(itens_Consumidos!$A$2:$A$200,A130,itens_Consumidos!$M$2:$M$200,"&lt;&gt;"),""))))))</f>
        <v/>
      </c>
      <c r="O130" t="str">
        <f>IF(itens_Remanesc!$A119="","",COUNTIFS(aditivos!$A$2:$A$200,itens_Remanesc!$A119,aditivos!$B$2:$B$200,"&lt;="&amp;$D$5,aditivos!$L$2:$L$200,"&gt;0"))</f>
        <v/>
      </c>
    </row>
    <row r="131" spans="1:15" ht="20" customHeight="1" x14ac:dyDescent="0.35">
      <c r="A131" s="416" t="str">
        <f>IF(itens_Remanesc!$A120="","",IF(NOT(posicao_contratual!$Z120),itens_Remanesc!$A120,IF(AND(ISNUMBER($D$5),$O131&gt;0),itens_Remanesc!$A120,"")))</f>
        <v/>
      </c>
      <c r="B131" s="417" t="str">
        <f>IF(A131="","",IF(AND(posicao_contratual!$Z120,COUNTIFS(aditivos!$A$2:$A$200,itens_Remanesc!$A120,aditivos!$B$2:$B$200,"&lt;"&amp;(INT($F$3)+1),aditivos!$L$2:$L$200,"&gt;0")=0),0,IF(ISNUMBER(IF($C$3="C0",posicao_contratual!$F120,IF($C$3="C1",posicao_contratual!$J120,IF($C$3="C2",posicao_contratual!$N120,IF($C$3="C3",posicao_contratual!$R120,IF($C$3="C4",posicao_contratual!$V120,"")))))),ROUND(IF($C$3="C0",posicao_contratual!$F120,IF($C$3="C1",posicao_contratual!$J120,IF($C$3="C2",posicao_contratual!$N120,IF($C$3="C3",posicao_contratual!$R120,IF($C$3="C4",posicao_contratual!$V120,"")))))+ROUND(SUMIFS(aditivos!$L$2:$L$200,aditivos!$A$2:$A$200,A131,aditivos!$C$2:$C$200,$C$3,aditivos!$B$2:$B$200,"&lt;"&amp;(INT($F$3)+1)),2),2),IF(ROUND(SUMIFS(aditivos!$L$2:$L$200,aditivos!$A$2:$A$200,A131,aditivos!$C$2:$C$200,$C$3,aditivos!$B$2:$B$200,"&lt;"&amp;(INT($F$3)+1)),2)&gt;0,ROUND(SUMIFS(aditivos!$L$2:$L$200,aditivos!$A$2:$A$200,A131,aditivos!$C$2:$C$200,$C$3,aditivos!$B$2:$B$200,"&lt;"&amp;(INT($F$3)+1)),2),""))))</f>
        <v/>
      </c>
      <c r="C131" s="418"/>
      <c r="D131" s="417" t="str">
        <f t="shared" si="18"/>
        <v/>
      </c>
      <c r="E131" s="419" t="str">
        <f>IF(A131="","",IF($C$3="C0",historico_VU!$C120,IF($C$3="C1",historico_VU!$D120,IF($C$3="C2",historico_VU!$E120,IF($C$3="C3",historico_VU!$F120,IF($C$3="C4",historico_VU!$G120,""))))))</f>
        <v/>
      </c>
      <c r="F131" s="419" t="str">
        <f t="shared" si="19"/>
        <v/>
      </c>
      <c r="G131" s="419" t="str">
        <f t="shared" si="20"/>
        <v/>
      </c>
      <c r="I131" t="str">
        <f>IF(OR(A131="",$D$5="",$F$3=""),"",ROUND(SUMIFS(aditivos!$L$2:$L$200,aditivos!$A$2:$A$200,A131,aditivos!$B$2:$B$200,"&gt;="&amp;(INT($F$3)+1),aditivos!$B$2:$B$200,"&lt;="&amp;$D$5),2))</f>
        <v/>
      </c>
      <c r="J131" t="str">
        <f t="shared" si="21"/>
        <v/>
      </c>
      <c r="K131" t="str">
        <f t="shared" si="22"/>
        <v/>
      </c>
      <c r="L131" t="str">
        <f>IF(A131="","",IF($C$3="C0",SUMIFS(itens_Consumidos!$E$2:$E$200,itens_Consumidos!$A$2:$A$200,A131),IF($C$3="C1",SUMIFS(itens_Consumidos!$G$2:$G$200,itens_Consumidos!$A$2:$A$200,A131),IF($C$3="C2",SUMIFS(itens_Consumidos!$I$2:$I$200,itens_Consumidos!$A$2:$A$200,A131),IF($C$3="C3",SUMIFS(itens_Consumidos!$K$2:$K$200,itens_Consumidos!$A$2:$A$200,A131),IF($C$3="C4",SUMIFS(itens_Consumidos!$M$2:$M$200,itens_Consumidos!$A$2:$A$200,A131),""))))))</f>
        <v/>
      </c>
      <c r="M131" t="str">
        <f t="shared" si="23"/>
        <v/>
      </c>
      <c r="N131" t="str">
        <f>IF(A131="","",IF($C$3="C0",COUNTIFS(itens_Consumidos!$A$2:$A$200,A131,itens_Consumidos!$E$2:$E$200,"&lt;&gt;"),IF($C$3="C1",COUNTIFS(itens_Consumidos!$A$2:$A$200,A131,itens_Consumidos!$G$2:$G$200,"&lt;&gt;"),IF($C$3="C2",COUNTIFS(itens_Consumidos!$A$2:$A$200,A131,itens_Consumidos!$I$2:$I$200,"&lt;&gt;"),IF($C$3="C3",COUNTIFS(itens_Consumidos!$A$2:$A$200,A131,itens_Consumidos!$K$2:$K$200,"&lt;&gt;"),IF($C$3="C4",COUNTIFS(itens_Consumidos!$A$2:$A$200,A131,itens_Consumidos!$M$2:$M$200,"&lt;&gt;"),""))))))</f>
        <v/>
      </c>
      <c r="O131" t="str">
        <f>IF(itens_Remanesc!$A120="","",COUNTIFS(aditivos!$A$2:$A$200,itens_Remanesc!$A120,aditivos!$B$2:$B$200,"&lt;="&amp;$D$5,aditivos!$L$2:$L$200,"&gt;0"))</f>
        <v/>
      </c>
    </row>
    <row r="132" spans="1:15" ht="20" customHeight="1" x14ac:dyDescent="0.35">
      <c r="A132" s="416" t="str">
        <f>IF(itens_Remanesc!$A121="","",IF(NOT(posicao_contratual!$Z121),itens_Remanesc!$A121,IF(AND(ISNUMBER($D$5),$O132&gt;0),itens_Remanesc!$A121,"")))</f>
        <v/>
      </c>
      <c r="B132" s="417" t="str">
        <f>IF(A132="","",IF(AND(posicao_contratual!$Z121,COUNTIFS(aditivos!$A$2:$A$200,itens_Remanesc!$A121,aditivos!$B$2:$B$200,"&lt;"&amp;(INT($F$3)+1),aditivos!$L$2:$L$200,"&gt;0")=0),0,IF(ISNUMBER(IF($C$3="C0",posicao_contratual!$F121,IF($C$3="C1",posicao_contratual!$J121,IF($C$3="C2",posicao_contratual!$N121,IF($C$3="C3",posicao_contratual!$R121,IF($C$3="C4",posicao_contratual!$V121,"")))))),ROUND(IF($C$3="C0",posicao_contratual!$F121,IF($C$3="C1",posicao_contratual!$J121,IF($C$3="C2",posicao_contratual!$N121,IF($C$3="C3",posicao_contratual!$R121,IF($C$3="C4",posicao_contratual!$V121,"")))))+ROUND(SUMIFS(aditivos!$L$2:$L$200,aditivos!$A$2:$A$200,A132,aditivos!$C$2:$C$200,$C$3,aditivos!$B$2:$B$200,"&lt;"&amp;(INT($F$3)+1)),2),2),IF(ROUND(SUMIFS(aditivos!$L$2:$L$200,aditivos!$A$2:$A$200,A132,aditivos!$C$2:$C$200,$C$3,aditivos!$B$2:$B$200,"&lt;"&amp;(INT($F$3)+1)),2)&gt;0,ROUND(SUMIFS(aditivos!$L$2:$L$200,aditivos!$A$2:$A$200,A132,aditivos!$C$2:$C$200,$C$3,aditivos!$B$2:$B$200,"&lt;"&amp;(INT($F$3)+1)),2),""))))</f>
        <v/>
      </c>
      <c r="C132" s="418"/>
      <c r="D132" s="417" t="str">
        <f t="shared" si="18"/>
        <v/>
      </c>
      <c r="E132" s="419" t="str">
        <f>IF(A132="","",IF($C$3="C0",historico_VU!$C121,IF($C$3="C1",historico_VU!$D121,IF($C$3="C2",historico_VU!$E121,IF($C$3="C3",historico_VU!$F121,IF($C$3="C4",historico_VU!$G121,""))))))</f>
        <v/>
      </c>
      <c r="F132" s="419" t="str">
        <f t="shared" si="19"/>
        <v/>
      </c>
      <c r="G132" s="419" t="str">
        <f t="shared" si="20"/>
        <v/>
      </c>
      <c r="I132" t="str">
        <f>IF(OR(A132="",$D$5="",$F$3=""),"",ROUND(SUMIFS(aditivos!$L$2:$L$200,aditivos!$A$2:$A$200,A132,aditivos!$B$2:$B$200,"&gt;="&amp;(INT($F$3)+1),aditivos!$B$2:$B$200,"&lt;="&amp;$D$5),2))</f>
        <v/>
      </c>
      <c r="J132" t="str">
        <f t="shared" si="21"/>
        <v/>
      </c>
      <c r="K132" t="str">
        <f t="shared" si="22"/>
        <v/>
      </c>
      <c r="L132" t="str">
        <f>IF(A132="","",IF($C$3="C0",SUMIFS(itens_Consumidos!$E$2:$E$200,itens_Consumidos!$A$2:$A$200,A132),IF($C$3="C1",SUMIFS(itens_Consumidos!$G$2:$G$200,itens_Consumidos!$A$2:$A$200,A132),IF($C$3="C2",SUMIFS(itens_Consumidos!$I$2:$I$200,itens_Consumidos!$A$2:$A$200,A132),IF($C$3="C3",SUMIFS(itens_Consumidos!$K$2:$K$200,itens_Consumidos!$A$2:$A$200,A132),IF($C$3="C4",SUMIFS(itens_Consumidos!$M$2:$M$200,itens_Consumidos!$A$2:$A$200,A132),""))))))</f>
        <v/>
      </c>
      <c r="M132" t="str">
        <f t="shared" si="23"/>
        <v/>
      </c>
      <c r="N132" t="str">
        <f>IF(A132="","",IF($C$3="C0",COUNTIFS(itens_Consumidos!$A$2:$A$200,A132,itens_Consumidos!$E$2:$E$200,"&lt;&gt;"),IF($C$3="C1",COUNTIFS(itens_Consumidos!$A$2:$A$200,A132,itens_Consumidos!$G$2:$G$200,"&lt;&gt;"),IF($C$3="C2",COUNTIFS(itens_Consumidos!$A$2:$A$200,A132,itens_Consumidos!$I$2:$I$200,"&lt;&gt;"),IF($C$3="C3",COUNTIFS(itens_Consumidos!$A$2:$A$200,A132,itens_Consumidos!$K$2:$K$200,"&lt;&gt;"),IF($C$3="C4",COUNTIFS(itens_Consumidos!$A$2:$A$200,A132,itens_Consumidos!$M$2:$M$200,"&lt;&gt;"),""))))))</f>
        <v/>
      </c>
      <c r="O132" t="str">
        <f>IF(itens_Remanesc!$A121="","",COUNTIFS(aditivos!$A$2:$A$200,itens_Remanesc!$A121,aditivos!$B$2:$B$200,"&lt;="&amp;$D$5,aditivos!$L$2:$L$200,"&gt;0"))</f>
        <v/>
      </c>
    </row>
    <row r="133" spans="1:15" ht="20" customHeight="1" x14ac:dyDescent="0.35">
      <c r="A133" s="416" t="str">
        <f>IF(itens_Remanesc!$A122="","",IF(NOT(posicao_contratual!$Z122),itens_Remanesc!$A122,IF(AND(ISNUMBER($D$5),$O133&gt;0),itens_Remanesc!$A122,"")))</f>
        <v/>
      </c>
      <c r="B133" s="417" t="str">
        <f>IF(A133="","",IF(AND(posicao_contratual!$Z122,COUNTIFS(aditivos!$A$2:$A$200,itens_Remanesc!$A122,aditivos!$B$2:$B$200,"&lt;"&amp;(INT($F$3)+1),aditivos!$L$2:$L$200,"&gt;0")=0),0,IF(ISNUMBER(IF($C$3="C0",posicao_contratual!$F122,IF($C$3="C1",posicao_contratual!$J122,IF($C$3="C2",posicao_contratual!$N122,IF($C$3="C3",posicao_contratual!$R122,IF($C$3="C4",posicao_contratual!$V122,"")))))),ROUND(IF($C$3="C0",posicao_contratual!$F122,IF($C$3="C1",posicao_contratual!$J122,IF($C$3="C2",posicao_contratual!$N122,IF($C$3="C3",posicao_contratual!$R122,IF($C$3="C4",posicao_contratual!$V122,"")))))+ROUND(SUMIFS(aditivos!$L$2:$L$200,aditivos!$A$2:$A$200,A133,aditivos!$C$2:$C$200,$C$3,aditivos!$B$2:$B$200,"&lt;"&amp;(INT($F$3)+1)),2),2),IF(ROUND(SUMIFS(aditivos!$L$2:$L$200,aditivos!$A$2:$A$200,A133,aditivos!$C$2:$C$200,$C$3,aditivos!$B$2:$B$200,"&lt;"&amp;(INT($F$3)+1)),2)&gt;0,ROUND(SUMIFS(aditivos!$L$2:$L$200,aditivos!$A$2:$A$200,A133,aditivos!$C$2:$C$200,$C$3,aditivos!$B$2:$B$200,"&lt;"&amp;(INT($F$3)+1)),2),""))))</f>
        <v/>
      </c>
      <c r="C133" s="418"/>
      <c r="D133" s="417" t="str">
        <f t="shared" si="18"/>
        <v/>
      </c>
      <c r="E133" s="419" t="str">
        <f>IF(A133="","",IF($C$3="C0",historico_VU!$C122,IF($C$3="C1",historico_VU!$D122,IF($C$3="C2",historico_VU!$E122,IF($C$3="C3",historico_VU!$F122,IF($C$3="C4",historico_VU!$G122,""))))))</f>
        <v/>
      </c>
      <c r="F133" s="419" t="str">
        <f t="shared" si="19"/>
        <v/>
      </c>
      <c r="G133" s="419" t="str">
        <f t="shared" si="20"/>
        <v/>
      </c>
      <c r="I133" t="str">
        <f>IF(OR(A133="",$D$5="",$F$3=""),"",ROUND(SUMIFS(aditivos!$L$2:$L$200,aditivos!$A$2:$A$200,A133,aditivos!$B$2:$B$200,"&gt;="&amp;(INT($F$3)+1),aditivos!$B$2:$B$200,"&lt;="&amp;$D$5),2))</f>
        <v/>
      </c>
      <c r="J133" t="str">
        <f t="shared" si="21"/>
        <v/>
      </c>
      <c r="K133" t="str">
        <f t="shared" si="22"/>
        <v/>
      </c>
      <c r="L133" t="str">
        <f>IF(A133="","",IF($C$3="C0",SUMIFS(itens_Consumidos!$E$2:$E$200,itens_Consumidos!$A$2:$A$200,A133),IF($C$3="C1",SUMIFS(itens_Consumidos!$G$2:$G$200,itens_Consumidos!$A$2:$A$200,A133),IF($C$3="C2",SUMIFS(itens_Consumidos!$I$2:$I$200,itens_Consumidos!$A$2:$A$200,A133),IF($C$3="C3",SUMIFS(itens_Consumidos!$K$2:$K$200,itens_Consumidos!$A$2:$A$200,A133),IF($C$3="C4",SUMIFS(itens_Consumidos!$M$2:$M$200,itens_Consumidos!$A$2:$A$200,A133),""))))))</f>
        <v/>
      </c>
      <c r="M133" t="str">
        <f t="shared" si="23"/>
        <v/>
      </c>
      <c r="N133" t="str">
        <f>IF(A133="","",IF($C$3="C0",COUNTIFS(itens_Consumidos!$A$2:$A$200,A133,itens_Consumidos!$E$2:$E$200,"&lt;&gt;"),IF($C$3="C1",COUNTIFS(itens_Consumidos!$A$2:$A$200,A133,itens_Consumidos!$G$2:$G$200,"&lt;&gt;"),IF($C$3="C2",COUNTIFS(itens_Consumidos!$A$2:$A$200,A133,itens_Consumidos!$I$2:$I$200,"&lt;&gt;"),IF($C$3="C3",COUNTIFS(itens_Consumidos!$A$2:$A$200,A133,itens_Consumidos!$K$2:$K$200,"&lt;&gt;"),IF($C$3="C4",COUNTIFS(itens_Consumidos!$A$2:$A$200,A133,itens_Consumidos!$M$2:$M$200,"&lt;&gt;"),""))))))</f>
        <v/>
      </c>
      <c r="O133" t="str">
        <f>IF(itens_Remanesc!$A122="","",COUNTIFS(aditivos!$A$2:$A$200,itens_Remanesc!$A122,aditivos!$B$2:$B$200,"&lt;="&amp;$D$5,aditivos!$L$2:$L$200,"&gt;0"))</f>
        <v/>
      </c>
    </row>
    <row r="134" spans="1:15" ht="20" customHeight="1" x14ac:dyDescent="0.35">
      <c r="A134" s="416" t="str">
        <f>IF(itens_Remanesc!$A123="","",IF(NOT(posicao_contratual!$Z123),itens_Remanesc!$A123,IF(AND(ISNUMBER($D$5),$O134&gt;0),itens_Remanesc!$A123,"")))</f>
        <v/>
      </c>
      <c r="B134" s="417" t="str">
        <f>IF(A134="","",IF(AND(posicao_contratual!$Z123,COUNTIFS(aditivos!$A$2:$A$200,itens_Remanesc!$A123,aditivos!$B$2:$B$200,"&lt;"&amp;(INT($F$3)+1),aditivos!$L$2:$L$200,"&gt;0")=0),0,IF(ISNUMBER(IF($C$3="C0",posicao_contratual!$F123,IF($C$3="C1",posicao_contratual!$J123,IF($C$3="C2",posicao_contratual!$N123,IF($C$3="C3",posicao_contratual!$R123,IF($C$3="C4",posicao_contratual!$V123,"")))))),ROUND(IF($C$3="C0",posicao_contratual!$F123,IF($C$3="C1",posicao_contratual!$J123,IF($C$3="C2",posicao_contratual!$N123,IF($C$3="C3",posicao_contratual!$R123,IF($C$3="C4",posicao_contratual!$V123,"")))))+ROUND(SUMIFS(aditivos!$L$2:$L$200,aditivos!$A$2:$A$200,A134,aditivos!$C$2:$C$200,$C$3,aditivos!$B$2:$B$200,"&lt;"&amp;(INT($F$3)+1)),2),2),IF(ROUND(SUMIFS(aditivos!$L$2:$L$200,aditivos!$A$2:$A$200,A134,aditivos!$C$2:$C$200,$C$3,aditivos!$B$2:$B$200,"&lt;"&amp;(INT($F$3)+1)),2)&gt;0,ROUND(SUMIFS(aditivos!$L$2:$L$200,aditivos!$A$2:$A$200,A134,aditivos!$C$2:$C$200,$C$3,aditivos!$B$2:$B$200,"&lt;"&amp;(INT($F$3)+1)),2),""))))</f>
        <v/>
      </c>
      <c r="C134" s="418"/>
      <c r="D134" s="417" t="str">
        <f t="shared" si="18"/>
        <v/>
      </c>
      <c r="E134" s="419" t="str">
        <f>IF(A134="","",IF($C$3="C0",historico_VU!$C123,IF($C$3="C1",historico_VU!$D123,IF($C$3="C2",historico_VU!$E123,IF($C$3="C3",historico_VU!$F123,IF($C$3="C4",historico_VU!$G123,""))))))</f>
        <v/>
      </c>
      <c r="F134" s="419" t="str">
        <f t="shared" si="19"/>
        <v/>
      </c>
      <c r="G134" s="419" t="str">
        <f t="shared" si="20"/>
        <v/>
      </c>
      <c r="I134" t="str">
        <f>IF(OR(A134="",$D$5="",$F$3=""),"",ROUND(SUMIFS(aditivos!$L$2:$L$200,aditivos!$A$2:$A$200,A134,aditivos!$B$2:$B$200,"&gt;="&amp;(INT($F$3)+1),aditivos!$B$2:$B$200,"&lt;="&amp;$D$5),2))</f>
        <v/>
      </c>
      <c r="J134" t="str">
        <f t="shared" si="21"/>
        <v/>
      </c>
      <c r="K134" t="str">
        <f t="shared" si="22"/>
        <v/>
      </c>
      <c r="L134" t="str">
        <f>IF(A134="","",IF($C$3="C0",SUMIFS(itens_Consumidos!$E$2:$E$200,itens_Consumidos!$A$2:$A$200,A134),IF($C$3="C1",SUMIFS(itens_Consumidos!$G$2:$G$200,itens_Consumidos!$A$2:$A$200,A134),IF($C$3="C2",SUMIFS(itens_Consumidos!$I$2:$I$200,itens_Consumidos!$A$2:$A$200,A134),IF($C$3="C3",SUMIFS(itens_Consumidos!$K$2:$K$200,itens_Consumidos!$A$2:$A$200,A134),IF($C$3="C4",SUMIFS(itens_Consumidos!$M$2:$M$200,itens_Consumidos!$A$2:$A$200,A134),""))))))</f>
        <v/>
      </c>
      <c r="M134" t="str">
        <f t="shared" si="23"/>
        <v/>
      </c>
      <c r="N134" t="str">
        <f>IF(A134="","",IF($C$3="C0",COUNTIFS(itens_Consumidos!$A$2:$A$200,A134,itens_Consumidos!$E$2:$E$200,"&lt;&gt;"),IF($C$3="C1",COUNTIFS(itens_Consumidos!$A$2:$A$200,A134,itens_Consumidos!$G$2:$G$200,"&lt;&gt;"),IF($C$3="C2",COUNTIFS(itens_Consumidos!$A$2:$A$200,A134,itens_Consumidos!$I$2:$I$200,"&lt;&gt;"),IF($C$3="C3",COUNTIFS(itens_Consumidos!$A$2:$A$200,A134,itens_Consumidos!$K$2:$K$200,"&lt;&gt;"),IF($C$3="C4",COUNTIFS(itens_Consumidos!$A$2:$A$200,A134,itens_Consumidos!$M$2:$M$200,"&lt;&gt;"),""))))))</f>
        <v/>
      </c>
      <c r="O134" t="str">
        <f>IF(itens_Remanesc!$A123="","",COUNTIFS(aditivos!$A$2:$A$200,itens_Remanesc!$A123,aditivos!$B$2:$B$200,"&lt;="&amp;$D$5,aditivos!$L$2:$L$200,"&gt;0"))</f>
        <v/>
      </c>
    </row>
    <row r="135" spans="1:15" ht="20" customHeight="1" x14ac:dyDescent="0.35">
      <c r="A135" s="416" t="str">
        <f>IF(itens_Remanesc!$A124="","",IF(NOT(posicao_contratual!$Z124),itens_Remanesc!$A124,IF(AND(ISNUMBER($D$5),$O135&gt;0),itens_Remanesc!$A124,"")))</f>
        <v/>
      </c>
      <c r="B135" s="417" t="str">
        <f>IF(A135="","",IF(AND(posicao_contratual!$Z124,COUNTIFS(aditivos!$A$2:$A$200,itens_Remanesc!$A124,aditivos!$B$2:$B$200,"&lt;"&amp;(INT($F$3)+1),aditivos!$L$2:$L$200,"&gt;0")=0),0,IF(ISNUMBER(IF($C$3="C0",posicao_contratual!$F124,IF($C$3="C1",posicao_contratual!$J124,IF($C$3="C2",posicao_contratual!$N124,IF($C$3="C3",posicao_contratual!$R124,IF($C$3="C4",posicao_contratual!$V124,"")))))),ROUND(IF($C$3="C0",posicao_contratual!$F124,IF($C$3="C1",posicao_contratual!$J124,IF($C$3="C2",posicao_contratual!$N124,IF($C$3="C3",posicao_contratual!$R124,IF($C$3="C4",posicao_contratual!$V124,"")))))+ROUND(SUMIFS(aditivos!$L$2:$L$200,aditivos!$A$2:$A$200,A135,aditivos!$C$2:$C$200,$C$3,aditivos!$B$2:$B$200,"&lt;"&amp;(INT($F$3)+1)),2),2),IF(ROUND(SUMIFS(aditivos!$L$2:$L$200,aditivos!$A$2:$A$200,A135,aditivos!$C$2:$C$200,$C$3,aditivos!$B$2:$B$200,"&lt;"&amp;(INT($F$3)+1)),2)&gt;0,ROUND(SUMIFS(aditivos!$L$2:$L$200,aditivos!$A$2:$A$200,A135,aditivos!$C$2:$C$200,$C$3,aditivos!$B$2:$B$200,"&lt;"&amp;(INT($F$3)+1)),2),""))))</f>
        <v/>
      </c>
      <c r="C135" s="418"/>
      <c r="D135" s="417" t="str">
        <f t="shared" si="18"/>
        <v/>
      </c>
      <c r="E135" s="419" t="str">
        <f>IF(A135="","",IF($C$3="C0",historico_VU!$C124,IF($C$3="C1",historico_VU!$D124,IF($C$3="C2",historico_VU!$E124,IF($C$3="C3",historico_VU!$F124,IF($C$3="C4",historico_VU!$G124,""))))))</f>
        <v/>
      </c>
      <c r="F135" s="419" t="str">
        <f t="shared" si="19"/>
        <v/>
      </c>
      <c r="G135" s="419" t="str">
        <f t="shared" si="20"/>
        <v/>
      </c>
      <c r="I135" t="str">
        <f>IF(OR(A135="",$D$5="",$F$3=""),"",ROUND(SUMIFS(aditivos!$L$2:$L$200,aditivos!$A$2:$A$200,A135,aditivos!$B$2:$B$200,"&gt;="&amp;(INT($F$3)+1),aditivos!$B$2:$B$200,"&lt;="&amp;$D$5),2))</f>
        <v/>
      </c>
      <c r="J135" t="str">
        <f t="shared" si="21"/>
        <v/>
      </c>
      <c r="K135" t="str">
        <f t="shared" si="22"/>
        <v/>
      </c>
      <c r="L135" t="str">
        <f>IF(A135="","",IF($C$3="C0",SUMIFS(itens_Consumidos!$E$2:$E$200,itens_Consumidos!$A$2:$A$200,A135),IF($C$3="C1",SUMIFS(itens_Consumidos!$G$2:$G$200,itens_Consumidos!$A$2:$A$200,A135),IF($C$3="C2",SUMIFS(itens_Consumidos!$I$2:$I$200,itens_Consumidos!$A$2:$A$200,A135),IF($C$3="C3",SUMIFS(itens_Consumidos!$K$2:$K$200,itens_Consumidos!$A$2:$A$200,A135),IF($C$3="C4",SUMIFS(itens_Consumidos!$M$2:$M$200,itens_Consumidos!$A$2:$A$200,A135),""))))))</f>
        <v/>
      </c>
      <c r="M135" t="str">
        <f t="shared" si="23"/>
        <v/>
      </c>
      <c r="N135" t="str">
        <f>IF(A135="","",IF($C$3="C0",COUNTIFS(itens_Consumidos!$A$2:$A$200,A135,itens_Consumidos!$E$2:$E$200,"&lt;&gt;"),IF($C$3="C1",COUNTIFS(itens_Consumidos!$A$2:$A$200,A135,itens_Consumidos!$G$2:$G$200,"&lt;&gt;"),IF($C$3="C2",COUNTIFS(itens_Consumidos!$A$2:$A$200,A135,itens_Consumidos!$I$2:$I$200,"&lt;&gt;"),IF($C$3="C3",COUNTIFS(itens_Consumidos!$A$2:$A$200,A135,itens_Consumidos!$K$2:$K$200,"&lt;&gt;"),IF($C$3="C4",COUNTIFS(itens_Consumidos!$A$2:$A$200,A135,itens_Consumidos!$M$2:$M$200,"&lt;&gt;"),""))))))</f>
        <v/>
      </c>
      <c r="O135" t="str">
        <f>IF(itens_Remanesc!$A124="","",COUNTIFS(aditivos!$A$2:$A$200,itens_Remanesc!$A124,aditivos!$B$2:$B$200,"&lt;="&amp;$D$5,aditivos!$L$2:$L$200,"&gt;0"))</f>
        <v/>
      </c>
    </row>
    <row r="136" spans="1:15" ht="20" customHeight="1" x14ac:dyDescent="0.35">
      <c r="A136" s="416" t="str">
        <f>IF(itens_Remanesc!$A125="","",IF(NOT(posicao_contratual!$Z125),itens_Remanesc!$A125,IF(AND(ISNUMBER($D$5),$O136&gt;0),itens_Remanesc!$A125,"")))</f>
        <v/>
      </c>
      <c r="B136" s="417" t="str">
        <f>IF(A136="","",IF(AND(posicao_contratual!$Z125,COUNTIFS(aditivos!$A$2:$A$200,itens_Remanesc!$A125,aditivos!$B$2:$B$200,"&lt;"&amp;(INT($F$3)+1),aditivos!$L$2:$L$200,"&gt;0")=0),0,IF(ISNUMBER(IF($C$3="C0",posicao_contratual!$F125,IF($C$3="C1",posicao_contratual!$J125,IF($C$3="C2",posicao_contratual!$N125,IF($C$3="C3",posicao_contratual!$R125,IF($C$3="C4",posicao_contratual!$V125,"")))))),ROUND(IF($C$3="C0",posicao_contratual!$F125,IF($C$3="C1",posicao_contratual!$J125,IF($C$3="C2",posicao_contratual!$N125,IF($C$3="C3",posicao_contratual!$R125,IF($C$3="C4",posicao_contratual!$V125,"")))))+ROUND(SUMIFS(aditivos!$L$2:$L$200,aditivos!$A$2:$A$200,A136,aditivos!$C$2:$C$200,$C$3,aditivos!$B$2:$B$200,"&lt;"&amp;(INT($F$3)+1)),2),2),IF(ROUND(SUMIFS(aditivos!$L$2:$L$200,aditivos!$A$2:$A$200,A136,aditivos!$C$2:$C$200,$C$3,aditivos!$B$2:$B$200,"&lt;"&amp;(INT($F$3)+1)),2)&gt;0,ROUND(SUMIFS(aditivos!$L$2:$L$200,aditivos!$A$2:$A$200,A136,aditivos!$C$2:$C$200,$C$3,aditivos!$B$2:$B$200,"&lt;"&amp;(INT($F$3)+1)),2),""))))</f>
        <v/>
      </c>
      <c r="C136" s="418"/>
      <c r="D136" s="417" t="str">
        <f t="shared" si="18"/>
        <v/>
      </c>
      <c r="E136" s="419" t="str">
        <f>IF(A136="","",IF($C$3="C0",historico_VU!$C125,IF($C$3="C1",historico_VU!$D125,IF($C$3="C2",historico_VU!$E125,IF($C$3="C3",historico_VU!$F125,IF($C$3="C4",historico_VU!$G125,""))))))</f>
        <v/>
      </c>
      <c r="F136" s="419" t="str">
        <f t="shared" si="19"/>
        <v/>
      </c>
      <c r="G136" s="419" t="str">
        <f t="shared" si="20"/>
        <v/>
      </c>
      <c r="I136" t="str">
        <f>IF(OR(A136="",$D$5="",$F$3=""),"",ROUND(SUMIFS(aditivos!$L$2:$L$200,aditivos!$A$2:$A$200,A136,aditivos!$B$2:$B$200,"&gt;="&amp;(INT($F$3)+1),aditivos!$B$2:$B$200,"&lt;="&amp;$D$5),2))</f>
        <v/>
      </c>
      <c r="J136" t="str">
        <f t="shared" si="21"/>
        <v/>
      </c>
      <c r="K136" t="str">
        <f t="shared" si="22"/>
        <v/>
      </c>
      <c r="L136" t="str">
        <f>IF(A136="","",IF($C$3="C0",SUMIFS(itens_Consumidos!$E$2:$E$200,itens_Consumidos!$A$2:$A$200,A136),IF($C$3="C1",SUMIFS(itens_Consumidos!$G$2:$G$200,itens_Consumidos!$A$2:$A$200,A136),IF($C$3="C2",SUMIFS(itens_Consumidos!$I$2:$I$200,itens_Consumidos!$A$2:$A$200,A136),IF($C$3="C3",SUMIFS(itens_Consumidos!$K$2:$K$200,itens_Consumidos!$A$2:$A$200,A136),IF($C$3="C4",SUMIFS(itens_Consumidos!$M$2:$M$200,itens_Consumidos!$A$2:$A$200,A136),""))))))</f>
        <v/>
      </c>
      <c r="M136" t="str">
        <f t="shared" si="23"/>
        <v/>
      </c>
      <c r="N136" t="str">
        <f>IF(A136="","",IF($C$3="C0",COUNTIFS(itens_Consumidos!$A$2:$A$200,A136,itens_Consumidos!$E$2:$E$200,"&lt;&gt;"),IF($C$3="C1",COUNTIFS(itens_Consumidos!$A$2:$A$200,A136,itens_Consumidos!$G$2:$G$200,"&lt;&gt;"),IF($C$3="C2",COUNTIFS(itens_Consumidos!$A$2:$A$200,A136,itens_Consumidos!$I$2:$I$200,"&lt;&gt;"),IF($C$3="C3",COUNTIFS(itens_Consumidos!$A$2:$A$200,A136,itens_Consumidos!$K$2:$K$200,"&lt;&gt;"),IF($C$3="C4",COUNTIFS(itens_Consumidos!$A$2:$A$200,A136,itens_Consumidos!$M$2:$M$200,"&lt;&gt;"),""))))))</f>
        <v/>
      </c>
      <c r="O136" t="str">
        <f>IF(itens_Remanesc!$A125="","",COUNTIFS(aditivos!$A$2:$A$200,itens_Remanesc!$A125,aditivos!$B$2:$B$200,"&lt;="&amp;$D$5,aditivos!$L$2:$L$200,"&gt;0"))</f>
        <v/>
      </c>
    </row>
    <row r="137" spans="1:15" ht="20" customHeight="1" x14ac:dyDescent="0.35">
      <c r="A137" s="416" t="str">
        <f>IF(itens_Remanesc!$A126="","",IF(NOT(posicao_contratual!$Z126),itens_Remanesc!$A126,IF(AND(ISNUMBER($D$5),$O137&gt;0),itens_Remanesc!$A126,"")))</f>
        <v/>
      </c>
      <c r="B137" s="417" t="str">
        <f>IF(A137="","",IF(AND(posicao_contratual!$Z126,COUNTIFS(aditivos!$A$2:$A$200,itens_Remanesc!$A126,aditivos!$B$2:$B$200,"&lt;"&amp;(INT($F$3)+1),aditivos!$L$2:$L$200,"&gt;0")=0),0,IF(ISNUMBER(IF($C$3="C0",posicao_contratual!$F126,IF($C$3="C1",posicao_contratual!$J126,IF($C$3="C2",posicao_contratual!$N126,IF($C$3="C3",posicao_contratual!$R126,IF($C$3="C4",posicao_contratual!$V126,"")))))),ROUND(IF($C$3="C0",posicao_contratual!$F126,IF($C$3="C1",posicao_contratual!$J126,IF($C$3="C2",posicao_contratual!$N126,IF($C$3="C3",posicao_contratual!$R126,IF($C$3="C4",posicao_contratual!$V126,"")))))+ROUND(SUMIFS(aditivos!$L$2:$L$200,aditivos!$A$2:$A$200,A137,aditivos!$C$2:$C$200,$C$3,aditivos!$B$2:$B$200,"&lt;"&amp;(INT($F$3)+1)),2),2),IF(ROUND(SUMIFS(aditivos!$L$2:$L$200,aditivos!$A$2:$A$200,A137,aditivos!$C$2:$C$200,$C$3,aditivos!$B$2:$B$200,"&lt;"&amp;(INT($F$3)+1)),2)&gt;0,ROUND(SUMIFS(aditivos!$L$2:$L$200,aditivos!$A$2:$A$200,A137,aditivos!$C$2:$C$200,$C$3,aditivos!$B$2:$B$200,"&lt;"&amp;(INT($F$3)+1)),2),""))))</f>
        <v/>
      </c>
      <c r="C137" s="418"/>
      <c r="D137" s="417" t="str">
        <f t="shared" si="18"/>
        <v/>
      </c>
      <c r="E137" s="419" t="str">
        <f>IF(A137="","",IF($C$3="C0",historico_VU!$C126,IF($C$3="C1",historico_VU!$D126,IF($C$3="C2",historico_VU!$E126,IF($C$3="C3",historico_VU!$F126,IF($C$3="C4",historico_VU!$G126,""))))))</f>
        <v/>
      </c>
      <c r="F137" s="419" t="str">
        <f t="shared" si="19"/>
        <v/>
      </c>
      <c r="G137" s="419" t="str">
        <f t="shared" si="20"/>
        <v/>
      </c>
      <c r="I137" t="str">
        <f>IF(OR(A137="",$D$5="",$F$3=""),"",ROUND(SUMIFS(aditivos!$L$2:$L$200,aditivos!$A$2:$A$200,A137,aditivos!$B$2:$B$200,"&gt;="&amp;(INT($F$3)+1),aditivos!$B$2:$B$200,"&lt;="&amp;$D$5),2))</f>
        <v/>
      </c>
      <c r="J137" t="str">
        <f t="shared" si="21"/>
        <v/>
      </c>
      <c r="K137" t="str">
        <f t="shared" si="22"/>
        <v/>
      </c>
      <c r="L137" t="str">
        <f>IF(A137="","",IF($C$3="C0",SUMIFS(itens_Consumidos!$E$2:$E$200,itens_Consumidos!$A$2:$A$200,A137),IF($C$3="C1",SUMIFS(itens_Consumidos!$G$2:$G$200,itens_Consumidos!$A$2:$A$200,A137),IF($C$3="C2",SUMIFS(itens_Consumidos!$I$2:$I$200,itens_Consumidos!$A$2:$A$200,A137),IF($C$3="C3",SUMIFS(itens_Consumidos!$K$2:$K$200,itens_Consumidos!$A$2:$A$200,A137),IF($C$3="C4",SUMIFS(itens_Consumidos!$M$2:$M$200,itens_Consumidos!$A$2:$A$200,A137),""))))))</f>
        <v/>
      </c>
      <c r="M137" t="str">
        <f t="shared" si="23"/>
        <v/>
      </c>
      <c r="N137" t="str">
        <f>IF(A137="","",IF($C$3="C0",COUNTIFS(itens_Consumidos!$A$2:$A$200,A137,itens_Consumidos!$E$2:$E$200,"&lt;&gt;"),IF($C$3="C1",COUNTIFS(itens_Consumidos!$A$2:$A$200,A137,itens_Consumidos!$G$2:$G$200,"&lt;&gt;"),IF($C$3="C2",COUNTIFS(itens_Consumidos!$A$2:$A$200,A137,itens_Consumidos!$I$2:$I$200,"&lt;&gt;"),IF($C$3="C3",COUNTIFS(itens_Consumidos!$A$2:$A$200,A137,itens_Consumidos!$K$2:$K$200,"&lt;&gt;"),IF($C$3="C4",COUNTIFS(itens_Consumidos!$A$2:$A$200,A137,itens_Consumidos!$M$2:$M$200,"&lt;&gt;"),""))))))</f>
        <v/>
      </c>
      <c r="O137" t="str">
        <f>IF(itens_Remanesc!$A126="","",COUNTIFS(aditivos!$A$2:$A$200,itens_Remanesc!$A126,aditivos!$B$2:$B$200,"&lt;="&amp;$D$5,aditivos!$L$2:$L$200,"&gt;0"))</f>
        <v/>
      </c>
    </row>
    <row r="138" spans="1:15" ht="20" customHeight="1" x14ac:dyDescent="0.35">
      <c r="A138" s="416" t="str">
        <f>IF(itens_Remanesc!$A127="","",IF(NOT(posicao_contratual!$Z127),itens_Remanesc!$A127,IF(AND(ISNUMBER($D$5),$O138&gt;0),itens_Remanesc!$A127,"")))</f>
        <v/>
      </c>
      <c r="B138" s="417" t="str">
        <f>IF(A138="","",IF(AND(posicao_contratual!$Z127,COUNTIFS(aditivos!$A$2:$A$200,itens_Remanesc!$A127,aditivos!$B$2:$B$200,"&lt;"&amp;(INT($F$3)+1),aditivos!$L$2:$L$200,"&gt;0")=0),0,IF(ISNUMBER(IF($C$3="C0",posicao_contratual!$F127,IF($C$3="C1",posicao_contratual!$J127,IF($C$3="C2",posicao_contratual!$N127,IF($C$3="C3",posicao_contratual!$R127,IF($C$3="C4",posicao_contratual!$V127,"")))))),ROUND(IF($C$3="C0",posicao_contratual!$F127,IF($C$3="C1",posicao_contratual!$J127,IF($C$3="C2",posicao_contratual!$N127,IF($C$3="C3",posicao_contratual!$R127,IF($C$3="C4",posicao_contratual!$V127,"")))))+ROUND(SUMIFS(aditivos!$L$2:$L$200,aditivos!$A$2:$A$200,A138,aditivos!$C$2:$C$200,$C$3,aditivos!$B$2:$B$200,"&lt;"&amp;(INT($F$3)+1)),2),2),IF(ROUND(SUMIFS(aditivos!$L$2:$L$200,aditivos!$A$2:$A$200,A138,aditivos!$C$2:$C$200,$C$3,aditivos!$B$2:$B$200,"&lt;"&amp;(INT($F$3)+1)),2)&gt;0,ROUND(SUMIFS(aditivos!$L$2:$L$200,aditivos!$A$2:$A$200,A138,aditivos!$C$2:$C$200,$C$3,aditivos!$B$2:$B$200,"&lt;"&amp;(INT($F$3)+1)),2),""))))</f>
        <v/>
      </c>
      <c r="C138" s="418"/>
      <c r="D138" s="417" t="str">
        <f t="shared" si="18"/>
        <v/>
      </c>
      <c r="E138" s="419" t="str">
        <f>IF(A138="","",IF($C$3="C0",historico_VU!$C127,IF($C$3="C1",historico_VU!$D127,IF($C$3="C2",historico_VU!$E127,IF($C$3="C3",historico_VU!$F127,IF($C$3="C4",historico_VU!$G127,""))))))</f>
        <v/>
      </c>
      <c r="F138" s="419" t="str">
        <f t="shared" si="19"/>
        <v/>
      </c>
      <c r="G138" s="419" t="str">
        <f t="shared" si="20"/>
        <v/>
      </c>
      <c r="I138" t="str">
        <f>IF(OR(A138="",$D$5="",$F$3=""),"",ROUND(SUMIFS(aditivos!$L$2:$L$200,aditivos!$A$2:$A$200,A138,aditivos!$B$2:$B$200,"&gt;="&amp;(INT($F$3)+1),aditivos!$B$2:$B$200,"&lt;="&amp;$D$5),2))</f>
        <v/>
      </c>
      <c r="J138" t="str">
        <f t="shared" si="21"/>
        <v/>
      </c>
      <c r="K138" t="str">
        <f t="shared" si="22"/>
        <v/>
      </c>
      <c r="L138" t="str">
        <f>IF(A138="","",IF($C$3="C0",SUMIFS(itens_Consumidos!$E$2:$E$200,itens_Consumidos!$A$2:$A$200,A138),IF($C$3="C1",SUMIFS(itens_Consumidos!$G$2:$G$200,itens_Consumidos!$A$2:$A$200,A138),IF($C$3="C2",SUMIFS(itens_Consumidos!$I$2:$I$200,itens_Consumidos!$A$2:$A$200,A138),IF($C$3="C3",SUMIFS(itens_Consumidos!$K$2:$K$200,itens_Consumidos!$A$2:$A$200,A138),IF($C$3="C4",SUMIFS(itens_Consumidos!$M$2:$M$200,itens_Consumidos!$A$2:$A$200,A138),""))))))</f>
        <v/>
      </c>
      <c r="M138" t="str">
        <f t="shared" si="23"/>
        <v/>
      </c>
      <c r="N138" t="str">
        <f>IF(A138="","",IF($C$3="C0",COUNTIFS(itens_Consumidos!$A$2:$A$200,A138,itens_Consumidos!$E$2:$E$200,"&lt;&gt;"),IF($C$3="C1",COUNTIFS(itens_Consumidos!$A$2:$A$200,A138,itens_Consumidos!$G$2:$G$200,"&lt;&gt;"),IF($C$3="C2",COUNTIFS(itens_Consumidos!$A$2:$A$200,A138,itens_Consumidos!$I$2:$I$200,"&lt;&gt;"),IF($C$3="C3",COUNTIFS(itens_Consumidos!$A$2:$A$200,A138,itens_Consumidos!$K$2:$K$200,"&lt;&gt;"),IF($C$3="C4",COUNTIFS(itens_Consumidos!$A$2:$A$200,A138,itens_Consumidos!$M$2:$M$200,"&lt;&gt;"),""))))))</f>
        <v/>
      </c>
      <c r="O138" t="str">
        <f>IF(itens_Remanesc!$A127="","",COUNTIFS(aditivos!$A$2:$A$200,itens_Remanesc!$A127,aditivos!$B$2:$B$200,"&lt;="&amp;$D$5,aditivos!$L$2:$L$200,"&gt;0"))</f>
        <v/>
      </c>
    </row>
    <row r="139" spans="1:15" ht="20" customHeight="1" x14ac:dyDescent="0.35">
      <c r="A139" s="416" t="str">
        <f>IF(itens_Remanesc!$A128="","",IF(NOT(posicao_contratual!$Z128),itens_Remanesc!$A128,IF(AND(ISNUMBER($D$5),$O139&gt;0),itens_Remanesc!$A128,"")))</f>
        <v/>
      </c>
      <c r="B139" s="417" t="str">
        <f>IF(A139="","",IF(AND(posicao_contratual!$Z128,COUNTIFS(aditivos!$A$2:$A$200,itens_Remanesc!$A128,aditivos!$B$2:$B$200,"&lt;"&amp;(INT($F$3)+1),aditivos!$L$2:$L$200,"&gt;0")=0),0,IF(ISNUMBER(IF($C$3="C0",posicao_contratual!$F128,IF($C$3="C1",posicao_contratual!$J128,IF($C$3="C2",posicao_contratual!$N128,IF($C$3="C3",posicao_contratual!$R128,IF($C$3="C4",posicao_contratual!$V128,"")))))),ROUND(IF($C$3="C0",posicao_contratual!$F128,IF($C$3="C1",posicao_contratual!$J128,IF($C$3="C2",posicao_contratual!$N128,IF($C$3="C3",posicao_contratual!$R128,IF($C$3="C4",posicao_contratual!$V128,"")))))+ROUND(SUMIFS(aditivos!$L$2:$L$200,aditivos!$A$2:$A$200,A139,aditivos!$C$2:$C$200,$C$3,aditivos!$B$2:$B$200,"&lt;"&amp;(INT($F$3)+1)),2),2),IF(ROUND(SUMIFS(aditivos!$L$2:$L$200,aditivos!$A$2:$A$200,A139,aditivos!$C$2:$C$200,$C$3,aditivos!$B$2:$B$200,"&lt;"&amp;(INT($F$3)+1)),2)&gt;0,ROUND(SUMIFS(aditivos!$L$2:$L$200,aditivos!$A$2:$A$200,A139,aditivos!$C$2:$C$200,$C$3,aditivos!$B$2:$B$200,"&lt;"&amp;(INT($F$3)+1)),2),""))))</f>
        <v/>
      </c>
      <c r="C139" s="418"/>
      <c r="D139" s="417" t="str">
        <f t="shared" si="18"/>
        <v/>
      </c>
      <c r="E139" s="419" t="str">
        <f>IF(A139="","",IF($C$3="C0",historico_VU!$C128,IF($C$3="C1",historico_VU!$D128,IF($C$3="C2",historico_VU!$E128,IF($C$3="C3",historico_VU!$F128,IF($C$3="C4",historico_VU!$G128,""))))))</f>
        <v/>
      </c>
      <c r="F139" s="419" t="str">
        <f t="shared" si="19"/>
        <v/>
      </c>
      <c r="G139" s="419" t="str">
        <f t="shared" si="20"/>
        <v/>
      </c>
      <c r="I139" t="str">
        <f>IF(OR(A139="",$D$5="",$F$3=""),"",ROUND(SUMIFS(aditivos!$L$2:$L$200,aditivos!$A$2:$A$200,A139,aditivos!$B$2:$B$200,"&gt;="&amp;(INT($F$3)+1),aditivos!$B$2:$B$200,"&lt;="&amp;$D$5),2))</f>
        <v/>
      </c>
      <c r="J139" t="str">
        <f t="shared" si="21"/>
        <v/>
      </c>
      <c r="K139" t="str">
        <f t="shared" si="22"/>
        <v/>
      </c>
      <c r="L139" t="str">
        <f>IF(A139="","",IF($C$3="C0",SUMIFS(itens_Consumidos!$E$2:$E$200,itens_Consumidos!$A$2:$A$200,A139),IF($C$3="C1",SUMIFS(itens_Consumidos!$G$2:$G$200,itens_Consumidos!$A$2:$A$200,A139),IF($C$3="C2",SUMIFS(itens_Consumidos!$I$2:$I$200,itens_Consumidos!$A$2:$A$200,A139),IF($C$3="C3",SUMIFS(itens_Consumidos!$K$2:$K$200,itens_Consumidos!$A$2:$A$200,A139),IF($C$3="C4",SUMIFS(itens_Consumidos!$M$2:$M$200,itens_Consumidos!$A$2:$A$200,A139),""))))))</f>
        <v/>
      </c>
      <c r="M139" t="str">
        <f t="shared" si="23"/>
        <v/>
      </c>
      <c r="N139" t="str">
        <f>IF(A139="","",IF($C$3="C0",COUNTIFS(itens_Consumidos!$A$2:$A$200,A139,itens_Consumidos!$E$2:$E$200,"&lt;&gt;"),IF($C$3="C1",COUNTIFS(itens_Consumidos!$A$2:$A$200,A139,itens_Consumidos!$G$2:$G$200,"&lt;&gt;"),IF($C$3="C2",COUNTIFS(itens_Consumidos!$A$2:$A$200,A139,itens_Consumidos!$I$2:$I$200,"&lt;&gt;"),IF($C$3="C3",COUNTIFS(itens_Consumidos!$A$2:$A$200,A139,itens_Consumidos!$K$2:$K$200,"&lt;&gt;"),IF($C$3="C4",COUNTIFS(itens_Consumidos!$A$2:$A$200,A139,itens_Consumidos!$M$2:$M$200,"&lt;&gt;"),""))))))</f>
        <v/>
      </c>
      <c r="O139" t="str">
        <f>IF(itens_Remanesc!$A128="","",COUNTIFS(aditivos!$A$2:$A$200,itens_Remanesc!$A128,aditivos!$B$2:$B$200,"&lt;="&amp;$D$5,aditivos!$L$2:$L$200,"&gt;0"))</f>
        <v/>
      </c>
    </row>
    <row r="140" spans="1:15" ht="20" customHeight="1" x14ac:dyDescent="0.35">
      <c r="A140" s="416" t="str">
        <f>IF(itens_Remanesc!$A129="","",IF(NOT(posicao_contratual!$Z129),itens_Remanesc!$A129,IF(AND(ISNUMBER($D$5),$O140&gt;0),itens_Remanesc!$A129,"")))</f>
        <v/>
      </c>
      <c r="B140" s="417" t="str">
        <f>IF(A140="","",IF(AND(posicao_contratual!$Z129,COUNTIFS(aditivos!$A$2:$A$200,itens_Remanesc!$A129,aditivos!$B$2:$B$200,"&lt;"&amp;(INT($F$3)+1),aditivos!$L$2:$L$200,"&gt;0")=0),0,IF(ISNUMBER(IF($C$3="C0",posicao_contratual!$F129,IF($C$3="C1",posicao_contratual!$J129,IF($C$3="C2",posicao_contratual!$N129,IF($C$3="C3",posicao_contratual!$R129,IF($C$3="C4",posicao_contratual!$V129,"")))))),ROUND(IF($C$3="C0",posicao_contratual!$F129,IF($C$3="C1",posicao_contratual!$J129,IF($C$3="C2",posicao_contratual!$N129,IF($C$3="C3",posicao_contratual!$R129,IF($C$3="C4",posicao_contratual!$V129,"")))))+ROUND(SUMIFS(aditivos!$L$2:$L$200,aditivos!$A$2:$A$200,A140,aditivos!$C$2:$C$200,$C$3,aditivos!$B$2:$B$200,"&lt;"&amp;(INT($F$3)+1)),2),2),IF(ROUND(SUMIFS(aditivos!$L$2:$L$200,aditivos!$A$2:$A$200,A140,aditivos!$C$2:$C$200,$C$3,aditivos!$B$2:$B$200,"&lt;"&amp;(INT($F$3)+1)),2)&gt;0,ROUND(SUMIFS(aditivos!$L$2:$L$200,aditivos!$A$2:$A$200,A140,aditivos!$C$2:$C$200,$C$3,aditivos!$B$2:$B$200,"&lt;"&amp;(INT($F$3)+1)),2),""))))</f>
        <v/>
      </c>
      <c r="C140" s="418"/>
      <c r="D140" s="417" t="str">
        <f t="shared" si="18"/>
        <v/>
      </c>
      <c r="E140" s="419" t="str">
        <f>IF(A140="","",IF($C$3="C0",historico_VU!$C129,IF($C$3="C1",historico_VU!$D129,IF($C$3="C2",historico_VU!$E129,IF($C$3="C3",historico_VU!$F129,IF($C$3="C4",historico_VU!$G129,""))))))</f>
        <v/>
      </c>
      <c r="F140" s="419" t="str">
        <f t="shared" si="19"/>
        <v/>
      </c>
      <c r="G140" s="419" t="str">
        <f t="shared" si="20"/>
        <v/>
      </c>
      <c r="I140" t="str">
        <f>IF(OR(A140="",$D$5="",$F$3=""),"",ROUND(SUMIFS(aditivos!$L$2:$L$200,aditivos!$A$2:$A$200,A140,aditivos!$B$2:$B$200,"&gt;="&amp;(INT($F$3)+1),aditivos!$B$2:$B$200,"&lt;="&amp;$D$5),2))</f>
        <v/>
      </c>
      <c r="J140" t="str">
        <f t="shared" si="21"/>
        <v/>
      </c>
      <c r="K140" t="str">
        <f t="shared" si="22"/>
        <v/>
      </c>
      <c r="L140" t="str">
        <f>IF(A140="","",IF($C$3="C0",SUMIFS(itens_Consumidos!$E$2:$E$200,itens_Consumidos!$A$2:$A$200,A140),IF($C$3="C1",SUMIFS(itens_Consumidos!$G$2:$G$200,itens_Consumidos!$A$2:$A$200,A140),IF($C$3="C2",SUMIFS(itens_Consumidos!$I$2:$I$200,itens_Consumidos!$A$2:$A$200,A140),IF($C$3="C3",SUMIFS(itens_Consumidos!$K$2:$K$200,itens_Consumidos!$A$2:$A$200,A140),IF($C$3="C4",SUMIFS(itens_Consumidos!$M$2:$M$200,itens_Consumidos!$A$2:$A$200,A140),""))))))</f>
        <v/>
      </c>
      <c r="M140" t="str">
        <f t="shared" si="23"/>
        <v/>
      </c>
      <c r="N140" t="str">
        <f>IF(A140="","",IF($C$3="C0",COUNTIFS(itens_Consumidos!$A$2:$A$200,A140,itens_Consumidos!$E$2:$E$200,"&lt;&gt;"),IF($C$3="C1",COUNTIFS(itens_Consumidos!$A$2:$A$200,A140,itens_Consumidos!$G$2:$G$200,"&lt;&gt;"),IF($C$3="C2",COUNTIFS(itens_Consumidos!$A$2:$A$200,A140,itens_Consumidos!$I$2:$I$200,"&lt;&gt;"),IF($C$3="C3",COUNTIFS(itens_Consumidos!$A$2:$A$200,A140,itens_Consumidos!$K$2:$K$200,"&lt;&gt;"),IF($C$3="C4",COUNTIFS(itens_Consumidos!$A$2:$A$200,A140,itens_Consumidos!$M$2:$M$200,"&lt;&gt;"),""))))))</f>
        <v/>
      </c>
      <c r="O140" t="str">
        <f>IF(itens_Remanesc!$A129="","",COUNTIFS(aditivos!$A$2:$A$200,itens_Remanesc!$A129,aditivos!$B$2:$B$200,"&lt;="&amp;$D$5,aditivos!$L$2:$L$200,"&gt;0"))</f>
        <v/>
      </c>
    </row>
    <row r="141" spans="1:15" ht="20" customHeight="1" x14ac:dyDescent="0.35">
      <c r="A141" s="416" t="str">
        <f>IF(itens_Remanesc!$A130="","",IF(NOT(posicao_contratual!$Z130),itens_Remanesc!$A130,IF(AND(ISNUMBER($D$5),$O141&gt;0),itens_Remanesc!$A130,"")))</f>
        <v/>
      </c>
      <c r="B141" s="417" t="str">
        <f>IF(A141="","",IF(AND(posicao_contratual!$Z130,COUNTIFS(aditivos!$A$2:$A$200,itens_Remanesc!$A130,aditivos!$B$2:$B$200,"&lt;"&amp;(INT($F$3)+1),aditivos!$L$2:$L$200,"&gt;0")=0),0,IF(ISNUMBER(IF($C$3="C0",posicao_contratual!$F130,IF($C$3="C1",posicao_contratual!$J130,IF($C$3="C2",posicao_contratual!$N130,IF($C$3="C3",posicao_contratual!$R130,IF($C$3="C4",posicao_contratual!$V130,"")))))),ROUND(IF($C$3="C0",posicao_contratual!$F130,IF($C$3="C1",posicao_contratual!$J130,IF($C$3="C2",posicao_contratual!$N130,IF($C$3="C3",posicao_contratual!$R130,IF($C$3="C4",posicao_contratual!$V130,"")))))+ROUND(SUMIFS(aditivos!$L$2:$L$200,aditivos!$A$2:$A$200,A141,aditivos!$C$2:$C$200,$C$3,aditivos!$B$2:$B$200,"&lt;"&amp;(INT($F$3)+1)),2),2),IF(ROUND(SUMIFS(aditivos!$L$2:$L$200,aditivos!$A$2:$A$200,A141,aditivos!$C$2:$C$200,$C$3,aditivos!$B$2:$B$200,"&lt;"&amp;(INT($F$3)+1)),2)&gt;0,ROUND(SUMIFS(aditivos!$L$2:$L$200,aditivos!$A$2:$A$200,A141,aditivos!$C$2:$C$200,$C$3,aditivos!$B$2:$B$200,"&lt;"&amp;(INT($F$3)+1)),2),""))))</f>
        <v/>
      </c>
      <c r="C141" s="418"/>
      <c r="D141" s="417" t="str">
        <f t="shared" ref="D141:D172" si="24">IF(OR(A141="",$D$5="",C141=""),"",ROUND(B141+I141-C141,2))</f>
        <v/>
      </c>
      <c r="E141" s="419" t="str">
        <f>IF(A141="","",IF($C$3="C0",historico_VU!$C130,IF($C$3="C1",historico_VU!$D130,IF($C$3="C2",historico_VU!$E130,IF($C$3="C3",historico_VU!$F130,IF($C$3="C4",historico_VU!$G130,""))))))</f>
        <v/>
      </c>
      <c r="F141" s="419" t="str">
        <f t="shared" ref="F141:F172" si="25">IF(OR(D141="",E141=""),"",ROUND(D141*E141,2))</f>
        <v/>
      </c>
      <c r="G141" s="419" t="str">
        <f t="shared" ref="G141:G172" si="26">IF(OR(C141="",E141=""),"",ROUND(C141*E141,2))</f>
        <v/>
      </c>
      <c r="I141" t="str">
        <f>IF(OR(A141="",$D$5="",$F$3=""),"",ROUND(SUMIFS(aditivos!$L$2:$L$200,aditivos!$A$2:$A$200,A141,aditivos!$B$2:$B$200,"&gt;="&amp;(INT($F$3)+1),aditivos!$B$2:$B$200,"&lt;="&amp;$D$5),2))</f>
        <v/>
      </c>
      <c r="J141" t="str">
        <f t="shared" ref="J141:J172" si="27">IF(OR(A141="",D141="",C141="",I141=""),"",ROUND(B141+I141-D141-C141,2))</f>
        <v/>
      </c>
      <c r="K141" t="str">
        <f t="shared" ref="K141:K172" si="28">IF(A141="","",IF(OR(NOT(ISNUMBER($D$5)),NOT(ISNUMBER($F$3)),NOT(ISNUMBER($H$3)),$D$5&lt;$F$3,$D$5&gt;$H$3),"ERRO: DATA FORA DO CICLO",IF(COUNTIF($A$13:$A$211,A141)&gt;1,"ERRO: ITEM DUPLICADO",IF(NOT(ISNUMBER(B141)),"INCOMPLETO: REMANESCENTE INICIAL",IF(C141="","INCOMPLETO: QTD ATUAL",IF(OR(NOT(ISNUMBER(C141)),C141&lt;0),"ERRO: QTD INVALIDA",IF(NOT(ISNUMBER(I141)),"INCOMPLETO: ADITIVOS",IF(C141&gt;B141+I141,"ERRO: REMANESCENTE SUPERA DISPONIVEL",IF(D141&lt;0,"ERRO: CONSUMO NEGATIVO",IF(NOT(ISNUMBER(E141)),"INCOMPLETO: VU",IF(ABS(J141)&gt;0.005,"ERRO: CHECK FISICO","OK")))))))))))</f>
        <v/>
      </c>
      <c r="L141" t="str">
        <f>IF(A141="","",IF($C$3="C0",SUMIFS(itens_Consumidos!$E$2:$E$200,itens_Consumidos!$A$2:$A$200,A141),IF($C$3="C1",SUMIFS(itens_Consumidos!$G$2:$G$200,itens_Consumidos!$A$2:$A$200,A141),IF($C$3="C2",SUMIFS(itens_Consumidos!$I$2:$I$200,itens_Consumidos!$A$2:$A$200,A141),IF($C$3="C3",SUMIFS(itens_Consumidos!$K$2:$K$200,itens_Consumidos!$A$2:$A$200,A141),IF($C$3="C4",SUMIFS(itens_Consumidos!$M$2:$M$200,itens_Consumidos!$A$2:$A$200,A141),""))))))</f>
        <v/>
      </c>
      <c r="M141" t="str">
        <f t="shared" ref="M141:M172" si="29">IF(OR(A141="",D141="",N141=0),"",ROUND(D141-L141,2))</f>
        <v/>
      </c>
      <c r="N141" t="str">
        <f>IF(A141="","",IF($C$3="C0",COUNTIFS(itens_Consumidos!$A$2:$A$200,A141,itens_Consumidos!$E$2:$E$200,"&lt;&gt;"),IF($C$3="C1",COUNTIFS(itens_Consumidos!$A$2:$A$200,A141,itens_Consumidos!$G$2:$G$200,"&lt;&gt;"),IF($C$3="C2",COUNTIFS(itens_Consumidos!$A$2:$A$200,A141,itens_Consumidos!$I$2:$I$200,"&lt;&gt;"),IF($C$3="C3",COUNTIFS(itens_Consumidos!$A$2:$A$200,A141,itens_Consumidos!$K$2:$K$200,"&lt;&gt;"),IF($C$3="C4",COUNTIFS(itens_Consumidos!$A$2:$A$200,A141,itens_Consumidos!$M$2:$M$200,"&lt;&gt;"),""))))))</f>
        <v/>
      </c>
      <c r="O141" t="str">
        <f>IF(itens_Remanesc!$A130="","",COUNTIFS(aditivos!$A$2:$A$200,itens_Remanesc!$A130,aditivos!$B$2:$B$200,"&lt;="&amp;$D$5,aditivos!$L$2:$L$200,"&gt;0"))</f>
        <v/>
      </c>
    </row>
    <row r="142" spans="1:15" ht="20" customHeight="1" x14ac:dyDescent="0.35">
      <c r="A142" s="416" t="str">
        <f>IF(itens_Remanesc!$A131="","",IF(NOT(posicao_contratual!$Z131),itens_Remanesc!$A131,IF(AND(ISNUMBER($D$5),$O142&gt;0),itens_Remanesc!$A131,"")))</f>
        <v/>
      </c>
      <c r="B142" s="417" t="str">
        <f>IF(A142="","",IF(AND(posicao_contratual!$Z131,COUNTIFS(aditivos!$A$2:$A$200,itens_Remanesc!$A131,aditivos!$B$2:$B$200,"&lt;"&amp;(INT($F$3)+1),aditivos!$L$2:$L$200,"&gt;0")=0),0,IF(ISNUMBER(IF($C$3="C0",posicao_contratual!$F131,IF($C$3="C1",posicao_contratual!$J131,IF($C$3="C2",posicao_contratual!$N131,IF($C$3="C3",posicao_contratual!$R131,IF($C$3="C4",posicao_contratual!$V131,"")))))),ROUND(IF($C$3="C0",posicao_contratual!$F131,IF($C$3="C1",posicao_contratual!$J131,IF($C$3="C2",posicao_contratual!$N131,IF($C$3="C3",posicao_contratual!$R131,IF($C$3="C4",posicao_contratual!$V131,"")))))+ROUND(SUMIFS(aditivos!$L$2:$L$200,aditivos!$A$2:$A$200,A142,aditivos!$C$2:$C$200,$C$3,aditivos!$B$2:$B$200,"&lt;"&amp;(INT($F$3)+1)),2),2),IF(ROUND(SUMIFS(aditivos!$L$2:$L$200,aditivos!$A$2:$A$200,A142,aditivos!$C$2:$C$200,$C$3,aditivos!$B$2:$B$200,"&lt;"&amp;(INT($F$3)+1)),2)&gt;0,ROUND(SUMIFS(aditivos!$L$2:$L$200,aditivos!$A$2:$A$200,A142,aditivos!$C$2:$C$200,$C$3,aditivos!$B$2:$B$200,"&lt;"&amp;(INT($F$3)+1)),2),""))))</f>
        <v/>
      </c>
      <c r="C142" s="418"/>
      <c r="D142" s="417" t="str">
        <f t="shared" si="24"/>
        <v/>
      </c>
      <c r="E142" s="419" t="str">
        <f>IF(A142="","",IF($C$3="C0",historico_VU!$C131,IF($C$3="C1",historico_VU!$D131,IF($C$3="C2",historico_VU!$E131,IF($C$3="C3",historico_VU!$F131,IF($C$3="C4",historico_VU!$G131,""))))))</f>
        <v/>
      </c>
      <c r="F142" s="419" t="str">
        <f t="shared" si="25"/>
        <v/>
      </c>
      <c r="G142" s="419" t="str">
        <f t="shared" si="26"/>
        <v/>
      </c>
      <c r="I142" t="str">
        <f>IF(OR(A142="",$D$5="",$F$3=""),"",ROUND(SUMIFS(aditivos!$L$2:$L$200,aditivos!$A$2:$A$200,A142,aditivos!$B$2:$B$200,"&gt;="&amp;(INT($F$3)+1),aditivos!$B$2:$B$200,"&lt;="&amp;$D$5),2))</f>
        <v/>
      </c>
      <c r="J142" t="str">
        <f t="shared" si="27"/>
        <v/>
      </c>
      <c r="K142" t="str">
        <f t="shared" si="28"/>
        <v/>
      </c>
      <c r="L142" t="str">
        <f>IF(A142="","",IF($C$3="C0",SUMIFS(itens_Consumidos!$E$2:$E$200,itens_Consumidos!$A$2:$A$200,A142),IF($C$3="C1",SUMIFS(itens_Consumidos!$G$2:$G$200,itens_Consumidos!$A$2:$A$200,A142),IF($C$3="C2",SUMIFS(itens_Consumidos!$I$2:$I$200,itens_Consumidos!$A$2:$A$200,A142),IF($C$3="C3",SUMIFS(itens_Consumidos!$K$2:$K$200,itens_Consumidos!$A$2:$A$200,A142),IF($C$3="C4",SUMIFS(itens_Consumidos!$M$2:$M$200,itens_Consumidos!$A$2:$A$200,A142),""))))))</f>
        <v/>
      </c>
      <c r="M142" t="str">
        <f t="shared" si="29"/>
        <v/>
      </c>
      <c r="N142" t="str">
        <f>IF(A142="","",IF($C$3="C0",COUNTIFS(itens_Consumidos!$A$2:$A$200,A142,itens_Consumidos!$E$2:$E$200,"&lt;&gt;"),IF($C$3="C1",COUNTIFS(itens_Consumidos!$A$2:$A$200,A142,itens_Consumidos!$G$2:$G$200,"&lt;&gt;"),IF($C$3="C2",COUNTIFS(itens_Consumidos!$A$2:$A$200,A142,itens_Consumidos!$I$2:$I$200,"&lt;&gt;"),IF($C$3="C3",COUNTIFS(itens_Consumidos!$A$2:$A$200,A142,itens_Consumidos!$K$2:$K$200,"&lt;&gt;"),IF($C$3="C4",COUNTIFS(itens_Consumidos!$A$2:$A$200,A142,itens_Consumidos!$M$2:$M$200,"&lt;&gt;"),""))))))</f>
        <v/>
      </c>
      <c r="O142" t="str">
        <f>IF(itens_Remanesc!$A131="","",COUNTIFS(aditivos!$A$2:$A$200,itens_Remanesc!$A131,aditivos!$B$2:$B$200,"&lt;="&amp;$D$5,aditivos!$L$2:$L$200,"&gt;0"))</f>
        <v/>
      </c>
    </row>
    <row r="143" spans="1:15" ht="20" customHeight="1" x14ac:dyDescent="0.35">
      <c r="A143" s="416" t="str">
        <f>IF(itens_Remanesc!$A132="","",IF(NOT(posicao_contratual!$Z132),itens_Remanesc!$A132,IF(AND(ISNUMBER($D$5),$O143&gt;0),itens_Remanesc!$A132,"")))</f>
        <v/>
      </c>
      <c r="B143" s="417" t="str">
        <f>IF(A143="","",IF(AND(posicao_contratual!$Z132,COUNTIFS(aditivos!$A$2:$A$200,itens_Remanesc!$A132,aditivos!$B$2:$B$200,"&lt;"&amp;(INT($F$3)+1),aditivos!$L$2:$L$200,"&gt;0")=0),0,IF(ISNUMBER(IF($C$3="C0",posicao_contratual!$F132,IF($C$3="C1",posicao_contratual!$J132,IF($C$3="C2",posicao_contratual!$N132,IF($C$3="C3",posicao_contratual!$R132,IF($C$3="C4",posicao_contratual!$V132,"")))))),ROUND(IF($C$3="C0",posicao_contratual!$F132,IF($C$3="C1",posicao_contratual!$J132,IF($C$3="C2",posicao_contratual!$N132,IF($C$3="C3",posicao_contratual!$R132,IF($C$3="C4",posicao_contratual!$V132,"")))))+ROUND(SUMIFS(aditivos!$L$2:$L$200,aditivos!$A$2:$A$200,A143,aditivos!$C$2:$C$200,$C$3,aditivos!$B$2:$B$200,"&lt;"&amp;(INT($F$3)+1)),2),2),IF(ROUND(SUMIFS(aditivos!$L$2:$L$200,aditivos!$A$2:$A$200,A143,aditivos!$C$2:$C$200,$C$3,aditivos!$B$2:$B$200,"&lt;"&amp;(INT($F$3)+1)),2)&gt;0,ROUND(SUMIFS(aditivos!$L$2:$L$200,aditivos!$A$2:$A$200,A143,aditivos!$C$2:$C$200,$C$3,aditivos!$B$2:$B$200,"&lt;"&amp;(INT($F$3)+1)),2),""))))</f>
        <v/>
      </c>
      <c r="C143" s="418"/>
      <c r="D143" s="417" t="str">
        <f t="shared" si="24"/>
        <v/>
      </c>
      <c r="E143" s="419" t="str">
        <f>IF(A143="","",IF($C$3="C0",historico_VU!$C132,IF($C$3="C1",historico_VU!$D132,IF($C$3="C2",historico_VU!$E132,IF($C$3="C3",historico_VU!$F132,IF($C$3="C4",historico_VU!$G132,""))))))</f>
        <v/>
      </c>
      <c r="F143" s="419" t="str">
        <f t="shared" si="25"/>
        <v/>
      </c>
      <c r="G143" s="419" t="str">
        <f t="shared" si="26"/>
        <v/>
      </c>
      <c r="I143" t="str">
        <f>IF(OR(A143="",$D$5="",$F$3=""),"",ROUND(SUMIFS(aditivos!$L$2:$L$200,aditivos!$A$2:$A$200,A143,aditivos!$B$2:$B$200,"&gt;="&amp;(INT($F$3)+1),aditivos!$B$2:$B$200,"&lt;="&amp;$D$5),2))</f>
        <v/>
      </c>
      <c r="J143" t="str">
        <f t="shared" si="27"/>
        <v/>
      </c>
      <c r="K143" t="str">
        <f t="shared" si="28"/>
        <v/>
      </c>
      <c r="L143" t="str">
        <f>IF(A143="","",IF($C$3="C0",SUMIFS(itens_Consumidos!$E$2:$E$200,itens_Consumidos!$A$2:$A$200,A143),IF($C$3="C1",SUMIFS(itens_Consumidos!$G$2:$G$200,itens_Consumidos!$A$2:$A$200,A143),IF($C$3="C2",SUMIFS(itens_Consumidos!$I$2:$I$200,itens_Consumidos!$A$2:$A$200,A143),IF($C$3="C3",SUMIFS(itens_Consumidos!$K$2:$K$200,itens_Consumidos!$A$2:$A$200,A143),IF($C$3="C4",SUMIFS(itens_Consumidos!$M$2:$M$200,itens_Consumidos!$A$2:$A$200,A143),""))))))</f>
        <v/>
      </c>
      <c r="M143" t="str">
        <f t="shared" si="29"/>
        <v/>
      </c>
      <c r="N143" t="str">
        <f>IF(A143="","",IF($C$3="C0",COUNTIFS(itens_Consumidos!$A$2:$A$200,A143,itens_Consumidos!$E$2:$E$200,"&lt;&gt;"),IF($C$3="C1",COUNTIFS(itens_Consumidos!$A$2:$A$200,A143,itens_Consumidos!$G$2:$G$200,"&lt;&gt;"),IF($C$3="C2",COUNTIFS(itens_Consumidos!$A$2:$A$200,A143,itens_Consumidos!$I$2:$I$200,"&lt;&gt;"),IF($C$3="C3",COUNTIFS(itens_Consumidos!$A$2:$A$200,A143,itens_Consumidos!$K$2:$K$200,"&lt;&gt;"),IF($C$3="C4",COUNTIFS(itens_Consumidos!$A$2:$A$200,A143,itens_Consumidos!$M$2:$M$200,"&lt;&gt;"),""))))))</f>
        <v/>
      </c>
      <c r="O143" t="str">
        <f>IF(itens_Remanesc!$A132="","",COUNTIFS(aditivos!$A$2:$A$200,itens_Remanesc!$A132,aditivos!$B$2:$B$200,"&lt;="&amp;$D$5,aditivos!$L$2:$L$200,"&gt;0"))</f>
        <v/>
      </c>
    </row>
    <row r="144" spans="1:15" ht="20" customHeight="1" x14ac:dyDescent="0.35">
      <c r="A144" s="416" t="str">
        <f>IF(itens_Remanesc!$A133="","",IF(NOT(posicao_contratual!$Z133),itens_Remanesc!$A133,IF(AND(ISNUMBER($D$5),$O144&gt;0),itens_Remanesc!$A133,"")))</f>
        <v/>
      </c>
      <c r="B144" s="417" t="str">
        <f>IF(A144="","",IF(AND(posicao_contratual!$Z133,COUNTIFS(aditivos!$A$2:$A$200,itens_Remanesc!$A133,aditivos!$B$2:$B$200,"&lt;"&amp;(INT($F$3)+1),aditivos!$L$2:$L$200,"&gt;0")=0),0,IF(ISNUMBER(IF($C$3="C0",posicao_contratual!$F133,IF($C$3="C1",posicao_contratual!$J133,IF($C$3="C2",posicao_contratual!$N133,IF($C$3="C3",posicao_contratual!$R133,IF($C$3="C4",posicao_contratual!$V133,"")))))),ROUND(IF($C$3="C0",posicao_contratual!$F133,IF($C$3="C1",posicao_contratual!$J133,IF($C$3="C2",posicao_contratual!$N133,IF($C$3="C3",posicao_contratual!$R133,IF($C$3="C4",posicao_contratual!$V133,"")))))+ROUND(SUMIFS(aditivos!$L$2:$L$200,aditivos!$A$2:$A$200,A144,aditivos!$C$2:$C$200,$C$3,aditivos!$B$2:$B$200,"&lt;"&amp;(INT($F$3)+1)),2),2),IF(ROUND(SUMIFS(aditivos!$L$2:$L$200,aditivos!$A$2:$A$200,A144,aditivos!$C$2:$C$200,$C$3,aditivos!$B$2:$B$200,"&lt;"&amp;(INT($F$3)+1)),2)&gt;0,ROUND(SUMIFS(aditivos!$L$2:$L$200,aditivos!$A$2:$A$200,A144,aditivos!$C$2:$C$200,$C$3,aditivos!$B$2:$B$200,"&lt;"&amp;(INT($F$3)+1)),2),""))))</f>
        <v/>
      </c>
      <c r="C144" s="418"/>
      <c r="D144" s="417" t="str">
        <f t="shared" si="24"/>
        <v/>
      </c>
      <c r="E144" s="419" t="str">
        <f>IF(A144="","",IF($C$3="C0",historico_VU!$C133,IF($C$3="C1",historico_VU!$D133,IF($C$3="C2",historico_VU!$E133,IF($C$3="C3",historico_VU!$F133,IF($C$3="C4",historico_VU!$G133,""))))))</f>
        <v/>
      </c>
      <c r="F144" s="419" t="str">
        <f t="shared" si="25"/>
        <v/>
      </c>
      <c r="G144" s="419" t="str">
        <f t="shared" si="26"/>
        <v/>
      </c>
      <c r="I144" t="str">
        <f>IF(OR(A144="",$D$5="",$F$3=""),"",ROUND(SUMIFS(aditivos!$L$2:$L$200,aditivos!$A$2:$A$200,A144,aditivos!$B$2:$B$200,"&gt;="&amp;(INT($F$3)+1),aditivos!$B$2:$B$200,"&lt;="&amp;$D$5),2))</f>
        <v/>
      </c>
      <c r="J144" t="str">
        <f t="shared" si="27"/>
        <v/>
      </c>
      <c r="K144" t="str">
        <f t="shared" si="28"/>
        <v/>
      </c>
      <c r="L144" t="str">
        <f>IF(A144="","",IF($C$3="C0",SUMIFS(itens_Consumidos!$E$2:$E$200,itens_Consumidos!$A$2:$A$200,A144),IF($C$3="C1",SUMIFS(itens_Consumidos!$G$2:$G$200,itens_Consumidos!$A$2:$A$200,A144),IF($C$3="C2",SUMIFS(itens_Consumidos!$I$2:$I$200,itens_Consumidos!$A$2:$A$200,A144),IF($C$3="C3",SUMIFS(itens_Consumidos!$K$2:$K$200,itens_Consumidos!$A$2:$A$200,A144),IF($C$3="C4",SUMIFS(itens_Consumidos!$M$2:$M$200,itens_Consumidos!$A$2:$A$200,A144),""))))))</f>
        <v/>
      </c>
      <c r="M144" t="str">
        <f t="shared" si="29"/>
        <v/>
      </c>
      <c r="N144" t="str">
        <f>IF(A144="","",IF($C$3="C0",COUNTIFS(itens_Consumidos!$A$2:$A$200,A144,itens_Consumidos!$E$2:$E$200,"&lt;&gt;"),IF($C$3="C1",COUNTIFS(itens_Consumidos!$A$2:$A$200,A144,itens_Consumidos!$G$2:$G$200,"&lt;&gt;"),IF($C$3="C2",COUNTIFS(itens_Consumidos!$A$2:$A$200,A144,itens_Consumidos!$I$2:$I$200,"&lt;&gt;"),IF($C$3="C3",COUNTIFS(itens_Consumidos!$A$2:$A$200,A144,itens_Consumidos!$K$2:$K$200,"&lt;&gt;"),IF($C$3="C4",COUNTIFS(itens_Consumidos!$A$2:$A$200,A144,itens_Consumidos!$M$2:$M$200,"&lt;&gt;"),""))))))</f>
        <v/>
      </c>
      <c r="O144" t="str">
        <f>IF(itens_Remanesc!$A133="","",COUNTIFS(aditivos!$A$2:$A$200,itens_Remanesc!$A133,aditivos!$B$2:$B$200,"&lt;="&amp;$D$5,aditivos!$L$2:$L$200,"&gt;0"))</f>
        <v/>
      </c>
    </row>
    <row r="145" spans="1:15" ht="20" customHeight="1" x14ac:dyDescent="0.35">
      <c r="A145" s="416" t="str">
        <f>IF(itens_Remanesc!$A134="","",IF(NOT(posicao_contratual!$Z134),itens_Remanesc!$A134,IF(AND(ISNUMBER($D$5),$O145&gt;0),itens_Remanesc!$A134,"")))</f>
        <v/>
      </c>
      <c r="B145" s="417" t="str">
        <f>IF(A145="","",IF(AND(posicao_contratual!$Z134,COUNTIFS(aditivos!$A$2:$A$200,itens_Remanesc!$A134,aditivos!$B$2:$B$200,"&lt;"&amp;(INT($F$3)+1),aditivos!$L$2:$L$200,"&gt;0")=0),0,IF(ISNUMBER(IF($C$3="C0",posicao_contratual!$F134,IF($C$3="C1",posicao_contratual!$J134,IF($C$3="C2",posicao_contratual!$N134,IF($C$3="C3",posicao_contratual!$R134,IF($C$3="C4",posicao_contratual!$V134,"")))))),ROUND(IF($C$3="C0",posicao_contratual!$F134,IF($C$3="C1",posicao_contratual!$J134,IF($C$3="C2",posicao_contratual!$N134,IF($C$3="C3",posicao_contratual!$R134,IF($C$3="C4",posicao_contratual!$V134,"")))))+ROUND(SUMIFS(aditivos!$L$2:$L$200,aditivos!$A$2:$A$200,A145,aditivos!$C$2:$C$200,$C$3,aditivos!$B$2:$B$200,"&lt;"&amp;(INT($F$3)+1)),2),2),IF(ROUND(SUMIFS(aditivos!$L$2:$L$200,aditivos!$A$2:$A$200,A145,aditivos!$C$2:$C$200,$C$3,aditivos!$B$2:$B$200,"&lt;"&amp;(INT($F$3)+1)),2)&gt;0,ROUND(SUMIFS(aditivos!$L$2:$L$200,aditivos!$A$2:$A$200,A145,aditivos!$C$2:$C$200,$C$3,aditivos!$B$2:$B$200,"&lt;"&amp;(INT($F$3)+1)),2),""))))</f>
        <v/>
      </c>
      <c r="C145" s="418"/>
      <c r="D145" s="417" t="str">
        <f t="shared" si="24"/>
        <v/>
      </c>
      <c r="E145" s="419" t="str">
        <f>IF(A145="","",IF($C$3="C0",historico_VU!$C134,IF($C$3="C1",historico_VU!$D134,IF($C$3="C2",historico_VU!$E134,IF($C$3="C3",historico_VU!$F134,IF($C$3="C4",historico_VU!$G134,""))))))</f>
        <v/>
      </c>
      <c r="F145" s="419" t="str">
        <f t="shared" si="25"/>
        <v/>
      </c>
      <c r="G145" s="419" t="str">
        <f t="shared" si="26"/>
        <v/>
      </c>
      <c r="I145" t="str">
        <f>IF(OR(A145="",$D$5="",$F$3=""),"",ROUND(SUMIFS(aditivos!$L$2:$L$200,aditivos!$A$2:$A$200,A145,aditivos!$B$2:$B$200,"&gt;="&amp;(INT($F$3)+1),aditivos!$B$2:$B$200,"&lt;="&amp;$D$5),2))</f>
        <v/>
      </c>
      <c r="J145" t="str">
        <f t="shared" si="27"/>
        <v/>
      </c>
      <c r="K145" t="str">
        <f t="shared" si="28"/>
        <v/>
      </c>
      <c r="L145" t="str">
        <f>IF(A145="","",IF($C$3="C0",SUMIFS(itens_Consumidos!$E$2:$E$200,itens_Consumidos!$A$2:$A$200,A145),IF($C$3="C1",SUMIFS(itens_Consumidos!$G$2:$G$200,itens_Consumidos!$A$2:$A$200,A145),IF($C$3="C2",SUMIFS(itens_Consumidos!$I$2:$I$200,itens_Consumidos!$A$2:$A$200,A145),IF($C$3="C3",SUMIFS(itens_Consumidos!$K$2:$K$200,itens_Consumidos!$A$2:$A$200,A145),IF($C$3="C4",SUMIFS(itens_Consumidos!$M$2:$M$200,itens_Consumidos!$A$2:$A$200,A145),""))))))</f>
        <v/>
      </c>
      <c r="M145" t="str">
        <f t="shared" si="29"/>
        <v/>
      </c>
      <c r="N145" t="str">
        <f>IF(A145="","",IF($C$3="C0",COUNTIFS(itens_Consumidos!$A$2:$A$200,A145,itens_Consumidos!$E$2:$E$200,"&lt;&gt;"),IF($C$3="C1",COUNTIFS(itens_Consumidos!$A$2:$A$200,A145,itens_Consumidos!$G$2:$G$200,"&lt;&gt;"),IF($C$3="C2",COUNTIFS(itens_Consumidos!$A$2:$A$200,A145,itens_Consumidos!$I$2:$I$200,"&lt;&gt;"),IF($C$3="C3",COUNTIFS(itens_Consumidos!$A$2:$A$200,A145,itens_Consumidos!$K$2:$K$200,"&lt;&gt;"),IF($C$3="C4",COUNTIFS(itens_Consumidos!$A$2:$A$200,A145,itens_Consumidos!$M$2:$M$200,"&lt;&gt;"),""))))))</f>
        <v/>
      </c>
      <c r="O145" t="str">
        <f>IF(itens_Remanesc!$A134="","",COUNTIFS(aditivos!$A$2:$A$200,itens_Remanesc!$A134,aditivos!$B$2:$B$200,"&lt;="&amp;$D$5,aditivos!$L$2:$L$200,"&gt;0"))</f>
        <v/>
      </c>
    </row>
    <row r="146" spans="1:15" ht="20" customHeight="1" x14ac:dyDescent="0.35">
      <c r="A146" s="416" t="str">
        <f>IF(itens_Remanesc!$A135="","",IF(NOT(posicao_contratual!$Z135),itens_Remanesc!$A135,IF(AND(ISNUMBER($D$5),$O146&gt;0),itens_Remanesc!$A135,"")))</f>
        <v/>
      </c>
      <c r="B146" s="417" t="str">
        <f>IF(A146="","",IF(AND(posicao_contratual!$Z135,COUNTIFS(aditivos!$A$2:$A$200,itens_Remanesc!$A135,aditivos!$B$2:$B$200,"&lt;"&amp;(INT($F$3)+1),aditivos!$L$2:$L$200,"&gt;0")=0),0,IF(ISNUMBER(IF($C$3="C0",posicao_contratual!$F135,IF($C$3="C1",posicao_contratual!$J135,IF($C$3="C2",posicao_contratual!$N135,IF($C$3="C3",posicao_contratual!$R135,IF($C$3="C4",posicao_contratual!$V135,"")))))),ROUND(IF($C$3="C0",posicao_contratual!$F135,IF($C$3="C1",posicao_contratual!$J135,IF($C$3="C2",posicao_contratual!$N135,IF($C$3="C3",posicao_contratual!$R135,IF($C$3="C4",posicao_contratual!$V135,"")))))+ROUND(SUMIFS(aditivos!$L$2:$L$200,aditivos!$A$2:$A$200,A146,aditivos!$C$2:$C$200,$C$3,aditivos!$B$2:$B$200,"&lt;"&amp;(INT($F$3)+1)),2),2),IF(ROUND(SUMIFS(aditivos!$L$2:$L$200,aditivos!$A$2:$A$200,A146,aditivos!$C$2:$C$200,$C$3,aditivos!$B$2:$B$200,"&lt;"&amp;(INT($F$3)+1)),2)&gt;0,ROUND(SUMIFS(aditivos!$L$2:$L$200,aditivos!$A$2:$A$200,A146,aditivos!$C$2:$C$200,$C$3,aditivos!$B$2:$B$200,"&lt;"&amp;(INT($F$3)+1)),2),""))))</f>
        <v/>
      </c>
      <c r="C146" s="418"/>
      <c r="D146" s="417" t="str">
        <f t="shared" si="24"/>
        <v/>
      </c>
      <c r="E146" s="419" t="str">
        <f>IF(A146="","",IF($C$3="C0",historico_VU!$C135,IF($C$3="C1",historico_VU!$D135,IF($C$3="C2",historico_VU!$E135,IF($C$3="C3",historico_VU!$F135,IF($C$3="C4",historico_VU!$G135,""))))))</f>
        <v/>
      </c>
      <c r="F146" s="419" t="str">
        <f t="shared" si="25"/>
        <v/>
      </c>
      <c r="G146" s="419" t="str">
        <f t="shared" si="26"/>
        <v/>
      </c>
      <c r="I146" t="str">
        <f>IF(OR(A146="",$D$5="",$F$3=""),"",ROUND(SUMIFS(aditivos!$L$2:$L$200,aditivos!$A$2:$A$200,A146,aditivos!$B$2:$B$200,"&gt;="&amp;(INT($F$3)+1),aditivos!$B$2:$B$200,"&lt;="&amp;$D$5),2))</f>
        <v/>
      </c>
      <c r="J146" t="str">
        <f t="shared" si="27"/>
        <v/>
      </c>
      <c r="K146" t="str">
        <f t="shared" si="28"/>
        <v/>
      </c>
      <c r="L146" t="str">
        <f>IF(A146="","",IF($C$3="C0",SUMIFS(itens_Consumidos!$E$2:$E$200,itens_Consumidos!$A$2:$A$200,A146),IF($C$3="C1",SUMIFS(itens_Consumidos!$G$2:$G$200,itens_Consumidos!$A$2:$A$200,A146),IF($C$3="C2",SUMIFS(itens_Consumidos!$I$2:$I$200,itens_Consumidos!$A$2:$A$200,A146),IF($C$3="C3",SUMIFS(itens_Consumidos!$K$2:$K$200,itens_Consumidos!$A$2:$A$200,A146),IF($C$3="C4",SUMIFS(itens_Consumidos!$M$2:$M$200,itens_Consumidos!$A$2:$A$200,A146),""))))))</f>
        <v/>
      </c>
      <c r="M146" t="str">
        <f t="shared" si="29"/>
        <v/>
      </c>
      <c r="N146" t="str">
        <f>IF(A146="","",IF($C$3="C0",COUNTIFS(itens_Consumidos!$A$2:$A$200,A146,itens_Consumidos!$E$2:$E$200,"&lt;&gt;"),IF($C$3="C1",COUNTIFS(itens_Consumidos!$A$2:$A$200,A146,itens_Consumidos!$G$2:$G$200,"&lt;&gt;"),IF($C$3="C2",COUNTIFS(itens_Consumidos!$A$2:$A$200,A146,itens_Consumidos!$I$2:$I$200,"&lt;&gt;"),IF($C$3="C3",COUNTIFS(itens_Consumidos!$A$2:$A$200,A146,itens_Consumidos!$K$2:$K$200,"&lt;&gt;"),IF($C$3="C4",COUNTIFS(itens_Consumidos!$A$2:$A$200,A146,itens_Consumidos!$M$2:$M$200,"&lt;&gt;"),""))))))</f>
        <v/>
      </c>
      <c r="O146" t="str">
        <f>IF(itens_Remanesc!$A135="","",COUNTIFS(aditivos!$A$2:$A$200,itens_Remanesc!$A135,aditivos!$B$2:$B$200,"&lt;="&amp;$D$5,aditivos!$L$2:$L$200,"&gt;0"))</f>
        <v/>
      </c>
    </row>
    <row r="147" spans="1:15" ht="20" customHeight="1" x14ac:dyDescent="0.35">
      <c r="A147" s="416" t="str">
        <f>IF(itens_Remanesc!$A136="","",IF(NOT(posicao_contratual!$Z136),itens_Remanesc!$A136,IF(AND(ISNUMBER($D$5),$O147&gt;0),itens_Remanesc!$A136,"")))</f>
        <v/>
      </c>
      <c r="B147" s="417" t="str">
        <f>IF(A147="","",IF(AND(posicao_contratual!$Z136,COUNTIFS(aditivos!$A$2:$A$200,itens_Remanesc!$A136,aditivos!$B$2:$B$200,"&lt;"&amp;(INT($F$3)+1),aditivos!$L$2:$L$200,"&gt;0")=0),0,IF(ISNUMBER(IF($C$3="C0",posicao_contratual!$F136,IF($C$3="C1",posicao_contratual!$J136,IF($C$3="C2",posicao_contratual!$N136,IF($C$3="C3",posicao_contratual!$R136,IF($C$3="C4",posicao_contratual!$V136,"")))))),ROUND(IF($C$3="C0",posicao_contratual!$F136,IF($C$3="C1",posicao_contratual!$J136,IF($C$3="C2",posicao_contratual!$N136,IF($C$3="C3",posicao_contratual!$R136,IF($C$3="C4",posicao_contratual!$V136,"")))))+ROUND(SUMIFS(aditivos!$L$2:$L$200,aditivos!$A$2:$A$200,A147,aditivos!$C$2:$C$200,$C$3,aditivos!$B$2:$B$200,"&lt;"&amp;(INT($F$3)+1)),2),2),IF(ROUND(SUMIFS(aditivos!$L$2:$L$200,aditivos!$A$2:$A$200,A147,aditivos!$C$2:$C$200,$C$3,aditivos!$B$2:$B$200,"&lt;"&amp;(INT($F$3)+1)),2)&gt;0,ROUND(SUMIFS(aditivos!$L$2:$L$200,aditivos!$A$2:$A$200,A147,aditivos!$C$2:$C$200,$C$3,aditivos!$B$2:$B$200,"&lt;"&amp;(INT($F$3)+1)),2),""))))</f>
        <v/>
      </c>
      <c r="C147" s="418"/>
      <c r="D147" s="417" t="str">
        <f t="shared" si="24"/>
        <v/>
      </c>
      <c r="E147" s="419" t="str">
        <f>IF(A147="","",IF($C$3="C0",historico_VU!$C136,IF($C$3="C1",historico_VU!$D136,IF($C$3="C2",historico_VU!$E136,IF($C$3="C3",historico_VU!$F136,IF($C$3="C4",historico_VU!$G136,""))))))</f>
        <v/>
      </c>
      <c r="F147" s="419" t="str">
        <f t="shared" si="25"/>
        <v/>
      </c>
      <c r="G147" s="419" t="str">
        <f t="shared" si="26"/>
        <v/>
      </c>
      <c r="I147" t="str">
        <f>IF(OR(A147="",$D$5="",$F$3=""),"",ROUND(SUMIFS(aditivos!$L$2:$L$200,aditivos!$A$2:$A$200,A147,aditivos!$B$2:$B$200,"&gt;="&amp;(INT($F$3)+1),aditivos!$B$2:$B$200,"&lt;="&amp;$D$5),2))</f>
        <v/>
      </c>
      <c r="J147" t="str">
        <f t="shared" si="27"/>
        <v/>
      </c>
      <c r="K147" t="str">
        <f t="shared" si="28"/>
        <v/>
      </c>
      <c r="L147" t="str">
        <f>IF(A147="","",IF($C$3="C0",SUMIFS(itens_Consumidos!$E$2:$E$200,itens_Consumidos!$A$2:$A$200,A147),IF($C$3="C1",SUMIFS(itens_Consumidos!$G$2:$G$200,itens_Consumidos!$A$2:$A$200,A147),IF($C$3="C2",SUMIFS(itens_Consumidos!$I$2:$I$200,itens_Consumidos!$A$2:$A$200,A147),IF($C$3="C3",SUMIFS(itens_Consumidos!$K$2:$K$200,itens_Consumidos!$A$2:$A$200,A147),IF($C$3="C4",SUMIFS(itens_Consumidos!$M$2:$M$200,itens_Consumidos!$A$2:$A$200,A147),""))))))</f>
        <v/>
      </c>
      <c r="M147" t="str">
        <f t="shared" si="29"/>
        <v/>
      </c>
      <c r="N147" t="str">
        <f>IF(A147="","",IF($C$3="C0",COUNTIFS(itens_Consumidos!$A$2:$A$200,A147,itens_Consumidos!$E$2:$E$200,"&lt;&gt;"),IF($C$3="C1",COUNTIFS(itens_Consumidos!$A$2:$A$200,A147,itens_Consumidos!$G$2:$G$200,"&lt;&gt;"),IF($C$3="C2",COUNTIFS(itens_Consumidos!$A$2:$A$200,A147,itens_Consumidos!$I$2:$I$200,"&lt;&gt;"),IF($C$3="C3",COUNTIFS(itens_Consumidos!$A$2:$A$200,A147,itens_Consumidos!$K$2:$K$200,"&lt;&gt;"),IF($C$3="C4",COUNTIFS(itens_Consumidos!$A$2:$A$200,A147,itens_Consumidos!$M$2:$M$200,"&lt;&gt;"),""))))))</f>
        <v/>
      </c>
      <c r="O147" t="str">
        <f>IF(itens_Remanesc!$A136="","",COUNTIFS(aditivos!$A$2:$A$200,itens_Remanesc!$A136,aditivos!$B$2:$B$200,"&lt;="&amp;$D$5,aditivos!$L$2:$L$200,"&gt;0"))</f>
        <v/>
      </c>
    </row>
    <row r="148" spans="1:15" ht="20" customHeight="1" x14ac:dyDescent="0.35">
      <c r="A148" s="416" t="str">
        <f>IF(itens_Remanesc!$A137="","",IF(NOT(posicao_contratual!$Z137),itens_Remanesc!$A137,IF(AND(ISNUMBER($D$5),$O148&gt;0),itens_Remanesc!$A137,"")))</f>
        <v/>
      </c>
      <c r="B148" s="417" t="str">
        <f>IF(A148="","",IF(AND(posicao_contratual!$Z137,COUNTIFS(aditivos!$A$2:$A$200,itens_Remanesc!$A137,aditivos!$B$2:$B$200,"&lt;"&amp;(INT($F$3)+1),aditivos!$L$2:$L$200,"&gt;0")=0),0,IF(ISNUMBER(IF($C$3="C0",posicao_contratual!$F137,IF($C$3="C1",posicao_contratual!$J137,IF($C$3="C2",posicao_contratual!$N137,IF($C$3="C3",posicao_contratual!$R137,IF($C$3="C4",posicao_contratual!$V137,"")))))),ROUND(IF($C$3="C0",posicao_contratual!$F137,IF($C$3="C1",posicao_contratual!$J137,IF($C$3="C2",posicao_contratual!$N137,IF($C$3="C3",posicao_contratual!$R137,IF($C$3="C4",posicao_contratual!$V137,"")))))+ROUND(SUMIFS(aditivos!$L$2:$L$200,aditivos!$A$2:$A$200,A148,aditivos!$C$2:$C$200,$C$3,aditivos!$B$2:$B$200,"&lt;"&amp;(INT($F$3)+1)),2),2),IF(ROUND(SUMIFS(aditivos!$L$2:$L$200,aditivos!$A$2:$A$200,A148,aditivos!$C$2:$C$200,$C$3,aditivos!$B$2:$B$200,"&lt;"&amp;(INT($F$3)+1)),2)&gt;0,ROUND(SUMIFS(aditivos!$L$2:$L$200,aditivos!$A$2:$A$200,A148,aditivos!$C$2:$C$200,$C$3,aditivos!$B$2:$B$200,"&lt;"&amp;(INT($F$3)+1)),2),""))))</f>
        <v/>
      </c>
      <c r="C148" s="418"/>
      <c r="D148" s="417" t="str">
        <f t="shared" si="24"/>
        <v/>
      </c>
      <c r="E148" s="419" t="str">
        <f>IF(A148="","",IF($C$3="C0",historico_VU!$C137,IF($C$3="C1",historico_VU!$D137,IF($C$3="C2",historico_VU!$E137,IF($C$3="C3",historico_VU!$F137,IF($C$3="C4",historico_VU!$G137,""))))))</f>
        <v/>
      </c>
      <c r="F148" s="419" t="str">
        <f t="shared" si="25"/>
        <v/>
      </c>
      <c r="G148" s="419" t="str">
        <f t="shared" si="26"/>
        <v/>
      </c>
      <c r="I148" t="str">
        <f>IF(OR(A148="",$D$5="",$F$3=""),"",ROUND(SUMIFS(aditivos!$L$2:$L$200,aditivos!$A$2:$A$200,A148,aditivos!$B$2:$B$200,"&gt;="&amp;(INT($F$3)+1),aditivos!$B$2:$B$200,"&lt;="&amp;$D$5),2))</f>
        <v/>
      </c>
      <c r="J148" t="str">
        <f t="shared" si="27"/>
        <v/>
      </c>
      <c r="K148" t="str">
        <f t="shared" si="28"/>
        <v/>
      </c>
      <c r="L148" t="str">
        <f>IF(A148="","",IF($C$3="C0",SUMIFS(itens_Consumidos!$E$2:$E$200,itens_Consumidos!$A$2:$A$200,A148),IF($C$3="C1",SUMIFS(itens_Consumidos!$G$2:$G$200,itens_Consumidos!$A$2:$A$200,A148),IF($C$3="C2",SUMIFS(itens_Consumidos!$I$2:$I$200,itens_Consumidos!$A$2:$A$200,A148),IF($C$3="C3",SUMIFS(itens_Consumidos!$K$2:$K$200,itens_Consumidos!$A$2:$A$200,A148),IF($C$3="C4",SUMIFS(itens_Consumidos!$M$2:$M$200,itens_Consumidos!$A$2:$A$200,A148),""))))))</f>
        <v/>
      </c>
      <c r="M148" t="str">
        <f t="shared" si="29"/>
        <v/>
      </c>
      <c r="N148" t="str">
        <f>IF(A148="","",IF($C$3="C0",COUNTIFS(itens_Consumidos!$A$2:$A$200,A148,itens_Consumidos!$E$2:$E$200,"&lt;&gt;"),IF($C$3="C1",COUNTIFS(itens_Consumidos!$A$2:$A$200,A148,itens_Consumidos!$G$2:$G$200,"&lt;&gt;"),IF($C$3="C2",COUNTIFS(itens_Consumidos!$A$2:$A$200,A148,itens_Consumidos!$I$2:$I$200,"&lt;&gt;"),IF($C$3="C3",COUNTIFS(itens_Consumidos!$A$2:$A$200,A148,itens_Consumidos!$K$2:$K$200,"&lt;&gt;"),IF($C$3="C4",COUNTIFS(itens_Consumidos!$A$2:$A$200,A148,itens_Consumidos!$M$2:$M$200,"&lt;&gt;"),""))))))</f>
        <v/>
      </c>
      <c r="O148" t="str">
        <f>IF(itens_Remanesc!$A137="","",COUNTIFS(aditivos!$A$2:$A$200,itens_Remanesc!$A137,aditivos!$B$2:$B$200,"&lt;="&amp;$D$5,aditivos!$L$2:$L$200,"&gt;0"))</f>
        <v/>
      </c>
    </row>
    <row r="149" spans="1:15" ht="20" customHeight="1" x14ac:dyDescent="0.35">
      <c r="A149" s="416" t="str">
        <f>IF(itens_Remanesc!$A138="","",IF(NOT(posicao_contratual!$Z138),itens_Remanesc!$A138,IF(AND(ISNUMBER($D$5),$O149&gt;0),itens_Remanesc!$A138,"")))</f>
        <v/>
      </c>
      <c r="B149" s="417" t="str">
        <f>IF(A149="","",IF(AND(posicao_contratual!$Z138,COUNTIFS(aditivos!$A$2:$A$200,itens_Remanesc!$A138,aditivos!$B$2:$B$200,"&lt;"&amp;(INT($F$3)+1),aditivos!$L$2:$L$200,"&gt;0")=0),0,IF(ISNUMBER(IF($C$3="C0",posicao_contratual!$F138,IF($C$3="C1",posicao_contratual!$J138,IF($C$3="C2",posicao_contratual!$N138,IF($C$3="C3",posicao_contratual!$R138,IF($C$3="C4",posicao_contratual!$V138,"")))))),ROUND(IF($C$3="C0",posicao_contratual!$F138,IF($C$3="C1",posicao_contratual!$J138,IF($C$3="C2",posicao_contratual!$N138,IF($C$3="C3",posicao_contratual!$R138,IF($C$3="C4",posicao_contratual!$V138,"")))))+ROUND(SUMIFS(aditivos!$L$2:$L$200,aditivos!$A$2:$A$200,A149,aditivos!$C$2:$C$200,$C$3,aditivos!$B$2:$B$200,"&lt;"&amp;(INT($F$3)+1)),2),2),IF(ROUND(SUMIFS(aditivos!$L$2:$L$200,aditivos!$A$2:$A$200,A149,aditivos!$C$2:$C$200,$C$3,aditivos!$B$2:$B$200,"&lt;"&amp;(INT($F$3)+1)),2)&gt;0,ROUND(SUMIFS(aditivos!$L$2:$L$200,aditivos!$A$2:$A$200,A149,aditivos!$C$2:$C$200,$C$3,aditivos!$B$2:$B$200,"&lt;"&amp;(INT($F$3)+1)),2),""))))</f>
        <v/>
      </c>
      <c r="C149" s="418"/>
      <c r="D149" s="417" t="str">
        <f t="shared" si="24"/>
        <v/>
      </c>
      <c r="E149" s="419" t="str">
        <f>IF(A149="","",IF($C$3="C0",historico_VU!$C138,IF($C$3="C1",historico_VU!$D138,IF($C$3="C2",historico_VU!$E138,IF($C$3="C3",historico_VU!$F138,IF($C$3="C4",historico_VU!$G138,""))))))</f>
        <v/>
      </c>
      <c r="F149" s="419" t="str">
        <f t="shared" si="25"/>
        <v/>
      </c>
      <c r="G149" s="419" t="str">
        <f t="shared" si="26"/>
        <v/>
      </c>
      <c r="I149" t="str">
        <f>IF(OR(A149="",$D$5="",$F$3=""),"",ROUND(SUMIFS(aditivos!$L$2:$L$200,aditivos!$A$2:$A$200,A149,aditivos!$B$2:$B$200,"&gt;="&amp;(INT($F$3)+1),aditivos!$B$2:$B$200,"&lt;="&amp;$D$5),2))</f>
        <v/>
      </c>
      <c r="J149" t="str">
        <f t="shared" si="27"/>
        <v/>
      </c>
      <c r="K149" t="str">
        <f t="shared" si="28"/>
        <v/>
      </c>
      <c r="L149" t="str">
        <f>IF(A149="","",IF($C$3="C0",SUMIFS(itens_Consumidos!$E$2:$E$200,itens_Consumidos!$A$2:$A$200,A149),IF($C$3="C1",SUMIFS(itens_Consumidos!$G$2:$G$200,itens_Consumidos!$A$2:$A$200,A149),IF($C$3="C2",SUMIFS(itens_Consumidos!$I$2:$I$200,itens_Consumidos!$A$2:$A$200,A149),IF($C$3="C3",SUMIFS(itens_Consumidos!$K$2:$K$200,itens_Consumidos!$A$2:$A$200,A149),IF($C$3="C4",SUMIFS(itens_Consumidos!$M$2:$M$200,itens_Consumidos!$A$2:$A$200,A149),""))))))</f>
        <v/>
      </c>
      <c r="M149" t="str">
        <f t="shared" si="29"/>
        <v/>
      </c>
      <c r="N149" t="str">
        <f>IF(A149="","",IF($C$3="C0",COUNTIFS(itens_Consumidos!$A$2:$A$200,A149,itens_Consumidos!$E$2:$E$200,"&lt;&gt;"),IF($C$3="C1",COUNTIFS(itens_Consumidos!$A$2:$A$200,A149,itens_Consumidos!$G$2:$G$200,"&lt;&gt;"),IF($C$3="C2",COUNTIFS(itens_Consumidos!$A$2:$A$200,A149,itens_Consumidos!$I$2:$I$200,"&lt;&gt;"),IF($C$3="C3",COUNTIFS(itens_Consumidos!$A$2:$A$200,A149,itens_Consumidos!$K$2:$K$200,"&lt;&gt;"),IF($C$3="C4",COUNTIFS(itens_Consumidos!$A$2:$A$200,A149,itens_Consumidos!$M$2:$M$200,"&lt;&gt;"),""))))))</f>
        <v/>
      </c>
      <c r="O149" t="str">
        <f>IF(itens_Remanesc!$A138="","",COUNTIFS(aditivos!$A$2:$A$200,itens_Remanesc!$A138,aditivos!$B$2:$B$200,"&lt;="&amp;$D$5,aditivos!$L$2:$L$200,"&gt;0"))</f>
        <v/>
      </c>
    </row>
    <row r="150" spans="1:15" ht="20" customHeight="1" x14ac:dyDescent="0.35">
      <c r="A150" s="416" t="str">
        <f>IF(itens_Remanesc!$A139="","",IF(NOT(posicao_contratual!$Z139),itens_Remanesc!$A139,IF(AND(ISNUMBER($D$5),$O150&gt;0),itens_Remanesc!$A139,"")))</f>
        <v/>
      </c>
      <c r="B150" s="417" t="str">
        <f>IF(A150="","",IF(AND(posicao_contratual!$Z139,COUNTIFS(aditivos!$A$2:$A$200,itens_Remanesc!$A139,aditivos!$B$2:$B$200,"&lt;"&amp;(INT($F$3)+1),aditivos!$L$2:$L$200,"&gt;0")=0),0,IF(ISNUMBER(IF($C$3="C0",posicao_contratual!$F139,IF($C$3="C1",posicao_contratual!$J139,IF($C$3="C2",posicao_contratual!$N139,IF($C$3="C3",posicao_contratual!$R139,IF($C$3="C4",posicao_contratual!$V139,"")))))),ROUND(IF($C$3="C0",posicao_contratual!$F139,IF($C$3="C1",posicao_contratual!$J139,IF($C$3="C2",posicao_contratual!$N139,IF($C$3="C3",posicao_contratual!$R139,IF($C$3="C4",posicao_contratual!$V139,"")))))+ROUND(SUMIFS(aditivos!$L$2:$L$200,aditivos!$A$2:$A$200,A150,aditivos!$C$2:$C$200,$C$3,aditivos!$B$2:$B$200,"&lt;"&amp;(INT($F$3)+1)),2),2),IF(ROUND(SUMIFS(aditivos!$L$2:$L$200,aditivos!$A$2:$A$200,A150,aditivos!$C$2:$C$200,$C$3,aditivos!$B$2:$B$200,"&lt;"&amp;(INT($F$3)+1)),2)&gt;0,ROUND(SUMIFS(aditivos!$L$2:$L$200,aditivos!$A$2:$A$200,A150,aditivos!$C$2:$C$200,$C$3,aditivos!$B$2:$B$200,"&lt;"&amp;(INT($F$3)+1)),2),""))))</f>
        <v/>
      </c>
      <c r="C150" s="418"/>
      <c r="D150" s="417" t="str">
        <f t="shared" si="24"/>
        <v/>
      </c>
      <c r="E150" s="419" t="str">
        <f>IF(A150="","",IF($C$3="C0",historico_VU!$C139,IF($C$3="C1",historico_VU!$D139,IF($C$3="C2",historico_VU!$E139,IF($C$3="C3",historico_VU!$F139,IF($C$3="C4",historico_VU!$G139,""))))))</f>
        <v/>
      </c>
      <c r="F150" s="419" t="str">
        <f t="shared" si="25"/>
        <v/>
      </c>
      <c r="G150" s="419" t="str">
        <f t="shared" si="26"/>
        <v/>
      </c>
      <c r="I150" t="str">
        <f>IF(OR(A150="",$D$5="",$F$3=""),"",ROUND(SUMIFS(aditivos!$L$2:$L$200,aditivos!$A$2:$A$200,A150,aditivos!$B$2:$B$200,"&gt;="&amp;(INT($F$3)+1),aditivos!$B$2:$B$200,"&lt;="&amp;$D$5),2))</f>
        <v/>
      </c>
      <c r="J150" t="str">
        <f t="shared" si="27"/>
        <v/>
      </c>
      <c r="K150" t="str">
        <f t="shared" si="28"/>
        <v/>
      </c>
      <c r="L150" t="str">
        <f>IF(A150="","",IF($C$3="C0",SUMIFS(itens_Consumidos!$E$2:$E$200,itens_Consumidos!$A$2:$A$200,A150),IF($C$3="C1",SUMIFS(itens_Consumidos!$G$2:$G$200,itens_Consumidos!$A$2:$A$200,A150),IF($C$3="C2",SUMIFS(itens_Consumidos!$I$2:$I$200,itens_Consumidos!$A$2:$A$200,A150),IF($C$3="C3",SUMIFS(itens_Consumidos!$K$2:$K$200,itens_Consumidos!$A$2:$A$200,A150),IF($C$3="C4",SUMIFS(itens_Consumidos!$M$2:$M$200,itens_Consumidos!$A$2:$A$200,A150),""))))))</f>
        <v/>
      </c>
      <c r="M150" t="str">
        <f t="shared" si="29"/>
        <v/>
      </c>
      <c r="N150" t="str">
        <f>IF(A150="","",IF($C$3="C0",COUNTIFS(itens_Consumidos!$A$2:$A$200,A150,itens_Consumidos!$E$2:$E$200,"&lt;&gt;"),IF($C$3="C1",COUNTIFS(itens_Consumidos!$A$2:$A$200,A150,itens_Consumidos!$G$2:$G$200,"&lt;&gt;"),IF($C$3="C2",COUNTIFS(itens_Consumidos!$A$2:$A$200,A150,itens_Consumidos!$I$2:$I$200,"&lt;&gt;"),IF($C$3="C3",COUNTIFS(itens_Consumidos!$A$2:$A$200,A150,itens_Consumidos!$K$2:$K$200,"&lt;&gt;"),IF($C$3="C4",COUNTIFS(itens_Consumidos!$A$2:$A$200,A150,itens_Consumidos!$M$2:$M$200,"&lt;&gt;"),""))))))</f>
        <v/>
      </c>
      <c r="O150" t="str">
        <f>IF(itens_Remanesc!$A139="","",COUNTIFS(aditivos!$A$2:$A$200,itens_Remanesc!$A139,aditivos!$B$2:$B$200,"&lt;="&amp;$D$5,aditivos!$L$2:$L$200,"&gt;0"))</f>
        <v/>
      </c>
    </row>
    <row r="151" spans="1:15" ht="20" customHeight="1" x14ac:dyDescent="0.35">
      <c r="A151" s="416" t="str">
        <f>IF(itens_Remanesc!$A140="","",IF(NOT(posicao_contratual!$Z140),itens_Remanesc!$A140,IF(AND(ISNUMBER($D$5),$O151&gt;0),itens_Remanesc!$A140,"")))</f>
        <v/>
      </c>
      <c r="B151" s="417" t="str">
        <f>IF(A151="","",IF(AND(posicao_contratual!$Z140,COUNTIFS(aditivos!$A$2:$A$200,itens_Remanesc!$A140,aditivos!$B$2:$B$200,"&lt;"&amp;(INT($F$3)+1),aditivos!$L$2:$L$200,"&gt;0")=0),0,IF(ISNUMBER(IF($C$3="C0",posicao_contratual!$F140,IF($C$3="C1",posicao_contratual!$J140,IF($C$3="C2",posicao_contratual!$N140,IF($C$3="C3",posicao_contratual!$R140,IF($C$3="C4",posicao_contratual!$V140,"")))))),ROUND(IF($C$3="C0",posicao_contratual!$F140,IF($C$3="C1",posicao_contratual!$J140,IF($C$3="C2",posicao_contratual!$N140,IF($C$3="C3",posicao_contratual!$R140,IF($C$3="C4",posicao_contratual!$V140,"")))))+ROUND(SUMIFS(aditivos!$L$2:$L$200,aditivos!$A$2:$A$200,A151,aditivos!$C$2:$C$200,$C$3,aditivos!$B$2:$B$200,"&lt;"&amp;(INT($F$3)+1)),2),2),IF(ROUND(SUMIFS(aditivos!$L$2:$L$200,aditivos!$A$2:$A$200,A151,aditivos!$C$2:$C$200,$C$3,aditivos!$B$2:$B$200,"&lt;"&amp;(INT($F$3)+1)),2)&gt;0,ROUND(SUMIFS(aditivos!$L$2:$L$200,aditivos!$A$2:$A$200,A151,aditivos!$C$2:$C$200,$C$3,aditivos!$B$2:$B$200,"&lt;"&amp;(INT($F$3)+1)),2),""))))</f>
        <v/>
      </c>
      <c r="C151" s="418"/>
      <c r="D151" s="417" t="str">
        <f t="shared" si="24"/>
        <v/>
      </c>
      <c r="E151" s="419" t="str">
        <f>IF(A151="","",IF($C$3="C0",historico_VU!$C140,IF($C$3="C1",historico_VU!$D140,IF($C$3="C2",historico_VU!$E140,IF($C$3="C3",historico_VU!$F140,IF($C$3="C4",historico_VU!$G140,""))))))</f>
        <v/>
      </c>
      <c r="F151" s="419" t="str">
        <f t="shared" si="25"/>
        <v/>
      </c>
      <c r="G151" s="419" t="str">
        <f t="shared" si="26"/>
        <v/>
      </c>
      <c r="I151" t="str">
        <f>IF(OR(A151="",$D$5="",$F$3=""),"",ROUND(SUMIFS(aditivos!$L$2:$L$200,aditivos!$A$2:$A$200,A151,aditivos!$B$2:$B$200,"&gt;="&amp;(INT($F$3)+1),aditivos!$B$2:$B$200,"&lt;="&amp;$D$5),2))</f>
        <v/>
      </c>
      <c r="J151" t="str">
        <f t="shared" si="27"/>
        <v/>
      </c>
      <c r="K151" t="str">
        <f t="shared" si="28"/>
        <v/>
      </c>
      <c r="L151" t="str">
        <f>IF(A151="","",IF($C$3="C0",SUMIFS(itens_Consumidos!$E$2:$E$200,itens_Consumidos!$A$2:$A$200,A151),IF($C$3="C1",SUMIFS(itens_Consumidos!$G$2:$G$200,itens_Consumidos!$A$2:$A$200,A151),IF($C$3="C2",SUMIFS(itens_Consumidos!$I$2:$I$200,itens_Consumidos!$A$2:$A$200,A151),IF($C$3="C3",SUMIFS(itens_Consumidos!$K$2:$K$200,itens_Consumidos!$A$2:$A$200,A151),IF($C$3="C4",SUMIFS(itens_Consumidos!$M$2:$M$200,itens_Consumidos!$A$2:$A$200,A151),""))))))</f>
        <v/>
      </c>
      <c r="M151" t="str">
        <f t="shared" si="29"/>
        <v/>
      </c>
      <c r="N151" t="str">
        <f>IF(A151="","",IF($C$3="C0",COUNTIFS(itens_Consumidos!$A$2:$A$200,A151,itens_Consumidos!$E$2:$E$200,"&lt;&gt;"),IF($C$3="C1",COUNTIFS(itens_Consumidos!$A$2:$A$200,A151,itens_Consumidos!$G$2:$G$200,"&lt;&gt;"),IF($C$3="C2",COUNTIFS(itens_Consumidos!$A$2:$A$200,A151,itens_Consumidos!$I$2:$I$200,"&lt;&gt;"),IF($C$3="C3",COUNTIFS(itens_Consumidos!$A$2:$A$200,A151,itens_Consumidos!$K$2:$K$200,"&lt;&gt;"),IF($C$3="C4",COUNTIFS(itens_Consumidos!$A$2:$A$200,A151,itens_Consumidos!$M$2:$M$200,"&lt;&gt;"),""))))))</f>
        <v/>
      </c>
      <c r="O151" t="str">
        <f>IF(itens_Remanesc!$A140="","",COUNTIFS(aditivos!$A$2:$A$200,itens_Remanesc!$A140,aditivos!$B$2:$B$200,"&lt;="&amp;$D$5,aditivos!$L$2:$L$200,"&gt;0"))</f>
        <v/>
      </c>
    </row>
    <row r="152" spans="1:15" ht="20" customHeight="1" x14ac:dyDescent="0.35">
      <c r="A152" s="416" t="str">
        <f>IF(itens_Remanesc!$A141="","",IF(NOT(posicao_contratual!$Z141),itens_Remanesc!$A141,IF(AND(ISNUMBER($D$5),$O152&gt;0),itens_Remanesc!$A141,"")))</f>
        <v/>
      </c>
      <c r="B152" s="417" t="str">
        <f>IF(A152="","",IF(AND(posicao_contratual!$Z141,COUNTIFS(aditivos!$A$2:$A$200,itens_Remanesc!$A141,aditivos!$B$2:$B$200,"&lt;"&amp;(INT($F$3)+1),aditivos!$L$2:$L$200,"&gt;0")=0),0,IF(ISNUMBER(IF($C$3="C0",posicao_contratual!$F141,IF($C$3="C1",posicao_contratual!$J141,IF($C$3="C2",posicao_contratual!$N141,IF($C$3="C3",posicao_contratual!$R141,IF($C$3="C4",posicao_contratual!$V141,"")))))),ROUND(IF($C$3="C0",posicao_contratual!$F141,IF($C$3="C1",posicao_contratual!$J141,IF($C$3="C2",posicao_contratual!$N141,IF($C$3="C3",posicao_contratual!$R141,IF($C$3="C4",posicao_contratual!$V141,"")))))+ROUND(SUMIFS(aditivos!$L$2:$L$200,aditivos!$A$2:$A$200,A152,aditivos!$C$2:$C$200,$C$3,aditivos!$B$2:$B$200,"&lt;"&amp;(INT($F$3)+1)),2),2),IF(ROUND(SUMIFS(aditivos!$L$2:$L$200,aditivos!$A$2:$A$200,A152,aditivos!$C$2:$C$200,$C$3,aditivos!$B$2:$B$200,"&lt;"&amp;(INT($F$3)+1)),2)&gt;0,ROUND(SUMIFS(aditivos!$L$2:$L$200,aditivos!$A$2:$A$200,A152,aditivos!$C$2:$C$200,$C$3,aditivos!$B$2:$B$200,"&lt;"&amp;(INT($F$3)+1)),2),""))))</f>
        <v/>
      </c>
      <c r="C152" s="418"/>
      <c r="D152" s="417" t="str">
        <f t="shared" si="24"/>
        <v/>
      </c>
      <c r="E152" s="419" t="str">
        <f>IF(A152="","",IF($C$3="C0",historico_VU!$C141,IF($C$3="C1",historico_VU!$D141,IF($C$3="C2",historico_VU!$E141,IF($C$3="C3",historico_VU!$F141,IF($C$3="C4",historico_VU!$G141,""))))))</f>
        <v/>
      </c>
      <c r="F152" s="419" t="str">
        <f t="shared" si="25"/>
        <v/>
      </c>
      <c r="G152" s="419" t="str">
        <f t="shared" si="26"/>
        <v/>
      </c>
      <c r="I152" t="str">
        <f>IF(OR(A152="",$D$5="",$F$3=""),"",ROUND(SUMIFS(aditivos!$L$2:$L$200,aditivos!$A$2:$A$200,A152,aditivos!$B$2:$B$200,"&gt;="&amp;(INT($F$3)+1),aditivos!$B$2:$B$200,"&lt;="&amp;$D$5),2))</f>
        <v/>
      </c>
      <c r="J152" t="str">
        <f t="shared" si="27"/>
        <v/>
      </c>
      <c r="K152" t="str">
        <f t="shared" si="28"/>
        <v/>
      </c>
      <c r="L152" t="str">
        <f>IF(A152="","",IF($C$3="C0",SUMIFS(itens_Consumidos!$E$2:$E$200,itens_Consumidos!$A$2:$A$200,A152),IF($C$3="C1",SUMIFS(itens_Consumidos!$G$2:$G$200,itens_Consumidos!$A$2:$A$200,A152),IF($C$3="C2",SUMIFS(itens_Consumidos!$I$2:$I$200,itens_Consumidos!$A$2:$A$200,A152),IF($C$3="C3",SUMIFS(itens_Consumidos!$K$2:$K$200,itens_Consumidos!$A$2:$A$200,A152),IF($C$3="C4",SUMIFS(itens_Consumidos!$M$2:$M$200,itens_Consumidos!$A$2:$A$200,A152),""))))))</f>
        <v/>
      </c>
      <c r="M152" t="str">
        <f t="shared" si="29"/>
        <v/>
      </c>
      <c r="N152" t="str">
        <f>IF(A152="","",IF($C$3="C0",COUNTIFS(itens_Consumidos!$A$2:$A$200,A152,itens_Consumidos!$E$2:$E$200,"&lt;&gt;"),IF($C$3="C1",COUNTIFS(itens_Consumidos!$A$2:$A$200,A152,itens_Consumidos!$G$2:$G$200,"&lt;&gt;"),IF($C$3="C2",COUNTIFS(itens_Consumidos!$A$2:$A$200,A152,itens_Consumidos!$I$2:$I$200,"&lt;&gt;"),IF($C$3="C3",COUNTIFS(itens_Consumidos!$A$2:$A$200,A152,itens_Consumidos!$K$2:$K$200,"&lt;&gt;"),IF($C$3="C4",COUNTIFS(itens_Consumidos!$A$2:$A$200,A152,itens_Consumidos!$M$2:$M$200,"&lt;&gt;"),""))))))</f>
        <v/>
      </c>
      <c r="O152" t="str">
        <f>IF(itens_Remanesc!$A141="","",COUNTIFS(aditivos!$A$2:$A$200,itens_Remanesc!$A141,aditivos!$B$2:$B$200,"&lt;="&amp;$D$5,aditivos!$L$2:$L$200,"&gt;0"))</f>
        <v/>
      </c>
    </row>
    <row r="153" spans="1:15" ht="20" customHeight="1" x14ac:dyDescent="0.35">
      <c r="A153" s="416" t="str">
        <f>IF(itens_Remanesc!$A142="","",IF(NOT(posicao_contratual!$Z142),itens_Remanesc!$A142,IF(AND(ISNUMBER($D$5),$O153&gt;0),itens_Remanesc!$A142,"")))</f>
        <v/>
      </c>
      <c r="B153" s="417" t="str">
        <f>IF(A153="","",IF(AND(posicao_contratual!$Z142,COUNTIFS(aditivos!$A$2:$A$200,itens_Remanesc!$A142,aditivos!$B$2:$B$200,"&lt;"&amp;(INT($F$3)+1),aditivos!$L$2:$L$200,"&gt;0")=0),0,IF(ISNUMBER(IF($C$3="C0",posicao_contratual!$F142,IF($C$3="C1",posicao_contratual!$J142,IF($C$3="C2",posicao_contratual!$N142,IF($C$3="C3",posicao_contratual!$R142,IF($C$3="C4",posicao_contratual!$V142,"")))))),ROUND(IF($C$3="C0",posicao_contratual!$F142,IF($C$3="C1",posicao_contratual!$J142,IF($C$3="C2",posicao_contratual!$N142,IF($C$3="C3",posicao_contratual!$R142,IF($C$3="C4",posicao_contratual!$V142,"")))))+ROUND(SUMIFS(aditivos!$L$2:$L$200,aditivos!$A$2:$A$200,A153,aditivos!$C$2:$C$200,$C$3,aditivos!$B$2:$B$200,"&lt;"&amp;(INT($F$3)+1)),2),2),IF(ROUND(SUMIFS(aditivos!$L$2:$L$200,aditivos!$A$2:$A$200,A153,aditivos!$C$2:$C$200,$C$3,aditivos!$B$2:$B$200,"&lt;"&amp;(INT($F$3)+1)),2)&gt;0,ROUND(SUMIFS(aditivos!$L$2:$L$200,aditivos!$A$2:$A$200,A153,aditivos!$C$2:$C$200,$C$3,aditivos!$B$2:$B$200,"&lt;"&amp;(INT($F$3)+1)),2),""))))</f>
        <v/>
      </c>
      <c r="C153" s="418"/>
      <c r="D153" s="417" t="str">
        <f t="shared" si="24"/>
        <v/>
      </c>
      <c r="E153" s="419" t="str">
        <f>IF(A153="","",IF($C$3="C0",historico_VU!$C142,IF($C$3="C1",historico_VU!$D142,IF($C$3="C2",historico_VU!$E142,IF($C$3="C3",historico_VU!$F142,IF($C$3="C4",historico_VU!$G142,""))))))</f>
        <v/>
      </c>
      <c r="F153" s="419" t="str">
        <f t="shared" si="25"/>
        <v/>
      </c>
      <c r="G153" s="419" t="str">
        <f t="shared" si="26"/>
        <v/>
      </c>
      <c r="I153" t="str">
        <f>IF(OR(A153="",$D$5="",$F$3=""),"",ROUND(SUMIFS(aditivos!$L$2:$L$200,aditivos!$A$2:$A$200,A153,aditivos!$B$2:$B$200,"&gt;="&amp;(INT($F$3)+1),aditivos!$B$2:$B$200,"&lt;="&amp;$D$5),2))</f>
        <v/>
      </c>
      <c r="J153" t="str">
        <f t="shared" si="27"/>
        <v/>
      </c>
      <c r="K153" t="str">
        <f t="shared" si="28"/>
        <v/>
      </c>
      <c r="L153" t="str">
        <f>IF(A153="","",IF($C$3="C0",SUMIFS(itens_Consumidos!$E$2:$E$200,itens_Consumidos!$A$2:$A$200,A153),IF($C$3="C1",SUMIFS(itens_Consumidos!$G$2:$G$200,itens_Consumidos!$A$2:$A$200,A153),IF($C$3="C2",SUMIFS(itens_Consumidos!$I$2:$I$200,itens_Consumidos!$A$2:$A$200,A153),IF($C$3="C3",SUMIFS(itens_Consumidos!$K$2:$K$200,itens_Consumidos!$A$2:$A$200,A153),IF($C$3="C4",SUMIFS(itens_Consumidos!$M$2:$M$200,itens_Consumidos!$A$2:$A$200,A153),""))))))</f>
        <v/>
      </c>
      <c r="M153" t="str">
        <f t="shared" si="29"/>
        <v/>
      </c>
      <c r="N153" t="str">
        <f>IF(A153="","",IF($C$3="C0",COUNTIFS(itens_Consumidos!$A$2:$A$200,A153,itens_Consumidos!$E$2:$E$200,"&lt;&gt;"),IF($C$3="C1",COUNTIFS(itens_Consumidos!$A$2:$A$200,A153,itens_Consumidos!$G$2:$G$200,"&lt;&gt;"),IF($C$3="C2",COUNTIFS(itens_Consumidos!$A$2:$A$200,A153,itens_Consumidos!$I$2:$I$200,"&lt;&gt;"),IF($C$3="C3",COUNTIFS(itens_Consumidos!$A$2:$A$200,A153,itens_Consumidos!$K$2:$K$200,"&lt;&gt;"),IF($C$3="C4",COUNTIFS(itens_Consumidos!$A$2:$A$200,A153,itens_Consumidos!$M$2:$M$200,"&lt;&gt;"),""))))))</f>
        <v/>
      </c>
      <c r="O153" t="str">
        <f>IF(itens_Remanesc!$A142="","",COUNTIFS(aditivos!$A$2:$A$200,itens_Remanesc!$A142,aditivos!$B$2:$B$200,"&lt;="&amp;$D$5,aditivos!$L$2:$L$200,"&gt;0"))</f>
        <v/>
      </c>
    </row>
    <row r="154" spans="1:15" ht="20" customHeight="1" x14ac:dyDescent="0.35">
      <c r="A154" s="416" t="str">
        <f>IF(itens_Remanesc!$A143="","",IF(NOT(posicao_contratual!$Z143),itens_Remanesc!$A143,IF(AND(ISNUMBER($D$5),$O154&gt;0),itens_Remanesc!$A143,"")))</f>
        <v/>
      </c>
      <c r="B154" s="417" t="str">
        <f>IF(A154="","",IF(AND(posicao_contratual!$Z143,COUNTIFS(aditivos!$A$2:$A$200,itens_Remanesc!$A143,aditivos!$B$2:$B$200,"&lt;"&amp;(INT($F$3)+1),aditivos!$L$2:$L$200,"&gt;0")=0),0,IF(ISNUMBER(IF($C$3="C0",posicao_contratual!$F143,IF($C$3="C1",posicao_contratual!$J143,IF($C$3="C2",posicao_contratual!$N143,IF($C$3="C3",posicao_contratual!$R143,IF($C$3="C4",posicao_contratual!$V143,"")))))),ROUND(IF($C$3="C0",posicao_contratual!$F143,IF($C$3="C1",posicao_contratual!$J143,IF($C$3="C2",posicao_contratual!$N143,IF($C$3="C3",posicao_contratual!$R143,IF($C$3="C4",posicao_contratual!$V143,"")))))+ROUND(SUMIFS(aditivos!$L$2:$L$200,aditivos!$A$2:$A$200,A154,aditivos!$C$2:$C$200,$C$3,aditivos!$B$2:$B$200,"&lt;"&amp;(INT($F$3)+1)),2),2),IF(ROUND(SUMIFS(aditivos!$L$2:$L$200,aditivos!$A$2:$A$200,A154,aditivos!$C$2:$C$200,$C$3,aditivos!$B$2:$B$200,"&lt;"&amp;(INT($F$3)+1)),2)&gt;0,ROUND(SUMIFS(aditivos!$L$2:$L$200,aditivos!$A$2:$A$200,A154,aditivos!$C$2:$C$200,$C$3,aditivos!$B$2:$B$200,"&lt;"&amp;(INT($F$3)+1)),2),""))))</f>
        <v/>
      </c>
      <c r="C154" s="418"/>
      <c r="D154" s="417" t="str">
        <f t="shared" si="24"/>
        <v/>
      </c>
      <c r="E154" s="419" t="str">
        <f>IF(A154="","",IF($C$3="C0",historico_VU!$C143,IF($C$3="C1",historico_VU!$D143,IF($C$3="C2",historico_VU!$E143,IF($C$3="C3",historico_VU!$F143,IF($C$3="C4",historico_VU!$G143,""))))))</f>
        <v/>
      </c>
      <c r="F154" s="419" t="str">
        <f t="shared" si="25"/>
        <v/>
      </c>
      <c r="G154" s="419" t="str">
        <f t="shared" si="26"/>
        <v/>
      </c>
      <c r="I154" t="str">
        <f>IF(OR(A154="",$D$5="",$F$3=""),"",ROUND(SUMIFS(aditivos!$L$2:$L$200,aditivos!$A$2:$A$200,A154,aditivos!$B$2:$B$200,"&gt;="&amp;(INT($F$3)+1),aditivos!$B$2:$B$200,"&lt;="&amp;$D$5),2))</f>
        <v/>
      </c>
      <c r="J154" t="str">
        <f t="shared" si="27"/>
        <v/>
      </c>
      <c r="K154" t="str">
        <f t="shared" si="28"/>
        <v/>
      </c>
      <c r="L154" t="str">
        <f>IF(A154="","",IF($C$3="C0",SUMIFS(itens_Consumidos!$E$2:$E$200,itens_Consumidos!$A$2:$A$200,A154),IF($C$3="C1",SUMIFS(itens_Consumidos!$G$2:$G$200,itens_Consumidos!$A$2:$A$200,A154),IF($C$3="C2",SUMIFS(itens_Consumidos!$I$2:$I$200,itens_Consumidos!$A$2:$A$200,A154),IF($C$3="C3",SUMIFS(itens_Consumidos!$K$2:$K$200,itens_Consumidos!$A$2:$A$200,A154),IF($C$3="C4",SUMIFS(itens_Consumidos!$M$2:$M$200,itens_Consumidos!$A$2:$A$200,A154),""))))))</f>
        <v/>
      </c>
      <c r="M154" t="str">
        <f t="shared" si="29"/>
        <v/>
      </c>
      <c r="N154" t="str">
        <f>IF(A154="","",IF($C$3="C0",COUNTIFS(itens_Consumidos!$A$2:$A$200,A154,itens_Consumidos!$E$2:$E$200,"&lt;&gt;"),IF($C$3="C1",COUNTIFS(itens_Consumidos!$A$2:$A$200,A154,itens_Consumidos!$G$2:$G$200,"&lt;&gt;"),IF($C$3="C2",COUNTIFS(itens_Consumidos!$A$2:$A$200,A154,itens_Consumidos!$I$2:$I$200,"&lt;&gt;"),IF($C$3="C3",COUNTIFS(itens_Consumidos!$A$2:$A$200,A154,itens_Consumidos!$K$2:$K$200,"&lt;&gt;"),IF($C$3="C4",COUNTIFS(itens_Consumidos!$A$2:$A$200,A154,itens_Consumidos!$M$2:$M$200,"&lt;&gt;"),""))))))</f>
        <v/>
      </c>
      <c r="O154" t="str">
        <f>IF(itens_Remanesc!$A143="","",COUNTIFS(aditivos!$A$2:$A$200,itens_Remanesc!$A143,aditivos!$B$2:$B$200,"&lt;="&amp;$D$5,aditivos!$L$2:$L$200,"&gt;0"))</f>
        <v/>
      </c>
    </row>
    <row r="155" spans="1:15" ht="20" customHeight="1" x14ac:dyDescent="0.35">
      <c r="A155" s="416" t="str">
        <f>IF(itens_Remanesc!$A144="","",IF(NOT(posicao_contratual!$Z144),itens_Remanesc!$A144,IF(AND(ISNUMBER($D$5),$O155&gt;0),itens_Remanesc!$A144,"")))</f>
        <v/>
      </c>
      <c r="B155" s="417" t="str">
        <f>IF(A155="","",IF(AND(posicao_contratual!$Z144,COUNTIFS(aditivos!$A$2:$A$200,itens_Remanesc!$A144,aditivos!$B$2:$B$200,"&lt;"&amp;(INT($F$3)+1),aditivos!$L$2:$L$200,"&gt;0")=0),0,IF(ISNUMBER(IF($C$3="C0",posicao_contratual!$F144,IF($C$3="C1",posicao_contratual!$J144,IF($C$3="C2",posicao_contratual!$N144,IF($C$3="C3",posicao_contratual!$R144,IF($C$3="C4",posicao_contratual!$V144,"")))))),ROUND(IF($C$3="C0",posicao_contratual!$F144,IF($C$3="C1",posicao_contratual!$J144,IF($C$3="C2",posicao_contratual!$N144,IF($C$3="C3",posicao_contratual!$R144,IF($C$3="C4",posicao_contratual!$V144,"")))))+ROUND(SUMIFS(aditivos!$L$2:$L$200,aditivos!$A$2:$A$200,A155,aditivos!$C$2:$C$200,$C$3,aditivos!$B$2:$B$200,"&lt;"&amp;(INT($F$3)+1)),2),2),IF(ROUND(SUMIFS(aditivos!$L$2:$L$200,aditivos!$A$2:$A$200,A155,aditivos!$C$2:$C$200,$C$3,aditivos!$B$2:$B$200,"&lt;"&amp;(INT($F$3)+1)),2)&gt;0,ROUND(SUMIFS(aditivos!$L$2:$L$200,aditivos!$A$2:$A$200,A155,aditivos!$C$2:$C$200,$C$3,aditivos!$B$2:$B$200,"&lt;"&amp;(INT($F$3)+1)),2),""))))</f>
        <v/>
      </c>
      <c r="C155" s="418"/>
      <c r="D155" s="417" t="str">
        <f t="shared" si="24"/>
        <v/>
      </c>
      <c r="E155" s="419" t="str">
        <f>IF(A155="","",IF($C$3="C0",historico_VU!$C144,IF($C$3="C1",historico_VU!$D144,IF($C$3="C2",historico_VU!$E144,IF($C$3="C3",historico_VU!$F144,IF($C$3="C4",historico_VU!$G144,""))))))</f>
        <v/>
      </c>
      <c r="F155" s="419" t="str">
        <f t="shared" si="25"/>
        <v/>
      </c>
      <c r="G155" s="419" t="str">
        <f t="shared" si="26"/>
        <v/>
      </c>
      <c r="I155" t="str">
        <f>IF(OR(A155="",$D$5="",$F$3=""),"",ROUND(SUMIFS(aditivos!$L$2:$L$200,aditivos!$A$2:$A$200,A155,aditivos!$B$2:$B$200,"&gt;="&amp;(INT($F$3)+1),aditivos!$B$2:$B$200,"&lt;="&amp;$D$5),2))</f>
        <v/>
      </c>
      <c r="J155" t="str">
        <f t="shared" si="27"/>
        <v/>
      </c>
      <c r="K155" t="str">
        <f t="shared" si="28"/>
        <v/>
      </c>
      <c r="L155" t="str">
        <f>IF(A155="","",IF($C$3="C0",SUMIFS(itens_Consumidos!$E$2:$E$200,itens_Consumidos!$A$2:$A$200,A155),IF($C$3="C1",SUMIFS(itens_Consumidos!$G$2:$G$200,itens_Consumidos!$A$2:$A$200,A155),IF($C$3="C2",SUMIFS(itens_Consumidos!$I$2:$I$200,itens_Consumidos!$A$2:$A$200,A155),IF($C$3="C3",SUMIFS(itens_Consumidos!$K$2:$K$200,itens_Consumidos!$A$2:$A$200,A155),IF($C$3="C4",SUMIFS(itens_Consumidos!$M$2:$M$200,itens_Consumidos!$A$2:$A$200,A155),""))))))</f>
        <v/>
      </c>
      <c r="M155" t="str">
        <f t="shared" si="29"/>
        <v/>
      </c>
      <c r="N155" t="str">
        <f>IF(A155="","",IF($C$3="C0",COUNTIFS(itens_Consumidos!$A$2:$A$200,A155,itens_Consumidos!$E$2:$E$200,"&lt;&gt;"),IF($C$3="C1",COUNTIFS(itens_Consumidos!$A$2:$A$200,A155,itens_Consumidos!$G$2:$G$200,"&lt;&gt;"),IF($C$3="C2",COUNTIFS(itens_Consumidos!$A$2:$A$200,A155,itens_Consumidos!$I$2:$I$200,"&lt;&gt;"),IF($C$3="C3",COUNTIFS(itens_Consumidos!$A$2:$A$200,A155,itens_Consumidos!$K$2:$K$200,"&lt;&gt;"),IF($C$3="C4",COUNTIFS(itens_Consumidos!$A$2:$A$200,A155,itens_Consumidos!$M$2:$M$200,"&lt;&gt;"),""))))))</f>
        <v/>
      </c>
      <c r="O155" t="str">
        <f>IF(itens_Remanesc!$A144="","",COUNTIFS(aditivos!$A$2:$A$200,itens_Remanesc!$A144,aditivos!$B$2:$B$200,"&lt;="&amp;$D$5,aditivos!$L$2:$L$200,"&gt;0"))</f>
        <v/>
      </c>
    </row>
    <row r="156" spans="1:15" ht="20" customHeight="1" x14ac:dyDescent="0.35">
      <c r="A156" s="416" t="str">
        <f>IF(itens_Remanesc!$A145="","",IF(NOT(posicao_contratual!$Z145),itens_Remanesc!$A145,IF(AND(ISNUMBER($D$5),$O156&gt;0),itens_Remanesc!$A145,"")))</f>
        <v/>
      </c>
      <c r="B156" s="417" t="str">
        <f>IF(A156="","",IF(AND(posicao_contratual!$Z145,COUNTIFS(aditivos!$A$2:$A$200,itens_Remanesc!$A145,aditivos!$B$2:$B$200,"&lt;"&amp;(INT($F$3)+1),aditivos!$L$2:$L$200,"&gt;0")=0),0,IF(ISNUMBER(IF($C$3="C0",posicao_contratual!$F145,IF($C$3="C1",posicao_contratual!$J145,IF($C$3="C2",posicao_contratual!$N145,IF($C$3="C3",posicao_contratual!$R145,IF($C$3="C4",posicao_contratual!$V145,"")))))),ROUND(IF($C$3="C0",posicao_contratual!$F145,IF($C$3="C1",posicao_contratual!$J145,IF($C$3="C2",posicao_contratual!$N145,IF($C$3="C3",posicao_contratual!$R145,IF($C$3="C4",posicao_contratual!$V145,"")))))+ROUND(SUMIFS(aditivos!$L$2:$L$200,aditivos!$A$2:$A$200,A156,aditivos!$C$2:$C$200,$C$3,aditivos!$B$2:$B$200,"&lt;"&amp;(INT($F$3)+1)),2),2),IF(ROUND(SUMIFS(aditivos!$L$2:$L$200,aditivos!$A$2:$A$200,A156,aditivos!$C$2:$C$200,$C$3,aditivos!$B$2:$B$200,"&lt;"&amp;(INT($F$3)+1)),2)&gt;0,ROUND(SUMIFS(aditivos!$L$2:$L$200,aditivos!$A$2:$A$200,A156,aditivos!$C$2:$C$200,$C$3,aditivos!$B$2:$B$200,"&lt;"&amp;(INT($F$3)+1)),2),""))))</f>
        <v/>
      </c>
      <c r="C156" s="418"/>
      <c r="D156" s="417" t="str">
        <f t="shared" si="24"/>
        <v/>
      </c>
      <c r="E156" s="419" t="str">
        <f>IF(A156="","",IF($C$3="C0",historico_VU!$C145,IF($C$3="C1",historico_VU!$D145,IF($C$3="C2",historico_VU!$E145,IF($C$3="C3",historico_VU!$F145,IF($C$3="C4",historico_VU!$G145,""))))))</f>
        <v/>
      </c>
      <c r="F156" s="419" t="str">
        <f t="shared" si="25"/>
        <v/>
      </c>
      <c r="G156" s="419" t="str">
        <f t="shared" si="26"/>
        <v/>
      </c>
      <c r="I156" t="str">
        <f>IF(OR(A156="",$D$5="",$F$3=""),"",ROUND(SUMIFS(aditivos!$L$2:$L$200,aditivos!$A$2:$A$200,A156,aditivos!$B$2:$B$200,"&gt;="&amp;(INT($F$3)+1),aditivos!$B$2:$B$200,"&lt;="&amp;$D$5),2))</f>
        <v/>
      </c>
      <c r="J156" t="str">
        <f t="shared" si="27"/>
        <v/>
      </c>
      <c r="K156" t="str">
        <f t="shared" si="28"/>
        <v/>
      </c>
      <c r="L156" t="str">
        <f>IF(A156="","",IF($C$3="C0",SUMIFS(itens_Consumidos!$E$2:$E$200,itens_Consumidos!$A$2:$A$200,A156),IF($C$3="C1",SUMIFS(itens_Consumidos!$G$2:$G$200,itens_Consumidos!$A$2:$A$200,A156),IF($C$3="C2",SUMIFS(itens_Consumidos!$I$2:$I$200,itens_Consumidos!$A$2:$A$200,A156),IF($C$3="C3",SUMIFS(itens_Consumidos!$K$2:$K$200,itens_Consumidos!$A$2:$A$200,A156),IF($C$3="C4",SUMIFS(itens_Consumidos!$M$2:$M$200,itens_Consumidos!$A$2:$A$200,A156),""))))))</f>
        <v/>
      </c>
      <c r="M156" t="str">
        <f t="shared" si="29"/>
        <v/>
      </c>
      <c r="N156" t="str">
        <f>IF(A156="","",IF($C$3="C0",COUNTIFS(itens_Consumidos!$A$2:$A$200,A156,itens_Consumidos!$E$2:$E$200,"&lt;&gt;"),IF($C$3="C1",COUNTIFS(itens_Consumidos!$A$2:$A$200,A156,itens_Consumidos!$G$2:$G$200,"&lt;&gt;"),IF($C$3="C2",COUNTIFS(itens_Consumidos!$A$2:$A$200,A156,itens_Consumidos!$I$2:$I$200,"&lt;&gt;"),IF($C$3="C3",COUNTIFS(itens_Consumidos!$A$2:$A$200,A156,itens_Consumidos!$K$2:$K$200,"&lt;&gt;"),IF($C$3="C4",COUNTIFS(itens_Consumidos!$A$2:$A$200,A156,itens_Consumidos!$M$2:$M$200,"&lt;&gt;"),""))))))</f>
        <v/>
      </c>
      <c r="O156" t="str">
        <f>IF(itens_Remanesc!$A145="","",COUNTIFS(aditivos!$A$2:$A$200,itens_Remanesc!$A145,aditivos!$B$2:$B$200,"&lt;="&amp;$D$5,aditivos!$L$2:$L$200,"&gt;0"))</f>
        <v/>
      </c>
    </row>
    <row r="157" spans="1:15" ht="20" customHeight="1" x14ac:dyDescent="0.35">
      <c r="A157" s="416" t="str">
        <f>IF(itens_Remanesc!$A146="","",IF(NOT(posicao_contratual!$Z146),itens_Remanesc!$A146,IF(AND(ISNUMBER($D$5),$O157&gt;0),itens_Remanesc!$A146,"")))</f>
        <v/>
      </c>
      <c r="B157" s="417" t="str">
        <f>IF(A157="","",IF(AND(posicao_contratual!$Z146,COUNTIFS(aditivos!$A$2:$A$200,itens_Remanesc!$A146,aditivos!$B$2:$B$200,"&lt;"&amp;(INT($F$3)+1),aditivos!$L$2:$L$200,"&gt;0")=0),0,IF(ISNUMBER(IF($C$3="C0",posicao_contratual!$F146,IF($C$3="C1",posicao_contratual!$J146,IF($C$3="C2",posicao_contratual!$N146,IF($C$3="C3",posicao_contratual!$R146,IF($C$3="C4",posicao_contratual!$V146,"")))))),ROUND(IF($C$3="C0",posicao_contratual!$F146,IF($C$3="C1",posicao_contratual!$J146,IF($C$3="C2",posicao_contratual!$N146,IF($C$3="C3",posicao_contratual!$R146,IF($C$3="C4",posicao_contratual!$V146,"")))))+ROUND(SUMIFS(aditivos!$L$2:$L$200,aditivos!$A$2:$A$200,A157,aditivos!$C$2:$C$200,$C$3,aditivos!$B$2:$B$200,"&lt;"&amp;(INT($F$3)+1)),2),2),IF(ROUND(SUMIFS(aditivos!$L$2:$L$200,aditivos!$A$2:$A$200,A157,aditivos!$C$2:$C$200,$C$3,aditivos!$B$2:$B$200,"&lt;"&amp;(INT($F$3)+1)),2)&gt;0,ROUND(SUMIFS(aditivos!$L$2:$L$200,aditivos!$A$2:$A$200,A157,aditivos!$C$2:$C$200,$C$3,aditivos!$B$2:$B$200,"&lt;"&amp;(INT($F$3)+1)),2),""))))</f>
        <v/>
      </c>
      <c r="C157" s="418"/>
      <c r="D157" s="417" t="str">
        <f t="shared" si="24"/>
        <v/>
      </c>
      <c r="E157" s="419" t="str">
        <f>IF(A157="","",IF($C$3="C0",historico_VU!$C146,IF($C$3="C1",historico_VU!$D146,IF($C$3="C2",historico_VU!$E146,IF($C$3="C3",historico_VU!$F146,IF($C$3="C4",historico_VU!$G146,""))))))</f>
        <v/>
      </c>
      <c r="F157" s="419" t="str">
        <f t="shared" si="25"/>
        <v/>
      </c>
      <c r="G157" s="419" t="str">
        <f t="shared" si="26"/>
        <v/>
      </c>
      <c r="I157" t="str">
        <f>IF(OR(A157="",$D$5="",$F$3=""),"",ROUND(SUMIFS(aditivos!$L$2:$L$200,aditivos!$A$2:$A$200,A157,aditivos!$B$2:$B$200,"&gt;="&amp;(INT($F$3)+1),aditivos!$B$2:$B$200,"&lt;="&amp;$D$5),2))</f>
        <v/>
      </c>
      <c r="J157" t="str">
        <f t="shared" si="27"/>
        <v/>
      </c>
      <c r="K157" t="str">
        <f t="shared" si="28"/>
        <v/>
      </c>
      <c r="L157" t="str">
        <f>IF(A157="","",IF($C$3="C0",SUMIFS(itens_Consumidos!$E$2:$E$200,itens_Consumidos!$A$2:$A$200,A157),IF($C$3="C1",SUMIFS(itens_Consumidos!$G$2:$G$200,itens_Consumidos!$A$2:$A$200,A157),IF($C$3="C2",SUMIFS(itens_Consumidos!$I$2:$I$200,itens_Consumidos!$A$2:$A$200,A157),IF($C$3="C3",SUMIFS(itens_Consumidos!$K$2:$K$200,itens_Consumidos!$A$2:$A$200,A157),IF($C$3="C4",SUMIFS(itens_Consumidos!$M$2:$M$200,itens_Consumidos!$A$2:$A$200,A157),""))))))</f>
        <v/>
      </c>
      <c r="M157" t="str">
        <f t="shared" si="29"/>
        <v/>
      </c>
      <c r="N157" t="str">
        <f>IF(A157="","",IF($C$3="C0",COUNTIFS(itens_Consumidos!$A$2:$A$200,A157,itens_Consumidos!$E$2:$E$200,"&lt;&gt;"),IF($C$3="C1",COUNTIFS(itens_Consumidos!$A$2:$A$200,A157,itens_Consumidos!$G$2:$G$200,"&lt;&gt;"),IF($C$3="C2",COUNTIFS(itens_Consumidos!$A$2:$A$200,A157,itens_Consumidos!$I$2:$I$200,"&lt;&gt;"),IF($C$3="C3",COUNTIFS(itens_Consumidos!$A$2:$A$200,A157,itens_Consumidos!$K$2:$K$200,"&lt;&gt;"),IF($C$3="C4",COUNTIFS(itens_Consumidos!$A$2:$A$200,A157,itens_Consumidos!$M$2:$M$200,"&lt;&gt;"),""))))))</f>
        <v/>
      </c>
      <c r="O157" t="str">
        <f>IF(itens_Remanesc!$A146="","",COUNTIFS(aditivos!$A$2:$A$200,itens_Remanesc!$A146,aditivos!$B$2:$B$200,"&lt;="&amp;$D$5,aditivos!$L$2:$L$200,"&gt;0"))</f>
        <v/>
      </c>
    </row>
    <row r="158" spans="1:15" ht="20" customHeight="1" x14ac:dyDescent="0.35">
      <c r="A158" s="416" t="str">
        <f>IF(itens_Remanesc!$A147="","",IF(NOT(posicao_contratual!$Z147),itens_Remanesc!$A147,IF(AND(ISNUMBER($D$5),$O158&gt;0),itens_Remanesc!$A147,"")))</f>
        <v/>
      </c>
      <c r="B158" s="417" t="str">
        <f>IF(A158="","",IF(AND(posicao_contratual!$Z147,COUNTIFS(aditivos!$A$2:$A$200,itens_Remanesc!$A147,aditivos!$B$2:$B$200,"&lt;"&amp;(INT($F$3)+1),aditivos!$L$2:$L$200,"&gt;0")=0),0,IF(ISNUMBER(IF($C$3="C0",posicao_contratual!$F147,IF($C$3="C1",posicao_contratual!$J147,IF($C$3="C2",posicao_contratual!$N147,IF($C$3="C3",posicao_contratual!$R147,IF($C$3="C4",posicao_contratual!$V147,"")))))),ROUND(IF($C$3="C0",posicao_contratual!$F147,IF($C$3="C1",posicao_contratual!$J147,IF($C$3="C2",posicao_contratual!$N147,IF($C$3="C3",posicao_contratual!$R147,IF($C$3="C4",posicao_contratual!$V147,"")))))+ROUND(SUMIFS(aditivos!$L$2:$L$200,aditivos!$A$2:$A$200,A158,aditivos!$C$2:$C$200,$C$3,aditivos!$B$2:$B$200,"&lt;"&amp;(INT($F$3)+1)),2),2),IF(ROUND(SUMIFS(aditivos!$L$2:$L$200,aditivos!$A$2:$A$200,A158,aditivos!$C$2:$C$200,$C$3,aditivos!$B$2:$B$200,"&lt;"&amp;(INT($F$3)+1)),2)&gt;0,ROUND(SUMIFS(aditivos!$L$2:$L$200,aditivos!$A$2:$A$200,A158,aditivos!$C$2:$C$200,$C$3,aditivos!$B$2:$B$200,"&lt;"&amp;(INT($F$3)+1)),2),""))))</f>
        <v/>
      </c>
      <c r="C158" s="418"/>
      <c r="D158" s="417" t="str">
        <f t="shared" si="24"/>
        <v/>
      </c>
      <c r="E158" s="419" t="str">
        <f>IF(A158="","",IF($C$3="C0",historico_VU!$C147,IF($C$3="C1",historico_VU!$D147,IF($C$3="C2",historico_VU!$E147,IF($C$3="C3",historico_VU!$F147,IF($C$3="C4",historico_VU!$G147,""))))))</f>
        <v/>
      </c>
      <c r="F158" s="419" t="str">
        <f t="shared" si="25"/>
        <v/>
      </c>
      <c r="G158" s="419" t="str">
        <f t="shared" si="26"/>
        <v/>
      </c>
      <c r="I158" t="str">
        <f>IF(OR(A158="",$D$5="",$F$3=""),"",ROUND(SUMIFS(aditivos!$L$2:$L$200,aditivos!$A$2:$A$200,A158,aditivos!$B$2:$B$200,"&gt;="&amp;(INT($F$3)+1),aditivos!$B$2:$B$200,"&lt;="&amp;$D$5),2))</f>
        <v/>
      </c>
      <c r="J158" t="str">
        <f t="shared" si="27"/>
        <v/>
      </c>
      <c r="K158" t="str">
        <f t="shared" si="28"/>
        <v/>
      </c>
      <c r="L158" t="str">
        <f>IF(A158="","",IF($C$3="C0",SUMIFS(itens_Consumidos!$E$2:$E$200,itens_Consumidos!$A$2:$A$200,A158),IF($C$3="C1",SUMIFS(itens_Consumidos!$G$2:$G$200,itens_Consumidos!$A$2:$A$200,A158),IF($C$3="C2",SUMIFS(itens_Consumidos!$I$2:$I$200,itens_Consumidos!$A$2:$A$200,A158),IF($C$3="C3",SUMIFS(itens_Consumidos!$K$2:$K$200,itens_Consumidos!$A$2:$A$200,A158),IF($C$3="C4",SUMIFS(itens_Consumidos!$M$2:$M$200,itens_Consumidos!$A$2:$A$200,A158),""))))))</f>
        <v/>
      </c>
      <c r="M158" t="str">
        <f t="shared" si="29"/>
        <v/>
      </c>
      <c r="N158" t="str">
        <f>IF(A158="","",IF($C$3="C0",COUNTIFS(itens_Consumidos!$A$2:$A$200,A158,itens_Consumidos!$E$2:$E$200,"&lt;&gt;"),IF($C$3="C1",COUNTIFS(itens_Consumidos!$A$2:$A$200,A158,itens_Consumidos!$G$2:$G$200,"&lt;&gt;"),IF($C$3="C2",COUNTIFS(itens_Consumidos!$A$2:$A$200,A158,itens_Consumidos!$I$2:$I$200,"&lt;&gt;"),IF($C$3="C3",COUNTIFS(itens_Consumidos!$A$2:$A$200,A158,itens_Consumidos!$K$2:$K$200,"&lt;&gt;"),IF($C$3="C4",COUNTIFS(itens_Consumidos!$A$2:$A$200,A158,itens_Consumidos!$M$2:$M$200,"&lt;&gt;"),""))))))</f>
        <v/>
      </c>
      <c r="O158" t="str">
        <f>IF(itens_Remanesc!$A147="","",COUNTIFS(aditivos!$A$2:$A$200,itens_Remanesc!$A147,aditivos!$B$2:$B$200,"&lt;="&amp;$D$5,aditivos!$L$2:$L$200,"&gt;0"))</f>
        <v/>
      </c>
    </row>
    <row r="159" spans="1:15" ht="20" customHeight="1" x14ac:dyDescent="0.35">
      <c r="A159" s="416" t="str">
        <f>IF(itens_Remanesc!$A148="","",IF(NOT(posicao_contratual!$Z148),itens_Remanesc!$A148,IF(AND(ISNUMBER($D$5),$O159&gt;0),itens_Remanesc!$A148,"")))</f>
        <v/>
      </c>
      <c r="B159" s="417" t="str">
        <f>IF(A159="","",IF(AND(posicao_contratual!$Z148,COUNTIFS(aditivos!$A$2:$A$200,itens_Remanesc!$A148,aditivos!$B$2:$B$200,"&lt;"&amp;(INT($F$3)+1),aditivos!$L$2:$L$200,"&gt;0")=0),0,IF(ISNUMBER(IF($C$3="C0",posicao_contratual!$F148,IF($C$3="C1",posicao_contratual!$J148,IF($C$3="C2",posicao_contratual!$N148,IF($C$3="C3",posicao_contratual!$R148,IF($C$3="C4",posicao_contratual!$V148,"")))))),ROUND(IF($C$3="C0",posicao_contratual!$F148,IF($C$3="C1",posicao_contratual!$J148,IF($C$3="C2",posicao_contratual!$N148,IF($C$3="C3",posicao_contratual!$R148,IF($C$3="C4",posicao_contratual!$V148,"")))))+ROUND(SUMIFS(aditivos!$L$2:$L$200,aditivos!$A$2:$A$200,A159,aditivos!$C$2:$C$200,$C$3,aditivos!$B$2:$B$200,"&lt;"&amp;(INT($F$3)+1)),2),2),IF(ROUND(SUMIFS(aditivos!$L$2:$L$200,aditivos!$A$2:$A$200,A159,aditivos!$C$2:$C$200,$C$3,aditivos!$B$2:$B$200,"&lt;"&amp;(INT($F$3)+1)),2)&gt;0,ROUND(SUMIFS(aditivos!$L$2:$L$200,aditivos!$A$2:$A$200,A159,aditivos!$C$2:$C$200,$C$3,aditivos!$B$2:$B$200,"&lt;"&amp;(INT($F$3)+1)),2),""))))</f>
        <v/>
      </c>
      <c r="C159" s="418"/>
      <c r="D159" s="417" t="str">
        <f t="shared" si="24"/>
        <v/>
      </c>
      <c r="E159" s="419" t="str">
        <f>IF(A159="","",IF($C$3="C0",historico_VU!$C148,IF($C$3="C1",historico_VU!$D148,IF($C$3="C2",historico_VU!$E148,IF($C$3="C3",historico_VU!$F148,IF($C$3="C4",historico_VU!$G148,""))))))</f>
        <v/>
      </c>
      <c r="F159" s="419" t="str">
        <f t="shared" si="25"/>
        <v/>
      </c>
      <c r="G159" s="419" t="str">
        <f t="shared" si="26"/>
        <v/>
      </c>
      <c r="I159" t="str">
        <f>IF(OR(A159="",$D$5="",$F$3=""),"",ROUND(SUMIFS(aditivos!$L$2:$L$200,aditivos!$A$2:$A$200,A159,aditivos!$B$2:$B$200,"&gt;="&amp;(INT($F$3)+1),aditivos!$B$2:$B$200,"&lt;="&amp;$D$5),2))</f>
        <v/>
      </c>
      <c r="J159" t="str">
        <f t="shared" si="27"/>
        <v/>
      </c>
      <c r="K159" t="str">
        <f t="shared" si="28"/>
        <v/>
      </c>
      <c r="L159" t="str">
        <f>IF(A159="","",IF($C$3="C0",SUMIFS(itens_Consumidos!$E$2:$E$200,itens_Consumidos!$A$2:$A$200,A159),IF($C$3="C1",SUMIFS(itens_Consumidos!$G$2:$G$200,itens_Consumidos!$A$2:$A$200,A159),IF($C$3="C2",SUMIFS(itens_Consumidos!$I$2:$I$200,itens_Consumidos!$A$2:$A$200,A159),IF($C$3="C3",SUMIFS(itens_Consumidos!$K$2:$K$200,itens_Consumidos!$A$2:$A$200,A159),IF($C$3="C4",SUMIFS(itens_Consumidos!$M$2:$M$200,itens_Consumidos!$A$2:$A$200,A159),""))))))</f>
        <v/>
      </c>
      <c r="M159" t="str">
        <f t="shared" si="29"/>
        <v/>
      </c>
      <c r="N159" t="str">
        <f>IF(A159="","",IF($C$3="C0",COUNTIFS(itens_Consumidos!$A$2:$A$200,A159,itens_Consumidos!$E$2:$E$200,"&lt;&gt;"),IF($C$3="C1",COUNTIFS(itens_Consumidos!$A$2:$A$200,A159,itens_Consumidos!$G$2:$G$200,"&lt;&gt;"),IF($C$3="C2",COUNTIFS(itens_Consumidos!$A$2:$A$200,A159,itens_Consumidos!$I$2:$I$200,"&lt;&gt;"),IF($C$3="C3",COUNTIFS(itens_Consumidos!$A$2:$A$200,A159,itens_Consumidos!$K$2:$K$200,"&lt;&gt;"),IF($C$3="C4",COUNTIFS(itens_Consumidos!$A$2:$A$200,A159,itens_Consumidos!$M$2:$M$200,"&lt;&gt;"),""))))))</f>
        <v/>
      </c>
      <c r="O159" t="str">
        <f>IF(itens_Remanesc!$A148="","",COUNTIFS(aditivos!$A$2:$A$200,itens_Remanesc!$A148,aditivos!$B$2:$B$200,"&lt;="&amp;$D$5,aditivos!$L$2:$L$200,"&gt;0"))</f>
        <v/>
      </c>
    </row>
    <row r="160" spans="1:15" ht="20" customHeight="1" x14ac:dyDescent="0.35">
      <c r="A160" s="416" t="str">
        <f>IF(itens_Remanesc!$A149="","",IF(NOT(posicao_contratual!$Z149),itens_Remanesc!$A149,IF(AND(ISNUMBER($D$5),$O160&gt;0),itens_Remanesc!$A149,"")))</f>
        <v/>
      </c>
      <c r="B160" s="417" t="str">
        <f>IF(A160="","",IF(AND(posicao_contratual!$Z149,COUNTIFS(aditivos!$A$2:$A$200,itens_Remanesc!$A149,aditivos!$B$2:$B$200,"&lt;"&amp;(INT($F$3)+1),aditivos!$L$2:$L$200,"&gt;0")=0),0,IF(ISNUMBER(IF($C$3="C0",posicao_contratual!$F149,IF($C$3="C1",posicao_contratual!$J149,IF($C$3="C2",posicao_contratual!$N149,IF($C$3="C3",posicao_contratual!$R149,IF($C$3="C4",posicao_contratual!$V149,"")))))),ROUND(IF($C$3="C0",posicao_contratual!$F149,IF($C$3="C1",posicao_contratual!$J149,IF($C$3="C2",posicao_contratual!$N149,IF($C$3="C3",posicao_contratual!$R149,IF($C$3="C4",posicao_contratual!$V149,"")))))+ROUND(SUMIFS(aditivos!$L$2:$L$200,aditivos!$A$2:$A$200,A160,aditivos!$C$2:$C$200,$C$3,aditivos!$B$2:$B$200,"&lt;"&amp;(INT($F$3)+1)),2),2),IF(ROUND(SUMIFS(aditivos!$L$2:$L$200,aditivos!$A$2:$A$200,A160,aditivos!$C$2:$C$200,$C$3,aditivos!$B$2:$B$200,"&lt;"&amp;(INT($F$3)+1)),2)&gt;0,ROUND(SUMIFS(aditivos!$L$2:$L$200,aditivos!$A$2:$A$200,A160,aditivos!$C$2:$C$200,$C$3,aditivos!$B$2:$B$200,"&lt;"&amp;(INT($F$3)+1)),2),""))))</f>
        <v/>
      </c>
      <c r="C160" s="418"/>
      <c r="D160" s="417" t="str">
        <f t="shared" si="24"/>
        <v/>
      </c>
      <c r="E160" s="419" t="str">
        <f>IF(A160="","",IF($C$3="C0",historico_VU!$C149,IF($C$3="C1",historico_VU!$D149,IF($C$3="C2",historico_VU!$E149,IF($C$3="C3",historico_VU!$F149,IF($C$3="C4",historico_VU!$G149,""))))))</f>
        <v/>
      </c>
      <c r="F160" s="419" t="str">
        <f t="shared" si="25"/>
        <v/>
      </c>
      <c r="G160" s="419" t="str">
        <f t="shared" si="26"/>
        <v/>
      </c>
      <c r="I160" t="str">
        <f>IF(OR(A160="",$D$5="",$F$3=""),"",ROUND(SUMIFS(aditivos!$L$2:$L$200,aditivos!$A$2:$A$200,A160,aditivos!$B$2:$B$200,"&gt;="&amp;(INT($F$3)+1),aditivos!$B$2:$B$200,"&lt;="&amp;$D$5),2))</f>
        <v/>
      </c>
      <c r="J160" t="str">
        <f t="shared" si="27"/>
        <v/>
      </c>
      <c r="K160" t="str">
        <f t="shared" si="28"/>
        <v/>
      </c>
      <c r="L160" t="str">
        <f>IF(A160="","",IF($C$3="C0",SUMIFS(itens_Consumidos!$E$2:$E$200,itens_Consumidos!$A$2:$A$200,A160),IF($C$3="C1",SUMIFS(itens_Consumidos!$G$2:$G$200,itens_Consumidos!$A$2:$A$200,A160),IF($C$3="C2",SUMIFS(itens_Consumidos!$I$2:$I$200,itens_Consumidos!$A$2:$A$200,A160),IF($C$3="C3",SUMIFS(itens_Consumidos!$K$2:$K$200,itens_Consumidos!$A$2:$A$200,A160),IF($C$3="C4",SUMIFS(itens_Consumidos!$M$2:$M$200,itens_Consumidos!$A$2:$A$200,A160),""))))))</f>
        <v/>
      </c>
      <c r="M160" t="str">
        <f t="shared" si="29"/>
        <v/>
      </c>
      <c r="N160" t="str">
        <f>IF(A160="","",IF($C$3="C0",COUNTIFS(itens_Consumidos!$A$2:$A$200,A160,itens_Consumidos!$E$2:$E$200,"&lt;&gt;"),IF($C$3="C1",COUNTIFS(itens_Consumidos!$A$2:$A$200,A160,itens_Consumidos!$G$2:$G$200,"&lt;&gt;"),IF($C$3="C2",COUNTIFS(itens_Consumidos!$A$2:$A$200,A160,itens_Consumidos!$I$2:$I$200,"&lt;&gt;"),IF($C$3="C3",COUNTIFS(itens_Consumidos!$A$2:$A$200,A160,itens_Consumidos!$K$2:$K$200,"&lt;&gt;"),IF($C$3="C4",COUNTIFS(itens_Consumidos!$A$2:$A$200,A160,itens_Consumidos!$M$2:$M$200,"&lt;&gt;"),""))))))</f>
        <v/>
      </c>
      <c r="O160" t="str">
        <f>IF(itens_Remanesc!$A149="","",COUNTIFS(aditivos!$A$2:$A$200,itens_Remanesc!$A149,aditivos!$B$2:$B$200,"&lt;="&amp;$D$5,aditivos!$L$2:$L$200,"&gt;0"))</f>
        <v/>
      </c>
    </row>
    <row r="161" spans="1:15" ht="20" customHeight="1" x14ac:dyDescent="0.35">
      <c r="A161" s="416" t="str">
        <f>IF(itens_Remanesc!$A150="","",IF(NOT(posicao_contratual!$Z150),itens_Remanesc!$A150,IF(AND(ISNUMBER($D$5),$O161&gt;0),itens_Remanesc!$A150,"")))</f>
        <v/>
      </c>
      <c r="B161" s="417" t="str">
        <f>IF(A161="","",IF(AND(posicao_contratual!$Z150,COUNTIFS(aditivos!$A$2:$A$200,itens_Remanesc!$A150,aditivos!$B$2:$B$200,"&lt;"&amp;(INT($F$3)+1),aditivos!$L$2:$L$200,"&gt;0")=0),0,IF(ISNUMBER(IF($C$3="C0",posicao_contratual!$F150,IF($C$3="C1",posicao_contratual!$J150,IF($C$3="C2",posicao_contratual!$N150,IF($C$3="C3",posicao_contratual!$R150,IF($C$3="C4",posicao_contratual!$V150,"")))))),ROUND(IF($C$3="C0",posicao_contratual!$F150,IF($C$3="C1",posicao_contratual!$J150,IF($C$3="C2",posicao_contratual!$N150,IF($C$3="C3",posicao_contratual!$R150,IF($C$3="C4",posicao_contratual!$V150,"")))))+ROUND(SUMIFS(aditivos!$L$2:$L$200,aditivos!$A$2:$A$200,A161,aditivos!$C$2:$C$200,$C$3,aditivos!$B$2:$B$200,"&lt;"&amp;(INT($F$3)+1)),2),2),IF(ROUND(SUMIFS(aditivos!$L$2:$L$200,aditivos!$A$2:$A$200,A161,aditivos!$C$2:$C$200,$C$3,aditivos!$B$2:$B$200,"&lt;"&amp;(INT($F$3)+1)),2)&gt;0,ROUND(SUMIFS(aditivos!$L$2:$L$200,aditivos!$A$2:$A$200,A161,aditivos!$C$2:$C$200,$C$3,aditivos!$B$2:$B$200,"&lt;"&amp;(INT($F$3)+1)),2),""))))</f>
        <v/>
      </c>
      <c r="C161" s="418"/>
      <c r="D161" s="417" t="str">
        <f t="shared" si="24"/>
        <v/>
      </c>
      <c r="E161" s="419" t="str">
        <f>IF(A161="","",IF($C$3="C0",historico_VU!$C150,IF($C$3="C1",historico_VU!$D150,IF($C$3="C2",historico_VU!$E150,IF($C$3="C3",historico_VU!$F150,IF($C$3="C4",historico_VU!$G150,""))))))</f>
        <v/>
      </c>
      <c r="F161" s="419" t="str">
        <f t="shared" si="25"/>
        <v/>
      </c>
      <c r="G161" s="419" t="str">
        <f t="shared" si="26"/>
        <v/>
      </c>
      <c r="I161" t="str">
        <f>IF(OR(A161="",$D$5="",$F$3=""),"",ROUND(SUMIFS(aditivos!$L$2:$L$200,aditivos!$A$2:$A$200,A161,aditivos!$B$2:$B$200,"&gt;="&amp;(INT($F$3)+1),aditivos!$B$2:$B$200,"&lt;="&amp;$D$5),2))</f>
        <v/>
      </c>
      <c r="J161" t="str">
        <f t="shared" si="27"/>
        <v/>
      </c>
      <c r="K161" t="str">
        <f t="shared" si="28"/>
        <v/>
      </c>
      <c r="L161" t="str">
        <f>IF(A161="","",IF($C$3="C0",SUMIFS(itens_Consumidos!$E$2:$E$200,itens_Consumidos!$A$2:$A$200,A161),IF($C$3="C1",SUMIFS(itens_Consumidos!$G$2:$G$200,itens_Consumidos!$A$2:$A$200,A161),IF($C$3="C2",SUMIFS(itens_Consumidos!$I$2:$I$200,itens_Consumidos!$A$2:$A$200,A161),IF($C$3="C3",SUMIFS(itens_Consumidos!$K$2:$K$200,itens_Consumidos!$A$2:$A$200,A161),IF($C$3="C4",SUMIFS(itens_Consumidos!$M$2:$M$200,itens_Consumidos!$A$2:$A$200,A161),""))))))</f>
        <v/>
      </c>
      <c r="M161" t="str">
        <f t="shared" si="29"/>
        <v/>
      </c>
      <c r="N161" t="str">
        <f>IF(A161="","",IF($C$3="C0",COUNTIFS(itens_Consumidos!$A$2:$A$200,A161,itens_Consumidos!$E$2:$E$200,"&lt;&gt;"),IF($C$3="C1",COUNTIFS(itens_Consumidos!$A$2:$A$200,A161,itens_Consumidos!$G$2:$G$200,"&lt;&gt;"),IF($C$3="C2",COUNTIFS(itens_Consumidos!$A$2:$A$200,A161,itens_Consumidos!$I$2:$I$200,"&lt;&gt;"),IF($C$3="C3",COUNTIFS(itens_Consumidos!$A$2:$A$200,A161,itens_Consumidos!$K$2:$K$200,"&lt;&gt;"),IF($C$3="C4",COUNTIFS(itens_Consumidos!$A$2:$A$200,A161,itens_Consumidos!$M$2:$M$200,"&lt;&gt;"),""))))))</f>
        <v/>
      </c>
      <c r="O161" t="str">
        <f>IF(itens_Remanesc!$A150="","",COUNTIFS(aditivos!$A$2:$A$200,itens_Remanesc!$A150,aditivos!$B$2:$B$200,"&lt;="&amp;$D$5,aditivos!$L$2:$L$200,"&gt;0"))</f>
        <v/>
      </c>
    </row>
    <row r="162" spans="1:15" ht="20" customHeight="1" x14ac:dyDescent="0.35">
      <c r="A162" s="416" t="str">
        <f>IF(itens_Remanesc!$A151="","",IF(NOT(posicao_contratual!$Z151),itens_Remanesc!$A151,IF(AND(ISNUMBER($D$5),$O162&gt;0),itens_Remanesc!$A151,"")))</f>
        <v/>
      </c>
      <c r="B162" s="417" t="str">
        <f>IF(A162="","",IF(AND(posicao_contratual!$Z151,COUNTIFS(aditivos!$A$2:$A$200,itens_Remanesc!$A151,aditivos!$B$2:$B$200,"&lt;"&amp;(INT($F$3)+1),aditivos!$L$2:$L$200,"&gt;0")=0),0,IF(ISNUMBER(IF($C$3="C0",posicao_contratual!$F151,IF($C$3="C1",posicao_contratual!$J151,IF($C$3="C2",posicao_contratual!$N151,IF($C$3="C3",posicao_contratual!$R151,IF($C$3="C4",posicao_contratual!$V151,"")))))),ROUND(IF($C$3="C0",posicao_contratual!$F151,IF($C$3="C1",posicao_contratual!$J151,IF($C$3="C2",posicao_contratual!$N151,IF($C$3="C3",posicao_contratual!$R151,IF($C$3="C4",posicao_contratual!$V151,"")))))+ROUND(SUMIFS(aditivos!$L$2:$L$200,aditivos!$A$2:$A$200,A162,aditivos!$C$2:$C$200,$C$3,aditivos!$B$2:$B$200,"&lt;"&amp;(INT($F$3)+1)),2),2),IF(ROUND(SUMIFS(aditivos!$L$2:$L$200,aditivos!$A$2:$A$200,A162,aditivos!$C$2:$C$200,$C$3,aditivos!$B$2:$B$200,"&lt;"&amp;(INT($F$3)+1)),2)&gt;0,ROUND(SUMIFS(aditivos!$L$2:$L$200,aditivos!$A$2:$A$200,A162,aditivos!$C$2:$C$200,$C$3,aditivos!$B$2:$B$200,"&lt;"&amp;(INT($F$3)+1)),2),""))))</f>
        <v/>
      </c>
      <c r="C162" s="418"/>
      <c r="D162" s="417" t="str">
        <f t="shared" si="24"/>
        <v/>
      </c>
      <c r="E162" s="419" t="str">
        <f>IF(A162="","",IF($C$3="C0",historico_VU!$C151,IF($C$3="C1",historico_VU!$D151,IF($C$3="C2",historico_VU!$E151,IF($C$3="C3",historico_VU!$F151,IF($C$3="C4",historico_VU!$G151,""))))))</f>
        <v/>
      </c>
      <c r="F162" s="419" t="str">
        <f t="shared" si="25"/>
        <v/>
      </c>
      <c r="G162" s="419" t="str">
        <f t="shared" si="26"/>
        <v/>
      </c>
      <c r="I162" t="str">
        <f>IF(OR(A162="",$D$5="",$F$3=""),"",ROUND(SUMIFS(aditivos!$L$2:$L$200,aditivos!$A$2:$A$200,A162,aditivos!$B$2:$B$200,"&gt;="&amp;(INT($F$3)+1),aditivos!$B$2:$B$200,"&lt;="&amp;$D$5),2))</f>
        <v/>
      </c>
      <c r="J162" t="str">
        <f t="shared" si="27"/>
        <v/>
      </c>
      <c r="K162" t="str">
        <f t="shared" si="28"/>
        <v/>
      </c>
      <c r="L162" t="str">
        <f>IF(A162="","",IF($C$3="C0",SUMIFS(itens_Consumidos!$E$2:$E$200,itens_Consumidos!$A$2:$A$200,A162),IF($C$3="C1",SUMIFS(itens_Consumidos!$G$2:$G$200,itens_Consumidos!$A$2:$A$200,A162),IF($C$3="C2",SUMIFS(itens_Consumidos!$I$2:$I$200,itens_Consumidos!$A$2:$A$200,A162),IF($C$3="C3",SUMIFS(itens_Consumidos!$K$2:$K$200,itens_Consumidos!$A$2:$A$200,A162),IF($C$3="C4",SUMIFS(itens_Consumidos!$M$2:$M$200,itens_Consumidos!$A$2:$A$200,A162),""))))))</f>
        <v/>
      </c>
      <c r="M162" t="str">
        <f t="shared" si="29"/>
        <v/>
      </c>
      <c r="N162" t="str">
        <f>IF(A162="","",IF($C$3="C0",COUNTIFS(itens_Consumidos!$A$2:$A$200,A162,itens_Consumidos!$E$2:$E$200,"&lt;&gt;"),IF($C$3="C1",COUNTIFS(itens_Consumidos!$A$2:$A$200,A162,itens_Consumidos!$G$2:$G$200,"&lt;&gt;"),IF($C$3="C2",COUNTIFS(itens_Consumidos!$A$2:$A$200,A162,itens_Consumidos!$I$2:$I$200,"&lt;&gt;"),IF($C$3="C3",COUNTIFS(itens_Consumidos!$A$2:$A$200,A162,itens_Consumidos!$K$2:$K$200,"&lt;&gt;"),IF($C$3="C4",COUNTIFS(itens_Consumidos!$A$2:$A$200,A162,itens_Consumidos!$M$2:$M$200,"&lt;&gt;"),""))))))</f>
        <v/>
      </c>
      <c r="O162" t="str">
        <f>IF(itens_Remanesc!$A151="","",COUNTIFS(aditivos!$A$2:$A$200,itens_Remanesc!$A151,aditivos!$B$2:$B$200,"&lt;="&amp;$D$5,aditivos!$L$2:$L$200,"&gt;0"))</f>
        <v/>
      </c>
    </row>
    <row r="163" spans="1:15" ht="20" customHeight="1" x14ac:dyDescent="0.35">
      <c r="A163" s="416" t="str">
        <f>IF(itens_Remanesc!$A152="","",IF(NOT(posicao_contratual!$Z152),itens_Remanesc!$A152,IF(AND(ISNUMBER($D$5),$O163&gt;0),itens_Remanesc!$A152,"")))</f>
        <v/>
      </c>
      <c r="B163" s="417" t="str">
        <f>IF(A163="","",IF(AND(posicao_contratual!$Z152,COUNTIFS(aditivos!$A$2:$A$200,itens_Remanesc!$A152,aditivos!$B$2:$B$200,"&lt;"&amp;(INT($F$3)+1),aditivos!$L$2:$L$200,"&gt;0")=0),0,IF(ISNUMBER(IF($C$3="C0",posicao_contratual!$F152,IF($C$3="C1",posicao_contratual!$J152,IF($C$3="C2",posicao_contratual!$N152,IF($C$3="C3",posicao_contratual!$R152,IF($C$3="C4",posicao_contratual!$V152,"")))))),ROUND(IF($C$3="C0",posicao_contratual!$F152,IF($C$3="C1",posicao_contratual!$J152,IF($C$3="C2",posicao_contratual!$N152,IF($C$3="C3",posicao_contratual!$R152,IF($C$3="C4",posicao_contratual!$V152,"")))))+ROUND(SUMIFS(aditivos!$L$2:$L$200,aditivos!$A$2:$A$200,A163,aditivos!$C$2:$C$200,$C$3,aditivos!$B$2:$B$200,"&lt;"&amp;(INT($F$3)+1)),2),2),IF(ROUND(SUMIFS(aditivos!$L$2:$L$200,aditivos!$A$2:$A$200,A163,aditivos!$C$2:$C$200,$C$3,aditivos!$B$2:$B$200,"&lt;"&amp;(INT($F$3)+1)),2)&gt;0,ROUND(SUMIFS(aditivos!$L$2:$L$200,aditivos!$A$2:$A$200,A163,aditivos!$C$2:$C$200,$C$3,aditivos!$B$2:$B$200,"&lt;"&amp;(INT($F$3)+1)),2),""))))</f>
        <v/>
      </c>
      <c r="C163" s="418"/>
      <c r="D163" s="417" t="str">
        <f t="shared" si="24"/>
        <v/>
      </c>
      <c r="E163" s="419" t="str">
        <f>IF(A163="","",IF($C$3="C0",historico_VU!$C152,IF($C$3="C1",historico_VU!$D152,IF($C$3="C2",historico_VU!$E152,IF($C$3="C3",historico_VU!$F152,IF($C$3="C4",historico_VU!$G152,""))))))</f>
        <v/>
      </c>
      <c r="F163" s="419" t="str">
        <f t="shared" si="25"/>
        <v/>
      </c>
      <c r="G163" s="419" t="str">
        <f t="shared" si="26"/>
        <v/>
      </c>
      <c r="I163" t="str">
        <f>IF(OR(A163="",$D$5="",$F$3=""),"",ROUND(SUMIFS(aditivos!$L$2:$L$200,aditivos!$A$2:$A$200,A163,aditivos!$B$2:$B$200,"&gt;="&amp;(INT($F$3)+1),aditivos!$B$2:$B$200,"&lt;="&amp;$D$5),2))</f>
        <v/>
      </c>
      <c r="J163" t="str">
        <f t="shared" si="27"/>
        <v/>
      </c>
      <c r="K163" t="str">
        <f t="shared" si="28"/>
        <v/>
      </c>
      <c r="L163" t="str">
        <f>IF(A163="","",IF($C$3="C0",SUMIFS(itens_Consumidos!$E$2:$E$200,itens_Consumidos!$A$2:$A$200,A163),IF($C$3="C1",SUMIFS(itens_Consumidos!$G$2:$G$200,itens_Consumidos!$A$2:$A$200,A163),IF($C$3="C2",SUMIFS(itens_Consumidos!$I$2:$I$200,itens_Consumidos!$A$2:$A$200,A163),IF($C$3="C3",SUMIFS(itens_Consumidos!$K$2:$K$200,itens_Consumidos!$A$2:$A$200,A163),IF($C$3="C4",SUMIFS(itens_Consumidos!$M$2:$M$200,itens_Consumidos!$A$2:$A$200,A163),""))))))</f>
        <v/>
      </c>
      <c r="M163" t="str">
        <f t="shared" si="29"/>
        <v/>
      </c>
      <c r="N163" t="str">
        <f>IF(A163="","",IF($C$3="C0",COUNTIFS(itens_Consumidos!$A$2:$A$200,A163,itens_Consumidos!$E$2:$E$200,"&lt;&gt;"),IF($C$3="C1",COUNTIFS(itens_Consumidos!$A$2:$A$200,A163,itens_Consumidos!$G$2:$G$200,"&lt;&gt;"),IF($C$3="C2",COUNTIFS(itens_Consumidos!$A$2:$A$200,A163,itens_Consumidos!$I$2:$I$200,"&lt;&gt;"),IF($C$3="C3",COUNTIFS(itens_Consumidos!$A$2:$A$200,A163,itens_Consumidos!$K$2:$K$200,"&lt;&gt;"),IF($C$3="C4",COUNTIFS(itens_Consumidos!$A$2:$A$200,A163,itens_Consumidos!$M$2:$M$200,"&lt;&gt;"),""))))))</f>
        <v/>
      </c>
      <c r="O163" t="str">
        <f>IF(itens_Remanesc!$A152="","",COUNTIFS(aditivos!$A$2:$A$200,itens_Remanesc!$A152,aditivos!$B$2:$B$200,"&lt;="&amp;$D$5,aditivos!$L$2:$L$200,"&gt;0"))</f>
        <v/>
      </c>
    </row>
    <row r="164" spans="1:15" ht="20" customHeight="1" x14ac:dyDescent="0.35">
      <c r="A164" s="416" t="str">
        <f>IF(itens_Remanesc!$A153="","",IF(NOT(posicao_contratual!$Z153),itens_Remanesc!$A153,IF(AND(ISNUMBER($D$5),$O164&gt;0),itens_Remanesc!$A153,"")))</f>
        <v/>
      </c>
      <c r="B164" s="417" t="str">
        <f>IF(A164="","",IF(AND(posicao_contratual!$Z153,COUNTIFS(aditivos!$A$2:$A$200,itens_Remanesc!$A153,aditivos!$B$2:$B$200,"&lt;"&amp;(INT($F$3)+1),aditivos!$L$2:$L$200,"&gt;0")=0),0,IF(ISNUMBER(IF($C$3="C0",posicao_contratual!$F153,IF($C$3="C1",posicao_contratual!$J153,IF($C$3="C2",posicao_contratual!$N153,IF($C$3="C3",posicao_contratual!$R153,IF($C$3="C4",posicao_contratual!$V153,"")))))),ROUND(IF($C$3="C0",posicao_contratual!$F153,IF($C$3="C1",posicao_contratual!$J153,IF($C$3="C2",posicao_contratual!$N153,IF($C$3="C3",posicao_contratual!$R153,IF($C$3="C4",posicao_contratual!$V153,"")))))+ROUND(SUMIFS(aditivos!$L$2:$L$200,aditivos!$A$2:$A$200,A164,aditivos!$C$2:$C$200,$C$3,aditivos!$B$2:$B$200,"&lt;"&amp;(INT($F$3)+1)),2),2),IF(ROUND(SUMIFS(aditivos!$L$2:$L$200,aditivos!$A$2:$A$200,A164,aditivos!$C$2:$C$200,$C$3,aditivos!$B$2:$B$200,"&lt;"&amp;(INT($F$3)+1)),2)&gt;0,ROUND(SUMIFS(aditivos!$L$2:$L$200,aditivos!$A$2:$A$200,A164,aditivos!$C$2:$C$200,$C$3,aditivos!$B$2:$B$200,"&lt;"&amp;(INT($F$3)+1)),2),""))))</f>
        <v/>
      </c>
      <c r="C164" s="418"/>
      <c r="D164" s="417" t="str">
        <f t="shared" si="24"/>
        <v/>
      </c>
      <c r="E164" s="419" t="str">
        <f>IF(A164="","",IF($C$3="C0",historico_VU!$C153,IF($C$3="C1",historico_VU!$D153,IF($C$3="C2",historico_VU!$E153,IF($C$3="C3",historico_VU!$F153,IF($C$3="C4",historico_VU!$G153,""))))))</f>
        <v/>
      </c>
      <c r="F164" s="419" t="str">
        <f t="shared" si="25"/>
        <v/>
      </c>
      <c r="G164" s="419" t="str">
        <f t="shared" si="26"/>
        <v/>
      </c>
      <c r="I164" t="str">
        <f>IF(OR(A164="",$D$5="",$F$3=""),"",ROUND(SUMIFS(aditivos!$L$2:$L$200,aditivos!$A$2:$A$200,A164,aditivos!$B$2:$B$200,"&gt;="&amp;(INT($F$3)+1),aditivos!$B$2:$B$200,"&lt;="&amp;$D$5),2))</f>
        <v/>
      </c>
      <c r="J164" t="str">
        <f t="shared" si="27"/>
        <v/>
      </c>
      <c r="K164" t="str">
        <f t="shared" si="28"/>
        <v/>
      </c>
      <c r="L164" t="str">
        <f>IF(A164="","",IF($C$3="C0",SUMIFS(itens_Consumidos!$E$2:$E$200,itens_Consumidos!$A$2:$A$200,A164),IF($C$3="C1",SUMIFS(itens_Consumidos!$G$2:$G$200,itens_Consumidos!$A$2:$A$200,A164),IF($C$3="C2",SUMIFS(itens_Consumidos!$I$2:$I$200,itens_Consumidos!$A$2:$A$200,A164),IF($C$3="C3",SUMIFS(itens_Consumidos!$K$2:$K$200,itens_Consumidos!$A$2:$A$200,A164),IF($C$3="C4",SUMIFS(itens_Consumidos!$M$2:$M$200,itens_Consumidos!$A$2:$A$200,A164),""))))))</f>
        <v/>
      </c>
      <c r="M164" t="str">
        <f t="shared" si="29"/>
        <v/>
      </c>
      <c r="N164" t="str">
        <f>IF(A164="","",IF($C$3="C0",COUNTIFS(itens_Consumidos!$A$2:$A$200,A164,itens_Consumidos!$E$2:$E$200,"&lt;&gt;"),IF($C$3="C1",COUNTIFS(itens_Consumidos!$A$2:$A$200,A164,itens_Consumidos!$G$2:$G$200,"&lt;&gt;"),IF($C$3="C2",COUNTIFS(itens_Consumidos!$A$2:$A$200,A164,itens_Consumidos!$I$2:$I$200,"&lt;&gt;"),IF($C$3="C3",COUNTIFS(itens_Consumidos!$A$2:$A$200,A164,itens_Consumidos!$K$2:$K$200,"&lt;&gt;"),IF($C$3="C4",COUNTIFS(itens_Consumidos!$A$2:$A$200,A164,itens_Consumidos!$M$2:$M$200,"&lt;&gt;"),""))))))</f>
        <v/>
      </c>
      <c r="O164" t="str">
        <f>IF(itens_Remanesc!$A153="","",COUNTIFS(aditivos!$A$2:$A$200,itens_Remanesc!$A153,aditivos!$B$2:$B$200,"&lt;="&amp;$D$5,aditivos!$L$2:$L$200,"&gt;0"))</f>
        <v/>
      </c>
    </row>
    <row r="165" spans="1:15" ht="20" customHeight="1" x14ac:dyDescent="0.35">
      <c r="A165" s="416" t="str">
        <f>IF(itens_Remanesc!$A154="","",IF(NOT(posicao_contratual!$Z154),itens_Remanesc!$A154,IF(AND(ISNUMBER($D$5),$O165&gt;0),itens_Remanesc!$A154,"")))</f>
        <v/>
      </c>
      <c r="B165" s="417" t="str">
        <f>IF(A165="","",IF(AND(posicao_contratual!$Z154,COUNTIFS(aditivos!$A$2:$A$200,itens_Remanesc!$A154,aditivos!$B$2:$B$200,"&lt;"&amp;(INT($F$3)+1),aditivos!$L$2:$L$200,"&gt;0")=0),0,IF(ISNUMBER(IF($C$3="C0",posicao_contratual!$F154,IF($C$3="C1",posicao_contratual!$J154,IF($C$3="C2",posicao_contratual!$N154,IF($C$3="C3",posicao_contratual!$R154,IF($C$3="C4",posicao_contratual!$V154,"")))))),ROUND(IF($C$3="C0",posicao_contratual!$F154,IF($C$3="C1",posicao_contratual!$J154,IF($C$3="C2",posicao_contratual!$N154,IF($C$3="C3",posicao_contratual!$R154,IF($C$3="C4",posicao_contratual!$V154,"")))))+ROUND(SUMIFS(aditivos!$L$2:$L$200,aditivos!$A$2:$A$200,A165,aditivos!$C$2:$C$200,$C$3,aditivos!$B$2:$B$200,"&lt;"&amp;(INT($F$3)+1)),2),2),IF(ROUND(SUMIFS(aditivos!$L$2:$L$200,aditivos!$A$2:$A$200,A165,aditivos!$C$2:$C$200,$C$3,aditivos!$B$2:$B$200,"&lt;"&amp;(INT($F$3)+1)),2)&gt;0,ROUND(SUMIFS(aditivos!$L$2:$L$200,aditivos!$A$2:$A$200,A165,aditivos!$C$2:$C$200,$C$3,aditivos!$B$2:$B$200,"&lt;"&amp;(INT($F$3)+1)),2),""))))</f>
        <v/>
      </c>
      <c r="C165" s="418"/>
      <c r="D165" s="417" t="str">
        <f t="shared" si="24"/>
        <v/>
      </c>
      <c r="E165" s="419" t="str">
        <f>IF(A165="","",IF($C$3="C0",historico_VU!$C154,IF($C$3="C1",historico_VU!$D154,IF($C$3="C2",historico_VU!$E154,IF($C$3="C3",historico_VU!$F154,IF($C$3="C4",historico_VU!$G154,""))))))</f>
        <v/>
      </c>
      <c r="F165" s="419" t="str">
        <f t="shared" si="25"/>
        <v/>
      </c>
      <c r="G165" s="419" t="str">
        <f t="shared" si="26"/>
        <v/>
      </c>
      <c r="I165" t="str">
        <f>IF(OR(A165="",$D$5="",$F$3=""),"",ROUND(SUMIFS(aditivos!$L$2:$L$200,aditivos!$A$2:$A$200,A165,aditivos!$B$2:$B$200,"&gt;="&amp;(INT($F$3)+1),aditivos!$B$2:$B$200,"&lt;="&amp;$D$5),2))</f>
        <v/>
      </c>
      <c r="J165" t="str">
        <f t="shared" si="27"/>
        <v/>
      </c>
      <c r="K165" t="str">
        <f t="shared" si="28"/>
        <v/>
      </c>
      <c r="L165" t="str">
        <f>IF(A165="","",IF($C$3="C0",SUMIFS(itens_Consumidos!$E$2:$E$200,itens_Consumidos!$A$2:$A$200,A165),IF($C$3="C1",SUMIFS(itens_Consumidos!$G$2:$G$200,itens_Consumidos!$A$2:$A$200,A165),IF($C$3="C2",SUMIFS(itens_Consumidos!$I$2:$I$200,itens_Consumidos!$A$2:$A$200,A165),IF($C$3="C3",SUMIFS(itens_Consumidos!$K$2:$K$200,itens_Consumidos!$A$2:$A$200,A165),IF($C$3="C4",SUMIFS(itens_Consumidos!$M$2:$M$200,itens_Consumidos!$A$2:$A$200,A165),""))))))</f>
        <v/>
      </c>
      <c r="M165" t="str">
        <f t="shared" si="29"/>
        <v/>
      </c>
      <c r="N165" t="str">
        <f>IF(A165="","",IF($C$3="C0",COUNTIFS(itens_Consumidos!$A$2:$A$200,A165,itens_Consumidos!$E$2:$E$200,"&lt;&gt;"),IF($C$3="C1",COUNTIFS(itens_Consumidos!$A$2:$A$200,A165,itens_Consumidos!$G$2:$G$200,"&lt;&gt;"),IF($C$3="C2",COUNTIFS(itens_Consumidos!$A$2:$A$200,A165,itens_Consumidos!$I$2:$I$200,"&lt;&gt;"),IF($C$3="C3",COUNTIFS(itens_Consumidos!$A$2:$A$200,A165,itens_Consumidos!$K$2:$K$200,"&lt;&gt;"),IF($C$3="C4",COUNTIFS(itens_Consumidos!$A$2:$A$200,A165,itens_Consumidos!$M$2:$M$200,"&lt;&gt;"),""))))))</f>
        <v/>
      </c>
      <c r="O165" t="str">
        <f>IF(itens_Remanesc!$A154="","",COUNTIFS(aditivos!$A$2:$A$200,itens_Remanesc!$A154,aditivos!$B$2:$B$200,"&lt;="&amp;$D$5,aditivos!$L$2:$L$200,"&gt;0"))</f>
        <v/>
      </c>
    </row>
    <row r="166" spans="1:15" ht="20" customHeight="1" x14ac:dyDescent="0.35">
      <c r="A166" s="416" t="str">
        <f>IF(itens_Remanesc!$A155="","",IF(NOT(posicao_contratual!$Z155),itens_Remanesc!$A155,IF(AND(ISNUMBER($D$5),$O166&gt;0),itens_Remanesc!$A155,"")))</f>
        <v/>
      </c>
      <c r="B166" s="417" t="str">
        <f>IF(A166="","",IF(AND(posicao_contratual!$Z155,COUNTIFS(aditivos!$A$2:$A$200,itens_Remanesc!$A155,aditivos!$B$2:$B$200,"&lt;"&amp;(INT($F$3)+1),aditivos!$L$2:$L$200,"&gt;0")=0),0,IF(ISNUMBER(IF($C$3="C0",posicao_contratual!$F155,IF($C$3="C1",posicao_contratual!$J155,IF($C$3="C2",posicao_contratual!$N155,IF($C$3="C3",posicao_contratual!$R155,IF($C$3="C4",posicao_contratual!$V155,"")))))),ROUND(IF($C$3="C0",posicao_contratual!$F155,IF($C$3="C1",posicao_contratual!$J155,IF($C$3="C2",posicao_contratual!$N155,IF($C$3="C3",posicao_contratual!$R155,IF($C$3="C4",posicao_contratual!$V155,"")))))+ROUND(SUMIFS(aditivos!$L$2:$L$200,aditivos!$A$2:$A$200,A166,aditivos!$C$2:$C$200,$C$3,aditivos!$B$2:$B$200,"&lt;"&amp;(INT($F$3)+1)),2),2),IF(ROUND(SUMIFS(aditivos!$L$2:$L$200,aditivos!$A$2:$A$200,A166,aditivos!$C$2:$C$200,$C$3,aditivos!$B$2:$B$200,"&lt;"&amp;(INT($F$3)+1)),2)&gt;0,ROUND(SUMIFS(aditivos!$L$2:$L$200,aditivos!$A$2:$A$200,A166,aditivos!$C$2:$C$200,$C$3,aditivos!$B$2:$B$200,"&lt;"&amp;(INT($F$3)+1)),2),""))))</f>
        <v/>
      </c>
      <c r="C166" s="418"/>
      <c r="D166" s="417" t="str">
        <f t="shared" si="24"/>
        <v/>
      </c>
      <c r="E166" s="419" t="str">
        <f>IF(A166="","",IF($C$3="C0",historico_VU!$C155,IF($C$3="C1",historico_VU!$D155,IF($C$3="C2",historico_VU!$E155,IF($C$3="C3",historico_VU!$F155,IF($C$3="C4",historico_VU!$G155,""))))))</f>
        <v/>
      </c>
      <c r="F166" s="419" t="str">
        <f t="shared" si="25"/>
        <v/>
      </c>
      <c r="G166" s="419" t="str">
        <f t="shared" si="26"/>
        <v/>
      </c>
      <c r="I166" t="str">
        <f>IF(OR(A166="",$D$5="",$F$3=""),"",ROUND(SUMIFS(aditivos!$L$2:$L$200,aditivos!$A$2:$A$200,A166,aditivos!$B$2:$B$200,"&gt;="&amp;(INT($F$3)+1),aditivos!$B$2:$B$200,"&lt;="&amp;$D$5),2))</f>
        <v/>
      </c>
      <c r="J166" t="str">
        <f t="shared" si="27"/>
        <v/>
      </c>
      <c r="K166" t="str">
        <f t="shared" si="28"/>
        <v/>
      </c>
      <c r="L166" t="str">
        <f>IF(A166="","",IF($C$3="C0",SUMIFS(itens_Consumidos!$E$2:$E$200,itens_Consumidos!$A$2:$A$200,A166),IF($C$3="C1",SUMIFS(itens_Consumidos!$G$2:$G$200,itens_Consumidos!$A$2:$A$200,A166),IF($C$3="C2",SUMIFS(itens_Consumidos!$I$2:$I$200,itens_Consumidos!$A$2:$A$200,A166),IF($C$3="C3",SUMIFS(itens_Consumidos!$K$2:$K$200,itens_Consumidos!$A$2:$A$200,A166),IF($C$3="C4",SUMIFS(itens_Consumidos!$M$2:$M$200,itens_Consumidos!$A$2:$A$200,A166),""))))))</f>
        <v/>
      </c>
      <c r="M166" t="str">
        <f t="shared" si="29"/>
        <v/>
      </c>
      <c r="N166" t="str">
        <f>IF(A166="","",IF($C$3="C0",COUNTIFS(itens_Consumidos!$A$2:$A$200,A166,itens_Consumidos!$E$2:$E$200,"&lt;&gt;"),IF($C$3="C1",COUNTIFS(itens_Consumidos!$A$2:$A$200,A166,itens_Consumidos!$G$2:$G$200,"&lt;&gt;"),IF($C$3="C2",COUNTIFS(itens_Consumidos!$A$2:$A$200,A166,itens_Consumidos!$I$2:$I$200,"&lt;&gt;"),IF($C$3="C3",COUNTIFS(itens_Consumidos!$A$2:$A$200,A166,itens_Consumidos!$K$2:$K$200,"&lt;&gt;"),IF($C$3="C4",COUNTIFS(itens_Consumidos!$A$2:$A$200,A166,itens_Consumidos!$M$2:$M$200,"&lt;&gt;"),""))))))</f>
        <v/>
      </c>
      <c r="O166" t="str">
        <f>IF(itens_Remanesc!$A155="","",COUNTIFS(aditivos!$A$2:$A$200,itens_Remanesc!$A155,aditivos!$B$2:$B$200,"&lt;="&amp;$D$5,aditivos!$L$2:$L$200,"&gt;0"))</f>
        <v/>
      </c>
    </row>
    <row r="167" spans="1:15" ht="20" customHeight="1" x14ac:dyDescent="0.35">
      <c r="A167" s="416" t="str">
        <f>IF(itens_Remanesc!$A156="","",IF(NOT(posicao_contratual!$Z156),itens_Remanesc!$A156,IF(AND(ISNUMBER($D$5),$O167&gt;0),itens_Remanesc!$A156,"")))</f>
        <v/>
      </c>
      <c r="B167" s="417" t="str">
        <f>IF(A167="","",IF(AND(posicao_contratual!$Z156,COUNTIFS(aditivos!$A$2:$A$200,itens_Remanesc!$A156,aditivos!$B$2:$B$200,"&lt;"&amp;(INT($F$3)+1),aditivos!$L$2:$L$200,"&gt;0")=0),0,IF(ISNUMBER(IF($C$3="C0",posicao_contratual!$F156,IF($C$3="C1",posicao_contratual!$J156,IF($C$3="C2",posicao_contratual!$N156,IF($C$3="C3",posicao_contratual!$R156,IF($C$3="C4",posicao_contratual!$V156,"")))))),ROUND(IF($C$3="C0",posicao_contratual!$F156,IF($C$3="C1",posicao_contratual!$J156,IF($C$3="C2",posicao_contratual!$N156,IF($C$3="C3",posicao_contratual!$R156,IF($C$3="C4",posicao_contratual!$V156,"")))))+ROUND(SUMIFS(aditivos!$L$2:$L$200,aditivos!$A$2:$A$200,A167,aditivos!$C$2:$C$200,$C$3,aditivos!$B$2:$B$200,"&lt;"&amp;(INT($F$3)+1)),2),2),IF(ROUND(SUMIFS(aditivos!$L$2:$L$200,aditivos!$A$2:$A$200,A167,aditivos!$C$2:$C$200,$C$3,aditivos!$B$2:$B$200,"&lt;"&amp;(INT($F$3)+1)),2)&gt;0,ROUND(SUMIFS(aditivos!$L$2:$L$200,aditivos!$A$2:$A$200,A167,aditivos!$C$2:$C$200,$C$3,aditivos!$B$2:$B$200,"&lt;"&amp;(INT($F$3)+1)),2),""))))</f>
        <v/>
      </c>
      <c r="C167" s="418"/>
      <c r="D167" s="417" t="str">
        <f t="shared" si="24"/>
        <v/>
      </c>
      <c r="E167" s="419" t="str">
        <f>IF(A167="","",IF($C$3="C0",historico_VU!$C156,IF($C$3="C1",historico_VU!$D156,IF($C$3="C2",historico_VU!$E156,IF($C$3="C3",historico_VU!$F156,IF($C$3="C4",historico_VU!$G156,""))))))</f>
        <v/>
      </c>
      <c r="F167" s="419" t="str">
        <f t="shared" si="25"/>
        <v/>
      </c>
      <c r="G167" s="419" t="str">
        <f t="shared" si="26"/>
        <v/>
      </c>
      <c r="I167" t="str">
        <f>IF(OR(A167="",$D$5="",$F$3=""),"",ROUND(SUMIFS(aditivos!$L$2:$L$200,aditivos!$A$2:$A$200,A167,aditivos!$B$2:$B$200,"&gt;="&amp;(INT($F$3)+1),aditivos!$B$2:$B$200,"&lt;="&amp;$D$5),2))</f>
        <v/>
      </c>
      <c r="J167" t="str">
        <f t="shared" si="27"/>
        <v/>
      </c>
      <c r="K167" t="str">
        <f t="shared" si="28"/>
        <v/>
      </c>
      <c r="L167" t="str">
        <f>IF(A167="","",IF($C$3="C0",SUMIFS(itens_Consumidos!$E$2:$E$200,itens_Consumidos!$A$2:$A$200,A167),IF($C$3="C1",SUMIFS(itens_Consumidos!$G$2:$G$200,itens_Consumidos!$A$2:$A$200,A167),IF($C$3="C2",SUMIFS(itens_Consumidos!$I$2:$I$200,itens_Consumidos!$A$2:$A$200,A167),IF($C$3="C3",SUMIFS(itens_Consumidos!$K$2:$K$200,itens_Consumidos!$A$2:$A$200,A167),IF($C$3="C4",SUMIFS(itens_Consumidos!$M$2:$M$200,itens_Consumidos!$A$2:$A$200,A167),""))))))</f>
        <v/>
      </c>
      <c r="M167" t="str">
        <f t="shared" si="29"/>
        <v/>
      </c>
      <c r="N167" t="str">
        <f>IF(A167="","",IF($C$3="C0",COUNTIFS(itens_Consumidos!$A$2:$A$200,A167,itens_Consumidos!$E$2:$E$200,"&lt;&gt;"),IF($C$3="C1",COUNTIFS(itens_Consumidos!$A$2:$A$200,A167,itens_Consumidos!$G$2:$G$200,"&lt;&gt;"),IF($C$3="C2",COUNTIFS(itens_Consumidos!$A$2:$A$200,A167,itens_Consumidos!$I$2:$I$200,"&lt;&gt;"),IF($C$3="C3",COUNTIFS(itens_Consumidos!$A$2:$A$200,A167,itens_Consumidos!$K$2:$K$200,"&lt;&gt;"),IF($C$3="C4",COUNTIFS(itens_Consumidos!$A$2:$A$200,A167,itens_Consumidos!$M$2:$M$200,"&lt;&gt;"),""))))))</f>
        <v/>
      </c>
      <c r="O167" t="str">
        <f>IF(itens_Remanesc!$A156="","",COUNTIFS(aditivos!$A$2:$A$200,itens_Remanesc!$A156,aditivos!$B$2:$B$200,"&lt;="&amp;$D$5,aditivos!$L$2:$L$200,"&gt;0"))</f>
        <v/>
      </c>
    </row>
    <row r="168" spans="1:15" ht="20" customHeight="1" x14ac:dyDescent="0.35">
      <c r="A168" s="416" t="str">
        <f>IF(itens_Remanesc!$A157="","",IF(NOT(posicao_contratual!$Z157),itens_Remanesc!$A157,IF(AND(ISNUMBER($D$5),$O168&gt;0),itens_Remanesc!$A157,"")))</f>
        <v/>
      </c>
      <c r="B168" s="417" t="str">
        <f>IF(A168="","",IF(AND(posicao_contratual!$Z157,COUNTIFS(aditivos!$A$2:$A$200,itens_Remanesc!$A157,aditivos!$B$2:$B$200,"&lt;"&amp;(INT($F$3)+1),aditivos!$L$2:$L$200,"&gt;0")=0),0,IF(ISNUMBER(IF($C$3="C0",posicao_contratual!$F157,IF($C$3="C1",posicao_contratual!$J157,IF($C$3="C2",posicao_contratual!$N157,IF($C$3="C3",posicao_contratual!$R157,IF($C$3="C4",posicao_contratual!$V157,"")))))),ROUND(IF($C$3="C0",posicao_contratual!$F157,IF($C$3="C1",posicao_contratual!$J157,IF($C$3="C2",posicao_contratual!$N157,IF($C$3="C3",posicao_contratual!$R157,IF($C$3="C4",posicao_contratual!$V157,"")))))+ROUND(SUMIFS(aditivos!$L$2:$L$200,aditivos!$A$2:$A$200,A168,aditivos!$C$2:$C$200,$C$3,aditivos!$B$2:$B$200,"&lt;"&amp;(INT($F$3)+1)),2),2),IF(ROUND(SUMIFS(aditivos!$L$2:$L$200,aditivos!$A$2:$A$200,A168,aditivos!$C$2:$C$200,$C$3,aditivos!$B$2:$B$200,"&lt;"&amp;(INT($F$3)+1)),2)&gt;0,ROUND(SUMIFS(aditivos!$L$2:$L$200,aditivos!$A$2:$A$200,A168,aditivos!$C$2:$C$200,$C$3,aditivos!$B$2:$B$200,"&lt;"&amp;(INT($F$3)+1)),2),""))))</f>
        <v/>
      </c>
      <c r="C168" s="418"/>
      <c r="D168" s="417" t="str">
        <f t="shared" si="24"/>
        <v/>
      </c>
      <c r="E168" s="419" t="str">
        <f>IF(A168="","",IF($C$3="C0",historico_VU!$C157,IF($C$3="C1",historico_VU!$D157,IF($C$3="C2",historico_VU!$E157,IF($C$3="C3",historico_VU!$F157,IF($C$3="C4",historico_VU!$G157,""))))))</f>
        <v/>
      </c>
      <c r="F168" s="419" t="str">
        <f t="shared" si="25"/>
        <v/>
      </c>
      <c r="G168" s="419" t="str">
        <f t="shared" si="26"/>
        <v/>
      </c>
      <c r="I168" t="str">
        <f>IF(OR(A168="",$D$5="",$F$3=""),"",ROUND(SUMIFS(aditivos!$L$2:$L$200,aditivos!$A$2:$A$200,A168,aditivos!$B$2:$B$200,"&gt;="&amp;(INT($F$3)+1),aditivos!$B$2:$B$200,"&lt;="&amp;$D$5),2))</f>
        <v/>
      </c>
      <c r="J168" t="str">
        <f t="shared" si="27"/>
        <v/>
      </c>
      <c r="K168" t="str">
        <f t="shared" si="28"/>
        <v/>
      </c>
      <c r="L168" t="str">
        <f>IF(A168="","",IF($C$3="C0",SUMIFS(itens_Consumidos!$E$2:$E$200,itens_Consumidos!$A$2:$A$200,A168),IF($C$3="C1",SUMIFS(itens_Consumidos!$G$2:$G$200,itens_Consumidos!$A$2:$A$200,A168),IF($C$3="C2",SUMIFS(itens_Consumidos!$I$2:$I$200,itens_Consumidos!$A$2:$A$200,A168),IF($C$3="C3",SUMIFS(itens_Consumidos!$K$2:$K$200,itens_Consumidos!$A$2:$A$200,A168),IF($C$3="C4",SUMIFS(itens_Consumidos!$M$2:$M$200,itens_Consumidos!$A$2:$A$200,A168),""))))))</f>
        <v/>
      </c>
      <c r="M168" t="str">
        <f t="shared" si="29"/>
        <v/>
      </c>
      <c r="N168" t="str">
        <f>IF(A168="","",IF($C$3="C0",COUNTIFS(itens_Consumidos!$A$2:$A$200,A168,itens_Consumidos!$E$2:$E$200,"&lt;&gt;"),IF($C$3="C1",COUNTIFS(itens_Consumidos!$A$2:$A$200,A168,itens_Consumidos!$G$2:$G$200,"&lt;&gt;"),IF($C$3="C2",COUNTIFS(itens_Consumidos!$A$2:$A$200,A168,itens_Consumidos!$I$2:$I$200,"&lt;&gt;"),IF($C$3="C3",COUNTIFS(itens_Consumidos!$A$2:$A$200,A168,itens_Consumidos!$K$2:$K$200,"&lt;&gt;"),IF($C$3="C4",COUNTIFS(itens_Consumidos!$A$2:$A$200,A168,itens_Consumidos!$M$2:$M$200,"&lt;&gt;"),""))))))</f>
        <v/>
      </c>
      <c r="O168" t="str">
        <f>IF(itens_Remanesc!$A157="","",COUNTIFS(aditivos!$A$2:$A$200,itens_Remanesc!$A157,aditivos!$B$2:$B$200,"&lt;="&amp;$D$5,aditivos!$L$2:$L$200,"&gt;0"))</f>
        <v/>
      </c>
    </row>
    <row r="169" spans="1:15" ht="20" customHeight="1" x14ac:dyDescent="0.35">
      <c r="A169" s="416" t="str">
        <f>IF(itens_Remanesc!$A158="","",IF(NOT(posicao_contratual!$Z158),itens_Remanesc!$A158,IF(AND(ISNUMBER($D$5),$O169&gt;0),itens_Remanesc!$A158,"")))</f>
        <v/>
      </c>
      <c r="B169" s="417" t="str">
        <f>IF(A169="","",IF(AND(posicao_contratual!$Z158,COUNTIFS(aditivos!$A$2:$A$200,itens_Remanesc!$A158,aditivos!$B$2:$B$200,"&lt;"&amp;(INT($F$3)+1),aditivos!$L$2:$L$200,"&gt;0")=0),0,IF(ISNUMBER(IF($C$3="C0",posicao_contratual!$F158,IF($C$3="C1",posicao_contratual!$J158,IF($C$3="C2",posicao_contratual!$N158,IF($C$3="C3",posicao_contratual!$R158,IF($C$3="C4",posicao_contratual!$V158,"")))))),ROUND(IF($C$3="C0",posicao_contratual!$F158,IF($C$3="C1",posicao_contratual!$J158,IF($C$3="C2",posicao_contratual!$N158,IF($C$3="C3",posicao_contratual!$R158,IF($C$3="C4",posicao_contratual!$V158,"")))))+ROUND(SUMIFS(aditivos!$L$2:$L$200,aditivos!$A$2:$A$200,A169,aditivos!$C$2:$C$200,$C$3,aditivos!$B$2:$B$200,"&lt;"&amp;(INT($F$3)+1)),2),2),IF(ROUND(SUMIFS(aditivos!$L$2:$L$200,aditivos!$A$2:$A$200,A169,aditivos!$C$2:$C$200,$C$3,aditivos!$B$2:$B$200,"&lt;"&amp;(INT($F$3)+1)),2)&gt;0,ROUND(SUMIFS(aditivos!$L$2:$L$200,aditivos!$A$2:$A$200,A169,aditivos!$C$2:$C$200,$C$3,aditivos!$B$2:$B$200,"&lt;"&amp;(INT($F$3)+1)),2),""))))</f>
        <v/>
      </c>
      <c r="C169" s="418"/>
      <c r="D169" s="417" t="str">
        <f t="shared" si="24"/>
        <v/>
      </c>
      <c r="E169" s="419" t="str">
        <f>IF(A169="","",IF($C$3="C0",historico_VU!$C158,IF($C$3="C1",historico_VU!$D158,IF($C$3="C2",historico_VU!$E158,IF($C$3="C3",historico_VU!$F158,IF($C$3="C4",historico_VU!$G158,""))))))</f>
        <v/>
      </c>
      <c r="F169" s="419" t="str">
        <f t="shared" si="25"/>
        <v/>
      </c>
      <c r="G169" s="419" t="str">
        <f t="shared" si="26"/>
        <v/>
      </c>
      <c r="I169" t="str">
        <f>IF(OR(A169="",$D$5="",$F$3=""),"",ROUND(SUMIFS(aditivos!$L$2:$L$200,aditivos!$A$2:$A$200,A169,aditivos!$B$2:$B$200,"&gt;="&amp;(INT($F$3)+1),aditivos!$B$2:$B$200,"&lt;="&amp;$D$5),2))</f>
        <v/>
      </c>
      <c r="J169" t="str">
        <f t="shared" si="27"/>
        <v/>
      </c>
      <c r="K169" t="str">
        <f t="shared" si="28"/>
        <v/>
      </c>
      <c r="L169" t="str">
        <f>IF(A169="","",IF($C$3="C0",SUMIFS(itens_Consumidos!$E$2:$E$200,itens_Consumidos!$A$2:$A$200,A169),IF($C$3="C1",SUMIFS(itens_Consumidos!$G$2:$G$200,itens_Consumidos!$A$2:$A$200,A169),IF($C$3="C2",SUMIFS(itens_Consumidos!$I$2:$I$200,itens_Consumidos!$A$2:$A$200,A169),IF($C$3="C3",SUMIFS(itens_Consumidos!$K$2:$K$200,itens_Consumidos!$A$2:$A$200,A169),IF($C$3="C4",SUMIFS(itens_Consumidos!$M$2:$M$200,itens_Consumidos!$A$2:$A$200,A169),""))))))</f>
        <v/>
      </c>
      <c r="M169" t="str">
        <f t="shared" si="29"/>
        <v/>
      </c>
      <c r="N169" t="str">
        <f>IF(A169="","",IF($C$3="C0",COUNTIFS(itens_Consumidos!$A$2:$A$200,A169,itens_Consumidos!$E$2:$E$200,"&lt;&gt;"),IF($C$3="C1",COUNTIFS(itens_Consumidos!$A$2:$A$200,A169,itens_Consumidos!$G$2:$G$200,"&lt;&gt;"),IF($C$3="C2",COUNTIFS(itens_Consumidos!$A$2:$A$200,A169,itens_Consumidos!$I$2:$I$200,"&lt;&gt;"),IF($C$3="C3",COUNTIFS(itens_Consumidos!$A$2:$A$200,A169,itens_Consumidos!$K$2:$K$200,"&lt;&gt;"),IF($C$3="C4",COUNTIFS(itens_Consumidos!$A$2:$A$200,A169,itens_Consumidos!$M$2:$M$200,"&lt;&gt;"),""))))))</f>
        <v/>
      </c>
      <c r="O169" t="str">
        <f>IF(itens_Remanesc!$A158="","",COUNTIFS(aditivos!$A$2:$A$200,itens_Remanesc!$A158,aditivos!$B$2:$B$200,"&lt;="&amp;$D$5,aditivos!$L$2:$L$200,"&gt;0"))</f>
        <v/>
      </c>
    </row>
    <row r="170" spans="1:15" ht="20" customHeight="1" x14ac:dyDescent="0.35">
      <c r="A170" s="416" t="str">
        <f>IF(itens_Remanesc!$A159="","",IF(NOT(posicao_contratual!$Z159),itens_Remanesc!$A159,IF(AND(ISNUMBER($D$5),$O170&gt;0),itens_Remanesc!$A159,"")))</f>
        <v/>
      </c>
      <c r="B170" s="417" t="str">
        <f>IF(A170="","",IF(AND(posicao_contratual!$Z159,COUNTIFS(aditivos!$A$2:$A$200,itens_Remanesc!$A159,aditivos!$B$2:$B$200,"&lt;"&amp;(INT($F$3)+1),aditivos!$L$2:$L$200,"&gt;0")=0),0,IF(ISNUMBER(IF($C$3="C0",posicao_contratual!$F159,IF($C$3="C1",posicao_contratual!$J159,IF($C$3="C2",posicao_contratual!$N159,IF($C$3="C3",posicao_contratual!$R159,IF($C$3="C4",posicao_contratual!$V159,"")))))),ROUND(IF($C$3="C0",posicao_contratual!$F159,IF($C$3="C1",posicao_contratual!$J159,IF($C$3="C2",posicao_contratual!$N159,IF($C$3="C3",posicao_contratual!$R159,IF($C$3="C4",posicao_contratual!$V159,"")))))+ROUND(SUMIFS(aditivos!$L$2:$L$200,aditivos!$A$2:$A$200,A170,aditivos!$C$2:$C$200,$C$3,aditivos!$B$2:$B$200,"&lt;"&amp;(INT($F$3)+1)),2),2),IF(ROUND(SUMIFS(aditivos!$L$2:$L$200,aditivos!$A$2:$A$200,A170,aditivos!$C$2:$C$200,$C$3,aditivos!$B$2:$B$200,"&lt;"&amp;(INT($F$3)+1)),2)&gt;0,ROUND(SUMIFS(aditivos!$L$2:$L$200,aditivos!$A$2:$A$200,A170,aditivos!$C$2:$C$200,$C$3,aditivos!$B$2:$B$200,"&lt;"&amp;(INT($F$3)+1)),2),""))))</f>
        <v/>
      </c>
      <c r="C170" s="418"/>
      <c r="D170" s="417" t="str">
        <f t="shared" si="24"/>
        <v/>
      </c>
      <c r="E170" s="419" t="str">
        <f>IF(A170="","",IF($C$3="C0",historico_VU!$C159,IF($C$3="C1",historico_VU!$D159,IF($C$3="C2",historico_VU!$E159,IF($C$3="C3",historico_VU!$F159,IF($C$3="C4",historico_VU!$G159,""))))))</f>
        <v/>
      </c>
      <c r="F170" s="419" t="str">
        <f t="shared" si="25"/>
        <v/>
      </c>
      <c r="G170" s="419" t="str">
        <f t="shared" si="26"/>
        <v/>
      </c>
      <c r="I170" t="str">
        <f>IF(OR(A170="",$D$5="",$F$3=""),"",ROUND(SUMIFS(aditivos!$L$2:$L$200,aditivos!$A$2:$A$200,A170,aditivos!$B$2:$B$200,"&gt;="&amp;(INT($F$3)+1),aditivos!$B$2:$B$200,"&lt;="&amp;$D$5),2))</f>
        <v/>
      </c>
      <c r="J170" t="str">
        <f t="shared" si="27"/>
        <v/>
      </c>
      <c r="K170" t="str">
        <f t="shared" si="28"/>
        <v/>
      </c>
      <c r="L170" t="str">
        <f>IF(A170="","",IF($C$3="C0",SUMIFS(itens_Consumidos!$E$2:$E$200,itens_Consumidos!$A$2:$A$200,A170),IF($C$3="C1",SUMIFS(itens_Consumidos!$G$2:$G$200,itens_Consumidos!$A$2:$A$200,A170),IF($C$3="C2",SUMIFS(itens_Consumidos!$I$2:$I$200,itens_Consumidos!$A$2:$A$200,A170),IF($C$3="C3",SUMIFS(itens_Consumidos!$K$2:$K$200,itens_Consumidos!$A$2:$A$200,A170),IF($C$3="C4",SUMIFS(itens_Consumidos!$M$2:$M$200,itens_Consumidos!$A$2:$A$200,A170),""))))))</f>
        <v/>
      </c>
      <c r="M170" t="str">
        <f t="shared" si="29"/>
        <v/>
      </c>
      <c r="N170" t="str">
        <f>IF(A170="","",IF($C$3="C0",COUNTIFS(itens_Consumidos!$A$2:$A$200,A170,itens_Consumidos!$E$2:$E$200,"&lt;&gt;"),IF($C$3="C1",COUNTIFS(itens_Consumidos!$A$2:$A$200,A170,itens_Consumidos!$G$2:$G$200,"&lt;&gt;"),IF($C$3="C2",COUNTIFS(itens_Consumidos!$A$2:$A$200,A170,itens_Consumidos!$I$2:$I$200,"&lt;&gt;"),IF($C$3="C3",COUNTIFS(itens_Consumidos!$A$2:$A$200,A170,itens_Consumidos!$K$2:$K$200,"&lt;&gt;"),IF($C$3="C4",COUNTIFS(itens_Consumidos!$A$2:$A$200,A170,itens_Consumidos!$M$2:$M$200,"&lt;&gt;"),""))))))</f>
        <v/>
      </c>
      <c r="O170" t="str">
        <f>IF(itens_Remanesc!$A159="","",COUNTIFS(aditivos!$A$2:$A$200,itens_Remanesc!$A159,aditivos!$B$2:$B$200,"&lt;="&amp;$D$5,aditivos!$L$2:$L$200,"&gt;0"))</f>
        <v/>
      </c>
    </row>
    <row r="171" spans="1:15" ht="20" customHeight="1" x14ac:dyDescent="0.35">
      <c r="A171" s="416" t="str">
        <f>IF(itens_Remanesc!$A160="","",IF(NOT(posicao_contratual!$Z160),itens_Remanesc!$A160,IF(AND(ISNUMBER($D$5),$O171&gt;0),itens_Remanesc!$A160,"")))</f>
        <v/>
      </c>
      <c r="B171" s="417" t="str">
        <f>IF(A171="","",IF(AND(posicao_contratual!$Z160,COUNTIFS(aditivos!$A$2:$A$200,itens_Remanesc!$A160,aditivos!$B$2:$B$200,"&lt;"&amp;(INT($F$3)+1),aditivos!$L$2:$L$200,"&gt;0")=0),0,IF(ISNUMBER(IF($C$3="C0",posicao_contratual!$F160,IF($C$3="C1",posicao_contratual!$J160,IF($C$3="C2",posicao_contratual!$N160,IF($C$3="C3",posicao_contratual!$R160,IF($C$3="C4",posicao_contratual!$V160,"")))))),ROUND(IF($C$3="C0",posicao_contratual!$F160,IF($C$3="C1",posicao_contratual!$J160,IF($C$3="C2",posicao_contratual!$N160,IF($C$3="C3",posicao_contratual!$R160,IF($C$3="C4",posicao_contratual!$V160,"")))))+ROUND(SUMIFS(aditivos!$L$2:$L$200,aditivos!$A$2:$A$200,A171,aditivos!$C$2:$C$200,$C$3,aditivos!$B$2:$B$200,"&lt;"&amp;(INT($F$3)+1)),2),2),IF(ROUND(SUMIFS(aditivos!$L$2:$L$200,aditivos!$A$2:$A$200,A171,aditivos!$C$2:$C$200,$C$3,aditivos!$B$2:$B$200,"&lt;"&amp;(INT($F$3)+1)),2)&gt;0,ROUND(SUMIFS(aditivos!$L$2:$L$200,aditivos!$A$2:$A$200,A171,aditivos!$C$2:$C$200,$C$3,aditivos!$B$2:$B$200,"&lt;"&amp;(INT($F$3)+1)),2),""))))</f>
        <v/>
      </c>
      <c r="C171" s="418"/>
      <c r="D171" s="417" t="str">
        <f t="shared" si="24"/>
        <v/>
      </c>
      <c r="E171" s="419" t="str">
        <f>IF(A171="","",IF($C$3="C0",historico_VU!$C160,IF($C$3="C1",historico_VU!$D160,IF($C$3="C2",historico_VU!$E160,IF($C$3="C3",historico_VU!$F160,IF($C$3="C4",historico_VU!$G160,""))))))</f>
        <v/>
      </c>
      <c r="F171" s="419" t="str">
        <f t="shared" si="25"/>
        <v/>
      </c>
      <c r="G171" s="419" t="str">
        <f t="shared" si="26"/>
        <v/>
      </c>
      <c r="I171" t="str">
        <f>IF(OR(A171="",$D$5="",$F$3=""),"",ROUND(SUMIFS(aditivos!$L$2:$L$200,aditivos!$A$2:$A$200,A171,aditivos!$B$2:$B$200,"&gt;="&amp;(INT($F$3)+1),aditivos!$B$2:$B$200,"&lt;="&amp;$D$5),2))</f>
        <v/>
      </c>
      <c r="J171" t="str">
        <f t="shared" si="27"/>
        <v/>
      </c>
      <c r="K171" t="str">
        <f t="shared" si="28"/>
        <v/>
      </c>
      <c r="L171" t="str">
        <f>IF(A171="","",IF($C$3="C0",SUMIFS(itens_Consumidos!$E$2:$E$200,itens_Consumidos!$A$2:$A$200,A171),IF($C$3="C1",SUMIFS(itens_Consumidos!$G$2:$G$200,itens_Consumidos!$A$2:$A$200,A171),IF($C$3="C2",SUMIFS(itens_Consumidos!$I$2:$I$200,itens_Consumidos!$A$2:$A$200,A171),IF($C$3="C3",SUMIFS(itens_Consumidos!$K$2:$K$200,itens_Consumidos!$A$2:$A$200,A171),IF($C$3="C4",SUMIFS(itens_Consumidos!$M$2:$M$200,itens_Consumidos!$A$2:$A$200,A171),""))))))</f>
        <v/>
      </c>
      <c r="M171" t="str">
        <f t="shared" si="29"/>
        <v/>
      </c>
      <c r="N171" t="str">
        <f>IF(A171="","",IF($C$3="C0",COUNTIFS(itens_Consumidos!$A$2:$A$200,A171,itens_Consumidos!$E$2:$E$200,"&lt;&gt;"),IF($C$3="C1",COUNTIFS(itens_Consumidos!$A$2:$A$200,A171,itens_Consumidos!$G$2:$G$200,"&lt;&gt;"),IF($C$3="C2",COUNTIFS(itens_Consumidos!$A$2:$A$200,A171,itens_Consumidos!$I$2:$I$200,"&lt;&gt;"),IF($C$3="C3",COUNTIFS(itens_Consumidos!$A$2:$A$200,A171,itens_Consumidos!$K$2:$K$200,"&lt;&gt;"),IF($C$3="C4",COUNTIFS(itens_Consumidos!$A$2:$A$200,A171,itens_Consumidos!$M$2:$M$200,"&lt;&gt;"),""))))))</f>
        <v/>
      </c>
      <c r="O171" t="str">
        <f>IF(itens_Remanesc!$A160="","",COUNTIFS(aditivos!$A$2:$A$200,itens_Remanesc!$A160,aditivos!$B$2:$B$200,"&lt;="&amp;$D$5,aditivos!$L$2:$L$200,"&gt;0"))</f>
        <v/>
      </c>
    </row>
    <row r="172" spans="1:15" ht="20" customHeight="1" x14ac:dyDescent="0.35">
      <c r="A172" s="416" t="str">
        <f>IF(itens_Remanesc!$A161="","",IF(NOT(posicao_contratual!$Z161),itens_Remanesc!$A161,IF(AND(ISNUMBER($D$5),$O172&gt;0),itens_Remanesc!$A161,"")))</f>
        <v/>
      </c>
      <c r="B172" s="417" t="str">
        <f>IF(A172="","",IF(AND(posicao_contratual!$Z161,COUNTIFS(aditivos!$A$2:$A$200,itens_Remanesc!$A161,aditivos!$B$2:$B$200,"&lt;"&amp;(INT($F$3)+1),aditivos!$L$2:$L$200,"&gt;0")=0),0,IF(ISNUMBER(IF($C$3="C0",posicao_contratual!$F161,IF($C$3="C1",posicao_contratual!$J161,IF($C$3="C2",posicao_contratual!$N161,IF($C$3="C3",posicao_contratual!$R161,IF($C$3="C4",posicao_contratual!$V161,"")))))),ROUND(IF($C$3="C0",posicao_contratual!$F161,IF($C$3="C1",posicao_contratual!$J161,IF($C$3="C2",posicao_contratual!$N161,IF($C$3="C3",posicao_contratual!$R161,IF($C$3="C4",posicao_contratual!$V161,"")))))+ROUND(SUMIFS(aditivos!$L$2:$L$200,aditivos!$A$2:$A$200,A172,aditivos!$C$2:$C$200,$C$3,aditivos!$B$2:$B$200,"&lt;"&amp;(INT($F$3)+1)),2),2),IF(ROUND(SUMIFS(aditivos!$L$2:$L$200,aditivos!$A$2:$A$200,A172,aditivos!$C$2:$C$200,$C$3,aditivos!$B$2:$B$200,"&lt;"&amp;(INT($F$3)+1)),2)&gt;0,ROUND(SUMIFS(aditivos!$L$2:$L$200,aditivos!$A$2:$A$200,A172,aditivos!$C$2:$C$200,$C$3,aditivos!$B$2:$B$200,"&lt;"&amp;(INT($F$3)+1)),2),""))))</f>
        <v/>
      </c>
      <c r="C172" s="418"/>
      <c r="D172" s="417" t="str">
        <f t="shared" si="24"/>
        <v/>
      </c>
      <c r="E172" s="419" t="str">
        <f>IF(A172="","",IF($C$3="C0",historico_VU!$C161,IF($C$3="C1",historico_VU!$D161,IF($C$3="C2",historico_VU!$E161,IF($C$3="C3",historico_VU!$F161,IF($C$3="C4",historico_VU!$G161,""))))))</f>
        <v/>
      </c>
      <c r="F172" s="419" t="str">
        <f t="shared" si="25"/>
        <v/>
      </c>
      <c r="G172" s="419" t="str">
        <f t="shared" si="26"/>
        <v/>
      </c>
      <c r="I172" t="str">
        <f>IF(OR(A172="",$D$5="",$F$3=""),"",ROUND(SUMIFS(aditivos!$L$2:$L$200,aditivos!$A$2:$A$200,A172,aditivos!$B$2:$B$200,"&gt;="&amp;(INT($F$3)+1),aditivos!$B$2:$B$200,"&lt;="&amp;$D$5),2))</f>
        <v/>
      </c>
      <c r="J172" t="str">
        <f t="shared" si="27"/>
        <v/>
      </c>
      <c r="K172" t="str">
        <f t="shared" si="28"/>
        <v/>
      </c>
      <c r="L172" t="str">
        <f>IF(A172="","",IF($C$3="C0",SUMIFS(itens_Consumidos!$E$2:$E$200,itens_Consumidos!$A$2:$A$200,A172),IF($C$3="C1",SUMIFS(itens_Consumidos!$G$2:$G$200,itens_Consumidos!$A$2:$A$200,A172),IF($C$3="C2",SUMIFS(itens_Consumidos!$I$2:$I$200,itens_Consumidos!$A$2:$A$200,A172),IF($C$3="C3",SUMIFS(itens_Consumidos!$K$2:$K$200,itens_Consumidos!$A$2:$A$200,A172),IF($C$3="C4",SUMIFS(itens_Consumidos!$M$2:$M$200,itens_Consumidos!$A$2:$A$200,A172),""))))))</f>
        <v/>
      </c>
      <c r="M172" t="str">
        <f t="shared" si="29"/>
        <v/>
      </c>
      <c r="N172" t="str">
        <f>IF(A172="","",IF($C$3="C0",COUNTIFS(itens_Consumidos!$A$2:$A$200,A172,itens_Consumidos!$E$2:$E$200,"&lt;&gt;"),IF($C$3="C1",COUNTIFS(itens_Consumidos!$A$2:$A$200,A172,itens_Consumidos!$G$2:$G$200,"&lt;&gt;"),IF($C$3="C2",COUNTIFS(itens_Consumidos!$A$2:$A$200,A172,itens_Consumidos!$I$2:$I$200,"&lt;&gt;"),IF($C$3="C3",COUNTIFS(itens_Consumidos!$A$2:$A$200,A172,itens_Consumidos!$K$2:$K$200,"&lt;&gt;"),IF($C$3="C4",COUNTIFS(itens_Consumidos!$A$2:$A$200,A172,itens_Consumidos!$M$2:$M$200,"&lt;&gt;"),""))))))</f>
        <v/>
      </c>
      <c r="O172" t="str">
        <f>IF(itens_Remanesc!$A161="","",COUNTIFS(aditivos!$A$2:$A$200,itens_Remanesc!$A161,aditivos!$B$2:$B$200,"&lt;="&amp;$D$5,aditivos!$L$2:$L$200,"&gt;0"))</f>
        <v/>
      </c>
    </row>
    <row r="173" spans="1:15" ht="20" customHeight="1" x14ac:dyDescent="0.35">
      <c r="A173" s="416" t="str">
        <f>IF(itens_Remanesc!$A162="","",IF(NOT(posicao_contratual!$Z162),itens_Remanesc!$A162,IF(AND(ISNUMBER($D$5),$O173&gt;0),itens_Remanesc!$A162,"")))</f>
        <v/>
      </c>
      <c r="B173" s="417" t="str">
        <f>IF(A173="","",IF(AND(posicao_contratual!$Z162,COUNTIFS(aditivos!$A$2:$A$200,itens_Remanesc!$A162,aditivos!$B$2:$B$200,"&lt;"&amp;(INT($F$3)+1),aditivos!$L$2:$L$200,"&gt;0")=0),0,IF(ISNUMBER(IF($C$3="C0",posicao_contratual!$F162,IF($C$3="C1",posicao_contratual!$J162,IF($C$3="C2",posicao_contratual!$N162,IF($C$3="C3",posicao_contratual!$R162,IF($C$3="C4",posicao_contratual!$V162,"")))))),ROUND(IF($C$3="C0",posicao_contratual!$F162,IF($C$3="C1",posicao_contratual!$J162,IF($C$3="C2",posicao_contratual!$N162,IF($C$3="C3",posicao_contratual!$R162,IF($C$3="C4",posicao_contratual!$V162,"")))))+ROUND(SUMIFS(aditivos!$L$2:$L$200,aditivos!$A$2:$A$200,A173,aditivos!$C$2:$C$200,$C$3,aditivos!$B$2:$B$200,"&lt;"&amp;(INT($F$3)+1)),2),2),IF(ROUND(SUMIFS(aditivos!$L$2:$L$200,aditivos!$A$2:$A$200,A173,aditivos!$C$2:$C$200,$C$3,aditivos!$B$2:$B$200,"&lt;"&amp;(INT($F$3)+1)),2)&gt;0,ROUND(SUMIFS(aditivos!$L$2:$L$200,aditivos!$A$2:$A$200,A173,aditivos!$C$2:$C$200,$C$3,aditivos!$B$2:$B$200,"&lt;"&amp;(INT($F$3)+1)),2),""))))</f>
        <v/>
      </c>
      <c r="C173" s="418"/>
      <c r="D173" s="417" t="str">
        <f t="shared" ref="D173:D204" si="30">IF(OR(A173="",$D$5="",C173=""),"",ROUND(B173+I173-C173,2))</f>
        <v/>
      </c>
      <c r="E173" s="419" t="str">
        <f>IF(A173="","",IF($C$3="C0",historico_VU!$C162,IF($C$3="C1",historico_VU!$D162,IF($C$3="C2",historico_VU!$E162,IF($C$3="C3",historico_VU!$F162,IF($C$3="C4",historico_VU!$G162,""))))))</f>
        <v/>
      </c>
      <c r="F173" s="419" t="str">
        <f t="shared" ref="F173:F204" si="31">IF(OR(D173="",E173=""),"",ROUND(D173*E173,2))</f>
        <v/>
      </c>
      <c r="G173" s="419" t="str">
        <f t="shared" ref="G173:G204" si="32">IF(OR(C173="",E173=""),"",ROUND(C173*E173,2))</f>
        <v/>
      </c>
      <c r="I173" t="str">
        <f>IF(OR(A173="",$D$5="",$F$3=""),"",ROUND(SUMIFS(aditivos!$L$2:$L$200,aditivos!$A$2:$A$200,A173,aditivos!$B$2:$B$200,"&gt;="&amp;(INT($F$3)+1),aditivos!$B$2:$B$200,"&lt;="&amp;$D$5),2))</f>
        <v/>
      </c>
      <c r="J173" t="str">
        <f t="shared" ref="J173:J204" si="33">IF(OR(A173="",D173="",C173="",I173=""),"",ROUND(B173+I173-D173-C173,2))</f>
        <v/>
      </c>
      <c r="K173" t="str">
        <f t="shared" ref="K173:K204" si="34">IF(A173="","",IF(OR(NOT(ISNUMBER($D$5)),NOT(ISNUMBER($F$3)),NOT(ISNUMBER($H$3)),$D$5&lt;$F$3,$D$5&gt;$H$3),"ERRO: DATA FORA DO CICLO",IF(COUNTIF($A$13:$A$211,A173)&gt;1,"ERRO: ITEM DUPLICADO",IF(NOT(ISNUMBER(B173)),"INCOMPLETO: REMANESCENTE INICIAL",IF(C173="","INCOMPLETO: QTD ATUAL",IF(OR(NOT(ISNUMBER(C173)),C173&lt;0),"ERRO: QTD INVALIDA",IF(NOT(ISNUMBER(I173)),"INCOMPLETO: ADITIVOS",IF(C173&gt;B173+I173,"ERRO: REMANESCENTE SUPERA DISPONIVEL",IF(D173&lt;0,"ERRO: CONSUMO NEGATIVO",IF(NOT(ISNUMBER(E173)),"INCOMPLETO: VU",IF(ABS(J173)&gt;0.005,"ERRO: CHECK FISICO","OK")))))))))))</f>
        <v/>
      </c>
      <c r="L173" t="str">
        <f>IF(A173="","",IF($C$3="C0",SUMIFS(itens_Consumidos!$E$2:$E$200,itens_Consumidos!$A$2:$A$200,A173),IF($C$3="C1",SUMIFS(itens_Consumidos!$G$2:$G$200,itens_Consumidos!$A$2:$A$200,A173),IF($C$3="C2",SUMIFS(itens_Consumidos!$I$2:$I$200,itens_Consumidos!$A$2:$A$200,A173),IF($C$3="C3",SUMIFS(itens_Consumidos!$K$2:$K$200,itens_Consumidos!$A$2:$A$200,A173),IF($C$3="C4",SUMIFS(itens_Consumidos!$M$2:$M$200,itens_Consumidos!$A$2:$A$200,A173),""))))))</f>
        <v/>
      </c>
      <c r="M173" t="str">
        <f t="shared" ref="M173:M204" si="35">IF(OR(A173="",D173="",N173=0),"",ROUND(D173-L173,2))</f>
        <v/>
      </c>
      <c r="N173" t="str">
        <f>IF(A173="","",IF($C$3="C0",COUNTIFS(itens_Consumidos!$A$2:$A$200,A173,itens_Consumidos!$E$2:$E$200,"&lt;&gt;"),IF($C$3="C1",COUNTIFS(itens_Consumidos!$A$2:$A$200,A173,itens_Consumidos!$G$2:$G$200,"&lt;&gt;"),IF($C$3="C2",COUNTIFS(itens_Consumidos!$A$2:$A$200,A173,itens_Consumidos!$I$2:$I$200,"&lt;&gt;"),IF($C$3="C3",COUNTIFS(itens_Consumidos!$A$2:$A$200,A173,itens_Consumidos!$K$2:$K$200,"&lt;&gt;"),IF($C$3="C4",COUNTIFS(itens_Consumidos!$A$2:$A$200,A173,itens_Consumidos!$M$2:$M$200,"&lt;&gt;"),""))))))</f>
        <v/>
      </c>
      <c r="O173" t="str">
        <f>IF(itens_Remanesc!$A162="","",COUNTIFS(aditivos!$A$2:$A$200,itens_Remanesc!$A162,aditivos!$B$2:$B$200,"&lt;="&amp;$D$5,aditivos!$L$2:$L$200,"&gt;0"))</f>
        <v/>
      </c>
    </row>
    <row r="174" spans="1:15" ht="20" customHeight="1" x14ac:dyDescent="0.35">
      <c r="A174" s="416" t="str">
        <f>IF(itens_Remanesc!$A163="","",IF(NOT(posicao_contratual!$Z163),itens_Remanesc!$A163,IF(AND(ISNUMBER($D$5),$O174&gt;0),itens_Remanesc!$A163,"")))</f>
        <v/>
      </c>
      <c r="B174" s="417" t="str">
        <f>IF(A174="","",IF(AND(posicao_contratual!$Z163,COUNTIFS(aditivos!$A$2:$A$200,itens_Remanesc!$A163,aditivos!$B$2:$B$200,"&lt;"&amp;(INT($F$3)+1),aditivos!$L$2:$L$200,"&gt;0")=0),0,IF(ISNUMBER(IF($C$3="C0",posicao_contratual!$F163,IF($C$3="C1",posicao_contratual!$J163,IF($C$3="C2",posicao_contratual!$N163,IF($C$3="C3",posicao_contratual!$R163,IF($C$3="C4",posicao_contratual!$V163,"")))))),ROUND(IF($C$3="C0",posicao_contratual!$F163,IF($C$3="C1",posicao_contratual!$J163,IF($C$3="C2",posicao_contratual!$N163,IF($C$3="C3",posicao_contratual!$R163,IF($C$3="C4",posicao_contratual!$V163,"")))))+ROUND(SUMIFS(aditivos!$L$2:$L$200,aditivos!$A$2:$A$200,A174,aditivos!$C$2:$C$200,$C$3,aditivos!$B$2:$B$200,"&lt;"&amp;(INT($F$3)+1)),2),2),IF(ROUND(SUMIFS(aditivos!$L$2:$L$200,aditivos!$A$2:$A$200,A174,aditivos!$C$2:$C$200,$C$3,aditivos!$B$2:$B$200,"&lt;"&amp;(INT($F$3)+1)),2)&gt;0,ROUND(SUMIFS(aditivos!$L$2:$L$200,aditivos!$A$2:$A$200,A174,aditivos!$C$2:$C$200,$C$3,aditivos!$B$2:$B$200,"&lt;"&amp;(INT($F$3)+1)),2),""))))</f>
        <v/>
      </c>
      <c r="C174" s="418"/>
      <c r="D174" s="417" t="str">
        <f t="shared" si="30"/>
        <v/>
      </c>
      <c r="E174" s="419" t="str">
        <f>IF(A174="","",IF($C$3="C0",historico_VU!$C163,IF($C$3="C1",historico_VU!$D163,IF($C$3="C2",historico_VU!$E163,IF($C$3="C3",historico_VU!$F163,IF($C$3="C4",historico_VU!$G163,""))))))</f>
        <v/>
      </c>
      <c r="F174" s="419" t="str">
        <f t="shared" si="31"/>
        <v/>
      </c>
      <c r="G174" s="419" t="str">
        <f t="shared" si="32"/>
        <v/>
      </c>
      <c r="I174" t="str">
        <f>IF(OR(A174="",$D$5="",$F$3=""),"",ROUND(SUMIFS(aditivos!$L$2:$L$200,aditivos!$A$2:$A$200,A174,aditivos!$B$2:$B$200,"&gt;="&amp;(INT($F$3)+1),aditivos!$B$2:$B$200,"&lt;="&amp;$D$5),2))</f>
        <v/>
      </c>
      <c r="J174" t="str">
        <f t="shared" si="33"/>
        <v/>
      </c>
      <c r="K174" t="str">
        <f t="shared" si="34"/>
        <v/>
      </c>
      <c r="L174" t="str">
        <f>IF(A174="","",IF($C$3="C0",SUMIFS(itens_Consumidos!$E$2:$E$200,itens_Consumidos!$A$2:$A$200,A174),IF($C$3="C1",SUMIFS(itens_Consumidos!$G$2:$G$200,itens_Consumidos!$A$2:$A$200,A174),IF($C$3="C2",SUMIFS(itens_Consumidos!$I$2:$I$200,itens_Consumidos!$A$2:$A$200,A174),IF($C$3="C3",SUMIFS(itens_Consumidos!$K$2:$K$200,itens_Consumidos!$A$2:$A$200,A174),IF($C$3="C4",SUMIFS(itens_Consumidos!$M$2:$M$200,itens_Consumidos!$A$2:$A$200,A174),""))))))</f>
        <v/>
      </c>
      <c r="M174" t="str">
        <f t="shared" si="35"/>
        <v/>
      </c>
      <c r="N174" t="str">
        <f>IF(A174="","",IF($C$3="C0",COUNTIFS(itens_Consumidos!$A$2:$A$200,A174,itens_Consumidos!$E$2:$E$200,"&lt;&gt;"),IF($C$3="C1",COUNTIFS(itens_Consumidos!$A$2:$A$200,A174,itens_Consumidos!$G$2:$G$200,"&lt;&gt;"),IF($C$3="C2",COUNTIFS(itens_Consumidos!$A$2:$A$200,A174,itens_Consumidos!$I$2:$I$200,"&lt;&gt;"),IF($C$3="C3",COUNTIFS(itens_Consumidos!$A$2:$A$200,A174,itens_Consumidos!$K$2:$K$200,"&lt;&gt;"),IF($C$3="C4",COUNTIFS(itens_Consumidos!$A$2:$A$200,A174,itens_Consumidos!$M$2:$M$200,"&lt;&gt;"),""))))))</f>
        <v/>
      </c>
      <c r="O174" t="str">
        <f>IF(itens_Remanesc!$A163="","",COUNTIFS(aditivos!$A$2:$A$200,itens_Remanesc!$A163,aditivos!$B$2:$B$200,"&lt;="&amp;$D$5,aditivos!$L$2:$L$200,"&gt;0"))</f>
        <v/>
      </c>
    </row>
    <row r="175" spans="1:15" ht="20" customHeight="1" x14ac:dyDescent="0.35">
      <c r="A175" s="416" t="str">
        <f>IF(itens_Remanesc!$A164="","",IF(NOT(posicao_contratual!$Z164),itens_Remanesc!$A164,IF(AND(ISNUMBER($D$5),$O175&gt;0),itens_Remanesc!$A164,"")))</f>
        <v/>
      </c>
      <c r="B175" s="417" t="str">
        <f>IF(A175="","",IF(AND(posicao_contratual!$Z164,COUNTIFS(aditivos!$A$2:$A$200,itens_Remanesc!$A164,aditivos!$B$2:$B$200,"&lt;"&amp;(INT($F$3)+1),aditivos!$L$2:$L$200,"&gt;0")=0),0,IF(ISNUMBER(IF($C$3="C0",posicao_contratual!$F164,IF($C$3="C1",posicao_contratual!$J164,IF($C$3="C2",posicao_contratual!$N164,IF($C$3="C3",posicao_contratual!$R164,IF($C$3="C4",posicao_contratual!$V164,"")))))),ROUND(IF($C$3="C0",posicao_contratual!$F164,IF($C$3="C1",posicao_contratual!$J164,IF($C$3="C2",posicao_contratual!$N164,IF($C$3="C3",posicao_contratual!$R164,IF($C$3="C4",posicao_contratual!$V164,"")))))+ROUND(SUMIFS(aditivos!$L$2:$L$200,aditivos!$A$2:$A$200,A175,aditivos!$C$2:$C$200,$C$3,aditivos!$B$2:$B$200,"&lt;"&amp;(INT($F$3)+1)),2),2),IF(ROUND(SUMIFS(aditivos!$L$2:$L$200,aditivos!$A$2:$A$200,A175,aditivos!$C$2:$C$200,$C$3,aditivos!$B$2:$B$200,"&lt;"&amp;(INT($F$3)+1)),2)&gt;0,ROUND(SUMIFS(aditivos!$L$2:$L$200,aditivos!$A$2:$A$200,A175,aditivos!$C$2:$C$200,$C$3,aditivos!$B$2:$B$200,"&lt;"&amp;(INT($F$3)+1)),2),""))))</f>
        <v/>
      </c>
      <c r="C175" s="418"/>
      <c r="D175" s="417" t="str">
        <f t="shared" si="30"/>
        <v/>
      </c>
      <c r="E175" s="419" t="str">
        <f>IF(A175="","",IF($C$3="C0",historico_VU!$C164,IF($C$3="C1",historico_VU!$D164,IF($C$3="C2",historico_VU!$E164,IF($C$3="C3",historico_VU!$F164,IF($C$3="C4",historico_VU!$G164,""))))))</f>
        <v/>
      </c>
      <c r="F175" s="419" t="str">
        <f t="shared" si="31"/>
        <v/>
      </c>
      <c r="G175" s="419" t="str">
        <f t="shared" si="32"/>
        <v/>
      </c>
      <c r="I175" t="str">
        <f>IF(OR(A175="",$D$5="",$F$3=""),"",ROUND(SUMIFS(aditivos!$L$2:$L$200,aditivos!$A$2:$A$200,A175,aditivos!$B$2:$B$200,"&gt;="&amp;(INT($F$3)+1),aditivos!$B$2:$B$200,"&lt;="&amp;$D$5),2))</f>
        <v/>
      </c>
      <c r="J175" t="str">
        <f t="shared" si="33"/>
        <v/>
      </c>
      <c r="K175" t="str">
        <f t="shared" si="34"/>
        <v/>
      </c>
      <c r="L175" t="str">
        <f>IF(A175="","",IF($C$3="C0",SUMIFS(itens_Consumidos!$E$2:$E$200,itens_Consumidos!$A$2:$A$200,A175),IF($C$3="C1",SUMIFS(itens_Consumidos!$G$2:$G$200,itens_Consumidos!$A$2:$A$200,A175),IF($C$3="C2",SUMIFS(itens_Consumidos!$I$2:$I$200,itens_Consumidos!$A$2:$A$200,A175),IF($C$3="C3",SUMIFS(itens_Consumidos!$K$2:$K$200,itens_Consumidos!$A$2:$A$200,A175),IF($C$3="C4",SUMIFS(itens_Consumidos!$M$2:$M$200,itens_Consumidos!$A$2:$A$200,A175),""))))))</f>
        <v/>
      </c>
      <c r="M175" t="str">
        <f t="shared" si="35"/>
        <v/>
      </c>
      <c r="N175" t="str">
        <f>IF(A175="","",IF($C$3="C0",COUNTIFS(itens_Consumidos!$A$2:$A$200,A175,itens_Consumidos!$E$2:$E$200,"&lt;&gt;"),IF($C$3="C1",COUNTIFS(itens_Consumidos!$A$2:$A$200,A175,itens_Consumidos!$G$2:$G$200,"&lt;&gt;"),IF($C$3="C2",COUNTIFS(itens_Consumidos!$A$2:$A$200,A175,itens_Consumidos!$I$2:$I$200,"&lt;&gt;"),IF($C$3="C3",COUNTIFS(itens_Consumidos!$A$2:$A$200,A175,itens_Consumidos!$K$2:$K$200,"&lt;&gt;"),IF($C$3="C4",COUNTIFS(itens_Consumidos!$A$2:$A$200,A175,itens_Consumidos!$M$2:$M$200,"&lt;&gt;"),""))))))</f>
        <v/>
      </c>
      <c r="O175" t="str">
        <f>IF(itens_Remanesc!$A164="","",COUNTIFS(aditivos!$A$2:$A$200,itens_Remanesc!$A164,aditivos!$B$2:$B$200,"&lt;="&amp;$D$5,aditivos!$L$2:$L$200,"&gt;0"))</f>
        <v/>
      </c>
    </row>
    <row r="176" spans="1:15" ht="20" customHeight="1" x14ac:dyDescent="0.35">
      <c r="A176" s="416" t="str">
        <f>IF(itens_Remanesc!$A165="","",IF(NOT(posicao_contratual!$Z165),itens_Remanesc!$A165,IF(AND(ISNUMBER($D$5),$O176&gt;0),itens_Remanesc!$A165,"")))</f>
        <v/>
      </c>
      <c r="B176" s="417" t="str">
        <f>IF(A176="","",IF(AND(posicao_contratual!$Z165,COUNTIFS(aditivos!$A$2:$A$200,itens_Remanesc!$A165,aditivos!$B$2:$B$200,"&lt;"&amp;(INT($F$3)+1),aditivos!$L$2:$L$200,"&gt;0")=0),0,IF(ISNUMBER(IF($C$3="C0",posicao_contratual!$F165,IF($C$3="C1",posicao_contratual!$J165,IF($C$3="C2",posicao_contratual!$N165,IF($C$3="C3",posicao_contratual!$R165,IF($C$3="C4",posicao_contratual!$V165,"")))))),ROUND(IF($C$3="C0",posicao_contratual!$F165,IF($C$3="C1",posicao_contratual!$J165,IF($C$3="C2",posicao_contratual!$N165,IF($C$3="C3",posicao_contratual!$R165,IF($C$3="C4",posicao_contratual!$V165,"")))))+ROUND(SUMIFS(aditivos!$L$2:$L$200,aditivos!$A$2:$A$200,A176,aditivos!$C$2:$C$200,$C$3,aditivos!$B$2:$B$200,"&lt;"&amp;(INT($F$3)+1)),2),2),IF(ROUND(SUMIFS(aditivos!$L$2:$L$200,aditivos!$A$2:$A$200,A176,aditivos!$C$2:$C$200,$C$3,aditivos!$B$2:$B$200,"&lt;"&amp;(INT($F$3)+1)),2)&gt;0,ROUND(SUMIFS(aditivos!$L$2:$L$200,aditivos!$A$2:$A$200,A176,aditivos!$C$2:$C$200,$C$3,aditivos!$B$2:$B$200,"&lt;"&amp;(INT($F$3)+1)),2),""))))</f>
        <v/>
      </c>
      <c r="C176" s="418"/>
      <c r="D176" s="417" t="str">
        <f t="shared" si="30"/>
        <v/>
      </c>
      <c r="E176" s="419" t="str">
        <f>IF(A176="","",IF($C$3="C0",historico_VU!$C165,IF($C$3="C1",historico_VU!$D165,IF($C$3="C2",historico_VU!$E165,IF($C$3="C3",historico_VU!$F165,IF($C$3="C4",historico_VU!$G165,""))))))</f>
        <v/>
      </c>
      <c r="F176" s="419" t="str">
        <f t="shared" si="31"/>
        <v/>
      </c>
      <c r="G176" s="419" t="str">
        <f t="shared" si="32"/>
        <v/>
      </c>
      <c r="I176" t="str">
        <f>IF(OR(A176="",$D$5="",$F$3=""),"",ROUND(SUMIFS(aditivos!$L$2:$L$200,aditivos!$A$2:$A$200,A176,aditivos!$B$2:$B$200,"&gt;="&amp;(INT($F$3)+1),aditivos!$B$2:$B$200,"&lt;="&amp;$D$5),2))</f>
        <v/>
      </c>
      <c r="J176" t="str">
        <f t="shared" si="33"/>
        <v/>
      </c>
      <c r="K176" t="str">
        <f t="shared" si="34"/>
        <v/>
      </c>
      <c r="L176" t="str">
        <f>IF(A176="","",IF($C$3="C0",SUMIFS(itens_Consumidos!$E$2:$E$200,itens_Consumidos!$A$2:$A$200,A176),IF($C$3="C1",SUMIFS(itens_Consumidos!$G$2:$G$200,itens_Consumidos!$A$2:$A$200,A176),IF($C$3="C2",SUMIFS(itens_Consumidos!$I$2:$I$200,itens_Consumidos!$A$2:$A$200,A176),IF($C$3="C3",SUMIFS(itens_Consumidos!$K$2:$K$200,itens_Consumidos!$A$2:$A$200,A176),IF($C$3="C4",SUMIFS(itens_Consumidos!$M$2:$M$200,itens_Consumidos!$A$2:$A$200,A176),""))))))</f>
        <v/>
      </c>
      <c r="M176" t="str">
        <f t="shared" si="35"/>
        <v/>
      </c>
      <c r="N176" t="str">
        <f>IF(A176="","",IF($C$3="C0",COUNTIFS(itens_Consumidos!$A$2:$A$200,A176,itens_Consumidos!$E$2:$E$200,"&lt;&gt;"),IF($C$3="C1",COUNTIFS(itens_Consumidos!$A$2:$A$200,A176,itens_Consumidos!$G$2:$G$200,"&lt;&gt;"),IF($C$3="C2",COUNTIFS(itens_Consumidos!$A$2:$A$200,A176,itens_Consumidos!$I$2:$I$200,"&lt;&gt;"),IF($C$3="C3",COUNTIFS(itens_Consumidos!$A$2:$A$200,A176,itens_Consumidos!$K$2:$K$200,"&lt;&gt;"),IF($C$3="C4",COUNTIFS(itens_Consumidos!$A$2:$A$200,A176,itens_Consumidos!$M$2:$M$200,"&lt;&gt;"),""))))))</f>
        <v/>
      </c>
      <c r="O176" t="str">
        <f>IF(itens_Remanesc!$A165="","",COUNTIFS(aditivos!$A$2:$A$200,itens_Remanesc!$A165,aditivos!$B$2:$B$200,"&lt;="&amp;$D$5,aditivos!$L$2:$L$200,"&gt;0"))</f>
        <v/>
      </c>
    </row>
    <row r="177" spans="1:15" ht="20" customHeight="1" x14ac:dyDescent="0.35">
      <c r="A177" s="416" t="str">
        <f>IF(itens_Remanesc!$A166="","",IF(NOT(posicao_contratual!$Z166),itens_Remanesc!$A166,IF(AND(ISNUMBER($D$5),$O177&gt;0),itens_Remanesc!$A166,"")))</f>
        <v/>
      </c>
      <c r="B177" s="417" t="str">
        <f>IF(A177="","",IF(AND(posicao_contratual!$Z166,COUNTIFS(aditivos!$A$2:$A$200,itens_Remanesc!$A166,aditivos!$B$2:$B$200,"&lt;"&amp;(INT($F$3)+1),aditivos!$L$2:$L$200,"&gt;0")=0),0,IF(ISNUMBER(IF($C$3="C0",posicao_contratual!$F166,IF($C$3="C1",posicao_contratual!$J166,IF($C$3="C2",posicao_contratual!$N166,IF($C$3="C3",posicao_contratual!$R166,IF($C$3="C4",posicao_contratual!$V166,"")))))),ROUND(IF($C$3="C0",posicao_contratual!$F166,IF($C$3="C1",posicao_contratual!$J166,IF($C$3="C2",posicao_contratual!$N166,IF($C$3="C3",posicao_contratual!$R166,IF($C$3="C4",posicao_contratual!$V166,"")))))+ROUND(SUMIFS(aditivos!$L$2:$L$200,aditivos!$A$2:$A$200,A177,aditivos!$C$2:$C$200,$C$3,aditivos!$B$2:$B$200,"&lt;"&amp;(INT($F$3)+1)),2),2),IF(ROUND(SUMIFS(aditivos!$L$2:$L$200,aditivos!$A$2:$A$200,A177,aditivos!$C$2:$C$200,$C$3,aditivos!$B$2:$B$200,"&lt;"&amp;(INT($F$3)+1)),2)&gt;0,ROUND(SUMIFS(aditivos!$L$2:$L$200,aditivos!$A$2:$A$200,A177,aditivos!$C$2:$C$200,$C$3,aditivos!$B$2:$B$200,"&lt;"&amp;(INT($F$3)+1)),2),""))))</f>
        <v/>
      </c>
      <c r="C177" s="418"/>
      <c r="D177" s="417" t="str">
        <f t="shared" si="30"/>
        <v/>
      </c>
      <c r="E177" s="419" t="str">
        <f>IF(A177="","",IF($C$3="C0",historico_VU!$C166,IF($C$3="C1",historico_VU!$D166,IF($C$3="C2",historico_VU!$E166,IF($C$3="C3",historico_VU!$F166,IF($C$3="C4",historico_VU!$G166,""))))))</f>
        <v/>
      </c>
      <c r="F177" s="419" t="str">
        <f t="shared" si="31"/>
        <v/>
      </c>
      <c r="G177" s="419" t="str">
        <f t="shared" si="32"/>
        <v/>
      </c>
      <c r="I177" t="str">
        <f>IF(OR(A177="",$D$5="",$F$3=""),"",ROUND(SUMIFS(aditivos!$L$2:$L$200,aditivos!$A$2:$A$200,A177,aditivos!$B$2:$B$200,"&gt;="&amp;(INT($F$3)+1),aditivos!$B$2:$B$200,"&lt;="&amp;$D$5),2))</f>
        <v/>
      </c>
      <c r="J177" t="str">
        <f t="shared" si="33"/>
        <v/>
      </c>
      <c r="K177" t="str">
        <f t="shared" si="34"/>
        <v/>
      </c>
      <c r="L177" t="str">
        <f>IF(A177="","",IF($C$3="C0",SUMIFS(itens_Consumidos!$E$2:$E$200,itens_Consumidos!$A$2:$A$200,A177),IF($C$3="C1",SUMIFS(itens_Consumidos!$G$2:$G$200,itens_Consumidos!$A$2:$A$200,A177),IF($C$3="C2",SUMIFS(itens_Consumidos!$I$2:$I$200,itens_Consumidos!$A$2:$A$200,A177),IF($C$3="C3",SUMIFS(itens_Consumidos!$K$2:$K$200,itens_Consumidos!$A$2:$A$200,A177),IF($C$3="C4",SUMIFS(itens_Consumidos!$M$2:$M$200,itens_Consumidos!$A$2:$A$200,A177),""))))))</f>
        <v/>
      </c>
      <c r="M177" t="str">
        <f t="shared" si="35"/>
        <v/>
      </c>
      <c r="N177" t="str">
        <f>IF(A177="","",IF($C$3="C0",COUNTIFS(itens_Consumidos!$A$2:$A$200,A177,itens_Consumidos!$E$2:$E$200,"&lt;&gt;"),IF($C$3="C1",COUNTIFS(itens_Consumidos!$A$2:$A$200,A177,itens_Consumidos!$G$2:$G$200,"&lt;&gt;"),IF($C$3="C2",COUNTIFS(itens_Consumidos!$A$2:$A$200,A177,itens_Consumidos!$I$2:$I$200,"&lt;&gt;"),IF($C$3="C3",COUNTIFS(itens_Consumidos!$A$2:$A$200,A177,itens_Consumidos!$K$2:$K$200,"&lt;&gt;"),IF($C$3="C4",COUNTIFS(itens_Consumidos!$A$2:$A$200,A177,itens_Consumidos!$M$2:$M$200,"&lt;&gt;"),""))))))</f>
        <v/>
      </c>
      <c r="O177" t="str">
        <f>IF(itens_Remanesc!$A166="","",COUNTIFS(aditivos!$A$2:$A$200,itens_Remanesc!$A166,aditivos!$B$2:$B$200,"&lt;="&amp;$D$5,aditivos!$L$2:$L$200,"&gt;0"))</f>
        <v/>
      </c>
    </row>
    <row r="178" spans="1:15" ht="20" customHeight="1" x14ac:dyDescent="0.35">
      <c r="A178" s="416" t="str">
        <f>IF(itens_Remanesc!$A167="","",IF(NOT(posicao_contratual!$Z167),itens_Remanesc!$A167,IF(AND(ISNUMBER($D$5),$O178&gt;0),itens_Remanesc!$A167,"")))</f>
        <v/>
      </c>
      <c r="B178" s="417" t="str">
        <f>IF(A178="","",IF(AND(posicao_contratual!$Z167,COUNTIFS(aditivos!$A$2:$A$200,itens_Remanesc!$A167,aditivos!$B$2:$B$200,"&lt;"&amp;(INT($F$3)+1),aditivos!$L$2:$L$200,"&gt;0")=0),0,IF(ISNUMBER(IF($C$3="C0",posicao_contratual!$F167,IF($C$3="C1",posicao_contratual!$J167,IF($C$3="C2",posicao_contratual!$N167,IF($C$3="C3",posicao_contratual!$R167,IF($C$3="C4",posicao_contratual!$V167,"")))))),ROUND(IF($C$3="C0",posicao_contratual!$F167,IF($C$3="C1",posicao_contratual!$J167,IF($C$3="C2",posicao_contratual!$N167,IF($C$3="C3",posicao_contratual!$R167,IF($C$3="C4",posicao_contratual!$V167,"")))))+ROUND(SUMIFS(aditivos!$L$2:$L$200,aditivos!$A$2:$A$200,A178,aditivos!$C$2:$C$200,$C$3,aditivos!$B$2:$B$200,"&lt;"&amp;(INT($F$3)+1)),2),2),IF(ROUND(SUMIFS(aditivos!$L$2:$L$200,aditivos!$A$2:$A$200,A178,aditivos!$C$2:$C$200,$C$3,aditivos!$B$2:$B$200,"&lt;"&amp;(INT($F$3)+1)),2)&gt;0,ROUND(SUMIFS(aditivos!$L$2:$L$200,aditivos!$A$2:$A$200,A178,aditivos!$C$2:$C$200,$C$3,aditivos!$B$2:$B$200,"&lt;"&amp;(INT($F$3)+1)),2),""))))</f>
        <v/>
      </c>
      <c r="C178" s="418"/>
      <c r="D178" s="417" t="str">
        <f t="shared" si="30"/>
        <v/>
      </c>
      <c r="E178" s="419" t="str">
        <f>IF(A178="","",IF($C$3="C0",historico_VU!$C167,IF($C$3="C1",historico_VU!$D167,IF($C$3="C2",historico_VU!$E167,IF($C$3="C3",historico_VU!$F167,IF($C$3="C4",historico_VU!$G167,""))))))</f>
        <v/>
      </c>
      <c r="F178" s="419" t="str">
        <f t="shared" si="31"/>
        <v/>
      </c>
      <c r="G178" s="419" t="str">
        <f t="shared" si="32"/>
        <v/>
      </c>
      <c r="I178" t="str">
        <f>IF(OR(A178="",$D$5="",$F$3=""),"",ROUND(SUMIFS(aditivos!$L$2:$L$200,aditivos!$A$2:$A$200,A178,aditivos!$B$2:$B$200,"&gt;="&amp;(INT($F$3)+1),aditivos!$B$2:$B$200,"&lt;="&amp;$D$5),2))</f>
        <v/>
      </c>
      <c r="J178" t="str">
        <f t="shared" si="33"/>
        <v/>
      </c>
      <c r="K178" t="str">
        <f t="shared" si="34"/>
        <v/>
      </c>
      <c r="L178" t="str">
        <f>IF(A178="","",IF($C$3="C0",SUMIFS(itens_Consumidos!$E$2:$E$200,itens_Consumidos!$A$2:$A$200,A178),IF($C$3="C1",SUMIFS(itens_Consumidos!$G$2:$G$200,itens_Consumidos!$A$2:$A$200,A178),IF($C$3="C2",SUMIFS(itens_Consumidos!$I$2:$I$200,itens_Consumidos!$A$2:$A$200,A178),IF($C$3="C3",SUMIFS(itens_Consumidos!$K$2:$K$200,itens_Consumidos!$A$2:$A$200,A178),IF($C$3="C4",SUMIFS(itens_Consumidos!$M$2:$M$200,itens_Consumidos!$A$2:$A$200,A178),""))))))</f>
        <v/>
      </c>
      <c r="M178" t="str">
        <f t="shared" si="35"/>
        <v/>
      </c>
      <c r="N178" t="str">
        <f>IF(A178="","",IF($C$3="C0",COUNTIFS(itens_Consumidos!$A$2:$A$200,A178,itens_Consumidos!$E$2:$E$200,"&lt;&gt;"),IF($C$3="C1",COUNTIFS(itens_Consumidos!$A$2:$A$200,A178,itens_Consumidos!$G$2:$G$200,"&lt;&gt;"),IF($C$3="C2",COUNTIFS(itens_Consumidos!$A$2:$A$200,A178,itens_Consumidos!$I$2:$I$200,"&lt;&gt;"),IF($C$3="C3",COUNTIFS(itens_Consumidos!$A$2:$A$200,A178,itens_Consumidos!$K$2:$K$200,"&lt;&gt;"),IF($C$3="C4",COUNTIFS(itens_Consumidos!$A$2:$A$200,A178,itens_Consumidos!$M$2:$M$200,"&lt;&gt;"),""))))))</f>
        <v/>
      </c>
      <c r="O178" t="str">
        <f>IF(itens_Remanesc!$A167="","",COUNTIFS(aditivos!$A$2:$A$200,itens_Remanesc!$A167,aditivos!$B$2:$B$200,"&lt;="&amp;$D$5,aditivos!$L$2:$L$200,"&gt;0"))</f>
        <v/>
      </c>
    </row>
    <row r="179" spans="1:15" ht="20" customHeight="1" x14ac:dyDescent="0.35">
      <c r="A179" s="416" t="str">
        <f>IF(itens_Remanesc!$A168="","",IF(NOT(posicao_contratual!$Z168),itens_Remanesc!$A168,IF(AND(ISNUMBER($D$5),$O179&gt;0),itens_Remanesc!$A168,"")))</f>
        <v/>
      </c>
      <c r="B179" s="417" t="str">
        <f>IF(A179="","",IF(AND(posicao_contratual!$Z168,COUNTIFS(aditivos!$A$2:$A$200,itens_Remanesc!$A168,aditivos!$B$2:$B$200,"&lt;"&amp;(INT($F$3)+1),aditivos!$L$2:$L$200,"&gt;0")=0),0,IF(ISNUMBER(IF($C$3="C0",posicao_contratual!$F168,IF($C$3="C1",posicao_contratual!$J168,IF($C$3="C2",posicao_contratual!$N168,IF($C$3="C3",posicao_contratual!$R168,IF($C$3="C4",posicao_contratual!$V168,"")))))),ROUND(IF($C$3="C0",posicao_contratual!$F168,IF($C$3="C1",posicao_contratual!$J168,IF($C$3="C2",posicao_contratual!$N168,IF($C$3="C3",posicao_contratual!$R168,IF($C$3="C4",posicao_contratual!$V168,"")))))+ROUND(SUMIFS(aditivos!$L$2:$L$200,aditivos!$A$2:$A$200,A179,aditivos!$C$2:$C$200,$C$3,aditivos!$B$2:$B$200,"&lt;"&amp;(INT($F$3)+1)),2),2),IF(ROUND(SUMIFS(aditivos!$L$2:$L$200,aditivos!$A$2:$A$200,A179,aditivos!$C$2:$C$200,$C$3,aditivos!$B$2:$B$200,"&lt;"&amp;(INT($F$3)+1)),2)&gt;0,ROUND(SUMIFS(aditivos!$L$2:$L$200,aditivos!$A$2:$A$200,A179,aditivos!$C$2:$C$200,$C$3,aditivos!$B$2:$B$200,"&lt;"&amp;(INT($F$3)+1)),2),""))))</f>
        <v/>
      </c>
      <c r="C179" s="418"/>
      <c r="D179" s="417" t="str">
        <f t="shared" si="30"/>
        <v/>
      </c>
      <c r="E179" s="419" t="str">
        <f>IF(A179="","",IF($C$3="C0",historico_VU!$C168,IF($C$3="C1",historico_VU!$D168,IF($C$3="C2",historico_VU!$E168,IF($C$3="C3",historico_VU!$F168,IF($C$3="C4",historico_VU!$G168,""))))))</f>
        <v/>
      </c>
      <c r="F179" s="419" t="str">
        <f t="shared" si="31"/>
        <v/>
      </c>
      <c r="G179" s="419" t="str">
        <f t="shared" si="32"/>
        <v/>
      </c>
      <c r="I179" t="str">
        <f>IF(OR(A179="",$D$5="",$F$3=""),"",ROUND(SUMIFS(aditivos!$L$2:$L$200,aditivos!$A$2:$A$200,A179,aditivos!$B$2:$B$200,"&gt;="&amp;(INT($F$3)+1),aditivos!$B$2:$B$200,"&lt;="&amp;$D$5),2))</f>
        <v/>
      </c>
      <c r="J179" t="str">
        <f t="shared" si="33"/>
        <v/>
      </c>
      <c r="K179" t="str">
        <f t="shared" si="34"/>
        <v/>
      </c>
      <c r="L179" t="str">
        <f>IF(A179="","",IF($C$3="C0",SUMIFS(itens_Consumidos!$E$2:$E$200,itens_Consumidos!$A$2:$A$200,A179),IF($C$3="C1",SUMIFS(itens_Consumidos!$G$2:$G$200,itens_Consumidos!$A$2:$A$200,A179),IF($C$3="C2",SUMIFS(itens_Consumidos!$I$2:$I$200,itens_Consumidos!$A$2:$A$200,A179),IF($C$3="C3",SUMIFS(itens_Consumidos!$K$2:$K$200,itens_Consumidos!$A$2:$A$200,A179),IF($C$3="C4",SUMIFS(itens_Consumidos!$M$2:$M$200,itens_Consumidos!$A$2:$A$200,A179),""))))))</f>
        <v/>
      </c>
      <c r="M179" t="str">
        <f t="shared" si="35"/>
        <v/>
      </c>
      <c r="N179" t="str">
        <f>IF(A179="","",IF($C$3="C0",COUNTIFS(itens_Consumidos!$A$2:$A$200,A179,itens_Consumidos!$E$2:$E$200,"&lt;&gt;"),IF($C$3="C1",COUNTIFS(itens_Consumidos!$A$2:$A$200,A179,itens_Consumidos!$G$2:$G$200,"&lt;&gt;"),IF($C$3="C2",COUNTIFS(itens_Consumidos!$A$2:$A$200,A179,itens_Consumidos!$I$2:$I$200,"&lt;&gt;"),IF($C$3="C3",COUNTIFS(itens_Consumidos!$A$2:$A$200,A179,itens_Consumidos!$K$2:$K$200,"&lt;&gt;"),IF($C$3="C4",COUNTIFS(itens_Consumidos!$A$2:$A$200,A179,itens_Consumidos!$M$2:$M$200,"&lt;&gt;"),""))))))</f>
        <v/>
      </c>
      <c r="O179" t="str">
        <f>IF(itens_Remanesc!$A168="","",COUNTIFS(aditivos!$A$2:$A$200,itens_Remanesc!$A168,aditivos!$B$2:$B$200,"&lt;="&amp;$D$5,aditivos!$L$2:$L$200,"&gt;0"))</f>
        <v/>
      </c>
    </row>
    <row r="180" spans="1:15" ht="20" customHeight="1" x14ac:dyDescent="0.35">
      <c r="A180" s="416" t="str">
        <f>IF(itens_Remanesc!$A169="","",IF(NOT(posicao_contratual!$Z169),itens_Remanesc!$A169,IF(AND(ISNUMBER($D$5),$O180&gt;0),itens_Remanesc!$A169,"")))</f>
        <v/>
      </c>
      <c r="B180" s="417" t="str">
        <f>IF(A180="","",IF(AND(posicao_contratual!$Z169,COUNTIFS(aditivos!$A$2:$A$200,itens_Remanesc!$A169,aditivos!$B$2:$B$200,"&lt;"&amp;(INT($F$3)+1),aditivos!$L$2:$L$200,"&gt;0")=0),0,IF(ISNUMBER(IF($C$3="C0",posicao_contratual!$F169,IF($C$3="C1",posicao_contratual!$J169,IF($C$3="C2",posicao_contratual!$N169,IF($C$3="C3",posicao_contratual!$R169,IF($C$3="C4",posicao_contratual!$V169,"")))))),ROUND(IF($C$3="C0",posicao_contratual!$F169,IF($C$3="C1",posicao_contratual!$J169,IF($C$3="C2",posicao_contratual!$N169,IF($C$3="C3",posicao_contratual!$R169,IF($C$3="C4",posicao_contratual!$V169,"")))))+ROUND(SUMIFS(aditivos!$L$2:$L$200,aditivos!$A$2:$A$200,A180,aditivos!$C$2:$C$200,$C$3,aditivos!$B$2:$B$200,"&lt;"&amp;(INT($F$3)+1)),2),2),IF(ROUND(SUMIFS(aditivos!$L$2:$L$200,aditivos!$A$2:$A$200,A180,aditivos!$C$2:$C$200,$C$3,aditivos!$B$2:$B$200,"&lt;"&amp;(INT($F$3)+1)),2)&gt;0,ROUND(SUMIFS(aditivos!$L$2:$L$200,aditivos!$A$2:$A$200,A180,aditivos!$C$2:$C$200,$C$3,aditivos!$B$2:$B$200,"&lt;"&amp;(INT($F$3)+1)),2),""))))</f>
        <v/>
      </c>
      <c r="C180" s="418"/>
      <c r="D180" s="417" t="str">
        <f t="shared" si="30"/>
        <v/>
      </c>
      <c r="E180" s="419" t="str">
        <f>IF(A180="","",IF($C$3="C0",historico_VU!$C169,IF($C$3="C1",historico_VU!$D169,IF($C$3="C2",historico_VU!$E169,IF($C$3="C3",historico_VU!$F169,IF($C$3="C4",historico_VU!$G169,""))))))</f>
        <v/>
      </c>
      <c r="F180" s="419" t="str">
        <f t="shared" si="31"/>
        <v/>
      </c>
      <c r="G180" s="419" t="str">
        <f t="shared" si="32"/>
        <v/>
      </c>
      <c r="I180" t="str">
        <f>IF(OR(A180="",$D$5="",$F$3=""),"",ROUND(SUMIFS(aditivos!$L$2:$L$200,aditivos!$A$2:$A$200,A180,aditivos!$B$2:$B$200,"&gt;="&amp;(INT($F$3)+1),aditivos!$B$2:$B$200,"&lt;="&amp;$D$5),2))</f>
        <v/>
      </c>
      <c r="J180" t="str">
        <f t="shared" si="33"/>
        <v/>
      </c>
      <c r="K180" t="str">
        <f t="shared" si="34"/>
        <v/>
      </c>
      <c r="L180" t="str">
        <f>IF(A180="","",IF($C$3="C0",SUMIFS(itens_Consumidos!$E$2:$E$200,itens_Consumidos!$A$2:$A$200,A180),IF($C$3="C1",SUMIFS(itens_Consumidos!$G$2:$G$200,itens_Consumidos!$A$2:$A$200,A180),IF($C$3="C2",SUMIFS(itens_Consumidos!$I$2:$I$200,itens_Consumidos!$A$2:$A$200,A180),IF($C$3="C3",SUMIFS(itens_Consumidos!$K$2:$K$200,itens_Consumidos!$A$2:$A$200,A180),IF($C$3="C4",SUMIFS(itens_Consumidos!$M$2:$M$200,itens_Consumidos!$A$2:$A$200,A180),""))))))</f>
        <v/>
      </c>
      <c r="M180" t="str">
        <f t="shared" si="35"/>
        <v/>
      </c>
      <c r="N180" t="str">
        <f>IF(A180="","",IF($C$3="C0",COUNTIFS(itens_Consumidos!$A$2:$A$200,A180,itens_Consumidos!$E$2:$E$200,"&lt;&gt;"),IF($C$3="C1",COUNTIFS(itens_Consumidos!$A$2:$A$200,A180,itens_Consumidos!$G$2:$G$200,"&lt;&gt;"),IF($C$3="C2",COUNTIFS(itens_Consumidos!$A$2:$A$200,A180,itens_Consumidos!$I$2:$I$200,"&lt;&gt;"),IF($C$3="C3",COUNTIFS(itens_Consumidos!$A$2:$A$200,A180,itens_Consumidos!$K$2:$K$200,"&lt;&gt;"),IF($C$3="C4",COUNTIFS(itens_Consumidos!$A$2:$A$200,A180,itens_Consumidos!$M$2:$M$200,"&lt;&gt;"),""))))))</f>
        <v/>
      </c>
      <c r="O180" t="str">
        <f>IF(itens_Remanesc!$A169="","",COUNTIFS(aditivos!$A$2:$A$200,itens_Remanesc!$A169,aditivos!$B$2:$B$200,"&lt;="&amp;$D$5,aditivos!$L$2:$L$200,"&gt;0"))</f>
        <v/>
      </c>
    </row>
    <row r="181" spans="1:15" ht="20" customHeight="1" x14ac:dyDescent="0.35">
      <c r="A181" s="416" t="str">
        <f>IF(itens_Remanesc!$A170="","",IF(NOT(posicao_contratual!$Z170),itens_Remanesc!$A170,IF(AND(ISNUMBER($D$5),$O181&gt;0),itens_Remanesc!$A170,"")))</f>
        <v/>
      </c>
      <c r="B181" s="417" t="str">
        <f>IF(A181="","",IF(AND(posicao_contratual!$Z170,COUNTIFS(aditivos!$A$2:$A$200,itens_Remanesc!$A170,aditivos!$B$2:$B$200,"&lt;"&amp;(INT($F$3)+1),aditivos!$L$2:$L$200,"&gt;0")=0),0,IF(ISNUMBER(IF($C$3="C0",posicao_contratual!$F170,IF($C$3="C1",posicao_contratual!$J170,IF($C$3="C2",posicao_contratual!$N170,IF($C$3="C3",posicao_contratual!$R170,IF($C$3="C4",posicao_contratual!$V170,"")))))),ROUND(IF($C$3="C0",posicao_contratual!$F170,IF($C$3="C1",posicao_contratual!$J170,IF($C$3="C2",posicao_contratual!$N170,IF($C$3="C3",posicao_contratual!$R170,IF($C$3="C4",posicao_contratual!$V170,"")))))+ROUND(SUMIFS(aditivos!$L$2:$L$200,aditivos!$A$2:$A$200,A181,aditivos!$C$2:$C$200,$C$3,aditivos!$B$2:$B$200,"&lt;"&amp;(INT($F$3)+1)),2),2),IF(ROUND(SUMIFS(aditivos!$L$2:$L$200,aditivos!$A$2:$A$200,A181,aditivos!$C$2:$C$200,$C$3,aditivos!$B$2:$B$200,"&lt;"&amp;(INT($F$3)+1)),2)&gt;0,ROUND(SUMIFS(aditivos!$L$2:$L$200,aditivos!$A$2:$A$200,A181,aditivos!$C$2:$C$200,$C$3,aditivos!$B$2:$B$200,"&lt;"&amp;(INT($F$3)+1)),2),""))))</f>
        <v/>
      </c>
      <c r="C181" s="418"/>
      <c r="D181" s="417" t="str">
        <f t="shared" si="30"/>
        <v/>
      </c>
      <c r="E181" s="419" t="str">
        <f>IF(A181="","",IF($C$3="C0",historico_VU!$C170,IF($C$3="C1",historico_VU!$D170,IF($C$3="C2",historico_VU!$E170,IF($C$3="C3",historico_VU!$F170,IF($C$3="C4",historico_VU!$G170,""))))))</f>
        <v/>
      </c>
      <c r="F181" s="419" t="str">
        <f t="shared" si="31"/>
        <v/>
      </c>
      <c r="G181" s="419" t="str">
        <f t="shared" si="32"/>
        <v/>
      </c>
      <c r="I181" t="str">
        <f>IF(OR(A181="",$D$5="",$F$3=""),"",ROUND(SUMIFS(aditivos!$L$2:$L$200,aditivos!$A$2:$A$200,A181,aditivos!$B$2:$B$200,"&gt;="&amp;(INT($F$3)+1),aditivos!$B$2:$B$200,"&lt;="&amp;$D$5),2))</f>
        <v/>
      </c>
      <c r="J181" t="str">
        <f t="shared" si="33"/>
        <v/>
      </c>
      <c r="K181" t="str">
        <f t="shared" si="34"/>
        <v/>
      </c>
      <c r="L181" t="str">
        <f>IF(A181="","",IF($C$3="C0",SUMIFS(itens_Consumidos!$E$2:$E$200,itens_Consumidos!$A$2:$A$200,A181),IF($C$3="C1",SUMIFS(itens_Consumidos!$G$2:$G$200,itens_Consumidos!$A$2:$A$200,A181),IF($C$3="C2",SUMIFS(itens_Consumidos!$I$2:$I$200,itens_Consumidos!$A$2:$A$200,A181),IF($C$3="C3",SUMIFS(itens_Consumidos!$K$2:$K$200,itens_Consumidos!$A$2:$A$200,A181),IF($C$3="C4",SUMIFS(itens_Consumidos!$M$2:$M$200,itens_Consumidos!$A$2:$A$200,A181),""))))))</f>
        <v/>
      </c>
      <c r="M181" t="str">
        <f t="shared" si="35"/>
        <v/>
      </c>
      <c r="N181" t="str">
        <f>IF(A181="","",IF($C$3="C0",COUNTIFS(itens_Consumidos!$A$2:$A$200,A181,itens_Consumidos!$E$2:$E$200,"&lt;&gt;"),IF($C$3="C1",COUNTIFS(itens_Consumidos!$A$2:$A$200,A181,itens_Consumidos!$G$2:$G$200,"&lt;&gt;"),IF($C$3="C2",COUNTIFS(itens_Consumidos!$A$2:$A$200,A181,itens_Consumidos!$I$2:$I$200,"&lt;&gt;"),IF($C$3="C3",COUNTIFS(itens_Consumidos!$A$2:$A$200,A181,itens_Consumidos!$K$2:$K$200,"&lt;&gt;"),IF($C$3="C4",COUNTIFS(itens_Consumidos!$A$2:$A$200,A181,itens_Consumidos!$M$2:$M$200,"&lt;&gt;"),""))))))</f>
        <v/>
      </c>
      <c r="O181" t="str">
        <f>IF(itens_Remanesc!$A170="","",COUNTIFS(aditivos!$A$2:$A$200,itens_Remanesc!$A170,aditivos!$B$2:$B$200,"&lt;="&amp;$D$5,aditivos!$L$2:$L$200,"&gt;0"))</f>
        <v/>
      </c>
    </row>
    <row r="182" spans="1:15" ht="20" customHeight="1" x14ac:dyDescent="0.35">
      <c r="A182" s="416" t="str">
        <f>IF(itens_Remanesc!$A171="","",IF(NOT(posicao_contratual!$Z171),itens_Remanesc!$A171,IF(AND(ISNUMBER($D$5),$O182&gt;0),itens_Remanesc!$A171,"")))</f>
        <v/>
      </c>
      <c r="B182" s="417" t="str">
        <f>IF(A182="","",IF(AND(posicao_contratual!$Z171,COUNTIFS(aditivos!$A$2:$A$200,itens_Remanesc!$A171,aditivos!$B$2:$B$200,"&lt;"&amp;(INT($F$3)+1),aditivos!$L$2:$L$200,"&gt;0")=0),0,IF(ISNUMBER(IF($C$3="C0",posicao_contratual!$F171,IF($C$3="C1",posicao_contratual!$J171,IF($C$3="C2",posicao_contratual!$N171,IF($C$3="C3",posicao_contratual!$R171,IF($C$3="C4",posicao_contratual!$V171,"")))))),ROUND(IF($C$3="C0",posicao_contratual!$F171,IF($C$3="C1",posicao_contratual!$J171,IF($C$3="C2",posicao_contratual!$N171,IF($C$3="C3",posicao_contratual!$R171,IF($C$3="C4",posicao_contratual!$V171,"")))))+ROUND(SUMIFS(aditivos!$L$2:$L$200,aditivos!$A$2:$A$200,A182,aditivos!$C$2:$C$200,$C$3,aditivos!$B$2:$B$200,"&lt;"&amp;(INT($F$3)+1)),2),2),IF(ROUND(SUMIFS(aditivos!$L$2:$L$200,aditivos!$A$2:$A$200,A182,aditivos!$C$2:$C$200,$C$3,aditivos!$B$2:$B$200,"&lt;"&amp;(INT($F$3)+1)),2)&gt;0,ROUND(SUMIFS(aditivos!$L$2:$L$200,aditivos!$A$2:$A$200,A182,aditivos!$C$2:$C$200,$C$3,aditivos!$B$2:$B$200,"&lt;"&amp;(INT($F$3)+1)),2),""))))</f>
        <v/>
      </c>
      <c r="C182" s="418"/>
      <c r="D182" s="417" t="str">
        <f t="shared" si="30"/>
        <v/>
      </c>
      <c r="E182" s="419" t="str">
        <f>IF(A182="","",IF($C$3="C0",historico_VU!$C171,IF($C$3="C1",historico_VU!$D171,IF($C$3="C2",historico_VU!$E171,IF($C$3="C3",historico_VU!$F171,IF($C$3="C4",historico_VU!$G171,""))))))</f>
        <v/>
      </c>
      <c r="F182" s="419" t="str">
        <f t="shared" si="31"/>
        <v/>
      </c>
      <c r="G182" s="419" t="str">
        <f t="shared" si="32"/>
        <v/>
      </c>
      <c r="I182" t="str">
        <f>IF(OR(A182="",$D$5="",$F$3=""),"",ROUND(SUMIFS(aditivos!$L$2:$L$200,aditivos!$A$2:$A$200,A182,aditivos!$B$2:$B$200,"&gt;="&amp;(INT($F$3)+1),aditivos!$B$2:$B$200,"&lt;="&amp;$D$5),2))</f>
        <v/>
      </c>
      <c r="J182" t="str">
        <f t="shared" si="33"/>
        <v/>
      </c>
      <c r="K182" t="str">
        <f t="shared" si="34"/>
        <v/>
      </c>
      <c r="L182" t="str">
        <f>IF(A182="","",IF($C$3="C0",SUMIFS(itens_Consumidos!$E$2:$E$200,itens_Consumidos!$A$2:$A$200,A182),IF($C$3="C1",SUMIFS(itens_Consumidos!$G$2:$G$200,itens_Consumidos!$A$2:$A$200,A182),IF($C$3="C2",SUMIFS(itens_Consumidos!$I$2:$I$200,itens_Consumidos!$A$2:$A$200,A182),IF($C$3="C3",SUMIFS(itens_Consumidos!$K$2:$K$200,itens_Consumidos!$A$2:$A$200,A182),IF($C$3="C4",SUMIFS(itens_Consumidos!$M$2:$M$200,itens_Consumidos!$A$2:$A$200,A182),""))))))</f>
        <v/>
      </c>
      <c r="M182" t="str">
        <f t="shared" si="35"/>
        <v/>
      </c>
      <c r="N182" t="str">
        <f>IF(A182="","",IF($C$3="C0",COUNTIFS(itens_Consumidos!$A$2:$A$200,A182,itens_Consumidos!$E$2:$E$200,"&lt;&gt;"),IF($C$3="C1",COUNTIFS(itens_Consumidos!$A$2:$A$200,A182,itens_Consumidos!$G$2:$G$200,"&lt;&gt;"),IF($C$3="C2",COUNTIFS(itens_Consumidos!$A$2:$A$200,A182,itens_Consumidos!$I$2:$I$200,"&lt;&gt;"),IF($C$3="C3",COUNTIFS(itens_Consumidos!$A$2:$A$200,A182,itens_Consumidos!$K$2:$K$200,"&lt;&gt;"),IF($C$3="C4",COUNTIFS(itens_Consumidos!$A$2:$A$200,A182,itens_Consumidos!$M$2:$M$200,"&lt;&gt;"),""))))))</f>
        <v/>
      </c>
      <c r="O182" t="str">
        <f>IF(itens_Remanesc!$A171="","",COUNTIFS(aditivos!$A$2:$A$200,itens_Remanesc!$A171,aditivos!$B$2:$B$200,"&lt;="&amp;$D$5,aditivos!$L$2:$L$200,"&gt;0"))</f>
        <v/>
      </c>
    </row>
    <row r="183" spans="1:15" ht="20" customHeight="1" x14ac:dyDescent="0.35">
      <c r="A183" s="416" t="str">
        <f>IF(itens_Remanesc!$A172="","",IF(NOT(posicao_contratual!$Z172),itens_Remanesc!$A172,IF(AND(ISNUMBER($D$5),$O183&gt;0),itens_Remanesc!$A172,"")))</f>
        <v/>
      </c>
      <c r="B183" s="417" t="str">
        <f>IF(A183="","",IF(AND(posicao_contratual!$Z172,COUNTIFS(aditivos!$A$2:$A$200,itens_Remanesc!$A172,aditivos!$B$2:$B$200,"&lt;"&amp;(INT($F$3)+1),aditivos!$L$2:$L$200,"&gt;0")=0),0,IF(ISNUMBER(IF($C$3="C0",posicao_contratual!$F172,IF($C$3="C1",posicao_contratual!$J172,IF($C$3="C2",posicao_contratual!$N172,IF($C$3="C3",posicao_contratual!$R172,IF($C$3="C4",posicao_contratual!$V172,"")))))),ROUND(IF($C$3="C0",posicao_contratual!$F172,IF($C$3="C1",posicao_contratual!$J172,IF($C$3="C2",posicao_contratual!$N172,IF($C$3="C3",posicao_contratual!$R172,IF($C$3="C4",posicao_contratual!$V172,"")))))+ROUND(SUMIFS(aditivos!$L$2:$L$200,aditivos!$A$2:$A$200,A183,aditivos!$C$2:$C$200,$C$3,aditivos!$B$2:$B$200,"&lt;"&amp;(INT($F$3)+1)),2),2),IF(ROUND(SUMIFS(aditivos!$L$2:$L$200,aditivos!$A$2:$A$200,A183,aditivos!$C$2:$C$200,$C$3,aditivos!$B$2:$B$200,"&lt;"&amp;(INT($F$3)+1)),2)&gt;0,ROUND(SUMIFS(aditivos!$L$2:$L$200,aditivos!$A$2:$A$200,A183,aditivos!$C$2:$C$200,$C$3,aditivos!$B$2:$B$200,"&lt;"&amp;(INT($F$3)+1)),2),""))))</f>
        <v/>
      </c>
      <c r="C183" s="418"/>
      <c r="D183" s="417" t="str">
        <f t="shared" si="30"/>
        <v/>
      </c>
      <c r="E183" s="419" t="str">
        <f>IF(A183="","",IF($C$3="C0",historico_VU!$C172,IF($C$3="C1",historico_VU!$D172,IF($C$3="C2",historico_VU!$E172,IF($C$3="C3",historico_VU!$F172,IF($C$3="C4",historico_VU!$G172,""))))))</f>
        <v/>
      </c>
      <c r="F183" s="419" t="str">
        <f t="shared" si="31"/>
        <v/>
      </c>
      <c r="G183" s="419" t="str">
        <f t="shared" si="32"/>
        <v/>
      </c>
      <c r="I183" t="str">
        <f>IF(OR(A183="",$D$5="",$F$3=""),"",ROUND(SUMIFS(aditivos!$L$2:$L$200,aditivos!$A$2:$A$200,A183,aditivos!$B$2:$B$200,"&gt;="&amp;(INT($F$3)+1),aditivos!$B$2:$B$200,"&lt;="&amp;$D$5),2))</f>
        <v/>
      </c>
      <c r="J183" t="str">
        <f t="shared" si="33"/>
        <v/>
      </c>
      <c r="K183" t="str">
        <f t="shared" si="34"/>
        <v/>
      </c>
      <c r="L183" t="str">
        <f>IF(A183="","",IF($C$3="C0",SUMIFS(itens_Consumidos!$E$2:$E$200,itens_Consumidos!$A$2:$A$200,A183),IF($C$3="C1",SUMIFS(itens_Consumidos!$G$2:$G$200,itens_Consumidos!$A$2:$A$200,A183),IF($C$3="C2",SUMIFS(itens_Consumidos!$I$2:$I$200,itens_Consumidos!$A$2:$A$200,A183),IF($C$3="C3",SUMIFS(itens_Consumidos!$K$2:$K$200,itens_Consumidos!$A$2:$A$200,A183),IF($C$3="C4",SUMIFS(itens_Consumidos!$M$2:$M$200,itens_Consumidos!$A$2:$A$200,A183),""))))))</f>
        <v/>
      </c>
      <c r="M183" t="str">
        <f t="shared" si="35"/>
        <v/>
      </c>
      <c r="N183" t="str">
        <f>IF(A183="","",IF($C$3="C0",COUNTIFS(itens_Consumidos!$A$2:$A$200,A183,itens_Consumidos!$E$2:$E$200,"&lt;&gt;"),IF($C$3="C1",COUNTIFS(itens_Consumidos!$A$2:$A$200,A183,itens_Consumidos!$G$2:$G$200,"&lt;&gt;"),IF($C$3="C2",COUNTIFS(itens_Consumidos!$A$2:$A$200,A183,itens_Consumidos!$I$2:$I$200,"&lt;&gt;"),IF($C$3="C3",COUNTIFS(itens_Consumidos!$A$2:$A$200,A183,itens_Consumidos!$K$2:$K$200,"&lt;&gt;"),IF($C$3="C4",COUNTIFS(itens_Consumidos!$A$2:$A$200,A183,itens_Consumidos!$M$2:$M$200,"&lt;&gt;"),""))))))</f>
        <v/>
      </c>
      <c r="O183" t="str">
        <f>IF(itens_Remanesc!$A172="","",COUNTIFS(aditivos!$A$2:$A$200,itens_Remanesc!$A172,aditivos!$B$2:$B$200,"&lt;="&amp;$D$5,aditivos!$L$2:$L$200,"&gt;0"))</f>
        <v/>
      </c>
    </row>
    <row r="184" spans="1:15" ht="20" customHeight="1" x14ac:dyDescent="0.35">
      <c r="A184" s="416" t="str">
        <f>IF(itens_Remanesc!$A173="","",IF(NOT(posicao_contratual!$Z173),itens_Remanesc!$A173,IF(AND(ISNUMBER($D$5),$O184&gt;0),itens_Remanesc!$A173,"")))</f>
        <v/>
      </c>
      <c r="B184" s="417" t="str">
        <f>IF(A184="","",IF(AND(posicao_contratual!$Z173,COUNTIFS(aditivos!$A$2:$A$200,itens_Remanesc!$A173,aditivos!$B$2:$B$200,"&lt;"&amp;(INT($F$3)+1),aditivos!$L$2:$L$200,"&gt;0")=0),0,IF(ISNUMBER(IF($C$3="C0",posicao_contratual!$F173,IF($C$3="C1",posicao_contratual!$J173,IF($C$3="C2",posicao_contratual!$N173,IF($C$3="C3",posicao_contratual!$R173,IF($C$3="C4",posicao_contratual!$V173,"")))))),ROUND(IF($C$3="C0",posicao_contratual!$F173,IF($C$3="C1",posicao_contratual!$J173,IF($C$3="C2",posicao_contratual!$N173,IF($C$3="C3",posicao_contratual!$R173,IF($C$3="C4",posicao_contratual!$V173,"")))))+ROUND(SUMIFS(aditivos!$L$2:$L$200,aditivos!$A$2:$A$200,A184,aditivos!$C$2:$C$200,$C$3,aditivos!$B$2:$B$200,"&lt;"&amp;(INT($F$3)+1)),2),2),IF(ROUND(SUMIFS(aditivos!$L$2:$L$200,aditivos!$A$2:$A$200,A184,aditivos!$C$2:$C$200,$C$3,aditivos!$B$2:$B$200,"&lt;"&amp;(INT($F$3)+1)),2)&gt;0,ROUND(SUMIFS(aditivos!$L$2:$L$200,aditivos!$A$2:$A$200,A184,aditivos!$C$2:$C$200,$C$3,aditivos!$B$2:$B$200,"&lt;"&amp;(INT($F$3)+1)),2),""))))</f>
        <v/>
      </c>
      <c r="C184" s="418"/>
      <c r="D184" s="417" t="str">
        <f t="shared" si="30"/>
        <v/>
      </c>
      <c r="E184" s="419" t="str">
        <f>IF(A184="","",IF($C$3="C0",historico_VU!$C173,IF($C$3="C1",historico_VU!$D173,IF($C$3="C2",historico_VU!$E173,IF($C$3="C3",historico_VU!$F173,IF($C$3="C4",historico_VU!$G173,""))))))</f>
        <v/>
      </c>
      <c r="F184" s="419" t="str">
        <f t="shared" si="31"/>
        <v/>
      </c>
      <c r="G184" s="419" t="str">
        <f t="shared" si="32"/>
        <v/>
      </c>
      <c r="I184" t="str">
        <f>IF(OR(A184="",$D$5="",$F$3=""),"",ROUND(SUMIFS(aditivos!$L$2:$L$200,aditivos!$A$2:$A$200,A184,aditivos!$B$2:$B$200,"&gt;="&amp;(INT($F$3)+1),aditivos!$B$2:$B$200,"&lt;="&amp;$D$5),2))</f>
        <v/>
      </c>
      <c r="J184" t="str">
        <f t="shared" si="33"/>
        <v/>
      </c>
      <c r="K184" t="str">
        <f t="shared" si="34"/>
        <v/>
      </c>
      <c r="L184" t="str">
        <f>IF(A184="","",IF($C$3="C0",SUMIFS(itens_Consumidos!$E$2:$E$200,itens_Consumidos!$A$2:$A$200,A184),IF($C$3="C1",SUMIFS(itens_Consumidos!$G$2:$G$200,itens_Consumidos!$A$2:$A$200,A184),IF($C$3="C2",SUMIFS(itens_Consumidos!$I$2:$I$200,itens_Consumidos!$A$2:$A$200,A184),IF($C$3="C3",SUMIFS(itens_Consumidos!$K$2:$K$200,itens_Consumidos!$A$2:$A$200,A184),IF($C$3="C4",SUMIFS(itens_Consumidos!$M$2:$M$200,itens_Consumidos!$A$2:$A$200,A184),""))))))</f>
        <v/>
      </c>
      <c r="M184" t="str">
        <f t="shared" si="35"/>
        <v/>
      </c>
      <c r="N184" t="str">
        <f>IF(A184="","",IF($C$3="C0",COUNTIFS(itens_Consumidos!$A$2:$A$200,A184,itens_Consumidos!$E$2:$E$200,"&lt;&gt;"),IF($C$3="C1",COUNTIFS(itens_Consumidos!$A$2:$A$200,A184,itens_Consumidos!$G$2:$G$200,"&lt;&gt;"),IF($C$3="C2",COUNTIFS(itens_Consumidos!$A$2:$A$200,A184,itens_Consumidos!$I$2:$I$200,"&lt;&gt;"),IF($C$3="C3",COUNTIFS(itens_Consumidos!$A$2:$A$200,A184,itens_Consumidos!$K$2:$K$200,"&lt;&gt;"),IF($C$3="C4",COUNTIFS(itens_Consumidos!$A$2:$A$200,A184,itens_Consumidos!$M$2:$M$200,"&lt;&gt;"),""))))))</f>
        <v/>
      </c>
      <c r="O184" t="str">
        <f>IF(itens_Remanesc!$A173="","",COUNTIFS(aditivos!$A$2:$A$200,itens_Remanesc!$A173,aditivos!$B$2:$B$200,"&lt;="&amp;$D$5,aditivos!$L$2:$L$200,"&gt;0"))</f>
        <v/>
      </c>
    </row>
    <row r="185" spans="1:15" ht="20" customHeight="1" x14ac:dyDescent="0.35">
      <c r="A185" s="416" t="str">
        <f>IF(itens_Remanesc!$A174="","",IF(NOT(posicao_contratual!$Z174),itens_Remanesc!$A174,IF(AND(ISNUMBER($D$5),$O185&gt;0),itens_Remanesc!$A174,"")))</f>
        <v/>
      </c>
      <c r="B185" s="417" t="str">
        <f>IF(A185="","",IF(AND(posicao_contratual!$Z174,COUNTIFS(aditivos!$A$2:$A$200,itens_Remanesc!$A174,aditivos!$B$2:$B$200,"&lt;"&amp;(INT($F$3)+1),aditivos!$L$2:$L$200,"&gt;0")=0),0,IF(ISNUMBER(IF($C$3="C0",posicao_contratual!$F174,IF($C$3="C1",posicao_contratual!$J174,IF($C$3="C2",posicao_contratual!$N174,IF($C$3="C3",posicao_contratual!$R174,IF($C$3="C4",posicao_contratual!$V174,"")))))),ROUND(IF($C$3="C0",posicao_contratual!$F174,IF($C$3="C1",posicao_contratual!$J174,IF($C$3="C2",posicao_contratual!$N174,IF($C$3="C3",posicao_contratual!$R174,IF($C$3="C4",posicao_contratual!$V174,"")))))+ROUND(SUMIFS(aditivos!$L$2:$L$200,aditivos!$A$2:$A$200,A185,aditivos!$C$2:$C$200,$C$3,aditivos!$B$2:$B$200,"&lt;"&amp;(INT($F$3)+1)),2),2),IF(ROUND(SUMIFS(aditivos!$L$2:$L$200,aditivos!$A$2:$A$200,A185,aditivos!$C$2:$C$200,$C$3,aditivos!$B$2:$B$200,"&lt;"&amp;(INT($F$3)+1)),2)&gt;0,ROUND(SUMIFS(aditivos!$L$2:$L$200,aditivos!$A$2:$A$200,A185,aditivos!$C$2:$C$200,$C$3,aditivos!$B$2:$B$200,"&lt;"&amp;(INT($F$3)+1)),2),""))))</f>
        <v/>
      </c>
      <c r="C185" s="418"/>
      <c r="D185" s="417" t="str">
        <f t="shared" si="30"/>
        <v/>
      </c>
      <c r="E185" s="419" t="str">
        <f>IF(A185="","",IF($C$3="C0",historico_VU!$C174,IF($C$3="C1",historico_VU!$D174,IF($C$3="C2",historico_VU!$E174,IF($C$3="C3",historico_VU!$F174,IF($C$3="C4",historico_VU!$G174,""))))))</f>
        <v/>
      </c>
      <c r="F185" s="419" t="str">
        <f t="shared" si="31"/>
        <v/>
      </c>
      <c r="G185" s="419" t="str">
        <f t="shared" si="32"/>
        <v/>
      </c>
      <c r="I185" t="str">
        <f>IF(OR(A185="",$D$5="",$F$3=""),"",ROUND(SUMIFS(aditivos!$L$2:$L$200,aditivos!$A$2:$A$200,A185,aditivos!$B$2:$B$200,"&gt;="&amp;(INT($F$3)+1),aditivos!$B$2:$B$200,"&lt;="&amp;$D$5),2))</f>
        <v/>
      </c>
      <c r="J185" t="str">
        <f t="shared" si="33"/>
        <v/>
      </c>
      <c r="K185" t="str">
        <f t="shared" si="34"/>
        <v/>
      </c>
      <c r="L185" t="str">
        <f>IF(A185="","",IF($C$3="C0",SUMIFS(itens_Consumidos!$E$2:$E$200,itens_Consumidos!$A$2:$A$200,A185),IF($C$3="C1",SUMIFS(itens_Consumidos!$G$2:$G$200,itens_Consumidos!$A$2:$A$200,A185),IF($C$3="C2",SUMIFS(itens_Consumidos!$I$2:$I$200,itens_Consumidos!$A$2:$A$200,A185),IF($C$3="C3",SUMIFS(itens_Consumidos!$K$2:$K$200,itens_Consumidos!$A$2:$A$200,A185),IF($C$3="C4",SUMIFS(itens_Consumidos!$M$2:$M$200,itens_Consumidos!$A$2:$A$200,A185),""))))))</f>
        <v/>
      </c>
      <c r="M185" t="str">
        <f t="shared" si="35"/>
        <v/>
      </c>
      <c r="N185" t="str">
        <f>IF(A185="","",IF($C$3="C0",COUNTIFS(itens_Consumidos!$A$2:$A$200,A185,itens_Consumidos!$E$2:$E$200,"&lt;&gt;"),IF($C$3="C1",COUNTIFS(itens_Consumidos!$A$2:$A$200,A185,itens_Consumidos!$G$2:$G$200,"&lt;&gt;"),IF($C$3="C2",COUNTIFS(itens_Consumidos!$A$2:$A$200,A185,itens_Consumidos!$I$2:$I$200,"&lt;&gt;"),IF($C$3="C3",COUNTIFS(itens_Consumidos!$A$2:$A$200,A185,itens_Consumidos!$K$2:$K$200,"&lt;&gt;"),IF($C$3="C4",COUNTIFS(itens_Consumidos!$A$2:$A$200,A185,itens_Consumidos!$M$2:$M$200,"&lt;&gt;"),""))))))</f>
        <v/>
      </c>
      <c r="O185" t="str">
        <f>IF(itens_Remanesc!$A174="","",COUNTIFS(aditivos!$A$2:$A$200,itens_Remanesc!$A174,aditivos!$B$2:$B$200,"&lt;="&amp;$D$5,aditivos!$L$2:$L$200,"&gt;0"))</f>
        <v/>
      </c>
    </row>
    <row r="186" spans="1:15" ht="20" customHeight="1" x14ac:dyDescent="0.35">
      <c r="A186" s="416" t="str">
        <f>IF(itens_Remanesc!$A175="","",IF(NOT(posicao_contratual!$Z175),itens_Remanesc!$A175,IF(AND(ISNUMBER($D$5),$O186&gt;0),itens_Remanesc!$A175,"")))</f>
        <v/>
      </c>
      <c r="B186" s="417" t="str">
        <f>IF(A186="","",IF(AND(posicao_contratual!$Z175,COUNTIFS(aditivos!$A$2:$A$200,itens_Remanesc!$A175,aditivos!$B$2:$B$200,"&lt;"&amp;(INT($F$3)+1),aditivos!$L$2:$L$200,"&gt;0")=0),0,IF(ISNUMBER(IF($C$3="C0",posicao_contratual!$F175,IF($C$3="C1",posicao_contratual!$J175,IF($C$3="C2",posicao_contratual!$N175,IF($C$3="C3",posicao_contratual!$R175,IF($C$3="C4",posicao_contratual!$V175,"")))))),ROUND(IF($C$3="C0",posicao_contratual!$F175,IF($C$3="C1",posicao_contratual!$J175,IF($C$3="C2",posicao_contratual!$N175,IF($C$3="C3",posicao_contratual!$R175,IF($C$3="C4",posicao_contratual!$V175,"")))))+ROUND(SUMIFS(aditivos!$L$2:$L$200,aditivos!$A$2:$A$200,A186,aditivos!$C$2:$C$200,$C$3,aditivos!$B$2:$B$200,"&lt;"&amp;(INT($F$3)+1)),2),2),IF(ROUND(SUMIFS(aditivos!$L$2:$L$200,aditivos!$A$2:$A$200,A186,aditivos!$C$2:$C$200,$C$3,aditivos!$B$2:$B$200,"&lt;"&amp;(INT($F$3)+1)),2)&gt;0,ROUND(SUMIFS(aditivos!$L$2:$L$200,aditivos!$A$2:$A$200,A186,aditivos!$C$2:$C$200,$C$3,aditivos!$B$2:$B$200,"&lt;"&amp;(INT($F$3)+1)),2),""))))</f>
        <v/>
      </c>
      <c r="C186" s="418"/>
      <c r="D186" s="417" t="str">
        <f t="shared" si="30"/>
        <v/>
      </c>
      <c r="E186" s="419" t="str">
        <f>IF(A186="","",IF($C$3="C0",historico_VU!$C175,IF($C$3="C1",historico_VU!$D175,IF($C$3="C2",historico_VU!$E175,IF($C$3="C3",historico_VU!$F175,IF($C$3="C4",historico_VU!$G175,""))))))</f>
        <v/>
      </c>
      <c r="F186" s="419" t="str">
        <f t="shared" si="31"/>
        <v/>
      </c>
      <c r="G186" s="419" t="str">
        <f t="shared" si="32"/>
        <v/>
      </c>
      <c r="I186" t="str">
        <f>IF(OR(A186="",$D$5="",$F$3=""),"",ROUND(SUMIFS(aditivos!$L$2:$L$200,aditivos!$A$2:$A$200,A186,aditivos!$B$2:$B$200,"&gt;="&amp;(INT($F$3)+1),aditivos!$B$2:$B$200,"&lt;="&amp;$D$5),2))</f>
        <v/>
      </c>
      <c r="J186" t="str">
        <f t="shared" si="33"/>
        <v/>
      </c>
      <c r="K186" t="str">
        <f t="shared" si="34"/>
        <v/>
      </c>
      <c r="L186" t="str">
        <f>IF(A186="","",IF($C$3="C0",SUMIFS(itens_Consumidos!$E$2:$E$200,itens_Consumidos!$A$2:$A$200,A186),IF($C$3="C1",SUMIFS(itens_Consumidos!$G$2:$G$200,itens_Consumidos!$A$2:$A$200,A186),IF($C$3="C2",SUMIFS(itens_Consumidos!$I$2:$I$200,itens_Consumidos!$A$2:$A$200,A186),IF($C$3="C3",SUMIFS(itens_Consumidos!$K$2:$K$200,itens_Consumidos!$A$2:$A$200,A186),IF($C$3="C4",SUMIFS(itens_Consumidos!$M$2:$M$200,itens_Consumidos!$A$2:$A$200,A186),""))))))</f>
        <v/>
      </c>
      <c r="M186" t="str">
        <f t="shared" si="35"/>
        <v/>
      </c>
      <c r="N186" t="str">
        <f>IF(A186="","",IF($C$3="C0",COUNTIFS(itens_Consumidos!$A$2:$A$200,A186,itens_Consumidos!$E$2:$E$200,"&lt;&gt;"),IF($C$3="C1",COUNTIFS(itens_Consumidos!$A$2:$A$200,A186,itens_Consumidos!$G$2:$G$200,"&lt;&gt;"),IF($C$3="C2",COUNTIFS(itens_Consumidos!$A$2:$A$200,A186,itens_Consumidos!$I$2:$I$200,"&lt;&gt;"),IF($C$3="C3",COUNTIFS(itens_Consumidos!$A$2:$A$200,A186,itens_Consumidos!$K$2:$K$200,"&lt;&gt;"),IF($C$3="C4",COUNTIFS(itens_Consumidos!$A$2:$A$200,A186,itens_Consumidos!$M$2:$M$200,"&lt;&gt;"),""))))))</f>
        <v/>
      </c>
      <c r="O186" t="str">
        <f>IF(itens_Remanesc!$A175="","",COUNTIFS(aditivos!$A$2:$A$200,itens_Remanesc!$A175,aditivos!$B$2:$B$200,"&lt;="&amp;$D$5,aditivos!$L$2:$L$200,"&gt;0"))</f>
        <v/>
      </c>
    </row>
    <row r="187" spans="1:15" ht="20" customHeight="1" x14ac:dyDescent="0.35">
      <c r="A187" s="416" t="str">
        <f>IF(itens_Remanesc!$A176="","",IF(NOT(posicao_contratual!$Z176),itens_Remanesc!$A176,IF(AND(ISNUMBER($D$5),$O187&gt;0),itens_Remanesc!$A176,"")))</f>
        <v/>
      </c>
      <c r="B187" s="417" t="str">
        <f>IF(A187="","",IF(AND(posicao_contratual!$Z176,COUNTIFS(aditivos!$A$2:$A$200,itens_Remanesc!$A176,aditivos!$B$2:$B$200,"&lt;"&amp;(INT($F$3)+1),aditivos!$L$2:$L$200,"&gt;0")=0),0,IF(ISNUMBER(IF($C$3="C0",posicao_contratual!$F176,IF($C$3="C1",posicao_contratual!$J176,IF($C$3="C2",posicao_contratual!$N176,IF($C$3="C3",posicao_contratual!$R176,IF($C$3="C4",posicao_contratual!$V176,"")))))),ROUND(IF($C$3="C0",posicao_contratual!$F176,IF($C$3="C1",posicao_contratual!$J176,IF($C$3="C2",posicao_contratual!$N176,IF($C$3="C3",posicao_contratual!$R176,IF($C$3="C4",posicao_contratual!$V176,"")))))+ROUND(SUMIFS(aditivos!$L$2:$L$200,aditivos!$A$2:$A$200,A187,aditivos!$C$2:$C$200,$C$3,aditivos!$B$2:$B$200,"&lt;"&amp;(INT($F$3)+1)),2),2),IF(ROUND(SUMIFS(aditivos!$L$2:$L$200,aditivos!$A$2:$A$200,A187,aditivos!$C$2:$C$200,$C$3,aditivos!$B$2:$B$200,"&lt;"&amp;(INT($F$3)+1)),2)&gt;0,ROUND(SUMIFS(aditivos!$L$2:$L$200,aditivos!$A$2:$A$200,A187,aditivos!$C$2:$C$200,$C$3,aditivos!$B$2:$B$200,"&lt;"&amp;(INT($F$3)+1)),2),""))))</f>
        <v/>
      </c>
      <c r="C187" s="418"/>
      <c r="D187" s="417" t="str">
        <f t="shared" si="30"/>
        <v/>
      </c>
      <c r="E187" s="419" t="str">
        <f>IF(A187="","",IF($C$3="C0",historico_VU!$C176,IF($C$3="C1",historico_VU!$D176,IF($C$3="C2",historico_VU!$E176,IF($C$3="C3",historico_VU!$F176,IF($C$3="C4",historico_VU!$G176,""))))))</f>
        <v/>
      </c>
      <c r="F187" s="419" t="str">
        <f t="shared" si="31"/>
        <v/>
      </c>
      <c r="G187" s="419" t="str">
        <f t="shared" si="32"/>
        <v/>
      </c>
      <c r="I187" t="str">
        <f>IF(OR(A187="",$D$5="",$F$3=""),"",ROUND(SUMIFS(aditivos!$L$2:$L$200,aditivos!$A$2:$A$200,A187,aditivos!$B$2:$B$200,"&gt;="&amp;(INT($F$3)+1),aditivos!$B$2:$B$200,"&lt;="&amp;$D$5),2))</f>
        <v/>
      </c>
      <c r="J187" t="str">
        <f t="shared" si="33"/>
        <v/>
      </c>
      <c r="K187" t="str">
        <f t="shared" si="34"/>
        <v/>
      </c>
      <c r="L187" t="str">
        <f>IF(A187="","",IF($C$3="C0",SUMIFS(itens_Consumidos!$E$2:$E$200,itens_Consumidos!$A$2:$A$200,A187),IF($C$3="C1",SUMIFS(itens_Consumidos!$G$2:$G$200,itens_Consumidos!$A$2:$A$200,A187),IF($C$3="C2",SUMIFS(itens_Consumidos!$I$2:$I$200,itens_Consumidos!$A$2:$A$200,A187),IF($C$3="C3",SUMIFS(itens_Consumidos!$K$2:$K$200,itens_Consumidos!$A$2:$A$200,A187),IF($C$3="C4",SUMIFS(itens_Consumidos!$M$2:$M$200,itens_Consumidos!$A$2:$A$200,A187),""))))))</f>
        <v/>
      </c>
      <c r="M187" t="str">
        <f t="shared" si="35"/>
        <v/>
      </c>
      <c r="N187" t="str">
        <f>IF(A187="","",IF($C$3="C0",COUNTIFS(itens_Consumidos!$A$2:$A$200,A187,itens_Consumidos!$E$2:$E$200,"&lt;&gt;"),IF($C$3="C1",COUNTIFS(itens_Consumidos!$A$2:$A$200,A187,itens_Consumidos!$G$2:$G$200,"&lt;&gt;"),IF($C$3="C2",COUNTIFS(itens_Consumidos!$A$2:$A$200,A187,itens_Consumidos!$I$2:$I$200,"&lt;&gt;"),IF($C$3="C3",COUNTIFS(itens_Consumidos!$A$2:$A$200,A187,itens_Consumidos!$K$2:$K$200,"&lt;&gt;"),IF($C$3="C4",COUNTIFS(itens_Consumidos!$A$2:$A$200,A187,itens_Consumidos!$M$2:$M$200,"&lt;&gt;"),""))))))</f>
        <v/>
      </c>
      <c r="O187" t="str">
        <f>IF(itens_Remanesc!$A176="","",COUNTIFS(aditivos!$A$2:$A$200,itens_Remanesc!$A176,aditivos!$B$2:$B$200,"&lt;="&amp;$D$5,aditivos!$L$2:$L$200,"&gt;0"))</f>
        <v/>
      </c>
    </row>
    <row r="188" spans="1:15" ht="20" customHeight="1" x14ac:dyDescent="0.35">
      <c r="A188" s="416" t="str">
        <f>IF(itens_Remanesc!$A177="","",IF(NOT(posicao_contratual!$Z177),itens_Remanesc!$A177,IF(AND(ISNUMBER($D$5),$O188&gt;0),itens_Remanesc!$A177,"")))</f>
        <v/>
      </c>
      <c r="B188" s="417" t="str">
        <f>IF(A188="","",IF(AND(posicao_contratual!$Z177,COUNTIFS(aditivos!$A$2:$A$200,itens_Remanesc!$A177,aditivos!$B$2:$B$200,"&lt;"&amp;(INT($F$3)+1),aditivos!$L$2:$L$200,"&gt;0")=0),0,IF(ISNUMBER(IF($C$3="C0",posicao_contratual!$F177,IF($C$3="C1",posicao_contratual!$J177,IF($C$3="C2",posicao_contratual!$N177,IF($C$3="C3",posicao_contratual!$R177,IF($C$3="C4",posicao_contratual!$V177,"")))))),ROUND(IF($C$3="C0",posicao_contratual!$F177,IF($C$3="C1",posicao_contratual!$J177,IF($C$3="C2",posicao_contratual!$N177,IF($C$3="C3",posicao_contratual!$R177,IF($C$3="C4",posicao_contratual!$V177,"")))))+ROUND(SUMIFS(aditivos!$L$2:$L$200,aditivos!$A$2:$A$200,A188,aditivos!$C$2:$C$200,$C$3,aditivos!$B$2:$B$200,"&lt;"&amp;(INT($F$3)+1)),2),2),IF(ROUND(SUMIFS(aditivos!$L$2:$L$200,aditivos!$A$2:$A$200,A188,aditivos!$C$2:$C$200,$C$3,aditivos!$B$2:$B$200,"&lt;"&amp;(INT($F$3)+1)),2)&gt;0,ROUND(SUMIFS(aditivos!$L$2:$L$200,aditivos!$A$2:$A$200,A188,aditivos!$C$2:$C$200,$C$3,aditivos!$B$2:$B$200,"&lt;"&amp;(INT($F$3)+1)),2),""))))</f>
        <v/>
      </c>
      <c r="C188" s="418"/>
      <c r="D188" s="417" t="str">
        <f t="shared" si="30"/>
        <v/>
      </c>
      <c r="E188" s="419" t="str">
        <f>IF(A188="","",IF($C$3="C0",historico_VU!$C177,IF($C$3="C1",historico_VU!$D177,IF($C$3="C2",historico_VU!$E177,IF($C$3="C3",historico_VU!$F177,IF($C$3="C4",historico_VU!$G177,""))))))</f>
        <v/>
      </c>
      <c r="F188" s="419" t="str">
        <f t="shared" si="31"/>
        <v/>
      </c>
      <c r="G188" s="419" t="str">
        <f t="shared" si="32"/>
        <v/>
      </c>
      <c r="I188" t="str">
        <f>IF(OR(A188="",$D$5="",$F$3=""),"",ROUND(SUMIFS(aditivos!$L$2:$L$200,aditivos!$A$2:$A$200,A188,aditivos!$B$2:$B$200,"&gt;="&amp;(INT($F$3)+1),aditivos!$B$2:$B$200,"&lt;="&amp;$D$5),2))</f>
        <v/>
      </c>
      <c r="J188" t="str">
        <f t="shared" si="33"/>
        <v/>
      </c>
      <c r="K188" t="str">
        <f t="shared" si="34"/>
        <v/>
      </c>
      <c r="L188" t="str">
        <f>IF(A188="","",IF($C$3="C0",SUMIFS(itens_Consumidos!$E$2:$E$200,itens_Consumidos!$A$2:$A$200,A188),IF($C$3="C1",SUMIFS(itens_Consumidos!$G$2:$G$200,itens_Consumidos!$A$2:$A$200,A188),IF($C$3="C2",SUMIFS(itens_Consumidos!$I$2:$I$200,itens_Consumidos!$A$2:$A$200,A188),IF($C$3="C3",SUMIFS(itens_Consumidos!$K$2:$K$200,itens_Consumidos!$A$2:$A$200,A188),IF($C$3="C4",SUMIFS(itens_Consumidos!$M$2:$M$200,itens_Consumidos!$A$2:$A$200,A188),""))))))</f>
        <v/>
      </c>
      <c r="M188" t="str">
        <f t="shared" si="35"/>
        <v/>
      </c>
      <c r="N188" t="str">
        <f>IF(A188="","",IF($C$3="C0",COUNTIFS(itens_Consumidos!$A$2:$A$200,A188,itens_Consumidos!$E$2:$E$200,"&lt;&gt;"),IF($C$3="C1",COUNTIFS(itens_Consumidos!$A$2:$A$200,A188,itens_Consumidos!$G$2:$G$200,"&lt;&gt;"),IF($C$3="C2",COUNTIFS(itens_Consumidos!$A$2:$A$200,A188,itens_Consumidos!$I$2:$I$200,"&lt;&gt;"),IF($C$3="C3",COUNTIFS(itens_Consumidos!$A$2:$A$200,A188,itens_Consumidos!$K$2:$K$200,"&lt;&gt;"),IF($C$3="C4",COUNTIFS(itens_Consumidos!$A$2:$A$200,A188,itens_Consumidos!$M$2:$M$200,"&lt;&gt;"),""))))))</f>
        <v/>
      </c>
      <c r="O188" t="str">
        <f>IF(itens_Remanesc!$A177="","",COUNTIFS(aditivos!$A$2:$A$200,itens_Remanesc!$A177,aditivos!$B$2:$B$200,"&lt;="&amp;$D$5,aditivos!$L$2:$L$200,"&gt;0"))</f>
        <v/>
      </c>
    </row>
    <row r="189" spans="1:15" ht="20" customHeight="1" x14ac:dyDescent="0.35">
      <c r="A189" s="416" t="str">
        <f>IF(itens_Remanesc!$A178="","",IF(NOT(posicao_contratual!$Z178),itens_Remanesc!$A178,IF(AND(ISNUMBER($D$5),$O189&gt;0),itens_Remanesc!$A178,"")))</f>
        <v/>
      </c>
      <c r="B189" s="417" t="str">
        <f>IF(A189="","",IF(AND(posicao_contratual!$Z178,COUNTIFS(aditivos!$A$2:$A$200,itens_Remanesc!$A178,aditivos!$B$2:$B$200,"&lt;"&amp;(INT($F$3)+1),aditivos!$L$2:$L$200,"&gt;0")=0),0,IF(ISNUMBER(IF($C$3="C0",posicao_contratual!$F178,IF($C$3="C1",posicao_contratual!$J178,IF($C$3="C2",posicao_contratual!$N178,IF($C$3="C3",posicao_contratual!$R178,IF($C$3="C4",posicao_contratual!$V178,"")))))),ROUND(IF($C$3="C0",posicao_contratual!$F178,IF($C$3="C1",posicao_contratual!$J178,IF($C$3="C2",posicao_contratual!$N178,IF($C$3="C3",posicao_contratual!$R178,IF($C$3="C4",posicao_contratual!$V178,"")))))+ROUND(SUMIFS(aditivos!$L$2:$L$200,aditivos!$A$2:$A$200,A189,aditivos!$C$2:$C$200,$C$3,aditivos!$B$2:$B$200,"&lt;"&amp;(INT($F$3)+1)),2),2),IF(ROUND(SUMIFS(aditivos!$L$2:$L$200,aditivos!$A$2:$A$200,A189,aditivos!$C$2:$C$200,$C$3,aditivos!$B$2:$B$200,"&lt;"&amp;(INT($F$3)+1)),2)&gt;0,ROUND(SUMIFS(aditivos!$L$2:$L$200,aditivos!$A$2:$A$200,A189,aditivos!$C$2:$C$200,$C$3,aditivos!$B$2:$B$200,"&lt;"&amp;(INT($F$3)+1)),2),""))))</f>
        <v/>
      </c>
      <c r="C189" s="418"/>
      <c r="D189" s="417" t="str">
        <f t="shared" si="30"/>
        <v/>
      </c>
      <c r="E189" s="419" t="str">
        <f>IF(A189="","",IF($C$3="C0",historico_VU!$C178,IF($C$3="C1",historico_VU!$D178,IF($C$3="C2",historico_VU!$E178,IF($C$3="C3",historico_VU!$F178,IF($C$3="C4",historico_VU!$G178,""))))))</f>
        <v/>
      </c>
      <c r="F189" s="419" t="str">
        <f t="shared" si="31"/>
        <v/>
      </c>
      <c r="G189" s="419" t="str">
        <f t="shared" si="32"/>
        <v/>
      </c>
      <c r="I189" t="str">
        <f>IF(OR(A189="",$D$5="",$F$3=""),"",ROUND(SUMIFS(aditivos!$L$2:$L$200,aditivos!$A$2:$A$200,A189,aditivos!$B$2:$B$200,"&gt;="&amp;(INT($F$3)+1),aditivos!$B$2:$B$200,"&lt;="&amp;$D$5),2))</f>
        <v/>
      </c>
      <c r="J189" t="str">
        <f t="shared" si="33"/>
        <v/>
      </c>
      <c r="K189" t="str">
        <f t="shared" si="34"/>
        <v/>
      </c>
      <c r="L189" t="str">
        <f>IF(A189="","",IF($C$3="C0",SUMIFS(itens_Consumidos!$E$2:$E$200,itens_Consumidos!$A$2:$A$200,A189),IF($C$3="C1",SUMIFS(itens_Consumidos!$G$2:$G$200,itens_Consumidos!$A$2:$A$200,A189),IF($C$3="C2",SUMIFS(itens_Consumidos!$I$2:$I$200,itens_Consumidos!$A$2:$A$200,A189),IF($C$3="C3",SUMIFS(itens_Consumidos!$K$2:$K$200,itens_Consumidos!$A$2:$A$200,A189),IF($C$3="C4",SUMIFS(itens_Consumidos!$M$2:$M$200,itens_Consumidos!$A$2:$A$200,A189),""))))))</f>
        <v/>
      </c>
      <c r="M189" t="str">
        <f t="shared" si="35"/>
        <v/>
      </c>
      <c r="N189" t="str">
        <f>IF(A189="","",IF($C$3="C0",COUNTIFS(itens_Consumidos!$A$2:$A$200,A189,itens_Consumidos!$E$2:$E$200,"&lt;&gt;"),IF($C$3="C1",COUNTIFS(itens_Consumidos!$A$2:$A$200,A189,itens_Consumidos!$G$2:$G$200,"&lt;&gt;"),IF($C$3="C2",COUNTIFS(itens_Consumidos!$A$2:$A$200,A189,itens_Consumidos!$I$2:$I$200,"&lt;&gt;"),IF($C$3="C3",COUNTIFS(itens_Consumidos!$A$2:$A$200,A189,itens_Consumidos!$K$2:$K$200,"&lt;&gt;"),IF($C$3="C4",COUNTIFS(itens_Consumidos!$A$2:$A$200,A189,itens_Consumidos!$M$2:$M$200,"&lt;&gt;"),""))))))</f>
        <v/>
      </c>
      <c r="O189" t="str">
        <f>IF(itens_Remanesc!$A178="","",COUNTIFS(aditivos!$A$2:$A$200,itens_Remanesc!$A178,aditivos!$B$2:$B$200,"&lt;="&amp;$D$5,aditivos!$L$2:$L$200,"&gt;0"))</f>
        <v/>
      </c>
    </row>
    <row r="190" spans="1:15" ht="20" customHeight="1" x14ac:dyDescent="0.35">
      <c r="A190" s="416" t="str">
        <f>IF(itens_Remanesc!$A179="","",IF(NOT(posicao_contratual!$Z179),itens_Remanesc!$A179,IF(AND(ISNUMBER($D$5),$O190&gt;0),itens_Remanesc!$A179,"")))</f>
        <v/>
      </c>
      <c r="B190" s="417" t="str">
        <f>IF(A190="","",IF(AND(posicao_contratual!$Z179,COUNTIFS(aditivos!$A$2:$A$200,itens_Remanesc!$A179,aditivos!$B$2:$B$200,"&lt;"&amp;(INT($F$3)+1),aditivos!$L$2:$L$200,"&gt;0")=0),0,IF(ISNUMBER(IF($C$3="C0",posicao_contratual!$F179,IF($C$3="C1",posicao_contratual!$J179,IF($C$3="C2",posicao_contratual!$N179,IF($C$3="C3",posicao_contratual!$R179,IF($C$3="C4",posicao_contratual!$V179,"")))))),ROUND(IF($C$3="C0",posicao_contratual!$F179,IF($C$3="C1",posicao_contratual!$J179,IF($C$3="C2",posicao_contratual!$N179,IF($C$3="C3",posicao_contratual!$R179,IF($C$3="C4",posicao_contratual!$V179,"")))))+ROUND(SUMIFS(aditivos!$L$2:$L$200,aditivos!$A$2:$A$200,A190,aditivos!$C$2:$C$200,$C$3,aditivos!$B$2:$B$200,"&lt;"&amp;(INT($F$3)+1)),2),2),IF(ROUND(SUMIFS(aditivos!$L$2:$L$200,aditivos!$A$2:$A$200,A190,aditivos!$C$2:$C$200,$C$3,aditivos!$B$2:$B$200,"&lt;"&amp;(INT($F$3)+1)),2)&gt;0,ROUND(SUMIFS(aditivos!$L$2:$L$200,aditivos!$A$2:$A$200,A190,aditivos!$C$2:$C$200,$C$3,aditivos!$B$2:$B$200,"&lt;"&amp;(INT($F$3)+1)),2),""))))</f>
        <v/>
      </c>
      <c r="C190" s="418"/>
      <c r="D190" s="417" t="str">
        <f t="shared" si="30"/>
        <v/>
      </c>
      <c r="E190" s="419" t="str">
        <f>IF(A190="","",IF($C$3="C0",historico_VU!$C179,IF($C$3="C1",historico_VU!$D179,IF($C$3="C2",historico_VU!$E179,IF($C$3="C3",historico_VU!$F179,IF($C$3="C4",historico_VU!$G179,""))))))</f>
        <v/>
      </c>
      <c r="F190" s="419" t="str">
        <f t="shared" si="31"/>
        <v/>
      </c>
      <c r="G190" s="419" t="str">
        <f t="shared" si="32"/>
        <v/>
      </c>
      <c r="I190" t="str">
        <f>IF(OR(A190="",$D$5="",$F$3=""),"",ROUND(SUMIFS(aditivos!$L$2:$L$200,aditivos!$A$2:$A$200,A190,aditivos!$B$2:$B$200,"&gt;="&amp;(INT($F$3)+1),aditivos!$B$2:$B$200,"&lt;="&amp;$D$5),2))</f>
        <v/>
      </c>
      <c r="J190" t="str">
        <f t="shared" si="33"/>
        <v/>
      </c>
      <c r="K190" t="str">
        <f t="shared" si="34"/>
        <v/>
      </c>
      <c r="L190" t="str">
        <f>IF(A190="","",IF($C$3="C0",SUMIFS(itens_Consumidos!$E$2:$E$200,itens_Consumidos!$A$2:$A$200,A190),IF($C$3="C1",SUMIFS(itens_Consumidos!$G$2:$G$200,itens_Consumidos!$A$2:$A$200,A190),IF($C$3="C2",SUMIFS(itens_Consumidos!$I$2:$I$200,itens_Consumidos!$A$2:$A$200,A190),IF($C$3="C3",SUMIFS(itens_Consumidos!$K$2:$K$200,itens_Consumidos!$A$2:$A$200,A190),IF($C$3="C4",SUMIFS(itens_Consumidos!$M$2:$M$200,itens_Consumidos!$A$2:$A$200,A190),""))))))</f>
        <v/>
      </c>
      <c r="M190" t="str">
        <f t="shared" si="35"/>
        <v/>
      </c>
      <c r="N190" t="str">
        <f>IF(A190="","",IF($C$3="C0",COUNTIFS(itens_Consumidos!$A$2:$A$200,A190,itens_Consumidos!$E$2:$E$200,"&lt;&gt;"),IF($C$3="C1",COUNTIFS(itens_Consumidos!$A$2:$A$200,A190,itens_Consumidos!$G$2:$G$200,"&lt;&gt;"),IF($C$3="C2",COUNTIFS(itens_Consumidos!$A$2:$A$200,A190,itens_Consumidos!$I$2:$I$200,"&lt;&gt;"),IF($C$3="C3",COUNTIFS(itens_Consumidos!$A$2:$A$200,A190,itens_Consumidos!$K$2:$K$200,"&lt;&gt;"),IF($C$3="C4",COUNTIFS(itens_Consumidos!$A$2:$A$200,A190,itens_Consumidos!$M$2:$M$200,"&lt;&gt;"),""))))))</f>
        <v/>
      </c>
      <c r="O190" t="str">
        <f>IF(itens_Remanesc!$A179="","",COUNTIFS(aditivos!$A$2:$A$200,itens_Remanesc!$A179,aditivos!$B$2:$B$200,"&lt;="&amp;$D$5,aditivos!$L$2:$L$200,"&gt;0"))</f>
        <v/>
      </c>
    </row>
    <row r="191" spans="1:15" ht="20" customHeight="1" x14ac:dyDescent="0.35">
      <c r="A191" s="416" t="str">
        <f>IF(itens_Remanesc!$A180="","",IF(NOT(posicao_contratual!$Z180),itens_Remanesc!$A180,IF(AND(ISNUMBER($D$5),$O191&gt;0),itens_Remanesc!$A180,"")))</f>
        <v/>
      </c>
      <c r="B191" s="417" t="str">
        <f>IF(A191="","",IF(AND(posicao_contratual!$Z180,COUNTIFS(aditivos!$A$2:$A$200,itens_Remanesc!$A180,aditivos!$B$2:$B$200,"&lt;"&amp;(INT($F$3)+1),aditivos!$L$2:$L$200,"&gt;0")=0),0,IF(ISNUMBER(IF($C$3="C0",posicao_contratual!$F180,IF($C$3="C1",posicao_contratual!$J180,IF($C$3="C2",posicao_contratual!$N180,IF($C$3="C3",posicao_contratual!$R180,IF($C$3="C4",posicao_contratual!$V180,"")))))),ROUND(IF($C$3="C0",posicao_contratual!$F180,IF($C$3="C1",posicao_contratual!$J180,IF($C$3="C2",posicao_contratual!$N180,IF($C$3="C3",posicao_contratual!$R180,IF($C$3="C4",posicao_contratual!$V180,"")))))+ROUND(SUMIFS(aditivos!$L$2:$L$200,aditivos!$A$2:$A$200,A191,aditivos!$C$2:$C$200,$C$3,aditivos!$B$2:$B$200,"&lt;"&amp;(INT($F$3)+1)),2),2),IF(ROUND(SUMIFS(aditivos!$L$2:$L$200,aditivos!$A$2:$A$200,A191,aditivos!$C$2:$C$200,$C$3,aditivos!$B$2:$B$200,"&lt;"&amp;(INT($F$3)+1)),2)&gt;0,ROUND(SUMIFS(aditivos!$L$2:$L$200,aditivos!$A$2:$A$200,A191,aditivos!$C$2:$C$200,$C$3,aditivos!$B$2:$B$200,"&lt;"&amp;(INT($F$3)+1)),2),""))))</f>
        <v/>
      </c>
      <c r="C191" s="418"/>
      <c r="D191" s="417" t="str">
        <f t="shared" si="30"/>
        <v/>
      </c>
      <c r="E191" s="419" t="str">
        <f>IF(A191="","",IF($C$3="C0",historico_VU!$C180,IF($C$3="C1",historico_VU!$D180,IF($C$3="C2",historico_VU!$E180,IF($C$3="C3",historico_VU!$F180,IF($C$3="C4",historico_VU!$G180,""))))))</f>
        <v/>
      </c>
      <c r="F191" s="419" t="str">
        <f t="shared" si="31"/>
        <v/>
      </c>
      <c r="G191" s="419" t="str">
        <f t="shared" si="32"/>
        <v/>
      </c>
      <c r="I191" t="str">
        <f>IF(OR(A191="",$D$5="",$F$3=""),"",ROUND(SUMIFS(aditivos!$L$2:$L$200,aditivos!$A$2:$A$200,A191,aditivos!$B$2:$B$200,"&gt;="&amp;(INT($F$3)+1),aditivos!$B$2:$B$200,"&lt;="&amp;$D$5),2))</f>
        <v/>
      </c>
      <c r="J191" t="str">
        <f t="shared" si="33"/>
        <v/>
      </c>
      <c r="K191" t="str">
        <f t="shared" si="34"/>
        <v/>
      </c>
      <c r="L191" t="str">
        <f>IF(A191="","",IF($C$3="C0",SUMIFS(itens_Consumidos!$E$2:$E$200,itens_Consumidos!$A$2:$A$200,A191),IF($C$3="C1",SUMIFS(itens_Consumidos!$G$2:$G$200,itens_Consumidos!$A$2:$A$200,A191),IF($C$3="C2",SUMIFS(itens_Consumidos!$I$2:$I$200,itens_Consumidos!$A$2:$A$200,A191),IF($C$3="C3",SUMIFS(itens_Consumidos!$K$2:$K$200,itens_Consumidos!$A$2:$A$200,A191),IF($C$3="C4",SUMIFS(itens_Consumidos!$M$2:$M$200,itens_Consumidos!$A$2:$A$200,A191),""))))))</f>
        <v/>
      </c>
      <c r="M191" t="str">
        <f t="shared" si="35"/>
        <v/>
      </c>
      <c r="N191" t="str">
        <f>IF(A191="","",IF($C$3="C0",COUNTIFS(itens_Consumidos!$A$2:$A$200,A191,itens_Consumidos!$E$2:$E$200,"&lt;&gt;"),IF($C$3="C1",COUNTIFS(itens_Consumidos!$A$2:$A$200,A191,itens_Consumidos!$G$2:$G$200,"&lt;&gt;"),IF($C$3="C2",COUNTIFS(itens_Consumidos!$A$2:$A$200,A191,itens_Consumidos!$I$2:$I$200,"&lt;&gt;"),IF($C$3="C3",COUNTIFS(itens_Consumidos!$A$2:$A$200,A191,itens_Consumidos!$K$2:$K$200,"&lt;&gt;"),IF($C$3="C4",COUNTIFS(itens_Consumidos!$A$2:$A$200,A191,itens_Consumidos!$M$2:$M$200,"&lt;&gt;"),""))))))</f>
        <v/>
      </c>
      <c r="O191" t="str">
        <f>IF(itens_Remanesc!$A180="","",COUNTIFS(aditivos!$A$2:$A$200,itens_Remanesc!$A180,aditivos!$B$2:$B$200,"&lt;="&amp;$D$5,aditivos!$L$2:$L$200,"&gt;0"))</f>
        <v/>
      </c>
    </row>
    <row r="192" spans="1:15" ht="20" customHeight="1" x14ac:dyDescent="0.35">
      <c r="A192" s="416" t="str">
        <f>IF(itens_Remanesc!$A181="","",IF(NOT(posicao_contratual!$Z181),itens_Remanesc!$A181,IF(AND(ISNUMBER($D$5),$O192&gt;0),itens_Remanesc!$A181,"")))</f>
        <v/>
      </c>
      <c r="B192" s="417" t="str">
        <f>IF(A192="","",IF(AND(posicao_contratual!$Z181,COUNTIFS(aditivos!$A$2:$A$200,itens_Remanesc!$A181,aditivos!$B$2:$B$200,"&lt;"&amp;(INT($F$3)+1),aditivos!$L$2:$L$200,"&gt;0")=0),0,IF(ISNUMBER(IF($C$3="C0",posicao_contratual!$F181,IF($C$3="C1",posicao_contratual!$J181,IF($C$3="C2",posicao_contratual!$N181,IF($C$3="C3",posicao_contratual!$R181,IF($C$3="C4",posicao_contratual!$V181,"")))))),ROUND(IF($C$3="C0",posicao_contratual!$F181,IF($C$3="C1",posicao_contratual!$J181,IF($C$3="C2",posicao_contratual!$N181,IF($C$3="C3",posicao_contratual!$R181,IF($C$3="C4",posicao_contratual!$V181,"")))))+ROUND(SUMIFS(aditivos!$L$2:$L$200,aditivos!$A$2:$A$200,A192,aditivos!$C$2:$C$200,$C$3,aditivos!$B$2:$B$200,"&lt;"&amp;(INT($F$3)+1)),2),2),IF(ROUND(SUMIFS(aditivos!$L$2:$L$200,aditivos!$A$2:$A$200,A192,aditivos!$C$2:$C$200,$C$3,aditivos!$B$2:$B$200,"&lt;"&amp;(INT($F$3)+1)),2)&gt;0,ROUND(SUMIFS(aditivos!$L$2:$L$200,aditivos!$A$2:$A$200,A192,aditivos!$C$2:$C$200,$C$3,aditivos!$B$2:$B$200,"&lt;"&amp;(INT($F$3)+1)),2),""))))</f>
        <v/>
      </c>
      <c r="C192" s="418"/>
      <c r="D192" s="417" t="str">
        <f t="shared" si="30"/>
        <v/>
      </c>
      <c r="E192" s="419" t="str">
        <f>IF(A192="","",IF($C$3="C0",historico_VU!$C181,IF($C$3="C1",historico_VU!$D181,IF($C$3="C2",historico_VU!$E181,IF($C$3="C3",historico_VU!$F181,IF($C$3="C4",historico_VU!$G181,""))))))</f>
        <v/>
      </c>
      <c r="F192" s="419" t="str">
        <f t="shared" si="31"/>
        <v/>
      </c>
      <c r="G192" s="419" t="str">
        <f t="shared" si="32"/>
        <v/>
      </c>
      <c r="I192" t="str">
        <f>IF(OR(A192="",$D$5="",$F$3=""),"",ROUND(SUMIFS(aditivos!$L$2:$L$200,aditivos!$A$2:$A$200,A192,aditivos!$B$2:$B$200,"&gt;="&amp;(INT($F$3)+1),aditivos!$B$2:$B$200,"&lt;="&amp;$D$5),2))</f>
        <v/>
      </c>
      <c r="J192" t="str">
        <f t="shared" si="33"/>
        <v/>
      </c>
      <c r="K192" t="str">
        <f t="shared" si="34"/>
        <v/>
      </c>
      <c r="L192" t="str">
        <f>IF(A192="","",IF($C$3="C0",SUMIFS(itens_Consumidos!$E$2:$E$200,itens_Consumidos!$A$2:$A$200,A192),IF($C$3="C1",SUMIFS(itens_Consumidos!$G$2:$G$200,itens_Consumidos!$A$2:$A$200,A192),IF($C$3="C2",SUMIFS(itens_Consumidos!$I$2:$I$200,itens_Consumidos!$A$2:$A$200,A192),IF($C$3="C3",SUMIFS(itens_Consumidos!$K$2:$K$200,itens_Consumidos!$A$2:$A$200,A192),IF($C$3="C4",SUMIFS(itens_Consumidos!$M$2:$M$200,itens_Consumidos!$A$2:$A$200,A192),""))))))</f>
        <v/>
      </c>
      <c r="M192" t="str">
        <f t="shared" si="35"/>
        <v/>
      </c>
      <c r="N192" t="str">
        <f>IF(A192="","",IF($C$3="C0",COUNTIFS(itens_Consumidos!$A$2:$A$200,A192,itens_Consumidos!$E$2:$E$200,"&lt;&gt;"),IF($C$3="C1",COUNTIFS(itens_Consumidos!$A$2:$A$200,A192,itens_Consumidos!$G$2:$G$200,"&lt;&gt;"),IF($C$3="C2",COUNTIFS(itens_Consumidos!$A$2:$A$200,A192,itens_Consumidos!$I$2:$I$200,"&lt;&gt;"),IF($C$3="C3",COUNTIFS(itens_Consumidos!$A$2:$A$200,A192,itens_Consumidos!$K$2:$K$200,"&lt;&gt;"),IF($C$3="C4",COUNTIFS(itens_Consumidos!$A$2:$A$200,A192,itens_Consumidos!$M$2:$M$200,"&lt;&gt;"),""))))))</f>
        <v/>
      </c>
      <c r="O192" t="str">
        <f>IF(itens_Remanesc!$A181="","",COUNTIFS(aditivos!$A$2:$A$200,itens_Remanesc!$A181,aditivos!$B$2:$B$200,"&lt;="&amp;$D$5,aditivos!$L$2:$L$200,"&gt;0"))</f>
        <v/>
      </c>
    </row>
    <row r="193" spans="1:15" ht="20" customHeight="1" x14ac:dyDescent="0.35">
      <c r="A193" s="416" t="str">
        <f>IF(itens_Remanesc!$A182="","",IF(NOT(posicao_contratual!$Z182),itens_Remanesc!$A182,IF(AND(ISNUMBER($D$5),$O193&gt;0),itens_Remanesc!$A182,"")))</f>
        <v/>
      </c>
      <c r="B193" s="417" t="str">
        <f>IF(A193="","",IF(AND(posicao_contratual!$Z182,COUNTIFS(aditivos!$A$2:$A$200,itens_Remanesc!$A182,aditivos!$B$2:$B$200,"&lt;"&amp;(INT($F$3)+1),aditivos!$L$2:$L$200,"&gt;0")=0),0,IF(ISNUMBER(IF($C$3="C0",posicao_contratual!$F182,IF($C$3="C1",posicao_contratual!$J182,IF($C$3="C2",posicao_contratual!$N182,IF($C$3="C3",posicao_contratual!$R182,IF($C$3="C4",posicao_contratual!$V182,"")))))),ROUND(IF($C$3="C0",posicao_contratual!$F182,IF($C$3="C1",posicao_contratual!$J182,IF($C$3="C2",posicao_contratual!$N182,IF($C$3="C3",posicao_contratual!$R182,IF($C$3="C4",posicao_contratual!$V182,"")))))+ROUND(SUMIFS(aditivos!$L$2:$L$200,aditivos!$A$2:$A$200,A193,aditivos!$C$2:$C$200,$C$3,aditivos!$B$2:$B$200,"&lt;"&amp;(INT($F$3)+1)),2),2),IF(ROUND(SUMIFS(aditivos!$L$2:$L$200,aditivos!$A$2:$A$200,A193,aditivos!$C$2:$C$200,$C$3,aditivos!$B$2:$B$200,"&lt;"&amp;(INT($F$3)+1)),2)&gt;0,ROUND(SUMIFS(aditivos!$L$2:$L$200,aditivos!$A$2:$A$200,A193,aditivos!$C$2:$C$200,$C$3,aditivos!$B$2:$B$200,"&lt;"&amp;(INT($F$3)+1)),2),""))))</f>
        <v/>
      </c>
      <c r="C193" s="418"/>
      <c r="D193" s="417" t="str">
        <f t="shared" si="30"/>
        <v/>
      </c>
      <c r="E193" s="419" t="str">
        <f>IF(A193="","",IF($C$3="C0",historico_VU!$C182,IF($C$3="C1",historico_VU!$D182,IF($C$3="C2",historico_VU!$E182,IF($C$3="C3",historico_VU!$F182,IF($C$3="C4",historico_VU!$G182,""))))))</f>
        <v/>
      </c>
      <c r="F193" s="419" t="str">
        <f t="shared" si="31"/>
        <v/>
      </c>
      <c r="G193" s="419" t="str">
        <f t="shared" si="32"/>
        <v/>
      </c>
      <c r="I193" t="str">
        <f>IF(OR(A193="",$D$5="",$F$3=""),"",ROUND(SUMIFS(aditivos!$L$2:$L$200,aditivos!$A$2:$A$200,A193,aditivos!$B$2:$B$200,"&gt;="&amp;(INT($F$3)+1),aditivos!$B$2:$B$200,"&lt;="&amp;$D$5),2))</f>
        <v/>
      </c>
      <c r="J193" t="str">
        <f t="shared" si="33"/>
        <v/>
      </c>
      <c r="K193" t="str">
        <f t="shared" si="34"/>
        <v/>
      </c>
      <c r="L193" t="str">
        <f>IF(A193="","",IF($C$3="C0",SUMIFS(itens_Consumidos!$E$2:$E$200,itens_Consumidos!$A$2:$A$200,A193),IF($C$3="C1",SUMIFS(itens_Consumidos!$G$2:$G$200,itens_Consumidos!$A$2:$A$200,A193),IF($C$3="C2",SUMIFS(itens_Consumidos!$I$2:$I$200,itens_Consumidos!$A$2:$A$200,A193),IF($C$3="C3",SUMIFS(itens_Consumidos!$K$2:$K$200,itens_Consumidos!$A$2:$A$200,A193),IF($C$3="C4",SUMIFS(itens_Consumidos!$M$2:$M$200,itens_Consumidos!$A$2:$A$200,A193),""))))))</f>
        <v/>
      </c>
      <c r="M193" t="str">
        <f t="shared" si="35"/>
        <v/>
      </c>
      <c r="N193" t="str">
        <f>IF(A193="","",IF($C$3="C0",COUNTIFS(itens_Consumidos!$A$2:$A$200,A193,itens_Consumidos!$E$2:$E$200,"&lt;&gt;"),IF($C$3="C1",COUNTIFS(itens_Consumidos!$A$2:$A$200,A193,itens_Consumidos!$G$2:$G$200,"&lt;&gt;"),IF($C$3="C2",COUNTIFS(itens_Consumidos!$A$2:$A$200,A193,itens_Consumidos!$I$2:$I$200,"&lt;&gt;"),IF($C$3="C3",COUNTIFS(itens_Consumidos!$A$2:$A$200,A193,itens_Consumidos!$K$2:$K$200,"&lt;&gt;"),IF($C$3="C4",COUNTIFS(itens_Consumidos!$A$2:$A$200,A193,itens_Consumidos!$M$2:$M$200,"&lt;&gt;"),""))))))</f>
        <v/>
      </c>
      <c r="O193" t="str">
        <f>IF(itens_Remanesc!$A182="","",COUNTIFS(aditivos!$A$2:$A$200,itens_Remanesc!$A182,aditivos!$B$2:$B$200,"&lt;="&amp;$D$5,aditivos!$L$2:$L$200,"&gt;0"))</f>
        <v/>
      </c>
    </row>
    <row r="194" spans="1:15" ht="20" customHeight="1" x14ac:dyDescent="0.35">
      <c r="A194" s="416" t="str">
        <f>IF(itens_Remanesc!$A183="","",IF(NOT(posicao_contratual!$Z183),itens_Remanesc!$A183,IF(AND(ISNUMBER($D$5),$O194&gt;0),itens_Remanesc!$A183,"")))</f>
        <v/>
      </c>
      <c r="B194" s="417" t="str">
        <f>IF(A194="","",IF(AND(posicao_contratual!$Z183,COUNTIFS(aditivos!$A$2:$A$200,itens_Remanesc!$A183,aditivos!$B$2:$B$200,"&lt;"&amp;(INT($F$3)+1),aditivos!$L$2:$L$200,"&gt;0")=0),0,IF(ISNUMBER(IF($C$3="C0",posicao_contratual!$F183,IF($C$3="C1",posicao_contratual!$J183,IF($C$3="C2",posicao_contratual!$N183,IF($C$3="C3",posicao_contratual!$R183,IF($C$3="C4",posicao_contratual!$V183,"")))))),ROUND(IF($C$3="C0",posicao_contratual!$F183,IF($C$3="C1",posicao_contratual!$J183,IF($C$3="C2",posicao_contratual!$N183,IF($C$3="C3",posicao_contratual!$R183,IF($C$3="C4",posicao_contratual!$V183,"")))))+ROUND(SUMIFS(aditivos!$L$2:$L$200,aditivos!$A$2:$A$200,A194,aditivos!$C$2:$C$200,$C$3,aditivos!$B$2:$B$200,"&lt;"&amp;(INT($F$3)+1)),2),2),IF(ROUND(SUMIFS(aditivos!$L$2:$L$200,aditivos!$A$2:$A$200,A194,aditivos!$C$2:$C$200,$C$3,aditivos!$B$2:$B$200,"&lt;"&amp;(INT($F$3)+1)),2)&gt;0,ROUND(SUMIFS(aditivos!$L$2:$L$200,aditivos!$A$2:$A$200,A194,aditivos!$C$2:$C$200,$C$3,aditivos!$B$2:$B$200,"&lt;"&amp;(INT($F$3)+1)),2),""))))</f>
        <v/>
      </c>
      <c r="C194" s="418"/>
      <c r="D194" s="417" t="str">
        <f t="shared" si="30"/>
        <v/>
      </c>
      <c r="E194" s="419" t="str">
        <f>IF(A194="","",IF($C$3="C0",historico_VU!$C183,IF($C$3="C1",historico_VU!$D183,IF($C$3="C2",historico_VU!$E183,IF($C$3="C3",historico_VU!$F183,IF($C$3="C4",historico_VU!$G183,""))))))</f>
        <v/>
      </c>
      <c r="F194" s="419" t="str">
        <f t="shared" si="31"/>
        <v/>
      </c>
      <c r="G194" s="419" t="str">
        <f t="shared" si="32"/>
        <v/>
      </c>
      <c r="I194" t="str">
        <f>IF(OR(A194="",$D$5="",$F$3=""),"",ROUND(SUMIFS(aditivos!$L$2:$L$200,aditivos!$A$2:$A$200,A194,aditivos!$B$2:$B$200,"&gt;="&amp;(INT($F$3)+1),aditivos!$B$2:$B$200,"&lt;="&amp;$D$5),2))</f>
        <v/>
      </c>
      <c r="J194" t="str">
        <f t="shared" si="33"/>
        <v/>
      </c>
      <c r="K194" t="str">
        <f t="shared" si="34"/>
        <v/>
      </c>
      <c r="L194" t="str">
        <f>IF(A194="","",IF($C$3="C0",SUMIFS(itens_Consumidos!$E$2:$E$200,itens_Consumidos!$A$2:$A$200,A194),IF($C$3="C1",SUMIFS(itens_Consumidos!$G$2:$G$200,itens_Consumidos!$A$2:$A$200,A194),IF($C$3="C2",SUMIFS(itens_Consumidos!$I$2:$I$200,itens_Consumidos!$A$2:$A$200,A194),IF($C$3="C3",SUMIFS(itens_Consumidos!$K$2:$K$200,itens_Consumidos!$A$2:$A$200,A194),IF($C$3="C4",SUMIFS(itens_Consumidos!$M$2:$M$200,itens_Consumidos!$A$2:$A$200,A194),""))))))</f>
        <v/>
      </c>
      <c r="M194" t="str">
        <f t="shared" si="35"/>
        <v/>
      </c>
      <c r="N194" t="str">
        <f>IF(A194="","",IF($C$3="C0",COUNTIFS(itens_Consumidos!$A$2:$A$200,A194,itens_Consumidos!$E$2:$E$200,"&lt;&gt;"),IF($C$3="C1",COUNTIFS(itens_Consumidos!$A$2:$A$200,A194,itens_Consumidos!$G$2:$G$200,"&lt;&gt;"),IF($C$3="C2",COUNTIFS(itens_Consumidos!$A$2:$A$200,A194,itens_Consumidos!$I$2:$I$200,"&lt;&gt;"),IF($C$3="C3",COUNTIFS(itens_Consumidos!$A$2:$A$200,A194,itens_Consumidos!$K$2:$K$200,"&lt;&gt;"),IF($C$3="C4",COUNTIFS(itens_Consumidos!$A$2:$A$200,A194,itens_Consumidos!$M$2:$M$200,"&lt;&gt;"),""))))))</f>
        <v/>
      </c>
      <c r="O194" t="str">
        <f>IF(itens_Remanesc!$A183="","",COUNTIFS(aditivos!$A$2:$A$200,itens_Remanesc!$A183,aditivos!$B$2:$B$200,"&lt;="&amp;$D$5,aditivos!$L$2:$L$200,"&gt;0"))</f>
        <v/>
      </c>
    </row>
    <row r="195" spans="1:15" ht="20" customHeight="1" x14ac:dyDescent="0.35">
      <c r="A195" s="416" t="str">
        <f>IF(itens_Remanesc!$A184="","",IF(NOT(posicao_contratual!$Z184),itens_Remanesc!$A184,IF(AND(ISNUMBER($D$5),$O195&gt;0),itens_Remanesc!$A184,"")))</f>
        <v/>
      </c>
      <c r="B195" s="417" t="str">
        <f>IF(A195="","",IF(AND(posicao_contratual!$Z184,COUNTIFS(aditivos!$A$2:$A$200,itens_Remanesc!$A184,aditivos!$B$2:$B$200,"&lt;"&amp;(INT($F$3)+1),aditivos!$L$2:$L$200,"&gt;0")=0),0,IF(ISNUMBER(IF($C$3="C0",posicao_contratual!$F184,IF($C$3="C1",posicao_contratual!$J184,IF($C$3="C2",posicao_contratual!$N184,IF($C$3="C3",posicao_contratual!$R184,IF($C$3="C4",posicao_contratual!$V184,"")))))),ROUND(IF($C$3="C0",posicao_contratual!$F184,IF($C$3="C1",posicao_contratual!$J184,IF($C$3="C2",posicao_contratual!$N184,IF($C$3="C3",posicao_contratual!$R184,IF($C$3="C4",posicao_contratual!$V184,"")))))+ROUND(SUMIFS(aditivos!$L$2:$L$200,aditivos!$A$2:$A$200,A195,aditivos!$C$2:$C$200,$C$3,aditivos!$B$2:$B$200,"&lt;"&amp;(INT($F$3)+1)),2),2),IF(ROUND(SUMIFS(aditivos!$L$2:$L$200,aditivos!$A$2:$A$200,A195,aditivos!$C$2:$C$200,$C$3,aditivos!$B$2:$B$200,"&lt;"&amp;(INT($F$3)+1)),2)&gt;0,ROUND(SUMIFS(aditivos!$L$2:$L$200,aditivos!$A$2:$A$200,A195,aditivos!$C$2:$C$200,$C$3,aditivos!$B$2:$B$200,"&lt;"&amp;(INT($F$3)+1)),2),""))))</f>
        <v/>
      </c>
      <c r="C195" s="418"/>
      <c r="D195" s="417" t="str">
        <f t="shared" si="30"/>
        <v/>
      </c>
      <c r="E195" s="419" t="str">
        <f>IF(A195="","",IF($C$3="C0",historico_VU!$C184,IF($C$3="C1",historico_VU!$D184,IF($C$3="C2",historico_VU!$E184,IF($C$3="C3",historico_VU!$F184,IF($C$3="C4",historico_VU!$G184,""))))))</f>
        <v/>
      </c>
      <c r="F195" s="419" t="str">
        <f t="shared" si="31"/>
        <v/>
      </c>
      <c r="G195" s="419" t="str">
        <f t="shared" si="32"/>
        <v/>
      </c>
      <c r="I195" t="str">
        <f>IF(OR(A195="",$D$5="",$F$3=""),"",ROUND(SUMIFS(aditivos!$L$2:$L$200,aditivos!$A$2:$A$200,A195,aditivos!$B$2:$B$200,"&gt;="&amp;(INT($F$3)+1),aditivos!$B$2:$B$200,"&lt;="&amp;$D$5),2))</f>
        <v/>
      </c>
      <c r="J195" t="str">
        <f t="shared" si="33"/>
        <v/>
      </c>
      <c r="K195" t="str">
        <f t="shared" si="34"/>
        <v/>
      </c>
      <c r="L195" t="str">
        <f>IF(A195="","",IF($C$3="C0",SUMIFS(itens_Consumidos!$E$2:$E$200,itens_Consumidos!$A$2:$A$200,A195),IF($C$3="C1",SUMIFS(itens_Consumidos!$G$2:$G$200,itens_Consumidos!$A$2:$A$200,A195),IF($C$3="C2",SUMIFS(itens_Consumidos!$I$2:$I$200,itens_Consumidos!$A$2:$A$200,A195),IF($C$3="C3",SUMIFS(itens_Consumidos!$K$2:$K$200,itens_Consumidos!$A$2:$A$200,A195),IF($C$3="C4",SUMIFS(itens_Consumidos!$M$2:$M$200,itens_Consumidos!$A$2:$A$200,A195),""))))))</f>
        <v/>
      </c>
      <c r="M195" t="str">
        <f t="shared" si="35"/>
        <v/>
      </c>
      <c r="N195" t="str">
        <f>IF(A195="","",IF($C$3="C0",COUNTIFS(itens_Consumidos!$A$2:$A$200,A195,itens_Consumidos!$E$2:$E$200,"&lt;&gt;"),IF($C$3="C1",COUNTIFS(itens_Consumidos!$A$2:$A$200,A195,itens_Consumidos!$G$2:$G$200,"&lt;&gt;"),IF($C$3="C2",COUNTIFS(itens_Consumidos!$A$2:$A$200,A195,itens_Consumidos!$I$2:$I$200,"&lt;&gt;"),IF($C$3="C3",COUNTIFS(itens_Consumidos!$A$2:$A$200,A195,itens_Consumidos!$K$2:$K$200,"&lt;&gt;"),IF($C$3="C4",COUNTIFS(itens_Consumidos!$A$2:$A$200,A195,itens_Consumidos!$M$2:$M$200,"&lt;&gt;"),""))))))</f>
        <v/>
      </c>
      <c r="O195" t="str">
        <f>IF(itens_Remanesc!$A184="","",COUNTIFS(aditivos!$A$2:$A$200,itens_Remanesc!$A184,aditivos!$B$2:$B$200,"&lt;="&amp;$D$5,aditivos!$L$2:$L$200,"&gt;0"))</f>
        <v/>
      </c>
    </row>
    <row r="196" spans="1:15" ht="20" customHeight="1" x14ac:dyDescent="0.35">
      <c r="A196" s="416" t="str">
        <f>IF(itens_Remanesc!$A185="","",IF(NOT(posicao_contratual!$Z185),itens_Remanesc!$A185,IF(AND(ISNUMBER($D$5),$O196&gt;0),itens_Remanesc!$A185,"")))</f>
        <v/>
      </c>
      <c r="B196" s="417" t="str">
        <f>IF(A196="","",IF(AND(posicao_contratual!$Z185,COUNTIFS(aditivos!$A$2:$A$200,itens_Remanesc!$A185,aditivos!$B$2:$B$200,"&lt;"&amp;(INT($F$3)+1),aditivos!$L$2:$L$200,"&gt;0")=0),0,IF(ISNUMBER(IF($C$3="C0",posicao_contratual!$F185,IF($C$3="C1",posicao_contratual!$J185,IF($C$3="C2",posicao_contratual!$N185,IF($C$3="C3",posicao_contratual!$R185,IF($C$3="C4",posicao_contratual!$V185,"")))))),ROUND(IF($C$3="C0",posicao_contratual!$F185,IF($C$3="C1",posicao_contratual!$J185,IF($C$3="C2",posicao_contratual!$N185,IF($C$3="C3",posicao_contratual!$R185,IF($C$3="C4",posicao_contratual!$V185,"")))))+ROUND(SUMIFS(aditivos!$L$2:$L$200,aditivos!$A$2:$A$200,A196,aditivos!$C$2:$C$200,$C$3,aditivos!$B$2:$B$200,"&lt;"&amp;(INT($F$3)+1)),2),2),IF(ROUND(SUMIFS(aditivos!$L$2:$L$200,aditivos!$A$2:$A$200,A196,aditivos!$C$2:$C$200,$C$3,aditivos!$B$2:$B$200,"&lt;"&amp;(INT($F$3)+1)),2)&gt;0,ROUND(SUMIFS(aditivos!$L$2:$L$200,aditivos!$A$2:$A$200,A196,aditivos!$C$2:$C$200,$C$3,aditivos!$B$2:$B$200,"&lt;"&amp;(INT($F$3)+1)),2),""))))</f>
        <v/>
      </c>
      <c r="C196" s="418"/>
      <c r="D196" s="417" t="str">
        <f t="shared" si="30"/>
        <v/>
      </c>
      <c r="E196" s="419" t="str">
        <f>IF(A196="","",IF($C$3="C0",historico_VU!$C185,IF($C$3="C1",historico_VU!$D185,IF($C$3="C2",historico_VU!$E185,IF($C$3="C3",historico_VU!$F185,IF($C$3="C4",historico_VU!$G185,""))))))</f>
        <v/>
      </c>
      <c r="F196" s="419" t="str">
        <f t="shared" si="31"/>
        <v/>
      </c>
      <c r="G196" s="419" t="str">
        <f t="shared" si="32"/>
        <v/>
      </c>
      <c r="I196" t="str">
        <f>IF(OR(A196="",$D$5="",$F$3=""),"",ROUND(SUMIFS(aditivos!$L$2:$L$200,aditivos!$A$2:$A$200,A196,aditivos!$B$2:$B$200,"&gt;="&amp;(INT($F$3)+1),aditivos!$B$2:$B$200,"&lt;="&amp;$D$5),2))</f>
        <v/>
      </c>
      <c r="J196" t="str">
        <f t="shared" si="33"/>
        <v/>
      </c>
      <c r="K196" t="str">
        <f t="shared" si="34"/>
        <v/>
      </c>
      <c r="L196" t="str">
        <f>IF(A196="","",IF($C$3="C0",SUMIFS(itens_Consumidos!$E$2:$E$200,itens_Consumidos!$A$2:$A$200,A196),IF($C$3="C1",SUMIFS(itens_Consumidos!$G$2:$G$200,itens_Consumidos!$A$2:$A$200,A196),IF($C$3="C2",SUMIFS(itens_Consumidos!$I$2:$I$200,itens_Consumidos!$A$2:$A$200,A196),IF($C$3="C3",SUMIFS(itens_Consumidos!$K$2:$K$200,itens_Consumidos!$A$2:$A$200,A196),IF($C$3="C4",SUMIFS(itens_Consumidos!$M$2:$M$200,itens_Consumidos!$A$2:$A$200,A196),""))))))</f>
        <v/>
      </c>
      <c r="M196" t="str">
        <f t="shared" si="35"/>
        <v/>
      </c>
      <c r="N196" t="str">
        <f>IF(A196="","",IF($C$3="C0",COUNTIFS(itens_Consumidos!$A$2:$A$200,A196,itens_Consumidos!$E$2:$E$200,"&lt;&gt;"),IF($C$3="C1",COUNTIFS(itens_Consumidos!$A$2:$A$200,A196,itens_Consumidos!$G$2:$G$200,"&lt;&gt;"),IF($C$3="C2",COUNTIFS(itens_Consumidos!$A$2:$A$200,A196,itens_Consumidos!$I$2:$I$200,"&lt;&gt;"),IF($C$3="C3",COUNTIFS(itens_Consumidos!$A$2:$A$200,A196,itens_Consumidos!$K$2:$K$200,"&lt;&gt;"),IF($C$3="C4",COUNTIFS(itens_Consumidos!$A$2:$A$200,A196,itens_Consumidos!$M$2:$M$200,"&lt;&gt;"),""))))))</f>
        <v/>
      </c>
      <c r="O196" t="str">
        <f>IF(itens_Remanesc!$A185="","",COUNTIFS(aditivos!$A$2:$A$200,itens_Remanesc!$A185,aditivos!$B$2:$B$200,"&lt;="&amp;$D$5,aditivos!$L$2:$L$200,"&gt;0"))</f>
        <v/>
      </c>
    </row>
    <row r="197" spans="1:15" ht="20" customHeight="1" x14ac:dyDescent="0.35">
      <c r="A197" s="416" t="str">
        <f>IF(itens_Remanesc!$A186="","",IF(NOT(posicao_contratual!$Z186),itens_Remanesc!$A186,IF(AND(ISNUMBER($D$5),$O197&gt;0),itens_Remanesc!$A186,"")))</f>
        <v/>
      </c>
      <c r="B197" s="417" t="str">
        <f>IF(A197="","",IF(AND(posicao_contratual!$Z186,COUNTIFS(aditivos!$A$2:$A$200,itens_Remanesc!$A186,aditivos!$B$2:$B$200,"&lt;"&amp;(INT($F$3)+1),aditivos!$L$2:$L$200,"&gt;0")=0),0,IF(ISNUMBER(IF($C$3="C0",posicao_contratual!$F186,IF($C$3="C1",posicao_contratual!$J186,IF($C$3="C2",posicao_contratual!$N186,IF($C$3="C3",posicao_contratual!$R186,IF($C$3="C4",posicao_contratual!$V186,"")))))),ROUND(IF($C$3="C0",posicao_contratual!$F186,IF($C$3="C1",posicao_contratual!$J186,IF($C$3="C2",posicao_contratual!$N186,IF($C$3="C3",posicao_contratual!$R186,IF($C$3="C4",posicao_contratual!$V186,"")))))+ROUND(SUMIFS(aditivos!$L$2:$L$200,aditivos!$A$2:$A$200,A197,aditivos!$C$2:$C$200,$C$3,aditivos!$B$2:$B$200,"&lt;"&amp;(INT($F$3)+1)),2),2),IF(ROUND(SUMIFS(aditivos!$L$2:$L$200,aditivos!$A$2:$A$200,A197,aditivos!$C$2:$C$200,$C$3,aditivos!$B$2:$B$200,"&lt;"&amp;(INT($F$3)+1)),2)&gt;0,ROUND(SUMIFS(aditivos!$L$2:$L$200,aditivos!$A$2:$A$200,A197,aditivos!$C$2:$C$200,$C$3,aditivos!$B$2:$B$200,"&lt;"&amp;(INT($F$3)+1)),2),""))))</f>
        <v/>
      </c>
      <c r="C197" s="418"/>
      <c r="D197" s="417" t="str">
        <f t="shared" si="30"/>
        <v/>
      </c>
      <c r="E197" s="419" t="str">
        <f>IF(A197="","",IF($C$3="C0",historico_VU!$C186,IF($C$3="C1",historico_VU!$D186,IF($C$3="C2",historico_VU!$E186,IF($C$3="C3",historico_VU!$F186,IF($C$3="C4",historico_VU!$G186,""))))))</f>
        <v/>
      </c>
      <c r="F197" s="419" t="str">
        <f t="shared" si="31"/>
        <v/>
      </c>
      <c r="G197" s="419" t="str">
        <f t="shared" si="32"/>
        <v/>
      </c>
      <c r="I197" t="str">
        <f>IF(OR(A197="",$D$5="",$F$3=""),"",ROUND(SUMIFS(aditivos!$L$2:$L$200,aditivos!$A$2:$A$200,A197,aditivos!$B$2:$B$200,"&gt;="&amp;(INT($F$3)+1),aditivos!$B$2:$B$200,"&lt;="&amp;$D$5),2))</f>
        <v/>
      </c>
      <c r="J197" t="str">
        <f t="shared" si="33"/>
        <v/>
      </c>
      <c r="K197" t="str">
        <f t="shared" si="34"/>
        <v/>
      </c>
      <c r="L197" t="str">
        <f>IF(A197="","",IF($C$3="C0",SUMIFS(itens_Consumidos!$E$2:$E$200,itens_Consumidos!$A$2:$A$200,A197),IF($C$3="C1",SUMIFS(itens_Consumidos!$G$2:$G$200,itens_Consumidos!$A$2:$A$200,A197),IF($C$3="C2",SUMIFS(itens_Consumidos!$I$2:$I$200,itens_Consumidos!$A$2:$A$200,A197),IF($C$3="C3",SUMIFS(itens_Consumidos!$K$2:$K$200,itens_Consumidos!$A$2:$A$200,A197),IF($C$3="C4",SUMIFS(itens_Consumidos!$M$2:$M$200,itens_Consumidos!$A$2:$A$200,A197),""))))))</f>
        <v/>
      </c>
      <c r="M197" t="str">
        <f t="shared" si="35"/>
        <v/>
      </c>
      <c r="N197" t="str">
        <f>IF(A197="","",IF($C$3="C0",COUNTIFS(itens_Consumidos!$A$2:$A$200,A197,itens_Consumidos!$E$2:$E$200,"&lt;&gt;"),IF($C$3="C1",COUNTIFS(itens_Consumidos!$A$2:$A$200,A197,itens_Consumidos!$G$2:$G$200,"&lt;&gt;"),IF($C$3="C2",COUNTIFS(itens_Consumidos!$A$2:$A$200,A197,itens_Consumidos!$I$2:$I$200,"&lt;&gt;"),IF($C$3="C3",COUNTIFS(itens_Consumidos!$A$2:$A$200,A197,itens_Consumidos!$K$2:$K$200,"&lt;&gt;"),IF($C$3="C4",COUNTIFS(itens_Consumidos!$A$2:$A$200,A197,itens_Consumidos!$M$2:$M$200,"&lt;&gt;"),""))))))</f>
        <v/>
      </c>
      <c r="O197" t="str">
        <f>IF(itens_Remanesc!$A186="","",COUNTIFS(aditivos!$A$2:$A$200,itens_Remanesc!$A186,aditivos!$B$2:$B$200,"&lt;="&amp;$D$5,aditivos!$L$2:$L$200,"&gt;0"))</f>
        <v/>
      </c>
    </row>
    <row r="198" spans="1:15" ht="20" customHeight="1" x14ac:dyDescent="0.35">
      <c r="A198" s="416" t="str">
        <f>IF(itens_Remanesc!$A187="","",IF(NOT(posicao_contratual!$Z187),itens_Remanesc!$A187,IF(AND(ISNUMBER($D$5),$O198&gt;0),itens_Remanesc!$A187,"")))</f>
        <v/>
      </c>
      <c r="B198" s="417" t="str">
        <f>IF(A198="","",IF(AND(posicao_contratual!$Z187,COUNTIFS(aditivos!$A$2:$A$200,itens_Remanesc!$A187,aditivos!$B$2:$B$200,"&lt;"&amp;(INT($F$3)+1),aditivos!$L$2:$L$200,"&gt;0")=0),0,IF(ISNUMBER(IF($C$3="C0",posicao_contratual!$F187,IF($C$3="C1",posicao_contratual!$J187,IF($C$3="C2",posicao_contratual!$N187,IF($C$3="C3",posicao_contratual!$R187,IF($C$3="C4",posicao_contratual!$V187,"")))))),ROUND(IF($C$3="C0",posicao_contratual!$F187,IF($C$3="C1",posicao_contratual!$J187,IF($C$3="C2",posicao_contratual!$N187,IF($C$3="C3",posicao_contratual!$R187,IF($C$3="C4",posicao_contratual!$V187,"")))))+ROUND(SUMIFS(aditivos!$L$2:$L$200,aditivos!$A$2:$A$200,A198,aditivos!$C$2:$C$200,$C$3,aditivos!$B$2:$B$200,"&lt;"&amp;(INT($F$3)+1)),2),2),IF(ROUND(SUMIFS(aditivos!$L$2:$L$200,aditivos!$A$2:$A$200,A198,aditivos!$C$2:$C$200,$C$3,aditivos!$B$2:$B$200,"&lt;"&amp;(INT($F$3)+1)),2)&gt;0,ROUND(SUMIFS(aditivos!$L$2:$L$200,aditivos!$A$2:$A$200,A198,aditivos!$C$2:$C$200,$C$3,aditivos!$B$2:$B$200,"&lt;"&amp;(INT($F$3)+1)),2),""))))</f>
        <v/>
      </c>
      <c r="C198" s="418"/>
      <c r="D198" s="417" t="str">
        <f t="shared" si="30"/>
        <v/>
      </c>
      <c r="E198" s="419" t="str">
        <f>IF(A198="","",IF($C$3="C0",historico_VU!$C187,IF($C$3="C1",historico_VU!$D187,IF($C$3="C2",historico_VU!$E187,IF($C$3="C3",historico_VU!$F187,IF($C$3="C4",historico_VU!$G187,""))))))</f>
        <v/>
      </c>
      <c r="F198" s="419" t="str">
        <f t="shared" si="31"/>
        <v/>
      </c>
      <c r="G198" s="419" t="str">
        <f t="shared" si="32"/>
        <v/>
      </c>
      <c r="I198" t="str">
        <f>IF(OR(A198="",$D$5="",$F$3=""),"",ROUND(SUMIFS(aditivos!$L$2:$L$200,aditivos!$A$2:$A$200,A198,aditivos!$B$2:$B$200,"&gt;="&amp;(INT($F$3)+1),aditivos!$B$2:$B$200,"&lt;="&amp;$D$5),2))</f>
        <v/>
      </c>
      <c r="J198" t="str">
        <f t="shared" si="33"/>
        <v/>
      </c>
      <c r="K198" t="str">
        <f t="shared" si="34"/>
        <v/>
      </c>
      <c r="L198" t="str">
        <f>IF(A198="","",IF($C$3="C0",SUMIFS(itens_Consumidos!$E$2:$E$200,itens_Consumidos!$A$2:$A$200,A198),IF($C$3="C1",SUMIFS(itens_Consumidos!$G$2:$G$200,itens_Consumidos!$A$2:$A$200,A198),IF($C$3="C2",SUMIFS(itens_Consumidos!$I$2:$I$200,itens_Consumidos!$A$2:$A$200,A198),IF($C$3="C3",SUMIFS(itens_Consumidos!$K$2:$K$200,itens_Consumidos!$A$2:$A$200,A198),IF($C$3="C4",SUMIFS(itens_Consumidos!$M$2:$M$200,itens_Consumidos!$A$2:$A$200,A198),""))))))</f>
        <v/>
      </c>
      <c r="M198" t="str">
        <f t="shared" si="35"/>
        <v/>
      </c>
      <c r="N198" t="str">
        <f>IF(A198="","",IF($C$3="C0",COUNTIFS(itens_Consumidos!$A$2:$A$200,A198,itens_Consumidos!$E$2:$E$200,"&lt;&gt;"),IF($C$3="C1",COUNTIFS(itens_Consumidos!$A$2:$A$200,A198,itens_Consumidos!$G$2:$G$200,"&lt;&gt;"),IF($C$3="C2",COUNTIFS(itens_Consumidos!$A$2:$A$200,A198,itens_Consumidos!$I$2:$I$200,"&lt;&gt;"),IF($C$3="C3",COUNTIFS(itens_Consumidos!$A$2:$A$200,A198,itens_Consumidos!$K$2:$K$200,"&lt;&gt;"),IF($C$3="C4",COUNTIFS(itens_Consumidos!$A$2:$A$200,A198,itens_Consumidos!$M$2:$M$200,"&lt;&gt;"),""))))))</f>
        <v/>
      </c>
      <c r="O198" t="str">
        <f>IF(itens_Remanesc!$A187="","",COUNTIFS(aditivos!$A$2:$A$200,itens_Remanesc!$A187,aditivos!$B$2:$B$200,"&lt;="&amp;$D$5,aditivos!$L$2:$L$200,"&gt;0"))</f>
        <v/>
      </c>
    </row>
    <row r="199" spans="1:15" ht="20" customHeight="1" x14ac:dyDescent="0.35">
      <c r="A199" s="416" t="str">
        <f>IF(itens_Remanesc!$A188="","",IF(NOT(posicao_contratual!$Z188),itens_Remanesc!$A188,IF(AND(ISNUMBER($D$5),$O199&gt;0),itens_Remanesc!$A188,"")))</f>
        <v/>
      </c>
      <c r="B199" s="417" t="str">
        <f>IF(A199="","",IF(AND(posicao_contratual!$Z188,COUNTIFS(aditivos!$A$2:$A$200,itens_Remanesc!$A188,aditivos!$B$2:$B$200,"&lt;"&amp;(INT($F$3)+1),aditivos!$L$2:$L$200,"&gt;0")=0),0,IF(ISNUMBER(IF($C$3="C0",posicao_contratual!$F188,IF($C$3="C1",posicao_contratual!$J188,IF($C$3="C2",posicao_contratual!$N188,IF($C$3="C3",posicao_contratual!$R188,IF($C$3="C4",posicao_contratual!$V188,"")))))),ROUND(IF($C$3="C0",posicao_contratual!$F188,IF($C$3="C1",posicao_contratual!$J188,IF($C$3="C2",posicao_contratual!$N188,IF($C$3="C3",posicao_contratual!$R188,IF($C$3="C4",posicao_contratual!$V188,"")))))+ROUND(SUMIFS(aditivos!$L$2:$L$200,aditivos!$A$2:$A$200,A199,aditivos!$C$2:$C$200,$C$3,aditivos!$B$2:$B$200,"&lt;"&amp;(INT($F$3)+1)),2),2),IF(ROUND(SUMIFS(aditivos!$L$2:$L$200,aditivos!$A$2:$A$200,A199,aditivos!$C$2:$C$200,$C$3,aditivos!$B$2:$B$200,"&lt;"&amp;(INT($F$3)+1)),2)&gt;0,ROUND(SUMIFS(aditivos!$L$2:$L$200,aditivos!$A$2:$A$200,A199,aditivos!$C$2:$C$200,$C$3,aditivos!$B$2:$B$200,"&lt;"&amp;(INT($F$3)+1)),2),""))))</f>
        <v/>
      </c>
      <c r="C199" s="418"/>
      <c r="D199" s="417" t="str">
        <f t="shared" si="30"/>
        <v/>
      </c>
      <c r="E199" s="419" t="str">
        <f>IF(A199="","",IF($C$3="C0",historico_VU!$C188,IF($C$3="C1",historico_VU!$D188,IF($C$3="C2",historico_VU!$E188,IF($C$3="C3",historico_VU!$F188,IF($C$3="C4",historico_VU!$G188,""))))))</f>
        <v/>
      </c>
      <c r="F199" s="419" t="str">
        <f t="shared" si="31"/>
        <v/>
      </c>
      <c r="G199" s="419" t="str">
        <f t="shared" si="32"/>
        <v/>
      </c>
      <c r="I199" t="str">
        <f>IF(OR(A199="",$D$5="",$F$3=""),"",ROUND(SUMIFS(aditivos!$L$2:$L$200,aditivos!$A$2:$A$200,A199,aditivos!$B$2:$B$200,"&gt;="&amp;(INT($F$3)+1),aditivos!$B$2:$B$200,"&lt;="&amp;$D$5),2))</f>
        <v/>
      </c>
      <c r="J199" t="str">
        <f t="shared" si="33"/>
        <v/>
      </c>
      <c r="K199" t="str">
        <f t="shared" si="34"/>
        <v/>
      </c>
      <c r="L199" t="str">
        <f>IF(A199="","",IF($C$3="C0",SUMIFS(itens_Consumidos!$E$2:$E$200,itens_Consumidos!$A$2:$A$200,A199),IF($C$3="C1",SUMIFS(itens_Consumidos!$G$2:$G$200,itens_Consumidos!$A$2:$A$200,A199),IF($C$3="C2",SUMIFS(itens_Consumidos!$I$2:$I$200,itens_Consumidos!$A$2:$A$200,A199),IF($C$3="C3",SUMIFS(itens_Consumidos!$K$2:$K$200,itens_Consumidos!$A$2:$A$200,A199),IF($C$3="C4",SUMIFS(itens_Consumidos!$M$2:$M$200,itens_Consumidos!$A$2:$A$200,A199),""))))))</f>
        <v/>
      </c>
      <c r="M199" t="str">
        <f t="shared" si="35"/>
        <v/>
      </c>
      <c r="N199" t="str">
        <f>IF(A199="","",IF($C$3="C0",COUNTIFS(itens_Consumidos!$A$2:$A$200,A199,itens_Consumidos!$E$2:$E$200,"&lt;&gt;"),IF($C$3="C1",COUNTIFS(itens_Consumidos!$A$2:$A$200,A199,itens_Consumidos!$G$2:$G$200,"&lt;&gt;"),IF($C$3="C2",COUNTIFS(itens_Consumidos!$A$2:$A$200,A199,itens_Consumidos!$I$2:$I$200,"&lt;&gt;"),IF($C$3="C3",COUNTIFS(itens_Consumidos!$A$2:$A$200,A199,itens_Consumidos!$K$2:$K$200,"&lt;&gt;"),IF($C$3="C4",COUNTIFS(itens_Consumidos!$A$2:$A$200,A199,itens_Consumidos!$M$2:$M$200,"&lt;&gt;"),""))))))</f>
        <v/>
      </c>
      <c r="O199" t="str">
        <f>IF(itens_Remanesc!$A188="","",COUNTIFS(aditivos!$A$2:$A$200,itens_Remanesc!$A188,aditivos!$B$2:$B$200,"&lt;="&amp;$D$5,aditivos!$L$2:$L$200,"&gt;0"))</f>
        <v/>
      </c>
    </row>
    <row r="200" spans="1:15" ht="20" customHeight="1" x14ac:dyDescent="0.35">
      <c r="A200" s="416" t="str">
        <f>IF(itens_Remanesc!$A189="","",IF(NOT(posicao_contratual!$Z189),itens_Remanesc!$A189,IF(AND(ISNUMBER($D$5),$O200&gt;0),itens_Remanesc!$A189,"")))</f>
        <v/>
      </c>
      <c r="B200" s="417" t="str">
        <f>IF(A200="","",IF(AND(posicao_contratual!$Z189,COUNTIFS(aditivos!$A$2:$A$200,itens_Remanesc!$A189,aditivos!$B$2:$B$200,"&lt;"&amp;(INT($F$3)+1),aditivos!$L$2:$L$200,"&gt;0")=0),0,IF(ISNUMBER(IF($C$3="C0",posicao_contratual!$F189,IF($C$3="C1",posicao_contratual!$J189,IF($C$3="C2",posicao_contratual!$N189,IF($C$3="C3",posicao_contratual!$R189,IF($C$3="C4",posicao_contratual!$V189,"")))))),ROUND(IF($C$3="C0",posicao_contratual!$F189,IF($C$3="C1",posicao_contratual!$J189,IF($C$3="C2",posicao_contratual!$N189,IF($C$3="C3",posicao_contratual!$R189,IF($C$3="C4",posicao_contratual!$V189,"")))))+ROUND(SUMIFS(aditivos!$L$2:$L$200,aditivos!$A$2:$A$200,A200,aditivos!$C$2:$C$200,$C$3,aditivos!$B$2:$B$200,"&lt;"&amp;(INT($F$3)+1)),2),2),IF(ROUND(SUMIFS(aditivos!$L$2:$L$200,aditivos!$A$2:$A$200,A200,aditivos!$C$2:$C$200,$C$3,aditivos!$B$2:$B$200,"&lt;"&amp;(INT($F$3)+1)),2)&gt;0,ROUND(SUMIFS(aditivos!$L$2:$L$200,aditivos!$A$2:$A$200,A200,aditivos!$C$2:$C$200,$C$3,aditivos!$B$2:$B$200,"&lt;"&amp;(INT($F$3)+1)),2),""))))</f>
        <v/>
      </c>
      <c r="C200" s="418"/>
      <c r="D200" s="417" t="str">
        <f t="shared" si="30"/>
        <v/>
      </c>
      <c r="E200" s="419" t="str">
        <f>IF(A200="","",IF($C$3="C0",historico_VU!$C189,IF($C$3="C1",historico_VU!$D189,IF($C$3="C2",historico_VU!$E189,IF($C$3="C3",historico_VU!$F189,IF($C$3="C4",historico_VU!$G189,""))))))</f>
        <v/>
      </c>
      <c r="F200" s="419" t="str">
        <f t="shared" si="31"/>
        <v/>
      </c>
      <c r="G200" s="419" t="str">
        <f t="shared" si="32"/>
        <v/>
      </c>
      <c r="I200" t="str">
        <f>IF(OR(A200="",$D$5="",$F$3=""),"",ROUND(SUMIFS(aditivos!$L$2:$L$200,aditivos!$A$2:$A$200,A200,aditivos!$B$2:$B$200,"&gt;="&amp;(INT($F$3)+1),aditivos!$B$2:$B$200,"&lt;="&amp;$D$5),2))</f>
        <v/>
      </c>
      <c r="J200" t="str">
        <f t="shared" si="33"/>
        <v/>
      </c>
      <c r="K200" t="str">
        <f t="shared" si="34"/>
        <v/>
      </c>
      <c r="L200" t="str">
        <f>IF(A200="","",IF($C$3="C0",SUMIFS(itens_Consumidos!$E$2:$E$200,itens_Consumidos!$A$2:$A$200,A200),IF($C$3="C1",SUMIFS(itens_Consumidos!$G$2:$G$200,itens_Consumidos!$A$2:$A$200,A200),IF($C$3="C2",SUMIFS(itens_Consumidos!$I$2:$I$200,itens_Consumidos!$A$2:$A$200,A200),IF($C$3="C3",SUMIFS(itens_Consumidos!$K$2:$K$200,itens_Consumidos!$A$2:$A$200,A200),IF($C$3="C4",SUMIFS(itens_Consumidos!$M$2:$M$200,itens_Consumidos!$A$2:$A$200,A200),""))))))</f>
        <v/>
      </c>
      <c r="M200" t="str">
        <f t="shared" si="35"/>
        <v/>
      </c>
      <c r="N200" t="str">
        <f>IF(A200="","",IF($C$3="C0",COUNTIFS(itens_Consumidos!$A$2:$A$200,A200,itens_Consumidos!$E$2:$E$200,"&lt;&gt;"),IF($C$3="C1",COUNTIFS(itens_Consumidos!$A$2:$A$200,A200,itens_Consumidos!$G$2:$G$200,"&lt;&gt;"),IF($C$3="C2",COUNTIFS(itens_Consumidos!$A$2:$A$200,A200,itens_Consumidos!$I$2:$I$200,"&lt;&gt;"),IF($C$3="C3",COUNTIFS(itens_Consumidos!$A$2:$A$200,A200,itens_Consumidos!$K$2:$K$200,"&lt;&gt;"),IF($C$3="C4",COUNTIFS(itens_Consumidos!$A$2:$A$200,A200,itens_Consumidos!$M$2:$M$200,"&lt;&gt;"),""))))))</f>
        <v/>
      </c>
      <c r="O200" t="str">
        <f>IF(itens_Remanesc!$A189="","",COUNTIFS(aditivos!$A$2:$A$200,itens_Remanesc!$A189,aditivos!$B$2:$B$200,"&lt;="&amp;$D$5,aditivos!$L$2:$L$200,"&gt;0"))</f>
        <v/>
      </c>
    </row>
    <row r="201" spans="1:15" ht="20" customHeight="1" x14ac:dyDescent="0.35">
      <c r="A201" s="416" t="str">
        <f>IF(itens_Remanesc!$A190="","",IF(NOT(posicao_contratual!$Z190),itens_Remanesc!$A190,IF(AND(ISNUMBER($D$5),$O201&gt;0),itens_Remanesc!$A190,"")))</f>
        <v/>
      </c>
      <c r="B201" s="417" t="str">
        <f>IF(A201="","",IF(AND(posicao_contratual!$Z190,COUNTIFS(aditivos!$A$2:$A$200,itens_Remanesc!$A190,aditivos!$B$2:$B$200,"&lt;"&amp;(INT($F$3)+1),aditivos!$L$2:$L$200,"&gt;0")=0),0,IF(ISNUMBER(IF($C$3="C0",posicao_contratual!$F190,IF($C$3="C1",posicao_contratual!$J190,IF($C$3="C2",posicao_contratual!$N190,IF($C$3="C3",posicao_contratual!$R190,IF($C$3="C4",posicao_contratual!$V190,"")))))),ROUND(IF($C$3="C0",posicao_contratual!$F190,IF($C$3="C1",posicao_contratual!$J190,IF($C$3="C2",posicao_contratual!$N190,IF($C$3="C3",posicao_contratual!$R190,IF($C$3="C4",posicao_contratual!$V190,"")))))+ROUND(SUMIFS(aditivos!$L$2:$L$200,aditivos!$A$2:$A$200,A201,aditivos!$C$2:$C$200,$C$3,aditivos!$B$2:$B$200,"&lt;"&amp;(INT($F$3)+1)),2),2),IF(ROUND(SUMIFS(aditivos!$L$2:$L$200,aditivos!$A$2:$A$200,A201,aditivos!$C$2:$C$200,$C$3,aditivos!$B$2:$B$200,"&lt;"&amp;(INT($F$3)+1)),2)&gt;0,ROUND(SUMIFS(aditivos!$L$2:$L$200,aditivos!$A$2:$A$200,A201,aditivos!$C$2:$C$200,$C$3,aditivos!$B$2:$B$200,"&lt;"&amp;(INT($F$3)+1)),2),""))))</f>
        <v/>
      </c>
      <c r="C201" s="418"/>
      <c r="D201" s="417" t="str">
        <f t="shared" si="30"/>
        <v/>
      </c>
      <c r="E201" s="419" t="str">
        <f>IF(A201="","",IF($C$3="C0",historico_VU!$C190,IF($C$3="C1",historico_VU!$D190,IF($C$3="C2",historico_VU!$E190,IF($C$3="C3",historico_VU!$F190,IF($C$3="C4",historico_VU!$G190,""))))))</f>
        <v/>
      </c>
      <c r="F201" s="419" t="str">
        <f t="shared" si="31"/>
        <v/>
      </c>
      <c r="G201" s="419" t="str">
        <f t="shared" si="32"/>
        <v/>
      </c>
      <c r="I201" t="str">
        <f>IF(OR(A201="",$D$5="",$F$3=""),"",ROUND(SUMIFS(aditivos!$L$2:$L$200,aditivos!$A$2:$A$200,A201,aditivos!$B$2:$B$200,"&gt;="&amp;(INT($F$3)+1),aditivos!$B$2:$B$200,"&lt;="&amp;$D$5),2))</f>
        <v/>
      </c>
      <c r="J201" t="str">
        <f t="shared" si="33"/>
        <v/>
      </c>
      <c r="K201" t="str">
        <f t="shared" si="34"/>
        <v/>
      </c>
      <c r="L201" t="str">
        <f>IF(A201="","",IF($C$3="C0",SUMIFS(itens_Consumidos!$E$2:$E$200,itens_Consumidos!$A$2:$A$200,A201),IF($C$3="C1",SUMIFS(itens_Consumidos!$G$2:$G$200,itens_Consumidos!$A$2:$A$200,A201),IF($C$3="C2",SUMIFS(itens_Consumidos!$I$2:$I$200,itens_Consumidos!$A$2:$A$200,A201),IF($C$3="C3",SUMIFS(itens_Consumidos!$K$2:$K$200,itens_Consumidos!$A$2:$A$200,A201),IF($C$3="C4",SUMIFS(itens_Consumidos!$M$2:$M$200,itens_Consumidos!$A$2:$A$200,A201),""))))))</f>
        <v/>
      </c>
      <c r="M201" t="str">
        <f t="shared" si="35"/>
        <v/>
      </c>
      <c r="N201" t="str">
        <f>IF(A201="","",IF($C$3="C0",COUNTIFS(itens_Consumidos!$A$2:$A$200,A201,itens_Consumidos!$E$2:$E$200,"&lt;&gt;"),IF($C$3="C1",COUNTIFS(itens_Consumidos!$A$2:$A$200,A201,itens_Consumidos!$G$2:$G$200,"&lt;&gt;"),IF($C$3="C2",COUNTIFS(itens_Consumidos!$A$2:$A$200,A201,itens_Consumidos!$I$2:$I$200,"&lt;&gt;"),IF($C$3="C3",COUNTIFS(itens_Consumidos!$A$2:$A$200,A201,itens_Consumidos!$K$2:$K$200,"&lt;&gt;"),IF($C$3="C4",COUNTIFS(itens_Consumidos!$A$2:$A$200,A201,itens_Consumidos!$M$2:$M$200,"&lt;&gt;"),""))))))</f>
        <v/>
      </c>
      <c r="O201" t="str">
        <f>IF(itens_Remanesc!$A190="","",COUNTIFS(aditivos!$A$2:$A$200,itens_Remanesc!$A190,aditivos!$B$2:$B$200,"&lt;="&amp;$D$5,aditivos!$L$2:$L$200,"&gt;0"))</f>
        <v/>
      </c>
    </row>
    <row r="202" spans="1:15" ht="20" customHeight="1" x14ac:dyDescent="0.35">
      <c r="A202" s="416" t="str">
        <f>IF(itens_Remanesc!$A191="","",IF(NOT(posicao_contratual!$Z191),itens_Remanesc!$A191,IF(AND(ISNUMBER($D$5),$O202&gt;0),itens_Remanesc!$A191,"")))</f>
        <v/>
      </c>
      <c r="B202" s="417" t="str">
        <f>IF(A202="","",IF(AND(posicao_contratual!$Z191,COUNTIFS(aditivos!$A$2:$A$200,itens_Remanesc!$A191,aditivos!$B$2:$B$200,"&lt;"&amp;(INT($F$3)+1),aditivos!$L$2:$L$200,"&gt;0")=0),0,IF(ISNUMBER(IF($C$3="C0",posicao_contratual!$F191,IF($C$3="C1",posicao_contratual!$J191,IF($C$3="C2",posicao_contratual!$N191,IF($C$3="C3",posicao_contratual!$R191,IF($C$3="C4",posicao_contratual!$V191,"")))))),ROUND(IF($C$3="C0",posicao_contratual!$F191,IF($C$3="C1",posicao_contratual!$J191,IF($C$3="C2",posicao_contratual!$N191,IF($C$3="C3",posicao_contratual!$R191,IF($C$3="C4",posicao_contratual!$V191,"")))))+ROUND(SUMIFS(aditivos!$L$2:$L$200,aditivos!$A$2:$A$200,A202,aditivos!$C$2:$C$200,$C$3,aditivos!$B$2:$B$200,"&lt;"&amp;(INT($F$3)+1)),2),2),IF(ROUND(SUMIFS(aditivos!$L$2:$L$200,aditivos!$A$2:$A$200,A202,aditivos!$C$2:$C$200,$C$3,aditivos!$B$2:$B$200,"&lt;"&amp;(INT($F$3)+1)),2)&gt;0,ROUND(SUMIFS(aditivos!$L$2:$L$200,aditivos!$A$2:$A$200,A202,aditivos!$C$2:$C$200,$C$3,aditivos!$B$2:$B$200,"&lt;"&amp;(INT($F$3)+1)),2),""))))</f>
        <v/>
      </c>
      <c r="C202" s="418"/>
      <c r="D202" s="417" t="str">
        <f t="shared" si="30"/>
        <v/>
      </c>
      <c r="E202" s="419" t="str">
        <f>IF(A202="","",IF($C$3="C0",historico_VU!$C191,IF($C$3="C1",historico_VU!$D191,IF($C$3="C2",historico_VU!$E191,IF($C$3="C3",historico_VU!$F191,IF($C$3="C4",historico_VU!$G191,""))))))</f>
        <v/>
      </c>
      <c r="F202" s="419" t="str">
        <f t="shared" si="31"/>
        <v/>
      </c>
      <c r="G202" s="419" t="str">
        <f t="shared" si="32"/>
        <v/>
      </c>
      <c r="I202" t="str">
        <f>IF(OR(A202="",$D$5="",$F$3=""),"",ROUND(SUMIFS(aditivos!$L$2:$L$200,aditivos!$A$2:$A$200,A202,aditivos!$B$2:$B$200,"&gt;="&amp;(INT($F$3)+1),aditivos!$B$2:$B$200,"&lt;="&amp;$D$5),2))</f>
        <v/>
      </c>
      <c r="J202" t="str">
        <f t="shared" si="33"/>
        <v/>
      </c>
      <c r="K202" t="str">
        <f t="shared" si="34"/>
        <v/>
      </c>
      <c r="L202" t="str">
        <f>IF(A202="","",IF($C$3="C0",SUMIFS(itens_Consumidos!$E$2:$E$200,itens_Consumidos!$A$2:$A$200,A202),IF($C$3="C1",SUMIFS(itens_Consumidos!$G$2:$G$200,itens_Consumidos!$A$2:$A$200,A202),IF($C$3="C2",SUMIFS(itens_Consumidos!$I$2:$I$200,itens_Consumidos!$A$2:$A$200,A202),IF($C$3="C3",SUMIFS(itens_Consumidos!$K$2:$K$200,itens_Consumidos!$A$2:$A$200,A202),IF($C$3="C4",SUMIFS(itens_Consumidos!$M$2:$M$200,itens_Consumidos!$A$2:$A$200,A202),""))))))</f>
        <v/>
      </c>
      <c r="M202" t="str">
        <f t="shared" si="35"/>
        <v/>
      </c>
      <c r="N202" t="str">
        <f>IF(A202="","",IF($C$3="C0",COUNTIFS(itens_Consumidos!$A$2:$A$200,A202,itens_Consumidos!$E$2:$E$200,"&lt;&gt;"),IF($C$3="C1",COUNTIFS(itens_Consumidos!$A$2:$A$200,A202,itens_Consumidos!$G$2:$G$200,"&lt;&gt;"),IF($C$3="C2",COUNTIFS(itens_Consumidos!$A$2:$A$200,A202,itens_Consumidos!$I$2:$I$200,"&lt;&gt;"),IF($C$3="C3",COUNTIFS(itens_Consumidos!$A$2:$A$200,A202,itens_Consumidos!$K$2:$K$200,"&lt;&gt;"),IF($C$3="C4",COUNTIFS(itens_Consumidos!$A$2:$A$200,A202,itens_Consumidos!$M$2:$M$200,"&lt;&gt;"),""))))))</f>
        <v/>
      </c>
      <c r="O202" t="str">
        <f>IF(itens_Remanesc!$A191="","",COUNTIFS(aditivos!$A$2:$A$200,itens_Remanesc!$A191,aditivos!$B$2:$B$200,"&lt;="&amp;$D$5,aditivos!$L$2:$L$200,"&gt;0"))</f>
        <v/>
      </c>
    </row>
    <row r="203" spans="1:15" ht="20" customHeight="1" x14ac:dyDescent="0.35">
      <c r="A203" s="416" t="str">
        <f>IF(itens_Remanesc!$A192="","",IF(NOT(posicao_contratual!$Z192),itens_Remanesc!$A192,IF(AND(ISNUMBER($D$5),$O203&gt;0),itens_Remanesc!$A192,"")))</f>
        <v/>
      </c>
      <c r="B203" s="417" t="str">
        <f>IF(A203="","",IF(AND(posicao_contratual!$Z192,COUNTIFS(aditivos!$A$2:$A$200,itens_Remanesc!$A192,aditivos!$B$2:$B$200,"&lt;"&amp;(INT($F$3)+1),aditivos!$L$2:$L$200,"&gt;0")=0),0,IF(ISNUMBER(IF($C$3="C0",posicao_contratual!$F192,IF($C$3="C1",posicao_contratual!$J192,IF($C$3="C2",posicao_contratual!$N192,IF($C$3="C3",posicao_contratual!$R192,IF($C$3="C4",posicao_contratual!$V192,"")))))),ROUND(IF($C$3="C0",posicao_contratual!$F192,IF($C$3="C1",posicao_contratual!$J192,IF($C$3="C2",posicao_contratual!$N192,IF($C$3="C3",posicao_contratual!$R192,IF($C$3="C4",posicao_contratual!$V192,"")))))+ROUND(SUMIFS(aditivos!$L$2:$L$200,aditivos!$A$2:$A$200,A203,aditivos!$C$2:$C$200,$C$3,aditivos!$B$2:$B$200,"&lt;"&amp;(INT($F$3)+1)),2),2),IF(ROUND(SUMIFS(aditivos!$L$2:$L$200,aditivos!$A$2:$A$200,A203,aditivos!$C$2:$C$200,$C$3,aditivos!$B$2:$B$200,"&lt;"&amp;(INT($F$3)+1)),2)&gt;0,ROUND(SUMIFS(aditivos!$L$2:$L$200,aditivos!$A$2:$A$200,A203,aditivos!$C$2:$C$200,$C$3,aditivos!$B$2:$B$200,"&lt;"&amp;(INT($F$3)+1)),2),""))))</f>
        <v/>
      </c>
      <c r="C203" s="418"/>
      <c r="D203" s="417" t="str">
        <f t="shared" si="30"/>
        <v/>
      </c>
      <c r="E203" s="419" t="str">
        <f>IF(A203="","",IF($C$3="C0",historico_VU!$C192,IF($C$3="C1",historico_VU!$D192,IF($C$3="C2",historico_VU!$E192,IF($C$3="C3",historico_VU!$F192,IF($C$3="C4",historico_VU!$G192,""))))))</f>
        <v/>
      </c>
      <c r="F203" s="419" t="str">
        <f t="shared" si="31"/>
        <v/>
      </c>
      <c r="G203" s="419" t="str">
        <f t="shared" si="32"/>
        <v/>
      </c>
      <c r="I203" t="str">
        <f>IF(OR(A203="",$D$5="",$F$3=""),"",ROUND(SUMIFS(aditivos!$L$2:$L$200,aditivos!$A$2:$A$200,A203,aditivos!$B$2:$B$200,"&gt;="&amp;(INT($F$3)+1),aditivos!$B$2:$B$200,"&lt;="&amp;$D$5),2))</f>
        <v/>
      </c>
      <c r="J203" t="str">
        <f t="shared" si="33"/>
        <v/>
      </c>
      <c r="K203" t="str">
        <f t="shared" si="34"/>
        <v/>
      </c>
      <c r="L203" t="str">
        <f>IF(A203="","",IF($C$3="C0",SUMIFS(itens_Consumidos!$E$2:$E$200,itens_Consumidos!$A$2:$A$200,A203),IF($C$3="C1",SUMIFS(itens_Consumidos!$G$2:$G$200,itens_Consumidos!$A$2:$A$200,A203),IF($C$3="C2",SUMIFS(itens_Consumidos!$I$2:$I$200,itens_Consumidos!$A$2:$A$200,A203),IF($C$3="C3",SUMIFS(itens_Consumidos!$K$2:$K$200,itens_Consumidos!$A$2:$A$200,A203),IF($C$3="C4",SUMIFS(itens_Consumidos!$M$2:$M$200,itens_Consumidos!$A$2:$A$200,A203),""))))))</f>
        <v/>
      </c>
      <c r="M203" t="str">
        <f t="shared" si="35"/>
        <v/>
      </c>
      <c r="N203" t="str">
        <f>IF(A203="","",IF($C$3="C0",COUNTIFS(itens_Consumidos!$A$2:$A$200,A203,itens_Consumidos!$E$2:$E$200,"&lt;&gt;"),IF($C$3="C1",COUNTIFS(itens_Consumidos!$A$2:$A$200,A203,itens_Consumidos!$G$2:$G$200,"&lt;&gt;"),IF($C$3="C2",COUNTIFS(itens_Consumidos!$A$2:$A$200,A203,itens_Consumidos!$I$2:$I$200,"&lt;&gt;"),IF($C$3="C3",COUNTIFS(itens_Consumidos!$A$2:$A$200,A203,itens_Consumidos!$K$2:$K$200,"&lt;&gt;"),IF($C$3="C4",COUNTIFS(itens_Consumidos!$A$2:$A$200,A203,itens_Consumidos!$M$2:$M$200,"&lt;&gt;"),""))))))</f>
        <v/>
      </c>
      <c r="O203" t="str">
        <f>IF(itens_Remanesc!$A192="","",COUNTIFS(aditivos!$A$2:$A$200,itens_Remanesc!$A192,aditivos!$B$2:$B$200,"&lt;="&amp;$D$5,aditivos!$L$2:$L$200,"&gt;0"))</f>
        <v/>
      </c>
    </row>
    <row r="204" spans="1:15" ht="20" customHeight="1" x14ac:dyDescent="0.35">
      <c r="A204" s="416" t="str">
        <f>IF(itens_Remanesc!$A193="","",IF(NOT(posicao_contratual!$Z193),itens_Remanesc!$A193,IF(AND(ISNUMBER($D$5),$O204&gt;0),itens_Remanesc!$A193,"")))</f>
        <v/>
      </c>
      <c r="B204" s="417" t="str">
        <f>IF(A204="","",IF(AND(posicao_contratual!$Z193,COUNTIFS(aditivos!$A$2:$A$200,itens_Remanesc!$A193,aditivos!$B$2:$B$200,"&lt;"&amp;(INT($F$3)+1),aditivos!$L$2:$L$200,"&gt;0")=0),0,IF(ISNUMBER(IF($C$3="C0",posicao_contratual!$F193,IF($C$3="C1",posicao_contratual!$J193,IF($C$3="C2",posicao_contratual!$N193,IF($C$3="C3",posicao_contratual!$R193,IF($C$3="C4",posicao_contratual!$V193,"")))))),ROUND(IF($C$3="C0",posicao_contratual!$F193,IF($C$3="C1",posicao_contratual!$J193,IF($C$3="C2",posicao_contratual!$N193,IF($C$3="C3",posicao_contratual!$R193,IF($C$3="C4",posicao_contratual!$V193,"")))))+ROUND(SUMIFS(aditivos!$L$2:$L$200,aditivos!$A$2:$A$200,A204,aditivos!$C$2:$C$200,$C$3,aditivos!$B$2:$B$200,"&lt;"&amp;(INT($F$3)+1)),2),2),IF(ROUND(SUMIFS(aditivos!$L$2:$L$200,aditivos!$A$2:$A$200,A204,aditivos!$C$2:$C$200,$C$3,aditivos!$B$2:$B$200,"&lt;"&amp;(INT($F$3)+1)),2)&gt;0,ROUND(SUMIFS(aditivos!$L$2:$L$200,aditivos!$A$2:$A$200,A204,aditivos!$C$2:$C$200,$C$3,aditivos!$B$2:$B$200,"&lt;"&amp;(INT($F$3)+1)),2),""))))</f>
        <v/>
      </c>
      <c r="C204" s="418"/>
      <c r="D204" s="417" t="str">
        <f t="shared" si="30"/>
        <v/>
      </c>
      <c r="E204" s="419" t="str">
        <f>IF(A204="","",IF($C$3="C0",historico_VU!$C193,IF($C$3="C1",historico_VU!$D193,IF($C$3="C2",historico_VU!$E193,IF($C$3="C3",historico_VU!$F193,IF($C$3="C4",historico_VU!$G193,""))))))</f>
        <v/>
      </c>
      <c r="F204" s="419" t="str">
        <f t="shared" si="31"/>
        <v/>
      </c>
      <c r="G204" s="419" t="str">
        <f t="shared" si="32"/>
        <v/>
      </c>
      <c r="I204" t="str">
        <f>IF(OR(A204="",$D$5="",$F$3=""),"",ROUND(SUMIFS(aditivos!$L$2:$L$200,aditivos!$A$2:$A$200,A204,aditivos!$B$2:$B$200,"&gt;="&amp;(INT($F$3)+1),aditivos!$B$2:$B$200,"&lt;="&amp;$D$5),2))</f>
        <v/>
      </c>
      <c r="J204" t="str">
        <f t="shared" si="33"/>
        <v/>
      </c>
      <c r="K204" t="str">
        <f t="shared" si="34"/>
        <v/>
      </c>
      <c r="L204" t="str">
        <f>IF(A204="","",IF($C$3="C0",SUMIFS(itens_Consumidos!$E$2:$E$200,itens_Consumidos!$A$2:$A$200,A204),IF($C$3="C1",SUMIFS(itens_Consumidos!$G$2:$G$200,itens_Consumidos!$A$2:$A$200,A204),IF($C$3="C2",SUMIFS(itens_Consumidos!$I$2:$I$200,itens_Consumidos!$A$2:$A$200,A204),IF($C$3="C3",SUMIFS(itens_Consumidos!$K$2:$K$200,itens_Consumidos!$A$2:$A$200,A204),IF($C$3="C4",SUMIFS(itens_Consumidos!$M$2:$M$200,itens_Consumidos!$A$2:$A$200,A204),""))))))</f>
        <v/>
      </c>
      <c r="M204" t="str">
        <f t="shared" si="35"/>
        <v/>
      </c>
      <c r="N204" t="str">
        <f>IF(A204="","",IF($C$3="C0",COUNTIFS(itens_Consumidos!$A$2:$A$200,A204,itens_Consumidos!$E$2:$E$200,"&lt;&gt;"),IF($C$3="C1",COUNTIFS(itens_Consumidos!$A$2:$A$200,A204,itens_Consumidos!$G$2:$G$200,"&lt;&gt;"),IF($C$3="C2",COUNTIFS(itens_Consumidos!$A$2:$A$200,A204,itens_Consumidos!$I$2:$I$200,"&lt;&gt;"),IF($C$3="C3",COUNTIFS(itens_Consumidos!$A$2:$A$200,A204,itens_Consumidos!$K$2:$K$200,"&lt;&gt;"),IF($C$3="C4",COUNTIFS(itens_Consumidos!$A$2:$A$200,A204,itens_Consumidos!$M$2:$M$200,"&lt;&gt;"),""))))))</f>
        <v/>
      </c>
      <c r="O204" t="str">
        <f>IF(itens_Remanesc!$A193="","",COUNTIFS(aditivos!$A$2:$A$200,itens_Remanesc!$A193,aditivos!$B$2:$B$200,"&lt;="&amp;$D$5,aditivos!$L$2:$L$200,"&gt;0"))</f>
        <v/>
      </c>
    </row>
    <row r="205" spans="1:15" ht="20" customHeight="1" x14ac:dyDescent="0.35">
      <c r="A205" s="416" t="str">
        <f>IF(itens_Remanesc!$A194="","",IF(NOT(posicao_contratual!$Z194),itens_Remanesc!$A194,IF(AND(ISNUMBER($D$5),$O205&gt;0),itens_Remanesc!$A194,"")))</f>
        <v/>
      </c>
      <c r="B205" s="417" t="str">
        <f>IF(A205="","",IF(AND(posicao_contratual!$Z194,COUNTIFS(aditivos!$A$2:$A$200,itens_Remanesc!$A194,aditivos!$B$2:$B$200,"&lt;"&amp;(INT($F$3)+1),aditivos!$L$2:$L$200,"&gt;0")=0),0,IF(ISNUMBER(IF($C$3="C0",posicao_contratual!$F194,IF($C$3="C1",posicao_contratual!$J194,IF($C$3="C2",posicao_contratual!$N194,IF($C$3="C3",posicao_contratual!$R194,IF($C$3="C4",posicao_contratual!$V194,"")))))),ROUND(IF($C$3="C0",posicao_contratual!$F194,IF($C$3="C1",posicao_contratual!$J194,IF($C$3="C2",posicao_contratual!$N194,IF($C$3="C3",posicao_contratual!$R194,IF($C$3="C4",posicao_contratual!$V194,"")))))+ROUND(SUMIFS(aditivos!$L$2:$L$200,aditivos!$A$2:$A$200,A205,aditivos!$C$2:$C$200,$C$3,aditivos!$B$2:$B$200,"&lt;"&amp;(INT($F$3)+1)),2),2),IF(ROUND(SUMIFS(aditivos!$L$2:$L$200,aditivos!$A$2:$A$200,A205,aditivos!$C$2:$C$200,$C$3,aditivos!$B$2:$B$200,"&lt;"&amp;(INT($F$3)+1)),2)&gt;0,ROUND(SUMIFS(aditivos!$L$2:$L$200,aditivos!$A$2:$A$200,A205,aditivos!$C$2:$C$200,$C$3,aditivos!$B$2:$B$200,"&lt;"&amp;(INT($F$3)+1)),2),""))))</f>
        <v/>
      </c>
      <c r="C205" s="418"/>
      <c r="D205" s="417" t="str">
        <f t="shared" ref="D205:D236" si="36">IF(OR(A205="",$D$5="",C205=""),"",ROUND(B205+I205-C205,2))</f>
        <v/>
      </c>
      <c r="E205" s="419" t="str">
        <f>IF(A205="","",IF($C$3="C0",historico_VU!$C194,IF($C$3="C1",historico_VU!$D194,IF($C$3="C2",historico_VU!$E194,IF($C$3="C3",historico_VU!$F194,IF($C$3="C4",historico_VU!$G194,""))))))</f>
        <v/>
      </c>
      <c r="F205" s="419" t="str">
        <f t="shared" ref="F205:F236" si="37">IF(OR(D205="",E205=""),"",ROUND(D205*E205,2))</f>
        <v/>
      </c>
      <c r="G205" s="419" t="str">
        <f t="shared" ref="G205:G211" si="38">IF(OR(C205="",E205=""),"",ROUND(C205*E205,2))</f>
        <v/>
      </c>
      <c r="I205" t="str">
        <f>IF(OR(A205="",$D$5="",$F$3=""),"",ROUND(SUMIFS(aditivos!$L$2:$L$200,aditivos!$A$2:$A$200,A205,aditivos!$B$2:$B$200,"&gt;="&amp;(INT($F$3)+1),aditivos!$B$2:$B$200,"&lt;="&amp;$D$5),2))</f>
        <v/>
      </c>
      <c r="J205" t="str">
        <f t="shared" ref="J205:J236" si="39">IF(OR(A205="",D205="",C205="",I205=""),"",ROUND(B205+I205-D205-C205,2))</f>
        <v/>
      </c>
      <c r="K205" t="str">
        <f t="shared" ref="K205:K236" si="40">IF(A205="","",IF(OR(NOT(ISNUMBER($D$5)),NOT(ISNUMBER($F$3)),NOT(ISNUMBER($H$3)),$D$5&lt;$F$3,$D$5&gt;$H$3),"ERRO: DATA FORA DO CICLO",IF(COUNTIF($A$13:$A$211,A205)&gt;1,"ERRO: ITEM DUPLICADO",IF(NOT(ISNUMBER(B205)),"INCOMPLETO: REMANESCENTE INICIAL",IF(C205="","INCOMPLETO: QTD ATUAL",IF(OR(NOT(ISNUMBER(C205)),C205&lt;0),"ERRO: QTD INVALIDA",IF(NOT(ISNUMBER(I205)),"INCOMPLETO: ADITIVOS",IF(C205&gt;B205+I205,"ERRO: REMANESCENTE SUPERA DISPONIVEL",IF(D205&lt;0,"ERRO: CONSUMO NEGATIVO",IF(NOT(ISNUMBER(E205)),"INCOMPLETO: VU",IF(ABS(J205)&gt;0.005,"ERRO: CHECK FISICO","OK")))))))))))</f>
        <v/>
      </c>
      <c r="L205" t="str">
        <f>IF(A205="","",IF($C$3="C0",SUMIFS(itens_Consumidos!$E$2:$E$200,itens_Consumidos!$A$2:$A$200,A205),IF($C$3="C1",SUMIFS(itens_Consumidos!$G$2:$G$200,itens_Consumidos!$A$2:$A$200,A205),IF($C$3="C2",SUMIFS(itens_Consumidos!$I$2:$I$200,itens_Consumidos!$A$2:$A$200,A205),IF($C$3="C3",SUMIFS(itens_Consumidos!$K$2:$K$200,itens_Consumidos!$A$2:$A$200,A205),IF($C$3="C4",SUMIFS(itens_Consumidos!$M$2:$M$200,itens_Consumidos!$A$2:$A$200,A205),""))))))</f>
        <v/>
      </c>
      <c r="M205" t="str">
        <f t="shared" ref="M205:M236" si="41">IF(OR(A205="",D205="",N205=0),"",ROUND(D205-L205,2))</f>
        <v/>
      </c>
      <c r="N205" t="str">
        <f>IF(A205="","",IF($C$3="C0",COUNTIFS(itens_Consumidos!$A$2:$A$200,A205,itens_Consumidos!$E$2:$E$200,"&lt;&gt;"),IF($C$3="C1",COUNTIFS(itens_Consumidos!$A$2:$A$200,A205,itens_Consumidos!$G$2:$G$200,"&lt;&gt;"),IF($C$3="C2",COUNTIFS(itens_Consumidos!$A$2:$A$200,A205,itens_Consumidos!$I$2:$I$200,"&lt;&gt;"),IF($C$3="C3",COUNTIFS(itens_Consumidos!$A$2:$A$200,A205,itens_Consumidos!$K$2:$K$200,"&lt;&gt;"),IF($C$3="C4",COUNTIFS(itens_Consumidos!$A$2:$A$200,A205,itens_Consumidos!$M$2:$M$200,"&lt;&gt;"),""))))))</f>
        <v/>
      </c>
      <c r="O205" t="str">
        <f>IF(itens_Remanesc!$A194="","",COUNTIFS(aditivos!$A$2:$A$200,itens_Remanesc!$A194,aditivos!$B$2:$B$200,"&lt;="&amp;$D$5,aditivos!$L$2:$L$200,"&gt;0"))</f>
        <v/>
      </c>
    </row>
    <row r="206" spans="1:15" ht="20" customHeight="1" x14ac:dyDescent="0.35">
      <c r="A206" s="416" t="str">
        <f>IF(itens_Remanesc!$A195="","",IF(NOT(posicao_contratual!$Z195),itens_Remanesc!$A195,IF(AND(ISNUMBER($D$5),$O206&gt;0),itens_Remanesc!$A195,"")))</f>
        <v/>
      </c>
      <c r="B206" s="417" t="str">
        <f>IF(A206="","",IF(AND(posicao_contratual!$Z195,COUNTIFS(aditivos!$A$2:$A$200,itens_Remanesc!$A195,aditivos!$B$2:$B$200,"&lt;"&amp;(INT($F$3)+1),aditivos!$L$2:$L$200,"&gt;0")=0),0,IF(ISNUMBER(IF($C$3="C0",posicao_contratual!$F195,IF($C$3="C1",posicao_contratual!$J195,IF($C$3="C2",posicao_contratual!$N195,IF($C$3="C3",posicao_contratual!$R195,IF($C$3="C4",posicao_contratual!$V195,"")))))),ROUND(IF($C$3="C0",posicao_contratual!$F195,IF($C$3="C1",posicao_contratual!$J195,IF($C$3="C2",posicao_contratual!$N195,IF($C$3="C3",posicao_contratual!$R195,IF($C$3="C4",posicao_contratual!$V195,"")))))+ROUND(SUMIFS(aditivos!$L$2:$L$200,aditivos!$A$2:$A$200,A206,aditivos!$C$2:$C$200,$C$3,aditivos!$B$2:$B$200,"&lt;"&amp;(INT($F$3)+1)),2),2),IF(ROUND(SUMIFS(aditivos!$L$2:$L$200,aditivos!$A$2:$A$200,A206,aditivos!$C$2:$C$200,$C$3,aditivos!$B$2:$B$200,"&lt;"&amp;(INT($F$3)+1)),2)&gt;0,ROUND(SUMIFS(aditivos!$L$2:$L$200,aditivos!$A$2:$A$200,A206,aditivos!$C$2:$C$200,$C$3,aditivos!$B$2:$B$200,"&lt;"&amp;(INT($F$3)+1)),2),""))))</f>
        <v/>
      </c>
      <c r="C206" s="418"/>
      <c r="D206" s="417" t="str">
        <f t="shared" si="36"/>
        <v/>
      </c>
      <c r="E206" s="419" t="str">
        <f>IF(A206="","",IF($C$3="C0",historico_VU!$C195,IF($C$3="C1",historico_VU!$D195,IF($C$3="C2",historico_VU!$E195,IF($C$3="C3",historico_VU!$F195,IF($C$3="C4",historico_VU!$G195,""))))))</f>
        <v/>
      </c>
      <c r="F206" s="419" t="str">
        <f t="shared" si="37"/>
        <v/>
      </c>
      <c r="G206" s="419" t="str">
        <f t="shared" si="38"/>
        <v/>
      </c>
      <c r="I206" t="str">
        <f>IF(OR(A206="",$D$5="",$F$3=""),"",ROUND(SUMIFS(aditivos!$L$2:$L$200,aditivos!$A$2:$A$200,A206,aditivos!$B$2:$B$200,"&gt;="&amp;(INT($F$3)+1),aditivos!$B$2:$B$200,"&lt;="&amp;$D$5),2))</f>
        <v/>
      </c>
      <c r="J206" t="str">
        <f t="shared" si="39"/>
        <v/>
      </c>
      <c r="K206" t="str">
        <f t="shared" si="40"/>
        <v/>
      </c>
      <c r="L206" t="str">
        <f>IF(A206="","",IF($C$3="C0",SUMIFS(itens_Consumidos!$E$2:$E$200,itens_Consumidos!$A$2:$A$200,A206),IF($C$3="C1",SUMIFS(itens_Consumidos!$G$2:$G$200,itens_Consumidos!$A$2:$A$200,A206),IF($C$3="C2",SUMIFS(itens_Consumidos!$I$2:$I$200,itens_Consumidos!$A$2:$A$200,A206),IF($C$3="C3",SUMIFS(itens_Consumidos!$K$2:$K$200,itens_Consumidos!$A$2:$A$200,A206),IF($C$3="C4",SUMIFS(itens_Consumidos!$M$2:$M$200,itens_Consumidos!$A$2:$A$200,A206),""))))))</f>
        <v/>
      </c>
      <c r="M206" t="str">
        <f t="shared" si="41"/>
        <v/>
      </c>
      <c r="N206" t="str">
        <f>IF(A206="","",IF($C$3="C0",COUNTIFS(itens_Consumidos!$A$2:$A$200,A206,itens_Consumidos!$E$2:$E$200,"&lt;&gt;"),IF($C$3="C1",COUNTIFS(itens_Consumidos!$A$2:$A$200,A206,itens_Consumidos!$G$2:$G$200,"&lt;&gt;"),IF($C$3="C2",COUNTIFS(itens_Consumidos!$A$2:$A$200,A206,itens_Consumidos!$I$2:$I$200,"&lt;&gt;"),IF($C$3="C3",COUNTIFS(itens_Consumidos!$A$2:$A$200,A206,itens_Consumidos!$K$2:$K$200,"&lt;&gt;"),IF($C$3="C4",COUNTIFS(itens_Consumidos!$A$2:$A$200,A206,itens_Consumidos!$M$2:$M$200,"&lt;&gt;"),""))))))</f>
        <v/>
      </c>
      <c r="O206" t="str">
        <f>IF(itens_Remanesc!$A195="","",COUNTIFS(aditivos!$A$2:$A$200,itens_Remanesc!$A195,aditivos!$B$2:$B$200,"&lt;="&amp;$D$5,aditivos!$L$2:$L$200,"&gt;0"))</f>
        <v/>
      </c>
    </row>
    <row r="207" spans="1:15" ht="20" customHeight="1" x14ac:dyDescent="0.35">
      <c r="A207" s="416" t="str">
        <f>IF(itens_Remanesc!$A196="","",IF(NOT(posicao_contratual!$Z196),itens_Remanesc!$A196,IF(AND(ISNUMBER($D$5),$O207&gt;0),itens_Remanesc!$A196,"")))</f>
        <v/>
      </c>
      <c r="B207" s="417" t="str">
        <f>IF(A207="","",IF(AND(posicao_contratual!$Z196,COUNTIFS(aditivos!$A$2:$A$200,itens_Remanesc!$A196,aditivos!$B$2:$B$200,"&lt;"&amp;(INT($F$3)+1),aditivos!$L$2:$L$200,"&gt;0")=0),0,IF(ISNUMBER(IF($C$3="C0",posicao_contratual!$F196,IF($C$3="C1",posicao_contratual!$J196,IF($C$3="C2",posicao_contratual!$N196,IF($C$3="C3",posicao_contratual!$R196,IF($C$3="C4",posicao_contratual!$V196,"")))))),ROUND(IF($C$3="C0",posicao_contratual!$F196,IF($C$3="C1",posicao_contratual!$J196,IF($C$3="C2",posicao_contratual!$N196,IF($C$3="C3",posicao_contratual!$R196,IF($C$3="C4",posicao_contratual!$V196,"")))))+ROUND(SUMIFS(aditivos!$L$2:$L$200,aditivos!$A$2:$A$200,A207,aditivos!$C$2:$C$200,$C$3,aditivos!$B$2:$B$200,"&lt;"&amp;(INT($F$3)+1)),2),2),IF(ROUND(SUMIFS(aditivos!$L$2:$L$200,aditivos!$A$2:$A$200,A207,aditivos!$C$2:$C$200,$C$3,aditivos!$B$2:$B$200,"&lt;"&amp;(INT($F$3)+1)),2)&gt;0,ROUND(SUMIFS(aditivos!$L$2:$L$200,aditivos!$A$2:$A$200,A207,aditivos!$C$2:$C$200,$C$3,aditivos!$B$2:$B$200,"&lt;"&amp;(INT($F$3)+1)),2),""))))</f>
        <v/>
      </c>
      <c r="C207" s="418"/>
      <c r="D207" s="417" t="str">
        <f t="shared" si="36"/>
        <v/>
      </c>
      <c r="E207" s="419" t="str">
        <f>IF(A207="","",IF($C$3="C0",historico_VU!$C196,IF($C$3="C1",historico_VU!$D196,IF($C$3="C2",historico_VU!$E196,IF($C$3="C3",historico_VU!$F196,IF($C$3="C4",historico_VU!$G196,""))))))</f>
        <v/>
      </c>
      <c r="F207" s="419" t="str">
        <f t="shared" si="37"/>
        <v/>
      </c>
      <c r="G207" s="419" t="str">
        <f t="shared" si="38"/>
        <v/>
      </c>
      <c r="I207" t="str">
        <f>IF(OR(A207="",$D$5="",$F$3=""),"",ROUND(SUMIFS(aditivos!$L$2:$L$200,aditivos!$A$2:$A$200,A207,aditivos!$B$2:$B$200,"&gt;="&amp;(INT($F$3)+1),aditivos!$B$2:$B$200,"&lt;="&amp;$D$5),2))</f>
        <v/>
      </c>
      <c r="J207" t="str">
        <f t="shared" si="39"/>
        <v/>
      </c>
      <c r="K207" t="str">
        <f t="shared" si="40"/>
        <v/>
      </c>
      <c r="L207" t="str">
        <f>IF(A207="","",IF($C$3="C0",SUMIFS(itens_Consumidos!$E$2:$E$200,itens_Consumidos!$A$2:$A$200,A207),IF($C$3="C1",SUMIFS(itens_Consumidos!$G$2:$G$200,itens_Consumidos!$A$2:$A$200,A207),IF($C$3="C2",SUMIFS(itens_Consumidos!$I$2:$I$200,itens_Consumidos!$A$2:$A$200,A207),IF($C$3="C3",SUMIFS(itens_Consumidos!$K$2:$K$200,itens_Consumidos!$A$2:$A$200,A207),IF($C$3="C4",SUMIFS(itens_Consumidos!$M$2:$M$200,itens_Consumidos!$A$2:$A$200,A207),""))))))</f>
        <v/>
      </c>
      <c r="M207" t="str">
        <f t="shared" si="41"/>
        <v/>
      </c>
      <c r="N207" t="str">
        <f>IF(A207="","",IF($C$3="C0",COUNTIFS(itens_Consumidos!$A$2:$A$200,A207,itens_Consumidos!$E$2:$E$200,"&lt;&gt;"),IF($C$3="C1",COUNTIFS(itens_Consumidos!$A$2:$A$200,A207,itens_Consumidos!$G$2:$G$200,"&lt;&gt;"),IF($C$3="C2",COUNTIFS(itens_Consumidos!$A$2:$A$200,A207,itens_Consumidos!$I$2:$I$200,"&lt;&gt;"),IF($C$3="C3",COUNTIFS(itens_Consumidos!$A$2:$A$200,A207,itens_Consumidos!$K$2:$K$200,"&lt;&gt;"),IF($C$3="C4",COUNTIFS(itens_Consumidos!$A$2:$A$200,A207,itens_Consumidos!$M$2:$M$200,"&lt;&gt;"),""))))))</f>
        <v/>
      </c>
      <c r="O207" t="str">
        <f>IF(itens_Remanesc!$A196="","",COUNTIFS(aditivos!$A$2:$A$200,itens_Remanesc!$A196,aditivos!$B$2:$B$200,"&lt;="&amp;$D$5,aditivos!$L$2:$L$200,"&gt;0"))</f>
        <v/>
      </c>
    </row>
    <row r="208" spans="1:15" ht="20" customHeight="1" x14ac:dyDescent="0.35">
      <c r="A208" s="416" t="str">
        <f>IF(itens_Remanesc!$A197="","",IF(NOT(posicao_contratual!$Z197),itens_Remanesc!$A197,IF(AND(ISNUMBER($D$5),$O208&gt;0),itens_Remanesc!$A197,"")))</f>
        <v/>
      </c>
      <c r="B208" s="417" t="str">
        <f>IF(A208="","",IF(AND(posicao_contratual!$Z197,COUNTIFS(aditivos!$A$2:$A$200,itens_Remanesc!$A197,aditivos!$B$2:$B$200,"&lt;"&amp;(INT($F$3)+1),aditivos!$L$2:$L$200,"&gt;0")=0),0,IF(ISNUMBER(IF($C$3="C0",posicao_contratual!$F197,IF($C$3="C1",posicao_contratual!$J197,IF($C$3="C2",posicao_contratual!$N197,IF($C$3="C3",posicao_contratual!$R197,IF($C$3="C4",posicao_contratual!$V197,"")))))),ROUND(IF($C$3="C0",posicao_contratual!$F197,IF($C$3="C1",posicao_contratual!$J197,IF($C$3="C2",posicao_contratual!$N197,IF($C$3="C3",posicao_contratual!$R197,IF($C$3="C4",posicao_contratual!$V197,"")))))+ROUND(SUMIFS(aditivos!$L$2:$L$200,aditivos!$A$2:$A$200,A208,aditivos!$C$2:$C$200,$C$3,aditivos!$B$2:$B$200,"&lt;"&amp;(INT($F$3)+1)),2),2),IF(ROUND(SUMIFS(aditivos!$L$2:$L$200,aditivos!$A$2:$A$200,A208,aditivos!$C$2:$C$200,$C$3,aditivos!$B$2:$B$200,"&lt;"&amp;(INT($F$3)+1)),2)&gt;0,ROUND(SUMIFS(aditivos!$L$2:$L$200,aditivos!$A$2:$A$200,A208,aditivos!$C$2:$C$200,$C$3,aditivos!$B$2:$B$200,"&lt;"&amp;(INT($F$3)+1)),2),""))))</f>
        <v/>
      </c>
      <c r="C208" s="418"/>
      <c r="D208" s="417" t="str">
        <f t="shared" si="36"/>
        <v/>
      </c>
      <c r="E208" s="419" t="str">
        <f>IF(A208="","",IF($C$3="C0",historico_VU!$C197,IF($C$3="C1",historico_VU!$D197,IF($C$3="C2",historico_VU!$E197,IF($C$3="C3",historico_VU!$F197,IF($C$3="C4",historico_VU!$G197,""))))))</f>
        <v/>
      </c>
      <c r="F208" s="419" t="str">
        <f t="shared" si="37"/>
        <v/>
      </c>
      <c r="G208" s="419" t="str">
        <f t="shared" si="38"/>
        <v/>
      </c>
      <c r="I208" t="str">
        <f>IF(OR(A208="",$D$5="",$F$3=""),"",ROUND(SUMIFS(aditivos!$L$2:$L$200,aditivos!$A$2:$A$200,A208,aditivos!$B$2:$B$200,"&gt;="&amp;(INT($F$3)+1),aditivos!$B$2:$B$200,"&lt;="&amp;$D$5),2))</f>
        <v/>
      </c>
      <c r="J208" t="str">
        <f t="shared" si="39"/>
        <v/>
      </c>
      <c r="K208" t="str">
        <f t="shared" si="40"/>
        <v/>
      </c>
      <c r="L208" t="str">
        <f>IF(A208="","",IF($C$3="C0",SUMIFS(itens_Consumidos!$E$2:$E$200,itens_Consumidos!$A$2:$A$200,A208),IF($C$3="C1",SUMIFS(itens_Consumidos!$G$2:$G$200,itens_Consumidos!$A$2:$A$200,A208),IF($C$3="C2",SUMIFS(itens_Consumidos!$I$2:$I$200,itens_Consumidos!$A$2:$A$200,A208),IF($C$3="C3",SUMIFS(itens_Consumidos!$K$2:$K$200,itens_Consumidos!$A$2:$A$200,A208),IF($C$3="C4",SUMIFS(itens_Consumidos!$M$2:$M$200,itens_Consumidos!$A$2:$A$200,A208),""))))))</f>
        <v/>
      </c>
      <c r="M208" t="str">
        <f t="shared" si="41"/>
        <v/>
      </c>
      <c r="N208" t="str">
        <f>IF(A208="","",IF($C$3="C0",COUNTIFS(itens_Consumidos!$A$2:$A$200,A208,itens_Consumidos!$E$2:$E$200,"&lt;&gt;"),IF($C$3="C1",COUNTIFS(itens_Consumidos!$A$2:$A$200,A208,itens_Consumidos!$G$2:$G$200,"&lt;&gt;"),IF($C$3="C2",COUNTIFS(itens_Consumidos!$A$2:$A$200,A208,itens_Consumidos!$I$2:$I$200,"&lt;&gt;"),IF($C$3="C3",COUNTIFS(itens_Consumidos!$A$2:$A$200,A208,itens_Consumidos!$K$2:$K$200,"&lt;&gt;"),IF($C$3="C4",COUNTIFS(itens_Consumidos!$A$2:$A$200,A208,itens_Consumidos!$M$2:$M$200,"&lt;&gt;"),""))))))</f>
        <v/>
      </c>
      <c r="O208" t="str">
        <f>IF(itens_Remanesc!$A197="","",COUNTIFS(aditivos!$A$2:$A$200,itens_Remanesc!$A197,aditivos!$B$2:$B$200,"&lt;="&amp;$D$5,aditivos!$L$2:$L$200,"&gt;0"))</f>
        <v/>
      </c>
    </row>
    <row r="209" spans="1:15" ht="20" customHeight="1" x14ac:dyDescent="0.35">
      <c r="A209" s="416" t="str">
        <f>IF(itens_Remanesc!$A198="","",IF(NOT(posicao_contratual!$Z198),itens_Remanesc!$A198,IF(AND(ISNUMBER($D$5),$O209&gt;0),itens_Remanesc!$A198,"")))</f>
        <v/>
      </c>
      <c r="B209" s="417" t="str">
        <f>IF(A209="","",IF(AND(posicao_contratual!$Z198,COUNTIFS(aditivos!$A$2:$A$200,itens_Remanesc!$A198,aditivos!$B$2:$B$200,"&lt;"&amp;(INT($F$3)+1),aditivos!$L$2:$L$200,"&gt;0")=0),0,IF(ISNUMBER(IF($C$3="C0",posicao_contratual!$F198,IF($C$3="C1",posicao_contratual!$J198,IF($C$3="C2",posicao_contratual!$N198,IF($C$3="C3",posicao_contratual!$R198,IF($C$3="C4",posicao_contratual!$V198,"")))))),ROUND(IF($C$3="C0",posicao_contratual!$F198,IF($C$3="C1",posicao_contratual!$J198,IF($C$3="C2",posicao_contratual!$N198,IF($C$3="C3",posicao_contratual!$R198,IF($C$3="C4",posicao_contratual!$V198,"")))))+ROUND(SUMIFS(aditivos!$L$2:$L$200,aditivos!$A$2:$A$200,A209,aditivos!$C$2:$C$200,$C$3,aditivos!$B$2:$B$200,"&lt;"&amp;(INT($F$3)+1)),2),2),IF(ROUND(SUMIFS(aditivos!$L$2:$L$200,aditivos!$A$2:$A$200,A209,aditivos!$C$2:$C$200,$C$3,aditivos!$B$2:$B$200,"&lt;"&amp;(INT($F$3)+1)),2)&gt;0,ROUND(SUMIFS(aditivos!$L$2:$L$200,aditivos!$A$2:$A$200,A209,aditivos!$C$2:$C$200,$C$3,aditivos!$B$2:$B$200,"&lt;"&amp;(INT($F$3)+1)),2),""))))</f>
        <v/>
      </c>
      <c r="C209" s="418"/>
      <c r="D209" s="417" t="str">
        <f t="shared" si="36"/>
        <v/>
      </c>
      <c r="E209" s="419" t="str">
        <f>IF(A209="","",IF($C$3="C0",historico_VU!$C198,IF($C$3="C1",historico_VU!$D198,IF($C$3="C2",historico_VU!$E198,IF($C$3="C3",historico_VU!$F198,IF($C$3="C4",historico_VU!$G198,""))))))</f>
        <v/>
      </c>
      <c r="F209" s="419" t="str">
        <f t="shared" si="37"/>
        <v/>
      </c>
      <c r="G209" s="419" t="str">
        <f t="shared" si="38"/>
        <v/>
      </c>
      <c r="I209" t="str">
        <f>IF(OR(A209="",$D$5="",$F$3=""),"",ROUND(SUMIFS(aditivos!$L$2:$L$200,aditivos!$A$2:$A$200,A209,aditivos!$B$2:$B$200,"&gt;="&amp;(INT($F$3)+1),aditivos!$B$2:$B$200,"&lt;="&amp;$D$5),2))</f>
        <v/>
      </c>
      <c r="J209" t="str">
        <f t="shared" si="39"/>
        <v/>
      </c>
      <c r="K209" t="str">
        <f t="shared" si="40"/>
        <v/>
      </c>
      <c r="L209" t="str">
        <f>IF(A209="","",IF($C$3="C0",SUMIFS(itens_Consumidos!$E$2:$E$200,itens_Consumidos!$A$2:$A$200,A209),IF($C$3="C1",SUMIFS(itens_Consumidos!$G$2:$G$200,itens_Consumidos!$A$2:$A$200,A209),IF($C$3="C2",SUMIFS(itens_Consumidos!$I$2:$I$200,itens_Consumidos!$A$2:$A$200,A209),IF($C$3="C3",SUMIFS(itens_Consumidos!$K$2:$K$200,itens_Consumidos!$A$2:$A$200,A209),IF($C$3="C4",SUMIFS(itens_Consumidos!$M$2:$M$200,itens_Consumidos!$A$2:$A$200,A209),""))))))</f>
        <v/>
      </c>
      <c r="M209" t="str">
        <f t="shared" si="41"/>
        <v/>
      </c>
      <c r="N209" t="str">
        <f>IF(A209="","",IF($C$3="C0",COUNTIFS(itens_Consumidos!$A$2:$A$200,A209,itens_Consumidos!$E$2:$E$200,"&lt;&gt;"),IF($C$3="C1",COUNTIFS(itens_Consumidos!$A$2:$A$200,A209,itens_Consumidos!$G$2:$G$200,"&lt;&gt;"),IF($C$3="C2",COUNTIFS(itens_Consumidos!$A$2:$A$200,A209,itens_Consumidos!$I$2:$I$200,"&lt;&gt;"),IF($C$3="C3",COUNTIFS(itens_Consumidos!$A$2:$A$200,A209,itens_Consumidos!$K$2:$K$200,"&lt;&gt;"),IF($C$3="C4",COUNTIFS(itens_Consumidos!$A$2:$A$200,A209,itens_Consumidos!$M$2:$M$200,"&lt;&gt;"),""))))))</f>
        <v/>
      </c>
      <c r="O209" t="str">
        <f>IF(itens_Remanesc!$A198="","",COUNTIFS(aditivos!$A$2:$A$200,itens_Remanesc!$A198,aditivos!$B$2:$B$200,"&lt;="&amp;$D$5,aditivos!$L$2:$L$200,"&gt;0"))</f>
        <v/>
      </c>
    </row>
    <row r="210" spans="1:15" ht="20" customHeight="1" x14ac:dyDescent="0.35">
      <c r="A210" s="416" t="str">
        <f>IF(itens_Remanesc!$A199="","",IF(NOT(posicao_contratual!$Z199),itens_Remanesc!$A199,IF(AND(ISNUMBER($D$5),$O210&gt;0),itens_Remanesc!$A199,"")))</f>
        <v/>
      </c>
      <c r="B210" s="417" t="str">
        <f>IF(A210="","",IF(AND(posicao_contratual!$Z199,COUNTIFS(aditivos!$A$2:$A$200,itens_Remanesc!$A199,aditivos!$B$2:$B$200,"&lt;"&amp;(INT($F$3)+1),aditivos!$L$2:$L$200,"&gt;0")=0),0,IF(ISNUMBER(IF($C$3="C0",posicao_contratual!$F199,IF($C$3="C1",posicao_contratual!$J199,IF($C$3="C2",posicao_contratual!$N199,IF($C$3="C3",posicao_contratual!$R199,IF($C$3="C4",posicao_contratual!$V199,"")))))),ROUND(IF($C$3="C0",posicao_contratual!$F199,IF($C$3="C1",posicao_contratual!$J199,IF($C$3="C2",posicao_contratual!$N199,IF($C$3="C3",posicao_contratual!$R199,IF($C$3="C4",posicao_contratual!$V199,"")))))+ROUND(SUMIFS(aditivos!$L$2:$L$200,aditivos!$A$2:$A$200,A210,aditivos!$C$2:$C$200,$C$3,aditivos!$B$2:$B$200,"&lt;"&amp;(INT($F$3)+1)),2),2),IF(ROUND(SUMIFS(aditivos!$L$2:$L$200,aditivos!$A$2:$A$200,A210,aditivos!$C$2:$C$200,$C$3,aditivos!$B$2:$B$200,"&lt;"&amp;(INT($F$3)+1)),2)&gt;0,ROUND(SUMIFS(aditivos!$L$2:$L$200,aditivos!$A$2:$A$200,A210,aditivos!$C$2:$C$200,$C$3,aditivos!$B$2:$B$200,"&lt;"&amp;(INT($F$3)+1)),2),""))))</f>
        <v/>
      </c>
      <c r="C210" s="418"/>
      <c r="D210" s="417" t="str">
        <f t="shared" si="36"/>
        <v/>
      </c>
      <c r="E210" s="419" t="str">
        <f>IF(A210="","",IF($C$3="C0",historico_VU!$C199,IF($C$3="C1",historico_VU!$D199,IF($C$3="C2",historico_VU!$E199,IF($C$3="C3",historico_VU!$F199,IF($C$3="C4",historico_VU!$G199,""))))))</f>
        <v/>
      </c>
      <c r="F210" s="419" t="str">
        <f t="shared" si="37"/>
        <v/>
      </c>
      <c r="G210" s="419" t="str">
        <f t="shared" si="38"/>
        <v/>
      </c>
      <c r="I210" t="str">
        <f>IF(OR(A210="",$D$5="",$F$3=""),"",ROUND(SUMIFS(aditivos!$L$2:$L$200,aditivos!$A$2:$A$200,A210,aditivos!$B$2:$B$200,"&gt;="&amp;(INT($F$3)+1),aditivos!$B$2:$B$200,"&lt;="&amp;$D$5),2))</f>
        <v/>
      </c>
      <c r="J210" t="str">
        <f t="shared" si="39"/>
        <v/>
      </c>
      <c r="K210" t="str">
        <f t="shared" si="40"/>
        <v/>
      </c>
      <c r="L210" t="str">
        <f>IF(A210="","",IF($C$3="C0",SUMIFS(itens_Consumidos!$E$2:$E$200,itens_Consumidos!$A$2:$A$200,A210),IF($C$3="C1",SUMIFS(itens_Consumidos!$G$2:$G$200,itens_Consumidos!$A$2:$A$200,A210),IF($C$3="C2",SUMIFS(itens_Consumidos!$I$2:$I$200,itens_Consumidos!$A$2:$A$200,A210),IF($C$3="C3",SUMIFS(itens_Consumidos!$K$2:$K$200,itens_Consumidos!$A$2:$A$200,A210),IF($C$3="C4",SUMIFS(itens_Consumidos!$M$2:$M$200,itens_Consumidos!$A$2:$A$200,A210),""))))))</f>
        <v/>
      </c>
      <c r="M210" t="str">
        <f t="shared" si="41"/>
        <v/>
      </c>
      <c r="N210" t="str">
        <f>IF(A210="","",IF($C$3="C0",COUNTIFS(itens_Consumidos!$A$2:$A$200,A210,itens_Consumidos!$E$2:$E$200,"&lt;&gt;"),IF($C$3="C1",COUNTIFS(itens_Consumidos!$A$2:$A$200,A210,itens_Consumidos!$G$2:$G$200,"&lt;&gt;"),IF($C$3="C2",COUNTIFS(itens_Consumidos!$A$2:$A$200,A210,itens_Consumidos!$I$2:$I$200,"&lt;&gt;"),IF($C$3="C3",COUNTIFS(itens_Consumidos!$A$2:$A$200,A210,itens_Consumidos!$K$2:$K$200,"&lt;&gt;"),IF($C$3="C4",COUNTIFS(itens_Consumidos!$A$2:$A$200,A210,itens_Consumidos!$M$2:$M$200,"&lt;&gt;"),""))))))</f>
        <v/>
      </c>
      <c r="O210" t="str">
        <f>IF(itens_Remanesc!$A199="","",COUNTIFS(aditivos!$A$2:$A$200,itens_Remanesc!$A199,aditivos!$B$2:$B$200,"&lt;="&amp;$D$5,aditivos!$L$2:$L$200,"&gt;0"))</f>
        <v/>
      </c>
    </row>
    <row r="211" spans="1:15" ht="20" customHeight="1" x14ac:dyDescent="0.35">
      <c r="A211" s="416" t="str">
        <f>IF(itens_Remanesc!$A200="","",IF(NOT(posicao_contratual!$Z200),itens_Remanesc!$A200,IF(AND(ISNUMBER($D$5),$O211&gt;0),itens_Remanesc!$A200,"")))</f>
        <v/>
      </c>
      <c r="B211" s="417" t="str">
        <f>IF(A211="","",IF(AND(posicao_contratual!$Z200,COUNTIFS(aditivos!$A$2:$A$200,itens_Remanesc!$A200,aditivos!$B$2:$B$200,"&lt;"&amp;(INT($F$3)+1),aditivos!$L$2:$L$200,"&gt;0")=0),0,IF(ISNUMBER(IF($C$3="C0",posicao_contratual!$F200,IF($C$3="C1",posicao_contratual!$J200,IF($C$3="C2",posicao_contratual!$N200,IF($C$3="C3",posicao_contratual!$R200,IF($C$3="C4",posicao_contratual!$V200,"")))))),ROUND(IF($C$3="C0",posicao_contratual!$F200,IF($C$3="C1",posicao_contratual!$J200,IF($C$3="C2",posicao_contratual!$N200,IF($C$3="C3",posicao_contratual!$R200,IF($C$3="C4",posicao_contratual!$V200,"")))))+ROUND(SUMIFS(aditivos!$L$2:$L$200,aditivos!$A$2:$A$200,A211,aditivos!$C$2:$C$200,$C$3,aditivos!$B$2:$B$200,"&lt;"&amp;(INT($F$3)+1)),2),2),IF(ROUND(SUMIFS(aditivos!$L$2:$L$200,aditivos!$A$2:$A$200,A211,aditivos!$C$2:$C$200,$C$3,aditivos!$B$2:$B$200,"&lt;"&amp;(INT($F$3)+1)),2)&gt;0,ROUND(SUMIFS(aditivos!$L$2:$L$200,aditivos!$A$2:$A$200,A211,aditivos!$C$2:$C$200,$C$3,aditivos!$B$2:$B$200,"&lt;"&amp;(INT($F$3)+1)),2),""))))</f>
        <v/>
      </c>
      <c r="C211" s="418"/>
      <c r="D211" s="417" t="str">
        <f t="shared" si="36"/>
        <v/>
      </c>
      <c r="E211" s="419" t="str">
        <f>IF(A211="","",IF($C$3="C0",historico_VU!$C200,IF($C$3="C1",historico_VU!$D200,IF($C$3="C2",historico_VU!$E200,IF($C$3="C3",historico_VU!$F200,IF($C$3="C4",historico_VU!$G200,""))))))</f>
        <v/>
      </c>
      <c r="F211" s="419" t="str">
        <f t="shared" si="37"/>
        <v/>
      </c>
      <c r="G211" s="419" t="str">
        <f t="shared" si="38"/>
        <v/>
      </c>
      <c r="I211" t="str">
        <f>IF(OR(A211="",$D$5="",$F$3=""),"",ROUND(SUMIFS(aditivos!$L$2:$L$200,aditivos!$A$2:$A$200,A211,aditivos!$B$2:$B$200,"&gt;="&amp;(INT($F$3)+1),aditivos!$B$2:$B$200,"&lt;="&amp;$D$5),2))</f>
        <v/>
      </c>
      <c r="J211" t="str">
        <f t="shared" si="39"/>
        <v/>
      </c>
      <c r="K211" t="str">
        <f t="shared" si="40"/>
        <v/>
      </c>
      <c r="L211" t="str">
        <f>IF(A211="","",IF($C$3="C0",SUMIFS(itens_Consumidos!$E$2:$E$200,itens_Consumidos!$A$2:$A$200,A211),IF($C$3="C1",SUMIFS(itens_Consumidos!$G$2:$G$200,itens_Consumidos!$A$2:$A$200,A211),IF($C$3="C2",SUMIFS(itens_Consumidos!$I$2:$I$200,itens_Consumidos!$A$2:$A$200,A211),IF($C$3="C3",SUMIFS(itens_Consumidos!$K$2:$K$200,itens_Consumidos!$A$2:$A$200,A211),IF($C$3="C4",SUMIFS(itens_Consumidos!$M$2:$M$200,itens_Consumidos!$A$2:$A$200,A211),""))))))</f>
        <v/>
      </c>
      <c r="M211" t="str">
        <f t="shared" si="41"/>
        <v/>
      </c>
      <c r="N211" t="str">
        <f>IF(A211="","",IF($C$3="C0",COUNTIFS(itens_Consumidos!$A$2:$A$200,A211,itens_Consumidos!$E$2:$E$200,"&lt;&gt;"),IF($C$3="C1",COUNTIFS(itens_Consumidos!$A$2:$A$200,A211,itens_Consumidos!$G$2:$G$200,"&lt;&gt;"),IF($C$3="C2",COUNTIFS(itens_Consumidos!$A$2:$A$200,A211,itens_Consumidos!$I$2:$I$200,"&lt;&gt;"),IF($C$3="C3",COUNTIFS(itens_Consumidos!$A$2:$A$200,A211,itens_Consumidos!$K$2:$K$200,"&lt;&gt;"),IF($C$3="C4",COUNTIFS(itens_Consumidos!$A$2:$A$200,A211,itens_Consumidos!$M$2:$M$200,"&lt;&gt;"),""))))))</f>
        <v/>
      </c>
      <c r="O211" t="str">
        <f>IF(itens_Remanesc!$A200="","",COUNTIFS(aditivos!$A$2:$A$200,itens_Remanesc!$A200,aditivos!$B$2:$B$200,"&lt;="&amp;$D$5,aditivos!$L$2:$L$200,"&gt;0"))</f>
        <v/>
      </c>
    </row>
  </sheetData>
  <sheetProtection sheet="1"/>
  <mergeCells count="10">
    <mergeCell ref="F3:G3"/>
    <mergeCell ref="A1:G1"/>
    <mergeCell ref="A11:G11"/>
    <mergeCell ref="A5:C5"/>
    <mergeCell ref="A8:G8"/>
    <mergeCell ref="A9:G10"/>
    <mergeCell ref="A7:G7"/>
    <mergeCell ref="D5:G5"/>
    <mergeCell ref="D3:E3"/>
    <mergeCell ref="A3:B3"/>
  </mergeCells>
  <conditionalFormatting sqref="A13:G211">
    <cfRule type="expression" dxfId="41" priority="2">
      <formula>AND($A13&lt;&gt;"",ISNUMBER($B13),ISNUMBER($I13),ROUND($B13+$I13,2)=0)</formula>
    </cfRule>
  </conditionalFormatting>
  <conditionalFormatting sqref="C13:C211">
    <cfRule type="expression" dxfId="40" priority="3">
      <formula>AND($A13&lt;&gt;"",$C13&lt;&gt;"",OR(NOT(ISNUMBER($C13)),$C13&lt;0,$C13&gt;$B13+$I13))</formula>
    </cfRule>
  </conditionalFormatting>
  <conditionalFormatting sqref="D5">
    <cfRule type="expression" dxfId="39" priority="1">
      <formula>$D$5=""</formula>
    </cfRule>
  </conditionalFormatting>
  <dataValidations count="2">
    <dataValidation type="custom" allowBlank="1" showInputMessage="1" showErrorMessage="1" errorTitle="Data fora do ciclo" error="Informe uma data válida dentro do ciclo em execução." promptTitle="Data da posição física" prompt="Data em que o fiscal confirmou as quantidades remanescentes. Deve ser igual ou anterior à data de corte da apuração (CONTROLE!B3)." sqref="D5" xr:uid="{00000000-0002-0000-0900-000000000000}">
      <formula1>AND(ISNUMBER($D$5),ISNUMBER($F$3),ISNUMBER($H$3),$D$5&gt;=$F$3,$D$5&lt;=$H$3)</formula1>
    </dataValidation>
    <dataValidation type="custom" allowBlank="1" showInputMessage="1" showErrorMessage="1" errorTitle="Quantidade incompatível" error="Informe zero ou uma quantidade não negativa que não supere o remanescente inicial acrescido das alterações do período." promptTitle="Remanescente na data da posição" prompt="Fonte única da posição física: esta quantidade alimenta automaticamente posicao_referencia. Vazio = não confirmado; zero = saldo confirmado em zero." sqref="C13:C211" xr:uid="{00000000-0002-0000-0900-000001000000}">
      <formula1>OR(C13="",AND(A13&lt;&gt;"",ISNUMBER(C13),C13&gt;=0,C13&lt;=ROUND(B13+I13,2)))</formula1>
    </dataValidation>
  </dataValidations>
  <pageMargins left="0.75" right="0.75" top="1" bottom="1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L201"/>
  <sheetViews>
    <sheetView showGridLines="0" workbookViewId="0">
      <pane ySplit="1" topLeftCell="A2" activePane="bottomLeft" state="frozen"/>
      <selection pane="bottomLeft" activeCell="D1" sqref="D1:G1"/>
    </sheetView>
  </sheetViews>
  <sheetFormatPr defaultRowHeight="14.5" x14ac:dyDescent="0.35"/>
  <cols>
    <col min="1" max="3" width="18" customWidth="1"/>
    <col min="4" max="24" width="22" customWidth="1"/>
    <col min="25" max="38" width="13" hidden="1" customWidth="1"/>
  </cols>
  <sheetData>
    <row r="1" spans="1:38" ht="26" customHeight="1" x14ac:dyDescent="0.35">
      <c r="A1" s="63" t="s">
        <v>24</v>
      </c>
      <c r="B1" s="63" t="s">
        <v>25</v>
      </c>
      <c r="C1" s="160" t="s">
        <v>244</v>
      </c>
      <c r="D1" s="162" t="s">
        <v>245</v>
      </c>
      <c r="E1" s="158" t="s">
        <v>246</v>
      </c>
      <c r="F1" s="158" t="s">
        <v>247</v>
      </c>
      <c r="G1" s="166" t="s">
        <v>82</v>
      </c>
      <c r="H1" s="168" t="s">
        <v>248</v>
      </c>
      <c r="I1" s="164" t="s">
        <v>249</v>
      </c>
      <c r="J1" s="164" t="s">
        <v>250</v>
      </c>
      <c r="K1" s="170" t="s">
        <v>83</v>
      </c>
      <c r="L1" s="162" t="s">
        <v>251</v>
      </c>
      <c r="M1" s="158" t="s">
        <v>252</v>
      </c>
      <c r="N1" s="158" t="s">
        <v>253</v>
      </c>
      <c r="O1" s="166" t="s">
        <v>84</v>
      </c>
      <c r="P1" s="168" t="s">
        <v>254</v>
      </c>
      <c r="Q1" s="164" t="s">
        <v>255</v>
      </c>
      <c r="R1" s="164" t="s">
        <v>256</v>
      </c>
      <c r="S1" s="170" t="s">
        <v>85</v>
      </c>
      <c r="T1" s="162" t="s">
        <v>257</v>
      </c>
      <c r="U1" s="158" t="s">
        <v>258</v>
      </c>
      <c r="V1" s="158" t="s">
        <v>259</v>
      </c>
      <c r="W1" s="158" t="s">
        <v>86</v>
      </c>
      <c r="X1" s="63" t="s">
        <v>87</v>
      </c>
      <c r="Y1" t="s">
        <v>260</v>
      </c>
      <c r="Z1" t="s">
        <v>261</v>
      </c>
      <c r="AA1" t="s">
        <v>262</v>
      </c>
      <c r="AB1" t="s">
        <v>263</v>
      </c>
      <c r="AC1" t="s">
        <v>264</v>
      </c>
      <c r="AD1" t="s">
        <v>265</v>
      </c>
      <c r="AE1" t="s">
        <v>266</v>
      </c>
      <c r="AF1" t="s">
        <v>267</v>
      </c>
      <c r="AG1" t="s">
        <v>268</v>
      </c>
      <c r="AH1" t="s">
        <v>269</v>
      </c>
      <c r="AI1" t="s">
        <v>270</v>
      </c>
      <c r="AJ1" t="s">
        <v>271</v>
      </c>
      <c r="AK1" t="s">
        <v>272</v>
      </c>
      <c r="AL1" t="s">
        <v>273</v>
      </c>
    </row>
    <row r="2" spans="1:38" x14ac:dyDescent="0.35">
      <c r="A2" s="146" t="str">
        <f>IF(itens_Remanesc!A2="","",itens_Remanesc!A2)</f>
        <v>ITEM-001</v>
      </c>
      <c r="B2" s="196">
        <f>IF(A2="","",itens_Remanesc!C2)</f>
        <v>250</v>
      </c>
      <c r="C2" s="161">
        <f>IF(A2="","",IF(itens_Remanesc!B2="",0,itens_Remanesc!B2))</f>
        <v>120</v>
      </c>
      <c r="D2" s="163">
        <f>IF(A2="","",ROUND(SUMIFS(aditivos!$L$2:$L$200,aditivos!$A$2:$A$200,A2,aditivos!$C$2:$C$200,"C0"),2))</f>
        <v>0</v>
      </c>
      <c r="E2" s="159">
        <f t="shared" ref="E2:E33" si="0">IF(A2="","",ROUND(C2+D2,2))</f>
        <v>120</v>
      </c>
      <c r="F2" s="159">
        <f>IF(A2="","",IF(itens_Remanesc!B2&lt;&gt;"",itens_Remanesc!B2,IF($Z2,0,"")))</f>
        <v>120</v>
      </c>
      <c r="G2" s="167">
        <f t="shared" ref="G2:G33" si="1">IF(A2="","",IF($Y2="","",IF($Y2&gt;0,"",ROUND(E2,2))))</f>
        <v>120</v>
      </c>
      <c r="H2" s="169">
        <f>IF(A2="","",ROUND(SUMIFS(aditivos!$L$2:$L$200,aditivos!$A$2:$A$200,A2,aditivos!$C$2:$C$200,"C1"),2))</f>
        <v>0</v>
      </c>
      <c r="I2" s="165">
        <f t="shared" ref="I2:I33" si="2">IF(A2="","",ROUND(E2+H2,2))</f>
        <v>120</v>
      </c>
      <c r="J2" s="165">
        <f>IF(A2="","",IF(itens_Remanesc!E2="","",itens_Remanesc!E2))</f>
        <v>120</v>
      </c>
      <c r="K2" s="171">
        <f t="shared" ref="K2:K33" si="3">IF(A2="","",IF($Y2="","",IF($Y2&gt;1,"",IF(ISNUMBER(J2),ROUND(J2+H2,2),IF($Y2=1,ROUND(H2,2),"")))))</f>
        <v>120</v>
      </c>
      <c r="L2" s="163">
        <f>IF(A2="","",ROUND(SUMIFS(aditivos!$L$2:$L$200,aditivos!$A$2:$A$200,A2,aditivos!$C$2:$C$200,"C2"),2))</f>
        <v>0</v>
      </c>
      <c r="M2" s="159">
        <f t="shared" ref="M2:M33" si="4">IF(A2="","",ROUND(I2+L2,2))</f>
        <v>120</v>
      </c>
      <c r="N2" s="159">
        <f>IF(A2="","",IF(itens_Remanesc!G2="","",itens_Remanesc!G2))</f>
        <v>120</v>
      </c>
      <c r="O2" s="167">
        <f t="shared" ref="O2:O33" si="5">IF(A2="","",IF($Y2="","",IF($Y2&gt;2,"",IF(ISNUMBER(N2),ROUND(N2+L2,2),IF($Y2=2,ROUND(L2,2),"")))))</f>
        <v>120</v>
      </c>
      <c r="P2" s="169">
        <f>IF(A2="","",ROUND(SUMIFS(aditivos!$L$2:$L$200,aditivos!$A$2:$A$200,A2,aditivos!$C$2:$C$200,"C3"),2))</f>
        <v>0</v>
      </c>
      <c r="Q2" s="165">
        <f t="shared" ref="Q2:Q33" si="6">IF(A2="","",ROUND(M2+P2,2))</f>
        <v>120</v>
      </c>
      <c r="R2" s="165">
        <f>IF(A2="","",IF(itens_Remanesc!I2="","",itens_Remanesc!I2))</f>
        <v>120</v>
      </c>
      <c r="S2" s="171">
        <f t="shared" ref="S2:S33" si="7">IF(A2="","",IF($Y2="","",IF($Y2&gt;3,"",IF(ISNUMBER(R2),ROUND(R2+P2,2),IF($Y2=3,ROUND(P2,2),"")))))</f>
        <v>120</v>
      </c>
      <c r="T2" s="163">
        <f>IF(A2="","",ROUND(SUMIFS(aditivos!$L$2:$L$200,aditivos!$A$2:$A$200,A2,aditivos!$C$2:$C$200,"C4"),2))</f>
        <v>0</v>
      </c>
      <c r="U2" s="159">
        <f t="shared" ref="U2:U33" si="8">IF(A2="","",ROUND(Q2+T2,2))</f>
        <v>120</v>
      </c>
      <c r="V2" s="159">
        <f>IF(A2="","",IF(itens_Remanesc!K2="","",itens_Remanesc!K2))</f>
        <v>120</v>
      </c>
      <c r="W2" s="159">
        <f t="shared" ref="W2:W33" si="9">IF(A2="","",IF($Y2="","",IF($Y2&gt;4,"",IF(ISNUMBER(V2),ROUND(V2+T2,2),IF($Y2=4,ROUND(T2,2),"")))))</f>
        <v>120</v>
      </c>
      <c r="X2" s="146" t="str">
        <f>IF(A2="","",IF(COUNTIF($A$2:$A$200,A2)&gt;1,"ALERTA: ITEM_DUPLICADO",IF(AND($Z2,ISNUMBER(itens_Remanesc!B2),itens_Remanesc!B2&lt;&gt;0),"NOVO ITEM COM BASE DIFERENTE DE 0 - AJUSTAR itens_Remanesc",IF(AND($Z2,NOT(ISNUMBER(itens_Remanesc!C2))),"NOVO ITEM SEM VU_ORIGINAL - INFORMAR EM itens_Remanesc",IF(MIN(E2,I2,M2,Q2,U2,G2,K2,O2,S2,W2)&lt;0,"ALERTA: POSICAO_NEGATIVA",IF(OR(AND(G2&lt;&gt;"",G2&gt;E2),AND(K2&lt;&gt;"",K2&gt;I2),AND(O2&lt;&gt;"",O2&gt;M2),AND(S2&lt;&gt;"",S2&gt;Q2),AND(W2&lt;&gt;"",W2&gt;U2)),"ALERTA: REMANESCENTE_SUPERA_POSICAO","OK"))))))</f>
        <v>OK</v>
      </c>
      <c r="Y2">
        <f t="shared" ref="Y2:Y33" si="10">IF($A2="","",IF($E2&gt;0,0,IF($I2&gt;0,1,IF($M2&gt;0,2,IF($Q2&gt;0,3,IF($U2&gt;0,4,""))))))</f>
        <v>0</v>
      </c>
      <c r="Z2" t="b">
        <f t="shared" ref="Z2:Z33" si="11">IF($A2="",FALSE,AND(LEN(TRIM($A2))=4,LEFT(TRIM($A2),1)="N",ISNUMBER(--MID(TRIM($A2),2,3)),ISERROR(FIND(".",$A2)),ISERROR(FIND(",",$A2)),ISERROR(FIND("-",$A2)),ISERROR(FIND("+",$A2)),ISERROR(SEARCH("E",$A2,2)),ISERROR(FIND(" ",TRIM($A2)))))</f>
        <v>0</v>
      </c>
      <c r="AA2" s="208" t="str">
        <f>IF($A2="","",IF(COUNTIFS(aditivos!$A$2:$A$200,$A2,aditivos!$L$2:$L$200,"&lt;&gt;",aditivos!$L$2:$L$200,"&lt;&gt;0",aditivos!$B$2:$B$200,"&gt;0")=0,"",IFERROR(_xlfn.MINIFS(aditivos!$B$2:$B$200,aditivos!$A$2:$A$200,$A2,aditivos!$L$2:$L$200,"&lt;&gt;",aditivos!$L$2:$L$200,"&lt;&gt;0",aditivos!$B$2:$B$200,"&gt;0"),"")))</f>
        <v/>
      </c>
      <c r="AB2">
        <f>IF($A2="","",IF(OR(parametros!$C$2="",parametros!$I$2=""),0,ROUND(SUMIFS(aditivos!$L$2:$L$200,aditivos!$A$2:$A$200,$A2,aditivos!$C$2:$C$200,"C0",aditivos!$B$2:$B$200,"&gt;="&amp;(INT(parametros!$I$2)+1)),2)))</f>
        <v>0</v>
      </c>
      <c r="AC2">
        <f>IF($A2="","",IF(OR(parametros!$C$3="",parametros!$I$3=""),0,ROUND(SUMIFS(aditivos!$L$2:$L$200,aditivos!$A$2:$A$200,$A2,aditivos!$C$2:$C$200,"C1",aditivos!$B$2:$B$200,"&gt;="&amp;(INT(parametros!$I$3)+1)),2)))</f>
        <v>0</v>
      </c>
      <c r="AD2">
        <f>IF($A2="","",IF(OR(parametros!$C$4="",parametros!$I$4=""),0,ROUND(SUMIFS(aditivos!$L$2:$L$200,aditivos!$A$2:$A$200,$A2,aditivos!$C$2:$C$200,"C2",aditivos!$B$2:$B$200,"&gt;="&amp;(INT(parametros!$I$4)+1)),2)))</f>
        <v>0</v>
      </c>
      <c r="AE2">
        <f>IF($A2="","",IF(OR(parametros!$C$5="",parametros!$I$5=""),0,ROUND(SUMIFS(aditivos!$L$2:$L$200,aditivos!$A$2:$A$200,$A2,aditivos!$C$2:$C$200,"C3",aditivos!$B$2:$B$200,"&gt;="&amp;(INT(parametros!$I$5)+1)),2)))</f>
        <v>0</v>
      </c>
      <c r="AF2">
        <f>IF($A2="","",IF(OR(parametros!$C$6="",parametros!$I$6=""),0,ROUND(SUMIFS(aditivos!$L$2:$L$200,aditivos!$A$2:$A$200,$A2,aditivos!$C$2:$C$200,"C4",aditivos!$B$2:$B$200,"&gt;="&amp;(INT(parametros!$I$6)+1)),2)))</f>
        <v>0</v>
      </c>
      <c r="AG2">
        <f t="shared" ref="AG2:AG33" si="12">IF($A2="","",IF(OR(NOT(ISNUMBER($E2)),NOT(ISNUMBER($AB2))),"",ROUND($E2-$AB2,2)))</f>
        <v>120</v>
      </c>
      <c r="AH2">
        <f t="shared" ref="AH2:AH33" si="13">IF($A2="","",IF(OR(NOT(ISNUMBER($I2)),NOT(ISNUMBER($AC2))),"",ROUND($I2-$AC2,2)))</f>
        <v>120</v>
      </c>
      <c r="AI2">
        <f t="shared" ref="AI2:AI33" si="14">IF($A2="","",IF(OR(NOT(ISNUMBER($M2)),NOT(ISNUMBER($AD2))),"",ROUND($M2-$AD2,2)))</f>
        <v>120</v>
      </c>
      <c r="AJ2">
        <f t="shared" ref="AJ2:AJ33" si="15">IF($A2="","",IF(OR(NOT(ISNUMBER($Q2)),NOT(ISNUMBER($AE2))),"",ROUND($Q2-$AE2,2)))</f>
        <v>120</v>
      </c>
      <c r="AK2">
        <f t="shared" ref="AK2:AK33" si="16">IF($A2="","",IF(OR(NOT(ISNUMBER($U2)),NOT(ISNUMBER($AF2))),"",ROUND($U2-$AF2,2)))</f>
        <v>120</v>
      </c>
      <c r="AL2">
        <f t="shared" ref="AL2:AL33" si="17">IF($A2="","",IF(N($AG2)&gt;0,0,IF(N($AH2)&gt;0,1,IF(N($AI2)&gt;0,2,IF(N($AJ2)&gt;0,3,IF(N($AK2)&gt;0,4,""))))))</f>
        <v>0</v>
      </c>
    </row>
    <row r="3" spans="1:38" x14ac:dyDescent="0.35">
      <c r="A3" s="146" t="str">
        <f>IF(itens_Remanesc!A3="","",itens_Remanesc!A3)</f>
        <v>ITEM-002</v>
      </c>
      <c r="B3" s="196">
        <f>IF(A3="","",itens_Remanesc!C3)</f>
        <v>1500</v>
      </c>
      <c r="C3" s="161">
        <f>IF(A3="","",IF(itens_Remanesc!B3="",0,itens_Remanesc!B3))</f>
        <v>80</v>
      </c>
      <c r="D3" s="163">
        <f>IF(A3="","",ROUND(SUMIFS(aditivos!$L$2:$L$200,aditivos!$A$2:$A$200,A3,aditivos!$C$2:$C$200,"C0"),2))</f>
        <v>0</v>
      </c>
      <c r="E3" s="159">
        <f t="shared" si="0"/>
        <v>80</v>
      </c>
      <c r="F3" s="159">
        <f>IF(A3="","",IF(itens_Remanesc!B3&lt;&gt;"",itens_Remanesc!B3,IF($Z3,0,"")))</f>
        <v>80</v>
      </c>
      <c r="G3" s="167">
        <f t="shared" si="1"/>
        <v>80</v>
      </c>
      <c r="H3" s="169">
        <f>IF(A3="","",ROUND(SUMIFS(aditivos!$L$2:$L$200,aditivos!$A$2:$A$200,A3,aditivos!$C$2:$C$200,"C1"),2))</f>
        <v>0</v>
      </c>
      <c r="I3" s="165">
        <f t="shared" si="2"/>
        <v>80</v>
      </c>
      <c r="J3" s="165">
        <f>IF(A3="","",IF(itens_Remanesc!E3="","",itens_Remanesc!E3))</f>
        <v>80</v>
      </c>
      <c r="K3" s="171">
        <f t="shared" si="3"/>
        <v>80</v>
      </c>
      <c r="L3" s="163">
        <f>IF(A3="","",ROUND(SUMIFS(aditivos!$L$2:$L$200,aditivos!$A$2:$A$200,A3,aditivos!$C$2:$C$200,"C2"),2))</f>
        <v>0</v>
      </c>
      <c r="M3" s="159">
        <f t="shared" si="4"/>
        <v>80</v>
      </c>
      <c r="N3" s="159">
        <f>IF(A3="","",IF(itens_Remanesc!G3="","",itens_Remanesc!G3))</f>
        <v>80</v>
      </c>
      <c r="O3" s="167">
        <f t="shared" si="5"/>
        <v>80</v>
      </c>
      <c r="P3" s="169">
        <f>IF(A3="","",ROUND(SUMIFS(aditivos!$L$2:$L$200,aditivos!$A$2:$A$200,A3,aditivos!$C$2:$C$200,"C3"),2))</f>
        <v>0</v>
      </c>
      <c r="Q3" s="165">
        <f t="shared" si="6"/>
        <v>80</v>
      </c>
      <c r="R3" s="165">
        <f>IF(A3="","",IF(itens_Remanesc!I3="","",itens_Remanesc!I3))</f>
        <v>80</v>
      </c>
      <c r="S3" s="171">
        <f t="shared" si="7"/>
        <v>80</v>
      </c>
      <c r="T3" s="163">
        <f>IF(A3="","",ROUND(SUMIFS(aditivos!$L$2:$L$200,aditivos!$A$2:$A$200,A3,aditivos!$C$2:$C$200,"C4"),2))</f>
        <v>0</v>
      </c>
      <c r="U3" s="159">
        <f t="shared" si="8"/>
        <v>80</v>
      </c>
      <c r="V3" s="159">
        <f>IF(A3="","",IF(itens_Remanesc!K3="","",itens_Remanesc!K3))</f>
        <v>80</v>
      </c>
      <c r="W3" s="159">
        <f t="shared" si="9"/>
        <v>80</v>
      </c>
      <c r="X3" s="146" t="str">
        <f>IF(A3="","",IF(COUNTIF($A$2:$A$200,A3)&gt;1,"ALERTA: ITEM_DUPLICADO",IF(AND($Z3,ISNUMBER(itens_Remanesc!B3),itens_Remanesc!B3&lt;&gt;0),"NOVO ITEM COM BASE DIFERENTE DE 0 - AJUSTAR itens_Remanesc",IF(AND($Z3,NOT(ISNUMBER(itens_Remanesc!C3))),"NOVO ITEM SEM VU_ORIGINAL - INFORMAR EM itens_Remanesc",IF(MIN(E3,I3,M3,Q3,U3,G3,K3,O3,S3,W3)&lt;0,"ALERTA: POSICAO_NEGATIVA",IF(OR(AND(G3&lt;&gt;"",G3&gt;E3),AND(K3&lt;&gt;"",K3&gt;I3),AND(O3&lt;&gt;"",O3&gt;M3),AND(S3&lt;&gt;"",S3&gt;Q3),AND(W3&lt;&gt;"",W3&gt;U3)),"ALERTA: REMANESCENTE_SUPERA_POSICAO","OK"))))))</f>
        <v>OK</v>
      </c>
      <c r="Y3">
        <f t="shared" si="10"/>
        <v>0</v>
      </c>
      <c r="Z3" t="b">
        <f t="shared" si="11"/>
        <v>0</v>
      </c>
      <c r="AA3" s="208" t="str">
        <f>IF($A3="","",IF(COUNTIFS(aditivos!$A$2:$A$200,$A3,aditivos!$L$2:$L$200,"&lt;&gt;",aditivos!$L$2:$L$200,"&lt;&gt;0",aditivos!$B$2:$B$200,"&gt;0")=0,"",IFERROR(_xlfn.MINIFS(aditivos!$B$2:$B$200,aditivos!$A$2:$A$200,$A3,aditivos!$L$2:$L$200,"&lt;&gt;",aditivos!$L$2:$L$200,"&lt;&gt;0",aditivos!$B$2:$B$200,"&gt;0"),"")))</f>
        <v/>
      </c>
      <c r="AB3">
        <f>IF($A3="","",IF(OR(parametros!$C$2="",parametros!$I$2=""),0,ROUND(SUMIFS(aditivos!$L$2:$L$200,aditivos!$A$2:$A$200,$A3,aditivos!$C$2:$C$200,"C0",aditivos!$B$2:$B$200,"&gt;="&amp;(INT(parametros!$I$2)+1)),2)))</f>
        <v>0</v>
      </c>
      <c r="AC3">
        <f>IF($A3="","",IF(OR(parametros!$C$3="",parametros!$I$3=""),0,ROUND(SUMIFS(aditivos!$L$2:$L$200,aditivos!$A$2:$A$200,$A3,aditivos!$C$2:$C$200,"C1",aditivos!$B$2:$B$200,"&gt;="&amp;(INT(parametros!$I$3)+1)),2)))</f>
        <v>0</v>
      </c>
      <c r="AD3">
        <f>IF($A3="","",IF(OR(parametros!$C$4="",parametros!$I$4=""),0,ROUND(SUMIFS(aditivos!$L$2:$L$200,aditivos!$A$2:$A$200,$A3,aditivos!$C$2:$C$200,"C2",aditivos!$B$2:$B$200,"&gt;="&amp;(INT(parametros!$I$4)+1)),2)))</f>
        <v>0</v>
      </c>
      <c r="AE3">
        <f>IF($A3="","",IF(OR(parametros!$C$5="",parametros!$I$5=""),0,ROUND(SUMIFS(aditivos!$L$2:$L$200,aditivos!$A$2:$A$200,$A3,aditivos!$C$2:$C$200,"C3",aditivos!$B$2:$B$200,"&gt;="&amp;(INT(parametros!$I$5)+1)),2)))</f>
        <v>0</v>
      </c>
      <c r="AF3">
        <f>IF($A3="","",IF(OR(parametros!$C$6="",parametros!$I$6=""),0,ROUND(SUMIFS(aditivos!$L$2:$L$200,aditivos!$A$2:$A$200,$A3,aditivos!$C$2:$C$200,"C4",aditivos!$B$2:$B$200,"&gt;="&amp;(INT(parametros!$I$6)+1)),2)))</f>
        <v>0</v>
      </c>
      <c r="AG3">
        <f t="shared" si="12"/>
        <v>80</v>
      </c>
      <c r="AH3">
        <f t="shared" si="13"/>
        <v>80</v>
      </c>
      <c r="AI3">
        <f t="shared" si="14"/>
        <v>80</v>
      </c>
      <c r="AJ3">
        <f t="shared" si="15"/>
        <v>80</v>
      </c>
      <c r="AK3">
        <f t="shared" si="16"/>
        <v>80</v>
      </c>
      <c r="AL3">
        <f t="shared" si="17"/>
        <v>0</v>
      </c>
    </row>
    <row r="4" spans="1:38" x14ac:dyDescent="0.35">
      <c r="A4" s="146" t="str">
        <f>IF(itens_Remanesc!A4="","",itens_Remanesc!A4)</f>
        <v>ITEM-003</v>
      </c>
      <c r="B4" s="196">
        <f>IF(A4="","",itens_Remanesc!C4)</f>
        <v>3200</v>
      </c>
      <c r="C4" s="161">
        <f>IF(A4="","",IF(itens_Remanesc!B4="",0,itens_Remanesc!B4))</f>
        <v>40</v>
      </c>
      <c r="D4" s="163">
        <f>IF(A4="","",ROUND(SUMIFS(aditivos!$L$2:$L$200,aditivos!$A$2:$A$200,A4,aditivos!$C$2:$C$200,"C0"),2))</f>
        <v>0</v>
      </c>
      <c r="E4" s="159">
        <f t="shared" si="0"/>
        <v>40</v>
      </c>
      <c r="F4" s="159">
        <f>IF(A4="","",IF(itens_Remanesc!B4&lt;&gt;"",itens_Remanesc!B4,IF($Z4,0,"")))</f>
        <v>40</v>
      </c>
      <c r="G4" s="167">
        <f t="shared" si="1"/>
        <v>40</v>
      </c>
      <c r="H4" s="169">
        <f>IF(A4="","",ROUND(SUMIFS(aditivos!$L$2:$L$200,aditivos!$A$2:$A$200,A4,aditivos!$C$2:$C$200,"C1"),2))</f>
        <v>0</v>
      </c>
      <c r="I4" s="165">
        <f t="shared" si="2"/>
        <v>40</v>
      </c>
      <c r="J4" s="165">
        <f>IF(A4="","",IF(itens_Remanesc!E4="","",itens_Remanesc!E4))</f>
        <v>40</v>
      </c>
      <c r="K4" s="171">
        <f t="shared" si="3"/>
        <v>40</v>
      </c>
      <c r="L4" s="163">
        <f>IF(A4="","",ROUND(SUMIFS(aditivos!$L$2:$L$200,aditivos!$A$2:$A$200,A4,aditivos!$C$2:$C$200,"C2"),2))</f>
        <v>0</v>
      </c>
      <c r="M4" s="159">
        <f t="shared" si="4"/>
        <v>40</v>
      </c>
      <c r="N4" s="159">
        <f>IF(A4="","",IF(itens_Remanesc!G4="","",itens_Remanesc!G4))</f>
        <v>40</v>
      </c>
      <c r="O4" s="167">
        <f t="shared" si="5"/>
        <v>40</v>
      </c>
      <c r="P4" s="169">
        <f>IF(A4="","",ROUND(SUMIFS(aditivos!$L$2:$L$200,aditivos!$A$2:$A$200,A4,aditivos!$C$2:$C$200,"C3"),2))</f>
        <v>0</v>
      </c>
      <c r="Q4" s="165">
        <f t="shared" si="6"/>
        <v>40</v>
      </c>
      <c r="R4" s="165">
        <f>IF(A4="","",IF(itens_Remanesc!I4="","",itens_Remanesc!I4))</f>
        <v>40</v>
      </c>
      <c r="S4" s="171">
        <f t="shared" si="7"/>
        <v>40</v>
      </c>
      <c r="T4" s="163">
        <f>IF(A4="","",ROUND(SUMIFS(aditivos!$L$2:$L$200,aditivos!$A$2:$A$200,A4,aditivos!$C$2:$C$200,"C4"),2))</f>
        <v>0</v>
      </c>
      <c r="U4" s="159">
        <f t="shared" si="8"/>
        <v>40</v>
      </c>
      <c r="V4" s="159">
        <f>IF(A4="","",IF(itens_Remanesc!K4="","",itens_Remanesc!K4))</f>
        <v>40</v>
      </c>
      <c r="W4" s="159">
        <f t="shared" si="9"/>
        <v>40</v>
      </c>
      <c r="X4" s="146" t="str">
        <f>IF(A4="","",IF(COUNTIF($A$2:$A$200,A4)&gt;1,"ALERTA: ITEM_DUPLICADO",IF(AND($Z4,ISNUMBER(itens_Remanesc!B4),itens_Remanesc!B4&lt;&gt;0),"NOVO ITEM COM BASE DIFERENTE DE 0 - AJUSTAR itens_Remanesc",IF(AND($Z4,NOT(ISNUMBER(itens_Remanesc!C4))),"NOVO ITEM SEM VU_ORIGINAL - INFORMAR EM itens_Remanesc",IF(MIN(E4,I4,M4,Q4,U4,G4,K4,O4,S4,W4)&lt;0,"ALERTA: POSICAO_NEGATIVA",IF(OR(AND(G4&lt;&gt;"",G4&gt;E4),AND(K4&lt;&gt;"",K4&gt;I4),AND(O4&lt;&gt;"",O4&gt;M4),AND(S4&lt;&gt;"",S4&gt;Q4),AND(W4&lt;&gt;"",W4&gt;U4)),"ALERTA: REMANESCENTE_SUPERA_POSICAO","OK"))))))</f>
        <v>OK</v>
      </c>
      <c r="Y4">
        <f t="shared" si="10"/>
        <v>0</v>
      </c>
      <c r="Z4" t="b">
        <f t="shared" si="11"/>
        <v>0</v>
      </c>
      <c r="AA4" s="208" t="str">
        <f>IF($A4="","",IF(COUNTIFS(aditivos!$A$2:$A$200,$A4,aditivos!$L$2:$L$200,"&lt;&gt;",aditivos!$L$2:$L$200,"&lt;&gt;0",aditivos!$B$2:$B$200,"&gt;0")=0,"",IFERROR(_xlfn.MINIFS(aditivos!$B$2:$B$200,aditivos!$A$2:$A$200,$A4,aditivos!$L$2:$L$200,"&lt;&gt;",aditivos!$L$2:$L$200,"&lt;&gt;0",aditivos!$B$2:$B$200,"&gt;0"),"")))</f>
        <v/>
      </c>
      <c r="AB4">
        <f>IF($A4="","",IF(OR(parametros!$C$2="",parametros!$I$2=""),0,ROUND(SUMIFS(aditivos!$L$2:$L$200,aditivos!$A$2:$A$200,$A4,aditivos!$C$2:$C$200,"C0",aditivos!$B$2:$B$200,"&gt;="&amp;(INT(parametros!$I$2)+1)),2)))</f>
        <v>0</v>
      </c>
      <c r="AC4">
        <f>IF($A4="","",IF(OR(parametros!$C$3="",parametros!$I$3=""),0,ROUND(SUMIFS(aditivos!$L$2:$L$200,aditivos!$A$2:$A$200,$A4,aditivos!$C$2:$C$200,"C1",aditivos!$B$2:$B$200,"&gt;="&amp;(INT(parametros!$I$3)+1)),2)))</f>
        <v>0</v>
      </c>
      <c r="AD4">
        <f>IF($A4="","",IF(OR(parametros!$C$4="",parametros!$I$4=""),0,ROUND(SUMIFS(aditivos!$L$2:$L$200,aditivos!$A$2:$A$200,$A4,aditivos!$C$2:$C$200,"C2",aditivos!$B$2:$B$200,"&gt;="&amp;(INT(parametros!$I$4)+1)),2)))</f>
        <v>0</v>
      </c>
      <c r="AE4">
        <f>IF($A4="","",IF(OR(parametros!$C$5="",parametros!$I$5=""),0,ROUND(SUMIFS(aditivos!$L$2:$L$200,aditivos!$A$2:$A$200,$A4,aditivos!$C$2:$C$200,"C3",aditivos!$B$2:$B$200,"&gt;="&amp;(INT(parametros!$I$5)+1)),2)))</f>
        <v>0</v>
      </c>
      <c r="AF4">
        <f>IF($A4="","",IF(OR(parametros!$C$6="",parametros!$I$6=""),0,ROUND(SUMIFS(aditivos!$L$2:$L$200,aditivos!$A$2:$A$200,$A4,aditivos!$C$2:$C$200,"C4",aditivos!$B$2:$B$200,"&gt;="&amp;(INT(parametros!$I$6)+1)),2)))</f>
        <v>0</v>
      </c>
      <c r="AG4">
        <f t="shared" si="12"/>
        <v>40</v>
      </c>
      <c r="AH4">
        <f t="shared" si="13"/>
        <v>40</v>
      </c>
      <c r="AI4">
        <f t="shared" si="14"/>
        <v>40</v>
      </c>
      <c r="AJ4">
        <f t="shared" si="15"/>
        <v>40</v>
      </c>
      <c r="AK4">
        <f t="shared" si="16"/>
        <v>40</v>
      </c>
      <c r="AL4">
        <f t="shared" si="17"/>
        <v>0</v>
      </c>
    </row>
    <row r="5" spans="1:38" x14ac:dyDescent="0.35">
      <c r="A5" s="146" t="str">
        <f>IF(itens_Remanesc!A5="","",itens_Remanesc!A5)</f>
        <v/>
      </c>
      <c r="B5" s="196" t="str">
        <f>IF(A5="","",itens_Remanesc!C5)</f>
        <v/>
      </c>
      <c r="C5" s="161" t="str">
        <f>IF(A5="","",IF(itens_Remanesc!B5="",0,itens_Remanesc!B5))</f>
        <v/>
      </c>
      <c r="D5" s="163" t="str">
        <f>IF(A5="","",ROUND(SUMIFS(aditivos!$L$2:$L$200,aditivos!$A$2:$A$200,A5,aditivos!$C$2:$C$200,"C0"),2))</f>
        <v/>
      </c>
      <c r="E5" s="159" t="str">
        <f t="shared" si="0"/>
        <v/>
      </c>
      <c r="F5" s="159" t="str">
        <f>IF(A5="","",IF(itens_Remanesc!B5&lt;&gt;"",itens_Remanesc!B5,IF($Z5,0,"")))</f>
        <v/>
      </c>
      <c r="G5" s="167" t="str">
        <f t="shared" si="1"/>
        <v/>
      </c>
      <c r="H5" s="169" t="str">
        <f>IF(A5="","",ROUND(SUMIFS(aditivos!$L$2:$L$200,aditivos!$A$2:$A$200,A5,aditivos!$C$2:$C$200,"C1"),2))</f>
        <v/>
      </c>
      <c r="I5" s="165" t="str">
        <f t="shared" si="2"/>
        <v/>
      </c>
      <c r="J5" s="165" t="str">
        <f>IF(A5="","",IF(itens_Remanesc!E5="","",itens_Remanesc!E5))</f>
        <v/>
      </c>
      <c r="K5" s="171" t="str">
        <f t="shared" si="3"/>
        <v/>
      </c>
      <c r="L5" s="163" t="str">
        <f>IF(A5="","",ROUND(SUMIFS(aditivos!$L$2:$L$200,aditivos!$A$2:$A$200,A5,aditivos!$C$2:$C$200,"C2"),2))</f>
        <v/>
      </c>
      <c r="M5" s="159" t="str">
        <f t="shared" si="4"/>
        <v/>
      </c>
      <c r="N5" s="159" t="str">
        <f>IF(A5="","",IF(itens_Remanesc!G5="","",itens_Remanesc!G5))</f>
        <v/>
      </c>
      <c r="O5" s="167" t="str">
        <f t="shared" si="5"/>
        <v/>
      </c>
      <c r="P5" s="169" t="str">
        <f>IF(A5="","",ROUND(SUMIFS(aditivos!$L$2:$L$200,aditivos!$A$2:$A$200,A5,aditivos!$C$2:$C$200,"C3"),2))</f>
        <v/>
      </c>
      <c r="Q5" s="165" t="str">
        <f t="shared" si="6"/>
        <v/>
      </c>
      <c r="R5" s="165" t="str">
        <f>IF(A5="","",IF(itens_Remanesc!I5="","",itens_Remanesc!I5))</f>
        <v/>
      </c>
      <c r="S5" s="171" t="str">
        <f t="shared" si="7"/>
        <v/>
      </c>
      <c r="T5" s="163" t="str">
        <f>IF(A5="","",ROUND(SUMIFS(aditivos!$L$2:$L$200,aditivos!$A$2:$A$200,A5,aditivos!$C$2:$C$200,"C4"),2))</f>
        <v/>
      </c>
      <c r="U5" s="159" t="str">
        <f t="shared" si="8"/>
        <v/>
      </c>
      <c r="V5" s="159" t="str">
        <f>IF(A5="","",IF(itens_Remanesc!K5="","",itens_Remanesc!K5))</f>
        <v/>
      </c>
      <c r="W5" s="159" t="str">
        <f t="shared" si="9"/>
        <v/>
      </c>
      <c r="X5" s="146" t="str">
        <f>IF(A5="","",IF(COUNTIF($A$2:$A$200,A5)&gt;1,"ALERTA: ITEM_DUPLICADO",IF(AND($Z5,ISNUMBER(itens_Remanesc!B5),itens_Remanesc!B5&lt;&gt;0),"NOVO ITEM COM BASE DIFERENTE DE 0 - AJUSTAR itens_Remanesc",IF(AND($Z5,NOT(ISNUMBER(itens_Remanesc!C5))),"NOVO ITEM SEM VU_ORIGINAL - INFORMAR EM itens_Remanesc",IF(MIN(E5,I5,M5,Q5,U5,G5,K5,O5,S5,W5)&lt;0,"ALERTA: POSICAO_NEGATIVA",IF(OR(AND(G5&lt;&gt;"",G5&gt;E5),AND(K5&lt;&gt;"",K5&gt;I5),AND(O5&lt;&gt;"",O5&gt;M5),AND(S5&lt;&gt;"",S5&gt;Q5),AND(W5&lt;&gt;"",W5&gt;U5)),"ALERTA: REMANESCENTE_SUPERA_POSICAO","OK"))))))</f>
        <v/>
      </c>
      <c r="Y5" t="str">
        <f t="shared" si="10"/>
        <v/>
      </c>
      <c r="Z5" t="b">
        <f t="shared" si="11"/>
        <v>0</v>
      </c>
      <c r="AA5" s="208" t="str">
        <f>IF($A5="","",IF(COUNTIFS(aditivos!$A$2:$A$200,$A5,aditivos!$L$2:$L$200,"&lt;&gt;",aditivos!$L$2:$L$200,"&lt;&gt;0",aditivos!$B$2:$B$200,"&gt;0")=0,"",IFERROR(_xlfn.MINIFS(aditivos!$B$2:$B$200,aditivos!$A$2:$A$200,$A5,aditivos!$L$2:$L$200,"&lt;&gt;",aditivos!$L$2:$L$200,"&lt;&gt;0",aditivos!$B$2:$B$200,"&gt;0"),"")))</f>
        <v/>
      </c>
      <c r="AB5" t="str">
        <f>IF($A5="","",IF(OR(parametros!$C$2="",parametros!$I$2=""),0,ROUND(SUMIFS(aditivos!$L$2:$L$200,aditivos!$A$2:$A$200,$A5,aditivos!$C$2:$C$200,"C0",aditivos!$B$2:$B$200,"&gt;="&amp;(INT(parametros!$I$2)+1)),2)))</f>
        <v/>
      </c>
      <c r="AC5" t="str">
        <f>IF($A5="","",IF(OR(parametros!$C$3="",parametros!$I$3=""),0,ROUND(SUMIFS(aditivos!$L$2:$L$200,aditivos!$A$2:$A$200,$A5,aditivos!$C$2:$C$200,"C1",aditivos!$B$2:$B$200,"&gt;="&amp;(INT(parametros!$I$3)+1)),2)))</f>
        <v/>
      </c>
      <c r="AD5" t="str">
        <f>IF($A5="","",IF(OR(parametros!$C$4="",parametros!$I$4=""),0,ROUND(SUMIFS(aditivos!$L$2:$L$200,aditivos!$A$2:$A$200,$A5,aditivos!$C$2:$C$200,"C2",aditivos!$B$2:$B$200,"&gt;="&amp;(INT(parametros!$I$4)+1)),2)))</f>
        <v/>
      </c>
      <c r="AE5" t="str">
        <f>IF($A5="","",IF(OR(parametros!$C$5="",parametros!$I$5=""),0,ROUND(SUMIFS(aditivos!$L$2:$L$200,aditivos!$A$2:$A$200,$A5,aditivos!$C$2:$C$200,"C3",aditivos!$B$2:$B$200,"&gt;="&amp;(INT(parametros!$I$5)+1)),2)))</f>
        <v/>
      </c>
      <c r="AF5" t="str">
        <f>IF($A5="","",IF(OR(parametros!$C$6="",parametros!$I$6=""),0,ROUND(SUMIFS(aditivos!$L$2:$L$200,aditivos!$A$2:$A$200,$A5,aditivos!$C$2:$C$200,"C4",aditivos!$B$2:$B$200,"&gt;="&amp;(INT(parametros!$I$6)+1)),2)))</f>
        <v/>
      </c>
      <c r="AG5" t="str">
        <f t="shared" si="12"/>
        <v/>
      </c>
      <c r="AH5" t="str">
        <f t="shared" si="13"/>
        <v/>
      </c>
      <c r="AI5" t="str">
        <f t="shared" si="14"/>
        <v/>
      </c>
      <c r="AJ5" t="str">
        <f t="shared" si="15"/>
        <v/>
      </c>
      <c r="AK5" t="str">
        <f t="shared" si="16"/>
        <v/>
      </c>
      <c r="AL5" t="str">
        <f t="shared" si="17"/>
        <v/>
      </c>
    </row>
    <row r="6" spans="1:38" x14ac:dyDescent="0.35">
      <c r="A6" s="146" t="str">
        <f>IF(itens_Remanesc!A6="","",itens_Remanesc!A6)</f>
        <v/>
      </c>
      <c r="B6" s="196" t="str">
        <f>IF(A6="","",itens_Remanesc!C6)</f>
        <v/>
      </c>
      <c r="C6" s="161" t="str">
        <f>IF(A6="","",IF(itens_Remanesc!B6="",0,itens_Remanesc!B6))</f>
        <v/>
      </c>
      <c r="D6" s="163" t="str">
        <f>IF(A6="","",ROUND(SUMIFS(aditivos!$L$2:$L$200,aditivos!$A$2:$A$200,A6,aditivos!$C$2:$C$200,"C0"),2))</f>
        <v/>
      </c>
      <c r="E6" s="159" t="str">
        <f t="shared" si="0"/>
        <v/>
      </c>
      <c r="F6" s="159" t="str">
        <f>IF(A6="","",IF(itens_Remanesc!B6&lt;&gt;"",itens_Remanesc!B6,IF($Z6,0,"")))</f>
        <v/>
      </c>
      <c r="G6" s="167" t="str">
        <f t="shared" si="1"/>
        <v/>
      </c>
      <c r="H6" s="169" t="str">
        <f>IF(A6="","",ROUND(SUMIFS(aditivos!$L$2:$L$200,aditivos!$A$2:$A$200,A6,aditivos!$C$2:$C$200,"C1"),2))</f>
        <v/>
      </c>
      <c r="I6" s="165" t="str">
        <f t="shared" si="2"/>
        <v/>
      </c>
      <c r="J6" s="165" t="str">
        <f>IF(A6="","",IF(itens_Remanesc!E6="","",itens_Remanesc!E6))</f>
        <v/>
      </c>
      <c r="K6" s="171" t="str">
        <f t="shared" si="3"/>
        <v/>
      </c>
      <c r="L6" s="163" t="str">
        <f>IF(A6="","",ROUND(SUMIFS(aditivos!$L$2:$L$200,aditivos!$A$2:$A$200,A6,aditivos!$C$2:$C$200,"C2"),2))</f>
        <v/>
      </c>
      <c r="M6" s="159" t="str">
        <f t="shared" si="4"/>
        <v/>
      </c>
      <c r="N6" s="159" t="str">
        <f>IF(A6="","",IF(itens_Remanesc!G6="","",itens_Remanesc!G6))</f>
        <v/>
      </c>
      <c r="O6" s="167" t="str">
        <f t="shared" si="5"/>
        <v/>
      </c>
      <c r="P6" s="169" t="str">
        <f>IF(A6="","",ROUND(SUMIFS(aditivos!$L$2:$L$200,aditivos!$A$2:$A$200,A6,aditivos!$C$2:$C$200,"C3"),2))</f>
        <v/>
      </c>
      <c r="Q6" s="165" t="str">
        <f t="shared" si="6"/>
        <v/>
      </c>
      <c r="R6" s="165" t="str">
        <f>IF(A6="","",IF(itens_Remanesc!I6="","",itens_Remanesc!I6))</f>
        <v/>
      </c>
      <c r="S6" s="171" t="str">
        <f t="shared" si="7"/>
        <v/>
      </c>
      <c r="T6" s="163" t="str">
        <f>IF(A6="","",ROUND(SUMIFS(aditivos!$L$2:$L$200,aditivos!$A$2:$A$200,A6,aditivos!$C$2:$C$200,"C4"),2))</f>
        <v/>
      </c>
      <c r="U6" s="159" t="str">
        <f t="shared" si="8"/>
        <v/>
      </c>
      <c r="V6" s="159" t="str">
        <f>IF(A6="","",IF(itens_Remanesc!K6="","",itens_Remanesc!K6))</f>
        <v/>
      </c>
      <c r="W6" s="159" t="str">
        <f t="shared" si="9"/>
        <v/>
      </c>
      <c r="X6" s="146" t="str">
        <f>IF(A6="","",IF(COUNTIF($A$2:$A$200,A6)&gt;1,"ALERTA: ITEM_DUPLICADO",IF(AND($Z6,ISNUMBER(itens_Remanesc!B6),itens_Remanesc!B6&lt;&gt;0),"NOVO ITEM COM BASE DIFERENTE DE 0 - AJUSTAR itens_Remanesc",IF(AND($Z6,NOT(ISNUMBER(itens_Remanesc!C6))),"NOVO ITEM SEM VU_ORIGINAL - INFORMAR EM itens_Remanesc",IF(MIN(E6,I6,M6,Q6,U6,G6,K6,O6,S6,W6)&lt;0,"ALERTA: POSICAO_NEGATIVA",IF(OR(AND(G6&lt;&gt;"",G6&gt;E6),AND(K6&lt;&gt;"",K6&gt;I6),AND(O6&lt;&gt;"",O6&gt;M6),AND(S6&lt;&gt;"",S6&gt;Q6),AND(W6&lt;&gt;"",W6&gt;U6)),"ALERTA: REMANESCENTE_SUPERA_POSICAO","OK"))))))</f>
        <v/>
      </c>
      <c r="Y6" t="str">
        <f t="shared" si="10"/>
        <v/>
      </c>
      <c r="Z6" t="b">
        <f t="shared" si="11"/>
        <v>0</v>
      </c>
      <c r="AA6" s="208" t="str">
        <f>IF($A6="","",IF(COUNTIFS(aditivos!$A$2:$A$200,$A6,aditivos!$L$2:$L$200,"&lt;&gt;",aditivos!$L$2:$L$200,"&lt;&gt;0",aditivos!$B$2:$B$200,"&gt;0")=0,"",IFERROR(_xlfn.MINIFS(aditivos!$B$2:$B$200,aditivos!$A$2:$A$200,$A6,aditivos!$L$2:$L$200,"&lt;&gt;",aditivos!$L$2:$L$200,"&lt;&gt;0",aditivos!$B$2:$B$200,"&gt;0"),"")))</f>
        <v/>
      </c>
      <c r="AB6" t="str">
        <f>IF($A6="","",IF(OR(parametros!$C$2="",parametros!$I$2=""),0,ROUND(SUMIFS(aditivos!$L$2:$L$200,aditivos!$A$2:$A$200,$A6,aditivos!$C$2:$C$200,"C0",aditivos!$B$2:$B$200,"&gt;="&amp;(INT(parametros!$I$2)+1)),2)))</f>
        <v/>
      </c>
      <c r="AC6" t="str">
        <f>IF($A6="","",IF(OR(parametros!$C$3="",parametros!$I$3=""),0,ROUND(SUMIFS(aditivos!$L$2:$L$200,aditivos!$A$2:$A$200,$A6,aditivos!$C$2:$C$200,"C1",aditivos!$B$2:$B$200,"&gt;="&amp;(INT(parametros!$I$3)+1)),2)))</f>
        <v/>
      </c>
      <c r="AD6" t="str">
        <f>IF($A6="","",IF(OR(parametros!$C$4="",parametros!$I$4=""),0,ROUND(SUMIFS(aditivos!$L$2:$L$200,aditivos!$A$2:$A$200,$A6,aditivos!$C$2:$C$200,"C2",aditivos!$B$2:$B$200,"&gt;="&amp;(INT(parametros!$I$4)+1)),2)))</f>
        <v/>
      </c>
      <c r="AE6" t="str">
        <f>IF($A6="","",IF(OR(parametros!$C$5="",parametros!$I$5=""),0,ROUND(SUMIFS(aditivos!$L$2:$L$200,aditivos!$A$2:$A$200,$A6,aditivos!$C$2:$C$200,"C3",aditivos!$B$2:$B$200,"&gt;="&amp;(INT(parametros!$I$5)+1)),2)))</f>
        <v/>
      </c>
      <c r="AF6" t="str">
        <f>IF($A6="","",IF(OR(parametros!$C$6="",parametros!$I$6=""),0,ROUND(SUMIFS(aditivos!$L$2:$L$200,aditivos!$A$2:$A$200,$A6,aditivos!$C$2:$C$200,"C4",aditivos!$B$2:$B$200,"&gt;="&amp;(INT(parametros!$I$6)+1)),2)))</f>
        <v/>
      </c>
      <c r="AG6" t="str">
        <f t="shared" si="12"/>
        <v/>
      </c>
      <c r="AH6" t="str">
        <f t="shared" si="13"/>
        <v/>
      </c>
      <c r="AI6" t="str">
        <f t="shared" si="14"/>
        <v/>
      </c>
      <c r="AJ6" t="str">
        <f t="shared" si="15"/>
        <v/>
      </c>
      <c r="AK6" t="str">
        <f t="shared" si="16"/>
        <v/>
      </c>
      <c r="AL6" t="str">
        <f t="shared" si="17"/>
        <v/>
      </c>
    </row>
    <row r="7" spans="1:38" x14ac:dyDescent="0.35">
      <c r="A7" s="146" t="str">
        <f>IF(itens_Remanesc!A7="","",itens_Remanesc!A7)</f>
        <v/>
      </c>
      <c r="B7" s="196" t="str">
        <f>IF(A7="","",itens_Remanesc!C7)</f>
        <v/>
      </c>
      <c r="C7" s="161" t="str">
        <f>IF(A7="","",IF(itens_Remanesc!B7="",0,itens_Remanesc!B7))</f>
        <v/>
      </c>
      <c r="D7" s="163" t="str">
        <f>IF(A7="","",ROUND(SUMIFS(aditivos!$L$2:$L$200,aditivos!$A$2:$A$200,A7,aditivos!$C$2:$C$200,"C0"),2))</f>
        <v/>
      </c>
      <c r="E7" s="159" t="str">
        <f t="shared" si="0"/>
        <v/>
      </c>
      <c r="F7" s="159" t="str">
        <f>IF(A7="","",IF(itens_Remanesc!B7&lt;&gt;"",itens_Remanesc!B7,IF($Z7,0,"")))</f>
        <v/>
      </c>
      <c r="G7" s="167" t="str">
        <f t="shared" si="1"/>
        <v/>
      </c>
      <c r="H7" s="169" t="str">
        <f>IF(A7="","",ROUND(SUMIFS(aditivos!$L$2:$L$200,aditivos!$A$2:$A$200,A7,aditivos!$C$2:$C$200,"C1"),2))</f>
        <v/>
      </c>
      <c r="I7" s="165" t="str">
        <f t="shared" si="2"/>
        <v/>
      </c>
      <c r="J7" s="165" t="str">
        <f>IF(A7="","",IF(itens_Remanesc!E7="","",itens_Remanesc!E7))</f>
        <v/>
      </c>
      <c r="K7" s="171" t="str">
        <f t="shared" si="3"/>
        <v/>
      </c>
      <c r="L7" s="163" t="str">
        <f>IF(A7="","",ROUND(SUMIFS(aditivos!$L$2:$L$200,aditivos!$A$2:$A$200,A7,aditivos!$C$2:$C$200,"C2"),2))</f>
        <v/>
      </c>
      <c r="M7" s="159" t="str">
        <f t="shared" si="4"/>
        <v/>
      </c>
      <c r="N7" s="159" t="str">
        <f>IF(A7="","",IF(itens_Remanesc!G7="","",itens_Remanesc!G7))</f>
        <v/>
      </c>
      <c r="O7" s="167" t="str">
        <f t="shared" si="5"/>
        <v/>
      </c>
      <c r="P7" s="169" t="str">
        <f>IF(A7="","",ROUND(SUMIFS(aditivos!$L$2:$L$200,aditivos!$A$2:$A$200,A7,aditivos!$C$2:$C$200,"C3"),2))</f>
        <v/>
      </c>
      <c r="Q7" s="165" t="str">
        <f t="shared" si="6"/>
        <v/>
      </c>
      <c r="R7" s="165" t="str">
        <f>IF(A7="","",IF(itens_Remanesc!I7="","",itens_Remanesc!I7))</f>
        <v/>
      </c>
      <c r="S7" s="171" t="str">
        <f t="shared" si="7"/>
        <v/>
      </c>
      <c r="T7" s="163" t="str">
        <f>IF(A7="","",ROUND(SUMIFS(aditivos!$L$2:$L$200,aditivos!$A$2:$A$200,A7,aditivos!$C$2:$C$200,"C4"),2))</f>
        <v/>
      </c>
      <c r="U7" s="159" t="str">
        <f t="shared" si="8"/>
        <v/>
      </c>
      <c r="V7" s="159" t="str">
        <f>IF(A7="","",IF(itens_Remanesc!K7="","",itens_Remanesc!K7))</f>
        <v/>
      </c>
      <c r="W7" s="159" t="str">
        <f t="shared" si="9"/>
        <v/>
      </c>
      <c r="X7" s="146" t="str">
        <f>IF(A7="","",IF(COUNTIF($A$2:$A$200,A7)&gt;1,"ALERTA: ITEM_DUPLICADO",IF(AND($Z7,ISNUMBER(itens_Remanesc!B7),itens_Remanesc!B7&lt;&gt;0),"NOVO ITEM COM BASE DIFERENTE DE 0 - AJUSTAR itens_Remanesc",IF(AND($Z7,NOT(ISNUMBER(itens_Remanesc!C7))),"NOVO ITEM SEM VU_ORIGINAL - INFORMAR EM itens_Remanesc",IF(MIN(E7,I7,M7,Q7,U7,G7,K7,O7,S7,W7)&lt;0,"ALERTA: POSICAO_NEGATIVA",IF(OR(AND(G7&lt;&gt;"",G7&gt;E7),AND(K7&lt;&gt;"",K7&gt;I7),AND(O7&lt;&gt;"",O7&gt;M7),AND(S7&lt;&gt;"",S7&gt;Q7),AND(W7&lt;&gt;"",W7&gt;U7)),"ALERTA: REMANESCENTE_SUPERA_POSICAO","OK"))))))</f>
        <v/>
      </c>
      <c r="Y7" t="str">
        <f t="shared" si="10"/>
        <v/>
      </c>
      <c r="Z7" t="b">
        <f t="shared" si="11"/>
        <v>0</v>
      </c>
      <c r="AA7" s="208" t="str">
        <f>IF($A7="","",IF(COUNTIFS(aditivos!$A$2:$A$200,$A7,aditivos!$L$2:$L$200,"&lt;&gt;",aditivos!$L$2:$L$200,"&lt;&gt;0",aditivos!$B$2:$B$200,"&gt;0")=0,"",IFERROR(_xlfn.MINIFS(aditivos!$B$2:$B$200,aditivos!$A$2:$A$200,$A7,aditivos!$L$2:$L$200,"&lt;&gt;",aditivos!$L$2:$L$200,"&lt;&gt;0",aditivos!$B$2:$B$200,"&gt;0"),"")))</f>
        <v/>
      </c>
      <c r="AB7" t="str">
        <f>IF($A7="","",IF(OR(parametros!$C$2="",parametros!$I$2=""),0,ROUND(SUMIFS(aditivos!$L$2:$L$200,aditivos!$A$2:$A$200,$A7,aditivos!$C$2:$C$200,"C0",aditivos!$B$2:$B$200,"&gt;="&amp;(INT(parametros!$I$2)+1)),2)))</f>
        <v/>
      </c>
      <c r="AC7" t="str">
        <f>IF($A7="","",IF(OR(parametros!$C$3="",parametros!$I$3=""),0,ROUND(SUMIFS(aditivos!$L$2:$L$200,aditivos!$A$2:$A$200,$A7,aditivos!$C$2:$C$200,"C1",aditivos!$B$2:$B$200,"&gt;="&amp;(INT(parametros!$I$3)+1)),2)))</f>
        <v/>
      </c>
      <c r="AD7" t="str">
        <f>IF($A7="","",IF(OR(parametros!$C$4="",parametros!$I$4=""),0,ROUND(SUMIFS(aditivos!$L$2:$L$200,aditivos!$A$2:$A$200,$A7,aditivos!$C$2:$C$200,"C2",aditivos!$B$2:$B$200,"&gt;="&amp;(INT(parametros!$I$4)+1)),2)))</f>
        <v/>
      </c>
      <c r="AE7" t="str">
        <f>IF($A7="","",IF(OR(parametros!$C$5="",parametros!$I$5=""),0,ROUND(SUMIFS(aditivos!$L$2:$L$200,aditivos!$A$2:$A$200,$A7,aditivos!$C$2:$C$200,"C3",aditivos!$B$2:$B$200,"&gt;="&amp;(INT(parametros!$I$5)+1)),2)))</f>
        <v/>
      </c>
      <c r="AF7" t="str">
        <f>IF($A7="","",IF(OR(parametros!$C$6="",parametros!$I$6=""),0,ROUND(SUMIFS(aditivos!$L$2:$L$200,aditivos!$A$2:$A$200,$A7,aditivos!$C$2:$C$200,"C4",aditivos!$B$2:$B$200,"&gt;="&amp;(INT(parametros!$I$6)+1)),2)))</f>
        <v/>
      </c>
      <c r="AG7" t="str">
        <f t="shared" si="12"/>
        <v/>
      </c>
      <c r="AH7" t="str">
        <f t="shared" si="13"/>
        <v/>
      </c>
      <c r="AI7" t="str">
        <f t="shared" si="14"/>
        <v/>
      </c>
      <c r="AJ7" t="str">
        <f t="shared" si="15"/>
        <v/>
      </c>
      <c r="AK7" t="str">
        <f t="shared" si="16"/>
        <v/>
      </c>
      <c r="AL7" t="str">
        <f t="shared" si="17"/>
        <v/>
      </c>
    </row>
    <row r="8" spans="1:38" x14ac:dyDescent="0.35">
      <c r="A8" s="146" t="str">
        <f>IF(itens_Remanesc!A8="","",itens_Remanesc!A8)</f>
        <v/>
      </c>
      <c r="B8" s="196" t="str">
        <f>IF(A8="","",itens_Remanesc!C8)</f>
        <v/>
      </c>
      <c r="C8" s="161" t="str">
        <f>IF(A8="","",IF(itens_Remanesc!B8="",0,itens_Remanesc!B8))</f>
        <v/>
      </c>
      <c r="D8" s="163" t="str">
        <f>IF(A8="","",ROUND(SUMIFS(aditivos!$L$2:$L$200,aditivos!$A$2:$A$200,A8,aditivos!$C$2:$C$200,"C0"),2))</f>
        <v/>
      </c>
      <c r="E8" s="159" t="str">
        <f t="shared" si="0"/>
        <v/>
      </c>
      <c r="F8" s="159" t="str">
        <f>IF(A8="","",IF(itens_Remanesc!B8&lt;&gt;"",itens_Remanesc!B8,IF($Z8,0,"")))</f>
        <v/>
      </c>
      <c r="G8" s="167" t="str">
        <f t="shared" si="1"/>
        <v/>
      </c>
      <c r="H8" s="169" t="str">
        <f>IF(A8="","",ROUND(SUMIFS(aditivos!$L$2:$L$200,aditivos!$A$2:$A$200,A8,aditivos!$C$2:$C$200,"C1"),2))</f>
        <v/>
      </c>
      <c r="I8" s="165" t="str">
        <f t="shared" si="2"/>
        <v/>
      </c>
      <c r="J8" s="165" t="str">
        <f>IF(A8="","",IF(itens_Remanesc!E8="","",itens_Remanesc!E8))</f>
        <v/>
      </c>
      <c r="K8" s="171" t="str">
        <f t="shared" si="3"/>
        <v/>
      </c>
      <c r="L8" s="163" t="str">
        <f>IF(A8="","",ROUND(SUMIFS(aditivos!$L$2:$L$200,aditivos!$A$2:$A$200,A8,aditivos!$C$2:$C$200,"C2"),2))</f>
        <v/>
      </c>
      <c r="M8" s="159" t="str">
        <f t="shared" si="4"/>
        <v/>
      </c>
      <c r="N8" s="159" t="str">
        <f>IF(A8="","",IF(itens_Remanesc!G8="","",itens_Remanesc!G8))</f>
        <v/>
      </c>
      <c r="O8" s="167" t="str">
        <f t="shared" si="5"/>
        <v/>
      </c>
      <c r="P8" s="169" t="str">
        <f>IF(A8="","",ROUND(SUMIFS(aditivos!$L$2:$L$200,aditivos!$A$2:$A$200,A8,aditivos!$C$2:$C$200,"C3"),2))</f>
        <v/>
      </c>
      <c r="Q8" s="165" t="str">
        <f t="shared" si="6"/>
        <v/>
      </c>
      <c r="R8" s="165" t="str">
        <f>IF(A8="","",IF(itens_Remanesc!I8="","",itens_Remanesc!I8))</f>
        <v/>
      </c>
      <c r="S8" s="171" t="str">
        <f t="shared" si="7"/>
        <v/>
      </c>
      <c r="T8" s="163" t="str">
        <f>IF(A8="","",ROUND(SUMIFS(aditivos!$L$2:$L$200,aditivos!$A$2:$A$200,A8,aditivos!$C$2:$C$200,"C4"),2))</f>
        <v/>
      </c>
      <c r="U8" s="159" t="str">
        <f t="shared" si="8"/>
        <v/>
      </c>
      <c r="V8" s="159" t="str">
        <f>IF(A8="","",IF(itens_Remanesc!K8="","",itens_Remanesc!K8))</f>
        <v/>
      </c>
      <c r="W8" s="159" t="str">
        <f t="shared" si="9"/>
        <v/>
      </c>
      <c r="X8" s="146" t="str">
        <f>IF(A8="","",IF(COUNTIF($A$2:$A$200,A8)&gt;1,"ALERTA: ITEM_DUPLICADO",IF(AND($Z8,ISNUMBER(itens_Remanesc!B8),itens_Remanesc!B8&lt;&gt;0),"NOVO ITEM COM BASE DIFERENTE DE 0 - AJUSTAR itens_Remanesc",IF(AND($Z8,NOT(ISNUMBER(itens_Remanesc!C8))),"NOVO ITEM SEM VU_ORIGINAL - INFORMAR EM itens_Remanesc",IF(MIN(E8,I8,M8,Q8,U8,G8,K8,O8,S8,W8)&lt;0,"ALERTA: POSICAO_NEGATIVA",IF(OR(AND(G8&lt;&gt;"",G8&gt;E8),AND(K8&lt;&gt;"",K8&gt;I8),AND(O8&lt;&gt;"",O8&gt;M8),AND(S8&lt;&gt;"",S8&gt;Q8),AND(W8&lt;&gt;"",W8&gt;U8)),"ALERTA: REMANESCENTE_SUPERA_POSICAO","OK"))))))</f>
        <v/>
      </c>
      <c r="Y8" t="str">
        <f t="shared" si="10"/>
        <v/>
      </c>
      <c r="Z8" t="b">
        <f t="shared" si="11"/>
        <v>0</v>
      </c>
      <c r="AA8" s="208" t="str">
        <f>IF($A8="","",IF(COUNTIFS(aditivos!$A$2:$A$200,$A8,aditivos!$L$2:$L$200,"&lt;&gt;",aditivos!$L$2:$L$200,"&lt;&gt;0",aditivos!$B$2:$B$200,"&gt;0")=0,"",IFERROR(_xlfn.MINIFS(aditivos!$B$2:$B$200,aditivos!$A$2:$A$200,$A8,aditivos!$L$2:$L$200,"&lt;&gt;",aditivos!$L$2:$L$200,"&lt;&gt;0",aditivos!$B$2:$B$200,"&gt;0"),"")))</f>
        <v/>
      </c>
      <c r="AB8" t="str">
        <f>IF($A8="","",IF(OR(parametros!$C$2="",parametros!$I$2=""),0,ROUND(SUMIFS(aditivos!$L$2:$L$200,aditivos!$A$2:$A$200,$A8,aditivos!$C$2:$C$200,"C0",aditivos!$B$2:$B$200,"&gt;="&amp;(INT(parametros!$I$2)+1)),2)))</f>
        <v/>
      </c>
      <c r="AC8" t="str">
        <f>IF($A8="","",IF(OR(parametros!$C$3="",parametros!$I$3=""),0,ROUND(SUMIFS(aditivos!$L$2:$L$200,aditivos!$A$2:$A$200,$A8,aditivos!$C$2:$C$200,"C1",aditivos!$B$2:$B$200,"&gt;="&amp;(INT(parametros!$I$3)+1)),2)))</f>
        <v/>
      </c>
      <c r="AD8" t="str">
        <f>IF($A8="","",IF(OR(parametros!$C$4="",parametros!$I$4=""),0,ROUND(SUMIFS(aditivos!$L$2:$L$200,aditivos!$A$2:$A$200,$A8,aditivos!$C$2:$C$200,"C2",aditivos!$B$2:$B$200,"&gt;="&amp;(INT(parametros!$I$4)+1)),2)))</f>
        <v/>
      </c>
      <c r="AE8" t="str">
        <f>IF($A8="","",IF(OR(parametros!$C$5="",parametros!$I$5=""),0,ROUND(SUMIFS(aditivos!$L$2:$L$200,aditivos!$A$2:$A$200,$A8,aditivos!$C$2:$C$200,"C3",aditivos!$B$2:$B$200,"&gt;="&amp;(INT(parametros!$I$5)+1)),2)))</f>
        <v/>
      </c>
      <c r="AF8" t="str">
        <f>IF($A8="","",IF(OR(parametros!$C$6="",parametros!$I$6=""),0,ROUND(SUMIFS(aditivos!$L$2:$L$200,aditivos!$A$2:$A$200,$A8,aditivos!$C$2:$C$200,"C4",aditivos!$B$2:$B$200,"&gt;="&amp;(INT(parametros!$I$6)+1)),2)))</f>
        <v/>
      </c>
      <c r="AG8" t="str">
        <f t="shared" si="12"/>
        <v/>
      </c>
      <c r="AH8" t="str">
        <f t="shared" si="13"/>
        <v/>
      </c>
      <c r="AI8" t="str">
        <f t="shared" si="14"/>
        <v/>
      </c>
      <c r="AJ8" t="str">
        <f t="shared" si="15"/>
        <v/>
      </c>
      <c r="AK8" t="str">
        <f t="shared" si="16"/>
        <v/>
      </c>
      <c r="AL8" t="str">
        <f t="shared" si="17"/>
        <v/>
      </c>
    </row>
    <row r="9" spans="1:38" x14ac:dyDescent="0.35">
      <c r="A9" s="146" t="str">
        <f>IF(itens_Remanesc!A9="","",itens_Remanesc!A9)</f>
        <v/>
      </c>
      <c r="B9" s="196" t="str">
        <f>IF(A9="","",itens_Remanesc!C9)</f>
        <v/>
      </c>
      <c r="C9" s="161" t="str">
        <f>IF(A9="","",IF(itens_Remanesc!B9="",0,itens_Remanesc!B9))</f>
        <v/>
      </c>
      <c r="D9" s="163" t="str">
        <f>IF(A9="","",ROUND(SUMIFS(aditivos!$L$2:$L$200,aditivos!$A$2:$A$200,A9,aditivos!$C$2:$C$200,"C0"),2))</f>
        <v/>
      </c>
      <c r="E9" s="159" t="str">
        <f t="shared" si="0"/>
        <v/>
      </c>
      <c r="F9" s="159" t="str">
        <f>IF(A9="","",IF(itens_Remanesc!B9&lt;&gt;"",itens_Remanesc!B9,IF($Z9,0,"")))</f>
        <v/>
      </c>
      <c r="G9" s="167" t="str">
        <f t="shared" si="1"/>
        <v/>
      </c>
      <c r="H9" s="169" t="str">
        <f>IF(A9="","",ROUND(SUMIFS(aditivos!$L$2:$L$200,aditivos!$A$2:$A$200,A9,aditivos!$C$2:$C$200,"C1"),2))</f>
        <v/>
      </c>
      <c r="I9" s="165" t="str">
        <f t="shared" si="2"/>
        <v/>
      </c>
      <c r="J9" s="165" t="str">
        <f>IF(A9="","",IF(itens_Remanesc!E9="","",itens_Remanesc!E9))</f>
        <v/>
      </c>
      <c r="K9" s="171" t="str">
        <f t="shared" si="3"/>
        <v/>
      </c>
      <c r="L9" s="163" t="str">
        <f>IF(A9="","",ROUND(SUMIFS(aditivos!$L$2:$L$200,aditivos!$A$2:$A$200,A9,aditivos!$C$2:$C$200,"C2"),2))</f>
        <v/>
      </c>
      <c r="M9" s="159" t="str">
        <f t="shared" si="4"/>
        <v/>
      </c>
      <c r="N9" s="159" t="str">
        <f>IF(A9="","",IF(itens_Remanesc!G9="","",itens_Remanesc!G9))</f>
        <v/>
      </c>
      <c r="O9" s="167" t="str">
        <f t="shared" si="5"/>
        <v/>
      </c>
      <c r="P9" s="169" t="str">
        <f>IF(A9="","",ROUND(SUMIFS(aditivos!$L$2:$L$200,aditivos!$A$2:$A$200,A9,aditivos!$C$2:$C$200,"C3"),2))</f>
        <v/>
      </c>
      <c r="Q9" s="165" t="str">
        <f t="shared" si="6"/>
        <v/>
      </c>
      <c r="R9" s="165" t="str">
        <f>IF(A9="","",IF(itens_Remanesc!I9="","",itens_Remanesc!I9))</f>
        <v/>
      </c>
      <c r="S9" s="171" t="str">
        <f t="shared" si="7"/>
        <v/>
      </c>
      <c r="T9" s="163" t="str">
        <f>IF(A9="","",ROUND(SUMIFS(aditivos!$L$2:$L$200,aditivos!$A$2:$A$200,A9,aditivos!$C$2:$C$200,"C4"),2))</f>
        <v/>
      </c>
      <c r="U9" s="159" t="str">
        <f t="shared" si="8"/>
        <v/>
      </c>
      <c r="V9" s="159" t="str">
        <f>IF(A9="","",IF(itens_Remanesc!K9="","",itens_Remanesc!K9))</f>
        <v/>
      </c>
      <c r="W9" s="159" t="str">
        <f t="shared" si="9"/>
        <v/>
      </c>
      <c r="X9" s="146" t="str">
        <f>IF(A9="","",IF(COUNTIF($A$2:$A$200,A9)&gt;1,"ALERTA: ITEM_DUPLICADO",IF(AND($Z9,ISNUMBER(itens_Remanesc!B9),itens_Remanesc!B9&lt;&gt;0),"NOVO ITEM COM BASE DIFERENTE DE 0 - AJUSTAR itens_Remanesc",IF(AND($Z9,NOT(ISNUMBER(itens_Remanesc!C9))),"NOVO ITEM SEM VU_ORIGINAL - INFORMAR EM itens_Remanesc",IF(MIN(E9,I9,M9,Q9,U9,G9,K9,O9,S9,W9)&lt;0,"ALERTA: POSICAO_NEGATIVA",IF(OR(AND(G9&lt;&gt;"",G9&gt;E9),AND(K9&lt;&gt;"",K9&gt;I9),AND(O9&lt;&gt;"",O9&gt;M9),AND(S9&lt;&gt;"",S9&gt;Q9),AND(W9&lt;&gt;"",W9&gt;U9)),"ALERTA: REMANESCENTE_SUPERA_POSICAO","OK"))))))</f>
        <v/>
      </c>
      <c r="Y9" t="str">
        <f t="shared" si="10"/>
        <v/>
      </c>
      <c r="Z9" t="b">
        <f t="shared" si="11"/>
        <v>0</v>
      </c>
      <c r="AA9" s="208" t="str">
        <f>IF($A9="","",IF(COUNTIFS(aditivos!$A$2:$A$200,$A9,aditivos!$L$2:$L$200,"&lt;&gt;",aditivos!$L$2:$L$200,"&lt;&gt;0",aditivos!$B$2:$B$200,"&gt;0")=0,"",IFERROR(_xlfn.MINIFS(aditivos!$B$2:$B$200,aditivos!$A$2:$A$200,$A9,aditivos!$L$2:$L$200,"&lt;&gt;",aditivos!$L$2:$L$200,"&lt;&gt;0",aditivos!$B$2:$B$200,"&gt;0"),"")))</f>
        <v/>
      </c>
      <c r="AB9" t="str">
        <f>IF($A9="","",IF(OR(parametros!$C$2="",parametros!$I$2=""),0,ROUND(SUMIFS(aditivos!$L$2:$L$200,aditivos!$A$2:$A$200,$A9,aditivos!$C$2:$C$200,"C0",aditivos!$B$2:$B$200,"&gt;="&amp;(INT(parametros!$I$2)+1)),2)))</f>
        <v/>
      </c>
      <c r="AC9" t="str">
        <f>IF($A9="","",IF(OR(parametros!$C$3="",parametros!$I$3=""),0,ROUND(SUMIFS(aditivos!$L$2:$L$200,aditivos!$A$2:$A$200,$A9,aditivos!$C$2:$C$200,"C1",aditivos!$B$2:$B$200,"&gt;="&amp;(INT(parametros!$I$3)+1)),2)))</f>
        <v/>
      </c>
      <c r="AD9" t="str">
        <f>IF($A9="","",IF(OR(parametros!$C$4="",parametros!$I$4=""),0,ROUND(SUMIFS(aditivos!$L$2:$L$200,aditivos!$A$2:$A$200,$A9,aditivos!$C$2:$C$200,"C2",aditivos!$B$2:$B$200,"&gt;="&amp;(INT(parametros!$I$4)+1)),2)))</f>
        <v/>
      </c>
      <c r="AE9" t="str">
        <f>IF($A9="","",IF(OR(parametros!$C$5="",parametros!$I$5=""),0,ROUND(SUMIFS(aditivos!$L$2:$L$200,aditivos!$A$2:$A$200,$A9,aditivos!$C$2:$C$200,"C3",aditivos!$B$2:$B$200,"&gt;="&amp;(INT(parametros!$I$5)+1)),2)))</f>
        <v/>
      </c>
      <c r="AF9" t="str">
        <f>IF($A9="","",IF(OR(parametros!$C$6="",parametros!$I$6=""),0,ROUND(SUMIFS(aditivos!$L$2:$L$200,aditivos!$A$2:$A$200,$A9,aditivos!$C$2:$C$200,"C4",aditivos!$B$2:$B$200,"&gt;="&amp;(INT(parametros!$I$6)+1)),2)))</f>
        <v/>
      </c>
      <c r="AG9" t="str">
        <f t="shared" si="12"/>
        <v/>
      </c>
      <c r="AH9" t="str">
        <f t="shared" si="13"/>
        <v/>
      </c>
      <c r="AI9" t="str">
        <f t="shared" si="14"/>
        <v/>
      </c>
      <c r="AJ9" t="str">
        <f t="shared" si="15"/>
        <v/>
      </c>
      <c r="AK9" t="str">
        <f t="shared" si="16"/>
        <v/>
      </c>
      <c r="AL9" t="str">
        <f t="shared" si="17"/>
        <v/>
      </c>
    </row>
    <row r="10" spans="1:38" x14ac:dyDescent="0.35">
      <c r="A10" s="146" t="str">
        <f>IF(itens_Remanesc!A10="","",itens_Remanesc!A10)</f>
        <v/>
      </c>
      <c r="B10" s="196" t="str">
        <f>IF(A10="","",itens_Remanesc!C10)</f>
        <v/>
      </c>
      <c r="C10" s="161" t="str">
        <f>IF(A10="","",IF(itens_Remanesc!B10="",0,itens_Remanesc!B10))</f>
        <v/>
      </c>
      <c r="D10" s="163" t="str">
        <f>IF(A10="","",ROUND(SUMIFS(aditivos!$L$2:$L$200,aditivos!$A$2:$A$200,A10,aditivos!$C$2:$C$200,"C0"),2))</f>
        <v/>
      </c>
      <c r="E10" s="159" t="str">
        <f t="shared" si="0"/>
        <v/>
      </c>
      <c r="F10" s="159" t="str">
        <f>IF(A10="","",IF(itens_Remanesc!B10&lt;&gt;"",itens_Remanesc!B10,IF($Z10,0,"")))</f>
        <v/>
      </c>
      <c r="G10" s="167" t="str">
        <f t="shared" si="1"/>
        <v/>
      </c>
      <c r="H10" s="169" t="str">
        <f>IF(A10="","",ROUND(SUMIFS(aditivos!$L$2:$L$200,aditivos!$A$2:$A$200,A10,aditivos!$C$2:$C$200,"C1"),2))</f>
        <v/>
      </c>
      <c r="I10" s="165" t="str">
        <f t="shared" si="2"/>
        <v/>
      </c>
      <c r="J10" s="165" t="str">
        <f>IF(A10="","",IF(itens_Remanesc!E10="","",itens_Remanesc!E10))</f>
        <v/>
      </c>
      <c r="K10" s="171" t="str">
        <f t="shared" si="3"/>
        <v/>
      </c>
      <c r="L10" s="163" t="str">
        <f>IF(A10="","",ROUND(SUMIFS(aditivos!$L$2:$L$200,aditivos!$A$2:$A$200,A10,aditivos!$C$2:$C$200,"C2"),2))</f>
        <v/>
      </c>
      <c r="M10" s="159" t="str">
        <f t="shared" si="4"/>
        <v/>
      </c>
      <c r="N10" s="159" t="str">
        <f>IF(A10="","",IF(itens_Remanesc!G10="","",itens_Remanesc!G10))</f>
        <v/>
      </c>
      <c r="O10" s="167" t="str">
        <f t="shared" si="5"/>
        <v/>
      </c>
      <c r="P10" s="169" t="str">
        <f>IF(A10="","",ROUND(SUMIFS(aditivos!$L$2:$L$200,aditivos!$A$2:$A$200,A10,aditivos!$C$2:$C$200,"C3"),2))</f>
        <v/>
      </c>
      <c r="Q10" s="165" t="str">
        <f t="shared" si="6"/>
        <v/>
      </c>
      <c r="R10" s="165" t="str">
        <f>IF(A10="","",IF(itens_Remanesc!I10="","",itens_Remanesc!I10))</f>
        <v/>
      </c>
      <c r="S10" s="171" t="str">
        <f t="shared" si="7"/>
        <v/>
      </c>
      <c r="T10" s="163" t="str">
        <f>IF(A10="","",ROUND(SUMIFS(aditivos!$L$2:$L$200,aditivos!$A$2:$A$200,A10,aditivos!$C$2:$C$200,"C4"),2))</f>
        <v/>
      </c>
      <c r="U10" s="159" t="str">
        <f t="shared" si="8"/>
        <v/>
      </c>
      <c r="V10" s="159" t="str">
        <f>IF(A10="","",IF(itens_Remanesc!K10="","",itens_Remanesc!K10))</f>
        <v/>
      </c>
      <c r="W10" s="159" t="str">
        <f t="shared" si="9"/>
        <v/>
      </c>
      <c r="X10" s="146" t="str">
        <f>IF(A10="","",IF(COUNTIF($A$2:$A$200,A10)&gt;1,"ALERTA: ITEM_DUPLICADO",IF(AND($Z10,ISNUMBER(itens_Remanesc!B10),itens_Remanesc!B10&lt;&gt;0),"NOVO ITEM COM BASE DIFERENTE DE 0 - AJUSTAR itens_Remanesc",IF(AND($Z10,NOT(ISNUMBER(itens_Remanesc!C10))),"NOVO ITEM SEM VU_ORIGINAL - INFORMAR EM itens_Remanesc",IF(MIN(E10,I10,M10,Q10,U10,G10,K10,O10,S10,W10)&lt;0,"ALERTA: POSICAO_NEGATIVA",IF(OR(AND(G10&lt;&gt;"",G10&gt;E10),AND(K10&lt;&gt;"",K10&gt;I10),AND(O10&lt;&gt;"",O10&gt;M10),AND(S10&lt;&gt;"",S10&gt;Q10),AND(W10&lt;&gt;"",W10&gt;U10)),"ALERTA: REMANESCENTE_SUPERA_POSICAO","OK"))))))</f>
        <v/>
      </c>
      <c r="Y10" t="str">
        <f t="shared" si="10"/>
        <v/>
      </c>
      <c r="Z10" t="b">
        <f t="shared" si="11"/>
        <v>0</v>
      </c>
      <c r="AA10" s="208" t="str">
        <f>IF($A10="","",IF(COUNTIFS(aditivos!$A$2:$A$200,$A10,aditivos!$L$2:$L$200,"&lt;&gt;",aditivos!$L$2:$L$200,"&lt;&gt;0",aditivos!$B$2:$B$200,"&gt;0")=0,"",IFERROR(_xlfn.MINIFS(aditivos!$B$2:$B$200,aditivos!$A$2:$A$200,$A10,aditivos!$L$2:$L$200,"&lt;&gt;",aditivos!$L$2:$L$200,"&lt;&gt;0",aditivos!$B$2:$B$200,"&gt;0"),"")))</f>
        <v/>
      </c>
      <c r="AB10" t="str">
        <f>IF($A10="","",IF(OR(parametros!$C$2="",parametros!$I$2=""),0,ROUND(SUMIFS(aditivos!$L$2:$L$200,aditivos!$A$2:$A$200,$A10,aditivos!$C$2:$C$200,"C0",aditivos!$B$2:$B$200,"&gt;="&amp;(INT(parametros!$I$2)+1)),2)))</f>
        <v/>
      </c>
      <c r="AC10" t="str">
        <f>IF($A10="","",IF(OR(parametros!$C$3="",parametros!$I$3=""),0,ROUND(SUMIFS(aditivos!$L$2:$L$200,aditivos!$A$2:$A$200,$A10,aditivos!$C$2:$C$200,"C1",aditivos!$B$2:$B$200,"&gt;="&amp;(INT(parametros!$I$3)+1)),2)))</f>
        <v/>
      </c>
      <c r="AD10" t="str">
        <f>IF($A10="","",IF(OR(parametros!$C$4="",parametros!$I$4=""),0,ROUND(SUMIFS(aditivos!$L$2:$L$200,aditivos!$A$2:$A$200,$A10,aditivos!$C$2:$C$200,"C2",aditivos!$B$2:$B$200,"&gt;="&amp;(INT(parametros!$I$4)+1)),2)))</f>
        <v/>
      </c>
      <c r="AE10" t="str">
        <f>IF($A10="","",IF(OR(parametros!$C$5="",parametros!$I$5=""),0,ROUND(SUMIFS(aditivos!$L$2:$L$200,aditivos!$A$2:$A$200,$A10,aditivos!$C$2:$C$200,"C3",aditivos!$B$2:$B$200,"&gt;="&amp;(INT(parametros!$I$5)+1)),2)))</f>
        <v/>
      </c>
      <c r="AF10" t="str">
        <f>IF($A10="","",IF(OR(parametros!$C$6="",parametros!$I$6=""),0,ROUND(SUMIFS(aditivos!$L$2:$L$200,aditivos!$A$2:$A$200,$A10,aditivos!$C$2:$C$200,"C4",aditivos!$B$2:$B$200,"&gt;="&amp;(INT(parametros!$I$6)+1)),2)))</f>
        <v/>
      </c>
      <c r="AG10" t="str">
        <f t="shared" si="12"/>
        <v/>
      </c>
      <c r="AH10" t="str">
        <f t="shared" si="13"/>
        <v/>
      </c>
      <c r="AI10" t="str">
        <f t="shared" si="14"/>
        <v/>
      </c>
      <c r="AJ10" t="str">
        <f t="shared" si="15"/>
        <v/>
      </c>
      <c r="AK10" t="str">
        <f t="shared" si="16"/>
        <v/>
      </c>
      <c r="AL10" t="str">
        <f t="shared" si="17"/>
        <v/>
      </c>
    </row>
    <row r="11" spans="1:38" x14ac:dyDescent="0.35">
      <c r="A11" s="146" t="str">
        <f>IF(itens_Remanesc!A11="","",itens_Remanesc!A11)</f>
        <v/>
      </c>
      <c r="B11" s="196" t="str">
        <f>IF(A11="","",itens_Remanesc!C11)</f>
        <v/>
      </c>
      <c r="C11" s="161" t="str">
        <f>IF(A11="","",IF(itens_Remanesc!B11="",0,itens_Remanesc!B11))</f>
        <v/>
      </c>
      <c r="D11" s="163" t="str">
        <f>IF(A11="","",ROUND(SUMIFS(aditivos!$L$2:$L$200,aditivos!$A$2:$A$200,A11,aditivos!$C$2:$C$200,"C0"),2))</f>
        <v/>
      </c>
      <c r="E11" s="159" t="str">
        <f t="shared" si="0"/>
        <v/>
      </c>
      <c r="F11" s="159" t="str">
        <f>IF(A11="","",IF(itens_Remanesc!B11&lt;&gt;"",itens_Remanesc!B11,IF($Z11,0,"")))</f>
        <v/>
      </c>
      <c r="G11" s="167" t="str">
        <f t="shared" si="1"/>
        <v/>
      </c>
      <c r="H11" s="169" t="str">
        <f>IF(A11="","",ROUND(SUMIFS(aditivos!$L$2:$L$200,aditivos!$A$2:$A$200,A11,aditivos!$C$2:$C$200,"C1"),2))</f>
        <v/>
      </c>
      <c r="I11" s="165" t="str">
        <f t="shared" si="2"/>
        <v/>
      </c>
      <c r="J11" s="165" t="str">
        <f>IF(A11="","",IF(itens_Remanesc!E11="","",itens_Remanesc!E11))</f>
        <v/>
      </c>
      <c r="K11" s="171" t="str">
        <f t="shared" si="3"/>
        <v/>
      </c>
      <c r="L11" s="163" t="str">
        <f>IF(A11="","",ROUND(SUMIFS(aditivos!$L$2:$L$200,aditivos!$A$2:$A$200,A11,aditivos!$C$2:$C$200,"C2"),2))</f>
        <v/>
      </c>
      <c r="M11" s="159" t="str">
        <f t="shared" si="4"/>
        <v/>
      </c>
      <c r="N11" s="159" t="str">
        <f>IF(A11="","",IF(itens_Remanesc!G11="","",itens_Remanesc!G11))</f>
        <v/>
      </c>
      <c r="O11" s="167" t="str">
        <f t="shared" si="5"/>
        <v/>
      </c>
      <c r="P11" s="169" t="str">
        <f>IF(A11="","",ROUND(SUMIFS(aditivos!$L$2:$L$200,aditivos!$A$2:$A$200,A11,aditivos!$C$2:$C$200,"C3"),2))</f>
        <v/>
      </c>
      <c r="Q11" s="165" t="str">
        <f t="shared" si="6"/>
        <v/>
      </c>
      <c r="R11" s="165" t="str">
        <f>IF(A11="","",IF(itens_Remanesc!I11="","",itens_Remanesc!I11))</f>
        <v/>
      </c>
      <c r="S11" s="171" t="str">
        <f t="shared" si="7"/>
        <v/>
      </c>
      <c r="T11" s="163" t="str">
        <f>IF(A11="","",ROUND(SUMIFS(aditivos!$L$2:$L$200,aditivos!$A$2:$A$200,A11,aditivos!$C$2:$C$200,"C4"),2))</f>
        <v/>
      </c>
      <c r="U11" s="159" t="str">
        <f t="shared" si="8"/>
        <v/>
      </c>
      <c r="V11" s="159" t="str">
        <f>IF(A11="","",IF(itens_Remanesc!K11="","",itens_Remanesc!K11))</f>
        <v/>
      </c>
      <c r="W11" s="159" t="str">
        <f t="shared" si="9"/>
        <v/>
      </c>
      <c r="X11" s="146" t="str">
        <f>IF(A11="","",IF(COUNTIF($A$2:$A$200,A11)&gt;1,"ALERTA: ITEM_DUPLICADO",IF(AND($Z11,ISNUMBER(itens_Remanesc!B11),itens_Remanesc!B11&lt;&gt;0),"NOVO ITEM COM BASE DIFERENTE DE 0 - AJUSTAR itens_Remanesc",IF(AND($Z11,NOT(ISNUMBER(itens_Remanesc!C11))),"NOVO ITEM SEM VU_ORIGINAL - INFORMAR EM itens_Remanesc",IF(MIN(E11,I11,M11,Q11,U11,G11,K11,O11,S11,W11)&lt;0,"ALERTA: POSICAO_NEGATIVA",IF(OR(AND(G11&lt;&gt;"",G11&gt;E11),AND(K11&lt;&gt;"",K11&gt;I11),AND(O11&lt;&gt;"",O11&gt;M11),AND(S11&lt;&gt;"",S11&gt;Q11),AND(W11&lt;&gt;"",W11&gt;U11)),"ALERTA: REMANESCENTE_SUPERA_POSICAO","OK"))))))</f>
        <v/>
      </c>
      <c r="Y11" t="str">
        <f t="shared" si="10"/>
        <v/>
      </c>
      <c r="Z11" t="b">
        <f t="shared" si="11"/>
        <v>0</v>
      </c>
      <c r="AA11" s="208" t="str">
        <f>IF($A11="","",IF(COUNTIFS(aditivos!$A$2:$A$200,$A11,aditivos!$L$2:$L$200,"&lt;&gt;",aditivos!$L$2:$L$200,"&lt;&gt;0",aditivos!$B$2:$B$200,"&gt;0")=0,"",IFERROR(_xlfn.MINIFS(aditivos!$B$2:$B$200,aditivos!$A$2:$A$200,$A11,aditivos!$L$2:$L$200,"&lt;&gt;",aditivos!$L$2:$L$200,"&lt;&gt;0",aditivos!$B$2:$B$200,"&gt;0"),"")))</f>
        <v/>
      </c>
      <c r="AB11" t="str">
        <f>IF($A11="","",IF(OR(parametros!$C$2="",parametros!$I$2=""),0,ROUND(SUMIFS(aditivos!$L$2:$L$200,aditivos!$A$2:$A$200,$A11,aditivos!$C$2:$C$200,"C0",aditivos!$B$2:$B$200,"&gt;="&amp;(INT(parametros!$I$2)+1)),2)))</f>
        <v/>
      </c>
      <c r="AC11" t="str">
        <f>IF($A11="","",IF(OR(parametros!$C$3="",parametros!$I$3=""),0,ROUND(SUMIFS(aditivos!$L$2:$L$200,aditivos!$A$2:$A$200,$A11,aditivos!$C$2:$C$200,"C1",aditivos!$B$2:$B$200,"&gt;="&amp;(INT(parametros!$I$3)+1)),2)))</f>
        <v/>
      </c>
      <c r="AD11" t="str">
        <f>IF($A11="","",IF(OR(parametros!$C$4="",parametros!$I$4=""),0,ROUND(SUMIFS(aditivos!$L$2:$L$200,aditivos!$A$2:$A$200,$A11,aditivos!$C$2:$C$200,"C2",aditivos!$B$2:$B$200,"&gt;="&amp;(INT(parametros!$I$4)+1)),2)))</f>
        <v/>
      </c>
      <c r="AE11" t="str">
        <f>IF($A11="","",IF(OR(parametros!$C$5="",parametros!$I$5=""),0,ROUND(SUMIFS(aditivos!$L$2:$L$200,aditivos!$A$2:$A$200,$A11,aditivos!$C$2:$C$200,"C3",aditivos!$B$2:$B$200,"&gt;="&amp;(INT(parametros!$I$5)+1)),2)))</f>
        <v/>
      </c>
      <c r="AF11" t="str">
        <f>IF($A11="","",IF(OR(parametros!$C$6="",parametros!$I$6=""),0,ROUND(SUMIFS(aditivos!$L$2:$L$200,aditivos!$A$2:$A$200,$A11,aditivos!$C$2:$C$200,"C4",aditivos!$B$2:$B$200,"&gt;="&amp;(INT(parametros!$I$6)+1)),2)))</f>
        <v/>
      </c>
      <c r="AG11" t="str">
        <f t="shared" si="12"/>
        <v/>
      </c>
      <c r="AH11" t="str">
        <f t="shared" si="13"/>
        <v/>
      </c>
      <c r="AI11" t="str">
        <f t="shared" si="14"/>
        <v/>
      </c>
      <c r="AJ11" t="str">
        <f t="shared" si="15"/>
        <v/>
      </c>
      <c r="AK11" t="str">
        <f t="shared" si="16"/>
        <v/>
      </c>
      <c r="AL11" t="str">
        <f t="shared" si="17"/>
        <v/>
      </c>
    </row>
    <row r="12" spans="1:38" x14ac:dyDescent="0.35">
      <c r="A12" s="146" t="str">
        <f>IF(itens_Remanesc!A12="","",itens_Remanesc!A12)</f>
        <v/>
      </c>
      <c r="B12" s="196" t="str">
        <f>IF(A12="","",itens_Remanesc!C12)</f>
        <v/>
      </c>
      <c r="C12" s="161" t="str">
        <f>IF(A12="","",IF(itens_Remanesc!B12="",0,itens_Remanesc!B12))</f>
        <v/>
      </c>
      <c r="D12" s="163" t="str">
        <f>IF(A12="","",ROUND(SUMIFS(aditivos!$L$2:$L$200,aditivos!$A$2:$A$200,A12,aditivos!$C$2:$C$200,"C0"),2))</f>
        <v/>
      </c>
      <c r="E12" s="159" t="str">
        <f t="shared" si="0"/>
        <v/>
      </c>
      <c r="F12" s="159" t="str">
        <f>IF(A12="","",IF(itens_Remanesc!B12&lt;&gt;"",itens_Remanesc!B12,IF($Z12,0,"")))</f>
        <v/>
      </c>
      <c r="G12" s="167" t="str">
        <f t="shared" si="1"/>
        <v/>
      </c>
      <c r="H12" s="169" t="str">
        <f>IF(A12="","",ROUND(SUMIFS(aditivos!$L$2:$L$200,aditivos!$A$2:$A$200,A12,aditivos!$C$2:$C$200,"C1"),2))</f>
        <v/>
      </c>
      <c r="I12" s="165" t="str">
        <f t="shared" si="2"/>
        <v/>
      </c>
      <c r="J12" s="165" t="str">
        <f>IF(A12="","",IF(itens_Remanesc!E12="","",itens_Remanesc!E12))</f>
        <v/>
      </c>
      <c r="K12" s="171" t="str">
        <f t="shared" si="3"/>
        <v/>
      </c>
      <c r="L12" s="163" t="str">
        <f>IF(A12="","",ROUND(SUMIFS(aditivos!$L$2:$L$200,aditivos!$A$2:$A$200,A12,aditivos!$C$2:$C$200,"C2"),2))</f>
        <v/>
      </c>
      <c r="M12" s="159" t="str">
        <f t="shared" si="4"/>
        <v/>
      </c>
      <c r="N12" s="159" t="str">
        <f>IF(A12="","",IF(itens_Remanesc!G12="","",itens_Remanesc!G12))</f>
        <v/>
      </c>
      <c r="O12" s="167" t="str">
        <f t="shared" si="5"/>
        <v/>
      </c>
      <c r="P12" s="169" t="str">
        <f>IF(A12="","",ROUND(SUMIFS(aditivos!$L$2:$L$200,aditivos!$A$2:$A$200,A12,aditivos!$C$2:$C$200,"C3"),2))</f>
        <v/>
      </c>
      <c r="Q12" s="165" t="str">
        <f t="shared" si="6"/>
        <v/>
      </c>
      <c r="R12" s="165" t="str">
        <f>IF(A12="","",IF(itens_Remanesc!I12="","",itens_Remanesc!I12))</f>
        <v/>
      </c>
      <c r="S12" s="171" t="str">
        <f t="shared" si="7"/>
        <v/>
      </c>
      <c r="T12" s="163" t="str">
        <f>IF(A12="","",ROUND(SUMIFS(aditivos!$L$2:$L$200,aditivos!$A$2:$A$200,A12,aditivos!$C$2:$C$200,"C4"),2))</f>
        <v/>
      </c>
      <c r="U12" s="159" t="str">
        <f t="shared" si="8"/>
        <v/>
      </c>
      <c r="V12" s="159" t="str">
        <f>IF(A12="","",IF(itens_Remanesc!K12="","",itens_Remanesc!K12))</f>
        <v/>
      </c>
      <c r="W12" s="159" t="str">
        <f t="shared" si="9"/>
        <v/>
      </c>
      <c r="X12" s="146" t="str">
        <f>IF(A12="","",IF(COUNTIF($A$2:$A$200,A12)&gt;1,"ALERTA: ITEM_DUPLICADO",IF(AND($Z12,ISNUMBER(itens_Remanesc!B12),itens_Remanesc!B12&lt;&gt;0),"NOVO ITEM COM BASE DIFERENTE DE 0 - AJUSTAR itens_Remanesc",IF(AND($Z12,NOT(ISNUMBER(itens_Remanesc!C12))),"NOVO ITEM SEM VU_ORIGINAL - INFORMAR EM itens_Remanesc",IF(MIN(E12,I12,M12,Q12,U12,G12,K12,O12,S12,W12)&lt;0,"ALERTA: POSICAO_NEGATIVA",IF(OR(AND(G12&lt;&gt;"",G12&gt;E12),AND(K12&lt;&gt;"",K12&gt;I12),AND(O12&lt;&gt;"",O12&gt;M12),AND(S12&lt;&gt;"",S12&gt;Q12),AND(W12&lt;&gt;"",W12&gt;U12)),"ALERTA: REMANESCENTE_SUPERA_POSICAO","OK"))))))</f>
        <v/>
      </c>
      <c r="Y12" t="str">
        <f t="shared" si="10"/>
        <v/>
      </c>
      <c r="Z12" t="b">
        <f t="shared" si="11"/>
        <v>0</v>
      </c>
      <c r="AA12" s="208" t="str">
        <f>IF($A12="","",IF(COUNTIFS(aditivos!$A$2:$A$200,$A12,aditivos!$L$2:$L$200,"&lt;&gt;",aditivos!$L$2:$L$200,"&lt;&gt;0",aditivos!$B$2:$B$200,"&gt;0")=0,"",IFERROR(_xlfn.MINIFS(aditivos!$B$2:$B$200,aditivos!$A$2:$A$200,$A12,aditivos!$L$2:$L$200,"&lt;&gt;",aditivos!$L$2:$L$200,"&lt;&gt;0",aditivos!$B$2:$B$200,"&gt;0"),"")))</f>
        <v/>
      </c>
      <c r="AB12" t="str">
        <f>IF($A12="","",IF(OR(parametros!$C$2="",parametros!$I$2=""),0,ROUND(SUMIFS(aditivos!$L$2:$L$200,aditivos!$A$2:$A$200,$A12,aditivos!$C$2:$C$200,"C0",aditivos!$B$2:$B$200,"&gt;="&amp;(INT(parametros!$I$2)+1)),2)))</f>
        <v/>
      </c>
      <c r="AC12" t="str">
        <f>IF($A12="","",IF(OR(parametros!$C$3="",parametros!$I$3=""),0,ROUND(SUMIFS(aditivos!$L$2:$L$200,aditivos!$A$2:$A$200,$A12,aditivos!$C$2:$C$200,"C1",aditivos!$B$2:$B$200,"&gt;="&amp;(INT(parametros!$I$3)+1)),2)))</f>
        <v/>
      </c>
      <c r="AD12" t="str">
        <f>IF($A12="","",IF(OR(parametros!$C$4="",parametros!$I$4=""),0,ROUND(SUMIFS(aditivos!$L$2:$L$200,aditivos!$A$2:$A$200,$A12,aditivos!$C$2:$C$200,"C2",aditivos!$B$2:$B$200,"&gt;="&amp;(INT(parametros!$I$4)+1)),2)))</f>
        <v/>
      </c>
      <c r="AE12" t="str">
        <f>IF($A12="","",IF(OR(parametros!$C$5="",parametros!$I$5=""),0,ROUND(SUMIFS(aditivos!$L$2:$L$200,aditivos!$A$2:$A$200,$A12,aditivos!$C$2:$C$200,"C3",aditivos!$B$2:$B$200,"&gt;="&amp;(INT(parametros!$I$5)+1)),2)))</f>
        <v/>
      </c>
      <c r="AF12" t="str">
        <f>IF($A12="","",IF(OR(parametros!$C$6="",parametros!$I$6=""),0,ROUND(SUMIFS(aditivos!$L$2:$L$200,aditivos!$A$2:$A$200,$A12,aditivos!$C$2:$C$200,"C4",aditivos!$B$2:$B$200,"&gt;="&amp;(INT(parametros!$I$6)+1)),2)))</f>
        <v/>
      </c>
      <c r="AG12" t="str">
        <f t="shared" si="12"/>
        <v/>
      </c>
      <c r="AH12" t="str">
        <f t="shared" si="13"/>
        <v/>
      </c>
      <c r="AI12" t="str">
        <f t="shared" si="14"/>
        <v/>
      </c>
      <c r="AJ12" t="str">
        <f t="shared" si="15"/>
        <v/>
      </c>
      <c r="AK12" t="str">
        <f t="shared" si="16"/>
        <v/>
      </c>
      <c r="AL12" t="str">
        <f t="shared" si="17"/>
        <v/>
      </c>
    </row>
    <row r="13" spans="1:38" x14ac:dyDescent="0.35">
      <c r="A13" s="146" t="str">
        <f>IF(itens_Remanesc!A13="","",itens_Remanesc!A13)</f>
        <v/>
      </c>
      <c r="B13" s="196" t="str">
        <f>IF(A13="","",itens_Remanesc!C13)</f>
        <v/>
      </c>
      <c r="C13" s="161" t="str">
        <f>IF(A13="","",IF(itens_Remanesc!B13="",0,itens_Remanesc!B13))</f>
        <v/>
      </c>
      <c r="D13" s="163" t="str">
        <f>IF(A13="","",ROUND(SUMIFS(aditivos!$L$2:$L$200,aditivos!$A$2:$A$200,A13,aditivos!$C$2:$C$200,"C0"),2))</f>
        <v/>
      </c>
      <c r="E13" s="159" t="str">
        <f t="shared" si="0"/>
        <v/>
      </c>
      <c r="F13" s="159" t="str">
        <f>IF(A13="","",IF(itens_Remanesc!B13&lt;&gt;"",itens_Remanesc!B13,IF($Z13,0,"")))</f>
        <v/>
      </c>
      <c r="G13" s="167" t="str">
        <f t="shared" si="1"/>
        <v/>
      </c>
      <c r="H13" s="169" t="str">
        <f>IF(A13="","",ROUND(SUMIFS(aditivos!$L$2:$L$200,aditivos!$A$2:$A$200,A13,aditivos!$C$2:$C$200,"C1"),2))</f>
        <v/>
      </c>
      <c r="I13" s="165" t="str">
        <f t="shared" si="2"/>
        <v/>
      </c>
      <c r="J13" s="165" t="str">
        <f>IF(A13="","",IF(itens_Remanesc!E13="","",itens_Remanesc!E13))</f>
        <v/>
      </c>
      <c r="K13" s="171" t="str">
        <f t="shared" si="3"/>
        <v/>
      </c>
      <c r="L13" s="163" t="str">
        <f>IF(A13="","",ROUND(SUMIFS(aditivos!$L$2:$L$200,aditivos!$A$2:$A$200,A13,aditivos!$C$2:$C$200,"C2"),2))</f>
        <v/>
      </c>
      <c r="M13" s="159" t="str">
        <f t="shared" si="4"/>
        <v/>
      </c>
      <c r="N13" s="159" t="str">
        <f>IF(A13="","",IF(itens_Remanesc!G13="","",itens_Remanesc!G13))</f>
        <v/>
      </c>
      <c r="O13" s="167" t="str">
        <f t="shared" si="5"/>
        <v/>
      </c>
      <c r="P13" s="169" t="str">
        <f>IF(A13="","",ROUND(SUMIFS(aditivos!$L$2:$L$200,aditivos!$A$2:$A$200,A13,aditivos!$C$2:$C$200,"C3"),2))</f>
        <v/>
      </c>
      <c r="Q13" s="165" t="str">
        <f t="shared" si="6"/>
        <v/>
      </c>
      <c r="R13" s="165" t="str">
        <f>IF(A13="","",IF(itens_Remanesc!I13="","",itens_Remanesc!I13))</f>
        <v/>
      </c>
      <c r="S13" s="171" t="str">
        <f t="shared" si="7"/>
        <v/>
      </c>
      <c r="T13" s="163" t="str">
        <f>IF(A13="","",ROUND(SUMIFS(aditivos!$L$2:$L$200,aditivos!$A$2:$A$200,A13,aditivos!$C$2:$C$200,"C4"),2))</f>
        <v/>
      </c>
      <c r="U13" s="159" t="str">
        <f t="shared" si="8"/>
        <v/>
      </c>
      <c r="V13" s="159" t="str">
        <f>IF(A13="","",IF(itens_Remanesc!K13="","",itens_Remanesc!K13))</f>
        <v/>
      </c>
      <c r="W13" s="159" t="str">
        <f t="shared" si="9"/>
        <v/>
      </c>
      <c r="X13" s="146" t="str">
        <f>IF(A13="","",IF(COUNTIF($A$2:$A$200,A13)&gt;1,"ALERTA: ITEM_DUPLICADO",IF(AND($Z13,ISNUMBER(itens_Remanesc!B13),itens_Remanesc!B13&lt;&gt;0),"NOVO ITEM COM BASE DIFERENTE DE 0 - AJUSTAR itens_Remanesc",IF(AND($Z13,NOT(ISNUMBER(itens_Remanesc!C13))),"NOVO ITEM SEM VU_ORIGINAL - INFORMAR EM itens_Remanesc",IF(MIN(E13,I13,M13,Q13,U13,G13,K13,O13,S13,W13)&lt;0,"ALERTA: POSICAO_NEGATIVA",IF(OR(AND(G13&lt;&gt;"",G13&gt;E13),AND(K13&lt;&gt;"",K13&gt;I13),AND(O13&lt;&gt;"",O13&gt;M13),AND(S13&lt;&gt;"",S13&gt;Q13),AND(W13&lt;&gt;"",W13&gt;U13)),"ALERTA: REMANESCENTE_SUPERA_POSICAO","OK"))))))</f>
        <v/>
      </c>
      <c r="Y13" t="str">
        <f t="shared" si="10"/>
        <v/>
      </c>
      <c r="Z13" t="b">
        <f t="shared" si="11"/>
        <v>0</v>
      </c>
      <c r="AA13" s="208" t="str">
        <f>IF($A13="","",IF(COUNTIFS(aditivos!$A$2:$A$200,$A13,aditivos!$L$2:$L$200,"&lt;&gt;",aditivos!$L$2:$L$200,"&lt;&gt;0",aditivos!$B$2:$B$200,"&gt;0")=0,"",IFERROR(_xlfn.MINIFS(aditivos!$B$2:$B$200,aditivos!$A$2:$A$200,$A13,aditivos!$L$2:$L$200,"&lt;&gt;",aditivos!$L$2:$L$200,"&lt;&gt;0",aditivos!$B$2:$B$200,"&gt;0"),"")))</f>
        <v/>
      </c>
      <c r="AB13" t="str">
        <f>IF($A13="","",IF(OR(parametros!$C$2="",parametros!$I$2=""),0,ROUND(SUMIFS(aditivos!$L$2:$L$200,aditivos!$A$2:$A$200,$A13,aditivos!$C$2:$C$200,"C0",aditivos!$B$2:$B$200,"&gt;="&amp;(INT(parametros!$I$2)+1)),2)))</f>
        <v/>
      </c>
      <c r="AC13" t="str">
        <f>IF($A13="","",IF(OR(parametros!$C$3="",parametros!$I$3=""),0,ROUND(SUMIFS(aditivos!$L$2:$L$200,aditivos!$A$2:$A$200,$A13,aditivos!$C$2:$C$200,"C1",aditivos!$B$2:$B$200,"&gt;="&amp;(INT(parametros!$I$3)+1)),2)))</f>
        <v/>
      </c>
      <c r="AD13" t="str">
        <f>IF($A13="","",IF(OR(parametros!$C$4="",parametros!$I$4=""),0,ROUND(SUMIFS(aditivos!$L$2:$L$200,aditivos!$A$2:$A$200,$A13,aditivos!$C$2:$C$200,"C2",aditivos!$B$2:$B$200,"&gt;="&amp;(INT(parametros!$I$4)+1)),2)))</f>
        <v/>
      </c>
      <c r="AE13" t="str">
        <f>IF($A13="","",IF(OR(parametros!$C$5="",parametros!$I$5=""),0,ROUND(SUMIFS(aditivos!$L$2:$L$200,aditivos!$A$2:$A$200,$A13,aditivos!$C$2:$C$200,"C3",aditivos!$B$2:$B$200,"&gt;="&amp;(INT(parametros!$I$5)+1)),2)))</f>
        <v/>
      </c>
      <c r="AF13" t="str">
        <f>IF($A13="","",IF(OR(parametros!$C$6="",parametros!$I$6=""),0,ROUND(SUMIFS(aditivos!$L$2:$L$200,aditivos!$A$2:$A$200,$A13,aditivos!$C$2:$C$200,"C4",aditivos!$B$2:$B$200,"&gt;="&amp;(INT(parametros!$I$6)+1)),2)))</f>
        <v/>
      </c>
      <c r="AG13" t="str">
        <f t="shared" si="12"/>
        <v/>
      </c>
      <c r="AH13" t="str">
        <f t="shared" si="13"/>
        <v/>
      </c>
      <c r="AI13" t="str">
        <f t="shared" si="14"/>
        <v/>
      </c>
      <c r="AJ13" t="str">
        <f t="shared" si="15"/>
        <v/>
      </c>
      <c r="AK13" t="str">
        <f t="shared" si="16"/>
        <v/>
      </c>
      <c r="AL13" t="str">
        <f t="shared" si="17"/>
        <v/>
      </c>
    </row>
    <row r="14" spans="1:38" x14ac:dyDescent="0.35">
      <c r="A14" s="146" t="str">
        <f>IF(itens_Remanesc!A14="","",itens_Remanesc!A14)</f>
        <v/>
      </c>
      <c r="B14" s="196" t="str">
        <f>IF(A14="","",itens_Remanesc!C14)</f>
        <v/>
      </c>
      <c r="C14" s="161" t="str">
        <f>IF(A14="","",IF(itens_Remanesc!B14="",0,itens_Remanesc!B14))</f>
        <v/>
      </c>
      <c r="D14" s="163" t="str">
        <f>IF(A14="","",ROUND(SUMIFS(aditivos!$L$2:$L$200,aditivos!$A$2:$A$200,A14,aditivos!$C$2:$C$200,"C0"),2))</f>
        <v/>
      </c>
      <c r="E14" s="159" t="str">
        <f t="shared" si="0"/>
        <v/>
      </c>
      <c r="F14" s="159" t="str">
        <f>IF(A14="","",IF(itens_Remanesc!B14&lt;&gt;"",itens_Remanesc!B14,IF($Z14,0,"")))</f>
        <v/>
      </c>
      <c r="G14" s="167" t="str">
        <f t="shared" si="1"/>
        <v/>
      </c>
      <c r="H14" s="169" t="str">
        <f>IF(A14="","",ROUND(SUMIFS(aditivos!$L$2:$L$200,aditivos!$A$2:$A$200,A14,aditivos!$C$2:$C$200,"C1"),2))</f>
        <v/>
      </c>
      <c r="I14" s="165" t="str">
        <f t="shared" si="2"/>
        <v/>
      </c>
      <c r="J14" s="165" t="str">
        <f>IF(A14="","",IF(itens_Remanesc!E14="","",itens_Remanesc!E14))</f>
        <v/>
      </c>
      <c r="K14" s="171" t="str">
        <f t="shared" si="3"/>
        <v/>
      </c>
      <c r="L14" s="163" t="str">
        <f>IF(A14="","",ROUND(SUMIFS(aditivos!$L$2:$L$200,aditivos!$A$2:$A$200,A14,aditivos!$C$2:$C$200,"C2"),2))</f>
        <v/>
      </c>
      <c r="M14" s="159" t="str">
        <f t="shared" si="4"/>
        <v/>
      </c>
      <c r="N14" s="159" t="str">
        <f>IF(A14="","",IF(itens_Remanesc!G14="","",itens_Remanesc!G14))</f>
        <v/>
      </c>
      <c r="O14" s="167" t="str">
        <f t="shared" si="5"/>
        <v/>
      </c>
      <c r="P14" s="169" t="str">
        <f>IF(A14="","",ROUND(SUMIFS(aditivos!$L$2:$L$200,aditivos!$A$2:$A$200,A14,aditivos!$C$2:$C$200,"C3"),2))</f>
        <v/>
      </c>
      <c r="Q14" s="165" t="str">
        <f t="shared" si="6"/>
        <v/>
      </c>
      <c r="R14" s="165" t="str">
        <f>IF(A14="","",IF(itens_Remanesc!I14="","",itens_Remanesc!I14))</f>
        <v/>
      </c>
      <c r="S14" s="171" t="str">
        <f t="shared" si="7"/>
        <v/>
      </c>
      <c r="T14" s="163" t="str">
        <f>IF(A14="","",ROUND(SUMIFS(aditivos!$L$2:$L$200,aditivos!$A$2:$A$200,A14,aditivos!$C$2:$C$200,"C4"),2))</f>
        <v/>
      </c>
      <c r="U14" s="159" t="str">
        <f t="shared" si="8"/>
        <v/>
      </c>
      <c r="V14" s="159" t="str">
        <f>IF(A14="","",IF(itens_Remanesc!K14="","",itens_Remanesc!K14))</f>
        <v/>
      </c>
      <c r="W14" s="159" t="str">
        <f t="shared" si="9"/>
        <v/>
      </c>
      <c r="X14" s="146" t="str">
        <f>IF(A14="","",IF(COUNTIF($A$2:$A$200,A14)&gt;1,"ALERTA: ITEM_DUPLICADO",IF(AND($Z14,ISNUMBER(itens_Remanesc!B14),itens_Remanesc!B14&lt;&gt;0),"NOVO ITEM COM BASE DIFERENTE DE 0 - AJUSTAR itens_Remanesc",IF(AND($Z14,NOT(ISNUMBER(itens_Remanesc!C14))),"NOVO ITEM SEM VU_ORIGINAL - INFORMAR EM itens_Remanesc",IF(MIN(E14,I14,M14,Q14,U14,G14,K14,O14,S14,W14)&lt;0,"ALERTA: POSICAO_NEGATIVA",IF(OR(AND(G14&lt;&gt;"",G14&gt;E14),AND(K14&lt;&gt;"",K14&gt;I14),AND(O14&lt;&gt;"",O14&gt;M14),AND(S14&lt;&gt;"",S14&gt;Q14),AND(W14&lt;&gt;"",W14&gt;U14)),"ALERTA: REMANESCENTE_SUPERA_POSICAO","OK"))))))</f>
        <v/>
      </c>
      <c r="Y14" t="str">
        <f t="shared" si="10"/>
        <v/>
      </c>
      <c r="Z14" t="b">
        <f t="shared" si="11"/>
        <v>0</v>
      </c>
      <c r="AA14" s="208" t="str">
        <f>IF($A14="","",IF(COUNTIFS(aditivos!$A$2:$A$200,$A14,aditivos!$L$2:$L$200,"&lt;&gt;",aditivos!$L$2:$L$200,"&lt;&gt;0",aditivos!$B$2:$B$200,"&gt;0")=0,"",IFERROR(_xlfn.MINIFS(aditivos!$B$2:$B$200,aditivos!$A$2:$A$200,$A14,aditivos!$L$2:$L$200,"&lt;&gt;",aditivos!$L$2:$L$200,"&lt;&gt;0",aditivos!$B$2:$B$200,"&gt;0"),"")))</f>
        <v/>
      </c>
      <c r="AB14" t="str">
        <f>IF($A14="","",IF(OR(parametros!$C$2="",parametros!$I$2=""),0,ROUND(SUMIFS(aditivos!$L$2:$L$200,aditivos!$A$2:$A$200,$A14,aditivos!$C$2:$C$200,"C0",aditivos!$B$2:$B$200,"&gt;="&amp;(INT(parametros!$I$2)+1)),2)))</f>
        <v/>
      </c>
      <c r="AC14" t="str">
        <f>IF($A14="","",IF(OR(parametros!$C$3="",parametros!$I$3=""),0,ROUND(SUMIFS(aditivos!$L$2:$L$200,aditivos!$A$2:$A$200,$A14,aditivos!$C$2:$C$200,"C1",aditivos!$B$2:$B$200,"&gt;="&amp;(INT(parametros!$I$3)+1)),2)))</f>
        <v/>
      </c>
      <c r="AD14" t="str">
        <f>IF($A14="","",IF(OR(parametros!$C$4="",parametros!$I$4=""),0,ROUND(SUMIFS(aditivos!$L$2:$L$200,aditivos!$A$2:$A$200,$A14,aditivos!$C$2:$C$200,"C2",aditivos!$B$2:$B$200,"&gt;="&amp;(INT(parametros!$I$4)+1)),2)))</f>
        <v/>
      </c>
      <c r="AE14" t="str">
        <f>IF($A14="","",IF(OR(parametros!$C$5="",parametros!$I$5=""),0,ROUND(SUMIFS(aditivos!$L$2:$L$200,aditivos!$A$2:$A$200,$A14,aditivos!$C$2:$C$200,"C3",aditivos!$B$2:$B$200,"&gt;="&amp;(INT(parametros!$I$5)+1)),2)))</f>
        <v/>
      </c>
      <c r="AF14" t="str">
        <f>IF($A14="","",IF(OR(parametros!$C$6="",parametros!$I$6=""),0,ROUND(SUMIFS(aditivos!$L$2:$L$200,aditivos!$A$2:$A$200,$A14,aditivos!$C$2:$C$200,"C4",aditivos!$B$2:$B$200,"&gt;="&amp;(INT(parametros!$I$6)+1)),2)))</f>
        <v/>
      </c>
      <c r="AG14" t="str">
        <f t="shared" si="12"/>
        <v/>
      </c>
      <c r="AH14" t="str">
        <f t="shared" si="13"/>
        <v/>
      </c>
      <c r="AI14" t="str">
        <f t="shared" si="14"/>
        <v/>
      </c>
      <c r="AJ14" t="str">
        <f t="shared" si="15"/>
        <v/>
      </c>
      <c r="AK14" t="str">
        <f t="shared" si="16"/>
        <v/>
      </c>
      <c r="AL14" t="str">
        <f t="shared" si="17"/>
        <v/>
      </c>
    </row>
    <row r="15" spans="1:38" x14ac:dyDescent="0.35">
      <c r="A15" s="146" t="str">
        <f>IF(itens_Remanesc!A15="","",itens_Remanesc!A15)</f>
        <v/>
      </c>
      <c r="B15" s="196" t="str">
        <f>IF(A15="","",itens_Remanesc!C15)</f>
        <v/>
      </c>
      <c r="C15" s="161" t="str">
        <f>IF(A15="","",IF(itens_Remanesc!B15="",0,itens_Remanesc!B15))</f>
        <v/>
      </c>
      <c r="D15" s="163" t="str">
        <f>IF(A15="","",ROUND(SUMIFS(aditivos!$L$2:$L$200,aditivos!$A$2:$A$200,A15,aditivos!$C$2:$C$200,"C0"),2))</f>
        <v/>
      </c>
      <c r="E15" s="159" t="str">
        <f t="shared" si="0"/>
        <v/>
      </c>
      <c r="F15" s="159" t="str">
        <f>IF(A15="","",IF(itens_Remanesc!B15&lt;&gt;"",itens_Remanesc!B15,IF($Z15,0,"")))</f>
        <v/>
      </c>
      <c r="G15" s="167" t="str">
        <f t="shared" si="1"/>
        <v/>
      </c>
      <c r="H15" s="169" t="str">
        <f>IF(A15="","",ROUND(SUMIFS(aditivos!$L$2:$L$200,aditivos!$A$2:$A$200,A15,aditivos!$C$2:$C$200,"C1"),2))</f>
        <v/>
      </c>
      <c r="I15" s="165" t="str">
        <f t="shared" si="2"/>
        <v/>
      </c>
      <c r="J15" s="165" t="str">
        <f>IF(A15="","",IF(itens_Remanesc!E15="","",itens_Remanesc!E15))</f>
        <v/>
      </c>
      <c r="K15" s="171" t="str">
        <f t="shared" si="3"/>
        <v/>
      </c>
      <c r="L15" s="163" t="str">
        <f>IF(A15="","",ROUND(SUMIFS(aditivos!$L$2:$L$200,aditivos!$A$2:$A$200,A15,aditivos!$C$2:$C$200,"C2"),2))</f>
        <v/>
      </c>
      <c r="M15" s="159" t="str">
        <f t="shared" si="4"/>
        <v/>
      </c>
      <c r="N15" s="159" t="str">
        <f>IF(A15="","",IF(itens_Remanesc!G15="","",itens_Remanesc!G15))</f>
        <v/>
      </c>
      <c r="O15" s="167" t="str">
        <f t="shared" si="5"/>
        <v/>
      </c>
      <c r="P15" s="169" t="str">
        <f>IF(A15="","",ROUND(SUMIFS(aditivos!$L$2:$L$200,aditivos!$A$2:$A$200,A15,aditivos!$C$2:$C$200,"C3"),2))</f>
        <v/>
      </c>
      <c r="Q15" s="165" t="str">
        <f t="shared" si="6"/>
        <v/>
      </c>
      <c r="R15" s="165" t="str">
        <f>IF(A15="","",IF(itens_Remanesc!I15="","",itens_Remanesc!I15))</f>
        <v/>
      </c>
      <c r="S15" s="171" t="str">
        <f t="shared" si="7"/>
        <v/>
      </c>
      <c r="T15" s="163" t="str">
        <f>IF(A15="","",ROUND(SUMIFS(aditivos!$L$2:$L$200,aditivos!$A$2:$A$200,A15,aditivos!$C$2:$C$200,"C4"),2))</f>
        <v/>
      </c>
      <c r="U15" s="159" t="str">
        <f t="shared" si="8"/>
        <v/>
      </c>
      <c r="V15" s="159" t="str">
        <f>IF(A15="","",IF(itens_Remanesc!K15="","",itens_Remanesc!K15))</f>
        <v/>
      </c>
      <c r="W15" s="159" t="str">
        <f t="shared" si="9"/>
        <v/>
      </c>
      <c r="X15" s="146" t="str">
        <f>IF(A15="","",IF(COUNTIF($A$2:$A$200,A15)&gt;1,"ALERTA: ITEM_DUPLICADO",IF(AND($Z15,ISNUMBER(itens_Remanesc!B15),itens_Remanesc!B15&lt;&gt;0),"NOVO ITEM COM BASE DIFERENTE DE 0 - AJUSTAR itens_Remanesc",IF(AND($Z15,NOT(ISNUMBER(itens_Remanesc!C15))),"NOVO ITEM SEM VU_ORIGINAL - INFORMAR EM itens_Remanesc",IF(MIN(E15,I15,M15,Q15,U15,G15,K15,O15,S15,W15)&lt;0,"ALERTA: POSICAO_NEGATIVA",IF(OR(AND(G15&lt;&gt;"",G15&gt;E15),AND(K15&lt;&gt;"",K15&gt;I15),AND(O15&lt;&gt;"",O15&gt;M15),AND(S15&lt;&gt;"",S15&gt;Q15),AND(W15&lt;&gt;"",W15&gt;U15)),"ALERTA: REMANESCENTE_SUPERA_POSICAO","OK"))))))</f>
        <v/>
      </c>
      <c r="Y15" t="str">
        <f t="shared" si="10"/>
        <v/>
      </c>
      <c r="Z15" t="b">
        <f t="shared" si="11"/>
        <v>0</v>
      </c>
      <c r="AA15" s="208" t="str">
        <f>IF($A15="","",IF(COUNTIFS(aditivos!$A$2:$A$200,$A15,aditivos!$L$2:$L$200,"&lt;&gt;",aditivos!$L$2:$L$200,"&lt;&gt;0",aditivos!$B$2:$B$200,"&gt;0")=0,"",IFERROR(_xlfn.MINIFS(aditivos!$B$2:$B$200,aditivos!$A$2:$A$200,$A15,aditivos!$L$2:$L$200,"&lt;&gt;",aditivos!$L$2:$L$200,"&lt;&gt;0",aditivos!$B$2:$B$200,"&gt;0"),"")))</f>
        <v/>
      </c>
      <c r="AB15" t="str">
        <f>IF($A15="","",IF(OR(parametros!$C$2="",parametros!$I$2=""),0,ROUND(SUMIFS(aditivos!$L$2:$L$200,aditivos!$A$2:$A$200,$A15,aditivos!$C$2:$C$200,"C0",aditivos!$B$2:$B$200,"&gt;="&amp;(INT(parametros!$I$2)+1)),2)))</f>
        <v/>
      </c>
      <c r="AC15" t="str">
        <f>IF($A15="","",IF(OR(parametros!$C$3="",parametros!$I$3=""),0,ROUND(SUMIFS(aditivos!$L$2:$L$200,aditivos!$A$2:$A$200,$A15,aditivos!$C$2:$C$200,"C1",aditivos!$B$2:$B$200,"&gt;="&amp;(INT(parametros!$I$3)+1)),2)))</f>
        <v/>
      </c>
      <c r="AD15" t="str">
        <f>IF($A15="","",IF(OR(parametros!$C$4="",parametros!$I$4=""),0,ROUND(SUMIFS(aditivos!$L$2:$L$200,aditivos!$A$2:$A$200,$A15,aditivos!$C$2:$C$200,"C2",aditivos!$B$2:$B$200,"&gt;="&amp;(INT(parametros!$I$4)+1)),2)))</f>
        <v/>
      </c>
      <c r="AE15" t="str">
        <f>IF($A15="","",IF(OR(parametros!$C$5="",parametros!$I$5=""),0,ROUND(SUMIFS(aditivos!$L$2:$L$200,aditivos!$A$2:$A$200,$A15,aditivos!$C$2:$C$200,"C3",aditivos!$B$2:$B$200,"&gt;="&amp;(INT(parametros!$I$5)+1)),2)))</f>
        <v/>
      </c>
      <c r="AF15" t="str">
        <f>IF($A15="","",IF(OR(parametros!$C$6="",parametros!$I$6=""),0,ROUND(SUMIFS(aditivos!$L$2:$L$200,aditivos!$A$2:$A$200,$A15,aditivos!$C$2:$C$200,"C4",aditivos!$B$2:$B$200,"&gt;="&amp;(INT(parametros!$I$6)+1)),2)))</f>
        <v/>
      </c>
      <c r="AG15" t="str">
        <f t="shared" si="12"/>
        <v/>
      </c>
      <c r="AH15" t="str">
        <f t="shared" si="13"/>
        <v/>
      </c>
      <c r="AI15" t="str">
        <f t="shared" si="14"/>
        <v/>
      </c>
      <c r="AJ15" t="str">
        <f t="shared" si="15"/>
        <v/>
      </c>
      <c r="AK15" t="str">
        <f t="shared" si="16"/>
        <v/>
      </c>
      <c r="AL15" t="str">
        <f t="shared" si="17"/>
        <v/>
      </c>
    </row>
    <row r="16" spans="1:38" x14ac:dyDescent="0.35">
      <c r="A16" s="146" t="str">
        <f>IF(itens_Remanesc!A16="","",itens_Remanesc!A16)</f>
        <v/>
      </c>
      <c r="B16" s="196" t="str">
        <f>IF(A16="","",itens_Remanesc!C16)</f>
        <v/>
      </c>
      <c r="C16" s="161" t="str">
        <f>IF(A16="","",IF(itens_Remanesc!B16="",0,itens_Remanesc!B16))</f>
        <v/>
      </c>
      <c r="D16" s="163" t="str">
        <f>IF(A16="","",ROUND(SUMIFS(aditivos!$L$2:$L$200,aditivos!$A$2:$A$200,A16,aditivos!$C$2:$C$200,"C0"),2))</f>
        <v/>
      </c>
      <c r="E16" s="159" t="str">
        <f t="shared" si="0"/>
        <v/>
      </c>
      <c r="F16" s="159" t="str">
        <f>IF(A16="","",IF(itens_Remanesc!B16&lt;&gt;"",itens_Remanesc!B16,IF($Z16,0,"")))</f>
        <v/>
      </c>
      <c r="G16" s="167" t="str">
        <f t="shared" si="1"/>
        <v/>
      </c>
      <c r="H16" s="169" t="str">
        <f>IF(A16="","",ROUND(SUMIFS(aditivos!$L$2:$L$200,aditivos!$A$2:$A$200,A16,aditivos!$C$2:$C$200,"C1"),2))</f>
        <v/>
      </c>
      <c r="I16" s="165" t="str">
        <f t="shared" si="2"/>
        <v/>
      </c>
      <c r="J16" s="165" t="str">
        <f>IF(A16="","",IF(itens_Remanesc!E16="","",itens_Remanesc!E16))</f>
        <v/>
      </c>
      <c r="K16" s="171" t="str">
        <f t="shared" si="3"/>
        <v/>
      </c>
      <c r="L16" s="163" t="str">
        <f>IF(A16="","",ROUND(SUMIFS(aditivos!$L$2:$L$200,aditivos!$A$2:$A$200,A16,aditivos!$C$2:$C$200,"C2"),2))</f>
        <v/>
      </c>
      <c r="M16" s="159" t="str">
        <f t="shared" si="4"/>
        <v/>
      </c>
      <c r="N16" s="159" t="str">
        <f>IF(A16="","",IF(itens_Remanesc!G16="","",itens_Remanesc!G16))</f>
        <v/>
      </c>
      <c r="O16" s="167" t="str">
        <f t="shared" si="5"/>
        <v/>
      </c>
      <c r="P16" s="169" t="str">
        <f>IF(A16="","",ROUND(SUMIFS(aditivos!$L$2:$L$200,aditivos!$A$2:$A$200,A16,aditivos!$C$2:$C$200,"C3"),2))</f>
        <v/>
      </c>
      <c r="Q16" s="165" t="str">
        <f t="shared" si="6"/>
        <v/>
      </c>
      <c r="R16" s="165" t="str">
        <f>IF(A16="","",IF(itens_Remanesc!I16="","",itens_Remanesc!I16))</f>
        <v/>
      </c>
      <c r="S16" s="171" t="str">
        <f t="shared" si="7"/>
        <v/>
      </c>
      <c r="T16" s="163" t="str">
        <f>IF(A16="","",ROUND(SUMIFS(aditivos!$L$2:$L$200,aditivos!$A$2:$A$200,A16,aditivos!$C$2:$C$200,"C4"),2))</f>
        <v/>
      </c>
      <c r="U16" s="159" t="str">
        <f t="shared" si="8"/>
        <v/>
      </c>
      <c r="V16" s="159" t="str">
        <f>IF(A16="","",IF(itens_Remanesc!K16="","",itens_Remanesc!K16))</f>
        <v/>
      </c>
      <c r="W16" s="159" t="str">
        <f t="shared" si="9"/>
        <v/>
      </c>
      <c r="X16" s="146" t="str">
        <f>IF(A16="","",IF(COUNTIF($A$2:$A$200,A16)&gt;1,"ALERTA: ITEM_DUPLICADO",IF(AND($Z16,ISNUMBER(itens_Remanesc!B16),itens_Remanesc!B16&lt;&gt;0),"NOVO ITEM COM BASE DIFERENTE DE 0 - AJUSTAR itens_Remanesc",IF(AND($Z16,NOT(ISNUMBER(itens_Remanesc!C16))),"NOVO ITEM SEM VU_ORIGINAL - INFORMAR EM itens_Remanesc",IF(MIN(E16,I16,M16,Q16,U16,G16,K16,O16,S16,W16)&lt;0,"ALERTA: POSICAO_NEGATIVA",IF(OR(AND(G16&lt;&gt;"",G16&gt;E16),AND(K16&lt;&gt;"",K16&gt;I16),AND(O16&lt;&gt;"",O16&gt;M16),AND(S16&lt;&gt;"",S16&gt;Q16),AND(W16&lt;&gt;"",W16&gt;U16)),"ALERTA: REMANESCENTE_SUPERA_POSICAO","OK"))))))</f>
        <v/>
      </c>
      <c r="Y16" t="str">
        <f t="shared" si="10"/>
        <v/>
      </c>
      <c r="Z16" t="b">
        <f t="shared" si="11"/>
        <v>0</v>
      </c>
      <c r="AA16" s="208" t="str">
        <f>IF($A16="","",IF(COUNTIFS(aditivos!$A$2:$A$200,$A16,aditivos!$L$2:$L$200,"&lt;&gt;",aditivos!$L$2:$L$200,"&lt;&gt;0",aditivos!$B$2:$B$200,"&gt;0")=0,"",IFERROR(_xlfn.MINIFS(aditivos!$B$2:$B$200,aditivos!$A$2:$A$200,$A16,aditivos!$L$2:$L$200,"&lt;&gt;",aditivos!$L$2:$L$200,"&lt;&gt;0",aditivos!$B$2:$B$200,"&gt;0"),"")))</f>
        <v/>
      </c>
      <c r="AB16" t="str">
        <f>IF($A16="","",IF(OR(parametros!$C$2="",parametros!$I$2=""),0,ROUND(SUMIFS(aditivos!$L$2:$L$200,aditivos!$A$2:$A$200,$A16,aditivos!$C$2:$C$200,"C0",aditivos!$B$2:$B$200,"&gt;="&amp;(INT(parametros!$I$2)+1)),2)))</f>
        <v/>
      </c>
      <c r="AC16" t="str">
        <f>IF($A16="","",IF(OR(parametros!$C$3="",parametros!$I$3=""),0,ROUND(SUMIFS(aditivos!$L$2:$L$200,aditivos!$A$2:$A$200,$A16,aditivos!$C$2:$C$200,"C1",aditivos!$B$2:$B$200,"&gt;="&amp;(INT(parametros!$I$3)+1)),2)))</f>
        <v/>
      </c>
      <c r="AD16" t="str">
        <f>IF($A16="","",IF(OR(parametros!$C$4="",parametros!$I$4=""),0,ROUND(SUMIFS(aditivos!$L$2:$L$200,aditivos!$A$2:$A$200,$A16,aditivos!$C$2:$C$200,"C2",aditivos!$B$2:$B$200,"&gt;="&amp;(INT(parametros!$I$4)+1)),2)))</f>
        <v/>
      </c>
      <c r="AE16" t="str">
        <f>IF($A16="","",IF(OR(parametros!$C$5="",parametros!$I$5=""),0,ROUND(SUMIFS(aditivos!$L$2:$L$200,aditivos!$A$2:$A$200,$A16,aditivos!$C$2:$C$200,"C3",aditivos!$B$2:$B$200,"&gt;="&amp;(INT(parametros!$I$5)+1)),2)))</f>
        <v/>
      </c>
      <c r="AF16" t="str">
        <f>IF($A16="","",IF(OR(parametros!$C$6="",parametros!$I$6=""),0,ROUND(SUMIFS(aditivos!$L$2:$L$200,aditivos!$A$2:$A$200,$A16,aditivos!$C$2:$C$200,"C4",aditivos!$B$2:$B$200,"&gt;="&amp;(INT(parametros!$I$6)+1)),2)))</f>
        <v/>
      </c>
      <c r="AG16" t="str">
        <f t="shared" si="12"/>
        <v/>
      </c>
      <c r="AH16" t="str">
        <f t="shared" si="13"/>
        <v/>
      </c>
      <c r="AI16" t="str">
        <f t="shared" si="14"/>
        <v/>
      </c>
      <c r="AJ16" t="str">
        <f t="shared" si="15"/>
        <v/>
      </c>
      <c r="AK16" t="str">
        <f t="shared" si="16"/>
        <v/>
      </c>
      <c r="AL16" t="str">
        <f t="shared" si="17"/>
        <v/>
      </c>
    </row>
    <row r="17" spans="1:38" x14ac:dyDescent="0.35">
      <c r="A17" s="146" t="str">
        <f>IF(itens_Remanesc!A17="","",itens_Remanesc!A17)</f>
        <v/>
      </c>
      <c r="B17" s="196" t="str">
        <f>IF(A17="","",itens_Remanesc!C17)</f>
        <v/>
      </c>
      <c r="C17" s="161" t="str">
        <f>IF(A17="","",IF(itens_Remanesc!B17="",0,itens_Remanesc!B17))</f>
        <v/>
      </c>
      <c r="D17" s="163" t="str">
        <f>IF(A17="","",ROUND(SUMIFS(aditivos!$L$2:$L$200,aditivos!$A$2:$A$200,A17,aditivos!$C$2:$C$200,"C0"),2))</f>
        <v/>
      </c>
      <c r="E17" s="159" t="str">
        <f t="shared" si="0"/>
        <v/>
      </c>
      <c r="F17" s="159" t="str">
        <f>IF(A17="","",IF(itens_Remanesc!B17&lt;&gt;"",itens_Remanesc!B17,IF($Z17,0,"")))</f>
        <v/>
      </c>
      <c r="G17" s="167" t="str">
        <f t="shared" si="1"/>
        <v/>
      </c>
      <c r="H17" s="169" t="str">
        <f>IF(A17="","",ROUND(SUMIFS(aditivos!$L$2:$L$200,aditivos!$A$2:$A$200,A17,aditivos!$C$2:$C$200,"C1"),2))</f>
        <v/>
      </c>
      <c r="I17" s="165" t="str">
        <f t="shared" si="2"/>
        <v/>
      </c>
      <c r="J17" s="165" t="str">
        <f>IF(A17="","",IF(itens_Remanesc!E17="","",itens_Remanesc!E17))</f>
        <v/>
      </c>
      <c r="K17" s="171" t="str">
        <f t="shared" si="3"/>
        <v/>
      </c>
      <c r="L17" s="163" t="str">
        <f>IF(A17="","",ROUND(SUMIFS(aditivos!$L$2:$L$200,aditivos!$A$2:$A$200,A17,aditivos!$C$2:$C$200,"C2"),2))</f>
        <v/>
      </c>
      <c r="M17" s="159" t="str">
        <f t="shared" si="4"/>
        <v/>
      </c>
      <c r="N17" s="159" t="str">
        <f>IF(A17="","",IF(itens_Remanesc!G17="","",itens_Remanesc!G17))</f>
        <v/>
      </c>
      <c r="O17" s="167" t="str">
        <f t="shared" si="5"/>
        <v/>
      </c>
      <c r="P17" s="169" t="str">
        <f>IF(A17="","",ROUND(SUMIFS(aditivos!$L$2:$L$200,aditivos!$A$2:$A$200,A17,aditivos!$C$2:$C$200,"C3"),2))</f>
        <v/>
      </c>
      <c r="Q17" s="165" t="str">
        <f t="shared" si="6"/>
        <v/>
      </c>
      <c r="R17" s="165" t="str">
        <f>IF(A17="","",IF(itens_Remanesc!I17="","",itens_Remanesc!I17))</f>
        <v/>
      </c>
      <c r="S17" s="171" t="str">
        <f t="shared" si="7"/>
        <v/>
      </c>
      <c r="T17" s="163" t="str">
        <f>IF(A17="","",ROUND(SUMIFS(aditivos!$L$2:$L$200,aditivos!$A$2:$A$200,A17,aditivos!$C$2:$C$200,"C4"),2))</f>
        <v/>
      </c>
      <c r="U17" s="159" t="str">
        <f t="shared" si="8"/>
        <v/>
      </c>
      <c r="V17" s="159" t="str">
        <f>IF(A17="","",IF(itens_Remanesc!K17="","",itens_Remanesc!K17))</f>
        <v/>
      </c>
      <c r="W17" s="159" t="str">
        <f t="shared" si="9"/>
        <v/>
      </c>
      <c r="X17" s="146" t="str">
        <f>IF(A17="","",IF(COUNTIF($A$2:$A$200,A17)&gt;1,"ALERTA: ITEM_DUPLICADO",IF(AND($Z17,ISNUMBER(itens_Remanesc!B17),itens_Remanesc!B17&lt;&gt;0),"NOVO ITEM COM BASE DIFERENTE DE 0 - AJUSTAR itens_Remanesc",IF(AND($Z17,NOT(ISNUMBER(itens_Remanesc!C17))),"NOVO ITEM SEM VU_ORIGINAL - INFORMAR EM itens_Remanesc",IF(MIN(E17,I17,M17,Q17,U17,G17,K17,O17,S17,W17)&lt;0,"ALERTA: POSICAO_NEGATIVA",IF(OR(AND(G17&lt;&gt;"",G17&gt;E17),AND(K17&lt;&gt;"",K17&gt;I17),AND(O17&lt;&gt;"",O17&gt;M17),AND(S17&lt;&gt;"",S17&gt;Q17),AND(W17&lt;&gt;"",W17&gt;U17)),"ALERTA: REMANESCENTE_SUPERA_POSICAO","OK"))))))</f>
        <v/>
      </c>
      <c r="Y17" t="str">
        <f t="shared" si="10"/>
        <v/>
      </c>
      <c r="Z17" t="b">
        <f t="shared" si="11"/>
        <v>0</v>
      </c>
      <c r="AA17" s="208" t="str">
        <f>IF($A17="","",IF(COUNTIFS(aditivos!$A$2:$A$200,$A17,aditivos!$L$2:$L$200,"&lt;&gt;",aditivos!$L$2:$L$200,"&lt;&gt;0",aditivos!$B$2:$B$200,"&gt;0")=0,"",IFERROR(_xlfn.MINIFS(aditivos!$B$2:$B$200,aditivos!$A$2:$A$200,$A17,aditivos!$L$2:$L$200,"&lt;&gt;",aditivos!$L$2:$L$200,"&lt;&gt;0",aditivos!$B$2:$B$200,"&gt;0"),"")))</f>
        <v/>
      </c>
      <c r="AB17" t="str">
        <f>IF($A17="","",IF(OR(parametros!$C$2="",parametros!$I$2=""),0,ROUND(SUMIFS(aditivos!$L$2:$L$200,aditivos!$A$2:$A$200,$A17,aditivos!$C$2:$C$200,"C0",aditivos!$B$2:$B$200,"&gt;="&amp;(INT(parametros!$I$2)+1)),2)))</f>
        <v/>
      </c>
      <c r="AC17" t="str">
        <f>IF($A17="","",IF(OR(parametros!$C$3="",parametros!$I$3=""),0,ROUND(SUMIFS(aditivos!$L$2:$L$200,aditivos!$A$2:$A$200,$A17,aditivos!$C$2:$C$200,"C1",aditivos!$B$2:$B$200,"&gt;="&amp;(INT(parametros!$I$3)+1)),2)))</f>
        <v/>
      </c>
      <c r="AD17" t="str">
        <f>IF($A17="","",IF(OR(parametros!$C$4="",parametros!$I$4=""),0,ROUND(SUMIFS(aditivos!$L$2:$L$200,aditivos!$A$2:$A$200,$A17,aditivos!$C$2:$C$200,"C2",aditivos!$B$2:$B$200,"&gt;="&amp;(INT(parametros!$I$4)+1)),2)))</f>
        <v/>
      </c>
      <c r="AE17" t="str">
        <f>IF($A17="","",IF(OR(parametros!$C$5="",parametros!$I$5=""),0,ROUND(SUMIFS(aditivos!$L$2:$L$200,aditivos!$A$2:$A$200,$A17,aditivos!$C$2:$C$200,"C3",aditivos!$B$2:$B$200,"&gt;="&amp;(INT(parametros!$I$5)+1)),2)))</f>
        <v/>
      </c>
      <c r="AF17" t="str">
        <f>IF($A17="","",IF(OR(parametros!$C$6="",parametros!$I$6=""),0,ROUND(SUMIFS(aditivos!$L$2:$L$200,aditivos!$A$2:$A$200,$A17,aditivos!$C$2:$C$200,"C4",aditivos!$B$2:$B$200,"&gt;="&amp;(INT(parametros!$I$6)+1)),2)))</f>
        <v/>
      </c>
      <c r="AG17" t="str">
        <f t="shared" si="12"/>
        <v/>
      </c>
      <c r="AH17" t="str">
        <f t="shared" si="13"/>
        <v/>
      </c>
      <c r="AI17" t="str">
        <f t="shared" si="14"/>
        <v/>
      </c>
      <c r="AJ17" t="str">
        <f t="shared" si="15"/>
        <v/>
      </c>
      <c r="AK17" t="str">
        <f t="shared" si="16"/>
        <v/>
      </c>
      <c r="AL17" t="str">
        <f t="shared" si="17"/>
        <v/>
      </c>
    </row>
    <row r="18" spans="1:38" x14ac:dyDescent="0.35">
      <c r="A18" s="146" t="str">
        <f>IF(itens_Remanesc!A18="","",itens_Remanesc!A18)</f>
        <v/>
      </c>
      <c r="B18" s="196" t="str">
        <f>IF(A18="","",itens_Remanesc!C18)</f>
        <v/>
      </c>
      <c r="C18" s="161" t="str">
        <f>IF(A18="","",IF(itens_Remanesc!B18="",0,itens_Remanesc!B18))</f>
        <v/>
      </c>
      <c r="D18" s="163" t="str">
        <f>IF(A18="","",ROUND(SUMIFS(aditivos!$L$2:$L$200,aditivos!$A$2:$A$200,A18,aditivos!$C$2:$C$200,"C0"),2))</f>
        <v/>
      </c>
      <c r="E18" s="159" t="str">
        <f t="shared" si="0"/>
        <v/>
      </c>
      <c r="F18" s="159" t="str">
        <f>IF(A18="","",IF(itens_Remanesc!B18&lt;&gt;"",itens_Remanesc!B18,IF($Z18,0,"")))</f>
        <v/>
      </c>
      <c r="G18" s="167" t="str">
        <f t="shared" si="1"/>
        <v/>
      </c>
      <c r="H18" s="169" t="str">
        <f>IF(A18="","",ROUND(SUMIFS(aditivos!$L$2:$L$200,aditivos!$A$2:$A$200,A18,aditivos!$C$2:$C$200,"C1"),2))</f>
        <v/>
      </c>
      <c r="I18" s="165" t="str">
        <f t="shared" si="2"/>
        <v/>
      </c>
      <c r="J18" s="165" t="str">
        <f>IF(A18="","",IF(itens_Remanesc!E18="","",itens_Remanesc!E18))</f>
        <v/>
      </c>
      <c r="K18" s="171" t="str">
        <f t="shared" si="3"/>
        <v/>
      </c>
      <c r="L18" s="163" t="str">
        <f>IF(A18="","",ROUND(SUMIFS(aditivos!$L$2:$L$200,aditivos!$A$2:$A$200,A18,aditivos!$C$2:$C$200,"C2"),2))</f>
        <v/>
      </c>
      <c r="M18" s="159" t="str">
        <f t="shared" si="4"/>
        <v/>
      </c>
      <c r="N18" s="159" t="str">
        <f>IF(A18="","",IF(itens_Remanesc!G18="","",itens_Remanesc!G18))</f>
        <v/>
      </c>
      <c r="O18" s="167" t="str">
        <f t="shared" si="5"/>
        <v/>
      </c>
      <c r="P18" s="169" t="str">
        <f>IF(A18="","",ROUND(SUMIFS(aditivos!$L$2:$L$200,aditivos!$A$2:$A$200,A18,aditivos!$C$2:$C$200,"C3"),2))</f>
        <v/>
      </c>
      <c r="Q18" s="165" t="str">
        <f t="shared" si="6"/>
        <v/>
      </c>
      <c r="R18" s="165" t="str">
        <f>IF(A18="","",IF(itens_Remanesc!I18="","",itens_Remanesc!I18))</f>
        <v/>
      </c>
      <c r="S18" s="171" t="str">
        <f t="shared" si="7"/>
        <v/>
      </c>
      <c r="T18" s="163" t="str">
        <f>IF(A18="","",ROUND(SUMIFS(aditivos!$L$2:$L$200,aditivos!$A$2:$A$200,A18,aditivos!$C$2:$C$200,"C4"),2))</f>
        <v/>
      </c>
      <c r="U18" s="159" t="str">
        <f t="shared" si="8"/>
        <v/>
      </c>
      <c r="V18" s="159" t="str">
        <f>IF(A18="","",IF(itens_Remanesc!K18="","",itens_Remanesc!K18))</f>
        <v/>
      </c>
      <c r="W18" s="159" t="str">
        <f t="shared" si="9"/>
        <v/>
      </c>
      <c r="X18" s="146" t="str">
        <f>IF(A18="","",IF(COUNTIF($A$2:$A$200,A18)&gt;1,"ALERTA: ITEM_DUPLICADO",IF(AND($Z18,ISNUMBER(itens_Remanesc!B18),itens_Remanesc!B18&lt;&gt;0),"NOVO ITEM COM BASE DIFERENTE DE 0 - AJUSTAR itens_Remanesc",IF(AND($Z18,NOT(ISNUMBER(itens_Remanesc!C18))),"NOVO ITEM SEM VU_ORIGINAL - INFORMAR EM itens_Remanesc",IF(MIN(E18,I18,M18,Q18,U18,G18,K18,O18,S18,W18)&lt;0,"ALERTA: POSICAO_NEGATIVA",IF(OR(AND(G18&lt;&gt;"",G18&gt;E18),AND(K18&lt;&gt;"",K18&gt;I18),AND(O18&lt;&gt;"",O18&gt;M18),AND(S18&lt;&gt;"",S18&gt;Q18),AND(W18&lt;&gt;"",W18&gt;U18)),"ALERTA: REMANESCENTE_SUPERA_POSICAO","OK"))))))</f>
        <v/>
      </c>
      <c r="Y18" t="str">
        <f t="shared" si="10"/>
        <v/>
      </c>
      <c r="Z18" t="b">
        <f t="shared" si="11"/>
        <v>0</v>
      </c>
      <c r="AA18" s="208" t="str">
        <f>IF($A18="","",IF(COUNTIFS(aditivos!$A$2:$A$200,$A18,aditivos!$L$2:$L$200,"&lt;&gt;",aditivos!$L$2:$L$200,"&lt;&gt;0",aditivos!$B$2:$B$200,"&gt;0")=0,"",IFERROR(_xlfn.MINIFS(aditivos!$B$2:$B$200,aditivos!$A$2:$A$200,$A18,aditivos!$L$2:$L$200,"&lt;&gt;",aditivos!$L$2:$L$200,"&lt;&gt;0",aditivos!$B$2:$B$200,"&gt;0"),"")))</f>
        <v/>
      </c>
      <c r="AB18" t="str">
        <f>IF($A18="","",IF(OR(parametros!$C$2="",parametros!$I$2=""),0,ROUND(SUMIFS(aditivos!$L$2:$L$200,aditivos!$A$2:$A$200,$A18,aditivos!$C$2:$C$200,"C0",aditivos!$B$2:$B$200,"&gt;="&amp;(INT(parametros!$I$2)+1)),2)))</f>
        <v/>
      </c>
      <c r="AC18" t="str">
        <f>IF($A18="","",IF(OR(parametros!$C$3="",parametros!$I$3=""),0,ROUND(SUMIFS(aditivos!$L$2:$L$200,aditivos!$A$2:$A$200,$A18,aditivos!$C$2:$C$200,"C1",aditivos!$B$2:$B$200,"&gt;="&amp;(INT(parametros!$I$3)+1)),2)))</f>
        <v/>
      </c>
      <c r="AD18" t="str">
        <f>IF($A18="","",IF(OR(parametros!$C$4="",parametros!$I$4=""),0,ROUND(SUMIFS(aditivos!$L$2:$L$200,aditivos!$A$2:$A$200,$A18,aditivos!$C$2:$C$200,"C2",aditivos!$B$2:$B$200,"&gt;="&amp;(INT(parametros!$I$4)+1)),2)))</f>
        <v/>
      </c>
      <c r="AE18" t="str">
        <f>IF($A18="","",IF(OR(parametros!$C$5="",parametros!$I$5=""),0,ROUND(SUMIFS(aditivos!$L$2:$L$200,aditivos!$A$2:$A$200,$A18,aditivos!$C$2:$C$200,"C3",aditivos!$B$2:$B$200,"&gt;="&amp;(INT(parametros!$I$5)+1)),2)))</f>
        <v/>
      </c>
      <c r="AF18" t="str">
        <f>IF($A18="","",IF(OR(parametros!$C$6="",parametros!$I$6=""),0,ROUND(SUMIFS(aditivos!$L$2:$L$200,aditivos!$A$2:$A$200,$A18,aditivos!$C$2:$C$200,"C4",aditivos!$B$2:$B$200,"&gt;="&amp;(INT(parametros!$I$6)+1)),2)))</f>
        <v/>
      </c>
      <c r="AG18" t="str">
        <f t="shared" si="12"/>
        <v/>
      </c>
      <c r="AH18" t="str">
        <f t="shared" si="13"/>
        <v/>
      </c>
      <c r="AI18" t="str">
        <f t="shared" si="14"/>
        <v/>
      </c>
      <c r="AJ18" t="str">
        <f t="shared" si="15"/>
        <v/>
      </c>
      <c r="AK18" t="str">
        <f t="shared" si="16"/>
        <v/>
      </c>
      <c r="AL18" t="str">
        <f t="shared" si="17"/>
        <v/>
      </c>
    </row>
    <row r="19" spans="1:38" x14ac:dyDescent="0.35">
      <c r="A19" s="146" t="str">
        <f>IF(itens_Remanesc!A19="","",itens_Remanesc!A19)</f>
        <v/>
      </c>
      <c r="B19" s="196" t="str">
        <f>IF(A19="","",itens_Remanesc!C19)</f>
        <v/>
      </c>
      <c r="C19" s="161" t="str">
        <f>IF(A19="","",IF(itens_Remanesc!B19="",0,itens_Remanesc!B19))</f>
        <v/>
      </c>
      <c r="D19" s="163" t="str">
        <f>IF(A19="","",ROUND(SUMIFS(aditivos!$L$2:$L$200,aditivos!$A$2:$A$200,A19,aditivos!$C$2:$C$200,"C0"),2))</f>
        <v/>
      </c>
      <c r="E19" s="159" t="str">
        <f t="shared" si="0"/>
        <v/>
      </c>
      <c r="F19" s="159" t="str">
        <f>IF(A19="","",IF(itens_Remanesc!B19&lt;&gt;"",itens_Remanesc!B19,IF($Z19,0,"")))</f>
        <v/>
      </c>
      <c r="G19" s="167" t="str">
        <f t="shared" si="1"/>
        <v/>
      </c>
      <c r="H19" s="169" t="str">
        <f>IF(A19="","",ROUND(SUMIFS(aditivos!$L$2:$L$200,aditivos!$A$2:$A$200,A19,aditivos!$C$2:$C$200,"C1"),2))</f>
        <v/>
      </c>
      <c r="I19" s="165" t="str">
        <f t="shared" si="2"/>
        <v/>
      </c>
      <c r="J19" s="165" t="str">
        <f>IF(A19="","",IF(itens_Remanesc!E19="","",itens_Remanesc!E19))</f>
        <v/>
      </c>
      <c r="K19" s="171" t="str">
        <f t="shared" si="3"/>
        <v/>
      </c>
      <c r="L19" s="163" t="str">
        <f>IF(A19="","",ROUND(SUMIFS(aditivos!$L$2:$L$200,aditivos!$A$2:$A$200,A19,aditivos!$C$2:$C$200,"C2"),2))</f>
        <v/>
      </c>
      <c r="M19" s="159" t="str">
        <f t="shared" si="4"/>
        <v/>
      </c>
      <c r="N19" s="159" t="str">
        <f>IF(A19="","",IF(itens_Remanesc!G19="","",itens_Remanesc!G19))</f>
        <v/>
      </c>
      <c r="O19" s="167" t="str">
        <f t="shared" si="5"/>
        <v/>
      </c>
      <c r="P19" s="169" t="str">
        <f>IF(A19="","",ROUND(SUMIFS(aditivos!$L$2:$L$200,aditivos!$A$2:$A$200,A19,aditivos!$C$2:$C$200,"C3"),2))</f>
        <v/>
      </c>
      <c r="Q19" s="165" t="str">
        <f t="shared" si="6"/>
        <v/>
      </c>
      <c r="R19" s="165" t="str">
        <f>IF(A19="","",IF(itens_Remanesc!I19="","",itens_Remanesc!I19))</f>
        <v/>
      </c>
      <c r="S19" s="171" t="str">
        <f t="shared" si="7"/>
        <v/>
      </c>
      <c r="T19" s="163" t="str">
        <f>IF(A19="","",ROUND(SUMIFS(aditivos!$L$2:$L$200,aditivos!$A$2:$A$200,A19,aditivos!$C$2:$C$200,"C4"),2))</f>
        <v/>
      </c>
      <c r="U19" s="159" t="str">
        <f t="shared" si="8"/>
        <v/>
      </c>
      <c r="V19" s="159" t="str">
        <f>IF(A19="","",IF(itens_Remanesc!K19="","",itens_Remanesc!K19))</f>
        <v/>
      </c>
      <c r="W19" s="159" t="str">
        <f t="shared" si="9"/>
        <v/>
      </c>
      <c r="X19" s="146" t="str">
        <f>IF(A19="","",IF(COUNTIF($A$2:$A$200,A19)&gt;1,"ALERTA: ITEM_DUPLICADO",IF(AND($Z19,ISNUMBER(itens_Remanesc!B19),itens_Remanesc!B19&lt;&gt;0),"NOVO ITEM COM BASE DIFERENTE DE 0 - AJUSTAR itens_Remanesc",IF(AND($Z19,NOT(ISNUMBER(itens_Remanesc!C19))),"NOVO ITEM SEM VU_ORIGINAL - INFORMAR EM itens_Remanesc",IF(MIN(E19,I19,M19,Q19,U19,G19,K19,O19,S19,W19)&lt;0,"ALERTA: POSICAO_NEGATIVA",IF(OR(AND(G19&lt;&gt;"",G19&gt;E19),AND(K19&lt;&gt;"",K19&gt;I19),AND(O19&lt;&gt;"",O19&gt;M19),AND(S19&lt;&gt;"",S19&gt;Q19),AND(W19&lt;&gt;"",W19&gt;U19)),"ALERTA: REMANESCENTE_SUPERA_POSICAO","OK"))))))</f>
        <v/>
      </c>
      <c r="Y19" t="str">
        <f t="shared" si="10"/>
        <v/>
      </c>
      <c r="Z19" t="b">
        <f t="shared" si="11"/>
        <v>0</v>
      </c>
      <c r="AA19" s="208" t="str">
        <f>IF($A19="","",IF(COUNTIFS(aditivos!$A$2:$A$200,$A19,aditivos!$L$2:$L$200,"&lt;&gt;",aditivos!$L$2:$L$200,"&lt;&gt;0",aditivos!$B$2:$B$200,"&gt;0")=0,"",IFERROR(_xlfn.MINIFS(aditivos!$B$2:$B$200,aditivos!$A$2:$A$200,$A19,aditivos!$L$2:$L$200,"&lt;&gt;",aditivos!$L$2:$L$200,"&lt;&gt;0",aditivos!$B$2:$B$200,"&gt;0"),"")))</f>
        <v/>
      </c>
      <c r="AB19" t="str">
        <f>IF($A19="","",IF(OR(parametros!$C$2="",parametros!$I$2=""),0,ROUND(SUMIFS(aditivos!$L$2:$L$200,aditivos!$A$2:$A$200,$A19,aditivos!$C$2:$C$200,"C0",aditivos!$B$2:$B$200,"&gt;="&amp;(INT(parametros!$I$2)+1)),2)))</f>
        <v/>
      </c>
      <c r="AC19" t="str">
        <f>IF($A19="","",IF(OR(parametros!$C$3="",parametros!$I$3=""),0,ROUND(SUMIFS(aditivos!$L$2:$L$200,aditivos!$A$2:$A$200,$A19,aditivos!$C$2:$C$200,"C1",aditivos!$B$2:$B$200,"&gt;="&amp;(INT(parametros!$I$3)+1)),2)))</f>
        <v/>
      </c>
      <c r="AD19" t="str">
        <f>IF($A19="","",IF(OR(parametros!$C$4="",parametros!$I$4=""),0,ROUND(SUMIFS(aditivos!$L$2:$L$200,aditivos!$A$2:$A$200,$A19,aditivos!$C$2:$C$200,"C2",aditivos!$B$2:$B$200,"&gt;="&amp;(INT(parametros!$I$4)+1)),2)))</f>
        <v/>
      </c>
      <c r="AE19" t="str">
        <f>IF($A19="","",IF(OR(parametros!$C$5="",parametros!$I$5=""),0,ROUND(SUMIFS(aditivos!$L$2:$L$200,aditivos!$A$2:$A$200,$A19,aditivos!$C$2:$C$200,"C3",aditivos!$B$2:$B$200,"&gt;="&amp;(INT(parametros!$I$5)+1)),2)))</f>
        <v/>
      </c>
      <c r="AF19" t="str">
        <f>IF($A19="","",IF(OR(parametros!$C$6="",parametros!$I$6=""),0,ROUND(SUMIFS(aditivos!$L$2:$L$200,aditivos!$A$2:$A$200,$A19,aditivos!$C$2:$C$200,"C4",aditivos!$B$2:$B$200,"&gt;="&amp;(INT(parametros!$I$6)+1)),2)))</f>
        <v/>
      </c>
      <c r="AG19" t="str">
        <f t="shared" si="12"/>
        <v/>
      </c>
      <c r="AH19" t="str">
        <f t="shared" si="13"/>
        <v/>
      </c>
      <c r="AI19" t="str">
        <f t="shared" si="14"/>
        <v/>
      </c>
      <c r="AJ19" t="str">
        <f t="shared" si="15"/>
        <v/>
      </c>
      <c r="AK19" t="str">
        <f t="shared" si="16"/>
        <v/>
      </c>
      <c r="AL19" t="str">
        <f t="shared" si="17"/>
        <v/>
      </c>
    </row>
    <row r="20" spans="1:38" x14ac:dyDescent="0.35">
      <c r="A20" s="146" t="str">
        <f>IF(itens_Remanesc!A20="","",itens_Remanesc!A20)</f>
        <v/>
      </c>
      <c r="B20" s="196" t="str">
        <f>IF(A20="","",itens_Remanesc!C20)</f>
        <v/>
      </c>
      <c r="C20" s="161" t="str">
        <f>IF(A20="","",IF(itens_Remanesc!B20="",0,itens_Remanesc!B20))</f>
        <v/>
      </c>
      <c r="D20" s="163" t="str">
        <f>IF(A20="","",ROUND(SUMIFS(aditivos!$L$2:$L$200,aditivos!$A$2:$A$200,A20,aditivos!$C$2:$C$200,"C0"),2))</f>
        <v/>
      </c>
      <c r="E20" s="159" t="str">
        <f t="shared" si="0"/>
        <v/>
      </c>
      <c r="F20" s="159" t="str">
        <f>IF(A20="","",IF(itens_Remanesc!B20&lt;&gt;"",itens_Remanesc!B20,IF($Z20,0,"")))</f>
        <v/>
      </c>
      <c r="G20" s="167" t="str">
        <f t="shared" si="1"/>
        <v/>
      </c>
      <c r="H20" s="169" t="str">
        <f>IF(A20="","",ROUND(SUMIFS(aditivos!$L$2:$L$200,aditivos!$A$2:$A$200,A20,aditivos!$C$2:$C$200,"C1"),2))</f>
        <v/>
      </c>
      <c r="I20" s="165" t="str">
        <f t="shared" si="2"/>
        <v/>
      </c>
      <c r="J20" s="165" t="str">
        <f>IF(A20="","",IF(itens_Remanesc!E20="","",itens_Remanesc!E20))</f>
        <v/>
      </c>
      <c r="K20" s="171" t="str">
        <f t="shared" si="3"/>
        <v/>
      </c>
      <c r="L20" s="163" t="str">
        <f>IF(A20="","",ROUND(SUMIFS(aditivos!$L$2:$L$200,aditivos!$A$2:$A$200,A20,aditivos!$C$2:$C$200,"C2"),2))</f>
        <v/>
      </c>
      <c r="M20" s="159" t="str">
        <f t="shared" si="4"/>
        <v/>
      </c>
      <c r="N20" s="159" t="str">
        <f>IF(A20="","",IF(itens_Remanesc!G20="","",itens_Remanesc!G20))</f>
        <v/>
      </c>
      <c r="O20" s="167" t="str">
        <f t="shared" si="5"/>
        <v/>
      </c>
      <c r="P20" s="169" t="str">
        <f>IF(A20="","",ROUND(SUMIFS(aditivos!$L$2:$L$200,aditivos!$A$2:$A$200,A20,aditivos!$C$2:$C$200,"C3"),2))</f>
        <v/>
      </c>
      <c r="Q20" s="165" t="str">
        <f t="shared" si="6"/>
        <v/>
      </c>
      <c r="R20" s="165" t="str">
        <f>IF(A20="","",IF(itens_Remanesc!I20="","",itens_Remanesc!I20))</f>
        <v/>
      </c>
      <c r="S20" s="171" t="str">
        <f t="shared" si="7"/>
        <v/>
      </c>
      <c r="T20" s="163" t="str">
        <f>IF(A20="","",ROUND(SUMIFS(aditivos!$L$2:$L$200,aditivos!$A$2:$A$200,A20,aditivos!$C$2:$C$200,"C4"),2))</f>
        <v/>
      </c>
      <c r="U20" s="159" t="str">
        <f t="shared" si="8"/>
        <v/>
      </c>
      <c r="V20" s="159" t="str">
        <f>IF(A20="","",IF(itens_Remanesc!K20="","",itens_Remanesc!K20))</f>
        <v/>
      </c>
      <c r="W20" s="159" t="str">
        <f t="shared" si="9"/>
        <v/>
      </c>
      <c r="X20" s="146" t="str">
        <f>IF(A20="","",IF(COUNTIF($A$2:$A$200,A20)&gt;1,"ALERTA: ITEM_DUPLICADO",IF(AND($Z20,ISNUMBER(itens_Remanesc!B20),itens_Remanesc!B20&lt;&gt;0),"NOVO ITEM COM BASE DIFERENTE DE 0 - AJUSTAR itens_Remanesc",IF(AND($Z20,NOT(ISNUMBER(itens_Remanesc!C20))),"NOVO ITEM SEM VU_ORIGINAL - INFORMAR EM itens_Remanesc",IF(MIN(E20,I20,M20,Q20,U20,G20,K20,O20,S20,W20)&lt;0,"ALERTA: POSICAO_NEGATIVA",IF(OR(AND(G20&lt;&gt;"",G20&gt;E20),AND(K20&lt;&gt;"",K20&gt;I20),AND(O20&lt;&gt;"",O20&gt;M20),AND(S20&lt;&gt;"",S20&gt;Q20),AND(W20&lt;&gt;"",W20&gt;U20)),"ALERTA: REMANESCENTE_SUPERA_POSICAO","OK"))))))</f>
        <v/>
      </c>
      <c r="Y20" t="str">
        <f t="shared" si="10"/>
        <v/>
      </c>
      <c r="Z20" t="b">
        <f t="shared" si="11"/>
        <v>0</v>
      </c>
      <c r="AA20" s="208" t="str">
        <f>IF($A20="","",IF(COUNTIFS(aditivos!$A$2:$A$200,$A20,aditivos!$L$2:$L$200,"&lt;&gt;",aditivos!$L$2:$L$200,"&lt;&gt;0",aditivos!$B$2:$B$200,"&gt;0")=0,"",IFERROR(_xlfn.MINIFS(aditivos!$B$2:$B$200,aditivos!$A$2:$A$200,$A20,aditivos!$L$2:$L$200,"&lt;&gt;",aditivos!$L$2:$L$200,"&lt;&gt;0",aditivos!$B$2:$B$200,"&gt;0"),"")))</f>
        <v/>
      </c>
      <c r="AB20" t="str">
        <f>IF($A20="","",IF(OR(parametros!$C$2="",parametros!$I$2=""),0,ROUND(SUMIFS(aditivos!$L$2:$L$200,aditivos!$A$2:$A$200,$A20,aditivos!$C$2:$C$200,"C0",aditivos!$B$2:$B$200,"&gt;="&amp;(INT(parametros!$I$2)+1)),2)))</f>
        <v/>
      </c>
      <c r="AC20" t="str">
        <f>IF($A20="","",IF(OR(parametros!$C$3="",parametros!$I$3=""),0,ROUND(SUMIFS(aditivos!$L$2:$L$200,aditivos!$A$2:$A$200,$A20,aditivos!$C$2:$C$200,"C1",aditivos!$B$2:$B$200,"&gt;="&amp;(INT(parametros!$I$3)+1)),2)))</f>
        <v/>
      </c>
      <c r="AD20" t="str">
        <f>IF($A20="","",IF(OR(parametros!$C$4="",parametros!$I$4=""),0,ROUND(SUMIFS(aditivos!$L$2:$L$200,aditivos!$A$2:$A$200,$A20,aditivos!$C$2:$C$200,"C2",aditivos!$B$2:$B$200,"&gt;="&amp;(INT(parametros!$I$4)+1)),2)))</f>
        <v/>
      </c>
      <c r="AE20" t="str">
        <f>IF($A20="","",IF(OR(parametros!$C$5="",parametros!$I$5=""),0,ROUND(SUMIFS(aditivos!$L$2:$L$200,aditivos!$A$2:$A$200,$A20,aditivos!$C$2:$C$200,"C3",aditivos!$B$2:$B$200,"&gt;="&amp;(INT(parametros!$I$5)+1)),2)))</f>
        <v/>
      </c>
      <c r="AF20" t="str">
        <f>IF($A20="","",IF(OR(parametros!$C$6="",parametros!$I$6=""),0,ROUND(SUMIFS(aditivos!$L$2:$L$200,aditivos!$A$2:$A$200,$A20,aditivos!$C$2:$C$200,"C4",aditivos!$B$2:$B$200,"&gt;="&amp;(INT(parametros!$I$6)+1)),2)))</f>
        <v/>
      </c>
      <c r="AG20" t="str">
        <f t="shared" si="12"/>
        <v/>
      </c>
      <c r="AH20" t="str">
        <f t="shared" si="13"/>
        <v/>
      </c>
      <c r="AI20" t="str">
        <f t="shared" si="14"/>
        <v/>
      </c>
      <c r="AJ20" t="str">
        <f t="shared" si="15"/>
        <v/>
      </c>
      <c r="AK20" t="str">
        <f t="shared" si="16"/>
        <v/>
      </c>
      <c r="AL20" t="str">
        <f t="shared" si="17"/>
        <v/>
      </c>
    </row>
    <row r="21" spans="1:38" x14ac:dyDescent="0.35">
      <c r="A21" s="146" t="str">
        <f>IF(itens_Remanesc!A21="","",itens_Remanesc!A21)</f>
        <v/>
      </c>
      <c r="B21" s="196" t="str">
        <f>IF(A21="","",itens_Remanesc!C21)</f>
        <v/>
      </c>
      <c r="C21" s="161" t="str">
        <f>IF(A21="","",IF(itens_Remanesc!B21="",0,itens_Remanesc!B21))</f>
        <v/>
      </c>
      <c r="D21" s="163" t="str">
        <f>IF(A21="","",ROUND(SUMIFS(aditivos!$L$2:$L$200,aditivos!$A$2:$A$200,A21,aditivos!$C$2:$C$200,"C0"),2))</f>
        <v/>
      </c>
      <c r="E21" s="159" t="str">
        <f t="shared" si="0"/>
        <v/>
      </c>
      <c r="F21" s="159" t="str">
        <f>IF(A21="","",IF(itens_Remanesc!B21&lt;&gt;"",itens_Remanesc!B21,IF($Z21,0,"")))</f>
        <v/>
      </c>
      <c r="G21" s="167" t="str">
        <f t="shared" si="1"/>
        <v/>
      </c>
      <c r="H21" s="169" t="str">
        <f>IF(A21="","",ROUND(SUMIFS(aditivos!$L$2:$L$200,aditivos!$A$2:$A$200,A21,aditivos!$C$2:$C$200,"C1"),2))</f>
        <v/>
      </c>
      <c r="I21" s="165" t="str">
        <f t="shared" si="2"/>
        <v/>
      </c>
      <c r="J21" s="165" t="str">
        <f>IF(A21="","",IF(itens_Remanesc!E21="","",itens_Remanesc!E21))</f>
        <v/>
      </c>
      <c r="K21" s="171" t="str">
        <f t="shared" si="3"/>
        <v/>
      </c>
      <c r="L21" s="163" t="str">
        <f>IF(A21="","",ROUND(SUMIFS(aditivos!$L$2:$L$200,aditivos!$A$2:$A$200,A21,aditivos!$C$2:$C$200,"C2"),2))</f>
        <v/>
      </c>
      <c r="M21" s="159" t="str">
        <f t="shared" si="4"/>
        <v/>
      </c>
      <c r="N21" s="159" t="str">
        <f>IF(A21="","",IF(itens_Remanesc!G21="","",itens_Remanesc!G21))</f>
        <v/>
      </c>
      <c r="O21" s="167" t="str">
        <f t="shared" si="5"/>
        <v/>
      </c>
      <c r="P21" s="169" t="str">
        <f>IF(A21="","",ROUND(SUMIFS(aditivos!$L$2:$L$200,aditivos!$A$2:$A$200,A21,aditivos!$C$2:$C$200,"C3"),2))</f>
        <v/>
      </c>
      <c r="Q21" s="165" t="str">
        <f t="shared" si="6"/>
        <v/>
      </c>
      <c r="R21" s="165" t="str">
        <f>IF(A21="","",IF(itens_Remanesc!I21="","",itens_Remanesc!I21))</f>
        <v/>
      </c>
      <c r="S21" s="171" t="str">
        <f t="shared" si="7"/>
        <v/>
      </c>
      <c r="T21" s="163" t="str">
        <f>IF(A21="","",ROUND(SUMIFS(aditivos!$L$2:$L$200,aditivos!$A$2:$A$200,A21,aditivos!$C$2:$C$200,"C4"),2))</f>
        <v/>
      </c>
      <c r="U21" s="159" t="str">
        <f t="shared" si="8"/>
        <v/>
      </c>
      <c r="V21" s="159" t="str">
        <f>IF(A21="","",IF(itens_Remanesc!K21="","",itens_Remanesc!K21))</f>
        <v/>
      </c>
      <c r="W21" s="159" t="str">
        <f t="shared" si="9"/>
        <v/>
      </c>
      <c r="X21" s="146" t="str">
        <f>IF(A21="","",IF(COUNTIF($A$2:$A$200,A21)&gt;1,"ALERTA: ITEM_DUPLICADO",IF(AND($Z21,ISNUMBER(itens_Remanesc!B21),itens_Remanesc!B21&lt;&gt;0),"NOVO ITEM COM BASE DIFERENTE DE 0 - AJUSTAR itens_Remanesc",IF(AND($Z21,NOT(ISNUMBER(itens_Remanesc!C21))),"NOVO ITEM SEM VU_ORIGINAL - INFORMAR EM itens_Remanesc",IF(MIN(E21,I21,M21,Q21,U21,G21,K21,O21,S21,W21)&lt;0,"ALERTA: POSICAO_NEGATIVA",IF(OR(AND(G21&lt;&gt;"",G21&gt;E21),AND(K21&lt;&gt;"",K21&gt;I21),AND(O21&lt;&gt;"",O21&gt;M21),AND(S21&lt;&gt;"",S21&gt;Q21),AND(W21&lt;&gt;"",W21&gt;U21)),"ALERTA: REMANESCENTE_SUPERA_POSICAO","OK"))))))</f>
        <v/>
      </c>
      <c r="Y21" t="str">
        <f t="shared" si="10"/>
        <v/>
      </c>
      <c r="Z21" t="b">
        <f t="shared" si="11"/>
        <v>0</v>
      </c>
      <c r="AA21" s="208" t="str">
        <f>IF($A21="","",IF(COUNTIFS(aditivos!$A$2:$A$200,$A21,aditivos!$L$2:$L$200,"&lt;&gt;",aditivos!$L$2:$L$200,"&lt;&gt;0",aditivos!$B$2:$B$200,"&gt;0")=0,"",IFERROR(_xlfn.MINIFS(aditivos!$B$2:$B$200,aditivos!$A$2:$A$200,$A21,aditivos!$L$2:$L$200,"&lt;&gt;",aditivos!$L$2:$L$200,"&lt;&gt;0",aditivos!$B$2:$B$200,"&gt;0"),"")))</f>
        <v/>
      </c>
      <c r="AB21" t="str">
        <f>IF($A21="","",IF(OR(parametros!$C$2="",parametros!$I$2=""),0,ROUND(SUMIFS(aditivos!$L$2:$L$200,aditivos!$A$2:$A$200,$A21,aditivos!$C$2:$C$200,"C0",aditivos!$B$2:$B$200,"&gt;="&amp;(INT(parametros!$I$2)+1)),2)))</f>
        <v/>
      </c>
      <c r="AC21" t="str">
        <f>IF($A21="","",IF(OR(parametros!$C$3="",parametros!$I$3=""),0,ROUND(SUMIFS(aditivos!$L$2:$L$200,aditivos!$A$2:$A$200,$A21,aditivos!$C$2:$C$200,"C1",aditivos!$B$2:$B$200,"&gt;="&amp;(INT(parametros!$I$3)+1)),2)))</f>
        <v/>
      </c>
      <c r="AD21" t="str">
        <f>IF($A21="","",IF(OR(parametros!$C$4="",parametros!$I$4=""),0,ROUND(SUMIFS(aditivos!$L$2:$L$200,aditivos!$A$2:$A$200,$A21,aditivos!$C$2:$C$200,"C2",aditivos!$B$2:$B$200,"&gt;="&amp;(INT(parametros!$I$4)+1)),2)))</f>
        <v/>
      </c>
      <c r="AE21" t="str">
        <f>IF($A21="","",IF(OR(parametros!$C$5="",parametros!$I$5=""),0,ROUND(SUMIFS(aditivos!$L$2:$L$200,aditivos!$A$2:$A$200,$A21,aditivos!$C$2:$C$200,"C3",aditivos!$B$2:$B$200,"&gt;="&amp;(INT(parametros!$I$5)+1)),2)))</f>
        <v/>
      </c>
      <c r="AF21" t="str">
        <f>IF($A21="","",IF(OR(parametros!$C$6="",parametros!$I$6=""),0,ROUND(SUMIFS(aditivos!$L$2:$L$200,aditivos!$A$2:$A$200,$A21,aditivos!$C$2:$C$200,"C4",aditivos!$B$2:$B$200,"&gt;="&amp;(INT(parametros!$I$6)+1)),2)))</f>
        <v/>
      </c>
      <c r="AG21" t="str">
        <f t="shared" si="12"/>
        <v/>
      </c>
      <c r="AH21" t="str">
        <f t="shared" si="13"/>
        <v/>
      </c>
      <c r="AI21" t="str">
        <f t="shared" si="14"/>
        <v/>
      </c>
      <c r="AJ21" t="str">
        <f t="shared" si="15"/>
        <v/>
      </c>
      <c r="AK21" t="str">
        <f t="shared" si="16"/>
        <v/>
      </c>
      <c r="AL21" t="str">
        <f t="shared" si="17"/>
        <v/>
      </c>
    </row>
    <row r="22" spans="1:38" x14ac:dyDescent="0.35">
      <c r="A22" s="146" t="str">
        <f>IF(itens_Remanesc!A22="","",itens_Remanesc!A22)</f>
        <v/>
      </c>
      <c r="B22" s="196" t="str">
        <f>IF(A22="","",itens_Remanesc!C22)</f>
        <v/>
      </c>
      <c r="C22" s="161" t="str">
        <f>IF(A22="","",IF(itens_Remanesc!B22="",0,itens_Remanesc!B22))</f>
        <v/>
      </c>
      <c r="D22" s="163" t="str">
        <f>IF(A22="","",ROUND(SUMIFS(aditivos!$L$2:$L$200,aditivos!$A$2:$A$200,A22,aditivos!$C$2:$C$200,"C0"),2))</f>
        <v/>
      </c>
      <c r="E22" s="159" t="str">
        <f t="shared" si="0"/>
        <v/>
      </c>
      <c r="F22" s="159" t="str">
        <f>IF(A22="","",IF(itens_Remanesc!B22&lt;&gt;"",itens_Remanesc!B22,IF($Z22,0,"")))</f>
        <v/>
      </c>
      <c r="G22" s="167" t="str">
        <f t="shared" si="1"/>
        <v/>
      </c>
      <c r="H22" s="169" t="str">
        <f>IF(A22="","",ROUND(SUMIFS(aditivos!$L$2:$L$200,aditivos!$A$2:$A$200,A22,aditivos!$C$2:$C$200,"C1"),2))</f>
        <v/>
      </c>
      <c r="I22" s="165" t="str">
        <f t="shared" si="2"/>
        <v/>
      </c>
      <c r="J22" s="165" t="str">
        <f>IF(A22="","",IF(itens_Remanesc!E22="","",itens_Remanesc!E22))</f>
        <v/>
      </c>
      <c r="K22" s="171" t="str">
        <f t="shared" si="3"/>
        <v/>
      </c>
      <c r="L22" s="163" t="str">
        <f>IF(A22="","",ROUND(SUMIFS(aditivos!$L$2:$L$200,aditivos!$A$2:$A$200,A22,aditivos!$C$2:$C$200,"C2"),2))</f>
        <v/>
      </c>
      <c r="M22" s="159" t="str">
        <f t="shared" si="4"/>
        <v/>
      </c>
      <c r="N22" s="159" t="str">
        <f>IF(A22="","",IF(itens_Remanesc!G22="","",itens_Remanesc!G22))</f>
        <v/>
      </c>
      <c r="O22" s="167" t="str">
        <f t="shared" si="5"/>
        <v/>
      </c>
      <c r="P22" s="169" t="str">
        <f>IF(A22="","",ROUND(SUMIFS(aditivos!$L$2:$L$200,aditivos!$A$2:$A$200,A22,aditivos!$C$2:$C$200,"C3"),2))</f>
        <v/>
      </c>
      <c r="Q22" s="165" t="str">
        <f t="shared" si="6"/>
        <v/>
      </c>
      <c r="R22" s="165" t="str">
        <f>IF(A22="","",IF(itens_Remanesc!I22="","",itens_Remanesc!I22))</f>
        <v/>
      </c>
      <c r="S22" s="171" t="str">
        <f t="shared" si="7"/>
        <v/>
      </c>
      <c r="T22" s="163" t="str">
        <f>IF(A22="","",ROUND(SUMIFS(aditivos!$L$2:$L$200,aditivos!$A$2:$A$200,A22,aditivos!$C$2:$C$200,"C4"),2))</f>
        <v/>
      </c>
      <c r="U22" s="159" t="str">
        <f t="shared" si="8"/>
        <v/>
      </c>
      <c r="V22" s="159" t="str">
        <f>IF(A22="","",IF(itens_Remanesc!K22="","",itens_Remanesc!K22))</f>
        <v/>
      </c>
      <c r="W22" s="159" t="str">
        <f t="shared" si="9"/>
        <v/>
      </c>
      <c r="X22" s="146" t="str">
        <f>IF(A22="","",IF(COUNTIF($A$2:$A$200,A22)&gt;1,"ALERTA: ITEM_DUPLICADO",IF(AND($Z22,ISNUMBER(itens_Remanesc!B22),itens_Remanesc!B22&lt;&gt;0),"NOVO ITEM COM BASE DIFERENTE DE 0 - AJUSTAR itens_Remanesc",IF(AND($Z22,NOT(ISNUMBER(itens_Remanesc!C22))),"NOVO ITEM SEM VU_ORIGINAL - INFORMAR EM itens_Remanesc",IF(MIN(E22,I22,M22,Q22,U22,G22,K22,O22,S22,W22)&lt;0,"ALERTA: POSICAO_NEGATIVA",IF(OR(AND(G22&lt;&gt;"",G22&gt;E22),AND(K22&lt;&gt;"",K22&gt;I22),AND(O22&lt;&gt;"",O22&gt;M22),AND(S22&lt;&gt;"",S22&gt;Q22),AND(W22&lt;&gt;"",W22&gt;U22)),"ALERTA: REMANESCENTE_SUPERA_POSICAO","OK"))))))</f>
        <v/>
      </c>
      <c r="Y22" t="str">
        <f t="shared" si="10"/>
        <v/>
      </c>
      <c r="Z22" t="b">
        <f t="shared" si="11"/>
        <v>0</v>
      </c>
      <c r="AA22" s="208" t="str">
        <f>IF($A22="","",IF(COUNTIFS(aditivos!$A$2:$A$200,$A22,aditivos!$L$2:$L$200,"&lt;&gt;",aditivos!$L$2:$L$200,"&lt;&gt;0",aditivos!$B$2:$B$200,"&gt;0")=0,"",IFERROR(_xlfn.MINIFS(aditivos!$B$2:$B$200,aditivos!$A$2:$A$200,$A22,aditivos!$L$2:$L$200,"&lt;&gt;",aditivos!$L$2:$L$200,"&lt;&gt;0",aditivos!$B$2:$B$200,"&gt;0"),"")))</f>
        <v/>
      </c>
      <c r="AB22" t="str">
        <f>IF($A22="","",IF(OR(parametros!$C$2="",parametros!$I$2=""),0,ROUND(SUMIFS(aditivos!$L$2:$L$200,aditivos!$A$2:$A$200,$A22,aditivos!$C$2:$C$200,"C0",aditivos!$B$2:$B$200,"&gt;="&amp;(INT(parametros!$I$2)+1)),2)))</f>
        <v/>
      </c>
      <c r="AC22" t="str">
        <f>IF($A22="","",IF(OR(parametros!$C$3="",parametros!$I$3=""),0,ROUND(SUMIFS(aditivos!$L$2:$L$200,aditivos!$A$2:$A$200,$A22,aditivos!$C$2:$C$200,"C1",aditivos!$B$2:$B$200,"&gt;="&amp;(INT(parametros!$I$3)+1)),2)))</f>
        <v/>
      </c>
      <c r="AD22" t="str">
        <f>IF($A22="","",IF(OR(parametros!$C$4="",parametros!$I$4=""),0,ROUND(SUMIFS(aditivos!$L$2:$L$200,aditivos!$A$2:$A$200,$A22,aditivos!$C$2:$C$200,"C2",aditivos!$B$2:$B$200,"&gt;="&amp;(INT(parametros!$I$4)+1)),2)))</f>
        <v/>
      </c>
      <c r="AE22" t="str">
        <f>IF($A22="","",IF(OR(parametros!$C$5="",parametros!$I$5=""),0,ROUND(SUMIFS(aditivos!$L$2:$L$200,aditivos!$A$2:$A$200,$A22,aditivos!$C$2:$C$200,"C3",aditivos!$B$2:$B$200,"&gt;="&amp;(INT(parametros!$I$5)+1)),2)))</f>
        <v/>
      </c>
      <c r="AF22" t="str">
        <f>IF($A22="","",IF(OR(parametros!$C$6="",parametros!$I$6=""),0,ROUND(SUMIFS(aditivos!$L$2:$L$200,aditivos!$A$2:$A$200,$A22,aditivos!$C$2:$C$200,"C4",aditivos!$B$2:$B$200,"&gt;="&amp;(INT(parametros!$I$6)+1)),2)))</f>
        <v/>
      </c>
      <c r="AG22" t="str">
        <f t="shared" si="12"/>
        <v/>
      </c>
      <c r="AH22" t="str">
        <f t="shared" si="13"/>
        <v/>
      </c>
      <c r="AI22" t="str">
        <f t="shared" si="14"/>
        <v/>
      </c>
      <c r="AJ22" t="str">
        <f t="shared" si="15"/>
        <v/>
      </c>
      <c r="AK22" t="str">
        <f t="shared" si="16"/>
        <v/>
      </c>
      <c r="AL22" t="str">
        <f t="shared" si="17"/>
        <v/>
      </c>
    </row>
    <row r="23" spans="1:38" x14ac:dyDescent="0.35">
      <c r="A23" s="146" t="str">
        <f>IF(itens_Remanesc!A23="","",itens_Remanesc!A23)</f>
        <v/>
      </c>
      <c r="B23" s="196" t="str">
        <f>IF(A23="","",itens_Remanesc!C23)</f>
        <v/>
      </c>
      <c r="C23" s="161" t="str">
        <f>IF(A23="","",IF(itens_Remanesc!B23="",0,itens_Remanesc!B23))</f>
        <v/>
      </c>
      <c r="D23" s="163" t="str">
        <f>IF(A23="","",ROUND(SUMIFS(aditivos!$L$2:$L$200,aditivos!$A$2:$A$200,A23,aditivos!$C$2:$C$200,"C0"),2))</f>
        <v/>
      </c>
      <c r="E23" s="159" t="str">
        <f t="shared" si="0"/>
        <v/>
      </c>
      <c r="F23" s="159" t="str">
        <f>IF(A23="","",IF(itens_Remanesc!B23&lt;&gt;"",itens_Remanesc!B23,IF($Z23,0,"")))</f>
        <v/>
      </c>
      <c r="G23" s="167" t="str">
        <f t="shared" si="1"/>
        <v/>
      </c>
      <c r="H23" s="169" t="str">
        <f>IF(A23="","",ROUND(SUMIFS(aditivos!$L$2:$L$200,aditivos!$A$2:$A$200,A23,aditivos!$C$2:$C$200,"C1"),2))</f>
        <v/>
      </c>
      <c r="I23" s="165" t="str">
        <f t="shared" si="2"/>
        <v/>
      </c>
      <c r="J23" s="165" t="str">
        <f>IF(A23="","",IF(itens_Remanesc!E23="","",itens_Remanesc!E23))</f>
        <v/>
      </c>
      <c r="K23" s="171" t="str">
        <f t="shared" si="3"/>
        <v/>
      </c>
      <c r="L23" s="163" t="str">
        <f>IF(A23="","",ROUND(SUMIFS(aditivos!$L$2:$L$200,aditivos!$A$2:$A$200,A23,aditivos!$C$2:$C$200,"C2"),2))</f>
        <v/>
      </c>
      <c r="M23" s="159" t="str">
        <f t="shared" si="4"/>
        <v/>
      </c>
      <c r="N23" s="159" t="str">
        <f>IF(A23="","",IF(itens_Remanesc!G23="","",itens_Remanesc!G23))</f>
        <v/>
      </c>
      <c r="O23" s="167" t="str">
        <f t="shared" si="5"/>
        <v/>
      </c>
      <c r="P23" s="169" t="str">
        <f>IF(A23="","",ROUND(SUMIFS(aditivos!$L$2:$L$200,aditivos!$A$2:$A$200,A23,aditivos!$C$2:$C$200,"C3"),2))</f>
        <v/>
      </c>
      <c r="Q23" s="165" t="str">
        <f t="shared" si="6"/>
        <v/>
      </c>
      <c r="R23" s="165" t="str">
        <f>IF(A23="","",IF(itens_Remanesc!I23="","",itens_Remanesc!I23))</f>
        <v/>
      </c>
      <c r="S23" s="171" t="str">
        <f t="shared" si="7"/>
        <v/>
      </c>
      <c r="T23" s="163" t="str">
        <f>IF(A23="","",ROUND(SUMIFS(aditivos!$L$2:$L$200,aditivos!$A$2:$A$200,A23,aditivos!$C$2:$C$200,"C4"),2))</f>
        <v/>
      </c>
      <c r="U23" s="159" t="str">
        <f t="shared" si="8"/>
        <v/>
      </c>
      <c r="V23" s="159" t="str">
        <f>IF(A23="","",IF(itens_Remanesc!K23="","",itens_Remanesc!K23))</f>
        <v/>
      </c>
      <c r="W23" s="159" t="str">
        <f t="shared" si="9"/>
        <v/>
      </c>
      <c r="X23" s="146" t="str">
        <f>IF(A23="","",IF(COUNTIF($A$2:$A$200,A23)&gt;1,"ALERTA: ITEM_DUPLICADO",IF(AND($Z23,ISNUMBER(itens_Remanesc!B23),itens_Remanesc!B23&lt;&gt;0),"NOVO ITEM COM BASE DIFERENTE DE 0 - AJUSTAR itens_Remanesc",IF(AND($Z23,NOT(ISNUMBER(itens_Remanesc!C23))),"NOVO ITEM SEM VU_ORIGINAL - INFORMAR EM itens_Remanesc",IF(MIN(E23,I23,M23,Q23,U23,G23,K23,O23,S23,W23)&lt;0,"ALERTA: POSICAO_NEGATIVA",IF(OR(AND(G23&lt;&gt;"",G23&gt;E23),AND(K23&lt;&gt;"",K23&gt;I23),AND(O23&lt;&gt;"",O23&gt;M23),AND(S23&lt;&gt;"",S23&gt;Q23),AND(W23&lt;&gt;"",W23&gt;U23)),"ALERTA: REMANESCENTE_SUPERA_POSICAO","OK"))))))</f>
        <v/>
      </c>
      <c r="Y23" t="str">
        <f t="shared" si="10"/>
        <v/>
      </c>
      <c r="Z23" t="b">
        <f t="shared" si="11"/>
        <v>0</v>
      </c>
      <c r="AA23" s="208" t="str">
        <f>IF($A23="","",IF(COUNTIFS(aditivos!$A$2:$A$200,$A23,aditivos!$L$2:$L$200,"&lt;&gt;",aditivos!$L$2:$L$200,"&lt;&gt;0",aditivos!$B$2:$B$200,"&gt;0")=0,"",IFERROR(_xlfn.MINIFS(aditivos!$B$2:$B$200,aditivos!$A$2:$A$200,$A23,aditivos!$L$2:$L$200,"&lt;&gt;",aditivos!$L$2:$L$200,"&lt;&gt;0",aditivos!$B$2:$B$200,"&gt;0"),"")))</f>
        <v/>
      </c>
      <c r="AB23" t="str">
        <f>IF($A23="","",IF(OR(parametros!$C$2="",parametros!$I$2=""),0,ROUND(SUMIFS(aditivos!$L$2:$L$200,aditivos!$A$2:$A$200,$A23,aditivos!$C$2:$C$200,"C0",aditivos!$B$2:$B$200,"&gt;="&amp;(INT(parametros!$I$2)+1)),2)))</f>
        <v/>
      </c>
      <c r="AC23" t="str">
        <f>IF($A23="","",IF(OR(parametros!$C$3="",parametros!$I$3=""),0,ROUND(SUMIFS(aditivos!$L$2:$L$200,aditivos!$A$2:$A$200,$A23,aditivos!$C$2:$C$200,"C1",aditivos!$B$2:$B$200,"&gt;="&amp;(INT(parametros!$I$3)+1)),2)))</f>
        <v/>
      </c>
      <c r="AD23" t="str">
        <f>IF($A23="","",IF(OR(parametros!$C$4="",parametros!$I$4=""),0,ROUND(SUMIFS(aditivos!$L$2:$L$200,aditivos!$A$2:$A$200,$A23,aditivos!$C$2:$C$200,"C2",aditivos!$B$2:$B$200,"&gt;="&amp;(INT(parametros!$I$4)+1)),2)))</f>
        <v/>
      </c>
      <c r="AE23" t="str">
        <f>IF($A23="","",IF(OR(parametros!$C$5="",parametros!$I$5=""),0,ROUND(SUMIFS(aditivos!$L$2:$L$200,aditivos!$A$2:$A$200,$A23,aditivos!$C$2:$C$200,"C3",aditivos!$B$2:$B$200,"&gt;="&amp;(INT(parametros!$I$5)+1)),2)))</f>
        <v/>
      </c>
      <c r="AF23" t="str">
        <f>IF($A23="","",IF(OR(parametros!$C$6="",parametros!$I$6=""),0,ROUND(SUMIFS(aditivos!$L$2:$L$200,aditivos!$A$2:$A$200,$A23,aditivos!$C$2:$C$200,"C4",aditivos!$B$2:$B$200,"&gt;="&amp;(INT(parametros!$I$6)+1)),2)))</f>
        <v/>
      </c>
      <c r="AG23" t="str">
        <f t="shared" si="12"/>
        <v/>
      </c>
      <c r="AH23" t="str">
        <f t="shared" si="13"/>
        <v/>
      </c>
      <c r="AI23" t="str">
        <f t="shared" si="14"/>
        <v/>
      </c>
      <c r="AJ23" t="str">
        <f t="shared" si="15"/>
        <v/>
      </c>
      <c r="AK23" t="str">
        <f t="shared" si="16"/>
        <v/>
      </c>
      <c r="AL23" t="str">
        <f t="shared" si="17"/>
        <v/>
      </c>
    </row>
    <row r="24" spans="1:38" x14ac:dyDescent="0.35">
      <c r="A24" s="146" t="str">
        <f>IF(itens_Remanesc!A24="","",itens_Remanesc!A24)</f>
        <v/>
      </c>
      <c r="B24" s="196" t="str">
        <f>IF(A24="","",itens_Remanesc!C24)</f>
        <v/>
      </c>
      <c r="C24" s="161" t="str">
        <f>IF(A24="","",IF(itens_Remanesc!B24="",0,itens_Remanesc!B24))</f>
        <v/>
      </c>
      <c r="D24" s="163" t="str">
        <f>IF(A24="","",ROUND(SUMIFS(aditivos!$L$2:$L$200,aditivos!$A$2:$A$200,A24,aditivos!$C$2:$C$200,"C0"),2))</f>
        <v/>
      </c>
      <c r="E24" s="159" t="str">
        <f t="shared" si="0"/>
        <v/>
      </c>
      <c r="F24" s="159" t="str">
        <f>IF(A24="","",IF(itens_Remanesc!B24&lt;&gt;"",itens_Remanesc!B24,IF($Z24,0,"")))</f>
        <v/>
      </c>
      <c r="G24" s="167" t="str">
        <f t="shared" si="1"/>
        <v/>
      </c>
      <c r="H24" s="169" t="str">
        <f>IF(A24="","",ROUND(SUMIFS(aditivos!$L$2:$L$200,aditivos!$A$2:$A$200,A24,aditivos!$C$2:$C$200,"C1"),2))</f>
        <v/>
      </c>
      <c r="I24" s="165" t="str">
        <f t="shared" si="2"/>
        <v/>
      </c>
      <c r="J24" s="165" t="str">
        <f>IF(A24="","",IF(itens_Remanesc!E24="","",itens_Remanesc!E24))</f>
        <v/>
      </c>
      <c r="K24" s="171" t="str">
        <f t="shared" si="3"/>
        <v/>
      </c>
      <c r="L24" s="163" t="str">
        <f>IF(A24="","",ROUND(SUMIFS(aditivos!$L$2:$L$200,aditivos!$A$2:$A$200,A24,aditivos!$C$2:$C$200,"C2"),2))</f>
        <v/>
      </c>
      <c r="M24" s="159" t="str">
        <f t="shared" si="4"/>
        <v/>
      </c>
      <c r="N24" s="159" t="str">
        <f>IF(A24="","",IF(itens_Remanesc!G24="","",itens_Remanesc!G24))</f>
        <v/>
      </c>
      <c r="O24" s="167" t="str">
        <f t="shared" si="5"/>
        <v/>
      </c>
      <c r="P24" s="169" t="str">
        <f>IF(A24="","",ROUND(SUMIFS(aditivos!$L$2:$L$200,aditivos!$A$2:$A$200,A24,aditivos!$C$2:$C$200,"C3"),2))</f>
        <v/>
      </c>
      <c r="Q24" s="165" t="str">
        <f t="shared" si="6"/>
        <v/>
      </c>
      <c r="R24" s="165" t="str">
        <f>IF(A24="","",IF(itens_Remanesc!I24="","",itens_Remanesc!I24))</f>
        <v/>
      </c>
      <c r="S24" s="171" t="str">
        <f t="shared" si="7"/>
        <v/>
      </c>
      <c r="T24" s="163" t="str">
        <f>IF(A24="","",ROUND(SUMIFS(aditivos!$L$2:$L$200,aditivos!$A$2:$A$200,A24,aditivos!$C$2:$C$200,"C4"),2))</f>
        <v/>
      </c>
      <c r="U24" s="159" t="str">
        <f t="shared" si="8"/>
        <v/>
      </c>
      <c r="V24" s="159" t="str">
        <f>IF(A24="","",IF(itens_Remanesc!K24="","",itens_Remanesc!K24))</f>
        <v/>
      </c>
      <c r="W24" s="159" t="str">
        <f t="shared" si="9"/>
        <v/>
      </c>
      <c r="X24" s="146" t="str">
        <f>IF(A24="","",IF(COUNTIF($A$2:$A$200,A24)&gt;1,"ALERTA: ITEM_DUPLICADO",IF(AND($Z24,ISNUMBER(itens_Remanesc!B24),itens_Remanesc!B24&lt;&gt;0),"NOVO ITEM COM BASE DIFERENTE DE 0 - AJUSTAR itens_Remanesc",IF(AND($Z24,NOT(ISNUMBER(itens_Remanesc!C24))),"NOVO ITEM SEM VU_ORIGINAL - INFORMAR EM itens_Remanesc",IF(MIN(E24,I24,M24,Q24,U24,G24,K24,O24,S24,W24)&lt;0,"ALERTA: POSICAO_NEGATIVA",IF(OR(AND(G24&lt;&gt;"",G24&gt;E24),AND(K24&lt;&gt;"",K24&gt;I24),AND(O24&lt;&gt;"",O24&gt;M24),AND(S24&lt;&gt;"",S24&gt;Q24),AND(W24&lt;&gt;"",W24&gt;U24)),"ALERTA: REMANESCENTE_SUPERA_POSICAO","OK"))))))</f>
        <v/>
      </c>
      <c r="Y24" t="str">
        <f t="shared" si="10"/>
        <v/>
      </c>
      <c r="Z24" t="b">
        <f t="shared" si="11"/>
        <v>0</v>
      </c>
      <c r="AA24" s="208" t="str">
        <f>IF($A24="","",IF(COUNTIFS(aditivos!$A$2:$A$200,$A24,aditivos!$L$2:$L$200,"&lt;&gt;",aditivos!$L$2:$L$200,"&lt;&gt;0",aditivos!$B$2:$B$200,"&gt;0")=0,"",IFERROR(_xlfn.MINIFS(aditivos!$B$2:$B$200,aditivos!$A$2:$A$200,$A24,aditivos!$L$2:$L$200,"&lt;&gt;",aditivos!$L$2:$L$200,"&lt;&gt;0",aditivos!$B$2:$B$200,"&gt;0"),"")))</f>
        <v/>
      </c>
      <c r="AB24" t="str">
        <f>IF($A24="","",IF(OR(parametros!$C$2="",parametros!$I$2=""),0,ROUND(SUMIFS(aditivos!$L$2:$L$200,aditivos!$A$2:$A$200,$A24,aditivos!$C$2:$C$200,"C0",aditivos!$B$2:$B$200,"&gt;="&amp;(INT(parametros!$I$2)+1)),2)))</f>
        <v/>
      </c>
      <c r="AC24" t="str">
        <f>IF($A24="","",IF(OR(parametros!$C$3="",parametros!$I$3=""),0,ROUND(SUMIFS(aditivos!$L$2:$L$200,aditivos!$A$2:$A$200,$A24,aditivos!$C$2:$C$200,"C1",aditivos!$B$2:$B$200,"&gt;="&amp;(INT(parametros!$I$3)+1)),2)))</f>
        <v/>
      </c>
      <c r="AD24" t="str">
        <f>IF($A24="","",IF(OR(parametros!$C$4="",parametros!$I$4=""),0,ROUND(SUMIFS(aditivos!$L$2:$L$200,aditivos!$A$2:$A$200,$A24,aditivos!$C$2:$C$200,"C2",aditivos!$B$2:$B$200,"&gt;="&amp;(INT(parametros!$I$4)+1)),2)))</f>
        <v/>
      </c>
      <c r="AE24" t="str">
        <f>IF($A24="","",IF(OR(parametros!$C$5="",parametros!$I$5=""),0,ROUND(SUMIFS(aditivos!$L$2:$L$200,aditivos!$A$2:$A$200,$A24,aditivos!$C$2:$C$200,"C3",aditivos!$B$2:$B$200,"&gt;="&amp;(INT(parametros!$I$5)+1)),2)))</f>
        <v/>
      </c>
      <c r="AF24" t="str">
        <f>IF($A24="","",IF(OR(parametros!$C$6="",parametros!$I$6=""),0,ROUND(SUMIFS(aditivos!$L$2:$L$200,aditivos!$A$2:$A$200,$A24,aditivos!$C$2:$C$200,"C4",aditivos!$B$2:$B$200,"&gt;="&amp;(INT(parametros!$I$6)+1)),2)))</f>
        <v/>
      </c>
      <c r="AG24" t="str">
        <f t="shared" si="12"/>
        <v/>
      </c>
      <c r="AH24" t="str">
        <f t="shared" si="13"/>
        <v/>
      </c>
      <c r="AI24" t="str">
        <f t="shared" si="14"/>
        <v/>
      </c>
      <c r="AJ24" t="str">
        <f t="shared" si="15"/>
        <v/>
      </c>
      <c r="AK24" t="str">
        <f t="shared" si="16"/>
        <v/>
      </c>
      <c r="AL24" t="str">
        <f t="shared" si="17"/>
        <v/>
      </c>
    </row>
    <row r="25" spans="1:38" x14ac:dyDescent="0.35">
      <c r="A25" s="146" t="str">
        <f>IF(itens_Remanesc!A25="","",itens_Remanesc!A25)</f>
        <v/>
      </c>
      <c r="B25" s="196" t="str">
        <f>IF(A25="","",itens_Remanesc!C25)</f>
        <v/>
      </c>
      <c r="C25" s="161" t="str">
        <f>IF(A25="","",IF(itens_Remanesc!B25="",0,itens_Remanesc!B25))</f>
        <v/>
      </c>
      <c r="D25" s="163" t="str">
        <f>IF(A25="","",ROUND(SUMIFS(aditivos!$L$2:$L$200,aditivos!$A$2:$A$200,A25,aditivos!$C$2:$C$200,"C0"),2))</f>
        <v/>
      </c>
      <c r="E25" s="159" t="str">
        <f t="shared" si="0"/>
        <v/>
      </c>
      <c r="F25" s="159" t="str">
        <f>IF(A25="","",IF(itens_Remanesc!B25&lt;&gt;"",itens_Remanesc!B25,IF($Z25,0,"")))</f>
        <v/>
      </c>
      <c r="G25" s="167" t="str">
        <f t="shared" si="1"/>
        <v/>
      </c>
      <c r="H25" s="169" t="str">
        <f>IF(A25="","",ROUND(SUMIFS(aditivos!$L$2:$L$200,aditivos!$A$2:$A$200,A25,aditivos!$C$2:$C$200,"C1"),2))</f>
        <v/>
      </c>
      <c r="I25" s="165" t="str">
        <f t="shared" si="2"/>
        <v/>
      </c>
      <c r="J25" s="165" t="str">
        <f>IF(A25="","",IF(itens_Remanesc!E25="","",itens_Remanesc!E25))</f>
        <v/>
      </c>
      <c r="K25" s="171" t="str">
        <f t="shared" si="3"/>
        <v/>
      </c>
      <c r="L25" s="163" t="str">
        <f>IF(A25="","",ROUND(SUMIFS(aditivos!$L$2:$L$200,aditivos!$A$2:$A$200,A25,aditivos!$C$2:$C$200,"C2"),2))</f>
        <v/>
      </c>
      <c r="M25" s="159" t="str">
        <f t="shared" si="4"/>
        <v/>
      </c>
      <c r="N25" s="159" t="str">
        <f>IF(A25="","",IF(itens_Remanesc!G25="","",itens_Remanesc!G25))</f>
        <v/>
      </c>
      <c r="O25" s="167" t="str">
        <f t="shared" si="5"/>
        <v/>
      </c>
      <c r="P25" s="169" t="str">
        <f>IF(A25="","",ROUND(SUMIFS(aditivos!$L$2:$L$200,aditivos!$A$2:$A$200,A25,aditivos!$C$2:$C$200,"C3"),2))</f>
        <v/>
      </c>
      <c r="Q25" s="165" t="str">
        <f t="shared" si="6"/>
        <v/>
      </c>
      <c r="R25" s="165" t="str">
        <f>IF(A25="","",IF(itens_Remanesc!I25="","",itens_Remanesc!I25))</f>
        <v/>
      </c>
      <c r="S25" s="171" t="str">
        <f t="shared" si="7"/>
        <v/>
      </c>
      <c r="T25" s="163" t="str">
        <f>IF(A25="","",ROUND(SUMIFS(aditivos!$L$2:$L$200,aditivos!$A$2:$A$200,A25,aditivos!$C$2:$C$200,"C4"),2))</f>
        <v/>
      </c>
      <c r="U25" s="159" t="str">
        <f t="shared" si="8"/>
        <v/>
      </c>
      <c r="V25" s="159" t="str">
        <f>IF(A25="","",IF(itens_Remanesc!K25="","",itens_Remanesc!K25))</f>
        <v/>
      </c>
      <c r="W25" s="159" t="str">
        <f t="shared" si="9"/>
        <v/>
      </c>
      <c r="X25" s="146" t="str">
        <f>IF(A25="","",IF(COUNTIF($A$2:$A$200,A25)&gt;1,"ALERTA: ITEM_DUPLICADO",IF(AND($Z25,ISNUMBER(itens_Remanesc!B25),itens_Remanesc!B25&lt;&gt;0),"NOVO ITEM COM BASE DIFERENTE DE 0 - AJUSTAR itens_Remanesc",IF(AND($Z25,NOT(ISNUMBER(itens_Remanesc!C25))),"NOVO ITEM SEM VU_ORIGINAL - INFORMAR EM itens_Remanesc",IF(MIN(E25,I25,M25,Q25,U25,G25,K25,O25,S25,W25)&lt;0,"ALERTA: POSICAO_NEGATIVA",IF(OR(AND(G25&lt;&gt;"",G25&gt;E25),AND(K25&lt;&gt;"",K25&gt;I25),AND(O25&lt;&gt;"",O25&gt;M25),AND(S25&lt;&gt;"",S25&gt;Q25),AND(W25&lt;&gt;"",W25&gt;U25)),"ALERTA: REMANESCENTE_SUPERA_POSICAO","OK"))))))</f>
        <v/>
      </c>
      <c r="Y25" t="str">
        <f t="shared" si="10"/>
        <v/>
      </c>
      <c r="Z25" t="b">
        <f t="shared" si="11"/>
        <v>0</v>
      </c>
      <c r="AA25" s="208" t="str">
        <f>IF($A25="","",IF(COUNTIFS(aditivos!$A$2:$A$200,$A25,aditivos!$L$2:$L$200,"&lt;&gt;",aditivos!$L$2:$L$200,"&lt;&gt;0",aditivos!$B$2:$B$200,"&gt;0")=0,"",IFERROR(_xlfn.MINIFS(aditivos!$B$2:$B$200,aditivos!$A$2:$A$200,$A25,aditivos!$L$2:$L$200,"&lt;&gt;",aditivos!$L$2:$L$200,"&lt;&gt;0",aditivos!$B$2:$B$200,"&gt;0"),"")))</f>
        <v/>
      </c>
      <c r="AB25" t="str">
        <f>IF($A25="","",IF(OR(parametros!$C$2="",parametros!$I$2=""),0,ROUND(SUMIFS(aditivos!$L$2:$L$200,aditivos!$A$2:$A$200,$A25,aditivos!$C$2:$C$200,"C0",aditivos!$B$2:$B$200,"&gt;="&amp;(INT(parametros!$I$2)+1)),2)))</f>
        <v/>
      </c>
      <c r="AC25" t="str">
        <f>IF($A25="","",IF(OR(parametros!$C$3="",parametros!$I$3=""),0,ROUND(SUMIFS(aditivos!$L$2:$L$200,aditivos!$A$2:$A$200,$A25,aditivos!$C$2:$C$200,"C1",aditivos!$B$2:$B$200,"&gt;="&amp;(INT(parametros!$I$3)+1)),2)))</f>
        <v/>
      </c>
      <c r="AD25" t="str">
        <f>IF($A25="","",IF(OR(parametros!$C$4="",parametros!$I$4=""),0,ROUND(SUMIFS(aditivos!$L$2:$L$200,aditivos!$A$2:$A$200,$A25,aditivos!$C$2:$C$200,"C2",aditivos!$B$2:$B$200,"&gt;="&amp;(INT(parametros!$I$4)+1)),2)))</f>
        <v/>
      </c>
      <c r="AE25" t="str">
        <f>IF($A25="","",IF(OR(parametros!$C$5="",parametros!$I$5=""),0,ROUND(SUMIFS(aditivos!$L$2:$L$200,aditivos!$A$2:$A$200,$A25,aditivos!$C$2:$C$200,"C3",aditivos!$B$2:$B$200,"&gt;="&amp;(INT(parametros!$I$5)+1)),2)))</f>
        <v/>
      </c>
      <c r="AF25" t="str">
        <f>IF($A25="","",IF(OR(parametros!$C$6="",parametros!$I$6=""),0,ROUND(SUMIFS(aditivos!$L$2:$L$200,aditivos!$A$2:$A$200,$A25,aditivos!$C$2:$C$200,"C4",aditivos!$B$2:$B$200,"&gt;="&amp;(INT(parametros!$I$6)+1)),2)))</f>
        <v/>
      </c>
      <c r="AG25" t="str">
        <f t="shared" si="12"/>
        <v/>
      </c>
      <c r="AH25" t="str">
        <f t="shared" si="13"/>
        <v/>
      </c>
      <c r="AI25" t="str">
        <f t="shared" si="14"/>
        <v/>
      </c>
      <c r="AJ25" t="str">
        <f t="shared" si="15"/>
        <v/>
      </c>
      <c r="AK25" t="str">
        <f t="shared" si="16"/>
        <v/>
      </c>
      <c r="AL25" t="str">
        <f t="shared" si="17"/>
        <v/>
      </c>
    </row>
    <row r="26" spans="1:38" x14ac:dyDescent="0.35">
      <c r="A26" s="146" t="str">
        <f>IF(itens_Remanesc!A26="","",itens_Remanesc!A26)</f>
        <v/>
      </c>
      <c r="B26" s="196" t="str">
        <f>IF(A26="","",itens_Remanesc!C26)</f>
        <v/>
      </c>
      <c r="C26" s="161" t="str">
        <f>IF(A26="","",IF(itens_Remanesc!B26="",0,itens_Remanesc!B26))</f>
        <v/>
      </c>
      <c r="D26" s="163" t="str">
        <f>IF(A26="","",ROUND(SUMIFS(aditivos!$L$2:$L$200,aditivos!$A$2:$A$200,A26,aditivos!$C$2:$C$200,"C0"),2))</f>
        <v/>
      </c>
      <c r="E26" s="159" t="str">
        <f t="shared" si="0"/>
        <v/>
      </c>
      <c r="F26" s="159" t="str">
        <f>IF(A26="","",IF(itens_Remanesc!B26&lt;&gt;"",itens_Remanesc!B26,IF($Z26,0,"")))</f>
        <v/>
      </c>
      <c r="G26" s="167" t="str">
        <f t="shared" si="1"/>
        <v/>
      </c>
      <c r="H26" s="169" t="str">
        <f>IF(A26="","",ROUND(SUMIFS(aditivos!$L$2:$L$200,aditivos!$A$2:$A$200,A26,aditivos!$C$2:$C$200,"C1"),2))</f>
        <v/>
      </c>
      <c r="I26" s="165" t="str">
        <f t="shared" si="2"/>
        <v/>
      </c>
      <c r="J26" s="165" t="str">
        <f>IF(A26="","",IF(itens_Remanesc!E26="","",itens_Remanesc!E26))</f>
        <v/>
      </c>
      <c r="K26" s="171" t="str">
        <f t="shared" si="3"/>
        <v/>
      </c>
      <c r="L26" s="163" t="str">
        <f>IF(A26="","",ROUND(SUMIFS(aditivos!$L$2:$L$200,aditivos!$A$2:$A$200,A26,aditivos!$C$2:$C$200,"C2"),2))</f>
        <v/>
      </c>
      <c r="M26" s="159" t="str">
        <f t="shared" si="4"/>
        <v/>
      </c>
      <c r="N26" s="159" t="str">
        <f>IF(A26="","",IF(itens_Remanesc!G26="","",itens_Remanesc!G26))</f>
        <v/>
      </c>
      <c r="O26" s="167" t="str">
        <f t="shared" si="5"/>
        <v/>
      </c>
      <c r="P26" s="169" t="str">
        <f>IF(A26="","",ROUND(SUMIFS(aditivos!$L$2:$L$200,aditivos!$A$2:$A$200,A26,aditivos!$C$2:$C$200,"C3"),2))</f>
        <v/>
      </c>
      <c r="Q26" s="165" t="str">
        <f t="shared" si="6"/>
        <v/>
      </c>
      <c r="R26" s="165" t="str">
        <f>IF(A26="","",IF(itens_Remanesc!I26="","",itens_Remanesc!I26))</f>
        <v/>
      </c>
      <c r="S26" s="171" t="str">
        <f t="shared" si="7"/>
        <v/>
      </c>
      <c r="T26" s="163" t="str">
        <f>IF(A26="","",ROUND(SUMIFS(aditivos!$L$2:$L$200,aditivos!$A$2:$A$200,A26,aditivos!$C$2:$C$200,"C4"),2))</f>
        <v/>
      </c>
      <c r="U26" s="159" t="str">
        <f t="shared" si="8"/>
        <v/>
      </c>
      <c r="V26" s="159" t="str">
        <f>IF(A26="","",IF(itens_Remanesc!K26="","",itens_Remanesc!K26))</f>
        <v/>
      </c>
      <c r="W26" s="159" t="str">
        <f t="shared" si="9"/>
        <v/>
      </c>
      <c r="X26" s="146" t="str">
        <f>IF(A26="","",IF(COUNTIF($A$2:$A$200,A26)&gt;1,"ALERTA: ITEM_DUPLICADO",IF(AND($Z26,ISNUMBER(itens_Remanesc!B26),itens_Remanesc!B26&lt;&gt;0),"NOVO ITEM COM BASE DIFERENTE DE 0 - AJUSTAR itens_Remanesc",IF(AND($Z26,NOT(ISNUMBER(itens_Remanesc!C26))),"NOVO ITEM SEM VU_ORIGINAL - INFORMAR EM itens_Remanesc",IF(MIN(E26,I26,M26,Q26,U26,G26,K26,O26,S26,W26)&lt;0,"ALERTA: POSICAO_NEGATIVA",IF(OR(AND(G26&lt;&gt;"",G26&gt;E26),AND(K26&lt;&gt;"",K26&gt;I26),AND(O26&lt;&gt;"",O26&gt;M26),AND(S26&lt;&gt;"",S26&gt;Q26),AND(W26&lt;&gt;"",W26&gt;U26)),"ALERTA: REMANESCENTE_SUPERA_POSICAO","OK"))))))</f>
        <v/>
      </c>
      <c r="Y26" t="str">
        <f t="shared" si="10"/>
        <v/>
      </c>
      <c r="Z26" t="b">
        <f t="shared" si="11"/>
        <v>0</v>
      </c>
      <c r="AA26" s="208" t="str">
        <f>IF($A26="","",IF(COUNTIFS(aditivos!$A$2:$A$200,$A26,aditivos!$L$2:$L$200,"&lt;&gt;",aditivos!$L$2:$L$200,"&lt;&gt;0",aditivos!$B$2:$B$200,"&gt;0")=0,"",IFERROR(_xlfn.MINIFS(aditivos!$B$2:$B$200,aditivos!$A$2:$A$200,$A26,aditivos!$L$2:$L$200,"&lt;&gt;",aditivos!$L$2:$L$200,"&lt;&gt;0",aditivos!$B$2:$B$200,"&gt;0"),"")))</f>
        <v/>
      </c>
      <c r="AB26" t="str">
        <f>IF($A26="","",IF(OR(parametros!$C$2="",parametros!$I$2=""),0,ROUND(SUMIFS(aditivos!$L$2:$L$200,aditivos!$A$2:$A$200,$A26,aditivos!$C$2:$C$200,"C0",aditivos!$B$2:$B$200,"&gt;="&amp;(INT(parametros!$I$2)+1)),2)))</f>
        <v/>
      </c>
      <c r="AC26" t="str">
        <f>IF($A26="","",IF(OR(parametros!$C$3="",parametros!$I$3=""),0,ROUND(SUMIFS(aditivos!$L$2:$L$200,aditivos!$A$2:$A$200,$A26,aditivos!$C$2:$C$200,"C1",aditivos!$B$2:$B$200,"&gt;="&amp;(INT(parametros!$I$3)+1)),2)))</f>
        <v/>
      </c>
      <c r="AD26" t="str">
        <f>IF($A26="","",IF(OR(parametros!$C$4="",parametros!$I$4=""),0,ROUND(SUMIFS(aditivos!$L$2:$L$200,aditivos!$A$2:$A$200,$A26,aditivos!$C$2:$C$200,"C2",aditivos!$B$2:$B$200,"&gt;="&amp;(INT(parametros!$I$4)+1)),2)))</f>
        <v/>
      </c>
      <c r="AE26" t="str">
        <f>IF($A26="","",IF(OR(parametros!$C$5="",parametros!$I$5=""),0,ROUND(SUMIFS(aditivos!$L$2:$L$200,aditivos!$A$2:$A$200,$A26,aditivos!$C$2:$C$200,"C3",aditivos!$B$2:$B$200,"&gt;="&amp;(INT(parametros!$I$5)+1)),2)))</f>
        <v/>
      </c>
      <c r="AF26" t="str">
        <f>IF($A26="","",IF(OR(parametros!$C$6="",parametros!$I$6=""),0,ROUND(SUMIFS(aditivos!$L$2:$L$200,aditivos!$A$2:$A$200,$A26,aditivos!$C$2:$C$200,"C4",aditivos!$B$2:$B$200,"&gt;="&amp;(INT(parametros!$I$6)+1)),2)))</f>
        <v/>
      </c>
      <c r="AG26" t="str">
        <f t="shared" si="12"/>
        <v/>
      </c>
      <c r="AH26" t="str">
        <f t="shared" si="13"/>
        <v/>
      </c>
      <c r="AI26" t="str">
        <f t="shared" si="14"/>
        <v/>
      </c>
      <c r="AJ26" t="str">
        <f t="shared" si="15"/>
        <v/>
      </c>
      <c r="AK26" t="str">
        <f t="shared" si="16"/>
        <v/>
      </c>
      <c r="AL26" t="str">
        <f t="shared" si="17"/>
        <v/>
      </c>
    </row>
    <row r="27" spans="1:38" x14ac:dyDescent="0.35">
      <c r="A27" s="146" t="str">
        <f>IF(itens_Remanesc!A27="","",itens_Remanesc!A27)</f>
        <v/>
      </c>
      <c r="B27" s="196" t="str">
        <f>IF(A27="","",itens_Remanesc!C27)</f>
        <v/>
      </c>
      <c r="C27" s="161" t="str">
        <f>IF(A27="","",IF(itens_Remanesc!B27="",0,itens_Remanesc!B27))</f>
        <v/>
      </c>
      <c r="D27" s="163" t="str">
        <f>IF(A27="","",ROUND(SUMIFS(aditivos!$L$2:$L$200,aditivos!$A$2:$A$200,A27,aditivos!$C$2:$C$200,"C0"),2))</f>
        <v/>
      </c>
      <c r="E27" s="159" t="str">
        <f t="shared" si="0"/>
        <v/>
      </c>
      <c r="F27" s="159" t="str">
        <f>IF(A27="","",IF(itens_Remanesc!B27&lt;&gt;"",itens_Remanesc!B27,IF($Z27,0,"")))</f>
        <v/>
      </c>
      <c r="G27" s="167" t="str">
        <f t="shared" si="1"/>
        <v/>
      </c>
      <c r="H27" s="169" t="str">
        <f>IF(A27="","",ROUND(SUMIFS(aditivos!$L$2:$L$200,aditivos!$A$2:$A$200,A27,aditivos!$C$2:$C$200,"C1"),2))</f>
        <v/>
      </c>
      <c r="I27" s="165" t="str">
        <f t="shared" si="2"/>
        <v/>
      </c>
      <c r="J27" s="165" t="str">
        <f>IF(A27="","",IF(itens_Remanesc!E27="","",itens_Remanesc!E27))</f>
        <v/>
      </c>
      <c r="K27" s="171" t="str">
        <f t="shared" si="3"/>
        <v/>
      </c>
      <c r="L27" s="163" t="str">
        <f>IF(A27="","",ROUND(SUMIFS(aditivos!$L$2:$L$200,aditivos!$A$2:$A$200,A27,aditivos!$C$2:$C$200,"C2"),2))</f>
        <v/>
      </c>
      <c r="M27" s="159" t="str">
        <f t="shared" si="4"/>
        <v/>
      </c>
      <c r="N27" s="159" t="str">
        <f>IF(A27="","",IF(itens_Remanesc!G27="","",itens_Remanesc!G27))</f>
        <v/>
      </c>
      <c r="O27" s="167" t="str">
        <f t="shared" si="5"/>
        <v/>
      </c>
      <c r="P27" s="169" t="str">
        <f>IF(A27="","",ROUND(SUMIFS(aditivos!$L$2:$L$200,aditivos!$A$2:$A$200,A27,aditivos!$C$2:$C$200,"C3"),2))</f>
        <v/>
      </c>
      <c r="Q27" s="165" t="str">
        <f t="shared" si="6"/>
        <v/>
      </c>
      <c r="R27" s="165" t="str">
        <f>IF(A27="","",IF(itens_Remanesc!I27="","",itens_Remanesc!I27))</f>
        <v/>
      </c>
      <c r="S27" s="171" t="str">
        <f t="shared" si="7"/>
        <v/>
      </c>
      <c r="T27" s="163" t="str">
        <f>IF(A27="","",ROUND(SUMIFS(aditivos!$L$2:$L$200,aditivos!$A$2:$A$200,A27,aditivos!$C$2:$C$200,"C4"),2))</f>
        <v/>
      </c>
      <c r="U27" s="159" t="str">
        <f t="shared" si="8"/>
        <v/>
      </c>
      <c r="V27" s="159" t="str">
        <f>IF(A27="","",IF(itens_Remanesc!K27="","",itens_Remanesc!K27))</f>
        <v/>
      </c>
      <c r="W27" s="159" t="str">
        <f t="shared" si="9"/>
        <v/>
      </c>
      <c r="X27" s="146" t="str">
        <f>IF(A27="","",IF(COUNTIF($A$2:$A$200,A27)&gt;1,"ALERTA: ITEM_DUPLICADO",IF(AND($Z27,ISNUMBER(itens_Remanesc!B27),itens_Remanesc!B27&lt;&gt;0),"NOVO ITEM COM BASE DIFERENTE DE 0 - AJUSTAR itens_Remanesc",IF(AND($Z27,NOT(ISNUMBER(itens_Remanesc!C27))),"NOVO ITEM SEM VU_ORIGINAL - INFORMAR EM itens_Remanesc",IF(MIN(E27,I27,M27,Q27,U27,G27,K27,O27,S27,W27)&lt;0,"ALERTA: POSICAO_NEGATIVA",IF(OR(AND(G27&lt;&gt;"",G27&gt;E27),AND(K27&lt;&gt;"",K27&gt;I27),AND(O27&lt;&gt;"",O27&gt;M27),AND(S27&lt;&gt;"",S27&gt;Q27),AND(W27&lt;&gt;"",W27&gt;U27)),"ALERTA: REMANESCENTE_SUPERA_POSICAO","OK"))))))</f>
        <v/>
      </c>
      <c r="Y27" t="str">
        <f t="shared" si="10"/>
        <v/>
      </c>
      <c r="Z27" t="b">
        <f t="shared" si="11"/>
        <v>0</v>
      </c>
      <c r="AA27" s="208" t="str">
        <f>IF($A27="","",IF(COUNTIFS(aditivos!$A$2:$A$200,$A27,aditivos!$L$2:$L$200,"&lt;&gt;",aditivos!$L$2:$L$200,"&lt;&gt;0",aditivos!$B$2:$B$200,"&gt;0")=0,"",IFERROR(_xlfn.MINIFS(aditivos!$B$2:$B$200,aditivos!$A$2:$A$200,$A27,aditivos!$L$2:$L$200,"&lt;&gt;",aditivos!$L$2:$L$200,"&lt;&gt;0",aditivos!$B$2:$B$200,"&gt;0"),"")))</f>
        <v/>
      </c>
      <c r="AB27" t="str">
        <f>IF($A27="","",IF(OR(parametros!$C$2="",parametros!$I$2=""),0,ROUND(SUMIFS(aditivos!$L$2:$L$200,aditivos!$A$2:$A$200,$A27,aditivos!$C$2:$C$200,"C0",aditivos!$B$2:$B$200,"&gt;="&amp;(INT(parametros!$I$2)+1)),2)))</f>
        <v/>
      </c>
      <c r="AC27" t="str">
        <f>IF($A27="","",IF(OR(parametros!$C$3="",parametros!$I$3=""),0,ROUND(SUMIFS(aditivos!$L$2:$L$200,aditivos!$A$2:$A$200,$A27,aditivos!$C$2:$C$200,"C1",aditivos!$B$2:$B$200,"&gt;="&amp;(INT(parametros!$I$3)+1)),2)))</f>
        <v/>
      </c>
      <c r="AD27" t="str">
        <f>IF($A27="","",IF(OR(parametros!$C$4="",parametros!$I$4=""),0,ROUND(SUMIFS(aditivos!$L$2:$L$200,aditivos!$A$2:$A$200,$A27,aditivos!$C$2:$C$200,"C2",aditivos!$B$2:$B$200,"&gt;="&amp;(INT(parametros!$I$4)+1)),2)))</f>
        <v/>
      </c>
      <c r="AE27" t="str">
        <f>IF($A27="","",IF(OR(parametros!$C$5="",parametros!$I$5=""),0,ROUND(SUMIFS(aditivos!$L$2:$L$200,aditivos!$A$2:$A$200,$A27,aditivos!$C$2:$C$200,"C3",aditivos!$B$2:$B$200,"&gt;="&amp;(INT(parametros!$I$5)+1)),2)))</f>
        <v/>
      </c>
      <c r="AF27" t="str">
        <f>IF($A27="","",IF(OR(parametros!$C$6="",parametros!$I$6=""),0,ROUND(SUMIFS(aditivos!$L$2:$L$200,aditivos!$A$2:$A$200,$A27,aditivos!$C$2:$C$200,"C4",aditivos!$B$2:$B$200,"&gt;="&amp;(INT(parametros!$I$6)+1)),2)))</f>
        <v/>
      </c>
      <c r="AG27" t="str">
        <f t="shared" si="12"/>
        <v/>
      </c>
      <c r="AH27" t="str">
        <f t="shared" si="13"/>
        <v/>
      </c>
      <c r="AI27" t="str">
        <f t="shared" si="14"/>
        <v/>
      </c>
      <c r="AJ27" t="str">
        <f t="shared" si="15"/>
        <v/>
      </c>
      <c r="AK27" t="str">
        <f t="shared" si="16"/>
        <v/>
      </c>
      <c r="AL27" t="str">
        <f t="shared" si="17"/>
        <v/>
      </c>
    </row>
    <row r="28" spans="1:38" x14ac:dyDescent="0.35">
      <c r="A28" s="146" t="str">
        <f>IF(itens_Remanesc!A28="","",itens_Remanesc!A28)</f>
        <v/>
      </c>
      <c r="B28" s="196" t="str">
        <f>IF(A28="","",itens_Remanesc!C28)</f>
        <v/>
      </c>
      <c r="C28" s="161" t="str">
        <f>IF(A28="","",IF(itens_Remanesc!B28="",0,itens_Remanesc!B28))</f>
        <v/>
      </c>
      <c r="D28" s="163" t="str">
        <f>IF(A28="","",ROUND(SUMIFS(aditivos!$L$2:$L$200,aditivos!$A$2:$A$200,A28,aditivos!$C$2:$C$200,"C0"),2))</f>
        <v/>
      </c>
      <c r="E28" s="159" t="str">
        <f t="shared" si="0"/>
        <v/>
      </c>
      <c r="F28" s="159" t="str">
        <f>IF(A28="","",IF(itens_Remanesc!B28&lt;&gt;"",itens_Remanesc!B28,IF($Z28,0,"")))</f>
        <v/>
      </c>
      <c r="G28" s="167" t="str">
        <f t="shared" si="1"/>
        <v/>
      </c>
      <c r="H28" s="169" t="str">
        <f>IF(A28="","",ROUND(SUMIFS(aditivos!$L$2:$L$200,aditivos!$A$2:$A$200,A28,aditivos!$C$2:$C$200,"C1"),2))</f>
        <v/>
      </c>
      <c r="I28" s="165" t="str">
        <f t="shared" si="2"/>
        <v/>
      </c>
      <c r="J28" s="165" t="str">
        <f>IF(A28="","",IF(itens_Remanesc!E28="","",itens_Remanesc!E28))</f>
        <v/>
      </c>
      <c r="K28" s="171" t="str">
        <f t="shared" si="3"/>
        <v/>
      </c>
      <c r="L28" s="163" t="str">
        <f>IF(A28="","",ROUND(SUMIFS(aditivos!$L$2:$L$200,aditivos!$A$2:$A$200,A28,aditivos!$C$2:$C$200,"C2"),2))</f>
        <v/>
      </c>
      <c r="M28" s="159" t="str">
        <f t="shared" si="4"/>
        <v/>
      </c>
      <c r="N28" s="159" t="str">
        <f>IF(A28="","",IF(itens_Remanesc!G28="","",itens_Remanesc!G28))</f>
        <v/>
      </c>
      <c r="O28" s="167" t="str">
        <f t="shared" si="5"/>
        <v/>
      </c>
      <c r="P28" s="169" t="str">
        <f>IF(A28="","",ROUND(SUMIFS(aditivos!$L$2:$L$200,aditivos!$A$2:$A$200,A28,aditivos!$C$2:$C$200,"C3"),2))</f>
        <v/>
      </c>
      <c r="Q28" s="165" t="str">
        <f t="shared" si="6"/>
        <v/>
      </c>
      <c r="R28" s="165" t="str">
        <f>IF(A28="","",IF(itens_Remanesc!I28="","",itens_Remanesc!I28))</f>
        <v/>
      </c>
      <c r="S28" s="171" t="str">
        <f t="shared" si="7"/>
        <v/>
      </c>
      <c r="T28" s="163" t="str">
        <f>IF(A28="","",ROUND(SUMIFS(aditivos!$L$2:$L$200,aditivos!$A$2:$A$200,A28,aditivos!$C$2:$C$200,"C4"),2))</f>
        <v/>
      </c>
      <c r="U28" s="159" t="str">
        <f t="shared" si="8"/>
        <v/>
      </c>
      <c r="V28" s="159" t="str">
        <f>IF(A28="","",IF(itens_Remanesc!K28="","",itens_Remanesc!K28))</f>
        <v/>
      </c>
      <c r="W28" s="159" t="str">
        <f t="shared" si="9"/>
        <v/>
      </c>
      <c r="X28" s="146" t="str">
        <f>IF(A28="","",IF(COUNTIF($A$2:$A$200,A28)&gt;1,"ALERTA: ITEM_DUPLICADO",IF(AND($Z28,ISNUMBER(itens_Remanesc!B28),itens_Remanesc!B28&lt;&gt;0),"NOVO ITEM COM BASE DIFERENTE DE 0 - AJUSTAR itens_Remanesc",IF(AND($Z28,NOT(ISNUMBER(itens_Remanesc!C28))),"NOVO ITEM SEM VU_ORIGINAL - INFORMAR EM itens_Remanesc",IF(MIN(E28,I28,M28,Q28,U28,G28,K28,O28,S28,W28)&lt;0,"ALERTA: POSICAO_NEGATIVA",IF(OR(AND(G28&lt;&gt;"",G28&gt;E28),AND(K28&lt;&gt;"",K28&gt;I28),AND(O28&lt;&gt;"",O28&gt;M28),AND(S28&lt;&gt;"",S28&gt;Q28),AND(W28&lt;&gt;"",W28&gt;U28)),"ALERTA: REMANESCENTE_SUPERA_POSICAO","OK"))))))</f>
        <v/>
      </c>
      <c r="Y28" t="str">
        <f t="shared" si="10"/>
        <v/>
      </c>
      <c r="Z28" t="b">
        <f t="shared" si="11"/>
        <v>0</v>
      </c>
      <c r="AA28" s="208" t="str">
        <f>IF($A28="","",IF(COUNTIFS(aditivos!$A$2:$A$200,$A28,aditivos!$L$2:$L$200,"&lt;&gt;",aditivos!$L$2:$L$200,"&lt;&gt;0",aditivos!$B$2:$B$200,"&gt;0")=0,"",IFERROR(_xlfn.MINIFS(aditivos!$B$2:$B$200,aditivos!$A$2:$A$200,$A28,aditivos!$L$2:$L$200,"&lt;&gt;",aditivos!$L$2:$L$200,"&lt;&gt;0",aditivos!$B$2:$B$200,"&gt;0"),"")))</f>
        <v/>
      </c>
      <c r="AB28" t="str">
        <f>IF($A28="","",IF(OR(parametros!$C$2="",parametros!$I$2=""),0,ROUND(SUMIFS(aditivos!$L$2:$L$200,aditivos!$A$2:$A$200,$A28,aditivos!$C$2:$C$200,"C0",aditivos!$B$2:$B$200,"&gt;="&amp;(INT(parametros!$I$2)+1)),2)))</f>
        <v/>
      </c>
      <c r="AC28" t="str">
        <f>IF($A28="","",IF(OR(parametros!$C$3="",parametros!$I$3=""),0,ROUND(SUMIFS(aditivos!$L$2:$L$200,aditivos!$A$2:$A$200,$A28,aditivos!$C$2:$C$200,"C1",aditivos!$B$2:$B$200,"&gt;="&amp;(INT(parametros!$I$3)+1)),2)))</f>
        <v/>
      </c>
      <c r="AD28" t="str">
        <f>IF($A28="","",IF(OR(parametros!$C$4="",parametros!$I$4=""),0,ROUND(SUMIFS(aditivos!$L$2:$L$200,aditivos!$A$2:$A$200,$A28,aditivos!$C$2:$C$200,"C2",aditivos!$B$2:$B$200,"&gt;="&amp;(INT(parametros!$I$4)+1)),2)))</f>
        <v/>
      </c>
      <c r="AE28" t="str">
        <f>IF($A28="","",IF(OR(parametros!$C$5="",parametros!$I$5=""),0,ROUND(SUMIFS(aditivos!$L$2:$L$200,aditivos!$A$2:$A$200,$A28,aditivos!$C$2:$C$200,"C3",aditivos!$B$2:$B$200,"&gt;="&amp;(INT(parametros!$I$5)+1)),2)))</f>
        <v/>
      </c>
      <c r="AF28" t="str">
        <f>IF($A28="","",IF(OR(parametros!$C$6="",parametros!$I$6=""),0,ROUND(SUMIFS(aditivos!$L$2:$L$200,aditivos!$A$2:$A$200,$A28,aditivos!$C$2:$C$200,"C4",aditivos!$B$2:$B$200,"&gt;="&amp;(INT(parametros!$I$6)+1)),2)))</f>
        <v/>
      </c>
      <c r="AG28" t="str">
        <f t="shared" si="12"/>
        <v/>
      </c>
      <c r="AH28" t="str">
        <f t="shared" si="13"/>
        <v/>
      </c>
      <c r="AI28" t="str">
        <f t="shared" si="14"/>
        <v/>
      </c>
      <c r="AJ28" t="str">
        <f t="shared" si="15"/>
        <v/>
      </c>
      <c r="AK28" t="str">
        <f t="shared" si="16"/>
        <v/>
      </c>
      <c r="AL28" t="str">
        <f t="shared" si="17"/>
        <v/>
      </c>
    </row>
    <row r="29" spans="1:38" x14ac:dyDescent="0.35">
      <c r="A29" s="146" t="str">
        <f>IF(itens_Remanesc!A29="","",itens_Remanesc!A29)</f>
        <v/>
      </c>
      <c r="B29" s="196" t="str">
        <f>IF(A29="","",itens_Remanesc!C29)</f>
        <v/>
      </c>
      <c r="C29" s="161" t="str">
        <f>IF(A29="","",IF(itens_Remanesc!B29="",0,itens_Remanesc!B29))</f>
        <v/>
      </c>
      <c r="D29" s="163" t="str">
        <f>IF(A29="","",ROUND(SUMIFS(aditivos!$L$2:$L$200,aditivos!$A$2:$A$200,A29,aditivos!$C$2:$C$200,"C0"),2))</f>
        <v/>
      </c>
      <c r="E29" s="159" t="str">
        <f t="shared" si="0"/>
        <v/>
      </c>
      <c r="F29" s="159" t="str">
        <f>IF(A29="","",IF(itens_Remanesc!B29&lt;&gt;"",itens_Remanesc!B29,IF($Z29,0,"")))</f>
        <v/>
      </c>
      <c r="G29" s="167" t="str">
        <f t="shared" si="1"/>
        <v/>
      </c>
      <c r="H29" s="169" t="str">
        <f>IF(A29="","",ROUND(SUMIFS(aditivos!$L$2:$L$200,aditivos!$A$2:$A$200,A29,aditivos!$C$2:$C$200,"C1"),2))</f>
        <v/>
      </c>
      <c r="I29" s="165" t="str">
        <f t="shared" si="2"/>
        <v/>
      </c>
      <c r="J29" s="165" t="str">
        <f>IF(A29="","",IF(itens_Remanesc!E29="","",itens_Remanesc!E29))</f>
        <v/>
      </c>
      <c r="K29" s="171" t="str">
        <f t="shared" si="3"/>
        <v/>
      </c>
      <c r="L29" s="163" t="str">
        <f>IF(A29="","",ROUND(SUMIFS(aditivos!$L$2:$L$200,aditivos!$A$2:$A$200,A29,aditivos!$C$2:$C$200,"C2"),2))</f>
        <v/>
      </c>
      <c r="M29" s="159" t="str">
        <f t="shared" si="4"/>
        <v/>
      </c>
      <c r="N29" s="159" t="str">
        <f>IF(A29="","",IF(itens_Remanesc!G29="","",itens_Remanesc!G29))</f>
        <v/>
      </c>
      <c r="O29" s="167" t="str">
        <f t="shared" si="5"/>
        <v/>
      </c>
      <c r="P29" s="169" t="str">
        <f>IF(A29="","",ROUND(SUMIFS(aditivos!$L$2:$L$200,aditivos!$A$2:$A$200,A29,aditivos!$C$2:$C$200,"C3"),2))</f>
        <v/>
      </c>
      <c r="Q29" s="165" t="str">
        <f t="shared" si="6"/>
        <v/>
      </c>
      <c r="R29" s="165" t="str">
        <f>IF(A29="","",IF(itens_Remanesc!I29="","",itens_Remanesc!I29))</f>
        <v/>
      </c>
      <c r="S29" s="171" t="str">
        <f t="shared" si="7"/>
        <v/>
      </c>
      <c r="T29" s="163" t="str">
        <f>IF(A29="","",ROUND(SUMIFS(aditivos!$L$2:$L$200,aditivos!$A$2:$A$200,A29,aditivos!$C$2:$C$200,"C4"),2))</f>
        <v/>
      </c>
      <c r="U29" s="159" t="str">
        <f t="shared" si="8"/>
        <v/>
      </c>
      <c r="V29" s="159" t="str">
        <f>IF(A29="","",IF(itens_Remanesc!K29="","",itens_Remanesc!K29))</f>
        <v/>
      </c>
      <c r="W29" s="159" t="str">
        <f t="shared" si="9"/>
        <v/>
      </c>
      <c r="X29" s="146" t="str">
        <f>IF(A29="","",IF(COUNTIF($A$2:$A$200,A29)&gt;1,"ALERTA: ITEM_DUPLICADO",IF(AND($Z29,ISNUMBER(itens_Remanesc!B29),itens_Remanesc!B29&lt;&gt;0),"NOVO ITEM COM BASE DIFERENTE DE 0 - AJUSTAR itens_Remanesc",IF(AND($Z29,NOT(ISNUMBER(itens_Remanesc!C29))),"NOVO ITEM SEM VU_ORIGINAL - INFORMAR EM itens_Remanesc",IF(MIN(E29,I29,M29,Q29,U29,G29,K29,O29,S29,W29)&lt;0,"ALERTA: POSICAO_NEGATIVA",IF(OR(AND(G29&lt;&gt;"",G29&gt;E29),AND(K29&lt;&gt;"",K29&gt;I29),AND(O29&lt;&gt;"",O29&gt;M29),AND(S29&lt;&gt;"",S29&gt;Q29),AND(W29&lt;&gt;"",W29&gt;U29)),"ALERTA: REMANESCENTE_SUPERA_POSICAO","OK"))))))</f>
        <v/>
      </c>
      <c r="Y29" t="str">
        <f t="shared" si="10"/>
        <v/>
      </c>
      <c r="Z29" t="b">
        <f t="shared" si="11"/>
        <v>0</v>
      </c>
      <c r="AA29" s="208" t="str">
        <f>IF($A29="","",IF(COUNTIFS(aditivos!$A$2:$A$200,$A29,aditivos!$L$2:$L$200,"&lt;&gt;",aditivos!$L$2:$L$200,"&lt;&gt;0",aditivos!$B$2:$B$200,"&gt;0")=0,"",IFERROR(_xlfn.MINIFS(aditivos!$B$2:$B$200,aditivos!$A$2:$A$200,$A29,aditivos!$L$2:$L$200,"&lt;&gt;",aditivos!$L$2:$L$200,"&lt;&gt;0",aditivos!$B$2:$B$200,"&gt;0"),"")))</f>
        <v/>
      </c>
      <c r="AB29" t="str">
        <f>IF($A29="","",IF(OR(parametros!$C$2="",parametros!$I$2=""),0,ROUND(SUMIFS(aditivos!$L$2:$L$200,aditivos!$A$2:$A$200,$A29,aditivos!$C$2:$C$200,"C0",aditivos!$B$2:$B$200,"&gt;="&amp;(INT(parametros!$I$2)+1)),2)))</f>
        <v/>
      </c>
      <c r="AC29" t="str">
        <f>IF($A29="","",IF(OR(parametros!$C$3="",parametros!$I$3=""),0,ROUND(SUMIFS(aditivos!$L$2:$L$200,aditivos!$A$2:$A$200,$A29,aditivos!$C$2:$C$200,"C1",aditivos!$B$2:$B$200,"&gt;="&amp;(INT(parametros!$I$3)+1)),2)))</f>
        <v/>
      </c>
      <c r="AD29" t="str">
        <f>IF($A29="","",IF(OR(parametros!$C$4="",parametros!$I$4=""),0,ROUND(SUMIFS(aditivos!$L$2:$L$200,aditivos!$A$2:$A$200,$A29,aditivos!$C$2:$C$200,"C2",aditivos!$B$2:$B$200,"&gt;="&amp;(INT(parametros!$I$4)+1)),2)))</f>
        <v/>
      </c>
      <c r="AE29" t="str">
        <f>IF($A29="","",IF(OR(parametros!$C$5="",parametros!$I$5=""),0,ROUND(SUMIFS(aditivos!$L$2:$L$200,aditivos!$A$2:$A$200,$A29,aditivos!$C$2:$C$200,"C3",aditivos!$B$2:$B$200,"&gt;="&amp;(INT(parametros!$I$5)+1)),2)))</f>
        <v/>
      </c>
      <c r="AF29" t="str">
        <f>IF($A29="","",IF(OR(parametros!$C$6="",parametros!$I$6=""),0,ROUND(SUMIFS(aditivos!$L$2:$L$200,aditivos!$A$2:$A$200,$A29,aditivos!$C$2:$C$200,"C4",aditivos!$B$2:$B$200,"&gt;="&amp;(INT(parametros!$I$6)+1)),2)))</f>
        <v/>
      </c>
      <c r="AG29" t="str">
        <f t="shared" si="12"/>
        <v/>
      </c>
      <c r="AH29" t="str">
        <f t="shared" si="13"/>
        <v/>
      </c>
      <c r="AI29" t="str">
        <f t="shared" si="14"/>
        <v/>
      </c>
      <c r="AJ29" t="str">
        <f t="shared" si="15"/>
        <v/>
      </c>
      <c r="AK29" t="str">
        <f t="shared" si="16"/>
        <v/>
      </c>
      <c r="AL29" t="str">
        <f t="shared" si="17"/>
        <v/>
      </c>
    </row>
    <row r="30" spans="1:38" x14ac:dyDescent="0.35">
      <c r="A30" s="146" t="str">
        <f>IF(itens_Remanesc!A30="","",itens_Remanesc!A30)</f>
        <v/>
      </c>
      <c r="B30" s="196" t="str">
        <f>IF(A30="","",itens_Remanesc!C30)</f>
        <v/>
      </c>
      <c r="C30" s="161" t="str">
        <f>IF(A30="","",IF(itens_Remanesc!B30="",0,itens_Remanesc!B30))</f>
        <v/>
      </c>
      <c r="D30" s="163" t="str">
        <f>IF(A30="","",ROUND(SUMIFS(aditivos!$L$2:$L$200,aditivos!$A$2:$A$200,A30,aditivos!$C$2:$C$200,"C0"),2))</f>
        <v/>
      </c>
      <c r="E30" s="159" t="str">
        <f t="shared" si="0"/>
        <v/>
      </c>
      <c r="F30" s="159" t="str">
        <f>IF(A30="","",IF(itens_Remanesc!B30&lt;&gt;"",itens_Remanesc!B30,IF($Z30,0,"")))</f>
        <v/>
      </c>
      <c r="G30" s="167" t="str">
        <f t="shared" si="1"/>
        <v/>
      </c>
      <c r="H30" s="169" t="str">
        <f>IF(A30="","",ROUND(SUMIFS(aditivos!$L$2:$L$200,aditivos!$A$2:$A$200,A30,aditivos!$C$2:$C$200,"C1"),2))</f>
        <v/>
      </c>
      <c r="I30" s="165" t="str">
        <f t="shared" si="2"/>
        <v/>
      </c>
      <c r="J30" s="165" t="str">
        <f>IF(A30="","",IF(itens_Remanesc!E30="","",itens_Remanesc!E30))</f>
        <v/>
      </c>
      <c r="K30" s="171" t="str">
        <f t="shared" si="3"/>
        <v/>
      </c>
      <c r="L30" s="163" t="str">
        <f>IF(A30="","",ROUND(SUMIFS(aditivos!$L$2:$L$200,aditivos!$A$2:$A$200,A30,aditivos!$C$2:$C$200,"C2"),2))</f>
        <v/>
      </c>
      <c r="M30" s="159" t="str">
        <f t="shared" si="4"/>
        <v/>
      </c>
      <c r="N30" s="159" t="str">
        <f>IF(A30="","",IF(itens_Remanesc!G30="","",itens_Remanesc!G30))</f>
        <v/>
      </c>
      <c r="O30" s="167" t="str">
        <f t="shared" si="5"/>
        <v/>
      </c>
      <c r="P30" s="169" t="str">
        <f>IF(A30="","",ROUND(SUMIFS(aditivos!$L$2:$L$200,aditivos!$A$2:$A$200,A30,aditivos!$C$2:$C$200,"C3"),2))</f>
        <v/>
      </c>
      <c r="Q30" s="165" t="str">
        <f t="shared" si="6"/>
        <v/>
      </c>
      <c r="R30" s="165" t="str">
        <f>IF(A30="","",IF(itens_Remanesc!I30="","",itens_Remanesc!I30))</f>
        <v/>
      </c>
      <c r="S30" s="171" t="str">
        <f t="shared" si="7"/>
        <v/>
      </c>
      <c r="T30" s="163" t="str">
        <f>IF(A30="","",ROUND(SUMIFS(aditivos!$L$2:$L$200,aditivos!$A$2:$A$200,A30,aditivos!$C$2:$C$200,"C4"),2))</f>
        <v/>
      </c>
      <c r="U30" s="159" t="str">
        <f t="shared" si="8"/>
        <v/>
      </c>
      <c r="V30" s="159" t="str">
        <f>IF(A30="","",IF(itens_Remanesc!K30="","",itens_Remanesc!K30))</f>
        <v/>
      </c>
      <c r="W30" s="159" t="str">
        <f t="shared" si="9"/>
        <v/>
      </c>
      <c r="X30" s="146" t="str">
        <f>IF(A30="","",IF(COUNTIF($A$2:$A$200,A30)&gt;1,"ALERTA: ITEM_DUPLICADO",IF(AND($Z30,ISNUMBER(itens_Remanesc!B30),itens_Remanesc!B30&lt;&gt;0),"NOVO ITEM COM BASE DIFERENTE DE 0 - AJUSTAR itens_Remanesc",IF(AND($Z30,NOT(ISNUMBER(itens_Remanesc!C30))),"NOVO ITEM SEM VU_ORIGINAL - INFORMAR EM itens_Remanesc",IF(MIN(E30,I30,M30,Q30,U30,G30,K30,O30,S30,W30)&lt;0,"ALERTA: POSICAO_NEGATIVA",IF(OR(AND(G30&lt;&gt;"",G30&gt;E30),AND(K30&lt;&gt;"",K30&gt;I30),AND(O30&lt;&gt;"",O30&gt;M30),AND(S30&lt;&gt;"",S30&gt;Q30),AND(W30&lt;&gt;"",W30&gt;U30)),"ALERTA: REMANESCENTE_SUPERA_POSICAO","OK"))))))</f>
        <v/>
      </c>
      <c r="Y30" t="str">
        <f t="shared" si="10"/>
        <v/>
      </c>
      <c r="Z30" t="b">
        <f t="shared" si="11"/>
        <v>0</v>
      </c>
      <c r="AA30" s="208" t="str">
        <f>IF($A30="","",IF(COUNTIFS(aditivos!$A$2:$A$200,$A30,aditivos!$L$2:$L$200,"&lt;&gt;",aditivos!$L$2:$L$200,"&lt;&gt;0",aditivos!$B$2:$B$200,"&gt;0")=0,"",IFERROR(_xlfn.MINIFS(aditivos!$B$2:$B$200,aditivos!$A$2:$A$200,$A30,aditivos!$L$2:$L$200,"&lt;&gt;",aditivos!$L$2:$L$200,"&lt;&gt;0",aditivos!$B$2:$B$200,"&gt;0"),"")))</f>
        <v/>
      </c>
      <c r="AB30" t="str">
        <f>IF($A30="","",IF(OR(parametros!$C$2="",parametros!$I$2=""),0,ROUND(SUMIFS(aditivos!$L$2:$L$200,aditivos!$A$2:$A$200,$A30,aditivos!$C$2:$C$200,"C0",aditivos!$B$2:$B$200,"&gt;="&amp;(INT(parametros!$I$2)+1)),2)))</f>
        <v/>
      </c>
      <c r="AC30" t="str">
        <f>IF($A30="","",IF(OR(parametros!$C$3="",parametros!$I$3=""),0,ROUND(SUMIFS(aditivos!$L$2:$L$200,aditivos!$A$2:$A$200,$A30,aditivos!$C$2:$C$200,"C1",aditivos!$B$2:$B$200,"&gt;="&amp;(INT(parametros!$I$3)+1)),2)))</f>
        <v/>
      </c>
      <c r="AD30" t="str">
        <f>IF($A30="","",IF(OR(parametros!$C$4="",parametros!$I$4=""),0,ROUND(SUMIFS(aditivos!$L$2:$L$200,aditivos!$A$2:$A$200,$A30,aditivos!$C$2:$C$200,"C2",aditivos!$B$2:$B$200,"&gt;="&amp;(INT(parametros!$I$4)+1)),2)))</f>
        <v/>
      </c>
      <c r="AE30" t="str">
        <f>IF($A30="","",IF(OR(parametros!$C$5="",parametros!$I$5=""),0,ROUND(SUMIFS(aditivos!$L$2:$L$200,aditivos!$A$2:$A$200,$A30,aditivos!$C$2:$C$200,"C3",aditivos!$B$2:$B$200,"&gt;="&amp;(INT(parametros!$I$5)+1)),2)))</f>
        <v/>
      </c>
      <c r="AF30" t="str">
        <f>IF($A30="","",IF(OR(parametros!$C$6="",parametros!$I$6=""),0,ROUND(SUMIFS(aditivos!$L$2:$L$200,aditivos!$A$2:$A$200,$A30,aditivos!$C$2:$C$200,"C4",aditivos!$B$2:$B$200,"&gt;="&amp;(INT(parametros!$I$6)+1)),2)))</f>
        <v/>
      </c>
      <c r="AG30" t="str">
        <f t="shared" si="12"/>
        <v/>
      </c>
      <c r="AH30" t="str">
        <f t="shared" si="13"/>
        <v/>
      </c>
      <c r="AI30" t="str">
        <f t="shared" si="14"/>
        <v/>
      </c>
      <c r="AJ30" t="str">
        <f t="shared" si="15"/>
        <v/>
      </c>
      <c r="AK30" t="str">
        <f t="shared" si="16"/>
        <v/>
      </c>
      <c r="AL30" t="str">
        <f t="shared" si="17"/>
        <v/>
      </c>
    </row>
    <row r="31" spans="1:38" x14ac:dyDescent="0.35">
      <c r="A31" s="146" t="str">
        <f>IF(itens_Remanesc!A31="","",itens_Remanesc!A31)</f>
        <v/>
      </c>
      <c r="B31" s="196" t="str">
        <f>IF(A31="","",itens_Remanesc!C31)</f>
        <v/>
      </c>
      <c r="C31" s="161" t="str">
        <f>IF(A31="","",IF(itens_Remanesc!B31="",0,itens_Remanesc!B31))</f>
        <v/>
      </c>
      <c r="D31" s="163" t="str">
        <f>IF(A31="","",ROUND(SUMIFS(aditivos!$L$2:$L$200,aditivos!$A$2:$A$200,A31,aditivos!$C$2:$C$200,"C0"),2))</f>
        <v/>
      </c>
      <c r="E31" s="159" t="str">
        <f t="shared" si="0"/>
        <v/>
      </c>
      <c r="F31" s="159" t="str">
        <f>IF(A31="","",IF(itens_Remanesc!B31&lt;&gt;"",itens_Remanesc!B31,IF($Z31,0,"")))</f>
        <v/>
      </c>
      <c r="G31" s="167" t="str">
        <f t="shared" si="1"/>
        <v/>
      </c>
      <c r="H31" s="169" t="str">
        <f>IF(A31="","",ROUND(SUMIFS(aditivos!$L$2:$L$200,aditivos!$A$2:$A$200,A31,aditivos!$C$2:$C$200,"C1"),2))</f>
        <v/>
      </c>
      <c r="I31" s="165" t="str">
        <f t="shared" si="2"/>
        <v/>
      </c>
      <c r="J31" s="165" t="str">
        <f>IF(A31="","",IF(itens_Remanesc!E31="","",itens_Remanesc!E31))</f>
        <v/>
      </c>
      <c r="K31" s="171" t="str">
        <f t="shared" si="3"/>
        <v/>
      </c>
      <c r="L31" s="163" t="str">
        <f>IF(A31="","",ROUND(SUMIFS(aditivos!$L$2:$L$200,aditivos!$A$2:$A$200,A31,aditivos!$C$2:$C$200,"C2"),2))</f>
        <v/>
      </c>
      <c r="M31" s="159" t="str">
        <f t="shared" si="4"/>
        <v/>
      </c>
      <c r="N31" s="159" t="str">
        <f>IF(A31="","",IF(itens_Remanesc!G31="","",itens_Remanesc!G31))</f>
        <v/>
      </c>
      <c r="O31" s="167" t="str">
        <f t="shared" si="5"/>
        <v/>
      </c>
      <c r="P31" s="169" t="str">
        <f>IF(A31="","",ROUND(SUMIFS(aditivos!$L$2:$L$200,aditivos!$A$2:$A$200,A31,aditivos!$C$2:$C$200,"C3"),2))</f>
        <v/>
      </c>
      <c r="Q31" s="165" t="str">
        <f t="shared" si="6"/>
        <v/>
      </c>
      <c r="R31" s="165" t="str">
        <f>IF(A31="","",IF(itens_Remanesc!I31="","",itens_Remanesc!I31))</f>
        <v/>
      </c>
      <c r="S31" s="171" t="str">
        <f t="shared" si="7"/>
        <v/>
      </c>
      <c r="T31" s="163" t="str">
        <f>IF(A31="","",ROUND(SUMIFS(aditivos!$L$2:$L$200,aditivos!$A$2:$A$200,A31,aditivos!$C$2:$C$200,"C4"),2))</f>
        <v/>
      </c>
      <c r="U31" s="159" t="str">
        <f t="shared" si="8"/>
        <v/>
      </c>
      <c r="V31" s="159" t="str">
        <f>IF(A31="","",IF(itens_Remanesc!K31="","",itens_Remanesc!K31))</f>
        <v/>
      </c>
      <c r="W31" s="159" t="str">
        <f t="shared" si="9"/>
        <v/>
      </c>
      <c r="X31" s="146" t="str">
        <f>IF(A31="","",IF(COUNTIF($A$2:$A$200,A31)&gt;1,"ALERTA: ITEM_DUPLICADO",IF(AND($Z31,ISNUMBER(itens_Remanesc!B31),itens_Remanesc!B31&lt;&gt;0),"NOVO ITEM COM BASE DIFERENTE DE 0 - AJUSTAR itens_Remanesc",IF(AND($Z31,NOT(ISNUMBER(itens_Remanesc!C31))),"NOVO ITEM SEM VU_ORIGINAL - INFORMAR EM itens_Remanesc",IF(MIN(E31,I31,M31,Q31,U31,G31,K31,O31,S31,W31)&lt;0,"ALERTA: POSICAO_NEGATIVA",IF(OR(AND(G31&lt;&gt;"",G31&gt;E31),AND(K31&lt;&gt;"",K31&gt;I31),AND(O31&lt;&gt;"",O31&gt;M31),AND(S31&lt;&gt;"",S31&gt;Q31),AND(W31&lt;&gt;"",W31&gt;U31)),"ALERTA: REMANESCENTE_SUPERA_POSICAO","OK"))))))</f>
        <v/>
      </c>
      <c r="Y31" t="str">
        <f t="shared" si="10"/>
        <v/>
      </c>
      <c r="Z31" t="b">
        <f t="shared" si="11"/>
        <v>0</v>
      </c>
      <c r="AA31" s="208" t="str">
        <f>IF($A31="","",IF(COUNTIFS(aditivos!$A$2:$A$200,$A31,aditivos!$L$2:$L$200,"&lt;&gt;",aditivos!$L$2:$L$200,"&lt;&gt;0",aditivos!$B$2:$B$200,"&gt;0")=0,"",IFERROR(_xlfn.MINIFS(aditivos!$B$2:$B$200,aditivos!$A$2:$A$200,$A31,aditivos!$L$2:$L$200,"&lt;&gt;",aditivos!$L$2:$L$200,"&lt;&gt;0",aditivos!$B$2:$B$200,"&gt;0"),"")))</f>
        <v/>
      </c>
      <c r="AB31" t="str">
        <f>IF($A31="","",IF(OR(parametros!$C$2="",parametros!$I$2=""),0,ROUND(SUMIFS(aditivos!$L$2:$L$200,aditivos!$A$2:$A$200,$A31,aditivos!$C$2:$C$200,"C0",aditivos!$B$2:$B$200,"&gt;="&amp;(INT(parametros!$I$2)+1)),2)))</f>
        <v/>
      </c>
      <c r="AC31" t="str">
        <f>IF($A31="","",IF(OR(parametros!$C$3="",parametros!$I$3=""),0,ROUND(SUMIFS(aditivos!$L$2:$L$200,aditivos!$A$2:$A$200,$A31,aditivos!$C$2:$C$200,"C1",aditivos!$B$2:$B$200,"&gt;="&amp;(INT(parametros!$I$3)+1)),2)))</f>
        <v/>
      </c>
      <c r="AD31" t="str">
        <f>IF($A31="","",IF(OR(parametros!$C$4="",parametros!$I$4=""),0,ROUND(SUMIFS(aditivos!$L$2:$L$200,aditivos!$A$2:$A$200,$A31,aditivos!$C$2:$C$200,"C2",aditivos!$B$2:$B$200,"&gt;="&amp;(INT(parametros!$I$4)+1)),2)))</f>
        <v/>
      </c>
      <c r="AE31" t="str">
        <f>IF($A31="","",IF(OR(parametros!$C$5="",parametros!$I$5=""),0,ROUND(SUMIFS(aditivos!$L$2:$L$200,aditivos!$A$2:$A$200,$A31,aditivos!$C$2:$C$200,"C3",aditivos!$B$2:$B$200,"&gt;="&amp;(INT(parametros!$I$5)+1)),2)))</f>
        <v/>
      </c>
      <c r="AF31" t="str">
        <f>IF($A31="","",IF(OR(parametros!$C$6="",parametros!$I$6=""),0,ROUND(SUMIFS(aditivos!$L$2:$L$200,aditivos!$A$2:$A$200,$A31,aditivos!$C$2:$C$200,"C4",aditivos!$B$2:$B$200,"&gt;="&amp;(INT(parametros!$I$6)+1)),2)))</f>
        <v/>
      </c>
      <c r="AG31" t="str">
        <f t="shared" si="12"/>
        <v/>
      </c>
      <c r="AH31" t="str">
        <f t="shared" si="13"/>
        <v/>
      </c>
      <c r="AI31" t="str">
        <f t="shared" si="14"/>
        <v/>
      </c>
      <c r="AJ31" t="str">
        <f t="shared" si="15"/>
        <v/>
      </c>
      <c r="AK31" t="str">
        <f t="shared" si="16"/>
        <v/>
      </c>
      <c r="AL31" t="str">
        <f t="shared" si="17"/>
        <v/>
      </c>
    </row>
    <row r="32" spans="1:38" x14ac:dyDescent="0.35">
      <c r="A32" s="146" t="str">
        <f>IF(itens_Remanesc!A32="","",itens_Remanesc!A32)</f>
        <v/>
      </c>
      <c r="B32" s="196" t="str">
        <f>IF(A32="","",itens_Remanesc!C32)</f>
        <v/>
      </c>
      <c r="C32" s="161" t="str">
        <f>IF(A32="","",IF(itens_Remanesc!B32="",0,itens_Remanesc!B32))</f>
        <v/>
      </c>
      <c r="D32" s="163" t="str">
        <f>IF(A32="","",ROUND(SUMIFS(aditivos!$L$2:$L$200,aditivos!$A$2:$A$200,A32,aditivos!$C$2:$C$200,"C0"),2))</f>
        <v/>
      </c>
      <c r="E32" s="159" t="str">
        <f t="shared" si="0"/>
        <v/>
      </c>
      <c r="F32" s="159" t="str">
        <f>IF(A32="","",IF(itens_Remanesc!B32&lt;&gt;"",itens_Remanesc!B32,IF($Z32,0,"")))</f>
        <v/>
      </c>
      <c r="G32" s="167" t="str">
        <f t="shared" si="1"/>
        <v/>
      </c>
      <c r="H32" s="169" t="str">
        <f>IF(A32="","",ROUND(SUMIFS(aditivos!$L$2:$L$200,aditivos!$A$2:$A$200,A32,aditivos!$C$2:$C$200,"C1"),2))</f>
        <v/>
      </c>
      <c r="I32" s="165" t="str">
        <f t="shared" si="2"/>
        <v/>
      </c>
      <c r="J32" s="165" t="str">
        <f>IF(A32="","",IF(itens_Remanesc!E32="","",itens_Remanesc!E32))</f>
        <v/>
      </c>
      <c r="K32" s="171" t="str">
        <f t="shared" si="3"/>
        <v/>
      </c>
      <c r="L32" s="163" t="str">
        <f>IF(A32="","",ROUND(SUMIFS(aditivos!$L$2:$L$200,aditivos!$A$2:$A$200,A32,aditivos!$C$2:$C$200,"C2"),2))</f>
        <v/>
      </c>
      <c r="M32" s="159" t="str">
        <f t="shared" si="4"/>
        <v/>
      </c>
      <c r="N32" s="159" t="str">
        <f>IF(A32="","",IF(itens_Remanesc!G32="","",itens_Remanesc!G32))</f>
        <v/>
      </c>
      <c r="O32" s="167" t="str">
        <f t="shared" si="5"/>
        <v/>
      </c>
      <c r="P32" s="169" t="str">
        <f>IF(A32="","",ROUND(SUMIFS(aditivos!$L$2:$L$200,aditivos!$A$2:$A$200,A32,aditivos!$C$2:$C$200,"C3"),2))</f>
        <v/>
      </c>
      <c r="Q32" s="165" t="str">
        <f t="shared" si="6"/>
        <v/>
      </c>
      <c r="R32" s="165" t="str">
        <f>IF(A32="","",IF(itens_Remanesc!I32="","",itens_Remanesc!I32))</f>
        <v/>
      </c>
      <c r="S32" s="171" t="str">
        <f t="shared" si="7"/>
        <v/>
      </c>
      <c r="T32" s="163" t="str">
        <f>IF(A32="","",ROUND(SUMIFS(aditivos!$L$2:$L$200,aditivos!$A$2:$A$200,A32,aditivos!$C$2:$C$200,"C4"),2))</f>
        <v/>
      </c>
      <c r="U32" s="159" t="str">
        <f t="shared" si="8"/>
        <v/>
      </c>
      <c r="V32" s="159" t="str">
        <f>IF(A32="","",IF(itens_Remanesc!K32="","",itens_Remanesc!K32))</f>
        <v/>
      </c>
      <c r="W32" s="159" t="str">
        <f t="shared" si="9"/>
        <v/>
      </c>
      <c r="X32" s="146" t="str">
        <f>IF(A32="","",IF(COUNTIF($A$2:$A$200,A32)&gt;1,"ALERTA: ITEM_DUPLICADO",IF(AND($Z32,ISNUMBER(itens_Remanesc!B32),itens_Remanesc!B32&lt;&gt;0),"NOVO ITEM COM BASE DIFERENTE DE 0 - AJUSTAR itens_Remanesc",IF(AND($Z32,NOT(ISNUMBER(itens_Remanesc!C32))),"NOVO ITEM SEM VU_ORIGINAL - INFORMAR EM itens_Remanesc",IF(MIN(E32,I32,M32,Q32,U32,G32,K32,O32,S32,W32)&lt;0,"ALERTA: POSICAO_NEGATIVA",IF(OR(AND(G32&lt;&gt;"",G32&gt;E32),AND(K32&lt;&gt;"",K32&gt;I32),AND(O32&lt;&gt;"",O32&gt;M32),AND(S32&lt;&gt;"",S32&gt;Q32),AND(W32&lt;&gt;"",W32&gt;U32)),"ALERTA: REMANESCENTE_SUPERA_POSICAO","OK"))))))</f>
        <v/>
      </c>
      <c r="Y32" t="str">
        <f t="shared" si="10"/>
        <v/>
      </c>
      <c r="Z32" t="b">
        <f t="shared" si="11"/>
        <v>0</v>
      </c>
      <c r="AA32" s="208" t="str">
        <f>IF($A32="","",IF(COUNTIFS(aditivos!$A$2:$A$200,$A32,aditivos!$L$2:$L$200,"&lt;&gt;",aditivos!$L$2:$L$200,"&lt;&gt;0",aditivos!$B$2:$B$200,"&gt;0")=0,"",IFERROR(_xlfn.MINIFS(aditivos!$B$2:$B$200,aditivos!$A$2:$A$200,$A32,aditivos!$L$2:$L$200,"&lt;&gt;",aditivos!$L$2:$L$200,"&lt;&gt;0",aditivos!$B$2:$B$200,"&gt;0"),"")))</f>
        <v/>
      </c>
      <c r="AB32" t="str">
        <f>IF($A32="","",IF(OR(parametros!$C$2="",parametros!$I$2=""),0,ROUND(SUMIFS(aditivos!$L$2:$L$200,aditivos!$A$2:$A$200,$A32,aditivos!$C$2:$C$200,"C0",aditivos!$B$2:$B$200,"&gt;="&amp;(INT(parametros!$I$2)+1)),2)))</f>
        <v/>
      </c>
      <c r="AC32" t="str">
        <f>IF($A32="","",IF(OR(parametros!$C$3="",parametros!$I$3=""),0,ROUND(SUMIFS(aditivos!$L$2:$L$200,aditivos!$A$2:$A$200,$A32,aditivos!$C$2:$C$200,"C1",aditivos!$B$2:$B$200,"&gt;="&amp;(INT(parametros!$I$3)+1)),2)))</f>
        <v/>
      </c>
      <c r="AD32" t="str">
        <f>IF($A32="","",IF(OR(parametros!$C$4="",parametros!$I$4=""),0,ROUND(SUMIFS(aditivos!$L$2:$L$200,aditivos!$A$2:$A$200,$A32,aditivos!$C$2:$C$200,"C2",aditivos!$B$2:$B$200,"&gt;="&amp;(INT(parametros!$I$4)+1)),2)))</f>
        <v/>
      </c>
      <c r="AE32" t="str">
        <f>IF($A32="","",IF(OR(parametros!$C$5="",parametros!$I$5=""),0,ROUND(SUMIFS(aditivos!$L$2:$L$200,aditivos!$A$2:$A$200,$A32,aditivos!$C$2:$C$200,"C3",aditivos!$B$2:$B$200,"&gt;="&amp;(INT(parametros!$I$5)+1)),2)))</f>
        <v/>
      </c>
      <c r="AF32" t="str">
        <f>IF($A32="","",IF(OR(parametros!$C$6="",parametros!$I$6=""),0,ROUND(SUMIFS(aditivos!$L$2:$L$200,aditivos!$A$2:$A$200,$A32,aditivos!$C$2:$C$200,"C4",aditivos!$B$2:$B$200,"&gt;="&amp;(INT(parametros!$I$6)+1)),2)))</f>
        <v/>
      </c>
      <c r="AG32" t="str">
        <f t="shared" si="12"/>
        <v/>
      </c>
      <c r="AH32" t="str">
        <f t="shared" si="13"/>
        <v/>
      </c>
      <c r="AI32" t="str">
        <f t="shared" si="14"/>
        <v/>
      </c>
      <c r="AJ32" t="str">
        <f t="shared" si="15"/>
        <v/>
      </c>
      <c r="AK32" t="str">
        <f t="shared" si="16"/>
        <v/>
      </c>
      <c r="AL32" t="str">
        <f t="shared" si="17"/>
        <v/>
      </c>
    </row>
    <row r="33" spans="1:38" x14ac:dyDescent="0.35">
      <c r="A33" s="146" t="str">
        <f>IF(itens_Remanesc!A33="","",itens_Remanesc!A33)</f>
        <v/>
      </c>
      <c r="B33" s="196" t="str">
        <f>IF(A33="","",itens_Remanesc!C33)</f>
        <v/>
      </c>
      <c r="C33" s="161" t="str">
        <f>IF(A33="","",IF(itens_Remanesc!B33="",0,itens_Remanesc!B33))</f>
        <v/>
      </c>
      <c r="D33" s="163" t="str">
        <f>IF(A33="","",ROUND(SUMIFS(aditivos!$L$2:$L$200,aditivos!$A$2:$A$200,A33,aditivos!$C$2:$C$200,"C0"),2))</f>
        <v/>
      </c>
      <c r="E33" s="159" t="str">
        <f t="shared" si="0"/>
        <v/>
      </c>
      <c r="F33" s="159" t="str">
        <f>IF(A33="","",IF(itens_Remanesc!B33&lt;&gt;"",itens_Remanesc!B33,IF($Z33,0,"")))</f>
        <v/>
      </c>
      <c r="G33" s="167" t="str">
        <f t="shared" si="1"/>
        <v/>
      </c>
      <c r="H33" s="169" t="str">
        <f>IF(A33="","",ROUND(SUMIFS(aditivos!$L$2:$L$200,aditivos!$A$2:$A$200,A33,aditivos!$C$2:$C$200,"C1"),2))</f>
        <v/>
      </c>
      <c r="I33" s="165" t="str">
        <f t="shared" si="2"/>
        <v/>
      </c>
      <c r="J33" s="165" t="str">
        <f>IF(A33="","",IF(itens_Remanesc!E33="","",itens_Remanesc!E33))</f>
        <v/>
      </c>
      <c r="K33" s="171" t="str">
        <f t="shared" si="3"/>
        <v/>
      </c>
      <c r="L33" s="163" t="str">
        <f>IF(A33="","",ROUND(SUMIFS(aditivos!$L$2:$L$200,aditivos!$A$2:$A$200,A33,aditivos!$C$2:$C$200,"C2"),2))</f>
        <v/>
      </c>
      <c r="M33" s="159" t="str">
        <f t="shared" si="4"/>
        <v/>
      </c>
      <c r="N33" s="159" t="str">
        <f>IF(A33="","",IF(itens_Remanesc!G33="","",itens_Remanesc!G33))</f>
        <v/>
      </c>
      <c r="O33" s="167" t="str">
        <f t="shared" si="5"/>
        <v/>
      </c>
      <c r="P33" s="169" t="str">
        <f>IF(A33="","",ROUND(SUMIFS(aditivos!$L$2:$L$200,aditivos!$A$2:$A$200,A33,aditivos!$C$2:$C$200,"C3"),2))</f>
        <v/>
      </c>
      <c r="Q33" s="165" t="str">
        <f t="shared" si="6"/>
        <v/>
      </c>
      <c r="R33" s="165" t="str">
        <f>IF(A33="","",IF(itens_Remanesc!I33="","",itens_Remanesc!I33))</f>
        <v/>
      </c>
      <c r="S33" s="171" t="str">
        <f t="shared" si="7"/>
        <v/>
      </c>
      <c r="T33" s="163" t="str">
        <f>IF(A33="","",ROUND(SUMIFS(aditivos!$L$2:$L$200,aditivos!$A$2:$A$200,A33,aditivos!$C$2:$C$200,"C4"),2))</f>
        <v/>
      </c>
      <c r="U33" s="159" t="str">
        <f t="shared" si="8"/>
        <v/>
      </c>
      <c r="V33" s="159" t="str">
        <f>IF(A33="","",IF(itens_Remanesc!K33="","",itens_Remanesc!K33))</f>
        <v/>
      </c>
      <c r="W33" s="159" t="str">
        <f t="shared" si="9"/>
        <v/>
      </c>
      <c r="X33" s="146" t="str">
        <f>IF(A33="","",IF(COUNTIF($A$2:$A$200,A33)&gt;1,"ALERTA: ITEM_DUPLICADO",IF(AND($Z33,ISNUMBER(itens_Remanesc!B33),itens_Remanesc!B33&lt;&gt;0),"NOVO ITEM COM BASE DIFERENTE DE 0 - AJUSTAR itens_Remanesc",IF(AND($Z33,NOT(ISNUMBER(itens_Remanesc!C33))),"NOVO ITEM SEM VU_ORIGINAL - INFORMAR EM itens_Remanesc",IF(MIN(E33,I33,M33,Q33,U33,G33,K33,O33,S33,W33)&lt;0,"ALERTA: POSICAO_NEGATIVA",IF(OR(AND(G33&lt;&gt;"",G33&gt;E33),AND(K33&lt;&gt;"",K33&gt;I33),AND(O33&lt;&gt;"",O33&gt;M33),AND(S33&lt;&gt;"",S33&gt;Q33),AND(W33&lt;&gt;"",W33&gt;U33)),"ALERTA: REMANESCENTE_SUPERA_POSICAO","OK"))))))</f>
        <v/>
      </c>
      <c r="Y33" t="str">
        <f t="shared" si="10"/>
        <v/>
      </c>
      <c r="Z33" t="b">
        <f t="shared" si="11"/>
        <v>0</v>
      </c>
      <c r="AA33" s="208" t="str">
        <f>IF($A33="","",IF(COUNTIFS(aditivos!$A$2:$A$200,$A33,aditivos!$L$2:$L$200,"&lt;&gt;",aditivos!$L$2:$L$200,"&lt;&gt;0",aditivos!$B$2:$B$200,"&gt;0")=0,"",IFERROR(_xlfn.MINIFS(aditivos!$B$2:$B$200,aditivos!$A$2:$A$200,$A33,aditivos!$L$2:$L$200,"&lt;&gt;",aditivos!$L$2:$L$200,"&lt;&gt;0",aditivos!$B$2:$B$200,"&gt;0"),"")))</f>
        <v/>
      </c>
      <c r="AB33" t="str">
        <f>IF($A33="","",IF(OR(parametros!$C$2="",parametros!$I$2=""),0,ROUND(SUMIFS(aditivos!$L$2:$L$200,aditivos!$A$2:$A$200,$A33,aditivos!$C$2:$C$200,"C0",aditivos!$B$2:$B$200,"&gt;="&amp;(INT(parametros!$I$2)+1)),2)))</f>
        <v/>
      </c>
      <c r="AC33" t="str">
        <f>IF($A33="","",IF(OR(parametros!$C$3="",parametros!$I$3=""),0,ROUND(SUMIFS(aditivos!$L$2:$L$200,aditivos!$A$2:$A$200,$A33,aditivos!$C$2:$C$200,"C1",aditivos!$B$2:$B$200,"&gt;="&amp;(INT(parametros!$I$3)+1)),2)))</f>
        <v/>
      </c>
      <c r="AD33" t="str">
        <f>IF($A33="","",IF(OR(parametros!$C$4="",parametros!$I$4=""),0,ROUND(SUMIFS(aditivos!$L$2:$L$200,aditivos!$A$2:$A$200,$A33,aditivos!$C$2:$C$200,"C2",aditivos!$B$2:$B$200,"&gt;="&amp;(INT(parametros!$I$4)+1)),2)))</f>
        <v/>
      </c>
      <c r="AE33" t="str">
        <f>IF($A33="","",IF(OR(parametros!$C$5="",parametros!$I$5=""),0,ROUND(SUMIFS(aditivos!$L$2:$L$200,aditivos!$A$2:$A$200,$A33,aditivos!$C$2:$C$200,"C3",aditivos!$B$2:$B$200,"&gt;="&amp;(INT(parametros!$I$5)+1)),2)))</f>
        <v/>
      </c>
      <c r="AF33" t="str">
        <f>IF($A33="","",IF(OR(parametros!$C$6="",parametros!$I$6=""),0,ROUND(SUMIFS(aditivos!$L$2:$L$200,aditivos!$A$2:$A$200,$A33,aditivos!$C$2:$C$200,"C4",aditivos!$B$2:$B$200,"&gt;="&amp;(INT(parametros!$I$6)+1)),2)))</f>
        <v/>
      </c>
      <c r="AG33" t="str">
        <f t="shared" si="12"/>
        <v/>
      </c>
      <c r="AH33" t="str">
        <f t="shared" si="13"/>
        <v/>
      </c>
      <c r="AI33" t="str">
        <f t="shared" si="14"/>
        <v/>
      </c>
      <c r="AJ33" t="str">
        <f t="shared" si="15"/>
        <v/>
      </c>
      <c r="AK33" t="str">
        <f t="shared" si="16"/>
        <v/>
      </c>
      <c r="AL33" t="str">
        <f t="shared" si="17"/>
        <v/>
      </c>
    </row>
    <row r="34" spans="1:38" x14ac:dyDescent="0.35">
      <c r="A34" s="146" t="str">
        <f>IF(itens_Remanesc!A34="","",itens_Remanesc!A34)</f>
        <v/>
      </c>
      <c r="B34" s="196" t="str">
        <f>IF(A34="","",itens_Remanesc!C34)</f>
        <v/>
      </c>
      <c r="C34" s="161" t="str">
        <f>IF(A34="","",IF(itens_Remanesc!B34="",0,itens_Remanesc!B34))</f>
        <v/>
      </c>
      <c r="D34" s="163" t="str">
        <f>IF(A34="","",ROUND(SUMIFS(aditivos!$L$2:$L$200,aditivos!$A$2:$A$200,A34,aditivos!$C$2:$C$200,"C0"),2))</f>
        <v/>
      </c>
      <c r="E34" s="159" t="str">
        <f t="shared" ref="E34:E65" si="18">IF(A34="","",ROUND(C34+D34,2))</f>
        <v/>
      </c>
      <c r="F34" s="159" t="str">
        <f>IF(A34="","",IF(itens_Remanesc!B34&lt;&gt;"",itens_Remanesc!B34,IF($Z34,0,"")))</f>
        <v/>
      </c>
      <c r="G34" s="167" t="str">
        <f t="shared" ref="G34:G65" si="19">IF(A34="","",IF($Y34="","",IF($Y34&gt;0,"",ROUND(E34,2))))</f>
        <v/>
      </c>
      <c r="H34" s="169" t="str">
        <f>IF(A34="","",ROUND(SUMIFS(aditivos!$L$2:$L$200,aditivos!$A$2:$A$200,A34,aditivos!$C$2:$C$200,"C1"),2))</f>
        <v/>
      </c>
      <c r="I34" s="165" t="str">
        <f t="shared" ref="I34:I65" si="20">IF(A34="","",ROUND(E34+H34,2))</f>
        <v/>
      </c>
      <c r="J34" s="165" t="str">
        <f>IF(A34="","",IF(itens_Remanesc!E34="","",itens_Remanesc!E34))</f>
        <v/>
      </c>
      <c r="K34" s="171" t="str">
        <f t="shared" ref="K34:K65" si="21">IF(A34="","",IF($Y34="","",IF($Y34&gt;1,"",IF(ISNUMBER(J34),ROUND(J34+H34,2),IF($Y34=1,ROUND(H34,2),"")))))</f>
        <v/>
      </c>
      <c r="L34" s="163" t="str">
        <f>IF(A34="","",ROUND(SUMIFS(aditivos!$L$2:$L$200,aditivos!$A$2:$A$200,A34,aditivos!$C$2:$C$200,"C2"),2))</f>
        <v/>
      </c>
      <c r="M34" s="159" t="str">
        <f t="shared" ref="M34:M65" si="22">IF(A34="","",ROUND(I34+L34,2))</f>
        <v/>
      </c>
      <c r="N34" s="159" t="str">
        <f>IF(A34="","",IF(itens_Remanesc!G34="","",itens_Remanesc!G34))</f>
        <v/>
      </c>
      <c r="O34" s="167" t="str">
        <f t="shared" ref="O34:O65" si="23">IF(A34="","",IF($Y34="","",IF($Y34&gt;2,"",IF(ISNUMBER(N34),ROUND(N34+L34,2),IF($Y34=2,ROUND(L34,2),"")))))</f>
        <v/>
      </c>
      <c r="P34" s="169" t="str">
        <f>IF(A34="","",ROUND(SUMIFS(aditivos!$L$2:$L$200,aditivos!$A$2:$A$200,A34,aditivos!$C$2:$C$200,"C3"),2))</f>
        <v/>
      </c>
      <c r="Q34" s="165" t="str">
        <f t="shared" ref="Q34:Q65" si="24">IF(A34="","",ROUND(M34+P34,2))</f>
        <v/>
      </c>
      <c r="R34" s="165" t="str">
        <f>IF(A34="","",IF(itens_Remanesc!I34="","",itens_Remanesc!I34))</f>
        <v/>
      </c>
      <c r="S34" s="171" t="str">
        <f t="shared" ref="S34:S65" si="25">IF(A34="","",IF($Y34="","",IF($Y34&gt;3,"",IF(ISNUMBER(R34),ROUND(R34+P34,2),IF($Y34=3,ROUND(P34,2),"")))))</f>
        <v/>
      </c>
      <c r="T34" s="163" t="str">
        <f>IF(A34="","",ROUND(SUMIFS(aditivos!$L$2:$L$200,aditivos!$A$2:$A$200,A34,aditivos!$C$2:$C$200,"C4"),2))</f>
        <v/>
      </c>
      <c r="U34" s="159" t="str">
        <f t="shared" ref="U34:U65" si="26">IF(A34="","",ROUND(Q34+T34,2))</f>
        <v/>
      </c>
      <c r="V34" s="159" t="str">
        <f>IF(A34="","",IF(itens_Remanesc!K34="","",itens_Remanesc!K34))</f>
        <v/>
      </c>
      <c r="W34" s="159" t="str">
        <f t="shared" ref="W34:W65" si="27">IF(A34="","",IF($Y34="","",IF($Y34&gt;4,"",IF(ISNUMBER(V34),ROUND(V34+T34,2),IF($Y34=4,ROUND(T34,2),"")))))</f>
        <v/>
      </c>
      <c r="X34" s="146" t="str">
        <f>IF(A34="","",IF(COUNTIF($A$2:$A$200,A34)&gt;1,"ALERTA: ITEM_DUPLICADO",IF(AND($Z34,ISNUMBER(itens_Remanesc!B34),itens_Remanesc!B34&lt;&gt;0),"NOVO ITEM COM BASE DIFERENTE DE 0 - AJUSTAR itens_Remanesc",IF(AND($Z34,NOT(ISNUMBER(itens_Remanesc!C34))),"NOVO ITEM SEM VU_ORIGINAL - INFORMAR EM itens_Remanesc",IF(MIN(E34,I34,M34,Q34,U34,G34,K34,O34,S34,W34)&lt;0,"ALERTA: POSICAO_NEGATIVA",IF(OR(AND(G34&lt;&gt;"",G34&gt;E34),AND(K34&lt;&gt;"",K34&gt;I34),AND(O34&lt;&gt;"",O34&gt;M34),AND(S34&lt;&gt;"",S34&gt;Q34),AND(W34&lt;&gt;"",W34&gt;U34)),"ALERTA: REMANESCENTE_SUPERA_POSICAO","OK"))))))</f>
        <v/>
      </c>
      <c r="Y34" t="str">
        <f t="shared" ref="Y34:Y65" si="28">IF($A34="","",IF($E34&gt;0,0,IF($I34&gt;0,1,IF($M34&gt;0,2,IF($Q34&gt;0,3,IF($U34&gt;0,4,""))))))</f>
        <v/>
      </c>
      <c r="Z34" t="b">
        <f t="shared" ref="Z34:Z65" si="29">IF($A34="",FALSE,AND(LEN(TRIM($A34))=4,LEFT(TRIM($A34),1)="N",ISNUMBER(--MID(TRIM($A34),2,3)),ISERROR(FIND(".",$A34)),ISERROR(FIND(",",$A34)),ISERROR(FIND("-",$A34)),ISERROR(FIND("+",$A34)),ISERROR(SEARCH("E",$A34,2)),ISERROR(FIND(" ",TRIM($A34)))))</f>
        <v>0</v>
      </c>
      <c r="AA34" s="208" t="str">
        <f>IF($A34="","",IF(COUNTIFS(aditivos!$A$2:$A$200,$A34,aditivos!$L$2:$L$200,"&lt;&gt;",aditivos!$L$2:$L$200,"&lt;&gt;0",aditivos!$B$2:$B$200,"&gt;0")=0,"",IFERROR(_xlfn.MINIFS(aditivos!$B$2:$B$200,aditivos!$A$2:$A$200,$A34,aditivos!$L$2:$L$200,"&lt;&gt;",aditivos!$L$2:$L$200,"&lt;&gt;0",aditivos!$B$2:$B$200,"&gt;0"),"")))</f>
        <v/>
      </c>
      <c r="AB34" t="str">
        <f>IF($A34="","",IF(OR(parametros!$C$2="",parametros!$I$2=""),0,ROUND(SUMIFS(aditivos!$L$2:$L$200,aditivos!$A$2:$A$200,$A34,aditivos!$C$2:$C$200,"C0",aditivos!$B$2:$B$200,"&gt;="&amp;(INT(parametros!$I$2)+1)),2)))</f>
        <v/>
      </c>
      <c r="AC34" t="str">
        <f>IF($A34="","",IF(OR(parametros!$C$3="",parametros!$I$3=""),0,ROUND(SUMIFS(aditivos!$L$2:$L$200,aditivos!$A$2:$A$200,$A34,aditivos!$C$2:$C$200,"C1",aditivos!$B$2:$B$200,"&gt;="&amp;(INT(parametros!$I$3)+1)),2)))</f>
        <v/>
      </c>
      <c r="AD34" t="str">
        <f>IF($A34="","",IF(OR(parametros!$C$4="",parametros!$I$4=""),0,ROUND(SUMIFS(aditivos!$L$2:$L$200,aditivos!$A$2:$A$200,$A34,aditivos!$C$2:$C$200,"C2",aditivos!$B$2:$B$200,"&gt;="&amp;(INT(parametros!$I$4)+1)),2)))</f>
        <v/>
      </c>
      <c r="AE34" t="str">
        <f>IF($A34="","",IF(OR(parametros!$C$5="",parametros!$I$5=""),0,ROUND(SUMIFS(aditivos!$L$2:$L$200,aditivos!$A$2:$A$200,$A34,aditivos!$C$2:$C$200,"C3",aditivos!$B$2:$B$200,"&gt;="&amp;(INT(parametros!$I$5)+1)),2)))</f>
        <v/>
      </c>
      <c r="AF34" t="str">
        <f>IF($A34="","",IF(OR(parametros!$C$6="",parametros!$I$6=""),0,ROUND(SUMIFS(aditivos!$L$2:$L$200,aditivos!$A$2:$A$200,$A34,aditivos!$C$2:$C$200,"C4",aditivos!$B$2:$B$200,"&gt;="&amp;(INT(parametros!$I$6)+1)),2)))</f>
        <v/>
      </c>
      <c r="AG34" t="str">
        <f t="shared" ref="AG34:AG65" si="30">IF($A34="","",IF(OR(NOT(ISNUMBER($E34)),NOT(ISNUMBER($AB34))),"",ROUND($E34-$AB34,2)))</f>
        <v/>
      </c>
      <c r="AH34" t="str">
        <f t="shared" ref="AH34:AH65" si="31">IF($A34="","",IF(OR(NOT(ISNUMBER($I34)),NOT(ISNUMBER($AC34))),"",ROUND($I34-$AC34,2)))</f>
        <v/>
      </c>
      <c r="AI34" t="str">
        <f t="shared" ref="AI34:AI65" si="32">IF($A34="","",IF(OR(NOT(ISNUMBER($M34)),NOT(ISNUMBER($AD34))),"",ROUND($M34-$AD34,2)))</f>
        <v/>
      </c>
      <c r="AJ34" t="str">
        <f t="shared" ref="AJ34:AJ65" si="33">IF($A34="","",IF(OR(NOT(ISNUMBER($Q34)),NOT(ISNUMBER($AE34))),"",ROUND($Q34-$AE34,2)))</f>
        <v/>
      </c>
      <c r="AK34" t="str">
        <f t="shared" ref="AK34:AK65" si="34">IF($A34="","",IF(OR(NOT(ISNUMBER($U34)),NOT(ISNUMBER($AF34))),"",ROUND($U34-$AF34,2)))</f>
        <v/>
      </c>
      <c r="AL34" t="str">
        <f t="shared" ref="AL34:AL65" si="35">IF($A34="","",IF(N($AG34)&gt;0,0,IF(N($AH34)&gt;0,1,IF(N($AI34)&gt;0,2,IF(N($AJ34)&gt;0,3,IF(N($AK34)&gt;0,4,""))))))</f>
        <v/>
      </c>
    </row>
    <row r="35" spans="1:38" x14ac:dyDescent="0.35">
      <c r="A35" s="146" t="str">
        <f>IF(itens_Remanesc!A35="","",itens_Remanesc!A35)</f>
        <v/>
      </c>
      <c r="B35" s="196" t="str">
        <f>IF(A35="","",itens_Remanesc!C35)</f>
        <v/>
      </c>
      <c r="C35" s="161" t="str">
        <f>IF(A35="","",IF(itens_Remanesc!B35="",0,itens_Remanesc!B35))</f>
        <v/>
      </c>
      <c r="D35" s="163" t="str">
        <f>IF(A35="","",ROUND(SUMIFS(aditivos!$L$2:$L$200,aditivos!$A$2:$A$200,A35,aditivos!$C$2:$C$200,"C0"),2))</f>
        <v/>
      </c>
      <c r="E35" s="159" t="str">
        <f t="shared" si="18"/>
        <v/>
      </c>
      <c r="F35" s="159" t="str">
        <f>IF(A35="","",IF(itens_Remanesc!B35&lt;&gt;"",itens_Remanesc!B35,IF($Z35,0,"")))</f>
        <v/>
      </c>
      <c r="G35" s="167" t="str">
        <f t="shared" si="19"/>
        <v/>
      </c>
      <c r="H35" s="169" t="str">
        <f>IF(A35="","",ROUND(SUMIFS(aditivos!$L$2:$L$200,aditivos!$A$2:$A$200,A35,aditivos!$C$2:$C$200,"C1"),2))</f>
        <v/>
      </c>
      <c r="I35" s="165" t="str">
        <f t="shared" si="20"/>
        <v/>
      </c>
      <c r="J35" s="165" t="str">
        <f>IF(A35="","",IF(itens_Remanesc!E35="","",itens_Remanesc!E35))</f>
        <v/>
      </c>
      <c r="K35" s="171" t="str">
        <f t="shared" si="21"/>
        <v/>
      </c>
      <c r="L35" s="163" t="str">
        <f>IF(A35="","",ROUND(SUMIFS(aditivos!$L$2:$L$200,aditivos!$A$2:$A$200,A35,aditivos!$C$2:$C$200,"C2"),2))</f>
        <v/>
      </c>
      <c r="M35" s="159" t="str">
        <f t="shared" si="22"/>
        <v/>
      </c>
      <c r="N35" s="159" t="str">
        <f>IF(A35="","",IF(itens_Remanesc!G35="","",itens_Remanesc!G35))</f>
        <v/>
      </c>
      <c r="O35" s="167" t="str">
        <f t="shared" si="23"/>
        <v/>
      </c>
      <c r="P35" s="169" t="str">
        <f>IF(A35="","",ROUND(SUMIFS(aditivos!$L$2:$L$200,aditivos!$A$2:$A$200,A35,aditivos!$C$2:$C$200,"C3"),2))</f>
        <v/>
      </c>
      <c r="Q35" s="165" t="str">
        <f t="shared" si="24"/>
        <v/>
      </c>
      <c r="R35" s="165" t="str">
        <f>IF(A35="","",IF(itens_Remanesc!I35="","",itens_Remanesc!I35))</f>
        <v/>
      </c>
      <c r="S35" s="171" t="str">
        <f t="shared" si="25"/>
        <v/>
      </c>
      <c r="T35" s="163" t="str">
        <f>IF(A35="","",ROUND(SUMIFS(aditivos!$L$2:$L$200,aditivos!$A$2:$A$200,A35,aditivos!$C$2:$C$200,"C4"),2))</f>
        <v/>
      </c>
      <c r="U35" s="159" t="str">
        <f t="shared" si="26"/>
        <v/>
      </c>
      <c r="V35" s="159" t="str">
        <f>IF(A35="","",IF(itens_Remanesc!K35="","",itens_Remanesc!K35))</f>
        <v/>
      </c>
      <c r="W35" s="159" t="str">
        <f t="shared" si="27"/>
        <v/>
      </c>
      <c r="X35" s="146" t="str">
        <f>IF(A35="","",IF(COUNTIF($A$2:$A$200,A35)&gt;1,"ALERTA: ITEM_DUPLICADO",IF(AND($Z35,ISNUMBER(itens_Remanesc!B35),itens_Remanesc!B35&lt;&gt;0),"NOVO ITEM COM BASE DIFERENTE DE 0 - AJUSTAR itens_Remanesc",IF(AND($Z35,NOT(ISNUMBER(itens_Remanesc!C35))),"NOVO ITEM SEM VU_ORIGINAL - INFORMAR EM itens_Remanesc",IF(MIN(E35,I35,M35,Q35,U35,G35,K35,O35,S35,W35)&lt;0,"ALERTA: POSICAO_NEGATIVA",IF(OR(AND(G35&lt;&gt;"",G35&gt;E35),AND(K35&lt;&gt;"",K35&gt;I35),AND(O35&lt;&gt;"",O35&gt;M35),AND(S35&lt;&gt;"",S35&gt;Q35),AND(W35&lt;&gt;"",W35&gt;U35)),"ALERTA: REMANESCENTE_SUPERA_POSICAO","OK"))))))</f>
        <v/>
      </c>
      <c r="Y35" t="str">
        <f t="shared" si="28"/>
        <v/>
      </c>
      <c r="Z35" t="b">
        <f t="shared" si="29"/>
        <v>0</v>
      </c>
      <c r="AA35" s="208" t="str">
        <f>IF($A35="","",IF(COUNTIFS(aditivos!$A$2:$A$200,$A35,aditivos!$L$2:$L$200,"&lt;&gt;",aditivos!$L$2:$L$200,"&lt;&gt;0",aditivos!$B$2:$B$200,"&gt;0")=0,"",IFERROR(_xlfn.MINIFS(aditivos!$B$2:$B$200,aditivos!$A$2:$A$200,$A35,aditivos!$L$2:$L$200,"&lt;&gt;",aditivos!$L$2:$L$200,"&lt;&gt;0",aditivos!$B$2:$B$200,"&gt;0"),"")))</f>
        <v/>
      </c>
      <c r="AB35" t="str">
        <f>IF($A35="","",IF(OR(parametros!$C$2="",parametros!$I$2=""),0,ROUND(SUMIFS(aditivos!$L$2:$L$200,aditivos!$A$2:$A$200,$A35,aditivos!$C$2:$C$200,"C0",aditivos!$B$2:$B$200,"&gt;="&amp;(INT(parametros!$I$2)+1)),2)))</f>
        <v/>
      </c>
      <c r="AC35" t="str">
        <f>IF($A35="","",IF(OR(parametros!$C$3="",parametros!$I$3=""),0,ROUND(SUMIFS(aditivos!$L$2:$L$200,aditivos!$A$2:$A$200,$A35,aditivos!$C$2:$C$200,"C1",aditivos!$B$2:$B$200,"&gt;="&amp;(INT(parametros!$I$3)+1)),2)))</f>
        <v/>
      </c>
      <c r="AD35" t="str">
        <f>IF($A35="","",IF(OR(parametros!$C$4="",parametros!$I$4=""),0,ROUND(SUMIFS(aditivos!$L$2:$L$200,aditivos!$A$2:$A$200,$A35,aditivos!$C$2:$C$200,"C2",aditivos!$B$2:$B$200,"&gt;="&amp;(INT(parametros!$I$4)+1)),2)))</f>
        <v/>
      </c>
      <c r="AE35" t="str">
        <f>IF($A35="","",IF(OR(parametros!$C$5="",parametros!$I$5=""),0,ROUND(SUMIFS(aditivos!$L$2:$L$200,aditivos!$A$2:$A$200,$A35,aditivos!$C$2:$C$200,"C3",aditivos!$B$2:$B$200,"&gt;="&amp;(INT(parametros!$I$5)+1)),2)))</f>
        <v/>
      </c>
      <c r="AF35" t="str">
        <f>IF($A35="","",IF(OR(parametros!$C$6="",parametros!$I$6=""),0,ROUND(SUMIFS(aditivos!$L$2:$L$200,aditivos!$A$2:$A$200,$A35,aditivos!$C$2:$C$200,"C4",aditivos!$B$2:$B$200,"&gt;="&amp;(INT(parametros!$I$6)+1)),2)))</f>
        <v/>
      </c>
      <c r="AG35" t="str">
        <f t="shared" si="30"/>
        <v/>
      </c>
      <c r="AH35" t="str">
        <f t="shared" si="31"/>
        <v/>
      </c>
      <c r="AI35" t="str">
        <f t="shared" si="32"/>
        <v/>
      </c>
      <c r="AJ35" t="str">
        <f t="shared" si="33"/>
        <v/>
      </c>
      <c r="AK35" t="str">
        <f t="shared" si="34"/>
        <v/>
      </c>
      <c r="AL35" t="str">
        <f t="shared" si="35"/>
        <v/>
      </c>
    </row>
    <row r="36" spans="1:38" x14ac:dyDescent="0.35">
      <c r="A36" s="146" t="str">
        <f>IF(itens_Remanesc!A36="","",itens_Remanesc!A36)</f>
        <v/>
      </c>
      <c r="B36" s="196" t="str">
        <f>IF(A36="","",itens_Remanesc!C36)</f>
        <v/>
      </c>
      <c r="C36" s="161" t="str">
        <f>IF(A36="","",IF(itens_Remanesc!B36="",0,itens_Remanesc!B36))</f>
        <v/>
      </c>
      <c r="D36" s="163" t="str">
        <f>IF(A36="","",ROUND(SUMIFS(aditivos!$L$2:$L$200,aditivos!$A$2:$A$200,A36,aditivos!$C$2:$C$200,"C0"),2))</f>
        <v/>
      </c>
      <c r="E36" s="159" t="str">
        <f t="shared" si="18"/>
        <v/>
      </c>
      <c r="F36" s="159" t="str">
        <f>IF(A36="","",IF(itens_Remanesc!B36&lt;&gt;"",itens_Remanesc!B36,IF($Z36,0,"")))</f>
        <v/>
      </c>
      <c r="G36" s="167" t="str">
        <f t="shared" si="19"/>
        <v/>
      </c>
      <c r="H36" s="169" t="str">
        <f>IF(A36="","",ROUND(SUMIFS(aditivos!$L$2:$L$200,aditivos!$A$2:$A$200,A36,aditivos!$C$2:$C$200,"C1"),2))</f>
        <v/>
      </c>
      <c r="I36" s="165" t="str">
        <f t="shared" si="20"/>
        <v/>
      </c>
      <c r="J36" s="165" t="str">
        <f>IF(A36="","",IF(itens_Remanesc!E36="","",itens_Remanesc!E36))</f>
        <v/>
      </c>
      <c r="K36" s="171" t="str">
        <f t="shared" si="21"/>
        <v/>
      </c>
      <c r="L36" s="163" t="str">
        <f>IF(A36="","",ROUND(SUMIFS(aditivos!$L$2:$L$200,aditivos!$A$2:$A$200,A36,aditivos!$C$2:$C$200,"C2"),2))</f>
        <v/>
      </c>
      <c r="M36" s="159" t="str">
        <f t="shared" si="22"/>
        <v/>
      </c>
      <c r="N36" s="159" t="str">
        <f>IF(A36="","",IF(itens_Remanesc!G36="","",itens_Remanesc!G36))</f>
        <v/>
      </c>
      <c r="O36" s="167" t="str">
        <f t="shared" si="23"/>
        <v/>
      </c>
      <c r="P36" s="169" t="str">
        <f>IF(A36="","",ROUND(SUMIFS(aditivos!$L$2:$L$200,aditivos!$A$2:$A$200,A36,aditivos!$C$2:$C$200,"C3"),2))</f>
        <v/>
      </c>
      <c r="Q36" s="165" t="str">
        <f t="shared" si="24"/>
        <v/>
      </c>
      <c r="R36" s="165" t="str">
        <f>IF(A36="","",IF(itens_Remanesc!I36="","",itens_Remanesc!I36))</f>
        <v/>
      </c>
      <c r="S36" s="171" t="str">
        <f t="shared" si="25"/>
        <v/>
      </c>
      <c r="T36" s="163" t="str">
        <f>IF(A36="","",ROUND(SUMIFS(aditivos!$L$2:$L$200,aditivos!$A$2:$A$200,A36,aditivos!$C$2:$C$200,"C4"),2))</f>
        <v/>
      </c>
      <c r="U36" s="159" t="str">
        <f t="shared" si="26"/>
        <v/>
      </c>
      <c r="V36" s="159" t="str">
        <f>IF(A36="","",IF(itens_Remanesc!K36="","",itens_Remanesc!K36))</f>
        <v/>
      </c>
      <c r="W36" s="159" t="str">
        <f t="shared" si="27"/>
        <v/>
      </c>
      <c r="X36" s="146" t="str">
        <f>IF(A36="","",IF(COUNTIF($A$2:$A$200,A36)&gt;1,"ALERTA: ITEM_DUPLICADO",IF(AND($Z36,ISNUMBER(itens_Remanesc!B36),itens_Remanesc!B36&lt;&gt;0),"NOVO ITEM COM BASE DIFERENTE DE 0 - AJUSTAR itens_Remanesc",IF(AND($Z36,NOT(ISNUMBER(itens_Remanesc!C36))),"NOVO ITEM SEM VU_ORIGINAL - INFORMAR EM itens_Remanesc",IF(MIN(E36,I36,M36,Q36,U36,G36,K36,O36,S36,W36)&lt;0,"ALERTA: POSICAO_NEGATIVA",IF(OR(AND(G36&lt;&gt;"",G36&gt;E36),AND(K36&lt;&gt;"",K36&gt;I36),AND(O36&lt;&gt;"",O36&gt;M36),AND(S36&lt;&gt;"",S36&gt;Q36),AND(W36&lt;&gt;"",W36&gt;U36)),"ALERTA: REMANESCENTE_SUPERA_POSICAO","OK"))))))</f>
        <v/>
      </c>
      <c r="Y36" t="str">
        <f t="shared" si="28"/>
        <v/>
      </c>
      <c r="Z36" t="b">
        <f t="shared" si="29"/>
        <v>0</v>
      </c>
      <c r="AA36" s="208" t="str">
        <f>IF($A36="","",IF(COUNTIFS(aditivos!$A$2:$A$200,$A36,aditivos!$L$2:$L$200,"&lt;&gt;",aditivos!$L$2:$L$200,"&lt;&gt;0",aditivos!$B$2:$B$200,"&gt;0")=0,"",IFERROR(_xlfn.MINIFS(aditivos!$B$2:$B$200,aditivos!$A$2:$A$200,$A36,aditivos!$L$2:$L$200,"&lt;&gt;",aditivos!$L$2:$L$200,"&lt;&gt;0",aditivos!$B$2:$B$200,"&gt;0"),"")))</f>
        <v/>
      </c>
      <c r="AB36" t="str">
        <f>IF($A36="","",IF(OR(parametros!$C$2="",parametros!$I$2=""),0,ROUND(SUMIFS(aditivos!$L$2:$L$200,aditivos!$A$2:$A$200,$A36,aditivos!$C$2:$C$200,"C0",aditivos!$B$2:$B$200,"&gt;="&amp;(INT(parametros!$I$2)+1)),2)))</f>
        <v/>
      </c>
      <c r="AC36" t="str">
        <f>IF($A36="","",IF(OR(parametros!$C$3="",parametros!$I$3=""),0,ROUND(SUMIFS(aditivos!$L$2:$L$200,aditivos!$A$2:$A$200,$A36,aditivos!$C$2:$C$200,"C1",aditivos!$B$2:$B$200,"&gt;="&amp;(INT(parametros!$I$3)+1)),2)))</f>
        <v/>
      </c>
      <c r="AD36" t="str">
        <f>IF($A36="","",IF(OR(parametros!$C$4="",parametros!$I$4=""),0,ROUND(SUMIFS(aditivos!$L$2:$L$200,aditivos!$A$2:$A$200,$A36,aditivos!$C$2:$C$200,"C2",aditivos!$B$2:$B$200,"&gt;="&amp;(INT(parametros!$I$4)+1)),2)))</f>
        <v/>
      </c>
      <c r="AE36" t="str">
        <f>IF($A36="","",IF(OR(parametros!$C$5="",parametros!$I$5=""),0,ROUND(SUMIFS(aditivos!$L$2:$L$200,aditivos!$A$2:$A$200,$A36,aditivos!$C$2:$C$200,"C3",aditivos!$B$2:$B$200,"&gt;="&amp;(INT(parametros!$I$5)+1)),2)))</f>
        <v/>
      </c>
      <c r="AF36" t="str">
        <f>IF($A36="","",IF(OR(parametros!$C$6="",parametros!$I$6=""),0,ROUND(SUMIFS(aditivos!$L$2:$L$200,aditivos!$A$2:$A$200,$A36,aditivos!$C$2:$C$200,"C4",aditivos!$B$2:$B$200,"&gt;="&amp;(INT(parametros!$I$6)+1)),2)))</f>
        <v/>
      </c>
      <c r="AG36" t="str">
        <f t="shared" si="30"/>
        <v/>
      </c>
      <c r="AH36" t="str">
        <f t="shared" si="31"/>
        <v/>
      </c>
      <c r="AI36" t="str">
        <f t="shared" si="32"/>
        <v/>
      </c>
      <c r="AJ36" t="str">
        <f t="shared" si="33"/>
        <v/>
      </c>
      <c r="AK36" t="str">
        <f t="shared" si="34"/>
        <v/>
      </c>
      <c r="AL36" t="str">
        <f t="shared" si="35"/>
        <v/>
      </c>
    </row>
    <row r="37" spans="1:38" x14ac:dyDescent="0.35">
      <c r="A37" s="146" t="str">
        <f>IF(itens_Remanesc!A37="","",itens_Remanesc!A37)</f>
        <v/>
      </c>
      <c r="B37" s="196" t="str">
        <f>IF(A37="","",itens_Remanesc!C37)</f>
        <v/>
      </c>
      <c r="C37" s="161" t="str">
        <f>IF(A37="","",IF(itens_Remanesc!B37="",0,itens_Remanesc!B37))</f>
        <v/>
      </c>
      <c r="D37" s="163" t="str">
        <f>IF(A37="","",ROUND(SUMIFS(aditivos!$L$2:$L$200,aditivos!$A$2:$A$200,A37,aditivos!$C$2:$C$200,"C0"),2))</f>
        <v/>
      </c>
      <c r="E37" s="159" t="str">
        <f t="shared" si="18"/>
        <v/>
      </c>
      <c r="F37" s="159" t="str">
        <f>IF(A37="","",IF(itens_Remanesc!B37&lt;&gt;"",itens_Remanesc!B37,IF($Z37,0,"")))</f>
        <v/>
      </c>
      <c r="G37" s="167" t="str">
        <f t="shared" si="19"/>
        <v/>
      </c>
      <c r="H37" s="169" t="str">
        <f>IF(A37="","",ROUND(SUMIFS(aditivos!$L$2:$L$200,aditivos!$A$2:$A$200,A37,aditivos!$C$2:$C$200,"C1"),2))</f>
        <v/>
      </c>
      <c r="I37" s="165" t="str">
        <f t="shared" si="20"/>
        <v/>
      </c>
      <c r="J37" s="165" t="str">
        <f>IF(A37="","",IF(itens_Remanesc!E37="","",itens_Remanesc!E37))</f>
        <v/>
      </c>
      <c r="K37" s="171" t="str">
        <f t="shared" si="21"/>
        <v/>
      </c>
      <c r="L37" s="163" t="str">
        <f>IF(A37="","",ROUND(SUMIFS(aditivos!$L$2:$L$200,aditivos!$A$2:$A$200,A37,aditivos!$C$2:$C$200,"C2"),2))</f>
        <v/>
      </c>
      <c r="M37" s="159" t="str">
        <f t="shared" si="22"/>
        <v/>
      </c>
      <c r="N37" s="159" t="str">
        <f>IF(A37="","",IF(itens_Remanesc!G37="","",itens_Remanesc!G37))</f>
        <v/>
      </c>
      <c r="O37" s="167" t="str">
        <f t="shared" si="23"/>
        <v/>
      </c>
      <c r="P37" s="169" t="str">
        <f>IF(A37="","",ROUND(SUMIFS(aditivos!$L$2:$L$200,aditivos!$A$2:$A$200,A37,aditivos!$C$2:$C$200,"C3"),2))</f>
        <v/>
      </c>
      <c r="Q37" s="165" t="str">
        <f t="shared" si="24"/>
        <v/>
      </c>
      <c r="R37" s="165" t="str">
        <f>IF(A37="","",IF(itens_Remanesc!I37="","",itens_Remanesc!I37))</f>
        <v/>
      </c>
      <c r="S37" s="171" t="str">
        <f t="shared" si="25"/>
        <v/>
      </c>
      <c r="T37" s="163" t="str">
        <f>IF(A37="","",ROUND(SUMIFS(aditivos!$L$2:$L$200,aditivos!$A$2:$A$200,A37,aditivos!$C$2:$C$200,"C4"),2))</f>
        <v/>
      </c>
      <c r="U37" s="159" t="str">
        <f t="shared" si="26"/>
        <v/>
      </c>
      <c r="V37" s="159" t="str">
        <f>IF(A37="","",IF(itens_Remanesc!K37="","",itens_Remanesc!K37))</f>
        <v/>
      </c>
      <c r="W37" s="159" t="str">
        <f t="shared" si="27"/>
        <v/>
      </c>
      <c r="X37" s="146" t="str">
        <f>IF(A37="","",IF(COUNTIF($A$2:$A$200,A37)&gt;1,"ALERTA: ITEM_DUPLICADO",IF(AND($Z37,ISNUMBER(itens_Remanesc!B37),itens_Remanesc!B37&lt;&gt;0),"NOVO ITEM COM BASE DIFERENTE DE 0 - AJUSTAR itens_Remanesc",IF(AND($Z37,NOT(ISNUMBER(itens_Remanesc!C37))),"NOVO ITEM SEM VU_ORIGINAL - INFORMAR EM itens_Remanesc",IF(MIN(E37,I37,M37,Q37,U37,G37,K37,O37,S37,W37)&lt;0,"ALERTA: POSICAO_NEGATIVA",IF(OR(AND(G37&lt;&gt;"",G37&gt;E37),AND(K37&lt;&gt;"",K37&gt;I37),AND(O37&lt;&gt;"",O37&gt;M37),AND(S37&lt;&gt;"",S37&gt;Q37),AND(W37&lt;&gt;"",W37&gt;U37)),"ALERTA: REMANESCENTE_SUPERA_POSICAO","OK"))))))</f>
        <v/>
      </c>
      <c r="Y37" t="str">
        <f t="shared" si="28"/>
        <v/>
      </c>
      <c r="Z37" t="b">
        <f t="shared" si="29"/>
        <v>0</v>
      </c>
      <c r="AA37" s="208" t="str">
        <f>IF($A37="","",IF(COUNTIFS(aditivos!$A$2:$A$200,$A37,aditivos!$L$2:$L$200,"&lt;&gt;",aditivos!$L$2:$L$200,"&lt;&gt;0",aditivos!$B$2:$B$200,"&gt;0")=0,"",IFERROR(_xlfn.MINIFS(aditivos!$B$2:$B$200,aditivos!$A$2:$A$200,$A37,aditivos!$L$2:$L$200,"&lt;&gt;",aditivos!$L$2:$L$200,"&lt;&gt;0",aditivos!$B$2:$B$200,"&gt;0"),"")))</f>
        <v/>
      </c>
      <c r="AB37" t="str">
        <f>IF($A37="","",IF(OR(parametros!$C$2="",parametros!$I$2=""),0,ROUND(SUMIFS(aditivos!$L$2:$L$200,aditivos!$A$2:$A$200,$A37,aditivos!$C$2:$C$200,"C0",aditivos!$B$2:$B$200,"&gt;="&amp;(INT(parametros!$I$2)+1)),2)))</f>
        <v/>
      </c>
      <c r="AC37" t="str">
        <f>IF($A37="","",IF(OR(parametros!$C$3="",parametros!$I$3=""),0,ROUND(SUMIFS(aditivos!$L$2:$L$200,aditivos!$A$2:$A$200,$A37,aditivos!$C$2:$C$200,"C1",aditivos!$B$2:$B$200,"&gt;="&amp;(INT(parametros!$I$3)+1)),2)))</f>
        <v/>
      </c>
      <c r="AD37" t="str">
        <f>IF($A37="","",IF(OR(parametros!$C$4="",parametros!$I$4=""),0,ROUND(SUMIFS(aditivos!$L$2:$L$200,aditivos!$A$2:$A$200,$A37,aditivos!$C$2:$C$200,"C2",aditivos!$B$2:$B$200,"&gt;="&amp;(INT(parametros!$I$4)+1)),2)))</f>
        <v/>
      </c>
      <c r="AE37" t="str">
        <f>IF($A37="","",IF(OR(parametros!$C$5="",parametros!$I$5=""),0,ROUND(SUMIFS(aditivos!$L$2:$L$200,aditivos!$A$2:$A$200,$A37,aditivos!$C$2:$C$200,"C3",aditivos!$B$2:$B$200,"&gt;="&amp;(INT(parametros!$I$5)+1)),2)))</f>
        <v/>
      </c>
      <c r="AF37" t="str">
        <f>IF($A37="","",IF(OR(parametros!$C$6="",parametros!$I$6=""),0,ROUND(SUMIFS(aditivos!$L$2:$L$200,aditivos!$A$2:$A$200,$A37,aditivos!$C$2:$C$200,"C4",aditivos!$B$2:$B$200,"&gt;="&amp;(INT(parametros!$I$6)+1)),2)))</f>
        <v/>
      </c>
      <c r="AG37" t="str">
        <f t="shared" si="30"/>
        <v/>
      </c>
      <c r="AH37" t="str">
        <f t="shared" si="31"/>
        <v/>
      </c>
      <c r="AI37" t="str">
        <f t="shared" si="32"/>
        <v/>
      </c>
      <c r="AJ37" t="str">
        <f t="shared" si="33"/>
        <v/>
      </c>
      <c r="AK37" t="str">
        <f t="shared" si="34"/>
        <v/>
      </c>
      <c r="AL37" t="str">
        <f t="shared" si="35"/>
        <v/>
      </c>
    </row>
    <row r="38" spans="1:38" x14ac:dyDescent="0.35">
      <c r="A38" s="146" t="str">
        <f>IF(itens_Remanesc!A38="","",itens_Remanesc!A38)</f>
        <v/>
      </c>
      <c r="B38" s="196" t="str">
        <f>IF(A38="","",itens_Remanesc!C38)</f>
        <v/>
      </c>
      <c r="C38" s="161" t="str">
        <f>IF(A38="","",IF(itens_Remanesc!B38="",0,itens_Remanesc!B38))</f>
        <v/>
      </c>
      <c r="D38" s="163" t="str">
        <f>IF(A38="","",ROUND(SUMIFS(aditivos!$L$2:$L$200,aditivos!$A$2:$A$200,A38,aditivos!$C$2:$C$200,"C0"),2))</f>
        <v/>
      </c>
      <c r="E38" s="159" t="str">
        <f t="shared" si="18"/>
        <v/>
      </c>
      <c r="F38" s="159" t="str">
        <f>IF(A38="","",IF(itens_Remanesc!B38&lt;&gt;"",itens_Remanesc!B38,IF($Z38,0,"")))</f>
        <v/>
      </c>
      <c r="G38" s="167" t="str">
        <f t="shared" si="19"/>
        <v/>
      </c>
      <c r="H38" s="169" t="str">
        <f>IF(A38="","",ROUND(SUMIFS(aditivos!$L$2:$L$200,aditivos!$A$2:$A$200,A38,aditivos!$C$2:$C$200,"C1"),2))</f>
        <v/>
      </c>
      <c r="I38" s="165" t="str">
        <f t="shared" si="20"/>
        <v/>
      </c>
      <c r="J38" s="165" t="str">
        <f>IF(A38="","",IF(itens_Remanesc!E38="","",itens_Remanesc!E38))</f>
        <v/>
      </c>
      <c r="K38" s="171" t="str">
        <f t="shared" si="21"/>
        <v/>
      </c>
      <c r="L38" s="163" t="str">
        <f>IF(A38="","",ROUND(SUMIFS(aditivos!$L$2:$L$200,aditivos!$A$2:$A$200,A38,aditivos!$C$2:$C$200,"C2"),2))</f>
        <v/>
      </c>
      <c r="M38" s="159" t="str">
        <f t="shared" si="22"/>
        <v/>
      </c>
      <c r="N38" s="159" t="str">
        <f>IF(A38="","",IF(itens_Remanesc!G38="","",itens_Remanesc!G38))</f>
        <v/>
      </c>
      <c r="O38" s="167" t="str">
        <f t="shared" si="23"/>
        <v/>
      </c>
      <c r="P38" s="169" t="str">
        <f>IF(A38="","",ROUND(SUMIFS(aditivos!$L$2:$L$200,aditivos!$A$2:$A$200,A38,aditivos!$C$2:$C$200,"C3"),2))</f>
        <v/>
      </c>
      <c r="Q38" s="165" t="str">
        <f t="shared" si="24"/>
        <v/>
      </c>
      <c r="R38" s="165" t="str">
        <f>IF(A38="","",IF(itens_Remanesc!I38="","",itens_Remanesc!I38))</f>
        <v/>
      </c>
      <c r="S38" s="171" t="str">
        <f t="shared" si="25"/>
        <v/>
      </c>
      <c r="T38" s="163" t="str">
        <f>IF(A38="","",ROUND(SUMIFS(aditivos!$L$2:$L$200,aditivos!$A$2:$A$200,A38,aditivos!$C$2:$C$200,"C4"),2))</f>
        <v/>
      </c>
      <c r="U38" s="159" t="str">
        <f t="shared" si="26"/>
        <v/>
      </c>
      <c r="V38" s="159" t="str">
        <f>IF(A38="","",IF(itens_Remanesc!K38="","",itens_Remanesc!K38))</f>
        <v/>
      </c>
      <c r="W38" s="159" t="str">
        <f t="shared" si="27"/>
        <v/>
      </c>
      <c r="X38" s="146" t="str">
        <f>IF(A38="","",IF(COUNTIF($A$2:$A$200,A38)&gt;1,"ALERTA: ITEM_DUPLICADO",IF(AND($Z38,ISNUMBER(itens_Remanesc!B38),itens_Remanesc!B38&lt;&gt;0),"NOVO ITEM COM BASE DIFERENTE DE 0 - AJUSTAR itens_Remanesc",IF(AND($Z38,NOT(ISNUMBER(itens_Remanesc!C38))),"NOVO ITEM SEM VU_ORIGINAL - INFORMAR EM itens_Remanesc",IF(MIN(E38,I38,M38,Q38,U38,G38,K38,O38,S38,W38)&lt;0,"ALERTA: POSICAO_NEGATIVA",IF(OR(AND(G38&lt;&gt;"",G38&gt;E38),AND(K38&lt;&gt;"",K38&gt;I38),AND(O38&lt;&gt;"",O38&gt;M38),AND(S38&lt;&gt;"",S38&gt;Q38),AND(W38&lt;&gt;"",W38&gt;U38)),"ALERTA: REMANESCENTE_SUPERA_POSICAO","OK"))))))</f>
        <v/>
      </c>
      <c r="Y38" t="str">
        <f t="shared" si="28"/>
        <v/>
      </c>
      <c r="Z38" t="b">
        <f t="shared" si="29"/>
        <v>0</v>
      </c>
      <c r="AA38" s="208" t="str">
        <f>IF($A38="","",IF(COUNTIFS(aditivos!$A$2:$A$200,$A38,aditivos!$L$2:$L$200,"&lt;&gt;",aditivos!$L$2:$L$200,"&lt;&gt;0",aditivos!$B$2:$B$200,"&gt;0")=0,"",IFERROR(_xlfn.MINIFS(aditivos!$B$2:$B$200,aditivos!$A$2:$A$200,$A38,aditivos!$L$2:$L$200,"&lt;&gt;",aditivos!$L$2:$L$200,"&lt;&gt;0",aditivos!$B$2:$B$200,"&gt;0"),"")))</f>
        <v/>
      </c>
      <c r="AB38" t="str">
        <f>IF($A38="","",IF(OR(parametros!$C$2="",parametros!$I$2=""),0,ROUND(SUMIFS(aditivos!$L$2:$L$200,aditivos!$A$2:$A$200,$A38,aditivos!$C$2:$C$200,"C0",aditivos!$B$2:$B$200,"&gt;="&amp;(INT(parametros!$I$2)+1)),2)))</f>
        <v/>
      </c>
      <c r="AC38" t="str">
        <f>IF($A38="","",IF(OR(parametros!$C$3="",parametros!$I$3=""),0,ROUND(SUMIFS(aditivos!$L$2:$L$200,aditivos!$A$2:$A$200,$A38,aditivos!$C$2:$C$200,"C1",aditivos!$B$2:$B$200,"&gt;="&amp;(INT(parametros!$I$3)+1)),2)))</f>
        <v/>
      </c>
      <c r="AD38" t="str">
        <f>IF($A38="","",IF(OR(parametros!$C$4="",parametros!$I$4=""),0,ROUND(SUMIFS(aditivos!$L$2:$L$200,aditivos!$A$2:$A$200,$A38,aditivos!$C$2:$C$200,"C2",aditivos!$B$2:$B$200,"&gt;="&amp;(INT(parametros!$I$4)+1)),2)))</f>
        <v/>
      </c>
      <c r="AE38" t="str">
        <f>IF($A38="","",IF(OR(parametros!$C$5="",parametros!$I$5=""),0,ROUND(SUMIFS(aditivos!$L$2:$L$200,aditivos!$A$2:$A$200,$A38,aditivos!$C$2:$C$200,"C3",aditivos!$B$2:$B$200,"&gt;="&amp;(INT(parametros!$I$5)+1)),2)))</f>
        <v/>
      </c>
      <c r="AF38" t="str">
        <f>IF($A38="","",IF(OR(parametros!$C$6="",parametros!$I$6=""),0,ROUND(SUMIFS(aditivos!$L$2:$L$200,aditivos!$A$2:$A$200,$A38,aditivos!$C$2:$C$200,"C4",aditivos!$B$2:$B$200,"&gt;="&amp;(INT(parametros!$I$6)+1)),2)))</f>
        <v/>
      </c>
      <c r="AG38" t="str">
        <f t="shared" si="30"/>
        <v/>
      </c>
      <c r="AH38" t="str">
        <f t="shared" si="31"/>
        <v/>
      </c>
      <c r="AI38" t="str">
        <f t="shared" si="32"/>
        <v/>
      </c>
      <c r="AJ38" t="str">
        <f t="shared" si="33"/>
        <v/>
      </c>
      <c r="AK38" t="str">
        <f t="shared" si="34"/>
        <v/>
      </c>
      <c r="AL38" t="str">
        <f t="shared" si="35"/>
        <v/>
      </c>
    </row>
    <row r="39" spans="1:38" x14ac:dyDescent="0.35">
      <c r="A39" s="146" t="str">
        <f>IF(itens_Remanesc!A39="","",itens_Remanesc!A39)</f>
        <v/>
      </c>
      <c r="B39" s="196" t="str">
        <f>IF(A39="","",itens_Remanesc!C39)</f>
        <v/>
      </c>
      <c r="C39" s="161" t="str">
        <f>IF(A39="","",IF(itens_Remanesc!B39="",0,itens_Remanesc!B39))</f>
        <v/>
      </c>
      <c r="D39" s="163" t="str">
        <f>IF(A39="","",ROUND(SUMIFS(aditivos!$L$2:$L$200,aditivos!$A$2:$A$200,A39,aditivos!$C$2:$C$200,"C0"),2))</f>
        <v/>
      </c>
      <c r="E39" s="159" t="str">
        <f t="shared" si="18"/>
        <v/>
      </c>
      <c r="F39" s="159" t="str">
        <f>IF(A39="","",IF(itens_Remanesc!B39&lt;&gt;"",itens_Remanesc!B39,IF($Z39,0,"")))</f>
        <v/>
      </c>
      <c r="G39" s="167" t="str">
        <f t="shared" si="19"/>
        <v/>
      </c>
      <c r="H39" s="169" t="str">
        <f>IF(A39="","",ROUND(SUMIFS(aditivos!$L$2:$L$200,aditivos!$A$2:$A$200,A39,aditivos!$C$2:$C$200,"C1"),2))</f>
        <v/>
      </c>
      <c r="I39" s="165" t="str">
        <f t="shared" si="20"/>
        <v/>
      </c>
      <c r="J39" s="165" t="str">
        <f>IF(A39="","",IF(itens_Remanesc!E39="","",itens_Remanesc!E39))</f>
        <v/>
      </c>
      <c r="K39" s="171" t="str">
        <f t="shared" si="21"/>
        <v/>
      </c>
      <c r="L39" s="163" t="str">
        <f>IF(A39="","",ROUND(SUMIFS(aditivos!$L$2:$L$200,aditivos!$A$2:$A$200,A39,aditivos!$C$2:$C$200,"C2"),2))</f>
        <v/>
      </c>
      <c r="M39" s="159" t="str">
        <f t="shared" si="22"/>
        <v/>
      </c>
      <c r="N39" s="159" t="str">
        <f>IF(A39="","",IF(itens_Remanesc!G39="","",itens_Remanesc!G39))</f>
        <v/>
      </c>
      <c r="O39" s="167" t="str">
        <f t="shared" si="23"/>
        <v/>
      </c>
      <c r="P39" s="169" t="str">
        <f>IF(A39="","",ROUND(SUMIFS(aditivos!$L$2:$L$200,aditivos!$A$2:$A$200,A39,aditivos!$C$2:$C$200,"C3"),2))</f>
        <v/>
      </c>
      <c r="Q39" s="165" t="str">
        <f t="shared" si="24"/>
        <v/>
      </c>
      <c r="R39" s="165" t="str">
        <f>IF(A39="","",IF(itens_Remanesc!I39="","",itens_Remanesc!I39))</f>
        <v/>
      </c>
      <c r="S39" s="171" t="str">
        <f t="shared" si="25"/>
        <v/>
      </c>
      <c r="T39" s="163" t="str">
        <f>IF(A39="","",ROUND(SUMIFS(aditivos!$L$2:$L$200,aditivos!$A$2:$A$200,A39,aditivos!$C$2:$C$200,"C4"),2))</f>
        <v/>
      </c>
      <c r="U39" s="159" t="str">
        <f t="shared" si="26"/>
        <v/>
      </c>
      <c r="V39" s="159" t="str">
        <f>IF(A39="","",IF(itens_Remanesc!K39="","",itens_Remanesc!K39))</f>
        <v/>
      </c>
      <c r="W39" s="159" t="str">
        <f t="shared" si="27"/>
        <v/>
      </c>
      <c r="X39" s="146" t="str">
        <f>IF(A39="","",IF(COUNTIF($A$2:$A$200,A39)&gt;1,"ALERTA: ITEM_DUPLICADO",IF(AND($Z39,ISNUMBER(itens_Remanesc!B39),itens_Remanesc!B39&lt;&gt;0),"NOVO ITEM COM BASE DIFERENTE DE 0 - AJUSTAR itens_Remanesc",IF(AND($Z39,NOT(ISNUMBER(itens_Remanesc!C39))),"NOVO ITEM SEM VU_ORIGINAL - INFORMAR EM itens_Remanesc",IF(MIN(E39,I39,M39,Q39,U39,G39,K39,O39,S39,W39)&lt;0,"ALERTA: POSICAO_NEGATIVA",IF(OR(AND(G39&lt;&gt;"",G39&gt;E39),AND(K39&lt;&gt;"",K39&gt;I39),AND(O39&lt;&gt;"",O39&gt;M39),AND(S39&lt;&gt;"",S39&gt;Q39),AND(W39&lt;&gt;"",W39&gt;U39)),"ALERTA: REMANESCENTE_SUPERA_POSICAO","OK"))))))</f>
        <v/>
      </c>
      <c r="Y39" t="str">
        <f t="shared" si="28"/>
        <v/>
      </c>
      <c r="Z39" t="b">
        <f t="shared" si="29"/>
        <v>0</v>
      </c>
      <c r="AA39" s="208" t="str">
        <f>IF($A39="","",IF(COUNTIFS(aditivos!$A$2:$A$200,$A39,aditivos!$L$2:$L$200,"&lt;&gt;",aditivos!$L$2:$L$200,"&lt;&gt;0",aditivos!$B$2:$B$200,"&gt;0")=0,"",IFERROR(_xlfn.MINIFS(aditivos!$B$2:$B$200,aditivos!$A$2:$A$200,$A39,aditivos!$L$2:$L$200,"&lt;&gt;",aditivos!$L$2:$L$200,"&lt;&gt;0",aditivos!$B$2:$B$200,"&gt;0"),"")))</f>
        <v/>
      </c>
      <c r="AB39" t="str">
        <f>IF($A39="","",IF(OR(parametros!$C$2="",parametros!$I$2=""),0,ROUND(SUMIFS(aditivos!$L$2:$L$200,aditivos!$A$2:$A$200,$A39,aditivos!$C$2:$C$200,"C0",aditivos!$B$2:$B$200,"&gt;="&amp;(INT(parametros!$I$2)+1)),2)))</f>
        <v/>
      </c>
      <c r="AC39" t="str">
        <f>IF($A39="","",IF(OR(parametros!$C$3="",parametros!$I$3=""),0,ROUND(SUMIFS(aditivos!$L$2:$L$200,aditivos!$A$2:$A$200,$A39,aditivos!$C$2:$C$200,"C1",aditivos!$B$2:$B$200,"&gt;="&amp;(INT(parametros!$I$3)+1)),2)))</f>
        <v/>
      </c>
      <c r="AD39" t="str">
        <f>IF($A39="","",IF(OR(parametros!$C$4="",parametros!$I$4=""),0,ROUND(SUMIFS(aditivos!$L$2:$L$200,aditivos!$A$2:$A$200,$A39,aditivos!$C$2:$C$200,"C2",aditivos!$B$2:$B$200,"&gt;="&amp;(INT(parametros!$I$4)+1)),2)))</f>
        <v/>
      </c>
      <c r="AE39" t="str">
        <f>IF($A39="","",IF(OR(parametros!$C$5="",parametros!$I$5=""),0,ROUND(SUMIFS(aditivos!$L$2:$L$200,aditivos!$A$2:$A$200,$A39,aditivos!$C$2:$C$200,"C3",aditivos!$B$2:$B$200,"&gt;="&amp;(INT(parametros!$I$5)+1)),2)))</f>
        <v/>
      </c>
      <c r="AF39" t="str">
        <f>IF($A39="","",IF(OR(parametros!$C$6="",parametros!$I$6=""),0,ROUND(SUMIFS(aditivos!$L$2:$L$200,aditivos!$A$2:$A$200,$A39,aditivos!$C$2:$C$200,"C4",aditivos!$B$2:$B$200,"&gt;="&amp;(INT(parametros!$I$6)+1)),2)))</f>
        <v/>
      </c>
      <c r="AG39" t="str">
        <f t="shared" si="30"/>
        <v/>
      </c>
      <c r="AH39" t="str">
        <f t="shared" si="31"/>
        <v/>
      </c>
      <c r="AI39" t="str">
        <f t="shared" si="32"/>
        <v/>
      </c>
      <c r="AJ39" t="str">
        <f t="shared" si="33"/>
        <v/>
      </c>
      <c r="AK39" t="str">
        <f t="shared" si="34"/>
        <v/>
      </c>
      <c r="AL39" t="str">
        <f t="shared" si="35"/>
        <v/>
      </c>
    </row>
    <row r="40" spans="1:38" x14ac:dyDescent="0.35">
      <c r="A40" s="146" t="str">
        <f>IF(itens_Remanesc!A40="","",itens_Remanesc!A40)</f>
        <v/>
      </c>
      <c r="B40" s="196" t="str">
        <f>IF(A40="","",itens_Remanesc!C40)</f>
        <v/>
      </c>
      <c r="C40" s="161" t="str">
        <f>IF(A40="","",IF(itens_Remanesc!B40="",0,itens_Remanesc!B40))</f>
        <v/>
      </c>
      <c r="D40" s="163" t="str">
        <f>IF(A40="","",ROUND(SUMIFS(aditivos!$L$2:$L$200,aditivos!$A$2:$A$200,A40,aditivos!$C$2:$C$200,"C0"),2))</f>
        <v/>
      </c>
      <c r="E40" s="159" t="str">
        <f t="shared" si="18"/>
        <v/>
      </c>
      <c r="F40" s="159" t="str">
        <f>IF(A40="","",IF(itens_Remanesc!B40&lt;&gt;"",itens_Remanesc!B40,IF($Z40,0,"")))</f>
        <v/>
      </c>
      <c r="G40" s="167" t="str">
        <f t="shared" si="19"/>
        <v/>
      </c>
      <c r="H40" s="169" t="str">
        <f>IF(A40="","",ROUND(SUMIFS(aditivos!$L$2:$L$200,aditivos!$A$2:$A$200,A40,aditivos!$C$2:$C$200,"C1"),2))</f>
        <v/>
      </c>
      <c r="I40" s="165" t="str">
        <f t="shared" si="20"/>
        <v/>
      </c>
      <c r="J40" s="165" t="str">
        <f>IF(A40="","",IF(itens_Remanesc!E40="","",itens_Remanesc!E40))</f>
        <v/>
      </c>
      <c r="K40" s="171" t="str">
        <f t="shared" si="21"/>
        <v/>
      </c>
      <c r="L40" s="163" t="str">
        <f>IF(A40="","",ROUND(SUMIFS(aditivos!$L$2:$L$200,aditivos!$A$2:$A$200,A40,aditivos!$C$2:$C$200,"C2"),2))</f>
        <v/>
      </c>
      <c r="M40" s="159" t="str">
        <f t="shared" si="22"/>
        <v/>
      </c>
      <c r="N40" s="159" t="str">
        <f>IF(A40="","",IF(itens_Remanesc!G40="","",itens_Remanesc!G40))</f>
        <v/>
      </c>
      <c r="O40" s="167" t="str">
        <f t="shared" si="23"/>
        <v/>
      </c>
      <c r="P40" s="169" t="str">
        <f>IF(A40="","",ROUND(SUMIFS(aditivos!$L$2:$L$200,aditivos!$A$2:$A$200,A40,aditivos!$C$2:$C$200,"C3"),2))</f>
        <v/>
      </c>
      <c r="Q40" s="165" t="str">
        <f t="shared" si="24"/>
        <v/>
      </c>
      <c r="R40" s="165" t="str">
        <f>IF(A40="","",IF(itens_Remanesc!I40="","",itens_Remanesc!I40))</f>
        <v/>
      </c>
      <c r="S40" s="171" t="str">
        <f t="shared" si="25"/>
        <v/>
      </c>
      <c r="T40" s="163" t="str">
        <f>IF(A40="","",ROUND(SUMIFS(aditivos!$L$2:$L$200,aditivos!$A$2:$A$200,A40,aditivos!$C$2:$C$200,"C4"),2))</f>
        <v/>
      </c>
      <c r="U40" s="159" t="str">
        <f t="shared" si="26"/>
        <v/>
      </c>
      <c r="V40" s="159" t="str">
        <f>IF(A40="","",IF(itens_Remanesc!K40="","",itens_Remanesc!K40))</f>
        <v/>
      </c>
      <c r="W40" s="159" t="str">
        <f t="shared" si="27"/>
        <v/>
      </c>
      <c r="X40" s="146" t="str">
        <f>IF(A40="","",IF(COUNTIF($A$2:$A$200,A40)&gt;1,"ALERTA: ITEM_DUPLICADO",IF(AND($Z40,ISNUMBER(itens_Remanesc!B40),itens_Remanesc!B40&lt;&gt;0),"NOVO ITEM COM BASE DIFERENTE DE 0 - AJUSTAR itens_Remanesc",IF(AND($Z40,NOT(ISNUMBER(itens_Remanesc!C40))),"NOVO ITEM SEM VU_ORIGINAL - INFORMAR EM itens_Remanesc",IF(MIN(E40,I40,M40,Q40,U40,G40,K40,O40,S40,W40)&lt;0,"ALERTA: POSICAO_NEGATIVA",IF(OR(AND(G40&lt;&gt;"",G40&gt;E40),AND(K40&lt;&gt;"",K40&gt;I40),AND(O40&lt;&gt;"",O40&gt;M40),AND(S40&lt;&gt;"",S40&gt;Q40),AND(W40&lt;&gt;"",W40&gt;U40)),"ALERTA: REMANESCENTE_SUPERA_POSICAO","OK"))))))</f>
        <v/>
      </c>
      <c r="Y40" t="str">
        <f t="shared" si="28"/>
        <v/>
      </c>
      <c r="Z40" t="b">
        <f t="shared" si="29"/>
        <v>0</v>
      </c>
      <c r="AA40" s="208" t="str">
        <f>IF($A40="","",IF(COUNTIFS(aditivos!$A$2:$A$200,$A40,aditivos!$L$2:$L$200,"&lt;&gt;",aditivos!$L$2:$L$200,"&lt;&gt;0",aditivos!$B$2:$B$200,"&gt;0")=0,"",IFERROR(_xlfn.MINIFS(aditivos!$B$2:$B$200,aditivos!$A$2:$A$200,$A40,aditivos!$L$2:$L$200,"&lt;&gt;",aditivos!$L$2:$L$200,"&lt;&gt;0",aditivos!$B$2:$B$200,"&gt;0"),"")))</f>
        <v/>
      </c>
      <c r="AB40" t="str">
        <f>IF($A40="","",IF(OR(parametros!$C$2="",parametros!$I$2=""),0,ROUND(SUMIFS(aditivos!$L$2:$L$200,aditivos!$A$2:$A$200,$A40,aditivos!$C$2:$C$200,"C0",aditivos!$B$2:$B$200,"&gt;="&amp;(INT(parametros!$I$2)+1)),2)))</f>
        <v/>
      </c>
      <c r="AC40" t="str">
        <f>IF($A40="","",IF(OR(parametros!$C$3="",parametros!$I$3=""),0,ROUND(SUMIFS(aditivos!$L$2:$L$200,aditivos!$A$2:$A$200,$A40,aditivos!$C$2:$C$200,"C1",aditivos!$B$2:$B$200,"&gt;="&amp;(INT(parametros!$I$3)+1)),2)))</f>
        <v/>
      </c>
      <c r="AD40" t="str">
        <f>IF($A40="","",IF(OR(parametros!$C$4="",parametros!$I$4=""),0,ROUND(SUMIFS(aditivos!$L$2:$L$200,aditivos!$A$2:$A$200,$A40,aditivos!$C$2:$C$200,"C2",aditivos!$B$2:$B$200,"&gt;="&amp;(INT(parametros!$I$4)+1)),2)))</f>
        <v/>
      </c>
      <c r="AE40" t="str">
        <f>IF($A40="","",IF(OR(parametros!$C$5="",parametros!$I$5=""),0,ROUND(SUMIFS(aditivos!$L$2:$L$200,aditivos!$A$2:$A$200,$A40,aditivos!$C$2:$C$200,"C3",aditivos!$B$2:$B$200,"&gt;="&amp;(INT(parametros!$I$5)+1)),2)))</f>
        <v/>
      </c>
      <c r="AF40" t="str">
        <f>IF($A40="","",IF(OR(parametros!$C$6="",parametros!$I$6=""),0,ROUND(SUMIFS(aditivos!$L$2:$L$200,aditivos!$A$2:$A$200,$A40,aditivos!$C$2:$C$200,"C4",aditivos!$B$2:$B$200,"&gt;="&amp;(INT(parametros!$I$6)+1)),2)))</f>
        <v/>
      </c>
      <c r="AG40" t="str">
        <f t="shared" si="30"/>
        <v/>
      </c>
      <c r="AH40" t="str">
        <f t="shared" si="31"/>
        <v/>
      </c>
      <c r="AI40" t="str">
        <f t="shared" si="32"/>
        <v/>
      </c>
      <c r="AJ40" t="str">
        <f t="shared" si="33"/>
        <v/>
      </c>
      <c r="AK40" t="str">
        <f t="shared" si="34"/>
        <v/>
      </c>
      <c r="AL40" t="str">
        <f t="shared" si="35"/>
        <v/>
      </c>
    </row>
    <row r="41" spans="1:38" x14ac:dyDescent="0.35">
      <c r="A41" s="146" t="str">
        <f>IF(itens_Remanesc!A41="","",itens_Remanesc!A41)</f>
        <v/>
      </c>
      <c r="B41" s="196" t="str">
        <f>IF(A41="","",itens_Remanesc!C41)</f>
        <v/>
      </c>
      <c r="C41" s="161" t="str">
        <f>IF(A41="","",IF(itens_Remanesc!B41="",0,itens_Remanesc!B41))</f>
        <v/>
      </c>
      <c r="D41" s="163" t="str">
        <f>IF(A41="","",ROUND(SUMIFS(aditivos!$L$2:$L$200,aditivos!$A$2:$A$200,A41,aditivos!$C$2:$C$200,"C0"),2))</f>
        <v/>
      </c>
      <c r="E41" s="159" t="str">
        <f t="shared" si="18"/>
        <v/>
      </c>
      <c r="F41" s="159" t="str">
        <f>IF(A41="","",IF(itens_Remanesc!B41&lt;&gt;"",itens_Remanesc!B41,IF($Z41,0,"")))</f>
        <v/>
      </c>
      <c r="G41" s="167" t="str">
        <f t="shared" si="19"/>
        <v/>
      </c>
      <c r="H41" s="169" t="str">
        <f>IF(A41="","",ROUND(SUMIFS(aditivos!$L$2:$L$200,aditivos!$A$2:$A$200,A41,aditivos!$C$2:$C$200,"C1"),2))</f>
        <v/>
      </c>
      <c r="I41" s="165" t="str">
        <f t="shared" si="20"/>
        <v/>
      </c>
      <c r="J41" s="165" t="str">
        <f>IF(A41="","",IF(itens_Remanesc!E41="","",itens_Remanesc!E41))</f>
        <v/>
      </c>
      <c r="K41" s="171" t="str">
        <f t="shared" si="21"/>
        <v/>
      </c>
      <c r="L41" s="163" t="str">
        <f>IF(A41="","",ROUND(SUMIFS(aditivos!$L$2:$L$200,aditivos!$A$2:$A$200,A41,aditivos!$C$2:$C$200,"C2"),2))</f>
        <v/>
      </c>
      <c r="M41" s="159" t="str">
        <f t="shared" si="22"/>
        <v/>
      </c>
      <c r="N41" s="159" t="str">
        <f>IF(A41="","",IF(itens_Remanesc!G41="","",itens_Remanesc!G41))</f>
        <v/>
      </c>
      <c r="O41" s="167" t="str">
        <f t="shared" si="23"/>
        <v/>
      </c>
      <c r="P41" s="169" t="str">
        <f>IF(A41="","",ROUND(SUMIFS(aditivos!$L$2:$L$200,aditivos!$A$2:$A$200,A41,aditivos!$C$2:$C$200,"C3"),2))</f>
        <v/>
      </c>
      <c r="Q41" s="165" t="str">
        <f t="shared" si="24"/>
        <v/>
      </c>
      <c r="R41" s="165" t="str">
        <f>IF(A41="","",IF(itens_Remanesc!I41="","",itens_Remanesc!I41))</f>
        <v/>
      </c>
      <c r="S41" s="171" t="str">
        <f t="shared" si="25"/>
        <v/>
      </c>
      <c r="T41" s="163" t="str">
        <f>IF(A41="","",ROUND(SUMIFS(aditivos!$L$2:$L$200,aditivos!$A$2:$A$200,A41,aditivos!$C$2:$C$200,"C4"),2))</f>
        <v/>
      </c>
      <c r="U41" s="159" t="str">
        <f t="shared" si="26"/>
        <v/>
      </c>
      <c r="V41" s="159" t="str">
        <f>IF(A41="","",IF(itens_Remanesc!K41="","",itens_Remanesc!K41))</f>
        <v/>
      </c>
      <c r="W41" s="159" t="str">
        <f t="shared" si="27"/>
        <v/>
      </c>
      <c r="X41" s="146" t="str">
        <f>IF(A41="","",IF(COUNTIF($A$2:$A$200,A41)&gt;1,"ALERTA: ITEM_DUPLICADO",IF(AND($Z41,ISNUMBER(itens_Remanesc!B41),itens_Remanesc!B41&lt;&gt;0),"NOVO ITEM COM BASE DIFERENTE DE 0 - AJUSTAR itens_Remanesc",IF(AND($Z41,NOT(ISNUMBER(itens_Remanesc!C41))),"NOVO ITEM SEM VU_ORIGINAL - INFORMAR EM itens_Remanesc",IF(MIN(E41,I41,M41,Q41,U41,G41,K41,O41,S41,W41)&lt;0,"ALERTA: POSICAO_NEGATIVA",IF(OR(AND(G41&lt;&gt;"",G41&gt;E41),AND(K41&lt;&gt;"",K41&gt;I41),AND(O41&lt;&gt;"",O41&gt;M41),AND(S41&lt;&gt;"",S41&gt;Q41),AND(W41&lt;&gt;"",W41&gt;U41)),"ALERTA: REMANESCENTE_SUPERA_POSICAO","OK"))))))</f>
        <v/>
      </c>
      <c r="Y41" t="str">
        <f t="shared" si="28"/>
        <v/>
      </c>
      <c r="Z41" t="b">
        <f t="shared" si="29"/>
        <v>0</v>
      </c>
      <c r="AA41" s="208" t="str">
        <f>IF($A41="","",IF(COUNTIFS(aditivos!$A$2:$A$200,$A41,aditivos!$L$2:$L$200,"&lt;&gt;",aditivos!$L$2:$L$200,"&lt;&gt;0",aditivos!$B$2:$B$200,"&gt;0")=0,"",IFERROR(_xlfn.MINIFS(aditivos!$B$2:$B$200,aditivos!$A$2:$A$200,$A41,aditivos!$L$2:$L$200,"&lt;&gt;",aditivos!$L$2:$L$200,"&lt;&gt;0",aditivos!$B$2:$B$200,"&gt;0"),"")))</f>
        <v/>
      </c>
      <c r="AB41" t="str">
        <f>IF($A41="","",IF(OR(parametros!$C$2="",parametros!$I$2=""),0,ROUND(SUMIFS(aditivos!$L$2:$L$200,aditivos!$A$2:$A$200,$A41,aditivos!$C$2:$C$200,"C0",aditivos!$B$2:$B$200,"&gt;="&amp;(INT(parametros!$I$2)+1)),2)))</f>
        <v/>
      </c>
      <c r="AC41" t="str">
        <f>IF($A41="","",IF(OR(parametros!$C$3="",parametros!$I$3=""),0,ROUND(SUMIFS(aditivos!$L$2:$L$200,aditivos!$A$2:$A$200,$A41,aditivos!$C$2:$C$200,"C1",aditivos!$B$2:$B$200,"&gt;="&amp;(INT(parametros!$I$3)+1)),2)))</f>
        <v/>
      </c>
      <c r="AD41" t="str">
        <f>IF($A41="","",IF(OR(parametros!$C$4="",parametros!$I$4=""),0,ROUND(SUMIFS(aditivos!$L$2:$L$200,aditivos!$A$2:$A$200,$A41,aditivos!$C$2:$C$200,"C2",aditivos!$B$2:$B$200,"&gt;="&amp;(INT(parametros!$I$4)+1)),2)))</f>
        <v/>
      </c>
      <c r="AE41" t="str">
        <f>IF($A41="","",IF(OR(parametros!$C$5="",parametros!$I$5=""),0,ROUND(SUMIFS(aditivos!$L$2:$L$200,aditivos!$A$2:$A$200,$A41,aditivos!$C$2:$C$200,"C3",aditivos!$B$2:$B$200,"&gt;="&amp;(INT(parametros!$I$5)+1)),2)))</f>
        <v/>
      </c>
      <c r="AF41" t="str">
        <f>IF($A41="","",IF(OR(parametros!$C$6="",parametros!$I$6=""),0,ROUND(SUMIFS(aditivos!$L$2:$L$200,aditivos!$A$2:$A$200,$A41,aditivos!$C$2:$C$200,"C4",aditivos!$B$2:$B$200,"&gt;="&amp;(INT(parametros!$I$6)+1)),2)))</f>
        <v/>
      </c>
      <c r="AG41" t="str">
        <f t="shared" si="30"/>
        <v/>
      </c>
      <c r="AH41" t="str">
        <f t="shared" si="31"/>
        <v/>
      </c>
      <c r="AI41" t="str">
        <f t="shared" si="32"/>
        <v/>
      </c>
      <c r="AJ41" t="str">
        <f t="shared" si="33"/>
        <v/>
      </c>
      <c r="AK41" t="str">
        <f t="shared" si="34"/>
        <v/>
      </c>
      <c r="AL41" t="str">
        <f t="shared" si="35"/>
        <v/>
      </c>
    </row>
    <row r="42" spans="1:38" x14ac:dyDescent="0.35">
      <c r="A42" s="146" t="str">
        <f>IF(itens_Remanesc!A42="","",itens_Remanesc!A42)</f>
        <v/>
      </c>
      <c r="B42" s="196" t="str">
        <f>IF(A42="","",itens_Remanesc!C42)</f>
        <v/>
      </c>
      <c r="C42" s="161" t="str">
        <f>IF(A42="","",IF(itens_Remanesc!B42="",0,itens_Remanesc!B42))</f>
        <v/>
      </c>
      <c r="D42" s="163" t="str">
        <f>IF(A42="","",ROUND(SUMIFS(aditivos!$L$2:$L$200,aditivos!$A$2:$A$200,A42,aditivos!$C$2:$C$200,"C0"),2))</f>
        <v/>
      </c>
      <c r="E42" s="159" t="str">
        <f t="shared" si="18"/>
        <v/>
      </c>
      <c r="F42" s="159" t="str">
        <f>IF(A42="","",IF(itens_Remanesc!B42&lt;&gt;"",itens_Remanesc!B42,IF($Z42,0,"")))</f>
        <v/>
      </c>
      <c r="G42" s="167" t="str">
        <f t="shared" si="19"/>
        <v/>
      </c>
      <c r="H42" s="169" t="str">
        <f>IF(A42="","",ROUND(SUMIFS(aditivos!$L$2:$L$200,aditivos!$A$2:$A$200,A42,aditivos!$C$2:$C$200,"C1"),2))</f>
        <v/>
      </c>
      <c r="I42" s="165" t="str">
        <f t="shared" si="20"/>
        <v/>
      </c>
      <c r="J42" s="165" t="str">
        <f>IF(A42="","",IF(itens_Remanesc!E42="","",itens_Remanesc!E42))</f>
        <v/>
      </c>
      <c r="K42" s="171" t="str">
        <f t="shared" si="21"/>
        <v/>
      </c>
      <c r="L42" s="163" t="str">
        <f>IF(A42="","",ROUND(SUMIFS(aditivos!$L$2:$L$200,aditivos!$A$2:$A$200,A42,aditivos!$C$2:$C$200,"C2"),2))</f>
        <v/>
      </c>
      <c r="M42" s="159" t="str">
        <f t="shared" si="22"/>
        <v/>
      </c>
      <c r="N42" s="159" t="str">
        <f>IF(A42="","",IF(itens_Remanesc!G42="","",itens_Remanesc!G42))</f>
        <v/>
      </c>
      <c r="O42" s="167" t="str">
        <f t="shared" si="23"/>
        <v/>
      </c>
      <c r="P42" s="169" t="str">
        <f>IF(A42="","",ROUND(SUMIFS(aditivos!$L$2:$L$200,aditivos!$A$2:$A$200,A42,aditivos!$C$2:$C$200,"C3"),2))</f>
        <v/>
      </c>
      <c r="Q42" s="165" t="str">
        <f t="shared" si="24"/>
        <v/>
      </c>
      <c r="R42" s="165" t="str">
        <f>IF(A42="","",IF(itens_Remanesc!I42="","",itens_Remanesc!I42))</f>
        <v/>
      </c>
      <c r="S42" s="171" t="str">
        <f t="shared" si="25"/>
        <v/>
      </c>
      <c r="T42" s="163" t="str">
        <f>IF(A42="","",ROUND(SUMIFS(aditivos!$L$2:$L$200,aditivos!$A$2:$A$200,A42,aditivos!$C$2:$C$200,"C4"),2))</f>
        <v/>
      </c>
      <c r="U42" s="159" t="str">
        <f t="shared" si="26"/>
        <v/>
      </c>
      <c r="V42" s="159" t="str">
        <f>IF(A42="","",IF(itens_Remanesc!K42="","",itens_Remanesc!K42))</f>
        <v/>
      </c>
      <c r="W42" s="159" t="str">
        <f t="shared" si="27"/>
        <v/>
      </c>
      <c r="X42" s="146" t="str">
        <f>IF(A42="","",IF(COUNTIF($A$2:$A$200,A42)&gt;1,"ALERTA: ITEM_DUPLICADO",IF(AND($Z42,ISNUMBER(itens_Remanesc!B42),itens_Remanesc!B42&lt;&gt;0),"NOVO ITEM COM BASE DIFERENTE DE 0 - AJUSTAR itens_Remanesc",IF(AND($Z42,NOT(ISNUMBER(itens_Remanesc!C42))),"NOVO ITEM SEM VU_ORIGINAL - INFORMAR EM itens_Remanesc",IF(MIN(E42,I42,M42,Q42,U42,G42,K42,O42,S42,W42)&lt;0,"ALERTA: POSICAO_NEGATIVA",IF(OR(AND(G42&lt;&gt;"",G42&gt;E42),AND(K42&lt;&gt;"",K42&gt;I42),AND(O42&lt;&gt;"",O42&gt;M42),AND(S42&lt;&gt;"",S42&gt;Q42),AND(W42&lt;&gt;"",W42&gt;U42)),"ALERTA: REMANESCENTE_SUPERA_POSICAO","OK"))))))</f>
        <v/>
      </c>
      <c r="Y42" t="str">
        <f t="shared" si="28"/>
        <v/>
      </c>
      <c r="Z42" t="b">
        <f t="shared" si="29"/>
        <v>0</v>
      </c>
      <c r="AA42" s="208" t="str">
        <f>IF($A42="","",IF(COUNTIFS(aditivos!$A$2:$A$200,$A42,aditivos!$L$2:$L$200,"&lt;&gt;",aditivos!$L$2:$L$200,"&lt;&gt;0",aditivos!$B$2:$B$200,"&gt;0")=0,"",IFERROR(_xlfn.MINIFS(aditivos!$B$2:$B$200,aditivos!$A$2:$A$200,$A42,aditivos!$L$2:$L$200,"&lt;&gt;",aditivos!$L$2:$L$200,"&lt;&gt;0",aditivos!$B$2:$B$200,"&gt;0"),"")))</f>
        <v/>
      </c>
      <c r="AB42" t="str">
        <f>IF($A42="","",IF(OR(parametros!$C$2="",parametros!$I$2=""),0,ROUND(SUMIFS(aditivos!$L$2:$L$200,aditivos!$A$2:$A$200,$A42,aditivos!$C$2:$C$200,"C0",aditivos!$B$2:$B$200,"&gt;="&amp;(INT(parametros!$I$2)+1)),2)))</f>
        <v/>
      </c>
      <c r="AC42" t="str">
        <f>IF($A42="","",IF(OR(parametros!$C$3="",parametros!$I$3=""),0,ROUND(SUMIFS(aditivos!$L$2:$L$200,aditivos!$A$2:$A$200,$A42,aditivos!$C$2:$C$200,"C1",aditivos!$B$2:$B$200,"&gt;="&amp;(INT(parametros!$I$3)+1)),2)))</f>
        <v/>
      </c>
      <c r="AD42" t="str">
        <f>IF($A42="","",IF(OR(parametros!$C$4="",parametros!$I$4=""),0,ROUND(SUMIFS(aditivos!$L$2:$L$200,aditivos!$A$2:$A$200,$A42,aditivos!$C$2:$C$200,"C2",aditivos!$B$2:$B$200,"&gt;="&amp;(INT(parametros!$I$4)+1)),2)))</f>
        <v/>
      </c>
      <c r="AE42" t="str">
        <f>IF($A42="","",IF(OR(parametros!$C$5="",parametros!$I$5=""),0,ROUND(SUMIFS(aditivos!$L$2:$L$200,aditivos!$A$2:$A$200,$A42,aditivos!$C$2:$C$200,"C3",aditivos!$B$2:$B$200,"&gt;="&amp;(INT(parametros!$I$5)+1)),2)))</f>
        <v/>
      </c>
      <c r="AF42" t="str">
        <f>IF($A42="","",IF(OR(parametros!$C$6="",parametros!$I$6=""),0,ROUND(SUMIFS(aditivos!$L$2:$L$200,aditivos!$A$2:$A$200,$A42,aditivos!$C$2:$C$200,"C4",aditivos!$B$2:$B$200,"&gt;="&amp;(INT(parametros!$I$6)+1)),2)))</f>
        <v/>
      </c>
      <c r="AG42" t="str">
        <f t="shared" si="30"/>
        <v/>
      </c>
      <c r="AH42" t="str">
        <f t="shared" si="31"/>
        <v/>
      </c>
      <c r="AI42" t="str">
        <f t="shared" si="32"/>
        <v/>
      </c>
      <c r="AJ42" t="str">
        <f t="shared" si="33"/>
        <v/>
      </c>
      <c r="AK42" t="str">
        <f t="shared" si="34"/>
        <v/>
      </c>
      <c r="AL42" t="str">
        <f t="shared" si="35"/>
        <v/>
      </c>
    </row>
    <row r="43" spans="1:38" x14ac:dyDescent="0.35">
      <c r="A43" s="146" t="str">
        <f>IF(itens_Remanesc!A43="","",itens_Remanesc!A43)</f>
        <v/>
      </c>
      <c r="B43" s="196" t="str">
        <f>IF(A43="","",itens_Remanesc!C43)</f>
        <v/>
      </c>
      <c r="C43" s="161" t="str">
        <f>IF(A43="","",IF(itens_Remanesc!B43="",0,itens_Remanesc!B43))</f>
        <v/>
      </c>
      <c r="D43" s="163" t="str">
        <f>IF(A43="","",ROUND(SUMIFS(aditivos!$L$2:$L$200,aditivos!$A$2:$A$200,A43,aditivos!$C$2:$C$200,"C0"),2))</f>
        <v/>
      </c>
      <c r="E43" s="159" t="str">
        <f t="shared" si="18"/>
        <v/>
      </c>
      <c r="F43" s="159" t="str">
        <f>IF(A43="","",IF(itens_Remanesc!B43&lt;&gt;"",itens_Remanesc!B43,IF($Z43,0,"")))</f>
        <v/>
      </c>
      <c r="G43" s="167" t="str">
        <f t="shared" si="19"/>
        <v/>
      </c>
      <c r="H43" s="169" t="str">
        <f>IF(A43="","",ROUND(SUMIFS(aditivos!$L$2:$L$200,aditivos!$A$2:$A$200,A43,aditivos!$C$2:$C$200,"C1"),2))</f>
        <v/>
      </c>
      <c r="I43" s="165" t="str">
        <f t="shared" si="20"/>
        <v/>
      </c>
      <c r="J43" s="165" t="str">
        <f>IF(A43="","",IF(itens_Remanesc!E43="","",itens_Remanesc!E43))</f>
        <v/>
      </c>
      <c r="K43" s="171" t="str">
        <f t="shared" si="21"/>
        <v/>
      </c>
      <c r="L43" s="163" t="str">
        <f>IF(A43="","",ROUND(SUMIFS(aditivos!$L$2:$L$200,aditivos!$A$2:$A$200,A43,aditivos!$C$2:$C$200,"C2"),2))</f>
        <v/>
      </c>
      <c r="M43" s="159" t="str">
        <f t="shared" si="22"/>
        <v/>
      </c>
      <c r="N43" s="159" t="str">
        <f>IF(A43="","",IF(itens_Remanesc!G43="","",itens_Remanesc!G43))</f>
        <v/>
      </c>
      <c r="O43" s="167" t="str">
        <f t="shared" si="23"/>
        <v/>
      </c>
      <c r="P43" s="169" t="str">
        <f>IF(A43="","",ROUND(SUMIFS(aditivos!$L$2:$L$200,aditivos!$A$2:$A$200,A43,aditivos!$C$2:$C$200,"C3"),2))</f>
        <v/>
      </c>
      <c r="Q43" s="165" t="str">
        <f t="shared" si="24"/>
        <v/>
      </c>
      <c r="R43" s="165" t="str">
        <f>IF(A43="","",IF(itens_Remanesc!I43="","",itens_Remanesc!I43))</f>
        <v/>
      </c>
      <c r="S43" s="171" t="str">
        <f t="shared" si="25"/>
        <v/>
      </c>
      <c r="T43" s="163" t="str">
        <f>IF(A43="","",ROUND(SUMIFS(aditivos!$L$2:$L$200,aditivos!$A$2:$A$200,A43,aditivos!$C$2:$C$200,"C4"),2))</f>
        <v/>
      </c>
      <c r="U43" s="159" t="str">
        <f t="shared" si="26"/>
        <v/>
      </c>
      <c r="V43" s="159" t="str">
        <f>IF(A43="","",IF(itens_Remanesc!K43="","",itens_Remanesc!K43))</f>
        <v/>
      </c>
      <c r="W43" s="159" t="str">
        <f t="shared" si="27"/>
        <v/>
      </c>
      <c r="X43" s="146" t="str">
        <f>IF(A43="","",IF(COUNTIF($A$2:$A$200,A43)&gt;1,"ALERTA: ITEM_DUPLICADO",IF(AND($Z43,ISNUMBER(itens_Remanesc!B43),itens_Remanesc!B43&lt;&gt;0),"NOVO ITEM COM BASE DIFERENTE DE 0 - AJUSTAR itens_Remanesc",IF(AND($Z43,NOT(ISNUMBER(itens_Remanesc!C43))),"NOVO ITEM SEM VU_ORIGINAL - INFORMAR EM itens_Remanesc",IF(MIN(E43,I43,M43,Q43,U43,G43,K43,O43,S43,W43)&lt;0,"ALERTA: POSICAO_NEGATIVA",IF(OR(AND(G43&lt;&gt;"",G43&gt;E43),AND(K43&lt;&gt;"",K43&gt;I43),AND(O43&lt;&gt;"",O43&gt;M43),AND(S43&lt;&gt;"",S43&gt;Q43),AND(W43&lt;&gt;"",W43&gt;U43)),"ALERTA: REMANESCENTE_SUPERA_POSICAO","OK"))))))</f>
        <v/>
      </c>
      <c r="Y43" t="str">
        <f t="shared" si="28"/>
        <v/>
      </c>
      <c r="Z43" t="b">
        <f t="shared" si="29"/>
        <v>0</v>
      </c>
      <c r="AA43" s="208" t="str">
        <f>IF($A43="","",IF(COUNTIFS(aditivos!$A$2:$A$200,$A43,aditivos!$L$2:$L$200,"&lt;&gt;",aditivos!$L$2:$L$200,"&lt;&gt;0",aditivos!$B$2:$B$200,"&gt;0")=0,"",IFERROR(_xlfn.MINIFS(aditivos!$B$2:$B$200,aditivos!$A$2:$A$200,$A43,aditivos!$L$2:$L$200,"&lt;&gt;",aditivos!$L$2:$L$200,"&lt;&gt;0",aditivos!$B$2:$B$200,"&gt;0"),"")))</f>
        <v/>
      </c>
      <c r="AB43" t="str">
        <f>IF($A43="","",IF(OR(parametros!$C$2="",parametros!$I$2=""),0,ROUND(SUMIFS(aditivos!$L$2:$L$200,aditivos!$A$2:$A$200,$A43,aditivos!$C$2:$C$200,"C0",aditivos!$B$2:$B$200,"&gt;="&amp;(INT(parametros!$I$2)+1)),2)))</f>
        <v/>
      </c>
      <c r="AC43" t="str">
        <f>IF($A43="","",IF(OR(parametros!$C$3="",parametros!$I$3=""),0,ROUND(SUMIFS(aditivos!$L$2:$L$200,aditivos!$A$2:$A$200,$A43,aditivos!$C$2:$C$200,"C1",aditivos!$B$2:$B$200,"&gt;="&amp;(INT(parametros!$I$3)+1)),2)))</f>
        <v/>
      </c>
      <c r="AD43" t="str">
        <f>IF($A43="","",IF(OR(parametros!$C$4="",parametros!$I$4=""),0,ROUND(SUMIFS(aditivos!$L$2:$L$200,aditivos!$A$2:$A$200,$A43,aditivos!$C$2:$C$200,"C2",aditivos!$B$2:$B$200,"&gt;="&amp;(INT(parametros!$I$4)+1)),2)))</f>
        <v/>
      </c>
      <c r="AE43" t="str">
        <f>IF($A43="","",IF(OR(parametros!$C$5="",parametros!$I$5=""),0,ROUND(SUMIFS(aditivos!$L$2:$L$200,aditivos!$A$2:$A$200,$A43,aditivos!$C$2:$C$200,"C3",aditivos!$B$2:$B$200,"&gt;="&amp;(INT(parametros!$I$5)+1)),2)))</f>
        <v/>
      </c>
      <c r="AF43" t="str">
        <f>IF($A43="","",IF(OR(parametros!$C$6="",parametros!$I$6=""),0,ROUND(SUMIFS(aditivos!$L$2:$L$200,aditivos!$A$2:$A$200,$A43,aditivos!$C$2:$C$200,"C4",aditivos!$B$2:$B$200,"&gt;="&amp;(INT(parametros!$I$6)+1)),2)))</f>
        <v/>
      </c>
      <c r="AG43" t="str">
        <f t="shared" si="30"/>
        <v/>
      </c>
      <c r="AH43" t="str">
        <f t="shared" si="31"/>
        <v/>
      </c>
      <c r="AI43" t="str">
        <f t="shared" si="32"/>
        <v/>
      </c>
      <c r="AJ43" t="str">
        <f t="shared" si="33"/>
        <v/>
      </c>
      <c r="AK43" t="str">
        <f t="shared" si="34"/>
        <v/>
      </c>
      <c r="AL43" t="str">
        <f t="shared" si="35"/>
        <v/>
      </c>
    </row>
    <row r="44" spans="1:38" x14ac:dyDescent="0.35">
      <c r="A44" s="146" t="str">
        <f>IF(itens_Remanesc!A44="","",itens_Remanesc!A44)</f>
        <v/>
      </c>
      <c r="B44" s="196" t="str">
        <f>IF(A44="","",itens_Remanesc!C44)</f>
        <v/>
      </c>
      <c r="C44" s="161" t="str">
        <f>IF(A44="","",IF(itens_Remanesc!B44="",0,itens_Remanesc!B44))</f>
        <v/>
      </c>
      <c r="D44" s="163" t="str">
        <f>IF(A44="","",ROUND(SUMIFS(aditivos!$L$2:$L$200,aditivos!$A$2:$A$200,A44,aditivos!$C$2:$C$200,"C0"),2))</f>
        <v/>
      </c>
      <c r="E44" s="159" t="str">
        <f t="shared" si="18"/>
        <v/>
      </c>
      <c r="F44" s="159" t="str">
        <f>IF(A44="","",IF(itens_Remanesc!B44&lt;&gt;"",itens_Remanesc!B44,IF($Z44,0,"")))</f>
        <v/>
      </c>
      <c r="G44" s="167" t="str">
        <f t="shared" si="19"/>
        <v/>
      </c>
      <c r="H44" s="169" t="str">
        <f>IF(A44="","",ROUND(SUMIFS(aditivos!$L$2:$L$200,aditivos!$A$2:$A$200,A44,aditivos!$C$2:$C$200,"C1"),2))</f>
        <v/>
      </c>
      <c r="I44" s="165" t="str">
        <f t="shared" si="20"/>
        <v/>
      </c>
      <c r="J44" s="165" t="str">
        <f>IF(A44="","",IF(itens_Remanesc!E44="","",itens_Remanesc!E44))</f>
        <v/>
      </c>
      <c r="K44" s="171" t="str">
        <f t="shared" si="21"/>
        <v/>
      </c>
      <c r="L44" s="163" t="str">
        <f>IF(A44="","",ROUND(SUMIFS(aditivos!$L$2:$L$200,aditivos!$A$2:$A$200,A44,aditivos!$C$2:$C$200,"C2"),2))</f>
        <v/>
      </c>
      <c r="M44" s="159" t="str">
        <f t="shared" si="22"/>
        <v/>
      </c>
      <c r="N44" s="159" t="str">
        <f>IF(A44="","",IF(itens_Remanesc!G44="","",itens_Remanesc!G44))</f>
        <v/>
      </c>
      <c r="O44" s="167" t="str">
        <f t="shared" si="23"/>
        <v/>
      </c>
      <c r="P44" s="169" t="str">
        <f>IF(A44="","",ROUND(SUMIFS(aditivos!$L$2:$L$200,aditivos!$A$2:$A$200,A44,aditivos!$C$2:$C$200,"C3"),2))</f>
        <v/>
      </c>
      <c r="Q44" s="165" t="str">
        <f t="shared" si="24"/>
        <v/>
      </c>
      <c r="R44" s="165" t="str">
        <f>IF(A44="","",IF(itens_Remanesc!I44="","",itens_Remanesc!I44))</f>
        <v/>
      </c>
      <c r="S44" s="171" t="str">
        <f t="shared" si="25"/>
        <v/>
      </c>
      <c r="T44" s="163" t="str">
        <f>IF(A44="","",ROUND(SUMIFS(aditivos!$L$2:$L$200,aditivos!$A$2:$A$200,A44,aditivos!$C$2:$C$200,"C4"),2))</f>
        <v/>
      </c>
      <c r="U44" s="159" t="str">
        <f t="shared" si="26"/>
        <v/>
      </c>
      <c r="V44" s="159" t="str">
        <f>IF(A44="","",IF(itens_Remanesc!K44="","",itens_Remanesc!K44))</f>
        <v/>
      </c>
      <c r="W44" s="159" t="str">
        <f t="shared" si="27"/>
        <v/>
      </c>
      <c r="X44" s="146" t="str">
        <f>IF(A44="","",IF(COUNTIF($A$2:$A$200,A44)&gt;1,"ALERTA: ITEM_DUPLICADO",IF(AND($Z44,ISNUMBER(itens_Remanesc!B44),itens_Remanesc!B44&lt;&gt;0),"NOVO ITEM COM BASE DIFERENTE DE 0 - AJUSTAR itens_Remanesc",IF(AND($Z44,NOT(ISNUMBER(itens_Remanesc!C44))),"NOVO ITEM SEM VU_ORIGINAL - INFORMAR EM itens_Remanesc",IF(MIN(E44,I44,M44,Q44,U44,G44,K44,O44,S44,W44)&lt;0,"ALERTA: POSICAO_NEGATIVA",IF(OR(AND(G44&lt;&gt;"",G44&gt;E44),AND(K44&lt;&gt;"",K44&gt;I44),AND(O44&lt;&gt;"",O44&gt;M44),AND(S44&lt;&gt;"",S44&gt;Q44),AND(W44&lt;&gt;"",W44&gt;U44)),"ALERTA: REMANESCENTE_SUPERA_POSICAO","OK"))))))</f>
        <v/>
      </c>
      <c r="Y44" t="str">
        <f t="shared" si="28"/>
        <v/>
      </c>
      <c r="Z44" t="b">
        <f t="shared" si="29"/>
        <v>0</v>
      </c>
      <c r="AA44" s="208" t="str">
        <f>IF($A44="","",IF(COUNTIFS(aditivos!$A$2:$A$200,$A44,aditivos!$L$2:$L$200,"&lt;&gt;",aditivos!$L$2:$L$200,"&lt;&gt;0",aditivos!$B$2:$B$200,"&gt;0")=0,"",IFERROR(_xlfn.MINIFS(aditivos!$B$2:$B$200,aditivos!$A$2:$A$200,$A44,aditivos!$L$2:$L$200,"&lt;&gt;",aditivos!$L$2:$L$200,"&lt;&gt;0",aditivos!$B$2:$B$200,"&gt;0"),"")))</f>
        <v/>
      </c>
      <c r="AB44" t="str">
        <f>IF($A44="","",IF(OR(parametros!$C$2="",parametros!$I$2=""),0,ROUND(SUMIFS(aditivos!$L$2:$L$200,aditivos!$A$2:$A$200,$A44,aditivos!$C$2:$C$200,"C0",aditivos!$B$2:$B$200,"&gt;="&amp;(INT(parametros!$I$2)+1)),2)))</f>
        <v/>
      </c>
      <c r="AC44" t="str">
        <f>IF($A44="","",IF(OR(parametros!$C$3="",parametros!$I$3=""),0,ROUND(SUMIFS(aditivos!$L$2:$L$200,aditivos!$A$2:$A$200,$A44,aditivos!$C$2:$C$200,"C1",aditivos!$B$2:$B$200,"&gt;="&amp;(INT(parametros!$I$3)+1)),2)))</f>
        <v/>
      </c>
      <c r="AD44" t="str">
        <f>IF($A44="","",IF(OR(parametros!$C$4="",parametros!$I$4=""),0,ROUND(SUMIFS(aditivos!$L$2:$L$200,aditivos!$A$2:$A$200,$A44,aditivos!$C$2:$C$200,"C2",aditivos!$B$2:$B$200,"&gt;="&amp;(INT(parametros!$I$4)+1)),2)))</f>
        <v/>
      </c>
      <c r="AE44" t="str">
        <f>IF($A44="","",IF(OR(parametros!$C$5="",parametros!$I$5=""),0,ROUND(SUMIFS(aditivos!$L$2:$L$200,aditivos!$A$2:$A$200,$A44,aditivos!$C$2:$C$200,"C3",aditivos!$B$2:$B$200,"&gt;="&amp;(INT(parametros!$I$5)+1)),2)))</f>
        <v/>
      </c>
      <c r="AF44" t="str">
        <f>IF($A44="","",IF(OR(parametros!$C$6="",parametros!$I$6=""),0,ROUND(SUMIFS(aditivos!$L$2:$L$200,aditivos!$A$2:$A$200,$A44,aditivos!$C$2:$C$200,"C4",aditivos!$B$2:$B$200,"&gt;="&amp;(INT(parametros!$I$6)+1)),2)))</f>
        <v/>
      </c>
      <c r="AG44" t="str">
        <f t="shared" si="30"/>
        <v/>
      </c>
      <c r="AH44" t="str">
        <f t="shared" si="31"/>
        <v/>
      </c>
      <c r="AI44" t="str">
        <f t="shared" si="32"/>
        <v/>
      </c>
      <c r="AJ44" t="str">
        <f t="shared" si="33"/>
        <v/>
      </c>
      <c r="AK44" t="str">
        <f t="shared" si="34"/>
        <v/>
      </c>
      <c r="AL44" t="str">
        <f t="shared" si="35"/>
        <v/>
      </c>
    </row>
    <row r="45" spans="1:38" x14ac:dyDescent="0.35">
      <c r="A45" s="146" t="str">
        <f>IF(itens_Remanesc!A45="","",itens_Remanesc!A45)</f>
        <v/>
      </c>
      <c r="B45" s="196" t="str">
        <f>IF(A45="","",itens_Remanesc!C45)</f>
        <v/>
      </c>
      <c r="C45" s="161" t="str">
        <f>IF(A45="","",IF(itens_Remanesc!B45="",0,itens_Remanesc!B45))</f>
        <v/>
      </c>
      <c r="D45" s="163" t="str">
        <f>IF(A45="","",ROUND(SUMIFS(aditivos!$L$2:$L$200,aditivos!$A$2:$A$200,A45,aditivos!$C$2:$C$200,"C0"),2))</f>
        <v/>
      </c>
      <c r="E45" s="159" t="str">
        <f t="shared" si="18"/>
        <v/>
      </c>
      <c r="F45" s="159" t="str">
        <f>IF(A45="","",IF(itens_Remanesc!B45&lt;&gt;"",itens_Remanesc!B45,IF($Z45,0,"")))</f>
        <v/>
      </c>
      <c r="G45" s="167" t="str">
        <f t="shared" si="19"/>
        <v/>
      </c>
      <c r="H45" s="169" t="str">
        <f>IF(A45="","",ROUND(SUMIFS(aditivos!$L$2:$L$200,aditivos!$A$2:$A$200,A45,aditivos!$C$2:$C$200,"C1"),2))</f>
        <v/>
      </c>
      <c r="I45" s="165" t="str">
        <f t="shared" si="20"/>
        <v/>
      </c>
      <c r="J45" s="165" t="str">
        <f>IF(A45="","",IF(itens_Remanesc!E45="","",itens_Remanesc!E45))</f>
        <v/>
      </c>
      <c r="K45" s="171" t="str">
        <f t="shared" si="21"/>
        <v/>
      </c>
      <c r="L45" s="163" t="str">
        <f>IF(A45="","",ROUND(SUMIFS(aditivos!$L$2:$L$200,aditivos!$A$2:$A$200,A45,aditivos!$C$2:$C$200,"C2"),2))</f>
        <v/>
      </c>
      <c r="M45" s="159" t="str">
        <f t="shared" si="22"/>
        <v/>
      </c>
      <c r="N45" s="159" t="str">
        <f>IF(A45="","",IF(itens_Remanesc!G45="","",itens_Remanesc!G45))</f>
        <v/>
      </c>
      <c r="O45" s="167" t="str">
        <f t="shared" si="23"/>
        <v/>
      </c>
      <c r="P45" s="169" t="str">
        <f>IF(A45="","",ROUND(SUMIFS(aditivos!$L$2:$L$200,aditivos!$A$2:$A$200,A45,aditivos!$C$2:$C$200,"C3"),2))</f>
        <v/>
      </c>
      <c r="Q45" s="165" t="str">
        <f t="shared" si="24"/>
        <v/>
      </c>
      <c r="R45" s="165" t="str">
        <f>IF(A45="","",IF(itens_Remanesc!I45="","",itens_Remanesc!I45))</f>
        <v/>
      </c>
      <c r="S45" s="171" t="str">
        <f t="shared" si="25"/>
        <v/>
      </c>
      <c r="T45" s="163" t="str">
        <f>IF(A45="","",ROUND(SUMIFS(aditivos!$L$2:$L$200,aditivos!$A$2:$A$200,A45,aditivos!$C$2:$C$200,"C4"),2))</f>
        <v/>
      </c>
      <c r="U45" s="159" t="str">
        <f t="shared" si="26"/>
        <v/>
      </c>
      <c r="V45" s="159" t="str">
        <f>IF(A45="","",IF(itens_Remanesc!K45="","",itens_Remanesc!K45))</f>
        <v/>
      </c>
      <c r="W45" s="159" t="str">
        <f t="shared" si="27"/>
        <v/>
      </c>
      <c r="X45" s="146" t="str">
        <f>IF(A45="","",IF(COUNTIF($A$2:$A$200,A45)&gt;1,"ALERTA: ITEM_DUPLICADO",IF(AND($Z45,ISNUMBER(itens_Remanesc!B45),itens_Remanesc!B45&lt;&gt;0),"NOVO ITEM COM BASE DIFERENTE DE 0 - AJUSTAR itens_Remanesc",IF(AND($Z45,NOT(ISNUMBER(itens_Remanesc!C45))),"NOVO ITEM SEM VU_ORIGINAL - INFORMAR EM itens_Remanesc",IF(MIN(E45,I45,M45,Q45,U45,G45,K45,O45,S45,W45)&lt;0,"ALERTA: POSICAO_NEGATIVA",IF(OR(AND(G45&lt;&gt;"",G45&gt;E45),AND(K45&lt;&gt;"",K45&gt;I45),AND(O45&lt;&gt;"",O45&gt;M45),AND(S45&lt;&gt;"",S45&gt;Q45),AND(W45&lt;&gt;"",W45&gt;U45)),"ALERTA: REMANESCENTE_SUPERA_POSICAO","OK"))))))</f>
        <v/>
      </c>
      <c r="Y45" t="str">
        <f t="shared" si="28"/>
        <v/>
      </c>
      <c r="Z45" t="b">
        <f t="shared" si="29"/>
        <v>0</v>
      </c>
      <c r="AA45" s="208" t="str">
        <f>IF($A45="","",IF(COUNTIFS(aditivos!$A$2:$A$200,$A45,aditivos!$L$2:$L$200,"&lt;&gt;",aditivos!$L$2:$L$200,"&lt;&gt;0",aditivos!$B$2:$B$200,"&gt;0")=0,"",IFERROR(_xlfn.MINIFS(aditivos!$B$2:$B$200,aditivos!$A$2:$A$200,$A45,aditivos!$L$2:$L$200,"&lt;&gt;",aditivos!$L$2:$L$200,"&lt;&gt;0",aditivos!$B$2:$B$200,"&gt;0"),"")))</f>
        <v/>
      </c>
      <c r="AB45" t="str">
        <f>IF($A45="","",IF(OR(parametros!$C$2="",parametros!$I$2=""),0,ROUND(SUMIFS(aditivos!$L$2:$L$200,aditivos!$A$2:$A$200,$A45,aditivos!$C$2:$C$200,"C0",aditivos!$B$2:$B$200,"&gt;="&amp;(INT(parametros!$I$2)+1)),2)))</f>
        <v/>
      </c>
      <c r="AC45" t="str">
        <f>IF($A45="","",IF(OR(parametros!$C$3="",parametros!$I$3=""),0,ROUND(SUMIFS(aditivos!$L$2:$L$200,aditivos!$A$2:$A$200,$A45,aditivos!$C$2:$C$200,"C1",aditivos!$B$2:$B$200,"&gt;="&amp;(INT(parametros!$I$3)+1)),2)))</f>
        <v/>
      </c>
      <c r="AD45" t="str">
        <f>IF($A45="","",IF(OR(parametros!$C$4="",parametros!$I$4=""),0,ROUND(SUMIFS(aditivos!$L$2:$L$200,aditivos!$A$2:$A$200,$A45,aditivos!$C$2:$C$200,"C2",aditivos!$B$2:$B$200,"&gt;="&amp;(INT(parametros!$I$4)+1)),2)))</f>
        <v/>
      </c>
      <c r="AE45" t="str">
        <f>IF($A45="","",IF(OR(parametros!$C$5="",parametros!$I$5=""),0,ROUND(SUMIFS(aditivos!$L$2:$L$200,aditivos!$A$2:$A$200,$A45,aditivos!$C$2:$C$200,"C3",aditivos!$B$2:$B$200,"&gt;="&amp;(INT(parametros!$I$5)+1)),2)))</f>
        <v/>
      </c>
      <c r="AF45" t="str">
        <f>IF($A45="","",IF(OR(parametros!$C$6="",parametros!$I$6=""),0,ROUND(SUMIFS(aditivos!$L$2:$L$200,aditivos!$A$2:$A$200,$A45,aditivos!$C$2:$C$200,"C4",aditivos!$B$2:$B$200,"&gt;="&amp;(INT(parametros!$I$6)+1)),2)))</f>
        <v/>
      </c>
      <c r="AG45" t="str">
        <f t="shared" si="30"/>
        <v/>
      </c>
      <c r="AH45" t="str">
        <f t="shared" si="31"/>
        <v/>
      </c>
      <c r="AI45" t="str">
        <f t="shared" si="32"/>
        <v/>
      </c>
      <c r="AJ45" t="str">
        <f t="shared" si="33"/>
        <v/>
      </c>
      <c r="AK45" t="str">
        <f t="shared" si="34"/>
        <v/>
      </c>
      <c r="AL45" t="str">
        <f t="shared" si="35"/>
        <v/>
      </c>
    </row>
    <row r="46" spans="1:38" x14ac:dyDescent="0.35">
      <c r="A46" s="146" t="str">
        <f>IF(itens_Remanesc!A46="","",itens_Remanesc!A46)</f>
        <v/>
      </c>
      <c r="B46" s="196" t="str">
        <f>IF(A46="","",itens_Remanesc!C46)</f>
        <v/>
      </c>
      <c r="C46" s="161" t="str">
        <f>IF(A46="","",IF(itens_Remanesc!B46="",0,itens_Remanesc!B46))</f>
        <v/>
      </c>
      <c r="D46" s="163" t="str">
        <f>IF(A46="","",ROUND(SUMIFS(aditivos!$L$2:$L$200,aditivos!$A$2:$A$200,A46,aditivos!$C$2:$C$200,"C0"),2))</f>
        <v/>
      </c>
      <c r="E46" s="159" t="str">
        <f t="shared" si="18"/>
        <v/>
      </c>
      <c r="F46" s="159" t="str">
        <f>IF(A46="","",IF(itens_Remanesc!B46&lt;&gt;"",itens_Remanesc!B46,IF($Z46,0,"")))</f>
        <v/>
      </c>
      <c r="G46" s="167" t="str">
        <f t="shared" si="19"/>
        <v/>
      </c>
      <c r="H46" s="169" t="str">
        <f>IF(A46="","",ROUND(SUMIFS(aditivos!$L$2:$L$200,aditivos!$A$2:$A$200,A46,aditivos!$C$2:$C$200,"C1"),2))</f>
        <v/>
      </c>
      <c r="I46" s="165" t="str">
        <f t="shared" si="20"/>
        <v/>
      </c>
      <c r="J46" s="165" t="str">
        <f>IF(A46="","",IF(itens_Remanesc!E46="","",itens_Remanesc!E46))</f>
        <v/>
      </c>
      <c r="K46" s="171" t="str">
        <f t="shared" si="21"/>
        <v/>
      </c>
      <c r="L46" s="163" t="str">
        <f>IF(A46="","",ROUND(SUMIFS(aditivos!$L$2:$L$200,aditivos!$A$2:$A$200,A46,aditivos!$C$2:$C$200,"C2"),2))</f>
        <v/>
      </c>
      <c r="M46" s="159" t="str">
        <f t="shared" si="22"/>
        <v/>
      </c>
      <c r="N46" s="159" t="str">
        <f>IF(A46="","",IF(itens_Remanesc!G46="","",itens_Remanesc!G46))</f>
        <v/>
      </c>
      <c r="O46" s="167" t="str">
        <f t="shared" si="23"/>
        <v/>
      </c>
      <c r="P46" s="169" t="str">
        <f>IF(A46="","",ROUND(SUMIFS(aditivos!$L$2:$L$200,aditivos!$A$2:$A$200,A46,aditivos!$C$2:$C$200,"C3"),2))</f>
        <v/>
      </c>
      <c r="Q46" s="165" t="str">
        <f t="shared" si="24"/>
        <v/>
      </c>
      <c r="R46" s="165" t="str">
        <f>IF(A46="","",IF(itens_Remanesc!I46="","",itens_Remanesc!I46))</f>
        <v/>
      </c>
      <c r="S46" s="171" t="str">
        <f t="shared" si="25"/>
        <v/>
      </c>
      <c r="T46" s="163" t="str">
        <f>IF(A46="","",ROUND(SUMIFS(aditivos!$L$2:$L$200,aditivos!$A$2:$A$200,A46,aditivos!$C$2:$C$200,"C4"),2))</f>
        <v/>
      </c>
      <c r="U46" s="159" t="str">
        <f t="shared" si="26"/>
        <v/>
      </c>
      <c r="V46" s="159" t="str">
        <f>IF(A46="","",IF(itens_Remanesc!K46="","",itens_Remanesc!K46))</f>
        <v/>
      </c>
      <c r="W46" s="159" t="str">
        <f t="shared" si="27"/>
        <v/>
      </c>
      <c r="X46" s="146" t="str">
        <f>IF(A46="","",IF(COUNTIF($A$2:$A$200,A46)&gt;1,"ALERTA: ITEM_DUPLICADO",IF(AND($Z46,ISNUMBER(itens_Remanesc!B46),itens_Remanesc!B46&lt;&gt;0),"NOVO ITEM COM BASE DIFERENTE DE 0 - AJUSTAR itens_Remanesc",IF(AND($Z46,NOT(ISNUMBER(itens_Remanesc!C46))),"NOVO ITEM SEM VU_ORIGINAL - INFORMAR EM itens_Remanesc",IF(MIN(E46,I46,M46,Q46,U46,G46,K46,O46,S46,W46)&lt;0,"ALERTA: POSICAO_NEGATIVA",IF(OR(AND(G46&lt;&gt;"",G46&gt;E46),AND(K46&lt;&gt;"",K46&gt;I46),AND(O46&lt;&gt;"",O46&gt;M46),AND(S46&lt;&gt;"",S46&gt;Q46),AND(W46&lt;&gt;"",W46&gt;U46)),"ALERTA: REMANESCENTE_SUPERA_POSICAO","OK"))))))</f>
        <v/>
      </c>
      <c r="Y46" t="str">
        <f t="shared" si="28"/>
        <v/>
      </c>
      <c r="Z46" t="b">
        <f t="shared" si="29"/>
        <v>0</v>
      </c>
      <c r="AA46" s="208" t="str">
        <f>IF($A46="","",IF(COUNTIFS(aditivos!$A$2:$A$200,$A46,aditivos!$L$2:$L$200,"&lt;&gt;",aditivos!$L$2:$L$200,"&lt;&gt;0",aditivos!$B$2:$B$200,"&gt;0")=0,"",IFERROR(_xlfn.MINIFS(aditivos!$B$2:$B$200,aditivos!$A$2:$A$200,$A46,aditivos!$L$2:$L$200,"&lt;&gt;",aditivos!$L$2:$L$200,"&lt;&gt;0",aditivos!$B$2:$B$200,"&gt;0"),"")))</f>
        <v/>
      </c>
      <c r="AB46" t="str">
        <f>IF($A46="","",IF(OR(parametros!$C$2="",parametros!$I$2=""),0,ROUND(SUMIFS(aditivos!$L$2:$L$200,aditivos!$A$2:$A$200,$A46,aditivos!$C$2:$C$200,"C0",aditivos!$B$2:$B$200,"&gt;="&amp;(INT(parametros!$I$2)+1)),2)))</f>
        <v/>
      </c>
      <c r="AC46" t="str">
        <f>IF($A46="","",IF(OR(parametros!$C$3="",parametros!$I$3=""),0,ROUND(SUMIFS(aditivos!$L$2:$L$200,aditivos!$A$2:$A$200,$A46,aditivos!$C$2:$C$200,"C1",aditivos!$B$2:$B$200,"&gt;="&amp;(INT(parametros!$I$3)+1)),2)))</f>
        <v/>
      </c>
      <c r="AD46" t="str">
        <f>IF($A46="","",IF(OR(parametros!$C$4="",parametros!$I$4=""),0,ROUND(SUMIFS(aditivos!$L$2:$L$200,aditivos!$A$2:$A$200,$A46,aditivos!$C$2:$C$200,"C2",aditivos!$B$2:$B$200,"&gt;="&amp;(INT(parametros!$I$4)+1)),2)))</f>
        <v/>
      </c>
      <c r="AE46" t="str">
        <f>IF($A46="","",IF(OR(parametros!$C$5="",parametros!$I$5=""),0,ROUND(SUMIFS(aditivos!$L$2:$L$200,aditivos!$A$2:$A$200,$A46,aditivos!$C$2:$C$200,"C3",aditivos!$B$2:$B$200,"&gt;="&amp;(INT(parametros!$I$5)+1)),2)))</f>
        <v/>
      </c>
      <c r="AF46" t="str">
        <f>IF($A46="","",IF(OR(parametros!$C$6="",parametros!$I$6=""),0,ROUND(SUMIFS(aditivos!$L$2:$L$200,aditivos!$A$2:$A$200,$A46,aditivos!$C$2:$C$200,"C4",aditivos!$B$2:$B$200,"&gt;="&amp;(INT(parametros!$I$6)+1)),2)))</f>
        <v/>
      </c>
      <c r="AG46" t="str">
        <f t="shared" si="30"/>
        <v/>
      </c>
      <c r="AH46" t="str">
        <f t="shared" si="31"/>
        <v/>
      </c>
      <c r="AI46" t="str">
        <f t="shared" si="32"/>
        <v/>
      </c>
      <c r="AJ46" t="str">
        <f t="shared" si="33"/>
        <v/>
      </c>
      <c r="AK46" t="str">
        <f t="shared" si="34"/>
        <v/>
      </c>
      <c r="AL46" t="str">
        <f t="shared" si="35"/>
        <v/>
      </c>
    </row>
    <row r="47" spans="1:38" x14ac:dyDescent="0.35">
      <c r="A47" s="146" t="str">
        <f>IF(itens_Remanesc!A47="","",itens_Remanesc!A47)</f>
        <v/>
      </c>
      <c r="B47" s="196" t="str">
        <f>IF(A47="","",itens_Remanesc!C47)</f>
        <v/>
      </c>
      <c r="C47" s="161" t="str">
        <f>IF(A47="","",IF(itens_Remanesc!B47="",0,itens_Remanesc!B47))</f>
        <v/>
      </c>
      <c r="D47" s="163" t="str">
        <f>IF(A47="","",ROUND(SUMIFS(aditivos!$L$2:$L$200,aditivos!$A$2:$A$200,A47,aditivos!$C$2:$C$200,"C0"),2))</f>
        <v/>
      </c>
      <c r="E47" s="159" t="str">
        <f t="shared" si="18"/>
        <v/>
      </c>
      <c r="F47" s="159" t="str">
        <f>IF(A47="","",IF(itens_Remanesc!B47&lt;&gt;"",itens_Remanesc!B47,IF($Z47,0,"")))</f>
        <v/>
      </c>
      <c r="G47" s="167" t="str">
        <f t="shared" si="19"/>
        <v/>
      </c>
      <c r="H47" s="169" t="str">
        <f>IF(A47="","",ROUND(SUMIFS(aditivos!$L$2:$L$200,aditivos!$A$2:$A$200,A47,aditivos!$C$2:$C$200,"C1"),2))</f>
        <v/>
      </c>
      <c r="I47" s="165" t="str">
        <f t="shared" si="20"/>
        <v/>
      </c>
      <c r="J47" s="165" t="str">
        <f>IF(A47="","",IF(itens_Remanesc!E47="","",itens_Remanesc!E47))</f>
        <v/>
      </c>
      <c r="K47" s="171" t="str">
        <f t="shared" si="21"/>
        <v/>
      </c>
      <c r="L47" s="163" t="str">
        <f>IF(A47="","",ROUND(SUMIFS(aditivos!$L$2:$L$200,aditivos!$A$2:$A$200,A47,aditivos!$C$2:$C$200,"C2"),2))</f>
        <v/>
      </c>
      <c r="M47" s="159" t="str">
        <f t="shared" si="22"/>
        <v/>
      </c>
      <c r="N47" s="159" t="str">
        <f>IF(A47="","",IF(itens_Remanesc!G47="","",itens_Remanesc!G47))</f>
        <v/>
      </c>
      <c r="O47" s="167" t="str">
        <f t="shared" si="23"/>
        <v/>
      </c>
      <c r="P47" s="169" t="str">
        <f>IF(A47="","",ROUND(SUMIFS(aditivos!$L$2:$L$200,aditivos!$A$2:$A$200,A47,aditivos!$C$2:$C$200,"C3"),2))</f>
        <v/>
      </c>
      <c r="Q47" s="165" t="str">
        <f t="shared" si="24"/>
        <v/>
      </c>
      <c r="R47" s="165" t="str">
        <f>IF(A47="","",IF(itens_Remanesc!I47="","",itens_Remanesc!I47))</f>
        <v/>
      </c>
      <c r="S47" s="171" t="str">
        <f t="shared" si="25"/>
        <v/>
      </c>
      <c r="T47" s="163" t="str">
        <f>IF(A47="","",ROUND(SUMIFS(aditivos!$L$2:$L$200,aditivos!$A$2:$A$200,A47,aditivos!$C$2:$C$200,"C4"),2))</f>
        <v/>
      </c>
      <c r="U47" s="159" t="str">
        <f t="shared" si="26"/>
        <v/>
      </c>
      <c r="V47" s="159" t="str">
        <f>IF(A47="","",IF(itens_Remanesc!K47="","",itens_Remanesc!K47))</f>
        <v/>
      </c>
      <c r="W47" s="159" t="str">
        <f t="shared" si="27"/>
        <v/>
      </c>
      <c r="X47" s="146" t="str">
        <f>IF(A47="","",IF(COUNTIF($A$2:$A$200,A47)&gt;1,"ALERTA: ITEM_DUPLICADO",IF(AND($Z47,ISNUMBER(itens_Remanesc!B47),itens_Remanesc!B47&lt;&gt;0),"NOVO ITEM COM BASE DIFERENTE DE 0 - AJUSTAR itens_Remanesc",IF(AND($Z47,NOT(ISNUMBER(itens_Remanesc!C47))),"NOVO ITEM SEM VU_ORIGINAL - INFORMAR EM itens_Remanesc",IF(MIN(E47,I47,M47,Q47,U47,G47,K47,O47,S47,W47)&lt;0,"ALERTA: POSICAO_NEGATIVA",IF(OR(AND(G47&lt;&gt;"",G47&gt;E47),AND(K47&lt;&gt;"",K47&gt;I47),AND(O47&lt;&gt;"",O47&gt;M47),AND(S47&lt;&gt;"",S47&gt;Q47),AND(W47&lt;&gt;"",W47&gt;U47)),"ALERTA: REMANESCENTE_SUPERA_POSICAO","OK"))))))</f>
        <v/>
      </c>
      <c r="Y47" t="str">
        <f t="shared" si="28"/>
        <v/>
      </c>
      <c r="Z47" t="b">
        <f t="shared" si="29"/>
        <v>0</v>
      </c>
      <c r="AA47" s="208" t="str">
        <f>IF($A47="","",IF(COUNTIFS(aditivos!$A$2:$A$200,$A47,aditivos!$L$2:$L$200,"&lt;&gt;",aditivos!$L$2:$L$200,"&lt;&gt;0",aditivos!$B$2:$B$200,"&gt;0")=0,"",IFERROR(_xlfn.MINIFS(aditivos!$B$2:$B$200,aditivos!$A$2:$A$200,$A47,aditivos!$L$2:$L$200,"&lt;&gt;",aditivos!$L$2:$L$200,"&lt;&gt;0",aditivos!$B$2:$B$200,"&gt;0"),"")))</f>
        <v/>
      </c>
      <c r="AB47" t="str">
        <f>IF($A47="","",IF(OR(parametros!$C$2="",parametros!$I$2=""),0,ROUND(SUMIFS(aditivos!$L$2:$L$200,aditivos!$A$2:$A$200,$A47,aditivos!$C$2:$C$200,"C0",aditivos!$B$2:$B$200,"&gt;="&amp;(INT(parametros!$I$2)+1)),2)))</f>
        <v/>
      </c>
      <c r="AC47" t="str">
        <f>IF($A47="","",IF(OR(parametros!$C$3="",parametros!$I$3=""),0,ROUND(SUMIFS(aditivos!$L$2:$L$200,aditivos!$A$2:$A$200,$A47,aditivos!$C$2:$C$200,"C1",aditivos!$B$2:$B$200,"&gt;="&amp;(INT(parametros!$I$3)+1)),2)))</f>
        <v/>
      </c>
      <c r="AD47" t="str">
        <f>IF($A47="","",IF(OR(parametros!$C$4="",parametros!$I$4=""),0,ROUND(SUMIFS(aditivos!$L$2:$L$200,aditivos!$A$2:$A$200,$A47,aditivos!$C$2:$C$200,"C2",aditivos!$B$2:$B$200,"&gt;="&amp;(INT(parametros!$I$4)+1)),2)))</f>
        <v/>
      </c>
      <c r="AE47" t="str">
        <f>IF($A47="","",IF(OR(parametros!$C$5="",parametros!$I$5=""),0,ROUND(SUMIFS(aditivos!$L$2:$L$200,aditivos!$A$2:$A$200,$A47,aditivos!$C$2:$C$200,"C3",aditivos!$B$2:$B$200,"&gt;="&amp;(INT(parametros!$I$5)+1)),2)))</f>
        <v/>
      </c>
      <c r="AF47" t="str">
        <f>IF($A47="","",IF(OR(parametros!$C$6="",parametros!$I$6=""),0,ROUND(SUMIFS(aditivos!$L$2:$L$200,aditivos!$A$2:$A$200,$A47,aditivos!$C$2:$C$200,"C4",aditivos!$B$2:$B$200,"&gt;="&amp;(INT(parametros!$I$6)+1)),2)))</f>
        <v/>
      </c>
      <c r="AG47" t="str">
        <f t="shared" si="30"/>
        <v/>
      </c>
      <c r="AH47" t="str">
        <f t="shared" si="31"/>
        <v/>
      </c>
      <c r="AI47" t="str">
        <f t="shared" si="32"/>
        <v/>
      </c>
      <c r="AJ47" t="str">
        <f t="shared" si="33"/>
        <v/>
      </c>
      <c r="AK47" t="str">
        <f t="shared" si="34"/>
        <v/>
      </c>
      <c r="AL47" t="str">
        <f t="shared" si="35"/>
        <v/>
      </c>
    </row>
    <row r="48" spans="1:38" x14ac:dyDescent="0.35">
      <c r="A48" s="146" t="str">
        <f>IF(itens_Remanesc!A48="","",itens_Remanesc!A48)</f>
        <v/>
      </c>
      <c r="B48" s="196" t="str">
        <f>IF(A48="","",itens_Remanesc!C48)</f>
        <v/>
      </c>
      <c r="C48" s="161" t="str">
        <f>IF(A48="","",IF(itens_Remanesc!B48="",0,itens_Remanesc!B48))</f>
        <v/>
      </c>
      <c r="D48" s="163" t="str">
        <f>IF(A48="","",ROUND(SUMIFS(aditivos!$L$2:$L$200,aditivos!$A$2:$A$200,A48,aditivos!$C$2:$C$200,"C0"),2))</f>
        <v/>
      </c>
      <c r="E48" s="159" t="str">
        <f t="shared" si="18"/>
        <v/>
      </c>
      <c r="F48" s="159" t="str">
        <f>IF(A48="","",IF(itens_Remanesc!B48&lt;&gt;"",itens_Remanesc!B48,IF($Z48,0,"")))</f>
        <v/>
      </c>
      <c r="G48" s="167" t="str">
        <f t="shared" si="19"/>
        <v/>
      </c>
      <c r="H48" s="169" t="str">
        <f>IF(A48="","",ROUND(SUMIFS(aditivos!$L$2:$L$200,aditivos!$A$2:$A$200,A48,aditivos!$C$2:$C$200,"C1"),2))</f>
        <v/>
      </c>
      <c r="I48" s="165" t="str">
        <f t="shared" si="20"/>
        <v/>
      </c>
      <c r="J48" s="165" t="str">
        <f>IF(A48="","",IF(itens_Remanesc!E48="","",itens_Remanesc!E48))</f>
        <v/>
      </c>
      <c r="K48" s="171" t="str">
        <f t="shared" si="21"/>
        <v/>
      </c>
      <c r="L48" s="163" t="str">
        <f>IF(A48="","",ROUND(SUMIFS(aditivos!$L$2:$L$200,aditivos!$A$2:$A$200,A48,aditivos!$C$2:$C$200,"C2"),2))</f>
        <v/>
      </c>
      <c r="M48" s="159" t="str">
        <f t="shared" si="22"/>
        <v/>
      </c>
      <c r="N48" s="159" t="str">
        <f>IF(A48="","",IF(itens_Remanesc!G48="","",itens_Remanesc!G48))</f>
        <v/>
      </c>
      <c r="O48" s="167" t="str">
        <f t="shared" si="23"/>
        <v/>
      </c>
      <c r="P48" s="169" t="str">
        <f>IF(A48="","",ROUND(SUMIFS(aditivos!$L$2:$L$200,aditivos!$A$2:$A$200,A48,aditivos!$C$2:$C$200,"C3"),2))</f>
        <v/>
      </c>
      <c r="Q48" s="165" t="str">
        <f t="shared" si="24"/>
        <v/>
      </c>
      <c r="R48" s="165" t="str">
        <f>IF(A48="","",IF(itens_Remanesc!I48="","",itens_Remanesc!I48))</f>
        <v/>
      </c>
      <c r="S48" s="171" t="str">
        <f t="shared" si="25"/>
        <v/>
      </c>
      <c r="T48" s="163" t="str">
        <f>IF(A48="","",ROUND(SUMIFS(aditivos!$L$2:$L$200,aditivos!$A$2:$A$200,A48,aditivos!$C$2:$C$200,"C4"),2))</f>
        <v/>
      </c>
      <c r="U48" s="159" t="str">
        <f t="shared" si="26"/>
        <v/>
      </c>
      <c r="V48" s="159" t="str">
        <f>IF(A48="","",IF(itens_Remanesc!K48="","",itens_Remanesc!K48))</f>
        <v/>
      </c>
      <c r="W48" s="159" t="str">
        <f t="shared" si="27"/>
        <v/>
      </c>
      <c r="X48" s="146" t="str">
        <f>IF(A48="","",IF(COUNTIF($A$2:$A$200,A48)&gt;1,"ALERTA: ITEM_DUPLICADO",IF(AND($Z48,ISNUMBER(itens_Remanesc!B48),itens_Remanesc!B48&lt;&gt;0),"NOVO ITEM COM BASE DIFERENTE DE 0 - AJUSTAR itens_Remanesc",IF(AND($Z48,NOT(ISNUMBER(itens_Remanesc!C48))),"NOVO ITEM SEM VU_ORIGINAL - INFORMAR EM itens_Remanesc",IF(MIN(E48,I48,M48,Q48,U48,G48,K48,O48,S48,W48)&lt;0,"ALERTA: POSICAO_NEGATIVA",IF(OR(AND(G48&lt;&gt;"",G48&gt;E48),AND(K48&lt;&gt;"",K48&gt;I48),AND(O48&lt;&gt;"",O48&gt;M48),AND(S48&lt;&gt;"",S48&gt;Q48),AND(W48&lt;&gt;"",W48&gt;U48)),"ALERTA: REMANESCENTE_SUPERA_POSICAO","OK"))))))</f>
        <v/>
      </c>
      <c r="Y48" t="str">
        <f t="shared" si="28"/>
        <v/>
      </c>
      <c r="Z48" t="b">
        <f t="shared" si="29"/>
        <v>0</v>
      </c>
      <c r="AA48" s="208" t="str">
        <f>IF($A48="","",IF(COUNTIFS(aditivos!$A$2:$A$200,$A48,aditivos!$L$2:$L$200,"&lt;&gt;",aditivos!$L$2:$L$200,"&lt;&gt;0",aditivos!$B$2:$B$200,"&gt;0")=0,"",IFERROR(_xlfn.MINIFS(aditivos!$B$2:$B$200,aditivos!$A$2:$A$200,$A48,aditivos!$L$2:$L$200,"&lt;&gt;",aditivos!$L$2:$L$200,"&lt;&gt;0",aditivos!$B$2:$B$200,"&gt;0"),"")))</f>
        <v/>
      </c>
      <c r="AB48" t="str">
        <f>IF($A48="","",IF(OR(parametros!$C$2="",parametros!$I$2=""),0,ROUND(SUMIFS(aditivos!$L$2:$L$200,aditivos!$A$2:$A$200,$A48,aditivos!$C$2:$C$200,"C0",aditivos!$B$2:$B$200,"&gt;="&amp;(INT(parametros!$I$2)+1)),2)))</f>
        <v/>
      </c>
      <c r="AC48" t="str">
        <f>IF($A48="","",IF(OR(parametros!$C$3="",parametros!$I$3=""),0,ROUND(SUMIFS(aditivos!$L$2:$L$200,aditivos!$A$2:$A$200,$A48,aditivos!$C$2:$C$200,"C1",aditivos!$B$2:$B$200,"&gt;="&amp;(INT(parametros!$I$3)+1)),2)))</f>
        <v/>
      </c>
      <c r="AD48" t="str">
        <f>IF($A48="","",IF(OR(parametros!$C$4="",parametros!$I$4=""),0,ROUND(SUMIFS(aditivos!$L$2:$L$200,aditivos!$A$2:$A$200,$A48,aditivos!$C$2:$C$200,"C2",aditivos!$B$2:$B$200,"&gt;="&amp;(INT(parametros!$I$4)+1)),2)))</f>
        <v/>
      </c>
      <c r="AE48" t="str">
        <f>IF($A48="","",IF(OR(parametros!$C$5="",parametros!$I$5=""),0,ROUND(SUMIFS(aditivos!$L$2:$L$200,aditivos!$A$2:$A$200,$A48,aditivos!$C$2:$C$200,"C3",aditivos!$B$2:$B$200,"&gt;="&amp;(INT(parametros!$I$5)+1)),2)))</f>
        <v/>
      </c>
      <c r="AF48" t="str">
        <f>IF($A48="","",IF(OR(parametros!$C$6="",parametros!$I$6=""),0,ROUND(SUMIFS(aditivos!$L$2:$L$200,aditivos!$A$2:$A$200,$A48,aditivos!$C$2:$C$200,"C4",aditivos!$B$2:$B$200,"&gt;="&amp;(INT(parametros!$I$6)+1)),2)))</f>
        <v/>
      </c>
      <c r="AG48" t="str">
        <f t="shared" si="30"/>
        <v/>
      </c>
      <c r="AH48" t="str">
        <f t="shared" si="31"/>
        <v/>
      </c>
      <c r="AI48" t="str">
        <f t="shared" si="32"/>
        <v/>
      </c>
      <c r="AJ48" t="str">
        <f t="shared" si="33"/>
        <v/>
      </c>
      <c r="AK48" t="str">
        <f t="shared" si="34"/>
        <v/>
      </c>
      <c r="AL48" t="str">
        <f t="shared" si="35"/>
        <v/>
      </c>
    </row>
    <row r="49" spans="1:38" x14ac:dyDescent="0.35">
      <c r="A49" s="146" t="str">
        <f>IF(itens_Remanesc!A49="","",itens_Remanesc!A49)</f>
        <v/>
      </c>
      <c r="B49" s="196" t="str">
        <f>IF(A49="","",itens_Remanesc!C49)</f>
        <v/>
      </c>
      <c r="C49" s="161" t="str">
        <f>IF(A49="","",IF(itens_Remanesc!B49="",0,itens_Remanesc!B49))</f>
        <v/>
      </c>
      <c r="D49" s="163" t="str">
        <f>IF(A49="","",ROUND(SUMIFS(aditivos!$L$2:$L$200,aditivos!$A$2:$A$200,A49,aditivos!$C$2:$C$200,"C0"),2))</f>
        <v/>
      </c>
      <c r="E49" s="159" t="str">
        <f t="shared" si="18"/>
        <v/>
      </c>
      <c r="F49" s="159" t="str">
        <f>IF(A49="","",IF(itens_Remanesc!B49&lt;&gt;"",itens_Remanesc!B49,IF($Z49,0,"")))</f>
        <v/>
      </c>
      <c r="G49" s="167" t="str">
        <f t="shared" si="19"/>
        <v/>
      </c>
      <c r="H49" s="169" t="str">
        <f>IF(A49="","",ROUND(SUMIFS(aditivos!$L$2:$L$200,aditivos!$A$2:$A$200,A49,aditivos!$C$2:$C$200,"C1"),2))</f>
        <v/>
      </c>
      <c r="I49" s="165" t="str">
        <f t="shared" si="20"/>
        <v/>
      </c>
      <c r="J49" s="165" t="str">
        <f>IF(A49="","",IF(itens_Remanesc!E49="","",itens_Remanesc!E49))</f>
        <v/>
      </c>
      <c r="K49" s="171" t="str">
        <f t="shared" si="21"/>
        <v/>
      </c>
      <c r="L49" s="163" t="str">
        <f>IF(A49="","",ROUND(SUMIFS(aditivos!$L$2:$L$200,aditivos!$A$2:$A$200,A49,aditivos!$C$2:$C$200,"C2"),2))</f>
        <v/>
      </c>
      <c r="M49" s="159" t="str">
        <f t="shared" si="22"/>
        <v/>
      </c>
      <c r="N49" s="159" t="str">
        <f>IF(A49="","",IF(itens_Remanesc!G49="","",itens_Remanesc!G49))</f>
        <v/>
      </c>
      <c r="O49" s="167" t="str">
        <f t="shared" si="23"/>
        <v/>
      </c>
      <c r="P49" s="169" t="str">
        <f>IF(A49="","",ROUND(SUMIFS(aditivos!$L$2:$L$200,aditivos!$A$2:$A$200,A49,aditivos!$C$2:$C$200,"C3"),2))</f>
        <v/>
      </c>
      <c r="Q49" s="165" t="str">
        <f t="shared" si="24"/>
        <v/>
      </c>
      <c r="R49" s="165" t="str">
        <f>IF(A49="","",IF(itens_Remanesc!I49="","",itens_Remanesc!I49))</f>
        <v/>
      </c>
      <c r="S49" s="171" t="str">
        <f t="shared" si="25"/>
        <v/>
      </c>
      <c r="T49" s="163" t="str">
        <f>IF(A49="","",ROUND(SUMIFS(aditivos!$L$2:$L$200,aditivos!$A$2:$A$200,A49,aditivos!$C$2:$C$200,"C4"),2))</f>
        <v/>
      </c>
      <c r="U49" s="159" t="str">
        <f t="shared" si="26"/>
        <v/>
      </c>
      <c r="V49" s="159" t="str">
        <f>IF(A49="","",IF(itens_Remanesc!K49="","",itens_Remanesc!K49))</f>
        <v/>
      </c>
      <c r="W49" s="159" t="str">
        <f t="shared" si="27"/>
        <v/>
      </c>
      <c r="X49" s="146" t="str">
        <f>IF(A49="","",IF(COUNTIF($A$2:$A$200,A49)&gt;1,"ALERTA: ITEM_DUPLICADO",IF(AND($Z49,ISNUMBER(itens_Remanesc!B49),itens_Remanesc!B49&lt;&gt;0),"NOVO ITEM COM BASE DIFERENTE DE 0 - AJUSTAR itens_Remanesc",IF(AND($Z49,NOT(ISNUMBER(itens_Remanesc!C49))),"NOVO ITEM SEM VU_ORIGINAL - INFORMAR EM itens_Remanesc",IF(MIN(E49,I49,M49,Q49,U49,G49,K49,O49,S49,W49)&lt;0,"ALERTA: POSICAO_NEGATIVA",IF(OR(AND(G49&lt;&gt;"",G49&gt;E49),AND(K49&lt;&gt;"",K49&gt;I49),AND(O49&lt;&gt;"",O49&gt;M49),AND(S49&lt;&gt;"",S49&gt;Q49),AND(W49&lt;&gt;"",W49&gt;U49)),"ALERTA: REMANESCENTE_SUPERA_POSICAO","OK"))))))</f>
        <v/>
      </c>
      <c r="Y49" t="str">
        <f t="shared" si="28"/>
        <v/>
      </c>
      <c r="Z49" t="b">
        <f t="shared" si="29"/>
        <v>0</v>
      </c>
      <c r="AA49" s="208" t="str">
        <f>IF($A49="","",IF(COUNTIFS(aditivos!$A$2:$A$200,$A49,aditivos!$L$2:$L$200,"&lt;&gt;",aditivos!$L$2:$L$200,"&lt;&gt;0",aditivos!$B$2:$B$200,"&gt;0")=0,"",IFERROR(_xlfn.MINIFS(aditivos!$B$2:$B$200,aditivos!$A$2:$A$200,$A49,aditivos!$L$2:$L$200,"&lt;&gt;",aditivos!$L$2:$L$200,"&lt;&gt;0",aditivos!$B$2:$B$200,"&gt;0"),"")))</f>
        <v/>
      </c>
      <c r="AB49" t="str">
        <f>IF($A49="","",IF(OR(parametros!$C$2="",parametros!$I$2=""),0,ROUND(SUMIFS(aditivos!$L$2:$L$200,aditivos!$A$2:$A$200,$A49,aditivos!$C$2:$C$200,"C0",aditivos!$B$2:$B$200,"&gt;="&amp;(INT(parametros!$I$2)+1)),2)))</f>
        <v/>
      </c>
      <c r="AC49" t="str">
        <f>IF($A49="","",IF(OR(parametros!$C$3="",parametros!$I$3=""),0,ROUND(SUMIFS(aditivos!$L$2:$L$200,aditivos!$A$2:$A$200,$A49,aditivos!$C$2:$C$200,"C1",aditivos!$B$2:$B$200,"&gt;="&amp;(INT(parametros!$I$3)+1)),2)))</f>
        <v/>
      </c>
      <c r="AD49" t="str">
        <f>IF($A49="","",IF(OR(parametros!$C$4="",parametros!$I$4=""),0,ROUND(SUMIFS(aditivos!$L$2:$L$200,aditivos!$A$2:$A$200,$A49,aditivos!$C$2:$C$200,"C2",aditivos!$B$2:$B$200,"&gt;="&amp;(INT(parametros!$I$4)+1)),2)))</f>
        <v/>
      </c>
      <c r="AE49" t="str">
        <f>IF($A49="","",IF(OR(parametros!$C$5="",parametros!$I$5=""),0,ROUND(SUMIFS(aditivos!$L$2:$L$200,aditivos!$A$2:$A$200,$A49,aditivos!$C$2:$C$200,"C3",aditivos!$B$2:$B$200,"&gt;="&amp;(INT(parametros!$I$5)+1)),2)))</f>
        <v/>
      </c>
      <c r="AF49" t="str">
        <f>IF($A49="","",IF(OR(parametros!$C$6="",parametros!$I$6=""),0,ROUND(SUMIFS(aditivos!$L$2:$L$200,aditivos!$A$2:$A$200,$A49,aditivos!$C$2:$C$200,"C4",aditivos!$B$2:$B$200,"&gt;="&amp;(INT(parametros!$I$6)+1)),2)))</f>
        <v/>
      </c>
      <c r="AG49" t="str">
        <f t="shared" si="30"/>
        <v/>
      </c>
      <c r="AH49" t="str">
        <f t="shared" si="31"/>
        <v/>
      </c>
      <c r="AI49" t="str">
        <f t="shared" si="32"/>
        <v/>
      </c>
      <c r="AJ49" t="str">
        <f t="shared" si="33"/>
        <v/>
      </c>
      <c r="AK49" t="str">
        <f t="shared" si="34"/>
        <v/>
      </c>
      <c r="AL49" t="str">
        <f t="shared" si="35"/>
        <v/>
      </c>
    </row>
    <row r="50" spans="1:38" x14ac:dyDescent="0.35">
      <c r="A50" s="146" t="str">
        <f>IF(itens_Remanesc!A50="","",itens_Remanesc!A50)</f>
        <v/>
      </c>
      <c r="B50" s="196" t="str">
        <f>IF(A50="","",itens_Remanesc!C50)</f>
        <v/>
      </c>
      <c r="C50" s="161" t="str">
        <f>IF(A50="","",IF(itens_Remanesc!B50="",0,itens_Remanesc!B50))</f>
        <v/>
      </c>
      <c r="D50" s="163" t="str">
        <f>IF(A50="","",ROUND(SUMIFS(aditivos!$L$2:$L$200,aditivos!$A$2:$A$200,A50,aditivos!$C$2:$C$200,"C0"),2))</f>
        <v/>
      </c>
      <c r="E50" s="159" t="str">
        <f t="shared" si="18"/>
        <v/>
      </c>
      <c r="F50" s="159" t="str">
        <f>IF(A50="","",IF(itens_Remanesc!B50&lt;&gt;"",itens_Remanesc!B50,IF($Z50,0,"")))</f>
        <v/>
      </c>
      <c r="G50" s="167" t="str">
        <f t="shared" si="19"/>
        <v/>
      </c>
      <c r="H50" s="169" t="str">
        <f>IF(A50="","",ROUND(SUMIFS(aditivos!$L$2:$L$200,aditivos!$A$2:$A$200,A50,aditivos!$C$2:$C$200,"C1"),2))</f>
        <v/>
      </c>
      <c r="I50" s="165" t="str">
        <f t="shared" si="20"/>
        <v/>
      </c>
      <c r="J50" s="165" t="str">
        <f>IF(A50="","",IF(itens_Remanesc!E50="","",itens_Remanesc!E50))</f>
        <v/>
      </c>
      <c r="K50" s="171" t="str">
        <f t="shared" si="21"/>
        <v/>
      </c>
      <c r="L50" s="163" t="str">
        <f>IF(A50="","",ROUND(SUMIFS(aditivos!$L$2:$L$200,aditivos!$A$2:$A$200,A50,aditivos!$C$2:$C$200,"C2"),2))</f>
        <v/>
      </c>
      <c r="M50" s="159" t="str">
        <f t="shared" si="22"/>
        <v/>
      </c>
      <c r="N50" s="159" t="str">
        <f>IF(A50="","",IF(itens_Remanesc!G50="","",itens_Remanesc!G50))</f>
        <v/>
      </c>
      <c r="O50" s="167" t="str">
        <f t="shared" si="23"/>
        <v/>
      </c>
      <c r="P50" s="169" t="str">
        <f>IF(A50="","",ROUND(SUMIFS(aditivos!$L$2:$L$200,aditivos!$A$2:$A$200,A50,aditivos!$C$2:$C$200,"C3"),2))</f>
        <v/>
      </c>
      <c r="Q50" s="165" t="str">
        <f t="shared" si="24"/>
        <v/>
      </c>
      <c r="R50" s="165" t="str">
        <f>IF(A50="","",IF(itens_Remanesc!I50="","",itens_Remanesc!I50))</f>
        <v/>
      </c>
      <c r="S50" s="171" t="str">
        <f t="shared" si="25"/>
        <v/>
      </c>
      <c r="T50" s="163" t="str">
        <f>IF(A50="","",ROUND(SUMIFS(aditivos!$L$2:$L$200,aditivos!$A$2:$A$200,A50,aditivos!$C$2:$C$200,"C4"),2))</f>
        <v/>
      </c>
      <c r="U50" s="159" t="str">
        <f t="shared" si="26"/>
        <v/>
      </c>
      <c r="V50" s="159" t="str">
        <f>IF(A50="","",IF(itens_Remanesc!K50="","",itens_Remanesc!K50))</f>
        <v/>
      </c>
      <c r="W50" s="159" t="str">
        <f t="shared" si="27"/>
        <v/>
      </c>
      <c r="X50" s="146" t="str">
        <f>IF(A50="","",IF(COUNTIF($A$2:$A$200,A50)&gt;1,"ALERTA: ITEM_DUPLICADO",IF(AND($Z50,ISNUMBER(itens_Remanesc!B50),itens_Remanesc!B50&lt;&gt;0),"NOVO ITEM COM BASE DIFERENTE DE 0 - AJUSTAR itens_Remanesc",IF(AND($Z50,NOT(ISNUMBER(itens_Remanesc!C50))),"NOVO ITEM SEM VU_ORIGINAL - INFORMAR EM itens_Remanesc",IF(MIN(E50,I50,M50,Q50,U50,G50,K50,O50,S50,W50)&lt;0,"ALERTA: POSICAO_NEGATIVA",IF(OR(AND(G50&lt;&gt;"",G50&gt;E50),AND(K50&lt;&gt;"",K50&gt;I50),AND(O50&lt;&gt;"",O50&gt;M50),AND(S50&lt;&gt;"",S50&gt;Q50),AND(W50&lt;&gt;"",W50&gt;U50)),"ALERTA: REMANESCENTE_SUPERA_POSICAO","OK"))))))</f>
        <v/>
      </c>
      <c r="Y50" t="str">
        <f t="shared" si="28"/>
        <v/>
      </c>
      <c r="Z50" t="b">
        <f t="shared" si="29"/>
        <v>0</v>
      </c>
      <c r="AA50" s="208" t="str">
        <f>IF($A50="","",IF(COUNTIFS(aditivos!$A$2:$A$200,$A50,aditivos!$L$2:$L$200,"&lt;&gt;",aditivos!$L$2:$L$200,"&lt;&gt;0",aditivos!$B$2:$B$200,"&gt;0")=0,"",IFERROR(_xlfn.MINIFS(aditivos!$B$2:$B$200,aditivos!$A$2:$A$200,$A50,aditivos!$L$2:$L$200,"&lt;&gt;",aditivos!$L$2:$L$200,"&lt;&gt;0",aditivos!$B$2:$B$200,"&gt;0"),"")))</f>
        <v/>
      </c>
      <c r="AB50" t="str">
        <f>IF($A50="","",IF(OR(parametros!$C$2="",parametros!$I$2=""),0,ROUND(SUMIFS(aditivos!$L$2:$L$200,aditivos!$A$2:$A$200,$A50,aditivos!$C$2:$C$200,"C0",aditivos!$B$2:$B$200,"&gt;="&amp;(INT(parametros!$I$2)+1)),2)))</f>
        <v/>
      </c>
      <c r="AC50" t="str">
        <f>IF($A50="","",IF(OR(parametros!$C$3="",parametros!$I$3=""),0,ROUND(SUMIFS(aditivos!$L$2:$L$200,aditivos!$A$2:$A$200,$A50,aditivos!$C$2:$C$200,"C1",aditivos!$B$2:$B$200,"&gt;="&amp;(INT(parametros!$I$3)+1)),2)))</f>
        <v/>
      </c>
      <c r="AD50" t="str">
        <f>IF($A50="","",IF(OR(parametros!$C$4="",parametros!$I$4=""),0,ROUND(SUMIFS(aditivos!$L$2:$L$200,aditivos!$A$2:$A$200,$A50,aditivos!$C$2:$C$200,"C2",aditivos!$B$2:$B$200,"&gt;="&amp;(INT(parametros!$I$4)+1)),2)))</f>
        <v/>
      </c>
      <c r="AE50" t="str">
        <f>IF($A50="","",IF(OR(parametros!$C$5="",parametros!$I$5=""),0,ROUND(SUMIFS(aditivos!$L$2:$L$200,aditivos!$A$2:$A$200,$A50,aditivos!$C$2:$C$200,"C3",aditivos!$B$2:$B$200,"&gt;="&amp;(INT(parametros!$I$5)+1)),2)))</f>
        <v/>
      </c>
      <c r="AF50" t="str">
        <f>IF($A50="","",IF(OR(parametros!$C$6="",parametros!$I$6=""),0,ROUND(SUMIFS(aditivos!$L$2:$L$200,aditivos!$A$2:$A$200,$A50,aditivos!$C$2:$C$200,"C4",aditivos!$B$2:$B$200,"&gt;="&amp;(INT(parametros!$I$6)+1)),2)))</f>
        <v/>
      </c>
      <c r="AG50" t="str">
        <f t="shared" si="30"/>
        <v/>
      </c>
      <c r="AH50" t="str">
        <f t="shared" si="31"/>
        <v/>
      </c>
      <c r="AI50" t="str">
        <f t="shared" si="32"/>
        <v/>
      </c>
      <c r="AJ50" t="str">
        <f t="shared" si="33"/>
        <v/>
      </c>
      <c r="AK50" t="str">
        <f t="shared" si="34"/>
        <v/>
      </c>
      <c r="AL50" t="str">
        <f t="shared" si="35"/>
        <v/>
      </c>
    </row>
    <row r="51" spans="1:38" x14ac:dyDescent="0.35">
      <c r="A51" s="146" t="str">
        <f>IF(itens_Remanesc!A51="","",itens_Remanesc!A51)</f>
        <v/>
      </c>
      <c r="B51" s="196" t="str">
        <f>IF(A51="","",itens_Remanesc!C51)</f>
        <v/>
      </c>
      <c r="C51" s="161" t="str">
        <f>IF(A51="","",IF(itens_Remanesc!B51="",0,itens_Remanesc!B51))</f>
        <v/>
      </c>
      <c r="D51" s="163" t="str">
        <f>IF(A51="","",ROUND(SUMIFS(aditivos!$L$2:$L$200,aditivos!$A$2:$A$200,A51,aditivos!$C$2:$C$200,"C0"),2))</f>
        <v/>
      </c>
      <c r="E51" s="159" t="str">
        <f t="shared" si="18"/>
        <v/>
      </c>
      <c r="F51" s="159" t="str">
        <f>IF(A51="","",IF(itens_Remanesc!B51&lt;&gt;"",itens_Remanesc!B51,IF($Z51,0,"")))</f>
        <v/>
      </c>
      <c r="G51" s="167" t="str">
        <f t="shared" si="19"/>
        <v/>
      </c>
      <c r="H51" s="169" t="str">
        <f>IF(A51="","",ROUND(SUMIFS(aditivos!$L$2:$L$200,aditivos!$A$2:$A$200,A51,aditivos!$C$2:$C$200,"C1"),2))</f>
        <v/>
      </c>
      <c r="I51" s="165" t="str">
        <f t="shared" si="20"/>
        <v/>
      </c>
      <c r="J51" s="165" t="str">
        <f>IF(A51="","",IF(itens_Remanesc!E51="","",itens_Remanesc!E51))</f>
        <v/>
      </c>
      <c r="K51" s="171" t="str">
        <f t="shared" si="21"/>
        <v/>
      </c>
      <c r="L51" s="163" t="str">
        <f>IF(A51="","",ROUND(SUMIFS(aditivos!$L$2:$L$200,aditivos!$A$2:$A$200,A51,aditivos!$C$2:$C$200,"C2"),2))</f>
        <v/>
      </c>
      <c r="M51" s="159" t="str">
        <f t="shared" si="22"/>
        <v/>
      </c>
      <c r="N51" s="159" t="str">
        <f>IF(A51="","",IF(itens_Remanesc!G51="","",itens_Remanesc!G51))</f>
        <v/>
      </c>
      <c r="O51" s="167" t="str">
        <f t="shared" si="23"/>
        <v/>
      </c>
      <c r="P51" s="169" t="str">
        <f>IF(A51="","",ROUND(SUMIFS(aditivos!$L$2:$L$200,aditivos!$A$2:$A$200,A51,aditivos!$C$2:$C$200,"C3"),2))</f>
        <v/>
      </c>
      <c r="Q51" s="165" t="str">
        <f t="shared" si="24"/>
        <v/>
      </c>
      <c r="R51" s="165" t="str">
        <f>IF(A51="","",IF(itens_Remanesc!I51="","",itens_Remanesc!I51))</f>
        <v/>
      </c>
      <c r="S51" s="171" t="str">
        <f t="shared" si="25"/>
        <v/>
      </c>
      <c r="T51" s="163" t="str">
        <f>IF(A51="","",ROUND(SUMIFS(aditivos!$L$2:$L$200,aditivos!$A$2:$A$200,A51,aditivos!$C$2:$C$200,"C4"),2))</f>
        <v/>
      </c>
      <c r="U51" s="159" t="str">
        <f t="shared" si="26"/>
        <v/>
      </c>
      <c r="V51" s="159" t="str">
        <f>IF(A51="","",IF(itens_Remanesc!K51="","",itens_Remanesc!K51))</f>
        <v/>
      </c>
      <c r="W51" s="159" t="str">
        <f t="shared" si="27"/>
        <v/>
      </c>
      <c r="X51" s="146" t="str">
        <f>IF(A51="","",IF(COUNTIF($A$2:$A$200,A51)&gt;1,"ALERTA: ITEM_DUPLICADO",IF(AND($Z51,ISNUMBER(itens_Remanesc!B51),itens_Remanesc!B51&lt;&gt;0),"NOVO ITEM COM BASE DIFERENTE DE 0 - AJUSTAR itens_Remanesc",IF(AND($Z51,NOT(ISNUMBER(itens_Remanesc!C51))),"NOVO ITEM SEM VU_ORIGINAL - INFORMAR EM itens_Remanesc",IF(MIN(E51,I51,M51,Q51,U51,G51,K51,O51,S51,W51)&lt;0,"ALERTA: POSICAO_NEGATIVA",IF(OR(AND(G51&lt;&gt;"",G51&gt;E51),AND(K51&lt;&gt;"",K51&gt;I51),AND(O51&lt;&gt;"",O51&gt;M51),AND(S51&lt;&gt;"",S51&gt;Q51),AND(W51&lt;&gt;"",W51&gt;U51)),"ALERTA: REMANESCENTE_SUPERA_POSICAO","OK"))))))</f>
        <v/>
      </c>
      <c r="Y51" t="str">
        <f t="shared" si="28"/>
        <v/>
      </c>
      <c r="Z51" t="b">
        <f t="shared" si="29"/>
        <v>0</v>
      </c>
      <c r="AA51" s="208" t="str">
        <f>IF($A51="","",IF(COUNTIFS(aditivos!$A$2:$A$200,$A51,aditivos!$L$2:$L$200,"&lt;&gt;",aditivos!$L$2:$L$200,"&lt;&gt;0",aditivos!$B$2:$B$200,"&gt;0")=0,"",IFERROR(_xlfn.MINIFS(aditivos!$B$2:$B$200,aditivos!$A$2:$A$200,$A51,aditivos!$L$2:$L$200,"&lt;&gt;",aditivos!$L$2:$L$200,"&lt;&gt;0",aditivos!$B$2:$B$200,"&gt;0"),"")))</f>
        <v/>
      </c>
      <c r="AB51" t="str">
        <f>IF($A51="","",IF(OR(parametros!$C$2="",parametros!$I$2=""),0,ROUND(SUMIFS(aditivos!$L$2:$L$200,aditivos!$A$2:$A$200,$A51,aditivos!$C$2:$C$200,"C0",aditivos!$B$2:$B$200,"&gt;="&amp;(INT(parametros!$I$2)+1)),2)))</f>
        <v/>
      </c>
      <c r="AC51" t="str">
        <f>IF($A51="","",IF(OR(parametros!$C$3="",parametros!$I$3=""),0,ROUND(SUMIFS(aditivos!$L$2:$L$200,aditivos!$A$2:$A$200,$A51,aditivos!$C$2:$C$200,"C1",aditivos!$B$2:$B$200,"&gt;="&amp;(INT(parametros!$I$3)+1)),2)))</f>
        <v/>
      </c>
      <c r="AD51" t="str">
        <f>IF($A51="","",IF(OR(parametros!$C$4="",parametros!$I$4=""),0,ROUND(SUMIFS(aditivos!$L$2:$L$200,aditivos!$A$2:$A$200,$A51,aditivos!$C$2:$C$200,"C2",aditivos!$B$2:$B$200,"&gt;="&amp;(INT(parametros!$I$4)+1)),2)))</f>
        <v/>
      </c>
      <c r="AE51" t="str">
        <f>IF($A51="","",IF(OR(parametros!$C$5="",parametros!$I$5=""),0,ROUND(SUMIFS(aditivos!$L$2:$L$200,aditivos!$A$2:$A$200,$A51,aditivos!$C$2:$C$200,"C3",aditivos!$B$2:$B$200,"&gt;="&amp;(INT(parametros!$I$5)+1)),2)))</f>
        <v/>
      </c>
      <c r="AF51" t="str">
        <f>IF($A51="","",IF(OR(parametros!$C$6="",parametros!$I$6=""),0,ROUND(SUMIFS(aditivos!$L$2:$L$200,aditivos!$A$2:$A$200,$A51,aditivos!$C$2:$C$200,"C4",aditivos!$B$2:$B$200,"&gt;="&amp;(INT(parametros!$I$6)+1)),2)))</f>
        <v/>
      </c>
      <c r="AG51" t="str">
        <f t="shared" si="30"/>
        <v/>
      </c>
      <c r="AH51" t="str">
        <f t="shared" si="31"/>
        <v/>
      </c>
      <c r="AI51" t="str">
        <f t="shared" si="32"/>
        <v/>
      </c>
      <c r="AJ51" t="str">
        <f t="shared" si="33"/>
        <v/>
      </c>
      <c r="AK51" t="str">
        <f t="shared" si="34"/>
        <v/>
      </c>
      <c r="AL51" t="str">
        <f t="shared" si="35"/>
        <v/>
      </c>
    </row>
    <row r="52" spans="1:38" x14ac:dyDescent="0.35">
      <c r="A52" s="146" t="str">
        <f>IF(itens_Remanesc!A52="","",itens_Remanesc!A52)</f>
        <v/>
      </c>
      <c r="B52" s="196" t="str">
        <f>IF(A52="","",itens_Remanesc!C52)</f>
        <v/>
      </c>
      <c r="C52" s="161" t="str">
        <f>IF(A52="","",IF(itens_Remanesc!B52="",0,itens_Remanesc!B52))</f>
        <v/>
      </c>
      <c r="D52" s="163" t="str">
        <f>IF(A52="","",ROUND(SUMIFS(aditivos!$L$2:$L$200,aditivos!$A$2:$A$200,A52,aditivos!$C$2:$C$200,"C0"),2))</f>
        <v/>
      </c>
      <c r="E52" s="159" t="str">
        <f t="shared" si="18"/>
        <v/>
      </c>
      <c r="F52" s="159" t="str">
        <f>IF(A52="","",IF(itens_Remanesc!B52&lt;&gt;"",itens_Remanesc!B52,IF($Z52,0,"")))</f>
        <v/>
      </c>
      <c r="G52" s="167" t="str">
        <f t="shared" si="19"/>
        <v/>
      </c>
      <c r="H52" s="169" t="str">
        <f>IF(A52="","",ROUND(SUMIFS(aditivos!$L$2:$L$200,aditivos!$A$2:$A$200,A52,aditivos!$C$2:$C$200,"C1"),2))</f>
        <v/>
      </c>
      <c r="I52" s="165" t="str">
        <f t="shared" si="20"/>
        <v/>
      </c>
      <c r="J52" s="165" t="str">
        <f>IF(A52="","",IF(itens_Remanesc!E52="","",itens_Remanesc!E52))</f>
        <v/>
      </c>
      <c r="K52" s="171" t="str">
        <f t="shared" si="21"/>
        <v/>
      </c>
      <c r="L52" s="163" t="str">
        <f>IF(A52="","",ROUND(SUMIFS(aditivos!$L$2:$L$200,aditivos!$A$2:$A$200,A52,aditivos!$C$2:$C$200,"C2"),2))</f>
        <v/>
      </c>
      <c r="M52" s="159" t="str">
        <f t="shared" si="22"/>
        <v/>
      </c>
      <c r="N52" s="159" t="str">
        <f>IF(A52="","",IF(itens_Remanesc!G52="","",itens_Remanesc!G52))</f>
        <v/>
      </c>
      <c r="O52" s="167" t="str">
        <f t="shared" si="23"/>
        <v/>
      </c>
      <c r="P52" s="169" t="str">
        <f>IF(A52="","",ROUND(SUMIFS(aditivos!$L$2:$L$200,aditivos!$A$2:$A$200,A52,aditivos!$C$2:$C$200,"C3"),2))</f>
        <v/>
      </c>
      <c r="Q52" s="165" t="str">
        <f t="shared" si="24"/>
        <v/>
      </c>
      <c r="R52" s="165" t="str">
        <f>IF(A52="","",IF(itens_Remanesc!I52="","",itens_Remanesc!I52))</f>
        <v/>
      </c>
      <c r="S52" s="171" t="str">
        <f t="shared" si="25"/>
        <v/>
      </c>
      <c r="T52" s="163" t="str">
        <f>IF(A52="","",ROUND(SUMIFS(aditivos!$L$2:$L$200,aditivos!$A$2:$A$200,A52,aditivos!$C$2:$C$200,"C4"),2))</f>
        <v/>
      </c>
      <c r="U52" s="159" t="str">
        <f t="shared" si="26"/>
        <v/>
      </c>
      <c r="V52" s="159" t="str">
        <f>IF(A52="","",IF(itens_Remanesc!K52="","",itens_Remanesc!K52))</f>
        <v/>
      </c>
      <c r="W52" s="159" t="str">
        <f t="shared" si="27"/>
        <v/>
      </c>
      <c r="X52" s="146" t="str">
        <f>IF(A52="","",IF(COUNTIF($A$2:$A$200,A52)&gt;1,"ALERTA: ITEM_DUPLICADO",IF(AND($Z52,ISNUMBER(itens_Remanesc!B52),itens_Remanesc!B52&lt;&gt;0),"NOVO ITEM COM BASE DIFERENTE DE 0 - AJUSTAR itens_Remanesc",IF(AND($Z52,NOT(ISNUMBER(itens_Remanesc!C52))),"NOVO ITEM SEM VU_ORIGINAL - INFORMAR EM itens_Remanesc",IF(MIN(E52,I52,M52,Q52,U52,G52,K52,O52,S52,W52)&lt;0,"ALERTA: POSICAO_NEGATIVA",IF(OR(AND(G52&lt;&gt;"",G52&gt;E52),AND(K52&lt;&gt;"",K52&gt;I52),AND(O52&lt;&gt;"",O52&gt;M52),AND(S52&lt;&gt;"",S52&gt;Q52),AND(W52&lt;&gt;"",W52&gt;U52)),"ALERTA: REMANESCENTE_SUPERA_POSICAO","OK"))))))</f>
        <v/>
      </c>
      <c r="Y52" t="str">
        <f t="shared" si="28"/>
        <v/>
      </c>
      <c r="Z52" t="b">
        <f t="shared" si="29"/>
        <v>0</v>
      </c>
      <c r="AA52" s="208" t="str">
        <f>IF($A52="","",IF(COUNTIFS(aditivos!$A$2:$A$200,$A52,aditivos!$L$2:$L$200,"&lt;&gt;",aditivos!$L$2:$L$200,"&lt;&gt;0",aditivos!$B$2:$B$200,"&gt;0")=0,"",IFERROR(_xlfn.MINIFS(aditivos!$B$2:$B$200,aditivos!$A$2:$A$200,$A52,aditivos!$L$2:$L$200,"&lt;&gt;",aditivos!$L$2:$L$200,"&lt;&gt;0",aditivos!$B$2:$B$200,"&gt;0"),"")))</f>
        <v/>
      </c>
      <c r="AB52" t="str">
        <f>IF($A52="","",IF(OR(parametros!$C$2="",parametros!$I$2=""),0,ROUND(SUMIFS(aditivos!$L$2:$L$200,aditivos!$A$2:$A$200,$A52,aditivos!$C$2:$C$200,"C0",aditivos!$B$2:$B$200,"&gt;="&amp;(INT(parametros!$I$2)+1)),2)))</f>
        <v/>
      </c>
      <c r="AC52" t="str">
        <f>IF($A52="","",IF(OR(parametros!$C$3="",parametros!$I$3=""),0,ROUND(SUMIFS(aditivos!$L$2:$L$200,aditivos!$A$2:$A$200,$A52,aditivos!$C$2:$C$200,"C1",aditivos!$B$2:$B$200,"&gt;="&amp;(INT(parametros!$I$3)+1)),2)))</f>
        <v/>
      </c>
      <c r="AD52" t="str">
        <f>IF($A52="","",IF(OR(parametros!$C$4="",parametros!$I$4=""),0,ROUND(SUMIFS(aditivos!$L$2:$L$200,aditivos!$A$2:$A$200,$A52,aditivos!$C$2:$C$200,"C2",aditivos!$B$2:$B$200,"&gt;="&amp;(INT(parametros!$I$4)+1)),2)))</f>
        <v/>
      </c>
      <c r="AE52" t="str">
        <f>IF($A52="","",IF(OR(parametros!$C$5="",parametros!$I$5=""),0,ROUND(SUMIFS(aditivos!$L$2:$L$200,aditivos!$A$2:$A$200,$A52,aditivos!$C$2:$C$200,"C3",aditivos!$B$2:$B$200,"&gt;="&amp;(INT(parametros!$I$5)+1)),2)))</f>
        <v/>
      </c>
      <c r="AF52" t="str">
        <f>IF($A52="","",IF(OR(parametros!$C$6="",parametros!$I$6=""),0,ROUND(SUMIFS(aditivos!$L$2:$L$200,aditivos!$A$2:$A$200,$A52,aditivos!$C$2:$C$200,"C4",aditivos!$B$2:$B$200,"&gt;="&amp;(INT(parametros!$I$6)+1)),2)))</f>
        <v/>
      </c>
      <c r="AG52" t="str">
        <f t="shared" si="30"/>
        <v/>
      </c>
      <c r="AH52" t="str">
        <f t="shared" si="31"/>
        <v/>
      </c>
      <c r="AI52" t="str">
        <f t="shared" si="32"/>
        <v/>
      </c>
      <c r="AJ52" t="str">
        <f t="shared" si="33"/>
        <v/>
      </c>
      <c r="AK52" t="str">
        <f t="shared" si="34"/>
        <v/>
      </c>
      <c r="AL52" t="str">
        <f t="shared" si="35"/>
        <v/>
      </c>
    </row>
    <row r="53" spans="1:38" x14ac:dyDescent="0.35">
      <c r="A53" s="146" t="str">
        <f>IF(itens_Remanesc!A53="","",itens_Remanesc!A53)</f>
        <v/>
      </c>
      <c r="B53" s="196" t="str">
        <f>IF(A53="","",itens_Remanesc!C53)</f>
        <v/>
      </c>
      <c r="C53" s="161" t="str">
        <f>IF(A53="","",IF(itens_Remanesc!B53="",0,itens_Remanesc!B53))</f>
        <v/>
      </c>
      <c r="D53" s="163" t="str">
        <f>IF(A53="","",ROUND(SUMIFS(aditivos!$L$2:$L$200,aditivos!$A$2:$A$200,A53,aditivos!$C$2:$C$200,"C0"),2))</f>
        <v/>
      </c>
      <c r="E53" s="159" t="str">
        <f t="shared" si="18"/>
        <v/>
      </c>
      <c r="F53" s="159" t="str">
        <f>IF(A53="","",IF(itens_Remanesc!B53&lt;&gt;"",itens_Remanesc!B53,IF($Z53,0,"")))</f>
        <v/>
      </c>
      <c r="G53" s="167" t="str">
        <f t="shared" si="19"/>
        <v/>
      </c>
      <c r="H53" s="169" t="str">
        <f>IF(A53="","",ROUND(SUMIFS(aditivos!$L$2:$L$200,aditivos!$A$2:$A$200,A53,aditivos!$C$2:$C$200,"C1"),2))</f>
        <v/>
      </c>
      <c r="I53" s="165" t="str">
        <f t="shared" si="20"/>
        <v/>
      </c>
      <c r="J53" s="165" t="str">
        <f>IF(A53="","",IF(itens_Remanesc!E53="","",itens_Remanesc!E53))</f>
        <v/>
      </c>
      <c r="K53" s="171" t="str">
        <f t="shared" si="21"/>
        <v/>
      </c>
      <c r="L53" s="163" t="str">
        <f>IF(A53="","",ROUND(SUMIFS(aditivos!$L$2:$L$200,aditivos!$A$2:$A$200,A53,aditivos!$C$2:$C$200,"C2"),2))</f>
        <v/>
      </c>
      <c r="M53" s="159" t="str">
        <f t="shared" si="22"/>
        <v/>
      </c>
      <c r="N53" s="159" t="str">
        <f>IF(A53="","",IF(itens_Remanesc!G53="","",itens_Remanesc!G53))</f>
        <v/>
      </c>
      <c r="O53" s="167" t="str">
        <f t="shared" si="23"/>
        <v/>
      </c>
      <c r="P53" s="169" t="str">
        <f>IF(A53="","",ROUND(SUMIFS(aditivos!$L$2:$L$200,aditivos!$A$2:$A$200,A53,aditivos!$C$2:$C$200,"C3"),2))</f>
        <v/>
      </c>
      <c r="Q53" s="165" t="str">
        <f t="shared" si="24"/>
        <v/>
      </c>
      <c r="R53" s="165" t="str">
        <f>IF(A53="","",IF(itens_Remanesc!I53="","",itens_Remanesc!I53))</f>
        <v/>
      </c>
      <c r="S53" s="171" t="str">
        <f t="shared" si="25"/>
        <v/>
      </c>
      <c r="T53" s="163" t="str">
        <f>IF(A53="","",ROUND(SUMIFS(aditivos!$L$2:$L$200,aditivos!$A$2:$A$200,A53,aditivos!$C$2:$C$200,"C4"),2))</f>
        <v/>
      </c>
      <c r="U53" s="159" t="str">
        <f t="shared" si="26"/>
        <v/>
      </c>
      <c r="V53" s="159" t="str">
        <f>IF(A53="","",IF(itens_Remanesc!K53="","",itens_Remanesc!K53))</f>
        <v/>
      </c>
      <c r="W53" s="159" t="str">
        <f t="shared" si="27"/>
        <v/>
      </c>
      <c r="X53" s="146" t="str">
        <f>IF(A53="","",IF(COUNTIF($A$2:$A$200,A53)&gt;1,"ALERTA: ITEM_DUPLICADO",IF(AND($Z53,ISNUMBER(itens_Remanesc!B53),itens_Remanesc!B53&lt;&gt;0),"NOVO ITEM COM BASE DIFERENTE DE 0 - AJUSTAR itens_Remanesc",IF(AND($Z53,NOT(ISNUMBER(itens_Remanesc!C53))),"NOVO ITEM SEM VU_ORIGINAL - INFORMAR EM itens_Remanesc",IF(MIN(E53,I53,M53,Q53,U53,G53,K53,O53,S53,W53)&lt;0,"ALERTA: POSICAO_NEGATIVA",IF(OR(AND(G53&lt;&gt;"",G53&gt;E53),AND(K53&lt;&gt;"",K53&gt;I53),AND(O53&lt;&gt;"",O53&gt;M53),AND(S53&lt;&gt;"",S53&gt;Q53),AND(W53&lt;&gt;"",W53&gt;U53)),"ALERTA: REMANESCENTE_SUPERA_POSICAO","OK"))))))</f>
        <v/>
      </c>
      <c r="Y53" t="str">
        <f t="shared" si="28"/>
        <v/>
      </c>
      <c r="Z53" t="b">
        <f t="shared" si="29"/>
        <v>0</v>
      </c>
      <c r="AA53" s="208" t="str">
        <f>IF($A53="","",IF(COUNTIFS(aditivos!$A$2:$A$200,$A53,aditivos!$L$2:$L$200,"&lt;&gt;",aditivos!$L$2:$L$200,"&lt;&gt;0",aditivos!$B$2:$B$200,"&gt;0")=0,"",IFERROR(_xlfn.MINIFS(aditivos!$B$2:$B$200,aditivos!$A$2:$A$200,$A53,aditivos!$L$2:$L$200,"&lt;&gt;",aditivos!$L$2:$L$200,"&lt;&gt;0",aditivos!$B$2:$B$200,"&gt;0"),"")))</f>
        <v/>
      </c>
      <c r="AB53" t="str">
        <f>IF($A53="","",IF(OR(parametros!$C$2="",parametros!$I$2=""),0,ROUND(SUMIFS(aditivos!$L$2:$L$200,aditivos!$A$2:$A$200,$A53,aditivos!$C$2:$C$200,"C0",aditivos!$B$2:$B$200,"&gt;="&amp;(INT(parametros!$I$2)+1)),2)))</f>
        <v/>
      </c>
      <c r="AC53" t="str">
        <f>IF($A53="","",IF(OR(parametros!$C$3="",parametros!$I$3=""),0,ROUND(SUMIFS(aditivos!$L$2:$L$200,aditivos!$A$2:$A$200,$A53,aditivos!$C$2:$C$200,"C1",aditivos!$B$2:$B$200,"&gt;="&amp;(INT(parametros!$I$3)+1)),2)))</f>
        <v/>
      </c>
      <c r="AD53" t="str">
        <f>IF($A53="","",IF(OR(parametros!$C$4="",parametros!$I$4=""),0,ROUND(SUMIFS(aditivos!$L$2:$L$200,aditivos!$A$2:$A$200,$A53,aditivos!$C$2:$C$200,"C2",aditivos!$B$2:$B$200,"&gt;="&amp;(INT(parametros!$I$4)+1)),2)))</f>
        <v/>
      </c>
      <c r="AE53" t="str">
        <f>IF($A53="","",IF(OR(parametros!$C$5="",parametros!$I$5=""),0,ROUND(SUMIFS(aditivos!$L$2:$L$200,aditivos!$A$2:$A$200,$A53,aditivos!$C$2:$C$200,"C3",aditivos!$B$2:$B$200,"&gt;="&amp;(INT(parametros!$I$5)+1)),2)))</f>
        <v/>
      </c>
      <c r="AF53" t="str">
        <f>IF($A53="","",IF(OR(parametros!$C$6="",parametros!$I$6=""),0,ROUND(SUMIFS(aditivos!$L$2:$L$200,aditivos!$A$2:$A$200,$A53,aditivos!$C$2:$C$200,"C4",aditivos!$B$2:$B$200,"&gt;="&amp;(INT(parametros!$I$6)+1)),2)))</f>
        <v/>
      </c>
      <c r="AG53" t="str">
        <f t="shared" si="30"/>
        <v/>
      </c>
      <c r="AH53" t="str">
        <f t="shared" si="31"/>
        <v/>
      </c>
      <c r="AI53" t="str">
        <f t="shared" si="32"/>
        <v/>
      </c>
      <c r="AJ53" t="str">
        <f t="shared" si="33"/>
        <v/>
      </c>
      <c r="AK53" t="str">
        <f t="shared" si="34"/>
        <v/>
      </c>
      <c r="AL53" t="str">
        <f t="shared" si="35"/>
        <v/>
      </c>
    </row>
    <row r="54" spans="1:38" x14ac:dyDescent="0.35">
      <c r="A54" s="146" t="str">
        <f>IF(itens_Remanesc!A54="","",itens_Remanesc!A54)</f>
        <v/>
      </c>
      <c r="B54" s="196" t="str">
        <f>IF(A54="","",itens_Remanesc!C54)</f>
        <v/>
      </c>
      <c r="C54" s="161" t="str">
        <f>IF(A54="","",IF(itens_Remanesc!B54="",0,itens_Remanesc!B54))</f>
        <v/>
      </c>
      <c r="D54" s="163" t="str">
        <f>IF(A54="","",ROUND(SUMIFS(aditivos!$L$2:$L$200,aditivos!$A$2:$A$200,A54,aditivos!$C$2:$C$200,"C0"),2))</f>
        <v/>
      </c>
      <c r="E54" s="159" t="str">
        <f t="shared" si="18"/>
        <v/>
      </c>
      <c r="F54" s="159" t="str">
        <f>IF(A54="","",IF(itens_Remanesc!B54&lt;&gt;"",itens_Remanesc!B54,IF($Z54,0,"")))</f>
        <v/>
      </c>
      <c r="G54" s="167" t="str">
        <f t="shared" si="19"/>
        <v/>
      </c>
      <c r="H54" s="169" t="str">
        <f>IF(A54="","",ROUND(SUMIFS(aditivos!$L$2:$L$200,aditivos!$A$2:$A$200,A54,aditivos!$C$2:$C$200,"C1"),2))</f>
        <v/>
      </c>
      <c r="I54" s="165" t="str">
        <f t="shared" si="20"/>
        <v/>
      </c>
      <c r="J54" s="165" t="str">
        <f>IF(A54="","",IF(itens_Remanesc!E54="","",itens_Remanesc!E54))</f>
        <v/>
      </c>
      <c r="K54" s="171" t="str">
        <f t="shared" si="21"/>
        <v/>
      </c>
      <c r="L54" s="163" t="str">
        <f>IF(A54="","",ROUND(SUMIFS(aditivos!$L$2:$L$200,aditivos!$A$2:$A$200,A54,aditivos!$C$2:$C$200,"C2"),2))</f>
        <v/>
      </c>
      <c r="M54" s="159" t="str">
        <f t="shared" si="22"/>
        <v/>
      </c>
      <c r="N54" s="159" t="str">
        <f>IF(A54="","",IF(itens_Remanesc!G54="","",itens_Remanesc!G54))</f>
        <v/>
      </c>
      <c r="O54" s="167" t="str">
        <f t="shared" si="23"/>
        <v/>
      </c>
      <c r="P54" s="169" t="str">
        <f>IF(A54="","",ROUND(SUMIFS(aditivos!$L$2:$L$200,aditivos!$A$2:$A$200,A54,aditivos!$C$2:$C$200,"C3"),2))</f>
        <v/>
      </c>
      <c r="Q54" s="165" t="str">
        <f t="shared" si="24"/>
        <v/>
      </c>
      <c r="R54" s="165" t="str">
        <f>IF(A54="","",IF(itens_Remanesc!I54="","",itens_Remanesc!I54))</f>
        <v/>
      </c>
      <c r="S54" s="171" t="str">
        <f t="shared" si="25"/>
        <v/>
      </c>
      <c r="T54" s="163" t="str">
        <f>IF(A54="","",ROUND(SUMIFS(aditivos!$L$2:$L$200,aditivos!$A$2:$A$200,A54,aditivos!$C$2:$C$200,"C4"),2))</f>
        <v/>
      </c>
      <c r="U54" s="159" t="str">
        <f t="shared" si="26"/>
        <v/>
      </c>
      <c r="V54" s="159" t="str">
        <f>IF(A54="","",IF(itens_Remanesc!K54="","",itens_Remanesc!K54))</f>
        <v/>
      </c>
      <c r="W54" s="159" t="str">
        <f t="shared" si="27"/>
        <v/>
      </c>
      <c r="X54" s="146" t="str">
        <f>IF(A54="","",IF(COUNTIF($A$2:$A$200,A54)&gt;1,"ALERTA: ITEM_DUPLICADO",IF(AND($Z54,ISNUMBER(itens_Remanesc!B54),itens_Remanesc!B54&lt;&gt;0),"NOVO ITEM COM BASE DIFERENTE DE 0 - AJUSTAR itens_Remanesc",IF(AND($Z54,NOT(ISNUMBER(itens_Remanesc!C54))),"NOVO ITEM SEM VU_ORIGINAL - INFORMAR EM itens_Remanesc",IF(MIN(E54,I54,M54,Q54,U54,G54,K54,O54,S54,W54)&lt;0,"ALERTA: POSICAO_NEGATIVA",IF(OR(AND(G54&lt;&gt;"",G54&gt;E54),AND(K54&lt;&gt;"",K54&gt;I54),AND(O54&lt;&gt;"",O54&gt;M54),AND(S54&lt;&gt;"",S54&gt;Q54),AND(W54&lt;&gt;"",W54&gt;U54)),"ALERTA: REMANESCENTE_SUPERA_POSICAO","OK"))))))</f>
        <v/>
      </c>
      <c r="Y54" t="str">
        <f t="shared" si="28"/>
        <v/>
      </c>
      <c r="Z54" t="b">
        <f t="shared" si="29"/>
        <v>0</v>
      </c>
      <c r="AA54" s="208" t="str">
        <f>IF($A54="","",IF(COUNTIFS(aditivos!$A$2:$A$200,$A54,aditivos!$L$2:$L$200,"&lt;&gt;",aditivos!$L$2:$L$200,"&lt;&gt;0",aditivos!$B$2:$B$200,"&gt;0")=0,"",IFERROR(_xlfn.MINIFS(aditivos!$B$2:$B$200,aditivos!$A$2:$A$200,$A54,aditivos!$L$2:$L$200,"&lt;&gt;",aditivos!$L$2:$L$200,"&lt;&gt;0",aditivos!$B$2:$B$200,"&gt;0"),"")))</f>
        <v/>
      </c>
      <c r="AB54" t="str">
        <f>IF($A54="","",IF(OR(parametros!$C$2="",parametros!$I$2=""),0,ROUND(SUMIFS(aditivos!$L$2:$L$200,aditivos!$A$2:$A$200,$A54,aditivos!$C$2:$C$200,"C0",aditivos!$B$2:$B$200,"&gt;="&amp;(INT(parametros!$I$2)+1)),2)))</f>
        <v/>
      </c>
      <c r="AC54" t="str">
        <f>IF($A54="","",IF(OR(parametros!$C$3="",parametros!$I$3=""),0,ROUND(SUMIFS(aditivos!$L$2:$L$200,aditivos!$A$2:$A$200,$A54,aditivos!$C$2:$C$200,"C1",aditivos!$B$2:$B$200,"&gt;="&amp;(INT(parametros!$I$3)+1)),2)))</f>
        <v/>
      </c>
      <c r="AD54" t="str">
        <f>IF($A54="","",IF(OR(parametros!$C$4="",parametros!$I$4=""),0,ROUND(SUMIFS(aditivos!$L$2:$L$200,aditivos!$A$2:$A$200,$A54,aditivos!$C$2:$C$200,"C2",aditivos!$B$2:$B$200,"&gt;="&amp;(INT(parametros!$I$4)+1)),2)))</f>
        <v/>
      </c>
      <c r="AE54" t="str">
        <f>IF($A54="","",IF(OR(parametros!$C$5="",parametros!$I$5=""),0,ROUND(SUMIFS(aditivos!$L$2:$L$200,aditivos!$A$2:$A$200,$A54,aditivos!$C$2:$C$200,"C3",aditivos!$B$2:$B$200,"&gt;="&amp;(INT(parametros!$I$5)+1)),2)))</f>
        <v/>
      </c>
      <c r="AF54" t="str">
        <f>IF($A54="","",IF(OR(parametros!$C$6="",parametros!$I$6=""),0,ROUND(SUMIFS(aditivos!$L$2:$L$200,aditivos!$A$2:$A$200,$A54,aditivos!$C$2:$C$200,"C4",aditivos!$B$2:$B$200,"&gt;="&amp;(INT(parametros!$I$6)+1)),2)))</f>
        <v/>
      </c>
      <c r="AG54" t="str">
        <f t="shared" si="30"/>
        <v/>
      </c>
      <c r="AH54" t="str">
        <f t="shared" si="31"/>
        <v/>
      </c>
      <c r="AI54" t="str">
        <f t="shared" si="32"/>
        <v/>
      </c>
      <c r="AJ54" t="str">
        <f t="shared" si="33"/>
        <v/>
      </c>
      <c r="AK54" t="str">
        <f t="shared" si="34"/>
        <v/>
      </c>
      <c r="AL54" t="str">
        <f t="shared" si="35"/>
        <v/>
      </c>
    </row>
    <row r="55" spans="1:38" x14ac:dyDescent="0.35">
      <c r="A55" s="146" t="str">
        <f>IF(itens_Remanesc!A55="","",itens_Remanesc!A55)</f>
        <v/>
      </c>
      <c r="B55" s="196" t="str">
        <f>IF(A55="","",itens_Remanesc!C55)</f>
        <v/>
      </c>
      <c r="C55" s="161" t="str">
        <f>IF(A55="","",IF(itens_Remanesc!B55="",0,itens_Remanesc!B55))</f>
        <v/>
      </c>
      <c r="D55" s="163" t="str">
        <f>IF(A55="","",ROUND(SUMIFS(aditivos!$L$2:$L$200,aditivos!$A$2:$A$200,A55,aditivos!$C$2:$C$200,"C0"),2))</f>
        <v/>
      </c>
      <c r="E55" s="159" t="str">
        <f t="shared" si="18"/>
        <v/>
      </c>
      <c r="F55" s="159" t="str">
        <f>IF(A55="","",IF(itens_Remanesc!B55&lt;&gt;"",itens_Remanesc!B55,IF($Z55,0,"")))</f>
        <v/>
      </c>
      <c r="G55" s="167" t="str">
        <f t="shared" si="19"/>
        <v/>
      </c>
      <c r="H55" s="169" t="str">
        <f>IF(A55="","",ROUND(SUMIFS(aditivos!$L$2:$L$200,aditivos!$A$2:$A$200,A55,aditivos!$C$2:$C$200,"C1"),2))</f>
        <v/>
      </c>
      <c r="I55" s="165" t="str">
        <f t="shared" si="20"/>
        <v/>
      </c>
      <c r="J55" s="165" t="str">
        <f>IF(A55="","",IF(itens_Remanesc!E55="","",itens_Remanesc!E55))</f>
        <v/>
      </c>
      <c r="K55" s="171" t="str">
        <f t="shared" si="21"/>
        <v/>
      </c>
      <c r="L55" s="163" t="str">
        <f>IF(A55="","",ROUND(SUMIFS(aditivos!$L$2:$L$200,aditivos!$A$2:$A$200,A55,aditivos!$C$2:$C$200,"C2"),2))</f>
        <v/>
      </c>
      <c r="M55" s="159" t="str">
        <f t="shared" si="22"/>
        <v/>
      </c>
      <c r="N55" s="159" t="str">
        <f>IF(A55="","",IF(itens_Remanesc!G55="","",itens_Remanesc!G55))</f>
        <v/>
      </c>
      <c r="O55" s="167" t="str">
        <f t="shared" si="23"/>
        <v/>
      </c>
      <c r="P55" s="169" t="str">
        <f>IF(A55="","",ROUND(SUMIFS(aditivos!$L$2:$L$200,aditivos!$A$2:$A$200,A55,aditivos!$C$2:$C$200,"C3"),2))</f>
        <v/>
      </c>
      <c r="Q55" s="165" t="str">
        <f t="shared" si="24"/>
        <v/>
      </c>
      <c r="R55" s="165" t="str">
        <f>IF(A55="","",IF(itens_Remanesc!I55="","",itens_Remanesc!I55))</f>
        <v/>
      </c>
      <c r="S55" s="171" t="str">
        <f t="shared" si="25"/>
        <v/>
      </c>
      <c r="T55" s="163" t="str">
        <f>IF(A55="","",ROUND(SUMIFS(aditivos!$L$2:$L$200,aditivos!$A$2:$A$200,A55,aditivos!$C$2:$C$200,"C4"),2))</f>
        <v/>
      </c>
      <c r="U55" s="159" t="str">
        <f t="shared" si="26"/>
        <v/>
      </c>
      <c r="V55" s="159" t="str">
        <f>IF(A55="","",IF(itens_Remanesc!K55="","",itens_Remanesc!K55))</f>
        <v/>
      </c>
      <c r="W55" s="159" t="str">
        <f t="shared" si="27"/>
        <v/>
      </c>
      <c r="X55" s="146" t="str">
        <f>IF(A55="","",IF(COUNTIF($A$2:$A$200,A55)&gt;1,"ALERTA: ITEM_DUPLICADO",IF(AND($Z55,ISNUMBER(itens_Remanesc!B55),itens_Remanesc!B55&lt;&gt;0),"NOVO ITEM COM BASE DIFERENTE DE 0 - AJUSTAR itens_Remanesc",IF(AND($Z55,NOT(ISNUMBER(itens_Remanesc!C55))),"NOVO ITEM SEM VU_ORIGINAL - INFORMAR EM itens_Remanesc",IF(MIN(E55,I55,M55,Q55,U55,G55,K55,O55,S55,W55)&lt;0,"ALERTA: POSICAO_NEGATIVA",IF(OR(AND(G55&lt;&gt;"",G55&gt;E55),AND(K55&lt;&gt;"",K55&gt;I55),AND(O55&lt;&gt;"",O55&gt;M55),AND(S55&lt;&gt;"",S55&gt;Q55),AND(W55&lt;&gt;"",W55&gt;U55)),"ALERTA: REMANESCENTE_SUPERA_POSICAO","OK"))))))</f>
        <v/>
      </c>
      <c r="Y55" t="str">
        <f t="shared" si="28"/>
        <v/>
      </c>
      <c r="Z55" t="b">
        <f t="shared" si="29"/>
        <v>0</v>
      </c>
      <c r="AA55" s="208" t="str">
        <f>IF($A55="","",IF(COUNTIFS(aditivos!$A$2:$A$200,$A55,aditivos!$L$2:$L$200,"&lt;&gt;",aditivos!$L$2:$L$200,"&lt;&gt;0",aditivos!$B$2:$B$200,"&gt;0")=0,"",IFERROR(_xlfn.MINIFS(aditivos!$B$2:$B$200,aditivos!$A$2:$A$200,$A55,aditivos!$L$2:$L$200,"&lt;&gt;",aditivos!$L$2:$L$200,"&lt;&gt;0",aditivos!$B$2:$B$200,"&gt;0"),"")))</f>
        <v/>
      </c>
      <c r="AB55" t="str">
        <f>IF($A55="","",IF(OR(parametros!$C$2="",parametros!$I$2=""),0,ROUND(SUMIFS(aditivos!$L$2:$L$200,aditivos!$A$2:$A$200,$A55,aditivos!$C$2:$C$200,"C0",aditivos!$B$2:$B$200,"&gt;="&amp;(INT(parametros!$I$2)+1)),2)))</f>
        <v/>
      </c>
      <c r="AC55" t="str">
        <f>IF($A55="","",IF(OR(parametros!$C$3="",parametros!$I$3=""),0,ROUND(SUMIFS(aditivos!$L$2:$L$200,aditivos!$A$2:$A$200,$A55,aditivos!$C$2:$C$200,"C1",aditivos!$B$2:$B$200,"&gt;="&amp;(INT(parametros!$I$3)+1)),2)))</f>
        <v/>
      </c>
      <c r="AD55" t="str">
        <f>IF($A55="","",IF(OR(parametros!$C$4="",parametros!$I$4=""),0,ROUND(SUMIFS(aditivos!$L$2:$L$200,aditivos!$A$2:$A$200,$A55,aditivos!$C$2:$C$200,"C2",aditivos!$B$2:$B$200,"&gt;="&amp;(INT(parametros!$I$4)+1)),2)))</f>
        <v/>
      </c>
      <c r="AE55" t="str">
        <f>IF($A55="","",IF(OR(parametros!$C$5="",parametros!$I$5=""),0,ROUND(SUMIFS(aditivos!$L$2:$L$200,aditivos!$A$2:$A$200,$A55,aditivos!$C$2:$C$200,"C3",aditivos!$B$2:$B$200,"&gt;="&amp;(INT(parametros!$I$5)+1)),2)))</f>
        <v/>
      </c>
      <c r="AF55" t="str">
        <f>IF($A55="","",IF(OR(parametros!$C$6="",parametros!$I$6=""),0,ROUND(SUMIFS(aditivos!$L$2:$L$200,aditivos!$A$2:$A$200,$A55,aditivos!$C$2:$C$200,"C4",aditivos!$B$2:$B$200,"&gt;="&amp;(INT(parametros!$I$6)+1)),2)))</f>
        <v/>
      </c>
      <c r="AG55" t="str">
        <f t="shared" si="30"/>
        <v/>
      </c>
      <c r="AH55" t="str">
        <f t="shared" si="31"/>
        <v/>
      </c>
      <c r="AI55" t="str">
        <f t="shared" si="32"/>
        <v/>
      </c>
      <c r="AJ55" t="str">
        <f t="shared" si="33"/>
        <v/>
      </c>
      <c r="AK55" t="str">
        <f t="shared" si="34"/>
        <v/>
      </c>
      <c r="AL55" t="str">
        <f t="shared" si="35"/>
        <v/>
      </c>
    </row>
    <row r="56" spans="1:38" x14ac:dyDescent="0.35">
      <c r="A56" s="146" t="str">
        <f>IF(itens_Remanesc!A56="","",itens_Remanesc!A56)</f>
        <v/>
      </c>
      <c r="B56" s="196" t="str">
        <f>IF(A56="","",itens_Remanesc!C56)</f>
        <v/>
      </c>
      <c r="C56" s="161" t="str">
        <f>IF(A56="","",IF(itens_Remanesc!B56="",0,itens_Remanesc!B56))</f>
        <v/>
      </c>
      <c r="D56" s="163" t="str">
        <f>IF(A56="","",ROUND(SUMIFS(aditivos!$L$2:$L$200,aditivos!$A$2:$A$200,A56,aditivos!$C$2:$C$200,"C0"),2))</f>
        <v/>
      </c>
      <c r="E56" s="159" t="str">
        <f t="shared" si="18"/>
        <v/>
      </c>
      <c r="F56" s="159" t="str">
        <f>IF(A56="","",IF(itens_Remanesc!B56&lt;&gt;"",itens_Remanesc!B56,IF($Z56,0,"")))</f>
        <v/>
      </c>
      <c r="G56" s="167" t="str">
        <f t="shared" si="19"/>
        <v/>
      </c>
      <c r="H56" s="169" t="str">
        <f>IF(A56="","",ROUND(SUMIFS(aditivos!$L$2:$L$200,aditivos!$A$2:$A$200,A56,aditivos!$C$2:$C$200,"C1"),2))</f>
        <v/>
      </c>
      <c r="I56" s="165" t="str">
        <f t="shared" si="20"/>
        <v/>
      </c>
      <c r="J56" s="165" t="str">
        <f>IF(A56="","",IF(itens_Remanesc!E56="","",itens_Remanesc!E56))</f>
        <v/>
      </c>
      <c r="K56" s="171" t="str">
        <f t="shared" si="21"/>
        <v/>
      </c>
      <c r="L56" s="163" t="str">
        <f>IF(A56="","",ROUND(SUMIFS(aditivos!$L$2:$L$200,aditivos!$A$2:$A$200,A56,aditivos!$C$2:$C$200,"C2"),2))</f>
        <v/>
      </c>
      <c r="M56" s="159" t="str">
        <f t="shared" si="22"/>
        <v/>
      </c>
      <c r="N56" s="159" t="str">
        <f>IF(A56="","",IF(itens_Remanesc!G56="","",itens_Remanesc!G56))</f>
        <v/>
      </c>
      <c r="O56" s="167" t="str">
        <f t="shared" si="23"/>
        <v/>
      </c>
      <c r="P56" s="169" t="str">
        <f>IF(A56="","",ROUND(SUMIFS(aditivos!$L$2:$L$200,aditivos!$A$2:$A$200,A56,aditivos!$C$2:$C$200,"C3"),2))</f>
        <v/>
      </c>
      <c r="Q56" s="165" t="str">
        <f t="shared" si="24"/>
        <v/>
      </c>
      <c r="R56" s="165" t="str">
        <f>IF(A56="","",IF(itens_Remanesc!I56="","",itens_Remanesc!I56))</f>
        <v/>
      </c>
      <c r="S56" s="171" t="str">
        <f t="shared" si="25"/>
        <v/>
      </c>
      <c r="T56" s="163" t="str">
        <f>IF(A56="","",ROUND(SUMIFS(aditivos!$L$2:$L$200,aditivos!$A$2:$A$200,A56,aditivos!$C$2:$C$200,"C4"),2))</f>
        <v/>
      </c>
      <c r="U56" s="159" t="str">
        <f t="shared" si="26"/>
        <v/>
      </c>
      <c r="V56" s="159" t="str">
        <f>IF(A56="","",IF(itens_Remanesc!K56="","",itens_Remanesc!K56))</f>
        <v/>
      </c>
      <c r="W56" s="159" t="str">
        <f t="shared" si="27"/>
        <v/>
      </c>
      <c r="X56" s="146" t="str">
        <f>IF(A56="","",IF(COUNTIF($A$2:$A$200,A56)&gt;1,"ALERTA: ITEM_DUPLICADO",IF(AND($Z56,ISNUMBER(itens_Remanesc!B56),itens_Remanesc!B56&lt;&gt;0),"NOVO ITEM COM BASE DIFERENTE DE 0 - AJUSTAR itens_Remanesc",IF(AND($Z56,NOT(ISNUMBER(itens_Remanesc!C56))),"NOVO ITEM SEM VU_ORIGINAL - INFORMAR EM itens_Remanesc",IF(MIN(E56,I56,M56,Q56,U56,G56,K56,O56,S56,W56)&lt;0,"ALERTA: POSICAO_NEGATIVA",IF(OR(AND(G56&lt;&gt;"",G56&gt;E56),AND(K56&lt;&gt;"",K56&gt;I56),AND(O56&lt;&gt;"",O56&gt;M56),AND(S56&lt;&gt;"",S56&gt;Q56),AND(W56&lt;&gt;"",W56&gt;U56)),"ALERTA: REMANESCENTE_SUPERA_POSICAO","OK"))))))</f>
        <v/>
      </c>
      <c r="Y56" t="str">
        <f t="shared" si="28"/>
        <v/>
      </c>
      <c r="Z56" t="b">
        <f t="shared" si="29"/>
        <v>0</v>
      </c>
      <c r="AA56" s="208" t="str">
        <f>IF($A56="","",IF(COUNTIFS(aditivos!$A$2:$A$200,$A56,aditivos!$L$2:$L$200,"&lt;&gt;",aditivos!$L$2:$L$200,"&lt;&gt;0",aditivos!$B$2:$B$200,"&gt;0")=0,"",IFERROR(_xlfn.MINIFS(aditivos!$B$2:$B$200,aditivos!$A$2:$A$200,$A56,aditivos!$L$2:$L$200,"&lt;&gt;",aditivos!$L$2:$L$200,"&lt;&gt;0",aditivos!$B$2:$B$200,"&gt;0"),"")))</f>
        <v/>
      </c>
      <c r="AB56" t="str">
        <f>IF($A56="","",IF(OR(parametros!$C$2="",parametros!$I$2=""),0,ROUND(SUMIFS(aditivos!$L$2:$L$200,aditivos!$A$2:$A$200,$A56,aditivos!$C$2:$C$200,"C0",aditivos!$B$2:$B$200,"&gt;="&amp;(INT(parametros!$I$2)+1)),2)))</f>
        <v/>
      </c>
      <c r="AC56" t="str">
        <f>IF($A56="","",IF(OR(parametros!$C$3="",parametros!$I$3=""),0,ROUND(SUMIFS(aditivos!$L$2:$L$200,aditivos!$A$2:$A$200,$A56,aditivos!$C$2:$C$200,"C1",aditivos!$B$2:$B$200,"&gt;="&amp;(INT(parametros!$I$3)+1)),2)))</f>
        <v/>
      </c>
      <c r="AD56" t="str">
        <f>IF($A56="","",IF(OR(parametros!$C$4="",parametros!$I$4=""),0,ROUND(SUMIFS(aditivos!$L$2:$L$200,aditivos!$A$2:$A$200,$A56,aditivos!$C$2:$C$200,"C2",aditivos!$B$2:$B$200,"&gt;="&amp;(INT(parametros!$I$4)+1)),2)))</f>
        <v/>
      </c>
      <c r="AE56" t="str">
        <f>IF($A56="","",IF(OR(parametros!$C$5="",parametros!$I$5=""),0,ROUND(SUMIFS(aditivos!$L$2:$L$200,aditivos!$A$2:$A$200,$A56,aditivos!$C$2:$C$200,"C3",aditivos!$B$2:$B$200,"&gt;="&amp;(INT(parametros!$I$5)+1)),2)))</f>
        <v/>
      </c>
      <c r="AF56" t="str">
        <f>IF($A56="","",IF(OR(parametros!$C$6="",parametros!$I$6=""),0,ROUND(SUMIFS(aditivos!$L$2:$L$200,aditivos!$A$2:$A$200,$A56,aditivos!$C$2:$C$200,"C4",aditivos!$B$2:$B$200,"&gt;="&amp;(INT(parametros!$I$6)+1)),2)))</f>
        <v/>
      </c>
      <c r="AG56" t="str">
        <f t="shared" si="30"/>
        <v/>
      </c>
      <c r="AH56" t="str">
        <f t="shared" si="31"/>
        <v/>
      </c>
      <c r="AI56" t="str">
        <f t="shared" si="32"/>
        <v/>
      </c>
      <c r="AJ56" t="str">
        <f t="shared" si="33"/>
        <v/>
      </c>
      <c r="AK56" t="str">
        <f t="shared" si="34"/>
        <v/>
      </c>
      <c r="AL56" t="str">
        <f t="shared" si="35"/>
        <v/>
      </c>
    </row>
    <row r="57" spans="1:38" x14ac:dyDescent="0.35">
      <c r="A57" s="146" t="str">
        <f>IF(itens_Remanesc!A57="","",itens_Remanesc!A57)</f>
        <v/>
      </c>
      <c r="B57" s="196" t="str">
        <f>IF(A57="","",itens_Remanesc!C57)</f>
        <v/>
      </c>
      <c r="C57" s="161" t="str">
        <f>IF(A57="","",IF(itens_Remanesc!B57="",0,itens_Remanesc!B57))</f>
        <v/>
      </c>
      <c r="D57" s="163" t="str">
        <f>IF(A57="","",ROUND(SUMIFS(aditivos!$L$2:$L$200,aditivos!$A$2:$A$200,A57,aditivos!$C$2:$C$200,"C0"),2))</f>
        <v/>
      </c>
      <c r="E57" s="159" t="str">
        <f t="shared" si="18"/>
        <v/>
      </c>
      <c r="F57" s="159" t="str">
        <f>IF(A57="","",IF(itens_Remanesc!B57&lt;&gt;"",itens_Remanesc!B57,IF($Z57,0,"")))</f>
        <v/>
      </c>
      <c r="G57" s="167" t="str">
        <f t="shared" si="19"/>
        <v/>
      </c>
      <c r="H57" s="169" t="str">
        <f>IF(A57="","",ROUND(SUMIFS(aditivos!$L$2:$L$200,aditivos!$A$2:$A$200,A57,aditivos!$C$2:$C$200,"C1"),2))</f>
        <v/>
      </c>
      <c r="I57" s="165" t="str">
        <f t="shared" si="20"/>
        <v/>
      </c>
      <c r="J57" s="165" t="str">
        <f>IF(A57="","",IF(itens_Remanesc!E57="","",itens_Remanesc!E57))</f>
        <v/>
      </c>
      <c r="K57" s="171" t="str">
        <f t="shared" si="21"/>
        <v/>
      </c>
      <c r="L57" s="163" t="str">
        <f>IF(A57="","",ROUND(SUMIFS(aditivos!$L$2:$L$200,aditivos!$A$2:$A$200,A57,aditivos!$C$2:$C$200,"C2"),2))</f>
        <v/>
      </c>
      <c r="M57" s="159" t="str">
        <f t="shared" si="22"/>
        <v/>
      </c>
      <c r="N57" s="159" t="str">
        <f>IF(A57="","",IF(itens_Remanesc!G57="","",itens_Remanesc!G57))</f>
        <v/>
      </c>
      <c r="O57" s="167" t="str">
        <f t="shared" si="23"/>
        <v/>
      </c>
      <c r="P57" s="169" t="str">
        <f>IF(A57="","",ROUND(SUMIFS(aditivos!$L$2:$L$200,aditivos!$A$2:$A$200,A57,aditivos!$C$2:$C$200,"C3"),2))</f>
        <v/>
      </c>
      <c r="Q57" s="165" t="str">
        <f t="shared" si="24"/>
        <v/>
      </c>
      <c r="R57" s="165" t="str">
        <f>IF(A57="","",IF(itens_Remanesc!I57="","",itens_Remanesc!I57))</f>
        <v/>
      </c>
      <c r="S57" s="171" t="str">
        <f t="shared" si="25"/>
        <v/>
      </c>
      <c r="T57" s="163" t="str">
        <f>IF(A57="","",ROUND(SUMIFS(aditivos!$L$2:$L$200,aditivos!$A$2:$A$200,A57,aditivos!$C$2:$C$200,"C4"),2))</f>
        <v/>
      </c>
      <c r="U57" s="159" t="str">
        <f t="shared" si="26"/>
        <v/>
      </c>
      <c r="V57" s="159" t="str">
        <f>IF(A57="","",IF(itens_Remanesc!K57="","",itens_Remanesc!K57))</f>
        <v/>
      </c>
      <c r="W57" s="159" t="str">
        <f t="shared" si="27"/>
        <v/>
      </c>
      <c r="X57" s="146" t="str">
        <f>IF(A57="","",IF(COUNTIF($A$2:$A$200,A57)&gt;1,"ALERTA: ITEM_DUPLICADO",IF(AND($Z57,ISNUMBER(itens_Remanesc!B57),itens_Remanesc!B57&lt;&gt;0),"NOVO ITEM COM BASE DIFERENTE DE 0 - AJUSTAR itens_Remanesc",IF(AND($Z57,NOT(ISNUMBER(itens_Remanesc!C57))),"NOVO ITEM SEM VU_ORIGINAL - INFORMAR EM itens_Remanesc",IF(MIN(E57,I57,M57,Q57,U57,G57,K57,O57,S57,W57)&lt;0,"ALERTA: POSICAO_NEGATIVA",IF(OR(AND(G57&lt;&gt;"",G57&gt;E57),AND(K57&lt;&gt;"",K57&gt;I57),AND(O57&lt;&gt;"",O57&gt;M57),AND(S57&lt;&gt;"",S57&gt;Q57),AND(W57&lt;&gt;"",W57&gt;U57)),"ALERTA: REMANESCENTE_SUPERA_POSICAO","OK"))))))</f>
        <v/>
      </c>
      <c r="Y57" t="str">
        <f t="shared" si="28"/>
        <v/>
      </c>
      <c r="Z57" t="b">
        <f t="shared" si="29"/>
        <v>0</v>
      </c>
      <c r="AA57" s="208" t="str">
        <f>IF($A57="","",IF(COUNTIFS(aditivos!$A$2:$A$200,$A57,aditivos!$L$2:$L$200,"&lt;&gt;",aditivos!$L$2:$L$200,"&lt;&gt;0",aditivos!$B$2:$B$200,"&gt;0")=0,"",IFERROR(_xlfn.MINIFS(aditivos!$B$2:$B$200,aditivos!$A$2:$A$200,$A57,aditivos!$L$2:$L$200,"&lt;&gt;",aditivos!$L$2:$L$200,"&lt;&gt;0",aditivos!$B$2:$B$200,"&gt;0"),"")))</f>
        <v/>
      </c>
      <c r="AB57" t="str">
        <f>IF($A57="","",IF(OR(parametros!$C$2="",parametros!$I$2=""),0,ROUND(SUMIFS(aditivos!$L$2:$L$200,aditivos!$A$2:$A$200,$A57,aditivos!$C$2:$C$200,"C0",aditivos!$B$2:$B$200,"&gt;="&amp;(INT(parametros!$I$2)+1)),2)))</f>
        <v/>
      </c>
      <c r="AC57" t="str">
        <f>IF($A57="","",IF(OR(parametros!$C$3="",parametros!$I$3=""),0,ROUND(SUMIFS(aditivos!$L$2:$L$200,aditivos!$A$2:$A$200,$A57,aditivos!$C$2:$C$200,"C1",aditivos!$B$2:$B$200,"&gt;="&amp;(INT(parametros!$I$3)+1)),2)))</f>
        <v/>
      </c>
      <c r="AD57" t="str">
        <f>IF($A57="","",IF(OR(parametros!$C$4="",parametros!$I$4=""),0,ROUND(SUMIFS(aditivos!$L$2:$L$200,aditivos!$A$2:$A$200,$A57,aditivos!$C$2:$C$200,"C2",aditivos!$B$2:$B$200,"&gt;="&amp;(INT(parametros!$I$4)+1)),2)))</f>
        <v/>
      </c>
      <c r="AE57" t="str">
        <f>IF($A57="","",IF(OR(parametros!$C$5="",parametros!$I$5=""),0,ROUND(SUMIFS(aditivos!$L$2:$L$200,aditivos!$A$2:$A$200,$A57,aditivos!$C$2:$C$200,"C3",aditivos!$B$2:$B$200,"&gt;="&amp;(INT(parametros!$I$5)+1)),2)))</f>
        <v/>
      </c>
      <c r="AF57" t="str">
        <f>IF($A57="","",IF(OR(parametros!$C$6="",parametros!$I$6=""),0,ROUND(SUMIFS(aditivos!$L$2:$L$200,aditivos!$A$2:$A$200,$A57,aditivos!$C$2:$C$200,"C4",aditivos!$B$2:$B$200,"&gt;="&amp;(INT(parametros!$I$6)+1)),2)))</f>
        <v/>
      </c>
      <c r="AG57" t="str">
        <f t="shared" si="30"/>
        <v/>
      </c>
      <c r="AH57" t="str">
        <f t="shared" si="31"/>
        <v/>
      </c>
      <c r="AI57" t="str">
        <f t="shared" si="32"/>
        <v/>
      </c>
      <c r="AJ57" t="str">
        <f t="shared" si="33"/>
        <v/>
      </c>
      <c r="AK57" t="str">
        <f t="shared" si="34"/>
        <v/>
      </c>
      <c r="AL57" t="str">
        <f t="shared" si="35"/>
        <v/>
      </c>
    </row>
    <row r="58" spans="1:38" x14ac:dyDescent="0.35">
      <c r="A58" s="146" t="str">
        <f>IF(itens_Remanesc!A58="","",itens_Remanesc!A58)</f>
        <v/>
      </c>
      <c r="B58" s="196" t="str">
        <f>IF(A58="","",itens_Remanesc!C58)</f>
        <v/>
      </c>
      <c r="C58" s="161" t="str">
        <f>IF(A58="","",IF(itens_Remanesc!B58="",0,itens_Remanesc!B58))</f>
        <v/>
      </c>
      <c r="D58" s="163" t="str">
        <f>IF(A58="","",ROUND(SUMIFS(aditivos!$L$2:$L$200,aditivos!$A$2:$A$200,A58,aditivos!$C$2:$C$200,"C0"),2))</f>
        <v/>
      </c>
      <c r="E58" s="159" t="str">
        <f t="shared" si="18"/>
        <v/>
      </c>
      <c r="F58" s="159" t="str">
        <f>IF(A58="","",IF(itens_Remanesc!B58&lt;&gt;"",itens_Remanesc!B58,IF($Z58,0,"")))</f>
        <v/>
      </c>
      <c r="G58" s="167" t="str">
        <f t="shared" si="19"/>
        <v/>
      </c>
      <c r="H58" s="169" t="str">
        <f>IF(A58="","",ROUND(SUMIFS(aditivos!$L$2:$L$200,aditivos!$A$2:$A$200,A58,aditivos!$C$2:$C$200,"C1"),2))</f>
        <v/>
      </c>
      <c r="I58" s="165" t="str">
        <f t="shared" si="20"/>
        <v/>
      </c>
      <c r="J58" s="165" t="str">
        <f>IF(A58="","",IF(itens_Remanesc!E58="","",itens_Remanesc!E58))</f>
        <v/>
      </c>
      <c r="K58" s="171" t="str">
        <f t="shared" si="21"/>
        <v/>
      </c>
      <c r="L58" s="163" t="str">
        <f>IF(A58="","",ROUND(SUMIFS(aditivos!$L$2:$L$200,aditivos!$A$2:$A$200,A58,aditivos!$C$2:$C$200,"C2"),2))</f>
        <v/>
      </c>
      <c r="M58" s="159" t="str">
        <f t="shared" si="22"/>
        <v/>
      </c>
      <c r="N58" s="159" t="str">
        <f>IF(A58="","",IF(itens_Remanesc!G58="","",itens_Remanesc!G58))</f>
        <v/>
      </c>
      <c r="O58" s="167" t="str">
        <f t="shared" si="23"/>
        <v/>
      </c>
      <c r="P58" s="169" t="str">
        <f>IF(A58="","",ROUND(SUMIFS(aditivos!$L$2:$L$200,aditivos!$A$2:$A$200,A58,aditivos!$C$2:$C$200,"C3"),2))</f>
        <v/>
      </c>
      <c r="Q58" s="165" t="str">
        <f t="shared" si="24"/>
        <v/>
      </c>
      <c r="R58" s="165" t="str">
        <f>IF(A58="","",IF(itens_Remanesc!I58="","",itens_Remanesc!I58))</f>
        <v/>
      </c>
      <c r="S58" s="171" t="str">
        <f t="shared" si="25"/>
        <v/>
      </c>
      <c r="T58" s="163" t="str">
        <f>IF(A58="","",ROUND(SUMIFS(aditivos!$L$2:$L$200,aditivos!$A$2:$A$200,A58,aditivos!$C$2:$C$200,"C4"),2))</f>
        <v/>
      </c>
      <c r="U58" s="159" t="str">
        <f t="shared" si="26"/>
        <v/>
      </c>
      <c r="V58" s="159" t="str">
        <f>IF(A58="","",IF(itens_Remanesc!K58="","",itens_Remanesc!K58))</f>
        <v/>
      </c>
      <c r="W58" s="159" t="str">
        <f t="shared" si="27"/>
        <v/>
      </c>
      <c r="X58" s="146" t="str">
        <f>IF(A58="","",IF(COUNTIF($A$2:$A$200,A58)&gt;1,"ALERTA: ITEM_DUPLICADO",IF(AND($Z58,ISNUMBER(itens_Remanesc!B58),itens_Remanesc!B58&lt;&gt;0),"NOVO ITEM COM BASE DIFERENTE DE 0 - AJUSTAR itens_Remanesc",IF(AND($Z58,NOT(ISNUMBER(itens_Remanesc!C58))),"NOVO ITEM SEM VU_ORIGINAL - INFORMAR EM itens_Remanesc",IF(MIN(E58,I58,M58,Q58,U58,G58,K58,O58,S58,W58)&lt;0,"ALERTA: POSICAO_NEGATIVA",IF(OR(AND(G58&lt;&gt;"",G58&gt;E58),AND(K58&lt;&gt;"",K58&gt;I58),AND(O58&lt;&gt;"",O58&gt;M58),AND(S58&lt;&gt;"",S58&gt;Q58),AND(W58&lt;&gt;"",W58&gt;U58)),"ALERTA: REMANESCENTE_SUPERA_POSICAO","OK"))))))</f>
        <v/>
      </c>
      <c r="Y58" t="str">
        <f t="shared" si="28"/>
        <v/>
      </c>
      <c r="Z58" t="b">
        <f t="shared" si="29"/>
        <v>0</v>
      </c>
      <c r="AA58" s="208" t="str">
        <f>IF($A58="","",IF(COUNTIFS(aditivos!$A$2:$A$200,$A58,aditivos!$L$2:$L$200,"&lt;&gt;",aditivos!$L$2:$L$200,"&lt;&gt;0",aditivos!$B$2:$B$200,"&gt;0")=0,"",IFERROR(_xlfn.MINIFS(aditivos!$B$2:$B$200,aditivos!$A$2:$A$200,$A58,aditivos!$L$2:$L$200,"&lt;&gt;",aditivos!$L$2:$L$200,"&lt;&gt;0",aditivos!$B$2:$B$200,"&gt;0"),"")))</f>
        <v/>
      </c>
      <c r="AB58" t="str">
        <f>IF($A58="","",IF(OR(parametros!$C$2="",parametros!$I$2=""),0,ROUND(SUMIFS(aditivos!$L$2:$L$200,aditivos!$A$2:$A$200,$A58,aditivos!$C$2:$C$200,"C0",aditivos!$B$2:$B$200,"&gt;="&amp;(INT(parametros!$I$2)+1)),2)))</f>
        <v/>
      </c>
      <c r="AC58" t="str">
        <f>IF($A58="","",IF(OR(parametros!$C$3="",parametros!$I$3=""),0,ROUND(SUMIFS(aditivos!$L$2:$L$200,aditivos!$A$2:$A$200,$A58,aditivos!$C$2:$C$200,"C1",aditivos!$B$2:$B$200,"&gt;="&amp;(INT(parametros!$I$3)+1)),2)))</f>
        <v/>
      </c>
      <c r="AD58" t="str">
        <f>IF($A58="","",IF(OR(parametros!$C$4="",parametros!$I$4=""),0,ROUND(SUMIFS(aditivos!$L$2:$L$200,aditivos!$A$2:$A$200,$A58,aditivos!$C$2:$C$200,"C2",aditivos!$B$2:$B$200,"&gt;="&amp;(INT(parametros!$I$4)+1)),2)))</f>
        <v/>
      </c>
      <c r="AE58" t="str">
        <f>IF($A58="","",IF(OR(parametros!$C$5="",parametros!$I$5=""),0,ROUND(SUMIFS(aditivos!$L$2:$L$200,aditivos!$A$2:$A$200,$A58,aditivos!$C$2:$C$200,"C3",aditivos!$B$2:$B$200,"&gt;="&amp;(INT(parametros!$I$5)+1)),2)))</f>
        <v/>
      </c>
      <c r="AF58" t="str">
        <f>IF($A58="","",IF(OR(parametros!$C$6="",parametros!$I$6=""),0,ROUND(SUMIFS(aditivos!$L$2:$L$200,aditivos!$A$2:$A$200,$A58,aditivos!$C$2:$C$200,"C4",aditivos!$B$2:$B$200,"&gt;="&amp;(INT(parametros!$I$6)+1)),2)))</f>
        <v/>
      </c>
      <c r="AG58" t="str">
        <f t="shared" si="30"/>
        <v/>
      </c>
      <c r="AH58" t="str">
        <f t="shared" si="31"/>
        <v/>
      </c>
      <c r="AI58" t="str">
        <f t="shared" si="32"/>
        <v/>
      </c>
      <c r="AJ58" t="str">
        <f t="shared" si="33"/>
        <v/>
      </c>
      <c r="AK58" t="str">
        <f t="shared" si="34"/>
        <v/>
      </c>
      <c r="AL58" t="str">
        <f t="shared" si="35"/>
        <v/>
      </c>
    </row>
    <row r="59" spans="1:38" x14ac:dyDescent="0.35">
      <c r="A59" s="146" t="str">
        <f>IF(itens_Remanesc!A59="","",itens_Remanesc!A59)</f>
        <v/>
      </c>
      <c r="B59" s="196" t="str">
        <f>IF(A59="","",itens_Remanesc!C59)</f>
        <v/>
      </c>
      <c r="C59" s="161" t="str">
        <f>IF(A59="","",IF(itens_Remanesc!B59="",0,itens_Remanesc!B59))</f>
        <v/>
      </c>
      <c r="D59" s="163" t="str">
        <f>IF(A59="","",ROUND(SUMIFS(aditivos!$L$2:$L$200,aditivos!$A$2:$A$200,A59,aditivos!$C$2:$C$200,"C0"),2))</f>
        <v/>
      </c>
      <c r="E59" s="159" t="str">
        <f t="shared" si="18"/>
        <v/>
      </c>
      <c r="F59" s="159" t="str">
        <f>IF(A59="","",IF(itens_Remanesc!B59&lt;&gt;"",itens_Remanesc!B59,IF($Z59,0,"")))</f>
        <v/>
      </c>
      <c r="G59" s="167" t="str">
        <f t="shared" si="19"/>
        <v/>
      </c>
      <c r="H59" s="169" t="str">
        <f>IF(A59="","",ROUND(SUMIFS(aditivos!$L$2:$L$200,aditivos!$A$2:$A$200,A59,aditivos!$C$2:$C$200,"C1"),2))</f>
        <v/>
      </c>
      <c r="I59" s="165" t="str">
        <f t="shared" si="20"/>
        <v/>
      </c>
      <c r="J59" s="165" t="str">
        <f>IF(A59="","",IF(itens_Remanesc!E59="","",itens_Remanesc!E59))</f>
        <v/>
      </c>
      <c r="K59" s="171" t="str">
        <f t="shared" si="21"/>
        <v/>
      </c>
      <c r="L59" s="163" t="str">
        <f>IF(A59="","",ROUND(SUMIFS(aditivos!$L$2:$L$200,aditivos!$A$2:$A$200,A59,aditivos!$C$2:$C$200,"C2"),2))</f>
        <v/>
      </c>
      <c r="M59" s="159" t="str">
        <f t="shared" si="22"/>
        <v/>
      </c>
      <c r="N59" s="159" t="str">
        <f>IF(A59="","",IF(itens_Remanesc!G59="","",itens_Remanesc!G59))</f>
        <v/>
      </c>
      <c r="O59" s="167" t="str">
        <f t="shared" si="23"/>
        <v/>
      </c>
      <c r="P59" s="169" t="str">
        <f>IF(A59="","",ROUND(SUMIFS(aditivos!$L$2:$L$200,aditivos!$A$2:$A$200,A59,aditivos!$C$2:$C$200,"C3"),2))</f>
        <v/>
      </c>
      <c r="Q59" s="165" t="str">
        <f t="shared" si="24"/>
        <v/>
      </c>
      <c r="R59" s="165" t="str">
        <f>IF(A59="","",IF(itens_Remanesc!I59="","",itens_Remanesc!I59))</f>
        <v/>
      </c>
      <c r="S59" s="171" t="str">
        <f t="shared" si="25"/>
        <v/>
      </c>
      <c r="T59" s="163" t="str">
        <f>IF(A59="","",ROUND(SUMIFS(aditivos!$L$2:$L$200,aditivos!$A$2:$A$200,A59,aditivos!$C$2:$C$200,"C4"),2))</f>
        <v/>
      </c>
      <c r="U59" s="159" t="str">
        <f t="shared" si="26"/>
        <v/>
      </c>
      <c r="V59" s="159" t="str">
        <f>IF(A59="","",IF(itens_Remanesc!K59="","",itens_Remanesc!K59))</f>
        <v/>
      </c>
      <c r="W59" s="159" t="str">
        <f t="shared" si="27"/>
        <v/>
      </c>
      <c r="X59" s="146" t="str">
        <f>IF(A59="","",IF(COUNTIF($A$2:$A$200,A59)&gt;1,"ALERTA: ITEM_DUPLICADO",IF(AND($Z59,ISNUMBER(itens_Remanesc!B59),itens_Remanesc!B59&lt;&gt;0),"NOVO ITEM COM BASE DIFERENTE DE 0 - AJUSTAR itens_Remanesc",IF(AND($Z59,NOT(ISNUMBER(itens_Remanesc!C59))),"NOVO ITEM SEM VU_ORIGINAL - INFORMAR EM itens_Remanesc",IF(MIN(E59,I59,M59,Q59,U59,G59,K59,O59,S59,W59)&lt;0,"ALERTA: POSICAO_NEGATIVA",IF(OR(AND(G59&lt;&gt;"",G59&gt;E59),AND(K59&lt;&gt;"",K59&gt;I59),AND(O59&lt;&gt;"",O59&gt;M59),AND(S59&lt;&gt;"",S59&gt;Q59),AND(W59&lt;&gt;"",W59&gt;U59)),"ALERTA: REMANESCENTE_SUPERA_POSICAO","OK"))))))</f>
        <v/>
      </c>
      <c r="Y59" t="str">
        <f t="shared" si="28"/>
        <v/>
      </c>
      <c r="Z59" t="b">
        <f t="shared" si="29"/>
        <v>0</v>
      </c>
      <c r="AA59" s="208" t="str">
        <f>IF($A59="","",IF(COUNTIFS(aditivos!$A$2:$A$200,$A59,aditivos!$L$2:$L$200,"&lt;&gt;",aditivos!$L$2:$L$200,"&lt;&gt;0",aditivos!$B$2:$B$200,"&gt;0")=0,"",IFERROR(_xlfn.MINIFS(aditivos!$B$2:$B$200,aditivos!$A$2:$A$200,$A59,aditivos!$L$2:$L$200,"&lt;&gt;",aditivos!$L$2:$L$200,"&lt;&gt;0",aditivos!$B$2:$B$200,"&gt;0"),"")))</f>
        <v/>
      </c>
      <c r="AB59" t="str">
        <f>IF($A59="","",IF(OR(parametros!$C$2="",parametros!$I$2=""),0,ROUND(SUMIFS(aditivos!$L$2:$L$200,aditivos!$A$2:$A$200,$A59,aditivos!$C$2:$C$200,"C0",aditivos!$B$2:$B$200,"&gt;="&amp;(INT(parametros!$I$2)+1)),2)))</f>
        <v/>
      </c>
      <c r="AC59" t="str">
        <f>IF($A59="","",IF(OR(parametros!$C$3="",parametros!$I$3=""),0,ROUND(SUMIFS(aditivos!$L$2:$L$200,aditivos!$A$2:$A$200,$A59,aditivos!$C$2:$C$200,"C1",aditivos!$B$2:$B$200,"&gt;="&amp;(INT(parametros!$I$3)+1)),2)))</f>
        <v/>
      </c>
      <c r="AD59" t="str">
        <f>IF($A59="","",IF(OR(parametros!$C$4="",parametros!$I$4=""),0,ROUND(SUMIFS(aditivos!$L$2:$L$200,aditivos!$A$2:$A$200,$A59,aditivos!$C$2:$C$200,"C2",aditivos!$B$2:$B$200,"&gt;="&amp;(INT(parametros!$I$4)+1)),2)))</f>
        <v/>
      </c>
      <c r="AE59" t="str">
        <f>IF($A59="","",IF(OR(parametros!$C$5="",parametros!$I$5=""),0,ROUND(SUMIFS(aditivos!$L$2:$L$200,aditivos!$A$2:$A$200,$A59,aditivos!$C$2:$C$200,"C3",aditivos!$B$2:$B$200,"&gt;="&amp;(INT(parametros!$I$5)+1)),2)))</f>
        <v/>
      </c>
      <c r="AF59" t="str">
        <f>IF($A59="","",IF(OR(parametros!$C$6="",parametros!$I$6=""),0,ROUND(SUMIFS(aditivos!$L$2:$L$200,aditivos!$A$2:$A$200,$A59,aditivos!$C$2:$C$200,"C4",aditivos!$B$2:$B$200,"&gt;="&amp;(INT(parametros!$I$6)+1)),2)))</f>
        <v/>
      </c>
      <c r="AG59" t="str">
        <f t="shared" si="30"/>
        <v/>
      </c>
      <c r="AH59" t="str">
        <f t="shared" si="31"/>
        <v/>
      </c>
      <c r="AI59" t="str">
        <f t="shared" si="32"/>
        <v/>
      </c>
      <c r="AJ59" t="str">
        <f t="shared" si="33"/>
        <v/>
      </c>
      <c r="AK59" t="str">
        <f t="shared" si="34"/>
        <v/>
      </c>
      <c r="AL59" t="str">
        <f t="shared" si="35"/>
        <v/>
      </c>
    </row>
    <row r="60" spans="1:38" x14ac:dyDescent="0.35">
      <c r="A60" s="146" t="str">
        <f>IF(itens_Remanesc!A60="","",itens_Remanesc!A60)</f>
        <v/>
      </c>
      <c r="B60" s="196" t="str">
        <f>IF(A60="","",itens_Remanesc!C60)</f>
        <v/>
      </c>
      <c r="C60" s="161" t="str">
        <f>IF(A60="","",IF(itens_Remanesc!B60="",0,itens_Remanesc!B60))</f>
        <v/>
      </c>
      <c r="D60" s="163" t="str">
        <f>IF(A60="","",ROUND(SUMIFS(aditivos!$L$2:$L$200,aditivos!$A$2:$A$200,A60,aditivos!$C$2:$C$200,"C0"),2))</f>
        <v/>
      </c>
      <c r="E60" s="159" t="str">
        <f t="shared" si="18"/>
        <v/>
      </c>
      <c r="F60" s="159" t="str">
        <f>IF(A60="","",IF(itens_Remanesc!B60&lt;&gt;"",itens_Remanesc!B60,IF($Z60,0,"")))</f>
        <v/>
      </c>
      <c r="G60" s="167" t="str">
        <f t="shared" si="19"/>
        <v/>
      </c>
      <c r="H60" s="169" t="str">
        <f>IF(A60="","",ROUND(SUMIFS(aditivos!$L$2:$L$200,aditivos!$A$2:$A$200,A60,aditivos!$C$2:$C$200,"C1"),2))</f>
        <v/>
      </c>
      <c r="I60" s="165" t="str">
        <f t="shared" si="20"/>
        <v/>
      </c>
      <c r="J60" s="165" t="str">
        <f>IF(A60="","",IF(itens_Remanesc!E60="","",itens_Remanesc!E60))</f>
        <v/>
      </c>
      <c r="K60" s="171" t="str">
        <f t="shared" si="21"/>
        <v/>
      </c>
      <c r="L60" s="163" t="str">
        <f>IF(A60="","",ROUND(SUMIFS(aditivos!$L$2:$L$200,aditivos!$A$2:$A$200,A60,aditivos!$C$2:$C$200,"C2"),2))</f>
        <v/>
      </c>
      <c r="M60" s="159" t="str">
        <f t="shared" si="22"/>
        <v/>
      </c>
      <c r="N60" s="159" t="str">
        <f>IF(A60="","",IF(itens_Remanesc!G60="","",itens_Remanesc!G60))</f>
        <v/>
      </c>
      <c r="O60" s="167" t="str">
        <f t="shared" si="23"/>
        <v/>
      </c>
      <c r="P60" s="169" t="str">
        <f>IF(A60="","",ROUND(SUMIFS(aditivos!$L$2:$L$200,aditivos!$A$2:$A$200,A60,aditivos!$C$2:$C$200,"C3"),2))</f>
        <v/>
      </c>
      <c r="Q60" s="165" t="str">
        <f t="shared" si="24"/>
        <v/>
      </c>
      <c r="R60" s="165" t="str">
        <f>IF(A60="","",IF(itens_Remanesc!I60="","",itens_Remanesc!I60))</f>
        <v/>
      </c>
      <c r="S60" s="171" t="str">
        <f t="shared" si="25"/>
        <v/>
      </c>
      <c r="T60" s="163" t="str">
        <f>IF(A60="","",ROUND(SUMIFS(aditivos!$L$2:$L$200,aditivos!$A$2:$A$200,A60,aditivos!$C$2:$C$200,"C4"),2))</f>
        <v/>
      </c>
      <c r="U60" s="159" t="str">
        <f t="shared" si="26"/>
        <v/>
      </c>
      <c r="V60" s="159" t="str">
        <f>IF(A60="","",IF(itens_Remanesc!K60="","",itens_Remanesc!K60))</f>
        <v/>
      </c>
      <c r="W60" s="159" t="str">
        <f t="shared" si="27"/>
        <v/>
      </c>
      <c r="X60" s="146" t="str">
        <f>IF(A60="","",IF(COUNTIF($A$2:$A$200,A60)&gt;1,"ALERTA: ITEM_DUPLICADO",IF(AND($Z60,ISNUMBER(itens_Remanesc!B60),itens_Remanesc!B60&lt;&gt;0),"NOVO ITEM COM BASE DIFERENTE DE 0 - AJUSTAR itens_Remanesc",IF(AND($Z60,NOT(ISNUMBER(itens_Remanesc!C60))),"NOVO ITEM SEM VU_ORIGINAL - INFORMAR EM itens_Remanesc",IF(MIN(E60,I60,M60,Q60,U60,G60,K60,O60,S60,W60)&lt;0,"ALERTA: POSICAO_NEGATIVA",IF(OR(AND(G60&lt;&gt;"",G60&gt;E60),AND(K60&lt;&gt;"",K60&gt;I60),AND(O60&lt;&gt;"",O60&gt;M60),AND(S60&lt;&gt;"",S60&gt;Q60),AND(W60&lt;&gt;"",W60&gt;U60)),"ALERTA: REMANESCENTE_SUPERA_POSICAO","OK"))))))</f>
        <v/>
      </c>
      <c r="Y60" t="str">
        <f t="shared" si="28"/>
        <v/>
      </c>
      <c r="Z60" t="b">
        <f t="shared" si="29"/>
        <v>0</v>
      </c>
      <c r="AA60" s="208" t="str">
        <f>IF($A60="","",IF(COUNTIFS(aditivos!$A$2:$A$200,$A60,aditivos!$L$2:$L$200,"&lt;&gt;",aditivos!$L$2:$L$200,"&lt;&gt;0",aditivos!$B$2:$B$200,"&gt;0")=0,"",IFERROR(_xlfn.MINIFS(aditivos!$B$2:$B$200,aditivos!$A$2:$A$200,$A60,aditivos!$L$2:$L$200,"&lt;&gt;",aditivos!$L$2:$L$200,"&lt;&gt;0",aditivos!$B$2:$B$200,"&gt;0"),"")))</f>
        <v/>
      </c>
      <c r="AB60" t="str">
        <f>IF($A60="","",IF(OR(parametros!$C$2="",parametros!$I$2=""),0,ROUND(SUMIFS(aditivos!$L$2:$L$200,aditivos!$A$2:$A$200,$A60,aditivos!$C$2:$C$200,"C0",aditivos!$B$2:$B$200,"&gt;="&amp;(INT(parametros!$I$2)+1)),2)))</f>
        <v/>
      </c>
      <c r="AC60" t="str">
        <f>IF($A60="","",IF(OR(parametros!$C$3="",parametros!$I$3=""),0,ROUND(SUMIFS(aditivos!$L$2:$L$200,aditivos!$A$2:$A$200,$A60,aditivos!$C$2:$C$200,"C1",aditivos!$B$2:$B$200,"&gt;="&amp;(INT(parametros!$I$3)+1)),2)))</f>
        <v/>
      </c>
      <c r="AD60" t="str">
        <f>IF($A60="","",IF(OR(parametros!$C$4="",parametros!$I$4=""),0,ROUND(SUMIFS(aditivos!$L$2:$L$200,aditivos!$A$2:$A$200,$A60,aditivos!$C$2:$C$200,"C2",aditivos!$B$2:$B$200,"&gt;="&amp;(INT(parametros!$I$4)+1)),2)))</f>
        <v/>
      </c>
      <c r="AE60" t="str">
        <f>IF($A60="","",IF(OR(parametros!$C$5="",parametros!$I$5=""),0,ROUND(SUMIFS(aditivos!$L$2:$L$200,aditivos!$A$2:$A$200,$A60,aditivos!$C$2:$C$200,"C3",aditivos!$B$2:$B$200,"&gt;="&amp;(INT(parametros!$I$5)+1)),2)))</f>
        <v/>
      </c>
      <c r="AF60" t="str">
        <f>IF($A60="","",IF(OR(parametros!$C$6="",parametros!$I$6=""),0,ROUND(SUMIFS(aditivos!$L$2:$L$200,aditivos!$A$2:$A$200,$A60,aditivos!$C$2:$C$200,"C4",aditivos!$B$2:$B$200,"&gt;="&amp;(INT(parametros!$I$6)+1)),2)))</f>
        <v/>
      </c>
      <c r="AG60" t="str">
        <f t="shared" si="30"/>
        <v/>
      </c>
      <c r="AH60" t="str">
        <f t="shared" si="31"/>
        <v/>
      </c>
      <c r="AI60" t="str">
        <f t="shared" si="32"/>
        <v/>
      </c>
      <c r="AJ60" t="str">
        <f t="shared" si="33"/>
        <v/>
      </c>
      <c r="AK60" t="str">
        <f t="shared" si="34"/>
        <v/>
      </c>
      <c r="AL60" t="str">
        <f t="shared" si="35"/>
        <v/>
      </c>
    </row>
    <row r="61" spans="1:38" x14ac:dyDescent="0.35">
      <c r="A61" s="146" t="str">
        <f>IF(itens_Remanesc!A61="","",itens_Remanesc!A61)</f>
        <v/>
      </c>
      <c r="B61" s="196" t="str">
        <f>IF(A61="","",itens_Remanesc!C61)</f>
        <v/>
      </c>
      <c r="C61" s="161" t="str">
        <f>IF(A61="","",IF(itens_Remanesc!B61="",0,itens_Remanesc!B61))</f>
        <v/>
      </c>
      <c r="D61" s="163" t="str">
        <f>IF(A61="","",ROUND(SUMIFS(aditivos!$L$2:$L$200,aditivos!$A$2:$A$200,A61,aditivos!$C$2:$C$200,"C0"),2))</f>
        <v/>
      </c>
      <c r="E61" s="159" t="str">
        <f t="shared" si="18"/>
        <v/>
      </c>
      <c r="F61" s="159" t="str">
        <f>IF(A61="","",IF(itens_Remanesc!B61&lt;&gt;"",itens_Remanesc!B61,IF($Z61,0,"")))</f>
        <v/>
      </c>
      <c r="G61" s="167" t="str">
        <f t="shared" si="19"/>
        <v/>
      </c>
      <c r="H61" s="169" t="str">
        <f>IF(A61="","",ROUND(SUMIFS(aditivos!$L$2:$L$200,aditivos!$A$2:$A$200,A61,aditivos!$C$2:$C$200,"C1"),2))</f>
        <v/>
      </c>
      <c r="I61" s="165" t="str">
        <f t="shared" si="20"/>
        <v/>
      </c>
      <c r="J61" s="165" t="str">
        <f>IF(A61="","",IF(itens_Remanesc!E61="","",itens_Remanesc!E61))</f>
        <v/>
      </c>
      <c r="K61" s="171" t="str">
        <f t="shared" si="21"/>
        <v/>
      </c>
      <c r="L61" s="163" t="str">
        <f>IF(A61="","",ROUND(SUMIFS(aditivos!$L$2:$L$200,aditivos!$A$2:$A$200,A61,aditivos!$C$2:$C$200,"C2"),2))</f>
        <v/>
      </c>
      <c r="M61" s="159" t="str">
        <f t="shared" si="22"/>
        <v/>
      </c>
      <c r="N61" s="159" t="str">
        <f>IF(A61="","",IF(itens_Remanesc!G61="","",itens_Remanesc!G61))</f>
        <v/>
      </c>
      <c r="O61" s="167" t="str">
        <f t="shared" si="23"/>
        <v/>
      </c>
      <c r="P61" s="169" t="str">
        <f>IF(A61="","",ROUND(SUMIFS(aditivos!$L$2:$L$200,aditivos!$A$2:$A$200,A61,aditivos!$C$2:$C$200,"C3"),2))</f>
        <v/>
      </c>
      <c r="Q61" s="165" t="str">
        <f t="shared" si="24"/>
        <v/>
      </c>
      <c r="R61" s="165" t="str">
        <f>IF(A61="","",IF(itens_Remanesc!I61="","",itens_Remanesc!I61))</f>
        <v/>
      </c>
      <c r="S61" s="171" t="str">
        <f t="shared" si="25"/>
        <v/>
      </c>
      <c r="T61" s="163" t="str">
        <f>IF(A61="","",ROUND(SUMIFS(aditivos!$L$2:$L$200,aditivos!$A$2:$A$200,A61,aditivos!$C$2:$C$200,"C4"),2))</f>
        <v/>
      </c>
      <c r="U61" s="159" t="str">
        <f t="shared" si="26"/>
        <v/>
      </c>
      <c r="V61" s="159" t="str">
        <f>IF(A61="","",IF(itens_Remanesc!K61="","",itens_Remanesc!K61))</f>
        <v/>
      </c>
      <c r="W61" s="159" t="str">
        <f t="shared" si="27"/>
        <v/>
      </c>
      <c r="X61" s="146" t="str">
        <f>IF(A61="","",IF(COUNTIF($A$2:$A$200,A61)&gt;1,"ALERTA: ITEM_DUPLICADO",IF(AND($Z61,ISNUMBER(itens_Remanesc!B61),itens_Remanesc!B61&lt;&gt;0),"NOVO ITEM COM BASE DIFERENTE DE 0 - AJUSTAR itens_Remanesc",IF(AND($Z61,NOT(ISNUMBER(itens_Remanesc!C61))),"NOVO ITEM SEM VU_ORIGINAL - INFORMAR EM itens_Remanesc",IF(MIN(E61,I61,M61,Q61,U61,G61,K61,O61,S61,W61)&lt;0,"ALERTA: POSICAO_NEGATIVA",IF(OR(AND(G61&lt;&gt;"",G61&gt;E61),AND(K61&lt;&gt;"",K61&gt;I61),AND(O61&lt;&gt;"",O61&gt;M61),AND(S61&lt;&gt;"",S61&gt;Q61),AND(W61&lt;&gt;"",W61&gt;U61)),"ALERTA: REMANESCENTE_SUPERA_POSICAO","OK"))))))</f>
        <v/>
      </c>
      <c r="Y61" t="str">
        <f t="shared" si="28"/>
        <v/>
      </c>
      <c r="Z61" t="b">
        <f t="shared" si="29"/>
        <v>0</v>
      </c>
      <c r="AA61" s="208" t="str">
        <f>IF($A61="","",IF(COUNTIFS(aditivos!$A$2:$A$200,$A61,aditivos!$L$2:$L$200,"&lt;&gt;",aditivos!$L$2:$L$200,"&lt;&gt;0",aditivos!$B$2:$B$200,"&gt;0")=0,"",IFERROR(_xlfn.MINIFS(aditivos!$B$2:$B$200,aditivos!$A$2:$A$200,$A61,aditivos!$L$2:$L$200,"&lt;&gt;",aditivos!$L$2:$L$200,"&lt;&gt;0",aditivos!$B$2:$B$200,"&gt;0"),"")))</f>
        <v/>
      </c>
      <c r="AB61" t="str">
        <f>IF($A61="","",IF(OR(parametros!$C$2="",parametros!$I$2=""),0,ROUND(SUMIFS(aditivos!$L$2:$L$200,aditivos!$A$2:$A$200,$A61,aditivos!$C$2:$C$200,"C0",aditivos!$B$2:$B$200,"&gt;="&amp;(INT(parametros!$I$2)+1)),2)))</f>
        <v/>
      </c>
      <c r="AC61" t="str">
        <f>IF($A61="","",IF(OR(parametros!$C$3="",parametros!$I$3=""),0,ROUND(SUMIFS(aditivos!$L$2:$L$200,aditivos!$A$2:$A$200,$A61,aditivos!$C$2:$C$200,"C1",aditivos!$B$2:$B$200,"&gt;="&amp;(INT(parametros!$I$3)+1)),2)))</f>
        <v/>
      </c>
      <c r="AD61" t="str">
        <f>IF($A61="","",IF(OR(parametros!$C$4="",parametros!$I$4=""),0,ROUND(SUMIFS(aditivos!$L$2:$L$200,aditivos!$A$2:$A$200,$A61,aditivos!$C$2:$C$200,"C2",aditivos!$B$2:$B$200,"&gt;="&amp;(INT(parametros!$I$4)+1)),2)))</f>
        <v/>
      </c>
      <c r="AE61" t="str">
        <f>IF($A61="","",IF(OR(parametros!$C$5="",parametros!$I$5=""),0,ROUND(SUMIFS(aditivos!$L$2:$L$200,aditivos!$A$2:$A$200,$A61,aditivos!$C$2:$C$200,"C3",aditivos!$B$2:$B$200,"&gt;="&amp;(INT(parametros!$I$5)+1)),2)))</f>
        <v/>
      </c>
      <c r="AF61" t="str">
        <f>IF($A61="","",IF(OR(parametros!$C$6="",parametros!$I$6=""),0,ROUND(SUMIFS(aditivos!$L$2:$L$200,aditivos!$A$2:$A$200,$A61,aditivos!$C$2:$C$200,"C4",aditivos!$B$2:$B$200,"&gt;="&amp;(INT(parametros!$I$6)+1)),2)))</f>
        <v/>
      </c>
      <c r="AG61" t="str">
        <f t="shared" si="30"/>
        <v/>
      </c>
      <c r="AH61" t="str">
        <f t="shared" si="31"/>
        <v/>
      </c>
      <c r="AI61" t="str">
        <f t="shared" si="32"/>
        <v/>
      </c>
      <c r="AJ61" t="str">
        <f t="shared" si="33"/>
        <v/>
      </c>
      <c r="AK61" t="str">
        <f t="shared" si="34"/>
        <v/>
      </c>
      <c r="AL61" t="str">
        <f t="shared" si="35"/>
        <v/>
      </c>
    </row>
    <row r="62" spans="1:38" x14ac:dyDescent="0.35">
      <c r="A62" s="146" t="str">
        <f>IF(itens_Remanesc!A62="","",itens_Remanesc!A62)</f>
        <v/>
      </c>
      <c r="B62" s="196" t="str">
        <f>IF(A62="","",itens_Remanesc!C62)</f>
        <v/>
      </c>
      <c r="C62" s="161" t="str">
        <f>IF(A62="","",IF(itens_Remanesc!B62="",0,itens_Remanesc!B62))</f>
        <v/>
      </c>
      <c r="D62" s="163" t="str">
        <f>IF(A62="","",ROUND(SUMIFS(aditivos!$L$2:$L$200,aditivos!$A$2:$A$200,A62,aditivos!$C$2:$C$200,"C0"),2))</f>
        <v/>
      </c>
      <c r="E62" s="159" t="str">
        <f t="shared" si="18"/>
        <v/>
      </c>
      <c r="F62" s="159" t="str">
        <f>IF(A62="","",IF(itens_Remanesc!B62&lt;&gt;"",itens_Remanesc!B62,IF($Z62,0,"")))</f>
        <v/>
      </c>
      <c r="G62" s="167" t="str">
        <f t="shared" si="19"/>
        <v/>
      </c>
      <c r="H62" s="169" t="str">
        <f>IF(A62="","",ROUND(SUMIFS(aditivos!$L$2:$L$200,aditivos!$A$2:$A$200,A62,aditivos!$C$2:$C$200,"C1"),2))</f>
        <v/>
      </c>
      <c r="I62" s="165" t="str">
        <f t="shared" si="20"/>
        <v/>
      </c>
      <c r="J62" s="165" t="str">
        <f>IF(A62="","",IF(itens_Remanesc!E62="","",itens_Remanesc!E62))</f>
        <v/>
      </c>
      <c r="K62" s="171" t="str">
        <f t="shared" si="21"/>
        <v/>
      </c>
      <c r="L62" s="163" t="str">
        <f>IF(A62="","",ROUND(SUMIFS(aditivos!$L$2:$L$200,aditivos!$A$2:$A$200,A62,aditivos!$C$2:$C$200,"C2"),2))</f>
        <v/>
      </c>
      <c r="M62" s="159" t="str">
        <f t="shared" si="22"/>
        <v/>
      </c>
      <c r="N62" s="159" t="str">
        <f>IF(A62="","",IF(itens_Remanesc!G62="","",itens_Remanesc!G62))</f>
        <v/>
      </c>
      <c r="O62" s="167" t="str">
        <f t="shared" si="23"/>
        <v/>
      </c>
      <c r="P62" s="169" t="str">
        <f>IF(A62="","",ROUND(SUMIFS(aditivos!$L$2:$L$200,aditivos!$A$2:$A$200,A62,aditivos!$C$2:$C$200,"C3"),2))</f>
        <v/>
      </c>
      <c r="Q62" s="165" t="str">
        <f t="shared" si="24"/>
        <v/>
      </c>
      <c r="R62" s="165" t="str">
        <f>IF(A62="","",IF(itens_Remanesc!I62="","",itens_Remanesc!I62))</f>
        <v/>
      </c>
      <c r="S62" s="171" t="str">
        <f t="shared" si="25"/>
        <v/>
      </c>
      <c r="T62" s="163" t="str">
        <f>IF(A62="","",ROUND(SUMIFS(aditivos!$L$2:$L$200,aditivos!$A$2:$A$200,A62,aditivos!$C$2:$C$200,"C4"),2))</f>
        <v/>
      </c>
      <c r="U62" s="159" t="str">
        <f t="shared" si="26"/>
        <v/>
      </c>
      <c r="V62" s="159" t="str">
        <f>IF(A62="","",IF(itens_Remanesc!K62="","",itens_Remanesc!K62))</f>
        <v/>
      </c>
      <c r="W62" s="159" t="str">
        <f t="shared" si="27"/>
        <v/>
      </c>
      <c r="X62" s="146" t="str">
        <f>IF(A62="","",IF(COUNTIF($A$2:$A$200,A62)&gt;1,"ALERTA: ITEM_DUPLICADO",IF(AND($Z62,ISNUMBER(itens_Remanesc!B62),itens_Remanesc!B62&lt;&gt;0),"NOVO ITEM COM BASE DIFERENTE DE 0 - AJUSTAR itens_Remanesc",IF(AND($Z62,NOT(ISNUMBER(itens_Remanesc!C62))),"NOVO ITEM SEM VU_ORIGINAL - INFORMAR EM itens_Remanesc",IF(MIN(E62,I62,M62,Q62,U62,G62,K62,O62,S62,W62)&lt;0,"ALERTA: POSICAO_NEGATIVA",IF(OR(AND(G62&lt;&gt;"",G62&gt;E62),AND(K62&lt;&gt;"",K62&gt;I62),AND(O62&lt;&gt;"",O62&gt;M62),AND(S62&lt;&gt;"",S62&gt;Q62),AND(W62&lt;&gt;"",W62&gt;U62)),"ALERTA: REMANESCENTE_SUPERA_POSICAO","OK"))))))</f>
        <v/>
      </c>
      <c r="Y62" t="str">
        <f t="shared" si="28"/>
        <v/>
      </c>
      <c r="Z62" t="b">
        <f t="shared" si="29"/>
        <v>0</v>
      </c>
      <c r="AA62" s="208" t="str">
        <f>IF($A62="","",IF(COUNTIFS(aditivos!$A$2:$A$200,$A62,aditivos!$L$2:$L$200,"&lt;&gt;",aditivos!$L$2:$L$200,"&lt;&gt;0",aditivos!$B$2:$B$200,"&gt;0")=0,"",IFERROR(_xlfn.MINIFS(aditivos!$B$2:$B$200,aditivos!$A$2:$A$200,$A62,aditivos!$L$2:$L$200,"&lt;&gt;",aditivos!$L$2:$L$200,"&lt;&gt;0",aditivos!$B$2:$B$200,"&gt;0"),"")))</f>
        <v/>
      </c>
      <c r="AB62" t="str">
        <f>IF($A62="","",IF(OR(parametros!$C$2="",parametros!$I$2=""),0,ROUND(SUMIFS(aditivos!$L$2:$L$200,aditivos!$A$2:$A$200,$A62,aditivos!$C$2:$C$200,"C0",aditivos!$B$2:$B$200,"&gt;="&amp;(INT(parametros!$I$2)+1)),2)))</f>
        <v/>
      </c>
      <c r="AC62" t="str">
        <f>IF($A62="","",IF(OR(parametros!$C$3="",parametros!$I$3=""),0,ROUND(SUMIFS(aditivos!$L$2:$L$200,aditivos!$A$2:$A$200,$A62,aditivos!$C$2:$C$200,"C1",aditivos!$B$2:$B$200,"&gt;="&amp;(INT(parametros!$I$3)+1)),2)))</f>
        <v/>
      </c>
      <c r="AD62" t="str">
        <f>IF($A62="","",IF(OR(parametros!$C$4="",parametros!$I$4=""),0,ROUND(SUMIFS(aditivos!$L$2:$L$200,aditivos!$A$2:$A$200,$A62,aditivos!$C$2:$C$200,"C2",aditivos!$B$2:$B$200,"&gt;="&amp;(INT(parametros!$I$4)+1)),2)))</f>
        <v/>
      </c>
      <c r="AE62" t="str">
        <f>IF($A62="","",IF(OR(parametros!$C$5="",parametros!$I$5=""),0,ROUND(SUMIFS(aditivos!$L$2:$L$200,aditivos!$A$2:$A$200,$A62,aditivos!$C$2:$C$200,"C3",aditivos!$B$2:$B$200,"&gt;="&amp;(INT(parametros!$I$5)+1)),2)))</f>
        <v/>
      </c>
      <c r="AF62" t="str">
        <f>IF($A62="","",IF(OR(parametros!$C$6="",parametros!$I$6=""),0,ROUND(SUMIFS(aditivos!$L$2:$L$200,aditivos!$A$2:$A$200,$A62,aditivos!$C$2:$C$200,"C4",aditivos!$B$2:$B$200,"&gt;="&amp;(INT(parametros!$I$6)+1)),2)))</f>
        <v/>
      </c>
      <c r="AG62" t="str">
        <f t="shared" si="30"/>
        <v/>
      </c>
      <c r="AH62" t="str">
        <f t="shared" si="31"/>
        <v/>
      </c>
      <c r="AI62" t="str">
        <f t="shared" si="32"/>
        <v/>
      </c>
      <c r="AJ62" t="str">
        <f t="shared" si="33"/>
        <v/>
      </c>
      <c r="AK62" t="str">
        <f t="shared" si="34"/>
        <v/>
      </c>
      <c r="AL62" t="str">
        <f t="shared" si="35"/>
        <v/>
      </c>
    </row>
    <row r="63" spans="1:38" x14ac:dyDescent="0.35">
      <c r="A63" s="146" t="str">
        <f>IF(itens_Remanesc!A63="","",itens_Remanesc!A63)</f>
        <v/>
      </c>
      <c r="B63" s="196" t="str">
        <f>IF(A63="","",itens_Remanesc!C63)</f>
        <v/>
      </c>
      <c r="C63" s="161" t="str">
        <f>IF(A63="","",IF(itens_Remanesc!B63="",0,itens_Remanesc!B63))</f>
        <v/>
      </c>
      <c r="D63" s="163" t="str">
        <f>IF(A63="","",ROUND(SUMIFS(aditivos!$L$2:$L$200,aditivos!$A$2:$A$200,A63,aditivos!$C$2:$C$200,"C0"),2))</f>
        <v/>
      </c>
      <c r="E63" s="159" t="str">
        <f t="shared" si="18"/>
        <v/>
      </c>
      <c r="F63" s="159" t="str">
        <f>IF(A63="","",IF(itens_Remanesc!B63&lt;&gt;"",itens_Remanesc!B63,IF($Z63,0,"")))</f>
        <v/>
      </c>
      <c r="G63" s="167" t="str">
        <f t="shared" si="19"/>
        <v/>
      </c>
      <c r="H63" s="169" t="str">
        <f>IF(A63="","",ROUND(SUMIFS(aditivos!$L$2:$L$200,aditivos!$A$2:$A$200,A63,aditivos!$C$2:$C$200,"C1"),2))</f>
        <v/>
      </c>
      <c r="I63" s="165" t="str">
        <f t="shared" si="20"/>
        <v/>
      </c>
      <c r="J63" s="165" t="str">
        <f>IF(A63="","",IF(itens_Remanesc!E63="","",itens_Remanesc!E63))</f>
        <v/>
      </c>
      <c r="K63" s="171" t="str">
        <f t="shared" si="21"/>
        <v/>
      </c>
      <c r="L63" s="163" t="str">
        <f>IF(A63="","",ROUND(SUMIFS(aditivos!$L$2:$L$200,aditivos!$A$2:$A$200,A63,aditivos!$C$2:$C$200,"C2"),2))</f>
        <v/>
      </c>
      <c r="M63" s="159" t="str">
        <f t="shared" si="22"/>
        <v/>
      </c>
      <c r="N63" s="159" t="str">
        <f>IF(A63="","",IF(itens_Remanesc!G63="","",itens_Remanesc!G63))</f>
        <v/>
      </c>
      <c r="O63" s="167" t="str">
        <f t="shared" si="23"/>
        <v/>
      </c>
      <c r="P63" s="169" t="str">
        <f>IF(A63="","",ROUND(SUMIFS(aditivos!$L$2:$L$200,aditivos!$A$2:$A$200,A63,aditivos!$C$2:$C$200,"C3"),2))</f>
        <v/>
      </c>
      <c r="Q63" s="165" t="str">
        <f t="shared" si="24"/>
        <v/>
      </c>
      <c r="R63" s="165" t="str">
        <f>IF(A63="","",IF(itens_Remanesc!I63="","",itens_Remanesc!I63))</f>
        <v/>
      </c>
      <c r="S63" s="171" t="str">
        <f t="shared" si="25"/>
        <v/>
      </c>
      <c r="T63" s="163" t="str">
        <f>IF(A63="","",ROUND(SUMIFS(aditivos!$L$2:$L$200,aditivos!$A$2:$A$200,A63,aditivos!$C$2:$C$200,"C4"),2))</f>
        <v/>
      </c>
      <c r="U63" s="159" t="str">
        <f t="shared" si="26"/>
        <v/>
      </c>
      <c r="V63" s="159" t="str">
        <f>IF(A63="","",IF(itens_Remanesc!K63="","",itens_Remanesc!K63))</f>
        <v/>
      </c>
      <c r="W63" s="159" t="str">
        <f t="shared" si="27"/>
        <v/>
      </c>
      <c r="X63" s="146" t="str">
        <f>IF(A63="","",IF(COUNTIF($A$2:$A$200,A63)&gt;1,"ALERTA: ITEM_DUPLICADO",IF(AND($Z63,ISNUMBER(itens_Remanesc!B63),itens_Remanesc!B63&lt;&gt;0),"NOVO ITEM COM BASE DIFERENTE DE 0 - AJUSTAR itens_Remanesc",IF(AND($Z63,NOT(ISNUMBER(itens_Remanesc!C63))),"NOVO ITEM SEM VU_ORIGINAL - INFORMAR EM itens_Remanesc",IF(MIN(E63,I63,M63,Q63,U63,G63,K63,O63,S63,W63)&lt;0,"ALERTA: POSICAO_NEGATIVA",IF(OR(AND(G63&lt;&gt;"",G63&gt;E63),AND(K63&lt;&gt;"",K63&gt;I63),AND(O63&lt;&gt;"",O63&gt;M63),AND(S63&lt;&gt;"",S63&gt;Q63),AND(W63&lt;&gt;"",W63&gt;U63)),"ALERTA: REMANESCENTE_SUPERA_POSICAO","OK"))))))</f>
        <v/>
      </c>
      <c r="Y63" t="str">
        <f t="shared" si="28"/>
        <v/>
      </c>
      <c r="Z63" t="b">
        <f t="shared" si="29"/>
        <v>0</v>
      </c>
      <c r="AA63" s="208" t="str">
        <f>IF($A63="","",IF(COUNTIFS(aditivos!$A$2:$A$200,$A63,aditivos!$L$2:$L$200,"&lt;&gt;",aditivos!$L$2:$L$200,"&lt;&gt;0",aditivos!$B$2:$B$200,"&gt;0")=0,"",IFERROR(_xlfn.MINIFS(aditivos!$B$2:$B$200,aditivos!$A$2:$A$200,$A63,aditivos!$L$2:$L$200,"&lt;&gt;",aditivos!$L$2:$L$200,"&lt;&gt;0",aditivos!$B$2:$B$200,"&gt;0"),"")))</f>
        <v/>
      </c>
      <c r="AB63" t="str">
        <f>IF($A63="","",IF(OR(parametros!$C$2="",parametros!$I$2=""),0,ROUND(SUMIFS(aditivos!$L$2:$L$200,aditivos!$A$2:$A$200,$A63,aditivos!$C$2:$C$200,"C0",aditivos!$B$2:$B$200,"&gt;="&amp;(INT(parametros!$I$2)+1)),2)))</f>
        <v/>
      </c>
      <c r="AC63" t="str">
        <f>IF($A63="","",IF(OR(parametros!$C$3="",parametros!$I$3=""),0,ROUND(SUMIFS(aditivos!$L$2:$L$200,aditivos!$A$2:$A$200,$A63,aditivos!$C$2:$C$200,"C1",aditivos!$B$2:$B$200,"&gt;="&amp;(INT(parametros!$I$3)+1)),2)))</f>
        <v/>
      </c>
      <c r="AD63" t="str">
        <f>IF($A63="","",IF(OR(parametros!$C$4="",parametros!$I$4=""),0,ROUND(SUMIFS(aditivos!$L$2:$L$200,aditivos!$A$2:$A$200,$A63,aditivos!$C$2:$C$200,"C2",aditivos!$B$2:$B$200,"&gt;="&amp;(INT(parametros!$I$4)+1)),2)))</f>
        <v/>
      </c>
      <c r="AE63" t="str">
        <f>IF($A63="","",IF(OR(parametros!$C$5="",parametros!$I$5=""),0,ROUND(SUMIFS(aditivos!$L$2:$L$200,aditivos!$A$2:$A$200,$A63,aditivos!$C$2:$C$200,"C3",aditivos!$B$2:$B$200,"&gt;="&amp;(INT(parametros!$I$5)+1)),2)))</f>
        <v/>
      </c>
      <c r="AF63" t="str">
        <f>IF($A63="","",IF(OR(parametros!$C$6="",parametros!$I$6=""),0,ROUND(SUMIFS(aditivos!$L$2:$L$200,aditivos!$A$2:$A$200,$A63,aditivos!$C$2:$C$200,"C4",aditivos!$B$2:$B$200,"&gt;="&amp;(INT(parametros!$I$6)+1)),2)))</f>
        <v/>
      </c>
      <c r="AG63" t="str">
        <f t="shared" si="30"/>
        <v/>
      </c>
      <c r="AH63" t="str">
        <f t="shared" si="31"/>
        <v/>
      </c>
      <c r="AI63" t="str">
        <f t="shared" si="32"/>
        <v/>
      </c>
      <c r="AJ63" t="str">
        <f t="shared" si="33"/>
        <v/>
      </c>
      <c r="AK63" t="str">
        <f t="shared" si="34"/>
        <v/>
      </c>
      <c r="AL63" t="str">
        <f t="shared" si="35"/>
        <v/>
      </c>
    </row>
    <row r="64" spans="1:38" x14ac:dyDescent="0.35">
      <c r="A64" s="146" t="str">
        <f>IF(itens_Remanesc!A64="","",itens_Remanesc!A64)</f>
        <v/>
      </c>
      <c r="B64" s="196" t="str">
        <f>IF(A64="","",itens_Remanesc!C64)</f>
        <v/>
      </c>
      <c r="C64" s="161" t="str">
        <f>IF(A64="","",IF(itens_Remanesc!B64="",0,itens_Remanesc!B64))</f>
        <v/>
      </c>
      <c r="D64" s="163" t="str">
        <f>IF(A64="","",ROUND(SUMIFS(aditivos!$L$2:$L$200,aditivos!$A$2:$A$200,A64,aditivos!$C$2:$C$200,"C0"),2))</f>
        <v/>
      </c>
      <c r="E64" s="159" t="str">
        <f t="shared" si="18"/>
        <v/>
      </c>
      <c r="F64" s="159" t="str">
        <f>IF(A64="","",IF(itens_Remanesc!B64&lt;&gt;"",itens_Remanesc!B64,IF($Z64,0,"")))</f>
        <v/>
      </c>
      <c r="G64" s="167" t="str">
        <f t="shared" si="19"/>
        <v/>
      </c>
      <c r="H64" s="169" t="str">
        <f>IF(A64="","",ROUND(SUMIFS(aditivos!$L$2:$L$200,aditivos!$A$2:$A$200,A64,aditivos!$C$2:$C$200,"C1"),2))</f>
        <v/>
      </c>
      <c r="I64" s="165" t="str">
        <f t="shared" si="20"/>
        <v/>
      </c>
      <c r="J64" s="165" t="str">
        <f>IF(A64="","",IF(itens_Remanesc!E64="","",itens_Remanesc!E64))</f>
        <v/>
      </c>
      <c r="K64" s="171" t="str">
        <f t="shared" si="21"/>
        <v/>
      </c>
      <c r="L64" s="163" t="str">
        <f>IF(A64="","",ROUND(SUMIFS(aditivos!$L$2:$L$200,aditivos!$A$2:$A$200,A64,aditivos!$C$2:$C$200,"C2"),2))</f>
        <v/>
      </c>
      <c r="M64" s="159" t="str">
        <f t="shared" si="22"/>
        <v/>
      </c>
      <c r="N64" s="159" t="str">
        <f>IF(A64="","",IF(itens_Remanesc!G64="","",itens_Remanesc!G64))</f>
        <v/>
      </c>
      <c r="O64" s="167" t="str">
        <f t="shared" si="23"/>
        <v/>
      </c>
      <c r="P64" s="169" t="str">
        <f>IF(A64="","",ROUND(SUMIFS(aditivos!$L$2:$L$200,aditivos!$A$2:$A$200,A64,aditivos!$C$2:$C$200,"C3"),2))</f>
        <v/>
      </c>
      <c r="Q64" s="165" t="str">
        <f t="shared" si="24"/>
        <v/>
      </c>
      <c r="R64" s="165" t="str">
        <f>IF(A64="","",IF(itens_Remanesc!I64="","",itens_Remanesc!I64))</f>
        <v/>
      </c>
      <c r="S64" s="171" t="str">
        <f t="shared" si="25"/>
        <v/>
      </c>
      <c r="T64" s="163" t="str">
        <f>IF(A64="","",ROUND(SUMIFS(aditivos!$L$2:$L$200,aditivos!$A$2:$A$200,A64,aditivos!$C$2:$C$200,"C4"),2))</f>
        <v/>
      </c>
      <c r="U64" s="159" t="str">
        <f t="shared" si="26"/>
        <v/>
      </c>
      <c r="V64" s="159" t="str">
        <f>IF(A64="","",IF(itens_Remanesc!K64="","",itens_Remanesc!K64))</f>
        <v/>
      </c>
      <c r="W64" s="159" t="str">
        <f t="shared" si="27"/>
        <v/>
      </c>
      <c r="X64" s="146" t="str">
        <f>IF(A64="","",IF(COUNTIF($A$2:$A$200,A64)&gt;1,"ALERTA: ITEM_DUPLICADO",IF(AND($Z64,ISNUMBER(itens_Remanesc!B64),itens_Remanesc!B64&lt;&gt;0),"NOVO ITEM COM BASE DIFERENTE DE 0 - AJUSTAR itens_Remanesc",IF(AND($Z64,NOT(ISNUMBER(itens_Remanesc!C64))),"NOVO ITEM SEM VU_ORIGINAL - INFORMAR EM itens_Remanesc",IF(MIN(E64,I64,M64,Q64,U64,G64,K64,O64,S64,W64)&lt;0,"ALERTA: POSICAO_NEGATIVA",IF(OR(AND(G64&lt;&gt;"",G64&gt;E64),AND(K64&lt;&gt;"",K64&gt;I64),AND(O64&lt;&gt;"",O64&gt;M64),AND(S64&lt;&gt;"",S64&gt;Q64),AND(W64&lt;&gt;"",W64&gt;U64)),"ALERTA: REMANESCENTE_SUPERA_POSICAO","OK"))))))</f>
        <v/>
      </c>
      <c r="Y64" t="str">
        <f t="shared" si="28"/>
        <v/>
      </c>
      <c r="Z64" t="b">
        <f t="shared" si="29"/>
        <v>0</v>
      </c>
      <c r="AA64" s="208" t="str">
        <f>IF($A64="","",IF(COUNTIFS(aditivos!$A$2:$A$200,$A64,aditivos!$L$2:$L$200,"&lt;&gt;",aditivos!$L$2:$L$200,"&lt;&gt;0",aditivos!$B$2:$B$200,"&gt;0")=0,"",IFERROR(_xlfn.MINIFS(aditivos!$B$2:$B$200,aditivos!$A$2:$A$200,$A64,aditivos!$L$2:$L$200,"&lt;&gt;",aditivos!$L$2:$L$200,"&lt;&gt;0",aditivos!$B$2:$B$200,"&gt;0"),"")))</f>
        <v/>
      </c>
      <c r="AB64" t="str">
        <f>IF($A64="","",IF(OR(parametros!$C$2="",parametros!$I$2=""),0,ROUND(SUMIFS(aditivos!$L$2:$L$200,aditivos!$A$2:$A$200,$A64,aditivos!$C$2:$C$200,"C0",aditivos!$B$2:$B$200,"&gt;="&amp;(INT(parametros!$I$2)+1)),2)))</f>
        <v/>
      </c>
      <c r="AC64" t="str">
        <f>IF($A64="","",IF(OR(parametros!$C$3="",parametros!$I$3=""),0,ROUND(SUMIFS(aditivos!$L$2:$L$200,aditivos!$A$2:$A$200,$A64,aditivos!$C$2:$C$200,"C1",aditivos!$B$2:$B$200,"&gt;="&amp;(INT(parametros!$I$3)+1)),2)))</f>
        <v/>
      </c>
      <c r="AD64" t="str">
        <f>IF($A64="","",IF(OR(parametros!$C$4="",parametros!$I$4=""),0,ROUND(SUMIFS(aditivos!$L$2:$L$200,aditivos!$A$2:$A$200,$A64,aditivos!$C$2:$C$200,"C2",aditivos!$B$2:$B$200,"&gt;="&amp;(INT(parametros!$I$4)+1)),2)))</f>
        <v/>
      </c>
      <c r="AE64" t="str">
        <f>IF($A64="","",IF(OR(parametros!$C$5="",parametros!$I$5=""),0,ROUND(SUMIFS(aditivos!$L$2:$L$200,aditivos!$A$2:$A$200,$A64,aditivos!$C$2:$C$200,"C3",aditivos!$B$2:$B$200,"&gt;="&amp;(INT(parametros!$I$5)+1)),2)))</f>
        <v/>
      </c>
      <c r="AF64" t="str">
        <f>IF($A64="","",IF(OR(parametros!$C$6="",parametros!$I$6=""),0,ROUND(SUMIFS(aditivos!$L$2:$L$200,aditivos!$A$2:$A$200,$A64,aditivos!$C$2:$C$200,"C4",aditivos!$B$2:$B$200,"&gt;="&amp;(INT(parametros!$I$6)+1)),2)))</f>
        <v/>
      </c>
      <c r="AG64" t="str">
        <f t="shared" si="30"/>
        <v/>
      </c>
      <c r="AH64" t="str">
        <f t="shared" si="31"/>
        <v/>
      </c>
      <c r="AI64" t="str">
        <f t="shared" si="32"/>
        <v/>
      </c>
      <c r="AJ64" t="str">
        <f t="shared" si="33"/>
        <v/>
      </c>
      <c r="AK64" t="str">
        <f t="shared" si="34"/>
        <v/>
      </c>
      <c r="AL64" t="str">
        <f t="shared" si="35"/>
        <v/>
      </c>
    </row>
    <row r="65" spans="1:38" x14ac:dyDescent="0.35">
      <c r="A65" s="146" t="str">
        <f>IF(itens_Remanesc!A65="","",itens_Remanesc!A65)</f>
        <v/>
      </c>
      <c r="B65" s="196" t="str">
        <f>IF(A65="","",itens_Remanesc!C65)</f>
        <v/>
      </c>
      <c r="C65" s="161" t="str">
        <f>IF(A65="","",IF(itens_Remanesc!B65="",0,itens_Remanesc!B65))</f>
        <v/>
      </c>
      <c r="D65" s="163" t="str">
        <f>IF(A65="","",ROUND(SUMIFS(aditivos!$L$2:$L$200,aditivos!$A$2:$A$200,A65,aditivos!$C$2:$C$200,"C0"),2))</f>
        <v/>
      </c>
      <c r="E65" s="159" t="str">
        <f t="shared" si="18"/>
        <v/>
      </c>
      <c r="F65" s="159" t="str">
        <f>IF(A65="","",IF(itens_Remanesc!B65&lt;&gt;"",itens_Remanesc!B65,IF($Z65,0,"")))</f>
        <v/>
      </c>
      <c r="G65" s="167" t="str">
        <f t="shared" si="19"/>
        <v/>
      </c>
      <c r="H65" s="169" t="str">
        <f>IF(A65="","",ROUND(SUMIFS(aditivos!$L$2:$L$200,aditivos!$A$2:$A$200,A65,aditivos!$C$2:$C$200,"C1"),2))</f>
        <v/>
      </c>
      <c r="I65" s="165" t="str">
        <f t="shared" si="20"/>
        <v/>
      </c>
      <c r="J65" s="165" t="str">
        <f>IF(A65="","",IF(itens_Remanesc!E65="","",itens_Remanesc!E65))</f>
        <v/>
      </c>
      <c r="K65" s="171" t="str">
        <f t="shared" si="21"/>
        <v/>
      </c>
      <c r="L65" s="163" t="str">
        <f>IF(A65="","",ROUND(SUMIFS(aditivos!$L$2:$L$200,aditivos!$A$2:$A$200,A65,aditivos!$C$2:$C$200,"C2"),2))</f>
        <v/>
      </c>
      <c r="M65" s="159" t="str">
        <f t="shared" si="22"/>
        <v/>
      </c>
      <c r="N65" s="159" t="str">
        <f>IF(A65="","",IF(itens_Remanesc!G65="","",itens_Remanesc!G65))</f>
        <v/>
      </c>
      <c r="O65" s="167" t="str">
        <f t="shared" si="23"/>
        <v/>
      </c>
      <c r="P65" s="169" t="str">
        <f>IF(A65="","",ROUND(SUMIFS(aditivos!$L$2:$L$200,aditivos!$A$2:$A$200,A65,aditivos!$C$2:$C$200,"C3"),2))</f>
        <v/>
      </c>
      <c r="Q65" s="165" t="str">
        <f t="shared" si="24"/>
        <v/>
      </c>
      <c r="R65" s="165" t="str">
        <f>IF(A65="","",IF(itens_Remanesc!I65="","",itens_Remanesc!I65))</f>
        <v/>
      </c>
      <c r="S65" s="171" t="str">
        <f t="shared" si="25"/>
        <v/>
      </c>
      <c r="T65" s="163" t="str">
        <f>IF(A65="","",ROUND(SUMIFS(aditivos!$L$2:$L$200,aditivos!$A$2:$A$200,A65,aditivos!$C$2:$C$200,"C4"),2))</f>
        <v/>
      </c>
      <c r="U65" s="159" t="str">
        <f t="shared" si="26"/>
        <v/>
      </c>
      <c r="V65" s="159" t="str">
        <f>IF(A65="","",IF(itens_Remanesc!K65="","",itens_Remanesc!K65))</f>
        <v/>
      </c>
      <c r="W65" s="159" t="str">
        <f t="shared" si="27"/>
        <v/>
      </c>
      <c r="X65" s="146" t="str">
        <f>IF(A65="","",IF(COUNTIF($A$2:$A$200,A65)&gt;1,"ALERTA: ITEM_DUPLICADO",IF(AND($Z65,ISNUMBER(itens_Remanesc!B65),itens_Remanesc!B65&lt;&gt;0),"NOVO ITEM COM BASE DIFERENTE DE 0 - AJUSTAR itens_Remanesc",IF(AND($Z65,NOT(ISNUMBER(itens_Remanesc!C65))),"NOVO ITEM SEM VU_ORIGINAL - INFORMAR EM itens_Remanesc",IF(MIN(E65,I65,M65,Q65,U65,G65,K65,O65,S65,W65)&lt;0,"ALERTA: POSICAO_NEGATIVA",IF(OR(AND(G65&lt;&gt;"",G65&gt;E65),AND(K65&lt;&gt;"",K65&gt;I65),AND(O65&lt;&gt;"",O65&gt;M65),AND(S65&lt;&gt;"",S65&gt;Q65),AND(W65&lt;&gt;"",W65&gt;U65)),"ALERTA: REMANESCENTE_SUPERA_POSICAO","OK"))))))</f>
        <v/>
      </c>
      <c r="Y65" t="str">
        <f t="shared" si="28"/>
        <v/>
      </c>
      <c r="Z65" t="b">
        <f t="shared" si="29"/>
        <v>0</v>
      </c>
      <c r="AA65" s="208" t="str">
        <f>IF($A65="","",IF(COUNTIFS(aditivos!$A$2:$A$200,$A65,aditivos!$L$2:$L$200,"&lt;&gt;",aditivos!$L$2:$L$200,"&lt;&gt;0",aditivos!$B$2:$B$200,"&gt;0")=0,"",IFERROR(_xlfn.MINIFS(aditivos!$B$2:$B$200,aditivos!$A$2:$A$200,$A65,aditivos!$L$2:$L$200,"&lt;&gt;",aditivos!$L$2:$L$200,"&lt;&gt;0",aditivos!$B$2:$B$200,"&gt;0"),"")))</f>
        <v/>
      </c>
      <c r="AB65" t="str">
        <f>IF($A65="","",IF(OR(parametros!$C$2="",parametros!$I$2=""),0,ROUND(SUMIFS(aditivos!$L$2:$L$200,aditivos!$A$2:$A$200,$A65,aditivos!$C$2:$C$200,"C0",aditivos!$B$2:$B$200,"&gt;="&amp;(INT(parametros!$I$2)+1)),2)))</f>
        <v/>
      </c>
      <c r="AC65" t="str">
        <f>IF($A65="","",IF(OR(parametros!$C$3="",parametros!$I$3=""),0,ROUND(SUMIFS(aditivos!$L$2:$L$200,aditivos!$A$2:$A$200,$A65,aditivos!$C$2:$C$200,"C1",aditivos!$B$2:$B$200,"&gt;="&amp;(INT(parametros!$I$3)+1)),2)))</f>
        <v/>
      </c>
      <c r="AD65" t="str">
        <f>IF($A65="","",IF(OR(parametros!$C$4="",parametros!$I$4=""),0,ROUND(SUMIFS(aditivos!$L$2:$L$200,aditivos!$A$2:$A$200,$A65,aditivos!$C$2:$C$200,"C2",aditivos!$B$2:$B$200,"&gt;="&amp;(INT(parametros!$I$4)+1)),2)))</f>
        <v/>
      </c>
      <c r="AE65" t="str">
        <f>IF($A65="","",IF(OR(parametros!$C$5="",parametros!$I$5=""),0,ROUND(SUMIFS(aditivos!$L$2:$L$200,aditivos!$A$2:$A$200,$A65,aditivos!$C$2:$C$200,"C3",aditivos!$B$2:$B$200,"&gt;="&amp;(INT(parametros!$I$5)+1)),2)))</f>
        <v/>
      </c>
      <c r="AF65" t="str">
        <f>IF($A65="","",IF(OR(parametros!$C$6="",parametros!$I$6=""),0,ROUND(SUMIFS(aditivos!$L$2:$L$200,aditivos!$A$2:$A$200,$A65,aditivos!$C$2:$C$200,"C4",aditivos!$B$2:$B$200,"&gt;="&amp;(INT(parametros!$I$6)+1)),2)))</f>
        <v/>
      </c>
      <c r="AG65" t="str">
        <f t="shared" si="30"/>
        <v/>
      </c>
      <c r="AH65" t="str">
        <f t="shared" si="31"/>
        <v/>
      </c>
      <c r="AI65" t="str">
        <f t="shared" si="32"/>
        <v/>
      </c>
      <c r="AJ65" t="str">
        <f t="shared" si="33"/>
        <v/>
      </c>
      <c r="AK65" t="str">
        <f t="shared" si="34"/>
        <v/>
      </c>
      <c r="AL65" t="str">
        <f t="shared" si="35"/>
        <v/>
      </c>
    </row>
    <row r="66" spans="1:38" x14ac:dyDescent="0.35">
      <c r="A66" s="146" t="str">
        <f>IF(itens_Remanesc!A66="","",itens_Remanesc!A66)</f>
        <v/>
      </c>
      <c r="B66" s="196" t="str">
        <f>IF(A66="","",itens_Remanesc!C66)</f>
        <v/>
      </c>
      <c r="C66" s="161" t="str">
        <f>IF(A66="","",IF(itens_Remanesc!B66="",0,itens_Remanesc!B66))</f>
        <v/>
      </c>
      <c r="D66" s="163" t="str">
        <f>IF(A66="","",ROUND(SUMIFS(aditivos!$L$2:$L$200,aditivos!$A$2:$A$200,A66,aditivos!$C$2:$C$200,"C0"),2))</f>
        <v/>
      </c>
      <c r="E66" s="159" t="str">
        <f t="shared" ref="E66:E97" si="36">IF(A66="","",ROUND(C66+D66,2))</f>
        <v/>
      </c>
      <c r="F66" s="159" t="str">
        <f>IF(A66="","",IF(itens_Remanesc!B66&lt;&gt;"",itens_Remanesc!B66,IF($Z66,0,"")))</f>
        <v/>
      </c>
      <c r="G66" s="167" t="str">
        <f t="shared" ref="G66:G97" si="37">IF(A66="","",IF($Y66="","",IF($Y66&gt;0,"",ROUND(E66,2))))</f>
        <v/>
      </c>
      <c r="H66" s="169" t="str">
        <f>IF(A66="","",ROUND(SUMIFS(aditivos!$L$2:$L$200,aditivos!$A$2:$A$200,A66,aditivos!$C$2:$C$200,"C1"),2))</f>
        <v/>
      </c>
      <c r="I66" s="165" t="str">
        <f t="shared" ref="I66:I97" si="38">IF(A66="","",ROUND(E66+H66,2))</f>
        <v/>
      </c>
      <c r="J66" s="165" t="str">
        <f>IF(A66="","",IF(itens_Remanesc!E66="","",itens_Remanesc!E66))</f>
        <v/>
      </c>
      <c r="K66" s="171" t="str">
        <f t="shared" ref="K66:K97" si="39">IF(A66="","",IF($Y66="","",IF($Y66&gt;1,"",IF(ISNUMBER(J66),ROUND(J66+H66,2),IF($Y66=1,ROUND(H66,2),"")))))</f>
        <v/>
      </c>
      <c r="L66" s="163" t="str">
        <f>IF(A66="","",ROUND(SUMIFS(aditivos!$L$2:$L$200,aditivos!$A$2:$A$200,A66,aditivos!$C$2:$C$200,"C2"),2))</f>
        <v/>
      </c>
      <c r="M66" s="159" t="str">
        <f t="shared" ref="M66:M97" si="40">IF(A66="","",ROUND(I66+L66,2))</f>
        <v/>
      </c>
      <c r="N66" s="159" t="str">
        <f>IF(A66="","",IF(itens_Remanesc!G66="","",itens_Remanesc!G66))</f>
        <v/>
      </c>
      <c r="O66" s="167" t="str">
        <f t="shared" ref="O66:O97" si="41">IF(A66="","",IF($Y66="","",IF($Y66&gt;2,"",IF(ISNUMBER(N66),ROUND(N66+L66,2),IF($Y66=2,ROUND(L66,2),"")))))</f>
        <v/>
      </c>
      <c r="P66" s="169" t="str">
        <f>IF(A66="","",ROUND(SUMIFS(aditivos!$L$2:$L$200,aditivos!$A$2:$A$200,A66,aditivos!$C$2:$C$200,"C3"),2))</f>
        <v/>
      </c>
      <c r="Q66" s="165" t="str">
        <f t="shared" ref="Q66:Q97" si="42">IF(A66="","",ROUND(M66+P66,2))</f>
        <v/>
      </c>
      <c r="R66" s="165" t="str">
        <f>IF(A66="","",IF(itens_Remanesc!I66="","",itens_Remanesc!I66))</f>
        <v/>
      </c>
      <c r="S66" s="171" t="str">
        <f t="shared" ref="S66:S97" si="43">IF(A66="","",IF($Y66="","",IF($Y66&gt;3,"",IF(ISNUMBER(R66),ROUND(R66+P66,2),IF($Y66=3,ROUND(P66,2),"")))))</f>
        <v/>
      </c>
      <c r="T66" s="163" t="str">
        <f>IF(A66="","",ROUND(SUMIFS(aditivos!$L$2:$L$200,aditivos!$A$2:$A$200,A66,aditivos!$C$2:$C$200,"C4"),2))</f>
        <v/>
      </c>
      <c r="U66" s="159" t="str">
        <f t="shared" ref="U66:U97" si="44">IF(A66="","",ROUND(Q66+T66,2))</f>
        <v/>
      </c>
      <c r="V66" s="159" t="str">
        <f>IF(A66="","",IF(itens_Remanesc!K66="","",itens_Remanesc!K66))</f>
        <v/>
      </c>
      <c r="W66" s="159" t="str">
        <f t="shared" ref="W66:W97" si="45">IF(A66="","",IF($Y66="","",IF($Y66&gt;4,"",IF(ISNUMBER(V66),ROUND(V66+T66,2),IF($Y66=4,ROUND(T66,2),"")))))</f>
        <v/>
      </c>
      <c r="X66" s="146" t="str">
        <f>IF(A66="","",IF(COUNTIF($A$2:$A$200,A66)&gt;1,"ALERTA: ITEM_DUPLICADO",IF(AND($Z66,ISNUMBER(itens_Remanesc!B66),itens_Remanesc!B66&lt;&gt;0),"NOVO ITEM COM BASE DIFERENTE DE 0 - AJUSTAR itens_Remanesc",IF(AND($Z66,NOT(ISNUMBER(itens_Remanesc!C66))),"NOVO ITEM SEM VU_ORIGINAL - INFORMAR EM itens_Remanesc",IF(MIN(E66,I66,M66,Q66,U66,G66,K66,O66,S66,W66)&lt;0,"ALERTA: POSICAO_NEGATIVA",IF(OR(AND(G66&lt;&gt;"",G66&gt;E66),AND(K66&lt;&gt;"",K66&gt;I66),AND(O66&lt;&gt;"",O66&gt;M66),AND(S66&lt;&gt;"",S66&gt;Q66),AND(W66&lt;&gt;"",W66&gt;U66)),"ALERTA: REMANESCENTE_SUPERA_POSICAO","OK"))))))</f>
        <v/>
      </c>
      <c r="Y66" t="str">
        <f t="shared" ref="Y66:Y97" si="46">IF($A66="","",IF($E66&gt;0,0,IF($I66&gt;0,1,IF($M66&gt;0,2,IF($Q66&gt;0,3,IF($U66&gt;0,4,""))))))</f>
        <v/>
      </c>
      <c r="Z66" t="b">
        <f t="shared" ref="Z66:Z97" si="47">IF($A66="",FALSE,AND(LEN(TRIM($A66))=4,LEFT(TRIM($A66),1)="N",ISNUMBER(--MID(TRIM($A66),2,3)),ISERROR(FIND(".",$A66)),ISERROR(FIND(",",$A66)),ISERROR(FIND("-",$A66)),ISERROR(FIND("+",$A66)),ISERROR(SEARCH("E",$A66,2)),ISERROR(FIND(" ",TRIM($A66)))))</f>
        <v>0</v>
      </c>
      <c r="AA66" s="208" t="str">
        <f>IF($A66="","",IF(COUNTIFS(aditivos!$A$2:$A$200,$A66,aditivos!$L$2:$L$200,"&lt;&gt;",aditivos!$L$2:$L$200,"&lt;&gt;0",aditivos!$B$2:$B$200,"&gt;0")=0,"",IFERROR(_xlfn.MINIFS(aditivos!$B$2:$B$200,aditivos!$A$2:$A$200,$A66,aditivos!$L$2:$L$200,"&lt;&gt;",aditivos!$L$2:$L$200,"&lt;&gt;0",aditivos!$B$2:$B$200,"&gt;0"),"")))</f>
        <v/>
      </c>
      <c r="AB66" t="str">
        <f>IF($A66="","",IF(OR(parametros!$C$2="",parametros!$I$2=""),0,ROUND(SUMIFS(aditivos!$L$2:$L$200,aditivos!$A$2:$A$200,$A66,aditivos!$C$2:$C$200,"C0",aditivos!$B$2:$B$200,"&gt;="&amp;(INT(parametros!$I$2)+1)),2)))</f>
        <v/>
      </c>
      <c r="AC66" t="str">
        <f>IF($A66="","",IF(OR(parametros!$C$3="",parametros!$I$3=""),0,ROUND(SUMIFS(aditivos!$L$2:$L$200,aditivos!$A$2:$A$200,$A66,aditivos!$C$2:$C$200,"C1",aditivos!$B$2:$B$200,"&gt;="&amp;(INT(parametros!$I$3)+1)),2)))</f>
        <v/>
      </c>
      <c r="AD66" t="str">
        <f>IF($A66="","",IF(OR(parametros!$C$4="",parametros!$I$4=""),0,ROUND(SUMIFS(aditivos!$L$2:$L$200,aditivos!$A$2:$A$200,$A66,aditivos!$C$2:$C$200,"C2",aditivos!$B$2:$B$200,"&gt;="&amp;(INT(parametros!$I$4)+1)),2)))</f>
        <v/>
      </c>
      <c r="AE66" t="str">
        <f>IF($A66="","",IF(OR(parametros!$C$5="",parametros!$I$5=""),0,ROUND(SUMIFS(aditivos!$L$2:$L$200,aditivos!$A$2:$A$200,$A66,aditivos!$C$2:$C$200,"C3",aditivos!$B$2:$B$200,"&gt;="&amp;(INT(parametros!$I$5)+1)),2)))</f>
        <v/>
      </c>
      <c r="AF66" t="str">
        <f>IF($A66="","",IF(OR(parametros!$C$6="",parametros!$I$6=""),0,ROUND(SUMIFS(aditivos!$L$2:$L$200,aditivos!$A$2:$A$200,$A66,aditivos!$C$2:$C$200,"C4",aditivos!$B$2:$B$200,"&gt;="&amp;(INT(parametros!$I$6)+1)),2)))</f>
        <v/>
      </c>
      <c r="AG66" t="str">
        <f t="shared" ref="AG66:AG97" si="48">IF($A66="","",IF(OR(NOT(ISNUMBER($E66)),NOT(ISNUMBER($AB66))),"",ROUND($E66-$AB66,2)))</f>
        <v/>
      </c>
      <c r="AH66" t="str">
        <f t="shared" ref="AH66:AH97" si="49">IF($A66="","",IF(OR(NOT(ISNUMBER($I66)),NOT(ISNUMBER($AC66))),"",ROUND($I66-$AC66,2)))</f>
        <v/>
      </c>
      <c r="AI66" t="str">
        <f t="shared" ref="AI66:AI97" si="50">IF($A66="","",IF(OR(NOT(ISNUMBER($M66)),NOT(ISNUMBER($AD66))),"",ROUND($M66-$AD66,2)))</f>
        <v/>
      </c>
      <c r="AJ66" t="str">
        <f t="shared" ref="AJ66:AJ97" si="51">IF($A66="","",IF(OR(NOT(ISNUMBER($Q66)),NOT(ISNUMBER($AE66))),"",ROUND($Q66-$AE66,2)))</f>
        <v/>
      </c>
      <c r="AK66" t="str">
        <f t="shared" ref="AK66:AK97" si="52">IF($A66="","",IF(OR(NOT(ISNUMBER($U66)),NOT(ISNUMBER($AF66))),"",ROUND($U66-$AF66,2)))</f>
        <v/>
      </c>
      <c r="AL66" t="str">
        <f t="shared" ref="AL66:AL97" si="53">IF($A66="","",IF(N($AG66)&gt;0,0,IF(N($AH66)&gt;0,1,IF(N($AI66)&gt;0,2,IF(N($AJ66)&gt;0,3,IF(N($AK66)&gt;0,4,""))))))</f>
        <v/>
      </c>
    </row>
    <row r="67" spans="1:38" x14ac:dyDescent="0.35">
      <c r="A67" s="146" t="str">
        <f>IF(itens_Remanesc!A67="","",itens_Remanesc!A67)</f>
        <v/>
      </c>
      <c r="B67" s="196" t="str">
        <f>IF(A67="","",itens_Remanesc!C67)</f>
        <v/>
      </c>
      <c r="C67" s="161" t="str">
        <f>IF(A67="","",IF(itens_Remanesc!B67="",0,itens_Remanesc!B67))</f>
        <v/>
      </c>
      <c r="D67" s="163" t="str">
        <f>IF(A67="","",ROUND(SUMIFS(aditivos!$L$2:$L$200,aditivos!$A$2:$A$200,A67,aditivos!$C$2:$C$200,"C0"),2))</f>
        <v/>
      </c>
      <c r="E67" s="159" t="str">
        <f t="shared" si="36"/>
        <v/>
      </c>
      <c r="F67" s="159" t="str">
        <f>IF(A67="","",IF(itens_Remanesc!B67&lt;&gt;"",itens_Remanesc!B67,IF($Z67,0,"")))</f>
        <v/>
      </c>
      <c r="G67" s="167" t="str">
        <f t="shared" si="37"/>
        <v/>
      </c>
      <c r="H67" s="169" t="str">
        <f>IF(A67="","",ROUND(SUMIFS(aditivos!$L$2:$L$200,aditivos!$A$2:$A$200,A67,aditivos!$C$2:$C$200,"C1"),2))</f>
        <v/>
      </c>
      <c r="I67" s="165" t="str">
        <f t="shared" si="38"/>
        <v/>
      </c>
      <c r="J67" s="165" t="str">
        <f>IF(A67="","",IF(itens_Remanesc!E67="","",itens_Remanesc!E67))</f>
        <v/>
      </c>
      <c r="K67" s="171" t="str">
        <f t="shared" si="39"/>
        <v/>
      </c>
      <c r="L67" s="163" t="str">
        <f>IF(A67="","",ROUND(SUMIFS(aditivos!$L$2:$L$200,aditivos!$A$2:$A$200,A67,aditivos!$C$2:$C$200,"C2"),2))</f>
        <v/>
      </c>
      <c r="M67" s="159" t="str">
        <f t="shared" si="40"/>
        <v/>
      </c>
      <c r="N67" s="159" t="str">
        <f>IF(A67="","",IF(itens_Remanesc!G67="","",itens_Remanesc!G67))</f>
        <v/>
      </c>
      <c r="O67" s="167" t="str">
        <f t="shared" si="41"/>
        <v/>
      </c>
      <c r="P67" s="169" t="str">
        <f>IF(A67="","",ROUND(SUMIFS(aditivos!$L$2:$L$200,aditivos!$A$2:$A$200,A67,aditivos!$C$2:$C$200,"C3"),2))</f>
        <v/>
      </c>
      <c r="Q67" s="165" t="str">
        <f t="shared" si="42"/>
        <v/>
      </c>
      <c r="R67" s="165" t="str">
        <f>IF(A67="","",IF(itens_Remanesc!I67="","",itens_Remanesc!I67))</f>
        <v/>
      </c>
      <c r="S67" s="171" t="str">
        <f t="shared" si="43"/>
        <v/>
      </c>
      <c r="T67" s="163" t="str">
        <f>IF(A67="","",ROUND(SUMIFS(aditivos!$L$2:$L$200,aditivos!$A$2:$A$200,A67,aditivos!$C$2:$C$200,"C4"),2))</f>
        <v/>
      </c>
      <c r="U67" s="159" t="str">
        <f t="shared" si="44"/>
        <v/>
      </c>
      <c r="V67" s="159" t="str">
        <f>IF(A67="","",IF(itens_Remanesc!K67="","",itens_Remanesc!K67))</f>
        <v/>
      </c>
      <c r="W67" s="159" t="str">
        <f t="shared" si="45"/>
        <v/>
      </c>
      <c r="X67" s="146" t="str">
        <f>IF(A67="","",IF(COUNTIF($A$2:$A$200,A67)&gt;1,"ALERTA: ITEM_DUPLICADO",IF(AND($Z67,ISNUMBER(itens_Remanesc!B67),itens_Remanesc!B67&lt;&gt;0),"NOVO ITEM COM BASE DIFERENTE DE 0 - AJUSTAR itens_Remanesc",IF(AND($Z67,NOT(ISNUMBER(itens_Remanesc!C67))),"NOVO ITEM SEM VU_ORIGINAL - INFORMAR EM itens_Remanesc",IF(MIN(E67,I67,M67,Q67,U67,G67,K67,O67,S67,W67)&lt;0,"ALERTA: POSICAO_NEGATIVA",IF(OR(AND(G67&lt;&gt;"",G67&gt;E67),AND(K67&lt;&gt;"",K67&gt;I67),AND(O67&lt;&gt;"",O67&gt;M67),AND(S67&lt;&gt;"",S67&gt;Q67),AND(W67&lt;&gt;"",W67&gt;U67)),"ALERTA: REMANESCENTE_SUPERA_POSICAO","OK"))))))</f>
        <v/>
      </c>
      <c r="Y67" t="str">
        <f t="shared" si="46"/>
        <v/>
      </c>
      <c r="Z67" t="b">
        <f t="shared" si="47"/>
        <v>0</v>
      </c>
      <c r="AA67" s="208" t="str">
        <f>IF($A67="","",IF(COUNTIFS(aditivos!$A$2:$A$200,$A67,aditivos!$L$2:$L$200,"&lt;&gt;",aditivos!$L$2:$L$200,"&lt;&gt;0",aditivos!$B$2:$B$200,"&gt;0")=0,"",IFERROR(_xlfn.MINIFS(aditivos!$B$2:$B$200,aditivos!$A$2:$A$200,$A67,aditivos!$L$2:$L$200,"&lt;&gt;",aditivos!$L$2:$L$200,"&lt;&gt;0",aditivos!$B$2:$B$200,"&gt;0"),"")))</f>
        <v/>
      </c>
      <c r="AB67" t="str">
        <f>IF($A67="","",IF(OR(parametros!$C$2="",parametros!$I$2=""),0,ROUND(SUMIFS(aditivos!$L$2:$L$200,aditivos!$A$2:$A$200,$A67,aditivos!$C$2:$C$200,"C0",aditivos!$B$2:$B$200,"&gt;="&amp;(INT(parametros!$I$2)+1)),2)))</f>
        <v/>
      </c>
      <c r="AC67" t="str">
        <f>IF($A67="","",IF(OR(parametros!$C$3="",parametros!$I$3=""),0,ROUND(SUMIFS(aditivos!$L$2:$L$200,aditivos!$A$2:$A$200,$A67,aditivos!$C$2:$C$200,"C1",aditivos!$B$2:$B$200,"&gt;="&amp;(INT(parametros!$I$3)+1)),2)))</f>
        <v/>
      </c>
      <c r="AD67" t="str">
        <f>IF($A67="","",IF(OR(parametros!$C$4="",parametros!$I$4=""),0,ROUND(SUMIFS(aditivos!$L$2:$L$200,aditivos!$A$2:$A$200,$A67,aditivos!$C$2:$C$200,"C2",aditivos!$B$2:$B$200,"&gt;="&amp;(INT(parametros!$I$4)+1)),2)))</f>
        <v/>
      </c>
      <c r="AE67" t="str">
        <f>IF($A67="","",IF(OR(parametros!$C$5="",parametros!$I$5=""),0,ROUND(SUMIFS(aditivos!$L$2:$L$200,aditivos!$A$2:$A$200,$A67,aditivos!$C$2:$C$200,"C3",aditivos!$B$2:$B$200,"&gt;="&amp;(INT(parametros!$I$5)+1)),2)))</f>
        <v/>
      </c>
      <c r="AF67" t="str">
        <f>IF($A67="","",IF(OR(parametros!$C$6="",parametros!$I$6=""),0,ROUND(SUMIFS(aditivos!$L$2:$L$200,aditivos!$A$2:$A$200,$A67,aditivos!$C$2:$C$200,"C4",aditivos!$B$2:$B$200,"&gt;="&amp;(INT(parametros!$I$6)+1)),2)))</f>
        <v/>
      </c>
      <c r="AG67" t="str">
        <f t="shared" si="48"/>
        <v/>
      </c>
      <c r="AH67" t="str">
        <f t="shared" si="49"/>
        <v/>
      </c>
      <c r="AI67" t="str">
        <f t="shared" si="50"/>
        <v/>
      </c>
      <c r="AJ67" t="str">
        <f t="shared" si="51"/>
        <v/>
      </c>
      <c r="AK67" t="str">
        <f t="shared" si="52"/>
        <v/>
      </c>
      <c r="AL67" t="str">
        <f t="shared" si="53"/>
        <v/>
      </c>
    </row>
    <row r="68" spans="1:38" x14ac:dyDescent="0.35">
      <c r="A68" s="146" t="str">
        <f>IF(itens_Remanesc!A68="","",itens_Remanesc!A68)</f>
        <v/>
      </c>
      <c r="B68" s="196" t="str">
        <f>IF(A68="","",itens_Remanesc!C68)</f>
        <v/>
      </c>
      <c r="C68" s="161" t="str">
        <f>IF(A68="","",IF(itens_Remanesc!B68="",0,itens_Remanesc!B68))</f>
        <v/>
      </c>
      <c r="D68" s="163" t="str">
        <f>IF(A68="","",ROUND(SUMIFS(aditivos!$L$2:$L$200,aditivos!$A$2:$A$200,A68,aditivos!$C$2:$C$200,"C0"),2))</f>
        <v/>
      </c>
      <c r="E68" s="159" t="str">
        <f t="shared" si="36"/>
        <v/>
      </c>
      <c r="F68" s="159" t="str">
        <f>IF(A68="","",IF(itens_Remanesc!B68&lt;&gt;"",itens_Remanesc!B68,IF($Z68,0,"")))</f>
        <v/>
      </c>
      <c r="G68" s="167" t="str">
        <f t="shared" si="37"/>
        <v/>
      </c>
      <c r="H68" s="169" t="str">
        <f>IF(A68="","",ROUND(SUMIFS(aditivos!$L$2:$L$200,aditivos!$A$2:$A$200,A68,aditivos!$C$2:$C$200,"C1"),2))</f>
        <v/>
      </c>
      <c r="I68" s="165" t="str">
        <f t="shared" si="38"/>
        <v/>
      </c>
      <c r="J68" s="165" t="str">
        <f>IF(A68="","",IF(itens_Remanesc!E68="","",itens_Remanesc!E68))</f>
        <v/>
      </c>
      <c r="K68" s="171" t="str">
        <f t="shared" si="39"/>
        <v/>
      </c>
      <c r="L68" s="163" t="str">
        <f>IF(A68="","",ROUND(SUMIFS(aditivos!$L$2:$L$200,aditivos!$A$2:$A$200,A68,aditivos!$C$2:$C$200,"C2"),2))</f>
        <v/>
      </c>
      <c r="M68" s="159" t="str">
        <f t="shared" si="40"/>
        <v/>
      </c>
      <c r="N68" s="159" t="str">
        <f>IF(A68="","",IF(itens_Remanesc!G68="","",itens_Remanesc!G68))</f>
        <v/>
      </c>
      <c r="O68" s="167" t="str">
        <f t="shared" si="41"/>
        <v/>
      </c>
      <c r="P68" s="169" t="str">
        <f>IF(A68="","",ROUND(SUMIFS(aditivos!$L$2:$L$200,aditivos!$A$2:$A$200,A68,aditivos!$C$2:$C$200,"C3"),2))</f>
        <v/>
      </c>
      <c r="Q68" s="165" t="str">
        <f t="shared" si="42"/>
        <v/>
      </c>
      <c r="R68" s="165" t="str">
        <f>IF(A68="","",IF(itens_Remanesc!I68="","",itens_Remanesc!I68))</f>
        <v/>
      </c>
      <c r="S68" s="171" t="str">
        <f t="shared" si="43"/>
        <v/>
      </c>
      <c r="T68" s="163" t="str">
        <f>IF(A68="","",ROUND(SUMIFS(aditivos!$L$2:$L$200,aditivos!$A$2:$A$200,A68,aditivos!$C$2:$C$200,"C4"),2))</f>
        <v/>
      </c>
      <c r="U68" s="159" t="str">
        <f t="shared" si="44"/>
        <v/>
      </c>
      <c r="V68" s="159" t="str">
        <f>IF(A68="","",IF(itens_Remanesc!K68="","",itens_Remanesc!K68))</f>
        <v/>
      </c>
      <c r="W68" s="159" t="str">
        <f t="shared" si="45"/>
        <v/>
      </c>
      <c r="X68" s="146" t="str">
        <f>IF(A68="","",IF(COUNTIF($A$2:$A$200,A68)&gt;1,"ALERTA: ITEM_DUPLICADO",IF(AND($Z68,ISNUMBER(itens_Remanesc!B68),itens_Remanesc!B68&lt;&gt;0),"NOVO ITEM COM BASE DIFERENTE DE 0 - AJUSTAR itens_Remanesc",IF(AND($Z68,NOT(ISNUMBER(itens_Remanesc!C68))),"NOVO ITEM SEM VU_ORIGINAL - INFORMAR EM itens_Remanesc",IF(MIN(E68,I68,M68,Q68,U68,G68,K68,O68,S68,W68)&lt;0,"ALERTA: POSICAO_NEGATIVA",IF(OR(AND(G68&lt;&gt;"",G68&gt;E68),AND(K68&lt;&gt;"",K68&gt;I68),AND(O68&lt;&gt;"",O68&gt;M68),AND(S68&lt;&gt;"",S68&gt;Q68),AND(W68&lt;&gt;"",W68&gt;U68)),"ALERTA: REMANESCENTE_SUPERA_POSICAO","OK"))))))</f>
        <v/>
      </c>
      <c r="Y68" t="str">
        <f t="shared" si="46"/>
        <v/>
      </c>
      <c r="Z68" t="b">
        <f t="shared" si="47"/>
        <v>0</v>
      </c>
      <c r="AA68" s="208" t="str">
        <f>IF($A68="","",IF(COUNTIFS(aditivos!$A$2:$A$200,$A68,aditivos!$L$2:$L$200,"&lt;&gt;",aditivos!$L$2:$L$200,"&lt;&gt;0",aditivos!$B$2:$B$200,"&gt;0")=0,"",IFERROR(_xlfn.MINIFS(aditivos!$B$2:$B$200,aditivos!$A$2:$A$200,$A68,aditivos!$L$2:$L$200,"&lt;&gt;",aditivos!$L$2:$L$200,"&lt;&gt;0",aditivos!$B$2:$B$200,"&gt;0"),"")))</f>
        <v/>
      </c>
      <c r="AB68" t="str">
        <f>IF($A68="","",IF(OR(parametros!$C$2="",parametros!$I$2=""),0,ROUND(SUMIFS(aditivos!$L$2:$L$200,aditivos!$A$2:$A$200,$A68,aditivos!$C$2:$C$200,"C0",aditivos!$B$2:$B$200,"&gt;="&amp;(INT(parametros!$I$2)+1)),2)))</f>
        <v/>
      </c>
      <c r="AC68" t="str">
        <f>IF($A68="","",IF(OR(parametros!$C$3="",parametros!$I$3=""),0,ROUND(SUMIFS(aditivos!$L$2:$L$200,aditivos!$A$2:$A$200,$A68,aditivos!$C$2:$C$200,"C1",aditivos!$B$2:$B$200,"&gt;="&amp;(INT(parametros!$I$3)+1)),2)))</f>
        <v/>
      </c>
      <c r="AD68" t="str">
        <f>IF($A68="","",IF(OR(parametros!$C$4="",parametros!$I$4=""),0,ROUND(SUMIFS(aditivos!$L$2:$L$200,aditivos!$A$2:$A$200,$A68,aditivos!$C$2:$C$200,"C2",aditivos!$B$2:$B$200,"&gt;="&amp;(INT(parametros!$I$4)+1)),2)))</f>
        <v/>
      </c>
      <c r="AE68" t="str">
        <f>IF($A68="","",IF(OR(parametros!$C$5="",parametros!$I$5=""),0,ROUND(SUMIFS(aditivos!$L$2:$L$200,aditivos!$A$2:$A$200,$A68,aditivos!$C$2:$C$200,"C3",aditivos!$B$2:$B$200,"&gt;="&amp;(INT(parametros!$I$5)+1)),2)))</f>
        <v/>
      </c>
      <c r="AF68" t="str">
        <f>IF($A68="","",IF(OR(parametros!$C$6="",parametros!$I$6=""),0,ROUND(SUMIFS(aditivos!$L$2:$L$200,aditivos!$A$2:$A$200,$A68,aditivos!$C$2:$C$200,"C4",aditivos!$B$2:$B$200,"&gt;="&amp;(INT(parametros!$I$6)+1)),2)))</f>
        <v/>
      </c>
      <c r="AG68" t="str">
        <f t="shared" si="48"/>
        <v/>
      </c>
      <c r="AH68" t="str">
        <f t="shared" si="49"/>
        <v/>
      </c>
      <c r="AI68" t="str">
        <f t="shared" si="50"/>
        <v/>
      </c>
      <c r="AJ68" t="str">
        <f t="shared" si="51"/>
        <v/>
      </c>
      <c r="AK68" t="str">
        <f t="shared" si="52"/>
        <v/>
      </c>
      <c r="AL68" t="str">
        <f t="shared" si="53"/>
        <v/>
      </c>
    </row>
    <row r="69" spans="1:38" x14ac:dyDescent="0.35">
      <c r="A69" s="146" t="str">
        <f>IF(itens_Remanesc!A69="","",itens_Remanesc!A69)</f>
        <v/>
      </c>
      <c r="B69" s="196" t="str">
        <f>IF(A69="","",itens_Remanesc!C69)</f>
        <v/>
      </c>
      <c r="C69" s="161" t="str">
        <f>IF(A69="","",IF(itens_Remanesc!B69="",0,itens_Remanesc!B69))</f>
        <v/>
      </c>
      <c r="D69" s="163" t="str">
        <f>IF(A69="","",ROUND(SUMIFS(aditivos!$L$2:$L$200,aditivos!$A$2:$A$200,A69,aditivos!$C$2:$C$200,"C0"),2))</f>
        <v/>
      </c>
      <c r="E69" s="159" t="str">
        <f t="shared" si="36"/>
        <v/>
      </c>
      <c r="F69" s="159" t="str">
        <f>IF(A69="","",IF(itens_Remanesc!B69&lt;&gt;"",itens_Remanesc!B69,IF($Z69,0,"")))</f>
        <v/>
      </c>
      <c r="G69" s="167" t="str">
        <f t="shared" si="37"/>
        <v/>
      </c>
      <c r="H69" s="169" t="str">
        <f>IF(A69="","",ROUND(SUMIFS(aditivos!$L$2:$L$200,aditivos!$A$2:$A$200,A69,aditivos!$C$2:$C$200,"C1"),2))</f>
        <v/>
      </c>
      <c r="I69" s="165" t="str">
        <f t="shared" si="38"/>
        <v/>
      </c>
      <c r="J69" s="165" t="str">
        <f>IF(A69="","",IF(itens_Remanesc!E69="","",itens_Remanesc!E69))</f>
        <v/>
      </c>
      <c r="K69" s="171" t="str">
        <f t="shared" si="39"/>
        <v/>
      </c>
      <c r="L69" s="163" t="str">
        <f>IF(A69="","",ROUND(SUMIFS(aditivos!$L$2:$L$200,aditivos!$A$2:$A$200,A69,aditivos!$C$2:$C$200,"C2"),2))</f>
        <v/>
      </c>
      <c r="M69" s="159" t="str">
        <f t="shared" si="40"/>
        <v/>
      </c>
      <c r="N69" s="159" t="str">
        <f>IF(A69="","",IF(itens_Remanesc!G69="","",itens_Remanesc!G69))</f>
        <v/>
      </c>
      <c r="O69" s="167" t="str">
        <f t="shared" si="41"/>
        <v/>
      </c>
      <c r="P69" s="169" t="str">
        <f>IF(A69="","",ROUND(SUMIFS(aditivos!$L$2:$L$200,aditivos!$A$2:$A$200,A69,aditivos!$C$2:$C$200,"C3"),2))</f>
        <v/>
      </c>
      <c r="Q69" s="165" t="str">
        <f t="shared" si="42"/>
        <v/>
      </c>
      <c r="R69" s="165" t="str">
        <f>IF(A69="","",IF(itens_Remanesc!I69="","",itens_Remanesc!I69))</f>
        <v/>
      </c>
      <c r="S69" s="171" t="str">
        <f t="shared" si="43"/>
        <v/>
      </c>
      <c r="T69" s="163" t="str">
        <f>IF(A69="","",ROUND(SUMIFS(aditivos!$L$2:$L$200,aditivos!$A$2:$A$200,A69,aditivos!$C$2:$C$200,"C4"),2))</f>
        <v/>
      </c>
      <c r="U69" s="159" t="str">
        <f t="shared" si="44"/>
        <v/>
      </c>
      <c r="V69" s="159" t="str">
        <f>IF(A69="","",IF(itens_Remanesc!K69="","",itens_Remanesc!K69))</f>
        <v/>
      </c>
      <c r="W69" s="159" t="str">
        <f t="shared" si="45"/>
        <v/>
      </c>
      <c r="X69" s="146" t="str">
        <f>IF(A69="","",IF(COUNTIF($A$2:$A$200,A69)&gt;1,"ALERTA: ITEM_DUPLICADO",IF(AND($Z69,ISNUMBER(itens_Remanesc!B69),itens_Remanesc!B69&lt;&gt;0),"NOVO ITEM COM BASE DIFERENTE DE 0 - AJUSTAR itens_Remanesc",IF(AND($Z69,NOT(ISNUMBER(itens_Remanesc!C69))),"NOVO ITEM SEM VU_ORIGINAL - INFORMAR EM itens_Remanesc",IF(MIN(E69,I69,M69,Q69,U69,G69,K69,O69,S69,W69)&lt;0,"ALERTA: POSICAO_NEGATIVA",IF(OR(AND(G69&lt;&gt;"",G69&gt;E69),AND(K69&lt;&gt;"",K69&gt;I69),AND(O69&lt;&gt;"",O69&gt;M69),AND(S69&lt;&gt;"",S69&gt;Q69),AND(W69&lt;&gt;"",W69&gt;U69)),"ALERTA: REMANESCENTE_SUPERA_POSICAO","OK"))))))</f>
        <v/>
      </c>
      <c r="Y69" t="str">
        <f t="shared" si="46"/>
        <v/>
      </c>
      <c r="Z69" t="b">
        <f t="shared" si="47"/>
        <v>0</v>
      </c>
      <c r="AA69" s="208" t="str">
        <f>IF($A69="","",IF(COUNTIFS(aditivos!$A$2:$A$200,$A69,aditivos!$L$2:$L$200,"&lt;&gt;",aditivos!$L$2:$L$200,"&lt;&gt;0",aditivos!$B$2:$B$200,"&gt;0")=0,"",IFERROR(_xlfn.MINIFS(aditivos!$B$2:$B$200,aditivos!$A$2:$A$200,$A69,aditivos!$L$2:$L$200,"&lt;&gt;",aditivos!$L$2:$L$200,"&lt;&gt;0",aditivos!$B$2:$B$200,"&gt;0"),"")))</f>
        <v/>
      </c>
      <c r="AB69" t="str">
        <f>IF($A69="","",IF(OR(parametros!$C$2="",parametros!$I$2=""),0,ROUND(SUMIFS(aditivos!$L$2:$L$200,aditivos!$A$2:$A$200,$A69,aditivos!$C$2:$C$200,"C0",aditivos!$B$2:$B$200,"&gt;="&amp;(INT(parametros!$I$2)+1)),2)))</f>
        <v/>
      </c>
      <c r="AC69" t="str">
        <f>IF($A69="","",IF(OR(parametros!$C$3="",parametros!$I$3=""),0,ROUND(SUMIFS(aditivos!$L$2:$L$200,aditivos!$A$2:$A$200,$A69,aditivos!$C$2:$C$200,"C1",aditivos!$B$2:$B$200,"&gt;="&amp;(INT(parametros!$I$3)+1)),2)))</f>
        <v/>
      </c>
      <c r="AD69" t="str">
        <f>IF($A69="","",IF(OR(parametros!$C$4="",parametros!$I$4=""),0,ROUND(SUMIFS(aditivos!$L$2:$L$200,aditivos!$A$2:$A$200,$A69,aditivos!$C$2:$C$200,"C2",aditivos!$B$2:$B$200,"&gt;="&amp;(INT(parametros!$I$4)+1)),2)))</f>
        <v/>
      </c>
      <c r="AE69" t="str">
        <f>IF($A69="","",IF(OR(parametros!$C$5="",parametros!$I$5=""),0,ROUND(SUMIFS(aditivos!$L$2:$L$200,aditivos!$A$2:$A$200,$A69,aditivos!$C$2:$C$200,"C3",aditivos!$B$2:$B$200,"&gt;="&amp;(INT(parametros!$I$5)+1)),2)))</f>
        <v/>
      </c>
      <c r="AF69" t="str">
        <f>IF($A69="","",IF(OR(parametros!$C$6="",parametros!$I$6=""),0,ROUND(SUMIFS(aditivos!$L$2:$L$200,aditivos!$A$2:$A$200,$A69,aditivos!$C$2:$C$200,"C4",aditivos!$B$2:$B$200,"&gt;="&amp;(INT(parametros!$I$6)+1)),2)))</f>
        <v/>
      </c>
      <c r="AG69" t="str">
        <f t="shared" si="48"/>
        <v/>
      </c>
      <c r="AH69" t="str">
        <f t="shared" si="49"/>
        <v/>
      </c>
      <c r="AI69" t="str">
        <f t="shared" si="50"/>
        <v/>
      </c>
      <c r="AJ69" t="str">
        <f t="shared" si="51"/>
        <v/>
      </c>
      <c r="AK69" t="str">
        <f t="shared" si="52"/>
        <v/>
      </c>
      <c r="AL69" t="str">
        <f t="shared" si="53"/>
        <v/>
      </c>
    </row>
    <row r="70" spans="1:38" x14ac:dyDescent="0.35">
      <c r="A70" s="146" t="str">
        <f>IF(itens_Remanesc!A70="","",itens_Remanesc!A70)</f>
        <v/>
      </c>
      <c r="B70" s="196" t="str">
        <f>IF(A70="","",itens_Remanesc!C70)</f>
        <v/>
      </c>
      <c r="C70" s="161" t="str">
        <f>IF(A70="","",IF(itens_Remanesc!B70="",0,itens_Remanesc!B70))</f>
        <v/>
      </c>
      <c r="D70" s="163" t="str">
        <f>IF(A70="","",ROUND(SUMIFS(aditivos!$L$2:$L$200,aditivos!$A$2:$A$200,A70,aditivos!$C$2:$C$200,"C0"),2))</f>
        <v/>
      </c>
      <c r="E70" s="159" t="str">
        <f t="shared" si="36"/>
        <v/>
      </c>
      <c r="F70" s="159" t="str">
        <f>IF(A70="","",IF(itens_Remanesc!B70&lt;&gt;"",itens_Remanesc!B70,IF($Z70,0,"")))</f>
        <v/>
      </c>
      <c r="G70" s="167" t="str">
        <f t="shared" si="37"/>
        <v/>
      </c>
      <c r="H70" s="169" t="str">
        <f>IF(A70="","",ROUND(SUMIFS(aditivos!$L$2:$L$200,aditivos!$A$2:$A$200,A70,aditivos!$C$2:$C$200,"C1"),2))</f>
        <v/>
      </c>
      <c r="I70" s="165" t="str">
        <f t="shared" si="38"/>
        <v/>
      </c>
      <c r="J70" s="165" t="str">
        <f>IF(A70="","",IF(itens_Remanesc!E70="","",itens_Remanesc!E70))</f>
        <v/>
      </c>
      <c r="K70" s="171" t="str">
        <f t="shared" si="39"/>
        <v/>
      </c>
      <c r="L70" s="163" t="str">
        <f>IF(A70="","",ROUND(SUMIFS(aditivos!$L$2:$L$200,aditivos!$A$2:$A$200,A70,aditivos!$C$2:$C$200,"C2"),2))</f>
        <v/>
      </c>
      <c r="M70" s="159" t="str">
        <f t="shared" si="40"/>
        <v/>
      </c>
      <c r="N70" s="159" t="str">
        <f>IF(A70="","",IF(itens_Remanesc!G70="","",itens_Remanesc!G70))</f>
        <v/>
      </c>
      <c r="O70" s="167" t="str">
        <f t="shared" si="41"/>
        <v/>
      </c>
      <c r="P70" s="169" t="str">
        <f>IF(A70="","",ROUND(SUMIFS(aditivos!$L$2:$L$200,aditivos!$A$2:$A$200,A70,aditivos!$C$2:$C$200,"C3"),2))</f>
        <v/>
      </c>
      <c r="Q70" s="165" t="str">
        <f t="shared" si="42"/>
        <v/>
      </c>
      <c r="R70" s="165" t="str">
        <f>IF(A70="","",IF(itens_Remanesc!I70="","",itens_Remanesc!I70))</f>
        <v/>
      </c>
      <c r="S70" s="171" t="str">
        <f t="shared" si="43"/>
        <v/>
      </c>
      <c r="T70" s="163" t="str">
        <f>IF(A70="","",ROUND(SUMIFS(aditivos!$L$2:$L$200,aditivos!$A$2:$A$200,A70,aditivos!$C$2:$C$200,"C4"),2))</f>
        <v/>
      </c>
      <c r="U70" s="159" t="str">
        <f t="shared" si="44"/>
        <v/>
      </c>
      <c r="V70" s="159" t="str">
        <f>IF(A70="","",IF(itens_Remanesc!K70="","",itens_Remanesc!K70))</f>
        <v/>
      </c>
      <c r="W70" s="159" t="str">
        <f t="shared" si="45"/>
        <v/>
      </c>
      <c r="X70" s="146" t="str">
        <f>IF(A70="","",IF(COUNTIF($A$2:$A$200,A70)&gt;1,"ALERTA: ITEM_DUPLICADO",IF(AND($Z70,ISNUMBER(itens_Remanesc!B70),itens_Remanesc!B70&lt;&gt;0),"NOVO ITEM COM BASE DIFERENTE DE 0 - AJUSTAR itens_Remanesc",IF(AND($Z70,NOT(ISNUMBER(itens_Remanesc!C70))),"NOVO ITEM SEM VU_ORIGINAL - INFORMAR EM itens_Remanesc",IF(MIN(E70,I70,M70,Q70,U70,G70,K70,O70,S70,W70)&lt;0,"ALERTA: POSICAO_NEGATIVA",IF(OR(AND(G70&lt;&gt;"",G70&gt;E70),AND(K70&lt;&gt;"",K70&gt;I70),AND(O70&lt;&gt;"",O70&gt;M70),AND(S70&lt;&gt;"",S70&gt;Q70),AND(W70&lt;&gt;"",W70&gt;U70)),"ALERTA: REMANESCENTE_SUPERA_POSICAO","OK"))))))</f>
        <v/>
      </c>
      <c r="Y70" t="str">
        <f t="shared" si="46"/>
        <v/>
      </c>
      <c r="Z70" t="b">
        <f t="shared" si="47"/>
        <v>0</v>
      </c>
      <c r="AA70" s="208" t="str">
        <f>IF($A70="","",IF(COUNTIFS(aditivos!$A$2:$A$200,$A70,aditivos!$L$2:$L$200,"&lt;&gt;",aditivos!$L$2:$L$200,"&lt;&gt;0",aditivos!$B$2:$B$200,"&gt;0")=0,"",IFERROR(_xlfn.MINIFS(aditivos!$B$2:$B$200,aditivos!$A$2:$A$200,$A70,aditivos!$L$2:$L$200,"&lt;&gt;",aditivos!$L$2:$L$200,"&lt;&gt;0",aditivos!$B$2:$B$200,"&gt;0"),"")))</f>
        <v/>
      </c>
      <c r="AB70" t="str">
        <f>IF($A70="","",IF(OR(parametros!$C$2="",parametros!$I$2=""),0,ROUND(SUMIFS(aditivos!$L$2:$L$200,aditivos!$A$2:$A$200,$A70,aditivos!$C$2:$C$200,"C0",aditivos!$B$2:$B$200,"&gt;="&amp;(INT(parametros!$I$2)+1)),2)))</f>
        <v/>
      </c>
      <c r="AC70" t="str">
        <f>IF($A70="","",IF(OR(parametros!$C$3="",parametros!$I$3=""),0,ROUND(SUMIFS(aditivos!$L$2:$L$200,aditivos!$A$2:$A$200,$A70,aditivos!$C$2:$C$200,"C1",aditivos!$B$2:$B$200,"&gt;="&amp;(INT(parametros!$I$3)+1)),2)))</f>
        <v/>
      </c>
      <c r="AD70" t="str">
        <f>IF($A70="","",IF(OR(parametros!$C$4="",parametros!$I$4=""),0,ROUND(SUMIFS(aditivos!$L$2:$L$200,aditivos!$A$2:$A$200,$A70,aditivos!$C$2:$C$200,"C2",aditivos!$B$2:$B$200,"&gt;="&amp;(INT(parametros!$I$4)+1)),2)))</f>
        <v/>
      </c>
      <c r="AE70" t="str">
        <f>IF($A70="","",IF(OR(parametros!$C$5="",parametros!$I$5=""),0,ROUND(SUMIFS(aditivos!$L$2:$L$200,aditivos!$A$2:$A$200,$A70,aditivos!$C$2:$C$200,"C3",aditivos!$B$2:$B$200,"&gt;="&amp;(INT(parametros!$I$5)+1)),2)))</f>
        <v/>
      </c>
      <c r="AF70" t="str">
        <f>IF($A70="","",IF(OR(parametros!$C$6="",parametros!$I$6=""),0,ROUND(SUMIFS(aditivos!$L$2:$L$200,aditivos!$A$2:$A$200,$A70,aditivos!$C$2:$C$200,"C4",aditivos!$B$2:$B$200,"&gt;="&amp;(INT(parametros!$I$6)+1)),2)))</f>
        <v/>
      </c>
      <c r="AG70" t="str">
        <f t="shared" si="48"/>
        <v/>
      </c>
      <c r="AH70" t="str">
        <f t="shared" si="49"/>
        <v/>
      </c>
      <c r="AI70" t="str">
        <f t="shared" si="50"/>
        <v/>
      </c>
      <c r="AJ70" t="str">
        <f t="shared" si="51"/>
        <v/>
      </c>
      <c r="AK70" t="str">
        <f t="shared" si="52"/>
        <v/>
      </c>
      <c r="AL70" t="str">
        <f t="shared" si="53"/>
        <v/>
      </c>
    </row>
    <row r="71" spans="1:38" x14ac:dyDescent="0.35">
      <c r="A71" s="146" t="str">
        <f>IF(itens_Remanesc!A71="","",itens_Remanesc!A71)</f>
        <v/>
      </c>
      <c r="B71" s="196" t="str">
        <f>IF(A71="","",itens_Remanesc!C71)</f>
        <v/>
      </c>
      <c r="C71" s="161" t="str">
        <f>IF(A71="","",IF(itens_Remanesc!B71="",0,itens_Remanesc!B71))</f>
        <v/>
      </c>
      <c r="D71" s="163" t="str">
        <f>IF(A71="","",ROUND(SUMIFS(aditivos!$L$2:$L$200,aditivos!$A$2:$A$200,A71,aditivos!$C$2:$C$200,"C0"),2))</f>
        <v/>
      </c>
      <c r="E71" s="159" t="str">
        <f t="shared" si="36"/>
        <v/>
      </c>
      <c r="F71" s="159" t="str">
        <f>IF(A71="","",IF(itens_Remanesc!B71&lt;&gt;"",itens_Remanesc!B71,IF($Z71,0,"")))</f>
        <v/>
      </c>
      <c r="G71" s="167" t="str">
        <f t="shared" si="37"/>
        <v/>
      </c>
      <c r="H71" s="169" t="str">
        <f>IF(A71="","",ROUND(SUMIFS(aditivos!$L$2:$L$200,aditivos!$A$2:$A$200,A71,aditivos!$C$2:$C$200,"C1"),2))</f>
        <v/>
      </c>
      <c r="I71" s="165" t="str">
        <f t="shared" si="38"/>
        <v/>
      </c>
      <c r="J71" s="165" t="str">
        <f>IF(A71="","",IF(itens_Remanesc!E71="","",itens_Remanesc!E71))</f>
        <v/>
      </c>
      <c r="K71" s="171" t="str">
        <f t="shared" si="39"/>
        <v/>
      </c>
      <c r="L71" s="163" t="str">
        <f>IF(A71="","",ROUND(SUMIFS(aditivos!$L$2:$L$200,aditivos!$A$2:$A$200,A71,aditivos!$C$2:$C$200,"C2"),2))</f>
        <v/>
      </c>
      <c r="M71" s="159" t="str">
        <f t="shared" si="40"/>
        <v/>
      </c>
      <c r="N71" s="159" t="str">
        <f>IF(A71="","",IF(itens_Remanesc!G71="","",itens_Remanesc!G71))</f>
        <v/>
      </c>
      <c r="O71" s="167" t="str">
        <f t="shared" si="41"/>
        <v/>
      </c>
      <c r="P71" s="169" t="str">
        <f>IF(A71="","",ROUND(SUMIFS(aditivos!$L$2:$L$200,aditivos!$A$2:$A$200,A71,aditivos!$C$2:$C$200,"C3"),2))</f>
        <v/>
      </c>
      <c r="Q71" s="165" t="str">
        <f t="shared" si="42"/>
        <v/>
      </c>
      <c r="R71" s="165" t="str">
        <f>IF(A71="","",IF(itens_Remanesc!I71="","",itens_Remanesc!I71))</f>
        <v/>
      </c>
      <c r="S71" s="171" t="str">
        <f t="shared" si="43"/>
        <v/>
      </c>
      <c r="T71" s="163" t="str">
        <f>IF(A71="","",ROUND(SUMIFS(aditivos!$L$2:$L$200,aditivos!$A$2:$A$200,A71,aditivos!$C$2:$C$200,"C4"),2))</f>
        <v/>
      </c>
      <c r="U71" s="159" t="str">
        <f t="shared" si="44"/>
        <v/>
      </c>
      <c r="V71" s="159" t="str">
        <f>IF(A71="","",IF(itens_Remanesc!K71="","",itens_Remanesc!K71))</f>
        <v/>
      </c>
      <c r="W71" s="159" t="str">
        <f t="shared" si="45"/>
        <v/>
      </c>
      <c r="X71" s="146" t="str">
        <f>IF(A71="","",IF(COUNTIF($A$2:$A$200,A71)&gt;1,"ALERTA: ITEM_DUPLICADO",IF(AND($Z71,ISNUMBER(itens_Remanesc!B71),itens_Remanesc!B71&lt;&gt;0),"NOVO ITEM COM BASE DIFERENTE DE 0 - AJUSTAR itens_Remanesc",IF(AND($Z71,NOT(ISNUMBER(itens_Remanesc!C71))),"NOVO ITEM SEM VU_ORIGINAL - INFORMAR EM itens_Remanesc",IF(MIN(E71,I71,M71,Q71,U71,G71,K71,O71,S71,W71)&lt;0,"ALERTA: POSICAO_NEGATIVA",IF(OR(AND(G71&lt;&gt;"",G71&gt;E71),AND(K71&lt;&gt;"",K71&gt;I71),AND(O71&lt;&gt;"",O71&gt;M71),AND(S71&lt;&gt;"",S71&gt;Q71),AND(W71&lt;&gt;"",W71&gt;U71)),"ALERTA: REMANESCENTE_SUPERA_POSICAO","OK"))))))</f>
        <v/>
      </c>
      <c r="Y71" t="str">
        <f t="shared" si="46"/>
        <v/>
      </c>
      <c r="Z71" t="b">
        <f t="shared" si="47"/>
        <v>0</v>
      </c>
      <c r="AA71" s="208" t="str">
        <f>IF($A71="","",IF(COUNTIFS(aditivos!$A$2:$A$200,$A71,aditivos!$L$2:$L$200,"&lt;&gt;",aditivos!$L$2:$L$200,"&lt;&gt;0",aditivos!$B$2:$B$200,"&gt;0")=0,"",IFERROR(_xlfn.MINIFS(aditivos!$B$2:$B$200,aditivos!$A$2:$A$200,$A71,aditivos!$L$2:$L$200,"&lt;&gt;",aditivos!$L$2:$L$200,"&lt;&gt;0",aditivos!$B$2:$B$200,"&gt;0"),"")))</f>
        <v/>
      </c>
      <c r="AB71" t="str">
        <f>IF($A71="","",IF(OR(parametros!$C$2="",parametros!$I$2=""),0,ROUND(SUMIFS(aditivos!$L$2:$L$200,aditivos!$A$2:$A$200,$A71,aditivos!$C$2:$C$200,"C0",aditivos!$B$2:$B$200,"&gt;="&amp;(INT(parametros!$I$2)+1)),2)))</f>
        <v/>
      </c>
      <c r="AC71" t="str">
        <f>IF($A71="","",IF(OR(parametros!$C$3="",parametros!$I$3=""),0,ROUND(SUMIFS(aditivos!$L$2:$L$200,aditivos!$A$2:$A$200,$A71,aditivos!$C$2:$C$200,"C1",aditivos!$B$2:$B$200,"&gt;="&amp;(INT(parametros!$I$3)+1)),2)))</f>
        <v/>
      </c>
      <c r="AD71" t="str">
        <f>IF($A71="","",IF(OR(parametros!$C$4="",parametros!$I$4=""),0,ROUND(SUMIFS(aditivos!$L$2:$L$200,aditivos!$A$2:$A$200,$A71,aditivos!$C$2:$C$200,"C2",aditivos!$B$2:$B$200,"&gt;="&amp;(INT(parametros!$I$4)+1)),2)))</f>
        <v/>
      </c>
      <c r="AE71" t="str">
        <f>IF($A71="","",IF(OR(parametros!$C$5="",parametros!$I$5=""),0,ROUND(SUMIFS(aditivos!$L$2:$L$200,aditivos!$A$2:$A$200,$A71,aditivos!$C$2:$C$200,"C3",aditivos!$B$2:$B$200,"&gt;="&amp;(INT(parametros!$I$5)+1)),2)))</f>
        <v/>
      </c>
      <c r="AF71" t="str">
        <f>IF($A71="","",IF(OR(parametros!$C$6="",parametros!$I$6=""),0,ROUND(SUMIFS(aditivos!$L$2:$L$200,aditivos!$A$2:$A$200,$A71,aditivos!$C$2:$C$200,"C4",aditivos!$B$2:$B$200,"&gt;="&amp;(INT(parametros!$I$6)+1)),2)))</f>
        <v/>
      </c>
      <c r="AG71" t="str">
        <f t="shared" si="48"/>
        <v/>
      </c>
      <c r="AH71" t="str">
        <f t="shared" si="49"/>
        <v/>
      </c>
      <c r="AI71" t="str">
        <f t="shared" si="50"/>
        <v/>
      </c>
      <c r="AJ71" t="str">
        <f t="shared" si="51"/>
        <v/>
      </c>
      <c r="AK71" t="str">
        <f t="shared" si="52"/>
        <v/>
      </c>
      <c r="AL71" t="str">
        <f t="shared" si="53"/>
        <v/>
      </c>
    </row>
    <row r="72" spans="1:38" x14ac:dyDescent="0.35">
      <c r="A72" s="146" t="str">
        <f>IF(itens_Remanesc!A72="","",itens_Remanesc!A72)</f>
        <v/>
      </c>
      <c r="B72" s="196" t="str">
        <f>IF(A72="","",itens_Remanesc!C72)</f>
        <v/>
      </c>
      <c r="C72" s="161" t="str">
        <f>IF(A72="","",IF(itens_Remanesc!B72="",0,itens_Remanesc!B72))</f>
        <v/>
      </c>
      <c r="D72" s="163" t="str">
        <f>IF(A72="","",ROUND(SUMIFS(aditivos!$L$2:$L$200,aditivos!$A$2:$A$200,A72,aditivos!$C$2:$C$200,"C0"),2))</f>
        <v/>
      </c>
      <c r="E72" s="159" t="str">
        <f t="shared" si="36"/>
        <v/>
      </c>
      <c r="F72" s="159" t="str">
        <f>IF(A72="","",IF(itens_Remanesc!B72&lt;&gt;"",itens_Remanesc!B72,IF($Z72,0,"")))</f>
        <v/>
      </c>
      <c r="G72" s="167" t="str">
        <f t="shared" si="37"/>
        <v/>
      </c>
      <c r="H72" s="169" t="str">
        <f>IF(A72="","",ROUND(SUMIFS(aditivos!$L$2:$L$200,aditivos!$A$2:$A$200,A72,aditivos!$C$2:$C$200,"C1"),2))</f>
        <v/>
      </c>
      <c r="I72" s="165" t="str">
        <f t="shared" si="38"/>
        <v/>
      </c>
      <c r="J72" s="165" t="str">
        <f>IF(A72="","",IF(itens_Remanesc!E72="","",itens_Remanesc!E72))</f>
        <v/>
      </c>
      <c r="K72" s="171" t="str">
        <f t="shared" si="39"/>
        <v/>
      </c>
      <c r="L72" s="163" t="str">
        <f>IF(A72="","",ROUND(SUMIFS(aditivos!$L$2:$L$200,aditivos!$A$2:$A$200,A72,aditivos!$C$2:$C$200,"C2"),2))</f>
        <v/>
      </c>
      <c r="M72" s="159" t="str">
        <f t="shared" si="40"/>
        <v/>
      </c>
      <c r="N72" s="159" t="str">
        <f>IF(A72="","",IF(itens_Remanesc!G72="","",itens_Remanesc!G72))</f>
        <v/>
      </c>
      <c r="O72" s="167" t="str">
        <f t="shared" si="41"/>
        <v/>
      </c>
      <c r="P72" s="169" t="str">
        <f>IF(A72="","",ROUND(SUMIFS(aditivos!$L$2:$L$200,aditivos!$A$2:$A$200,A72,aditivos!$C$2:$C$200,"C3"),2))</f>
        <v/>
      </c>
      <c r="Q72" s="165" t="str">
        <f t="shared" si="42"/>
        <v/>
      </c>
      <c r="R72" s="165" t="str">
        <f>IF(A72="","",IF(itens_Remanesc!I72="","",itens_Remanesc!I72))</f>
        <v/>
      </c>
      <c r="S72" s="171" t="str">
        <f t="shared" si="43"/>
        <v/>
      </c>
      <c r="T72" s="163" t="str">
        <f>IF(A72="","",ROUND(SUMIFS(aditivos!$L$2:$L$200,aditivos!$A$2:$A$200,A72,aditivos!$C$2:$C$200,"C4"),2))</f>
        <v/>
      </c>
      <c r="U72" s="159" t="str">
        <f t="shared" si="44"/>
        <v/>
      </c>
      <c r="V72" s="159" t="str">
        <f>IF(A72="","",IF(itens_Remanesc!K72="","",itens_Remanesc!K72))</f>
        <v/>
      </c>
      <c r="W72" s="159" t="str">
        <f t="shared" si="45"/>
        <v/>
      </c>
      <c r="X72" s="146" t="str">
        <f>IF(A72="","",IF(COUNTIF($A$2:$A$200,A72)&gt;1,"ALERTA: ITEM_DUPLICADO",IF(AND($Z72,ISNUMBER(itens_Remanesc!B72),itens_Remanesc!B72&lt;&gt;0),"NOVO ITEM COM BASE DIFERENTE DE 0 - AJUSTAR itens_Remanesc",IF(AND($Z72,NOT(ISNUMBER(itens_Remanesc!C72))),"NOVO ITEM SEM VU_ORIGINAL - INFORMAR EM itens_Remanesc",IF(MIN(E72,I72,M72,Q72,U72,G72,K72,O72,S72,W72)&lt;0,"ALERTA: POSICAO_NEGATIVA",IF(OR(AND(G72&lt;&gt;"",G72&gt;E72),AND(K72&lt;&gt;"",K72&gt;I72),AND(O72&lt;&gt;"",O72&gt;M72),AND(S72&lt;&gt;"",S72&gt;Q72),AND(W72&lt;&gt;"",W72&gt;U72)),"ALERTA: REMANESCENTE_SUPERA_POSICAO","OK"))))))</f>
        <v/>
      </c>
      <c r="Y72" t="str">
        <f t="shared" si="46"/>
        <v/>
      </c>
      <c r="Z72" t="b">
        <f t="shared" si="47"/>
        <v>0</v>
      </c>
      <c r="AA72" s="208" t="str">
        <f>IF($A72="","",IF(COUNTIFS(aditivos!$A$2:$A$200,$A72,aditivos!$L$2:$L$200,"&lt;&gt;",aditivos!$L$2:$L$200,"&lt;&gt;0",aditivos!$B$2:$B$200,"&gt;0")=0,"",IFERROR(_xlfn.MINIFS(aditivos!$B$2:$B$200,aditivos!$A$2:$A$200,$A72,aditivos!$L$2:$L$200,"&lt;&gt;",aditivos!$L$2:$L$200,"&lt;&gt;0",aditivos!$B$2:$B$200,"&gt;0"),"")))</f>
        <v/>
      </c>
      <c r="AB72" t="str">
        <f>IF($A72="","",IF(OR(parametros!$C$2="",parametros!$I$2=""),0,ROUND(SUMIFS(aditivos!$L$2:$L$200,aditivos!$A$2:$A$200,$A72,aditivos!$C$2:$C$200,"C0",aditivos!$B$2:$B$200,"&gt;="&amp;(INT(parametros!$I$2)+1)),2)))</f>
        <v/>
      </c>
      <c r="AC72" t="str">
        <f>IF($A72="","",IF(OR(parametros!$C$3="",parametros!$I$3=""),0,ROUND(SUMIFS(aditivos!$L$2:$L$200,aditivos!$A$2:$A$200,$A72,aditivos!$C$2:$C$200,"C1",aditivos!$B$2:$B$200,"&gt;="&amp;(INT(parametros!$I$3)+1)),2)))</f>
        <v/>
      </c>
      <c r="AD72" t="str">
        <f>IF($A72="","",IF(OR(parametros!$C$4="",parametros!$I$4=""),0,ROUND(SUMIFS(aditivos!$L$2:$L$200,aditivos!$A$2:$A$200,$A72,aditivos!$C$2:$C$200,"C2",aditivos!$B$2:$B$200,"&gt;="&amp;(INT(parametros!$I$4)+1)),2)))</f>
        <v/>
      </c>
      <c r="AE72" t="str">
        <f>IF($A72="","",IF(OR(parametros!$C$5="",parametros!$I$5=""),0,ROUND(SUMIFS(aditivos!$L$2:$L$200,aditivos!$A$2:$A$200,$A72,aditivos!$C$2:$C$200,"C3",aditivos!$B$2:$B$200,"&gt;="&amp;(INT(parametros!$I$5)+1)),2)))</f>
        <v/>
      </c>
      <c r="AF72" t="str">
        <f>IF($A72="","",IF(OR(parametros!$C$6="",parametros!$I$6=""),0,ROUND(SUMIFS(aditivos!$L$2:$L$200,aditivos!$A$2:$A$200,$A72,aditivos!$C$2:$C$200,"C4",aditivos!$B$2:$B$200,"&gt;="&amp;(INT(parametros!$I$6)+1)),2)))</f>
        <v/>
      </c>
      <c r="AG72" t="str">
        <f t="shared" si="48"/>
        <v/>
      </c>
      <c r="AH72" t="str">
        <f t="shared" si="49"/>
        <v/>
      </c>
      <c r="AI72" t="str">
        <f t="shared" si="50"/>
        <v/>
      </c>
      <c r="AJ72" t="str">
        <f t="shared" si="51"/>
        <v/>
      </c>
      <c r="AK72" t="str">
        <f t="shared" si="52"/>
        <v/>
      </c>
      <c r="AL72" t="str">
        <f t="shared" si="53"/>
        <v/>
      </c>
    </row>
    <row r="73" spans="1:38" x14ac:dyDescent="0.35">
      <c r="A73" s="146" t="str">
        <f>IF(itens_Remanesc!A73="","",itens_Remanesc!A73)</f>
        <v/>
      </c>
      <c r="B73" s="196" t="str">
        <f>IF(A73="","",itens_Remanesc!C73)</f>
        <v/>
      </c>
      <c r="C73" s="161" t="str">
        <f>IF(A73="","",IF(itens_Remanesc!B73="",0,itens_Remanesc!B73))</f>
        <v/>
      </c>
      <c r="D73" s="163" t="str">
        <f>IF(A73="","",ROUND(SUMIFS(aditivos!$L$2:$L$200,aditivos!$A$2:$A$200,A73,aditivos!$C$2:$C$200,"C0"),2))</f>
        <v/>
      </c>
      <c r="E73" s="159" t="str">
        <f t="shared" si="36"/>
        <v/>
      </c>
      <c r="F73" s="159" t="str">
        <f>IF(A73="","",IF(itens_Remanesc!B73&lt;&gt;"",itens_Remanesc!B73,IF($Z73,0,"")))</f>
        <v/>
      </c>
      <c r="G73" s="167" t="str">
        <f t="shared" si="37"/>
        <v/>
      </c>
      <c r="H73" s="169" t="str">
        <f>IF(A73="","",ROUND(SUMIFS(aditivos!$L$2:$L$200,aditivos!$A$2:$A$200,A73,aditivos!$C$2:$C$200,"C1"),2))</f>
        <v/>
      </c>
      <c r="I73" s="165" t="str">
        <f t="shared" si="38"/>
        <v/>
      </c>
      <c r="J73" s="165" t="str">
        <f>IF(A73="","",IF(itens_Remanesc!E73="","",itens_Remanesc!E73))</f>
        <v/>
      </c>
      <c r="K73" s="171" t="str">
        <f t="shared" si="39"/>
        <v/>
      </c>
      <c r="L73" s="163" t="str">
        <f>IF(A73="","",ROUND(SUMIFS(aditivos!$L$2:$L$200,aditivos!$A$2:$A$200,A73,aditivos!$C$2:$C$200,"C2"),2))</f>
        <v/>
      </c>
      <c r="M73" s="159" t="str">
        <f t="shared" si="40"/>
        <v/>
      </c>
      <c r="N73" s="159" t="str">
        <f>IF(A73="","",IF(itens_Remanesc!G73="","",itens_Remanesc!G73))</f>
        <v/>
      </c>
      <c r="O73" s="167" t="str">
        <f t="shared" si="41"/>
        <v/>
      </c>
      <c r="P73" s="169" t="str">
        <f>IF(A73="","",ROUND(SUMIFS(aditivos!$L$2:$L$200,aditivos!$A$2:$A$200,A73,aditivos!$C$2:$C$200,"C3"),2))</f>
        <v/>
      </c>
      <c r="Q73" s="165" t="str">
        <f t="shared" si="42"/>
        <v/>
      </c>
      <c r="R73" s="165" t="str">
        <f>IF(A73="","",IF(itens_Remanesc!I73="","",itens_Remanesc!I73))</f>
        <v/>
      </c>
      <c r="S73" s="171" t="str">
        <f t="shared" si="43"/>
        <v/>
      </c>
      <c r="T73" s="163" t="str">
        <f>IF(A73="","",ROUND(SUMIFS(aditivos!$L$2:$L$200,aditivos!$A$2:$A$200,A73,aditivos!$C$2:$C$200,"C4"),2))</f>
        <v/>
      </c>
      <c r="U73" s="159" t="str">
        <f t="shared" si="44"/>
        <v/>
      </c>
      <c r="V73" s="159" t="str">
        <f>IF(A73="","",IF(itens_Remanesc!K73="","",itens_Remanesc!K73))</f>
        <v/>
      </c>
      <c r="W73" s="159" t="str">
        <f t="shared" si="45"/>
        <v/>
      </c>
      <c r="X73" s="146" t="str">
        <f>IF(A73="","",IF(COUNTIF($A$2:$A$200,A73)&gt;1,"ALERTA: ITEM_DUPLICADO",IF(AND($Z73,ISNUMBER(itens_Remanesc!B73),itens_Remanesc!B73&lt;&gt;0),"NOVO ITEM COM BASE DIFERENTE DE 0 - AJUSTAR itens_Remanesc",IF(AND($Z73,NOT(ISNUMBER(itens_Remanesc!C73))),"NOVO ITEM SEM VU_ORIGINAL - INFORMAR EM itens_Remanesc",IF(MIN(E73,I73,M73,Q73,U73,G73,K73,O73,S73,W73)&lt;0,"ALERTA: POSICAO_NEGATIVA",IF(OR(AND(G73&lt;&gt;"",G73&gt;E73),AND(K73&lt;&gt;"",K73&gt;I73),AND(O73&lt;&gt;"",O73&gt;M73),AND(S73&lt;&gt;"",S73&gt;Q73),AND(W73&lt;&gt;"",W73&gt;U73)),"ALERTA: REMANESCENTE_SUPERA_POSICAO","OK"))))))</f>
        <v/>
      </c>
      <c r="Y73" t="str">
        <f t="shared" si="46"/>
        <v/>
      </c>
      <c r="Z73" t="b">
        <f t="shared" si="47"/>
        <v>0</v>
      </c>
      <c r="AA73" s="208" t="str">
        <f>IF($A73="","",IF(COUNTIFS(aditivos!$A$2:$A$200,$A73,aditivos!$L$2:$L$200,"&lt;&gt;",aditivos!$L$2:$L$200,"&lt;&gt;0",aditivos!$B$2:$B$200,"&gt;0")=0,"",IFERROR(_xlfn.MINIFS(aditivos!$B$2:$B$200,aditivos!$A$2:$A$200,$A73,aditivos!$L$2:$L$200,"&lt;&gt;",aditivos!$L$2:$L$200,"&lt;&gt;0",aditivos!$B$2:$B$200,"&gt;0"),"")))</f>
        <v/>
      </c>
      <c r="AB73" t="str">
        <f>IF($A73="","",IF(OR(parametros!$C$2="",parametros!$I$2=""),0,ROUND(SUMIFS(aditivos!$L$2:$L$200,aditivos!$A$2:$A$200,$A73,aditivos!$C$2:$C$200,"C0",aditivos!$B$2:$B$200,"&gt;="&amp;(INT(parametros!$I$2)+1)),2)))</f>
        <v/>
      </c>
      <c r="AC73" t="str">
        <f>IF($A73="","",IF(OR(parametros!$C$3="",parametros!$I$3=""),0,ROUND(SUMIFS(aditivos!$L$2:$L$200,aditivos!$A$2:$A$200,$A73,aditivos!$C$2:$C$200,"C1",aditivos!$B$2:$B$200,"&gt;="&amp;(INT(parametros!$I$3)+1)),2)))</f>
        <v/>
      </c>
      <c r="AD73" t="str">
        <f>IF($A73="","",IF(OR(parametros!$C$4="",parametros!$I$4=""),0,ROUND(SUMIFS(aditivos!$L$2:$L$200,aditivos!$A$2:$A$200,$A73,aditivos!$C$2:$C$200,"C2",aditivos!$B$2:$B$200,"&gt;="&amp;(INT(parametros!$I$4)+1)),2)))</f>
        <v/>
      </c>
      <c r="AE73" t="str">
        <f>IF($A73="","",IF(OR(parametros!$C$5="",parametros!$I$5=""),0,ROUND(SUMIFS(aditivos!$L$2:$L$200,aditivos!$A$2:$A$200,$A73,aditivos!$C$2:$C$200,"C3",aditivos!$B$2:$B$200,"&gt;="&amp;(INT(parametros!$I$5)+1)),2)))</f>
        <v/>
      </c>
      <c r="AF73" t="str">
        <f>IF($A73="","",IF(OR(parametros!$C$6="",parametros!$I$6=""),0,ROUND(SUMIFS(aditivos!$L$2:$L$200,aditivos!$A$2:$A$200,$A73,aditivos!$C$2:$C$200,"C4",aditivos!$B$2:$B$200,"&gt;="&amp;(INT(parametros!$I$6)+1)),2)))</f>
        <v/>
      </c>
      <c r="AG73" t="str">
        <f t="shared" si="48"/>
        <v/>
      </c>
      <c r="AH73" t="str">
        <f t="shared" si="49"/>
        <v/>
      </c>
      <c r="AI73" t="str">
        <f t="shared" si="50"/>
        <v/>
      </c>
      <c r="AJ73" t="str">
        <f t="shared" si="51"/>
        <v/>
      </c>
      <c r="AK73" t="str">
        <f t="shared" si="52"/>
        <v/>
      </c>
      <c r="AL73" t="str">
        <f t="shared" si="53"/>
        <v/>
      </c>
    </row>
    <row r="74" spans="1:38" x14ac:dyDescent="0.35">
      <c r="A74" s="146" t="str">
        <f>IF(itens_Remanesc!A74="","",itens_Remanesc!A74)</f>
        <v/>
      </c>
      <c r="B74" s="196" t="str">
        <f>IF(A74="","",itens_Remanesc!C74)</f>
        <v/>
      </c>
      <c r="C74" s="161" t="str">
        <f>IF(A74="","",IF(itens_Remanesc!B74="",0,itens_Remanesc!B74))</f>
        <v/>
      </c>
      <c r="D74" s="163" t="str">
        <f>IF(A74="","",ROUND(SUMIFS(aditivos!$L$2:$L$200,aditivos!$A$2:$A$200,A74,aditivos!$C$2:$C$200,"C0"),2))</f>
        <v/>
      </c>
      <c r="E74" s="159" t="str">
        <f t="shared" si="36"/>
        <v/>
      </c>
      <c r="F74" s="159" t="str">
        <f>IF(A74="","",IF(itens_Remanesc!B74&lt;&gt;"",itens_Remanesc!B74,IF($Z74,0,"")))</f>
        <v/>
      </c>
      <c r="G74" s="167" t="str">
        <f t="shared" si="37"/>
        <v/>
      </c>
      <c r="H74" s="169" t="str">
        <f>IF(A74="","",ROUND(SUMIFS(aditivos!$L$2:$L$200,aditivos!$A$2:$A$200,A74,aditivos!$C$2:$C$200,"C1"),2))</f>
        <v/>
      </c>
      <c r="I74" s="165" t="str">
        <f t="shared" si="38"/>
        <v/>
      </c>
      <c r="J74" s="165" t="str">
        <f>IF(A74="","",IF(itens_Remanesc!E74="","",itens_Remanesc!E74))</f>
        <v/>
      </c>
      <c r="K74" s="171" t="str">
        <f t="shared" si="39"/>
        <v/>
      </c>
      <c r="L74" s="163" t="str">
        <f>IF(A74="","",ROUND(SUMIFS(aditivos!$L$2:$L$200,aditivos!$A$2:$A$200,A74,aditivos!$C$2:$C$200,"C2"),2))</f>
        <v/>
      </c>
      <c r="M74" s="159" t="str">
        <f t="shared" si="40"/>
        <v/>
      </c>
      <c r="N74" s="159" t="str">
        <f>IF(A74="","",IF(itens_Remanesc!G74="","",itens_Remanesc!G74))</f>
        <v/>
      </c>
      <c r="O74" s="167" t="str">
        <f t="shared" si="41"/>
        <v/>
      </c>
      <c r="P74" s="169" t="str">
        <f>IF(A74="","",ROUND(SUMIFS(aditivos!$L$2:$L$200,aditivos!$A$2:$A$200,A74,aditivos!$C$2:$C$200,"C3"),2))</f>
        <v/>
      </c>
      <c r="Q74" s="165" t="str">
        <f t="shared" si="42"/>
        <v/>
      </c>
      <c r="R74" s="165" t="str">
        <f>IF(A74="","",IF(itens_Remanesc!I74="","",itens_Remanesc!I74))</f>
        <v/>
      </c>
      <c r="S74" s="171" t="str">
        <f t="shared" si="43"/>
        <v/>
      </c>
      <c r="T74" s="163" t="str">
        <f>IF(A74="","",ROUND(SUMIFS(aditivos!$L$2:$L$200,aditivos!$A$2:$A$200,A74,aditivos!$C$2:$C$200,"C4"),2))</f>
        <v/>
      </c>
      <c r="U74" s="159" t="str">
        <f t="shared" si="44"/>
        <v/>
      </c>
      <c r="V74" s="159" t="str">
        <f>IF(A74="","",IF(itens_Remanesc!K74="","",itens_Remanesc!K74))</f>
        <v/>
      </c>
      <c r="W74" s="159" t="str">
        <f t="shared" si="45"/>
        <v/>
      </c>
      <c r="X74" s="146" t="str">
        <f>IF(A74="","",IF(COUNTIF($A$2:$A$200,A74)&gt;1,"ALERTA: ITEM_DUPLICADO",IF(AND($Z74,ISNUMBER(itens_Remanesc!B74),itens_Remanesc!B74&lt;&gt;0),"NOVO ITEM COM BASE DIFERENTE DE 0 - AJUSTAR itens_Remanesc",IF(AND($Z74,NOT(ISNUMBER(itens_Remanesc!C74))),"NOVO ITEM SEM VU_ORIGINAL - INFORMAR EM itens_Remanesc",IF(MIN(E74,I74,M74,Q74,U74,G74,K74,O74,S74,W74)&lt;0,"ALERTA: POSICAO_NEGATIVA",IF(OR(AND(G74&lt;&gt;"",G74&gt;E74),AND(K74&lt;&gt;"",K74&gt;I74),AND(O74&lt;&gt;"",O74&gt;M74),AND(S74&lt;&gt;"",S74&gt;Q74),AND(W74&lt;&gt;"",W74&gt;U74)),"ALERTA: REMANESCENTE_SUPERA_POSICAO","OK"))))))</f>
        <v/>
      </c>
      <c r="Y74" t="str">
        <f t="shared" si="46"/>
        <v/>
      </c>
      <c r="Z74" t="b">
        <f t="shared" si="47"/>
        <v>0</v>
      </c>
      <c r="AA74" s="208" t="str">
        <f>IF($A74="","",IF(COUNTIFS(aditivos!$A$2:$A$200,$A74,aditivos!$L$2:$L$200,"&lt;&gt;",aditivos!$L$2:$L$200,"&lt;&gt;0",aditivos!$B$2:$B$200,"&gt;0")=0,"",IFERROR(_xlfn.MINIFS(aditivos!$B$2:$B$200,aditivos!$A$2:$A$200,$A74,aditivos!$L$2:$L$200,"&lt;&gt;",aditivos!$L$2:$L$200,"&lt;&gt;0",aditivos!$B$2:$B$200,"&gt;0"),"")))</f>
        <v/>
      </c>
      <c r="AB74" t="str">
        <f>IF($A74="","",IF(OR(parametros!$C$2="",parametros!$I$2=""),0,ROUND(SUMIFS(aditivos!$L$2:$L$200,aditivos!$A$2:$A$200,$A74,aditivos!$C$2:$C$200,"C0",aditivos!$B$2:$B$200,"&gt;="&amp;(INT(parametros!$I$2)+1)),2)))</f>
        <v/>
      </c>
      <c r="AC74" t="str">
        <f>IF($A74="","",IF(OR(parametros!$C$3="",parametros!$I$3=""),0,ROUND(SUMIFS(aditivos!$L$2:$L$200,aditivos!$A$2:$A$200,$A74,aditivos!$C$2:$C$200,"C1",aditivos!$B$2:$B$200,"&gt;="&amp;(INT(parametros!$I$3)+1)),2)))</f>
        <v/>
      </c>
      <c r="AD74" t="str">
        <f>IF($A74="","",IF(OR(parametros!$C$4="",parametros!$I$4=""),0,ROUND(SUMIFS(aditivos!$L$2:$L$200,aditivos!$A$2:$A$200,$A74,aditivos!$C$2:$C$200,"C2",aditivos!$B$2:$B$200,"&gt;="&amp;(INT(parametros!$I$4)+1)),2)))</f>
        <v/>
      </c>
      <c r="AE74" t="str">
        <f>IF($A74="","",IF(OR(parametros!$C$5="",parametros!$I$5=""),0,ROUND(SUMIFS(aditivos!$L$2:$L$200,aditivos!$A$2:$A$200,$A74,aditivos!$C$2:$C$200,"C3",aditivos!$B$2:$B$200,"&gt;="&amp;(INT(parametros!$I$5)+1)),2)))</f>
        <v/>
      </c>
      <c r="AF74" t="str">
        <f>IF($A74="","",IF(OR(parametros!$C$6="",parametros!$I$6=""),0,ROUND(SUMIFS(aditivos!$L$2:$L$200,aditivos!$A$2:$A$200,$A74,aditivos!$C$2:$C$200,"C4",aditivos!$B$2:$B$200,"&gt;="&amp;(INT(parametros!$I$6)+1)),2)))</f>
        <v/>
      </c>
      <c r="AG74" t="str">
        <f t="shared" si="48"/>
        <v/>
      </c>
      <c r="AH74" t="str">
        <f t="shared" si="49"/>
        <v/>
      </c>
      <c r="AI74" t="str">
        <f t="shared" si="50"/>
        <v/>
      </c>
      <c r="AJ74" t="str">
        <f t="shared" si="51"/>
        <v/>
      </c>
      <c r="AK74" t="str">
        <f t="shared" si="52"/>
        <v/>
      </c>
      <c r="AL74" t="str">
        <f t="shared" si="53"/>
        <v/>
      </c>
    </row>
    <row r="75" spans="1:38" x14ac:dyDescent="0.35">
      <c r="A75" s="146" t="str">
        <f>IF(itens_Remanesc!A75="","",itens_Remanesc!A75)</f>
        <v/>
      </c>
      <c r="B75" s="196" t="str">
        <f>IF(A75="","",itens_Remanesc!C75)</f>
        <v/>
      </c>
      <c r="C75" s="161" t="str">
        <f>IF(A75="","",IF(itens_Remanesc!B75="",0,itens_Remanesc!B75))</f>
        <v/>
      </c>
      <c r="D75" s="163" t="str">
        <f>IF(A75="","",ROUND(SUMIFS(aditivos!$L$2:$L$200,aditivos!$A$2:$A$200,A75,aditivos!$C$2:$C$200,"C0"),2))</f>
        <v/>
      </c>
      <c r="E75" s="159" t="str">
        <f t="shared" si="36"/>
        <v/>
      </c>
      <c r="F75" s="159" t="str">
        <f>IF(A75="","",IF(itens_Remanesc!B75&lt;&gt;"",itens_Remanesc!B75,IF($Z75,0,"")))</f>
        <v/>
      </c>
      <c r="G75" s="167" t="str">
        <f t="shared" si="37"/>
        <v/>
      </c>
      <c r="H75" s="169" t="str">
        <f>IF(A75="","",ROUND(SUMIFS(aditivos!$L$2:$L$200,aditivos!$A$2:$A$200,A75,aditivos!$C$2:$C$200,"C1"),2))</f>
        <v/>
      </c>
      <c r="I75" s="165" t="str">
        <f t="shared" si="38"/>
        <v/>
      </c>
      <c r="J75" s="165" t="str">
        <f>IF(A75="","",IF(itens_Remanesc!E75="","",itens_Remanesc!E75))</f>
        <v/>
      </c>
      <c r="K75" s="171" t="str">
        <f t="shared" si="39"/>
        <v/>
      </c>
      <c r="L75" s="163" t="str">
        <f>IF(A75="","",ROUND(SUMIFS(aditivos!$L$2:$L$200,aditivos!$A$2:$A$200,A75,aditivos!$C$2:$C$200,"C2"),2))</f>
        <v/>
      </c>
      <c r="M75" s="159" t="str">
        <f t="shared" si="40"/>
        <v/>
      </c>
      <c r="N75" s="159" t="str">
        <f>IF(A75="","",IF(itens_Remanesc!G75="","",itens_Remanesc!G75))</f>
        <v/>
      </c>
      <c r="O75" s="167" t="str">
        <f t="shared" si="41"/>
        <v/>
      </c>
      <c r="P75" s="169" t="str">
        <f>IF(A75="","",ROUND(SUMIFS(aditivos!$L$2:$L$200,aditivos!$A$2:$A$200,A75,aditivos!$C$2:$C$200,"C3"),2))</f>
        <v/>
      </c>
      <c r="Q75" s="165" t="str">
        <f t="shared" si="42"/>
        <v/>
      </c>
      <c r="R75" s="165" t="str">
        <f>IF(A75="","",IF(itens_Remanesc!I75="","",itens_Remanesc!I75))</f>
        <v/>
      </c>
      <c r="S75" s="171" t="str">
        <f t="shared" si="43"/>
        <v/>
      </c>
      <c r="T75" s="163" t="str">
        <f>IF(A75="","",ROUND(SUMIFS(aditivos!$L$2:$L$200,aditivos!$A$2:$A$200,A75,aditivos!$C$2:$C$200,"C4"),2))</f>
        <v/>
      </c>
      <c r="U75" s="159" t="str">
        <f t="shared" si="44"/>
        <v/>
      </c>
      <c r="V75" s="159" t="str">
        <f>IF(A75="","",IF(itens_Remanesc!K75="","",itens_Remanesc!K75))</f>
        <v/>
      </c>
      <c r="W75" s="159" t="str">
        <f t="shared" si="45"/>
        <v/>
      </c>
      <c r="X75" s="146" t="str">
        <f>IF(A75="","",IF(COUNTIF($A$2:$A$200,A75)&gt;1,"ALERTA: ITEM_DUPLICADO",IF(AND($Z75,ISNUMBER(itens_Remanesc!B75),itens_Remanesc!B75&lt;&gt;0),"NOVO ITEM COM BASE DIFERENTE DE 0 - AJUSTAR itens_Remanesc",IF(AND($Z75,NOT(ISNUMBER(itens_Remanesc!C75))),"NOVO ITEM SEM VU_ORIGINAL - INFORMAR EM itens_Remanesc",IF(MIN(E75,I75,M75,Q75,U75,G75,K75,O75,S75,W75)&lt;0,"ALERTA: POSICAO_NEGATIVA",IF(OR(AND(G75&lt;&gt;"",G75&gt;E75),AND(K75&lt;&gt;"",K75&gt;I75),AND(O75&lt;&gt;"",O75&gt;M75),AND(S75&lt;&gt;"",S75&gt;Q75),AND(W75&lt;&gt;"",W75&gt;U75)),"ALERTA: REMANESCENTE_SUPERA_POSICAO","OK"))))))</f>
        <v/>
      </c>
      <c r="Y75" t="str">
        <f t="shared" si="46"/>
        <v/>
      </c>
      <c r="Z75" t="b">
        <f t="shared" si="47"/>
        <v>0</v>
      </c>
      <c r="AA75" s="208" t="str">
        <f>IF($A75="","",IF(COUNTIFS(aditivos!$A$2:$A$200,$A75,aditivos!$L$2:$L$200,"&lt;&gt;",aditivos!$L$2:$L$200,"&lt;&gt;0",aditivos!$B$2:$B$200,"&gt;0")=0,"",IFERROR(_xlfn.MINIFS(aditivos!$B$2:$B$200,aditivos!$A$2:$A$200,$A75,aditivos!$L$2:$L$200,"&lt;&gt;",aditivos!$L$2:$L$200,"&lt;&gt;0",aditivos!$B$2:$B$200,"&gt;0"),"")))</f>
        <v/>
      </c>
      <c r="AB75" t="str">
        <f>IF($A75="","",IF(OR(parametros!$C$2="",parametros!$I$2=""),0,ROUND(SUMIFS(aditivos!$L$2:$L$200,aditivos!$A$2:$A$200,$A75,aditivos!$C$2:$C$200,"C0",aditivos!$B$2:$B$200,"&gt;="&amp;(INT(parametros!$I$2)+1)),2)))</f>
        <v/>
      </c>
      <c r="AC75" t="str">
        <f>IF($A75="","",IF(OR(parametros!$C$3="",parametros!$I$3=""),0,ROUND(SUMIFS(aditivos!$L$2:$L$200,aditivos!$A$2:$A$200,$A75,aditivos!$C$2:$C$200,"C1",aditivos!$B$2:$B$200,"&gt;="&amp;(INT(parametros!$I$3)+1)),2)))</f>
        <v/>
      </c>
      <c r="AD75" t="str">
        <f>IF($A75="","",IF(OR(parametros!$C$4="",parametros!$I$4=""),0,ROUND(SUMIFS(aditivos!$L$2:$L$200,aditivos!$A$2:$A$200,$A75,aditivos!$C$2:$C$200,"C2",aditivos!$B$2:$B$200,"&gt;="&amp;(INT(parametros!$I$4)+1)),2)))</f>
        <v/>
      </c>
      <c r="AE75" t="str">
        <f>IF($A75="","",IF(OR(parametros!$C$5="",parametros!$I$5=""),0,ROUND(SUMIFS(aditivos!$L$2:$L$200,aditivos!$A$2:$A$200,$A75,aditivos!$C$2:$C$200,"C3",aditivos!$B$2:$B$200,"&gt;="&amp;(INT(parametros!$I$5)+1)),2)))</f>
        <v/>
      </c>
      <c r="AF75" t="str">
        <f>IF($A75="","",IF(OR(parametros!$C$6="",parametros!$I$6=""),0,ROUND(SUMIFS(aditivos!$L$2:$L$200,aditivos!$A$2:$A$200,$A75,aditivos!$C$2:$C$200,"C4",aditivos!$B$2:$B$200,"&gt;="&amp;(INT(parametros!$I$6)+1)),2)))</f>
        <v/>
      </c>
      <c r="AG75" t="str">
        <f t="shared" si="48"/>
        <v/>
      </c>
      <c r="AH75" t="str">
        <f t="shared" si="49"/>
        <v/>
      </c>
      <c r="AI75" t="str">
        <f t="shared" si="50"/>
        <v/>
      </c>
      <c r="AJ75" t="str">
        <f t="shared" si="51"/>
        <v/>
      </c>
      <c r="AK75" t="str">
        <f t="shared" si="52"/>
        <v/>
      </c>
      <c r="AL75" t="str">
        <f t="shared" si="53"/>
        <v/>
      </c>
    </row>
    <row r="76" spans="1:38" x14ac:dyDescent="0.35">
      <c r="A76" s="146" t="str">
        <f>IF(itens_Remanesc!A76="","",itens_Remanesc!A76)</f>
        <v/>
      </c>
      <c r="B76" s="196" t="str">
        <f>IF(A76="","",itens_Remanesc!C76)</f>
        <v/>
      </c>
      <c r="C76" s="161" t="str">
        <f>IF(A76="","",IF(itens_Remanesc!B76="",0,itens_Remanesc!B76))</f>
        <v/>
      </c>
      <c r="D76" s="163" t="str">
        <f>IF(A76="","",ROUND(SUMIFS(aditivos!$L$2:$L$200,aditivos!$A$2:$A$200,A76,aditivos!$C$2:$C$200,"C0"),2))</f>
        <v/>
      </c>
      <c r="E76" s="159" t="str">
        <f t="shared" si="36"/>
        <v/>
      </c>
      <c r="F76" s="159" t="str">
        <f>IF(A76="","",IF(itens_Remanesc!B76&lt;&gt;"",itens_Remanesc!B76,IF($Z76,0,"")))</f>
        <v/>
      </c>
      <c r="G76" s="167" t="str">
        <f t="shared" si="37"/>
        <v/>
      </c>
      <c r="H76" s="169" t="str">
        <f>IF(A76="","",ROUND(SUMIFS(aditivos!$L$2:$L$200,aditivos!$A$2:$A$200,A76,aditivos!$C$2:$C$200,"C1"),2))</f>
        <v/>
      </c>
      <c r="I76" s="165" t="str">
        <f t="shared" si="38"/>
        <v/>
      </c>
      <c r="J76" s="165" t="str">
        <f>IF(A76="","",IF(itens_Remanesc!E76="","",itens_Remanesc!E76))</f>
        <v/>
      </c>
      <c r="K76" s="171" t="str">
        <f t="shared" si="39"/>
        <v/>
      </c>
      <c r="L76" s="163" t="str">
        <f>IF(A76="","",ROUND(SUMIFS(aditivos!$L$2:$L$200,aditivos!$A$2:$A$200,A76,aditivos!$C$2:$C$200,"C2"),2))</f>
        <v/>
      </c>
      <c r="M76" s="159" t="str">
        <f t="shared" si="40"/>
        <v/>
      </c>
      <c r="N76" s="159" t="str">
        <f>IF(A76="","",IF(itens_Remanesc!G76="","",itens_Remanesc!G76))</f>
        <v/>
      </c>
      <c r="O76" s="167" t="str">
        <f t="shared" si="41"/>
        <v/>
      </c>
      <c r="P76" s="169" t="str">
        <f>IF(A76="","",ROUND(SUMIFS(aditivos!$L$2:$L$200,aditivos!$A$2:$A$200,A76,aditivos!$C$2:$C$200,"C3"),2))</f>
        <v/>
      </c>
      <c r="Q76" s="165" t="str">
        <f t="shared" si="42"/>
        <v/>
      </c>
      <c r="R76" s="165" t="str">
        <f>IF(A76="","",IF(itens_Remanesc!I76="","",itens_Remanesc!I76))</f>
        <v/>
      </c>
      <c r="S76" s="171" t="str">
        <f t="shared" si="43"/>
        <v/>
      </c>
      <c r="T76" s="163" t="str">
        <f>IF(A76="","",ROUND(SUMIFS(aditivos!$L$2:$L$200,aditivos!$A$2:$A$200,A76,aditivos!$C$2:$C$200,"C4"),2))</f>
        <v/>
      </c>
      <c r="U76" s="159" t="str">
        <f t="shared" si="44"/>
        <v/>
      </c>
      <c r="V76" s="159" t="str">
        <f>IF(A76="","",IF(itens_Remanesc!K76="","",itens_Remanesc!K76))</f>
        <v/>
      </c>
      <c r="W76" s="159" t="str">
        <f t="shared" si="45"/>
        <v/>
      </c>
      <c r="X76" s="146" t="str">
        <f>IF(A76="","",IF(COUNTIF($A$2:$A$200,A76)&gt;1,"ALERTA: ITEM_DUPLICADO",IF(AND($Z76,ISNUMBER(itens_Remanesc!B76),itens_Remanesc!B76&lt;&gt;0),"NOVO ITEM COM BASE DIFERENTE DE 0 - AJUSTAR itens_Remanesc",IF(AND($Z76,NOT(ISNUMBER(itens_Remanesc!C76))),"NOVO ITEM SEM VU_ORIGINAL - INFORMAR EM itens_Remanesc",IF(MIN(E76,I76,M76,Q76,U76,G76,K76,O76,S76,W76)&lt;0,"ALERTA: POSICAO_NEGATIVA",IF(OR(AND(G76&lt;&gt;"",G76&gt;E76),AND(K76&lt;&gt;"",K76&gt;I76),AND(O76&lt;&gt;"",O76&gt;M76),AND(S76&lt;&gt;"",S76&gt;Q76),AND(W76&lt;&gt;"",W76&gt;U76)),"ALERTA: REMANESCENTE_SUPERA_POSICAO","OK"))))))</f>
        <v/>
      </c>
      <c r="Y76" t="str">
        <f t="shared" si="46"/>
        <v/>
      </c>
      <c r="Z76" t="b">
        <f t="shared" si="47"/>
        <v>0</v>
      </c>
      <c r="AA76" s="208" t="str">
        <f>IF($A76="","",IF(COUNTIFS(aditivos!$A$2:$A$200,$A76,aditivos!$L$2:$L$200,"&lt;&gt;",aditivos!$L$2:$L$200,"&lt;&gt;0",aditivos!$B$2:$B$200,"&gt;0")=0,"",IFERROR(_xlfn.MINIFS(aditivos!$B$2:$B$200,aditivos!$A$2:$A$200,$A76,aditivos!$L$2:$L$200,"&lt;&gt;",aditivos!$L$2:$L$200,"&lt;&gt;0",aditivos!$B$2:$B$200,"&gt;0"),"")))</f>
        <v/>
      </c>
      <c r="AB76" t="str">
        <f>IF($A76="","",IF(OR(parametros!$C$2="",parametros!$I$2=""),0,ROUND(SUMIFS(aditivos!$L$2:$L$200,aditivos!$A$2:$A$200,$A76,aditivos!$C$2:$C$200,"C0",aditivos!$B$2:$B$200,"&gt;="&amp;(INT(parametros!$I$2)+1)),2)))</f>
        <v/>
      </c>
      <c r="AC76" t="str">
        <f>IF($A76="","",IF(OR(parametros!$C$3="",parametros!$I$3=""),0,ROUND(SUMIFS(aditivos!$L$2:$L$200,aditivos!$A$2:$A$200,$A76,aditivos!$C$2:$C$200,"C1",aditivos!$B$2:$B$200,"&gt;="&amp;(INT(parametros!$I$3)+1)),2)))</f>
        <v/>
      </c>
      <c r="AD76" t="str">
        <f>IF($A76="","",IF(OR(parametros!$C$4="",parametros!$I$4=""),0,ROUND(SUMIFS(aditivos!$L$2:$L$200,aditivos!$A$2:$A$200,$A76,aditivos!$C$2:$C$200,"C2",aditivos!$B$2:$B$200,"&gt;="&amp;(INT(parametros!$I$4)+1)),2)))</f>
        <v/>
      </c>
      <c r="AE76" t="str">
        <f>IF($A76="","",IF(OR(parametros!$C$5="",parametros!$I$5=""),0,ROUND(SUMIFS(aditivos!$L$2:$L$200,aditivos!$A$2:$A$200,$A76,aditivos!$C$2:$C$200,"C3",aditivos!$B$2:$B$200,"&gt;="&amp;(INT(parametros!$I$5)+1)),2)))</f>
        <v/>
      </c>
      <c r="AF76" t="str">
        <f>IF($A76="","",IF(OR(parametros!$C$6="",parametros!$I$6=""),0,ROUND(SUMIFS(aditivos!$L$2:$L$200,aditivos!$A$2:$A$200,$A76,aditivos!$C$2:$C$200,"C4",aditivos!$B$2:$B$200,"&gt;="&amp;(INT(parametros!$I$6)+1)),2)))</f>
        <v/>
      </c>
      <c r="AG76" t="str">
        <f t="shared" si="48"/>
        <v/>
      </c>
      <c r="AH76" t="str">
        <f t="shared" si="49"/>
        <v/>
      </c>
      <c r="AI76" t="str">
        <f t="shared" si="50"/>
        <v/>
      </c>
      <c r="AJ76" t="str">
        <f t="shared" si="51"/>
        <v/>
      </c>
      <c r="AK76" t="str">
        <f t="shared" si="52"/>
        <v/>
      </c>
      <c r="AL76" t="str">
        <f t="shared" si="53"/>
        <v/>
      </c>
    </row>
    <row r="77" spans="1:38" x14ac:dyDescent="0.35">
      <c r="A77" s="146" t="str">
        <f>IF(itens_Remanesc!A77="","",itens_Remanesc!A77)</f>
        <v/>
      </c>
      <c r="B77" s="196" t="str">
        <f>IF(A77="","",itens_Remanesc!C77)</f>
        <v/>
      </c>
      <c r="C77" s="161" t="str">
        <f>IF(A77="","",IF(itens_Remanesc!B77="",0,itens_Remanesc!B77))</f>
        <v/>
      </c>
      <c r="D77" s="163" t="str">
        <f>IF(A77="","",ROUND(SUMIFS(aditivos!$L$2:$L$200,aditivos!$A$2:$A$200,A77,aditivos!$C$2:$C$200,"C0"),2))</f>
        <v/>
      </c>
      <c r="E77" s="159" t="str">
        <f t="shared" si="36"/>
        <v/>
      </c>
      <c r="F77" s="159" t="str">
        <f>IF(A77="","",IF(itens_Remanesc!B77&lt;&gt;"",itens_Remanesc!B77,IF($Z77,0,"")))</f>
        <v/>
      </c>
      <c r="G77" s="167" t="str">
        <f t="shared" si="37"/>
        <v/>
      </c>
      <c r="H77" s="169" t="str">
        <f>IF(A77="","",ROUND(SUMIFS(aditivos!$L$2:$L$200,aditivos!$A$2:$A$200,A77,aditivos!$C$2:$C$200,"C1"),2))</f>
        <v/>
      </c>
      <c r="I77" s="165" t="str">
        <f t="shared" si="38"/>
        <v/>
      </c>
      <c r="J77" s="165" t="str">
        <f>IF(A77="","",IF(itens_Remanesc!E77="","",itens_Remanesc!E77))</f>
        <v/>
      </c>
      <c r="K77" s="171" t="str">
        <f t="shared" si="39"/>
        <v/>
      </c>
      <c r="L77" s="163" t="str">
        <f>IF(A77="","",ROUND(SUMIFS(aditivos!$L$2:$L$200,aditivos!$A$2:$A$200,A77,aditivos!$C$2:$C$200,"C2"),2))</f>
        <v/>
      </c>
      <c r="M77" s="159" t="str">
        <f t="shared" si="40"/>
        <v/>
      </c>
      <c r="N77" s="159" t="str">
        <f>IF(A77="","",IF(itens_Remanesc!G77="","",itens_Remanesc!G77))</f>
        <v/>
      </c>
      <c r="O77" s="167" t="str">
        <f t="shared" si="41"/>
        <v/>
      </c>
      <c r="P77" s="169" t="str">
        <f>IF(A77="","",ROUND(SUMIFS(aditivos!$L$2:$L$200,aditivos!$A$2:$A$200,A77,aditivos!$C$2:$C$200,"C3"),2))</f>
        <v/>
      </c>
      <c r="Q77" s="165" t="str">
        <f t="shared" si="42"/>
        <v/>
      </c>
      <c r="R77" s="165" t="str">
        <f>IF(A77="","",IF(itens_Remanesc!I77="","",itens_Remanesc!I77))</f>
        <v/>
      </c>
      <c r="S77" s="171" t="str">
        <f t="shared" si="43"/>
        <v/>
      </c>
      <c r="T77" s="163" t="str">
        <f>IF(A77="","",ROUND(SUMIFS(aditivos!$L$2:$L$200,aditivos!$A$2:$A$200,A77,aditivos!$C$2:$C$200,"C4"),2))</f>
        <v/>
      </c>
      <c r="U77" s="159" t="str">
        <f t="shared" si="44"/>
        <v/>
      </c>
      <c r="V77" s="159" t="str">
        <f>IF(A77="","",IF(itens_Remanesc!K77="","",itens_Remanesc!K77))</f>
        <v/>
      </c>
      <c r="W77" s="159" t="str">
        <f t="shared" si="45"/>
        <v/>
      </c>
      <c r="X77" s="146" t="str">
        <f>IF(A77="","",IF(COUNTIF($A$2:$A$200,A77)&gt;1,"ALERTA: ITEM_DUPLICADO",IF(AND($Z77,ISNUMBER(itens_Remanesc!B77),itens_Remanesc!B77&lt;&gt;0),"NOVO ITEM COM BASE DIFERENTE DE 0 - AJUSTAR itens_Remanesc",IF(AND($Z77,NOT(ISNUMBER(itens_Remanesc!C77))),"NOVO ITEM SEM VU_ORIGINAL - INFORMAR EM itens_Remanesc",IF(MIN(E77,I77,M77,Q77,U77,G77,K77,O77,S77,W77)&lt;0,"ALERTA: POSICAO_NEGATIVA",IF(OR(AND(G77&lt;&gt;"",G77&gt;E77),AND(K77&lt;&gt;"",K77&gt;I77),AND(O77&lt;&gt;"",O77&gt;M77),AND(S77&lt;&gt;"",S77&gt;Q77),AND(W77&lt;&gt;"",W77&gt;U77)),"ALERTA: REMANESCENTE_SUPERA_POSICAO","OK"))))))</f>
        <v/>
      </c>
      <c r="Y77" t="str">
        <f t="shared" si="46"/>
        <v/>
      </c>
      <c r="Z77" t="b">
        <f t="shared" si="47"/>
        <v>0</v>
      </c>
      <c r="AA77" s="208" t="str">
        <f>IF($A77="","",IF(COUNTIFS(aditivos!$A$2:$A$200,$A77,aditivos!$L$2:$L$200,"&lt;&gt;",aditivos!$L$2:$L$200,"&lt;&gt;0",aditivos!$B$2:$B$200,"&gt;0")=0,"",IFERROR(_xlfn.MINIFS(aditivos!$B$2:$B$200,aditivos!$A$2:$A$200,$A77,aditivos!$L$2:$L$200,"&lt;&gt;",aditivos!$L$2:$L$200,"&lt;&gt;0",aditivos!$B$2:$B$200,"&gt;0"),"")))</f>
        <v/>
      </c>
      <c r="AB77" t="str">
        <f>IF($A77="","",IF(OR(parametros!$C$2="",parametros!$I$2=""),0,ROUND(SUMIFS(aditivos!$L$2:$L$200,aditivos!$A$2:$A$200,$A77,aditivos!$C$2:$C$200,"C0",aditivos!$B$2:$B$200,"&gt;="&amp;(INT(parametros!$I$2)+1)),2)))</f>
        <v/>
      </c>
      <c r="AC77" t="str">
        <f>IF($A77="","",IF(OR(parametros!$C$3="",parametros!$I$3=""),0,ROUND(SUMIFS(aditivos!$L$2:$L$200,aditivos!$A$2:$A$200,$A77,aditivos!$C$2:$C$200,"C1",aditivos!$B$2:$B$200,"&gt;="&amp;(INT(parametros!$I$3)+1)),2)))</f>
        <v/>
      </c>
      <c r="AD77" t="str">
        <f>IF($A77="","",IF(OR(parametros!$C$4="",parametros!$I$4=""),0,ROUND(SUMIFS(aditivos!$L$2:$L$200,aditivos!$A$2:$A$200,$A77,aditivos!$C$2:$C$200,"C2",aditivos!$B$2:$B$200,"&gt;="&amp;(INT(parametros!$I$4)+1)),2)))</f>
        <v/>
      </c>
      <c r="AE77" t="str">
        <f>IF($A77="","",IF(OR(parametros!$C$5="",parametros!$I$5=""),0,ROUND(SUMIFS(aditivos!$L$2:$L$200,aditivos!$A$2:$A$200,$A77,aditivos!$C$2:$C$200,"C3",aditivos!$B$2:$B$200,"&gt;="&amp;(INT(parametros!$I$5)+1)),2)))</f>
        <v/>
      </c>
      <c r="AF77" t="str">
        <f>IF($A77="","",IF(OR(parametros!$C$6="",parametros!$I$6=""),0,ROUND(SUMIFS(aditivos!$L$2:$L$200,aditivos!$A$2:$A$200,$A77,aditivos!$C$2:$C$200,"C4",aditivos!$B$2:$B$200,"&gt;="&amp;(INT(parametros!$I$6)+1)),2)))</f>
        <v/>
      </c>
      <c r="AG77" t="str">
        <f t="shared" si="48"/>
        <v/>
      </c>
      <c r="AH77" t="str">
        <f t="shared" si="49"/>
        <v/>
      </c>
      <c r="AI77" t="str">
        <f t="shared" si="50"/>
        <v/>
      </c>
      <c r="AJ77" t="str">
        <f t="shared" si="51"/>
        <v/>
      </c>
      <c r="AK77" t="str">
        <f t="shared" si="52"/>
        <v/>
      </c>
      <c r="AL77" t="str">
        <f t="shared" si="53"/>
        <v/>
      </c>
    </row>
    <row r="78" spans="1:38" x14ac:dyDescent="0.35">
      <c r="A78" s="146" t="str">
        <f>IF(itens_Remanesc!A78="","",itens_Remanesc!A78)</f>
        <v/>
      </c>
      <c r="B78" s="196" t="str">
        <f>IF(A78="","",itens_Remanesc!C78)</f>
        <v/>
      </c>
      <c r="C78" s="161" t="str">
        <f>IF(A78="","",IF(itens_Remanesc!B78="",0,itens_Remanesc!B78))</f>
        <v/>
      </c>
      <c r="D78" s="163" t="str">
        <f>IF(A78="","",ROUND(SUMIFS(aditivos!$L$2:$L$200,aditivos!$A$2:$A$200,A78,aditivos!$C$2:$C$200,"C0"),2))</f>
        <v/>
      </c>
      <c r="E78" s="159" t="str">
        <f t="shared" si="36"/>
        <v/>
      </c>
      <c r="F78" s="159" t="str">
        <f>IF(A78="","",IF(itens_Remanesc!B78&lt;&gt;"",itens_Remanesc!B78,IF($Z78,0,"")))</f>
        <v/>
      </c>
      <c r="G78" s="167" t="str">
        <f t="shared" si="37"/>
        <v/>
      </c>
      <c r="H78" s="169" t="str">
        <f>IF(A78="","",ROUND(SUMIFS(aditivos!$L$2:$L$200,aditivos!$A$2:$A$200,A78,aditivos!$C$2:$C$200,"C1"),2))</f>
        <v/>
      </c>
      <c r="I78" s="165" t="str">
        <f t="shared" si="38"/>
        <v/>
      </c>
      <c r="J78" s="165" t="str">
        <f>IF(A78="","",IF(itens_Remanesc!E78="","",itens_Remanesc!E78))</f>
        <v/>
      </c>
      <c r="K78" s="171" t="str">
        <f t="shared" si="39"/>
        <v/>
      </c>
      <c r="L78" s="163" t="str">
        <f>IF(A78="","",ROUND(SUMIFS(aditivos!$L$2:$L$200,aditivos!$A$2:$A$200,A78,aditivos!$C$2:$C$200,"C2"),2))</f>
        <v/>
      </c>
      <c r="M78" s="159" t="str">
        <f t="shared" si="40"/>
        <v/>
      </c>
      <c r="N78" s="159" t="str">
        <f>IF(A78="","",IF(itens_Remanesc!G78="","",itens_Remanesc!G78))</f>
        <v/>
      </c>
      <c r="O78" s="167" t="str">
        <f t="shared" si="41"/>
        <v/>
      </c>
      <c r="P78" s="169" t="str">
        <f>IF(A78="","",ROUND(SUMIFS(aditivos!$L$2:$L$200,aditivos!$A$2:$A$200,A78,aditivos!$C$2:$C$200,"C3"),2))</f>
        <v/>
      </c>
      <c r="Q78" s="165" t="str">
        <f t="shared" si="42"/>
        <v/>
      </c>
      <c r="R78" s="165" t="str">
        <f>IF(A78="","",IF(itens_Remanesc!I78="","",itens_Remanesc!I78))</f>
        <v/>
      </c>
      <c r="S78" s="171" t="str">
        <f t="shared" si="43"/>
        <v/>
      </c>
      <c r="T78" s="163" t="str">
        <f>IF(A78="","",ROUND(SUMIFS(aditivos!$L$2:$L$200,aditivos!$A$2:$A$200,A78,aditivos!$C$2:$C$200,"C4"),2))</f>
        <v/>
      </c>
      <c r="U78" s="159" t="str">
        <f t="shared" si="44"/>
        <v/>
      </c>
      <c r="V78" s="159" t="str">
        <f>IF(A78="","",IF(itens_Remanesc!K78="","",itens_Remanesc!K78))</f>
        <v/>
      </c>
      <c r="W78" s="159" t="str">
        <f t="shared" si="45"/>
        <v/>
      </c>
      <c r="X78" s="146" t="str">
        <f>IF(A78="","",IF(COUNTIF($A$2:$A$200,A78)&gt;1,"ALERTA: ITEM_DUPLICADO",IF(AND($Z78,ISNUMBER(itens_Remanesc!B78),itens_Remanesc!B78&lt;&gt;0),"NOVO ITEM COM BASE DIFERENTE DE 0 - AJUSTAR itens_Remanesc",IF(AND($Z78,NOT(ISNUMBER(itens_Remanesc!C78))),"NOVO ITEM SEM VU_ORIGINAL - INFORMAR EM itens_Remanesc",IF(MIN(E78,I78,M78,Q78,U78,G78,K78,O78,S78,W78)&lt;0,"ALERTA: POSICAO_NEGATIVA",IF(OR(AND(G78&lt;&gt;"",G78&gt;E78),AND(K78&lt;&gt;"",K78&gt;I78),AND(O78&lt;&gt;"",O78&gt;M78),AND(S78&lt;&gt;"",S78&gt;Q78),AND(W78&lt;&gt;"",W78&gt;U78)),"ALERTA: REMANESCENTE_SUPERA_POSICAO","OK"))))))</f>
        <v/>
      </c>
      <c r="Y78" t="str">
        <f t="shared" si="46"/>
        <v/>
      </c>
      <c r="Z78" t="b">
        <f t="shared" si="47"/>
        <v>0</v>
      </c>
      <c r="AA78" s="208" t="str">
        <f>IF($A78="","",IF(COUNTIFS(aditivos!$A$2:$A$200,$A78,aditivos!$L$2:$L$200,"&lt;&gt;",aditivos!$L$2:$L$200,"&lt;&gt;0",aditivos!$B$2:$B$200,"&gt;0")=0,"",IFERROR(_xlfn.MINIFS(aditivos!$B$2:$B$200,aditivos!$A$2:$A$200,$A78,aditivos!$L$2:$L$200,"&lt;&gt;",aditivos!$L$2:$L$200,"&lt;&gt;0",aditivos!$B$2:$B$200,"&gt;0"),"")))</f>
        <v/>
      </c>
      <c r="AB78" t="str">
        <f>IF($A78="","",IF(OR(parametros!$C$2="",parametros!$I$2=""),0,ROUND(SUMIFS(aditivos!$L$2:$L$200,aditivos!$A$2:$A$200,$A78,aditivos!$C$2:$C$200,"C0",aditivos!$B$2:$B$200,"&gt;="&amp;(INT(parametros!$I$2)+1)),2)))</f>
        <v/>
      </c>
      <c r="AC78" t="str">
        <f>IF($A78="","",IF(OR(parametros!$C$3="",parametros!$I$3=""),0,ROUND(SUMIFS(aditivos!$L$2:$L$200,aditivos!$A$2:$A$200,$A78,aditivos!$C$2:$C$200,"C1",aditivos!$B$2:$B$200,"&gt;="&amp;(INT(parametros!$I$3)+1)),2)))</f>
        <v/>
      </c>
      <c r="AD78" t="str">
        <f>IF($A78="","",IF(OR(parametros!$C$4="",parametros!$I$4=""),0,ROUND(SUMIFS(aditivos!$L$2:$L$200,aditivos!$A$2:$A$200,$A78,aditivos!$C$2:$C$200,"C2",aditivos!$B$2:$B$200,"&gt;="&amp;(INT(parametros!$I$4)+1)),2)))</f>
        <v/>
      </c>
      <c r="AE78" t="str">
        <f>IF($A78="","",IF(OR(parametros!$C$5="",parametros!$I$5=""),0,ROUND(SUMIFS(aditivos!$L$2:$L$200,aditivos!$A$2:$A$200,$A78,aditivos!$C$2:$C$200,"C3",aditivos!$B$2:$B$200,"&gt;="&amp;(INT(parametros!$I$5)+1)),2)))</f>
        <v/>
      </c>
      <c r="AF78" t="str">
        <f>IF($A78="","",IF(OR(parametros!$C$6="",parametros!$I$6=""),0,ROUND(SUMIFS(aditivos!$L$2:$L$200,aditivos!$A$2:$A$200,$A78,aditivos!$C$2:$C$200,"C4",aditivos!$B$2:$B$200,"&gt;="&amp;(INT(parametros!$I$6)+1)),2)))</f>
        <v/>
      </c>
      <c r="AG78" t="str">
        <f t="shared" si="48"/>
        <v/>
      </c>
      <c r="AH78" t="str">
        <f t="shared" si="49"/>
        <v/>
      </c>
      <c r="AI78" t="str">
        <f t="shared" si="50"/>
        <v/>
      </c>
      <c r="AJ78" t="str">
        <f t="shared" si="51"/>
        <v/>
      </c>
      <c r="AK78" t="str">
        <f t="shared" si="52"/>
        <v/>
      </c>
      <c r="AL78" t="str">
        <f t="shared" si="53"/>
        <v/>
      </c>
    </row>
    <row r="79" spans="1:38" x14ac:dyDescent="0.35">
      <c r="A79" s="146" t="str">
        <f>IF(itens_Remanesc!A79="","",itens_Remanesc!A79)</f>
        <v/>
      </c>
      <c r="B79" s="196" t="str">
        <f>IF(A79="","",itens_Remanesc!C79)</f>
        <v/>
      </c>
      <c r="C79" s="161" t="str">
        <f>IF(A79="","",IF(itens_Remanesc!B79="",0,itens_Remanesc!B79))</f>
        <v/>
      </c>
      <c r="D79" s="163" t="str">
        <f>IF(A79="","",ROUND(SUMIFS(aditivos!$L$2:$L$200,aditivos!$A$2:$A$200,A79,aditivos!$C$2:$C$200,"C0"),2))</f>
        <v/>
      </c>
      <c r="E79" s="159" t="str">
        <f t="shared" si="36"/>
        <v/>
      </c>
      <c r="F79" s="159" t="str">
        <f>IF(A79="","",IF(itens_Remanesc!B79&lt;&gt;"",itens_Remanesc!B79,IF($Z79,0,"")))</f>
        <v/>
      </c>
      <c r="G79" s="167" t="str">
        <f t="shared" si="37"/>
        <v/>
      </c>
      <c r="H79" s="169" t="str">
        <f>IF(A79="","",ROUND(SUMIFS(aditivos!$L$2:$L$200,aditivos!$A$2:$A$200,A79,aditivos!$C$2:$C$200,"C1"),2))</f>
        <v/>
      </c>
      <c r="I79" s="165" t="str">
        <f t="shared" si="38"/>
        <v/>
      </c>
      <c r="J79" s="165" t="str">
        <f>IF(A79="","",IF(itens_Remanesc!E79="","",itens_Remanesc!E79))</f>
        <v/>
      </c>
      <c r="K79" s="171" t="str">
        <f t="shared" si="39"/>
        <v/>
      </c>
      <c r="L79" s="163" t="str">
        <f>IF(A79="","",ROUND(SUMIFS(aditivos!$L$2:$L$200,aditivos!$A$2:$A$200,A79,aditivos!$C$2:$C$200,"C2"),2))</f>
        <v/>
      </c>
      <c r="M79" s="159" t="str">
        <f t="shared" si="40"/>
        <v/>
      </c>
      <c r="N79" s="159" t="str">
        <f>IF(A79="","",IF(itens_Remanesc!G79="","",itens_Remanesc!G79))</f>
        <v/>
      </c>
      <c r="O79" s="167" t="str">
        <f t="shared" si="41"/>
        <v/>
      </c>
      <c r="P79" s="169" t="str">
        <f>IF(A79="","",ROUND(SUMIFS(aditivos!$L$2:$L$200,aditivos!$A$2:$A$200,A79,aditivos!$C$2:$C$200,"C3"),2))</f>
        <v/>
      </c>
      <c r="Q79" s="165" t="str">
        <f t="shared" si="42"/>
        <v/>
      </c>
      <c r="R79" s="165" t="str">
        <f>IF(A79="","",IF(itens_Remanesc!I79="","",itens_Remanesc!I79))</f>
        <v/>
      </c>
      <c r="S79" s="171" t="str">
        <f t="shared" si="43"/>
        <v/>
      </c>
      <c r="T79" s="163" t="str">
        <f>IF(A79="","",ROUND(SUMIFS(aditivos!$L$2:$L$200,aditivos!$A$2:$A$200,A79,aditivos!$C$2:$C$200,"C4"),2))</f>
        <v/>
      </c>
      <c r="U79" s="159" t="str">
        <f t="shared" si="44"/>
        <v/>
      </c>
      <c r="V79" s="159" t="str">
        <f>IF(A79="","",IF(itens_Remanesc!K79="","",itens_Remanesc!K79))</f>
        <v/>
      </c>
      <c r="W79" s="159" t="str">
        <f t="shared" si="45"/>
        <v/>
      </c>
      <c r="X79" s="146" t="str">
        <f>IF(A79="","",IF(COUNTIF($A$2:$A$200,A79)&gt;1,"ALERTA: ITEM_DUPLICADO",IF(AND($Z79,ISNUMBER(itens_Remanesc!B79),itens_Remanesc!B79&lt;&gt;0),"NOVO ITEM COM BASE DIFERENTE DE 0 - AJUSTAR itens_Remanesc",IF(AND($Z79,NOT(ISNUMBER(itens_Remanesc!C79))),"NOVO ITEM SEM VU_ORIGINAL - INFORMAR EM itens_Remanesc",IF(MIN(E79,I79,M79,Q79,U79,G79,K79,O79,S79,W79)&lt;0,"ALERTA: POSICAO_NEGATIVA",IF(OR(AND(G79&lt;&gt;"",G79&gt;E79),AND(K79&lt;&gt;"",K79&gt;I79),AND(O79&lt;&gt;"",O79&gt;M79),AND(S79&lt;&gt;"",S79&gt;Q79),AND(W79&lt;&gt;"",W79&gt;U79)),"ALERTA: REMANESCENTE_SUPERA_POSICAO","OK"))))))</f>
        <v/>
      </c>
      <c r="Y79" t="str">
        <f t="shared" si="46"/>
        <v/>
      </c>
      <c r="Z79" t="b">
        <f t="shared" si="47"/>
        <v>0</v>
      </c>
      <c r="AA79" s="208" t="str">
        <f>IF($A79="","",IF(COUNTIFS(aditivos!$A$2:$A$200,$A79,aditivos!$L$2:$L$200,"&lt;&gt;",aditivos!$L$2:$L$200,"&lt;&gt;0",aditivos!$B$2:$B$200,"&gt;0")=0,"",IFERROR(_xlfn.MINIFS(aditivos!$B$2:$B$200,aditivos!$A$2:$A$200,$A79,aditivos!$L$2:$L$200,"&lt;&gt;",aditivos!$L$2:$L$200,"&lt;&gt;0",aditivos!$B$2:$B$200,"&gt;0"),"")))</f>
        <v/>
      </c>
      <c r="AB79" t="str">
        <f>IF($A79="","",IF(OR(parametros!$C$2="",parametros!$I$2=""),0,ROUND(SUMIFS(aditivos!$L$2:$L$200,aditivos!$A$2:$A$200,$A79,aditivos!$C$2:$C$200,"C0",aditivos!$B$2:$B$200,"&gt;="&amp;(INT(parametros!$I$2)+1)),2)))</f>
        <v/>
      </c>
      <c r="AC79" t="str">
        <f>IF($A79="","",IF(OR(parametros!$C$3="",parametros!$I$3=""),0,ROUND(SUMIFS(aditivos!$L$2:$L$200,aditivos!$A$2:$A$200,$A79,aditivos!$C$2:$C$200,"C1",aditivos!$B$2:$B$200,"&gt;="&amp;(INT(parametros!$I$3)+1)),2)))</f>
        <v/>
      </c>
      <c r="AD79" t="str">
        <f>IF($A79="","",IF(OR(parametros!$C$4="",parametros!$I$4=""),0,ROUND(SUMIFS(aditivos!$L$2:$L$200,aditivos!$A$2:$A$200,$A79,aditivos!$C$2:$C$200,"C2",aditivos!$B$2:$B$200,"&gt;="&amp;(INT(parametros!$I$4)+1)),2)))</f>
        <v/>
      </c>
      <c r="AE79" t="str">
        <f>IF($A79="","",IF(OR(parametros!$C$5="",parametros!$I$5=""),0,ROUND(SUMIFS(aditivos!$L$2:$L$200,aditivos!$A$2:$A$200,$A79,aditivos!$C$2:$C$200,"C3",aditivos!$B$2:$B$200,"&gt;="&amp;(INT(parametros!$I$5)+1)),2)))</f>
        <v/>
      </c>
      <c r="AF79" t="str">
        <f>IF($A79="","",IF(OR(parametros!$C$6="",parametros!$I$6=""),0,ROUND(SUMIFS(aditivos!$L$2:$L$200,aditivos!$A$2:$A$200,$A79,aditivos!$C$2:$C$200,"C4",aditivos!$B$2:$B$200,"&gt;="&amp;(INT(parametros!$I$6)+1)),2)))</f>
        <v/>
      </c>
      <c r="AG79" t="str">
        <f t="shared" si="48"/>
        <v/>
      </c>
      <c r="AH79" t="str">
        <f t="shared" si="49"/>
        <v/>
      </c>
      <c r="AI79" t="str">
        <f t="shared" si="50"/>
        <v/>
      </c>
      <c r="AJ79" t="str">
        <f t="shared" si="51"/>
        <v/>
      </c>
      <c r="AK79" t="str">
        <f t="shared" si="52"/>
        <v/>
      </c>
      <c r="AL79" t="str">
        <f t="shared" si="53"/>
        <v/>
      </c>
    </row>
    <row r="80" spans="1:38" x14ac:dyDescent="0.35">
      <c r="A80" s="146" t="str">
        <f>IF(itens_Remanesc!A80="","",itens_Remanesc!A80)</f>
        <v/>
      </c>
      <c r="B80" s="196" t="str">
        <f>IF(A80="","",itens_Remanesc!C80)</f>
        <v/>
      </c>
      <c r="C80" s="161" t="str">
        <f>IF(A80="","",IF(itens_Remanesc!B80="",0,itens_Remanesc!B80))</f>
        <v/>
      </c>
      <c r="D80" s="163" t="str">
        <f>IF(A80="","",ROUND(SUMIFS(aditivos!$L$2:$L$200,aditivos!$A$2:$A$200,A80,aditivos!$C$2:$C$200,"C0"),2))</f>
        <v/>
      </c>
      <c r="E80" s="159" t="str">
        <f t="shared" si="36"/>
        <v/>
      </c>
      <c r="F80" s="159" t="str">
        <f>IF(A80="","",IF(itens_Remanesc!B80&lt;&gt;"",itens_Remanesc!B80,IF($Z80,0,"")))</f>
        <v/>
      </c>
      <c r="G80" s="167" t="str">
        <f t="shared" si="37"/>
        <v/>
      </c>
      <c r="H80" s="169" t="str">
        <f>IF(A80="","",ROUND(SUMIFS(aditivos!$L$2:$L$200,aditivos!$A$2:$A$200,A80,aditivos!$C$2:$C$200,"C1"),2))</f>
        <v/>
      </c>
      <c r="I80" s="165" t="str">
        <f t="shared" si="38"/>
        <v/>
      </c>
      <c r="J80" s="165" t="str">
        <f>IF(A80="","",IF(itens_Remanesc!E80="","",itens_Remanesc!E80))</f>
        <v/>
      </c>
      <c r="K80" s="171" t="str">
        <f t="shared" si="39"/>
        <v/>
      </c>
      <c r="L80" s="163" t="str">
        <f>IF(A80="","",ROUND(SUMIFS(aditivos!$L$2:$L$200,aditivos!$A$2:$A$200,A80,aditivos!$C$2:$C$200,"C2"),2))</f>
        <v/>
      </c>
      <c r="M80" s="159" t="str">
        <f t="shared" si="40"/>
        <v/>
      </c>
      <c r="N80" s="159" t="str">
        <f>IF(A80="","",IF(itens_Remanesc!G80="","",itens_Remanesc!G80))</f>
        <v/>
      </c>
      <c r="O80" s="167" t="str">
        <f t="shared" si="41"/>
        <v/>
      </c>
      <c r="P80" s="169" t="str">
        <f>IF(A80="","",ROUND(SUMIFS(aditivos!$L$2:$L$200,aditivos!$A$2:$A$200,A80,aditivos!$C$2:$C$200,"C3"),2))</f>
        <v/>
      </c>
      <c r="Q80" s="165" t="str">
        <f t="shared" si="42"/>
        <v/>
      </c>
      <c r="R80" s="165" t="str">
        <f>IF(A80="","",IF(itens_Remanesc!I80="","",itens_Remanesc!I80))</f>
        <v/>
      </c>
      <c r="S80" s="171" t="str">
        <f t="shared" si="43"/>
        <v/>
      </c>
      <c r="T80" s="163" t="str">
        <f>IF(A80="","",ROUND(SUMIFS(aditivos!$L$2:$L$200,aditivos!$A$2:$A$200,A80,aditivos!$C$2:$C$200,"C4"),2))</f>
        <v/>
      </c>
      <c r="U80" s="159" t="str">
        <f t="shared" si="44"/>
        <v/>
      </c>
      <c r="V80" s="159" t="str">
        <f>IF(A80="","",IF(itens_Remanesc!K80="","",itens_Remanesc!K80))</f>
        <v/>
      </c>
      <c r="W80" s="159" t="str">
        <f t="shared" si="45"/>
        <v/>
      </c>
      <c r="X80" s="146" t="str">
        <f>IF(A80="","",IF(COUNTIF($A$2:$A$200,A80)&gt;1,"ALERTA: ITEM_DUPLICADO",IF(AND($Z80,ISNUMBER(itens_Remanesc!B80),itens_Remanesc!B80&lt;&gt;0),"NOVO ITEM COM BASE DIFERENTE DE 0 - AJUSTAR itens_Remanesc",IF(AND($Z80,NOT(ISNUMBER(itens_Remanesc!C80))),"NOVO ITEM SEM VU_ORIGINAL - INFORMAR EM itens_Remanesc",IF(MIN(E80,I80,M80,Q80,U80,G80,K80,O80,S80,W80)&lt;0,"ALERTA: POSICAO_NEGATIVA",IF(OR(AND(G80&lt;&gt;"",G80&gt;E80),AND(K80&lt;&gt;"",K80&gt;I80),AND(O80&lt;&gt;"",O80&gt;M80),AND(S80&lt;&gt;"",S80&gt;Q80),AND(W80&lt;&gt;"",W80&gt;U80)),"ALERTA: REMANESCENTE_SUPERA_POSICAO","OK"))))))</f>
        <v/>
      </c>
      <c r="Y80" t="str">
        <f t="shared" si="46"/>
        <v/>
      </c>
      <c r="Z80" t="b">
        <f t="shared" si="47"/>
        <v>0</v>
      </c>
      <c r="AA80" s="208" t="str">
        <f>IF($A80="","",IF(COUNTIFS(aditivos!$A$2:$A$200,$A80,aditivos!$L$2:$L$200,"&lt;&gt;",aditivos!$L$2:$L$200,"&lt;&gt;0",aditivos!$B$2:$B$200,"&gt;0")=0,"",IFERROR(_xlfn.MINIFS(aditivos!$B$2:$B$200,aditivos!$A$2:$A$200,$A80,aditivos!$L$2:$L$200,"&lt;&gt;",aditivos!$L$2:$L$200,"&lt;&gt;0",aditivos!$B$2:$B$200,"&gt;0"),"")))</f>
        <v/>
      </c>
      <c r="AB80" t="str">
        <f>IF($A80="","",IF(OR(parametros!$C$2="",parametros!$I$2=""),0,ROUND(SUMIFS(aditivos!$L$2:$L$200,aditivos!$A$2:$A$200,$A80,aditivos!$C$2:$C$200,"C0",aditivos!$B$2:$B$200,"&gt;="&amp;(INT(parametros!$I$2)+1)),2)))</f>
        <v/>
      </c>
      <c r="AC80" t="str">
        <f>IF($A80="","",IF(OR(parametros!$C$3="",parametros!$I$3=""),0,ROUND(SUMIFS(aditivos!$L$2:$L$200,aditivos!$A$2:$A$200,$A80,aditivos!$C$2:$C$200,"C1",aditivos!$B$2:$B$200,"&gt;="&amp;(INT(parametros!$I$3)+1)),2)))</f>
        <v/>
      </c>
      <c r="AD80" t="str">
        <f>IF($A80="","",IF(OR(parametros!$C$4="",parametros!$I$4=""),0,ROUND(SUMIFS(aditivos!$L$2:$L$200,aditivos!$A$2:$A$200,$A80,aditivos!$C$2:$C$200,"C2",aditivos!$B$2:$B$200,"&gt;="&amp;(INT(parametros!$I$4)+1)),2)))</f>
        <v/>
      </c>
      <c r="AE80" t="str">
        <f>IF($A80="","",IF(OR(parametros!$C$5="",parametros!$I$5=""),0,ROUND(SUMIFS(aditivos!$L$2:$L$200,aditivos!$A$2:$A$200,$A80,aditivos!$C$2:$C$200,"C3",aditivos!$B$2:$B$200,"&gt;="&amp;(INT(parametros!$I$5)+1)),2)))</f>
        <v/>
      </c>
      <c r="AF80" t="str">
        <f>IF($A80="","",IF(OR(parametros!$C$6="",parametros!$I$6=""),0,ROUND(SUMIFS(aditivos!$L$2:$L$200,aditivos!$A$2:$A$200,$A80,aditivos!$C$2:$C$200,"C4",aditivos!$B$2:$B$200,"&gt;="&amp;(INT(parametros!$I$6)+1)),2)))</f>
        <v/>
      </c>
      <c r="AG80" t="str">
        <f t="shared" si="48"/>
        <v/>
      </c>
      <c r="AH80" t="str">
        <f t="shared" si="49"/>
        <v/>
      </c>
      <c r="AI80" t="str">
        <f t="shared" si="50"/>
        <v/>
      </c>
      <c r="AJ80" t="str">
        <f t="shared" si="51"/>
        <v/>
      </c>
      <c r="AK80" t="str">
        <f t="shared" si="52"/>
        <v/>
      </c>
      <c r="AL80" t="str">
        <f t="shared" si="53"/>
        <v/>
      </c>
    </row>
    <row r="81" spans="1:38" x14ac:dyDescent="0.35">
      <c r="A81" s="146" t="str">
        <f>IF(itens_Remanesc!A81="","",itens_Remanesc!A81)</f>
        <v/>
      </c>
      <c r="B81" s="196" t="str">
        <f>IF(A81="","",itens_Remanesc!C81)</f>
        <v/>
      </c>
      <c r="C81" s="161" t="str">
        <f>IF(A81="","",IF(itens_Remanesc!B81="",0,itens_Remanesc!B81))</f>
        <v/>
      </c>
      <c r="D81" s="163" t="str">
        <f>IF(A81="","",ROUND(SUMIFS(aditivos!$L$2:$L$200,aditivos!$A$2:$A$200,A81,aditivos!$C$2:$C$200,"C0"),2))</f>
        <v/>
      </c>
      <c r="E81" s="159" t="str">
        <f t="shared" si="36"/>
        <v/>
      </c>
      <c r="F81" s="159" t="str">
        <f>IF(A81="","",IF(itens_Remanesc!B81&lt;&gt;"",itens_Remanesc!B81,IF($Z81,0,"")))</f>
        <v/>
      </c>
      <c r="G81" s="167" t="str">
        <f t="shared" si="37"/>
        <v/>
      </c>
      <c r="H81" s="169" t="str">
        <f>IF(A81="","",ROUND(SUMIFS(aditivos!$L$2:$L$200,aditivos!$A$2:$A$200,A81,aditivos!$C$2:$C$200,"C1"),2))</f>
        <v/>
      </c>
      <c r="I81" s="165" t="str">
        <f t="shared" si="38"/>
        <v/>
      </c>
      <c r="J81" s="165" t="str">
        <f>IF(A81="","",IF(itens_Remanesc!E81="","",itens_Remanesc!E81))</f>
        <v/>
      </c>
      <c r="K81" s="171" t="str">
        <f t="shared" si="39"/>
        <v/>
      </c>
      <c r="L81" s="163" t="str">
        <f>IF(A81="","",ROUND(SUMIFS(aditivos!$L$2:$L$200,aditivos!$A$2:$A$200,A81,aditivos!$C$2:$C$200,"C2"),2))</f>
        <v/>
      </c>
      <c r="M81" s="159" t="str">
        <f t="shared" si="40"/>
        <v/>
      </c>
      <c r="N81" s="159" t="str">
        <f>IF(A81="","",IF(itens_Remanesc!G81="","",itens_Remanesc!G81))</f>
        <v/>
      </c>
      <c r="O81" s="167" t="str">
        <f t="shared" si="41"/>
        <v/>
      </c>
      <c r="P81" s="169" t="str">
        <f>IF(A81="","",ROUND(SUMIFS(aditivos!$L$2:$L$200,aditivos!$A$2:$A$200,A81,aditivos!$C$2:$C$200,"C3"),2))</f>
        <v/>
      </c>
      <c r="Q81" s="165" t="str">
        <f t="shared" si="42"/>
        <v/>
      </c>
      <c r="R81" s="165" t="str">
        <f>IF(A81="","",IF(itens_Remanesc!I81="","",itens_Remanesc!I81))</f>
        <v/>
      </c>
      <c r="S81" s="171" t="str">
        <f t="shared" si="43"/>
        <v/>
      </c>
      <c r="T81" s="163" t="str">
        <f>IF(A81="","",ROUND(SUMIFS(aditivos!$L$2:$L$200,aditivos!$A$2:$A$200,A81,aditivos!$C$2:$C$200,"C4"),2))</f>
        <v/>
      </c>
      <c r="U81" s="159" t="str">
        <f t="shared" si="44"/>
        <v/>
      </c>
      <c r="V81" s="159" t="str">
        <f>IF(A81="","",IF(itens_Remanesc!K81="","",itens_Remanesc!K81))</f>
        <v/>
      </c>
      <c r="W81" s="159" t="str">
        <f t="shared" si="45"/>
        <v/>
      </c>
      <c r="X81" s="146" t="str">
        <f>IF(A81="","",IF(COUNTIF($A$2:$A$200,A81)&gt;1,"ALERTA: ITEM_DUPLICADO",IF(AND($Z81,ISNUMBER(itens_Remanesc!B81),itens_Remanesc!B81&lt;&gt;0),"NOVO ITEM COM BASE DIFERENTE DE 0 - AJUSTAR itens_Remanesc",IF(AND($Z81,NOT(ISNUMBER(itens_Remanesc!C81))),"NOVO ITEM SEM VU_ORIGINAL - INFORMAR EM itens_Remanesc",IF(MIN(E81,I81,M81,Q81,U81,G81,K81,O81,S81,W81)&lt;0,"ALERTA: POSICAO_NEGATIVA",IF(OR(AND(G81&lt;&gt;"",G81&gt;E81),AND(K81&lt;&gt;"",K81&gt;I81),AND(O81&lt;&gt;"",O81&gt;M81),AND(S81&lt;&gt;"",S81&gt;Q81),AND(W81&lt;&gt;"",W81&gt;U81)),"ALERTA: REMANESCENTE_SUPERA_POSICAO","OK"))))))</f>
        <v/>
      </c>
      <c r="Y81" t="str">
        <f t="shared" si="46"/>
        <v/>
      </c>
      <c r="Z81" t="b">
        <f t="shared" si="47"/>
        <v>0</v>
      </c>
      <c r="AA81" s="208" t="str">
        <f>IF($A81="","",IF(COUNTIFS(aditivos!$A$2:$A$200,$A81,aditivos!$L$2:$L$200,"&lt;&gt;",aditivos!$L$2:$L$200,"&lt;&gt;0",aditivos!$B$2:$B$200,"&gt;0")=0,"",IFERROR(_xlfn.MINIFS(aditivos!$B$2:$B$200,aditivos!$A$2:$A$200,$A81,aditivos!$L$2:$L$200,"&lt;&gt;",aditivos!$L$2:$L$200,"&lt;&gt;0",aditivos!$B$2:$B$200,"&gt;0"),"")))</f>
        <v/>
      </c>
      <c r="AB81" t="str">
        <f>IF($A81="","",IF(OR(parametros!$C$2="",parametros!$I$2=""),0,ROUND(SUMIFS(aditivos!$L$2:$L$200,aditivos!$A$2:$A$200,$A81,aditivos!$C$2:$C$200,"C0",aditivos!$B$2:$B$200,"&gt;="&amp;(INT(parametros!$I$2)+1)),2)))</f>
        <v/>
      </c>
      <c r="AC81" t="str">
        <f>IF($A81="","",IF(OR(parametros!$C$3="",parametros!$I$3=""),0,ROUND(SUMIFS(aditivos!$L$2:$L$200,aditivos!$A$2:$A$200,$A81,aditivos!$C$2:$C$200,"C1",aditivos!$B$2:$B$200,"&gt;="&amp;(INT(parametros!$I$3)+1)),2)))</f>
        <v/>
      </c>
      <c r="AD81" t="str">
        <f>IF($A81="","",IF(OR(parametros!$C$4="",parametros!$I$4=""),0,ROUND(SUMIFS(aditivos!$L$2:$L$200,aditivos!$A$2:$A$200,$A81,aditivos!$C$2:$C$200,"C2",aditivos!$B$2:$B$200,"&gt;="&amp;(INT(parametros!$I$4)+1)),2)))</f>
        <v/>
      </c>
      <c r="AE81" t="str">
        <f>IF($A81="","",IF(OR(parametros!$C$5="",parametros!$I$5=""),0,ROUND(SUMIFS(aditivos!$L$2:$L$200,aditivos!$A$2:$A$200,$A81,aditivos!$C$2:$C$200,"C3",aditivos!$B$2:$B$200,"&gt;="&amp;(INT(parametros!$I$5)+1)),2)))</f>
        <v/>
      </c>
      <c r="AF81" t="str">
        <f>IF($A81="","",IF(OR(parametros!$C$6="",parametros!$I$6=""),0,ROUND(SUMIFS(aditivos!$L$2:$L$200,aditivos!$A$2:$A$200,$A81,aditivos!$C$2:$C$200,"C4",aditivos!$B$2:$B$200,"&gt;="&amp;(INT(parametros!$I$6)+1)),2)))</f>
        <v/>
      </c>
      <c r="AG81" t="str">
        <f t="shared" si="48"/>
        <v/>
      </c>
      <c r="AH81" t="str">
        <f t="shared" si="49"/>
        <v/>
      </c>
      <c r="AI81" t="str">
        <f t="shared" si="50"/>
        <v/>
      </c>
      <c r="AJ81" t="str">
        <f t="shared" si="51"/>
        <v/>
      </c>
      <c r="AK81" t="str">
        <f t="shared" si="52"/>
        <v/>
      </c>
      <c r="AL81" t="str">
        <f t="shared" si="53"/>
        <v/>
      </c>
    </row>
    <row r="82" spans="1:38" x14ac:dyDescent="0.35">
      <c r="A82" s="146" t="str">
        <f>IF(itens_Remanesc!A82="","",itens_Remanesc!A82)</f>
        <v/>
      </c>
      <c r="B82" s="196" t="str">
        <f>IF(A82="","",itens_Remanesc!C82)</f>
        <v/>
      </c>
      <c r="C82" s="161" t="str">
        <f>IF(A82="","",IF(itens_Remanesc!B82="",0,itens_Remanesc!B82))</f>
        <v/>
      </c>
      <c r="D82" s="163" t="str">
        <f>IF(A82="","",ROUND(SUMIFS(aditivos!$L$2:$L$200,aditivos!$A$2:$A$200,A82,aditivos!$C$2:$C$200,"C0"),2))</f>
        <v/>
      </c>
      <c r="E82" s="159" t="str">
        <f t="shared" si="36"/>
        <v/>
      </c>
      <c r="F82" s="159" t="str">
        <f>IF(A82="","",IF(itens_Remanesc!B82&lt;&gt;"",itens_Remanesc!B82,IF($Z82,0,"")))</f>
        <v/>
      </c>
      <c r="G82" s="167" t="str">
        <f t="shared" si="37"/>
        <v/>
      </c>
      <c r="H82" s="169" t="str">
        <f>IF(A82="","",ROUND(SUMIFS(aditivos!$L$2:$L$200,aditivos!$A$2:$A$200,A82,aditivos!$C$2:$C$200,"C1"),2))</f>
        <v/>
      </c>
      <c r="I82" s="165" t="str">
        <f t="shared" si="38"/>
        <v/>
      </c>
      <c r="J82" s="165" t="str">
        <f>IF(A82="","",IF(itens_Remanesc!E82="","",itens_Remanesc!E82))</f>
        <v/>
      </c>
      <c r="K82" s="171" t="str">
        <f t="shared" si="39"/>
        <v/>
      </c>
      <c r="L82" s="163" t="str">
        <f>IF(A82="","",ROUND(SUMIFS(aditivos!$L$2:$L$200,aditivos!$A$2:$A$200,A82,aditivos!$C$2:$C$200,"C2"),2))</f>
        <v/>
      </c>
      <c r="M82" s="159" t="str">
        <f t="shared" si="40"/>
        <v/>
      </c>
      <c r="N82" s="159" t="str">
        <f>IF(A82="","",IF(itens_Remanesc!G82="","",itens_Remanesc!G82))</f>
        <v/>
      </c>
      <c r="O82" s="167" t="str">
        <f t="shared" si="41"/>
        <v/>
      </c>
      <c r="P82" s="169" t="str">
        <f>IF(A82="","",ROUND(SUMIFS(aditivos!$L$2:$L$200,aditivos!$A$2:$A$200,A82,aditivos!$C$2:$C$200,"C3"),2))</f>
        <v/>
      </c>
      <c r="Q82" s="165" t="str">
        <f t="shared" si="42"/>
        <v/>
      </c>
      <c r="R82" s="165" t="str">
        <f>IF(A82="","",IF(itens_Remanesc!I82="","",itens_Remanesc!I82))</f>
        <v/>
      </c>
      <c r="S82" s="171" t="str">
        <f t="shared" si="43"/>
        <v/>
      </c>
      <c r="T82" s="163" t="str">
        <f>IF(A82="","",ROUND(SUMIFS(aditivos!$L$2:$L$200,aditivos!$A$2:$A$200,A82,aditivos!$C$2:$C$200,"C4"),2))</f>
        <v/>
      </c>
      <c r="U82" s="159" t="str">
        <f t="shared" si="44"/>
        <v/>
      </c>
      <c r="V82" s="159" t="str">
        <f>IF(A82="","",IF(itens_Remanesc!K82="","",itens_Remanesc!K82))</f>
        <v/>
      </c>
      <c r="W82" s="159" t="str">
        <f t="shared" si="45"/>
        <v/>
      </c>
      <c r="X82" s="146" t="str">
        <f>IF(A82="","",IF(COUNTIF($A$2:$A$200,A82)&gt;1,"ALERTA: ITEM_DUPLICADO",IF(AND($Z82,ISNUMBER(itens_Remanesc!B82),itens_Remanesc!B82&lt;&gt;0),"NOVO ITEM COM BASE DIFERENTE DE 0 - AJUSTAR itens_Remanesc",IF(AND($Z82,NOT(ISNUMBER(itens_Remanesc!C82))),"NOVO ITEM SEM VU_ORIGINAL - INFORMAR EM itens_Remanesc",IF(MIN(E82,I82,M82,Q82,U82,G82,K82,O82,S82,W82)&lt;0,"ALERTA: POSICAO_NEGATIVA",IF(OR(AND(G82&lt;&gt;"",G82&gt;E82),AND(K82&lt;&gt;"",K82&gt;I82),AND(O82&lt;&gt;"",O82&gt;M82),AND(S82&lt;&gt;"",S82&gt;Q82),AND(W82&lt;&gt;"",W82&gt;U82)),"ALERTA: REMANESCENTE_SUPERA_POSICAO","OK"))))))</f>
        <v/>
      </c>
      <c r="Y82" t="str">
        <f t="shared" si="46"/>
        <v/>
      </c>
      <c r="Z82" t="b">
        <f t="shared" si="47"/>
        <v>0</v>
      </c>
      <c r="AA82" s="208" t="str">
        <f>IF($A82="","",IF(COUNTIFS(aditivos!$A$2:$A$200,$A82,aditivos!$L$2:$L$200,"&lt;&gt;",aditivos!$L$2:$L$200,"&lt;&gt;0",aditivos!$B$2:$B$200,"&gt;0")=0,"",IFERROR(_xlfn.MINIFS(aditivos!$B$2:$B$200,aditivos!$A$2:$A$200,$A82,aditivos!$L$2:$L$200,"&lt;&gt;",aditivos!$L$2:$L$200,"&lt;&gt;0",aditivos!$B$2:$B$200,"&gt;0"),"")))</f>
        <v/>
      </c>
      <c r="AB82" t="str">
        <f>IF($A82="","",IF(OR(parametros!$C$2="",parametros!$I$2=""),0,ROUND(SUMIFS(aditivos!$L$2:$L$200,aditivos!$A$2:$A$200,$A82,aditivos!$C$2:$C$200,"C0",aditivos!$B$2:$B$200,"&gt;="&amp;(INT(parametros!$I$2)+1)),2)))</f>
        <v/>
      </c>
      <c r="AC82" t="str">
        <f>IF($A82="","",IF(OR(parametros!$C$3="",parametros!$I$3=""),0,ROUND(SUMIFS(aditivos!$L$2:$L$200,aditivos!$A$2:$A$200,$A82,aditivos!$C$2:$C$200,"C1",aditivos!$B$2:$B$200,"&gt;="&amp;(INT(parametros!$I$3)+1)),2)))</f>
        <v/>
      </c>
      <c r="AD82" t="str">
        <f>IF($A82="","",IF(OR(parametros!$C$4="",parametros!$I$4=""),0,ROUND(SUMIFS(aditivos!$L$2:$L$200,aditivos!$A$2:$A$200,$A82,aditivos!$C$2:$C$200,"C2",aditivos!$B$2:$B$200,"&gt;="&amp;(INT(parametros!$I$4)+1)),2)))</f>
        <v/>
      </c>
      <c r="AE82" t="str">
        <f>IF($A82="","",IF(OR(parametros!$C$5="",parametros!$I$5=""),0,ROUND(SUMIFS(aditivos!$L$2:$L$200,aditivos!$A$2:$A$200,$A82,aditivos!$C$2:$C$200,"C3",aditivos!$B$2:$B$200,"&gt;="&amp;(INT(parametros!$I$5)+1)),2)))</f>
        <v/>
      </c>
      <c r="AF82" t="str">
        <f>IF($A82="","",IF(OR(parametros!$C$6="",parametros!$I$6=""),0,ROUND(SUMIFS(aditivos!$L$2:$L$200,aditivos!$A$2:$A$200,$A82,aditivos!$C$2:$C$200,"C4",aditivos!$B$2:$B$200,"&gt;="&amp;(INT(parametros!$I$6)+1)),2)))</f>
        <v/>
      </c>
      <c r="AG82" t="str">
        <f t="shared" si="48"/>
        <v/>
      </c>
      <c r="AH82" t="str">
        <f t="shared" si="49"/>
        <v/>
      </c>
      <c r="AI82" t="str">
        <f t="shared" si="50"/>
        <v/>
      </c>
      <c r="AJ82" t="str">
        <f t="shared" si="51"/>
        <v/>
      </c>
      <c r="AK82" t="str">
        <f t="shared" si="52"/>
        <v/>
      </c>
      <c r="AL82" t="str">
        <f t="shared" si="53"/>
        <v/>
      </c>
    </row>
    <row r="83" spans="1:38" x14ac:dyDescent="0.35">
      <c r="A83" s="146" t="str">
        <f>IF(itens_Remanesc!A83="","",itens_Remanesc!A83)</f>
        <v/>
      </c>
      <c r="B83" s="196" t="str">
        <f>IF(A83="","",itens_Remanesc!C83)</f>
        <v/>
      </c>
      <c r="C83" s="161" t="str">
        <f>IF(A83="","",IF(itens_Remanesc!B83="",0,itens_Remanesc!B83))</f>
        <v/>
      </c>
      <c r="D83" s="163" t="str">
        <f>IF(A83="","",ROUND(SUMIFS(aditivos!$L$2:$L$200,aditivos!$A$2:$A$200,A83,aditivos!$C$2:$C$200,"C0"),2))</f>
        <v/>
      </c>
      <c r="E83" s="159" t="str">
        <f t="shared" si="36"/>
        <v/>
      </c>
      <c r="F83" s="159" t="str">
        <f>IF(A83="","",IF(itens_Remanesc!B83&lt;&gt;"",itens_Remanesc!B83,IF($Z83,0,"")))</f>
        <v/>
      </c>
      <c r="G83" s="167" t="str">
        <f t="shared" si="37"/>
        <v/>
      </c>
      <c r="H83" s="169" t="str">
        <f>IF(A83="","",ROUND(SUMIFS(aditivos!$L$2:$L$200,aditivos!$A$2:$A$200,A83,aditivos!$C$2:$C$200,"C1"),2))</f>
        <v/>
      </c>
      <c r="I83" s="165" t="str">
        <f t="shared" si="38"/>
        <v/>
      </c>
      <c r="J83" s="165" t="str">
        <f>IF(A83="","",IF(itens_Remanesc!E83="","",itens_Remanesc!E83))</f>
        <v/>
      </c>
      <c r="K83" s="171" t="str">
        <f t="shared" si="39"/>
        <v/>
      </c>
      <c r="L83" s="163" t="str">
        <f>IF(A83="","",ROUND(SUMIFS(aditivos!$L$2:$L$200,aditivos!$A$2:$A$200,A83,aditivos!$C$2:$C$200,"C2"),2))</f>
        <v/>
      </c>
      <c r="M83" s="159" t="str">
        <f t="shared" si="40"/>
        <v/>
      </c>
      <c r="N83" s="159" t="str">
        <f>IF(A83="","",IF(itens_Remanesc!G83="","",itens_Remanesc!G83))</f>
        <v/>
      </c>
      <c r="O83" s="167" t="str">
        <f t="shared" si="41"/>
        <v/>
      </c>
      <c r="P83" s="169" t="str">
        <f>IF(A83="","",ROUND(SUMIFS(aditivos!$L$2:$L$200,aditivos!$A$2:$A$200,A83,aditivos!$C$2:$C$200,"C3"),2))</f>
        <v/>
      </c>
      <c r="Q83" s="165" t="str">
        <f t="shared" si="42"/>
        <v/>
      </c>
      <c r="R83" s="165" t="str">
        <f>IF(A83="","",IF(itens_Remanesc!I83="","",itens_Remanesc!I83))</f>
        <v/>
      </c>
      <c r="S83" s="171" t="str">
        <f t="shared" si="43"/>
        <v/>
      </c>
      <c r="T83" s="163" t="str">
        <f>IF(A83="","",ROUND(SUMIFS(aditivos!$L$2:$L$200,aditivos!$A$2:$A$200,A83,aditivos!$C$2:$C$200,"C4"),2))</f>
        <v/>
      </c>
      <c r="U83" s="159" t="str">
        <f t="shared" si="44"/>
        <v/>
      </c>
      <c r="V83" s="159" t="str">
        <f>IF(A83="","",IF(itens_Remanesc!K83="","",itens_Remanesc!K83))</f>
        <v/>
      </c>
      <c r="W83" s="159" t="str">
        <f t="shared" si="45"/>
        <v/>
      </c>
      <c r="X83" s="146" t="str">
        <f>IF(A83="","",IF(COUNTIF($A$2:$A$200,A83)&gt;1,"ALERTA: ITEM_DUPLICADO",IF(AND($Z83,ISNUMBER(itens_Remanesc!B83),itens_Remanesc!B83&lt;&gt;0),"NOVO ITEM COM BASE DIFERENTE DE 0 - AJUSTAR itens_Remanesc",IF(AND($Z83,NOT(ISNUMBER(itens_Remanesc!C83))),"NOVO ITEM SEM VU_ORIGINAL - INFORMAR EM itens_Remanesc",IF(MIN(E83,I83,M83,Q83,U83,G83,K83,O83,S83,W83)&lt;0,"ALERTA: POSICAO_NEGATIVA",IF(OR(AND(G83&lt;&gt;"",G83&gt;E83),AND(K83&lt;&gt;"",K83&gt;I83),AND(O83&lt;&gt;"",O83&gt;M83),AND(S83&lt;&gt;"",S83&gt;Q83),AND(W83&lt;&gt;"",W83&gt;U83)),"ALERTA: REMANESCENTE_SUPERA_POSICAO","OK"))))))</f>
        <v/>
      </c>
      <c r="Y83" t="str">
        <f t="shared" si="46"/>
        <v/>
      </c>
      <c r="Z83" t="b">
        <f t="shared" si="47"/>
        <v>0</v>
      </c>
      <c r="AA83" s="208" t="str">
        <f>IF($A83="","",IF(COUNTIFS(aditivos!$A$2:$A$200,$A83,aditivos!$L$2:$L$200,"&lt;&gt;",aditivos!$L$2:$L$200,"&lt;&gt;0",aditivos!$B$2:$B$200,"&gt;0")=0,"",IFERROR(_xlfn.MINIFS(aditivos!$B$2:$B$200,aditivos!$A$2:$A$200,$A83,aditivos!$L$2:$L$200,"&lt;&gt;",aditivos!$L$2:$L$200,"&lt;&gt;0",aditivos!$B$2:$B$200,"&gt;0"),"")))</f>
        <v/>
      </c>
      <c r="AB83" t="str">
        <f>IF($A83="","",IF(OR(parametros!$C$2="",parametros!$I$2=""),0,ROUND(SUMIFS(aditivos!$L$2:$L$200,aditivos!$A$2:$A$200,$A83,aditivos!$C$2:$C$200,"C0",aditivos!$B$2:$B$200,"&gt;="&amp;(INT(parametros!$I$2)+1)),2)))</f>
        <v/>
      </c>
      <c r="AC83" t="str">
        <f>IF($A83="","",IF(OR(parametros!$C$3="",parametros!$I$3=""),0,ROUND(SUMIFS(aditivos!$L$2:$L$200,aditivos!$A$2:$A$200,$A83,aditivos!$C$2:$C$200,"C1",aditivos!$B$2:$B$200,"&gt;="&amp;(INT(parametros!$I$3)+1)),2)))</f>
        <v/>
      </c>
      <c r="AD83" t="str">
        <f>IF($A83="","",IF(OR(parametros!$C$4="",parametros!$I$4=""),0,ROUND(SUMIFS(aditivos!$L$2:$L$200,aditivos!$A$2:$A$200,$A83,aditivos!$C$2:$C$200,"C2",aditivos!$B$2:$B$200,"&gt;="&amp;(INT(parametros!$I$4)+1)),2)))</f>
        <v/>
      </c>
      <c r="AE83" t="str">
        <f>IF($A83="","",IF(OR(parametros!$C$5="",parametros!$I$5=""),0,ROUND(SUMIFS(aditivos!$L$2:$L$200,aditivos!$A$2:$A$200,$A83,aditivos!$C$2:$C$200,"C3",aditivos!$B$2:$B$200,"&gt;="&amp;(INT(parametros!$I$5)+1)),2)))</f>
        <v/>
      </c>
      <c r="AF83" t="str">
        <f>IF($A83="","",IF(OR(parametros!$C$6="",parametros!$I$6=""),0,ROUND(SUMIFS(aditivos!$L$2:$L$200,aditivos!$A$2:$A$200,$A83,aditivos!$C$2:$C$200,"C4",aditivos!$B$2:$B$200,"&gt;="&amp;(INT(parametros!$I$6)+1)),2)))</f>
        <v/>
      </c>
      <c r="AG83" t="str">
        <f t="shared" si="48"/>
        <v/>
      </c>
      <c r="AH83" t="str">
        <f t="shared" si="49"/>
        <v/>
      </c>
      <c r="AI83" t="str">
        <f t="shared" si="50"/>
        <v/>
      </c>
      <c r="AJ83" t="str">
        <f t="shared" si="51"/>
        <v/>
      </c>
      <c r="AK83" t="str">
        <f t="shared" si="52"/>
        <v/>
      </c>
      <c r="AL83" t="str">
        <f t="shared" si="53"/>
        <v/>
      </c>
    </row>
    <row r="84" spans="1:38" x14ac:dyDescent="0.35">
      <c r="A84" s="146" t="str">
        <f>IF(itens_Remanesc!A84="","",itens_Remanesc!A84)</f>
        <v/>
      </c>
      <c r="B84" s="196" t="str">
        <f>IF(A84="","",itens_Remanesc!C84)</f>
        <v/>
      </c>
      <c r="C84" s="161" t="str">
        <f>IF(A84="","",IF(itens_Remanesc!B84="",0,itens_Remanesc!B84))</f>
        <v/>
      </c>
      <c r="D84" s="163" t="str">
        <f>IF(A84="","",ROUND(SUMIFS(aditivos!$L$2:$L$200,aditivos!$A$2:$A$200,A84,aditivos!$C$2:$C$200,"C0"),2))</f>
        <v/>
      </c>
      <c r="E84" s="159" t="str">
        <f t="shared" si="36"/>
        <v/>
      </c>
      <c r="F84" s="159" t="str">
        <f>IF(A84="","",IF(itens_Remanesc!B84&lt;&gt;"",itens_Remanesc!B84,IF($Z84,0,"")))</f>
        <v/>
      </c>
      <c r="G84" s="167" t="str">
        <f t="shared" si="37"/>
        <v/>
      </c>
      <c r="H84" s="169" t="str">
        <f>IF(A84="","",ROUND(SUMIFS(aditivos!$L$2:$L$200,aditivos!$A$2:$A$200,A84,aditivos!$C$2:$C$200,"C1"),2))</f>
        <v/>
      </c>
      <c r="I84" s="165" t="str">
        <f t="shared" si="38"/>
        <v/>
      </c>
      <c r="J84" s="165" t="str">
        <f>IF(A84="","",IF(itens_Remanesc!E84="","",itens_Remanesc!E84))</f>
        <v/>
      </c>
      <c r="K84" s="171" t="str">
        <f t="shared" si="39"/>
        <v/>
      </c>
      <c r="L84" s="163" t="str">
        <f>IF(A84="","",ROUND(SUMIFS(aditivos!$L$2:$L$200,aditivos!$A$2:$A$200,A84,aditivos!$C$2:$C$200,"C2"),2))</f>
        <v/>
      </c>
      <c r="M84" s="159" t="str">
        <f t="shared" si="40"/>
        <v/>
      </c>
      <c r="N84" s="159" t="str">
        <f>IF(A84="","",IF(itens_Remanesc!G84="","",itens_Remanesc!G84))</f>
        <v/>
      </c>
      <c r="O84" s="167" t="str">
        <f t="shared" si="41"/>
        <v/>
      </c>
      <c r="P84" s="169" t="str">
        <f>IF(A84="","",ROUND(SUMIFS(aditivos!$L$2:$L$200,aditivos!$A$2:$A$200,A84,aditivos!$C$2:$C$200,"C3"),2))</f>
        <v/>
      </c>
      <c r="Q84" s="165" t="str">
        <f t="shared" si="42"/>
        <v/>
      </c>
      <c r="R84" s="165" t="str">
        <f>IF(A84="","",IF(itens_Remanesc!I84="","",itens_Remanesc!I84))</f>
        <v/>
      </c>
      <c r="S84" s="171" t="str">
        <f t="shared" si="43"/>
        <v/>
      </c>
      <c r="T84" s="163" t="str">
        <f>IF(A84="","",ROUND(SUMIFS(aditivos!$L$2:$L$200,aditivos!$A$2:$A$200,A84,aditivos!$C$2:$C$200,"C4"),2))</f>
        <v/>
      </c>
      <c r="U84" s="159" t="str">
        <f t="shared" si="44"/>
        <v/>
      </c>
      <c r="V84" s="159" t="str">
        <f>IF(A84="","",IF(itens_Remanesc!K84="","",itens_Remanesc!K84))</f>
        <v/>
      </c>
      <c r="W84" s="159" t="str">
        <f t="shared" si="45"/>
        <v/>
      </c>
      <c r="X84" s="146" t="str">
        <f>IF(A84="","",IF(COUNTIF($A$2:$A$200,A84)&gt;1,"ALERTA: ITEM_DUPLICADO",IF(AND($Z84,ISNUMBER(itens_Remanesc!B84),itens_Remanesc!B84&lt;&gt;0),"NOVO ITEM COM BASE DIFERENTE DE 0 - AJUSTAR itens_Remanesc",IF(AND($Z84,NOT(ISNUMBER(itens_Remanesc!C84))),"NOVO ITEM SEM VU_ORIGINAL - INFORMAR EM itens_Remanesc",IF(MIN(E84,I84,M84,Q84,U84,G84,K84,O84,S84,W84)&lt;0,"ALERTA: POSICAO_NEGATIVA",IF(OR(AND(G84&lt;&gt;"",G84&gt;E84),AND(K84&lt;&gt;"",K84&gt;I84),AND(O84&lt;&gt;"",O84&gt;M84),AND(S84&lt;&gt;"",S84&gt;Q84),AND(W84&lt;&gt;"",W84&gt;U84)),"ALERTA: REMANESCENTE_SUPERA_POSICAO","OK"))))))</f>
        <v/>
      </c>
      <c r="Y84" t="str">
        <f t="shared" si="46"/>
        <v/>
      </c>
      <c r="Z84" t="b">
        <f t="shared" si="47"/>
        <v>0</v>
      </c>
      <c r="AA84" s="208" t="str">
        <f>IF($A84="","",IF(COUNTIFS(aditivos!$A$2:$A$200,$A84,aditivos!$L$2:$L$200,"&lt;&gt;",aditivos!$L$2:$L$200,"&lt;&gt;0",aditivos!$B$2:$B$200,"&gt;0")=0,"",IFERROR(_xlfn.MINIFS(aditivos!$B$2:$B$200,aditivos!$A$2:$A$200,$A84,aditivos!$L$2:$L$200,"&lt;&gt;",aditivos!$L$2:$L$200,"&lt;&gt;0",aditivos!$B$2:$B$200,"&gt;0"),"")))</f>
        <v/>
      </c>
      <c r="AB84" t="str">
        <f>IF($A84="","",IF(OR(parametros!$C$2="",parametros!$I$2=""),0,ROUND(SUMIFS(aditivos!$L$2:$L$200,aditivos!$A$2:$A$200,$A84,aditivos!$C$2:$C$200,"C0",aditivos!$B$2:$B$200,"&gt;="&amp;(INT(parametros!$I$2)+1)),2)))</f>
        <v/>
      </c>
      <c r="AC84" t="str">
        <f>IF($A84="","",IF(OR(parametros!$C$3="",parametros!$I$3=""),0,ROUND(SUMIFS(aditivos!$L$2:$L$200,aditivos!$A$2:$A$200,$A84,aditivos!$C$2:$C$200,"C1",aditivos!$B$2:$B$200,"&gt;="&amp;(INT(parametros!$I$3)+1)),2)))</f>
        <v/>
      </c>
      <c r="AD84" t="str">
        <f>IF($A84="","",IF(OR(parametros!$C$4="",parametros!$I$4=""),0,ROUND(SUMIFS(aditivos!$L$2:$L$200,aditivos!$A$2:$A$200,$A84,aditivos!$C$2:$C$200,"C2",aditivos!$B$2:$B$200,"&gt;="&amp;(INT(parametros!$I$4)+1)),2)))</f>
        <v/>
      </c>
      <c r="AE84" t="str">
        <f>IF($A84="","",IF(OR(parametros!$C$5="",parametros!$I$5=""),0,ROUND(SUMIFS(aditivos!$L$2:$L$200,aditivos!$A$2:$A$200,$A84,aditivos!$C$2:$C$200,"C3",aditivos!$B$2:$B$200,"&gt;="&amp;(INT(parametros!$I$5)+1)),2)))</f>
        <v/>
      </c>
      <c r="AF84" t="str">
        <f>IF($A84="","",IF(OR(parametros!$C$6="",parametros!$I$6=""),0,ROUND(SUMIFS(aditivos!$L$2:$L$200,aditivos!$A$2:$A$200,$A84,aditivos!$C$2:$C$200,"C4",aditivos!$B$2:$B$200,"&gt;="&amp;(INT(parametros!$I$6)+1)),2)))</f>
        <v/>
      </c>
      <c r="AG84" t="str">
        <f t="shared" si="48"/>
        <v/>
      </c>
      <c r="AH84" t="str">
        <f t="shared" si="49"/>
        <v/>
      </c>
      <c r="AI84" t="str">
        <f t="shared" si="50"/>
        <v/>
      </c>
      <c r="AJ84" t="str">
        <f t="shared" si="51"/>
        <v/>
      </c>
      <c r="AK84" t="str">
        <f t="shared" si="52"/>
        <v/>
      </c>
      <c r="AL84" t="str">
        <f t="shared" si="53"/>
        <v/>
      </c>
    </row>
    <row r="85" spans="1:38" x14ac:dyDescent="0.35">
      <c r="A85" s="146" t="str">
        <f>IF(itens_Remanesc!A85="","",itens_Remanesc!A85)</f>
        <v/>
      </c>
      <c r="B85" s="196" t="str">
        <f>IF(A85="","",itens_Remanesc!C85)</f>
        <v/>
      </c>
      <c r="C85" s="161" t="str">
        <f>IF(A85="","",IF(itens_Remanesc!B85="",0,itens_Remanesc!B85))</f>
        <v/>
      </c>
      <c r="D85" s="163" t="str">
        <f>IF(A85="","",ROUND(SUMIFS(aditivos!$L$2:$L$200,aditivos!$A$2:$A$200,A85,aditivos!$C$2:$C$200,"C0"),2))</f>
        <v/>
      </c>
      <c r="E85" s="159" t="str">
        <f t="shared" si="36"/>
        <v/>
      </c>
      <c r="F85" s="159" t="str">
        <f>IF(A85="","",IF(itens_Remanesc!B85&lt;&gt;"",itens_Remanesc!B85,IF($Z85,0,"")))</f>
        <v/>
      </c>
      <c r="G85" s="167" t="str">
        <f t="shared" si="37"/>
        <v/>
      </c>
      <c r="H85" s="169" t="str">
        <f>IF(A85="","",ROUND(SUMIFS(aditivos!$L$2:$L$200,aditivos!$A$2:$A$200,A85,aditivos!$C$2:$C$200,"C1"),2))</f>
        <v/>
      </c>
      <c r="I85" s="165" t="str">
        <f t="shared" si="38"/>
        <v/>
      </c>
      <c r="J85" s="165" t="str">
        <f>IF(A85="","",IF(itens_Remanesc!E85="","",itens_Remanesc!E85))</f>
        <v/>
      </c>
      <c r="K85" s="171" t="str">
        <f t="shared" si="39"/>
        <v/>
      </c>
      <c r="L85" s="163" t="str">
        <f>IF(A85="","",ROUND(SUMIFS(aditivos!$L$2:$L$200,aditivos!$A$2:$A$200,A85,aditivos!$C$2:$C$200,"C2"),2))</f>
        <v/>
      </c>
      <c r="M85" s="159" t="str">
        <f t="shared" si="40"/>
        <v/>
      </c>
      <c r="N85" s="159" t="str">
        <f>IF(A85="","",IF(itens_Remanesc!G85="","",itens_Remanesc!G85))</f>
        <v/>
      </c>
      <c r="O85" s="167" t="str">
        <f t="shared" si="41"/>
        <v/>
      </c>
      <c r="P85" s="169" t="str">
        <f>IF(A85="","",ROUND(SUMIFS(aditivos!$L$2:$L$200,aditivos!$A$2:$A$200,A85,aditivos!$C$2:$C$200,"C3"),2))</f>
        <v/>
      </c>
      <c r="Q85" s="165" t="str">
        <f t="shared" si="42"/>
        <v/>
      </c>
      <c r="R85" s="165" t="str">
        <f>IF(A85="","",IF(itens_Remanesc!I85="","",itens_Remanesc!I85))</f>
        <v/>
      </c>
      <c r="S85" s="171" t="str">
        <f t="shared" si="43"/>
        <v/>
      </c>
      <c r="T85" s="163" t="str">
        <f>IF(A85="","",ROUND(SUMIFS(aditivos!$L$2:$L$200,aditivos!$A$2:$A$200,A85,aditivos!$C$2:$C$200,"C4"),2))</f>
        <v/>
      </c>
      <c r="U85" s="159" t="str">
        <f t="shared" si="44"/>
        <v/>
      </c>
      <c r="V85" s="159" t="str">
        <f>IF(A85="","",IF(itens_Remanesc!K85="","",itens_Remanesc!K85))</f>
        <v/>
      </c>
      <c r="W85" s="159" t="str">
        <f t="shared" si="45"/>
        <v/>
      </c>
      <c r="X85" s="146" t="str">
        <f>IF(A85="","",IF(COUNTIF($A$2:$A$200,A85)&gt;1,"ALERTA: ITEM_DUPLICADO",IF(AND($Z85,ISNUMBER(itens_Remanesc!B85),itens_Remanesc!B85&lt;&gt;0),"NOVO ITEM COM BASE DIFERENTE DE 0 - AJUSTAR itens_Remanesc",IF(AND($Z85,NOT(ISNUMBER(itens_Remanesc!C85))),"NOVO ITEM SEM VU_ORIGINAL - INFORMAR EM itens_Remanesc",IF(MIN(E85,I85,M85,Q85,U85,G85,K85,O85,S85,W85)&lt;0,"ALERTA: POSICAO_NEGATIVA",IF(OR(AND(G85&lt;&gt;"",G85&gt;E85),AND(K85&lt;&gt;"",K85&gt;I85),AND(O85&lt;&gt;"",O85&gt;M85),AND(S85&lt;&gt;"",S85&gt;Q85),AND(W85&lt;&gt;"",W85&gt;U85)),"ALERTA: REMANESCENTE_SUPERA_POSICAO","OK"))))))</f>
        <v/>
      </c>
      <c r="Y85" t="str">
        <f t="shared" si="46"/>
        <v/>
      </c>
      <c r="Z85" t="b">
        <f t="shared" si="47"/>
        <v>0</v>
      </c>
      <c r="AA85" s="208" t="str">
        <f>IF($A85="","",IF(COUNTIFS(aditivos!$A$2:$A$200,$A85,aditivos!$L$2:$L$200,"&lt;&gt;",aditivos!$L$2:$L$200,"&lt;&gt;0",aditivos!$B$2:$B$200,"&gt;0")=0,"",IFERROR(_xlfn.MINIFS(aditivos!$B$2:$B$200,aditivos!$A$2:$A$200,$A85,aditivos!$L$2:$L$200,"&lt;&gt;",aditivos!$L$2:$L$200,"&lt;&gt;0",aditivos!$B$2:$B$200,"&gt;0"),"")))</f>
        <v/>
      </c>
      <c r="AB85" t="str">
        <f>IF($A85="","",IF(OR(parametros!$C$2="",parametros!$I$2=""),0,ROUND(SUMIFS(aditivos!$L$2:$L$200,aditivos!$A$2:$A$200,$A85,aditivos!$C$2:$C$200,"C0",aditivos!$B$2:$B$200,"&gt;="&amp;(INT(parametros!$I$2)+1)),2)))</f>
        <v/>
      </c>
      <c r="AC85" t="str">
        <f>IF($A85="","",IF(OR(parametros!$C$3="",parametros!$I$3=""),0,ROUND(SUMIFS(aditivos!$L$2:$L$200,aditivos!$A$2:$A$200,$A85,aditivos!$C$2:$C$200,"C1",aditivos!$B$2:$B$200,"&gt;="&amp;(INT(parametros!$I$3)+1)),2)))</f>
        <v/>
      </c>
      <c r="AD85" t="str">
        <f>IF($A85="","",IF(OR(parametros!$C$4="",parametros!$I$4=""),0,ROUND(SUMIFS(aditivos!$L$2:$L$200,aditivos!$A$2:$A$200,$A85,aditivos!$C$2:$C$200,"C2",aditivos!$B$2:$B$200,"&gt;="&amp;(INT(parametros!$I$4)+1)),2)))</f>
        <v/>
      </c>
      <c r="AE85" t="str">
        <f>IF($A85="","",IF(OR(parametros!$C$5="",parametros!$I$5=""),0,ROUND(SUMIFS(aditivos!$L$2:$L$200,aditivos!$A$2:$A$200,$A85,aditivos!$C$2:$C$200,"C3",aditivos!$B$2:$B$200,"&gt;="&amp;(INT(parametros!$I$5)+1)),2)))</f>
        <v/>
      </c>
      <c r="AF85" t="str">
        <f>IF($A85="","",IF(OR(parametros!$C$6="",parametros!$I$6=""),0,ROUND(SUMIFS(aditivos!$L$2:$L$200,aditivos!$A$2:$A$200,$A85,aditivos!$C$2:$C$200,"C4",aditivos!$B$2:$B$200,"&gt;="&amp;(INT(parametros!$I$6)+1)),2)))</f>
        <v/>
      </c>
      <c r="AG85" t="str">
        <f t="shared" si="48"/>
        <v/>
      </c>
      <c r="AH85" t="str">
        <f t="shared" si="49"/>
        <v/>
      </c>
      <c r="AI85" t="str">
        <f t="shared" si="50"/>
        <v/>
      </c>
      <c r="AJ85" t="str">
        <f t="shared" si="51"/>
        <v/>
      </c>
      <c r="AK85" t="str">
        <f t="shared" si="52"/>
        <v/>
      </c>
      <c r="AL85" t="str">
        <f t="shared" si="53"/>
        <v/>
      </c>
    </row>
    <row r="86" spans="1:38" x14ac:dyDescent="0.35">
      <c r="A86" s="146" t="str">
        <f>IF(itens_Remanesc!A86="","",itens_Remanesc!A86)</f>
        <v/>
      </c>
      <c r="B86" s="196" t="str">
        <f>IF(A86="","",itens_Remanesc!C86)</f>
        <v/>
      </c>
      <c r="C86" s="161" t="str">
        <f>IF(A86="","",IF(itens_Remanesc!B86="",0,itens_Remanesc!B86))</f>
        <v/>
      </c>
      <c r="D86" s="163" t="str">
        <f>IF(A86="","",ROUND(SUMIFS(aditivos!$L$2:$L$200,aditivos!$A$2:$A$200,A86,aditivos!$C$2:$C$200,"C0"),2))</f>
        <v/>
      </c>
      <c r="E86" s="159" t="str">
        <f t="shared" si="36"/>
        <v/>
      </c>
      <c r="F86" s="159" t="str">
        <f>IF(A86="","",IF(itens_Remanesc!B86&lt;&gt;"",itens_Remanesc!B86,IF($Z86,0,"")))</f>
        <v/>
      </c>
      <c r="G86" s="167" t="str">
        <f t="shared" si="37"/>
        <v/>
      </c>
      <c r="H86" s="169" t="str">
        <f>IF(A86="","",ROUND(SUMIFS(aditivos!$L$2:$L$200,aditivos!$A$2:$A$200,A86,aditivos!$C$2:$C$200,"C1"),2))</f>
        <v/>
      </c>
      <c r="I86" s="165" t="str">
        <f t="shared" si="38"/>
        <v/>
      </c>
      <c r="J86" s="165" t="str">
        <f>IF(A86="","",IF(itens_Remanesc!E86="","",itens_Remanesc!E86))</f>
        <v/>
      </c>
      <c r="K86" s="171" t="str">
        <f t="shared" si="39"/>
        <v/>
      </c>
      <c r="L86" s="163" t="str">
        <f>IF(A86="","",ROUND(SUMIFS(aditivos!$L$2:$L$200,aditivos!$A$2:$A$200,A86,aditivos!$C$2:$C$200,"C2"),2))</f>
        <v/>
      </c>
      <c r="M86" s="159" t="str">
        <f t="shared" si="40"/>
        <v/>
      </c>
      <c r="N86" s="159" t="str">
        <f>IF(A86="","",IF(itens_Remanesc!G86="","",itens_Remanesc!G86))</f>
        <v/>
      </c>
      <c r="O86" s="167" t="str">
        <f t="shared" si="41"/>
        <v/>
      </c>
      <c r="P86" s="169" t="str">
        <f>IF(A86="","",ROUND(SUMIFS(aditivos!$L$2:$L$200,aditivos!$A$2:$A$200,A86,aditivos!$C$2:$C$200,"C3"),2))</f>
        <v/>
      </c>
      <c r="Q86" s="165" t="str">
        <f t="shared" si="42"/>
        <v/>
      </c>
      <c r="R86" s="165" t="str">
        <f>IF(A86="","",IF(itens_Remanesc!I86="","",itens_Remanesc!I86))</f>
        <v/>
      </c>
      <c r="S86" s="171" t="str">
        <f t="shared" si="43"/>
        <v/>
      </c>
      <c r="T86" s="163" t="str">
        <f>IF(A86="","",ROUND(SUMIFS(aditivos!$L$2:$L$200,aditivos!$A$2:$A$200,A86,aditivos!$C$2:$C$200,"C4"),2))</f>
        <v/>
      </c>
      <c r="U86" s="159" t="str">
        <f t="shared" si="44"/>
        <v/>
      </c>
      <c r="V86" s="159" t="str">
        <f>IF(A86="","",IF(itens_Remanesc!K86="","",itens_Remanesc!K86))</f>
        <v/>
      </c>
      <c r="W86" s="159" t="str">
        <f t="shared" si="45"/>
        <v/>
      </c>
      <c r="X86" s="146" t="str">
        <f>IF(A86="","",IF(COUNTIF($A$2:$A$200,A86)&gt;1,"ALERTA: ITEM_DUPLICADO",IF(AND($Z86,ISNUMBER(itens_Remanesc!B86),itens_Remanesc!B86&lt;&gt;0),"NOVO ITEM COM BASE DIFERENTE DE 0 - AJUSTAR itens_Remanesc",IF(AND($Z86,NOT(ISNUMBER(itens_Remanesc!C86))),"NOVO ITEM SEM VU_ORIGINAL - INFORMAR EM itens_Remanesc",IF(MIN(E86,I86,M86,Q86,U86,G86,K86,O86,S86,W86)&lt;0,"ALERTA: POSICAO_NEGATIVA",IF(OR(AND(G86&lt;&gt;"",G86&gt;E86),AND(K86&lt;&gt;"",K86&gt;I86),AND(O86&lt;&gt;"",O86&gt;M86),AND(S86&lt;&gt;"",S86&gt;Q86),AND(W86&lt;&gt;"",W86&gt;U86)),"ALERTA: REMANESCENTE_SUPERA_POSICAO","OK"))))))</f>
        <v/>
      </c>
      <c r="Y86" t="str">
        <f t="shared" si="46"/>
        <v/>
      </c>
      <c r="Z86" t="b">
        <f t="shared" si="47"/>
        <v>0</v>
      </c>
      <c r="AA86" s="208" t="str">
        <f>IF($A86="","",IF(COUNTIFS(aditivos!$A$2:$A$200,$A86,aditivos!$L$2:$L$200,"&lt;&gt;",aditivos!$L$2:$L$200,"&lt;&gt;0",aditivos!$B$2:$B$200,"&gt;0")=0,"",IFERROR(_xlfn.MINIFS(aditivos!$B$2:$B$200,aditivos!$A$2:$A$200,$A86,aditivos!$L$2:$L$200,"&lt;&gt;",aditivos!$L$2:$L$200,"&lt;&gt;0",aditivos!$B$2:$B$200,"&gt;0"),"")))</f>
        <v/>
      </c>
      <c r="AB86" t="str">
        <f>IF($A86="","",IF(OR(parametros!$C$2="",parametros!$I$2=""),0,ROUND(SUMIFS(aditivos!$L$2:$L$200,aditivos!$A$2:$A$200,$A86,aditivos!$C$2:$C$200,"C0",aditivos!$B$2:$B$200,"&gt;="&amp;(INT(parametros!$I$2)+1)),2)))</f>
        <v/>
      </c>
      <c r="AC86" t="str">
        <f>IF($A86="","",IF(OR(parametros!$C$3="",parametros!$I$3=""),0,ROUND(SUMIFS(aditivos!$L$2:$L$200,aditivos!$A$2:$A$200,$A86,aditivos!$C$2:$C$200,"C1",aditivos!$B$2:$B$200,"&gt;="&amp;(INT(parametros!$I$3)+1)),2)))</f>
        <v/>
      </c>
      <c r="AD86" t="str">
        <f>IF($A86="","",IF(OR(parametros!$C$4="",parametros!$I$4=""),0,ROUND(SUMIFS(aditivos!$L$2:$L$200,aditivos!$A$2:$A$200,$A86,aditivos!$C$2:$C$200,"C2",aditivos!$B$2:$B$200,"&gt;="&amp;(INT(parametros!$I$4)+1)),2)))</f>
        <v/>
      </c>
      <c r="AE86" t="str">
        <f>IF($A86="","",IF(OR(parametros!$C$5="",parametros!$I$5=""),0,ROUND(SUMIFS(aditivos!$L$2:$L$200,aditivos!$A$2:$A$200,$A86,aditivos!$C$2:$C$200,"C3",aditivos!$B$2:$B$200,"&gt;="&amp;(INT(parametros!$I$5)+1)),2)))</f>
        <v/>
      </c>
      <c r="AF86" t="str">
        <f>IF($A86="","",IF(OR(parametros!$C$6="",parametros!$I$6=""),0,ROUND(SUMIFS(aditivos!$L$2:$L$200,aditivos!$A$2:$A$200,$A86,aditivos!$C$2:$C$200,"C4",aditivos!$B$2:$B$200,"&gt;="&amp;(INT(parametros!$I$6)+1)),2)))</f>
        <v/>
      </c>
      <c r="AG86" t="str">
        <f t="shared" si="48"/>
        <v/>
      </c>
      <c r="AH86" t="str">
        <f t="shared" si="49"/>
        <v/>
      </c>
      <c r="AI86" t="str">
        <f t="shared" si="50"/>
        <v/>
      </c>
      <c r="AJ86" t="str">
        <f t="shared" si="51"/>
        <v/>
      </c>
      <c r="AK86" t="str">
        <f t="shared" si="52"/>
        <v/>
      </c>
      <c r="AL86" t="str">
        <f t="shared" si="53"/>
        <v/>
      </c>
    </row>
    <row r="87" spans="1:38" x14ac:dyDescent="0.35">
      <c r="A87" s="146" t="str">
        <f>IF(itens_Remanesc!A87="","",itens_Remanesc!A87)</f>
        <v/>
      </c>
      <c r="B87" s="196" t="str">
        <f>IF(A87="","",itens_Remanesc!C87)</f>
        <v/>
      </c>
      <c r="C87" s="161" t="str">
        <f>IF(A87="","",IF(itens_Remanesc!B87="",0,itens_Remanesc!B87))</f>
        <v/>
      </c>
      <c r="D87" s="163" t="str">
        <f>IF(A87="","",ROUND(SUMIFS(aditivos!$L$2:$L$200,aditivos!$A$2:$A$200,A87,aditivos!$C$2:$C$200,"C0"),2))</f>
        <v/>
      </c>
      <c r="E87" s="159" t="str">
        <f t="shared" si="36"/>
        <v/>
      </c>
      <c r="F87" s="159" t="str">
        <f>IF(A87="","",IF(itens_Remanesc!B87&lt;&gt;"",itens_Remanesc!B87,IF($Z87,0,"")))</f>
        <v/>
      </c>
      <c r="G87" s="167" t="str">
        <f t="shared" si="37"/>
        <v/>
      </c>
      <c r="H87" s="169" t="str">
        <f>IF(A87="","",ROUND(SUMIFS(aditivos!$L$2:$L$200,aditivos!$A$2:$A$200,A87,aditivos!$C$2:$C$200,"C1"),2))</f>
        <v/>
      </c>
      <c r="I87" s="165" t="str">
        <f t="shared" si="38"/>
        <v/>
      </c>
      <c r="J87" s="165" t="str">
        <f>IF(A87="","",IF(itens_Remanesc!E87="","",itens_Remanesc!E87))</f>
        <v/>
      </c>
      <c r="K87" s="171" t="str">
        <f t="shared" si="39"/>
        <v/>
      </c>
      <c r="L87" s="163" t="str">
        <f>IF(A87="","",ROUND(SUMIFS(aditivos!$L$2:$L$200,aditivos!$A$2:$A$200,A87,aditivos!$C$2:$C$200,"C2"),2))</f>
        <v/>
      </c>
      <c r="M87" s="159" t="str">
        <f t="shared" si="40"/>
        <v/>
      </c>
      <c r="N87" s="159" t="str">
        <f>IF(A87="","",IF(itens_Remanesc!G87="","",itens_Remanesc!G87))</f>
        <v/>
      </c>
      <c r="O87" s="167" t="str">
        <f t="shared" si="41"/>
        <v/>
      </c>
      <c r="P87" s="169" t="str">
        <f>IF(A87="","",ROUND(SUMIFS(aditivos!$L$2:$L$200,aditivos!$A$2:$A$200,A87,aditivos!$C$2:$C$200,"C3"),2))</f>
        <v/>
      </c>
      <c r="Q87" s="165" t="str">
        <f t="shared" si="42"/>
        <v/>
      </c>
      <c r="R87" s="165" t="str">
        <f>IF(A87="","",IF(itens_Remanesc!I87="","",itens_Remanesc!I87))</f>
        <v/>
      </c>
      <c r="S87" s="171" t="str">
        <f t="shared" si="43"/>
        <v/>
      </c>
      <c r="T87" s="163" t="str">
        <f>IF(A87="","",ROUND(SUMIFS(aditivos!$L$2:$L$200,aditivos!$A$2:$A$200,A87,aditivos!$C$2:$C$200,"C4"),2))</f>
        <v/>
      </c>
      <c r="U87" s="159" t="str">
        <f t="shared" si="44"/>
        <v/>
      </c>
      <c r="V87" s="159" t="str">
        <f>IF(A87="","",IF(itens_Remanesc!K87="","",itens_Remanesc!K87))</f>
        <v/>
      </c>
      <c r="W87" s="159" t="str">
        <f t="shared" si="45"/>
        <v/>
      </c>
      <c r="X87" s="146" t="str">
        <f>IF(A87="","",IF(COUNTIF($A$2:$A$200,A87)&gt;1,"ALERTA: ITEM_DUPLICADO",IF(AND($Z87,ISNUMBER(itens_Remanesc!B87),itens_Remanesc!B87&lt;&gt;0),"NOVO ITEM COM BASE DIFERENTE DE 0 - AJUSTAR itens_Remanesc",IF(AND($Z87,NOT(ISNUMBER(itens_Remanesc!C87))),"NOVO ITEM SEM VU_ORIGINAL - INFORMAR EM itens_Remanesc",IF(MIN(E87,I87,M87,Q87,U87,G87,K87,O87,S87,W87)&lt;0,"ALERTA: POSICAO_NEGATIVA",IF(OR(AND(G87&lt;&gt;"",G87&gt;E87),AND(K87&lt;&gt;"",K87&gt;I87),AND(O87&lt;&gt;"",O87&gt;M87),AND(S87&lt;&gt;"",S87&gt;Q87),AND(W87&lt;&gt;"",W87&gt;U87)),"ALERTA: REMANESCENTE_SUPERA_POSICAO","OK"))))))</f>
        <v/>
      </c>
      <c r="Y87" t="str">
        <f t="shared" si="46"/>
        <v/>
      </c>
      <c r="Z87" t="b">
        <f t="shared" si="47"/>
        <v>0</v>
      </c>
      <c r="AA87" s="208" t="str">
        <f>IF($A87="","",IF(COUNTIFS(aditivos!$A$2:$A$200,$A87,aditivos!$L$2:$L$200,"&lt;&gt;",aditivos!$L$2:$L$200,"&lt;&gt;0",aditivos!$B$2:$B$200,"&gt;0")=0,"",IFERROR(_xlfn.MINIFS(aditivos!$B$2:$B$200,aditivos!$A$2:$A$200,$A87,aditivos!$L$2:$L$200,"&lt;&gt;",aditivos!$L$2:$L$200,"&lt;&gt;0",aditivos!$B$2:$B$200,"&gt;0"),"")))</f>
        <v/>
      </c>
      <c r="AB87" t="str">
        <f>IF($A87="","",IF(OR(parametros!$C$2="",parametros!$I$2=""),0,ROUND(SUMIFS(aditivos!$L$2:$L$200,aditivos!$A$2:$A$200,$A87,aditivos!$C$2:$C$200,"C0",aditivos!$B$2:$B$200,"&gt;="&amp;(INT(parametros!$I$2)+1)),2)))</f>
        <v/>
      </c>
      <c r="AC87" t="str">
        <f>IF($A87="","",IF(OR(parametros!$C$3="",parametros!$I$3=""),0,ROUND(SUMIFS(aditivos!$L$2:$L$200,aditivos!$A$2:$A$200,$A87,aditivos!$C$2:$C$200,"C1",aditivos!$B$2:$B$200,"&gt;="&amp;(INT(parametros!$I$3)+1)),2)))</f>
        <v/>
      </c>
      <c r="AD87" t="str">
        <f>IF($A87="","",IF(OR(parametros!$C$4="",parametros!$I$4=""),0,ROUND(SUMIFS(aditivos!$L$2:$L$200,aditivos!$A$2:$A$200,$A87,aditivos!$C$2:$C$200,"C2",aditivos!$B$2:$B$200,"&gt;="&amp;(INT(parametros!$I$4)+1)),2)))</f>
        <v/>
      </c>
      <c r="AE87" t="str">
        <f>IF($A87="","",IF(OR(parametros!$C$5="",parametros!$I$5=""),0,ROUND(SUMIFS(aditivos!$L$2:$L$200,aditivos!$A$2:$A$200,$A87,aditivos!$C$2:$C$200,"C3",aditivos!$B$2:$B$200,"&gt;="&amp;(INT(parametros!$I$5)+1)),2)))</f>
        <v/>
      </c>
      <c r="AF87" t="str">
        <f>IF($A87="","",IF(OR(parametros!$C$6="",parametros!$I$6=""),0,ROUND(SUMIFS(aditivos!$L$2:$L$200,aditivos!$A$2:$A$200,$A87,aditivos!$C$2:$C$200,"C4",aditivos!$B$2:$B$200,"&gt;="&amp;(INT(parametros!$I$6)+1)),2)))</f>
        <v/>
      </c>
      <c r="AG87" t="str">
        <f t="shared" si="48"/>
        <v/>
      </c>
      <c r="AH87" t="str">
        <f t="shared" si="49"/>
        <v/>
      </c>
      <c r="AI87" t="str">
        <f t="shared" si="50"/>
        <v/>
      </c>
      <c r="AJ87" t="str">
        <f t="shared" si="51"/>
        <v/>
      </c>
      <c r="AK87" t="str">
        <f t="shared" si="52"/>
        <v/>
      </c>
      <c r="AL87" t="str">
        <f t="shared" si="53"/>
        <v/>
      </c>
    </row>
    <row r="88" spans="1:38" x14ac:dyDescent="0.35">
      <c r="A88" s="146" t="str">
        <f>IF(itens_Remanesc!A88="","",itens_Remanesc!A88)</f>
        <v/>
      </c>
      <c r="B88" s="196" t="str">
        <f>IF(A88="","",itens_Remanesc!C88)</f>
        <v/>
      </c>
      <c r="C88" s="161" t="str">
        <f>IF(A88="","",IF(itens_Remanesc!B88="",0,itens_Remanesc!B88))</f>
        <v/>
      </c>
      <c r="D88" s="163" t="str">
        <f>IF(A88="","",ROUND(SUMIFS(aditivos!$L$2:$L$200,aditivos!$A$2:$A$200,A88,aditivos!$C$2:$C$200,"C0"),2))</f>
        <v/>
      </c>
      <c r="E88" s="159" t="str">
        <f t="shared" si="36"/>
        <v/>
      </c>
      <c r="F88" s="159" t="str">
        <f>IF(A88="","",IF(itens_Remanesc!B88&lt;&gt;"",itens_Remanesc!B88,IF($Z88,0,"")))</f>
        <v/>
      </c>
      <c r="G88" s="167" t="str">
        <f t="shared" si="37"/>
        <v/>
      </c>
      <c r="H88" s="169" t="str">
        <f>IF(A88="","",ROUND(SUMIFS(aditivos!$L$2:$L$200,aditivos!$A$2:$A$200,A88,aditivos!$C$2:$C$200,"C1"),2))</f>
        <v/>
      </c>
      <c r="I88" s="165" t="str">
        <f t="shared" si="38"/>
        <v/>
      </c>
      <c r="J88" s="165" t="str">
        <f>IF(A88="","",IF(itens_Remanesc!E88="","",itens_Remanesc!E88))</f>
        <v/>
      </c>
      <c r="K88" s="171" t="str">
        <f t="shared" si="39"/>
        <v/>
      </c>
      <c r="L88" s="163" t="str">
        <f>IF(A88="","",ROUND(SUMIFS(aditivos!$L$2:$L$200,aditivos!$A$2:$A$200,A88,aditivos!$C$2:$C$200,"C2"),2))</f>
        <v/>
      </c>
      <c r="M88" s="159" t="str">
        <f t="shared" si="40"/>
        <v/>
      </c>
      <c r="N88" s="159" t="str">
        <f>IF(A88="","",IF(itens_Remanesc!G88="","",itens_Remanesc!G88))</f>
        <v/>
      </c>
      <c r="O88" s="167" t="str">
        <f t="shared" si="41"/>
        <v/>
      </c>
      <c r="P88" s="169" t="str">
        <f>IF(A88="","",ROUND(SUMIFS(aditivos!$L$2:$L$200,aditivos!$A$2:$A$200,A88,aditivos!$C$2:$C$200,"C3"),2))</f>
        <v/>
      </c>
      <c r="Q88" s="165" t="str">
        <f t="shared" si="42"/>
        <v/>
      </c>
      <c r="R88" s="165" t="str">
        <f>IF(A88="","",IF(itens_Remanesc!I88="","",itens_Remanesc!I88))</f>
        <v/>
      </c>
      <c r="S88" s="171" t="str">
        <f t="shared" si="43"/>
        <v/>
      </c>
      <c r="T88" s="163" t="str">
        <f>IF(A88="","",ROUND(SUMIFS(aditivos!$L$2:$L$200,aditivos!$A$2:$A$200,A88,aditivos!$C$2:$C$200,"C4"),2))</f>
        <v/>
      </c>
      <c r="U88" s="159" t="str">
        <f t="shared" si="44"/>
        <v/>
      </c>
      <c r="V88" s="159" t="str">
        <f>IF(A88="","",IF(itens_Remanesc!K88="","",itens_Remanesc!K88))</f>
        <v/>
      </c>
      <c r="W88" s="159" t="str">
        <f t="shared" si="45"/>
        <v/>
      </c>
      <c r="X88" s="146" t="str">
        <f>IF(A88="","",IF(COUNTIF($A$2:$A$200,A88)&gt;1,"ALERTA: ITEM_DUPLICADO",IF(AND($Z88,ISNUMBER(itens_Remanesc!B88),itens_Remanesc!B88&lt;&gt;0),"NOVO ITEM COM BASE DIFERENTE DE 0 - AJUSTAR itens_Remanesc",IF(AND($Z88,NOT(ISNUMBER(itens_Remanesc!C88))),"NOVO ITEM SEM VU_ORIGINAL - INFORMAR EM itens_Remanesc",IF(MIN(E88,I88,M88,Q88,U88,G88,K88,O88,S88,W88)&lt;0,"ALERTA: POSICAO_NEGATIVA",IF(OR(AND(G88&lt;&gt;"",G88&gt;E88),AND(K88&lt;&gt;"",K88&gt;I88),AND(O88&lt;&gt;"",O88&gt;M88),AND(S88&lt;&gt;"",S88&gt;Q88),AND(W88&lt;&gt;"",W88&gt;U88)),"ALERTA: REMANESCENTE_SUPERA_POSICAO","OK"))))))</f>
        <v/>
      </c>
      <c r="Y88" t="str">
        <f t="shared" si="46"/>
        <v/>
      </c>
      <c r="Z88" t="b">
        <f t="shared" si="47"/>
        <v>0</v>
      </c>
      <c r="AA88" s="208" t="str">
        <f>IF($A88="","",IF(COUNTIFS(aditivos!$A$2:$A$200,$A88,aditivos!$L$2:$L$200,"&lt;&gt;",aditivos!$L$2:$L$200,"&lt;&gt;0",aditivos!$B$2:$B$200,"&gt;0")=0,"",IFERROR(_xlfn.MINIFS(aditivos!$B$2:$B$200,aditivos!$A$2:$A$200,$A88,aditivos!$L$2:$L$200,"&lt;&gt;",aditivos!$L$2:$L$200,"&lt;&gt;0",aditivos!$B$2:$B$200,"&gt;0"),"")))</f>
        <v/>
      </c>
      <c r="AB88" t="str">
        <f>IF($A88="","",IF(OR(parametros!$C$2="",parametros!$I$2=""),0,ROUND(SUMIFS(aditivos!$L$2:$L$200,aditivos!$A$2:$A$200,$A88,aditivos!$C$2:$C$200,"C0",aditivos!$B$2:$B$200,"&gt;="&amp;(INT(parametros!$I$2)+1)),2)))</f>
        <v/>
      </c>
      <c r="AC88" t="str">
        <f>IF($A88="","",IF(OR(parametros!$C$3="",parametros!$I$3=""),0,ROUND(SUMIFS(aditivos!$L$2:$L$200,aditivos!$A$2:$A$200,$A88,aditivos!$C$2:$C$200,"C1",aditivos!$B$2:$B$200,"&gt;="&amp;(INT(parametros!$I$3)+1)),2)))</f>
        <v/>
      </c>
      <c r="AD88" t="str">
        <f>IF($A88="","",IF(OR(parametros!$C$4="",parametros!$I$4=""),0,ROUND(SUMIFS(aditivos!$L$2:$L$200,aditivos!$A$2:$A$200,$A88,aditivos!$C$2:$C$200,"C2",aditivos!$B$2:$B$200,"&gt;="&amp;(INT(parametros!$I$4)+1)),2)))</f>
        <v/>
      </c>
      <c r="AE88" t="str">
        <f>IF($A88="","",IF(OR(parametros!$C$5="",parametros!$I$5=""),0,ROUND(SUMIFS(aditivos!$L$2:$L$200,aditivos!$A$2:$A$200,$A88,aditivos!$C$2:$C$200,"C3",aditivos!$B$2:$B$200,"&gt;="&amp;(INT(parametros!$I$5)+1)),2)))</f>
        <v/>
      </c>
      <c r="AF88" t="str">
        <f>IF($A88="","",IF(OR(parametros!$C$6="",parametros!$I$6=""),0,ROUND(SUMIFS(aditivos!$L$2:$L$200,aditivos!$A$2:$A$200,$A88,aditivos!$C$2:$C$200,"C4",aditivos!$B$2:$B$200,"&gt;="&amp;(INT(parametros!$I$6)+1)),2)))</f>
        <v/>
      </c>
      <c r="AG88" t="str">
        <f t="shared" si="48"/>
        <v/>
      </c>
      <c r="AH88" t="str">
        <f t="shared" si="49"/>
        <v/>
      </c>
      <c r="AI88" t="str">
        <f t="shared" si="50"/>
        <v/>
      </c>
      <c r="AJ88" t="str">
        <f t="shared" si="51"/>
        <v/>
      </c>
      <c r="AK88" t="str">
        <f t="shared" si="52"/>
        <v/>
      </c>
      <c r="AL88" t="str">
        <f t="shared" si="53"/>
        <v/>
      </c>
    </row>
    <row r="89" spans="1:38" x14ac:dyDescent="0.35">
      <c r="A89" s="146" t="str">
        <f>IF(itens_Remanesc!A89="","",itens_Remanesc!A89)</f>
        <v/>
      </c>
      <c r="B89" s="196" t="str">
        <f>IF(A89="","",itens_Remanesc!C89)</f>
        <v/>
      </c>
      <c r="C89" s="161" t="str">
        <f>IF(A89="","",IF(itens_Remanesc!B89="",0,itens_Remanesc!B89))</f>
        <v/>
      </c>
      <c r="D89" s="163" t="str">
        <f>IF(A89="","",ROUND(SUMIFS(aditivos!$L$2:$L$200,aditivos!$A$2:$A$200,A89,aditivos!$C$2:$C$200,"C0"),2))</f>
        <v/>
      </c>
      <c r="E89" s="159" t="str">
        <f t="shared" si="36"/>
        <v/>
      </c>
      <c r="F89" s="159" t="str">
        <f>IF(A89="","",IF(itens_Remanesc!B89&lt;&gt;"",itens_Remanesc!B89,IF($Z89,0,"")))</f>
        <v/>
      </c>
      <c r="G89" s="167" t="str">
        <f t="shared" si="37"/>
        <v/>
      </c>
      <c r="H89" s="169" t="str">
        <f>IF(A89="","",ROUND(SUMIFS(aditivos!$L$2:$L$200,aditivos!$A$2:$A$200,A89,aditivos!$C$2:$C$200,"C1"),2))</f>
        <v/>
      </c>
      <c r="I89" s="165" t="str">
        <f t="shared" si="38"/>
        <v/>
      </c>
      <c r="J89" s="165" t="str">
        <f>IF(A89="","",IF(itens_Remanesc!E89="","",itens_Remanesc!E89))</f>
        <v/>
      </c>
      <c r="K89" s="171" t="str">
        <f t="shared" si="39"/>
        <v/>
      </c>
      <c r="L89" s="163" t="str">
        <f>IF(A89="","",ROUND(SUMIFS(aditivos!$L$2:$L$200,aditivos!$A$2:$A$200,A89,aditivos!$C$2:$C$200,"C2"),2))</f>
        <v/>
      </c>
      <c r="M89" s="159" t="str">
        <f t="shared" si="40"/>
        <v/>
      </c>
      <c r="N89" s="159" t="str">
        <f>IF(A89="","",IF(itens_Remanesc!G89="","",itens_Remanesc!G89))</f>
        <v/>
      </c>
      <c r="O89" s="167" t="str">
        <f t="shared" si="41"/>
        <v/>
      </c>
      <c r="P89" s="169" t="str">
        <f>IF(A89="","",ROUND(SUMIFS(aditivos!$L$2:$L$200,aditivos!$A$2:$A$200,A89,aditivos!$C$2:$C$200,"C3"),2))</f>
        <v/>
      </c>
      <c r="Q89" s="165" t="str">
        <f t="shared" si="42"/>
        <v/>
      </c>
      <c r="R89" s="165" t="str">
        <f>IF(A89="","",IF(itens_Remanesc!I89="","",itens_Remanesc!I89))</f>
        <v/>
      </c>
      <c r="S89" s="171" t="str">
        <f t="shared" si="43"/>
        <v/>
      </c>
      <c r="T89" s="163" t="str">
        <f>IF(A89="","",ROUND(SUMIFS(aditivos!$L$2:$L$200,aditivos!$A$2:$A$200,A89,aditivos!$C$2:$C$200,"C4"),2))</f>
        <v/>
      </c>
      <c r="U89" s="159" t="str">
        <f t="shared" si="44"/>
        <v/>
      </c>
      <c r="V89" s="159" t="str">
        <f>IF(A89="","",IF(itens_Remanesc!K89="","",itens_Remanesc!K89))</f>
        <v/>
      </c>
      <c r="W89" s="159" t="str">
        <f t="shared" si="45"/>
        <v/>
      </c>
      <c r="X89" s="146" t="str">
        <f>IF(A89="","",IF(COUNTIF($A$2:$A$200,A89)&gt;1,"ALERTA: ITEM_DUPLICADO",IF(AND($Z89,ISNUMBER(itens_Remanesc!B89),itens_Remanesc!B89&lt;&gt;0),"NOVO ITEM COM BASE DIFERENTE DE 0 - AJUSTAR itens_Remanesc",IF(AND($Z89,NOT(ISNUMBER(itens_Remanesc!C89))),"NOVO ITEM SEM VU_ORIGINAL - INFORMAR EM itens_Remanesc",IF(MIN(E89,I89,M89,Q89,U89,G89,K89,O89,S89,W89)&lt;0,"ALERTA: POSICAO_NEGATIVA",IF(OR(AND(G89&lt;&gt;"",G89&gt;E89),AND(K89&lt;&gt;"",K89&gt;I89),AND(O89&lt;&gt;"",O89&gt;M89),AND(S89&lt;&gt;"",S89&gt;Q89),AND(W89&lt;&gt;"",W89&gt;U89)),"ALERTA: REMANESCENTE_SUPERA_POSICAO","OK"))))))</f>
        <v/>
      </c>
      <c r="Y89" t="str">
        <f t="shared" si="46"/>
        <v/>
      </c>
      <c r="Z89" t="b">
        <f t="shared" si="47"/>
        <v>0</v>
      </c>
      <c r="AA89" s="208" t="str">
        <f>IF($A89="","",IF(COUNTIFS(aditivos!$A$2:$A$200,$A89,aditivos!$L$2:$L$200,"&lt;&gt;",aditivos!$L$2:$L$200,"&lt;&gt;0",aditivos!$B$2:$B$200,"&gt;0")=0,"",IFERROR(_xlfn.MINIFS(aditivos!$B$2:$B$200,aditivos!$A$2:$A$200,$A89,aditivos!$L$2:$L$200,"&lt;&gt;",aditivos!$L$2:$L$200,"&lt;&gt;0",aditivos!$B$2:$B$200,"&gt;0"),"")))</f>
        <v/>
      </c>
      <c r="AB89" t="str">
        <f>IF($A89="","",IF(OR(parametros!$C$2="",parametros!$I$2=""),0,ROUND(SUMIFS(aditivos!$L$2:$L$200,aditivos!$A$2:$A$200,$A89,aditivos!$C$2:$C$200,"C0",aditivos!$B$2:$B$200,"&gt;="&amp;(INT(parametros!$I$2)+1)),2)))</f>
        <v/>
      </c>
      <c r="AC89" t="str">
        <f>IF($A89="","",IF(OR(parametros!$C$3="",parametros!$I$3=""),0,ROUND(SUMIFS(aditivos!$L$2:$L$200,aditivos!$A$2:$A$200,$A89,aditivos!$C$2:$C$200,"C1",aditivos!$B$2:$B$200,"&gt;="&amp;(INT(parametros!$I$3)+1)),2)))</f>
        <v/>
      </c>
      <c r="AD89" t="str">
        <f>IF($A89="","",IF(OR(parametros!$C$4="",parametros!$I$4=""),0,ROUND(SUMIFS(aditivos!$L$2:$L$200,aditivos!$A$2:$A$200,$A89,aditivos!$C$2:$C$200,"C2",aditivos!$B$2:$B$200,"&gt;="&amp;(INT(parametros!$I$4)+1)),2)))</f>
        <v/>
      </c>
      <c r="AE89" t="str">
        <f>IF($A89="","",IF(OR(parametros!$C$5="",parametros!$I$5=""),0,ROUND(SUMIFS(aditivos!$L$2:$L$200,aditivos!$A$2:$A$200,$A89,aditivos!$C$2:$C$200,"C3",aditivos!$B$2:$B$200,"&gt;="&amp;(INT(parametros!$I$5)+1)),2)))</f>
        <v/>
      </c>
      <c r="AF89" t="str">
        <f>IF($A89="","",IF(OR(parametros!$C$6="",parametros!$I$6=""),0,ROUND(SUMIFS(aditivos!$L$2:$L$200,aditivos!$A$2:$A$200,$A89,aditivos!$C$2:$C$200,"C4",aditivos!$B$2:$B$200,"&gt;="&amp;(INT(parametros!$I$6)+1)),2)))</f>
        <v/>
      </c>
      <c r="AG89" t="str">
        <f t="shared" si="48"/>
        <v/>
      </c>
      <c r="AH89" t="str">
        <f t="shared" si="49"/>
        <v/>
      </c>
      <c r="AI89" t="str">
        <f t="shared" si="50"/>
        <v/>
      </c>
      <c r="AJ89" t="str">
        <f t="shared" si="51"/>
        <v/>
      </c>
      <c r="AK89" t="str">
        <f t="shared" si="52"/>
        <v/>
      </c>
      <c r="AL89" t="str">
        <f t="shared" si="53"/>
        <v/>
      </c>
    </row>
    <row r="90" spans="1:38" x14ac:dyDescent="0.35">
      <c r="A90" s="146" t="str">
        <f>IF(itens_Remanesc!A90="","",itens_Remanesc!A90)</f>
        <v/>
      </c>
      <c r="B90" s="196" t="str">
        <f>IF(A90="","",itens_Remanesc!C90)</f>
        <v/>
      </c>
      <c r="C90" s="161" t="str">
        <f>IF(A90="","",IF(itens_Remanesc!B90="",0,itens_Remanesc!B90))</f>
        <v/>
      </c>
      <c r="D90" s="163" t="str">
        <f>IF(A90="","",ROUND(SUMIFS(aditivos!$L$2:$L$200,aditivos!$A$2:$A$200,A90,aditivos!$C$2:$C$200,"C0"),2))</f>
        <v/>
      </c>
      <c r="E90" s="159" t="str">
        <f t="shared" si="36"/>
        <v/>
      </c>
      <c r="F90" s="159" t="str">
        <f>IF(A90="","",IF(itens_Remanesc!B90&lt;&gt;"",itens_Remanesc!B90,IF($Z90,0,"")))</f>
        <v/>
      </c>
      <c r="G90" s="167" t="str">
        <f t="shared" si="37"/>
        <v/>
      </c>
      <c r="H90" s="169" t="str">
        <f>IF(A90="","",ROUND(SUMIFS(aditivos!$L$2:$L$200,aditivos!$A$2:$A$200,A90,aditivos!$C$2:$C$200,"C1"),2))</f>
        <v/>
      </c>
      <c r="I90" s="165" t="str">
        <f t="shared" si="38"/>
        <v/>
      </c>
      <c r="J90" s="165" t="str">
        <f>IF(A90="","",IF(itens_Remanesc!E90="","",itens_Remanesc!E90))</f>
        <v/>
      </c>
      <c r="K90" s="171" t="str">
        <f t="shared" si="39"/>
        <v/>
      </c>
      <c r="L90" s="163" t="str">
        <f>IF(A90="","",ROUND(SUMIFS(aditivos!$L$2:$L$200,aditivos!$A$2:$A$200,A90,aditivos!$C$2:$C$200,"C2"),2))</f>
        <v/>
      </c>
      <c r="M90" s="159" t="str">
        <f t="shared" si="40"/>
        <v/>
      </c>
      <c r="N90" s="159" t="str">
        <f>IF(A90="","",IF(itens_Remanesc!G90="","",itens_Remanesc!G90))</f>
        <v/>
      </c>
      <c r="O90" s="167" t="str">
        <f t="shared" si="41"/>
        <v/>
      </c>
      <c r="P90" s="169" t="str">
        <f>IF(A90="","",ROUND(SUMIFS(aditivos!$L$2:$L$200,aditivos!$A$2:$A$200,A90,aditivos!$C$2:$C$200,"C3"),2))</f>
        <v/>
      </c>
      <c r="Q90" s="165" t="str">
        <f t="shared" si="42"/>
        <v/>
      </c>
      <c r="R90" s="165" t="str">
        <f>IF(A90="","",IF(itens_Remanesc!I90="","",itens_Remanesc!I90))</f>
        <v/>
      </c>
      <c r="S90" s="171" t="str">
        <f t="shared" si="43"/>
        <v/>
      </c>
      <c r="T90" s="163" t="str">
        <f>IF(A90="","",ROUND(SUMIFS(aditivos!$L$2:$L$200,aditivos!$A$2:$A$200,A90,aditivos!$C$2:$C$200,"C4"),2))</f>
        <v/>
      </c>
      <c r="U90" s="159" t="str">
        <f t="shared" si="44"/>
        <v/>
      </c>
      <c r="V90" s="159" t="str">
        <f>IF(A90="","",IF(itens_Remanesc!K90="","",itens_Remanesc!K90))</f>
        <v/>
      </c>
      <c r="W90" s="159" t="str">
        <f t="shared" si="45"/>
        <v/>
      </c>
      <c r="X90" s="146" t="str">
        <f>IF(A90="","",IF(COUNTIF($A$2:$A$200,A90)&gt;1,"ALERTA: ITEM_DUPLICADO",IF(AND($Z90,ISNUMBER(itens_Remanesc!B90),itens_Remanesc!B90&lt;&gt;0),"NOVO ITEM COM BASE DIFERENTE DE 0 - AJUSTAR itens_Remanesc",IF(AND($Z90,NOT(ISNUMBER(itens_Remanesc!C90))),"NOVO ITEM SEM VU_ORIGINAL - INFORMAR EM itens_Remanesc",IF(MIN(E90,I90,M90,Q90,U90,G90,K90,O90,S90,W90)&lt;0,"ALERTA: POSICAO_NEGATIVA",IF(OR(AND(G90&lt;&gt;"",G90&gt;E90),AND(K90&lt;&gt;"",K90&gt;I90),AND(O90&lt;&gt;"",O90&gt;M90),AND(S90&lt;&gt;"",S90&gt;Q90),AND(W90&lt;&gt;"",W90&gt;U90)),"ALERTA: REMANESCENTE_SUPERA_POSICAO","OK"))))))</f>
        <v/>
      </c>
      <c r="Y90" t="str">
        <f t="shared" si="46"/>
        <v/>
      </c>
      <c r="Z90" t="b">
        <f t="shared" si="47"/>
        <v>0</v>
      </c>
      <c r="AA90" s="208" t="str">
        <f>IF($A90="","",IF(COUNTIFS(aditivos!$A$2:$A$200,$A90,aditivos!$L$2:$L$200,"&lt;&gt;",aditivos!$L$2:$L$200,"&lt;&gt;0",aditivos!$B$2:$B$200,"&gt;0")=0,"",IFERROR(_xlfn.MINIFS(aditivos!$B$2:$B$200,aditivos!$A$2:$A$200,$A90,aditivos!$L$2:$L$200,"&lt;&gt;",aditivos!$L$2:$L$200,"&lt;&gt;0",aditivos!$B$2:$B$200,"&gt;0"),"")))</f>
        <v/>
      </c>
      <c r="AB90" t="str">
        <f>IF($A90="","",IF(OR(parametros!$C$2="",parametros!$I$2=""),0,ROUND(SUMIFS(aditivos!$L$2:$L$200,aditivos!$A$2:$A$200,$A90,aditivos!$C$2:$C$200,"C0",aditivos!$B$2:$B$200,"&gt;="&amp;(INT(parametros!$I$2)+1)),2)))</f>
        <v/>
      </c>
      <c r="AC90" t="str">
        <f>IF($A90="","",IF(OR(parametros!$C$3="",parametros!$I$3=""),0,ROUND(SUMIFS(aditivos!$L$2:$L$200,aditivos!$A$2:$A$200,$A90,aditivos!$C$2:$C$200,"C1",aditivos!$B$2:$B$200,"&gt;="&amp;(INT(parametros!$I$3)+1)),2)))</f>
        <v/>
      </c>
      <c r="AD90" t="str">
        <f>IF($A90="","",IF(OR(parametros!$C$4="",parametros!$I$4=""),0,ROUND(SUMIFS(aditivos!$L$2:$L$200,aditivos!$A$2:$A$200,$A90,aditivos!$C$2:$C$200,"C2",aditivos!$B$2:$B$200,"&gt;="&amp;(INT(parametros!$I$4)+1)),2)))</f>
        <v/>
      </c>
      <c r="AE90" t="str">
        <f>IF($A90="","",IF(OR(parametros!$C$5="",parametros!$I$5=""),0,ROUND(SUMIFS(aditivos!$L$2:$L$200,aditivos!$A$2:$A$200,$A90,aditivos!$C$2:$C$200,"C3",aditivos!$B$2:$B$200,"&gt;="&amp;(INT(parametros!$I$5)+1)),2)))</f>
        <v/>
      </c>
      <c r="AF90" t="str">
        <f>IF($A90="","",IF(OR(parametros!$C$6="",parametros!$I$6=""),0,ROUND(SUMIFS(aditivos!$L$2:$L$200,aditivos!$A$2:$A$200,$A90,aditivos!$C$2:$C$200,"C4",aditivos!$B$2:$B$200,"&gt;="&amp;(INT(parametros!$I$6)+1)),2)))</f>
        <v/>
      </c>
      <c r="AG90" t="str">
        <f t="shared" si="48"/>
        <v/>
      </c>
      <c r="AH90" t="str">
        <f t="shared" si="49"/>
        <v/>
      </c>
      <c r="AI90" t="str">
        <f t="shared" si="50"/>
        <v/>
      </c>
      <c r="AJ90" t="str">
        <f t="shared" si="51"/>
        <v/>
      </c>
      <c r="AK90" t="str">
        <f t="shared" si="52"/>
        <v/>
      </c>
      <c r="AL90" t="str">
        <f t="shared" si="53"/>
        <v/>
      </c>
    </row>
    <row r="91" spans="1:38" x14ac:dyDescent="0.35">
      <c r="A91" s="146" t="str">
        <f>IF(itens_Remanesc!A91="","",itens_Remanesc!A91)</f>
        <v/>
      </c>
      <c r="B91" s="196" t="str">
        <f>IF(A91="","",itens_Remanesc!C91)</f>
        <v/>
      </c>
      <c r="C91" s="161" t="str">
        <f>IF(A91="","",IF(itens_Remanesc!B91="",0,itens_Remanesc!B91))</f>
        <v/>
      </c>
      <c r="D91" s="163" t="str">
        <f>IF(A91="","",ROUND(SUMIFS(aditivos!$L$2:$L$200,aditivos!$A$2:$A$200,A91,aditivos!$C$2:$C$200,"C0"),2))</f>
        <v/>
      </c>
      <c r="E91" s="159" t="str">
        <f t="shared" si="36"/>
        <v/>
      </c>
      <c r="F91" s="159" t="str">
        <f>IF(A91="","",IF(itens_Remanesc!B91&lt;&gt;"",itens_Remanesc!B91,IF($Z91,0,"")))</f>
        <v/>
      </c>
      <c r="G91" s="167" t="str">
        <f t="shared" si="37"/>
        <v/>
      </c>
      <c r="H91" s="169" t="str">
        <f>IF(A91="","",ROUND(SUMIFS(aditivos!$L$2:$L$200,aditivos!$A$2:$A$200,A91,aditivos!$C$2:$C$200,"C1"),2))</f>
        <v/>
      </c>
      <c r="I91" s="165" t="str">
        <f t="shared" si="38"/>
        <v/>
      </c>
      <c r="J91" s="165" t="str">
        <f>IF(A91="","",IF(itens_Remanesc!E91="","",itens_Remanesc!E91))</f>
        <v/>
      </c>
      <c r="K91" s="171" t="str">
        <f t="shared" si="39"/>
        <v/>
      </c>
      <c r="L91" s="163" t="str">
        <f>IF(A91="","",ROUND(SUMIFS(aditivos!$L$2:$L$200,aditivos!$A$2:$A$200,A91,aditivos!$C$2:$C$200,"C2"),2))</f>
        <v/>
      </c>
      <c r="M91" s="159" t="str">
        <f t="shared" si="40"/>
        <v/>
      </c>
      <c r="N91" s="159" t="str">
        <f>IF(A91="","",IF(itens_Remanesc!G91="","",itens_Remanesc!G91))</f>
        <v/>
      </c>
      <c r="O91" s="167" t="str">
        <f t="shared" si="41"/>
        <v/>
      </c>
      <c r="P91" s="169" t="str">
        <f>IF(A91="","",ROUND(SUMIFS(aditivos!$L$2:$L$200,aditivos!$A$2:$A$200,A91,aditivos!$C$2:$C$200,"C3"),2))</f>
        <v/>
      </c>
      <c r="Q91" s="165" t="str">
        <f t="shared" si="42"/>
        <v/>
      </c>
      <c r="R91" s="165" t="str">
        <f>IF(A91="","",IF(itens_Remanesc!I91="","",itens_Remanesc!I91))</f>
        <v/>
      </c>
      <c r="S91" s="171" t="str">
        <f t="shared" si="43"/>
        <v/>
      </c>
      <c r="T91" s="163" t="str">
        <f>IF(A91="","",ROUND(SUMIFS(aditivos!$L$2:$L$200,aditivos!$A$2:$A$200,A91,aditivos!$C$2:$C$200,"C4"),2))</f>
        <v/>
      </c>
      <c r="U91" s="159" t="str">
        <f t="shared" si="44"/>
        <v/>
      </c>
      <c r="V91" s="159" t="str">
        <f>IF(A91="","",IF(itens_Remanesc!K91="","",itens_Remanesc!K91))</f>
        <v/>
      </c>
      <c r="W91" s="159" t="str">
        <f t="shared" si="45"/>
        <v/>
      </c>
      <c r="X91" s="146" t="str">
        <f>IF(A91="","",IF(COUNTIF($A$2:$A$200,A91)&gt;1,"ALERTA: ITEM_DUPLICADO",IF(AND($Z91,ISNUMBER(itens_Remanesc!B91),itens_Remanesc!B91&lt;&gt;0),"NOVO ITEM COM BASE DIFERENTE DE 0 - AJUSTAR itens_Remanesc",IF(AND($Z91,NOT(ISNUMBER(itens_Remanesc!C91))),"NOVO ITEM SEM VU_ORIGINAL - INFORMAR EM itens_Remanesc",IF(MIN(E91,I91,M91,Q91,U91,G91,K91,O91,S91,W91)&lt;0,"ALERTA: POSICAO_NEGATIVA",IF(OR(AND(G91&lt;&gt;"",G91&gt;E91),AND(K91&lt;&gt;"",K91&gt;I91),AND(O91&lt;&gt;"",O91&gt;M91),AND(S91&lt;&gt;"",S91&gt;Q91),AND(W91&lt;&gt;"",W91&gt;U91)),"ALERTA: REMANESCENTE_SUPERA_POSICAO","OK"))))))</f>
        <v/>
      </c>
      <c r="Y91" t="str">
        <f t="shared" si="46"/>
        <v/>
      </c>
      <c r="Z91" t="b">
        <f t="shared" si="47"/>
        <v>0</v>
      </c>
      <c r="AA91" s="208" t="str">
        <f>IF($A91="","",IF(COUNTIFS(aditivos!$A$2:$A$200,$A91,aditivos!$L$2:$L$200,"&lt;&gt;",aditivos!$L$2:$L$200,"&lt;&gt;0",aditivos!$B$2:$B$200,"&gt;0")=0,"",IFERROR(_xlfn.MINIFS(aditivos!$B$2:$B$200,aditivos!$A$2:$A$200,$A91,aditivos!$L$2:$L$200,"&lt;&gt;",aditivos!$L$2:$L$200,"&lt;&gt;0",aditivos!$B$2:$B$200,"&gt;0"),"")))</f>
        <v/>
      </c>
      <c r="AB91" t="str">
        <f>IF($A91="","",IF(OR(parametros!$C$2="",parametros!$I$2=""),0,ROUND(SUMIFS(aditivos!$L$2:$L$200,aditivos!$A$2:$A$200,$A91,aditivos!$C$2:$C$200,"C0",aditivos!$B$2:$B$200,"&gt;="&amp;(INT(parametros!$I$2)+1)),2)))</f>
        <v/>
      </c>
      <c r="AC91" t="str">
        <f>IF($A91="","",IF(OR(parametros!$C$3="",parametros!$I$3=""),0,ROUND(SUMIFS(aditivos!$L$2:$L$200,aditivos!$A$2:$A$200,$A91,aditivos!$C$2:$C$200,"C1",aditivos!$B$2:$B$200,"&gt;="&amp;(INT(parametros!$I$3)+1)),2)))</f>
        <v/>
      </c>
      <c r="AD91" t="str">
        <f>IF($A91="","",IF(OR(parametros!$C$4="",parametros!$I$4=""),0,ROUND(SUMIFS(aditivos!$L$2:$L$200,aditivos!$A$2:$A$200,$A91,aditivos!$C$2:$C$200,"C2",aditivos!$B$2:$B$200,"&gt;="&amp;(INT(parametros!$I$4)+1)),2)))</f>
        <v/>
      </c>
      <c r="AE91" t="str">
        <f>IF($A91="","",IF(OR(parametros!$C$5="",parametros!$I$5=""),0,ROUND(SUMIFS(aditivos!$L$2:$L$200,aditivos!$A$2:$A$200,$A91,aditivos!$C$2:$C$200,"C3",aditivos!$B$2:$B$200,"&gt;="&amp;(INT(parametros!$I$5)+1)),2)))</f>
        <v/>
      </c>
      <c r="AF91" t="str">
        <f>IF($A91="","",IF(OR(parametros!$C$6="",parametros!$I$6=""),0,ROUND(SUMIFS(aditivos!$L$2:$L$200,aditivos!$A$2:$A$200,$A91,aditivos!$C$2:$C$200,"C4",aditivos!$B$2:$B$200,"&gt;="&amp;(INT(parametros!$I$6)+1)),2)))</f>
        <v/>
      </c>
      <c r="AG91" t="str">
        <f t="shared" si="48"/>
        <v/>
      </c>
      <c r="AH91" t="str">
        <f t="shared" si="49"/>
        <v/>
      </c>
      <c r="AI91" t="str">
        <f t="shared" si="50"/>
        <v/>
      </c>
      <c r="AJ91" t="str">
        <f t="shared" si="51"/>
        <v/>
      </c>
      <c r="AK91" t="str">
        <f t="shared" si="52"/>
        <v/>
      </c>
      <c r="AL91" t="str">
        <f t="shared" si="53"/>
        <v/>
      </c>
    </row>
    <row r="92" spans="1:38" x14ac:dyDescent="0.35">
      <c r="A92" s="146" t="str">
        <f>IF(itens_Remanesc!A92="","",itens_Remanesc!A92)</f>
        <v/>
      </c>
      <c r="B92" s="196" t="str">
        <f>IF(A92="","",itens_Remanesc!C92)</f>
        <v/>
      </c>
      <c r="C92" s="161" t="str">
        <f>IF(A92="","",IF(itens_Remanesc!B92="",0,itens_Remanesc!B92))</f>
        <v/>
      </c>
      <c r="D92" s="163" t="str">
        <f>IF(A92="","",ROUND(SUMIFS(aditivos!$L$2:$L$200,aditivos!$A$2:$A$200,A92,aditivos!$C$2:$C$200,"C0"),2))</f>
        <v/>
      </c>
      <c r="E92" s="159" t="str">
        <f t="shared" si="36"/>
        <v/>
      </c>
      <c r="F92" s="159" t="str">
        <f>IF(A92="","",IF(itens_Remanesc!B92&lt;&gt;"",itens_Remanesc!B92,IF($Z92,0,"")))</f>
        <v/>
      </c>
      <c r="G92" s="167" t="str">
        <f t="shared" si="37"/>
        <v/>
      </c>
      <c r="H92" s="169" t="str">
        <f>IF(A92="","",ROUND(SUMIFS(aditivos!$L$2:$L$200,aditivos!$A$2:$A$200,A92,aditivos!$C$2:$C$200,"C1"),2))</f>
        <v/>
      </c>
      <c r="I92" s="165" t="str">
        <f t="shared" si="38"/>
        <v/>
      </c>
      <c r="J92" s="165" t="str">
        <f>IF(A92="","",IF(itens_Remanesc!E92="","",itens_Remanesc!E92))</f>
        <v/>
      </c>
      <c r="K92" s="171" t="str">
        <f t="shared" si="39"/>
        <v/>
      </c>
      <c r="L92" s="163" t="str">
        <f>IF(A92="","",ROUND(SUMIFS(aditivos!$L$2:$L$200,aditivos!$A$2:$A$200,A92,aditivos!$C$2:$C$200,"C2"),2))</f>
        <v/>
      </c>
      <c r="M92" s="159" t="str">
        <f t="shared" si="40"/>
        <v/>
      </c>
      <c r="N92" s="159" t="str">
        <f>IF(A92="","",IF(itens_Remanesc!G92="","",itens_Remanesc!G92))</f>
        <v/>
      </c>
      <c r="O92" s="167" t="str">
        <f t="shared" si="41"/>
        <v/>
      </c>
      <c r="P92" s="169" t="str">
        <f>IF(A92="","",ROUND(SUMIFS(aditivos!$L$2:$L$200,aditivos!$A$2:$A$200,A92,aditivos!$C$2:$C$200,"C3"),2))</f>
        <v/>
      </c>
      <c r="Q92" s="165" t="str">
        <f t="shared" si="42"/>
        <v/>
      </c>
      <c r="R92" s="165" t="str">
        <f>IF(A92="","",IF(itens_Remanesc!I92="","",itens_Remanesc!I92))</f>
        <v/>
      </c>
      <c r="S92" s="171" t="str">
        <f t="shared" si="43"/>
        <v/>
      </c>
      <c r="T92" s="163" t="str">
        <f>IF(A92="","",ROUND(SUMIFS(aditivos!$L$2:$L$200,aditivos!$A$2:$A$200,A92,aditivos!$C$2:$C$200,"C4"),2))</f>
        <v/>
      </c>
      <c r="U92" s="159" t="str">
        <f t="shared" si="44"/>
        <v/>
      </c>
      <c r="V92" s="159" t="str">
        <f>IF(A92="","",IF(itens_Remanesc!K92="","",itens_Remanesc!K92))</f>
        <v/>
      </c>
      <c r="W92" s="159" t="str">
        <f t="shared" si="45"/>
        <v/>
      </c>
      <c r="X92" s="146" t="str">
        <f>IF(A92="","",IF(COUNTIF($A$2:$A$200,A92)&gt;1,"ALERTA: ITEM_DUPLICADO",IF(AND($Z92,ISNUMBER(itens_Remanesc!B92),itens_Remanesc!B92&lt;&gt;0),"NOVO ITEM COM BASE DIFERENTE DE 0 - AJUSTAR itens_Remanesc",IF(AND($Z92,NOT(ISNUMBER(itens_Remanesc!C92))),"NOVO ITEM SEM VU_ORIGINAL - INFORMAR EM itens_Remanesc",IF(MIN(E92,I92,M92,Q92,U92,G92,K92,O92,S92,W92)&lt;0,"ALERTA: POSICAO_NEGATIVA",IF(OR(AND(G92&lt;&gt;"",G92&gt;E92),AND(K92&lt;&gt;"",K92&gt;I92),AND(O92&lt;&gt;"",O92&gt;M92),AND(S92&lt;&gt;"",S92&gt;Q92),AND(W92&lt;&gt;"",W92&gt;U92)),"ALERTA: REMANESCENTE_SUPERA_POSICAO","OK"))))))</f>
        <v/>
      </c>
      <c r="Y92" t="str">
        <f t="shared" si="46"/>
        <v/>
      </c>
      <c r="Z92" t="b">
        <f t="shared" si="47"/>
        <v>0</v>
      </c>
      <c r="AA92" s="208" t="str">
        <f>IF($A92="","",IF(COUNTIFS(aditivos!$A$2:$A$200,$A92,aditivos!$L$2:$L$200,"&lt;&gt;",aditivos!$L$2:$L$200,"&lt;&gt;0",aditivos!$B$2:$B$200,"&gt;0")=0,"",IFERROR(_xlfn.MINIFS(aditivos!$B$2:$B$200,aditivos!$A$2:$A$200,$A92,aditivos!$L$2:$L$200,"&lt;&gt;",aditivos!$L$2:$L$200,"&lt;&gt;0",aditivos!$B$2:$B$200,"&gt;0"),"")))</f>
        <v/>
      </c>
      <c r="AB92" t="str">
        <f>IF($A92="","",IF(OR(parametros!$C$2="",parametros!$I$2=""),0,ROUND(SUMIFS(aditivos!$L$2:$L$200,aditivos!$A$2:$A$200,$A92,aditivos!$C$2:$C$200,"C0",aditivos!$B$2:$B$200,"&gt;="&amp;(INT(parametros!$I$2)+1)),2)))</f>
        <v/>
      </c>
      <c r="AC92" t="str">
        <f>IF($A92="","",IF(OR(parametros!$C$3="",parametros!$I$3=""),0,ROUND(SUMIFS(aditivos!$L$2:$L$200,aditivos!$A$2:$A$200,$A92,aditivos!$C$2:$C$200,"C1",aditivos!$B$2:$B$200,"&gt;="&amp;(INT(parametros!$I$3)+1)),2)))</f>
        <v/>
      </c>
      <c r="AD92" t="str">
        <f>IF($A92="","",IF(OR(parametros!$C$4="",parametros!$I$4=""),0,ROUND(SUMIFS(aditivos!$L$2:$L$200,aditivos!$A$2:$A$200,$A92,aditivos!$C$2:$C$200,"C2",aditivos!$B$2:$B$200,"&gt;="&amp;(INT(parametros!$I$4)+1)),2)))</f>
        <v/>
      </c>
      <c r="AE92" t="str">
        <f>IF($A92="","",IF(OR(parametros!$C$5="",parametros!$I$5=""),0,ROUND(SUMIFS(aditivos!$L$2:$L$200,aditivos!$A$2:$A$200,$A92,aditivos!$C$2:$C$200,"C3",aditivos!$B$2:$B$200,"&gt;="&amp;(INT(parametros!$I$5)+1)),2)))</f>
        <v/>
      </c>
      <c r="AF92" t="str">
        <f>IF($A92="","",IF(OR(parametros!$C$6="",parametros!$I$6=""),0,ROUND(SUMIFS(aditivos!$L$2:$L$200,aditivos!$A$2:$A$200,$A92,aditivos!$C$2:$C$200,"C4",aditivos!$B$2:$B$200,"&gt;="&amp;(INT(parametros!$I$6)+1)),2)))</f>
        <v/>
      </c>
      <c r="AG92" t="str">
        <f t="shared" si="48"/>
        <v/>
      </c>
      <c r="AH92" t="str">
        <f t="shared" si="49"/>
        <v/>
      </c>
      <c r="AI92" t="str">
        <f t="shared" si="50"/>
        <v/>
      </c>
      <c r="AJ92" t="str">
        <f t="shared" si="51"/>
        <v/>
      </c>
      <c r="AK92" t="str">
        <f t="shared" si="52"/>
        <v/>
      </c>
      <c r="AL92" t="str">
        <f t="shared" si="53"/>
        <v/>
      </c>
    </row>
    <row r="93" spans="1:38" x14ac:dyDescent="0.35">
      <c r="A93" s="146" t="str">
        <f>IF(itens_Remanesc!A93="","",itens_Remanesc!A93)</f>
        <v/>
      </c>
      <c r="B93" s="196" t="str">
        <f>IF(A93="","",itens_Remanesc!C93)</f>
        <v/>
      </c>
      <c r="C93" s="161" t="str">
        <f>IF(A93="","",IF(itens_Remanesc!B93="",0,itens_Remanesc!B93))</f>
        <v/>
      </c>
      <c r="D93" s="163" t="str">
        <f>IF(A93="","",ROUND(SUMIFS(aditivos!$L$2:$L$200,aditivos!$A$2:$A$200,A93,aditivos!$C$2:$C$200,"C0"),2))</f>
        <v/>
      </c>
      <c r="E93" s="159" t="str">
        <f t="shared" si="36"/>
        <v/>
      </c>
      <c r="F93" s="159" t="str">
        <f>IF(A93="","",IF(itens_Remanesc!B93&lt;&gt;"",itens_Remanesc!B93,IF($Z93,0,"")))</f>
        <v/>
      </c>
      <c r="G93" s="167" t="str">
        <f t="shared" si="37"/>
        <v/>
      </c>
      <c r="H93" s="169" t="str">
        <f>IF(A93="","",ROUND(SUMIFS(aditivos!$L$2:$L$200,aditivos!$A$2:$A$200,A93,aditivos!$C$2:$C$200,"C1"),2))</f>
        <v/>
      </c>
      <c r="I93" s="165" t="str">
        <f t="shared" si="38"/>
        <v/>
      </c>
      <c r="J93" s="165" t="str">
        <f>IF(A93="","",IF(itens_Remanesc!E93="","",itens_Remanesc!E93))</f>
        <v/>
      </c>
      <c r="K93" s="171" t="str">
        <f t="shared" si="39"/>
        <v/>
      </c>
      <c r="L93" s="163" t="str">
        <f>IF(A93="","",ROUND(SUMIFS(aditivos!$L$2:$L$200,aditivos!$A$2:$A$200,A93,aditivos!$C$2:$C$200,"C2"),2))</f>
        <v/>
      </c>
      <c r="M93" s="159" t="str">
        <f t="shared" si="40"/>
        <v/>
      </c>
      <c r="N93" s="159" t="str">
        <f>IF(A93="","",IF(itens_Remanesc!G93="","",itens_Remanesc!G93))</f>
        <v/>
      </c>
      <c r="O93" s="167" t="str">
        <f t="shared" si="41"/>
        <v/>
      </c>
      <c r="P93" s="169" t="str">
        <f>IF(A93="","",ROUND(SUMIFS(aditivos!$L$2:$L$200,aditivos!$A$2:$A$200,A93,aditivos!$C$2:$C$200,"C3"),2))</f>
        <v/>
      </c>
      <c r="Q93" s="165" t="str">
        <f t="shared" si="42"/>
        <v/>
      </c>
      <c r="R93" s="165" t="str">
        <f>IF(A93="","",IF(itens_Remanesc!I93="","",itens_Remanesc!I93))</f>
        <v/>
      </c>
      <c r="S93" s="171" t="str">
        <f t="shared" si="43"/>
        <v/>
      </c>
      <c r="T93" s="163" t="str">
        <f>IF(A93="","",ROUND(SUMIFS(aditivos!$L$2:$L$200,aditivos!$A$2:$A$200,A93,aditivos!$C$2:$C$200,"C4"),2))</f>
        <v/>
      </c>
      <c r="U93" s="159" t="str">
        <f t="shared" si="44"/>
        <v/>
      </c>
      <c r="V93" s="159" t="str">
        <f>IF(A93="","",IF(itens_Remanesc!K93="","",itens_Remanesc!K93))</f>
        <v/>
      </c>
      <c r="W93" s="159" t="str">
        <f t="shared" si="45"/>
        <v/>
      </c>
      <c r="X93" s="146" t="str">
        <f>IF(A93="","",IF(COUNTIF($A$2:$A$200,A93)&gt;1,"ALERTA: ITEM_DUPLICADO",IF(AND($Z93,ISNUMBER(itens_Remanesc!B93),itens_Remanesc!B93&lt;&gt;0),"NOVO ITEM COM BASE DIFERENTE DE 0 - AJUSTAR itens_Remanesc",IF(AND($Z93,NOT(ISNUMBER(itens_Remanesc!C93))),"NOVO ITEM SEM VU_ORIGINAL - INFORMAR EM itens_Remanesc",IF(MIN(E93,I93,M93,Q93,U93,G93,K93,O93,S93,W93)&lt;0,"ALERTA: POSICAO_NEGATIVA",IF(OR(AND(G93&lt;&gt;"",G93&gt;E93),AND(K93&lt;&gt;"",K93&gt;I93),AND(O93&lt;&gt;"",O93&gt;M93),AND(S93&lt;&gt;"",S93&gt;Q93),AND(W93&lt;&gt;"",W93&gt;U93)),"ALERTA: REMANESCENTE_SUPERA_POSICAO","OK"))))))</f>
        <v/>
      </c>
      <c r="Y93" t="str">
        <f t="shared" si="46"/>
        <v/>
      </c>
      <c r="Z93" t="b">
        <f t="shared" si="47"/>
        <v>0</v>
      </c>
      <c r="AA93" s="208" t="str">
        <f>IF($A93="","",IF(COUNTIFS(aditivos!$A$2:$A$200,$A93,aditivos!$L$2:$L$200,"&lt;&gt;",aditivos!$L$2:$L$200,"&lt;&gt;0",aditivos!$B$2:$B$200,"&gt;0")=0,"",IFERROR(_xlfn.MINIFS(aditivos!$B$2:$B$200,aditivos!$A$2:$A$200,$A93,aditivos!$L$2:$L$200,"&lt;&gt;",aditivos!$L$2:$L$200,"&lt;&gt;0",aditivos!$B$2:$B$200,"&gt;0"),"")))</f>
        <v/>
      </c>
      <c r="AB93" t="str">
        <f>IF($A93="","",IF(OR(parametros!$C$2="",parametros!$I$2=""),0,ROUND(SUMIFS(aditivos!$L$2:$L$200,aditivos!$A$2:$A$200,$A93,aditivos!$C$2:$C$200,"C0",aditivos!$B$2:$B$200,"&gt;="&amp;(INT(parametros!$I$2)+1)),2)))</f>
        <v/>
      </c>
      <c r="AC93" t="str">
        <f>IF($A93="","",IF(OR(parametros!$C$3="",parametros!$I$3=""),0,ROUND(SUMIFS(aditivos!$L$2:$L$200,aditivos!$A$2:$A$200,$A93,aditivos!$C$2:$C$200,"C1",aditivos!$B$2:$B$200,"&gt;="&amp;(INT(parametros!$I$3)+1)),2)))</f>
        <v/>
      </c>
      <c r="AD93" t="str">
        <f>IF($A93="","",IF(OR(parametros!$C$4="",parametros!$I$4=""),0,ROUND(SUMIFS(aditivos!$L$2:$L$200,aditivos!$A$2:$A$200,$A93,aditivos!$C$2:$C$200,"C2",aditivos!$B$2:$B$200,"&gt;="&amp;(INT(parametros!$I$4)+1)),2)))</f>
        <v/>
      </c>
      <c r="AE93" t="str">
        <f>IF($A93="","",IF(OR(parametros!$C$5="",parametros!$I$5=""),0,ROUND(SUMIFS(aditivos!$L$2:$L$200,aditivos!$A$2:$A$200,$A93,aditivos!$C$2:$C$200,"C3",aditivos!$B$2:$B$200,"&gt;="&amp;(INT(parametros!$I$5)+1)),2)))</f>
        <v/>
      </c>
      <c r="AF93" t="str">
        <f>IF($A93="","",IF(OR(parametros!$C$6="",parametros!$I$6=""),0,ROUND(SUMIFS(aditivos!$L$2:$L$200,aditivos!$A$2:$A$200,$A93,aditivos!$C$2:$C$200,"C4",aditivos!$B$2:$B$200,"&gt;="&amp;(INT(parametros!$I$6)+1)),2)))</f>
        <v/>
      </c>
      <c r="AG93" t="str">
        <f t="shared" si="48"/>
        <v/>
      </c>
      <c r="AH93" t="str">
        <f t="shared" si="49"/>
        <v/>
      </c>
      <c r="AI93" t="str">
        <f t="shared" si="50"/>
        <v/>
      </c>
      <c r="AJ93" t="str">
        <f t="shared" si="51"/>
        <v/>
      </c>
      <c r="AK93" t="str">
        <f t="shared" si="52"/>
        <v/>
      </c>
      <c r="AL93" t="str">
        <f t="shared" si="53"/>
        <v/>
      </c>
    </row>
    <row r="94" spans="1:38" x14ac:dyDescent="0.35">
      <c r="A94" s="146" t="str">
        <f>IF(itens_Remanesc!A94="","",itens_Remanesc!A94)</f>
        <v/>
      </c>
      <c r="B94" s="196" t="str">
        <f>IF(A94="","",itens_Remanesc!C94)</f>
        <v/>
      </c>
      <c r="C94" s="161" t="str">
        <f>IF(A94="","",IF(itens_Remanesc!B94="",0,itens_Remanesc!B94))</f>
        <v/>
      </c>
      <c r="D94" s="163" t="str">
        <f>IF(A94="","",ROUND(SUMIFS(aditivos!$L$2:$L$200,aditivos!$A$2:$A$200,A94,aditivos!$C$2:$C$200,"C0"),2))</f>
        <v/>
      </c>
      <c r="E94" s="159" t="str">
        <f t="shared" si="36"/>
        <v/>
      </c>
      <c r="F94" s="159" t="str">
        <f>IF(A94="","",IF(itens_Remanesc!B94&lt;&gt;"",itens_Remanesc!B94,IF($Z94,0,"")))</f>
        <v/>
      </c>
      <c r="G94" s="167" t="str">
        <f t="shared" si="37"/>
        <v/>
      </c>
      <c r="H94" s="169" t="str">
        <f>IF(A94="","",ROUND(SUMIFS(aditivos!$L$2:$L$200,aditivos!$A$2:$A$200,A94,aditivos!$C$2:$C$200,"C1"),2))</f>
        <v/>
      </c>
      <c r="I94" s="165" t="str">
        <f t="shared" si="38"/>
        <v/>
      </c>
      <c r="J94" s="165" t="str">
        <f>IF(A94="","",IF(itens_Remanesc!E94="","",itens_Remanesc!E94))</f>
        <v/>
      </c>
      <c r="K94" s="171" t="str">
        <f t="shared" si="39"/>
        <v/>
      </c>
      <c r="L94" s="163" t="str">
        <f>IF(A94="","",ROUND(SUMIFS(aditivos!$L$2:$L$200,aditivos!$A$2:$A$200,A94,aditivos!$C$2:$C$200,"C2"),2))</f>
        <v/>
      </c>
      <c r="M94" s="159" t="str">
        <f t="shared" si="40"/>
        <v/>
      </c>
      <c r="N94" s="159" t="str">
        <f>IF(A94="","",IF(itens_Remanesc!G94="","",itens_Remanesc!G94))</f>
        <v/>
      </c>
      <c r="O94" s="167" t="str">
        <f t="shared" si="41"/>
        <v/>
      </c>
      <c r="P94" s="169" t="str">
        <f>IF(A94="","",ROUND(SUMIFS(aditivos!$L$2:$L$200,aditivos!$A$2:$A$200,A94,aditivos!$C$2:$C$200,"C3"),2))</f>
        <v/>
      </c>
      <c r="Q94" s="165" t="str">
        <f t="shared" si="42"/>
        <v/>
      </c>
      <c r="R94" s="165" t="str">
        <f>IF(A94="","",IF(itens_Remanesc!I94="","",itens_Remanesc!I94))</f>
        <v/>
      </c>
      <c r="S94" s="171" t="str">
        <f t="shared" si="43"/>
        <v/>
      </c>
      <c r="T94" s="163" t="str">
        <f>IF(A94="","",ROUND(SUMIFS(aditivos!$L$2:$L$200,aditivos!$A$2:$A$200,A94,aditivos!$C$2:$C$200,"C4"),2))</f>
        <v/>
      </c>
      <c r="U94" s="159" t="str">
        <f t="shared" si="44"/>
        <v/>
      </c>
      <c r="V94" s="159" t="str">
        <f>IF(A94="","",IF(itens_Remanesc!K94="","",itens_Remanesc!K94))</f>
        <v/>
      </c>
      <c r="W94" s="159" t="str">
        <f t="shared" si="45"/>
        <v/>
      </c>
      <c r="X94" s="146" t="str">
        <f>IF(A94="","",IF(COUNTIF($A$2:$A$200,A94)&gt;1,"ALERTA: ITEM_DUPLICADO",IF(AND($Z94,ISNUMBER(itens_Remanesc!B94),itens_Remanesc!B94&lt;&gt;0),"NOVO ITEM COM BASE DIFERENTE DE 0 - AJUSTAR itens_Remanesc",IF(AND($Z94,NOT(ISNUMBER(itens_Remanesc!C94))),"NOVO ITEM SEM VU_ORIGINAL - INFORMAR EM itens_Remanesc",IF(MIN(E94,I94,M94,Q94,U94,G94,K94,O94,S94,W94)&lt;0,"ALERTA: POSICAO_NEGATIVA",IF(OR(AND(G94&lt;&gt;"",G94&gt;E94),AND(K94&lt;&gt;"",K94&gt;I94),AND(O94&lt;&gt;"",O94&gt;M94),AND(S94&lt;&gt;"",S94&gt;Q94),AND(W94&lt;&gt;"",W94&gt;U94)),"ALERTA: REMANESCENTE_SUPERA_POSICAO","OK"))))))</f>
        <v/>
      </c>
      <c r="Y94" t="str">
        <f t="shared" si="46"/>
        <v/>
      </c>
      <c r="Z94" t="b">
        <f t="shared" si="47"/>
        <v>0</v>
      </c>
      <c r="AA94" s="208" t="str">
        <f>IF($A94="","",IF(COUNTIFS(aditivos!$A$2:$A$200,$A94,aditivos!$L$2:$L$200,"&lt;&gt;",aditivos!$L$2:$L$200,"&lt;&gt;0",aditivos!$B$2:$B$200,"&gt;0")=0,"",IFERROR(_xlfn.MINIFS(aditivos!$B$2:$B$200,aditivos!$A$2:$A$200,$A94,aditivos!$L$2:$L$200,"&lt;&gt;",aditivos!$L$2:$L$200,"&lt;&gt;0",aditivos!$B$2:$B$200,"&gt;0"),"")))</f>
        <v/>
      </c>
      <c r="AB94" t="str">
        <f>IF($A94="","",IF(OR(parametros!$C$2="",parametros!$I$2=""),0,ROUND(SUMIFS(aditivos!$L$2:$L$200,aditivos!$A$2:$A$200,$A94,aditivos!$C$2:$C$200,"C0",aditivos!$B$2:$B$200,"&gt;="&amp;(INT(parametros!$I$2)+1)),2)))</f>
        <v/>
      </c>
      <c r="AC94" t="str">
        <f>IF($A94="","",IF(OR(parametros!$C$3="",parametros!$I$3=""),0,ROUND(SUMIFS(aditivos!$L$2:$L$200,aditivos!$A$2:$A$200,$A94,aditivos!$C$2:$C$200,"C1",aditivos!$B$2:$B$200,"&gt;="&amp;(INT(parametros!$I$3)+1)),2)))</f>
        <v/>
      </c>
      <c r="AD94" t="str">
        <f>IF($A94="","",IF(OR(parametros!$C$4="",parametros!$I$4=""),0,ROUND(SUMIFS(aditivos!$L$2:$L$200,aditivos!$A$2:$A$200,$A94,aditivos!$C$2:$C$200,"C2",aditivos!$B$2:$B$200,"&gt;="&amp;(INT(parametros!$I$4)+1)),2)))</f>
        <v/>
      </c>
      <c r="AE94" t="str">
        <f>IF($A94="","",IF(OR(parametros!$C$5="",parametros!$I$5=""),0,ROUND(SUMIFS(aditivos!$L$2:$L$200,aditivos!$A$2:$A$200,$A94,aditivos!$C$2:$C$200,"C3",aditivos!$B$2:$B$200,"&gt;="&amp;(INT(parametros!$I$5)+1)),2)))</f>
        <v/>
      </c>
      <c r="AF94" t="str">
        <f>IF($A94="","",IF(OR(parametros!$C$6="",parametros!$I$6=""),0,ROUND(SUMIFS(aditivos!$L$2:$L$200,aditivos!$A$2:$A$200,$A94,aditivos!$C$2:$C$200,"C4",aditivos!$B$2:$B$200,"&gt;="&amp;(INT(parametros!$I$6)+1)),2)))</f>
        <v/>
      </c>
      <c r="AG94" t="str">
        <f t="shared" si="48"/>
        <v/>
      </c>
      <c r="AH94" t="str">
        <f t="shared" si="49"/>
        <v/>
      </c>
      <c r="AI94" t="str">
        <f t="shared" si="50"/>
        <v/>
      </c>
      <c r="AJ94" t="str">
        <f t="shared" si="51"/>
        <v/>
      </c>
      <c r="AK94" t="str">
        <f t="shared" si="52"/>
        <v/>
      </c>
      <c r="AL94" t="str">
        <f t="shared" si="53"/>
        <v/>
      </c>
    </row>
    <row r="95" spans="1:38" x14ac:dyDescent="0.35">
      <c r="A95" s="146" t="str">
        <f>IF(itens_Remanesc!A95="","",itens_Remanesc!A95)</f>
        <v/>
      </c>
      <c r="B95" s="196" t="str">
        <f>IF(A95="","",itens_Remanesc!C95)</f>
        <v/>
      </c>
      <c r="C95" s="161" t="str">
        <f>IF(A95="","",IF(itens_Remanesc!B95="",0,itens_Remanesc!B95))</f>
        <v/>
      </c>
      <c r="D95" s="163" t="str">
        <f>IF(A95="","",ROUND(SUMIFS(aditivos!$L$2:$L$200,aditivos!$A$2:$A$200,A95,aditivos!$C$2:$C$200,"C0"),2))</f>
        <v/>
      </c>
      <c r="E95" s="159" t="str">
        <f t="shared" si="36"/>
        <v/>
      </c>
      <c r="F95" s="159" t="str">
        <f>IF(A95="","",IF(itens_Remanesc!B95&lt;&gt;"",itens_Remanesc!B95,IF($Z95,0,"")))</f>
        <v/>
      </c>
      <c r="G95" s="167" t="str">
        <f t="shared" si="37"/>
        <v/>
      </c>
      <c r="H95" s="169" t="str">
        <f>IF(A95="","",ROUND(SUMIFS(aditivos!$L$2:$L$200,aditivos!$A$2:$A$200,A95,aditivos!$C$2:$C$200,"C1"),2))</f>
        <v/>
      </c>
      <c r="I95" s="165" t="str">
        <f t="shared" si="38"/>
        <v/>
      </c>
      <c r="J95" s="165" t="str">
        <f>IF(A95="","",IF(itens_Remanesc!E95="","",itens_Remanesc!E95))</f>
        <v/>
      </c>
      <c r="K95" s="171" t="str">
        <f t="shared" si="39"/>
        <v/>
      </c>
      <c r="L95" s="163" t="str">
        <f>IF(A95="","",ROUND(SUMIFS(aditivos!$L$2:$L$200,aditivos!$A$2:$A$200,A95,aditivos!$C$2:$C$200,"C2"),2))</f>
        <v/>
      </c>
      <c r="M95" s="159" t="str">
        <f t="shared" si="40"/>
        <v/>
      </c>
      <c r="N95" s="159" t="str">
        <f>IF(A95="","",IF(itens_Remanesc!G95="","",itens_Remanesc!G95))</f>
        <v/>
      </c>
      <c r="O95" s="167" t="str">
        <f t="shared" si="41"/>
        <v/>
      </c>
      <c r="P95" s="169" t="str">
        <f>IF(A95="","",ROUND(SUMIFS(aditivos!$L$2:$L$200,aditivos!$A$2:$A$200,A95,aditivos!$C$2:$C$200,"C3"),2))</f>
        <v/>
      </c>
      <c r="Q95" s="165" t="str">
        <f t="shared" si="42"/>
        <v/>
      </c>
      <c r="R95" s="165" t="str">
        <f>IF(A95="","",IF(itens_Remanesc!I95="","",itens_Remanesc!I95))</f>
        <v/>
      </c>
      <c r="S95" s="171" t="str">
        <f t="shared" si="43"/>
        <v/>
      </c>
      <c r="T95" s="163" t="str">
        <f>IF(A95="","",ROUND(SUMIFS(aditivos!$L$2:$L$200,aditivos!$A$2:$A$200,A95,aditivos!$C$2:$C$200,"C4"),2))</f>
        <v/>
      </c>
      <c r="U95" s="159" t="str">
        <f t="shared" si="44"/>
        <v/>
      </c>
      <c r="V95" s="159" t="str">
        <f>IF(A95="","",IF(itens_Remanesc!K95="","",itens_Remanesc!K95))</f>
        <v/>
      </c>
      <c r="W95" s="159" t="str">
        <f t="shared" si="45"/>
        <v/>
      </c>
      <c r="X95" s="146" t="str">
        <f>IF(A95="","",IF(COUNTIF($A$2:$A$200,A95)&gt;1,"ALERTA: ITEM_DUPLICADO",IF(AND($Z95,ISNUMBER(itens_Remanesc!B95),itens_Remanesc!B95&lt;&gt;0),"NOVO ITEM COM BASE DIFERENTE DE 0 - AJUSTAR itens_Remanesc",IF(AND($Z95,NOT(ISNUMBER(itens_Remanesc!C95))),"NOVO ITEM SEM VU_ORIGINAL - INFORMAR EM itens_Remanesc",IF(MIN(E95,I95,M95,Q95,U95,G95,K95,O95,S95,W95)&lt;0,"ALERTA: POSICAO_NEGATIVA",IF(OR(AND(G95&lt;&gt;"",G95&gt;E95),AND(K95&lt;&gt;"",K95&gt;I95),AND(O95&lt;&gt;"",O95&gt;M95),AND(S95&lt;&gt;"",S95&gt;Q95),AND(W95&lt;&gt;"",W95&gt;U95)),"ALERTA: REMANESCENTE_SUPERA_POSICAO","OK"))))))</f>
        <v/>
      </c>
      <c r="Y95" t="str">
        <f t="shared" si="46"/>
        <v/>
      </c>
      <c r="Z95" t="b">
        <f t="shared" si="47"/>
        <v>0</v>
      </c>
      <c r="AA95" s="208" t="str">
        <f>IF($A95="","",IF(COUNTIFS(aditivos!$A$2:$A$200,$A95,aditivos!$L$2:$L$200,"&lt;&gt;",aditivos!$L$2:$L$200,"&lt;&gt;0",aditivos!$B$2:$B$200,"&gt;0")=0,"",IFERROR(_xlfn.MINIFS(aditivos!$B$2:$B$200,aditivos!$A$2:$A$200,$A95,aditivos!$L$2:$L$200,"&lt;&gt;",aditivos!$L$2:$L$200,"&lt;&gt;0",aditivos!$B$2:$B$200,"&gt;0"),"")))</f>
        <v/>
      </c>
      <c r="AB95" t="str">
        <f>IF($A95="","",IF(OR(parametros!$C$2="",parametros!$I$2=""),0,ROUND(SUMIFS(aditivos!$L$2:$L$200,aditivos!$A$2:$A$200,$A95,aditivos!$C$2:$C$200,"C0",aditivos!$B$2:$B$200,"&gt;="&amp;(INT(parametros!$I$2)+1)),2)))</f>
        <v/>
      </c>
      <c r="AC95" t="str">
        <f>IF($A95="","",IF(OR(parametros!$C$3="",parametros!$I$3=""),0,ROUND(SUMIFS(aditivos!$L$2:$L$200,aditivos!$A$2:$A$200,$A95,aditivos!$C$2:$C$200,"C1",aditivos!$B$2:$B$200,"&gt;="&amp;(INT(parametros!$I$3)+1)),2)))</f>
        <v/>
      </c>
      <c r="AD95" t="str">
        <f>IF($A95="","",IF(OR(parametros!$C$4="",parametros!$I$4=""),0,ROUND(SUMIFS(aditivos!$L$2:$L$200,aditivos!$A$2:$A$200,$A95,aditivos!$C$2:$C$200,"C2",aditivos!$B$2:$B$200,"&gt;="&amp;(INT(parametros!$I$4)+1)),2)))</f>
        <v/>
      </c>
      <c r="AE95" t="str">
        <f>IF($A95="","",IF(OR(parametros!$C$5="",parametros!$I$5=""),0,ROUND(SUMIFS(aditivos!$L$2:$L$200,aditivos!$A$2:$A$200,$A95,aditivos!$C$2:$C$200,"C3",aditivos!$B$2:$B$200,"&gt;="&amp;(INT(parametros!$I$5)+1)),2)))</f>
        <v/>
      </c>
      <c r="AF95" t="str">
        <f>IF($A95="","",IF(OR(parametros!$C$6="",parametros!$I$6=""),0,ROUND(SUMIFS(aditivos!$L$2:$L$200,aditivos!$A$2:$A$200,$A95,aditivos!$C$2:$C$200,"C4",aditivos!$B$2:$B$200,"&gt;="&amp;(INT(parametros!$I$6)+1)),2)))</f>
        <v/>
      </c>
      <c r="AG95" t="str">
        <f t="shared" si="48"/>
        <v/>
      </c>
      <c r="AH95" t="str">
        <f t="shared" si="49"/>
        <v/>
      </c>
      <c r="AI95" t="str">
        <f t="shared" si="50"/>
        <v/>
      </c>
      <c r="AJ95" t="str">
        <f t="shared" si="51"/>
        <v/>
      </c>
      <c r="AK95" t="str">
        <f t="shared" si="52"/>
        <v/>
      </c>
      <c r="AL95" t="str">
        <f t="shared" si="53"/>
        <v/>
      </c>
    </row>
    <row r="96" spans="1:38" x14ac:dyDescent="0.35">
      <c r="A96" s="146" t="str">
        <f>IF(itens_Remanesc!A96="","",itens_Remanesc!A96)</f>
        <v/>
      </c>
      <c r="B96" s="196" t="str">
        <f>IF(A96="","",itens_Remanesc!C96)</f>
        <v/>
      </c>
      <c r="C96" s="161" t="str">
        <f>IF(A96="","",IF(itens_Remanesc!B96="",0,itens_Remanesc!B96))</f>
        <v/>
      </c>
      <c r="D96" s="163" t="str">
        <f>IF(A96="","",ROUND(SUMIFS(aditivos!$L$2:$L$200,aditivos!$A$2:$A$200,A96,aditivos!$C$2:$C$200,"C0"),2))</f>
        <v/>
      </c>
      <c r="E96" s="159" t="str">
        <f t="shared" si="36"/>
        <v/>
      </c>
      <c r="F96" s="159" t="str">
        <f>IF(A96="","",IF(itens_Remanesc!B96&lt;&gt;"",itens_Remanesc!B96,IF($Z96,0,"")))</f>
        <v/>
      </c>
      <c r="G96" s="167" t="str">
        <f t="shared" si="37"/>
        <v/>
      </c>
      <c r="H96" s="169" t="str">
        <f>IF(A96="","",ROUND(SUMIFS(aditivos!$L$2:$L$200,aditivos!$A$2:$A$200,A96,aditivos!$C$2:$C$200,"C1"),2))</f>
        <v/>
      </c>
      <c r="I96" s="165" t="str">
        <f t="shared" si="38"/>
        <v/>
      </c>
      <c r="J96" s="165" t="str">
        <f>IF(A96="","",IF(itens_Remanesc!E96="","",itens_Remanesc!E96))</f>
        <v/>
      </c>
      <c r="K96" s="171" t="str">
        <f t="shared" si="39"/>
        <v/>
      </c>
      <c r="L96" s="163" t="str">
        <f>IF(A96="","",ROUND(SUMIFS(aditivos!$L$2:$L$200,aditivos!$A$2:$A$200,A96,aditivos!$C$2:$C$200,"C2"),2))</f>
        <v/>
      </c>
      <c r="M96" s="159" t="str">
        <f t="shared" si="40"/>
        <v/>
      </c>
      <c r="N96" s="159" t="str">
        <f>IF(A96="","",IF(itens_Remanesc!G96="","",itens_Remanesc!G96))</f>
        <v/>
      </c>
      <c r="O96" s="167" t="str">
        <f t="shared" si="41"/>
        <v/>
      </c>
      <c r="P96" s="169" t="str">
        <f>IF(A96="","",ROUND(SUMIFS(aditivos!$L$2:$L$200,aditivos!$A$2:$A$200,A96,aditivos!$C$2:$C$200,"C3"),2))</f>
        <v/>
      </c>
      <c r="Q96" s="165" t="str">
        <f t="shared" si="42"/>
        <v/>
      </c>
      <c r="R96" s="165" t="str">
        <f>IF(A96="","",IF(itens_Remanesc!I96="","",itens_Remanesc!I96))</f>
        <v/>
      </c>
      <c r="S96" s="171" t="str">
        <f t="shared" si="43"/>
        <v/>
      </c>
      <c r="T96" s="163" t="str">
        <f>IF(A96="","",ROUND(SUMIFS(aditivos!$L$2:$L$200,aditivos!$A$2:$A$200,A96,aditivos!$C$2:$C$200,"C4"),2))</f>
        <v/>
      </c>
      <c r="U96" s="159" t="str">
        <f t="shared" si="44"/>
        <v/>
      </c>
      <c r="V96" s="159" t="str">
        <f>IF(A96="","",IF(itens_Remanesc!K96="","",itens_Remanesc!K96))</f>
        <v/>
      </c>
      <c r="W96" s="159" t="str">
        <f t="shared" si="45"/>
        <v/>
      </c>
      <c r="X96" s="146" t="str">
        <f>IF(A96="","",IF(COUNTIF($A$2:$A$200,A96)&gt;1,"ALERTA: ITEM_DUPLICADO",IF(AND($Z96,ISNUMBER(itens_Remanesc!B96),itens_Remanesc!B96&lt;&gt;0),"NOVO ITEM COM BASE DIFERENTE DE 0 - AJUSTAR itens_Remanesc",IF(AND($Z96,NOT(ISNUMBER(itens_Remanesc!C96))),"NOVO ITEM SEM VU_ORIGINAL - INFORMAR EM itens_Remanesc",IF(MIN(E96,I96,M96,Q96,U96,G96,K96,O96,S96,W96)&lt;0,"ALERTA: POSICAO_NEGATIVA",IF(OR(AND(G96&lt;&gt;"",G96&gt;E96),AND(K96&lt;&gt;"",K96&gt;I96),AND(O96&lt;&gt;"",O96&gt;M96),AND(S96&lt;&gt;"",S96&gt;Q96),AND(W96&lt;&gt;"",W96&gt;U96)),"ALERTA: REMANESCENTE_SUPERA_POSICAO","OK"))))))</f>
        <v/>
      </c>
      <c r="Y96" t="str">
        <f t="shared" si="46"/>
        <v/>
      </c>
      <c r="Z96" t="b">
        <f t="shared" si="47"/>
        <v>0</v>
      </c>
      <c r="AA96" s="208" t="str">
        <f>IF($A96="","",IF(COUNTIFS(aditivos!$A$2:$A$200,$A96,aditivos!$L$2:$L$200,"&lt;&gt;",aditivos!$L$2:$L$200,"&lt;&gt;0",aditivos!$B$2:$B$200,"&gt;0")=0,"",IFERROR(_xlfn.MINIFS(aditivos!$B$2:$B$200,aditivos!$A$2:$A$200,$A96,aditivos!$L$2:$L$200,"&lt;&gt;",aditivos!$L$2:$L$200,"&lt;&gt;0",aditivos!$B$2:$B$200,"&gt;0"),"")))</f>
        <v/>
      </c>
      <c r="AB96" t="str">
        <f>IF($A96="","",IF(OR(parametros!$C$2="",parametros!$I$2=""),0,ROUND(SUMIFS(aditivos!$L$2:$L$200,aditivos!$A$2:$A$200,$A96,aditivos!$C$2:$C$200,"C0",aditivos!$B$2:$B$200,"&gt;="&amp;(INT(parametros!$I$2)+1)),2)))</f>
        <v/>
      </c>
      <c r="AC96" t="str">
        <f>IF($A96="","",IF(OR(parametros!$C$3="",parametros!$I$3=""),0,ROUND(SUMIFS(aditivos!$L$2:$L$200,aditivos!$A$2:$A$200,$A96,aditivos!$C$2:$C$200,"C1",aditivos!$B$2:$B$200,"&gt;="&amp;(INT(parametros!$I$3)+1)),2)))</f>
        <v/>
      </c>
      <c r="AD96" t="str">
        <f>IF($A96="","",IF(OR(parametros!$C$4="",parametros!$I$4=""),0,ROUND(SUMIFS(aditivos!$L$2:$L$200,aditivos!$A$2:$A$200,$A96,aditivos!$C$2:$C$200,"C2",aditivos!$B$2:$B$200,"&gt;="&amp;(INT(parametros!$I$4)+1)),2)))</f>
        <v/>
      </c>
      <c r="AE96" t="str">
        <f>IF($A96="","",IF(OR(parametros!$C$5="",parametros!$I$5=""),0,ROUND(SUMIFS(aditivos!$L$2:$L$200,aditivos!$A$2:$A$200,$A96,aditivos!$C$2:$C$200,"C3",aditivos!$B$2:$B$200,"&gt;="&amp;(INT(parametros!$I$5)+1)),2)))</f>
        <v/>
      </c>
      <c r="AF96" t="str">
        <f>IF($A96="","",IF(OR(parametros!$C$6="",parametros!$I$6=""),0,ROUND(SUMIFS(aditivos!$L$2:$L$200,aditivos!$A$2:$A$200,$A96,aditivos!$C$2:$C$200,"C4",aditivos!$B$2:$B$200,"&gt;="&amp;(INT(parametros!$I$6)+1)),2)))</f>
        <v/>
      </c>
      <c r="AG96" t="str">
        <f t="shared" si="48"/>
        <v/>
      </c>
      <c r="AH96" t="str">
        <f t="shared" si="49"/>
        <v/>
      </c>
      <c r="AI96" t="str">
        <f t="shared" si="50"/>
        <v/>
      </c>
      <c r="AJ96" t="str">
        <f t="shared" si="51"/>
        <v/>
      </c>
      <c r="AK96" t="str">
        <f t="shared" si="52"/>
        <v/>
      </c>
      <c r="AL96" t="str">
        <f t="shared" si="53"/>
        <v/>
      </c>
    </row>
    <row r="97" spans="1:38" x14ac:dyDescent="0.35">
      <c r="A97" s="146" t="str">
        <f>IF(itens_Remanesc!A97="","",itens_Remanesc!A97)</f>
        <v/>
      </c>
      <c r="B97" s="196" t="str">
        <f>IF(A97="","",itens_Remanesc!C97)</f>
        <v/>
      </c>
      <c r="C97" s="161" t="str">
        <f>IF(A97="","",IF(itens_Remanesc!B97="",0,itens_Remanesc!B97))</f>
        <v/>
      </c>
      <c r="D97" s="163" t="str">
        <f>IF(A97="","",ROUND(SUMIFS(aditivos!$L$2:$L$200,aditivos!$A$2:$A$200,A97,aditivos!$C$2:$C$200,"C0"),2))</f>
        <v/>
      </c>
      <c r="E97" s="159" t="str">
        <f t="shared" si="36"/>
        <v/>
      </c>
      <c r="F97" s="159" t="str">
        <f>IF(A97="","",IF(itens_Remanesc!B97&lt;&gt;"",itens_Remanesc!B97,IF($Z97,0,"")))</f>
        <v/>
      </c>
      <c r="G97" s="167" t="str">
        <f t="shared" si="37"/>
        <v/>
      </c>
      <c r="H97" s="169" t="str">
        <f>IF(A97="","",ROUND(SUMIFS(aditivos!$L$2:$L$200,aditivos!$A$2:$A$200,A97,aditivos!$C$2:$C$200,"C1"),2))</f>
        <v/>
      </c>
      <c r="I97" s="165" t="str">
        <f t="shared" si="38"/>
        <v/>
      </c>
      <c r="J97" s="165" t="str">
        <f>IF(A97="","",IF(itens_Remanesc!E97="","",itens_Remanesc!E97))</f>
        <v/>
      </c>
      <c r="K97" s="171" t="str">
        <f t="shared" si="39"/>
        <v/>
      </c>
      <c r="L97" s="163" t="str">
        <f>IF(A97="","",ROUND(SUMIFS(aditivos!$L$2:$L$200,aditivos!$A$2:$A$200,A97,aditivos!$C$2:$C$200,"C2"),2))</f>
        <v/>
      </c>
      <c r="M97" s="159" t="str">
        <f t="shared" si="40"/>
        <v/>
      </c>
      <c r="N97" s="159" t="str">
        <f>IF(A97="","",IF(itens_Remanesc!G97="","",itens_Remanesc!G97))</f>
        <v/>
      </c>
      <c r="O97" s="167" t="str">
        <f t="shared" si="41"/>
        <v/>
      </c>
      <c r="P97" s="169" t="str">
        <f>IF(A97="","",ROUND(SUMIFS(aditivos!$L$2:$L$200,aditivos!$A$2:$A$200,A97,aditivos!$C$2:$C$200,"C3"),2))</f>
        <v/>
      </c>
      <c r="Q97" s="165" t="str">
        <f t="shared" si="42"/>
        <v/>
      </c>
      <c r="R97" s="165" t="str">
        <f>IF(A97="","",IF(itens_Remanesc!I97="","",itens_Remanesc!I97))</f>
        <v/>
      </c>
      <c r="S97" s="171" t="str">
        <f t="shared" si="43"/>
        <v/>
      </c>
      <c r="T97" s="163" t="str">
        <f>IF(A97="","",ROUND(SUMIFS(aditivos!$L$2:$L$200,aditivos!$A$2:$A$200,A97,aditivos!$C$2:$C$200,"C4"),2))</f>
        <v/>
      </c>
      <c r="U97" s="159" t="str">
        <f t="shared" si="44"/>
        <v/>
      </c>
      <c r="V97" s="159" t="str">
        <f>IF(A97="","",IF(itens_Remanesc!K97="","",itens_Remanesc!K97))</f>
        <v/>
      </c>
      <c r="W97" s="159" t="str">
        <f t="shared" si="45"/>
        <v/>
      </c>
      <c r="X97" s="146" t="str">
        <f>IF(A97="","",IF(COUNTIF($A$2:$A$200,A97)&gt;1,"ALERTA: ITEM_DUPLICADO",IF(AND($Z97,ISNUMBER(itens_Remanesc!B97),itens_Remanesc!B97&lt;&gt;0),"NOVO ITEM COM BASE DIFERENTE DE 0 - AJUSTAR itens_Remanesc",IF(AND($Z97,NOT(ISNUMBER(itens_Remanesc!C97))),"NOVO ITEM SEM VU_ORIGINAL - INFORMAR EM itens_Remanesc",IF(MIN(E97,I97,M97,Q97,U97,G97,K97,O97,S97,W97)&lt;0,"ALERTA: POSICAO_NEGATIVA",IF(OR(AND(G97&lt;&gt;"",G97&gt;E97),AND(K97&lt;&gt;"",K97&gt;I97),AND(O97&lt;&gt;"",O97&gt;M97),AND(S97&lt;&gt;"",S97&gt;Q97),AND(W97&lt;&gt;"",W97&gt;U97)),"ALERTA: REMANESCENTE_SUPERA_POSICAO","OK"))))))</f>
        <v/>
      </c>
      <c r="Y97" t="str">
        <f t="shared" si="46"/>
        <v/>
      </c>
      <c r="Z97" t="b">
        <f t="shared" si="47"/>
        <v>0</v>
      </c>
      <c r="AA97" s="208" t="str">
        <f>IF($A97="","",IF(COUNTIFS(aditivos!$A$2:$A$200,$A97,aditivos!$L$2:$L$200,"&lt;&gt;",aditivos!$L$2:$L$200,"&lt;&gt;0",aditivos!$B$2:$B$200,"&gt;0")=0,"",IFERROR(_xlfn.MINIFS(aditivos!$B$2:$B$200,aditivos!$A$2:$A$200,$A97,aditivos!$L$2:$L$200,"&lt;&gt;",aditivos!$L$2:$L$200,"&lt;&gt;0",aditivos!$B$2:$B$200,"&gt;0"),"")))</f>
        <v/>
      </c>
      <c r="AB97" t="str">
        <f>IF($A97="","",IF(OR(parametros!$C$2="",parametros!$I$2=""),0,ROUND(SUMIFS(aditivos!$L$2:$L$200,aditivos!$A$2:$A$200,$A97,aditivos!$C$2:$C$200,"C0",aditivos!$B$2:$B$200,"&gt;="&amp;(INT(parametros!$I$2)+1)),2)))</f>
        <v/>
      </c>
      <c r="AC97" t="str">
        <f>IF($A97="","",IF(OR(parametros!$C$3="",parametros!$I$3=""),0,ROUND(SUMIFS(aditivos!$L$2:$L$200,aditivos!$A$2:$A$200,$A97,aditivos!$C$2:$C$200,"C1",aditivos!$B$2:$B$200,"&gt;="&amp;(INT(parametros!$I$3)+1)),2)))</f>
        <v/>
      </c>
      <c r="AD97" t="str">
        <f>IF($A97="","",IF(OR(parametros!$C$4="",parametros!$I$4=""),0,ROUND(SUMIFS(aditivos!$L$2:$L$200,aditivos!$A$2:$A$200,$A97,aditivos!$C$2:$C$200,"C2",aditivos!$B$2:$B$200,"&gt;="&amp;(INT(parametros!$I$4)+1)),2)))</f>
        <v/>
      </c>
      <c r="AE97" t="str">
        <f>IF($A97="","",IF(OR(parametros!$C$5="",parametros!$I$5=""),0,ROUND(SUMIFS(aditivos!$L$2:$L$200,aditivos!$A$2:$A$200,$A97,aditivos!$C$2:$C$200,"C3",aditivos!$B$2:$B$200,"&gt;="&amp;(INT(parametros!$I$5)+1)),2)))</f>
        <v/>
      </c>
      <c r="AF97" t="str">
        <f>IF($A97="","",IF(OR(parametros!$C$6="",parametros!$I$6=""),0,ROUND(SUMIFS(aditivos!$L$2:$L$200,aditivos!$A$2:$A$200,$A97,aditivos!$C$2:$C$200,"C4",aditivos!$B$2:$B$200,"&gt;="&amp;(INT(parametros!$I$6)+1)),2)))</f>
        <v/>
      </c>
      <c r="AG97" t="str">
        <f t="shared" si="48"/>
        <v/>
      </c>
      <c r="AH97" t="str">
        <f t="shared" si="49"/>
        <v/>
      </c>
      <c r="AI97" t="str">
        <f t="shared" si="50"/>
        <v/>
      </c>
      <c r="AJ97" t="str">
        <f t="shared" si="51"/>
        <v/>
      </c>
      <c r="AK97" t="str">
        <f t="shared" si="52"/>
        <v/>
      </c>
      <c r="AL97" t="str">
        <f t="shared" si="53"/>
        <v/>
      </c>
    </row>
    <row r="98" spans="1:38" x14ac:dyDescent="0.35">
      <c r="A98" s="146" t="str">
        <f>IF(itens_Remanesc!A98="","",itens_Remanesc!A98)</f>
        <v/>
      </c>
      <c r="B98" s="196" t="str">
        <f>IF(A98="","",itens_Remanesc!C98)</f>
        <v/>
      </c>
      <c r="C98" s="161" t="str">
        <f>IF(A98="","",IF(itens_Remanesc!B98="",0,itens_Remanesc!B98))</f>
        <v/>
      </c>
      <c r="D98" s="163" t="str">
        <f>IF(A98="","",ROUND(SUMIFS(aditivos!$L$2:$L$200,aditivos!$A$2:$A$200,A98,aditivos!$C$2:$C$200,"C0"),2))</f>
        <v/>
      </c>
      <c r="E98" s="159" t="str">
        <f t="shared" ref="E98:E129" si="54">IF(A98="","",ROUND(C98+D98,2))</f>
        <v/>
      </c>
      <c r="F98" s="159" t="str">
        <f>IF(A98="","",IF(itens_Remanesc!B98&lt;&gt;"",itens_Remanesc!B98,IF($Z98,0,"")))</f>
        <v/>
      </c>
      <c r="G98" s="167" t="str">
        <f t="shared" ref="G98:G129" si="55">IF(A98="","",IF($Y98="","",IF($Y98&gt;0,"",ROUND(E98,2))))</f>
        <v/>
      </c>
      <c r="H98" s="169" t="str">
        <f>IF(A98="","",ROUND(SUMIFS(aditivos!$L$2:$L$200,aditivos!$A$2:$A$200,A98,aditivos!$C$2:$C$200,"C1"),2))</f>
        <v/>
      </c>
      <c r="I98" s="165" t="str">
        <f t="shared" ref="I98:I129" si="56">IF(A98="","",ROUND(E98+H98,2))</f>
        <v/>
      </c>
      <c r="J98" s="165" t="str">
        <f>IF(A98="","",IF(itens_Remanesc!E98="","",itens_Remanesc!E98))</f>
        <v/>
      </c>
      <c r="K98" s="171" t="str">
        <f t="shared" ref="K98:K129" si="57">IF(A98="","",IF($Y98="","",IF($Y98&gt;1,"",IF(ISNUMBER(J98),ROUND(J98+H98,2),IF($Y98=1,ROUND(H98,2),"")))))</f>
        <v/>
      </c>
      <c r="L98" s="163" t="str">
        <f>IF(A98="","",ROUND(SUMIFS(aditivos!$L$2:$L$200,aditivos!$A$2:$A$200,A98,aditivos!$C$2:$C$200,"C2"),2))</f>
        <v/>
      </c>
      <c r="M98" s="159" t="str">
        <f t="shared" ref="M98:M129" si="58">IF(A98="","",ROUND(I98+L98,2))</f>
        <v/>
      </c>
      <c r="N98" s="159" t="str">
        <f>IF(A98="","",IF(itens_Remanesc!G98="","",itens_Remanesc!G98))</f>
        <v/>
      </c>
      <c r="O98" s="167" t="str">
        <f t="shared" ref="O98:O129" si="59">IF(A98="","",IF($Y98="","",IF($Y98&gt;2,"",IF(ISNUMBER(N98),ROUND(N98+L98,2),IF($Y98=2,ROUND(L98,2),"")))))</f>
        <v/>
      </c>
      <c r="P98" s="169" t="str">
        <f>IF(A98="","",ROUND(SUMIFS(aditivos!$L$2:$L$200,aditivos!$A$2:$A$200,A98,aditivos!$C$2:$C$200,"C3"),2))</f>
        <v/>
      </c>
      <c r="Q98" s="165" t="str">
        <f t="shared" ref="Q98:Q129" si="60">IF(A98="","",ROUND(M98+P98,2))</f>
        <v/>
      </c>
      <c r="R98" s="165" t="str">
        <f>IF(A98="","",IF(itens_Remanesc!I98="","",itens_Remanesc!I98))</f>
        <v/>
      </c>
      <c r="S98" s="171" t="str">
        <f t="shared" ref="S98:S129" si="61">IF(A98="","",IF($Y98="","",IF($Y98&gt;3,"",IF(ISNUMBER(R98),ROUND(R98+P98,2),IF($Y98=3,ROUND(P98,2),"")))))</f>
        <v/>
      </c>
      <c r="T98" s="163" t="str">
        <f>IF(A98="","",ROUND(SUMIFS(aditivos!$L$2:$L$200,aditivos!$A$2:$A$200,A98,aditivos!$C$2:$C$200,"C4"),2))</f>
        <v/>
      </c>
      <c r="U98" s="159" t="str">
        <f t="shared" ref="U98:U129" si="62">IF(A98="","",ROUND(Q98+T98,2))</f>
        <v/>
      </c>
      <c r="V98" s="159" t="str">
        <f>IF(A98="","",IF(itens_Remanesc!K98="","",itens_Remanesc!K98))</f>
        <v/>
      </c>
      <c r="W98" s="159" t="str">
        <f t="shared" ref="W98:W129" si="63">IF(A98="","",IF($Y98="","",IF($Y98&gt;4,"",IF(ISNUMBER(V98),ROUND(V98+T98,2),IF($Y98=4,ROUND(T98,2),"")))))</f>
        <v/>
      </c>
      <c r="X98" s="146" t="str">
        <f>IF(A98="","",IF(COUNTIF($A$2:$A$200,A98)&gt;1,"ALERTA: ITEM_DUPLICADO",IF(AND($Z98,ISNUMBER(itens_Remanesc!B98),itens_Remanesc!B98&lt;&gt;0),"NOVO ITEM COM BASE DIFERENTE DE 0 - AJUSTAR itens_Remanesc",IF(AND($Z98,NOT(ISNUMBER(itens_Remanesc!C98))),"NOVO ITEM SEM VU_ORIGINAL - INFORMAR EM itens_Remanesc",IF(MIN(E98,I98,M98,Q98,U98,G98,K98,O98,S98,W98)&lt;0,"ALERTA: POSICAO_NEGATIVA",IF(OR(AND(G98&lt;&gt;"",G98&gt;E98),AND(K98&lt;&gt;"",K98&gt;I98),AND(O98&lt;&gt;"",O98&gt;M98),AND(S98&lt;&gt;"",S98&gt;Q98),AND(W98&lt;&gt;"",W98&gt;U98)),"ALERTA: REMANESCENTE_SUPERA_POSICAO","OK"))))))</f>
        <v/>
      </c>
      <c r="Y98" t="str">
        <f t="shared" ref="Y98:Y129" si="64">IF($A98="","",IF($E98&gt;0,0,IF($I98&gt;0,1,IF($M98&gt;0,2,IF($Q98&gt;0,3,IF($U98&gt;0,4,""))))))</f>
        <v/>
      </c>
      <c r="Z98" t="b">
        <f t="shared" ref="Z98:Z129" si="65">IF($A98="",FALSE,AND(LEN(TRIM($A98))=4,LEFT(TRIM($A98),1)="N",ISNUMBER(--MID(TRIM($A98),2,3)),ISERROR(FIND(".",$A98)),ISERROR(FIND(",",$A98)),ISERROR(FIND("-",$A98)),ISERROR(FIND("+",$A98)),ISERROR(SEARCH("E",$A98,2)),ISERROR(FIND(" ",TRIM($A98)))))</f>
        <v>0</v>
      </c>
      <c r="AA98" s="208" t="str">
        <f>IF($A98="","",IF(COUNTIFS(aditivos!$A$2:$A$200,$A98,aditivos!$L$2:$L$200,"&lt;&gt;",aditivos!$L$2:$L$200,"&lt;&gt;0",aditivos!$B$2:$B$200,"&gt;0")=0,"",IFERROR(_xlfn.MINIFS(aditivos!$B$2:$B$200,aditivos!$A$2:$A$200,$A98,aditivos!$L$2:$L$200,"&lt;&gt;",aditivos!$L$2:$L$200,"&lt;&gt;0",aditivos!$B$2:$B$200,"&gt;0"),"")))</f>
        <v/>
      </c>
      <c r="AB98" t="str">
        <f>IF($A98="","",IF(OR(parametros!$C$2="",parametros!$I$2=""),0,ROUND(SUMIFS(aditivos!$L$2:$L$200,aditivos!$A$2:$A$200,$A98,aditivos!$C$2:$C$200,"C0",aditivos!$B$2:$B$200,"&gt;="&amp;(INT(parametros!$I$2)+1)),2)))</f>
        <v/>
      </c>
      <c r="AC98" t="str">
        <f>IF($A98="","",IF(OR(parametros!$C$3="",parametros!$I$3=""),0,ROUND(SUMIFS(aditivos!$L$2:$L$200,aditivos!$A$2:$A$200,$A98,aditivos!$C$2:$C$200,"C1",aditivos!$B$2:$B$200,"&gt;="&amp;(INT(parametros!$I$3)+1)),2)))</f>
        <v/>
      </c>
      <c r="AD98" t="str">
        <f>IF($A98="","",IF(OR(parametros!$C$4="",parametros!$I$4=""),0,ROUND(SUMIFS(aditivos!$L$2:$L$200,aditivos!$A$2:$A$200,$A98,aditivos!$C$2:$C$200,"C2",aditivos!$B$2:$B$200,"&gt;="&amp;(INT(parametros!$I$4)+1)),2)))</f>
        <v/>
      </c>
      <c r="AE98" t="str">
        <f>IF($A98="","",IF(OR(parametros!$C$5="",parametros!$I$5=""),0,ROUND(SUMIFS(aditivos!$L$2:$L$200,aditivos!$A$2:$A$200,$A98,aditivos!$C$2:$C$200,"C3",aditivos!$B$2:$B$200,"&gt;="&amp;(INT(parametros!$I$5)+1)),2)))</f>
        <v/>
      </c>
      <c r="AF98" t="str">
        <f>IF($A98="","",IF(OR(parametros!$C$6="",parametros!$I$6=""),0,ROUND(SUMIFS(aditivos!$L$2:$L$200,aditivos!$A$2:$A$200,$A98,aditivos!$C$2:$C$200,"C4",aditivos!$B$2:$B$200,"&gt;="&amp;(INT(parametros!$I$6)+1)),2)))</f>
        <v/>
      </c>
      <c r="AG98" t="str">
        <f t="shared" ref="AG98:AG129" si="66">IF($A98="","",IF(OR(NOT(ISNUMBER($E98)),NOT(ISNUMBER($AB98))),"",ROUND($E98-$AB98,2)))</f>
        <v/>
      </c>
      <c r="AH98" t="str">
        <f t="shared" ref="AH98:AH129" si="67">IF($A98="","",IF(OR(NOT(ISNUMBER($I98)),NOT(ISNUMBER($AC98))),"",ROUND($I98-$AC98,2)))</f>
        <v/>
      </c>
      <c r="AI98" t="str">
        <f t="shared" ref="AI98:AI129" si="68">IF($A98="","",IF(OR(NOT(ISNUMBER($M98)),NOT(ISNUMBER($AD98))),"",ROUND($M98-$AD98,2)))</f>
        <v/>
      </c>
      <c r="AJ98" t="str">
        <f t="shared" ref="AJ98:AJ129" si="69">IF($A98="","",IF(OR(NOT(ISNUMBER($Q98)),NOT(ISNUMBER($AE98))),"",ROUND($Q98-$AE98,2)))</f>
        <v/>
      </c>
      <c r="AK98" t="str">
        <f t="shared" ref="AK98:AK129" si="70">IF($A98="","",IF(OR(NOT(ISNUMBER($U98)),NOT(ISNUMBER($AF98))),"",ROUND($U98-$AF98,2)))</f>
        <v/>
      </c>
      <c r="AL98" t="str">
        <f t="shared" ref="AL98:AL129" si="71">IF($A98="","",IF(N($AG98)&gt;0,0,IF(N($AH98)&gt;0,1,IF(N($AI98)&gt;0,2,IF(N($AJ98)&gt;0,3,IF(N($AK98)&gt;0,4,""))))))</f>
        <v/>
      </c>
    </row>
    <row r="99" spans="1:38" x14ac:dyDescent="0.35">
      <c r="A99" s="146" t="str">
        <f>IF(itens_Remanesc!A99="","",itens_Remanesc!A99)</f>
        <v/>
      </c>
      <c r="B99" s="196" t="str">
        <f>IF(A99="","",itens_Remanesc!C99)</f>
        <v/>
      </c>
      <c r="C99" s="161" t="str">
        <f>IF(A99="","",IF(itens_Remanesc!B99="",0,itens_Remanesc!B99))</f>
        <v/>
      </c>
      <c r="D99" s="163" t="str">
        <f>IF(A99="","",ROUND(SUMIFS(aditivos!$L$2:$L$200,aditivos!$A$2:$A$200,A99,aditivos!$C$2:$C$200,"C0"),2))</f>
        <v/>
      </c>
      <c r="E99" s="159" t="str">
        <f t="shared" si="54"/>
        <v/>
      </c>
      <c r="F99" s="159" t="str">
        <f>IF(A99="","",IF(itens_Remanesc!B99&lt;&gt;"",itens_Remanesc!B99,IF($Z99,0,"")))</f>
        <v/>
      </c>
      <c r="G99" s="167" t="str">
        <f t="shared" si="55"/>
        <v/>
      </c>
      <c r="H99" s="169" t="str">
        <f>IF(A99="","",ROUND(SUMIFS(aditivos!$L$2:$L$200,aditivos!$A$2:$A$200,A99,aditivos!$C$2:$C$200,"C1"),2))</f>
        <v/>
      </c>
      <c r="I99" s="165" t="str">
        <f t="shared" si="56"/>
        <v/>
      </c>
      <c r="J99" s="165" t="str">
        <f>IF(A99="","",IF(itens_Remanesc!E99="","",itens_Remanesc!E99))</f>
        <v/>
      </c>
      <c r="K99" s="171" t="str">
        <f t="shared" si="57"/>
        <v/>
      </c>
      <c r="L99" s="163" t="str">
        <f>IF(A99="","",ROUND(SUMIFS(aditivos!$L$2:$L$200,aditivos!$A$2:$A$200,A99,aditivos!$C$2:$C$200,"C2"),2))</f>
        <v/>
      </c>
      <c r="M99" s="159" t="str">
        <f t="shared" si="58"/>
        <v/>
      </c>
      <c r="N99" s="159" t="str">
        <f>IF(A99="","",IF(itens_Remanesc!G99="","",itens_Remanesc!G99))</f>
        <v/>
      </c>
      <c r="O99" s="167" t="str">
        <f t="shared" si="59"/>
        <v/>
      </c>
      <c r="P99" s="169" t="str">
        <f>IF(A99="","",ROUND(SUMIFS(aditivos!$L$2:$L$200,aditivos!$A$2:$A$200,A99,aditivos!$C$2:$C$200,"C3"),2))</f>
        <v/>
      </c>
      <c r="Q99" s="165" t="str">
        <f t="shared" si="60"/>
        <v/>
      </c>
      <c r="R99" s="165" t="str">
        <f>IF(A99="","",IF(itens_Remanesc!I99="","",itens_Remanesc!I99))</f>
        <v/>
      </c>
      <c r="S99" s="171" t="str">
        <f t="shared" si="61"/>
        <v/>
      </c>
      <c r="T99" s="163" t="str">
        <f>IF(A99="","",ROUND(SUMIFS(aditivos!$L$2:$L$200,aditivos!$A$2:$A$200,A99,aditivos!$C$2:$C$200,"C4"),2))</f>
        <v/>
      </c>
      <c r="U99" s="159" t="str">
        <f t="shared" si="62"/>
        <v/>
      </c>
      <c r="V99" s="159" t="str">
        <f>IF(A99="","",IF(itens_Remanesc!K99="","",itens_Remanesc!K99))</f>
        <v/>
      </c>
      <c r="W99" s="159" t="str">
        <f t="shared" si="63"/>
        <v/>
      </c>
      <c r="X99" s="146" t="str">
        <f>IF(A99="","",IF(COUNTIF($A$2:$A$200,A99)&gt;1,"ALERTA: ITEM_DUPLICADO",IF(AND($Z99,ISNUMBER(itens_Remanesc!B99),itens_Remanesc!B99&lt;&gt;0),"NOVO ITEM COM BASE DIFERENTE DE 0 - AJUSTAR itens_Remanesc",IF(AND($Z99,NOT(ISNUMBER(itens_Remanesc!C99))),"NOVO ITEM SEM VU_ORIGINAL - INFORMAR EM itens_Remanesc",IF(MIN(E99,I99,M99,Q99,U99,G99,K99,O99,S99,W99)&lt;0,"ALERTA: POSICAO_NEGATIVA",IF(OR(AND(G99&lt;&gt;"",G99&gt;E99),AND(K99&lt;&gt;"",K99&gt;I99),AND(O99&lt;&gt;"",O99&gt;M99),AND(S99&lt;&gt;"",S99&gt;Q99),AND(W99&lt;&gt;"",W99&gt;U99)),"ALERTA: REMANESCENTE_SUPERA_POSICAO","OK"))))))</f>
        <v/>
      </c>
      <c r="Y99" t="str">
        <f t="shared" si="64"/>
        <v/>
      </c>
      <c r="Z99" t="b">
        <f t="shared" si="65"/>
        <v>0</v>
      </c>
      <c r="AA99" s="208" t="str">
        <f>IF($A99="","",IF(COUNTIFS(aditivos!$A$2:$A$200,$A99,aditivos!$L$2:$L$200,"&lt;&gt;",aditivos!$L$2:$L$200,"&lt;&gt;0",aditivos!$B$2:$B$200,"&gt;0")=0,"",IFERROR(_xlfn.MINIFS(aditivos!$B$2:$B$200,aditivos!$A$2:$A$200,$A99,aditivos!$L$2:$L$200,"&lt;&gt;",aditivos!$L$2:$L$200,"&lt;&gt;0",aditivos!$B$2:$B$200,"&gt;0"),"")))</f>
        <v/>
      </c>
      <c r="AB99" t="str">
        <f>IF($A99="","",IF(OR(parametros!$C$2="",parametros!$I$2=""),0,ROUND(SUMIFS(aditivos!$L$2:$L$200,aditivos!$A$2:$A$200,$A99,aditivos!$C$2:$C$200,"C0",aditivos!$B$2:$B$200,"&gt;="&amp;(INT(parametros!$I$2)+1)),2)))</f>
        <v/>
      </c>
      <c r="AC99" t="str">
        <f>IF($A99="","",IF(OR(parametros!$C$3="",parametros!$I$3=""),0,ROUND(SUMIFS(aditivos!$L$2:$L$200,aditivos!$A$2:$A$200,$A99,aditivos!$C$2:$C$200,"C1",aditivos!$B$2:$B$200,"&gt;="&amp;(INT(parametros!$I$3)+1)),2)))</f>
        <v/>
      </c>
      <c r="AD99" t="str">
        <f>IF($A99="","",IF(OR(parametros!$C$4="",parametros!$I$4=""),0,ROUND(SUMIFS(aditivos!$L$2:$L$200,aditivos!$A$2:$A$200,$A99,aditivos!$C$2:$C$200,"C2",aditivos!$B$2:$B$200,"&gt;="&amp;(INT(parametros!$I$4)+1)),2)))</f>
        <v/>
      </c>
      <c r="AE99" t="str">
        <f>IF($A99="","",IF(OR(parametros!$C$5="",parametros!$I$5=""),0,ROUND(SUMIFS(aditivos!$L$2:$L$200,aditivos!$A$2:$A$200,$A99,aditivos!$C$2:$C$200,"C3",aditivos!$B$2:$B$200,"&gt;="&amp;(INT(parametros!$I$5)+1)),2)))</f>
        <v/>
      </c>
      <c r="AF99" t="str">
        <f>IF($A99="","",IF(OR(parametros!$C$6="",parametros!$I$6=""),0,ROUND(SUMIFS(aditivos!$L$2:$L$200,aditivos!$A$2:$A$200,$A99,aditivos!$C$2:$C$200,"C4",aditivos!$B$2:$B$200,"&gt;="&amp;(INT(parametros!$I$6)+1)),2)))</f>
        <v/>
      </c>
      <c r="AG99" t="str">
        <f t="shared" si="66"/>
        <v/>
      </c>
      <c r="AH99" t="str">
        <f t="shared" si="67"/>
        <v/>
      </c>
      <c r="AI99" t="str">
        <f t="shared" si="68"/>
        <v/>
      </c>
      <c r="AJ99" t="str">
        <f t="shared" si="69"/>
        <v/>
      </c>
      <c r="AK99" t="str">
        <f t="shared" si="70"/>
        <v/>
      </c>
      <c r="AL99" t="str">
        <f t="shared" si="71"/>
        <v/>
      </c>
    </row>
    <row r="100" spans="1:38" x14ac:dyDescent="0.35">
      <c r="A100" s="146" t="str">
        <f>IF(itens_Remanesc!A100="","",itens_Remanesc!A100)</f>
        <v/>
      </c>
      <c r="B100" s="196" t="str">
        <f>IF(A100="","",itens_Remanesc!C100)</f>
        <v/>
      </c>
      <c r="C100" s="161" t="str">
        <f>IF(A100="","",IF(itens_Remanesc!B100="",0,itens_Remanesc!B100))</f>
        <v/>
      </c>
      <c r="D100" s="163" t="str">
        <f>IF(A100="","",ROUND(SUMIFS(aditivos!$L$2:$L$200,aditivos!$A$2:$A$200,A100,aditivos!$C$2:$C$200,"C0"),2))</f>
        <v/>
      </c>
      <c r="E100" s="159" t="str">
        <f t="shared" si="54"/>
        <v/>
      </c>
      <c r="F100" s="159" t="str">
        <f>IF(A100="","",IF(itens_Remanesc!B100&lt;&gt;"",itens_Remanesc!B100,IF($Z100,0,"")))</f>
        <v/>
      </c>
      <c r="G100" s="167" t="str">
        <f t="shared" si="55"/>
        <v/>
      </c>
      <c r="H100" s="169" t="str">
        <f>IF(A100="","",ROUND(SUMIFS(aditivos!$L$2:$L$200,aditivos!$A$2:$A$200,A100,aditivos!$C$2:$C$200,"C1"),2))</f>
        <v/>
      </c>
      <c r="I100" s="165" t="str">
        <f t="shared" si="56"/>
        <v/>
      </c>
      <c r="J100" s="165" t="str">
        <f>IF(A100="","",IF(itens_Remanesc!E100="","",itens_Remanesc!E100))</f>
        <v/>
      </c>
      <c r="K100" s="171" t="str">
        <f t="shared" si="57"/>
        <v/>
      </c>
      <c r="L100" s="163" t="str">
        <f>IF(A100="","",ROUND(SUMIFS(aditivos!$L$2:$L$200,aditivos!$A$2:$A$200,A100,aditivos!$C$2:$C$200,"C2"),2))</f>
        <v/>
      </c>
      <c r="M100" s="159" t="str">
        <f t="shared" si="58"/>
        <v/>
      </c>
      <c r="N100" s="159" t="str">
        <f>IF(A100="","",IF(itens_Remanesc!G100="","",itens_Remanesc!G100))</f>
        <v/>
      </c>
      <c r="O100" s="167" t="str">
        <f t="shared" si="59"/>
        <v/>
      </c>
      <c r="P100" s="169" t="str">
        <f>IF(A100="","",ROUND(SUMIFS(aditivos!$L$2:$L$200,aditivos!$A$2:$A$200,A100,aditivos!$C$2:$C$200,"C3"),2))</f>
        <v/>
      </c>
      <c r="Q100" s="165" t="str">
        <f t="shared" si="60"/>
        <v/>
      </c>
      <c r="R100" s="165" t="str">
        <f>IF(A100="","",IF(itens_Remanesc!I100="","",itens_Remanesc!I100))</f>
        <v/>
      </c>
      <c r="S100" s="171" t="str">
        <f t="shared" si="61"/>
        <v/>
      </c>
      <c r="T100" s="163" t="str">
        <f>IF(A100="","",ROUND(SUMIFS(aditivos!$L$2:$L$200,aditivos!$A$2:$A$200,A100,aditivos!$C$2:$C$200,"C4"),2))</f>
        <v/>
      </c>
      <c r="U100" s="159" t="str">
        <f t="shared" si="62"/>
        <v/>
      </c>
      <c r="V100" s="159" t="str">
        <f>IF(A100="","",IF(itens_Remanesc!K100="","",itens_Remanesc!K100))</f>
        <v/>
      </c>
      <c r="W100" s="159" t="str">
        <f t="shared" si="63"/>
        <v/>
      </c>
      <c r="X100" s="146" t="str">
        <f>IF(A100="","",IF(COUNTIF($A$2:$A$200,A100)&gt;1,"ALERTA: ITEM_DUPLICADO",IF(AND($Z100,ISNUMBER(itens_Remanesc!B100),itens_Remanesc!B100&lt;&gt;0),"NOVO ITEM COM BASE DIFERENTE DE 0 - AJUSTAR itens_Remanesc",IF(AND($Z100,NOT(ISNUMBER(itens_Remanesc!C100))),"NOVO ITEM SEM VU_ORIGINAL - INFORMAR EM itens_Remanesc",IF(MIN(E100,I100,M100,Q100,U100,G100,K100,O100,S100,W100)&lt;0,"ALERTA: POSICAO_NEGATIVA",IF(OR(AND(G100&lt;&gt;"",G100&gt;E100),AND(K100&lt;&gt;"",K100&gt;I100),AND(O100&lt;&gt;"",O100&gt;M100),AND(S100&lt;&gt;"",S100&gt;Q100),AND(W100&lt;&gt;"",W100&gt;U100)),"ALERTA: REMANESCENTE_SUPERA_POSICAO","OK"))))))</f>
        <v/>
      </c>
      <c r="Y100" t="str">
        <f t="shared" si="64"/>
        <v/>
      </c>
      <c r="Z100" t="b">
        <f t="shared" si="65"/>
        <v>0</v>
      </c>
      <c r="AA100" s="208" t="str">
        <f>IF($A100="","",IF(COUNTIFS(aditivos!$A$2:$A$200,$A100,aditivos!$L$2:$L$200,"&lt;&gt;",aditivos!$L$2:$L$200,"&lt;&gt;0",aditivos!$B$2:$B$200,"&gt;0")=0,"",IFERROR(_xlfn.MINIFS(aditivos!$B$2:$B$200,aditivos!$A$2:$A$200,$A100,aditivos!$L$2:$L$200,"&lt;&gt;",aditivos!$L$2:$L$200,"&lt;&gt;0",aditivos!$B$2:$B$200,"&gt;0"),"")))</f>
        <v/>
      </c>
      <c r="AB100" t="str">
        <f>IF($A100="","",IF(OR(parametros!$C$2="",parametros!$I$2=""),0,ROUND(SUMIFS(aditivos!$L$2:$L$200,aditivos!$A$2:$A$200,$A100,aditivos!$C$2:$C$200,"C0",aditivos!$B$2:$B$200,"&gt;="&amp;(INT(parametros!$I$2)+1)),2)))</f>
        <v/>
      </c>
      <c r="AC100" t="str">
        <f>IF($A100="","",IF(OR(parametros!$C$3="",parametros!$I$3=""),0,ROUND(SUMIFS(aditivos!$L$2:$L$200,aditivos!$A$2:$A$200,$A100,aditivos!$C$2:$C$200,"C1",aditivos!$B$2:$B$200,"&gt;="&amp;(INT(parametros!$I$3)+1)),2)))</f>
        <v/>
      </c>
      <c r="AD100" t="str">
        <f>IF($A100="","",IF(OR(parametros!$C$4="",parametros!$I$4=""),0,ROUND(SUMIFS(aditivos!$L$2:$L$200,aditivos!$A$2:$A$200,$A100,aditivos!$C$2:$C$200,"C2",aditivos!$B$2:$B$200,"&gt;="&amp;(INT(parametros!$I$4)+1)),2)))</f>
        <v/>
      </c>
      <c r="AE100" t="str">
        <f>IF($A100="","",IF(OR(parametros!$C$5="",parametros!$I$5=""),0,ROUND(SUMIFS(aditivos!$L$2:$L$200,aditivos!$A$2:$A$200,$A100,aditivos!$C$2:$C$200,"C3",aditivos!$B$2:$B$200,"&gt;="&amp;(INT(parametros!$I$5)+1)),2)))</f>
        <v/>
      </c>
      <c r="AF100" t="str">
        <f>IF($A100="","",IF(OR(parametros!$C$6="",parametros!$I$6=""),0,ROUND(SUMIFS(aditivos!$L$2:$L$200,aditivos!$A$2:$A$200,$A100,aditivos!$C$2:$C$200,"C4",aditivos!$B$2:$B$200,"&gt;="&amp;(INT(parametros!$I$6)+1)),2)))</f>
        <v/>
      </c>
      <c r="AG100" t="str">
        <f t="shared" si="66"/>
        <v/>
      </c>
      <c r="AH100" t="str">
        <f t="shared" si="67"/>
        <v/>
      </c>
      <c r="AI100" t="str">
        <f t="shared" si="68"/>
        <v/>
      </c>
      <c r="AJ100" t="str">
        <f t="shared" si="69"/>
        <v/>
      </c>
      <c r="AK100" t="str">
        <f t="shared" si="70"/>
        <v/>
      </c>
      <c r="AL100" t="str">
        <f t="shared" si="71"/>
        <v/>
      </c>
    </row>
    <row r="101" spans="1:38" x14ac:dyDescent="0.35">
      <c r="A101" s="146" t="str">
        <f>IF(itens_Remanesc!A101="","",itens_Remanesc!A101)</f>
        <v/>
      </c>
      <c r="B101" s="196" t="str">
        <f>IF(A101="","",itens_Remanesc!C101)</f>
        <v/>
      </c>
      <c r="C101" s="161" t="str">
        <f>IF(A101="","",IF(itens_Remanesc!B101="",0,itens_Remanesc!B101))</f>
        <v/>
      </c>
      <c r="D101" s="163" t="str">
        <f>IF(A101="","",ROUND(SUMIFS(aditivos!$L$2:$L$200,aditivos!$A$2:$A$200,A101,aditivos!$C$2:$C$200,"C0"),2))</f>
        <v/>
      </c>
      <c r="E101" s="159" t="str">
        <f t="shared" si="54"/>
        <v/>
      </c>
      <c r="F101" s="159" t="str">
        <f>IF(A101="","",IF(itens_Remanesc!B101&lt;&gt;"",itens_Remanesc!B101,IF($Z101,0,"")))</f>
        <v/>
      </c>
      <c r="G101" s="167" t="str">
        <f t="shared" si="55"/>
        <v/>
      </c>
      <c r="H101" s="169" t="str">
        <f>IF(A101="","",ROUND(SUMIFS(aditivos!$L$2:$L$200,aditivos!$A$2:$A$200,A101,aditivos!$C$2:$C$200,"C1"),2))</f>
        <v/>
      </c>
      <c r="I101" s="165" t="str">
        <f t="shared" si="56"/>
        <v/>
      </c>
      <c r="J101" s="165" t="str">
        <f>IF(A101="","",IF(itens_Remanesc!E101="","",itens_Remanesc!E101))</f>
        <v/>
      </c>
      <c r="K101" s="171" t="str">
        <f t="shared" si="57"/>
        <v/>
      </c>
      <c r="L101" s="163" t="str">
        <f>IF(A101="","",ROUND(SUMIFS(aditivos!$L$2:$L$200,aditivos!$A$2:$A$200,A101,aditivos!$C$2:$C$200,"C2"),2))</f>
        <v/>
      </c>
      <c r="M101" s="159" t="str">
        <f t="shared" si="58"/>
        <v/>
      </c>
      <c r="N101" s="159" t="str">
        <f>IF(A101="","",IF(itens_Remanesc!G101="","",itens_Remanesc!G101))</f>
        <v/>
      </c>
      <c r="O101" s="167" t="str">
        <f t="shared" si="59"/>
        <v/>
      </c>
      <c r="P101" s="169" t="str">
        <f>IF(A101="","",ROUND(SUMIFS(aditivos!$L$2:$L$200,aditivos!$A$2:$A$200,A101,aditivos!$C$2:$C$200,"C3"),2))</f>
        <v/>
      </c>
      <c r="Q101" s="165" t="str">
        <f t="shared" si="60"/>
        <v/>
      </c>
      <c r="R101" s="165" t="str">
        <f>IF(A101="","",IF(itens_Remanesc!I101="","",itens_Remanesc!I101))</f>
        <v/>
      </c>
      <c r="S101" s="171" t="str">
        <f t="shared" si="61"/>
        <v/>
      </c>
      <c r="T101" s="163" t="str">
        <f>IF(A101="","",ROUND(SUMIFS(aditivos!$L$2:$L$200,aditivos!$A$2:$A$200,A101,aditivos!$C$2:$C$200,"C4"),2))</f>
        <v/>
      </c>
      <c r="U101" s="159" t="str">
        <f t="shared" si="62"/>
        <v/>
      </c>
      <c r="V101" s="159" t="str">
        <f>IF(A101="","",IF(itens_Remanesc!K101="","",itens_Remanesc!K101))</f>
        <v/>
      </c>
      <c r="W101" s="159" t="str">
        <f t="shared" si="63"/>
        <v/>
      </c>
      <c r="X101" s="146" t="str">
        <f>IF(A101="","",IF(COUNTIF($A$2:$A$200,A101)&gt;1,"ALERTA: ITEM_DUPLICADO",IF(AND($Z101,ISNUMBER(itens_Remanesc!B101),itens_Remanesc!B101&lt;&gt;0),"NOVO ITEM COM BASE DIFERENTE DE 0 - AJUSTAR itens_Remanesc",IF(AND($Z101,NOT(ISNUMBER(itens_Remanesc!C101))),"NOVO ITEM SEM VU_ORIGINAL - INFORMAR EM itens_Remanesc",IF(MIN(E101,I101,M101,Q101,U101,G101,K101,O101,S101,W101)&lt;0,"ALERTA: POSICAO_NEGATIVA",IF(OR(AND(G101&lt;&gt;"",G101&gt;E101),AND(K101&lt;&gt;"",K101&gt;I101),AND(O101&lt;&gt;"",O101&gt;M101),AND(S101&lt;&gt;"",S101&gt;Q101),AND(W101&lt;&gt;"",W101&gt;U101)),"ALERTA: REMANESCENTE_SUPERA_POSICAO","OK"))))))</f>
        <v/>
      </c>
      <c r="Y101" t="str">
        <f t="shared" si="64"/>
        <v/>
      </c>
      <c r="Z101" t="b">
        <f t="shared" si="65"/>
        <v>0</v>
      </c>
      <c r="AA101" s="208" t="str">
        <f>IF($A101="","",IF(COUNTIFS(aditivos!$A$2:$A$200,$A101,aditivos!$L$2:$L$200,"&lt;&gt;",aditivos!$L$2:$L$200,"&lt;&gt;0",aditivos!$B$2:$B$200,"&gt;0")=0,"",IFERROR(_xlfn.MINIFS(aditivos!$B$2:$B$200,aditivos!$A$2:$A$200,$A101,aditivos!$L$2:$L$200,"&lt;&gt;",aditivos!$L$2:$L$200,"&lt;&gt;0",aditivos!$B$2:$B$200,"&gt;0"),"")))</f>
        <v/>
      </c>
      <c r="AB101" t="str">
        <f>IF($A101="","",IF(OR(parametros!$C$2="",parametros!$I$2=""),0,ROUND(SUMIFS(aditivos!$L$2:$L$200,aditivos!$A$2:$A$200,$A101,aditivos!$C$2:$C$200,"C0",aditivos!$B$2:$B$200,"&gt;="&amp;(INT(parametros!$I$2)+1)),2)))</f>
        <v/>
      </c>
      <c r="AC101" t="str">
        <f>IF($A101="","",IF(OR(parametros!$C$3="",parametros!$I$3=""),0,ROUND(SUMIFS(aditivos!$L$2:$L$200,aditivos!$A$2:$A$200,$A101,aditivos!$C$2:$C$200,"C1",aditivos!$B$2:$B$200,"&gt;="&amp;(INT(parametros!$I$3)+1)),2)))</f>
        <v/>
      </c>
      <c r="AD101" t="str">
        <f>IF($A101="","",IF(OR(parametros!$C$4="",parametros!$I$4=""),0,ROUND(SUMIFS(aditivos!$L$2:$L$200,aditivos!$A$2:$A$200,$A101,aditivos!$C$2:$C$200,"C2",aditivos!$B$2:$B$200,"&gt;="&amp;(INT(parametros!$I$4)+1)),2)))</f>
        <v/>
      </c>
      <c r="AE101" t="str">
        <f>IF($A101="","",IF(OR(parametros!$C$5="",parametros!$I$5=""),0,ROUND(SUMIFS(aditivos!$L$2:$L$200,aditivos!$A$2:$A$200,$A101,aditivos!$C$2:$C$200,"C3",aditivos!$B$2:$B$200,"&gt;="&amp;(INT(parametros!$I$5)+1)),2)))</f>
        <v/>
      </c>
      <c r="AF101" t="str">
        <f>IF($A101="","",IF(OR(parametros!$C$6="",parametros!$I$6=""),0,ROUND(SUMIFS(aditivos!$L$2:$L$200,aditivos!$A$2:$A$200,$A101,aditivos!$C$2:$C$200,"C4",aditivos!$B$2:$B$200,"&gt;="&amp;(INT(parametros!$I$6)+1)),2)))</f>
        <v/>
      </c>
      <c r="AG101" t="str">
        <f t="shared" si="66"/>
        <v/>
      </c>
      <c r="AH101" t="str">
        <f t="shared" si="67"/>
        <v/>
      </c>
      <c r="AI101" t="str">
        <f t="shared" si="68"/>
        <v/>
      </c>
      <c r="AJ101" t="str">
        <f t="shared" si="69"/>
        <v/>
      </c>
      <c r="AK101" t="str">
        <f t="shared" si="70"/>
        <v/>
      </c>
      <c r="AL101" t="str">
        <f t="shared" si="71"/>
        <v/>
      </c>
    </row>
    <row r="102" spans="1:38" x14ac:dyDescent="0.35">
      <c r="A102" s="146" t="str">
        <f>IF(itens_Remanesc!A102="","",itens_Remanesc!A102)</f>
        <v/>
      </c>
      <c r="B102" s="196" t="str">
        <f>IF(A102="","",itens_Remanesc!C102)</f>
        <v/>
      </c>
      <c r="C102" s="161" t="str">
        <f>IF(A102="","",IF(itens_Remanesc!B102="",0,itens_Remanesc!B102))</f>
        <v/>
      </c>
      <c r="D102" s="163" t="str">
        <f>IF(A102="","",ROUND(SUMIFS(aditivos!$L$2:$L$200,aditivos!$A$2:$A$200,A102,aditivos!$C$2:$C$200,"C0"),2))</f>
        <v/>
      </c>
      <c r="E102" s="159" t="str">
        <f t="shared" si="54"/>
        <v/>
      </c>
      <c r="F102" s="159" t="str">
        <f>IF(A102="","",IF(itens_Remanesc!B102&lt;&gt;"",itens_Remanesc!B102,IF($Z102,0,"")))</f>
        <v/>
      </c>
      <c r="G102" s="167" t="str">
        <f t="shared" si="55"/>
        <v/>
      </c>
      <c r="H102" s="169" t="str">
        <f>IF(A102="","",ROUND(SUMIFS(aditivos!$L$2:$L$200,aditivos!$A$2:$A$200,A102,aditivos!$C$2:$C$200,"C1"),2))</f>
        <v/>
      </c>
      <c r="I102" s="165" t="str">
        <f t="shared" si="56"/>
        <v/>
      </c>
      <c r="J102" s="165" t="str">
        <f>IF(A102="","",IF(itens_Remanesc!E102="","",itens_Remanesc!E102))</f>
        <v/>
      </c>
      <c r="K102" s="171" t="str">
        <f t="shared" si="57"/>
        <v/>
      </c>
      <c r="L102" s="163" t="str">
        <f>IF(A102="","",ROUND(SUMIFS(aditivos!$L$2:$L$200,aditivos!$A$2:$A$200,A102,aditivos!$C$2:$C$200,"C2"),2))</f>
        <v/>
      </c>
      <c r="M102" s="159" t="str">
        <f t="shared" si="58"/>
        <v/>
      </c>
      <c r="N102" s="159" t="str">
        <f>IF(A102="","",IF(itens_Remanesc!G102="","",itens_Remanesc!G102))</f>
        <v/>
      </c>
      <c r="O102" s="167" t="str">
        <f t="shared" si="59"/>
        <v/>
      </c>
      <c r="P102" s="169" t="str">
        <f>IF(A102="","",ROUND(SUMIFS(aditivos!$L$2:$L$200,aditivos!$A$2:$A$200,A102,aditivos!$C$2:$C$200,"C3"),2))</f>
        <v/>
      </c>
      <c r="Q102" s="165" t="str">
        <f t="shared" si="60"/>
        <v/>
      </c>
      <c r="R102" s="165" t="str">
        <f>IF(A102="","",IF(itens_Remanesc!I102="","",itens_Remanesc!I102))</f>
        <v/>
      </c>
      <c r="S102" s="171" t="str">
        <f t="shared" si="61"/>
        <v/>
      </c>
      <c r="T102" s="163" t="str">
        <f>IF(A102="","",ROUND(SUMIFS(aditivos!$L$2:$L$200,aditivos!$A$2:$A$200,A102,aditivos!$C$2:$C$200,"C4"),2))</f>
        <v/>
      </c>
      <c r="U102" s="159" t="str">
        <f t="shared" si="62"/>
        <v/>
      </c>
      <c r="V102" s="159" t="str">
        <f>IF(A102="","",IF(itens_Remanesc!K102="","",itens_Remanesc!K102))</f>
        <v/>
      </c>
      <c r="W102" s="159" t="str">
        <f t="shared" si="63"/>
        <v/>
      </c>
      <c r="X102" s="146" t="str">
        <f>IF(A102="","",IF(COUNTIF($A$2:$A$200,A102)&gt;1,"ALERTA: ITEM_DUPLICADO",IF(AND($Z102,ISNUMBER(itens_Remanesc!B102),itens_Remanesc!B102&lt;&gt;0),"NOVO ITEM COM BASE DIFERENTE DE 0 - AJUSTAR itens_Remanesc",IF(AND($Z102,NOT(ISNUMBER(itens_Remanesc!C102))),"NOVO ITEM SEM VU_ORIGINAL - INFORMAR EM itens_Remanesc",IF(MIN(E102,I102,M102,Q102,U102,G102,K102,O102,S102,W102)&lt;0,"ALERTA: POSICAO_NEGATIVA",IF(OR(AND(G102&lt;&gt;"",G102&gt;E102),AND(K102&lt;&gt;"",K102&gt;I102),AND(O102&lt;&gt;"",O102&gt;M102),AND(S102&lt;&gt;"",S102&gt;Q102),AND(W102&lt;&gt;"",W102&gt;U102)),"ALERTA: REMANESCENTE_SUPERA_POSICAO","OK"))))))</f>
        <v/>
      </c>
      <c r="Y102" t="str">
        <f t="shared" si="64"/>
        <v/>
      </c>
      <c r="Z102" t="b">
        <f t="shared" si="65"/>
        <v>0</v>
      </c>
      <c r="AA102" s="208" t="str">
        <f>IF($A102="","",IF(COUNTIFS(aditivos!$A$2:$A$200,$A102,aditivos!$L$2:$L$200,"&lt;&gt;",aditivos!$L$2:$L$200,"&lt;&gt;0",aditivos!$B$2:$B$200,"&gt;0")=0,"",IFERROR(_xlfn.MINIFS(aditivos!$B$2:$B$200,aditivos!$A$2:$A$200,$A102,aditivos!$L$2:$L$200,"&lt;&gt;",aditivos!$L$2:$L$200,"&lt;&gt;0",aditivos!$B$2:$B$200,"&gt;0"),"")))</f>
        <v/>
      </c>
      <c r="AB102" t="str">
        <f>IF($A102="","",IF(OR(parametros!$C$2="",parametros!$I$2=""),0,ROUND(SUMIFS(aditivos!$L$2:$L$200,aditivos!$A$2:$A$200,$A102,aditivos!$C$2:$C$200,"C0",aditivos!$B$2:$B$200,"&gt;="&amp;(INT(parametros!$I$2)+1)),2)))</f>
        <v/>
      </c>
      <c r="AC102" t="str">
        <f>IF($A102="","",IF(OR(parametros!$C$3="",parametros!$I$3=""),0,ROUND(SUMIFS(aditivos!$L$2:$L$200,aditivos!$A$2:$A$200,$A102,aditivos!$C$2:$C$200,"C1",aditivos!$B$2:$B$200,"&gt;="&amp;(INT(parametros!$I$3)+1)),2)))</f>
        <v/>
      </c>
      <c r="AD102" t="str">
        <f>IF($A102="","",IF(OR(parametros!$C$4="",parametros!$I$4=""),0,ROUND(SUMIFS(aditivos!$L$2:$L$200,aditivos!$A$2:$A$200,$A102,aditivos!$C$2:$C$200,"C2",aditivos!$B$2:$B$200,"&gt;="&amp;(INT(parametros!$I$4)+1)),2)))</f>
        <v/>
      </c>
      <c r="AE102" t="str">
        <f>IF($A102="","",IF(OR(parametros!$C$5="",parametros!$I$5=""),0,ROUND(SUMIFS(aditivos!$L$2:$L$200,aditivos!$A$2:$A$200,$A102,aditivos!$C$2:$C$200,"C3",aditivos!$B$2:$B$200,"&gt;="&amp;(INT(parametros!$I$5)+1)),2)))</f>
        <v/>
      </c>
      <c r="AF102" t="str">
        <f>IF($A102="","",IF(OR(parametros!$C$6="",parametros!$I$6=""),0,ROUND(SUMIFS(aditivos!$L$2:$L$200,aditivos!$A$2:$A$200,$A102,aditivos!$C$2:$C$200,"C4",aditivos!$B$2:$B$200,"&gt;="&amp;(INT(parametros!$I$6)+1)),2)))</f>
        <v/>
      </c>
      <c r="AG102" t="str">
        <f t="shared" si="66"/>
        <v/>
      </c>
      <c r="AH102" t="str">
        <f t="shared" si="67"/>
        <v/>
      </c>
      <c r="AI102" t="str">
        <f t="shared" si="68"/>
        <v/>
      </c>
      <c r="AJ102" t="str">
        <f t="shared" si="69"/>
        <v/>
      </c>
      <c r="AK102" t="str">
        <f t="shared" si="70"/>
        <v/>
      </c>
      <c r="AL102" t="str">
        <f t="shared" si="71"/>
        <v/>
      </c>
    </row>
    <row r="103" spans="1:38" x14ac:dyDescent="0.35">
      <c r="A103" s="146" t="str">
        <f>IF(itens_Remanesc!A103="","",itens_Remanesc!A103)</f>
        <v/>
      </c>
      <c r="B103" s="196" t="str">
        <f>IF(A103="","",itens_Remanesc!C103)</f>
        <v/>
      </c>
      <c r="C103" s="161" t="str">
        <f>IF(A103="","",IF(itens_Remanesc!B103="",0,itens_Remanesc!B103))</f>
        <v/>
      </c>
      <c r="D103" s="163" t="str">
        <f>IF(A103="","",ROUND(SUMIFS(aditivos!$L$2:$L$200,aditivos!$A$2:$A$200,A103,aditivos!$C$2:$C$200,"C0"),2))</f>
        <v/>
      </c>
      <c r="E103" s="159" t="str">
        <f t="shared" si="54"/>
        <v/>
      </c>
      <c r="F103" s="159" t="str">
        <f>IF(A103="","",IF(itens_Remanesc!B103&lt;&gt;"",itens_Remanesc!B103,IF($Z103,0,"")))</f>
        <v/>
      </c>
      <c r="G103" s="167" t="str">
        <f t="shared" si="55"/>
        <v/>
      </c>
      <c r="H103" s="169" t="str">
        <f>IF(A103="","",ROUND(SUMIFS(aditivos!$L$2:$L$200,aditivos!$A$2:$A$200,A103,aditivos!$C$2:$C$200,"C1"),2))</f>
        <v/>
      </c>
      <c r="I103" s="165" t="str">
        <f t="shared" si="56"/>
        <v/>
      </c>
      <c r="J103" s="165" t="str">
        <f>IF(A103="","",IF(itens_Remanesc!E103="","",itens_Remanesc!E103))</f>
        <v/>
      </c>
      <c r="K103" s="171" t="str">
        <f t="shared" si="57"/>
        <v/>
      </c>
      <c r="L103" s="163" t="str">
        <f>IF(A103="","",ROUND(SUMIFS(aditivos!$L$2:$L$200,aditivos!$A$2:$A$200,A103,aditivos!$C$2:$C$200,"C2"),2))</f>
        <v/>
      </c>
      <c r="M103" s="159" t="str">
        <f t="shared" si="58"/>
        <v/>
      </c>
      <c r="N103" s="159" t="str">
        <f>IF(A103="","",IF(itens_Remanesc!G103="","",itens_Remanesc!G103))</f>
        <v/>
      </c>
      <c r="O103" s="167" t="str">
        <f t="shared" si="59"/>
        <v/>
      </c>
      <c r="P103" s="169" t="str">
        <f>IF(A103="","",ROUND(SUMIFS(aditivos!$L$2:$L$200,aditivos!$A$2:$A$200,A103,aditivos!$C$2:$C$200,"C3"),2))</f>
        <v/>
      </c>
      <c r="Q103" s="165" t="str">
        <f t="shared" si="60"/>
        <v/>
      </c>
      <c r="R103" s="165" t="str">
        <f>IF(A103="","",IF(itens_Remanesc!I103="","",itens_Remanesc!I103))</f>
        <v/>
      </c>
      <c r="S103" s="171" t="str">
        <f t="shared" si="61"/>
        <v/>
      </c>
      <c r="T103" s="163" t="str">
        <f>IF(A103="","",ROUND(SUMIFS(aditivos!$L$2:$L$200,aditivos!$A$2:$A$200,A103,aditivos!$C$2:$C$200,"C4"),2))</f>
        <v/>
      </c>
      <c r="U103" s="159" t="str">
        <f t="shared" si="62"/>
        <v/>
      </c>
      <c r="V103" s="159" t="str">
        <f>IF(A103="","",IF(itens_Remanesc!K103="","",itens_Remanesc!K103))</f>
        <v/>
      </c>
      <c r="W103" s="159" t="str">
        <f t="shared" si="63"/>
        <v/>
      </c>
      <c r="X103" s="146" t="str">
        <f>IF(A103="","",IF(COUNTIF($A$2:$A$200,A103)&gt;1,"ALERTA: ITEM_DUPLICADO",IF(AND($Z103,ISNUMBER(itens_Remanesc!B103),itens_Remanesc!B103&lt;&gt;0),"NOVO ITEM COM BASE DIFERENTE DE 0 - AJUSTAR itens_Remanesc",IF(AND($Z103,NOT(ISNUMBER(itens_Remanesc!C103))),"NOVO ITEM SEM VU_ORIGINAL - INFORMAR EM itens_Remanesc",IF(MIN(E103,I103,M103,Q103,U103,G103,K103,O103,S103,W103)&lt;0,"ALERTA: POSICAO_NEGATIVA",IF(OR(AND(G103&lt;&gt;"",G103&gt;E103),AND(K103&lt;&gt;"",K103&gt;I103),AND(O103&lt;&gt;"",O103&gt;M103),AND(S103&lt;&gt;"",S103&gt;Q103),AND(W103&lt;&gt;"",W103&gt;U103)),"ALERTA: REMANESCENTE_SUPERA_POSICAO","OK"))))))</f>
        <v/>
      </c>
      <c r="Y103" t="str">
        <f t="shared" si="64"/>
        <v/>
      </c>
      <c r="Z103" t="b">
        <f t="shared" si="65"/>
        <v>0</v>
      </c>
      <c r="AA103" s="208" t="str">
        <f>IF($A103="","",IF(COUNTIFS(aditivos!$A$2:$A$200,$A103,aditivos!$L$2:$L$200,"&lt;&gt;",aditivos!$L$2:$L$200,"&lt;&gt;0",aditivos!$B$2:$B$200,"&gt;0")=0,"",IFERROR(_xlfn.MINIFS(aditivos!$B$2:$B$200,aditivos!$A$2:$A$200,$A103,aditivos!$L$2:$L$200,"&lt;&gt;",aditivos!$L$2:$L$200,"&lt;&gt;0",aditivos!$B$2:$B$200,"&gt;0"),"")))</f>
        <v/>
      </c>
      <c r="AB103" t="str">
        <f>IF($A103="","",IF(OR(parametros!$C$2="",parametros!$I$2=""),0,ROUND(SUMIFS(aditivos!$L$2:$L$200,aditivos!$A$2:$A$200,$A103,aditivos!$C$2:$C$200,"C0",aditivos!$B$2:$B$200,"&gt;="&amp;(INT(parametros!$I$2)+1)),2)))</f>
        <v/>
      </c>
      <c r="AC103" t="str">
        <f>IF($A103="","",IF(OR(parametros!$C$3="",parametros!$I$3=""),0,ROUND(SUMIFS(aditivos!$L$2:$L$200,aditivos!$A$2:$A$200,$A103,aditivos!$C$2:$C$200,"C1",aditivos!$B$2:$B$200,"&gt;="&amp;(INT(parametros!$I$3)+1)),2)))</f>
        <v/>
      </c>
      <c r="AD103" t="str">
        <f>IF($A103="","",IF(OR(parametros!$C$4="",parametros!$I$4=""),0,ROUND(SUMIFS(aditivos!$L$2:$L$200,aditivos!$A$2:$A$200,$A103,aditivos!$C$2:$C$200,"C2",aditivos!$B$2:$B$200,"&gt;="&amp;(INT(parametros!$I$4)+1)),2)))</f>
        <v/>
      </c>
      <c r="AE103" t="str">
        <f>IF($A103="","",IF(OR(parametros!$C$5="",parametros!$I$5=""),0,ROUND(SUMIFS(aditivos!$L$2:$L$200,aditivos!$A$2:$A$200,$A103,aditivos!$C$2:$C$200,"C3",aditivos!$B$2:$B$200,"&gt;="&amp;(INT(parametros!$I$5)+1)),2)))</f>
        <v/>
      </c>
      <c r="AF103" t="str">
        <f>IF($A103="","",IF(OR(parametros!$C$6="",parametros!$I$6=""),0,ROUND(SUMIFS(aditivos!$L$2:$L$200,aditivos!$A$2:$A$200,$A103,aditivos!$C$2:$C$200,"C4",aditivos!$B$2:$B$200,"&gt;="&amp;(INT(parametros!$I$6)+1)),2)))</f>
        <v/>
      </c>
      <c r="AG103" t="str">
        <f t="shared" si="66"/>
        <v/>
      </c>
      <c r="AH103" t="str">
        <f t="shared" si="67"/>
        <v/>
      </c>
      <c r="AI103" t="str">
        <f t="shared" si="68"/>
        <v/>
      </c>
      <c r="AJ103" t="str">
        <f t="shared" si="69"/>
        <v/>
      </c>
      <c r="AK103" t="str">
        <f t="shared" si="70"/>
        <v/>
      </c>
      <c r="AL103" t="str">
        <f t="shared" si="71"/>
        <v/>
      </c>
    </row>
    <row r="104" spans="1:38" x14ac:dyDescent="0.35">
      <c r="A104" s="146" t="str">
        <f>IF(itens_Remanesc!A104="","",itens_Remanesc!A104)</f>
        <v/>
      </c>
      <c r="B104" s="196" t="str">
        <f>IF(A104="","",itens_Remanesc!C104)</f>
        <v/>
      </c>
      <c r="C104" s="161" t="str">
        <f>IF(A104="","",IF(itens_Remanesc!B104="",0,itens_Remanesc!B104))</f>
        <v/>
      </c>
      <c r="D104" s="163" t="str">
        <f>IF(A104="","",ROUND(SUMIFS(aditivos!$L$2:$L$200,aditivos!$A$2:$A$200,A104,aditivos!$C$2:$C$200,"C0"),2))</f>
        <v/>
      </c>
      <c r="E104" s="159" t="str">
        <f t="shared" si="54"/>
        <v/>
      </c>
      <c r="F104" s="159" t="str">
        <f>IF(A104="","",IF(itens_Remanesc!B104&lt;&gt;"",itens_Remanesc!B104,IF($Z104,0,"")))</f>
        <v/>
      </c>
      <c r="G104" s="167" t="str">
        <f t="shared" si="55"/>
        <v/>
      </c>
      <c r="H104" s="169" t="str">
        <f>IF(A104="","",ROUND(SUMIFS(aditivos!$L$2:$L$200,aditivos!$A$2:$A$200,A104,aditivos!$C$2:$C$200,"C1"),2))</f>
        <v/>
      </c>
      <c r="I104" s="165" t="str">
        <f t="shared" si="56"/>
        <v/>
      </c>
      <c r="J104" s="165" t="str">
        <f>IF(A104="","",IF(itens_Remanesc!E104="","",itens_Remanesc!E104))</f>
        <v/>
      </c>
      <c r="K104" s="171" t="str">
        <f t="shared" si="57"/>
        <v/>
      </c>
      <c r="L104" s="163" t="str">
        <f>IF(A104="","",ROUND(SUMIFS(aditivos!$L$2:$L$200,aditivos!$A$2:$A$200,A104,aditivos!$C$2:$C$200,"C2"),2))</f>
        <v/>
      </c>
      <c r="M104" s="159" t="str">
        <f t="shared" si="58"/>
        <v/>
      </c>
      <c r="N104" s="159" t="str">
        <f>IF(A104="","",IF(itens_Remanesc!G104="","",itens_Remanesc!G104))</f>
        <v/>
      </c>
      <c r="O104" s="167" t="str">
        <f t="shared" si="59"/>
        <v/>
      </c>
      <c r="P104" s="169" t="str">
        <f>IF(A104="","",ROUND(SUMIFS(aditivos!$L$2:$L$200,aditivos!$A$2:$A$200,A104,aditivos!$C$2:$C$200,"C3"),2))</f>
        <v/>
      </c>
      <c r="Q104" s="165" t="str">
        <f t="shared" si="60"/>
        <v/>
      </c>
      <c r="R104" s="165" t="str">
        <f>IF(A104="","",IF(itens_Remanesc!I104="","",itens_Remanesc!I104))</f>
        <v/>
      </c>
      <c r="S104" s="171" t="str">
        <f t="shared" si="61"/>
        <v/>
      </c>
      <c r="T104" s="163" t="str">
        <f>IF(A104="","",ROUND(SUMIFS(aditivos!$L$2:$L$200,aditivos!$A$2:$A$200,A104,aditivos!$C$2:$C$200,"C4"),2))</f>
        <v/>
      </c>
      <c r="U104" s="159" t="str">
        <f t="shared" si="62"/>
        <v/>
      </c>
      <c r="V104" s="159" t="str">
        <f>IF(A104="","",IF(itens_Remanesc!K104="","",itens_Remanesc!K104))</f>
        <v/>
      </c>
      <c r="W104" s="159" t="str">
        <f t="shared" si="63"/>
        <v/>
      </c>
      <c r="X104" s="146" t="str">
        <f>IF(A104="","",IF(COUNTIF($A$2:$A$200,A104)&gt;1,"ALERTA: ITEM_DUPLICADO",IF(AND($Z104,ISNUMBER(itens_Remanesc!B104),itens_Remanesc!B104&lt;&gt;0),"NOVO ITEM COM BASE DIFERENTE DE 0 - AJUSTAR itens_Remanesc",IF(AND($Z104,NOT(ISNUMBER(itens_Remanesc!C104))),"NOVO ITEM SEM VU_ORIGINAL - INFORMAR EM itens_Remanesc",IF(MIN(E104,I104,M104,Q104,U104,G104,K104,O104,S104,W104)&lt;0,"ALERTA: POSICAO_NEGATIVA",IF(OR(AND(G104&lt;&gt;"",G104&gt;E104),AND(K104&lt;&gt;"",K104&gt;I104),AND(O104&lt;&gt;"",O104&gt;M104),AND(S104&lt;&gt;"",S104&gt;Q104),AND(W104&lt;&gt;"",W104&gt;U104)),"ALERTA: REMANESCENTE_SUPERA_POSICAO","OK"))))))</f>
        <v/>
      </c>
      <c r="Y104" t="str">
        <f t="shared" si="64"/>
        <v/>
      </c>
      <c r="Z104" t="b">
        <f t="shared" si="65"/>
        <v>0</v>
      </c>
      <c r="AA104" s="208" t="str">
        <f>IF($A104="","",IF(COUNTIFS(aditivos!$A$2:$A$200,$A104,aditivos!$L$2:$L$200,"&lt;&gt;",aditivos!$L$2:$L$200,"&lt;&gt;0",aditivos!$B$2:$B$200,"&gt;0")=0,"",IFERROR(_xlfn.MINIFS(aditivos!$B$2:$B$200,aditivos!$A$2:$A$200,$A104,aditivos!$L$2:$L$200,"&lt;&gt;",aditivos!$L$2:$L$200,"&lt;&gt;0",aditivos!$B$2:$B$200,"&gt;0"),"")))</f>
        <v/>
      </c>
      <c r="AB104" t="str">
        <f>IF($A104="","",IF(OR(parametros!$C$2="",parametros!$I$2=""),0,ROUND(SUMIFS(aditivos!$L$2:$L$200,aditivos!$A$2:$A$200,$A104,aditivos!$C$2:$C$200,"C0",aditivos!$B$2:$B$200,"&gt;="&amp;(INT(parametros!$I$2)+1)),2)))</f>
        <v/>
      </c>
      <c r="AC104" t="str">
        <f>IF($A104="","",IF(OR(parametros!$C$3="",parametros!$I$3=""),0,ROUND(SUMIFS(aditivos!$L$2:$L$200,aditivos!$A$2:$A$200,$A104,aditivos!$C$2:$C$200,"C1",aditivos!$B$2:$B$200,"&gt;="&amp;(INT(parametros!$I$3)+1)),2)))</f>
        <v/>
      </c>
      <c r="AD104" t="str">
        <f>IF($A104="","",IF(OR(parametros!$C$4="",parametros!$I$4=""),0,ROUND(SUMIFS(aditivos!$L$2:$L$200,aditivos!$A$2:$A$200,$A104,aditivos!$C$2:$C$200,"C2",aditivos!$B$2:$B$200,"&gt;="&amp;(INT(parametros!$I$4)+1)),2)))</f>
        <v/>
      </c>
      <c r="AE104" t="str">
        <f>IF($A104="","",IF(OR(parametros!$C$5="",parametros!$I$5=""),0,ROUND(SUMIFS(aditivos!$L$2:$L$200,aditivos!$A$2:$A$200,$A104,aditivos!$C$2:$C$200,"C3",aditivos!$B$2:$B$200,"&gt;="&amp;(INT(parametros!$I$5)+1)),2)))</f>
        <v/>
      </c>
      <c r="AF104" t="str">
        <f>IF($A104="","",IF(OR(parametros!$C$6="",parametros!$I$6=""),0,ROUND(SUMIFS(aditivos!$L$2:$L$200,aditivos!$A$2:$A$200,$A104,aditivos!$C$2:$C$200,"C4",aditivos!$B$2:$B$200,"&gt;="&amp;(INT(parametros!$I$6)+1)),2)))</f>
        <v/>
      </c>
      <c r="AG104" t="str">
        <f t="shared" si="66"/>
        <v/>
      </c>
      <c r="AH104" t="str">
        <f t="shared" si="67"/>
        <v/>
      </c>
      <c r="AI104" t="str">
        <f t="shared" si="68"/>
        <v/>
      </c>
      <c r="AJ104" t="str">
        <f t="shared" si="69"/>
        <v/>
      </c>
      <c r="AK104" t="str">
        <f t="shared" si="70"/>
        <v/>
      </c>
      <c r="AL104" t="str">
        <f t="shared" si="71"/>
        <v/>
      </c>
    </row>
    <row r="105" spans="1:38" x14ac:dyDescent="0.35">
      <c r="A105" s="146" t="str">
        <f>IF(itens_Remanesc!A105="","",itens_Remanesc!A105)</f>
        <v/>
      </c>
      <c r="B105" s="196" t="str">
        <f>IF(A105="","",itens_Remanesc!C105)</f>
        <v/>
      </c>
      <c r="C105" s="161" t="str">
        <f>IF(A105="","",IF(itens_Remanesc!B105="",0,itens_Remanesc!B105))</f>
        <v/>
      </c>
      <c r="D105" s="163" t="str">
        <f>IF(A105="","",ROUND(SUMIFS(aditivos!$L$2:$L$200,aditivos!$A$2:$A$200,A105,aditivos!$C$2:$C$200,"C0"),2))</f>
        <v/>
      </c>
      <c r="E105" s="159" t="str">
        <f t="shared" si="54"/>
        <v/>
      </c>
      <c r="F105" s="159" t="str">
        <f>IF(A105="","",IF(itens_Remanesc!B105&lt;&gt;"",itens_Remanesc!B105,IF($Z105,0,"")))</f>
        <v/>
      </c>
      <c r="G105" s="167" t="str">
        <f t="shared" si="55"/>
        <v/>
      </c>
      <c r="H105" s="169" t="str">
        <f>IF(A105="","",ROUND(SUMIFS(aditivos!$L$2:$L$200,aditivos!$A$2:$A$200,A105,aditivos!$C$2:$C$200,"C1"),2))</f>
        <v/>
      </c>
      <c r="I105" s="165" t="str">
        <f t="shared" si="56"/>
        <v/>
      </c>
      <c r="J105" s="165" t="str">
        <f>IF(A105="","",IF(itens_Remanesc!E105="","",itens_Remanesc!E105))</f>
        <v/>
      </c>
      <c r="K105" s="171" t="str">
        <f t="shared" si="57"/>
        <v/>
      </c>
      <c r="L105" s="163" t="str">
        <f>IF(A105="","",ROUND(SUMIFS(aditivos!$L$2:$L$200,aditivos!$A$2:$A$200,A105,aditivos!$C$2:$C$200,"C2"),2))</f>
        <v/>
      </c>
      <c r="M105" s="159" t="str">
        <f t="shared" si="58"/>
        <v/>
      </c>
      <c r="N105" s="159" t="str">
        <f>IF(A105="","",IF(itens_Remanesc!G105="","",itens_Remanesc!G105))</f>
        <v/>
      </c>
      <c r="O105" s="167" t="str">
        <f t="shared" si="59"/>
        <v/>
      </c>
      <c r="P105" s="169" t="str">
        <f>IF(A105="","",ROUND(SUMIFS(aditivos!$L$2:$L$200,aditivos!$A$2:$A$200,A105,aditivos!$C$2:$C$200,"C3"),2))</f>
        <v/>
      </c>
      <c r="Q105" s="165" t="str">
        <f t="shared" si="60"/>
        <v/>
      </c>
      <c r="R105" s="165" t="str">
        <f>IF(A105="","",IF(itens_Remanesc!I105="","",itens_Remanesc!I105))</f>
        <v/>
      </c>
      <c r="S105" s="171" t="str">
        <f t="shared" si="61"/>
        <v/>
      </c>
      <c r="T105" s="163" t="str">
        <f>IF(A105="","",ROUND(SUMIFS(aditivos!$L$2:$L$200,aditivos!$A$2:$A$200,A105,aditivos!$C$2:$C$200,"C4"),2))</f>
        <v/>
      </c>
      <c r="U105" s="159" t="str">
        <f t="shared" si="62"/>
        <v/>
      </c>
      <c r="V105" s="159" t="str">
        <f>IF(A105="","",IF(itens_Remanesc!K105="","",itens_Remanesc!K105))</f>
        <v/>
      </c>
      <c r="W105" s="159" t="str">
        <f t="shared" si="63"/>
        <v/>
      </c>
      <c r="X105" s="146" t="str">
        <f>IF(A105="","",IF(COUNTIF($A$2:$A$200,A105)&gt;1,"ALERTA: ITEM_DUPLICADO",IF(AND($Z105,ISNUMBER(itens_Remanesc!B105),itens_Remanesc!B105&lt;&gt;0),"NOVO ITEM COM BASE DIFERENTE DE 0 - AJUSTAR itens_Remanesc",IF(AND($Z105,NOT(ISNUMBER(itens_Remanesc!C105))),"NOVO ITEM SEM VU_ORIGINAL - INFORMAR EM itens_Remanesc",IF(MIN(E105,I105,M105,Q105,U105,G105,K105,O105,S105,W105)&lt;0,"ALERTA: POSICAO_NEGATIVA",IF(OR(AND(G105&lt;&gt;"",G105&gt;E105),AND(K105&lt;&gt;"",K105&gt;I105),AND(O105&lt;&gt;"",O105&gt;M105),AND(S105&lt;&gt;"",S105&gt;Q105),AND(W105&lt;&gt;"",W105&gt;U105)),"ALERTA: REMANESCENTE_SUPERA_POSICAO","OK"))))))</f>
        <v/>
      </c>
      <c r="Y105" t="str">
        <f t="shared" si="64"/>
        <v/>
      </c>
      <c r="Z105" t="b">
        <f t="shared" si="65"/>
        <v>0</v>
      </c>
      <c r="AA105" s="208" t="str">
        <f>IF($A105="","",IF(COUNTIFS(aditivos!$A$2:$A$200,$A105,aditivos!$L$2:$L$200,"&lt;&gt;",aditivos!$L$2:$L$200,"&lt;&gt;0",aditivos!$B$2:$B$200,"&gt;0")=0,"",IFERROR(_xlfn.MINIFS(aditivos!$B$2:$B$200,aditivos!$A$2:$A$200,$A105,aditivos!$L$2:$L$200,"&lt;&gt;",aditivos!$L$2:$L$200,"&lt;&gt;0",aditivos!$B$2:$B$200,"&gt;0"),"")))</f>
        <v/>
      </c>
      <c r="AB105" t="str">
        <f>IF($A105="","",IF(OR(parametros!$C$2="",parametros!$I$2=""),0,ROUND(SUMIFS(aditivos!$L$2:$L$200,aditivos!$A$2:$A$200,$A105,aditivos!$C$2:$C$200,"C0",aditivos!$B$2:$B$200,"&gt;="&amp;(INT(parametros!$I$2)+1)),2)))</f>
        <v/>
      </c>
      <c r="AC105" t="str">
        <f>IF($A105="","",IF(OR(parametros!$C$3="",parametros!$I$3=""),0,ROUND(SUMIFS(aditivos!$L$2:$L$200,aditivos!$A$2:$A$200,$A105,aditivos!$C$2:$C$200,"C1",aditivos!$B$2:$B$200,"&gt;="&amp;(INT(parametros!$I$3)+1)),2)))</f>
        <v/>
      </c>
      <c r="AD105" t="str">
        <f>IF($A105="","",IF(OR(parametros!$C$4="",parametros!$I$4=""),0,ROUND(SUMIFS(aditivos!$L$2:$L$200,aditivos!$A$2:$A$200,$A105,aditivos!$C$2:$C$200,"C2",aditivos!$B$2:$B$200,"&gt;="&amp;(INT(parametros!$I$4)+1)),2)))</f>
        <v/>
      </c>
      <c r="AE105" t="str">
        <f>IF($A105="","",IF(OR(parametros!$C$5="",parametros!$I$5=""),0,ROUND(SUMIFS(aditivos!$L$2:$L$200,aditivos!$A$2:$A$200,$A105,aditivos!$C$2:$C$200,"C3",aditivos!$B$2:$B$200,"&gt;="&amp;(INT(parametros!$I$5)+1)),2)))</f>
        <v/>
      </c>
      <c r="AF105" t="str">
        <f>IF($A105="","",IF(OR(parametros!$C$6="",parametros!$I$6=""),0,ROUND(SUMIFS(aditivos!$L$2:$L$200,aditivos!$A$2:$A$200,$A105,aditivos!$C$2:$C$200,"C4",aditivos!$B$2:$B$200,"&gt;="&amp;(INT(parametros!$I$6)+1)),2)))</f>
        <v/>
      </c>
      <c r="AG105" t="str">
        <f t="shared" si="66"/>
        <v/>
      </c>
      <c r="AH105" t="str">
        <f t="shared" si="67"/>
        <v/>
      </c>
      <c r="AI105" t="str">
        <f t="shared" si="68"/>
        <v/>
      </c>
      <c r="AJ105" t="str">
        <f t="shared" si="69"/>
        <v/>
      </c>
      <c r="AK105" t="str">
        <f t="shared" si="70"/>
        <v/>
      </c>
      <c r="AL105" t="str">
        <f t="shared" si="71"/>
        <v/>
      </c>
    </row>
    <row r="106" spans="1:38" x14ac:dyDescent="0.35">
      <c r="A106" s="146" t="str">
        <f>IF(itens_Remanesc!A106="","",itens_Remanesc!A106)</f>
        <v/>
      </c>
      <c r="B106" s="196" t="str">
        <f>IF(A106="","",itens_Remanesc!C106)</f>
        <v/>
      </c>
      <c r="C106" s="161" t="str">
        <f>IF(A106="","",IF(itens_Remanesc!B106="",0,itens_Remanesc!B106))</f>
        <v/>
      </c>
      <c r="D106" s="163" t="str">
        <f>IF(A106="","",ROUND(SUMIFS(aditivos!$L$2:$L$200,aditivos!$A$2:$A$200,A106,aditivos!$C$2:$C$200,"C0"),2))</f>
        <v/>
      </c>
      <c r="E106" s="159" t="str">
        <f t="shared" si="54"/>
        <v/>
      </c>
      <c r="F106" s="159" t="str">
        <f>IF(A106="","",IF(itens_Remanesc!B106&lt;&gt;"",itens_Remanesc!B106,IF($Z106,0,"")))</f>
        <v/>
      </c>
      <c r="G106" s="167" t="str">
        <f t="shared" si="55"/>
        <v/>
      </c>
      <c r="H106" s="169" t="str">
        <f>IF(A106="","",ROUND(SUMIFS(aditivos!$L$2:$L$200,aditivos!$A$2:$A$200,A106,aditivos!$C$2:$C$200,"C1"),2))</f>
        <v/>
      </c>
      <c r="I106" s="165" t="str">
        <f t="shared" si="56"/>
        <v/>
      </c>
      <c r="J106" s="165" t="str">
        <f>IF(A106="","",IF(itens_Remanesc!E106="","",itens_Remanesc!E106))</f>
        <v/>
      </c>
      <c r="K106" s="171" t="str">
        <f t="shared" si="57"/>
        <v/>
      </c>
      <c r="L106" s="163" t="str">
        <f>IF(A106="","",ROUND(SUMIFS(aditivos!$L$2:$L$200,aditivos!$A$2:$A$200,A106,aditivos!$C$2:$C$200,"C2"),2))</f>
        <v/>
      </c>
      <c r="M106" s="159" t="str">
        <f t="shared" si="58"/>
        <v/>
      </c>
      <c r="N106" s="159" t="str">
        <f>IF(A106="","",IF(itens_Remanesc!G106="","",itens_Remanesc!G106))</f>
        <v/>
      </c>
      <c r="O106" s="167" t="str">
        <f t="shared" si="59"/>
        <v/>
      </c>
      <c r="P106" s="169" t="str">
        <f>IF(A106="","",ROUND(SUMIFS(aditivos!$L$2:$L$200,aditivos!$A$2:$A$200,A106,aditivos!$C$2:$C$200,"C3"),2))</f>
        <v/>
      </c>
      <c r="Q106" s="165" t="str">
        <f t="shared" si="60"/>
        <v/>
      </c>
      <c r="R106" s="165" t="str">
        <f>IF(A106="","",IF(itens_Remanesc!I106="","",itens_Remanesc!I106))</f>
        <v/>
      </c>
      <c r="S106" s="171" t="str">
        <f t="shared" si="61"/>
        <v/>
      </c>
      <c r="T106" s="163" t="str">
        <f>IF(A106="","",ROUND(SUMIFS(aditivos!$L$2:$L$200,aditivos!$A$2:$A$200,A106,aditivos!$C$2:$C$200,"C4"),2))</f>
        <v/>
      </c>
      <c r="U106" s="159" t="str">
        <f t="shared" si="62"/>
        <v/>
      </c>
      <c r="V106" s="159" t="str">
        <f>IF(A106="","",IF(itens_Remanesc!K106="","",itens_Remanesc!K106))</f>
        <v/>
      </c>
      <c r="W106" s="159" t="str">
        <f t="shared" si="63"/>
        <v/>
      </c>
      <c r="X106" s="146" t="str">
        <f>IF(A106="","",IF(COUNTIF($A$2:$A$200,A106)&gt;1,"ALERTA: ITEM_DUPLICADO",IF(AND($Z106,ISNUMBER(itens_Remanesc!B106),itens_Remanesc!B106&lt;&gt;0),"NOVO ITEM COM BASE DIFERENTE DE 0 - AJUSTAR itens_Remanesc",IF(AND($Z106,NOT(ISNUMBER(itens_Remanesc!C106))),"NOVO ITEM SEM VU_ORIGINAL - INFORMAR EM itens_Remanesc",IF(MIN(E106,I106,M106,Q106,U106,G106,K106,O106,S106,W106)&lt;0,"ALERTA: POSICAO_NEGATIVA",IF(OR(AND(G106&lt;&gt;"",G106&gt;E106),AND(K106&lt;&gt;"",K106&gt;I106),AND(O106&lt;&gt;"",O106&gt;M106),AND(S106&lt;&gt;"",S106&gt;Q106),AND(W106&lt;&gt;"",W106&gt;U106)),"ALERTA: REMANESCENTE_SUPERA_POSICAO","OK"))))))</f>
        <v/>
      </c>
      <c r="Y106" t="str">
        <f t="shared" si="64"/>
        <v/>
      </c>
      <c r="Z106" t="b">
        <f t="shared" si="65"/>
        <v>0</v>
      </c>
      <c r="AA106" s="208" t="str">
        <f>IF($A106="","",IF(COUNTIFS(aditivos!$A$2:$A$200,$A106,aditivos!$L$2:$L$200,"&lt;&gt;",aditivos!$L$2:$L$200,"&lt;&gt;0",aditivos!$B$2:$B$200,"&gt;0")=0,"",IFERROR(_xlfn.MINIFS(aditivos!$B$2:$B$200,aditivos!$A$2:$A$200,$A106,aditivos!$L$2:$L$200,"&lt;&gt;",aditivos!$L$2:$L$200,"&lt;&gt;0",aditivos!$B$2:$B$200,"&gt;0"),"")))</f>
        <v/>
      </c>
      <c r="AB106" t="str">
        <f>IF($A106="","",IF(OR(parametros!$C$2="",parametros!$I$2=""),0,ROUND(SUMIFS(aditivos!$L$2:$L$200,aditivos!$A$2:$A$200,$A106,aditivos!$C$2:$C$200,"C0",aditivos!$B$2:$B$200,"&gt;="&amp;(INT(parametros!$I$2)+1)),2)))</f>
        <v/>
      </c>
      <c r="AC106" t="str">
        <f>IF($A106="","",IF(OR(parametros!$C$3="",parametros!$I$3=""),0,ROUND(SUMIFS(aditivos!$L$2:$L$200,aditivos!$A$2:$A$200,$A106,aditivos!$C$2:$C$200,"C1",aditivos!$B$2:$B$200,"&gt;="&amp;(INT(parametros!$I$3)+1)),2)))</f>
        <v/>
      </c>
      <c r="AD106" t="str">
        <f>IF($A106="","",IF(OR(parametros!$C$4="",parametros!$I$4=""),0,ROUND(SUMIFS(aditivos!$L$2:$L$200,aditivos!$A$2:$A$200,$A106,aditivos!$C$2:$C$200,"C2",aditivos!$B$2:$B$200,"&gt;="&amp;(INT(parametros!$I$4)+1)),2)))</f>
        <v/>
      </c>
      <c r="AE106" t="str">
        <f>IF($A106="","",IF(OR(parametros!$C$5="",parametros!$I$5=""),0,ROUND(SUMIFS(aditivos!$L$2:$L$200,aditivos!$A$2:$A$200,$A106,aditivos!$C$2:$C$200,"C3",aditivos!$B$2:$B$200,"&gt;="&amp;(INT(parametros!$I$5)+1)),2)))</f>
        <v/>
      </c>
      <c r="AF106" t="str">
        <f>IF($A106="","",IF(OR(parametros!$C$6="",parametros!$I$6=""),0,ROUND(SUMIFS(aditivos!$L$2:$L$200,aditivos!$A$2:$A$200,$A106,aditivos!$C$2:$C$200,"C4",aditivos!$B$2:$B$200,"&gt;="&amp;(INT(parametros!$I$6)+1)),2)))</f>
        <v/>
      </c>
      <c r="AG106" t="str">
        <f t="shared" si="66"/>
        <v/>
      </c>
      <c r="AH106" t="str">
        <f t="shared" si="67"/>
        <v/>
      </c>
      <c r="AI106" t="str">
        <f t="shared" si="68"/>
        <v/>
      </c>
      <c r="AJ106" t="str">
        <f t="shared" si="69"/>
        <v/>
      </c>
      <c r="AK106" t="str">
        <f t="shared" si="70"/>
        <v/>
      </c>
      <c r="AL106" t="str">
        <f t="shared" si="71"/>
        <v/>
      </c>
    </row>
    <row r="107" spans="1:38" x14ac:dyDescent="0.35">
      <c r="A107" s="146" t="str">
        <f>IF(itens_Remanesc!A107="","",itens_Remanesc!A107)</f>
        <v/>
      </c>
      <c r="B107" s="196" t="str">
        <f>IF(A107="","",itens_Remanesc!C107)</f>
        <v/>
      </c>
      <c r="C107" s="161" t="str">
        <f>IF(A107="","",IF(itens_Remanesc!B107="",0,itens_Remanesc!B107))</f>
        <v/>
      </c>
      <c r="D107" s="163" t="str">
        <f>IF(A107="","",ROUND(SUMIFS(aditivos!$L$2:$L$200,aditivos!$A$2:$A$200,A107,aditivos!$C$2:$C$200,"C0"),2))</f>
        <v/>
      </c>
      <c r="E107" s="159" t="str">
        <f t="shared" si="54"/>
        <v/>
      </c>
      <c r="F107" s="159" t="str">
        <f>IF(A107="","",IF(itens_Remanesc!B107&lt;&gt;"",itens_Remanesc!B107,IF($Z107,0,"")))</f>
        <v/>
      </c>
      <c r="G107" s="167" t="str">
        <f t="shared" si="55"/>
        <v/>
      </c>
      <c r="H107" s="169" t="str">
        <f>IF(A107="","",ROUND(SUMIFS(aditivos!$L$2:$L$200,aditivos!$A$2:$A$200,A107,aditivos!$C$2:$C$200,"C1"),2))</f>
        <v/>
      </c>
      <c r="I107" s="165" t="str">
        <f t="shared" si="56"/>
        <v/>
      </c>
      <c r="J107" s="165" t="str">
        <f>IF(A107="","",IF(itens_Remanesc!E107="","",itens_Remanesc!E107))</f>
        <v/>
      </c>
      <c r="K107" s="171" t="str">
        <f t="shared" si="57"/>
        <v/>
      </c>
      <c r="L107" s="163" t="str">
        <f>IF(A107="","",ROUND(SUMIFS(aditivos!$L$2:$L$200,aditivos!$A$2:$A$200,A107,aditivos!$C$2:$C$200,"C2"),2))</f>
        <v/>
      </c>
      <c r="M107" s="159" t="str">
        <f t="shared" si="58"/>
        <v/>
      </c>
      <c r="N107" s="159" t="str">
        <f>IF(A107="","",IF(itens_Remanesc!G107="","",itens_Remanesc!G107))</f>
        <v/>
      </c>
      <c r="O107" s="167" t="str">
        <f t="shared" si="59"/>
        <v/>
      </c>
      <c r="P107" s="169" t="str">
        <f>IF(A107="","",ROUND(SUMIFS(aditivos!$L$2:$L$200,aditivos!$A$2:$A$200,A107,aditivos!$C$2:$C$200,"C3"),2))</f>
        <v/>
      </c>
      <c r="Q107" s="165" t="str">
        <f t="shared" si="60"/>
        <v/>
      </c>
      <c r="R107" s="165" t="str">
        <f>IF(A107="","",IF(itens_Remanesc!I107="","",itens_Remanesc!I107))</f>
        <v/>
      </c>
      <c r="S107" s="171" t="str">
        <f t="shared" si="61"/>
        <v/>
      </c>
      <c r="T107" s="163" t="str">
        <f>IF(A107="","",ROUND(SUMIFS(aditivos!$L$2:$L$200,aditivos!$A$2:$A$200,A107,aditivos!$C$2:$C$200,"C4"),2))</f>
        <v/>
      </c>
      <c r="U107" s="159" t="str">
        <f t="shared" si="62"/>
        <v/>
      </c>
      <c r="V107" s="159" t="str">
        <f>IF(A107="","",IF(itens_Remanesc!K107="","",itens_Remanesc!K107))</f>
        <v/>
      </c>
      <c r="W107" s="159" t="str">
        <f t="shared" si="63"/>
        <v/>
      </c>
      <c r="X107" s="146" t="str">
        <f>IF(A107="","",IF(COUNTIF($A$2:$A$200,A107)&gt;1,"ALERTA: ITEM_DUPLICADO",IF(AND($Z107,ISNUMBER(itens_Remanesc!B107),itens_Remanesc!B107&lt;&gt;0),"NOVO ITEM COM BASE DIFERENTE DE 0 - AJUSTAR itens_Remanesc",IF(AND($Z107,NOT(ISNUMBER(itens_Remanesc!C107))),"NOVO ITEM SEM VU_ORIGINAL - INFORMAR EM itens_Remanesc",IF(MIN(E107,I107,M107,Q107,U107,G107,K107,O107,S107,W107)&lt;0,"ALERTA: POSICAO_NEGATIVA",IF(OR(AND(G107&lt;&gt;"",G107&gt;E107),AND(K107&lt;&gt;"",K107&gt;I107),AND(O107&lt;&gt;"",O107&gt;M107),AND(S107&lt;&gt;"",S107&gt;Q107),AND(W107&lt;&gt;"",W107&gt;U107)),"ALERTA: REMANESCENTE_SUPERA_POSICAO","OK"))))))</f>
        <v/>
      </c>
      <c r="Y107" t="str">
        <f t="shared" si="64"/>
        <v/>
      </c>
      <c r="Z107" t="b">
        <f t="shared" si="65"/>
        <v>0</v>
      </c>
      <c r="AA107" s="208" t="str">
        <f>IF($A107="","",IF(COUNTIFS(aditivos!$A$2:$A$200,$A107,aditivos!$L$2:$L$200,"&lt;&gt;",aditivos!$L$2:$L$200,"&lt;&gt;0",aditivos!$B$2:$B$200,"&gt;0")=0,"",IFERROR(_xlfn.MINIFS(aditivos!$B$2:$B$200,aditivos!$A$2:$A$200,$A107,aditivos!$L$2:$L$200,"&lt;&gt;",aditivos!$L$2:$L$200,"&lt;&gt;0",aditivos!$B$2:$B$200,"&gt;0"),"")))</f>
        <v/>
      </c>
      <c r="AB107" t="str">
        <f>IF($A107="","",IF(OR(parametros!$C$2="",parametros!$I$2=""),0,ROUND(SUMIFS(aditivos!$L$2:$L$200,aditivos!$A$2:$A$200,$A107,aditivos!$C$2:$C$200,"C0",aditivos!$B$2:$B$200,"&gt;="&amp;(INT(parametros!$I$2)+1)),2)))</f>
        <v/>
      </c>
      <c r="AC107" t="str">
        <f>IF($A107="","",IF(OR(parametros!$C$3="",parametros!$I$3=""),0,ROUND(SUMIFS(aditivos!$L$2:$L$200,aditivos!$A$2:$A$200,$A107,aditivos!$C$2:$C$200,"C1",aditivos!$B$2:$B$200,"&gt;="&amp;(INT(parametros!$I$3)+1)),2)))</f>
        <v/>
      </c>
      <c r="AD107" t="str">
        <f>IF($A107="","",IF(OR(parametros!$C$4="",parametros!$I$4=""),0,ROUND(SUMIFS(aditivos!$L$2:$L$200,aditivos!$A$2:$A$200,$A107,aditivos!$C$2:$C$200,"C2",aditivos!$B$2:$B$200,"&gt;="&amp;(INT(parametros!$I$4)+1)),2)))</f>
        <v/>
      </c>
      <c r="AE107" t="str">
        <f>IF($A107="","",IF(OR(parametros!$C$5="",parametros!$I$5=""),0,ROUND(SUMIFS(aditivos!$L$2:$L$200,aditivos!$A$2:$A$200,$A107,aditivos!$C$2:$C$200,"C3",aditivos!$B$2:$B$200,"&gt;="&amp;(INT(parametros!$I$5)+1)),2)))</f>
        <v/>
      </c>
      <c r="AF107" t="str">
        <f>IF($A107="","",IF(OR(parametros!$C$6="",parametros!$I$6=""),0,ROUND(SUMIFS(aditivos!$L$2:$L$200,aditivos!$A$2:$A$200,$A107,aditivos!$C$2:$C$200,"C4",aditivos!$B$2:$B$200,"&gt;="&amp;(INT(parametros!$I$6)+1)),2)))</f>
        <v/>
      </c>
      <c r="AG107" t="str">
        <f t="shared" si="66"/>
        <v/>
      </c>
      <c r="AH107" t="str">
        <f t="shared" si="67"/>
        <v/>
      </c>
      <c r="AI107" t="str">
        <f t="shared" si="68"/>
        <v/>
      </c>
      <c r="AJ107" t="str">
        <f t="shared" si="69"/>
        <v/>
      </c>
      <c r="AK107" t="str">
        <f t="shared" si="70"/>
        <v/>
      </c>
      <c r="AL107" t="str">
        <f t="shared" si="71"/>
        <v/>
      </c>
    </row>
    <row r="108" spans="1:38" x14ac:dyDescent="0.35">
      <c r="A108" s="146" t="str">
        <f>IF(itens_Remanesc!A108="","",itens_Remanesc!A108)</f>
        <v/>
      </c>
      <c r="B108" s="196" t="str">
        <f>IF(A108="","",itens_Remanesc!C108)</f>
        <v/>
      </c>
      <c r="C108" s="161" t="str">
        <f>IF(A108="","",IF(itens_Remanesc!B108="",0,itens_Remanesc!B108))</f>
        <v/>
      </c>
      <c r="D108" s="163" t="str">
        <f>IF(A108="","",ROUND(SUMIFS(aditivos!$L$2:$L$200,aditivos!$A$2:$A$200,A108,aditivos!$C$2:$C$200,"C0"),2))</f>
        <v/>
      </c>
      <c r="E108" s="159" t="str">
        <f t="shared" si="54"/>
        <v/>
      </c>
      <c r="F108" s="159" t="str">
        <f>IF(A108="","",IF(itens_Remanesc!B108&lt;&gt;"",itens_Remanesc!B108,IF($Z108,0,"")))</f>
        <v/>
      </c>
      <c r="G108" s="167" t="str">
        <f t="shared" si="55"/>
        <v/>
      </c>
      <c r="H108" s="169" t="str">
        <f>IF(A108="","",ROUND(SUMIFS(aditivos!$L$2:$L$200,aditivos!$A$2:$A$200,A108,aditivos!$C$2:$C$200,"C1"),2))</f>
        <v/>
      </c>
      <c r="I108" s="165" t="str">
        <f t="shared" si="56"/>
        <v/>
      </c>
      <c r="J108" s="165" t="str">
        <f>IF(A108="","",IF(itens_Remanesc!E108="","",itens_Remanesc!E108))</f>
        <v/>
      </c>
      <c r="K108" s="171" t="str">
        <f t="shared" si="57"/>
        <v/>
      </c>
      <c r="L108" s="163" t="str">
        <f>IF(A108="","",ROUND(SUMIFS(aditivos!$L$2:$L$200,aditivos!$A$2:$A$200,A108,aditivos!$C$2:$C$200,"C2"),2))</f>
        <v/>
      </c>
      <c r="M108" s="159" t="str">
        <f t="shared" si="58"/>
        <v/>
      </c>
      <c r="N108" s="159" t="str">
        <f>IF(A108="","",IF(itens_Remanesc!G108="","",itens_Remanesc!G108))</f>
        <v/>
      </c>
      <c r="O108" s="167" t="str">
        <f t="shared" si="59"/>
        <v/>
      </c>
      <c r="P108" s="169" t="str">
        <f>IF(A108="","",ROUND(SUMIFS(aditivos!$L$2:$L$200,aditivos!$A$2:$A$200,A108,aditivos!$C$2:$C$200,"C3"),2))</f>
        <v/>
      </c>
      <c r="Q108" s="165" t="str">
        <f t="shared" si="60"/>
        <v/>
      </c>
      <c r="R108" s="165" t="str">
        <f>IF(A108="","",IF(itens_Remanesc!I108="","",itens_Remanesc!I108))</f>
        <v/>
      </c>
      <c r="S108" s="171" t="str">
        <f t="shared" si="61"/>
        <v/>
      </c>
      <c r="T108" s="163" t="str">
        <f>IF(A108="","",ROUND(SUMIFS(aditivos!$L$2:$L$200,aditivos!$A$2:$A$200,A108,aditivos!$C$2:$C$200,"C4"),2))</f>
        <v/>
      </c>
      <c r="U108" s="159" t="str">
        <f t="shared" si="62"/>
        <v/>
      </c>
      <c r="V108" s="159" t="str">
        <f>IF(A108="","",IF(itens_Remanesc!K108="","",itens_Remanesc!K108))</f>
        <v/>
      </c>
      <c r="W108" s="159" t="str">
        <f t="shared" si="63"/>
        <v/>
      </c>
      <c r="X108" s="146" t="str">
        <f>IF(A108="","",IF(COUNTIF($A$2:$A$200,A108)&gt;1,"ALERTA: ITEM_DUPLICADO",IF(AND($Z108,ISNUMBER(itens_Remanesc!B108),itens_Remanesc!B108&lt;&gt;0),"NOVO ITEM COM BASE DIFERENTE DE 0 - AJUSTAR itens_Remanesc",IF(AND($Z108,NOT(ISNUMBER(itens_Remanesc!C108))),"NOVO ITEM SEM VU_ORIGINAL - INFORMAR EM itens_Remanesc",IF(MIN(E108,I108,M108,Q108,U108,G108,K108,O108,S108,W108)&lt;0,"ALERTA: POSICAO_NEGATIVA",IF(OR(AND(G108&lt;&gt;"",G108&gt;E108),AND(K108&lt;&gt;"",K108&gt;I108),AND(O108&lt;&gt;"",O108&gt;M108),AND(S108&lt;&gt;"",S108&gt;Q108),AND(W108&lt;&gt;"",W108&gt;U108)),"ALERTA: REMANESCENTE_SUPERA_POSICAO","OK"))))))</f>
        <v/>
      </c>
      <c r="Y108" t="str">
        <f t="shared" si="64"/>
        <v/>
      </c>
      <c r="Z108" t="b">
        <f t="shared" si="65"/>
        <v>0</v>
      </c>
      <c r="AA108" s="208" t="str">
        <f>IF($A108="","",IF(COUNTIFS(aditivos!$A$2:$A$200,$A108,aditivos!$L$2:$L$200,"&lt;&gt;",aditivos!$L$2:$L$200,"&lt;&gt;0",aditivos!$B$2:$B$200,"&gt;0")=0,"",IFERROR(_xlfn.MINIFS(aditivos!$B$2:$B$200,aditivos!$A$2:$A$200,$A108,aditivos!$L$2:$L$200,"&lt;&gt;",aditivos!$L$2:$L$200,"&lt;&gt;0",aditivos!$B$2:$B$200,"&gt;0"),"")))</f>
        <v/>
      </c>
      <c r="AB108" t="str">
        <f>IF($A108="","",IF(OR(parametros!$C$2="",parametros!$I$2=""),0,ROUND(SUMIFS(aditivos!$L$2:$L$200,aditivos!$A$2:$A$200,$A108,aditivos!$C$2:$C$200,"C0",aditivos!$B$2:$B$200,"&gt;="&amp;(INT(parametros!$I$2)+1)),2)))</f>
        <v/>
      </c>
      <c r="AC108" t="str">
        <f>IF($A108="","",IF(OR(parametros!$C$3="",parametros!$I$3=""),0,ROUND(SUMIFS(aditivos!$L$2:$L$200,aditivos!$A$2:$A$200,$A108,aditivos!$C$2:$C$200,"C1",aditivos!$B$2:$B$200,"&gt;="&amp;(INT(parametros!$I$3)+1)),2)))</f>
        <v/>
      </c>
      <c r="AD108" t="str">
        <f>IF($A108="","",IF(OR(parametros!$C$4="",parametros!$I$4=""),0,ROUND(SUMIFS(aditivos!$L$2:$L$200,aditivos!$A$2:$A$200,$A108,aditivos!$C$2:$C$200,"C2",aditivos!$B$2:$B$200,"&gt;="&amp;(INT(parametros!$I$4)+1)),2)))</f>
        <v/>
      </c>
      <c r="AE108" t="str">
        <f>IF($A108="","",IF(OR(parametros!$C$5="",parametros!$I$5=""),0,ROUND(SUMIFS(aditivos!$L$2:$L$200,aditivos!$A$2:$A$200,$A108,aditivos!$C$2:$C$200,"C3",aditivos!$B$2:$B$200,"&gt;="&amp;(INT(parametros!$I$5)+1)),2)))</f>
        <v/>
      </c>
      <c r="AF108" t="str">
        <f>IF($A108="","",IF(OR(parametros!$C$6="",parametros!$I$6=""),0,ROUND(SUMIFS(aditivos!$L$2:$L$200,aditivos!$A$2:$A$200,$A108,aditivos!$C$2:$C$200,"C4",aditivos!$B$2:$B$200,"&gt;="&amp;(INT(parametros!$I$6)+1)),2)))</f>
        <v/>
      </c>
      <c r="AG108" t="str">
        <f t="shared" si="66"/>
        <v/>
      </c>
      <c r="AH108" t="str">
        <f t="shared" si="67"/>
        <v/>
      </c>
      <c r="AI108" t="str">
        <f t="shared" si="68"/>
        <v/>
      </c>
      <c r="AJ108" t="str">
        <f t="shared" si="69"/>
        <v/>
      </c>
      <c r="AK108" t="str">
        <f t="shared" si="70"/>
        <v/>
      </c>
      <c r="AL108" t="str">
        <f t="shared" si="71"/>
        <v/>
      </c>
    </row>
    <row r="109" spans="1:38" x14ac:dyDescent="0.35">
      <c r="A109" s="146" t="str">
        <f>IF(itens_Remanesc!A109="","",itens_Remanesc!A109)</f>
        <v/>
      </c>
      <c r="B109" s="196" t="str">
        <f>IF(A109="","",itens_Remanesc!C109)</f>
        <v/>
      </c>
      <c r="C109" s="161" t="str">
        <f>IF(A109="","",IF(itens_Remanesc!B109="",0,itens_Remanesc!B109))</f>
        <v/>
      </c>
      <c r="D109" s="163" t="str">
        <f>IF(A109="","",ROUND(SUMIFS(aditivos!$L$2:$L$200,aditivos!$A$2:$A$200,A109,aditivos!$C$2:$C$200,"C0"),2))</f>
        <v/>
      </c>
      <c r="E109" s="159" t="str">
        <f t="shared" si="54"/>
        <v/>
      </c>
      <c r="F109" s="159" t="str">
        <f>IF(A109="","",IF(itens_Remanesc!B109&lt;&gt;"",itens_Remanesc!B109,IF($Z109,0,"")))</f>
        <v/>
      </c>
      <c r="G109" s="167" t="str">
        <f t="shared" si="55"/>
        <v/>
      </c>
      <c r="H109" s="169" t="str">
        <f>IF(A109="","",ROUND(SUMIFS(aditivos!$L$2:$L$200,aditivos!$A$2:$A$200,A109,aditivos!$C$2:$C$200,"C1"),2))</f>
        <v/>
      </c>
      <c r="I109" s="165" t="str">
        <f t="shared" si="56"/>
        <v/>
      </c>
      <c r="J109" s="165" t="str">
        <f>IF(A109="","",IF(itens_Remanesc!E109="","",itens_Remanesc!E109))</f>
        <v/>
      </c>
      <c r="K109" s="171" t="str">
        <f t="shared" si="57"/>
        <v/>
      </c>
      <c r="L109" s="163" t="str">
        <f>IF(A109="","",ROUND(SUMIFS(aditivos!$L$2:$L$200,aditivos!$A$2:$A$200,A109,aditivos!$C$2:$C$200,"C2"),2))</f>
        <v/>
      </c>
      <c r="M109" s="159" t="str">
        <f t="shared" si="58"/>
        <v/>
      </c>
      <c r="N109" s="159" t="str">
        <f>IF(A109="","",IF(itens_Remanesc!G109="","",itens_Remanesc!G109))</f>
        <v/>
      </c>
      <c r="O109" s="167" t="str">
        <f t="shared" si="59"/>
        <v/>
      </c>
      <c r="P109" s="169" t="str">
        <f>IF(A109="","",ROUND(SUMIFS(aditivos!$L$2:$L$200,aditivos!$A$2:$A$200,A109,aditivos!$C$2:$C$200,"C3"),2))</f>
        <v/>
      </c>
      <c r="Q109" s="165" t="str">
        <f t="shared" si="60"/>
        <v/>
      </c>
      <c r="R109" s="165" t="str">
        <f>IF(A109="","",IF(itens_Remanesc!I109="","",itens_Remanesc!I109))</f>
        <v/>
      </c>
      <c r="S109" s="171" t="str">
        <f t="shared" si="61"/>
        <v/>
      </c>
      <c r="T109" s="163" t="str">
        <f>IF(A109="","",ROUND(SUMIFS(aditivos!$L$2:$L$200,aditivos!$A$2:$A$200,A109,aditivos!$C$2:$C$200,"C4"),2))</f>
        <v/>
      </c>
      <c r="U109" s="159" t="str">
        <f t="shared" si="62"/>
        <v/>
      </c>
      <c r="V109" s="159" t="str">
        <f>IF(A109="","",IF(itens_Remanesc!K109="","",itens_Remanesc!K109))</f>
        <v/>
      </c>
      <c r="W109" s="159" t="str">
        <f t="shared" si="63"/>
        <v/>
      </c>
      <c r="X109" s="146" t="str">
        <f>IF(A109="","",IF(COUNTIF($A$2:$A$200,A109)&gt;1,"ALERTA: ITEM_DUPLICADO",IF(AND($Z109,ISNUMBER(itens_Remanesc!B109),itens_Remanesc!B109&lt;&gt;0),"NOVO ITEM COM BASE DIFERENTE DE 0 - AJUSTAR itens_Remanesc",IF(AND($Z109,NOT(ISNUMBER(itens_Remanesc!C109))),"NOVO ITEM SEM VU_ORIGINAL - INFORMAR EM itens_Remanesc",IF(MIN(E109,I109,M109,Q109,U109,G109,K109,O109,S109,W109)&lt;0,"ALERTA: POSICAO_NEGATIVA",IF(OR(AND(G109&lt;&gt;"",G109&gt;E109),AND(K109&lt;&gt;"",K109&gt;I109),AND(O109&lt;&gt;"",O109&gt;M109),AND(S109&lt;&gt;"",S109&gt;Q109),AND(W109&lt;&gt;"",W109&gt;U109)),"ALERTA: REMANESCENTE_SUPERA_POSICAO","OK"))))))</f>
        <v/>
      </c>
      <c r="Y109" t="str">
        <f t="shared" si="64"/>
        <v/>
      </c>
      <c r="Z109" t="b">
        <f t="shared" si="65"/>
        <v>0</v>
      </c>
      <c r="AA109" s="208" t="str">
        <f>IF($A109="","",IF(COUNTIFS(aditivos!$A$2:$A$200,$A109,aditivos!$L$2:$L$200,"&lt;&gt;",aditivos!$L$2:$L$200,"&lt;&gt;0",aditivos!$B$2:$B$200,"&gt;0")=0,"",IFERROR(_xlfn.MINIFS(aditivos!$B$2:$B$200,aditivos!$A$2:$A$200,$A109,aditivos!$L$2:$L$200,"&lt;&gt;",aditivos!$L$2:$L$200,"&lt;&gt;0",aditivos!$B$2:$B$200,"&gt;0"),"")))</f>
        <v/>
      </c>
      <c r="AB109" t="str">
        <f>IF($A109="","",IF(OR(parametros!$C$2="",parametros!$I$2=""),0,ROUND(SUMIFS(aditivos!$L$2:$L$200,aditivos!$A$2:$A$200,$A109,aditivos!$C$2:$C$200,"C0",aditivos!$B$2:$B$200,"&gt;="&amp;(INT(parametros!$I$2)+1)),2)))</f>
        <v/>
      </c>
      <c r="AC109" t="str">
        <f>IF($A109="","",IF(OR(parametros!$C$3="",parametros!$I$3=""),0,ROUND(SUMIFS(aditivos!$L$2:$L$200,aditivos!$A$2:$A$200,$A109,aditivos!$C$2:$C$200,"C1",aditivos!$B$2:$B$200,"&gt;="&amp;(INT(parametros!$I$3)+1)),2)))</f>
        <v/>
      </c>
      <c r="AD109" t="str">
        <f>IF($A109="","",IF(OR(parametros!$C$4="",parametros!$I$4=""),0,ROUND(SUMIFS(aditivos!$L$2:$L$200,aditivos!$A$2:$A$200,$A109,aditivos!$C$2:$C$200,"C2",aditivos!$B$2:$B$200,"&gt;="&amp;(INT(parametros!$I$4)+1)),2)))</f>
        <v/>
      </c>
      <c r="AE109" t="str">
        <f>IF($A109="","",IF(OR(parametros!$C$5="",parametros!$I$5=""),0,ROUND(SUMIFS(aditivos!$L$2:$L$200,aditivos!$A$2:$A$200,$A109,aditivos!$C$2:$C$200,"C3",aditivos!$B$2:$B$200,"&gt;="&amp;(INT(parametros!$I$5)+1)),2)))</f>
        <v/>
      </c>
      <c r="AF109" t="str">
        <f>IF($A109="","",IF(OR(parametros!$C$6="",parametros!$I$6=""),0,ROUND(SUMIFS(aditivos!$L$2:$L$200,aditivos!$A$2:$A$200,$A109,aditivos!$C$2:$C$200,"C4",aditivos!$B$2:$B$200,"&gt;="&amp;(INT(parametros!$I$6)+1)),2)))</f>
        <v/>
      </c>
      <c r="AG109" t="str">
        <f t="shared" si="66"/>
        <v/>
      </c>
      <c r="AH109" t="str">
        <f t="shared" si="67"/>
        <v/>
      </c>
      <c r="AI109" t="str">
        <f t="shared" si="68"/>
        <v/>
      </c>
      <c r="AJ109" t="str">
        <f t="shared" si="69"/>
        <v/>
      </c>
      <c r="AK109" t="str">
        <f t="shared" si="70"/>
        <v/>
      </c>
      <c r="AL109" t="str">
        <f t="shared" si="71"/>
        <v/>
      </c>
    </row>
    <row r="110" spans="1:38" x14ac:dyDescent="0.35">
      <c r="A110" s="146" t="str">
        <f>IF(itens_Remanesc!A110="","",itens_Remanesc!A110)</f>
        <v/>
      </c>
      <c r="B110" s="196" t="str">
        <f>IF(A110="","",itens_Remanesc!C110)</f>
        <v/>
      </c>
      <c r="C110" s="161" t="str">
        <f>IF(A110="","",IF(itens_Remanesc!B110="",0,itens_Remanesc!B110))</f>
        <v/>
      </c>
      <c r="D110" s="163" t="str">
        <f>IF(A110="","",ROUND(SUMIFS(aditivos!$L$2:$L$200,aditivos!$A$2:$A$200,A110,aditivos!$C$2:$C$200,"C0"),2))</f>
        <v/>
      </c>
      <c r="E110" s="159" t="str">
        <f t="shared" si="54"/>
        <v/>
      </c>
      <c r="F110" s="159" t="str">
        <f>IF(A110="","",IF(itens_Remanesc!B110&lt;&gt;"",itens_Remanesc!B110,IF($Z110,0,"")))</f>
        <v/>
      </c>
      <c r="G110" s="167" t="str">
        <f t="shared" si="55"/>
        <v/>
      </c>
      <c r="H110" s="169" t="str">
        <f>IF(A110="","",ROUND(SUMIFS(aditivos!$L$2:$L$200,aditivos!$A$2:$A$200,A110,aditivos!$C$2:$C$200,"C1"),2))</f>
        <v/>
      </c>
      <c r="I110" s="165" t="str">
        <f t="shared" si="56"/>
        <v/>
      </c>
      <c r="J110" s="165" t="str">
        <f>IF(A110="","",IF(itens_Remanesc!E110="","",itens_Remanesc!E110))</f>
        <v/>
      </c>
      <c r="K110" s="171" t="str">
        <f t="shared" si="57"/>
        <v/>
      </c>
      <c r="L110" s="163" t="str">
        <f>IF(A110="","",ROUND(SUMIFS(aditivos!$L$2:$L$200,aditivos!$A$2:$A$200,A110,aditivos!$C$2:$C$200,"C2"),2))</f>
        <v/>
      </c>
      <c r="M110" s="159" t="str">
        <f t="shared" si="58"/>
        <v/>
      </c>
      <c r="N110" s="159" t="str">
        <f>IF(A110="","",IF(itens_Remanesc!G110="","",itens_Remanesc!G110))</f>
        <v/>
      </c>
      <c r="O110" s="167" t="str">
        <f t="shared" si="59"/>
        <v/>
      </c>
      <c r="P110" s="169" t="str">
        <f>IF(A110="","",ROUND(SUMIFS(aditivos!$L$2:$L$200,aditivos!$A$2:$A$200,A110,aditivos!$C$2:$C$200,"C3"),2))</f>
        <v/>
      </c>
      <c r="Q110" s="165" t="str">
        <f t="shared" si="60"/>
        <v/>
      </c>
      <c r="R110" s="165" t="str">
        <f>IF(A110="","",IF(itens_Remanesc!I110="","",itens_Remanesc!I110))</f>
        <v/>
      </c>
      <c r="S110" s="171" t="str">
        <f t="shared" si="61"/>
        <v/>
      </c>
      <c r="T110" s="163" t="str">
        <f>IF(A110="","",ROUND(SUMIFS(aditivos!$L$2:$L$200,aditivos!$A$2:$A$200,A110,aditivos!$C$2:$C$200,"C4"),2))</f>
        <v/>
      </c>
      <c r="U110" s="159" t="str">
        <f t="shared" si="62"/>
        <v/>
      </c>
      <c r="V110" s="159" t="str">
        <f>IF(A110="","",IF(itens_Remanesc!K110="","",itens_Remanesc!K110))</f>
        <v/>
      </c>
      <c r="W110" s="159" t="str">
        <f t="shared" si="63"/>
        <v/>
      </c>
      <c r="X110" s="146" t="str">
        <f>IF(A110="","",IF(COUNTIF($A$2:$A$200,A110)&gt;1,"ALERTA: ITEM_DUPLICADO",IF(AND($Z110,ISNUMBER(itens_Remanesc!B110),itens_Remanesc!B110&lt;&gt;0),"NOVO ITEM COM BASE DIFERENTE DE 0 - AJUSTAR itens_Remanesc",IF(AND($Z110,NOT(ISNUMBER(itens_Remanesc!C110))),"NOVO ITEM SEM VU_ORIGINAL - INFORMAR EM itens_Remanesc",IF(MIN(E110,I110,M110,Q110,U110,G110,K110,O110,S110,W110)&lt;0,"ALERTA: POSICAO_NEGATIVA",IF(OR(AND(G110&lt;&gt;"",G110&gt;E110),AND(K110&lt;&gt;"",K110&gt;I110),AND(O110&lt;&gt;"",O110&gt;M110),AND(S110&lt;&gt;"",S110&gt;Q110),AND(W110&lt;&gt;"",W110&gt;U110)),"ALERTA: REMANESCENTE_SUPERA_POSICAO","OK"))))))</f>
        <v/>
      </c>
      <c r="Y110" t="str">
        <f t="shared" si="64"/>
        <v/>
      </c>
      <c r="Z110" t="b">
        <f t="shared" si="65"/>
        <v>0</v>
      </c>
      <c r="AA110" s="208" t="str">
        <f>IF($A110="","",IF(COUNTIFS(aditivos!$A$2:$A$200,$A110,aditivos!$L$2:$L$200,"&lt;&gt;",aditivos!$L$2:$L$200,"&lt;&gt;0",aditivos!$B$2:$B$200,"&gt;0")=0,"",IFERROR(_xlfn.MINIFS(aditivos!$B$2:$B$200,aditivos!$A$2:$A$200,$A110,aditivos!$L$2:$L$200,"&lt;&gt;",aditivos!$L$2:$L$200,"&lt;&gt;0",aditivos!$B$2:$B$200,"&gt;0"),"")))</f>
        <v/>
      </c>
      <c r="AB110" t="str">
        <f>IF($A110="","",IF(OR(parametros!$C$2="",parametros!$I$2=""),0,ROUND(SUMIFS(aditivos!$L$2:$L$200,aditivos!$A$2:$A$200,$A110,aditivos!$C$2:$C$200,"C0",aditivos!$B$2:$B$200,"&gt;="&amp;(INT(parametros!$I$2)+1)),2)))</f>
        <v/>
      </c>
      <c r="AC110" t="str">
        <f>IF($A110="","",IF(OR(parametros!$C$3="",parametros!$I$3=""),0,ROUND(SUMIFS(aditivos!$L$2:$L$200,aditivos!$A$2:$A$200,$A110,aditivos!$C$2:$C$200,"C1",aditivos!$B$2:$B$200,"&gt;="&amp;(INT(parametros!$I$3)+1)),2)))</f>
        <v/>
      </c>
      <c r="AD110" t="str">
        <f>IF($A110="","",IF(OR(parametros!$C$4="",parametros!$I$4=""),0,ROUND(SUMIFS(aditivos!$L$2:$L$200,aditivos!$A$2:$A$200,$A110,aditivos!$C$2:$C$200,"C2",aditivos!$B$2:$B$200,"&gt;="&amp;(INT(parametros!$I$4)+1)),2)))</f>
        <v/>
      </c>
      <c r="AE110" t="str">
        <f>IF($A110="","",IF(OR(parametros!$C$5="",parametros!$I$5=""),0,ROUND(SUMIFS(aditivos!$L$2:$L$200,aditivos!$A$2:$A$200,$A110,aditivos!$C$2:$C$200,"C3",aditivos!$B$2:$B$200,"&gt;="&amp;(INT(parametros!$I$5)+1)),2)))</f>
        <v/>
      </c>
      <c r="AF110" t="str">
        <f>IF($A110="","",IF(OR(parametros!$C$6="",parametros!$I$6=""),0,ROUND(SUMIFS(aditivos!$L$2:$L$200,aditivos!$A$2:$A$200,$A110,aditivos!$C$2:$C$200,"C4",aditivos!$B$2:$B$200,"&gt;="&amp;(INT(parametros!$I$6)+1)),2)))</f>
        <v/>
      </c>
      <c r="AG110" t="str">
        <f t="shared" si="66"/>
        <v/>
      </c>
      <c r="AH110" t="str">
        <f t="shared" si="67"/>
        <v/>
      </c>
      <c r="AI110" t="str">
        <f t="shared" si="68"/>
        <v/>
      </c>
      <c r="AJ110" t="str">
        <f t="shared" si="69"/>
        <v/>
      </c>
      <c r="AK110" t="str">
        <f t="shared" si="70"/>
        <v/>
      </c>
      <c r="AL110" t="str">
        <f t="shared" si="71"/>
        <v/>
      </c>
    </row>
    <row r="111" spans="1:38" x14ac:dyDescent="0.35">
      <c r="A111" s="146" t="str">
        <f>IF(itens_Remanesc!A111="","",itens_Remanesc!A111)</f>
        <v/>
      </c>
      <c r="B111" s="196" t="str">
        <f>IF(A111="","",itens_Remanesc!C111)</f>
        <v/>
      </c>
      <c r="C111" s="161" t="str">
        <f>IF(A111="","",IF(itens_Remanesc!B111="",0,itens_Remanesc!B111))</f>
        <v/>
      </c>
      <c r="D111" s="163" t="str">
        <f>IF(A111="","",ROUND(SUMIFS(aditivos!$L$2:$L$200,aditivos!$A$2:$A$200,A111,aditivos!$C$2:$C$200,"C0"),2))</f>
        <v/>
      </c>
      <c r="E111" s="159" t="str">
        <f t="shared" si="54"/>
        <v/>
      </c>
      <c r="F111" s="159" t="str">
        <f>IF(A111="","",IF(itens_Remanesc!B111&lt;&gt;"",itens_Remanesc!B111,IF($Z111,0,"")))</f>
        <v/>
      </c>
      <c r="G111" s="167" t="str">
        <f t="shared" si="55"/>
        <v/>
      </c>
      <c r="H111" s="169" t="str">
        <f>IF(A111="","",ROUND(SUMIFS(aditivos!$L$2:$L$200,aditivos!$A$2:$A$200,A111,aditivos!$C$2:$C$200,"C1"),2))</f>
        <v/>
      </c>
      <c r="I111" s="165" t="str">
        <f t="shared" si="56"/>
        <v/>
      </c>
      <c r="J111" s="165" t="str">
        <f>IF(A111="","",IF(itens_Remanesc!E111="","",itens_Remanesc!E111))</f>
        <v/>
      </c>
      <c r="K111" s="171" t="str">
        <f t="shared" si="57"/>
        <v/>
      </c>
      <c r="L111" s="163" t="str">
        <f>IF(A111="","",ROUND(SUMIFS(aditivos!$L$2:$L$200,aditivos!$A$2:$A$200,A111,aditivos!$C$2:$C$200,"C2"),2))</f>
        <v/>
      </c>
      <c r="M111" s="159" t="str">
        <f t="shared" si="58"/>
        <v/>
      </c>
      <c r="N111" s="159" t="str">
        <f>IF(A111="","",IF(itens_Remanesc!G111="","",itens_Remanesc!G111))</f>
        <v/>
      </c>
      <c r="O111" s="167" t="str">
        <f t="shared" si="59"/>
        <v/>
      </c>
      <c r="P111" s="169" t="str">
        <f>IF(A111="","",ROUND(SUMIFS(aditivos!$L$2:$L$200,aditivos!$A$2:$A$200,A111,aditivos!$C$2:$C$200,"C3"),2))</f>
        <v/>
      </c>
      <c r="Q111" s="165" t="str">
        <f t="shared" si="60"/>
        <v/>
      </c>
      <c r="R111" s="165" t="str">
        <f>IF(A111="","",IF(itens_Remanesc!I111="","",itens_Remanesc!I111))</f>
        <v/>
      </c>
      <c r="S111" s="171" t="str">
        <f t="shared" si="61"/>
        <v/>
      </c>
      <c r="T111" s="163" t="str">
        <f>IF(A111="","",ROUND(SUMIFS(aditivos!$L$2:$L$200,aditivos!$A$2:$A$200,A111,aditivos!$C$2:$C$200,"C4"),2))</f>
        <v/>
      </c>
      <c r="U111" s="159" t="str">
        <f t="shared" si="62"/>
        <v/>
      </c>
      <c r="V111" s="159" t="str">
        <f>IF(A111="","",IF(itens_Remanesc!K111="","",itens_Remanesc!K111))</f>
        <v/>
      </c>
      <c r="W111" s="159" t="str">
        <f t="shared" si="63"/>
        <v/>
      </c>
      <c r="X111" s="146" t="str">
        <f>IF(A111="","",IF(COUNTIF($A$2:$A$200,A111)&gt;1,"ALERTA: ITEM_DUPLICADO",IF(AND($Z111,ISNUMBER(itens_Remanesc!B111),itens_Remanesc!B111&lt;&gt;0),"NOVO ITEM COM BASE DIFERENTE DE 0 - AJUSTAR itens_Remanesc",IF(AND($Z111,NOT(ISNUMBER(itens_Remanesc!C111))),"NOVO ITEM SEM VU_ORIGINAL - INFORMAR EM itens_Remanesc",IF(MIN(E111,I111,M111,Q111,U111,G111,K111,O111,S111,W111)&lt;0,"ALERTA: POSICAO_NEGATIVA",IF(OR(AND(G111&lt;&gt;"",G111&gt;E111),AND(K111&lt;&gt;"",K111&gt;I111),AND(O111&lt;&gt;"",O111&gt;M111),AND(S111&lt;&gt;"",S111&gt;Q111),AND(W111&lt;&gt;"",W111&gt;U111)),"ALERTA: REMANESCENTE_SUPERA_POSICAO","OK"))))))</f>
        <v/>
      </c>
      <c r="Y111" t="str">
        <f t="shared" si="64"/>
        <v/>
      </c>
      <c r="Z111" t="b">
        <f t="shared" si="65"/>
        <v>0</v>
      </c>
      <c r="AA111" s="208" t="str">
        <f>IF($A111="","",IF(COUNTIFS(aditivos!$A$2:$A$200,$A111,aditivos!$L$2:$L$200,"&lt;&gt;",aditivos!$L$2:$L$200,"&lt;&gt;0",aditivos!$B$2:$B$200,"&gt;0")=0,"",IFERROR(_xlfn.MINIFS(aditivos!$B$2:$B$200,aditivos!$A$2:$A$200,$A111,aditivos!$L$2:$L$200,"&lt;&gt;",aditivos!$L$2:$L$200,"&lt;&gt;0",aditivos!$B$2:$B$200,"&gt;0"),"")))</f>
        <v/>
      </c>
      <c r="AB111" t="str">
        <f>IF($A111="","",IF(OR(parametros!$C$2="",parametros!$I$2=""),0,ROUND(SUMIFS(aditivos!$L$2:$L$200,aditivos!$A$2:$A$200,$A111,aditivos!$C$2:$C$200,"C0",aditivos!$B$2:$B$200,"&gt;="&amp;(INT(parametros!$I$2)+1)),2)))</f>
        <v/>
      </c>
      <c r="AC111" t="str">
        <f>IF($A111="","",IF(OR(parametros!$C$3="",parametros!$I$3=""),0,ROUND(SUMIFS(aditivos!$L$2:$L$200,aditivos!$A$2:$A$200,$A111,aditivos!$C$2:$C$200,"C1",aditivos!$B$2:$B$200,"&gt;="&amp;(INT(parametros!$I$3)+1)),2)))</f>
        <v/>
      </c>
      <c r="AD111" t="str">
        <f>IF($A111="","",IF(OR(parametros!$C$4="",parametros!$I$4=""),0,ROUND(SUMIFS(aditivos!$L$2:$L$200,aditivos!$A$2:$A$200,$A111,aditivos!$C$2:$C$200,"C2",aditivos!$B$2:$B$200,"&gt;="&amp;(INT(parametros!$I$4)+1)),2)))</f>
        <v/>
      </c>
      <c r="AE111" t="str">
        <f>IF($A111="","",IF(OR(parametros!$C$5="",parametros!$I$5=""),0,ROUND(SUMIFS(aditivos!$L$2:$L$200,aditivos!$A$2:$A$200,$A111,aditivos!$C$2:$C$200,"C3",aditivos!$B$2:$B$200,"&gt;="&amp;(INT(parametros!$I$5)+1)),2)))</f>
        <v/>
      </c>
      <c r="AF111" t="str">
        <f>IF($A111="","",IF(OR(parametros!$C$6="",parametros!$I$6=""),0,ROUND(SUMIFS(aditivos!$L$2:$L$200,aditivos!$A$2:$A$200,$A111,aditivos!$C$2:$C$200,"C4",aditivos!$B$2:$B$200,"&gt;="&amp;(INT(parametros!$I$6)+1)),2)))</f>
        <v/>
      </c>
      <c r="AG111" t="str">
        <f t="shared" si="66"/>
        <v/>
      </c>
      <c r="AH111" t="str">
        <f t="shared" si="67"/>
        <v/>
      </c>
      <c r="AI111" t="str">
        <f t="shared" si="68"/>
        <v/>
      </c>
      <c r="AJ111" t="str">
        <f t="shared" si="69"/>
        <v/>
      </c>
      <c r="AK111" t="str">
        <f t="shared" si="70"/>
        <v/>
      </c>
      <c r="AL111" t="str">
        <f t="shared" si="71"/>
        <v/>
      </c>
    </row>
    <row r="112" spans="1:38" x14ac:dyDescent="0.35">
      <c r="A112" s="146" t="str">
        <f>IF(itens_Remanesc!A112="","",itens_Remanesc!A112)</f>
        <v/>
      </c>
      <c r="B112" s="196" t="str">
        <f>IF(A112="","",itens_Remanesc!C112)</f>
        <v/>
      </c>
      <c r="C112" s="161" t="str">
        <f>IF(A112="","",IF(itens_Remanesc!B112="",0,itens_Remanesc!B112))</f>
        <v/>
      </c>
      <c r="D112" s="163" t="str">
        <f>IF(A112="","",ROUND(SUMIFS(aditivos!$L$2:$L$200,aditivos!$A$2:$A$200,A112,aditivos!$C$2:$C$200,"C0"),2))</f>
        <v/>
      </c>
      <c r="E112" s="159" t="str">
        <f t="shared" si="54"/>
        <v/>
      </c>
      <c r="F112" s="159" t="str">
        <f>IF(A112="","",IF(itens_Remanesc!B112&lt;&gt;"",itens_Remanesc!B112,IF($Z112,0,"")))</f>
        <v/>
      </c>
      <c r="G112" s="167" t="str">
        <f t="shared" si="55"/>
        <v/>
      </c>
      <c r="H112" s="169" t="str">
        <f>IF(A112="","",ROUND(SUMIFS(aditivos!$L$2:$L$200,aditivos!$A$2:$A$200,A112,aditivos!$C$2:$C$200,"C1"),2))</f>
        <v/>
      </c>
      <c r="I112" s="165" t="str">
        <f t="shared" si="56"/>
        <v/>
      </c>
      <c r="J112" s="165" t="str">
        <f>IF(A112="","",IF(itens_Remanesc!E112="","",itens_Remanesc!E112))</f>
        <v/>
      </c>
      <c r="K112" s="171" t="str">
        <f t="shared" si="57"/>
        <v/>
      </c>
      <c r="L112" s="163" t="str">
        <f>IF(A112="","",ROUND(SUMIFS(aditivos!$L$2:$L$200,aditivos!$A$2:$A$200,A112,aditivos!$C$2:$C$200,"C2"),2))</f>
        <v/>
      </c>
      <c r="M112" s="159" t="str">
        <f t="shared" si="58"/>
        <v/>
      </c>
      <c r="N112" s="159" t="str">
        <f>IF(A112="","",IF(itens_Remanesc!G112="","",itens_Remanesc!G112))</f>
        <v/>
      </c>
      <c r="O112" s="167" t="str">
        <f t="shared" si="59"/>
        <v/>
      </c>
      <c r="P112" s="169" t="str">
        <f>IF(A112="","",ROUND(SUMIFS(aditivos!$L$2:$L$200,aditivos!$A$2:$A$200,A112,aditivos!$C$2:$C$200,"C3"),2))</f>
        <v/>
      </c>
      <c r="Q112" s="165" t="str">
        <f t="shared" si="60"/>
        <v/>
      </c>
      <c r="R112" s="165" t="str">
        <f>IF(A112="","",IF(itens_Remanesc!I112="","",itens_Remanesc!I112))</f>
        <v/>
      </c>
      <c r="S112" s="171" t="str">
        <f t="shared" si="61"/>
        <v/>
      </c>
      <c r="T112" s="163" t="str">
        <f>IF(A112="","",ROUND(SUMIFS(aditivos!$L$2:$L$200,aditivos!$A$2:$A$200,A112,aditivos!$C$2:$C$200,"C4"),2))</f>
        <v/>
      </c>
      <c r="U112" s="159" t="str">
        <f t="shared" si="62"/>
        <v/>
      </c>
      <c r="V112" s="159" t="str">
        <f>IF(A112="","",IF(itens_Remanesc!K112="","",itens_Remanesc!K112))</f>
        <v/>
      </c>
      <c r="W112" s="159" t="str">
        <f t="shared" si="63"/>
        <v/>
      </c>
      <c r="X112" s="146" t="str">
        <f>IF(A112="","",IF(COUNTIF($A$2:$A$200,A112)&gt;1,"ALERTA: ITEM_DUPLICADO",IF(AND($Z112,ISNUMBER(itens_Remanesc!B112),itens_Remanesc!B112&lt;&gt;0),"NOVO ITEM COM BASE DIFERENTE DE 0 - AJUSTAR itens_Remanesc",IF(AND($Z112,NOT(ISNUMBER(itens_Remanesc!C112))),"NOVO ITEM SEM VU_ORIGINAL - INFORMAR EM itens_Remanesc",IF(MIN(E112,I112,M112,Q112,U112,G112,K112,O112,S112,W112)&lt;0,"ALERTA: POSICAO_NEGATIVA",IF(OR(AND(G112&lt;&gt;"",G112&gt;E112),AND(K112&lt;&gt;"",K112&gt;I112),AND(O112&lt;&gt;"",O112&gt;M112),AND(S112&lt;&gt;"",S112&gt;Q112),AND(W112&lt;&gt;"",W112&gt;U112)),"ALERTA: REMANESCENTE_SUPERA_POSICAO","OK"))))))</f>
        <v/>
      </c>
      <c r="Y112" t="str">
        <f t="shared" si="64"/>
        <v/>
      </c>
      <c r="Z112" t="b">
        <f t="shared" si="65"/>
        <v>0</v>
      </c>
      <c r="AA112" s="208" t="str">
        <f>IF($A112="","",IF(COUNTIFS(aditivos!$A$2:$A$200,$A112,aditivos!$L$2:$L$200,"&lt;&gt;",aditivos!$L$2:$L$200,"&lt;&gt;0",aditivos!$B$2:$B$200,"&gt;0")=0,"",IFERROR(_xlfn.MINIFS(aditivos!$B$2:$B$200,aditivos!$A$2:$A$200,$A112,aditivos!$L$2:$L$200,"&lt;&gt;",aditivos!$L$2:$L$200,"&lt;&gt;0",aditivos!$B$2:$B$200,"&gt;0"),"")))</f>
        <v/>
      </c>
      <c r="AB112" t="str">
        <f>IF($A112="","",IF(OR(parametros!$C$2="",parametros!$I$2=""),0,ROUND(SUMIFS(aditivos!$L$2:$L$200,aditivos!$A$2:$A$200,$A112,aditivos!$C$2:$C$200,"C0",aditivos!$B$2:$B$200,"&gt;="&amp;(INT(parametros!$I$2)+1)),2)))</f>
        <v/>
      </c>
      <c r="AC112" t="str">
        <f>IF($A112="","",IF(OR(parametros!$C$3="",parametros!$I$3=""),0,ROUND(SUMIFS(aditivos!$L$2:$L$200,aditivos!$A$2:$A$200,$A112,aditivos!$C$2:$C$200,"C1",aditivos!$B$2:$B$200,"&gt;="&amp;(INT(parametros!$I$3)+1)),2)))</f>
        <v/>
      </c>
      <c r="AD112" t="str">
        <f>IF($A112="","",IF(OR(parametros!$C$4="",parametros!$I$4=""),0,ROUND(SUMIFS(aditivos!$L$2:$L$200,aditivos!$A$2:$A$200,$A112,aditivos!$C$2:$C$200,"C2",aditivos!$B$2:$B$200,"&gt;="&amp;(INT(parametros!$I$4)+1)),2)))</f>
        <v/>
      </c>
      <c r="AE112" t="str">
        <f>IF($A112="","",IF(OR(parametros!$C$5="",parametros!$I$5=""),0,ROUND(SUMIFS(aditivos!$L$2:$L$200,aditivos!$A$2:$A$200,$A112,aditivos!$C$2:$C$200,"C3",aditivos!$B$2:$B$200,"&gt;="&amp;(INT(parametros!$I$5)+1)),2)))</f>
        <v/>
      </c>
      <c r="AF112" t="str">
        <f>IF($A112="","",IF(OR(parametros!$C$6="",parametros!$I$6=""),0,ROUND(SUMIFS(aditivos!$L$2:$L$200,aditivos!$A$2:$A$200,$A112,aditivos!$C$2:$C$200,"C4",aditivos!$B$2:$B$200,"&gt;="&amp;(INT(parametros!$I$6)+1)),2)))</f>
        <v/>
      </c>
      <c r="AG112" t="str">
        <f t="shared" si="66"/>
        <v/>
      </c>
      <c r="AH112" t="str">
        <f t="shared" si="67"/>
        <v/>
      </c>
      <c r="AI112" t="str">
        <f t="shared" si="68"/>
        <v/>
      </c>
      <c r="AJ112" t="str">
        <f t="shared" si="69"/>
        <v/>
      </c>
      <c r="AK112" t="str">
        <f t="shared" si="70"/>
        <v/>
      </c>
      <c r="AL112" t="str">
        <f t="shared" si="71"/>
        <v/>
      </c>
    </row>
    <row r="113" spans="1:38" x14ac:dyDescent="0.35">
      <c r="A113" s="146" t="str">
        <f>IF(itens_Remanesc!A113="","",itens_Remanesc!A113)</f>
        <v/>
      </c>
      <c r="B113" s="196" t="str">
        <f>IF(A113="","",itens_Remanesc!C113)</f>
        <v/>
      </c>
      <c r="C113" s="161" t="str">
        <f>IF(A113="","",IF(itens_Remanesc!B113="",0,itens_Remanesc!B113))</f>
        <v/>
      </c>
      <c r="D113" s="163" t="str">
        <f>IF(A113="","",ROUND(SUMIFS(aditivos!$L$2:$L$200,aditivos!$A$2:$A$200,A113,aditivos!$C$2:$C$200,"C0"),2))</f>
        <v/>
      </c>
      <c r="E113" s="159" t="str">
        <f t="shared" si="54"/>
        <v/>
      </c>
      <c r="F113" s="159" t="str">
        <f>IF(A113="","",IF(itens_Remanesc!B113&lt;&gt;"",itens_Remanesc!B113,IF($Z113,0,"")))</f>
        <v/>
      </c>
      <c r="G113" s="167" t="str">
        <f t="shared" si="55"/>
        <v/>
      </c>
      <c r="H113" s="169" t="str">
        <f>IF(A113="","",ROUND(SUMIFS(aditivos!$L$2:$L$200,aditivos!$A$2:$A$200,A113,aditivos!$C$2:$C$200,"C1"),2))</f>
        <v/>
      </c>
      <c r="I113" s="165" t="str">
        <f t="shared" si="56"/>
        <v/>
      </c>
      <c r="J113" s="165" t="str">
        <f>IF(A113="","",IF(itens_Remanesc!E113="","",itens_Remanesc!E113))</f>
        <v/>
      </c>
      <c r="K113" s="171" t="str">
        <f t="shared" si="57"/>
        <v/>
      </c>
      <c r="L113" s="163" t="str">
        <f>IF(A113="","",ROUND(SUMIFS(aditivos!$L$2:$L$200,aditivos!$A$2:$A$200,A113,aditivos!$C$2:$C$200,"C2"),2))</f>
        <v/>
      </c>
      <c r="M113" s="159" t="str">
        <f t="shared" si="58"/>
        <v/>
      </c>
      <c r="N113" s="159" t="str">
        <f>IF(A113="","",IF(itens_Remanesc!G113="","",itens_Remanesc!G113))</f>
        <v/>
      </c>
      <c r="O113" s="167" t="str">
        <f t="shared" si="59"/>
        <v/>
      </c>
      <c r="P113" s="169" t="str">
        <f>IF(A113="","",ROUND(SUMIFS(aditivos!$L$2:$L$200,aditivos!$A$2:$A$200,A113,aditivos!$C$2:$C$200,"C3"),2))</f>
        <v/>
      </c>
      <c r="Q113" s="165" t="str">
        <f t="shared" si="60"/>
        <v/>
      </c>
      <c r="R113" s="165" t="str">
        <f>IF(A113="","",IF(itens_Remanesc!I113="","",itens_Remanesc!I113))</f>
        <v/>
      </c>
      <c r="S113" s="171" t="str">
        <f t="shared" si="61"/>
        <v/>
      </c>
      <c r="T113" s="163" t="str">
        <f>IF(A113="","",ROUND(SUMIFS(aditivos!$L$2:$L$200,aditivos!$A$2:$A$200,A113,aditivos!$C$2:$C$200,"C4"),2))</f>
        <v/>
      </c>
      <c r="U113" s="159" t="str">
        <f t="shared" si="62"/>
        <v/>
      </c>
      <c r="V113" s="159" t="str">
        <f>IF(A113="","",IF(itens_Remanesc!K113="","",itens_Remanesc!K113))</f>
        <v/>
      </c>
      <c r="W113" s="159" t="str">
        <f t="shared" si="63"/>
        <v/>
      </c>
      <c r="X113" s="146" t="str">
        <f>IF(A113="","",IF(COUNTIF($A$2:$A$200,A113)&gt;1,"ALERTA: ITEM_DUPLICADO",IF(AND($Z113,ISNUMBER(itens_Remanesc!B113),itens_Remanesc!B113&lt;&gt;0),"NOVO ITEM COM BASE DIFERENTE DE 0 - AJUSTAR itens_Remanesc",IF(AND($Z113,NOT(ISNUMBER(itens_Remanesc!C113))),"NOVO ITEM SEM VU_ORIGINAL - INFORMAR EM itens_Remanesc",IF(MIN(E113,I113,M113,Q113,U113,G113,K113,O113,S113,W113)&lt;0,"ALERTA: POSICAO_NEGATIVA",IF(OR(AND(G113&lt;&gt;"",G113&gt;E113),AND(K113&lt;&gt;"",K113&gt;I113),AND(O113&lt;&gt;"",O113&gt;M113),AND(S113&lt;&gt;"",S113&gt;Q113),AND(W113&lt;&gt;"",W113&gt;U113)),"ALERTA: REMANESCENTE_SUPERA_POSICAO","OK"))))))</f>
        <v/>
      </c>
      <c r="Y113" t="str">
        <f t="shared" si="64"/>
        <v/>
      </c>
      <c r="Z113" t="b">
        <f t="shared" si="65"/>
        <v>0</v>
      </c>
      <c r="AA113" s="208" t="str">
        <f>IF($A113="","",IF(COUNTIFS(aditivos!$A$2:$A$200,$A113,aditivos!$L$2:$L$200,"&lt;&gt;",aditivos!$L$2:$L$200,"&lt;&gt;0",aditivos!$B$2:$B$200,"&gt;0")=0,"",IFERROR(_xlfn.MINIFS(aditivos!$B$2:$B$200,aditivos!$A$2:$A$200,$A113,aditivos!$L$2:$L$200,"&lt;&gt;",aditivos!$L$2:$L$200,"&lt;&gt;0",aditivos!$B$2:$B$200,"&gt;0"),"")))</f>
        <v/>
      </c>
      <c r="AB113" t="str">
        <f>IF($A113="","",IF(OR(parametros!$C$2="",parametros!$I$2=""),0,ROUND(SUMIFS(aditivos!$L$2:$L$200,aditivos!$A$2:$A$200,$A113,aditivos!$C$2:$C$200,"C0",aditivos!$B$2:$B$200,"&gt;="&amp;(INT(parametros!$I$2)+1)),2)))</f>
        <v/>
      </c>
      <c r="AC113" t="str">
        <f>IF($A113="","",IF(OR(parametros!$C$3="",parametros!$I$3=""),0,ROUND(SUMIFS(aditivos!$L$2:$L$200,aditivos!$A$2:$A$200,$A113,aditivos!$C$2:$C$200,"C1",aditivos!$B$2:$B$200,"&gt;="&amp;(INT(parametros!$I$3)+1)),2)))</f>
        <v/>
      </c>
      <c r="AD113" t="str">
        <f>IF($A113="","",IF(OR(parametros!$C$4="",parametros!$I$4=""),0,ROUND(SUMIFS(aditivos!$L$2:$L$200,aditivos!$A$2:$A$200,$A113,aditivos!$C$2:$C$200,"C2",aditivos!$B$2:$B$200,"&gt;="&amp;(INT(parametros!$I$4)+1)),2)))</f>
        <v/>
      </c>
      <c r="AE113" t="str">
        <f>IF($A113="","",IF(OR(parametros!$C$5="",parametros!$I$5=""),0,ROUND(SUMIFS(aditivos!$L$2:$L$200,aditivos!$A$2:$A$200,$A113,aditivos!$C$2:$C$200,"C3",aditivos!$B$2:$B$200,"&gt;="&amp;(INT(parametros!$I$5)+1)),2)))</f>
        <v/>
      </c>
      <c r="AF113" t="str">
        <f>IF($A113="","",IF(OR(parametros!$C$6="",parametros!$I$6=""),0,ROUND(SUMIFS(aditivos!$L$2:$L$200,aditivos!$A$2:$A$200,$A113,aditivos!$C$2:$C$200,"C4",aditivos!$B$2:$B$200,"&gt;="&amp;(INT(parametros!$I$6)+1)),2)))</f>
        <v/>
      </c>
      <c r="AG113" t="str">
        <f t="shared" si="66"/>
        <v/>
      </c>
      <c r="AH113" t="str">
        <f t="shared" si="67"/>
        <v/>
      </c>
      <c r="AI113" t="str">
        <f t="shared" si="68"/>
        <v/>
      </c>
      <c r="AJ113" t="str">
        <f t="shared" si="69"/>
        <v/>
      </c>
      <c r="AK113" t="str">
        <f t="shared" si="70"/>
        <v/>
      </c>
      <c r="AL113" t="str">
        <f t="shared" si="71"/>
        <v/>
      </c>
    </row>
    <row r="114" spans="1:38" x14ac:dyDescent="0.35">
      <c r="A114" s="146" t="str">
        <f>IF(itens_Remanesc!A114="","",itens_Remanesc!A114)</f>
        <v/>
      </c>
      <c r="B114" s="196" t="str">
        <f>IF(A114="","",itens_Remanesc!C114)</f>
        <v/>
      </c>
      <c r="C114" s="161" t="str">
        <f>IF(A114="","",IF(itens_Remanesc!B114="",0,itens_Remanesc!B114))</f>
        <v/>
      </c>
      <c r="D114" s="163" t="str">
        <f>IF(A114="","",ROUND(SUMIFS(aditivos!$L$2:$L$200,aditivos!$A$2:$A$200,A114,aditivos!$C$2:$C$200,"C0"),2))</f>
        <v/>
      </c>
      <c r="E114" s="159" t="str">
        <f t="shared" si="54"/>
        <v/>
      </c>
      <c r="F114" s="159" t="str">
        <f>IF(A114="","",IF(itens_Remanesc!B114&lt;&gt;"",itens_Remanesc!B114,IF($Z114,0,"")))</f>
        <v/>
      </c>
      <c r="G114" s="167" t="str">
        <f t="shared" si="55"/>
        <v/>
      </c>
      <c r="H114" s="169" t="str">
        <f>IF(A114="","",ROUND(SUMIFS(aditivos!$L$2:$L$200,aditivos!$A$2:$A$200,A114,aditivos!$C$2:$C$200,"C1"),2))</f>
        <v/>
      </c>
      <c r="I114" s="165" t="str">
        <f t="shared" si="56"/>
        <v/>
      </c>
      <c r="J114" s="165" t="str">
        <f>IF(A114="","",IF(itens_Remanesc!E114="","",itens_Remanesc!E114))</f>
        <v/>
      </c>
      <c r="K114" s="171" t="str">
        <f t="shared" si="57"/>
        <v/>
      </c>
      <c r="L114" s="163" t="str">
        <f>IF(A114="","",ROUND(SUMIFS(aditivos!$L$2:$L$200,aditivos!$A$2:$A$200,A114,aditivos!$C$2:$C$200,"C2"),2))</f>
        <v/>
      </c>
      <c r="M114" s="159" t="str">
        <f t="shared" si="58"/>
        <v/>
      </c>
      <c r="N114" s="159" t="str">
        <f>IF(A114="","",IF(itens_Remanesc!G114="","",itens_Remanesc!G114))</f>
        <v/>
      </c>
      <c r="O114" s="167" t="str">
        <f t="shared" si="59"/>
        <v/>
      </c>
      <c r="P114" s="169" t="str">
        <f>IF(A114="","",ROUND(SUMIFS(aditivos!$L$2:$L$200,aditivos!$A$2:$A$200,A114,aditivos!$C$2:$C$200,"C3"),2))</f>
        <v/>
      </c>
      <c r="Q114" s="165" t="str">
        <f t="shared" si="60"/>
        <v/>
      </c>
      <c r="R114" s="165" t="str">
        <f>IF(A114="","",IF(itens_Remanesc!I114="","",itens_Remanesc!I114))</f>
        <v/>
      </c>
      <c r="S114" s="171" t="str">
        <f t="shared" si="61"/>
        <v/>
      </c>
      <c r="T114" s="163" t="str">
        <f>IF(A114="","",ROUND(SUMIFS(aditivos!$L$2:$L$200,aditivos!$A$2:$A$200,A114,aditivos!$C$2:$C$200,"C4"),2))</f>
        <v/>
      </c>
      <c r="U114" s="159" t="str">
        <f t="shared" si="62"/>
        <v/>
      </c>
      <c r="V114" s="159" t="str">
        <f>IF(A114="","",IF(itens_Remanesc!K114="","",itens_Remanesc!K114))</f>
        <v/>
      </c>
      <c r="W114" s="159" t="str">
        <f t="shared" si="63"/>
        <v/>
      </c>
      <c r="X114" s="146" t="str">
        <f>IF(A114="","",IF(COUNTIF($A$2:$A$200,A114)&gt;1,"ALERTA: ITEM_DUPLICADO",IF(AND($Z114,ISNUMBER(itens_Remanesc!B114),itens_Remanesc!B114&lt;&gt;0),"NOVO ITEM COM BASE DIFERENTE DE 0 - AJUSTAR itens_Remanesc",IF(AND($Z114,NOT(ISNUMBER(itens_Remanesc!C114))),"NOVO ITEM SEM VU_ORIGINAL - INFORMAR EM itens_Remanesc",IF(MIN(E114,I114,M114,Q114,U114,G114,K114,O114,S114,W114)&lt;0,"ALERTA: POSICAO_NEGATIVA",IF(OR(AND(G114&lt;&gt;"",G114&gt;E114),AND(K114&lt;&gt;"",K114&gt;I114),AND(O114&lt;&gt;"",O114&gt;M114),AND(S114&lt;&gt;"",S114&gt;Q114),AND(W114&lt;&gt;"",W114&gt;U114)),"ALERTA: REMANESCENTE_SUPERA_POSICAO","OK"))))))</f>
        <v/>
      </c>
      <c r="Y114" t="str">
        <f t="shared" si="64"/>
        <v/>
      </c>
      <c r="Z114" t="b">
        <f t="shared" si="65"/>
        <v>0</v>
      </c>
      <c r="AA114" s="208" t="str">
        <f>IF($A114="","",IF(COUNTIFS(aditivos!$A$2:$A$200,$A114,aditivos!$L$2:$L$200,"&lt;&gt;",aditivos!$L$2:$L$200,"&lt;&gt;0",aditivos!$B$2:$B$200,"&gt;0")=0,"",IFERROR(_xlfn.MINIFS(aditivos!$B$2:$B$200,aditivos!$A$2:$A$200,$A114,aditivos!$L$2:$L$200,"&lt;&gt;",aditivos!$L$2:$L$200,"&lt;&gt;0",aditivos!$B$2:$B$200,"&gt;0"),"")))</f>
        <v/>
      </c>
      <c r="AB114" t="str">
        <f>IF($A114="","",IF(OR(parametros!$C$2="",parametros!$I$2=""),0,ROUND(SUMIFS(aditivos!$L$2:$L$200,aditivos!$A$2:$A$200,$A114,aditivos!$C$2:$C$200,"C0",aditivos!$B$2:$B$200,"&gt;="&amp;(INT(parametros!$I$2)+1)),2)))</f>
        <v/>
      </c>
      <c r="AC114" t="str">
        <f>IF($A114="","",IF(OR(parametros!$C$3="",parametros!$I$3=""),0,ROUND(SUMIFS(aditivos!$L$2:$L$200,aditivos!$A$2:$A$200,$A114,aditivos!$C$2:$C$200,"C1",aditivos!$B$2:$B$200,"&gt;="&amp;(INT(parametros!$I$3)+1)),2)))</f>
        <v/>
      </c>
      <c r="AD114" t="str">
        <f>IF($A114="","",IF(OR(parametros!$C$4="",parametros!$I$4=""),0,ROUND(SUMIFS(aditivos!$L$2:$L$200,aditivos!$A$2:$A$200,$A114,aditivos!$C$2:$C$200,"C2",aditivos!$B$2:$B$200,"&gt;="&amp;(INT(parametros!$I$4)+1)),2)))</f>
        <v/>
      </c>
      <c r="AE114" t="str">
        <f>IF($A114="","",IF(OR(parametros!$C$5="",parametros!$I$5=""),0,ROUND(SUMIFS(aditivos!$L$2:$L$200,aditivos!$A$2:$A$200,$A114,aditivos!$C$2:$C$200,"C3",aditivos!$B$2:$B$200,"&gt;="&amp;(INT(parametros!$I$5)+1)),2)))</f>
        <v/>
      </c>
      <c r="AF114" t="str">
        <f>IF($A114="","",IF(OR(parametros!$C$6="",parametros!$I$6=""),0,ROUND(SUMIFS(aditivos!$L$2:$L$200,aditivos!$A$2:$A$200,$A114,aditivos!$C$2:$C$200,"C4",aditivos!$B$2:$B$200,"&gt;="&amp;(INT(parametros!$I$6)+1)),2)))</f>
        <v/>
      </c>
      <c r="AG114" t="str">
        <f t="shared" si="66"/>
        <v/>
      </c>
      <c r="AH114" t="str">
        <f t="shared" si="67"/>
        <v/>
      </c>
      <c r="AI114" t="str">
        <f t="shared" si="68"/>
        <v/>
      </c>
      <c r="AJ114" t="str">
        <f t="shared" si="69"/>
        <v/>
      </c>
      <c r="AK114" t="str">
        <f t="shared" si="70"/>
        <v/>
      </c>
      <c r="AL114" t="str">
        <f t="shared" si="71"/>
        <v/>
      </c>
    </row>
    <row r="115" spans="1:38" x14ac:dyDescent="0.35">
      <c r="A115" s="146" t="str">
        <f>IF(itens_Remanesc!A115="","",itens_Remanesc!A115)</f>
        <v/>
      </c>
      <c r="B115" s="196" t="str">
        <f>IF(A115="","",itens_Remanesc!C115)</f>
        <v/>
      </c>
      <c r="C115" s="161" t="str">
        <f>IF(A115="","",IF(itens_Remanesc!B115="",0,itens_Remanesc!B115))</f>
        <v/>
      </c>
      <c r="D115" s="163" t="str">
        <f>IF(A115="","",ROUND(SUMIFS(aditivos!$L$2:$L$200,aditivos!$A$2:$A$200,A115,aditivos!$C$2:$C$200,"C0"),2))</f>
        <v/>
      </c>
      <c r="E115" s="159" t="str">
        <f t="shared" si="54"/>
        <v/>
      </c>
      <c r="F115" s="159" t="str">
        <f>IF(A115="","",IF(itens_Remanesc!B115&lt;&gt;"",itens_Remanesc!B115,IF($Z115,0,"")))</f>
        <v/>
      </c>
      <c r="G115" s="167" t="str">
        <f t="shared" si="55"/>
        <v/>
      </c>
      <c r="H115" s="169" t="str">
        <f>IF(A115="","",ROUND(SUMIFS(aditivos!$L$2:$L$200,aditivos!$A$2:$A$200,A115,aditivos!$C$2:$C$200,"C1"),2))</f>
        <v/>
      </c>
      <c r="I115" s="165" t="str">
        <f t="shared" si="56"/>
        <v/>
      </c>
      <c r="J115" s="165" t="str">
        <f>IF(A115="","",IF(itens_Remanesc!E115="","",itens_Remanesc!E115))</f>
        <v/>
      </c>
      <c r="K115" s="171" t="str">
        <f t="shared" si="57"/>
        <v/>
      </c>
      <c r="L115" s="163" t="str">
        <f>IF(A115="","",ROUND(SUMIFS(aditivos!$L$2:$L$200,aditivos!$A$2:$A$200,A115,aditivos!$C$2:$C$200,"C2"),2))</f>
        <v/>
      </c>
      <c r="M115" s="159" t="str">
        <f t="shared" si="58"/>
        <v/>
      </c>
      <c r="N115" s="159" t="str">
        <f>IF(A115="","",IF(itens_Remanesc!G115="","",itens_Remanesc!G115))</f>
        <v/>
      </c>
      <c r="O115" s="167" t="str">
        <f t="shared" si="59"/>
        <v/>
      </c>
      <c r="P115" s="169" t="str">
        <f>IF(A115="","",ROUND(SUMIFS(aditivos!$L$2:$L$200,aditivos!$A$2:$A$200,A115,aditivos!$C$2:$C$200,"C3"),2))</f>
        <v/>
      </c>
      <c r="Q115" s="165" t="str">
        <f t="shared" si="60"/>
        <v/>
      </c>
      <c r="R115" s="165" t="str">
        <f>IF(A115="","",IF(itens_Remanesc!I115="","",itens_Remanesc!I115))</f>
        <v/>
      </c>
      <c r="S115" s="171" t="str">
        <f t="shared" si="61"/>
        <v/>
      </c>
      <c r="T115" s="163" t="str">
        <f>IF(A115="","",ROUND(SUMIFS(aditivos!$L$2:$L$200,aditivos!$A$2:$A$200,A115,aditivos!$C$2:$C$200,"C4"),2))</f>
        <v/>
      </c>
      <c r="U115" s="159" t="str">
        <f t="shared" si="62"/>
        <v/>
      </c>
      <c r="V115" s="159" t="str">
        <f>IF(A115="","",IF(itens_Remanesc!K115="","",itens_Remanesc!K115))</f>
        <v/>
      </c>
      <c r="W115" s="159" t="str">
        <f t="shared" si="63"/>
        <v/>
      </c>
      <c r="X115" s="146" t="str">
        <f>IF(A115="","",IF(COUNTIF($A$2:$A$200,A115)&gt;1,"ALERTA: ITEM_DUPLICADO",IF(AND($Z115,ISNUMBER(itens_Remanesc!B115),itens_Remanesc!B115&lt;&gt;0),"NOVO ITEM COM BASE DIFERENTE DE 0 - AJUSTAR itens_Remanesc",IF(AND($Z115,NOT(ISNUMBER(itens_Remanesc!C115))),"NOVO ITEM SEM VU_ORIGINAL - INFORMAR EM itens_Remanesc",IF(MIN(E115,I115,M115,Q115,U115,G115,K115,O115,S115,W115)&lt;0,"ALERTA: POSICAO_NEGATIVA",IF(OR(AND(G115&lt;&gt;"",G115&gt;E115),AND(K115&lt;&gt;"",K115&gt;I115),AND(O115&lt;&gt;"",O115&gt;M115),AND(S115&lt;&gt;"",S115&gt;Q115),AND(W115&lt;&gt;"",W115&gt;U115)),"ALERTA: REMANESCENTE_SUPERA_POSICAO","OK"))))))</f>
        <v/>
      </c>
      <c r="Y115" t="str">
        <f t="shared" si="64"/>
        <v/>
      </c>
      <c r="Z115" t="b">
        <f t="shared" si="65"/>
        <v>0</v>
      </c>
      <c r="AA115" s="208" t="str">
        <f>IF($A115="","",IF(COUNTIFS(aditivos!$A$2:$A$200,$A115,aditivos!$L$2:$L$200,"&lt;&gt;",aditivos!$L$2:$L$200,"&lt;&gt;0",aditivos!$B$2:$B$200,"&gt;0")=0,"",IFERROR(_xlfn.MINIFS(aditivos!$B$2:$B$200,aditivos!$A$2:$A$200,$A115,aditivos!$L$2:$L$200,"&lt;&gt;",aditivos!$L$2:$L$200,"&lt;&gt;0",aditivos!$B$2:$B$200,"&gt;0"),"")))</f>
        <v/>
      </c>
      <c r="AB115" t="str">
        <f>IF($A115="","",IF(OR(parametros!$C$2="",parametros!$I$2=""),0,ROUND(SUMIFS(aditivos!$L$2:$L$200,aditivos!$A$2:$A$200,$A115,aditivos!$C$2:$C$200,"C0",aditivos!$B$2:$B$200,"&gt;="&amp;(INT(parametros!$I$2)+1)),2)))</f>
        <v/>
      </c>
      <c r="AC115" t="str">
        <f>IF($A115="","",IF(OR(parametros!$C$3="",parametros!$I$3=""),0,ROUND(SUMIFS(aditivos!$L$2:$L$200,aditivos!$A$2:$A$200,$A115,aditivos!$C$2:$C$200,"C1",aditivos!$B$2:$B$200,"&gt;="&amp;(INT(parametros!$I$3)+1)),2)))</f>
        <v/>
      </c>
      <c r="AD115" t="str">
        <f>IF($A115="","",IF(OR(parametros!$C$4="",parametros!$I$4=""),0,ROUND(SUMIFS(aditivos!$L$2:$L$200,aditivos!$A$2:$A$200,$A115,aditivos!$C$2:$C$200,"C2",aditivos!$B$2:$B$200,"&gt;="&amp;(INT(parametros!$I$4)+1)),2)))</f>
        <v/>
      </c>
      <c r="AE115" t="str">
        <f>IF($A115="","",IF(OR(parametros!$C$5="",parametros!$I$5=""),0,ROUND(SUMIFS(aditivos!$L$2:$L$200,aditivos!$A$2:$A$200,$A115,aditivos!$C$2:$C$200,"C3",aditivos!$B$2:$B$200,"&gt;="&amp;(INT(parametros!$I$5)+1)),2)))</f>
        <v/>
      </c>
      <c r="AF115" t="str">
        <f>IF($A115="","",IF(OR(parametros!$C$6="",parametros!$I$6=""),0,ROUND(SUMIFS(aditivos!$L$2:$L$200,aditivos!$A$2:$A$200,$A115,aditivos!$C$2:$C$200,"C4",aditivos!$B$2:$B$200,"&gt;="&amp;(INT(parametros!$I$6)+1)),2)))</f>
        <v/>
      </c>
      <c r="AG115" t="str">
        <f t="shared" si="66"/>
        <v/>
      </c>
      <c r="AH115" t="str">
        <f t="shared" si="67"/>
        <v/>
      </c>
      <c r="AI115" t="str">
        <f t="shared" si="68"/>
        <v/>
      </c>
      <c r="AJ115" t="str">
        <f t="shared" si="69"/>
        <v/>
      </c>
      <c r="AK115" t="str">
        <f t="shared" si="70"/>
        <v/>
      </c>
      <c r="AL115" t="str">
        <f t="shared" si="71"/>
        <v/>
      </c>
    </row>
    <row r="116" spans="1:38" x14ac:dyDescent="0.35">
      <c r="A116" s="146" t="str">
        <f>IF(itens_Remanesc!A116="","",itens_Remanesc!A116)</f>
        <v/>
      </c>
      <c r="B116" s="196" t="str">
        <f>IF(A116="","",itens_Remanesc!C116)</f>
        <v/>
      </c>
      <c r="C116" s="161" t="str">
        <f>IF(A116="","",IF(itens_Remanesc!B116="",0,itens_Remanesc!B116))</f>
        <v/>
      </c>
      <c r="D116" s="163" t="str">
        <f>IF(A116="","",ROUND(SUMIFS(aditivos!$L$2:$L$200,aditivos!$A$2:$A$200,A116,aditivos!$C$2:$C$200,"C0"),2))</f>
        <v/>
      </c>
      <c r="E116" s="159" t="str">
        <f t="shared" si="54"/>
        <v/>
      </c>
      <c r="F116" s="159" t="str">
        <f>IF(A116="","",IF(itens_Remanesc!B116&lt;&gt;"",itens_Remanesc!B116,IF($Z116,0,"")))</f>
        <v/>
      </c>
      <c r="G116" s="167" t="str">
        <f t="shared" si="55"/>
        <v/>
      </c>
      <c r="H116" s="169" t="str">
        <f>IF(A116="","",ROUND(SUMIFS(aditivos!$L$2:$L$200,aditivos!$A$2:$A$200,A116,aditivos!$C$2:$C$200,"C1"),2))</f>
        <v/>
      </c>
      <c r="I116" s="165" t="str">
        <f t="shared" si="56"/>
        <v/>
      </c>
      <c r="J116" s="165" t="str">
        <f>IF(A116="","",IF(itens_Remanesc!E116="","",itens_Remanesc!E116))</f>
        <v/>
      </c>
      <c r="K116" s="171" t="str">
        <f t="shared" si="57"/>
        <v/>
      </c>
      <c r="L116" s="163" t="str">
        <f>IF(A116="","",ROUND(SUMIFS(aditivos!$L$2:$L$200,aditivos!$A$2:$A$200,A116,aditivos!$C$2:$C$200,"C2"),2))</f>
        <v/>
      </c>
      <c r="M116" s="159" t="str">
        <f t="shared" si="58"/>
        <v/>
      </c>
      <c r="N116" s="159" t="str">
        <f>IF(A116="","",IF(itens_Remanesc!G116="","",itens_Remanesc!G116))</f>
        <v/>
      </c>
      <c r="O116" s="167" t="str">
        <f t="shared" si="59"/>
        <v/>
      </c>
      <c r="P116" s="169" t="str">
        <f>IF(A116="","",ROUND(SUMIFS(aditivos!$L$2:$L$200,aditivos!$A$2:$A$200,A116,aditivos!$C$2:$C$200,"C3"),2))</f>
        <v/>
      </c>
      <c r="Q116" s="165" t="str">
        <f t="shared" si="60"/>
        <v/>
      </c>
      <c r="R116" s="165" t="str">
        <f>IF(A116="","",IF(itens_Remanesc!I116="","",itens_Remanesc!I116))</f>
        <v/>
      </c>
      <c r="S116" s="171" t="str">
        <f t="shared" si="61"/>
        <v/>
      </c>
      <c r="T116" s="163" t="str">
        <f>IF(A116="","",ROUND(SUMIFS(aditivos!$L$2:$L$200,aditivos!$A$2:$A$200,A116,aditivos!$C$2:$C$200,"C4"),2))</f>
        <v/>
      </c>
      <c r="U116" s="159" t="str">
        <f t="shared" si="62"/>
        <v/>
      </c>
      <c r="V116" s="159" t="str">
        <f>IF(A116="","",IF(itens_Remanesc!K116="","",itens_Remanesc!K116))</f>
        <v/>
      </c>
      <c r="W116" s="159" t="str">
        <f t="shared" si="63"/>
        <v/>
      </c>
      <c r="X116" s="146" t="str">
        <f>IF(A116="","",IF(COUNTIF($A$2:$A$200,A116)&gt;1,"ALERTA: ITEM_DUPLICADO",IF(AND($Z116,ISNUMBER(itens_Remanesc!B116),itens_Remanesc!B116&lt;&gt;0),"NOVO ITEM COM BASE DIFERENTE DE 0 - AJUSTAR itens_Remanesc",IF(AND($Z116,NOT(ISNUMBER(itens_Remanesc!C116))),"NOVO ITEM SEM VU_ORIGINAL - INFORMAR EM itens_Remanesc",IF(MIN(E116,I116,M116,Q116,U116,G116,K116,O116,S116,W116)&lt;0,"ALERTA: POSICAO_NEGATIVA",IF(OR(AND(G116&lt;&gt;"",G116&gt;E116),AND(K116&lt;&gt;"",K116&gt;I116),AND(O116&lt;&gt;"",O116&gt;M116),AND(S116&lt;&gt;"",S116&gt;Q116),AND(W116&lt;&gt;"",W116&gt;U116)),"ALERTA: REMANESCENTE_SUPERA_POSICAO","OK"))))))</f>
        <v/>
      </c>
      <c r="Y116" t="str">
        <f t="shared" si="64"/>
        <v/>
      </c>
      <c r="Z116" t="b">
        <f t="shared" si="65"/>
        <v>0</v>
      </c>
      <c r="AA116" s="208" t="str">
        <f>IF($A116="","",IF(COUNTIFS(aditivos!$A$2:$A$200,$A116,aditivos!$L$2:$L$200,"&lt;&gt;",aditivos!$L$2:$L$200,"&lt;&gt;0",aditivos!$B$2:$B$200,"&gt;0")=0,"",IFERROR(_xlfn.MINIFS(aditivos!$B$2:$B$200,aditivos!$A$2:$A$200,$A116,aditivos!$L$2:$L$200,"&lt;&gt;",aditivos!$L$2:$L$200,"&lt;&gt;0",aditivos!$B$2:$B$200,"&gt;0"),"")))</f>
        <v/>
      </c>
      <c r="AB116" t="str">
        <f>IF($A116="","",IF(OR(parametros!$C$2="",parametros!$I$2=""),0,ROUND(SUMIFS(aditivos!$L$2:$L$200,aditivos!$A$2:$A$200,$A116,aditivos!$C$2:$C$200,"C0",aditivos!$B$2:$B$200,"&gt;="&amp;(INT(parametros!$I$2)+1)),2)))</f>
        <v/>
      </c>
      <c r="AC116" t="str">
        <f>IF($A116="","",IF(OR(parametros!$C$3="",parametros!$I$3=""),0,ROUND(SUMIFS(aditivos!$L$2:$L$200,aditivos!$A$2:$A$200,$A116,aditivos!$C$2:$C$200,"C1",aditivos!$B$2:$B$200,"&gt;="&amp;(INT(parametros!$I$3)+1)),2)))</f>
        <v/>
      </c>
      <c r="AD116" t="str">
        <f>IF($A116="","",IF(OR(parametros!$C$4="",parametros!$I$4=""),0,ROUND(SUMIFS(aditivos!$L$2:$L$200,aditivos!$A$2:$A$200,$A116,aditivos!$C$2:$C$200,"C2",aditivos!$B$2:$B$200,"&gt;="&amp;(INT(parametros!$I$4)+1)),2)))</f>
        <v/>
      </c>
      <c r="AE116" t="str">
        <f>IF($A116="","",IF(OR(parametros!$C$5="",parametros!$I$5=""),0,ROUND(SUMIFS(aditivos!$L$2:$L$200,aditivos!$A$2:$A$200,$A116,aditivos!$C$2:$C$200,"C3",aditivos!$B$2:$B$200,"&gt;="&amp;(INT(parametros!$I$5)+1)),2)))</f>
        <v/>
      </c>
      <c r="AF116" t="str">
        <f>IF($A116="","",IF(OR(parametros!$C$6="",parametros!$I$6=""),0,ROUND(SUMIFS(aditivos!$L$2:$L$200,aditivos!$A$2:$A$200,$A116,aditivos!$C$2:$C$200,"C4",aditivos!$B$2:$B$200,"&gt;="&amp;(INT(parametros!$I$6)+1)),2)))</f>
        <v/>
      </c>
      <c r="AG116" t="str">
        <f t="shared" si="66"/>
        <v/>
      </c>
      <c r="AH116" t="str">
        <f t="shared" si="67"/>
        <v/>
      </c>
      <c r="AI116" t="str">
        <f t="shared" si="68"/>
        <v/>
      </c>
      <c r="AJ116" t="str">
        <f t="shared" si="69"/>
        <v/>
      </c>
      <c r="AK116" t="str">
        <f t="shared" si="70"/>
        <v/>
      </c>
      <c r="AL116" t="str">
        <f t="shared" si="71"/>
        <v/>
      </c>
    </row>
    <row r="117" spans="1:38" x14ac:dyDescent="0.35">
      <c r="A117" s="146" t="str">
        <f>IF(itens_Remanesc!A117="","",itens_Remanesc!A117)</f>
        <v/>
      </c>
      <c r="B117" s="196" t="str">
        <f>IF(A117="","",itens_Remanesc!C117)</f>
        <v/>
      </c>
      <c r="C117" s="161" t="str">
        <f>IF(A117="","",IF(itens_Remanesc!B117="",0,itens_Remanesc!B117))</f>
        <v/>
      </c>
      <c r="D117" s="163" t="str">
        <f>IF(A117="","",ROUND(SUMIFS(aditivos!$L$2:$L$200,aditivos!$A$2:$A$200,A117,aditivos!$C$2:$C$200,"C0"),2))</f>
        <v/>
      </c>
      <c r="E117" s="159" t="str">
        <f t="shared" si="54"/>
        <v/>
      </c>
      <c r="F117" s="159" t="str">
        <f>IF(A117="","",IF(itens_Remanesc!B117&lt;&gt;"",itens_Remanesc!B117,IF($Z117,0,"")))</f>
        <v/>
      </c>
      <c r="G117" s="167" t="str">
        <f t="shared" si="55"/>
        <v/>
      </c>
      <c r="H117" s="169" t="str">
        <f>IF(A117="","",ROUND(SUMIFS(aditivos!$L$2:$L$200,aditivos!$A$2:$A$200,A117,aditivos!$C$2:$C$200,"C1"),2))</f>
        <v/>
      </c>
      <c r="I117" s="165" t="str">
        <f t="shared" si="56"/>
        <v/>
      </c>
      <c r="J117" s="165" t="str">
        <f>IF(A117="","",IF(itens_Remanesc!E117="","",itens_Remanesc!E117))</f>
        <v/>
      </c>
      <c r="K117" s="171" t="str">
        <f t="shared" si="57"/>
        <v/>
      </c>
      <c r="L117" s="163" t="str">
        <f>IF(A117="","",ROUND(SUMIFS(aditivos!$L$2:$L$200,aditivos!$A$2:$A$200,A117,aditivos!$C$2:$C$200,"C2"),2))</f>
        <v/>
      </c>
      <c r="M117" s="159" t="str">
        <f t="shared" si="58"/>
        <v/>
      </c>
      <c r="N117" s="159" t="str">
        <f>IF(A117="","",IF(itens_Remanesc!G117="","",itens_Remanesc!G117))</f>
        <v/>
      </c>
      <c r="O117" s="167" t="str">
        <f t="shared" si="59"/>
        <v/>
      </c>
      <c r="P117" s="169" t="str">
        <f>IF(A117="","",ROUND(SUMIFS(aditivos!$L$2:$L$200,aditivos!$A$2:$A$200,A117,aditivos!$C$2:$C$200,"C3"),2))</f>
        <v/>
      </c>
      <c r="Q117" s="165" t="str">
        <f t="shared" si="60"/>
        <v/>
      </c>
      <c r="R117" s="165" t="str">
        <f>IF(A117="","",IF(itens_Remanesc!I117="","",itens_Remanesc!I117))</f>
        <v/>
      </c>
      <c r="S117" s="171" t="str">
        <f t="shared" si="61"/>
        <v/>
      </c>
      <c r="T117" s="163" t="str">
        <f>IF(A117="","",ROUND(SUMIFS(aditivos!$L$2:$L$200,aditivos!$A$2:$A$200,A117,aditivos!$C$2:$C$200,"C4"),2))</f>
        <v/>
      </c>
      <c r="U117" s="159" t="str">
        <f t="shared" si="62"/>
        <v/>
      </c>
      <c r="V117" s="159" t="str">
        <f>IF(A117="","",IF(itens_Remanesc!K117="","",itens_Remanesc!K117))</f>
        <v/>
      </c>
      <c r="W117" s="159" t="str">
        <f t="shared" si="63"/>
        <v/>
      </c>
      <c r="X117" s="146" t="str">
        <f>IF(A117="","",IF(COUNTIF($A$2:$A$200,A117)&gt;1,"ALERTA: ITEM_DUPLICADO",IF(AND($Z117,ISNUMBER(itens_Remanesc!B117),itens_Remanesc!B117&lt;&gt;0),"NOVO ITEM COM BASE DIFERENTE DE 0 - AJUSTAR itens_Remanesc",IF(AND($Z117,NOT(ISNUMBER(itens_Remanesc!C117))),"NOVO ITEM SEM VU_ORIGINAL - INFORMAR EM itens_Remanesc",IF(MIN(E117,I117,M117,Q117,U117,G117,K117,O117,S117,W117)&lt;0,"ALERTA: POSICAO_NEGATIVA",IF(OR(AND(G117&lt;&gt;"",G117&gt;E117),AND(K117&lt;&gt;"",K117&gt;I117),AND(O117&lt;&gt;"",O117&gt;M117),AND(S117&lt;&gt;"",S117&gt;Q117),AND(W117&lt;&gt;"",W117&gt;U117)),"ALERTA: REMANESCENTE_SUPERA_POSICAO","OK"))))))</f>
        <v/>
      </c>
      <c r="Y117" t="str">
        <f t="shared" si="64"/>
        <v/>
      </c>
      <c r="Z117" t="b">
        <f t="shared" si="65"/>
        <v>0</v>
      </c>
      <c r="AA117" s="208" t="str">
        <f>IF($A117="","",IF(COUNTIFS(aditivos!$A$2:$A$200,$A117,aditivos!$L$2:$L$200,"&lt;&gt;",aditivos!$L$2:$L$200,"&lt;&gt;0",aditivos!$B$2:$B$200,"&gt;0")=0,"",IFERROR(_xlfn.MINIFS(aditivos!$B$2:$B$200,aditivos!$A$2:$A$200,$A117,aditivos!$L$2:$L$200,"&lt;&gt;",aditivos!$L$2:$L$200,"&lt;&gt;0",aditivos!$B$2:$B$200,"&gt;0"),"")))</f>
        <v/>
      </c>
      <c r="AB117" t="str">
        <f>IF($A117="","",IF(OR(parametros!$C$2="",parametros!$I$2=""),0,ROUND(SUMIFS(aditivos!$L$2:$L$200,aditivos!$A$2:$A$200,$A117,aditivos!$C$2:$C$200,"C0",aditivos!$B$2:$B$200,"&gt;="&amp;(INT(parametros!$I$2)+1)),2)))</f>
        <v/>
      </c>
      <c r="AC117" t="str">
        <f>IF($A117="","",IF(OR(parametros!$C$3="",parametros!$I$3=""),0,ROUND(SUMIFS(aditivos!$L$2:$L$200,aditivos!$A$2:$A$200,$A117,aditivos!$C$2:$C$200,"C1",aditivos!$B$2:$B$200,"&gt;="&amp;(INT(parametros!$I$3)+1)),2)))</f>
        <v/>
      </c>
      <c r="AD117" t="str">
        <f>IF($A117="","",IF(OR(parametros!$C$4="",parametros!$I$4=""),0,ROUND(SUMIFS(aditivos!$L$2:$L$200,aditivos!$A$2:$A$200,$A117,aditivos!$C$2:$C$200,"C2",aditivos!$B$2:$B$200,"&gt;="&amp;(INT(parametros!$I$4)+1)),2)))</f>
        <v/>
      </c>
      <c r="AE117" t="str">
        <f>IF($A117="","",IF(OR(parametros!$C$5="",parametros!$I$5=""),0,ROUND(SUMIFS(aditivos!$L$2:$L$200,aditivos!$A$2:$A$200,$A117,aditivos!$C$2:$C$200,"C3",aditivos!$B$2:$B$200,"&gt;="&amp;(INT(parametros!$I$5)+1)),2)))</f>
        <v/>
      </c>
      <c r="AF117" t="str">
        <f>IF($A117="","",IF(OR(parametros!$C$6="",parametros!$I$6=""),0,ROUND(SUMIFS(aditivos!$L$2:$L$200,aditivos!$A$2:$A$200,$A117,aditivos!$C$2:$C$200,"C4",aditivos!$B$2:$B$200,"&gt;="&amp;(INT(parametros!$I$6)+1)),2)))</f>
        <v/>
      </c>
      <c r="AG117" t="str">
        <f t="shared" si="66"/>
        <v/>
      </c>
      <c r="AH117" t="str">
        <f t="shared" si="67"/>
        <v/>
      </c>
      <c r="AI117" t="str">
        <f t="shared" si="68"/>
        <v/>
      </c>
      <c r="AJ117" t="str">
        <f t="shared" si="69"/>
        <v/>
      </c>
      <c r="AK117" t="str">
        <f t="shared" si="70"/>
        <v/>
      </c>
      <c r="AL117" t="str">
        <f t="shared" si="71"/>
        <v/>
      </c>
    </row>
    <row r="118" spans="1:38" x14ac:dyDescent="0.35">
      <c r="A118" s="146" t="str">
        <f>IF(itens_Remanesc!A118="","",itens_Remanesc!A118)</f>
        <v/>
      </c>
      <c r="B118" s="196" t="str">
        <f>IF(A118="","",itens_Remanesc!C118)</f>
        <v/>
      </c>
      <c r="C118" s="161" t="str">
        <f>IF(A118="","",IF(itens_Remanesc!B118="",0,itens_Remanesc!B118))</f>
        <v/>
      </c>
      <c r="D118" s="163" t="str">
        <f>IF(A118="","",ROUND(SUMIFS(aditivos!$L$2:$L$200,aditivos!$A$2:$A$200,A118,aditivos!$C$2:$C$200,"C0"),2))</f>
        <v/>
      </c>
      <c r="E118" s="159" t="str">
        <f t="shared" si="54"/>
        <v/>
      </c>
      <c r="F118" s="159" t="str">
        <f>IF(A118="","",IF(itens_Remanesc!B118&lt;&gt;"",itens_Remanesc!B118,IF($Z118,0,"")))</f>
        <v/>
      </c>
      <c r="G118" s="167" t="str">
        <f t="shared" si="55"/>
        <v/>
      </c>
      <c r="H118" s="169" t="str">
        <f>IF(A118="","",ROUND(SUMIFS(aditivos!$L$2:$L$200,aditivos!$A$2:$A$200,A118,aditivos!$C$2:$C$200,"C1"),2))</f>
        <v/>
      </c>
      <c r="I118" s="165" t="str">
        <f t="shared" si="56"/>
        <v/>
      </c>
      <c r="J118" s="165" t="str">
        <f>IF(A118="","",IF(itens_Remanesc!E118="","",itens_Remanesc!E118))</f>
        <v/>
      </c>
      <c r="K118" s="171" t="str">
        <f t="shared" si="57"/>
        <v/>
      </c>
      <c r="L118" s="163" t="str">
        <f>IF(A118="","",ROUND(SUMIFS(aditivos!$L$2:$L$200,aditivos!$A$2:$A$200,A118,aditivos!$C$2:$C$200,"C2"),2))</f>
        <v/>
      </c>
      <c r="M118" s="159" t="str">
        <f t="shared" si="58"/>
        <v/>
      </c>
      <c r="N118" s="159" t="str">
        <f>IF(A118="","",IF(itens_Remanesc!G118="","",itens_Remanesc!G118))</f>
        <v/>
      </c>
      <c r="O118" s="167" t="str">
        <f t="shared" si="59"/>
        <v/>
      </c>
      <c r="P118" s="169" t="str">
        <f>IF(A118="","",ROUND(SUMIFS(aditivos!$L$2:$L$200,aditivos!$A$2:$A$200,A118,aditivos!$C$2:$C$200,"C3"),2))</f>
        <v/>
      </c>
      <c r="Q118" s="165" t="str">
        <f t="shared" si="60"/>
        <v/>
      </c>
      <c r="R118" s="165" t="str">
        <f>IF(A118="","",IF(itens_Remanesc!I118="","",itens_Remanesc!I118))</f>
        <v/>
      </c>
      <c r="S118" s="171" t="str">
        <f t="shared" si="61"/>
        <v/>
      </c>
      <c r="T118" s="163" t="str">
        <f>IF(A118="","",ROUND(SUMIFS(aditivos!$L$2:$L$200,aditivos!$A$2:$A$200,A118,aditivos!$C$2:$C$200,"C4"),2))</f>
        <v/>
      </c>
      <c r="U118" s="159" t="str">
        <f t="shared" si="62"/>
        <v/>
      </c>
      <c r="V118" s="159" t="str">
        <f>IF(A118="","",IF(itens_Remanesc!K118="","",itens_Remanesc!K118))</f>
        <v/>
      </c>
      <c r="W118" s="159" t="str">
        <f t="shared" si="63"/>
        <v/>
      </c>
      <c r="X118" s="146" t="str">
        <f>IF(A118="","",IF(COUNTIF($A$2:$A$200,A118)&gt;1,"ALERTA: ITEM_DUPLICADO",IF(AND($Z118,ISNUMBER(itens_Remanesc!B118),itens_Remanesc!B118&lt;&gt;0),"NOVO ITEM COM BASE DIFERENTE DE 0 - AJUSTAR itens_Remanesc",IF(AND($Z118,NOT(ISNUMBER(itens_Remanesc!C118))),"NOVO ITEM SEM VU_ORIGINAL - INFORMAR EM itens_Remanesc",IF(MIN(E118,I118,M118,Q118,U118,G118,K118,O118,S118,W118)&lt;0,"ALERTA: POSICAO_NEGATIVA",IF(OR(AND(G118&lt;&gt;"",G118&gt;E118),AND(K118&lt;&gt;"",K118&gt;I118),AND(O118&lt;&gt;"",O118&gt;M118),AND(S118&lt;&gt;"",S118&gt;Q118),AND(W118&lt;&gt;"",W118&gt;U118)),"ALERTA: REMANESCENTE_SUPERA_POSICAO","OK"))))))</f>
        <v/>
      </c>
      <c r="Y118" t="str">
        <f t="shared" si="64"/>
        <v/>
      </c>
      <c r="Z118" t="b">
        <f t="shared" si="65"/>
        <v>0</v>
      </c>
      <c r="AA118" s="208" t="str">
        <f>IF($A118="","",IF(COUNTIFS(aditivos!$A$2:$A$200,$A118,aditivos!$L$2:$L$200,"&lt;&gt;",aditivos!$L$2:$L$200,"&lt;&gt;0",aditivos!$B$2:$B$200,"&gt;0")=0,"",IFERROR(_xlfn.MINIFS(aditivos!$B$2:$B$200,aditivos!$A$2:$A$200,$A118,aditivos!$L$2:$L$200,"&lt;&gt;",aditivos!$L$2:$L$200,"&lt;&gt;0",aditivos!$B$2:$B$200,"&gt;0"),"")))</f>
        <v/>
      </c>
      <c r="AB118" t="str">
        <f>IF($A118="","",IF(OR(parametros!$C$2="",parametros!$I$2=""),0,ROUND(SUMIFS(aditivos!$L$2:$L$200,aditivos!$A$2:$A$200,$A118,aditivos!$C$2:$C$200,"C0",aditivos!$B$2:$B$200,"&gt;="&amp;(INT(parametros!$I$2)+1)),2)))</f>
        <v/>
      </c>
      <c r="AC118" t="str">
        <f>IF($A118="","",IF(OR(parametros!$C$3="",parametros!$I$3=""),0,ROUND(SUMIFS(aditivos!$L$2:$L$200,aditivos!$A$2:$A$200,$A118,aditivos!$C$2:$C$200,"C1",aditivos!$B$2:$B$200,"&gt;="&amp;(INT(parametros!$I$3)+1)),2)))</f>
        <v/>
      </c>
      <c r="AD118" t="str">
        <f>IF($A118="","",IF(OR(parametros!$C$4="",parametros!$I$4=""),0,ROUND(SUMIFS(aditivos!$L$2:$L$200,aditivos!$A$2:$A$200,$A118,aditivos!$C$2:$C$200,"C2",aditivos!$B$2:$B$200,"&gt;="&amp;(INT(parametros!$I$4)+1)),2)))</f>
        <v/>
      </c>
      <c r="AE118" t="str">
        <f>IF($A118="","",IF(OR(parametros!$C$5="",parametros!$I$5=""),0,ROUND(SUMIFS(aditivos!$L$2:$L$200,aditivos!$A$2:$A$200,$A118,aditivos!$C$2:$C$200,"C3",aditivos!$B$2:$B$200,"&gt;="&amp;(INT(parametros!$I$5)+1)),2)))</f>
        <v/>
      </c>
      <c r="AF118" t="str">
        <f>IF($A118="","",IF(OR(parametros!$C$6="",parametros!$I$6=""),0,ROUND(SUMIFS(aditivos!$L$2:$L$200,aditivos!$A$2:$A$200,$A118,aditivos!$C$2:$C$200,"C4",aditivos!$B$2:$B$200,"&gt;="&amp;(INT(parametros!$I$6)+1)),2)))</f>
        <v/>
      </c>
      <c r="AG118" t="str">
        <f t="shared" si="66"/>
        <v/>
      </c>
      <c r="AH118" t="str">
        <f t="shared" si="67"/>
        <v/>
      </c>
      <c r="AI118" t="str">
        <f t="shared" si="68"/>
        <v/>
      </c>
      <c r="AJ118" t="str">
        <f t="shared" si="69"/>
        <v/>
      </c>
      <c r="AK118" t="str">
        <f t="shared" si="70"/>
        <v/>
      </c>
      <c r="AL118" t="str">
        <f t="shared" si="71"/>
        <v/>
      </c>
    </row>
    <row r="119" spans="1:38" x14ac:dyDescent="0.35">
      <c r="A119" s="146" t="str">
        <f>IF(itens_Remanesc!A119="","",itens_Remanesc!A119)</f>
        <v/>
      </c>
      <c r="B119" s="196" t="str">
        <f>IF(A119="","",itens_Remanesc!C119)</f>
        <v/>
      </c>
      <c r="C119" s="161" t="str">
        <f>IF(A119="","",IF(itens_Remanesc!B119="",0,itens_Remanesc!B119))</f>
        <v/>
      </c>
      <c r="D119" s="163" t="str">
        <f>IF(A119="","",ROUND(SUMIFS(aditivos!$L$2:$L$200,aditivos!$A$2:$A$200,A119,aditivos!$C$2:$C$200,"C0"),2))</f>
        <v/>
      </c>
      <c r="E119" s="159" t="str">
        <f t="shared" si="54"/>
        <v/>
      </c>
      <c r="F119" s="159" t="str">
        <f>IF(A119="","",IF(itens_Remanesc!B119&lt;&gt;"",itens_Remanesc!B119,IF($Z119,0,"")))</f>
        <v/>
      </c>
      <c r="G119" s="167" t="str">
        <f t="shared" si="55"/>
        <v/>
      </c>
      <c r="H119" s="169" t="str">
        <f>IF(A119="","",ROUND(SUMIFS(aditivos!$L$2:$L$200,aditivos!$A$2:$A$200,A119,aditivos!$C$2:$C$200,"C1"),2))</f>
        <v/>
      </c>
      <c r="I119" s="165" t="str">
        <f t="shared" si="56"/>
        <v/>
      </c>
      <c r="J119" s="165" t="str">
        <f>IF(A119="","",IF(itens_Remanesc!E119="","",itens_Remanesc!E119))</f>
        <v/>
      </c>
      <c r="K119" s="171" t="str">
        <f t="shared" si="57"/>
        <v/>
      </c>
      <c r="L119" s="163" t="str">
        <f>IF(A119="","",ROUND(SUMIFS(aditivos!$L$2:$L$200,aditivos!$A$2:$A$200,A119,aditivos!$C$2:$C$200,"C2"),2))</f>
        <v/>
      </c>
      <c r="M119" s="159" t="str">
        <f t="shared" si="58"/>
        <v/>
      </c>
      <c r="N119" s="159" t="str">
        <f>IF(A119="","",IF(itens_Remanesc!G119="","",itens_Remanesc!G119))</f>
        <v/>
      </c>
      <c r="O119" s="167" t="str">
        <f t="shared" si="59"/>
        <v/>
      </c>
      <c r="P119" s="169" t="str">
        <f>IF(A119="","",ROUND(SUMIFS(aditivos!$L$2:$L$200,aditivos!$A$2:$A$200,A119,aditivos!$C$2:$C$200,"C3"),2))</f>
        <v/>
      </c>
      <c r="Q119" s="165" t="str">
        <f t="shared" si="60"/>
        <v/>
      </c>
      <c r="R119" s="165" t="str">
        <f>IF(A119="","",IF(itens_Remanesc!I119="","",itens_Remanesc!I119))</f>
        <v/>
      </c>
      <c r="S119" s="171" t="str">
        <f t="shared" si="61"/>
        <v/>
      </c>
      <c r="T119" s="163" t="str">
        <f>IF(A119="","",ROUND(SUMIFS(aditivos!$L$2:$L$200,aditivos!$A$2:$A$200,A119,aditivos!$C$2:$C$200,"C4"),2))</f>
        <v/>
      </c>
      <c r="U119" s="159" t="str">
        <f t="shared" si="62"/>
        <v/>
      </c>
      <c r="V119" s="159" t="str">
        <f>IF(A119="","",IF(itens_Remanesc!K119="","",itens_Remanesc!K119))</f>
        <v/>
      </c>
      <c r="W119" s="159" t="str">
        <f t="shared" si="63"/>
        <v/>
      </c>
      <c r="X119" s="146" t="str">
        <f>IF(A119="","",IF(COUNTIF($A$2:$A$200,A119)&gt;1,"ALERTA: ITEM_DUPLICADO",IF(AND($Z119,ISNUMBER(itens_Remanesc!B119),itens_Remanesc!B119&lt;&gt;0),"NOVO ITEM COM BASE DIFERENTE DE 0 - AJUSTAR itens_Remanesc",IF(AND($Z119,NOT(ISNUMBER(itens_Remanesc!C119))),"NOVO ITEM SEM VU_ORIGINAL - INFORMAR EM itens_Remanesc",IF(MIN(E119,I119,M119,Q119,U119,G119,K119,O119,S119,W119)&lt;0,"ALERTA: POSICAO_NEGATIVA",IF(OR(AND(G119&lt;&gt;"",G119&gt;E119),AND(K119&lt;&gt;"",K119&gt;I119),AND(O119&lt;&gt;"",O119&gt;M119),AND(S119&lt;&gt;"",S119&gt;Q119),AND(W119&lt;&gt;"",W119&gt;U119)),"ALERTA: REMANESCENTE_SUPERA_POSICAO","OK"))))))</f>
        <v/>
      </c>
      <c r="Y119" t="str">
        <f t="shared" si="64"/>
        <v/>
      </c>
      <c r="Z119" t="b">
        <f t="shared" si="65"/>
        <v>0</v>
      </c>
      <c r="AA119" s="208" t="str">
        <f>IF($A119="","",IF(COUNTIFS(aditivos!$A$2:$A$200,$A119,aditivos!$L$2:$L$200,"&lt;&gt;",aditivos!$L$2:$L$200,"&lt;&gt;0",aditivos!$B$2:$B$200,"&gt;0")=0,"",IFERROR(_xlfn.MINIFS(aditivos!$B$2:$B$200,aditivos!$A$2:$A$200,$A119,aditivos!$L$2:$L$200,"&lt;&gt;",aditivos!$L$2:$L$200,"&lt;&gt;0",aditivos!$B$2:$B$200,"&gt;0"),"")))</f>
        <v/>
      </c>
      <c r="AB119" t="str">
        <f>IF($A119="","",IF(OR(parametros!$C$2="",parametros!$I$2=""),0,ROUND(SUMIFS(aditivos!$L$2:$L$200,aditivos!$A$2:$A$200,$A119,aditivos!$C$2:$C$200,"C0",aditivos!$B$2:$B$200,"&gt;="&amp;(INT(parametros!$I$2)+1)),2)))</f>
        <v/>
      </c>
      <c r="AC119" t="str">
        <f>IF($A119="","",IF(OR(parametros!$C$3="",parametros!$I$3=""),0,ROUND(SUMIFS(aditivos!$L$2:$L$200,aditivos!$A$2:$A$200,$A119,aditivos!$C$2:$C$200,"C1",aditivos!$B$2:$B$200,"&gt;="&amp;(INT(parametros!$I$3)+1)),2)))</f>
        <v/>
      </c>
      <c r="AD119" t="str">
        <f>IF($A119="","",IF(OR(parametros!$C$4="",parametros!$I$4=""),0,ROUND(SUMIFS(aditivos!$L$2:$L$200,aditivos!$A$2:$A$200,$A119,aditivos!$C$2:$C$200,"C2",aditivos!$B$2:$B$200,"&gt;="&amp;(INT(parametros!$I$4)+1)),2)))</f>
        <v/>
      </c>
      <c r="AE119" t="str">
        <f>IF($A119="","",IF(OR(parametros!$C$5="",parametros!$I$5=""),0,ROUND(SUMIFS(aditivos!$L$2:$L$200,aditivos!$A$2:$A$200,$A119,aditivos!$C$2:$C$200,"C3",aditivos!$B$2:$B$200,"&gt;="&amp;(INT(parametros!$I$5)+1)),2)))</f>
        <v/>
      </c>
      <c r="AF119" t="str">
        <f>IF($A119="","",IF(OR(parametros!$C$6="",parametros!$I$6=""),0,ROUND(SUMIFS(aditivos!$L$2:$L$200,aditivos!$A$2:$A$200,$A119,aditivos!$C$2:$C$200,"C4",aditivos!$B$2:$B$200,"&gt;="&amp;(INT(parametros!$I$6)+1)),2)))</f>
        <v/>
      </c>
      <c r="AG119" t="str">
        <f t="shared" si="66"/>
        <v/>
      </c>
      <c r="AH119" t="str">
        <f t="shared" si="67"/>
        <v/>
      </c>
      <c r="AI119" t="str">
        <f t="shared" si="68"/>
        <v/>
      </c>
      <c r="AJ119" t="str">
        <f t="shared" si="69"/>
        <v/>
      </c>
      <c r="AK119" t="str">
        <f t="shared" si="70"/>
        <v/>
      </c>
      <c r="AL119" t="str">
        <f t="shared" si="71"/>
        <v/>
      </c>
    </row>
    <row r="120" spans="1:38" x14ac:dyDescent="0.35">
      <c r="A120" s="146" t="str">
        <f>IF(itens_Remanesc!A120="","",itens_Remanesc!A120)</f>
        <v/>
      </c>
      <c r="B120" s="196" t="str">
        <f>IF(A120="","",itens_Remanesc!C120)</f>
        <v/>
      </c>
      <c r="C120" s="161" t="str">
        <f>IF(A120="","",IF(itens_Remanesc!B120="",0,itens_Remanesc!B120))</f>
        <v/>
      </c>
      <c r="D120" s="163" t="str">
        <f>IF(A120="","",ROUND(SUMIFS(aditivos!$L$2:$L$200,aditivos!$A$2:$A$200,A120,aditivos!$C$2:$C$200,"C0"),2))</f>
        <v/>
      </c>
      <c r="E120" s="159" t="str">
        <f t="shared" si="54"/>
        <v/>
      </c>
      <c r="F120" s="159" t="str">
        <f>IF(A120="","",IF(itens_Remanesc!B120&lt;&gt;"",itens_Remanesc!B120,IF($Z120,0,"")))</f>
        <v/>
      </c>
      <c r="G120" s="167" t="str">
        <f t="shared" si="55"/>
        <v/>
      </c>
      <c r="H120" s="169" t="str">
        <f>IF(A120="","",ROUND(SUMIFS(aditivos!$L$2:$L$200,aditivos!$A$2:$A$200,A120,aditivos!$C$2:$C$200,"C1"),2))</f>
        <v/>
      </c>
      <c r="I120" s="165" t="str">
        <f t="shared" si="56"/>
        <v/>
      </c>
      <c r="J120" s="165" t="str">
        <f>IF(A120="","",IF(itens_Remanesc!E120="","",itens_Remanesc!E120))</f>
        <v/>
      </c>
      <c r="K120" s="171" t="str">
        <f t="shared" si="57"/>
        <v/>
      </c>
      <c r="L120" s="163" t="str">
        <f>IF(A120="","",ROUND(SUMIFS(aditivos!$L$2:$L$200,aditivos!$A$2:$A$200,A120,aditivos!$C$2:$C$200,"C2"),2))</f>
        <v/>
      </c>
      <c r="M120" s="159" t="str">
        <f t="shared" si="58"/>
        <v/>
      </c>
      <c r="N120" s="159" t="str">
        <f>IF(A120="","",IF(itens_Remanesc!G120="","",itens_Remanesc!G120))</f>
        <v/>
      </c>
      <c r="O120" s="167" t="str">
        <f t="shared" si="59"/>
        <v/>
      </c>
      <c r="P120" s="169" t="str">
        <f>IF(A120="","",ROUND(SUMIFS(aditivos!$L$2:$L$200,aditivos!$A$2:$A$200,A120,aditivos!$C$2:$C$200,"C3"),2))</f>
        <v/>
      </c>
      <c r="Q120" s="165" t="str">
        <f t="shared" si="60"/>
        <v/>
      </c>
      <c r="R120" s="165" t="str">
        <f>IF(A120="","",IF(itens_Remanesc!I120="","",itens_Remanesc!I120))</f>
        <v/>
      </c>
      <c r="S120" s="171" t="str">
        <f t="shared" si="61"/>
        <v/>
      </c>
      <c r="T120" s="163" t="str">
        <f>IF(A120="","",ROUND(SUMIFS(aditivos!$L$2:$L$200,aditivos!$A$2:$A$200,A120,aditivos!$C$2:$C$200,"C4"),2))</f>
        <v/>
      </c>
      <c r="U120" s="159" t="str">
        <f t="shared" si="62"/>
        <v/>
      </c>
      <c r="V120" s="159" t="str">
        <f>IF(A120="","",IF(itens_Remanesc!K120="","",itens_Remanesc!K120))</f>
        <v/>
      </c>
      <c r="W120" s="159" t="str">
        <f t="shared" si="63"/>
        <v/>
      </c>
      <c r="X120" s="146" t="str">
        <f>IF(A120="","",IF(COUNTIF($A$2:$A$200,A120)&gt;1,"ALERTA: ITEM_DUPLICADO",IF(AND($Z120,ISNUMBER(itens_Remanesc!B120),itens_Remanesc!B120&lt;&gt;0),"NOVO ITEM COM BASE DIFERENTE DE 0 - AJUSTAR itens_Remanesc",IF(AND($Z120,NOT(ISNUMBER(itens_Remanesc!C120))),"NOVO ITEM SEM VU_ORIGINAL - INFORMAR EM itens_Remanesc",IF(MIN(E120,I120,M120,Q120,U120,G120,K120,O120,S120,W120)&lt;0,"ALERTA: POSICAO_NEGATIVA",IF(OR(AND(G120&lt;&gt;"",G120&gt;E120),AND(K120&lt;&gt;"",K120&gt;I120),AND(O120&lt;&gt;"",O120&gt;M120),AND(S120&lt;&gt;"",S120&gt;Q120),AND(W120&lt;&gt;"",W120&gt;U120)),"ALERTA: REMANESCENTE_SUPERA_POSICAO","OK"))))))</f>
        <v/>
      </c>
      <c r="Y120" t="str">
        <f t="shared" si="64"/>
        <v/>
      </c>
      <c r="Z120" t="b">
        <f t="shared" si="65"/>
        <v>0</v>
      </c>
      <c r="AA120" s="208" t="str">
        <f>IF($A120="","",IF(COUNTIFS(aditivos!$A$2:$A$200,$A120,aditivos!$L$2:$L$200,"&lt;&gt;",aditivos!$L$2:$L$200,"&lt;&gt;0",aditivos!$B$2:$B$200,"&gt;0")=0,"",IFERROR(_xlfn.MINIFS(aditivos!$B$2:$B$200,aditivos!$A$2:$A$200,$A120,aditivos!$L$2:$L$200,"&lt;&gt;",aditivos!$L$2:$L$200,"&lt;&gt;0",aditivos!$B$2:$B$200,"&gt;0"),"")))</f>
        <v/>
      </c>
      <c r="AB120" t="str">
        <f>IF($A120="","",IF(OR(parametros!$C$2="",parametros!$I$2=""),0,ROUND(SUMIFS(aditivos!$L$2:$L$200,aditivos!$A$2:$A$200,$A120,aditivos!$C$2:$C$200,"C0",aditivos!$B$2:$B$200,"&gt;="&amp;(INT(parametros!$I$2)+1)),2)))</f>
        <v/>
      </c>
      <c r="AC120" t="str">
        <f>IF($A120="","",IF(OR(parametros!$C$3="",parametros!$I$3=""),0,ROUND(SUMIFS(aditivos!$L$2:$L$200,aditivos!$A$2:$A$200,$A120,aditivos!$C$2:$C$200,"C1",aditivos!$B$2:$B$200,"&gt;="&amp;(INT(parametros!$I$3)+1)),2)))</f>
        <v/>
      </c>
      <c r="AD120" t="str">
        <f>IF($A120="","",IF(OR(parametros!$C$4="",parametros!$I$4=""),0,ROUND(SUMIFS(aditivos!$L$2:$L$200,aditivos!$A$2:$A$200,$A120,aditivos!$C$2:$C$200,"C2",aditivos!$B$2:$B$200,"&gt;="&amp;(INT(parametros!$I$4)+1)),2)))</f>
        <v/>
      </c>
      <c r="AE120" t="str">
        <f>IF($A120="","",IF(OR(parametros!$C$5="",parametros!$I$5=""),0,ROUND(SUMIFS(aditivos!$L$2:$L$200,aditivos!$A$2:$A$200,$A120,aditivos!$C$2:$C$200,"C3",aditivos!$B$2:$B$200,"&gt;="&amp;(INT(parametros!$I$5)+1)),2)))</f>
        <v/>
      </c>
      <c r="AF120" t="str">
        <f>IF($A120="","",IF(OR(parametros!$C$6="",parametros!$I$6=""),0,ROUND(SUMIFS(aditivos!$L$2:$L$200,aditivos!$A$2:$A$200,$A120,aditivos!$C$2:$C$200,"C4",aditivos!$B$2:$B$200,"&gt;="&amp;(INT(parametros!$I$6)+1)),2)))</f>
        <v/>
      </c>
      <c r="AG120" t="str">
        <f t="shared" si="66"/>
        <v/>
      </c>
      <c r="AH120" t="str">
        <f t="shared" si="67"/>
        <v/>
      </c>
      <c r="AI120" t="str">
        <f t="shared" si="68"/>
        <v/>
      </c>
      <c r="AJ120" t="str">
        <f t="shared" si="69"/>
        <v/>
      </c>
      <c r="AK120" t="str">
        <f t="shared" si="70"/>
        <v/>
      </c>
      <c r="AL120" t="str">
        <f t="shared" si="71"/>
        <v/>
      </c>
    </row>
    <row r="121" spans="1:38" x14ac:dyDescent="0.35">
      <c r="A121" s="146" t="str">
        <f>IF(itens_Remanesc!A121="","",itens_Remanesc!A121)</f>
        <v/>
      </c>
      <c r="B121" s="196" t="str">
        <f>IF(A121="","",itens_Remanesc!C121)</f>
        <v/>
      </c>
      <c r="C121" s="161" t="str">
        <f>IF(A121="","",IF(itens_Remanesc!B121="",0,itens_Remanesc!B121))</f>
        <v/>
      </c>
      <c r="D121" s="163" t="str">
        <f>IF(A121="","",ROUND(SUMIFS(aditivos!$L$2:$L$200,aditivos!$A$2:$A$200,A121,aditivos!$C$2:$C$200,"C0"),2))</f>
        <v/>
      </c>
      <c r="E121" s="159" t="str">
        <f t="shared" si="54"/>
        <v/>
      </c>
      <c r="F121" s="159" t="str">
        <f>IF(A121="","",IF(itens_Remanesc!B121&lt;&gt;"",itens_Remanesc!B121,IF($Z121,0,"")))</f>
        <v/>
      </c>
      <c r="G121" s="167" t="str">
        <f t="shared" si="55"/>
        <v/>
      </c>
      <c r="H121" s="169" t="str">
        <f>IF(A121="","",ROUND(SUMIFS(aditivos!$L$2:$L$200,aditivos!$A$2:$A$200,A121,aditivos!$C$2:$C$200,"C1"),2))</f>
        <v/>
      </c>
      <c r="I121" s="165" t="str">
        <f t="shared" si="56"/>
        <v/>
      </c>
      <c r="J121" s="165" t="str">
        <f>IF(A121="","",IF(itens_Remanesc!E121="","",itens_Remanesc!E121))</f>
        <v/>
      </c>
      <c r="K121" s="171" t="str">
        <f t="shared" si="57"/>
        <v/>
      </c>
      <c r="L121" s="163" t="str">
        <f>IF(A121="","",ROUND(SUMIFS(aditivos!$L$2:$L$200,aditivos!$A$2:$A$200,A121,aditivos!$C$2:$C$200,"C2"),2))</f>
        <v/>
      </c>
      <c r="M121" s="159" t="str">
        <f t="shared" si="58"/>
        <v/>
      </c>
      <c r="N121" s="159" t="str">
        <f>IF(A121="","",IF(itens_Remanesc!G121="","",itens_Remanesc!G121))</f>
        <v/>
      </c>
      <c r="O121" s="167" t="str">
        <f t="shared" si="59"/>
        <v/>
      </c>
      <c r="P121" s="169" t="str">
        <f>IF(A121="","",ROUND(SUMIFS(aditivos!$L$2:$L$200,aditivos!$A$2:$A$200,A121,aditivos!$C$2:$C$200,"C3"),2))</f>
        <v/>
      </c>
      <c r="Q121" s="165" t="str">
        <f t="shared" si="60"/>
        <v/>
      </c>
      <c r="R121" s="165" t="str">
        <f>IF(A121="","",IF(itens_Remanesc!I121="","",itens_Remanesc!I121))</f>
        <v/>
      </c>
      <c r="S121" s="171" t="str">
        <f t="shared" si="61"/>
        <v/>
      </c>
      <c r="T121" s="163" t="str">
        <f>IF(A121="","",ROUND(SUMIFS(aditivos!$L$2:$L$200,aditivos!$A$2:$A$200,A121,aditivos!$C$2:$C$200,"C4"),2))</f>
        <v/>
      </c>
      <c r="U121" s="159" t="str">
        <f t="shared" si="62"/>
        <v/>
      </c>
      <c r="V121" s="159" t="str">
        <f>IF(A121="","",IF(itens_Remanesc!K121="","",itens_Remanesc!K121))</f>
        <v/>
      </c>
      <c r="W121" s="159" t="str">
        <f t="shared" si="63"/>
        <v/>
      </c>
      <c r="X121" s="146" t="str">
        <f>IF(A121="","",IF(COUNTIF($A$2:$A$200,A121)&gt;1,"ALERTA: ITEM_DUPLICADO",IF(AND($Z121,ISNUMBER(itens_Remanesc!B121),itens_Remanesc!B121&lt;&gt;0),"NOVO ITEM COM BASE DIFERENTE DE 0 - AJUSTAR itens_Remanesc",IF(AND($Z121,NOT(ISNUMBER(itens_Remanesc!C121))),"NOVO ITEM SEM VU_ORIGINAL - INFORMAR EM itens_Remanesc",IF(MIN(E121,I121,M121,Q121,U121,G121,K121,O121,S121,W121)&lt;0,"ALERTA: POSICAO_NEGATIVA",IF(OR(AND(G121&lt;&gt;"",G121&gt;E121),AND(K121&lt;&gt;"",K121&gt;I121),AND(O121&lt;&gt;"",O121&gt;M121),AND(S121&lt;&gt;"",S121&gt;Q121),AND(W121&lt;&gt;"",W121&gt;U121)),"ALERTA: REMANESCENTE_SUPERA_POSICAO","OK"))))))</f>
        <v/>
      </c>
      <c r="Y121" t="str">
        <f t="shared" si="64"/>
        <v/>
      </c>
      <c r="Z121" t="b">
        <f t="shared" si="65"/>
        <v>0</v>
      </c>
      <c r="AA121" s="208" t="str">
        <f>IF($A121="","",IF(COUNTIFS(aditivos!$A$2:$A$200,$A121,aditivos!$L$2:$L$200,"&lt;&gt;",aditivos!$L$2:$L$200,"&lt;&gt;0",aditivos!$B$2:$B$200,"&gt;0")=0,"",IFERROR(_xlfn.MINIFS(aditivos!$B$2:$B$200,aditivos!$A$2:$A$200,$A121,aditivos!$L$2:$L$200,"&lt;&gt;",aditivos!$L$2:$L$200,"&lt;&gt;0",aditivos!$B$2:$B$200,"&gt;0"),"")))</f>
        <v/>
      </c>
      <c r="AB121" t="str">
        <f>IF($A121="","",IF(OR(parametros!$C$2="",parametros!$I$2=""),0,ROUND(SUMIFS(aditivos!$L$2:$L$200,aditivos!$A$2:$A$200,$A121,aditivos!$C$2:$C$200,"C0",aditivos!$B$2:$B$200,"&gt;="&amp;(INT(parametros!$I$2)+1)),2)))</f>
        <v/>
      </c>
      <c r="AC121" t="str">
        <f>IF($A121="","",IF(OR(parametros!$C$3="",parametros!$I$3=""),0,ROUND(SUMIFS(aditivos!$L$2:$L$200,aditivos!$A$2:$A$200,$A121,aditivos!$C$2:$C$200,"C1",aditivos!$B$2:$B$200,"&gt;="&amp;(INT(parametros!$I$3)+1)),2)))</f>
        <v/>
      </c>
      <c r="AD121" t="str">
        <f>IF($A121="","",IF(OR(parametros!$C$4="",parametros!$I$4=""),0,ROUND(SUMIFS(aditivos!$L$2:$L$200,aditivos!$A$2:$A$200,$A121,aditivos!$C$2:$C$200,"C2",aditivos!$B$2:$B$200,"&gt;="&amp;(INT(parametros!$I$4)+1)),2)))</f>
        <v/>
      </c>
      <c r="AE121" t="str">
        <f>IF($A121="","",IF(OR(parametros!$C$5="",parametros!$I$5=""),0,ROUND(SUMIFS(aditivos!$L$2:$L$200,aditivos!$A$2:$A$200,$A121,aditivos!$C$2:$C$200,"C3",aditivos!$B$2:$B$200,"&gt;="&amp;(INT(parametros!$I$5)+1)),2)))</f>
        <v/>
      </c>
      <c r="AF121" t="str">
        <f>IF($A121="","",IF(OR(parametros!$C$6="",parametros!$I$6=""),0,ROUND(SUMIFS(aditivos!$L$2:$L$200,aditivos!$A$2:$A$200,$A121,aditivos!$C$2:$C$200,"C4",aditivos!$B$2:$B$200,"&gt;="&amp;(INT(parametros!$I$6)+1)),2)))</f>
        <v/>
      </c>
      <c r="AG121" t="str">
        <f t="shared" si="66"/>
        <v/>
      </c>
      <c r="AH121" t="str">
        <f t="shared" si="67"/>
        <v/>
      </c>
      <c r="AI121" t="str">
        <f t="shared" si="68"/>
        <v/>
      </c>
      <c r="AJ121" t="str">
        <f t="shared" si="69"/>
        <v/>
      </c>
      <c r="AK121" t="str">
        <f t="shared" si="70"/>
        <v/>
      </c>
      <c r="AL121" t="str">
        <f t="shared" si="71"/>
        <v/>
      </c>
    </row>
    <row r="122" spans="1:38" x14ac:dyDescent="0.35">
      <c r="A122" s="146" t="str">
        <f>IF(itens_Remanesc!A122="","",itens_Remanesc!A122)</f>
        <v/>
      </c>
      <c r="B122" s="196" t="str">
        <f>IF(A122="","",itens_Remanesc!C122)</f>
        <v/>
      </c>
      <c r="C122" s="161" t="str">
        <f>IF(A122="","",IF(itens_Remanesc!B122="",0,itens_Remanesc!B122))</f>
        <v/>
      </c>
      <c r="D122" s="163" t="str">
        <f>IF(A122="","",ROUND(SUMIFS(aditivos!$L$2:$L$200,aditivos!$A$2:$A$200,A122,aditivos!$C$2:$C$200,"C0"),2))</f>
        <v/>
      </c>
      <c r="E122" s="159" t="str">
        <f t="shared" si="54"/>
        <v/>
      </c>
      <c r="F122" s="159" t="str">
        <f>IF(A122="","",IF(itens_Remanesc!B122&lt;&gt;"",itens_Remanesc!B122,IF($Z122,0,"")))</f>
        <v/>
      </c>
      <c r="G122" s="167" t="str">
        <f t="shared" si="55"/>
        <v/>
      </c>
      <c r="H122" s="169" t="str">
        <f>IF(A122="","",ROUND(SUMIFS(aditivos!$L$2:$L$200,aditivos!$A$2:$A$200,A122,aditivos!$C$2:$C$200,"C1"),2))</f>
        <v/>
      </c>
      <c r="I122" s="165" t="str">
        <f t="shared" si="56"/>
        <v/>
      </c>
      <c r="J122" s="165" t="str">
        <f>IF(A122="","",IF(itens_Remanesc!E122="","",itens_Remanesc!E122))</f>
        <v/>
      </c>
      <c r="K122" s="171" t="str">
        <f t="shared" si="57"/>
        <v/>
      </c>
      <c r="L122" s="163" t="str">
        <f>IF(A122="","",ROUND(SUMIFS(aditivos!$L$2:$L$200,aditivos!$A$2:$A$200,A122,aditivos!$C$2:$C$200,"C2"),2))</f>
        <v/>
      </c>
      <c r="M122" s="159" t="str">
        <f t="shared" si="58"/>
        <v/>
      </c>
      <c r="N122" s="159" t="str">
        <f>IF(A122="","",IF(itens_Remanesc!G122="","",itens_Remanesc!G122))</f>
        <v/>
      </c>
      <c r="O122" s="167" t="str">
        <f t="shared" si="59"/>
        <v/>
      </c>
      <c r="P122" s="169" t="str">
        <f>IF(A122="","",ROUND(SUMIFS(aditivos!$L$2:$L$200,aditivos!$A$2:$A$200,A122,aditivos!$C$2:$C$200,"C3"),2))</f>
        <v/>
      </c>
      <c r="Q122" s="165" t="str">
        <f t="shared" si="60"/>
        <v/>
      </c>
      <c r="R122" s="165" t="str">
        <f>IF(A122="","",IF(itens_Remanesc!I122="","",itens_Remanesc!I122))</f>
        <v/>
      </c>
      <c r="S122" s="171" t="str">
        <f t="shared" si="61"/>
        <v/>
      </c>
      <c r="T122" s="163" t="str">
        <f>IF(A122="","",ROUND(SUMIFS(aditivos!$L$2:$L$200,aditivos!$A$2:$A$200,A122,aditivos!$C$2:$C$200,"C4"),2))</f>
        <v/>
      </c>
      <c r="U122" s="159" t="str">
        <f t="shared" si="62"/>
        <v/>
      </c>
      <c r="V122" s="159" t="str">
        <f>IF(A122="","",IF(itens_Remanesc!K122="","",itens_Remanesc!K122))</f>
        <v/>
      </c>
      <c r="W122" s="159" t="str">
        <f t="shared" si="63"/>
        <v/>
      </c>
      <c r="X122" s="146" t="str">
        <f>IF(A122="","",IF(COUNTIF($A$2:$A$200,A122)&gt;1,"ALERTA: ITEM_DUPLICADO",IF(AND($Z122,ISNUMBER(itens_Remanesc!B122),itens_Remanesc!B122&lt;&gt;0),"NOVO ITEM COM BASE DIFERENTE DE 0 - AJUSTAR itens_Remanesc",IF(AND($Z122,NOT(ISNUMBER(itens_Remanesc!C122))),"NOVO ITEM SEM VU_ORIGINAL - INFORMAR EM itens_Remanesc",IF(MIN(E122,I122,M122,Q122,U122,G122,K122,O122,S122,W122)&lt;0,"ALERTA: POSICAO_NEGATIVA",IF(OR(AND(G122&lt;&gt;"",G122&gt;E122),AND(K122&lt;&gt;"",K122&gt;I122),AND(O122&lt;&gt;"",O122&gt;M122),AND(S122&lt;&gt;"",S122&gt;Q122),AND(W122&lt;&gt;"",W122&gt;U122)),"ALERTA: REMANESCENTE_SUPERA_POSICAO","OK"))))))</f>
        <v/>
      </c>
      <c r="Y122" t="str">
        <f t="shared" si="64"/>
        <v/>
      </c>
      <c r="Z122" t="b">
        <f t="shared" si="65"/>
        <v>0</v>
      </c>
      <c r="AA122" s="208" t="str">
        <f>IF($A122="","",IF(COUNTIFS(aditivos!$A$2:$A$200,$A122,aditivos!$L$2:$L$200,"&lt;&gt;",aditivos!$L$2:$L$200,"&lt;&gt;0",aditivos!$B$2:$B$200,"&gt;0")=0,"",IFERROR(_xlfn.MINIFS(aditivos!$B$2:$B$200,aditivos!$A$2:$A$200,$A122,aditivos!$L$2:$L$200,"&lt;&gt;",aditivos!$L$2:$L$200,"&lt;&gt;0",aditivos!$B$2:$B$200,"&gt;0"),"")))</f>
        <v/>
      </c>
      <c r="AB122" t="str">
        <f>IF($A122="","",IF(OR(parametros!$C$2="",parametros!$I$2=""),0,ROUND(SUMIFS(aditivos!$L$2:$L$200,aditivos!$A$2:$A$200,$A122,aditivos!$C$2:$C$200,"C0",aditivos!$B$2:$B$200,"&gt;="&amp;(INT(parametros!$I$2)+1)),2)))</f>
        <v/>
      </c>
      <c r="AC122" t="str">
        <f>IF($A122="","",IF(OR(parametros!$C$3="",parametros!$I$3=""),0,ROUND(SUMIFS(aditivos!$L$2:$L$200,aditivos!$A$2:$A$200,$A122,aditivos!$C$2:$C$200,"C1",aditivos!$B$2:$B$200,"&gt;="&amp;(INT(parametros!$I$3)+1)),2)))</f>
        <v/>
      </c>
      <c r="AD122" t="str">
        <f>IF($A122="","",IF(OR(parametros!$C$4="",parametros!$I$4=""),0,ROUND(SUMIFS(aditivos!$L$2:$L$200,aditivos!$A$2:$A$200,$A122,aditivos!$C$2:$C$200,"C2",aditivos!$B$2:$B$200,"&gt;="&amp;(INT(parametros!$I$4)+1)),2)))</f>
        <v/>
      </c>
      <c r="AE122" t="str">
        <f>IF($A122="","",IF(OR(parametros!$C$5="",parametros!$I$5=""),0,ROUND(SUMIFS(aditivos!$L$2:$L$200,aditivos!$A$2:$A$200,$A122,aditivos!$C$2:$C$200,"C3",aditivos!$B$2:$B$200,"&gt;="&amp;(INT(parametros!$I$5)+1)),2)))</f>
        <v/>
      </c>
      <c r="AF122" t="str">
        <f>IF($A122="","",IF(OR(parametros!$C$6="",parametros!$I$6=""),0,ROUND(SUMIFS(aditivos!$L$2:$L$200,aditivos!$A$2:$A$200,$A122,aditivos!$C$2:$C$200,"C4",aditivos!$B$2:$B$200,"&gt;="&amp;(INT(parametros!$I$6)+1)),2)))</f>
        <v/>
      </c>
      <c r="AG122" t="str">
        <f t="shared" si="66"/>
        <v/>
      </c>
      <c r="AH122" t="str">
        <f t="shared" si="67"/>
        <v/>
      </c>
      <c r="AI122" t="str">
        <f t="shared" si="68"/>
        <v/>
      </c>
      <c r="AJ122" t="str">
        <f t="shared" si="69"/>
        <v/>
      </c>
      <c r="AK122" t="str">
        <f t="shared" si="70"/>
        <v/>
      </c>
      <c r="AL122" t="str">
        <f t="shared" si="71"/>
        <v/>
      </c>
    </row>
    <row r="123" spans="1:38" x14ac:dyDescent="0.35">
      <c r="A123" s="146" t="str">
        <f>IF(itens_Remanesc!A123="","",itens_Remanesc!A123)</f>
        <v/>
      </c>
      <c r="B123" s="196" t="str">
        <f>IF(A123="","",itens_Remanesc!C123)</f>
        <v/>
      </c>
      <c r="C123" s="161" t="str">
        <f>IF(A123="","",IF(itens_Remanesc!B123="",0,itens_Remanesc!B123))</f>
        <v/>
      </c>
      <c r="D123" s="163" t="str">
        <f>IF(A123="","",ROUND(SUMIFS(aditivos!$L$2:$L$200,aditivos!$A$2:$A$200,A123,aditivos!$C$2:$C$200,"C0"),2))</f>
        <v/>
      </c>
      <c r="E123" s="159" t="str">
        <f t="shared" si="54"/>
        <v/>
      </c>
      <c r="F123" s="159" t="str">
        <f>IF(A123="","",IF(itens_Remanesc!B123&lt;&gt;"",itens_Remanesc!B123,IF($Z123,0,"")))</f>
        <v/>
      </c>
      <c r="G123" s="167" t="str">
        <f t="shared" si="55"/>
        <v/>
      </c>
      <c r="H123" s="169" t="str">
        <f>IF(A123="","",ROUND(SUMIFS(aditivos!$L$2:$L$200,aditivos!$A$2:$A$200,A123,aditivos!$C$2:$C$200,"C1"),2))</f>
        <v/>
      </c>
      <c r="I123" s="165" t="str">
        <f t="shared" si="56"/>
        <v/>
      </c>
      <c r="J123" s="165" t="str">
        <f>IF(A123="","",IF(itens_Remanesc!E123="","",itens_Remanesc!E123))</f>
        <v/>
      </c>
      <c r="K123" s="171" t="str">
        <f t="shared" si="57"/>
        <v/>
      </c>
      <c r="L123" s="163" t="str">
        <f>IF(A123="","",ROUND(SUMIFS(aditivos!$L$2:$L$200,aditivos!$A$2:$A$200,A123,aditivos!$C$2:$C$200,"C2"),2))</f>
        <v/>
      </c>
      <c r="M123" s="159" t="str">
        <f t="shared" si="58"/>
        <v/>
      </c>
      <c r="N123" s="159" t="str">
        <f>IF(A123="","",IF(itens_Remanesc!G123="","",itens_Remanesc!G123))</f>
        <v/>
      </c>
      <c r="O123" s="167" t="str">
        <f t="shared" si="59"/>
        <v/>
      </c>
      <c r="P123" s="169" t="str">
        <f>IF(A123="","",ROUND(SUMIFS(aditivos!$L$2:$L$200,aditivos!$A$2:$A$200,A123,aditivos!$C$2:$C$200,"C3"),2))</f>
        <v/>
      </c>
      <c r="Q123" s="165" t="str">
        <f t="shared" si="60"/>
        <v/>
      </c>
      <c r="R123" s="165" t="str">
        <f>IF(A123="","",IF(itens_Remanesc!I123="","",itens_Remanesc!I123))</f>
        <v/>
      </c>
      <c r="S123" s="171" t="str">
        <f t="shared" si="61"/>
        <v/>
      </c>
      <c r="T123" s="163" t="str">
        <f>IF(A123="","",ROUND(SUMIFS(aditivos!$L$2:$L$200,aditivos!$A$2:$A$200,A123,aditivos!$C$2:$C$200,"C4"),2))</f>
        <v/>
      </c>
      <c r="U123" s="159" t="str">
        <f t="shared" si="62"/>
        <v/>
      </c>
      <c r="V123" s="159" t="str">
        <f>IF(A123="","",IF(itens_Remanesc!K123="","",itens_Remanesc!K123))</f>
        <v/>
      </c>
      <c r="W123" s="159" t="str">
        <f t="shared" si="63"/>
        <v/>
      </c>
      <c r="X123" s="146" t="str">
        <f>IF(A123="","",IF(COUNTIF($A$2:$A$200,A123)&gt;1,"ALERTA: ITEM_DUPLICADO",IF(AND($Z123,ISNUMBER(itens_Remanesc!B123),itens_Remanesc!B123&lt;&gt;0),"NOVO ITEM COM BASE DIFERENTE DE 0 - AJUSTAR itens_Remanesc",IF(AND($Z123,NOT(ISNUMBER(itens_Remanesc!C123))),"NOVO ITEM SEM VU_ORIGINAL - INFORMAR EM itens_Remanesc",IF(MIN(E123,I123,M123,Q123,U123,G123,K123,O123,S123,W123)&lt;0,"ALERTA: POSICAO_NEGATIVA",IF(OR(AND(G123&lt;&gt;"",G123&gt;E123),AND(K123&lt;&gt;"",K123&gt;I123),AND(O123&lt;&gt;"",O123&gt;M123),AND(S123&lt;&gt;"",S123&gt;Q123),AND(W123&lt;&gt;"",W123&gt;U123)),"ALERTA: REMANESCENTE_SUPERA_POSICAO","OK"))))))</f>
        <v/>
      </c>
      <c r="Y123" t="str">
        <f t="shared" si="64"/>
        <v/>
      </c>
      <c r="Z123" t="b">
        <f t="shared" si="65"/>
        <v>0</v>
      </c>
      <c r="AA123" s="208" t="str">
        <f>IF($A123="","",IF(COUNTIFS(aditivos!$A$2:$A$200,$A123,aditivos!$L$2:$L$200,"&lt;&gt;",aditivos!$L$2:$L$200,"&lt;&gt;0",aditivos!$B$2:$B$200,"&gt;0")=0,"",IFERROR(_xlfn.MINIFS(aditivos!$B$2:$B$200,aditivos!$A$2:$A$200,$A123,aditivos!$L$2:$L$200,"&lt;&gt;",aditivos!$L$2:$L$200,"&lt;&gt;0",aditivos!$B$2:$B$200,"&gt;0"),"")))</f>
        <v/>
      </c>
      <c r="AB123" t="str">
        <f>IF($A123="","",IF(OR(parametros!$C$2="",parametros!$I$2=""),0,ROUND(SUMIFS(aditivos!$L$2:$L$200,aditivos!$A$2:$A$200,$A123,aditivos!$C$2:$C$200,"C0",aditivos!$B$2:$B$200,"&gt;="&amp;(INT(parametros!$I$2)+1)),2)))</f>
        <v/>
      </c>
      <c r="AC123" t="str">
        <f>IF($A123="","",IF(OR(parametros!$C$3="",parametros!$I$3=""),0,ROUND(SUMIFS(aditivos!$L$2:$L$200,aditivos!$A$2:$A$200,$A123,aditivos!$C$2:$C$200,"C1",aditivos!$B$2:$B$200,"&gt;="&amp;(INT(parametros!$I$3)+1)),2)))</f>
        <v/>
      </c>
      <c r="AD123" t="str">
        <f>IF($A123="","",IF(OR(parametros!$C$4="",parametros!$I$4=""),0,ROUND(SUMIFS(aditivos!$L$2:$L$200,aditivos!$A$2:$A$200,$A123,aditivos!$C$2:$C$200,"C2",aditivos!$B$2:$B$200,"&gt;="&amp;(INT(parametros!$I$4)+1)),2)))</f>
        <v/>
      </c>
      <c r="AE123" t="str">
        <f>IF($A123="","",IF(OR(parametros!$C$5="",parametros!$I$5=""),0,ROUND(SUMIFS(aditivos!$L$2:$L$200,aditivos!$A$2:$A$200,$A123,aditivos!$C$2:$C$200,"C3",aditivos!$B$2:$B$200,"&gt;="&amp;(INT(parametros!$I$5)+1)),2)))</f>
        <v/>
      </c>
      <c r="AF123" t="str">
        <f>IF($A123="","",IF(OR(parametros!$C$6="",parametros!$I$6=""),0,ROUND(SUMIFS(aditivos!$L$2:$L$200,aditivos!$A$2:$A$200,$A123,aditivos!$C$2:$C$200,"C4",aditivos!$B$2:$B$200,"&gt;="&amp;(INT(parametros!$I$6)+1)),2)))</f>
        <v/>
      </c>
      <c r="AG123" t="str">
        <f t="shared" si="66"/>
        <v/>
      </c>
      <c r="AH123" t="str">
        <f t="shared" si="67"/>
        <v/>
      </c>
      <c r="AI123" t="str">
        <f t="shared" si="68"/>
        <v/>
      </c>
      <c r="AJ123" t="str">
        <f t="shared" si="69"/>
        <v/>
      </c>
      <c r="AK123" t="str">
        <f t="shared" si="70"/>
        <v/>
      </c>
      <c r="AL123" t="str">
        <f t="shared" si="71"/>
        <v/>
      </c>
    </row>
    <row r="124" spans="1:38" x14ac:dyDescent="0.35">
      <c r="A124" s="146" t="str">
        <f>IF(itens_Remanesc!A124="","",itens_Remanesc!A124)</f>
        <v/>
      </c>
      <c r="B124" s="196" t="str">
        <f>IF(A124="","",itens_Remanesc!C124)</f>
        <v/>
      </c>
      <c r="C124" s="161" t="str">
        <f>IF(A124="","",IF(itens_Remanesc!B124="",0,itens_Remanesc!B124))</f>
        <v/>
      </c>
      <c r="D124" s="163" t="str">
        <f>IF(A124="","",ROUND(SUMIFS(aditivos!$L$2:$L$200,aditivos!$A$2:$A$200,A124,aditivos!$C$2:$C$200,"C0"),2))</f>
        <v/>
      </c>
      <c r="E124" s="159" t="str">
        <f t="shared" si="54"/>
        <v/>
      </c>
      <c r="F124" s="159" t="str">
        <f>IF(A124="","",IF(itens_Remanesc!B124&lt;&gt;"",itens_Remanesc!B124,IF($Z124,0,"")))</f>
        <v/>
      </c>
      <c r="G124" s="167" t="str">
        <f t="shared" si="55"/>
        <v/>
      </c>
      <c r="H124" s="169" t="str">
        <f>IF(A124="","",ROUND(SUMIFS(aditivos!$L$2:$L$200,aditivos!$A$2:$A$200,A124,aditivos!$C$2:$C$200,"C1"),2))</f>
        <v/>
      </c>
      <c r="I124" s="165" t="str">
        <f t="shared" si="56"/>
        <v/>
      </c>
      <c r="J124" s="165" t="str">
        <f>IF(A124="","",IF(itens_Remanesc!E124="","",itens_Remanesc!E124))</f>
        <v/>
      </c>
      <c r="K124" s="171" t="str">
        <f t="shared" si="57"/>
        <v/>
      </c>
      <c r="L124" s="163" t="str">
        <f>IF(A124="","",ROUND(SUMIFS(aditivos!$L$2:$L$200,aditivos!$A$2:$A$200,A124,aditivos!$C$2:$C$200,"C2"),2))</f>
        <v/>
      </c>
      <c r="M124" s="159" t="str">
        <f t="shared" si="58"/>
        <v/>
      </c>
      <c r="N124" s="159" t="str">
        <f>IF(A124="","",IF(itens_Remanesc!G124="","",itens_Remanesc!G124))</f>
        <v/>
      </c>
      <c r="O124" s="167" t="str">
        <f t="shared" si="59"/>
        <v/>
      </c>
      <c r="P124" s="169" t="str">
        <f>IF(A124="","",ROUND(SUMIFS(aditivos!$L$2:$L$200,aditivos!$A$2:$A$200,A124,aditivos!$C$2:$C$200,"C3"),2))</f>
        <v/>
      </c>
      <c r="Q124" s="165" t="str">
        <f t="shared" si="60"/>
        <v/>
      </c>
      <c r="R124" s="165" t="str">
        <f>IF(A124="","",IF(itens_Remanesc!I124="","",itens_Remanesc!I124))</f>
        <v/>
      </c>
      <c r="S124" s="171" t="str">
        <f t="shared" si="61"/>
        <v/>
      </c>
      <c r="T124" s="163" t="str">
        <f>IF(A124="","",ROUND(SUMIFS(aditivos!$L$2:$L$200,aditivos!$A$2:$A$200,A124,aditivos!$C$2:$C$200,"C4"),2))</f>
        <v/>
      </c>
      <c r="U124" s="159" t="str">
        <f t="shared" si="62"/>
        <v/>
      </c>
      <c r="V124" s="159" t="str">
        <f>IF(A124="","",IF(itens_Remanesc!K124="","",itens_Remanesc!K124))</f>
        <v/>
      </c>
      <c r="W124" s="159" t="str">
        <f t="shared" si="63"/>
        <v/>
      </c>
      <c r="X124" s="146" t="str">
        <f>IF(A124="","",IF(COUNTIF($A$2:$A$200,A124)&gt;1,"ALERTA: ITEM_DUPLICADO",IF(AND($Z124,ISNUMBER(itens_Remanesc!B124),itens_Remanesc!B124&lt;&gt;0),"NOVO ITEM COM BASE DIFERENTE DE 0 - AJUSTAR itens_Remanesc",IF(AND($Z124,NOT(ISNUMBER(itens_Remanesc!C124))),"NOVO ITEM SEM VU_ORIGINAL - INFORMAR EM itens_Remanesc",IF(MIN(E124,I124,M124,Q124,U124,G124,K124,O124,S124,W124)&lt;0,"ALERTA: POSICAO_NEGATIVA",IF(OR(AND(G124&lt;&gt;"",G124&gt;E124),AND(K124&lt;&gt;"",K124&gt;I124),AND(O124&lt;&gt;"",O124&gt;M124),AND(S124&lt;&gt;"",S124&gt;Q124),AND(W124&lt;&gt;"",W124&gt;U124)),"ALERTA: REMANESCENTE_SUPERA_POSICAO","OK"))))))</f>
        <v/>
      </c>
      <c r="Y124" t="str">
        <f t="shared" si="64"/>
        <v/>
      </c>
      <c r="Z124" t="b">
        <f t="shared" si="65"/>
        <v>0</v>
      </c>
      <c r="AA124" s="208" t="str">
        <f>IF($A124="","",IF(COUNTIFS(aditivos!$A$2:$A$200,$A124,aditivos!$L$2:$L$200,"&lt;&gt;",aditivos!$L$2:$L$200,"&lt;&gt;0",aditivos!$B$2:$B$200,"&gt;0")=0,"",IFERROR(_xlfn.MINIFS(aditivos!$B$2:$B$200,aditivos!$A$2:$A$200,$A124,aditivos!$L$2:$L$200,"&lt;&gt;",aditivos!$L$2:$L$200,"&lt;&gt;0",aditivos!$B$2:$B$200,"&gt;0"),"")))</f>
        <v/>
      </c>
      <c r="AB124" t="str">
        <f>IF($A124="","",IF(OR(parametros!$C$2="",parametros!$I$2=""),0,ROUND(SUMIFS(aditivos!$L$2:$L$200,aditivos!$A$2:$A$200,$A124,aditivos!$C$2:$C$200,"C0",aditivos!$B$2:$B$200,"&gt;="&amp;(INT(parametros!$I$2)+1)),2)))</f>
        <v/>
      </c>
      <c r="AC124" t="str">
        <f>IF($A124="","",IF(OR(parametros!$C$3="",parametros!$I$3=""),0,ROUND(SUMIFS(aditivos!$L$2:$L$200,aditivos!$A$2:$A$200,$A124,aditivos!$C$2:$C$200,"C1",aditivos!$B$2:$B$200,"&gt;="&amp;(INT(parametros!$I$3)+1)),2)))</f>
        <v/>
      </c>
      <c r="AD124" t="str">
        <f>IF($A124="","",IF(OR(parametros!$C$4="",parametros!$I$4=""),0,ROUND(SUMIFS(aditivos!$L$2:$L$200,aditivos!$A$2:$A$200,$A124,aditivos!$C$2:$C$200,"C2",aditivos!$B$2:$B$200,"&gt;="&amp;(INT(parametros!$I$4)+1)),2)))</f>
        <v/>
      </c>
      <c r="AE124" t="str">
        <f>IF($A124="","",IF(OR(parametros!$C$5="",parametros!$I$5=""),0,ROUND(SUMIFS(aditivos!$L$2:$L$200,aditivos!$A$2:$A$200,$A124,aditivos!$C$2:$C$200,"C3",aditivos!$B$2:$B$200,"&gt;="&amp;(INT(parametros!$I$5)+1)),2)))</f>
        <v/>
      </c>
      <c r="AF124" t="str">
        <f>IF($A124="","",IF(OR(parametros!$C$6="",parametros!$I$6=""),0,ROUND(SUMIFS(aditivos!$L$2:$L$200,aditivos!$A$2:$A$200,$A124,aditivos!$C$2:$C$200,"C4",aditivos!$B$2:$B$200,"&gt;="&amp;(INT(parametros!$I$6)+1)),2)))</f>
        <v/>
      </c>
      <c r="AG124" t="str">
        <f t="shared" si="66"/>
        <v/>
      </c>
      <c r="AH124" t="str">
        <f t="shared" si="67"/>
        <v/>
      </c>
      <c r="AI124" t="str">
        <f t="shared" si="68"/>
        <v/>
      </c>
      <c r="AJ124" t="str">
        <f t="shared" si="69"/>
        <v/>
      </c>
      <c r="AK124" t="str">
        <f t="shared" si="70"/>
        <v/>
      </c>
      <c r="AL124" t="str">
        <f t="shared" si="71"/>
        <v/>
      </c>
    </row>
    <row r="125" spans="1:38" x14ac:dyDescent="0.35">
      <c r="A125" s="146" t="str">
        <f>IF(itens_Remanesc!A125="","",itens_Remanesc!A125)</f>
        <v/>
      </c>
      <c r="B125" s="196" t="str">
        <f>IF(A125="","",itens_Remanesc!C125)</f>
        <v/>
      </c>
      <c r="C125" s="161" t="str">
        <f>IF(A125="","",IF(itens_Remanesc!B125="",0,itens_Remanesc!B125))</f>
        <v/>
      </c>
      <c r="D125" s="163" t="str">
        <f>IF(A125="","",ROUND(SUMIFS(aditivos!$L$2:$L$200,aditivos!$A$2:$A$200,A125,aditivos!$C$2:$C$200,"C0"),2))</f>
        <v/>
      </c>
      <c r="E125" s="159" t="str">
        <f t="shared" si="54"/>
        <v/>
      </c>
      <c r="F125" s="159" t="str">
        <f>IF(A125="","",IF(itens_Remanesc!B125&lt;&gt;"",itens_Remanesc!B125,IF($Z125,0,"")))</f>
        <v/>
      </c>
      <c r="G125" s="167" t="str">
        <f t="shared" si="55"/>
        <v/>
      </c>
      <c r="H125" s="169" t="str">
        <f>IF(A125="","",ROUND(SUMIFS(aditivos!$L$2:$L$200,aditivos!$A$2:$A$200,A125,aditivos!$C$2:$C$200,"C1"),2))</f>
        <v/>
      </c>
      <c r="I125" s="165" t="str">
        <f t="shared" si="56"/>
        <v/>
      </c>
      <c r="J125" s="165" t="str">
        <f>IF(A125="","",IF(itens_Remanesc!E125="","",itens_Remanesc!E125))</f>
        <v/>
      </c>
      <c r="K125" s="171" t="str">
        <f t="shared" si="57"/>
        <v/>
      </c>
      <c r="L125" s="163" t="str">
        <f>IF(A125="","",ROUND(SUMIFS(aditivos!$L$2:$L$200,aditivos!$A$2:$A$200,A125,aditivos!$C$2:$C$200,"C2"),2))</f>
        <v/>
      </c>
      <c r="M125" s="159" t="str">
        <f t="shared" si="58"/>
        <v/>
      </c>
      <c r="N125" s="159" t="str">
        <f>IF(A125="","",IF(itens_Remanesc!G125="","",itens_Remanesc!G125))</f>
        <v/>
      </c>
      <c r="O125" s="167" t="str">
        <f t="shared" si="59"/>
        <v/>
      </c>
      <c r="P125" s="169" t="str">
        <f>IF(A125="","",ROUND(SUMIFS(aditivos!$L$2:$L$200,aditivos!$A$2:$A$200,A125,aditivos!$C$2:$C$200,"C3"),2))</f>
        <v/>
      </c>
      <c r="Q125" s="165" t="str">
        <f t="shared" si="60"/>
        <v/>
      </c>
      <c r="R125" s="165" t="str">
        <f>IF(A125="","",IF(itens_Remanesc!I125="","",itens_Remanesc!I125))</f>
        <v/>
      </c>
      <c r="S125" s="171" t="str">
        <f t="shared" si="61"/>
        <v/>
      </c>
      <c r="T125" s="163" t="str">
        <f>IF(A125="","",ROUND(SUMIFS(aditivos!$L$2:$L$200,aditivos!$A$2:$A$200,A125,aditivos!$C$2:$C$200,"C4"),2))</f>
        <v/>
      </c>
      <c r="U125" s="159" t="str">
        <f t="shared" si="62"/>
        <v/>
      </c>
      <c r="V125" s="159" t="str">
        <f>IF(A125="","",IF(itens_Remanesc!K125="","",itens_Remanesc!K125))</f>
        <v/>
      </c>
      <c r="W125" s="159" t="str">
        <f t="shared" si="63"/>
        <v/>
      </c>
      <c r="X125" s="146" t="str">
        <f>IF(A125="","",IF(COUNTIF($A$2:$A$200,A125)&gt;1,"ALERTA: ITEM_DUPLICADO",IF(AND($Z125,ISNUMBER(itens_Remanesc!B125),itens_Remanesc!B125&lt;&gt;0),"NOVO ITEM COM BASE DIFERENTE DE 0 - AJUSTAR itens_Remanesc",IF(AND($Z125,NOT(ISNUMBER(itens_Remanesc!C125))),"NOVO ITEM SEM VU_ORIGINAL - INFORMAR EM itens_Remanesc",IF(MIN(E125,I125,M125,Q125,U125,G125,K125,O125,S125,W125)&lt;0,"ALERTA: POSICAO_NEGATIVA",IF(OR(AND(G125&lt;&gt;"",G125&gt;E125),AND(K125&lt;&gt;"",K125&gt;I125),AND(O125&lt;&gt;"",O125&gt;M125),AND(S125&lt;&gt;"",S125&gt;Q125),AND(W125&lt;&gt;"",W125&gt;U125)),"ALERTA: REMANESCENTE_SUPERA_POSICAO","OK"))))))</f>
        <v/>
      </c>
      <c r="Y125" t="str">
        <f t="shared" si="64"/>
        <v/>
      </c>
      <c r="Z125" t="b">
        <f t="shared" si="65"/>
        <v>0</v>
      </c>
      <c r="AA125" s="208" t="str">
        <f>IF($A125="","",IF(COUNTIFS(aditivos!$A$2:$A$200,$A125,aditivos!$L$2:$L$200,"&lt;&gt;",aditivos!$L$2:$L$200,"&lt;&gt;0",aditivos!$B$2:$B$200,"&gt;0")=0,"",IFERROR(_xlfn.MINIFS(aditivos!$B$2:$B$200,aditivos!$A$2:$A$200,$A125,aditivos!$L$2:$L$200,"&lt;&gt;",aditivos!$L$2:$L$200,"&lt;&gt;0",aditivos!$B$2:$B$200,"&gt;0"),"")))</f>
        <v/>
      </c>
      <c r="AB125" t="str">
        <f>IF($A125="","",IF(OR(parametros!$C$2="",parametros!$I$2=""),0,ROUND(SUMIFS(aditivos!$L$2:$L$200,aditivos!$A$2:$A$200,$A125,aditivos!$C$2:$C$200,"C0",aditivos!$B$2:$B$200,"&gt;="&amp;(INT(parametros!$I$2)+1)),2)))</f>
        <v/>
      </c>
      <c r="AC125" t="str">
        <f>IF($A125="","",IF(OR(parametros!$C$3="",parametros!$I$3=""),0,ROUND(SUMIFS(aditivos!$L$2:$L$200,aditivos!$A$2:$A$200,$A125,aditivos!$C$2:$C$200,"C1",aditivos!$B$2:$B$200,"&gt;="&amp;(INT(parametros!$I$3)+1)),2)))</f>
        <v/>
      </c>
      <c r="AD125" t="str">
        <f>IF($A125="","",IF(OR(parametros!$C$4="",parametros!$I$4=""),0,ROUND(SUMIFS(aditivos!$L$2:$L$200,aditivos!$A$2:$A$200,$A125,aditivos!$C$2:$C$200,"C2",aditivos!$B$2:$B$200,"&gt;="&amp;(INT(parametros!$I$4)+1)),2)))</f>
        <v/>
      </c>
      <c r="AE125" t="str">
        <f>IF($A125="","",IF(OR(parametros!$C$5="",parametros!$I$5=""),0,ROUND(SUMIFS(aditivos!$L$2:$L$200,aditivos!$A$2:$A$200,$A125,aditivos!$C$2:$C$200,"C3",aditivos!$B$2:$B$200,"&gt;="&amp;(INT(parametros!$I$5)+1)),2)))</f>
        <v/>
      </c>
      <c r="AF125" t="str">
        <f>IF($A125="","",IF(OR(parametros!$C$6="",parametros!$I$6=""),0,ROUND(SUMIFS(aditivos!$L$2:$L$200,aditivos!$A$2:$A$200,$A125,aditivos!$C$2:$C$200,"C4",aditivos!$B$2:$B$200,"&gt;="&amp;(INT(parametros!$I$6)+1)),2)))</f>
        <v/>
      </c>
      <c r="AG125" t="str">
        <f t="shared" si="66"/>
        <v/>
      </c>
      <c r="AH125" t="str">
        <f t="shared" si="67"/>
        <v/>
      </c>
      <c r="AI125" t="str">
        <f t="shared" si="68"/>
        <v/>
      </c>
      <c r="AJ125" t="str">
        <f t="shared" si="69"/>
        <v/>
      </c>
      <c r="AK125" t="str">
        <f t="shared" si="70"/>
        <v/>
      </c>
      <c r="AL125" t="str">
        <f t="shared" si="71"/>
        <v/>
      </c>
    </row>
    <row r="126" spans="1:38" x14ac:dyDescent="0.35">
      <c r="A126" s="146" t="str">
        <f>IF(itens_Remanesc!A126="","",itens_Remanesc!A126)</f>
        <v/>
      </c>
      <c r="B126" s="196" t="str">
        <f>IF(A126="","",itens_Remanesc!C126)</f>
        <v/>
      </c>
      <c r="C126" s="161" t="str">
        <f>IF(A126="","",IF(itens_Remanesc!B126="",0,itens_Remanesc!B126))</f>
        <v/>
      </c>
      <c r="D126" s="163" t="str">
        <f>IF(A126="","",ROUND(SUMIFS(aditivos!$L$2:$L$200,aditivos!$A$2:$A$200,A126,aditivos!$C$2:$C$200,"C0"),2))</f>
        <v/>
      </c>
      <c r="E126" s="159" t="str">
        <f t="shared" si="54"/>
        <v/>
      </c>
      <c r="F126" s="159" t="str">
        <f>IF(A126="","",IF(itens_Remanesc!B126&lt;&gt;"",itens_Remanesc!B126,IF($Z126,0,"")))</f>
        <v/>
      </c>
      <c r="G126" s="167" t="str">
        <f t="shared" si="55"/>
        <v/>
      </c>
      <c r="H126" s="169" t="str">
        <f>IF(A126="","",ROUND(SUMIFS(aditivos!$L$2:$L$200,aditivos!$A$2:$A$200,A126,aditivos!$C$2:$C$200,"C1"),2))</f>
        <v/>
      </c>
      <c r="I126" s="165" t="str">
        <f t="shared" si="56"/>
        <v/>
      </c>
      <c r="J126" s="165" t="str">
        <f>IF(A126="","",IF(itens_Remanesc!E126="","",itens_Remanesc!E126))</f>
        <v/>
      </c>
      <c r="K126" s="171" t="str">
        <f t="shared" si="57"/>
        <v/>
      </c>
      <c r="L126" s="163" t="str">
        <f>IF(A126="","",ROUND(SUMIFS(aditivos!$L$2:$L$200,aditivos!$A$2:$A$200,A126,aditivos!$C$2:$C$200,"C2"),2))</f>
        <v/>
      </c>
      <c r="M126" s="159" t="str">
        <f t="shared" si="58"/>
        <v/>
      </c>
      <c r="N126" s="159" t="str">
        <f>IF(A126="","",IF(itens_Remanesc!G126="","",itens_Remanesc!G126))</f>
        <v/>
      </c>
      <c r="O126" s="167" t="str">
        <f t="shared" si="59"/>
        <v/>
      </c>
      <c r="P126" s="169" t="str">
        <f>IF(A126="","",ROUND(SUMIFS(aditivos!$L$2:$L$200,aditivos!$A$2:$A$200,A126,aditivos!$C$2:$C$200,"C3"),2))</f>
        <v/>
      </c>
      <c r="Q126" s="165" t="str">
        <f t="shared" si="60"/>
        <v/>
      </c>
      <c r="R126" s="165" t="str">
        <f>IF(A126="","",IF(itens_Remanesc!I126="","",itens_Remanesc!I126))</f>
        <v/>
      </c>
      <c r="S126" s="171" t="str">
        <f t="shared" si="61"/>
        <v/>
      </c>
      <c r="T126" s="163" t="str">
        <f>IF(A126="","",ROUND(SUMIFS(aditivos!$L$2:$L$200,aditivos!$A$2:$A$200,A126,aditivos!$C$2:$C$200,"C4"),2))</f>
        <v/>
      </c>
      <c r="U126" s="159" t="str">
        <f t="shared" si="62"/>
        <v/>
      </c>
      <c r="V126" s="159" t="str">
        <f>IF(A126="","",IF(itens_Remanesc!K126="","",itens_Remanesc!K126))</f>
        <v/>
      </c>
      <c r="W126" s="159" t="str">
        <f t="shared" si="63"/>
        <v/>
      </c>
      <c r="X126" s="146" t="str">
        <f>IF(A126="","",IF(COUNTIF($A$2:$A$200,A126)&gt;1,"ALERTA: ITEM_DUPLICADO",IF(AND($Z126,ISNUMBER(itens_Remanesc!B126),itens_Remanesc!B126&lt;&gt;0),"NOVO ITEM COM BASE DIFERENTE DE 0 - AJUSTAR itens_Remanesc",IF(AND($Z126,NOT(ISNUMBER(itens_Remanesc!C126))),"NOVO ITEM SEM VU_ORIGINAL - INFORMAR EM itens_Remanesc",IF(MIN(E126,I126,M126,Q126,U126,G126,K126,O126,S126,W126)&lt;0,"ALERTA: POSICAO_NEGATIVA",IF(OR(AND(G126&lt;&gt;"",G126&gt;E126),AND(K126&lt;&gt;"",K126&gt;I126),AND(O126&lt;&gt;"",O126&gt;M126),AND(S126&lt;&gt;"",S126&gt;Q126),AND(W126&lt;&gt;"",W126&gt;U126)),"ALERTA: REMANESCENTE_SUPERA_POSICAO","OK"))))))</f>
        <v/>
      </c>
      <c r="Y126" t="str">
        <f t="shared" si="64"/>
        <v/>
      </c>
      <c r="Z126" t="b">
        <f t="shared" si="65"/>
        <v>0</v>
      </c>
      <c r="AA126" s="208" t="str">
        <f>IF($A126="","",IF(COUNTIFS(aditivos!$A$2:$A$200,$A126,aditivos!$L$2:$L$200,"&lt;&gt;",aditivos!$L$2:$L$200,"&lt;&gt;0",aditivos!$B$2:$B$200,"&gt;0")=0,"",IFERROR(_xlfn.MINIFS(aditivos!$B$2:$B$200,aditivos!$A$2:$A$200,$A126,aditivos!$L$2:$L$200,"&lt;&gt;",aditivos!$L$2:$L$200,"&lt;&gt;0",aditivos!$B$2:$B$200,"&gt;0"),"")))</f>
        <v/>
      </c>
      <c r="AB126" t="str">
        <f>IF($A126="","",IF(OR(parametros!$C$2="",parametros!$I$2=""),0,ROUND(SUMIFS(aditivos!$L$2:$L$200,aditivos!$A$2:$A$200,$A126,aditivos!$C$2:$C$200,"C0",aditivos!$B$2:$B$200,"&gt;="&amp;(INT(parametros!$I$2)+1)),2)))</f>
        <v/>
      </c>
      <c r="AC126" t="str">
        <f>IF($A126="","",IF(OR(parametros!$C$3="",parametros!$I$3=""),0,ROUND(SUMIFS(aditivos!$L$2:$L$200,aditivos!$A$2:$A$200,$A126,aditivos!$C$2:$C$200,"C1",aditivos!$B$2:$B$200,"&gt;="&amp;(INT(parametros!$I$3)+1)),2)))</f>
        <v/>
      </c>
      <c r="AD126" t="str">
        <f>IF($A126="","",IF(OR(parametros!$C$4="",parametros!$I$4=""),0,ROUND(SUMIFS(aditivos!$L$2:$L$200,aditivos!$A$2:$A$200,$A126,aditivos!$C$2:$C$200,"C2",aditivos!$B$2:$B$200,"&gt;="&amp;(INT(parametros!$I$4)+1)),2)))</f>
        <v/>
      </c>
      <c r="AE126" t="str">
        <f>IF($A126="","",IF(OR(parametros!$C$5="",parametros!$I$5=""),0,ROUND(SUMIFS(aditivos!$L$2:$L$200,aditivos!$A$2:$A$200,$A126,aditivos!$C$2:$C$200,"C3",aditivos!$B$2:$B$200,"&gt;="&amp;(INT(parametros!$I$5)+1)),2)))</f>
        <v/>
      </c>
      <c r="AF126" t="str">
        <f>IF($A126="","",IF(OR(parametros!$C$6="",parametros!$I$6=""),0,ROUND(SUMIFS(aditivos!$L$2:$L$200,aditivos!$A$2:$A$200,$A126,aditivos!$C$2:$C$200,"C4",aditivos!$B$2:$B$200,"&gt;="&amp;(INT(parametros!$I$6)+1)),2)))</f>
        <v/>
      </c>
      <c r="AG126" t="str">
        <f t="shared" si="66"/>
        <v/>
      </c>
      <c r="AH126" t="str">
        <f t="shared" si="67"/>
        <v/>
      </c>
      <c r="AI126" t="str">
        <f t="shared" si="68"/>
        <v/>
      </c>
      <c r="AJ126" t="str">
        <f t="shared" si="69"/>
        <v/>
      </c>
      <c r="AK126" t="str">
        <f t="shared" si="70"/>
        <v/>
      </c>
      <c r="AL126" t="str">
        <f t="shared" si="71"/>
        <v/>
      </c>
    </row>
    <row r="127" spans="1:38" x14ac:dyDescent="0.35">
      <c r="A127" s="146" t="str">
        <f>IF(itens_Remanesc!A127="","",itens_Remanesc!A127)</f>
        <v/>
      </c>
      <c r="B127" s="196" t="str">
        <f>IF(A127="","",itens_Remanesc!C127)</f>
        <v/>
      </c>
      <c r="C127" s="161" t="str">
        <f>IF(A127="","",IF(itens_Remanesc!B127="",0,itens_Remanesc!B127))</f>
        <v/>
      </c>
      <c r="D127" s="163" t="str">
        <f>IF(A127="","",ROUND(SUMIFS(aditivos!$L$2:$L$200,aditivos!$A$2:$A$200,A127,aditivos!$C$2:$C$200,"C0"),2))</f>
        <v/>
      </c>
      <c r="E127" s="159" t="str">
        <f t="shared" si="54"/>
        <v/>
      </c>
      <c r="F127" s="159" t="str">
        <f>IF(A127="","",IF(itens_Remanesc!B127&lt;&gt;"",itens_Remanesc!B127,IF($Z127,0,"")))</f>
        <v/>
      </c>
      <c r="G127" s="167" t="str">
        <f t="shared" si="55"/>
        <v/>
      </c>
      <c r="H127" s="169" t="str">
        <f>IF(A127="","",ROUND(SUMIFS(aditivos!$L$2:$L$200,aditivos!$A$2:$A$200,A127,aditivos!$C$2:$C$200,"C1"),2))</f>
        <v/>
      </c>
      <c r="I127" s="165" t="str">
        <f t="shared" si="56"/>
        <v/>
      </c>
      <c r="J127" s="165" t="str">
        <f>IF(A127="","",IF(itens_Remanesc!E127="","",itens_Remanesc!E127))</f>
        <v/>
      </c>
      <c r="K127" s="171" t="str">
        <f t="shared" si="57"/>
        <v/>
      </c>
      <c r="L127" s="163" t="str">
        <f>IF(A127="","",ROUND(SUMIFS(aditivos!$L$2:$L$200,aditivos!$A$2:$A$200,A127,aditivos!$C$2:$C$200,"C2"),2))</f>
        <v/>
      </c>
      <c r="M127" s="159" t="str">
        <f t="shared" si="58"/>
        <v/>
      </c>
      <c r="N127" s="159" t="str">
        <f>IF(A127="","",IF(itens_Remanesc!G127="","",itens_Remanesc!G127))</f>
        <v/>
      </c>
      <c r="O127" s="167" t="str">
        <f t="shared" si="59"/>
        <v/>
      </c>
      <c r="P127" s="169" t="str">
        <f>IF(A127="","",ROUND(SUMIFS(aditivos!$L$2:$L$200,aditivos!$A$2:$A$200,A127,aditivos!$C$2:$C$200,"C3"),2))</f>
        <v/>
      </c>
      <c r="Q127" s="165" t="str">
        <f t="shared" si="60"/>
        <v/>
      </c>
      <c r="R127" s="165" t="str">
        <f>IF(A127="","",IF(itens_Remanesc!I127="","",itens_Remanesc!I127))</f>
        <v/>
      </c>
      <c r="S127" s="171" t="str">
        <f t="shared" si="61"/>
        <v/>
      </c>
      <c r="T127" s="163" t="str">
        <f>IF(A127="","",ROUND(SUMIFS(aditivos!$L$2:$L$200,aditivos!$A$2:$A$200,A127,aditivos!$C$2:$C$200,"C4"),2))</f>
        <v/>
      </c>
      <c r="U127" s="159" t="str">
        <f t="shared" si="62"/>
        <v/>
      </c>
      <c r="V127" s="159" t="str">
        <f>IF(A127="","",IF(itens_Remanesc!K127="","",itens_Remanesc!K127))</f>
        <v/>
      </c>
      <c r="W127" s="159" t="str">
        <f t="shared" si="63"/>
        <v/>
      </c>
      <c r="X127" s="146" t="str">
        <f>IF(A127="","",IF(COUNTIF($A$2:$A$200,A127)&gt;1,"ALERTA: ITEM_DUPLICADO",IF(AND($Z127,ISNUMBER(itens_Remanesc!B127),itens_Remanesc!B127&lt;&gt;0),"NOVO ITEM COM BASE DIFERENTE DE 0 - AJUSTAR itens_Remanesc",IF(AND($Z127,NOT(ISNUMBER(itens_Remanesc!C127))),"NOVO ITEM SEM VU_ORIGINAL - INFORMAR EM itens_Remanesc",IF(MIN(E127,I127,M127,Q127,U127,G127,K127,O127,S127,W127)&lt;0,"ALERTA: POSICAO_NEGATIVA",IF(OR(AND(G127&lt;&gt;"",G127&gt;E127),AND(K127&lt;&gt;"",K127&gt;I127),AND(O127&lt;&gt;"",O127&gt;M127),AND(S127&lt;&gt;"",S127&gt;Q127),AND(W127&lt;&gt;"",W127&gt;U127)),"ALERTA: REMANESCENTE_SUPERA_POSICAO","OK"))))))</f>
        <v/>
      </c>
      <c r="Y127" t="str">
        <f t="shared" si="64"/>
        <v/>
      </c>
      <c r="Z127" t="b">
        <f t="shared" si="65"/>
        <v>0</v>
      </c>
      <c r="AA127" s="208" t="str">
        <f>IF($A127="","",IF(COUNTIFS(aditivos!$A$2:$A$200,$A127,aditivos!$L$2:$L$200,"&lt;&gt;",aditivos!$L$2:$L$200,"&lt;&gt;0",aditivos!$B$2:$B$200,"&gt;0")=0,"",IFERROR(_xlfn.MINIFS(aditivos!$B$2:$B$200,aditivos!$A$2:$A$200,$A127,aditivos!$L$2:$L$200,"&lt;&gt;",aditivos!$L$2:$L$200,"&lt;&gt;0",aditivos!$B$2:$B$200,"&gt;0"),"")))</f>
        <v/>
      </c>
      <c r="AB127" t="str">
        <f>IF($A127="","",IF(OR(parametros!$C$2="",parametros!$I$2=""),0,ROUND(SUMIFS(aditivos!$L$2:$L$200,aditivos!$A$2:$A$200,$A127,aditivos!$C$2:$C$200,"C0",aditivos!$B$2:$B$200,"&gt;="&amp;(INT(parametros!$I$2)+1)),2)))</f>
        <v/>
      </c>
      <c r="AC127" t="str">
        <f>IF($A127="","",IF(OR(parametros!$C$3="",parametros!$I$3=""),0,ROUND(SUMIFS(aditivos!$L$2:$L$200,aditivos!$A$2:$A$200,$A127,aditivos!$C$2:$C$200,"C1",aditivos!$B$2:$B$200,"&gt;="&amp;(INT(parametros!$I$3)+1)),2)))</f>
        <v/>
      </c>
      <c r="AD127" t="str">
        <f>IF($A127="","",IF(OR(parametros!$C$4="",parametros!$I$4=""),0,ROUND(SUMIFS(aditivos!$L$2:$L$200,aditivos!$A$2:$A$200,$A127,aditivos!$C$2:$C$200,"C2",aditivos!$B$2:$B$200,"&gt;="&amp;(INT(parametros!$I$4)+1)),2)))</f>
        <v/>
      </c>
      <c r="AE127" t="str">
        <f>IF($A127="","",IF(OR(parametros!$C$5="",parametros!$I$5=""),0,ROUND(SUMIFS(aditivos!$L$2:$L$200,aditivos!$A$2:$A$200,$A127,aditivos!$C$2:$C$200,"C3",aditivos!$B$2:$B$200,"&gt;="&amp;(INT(parametros!$I$5)+1)),2)))</f>
        <v/>
      </c>
      <c r="AF127" t="str">
        <f>IF($A127="","",IF(OR(parametros!$C$6="",parametros!$I$6=""),0,ROUND(SUMIFS(aditivos!$L$2:$L$200,aditivos!$A$2:$A$200,$A127,aditivos!$C$2:$C$200,"C4",aditivos!$B$2:$B$200,"&gt;="&amp;(INT(parametros!$I$6)+1)),2)))</f>
        <v/>
      </c>
      <c r="AG127" t="str">
        <f t="shared" si="66"/>
        <v/>
      </c>
      <c r="AH127" t="str">
        <f t="shared" si="67"/>
        <v/>
      </c>
      <c r="AI127" t="str">
        <f t="shared" si="68"/>
        <v/>
      </c>
      <c r="AJ127" t="str">
        <f t="shared" si="69"/>
        <v/>
      </c>
      <c r="AK127" t="str">
        <f t="shared" si="70"/>
        <v/>
      </c>
      <c r="AL127" t="str">
        <f t="shared" si="71"/>
        <v/>
      </c>
    </row>
    <row r="128" spans="1:38" x14ac:dyDescent="0.35">
      <c r="A128" s="146" t="str">
        <f>IF(itens_Remanesc!A128="","",itens_Remanesc!A128)</f>
        <v/>
      </c>
      <c r="B128" s="196" t="str">
        <f>IF(A128="","",itens_Remanesc!C128)</f>
        <v/>
      </c>
      <c r="C128" s="161" t="str">
        <f>IF(A128="","",IF(itens_Remanesc!B128="",0,itens_Remanesc!B128))</f>
        <v/>
      </c>
      <c r="D128" s="163" t="str">
        <f>IF(A128="","",ROUND(SUMIFS(aditivos!$L$2:$L$200,aditivos!$A$2:$A$200,A128,aditivos!$C$2:$C$200,"C0"),2))</f>
        <v/>
      </c>
      <c r="E128" s="159" t="str">
        <f t="shared" si="54"/>
        <v/>
      </c>
      <c r="F128" s="159" t="str">
        <f>IF(A128="","",IF(itens_Remanesc!B128&lt;&gt;"",itens_Remanesc!B128,IF($Z128,0,"")))</f>
        <v/>
      </c>
      <c r="G128" s="167" t="str">
        <f t="shared" si="55"/>
        <v/>
      </c>
      <c r="H128" s="169" t="str">
        <f>IF(A128="","",ROUND(SUMIFS(aditivos!$L$2:$L$200,aditivos!$A$2:$A$200,A128,aditivos!$C$2:$C$200,"C1"),2))</f>
        <v/>
      </c>
      <c r="I128" s="165" t="str">
        <f t="shared" si="56"/>
        <v/>
      </c>
      <c r="J128" s="165" t="str">
        <f>IF(A128="","",IF(itens_Remanesc!E128="","",itens_Remanesc!E128))</f>
        <v/>
      </c>
      <c r="K128" s="171" t="str">
        <f t="shared" si="57"/>
        <v/>
      </c>
      <c r="L128" s="163" t="str">
        <f>IF(A128="","",ROUND(SUMIFS(aditivos!$L$2:$L$200,aditivos!$A$2:$A$200,A128,aditivos!$C$2:$C$200,"C2"),2))</f>
        <v/>
      </c>
      <c r="M128" s="159" t="str">
        <f t="shared" si="58"/>
        <v/>
      </c>
      <c r="N128" s="159" t="str">
        <f>IF(A128="","",IF(itens_Remanesc!G128="","",itens_Remanesc!G128))</f>
        <v/>
      </c>
      <c r="O128" s="167" t="str">
        <f t="shared" si="59"/>
        <v/>
      </c>
      <c r="P128" s="169" t="str">
        <f>IF(A128="","",ROUND(SUMIFS(aditivos!$L$2:$L$200,aditivos!$A$2:$A$200,A128,aditivos!$C$2:$C$200,"C3"),2))</f>
        <v/>
      </c>
      <c r="Q128" s="165" t="str">
        <f t="shared" si="60"/>
        <v/>
      </c>
      <c r="R128" s="165" t="str">
        <f>IF(A128="","",IF(itens_Remanesc!I128="","",itens_Remanesc!I128))</f>
        <v/>
      </c>
      <c r="S128" s="171" t="str">
        <f t="shared" si="61"/>
        <v/>
      </c>
      <c r="T128" s="163" t="str">
        <f>IF(A128="","",ROUND(SUMIFS(aditivos!$L$2:$L$200,aditivos!$A$2:$A$200,A128,aditivos!$C$2:$C$200,"C4"),2))</f>
        <v/>
      </c>
      <c r="U128" s="159" t="str">
        <f t="shared" si="62"/>
        <v/>
      </c>
      <c r="V128" s="159" t="str">
        <f>IF(A128="","",IF(itens_Remanesc!K128="","",itens_Remanesc!K128))</f>
        <v/>
      </c>
      <c r="W128" s="159" t="str">
        <f t="shared" si="63"/>
        <v/>
      </c>
      <c r="X128" s="146" t="str">
        <f>IF(A128="","",IF(COUNTIF($A$2:$A$200,A128)&gt;1,"ALERTA: ITEM_DUPLICADO",IF(AND($Z128,ISNUMBER(itens_Remanesc!B128),itens_Remanesc!B128&lt;&gt;0),"NOVO ITEM COM BASE DIFERENTE DE 0 - AJUSTAR itens_Remanesc",IF(AND($Z128,NOT(ISNUMBER(itens_Remanesc!C128))),"NOVO ITEM SEM VU_ORIGINAL - INFORMAR EM itens_Remanesc",IF(MIN(E128,I128,M128,Q128,U128,G128,K128,O128,S128,W128)&lt;0,"ALERTA: POSICAO_NEGATIVA",IF(OR(AND(G128&lt;&gt;"",G128&gt;E128),AND(K128&lt;&gt;"",K128&gt;I128),AND(O128&lt;&gt;"",O128&gt;M128),AND(S128&lt;&gt;"",S128&gt;Q128),AND(W128&lt;&gt;"",W128&gt;U128)),"ALERTA: REMANESCENTE_SUPERA_POSICAO","OK"))))))</f>
        <v/>
      </c>
      <c r="Y128" t="str">
        <f t="shared" si="64"/>
        <v/>
      </c>
      <c r="Z128" t="b">
        <f t="shared" si="65"/>
        <v>0</v>
      </c>
      <c r="AA128" s="208" t="str">
        <f>IF($A128="","",IF(COUNTIFS(aditivos!$A$2:$A$200,$A128,aditivos!$L$2:$L$200,"&lt;&gt;",aditivos!$L$2:$L$200,"&lt;&gt;0",aditivos!$B$2:$B$200,"&gt;0")=0,"",IFERROR(_xlfn.MINIFS(aditivos!$B$2:$B$200,aditivos!$A$2:$A$200,$A128,aditivos!$L$2:$L$200,"&lt;&gt;",aditivos!$L$2:$L$200,"&lt;&gt;0",aditivos!$B$2:$B$200,"&gt;0"),"")))</f>
        <v/>
      </c>
      <c r="AB128" t="str">
        <f>IF($A128="","",IF(OR(parametros!$C$2="",parametros!$I$2=""),0,ROUND(SUMIFS(aditivos!$L$2:$L$200,aditivos!$A$2:$A$200,$A128,aditivos!$C$2:$C$200,"C0",aditivos!$B$2:$B$200,"&gt;="&amp;(INT(parametros!$I$2)+1)),2)))</f>
        <v/>
      </c>
      <c r="AC128" t="str">
        <f>IF($A128="","",IF(OR(parametros!$C$3="",parametros!$I$3=""),0,ROUND(SUMIFS(aditivos!$L$2:$L$200,aditivos!$A$2:$A$200,$A128,aditivos!$C$2:$C$200,"C1",aditivos!$B$2:$B$200,"&gt;="&amp;(INT(parametros!$I$3)+1)),2)))</f>
        <v/>
      </c>
      <c r="AD128" t="str">
        <f>IF($A128="","",IF(OR(parametros!$C$4="",parametros!$I$4=""),0,ROUND(SUMIFS(aditivos!$L$2:$L$200,aditivos!$A$2:$A$200,$A128,aditivos!$C$2:$C$200,"C2",aditivos!$B$2:$B$200,"&gt;="&amp;(INT(parametros!$I$4)+1)),2)))</f>
        <v/>
      </c>
      <c r="AE128" t="str">
        <f>IF($A128="","",IF(OR(parametros!$C$5="",parametros!$I$5=""),0,ROUND(SUMIFS(aditivos!$L$2:$L$200,aditivos!$A$2:$A$200,$A128,aditivos!$C$2:$C$200,"C3",aditivos!$B$2:$B$200,"&gt;="&amp;(INT(parametros!$I$5)+1)),2)))</f>
        <v/>
      </c>
      <c r="AF128" t="str">
        <f>IF($A128="","",IF(OR(parametros!$C$6="",parametros!$I$6=""),0,ROUND(SUMIFS(aditivos!$L$2:$L$200,aditivos!$A$2:$A$200,$A128,aditivos!$C$2:$C$200,"C4",aditivos!$B$2:$B$200,"&gt;="&amp;(INT(parametros!$I$6)+1)),2)))</f>
        <v/>
      </c>
      <c r="AG128" t="str">
        <f t="shared" si="66"/>
        <v/>
      </c>
      <c r="AH128" t="str">
        <f t="shared" si="67"/>
        <v/>
      </c>
      <c r="AI128" t="str">
        <f t="shared" si="68"/>
        <v/>
      </c>
      <c r="AJ128" t="str">
        <f t="shared" si="69"/>
        <v/>
      </c>
      <c r="AK128" t="str">
        <f t="shared" si="70"/>
        <v/>
      </c>
      <c r="AL128" t="str">
        <f t="shared" si="71"/>
        <v/>
      </c>
    </row>
    <row r="129" spans="1:38" x14ac:dyDescent="0.35">
      <c r="A129" s="146" t="str">
        <f>IF(itens_Remanesc!A129="","",itens_Remanesc!A129)</f>
        <v/>
      </c>
      <c r="B129" s="196" t="str">
        <f>IF(A129="","",itens_Remanesc!C129)</f>
        <v/>
      </c>
      <c r="C129" s="161" t="str">
        <f>IF(A129="","",IF(itens_Remanesc!B129="",0,itens_Remanesc!B129))</f>
        <v/>
      </c>
      <c r="D129" s="163" t="str">
        <f>IF(A129="","",ROUND(SUMIFS(aditivos!$L$2:$L$200,aditivos!$A$2:$A$200,A129,aditivos!$C$2:$C$200,"C0"),2))</f>
        <v/>
      </c>
      <c r="E129" s="159" t="str">
        <f t="shared" si="54"/>
        <v/>
      </c>
      <c r="F129" s="159" t="str">
        <f>IF(A129="","",IF(itens_Remanesc!B129&lt;&gt;"",itens_Remanesc!B129,IF($Z129,0,"")))</f>
        <v/>
      </c>
      <c r="G129" s="167" t="str">
        <f t="shared" si="55"/>
        <v/>
      </c>
      <c r="H129" s="169" t="str">
        <f>IF(A129="","",ROUND(SUMIFS(aditivos!$L$2:$L$200,aditivos!$A$2:$A$200,A129,aditivos!$C$2:$C$200,"C1"),2))</f>
        <v/>
      </c>
      <c r="I129" s="165" t="str">
        <f t="shared" si="56"/>
        <v/>
      </c>
      <c r="J129" s="165" t="str">
        <f>IF(A129="","",IF(itens_Remanesc!E129="","",itens_Remanesc!E129))</f>
        <v/>
      </c>
      <c r="K129" s="171" t="str">
        <f t="shared" si="57"/>
        <v/>
      </c>
      <c r="L129" s="163" t="str">
        <f>IF(A129="","",ROUND(SUMIFS(aditivos!$L$2:$L$200,aditivos!$A$2:$A$200,A129,aditivos!$C$2:$C$200,"C2"),2))</f>
        <v/>
      </c>
      <c r="M129" s="159" t="str">
        <f t="shared" si="58"/>
        <v/>
      </c>
      <c r="N129" s="159" t="str">
        <f>IF(A129="","",IF(itens_Remanesc!G129="","",itens_Remanesc!G129))</f>
        <v/>
      </c>
      <c r="O129" s="167" t="str">
        <f t="shared" si="59"/>
        <v/>
      </c>
      <c r="P129" s="169" t="str">
        <f>IF(A129="","",ROUND(SUMIFS(aditivos!$L$2:$L$200,aditivos!$A$2:$A$200,A129,aditivos!$C$2:$C$200,"C3"),2))</f>
        <v/>
      </c>
      <c r="Q129" s="165" t="str">
        <f t="shared" si="60"/>
        <v/>
      </c>
      <c r="R129" s="165" t="str">
        <f>IF(A129="","",IF(itens_Remanesc!I129="","",itens_Remanesc!I129))</f>
        <v/>
      </c>
      <c r="S129" s="171" t="str">
        <f t="shared" si="61"/>
        <v/>
      </c>
      <c r="T129" s="163" t="str">
        <f>IF(A129="","",ROUND(SUMIFS(aditivos!$L$2:$L$200,aditivos!$A$2:$A$200,A129,aditivos!$C$2:$C$200,"C4"),2))</f>
        <v/>
      </c>
      <c r="U129" s="159" t="str">
        <f t="shared" si="62"/>
        <v/>
      </c>
      <c r="V129" s="159" t="str">
        <f>IF(A129="","",IF(itens_Remanesc!K129="","",itens_Remanesc!K129))</f>
        <v/>
      </c>
      <c r="W129" s="159" t="str">
        <f t="shared" si="63"/>
        <v/>
      </c>
      <c r="X129" s="146" t="str">
        <f>IF(A129="","",IF(COUNTIF($A$2:$A$200,A129)&gt;1,"ALERTA: ITEM_DUPLICADO",IF(AND($Z129,ISNUMBER(itens_Remanesc!B129),itens_Remanesc!B129&lt;&gt;0),"NOVO ITEM COM BASE DIFERENTE DE 0 - AJUSTAR itens_Remanesc",IF(AND($Z129,NOT(ISNUMBER(itens_Remanesc!C129))),"NOVO ITEM SEM VU_ORIGINAL - INFORMAR EM itens_Remanesc",IF(MIN(E129,I129,M129,Q129,U129,G129,K129,O129,S129,W129)&lt;0,"ALERTA: POSICAO_NEGATIVA",IF(OR(AND(G129&lt;&gt;"",G129&gt;E129),AND(K129&lt;&gt;"",K129&gt;I129),AND(O129&lt;&gt;"",O129&gt;M129),AND(S129&lt;&gt;"",S129&gt;Q129),AND(W129&lt;&gt;"",W129&gt;U129)),"ALERTA: REMANESCENTE_SUPERA_POSICAO","OK"))))))</f>
        <v/>
      </c>
      <c r="Y129" t="str">
        <f t="shared" si="64"/>
        <v/>
      </c>
      <c r="Z129" t="b">
        <f t="shared" si="65"/>
        <v>0</v>
      </c>
      <c r="AA129" s="208" t="str">
        <f>IF($A129="","",IF(COUNTIFS(aditivos!$A$2:$A$200,$A129,aditivos!$L$2:$L$200,"&lt;&gt;",aditivos!$L$2:$L$200,"&lt;&gt;0",aditivos!$B$2:$B$200,"&gt;0")=0,"",IFERROR(_xlfn.MINIFS(aditivos!$B$2:$B$200,aditivos!$A$2:$A$200,$A129,aditivos!$L$2:$L$200,"&lt;&gt;",aditivos!$L$2:$L$200,"&lt;&gt;0",aditivos!$B$2:$B$200,"&gt;0"),"")))</f>
        <v/>
      </c>
      <c r="AB129" t="str">
        <f>IF($A129="","",IF(OR(parametros!$C$2="",parametros!$I$2=""),0,ROUND(SUMIFS(aditivos!$L$2:$L$200,aditivos!$A$2:$A$200,$A129,aditivos!$C$2:$C$200,"C0",aditivos!$B$2:$B$200,"&gt;="&amp;(INT(parametros!$I$2)+1)),2)))</f>
        <v/>
      </c>
      <c r="AC129" t="str">
        <f>IF($A129="","",IF(OR(parametros!$C$3="",parametros!$I$3=""),0,ROUND(SUMIFS(aditivos!$L$2:$L$200,aditivos!$A$2:$A$200,$A129,aditivos!$C$2:$C$200,"C1",aditivos!$B$2:$B$200,"&gt;="&amp;(INT(parametros!$I$3)+1)),2)))</f>
        <v/>
      </c>
      <c r="AD129" t="str">
        <f>IF($A129="","",IF(OR(parametros!$C$4="",parametros!$I$4=""),0,ROUND(SUMIFS(aditivos!$L$2:$L$200,aditivos!$A$2:$A$200,$A129,aditivos!$C$2:$C$200,"C2",aditivos!$B$2:$B$200,"&gt;="&amp;(INT(parametros!$I$4)+1)),2)))</f>
        <v/>
      </c>
      <c r="AE129" t="str">
        <f>IF($A129="","",IF(OR(parametros!$C$5="",parametros!$I$5=""),0,ROUND(SUMIFS(aditivos!$L$2:$L$200,aditivos!$A$2:$A$200,$A129,aditivos!$C$2:$C$200,"C3",aditivos!$B$2:$B$200,"&gt;="&amp;(INT(parametros!$I$5)+1)),2)))</f>
        <v/>
      </c>
      <c r="AF129" t="str">
        <f>IF($A129="","",IF(OR(parametros!$C$6="",parametros!$I$6=""),0,ROUND(SUMIFS(aditivos!$L$2:$L$200,aditivos!$A$2:$A$200,$A129,aditivos!$C$2:$C$200,"C4",aditivos!$B$2:$B$200,"&gt;="&amp;(INT(parametros!$I$6)+1)),2)))</f>
        <v/>
      </c>
      <c r="AG129" t="str">
        <f t="shared" si="66"/>
        <v/>
      </c>
      <c r="AH129" t="str">
        <f t="shared" si="67"/>
        <v/>
      </c>
      <c r="AI129" t="str">
        <f t="shared" si="68"/>
        <v/>
      </c>
      <c r="AJ129" t="str">
        <f t="shared" si="69"/>
        <v/>
      </c>
      <c r="AK129" t="str">
        <f t="shared" si="70"/>
        <v/>
      </c>
      <c r="AL129" t="str">
        <f t="shared" si="71"/>
        <v/>
      </c>
    </row>
    <row r="130" spans="1:38" x14ac:dyDescent="0.35">
      <c r="A130" s="146" t="str">
        <f>IF(itens_Remanesc!A130="","",itens_Remanesc!A130)</f>
        <v/>
      </c>
      <c r="B130" s="196" t="str">
        <f>IF(A130="","",itens_Remanesc!C130)</f>
        <v/>
      </c>
      <c r="C130" s="161" t="str">
        <f>IF(A130="","",IF(itens_Remanesc!B130="",0,itens_Remanesc!B130))</f>
        <v/>
      </c>
      <c r="D130" s="163" t="str">
        <f>IF(A130="","",ROUND(SUMIFS(aditivos!$L$2:$L$200,aditivos!$A$2:$A$200,A130,aditivos!$C$2:$C$200,"C0"),2))</f>
        <v/>
      </c>
      <c r="E130" s="159" t="str">
        <f t="shared" ref="E130:E161" si="72">IF(A130="","",ROUND(C130+D130,2))</f>
        <v/>
      </c>
      <c r="F130" s="159" t="str">
        <f>IF(A130="","",IF(itens_Remanesc!B130&lt;&gt;"",itens_Remanesc!B130,IF($Z130,0,"")))</f>
        <v/>
      </c>
      <c r="G130" s="167" t="str">
        <f t="shared" ref="G130:G161" si="73">IF(A130="","",IF($Y130="","",IF($Y130&gt;0,"",ROUND(E130,2))))</f>
        <v/>
      </c>
      <c r="H130" s="169" t="str">
        <f>IF(A130="","",ROUND(SUMIFS(aditivos!$L$2:$L$200,aditivos!$A$2:$A$200,A130,aditivos!$C$2:$C$200,"C1"),2))</f>
        <v/>
      </c>
      <c r="I130" s="165" t="str">
        <f t="shared" ref="I130:I161" si="74">IF(A130="","",ROUND(E130+H130,2))</f>
        <v/>
      </c>
      <c r="J130" s="165" t="str">
        <f>IF(A130="","",IF(itens_Remanesc!E130="","",itens_Remanesc!E130))</f>
        <v/>
      </c>
      <c r="K130" s="171" t="str">
        <f t="shared" ref="K130:K161" si="75">IF(A130="","",IF($Y130="","",IF($Y130&gt;1,"",IF(ISNUMBER(J130),ROUND(J130+H130,2),IF($Y130=1,ROUND(H130,2),"")))))</f>
        <v/>
      </c>
      <c r="L130" s="163" t="str">
        <f>IF(A130="","",ROUND(SUMIFS(aditivos!$L$2:$L$200,aditivos!$A$2:$A$200,A130,aditivos!$C$2:$C$200,"C2"),2))</f>
        <v/>
      </c>
      <c r="M130" s="159" t="str">
        <f t="shared" ref="M130:M161" si="76">IF(A130="","",ROUND(I130+L130,2))</f>
        <v/>
      </c>
      <c r="N130" s="159" t="str">
        <f>IF(A130="","",IF(itens_Remanesc!G130="","",itens_Remanesc!G130))</f>
        <v/>
      </c>
      <c r="O130" s="167" t="str">
        <f t="shared" ref="O130:O161" si="77">IF(A130="","",IF($Y130="","",IF($Y130&gt;2,"",IF(ISNUMBER(N130),ROUND(N130+L130,2),IF($Y130=2,ROUND(L130,2),"")))))</f>
        <v/>
      </c>
      <c r="P130" s="169" t="str">
        <f>IF(A130="","",ROUND(SUMIFS(aditivos!$L$2:$L$200,aditivos!$A$2:$A$200,A130,aditivos!$C$2:$C$200,"C3"),2))</f>
        <v/>
      </c>
      <c r="Q130" s="165" t="str">
        <f t="shared" ref="Q130:Q161" si="78">IF(A130="","",ROUND(M130+P130,2))</f>
        <v/>
      </c>
      <c r="R130" s="165" t="str">
        <f>IF(A130="","",IF(itens_Remanesc!I130="","",itens_Remanesc!I130))</f>
        <v/>
      </c>
      <c r="S130" s="171" t="str">
        <f t="shared" ref="S130:S161" si="79">IF(A130="","",IF($Y130="","",IF($Y130&gt;3,"",IF(ISNUMBER(R130),ROUND(R130+P130,2),IF($Y130=3,ROUND(P130,2),"")))))</f>
        <v/>
      </c>
      <c r="T130" s="163" t="str">
        <f>IF(A130="","",ROUND(SUMIFS(aditivos!$L$2:$L$200,aditivos!$A$2:$A$200,A130,aditivos!$C$2:$C$200,"C4"),2))</f>
        <v/>
      </c>
      <c r="U130" s="159" t="str">
        <f t="shared" ref="U130:U161" si="80">IF(A130="","",ROUND(Q130+T130,2))</f>
        <v/>
      </c>
      <c r="V130" s="159" t="str">
        <f>IF(A130="","",IF(itens_Remanesc!K130="","",itens_Remanesc!K130))</f>
        <v/>
      </c>
      <c r="W130" s="159" t="str">
        <f t="shared" ref="W130:W161" si="81">IF(A130="","",IF($Y130="","",IF($Y130&gt;4,"",IF(ISNUMBER(V130),ROUND(V130+T130,2),IF($Y130=4,ROUND(T130,2),"")))))</f>
        <v/>
      </c>
      <c r="X130" s="146" t="str">
        <f>IF(A130="","",IF(COUNTIF($A$2:$A$200,A130)&gt;1,"ALERTA: ITEM_DUPLICADO",IF(AND($Z130,ISNUMBER(itens_Remanesc!B130),itens_Remanesc!B130&lt;&gt;0),"NOVO ITEM COM BASE DIFERENTE DE 0 - AJUSTAR itens_Remanesc",IF(AND($Z130,NOT(ISNUMBER(itens_Remanesc!C130))),"NOVO ITEM SEM VU_ORIGINAL - INFORMAR EM itens_Remanesc",IF(MIN(E130,I130,M130,Q130,U130,G130,K130,O130,S130,W130)&lt;0,"ALERTA: POSICAO_NEGATIVA",IF(OR(AND(G130&lt;&gt;"",G130&gt;E130),AND(K130&lt;&gt;"",K130&gt;I130),AND(O130&lt;&gt;"",O130&gt;M130),AND(S130&lt;&gt;"",S130&gt;Q130),AND(W130&lt;&gt;"",W130&gt;U130)),"ALERTA: REMANESCENTE_SUPERA_POSICAO","OK"))))))</f>
        <v/>
      </c>
      <c r="Y130" t="str">
        <f t="shared" ref="Y130:Y161" si="82">IF($A130="","",IF($E130&gt;0,0,IF($I130&gt;0,1,IF($M130&gt;0,2,IF($Q130&gt;0,3,IF($U130&gt;0,4,""))))))</f>
        <v/>
      </c>
      <c r="Z130" t="b">
        <f t="shared" ref="Z130:Z161" si="83">IF($A130="",FALSE,AND(LEN(TRIM($A130))=4,LEFT(TRIM($A130),1)="N",ISNUMBER(--MID(TRIM($A130),2,3)),ISERROR(FIND(".",$A130)),ISERROR(FIND(",",$A130)),ISERROR(FIND("-",$A130)),ISERROR(FIND("+",$A130)),ISERROR(SEARCH("E",$A130,2)),ISERROR(FIND(" ",TRIM($A130)))))</f>
        <v>0</v>
      </c>
      <c r="AA130" s="208" t="str">
        <f>IF($A130="","",IF(COUNTIFS(aditivos!$A$2:$A$200,$A130,aditivos!$L$2:$L$200,"&lt;&gt;",aditivos!$L$2:$L$200,"&lt;&gt;0",aditivos!$B$2:$B$200,"&gt;0")=0,"",IFERROR(_xlfn.MINIFS(aditivos!$B$2:$B$200,aditivos!$A$2:$A$200,$A130,aditivos!$L$2:$L$200,"&lt;&gt;",aditivos!$L$2:$L$200,"&lt;&gt;0",aditivos!$B$2:$B$200,"&gt;0"),"")))</f>
        <v/>
      </c>
      <c r="AB130" t="str">
        <f>IF($A130="","",IF(OR(parametros!$C$2="",parametros!$I$2=""),0,ROUND(SUMIFS(aditivos!$L$2:$L$200,aditivos!$A$2:$A$200,$A130,aditivos!$C$2:$C$200,"C0",aditivos!$B$2:$B$200,"&gt;="&amp;(INT(parametros!$I$2)+1)),2)))</f>
        <v/>
      </c>
      <c r="AC130" t="str">
        <f>IF($A130="","",IF(OR(parametros!$C$3="",parametros!$I$3=""),0,ROUND(SUMIFS(aditivos!$L$2:$L$200,aditivos!$A$2:$A$200,$A130,aditivos!$C$2:$C$200,"C1",aditivos!$B$2:$B$200,"&gt;="&amp;(INT(parametros!$I$3)+1)),2)))</f>
        <v/>
      </c>
      <c r="AD130" t="str">
        <f>IF($A130="","",IF(OR(parametros!$C$4="",parametros!$I$4=""),0,ROUND(SUMIFS(aditivos!$L$2:$L$200,aditivos!$A$2:$A$200,$A130,aditivos!$C$2:$C$200,"C2",aditivos!$B$2:$B$200,"&gt;="&amp;(INT(parametros!$I$4)+1)),2)))</f>
        <v/>
      </c>
      <c r="AE130" t="str">
        <f>IF($A130="","",IF(OR(parametros!$C$5="",parametros!$I$5=""),0,ROUND(SUMIFS(aditivos!$L$2:$L$200,aditivos!$A$2:$A$200,$A130,aditivos!$C$2:$C$200,"C3",aditivos!$B$2:$B$200,"&gt;="&amp;(INT(parametros!$I$5)+1)),2)))</f>
        <v/>
      </c>
      <c r="AF130" t="str">
        <f>IF($A130="","",IF(OR(parametros!$C$6="",parametros!$I$6=""),0,ROUND(SUMIFS(aditivos!$L$2:$L$200,aditivos!$A$2:$A$200,$A130,aditivos!$C$2:$C$200,"C4",aditivos!$B$2:$B$200,"&gt;="&amp;(INT(parametros!$I$6)+1)),2)))</f>
        <v/>
      </c>
      <c r="AG130" t="str">
        <f t="shared" ref="AG130:AG161" si="84">IF($A130="","",IF(OR(NOT(ISNUMBER($E130)),NOT(ISNUMBER($AB130))),"",ROUND($E130-$AB130,2)))</f>
        <v/>
      </c>
      <c r="AH130" t="str">
        <f t="shared" ref="AH130:AH161" si="85">IF($A130="","",IF(OR(NOT(ISNUMBER($I130)),NOT(ISNUMBER($AC130))),"",ROUND($I130-$AC130,2)))</f>
        <v/>
      </c>
      <c r="AI130" t="str">
        <f t="shared" ref="AI130:AI161" si="86">IF($A130="","",IF(OR(NOT(ISNUMBER($M130)),NOT(ISNUMBER($AD130))),"",ROUND($M130-$AD130,2)))</f>
        <v/>
      </c>
      <c r="AJ130" t="str">
        <f t="shared" ref="AJ130:AJ161" si="87">IF($A130="","",IF(OR(NOT(ISNUMBER($Q130)),NOT(ISNUMBER($AE130))),"",ROUND($Q130-$AE130,2)))</f>
        <v/>
      </c>
      <c r="AK130" t="str">
        <f t="shared" ref="AK130:AK161" si="88">IF($A130="","",IF(OR(NOT(ISNUMBER($U130)),NOT(ISNUMBER($AF130))),"",ROUND($U130-$AF130,2)))</f>
        <v/>
      </c>
      <c r="AL130" t="str">
        <f t="shared" ref="AL130:AL161" si="89">IF($A130="","",IF(N($AG130)&gt;0,0,IF(N($AH130)&gt;0,1,IF(N($AI130)&gt;0,2,IF(N($AJ130)&gt;0,3,IF(N($AK130)&gt;0,4,""))))))</f>
        <v/>
      </c>
    </row>
    <row r="131" spans="1:38" x14ac:dyDescent="0.35">
      <c r="A131" s="146" t="str">
        <f>IF(itens_Remanesc!A131="","",itens_Remanesc!A131)</f>
        <v/>
      </c>
      <c r="B131" s="196" t="str">
        <f>IF(A131="","",itens_Remanesc!C131)</f>
        <v/>
      </c>
      <c r="C131" s="161" t="str">
        <f>IF(A131="","",IF(itens_Remanesc!B131="",0,itens_Remanesc!B131))</f>
        <v/>
      </c>
      <c r="D131" s="163" t="str">
        <f>IF(A131="","",ROUND(SUMIFS(aditivos!$L$2:$L$200,aditivos!$A$2:$A$200,A131,aditivos!$C$2:$C$200,"C0"),2))</f>
        <v/>
      </c>
      <c r="E131" s="159" t="str">
        <f t="shared" si="72"/>
        <v/>
      </c>
      <c r="F131" s="159" t="str">
        <f>IF(A131="","",IF(itens_Remanesc!B131&lt;&gt;"",itens_Remanesc!B131,IF($Z131,0,"")))</f>
        <v/>
      </c>
      <c r="G131" s="167" t="str">
        <f t="shared" si="73"/>
        <v/>
      </c>
      <c r="H131" s="169" t="str">
        <f>IF(A131="","",ROUND(SUMIFS(aditivos!$L$2:$L$200,aditivos!$A$2:$A$200,A131,aditivos!$C$2:$C$200,"C1"),2))</f>
        <v/>
      </c>
      <c r="I131" s="165" t="str">
        <f t="shared" si="74"/>
        <v/>
      </c>
      <c r="J131" s="165" t="str">
        <f>IF(A131="","",IF(itens_Remanesc!E131="","",itens_Remanesc!E131))</f>
        <v/>
      </c>
      <c r="K131" s="171" t="str">
        <f t="shared" si="75"/>
        <v/>
      </c>
      <c r="L131" s="163" t="str">
        <f>IF(A131="","",ROUND(SUMIFS(aditivos!$L$2:$L$200,aditivos!$A$2:$A$200,A131,aditivos!$C$2:$C$200,"C2"),2))</f>
        <v/>
      </c>
      <c r="M131" s="159" t="str">
        <f t="shared" si="76"/>
        <v/>
      </c>
      <c r="N131" s="159" t="str">
        <f>IF(A131="","",IF(itens_Remanesc!G131="","",itens_Remanesc!G131))</f>
        <v/>
      </c>
      <c r="O131" s="167" t="str">
        <f t="shared" si="77"/>
        <v/>
      </c>
      <c r="P131" s="169" t="str">
        <f>IF(A131="","",ROUND(SUMIFS(aditivos!$L$2:$L$200,aditivos!$A$2:$A$200,A131,aditivos!$C$2:$C$200,"C3"),2))</f>
        <v/>
      </c>
      <c r="Q131" s="165" t="str">
        <f t="shared" si="78"/>
        <v/>
      </c>
      <c r="R131" s="165" t="str">
        <f>IF(A131="","",IF(itens_Remanesc!I131="","",itens_Remanesc!I131))</f>
        <v/>
      </c>
      <c r="S131" s="171" t="str">
        <f t="shared" si="79"/>
        <v/>
      </c>
      <c r="T131" s="163" t="str">
        <f>IF(A131="","",ROUND(SUMIFS(aditivos!$L$2:$L$200,aditivos!$A$2:$A$200,A131,aditivos!$C$2:$C$200,"C4"),2))</f>
        <v/>
      </c>
      <c r="U131" s="159" t="str">
        <f t="shared" si="80"/>
        <v/>
      </c>
      <c r="V131" s="159" t="str">
        <f>IF(A131="","",IF(itens_Remanesc!K131="","",itens_Remanesc!K131))</f>
        <v/>
      </c>
      <c r="W131" s="159" t="str">
        <f t="shared" si="81"/>
        <v/>
      </c>
      <c r="X131" s="146" t="str">
        <f>IF(A131="","",IF(COUNTIF($A$2:$A$200,A131)&gt;1,"ALERTA: ITEM_DUPLICADO",IF(AND($Z131,ISNUMBER(itens_Remanesc!B131),itens_Remanesc!B131&lt;&gt;0),"NOVO ITEM COM BASE DIFERENTE DE 0 - AJUSTAR itens_Remanesc",IF(AND($Z131,NOT(ISNUMBER(itens_Remanesc!C131))),"NOVO ITEM SEM VU_ORIGINAL - INFORMAR EM itens_Remanesc",IF(MIN(E131,I131,M131,Q131,U131,G131,K131,O131,S131,W131)&lt;0,"ALERTA: POSICAO_NEGATIVA",IF(OR(AND(G131&lt;&gt;"",G131&gt;E131),AND(K131&lt;&gt;"",K131&gt;I131),AND(O131&lt;&gt;"",O131&gt;M131),AND(S131&lt;&gt;"",S131&gt;Q131),AND(W131&lt;&gt;"",W131&gt;U131)),"ALERTA: REMANESCENTE_SUPERA_POSICAO","OK"))))))</f>
        <v/>
      </c>
      <c r="Y131" t="str">
        <f t="shared" si="82"/>
        <v/>
      </c>
      <c r="Z131" t="b">
        <f t="shared" si="83"/>
        <v>0</v>
      </c>
      <c r="AA131" s="208" t="str">
        <f>IF($A131="","",IF(COUNTIFS(aditivos!$A$2:$A$200,$A131,aditivos!$L$2:$L$200,"&lt;&gt;",aditivos!$L$2:$L$200,"&lt;&gt;0",aditivos!$B$2:$B$200,"&gt;0")=0,"",IFERROR(_xlfn.MINIFS(aditivos!$B$2:$B$200,aditivos!$A$2:$A$200,$A131,aditivos!$L$2:$L$200,"&lt;&gt;",aditivos!$L$2:$L$200,"&lt;&gt;0",aditivos!$B$2:$B$200,"&gt;0"),"")))</f>
        <v/>
      </c>
      <c r="AB131" t="str">
        <f>IF($A131="","",IF(OR(parametros!$C$2="",parametros!$I$2=""),0,ROUND(SUMIFS(aditivos!$L$2:$L$200,aditivos!$A$2:$A$200,$A131,aditivos!$C$2:$C$200,"C0",aditivos!$B$2:$B$200,"&gt;="&amp;(INT(parametros!$I$2)+1)),2)))</f>
        <v/>
      </c>
      <c r="AC131" t="str">
        <f>IF($A131="","",IF(OR(parametros!$C$3="",parametros!$I$3=""),0,ROUND(SUMIFS(aditivos!$L$2:$L$200,aditivos!$A$2:$A$200,$A131,aditivos!$C$2:$C$200,"C1",aditivos!$B$2:$B$200,"&gt;="&amp;(INT(parametros!$I$3)+1)),2)))</f>
        <v/>
      </c>
      <c r="AD131" t="str">
        <f>IF($A131="","",IF(OR(parametros!$C$4="",parametros!$I$4=""),0,ROUND(SUMIFS(aditivos!$L$2:$L$200,aditivos!$A$2:$A$200,$A131,aditivos!$C$2:$C$200,"C2",aditivos!$B$2:$B$200,"&gt;="&amp;(INT(parametros!$I$4)+1)),2)))</f>
        <v/>
      </c>
      <c r="AE131" t="str">
        <f>IF($A131="","",IF(OR(parametros!$C$5="",parametros!$I$5=""),0,ROUND(SUMIFS(aditivos!$L$2:$L$200,aditivos!$A$2:$A$200,$A131,aditivos!$C$2:$C$200,"C3",aditivos!$B$2:$B$200,"&gt;="&amp;(INT(parametros!$I$5)+1)),2)))</f>
        <v/>
      </c>
      <c r="AF131" t="str">
        <f>IF($A131="","",IF(OR(parametros!$C$6="",parametros!$I$6=""),0,ROUND(SUMIFS(aditivos!$L$2:$L$200,aditivos!$A$2:$A$200,$A131,aditivos!$C$2:$C$200,"C4",aditivos!$B$2:$B$200,"&gt;="&amp;(INT(parametros!$I$6)+1)),2)))</f>
        <v/>
      </c>
      <c r="AG131" t="str">
        <f t="shared" si="84"/>
        <v/>
      </c>
      <c r="AH131" t="str">
        <f t="shared" si="85"/>
        <v/>
      </c>
      <c r="AI131" t="str">
        <f t="shared" si="86"/>
        <v/>
      </c>
      <c r="AJ131" t="str">
        <f t="shared" si="87"/>
        <v/>
      </c>
      <c r="AK131" t="str">
        <f t="shared" si="88"/>
        <v/>
      </c>
      <c r="AL131" t="str">
        <f t="shared" si="89"/>
        <v/>
      </c>
    </row>
    <row r="132" spans="1:38" x14ac:dyDescent="0.35">
      <c r="A132" s="146" t="str">
        <f>IF(itens_Remanesc!A132="","",itens_Remanesc!A132)</f>
        <v/>
      </c>
      <c r="B132" s="196" t="str">
        <f>IF(A132="","",itens_Remanesc!C132)</f>
        <v/>
      </c>
      <c r="C132" s="161" t="str">
        <f>IF(A132="","",IF(itens_Remanesc!B132="",0,itens_Remanesc!B132))</f>
        <v/>
      </c>
      <c r="D132" s="163" t="str">
        <f>IF(A132="","",ROUND(SUMIFS(aditivos!$L$2:$L$200,aditivos!$A$2:$A$200,A132,aditivos!$C$2:$C$200,"C0"),2))</f>
        <v/>
      </c>
      <c r="E132" s="159" t="str">
        <f t="shared" si="72"/>
        <v/>
      </c>
      <c r="F132" s="159" t="str">
        <f>IF(A132="","",IF(itens_Remanesc!B132&lt;&gt;"",itens_Remanesc!B132,IF($Z132,0,"")))</f>
        <v/>
      </c>
      <c r="G132" s="167" t="str">
        <f t="shared" si="73"/>
        <v/>
      </c>
      <c r="H132" s="169" t="str">
        <f>IF(A132="","",ROUND(SUMIFS(aditivos!$L$2:$L$200,aditivos!$A$2:$A$200,A132,aditivos!$C$2:$C$200,"C1"),2))</f>
        <v/>
      </c>
      <c r="I132" s="165" t="str">
        <f t="shared" si="74"/>
        <v/>
      </c>
      <c r="J132" s="165" t="str">
        <f>IF(A132="","",IF(itens_Remanesc!E132="","",itens_Remanesc!E132))</f>
        <v/>
      </c>
      <c r="K132" s="171" t="str">
        <f t="shared" si="75"/>
        <v/>
      </c>
      <c r="L132" s="163" t="str">
        <f>IF(A132="","",ROUND(SUMIFS(aditivos!$L$2:$L$200,aditivos!$A$2:$A$200,A132,aditivos!$C$2:$C$200,"C2"),2))</f>
        <v/>
      </c>
      <c r="M132" s="159" t="str">
        <f t="shared" si="76"/>
        <v/>
      </c>
      <c r="N132" s="159" t="str">
        <f>IF(A132="","",IF(itens_Remanesc!G132="","",itens_Remanesc!G132))</f>
        <v/>
      </c>
      <c r="O132" s="167" t="str">
        <f t="shared" si="77"/>
        <v/>
      </c>
      <c r="P132" s="169" t="str">
        <f>IF(A132="","",ROUND(SUMIFS(aditivos!$L$2:$L$200,aditivos!$A$2:$A$200,A132,aditivos!$C$2:$C$200,"C3"),2))</f>
        <v/>
      </c>
      <c r="Q132" s="165" t="str">
        <f t="shared" si="78"/>
        <v/>
      </c>
      <c r="R132" s="165" t="str">
        <f>IF(A132="","",IF(itens_Remanesc!I132="","",itens_Remanesc!I132))</f>
        <v/>
      </c>
      <c r="S132" s="171" t="str">
        <f t="shared" si="79"/>
        <v/>
      </c>
      <c r="T132" s="163" t="str">
        <f>IF(A132="","",ROUND(SUMIFS(aditivos!$L$2:$L$200,aditivos!$A$2:$A$200,A132,aditivos!$C$2:$C$200,"C4"),2))</f>
        <v/>
      </c>
      <c r="U132" s="159" t="str">
        <f t="shared" si="80"/>
        <v/>
      </c>
      <c r="V132" s="159" t="str">
        <f>IF(A132="","",IF(itens_Remanesc!K132="","",itens_Remanesc!K132))</f>
        <v/>
      </c>
      <c r="W132" s="159" t="str">
        <f t="shared" si="81"/>
        <v/>
      </c>
      <c r="X132" s="146" t="str">
        <f>IF(A132="","",IF(COUNTIF($A$2:$A$200,A132)&gt;1,"ALERTA: ITEM_DUPLICADO",IF(AND($Z132,ISNUMBER(itens_Remanesc!B132),itens_Remanesc!B132&lt;&gt;0),"NOVO ITEM COM BASE DIFERENTE DE 0 - AJUSTAR itens_Remanesc",IF(AND($Z132,NOT(ISNUMBER(itens_Remanesc!C132))),"NOVO ITEM SEM VU_ORIGINAL - INFORMAR EM itens_Remanesc",IF(MIN(E132,I132,M132,Q132,U132,G132,K132,O132,S132,W132)&lt;0,"ALERTA: POSICAO_NEGATIVA",IF(OR(AND(G132&lt;&gt;"",G132&gt;E132),AND(K132&lt;&gt;"",K132&gt;I132),AND(O132&lt;&gt;"",O132&gt;M132),AND(S132&lt;&gt;"",S132&gt;Q132),AND(W132&lt;&gt;"",W132&gt;U132)),"ALERTA: REMANESCENTE_SUPERA_POSICAO","OK"))))))</f>
        <v/>
      </c>
      <c r="Y132" t="str">
        <f t="shared" si="82"/>
        <v/>
      </c>
      <c r="Z132" t="b">
        <f t="shared" si="83"/>
        <v>0</v>
      </c>
      <c r="AA132" s="208" t="str">
        <f>IF($A132="","",IF(COUNTIFS(aditivos!$A$2:$A$200,$A132,aditivos!$L$2:$L$200,"&lt;&gt;",aditivos!$L$2:$L$200,"&lt;&gt;0",aditivos!$B$2:$B$200,"&gt;0")=0,"",IFERROR(_xlfn.MINIFS(aditivos!$B$2:$B$200,aditivos!$A$2:$A$200,$A132,aditivos!$L$2:$L$200,"&lt;&gt;",aditivos!$L$2:$L$200,"&lt;&gt;0",aditivos!$B$2:$B$200,"&gt;0"),"")))</f>
        <v/>
      </c>
      <c r="AB132" t="str">
        <f>IF($A132="","",IF(OR(parametros!$C$2="",parametros!$I$2=""),0,ROUND(SUMIFS(aditivos!$L$2:$L$200,aditivos!$A$2:$A$200,$A132,aditivos!$C$2:$C$200,"C0",aditivos!$B$2:$B$200,"&gt;="&amp;(INT(parametros!$I$2)+1)),2)))</f>
        <v/>
      </c>
      <c r="AC132" t="str">
        <f>IF($A132="","",IF(OR(parametros!$C$3="",parametros!$I$3=""),0,ROUND(SUMIFS(aditivos!$L$2:$L$200,aditivos!$A$2:$A$200,$A132,aditivos!$C$2:$C$200,"C1",aditivos!$B$2:$B$200,"&gt;="&amp;(INT(parametros!$I$3)+1)),2)))</f>
        <v/>
      </c>
      <c r="AD132" t="str">
        <f>IF($A132="","",IF(OR(parametros!$C$4="",parametros!$I$4=""),0,ROUND(SUMIFS(aditivos!$L$2:$L$200,aditivos!$A$2:$A$200,$A132,aditivos!$C$2:$C$200,"C2",aditivos!$B$2:$B$200,"&gt;="&amp;(INT(parametros!$I$4)+1)),2)))</f>
        <v/>
      </c>
      <c r="AE132" t="str">
        <f>IF($A132="","",IF(OR(parametros!$C$5="",parametros!$I$5=""),0,ROUND(SUMIFS(aditivos!$L$2:$L$200,aditivos!$A$2:$A$200,$A132,aditivos!$C$2:$C$200,"C3",aditivos!$B$2:$B$200,"&gt;="&amp;(INT(parametros!$I$5)+1)),2)))</f>
        <v/>
      </c>
      <c r="AF132" t="str">
        <f>IF($A132="","",IF(OR(parametros!$C$6="",parametros!$I$6=""),0,ROUND(SUMIFS(aditivos!$L$2:$L$200,aditivos!$A$2:$A$200,$A132,aditivos!$C$2:$C$200,"C4",aditivos!$B$2:$B$200,"&gt;="&amp;(INT(parametros!$I$6)+1)),2)))</f>
        <v/>
      </c>
      <c r="AG132" t="str">
        <f t="shared" si="84"/>
        <v/>
      </c>
      <c r="AH132" t="str">
        <f t="shared" si="85"/>
        <v/>
      </c>
      <c r="AI132" t="str">
        <f t="shared" si="86"/>
        <v/>
      </c>
      <c r="AJ132" t="str">
        <f t="shared" si="87"/>
        <v/>
      </c>
      <c r="AK132" t="str">
        <f t="shared" si="88"/>
        <v/>
      </c>
      <c r="AL132" t="str">
        <f t="shared" si="89"/>
        <v/>
      </c>
    </row>
    <row r="133" spans="1:38" x14ac:dyDescent="0.35">
      <c r="A133" s="146" t="str">
        <f>IF(itens_Remanesc!A133="","",itens_Remanesc!A133)</f>
        <v/>
      </c>
      <c r="B133" s="196" t="str">
        <f>IF(A133="","",itens_Remanesc!C133)</f>
        <v/>
      </c>
      <c r="C133" s="161" t="str">
        <f>IF(A133="","",IF(itens_Remanesc!B133="",0,itens_Remanesc!B133))</f>
        <v/>
      </c>
      <c r="D133" s="163" t="str">
        <f>IF(A133="","",ROUND(SUMIFS(aditivos!$L$2:$L$200,aditivos!$A$2:$A$200,A133,aditivos!$C$2:$C$200,"C0"),2))</f>
        <v/>
      </c>
      <c r="E133" s="159" t="str">
        <f t="shared" si="72"/>
        <v/>
      </c>
      <c r="F133" s="159" t="str">
        <f>IF(A133="","",IF(itens_Remanesc!B133&lt;&gt;"",itens_Remanesc!B133,IF($Z133,0,"")))</f>
        <v/>
      </c>
      <c r="G133" s="167" t="str">
        <f t="shared" si="73"/>
        <v/>
      </c>
      <c r="H133" s="169" t="str">
        <f>IF(A133="","",ROUND(SUMIFS(aditivos!$L$2:$L$200,aditivos!$A$2:$A$200,A133,aditivos!$C$2:$C$200,"C1"),2))</f>
        <v/>
      </c>
      <c r="I133" s="165" t="str">
        <f t="shared" si="74"/>
        <v/>
      </c>
      <c r="J133" s="165" t="str">
        <f>IF(A133="","",IF(itens_Remanesc!E133="","",itens_Remanesc!E133))</f>
        <v/>
      </c>
      <c r="K133" s="171" t="str">
        <f t="shared" si="75"/>
        <v/>
      </c>
      <c r="L133" s="163" t="str">
        <f>IF(A133="","",ROUND(SUMIFS(aditivos!$L$2:$L$200,aditivos!$A$2:$A$200,A133,aditivos!$C$2:$C$200,"C2"),2))</f>
        <v/>
      </c>
      <c r="M133" s="159" t="str">
        <f t="shared" si="76"/>
        <v/>
      </c>
      <c r="N133" s="159" t="str">
        <f>IF(A133="","",IF(itens_Remanesc!G133="","",itens_Remanesc!G133))</f>
        <v/>
      </c>
      <c r="O133" s="167" t="str">
        <f t="shared" si="77"/>
        <v/>
      </c>
      <c r="P133" s="169" t="str">
        <f>IF(A133="","",ROUND(SUMIFS(aditivos!$L$2:$L$200,aditivos!$A$2:$A$200,A133,aditivos!$C$2:$C$200,"C3"),2))</f>
        <v/>
      </c>
      <c r="Q133" s="165" t="str">
        <f t="shared" si="78"/>
        <v/>
      </c>
      <c r="R133" s="165" t="str">
        <f>IF(A133="","",IF(itens_Remanesc!I133="","",itens_Remanesc!I133))</f>
        <v/>
      </c>
      <c r="S133" s="171" t="str">
        <f t="shared" si="79"/>
        <v/>
      </c>
      <c r="T133" s="163" t="str">
        <f>IF(A133="","",ROUND(SUMIFS(aditivos!$L$2:$L$200,aditivos!$A$2:$A$200,A133,aditivos!$C$2:$C$200,"C4"),2))</f>
        <v/>
      </c>
      <c r="U133" s="159" t="str">
        <f t="shared" si="80"/>
        <v/>
      </c>
      <c r="V133" s="159" t="str">
        <f>IF(A133="","",IF(itens_Remanesc!K133="","",itens_Remanesc!K133))</f>
        <v/>
      </c>
      <c r="W133" s="159" t="str">
        <f t="shared" si="81"/>
        <v/>
      </c>
      <c r="X133" s="146" t="str">
        <f>IF(A133="","",IF(COUNTIF($A$2:$A$200,A133)&gt;1,"ALERTA: ITEM_DUPLICADO",IF(AND($Z133,ISNUMBER(itens_Remanesc!B133),itens_Remanesc!B133&lt;&gt;0),"NOVO ITEM COM BASE DIFERENTE DE 0 - AJUSTAR itens_Remanesc",IF(AND($Z133,NOT(ISNUMBER(itens_Remanesc!C133))),"NOVO ITEM SEM VU_ORIGINAL - INFORMAR EM itens_Remanesc",IF(MIN(E133,I133,M133,Q133,U133,G133,K133,O133,S133,W133)&lt;0,"ALERTA: POSICAO_NEGATIVA",IF(OR(AND(G133&lt;&gt;"",G133&gt;E133),AND(K133&lt;&gt;"",K133&gt;I133),AND(O133&lt;&gt;"",O133&gt;M133),AND(S133&lt;&gt;"",S133&gt;Q133),AND(W133&lt;&gt;"",W133&gt;U133)),"ALERTA: REMANESCENTE_SUPERA_POSICAO","OK"))))))</f>
        <v/>
      </c>
      <c r="Y133" t="str">
        <f t="shared" si="82"/>
        <v/>
      </c>
      <c r="Z133" t="b">
        <f t="shared" si="83"/>
        <v>0</v>
      </c>
      <c r="AA133" s="208" t="str">
        <f>IF($A133="","",IF(COUNTIFS(aditivos!$A$2:$A$200,$A133,aditivos!$L$2:$L$200,"&lt;&gt;",aditivos!$L$2:$L$200,"&lt;&gt;0",aditivos!$B$2:$B$200,"&gt;0")=0,"",IFERROR(_xlfn.MINIFS(aditivos!$B$2:$B$200,aditivos!$A$2:$A$200,$A133,aditivos!$L$2:$L$200,"&lt;&gt;",aditivos!$L$2:$L$200,"&lt;&gt;0",aditivos!$B$2:$B$200,"&gt;0"),"")))</f>
        <v/>
      </c>
      <c r="AB133" t="str">
        <f>IF($A133="","",IF(OR(parametros!$C$2="",parametros!$I$2=""),0,ROUND(SUMIFS(aditivos!$L$2:$L$200,aditivos!$A$2:$A$200,$A133,aditivos!$C$2:$C$200,"C0",aditivos!$B$2:$B$200,"&gt;="&amp;(INT(parametros!$I$2)+1)),2)))</f>
        <v/>
      </c>
      <c r="AC133" t="str">
        <f>IF($A133="","",IF(OR(parametros!$C$3="",parametros!$I$3=""),0,ROUND(SUMIFS(aditivos!$L$2:$L$200,aditivos!$A$2:$A$200,$A133,aditivos!$C$2:$C$200,"C1",aditivos!$B$2:$B$200,"&gt;="&amp;(INT(parametros!$I$3)+1)),2)))</f>
        <v/>
      </c>
      <c r="AD133" t="str">
        <f>IF($A133="","",IF(OR(parametros!$C$4="",parametros!$I$4=""),0,ROUND(SUMIFS(aditivos!$L$2:$L$200,aditivos!$A$2:$A$200,$A133,aditivos!$C$2:$C$200,"C2",aditivos!$B$2:$B$200,"&gt;="&amp;(INT(parametros!$I$4)+1)),2)))</f>
        <v/>
      </c>
      <c r="AE133" t="str">
        <f>IF($A133="","",IF(OR(parametros!$C$5="",parametros!$I$5=""),0,ROUND(SUMIFS(aditivos!$L$2:$L$200,aditivos!$A$2:$A$200,$A133,aditivos!$C$2:$C$200,"C3",aditivos!$B$2:$B$200,"&gt;="&amp;(INT(parametros!$I$5)+1)),2)))</f>
        <v/>
      </c>
      <c r="AF133" t="str">
        <f>IF($A133="","",IF(OR(parametros!$C$6="",parametros!$I$6=""),0,ROUND(SUMIFS(aditivos!$L$2:$L$200,aditivos!$A$2:$A$200,$A133,aditivos!$C$2:$C$200,"C4",aditivos!$B$2:$B$200,"&gt;="&amp;(INT(parametros!$I$6)+1)),2)))</f>
        <v/>
      </c>
      <c r="AG133" t="str">
        <f t="shared" si="84"/>
        <v/>
      </c>
      <c r="AH133" t="str">
        <f t="shared" si="85"/>
        <v/>
      </c>
      <c r="AI133" t="str">
        <f t="shared" si="86"/>
        <v/>
      </c>
      <c r="AJ133" t="str">
        <f t="shared" si="87"/>
        <v/>
      </c>
      <c r="AK133" t="str">
        <f t="shared" si="88"/>
        <v/>
      </c>
      <c r="AL133" t="str">
        <f t="shared" si="89"/>
        <v/>
      </c>
    </row>
    <row r="134" spans="1:38" x14ac:dyDescent="0.35">
      <c r="A134" s="146" t="str">
        <f>IF(itens_Remanesc!A134="","",itens_Remanesc!A134)</f>
        <v/>
      </c>
      <c r="B134" s="196" t="str">
        <f>IF(A134="","",itens_Remanesc!C134)</f>
        <v/>
      </c>
      <c r="C134" s="161" t="str">
        <f>IF(A134="","",IF(itens_Remanesc!B134="",0,itens_Remanesc!B134))</f>
        <v/>
      </c>
      <c r="D134" s="163" t="str">
        <f>IF(A134="","",ROUND(SUMIFS(aditivos!$L$2:$L$200,aditivos!$A$2:$A$200,A134,aditivos!$C$2:$C$200,"C0"),2))</f>
        <v/>
      </c>
      <c r="E134" s="159" t="str">
        <f t="shared" si="72"/>
        <v/>
      </c>
      <c r="F134" s="159" t="str">
        <f>IF(A134="","",IF(itens_Remanesc!B134&lt;&gt;"",itens_Remanesc!B134,IF($Z134,0,"")))</f>
        <v/>
      </c>
      <c r="G134" s="167" t="str">
        <f t="shared" si="73"/>
        <v/>
      </c>
      <c r="H134" s="169" t="str">
        <f>IF(A134="","",ROUND(SUMIFS(aditivos!$L$2:$L$200,aditivos!$A$2:$A$200,A134,aditivos!$C$2:$C$200,"C1"),2))</f>
        <v/>
      </c>
      <c r="I134" s="165" t="str">
        <f t="shared" si="74"/>
        <v/>
      </c>
      <c r="J134" s="165" t="str">
        <f>IF(A134="","",IF(itens_Remanesc!E134="","",itens_Remanesc!E134))</f>
        <v/>
      </c>
      <c r="K134" s="171" t="str">
        <f t="shared" si="75"/>
        <v/>
      </c>
      <c r="L134" s="163" t="str">
        <f>IF(A134="","",ROUND(SUMIFS(aditivos!$L$2:$L$200,aditivos!$A$2:$A$200,A134,aditivos!$C$2:$C$200,"C2"),2))</f>
        <v/>
      </c>
      <c r="M134" s="159" t="str">
        <f t="shared" si="76"/>
        <v/>
      </c>
      <c r="N134" s="159" t="str">
        <f>IF(A134="","",IF(itens_Remanesc!G134="","",itens_Remanesc!G134))</f>
        <v/>
      </c>
      <c r="O134" s="167" t="str">
        <f t="shared" si="77"/>
        <v/>
      </c>
      <c r="P134" s="169" t="str">
        <f>IF(A134="","",ROUND(SUMIFS(aditivos!$L$2:$L$200,aditivos!$A$2:$A$200,A134,aditivos!$C$2:$C$200,"C3"),2))</f>
        <v/>
      </c>
      <c r="Q134" s="165" t="str">
        <f t="shared" si="78"/>
        <v/>
      </c>
      <c r="R134" s="165" t="str">
        <f>IF(A134="","",IF(itens_Remanesc!I134="","",itens_Remanesc!I134))</f>
        <v/>
      </c>
      <c r="S134" s="171" t="str">
        <f t="shared" si="79"/>
        <v/>
      </c>
      <c r="T134" s="163" t="str">
        <f>IF(A134="","",ROUND(SUMIFS(aditivos!$L$2:$L$200,aditivos!$A$2:$A$200,A134,aditivos!$C$2:$C$200,"C4"),2))</f>
        <v/>
      </c>
      <c r="U134" s="159" t="str">
        <f t="shared" si="80"/>
        <v/>
      </c>
      <c r="V134" s="159" t="str">
        <f>IF(A134="","",IF(itens_Remanesc!K134="","",itens_Remanesc!K134))</f>
        <v/>
      </c>
      <c r="W134" s="159" t="str">
        <f t="shared" si="81"/>
        <v/>
      </c>
      <c r="X134" s="146" t="str">
        <f>IF(A134="","",IF(COUNTIF($A$2:$A$200,A134)&gt;1,"ALERTA: ITEM_DUPLICADO",IF(AND($Z134,ISNUMBER(itens_Remanesc!B134),itens_Remanesc!B134&lt;&gt;0),"NOVO ITEM COM BASE DIFERENTE DE 0 - AJUSTAR itens_Remanesc",IF(AND($Z134,NOT(ISNUMBER(itens_Remanesc!C134))),"NOVO ITEM SEM VU_ORIGINAL - INFORMAR EM itens_Remanesc",IF(MIN(E134,I134,M134,Q134,U134,G134,K134,O134,S134,W134)&lt;0,"ALERTA: POSICAO_NEGATIVA",IF(OR(AND(G134&lt;&gt;"",G134&gt;E134),AND(K134&lt;&gt;"",K134&gt;I134),AND(O134&lt;&gt;"",O134&gt;M134),AND(S134&lt;&gt;"",S134&gt;Q134),AND(W134&lt;&gt;"",W134&gt;U134)),"ALERTA: REMANESCENTE_SUPERA_POSICAO","OK"))))))</f>
        <v/>
      </c>
      <c r="Y134" t="str">
        <f t="shared" si="82"/>
        <v/>
      </c>
      <c r="Z134" t="b">
        <f t="shared" si="83"/>
        <v>0</v>
      </c>
      <c r="AA134" s="208" t="str">
        <f>IF($A134="","",IF(COUNTIFS(aditivos!$A$2:$A$200,$A134,aditivos!$L$2:$L$200,"&lt;&gt;",aditivos!$L$2:$L$200,"&lt;&gt;0",aditivos!$B$2:$B$200,"&gt;0")=0,"",IFERROR(_xlfn.MINIFS(aditivos!$B$2:$B$200,aditivos!$A$2:$A$200,$A134,aditivos!$L$2:$L$200,"&lt;&gt;",aditivos!$L$2:$L$200,"&lt;&gt;0",aditivos!$B$2:$B$200,"&gt;0"),"")))</f>
        <v/>
      </c>
      <c r="AB134" t="str">
        <f>IF($A134="","",IF(OR(parametros!$C$2="",parametros!$I$2=""),0,ROUND(SUMIFS(aditivos!$L$2:$L$200,aditivos!$A$2:$A$200,$A134,aditivos!$C$2:$C$200,"C0",aditivos!$B$2:$B$200,"&gt;="&amp;(INT(parametros!$I$2)+1)),2)))</f>
        <v/>
      </c>
      <c r="AC134" t="str">
        <f>IF($A134="","",IF(OR(parametros!$C$3="",parametros!$I$3=""),0,ROUND(SUMIFS(aditivos!$L$2:$L$200,aditivos!$A$2:$A$200,$A134,aditivos!$C$2:$C$200,"C1",aditivos!$B$2:$B$200,"&gt;="&amp;(INT(parametros!$I$3)+1)),2)))</f>
        <v/>
      </c>
      <c r="AD134" t="str">
        <f>IF($A134="","",IF(OR(parametros!$C$4="",parametros!$I$4=""),0,ROUND(SUMIFS(aditivos!$L$2:$L$200,aditivos!$A$2:$A$200,$A134,aditivos!$C$2:$C$200,"C2",aditivos!$B$2:$B$200,"&gt;="&amp;(INT(parametros!$I$4)+1)),2)))</f>
        <v/>
      </c>
      <c r="AE134" t="str">
        <f>IF($A134="","",IF(OR(parametros!$C$5="",parametros!$I$5=""),0,ROUND(SUMIFS(aditivos!$L$2:$L$200,aditivos!$A$2:$A$200,$A134,aditivos!$C$2:$C$200,"C3",aditivos!$B$2:$B$200,"&gt;="&amp;(INT(parametros!$I$5)+1)),2)))</f>
        <v/>
      </c>
      <c r="AF134" t="str">
        <f>IF($A134="","",IF(OR(parametros!$C$6="",parametros!$I$6=""),0,ROUND(SUMIFS(aditivos!$L$2:$L$200,aditivos!$A$2:$A$200,$A134,aditivos!$C$2:$C$200,"C4",aditivos!$B$2:$B$200,"&gt;="&amp;(INT(parametros!$I$6)+1)),2)))</f>
        <v/>
      </c>
      <c r="AG134" t="str">
        <f t="shared" si="84"/>
        <v/>
      </c>
      <c r="AH134" t="str">
        <f t="shared" si="85"/>
        <v/>
      </c>
      <c r="AI134" t="str">
        <f t="shared" si="86"/>
        <v/>
      </c>
      <c r="AJ134" t="str">
        <f t="shared" si="87"/>
        <v/>
      </c>
      <c r="AK134" t="str">
        <f t="shared" si="88"/>
        <v/>
      </c>
      <c r="AL134" t="str">
        <f t="shared" si="89"/>
        <v/>
      </c>
    </row>
    <row r="135" spans="1:38" x14ac:dyDescent="0.35">
      <c r="A135" s="146" t="str">
        <f>IF(itens_Remanesc!A135="","",itens_Remanesc!A135)</f>
        <v/>
      </c>
      <c r="B135" s="196" t="str">
        <f>IF(A135="","",itens_Remanesc!C135)</f>
        <v/>
      </c>
      <c r="C135" s="161" t="str">
        <f>IF(A135="","",IF(itens_Remanesc!B135="",0,itens_Remanesc!B135))</f>
        <v/>
      </c>
      <c r="D135" s="163" t="str">
        <f>IF(A135="","",ROUND(SUMIFS(aditivos!$L$2:$L$200,aditivos!$A$2:$A$200,A135,aditivos!$C$2:$C$200,"C0"),2))</f>
        <v/>
      </c>
      <c r="E135" s="159" t="str">
        <f t="shared" si="72"/>
        <v/>
      </c>
      <c r="F135" s="159" t="str">
        <f>IF(A135="","",IF(itens_Remanesc!B135&lt;&gt;"",itens_Remanesc!B135,IF($Z135,0,"")))</f>
        <v/>
      </c>
      <c r="G135" s="167" t="str">
        <f t="shared" si="73"/>
        <v/>
      </c>
      <c r="H135" s="169" t="str">
        <f>IF(A135="","",ROUND(SUMIFS(aditivos!$L$2:$L$200,aditivos!$A$2:$A$200,A135,aditivos!$C$2:$C$200,"C1"),2))</f>
        <v/>
      </c>
      <c r="I135" s="165" t="str">
        <f t="shared" si="74"/>
        <v/>
      </c>
      <c r="J135" s="165" t="str">
        <f>IF(A135="","",IF(itens_Remanesc!E135="","",itens_Remanesc!E135))</f>
        <v/>
      </c>
      <c r="K135" s="171" t="str">
        <f t="shared" si="75"/>
        <v/>
      </c>
      <c r="L135" s="163" t="str">
        <f>IF(A135="","",ROUND(SUMIFS(aditivos!$L$2:$L$200,aditivos!$A$2:$A$200,A135,aditivos!$C$2:$C$200,"C2"),2))</f>
        <v/>
      </c>
      <c r="M135" s="159" t="str">
        <f t="shared" si="76"/>
        <v/>
      </c>
      <c r="N135" s="159" t="str">
        <f>IF(A135="","",IF(itens_Remanesc!G135="","",itens_Remanesc!G135))</f>
        <v/>
      </c>
      <c r="O135" s="167" t="str">
        <f t="shared" si="77"/>
        <v/>
      </c>
      <c r="P135" s="169" t="str">
        <f>IF(A135="","",ROUND(SUMIFS(aditivos!$L$2:$L$200,aditivos!$A$2:$A$200,A135,aditivos!$C$2:$C$200,"C3"),2))</f>
        <v/>
      </c>
      <c r="Q135" s="165" t="str">
        <f t="shared" si="78"/>
        <v/>
      </c>
      <c r="R135" s="165" t="str">
        <f>IF(A135="","",IF(itens_Remanesc!I135="","",itens_Remanesc!I135))</f>
        <v/>
      </c>
      <c r="S135" s="171" t="str">
        <f t="shared" si="79"/>
        <v/>
      </c>
      <c r="T135" s="163" t="str">
        <f>IF(A135="","",ROUND(SUMIFS(aditivos!$L$2:$L$200,aditivos!$A$2:$A$200,A135,aditivos!$C$2:$C$200,"C4"),2))</f>
        <v/>
      </c>
      <c r="U135" s="159" t="str">
        <f t="shared" si="80"/>
        <v/>
      </c>
      <c r="V135" s="159" t="str">
        <f>IF(A135="","",IF(itens_Remanesc!K135="","",itens_Remanesc!K135))</f>
        <v/>
      </c>
      <c r="W135" s="159" t="str">
        <f t="shared" si="81"/>
        <v/>
      </c>
      <c r="X135" s="146" t="str">
        <f>IF(A135="","",IF(COUNTIF($A$2:$A$200,A135)&gt;1,"ALERTA: ITEM_DUPLICADO",IF(AND($Z135,ISNUMBER(itens_Remanesc!B135),itens_Remanesc!B135&lt;&gt;0),"NOVO ITEM COM BASE DIFERENTE DE 0 - AJUSTAR itens_Remanesc",IF(AND($Z135,NOT(ISNUMBER(itens_Remanesc!C135))),"NOVO ITEM SEM VU_ORIGINAL - INFORMAR EM itens_Remanesc",IF(MIN(E135,I135,M135,Q135,U135,G135,K135,O135,S135,W135)&lt;0,"ALERTA: POSICAO_NEGATIVA",IF(OR(AND(G135&lt;&gt;"",G135&gt;E135),AND(K135&lt;&gt;"",K135&gt;I135),AND(O135&lt;&gt;"",O135&gt;M135),AND(S135&lt;&gt;"",S135&gt;Q135),AND(W135&lt;&gt;"",W135&gt;U135)),"ALERTA: REMANESCENTE_SUPERA_POSICAO","OK"))))))</f>
        <v/>
      </c>
      <c r="Y135" t="str">
        <f t="shared" si="82"/>
        <v/>
      </c>
      <c r="Z135" t="b">
        <f t="shared" si="83"/>
        <v>0</v>
      </c>
      <c r="AA135" s="208" t="str">
        <f>IF($A135="","",IF(COUNTIFS(aditivos!$A$2:$A$200,$A135,aditivos!$L$2:$L$200,"&lt;&gt;",aditivos!$L$2:$L$200,"&lt;&gt;0",aditivos!$B$2:$B$200,"&gt;0")=0,"",IFERROR(_xlfn.MINIFS(aditivos!$B$2:$B$200,aditivos!$A$2:$A$200,$A135,aditivos!$L$2:$L$200,"&lt;&gt;",aditivos!$L$2:$L$200,"&lt;&gt;0",aditivos!$B$2:$B$200,"&gt;0"),"")))</f>
        <v/>
      </c>
      <c r="AB135" t="str">
        <f>IF($A135="","",IF(OR(parametros!$C$2="",parametros!$I$2=""),0,ROUND(SUMIFS(aditivos!$L$2:$L$200,aditivos!$A$2:$A$200,$A135,aditivos!$C$2:$C$200,"C0",aditivos!$B$2:$B$200,"&gt;="&amp;(INT(parametros!$I$2)+1)),2)))</f>
        <v/>
      </c>
      <c r="AC135" t="str">
        <f>IF($A135="","",IF(OR(parametros!$C$3="",parametros!$I$3=""),0,ROUND(SUMIFS(aditivos!$L$2:$L$200,aditivos!$A$2:$A$200,$A135,aditivos!$C$2:$C$200,"C1",aditivos!$B$2:$B$200,"&gt;="&amp;(INT(parametros!$I$3)+1)),2)))</f>
        <v/>
      </c>
      <c r="AD135" t="str">
        <f>IF($A135="","",IF(OR(parametros!$C$4="",parametros!$I$4=""),0,ROUND(SUMIFS(aditivos!$L$2:$L$200,aditivos!$A$2:$A$200,$A135,aditivos!$C$2:$C$200,"C2",aditivos!$B$2:$B$200,"&gt;="&amp;(INT(parametros!$I$4)+1)),2)))</f>
        <v/>
      </c>
      <c r="AE135" t="str">
        <f>IF($A135="","",IF(OR(parametros!$C$5="",parametros!$I$5=""),0,ROUND(SUMIFS(aditivos!$L$2:$L$200,aditivos!$A$2:$A$200,$A135,aditivos!$C$2:$C$200,"C3",aditivos!$B$2:$B$200,"&gt;="&amp;(INT(parametros!$I$5)+1)),2)))</f>
        <v/>
      </c>
      <c r="AF135" t="str">
        <f>IF($A135="","",IF(OR(parametros!$C$6="",parametros!$I$6=""),0,ROUND(SUMIFS(aditivos!$L$2:$L$200,aditivos!$A$2:$A$200,$A135,aditivos!$C$2:$C$200,"C4",aditivos!$B$2:$B$200,"&gt;="&amp;(INT(parametros!$I$6)+1)),2)))</f>
        <v/>
      </c>
      <c r="AG135" t="str">
        <f t="shared" si="84"/>
        <v/>
      </c>
      <c r="AH135" t="str">
        <f t="shared" si="85"/>
        <v/>
      </c>
      <c r="AI135" t="str">
        <f t="shared" si="86"/>
        <v/>
      </c>
      <c r="AJ135" t="str">
        <f t="shared" si="87"/>
        <v/>
      </c>
      <c r="AK135" t="str">
        <f t="shared" si="88"/>
        <v/>
      </c>
      <c r="AL135" t="str">
        <f t="shared" si="89"/>
        <v/>
      </c>
    </row>
    <row r="136" spans="1:38" x14ac:dyDescent="0.35">
      <c r="A136" s="146" t="str">
        <f>IF(itens_Remanesc!A136="","",itens_Remanesc!A136)</f>
        <v/>
      </c>
      <c r="B136" s="196" t="str">
        <f>IF(A136="","",itens_Remanesc!C136)</f>
        <v/>
      </c>
      <c r="C136" s="161" t="str">
        <f>IF(A136="","",IF(itens_Remanesc!B136="",0,itens_Remanesc!B136))</f>
        <v/>
      </c>
      <c r="D136" s="163" t="str">
        <f>IF(A136="","",ROUND(SUMIFS(aditivos!$L$2:$L$200,aditivos!$A$2:$A$200,A136,aditivos!$C$2:$C$200,"C0"),2))</f>
        <v/>
      </c>
      <c r="E136" s="159" t="str">
        <f t="shared" si="72"/>
        <v/>
      </c>
      <c r="F136" s="159" t="str">
        <f>IF(A136="","",IF(itens_Remanesc!B136&lt;&gt;"",itens_Remanesc!B136,IF($Z136,0,"")))</f>
        <v/>
      </c>
      <c r="G136" s="167" t="str">
        <f t="shared" si="73"/>
        <v/>
      </c>
      <c r="H136" s="169" t="str">
        <f>IF(A136="","",ROUND(SUMIFS(aditivos!$L$2:$L$200,aditivos!$A$2:$A$200,A136,aditivos!$C$2:$C$200,"C1"),2))</f>
        <v/>
      </c>
      <c r="I136" s="165" t="str">
        <f t="shared" si="74"/>
        <v/>
      </c>
      <c r="J136" s="165" t="str">
        <f>IF(A136="","",IF(itens_Remanesc!E136="","",itens_Remanesc!E136))</f>
        <v/>
      </c>
      <c r="K136" s="171" t="str">
        <f t="shared" si="75"/>
        <v/>
      </c>
      <c r="L136" s="163" t="str">
        <f>IF(A136="","",ROUND(SUMIFS(aditivos!$L$2:$L$200,aditivos!$A$2:$A$200,A136,aditivos!$C$2:$C$200,"C2"),2))</f>
        <v/>
      </c>
      <c r="M136" s="159" t="str">
        <f t="shared" si="76"/>
        <v/>
      </c>
      <c r="N136" s="159" t="str">
        <f>IF(A136="","",IF(itens_Remanesc!G136="","",itens_Remanesc!G136))</f>
        <v/>
      </c>
      <c r="O136" s="167" t="str">
        <f t="shared" si="77"/>
        <v/>
      </c>
      <c r="P136" s="169" t="str">
        <f>IF(A136="","",ROUND(SUMIFS(aditivos!$L$2:$L$200,aditivos!$A$2:$A$200,A136,aditivos!$C$2:$C$200,"C3"),2))</f>
        <v/>
      </c>
      <c r="Q136" s="165" t="str">
        <f t="shared" si="78"/>
        <v/>
      </c>
      <c r="R136" s="165" t="str">
        <f>IF(A136="","",IF(itens_Remanesc!I136="","",itens_Remanesc!I136))</f>
        <v/>
      </c>
      <c r="S136" s="171" t="str">
        <f t="shared" si="79"/>
        <v/>
      </c>
      <c r="T136" s="163" t="str">
        <f>IF(A136="","",ROUND(SUMIFS(aditivos!$L$2:$L$200,aditivos!$A$2:$A$200,A136,aditivos!$C$2:$C$200,"C4"),2))</f>
        <v/>
      </c>
      <c r="U136" s="159" t="str">
        <f t="shared" si="80"/>
        <v/>
      </c>
      <c r="V136" s="159" t="str">
        <f>IF(A136="","",IF(itens_Remanesc!K136="","",itens_Remanesc!K136))</f>
        <v/>
      </c>
      <c r="W136" s="159" t="str">
        <f t="shared" si="81"/>
        <v/>
      </c>
      <c r="X136" s="146" t="str">
        <f>IF(A136="","",IF(COUNTIF($A$2:$A$200,A136)&gt;1,"ALERTA: ITEM_DUPLICADO",IF(AND($Z136,ISNUMBER(itens_Remanesc!B136),itens_Remanesc!B136&lt;&gt;0),"NOVO ITEM COM BASE DIFERENTE DE 0 - AJUSTAR itens_Remanesc",IF(AND($Z136,NOT(ISNUMBER(itens_Remanesc!C136))),"NOVO ITEM SEM VU_ORIGINAL - INFORMAR EM itens_Remanesc",IF(MIN(E136,I136,M136,Q136,U136,G136,K136,O136,S136,W136)&lt;0,"ALERTA: POSICAO_NEGATIVA",IF(OR(AND(G136&lt;&gt;"",G136&gt;E136),AND(K136&lt;&gt;"",K136&gt;I136),AND(O136&lt;&gt;"",O136&gt;M136),AND(S136&lt;&gt;"",S136&gt;Q136),AND(W136&lt;&gt;"",W136&gt;U136)),"ALERTA: REMANESCENTE_SUPERA_POSICAO","OK"))))))</f>
        <v/>
      </c>
      <c r="Y136" t="str">
        <f t="shared" si="82"/>
        <v/>
      </c>
      <c r="Z136" t="b">
        <f t="shared" si="83"/>
        <v>0</v>
      </c>
      <c r="AA136" s="208" t="str">
        <f>IF($A136="","",IF(COUNTIFS(aditivos!$A$2:$A$200,$A136,aditivos!$L$2:$L$200,"&lt;&gt;",aditivos!$L$2:$L$200,"&lt;&gt;0",aditivos!$B$2:$B$200,"&gt;0")=0,"",IFERROR(_xlfn.MINIFS(aditivos!$B$2:$B$200,aditivos!$A$2:$A$200,$A136,aditivos!$L$2:$L$200,"&lt;&gt;",aditivos!$L$2:$L$200,"&lt;&gt;0",aditivos!$B$2:$B$200,"&gt;0"),"")))</f>
        <v/>
      </c>
      <c r="AB136" t="str">
        <f>IF($A136="","",IF(OR(parametros!$C$2="",parametros!$I$2=""),0,ROUND(SUMIFS(aditivos!$L$2:$L$200,aditivos!$A$2:$A$200,$A136,aditivos!$C$2:$C$200,"C0",aditivos!$B$2:$B$200,"&gt;="&amp;(INT(parametros!$I$2)+1)),2)))</f>
        <v/>
      </c>
      <c r="AC136" t="str">
        <f>IF($A136="","",IF(OR(parametros!$C$3="",parametros!$I$3=""),0,ROUND(SUMIFS(aditivos!$L$2:$L$200,aditivos!$A$2:$A$200,$A136,aditivos!$C$2:$C$200,"C1",aditivos!$B$2:$B$200,"&gt;="&amp;(INT(parametros!$I$3)+1)),2)))</f>
        <v/>
      </c>
      <c r="AD136" t="str">
        <f>IF($A136="","",IF(OR(parametros!$C$4="",parametros!$I$4=""),0,ROUND(SUMIFS(aditivos!$L$2:$L$200,aditivos!$A$2:$A$200,$A136,aditivos!$C$2:$C$200,"C2",aditivos!$B$2:$B$200,"&gt;="&amp;(INT(parametros!$I$4)+1)),2)))</f>
        <v/>
      </c>
      <c r="AE136" t="str">
        <f>IF($A136="","",IF(OR(parametros!$C$5="",parametros!$I$5=""),0,ROUND(SUMIFS(aditivos!$L$2:$L$200,aditivos!$A$2:$A$200,$A136,aditivos!$C$2:$C$200,"C3",aditivos!$B$2:$B$200,"&gt;="&amp;(INT(parametros!$I$5)+1)),2)))</f>
        <v/>
      </c>
      <c r="AF136" t="str">
        <f>IF($A136="","",IF(OR(parametros!$C$6="",parametros!$I$6=""),0,ROUND(SUMIFS(aditivos!$L$2:$L$200,aditivos!$A$2:$A$200,$A136,aditivos!$C$2:$C$200,"C4",aditivos!$B$2:$B$200,"&gt;="&amp;(INT(parametros!$I$6)+1)),2)))</f>
        <v/>
      </c>
      <c r="AG136" t="str">
        <f t="shared" si="84"/>
        <v/>
      </c>
      <c r="AH136" t="str">
        <f t="shared" si="85"/>
        <v/>
      </c>
      <c r="AI136" t="str">
        <f t="shared" si="86"/>
        <v/>
      </c>
      <c r="AJ136" t="str">
        <f t="shared" si="87"/>
        <v/>
      </c>
      <c r="AK136" t="str">
        <f t="shared" si="88"/>
        <v/>
      </c>
      <c r="AL136" t="str">
        <f t="shared" si="89"/>
        <v/>
      </c>
    </row>
    <row r="137" spans="1:38" x14ac:dyDescent="0.35">
      <c r="A137" s="146" t="str">
        <f>IF(itens_Remanesc!A137="","",itens_Remanesc!A137)</f>
        <v/>
      </c>
      <c r="B137" s="196" t="str">
        <f>IF(A137="","",itens_Remanesc!C137)</f>
        <v/>
      </c>
      <c r="C137" s="161" t="str">
        <f>IF(A137="","",IF(itens_Remanesc!B137="",0,itens_Remanesc!B137))</f>
        <v/>
      </c>
      <c r="D137" s="163" t="str">
        <f>IF(A137="","",ROUND(SUMIFS(aditivos!$L$2:$L$200,aditivos!$A$2:$A$200,A137,aditivos!$C$2:$C$200,"C0"),2))</f>
        <v/>
      </c>
      <c r="E137" s="159" t="str">
        <f t="shared" si="72"/>
        <v/>
      </c>
      <c r="F137" s="159" t="str">
        <f>IF(A137="","",IF(itens_Remanesc!B137&lt;&gt;"",itens_Remanesc!B137,IF($Z137,0,"")))</f>
        <v/>
      </c>
      <c r="G137" s="167" t="str">
        <f t="shared" si="73"/>
        <v/>
      </c>
      <c r="H137" s="169" t="str">
        <f>IF(A137="","",ROUND(SUMIFS(aditivos!$L$2:$L$200,aditivos!$A$2:$A$200,A137,aditivos!$C$2:$C$200,"C1"),2))</f>
        <v/>
      </c>
      <c r="I137" s="165" t="str">
        <f t="shared" si="74"/>
        <v/>
      </c>
      <c r="J137" s="165" t="str">
        <f>IF(A137="","",IF(itens_Remanesc!E137="","",itens_Remanesc!E137))</f>
        <v/>
      </c>
      <c r="K137" s="171" t="str">
        <f t="shared" si="75"/>
        <v/>
      </c>
      <c r="L137" s="163" t="str">
        <f>IF(A137="","",ROUND(SUMIFS(aditivos!$L$2:$L$200,aditivos!$A$2:$A$200,A137,aditivos!$C$2:$C$200,"C2"),2))</f>
        <v/>
      </c>
      <c r="M137" s="159" t="str">
        <f t="shared" si="76"/>
        <v/>
      </c>
      <c r="N137" s="159" t="str">
        <f>IF(A137="","",IF(itens_Remanesc!G137="","",itens_Remanesc!G137))</f>
        <v/>
      </c>
      <c r="O137" s="167" t="str">
        <f t="shared" si="77"/>
        <v/>
      </c>
      <c r="P137" s="169" t="str">
        <f>IF(A137="","",ROUND(SUMIFS(aditivos!$L$2:$L$200,aditivos!$A$2:$A$200,A137,aditivos!$C$2:$C$200,"C3"),2))</f>
        <v/>
      </c>
      <c r="Q137" s="165" t="str">
        <f t="shared" si="78"/>
        <v/>
      </c>
      <c r="R137" s="165" t="str">
        <f>IF(A137="","",IF(itens_Remanesc!I137="","",itens_Remanesc!I137))</f>
        <v/>
      </c>
      <c r="S137" s="171" t="str">
        <f t="shared" si="79"/>
        <v/>
      </c>
      <c r="T137" s="163" t="str">
        <f>IF(A137="","",ROUND(SUMIFS(aditivos!$L$2:$L$200,aditivos!$A$2:$A$200,A137,aditivos!$C$2:$C$200,"C4"),2))</f>
        <v/>
      </c>
      <c r="U137" s="159" t="str">
        <f t="shared" si="80"/>
        <v/>
      </c>
      <c r="V137" s="159" t="str">
        <f>IF(A137="","",IF(itens_Remanesc!K137="","",itens_Remanesc!K137))</f>
        <v/>
      </c>
      <c r="W137" s="159" t="str">
        <f t="shared" si="81"/>
        <v/>
      </c>
      <c r="X137" s="146" t="str">
        <f>IF(A137="","",IF(COUNTIF($A$2:$A$200,A137)&gt;1,"ALERTA: ITEM_DUPLICADO",IF(AND($Z137,ISNUMBER(itens_Remanesc!B137),itens_Remanesc!B137&lt;&gt;0),"NOVO ITEM COM BASE DIFERENTE DE 0 - AJUSTAR itens_Remanesc",IF(AND($Z137,NOT(ISNUMBER(itens_Remanesc!C137))),"NOVO ITEM SEM VU_ORIGINAL - INFORMAR EM itens_Remanesc",IF(MIN(E137,I137,M137,Q137,U137,G137,K137,O137,S137,W137)&lt;0,"ALERTA: POSICAO_NEGATIVA",IF(OR(AND(G137&lt;&gt;"",G137&gt;E137),AND(K137&lt;&gt;"",K137&gt;I137),AND(O137&lt;&gt;"",O137&gt;M137),AND(S137&lt;&gt;"",S137&gt;Q137),AND(W137&lt;&gt;"",W137&gt;U137)),"ALERTA: REMANESCENTE_SUPERA_POSICAO","OK"))))))</f>
        <v/>
      </c>
      <c r="Y137" t="str">
        <f t="shared" si="82"/>
        <v/>
      </c>
      <c r="Z137" t="b">
        <f t="shared" si="83"/>
        <v>0</v>
      </c>
      <c r="AA137" s="208" t="str">
        <f>IF($A137="","",IF(COUNTIFS(aditivos!$A$2:$A$200,$A137,aditivos!$L$2:$L$200,"&lt;&gt;",aditivos!$L$2:$L$200,"&lt;&gt;0",aditivos!$B$2:$B$200,"&gt;0")=0,"",IFERROR(_xlfn.MINIFS(aditivos!$B$2:$B$200,aditivos!$A$2:$A$200,$A137,aditivos!$L$2:$L$200,"&lt;&gt;",aditivos!$L$2:$L$200,"&lt;&gt;0",aditivos!$B$2:$B$200,"&gt;0"),"")))</f>
        <v/>
      </c>
      <c r="AB137" t="str">
        <f>IF($A137="","",IF(OR(parametros!$C$2="",parametros!$I$2=""),0,ROUND(SUMIFS(aditivos!$L$2:$L$200,aditivos!$A$2:$A$200,$A137,aditivos!$C$2:$C$200,"C0",aditivos!$B$2:$B$200,"&gt;="&amp;(INT(parametros!$I$2)+1)),2)))</f>
        <v/>
      </c>
      <c r="AC137" t="str">
        <f>IF($A137="","",IF(OR(parametros!$C$3="",parametros!$I$3=""),0,ROUND(SUMIFS(aditivos!$L$2:$L$200,aditivos!$A$2:$A$200,$A137,aditivos!$C$2:$C$200,"C1",aditivos!$B$2:$B$200,"&gt;="&amp;(INT(parametros!$I$3)+1)),2)))</f>
        <v/>
      </c>
      <c r="AD137" t="str">
        <f>IF($A137="","",IF(OR(parametros!$C$4="",parametros!$I$4=""),0,ROUND(SUMIFS(aditivos!$L$2:$L$200,aditivos!$A$2:$A$200,$A137,aditivos!$C$2:$C$200,"C2",aditivos!$B$2:$B$200,"&gt;="&amp;(INT(parametros!$I$4)+1)),2)))</f>
        <v/>
      </c>
      <c r="AE137" t="str">
        <f>IF($A137="","",IF(OR(parametros!$C$5="",parametros!$I$5=""),0,ROUND(SUMIFS(aditivos!$L$2:$L$200,aditivos!$A$2:$A$200,$A137,aditivos!$C$2:$C$200,"C3",aditivos!$B$2:$B$200,"&gt;="&amp;(INT(parametros!$I$5)+1)),2)))</f>
        <v/>
      </c>
      <c r="AF137" t="str">
        <f>IF($A137="","",IF(OR(parametros!$C$6="",parametros!$I$6=""),0,ROUND(SUMIFS(aditivos!$L$2:$L$200,aditivos!$A$2:$A$200,$A137,aditivos!$C$2:$C$200,"C4",aditivos!$B$2:$B$200,"&gt;="&amp;(INT(parametros!$I$6)+1)),2)))</f>
        <v/>
      </c>
      <c r="AG137" t="str">
        <f t="shared" si="84"/>
        <v/>
      </c>
      <c r="AH137" t="str">
        <f t="shared" si="85"/>
        <v/>
      </c>
      <c r="AI137" t="str">
        <f t="shared" si="86"/>
        <v/>
      </c>
      <c r="AJ137" t="str">
        <f t="shared" si="87"/>
        <v/>
      </c>
      <c r="AK137" t="str">
        <f t="shared" si="88"/>
        <v/>
      </c>
      <c r="AL137" t="str">
        <f t="shared" si="89"/>
        <v/>
      </c>
    </row>
    <row r="138" spans="1:38" x14ac:dyDescent="0.35">
      <c r="A138" s="146" t="str">
        <f>IF(itens_Remanesc!A138="","",itens_Remanesc!A138)</f>
        <v/>
      </c>
      <c r="B138" s="196" t="str">
        <f>IF(A138="","",itens_Remanesc!C138)</f>
        <v/>
      </c>
      <c r="C138" s="161" t="str">
        <f>IF(A138="","",IF(itens_Remanesc!B138="",0,itens_Remanesc!B138))</f>
        <v/>
      </c>
      <c r="D138" s="163" t="str">
        <f>IF(A138="","",ROUND(SUMIFS(aditivos!$L$2:$L$200,aditivos!$A$2:$A$200,A138,aditivos!$C$2:$C$200,"C0"),2))</f>
        <v/>
      </c>
      <c r="E138" s="159" t="str">
        <f t="shared" si="72"/>
        <v/>
      </c>
      <c r="F138" s="159" t="str">
        <f>IF(A138="","",IF(itens_Remanesc!B138&lt;&gt;"",itens_Remanesc!B138,IF($Z138,0,"")))</f>
        <v/>
      </c>
      <c r="G138" s="167" t="str">
        <f t="shared" si="73"/>
        <v/>
      </c>
      <c r="H138" s="169" t="str">
        <f>IF(A138="","",ROUND(SUMIFS(aditivos!$L$2:$L$200,aditivos!$A$2:$A$200,A138,aditivos!$C$2:$C$200,"C1"),2))</f>
        <v/>
      </c>
      <c r="I138" s="165" t="str">
        <f t="shared" si="74"/>
        <v/>
      </c>
      <c r="J138" s="165" t="str">
        <f>IF(A138="","",IF(itens_Remanesc!E138="","",itens_Remanesc!E138))</f>
        <v/>
      </c>
      <c r="K138" s="171" t="str">
        <f t="shared" si="75"/>
        <v/>
      </c>
      <c r="L138" s="163" t="str">
        <f>IF(A138="","",ROUND(SUMIFS(aditivos!$L$2:$L$200,aditivos!$A$2:$A$200,A138,aditivos!$C$2:$C$200,"C2"),2))</f>
        <v/>
      </c>
      <c r="M138" s="159" t="str">
        <f t="shared" si="76"/>
        <v/>
      </c>
      <c r="N138" s="159" t="str">
        <f>IF(A138="","",IF(itens_Remanesc!G138="","",itens_Remanesc!G138))</f>
        <v/>
      </c>
      <c r="O138" s="167" t="str">
        <f t="shared" si="77"/>
        <v/>
      </c>
      <c r="P138" s="169" t="str">
        <f>IF(A138="","",ROUND(SUMIFS(aditivos!$L$2:$L$200,aditivos!$A$2:$A$200,A138,aditivos!$C$2:$C$200,"C3"),2))</f>
        <v/>
      </c>
      <c r="Q138" s="165" t="str">
        <f t="shared" si="78"/>
        <v/>
      </c>
      <c r="R138" s="165" t="str">
        <f>IF(A138="","",IF(itens_Remanesc!I138="","",itens_Remanesc!I138))</f>
        <v/>
      </c>
      <c r="S138" s="171" t="str">
        <f t="shared" si="79"/>
        <v/>
      </c>
      <c r="T138" s="163" t="str">
        <f>IF(A138="","",ROUND(SUMIFS(aditivos!$L$2:$L$200,aditivos!$A$2:$A$200,A138,aditivos!$C$2:$C$200,"C4"),2))</f>
        <v/>
      </c>
      <c r="U138" s="159" t="str">
        <f t="shared" si="80"/>
        <v/>
      </c>
      <c r="V138" s="159" t="str">
        <f>IF(A138="","",IF(itens_Remanesc!K138="","",itens_Remanesc!K138))</f>
        <v/>
      </c>
      <c r="W138" s="159" t="str">
        <f t="shared" si="81"/>
        <v/>
      </c>
      <c r="X138" s="146" t="str">
        <f>IF(A138="","",IF(COUNTIF($A$2:$A$200,A138)&gt;1,"ALERTA: ITEM_DUPLICADO",IF(AND($Z138,ISNUMBER(itens_Remanesc!B138),itens_Remanesc!B138&lt;&gt;0),"NOVO ITEM COM BASE DIFERENTE DE 0 - AJUSTAR itens_Remanesc",IF(AND($Z138,NOT(ISNUMBER(itens_Remanesc!C138))),"NOVO ITEM SEM VU_ORIGINAL - INFORMAR EM itens_Remanesc",IF(MIN(E138,I138,M138,Q138,U138,G138,K138,O138,S138,W138)&lt;0,"ALERTA: POSICAO_NEGATIVA",IF(OR(AND(G138&lt;&gt;"",G138&gt;E138),AND(K138&lt;&gt;"",K138&gt;I138),AND(O138&lt;&gt;"",O138&gt;M138),AND(S138&lt;&gt;"",S138&gt;Q138),AND(W138&lt;&gt;"",W138&gt;U138)),"ALERTA: REMANESCENTE_SUPERA_POSICAO","OK"))))))</f>
        <v/>
      </c>
      <c r="Y138" t="str">
        <f t="shared" si="82"/>
        <v/>
      </c>
      <c r="Z138" t="b">
        <f t="shared" si="83"/>
        <v>0</v>
      </c>
      <c r="AA138" s="208" t="str">
        <f>IF($A138="","",IF(COUNTIFS(aditivos!$A$2:$A$200,$A138,aditivos!$L$2:$L$200,"&lt;&gt;",aditivos!$L$2:$L$200,"&lt;&gt;0",aditivos!$B$2:$B$200,"&gt;0")=0,"",IFERROR(_xlfn.MINIFS(aditivos!$B$2:$B$200,aditivos!$A$2:$A$200,$A138,aditivos!$L$2:$L$200,"&lt;&gt;",aditivos!$L$2:$L$200,"&lt;&gt;0",aditivos!$B$2:$B$200,"&gt;0"),"")))</f>
        <v/>
      </c>
      <c r="AB138" t="str">
        <f>IF($A138="","",IF(OR(parametros!$C$2="",parametros!$I$2=""),0,ROUND(SUMIFS(aditivos!$L$2:$L$200,aditivos!$A$2:$A$200,$A138,aditivos!$C$2:$C$200,"C0",aditivos!$B$2:$B$200,"&gt;="&amp;(INT(parametros!$I$2)+1)),2)))</f>
        <v/>
      </c>
      <c r="AC138" t="str">
        <f>IF($A138="","",IF(OR(parametros!$C$3="",parametros!$I$3=""),0,ROUND(SUMIFS(aditivos!$L$2:$L$200,aditivos!$A$2:$A$200,$A138,aditivos!$C$2:$C$200,"C1",aditivos!$B$2:$B$200,"&gt;="&amp;(INT(parametros!$I$3)+1)),2)))</f>
        <v/>
      </c>
      <c r="AD138" t="str">
        <f>IF($A138="","",IF(OR(parametros!$C$4="",parametros!$I$4=""),0,ROUND(SUMIFS(aditivos!$L$2:$L$200,aditivos!$A$2:$A$200,$A138,aditivos!$C$2:$C$200,"C2",aditivos!$B$2:$B$200,"&gt;="&amp;(INT(parametros!$I$4)+1)),2)))</f>
        <v/>
      </c>
      <c r="AE138" t="str">
        <f>IF($A138="","",IF(OR(parametros!$C$5="",parametros!$I$5=""),0,ROUND(SUMIFS(aditivos!$L$2:$L$200,aditivos!$A$2:$A$200,$A138,aditivos!$C$2:$C$200,"C3",aditivos!$B$2:$B$200,"&gt;="&amp;(INT(parametros!$I$5)+1)),2)))</f>
        <v/>
      </c>
      <c r="AF138" t="str">
        <f>IF($A138="","",IF(OR(parametros!$C$6="",parametros!$I$6=""),0,ROUND(SUMIFS(aditivos!$L$2:$L$200,aditivos!$A$2:$A$200,$A138,aditivos!$C$2:$C$200,"C4",aditivos!$B$2:$B$200,"&gt;="&amp;(INT(parametros!$I$6)+1)),2)))</f>
        <v/>
      </c>
      <c r="AG138" t="str">
        <f t="shared" si="84"/>
        <v/>
      </c>
      <c r="AH138" t="str">
        <f t="shared" si="85"/>
        <v/>
      </c>
      <c r="AI138" t="str">
        <f t="shared" si="86"/>
        <v/>
      </c>
      <c r="AJ138" t="str">
        <f t="shared" si="87"/>
        <v/>
      </c>
      <c r="AK138" t="str">
        <f t="shared" si="88"/>
        <v/>
      </c>
      <c r="AL138" t="str">
        <f t="shared" si="89"/>
        <v/>
      </c>
    </row>
    <row r="139" spans="1:38" x14ac:dyDescent="0.35">
      <c r="A139" s="146" t="str">
        <f>IF(itens_Remanesc!A139="","",itens_Remanesc!A139)</f>
        <v/>
      </c>
      <c r="B139" s="196" t="str">
        <f>IF(A139="","",itens_Remanesc!C139)</f>
        <v/>
      </c>
      <c r="C139" s="161" t="str">
        <f>IF(A139="","",IF(itens_Remanesc!B139="",0,itens_Remanesc!B139))</f>
        <v/>
      </c>
      <c r="D139" s="163" t="str">
        <f>IF(A139="","",ROUND(SUMIFS(aditivos!$L$2:$L$200,aditivos!$A$2:$A$200,A139,aditivos!$C$2:$C$200,"C0"),2))</f>
        <v/>
      </c>
      <c r="E139" s="159" t="str">
        <f t="shared" si="72"/>
        <v/>
      </c>
      <c r="F139" s="159" t="str">
        <f>IF(A139="","",IF(itens_Remanesc!B139&lt;&gt;"",itens_Remanesc!B139,IF($Z139,0,"")))</f>
        <v/>
      </c>
      <c r="G139" s="167" t="str">
        <f t="shared" si="73"/>
        <v/>
      </c>
      <c r="H139" s="169" t="str">
        <f>IF(A139="","",ROUND(SUMIFS(aditivos!$L$2:$L$200,aditivos!$A$2:$A$200,A139,aditivos!$C$2:$C$200,"C1"),2))</f>
        <v/>
      </c>
      <c r="I139" s="165" t="str">
        <f t="shared" si="74"/>
        <v/>
      </c>
      <c r="J139" s="165" t="str">
        <f>IF(A139="","",IF(itens_Remanesc!E139="","",itens_Remanesc!E139))</f>
        <v/>
      </c>
      <c r="K139" s="171" t="str">
        <f t="shared" si="75"/>
        <v/>
      </c>
      <c r="L139" s="163" t="str">
        <f>IF(A139="","",ROUND(SUMIFS(aditivos!$L$2:$L$200,aditivos!$A$2:$A$200,A139,aditivos!$C$2:$C$200,"C2"),2))</f>
        <v/>
      </c>
      <c r="M139" s="159" t="str">
        <f t="shared" si="76"/>
        <v/>
      </c>
      <c r="N139" s="159" t="str">
        <f>IF(A139="","",IF(itens_Remanesc!G139="","",itens_Remanesc!G139))</f>
        <v/>
      </c>
      <c r="O139" s="167" t="str">
        <f t="shared" si="77"/>
        <v/>
      </c>
      <c r="P139" s="169" t="str">
        <f>IF(A139="","",ROUND(SUMIFS(aditivos!$L$2:$L$200,aditivos!$A$2:$A$200,A139,aditivos!$C$2:$C$200,"C3"),2))</f>
        <v/>
      </c>
      <c r="Q139" s="165" t="str">
        <f t="shared" si="78"/>
        <v/>
      </c>
      <c r="R139" s="165" t="str">
        <f>IF(A139="","",IF(itens_Remanesc!I139="","",itens_Remanesc!I139))</f>
        <v/>
      </c>
      <c r="S139" s="171" t="str">
        <f t="shared" si="79"/>
        <v/>
      </c>
      <c r="T139" s="163" t="str">
        <f>IF(A139="","",ROUND(SUMIFS(aditivos!$L$2:$L$200,aditivos!$A$2:$A$200,A139,aditivos!$C$2:$C$200,"C4"),2))</f>
        <v/>
      </c>
      <c r="U139" s="159" t="str">
        <f t="shared" si="80"/>
        <v/>
      </c>
      <c r="V139" s="159" t="str">
        <f>IF(A139="","",IF(itens_Remanesc!K139="","",itens_Remanesc!K139))</f>
        <v/>
      </c>
      <c r="W139" s="159" t="str">
        <f t="shared" si="81"/>
        <v/>
      </c>
      <c r="X139" s="146" t="str">
        <f>IF(A139="","",IF(COUNTIF($A$2:$A$200,A139)&gt;1,"ALERTA: ITEM_DUPLICADO",IF(AND($Z139,ISNUMBER(itens_Remanesc!B139),itens_Remanesc!B139&lt;&gt;0),"NOVO ITEM COM BASE DIFERENTE DE 0 - AJUSTAR itens_Remanesc",IF(AND($Z139,NOT(ISNUMBER(itens_Remanesc!C139))),"NOVO ITEM SEM VU_ORIGINAL - INFORMAR EM itens_Remanesc",IF(MIN(E139,I139,M139,Q139,U139,G139,K139,O139,S139,W139)&lt;0,"ALERTA: POSICAO_NEGATIVA",IF(OR(AND(G139&lt;&gt;"",G139&gt;E139),AND(K139&lt;&gt;"",K139&gt;I139),AND(O139&lt;&gt;"",O139&gt;M139),AND(S139&lt;&gt;"",S139&gt;Q139),AND(W139&lt;&gt;"",W139&gt;U139)),"ALERTA: REMANESCENTE_SUPERA_POSICAO","OK"))))))</f>
        <v/>
      </c>
      <c r="Y139" t="str">
        <f t="shared" si="82"/>
        <v/>
      </c>
      <c r="Z139" t="b">
        <f t="shared" si="83"/>
        <v>0</v>
      </c>
      <c r="AA139" s="208" t="str">
        <f>IF($A139="","",IF(COUNTIFS(aditivos!$A$2:$A$200,$A139,aditivos!$L$2:$L$200,"&lt;&gt;",aditivos!$L$2:$L$200,"&lt;&gt;0",aditivos!$B$2:$B$200,"&gt;0")=0,"",IFERROR(_xlfn.MINIFS(aditivos!$B$2:$B$200,aditivos!$A$2:$A$200,$A139,aditivos!$L$2:$L$200,"&lt;&gt;",aditivos!$L$2:$L$200,"&lt;&gt;0",aditivos!$B$2:$B$200,"&gt;0"),"")))</f>
        <v/>
      </c>
      <c r="AB139" t="str">
        <f>IF($A139="","",IF(OR(parametros!$C$2="",parametros!$I$2=""),0,ROUND(SUMIFS(aditivos!$L$2:$L$200,aditivos!$A$2:$A$200,$A139,aditivos!$C$2:$C$200,"C0",aditivos!$B$2:$B$200,"&gt;="&amp;(INT(parametros!$I$2)+1)),2)))</f>
        <v/>
      </c>
      <c r="AC139" t="str">
        <f>IF($A139="","",IF(OR(parametros!$C$3="",parametros!$I$3=""),0,ROUND(SUMIFS(aditivos!$L$2:$L$200,aditivos!$A$2:$A$200,$A139,aditivos!$C$2:$C$200,"C1",aditivos!$B$2:$B$200,"&gt;="&amp;(INT(parametros!$I$3)+1)),2)))</f>
        <v/>
      </c>
      <c r="AD139" t="str">
        <f>IF($A139="","",IF(OR(parametros!$C$4="",parametros!$I$4=""),0,ROUND(SUMIFS(aditivos!$L$2:$L$200,aditivos!$A$2:$A$200,$A139,aditivos!$C$2:$C$200,"C2",aditivos!$B$2:$B$200,"&gt;="&amp;(INT(parametros!$I$4)+1)),2)))</f>
        <v/>
      </c>
      <c r="AE139" t="str">
        <f>IF($A139="","",IF(OR(parametros!$C$5="",parametros!$I$5=""),0,ROUND(SUMIFS(aditivos!$L$2:$L$200,aditivos!$A$2:$A$200,$A139,aditivos!$C$2:$C$200,"C3",aditivos!$B$2:$B$200,"&gt;="&amp;(INT(parametros!$I$5)+1)),2)))</f>
        <v/>
      </c>
      <c r="AF139" t="str">
        <f>IF($A139="","",IF(OR(parametros!$C$6="",parametros!$I$6=""),0,ROUND(SUMIFS(aditivos!$L$2:$L$200,aditivos!$A$2:$A$200,$A139,aditivos!$C$2:$C$200,"C4",aditivos!$B$2:$B$200,"&gt;="&amp;(INT(parametros!$I$6)+1)),2)))</f>
        <v/>
      </c>
      <c r="AG139" t="str">
        <f t="shared" si="84"/>
        <v/>
      </c>
      <c r="AH139" t="str">
        <f t="shared" si="85"/>
        <v/>
      </c>
      <c r="AI139" t="str">
        <f t="shared" si="86"/>
        <v/>
      </c>
      <c r="AJ139" t="str">
        <f t="shared" si="87"/>
        <v/>
      </c>
      <c r="AK139" t="str">
        <f t="shared" si="88"/>
        <v/>
      </c>
      <c r="AL139" t="str">
        <f t="shared" si="89"/>
        <v/>
      </c>
    </row>
    <row r="140" spans="1:38" x14ac:dyDescent="0.35">
      <c r="A140" s="146" t="str">
        <f>IF(itens_Remanesc!A140="","",itens_Remanesc!A140)</f>
        <v/>
      </c>
      <c r="B140" s="196" t="str">
        <f>IF(A140="","",itens_Remanesc!C140)</f>
        <v/>
      </c>
      <c r="C140" s="161" t="str">
        <f>IF(A140="","",IF(itens_Remanesc!B140="",0,itens_Remanesc!B140))</f>
        <v/>
      </c>
      <c r="D140" s="163" t="str">
        <f>IF(A140="","",ROUND(SUMIFS(aditivos!$L$2:$L$200,aditivos!$A$2:$A$200,A140,aditivos!$C$2:$C$200,"C0"),2))</f>
        <v/>
      </c>
      <c r="E140" s="159" t="str">
        <f t="shared" si="72"/>
        <v/>
      </c>
      <c r="F140" s="159" t="str">
        <f>IF(A140="","",IF(itens_Remanesc!B140&lt;&gt;"",itens_Remanesc!B140,IF($Z140,0,"")))</f>
        <v/>
      </c>
      <c r="G140" s="167" t="str">
        <f t="shared" si="73"/>
        <v/>
      </c>
      <c r="H140" s="169" t="str">
        <f>IF(A140="","",ROUND(SUMIFS(aditivos!$L$2:$L$200,aditivos!$A$2:$A$200,A140,aditivos!$C$2:$C$200,"C1"),2))</f>
        <v/>
      </c>
      <c r="I140" s="165" t="str">
        <f t="shared" si="74"/>
        <v/>
      </c>
      <c r="J140" s="165" t="str">
        <f>IF(A140="","",IF(itens_Remanesc!E140="","",itens_Remanesc!E140))</f>
        <v/>
      </c>
      <c r="K140" s="171" t="str">
        <f t="shared" si="75"/>
        <v/>
      </c>
      <c r="L140" s="163" t="str">
        <f>IF(A140="","",ROUND(SUMIFS(aditivos!$L$2:$L$200,aditivos!$A$2:$A$200,A140,aditivos!$C$2:$C$200,"C2"),2))</f>
        <v/>
      </c>
      <c r="M140" s="159" t="str">
        <f t="shared" si="76"/>
        <v/>
      </c>
      <c r="N140" s="159" t="str">
        <f>IF(A140="","",IF(itens_Remanesc!G140="","",itens_Remanesc!G140))</f>
        <v/>
      </c>
      <c r="O140" s="167" t="str">
        <f t="shared" si="77"/>
        <v/>
      </c>
      <c r="P140" s="169" t="str">
        <f>IF(A140="","",ROUND(SUMIFS(aditivos!$L$2:$L$200,aditivos!$A$2:$A$200,A140,aditivos!$C$2:$C$200,"C3"),2))</f>
        <v/>
      </c>
      <c r="Q140" s="165" t="str">
        <f t="shared" si="78"/>
        <v/>
      </c>
      <c r="R140" s="165" t="str">
        <f>IF(A140="","",IF(itens_Remanesc!I140="","",itens_Remanesc!I140))</f>
        <v/>
      </c>
      <c r="S140" s="171" t="str">
        <f t="shared" si="79"/>
        <v/>
      </c>
      <c r="T140" s="163" t="str">
        <f>IF(A140="","",ROUND(SUMIFS(aditivos!$L$2:$L$200,aditivos!$A$2:$A$200,A140,aditivos!$C$2:$C$200,"C4"),2))</f>
        <v/>
      </c>
      <c r="U140" s="159" t="str">
        <f t="shared" si="80"/>
        <v/>
      </c>
      <c r="V140" s="159" t="str">
        <f>IF(A140="","",IF(itens_Remanesc!K140="","",itens_Remanesc!K140))</f>
        <v/>
      </c>
      <c r="W140" s="159" t="str">
        <f t="shared" si="81"/>
        <v/>
      </c>
      <c r="X140" s="146" t="str">
        <f>IF(A140="","",IF(COUNTIF($A$2:$A$200,A140)&gt;1,"ALERTA: ITEM_DUPLICADO",IF(AND($Z140,ISNUMBER(itens_Remanesc!B140),itens_Remanesc!B140&lt;&gt;0),"NOVO ITEM COM BASE DIFERENTE DE 0 - AJUSTAR itens_Remanesc",IF(AND($Z140,NOT(ISNUMBER(itens_Remanesc!C140))),"NOVO ITEM SEM VU_ORIGINAL - INFORMAR EM itens_Remanesc",IF(MIN(E140,I140,M140,Q140,U140,G140,K140,O140,S140,W140)&lt;0,"ALERTA: POSICAO_NEGATIVA",IF(OR(AND(G140&lt;&gt;"",G140&gt;E140),AND(K140&lt;&gt;"",K140&gt;I140),AND(O140&lt;&gt;"",O140&gt;M140),AND(S140&lt;&gt;"",S140&gt;Q140),AND(W140&lt;&gt;"",W140&gt;U140)),"ALERTA: REMANESCENTE_SUPERA_POSICAO","OK"))))))</f>
        <v/>
      </c>
      <c r="Y140" t="str">
        <f t="shared" si="82"/>
        <v/>
      </c>
      <c r="Z140" t="b">
        <f t="shared" si="83"/>
        <v>0</v>
      </c>
      <c r="AA140" s="208" t="str">
        <f>IF($A140="","",IF(COUNTIFS(aditivos!$A$2:$A$200,$A140,aditivos!$L$2:$L$200,"&lt;&gt;",aditivos!$L$2:$L$200,"&lt;&gt;0",aditivos!$B$2:$B$200,"&gt;0")=0,"",IFERROR(_xlfn.MINIFS(aditivos!$B$2:$B$200,aditivos!$A$2:$A$200,$A140,aditivos!$L$2:$L$200,"&lt;&gt;",aditivos!$L$2:$L$200,"&lt;&gt;0",aditivos!$B$2:$B$200,"&gt;0"),"")))</f>
        <v/>
      </c>
      <c r="AB140" t="str">
        <f>IF($A140="","",IF(OR(parametros!$C$2="",parametros!$I$2=""),0,ROUND(SUMIFS(aditivos!$L$2:$L$200,aditivos!$A$2:$A$200,$A140,aditivos!$C$2:$C$200,"C0",aditivos!$B$2:$B$200,"&gt;="&amp;(INT(parametros!$I$2)+1)),2)))</f>
        <v/>
      </c>
      <c r="AC140" t="str">
        <f>IF($A140="","",IF(OR(parametros!$C$3="",parametros!$I$3=""),0,ROUND(SUMIFS(aditivos!$L$2:$L$200,aditivos!$A$2:$A$200,$A140,aditivos!$C$2:$C$200,"C1",aditivos!$B$2:$B$200,"&gt;="&amp;(INT(parametros!$I$3)+1)),2)))</f>
        <v/>
      </c>
      <c r="AD140" t="str">
        <f>IF($A140="","",IF(OR(parametros!$C$4="",parametros!$I$4=""),0,ROUND(SUMIFS(aditivos!$L$2:$L$200,aditivos!$A$2:$A$200,$A140,aditivos!$C$2:$C$200,"C2",aditivos!$B$2:$B$200,"&gt;="&amp;(INT(parametros!$I$4)+1)),2)))</f>
        <v/>
      </c>
      <c r="AE140" t="str">
        <f>IF($A140="","",IF(OR(parametros!$C$5="",parametros!$I$5=""),0,ROUND(SUMIFS(aditivos!$L$2:$L$200,aditivos!$A$2:$A$200,$A140,aditivos!$C$2:$C$200,"C3",aditivos!$B$2:$B$200,"&gt;="&amp;(INT(parametros!$I$5)+1)),2)))</f>
        <v/>
      </c>
      <c r="AF140" t="str">
        <f>IF($A140="","",IF(OR(parametros!$C$6="",parametros!$I$6=""),0,ROUND(SUMIFS(aditivos!$L$2:$L$200,aditivos!$A$2:$A$200,$A140,aditivos!$C$2:$C$200,"C4",aditivos!$B$2:$B$200,"&gt;="&amp;(INT(parametros!$I$6)+1)),2)))</f>
        <v/>
      </c>
      <c r="AG140" t="str">
        <f t="shared" si="84"/>
        <v/>
      </c>
      <c r="AH140" t="str">
        <f t="shared" si="85"/>
        <v/>
      </c>
      <c r="AI140" t="str">
        <f t="shared" si="86"/>
        <v/>
      </c>
      <c r="AJ140" t="str">
        <f t="shared" si="87"/>
        <v/>
      </c>
      <c r="AK140" t="str">
        <f t="shared" si="88"/>
        <v/>
      </c>
      <c r="AL140" t="str">
        <f t="shared" si="89"/>
        <v/>
      </c>
    </row>
    <row r="141" spans="1:38" x14ac:dyDescent="0.35">
      <c r="A141" s="146" t="str">
        <f>IF(itens_Remanesc!A141="","",itens_Remanesc!A141)</f>
        <v/>
      </c>
      <c r="B141" s="196" t="str">
        <f>IF(A141="","",itens_Remanesc!C141)</f>
        <v/>
      </c>
      <c r="C141" s="161" t="str">
        <f>IF(A141="","",IF(itens_Remanesc!B141="",0,itens_Remanesc!B141))</f>
        <v/>
      </c>
      <c r="D141" s="163" t="str">
        <f>IF(A141="","",ROUND(SUMIFS(aditivos!$L$2:$L$200,aditivos!$A$2:$A$200,A141,aditivos!$C$2:$C$200,"C0"),2))</f>
        <v/>
      </c>
      <c r="E141" s="159" t="str">
        <f t="shared" si="72"/>
        <v/>
      </c>
      <c r="F141" s="159" t="str">
        <f>IF(A141="","",IF(itens_Remanesc!B141&lt;&gt;"",itens_Remanesc!B141,IF($Z141,0,"")))</f>
        <v/>
      </c>
      <c r="G141" s="167" t="str">
        <f t="shared" si="73"/>
        <v/>
      </c>
      <c r="H141" s="169" t="str">
        <f>IF(A141="","",ROUND(SUMIFS(aditivos!$L$2:$L$200,aditivos!$A$2:$A$200,A141,aditivos!$C$2:$C$200,"C1"),2))</f>
        <v/>
      </c>
      <c r="I141" s="165" t="str">
        <f t="shared" si="74"/>
        <v/>
      </c>
      <c r="J141" s="165" t="str">
        <f>IF(A141="","",IF(itens_Remanesc!E141="","",itens_Remanesc!E141))</f>
        <v/>
      </c>
      <c r="K141" s="171" t="str">
        <f t="shared" si="75"/>
        <v/>
      </c>
      <c r="L141" s="163" t="str">
        <f>IF(A141="","",ROUND(SUMIFS(aditivos!$L$2:$L$200,aditivos!$A$2:$A$200,A141,aditivos!$C$2:$C$200,"C2"),2))</f>
        <v/>
      </c>
      <c r="M141" s="159" t="str">
        <f t="shared" si="76"/>
        <v/>
      </c>
      <c r="N141" s="159" t="str">
        <f>IF(A141="","",IF(itens_Remanesc!G141="","",itens_Remanesc!G141))</f>
        <v/>
      </c>
      <c r="O141" s="167" t="str">
        <f t="shared" si="77"/>
        <v/>
      </c>
      <c r="P141" s="169" t="str">
        <f>IF(A141="","",ROUND(SUMIFS(aditivos!$L$2:$L$200,aditivos!$A$2:$A$200,A141,aditivos!$C$2:$C$200,"C3"),2))</f>
        <v/>
      </c>
      <c r="Q141" s="165" t="str">
        <f t="shared" si="78"/>
        <v/>
      </c>
      <c r="R141" s="165" t="str">
        <f>IF(A141="","",IF(itens_Remanesc!I141="","",itens_Remanesc!I141))</f>
        <v/>
      </c>
      <c r="S141" s="171" t="str">
        <f t="shared" si="79"/>
        <v/>
      </c>
      <c r="T141" s="163" t="str">
        <f>IF(A141="","",ROUND(SUMIFS(aditivos!$L$2:$L$200,aditivos!$A$2:$A$200,A141,aditivos!$C$2:$C$200,"C4"),2))</f>
        <v/>
      </c>
      <c r="U141" s="159" t="str">
        <f t="shared" si="80"/>
        <v/>
      </c>
      <c r="V141" s="159" t="str">
        <f>IF(A141="","",IF(itens_Remanesc!K141="","",itens_Remanesc!K141))</f>
        <v/>
      </c>
      <c r="W141" s="159" t="str">
        <f t="shared" si="81"/>
        <v/>
      </c>
      <c r="X141" s="146" t="str">
        <f>IF(A141="","",IF(COUNTIF($A$2:$A$200,A141)&gt;1,"ALERTA: ITEM_DUPLICADO",IF(AND($Z141,ISNUMBER(itens_Remanesc!B141),itens_Remanesc!B141&lt;&gt;0),"NOVO ITEM COM BASE DIFERENTE DE 0 - AJUSTAR itens_Remanesc",IF(AND($Z141,NOT(ISNUMBER(itens_Remanesc!C141))),"NOVO ITEM SEM VU_ORIGINAL - INFORMAR EM itens_Remanesc",IF(MIN(E141,I141,M141,Q141,U141,G141,K141,O141,S141,W141)&lt;0,"ALERTA: POSICAO_NEGATIVA",IF(OR(AND(G141&lt;&gt;"",G141&gt;E141),AND(K141&lt;&gt;"",K141&gt;I141),AND(O141&lt;&gt;"",O141&gt;M141),AND(S141&lt;&gt;"",S141&gt;Q141),AND(W141&lt;&gt;"",W141&gt;U141)),"ALERTA: REMANESCENTE_SUPERA_POSICAO","OK"))))))</f>
        <v/>
      </c>
      <c r="Y141" t="str">
        <f t="shared" si="82"/>
        <v/>
      </c>
      <c r="Z141" t="b">
        <f t="shared" si="83"/>
        <v>0</v>
      </c>
      <c r="AA141" s="208" t="str">
        <f>IF($A141="","",IF(COUNTIFS(aditivos!$A$2:$A$200,$A141,aditivos!$L$2:$L$200,"&lt;&gt;",aditivos!$L$2:$L$200,"&lt;&gt;0",aditivos!$B$2:$B$200,"&gt;0")=0,"",IFERROR(_xlfn.MINIFS(aditivos!$B$2:$B$200,aditivos!$A$2:$A$200,$A141,aditivos!$L$2:$L$200,"&lt;&gt;",aditivos!$L$2:$L$200,"&lt;&gt;0",aditivos!$B$2:$B$200,"&gt;0"),"")))</f>
        <v/>
      </c>
      <c r="AB141" t="str">
        <f>IF($A141="","",IF(OR(parametros!$C$2="",parametros!$I$2=""),0,ROUND(SUMIFS(aditivos!$L$2:$L$200,aditivos!$A$2:$A$200,$A141,aditivos!$C$2:$C$200,"C0",aditivos!$B$2:$B$200,"&gt;="&amp;(INT(parametros!$I$2)+1)),2)))</f>
        <v/>
      </c>
      <c r="AC141" t="str">
        <f>IF($A141="","",IF(OR(parametros!$C$3="",parametros!$I$3=""),0,ROUND(SUMIFS(aditivos!$L$2:$L$200,aditivos!$A$2:$A$200,$A141,aditivos!$C$2:$C$200,"C1",aditivos!$B$2:$B$200,"&gt;="&amp;(INT(parametros!$I$3)+1)),2)))</f>
        <v/>
      </c>
      <c r="AD141" t="str">
        <f>IF($A141="","",IF(OR(parametros!$C$4="",parametros!$I$4=""),0,ROUND(SUMIFS(aditivos!$L$2:$L$200,aditivos!$A$2:$A$200,$A141,aditivos!$C$2:$C$200,"C2",aditivos!$B$2:$B$200,"&gt;="&amp;(INT(parametros!$I$4)+1)),2)))</f>
        <v/>
      </c>
      <c r="AE141" t="str">
        <f>IF($A141="","",IF(OR(parametros!$C$5="",parametros!$I$5=""),0,ROUND(SUMIFS(aditivos!$L$2:$L$200,aditivos!$A$2:$A$200,$A141,aditivos!$C$2:$C$200,"C3",aditivos!$B$2:$B$200,"&gt;="&amp;(INT(parametros!$I$5)+1)),2)))</f>
        <v/>
      </c>
      <c r="AF141" t="str">
        <f>IF($A141="","",IF(OR(parametros!$C$6="",parametros!$I$6=""),0,ROUND(SUMIFS(aditivos!$L$2:$L$200,aditivos!$A$2:$A$200,$A141,aditivos!$C$2:$C$200,"C4",aditivos!$B$2:$B$200,"&gt;="&amp;(INT(parametros!$I$6)+1)),2)))</f>
        <v/>
      </c>
      <c r="AG141" t="str">
        <f t="shared" si="84"/>
        <v/>
      </c>
      <c r="AH141" t="str">
        <f t="shared" si="85"/>
        <v/>
      </c>
      <c r="AI141" t="str">
        <f t="shared" si="86"/>
        <v/>
      </c>
      <c r="AJ141" t="str">
        <f t="shared" si="87"/>
        <v/>
      </c>
      <c r="AK141" t="str">
        <f t="shared" si="88"/>
        <v/>
      </c>
      <c r="AL141" t="str">
        <f t="shared" si="89"/>
        <v/>
      </c>
    </row>
    <row r="142" spans="1:38" x14ac:dyDescent="0.35">
      <c r="A142" s="146" t="str">
        <f>IF(itens_Remanesc!A142="","",itens_Remanesc!A142)</f>
        <v/>
      </c>
      <c r="B142" s="196" t="str">
        <f>IF(A142="","",itens_Remanesc!C142)</f>
        <v/>
      </c>
      <c r="C142" s="161" t="str">
        <f>IF(A142="","",IF(itens_Remanesc!B142="",0,itens_Remanesc!B142))</f>
        <v/>
      </c>
      <c r="D142" s="163" t="str">
        <f>IF(A142="","",ROUND(SUMIFS(aditivos!$L$2:$L$200,aditivos!$A$2:$A$200,A142,aditivos!$C$2:$C$200,"C0"),2))</f>
        <v/>
      </c>
      <c r="E142" s="159" t="str">
        <f t="shared" si="72"/>
        <v/>
      </c>
      <c r="F142" s="159" t="str">
        <f>IF(A142="","",IF(itens_Remanesc!B142&lt;&gt;"",itens_Remanesc!B142,IF($Z142,0,"")))</f>
        <v/>
      </c>
      <c r="G142" s="167" t="str">
        <f t="shared" si="73"/>
        <v/>
      </c>
      <c r="H142" s="169" t="str">
        <f>IF(A142="","",ROUND(SUMIFS(aditivos!$L$2:$L$200,aditivos!$A$2:$A$200,A142,aditivos!$C$2:$C$200,"C1"),2))</f>
        <v/>
      </c>
      <c r="I142" s="165" t="str">
        <f t="shared" si="74"/>
        <v/>
      </c>
      <c r="J142" s="165" t="str">
        <f>IF(A142="","",IF(itens_Remanesc!E142="","",itens_Remanesc!E142))</f>
        <v/>
      </c>
      <c r="K142" s="171" t="str">
        <f t="shared" si="75"/>
        <v/>
      </c>
      <c r="L142" s="163" t="str">
        <f>IF(A142="","",ROUND(SUMIFS(aditivos!$L$2:$L$200,aditivos!$A$2:$A$200,A142,aditivos!$C$2:$C$200,"C2"),2))</f>
        <v/>
      </c>
      <c r="M142" s="159" t="str">
        <f t="shared" si="76"/>
        <v/>
      </c>
      <c r="N142" s="159" t="str">
        <f>IF(A142="","",IF(itens_Remanesc!G142="","",itens_Remanesc!G142))</f>
        <v/>
      </c>
      <c r="O142" s="167" t="str">
        <f t="shared" si="77"/>
        <v/>
      </c>
      <c r="P142" s="169" t="str">
        <f>IF(A142="","",ROUND(SUMIFS(aditivos!$L$2:$L$200,aditivos!$A$2:$A$200,A142,aditivos!$C$2:$C$200,"C3"),2))</f>
        <v/>
      </c>
      <c r="Q142" s="165" t="str">
        <f t="shared" si="78"/>
        <v/>
      </c>
      <c r="R142" s="165" t="str">
        <f>IF(A142="","",IF(itens_Remanesc!I142="","",itens_Remanesc!I142))</f>
        <v/>
      </c>
      <c r="S142" s="171" t="str">
        <f t="shared" si="79"/>
        <v/>
      </c>
      <c r="T142" s="163" t="str">
        <f>IF(A142="","",ROUND(SUMIFS(aditivos!$L$2:$L$200,aditivos!$A$2:$A$200,A142,aditivos!$C$2:$C$200,"C4"),2))</f>
        <v/>
      </c>
      <c r="U142" s="159" t="str">
        <f t="shared" si="80"/>
        <v/>
      </c>
      <c r="V142" s="159" t="str">
        <f>IF(A142="","",IF(itens_Remanesc!K142="","",itens_Remanesc!K142))</f>
        <v/>
      </c>
      <c r="W142" s="159" t="str">
        <f t="shared" si="81"/>
        <v/>
      </c>
      <c r="X142" s="146" t="str">
        <f>IF(A142="","",IF(COUNTIF($A$2:$A$200,A142)&gt;1,"ALERTA: ITEM_DUPLICADO",IF(AND($Z142,ISNUMBER(itens_Remanesc!B142),itens_Remanesc!B142&lt;&gt;0),"NOVO ITEM COM BASE DIFERENTE DE 0 - AJUSTAR itens_Remanesc",IF(AND($Z142,NOT(ISNUMBER(itens_Remanesc!C142))),"NOVO ITEM SEM VU_ORIGINAL - INFORMAR EM itens_Remanesc",IF(MIN(E142,I142,M142,Q142,U142,G142,K142,O142,S142,W142)&lt;0,"ALERTA: POSICAO_NEGATIVA",IF(OR(AND(G142&lt;&gt;"",G142&gt;E142),AND(K142&lt;&gt;"",K142&gt;I142),AND(O142&lt;&gt;"",O142&gt;M142),AND(S142&lt;&gt;"",S142&gt;Q142),AND(W142&lt;&gt;"",W142&gt;U142)),"ALERTA: REMANESCENTE_SUPERA_POSICAO","OK"))))))</f>
        <v/>
      </c>
      <c r="Y142" t="str">
        <f t="shared" si="82"/>
        <v/>
      </c>
      <c r="Z142" t="b">
        <f t="shared" si="83"/>
        <v>0</v>
      </c>
      <c r="AA142" s="208" t="str">
        <f>IF($A142="","",IF(COUNTIFS(aditivos!$A$2:$A$200,$A142,aditivos!$L$2:$L$200,"&lt;&gt;",aditivos!$L$2:$L$200,"&lt;&gt;0",aditivos!$B$2:$B$200,"&gt;0")=0,"",IFERROR(_xlfn.MINIFS(aditivos!$B$2:$B$200,aditivos!$A$2:$A$200,$A142,aditivos!$L$2:$L$200,"&lt;&gt;",aditivos!$L$2:$L$200,"&lt;&gt;0",aditivos!$B$2:$B$200,"&gt;0"),"")))</f>
        <v/>
      </c>
      <c r="AB142" t="str">
        <f>IF($A142="","",IF(OR(parametros!$C$2="",parametros!$I$2=""),0,ROUND(SUMIFS(aditivos!$L$2:$L$200,aditivos!$A$2:$A$200,$A142,aditivos!$C$2:$C$200,"C0",aditivos!$B$2:$B$200,"&gt;="&amp;(INT(parametros!$I$2)+1)),2)))</f>
        <v/>
      </c>
      <c r="AC142" t="str">
        <f>IF($A142="","",IF(OR(parametros!$C$3="",parametros!$I$3=""),0,ROUND(SUMIFS(aditivos!$L$2:$L$200,aditivos!$A$2:$A$200,$A142,aditivos!$C$2:$C$200,"C1",aditivos!$B$2:$B$200,"&gt;="&amp;(INT(parametros!$I$3)+1)),2)))</f>
        <v/>
      </c>
      <c r="AD142" t="str">
        <f>IF($A142="","",IF(OR(parametros!$C$4="",parametros!$I$4=""),0,ROUND(SUMIFS(aditivos!$L$2:$L$200,aditivos!$A$2:$A$200,$A142,aditivos!$C$2:$C$200,"C2",aditivos!$B$2:$B$200,"&gt;="&amp;(INT(parametros!$I$4)+1)),2)))</f>
        <v/>
      </c>
      <c r="AE142" t="str">
        <f>IF($A142="","",IF(OR(parametros!$C$5="",parametros!$I$5=""),0,ROUND(SUMIFS(aditivos!$L$2:$L$200,aditivos!$A$2:$A$200,$A142,aditivos!$C$2:$C$200,"C3",aditivos!$B$2:$B$200,"&gt;="&amp;(INT(parametros!$I$5)+1)),2)))</f>
        <v/>
      </c>
      <c r="AF142" t="str">
        <f>IF($A142="","",IF(OR(parametros!$C$6="",parametros!$I$6=""),0,ROUND(SUMIFS(aditivos!$L$2:$L$200,aditivos!$A$2:$A$200,$A142,aditivos!$C$2:$C$200,"C4",aditivos!$B$2:$B$200,"&gt;="&amp;(INT(parametros!$I$6)+1)),2)))</f>
        <v/>
      </c>
      <c r="AG142" t="str">
        <f t="shared" si="84"/>
        <v/>
      </c>
      <c r="AH142" t="str">
        <f t="shared" si="85"/>
        <v/>
      </c>
      <c r="AI142" t="str">
        <f t="shared" si="86"/>
        <v/>
      </c>
      <c r="AJ142" t="str">
        <f t="shared" si="87"/>
        <v/>
      </c>
      <c r="AK142" t="str">
        <f t="shared" si="88"/>
        <v/>
      </c>
      <c r="AL142" t="str">
        <f t="shared" si="89"/>
        <v/>
      </c>
    </row>
    <row r="143" spans="1:38" x14ac:dyDescent="0.35">
      <c r="A143" s="146" t="str">
        <f>IF(itens_Remanesc!A143="","",itens_Remanesc!A143)</f>
        <v/>
      </c>
      <c r="B143" s="196" t="str">
        <f>IF(A143="","",itens_Remanesc!C143)</f>
        <v/>
      </c>
      <c r="C143" s="161" t="str">
        <f>IF(A143="","",IF(itens_Remanesc!B143="",0,itens_Remanesc!B143))</f>
        <v/>
      </c>
      <c r="D143" s="163" t="str">
        <f>IF(A143="","",ROUND(SUMIFS(aditivos!$L$2:$L$200,aditivos!$A$2:$A$200,A143,aditivos!$C$2:$C$200,"C0"),2))</f>
        <v/>
      </c>
      <c r="E143" s="159" t="str">
        <f t="shared" si="72"/>
        <v/>
      </c>
      <c r="F143" s="159" t="str">
        <f>IF(A143="","",IF(itens_Remanesc!B143&lt;&gt;"",itens_Remanesc!B143,IF($Z143,0,"")))</f>
        <v/>
      </c>
      <c r="G143" s="167" t="str">
        <f t="shared" si="73"/>
        <v/>
      </c>
      <c r="H143" s="169" t="str">
        <f>IF(A143="","",ROUND(SUMIFS(aditivos!$L$2:$L$200,aditivos!$A$2:$A$200,A143,aditivos!$C$2:$C$200,"C1"),2))</f>
        <v/>
      </c>
      <c r="I143" s="165" t="str">
        <f t="shared" si="74"/>
        <v/>
      </c>
      <c r="J143" s="165" t="str">
        <f>IF(A143="","",IF(itens_Remanesc!E143="","",itens_Remanesc!E143))</f>
        <v/>
      </c>
      <c r="K143" s="171" t="str">
        <f t="shared" si="75"/>
        <v/>
      </c>
      <c r="L143" s="163" t="str">
        <f>IF(A143="","",ROUND(SUMIFS(aditivos!$L$2:$L$200,aditivos!$A$2:$A$200,A143,aditivos!$C$2:$C$200,"C2"),2))</f>
        <v/>
      </c>
      <c r="M143" s="159" t="str">
        <f t="shared" si="76"/>
        <v/>
      </c>
      <c r="N143" s="159" t="str">
        <f>IF(A143="","",IF(itens_Remanesc!G143="","",itens_Remanesc!G143))</f>
        <v/>
      </c>
      <c r="O143" s="167" t="str">
        <f t="shared" si="77"/>
        <v/>
      </c>
      <c r="P143" s="169" t="str">
        <f>IF(A143="","",ROUND(SUMIFS(aditivos!$L$2:$L$200,aditivos!$A$2:$A$200,A143,aditivos!$C$2:$C$200,"C3"),2))</f>
        <v/>
      </c>
      <c r="Q143" s="165" t="str">
        <f t="shared" si="78"/>
        <v/>
      </c>
      <c r="R143" s="165" t="str">
        <f>IF(A143="","",IF(itens_Remanesc!I143="","",itens_Remanesc!I143))</f>
        <v/>
      </c>
      <c r="S143" s="171" t="str">
        <f t="shared" si="79"/>
        <v/>
      </c>
      <c r="T143" s="163" t="str">
        <f>IF(A143="","",ROUND(SUMIFS(aditivos!$L$2:$L$200,aditivos!$A$2:$A$200,A143,aditivos!$C$2:$C$200,"C4"),2))</f>
        <v/>
      </c>
      <c r="U143" s="159" t="str">
        <f t="shared" si="80"/>
        <v/>
      </c>
      <c r="V143" s="159" t="str">
        <f>IF(A143="","",IF(itens_Remanesc!K143="","",itens_Remanesc!K143))</f>
        <v/>
      </c>
      <c r="W143" s="159" t="str">
        <f t="shared" si="81"/>
        <v/>
      </c>
      <c r="X143" s="146" t="str">
        <f>IF(A143="","",IF(COUNTIF($A$2:$A$200,A143)&gt;1,"ALERTA: ITEM_DUPLICADO",IF(AND($Z143,ISNUMBER(itens_Remanesc!B143),itens_Remanesc!B143&lt;&gt;0),"NOVO ITEM COM BASE DIFERENTE DE 0 - AJUSTAR itens_Remanesc",IF(AND($Z143,NOT(ISNUMBER(itens_Remanesc!C143))),"NOVO ITEM SEM VU_ORIGINAL - INFORMAR EM itens_Remanesc",IF(MIN(E143,I143,M143,Q143,U143,G143,K143,O143,S143,W143)&lt;0,"ALERTA: POSICAO_NEGATIVA",IF(OR(AND(G143&lt;&gt;"",G143&gt;E143),AND(K143&lt;&gt;"",K143&gt;I143),AND(O143&lt;&gt;"",O143&gt;M143),AND(S143&lt;&gt;"",S143&gt;Q143),AND(W143&lt;&gt;"",W143&gt;U143)),"ALERTA: REMANESCENTE_SUPERA_POSICAO","OK"))))))</f>
        <v/>
      </c>
      <c r="Y143" t="str">
        <f t="shared" si="82"/>
        <v/>
      </c>
      <c r="Z143" t="b">
        <f t="shared" si="83"/>
        <v>0</v>
      </c>
      <c r="AA143" s="208" t="str">
        <f>IF($A143="","",IF(COUNTIFS(aditivos!$A$2:$A$200,$A143,aditivos!$L$2:$L$200,"&lt;&gt;",aditivos!$L$2:$L$200,"&lt;&gt;0",aditivos!$B$2:$B$200,"&gt;0")=0,"",IFERROR(_xlfn.MINIFS(aditivos!$B$2:$B$200,aditivos!$A$2:$A$200,$A143,aditivos!$L$2:$L$200,"&lt;&gt;",aditivos!$L$2:$L$200,"&lt;&gt;0",aditivos!$B$2:$B$200,"&gt;0"),"")))</f>
        <v/>
      </c>
      <c r="AB143" t="str">
        <f>IF($A143="","",IF(OR(parametros!$C$2="",parametros!$I$2=""),0,ROUND(SUMIFS(aditivos!$L$2:$L$200,aditivos!$A$2:$A$200,$A143,aditivos!$C$2:$C$200,"C0",aditivos!$B$2:$B$200,"&gt;="&amp;(INT(parametros!$I$2)+1)),2)))</f>
        <v/>
      </c>
      <c r="AC143" t="str">
        <f>IF($A143="","",IF(OR(parametros!$C$3="",parametros!$I$3=""),0,ROUND(SUMIFS(aditivos!$L$2:$L$200,aditivos!$A$2:$A$200,$A143,aditivos!$C$2:$C$200,"C1",aditivos!$B$2:$B$200,"&gt;="&amp;(INT(parametros!$I$3)+1)),2)))</f>
        <v/>
      </c>
      <c r="AD143" t="str">
        <f>IF($A143="","",IF(OR(parametros!$C$4="",parametros!$I$4=""),0,ROUND(SUMIFS(aditivos!$L$2:$L$200,aditivos!$A$2:$A$200,$A143,aditivos!$C$2:$C$200,"C2",aditivos!$B$2:$B$200,"&gt;="&amp;(INT(parametros!$I$4)+1)),2)))</f>
        <v/>
      </c>
      <c r="AE143" t="str">
        <f>IF($A143="","",IF(OR(parametros!$C$5="",parametros!$I$5=""),0,ROUND(SUMIFS(aditivos!$L$2:$L$200,aditivos!$A$2:$A$200,$A143,aditivos!$C$2:$C$200,"C3",aditivos!$B$2:$B$200,"&gt;="&amp;(INT(parametros!$I$5)+1)),2)))</f>
        <v/>
      </c>
      <c r="AF143" t="str">
        <f>IF($A143="","",IF(OR(parametros!$C$6="",parametros!$I$6=""),0,ROUND(SUMIFS(aditivos!$L$2:$L$200,aditivos!$A$2:$A$200,$A143,aditivos!$C$2:$C$200,"C4",aditivos!$B$2:$B$200,"&gt;="&amp;(INT(parametros!$I$6)+1)),2)))</f>
        <v/>
      </c>
      <c r="AG143" t="str">
        <f t="shared" si="84"/>
        <v/>
      </c>
      <c r="AH143" t="str">
        <f t="shared" si="85"/>
        <v/>
      </c>
      <c r="AI143" t="str">
        <f t="shared" si="86"/>
        <v/>
      </c>
      <c r="AJ143" t="str">
        <f t="shared" si="87"/>
        <v/>
      </c>
      <c r="AK143" t="str">
        <f t="shared" si="88"/>
        <v/>
      </c>
      <c r="AL143" t="str">
        <f t="shared" si="89"/>
        <v/>
      </c>
    </row>
    <row r="144" spans="1:38" x14ac:dyDescent="0.35">
      <c r="A144" s="146" t="str">
        <f>IF(itens_Remanesc!A144="","",itens_Remanesc!A144)</f>
        <v/>
      </c>
      <c r="B144" s="196" t="str">
        <f>IF(A144="","",itens_Remanesc!C144)</f>
        <v/>
      </c>
      <c r="C144" s="161" t="str">
        <f>IF(A144="","",IF(itens_Remanesc!B144="",0,itens_Remanesc!B144))</f>
        <v/>
      </c>
      <c r="D144" s="163" t="str">
        <f>IF(A144="","",ROUND(SUMIFS(aditivos!$L$2:$L$200,aditivos!$A$2:$A$200,A144,aditivos!$C$2:$C$200,"C0"),2))</f>
        <v/>
      </c>
      <c r="E144" s="159" t="str">
        <f t="shared" si="72"/>
        <v/>
      </c>
      <c r="F144" s="159" t="str">
        <f>IF(A144="","",IF(itens_Remanesc!B144&lt;&gt;"",itens_Remanesc!B144,IF($Z144,0,"")))</f>
        <v/>
      </c>
      <c r="G144" s="167" t="str">
        <f t="shared" si="73"/>
        <v/>
      </c>
      <c r="H144" s="169" t="str">
        <f>IF(A144="","",ROUND(SUMIFS(aditivos!$L$2:$L$200,aditivos!$A$2:$A$200,A144,aditivos!$C$2:$C$200,"C1"),2))</f>
        <v/>
      </c>
      <c r="I144" s="165" t="str">
        <f t="shared" si="74"/>
        <v/>
      </c>
      <c r="J144" s="165" t="str">
        <f>IF(A144="","",IF(itens_Remanesc!E144="","",itens_Remanesc!E144))</f>
        <v/>
      </c>
      <c r="K144" s="171" t="str">
        <f t="shared" si="75"/>
        <v/>
      </c>
      <c r="L144" s="163" t="str">
        <f>IF(A144="","",ROUND(SUMIFS(aditivos!$L$2:$L$200,aditivos!$A$2:$A$200,A144,aditivos!$C$2:$C$200,"C2"),2))</f>
        <v/>
      </c>
      <c r="M144" s="159" t="str">
        <f t="shared" si="76"/>
        <v/>
      </c>
      <c r="N144" s="159" t="str">
        <f>IF(A144="","",IF(itens_Remanesc!G144="","",itens_Remanesc!G144))</f>
        <v/>
      </c>
      <c r="O144" s="167" t="str">
        <f t="shared" si="77"/>
        <v/>
      </c>
      <c r="P144" s="169" t="str">
        <f>IF(A144="","",ROUND(SUMIFS(aditivos!$L$2:$L$200,aditivos!$A$2:$A$200,A144,aditivos!$C$2:$C$200,"C3"),2))</f>
        <v/>
      </c>
      <c r="Q144" s="165" t="str">
        <f t="shared" si="78"/>
        <v/>
      </c>
      <c r="R144" s="165" t="str">
        <f>IF(A144="","",IF(itens_Remanesc!I144="","",itens_Remanesc!I144))</f>
        <v/>
      </c>
      <c r="S144" s="171" t="str">
        <f t="shared" si="79"/>
        <v/>
      </c>
      <c r="T144" s="163" t="str">
        <f>IF(A144="","",ROUND(SUMIFS(aditivos!$L$2:$L$200,aditivos!$A$2:$A$200,A144,aditivos!$C$2:$C$200,"C4"),2))</f>
        <v/>
      </c>
      <c r="U144" s="159" t="str">
        <f t="shared" si="80"/>
        <v/>
      </c>
      <c r="V144" s="159" t="str">
        <f>IF(A144="","",IF(itens_Remanesc!K144="","",itens_Remanesc!K144))</f>
        <v/>
      </c>
      <c r="W144" s="159" t="str">
        <f t="shared" si="81"/>
        <v/>
      </c>
      <c r="X144" s="146" t="str">
        <f>IF(A144="","",IF(COUNTIF($A$2:$A$200,A144)&gt;1,"ALERTA: ITEM_DUPLICADO",IF(AND($Z144,ISNUMBER(itens_Remanesc!B144),itens_Remanesc!B144&lt;&gt;0),"NOVO ITEM COM BASE DIFERENTE DE 0 - AJUSTAR itens_Remanesc",IF(AND($Z144,NOT(ISNUMBER(itens_Remanesc!C144))),"NOVO ITEM SEM VU_ORIGINAL - INFORMAR EM itens_Remanesc",IF(MIN(E144,I144,M144,Q144,U144,G144,K144,O144,S144,W144)&lt;0,"ALERTA: POSICAO_NEGATIVA",IF(OR(AND(G144&lt;&gt;"",G144&gt;E144),AND(K144&lt;&gt;"",K144&gt;I144),AND(O144&lt;&gt;"",O144&gt;M144),AND(S144&lt;&gt;"",S144&gt;Q144),AND(W144&lt;&gt;"",W144&gt;U144)),"ALERTA: REMANESCENTE_SUPERA_POSICAO","OK"))))))</f>
        <v/>
      </c>
      <c r="Y144" t="str">
        <f t="shared" si="82"/>
        <v/>
      </c>
      <c r="Z144" t="b">
        <f t="shared" si="83"/>
        <v>0</v>
      </c>
      <c r="AA144" s="208" t="str">
        <f>IF($A144="","",IF(COUNTIFS(aditivos!$A$2:$A$200,$A144,aditivos!$L$2:$L$200,"&lt;&gt;",aditivos!$L$2:$L$200,"&lt;&gt;0",aditivos!$B$2:$B$200,"&gt;0")=0,"",IFERROR(_xlfn.MINIFS(aditivos!$B$2:$B$200,aditivos!$A$2:$A$200,$A144,aditivos!$L$2:$L$200,"&lt;&gt;",aditivos!$L$2:$L$200,"&lt;&gt;0",aditivos!$B$2:$B$200,"&gt;0"),"")))</f>
        <v/>
      </c>
      <c r="AB144" t="str">
        <f>IF($A144="","",IF(OR(parametros!$C$2="",parametros!$I$2=""),0,ROUND(SUMIFS(aditivos!$L$2:$L$200,aditivos!$A$2:$A$200,$A144,aditivos!$C$2:$C$200,"C0",aditivos!$B$2:$B$200,"&gt;="&amp;(INT(parametros!$I$2)+1)),2)))</f>
        <v/>
      </c>
      <c r="AC144" t="str">
        <f>IF($A144="","",IF(OR(parametros!$C$3="",parametros!$I$3=""),0,ROUND(SUMIFS(aditivos!$L$2:$L$200,aditivos!$A$2:$A$200,$A144,aditivos!$C$2:$C$200,"C1",aditivos!$B$2:$B$200,"&gt;="&amp;(INT(parametros!$I$3)+1)),2)))</f>
        <v/>
      </c>
      <c r="AD144" t="str">
        <f>IF($A144="","",IF(OR(parametros!$C$4="",parametros!$I$4=""),0,ROUND(SUMIFS(aditivos!$L$2:$L$200,aditivos!$A$2:$A$200,$A144,aditivos!$C$2:$C$200,"C2",aditivos!$B$2:$B$200,"&gt;="&amp;(INT(parametros!$I$4)+1)),2)))</f>
        <v/>
      </c>
      <c r="AE144" t="str">
        <f>IF($A144="","",IF(OR(parametros!$C$5="",parametros!$I$5=""),0,ROUND(SUMIFS(aditivos!$L$2:$L$200,aditivos!$A$2:$A$200,$A144,aditivos!$C$2:$C$200,"C3",aditivos!$B$2:$B$200,"&gt;="&amp;(INT(parametros!$I$5)+1)),2)))</f>
        <v/>
      </c>
      <c r="AF144" t="str">
        <f>IF($A144="","",IF(OR(parametros!$C$6="",parametros!$I$6=""),0,ROUND(SUMIFS(aditivos!$L$2:$L$200,aditivos!$A$2:$A$200,$A144,aditivos!$C$2:$C$200,"C4",aditivos!$B$2:$B$200,"&gt;="&amp;(INT(parametros!$I$6)+1)),2)))</f>
        <v/>
      </c>
      <c r="AG144" t="str">
        <f t="shared" si="84"/>
        <v/>
      </c>
      <c r="AH144" t="str">
        <f t="shared" si="85"/>
        <v/>
      </c>
      <c r="AI144" t="str">
        <f t="shared" si="86"/>
        <v/>
      </c>
      <c r="AJ144" t="str">
        <f t="shared" si="87"/>
        <v/>
      </c>
      <c r="AK144" t="str">
        <f t="shared" si="88"/>
        <v/>
      </c>
      <c r="AL144" t="str">
        <f t="shared" si="89"/>
        <v/>
      </c>
    </row>
    <row r="145" spans="1:38" x14ac:dyDescent="0.35">
      <c r="A145" s="146" t="str">
        <f>IF(itens_Remanesc!A145="","",itens_Remanesc!A145)</f>
        <v/>
      </c>
      <c r="B145" s="196" t="str">
        <f>IF(A145="","",itens_Remanesc!C145)</f>
        <v/>
      </c>
      <c r="C145" s="161" t="str">
        <f>IF(A145="","",IF(itens_Remanesc!B145="",0,itens_Remanesc!B145))</f>
        <v/>
      </c>
      <c r="D145" s="163" t="str">
        <f>IF(A145="","",ROUND(SUMIFS(aditivos!$L$2:$L$200,aditivos!$A$2:$A$200,A145,aditivos!$C$2:$C$200,"C0"),2))</f>
        <v/>
      </c>
      <c r="E145" s="159" t="str">
        <f t="shared" si="72"/>
        <v/>
      </c>
      <c r="F145" s="159" t="str">
        <f>IF(A145="","",IF(itens_Remanesc!B145&lt;&gt;"",itens_Remanesc!B145,IF($Z145,0,"")))</f>
        <v/>
      </c>
      <c r="G145" s="167" t="str">
        <f t="shared" si="73"/>
        <v/>
      </c>
      <c r="H145" s="169" t="str">
        <f>IF(A145="","",ROUND(SUMIFS(aditivos!$L$2:$L$200,aditivos!$A$2:$A$200,A145,aditivos!$C$2:$C$200,"C1"),2))</f>
        <v/>
      </c>
      <c r="I145" s="165" t="str">
        <f t="shared" si="74"/>
        <v/>
      </c>
      <c r="J145" s="165" t="str">
        <f>IF(A145="","",IF(itens_Remanesc!E145="","",itens_Remanesc!E145))</f>
        <v/>
      </c>
      <c r="K145" s="171" t="str">
        <f t="shared" si="75"/>
        <v/>
      </c>
      <c r="L145" s="163" t="str">
        <f>IF(A145="","",ROUND(SUMIFS(aditivos!$L$2:$L$200,aditivos!$A$2:$A$200,A145,aditivos!$C$2:$C$200,"C2"),2))</f>
        <v/>
      </c>
      <c r="M145" s="159" t="str">
        <f t="shared" si="76"/>
        <v/>
      </c>
      <c r="N145" s="159" t="str">
        <f>IF(A145="","",IF(itens_Remanesc!G145="","",itens_Remanesc!G145))</f>
        <v/>
      </c>
      <c r="O145" s="167" t="str">
        <f t="shared" si="77"/>
        <v/>
      </c>
      <c r="P145" s="169" t="str">
        <f>IF(A145="","",ROUND(SUMIFS(aditivos!$L$2:$L$200,aditivos!$A$2:$A$200,A145,aditivos!$C$2:$C$200,"C3"),2))</f>
        <v/>
      </c>
      <c r="Q145" s="165" t="str">
        <f t="shared" si="78"/>
        <v/>
      </c>
      <c r="R145" s="165" t="str">
        <f>IF(A145="","",IF(itens_Remanesc!I145="","",itens_Remanesc!I145))</f>
        <v/>
      </c>
      <c r="S145" s="171" t="str">
        <f t="shared" si="79"/>
        <v/>
      </c>
      <c r="T145" s="163" t="str">
        <f>IF(A145="","",ROUND(SUMIFS(aditivos!$L$2:$L$200,aditivos!$A$2:$A$200,A145,aditivos!$C$2:$C$200,"C4"),2))</f>
        <v/>
      </c>
      <c r="U145" s="159" t="str">
        <f t="shared" si="80"/>
        <v/>
      </c>
      <c r="V145" s="159" t="str">
        <f>IF(A145="","",IF(itens_Remanesc!K145="","",itens_Remanesc!K145))</f>
        <v/>
      </c>
      <c r="W145" s="159" t="str">
        <f t="shared" si="81"/>
        <v/>
      </c>
      <c r="X145" s="146" t="str">
        <f>IF(A145="","",IF(COUNTIF($A$2:$A$200,A145)&gt;1,"ALERTA: ITEM_DUPLICADO",IF(AND($Z145,ISNUMBER(itens_Remanesc!B145),itens_Remanesc!B145&lt;&gt;0),"NOVO ITEM COM BASE DIFERENTE DE 0 - AJUSTAR itens_Remanesc",IF(AND($Z145,NOT(ISNUMBER(itens_Remanesc!C145))),"NOVO ITEM SEM VU_ORIGINAL - INFORMAR EM itens_Remanesc",IF(MIN(E145,I145,M145,Q145,U145,G145,K145,O145,S145,W145)&lt;0,"ALERTA: POSICAO_NEGATIVA",IF(OR(AND(G145&lt;&gt;"",G145&gt;E145),AND(K145&lt;&gt;"",K145&gt;I145),AND(O145&lt;&gt;"",O145&gt;M145),AND(S145&lt;&gt;"",S145&gt;Q145),AND(W145&lt;&gt;"",W145&gt;U145)),"ALERTA: REMANESCENTE_SUPERA_POSICAO","OK"))))))</f>
        <v/>
      </c>
      <c r="Y145" t="str">
        <f t="shared" si="82"/>
        <v/>
      </c>
      <c r="Z145" t="b">
        <f t="shared" si="83"/>
        <v>0</v>
      </c>
      <c r="AA145" s="208" t="str">
        <f>IF($A145="","",IF(COUNTIFS(aditivos!$A$2:$A$200,$A145,aditivos!$L$2:$L$200,"&lt;&gt;",aditivos!$L$2:$L$200,"&lt;&gt;0",aditivos!$B$2:$B$200,"&gt;0")=0,"",IFERROR(_xlfn.MINIFS(aditivos!$B$2:$B$200,aditivos!$A$2:$A$200,$A145,aditivos!$L$2:$L$200,"&lt;&gt;",aditivos!$L$2:$L$200,"&lt;&gt;0",aditivos!$B$2:$B$200,"&gt;0"),"")))</f>
        <v/>
      </c>
      <c r="AB145" t="str">
        <f>IF($A145="","",IF(OR(parametros!$C$2="",parametros!$I$2=""),0,ROUND(SUMIFS(aditivos!$L$2:$L$200,aditivos!$A$2:$A$200,$A145,aditivos!$C$2:$C$200,"C0",aditivos!$B$2:$B$200,"&gt;="&amp;(INT(parametros!$I$2)+1)),2)))</f>
        <v/>
      </c>
      <c r="AC145" t="str">
        <f>IF($A145="","",IF(OR(parametros!$C$3="",parametros!$I$3=""),0,ROUND(SUMIFS(aditivos!$L$2:$L$200,aditivos!$A$2:$A$200,$A145,aditivos!$C$2:$C$200,"C1",aditivos!$B$2:$B$200,"&gt;="&amp;(INT(parametros!$I$3)+1)),2)))</f>
        <v/>
      </c>
      <c r="AD145" t="str">
        <f>IF($A145="","",IF(OR(parametros!$C$4="",parametros!$I$4=""),0,ROUND(SUMIFS(aditivos!$L$2:$L$200,aditivos!$A$2:$A$200,$A145,aditivos!$C$2:$C$200,"C2",aditivos!$B$2:$B$200,"&gt;="&amp;(INT(parametros!$I$4)+1)),2)))</f>
        <v/>
      </c>
      <c r="AE145" t="str">
        <f>IF($A145="","",IF(OR(parametros!$C$5="",parametros!$I$5=""),0,ROUND(SUMIFS(aditivos!$L$2:$L$200,aditivos!$A$2:$A$200,$A145,aditivos!$C$2:$C$200,"C3",aditivos!$B$2:$B$200,"&gt;="&amp;(INT(parametros!$I$5)+1)),2)))</f>
        <v/>
      </c>
      <c r="AF145" t="str">
        <f>IF($A145="","",IF(OR(parametros!$C$6="",parametros!$I$6=""),0,ROUND(SUMIFS(aditivos!$L$2:$L$200,aditivos!$A$2:$A$200,$A145,aditivos!$C$2:$C$200,"C4",aditivos!$B$2:$B$200,"&gt;="&amp;(INT(parametros!$I$6)+1)),2)))</f>
        <v/>
      </c>
      <c r="AG145" t="str">
        <f t="shared" si="84"/>
        <v/>
      </c>
      <c r="AH145" t="str">
        <f t="shared" si="85"/>
        <v/>
      </c>
      <c r="AI145" t="str">
        <f t="shared" si="86"/>
        <v/>
      </c>
      <c r="AJ145" t="str">
        <f t="shared" si="87"/>
        <v/>
      </c>
      <c r="AK145" t="str">
        <f t="shared" si="88"/>
        <v/>
      </c>
      <c r="AL145" t="str">
        <f t="shared" si="89"/>
        <v/>
      </c>
    </row>
    <row r="146" spans="1:38" x14ac:dyDescent="0.35">
      <c r="A146" s="146" t="str">
        <f>IF(itens_Remanesc!A146="","",itens_Remanesc!A146)</f>
        <v/>
      </c>
      <c r="B146" s="196" t="str">
        <f>IF(A146="","",itens_Remanesc!C146)</f>
        <v/>
      </c>
      <c r="C146" s="161" t="str">
        <f>IF(A146="","",IF(itens_Remanesc!B146="",0,itens_Remanesc!B146))</f>
        <v/>
      </c>
      <c r="D146" s="163" t="str">
        <f>IF(A146="","",ROUND(SUMIFS(aditivos!$L$2:$L$200,aditivos!$A$2:$A$200,A146,aditivos!$C$2:$C$200,"C0"),2))</f>
        <v/>
      </c>
      <c r="E146" s="159" t="str">
        <f t="shared" si="72"/>
        <v/>
      </c>
      <c r="F146" s="159" t="str">
        <f>IF(A146="","",IF(itens_Remanesc!B146&lt;&gt;"",itens_Remanesc!B146,IF($Z146,0,"")))</f>
        <v/>
      </c>
      <c r="G146" s="167" t="str">
        <f t="shared" si="73"/>
        <v/>
      </c>
      <c r="H146" s="169" t="str">
        <f>IF(A146="","",ROUND(SUMIFS(aditivos!$L$2:$L$200,aditivos!$A$2:$A$200,A146,aditivos!$C$2:$C$200,"C1"),2))</f>
        <v/>
      </c>
      <c r="I146" s="165" t="str">
        <f t="shared" si="74"/>
        <v/>
      </c>
      <c r="J146" s="165" t="str">
        <f>IF(A146="","",IF(itens_Remanesc!E146="","",itens_Remanesc!E146))</f>
        <v/>
      </c>
      <c r="K146" s="171" t="str">
        <f t="shared" si="75"/>
        <v/>
      </c>
      <c r="L146" s="163" t="str">
        <f>IF(A146="","",ROUND(SUMIFS(aditivos!$L$2:$L$200,aditivos!$A$2:$A$200,A146,aditivos!$C$2:$C$200,"C2"),2))</f>
        <v/>
      </c>
      <c r="M146" s="159" t="str">
        <f t="shared" si="76"/>
        <v/>
      </c>
      <c r="N146" s="159" t="str">
        <f>IF(A146="","",IF(itens_Remanesc!G146="","",itens_Remanesc!G146))</f>
        <v/>
      </c>
      <c r="O146" s="167" t="str">
        <f t="shared" si="77"/>
        <v/>
      </c>
      <c r="P146" s="169" t="str">
        <f>IF(A146="","",ROUND(SUMIFS(aditivos!$L$2:$L$200,aditivos!$A$2:$A$200,A146,aditivos!$C$2:$C$200,"C3"),2))</f>
        <v/>
      </c>
      <c r="Q146" s="165" t="str">
        <f t="shared" si="78"/>
        <v/>
      </c>
      <c r="R146" s="165" t="str">
        <f>IF(A146="","",IF(itens_Remanesc!I146="","",itens_Remanesc!I146))</f>
        <v/>
      </c>
      <c r="S146" s="171" t="str">
        <f t="shared" si="79"/>
        <v/>
      </c>
      <c r="T146" s="163" t="str">
        <f>IF(A146="","",ROUND(SUMIFS(aditivos!$L$2:$L$200,aditivos!$A$2:$A$200,A146,aditivos!$C$2:$C$200,"C4"),2))</f>
        <v/>
      </c>
      <c r="U146" s="159" t="str">
        <f t="shared" si="80"/>
        <v/>
      </c>
      <c r="V146" s="159" t="str">
        <f>IF(A146="","",IF(itens_Remanesc!K146="","",itens_Remanesc!K146))</f>
        <v/>
      </c>
      <c r="W146" s="159" t="str">
        <f t="shared" si="81"/>
        <v/>
      </c>
      <c r="X146" s="146" t="str">
        <f>IF(A146="","",IF(COUNTIF($A$2:$A$200,A146)&gt;1,"ALERTA: ITEM_DUPLICADO",IF(AND($Z146,ISNUMBER(itens_Remanesc!B146),itens_Remanesc!B146&lt;&gt;0),"NOVO ITEM COM BASE DIFERENTE DE 0 - AJUSTAR itens_Remanesc",IF(AND($Z146,NOT(ISNUMBER(itens_Remanesc!C146))),"NOVO ITEM SEM VU_ORIGINAL - INFORMAR EM itens_Remanesc",IF(MIN(E146,I146,M146,Q146,U146,G146,K146,O146,S146,W146)&lt;0,"ALERTA: POSICAO_NEGATIVA",IF(OR(AND(G146&lt;&gt;"",G146&gt;E146),AND(K146&lt;&gt;"",K146&gt;I146),AND(O146&lt;&gt;"",O146&gt;M146),AND(S146&lt;&gt;"",S146&gt;Q146),AND(W146&lt;&gt;"",W146&gt;U146)),"ALERTA: REMANESCENTE_SUPERA_POSICAO","OK"))))))</f>
        <v/>
      </c>
      <c r="Y146" t="str">
        <f t="shared" si="82"/>
        <v/>
      </c>
      <c r="Z146" t="b">
        <f t="shared" si="83"/>
        <v>0</v>
      </c>
      <c r="AA146" s="208" t="str">
        <f>IF($A146="","",IF(COUNTIFS(aditivos!$A$2:$A$200,$A146,aditivos!$L$2:$L$200,"&lt;&gt;",aditivos!$L$2:$L$200,"&lt;&gt;0",aditivos!$B$2:$B$200,"&gt;0")=0,"",IFERROR(_xlfn.MINIFS(aditivos!$B$2:$B$200,aditivos!$A$2:$A$200,$A146,aditivos!$L$2:$L$200,"&lt;&gt;",aditivos!$L$2:$L$200,"&lt;&gt;0",aditivos!$B$2:$B$200,"&gt;0"),"")))</f>
        <v/>
      </c>
      <c r="AB146" t="str">
        <f>IF($A146="","",IF(OR(parametros!$C$2="",parametros!$I$2=""),0,ROUND(SUMIFS(aditivos!$L$2:$L$200,aditivos!$A$2:$A$200,$A146,aditivos!$C$2:$C$200,"C0",aditivos!$B$2:$B$200,"&gt;="&amp;(INT(parametros!$I$2)+1)),2)))</f>
        <v/>
      </c>
      <c r="AC146" t="str">
        <f>IF($A146="","",IF(OR(parametros!$C$3="",parametros!$I$3=""),0,ROUND(SUMIFS(aditivos!$L$2:$L$200,aditivos!$A$2:$A$200,$A146,aditivos!$C$2:$C$200,"C1",aditivos!$B$2:$B$200,"&gt;="&amp;(INT(parametros!$I$3)+1)),2)))</f>
        <v/>
      </c>
      <c r="AD146" t="str">
        <f>IF($A146="","",IF(OR(parametros!$C$4="",parametros!$I$4=""),0,ROUND(SUMIFS(aditivos!$L$2:$L$200,aditivos!$A$2:$A$200,$A146,aditivos!$C$2:$C$200,"C2",aditivos!$B$2:$B$200,"&gt;="&amp;(INT(parametros!$I$4)+1)),2)))</f>
        <v/>
      </c>
      <c r="AE146" t="str">
        <f>IF($A146="","",IF(OR(parametros!$C$5="",parametros!$I$5=""),0,ROUND(SUMIFS(aditivos!$L$2:$L$200,aditivos!$A$2:$A$200,$A146,aditivos!$C$2:$C$200,"C3",aditivos!$B$2:$B$200,"&gt;="&amp;(INT(parametros!$I$5)+1)),2)))</f>
        <v/>
      </c>
      <c r="AF146" t="str">
        <f>IF($A146="","",IF(OR(parametros!$C$6="",parametros!$I$6=""),0,ROUND(SUMIFS(aditivos!$L$2:$L$200,aditivos!$A$2:$A$200,$A146,aditivos!$C$2:$C$200,"C4",aditivos!$B$2:$B$200,"&gt;="&amp;(INT(parametros!$I$6)+1)),2)))</f>
        <v/>
      </c>
      <c r="AG146" t="str">
        <f t="shared" si="84"/>
        <v/>
      </c>
      <c r="AH146" t="str">
        <f t="shared" si="85"/>
        <v/>
      </c>
      <c r="AI146" t="str">
        <f t="shared" si="86"/>
        <v/>
      </c>
      <c r="AJ146" t="str">
        <f t="shared" si="87"/>
        <v/>
      </c>
      <c r="AK146" t="str">
        <f t="shared" si="88"/>
        <v/>
      </c>
      <c r="AL146" t="str">
        <f t="shared" si="89"/>
        <v/>
      </c>
    </row>
    <row r="147" spans="1:38" x14ac:dyDescent="0.35">
      <c r="A147" s="146" t="str">
        <f>IF(itens_Remanesc!A147="","",itens_Remanesc!A147)</f>
        <v/>
      </c>
      <c r="B147" s="196" t="str">
        <f>IF(A147="","",itens_Remanesc!C147)</f>
        <v/>
      </c>
      <c r="C147" s="161" t="str">
        <f>IF(A147="","",IF(itens_Remanesc!B147="",0,itens_Remanesc!B147))</f>
        <v/>
      </c>
      <c r="D147" s="163" t="str">
        <f>IF(A147="","",ROUND(SUMIFS(aditivos!$L$2:$L$200,aditivos!$A$2:$A$200,A147,aditivos!$C$2:$C$200,"C0"),2))</f>
        <v/>
      </c>
      <c r="E147" s="159" t="str">
        <f t="shared" si="72"/>
        <v/>
      </c>
      <c r="F147" s="159" t="str">
        <f>IF(A147="","",IF(itens_Remanesc!B147&lt;&gt;"",itens_Remanesc!B147,IF($Z147,0,"")))</f>
        <v/>
      </c>
      <c r="G147" s="167" t="str">
        <f t="shared" si="73"/>
        <v/>
      </c>
      <c r="H147" s="169" t="str">
        <f>IF(A147="","",ROUND(SUMIFS(aditivos!$L$2:$L$200,aditivos!$A$2:$A$200,A147,aditivos!$C$2:$C$200,"C1"),2))</f>
        <v/>
      </c>
      <c r="I147" s="165" t="str">
        <f t="shared" si="74"/>
        <v/>
      </c>
      <c r="J147" s="165" t="str">
        <f>IF(A147="","",IF(itens_Remanesc!E147="","",itens_Remanesc!E147))</f>
        <v/>
      </c>
      <c r="K147" s="171" t="str">
        <f t="shared" si="75"/>
        <v/>
      </c>
      <c r="L147" s="163" t="str">
        <f>IF(A147="","",ROUND(SUMIFS(aditivos!$L$2:$L$200,aditivos!$A$2:$A$200,A147,aditivos!$C$2:$C$200,"C2"),2))</f>
        <v/>
      </c>
      <c r="M147" s="159" t="str">
        <f t="shared" si="76"/>
        <v/>
      </c>
      <c r="N147" s="159" t="str">
        <f>IF(A147="","",IF(itens_Remanesc!G147="","",itens_Remanesc!G147))</f>
        <v/>
      </c>
      <c r="O147" s="167" t="str">
        <f t="shared" si="77"/>
        <v/>
      </c>
      <c r="P147" s="169" t="str">
        <f>IF(A147="","",ROUND(SUMIFS(aditivos!$L$2:$L$200,aditivos!$A$2:$A$200,A147,aditivos!$C$2:$C$200,"C3"),2))</f>
        <v/>
      </c>
      <c r="Q147" s="165" t="str">
        <f t="shared" si="78"/>
        <v/>
      </c>
      <c r="R147" s="165" t="str">
        <f>IF(A147="","",IF(itens_Remanesc!I147="","",itens_Remanesc!I147))</f>
        <v/>
      </c>
      <c r="S147" s="171" t="str">
        <f t="shared" si="79"/>
        <v/>
      </c>
      <c r="T147" s="163" t="str">
        <f>IF(A147="","",ROUND(SUMIFS(aditivos!$L$2:$L$200,aditivos!$A$2:$A$200,A147,aditivos!$C$2:$C$200,"C4"),2))</f>
        <v/>
      </c>
      <c r="U147" s="159" t="str">
        <f t="shared" si="80"/>
        <v/>
      </c>
      <c r="V147" s="159" t="str">
        <f>IF(A147="","",IF(itens_Remanesc!K147="","",itens_Remanesc!K147))</f>
        <v/>
      </c>
      <c r="W147" s="159" t="str">
        <f t="shared" si="81"/>
        <v/>
      </c>
      <c r="X147" s="146" t="str">
        <f>IF(A147="","",IF(COUNTIF($A$2:$A$200,A147)&gt;1,"ALERTA: ITEM_DUPLICADO",IF(AND($Z147,ISNUMBER(itens_Remanesc!B147),itens_Remanesc!B147&lt;&gt;0),"NOVO ITEM COM BASE DIFERENTE DE 0 - AJUSTAR itens_Remanesc",IF(AND($Z147,NOT(ISNUMBER(itens_Remanesc!C147))),"NOVO ITEM SEM VU_ORIGINAL - INFORMAR EM itens_Remanesc",IF(MIN(E147,I147,M147,Q147,U147,G147,K147,O147,S147,W147)&lt;0,"ALERTA: POSICAO_NEGATIVA",IF(OR(AND(G147&lt;&gt;"",G147&gt;E147),AND(K147&lt;&gt;"",K147&gt;I147),AND(O147&lt;&gt;"",O147&gt;M147),AND(S147&lt;&gt;"",S147&gt;Q147),AND(W147&lt;&gt;"",W147&gt;U147)),"ALERTA: REMANESCENTE_SUPERA_POSICAO","OK"))))))</f>
        <v/>
      </c>
      <c r="Y147" t="str">
        <f t="shared" si="82"/>
        <v/>
      </c>
      <c r="Z147" t="b">
        <f t="shared" si="83"/>
        <v>0</v>
      </c>
      <c r="AA147" s="208" t="str">
        <f>IF($A147="","",IF(COUNTIFS(aditivos!$A$2:$A$200,$A147,aditivos!$L$2:$L$200,"&lt;&gt;",aditivos!$L$2:$L$200,"&lt;&gt;0",aditivos!$B$2:$B$200,"&gt;0")=0,"",IFERROR(_xlfn.MINIFS(aditivos!$B$2:$B$200,aditivos!$A$2:$A$200,$A147,aditivos!$L$2:$L$200,"&lt;&gt;",aditivos!$L$2:$L$200,"&lt;&gt;0",aditivos!$B$2:$B$200,"&gt;0"),"")))</f>
        <v/>
      </c>
      <c r="AB147" t="str">
        <f>IF($A147="","",IF(OR(parametros!$C$2="",parametros!$I$2=""),0,ROUND(SUMIFS(aditivos!$L$2:$L$200,aditivos!$A$2:$A$200,$A147,aditivos!$C$2:$C$200,"C0",aditivos!$B$2:$B$200,"&gt;="&amp;(INT(parametros!$I$2)+1)),2)))</f>
        <v/>
      </c>
      <c r="AC147" t="str">
        <f>IF($A147="","",IF(OR(parametros!$C$3="",parametros!$I$3=""),0,ROUND(SUMIFS(aditivos!$L$2:$L$200,aditivos!$A$2:$A$200,$A147,aditivos!$C$2:$C$200,"C1",aditivos!$B$2:$B$200,"&gt;="&amp;(INT(parametros!$I$3)+1)),2)))</f>
        <v/>
      </c>
      <c r="AD147" t="str">
        <f>IF($A147="","",IF(OR(parametros!$C$4="",parametros!$I$4=""),0,ROUND(SUMIFS(aditivos!$L$2:$L$200,aditivos!$A$2:$A$200,$A147,aditivos!$C$2:$C$200,"C2",aditivos!$B$2:$B$200,"&gt;="&amp;(INT(parametros!$I$4)+1)),2)))</f>
        <v/>
      </c>
      <c r="AE147" t="str">
        <f>IF($A147="","",IF(OR(parametros!$C$5="",parametros!$I$5=""),0,ROUND(SUMIFS(aditivos!$L$2:$L$200,aditivos!$A$2:$A$200,$A147,aditivos!$C$2:$C$200,"C3",aditivos!$B$2:$B$200,"&gt;="&amp;(INT(parametros!$I$5)+1)),2)))</f>
        <v/>
      </c>
      <c r="AF147" t="str">
        <f>IF($A147="","",IF(OR(parametros!$C$6="",parametros!$I$6=""),0,ROUND(SUMIFS(aditivos!$L$2:$L$200,aditivos!$A$2:$A$200,$A147,aditivos!$C$2:$C$200,"C4",aditivos!$B$2:$B$200,"&gt;="&amp;(INT(parametros!$I$6)+1)),2)))</f>
        <v/>
      </c>
      <c r="AG147" t="str">
        <f t="shared" si="84"/>
        <v/>
      </c>
      <c r="AH147" t="str">
        <f t="shared" si="85"/>
        <v/>
      </c>
      <c r="AI147" t="str">
        <f t="shared" si="86"/>
        <v/>
      </c>
      <c r="AJ147" t="str">
        <f t="shared" si="87"/>
        <v/>
      </c>
      <c r="AK147" t="str">
        <f t="shared" si="88"/>
        <v/>
      </c>
      <c r="AL147" t="str">
        <f t="shared" si="89"/>
        <v/>
      </c>
    </row>
    <row r="148" spans="1:38" x14ac:dyDescent="0.35">
      <c r="A148" s="146" t="str">
        <f>IF(itens_Remanesc!A148="","",itens_Remanesc!A148)</f>
        <v/>
      </c>
      <c r="B148" s="196" t="str">
        <f>IF(A148="","",itens_Remanesc!C148)</f>
        <v/>
      </c>
      <c r="C148" s="161" t="str">
        <f>IF(A148="","",IF(itens_Remanesc!B148="",0,itens_Remanesc!B148))</f>
        <v/>
      </c>
      <c r="D148" s="163" t="str">
        <f>IF(A148="","",ROUND(SUMIFS(aditivos!$L$2:$L$200,aditivos!$A$2:$A$200,A148,aditivos!$C$2:$C$200,"C0"),2))</f>
        <v/>
      </c>
      <c r="E148" s="159" t="str">
        <f t="shared" si="72"/>
        <v/>
      </c>
      <c r="F148" s="159" t="str">
        <f>IF(A148="","",IF(itens_Remanesc!B148&lt;&gt;"",itens_Remanesc!B148,IF($Z148,0,"")))</f>
        <v/>
      </c>
      <c r="G148" s="167" t="str">
        <f t="shared" si="73"/>
        <v/>
      </c>
      <c r="H148" s="169" t="str">
        <f>IF(A148="","",ROUND(SUMIFS(aditivos!$L$2:$L$200,aditivos!$A$2:$A$200,A148,aditivos!$C$2:$C$200,"C1"),2))</f>
        <v/>
      </c>
      <c r="I148" s="165" t="str">
        <f t="shared" si="74"/>
        <v/>
      </c>
      <c r="J148" s="165" t="str">
        <f>IF(A148="","",IF(itens_Remanesc!E148="","",itens_Remanesc!E148))</f>
        <v/>
      </c>
      <c r="K148" s="171" t="str">
        <f t="shared" si="75"/>
        <v/>
      </c>
      <c r="L148" s="163" t="str">
        <f>IF(A148="","",ROUND(SUMIFS(aditivos!$L$2:$L$200,aditivos!$A$2:$A$200,A148,aditivos!$C$2:$C$200,"C2"),2))</f>
        <v/>
      </c>
      <c r="M148" s="159" t="str">
        <f t="shared" si="76"/>
        <v/>
      </c>
      <c r="N148" s="159" t="str">
        <f>IF(A148="","",IF(itens_Remanesc!G148="","",itens_Remanesc!G148))</f>
        <v/>
      </c>
      <c r="O148" s="167" t="str">
        <f t="shared" si="77"/>
        <v/>
      </c>
      <c r="P148" s="169" t="str">
        <f>IF(A148="","",ROUND(SUMIFS(aditivos!$L$2:$L$200,aditivos!$A$2:$A$200,A148,aditivos!$C$2:$C$200,"C3"),2))</f>
        <v/>
      </c>
      <c r="Q148" s="165" t="str">
        <f t="shared" si="78"/>
        <v/>
      </c>
      <c r="R148" s="165" t="str">
        <f>IF(A148="","",IF(itens_Remanesc!I148="","",itens_Remanesc!I148))</f>
        <v/>
      </c>
      <c r="S148" s="171" t="str">
        <f t="shared" si="79"/>
        <v/>
      </c>
      <c r="T148" s="163" t="str">
        <f>IF(A148="","",ROUND(SUMIFS(aditivos!$L$2:$L$200,aditivos!$A$2:$A$200,A148,aditivos!$C$2:$C$200,"C4"),2))</f>
        <v/>
      </c>
      <c r="U148" s="159" t="str">
        <f t="shared" si="80"/>
        <v/>
      </c>
      <c r="V148" s="159" t="str">
        <f>IF(A148="","",IF(itens_Remanesc!K148="","",itens_Remanesc!K148))</f>
        <v/>
      </c>
      <c r="W148" s="159" t="str">
        <f t="shared" si="81"/>
        <v/>
      </c>
      <c r="X148" s="146" t="str">
        <f>IF(A148="","",IF(COUNTIF($A$2:$A$200,A148)&gt;1,"ALERTA: ITEM_DUPLICADO",IF(AND($Z148,ISNUMBER(itens_Remanesc!B148),itens_Remanesc!B148&lt;&gt;0),"NOVO ITEM COM BASE DIFERENTE DE 0 - AJUSTAR itens_Remanesc",IF(AND($Z148,NOT(ISNUMBER(itens_Remanesc!C148))),"NOVO ITEM SEM VU_ORIGINAL - INFORMAR EM itens_Remanesc",IF(MIN(E148,I148,M148,Q148,U148,G148,K148,O148,S148,W148)&lt;0,"ALERTA: POSICAO_NEGATIVA",IF(OR(AND(G148&lt;&gt;"",G148&gt;E148),AND(K148&lt;&gt;"",K148&gt;I148),AND(O148&lt;&gt;"",O148&gt;M148),AND(S148&lt;&gt;"",S148&gt;Q148),AND(W148&lt;&gt;"",W148&gt;U148)),"ALERTA: REMANESCENTE_SUPERA_POSICAO","OK"))))))</f>
        <v/>
      </c>
      <c r="Y148" t="str">
        <f t="shared" si="82"/>
        <v/>
      </c>
      <c r="Z148" t="b">
        <f t="shared" si="83"/>
        <v>0</v>
      </c>
      <c r="AA148" s="208" t="str">
        <f>IF($A148="","",IF(COUNTIFS(aditivos!$A$2:$A$200,$A148,aditivos!$L$2:$L$200,"&lt;&gt;",aditivos!$L$2:$L$200,"&lt;&gt;0",aditivos!$B$2:$B$200,"&gt;0")=0,"",IFERROR(_xlfn.MINIFS(aditivos!$B$2:$B$200,aditivos!$A$2:$A$200,$A148,aditivos!$L$2:$L$200,"&lt;&gt;",aditivos!$L$2:$L$200,"&lt;&gt;0",aditivos!$B$2:$B$200,"&gt;0"),"")))</f>
        <v/>
      </c>
      <c r="AB148" t="str">
        <f>IF($A148="","",IF(OR(parametros!$C$2="",parametros!$I$2=""),0,ROUND(SUMIFS(aditivos!$L$2:$L$200,aditivos!$A$2:$A$200,$A148,aditivos!$C$2:$C$200,"C0",aditivos!$B$2:$B$200,"&gt;="&amp;(INT(parametros!$I$2)+1)),2)))</f>
        <v/>
      </c>
      <c r="AC148" t="str">
        <f>IF($A148="","",IF(OR(parametros!$C$3="",parametros!$I$3=""),0,ROUND(SUMIFS(aditivos!$L$2:$L$200,aditivos!$A$2:$A$200,$A148,aditivos!$C$2:$C$200,"C1",aditivos!$B$2:$B$200,"&gt;="&amp;(INT(parametros!$I$3)+1)),2)))</f>
        <v/>
      </c>
      <c r="AD148" t="str">
        <f>IF($A148="","",IF(OR(parametros!$C$4="",parametros!$I$4=""),0,ROUND(SUMIFS(aditivos!$L$2:$L$200,aditivos!$A$2:$A$200,$A148,aditivos!$C$2:$C$200,"C2",aditivos!$B$2:$B$200,"&gt;="&amp;(INT(parametros!$I$4)+1)),2)))</f>
        <v/>
      </c>
      <c r="AE148" t="str">
        <f>IF($A148="","",IF(OR(parametros!$C$5="",parametros!$I$5=""),0,ROUND(SUMIFS(aditivos!$L$2:$L$200,aditivos!$A$2:$A$200,$A148,aditivos!$C$2:$C$200,"C3",aditivos!$B$2:$B$200,"&gt;="&amp;(INT(parametros!$I$5)+1)),2)))</f>
        <v/>
      </c>
      <c r="AF148" t="str">
        <f>IF($A148="","",IF(OR(parametros!$C$6="",parametros!$I$6=""),0,ROUND(SUMIFS(aditivos!$L$2:$L$200,aditivos!$A$2:$A$200,$A148,aditivos!$C$2:$C$200,"C4",aditivos!$B$2:$B$200,"&gt;="&amp;(INT(parametros!$I$6)+1)),2)))</f>
        <v/>
      </c>
      <c r="AG148" t="str">
        <f t="shared" si="84"/>
        <v/>
      </c>
      <c r="AH148" t="str">
        <f t="shared" si="85"/>
        <v/>
      </c>
      <c r="AI148" t="str">
        <f t="shared" si="86"/>
        <v/>
      </c>
      <c r="AJ148" t="str">
        <f t="shared" si="87"/>
        <v/>
      </c>
      <c r="AK148" t="str">
        <f t="shared" si="88"/>
        <v/>
      </c>
      <c r="AL148" t="str">
        <f t="shared" si="89"/>
        <v/>
      </c>
    </row>
    <row r="149" spans="1:38" x14ac:dyDescent="0.35">
      <c r="A149" s="146" t="str">
        <f>IF(itens_Remanesc!A149="","",itens_Remanesc!A149)</f>
        <v/>
      </c>
      <c r="B149" s="196" t="str">
        <f>IF(A149="","",itens_Remanesc!C149)</f>
        <v/>
      </c>
      <c r="C149" s="161" t="str">
        <f>IF(A149="","",IF(itens_Remanesc!B149="",0,itens_Remanesc!B149))</f>
        <v/>
      </c>
      <c r="D149" s="163" t="str">
        <f>IF(A149="","",ROUND(SUMIFS(aditivos!$L$2:$L$200,aditivos!$A$2:$A$200,A149,aditivos!$C$2:$C$200,"C0"),2))</f>
        <v/>
      </c>
      <c r="E149" s="159" t="str">
        <f t="shared" si="72"/>
        <v/>
      </c>
      <c r="F149" s="159" t="str">
        <f>IF(A149="","",IF(itens_Remanesc!B149&lt;&gt;"",itens_Remanesc!B149,IF($Z149,0,"")))</f>
        <v/>
      </c>
      <c r="G149" s="167" t="str">
        <f t="shared" si="73"/>
        <v/>
      </c>
      <c r="H149" s="169" t="str">
        <f>IF(A149="","",ROUND(SUMIFS(aditivos!$L$2:$L$200,aditivos!$A$2:$A$200,A149,aditivos!$C$2:$C$200,"C1"),2))</f>
        <v/>
      </c>
      <c r="I149" s="165" t="str">
        <f t="shared" si="74"/>
        <v/>
      </c>
      <c r="J149" s="165" t="str">
        <f>IF(A149="","",IF(itens_Remanesc!E149="","",itens_Remanesc!E149))</f>
        <v/>
      </c>
      <c r="K149" s="171" t="str">
        <f t="shared" si="75"/>
        <v/>
      </c>
      <c r="L149" s="163" t="str">
        <f>IF(A149="","",ROUND(SUMIFS(aditivos!$L$2:$L$200,aditivos!$A$2:$A$200,A149,aditivos!$C$2:$C$200,"C2"),2))</f>
        <v/>
      </c>
      <c r="M149" s="159" t="str">
        <f t="shared" si="76"/>
        <v/>
      </c>
      <c r="N149" s="159" t="str">
        <f>IF(A149="","",IF(itens_Remanesc!G149="","",itens_Remanesc!G149))</f>
        <v/>
      </c>
      <c r="O149" s="167" t="str">
        <f t="shared" si="77"/>
        <v/>
      </c>
      <c r="P149" s="169" t="str">
        <f>IF(A149="","",ROUND(SUMIFS(aditivos!$L$2:$L$200,aditivos!$A$2:$A$200,A149,aditivos!$C$2:$C$200,"C3"),2))</f>
        <v/>
      </c>
      <c r="Q149" s="165" t="str">
        <f t="shared" si="78"/>
        <v/>
      </c>
      <c r="R149" s="165" t="str">
        <f>IF(A149="","",IF(itens_Remanesc!I149="","",itens_Remanesc!I149))</f>
        <v/>
      </c>
      <c r="S149" s="171" t="str">
        <f t="shared" si="79"/>
        <v/>
      </c>
      <c r="T149" s="163" t="str">
        <f>IF(A149="","",ROUND(SUMIFS(aditivos!$L$2:$L$200,aditivos!$A$2:$A$200,A149,aditivos!$C$2:$C$200,"C4"),2))</f>
        <v/>
      </c>
      <c r="U149" s="159" t="str">
        <f t="shared" si="80"/>
        <v/>
      </c>
      <c r="V149" s="159" t="str">
        <f>IF(A149="","",IF(itens_Remanesc!K149="","",itens_Remanesc!K149))</f>
        <v/>
      </c>
      <c r="W149" s="159" t="str">
        <f t="shared" si="81"/>
        <v/>
      </c>
      <c r="X149" s="146" t="str">
        <f>IF(A149="","",IF(COUNTIF($A$2:$A$200,A149)&gt;1,"ALERTA: ITEM_DUPLICADO",IF(AND($Z149,ISNUMBER(itens_Remanesc!B149),itens_Remanesc!B149&lt;&gt;0),"NOVO ITEM COM BASE DIFERENTE DE 0 - AJUSTAR itens_Remanesc",IF(AND($Z149,NOT(ISNUMBER(itens_Remanesc!C149))),"NOVO ITEM SEM VU_ORIGINAL - INFORMAR EM itens_Remanesc",IF(MIN(E149,I149,M149,Q149,U149,G149,K149,O149,S149,W149)&lt;0,"ALERTA: POSICAO_NEGATIVA",IF(OR(AND(G149&lt;&gt;"",G149&gt;E149),AND(K149&lt;&gt;"",K149&gt;I149),AND(O149&lt;&gt;"",O149&gt;M149),AND(S149&lt;&gt;"",S149&gt;Q149),AND(W149&lt;&gt;"",W149&gt;U149)),"ALERTA: REMANESCENTE_SUPERA_POSICAO","OK"))))))</f>
        <v/>
      </c>
      <c r="Y149" t="str">
        <f t="shared" si="82"/>
        <v/>
      </c>
      <c r="Z149" t="b">
        <f t="shared" si="83"/>
        <v>0</v>
      </c>
      <c r="AA149" s="208" t="str">
        <f>IF($A149="","",IF(COUNTIFS(aditivos!$A$2:$A$200,$A149,aditivos!$L$2:$L$200,"&lt;&gt;",aditivos!$L$2:$L$200,"&lt;&gt;0",aditivos!$B$2:$B$200,"&gt;0")=0,"",IFERROR(_xlfn.MINIFS(aditivos!$B$2:$B$200,aditivos!$A$2:$A$200,$A149,aditivos!$L$2:$L$200,"&lt;&gt;",aditivos!$L$2:$L$200,"&lt;&gt;0",aditivos!$B$2:$B$200,"&gt;0"),"")))</f>
        <v/>
      </c>
      <c r="AB149" t="str">
        <f>IF($A149="","",IF(OR(parametros!$C$2="",parametros!$I$2=""),0,ROUND(SUMIFS(aditivos!$L$2:$L$200,aditivos!$A$2:$A$200,$A149,aditivos!$C$2:$C$200,"C0",aditivos!$B$2:$B$200,"&gt;="&amp;(INT(parametros!$I$2)+1)),2)))</f>
        <v/>
      </c>
      <c r="AC149" t="str">
        <f>IF($A149="","",IF(OR(parametros!$C$3="",parametros!$I$3=""),0,ROUND(SUMIFS(aditivos!$L$2:$L$200,aditivos!$A$2:$A$200,$A149,aditivos!$C$2:$C$200,"C1",aditivos!$B$2:$B$200,"&gt;="&amp;(INT(parametros!$I$3)+1)),2)))</f>
        <v/>
      </c>
      <c r="AD149" t="str">
        <f>IF($A149="","",IF(OR(parametros!$C$4="",parametros!$I$4=""),0,ROUND(SUMIFS(aditivos!$L$2:$L$200,aditivos!$A$2:$A$200,$A149,aditivos!$C$2:$C$200,"C2",aditivos!$B$2:$B$200,"&gt;="&amp;(INT(parametros!$I$4)+1)),2)))</f>
        <v/>
      </c>
      <c r="AE149" t="str">
        <f>IF($A149="","",IF(OR(parametros!$C$5="",parametros!$I$5=""),0,ROUND(SUMIFS(aditivos!$L$2:$L$200,aditivos!$A$2:$A$200,$A149,aditivos!$C$2:$C$200,"C3",aditivos!$B$2:$B$200,"&gt;="&amp;(INT(parametros!$I$5)+1)),2)))</f>
        <v/>
      </c>
      <c r="AF149" t="str">
        <f>IF($A149="","",IF(OR(parametros!$C$6="",parametros!$I$6=""),0,ROUND(SUMIFS(aditivos!$L$2:$L$200,aditivos!$A$2:$A$200,$A149,aditivos!$C$2:$C$200,"C4",aditivos!$B$2:$B$200,"&gt;="&amp;(INT(parametros!$I$6)+1)),2)))</f>
        <v/>
      </c>
      <c r="AG149" t="str">
        <f t="shared" si="84"/>
        <v/>
      </c>
      <c r="AH149" t="str">
        <f t="shared" si="85"/>
        <v/>
      </c>
      <c r="AI149" t="str">
        <f t="shared" si="86"/>
        <v/>
      </c>
      <c r="AJ149" t="str">
        <f t="shared" si="87"/>
        <v/>
      </c>
      <c r="AK149" t="str">
        <f t="shared" si="88"/>
        <v/>
      </c>
      <c r="AL149" t="str">
        <f t="shared" si="89"/>
        <v/>
      </c>
    </row>
    <row r="150" spans="1:38" x14ac:dyDescent="0.35">
      <c r="A150" s="146" t="str">
        <f>IF(itens_Remanesc!A150="","",itens_Remanesc!A150)</f>
        <v/>
      </c>
      <c r="B150" s="196" t="str">
        <f>IF(A150="","",itens_Remanesc!C150)</f>
        <v/>
      </c>
      <c r="C150" s="161" t="str">
        <f>IF(A150="","",IF(itens_Remanesc!B150="",0,itens_Remanesc!B150))</f>
        <v/>
      </c>
      <c r="D150" s="163" t="str">
        <f>IF(A150="","",ROUND(SUMIFS(aditivos!$L$2:$L$200,aditivos!$A$2:$A$200,A150,aditivos!$C$2:$C$200,"C0"),2))</f>
        <v/>
      </c>
      <c r="E150" s="159" t="str">
        <f t="shared" si="72"/>
        <v/>
      </c>
      <c r="F150" s="159" t="str">
        <f>IF(A150="","",IF(itens_Remanesc!B150&lt;&gt;"",itens_Remanesc!B150,IF($Z150,0,"")))</f>
        <v/>
      </c>
      <c r="G150" s="167" t="str">
        <f t="shared" si="73"/>
        <v/>
      </c>
      <c r="H150" s="169" t="str">
        <f>IF(A150="","",ROUND(SUMIFS(aditivos!$L$2:$L$200,aditivos!$A$2:$A$200,A150,aditivos!$C$2:$C$200,"C1"),2))</f>
        <v/>
      </c>
      <c r="I150" s="165" t="str">
        <f t="shared" si="74"/>
        <v/>
      </c>
      <c r="J150" s="165" t="str">
        <f>IF(A150="","",IF(itens_Remanesc!E150="","",itens_Remanesc!E150))</f>
        <v/>
      </c>
      <c r="K150" s="171" t="str">
        <f t="shared" si="75"/>
        <v/>
      </c>
      <c r="L150" s="163" t="str">
        <f>IF(A150="","",ROUND(SUMIFS(aditivos!$L$2:$L$200,aditivos!$A$2:$A$200,A150,aditivos!$C$2:$C$200,"C2"),2))</f>
        <v/>
      </c>
      <c r="M150" s="159" t="str">
        <f t="shared" si="76"/>
        <v/>
      </c>
      <c r="N150" s="159" t="str">
        <f>IF(A150="","",IF(itens_Remanesc!G150="","",itens_Remanesc!G150))</f>
        <v/>
      </c>
      <c r="O150" s="167" t="str">
        <f t="shared" si="77"/>
        <v/>
      </c>
      <c r="P150" s="169" t="str">
        <f>IF(A150="","",ROUND(SUMIFS(aditivos!$L$2:$L$200,aditivos!$A$2:$A$200,A150,aditivos!$C$2:$C$200,"C3"),2))</f>
        <v/>
      </c>
      <c r="Q150" s="165" t="str">
        <f t="shared" si="78"/>
        <v/>
      </c>
      <c r="R150" s="165" t="str">
        <f>IF(A150="","",IF(itens_Remanesc!I150="","",itens_Remanesc!I150))</f>
        <v/>
      </c>
      <c r="S150" s="171" t="str">
        <f t="shared" si="79"/>
        <v/>
      </c>
      <c r="T150" s="163" t="str">
        <f>IF(A150="","",ROUND(SUMIFS(aditivos!$L$2:$L$200,aditivos!$A$2:$A$200,A150,aditivos!$C$2:$C$200,"C4"),2))</f>
        <v/>
      </c>
      <c r="U150" s="159" t="str">
        <f t="shared" si="80"/>
        <v/>
      </c>
      <c r="V150" s="159" t="str">
        <f>IF(A150="","",IF(itens_Remanesc!K150="","",itens_Remanesc!K150))</f>
        <v/>
      </c>
      <c r="W150" s="159" t="str">
        <f t="shared" si="81"/>
        <v/>
      </c>
      <c r="X150" s="146" t="str">
        <f>IF(A150="","",IF(COUNTIF($A$2:$A$200,A150)&gt;1,"ALERTA: ITEM_DUPLICADO",IF(AND($Z150,ISNUMBER(itens_Remanesc!B150),itens_Remanesc!B150&lt;&gt;0),"NOVO ITEM COM BASE DIFERENTE DE 0 - AJUSTAR itens_Remanesc",IF(AND($Z150,NOT(ISNUMBER(itens_Remanesc!C150))),"NOVO ITEM SEM VU_ORIGINAL - INFORMAR EM itens_Remanesc",IF(MIN(E150,I150,M150,Q150,U150,G150,K150,O150,S150,W150)&lt;0,"ALERTA: POSICAO_NEGATIVA",IF(OR(AND(G150&lt;&gt;"",G150&gt;E150),AND(K150&lt;&gt;"",K150&gt;I150),AND(O150&lt;&gt;"",O150&gt;M150),AND(S150&lt;&gt;"",S150&gt;Q150),AND(W150&lt;&gt;"",W150&gt;U150)),"ALERTA: REMANESCENTE_SUPERA_POSICAO","OK"))))))</f>
        <v/>
      </c>
      <c r="Y150" t="str">
        <f t="shared" si="82"/>
        <v/>
      </c>
      <c r="Z150" t="b">
        <f t="shared" si="83"/>
        <v>0</v>
      </c>
      <c r="AA150" s="208" t="str">
        <f>IF($A150="","",IF(COUNTIFS(aditivos!$A$2:$A$200,$A150,aditivos!$L$2:$L$200,"&lt;&gt;",aditivos!$L$2:$L$200,"&lt;&gt;0",aditivos!$B$2:$B$200,"&gt;0")=0,"",IFERROR(_xlfn.MINIFS(aditivos!$B$2:$B$200,aditivos!$A$2:$A$200,$A150,aditivos!$L$2:$L$200,"&lt;&gt;",aditivos!$L$2:$L$200,"&lt;&gt;0",aditivos!$B$2:$B$200,"&gt;0"),"")))</f>
        <v/>
      </c>
      <c r="AB150" t="str">
        <f>IF($A150="","",IF(OR(parametros!$C$2="",parametros!$I$2=""),0,ROUND(SUMIFS(aditivos!$L$2:$L$200,aditivos!$A$2:$A$200,$A150,aditivos!$C$2:$C$200,"C0",aditivos!$B$2:$B$200,"&gt;="&amp;(INT(parametros!$I$2)+1)),2)))</f>
        <v/>
      </c>
      <c r="AC150" t="str">
        <f>IF($A150="","",IF(OR(parametros!$C$3="",parametros!$I$3=""),0,ROUND(SUMIFS(aditivos!$L$2:$L$200,aditivos!$A$2:$A$200,$A150,aditivos!$C$2:$C$200,"C1",aditivos!$B$2:$B$200,"&gt;="&amp;(INT(parametros!$I$3)+1)),2)))</f>
        <v/>
      </c>
      <c r="AD150" t="str">
        <f>IF($A150="","",IF(OR(parametros!$C$4="",parametros!$I$4=""),0,ROUND(SUMIFS(aditivos!$L$2:$L$200,aditivos!$A$2:$A$200,$A150,aditivos!$C$2:$C$200,"C2",aditivos!$B$2:$B$200,"&gt;="&amp;(INT(parametros!$I$4)+1)),2)))</f>
        <v/>
      </c>
      <c r="AE150" t="str">
        <f>IF($A150="","",IF(OR(parametros!$C$5="",parametros!$I$5=""),0,ROUND(SUMIFS(aditivos!$L$2:$L$200,aditivos!$A$2:$A$200,$A150,aditivos!$C$2:$C$200,"C3",aditivos!$B$2:$B$200,"&gt;="&amp;(INT(parametros!$I$5)+1)),2)))</f>
        <v/>
      </c>
      <c r="AF150" t="str">
        <f>IF($A150="","",IF(OR(parametros!$C$6="",parametros!$I$6=""),0,ROUND(SUMIFS(aditivos!$L$2:$L$200,aditivos!$A$2:$A$200,$A150,aditivos!$C$2:$C$200,"C4",aditivos!$B$2:$B$200,"&gt;="&amp;(INT(parametros!$I$6)+1)),2)))</f>
        <v/>
      </c>
      <c r="AG150" t="str">
        <f t="shared" si="84"/>
        <v/>
      </c>
      <c r="AH150" t="str">
        <f t="shared" si="85"/>
        <v/>
      </c>
      <c r="AI150" t="str">
        <f t="shared" si="86"/>
        <v/>
      </c>
      <c r="AJ150" t="str">
        <f t="shared" si="87"/>
        <v/>
      </c>
      <c r="AK150" t="str">
        <f t="shared" si="88"/>
        <v/>
      </c>
      <c r="AL150" t="str">
        <f t="shared" si="89"/>
        <v/>
      </c>
    </row>
    <row r="151" spans="1:38" x14ac:dyDescent="0.35">
      <c r="A151" s="146" t="str">
        <f>IF(itens_Remanesc!A151="","",itens_Remanesc!A151)</f>
        <v/>
      </c>
      <c r="B151" s="196" t="str">
        <f>IF(A151="","",itens_Remanesc!C151)</f>
        <v/>
      </c>
      <c r="C151" s="161" t="str">
        <f>IF(A151="","",IF(itens_Remanesc!B151="",0,itens_Remanesc!B151))</f>
        <v/>
      </c>
      <c r="D151" s="163" t="str">
        <f>IF(A151="","",ROUND(SUMIFS(aditivos!$L$2:$L$200,aditivos!$A$2:$A$200,A151,aditivos!$C$2:$C$200,"C0"),2))</f>
        <v/>
      </c>
      <c r="E151" s="159" t="str">
        <f t="shared" si="72"/>
        <v/>
      </c>
      <c r="F151" s="159" t="str">
        <f>IF(A151="","",IF(itens_Remanesc!B151&lt;&gt;"",itens_Remanesc!B151,IF($Z151,0,"")))</f>
        <v/>
      </c>
      <c r="G151" s="167" t="str">
        <f t="shared" si="73"/>
        <v/>
      </c>
      <c r="H151" s="169" t="str">
        <f>IF(A151="","",ROUND(SUMIFS(aditivos!$L$2:$L$200,aditivos!$A$2:$A$200,A151,aditivos!$C$2:$C$200,"C1"),2))</f>
        <v/>
      </c>
      <c r="I151" s="165" t="str">
        <f t="shared" si="74"/>
        <v/>
      </c>
      <c r="J151" s="165" t="str">
        <f>IF(A151="","",IF(itens_Remanesc!E151="","",itens_Remanesc!E151))</f>
        <v/>
      </c>
      <c r="K151" s="171" t="str">
        <f t="shared" si="75"/>
        <v/>
      </c>
      <c r="L151" s="163" t="str">
        <f>IF(A151="","",ROUND(SUMIFS(aditivos!$L$2:$L$200,aditivos!$A$2:$A$200,A151,aditivos!$C$2:$C$200,"C2"),2))</f>
        <v/>
      </c>
      <c r="M151" s="159" t="str">
        <f t="shared" si="76"/>
        <v/>
      </c>
      <c r="N151" s="159" t="str">
        <f>IF(A151="","",IF(itens_Remanesc!G151="","",itens_Remanesc!G151))</f>
        <v/>
      </c>
      <c r="O151" s="167" t="str">
        <f t="shared" si="77"/>
        <v/>
      </c>
      <c r="P151" s="169" t="str">
        <f>IF(A151="","",ROUND(SUMIFS(aditivos!$L$2:$L$200,aditivos!$A$2:$A$200,A151,aditivos!$C$2:$C$200,"C3"),2))</f>
        <v/>
      </c>
      <c r="Q151" s="165" t="str">
        <f t="shared" si="78"/>
        <v/>
      </c>
      <c r="R151" s="165" t="str">
        <f>IF(A151="","",IF(itens_Remanesc!I151="","",itens_Remanesc!I151))</f>
        <v/>
      </c>
      <c r="S151" s="171" t="str">
        <f t="shared" si="79"/>
        <v/>
      </c>
      <c r="T151" s="163" t="str">
        <f>IF(A151="","",ROUND(SUMIFS(aditivos!$L$2:$L$200,aditivos!$A$2:$A$200,A151,aditivos!$C$2:$C$200,"C4"),2))</f>
        <v/>
      </c>
      <c r="U151" s="159" t="str">
        <f t="shared" si="80"/>
        <v/>
      </c>
      <c r="V151" s="159" t="str">
        <f>IF(A151="","",IF(itens_Remanesc!K151="","",itens_Remanesc!K151))</f>
        <v/>
      </c>
      <c r="W151" s="159" t="str">
        <f t="shared" si="81"/>
        <v/>
      </c>
      <c r="X151" s="146" t="str">
        <f>IF(A151="","",IF(COUNTIF($A$2:$A$200,A151)&gt;1,"ALERTA: ITEM_DUPLICADO",IF(AND($Z151,ISNUMBER(itens_Remanesc!B151),itens_Remanesc!B151&lt;&gt;0),"NOVO ITEM COM BASE DIFERENTE DE 0 - AJUSTAR itens_Remanesc",IF(AND($Z151,NOT(ISNUMBER(itens_Remanesc!C151))),"NOVO ITEM SEM VU_ORIGINAL - INFORMAR EM itens_Remanesc",IF(MIN(E151,I151,M151,Q151,U151,G151,K151,O151,S151,W151)&lt;0,"ALERTA: POSICAO_NEGATIVA",IF(OR(AND(G151&lt;&gt;"",G151&gt;E151),AND(K151&lt;&gt;"",K151&gt;I151),AND(O151&lt;&gt;"",O151&gt;M151),AND(S151&lt;&gt;"",S151&gt;Q151),AND(W151&lt;&gt;"",W151&gt;U151)),"ALERTA: REMANESCENTE_SUPERA_POSICAO","OK"))))))</f>
        <v/>
      </c>
      <c r="Y151" t="str">
        <f t="shared" si="82"/>
        <v/>
      </c>
      <c r="Z151" t="b">
        <f t="shared" si="83"/>
        <v>0</v>
      </c>
      <c r="AA151" s="208" t="str">
        <f>IF($A151="","",IF(COUNTIFS(aditivos!$A$2:$A$200,$A151,aditivos!$L$2:$L$200,"&lt;&gt;",aditivos!$L$2:$L$200,"&lt;&gt;0",aditivos!$B$2:$B$200,"&gt;0")=0,"",IFERROR(_xlfn.MINIFS(aditivos!$B$2:$B$200,aditivos!$A$2:$A$200,$A151,aditivos!$L$2:$L$200,"&lt;&gt;",aditivos!$L$2:$L$200,"&lt;&gt;0",aditivos!$B$2:$B$200,"&gt;0"),"")))</f>
        <v/>
      </c>
      <c r="AB151" t="str">
        <f>IF($A151="","",IF(OR(parametros!$C$2="",parametros!$I$2=""),0,ROUND(SUMIFS(aditivos!$L$2:$L$200,aditivos!$A$2:$A$200,$A151,aditivos!$C$2:$C$200,"C0",aditivos!$B$2:$B$200,"&gt;="&amp;(INT(parametros!$I$2)+1)),2)))</f>
        <v/>
      </c>
      <c r="AC151" t="str">
        <f>IF($A151="","",IF(OR(parametros!$C$3="",parametros!$I$3=""),0,ROUND(SUMIFS(aditivos!$L$2:$L$200,aditivos!$A$2:$A$200,$A151,aditivos!$C$2:$C$200,"C1",aditivos!$B$2:$B$200,"&gt;="&amp;(INT(parametros!$I$3)+1)),2)))</f>
        <v/>
      </c>
      <c r="AD151" t="str">
        <f>IF($A151="","",IF(OR(parametros!$C$4="",parametros!$I$4=""),0,ROUND(SUMIFS(aditivos!$L$2:$L$200,aditivos!$A$2:$A$200,$A151,aditivos!$C$2:$C$200,"C2",aditivos!$B$2:$B$200,"&gt;="&amp;(INT(parametros!$I$4)+1)),2)))</f>
        <v/>
      </c>
      <c r="AE151" t="str">
        <f>IF($A151="","",IF(OR(parametros!$C$5="",parametros!$I$5=""),0,ROUND(SUMIFS(aditivos!$L$2:$L$200,aditivos!$A$2:$A$200,$A151,aditivos!$C$2:$C$200,"C3",aditivos!$B$2:$B$200,"&gt;="&amp;(INT(parametros!$I$5)+1)),2)))</f>
        <v/>
      </c>
      <c r="AF151" t="str">
        <f>IF($A151="","",IF(OR(parametros!$C$6="",parametros!$I$6=""),0,ROUND(SUMIFS(aditivos!$L$2:$L$200,aditivos!$A$2:$A$200,$A151,aditivos!$C$2:$C$200,"C4",aditivos!$B$2:$B$200,"&gt;="&amp;(INT(parametros!$I$6)+1)),2)))</f>
        <v/>
      </c>
      <c r="AG151" t="str">
        <f t="shared" si="84"/>
        <v/>
      </c>
      <c r="AH151" t="str">
        <f t="shared" si="85"/>
        <v/>
      </c>
      <c r="AI151" t="str">
        <f t="shared" si="86"/>
        <v/>
      </c>
      <c r="AJ151" t="str">
        <f t="shared" si="87"/>
        <v/>
      </c>
      <c r="AK151" t="str">
        <f t="shared" si="88"/>
        <v/>
      </c>
      <c r="AL151" t="str">
        <f t="shared" si="89"/>
        <v/>
      </c>
    </row>
    <row r="152" spans="1:38" x14ac:dyDescent="0.35">
      <c r="A152" s="146" t="str">
        <f>IF(itens_Remanesc!A152="","",itens_Remanesc!A152)</f>
        <v/>
      </c>
      <c r="B152" s="196" t="str">
        <f>IF(A152="","",itens_Remanesc!C152)</f>
        <v/>
      </c>
      <c r="C152" s="161" t="str">
        <f>IF(A152="","",IF(itens_Remanesc!B152="",0,itens_Remanesc!B152))</f>
        <v/>
      </c>
      <c r="D152" s="163" t="str">
        <f>IF(A152="","",ROUND(SUMIFS(aditivos!$L$2:$L$200,aditivos!$A$2:$A$200,A152,aditivos!$C$2:$C$200,"C0"),2))</f>
        <v/>
      </c>
      <c r="E152" s="159" t="str">
        <f t="shared" si="72"/>
        <v/>
      </c>
      <c r="F152" s="159" t="str">
        <f>IF(A152="","",IF(itens_Remanesc!B152&lt;&gt;"",itens_Remanesc!B152,IF($Z152,0,"")))</f>
        <v/>
      </c>
      <c r="G152" s="167" t="str">
        <f t="shared" si="73"/>
        <v/>
      </c>
      <c r="H152" s="169" t="str">
        <f>IF(A152="","",ROUND(SUMIFS(aditivos!$L$2:$L$200,aditivos!$A$2:$A$200,A152,aditivos!$C$2:$C$200,"C1"),2))</f>
        <v/>
      </c>
      <c r="I152" s="165" t="str">
        <f t="shared" si="74"/>
        <v/>
      </c>
      <c r="J152" s="165" t="str">
        <f>IF(A152="","",IF(itens_Remanesc!E152="","",itens_Remanesc!E152))</f>
        <v/>
      </c>
      <c r="K152" s="171" t="str">
        <f t="shared" si="75"/>
        <v/>
      </c>
      <c r="L152" s="163" t="str">
        <f>IF(A152="","",ROUND(SUMIFS(aditivos!$L$2:$L$200,aditivos!$A$2:$A$200,A152,aditivos!$C$2:$C$200,"C2"),2))</f>
        <v/>
      </c>
      <c r="M152" s="159" t="str">
        <f t="shared" si="76"/>
        <v/>
      </c>
      <c r="N152" s="159" t="str">
        <f>IF(A152="","",IF(itens_Remanesc!G152="","",itens_Remanesc!G152))</f>
        <v/>
      </c>
      <c r="O152" s="167" t="str">
        <f t="shared" si="77"/>
        <v/>
      </c>
      <c r="P152" s="169" t="str">
        <f>IF(A152="","",ROUND(SUMIFS(aditivos!$L$2:$L$200,aditivos!$A$2:$A$200,A152,aditivos!$C$2:$C$200,"C3"),2))</f>
        <v/>
      </c>
      <c r="Q152" s="165" t="str">
        <f t="shared" si="78"/>
        <v/>
      </c>
      <c r="R152" s="165" t="str">
        <f>IF(A152="","",IF(itens_Remanesc!I152="","",itens_Remanesc!I152))</f>
        <v/>
      </c>
      <c r="S152" s="171" t="str">
        <f t="shared" si="79"/>
        <v/>
      </c>
      <c r="T152" s="163" t="str">
        <f>IF(A152="","",ROUND(SUMIFS(aditivos!$L$2:$L$200,aditivos!$A$2:$A$200,A152,aditivos!$C$2:$C$200,"C4"),2))</f>
        <v/>
      </c>
      <c r="U152" s="159" t="str">
        <f t="shared" si="80"/>
        <v/>
      </c>
      <c r="V152" s="159" t="str">
        <f>IF(A152="","",IF(itens_Remanesc!K152="","",itens_Remanesc!K152))</f>
        <v/>
      </c>
      <c r="W152" s="159" t="str">
        <f t="shared" si="81"/>
        <v/>
      </c>
      <c r="X152" s="146" t="str">
        <f>IF(A152="","",IF(COUNTIF($A$2:$A$200,A152)&gt;1,"ALERTA: ITEM_DUPLICADO",IF(AND($Z152,ISNUMBER(itens_Remanesc!B152),itens_Remanesc!B152&lt;&gt;0),"NOVO ITEM COM BASE DIFERENTE DE 0 - AJUSTAR itens_Remanesc",IF(AND($Z152,NOT(ISNUMBER(itens_Remanesc!C152))),"NOVO ITEM SEM VU_ORIGINAL - INFORMAR EM itens_Remanesc",IF(MIN(E152,I152,M152,Q152,U152,G152,K152,O152,S152,W152)&lt;0,"ALERTA: POSICAO_NEGATIVA",IF(OR(AND(G152&lt;&gt;"",G152&gt;E152),AND(K152&lt;&gt;"",K152&gt;I152),AND(O152&lt;&gt;"",O152&gt;M152),AND(S152&lt;&gt;"",S152&gt;Q152),AND(W152&lt;&gt;"",W152&gt;U152)),"ALERTA: REMANESCENTE_SUPERA_POSICAO","OK"))))))</f>
        <v/>
      </c>
      <c r="Y152" t="str">
        <f t="shared" si="82"/>
        <v/>
      </c>
      <c r="Z152" t="b">
        <f t="shared" si="83"/>
        <v>0</v>
      </c>
      <c r="AA152" s="208" t="str">
        <f>IF($A152="","",IF(COUNTIFS(aditivos!$A$2:$A$200,$A152,aditivos!$L$2:$L$200,"&lt;&gt;",aditivos!$L$2:$L$200,"&lt;&gt;0",aditivos!$B$2:$B$200,"&gt;0")=0,"",IFERROR(_xlfn.MINIFS(aditivos!$B$2:$B$200,aditivos!$A$2:$A$200,$A152,aditivos!$L$2:$L$200,"&lt;&gt;",aditivos!$L$2:$L$200,"&lt;&gt;0",aditivos!$B$2:$B$200,"&gt;0"),"")))</f>
        <v/>
      </c>
      <c r="AB152" t="str">
        <f>IF($A152="","",IF(OR(parametros!$C$2="",parametros!$I$2=""),0,ROUND(SUMIFS(aditivos!$L$2:$L$200,aditivos!$A$2:$A$200,$A152,aditivos!$C$2:$C$200,"C0",aditivos!$B$2:$B$200,"&gt;="&amp;(INT(parametros!$I$2)+1)),2)))</f>
        <v/>
      </c>
      <c r="AC152" t="str">
        <f>IF($A152="","",IF(OR(parametros!$C$3="",parametros!$I$3=""),0,ROUND(SUMIFS(aditivos!$L$2:$L$200,aditivos!$A$2:$A$200,$A152,aditivos!$C$2:$C$200,"C1",aditivos!$B$2:$B$200,"&gt;="&amp;(INT(parametros!$I$3)+1)),2)))</f>
        <v/>
      </c>
      <c r="AD152" t="str">
        <f>IF($A152="","",IF(OR(parametros!$C$4="",parametros!$I$4=""),0,ROUND(SUMIFS(aditivos!$L$2:$L$200,aditivos!$A$2:$A$200,$A152,aditivos!$C$2:$C$200,"C2",aditivos!$B$2:$B$200,"&gt;="&amp;(INT(parametros!$I$4)+1)),2)))</f>
        <v/>
      </c>
      <c r="AE152" t="str">
        <f>IF($A152="","",IF(OR(parametros!$C$5="",parametros!$I$5=""),0,ROUND(SUMIFS(aditivos!$L$2:$L$200,aditivos!$A$2:$A$200,$A152,aditivos!$C$2:$C$200,"C3",aditivos!$B$2:$B$200,"&gt;="&amp;(INT(parametros!$I$5)+1)),2)))</f>
        <v/>
      </c>
      <c r="AF152" t="str">
        <f>IF($A152="","",IF(OR(parametros!$C$6="",parametros!$I$6=""),0,ROUND(SUMIFS(aditivos!$L$2:$L$200,aditivos!$A$2:$A$200,$A152,aditivos!$C$2:$C$200,"C4",aditivos!$B$2:$B$200,"&gt;="&amp;(INT(parametros!$I$6)+1)),2)))</f>
        <v/>
      </c>
      <c r="AG152" t="str">
        <f t="shared" si="84"/>
        <v/>
      </c>
      <c r="AH152" t="str">
        <f t="shared" si="85"/>
        <v/>
      </c>
      <c r="AI152" t="str">
        <f t="shared" si="86"/>
        <v/>
      </c>
      <c r="AJ152" t="str">
        <f t="shared" si="87"/>
        <v/>
      </c>
      <c r="AK152" t="str">
        <f t="shared" si="88"/>
        <v/>
      </c>
      <c r="AL152" t="str">
        <f t="shared" si="89"/>
        <v/>
      </c>
    </row>
    <row r="153" spans="1:38" x14ac:dyDescent="0.35">
      <c r="A153" s="146" t="str">
        <f>IF(itens_Remanesc!A153="","",itens_Remanesc!A153)</f>
        <v/>
      </c>
      <c r="B153" s="196" t="str">
        <f>IF(A153="","",itens_Remanesc!C153)</f>
        <v/>
      </c>
      <c r="C153" s="161" t="str">
        <f>IF(A153="","",IF(itens_Remanesc!B153="",0,itens_Remanesc!B153))</f>
        <v/>
      </c>
      <c r="D153" s="163" t="str">
        <f>IF(A153="","",ROUND(SUMIFS(aditivos!$L$2:$L$200,aditivos!$A$2:$A$200,A153,aditivos!$C$2:$C$200,"C0"),2))</f>
        <v/>
      </c>
      <c r="E153" s="159" t="str">
        <f t="shared" si="72"/>
        <v/>
      </c>
      <c r="F153" s="159" t="str">
        <f>IF(A153="","",IF(itens_Remanesc!B153&lt;&gt;"",itens_Remanesc!B153,IF($Z153,0,"")))</f>
        <v/>
      </c>
      <c r="G153" s="167" t="str">
        <f t="shared" si="73"/>
        <v/>
      </c>
      <c r="H153" s="169" t="str">
        <f>IF(A153="","",ROUND(SUMIFS(aditivos!$L$2:$L$200,aditivos!$A$2:$A$200,A153,aditivos!$C$2:$C$200,"C1"),2))</f>
        <v/>
      </c>
      <c r="I153" s="165" t="str">
        <f t="shared" si="74"/>
        <v/>
      </c>
      <c r="J153" s="165" t="str">
        <f>IF(A153="","",IF(itens_Remanesc!E153="","",itens_Remanesc!E153))</f>
        <v/>
      </c>
      <c r="K153" s="171" t="str">
        <f t="shared" si="75"/>
        <v/>
      </c>
      <c r="L153" s="163" t="str">
        <f>IF(A153="","",ROUND(SUMIFS(aditivos!$L$2:$L$200,aditivos!$A$2:$A$200,A153,aditivos!$C$2:$C$200,"C2"),2))</f>
        <v/>
      </c>
      <c r="M153" s="159" t="str">
        <f t="shared" si="76"/>
        <v/>
      </c>
      <c r="N153" s="159" t="str">
        <f>IF(A153="","",IF(itens_Remanesc!G153="","",itens_Remanesc!G153))</f>
        <v/>
      </c>
      <c r="O153" s="167" t="str">
        <f t="shared" si="77"/>
        <v/>
      </c>
      <c r="P153" s="169" t="str">
        <f>IF(A153="","",ROUND(SUMIFS(aditivos!$L$2:$L$200,aditivos!$A$2:$A$200,A153,aditivos!$C$2:$C$200,"C3"),2))</f>
        <v/>
      </c>
      <c r="Q153" s="165" t="str">
        <f t="shared" si="78"/>
        <v/>
      </c>
      <c r="R153" s="165" t="str">
        <f>IF(A153="","",IF(itens_Remanesc!I153="","",itens_Remanesc!I153))</f>
        <v/>
      </c>
      <c r="S153" s="171" t="str">
        <f t="shared" si="79"/>
        <v/>
      </c>
      <c r="T153" s="163" t="str">
        <f>IF(A153="","",ROUND(SUMIFS(aditivos!$L$2:$L$200,aditivos!$A$2:$A$200,A153,aditivos!$C$2:$C$200,"C4"),2))</f>
        <v/>
      </c>
      <c r="U153" s="159" t="str">
        <f t="shared" si="80"/>
        <v/>
      </c>
      <c r="V153" s="159" t="str">
        <f>IF(A153="","",IF(itens_Remanesc!K153="","",itens_Remanesc!K153))</f>
        <v/>
      </c>
      <c r="W153" s="159" t="str">
        <f t="shared" si="81"/>
        <v/>
      </c>
      <c r="X153" s="146" t="str">
        <f>IF(A153="","",IF(COUNTIF($A$2:$A$200,A153)&gt;1,"ALERTA: ITEM_DUPLICADO",IF(AND($Z153,ISNUMBER(itens_Remanesc!B153),itens_Remanesc!B153&lt;&gt;0),"NOVO ITEM COM BASE DIFERENTE DE 0 - AJUSTAR itens_Remanesc",IF(AND($Z153,NOT(ISNUMBER(itens_Remanesc!C153))),"NOVO ITEM SEM VU_ORIGINAL - INFORMAR EM itens_Remanesc",IF(MIN(E153,I153,M153,Q153,U153,G153,K153,O153,S153,W153)&lt;0,"ALERTA: POSICAO_NEGATIVA",IF(OR(AND(G153&lt;&gt;"",G153&gt;E153),AND(K153&lt;&gt;"",K153&gt;I153),AND(O153&lt;&gt;"",O153&gt;M153),AND(S153&lt;&gt;"",S153&gt;Q153),AND(W153&lt;&gt;"",W153&gt;U153)),"ALERTA: REMANESCENTE_SUPERA_POSICAO","OK"))))))</f>
        <v/>
      </c>
      <c r="Y153" t="str">
        <f t="shared" si="82"/>
        <v/>
      </c>
      <c r="Z153" t="b">
        <f t="shared" si="83"/>
        <v>0</v>
      </c>
      <c r="AA153" s="208" t="str">
        <f>IF($A153="","",IF(COUNTIFS(aditivos!$A$2:$A$200,$A153,aditivos!$L$2:$L$200,"&lt;&gt;",aditivos!$L$2:$L$200,"&lt;&gt;0",aditivos!$B$2:$B$200,"&gt;0")=0,"",IFERROR(_xlfn.MINIFS(aditivos!$B$2:$B$200,aditivos!$A$2:$A$200,$A153,aditivos!$L$2:$L$200,"&lt;&gt;",aditivos!$L$2:$L$200,"&lt;&gt;0",aditivos!$B$2:$B$200,"&gt;0"),"")))</f>
        <v/>
      </c>
      <c r="AB153" t="str">
        <f>IF($A153="","",IF(OR(parametros!$C$2="",parametros!$I$2=""),0,ROUND(SUMIFS(aditivos!$L$2:$L$200,aditivos!$A$2:$A$200,$A153,aditivos!$C$2:$C$200,"C0",aditivos!$B$2:$B$200,"&gt;="&amp;(INT(parametros!$I$2)+1)),2)))</f>
        <v/>
      </c>
      <c r="AC153" t="str">
        <f>IF($A153="","",IF(OR(parametros!$C$3="",parametros!$I$3=""),0,ROUND(SUMIFS(aditivos!$L$2:$L$200,aditivos!$A$2:$A$200,$A153,aditivos!$C$2:$C$200,"C1",aditivos!$B$2:$B$200,"&gt;="&amp;(INT(parametros!$I$3)+1)),2)))</f>
        <v/>
      </c>
      <c r="AD153" t="str">
        <f>IF($A153="","",IF(OR(parametros!$C$4="",parametros!$I$4=""),0,ROUND(SUMIFS(aditivos!$L$2:$L$200,aditivos!$A$2:$A$200,$A153,aditivos!$C$2:$C$200,"C2",aditivos!$B$2:$B$200,"&gt;="&amp;(INT(parametros!$I$4)+1)),2)))</f>
        <v/>
      </c>
      <c r="AE153" t="str">
        <f>IF($A153="","",IF(OR(parametros!$C$5="",parametros!$I$5=""),0,ROUND(SUMIFS(aditivos!$L$2:$L$200,aditivos!$A$2:$A$200,$A153,aditivos!$C$2:$C$200,"C3",aditivos!$B$2:$B$200,"&gt;="&amp;(INT(parametros!$I$5)+1)),2)))</f>
        <v/>
      </c>
      <c r="AF153" t="str">
        <f>IF($A153="","",IF(OR(parametros!$C$6="",parametros!$I$6=""),0,ROUND(SUMIFS(aditivos!$L$2:$L$200,aditivos!$A$2:$A$200,$A153,aditivos!$C$2:$C$200,"C4",aditivos!$B$2:$B$200,"&gt;="&amp;(INT(parametros!$I$6)+1)),2)))</f>
        <v/>
      </c>
      <c r="AG153" t="str">
        <f t="shared" si="84"/>
        <v/>
      </c>
      <c r="AH153" t="str">
        <f t="shared" si="85"/>
        <v/>
      </c>
      <c r="AI153" t="str">
        <f t="shared" si="86"/>
        <v/>
      </c>
      <c r="AJ153" t="str">
        <f t="shared" si="87"/>
        <v/>
      </c>
      <c r="AK153" t="str">
        <f t="shared" si="88"/>
        <v/>
      </c>
      <c r="AL153" t="str">
        <f t="shared" si="89"/>
        <v/>
      </c>
    </row>
    <row r="154" spans="1:38" x14ac:dyDescent="0.35">
      <c r="A154" s="146" t="str">
        <f>IF(itens_Remanesc!A154="","",itens_Remanesc!A154)</f>
        <v/>
      </c>
      <c r="B154" s="196" t="str">
        <f>IF(A154="","",itens_Remanesc!C154)</f>
        <v/>
      </c>
      <c r="C154" s="161" t="str">
        <f>IF(A154="","",IF(itens_Remanesc!B154="",0,itens_Remanesc!B154))</f>
        <v/>
      </c>
      <c r="D154" s="163" t="str">
        <f>IF(A154="","",ROUND(SUMIFS(aditivos!$L$2:$L$200,aditivos!$A$2:$A$200,A154,aditivos!$C$2:$C$200,"C0"),2))</f>
        <v/>
      </c>
      <c r="E154" s="159" t="str">
        <f t="shared" si="72"/>
        <v/>
      </c>
      <c r="F154" s="159" t="str">
        <f>IF(A154="","",IF(itens_Remanesc!B154&lt;&gt;"",itens_Remanesc!B154,IF($Z154,0,"")))</f>
        <v/>
      </c>
      <c r="G154" s="167" t="str">
        <f t="shared" si="73"/>
        <v/>
      </c>
      <c r="H154" s="169" t="str">
        <f>IF(A154="","",ROUND(SUMIFS(aditivos!$L$2:$L$200,aditivos!$A$2:$A$200,A154,aditivos!$C$2:$C$200,"C1"),2))</f>
        <v/>
      </c>
      <c r="I154" s="165" t="str">
        <f t="shared" si="74"/>
        <v/>
      </c>
      <c r="J154" s="165" t="str">
        <f>IF(A154="","",IF(itens_Remanesc!E154="","",itens_Remanesc!E154))</f>
        <v/>
      </c>
      <c r="K154" s="171" t="str">
        <f t="shared" si="75"/>
        <v/>
      </c>
      <c r="L154" s="163" t="str">
        <f>IF(A154="","",ROUND(SUMIFS(aditivos!$L$2:$L$200,aditivos!$A$2:$A$200,A154,aditivos!$C$2:$C$200,"C2"),2))</f>
        <v/>
      </c>
      <c r="M154" s="159" t="str">
        <f t="shared" si="76"/>
        <v/>
      </c>
      <c r="N154" s="159" t="str">
        <f>IF(A154="","",IF(itens_Remanesc!G154="","",itens_Remanesc!G154))</f>
        <v/>
      </c>
      <c r="O154" s="167" t="str">
        <f t="shared" si="77"/>
        <v/>
      </c>
      <c r="P154" s="169" t="str">
        <f>IF(A154="","",ROUND(SUMIFS(aditivos!$L$2:$L$200,aditivos!$A$2:$A$200,A154,aditivos!$C$2:$C$200,"C3"),2))</f>
        <v/>
      </c>
      <c r="Q154" s="165" t="str">
        <f t="shared" si="78"/>
        <v/>
      </c>
      <c r="R154" s="165" t="str">
        <f>IF(A154="","",IF(itens_Remanesc!I154="","",itens_Remanesc!I154))</f>
        <v/>
      </c>
      <c r="S154" s="171" t="str">
        <f t="shared" si="79"/>
        <v/>
      </c>
      <c r="T154" s="163" t="str">
        <f>IF(A154="","",ROUND(SUMIFS(aditivos!$L$2:$L$200,aditivos!$A$2:$A$200,A154,aditivos!$C$2:$C$200,"C4"),2))</f>
        <v/>
      </c>
      <c r="U154" s="159" t="str">
        <f t="shared" si="80"/>
        <v/>
      </c>
      <c r="V154" s="159" t="str">
        <f>IF(A154="","",IF(itens_Remanesc!K154="","",itens_Remanesc!K154))</f>
        <v/>
      </c>
      <c r="W154" s="159" t="str">
        <f t="shared" si="81"/>
        <v/>
      </c>
      <c r="X154" s="146" t="str">
        <f>IF(A154="","",IF(COUNTIF($A$2:$A$200,A154)&gt;1,"ALERTA: ITEM_DUPLICADO",IF(AND($Z154,ISNUMBER(itens_Remanesc!B154),itens_Remanesc!B154&lt;&gt;0),"NOVO ITEM COM BASE DIFERENTE DE 0 - AJUSTAR itens_Remanesc",IF(AND($Z154,NOT(ISNUMBER(itens_Remanesc!C154))),"NOVO ITEM SEM VU_ORIGINAL - INFORMAR EM itens_Remanesc",IF(MIN(E154,I154,M154,Q154,U154,G154,K154,O154,S154,W154)&lt;0,"ALERTA: POSICAO_NEGATIVA",IF(OR(AND(G154&lt;&gt;"",G154&gt;E154),AND(K154&lt;&gt;"",K154&gt;I154),AND(O154&lt;&gt;"",O154&gt;M154),AND(S154&lt;&gt;"",S154&gt;Q154),AND(W154&lt;&gt;"",W154&gt;U154)),"ALERTA: REMANESCENTE_SUPERA_POSICAO","OK"))))))</f>
        <v/>
      </c>
      <c r="Y154" t="str">
        <f t="shared" si="82"/>
        <v/>
      </c>
      <c r="Z154" t="b">
        <f t="shared" si="83"/>
        <v>0</v>
      </c>
      <c r="AA154" s="208" t="str">
        <f>IF($A154="","",IF(COUNTIFS(aditivos!$A$2:$A$200,$A154,aditivos!$L$2:$L$200,"&lt;&gt;",aditivos!$L$2:$L$200,"&lt;&gt;0",aditivos!$B$2:$B$200,"&gt;0")=0,"",IFERROR(_xlfn.MINIFS(aditivos!$B$2:$B$200,aditivos!$A$2:$A$200,$A154,aditivos!$L$2:$L$200,"&lt;&gt;",aditivos!$L$2:$L$200,"&lt;&gt;0",aditivos!$B$2:$B$200,"&gt;0"),"")))</f>
        <v/>
      </c>
      <c r="AB154" t="str">
        <f>IF($A154="","",IF(OR(parametros!$C$2="",parametros!$I$2=""),0,ROUND(SUMIFS(aditivos!$L$2:$L$200,aditivos!$A$2:$A$200,$A154,aditivos!$C$2:$C$200,"C0",aditivos!$B$2:$B$200,"&gt;="&amp;(INT(parametros!$I$2)+1)),2)))</f>
        <v/>
      </c>
      <c r="AC154" t="str">
        <f>IF($A154="","",IF(OR(parametros!$C$3="",parametros!$I$3=""),0,ROUND(SUMIFS(aditivos!$L$2:$L$200,aditivos!$A$2:$A$200,$A154,aditivos!$C$2:$C$200,"C1",aditivos!$B$2:$B$200,"&gt;="&amp;(INT(parametros!$I$3)+1)),2)))</f>
        <v/>
      </c>
      <c r="AD154" t="str">
        <f>IF($A154="","",IF(OR(parametros!$C$4="",parametros!$I$4=""),0,ROUND(SUMIFS(aditivos!$L$2:$L$200,aditivos!$A$2:$A$200,$A154,aditivos!$C$2:$C$200,"C2",aditivos!$B$2:$B$200,"&gt;="&amp;(INT(parametros!$I$4)+1)),2)))</f>
        <v/>
      </c>
      <c r="AE154" t="str">
        <f>IF($A154="","",IF(OR(parametros!$C$5="",parametros!$I$5=""),0,ROUND(SUMIFS(aditivos!$L$2:$L$200,aditivos!$A$2:$A$200,$A154,aditivos!$C$2:$C$200,"C3",aditivos!$B$2:$B$200,"&gt;="&amp;(INT(parametros!$I$5)+1)),2)))</f>
        <v/>
      </c>
      <c r="AF154" t="str">
        <f>IF($A154="","",IF(OR(parametros!$C$6="",parametros!$I$6=""),0,ROUND(SUMIFS(aditivos!$L$2:$L$200,aditivos!$A$2:$A$200,$A154,aditivos!$C$2:$C$200,"C4",aditivos!$B$2:$B$200,"&gt;="&amp;(INT(parametros!$I$6)+1)),2)))</f>
        <v/>
      </c>
      <c r="AG154" t="str">
        <f t="shared" si="84"/>
        <v/>
      </c>
      <c r="AH154" t="str">
        <f t="shared" si="85"/>
        <v/>
      </c>
      <c r="AI154" t="str">
        <f t="shared" si="86"/>
        <v/>
      </c>
      <c r="AJ154" t="str">
        <f t="shared" si="87"/>
        <v/>
      </c>
      <c r="AK154" t="str">
        <f t="shared" si="88"/>
        <v/>
      </c>
      <c r="AL154" t="str">
        <f t="shared" si="89"/>
        <v/>
      </c>
    </row>
    <row r="155" spans="1:38" x14ac:dyDescent="0.35">
      <c r="A155" s="146" t="str">
        <f>IF(itens_Remanesc!A155="","",itens_Remanesc!A155)</f>
        <v/>
      </c>
      <c r="B155" s="196" t="str">
        <f>IF(A155="","",itens_Remanesc!C155)</f>
        <v/>
      </c>
      <c r="C155" s="161" t="str">
        <f>IF(A155="","",IF(itens_Remanesc!B155="",0,itens_Remanesc!B155))</f>
        <v/>
      </c>
      <c r="D155" s="163" t="str">
        <f>IF(A155="","",ROUND(SUMIFS(aditivos!$L$2:$L$200,aditivos!$A$2:$A$200,A155,aditivos!$C$2:$C$200,"C0"),2))</f>
        <v/>
      </c>
      <c r="E155" s="159" t="str">
        <f t="shared" si="72"/>
        <v/>
      </c>
      <c r="F155" s="159" t="str">
        <f>IF(A155="","",IF(itens_Remanesc!B155&lt;&gt;"",itens_Remanesc!B155,IF($Z155,0,"")))</f>
        <v/>
      </c>
      <c r="G155" s="167" t="str">
        <f t="shared" si="73"/>
        <v/>
      </c>
      <c r="H155" s="169" t="str">
        <f>IF(A155="","",ROUND(SUMIFS(aditivos!$L$2:$L$200,aditivos!$A$2:$A$200,A155,aditivos!$C$2:$C$200,"C1"),2))</f>
        <v/>
      </c>
      <c r="I155" s="165" t="str">
        <f t="shared" si="74"/>
        <v/>
      </c>
      <c r="J155" s="165" t="str">
        <f>IF(A155="","",IF(itens_Remanesc!E155="","",itens_Remanesc!E155))</f>
        <v/>
      </c>
      <c r="K155" s="171" t="str">
        <f t="shared" si="75"/>
        <v/>
      </c>
      <c r="L155" s="163" t="str">
        <f>IF(A155="","",ROUND(SUMIFS(aditivos!$L$2:$L$200,aditivos!$A$2:$A$200,A155,aditivos!$C$2:$C$200,"C2"),2))</f>
        <v/>
      </c>
      <c r="M155" s="159" t="str">
        <f t="shared" si="76"/>
        <v/>
      </c>
      <c r="N155" s="159" t="str">
        <f>IF(A155="","",IF(itens_Remanesc!G155="","",itens_Remanesc!G155))</f>
        <v/>
      </c>
      <c r="O155" s="167" t="str">
        <f t="shared" si="77"/>
        <v/>
      </c>
      <c r="P155" s="169" t="str">
        <f>IF(A155="","",ROUND(SUMIFS(aditivos!$L$2:$L$200,aditivos!$A$2:$A$200,A155,aditivos!$C$2:$C$200,"C3"),2))</f>
        <v/>
      </c>
      <c r="Q155" s="165" t="str">
        <f t="shared" si="78"/>
        <v/>
      </c>
      <c r="R155" s="165" t="str">
        <f>IF(A155="","",IF(itens_Remanesc!I155="","",itens_Remanesc!I155))</f>
        <v/>
      </c>
      <c r="S155" s="171" t="str">
        <f t="shared" si="79"/>
        <v/>
      </c>
      <c r="T155" s="163" t="str">
        <f>IF(A155="","",ROUND(SUMIFS(aditivos!$L$2:$L$200,aditivos!$A$2:$A$200,A155,aditivos!$C$2:$C$200,"C4"),2))</f>
        <v/>
      </c>
      <c r="U155" s="159" t="str">
        <f t="shared" si="80"/>
        <v/>
      </c>
      <c r="V155" s="159" t="str">
        <f>IF(A155="","",IF(itens_Remanesc!K155="","",itens_Remanesc!K155))</f>
        <v/>
      </c>
      <c r="W155" s="159" t="str">
        <f t="shared" si="81"/>
        <v/>
      </c>
      <c r="X155" s="146" t="str">
        <f>IF(A155="","",IF(COUNTIF($A$2:$A$200,A155)&gt;1,"ALERTA: ITEM_DUPLICADO",IF(AND($Z155,ISNUMBER(itens_Remanesc!B155),itens_Remanesc!B155&lt;&gt;0),"NOVO ITEM COM BASE DIFERENTE DE 0 - AJUSTAR itens_Remanesc",IF(AND($Z155,NOT(ISNUMBER(itens_Remanesc!C155))),"NOVO ITEM SEM VU_ORIGINAL - INFORMAR EM itens_Remanesc",IF(MIN(E155,I155,M155,Q155,U155,G155,K155,O155,S155,W155)&lt;0,"ALERTA: POSICAO_NEGATIVA",IF(OR(AND(G155&lt;&gt;"",G155&gt;E155),AND(K155&lt;&gt;"",K155&gt;I155),AND(O155&lt;&gt;"",O155&gt;M155),AND(S155&lt;&gt;"",S155&gt;Q155),AND(W155&lt;&gt;"",W155&gt;U155)),"ALERTA: REMANESCENTE_SUPERA_POSICAO","OK"))))))</f>
        <v/>
      </c>
      <c r="Y155" t="str">
        <f t="shared" si="82"/>
        <v/>
      </c>
      <c r="Z155" t="b">
        <f t="shared" si="83"/>
        <v>0</v>
      </c>
      <c r="AA155" s="208" t="str">
        <f>IF($A155="","",IF(COUNTIFS(aditivos!$A$2:$A$200,$A155,aditivos!$L$2:$L$200,"&lt;&gt;",aditivos!$L$2:$L$200,"&lt;&gt;0",aditivos!$B$2:$B$200,"&gt;0")=0,"",IFERROR(_xlfn.MINIFS(aditivos!$B$2:$B$200,aditivos!$A$2:$A$200,$A155,aditivos!$L$2:$L$200,"&lt;&gt;",aditivos!$L$2:$L$200,"&lt;&gt;0",aditivos!$B$2:$B$200,"&gt;0"),"")))</f>
        <v/>
      </c>
      <c r="AB155" t="str">
        <f>IF($A155="","",IF(OR(parametros!$C$2="",parametros!$I$2=""),0,ROUND(SUMIFS(aditivos!$L$2:$L$200,aditivos!$A$2:$A$200,$A155,aditivos!$C$2:$C$200,"C0",aditivos!$B$2:$B$200,"&gt;="&amp;(INT(parametros!$I$2)+1)),2)))</f>
        <v/>
      </c>
      <c r="AC155" t="str">
        <f>IF($A155="","",IF(OR(parametros!$C$3="",parametros!$I$3=""),0,ROUND(SUMIFS(aditivos!$L$2:$L$200,aditivos!$A$2:$A$200,$A155,aditivos!$C$2:$C$200,"C1",aditivos!$B$2:$B$200,"&gt;="&amp;(INT(parametros!$I$3)+1)),2)))</f>
        <v/>
      </c>
      <c r="AD155" t="str">
        <f>IF($A155="","",IF(OR(parametros!$C$4="",parametros!$I$4=""),0,ROUND(SUMIFS(aditivos!$L$2:$L$200,aditivos!$A$2:$A$200,$A155,aditivos!$C$2:$C$200,"C2",aditivos!$B$2:$B$200,"&gt;="&amp;(INT(parametros!$I$4)+1)),2)))</f>
        <v/>
      </c>
      <c r="AE155" t="str">
        <f>IF($A155="","",IF(OR(parametros!$C$5="",parametros!$I$5=""),0,ROUND(SUMIFS(aditivos!$L$2:$L$200,aditivos!$A$2:$A$200,$A155,aditivos!$C$2:$C$200,"C3",aditivos!$B$2:$B$200,"&gt;="&amp;(INT(parametros!$I$5)+1)),2)))</f>
        <v/>
      </c>
      <c r="AF155" t="str">
        <f>IF($A155="","",IF(OR(parametros!$C$6="",parametros!$I$6=""),0,ROUND(SUMIFS(aditivos!$L$2:$L$200,aditivos!$A$2:$A$200,$A155,aditivos!$C$2:$C$200,"C4",aditivos!$B$2:$B$200,"&gt;="&amp;(INT(parametros!$I$6)+1)),2)))</f>
        <v/>
      </c>
      <c r="AG155" t="str">
        <f t="shared" si="84"/>
        <v/>
      </c>
      <c r="AH155" t="str">
        <f t="shared" si="85"/>
        <v/>
      </c>
      <c r="AI155" t="str">
        <f t="shared" si="86"/>
        <v/>
      </c>
      <c r="AJ155" t="str">
        <f t="shared" si="87"/>
        <v/>
      </c>
      <c r="AK155" t="str">
        <f t="shared" si="88"/>
        <v/>
      </c>
      <c r="AL155" t="str">
        <f t="shared" si="89"/>
        <v/>
      </c>
    </row>
    <row r="156" spans="1:38" x14ac:dyDescent="0.35">
      <c r="A156" s="146" t="str">
        <f>IF(itens_Remanesc!A156="","",itens_Remanesc!A156)</f>
        <v/>
      </c>
      <c r="B156" s="196" t="str">
        <f>IF(A156="","",itens_Remanesc!C156)</f>
        <v/>
      </c>
      <c r="C156" s="161" t="str">
        <f>IF(A156="","",IF(itens_Remanesc!B156="",0,itens_Remanesc!B156))</f>
        <v/>
      </c>
      <c r="D156" s="163" t="str">
        <f>IF(A156="","",ROUND(SUMIFS(aditivos!$L$2:$L$200,aditivos!$A$2:$A$200,A156,aditivos!$C$2:$C$200,"C0"),2))</f>
        <v/>
      </c>
      <c r="E156" s="159" t="str">
        <f t="shared" si="72"/>
        <v/>
      </c>
      <c r="F156" s="159" t="str">
        <f>IF(A156="","",IF(itens_Remanesc!B156&lt;&gt;"",itens_Remanesc!B156,IF($Z156,0,"")))</f>
        <v/>
      </c>
      <c r="G156" s="167" t="str">
        <f t="shared" si="73"/>
        <v/>
      </c>
      <c r="H156" s="169" t="str">
        <f>IF(A156="","",ROUND(SUMIFS(aditivos!$L$2:$L$200,aditivos!$A$2:$A$200,A156,aditivos!$C$2:$C$200,"C1"),2))</f>
        <v/>
      </c>
      <c r="I156" s="165" t="str">
        <f t="shared" si="74"/>
        <v/>
      </c>
      <c r="J156" s="165" t="str">
        <f>IF(A156="","",IF(itens_Remanesc!E156="","",itens_Remanesc!E156))</f>
        <v/>
      </c>
      <c r="K156" s="171" t="str">
        <f t="shared" si="75"/>
        <v/>
      </c>
      <c r="L156" s="163" t="str">
        <f>IF(A156="","",ROUND(SUMIFS(aditivos!$L$2:$L$200,aditivos!$A$2:$A$200,A156,aditivos!$C$2:$C$200,"C2"),2))</f>
        <v/>
      </c>
      <c r="M156" s="159" t="str">
        <f t="shared" si="76"/>
        <v/>
      </c>
      <c r="N156" s="159" t="str">
        <f>IF(A156="","",IF(itens_Remanesc!G156="","",itens_Remanesc!G156))</f>
        <v/>
      </c>
      <c r="O156" s="167" t="str">
        <f t="shared" si="77"/>
        <v/>
      </c>
      <c r="P156" s="169" t="str">
        <f>IF(A156="","",ROUND(SUMIFS(aditivos!$L$2:$L$200,aditivos!$A$2:$A$200,A156,aditivos!$C$2:$C$200,"C3"),2))</f>
        <v/>
      </c>
      <c r="Q156" s="165" t="str">
        <f t="shared" si="78"/>
        <v/>
      </c>
      <c r="R156" s="165" t="str">
        <f>IF(A156="","",IF(itens_Remanesc!I156="","",itens_Remanesc!I156))</f>
        <v/>
      </c>
      <c r="S156" s="171" t="str">
        <f t="shared" si="79"/>
        <v/>
      </c>
      <c r="T156" s="163" t="str">
        <f>IF(A156="","",ROUND(SUMIFS(aditivos!$L$2:$L$200,aditivos!$A$2:$A$200,A156,aditivos!$C$2:$C$200,"C4"),2))</f>
        <v/>
      </c>
      <c r="U156" s="159" t="str">
        <f t="shared" si="80"/>
        <v/>
      </c>
      <c r="V156" s="159" t="str">
        <f>IF(A156="","",IF(itens_Remanesc!K156="","",itens_Remanesc!K156))</f>
        <v/>
      </c>
      <c r="W156" s="159" t="str">
        <f t="shared" si="81"/>
        <v/>
      </c>
      <c r="X156" s="146" t="str">
        <f>IF(A156="","",IF(COUNTIF($A$2:$A$200,A156)&gt;1,"ALERTA: ITEM_DUPLICADO",IF(AND($Z156,ISNUMBER(itens_Remanesc!B156),itens_Remanesc!B156&lt;&gt;0),"NOVO ITEM COM BASE DIFERENTE DE 0 - AJUSTAR itens_Remanesc",IF(AND($Z156,NOT(ISNUMBER(itens_Remanesc!C156))),"NOVO ITEM SEM VU_ORIGINAL - INFORMAR EM itens_Remanesc",IF(MIN(E156,I156,M156,Q156,U156,G156,K156,O156,S156,W156)&lt;0,"ALERTA: POSICAO_NEGATIVA",IF(OR(AND(G156&lt;&gt;"",G156&gt;E156),AND(K156&lt;&gt;"",K156&gt;I156),AND(O156&lt;&gt;"",O156&gt;M156),AND(S156&lt;&gt;"",S156&gt;Q156),AND(W156&lt;&gt;"",W156&gt;U156)),"ALERTA: REMANESCENTE_SUPERA_POSICAO","OK"))))))</f>
        <v/>
      </c>
      <c r="Y156" t="str">
        <f t="shared" si="82"/>
        <v/>
      </c>
      <c r="Z156" t="b">
        <f t="shared" si="83"/>
        <v>0</v>
      </c>
      <c r="AA156" s="208" t="str">
        <f>IF($A156="","",IF(COUNTIFS(aditivos!$A$2:$A$200,$A156,aditivos!$L$2:$L$200,"&lt;&gt;",aditivos!$L$2:$L$200,"&lt;&gt;0",aditivos!$B$2:$B$200,"&gt;0")=0,"",IFERROR(_xlfn.MINIFS(aditivos!$B$2:$B$200,aditivos!$A$2:$A$200,$A156,aditivos!$L$2:$L$200,"&lt;&gt;",aditivos!$L$2:$L$200,"&lt;&gt;0",aditivos!$B$2:$B$200,"&gt;0"),"")))</f>
        <v/>
      </c>
      <c r="AB156" t="str">
        <f>IF($A156="","",IF(OR(parametros!$C$2="",parametros!$I$2=""),0,ROUND(SUMIFS(aditivos!$L$2:$L$200,aditivos!$A$2:$A$200,$A156,aditivos!$C$2:$C$200,"C0",aditivos!$B$2:$B$200,"&gt;="&amp;(INT(parametros!$I$2)+1)),2)))</f>
        <v/>
      </c>
      <c r="AC156" t="str">
        <f>IF($A156="","",IF(OR(parametros!$C$3="",parametros!$I$3=""),0,ROUND(SUMIFS(aditivos!$L$2:$L$200,aditivos!$A$2:$A$200,$A156,aditivos!$C$2:$C$200,"C1",aditivos!$B$2:$B$200,"&gt;="&amp;(INT(parametros!$I$3)+1)),2)))</f>
        <v/>
      </c>
      <c r="AD156" t="str">
        <f>IF($A156="","",IF(OR(parametros!$C$4="",parametros!$I$4=""),0,ROUND(SUMIFS(aditivos!$L$2:$L$200,aditivos!$A$2:$A$200,$A156,aditivos!$C$2:$C$200,"C2",aditivos!$B$2:$B$200,"&gt;="&amp;(INT(parametros!$I$4)+1)),2)))</f>
        <v/>
      </c>
      <c r="AE156" t="str">
        <f>IF($A156="","",IF(OR(parametros!$C$5="",parametros!$I$5=""),0,ROUND(SUMIFS(aditivos!$L$2:$L$200,aditivos!$A$2:$A$200,$A156,aditivos!$C$2:$C$200,"C3",aditivos!$B$2:$B$200,"&gt;="&amp;(INT(parametros!$I$5)+1)),2)))</f>
        <v/>
      </c>
      <c r="AF156" t="str">
        <f>IF($A156="","",IF(OR(parametros!$C$6="",parametros!$I$6=""),0,ROUND(SUMIFS(aditivos!$L$2:$L$200,aditivos!$A$2:$A$200,$A156,aditivos!$C$2:$C$200,"C4",aditivos!$B$2:$B$200,"&gt;="&amp;(INT(parametros!$I$6)+1)),2)))</f>
        <v/>
      </c>
      <c r="AG156" t="str">
        <f t="shared" si="84"/>
        <v/>
      </c>
      <c r="AH156" t="str">
        <f t="shared" si="85"/>
        <v/>
      </c>
      <c r="AI156" t="str">
        <f t="shared" si="86"/>
        <v/>
      </c>
      <c r="AJ156" t="str">
        <f t="shared" si="87"/>
        <v/>
      </c>
      <c r="AK156" t="str">
        <f t="shared" si="88"/>
        <v/>
      </c>
      <c r="AL156" t="str">
        <f t="shared" si="89"/>
        <v/>
      </c>
    </row>
    <row r="157" spans="1:38" x14ac:dyDescent="0.35">
      <c r="A157" s="146" t="str">
        <f>IF(itens_Remanesc!A157="","",itens_Remanesc!A157)</f>
        <v/>
      </c>
      <c r="B157" s="196" t="str">
        <f>IF(A157="","",itens_Remanesc!C157)</f>
        <v/>
      </c>
      <c r="C157" s="161" t="str">
        <f>IF(A157="","",IF(itens_Remanesc!B157="",0,itens_Remanesc!B157))</f>
        <v/>
      </c>
      <c r="D157" s="163" t="str">
        <f>IF(A157="","",ROUND(SUMIFS(aditivos!$L$2:$L$200,aditivos!$A$2:$A$200,A157,aditivos!$C$2:$C$200,"C0"),2))</f>
        <v/>
      </c>
      <c r="E157" s="159" t="str">
        <f t="shared" si="72"/>
        <v/>
      </c>
      <c r="F157" s="159" t="str">
        <f>IF(A157="","",IF(itens_Remanesc!B157&lt;&gt;"",itens_Remanesc!B157,IF($Z157,0,"")))</f>
        <v/>
      </c>
      <c r="G157" s="167" t="str">
        <f t="shared" si="73"/>
        <v/>
      </c>
      <c r="H157" s="169" t="str">
        <f>IF(A157="","",ROUND(SUMIFS(aditivos!$L$2:$L$200,aditivos!$A$2:$A$200,A157,aditivos!$C$2:$C$200,"C1"),2))</f>
        <v/>
      </c>
      <c r="I157" s="165" t="str">
        <f t="shared" si="74"/>
        <v/>
      </c>
      <c r="J157" s="165" t="str">
        <f>IF(A157="","",IF(itens_Remanesc!E157="","",itens_Remanesc!E157))</f>
        <v/>
      </c>
      <c r="K157" s="171" t="str">
        <f t="shared" si="75"/>
        <v/>
      </c>
      <c r="L157" s="163" t="str">
        <f>IF(A157="","",ROUND(SUMIFS(aditivos!$L$2:$L$200,aditivos!$A$2:$A$200,A157,aditivos!$C$2:$C$200,"C2"),2))</f>
        <v/>
      </c>
      <c r="M157" s="159" t="str">
        <f t="shared" si="76"/>
        <v/>
      </c>
      <c r="N157" s="159" t="str">
        <f>IF(A157="","",IF(itens_Remanesc!G157="","",itens_Remanesc!G157))</f>
        <v/>
      </c>
      <c r="O157" s="167" t="str">
        <f t="shared" si="77"/>
        <v/>
      </c>
      <c r="P157" s="169" t="str">
        <f>IF(A157="","",ROUND(SUMIFS(aditivos!$L$2:$L$200,aditivos!$A$2:$A$200,A157,aditivos!$C$2:$C$200,"C3"),2))</f>
        <v/>
      </c>
      <c r="Q157" s="165" t="str">
        <f t="shared" si="78"/>
        <v/>
      </c>
      <c r="R157" s="165" t="str">
        <f>IF(A157="","",IF(itens_Remanesc!I157="","",itens_Remanesc!I157))</f>
        <v/>
      </c>
      <c r="S157" s="171" t="str">
        <f t="shared" si="79"/>
        <v/>
      </c>
      <c r="T157" s="163" t="str">
        <f>IF(A157="","",ROUND(SUMIFS(aditivos!$L$2:$L$200,aditivos!$A$2:$A$200,A157,aditivos!$C$2:$C$200,"C4"),2))</f>
        <v/>
      </c>
      <c r="U157" s="159" t="str">
        <f t="shared" si="80"/>
        <v/>
      </c>
      <c r="V157" s="159" t="str">
        <f>IF(A157="","",IF(itens_Remanesc!K157="","",itens_Remanesc!K157))</f>
        <v/>
      </c>
      <c r="W157" s="159" t="str">
        <f t="shared" si="81"/>
        <v/>
      </c>
      <c r="X157" s="146" t="str">
        <f>IF(A157="","",IF(COUNTIF($A$2:$A$200,A157)&gt;1,"ALERTA: ITEM_DUPLICADO",IF(AND($Z157,ISNUMBER(itens_Remanesc!B157),itens_Remanesc!B157&lt;&gt;0),"NOVO ITEM COM BASE DIFERENTE DE 0 - AJUSTAR itens_Remanesc",IF(AND($Z157,NOT(ISNUMBER(itens_Remanesc!C157))),"NOVO ITEM SEM VU_ORIGINAL - INFORMAR EM itens_Remanesc",IF(MIN(E157,I157,M157,Q157,U157,G157,K157,O157,S157,W157)&lt;0,"ALERTA: POSICAO_NEGATIVA",IF(OR(AND(G157&lt;&gt;"",G157&gt;E157),AND(K157&lt;&gt;"",K157&gt;I157),AND(O157&lt;&gt;"",O157&gt;M157),AND(S157&lt;&gt;"",S157&gt;Q157),AND(W157&lt;&gt;"",W157&gt;U157)),"ALERTA: REMANESCENTE_SUPERA_POSICAO","OK"))))))</f>
        <v/>
      </c>
      <c r="Y157" t="str">
        <f t="shared" si="82"/>
        <v/>
      </c>
      <c r="Z157" t="b">
        <f t="shared" si="83"/>
        <v>0</v>
      </c>
      <c r="AA157" s="208" t="str">
        <f>IF($A157="","",IF(COUNTIFS(aditivos!$A$2:$A$200,$A157,aditivos!$L$2:$L$200,"&lt;&gt;",aditivos!$L$2:$L$200,"&lt;&gt;0",aditivos!$B$2:$B$200,"&gt;0")=0,"",IFERROR(_xlfn.MINIFS(aditivos!$B$2:$B$200,aditivos!$A$2:$A$200,$A157,aditivos!$L$2:$L$200,"&lt;&gt;",aditivos!$L$2:$L$200,"&lt;&gt;0",aditivos!$B$2:$B$200,"&gt;0"),"")))</f>
        <v/>
      </c>
      <c r="AB157" t="str">
        <f>IF($A157="","",IF(OR(parametros!$C$2="",parametros!$I$2=""),0,ROUND(SUMIFS(aditivos!$L$2:$L$200,aditivos!$A$2:$A$200,$A157,aditivos!$C$2:$C$200,"C0",aditivos!$B$2:$B$200,"&gt;="&amp;(INT(parametros!$I$2)+1)),2)))</f>
        <v/>
      </c>
      <c r="AC157" t="str">
        <f>IF($A157="","",IF(OR(parametros!$C$3="",parametros!$I$3=""),0,ROUND(SUMIFS(aditivos!$L$2:$L$200,aditivos!$A$2:$A$200,$A157,aditivos!$C$2:$C$200,"C1",aditivos!$B$2:$B$200,"&gt;="&amp;(INT(parametros!$I$3)+1)),2)))</f>
        <v/>
      </c>
      <c r="AD157" t="str">
        <f>IF($A157="","",IF(OR(parametros!$C$4="",parametros!$I$4=""),0,ROUND(SUMIFS(aditivos!$L$2:$L$200,aditivos!$A$2:$A$200,$A157,aditivos!$C$2:$C$200,"C2",aditivos!$B$2:$B$200,"&gt;="&amp;(INT(parametros!$I$4)+1)),2)))</f>
        <v/>
      </c>
      <c r="AE157" t="str">
        <f>IF($A157="","",IF(OR(parametros!$C$5="",parametros!$I$5=""),0,ROUND(SUMIFS(aditivos!$L$2:$L$200,aditivos!$A$2:$A$200,$A157,aditivos!$C$2:$C$200,"C3",aditivos!$B$2:$B$200,"&gt;="&amp;(INT(parametros!$I$5)+1)),2)))</f>
        <v/>
      </c>
      <c r="AF157" t="str">
        <f>IF($A157="","",IF(OR(parametros!$C$6="",parametros!$I$6=""),0,ROUND(SUMIFS(aditivos!$L$2:$L$200,aditivos!$A$2:$A$200,$A157,aditivos!$C$2:$C$200,"C4",aditivos!$B$2:$B$200,"&gt;="&amp;(INT(parametros!$I$6)+1)),2)))</f>
        <v/>
      </c>
      <c r="AG157" t="str">
        <f t="shared" si="84"/>
        <v/>
      </c>
      <c r="AH157" t="str">
        <f t="shared" si="85"/>
        <v/>
      </c>
      <c r="AI157" t="str">
        <f t="shared" si="86"/>
        <v/>
      </c>
      <c r="AJ157" t="str">
        <f t="shared" si="87"/>
        <v/>
      </c>
      <c r="AK157" t="str">
        <f t="shared" si="88"/>
        <v/>
      </c>
      <c r="AL157" t="str">
        <f t="shared" si="89"/>
        <v/>
      </c>
    </row>
    <row r="158" spans="1:38" x14ac:dyDescent="0.35">
      <c r="A158" s="146" t="str">
        <f>IF(itens_Remanesc!A158="","",itens_Remanesc!A158)</f>
        <v/>
      </c>
      <c r="B158" s="196" t="str">
        <f>IF(A158="","",itens_Remanesc!C158)</f>
        <v/>
      </c>
      <c r="C158" s="161" t="str">
        <f>IF(A158="","",IF(itens_Remanesc!B158="",0,itens_Remanesc!B158))</f>
        <v/>
      </c>
      <c r="D158" s="163" t="str">
        <f>IF(A158="","",ROUND(SUMIFS(aditivos!$L$2:$L$200,aditivos!$A$2:$A$200,A158,aditivos!$C$2:$C$200,"C0"),2))</f>
        <v/>
      </c>
      <c r="E158" s="159" t="str">
        <f t="shared" si="72"/>
        <v/>
      </c>
      <c r="F158" s="159" t="str">
        <f>IF(A158="","",IF(itens_Remanesc!B158&lt;&gt;"",itens_Remanesc!B158,IF($Z158,0,"")))</f>
        <v/>
      </c>
      <c r="G158" s="167" t="str">
        <f t="shared" si="73"/>
        <v/>
      </c>
      <c r="H158" s="169" t="str">
        <f>IF(A158="","",ROUND(SUMIFS(aditivos!$L$2:$L$200,aditivos!$A$2:$A$200,A158,aditivos!$C$2:$C$200,"C1"),2))</f>
        <v/>
      </c>
      <c r="I158" s="165" t="str">
        <f t="shared" si="74"/>
        <v/>
      </c>
      <c r="J158" s="165" t="str">
        <f>IF(A158="","",IF(itens_Remanesc!E158="","",itens_Remanesc!E158))</f>
        <v/>
      </c>
      <c r="K158" s="171" t="str">
        <f t="shared" si="75"/>
        <v/>
      </c>
      <c r="L158" s="163" t="str">
        <f>IF(A158="","",ROUND(SUMIFS(aditivos!$L$2:$L$200,aditivos!$A$2:$A$200,A158,aditivos!$C$2:$C$200,"C2"),2))</f>
        <v/>
      </c>
      <c r="M158" s="159" t="str">
        <f t="shared" si="76"/>
        <v/>
      </c>
      <c r="N158" s="159" t="str">
        <f>IF(A158="","",IF(itens_Remanesc!G158="","",itens_Remanesc!G158))</f>
        <v/>
      </c>
      <c r="O158" s="167" t="str">
        <f t="shared" si="77"/>
        <v/>
      </c>
      <c r="P158" s="169" t="str">
        <f>IF(A158="","",ROUND(SUMIFS(aditivos!$L$2:$L$200,aditivos!$A$2:$A$200,A158,aditivos!$C$2:$C$200,"C3"),2))</f>
        <v/>
      </c>
      <c r="Q158" s="165" t="str">
        <f t="shared" si="78"/>
        <v/>
      </c>
      <c r="R158" s="165" t="str">
        <f>IF(A158="","",IF(itens_Remanesc!I158="","",itens_Remanesc!I158))</f>
        <v/>
      </c>
      <c r="S158" s="171" t="str">
        <f t="shared" si="79"/>
        <v/>
      </c>
      <c r="T158" s="163" t="str">
        <f>IF(A158="","",ROUND(SUMIFS(aditivos!$L$2:$L$200,aditivos!$A$2:$A$200,A158,aditivos!$C$2:$C$200,"C4"),2))</f>
        <v/>
      </c>
      <c r="U158" s="159" t="str">
        <f t="shared" si="80"/>
        <v/>
      </c>
      <c r="V158" s="159" t="str">
        <f>IF(A158="","",IF(itens_Remanesc!K158="","",itens_Remanesc!K158))</f>
        <v/>
      </c>
      <c r="W158" s="159" t="str">
        <f t="shared" si="81"/>
        <v/>
      </c>
      <c r="X158" s="146" t="str">
        <f>IF(A158="","",IF(COUNTIF($A$2:$A$200,A158)&gt;1,"ALERTA: ITEM_DUPLICADO",IF(AND($Z158,ISNUMBER(itens_Remanesc!B158),itens_Remanesc!B158&lt;&gt;0),"NOVO ITEM COM BASE DIFERENTE DE 0 - AJUSTAR itens_Remanesc",IF(AND($Z158,NOT(ISNUMBER(itens_Remanesc!C158))),"NOVO ITEM SEM VU_ORIGINAL - INFORMAR EM itens_Remanesc",IF(MIN(E158,I158,M158,Q158,U158,G158,K158,O158,S158,W158)&lt;0,"ALERTA: POSICAO_NEGATIVA",IF(OR(AND(G158&lt;&gt;"",G158&gt;E158),AND(K158&lt;&gt;"",K158&gt;I158),AND(O158&lt;&gt;"",O158&gt;M158),AND(S158&lt;&gt;"",S158&gt;Q158),AND(W158&lt;&gt;"",W158&gt;U158)),"ALERTA: REMANESCENTE_SUPERA_POSICAO","OK"))))))</f>
        <v/>
      </c>
      <c r="Y158" t="str">
        <f t="shared" si="82"/>
        <v/>
      </c>
      <c r="Z158" t="b">
        <f t="shared" si="83"/>
        <v>0</v>
      </c>
      <c r="AA158" s="208" t="str">
        <f>IF($A158="","",IF(COUNTIFS(aditivos!$A$2:$A$200,$A158,aditivos!$L$2:$L$200,"&lt;&gt;",aditivos!$L$2:$L$200,"&lt;&gt;0",aditivos!$B$2:$B$200,"&gt;0")=0,"",IFERROR(_xlfn.MINIFS(aditivos!$B$2:$B$200,aditivos!$A$2:$A$200,$A158,aditivos!$L$2:$L$200,"&lt;&gt;",aditivos!$L$2:$L$200,"&lt;&gt;0",aditivos!$B$2:$B$200,"&gt;0"),"")))</f>
        <v/>
      </c>
      <c r="AB158" t="str">
        <f>IF($A158="","",IF(OR(parametros!$C$2="",parametros!$I$2=""),0,ROUND(SUMIFS(aditivos!$L$2:$L$200,aditivos!$A$2:$A$200,$A158,aditivos!$C$2:$C$200,"C0",aditivos!$B$2:$B$200,"&gt;="&amp;(INT(parametros!$I$2)+1)),2)))</f>
        <v/>
      </c>
      <c r="AC158" t="str">
        <f>IF($A158="","",IF(OR(parametros!$C$3="",parametros!$I$3=""),0,ROUND(SUMIFS(aditivos!$L$2:$L$200,aditivos!$A$2:$A$200,$A158,aditivos!$C$2:$C$200,"C1",aditivos!$B$2:$B$200,"&gt;="&amp;(INT(parametros!$I$3)+1)),2)))</f>
        <v/>
      </c>
      <c r="AD158" t="str">
        <f>IF($A158="","",IF(OR(parametros!$C$4="",parametros!$I$4=""),0,ROUND(SUMIFS(aditivos!$L$2:$L$200,aditivos!$A$2:$A$200,$A158,aditivos!$C$2:$C$200,"C2",aditivos!$B$2:$B$200,"&gt;="&amp;(INT(parametros!$I$4)+1)),2)))</f>
        <v/>
      </c>
      <c r="AE158" t="str">
        <f>IF($A158="","",IF(OR(parametros!$C$5="",parametros!$I$5=""),0,ROUND(SUMIFS(aditivos!$L$2:$L$200,aditivos!$A$2:$A$200,$A158,aditivos!$C$2:$C$200,"C3",aditivos!$B$2:$B$200,"&gt;="&amp;(INT(parametros!$I$5)+1)),2)))</f>
        <v/>
      </c>
      <c r="AF158" t="str">
        <f>IF($A158="","",IF(OR(parametros!$C$6="",parametros!$I$6=""),0,ROUND(SUMIFS(aditivos!$L$2:$L$200,aditivos!$A$2:$A$200,$A158,aditivos!$C$2:$C$200,"C4",aditivos!$B$2:$B$200,"&gt;="&amp;(INT(parametros!$I$6)+1)),2)))</f>
        <v/>
      </c>
      <c r="AG158" t="str">
        <f t="shared" si="84"/>
        <v/>
      </c>
      <c r="AH158" t="str">
        <f t="shared" si="85"/>
        <v/>
      </c>
      <c r="AI158" t="str">
        <f t="shared" si="86"/>
        <v/>
      </c>
      <c r="AJ158" t="str">
        <f t="shared" si="87"/>
        <v/>
      </c>
      <c r="AK158" t="str">
        <f t="shared" si="88"/>
        <v/>
      </c>
      <c r="AL158" t="str">
        <f t="shared" si="89"/>
        <v/>
      </c>
    </row>
    <row r="159" spans="1:38" x14ac:dyDescent="0.35">
      <c r="A159" s="146" t="str">
        <f>IF(itens_Remanesc!A159="","",itens_Remanesc!A159)</f>
        <v/>
      </c>
      <c r="B159" s="196" t="str">
        <f>IF(A159="","",itens_Remanesc!C159)</f>
        <v/>
      </c>
      <c r="C159" s="161" t="str">
        <f>IF(A159="","",IF(itens_Remanesc!B159="",0,itens_Remanesc!B159))</f>
        <v/>
      </c>
      <c r="D159" s="163" t="str">
        <f>IF(A159="","",ROUND(SUMIFS(aditivos!$L$2:$L$200,aditivos!$A$2:$A$200,A159,aditivos!$C$2:$C$200,"C0"),2))</f>
        <v/>
      </c>
      <c r="E159" s="159" t="str">
        <f t="shared" si="72"/>
        <v/>
      </c>
      <c r="F159" s="159" t="str">
        <f>IF(A159="","",IF(itens_Remanesc!B159&lt;&gt;"",itens_Remanesc!B159,IF($Z159,0,"")))</f>
        <v/>
      </c>
      <c r="G159" s="167" t="str">
        <f t="shared" si="73"/>
        <v/>
      </c>
      <c r="H159" s="169" t="str">
        <f>IF(A159="","",ROUND(SUMIFS(aditivos!$L$2:$L$200,aditivos!$A$2:$A$200,A159,aditivos!$C$2:$C$200,"C1"),2))</f>
        <v/>
      </c>
      <c r="I159" s="165" t="str">
        <f t="shared" si="74"/>
        <v/>
      </c>
      <c r="J159" s="165" t="str">
        <f>IF(A159="","",IF(itens_Remanesc!E159="","",itens_Remanesc!E159))</f>
        <v/>
      </c>
      <c r="K159" s="171" t="str">
        <f t="shared" si="75"/>
        <v/>
      </c>
      <c r="L159" s="163" t="str">
        <f>IF(A159="","",ROUND(SUMIFS(aditivos!$L$2:$L$200,aditivos!$A$2:$A$200,A159,aditivos!$C$2:$C$200,"C2"),2))</f>
        <v/>
      </c>
      <c r="M159" s="159" t="str">
        <f t="shared" si="76"/>
        <v/>
      </c>
      <c r="N159" s="159" t="str">
        <f>IF(A159="","",IF(itens_Remanesc!G159="","",itens_Remanesc!G159))</f>
        <v/>
      </c>
      <c r="O159" s="167" t="str">
        <f t="shared" si="77"/>
        <v/>
      </c>
      <c r="P159" s="169" t="str">
        <f>IF(A159="","",ROUND(SUMIFS(aditivos!$L$2:$L$200,aditivos!$A$2:$A$200,A159,aditivos!$C$2:$C$200,"C3"),2))</f>
        <v/>
      </c>
      <c r="Q159" s="165" t="str">
        <f t="shared" si="78"/>
        <v/>
      </c>
      <c r="R159" s="165" t="str">
        <f>IF(A159="","",IF(itens_Remanesc!I159="","",itens_Remanesc!I159))</f>
        <v/>
      </c>
      <c r="S159" s="171" t="str">
        <f t="shared" si="79"/>
        <v/>
      </c>
      <c r="T159" s="163" t="str">
        <f>IF(A159="","",ROUND(SUMIFS(aditivos!$L$2:$L$200,aditivos!$A$2:$A$200,A159,aditivos!$C$2:$C$200,"C4"),2))</f>
        <v/>
      </c>
      <c r="U159" s="159" t="str">
        <f t="shared" si="80"/>
        <v/>
      </c>
      <c r="V159" s="159" t="str">
        <f>IF(A159="","",IF(itens_Remanesc!K159="","",itens_Remanesc!K159))</f>
        <v/>
      </c>
      <c r="W159" s="159" t="str">
        <f t="shared" si="81"/>
        <v/>
      </c>
      <c r="X159" s="146" t="str">
        <f>IF(A159="","",IF(COUNTIF($A$2:$A$200,A159)&gt;1,"ALERTA: ITEM_DUPLICADO",IF(AND($Z159,ISNUMBER(itens_Remanesc!B159),itens_Remanesc!B159&lt;&gt;0),"NOVO ITEM COM BASE DIFERENTE DE 0 - AJUSTAR itens_Remanesc",IF(AND($Z159,NOT(ISNUMBER(itens_Remanesc!C159))),"NOVO ITEM SEM VU_ORIGINAL - INFORMAR EM itens_Remanesc",IF(MIN(E159,I159,M159,Q159,U159,G159,K159,O159,S159,W159)&lt;0,"ALERTA: POSICAO_NEGATIVA",IF(OR(AND(G159&lt;&gt;"",G159&gt;E159),AND(K159&lt;&gt;"",K159&gt;I159),AND(O159&lt;&gt;"",O159&gt;M159),AND(S159&lt;&gt;"",S159&gt;Q159),AND(W159&lt;&gt;"",W159&gt;U159)),"ALERTA: REMANESCENTE_SUPERA_POSICAO","OK"))))))</f>
        <v/>
      </c>
      <c r="Y159" t="str">
        <f t="shared" si="82"/>
        <v/>
      </c>
      <c r="Z159" t="b">
        <f t="shared" si="83"/>
        <v>0</v>
      </c>
      <c r="AA159" s="208" t="str">
        <f>IF($A159="","",IF(COUNTIFS(aditivos!$A$2:$A$200,$A159,aditivos!$L$2:$L$200,"&lt;&gt;",aditivos!$L$2:$L$200,"&lt;&gt;0",aditivos!$B$2:$B$200,"&gt;0")=0,"",IFERROR(_xlfn.MINIFS(aditivos!$B$2:$B$200,aditivos!$A$2:$A$200,$A159,aditivos!$L$2:$L$200,"&lt;&gt;",aditivos!$L$2:$L$200,"&lt;&gt;0",aditivos!$B$2:$B$200,"&gt;0"),"")))</f>
        <v/>
      </c>
      <c r="AB159" t="str">
        <f>IF($A159="","",IF(OR(parametros!$C$2="",parametros!$I$2=""),0,ROUND(SUMIFS(aditivos!$L$2:$L$200,aditivos!$A$2:$A$200,$A159,aditivos!$C$2:$C$200,"C0",aditivos!$B$2:$B$200,"&gt;="&amp;(INT(parametros!$I$2)+1)),2)))</f>
        <v/>
      </c>
      <c r="AC159" t="str">
        <f>IF($A159="","",IF(OR(parametros!$C$3="",parametros!$I$3=""),0,ROUND(SUMIFS(aditivos!$L$2:$L$200,aditivos!$A$2:$A$200,$A159,aditivos!$C$2:$C$200,"C1",aditivos!$B$2:$B$200,"&gt;="&amp;(INT(parametros!$I$3)+1)),2)))</f>
        <v/>
      </c>
      <c r="AD159" t="str">
        <f>IF($A159="","",IF(OR(parametros!$C$4="",parametros!$I$4=""),0,ROUND(SUMIFS(aditivos!$L$2:$L$200,aditivos!$A$2:$A$200,$A159,aditivos!$C$2:$C$200,"C2",aditivos!$B$2:$B$200,"&gt;="&amp;(INT(parametros!$I$4)+1)),2)))</f>
        <v/>
      </c>
      <c r="AE159" t="str">
        <f>IF($A159="","",IF(OR(parametros!$C$5="",parametros!$I$5=""),0,ROUND(SUMIFS(aditivos!$L$2:$L$200,aditivos!$A$2:$A$200,$A159,aditivos!$C$2:$C$200,"C3",aditivos!$B$2:$B$200,"&gt;="&amp;(INT(parametros!$I$5)+1)),2)))</f>
        <v/>
      </c>
      <c r="AF159" t="str">
        <f>IF($A159="","",IF(OR(parametros!$C$6="",parametros!$I$6=""),0,ROUND(SUMIFS(aditivos!$L$2:$L$200,aditivos!$A$2:$A$200,$A159,aditivos!$C$2:$C$200,"C4",aditivos!$B$2:$B$200,"&gt;="&amp;(INT(parametros!$I$6)+1)),2)))</f>
        <v/>
      </c>
      <c r="AG159" t="str">
        <f t="shared" si="84"/>
        <v/>
      </c>
      <c r="AH159" t="str">
        <f t="shared" si="85"/>
        <v/>
      </c>
      <c r="AI159" t="str">
        <f t="shared" si="86"/>
        <v/>
      </c>
      <c r="AJ159" t="str">
        <f t="shared" si="87"/>
        <v/>
      </c>
      <c r="AK159" t="str">
        <f t="shared" si="88"/>
        <v/>
      </c>
      <c r="AL159" t="str">
        <f t="shared" si="89"/>
        <v/>
      </c>
    </row>
    <row r="160" spans="1:38" x14ac:dyDescent="0.35">
      <c r="A160" s="146" t="str">
        <f>IF(itens_Remanesc!A160="","",itens_Remanesc!A160)</f>
        <v/>
      </c>
      <c r="B160" s="196" t="str">
        <f>IF(A160="","",itens_Remanesc!C160)</f>
        <v/>
      </c>
      <c r="C160" s="161" t="str">
        <f>IF(A160="","",IF(itens_Remanesc!B160="",0,itens_Remanesc!B160))</f>
        <v/>
      </c>
      <c r="D160" s="163" t="str">
        <f>IF(A160="","",ROUND(SUMIFS(aditivos!$L$2:$L$200,aditivos!$A$2:$A$200,A160,aditivos!$C$2:$C$200,"C0"),2))</f>
        <v/>
      </c>
      <c r="E160" s="159" t="str">
        <f t="shared" si="72"/>
        <v/>
      </c>
      <c r="F160" s="159" t="str">
        <f>IF(A160="","",IF(itens_Remanesc!B160&lt;&gt;"",itens_Remanesc!B160,IF($Z160,0,"")))</f>
        <v/>
      </c>
      <c r="G160" s="167" t="str">
        <f t="shared" si="73"/>
        <v/>
      </c>
      <c r="H160" s="169" t="str">
        <f>IF(A160="","",ROUND(SUMIFS(aditivos!$L$2:$L$200,aditivos!$A$2:$A$200,A160,aditivos!$C$2:$C$200,"C1"),2))</f>
        <v/>
      </c>
      <c r="I160" s="165" t="str">
        <f t="shared" si="74"/>
        <v/>
      </c>
      <c r="J160" s="165" t="str">
        <f>IF(A160="","",IF(itens_Remanesc!E160="","",itens_Remanesc!E160))</f>
        <v/>
      </c>
      <c r="K160" s="171" t="str">
        <f t="shared" si="75"/>
        <v/>
      </c>
      <c r="L160" s="163" t="str">
        <f>IF(A160="","",ROUND(SUMIFS(aditivos!$L$2:$L$200,aditivos!$A$2:$A$200,A160,aditivos!$C$2:$C$200,"C2"),2))</f>
        <v/>
      </c>
      <c r="M160" s="159" t="str">
        <f t="shared" si="76"/>
        <v/>
      </c>
      <c r="N160" s="159" t="str">
        <f>IF(A160="","",IF(itens_Remanesc!G160="","",itens_Remanesc!G160))</f>
        <v/>
      </c>
      <c r="O160" s="167" t="str">
        <f t="shared" si="77"/>
        <v/>
      </c>
      <c r="P160" s="169" t="str">
        <f>IF(A160="","",ROUND(SUMIFS(aditivos!$L$2:$L$200,aditivos!$A$2:$A$200,A160,aditivos!$C$2:$C$200,"C3"),2))</f>
        <v/>
      </c>
      <c r="Q160" s="165" t="str">
        <f t="shared" si="78"/>
        <v/>
      </c>
      <c r="R160" s="165" t="str">
        <f>IF(A160="","",IF(itens_Remanesc!I160="","",itens_Remanesc!I160))</f>
        <v/>
      </c>
      <c r="S160" s="171" t="str">
        <f t="shared" si="79"/>
        <v/>
      </c>
      <c r="T160" s="163" t="str">
        <f>IF(A160="","",ROUND(SUMIFS(aditivos!$L$2:$L$200,aditivos!$A$2:$A$200,A160,aditivos!$C$2:$C$200,"C4"),2))</f>
        <v/>
      </c>
      <c r="U160" s="159" t="str">
        <f t="shared" si="80"/>
        <v/>
      </c>
      <c r="V160" s="159" t="str">
        <f>IF(A160="","",IF(itens_Remanesc!K160="","",itens_Remanesc!K160))</f>
        <v/>
      </c>
      <c r="W160" s="159" t="str">
        <f t="shared" si="81"/>
        <v/>
      </c>
      <c r="X160" s="146" t="str">
        <f>IF(A160="","",IF(COUNTIF($A$2:$A$200,A160)&gt;1,"ALERTA: ITEM_DUPLICADO",IF(AND($Z160,ISNUMBER(itens_Remanesc!B160),itens_Remanesc!B160&lt;&gt;0),"NOVO ITEM COM BASE DIFERENTE DE 0 - AJUSTAR itens_Remanesc",IF(AND($Z160,NOT(ISNUMBER(itens_Remanesc!C160))),"NOVO ITEM SEM VU_ORIGINAL - INFORMAR EM itens_Remanesc",IF(MIN(E160,I160,M160,Q160,U160,G160,K160,O160,S160,W160)&lt;0,"ALERTA: POSICAO_NEGATIVA",IF(OR(AND(G160&lt;&gt;"",G160&gt;E160),AND(K160&lt;&gt;"",K160&gt;I160),AND(O160&lt;&gt;"",O160&gt;M160),AND(S160&lt;&gt;"",S160&gt;Q160),AND(W160&lt;&gt;"",W160&gt;U160)),"ALERTA: REMANESCENTE_SUPERA_POSICAO","OK"))))))</f>
        <v/>
      </c>
      <c r="Y160" t="str">
        <f t="shared" si="82"/>
        <v/>
      </c>
      <c r="Z160" t="b">
        <f t="shared" si="83"/>
        <v>0</v>
      </c>
      <c r="AA160" s="208" t="str">
        <f>IF($A160="","",IF(COUNTIFS(aditivos!$A$2:$A$200,$A160,aditivos!$L$2:$L$200,"&lt;&gt;",aditivos!$L$2:$L$200,"&lt;&gt;0",aditivos!$B$2:$B$200,"&gt;0")=0,"",IFERROR(_xlfn.MINIFS(aditivos!$B$2:$B$200,aditivos!$A$2:$A$200,$A160,aditivos!$L$2:$L$200,"&lt;&gt;",aditivos!$L$2:$L$200,"&lt;&gt;0",aditivos!$B$2:$B$200,"&gt;0"),"")))</f>
        <v/>
      </c>
      <c r="AB160" t="str">
        <f>IF($A160="","",IF(OR(parametros!$C$2="",parametros!$I$2=""),0,ROUND(SUMIFS(aditivos!$L$2:$L$200,aditivos!$A$2:$A$200,$A160,aditivos!$C$2:$C$200,"C0",aditivos!$B$2:$B$200,"&gt;="&amp;(INT(parametros!$I$2)+1)),2)))</f>
        <v/>
      </c>
      <c r="AC160" t="str">
        <f>IF($A160="","",IF(OR(parametros!$C$3="",parametros!$I$3=""),0,ROUND(SUMIFS(aditivos!$L$2:$L$200,aditivos!$A$2:$A$200,$A160,aditivos!$C$2:$C$200,"C1",aditivos!$B$2:$B$200,"&gt;="&amp;(INT(parametros!$I$3)+1)),2)))</f>
        <v/>
      </c>
      <c r="AD160" t="str">
        <f>IF($A160="","",IF(OR(parametros!$C$4="",parametros!$I$4=""),0,ROUND(SUMIFS(aditivos!$L$2:$L$200,aditivos!$A$2:$A$200,$A160,aditivos!$C$2:$C$200,"C2",aditivos!$B$2:$B$200,"&gt;="&amp;(INT(parametros!$I$4)+1)),2)))</f>
        <v/>
      </c>
      <c r="AE160" t="str">
        <f>IF($A160="","",IF(OR(parametros!$C$5="",parametros!$I$5=""),0,ROUND(SUMIFS(aditivos!$L$2:$L$200,aditivos!$A$2:$A$200,$A160,aditivos!$C$2:$C$200,"C3",aditivos!$B$2:$B$200,"&gt;="&amp;(INT(parametros!$I$5)+1)),2)))</f>
        <v/>
      </c>
      <c r="AF160" t="str">
        <f>IF($A160="","",IF(OR(parametros!$C$6="",parametros!$I$6=""),0,ROUND(SUMIFS(aditivos!$L$2:$L$200,aditivos!$A$2:$A$200,$A160,aditivos!$C$2:$C$200,"C4",aditivos!$B$2:$B$200,"&gt;="&amp;(INT(parametros!$I$6)+1)),2)))</f>
        <v/>
      </c>
      <c r="AG160" t="str">
        <f t="shared" si="84"/>
        <v/>
      </c>
      <c r="AH160" t="str">
        <f t="shared" si="85"/>
        <v/>
      </c>
      <c r="AI160" t="str">
        <f t="shared" si="86"/>
        <v/>
      </c>
      <c r="AJ160" t="str">
        <f t="shared" si="87"/>
        <v/>
      </c>
      <c r="AK160" t="str">
        <f t="shared" si="88"/>
        <v/>
      </c>
      <c r="AL160" t="str">
        <f t="shared" si="89"/>
        <v/>
      </c>
    </row>
    <row r="161" spans="1:38" x14ac:dyDescent="0.35">
      <c r="A161" s="146" t="str">
        <f>IF(itens_Remanesc!A161="","",itens_Remanesc!A161)</f>
        <v/>
      </c>
      <c r="B161" s="196" t="str">
        <f>IF(A161="","",itens_Remanesc!C161)</f>
        <v/>
      </c>
      <c r="C161" s="161" t="str">
        <f>IF(A161="","",IF(itens_Remanesc!B161="",0,itens_Remanesc!B161))</f>
        <v/>
      </c>
      <c r="D161" s="163" t="str">
        <f>IF(A161="","",ROUND(SUMIFS(aditivos!$L$2:$L$200,aditivos!$A$2:$A$200,A161,aditivos!$C$2:$C$200,"C0"),2))</f>
        <v/>
      </c>
      <c r="E161" s="159" t="str">
        <f t="shared" si="72"/>
        <v/>
      </c>
      <c r="F161" s="159" t="str">
        <f>IF(A161="","",IF(itens_Remanesc!B161&lt;&gt;"",itens_Remanesc!B161,IF($Z161,0,"")))</f>
        <v/>
      </c>
      <c r="G161" s="167" t="str">
        <f t="shared" si="73"/>
        <v/>
      </c>
      <c r="H161" s="169" t="str">
        <f>IF(A161="","",ROUND(SUMIFS(aditivos!$L$2:$L$200,aditivos!$A$2:$A$200,A161,aditivos!$C$2:$C$200,"C1"),2))</f>
        <v/>
      </c>
      <c r="I161" s="165" t="str">
        <f t="shared" si="74"/>
        <v/>
      </c>
      <c r="J161" s="165" t="str">
        <f>IF(A161="","",IF(itens_Remanesc!E161="","",itens_Remanesc!E161))</f>
        <v/>
      </c>
      <c r="K161" s="171" t="str">
        <f t="shared" si="75"/>
        <v/>
      </c>
      <c r="L161" s="163" t="str">
        <f>IF(A161="","",ROUND(SUMIFS(aditivos!$L$2:$L$200,aditivos!$A$2:$A$200,A161,aditivos!$C$2:$C$200,"C2"),2))</f>
        <v/>
      </c>
      <c r="M161" s="159" t="str">
        <f t="shared" si="76"/>
        <v/>
      </c>
      <c r="N161" s="159" t="str">
        <f>IF(A161="","",IF(itens_Remanesc!G161="","",itens_Remanesc!G161))</f>
        <v/>
      </c>
      <c r="O161" s="167" t="str">
        <f t="shared" si="77"/>
        <v/>
      </c>
      <c r="P161" s="169" t="str">
        <f>IF(A161="","",ROUND(SUMIFS(aditivos!$L$2:$L$200,aditivos!$A$2:$A$200,A161,aditivos!$C$2:$C$200,"C3"),2))</f>
        <v/>
      </c>
      <c r="Q161" s="165" t="str">
        <f t="shared" si="78"/>
        <v/>
      </c>
      <c r="R161" s="165" t="str">
        <f>IF(A161="","",IF(itens_Remanesc!I161="","",itens_Remanesc!I161))</f>
        <v/>
      </c>
      <c r="S161" s="171" t="str">
        <f t="shared" si="79"/>
        <v/>
      </c>
      <c r="T161" s="163" t="str">
        <f>IF(A161="","",ROUND(SUMIFS(aditivos!$L$2:$L$200,aditivos!$A$2:$A$200,A161,aditivos!$C$2:$C$200,"C4"),2))</f>
        <v/>
      </c>
      <c r="U161" s="159" t="str">
        <f t="shared" si="80"/>
        <v/>
      </c>
      <c r="V161" s="159" t="str">
        <f>IF(A161="","",IF(itens_Remanesc!K161="","",itens_Remanesc!K161))</f>
        <v/>
      </c>
      <c r="W161" s="159" t="str">
        <f t="shared" si="81"/>
        <v/>
      </c>
      <c r="X161" s="146" t="str">
        <f>IF(A161="","",IF(COUNTIF($A$2:$A$200,A161)&gt;1,"ALERTA: ITEM_DUPLICADO",IF(AND($Z161,ISNUMBER(itens_Remanesc!B161),itens_Remanesc!B161&lt;&gt;0),"NOVO ITEM COM BASE DIFERENTE DE 0 - AJUSTAR itens_Remanesc",IF(AND($Z161,NOT(ISNUMBER(itens_Remanesc!C161))),"NOVO ITEM SEM VU_ORIGINAL - INFORMAR EM itens_Remanesc",IF(MIN(E161,I161,M161,Q161,U161,G161,K161,O161,S161,W161)&lt;0,"ALERTA: POSICAO_NEGATIVA",IF(OR(AND(G161&lt;&gt;"",G161&gt;E161),AND(K161&lt;&gt;"",K161&gt;I161),AND(O161&lt;&gt;"",O161&gt;M161),AND(S161&lt;&gt;"",S161&gt;Q161),AND(W161&lt;&gt;"",W161&gt;U161)),"ALERTA: REMANESCENTE_SUPERA_POSICAO","OK"))))))</f>
        <v/>
      </c>
      <c r="Y161" t="str">
        <f t="shared" si="82"/>
        <v/>
      </c>
      <c r="Z161" t="b">
        <f t="shared" si="83"/>
        <v>0</v>
      </c>
      <c r="AA161" s="208" t="str">
        <f>IF($A161="","",IF(COUNTIFS(aditivos!$A$2:$A$200,$A161,aditivos!$L$2:$L$200,"&lt;&gt;",aditivos!$L$2:$L$200,"&lt;&gt;0",aditivos!$B$2:$B$200,"&gt;0")=0,"",IFERROR(_xlfn.MINIFS(aditivos!$B$2:$B$200,aditivos!$A$2:$A$200,$A161,aditivos!$L$2:$L$200,"&lt;&gt;",aditivos!$L$2:$L$200,"&lt;&gt;0",aditivos!$B$2:$B$200,"&gt;0"),"")))</f>
        <v/>
      </c>
      <c r="AB161" t="str">
        <f>IF($A161="","",IF(OR(parametros!$C$2="",parametros!$I$2=""),0,ROUND(SUMIFS(aditivos!$L$2:$L$200,aditivos!$A$2:$A$200,$A161,aditivos!$C$2:$C$200,"C0",aditivos!$B$2:$B$200,"&gt;="&amp;(INT(parametros!$I$2)+1)),2)))</f>
        <v/>
      </c>
      <c r="AC161" t="str">
        <f>IF($A161="","",IF(OR(parametros!$C$3="",parametros!$I$3=""),0,ROUND(SUMIFS(aditivos!$L$2:$L$200,aditivos!$A$2:$A$200,$A161,aditivos!$C$2:$C$200,"C1",aditivos!$B$2:$B$200,"&gt;="&amp;(INT(parametros!$I$3)+1)),2)))</f>
        <v/>
      </c>
      <c r="AD161" t="str">
        <f>IF($A161="","",IF(OR(parametros!$C$4="",parametros!$I$4=""),0,ROUND(SUMIFS(aditivos!$L$2:$L$200,aditivos!$A$2:$A$200,$A161,aditivos!$C$2:$C$200,"C2",aditivos!$B$2:$B$200,"&gt;="&amp;(INT(parametros!$I$4)+1)),2)))</f>
        <v/>
      </c>
      <c r="AE161" t="str">
        <f>IF($A161="","",IF(OR(parametros!$C$5="",parametros!$I$5=""),0,ROUND(SUMIFS(aditivos!$L$2:$L$200,aditivos!$A$2:$A$200,$A161,aditivos!$C$2:$C$200,"C3",aditivos!$B$2:$B$200,"&gt;="&amp;(INT(parametros!$I$5)+1)),2)))</f>
        <v/>
      </c>
      <c r="AF161" t="str">
        <f>IF($A161="","",IF(OR(parametros!$C$6="",parametros!$I$6=""),0,ROUND(SUMIFS(aditivos!$L$2:$L$200,aditivos!$A$2:$A$200,$A161,aditivos!$C$2:$C$200,"C4",aditivos!$B$2:$B$200,"&gt;="&amp;(INT(parametros!$I$6)+1)),2)))</f>
        <v/>
      </c>
      <c r="AG161" t="str">
        <f t="shared" si="84"/>
        <v/>
      </c>
      <c r="AH161" t="str">
        <f t="shared" si="85"/>
        <v/>
      </c>
      <c r="AI161" t="str">
        <f t="shared" si="86"/>
        <v/>
      </c>
      <c r="AJ161" t="str">
        <f t="shared" si="87"/>
        <v/>
      </c>
      <c r="AK161" t="str">
        <f t="shared" si="88"/>
        <v/>
      </c>
      <c r="AL161" t="str">
        <f t="shared" si="89"/>
        <v/>
      </c>
    </row>
    <row r="162" spans="1:38" x14ac:dyDescent="0.35">
      <c r="A162" s="146" t="str">
        <f>IF(itens_Remanesc!A162="","",itens_Remanesc!A162)</f>
        <v/>
      </c>
      <c r="B162" s="196" t="str">
        <f>IF(A162="","",itens_Remanesc!C162)</f>
        <v/>
      </c>
      <c r="C162" s="161" t="str">
        <f>IF(A162="","",IF(itens_Remanesc!B162="",0,itens_Remanesc!B162))</f>
        <v/>
      </c>
      <c r="D162" s="163" t="str">
        <f>IF(A162="","",ROUND(SUMIFS(aditivos!$L$2:$L$200,aditivos!$A$2:$A$200,A162,aditivos!$C$2:$C$200,"C0"),2))</f>
        <v/>
      </c>
      <c r="E162" s="159" t="str">
        <f t="shared" ref="E162:E193" si="90">IF(A162="","",ROUND(C162+D162,2))</f>
        <v/>
      </c>
      <c r="F162" s="159" t="str">
        <f>IF(A162="","",IF(itens_Remanesc!B162&lt;&gt;"",itens_Remanesc!B162,IF($Z162,0,"")))</f>
        <v/>
      </c>
      <c r="G162" s="167" t="str">
        <f t="shared" ref="G162:G193" si="91">IF(A162="","",IF($Y162="","",IF($Y162&gt;0,"",ROUND(E162,2))))</f>
        <v/>
      </c>
      <c r="H162" s="169" t="str">
        <f>IF(A162="","",ROUND(SUMIFS(aditivos!$L$2:$L$200,aditivos!$A$2:$A$200,A162,aditivos!$C$2:$C$200,"C1"),2))</f>
        <v/>
      </c>
      <c r="I162" s="165" t="str">
        <f t="shared" ref="I162:I193" si="92">IF(A162="","",ROUND(E162+H162,2))</f>
        <v/>
      </c>
      <c r="J162" s="165" t="str">
        <f>IF(A162="","",IF(itens_Remanesc!E162="","",itens_Remanesc!E162))</f>
        <v/>
      </c>
      <c r="K162" s="171" t="str">
        <f t="shared" ref="K162:K193" si="93">IF(A162="","",IF($Y162="","",IF($Y162&gt;1,"",IF(ISNUMBER(J162),ROUND(J162+H162,2),IF($Y162=1,ROUND(H162,2),"")))))</f>
        <v/>
      </c>
      <c r="L162" s="163" t="str">
        <f>IF(A162="","",ROUND(SUMIFS(aditivos!$L$2:$L$200,aditivos!$A$2:$A$200,A162,aditivos!$C$2:$C$200,"C2"),2))</f>
        <v/>
      </c>
      <c r="M162" s="159" t="str">
        <f t="shared" ref="M162:M193" si="94">IF(A162="","",ROUND(I162+L162,2))</f>
        <v/>
      </c>
      <c r="N162" s="159" t="str">
        <f>IF(A162="","",IF(itens_Remanesc!G162="","",itens_Remanesc!G162))</f>
        <v/>
      </c>
      <c r="O162" s="167" t="str">
        <f t="shared" ref="O162:O193" si="95">IF(A162="","",IF($Y162="","",IF($Y162&gt;2,"",IF(ISNUMBER(N162),ROUND(N162+L162,2),IF($Y162=2,ROUND(L162,2),"")))))</f>
        <v/>
      </c>
      <c r="P162" s="169" t="str">
        <f>IF(A162="","",ROUND(SUMIFS(aditivos!$L$2:$L$200,aditivos!$A$2:$A$200,A162,aditivos!$C$2:$C$200,"C3"),2))</f>
        <v/>
      </c>
      <c r="Q162" s="165" t="str">
        <f t="shared" ref="Q162:Q193" si="96">IF(A162="","",ROUND(M162+P162,2))</f>
        <v/>
      </c>
      <c r="R162" s="165" t="str">
        <f>IF(A162="","",IF(itens_Remanesc!I162="","",itens_Remanesc!I162))</f>
        <v/>
      </c>
      <c r="S162" s="171" t="str">
        <f t="shared" ref="S162:S193" si="97">IF(A162="","",IF($Y162="","",IF($Y162&gt;3,"",IF(ISNUMBER(R162),ROUND(R162+P162,2),IF($Y162=3,ROUND(P162,2),"")))))</f>
        <v/>
      </c>
      <c r="T162" s="163" t="str">
        <f>IF(A162="","",ROUND(SUMIFS(aditivos!$L$2:$L$200,aditivos!$A$2:$A$200,A162,aditivos!$C$2:$C$200,"C4"),2))</f>
        <v/>
      </c>
      <c r="U162" s="159" t="str">
        <f t="shared" ref="U162:U193" si="98">IF(A162="","",ROUND(Q162+T162,2))</f>
        <v/>
      </c>
      <c r="V162" s="159" t="str">
        <f>IF(A162="","",IF(itens_Remanesc!K162="","",itens_Remanesc!K162))</f>
        <v/>
      </c>
      <c r="W162" s="159" t="str">
        <f t="shared" ref="W162:W193" si="99">IF(A162="","",IF($Y162="","",IF($Y162&gt;4,"",IF(ISNUMBER(V162),ROUND(V162+T162,2),IF($Y162=4,ROUND(T162,2),"")))))</f>
        <v/>
      </c>
      <c r="X162" s="146" t="str">
        <f>IF(A162="","",IF(COUNTIF($A$2:$A$200,A162)&gt;1,"ALERTA: ITEM_DUPLICADO",IF(AND($Z162,ISNUMBER(itens_Remanesc!B162),itens_Remanesc!B162&lt;&gt;0),"NOVO ITEM COM BASE DIFERENTE DE 0 - AJUSTAR itens_Remanesc",IF(AND($Z162,NOT(ISNUMBER(itens_Remanesc!C162))),"NOVO ITEM SEM VU_ORIGINAL - INFORMAR EM itens_Remanesc",IF(MIN(E162,I162,M162,Q162,U162,G162,K162,O162,S162,W162)&lt;0,"ALERTA: POSICAO_NEGATIVA",IF(OR(AND(G162&lt;&gt;"",G162&gt;E162),AND(K162&lt;&gt;"",K162&gt;I162),AND(O162&lt;&gt;"",O162&gt;M162),AND(S162&lt;&gt;"",S162&gt;Q162),AND(W162&lt;&gt;"",W162&gt;U162)),"ALERTA: REMANESCENTE_SUPERA_POSICAO","OK"))))))</f>
        <v/>
      </c>
      <c r="Y162" t="str">
        <f t="shared" ref="Y162:Y193" si="100">IF($A162="","",IF($E162&gt;0,0,IF($I162&gt;0,1,IF($M162&gt;0,2,IF($Q162&gt;0,3,IF($U162&gt;0,4,""))))))</f>
        <v/>
      </c>
      <c r="Z162" t="b">
        <f t="shared" ref="Z162:Z193" si="101">IF($A162="",FALSE,AND(LEN(TRIM($A162))=4,LEFT(TRIM($A162),1)="N",ISNUMBER(--MID(TRIM($A162),2,3)),ISERROR(FIND(".",$A162)),ISERROR(FIND(",",$A162)),ISERROR(FIND("-",$A162)),ISERROR(FIND("+",$A162)),ISERROR(SEARCH("E",$A162,2)),ISERROR(FIND(" ",TRIM($A162)))))</f>
        <v>0</v>
      </c>
      <c r="AA162" s="208" t="str">
        <f>IF($A162="","",IF(COUNTIFS(aditivos!$A$2:$A$200,$A162,aditivos!$L$2:$L$200,"&lt;&gt;",aditivos!$L$2:$L$200,"&lt;&gt;0",aditivos!$B$2:$B$200,"&gt;0")=0,"",IFERROR(_xlfn.MINIFS(aditivos!$B$2:$B$200,aditivos!$A$2:$A$200,$A162,aditivos!$L$2:$L$200,"&lt;&gt;",aditivos!$L$2:$L$200,"&lt;&gt;0",aditivos!$B$2:$B$200,"&gt;0"),"")))</f>
        <v/>
      </c>
      <c r="AB162" t="str">
        <f>IF($A162="","",IF(OR(parametros!$C$2="",parametros!$I$2=""),0,ROUND(SUMIFS(aditivos!$L$2:$L$200,aditivos!$A$2:$A$200,$A162,aditivos!$C$2:$C$200,"C0",aditivos!$B$2:$B$200,"&gt;="&amp;(INT(parametros!$I$2)+1)),2)))</f>
        <v/>
      </c>
      <c r="AC162" t="str">
        <f>IF($A162="","",IF(OR(parametros!$C$3="",parametros!$I$3=""),0,ROUND(SUMIFS(aditivos!$L$2:$L$200,aditivos!$A$2:$A$200,$A162,aditivos!$C$2:$C$200,"C1",aditivos!$B$2:$B$200,"&gt;="&amp;(INT(parametros!$I$3)+1)),2)))</f>
        <v/>
      </c>
      <c r="AD162" t="str">
        <f>IF($A162="","",IF(OR(parametros!$C$4="",parametros!$I$4=""),0,ROUND(SUMIFS(aditivos!$L$2:$L$200,aditivos!$A$2:$A$200,$A162,aditivos!$C$2:$C$200,"C2",aditivos!$B$2:$B$200,"&gt;="&amp;(INT(parametros!$I$4)+1)),2)))</f>
        <v/>
      </c>
      <c r="AE162" t="str">
        <f>IF($A162="","",IF(OR(parametros!$C$5="",parametros!$I$5=""),0,ROUND(SUMIFS(aditivos!$L$2:$L$200,aditivos!$A$2:$A$200,$A162,aditivos!$C$2:$C$200,"C3",aditivos!$B$2:$B$200,"&gt;="&amp;(INT(parametros!$I$5)+1)),2)))</f>
        <v/>
      </c>
      <c r="AF162" t="str">
        <f>IF($A162="","",IF(OR(parametros!$C$6="",parametros!$I$6=""),0,ROUND(SUMIFS(aditivos!$L$2:$L$200,aditivos!$A$2:$A$200,$A162,aditivos!$C$2:$C$200,"C4",aditivos!$B$2:$B$200,"&gt;="&amp;(INT(parametros!$I$6)+1)),2)))</f>
        <v/>
      </c>
      <c r="AG162" t="str">
        <f t="shared" ref="AG162:AG193" si="102">IF($A162="","",IF(OR(NOT(ISNUMBER($E162)),NOT(ISNUMBER($AB162))),"",ROUND($E162-$AB162,2)))</f>
        <v/>
      </c>
      <c r="AH162" t="str">
        <f t="shared" ref="AH162:AH193" si="103">IF($A162="","",IF(OR(NOT(ISNUMBER($I162)),NOT(ISNUMBER($AC162))),"",ROUND($I162-$AC162,2)))</f>
        <v/>
      </c>
      <c r="AI162" t="str">
        <f t="shared" ref="AI162:AI193" si="104">IF($A162="","",IF(OR(NOT(ISNUMBER($M162)),NOT(ISNUMBER($AD162))),"",ROUND($M162-$AD162,2)))</f>
        <v/>
      </c>
      <c r="AJ162" t="str">
        <f t="shared" ref="AJ162:AJ193" si="105">IF($A162="","",IF(OR(NOT(ISNUMBER($Q162)),NOT(ISNUMBER($AE162))),"",ROUND($Q162-$AE162,2)))</f>
        <v/>
      </c>
      <c r="AK162" t="str">
        <f t="shared" ref="AK162:AK193" si="106">IF($A162="","",IF(OR(NOT(ISNUMBER($U162)),NOT(ISNUMBER($AF162))),"",ROUND($U162-$AF162,2)))</f>
        <v/>
      </c>
      <c r="AL162" t="str">
        <f t="shared" ref="AL162:AL193" si="107">IF($A162="","",IF(N($AG162)&gt;0,0,IF(N($AH162)&gt;0,1,IF(N($AI162)&gt;0,2,IF(N($AJ162)&gt;0,3,IF(N($AK162)&gt;0,4,""))))))</f>
        <v/>
      </c>
    </row>
    <row r="163" spans="1:38" x14ac:dyDescent="0.35">
      <c r="A163" s="146" t="str">
        <f>IF(itens_Remanesc!A163="","",itens_Remanesc!A163)</f>
        <v/>
      </c>
      <c r="B163" s="196" t="str">
        <f>IF(A163="","",itens_Remanesc!C163)</f>
        <v/>
      </c>
      <c r="C163" s="161" t="str">
        <f>IF(A163="","",IF(itens_Remanesc!B163="",0,itens_Remanesc!B163))</f>
        <v/>
      </c>
      <c r="D163" s="163" t="str">
        <f>IF(A163="","",ROUND(SUMIFS(aditivos!$L$2:$L$200,aditivos!$A$2:$A$200,A163,aditivos!$C$2:$C$200,"C0"),2))</f>
        <v/>
      </c>
      <c r="E163" s="159" t="str">
        <f t="shared" si="90"/>
        <v/>
      </c>
      <c r="F163" s="159" t="str">
        <f>IF(A163="","",IF(itens_Remanesc!B163&lt;&gt;"",itens_Remanesc!B163,IF($Z163,0,"")))</f>
        <v/>
      </c>
      <c r="G163" s="167" t="str">
        <f t="shared" si="91"/>
        <v/>
      </c>
      <c r="H163" s="169" t="str">
        <f>IF(A163="","",ROUND(SUMIFS(aditivos!$L$2:$L$200,aditivos!$A$2:$A$200,A163,aditivos!$C$2:$C$200,"C1"),2))</f>
        <v/>
      </c>
      <c r="I163" s="165" t="str">
        <f t="shared" si="92"/>
        <v/>
      </c>
      <c r="J163" s="165" t="str">
        <f>IF(A163="","",IF(itens_Remanesc!E163="","",itens_Remanesc!E163))</f>
        <v/>
      </c>
      <c r="K163" s="171" t="str">
        <f t="shared" si="93"/>
        <v/>
      </c>
      <c r="L163" s="163" t="str">
        <f>IF(A163="","",ROUND(SUMIFS(aditivos!$L$2:$L$200,aditivos!$A$2:$A$200,A163,aditivos!$C$2:$C$200,"C2"),2))</f>
        <v/>
      </c>
      <c r="M163" s="159" t="str">
        <f t="shared" si="94"/>
        <v/>
      </c>
      <c r="N163" s="159" t="str">
        <f>IF(A163="","",IF(itens_Remanesc!G163="","",itens_Remanesc!G163))</f>
        <v/>
      </c>
      <c r="O163" s="167" t="str">
        <f t="shared" si="95"/>
        <v/>
      </c>
      <c r="P163" s="169" t="str">
        <f>IF(A163="","",ROUND(SUMIFS(aditivos!$L$2:$L$200,aditivos!$A$2:$A$200,A163,aditivos!$C$2:$C$200,"C3"),2))</f>
        <v/>
      </c>
      <c r="Q163" s="165" t="str">
        <f t="shared" si="96"/>
        <v/>
      </c>
      <c r="R163" s="165" t="str">
        <f>IF(A163="","",IF(itens_Remanesc!I163="","",itens_Remanesc!I163))</f>
        <v/>
      </c>
      <c r="S163" s="171" t="str">
        <f t="shared" si="97"/>
        <v/>
      </c>
      <c r="T163" s="163" t="str">
        <f>IF(A163="","",ROUND(SUMIFS(aditivos!$L$2:$L$200,aditivos!$A$2:$A$200,A163,aditivos!$C$2:$C$200,"C4"),2))</f>
        <v/>
      </c>
      <c r="U163" s="159" t="str">
        <f t="shared" si="98"/>
        <v/>
      </c>
      <c r="V163" s="159" t="str">
        <f>IF(A163="","",IF(itens_Remanesc!K163="","",itens_Remanesc!K163))</f>
        <v/>
      </c>
      <c r="W163" s="159" t="str">
        <f t="shared" si="99"/>
        <v/>
      </c>
      <c r="X163" s="146" t="str">
        <f>IF(A163="","",IF(COUNTIF($A$2:$A$200,A163)&gt;1,"ALERTA: ITEM_DUPLICADO",IF(AND($Z163,ISNUMBER(itens_Remanesc!B163),itens_Remanesc!B163&lt;&gt;0),"NOVO ITEM COM BASE DIFERENTE DE 0 - AJUSTAR itens_Remanesc",IF(AND($Z163,NOT(ISNUMBER(itens_Remanesc!C163))),"NOVO ITEM SEM VU_ORIGINAL - INFORMAR EM itens_Remanesc",IF(MIN(E163,I163,M163,Q163,U163,G163,K163,O163,S163,W163)&lt;0,"ALERTA: POSICAO_NEGATIVA",IF(OR(AND(G163&lt;&gt;"",G163&gt;E163),AND(K163&lt;&gt;"",K163&gt;I163),AND(O163&lt;&gt;"",O163&gt;M163),AND(S163&lt;&gt;"",S163&gt;Q163),AND(W163&lt;&gt;"",W163&gt;U163)),"ALERTA: REMANESCENTE_SUPERA_POSICAO","OK"))))))</f>
        <v/>
      </c>
      <c r="Y163" t="str">
        <f t="shared" si="100"/>
        <v/>
      </c>
      <c r="Z163" t="b">
        <f t="shared" si="101"/>
        <v>0</v>
      </c>
      <c r="AA163" s="208" t="str">
        <f>IF($A163="","",IF(COUNTIFS(aditivos!$A$2:$A$200,$A163,aditivos!$L$2:$L$200,"&lt;&gt;",aditivos!$L$2:$L$200,"&lt;&gt;0",aditivos!$B$2:$B$200,"&gt;0")=0,"",IFERROR(_xlfn.MINIFS(aditivos!$B$2:$B$200,aditivos!$A$2:$A$200,$A163,aditivos!$L$2:$L$200,"&lt;&gt;",aditivos!$L$2:$L$200,"&lt;&gt;0",aditivos!$B$2:$B$200,"&gt;0"),"")))</f>
        <v/>
      </c>
      <c r="AB163" t="str">
        <f>IF($A163="","",IF(OR(parametros!$C$2="",parametros!$I$2=""),0,ROUND(SUMIFS(aditivos!$L$2:$L$200,aditivos!$A$2:$A$200,$A163,aditivos!$C$2:$C$200,"C0",aditivos!$B$2:$B$200,"&gt;="&amp;(INT(parametros!$I$2)+1)),2)))</f>
        <v/>
      </c>
      <c r="AC163" t="str">
        <f>IF($A163="","",IF(OR(parametros!$C$3="",parametros!$I$3=""),0,ROUND(SUMIFS(aditivos!$L$2:$L$200,aditivos!$A$2:$A$200,$A163,aditivos!$C$2:$C$200,"C1",aditivos!$B$2:$B$200,"&gt;="&amp;(INT(parametros!$I$3)+1)),2)))</f>
        <v/>
      </c>
      <c r="AD163" t="str">
        <f>IF($A163="","",IF(OR(parametros!$C$4="",parametros!$I$4=""),0,ROUND(SUMIFS(aditivos!$L$2:$L$200,aditivos!$A$2:$A$200,$A163,aditivos!$C$2:$C$200,"C2",aditivos!$B$2:$B$200,"&gt;="&amp;(INT(parametros!$I$4)+1)),2)))</f>
        <v/>
      </c>
      <c r="AE163" t="str">
        <f>IF($A163="","",IF(OR(parametros!$C$5="",parametros!$I$5=""),0,ROUND(SUMIFS(aditivos!$L$2:$L$200,aditivos!$A$2:$A$200,$A163,aditivos!$C$2:$C$200,"C3",aditivos!$B$2:$B$200,"&gt;="&amp;(INT(parametros!$I$5)+1)),2)))</f>
        <v/>
      </c>
      <c r="AF163" t="str">
        <f>IF($A163="","",IF(OR(parametros!$C$6="",parametros!$I$6=""),0,ROUND(SUMIFS(aditivos!$L$2:$L$200,aditivos!$A$2:$A$200,$A163,aditivos!$C$2:$C$200,"C4",aditivos!$B$2:$B$200,"&gt;="&amp;(INT(parametros!$I$6)+1)),2)))</f>
        <v/>
      </c>
      <c r="AG163" t="str">
        <f t="shared" si="102"/>
        <v/>
      </c>
      <c r="AH163" t="str">
        <f t="shared" si="103"/>
        <v/>
      </c>
      <c r="AI163" t="str">
        <f t="shared" si="104"/>
        <v/>
      </c>
      <c r="AJ163" t="str">
        <f t="shared" si="105"/>
        <v/>
      </c>
      <c r="AK163" t="str">
        <f t="shared" si="106"/>
        <v/>
      </c>
      <c r="AL163" t="str">
        <f t="shared" si="107"/>
        <v/>
      </c>
    </row>
    <row r="164" spans="1:38" x14ac:dyDescent="0.35">
      <c r="A164" s="146" t="str">
        <f>IF(itens_Remanesc!A164="","",itens_Remanesc!A164)</f>
        <v/>
      </c>
      <c r="B164" s="196" t="str">
        <f>IF(A164="","",itens_Remanesc!C164)</f>
        <v/>
      </c>
      <c r="C164" s="161" t="str">
        <f>IF(A164="","",IF(itens_Remanesc!B164="",0,itens_Remanesc!B164))</f>
        <v/>
      </c>
      <c r="D164" s="163" t="str">
        <f>IF(A164="","",ROUND(SUMIFS(aditivos!$L$2:$L$200,aditivos!$A$2:$A$200,A164,aditivos!$C$2:$C$200,"C0"),2))</f>
        <v/>
      </c>
      <c r="E164" s="159" t="str">
        <f t="shared" si="90"/>
        <v/>
      </c>
      <c r="F164" s="159" t="str">
        <f>IF(A164="","",IF(itens_Remanesc!B164&lt;&gt;"",itens_Remanesc!B164,IF($Z164,0,"")))</f>
        <v/>
      </c>
      <c r="G164" s="167" t="str">
        <f t="shared" si="91"/>
        <v/>
      </c>
      <c r="H164" s="169" t="str">
        <f>IF(A164="","",ROUND(SUMIFS(aditivos!$L$2:$L$200,aditivos!$A$2:$A$200,A164,aditivos!$C$2:$C$200,"C1"),2))</f>
        <v/>
      </c>
      <c r="I164" s="165" t="str">
        <f t="shared" si="92"/>
        <v/>
      </c>
      <c r="J164" s="165" t="str">
        <f>IF(A164="","",IF(itens_Remanesc!E164="","",itens_Remanesc!E164))</f>
        <v/>
      </c>
      <c r="K164" s="171" t="str">
        <f t="shared" si="93"/>
        <v/>
      </c>
      <c r="L164" s="163" t="str">
        <f>IF(A164="","",ROUND(SUMIFS(aditivos!$L$2:$L$200,aditivos!$A$2:$A$200,A164,aditivos!$C$2:$C$200,"C2"),2))</f>
        <v/>
      </c>
      <c r="M164" s="159" t="str">
        <f t="shared" si="94"/>
        <v/>
      </c>
      <c r="N164" s="159" t="str">
        <f>IF(A164="","",IF(itens_Remanesc!G164="","",itens_Remanesc!G164))</f>
        <v/>
      </c>
      <c r="O164" s="167" t="str">
        <f t="shared" si="95"/>
        <v/>
      </c>
      <c r="P164" s="169" t="str">
        <f>IF(A164="","",ROUND(SUMIFS(aditivos!$L$2:$L$200,aditivos!$A$2:$A$200,A164,aditivos!$C$2:$C$200,"C3"),2))</f>
        <v/>
      </c>
      <c r="Q164" s="165" t="str">
        <f t="shared" si="96"/>
        <v/>
      </c>
      <c r="R164" s="165" t="str">
        <f>IF(A164="","",IF(itens_Remanesc!I164="","",itens_Remanesc!I164))</f>
        <v/>
      </c>
      <c r="S164" s="171" t="str">
        <f t="shared" si="97"/>
        <v/>
      </c>
      <c r="T164" s="163" t="str">
        <f>IF(A164="","",ROUND(SUMIFS(aditivos!$L$2:$L$200,aditivos!$A$2:$A$200,A164,aditivos!$C$2:$C$200,"C4"),2))</f>
        <v/>
      </c>
      <c r="U164" s="159" t="str">
        <f t="shared" si="98"/>
        <v/>
      </c>
      <c r="V164" s="159" t="str">
        <f>IF(A164="","",IF(itens_Remanesc!K164="","",itens_Remanesc!K164))</f>
        <v/>
      </c>
      <c r="W164" s="159" t="str">
        <f t="shared" si="99"/>
        <v/>
      </c>
      <c r="X164" s="146" t="str">
        <f>IF(A164="","",IF(COUNTIF($A$2:$A$200,A164)&gt;1,"ALERTA: ITEM_DUPLICADO",IF(AND($Z164,ISNUMBER(itens_Remanesc!B164),itens_Remanesc!B164&lt;&gt;0),"NOVO ITEM COM BASE DIFERENTE DE 0 - AJUSTAR itens_Remanesc",IF(AND($Z164,NOT(ISNUMBER(itens_Remanesc!C164))),"NOVO ITEM SEM VU_ORIGINAL - INFORMAR EM itens_Remanesc",IF(MIN(E164,I164,M164,Q164,U164,G164,K164,O164,S164,W164)&lt;0,"ALERTA: POSICAO_NEGATIVA",IF(OR(AND(G164&lt;&gt;"",G164&gt;E164),AND(K164&lt;&gt;"",K164&gt;I164),AND(O164&lt;&gt;"",O164&gt;M164),AND(S164&lt;&gt;"",S164&gt;Q164),AND(W164&lt;&gt;"",W164&gt;U164)),"ALERTA: REMANESCENTE_SUPERA_POSICAO","OK"))))))</f>
        <v/>
      </c>
      <c r="Y164" t="str">
        <f t="shared" si="100"/>
        <v/>
      </c>
      <c r="Z164" t="b">
        <f t="shared" si="101"/>
        <v>0</v>
      </c>
      <c r="AA164" s="208" t="str">
        <f>IF($A164="","",IF(COUNTIFS(aditivos!$A$2:$A$200,$A164,aditivos!$L$2:$L$200,"&lt;&gt;",aditivos!$L$2:$L$200,"&lt;&gt;0",aditivos!$B$2:$B$200,"&gt;0")=0,"",IFERROR(_xlfn.MINIFS(aditivos!$B$2:$B$200,aditivos!$A$2:$A$200,$A164,aditivos!$L$2:$L$200,"&lt;&gt;",aditivos!$L$2:$L$200,"&lt;&gt;0",aditivos!$B$2:$B$200,"&gt;0"),"")))</f>
        <v/>
      </c>
      <c r="AB164" t="str">
        <f>IF($A164="","",IF(OR(parametros!$C$2="",parametros!$I$2=""),0,ROUND(SUMIFS(aditivos!$L$2:$L$200,aditivos!$A$2:$A$200,$A164,aditivos!$C$2:$C$200,"C0",aditivos!$B$2:$B$200,"&gt;="&amp;(INT(parametros!$I$2)+1)),2)))</f>
        <v/>
      </c>
      <c r="AC164" t="str">
        <f>IF($A164="","",IF(OR(parametros!$C$3="",parametros!$I$3=""),0,ROUND(SUMIFS(aditivos!$L$2:$L$200,aditivos!$A$2:$A$200,$A164,aditivos!$C$2:$C$200,"C1",aditivos!$B$2:$B$200,"&gt;="&amp;(INT(parametros!$I$3)+1)),2)))</f>
        <v/>
      </c>
      <c r="AD164" t="str">
        <f>IF($A164="","",IF(OR(parametros!$C$4="",parametros!$I$4=""),0,ROUND(SUMIFS(aditivos!$L$2:$L$200,aditivos!$A$2:$A$200,$A164,aditivos!$C$2:$C$200,"C2",aditivos!$B$2:$B$200,"&gt;="&amp;(INT(parametros!$I$4)+1)),2)))</f>
        <v/>
      </c>
      <c r="AE164" t="str">
        <f>IF($A164="","",IF(OR(parametros!$C$5="",parametros!$I$5=""),0,ROUND(SUMIFS(aditivos!$L$2:$L$200,aditivos!$A$2:$A$200,$A164,aditivos!$C$2:$C$200,"C3",aditivos!$B$2:$B$200,"&gt;="&amp;(INT(parametros!$I$5)+1)),2)))</f>
        <v/>
      </c>
      <c r="AF164" t="str">
        <f>IF($A164="","",IF(OR(parametros!$C$6="",parametros!$I$6=""),0,ROUND(SUMIFS(aditivos!$L$2:$L$200,aditivos!$A$2:$A$200,$A164,aditivos!$C$2:$C$200,"C4",aditivos!$B$2:$B$200,"&gt;="&amp;(INT(parametros!$I$6)+1)),2)))</f>
        <v/>
      </c>
      <c r="AG164" t="str">
        <f t="shared" si="102"/>
        <v/>
      </c>
      <c r="AH164" t="str">
        <f t="shared" si="103"/>
        <v/>
      </c>
      <c r="AI164" t="str">
        <f t="shared" si="104"/>
        <v/>
      </c>
      <c r="AJ164" t="str">
        <f t="shared" si="105"/>
        <v/>
      </c>
      <c r="AK164" t="str">
        <f t="shared" si="106"/>
        <v/>
      </c>
      <c r="AL164" t="str">
        <f t="shared" si="107"/>
        <v/>
      </c>
    </row>
    <row r="165" spans="1:38" x14ac:dyDescent="0.35">
      <c r="A165" s="146" t="str">
        <f>IF(itens_Remanesc!A165="","",itens_Remanesc!A165)</f>
        <v/>
      </c>
      <c r="B165" s="196" t="str">
        <f>IF(A165="","",itens_Remanesc!C165)</f>
        <v/>
      </c>
      <c r="C165" s="161" t="str">
        <f>IF(A165="","",IF(itens_Remanesc!B165="",0,itens_Remanesc!B165))</f>
        <v/>
      </c>
      <c r="D165" s="163" t="str">
        <f>IF(A165="","",ROUND(SUMIFS(aditivos!$L$2:$L$200,aditivos!$A$2:$A$200,A165,aditivos!$C$2:$C$200,"C0"),2))</f>
        <v/>
      </c>
      <c r="E165" s="159" t="str">
        <f t="shared" si="90"/>
        <v/>
      </c>
      <c r="F165" s="159" t="str">
        <f>IF(A165="","",IF(itens_Remanesc!B165&lt;&gt;"",itens_Remanesc!B165,IF($Z165,0,"")))</f>
        <v/>
      </c>
      <c r="G165" s="167" t="str">
        <f t="shared" si="91"/>
        <v/>
      </c>
      <c r="H165" s="169" t="str">
        <f>IF(A165="","",ROUND(SUMIFS(aditivos!$L$2:$L$200,aditivos!$A$2:$A$200,A165,aditivos!$C$2:$C$200,"C1"),2))</f>
        <v/>
      </c>
      <c r="I165" s="165" t="str">
        <f t="shared" si="92"/>
        <v/>
      </c>
      <c r="J165" s="165" t="str">
        <f>IF(A165="","",IF(itens_Remanesc!E165="","",itens_Remanesc!E165))</f>
        <v/>
      </c>
      <c r="K165" s="171" t="str">
        <f t="shared" si="93"/>
        <v/>
      </c>
      <c r="L165" s="163" t="str">
        <f>IF(A165="","",ROUND(SUMIFS(aditivos!$L$2:$L$200,aditivos!$A$2:$A$200,A165,aditivos!$C$2:$C$200,"C2"),2))</f>
        <v/>
      </c>
      <c r="M165" s="159" t="str">
        <f t="shared" si="94"/>
        <v/>
      </c>
      <c r="N165" s="159" t="str">
        <f>IF(A165="","",IF(itens_Remanesc!G165="","",itens_Remanesc!G165))</f>
        <v/>
      </c>
      <c r="O165" s="167" t="str">
        <f t="shared" si="95"/>
        <v/>
      </c>
      <c r="P165" s="169" t="str">
        <f>IF(A165="","",ROUND(SUMIFS(aditivos!$L$2:$L$200,aditivos!$A$2:$A$200,A165,aditivos!$C$2:$C$200,"C3"),2))</f>
        <v/>
      </c>
      <c r="Q165" s="165" t="str">
        <f t="shared" si="96"/>
        <v/>
      </c>
      <c r="R165" s="165" t="str">
        <f>IF(A165="","",IF(itens_Remanesc!I165="","",itens_Remanesc!I165))</f>
        <v/>
      </c>
      <c r="S165" s="171" t="str">
        <f t="shared" si="97"/>
        <v/>
      </c>
      <c r="T165" s="163" t="str">
        <f>IF(A165="","",ROUND(SUMIFS(aditivos!$L$2:$L$200,aditivos!$A$2:$A$200,A165,aditivos!$C$2:$C$200,"C4"),2))</f>
        <v/>
      </c>
      <c r="U165" s="159" t="str">
        <f t="shared" si="98"/>
        <v/>
      </c>
      <c r="V165" s="159" t="str">
        <f>IF(A165="","",IF(itens_Remanesc!K165="","",itens_Remanesc!K165))</f>
        <v/>
      </c>
      <c r="W165" s="159" t="str">
        <f t="shared" si="99"/>
        <v/>
      </c>
      <c r="X165" s="146" t="str">
        <f>IF(A165="","",IF(COUNTIF($A$2:$A$200,A165)&gt;1,"ALERTA: ITEM_DUPLICADO",IF(AND($Z165,ISNUMBER(itens_Remanesc!B165),itens_Remanesc!B165&lt;&gt;0),"NOVO ITEM COM BASE DIFERENTE DE 0 - AJUSTAR itens_Remanesc",IF(AND($Z165,NOT(ISNUMBER(itens_Remanesc!C165))),"NOVO ITEM SEM VU_ORIGINAL - INFORMAR EM itens_Remanesc",IF(MIN(E165,I165,M165,Q165,U165,G165,K165,O165,S165,W165)&lt;0,"ALERTA: POSICAO_NEGATIVA",IF(OR(AND(G165&lt;&gt;"",G165&gt;E165),AND(K165&lt;&gt;"",K165&gt;I165),AND(O165&lt;&gt;"",O165&gt;M165),AND(S165&lt;&gt;"",S165&gt;Q165),AND(W165&lt;&gt;"",W165&gt;U165)),"ALERTA: REMANESCENTE_SUPERA_POSICAO","OK"))))))</f>
        <v/>
      </c>
      <c r="Y165" t="str">
        <f t="shared" si="100"/>
        <v/>
      </c>
      <c r="Z165" t="b">
        <f t="shared" si="101"/>
        <v>0</v>
      </c>
      <c r="AA165" s="208" t="str">
        <f>IF($A165="","",IF(COUNTIFS(aditivos!$A$2:$A$200,$A165,aditivos!$L$2:$L$200,"&lt;&gt;",aditivos!$L$2:$L$200,"&lt;&gt;0",aditivos!$B$2:$B$200,"&gt;0")=0,"",IFERROR(_xlfn.MINIFS(aditivos!$B$2:$B$200,aditivos!$A$2:$A$200,$A165,aditivos!$L$2:$L$200,"&lt;&gt;",aditivos!$L$2:$L$200,"&lt;&gt;0",aditivos!$B$2:$B$200,"&gt;0"),"")))</f>
        <v/>
      </c>
      <c r="AB165" t="str">
        <f>IF($A165="","",IF(OR(parametros!$C$2="",parametros!$I$2=""),0,ROUND(SUMIFS(aditivos!$L$2:$L$200,aditivos!$A$2:$A$200,$A165,aditivos!$C$2:$C$200,"C0",aditivos!$B$2:$B$200,"&gt;="&amp;(INT(parametros!$I$2)+1)),2)))</f>
        <v/>
      </c>
      <c r="AC165" t="str">
        <f>IF($A165="","",IF(OR(parametros!$C$3="",parametros!$I$3=""),0,ROUND(SUMIFS(aditivos!$L$2:$L$200,aditivos!$A$2:$A$200,$A165,aditivos!$C$2:$C$200,"C1",aditivos!$B$2:$B$200,"&gt;="&amp;(INT(parametros!$I$3)+1)),2)))</f>
        <v/>
      </c>
      <c r="AD165" t="str">
        <f>IF($A165="","",IF(OR(parametros!$C$4="",parametros!$I$4=""),0,ROUND(SUMIFS(aditivos!$L$2:$L$200,aditivos!$A$2:$A$200,$A165,aditivos!$C$2:$C$200,"C2",aditivos!$B$2:$B$200,"&gt;="&amp;(INT(parametros!$I$4)+1)),2)))</f>
        <v/>
      </c>
      <c r="AE165" t="str">
        <f>IF($A165="","",IF(OR(parametros!$C$5="",parametros!$I$5=""),0,ROUND(SUMIFS(aditivos!$L$2:$L$200,aditivos!$A$2:$A$200,$A165,aditivos!$C$2:$C$200,"C3",aditivos!$B$2:$B$200,"&gt;="&amp;(INT(parametros!$I$5)+1)),2)))</f>
        <v/>
      </c>
      <c r="AF165" t="str">
        <f>IF($A165="","",IF(OR(parametros!$C$6="",parametros!$I$6=""),0,ROUND(SUMIFS(aditivos!$L$2:$L$200,aditivos!$A$2:$A$200,$A165,aditivos!$C$2:$C$200,"C4",aditivos!$B$2:$B$200,"&gt;="&amp;(INT(parametros!$I$6)+1)),2)))</f>
        <v/>
      </c>
      <c r="AG165" t="str">
        <f t="shared" si="102"/>
        <v/>
      </c>
      <c r="AH165" t="str">
        <f t="shared" si="103"/>
        <v/>
      </c>
      <c r="AI165" t="str">
        <f t="shared" si="104"/>
        <v/>
      </c>
      <c r="AJ165" t="str">
        <f t="shared" si="105"/>
        <v/>
      </c>
      <c r="AK165" t="str">
        <f t="shared" si="106"/>
        <v/>
      </c>
      <c r="AL165" t="str">
        <f t="shared" si="107"/>
        <v/>
      </c>
    </row>
    <row r="166" spans="1:38" x14ac:dyDescent="0.35">
      <c r="A166" s="146" t="str">
        <f>IF(itens_Remanesc!A166="","",itens_Remanesc!A166)</f>
        <v/>
      </c>
      <c r="B166" s="196" t="str">
        <f>IF(A166="","",itens_Remanesc!C166)</f>
        <v/>
      </c>
      <c r="C166" s="161" t="str">
        <f>IF(A166="","",IF(itens_Remanesc!B166="",0,itens_Remanesc!B166))</f>
        <v/>
      </c>
      <c r="D166" s="163" t="str">
        <f>IF(A166="","",ROUND(SUMIFS(aditivos!$L$2:$L$200,aditivos!$A$2:$A$200,A166,aditivos!$C$2:$C$200,"C0"),2))</f>
        <v/>
      </c>
      <c r="E166" s="159" t="str">
        <f t="shared" si="90"/>
        <v/>
      </c>
      <c r="F166" s="159" t="str">
        <f>IF(A166="","",IF(itens_Remanesc!B166&lt;&gt;"",itens_Remanesc!B166,IF($Z166,0,"")))</f>
        <v/>
      </c>
      <c r="G166" s="167" t="str">
        <f t="shared" si="91"/>
        <v/>
      </c>
      <c r="H166" s="169" t="str">
        <f>IF(A166="","",ROUND(SUMIFS(aditivos!$L$2:$L$200,aditivos!$A$2:$A$200,A166,aditivos!$C$2:$C$200,"C1"),2))</f>
        <v/>
      </c>
      <c r="I166" s="165" t="str">
        <f t="shared" si="92"/>
        <v/>
      </c>
      <c r="J166" s="165" t="str">
        <f>IF(A166="","",IF(itens_Remanesc!E166="","",itens_Remanesc!E166))</f>
        <v/>
      </c>
      <c r="K166" s="171" t="str">
        <f t="shared" si="93"/>
        <v/>
      </c>
      <c r="L166" s="163" t="str">
        <f>IF(A166="","",ROUND(SUMIFS(aditivos!$L$2:$L$200,aditivos!$A$2:$A$200,A166,aditivos!$C$2:$C$200,"C2"),2))</f>
        <v/>
      </c>
      <c r="M166" s="159" t="str">
        <f t="shared" si="94"/>
        <v/>
      </c>
      <c r="N166" s="159" t="str">
        <f>IF(A166="","",IF(itens_Remanesc!G166="","",itens_Remanesc!G166))</f>
        <v/>
      </c>
      <c r="O166" s="167" t="str">
        <f t="shared" si="95"/>
        <v/>
      </c>
      <c r="P166" s="169" t="str">
        <f>IF(A166="","",ROUND(SUMIFS(aditivos!$L$2:$L$200,aditivos!$A$2:$A$200,A166,aditivos!$C$2:$C$200,"C3"),2))</f>
        <v/>
      </c>
      <c r="Q166" s="165" t="str">
        <f t="shared" si="96"/>
        <v/>
      </c>
      <c r="R166" s="165" t="str">
        <f>IF(A166="","",IF(itens_Remanesc!I166="","",itens_Remanesc!I166))</f>
        <v/>
      </c>
      <c r="S166" s="171" t="str">
        <f t="shared" si="97"/>
        <v/>
      </c>
      <c r="T166" s="163" t="str">
        <f>IF(A166="","",ROUND(SUMIFS(aditivos!$L$2:$L$200,aditivos!$A$2:$A$200,A166,aditivos!$C$2:$C$200,"C4"),2))</f>
        <v/>
      </c>
      <c r="U166" s="159" t="str">
        <f t="shared" si="98"/>
        <v/>
      </c>
      <c r="V166" s="159" t="str">
        <f>IF(A166="","",IF(itens_Remanesc!K166="","",itens_Remanesc!K166))</f>
        <v/>
      </c>
      <c r="W166" s="159" t="str">
        <f t="shared" si="99"/>
        <v/>
      </c>
      <c r="X166" s="146" t="str">
        <f>IF(A166="","",IF(COUNTIF($A$2:$A$200,A166)&gt;1,"ALERTA: ITEM_DUPLICADO",IF(AND($Z166,ISNUMBER(itens_Remanesc!B166),itens_Remanesc!B166&lt;&gt;0),"NOVO ITEM COM BASE DIFERENTE DE 0 - AJUSTAR itens_Remanesc",IF(AND($Z166,NOT(ISNUMBER(itens_Remanesc!C166))),"NOVO ITEM SEM VU_ORIGINAL - INFORMAR EM itens_Remanesc",IF(MIN(E166,I166,M166,Q166,U166,G166,K166,O166,S166,W166)&lt;0,"ALERTA: POSICAO_NEGATIVA",IF(OR(AND(G166&lt;&gt;"",G166&gt;E166),AND(K166&lt;&gt;"",K166&gt;I166),AND(O166&lt;&gt;"",O166&gt;M166),AND(S166&lt;&gt;"",S166&gt;Q166),AND(W166&lt;&gt;"",W166&gt;U166)),"ALERTA: REMANESCENTE_SUPERA_POSICAO","OK"))))))</f>
        <v/>
      </c>
      <c r="Y166" t="str">
        <f t="shared" si="100"/>
        <v/>
      </c>
      <c r="Z166" t="b">
        <f t="shared" si="101"/>
        <v>0</v>
      </c>
      <c r="AA166" s="208" t="str">
        <f>IF($A166="","",IF(COUNTIFS(aditivos!$A$2:$A$200,$A166,aditivos!$L$2:$L$200,"&lt;&gt;",aditivos!$L$2:$L$200,"&lt;&gt;0",aditivos!$B$2:$B$200,"&gt;0")=0,"",IFERROR(_xlfn.MINIFS(aditivos!$B$2:$B$200,aditivos!$A$2:$A$200,$A166,aditivos!$L$2:$L$200,"&lt;&gt;",aditivos!$L$2:$L$200,"&lt;&gt;0",aditivos!$B$2:$B$200,"&gt;0"),"")))</f>
        <v/>
      </c>
      <c r="AB166" t="str">
        <f>IF($A166="","",IF(OR(parametros!$C$2="",parametros!$I$2=""),0,ROUND(SUMIFS(aditivos!$L$2:$L$200,aditivos!$A$2:$A$200,$A166,aditivos!$C$2:$C$200,"C0",aditivos!$B$2:$B$200,"&gt;="&amp;(INT(parametros!$I$2)+1)),2)))</f>
        <v/>
      </c>
      <c r="AC166" t="str">
        <f>IF($A166="","",IF(OR(parametros!$C$3="",parametros!$I$3=""),0,ROUND(SUMIFS(aditivos!$L$2:$L$200,aditivos!$A$2:$A$200,$A166,aditivos!$C$2:$C$200,"C1",aditivos!$B$2:$B$200,"&gt;="&amp;(INT(parametros!$I$3)+1)),2)))</f>
        <v/>
      </c>
      <c r="AD166" t="str">
        <f>IF($A166="","",IF(OR(parametros!$C$4="",parametros!$I$4=""),0,ROUND(SUMIFS(aditivos!$L$2:$L$200,aditivos!$A$2:$A$200,$A166,aditivos!$C$2:$C$200,"C2",aditivos!$B$2:$B$200,"&gt;="&amp;(INT(parametros!$I$4)+1)),2)))</f>
        <v/>
      </c>
      <c r="AE166" t="str">
        <f>IF($A166="","",IF(OR(parametros!$C$5="",parametros!$I$5=""),0,ROUND(SUMIFS(aditivos!$L$2:$L$200,aditivos!$A$2:$A$200,$A166,aditivos!$C$2:$C$200,"C3",aditivos!$B$2:$B$200,"&gt;="&amp;(INT(parametros!$I$5)+1)),2)))</f>
        <v/>
      </c>
      <c r="AF166" t="str">
        <f>IF($A166="","",IF(OR(parametros!$C$6="",parametros!$I$6=""),0,ROUND(SUMIFS(aditivos!$L$2:$L$200,aditivos!$A$2:$A$200,$A166,aditivos!$C$2:$C$200,"C4",aditivos!$B$2:$B$200,"&gt;="&amp;(INT(parametros!$I$6)+1)),2)))</f>
        <v/>
      </c>
      <c r="AG166" t="str">
        <f t="shared" si="102"/>
        <v/>
      </c>
      <c r="AH166" t="str">
        <f t="shared" si="103"/>
        <v/>
      </c>
      <c r="AI166" t="str">
        <f t="shared" si="104"/>
        <v/>
      </c>
      <c r="AJ166" t="str">
        <f t="shared" si="105"/>
        <v/>
      </c>
      <c r="AK166" t="str">
        <f t="shared" si="106"/>
        <v/>
      </c>
      <c r="AL166" t="str">
        <f t="shared" si="107"/>
        <v/>
      </c>
    </row>
    <row r="167" spans="1:38" x14ac:dyDescent="0.35">
      <c r="A167" s="146" t="str">
        <f>IF(itens_Remanesc!A167="","",itens_Remanesc!A167)</f>
        <v/>
      </c>
      <c r="B167" s="196" t="str">
        <f>IF(A167="","",itens_Remanesc!C167)</f>
        <v/>
      </c>
      <c r="C167" s="161" t="str">
        <f>IF(A167="","",IF(itens_Remanesc!B167="",0,itens_Remanesc!B167))</f>
        <v/>
      </c>
      <c r="D167" s="163" t="str">
        <f>IF(A167="","",ROUND(SUMIFS(aditivos!$L$2:$L$200,aditivos!$A$2:$A$200,A167,aditivos!$C$2:$C$200,"C0"),2))</f>
        <v/>
      </c>
      <c r="E167" s="159" t="str">
        <f t="shared" si="90"/>
        <v/>
      </c>
      <c r="F167" s="159" t="str">
        <f>IF(A167="","",IF(itens_Remanesc!B167&lt;&gt;"",itens_Remanesc!B167,IF($Z167,0,"")))</f>
        <v/>
      </c>
      <c r="G167" s="167" t="str">
        <f t="shared" si="91"/>
        <v/>
      </c>
      <c r="H167" s="169" t="str">
        <f>IF(A167="","",ROUND(SUMIFS(aditivos!$L$2:$L$200,aditivos!$A$2:$A$200,A167,aditivos!$C$2:$C$200,"C1"),2))</f>
        <v/>
      </c>
      <c r="I167" s="165" t="str">
        <f t="shared" si="92"/>
        <v/>
      </c>
      <c r="J167" s="165" t="str">
        <f>IF(A167="","",IF(itens_Remanesc!E167="","",itens_Remanesc!E167))</f>
        <v/>
      </c>
      <c r="K167" s="171" t="str">
        <f t="shared" si="93"/>
        <v/>
      </c>
      <c r="L167" s="163" t="str">
        <f>IF(A167="","",ROUND(SUMIFS(aditivos!$L$2:$L$200,aditivos!$A$2:$A$200,A167,aditivos!$C$2:$C$200,"C2"),2))</f>
        <v/>
      </c>
      <c r="M167" s="159" t="str">
        <f t="shared" si="94"/>
        <v/>
      </c>
      <c r="N167" s="159" t="str">
        <f>IF(A167="","",IF(itens_Remanesc!G167="","",itens_Remanesc!G167))</f>
        <v/>
      </c>
      <c r="O167" s="167" t="str">
        <f t="shared" si="95"/>
        <v/>
      </c>
      <c r="P167" s="169" t="str">
        <f>IF(A167="","",ROUND(SUMIFS(aditivos!$L$2:$L$200,aditivos!$A$2:$A$200,A167,aditivos!$C$2:$C$200,"C3"),2))</f>
        <v/>
      </c>
      <c r="Q167" s="165" t="str">
        <f t="shared" si="96"/>
        <v/>
      </c>
      <c r="R167" s="165" t="str">
        <f>IF(A167="","",IF(itens_Remanesc!I167="","",itens_Remanesc!I167))</f>
        <v/>
      </c>
      <c r="S167" s="171" t="str">
        <f t="shared" si="97"/>
        <v/>
      </c>
      <c r="T167" s="163" t="str">
        <f>IF(A167="","",ROUND(SUMIFS(aditivos!$L$2:$L$200,aditivos!$A$2:$A$200,A167,aditivos!$C$2:$C$200,"C4"),2))</f>
        <v/>
      </c>
      <c r="U167" s="159" t="str">
        <f t="shared" si="98"/>
        <v/>
      </c>
      <c r="V167" s="159" t="str">
        <f>IF(A167="","",IF(itens_Remanesc!K167="","",itens_Remanesc!K167))</f>
        <v/>
      </c>
      <c r="W167" s="159" t="str">
        <f t="shared" si="99"/>
        <v/>
      </c>
      <c r="X167" s="146" t="str">
        <f>IF(A167="","",IF(COUNTIF($A$2:$A$200,A167)&gt;1,"ALERTA: ITEM_DUPLICADO",IF(AND($Z167,ISNUMBER(itens_Remanesc!B167),itens_Remanesc!B167&lt;&gt;0),"NOVO ITEM COM BASE DIFERENTE DE 0 - AJUSTAR itens_Remanesc",IF(AND($Z167,NOT(ISNUMBER(itens_Remanesc!C167))),"NOVO ITEM SEM VU_ORIGINAL - INFORMAR EM itens_Remanesc",IF(MIN(E167,I167,M167,Q167,U167,G167,K167,O167,S167,W167)&lt;0,"ALERTA: POSICAO_NEGATIVA",IF(OR(AND(G167&lt;&gt;"",G167&gt;E167),AND(K167&lt;&gt;"",K167&gt;I167),AND(O167&lt;&gt;"",O167&gt;M167),AND(S167&lt;&gt;"",S167&gt;Q167),AND(W167&lt;&gt;"",W167&gt;U167)),"ALERTA: REMANESCENTE_SUPERA_POSICAO","OK"))))))</f>
        <v/>
      </c>
      <c r="Y167" t="str">
        <f t="shared" si="100"/>
        <v/>
      </c>
      <c r="Z167" t="b">
        <f t="shared" si="101"/>
        <v>0</v>
      </c>
      <c r="AA167" s="208" t="str">
        <f>IF($A167="","",IF(COUNTIFS(aditivos!$A$2:$A$200,$A167,aditivos!$L$2:$L$200,"&lt;&gt;",aditivos!$L$2:$L$200,"&lt;&gt;0",aditivos!$B$2:$B$200,"&gt;0")=0,"",IFERROR(_xlfn.MINIFS(aditivos!$B$2:$B$200,aditivos!$A$2:$A$200,$A167,aditivos!$L$2:$L$200,"&lt;&gt;",aditivos!$L$2:$L$200,"&lt;&gt;0",aditivos!$B$2:$B$200,"&gt;0"),"")))</f>
        <v/>
      </c>
      <c r="AB167" t="str">
        <f>IF($A167="","",IF(OR(parametros!$C$2="",parametros!$I$2=""),0,ROUND(SUMIFS(aditivos!$L$2:$L$200,aditivos!$A$2:$A$200,$A167,aditivos!$C$2:$C$200,"C0",aditivos!$B$2:$B$200,"&gt;="&amp;(INT(parametros!$I$2)+1)),2)))</f>
        <v/>
      </c>
      <c r="AC167" t="str">
        <f>IF($A167="","",IF(OR(parametros!$C$3="",parametros!$I$3=""),0,ROUND(SUMIFS(aditivos!$L$2:$L$200,aditivos!$A$2:$A$200,$A167,aditivos!$C$2:$C$200,"C1",aditivos!$B$2:$B$200,"&gt;="&amp;(INT(parametros!$I$3)+1)),2)))</f>
        <v/>
      </c>
      <c r="AD167" t="str">
        <f>IF($A167="","",IF(OR(parametros!$C$4="",parametros!$I$4=""),0,ROUND(SUMIFS(aditivos!$L$2:$L$200,aditivos!$A$2:$A$200,$A167,aditivos!$C$2:$C$200,"C2",aditivos!$B$2:$B$200,"&gt;="&amp;(INT(parametros!$I$4)+1)),2)))</f>
        <v/>
      </c>
      <c r="AE167" t="str">
        <f>IF($A167="","",IF(OR(parametros!$C$5="",parametros!$I$5=""),0,ROUND(SUMIFS(aditivos!$L$2:$L$200,aditivos!$A$2:$A$200,$A167,aditivos!$C$2:$C$200,"C3",aditivos!$B$2:$B$200,"&gt;="&amp;(INT(parametros!$I$5)+1)),2)))</f>
        <v/>
      </c>
      <c r="AF167" t="str">
        <f>IF($A167="","",IF(OR(parametros!$C$6="",parametros!$I$6=""),0,ROUND(SUMIFS(aditivos!$L$2:$L$200,aditivos!$A$2:$A$200,$A167,aditivos!$C$2:$C$200,"C4",aditivos!$B$2:$B$200,"&gt;="&amp;(INT(parametros!$I$6)+1)),2)))</f>
        <v/>
      </c>
      <c r="AG167" t="str">
        <f t="shared" si="102"/>
        <v/>
      </c>
      <c r="AH167" t="str">
        <f t="shared" si="103"/>
        <v/>
      </c>
      <c r="AI167" t="str">
        <f t="shared" si="104"/>
        <v/>
      </c>
      <c r="AJ167" t="str">
        <f t="shared" si="105"/>
        <v/>
      </c>
      <c r="AK167" t="str">
        <f t="shared" si="106"/>
        <v/>
      </c>
      <c r="AL167" t="str">
        <f t="shared" si="107"/>
        <v/>
      </c>
    </row>
    <row r="168" spans="1:38" x14ac:dyDescent="0.35">
      <c r="A168" s="146" t="str">
        <f>IF(itens_Remanesc!A168="","",itens_Remanesc!A168)</f>
        <v/>
      </c>
      <c r="B168" s="196" t="str">
        <f>IF(A168="","",itens_Remanesc!C168)</f>
        <v/>
      </c>
      <c r="C168" s="161" t="str">
        <f>IF(A168="","",IF(itens_Remanesc!B168="",0,itens_Remanesc!B168))</f>
        <v/>
      </c>
      <c r="D168" s="163" t="str">
        <f>IF(A168="","",ROUND(SUMIFS(aditivos!$L$2:$L$200,aditivos!$A$2:$A$200,A168,aditivos!$C$2:$C$200,"C0"),2))</f>
        <v/>
      </c>
      <c r="E168" s="159" t="str">
        <f t="shared" si="90"/>
        <v/>
      </c>
      <c r="F168" s="159" t="str">
        <f>IF(A168="","",IF(itens_Remanesc!B168&lt;&gt;"",itens_Remanesc!B168,IF($Z168,0,"")))</f>
        <v/>
      </c>
      <c r="G168" s="167" t="str">
        <f t="shared" si="91"/>
        <v/>
      </c>
      <c r="H168" s="169" t="str">
        <f>IF(A168="","",ROUND(SUMIFS(aditivos!$L$2:$L$200,aditivos!$A$2:$A$200,A168,aditivos!$C$2:$C$200,"C1"),2))</f>
        <v/>
      </c>
      <c r="I168" s="165" t="str">
        <f t="shared" si="92"/>
        <v/>
      </c>
      <c r="J168" s="165" t="str">
        <f>IF(A168="","",IF(itens_Remanesc!E168="","",itens_Remanesc!E168))</f>
        <v/>
      </c>
      <c r="K168" s="171" t="str">
        <f t="shared" si="93"/>
        <v/>
      </c>
      <c r="L168" s="163" t="str">
        <f>IF(A168="","",ROUND(SUMIFS(aditivos!$L$2:$L$200,aditivos!$A$2:$A$200,A168,aditivos!$C$2:$C$200,"C2"),2))</f>
        <v/>
      </c>
      <c r="M168" s="159" t="str">
        <f t="shared" si="94"/>
        <v/>
      </c>
      <c r="N168" s="159" t="str">
        <f>IF(A168="","",IF(itens_Remanesc!G168="","",itens_Remanesc!G168))</f>
        <v/>
      </c>
      <c r="O168" s="167" t="str">
        <f t="shared" si="95"/>
        <v/>
      </c>
      <c r="P168" s="169" t="str">
        <f>IF(A168="","",ROUND(SUMIFS(aditivos!$L$2:$L$200,aditivos!$A$2:$A$200,A168,aditivos!$C$2:$C$200,"C3"),2))</f>
        <v/>
      </c>
      <c r="Q168" s="165" t="str">
        <f t="shared" si="96"/>
        <v/>
      </c>
      <c r="R168" s="165" t="str">
        <f>IF(A168="","",IF(itens_Remanesc!I168="","",itens_Remanesc!I168))</f>
        <v/>
      </c>
      <c r="S168" s="171" t="str">
        <f t="shared" si="97"/>
        <v/>
      </c>
      <c r="T168" s="163" t="str">
        <f>IF(A168="","",ROUND(SUMIFS(aditivos!$L$2:$L$200,aditivos!$A$2:$A$200,A168,aditivos!$C$2:$C$200,"C4"),2))</f>
        <v/>
      </c>
      <c r="U168" s="159" t="str">
        <f t="shared" si="98"/>
        <v/>
      </c>
      <c r="V168" s="159" t="str">
        <f>IF(A168="","",IF(itens_Remanesc!K168="","",itens_Remanesc!K168))</f>
        <v/>
      </c>
      <c r="W168" s="159" t="str">
        <f t="shared" si="99"/>
        <v/>
      </c>
      <c r="X168" s="146" t="str">
        <f>IF(A168="","",IF(COUNTIF($A$2:$A$200,A168)&gt;1,"ALERTA: ITEM_DUPLICADO",IF(AND($Z168,ISNUMBER(itens_Remanesc!B168),itens_Remanesc!B168&lt;&gt;0),"NOVO ITEM COM BASE DIFERENTE DE 0 - AJUSTAR itens_Remanesc",IF(AND($Z168,NOT(ISNUMBER(itens_Remanesc!C168))),"NOVO ITEM SEM VU_ORIGINAL - INFORMAR EM itens_Remanesc",IF(MIN(E168,I168,M168,Q168,U168,G168,K168,O168,S168,W168)&lt;0,"ALERTA: POSICAO_NEGATIVA",IF(OR(AND(G168&lt;&gt;"",G168&gt;E168),AND(K168&lt;&gt;"",K168&gt;I168),AND(O168&lt;&gt;"",O168&gt;M168),AND(S168&lt;&gt;"",S168&gt;Q168),AND(W168&lt;&gt;"",W168&gt;U168)),"ALERTA: REMANESCENTE_SUPERA_POSICAO","OK"))))))</f>
        <v/>
      </c>
      <c r="Y168" t="str">
        <f t="shared" si="100"/>
        <v/>
      </c>
      <c r="Z168" t="b">
        <f t="shared" si="101"/>
        <v>0</v>
      </c>
      <c r="AA168" s="208" t="str">
        <f>IF($A168="","",IF(COUNTIFS(aditivos!$A$2:$A$200,$A168,aditivos!$L$2:$L$200,"&lt;&gt;",aditivos!$L$2:$L$200,"&lt;&gt;0",aditivos!$B$2:$B$200,"&gt;0")=0,"",IFERROR(_xlfn.MINIFS(aditivos!$B$2:$B$200,aditivos!$A$2:$A$200,$A168,aditivos!$L$2:$L$200,"&lt;&gt;",aditivos!$L$2:$L$200,"&lt;&gt;0",aditivos!$B$2:$B$200,"&gt;0"),"")))</f>
        <v/>
      </c>
      <c r="AB168" t="str">
        <f>IF($A168="","",IF(OR(parametros!$C$2="",parametros!$I$2=""),0,ROUND(SUMIFS(aditivos!$L$2:$L$200,aditivos!$A$2:$A$200,$A168,aditivos!$C$2:$C$200,"C0",aditivos!$B$2:$B$200,"&gt;="&amp;(INT(parametros!$I$2)+1)),2)))</f>
        <v/>
      </c>
      <c r="AC168" t="str">
        <f>IF($A168="","",IF(OR(parametros!$C$3="",parametros!$I$3=""),0,ROUND(SUMIFS(aditivos!$L$2:$L$200,aditivos!$A$2:$A$200,$A168,aditivos!$C$2:$C$200,"C1",aditivos!$B$2:$B$200,"&gt;="&amp;(INT(parametros!$I$3)+1)),2)))</f>
        <v/>
      </c>
      <c r="AD168" t="str">
        <f>IF($A168="","",IF(OR(parametros!$C$4="",parametros!$I$4=""),0,ROUND(SUMIFS(aditivos!$L$2:$L$200,aditivos!$A$2:$A$200,$A168,aditivos!$C$2:$C$200,"C2",aditivos!$B$2:$B$200,"&gt;="&amp;(INT(parametros!$I$4)+1)),2)))</f>
        <v/>
      </c>
      <c r="AE168" t="str">
        <f>IF($A168="","",IF(OR(parametros!$C$5="",parametros!$I$5=""),0,ROUND(SUMIFS(aditivos!$L$2:$L$200,aditivos!$A$2:$A$200,$A168,aditivos!$C$2:$C$200,"C3",aditivos!$B$2:$B$200,"&gt;="&amp;(INT(parametros!$I$5)+1)),2)))</f>
        <v/>
      </c>
      <c r="AF168" t="str">
        <f>IF($A168="","",IF(OR(parametros!$C$6="",parametros!$I$6=""),0,ROUND(SUMIFS(aditivos!$L$2:$L$200,aditivos!$A$2:$A$200,$A168,aditivos!$C$2:$C$200,"C4",aditivos!$B$2:$B$200,"&gt;="&amp;(INT(parametros!$I$6)+1)),2)))</f>
        <v/>
      </c>
      <c r="AG168" t="str">
        <f t="shared" si="102"/>
        <v/>
      </c>
      <c r="AH168" t="str">
        <f t="shared" si="103"/>
        <v/>
      </c>
      <c r="AI168" t="str">
        <f t="shared" si="104"/>
        <v/>
      </c>
      <c r="AJ168" t="str">
        <f t="shared" si="105"/>
        <v/>
      </c>
      <c r="AK168" t="str">
        <f t="shared" si="106"/>
        <v/>
      </c>
      <c r="AL168" t="str">
        <f t="shared" si="107"/>
        <v/>
      </c>
    </row>
    <row r="169" spans="1:38" x14ac:dyDescent="0.35">
      <c r="A169" s="146" t="str">
        <f>IF(itens_Remanesc!A169="","",itens_Remanesc!A169)</f>
        <v/>
      </c>
      <c r="B169" s="196" t="str">
        <f>IF(A169="","",itens_Remanesc!C169)</f>
        <v/>
      </c>
      <c r="C169" s="161" t="str">
        <f>IF(A169="","",IF(itens_Remanesc!B169="",0,itens_Remanesc!B169))</f>
        <v/>
      </c>
      <c r="D169" s="163" t="str">
        <f>IF(A169="","",ROUND(SUMIFS(aditivos!$L$2:$L$200,aditivos!$A$2:$A$200,A169,aditivos!$C$2:$C$200,"C0"),2))</f>
        <v/>
      </c>
      <c r="E169" s="159" t="str">
        <f t="shared" si="90"/>
        <v/>
      </c>
      <c r="F169" s="159" t="str">
        <f>IF(A169="","",IF(itens_Remanesc!B169&lt;&gt;"",itens_Remanesc!B169,IF($Z169,0,"")))</f>
        <v/>
      </c>
      <c r="G169" s="167" t="str">
        <f t="shared" si="91"/>
        <v/>
      </c>
      <c r="H169" s="169" t="str">
        <f>IF(A169="","",ROUND(SUMIFS(aditivos!$L$2:$L$200,aditivos!$A$2:$A$200,A169,aditivos!$C$2:$C$200,"C1"),2))</f>
        <v/>
      </c>
      <c r="I169" s="165" t="str">
        <f t="shared" si="92"/>
        <v/>
      </c>
      <c r="J169" s="165" t="str">
        <f>IF(A169="","",IF(itens_Remanesc!E169="","",itens_Remanesc!E169))</f>
        <v/>
      </c>
      <c r="K169" s="171" t="str">
        <f t="shared" si="93"/>
        <v/>
      </c>
      <c r="L169" s="163" t="str">
        <f>IF(A169="","",ROUND(SUMIFS(aditivos!$L$2:$L$200,aditivos!$A$2:$A$200,A169,aditivos!$C$2:$C$200,"C2"),2))</f>
        <v/>
      </c>
      <c r="M169" s="159" t="str">
        <f t="shared" si="94"/>
        <v/>
      </c>
      <c r="N169" s="159" t="str">
        <f>IF(A169="","",IF(itens_Remanesc!G169="","",itens_Remanesc!G169))</f>
        <v/>
      </c>
      <c r="O169" s="167" t="str">
        <f t="shared" si="95"/>
        <v/>
      </c>
      <c r="P169" s="169" t="str">
        <f>IF(A169="","",ROUND(SUMIFS(aditivos!$L$2:$L$200,aditivos!$A$2:$A$200,A169,aditivos!$C$2:$C$200,"C3"),2))</f>
        <v/>
      </c>
      <c r="Q169" s="165" t="str">
        <f t="shared" si="96"/>
        <v/>
      </c>
      <c r="R169" s="165" t="str">
        <f>IF(A169="","",IF(itens_Remanesc!I169="","",itens_Remanesc!I169))</f>
        <v/>
      </c>
      <c r="S169" s="171" t="str">
        <f t="shared" si="97"/>
        <v/>
      </c>
      <c r="T169" s="163" t="str">
        <f>IF(A169="","",ROUND(SUMIFS(aditivos!$L$2:$L$200,aditivos!$A$2:$A$200,A169,aditivos!$C$2:$C$200,"C4"),2))</f>
        <v/>
      </c>
      <c r="U169" s="159" t="str">
        <f t="shared" si="98"/>
        <v/>
      </c>
      <c r="V169" s="159" t="str">
        <f>IF(A169="","",IF(itens_Remanesc!K169="","",itens_Remanesc!K169))</f>
        <v/>
      </c>
      <c r="W169" s="159" t="str">
        <f t="shared" si="99"/>
        <v/>
      </c>
      <c r="X169" s="146" t="str">
        <f>IF(A169="","",IF(COUNTIF($A$2:$A$200,A169)&gt;1,"ALERTA: ITEM_DUPLICADO",IF(AND($Z169,ISNUMBER(itens_Remanesc!B169),itens_Remanesc!B169&lt;&gt;0),"NOVO ITEM COM BASE DIFERENTE DE 0 - AJUSTAR itens_Remanesc",IF(AND($Z169,NOT(ISNUMBER(itens_Remanesc!C169))),"NOVO ITEM SEM VU_ORIGINAL - INFORMAR EM itens_Remanesc",IF(MIN(E169,I169,M169,Q169,U169,G169,K169,O169,S169,W169)&lt;0,"ALERTA: POSICAO_NEGATIVA",IF(OR(AND(G169&lt;&gt;"",G169&gt;E169),AND(K169&lt;&gt;"",K169&gt;I169),AND(O169&lt;&gt;"",O169&gt;M169),AND(S169&lt;&gt;"",S169&gt;Q169),AND(W169&lt;&gt;"",W169&gt;U169)),"ALERTA: REMANESCENTE_SUPERA_POSICAO","OK"))))))</f>
        <v/>
      </c>
      <c r="Y169" t="str">
        <f t="shared" si="100"/>
        <v/>
      </c>
      <c r="Z169" t="b">
        <f t="shared" si="101"/>
        <v>0</v>
      </c>
      <c r="AA169" s="208" t="str">
        <f>IF($A169="","",IF(COUNTIFS(aditivos!$A$2:$A$200,$A169,aditivos!$L$2:$L$200,"&lt;&gt;",aditivos!$L$2:$L$200,"&lt;&gt;0",aditivos!$B$2:$B$200,"&gt;0")=0,"",IFERROR(_xlfn.MINIFS(aditivos!$B$2:$B$200,aditivos!$A$2:$A$200,$A169,aditivos!$L$2:$L$200,"&lt;&gt;",aditivos!$L$2:$L$200,"&lt;&gt;0",aditivos!$B$2:$B$200,"&gt;0"),"")))</f>
        <v/>
      </c>
      <c r="AB169" t="str">
        <f>IF($A169="","",IF(OR(parametros!$C$2="",parametros!$I$2=""),0,ROUND(SUMIFS(aditivos!$L$2:$L$200,aditivos!$A$2:$A$200,$A169,aditivos!$C$2:$C$200,"C0",aditivos!$B$2:$B$200,"&gt;="&amp;(INT(parametros!$I$2)+1)),2)))</f>
        <v/>
      </c>
      <c r="AC169" t="str">
        <f>IF($A169="","",IF(OR(parametros!$C$3="",parametros!$I$3=""),0,ROUND(SUMIFS(aditivos!$L$2:$L$200,aditivos!$A$2:$A$200,$A169,aditivos!$C$2:$C$200,"C1",aditivos!$B$2:$B$200,"&gt;="&amp;(INT(parametros!$I$3)+1)),2)))</f>
        <v/>
      </c>
      <c r="AD169" t="str">
        <f>IF($A169="","",IF(OR(parametros!$C$4="",parametros!$I$4=""),0,ROUND(SUMIFS(aditivos!$L$2:$L$200,aditivos!$A$2:$A$200,$A169,aditivos!$C$2:$C$200,"C2",aditivos!$B$2:$B$200,"&gt;="&amp;(INT(parametros!$I$4)+1)),2)))</f>
        <v/>
      </c>
      <c r="AE169" t="str">
        <f>IF($A169="","",IF(OR(parametros!$C$5="",parametros!$I$5=""),0,ROUND(SUMIFS(aditivos!$L$2:$L$200,aditivos!$A$2:$A$200,$A169,aditivos!$C$2:$C$200,"C3",aditivos!$B$2:$B$200,"&gt;="&amp;(INT(parametros!$I$5)+1)),2)))</f>
        <v/>
      </c>
      <c r="AF169" t="str">
        <f>IF($A169="","",IF(OR(parametros!$C$6="",parametros!$I$6=""),0,ROUND(SUMIFS(aditivos!$L$2:$L$200,aditivos!$A$2:$A$200,$A169,aditivos!$C$2:$C$200,"C4",aditivos!$B$2:$B$200,"&gt;="&amp;(INT(parametros!$I$6)+1)),2)))</f>
        <v/>
      </c>
      <c r="AG169" t="str">
        <f t="shared" si="102"/>
        <v/>
      </c>
      <c r="AH169" t="str">
        <f t="shared" si="103"/>
        <v/>
      </c>
      <c r="AI169" t="str">
        <f t="shared" si="104"/>
        <v/>
      </c>
      <c r="AJ169" t="str">
        <f t="shared" si="105"/>
        <v/>
      </c>
      <c r="AK169" t="str">
        <f t="shared" si="106"/>
        <v/>
      </c>
      <c r="AL169" t="str">
        <f t="shared" si="107"/>
        <v/>
      </c>
    </row>
    <row r="170" spans="1:38" x14ac:dyDescent="0.35">
      <c r="A170" s="146" t="str">
        <f>IF(itens_Remanesc!A170="","",itens_Remanesc!A170)</f>
        <v/>
      </c>
      <c r="B170" s="196" t="str">
        <f>IF(A170="","",itens_Remanesc!C170)</f>
        <v/>
      </c>
      <c r="C170" s="161" t="str">
        <f>IF(A170="","",IF(itens_Remanesc!B170="",0,itens_Remanesc!B170))</f>
        <v/>
      </c>
      <c r="D170" s="163" t="str">
        <f>IF(A170="","",ROUND(SUMIFS(aditivos!$L$2:$L$200,aditivos!$A$2:$A$200,A170,aditivos!$C$2:$C$200,"C0"),2))</f>
        <v/>
      </c>
      <c r="E170" s="159" t="str">
        <f t="shared" si="90"/>
        <v/>
      </c>
      <c r="F170" s="159" t="str">
        <f>IF(A170="","",IF(itens_Remanesc!B170&lt;&gt;"",itens_Remanesc!B170,IF($Z170,0,"")))</f>
        <v/>
      </c>
      <c r="G170" s="167" t="str">
        <f t="shared" si="91"/>
        <v/>
      </c>
      <c r="H170" s="169" t="str">
        <f>IF(A170="","",ROUND(SUMIFS(aditivos!$L$2:$L$200,aditivos!$A$2:$A$200,A170,aditivos!$C$2:$C$200,"C1"),2))</f>
        <v/>
      </c>
      <c r="I170" s="165" t="str">
        <f t="shared" si="92"/>
        <v/>
      </c>
      <c r="J170" s="165" t="str">
        <f>IF(A170="","",IF(itens_Remanesc!E170="","",itens_Remanesc!E170))</f>
        <v/>
      </c>
      <c r="K170" s="171" t="str">
        <f t="shared" si="93"/>
        <v/>
      </c>
      <c r="L170" s="163" t="str">
        <f>IF(A170="","",ROUND(SUMIFS(aditivos!$L$2:$L$200,aditivos!$A$2:$A$200,A170,aditivos!$C$2:$C$200,"C2"),2))</f>
        <v/>
      </c>
      <c r="M170" s="159" t="str">
        <f t="shared" si="94"/>
        <v/>
      </c>
      <c r="N170" s="159" t="str">
        <f>IF(A170="","",IF(itens_Remanesc!G170="","",itens_Remanesc!G170))</f>
        <v/>
      </c>
      <c r="O170" s="167" t="str">
        <f t="shared" si="95"/>
        <v/>
      </c>
      <c r="P170" s="169" t="str">
        <f>IF(A170="","",ROUND(SUMIFS(aditivos!$L$2:$L$200,aditivos!$A$2:$A$200,A170,aditivos!$C$2:$C$200,"C3"),2))</f>
        <v/>
      </c>
      <c r="Q170" s="165" t="str">
        <f t="shared" si="96"/>
        <v/>
      </c>
      <c r="R170" s="165" t="str">
        <f>IF(A170="","",IF(itens_Remanesc!I170="","",itens_Remanesc!I170))</f>
        <v/>
      </c>
      <c r="S170" s="171" t="str">
        <f t="shared" si="97"/>
        <v/>
      </c>
      <c r="T170" s="163" t="str">
        <f>IF(A170="","",ROUND(SUMIFS(aditivos!$L$2:$L$200,aditivos!$A$2:$A$200,A170,aditivos!$C$2:$C$200,"C4"),2))</f>
        <v/>
      </c>
      <c r="U170" s="159" t="str">
        <f t="shared" si="98"/>
        <v/>
      </c>
      <c r="V170" s="159" t="str">
        <f>IF(A170="","",IF(itens_Remanesc!K170="","",itens_Remanesc!K170))</f>
        <v/>
      </c>
      <c r="W170" s="159" t="str">
        <f t="shared" si="99"/>
        <v/>
      </c>
      <c r="X170" s="146" t="str">
        <f>IF(A170="","",IF(COUNTIF($A$2:$A$200,A170)&gt;1,"ALERTA: ITEM_DUPLICADO",IF(AND($Z170,ISNUMBER(itens_Remanesc!B170),itens_Remanesc!B170&lt;&gt;0),"NOVO ITEM COM BASE DIFERENTE DE 0 - AJUSTAR itens_Remanesc",IF(AND($Z170,NOT(ISNUMBER(itens_Remanesc!C170))),"NOVO ITEM SEM VU_ORIGINAL - INFORMAR EM itens_Remanesc",IF(MIN(E170,I170,M170,Q170,U170,G170,K170,O170,S170,W170)&lt;0,"ALERTA: POSICAO_NEGATIVA",IF(OR(AND(G170&lt;&gt;"",G170&gt;E170),AND(K170&lt;&gt;"",K170&gt;I170),AND(O170&lt;&gt;"",O170&gt;M170),AND(S170&lt;&gt;"",S170&gt;Q170),AND(W170&lt;&gt;"",W170&gt;U170)),"ALERTA: REMANESCENTE_SUPERA_POSICAO","OK"))))))</f>
        <v/>
      </c>
      <c r="Y170" t="str">
        <f t="shared" si="100"/>
        <v/>
      </c>
      <c r="Z170" t="b">
        <f t="shared" si="101"/>
        <v>0</v>
      </c>
      <c r="AA170" s="208" t="str">
        <f>IF($A170="","",IF(COUNTIFS(aditivos!$A$2:$A$200,$A170,aditivos!$L$2:$L$200,"&lt;&gt;",aditivos!$L$2:$L$200,"&lt;&gt;0",aditivos!$B$2:$B$200,"&gt;0")=0,"",IFERROR(_xlfn.MINIFS(aditivos!$B$2:$B$200,aditivos!$A$2:$A$200,$A170,aditivos!$L$2:$L$200,"&lt;&gt;",aditivos!$L$2:$L$200,"&lt;&gt;0",aditivos!$B$2:$B$200,"&gt;0"),"")))</f>
        <v/>
      </c>
      <c r="AB170" t="str">
        <f>IF($A170="","",IF(OR(parametros!$C$2="",parametros!$I$2=""),0,ROUND(SUMIFS(aditivos!$L$2:$L$200,aditivos!$A$2:$A$200,$A170,aditivos!$C$2:$C$200,"C0",aditivos!$B$2:$B$200,"&gt;="&amp;(INT(parametros!$I$2)+1)),2)))</f>
        <v/>
      </c>
      <c r="AC170" t="str">
        <f>IF($A170="","",IF(OR(parametros!$C$3="",parametros!$I$3=""),0,ROUND(SUMIFS(aditivos!$L$2:$L$200,aditivos!$A$2:$A$200,$A170,aditivos!$C$2:$C$200,"C1",aditivos!$B$2:$B$200,"&gt;="&amp;(INT(parametros!$I$3)+1)),2)))</f>
        <v/>
      </c>
      <c r="AD170" t="str">
        <f>IF($A170="","",IF(OR(parametros!$C$4="",parametros!$I$4=""),0,ROUND(SUMIFS(aditivos!$L$2:$L$200,aditivos!$A$2:$A$200,$A170,aditivos!$C$2:$C$200,"C2",aditivos!$B$2:$B$200,"&gt;="&amp;(INT(parametros!$I$4)+1)),2)))</f>
        <v/>
      </c>
      <c r="AE170" t="str">
        <f>IF($A170="","",IF(OR(parametros!$C$5="",parametros!$I$5=""),0,ROUND(SUMIFS(aditivos!$L$2:$L$200,aditivos!$A$2:$A$200,$A170,aditivos!$C$2:$C$200,"C3",aditivos!$B$2:$B$200,"&gt;="&amp;(INT(parametros!$I$5)+1)),2)))</f>
        <v/>
      </c>
      <c r="AF170" t="str">
        <f>IF($A170="","",IF(OR(parametros!$C$6="",parametros!$I$6=""),0,ROUND(SUMIFS(aditivos!$L$2:$L$200,aditivos!$A$2:$A$200,$A170,aditivos!$C$2:$C$200,"C4",aditivos!$B$2:$B$200,"&gt;="&amp;(INT(parametros!$I$6)+1)),2)))</f>
        <v/>
      </c>
      <c r="AG170" t="str">
        <f t="shared" si="102"/>
        <v/>
      </c>
      <c r="AH170" t="str">
        <f t="shared" si="103"/>
        <v/>
      </c>
      <c r="AI170" t="str">
        <f t="shared" si="104"/>
        <v/>
      </c>
      <c r="AJ170" t="str">
        <f t="shared" si="105"/>
        <v/>
      </c>
      <c r="AK170" t="str">
        <f t="shared" si="106"/>
        <v/>
      </c>
      <c r="AL170" t="str">
        <f t="shared" si="107"/>
        <v/>
      </c>
    </row>
    <row r="171" spans="1:38" x14ac:dyDescent="0.35">
      <c r="A171" s="146" t="str">
        <f>IF(itens_Remanesc!A171="","",itens_Remanesc!A171)</f>
        <v/>
      </c>
      <c r="B171" s="196" t="str">
        <f>IF(A171="","",itens_Remanesc!C171)</f>
        <v/>
      </c>
      <c r="C171" s="161" t="str">
        <f>IF(A171="","",IF(itens_Remanesc!B171="",0,itens_Remanesc!B171))</f>
        <v/>
      </c>
      <c r="D171" s="163" t="str">
        <f>IF(A171="","",ROUND(SUMIFS(aditivos!$L$2:$L$200,aditivos!$A$2:$A$200,A171,aditivos!$C$2:$C$200,"C0"),2))</f>
        <v/>
      </c>
      <c r="E171" s="159" t="str">
        <f t="shared" si="90"/>
        <v/>
      </c>
      <c r="F171" s="159" t="str">
        <f>IF(A171="","",IF(itens_Remanesc!B171&lt;&gt;"",itens_Remanesc!B171,IF($Z171,0,"")))</f>
        <v/>
      </c>
      <c r="G171" s="167" t="str">
        <f t="shared" si="91"/>
        <v/>
      </c>
      <c r="H171" s="169" t="str">
        <f>IF(A171="","",ROUND(SUMIFS(aditivos!$L$2:$L$200,aditivos!$A$2:$A$200,A171,aditivos!$C$2:$C$200,"C1"),2))</f>
        <v/>
      </c>
      <c r="I171" s="165" t="str">
        <f t="shared" si="92"/>
        <v/>
      </c>
      <c r="J171" s="165" t="str">
        <f>IF(A171="","",IF(itens_Remanesc!E171="","",itens_Remanesc!E171))</f>
        <v/>
      </c>
      <c r="K171" s="171" t="str">
        <f t="shared" si="93"/>
        <v/>
      </c>
      <c r="L171" s="163" t="str">
        <f>IF(A171="","",ROUND(SUMIFS(aditivos!$L$2:$L$200,aditivos!$A$2:$A$200,A171,aditivos!$C$2:$C$200,"C2"),2))</f>
        <v/>
      </c>
      <c r="M171" s="159" t="str">
        <f t="shared" si="94"/>
        <v/>
      </c>
      <c r="N171" s="159" t="str">
        <f>IF(A171="","",IF(itens_Remanesc!G171="","",itens_Remanesc!G171))</f>
        <v/>
      </c>
      <c r="O171" s="167" t="str">
        <f t="shared" si="95"/>
        <v/>
      </c>
      <c r="P171" s="169" t="str">
        <f>IF(A171="","",ROUND(SUMIFS(aditivos!$L$2:$L$200,aditivos!$A$2:$A$200,A171,aditivos!$C$2:$C$200,"C3"),2))</f>
        <v/>
      </c>
      <c r="Q171" s="165" t="str">
        <f t="shared" si="96"/>
        <v/>
      </c>
      <c r="R171" s="165" t="str">
        <f>IF(A171="","",IF(itens_Remanesc!I171="","",itens_Remanesc!I171))</f>
        <v/>
      </c>
      <c r="S171" s="171" t="str">
        <f t="shared" si="97"/>
        <v/>
      </c>
      <c r="T171" s="163" t="str">
        <f>IF(A171="","",ROUND(SUMIFS(aditivos!$L$2:$L$200,aditivos!$A$2:$A$200,A171,aditivos!$C$2:$C$200,"C4"),2))</f>
        <v/>
      </c>
      <c r="U171" s="159" t="str">
        <f t="shared" si="98"/>
        <v/>
      </c>
      <c r="V171" s="159" t="str">
        <f>IF(A171="","",IF(itens_Remanesc!K171="","",itens_Remanesc!K171))</f>
        <v/>
      </c>
      <c r="W171" s="159" t="str">
        <f t="shared" si="99"/>
        <v/>
      </c>
      <c r="X171" s="146" t="str">
        <f>IF(A171="","",IF(COUNTIF($A$2:$A$200,A171)&gt;1,"ALERTA: ITEM_DUPLICADO",IF(AND($Z171,ISNUMBER(itens_Remanesc!B171),itens_Remanesc!B171&lt;&gt;0),"NOVO ITEM COM BASE DIFERENTE DE 0 - AJUSTAR itens_Remanesc",IF(AND($Z171,NOT(ISNUMBER(itens_Remanesc!C171))),"NOVO ITEM SEM VU_ORIGINAL - INFORMAR EM itens_Remanesc",IF(MIN(E171,I171,M171,Q171,U171,G171,K171,O171,S171,W171)&lt;0,"ALERTA: POSICAO_NEGATIVA",IF(OR(AND(G171&lt;&gt;"",G171&gt;E171),AND(K171&lt;&gt;"",K171&gt;I171),AND(O171&lt;&gt;"",O171&gt;M171),AND(S171&lt;&gt;"",S171&gt;Q171),AND(W171&lt;&gt;"",W171&gt;U171)),"ALERTA: REMANESCENTE_SUPERA_POSICAO","OK"))))))</f>
        <v/>
      </c>
      <c r="Y171" t="str">
        <f t="shared" si="100"/>
        <v/>
      </c>
      <c r="Z171" t="b">
        <f t="shared" si="101"/>
        <v>0</v>
      </c>
      <c r="AA171" s="208" t="str">
        <f>IF($A171="","",IF(COUNTIFS(aditivos!$A$2:$A$200,$A171,aditivos!$L$2:$L$200,"&lt;&gt;",aditivos!$L$2:$L$200,"&lt;&gt;0",aditivos!$B$2:$B$200,"&gt;0")=0,"",IFERROR(_xlfn.MINIFS(aditivos!$B$2:$B$200,aditivos!$A$2:$A$200,$A171,aditivos!$L$2:$L$200,"&lt;&gt;",aditivos!$L$2:$L$200,"&lt;&gt;0",aditivos!$B$2:$B$200,"&gt;0"),"")))</f>
        <v/>
      </c>
      <c r="AB171" t="str">
        <f>IF($A171="","",IF(OR(parametros!$C$2="",parametros!$I$2=""),0,ROUND(SUMIFS(aditivos!$L$2:$L$200,aditivos!$A$2:$A$200,$A171,aditivos!$C$2:$C$200,"C0",aditivos!$B$2:$B$200,"&gt;="&amp;(INT(parametros!$I$2)+1)),2)))</f>
        <v/>
      </c>
      <c r="AC171" t="str">
        <f>IF($A171="","",IF(OR(parametros!$C$3="",parametros!$I$3=""),0,ROUND(SUMIFS(aditivos!$L$2:$L$200,aditivos!$A$2:$A$200,$A171,aditivos!$C$2:$C$200,"C1",aditivos!$B$2:$B$200,"&gt;="&amp;(INT(parametros!$I$3)+1)),2)))</f>
        <v/>
      </c>
      <c r="AD171" t="str">
        <f>IF($A171="","",IF(OR(parametros!$C$4="",parametros!$I$4=""),0,ROUND(SUMIFS(aditivos!$L$2:$L$200,aditivos!$A$2:$A$200,$A171,aditivos!$C$2:$C$200,"C2",aditivos!$B$2:$B$200,"&gt;="&amp;(INT(parametros!$I$4)+1)),2)))</f>
        <v/>
      </c>
      <c r="AE171" t="str">
        <f>IF($A171="","",IF(OR(parametros!$C$5="",parametros!$I$5=""),0,ROUND(SUMIFS(aditivos!$L$2:$L$200,aditivos!$A$2:$A$200,$A171,aditivos!$C$2:$C$200,"C3",aditivos!$B$2:$B$200,"&gt;="&amp;(INT(parametros!$I$5)+1)),2)))</f>
        <v/>
      </c>
      <c r="AF171" t="str">
        <f>IF($A171="","",IF(OR(parametros!$C$6="",parametros!$I$6=""),0,ROUND(SUMIFS(aditivos!$L$2:$L$200,aditivos!$A$2:$A$200,$A171,aditivos!$C$2:$C$200,"C4",aditivos!$B$2:$B$200,"&gt;="&amp;(INT(parametros!$I$6)+1)),2)))</f>
        <v/>
      </c>
      <c r="AG171" t="str">
        <f t="shared" si="102"/>
        <v/>
      </c>
      <c r="AH171" t="str">
        <f t="shared" si="103"/>
        <v/>
      </c>
      <c r="AI171" t="str">
        <f t="shared" si="104"/>
        <v/>
      </c>
      <c r="AJ171" t="str">
        <f t="shared" si="105"/>
        <v/>
      </c>
      <c r="AK171" t="str">
        <f t="shared" si="106"/>
        <v/>
      </c>
      <c r="AL171" t="str">
        <f t="shared" si="107"/>
        <v/>
      </c>
    </row>
    <row r="172" spans="1:38" x14ac:dyDescent="0.35">
      <c r="A172" s="146" t="str">
        <f>IF(itens_Remanesc!A172="","",itens_Remanesc!A172)</f>
        <v/>
      </c>
      <c r="B172" s="196" t="str">
        <f>IF(A172="","",itens_Remanesc!C172)</f>
        <v/>
      </c>
      <c r="C172" s="161" t="str">
        <f>IF(A172="","",IF(itens_Remanesc!B172="",0,itens_Remanesc!B172))</f>
        <v/>
      </c>
      <c r="D172" s="163" t="str">
        <f>IF(A172="","",ROUND(SUMIFS(aditivos!$L$2:$L$200,aditivos!$A$2:$A$200,A172,aditivos!$C$2:$C$200,"C0"),2))</f>
        <v/>
      </c>
      <c r="E172" s="159" t="str">
        <f t="shared" si="90"/>
        <v/>
      </c>
      <c r="F172" s="159" t="str">
        <f>IF(A172="","",IF(itens_Remanesc!B172&lt;&gt;"",itens_Remanesc!B172,IF($Z172,0,"")))</f>
        <v/>
      </c>
      <c r="G172" s="167" t="str">
        <f t="shared" si="91"/>
        <v/>
      </c>
      <c r="H172" s="169" t="str">
        <f>IF(A172="","",ROUND(SUMIFS(aditivos!$L$2:$L$200,aditivos!$A$2:$A$200,A172,aditivos!$C$2:$C$200,"C1"),2))</f>
        <v/>
      </c>
      <c r="I172" s="165" t="str">
        <f t="shared" si="92"/>
        <v/>
      </c>
      <c r="J172" s="165" t="str">
        <f>IF(A172="","",IF(itens_Remanesc!E172="","",itens_Remanesc!E172))</f>
        <v/>
      </c>
      <c r="K172" s="171" t="str">
        <f t="shared" si="93"/>
        <v/>
      </c>
      <c r="L172" s="163" t="str">
        <f>IF(A172="","",ROUND(SUMIFS(aditivos!$L$2:$L$200,aditivos!$A$2:$A$200,A172,aditivos!$C$2:$C$200,"C2"),2))</f>
        <v/>
      </c>
      <c r="M172" s="159" t="str">
        <f t="shared" si="94"/>
        <v/>
      </c>
      <c r="N172" s="159" t="str">
        <f>IF(A172="","",IF(itens_Remanesc!G172="","",itens_Remanesc!G172))</f>
        <v/>
      </c>
      <c r="O172" s="167" t="str">
        <f t="shared" si="95"/>
        <v/>
      </c>
      <c r="P172" s="169" t="str">
        <f>IF(A172="","",ROUND(SUMIFS(aditivos!$L$2:$L$200,aditivos!$A$2:$A$200,A172,aditivos!$C$2:$C$200,"C3"),2))</f>
        <v/>
      </c>
      <c r="Q172" s="165" t="str">
        <f t="shared" si="96"/>
        <v/>
      </c>
      <c r="R172" s="165" t="str">
        <f>IF(A172="","",IF(itens_Remanesc!I172="","",itens_Remanesc!I172))</f>
        <v/>
      </c>
      <c r="S172" s="171" t="str">
        <f t="shared" si="97"/>
        <v/>
      </c>
      <c r="T172" s="163" t="str">
        <f>IF(A172="","",ROUND(SUMIFS(aditivos!$L$2:$L$200,aditivos!$A$2:$A$200,A172,aditivos!$C$2:$C$200,"C4"),2))</f>
        <v/>
      </c>
      <c r="U172" s="159" t="str">
        <f t="shared" si="98"/>
        <v/>
      </c>
      <c r="V172" s="159" t="str">
        <f>IF(A172="","",IF(itens_Remanesc!K172="","",itens_Remanesc!K172))</f>
        <v/>
      </c>
      <c r="W172" s="159" t="str">
        <f t="shared" si="99"/>
        <v/>
      </c>
      <c r="X172" s="146" t="str">
        <f>IF(A172="","",IF(COUNTIF($A$2:$A$200,A172)&gt;1,"ALERTA: ITEM_DUPLICADO",IF(AND($Z172,ISNUMBER(itens_Remanesc!B172),itens_Remanesc!B172&lt;&gt;0),"NOVO ITEM COM BASE DIFERENTE DE 0 - AJUSTAR itens_Remanesc",IF(AND($Z172,NOT(ISNUMBER(itens_Remanesc!C172))),"NOVO ITEM SEM VU_ORIGINAL - INFORMAR EM itens_Remanesc",IF(MIN(E172,I172,M172,Q172,U172,G172,K172,O172,S172,W172)&lt;0,"ALERTA: POSICAO_NEGATIVA",IF(OR(AND(G172&lt;&gt;"",G172&gt;E172),AND(K172&lt;&gt;"",K172&gt;I172),AND(O172&lt;&gt;"",O172&gt;M172),AND(S172&lt;&gt;"",S172&gt;Q172),AND(W172&lt;&gt;"",W172&gt;U172)),"ALERTA: REMANESCENTE_SUPERA_POSICAO","OK"))))))</f>
        <v/>
      </c>
      <c r="Y172" t="str">
        <f t="shared" si="100"/>
        <v/>
      </c>
      <c r="Z172" t="b">
        <f t="shared" si="101"/>
        <v>0</v>
      </c>
      <c r="AA172" s="208" t="str">
        <f>IF($A172="","",IF(COUNTIFS(aditivos!$A$2:$A$200,$A172,aditivos!$L$2:$L$200,"&lt;&gt;",aditivos!$L$2:$L$200,"&lt;&gt;0",aditivos!$B$2:$B$200,"&gt;0")=0,"",IFERROR(_xlfn.MINIFS(aditivos!$B$2:$B$200,aditivos!$A$2:$A$200,$A172,aditivos!$L$2:$L$200,"&lt;&gt;",aditivos!$L$2:$L$200,"&lt;&gt;0",aditivos!$B$2:$B$200,"&gt;0"),"")))</f>
        <v/>
      </c>
      <c r="AB172" t="str">
        <f>IF($A172="","",IF(OR(parametros!$C$2="",parametros!$I$2=""),0,ROUND(SUMIFS(aditivos!$L$2:$L$200,aditivos!$A$2:$A$200,$A172,aditivos!$C$2:$C$200,"C0",aditivos!$B$2:$B$200,"&gt;="&amp;(INT(parametros!$I$2)+1)),2)))</f>
        <v/>
      </c>
      <c r="AC172" t="str">
        <f>IF($A172="","",IF(OR(parametros!$C$3="",parametros!$I$3=""),0,ROUND(SUMIFS(aditivos!$L$2:$L$200,aditivos!$A$2:$A$200,$A172,aditivos!$C$2:$C$200,"C1",aditivos!$B$2:$B$200,"&gt;="&amp;(INT(parametros!$I$3)+1)),2)))</f>
        <v/>
      </c>
      <c r="AD172" t="str">
        <f>IF($A172="","",IF(OR(parametros!$C$4="",parametros!$I$4=""),0,ROUND(SUMIFS(aditivos!$L$2:$L$200,aditivos!$A$2:$A$200,$A172,aditivos!$C$2:$C$200,"C2",aditivos!$B$2:$B$200,"&gt;="&amp;(INT(parametros!$I$4)+1)),2)))</f>
        <v/>
      </c>
      <c r="AE172" t="str">
        <f>IF($A172="","",IF(OR(parametros!$C$5="",parametros!$I$5=""),0,ROUND(SUMIFS(aditivos!$L$2:$L$200,aditivos!$A$2:$A$200,$A172,aditivos!$C$2:$C$200,"C3",aditivos!$B$2:$B$200,"&gt;="&amp;(INT(parametros!$I$5)+1)),2)))</f>
        <v/>
      </c>
      <c r="AF172" t="str">
        <f>IF($A172="","",IF(OR(parametros!$C$6="",parametros!$I$6=""),0,ROUND(SUMIFS(aditivos!$L$2:$L$200,aditivos!$A$2:$A$200,$A172,aditivos!$C$2:$C$200,"C4",aditivos!$B$2:$B$200,"&gt;="&amp;(INT(parametros!$I$6)+1)),2)))</f>
        <v/>
      </c>
      <c r="AG172" t="str">
        <f t="shared" si="102"/>
        <v/>
      </c>
      <c r="AH172" t="str">
        <f t="shared" si="103"/>
        <v/>
      </c>
      <c r="AI172" t="str">
        <f t="shared" si="104"/>
        <v/>
      </c>
      <c r="AJ172" t="str">
        <f t="shared" si="105"/>
        <v/>
      </c>
      <c r="AK172" t="str">
        <f t="shared" si="106"/>
        <v/>
      </c>
      <c r="AL172" t="str">
        <f t="shared" si="107"/>
        <v/>
      </c>
    </row>
    <row r="173" spans="1:38" x14ac:dyDescent="0.35">
      <c r="A173" s="146" t="str">
        <f>IF(itens_Remanesc!A173="","",itens_Remanesc!A173)</f>
        <v/>
      </c>
      <c r="B173" s="196" t="str">
        <f>IF(A173="","",itens_Remanesc!C173)</f>
        <v/>
      </c>
      <c r="C173" s="161" t="str">
        <f>IF(A173="","",IF(itens_Remanesc!B173="",0,itens_Remanesc!B173))</f>
        <v/>
      </c>
      <c r="D173" s="163" t="str">
        <f>IF(A173="","",ROUND(SUMIFS(aditivos!$L$2:$L$200,aditivos!$A$2:$A$200,A173,aditivos!$C$2:$C$200,"C0"),2))</f>
        <v/>
      </c>
      <c r="E173" s="159" t="str">
        <f t="shared" si="90"/>
        <v/>
      </c>
      <c r="F173" s="159" t="str">
        <f>IF(A173="","",IF(itens_Remanesc!B173&lt;&gt;"",itens_Remanesc!B173,IF($Z173,0,"")))</f>
        <v/>
      </c>
      <c r="G173" s="167" t="str">
        <f t="shared" si="91"/>
        <v/>
      </c>
      <c r="H173" s="169" t="str">
        <f>IF(A173="","",ROUND(SUMIFS(aditivos!$L$2:$L$200,aditivos!$A$2:$A$200,A173,aditivos!$C$2:$C$200,"C1"),2))</f>
        <v/>
      </c>
      <c r="I173" s="165" t="str">
        <f t="shared" si="92"/>
        <v/>
      </c>
      <c r="J173" s="165" t="str">
        <f>IF(A173="","",IF(itens_Remanesc!E173="","",itens_Remanesc!E173))</f>
        <v/>
      </c>
      <c r="K173" s="171" t="str">
        <f t="shared" si="93"/>
        <v/>
      </c>
      <c r="L173" s="163" t="str">
        <f>IF(A173="","",ROUND(SUMIFS(aditivos!$L$2:$L$200,aditivos!$A$2:$A$200,A173,aditivos!$C$2:$C$200,"C2"),2))</f>
        <v/>
      </c>
      <c r="M173" s="159" t="str">
        <f t="shared" si="94"/>
        <v/>
      </c>
      <c r="N173" s="159" t="str">
        <f>IF(A173="","",IF(itens_Remanesc!G173="","",itens_Remanesc!G173))</f>
        <v/>
      </c>
      <c r="O173" s="167" t="str">
        <f t="shared" si="95"/>
        <v/>
      </c>
      <c r="P173" s="169" t="str">
        <f>IF(A173="","",ROUND(SUMIFS(aditivos!$L$2:$L$200,aditivos!$A$2:$A$200,A173,aditivos!$C$2:$C$200,"C3"),2))</f>
        <v/>
      </c>
      <c r="Q173" s="165" t="str">
        <f t="shared" si="96"/>
        <v/>
      </c>
      <c r="R173" s="165" t="str">
        <f>IF(A173="","",IF(itens_Remanesc!I173="","",itens_Remanesc!I173))</f>
        <v/>
      </c>
      <c r="S173" s="171" t="str">
        <f t="shared" si="97"/>
        <v/>
      </c>
      <c r="T173" s="163" t="str">
        <f>IF(A173="","",ROUND(SUMIFS(aditivos!$L$2:$L$200,aditivos!$A$2:$A$200,A173,aditivos!$C$2:$C$200,"C4"),2))</f>
        <v/>
      </c>
      <c r="U173" s="159" t="str">
        <f t="shared" si="98"/>
        <v/>
      </c>
      <c r="V173" s="159" t="str">
        <f>IF(A173="","",IF(itens_Remanesc!K173="","",itens_Remanesc!K173))</f>
        <v/>
      </c>
      <c r="W173" s="159" t="str">
        <f t="shared" si="99"/>
        <v/>
      </c>
      <c r="X173" s="146" t="str">
        <f>IF(A173="","",IF(COUNTIF($A$2:$A$200,A173)&gt;1,"ALERTA: ITEM_DUPLICADO",IF(AND($Z173,ISNUMBER(itens_Remanesc!B173),itens_Remanesc!B173&lt;&gt;0),"NOVO ITEM COM BASE DIFERENTE DE 0 - AJUSTAR itens_Remanesc",IF(AND($Z173,NOT(ISNUMBER(itens_Remanesc!C173))),"NOVO ITEM SEM VU_ORIGINAL - INFORMAR EM itens_Remanesc",IF(MIN(E173,I173,M173,Q173,U173,G173,K173,O173,S173,W173)&lt;0,"ALERTA: POSICAO_NEGATIVA",IF(OR(AND(G173&lt;&gt;"",G173&gt;E173),AND(K173&lt;&gt;"",K173&gt;I173),AND(O173&lt;&gt;"",O173&gt;M173),AND(S173&lt;&gt;"",S173&gt;Q173),AND(W173&lt;&gt;"",W173&gt;U173)),"ALERTA: REMANESCENTE_SUPERA_POSICAO","OK"))))))</f>
        <v/>
      </c>
      <c r="Y173" t="str">
        <f t="shared" si="100"/>
        <v/>
      </c>
      <c r="Z173" t="b">
        <f t="shared" si="101"/>
        <v>0</v>
      </c>
      <c r="AA173" s="208" t="str">
        <f>IF($A173="","",IF(COUNTIFS(aditivos!$A$2:$A$200,$A173,aditivos!$L$2:$L$200,"&lt;&gt;",aditivos!$L$2:$L$200,"&lt;&gt;0",aditivos!$B$2:$B$200,"&gt;0")=0,"",IFERROR(_xlfn.MINIFS(aditivos!$B$2:$B$200,aditivos!$A$2:$A$200,$A173,aditivos!$L$2:$L$200,"&lt;&gt;",aditivos!$L$2:$L$200,"&lt;&gt;0",aditivos!$B$2:$B$200,"&gt;0"),"")))</f>
        <v/>
      </c>
      <c r="AB173" t="str">
        <f>IF($A173="","",IF(OR(parametros!$C$2="",parametros!$I$2=""),0,ROUND(SUMIFS(aditivos!$L$2:$L$200,aditivos!$A$2:$A$200,$A173,aditivos!$C$2:$C$200,"C0",aditivos!$B$2:$B$200,"&gt;="&amp;(INT(parametros!$I$2)+1)),2)))</f>
        <v/>
      </c>
      <c r="AC173" t="str">
        <f>IF($A173="","",IF(OR(parametros!$C$3="",parametros!$I$3=""),0,ROUND(SUMIFS(aditivos!$L$2:$L$200,aditivos!$A$2:$A$200,$A173,aditivos!$C$2:$C$200,"C1",aditivos!$B$2:$B$200,"&gt;="&amp;(INT(parametros!$I$3)+1)),2)))</f>
        <v/>
      </c>
      <c r="AD173" t="str">
        <f>IF($A173="","",IF(OR(parametros!$C$4="",parametros!$I$4=""),0,ROUND(SUMIFS(aditivos!$L$2:$L$200,aditivos!$A$2:$A$200,$A173,aditivos!$C$2:$C$200,"C2",aditivos!$B$2:$B$200,"&gt;="&amp;(INT(parametros!$I$4)+1)),2)))</f>
        <v/>
      </c>
      <c r="AE173" t="str">
        <f>IF($A173="","",IF(OR(parametros!$C$5="",parametros!$I$5=""),0,ROUND(SUMIFS(aditivos!$L$2:$L$200,aditivos!$A$2:$A$200,$A173,aditivos!$C$2:$C$200,"C3",aditivos!$B$2:$B$200,"&gt;="&amp;(INT(parametros!$I$5)+1)),2)))</f>
        <v/>
      </c>
      <c r="AF173" t="str">
        <f>IF($A173="","",IF(OR(parametros!$C$6="",parametros!$I$6=""),0,ROUND(SUMIFS(aditivos!$L$2:$L$200,aditivos!$A$2:$A$200,$A173,aditivos!$C$2:$C$200,"C4",aditivos!$B$2:$B$200,"&gt;="&amp;(INT(parametros!$I$6)+1)),2)))</f>
        <v/>
      </c>
      <c r="AG173" t="str">
        <f t="shared" si="102"/>
        <v/>
      </c>
      <c r="AH173" t="str">
        <f t="shared" si="103"/>
        <v/>
      </c>
      <c r="AI173" t="str">
        <f t="shared" si="104"/>
        <v/>
      </c>
      <c r="AJ173" t="str">
        <f t="shared" si="105"/>
        <v/>
      </c>
      <c r="AK173" t="str">
        <f t="shared" si="106"/>
        <v/>
      </c>
      <c r="AL173" t="str">
        <f t="shared" si="107"/>
        <v/>
      </c>
    </row>
    <row r="174" spans="1:38" x14ac:dyDescent="0.35">
      <c r="A174" s="146" t="str">
        <f>IF(itens_Remanesc!A174="","",itens_Remanesc!A174)</f>
        <v/>
      </c>
      <c r="B174" s="196" t="str">
        <f>IF(A174="","",itens_Remanesc!C174)</f>
        <v/>
      </c>
      <c r="C174" s="161" t="str">
        <f>IF(A174="","",IF(itens_Remanesc!B174="",0,itens_Remanesc!B174))</f>
        <v/>
      </c>
      <c r="D174" s="163" t="str">
        <f>IF(A174="","",ROUND(SUMIFS(aditivos!$L$2:$L$200,aditivos!$A$2:$A$200,A174,aditivos!$C$2:$C$200,"C0"),2))</f>
        <v/>
      </c>
      <c r="E174" s="159" t="str">
        <f t="shared" si="90"/>
        <v/>
      </c>
      <c r="F174" s="159" t="str">
        <f>IF(A174="","",IF(itens_Remanesc!B174&lt;&gt;"",itens_Remanesc!B174,IF($Z174,0,"")))</f>
        <v/>
      </c>
      <c r="G174" s="167" t="str">
        <f t="shared" si="91"/>
        <v/>
      </c>
      <c r="H174" s="169" t="str">
        <f>IF(A174="","",ROUND(SUMIFS(aditivos!$L$2:$L$200,aditivos!$A$2:$A$200,A174,aditivos!$C$2:$C$200,"C1"),2))</f>
        <v/>
      </c>
      <c r="I174" s="165" t="str">
        <f t="shared" si="92"/>
        <v/>
      </c>
      <c r="J174" s="165" t="str">
        <f>IF(A174="","",IF(itens_Remanesc!E174="","",itens_Remanesc!E174))</f>
        <v/>
      </c>
      <c r="K174" s="171" t="str">
        <f t="shared" si="93"/>
        <v/>
      </c>
      <c r="L174" s="163" t="str">
        <f>IF(A174="","",ROUND(SUMIFS(aditivos!$L$2:$L$200,aditivos!$A$2:$A$200,A174,aditivos!$C$2:$C$200,"C2"),2))</f>
        <v/>
      </c>
      <c r="M174" s="159" t="str">
        <f t="shared" si="94"/>
        <v/>
      </c>
      <c r="N174" s="159" t="str">
        <f>IF(A174="","",IF(itens_Remanesc!G174="","",itens_Remanesc!G174))</f>
        <v/>
      </c>
      <c r="O174" s="167" t="str">
        <f t="shared" si="95"/>
        <v/>
      </c>
      <c r="P174" s="169" t="str">
        <f>IF(A174="","",ROUND(SUMIFS(aditivos!$L$2:$L$200,aditivos!$A$2:$A$200,A174,aditivos!$C$2:$C$200,"C3"),2))</f>
        <v/>
      </c>
      <c r="Q174" s="165" t="str">
        <f t="shared" si="96"/>
        <v/>
      </c>
      <c r="R174" s="165" t="str">
        <f>IF(A174="","",IF(itens_Remanesc!I174="","",itens_Remanesc!I174))</f>
        <v/>
      </c>
      <c r="S174" s="171" t="str">
        <f t="shared" si="97"/>
        <v/>
      </c>
      <c r="T174" s="163" t="str">
        <f>IF(A174="","",ROUND(SUMIFS(aditivos!$L$2:$L$200,aditivos!$A$2:$A$200,A174,aditivos!$C$2:$C$200,"C4"),2))</f>
        <v/>
      </c>
      <c r="U174" s="159" t="str">
        <f t="shared" si="98"/>
        <v/>
      </c>
      <c r="V174" s="159" t="str">
        <f>IF(A174="","",IF(itens_Remanesc!K174="","",itens_Remanesc!K174))</f>
        <v/>
      </c>
      <c r="W174" s="159" t="str">
        <f t="shared" si="99"/>
        <v/>
      </c>
      <c r="X174" s="146" t="str">
        <f>IF(A174="","",IF(COUNTIF($A$2:$A$200,A174)&gt;1,"ALERTA: ITEM_DUPLICADO",IF(AND($Z174,ISNUMBER(itens_Remanesc!B174),itens_Remanesc!B174&lt;&gt;0),"NOVO ITEM COM BASE DIFERENTE DE 0 - AJUSTAR itens_Remanesc",IF(AND($Z174,NOT(ISNUMBER(itens_Remanesc!C174))),"NOVO ITEM SEM VU_ORIGINAL - INFORMAR EM itens_Remanesc",IF(MIN(E174,I174,M174,Q174,U174,G174,K174,O174,S174,W174)&lt;0,"ALERTA: POSICAO_NEGATIVA",IF(OR(AND(G174&lt;&gt;"",G174&gt;E174),AND(K174&lt;&gt;"",K174&gt;I174),AND(O174&lt;&gt;"",O174&gt;M174),AND(S174&lt;&gt;"",S174&gt;Q174),AND(W174&lt;&gt;"",W174&gt;U174)),"ALERTA: REMANESCENTE_SUPERA_POSICAO","OK"))))))</f>
        <v/>
      </c>
      <c r="Y174" t="str">
        <f t="shared" si="100"/>
        <v/>
      </c>
      <c r="Z174" t="b">
        <f t="shared" si="101"/>
        <v>0</v>
      </c>
      <c r="AA174" s="208" t="str">
        <f>IF($A174="","",IF(COUNTIFS(aditivos!$A$2:$A$200,$A174,aditivos!$L$2:$L$200,"&lt;&gt;",aditivos!$L$2:$L$200,"&lt;&gt;0",aditivos!$B$2:$B$200,"&gt;0")=0,"",IFERROR(_xlfn.MINIFS(aditivos!$B$2:$B$200,aditivos!$A$2:$A$200,$A174,aditivos!$L$2:$L$200,"&lt;&gt;",aditivos!$L$2:$L$200,"&lt;&gt;0",aditivos!$B$2:$B$200,"&gt;0"),"")))</f>
        <v/>
      </c>
      <c r="AB174" t="str">
        <f>IF($A174="","",IF(OR(parametros!$C$2="",parametros!$I$2=""),0,ROUND(SUMIFS(aditivos!$L$2:$L$200,aditivos!$A$2:$A$200,$A174,aditivos!$C$2:$C$200,"C0",aditivos!$B$2:$B$200,"&gt;="&amp;(INT(parametros!$I$2)+1)),2)))</f>
        <v/>
      </c>
      <c r="AC174" t="str">
        <f>IF($A174="","",IF(OR(parametros!$C$3="",parametros!$I$3=""),0,ROUND(SUMIFS(aditivos!$L$2:$L$200,aditivos!$A$2:$A$200,$A174,aditivos!$C$2:$C$200,"C1",aditivos!$B$2:$B$200,"&gt;="&amp;(INT(parametros!$I$3)+1)),2)))</f>
        <v/>
      </c>
      <c r="AD174" t="str">
        <f>IF($A174="","",IF(OR(parametros!$C$4="",parametros!$I$4=""),0,ROUND(SUMIFS(aditivos!$L$2:$L$200,aditivos!$A$2:$A$200,$A174,aditivos!$C$2:$C$200,"C2",aditivos!$B$2:$B$200,"&gt;="&amp;(INT(parametros!$I$4)+1)),2)))</f>
        <v/>
      </c>
      <c r="AE174" t="str">
        <f>IF($A174="","",IF(OR(parametros!$C$5="",parametros!$I$5=""),0,ROUND(SUMIFS(aditivos!$L$2:$L$200,aditivos!$A$2:$A$200,$A174,aditivos!$C$2:$C$200,"C3",aditivos!$B$2:$B$200,"&gt;="&amp;(INT(parametros!$I$5)+1)),2)))</f>
        <v/>
      </c>
      <c r="AF174" t="str">
        <f>IF($A174="","",IF(OR(parametros!$C$6="",parametros!$I$6=""),0,ROUND(SUMIFS(aditivos!$L$2:$L$200,aditivos!$A$2:$A$200,$A174,aditivos!$C$2:$C$200,"C4",aditivos!$B$2:$B$200,"&gt;="&amp;(INT(parametros!$I$6)+1)),2)))</f>
        <v/>
      </c>
      <c r="AG174" t="str">
        <f t="shared" si="102"/>
        <v/>
      </c>
      <c r="AH174" t="str">
        <f t="shared" si="103"/>
        <v/>
      </c>
      <c r="AI174" t="str">
        <f t="shared" si="104"/>
        <v/>
      </c>
      <c r="AJ174" t="str">
        <f t="shared" si="105"/>
        <v/>
      </c>
      <c r="AK174" t="str">
        <f t="shared" si="106"/>
        <v/>
      </c>
      <c r="AL174" t="str">
        <f t="shared" si="107"/>
        <v/>
      </c>
    </row>
    <row r="175" spans="1:38" x14ac:dyDescent="0.35">
      <c r="A175" s="146" t="str">
        <f>IF(itens_Remanesc!A175="","",itens_Remanesc!A175)</f>
        <v/>
      </c>
      <c r="B175" s="196" t="str">
        <f>IF(A175="","",itens_Remanesc!C175)</f>
        <v/>
      </c>
      <c r="C175" s="161" t="str">
        <f>IF(A175="","",IF(itens_Remanesc!B175="",0,itens_Remanesc!B175))</f>
        <v/>
      </c>
      <c r="D175" s="163" t="str">
        <f>IF(A175="","",ROUND(SUMIFS(aditivos!$L$2:$L$200,aditivos!$A$2:$A$200,A175,aditivos!$C$2:$C$200,"C0"),2))</f>
        <v/>
      </c>
      <c r="E175" s="159" t="str">
        <f t="shared" si="90"/>
        <v/>
      </c>
      <c r="F175" s="159" t="str">
        <f>IF(A175="","",IF(itens_Remanesc!B175&lt;&gt;"",itens_Remanesc!B175,IF($Z175,0,"")))</f>
        <v/>
      </c>
      <c r="G175" s="167" t="str">
        <f t="shared" si="91"/>
        <v/>
      </c>
      <c r="H175" s="169" t="str">
        <f>IF(A175="","",ROUND(SUMIFS(aditivos!$L$2:$L$200,aditivos!$A$2:$A$200,A175,aditivos!$C$2:$C$200,"C1"),2))</f>
        <v/>
      </c>
      <c r="I175" s="165" t="str">
        <f t="shared" si="92"/>
        <v/>
      </c>
      <c r="J175" s="165" t="str">
        <f>IF(A175="","",IF(itens_Remanesc!E175="","",itens_Remanesc!E175))</f>
        <v/>
      </c>
      <c r="K175" s="171" t="str">
        <f t="shared" si="93"/>
        <v/>
      </c>
      <c r="L175" s="163" t="str">
        <f>IF(A175="","",ROUND(SUMIFS(aditivos!$L$2:$L$200,aditivos!$A$2:$A$200,A175,aditivos!$C$2:$C$200,"C2"),2))</f>
        <v/>
      </c>
      <c r="M175" s="159" t="str">
        <f t="shared" si="94"/>
        <v/>
      </c>
      <c r="N175" s="159" t="str">
        <f>IF(A175="","",IF(itens_Remanesc!G175="","",itens_Remanesc!G175))</f>
        <v/>
      </c>
      <c r="O175" s="167" t="str">
        <f t="shared" si="95"/>
        <v/>
      </c>
      <c r="P175" s="169" t="str">
        <f>IF(A175="","",ROUND(SUMIFS(aditivos!$L$2:$L$200,aditivos!$A$2:$A$200,A175,aditivos!$C$2:$C$200,"C3"),2))</f>
        <v/>
      </c>
      <c r="Q175" s="165" t="str">
        <f t="shared" si="96"/>
        <v/>
      </c>
      <c r="R175" s="165" t="str">
        <f>IF(A175="","",IF(itens_Remanesc!I175="","",itens_Remanesc!I175))</f>
        <v/>
      </c>
      <c r="S175" s="171" t="str">
        <f t="shared" si="97"/>
        <v/>
      </c>
      <c r="T175" s="163" t="str">
        <f>IF(A175="","",ROUND(SUMIFS(aditivos!$L$2:$L$200,aditivos!$A$2:$A$200,A175,aditivos!$C$2:$C$200,"C4"),2))</f>
        <v/>
      </c>
      <c r="U175" s="159" t="str">
        <f t="shared" si="98"/>
        <v/>
      </c>
      <c r="V175" s="159" t="str">
        <f>IF(A175="","",IF(itens_Remanesc!K175="","",itens_Remanesc!K175))</f>
        <v/>
      </c>
      <c r="W175" s="159" t="str">
        <f t="shared" si="99"/>
        <v/>
      </c>
      <c r="X175" s="146" t="str">
        <f>IF(A175="","",IF(COUNTIF($A$2:$A$200,A175)&gt;1,"ALERTA: ITEM_DUPLICADO",IF(AND($Z175,ISNUMBER(itens_Remanesc!B175),itens_Remanesc!B175&lt;&gt;0),"NOVO ITEM COM BASE DIFERENTE DE 0 - AJUSTAR itens_Remanesc",IF(AND($Z175,NOT(ISNUMBER(itens_Remanesc!C175))),"NOVO ITEM SEM VU_ORIGINAL - INFORMAR EM itens_Remanesc",IF(MIN(E175,I175,M175,Q175,U175,G175,K175,O175,S175,W175)&lt;0,"ALERTA: POSICAO_NEGATIVA",IF(OR(AND(G175&lt;&gt;"",G175&gt;E175),AND(K175&lt;&gt;"",K175&gt;I175),AND(O175&lt;&gt;"",O175&gt;M175),AND(S175&lt;&gt;"",S175&gt;Q175),AND(W175&lt;&gt;"",W175&gt;U175)),"ALERTA: REMANESCENTE_SUPERA_POSICAO","OK"))))))</f>
        <v/>
      </c>
      <c r="Y175" t="str">
        <f t="shared" si="100"/>
        <v/>
      </c>
      <c r="Z175" t="b">
        <f t="shared" si="101"/>
        <v>0</v>
      </c>
      <c r="AA175" s="208" t="str">
        <f>IF($A175="","",IF(COUNTIFS(aditivos!$A$2:$A$200,$A175,aditivos!$L$2:$L$200,"&lt;&gt;",aditivos!$L$2:$L$200,"&lt;&gt;0",aditivos!$B$2:$B$200,"&gt;0")=0,"",IFERROR(_xlfn.MINIFS(aditivos!$B$2:$B$200,aditivos!$A$2:$A$200,$A175,aditivos!$L$2:$L$200,"&lt;&gt;",aditivos!$L$2:$L$200,"&lt;&gt;0",aditivos!$B$2:$B$200,"&gt;0"),"")))</f>
        <v/>
      </c>
      <c r="AB175" t="str">
        <f>IF($A175="","",IF(OR(parametros!$C$2="",parametros!$I$2=""),0,ROUND(SUMIFS(aditivos!$L$2:$L$200,aditivos!$A$2:$A$200,$A175,aditivos!$C$2:$C$200,"C0",aditivos!$B$2:$B$200,"&gt;="&amp;(INT(parametros!$I$2)+1)),2)))</f>
        <v/>
      </c>
      <c r="AC175" t="str">
        <f>IF($A175="","",IF(OR(parametros!$C$3="",parametros!$I$3=""),0,ROUND(SUMIFS(aditivos!$L$2:$L$200,aditivos!$A$2:$A$200,$A175,aditivos!$C$2:$C$200,"C1",aditivos!$B$2:$B$200,"&gt;="&amp;(INT(parametros!$I$3)+1)),2)))</f>
        <v/>
      </c>
      <c r="AD175" t="str">
        <f>IF($A175="","",IF(OR(parametros!$C$4="",parametros!$I$4=""),0,ROUND(SUMIFS(aditivos!$L$2:$L$200,aditivos!$A$2:$A$200,$A175,aditivos!$C$2:$C$200,"C2",aditivos!$B$2:$B$200,"&gt;="&amp;(INT(parametros!$I$4)+1)),2)))</f>
        <v/>
      </c>
      <c r="AE175" t="str">
        <f>IF($A175="","",IF(OR(parametros!$C$5="",parametros!$I$5=""),0,ROUND(SUMIFS(aditivos!$L$2:$L$200,aditivos!$A$2:$A$200,$A175,aditivos!$C$2:$C$200,"C3",aditivos!$B$2:$B$200,"&gt;="&amp;(INT(parametros!$I$5)+1)),2)))</f>
        <v/>
      </c>
      <c r="AF175" t="str">
        <f>IF($A175="","",IF(OR(parametros!$C$6="",parametros!$I$6=""),0,ROUND(SUMIFS(aditivos!$L$2:$L$200,aditivos!$A$2:$A$200,$A175,aditivos!$C$2:$C$200,"C4",aditivos!$B$2:$B$200,"&gt;="&amp;(INT(parametros!$I$6)+1)),2)))</f>
        <v/>
      </c>
      <c r="AG175" t="str">
        <f t="shared" si="102"/>
        <v/>
      </c>
      <c r="AH175" t="str">
        <f t="shared" si="103"/>
        <v/>
      </c>
      <c r="AI175" t="str">
        <f t="shared" si="104"/>
        <v/>
      </c>
      <c r="AJ175" t="str">
        <f t="shared" si="105"/>
        <v/>
      </c>
      <c r="AK175" t="str">
        <f t="shared" si="106"/>
        <v/>
      </c>
      <c r="AL175" t="str">
        <f t="shared" si="107"/>
        <v/>
      </c>
    </row>
    <row r="176" spans="1:38" x14ac:dyDescent="0.35">
      <c r="A176" s="146" t="str">
        <f>IF(itens_Remanesc!A176="","",itens_Remanesc!A176)</f>
        <v/>
      </c>
      <c r="B176" s="196" t="str">
        <f>IF(A176="","",itens_Remanesc!C176)</f>
        <v/>
      </c>
      <c r="C176" s="161" t="str">
        <f>IF(A176="","",IF(itens_Remanesc!B176="",0,itens_Remanesc!B176))</f>
        <v/>
      </c>
      <c r="D176" s="163" t="str">
        <f>IF(A176="","",ROUND(SUMIFS(aditivos!$L$2:$L$200,aditivos!$A$2:$A$200,A176,aditivos!$C$2:$C$200,"C0"),2))</f>
        <v/>
      </c>
      <c r="E176" s="159" t="str">
        <f t="shared" si="90"/>
        <v/>
      </c>
      <c r="F176" s="159" t="str">
        <f>IF(A176="","",IF(itens_Remanesc!B176&lt;&gt;"",itens_Remanesc!B176,IF($Z176,0,"")))</f>
        <v/>
      </c>
      <c r="G176" s="167" t="str">
        <f t="shared" si="91"/>
        <v/>
      </c>
      <c r="H176" s="169" t="str">
        <f>IF(A176="","",ROUND(SUMIFS(aditivos!$L$2:$L$200,aditivos!$A$2:$A$200,A176,aditivos!$C$2:$C$200,"C1"),2))</f>
        <v/>
      </c>
      <c r="I176" s="165" t="str">
        <f t="shared" si="92"/>
        <v/>
      </c>
      <c r="J176" s="165" t="str">
        <f>IF(A176="","",IF(itens_Remanesc!E176="","",itens_Remanesc!E176))</f>
        <v/>
      </c>
      <c r="K176" s="171" t="str">
        <f t="shared" si="93"/>
        <v/>
      </c>
      <c r="L176" s="163" t="str">
        <f>IF(A176="","",ROUND(SUMIFS(aditivos!$L$2:$L$200,aditivos!$A$2:$A$200,A176,aditivos!$C$2:$C$200,"C2"),2))</f>
        <v/>
      </c>
      <c r="M176" s="159" t="str">
        <f t="shared" si="94"/>
        <v/>
      </c>
      <c r="N176" s="159" t="str">
        <f>IF(A176="","",IF(itens_Remanesc!G176="","",itens_Remanesc!G176))</f>
        <v/>
      </c>
      <c r="O176" s="167" t="str">
        <f t="shared" si="95"/>
        <v/>
      </c>
      <c r="P176" s="169" t="str">
        <f>IF(A176="","",ROUND(SUMIFS(aditivos!$L$2:$L$200,aditivos!$A$2:$A$200,A176,aditivos!$C$2:$C$200,"C3"),2))</f>
        <v/>
      </c>
      <c r="Q176" s="165" t="str">
        <f t="shared" si="96"/>
        <v/>
      </c>
      <c r="R176" s="165" t="str">
        <f>IF(A176="","",IF(itens_Remanesc!I176="","",itens_Remanesc!I176))</f>
        <v/>
      </c>
      <c r="S176" s="171" t="str">
        <f t="shared" si="97"/>
        <v/>
      </c>
      <c r="T176" s="163" t="str">
        <f>IF(A176="","",ROUND(SUMIFS(aditivos!$L$2:$L$200,aditivos!$A$2:$A$200,A176,aditivos!$C$2:$C$200,"C4"),2))</f>
        <v/>
      </c>
      <c r="U176" s="159" t="str">
        <f t="shared" si="98"/>
        <v/>
      </c>
      <c r="V176" s="159" t="str">
        <f>IF(A176="","",IF(itens_Remanesc!K176="","",itens_Remanesc!K176))</f>
        <v/>
      </c>
      <c r="W176" s="159" t="str">
        <f t="shared" si="99"/>
        <v/>
      </c>
      <c r="X176" s="146" t="str">
        <f>IF(A176="","",IF(COUNTIF($A$2:$A$200,A176)&gt;1,"ALERTA: ITEM_DUPLICADO",IF(AND($Z176,ISNUMBER(itens_Remanesc!B176),itens_Remanesc!B176&lt;&gt;0),"NOVO ITEM COM BASE DIFERENTE DE 0 - AJUSTAR itens_Remanesc",IF(AND($Z176,NOT(ISNUMBER(itens_Remanesc!C176))),"NOVO ITEM SEM VU_ORIGINAL - INFORMAR EM itens_Remanesc",IF(MIN(E176,I176,M176,Q176,U176,G176,K176,O176,S176,W176)&lt;0,"ALERTA: POSICAO_NEGATIVA",IF(OR(AND(G176&lt;&gt;"",G176&gt;E176),AND(K176&lt;&gt;"",K176&gt;I176),AND(O176&lt;&gt;"",O176&gt;M176),AND(S176&lt;&gt;"",S176&gt;Q176),AND(W176&lt;&gt;"",W176&gt;U176)),"ALERTA: REMANESCENTE_SUPERA_POSICAO","OK"))))))</f>
        <v/>
      </c>
      <c r="Y176" t="str">
        <f t="shared" si="100"/>
        <v/>
      </c>
      <c r="Z176" t="b">
        <f t="shared" si="101"/>
        <v>0</v>
      </c>
      <c r="AA176" s="208" t="str">
        <f>IF($A176="","",IF(COUNTIFS(aditivos!$A$2:$A$200,$A176,aditivos!$L$2:$L$200,"&lt;&gt;",aditivos!$L$2:$L$200,"&lt;&gt;0",aditivos!$B$2:$B$200,"&gt;0")=0,"",IFERROR(_xlfn.MINIFS(aditivos!$B$2:$B$200,aditivos!$A$2:$A$200,$A176,aditivos!$L$2:$L$200,"&lt;&gt;",aditivos!$L$2:$L$200,"&lt;&gt;0",aditivos!$B$2:$B$200,"&gt;0"),"")))</f>
        <v/>
      </c>
      <c r="AB176" t="str">
        <f>IF($A176="","",IF(OR(parametros!$C$2="",parametros!$I$2=""),0,ROUND(SUMIFS(aditivos!$L$2:$L$200,aditivos!$A$2:$A$200,$A176,aditivos!$C$2:$C$200,"C0",aditivos!$B$2:$B$200,"&gt;="&amp;(INT(parametros!$I$2)+1)),2)))</f>
        <v/>
      </c>
      <c r="AC176" t="str">
        <f>IF($A176="","",IF(OR(parametros!$C$3="",parametros!$I$3=""),0,ROUND(SUMIFS(aditivos!$L$2:$L$200,aditivos!$A$2:$A$200,$A176,aditivos!$C$2:$C$200,"C1",aditivos!$B$2:$B$200,"&gt;="&amp;(INT(parametros!$I$3)+1)),2)))</f>
        <v/>
      </c>
      <c r="AD176" t="str">
        <f>IF($A176="","",IF(OR(parametros!$C$4="",parametros!$I$4=""),0,ROUND(SUMIFS(aditivos!$L$2:$L$200,aditivos!$A$2:$A$200,$A176,aditivos!$C$2:$C$200,"C2",aditivos!$B$2:$B$200,"&gt;="&amp;(INT(parametros!$I$4)+1)),2)))</f>
        <v/>
      </c>
      <c r="AE176" t="str">
        <f>IF($A176="","",IF(OR(parametros!$C$5="",parametros!$I$5=""),0,ROUND(SUMIFS(aditivos!$L$2:$L$200,aditivos!$A$2:$A$200,$A176,aditivos!$C$2:$C$200,"C3",aditivos!$B$2:$B$200,"&gt;="&amp;(INT(parametros!$I$5)+1)),2)))</f>
        <v/>
      </c>
      <c r="AF176" t="str">
        <f>IF($A176="","",IF(OR(parametros!$C$6="",parametros!$I$6=""),0,ROUND(SUMIFS(aditivos!$L$2:$L$200,aditivos!$A$2:$A$200,$A176,aditivos!$C$2:$C$200,"C4",aditivos!$B$2:$B$200,"&gt;="&amp;(INT(parametros!$I$6)+1)),2)))</f>
        <v/>
      </c>
      <c r="AG176" t="str">
        <f t="shared" si="102"/>
        <v/>
      </c>
      <c r="AH176" t="str">
        <f t="shared" si="103"/>
        <v/>
      </c>
      <c r="AI176" t="str">
        <f t="shared" si="104"/>
        <v/>
      </c>
      <c r="AJ176" t="str">
        <f t="shared" si="105"/>
        <v/>
      </c>
      <c r="AK176" t="str">
        <f t="shared" si="106"/>
        <v/>
      </c>
      <c r="AL176" t="str">
        <f t="shared" si="107"/>
        <v/>
      </c>
    </row>
    <row r="177" spans="1:38" x14ac:dyDescent="0.35">
      <c r="A177" s="146" t="str">
        <f>IF(itens_Remanesc!A177="","",itens_Remanesc!A177)</f>
        <v/>
      </c>
      <c r="B177" s="196" t="str">
        <f>IF(A177="","",itens_Remanesc!C177)</f>
        <v/>
      </c>
      <c r="C177" s="161" t="str">
        <f>IF(A177="","",IF(itens_Remanesc!B177="",0,itens_Remanesc!B177))</f>
        <v/>
      </c>
      <c r="D177" s="163" t="str">
        <f>IF(A177="","",ROUND(SUMIFS(aditivos!$L$2:$L$200,aditivos!$A$2:$A$200,A177,aditivos!$C$2:$C$200,"C0"),2))</f>
        <v/>
      </c>
      <c r="E177" s="159" t="str">
        <f t="shared" si="90"/>
        <v/>
      </c>
      <c r="F177" s="159" t="str">
        <f>IF(A177="","",IF(itens_Remanesc!B177&lt;&gt;"",itens_Remanesc!B177,IF($Z177,0,"")))</f>
        <v/>
      </c>
      <c r="G177" s="167" t="str">
        <f t="shared" si="91"/>
        <v/>
      </c>
      <c r="H177" s="169" t="str">
        <f>IF(A177="","",ROUND(SUMIFS(aditivos!$L$2:$L$200,aditivos!$A$2:$A$200,A177,aditivos!$C$2:$C$200,"C1"),2))</f>
        <v/>
      </c>
      <c r="I177" s="165" t="str">
        <f t="shared" si="92"/>
        <v/>
      </c>
      <c r="J177" s="165" t="str">
        <f>IF(A177="","",IF(itens_Remanesc!E177="","",itens_Remanesc!E177))</f>
        <v/>
      </c>
      <c r="K177" s="171" t="str">
        <f t="shared" si="93"/>
        <v/>
      </c>
      <c r="L177" s="163" t="str">
        <f>IF(A177="","",ROUND(SUMIFS(aditivos!$L$2:$L$200,aditivos!$A$2:$A$200,A177,aditivos!$C$2:$C$200,"C2"),2))</f>
        <v/>
      </c>
      <c r="M177" s="159" t="str">
        <f t="shared" si="94"/>
        <v/>
      </c>
      <c r="N177" s="159" t="str">
        <f>IF(A177="","",IF(itens_Remanesc!G177="","",itens_Remanesc!G177))</f>
        <v/>
      </c>
      <c r="O177" s="167" t="str">
        <f t="shared" si="95"/>
        <v/>
      </c>
      <c r="P177" s="169" t="str">
        <f>IF(A177="","",ROUND(SUMIFS(aditivos!$L$2:$L$200,aditivos!$A$2:$A$200,A177,aditivos!$C$2:$C$200,"C3"),2))</f>
        <v/>
      </c>
      <c r="Q177" s="165" t="str">
        <f t="shared" si="96"/>
        <v/>
      </c>
      <c r="R177" s="165" t="str">
        <f>IF(A177="","",IF(itens_Remanesc!I177="","",itens_Remanesc!I177))</f>
        <v/>
      </c>
      <c r="S177" s="171" t="str">
        <f t="shared" si="97"/>
        <v/>
      </c>
      <c r="T177" s="163" t="str">
        <f>IF(A177="","",ROUND(SUMIFS(aditivos!$L$2:$L$200,aditivos!$A$2:$A$200,A177,aditivos!$C$2:$C$200,"C4"),2))</f>
        <v/>
      </c>
      <c r="U177" s="159" t="str">
        <f t="shared" si="98"/>
        <v/>
      </c>
      <c r="V177" s="159" t="str">
        <f>IF(A177="","",IF(itens_Remanesc!K177="","",itens_Remanesc!K177))</f>
        <v/>
      </c>
      <c r="W177" s="159" t="str">
        <f t="shared" si="99"/>
        <v/>
      </c>
      <c r="X177" s="146" t="str">
        <f>IF(A177="","",IF(COUNTIF($A$2:$A$200,A177)&gt;1,"ALERTA: ITEM_DUPLICADO",IF(AND($Z177,ISNUMBER(itens_Remanesc!B177),itens_Remanesc!B177&lt;&gt;0),"NOVO ITEM COM BASE DIFERENTE DE 0 - AJUSTAR itens_Remanesc",IF(AND($Z177,NOT(ISNUMBER(itens_Remanesc!C177))),"NOVO ITEM SEM VU_ORIGINAL - INFORMAR EM itens_Remanesc",IF(MIN(E177,I177,M177,Q177,U177,G177,K177,O177,S177,W177)&lt;0,"ALERTA: POSICAO_NEGATIVA",IF(OR(AND(G177&lt;&gt;"",G177&gt;E177),AND(K177&lt;&gt;"",K177&gt;I177),AND(O177&lt;&gt;"",O177&gt;M177),AND(S177&lt;&gt;"",S177&gt;Q177),AND(W177&lt;&gt;"",W177&gt;U177)),"ALERTA: REMANESCENTE_SUPERA_POSICAO","OK"))))))</f>
        <v/>
      </c>
      <c r="Y177" t="str">
        <f t="shared" si="100"/>
        <v/>
      </c>
      <c r="Z177" t="b">
        <f t="shared" si="101"/>
        <v>0</v>
      </c>
      <c r="AA177" s="208" t="str">
        <f>IF($A177="","",IF(COUNTIFS(aditivos!$A$2:$A$200,$A177,aditivos!$L$2:$L$200,"&lt;&gt;",aditivos!$L$2:$L$200,"&lt;&gt;0",aditivos!$B$2:$B$200,"&gt;0")=0,"",IFERROR(_xlfn.MINIFS(aditivos!$B$2:$B$200,aditivos!$A$2:$A$200,$A177,aditivos!$L$2:$L$200,"&lt;&gt;",aditivos!$L$2:$L$200,"&lt;&gt;0",aditivos!$B$2:$B$200,"&gt;0"),"")))</f>
        <v/>
      </c>
      <c r="AB177" t="str">
        <f>IF($A177="","",IF(OR(parametros!$C$2="",parametros!$I$2=""),0,ROUND(SUMIFS(aditivos!$L$2:$L$200,aditivos!$A$2:$A$200,$A177,aditivos!$C$2:$C$200,"C0",aditivos!$B$2:$B$200,"&gt;="&amp;(INT(parametros!$I$2)+1)),2)))</f>
        <v/>
      </c>
      <c r="AC177" t="str">
        <f>IF($A177="","",IF(OR(parametros!$C$3="",parametros!$I$3=""),0,ROUND(SUMIFS(aditivos!$L$2:$L$200,aditivos!$A$2:$A$200,$A177,aditivos!$C$2:$C$200,"C1",aditivos!$B$2:$B$200,"&gt;="&amp;(INT(parametros!$I$3)+1)),2)))</f>
        <v/>
      </c>
      <c r="AD177" t="str">
        <f>IF($A177="","",IF(OR(parametros!$C$4="",parametros!$I$4=""),0,ROUND(SUMIFS(aditivos!$L$2:$L$200,aditivos!$A$2:$A$200,$A177,aditivos!$C$2:$C$200,"C2",aditivos!$B$2:$B$200,"&gt;="&amp;(INT(parametros!$I$4)+1)),2)))</f>
        <v/>
      </c>
      <c r="AE177" t="str">
        <f>IF($A177="","",IF(OR(parametros!$C$5="",parametros!$I$5=""),0,ROUND(SUMIFS(aditivos!$L$2:$L$200,aditivos!$A$2:$A$200,$A177,aditivos!$C$2:$C$200,"C3",aditivos!$B$2:$B$200,"&gt;="&amp;(INT(parametros!$I$5)+1)),2)))</f>
        <v/>
      </c>
      <c r="AF177" t="str">
        <f>IF($A177="","",IF(OR(parametros!$C$6="",parametros!$I$6=""),0,ROUND(SUMIFS(aditivos!$L$2:$L$200,aditivos!$A$2:$A$200,$A177,aditivos!$C$2:$C$200,"C4",aditivos!$B$2:$B$200,"&gt;="&amp;(INT(parametros!$I$6)+1)),2)))</f>
        <v/>
      </c>
      <c r="AG177" t="str">
        <f t="shared" si="102"/>
        <v/>
      </c>
      <c r="AH177" t="str">
        <f t="shared" si="103"/>
        <v/>
      </c>
      <c r="AI177" t="str">
        <f t="shared" si="104"/>
        <v/>
      </c>
      <c r="AJ177" t="str">
        <f t="shared" si="105"/>
        <v/>
      </c>
      <c r="AK177" t="str">
        <f t="shared" si="106"/>
        <v/>
      </c>
      <c r="AL177" t="str">
        <f t="shared" si="107"/>
        <v/>
      </c>
    </row>
    <row r="178" spans="1:38" x14ac:dyDescent="0.35">
      <c r="A178" s="146" t="str">
        <f>IF(itens_Remanesc!A178="","",itens_Remanesc!A178)</f>
        <v/>
      </c>
      <c r="B178" s="196" t="str">
        <f>IF(A178="","",itens_Remanesc!C178)</f>
        <v/>
      </c>
      <c r="C178" s="161" t="str">
        <f>IF(A178="","",IF(itens_Remanesc!B178="",0,itens_Remanesc!B178))</f>
        <v/>
      </c>
      <c r="D178" s="163" t="str">
        <f>IF(A178="","",ROUND(SUMIFS(aditivos!$L$2:$L$200,aditivos!$A$2:$A$200,A178,aditivos!$C$2:$C$200,"C0"),2))</f>
        <v/>
      </c>
      <c r="E178" s="159" t="str">
        <f t="shared" si="90"/>
        <v/>
      </c>
      <c r="F178" s="159" t="str">
        <f>IF(A178="","",IF(itens_Remanesc!B178&lt;&gt;"",itens_Remanesc!B178,IF($Z178,0,"")))</f>
        <v/>
      </c>
      <c r="G178" s="167" t="str">
        <f t="shared" si="91"/>
        <v/>
      </c>
      <c r="H178" s="169" t="str">
        <f>IF(A178="","",ROUND(SUMIFS(aditivos!$L$2:$L$200,aditivos!$A$2:$A$200,A178,aditivos!$C$2:$C$200,"C1"),2))</f>
        <v/>
      </c>
      <c r="I178" s="165" t="str">
        <f t="shared" si="92"/>
        <v/>
      </c>
      <c r="J178" s="165" t="str">
        <f>IF(A178="","",IF(itens_Remanesc!E178="","",itens_Remanesc!E178))</f>
        <v/>
      </c>
      <c r="K178" s="171" t="str">
        <f t="shared" si="93"/>
        <v/>
      </c>
      <c r="L178" s="163" t="str">
        <f>IF(A178="","",ROUND(SUMIFS(aditivos!$L$2:$L$200,aditivos!$A$2:$A$200,A178,aditivos!$C$2:$C$200,"C2"),2))</f>
        <v/>
      </c>
      <c r="M178" s="159" t="str">
        <f t="shared" si="94"/>
        <v/>
      </c>
      <c r="N178" s="159" t="str">
        <f>IF(A178="","",IF(itens_Remanesc!G178="","",itens_Remanesc!G178))</f>
        <v/>
      </c>
      <c r="O178" s="167" t="str">
        <f t="shared" si="95"/>
        <v/>
      </c>
      <c r="P178" s="169" t="str">
        <f>IF(A178="","",ROUND(SUMIFS(aditivos!$L$2:$L$200,aditivos!$A$2:$A$200,A178,aditivos!$C$2:$C$200,"C3"),2))</f>
        <v/>
      </c>
      <c r="Q178" s="165" t="str">
        <f t="shared" si="96"/>
        <v/>
      </c>
      <c r="R178" s="165" t="str">
        <f>IF(A178="","",IF(itens_Remanesc!I178="","",itens_Remanesc!I178))</f>
        <v/>
      </c>
      <c r="S178" s="171" t="str">
        <f t="shared" si="97"/>
        <v/>
      </c>
      <c r="T178" s="163" t="str">
        <f>IF(A178="","",ROUND(SUMIFS(aditivos!$L$2:$L$200,aditivos!$A$2:$A$200,A178,aditivos!$C$2:$C$200,"C4"),2))</f>
        <v/>
      </c>
      <c r="U178" s="159" t="str">
        <f t="shared" si="98"/>
        <v/>
      </c>
      <c r="V178" s="159" t="str">
        <f>IF(A178="","",IF(itens_Remanesc!K178="","",itens_Remanesc!K178))</f>
        <v/>
      </c>
      <c r="W178" s="159" t="str">
        <f t="shared" si="99"/>
        <v/>
      </c>
      <c r="X178" s="146" t="str">
        <f>IF(A178="","",IF(COUNTIF($A$2:$A$200,A178)&gt;1,"ALERTA: ITEM_DUPLICADO",IF(AND($Z178,ISNUMBER(itens_Remanesc!B178),itens_Remanesc!B178&lt;&gt;0),"NOVO ITEM COM BASE DIFERENTE DE 0 - AJUSTAR itens_Remanesc",IF(AND($Z178,NOT(ISNUMBER(itens_Remanesc!C178))),"NOVO ITEM SEM VU_ORIGINAL - INFORMAR EM itens_Remanesc",IF(MIN(E178,I178,M178,Q178,U178,G178,K178,O178,S178,W178)&lt;0,"ALERTA: POSICAO_NEGATIVA",IF(OR(AND(G178&lt;&gt;"",G178&gt;E178),AND(K178&lt;&gt;"",K178&gt;I178),AND(O178&lt;&gt;"",O178&gt;M178),AND(S178&lt;&gt;"",S178&gt;Q178),AND(W178&lt;&gt;"",W178&gt;U178)),"ALERTA: REMANESCENTE_SUPERA_POSICAO","OK"))))))</f>
        <v/>
      </c>
      <c r="Y178" t="str">
        <f t="shared" si="100"/>
        <v/>
      </c>
      <c r="Z178" t="b">
        <f t="shared" si="101"/>
        <v>0</v>
      </c>
      <c r="AA178" s="208" t="str">
        <f>IF($A178="","",IF(COUNTIFS(aditivos!$A$2:$A$200,$A178,aditivos!$L$2:$L$200,"&lt;&gt;",aditivos!$L$2:$L$200,"&lt;&gt;0",aditivos!$B$2:$B$200,"&gt;0")=0,"",IFERROR(_xlfn.MINIFS(aditivos!$B$2:$B$200,aditivos!$A$2:$A$200,$A178,aditivos!$L$2:$L$200,"&lt;&gt;",aditivos!$L$2:$L$200,"&lt;&gt;0",aditivos!$B$2:$B$200,"&gt;0"),"")))</f>
        <v/>
      </c>
      <c r="AB178" t="str">
        <f>IF($A178="","",IF(OR(parametros!$C$2="",parametros!$I$2=""),0,ROUND(SUMIFS(aditivos!$L$2:$L$200,aditivos!$A$2:$A$200,$A178,aditivos!$C$2:$C$200,"C0",aditivos!$B$2:$B$200,"&gt;="&amp;(INT(parametros!$I$2)+1)),2)))</f>
        <v/>
      </c>
      <c r="AC178" t="str">
        <f>IF($A178="","",IF(OR(parametros!$C$3="",parametros!$I$3=""),0,ROUND(SUMIFS(aditivos!$L$2:$L$200,aditivos!$A$2:$A$200,$A178,aditivos!$C$2:$C$200,"C1",aditivos!$B$2:$B$200,"&gt;="&amp;(INT(parametros!$I$3)+1)),2)))</f>
        <v/>
      </c>
      <c r="AD178" t="str">
        <f>IF($A178="","",IF(OR(parametros!$C$4="",parametros!$I$4=""),0,ROUND(SUMIFS(aditivos!$L$2:$L$200,aditivos!$A$2:$A$200,$A178,aditivos!$C$2:$C$200,"C2",aditivos!$B$2:$B$200,"&gt;="&amp;(INT(parametros!$I$4)+1)),2)))</f>
        <v/>
      </c>
      <c r="AE178" t="str">
        <f>IF($A178="","",IF(OR(parametros!$C$5="",parametros!$I$5=""),0,ROUND(SUMIFS(aditivos!$L$2:$L$200,aditivos!$A$2:$A$200,$A178,aditivos!$C$2:$C$200,"C3",aditivos!$B$2:$B$200,"&gt;="&amp;(INT(parametros!$I$5)+1)),2)))</f>
        <v/>
      </c>
      <c r="AF178" t="str">
        <f>IF($A178="","",IF(OR(parametros!$C$6="",parametros!$I$6=""),0,ROUND(SUMIFS(aditivos!$L$2:$L$200,aditivos!$A$2:$A$200,$A178,aditivos!$C$2:$C$200,"C4",aditivos!$B$2:$B$200,"&gt;="&amp;(INT(parametros!$I$6)+1)),2)))</f>
        <v/>
      </c>
      <c r="AG178" t="str">
        <f t="shared" si="102"/>
        <v/>
      </c>
      <c r="AH178" t="str">
        <f t="shared" si="103"/>
        <v/>
      </c>
      <c r="AI178" t="str">
        <f t="shared" si="104"/>
        <v/>
      </c>
      <c r="AJ178" t="str">
        <f t="shared" si="105"/>
        <v/>
      </c>
      <c r="AK178" t="str">
        <f t="shared" si="106"/>
        <v/>
      </c>
      <c r="AL178" t="str">
        <f t="shared" si="107"/>
        <v/>
      </c>
    </row>
    <row r="179" spans="1:38" x14ac:dyDescent="0.35">
      <c r="A179" s="146" t="str">
        <f>IF(itens_Remanesc!A179="","",itens_Remanesc!A179)</f>
        <v/>
      </c>
      <c r="B179" s="196" t="str">
        <f>IF(A179="","",itens_Remanesc!C179)</f>
        <v/>
      </c>
      <c r="C179" s="161" t="str">
        <f>IF(A179="","",IF(itens_Remanesc!B179="",0,itens_Remanesc!B179))</f>
        <v/>
      </c>
      <c r="D179" s="163" t="str">
        <f>IF(A179="","",ROUND(SUMIFS(aditivos!$L$2:$L$200,aditivos!$A$2:$A$200,A179,aditivos!$C$2:$C$200,"C0"),2))</f>
        <v/>
      </c>
      <c r="E179" s="159" t="str">
        <f t="shared" si="90"/>
        <v/>
      </c>
      <c r="F179" s="159" t="str">
        <f>IF(A179="","",IF(itens_Remanesc!B179&lt;&gt;"",itens_Remanesc!B179,IF($Z179,0,"")))</f>
        <v/>
      </c>
      <c r="G179" s="167" t="str">
        <f t="shared" si="91"/>
        <v/>
      </c>
      <c r="H179" s="169" t="str">
        <f>IF(A179="","",ROUND(SUMIFS(aditivos!$L$2:$L$200,aditivos!$A$2:$A$200,A179,aditivos!$C$2:$C$200,"C1"),2))</f>
        <v/>
      </c>
      <c r="I179" s="165" t="str">
        <f t="shared" si="92"/>
        <v/>
      </c>
      <c r="J179" s="165" t="str">
        <f>IF(A179="","",IF(itens_Remanesc!E179="","",itens_Remanesc!E179))</f>
        <v/>
      </c>
      <c r="K179" s="171" t="str">
        <f t="shared" si="93"/>
        <v/>
      </c>
      <c r="L179" s="163" t="str">
        <f>IF(A179="","",ROUND(SUMIFS(aditivos!$L$2:$L$200,aditivos!$A$2:$A$200,A179,aditivos!$C$2:$C$200,"C2"),2))</f>
        <v/>
      </c>
      <c r="M179" s="159" t="str">
        <f t="shared" si="94"/>
        <v/>
      </c>
      <c r="N179" s="159" t="str">
        <f>IF(A179="","",IF(itens_Remanesc!G179="","",itens_Remanesc!G179))</f>
        <v/>
      </c>
      <c r="O179" s="167" t="str">
        <f t="shared" si="95"/>
        <v/>
      </c>
      <c r="P179" s="169" t="str">
        <f>IF(A179="","",ROUND(SUMIFS(aditivos!$L$2:$L$200,aditivos!$A$2:$A$200,A179,aditivos!$C$2:$C$200,"C3"),2))</f>
        <v/>
      </c>
      <c r="Q179" s="165" t="str">
        <f t="shared" si="96"/>
        <v/>
      </c>
      <c r="R179" s="165" t="str">
        <f>IF(A179="","",IF(itens_Remanesc!I179="","",itens_Remanesc!I179))</f>
        <v/>
      </c>
      <c r="S179" s="171" t="str">
        <f t="shared" si="97"/>
        <v/>
      </c>
      <c r="T179" s="163" t="str">
        <f>IF(A179="","",ROUND(SUMIFS(aditivos!$L$2:$L$200,aditivos!$A$2:$A$200,A179,aditivos!$C$2:$C$200,"C4"),2))</f>
        <v/>
      </c>
      <c r="U179" s="159" t="str">
        <f t="shared" si="98"/>
        <v/>
      </c>
      <c r="V179" s="159" t="str">
        <f>IF(A179="","",IF(itens_Remanesc!K179="","",itens_Remanesc!K179))</f>
        <v/>
      </c>
      <c r="W179" s="159" t="str">
        <f t="shared" si="99"/>
        <v/>
      </c>
      <c r="X179" s="146" t="str">
        <f>IF(A179="","",IF(COUNTIF($A$2:$A$200,A179)&gt;1,"ALERTA: ITEM_DUPLICADO",IF(AND($Z179,ISNUMBER(itens_Remanesc!B179),itens_Remanesc!B179&lt;&gt;0),"NOVO ITEM COM BASE DIFERENTE DE 0 - AJUSTAR itens_Remanesc",IF(AND($Z179,NOT(ISNUMBER(itens_Remanesc!C179))),"NOVO ITEM SEM VU_ORIGINAL - INFORMAR EM itens_Remanesc",IF(MIN(E179,I179,M179,Q179,U179,G179,K179,O179,S179,W179)&lt;0,"ALERTA: POSICAO_NEGATIVA",IF(OR(AND(G179&lt;&gt;"",G179&gt;E179),AND(K179&lt;&gt;"",K179&gt;I179),AND(O179&lt;&gt;"",O179&gt;M179),AND(S179&lt;&gt;"",S179&gt;Q179),AND(W179&lt;&gt;"",W179&gt;U179)),"ALERTA: REMANESCENTE_SUPERA_POSICAO","OK"))))))</f>
        <v/>
      </c>
      <c r="Y179" t="str">
        <f t="shared" si="100"/>
        <v/>
      </c>
      <c r="Z179" t="b">
        <f t="shared" si="101"/>
        <v>0</v>
      </c>
      <c r="AA179" s="208" t="str">
        <f>IF($A179="","",IF(COUNTIFS(aditivos!$A$2:$A$200,$A179,aditivos!$L$2:$L$200,"&lt;&gt;",aditivos!$L$2:$L$200,"&lt;&gt;0",aditivos!$B$2:$B$200,"&gt;0")=0,"",IFERROR(_xlfn.MINIFS(aditivos!$B$2:$B$200,aditivos!$A$2:$A$200,$A179,aditivos!$L$2:$L$200,"&lt;&gt;",aditivos!$L$2:$L$200,"&lt;&gt;0",aditivos!$B$2:$B$200,"&gt;0"),"")))</f>
        <v/>
      </c>
      <c r="AB179" t="str">
        <f>IF($A179="","",IF(OR(parametros!$C$2="",parametros!$I$2=""),0,ROUND(SUMIFS(aditivos!$L$2:$L$200,aditivos!$A$2:$A$200,$A179,aditivos!$C$2:$C$200,"C0",aditivos!$B$2:$B$200,"&gt;="&amp;(INT(parametros!$I$2)+1)),2)))</f>
        <v/>
      </c>
      <c r="AC179" t="str">
        <f>IF($A179="","",IF(OR(parametros!$C$3="",parametros!$I$3=""),0,ROUND(SUMIFS(aditivos!$L$2:$L$200,aditivos!$A$2:$A$200,$A179,aditivos!$C$2:$C$200,"C1",aditivos!$B$2:$B$200,"&gt;="&amp;(INT(parametros!$I$3)+1)),2)))</f>
        <v/>
      </c>
      <c r="AD179" t="str">
        <f>IF($A179="","",IF(OR(parametros!$C$4="",parametros!$I$4=""),0,ROUND(SUMIFS(aditivos!$L$2:$L$200,aditivos!$A$2:$A$200,$A179,aditivos!$C$2:$C$200,"C2",aditivos!$B$2:$B$200,"&gt;="&amp;(INT(parametros!$I$4)+1)),2)))</f>
        <v/>
      </c>
      <c r="AE179" t="str">
        <f>IF($A179="","",IF(OR(parametros!$C$5="",parametros!$I$5=""),0,ROUND(SUMIFS(aditivos!$L$2:$L$200,aditivos!$A$2:$A$200,$A179,aditivos!$C$2:$C$200,"C3",aditivos!$B$2:$B$200,"&gt;="&amp;(INT(parametros!$I$5)+1)),2)))</f>
        <v/>
      </c>
      <c r="AF179" t="str">
        <f>IF($A179="","",IF(OR(parametros!$C$6="",parametros!$I$6=""),0,ROUND(SUMIFS(aditivos!$L$2:$L$200,aditivos!$A$2:$A$200,$A179,aditivos!$C$2:$C$200,"C4",aditivos!$B$2:$B$200,"&gt;="&amp;(INT(parametros!$I$6)+1)),2)))</f>
        <v/>
      </c>
      <c r="AG179" t="str">
        <f t="shared" si="102"/>
        <v/>
      </c>
      <c r="AH179" t="str">
        <f t="shared" si="103"/>
        <v/>
      </c>
      <c r="AI179" t="str">
        <f t="shared" si="104"/>
        <v/>
      </c>
      <c r="AJ179" t="str">
        <f t="shared" si="105"/>
        <v/>
      </c>
      <c r="AK179" t="str">
        <f t="shared" si="106"/>
        <v/>
      </c>
      <c r="AL179" t="str">
        <f t="shared" si="107"/>
        <v/>
      </c>
    </row>
    <row r="180" spans="1:38" x14ac:dyDescent="0.35">
      <c r="A180" s="146" t="str">
        <f>IF(itens_Remanesc!A180="","",itens_Remanesc!A180)</f>
        <v/>
      </c>
      <c r="B180" s="196" t="str">
        <f>IF(A180="","",itens_Remanesc!C180)</f>
        <v/>
      </c>
      <c r="C180" s="161" t="str">
        <f>IF(A180="","",IF(itens_Remanesc!B180="",0,itens_Remanesc!B180))</f>
        <v/>
      </c>
      <c r="D180" s="163" t="str">
        <f>IF(A180="","",ROUND(SUMIFS(aditivos!$L$2:$L$200,aditivos!$A$2:$A$200,A180,aditivos!$C$2:$C$200,"C0"),2))</f>
        <v/>
      </c>
      <c r="E180" s="159" t="str">
        <f t="shared" si="90"/>
        <v/>
      </c>
      <c r="F180" s="159" t="str">
        <f>IF(A180="","",IF(itens_Remanesc!B180&lt;&gt;"",itens_Remanesc!B180,IF($Z180,0,"")))</f>
        <v/>
      </c>
      <c r="G180" s="167" t="str">
        <f t="shared" si="91"/>
        <v/>
      </c>
      <c r="H180" s="169" t="str">
        <f>IF(A180="","",ROUND(SUMIFS(aditivos!$L$2:$L$200,aditivos!$A$2:$A$200,A180,aditivos!$C$2:$C$200,"C1"),2))</f>
        <v/>
      </c>
      <c r="I180" s="165" t="str">
        <f t="shared" si="92"/>
        <v/>
      </c>
      <c r="J180" s="165" t="str">
        <f>IF(A180="","",IF(itens_Remanesc!E180="","",itens_Remanesc!E180))</f>
        <v/>
      </c>
      <c r="K180" s="171" t="str">
        <f t="shared" si="93"/>
        <v/>
      </c>
      <c r="L180" s="163" t="str">
        <f>IF(A180="","",ROUND(SUMIFS(aditivos!$L$2:$L$200,aditivos!$A$2:$A$200,A180,aditivos!$C$2:$C$200,"C2"),2))</f>
        <v/>
      </c>
      <c r="M180" s="159" t="str">
        <f t="shared" si="94"/>
        <v/>
      </c>
      <c r="N180" s="159" t="str">
        <f>IF(A180="","",IF(itens_Remanesc!G180="","",itens_Remanesc!G180))</f>
        <v/>
      </c>
      <c r="O180" s="167" t="str">
        <f t="shared" si="95"/>
        <v/>
      </c>
      <c r="P180" s="169" t="str">
        <f>IF(A180="","",ROUND(SUMIFS(aditivos!$L$2:$L$200,aditivos!$A$2:$A$200,A180,aditivos!$C$2:$C$200,"C3"),2))</f>
        <v/>
      </c>
      <c r="Q180" s="165" t="str">
        <f t="shared" si="96"/>
        <v/>
      </c>
      <c r="R180" s="165" t="str">
        <f>IF(A180="","",IF(itens_Remanesc!I180="","",itens_Remanesc!I180))</f>
        <v/>
      </c>
      <c r="S180" s="171" t="str">
        <f t="shared" si="97"/>
        <v/>
      </c>
      <c r="T180" s="163" t="str">
        <f>IF(A180="","",ROUND(SUMIFS(aditivos!$L$2:$L$200,aditivos!$A$2:$A$200,A180,aditivos!$C$2:$C$200,"C4"),2))</f>
        <v/>
      </c>
      <c r="U180" s="159" t="str">
        <f t="shared" si="98"/>
        <v/>
      </c>
      <c r="V180" s="159" t="str">
        <f>IF(A180="","",IF(itens_Remanesc!K180="","",itens_Remanesc!K180))</f>
        <v/>
      </c>
      <c r="W180" s="159" t="str">
        <f t="shared" si="99"/>
        <v/>
      </c>
      <c r="X180" s="146" t="str">
        <f>IF(A180="","",IF(COUNTIF($A$2:$A$200,A180)&gt;1,"ALERTA: ITEM_DUPLICADO",IF(AND($Z180,ISNUMBER(itens_Remanesc!B180),itens_Remanesc!B180&lt;&gt;0),"NOVO ITEM COM BASE DIFERENTE DE 0 - AJUSTAR itens_Remanesc",IF(AND($Z180,NOT(ISNUMBER(itens_Remanesc!C180))),"NOVO ITEM SEM VU_ORIGINAL - INFORMAR EM itens_Remanesc",IF(MIN(E180,I180,M180,Q180,U180,G180,K180,O180,S180,W180)&lt;0,"ALERTA: POSICAO_NEGATIVA",IF(OR(AND(G180&lt;&gt;"",G180&gt;E180),AND(K180&lt;&gt;"",K180&gt;I180),AND(O180&lt;&gt;"",O180&gt;M180),AND(S180&lt;&gt;"",S180&gt;Q180),AND(W180&lt;&gt;"",W180&gt;U180)),"ALERTA: REMANESCENTE_SUPERA_POSICAO","OK"))))))</f>
        <v/>
      </c>
      <c r="Y180" t="str">
        <f t="shared" si="100"/>
        <v/>
      </c>
      <c r="Z180" t="b">
        <f t="shared" si="101"/>
        <v>0</v>
      </c>
      <c r="AA180" s="208" t="str">
        <f>IF($A180="","",IF(COUNTIFS(aditivos!$A$2:$A$200,$A180,aditivos!$L$2:$L$200,"&lt;&gt;",aditivos!$L$2:$L$200,"&lt;&gt;0",aditivos!$B$2:$B$200,"&gt;0")=0,"",IFERROR(_xlfn.MINIFS(aditivos!$B$2:$B$200,aditivos!$A$2:$A$200,$A180,aditivos!$L$2:$L$200,"&lt;&gt;",aditivos!$L$2:$L$200,"&lt;&gt;0",aditivos!$B$2:$B$200,"&gt;0"),"")))</f>
        <v/>
      </c>
      <c r="AB180" t="str">
        <f>IF($A180="","",IF(OR(parametros!$C$2="",parametros!$I$2=""),0,ROUND(SUMIFS(aditivos!$L$2:$L$200,aditivos!$A$2:$A$200,$A180,aditivos!$C$2:$C$200,"C0",aditivos!$B$2:$B$200,"&gt;="&amp;(INT(parametros!$I$2)+1)),2)))</f>
        <v/>
      </c>
      <c r="AC180" t="str">
        <f>IF($A180="","",IF(OR(parametros!$C$3="",parametros!$I$3=""),0,ROUND(SUMIFS(aditivos!$L$2:$L$200,aditivos!$A$2:$A$200,$A180,aditivos!$C$2:$C$200,"C1",aditivos!$B$2:$B$200,"&gt;="&amp;(INT(parametros!$I$3)+1)),2)))</f>
        <v/>
      </c>
      <c r="AD180" t="str">
        <f>IF($A180="","",IF(OR(parametros!$C$4="",parametros!$I$4=""),0,ROUND(SUMIFS(aditivos!$L$2:$L$200,aditivos!$A$2:$A$200,$A180,aditivos!$C$2:$C$200,"C2",aditivos!$B$2:$B$200,"&gt;="&amp;(INT(parametros!$I$4)+1)),2)))</f>
        <v/>
      </c>
      <c r="AE180" t="str">
        <f>IF($A180="","",IF(OR(parametros!$C$5="",parametros!$I$5=""),0,ROUND(SUMIFS(aditivos!$L$2:$L$200,aditivos!$A$2:$A$200,$A180,aditivos!$C$2:$C$200,"C3",aditivos!$B$2:$B$200,"&gt;="&amp;(INT(parametros!$I$5)+1)),2)))</f>
        <v/>
      </c>
      <c r="AF180" t="str">
        <f>IF($A180="","",IF(OR(parametros!$C$6="",parametros!$I$6=""),0,ROUND(SUMIFS(aditivos!$L$2:$L$200,aditivos!$A$2:$A$200,$A180,aditivos!$C$2:$C$200,"C4",aditivos!$B$2:$B$200,"&gt;="&amp;(INT(parametros!$I$6)+1)),2)))</f>
        <v/>
      </c>
      <c r="AG180" t="str">
        <f t="shared" si="102"/>
        <v/>
      </c>
      <c r="AH180" t="str">
        <f t="shared" si="103"/>
        <v/>
      </c>
      <c r="AI180" t="str">
        <f t="shared" si="104"/>
        <v/>
      </c>
      <c r="AJ180" t="str">
        <f t="shared" si="105"/>
        <v/>
      </c>
      <c r="AK180" t="str">
        <f t="shared" si="106"/>
        <v/>
      </c>
      <c r="AL180" t="str">
        <f t="shared" si="107"/>
        <v/>
      </c>
    </row>
    <row r="181" spans="1:38" x14ac:dyDescent="0.35">
      <c r="A181" s="146" t="str">
        <f>IF(itens_Remanesc!A181="","",itens_Remanesc!A181)</f>
        <v/>
      </c>
      <c r="B181" s="196" t="str">
        <f>IF(A181="","",itens_Remanesc!C181)</f>
        <v/>
      </c>
      <c r="C181" s="161" t="str">
        <f>IF(A181="","",IF(itens_Remanesc!B181="",0,itens_Remanesc!B181))</f>
        <v/>
      </c>
      <c r="D181" s="163" t="str">
        <f>IF(A181="","",ROUND(SUMIFS(aditivos!$L$2:$L$200,aditivos!$A$2:$A$200,A181,aditivos!$C$2:$C$200,"C0"),2))</f>
        <v/>
      </c>
      <c r="E181" s="159" t="str">
        <f t="shared" si="90"/>
        <v/>
      </c>
      <c r="F181" s="159" t="str">
        <f>IF(A181="","",IF(itens_Remanesc!B181&lt;&gt;"",itens_Remanesc!B181,IF($Z181,0,"")))</f>
        <v/>
      </c>
      <c r="G181" s="167" t="str">
        <f t="shared" si="91"/>
        <v/>
      </c>
      <c r="H181" s="169" t="str">
        <f>IF(A181="","",ROUND(SUMIFS(aditivos!$L$2:$L$200,aditivos!$A$2:$A$200,A181,aditivos!$C$2:$C$200,"C1"),2))</f>
        <v/>
      </c>
      <c r="I181" s="165" t="str">
        <f t="shared" si="92"/>
        <v/>
      </c>
      <c r="J181" s="165" t="str">
        <f>IF(A181="","",IF(itens_Remanesc!E181="","",itens_Remanesc!E181))</f>
        <v/>
      </c>
      <c r="K181" s="171" t="str">
        <f t="shared" si="93"/>
        <v/>
      </c>
      <c r="L181" s="163" t="str">
        <f>IF(A181="","",ROUND(SUMIFS(aditivos!$L$2:$L$200,aditivos!$A$2:$A$200,A181,aditivos!$C$2:$C$200,"C2"),2))</f>
        <v/>
      </c>
      <c r="M181" s="159" t="str">
        <f t="shared" si="94"/>
        <v/>
      </c>
      <c r="N181" s="159" t="str">
        <f>IF(A181="","",IF(itens_Remanesc!G181="","",itens_Remanesc!G181))</f>
        <v/>
      </c>
      <c r="O181" s="167" t="str">
        <f t="shared" si="95"/>
        <v/>
      </c>
      <c r="P181" s="169" t="str">
        <f>IF(A181="","",ROUND(SUMIFS(aditivos!$L$2:$L$200,aditivos!$A$2:$A$200,A181,aditivos!$C$2:$C$200,"C3"),2))</f>
        <v/>
      </c>
      <c r="Q181" s="165" t="str">
        <f t="shared" si="96"/>
        <v/>
      </c>
      <c r="R181" s="165" t="str">
        <f>IF(A181="","",IF(itens_Remanesc!I181="","",itens_Remanesc!I181))</f>
        <v/>
      </c>
      <c r="S181" s="171" t="str">
        <f t="shared" si="97"/>
        <v/>
      </c>
      <c r="T181" s="163" t="str">
        <f>IF(A181="","",ROUND(SUMIFS(aditivos!$L$2:$L$200,aditivos!$A$2:$A$200,A181,aditivos!$C$2:$C$200,"C4"),2))</f>
        <v/>
      </c>
      <c r="U181" s="159" t="str">
        <f t="shared" si="98"/>
        <v/>
      </c>
      <c r="V181" s="159" t="str">
        <f>IF(A181="","",IF(itens_Remanesc!K181="","",itens_Remanesc!K181))</f>
        <v/>
      </c>
      <c r="W181" s="159" t="str">
        <f t="shared" si="99"/>
        <v/>
      </c>
      <c r="X181" s="146" t="str">
        <f>IF(A181="","",IF(COUNTIF($A$2:$A$200,A181)&gt;1,"ALERTA: ITEM_DUPLICADO",IF(AND($Z181,ISNUMBER(itens_Remanesc!B181),itens_Remanesc!B181&lt;&gt;0),"NOVO ITEM COM BASE DIFERENTE DE 0 - AJUSTAR itens_Remanesc",IF(AND($Z181,NOT(ISNUMBER(itens_Remanesc!C181))),"NOVO ITEM SEM VU_ORIGINAL - INFORMAR EM itens_Remanesc",IF(MIN(E181,I181,M181,Q181,U181,G181,K181,O181,S181,W181)&lt;0,"ALERTA: POSICAO_NEGATIVA",IF(OR(AND(G181&lt;&gt;"",G181&gt;E181),AND(K181&lt;&gt;"",K181&gt;I181),AND(O181&lt;&gt;"",O181&gt;M181),AND(S181&lt;&gt;"",S181&gt;Q181),AND(W181&lt;&gt;"",W181&gt;U181)),"ALERTA: REMANESCENTE_SUPERA_POSICAO","OK"))))))</f>
        <v/>
      </c>
      <c r="Y181" t="str">
        <f t="shared" si="100"/>
        <v/>
      </c>
      <c r="Z181" t="b">
        <f t="shared" si="101"/>
        <v>0</v>
      </c>
      <c r="AA181" s="208" t="str">
        <f>IF($A181="","",IF(COUNTIFS(aditivos!$A$2:$A$200,$A181,aditivos!$L$2:$L$200,"&lt;&gt;",aditivos!$L$2:$L$200,"&lt;&gt;0",aditivos!$B$2:$B$200,"&gt;0")=0,"",IFERROR(_xlfn.MINIFS(aditivos!$B$2:$B$200,aditivos!$A$2:$A$200,$A181,aditivos!$L$2:$L$200,"&lt;&gt;",aditivos!$L$2:$L$200,"&lt;&gt;0",aditivos!$B$2:$B$200,"&gt;0"),"")))</f>
        <v/>
      </c>
      <c r="AB181" t="str">
        <f>IF($A181="","",IF(OR(parametros!$C$2="",parametros!$I$2=""),0,ROUND(SUMIFS(aditivos!$L$2:$L$200,aditivos!$A$2:$A$200,$A181,aditivos!$C$2:$C$200,"C0",aditivos!$B$2:$B$200,"&gt;="&amp;(INT(parametros!$I$2)+1)),2)))</f>
        <v/>
      </c>
      <c r="AC181" t="str">
        <f>IF($A181="","",IF(OR(parametros!$C$3="",parametros!$I$3=""),0,ROUND(SUMIFS(aditivos!$L$2:$L$200,aditivos!$A$2:$A$200,$A181,aditivos!$C$2:$C$200,"C1",aditivos!$B$2:$B$200,"&gt;="&amp;(INT(parametros!$I$3)+1)),2)))</f>
        <v/>
      </c>
      <c r="AD181" t="str">
        <f>IF($A181="","",IF(OR(parametros!$C$4="",parametros!$I$4=""),0,ROUND(SUMIFS(aditivos!$L$2:$L$200,aditivos!$A$2:$A$200,$A181,aditivos!$C$2:$C$200,"C2",aditivos!$B$2:$B$200,"&gt;="&amp;(INT(parametros!$I$4)+1)),2)))</f>
        <v/>
      </c>
      <c r="AE181" t="str">
        <f>IF($A181="","",IF(OR(parametros!$C$5="",parametros!$I$5=""),0,ROUND(SUMIFS(aditivos!$L$2:$L$200,aditivos!$A$2:$A$200,$A181,aditivos!$C$2:$C$200,"C3",aditivos!$B$2:$B$200,"&gt;="&amp;(INT(parametros!$I$5)+1)),2)))</f>
        <v/>
      </c>
      <c r="AF181" t="str">
        <f>IF($A181="","",IF(OR(parametros!$C$6="",parametros!$I$6=""),0,ROUND(SUMIFS(aditivos!$L$2:$L$200,aditivos!$A$2:$A$200,$A181,aditivos!$C$2:$C$200,"C4",aditivos!$B$2:$B$200,"&gt;="&amp;(INT(parametros!$I$6)+1)),2)))</f>
        <v/>
      </c>
      <c r="AG181" t="str">
        <f t="shared" si="102"/>
        <v/>
      </c>
      <c r="AH181" t="str">
        <f t="shared" si="103"/>
        <v/>
      </c>
      <c r="AI181" t="str">
        <f t="shared" si="104"/>
        <v/>
      </c>
      <c r="AJ181" t="str">
        <f t="shared" si="105"/>
        <v/>
      </c>
      <c r="AK181" t="str">
        <f t="shared" si="106"/>
        <v/>
      </c>
      <c r="AL181" t="str">
        <f t="shared" si="107"/>
        <v/>
      </c>
    </row>
    <row r="182" spans="1:38" x14ac:dyDescent="0.35">
      <c r="A182" s="146" t="str">
        <f>IF(itens_Remanesc!A182="","",itens_Remanesc!A182)</f>
        <v/>
      </c>
      <c r="B182" s="196" t="str">
        <f>IF(A182="","",itens_Remanesc!C182)</f>
        <v/>
      </c>
      <c r="C182" s="161" t="str">
        <f>IF(A182="","",IF(itens_Remanesc!B182="",0,itens_Remanesc!B182))</f>
        <v/>
      </c>
      <c r="D182" s="163" t="str">
        <f>IF(A182="","",ROUND(SUMIFS(aditivos!$L$2:$L$200,aditivos!$A$2:$A$200,A182,aditivos!$C$2:$C$200,"C0"),2))</f>
        <v/>
      </c>
      <c r="E182" s="159" t="str">
        <f t="shared" si="90"/>
        <v/>
      </c>
      <c r="F182" s="159" t="str">
        <f>IF(A182="","",IF(itens_Remanesc!B182&lt;&gt;"",itens_Remanesc!B182,IF($Z182,0,"")))</f>
        <v/>
      </c>
      <c r="G182" s="167" t="str">
        <f t="shared" si="91"/>
        <v/>
      </c>
      <c r="H182" s="169" t="str">
        <f>IF(A182="","",ROUND(SUMIFS(aditivos!$L$2:$L$200,aditivos!$A$2:$A$200,A182,aditivos!$C$2:$C$200,"C1"),2))</f>
        <v/>
      </c>
      <c r="I182" s="165" t="str">
        <f t="shared" si="92"/>
        <v/>
      </c>
      <c r="J182" s="165" t="str">
        <f>IF(A182="","",IF(itens_Remanesc!E182="","",itens_Remanesc!E182))</f>
        <v/>
      </c>
      <c r="K182" s="171" t="str">
        <f t="shared" si="93"/>
        <v/>
      </c>
      <c r="L182" s="163" t="str">
        <f>IF(A182="","",ROUND(SUMIFS(aditivos!$L$2:$L$200,aditivos!$A$2:$A$200,A182,aditivos!$C$2:$C$200,"C2"),2))</f>
        <v/>
      </c>
      <c r="M182" s="159" t="str">
        <f t="shared" si="94"/>
        <v/>
      </c>
      <c r="N182" s="159" t="str">
        <f>IF(A182="","",IF(itens_Remanesc!G182="","",itens_Remanesc!G182))</f>
        <v/>
      </c>
      <c r="O182" s="167" t="str">
        <f t="shared" si="95"/>
        <v/>
      </c>
      <c r="P182" s="169" t="str">
        <f>IF(A182="","",ROUND(SUMIFS(aditivos!$L$2:$L$200,aditivos!$A$2:$A$200,A182,aditivos!$C$2:$C$200,"C3"),2))</f>
        <v/>
      </c>
      <c r="Q182" s="165" t="str">
        <f t="shared" si="96"/>
        <v/>
      </c>
      <c r="R182" s="165" t="str">
        <f>IF(A182="","",IF(itens_Remanesc!I182="","",itens_Remanesc!I182))</f>
        <v/>
      </c>
      <c r="S182" s="171" t="str">
        <f t="shared" si="97"/>
        <v/>
      </c>
      <c r="T182" s="163" t="str">
        <f>IF(A182="","",ROUND(SUMIFS(aditivos!$L$2:$L$200,aditivos!$A$2:$A$200,A182,aditivos!$C$2:$C$200,"C4"),2))</f>
        <v/>
      </c>
      <c r="U182" s="159" t="str">
        <f t="shared" si="98"/>
        <v/>
      </c>
      <c r="V182" s="159" t="str">
        <f>IF(A182="","",IF(itens_Remanesc!K182="","",itens_Remanesc!K182))</f>
        <v/>
      </c>
      <c r="W182" s="159" t="str">
        <f t="shared" si="99"/>
        <v/>
      </c>
      <c r="X182" s="146" t="str">
        <f>IF(A182="","",IF(COUNTIF($A$2:$A$200,A182)&gt;1,"ALERTA: ITEM_DUPLICADO",IF(AND($Z182,ISNUMBER(itens_Remanesc!B182),itens_Remanesc!B182&lt;&gt;0),"NOVO ITEM COM BASE DIFERENTE DE 0 - AJUSTAR itens_Remanesc",IF(AND($Z182,NOT(ISNUMBER(itens_Remanesc!C182))),"NOVO ITEM SEM VU_ORIGINAL - INFORMAR EM itens_Remanesc",IF(MIN(E182,I182,M182,Q182,U182,G182,K182,O182,S182,W182)&lt;0,"ALERTA: POSICAO_NEGATIVA",IF(OR(AND(G182&lt;&gt;"",G182&gt;E182),AND(K182&lt;&gt;"",K182&gt;I182),AND(O182&lt;&gt;"",O182&gt;M182),AND(S182&lt;&gt;"",S182&gt;Q182),AND(W182&lt;&gt;"",W182&gt;U182)),"ALERTA: REMANESCENTE_SUPERA_POSICAO","OK"))))))</f>
        <v/>
      </c>
      <c r="Y182" t="str">
        <f t="shared" si="100"/>
        <v/>
      </c>
      <c r="Z182" t="b">
        <f t="shared" si="101"/>
        <v>0</v>
      </c>
      <c r="AA182" s="208" t="str">
        <f>IF($A182="","",IF(COUNTIFS(aditivos!$A$2:$A$200,$A182,aditivos!$L$2:$L$200,"&lt;&gt;",aditivos!$L$2:$L$200,"&lt;&gt;0",aditivos!$B$2:$B$200,"&gt;0")=0,"",IFERROR(_xlfn.MINIFS(aditivos!$B$2:$B$200,aditivos!$A$2:$A$200,$A182,aditivos!$L$2:$L$200,"&lt;&gt;",aditivos!$L$2:$L$200,"&lt;&gt;0",aditivos!$B$2:$B$200,"&gt;0"),"")))</f>
        <v/>
      </c>
      <c r="AB182" t="str">
        <f>IF($A182="","",IF(OR(parametros!$C$2="",parametros!$I$2=""),0,ROUND(SUMIFS(aditivos!$L$2:$L$200,aditivos!$A$2:$A$200,$A182,aditivos!$C$2:$C$200,"C0",aditivos!$B$2:$B$200,"&gt;="&amp;(INT(parametros!$I$2)+1)),2)))</f>
        <v/>
      </c>
      <c r="AC182" t="str">
        <f>IF($A182="","",IF(OR(parametros!$C$3="",parametros!$I$3=""),0,ROUND(SUMIFS(aditivos!$L$2:$L$200,aditivos!$A$2:$A$200,$A182,aditivos!$C$2:$C$200,"C1",aditivos!$B$2:$B$200,"&gt;="&amp;(INT(parametros!$I$3)+1)),2)))</f>
        <v/>
      </c>
      <c r="AD182" t="str">
        <f>IF($A182="","",IF(OR(parametros!$C$4="",parametros!$I$4=""),0,ROUND(SUMIFS(aditivos!$L$2:$L$200,aditivos!$A$2:$A$200,$A182,aditivos!$C$2:$C$200,"C2",aditivos!$B$2:$B$200,"&gt;="&amp;(INT(parametros!$I$4)+1)),2)))</f>
        <v/>
      </c>
      <c r="AE182" t="str">
        <f>IF($A182="","",IF(OR(parametros!$C$5="",parametros!$I$5=""),0,ROUND(SUMIFS(aditivos!$L$2:$L$200,aditivos!$A$2:$A$200,$A182,aditivos!$C$2:$C$200,"C3",aditivos!$B$2:$B$200,"&gt;="&amp;(INT(parametros!$I$5)+1)),2)))</f>
        <v/>
      </c>
      <c r="AF182" t="str">
        <f>IF($A182="","",IF(OR(parametros!$C$6="",parametros!$I$6=""),0,ROUND(SUMIFS(aditivos!$L$2:$L$200,aditivos!$A$2:$A$200,$A182,aditivos!$C$2:$C$200,"C4",aditivos!$B$2:$B$200,"&gt;="&amp;(INT(parametros!$I$6)+1)),2)))</f>
        <v/>
      </c>
      <c r="AG182" t="str">
        <f t="shared" si="102"/>
        <v/>
      </c>
      <c r="AH182" t="str">
        <f t="shared" si="103"/>
        <v/>
      </c>
      <c r="AI182" t="str">
        <f t="shared" si="104"/>
        <v/>
      </c>
      <c r="AJ182" t="str">
        <f t="shared" si="105"/>
        <v/>
      </c>
      <c r="AK182" t="str">
        <f t="shared" si="106"/>
        <v/>
      </c>
      <c r="AL182" t="str">
        <f t="shared" si="107"/>
        <v/>
      </c>
    </row>
    <row r="183" spans="1:38" x14ac:dyDescent="0.35">
      <c r="A183" s="146" t="str">
        <f>IF(itens_Remanesc!A183="","",itens_Remanesc!A183)</f>
        <v/>
      </c>
      <c r="B183" s="196" t="str">
        <f>IF(A183="","",itens_Remanesc!C183)</f>
        <v/>
      </c>
      <c r="C183" s="161" t="str">
        <f>IF(A183="","",IF(itens_Remanesc!B183="",0,itens_Remanesc!B183))</f>
        <v/>
      </c>
      <c r="D183" s="163" t="str">
        <f>IF(A183="","",ROUND(SUMIFS(aditivos!$L$2:$L$200,aditivos!$A$2:$A$200,A183,aditivos!$C$2:$C$200,"C0"),2))</f>
        <v/>
      </c>
      <c r="E183" s="159" t="str">
        <f t="shared" si="90"/>
        <v/>
      </c>
      <c r="F183" s="159" t="str">
        <f>IF(A183="","",IF(itens_Remanesc!B183&lt;&gt;"",itens_Remanesc!B183,IF($Z183,0,"")))</f>
        <v/>
      </c>
      <c r="G183" s="167" t="str">
        <f t="shared" si="91"/>
        <v/>
      </c>
      <c r="H183" s="169" t="str">
        <f>IF(A183="","",ROUND(SUMIFS(aditivos!$L$2:$L$200,aditivos!$A$2:$A$200,A183,aditivos!$C$2:$C$200,"C1"),2))</f>
        <v/>
      </c>
      <c r="I183" s="165" t="str">
        <f t="shared" si="92"/>
        <v/>
      </c>
      <c r="J183" s="165" t="str">
        <f>IF(A183="","",IF(itens_Remanesc!E183="","",itens_Remanesc!E183))</f>
        <v/>
      </c>
      <c r="K183" s="171" t="str">
        <f t="shared" si="93"/>
        <v/>
      </c>
      <c r="L183" s="163" t="str">
        <f>IF(A183="","",ROUND(SUMIFS(aditivos!$L$2:$L$200,aditivos!$A$2:$A$200,A183,aditivos!$C$2:$C$200,"C2"),2))</f>
        <v/>
      </c>
      <c r="M183" s="159" t="str">
        <f t="shared" si="94"/>
        <v/>
      </c>
      <c r="N183" s="159" t="str">
        <f>IF(A183="","",IF(itens_Remanesc!G183="","",itens_Remanesc!G183))</f>
        <v/>
      </c>
      <c r="O183" s="167" t="str">
        <f t="shared" si="95"/>
        <v/>
      </c>
      <c r="P183" s="169" t="str">
        <f>IF(A183="","",ROUND(SUMIFS(aditivos!$L$2:$L$200,aditivos!$A$2:$A$200,A183,aditivos!$C$2:$C$200,"C3"),2))</f>
        <v/>
      </c>
      <c r="Q183" s="165" t="str">
        <f t="shared" si="96"/>
        <v/>
      </c>
      <c r="R183" s="165" t="str">
        <f>IF(A183="","",IF(itens_Remanesc!I183="","",itens_Remanesc!I183))</f>
        <v/>
      </c>
      <c r="S183" s="171" t="str">
        <f t="shared" si="97"/>
        <v/>
      </c>
      <c r="T183" s="163" t="str">
        <f>IF(A183="","",ROUND(SUMIFS(aditivos!$L$2:$L$200,aditivos!$A$2:$A$200,A183,aditivos!$C$2:$C$200,"C4"),2))</f>
        <v/>
      </c>
      <c r="U183" s="159" t="str">
        <f t="shared" si="98"/>
        <v/>
      </c>
      <c r="V183" s="159" t="str">
        <f>IF(A183="","",IF(itens_Remanesc!K183="","",itens_Remanesc!K183))</f>
        <v/>
      </c>
      <c r="W183" s="159" t="str">
        <f t="shared" si="99"/>
        <v/>
      </c>
      <c r="X183" s="146" t="str">
        <f>IF(A183="","",IF(COUNTIF($A$2:$A$200,A183)&gt;1,"ALERTA: ITEM_DUPLICADO",IF(AND($Z183,ISNUMBER(itens_Remanesc!B183),itens_Remanesc!B183&lt;&gt;0),"NOVO ITEM COM BASE DIFERENTE DE 0 - AJUSTAR itens_Remanesc",IF(AND($Z183,NOT(ISNUMBER(itens_Remanesc!C183))),"NOVO ITEM SEM VU_ORIGINAL - INFORMAR EM itens_Remanesc",IF(MIN(E183,I183,M183,Q183,U183,G183,K183,O183,S183,W183)&lt;0,"ALERTA: POSICAO_NEGATIVA",IF(OR(AND(G183&lt;&gt;"",G183&gt;E183),AND(K183&lt;&gt;"",K183&gt;I183),AND(O183&lt;&gt;"",O183&gt;M183),AND(S183&lt;&gt;"",S183&gt;Q183),AND(W183&lt;&gt;"",W183&gt;U183)),"ALERTA: REMANESCENTE_SUPERA_POSICAO","OK"))))))</f>
        <v/>
      </c>
      <c r="Y183" t="str">
        <f t="shared" si="100"/>
        <v/>
      </c>
      <c r="Z183" t="b">
        <f t="shared" si="101"/>
        <v>0</v>
      </c>
      <c r="AA183" s="208" t="str">
        <f>IF($A183="","",IF(COUNTIFS(aditivos!$A$2:$A$200,$A183,aditivos!$L$2:$L$200,"&lt;&gt;",aditivos!$L$2:$L$200,"&lt;&gt;0",aditivos!$B$2:$B$200,"&gt;0")=0,"",IFERROR(_xlfn.MINIFS(aditivos!$B$2:$B$200,aditivos!$A$2:$A$200,$A183,aditivos!$L$2:$L$200,"&lt;&gt;",aditivos!$L$2:$L$200,"&lt;&gt;0",aditivos!$B$2:$B$200,"&gt;0"),"")))</f>
        <v/>
      </c>
      <c r="AB183" t="str">
        <f>IF($A183="","",IF(OR(parametros!$C$2="",parametros!$I$2=""),0,ROUND(SUMIFS(aditivos!$L$2:$L$200,aditivos!$A$2:$A$200,$A183,aditivos!$C$2:$C$200,"C0",aditivos!$B$2:$B$200,"&gt;="&amp;(INT(parametros!$I$2)+1)),2)))</f>
        <v/>
      </c>
      <c r="AC183" t="str">
        <f>IF($A183="","",IF(OR(parametros!$C$3="",parametros!$I$3=""),0,ROUND(SUMIFS(aditivos!$L$2:$L$200,aditivos!$A$2:$A$200,$A183,aditivos!$C$2:$C$200,"C1",aditivos!$B$2:$B$200,"&gt;="&amp;(INT(parametros!$I$3)+1)),2)))</f>
        <v/>
      </c>
      <c r="AD183" t="str">
        <f>IF($A183="","",IF(OR(parametros!$C$4="",parametros!$I$4=""),0,ROUND(SUMIFS(aditivos!$L$2:$L$200,aditivos!$A$2:$A$200,$A183,aditivos!$C$2:$C$200,"C2",aditivos!$B$2:$B$200,"&gt;="&amp;(INT(parametros!$I$4)+1)),2)))</f>
        <v/>
      </c>
      <c r="AE183" t="str">
        <f>IF($A183="","",IF(OR(parametros!$C$5="",parametros!$I$5=""),0,ROUND(SUMIFS(aditivos!$L$2:$L$200,aditivos!$A$2:$A$200,$A183,aditivos!$C$2:$C$200,"C3",aditivos!$B$2:$B$200,"&gt;="&amp;(INT(parametros!$I$5)+1)),2)))</f>
        <v/>
      </c>
      <c r="AF183" t="str">
        <f>IF($A183="","",IF(OR(parametros!$C$6="",parametros!$I$6=""),0,ROUND(SUMIFS(aditivos!$L$2:$L$200,aditivos!$A$2:$A$200,$A183,aditivos!$C$2:$C$200,"C4",aditivos!$B$2:$B$200,"&gt;="&amp;(INT(parametros!$I$6)+1)),2)))</f>
        <v/>
      </c>
      <c r="AG183" t="str">
        <f t="shared" si="102"/>
        <v/>
      </c>
      <c r="AH183" t="str">
        <f t="shared" si="103"/>
        <v/>
      </c>
      <c r="AI183" t="str">
        <f t="shared" si="104"/>
        <v/>
      </c>
      <c r="AJ183" t="str">
        <f t="shared" si="105"/>
        <v/>
      </c>
      <c r="AK183" t="str">
        <f t="shared" si="106"/>
        <v/>
      </c>
      <c r="AL183" t="str">
        <f t="shared" si="107"/>
        <v/>
      </c>
    </row>
    <row r="184" spans="1:38" x14ac:dyDescent="0.35">
      <c r="A184" s="146" t="str">
        <f>IF(itens_Remanesc!A184="","",itens_Remanesc!A184)</f>
        <v/>
      </c>
      <c r="B184" s="196" t="str">
        <f>IF(A184="","",itens_Remanesc!C184)</f>
        <v/>
      </c>
      <c r="C184" s="161" t="str">
        <f>IF(A184="","",IF(itens_Remanesc!B184="",0,itens_Remanesc!B184))</f>
        <v/>
      </c>
      <c r="D184" s="163" t="str">
        <f>IF(A184="","",ROUND(SUMIFS(aditivos!$L$2:$L$200,aditivos!$A$2:$A$200,A184,aditivos!$C$2:$C$200,"C0"),2))</f>
        <v/>
      </c>
      <c r="E184" s="159" t="str">
        <f t="shared" si="90"/>
        <v/>
      </c>
      <c r="F184" s="159" t="str">
        <f>IF(A184="","",IF(itens_Remanesc!B184&lt;&gt;"",itens_Remanesc!B184,IF($Z184,0,"")))</f>
        <v/>
      </c>
      <c r="G184" s="167" t="str">
        <f t="shared" si="91"/>
        <v/>
      </c>
      <c r="H184" s="169" t="str">
        <f>IF(A184="","",ROUND(SUMIFS(aditivos!$L$2:$L$200,aditivos!$A$2:$A$200,A184,aditivos!$C$2:$C$200,"C1"),2))</f>
        <v/>
      </c>
      <c r="I184" s="165" t="str">
        <f t="shared" si="92"/>
        <v/>
      </c>
      <c r="J184" s="165" t="str">
        <f>IF(A184="","",IF(itens_Remanesc!E184="","",itens_Remanesc!E184))</f>
        <v/>
      </c>
      <c r="K184" s="171" t="str">
        <f t="shared" si="93"/>
        <v/>
      </c>
      <c r="L184" s="163" t="str">
        <f>IF(A184="","",ROUND(SUMIFS(aditivos!$L$2:$L$200,aditivos!$A$2:$A$200,A184,aditivos!$C$2:$C$200,"C2"),2))</f>
        <v/>
      </c>
      <c r="M184" s="159" t="str">
        <f t="shared" si="94"/>
        <v/>
      </c>
      <c r="N184" s="159" t="str">
        <f>IF(A184="","",IF(itens_Remanesc!G184="","",itens_Remanesc!G184))</f>
        <v/>
      </c>
      <c r="O184" s="167" t="str">
        <f t="shared" si="95"/>
        <v/>
      </c>
      <c r="P184" s="169" t="str">
        <f>IF(A184="","",ROUND(SUMIFS(aditivos!$L$2:$L$200,aditivos!$A$2:$A$200,A184,aditivos!$C$2:$C$200,"C3"),2))</f>
        <v/>
      </c>
      <c r="Q184" s="165" t="str">
        <f t="shared" si="96"/>
        <v/>
      </c>
      <c r="R184" s="165" t="str">
        <f>IF(A184="","",IF(itens_Remanesc!I184="","",itens_Remanesc!I184))</f>
        <v/>
      </c>
      <c r="S184" s="171" t="str">
        <f t="shared" si="97"/>
        <v/>
      </c>
      <c r="T184" s="163" t="str">
        <f>IF(A184="","",ROUND(SUMIFS(aditivos!$L$2:$L$200,aditivos!$A$2:$A$200,A184,aditivos!$C$2:$C$200,"C4"),2))</f>
        <v/>
      </c>
      <c r="U184" s="159" t="str">
        <f t="shared" si="98"/>
        <v/>
      </c>
      <c r="V184" s="159" t="str">
        <f>IF(A184="","",IF(itens_Remanesc!K184="","",itens_Remanesc!K184))</f>
        <v/>
      </c>
      <c r="W184" s="159" t="str">
        <f t="shared" si="99"/>
        <v/>
      </c>
      <c r="X184" s="146" t="str">
        <f>IF(A184="","",IF(COUNTIF($A$2:$A$200,A184)&gt;1,"ALERTA: ITEM_DUPLICADO",IF(AND($Z184,ISNUMBER(itens_Remanesc!B184),itens_Remanesc!B184&lt;&gt;0),"NOVO ITEM COM BASE DIFERENTE DE 0 - AJUSTAR itens_Remanesc",IF(AND($Z184,NOT(ISNUMBER(itens_Remanesc!C184))),"NOVO ITEM SEM VU_ORIGINAL - INFORMAR EM itens_Remanesc",IF(MIN(E184,I184,M184,Q184,U184,G184,K184,O184,S184,W184)&lt;0,"ALERTA: POSICAO_NEGATIVA",IF(OR(AND(G184&lt;&gt;"",G184&gt;E184),AND(K184&lt;&gt;"",K184&gt;I184),AND(O184&lt;&gt;"",O184&gt;M184),AND(S184&lt;&gt;"",S184&gt;Q184),AND(W184&lt;&gt;"",W184&gt;U184)),"ALERTA: REMANESCENTE_SUPERA_POSICAO","OK"))))))</f>
        <v/>
      </c>
      <c r="Y184" t="str">
        <f t="shared" si="100"/>
        <v/>
      </c>
      <c r="Z184" t="b">
        <f t="shared" si="101"/>
        <v>0</v>
      </c>
      <c r="AA184" s="208" t="str">
        <f>IF($A184="","",IF(COUNTIFS(aditivos!$A$2:$A$200,$A184,aditivos!$L$2:$L$200,"&lt;&gt;",aditivos!$L$2:$L$200,"&lt;&gt;0",aditivos!$B$2:$B$200,"&gt;0")=0,"",IFERROR(_xlfn.MINIFS(aditivos!$B$2:$B$200,aditivos!$A$2:$A$200,$A184,aditivos!$L$2:$L$200,"&lt;&gt;",aditivos!$L$2:$L$200,"&lt;&gt;0",aditivos!$B$2:$B$200,"&gt;0"),"")))</f>
        <v/>
      </c>
      <c r="AB184" t="str">
        <f>IF($A184="","",IF(OR(parametros!$C$2="",parametros!$I$2=""),0,ROUND(SUMIFS(aditivos!$L$2:$L$200,aditivos!$A$2:$A$200,$A184,aditivos!$C$2:$C$200,"C0",aditivos!$B$2:$B$200,"&gt;="&amp;(INT(parametros!$I$2)+1)),2)))</f>
        <v/>
      </c>
      <c r="AC184" t="str">
        <f>IF($A184="","",IF(OR(parametros!$C$3="",parametros!$I$3=""),0,ROUND(SUMIFS(aditivos!$L$2:$L$200,aditivos!$A$2:$A$200,$A184,aditivos!$C$2:$C$200,"C1",aditivos!$B$2:$B$200,"&gt;="&amp;(INT(parametros!$I$3)+1)),2)))</f>
        <v/>
      </c>
      <c r="AD184" t="str">
        <f>IF($A184="","",IF(OR(parametros!$C$4="",parametros!$I$4=""),0,ROUND(SUMIFS(aditivos!$L$2:$L$200,aditivos!$A$2:$A$200,$A184,aditivos!$C$2:$C$200,"C2",aditivos!$B$2:$B$200,"&gt;="&amp;(INT(parametros!$I$4)+1)),2)))</f>
        <v/>
      </c>
      <c r="AE184" t="str">
        <f>IF($A184="","",IF(OR(parametros!$C$5="",parametros!$I$5=""),0,ROUND(SUMIFS(aditivos!$L$2:$L$200,aditivos!$A$2:$A$200,$A184,aditivos!$C$2:$C$200,"C3",aditivos!$B$2:$B$200,"&gt;="&amp;(INT(parametros!$I$5)+1)),2)))</f>
        <v/>
      </c>
      <c r="AF184" t="str">
        <f>IF($A184="","",IF(OR(parametros!$C$6="",parametros!$I$6=""),0,ROUND(SUMIFS(aditivos!$L$2:$L$200,aditivos!$A$2:$A$200,$A184,aditivos!$C$2:$C$200,"C4",aditivos!$B$2:$B$200,"&gt;="&amp;(INT(parametros!$I$6)+1)),2)))</f>
        <v/>
      </c>
      <c r="AG184" t="str">
        <f t="shared" si="102"/>
        <v/>
      </c>
      <c r="AH184" t="str">
        <f t="shared" si="103"/>
        <v/>
      </c>
      <c r="AI184" t="str">
        <f t="shared" si="104"/>
        <v/>
      </c>
      <c r="AJ184" t="str">
        <f t="shared" si="105"/>
        <v/>
      </c>
      <c r="AK184" t="str">
        <f t="shared" si="106"/>
        <v/>
      </c>
      <c r="AL184" t="str">
        <f t="shared" si="107"/>
        <v/>
      </c>
    </row>
    <row r="185" spans="1:38" x14ac:dyDescent="0.35">
      <c r="A185" s="146" t="str">
        <f>IF(itens_Remanesc!A185="","",itens_Remanesc!A185)</f>
        <v/>
      </c>
      <c r="B185" s="196" t="str">
        <f>IF(A185="","",itens_Remanesc!C185)</f>
        <v/>
      </c>
      <c r="C185" s="161" t="str">
        <f>IF(A185="","",IF(itens_Remanesc!B185="",0,itens_Remanesc!B185))</f>
        <v/>
      </c>
      <c r="D185" s="163" t="str">
        <f>IF(A185="","",ROUND(SUMIFS(aditivos!$L$2:$L$200,aditivos!$A$2:$A$200,A185,aditivos!$C$2:$C$200,"C0"),2))</f>
        <v/>
      </c>
      <c r="E185" s="159" t="str">
        <f t="shared" si="90"/>
        <v/>
      </c>
      <c r="F185" s="159" t="str">
        <f>IF(A185="","",IF(itens_Remanesc!B185&lt;&gt;"",itens_Remanesc!B185,IF($Z185,0,"")))</f>
        <v/>
      </c>
      <c r="G185" s="167" t="str">
        <f t="shared" si="91"/>
        <v/>
      </c>
      <c r="H185" s="169" t="str">
        <f>IF(A185="","",ROUND(SUMIFS(aditivos!$L$2:$L$200,aditivos!$A$2:$A$200,A185,aditivos!$C$2:$C$200,"C1"),2))</f>
        <v/>
      </c>
      <c r="I185" s="165" t="str">
        <f t="shared" si="92"/>
        <v/>
      </c>
      <c r="J185" s="165" t="str">
        <f>IF(A185="","",IF(itens_Remanesc!E185="","",itens_Remanesc!E185))</f>
        <v/>
      </c>
      <c r="K185" s="171" t="str">
        <f t="shared" si="93"/>
        <v/>
      </c>
      <c r="L185" s="163" t="str">
        <f>IF(A185="","",ROUND(SUMIFS(aditivos!$L$2:$L$200,aditivos!$A$2:$A$200,A185,aditivos!$C$2:$C$200,"C2"),2))</f>
        <v/>
      </c>
      <c r="M185" s="159" t="str">
        <f t="shared" si="94"/>
        <v/>
      </c>
      <c r="N185" s="159" t="str">
        <f>IF(A185="","",IF(itens_Remanesc!G185="","",itens_Remanesc!G185))</f>
        <v/>
      </c>
      <c r="O185" s="167" t="str">
        <f t="shared" si="95"/>
        <v/>
      </c>
      <c r="P185" s="169" t="str">
        <f>IF(A185="","",ROUND(SUMIFS(aditivos!$L$2:$L$200,aditivos!$A$2:$A$200,A185,aditivos!$C$2:$C$200,"C3"),2))</f>
        <v/>
      </c>
      <c r="Q185" s="165" t="str">
        <f t="shared" si="96"/>
        <v/>
      </c>
      <c r="R185" s="165" t="str">
        <f>IF(A185="","",IF(itens_Remanesc!I185="","",itens_Remanesc!I185))</f>
        <v/>
      </c>
      <c r="S185" s="171" t="str">
        <f t="shared" si="97"/>
        <v/>
      </c>
      <c r="T185" s="163" t="str">
        <f>IF(A185="","",ROUND(SUMIFS(aditivos!$L$2:$L$200,aditivos!$A$2:$A$200,A185,aditivos!$C$2:$C$200,"C4"),2))</f>
        <v/>
      </c>
      <c r="U185" s="159" t="str">
        <f t="shared" si="98"/>
        <v/>
      </c>
      <c r="V185" s="159" t="str">
        <f>IF(A185="","",IF(itens_Remanesc!K185="","",itens_Remanesc!K185))</f>
        <v/>
      </c>
      <c r="W185" s="159" t="str">
        <f t="shared" si="99"/>
        <v/>
      </c>
      <c r="X185" s="146" t="str">
        <f>IF(A185="","",IF(COUNTIF($A$2:$A$200,A185)&gt;1,"ALERTA: ITEM_DUPLICADO",IF(AND($Z185,ISNUMBER(itens_Remanesc!B185),itens_Remanesc!B185&lt;&gt;0),"NOVO ITEM COM BASE DIFERENTE DE 0 - AJUSTAR itens_Remanesc",IF(AND($Z185,NOT(ISNUMBER(itens_Remanesc!C185))),"NOVO ITEM SEM VU_ORIGINAL - INFORMAR EM itens_Remanesc",IF(MIN(E185,I185,M185,Q185,U185,G185,K185,O185,S185,W185)&lt;0,"ALERTA: POSICAO_NEGATIVA",IF(OR(AND(G185&lt;&gt;"",G185&gt;E185),AND(K185&lt;&gt;"",K185&gt;I185),AND(O185&lt;&gt;"",O185&gt;M185),AND(S185&lt;&gt;"",S185&gt;Q185),AND(W185&lt;&gt;"",W185&gt;U185)),"ALERTA: REMANESCENTE_SUPERA_POSICAO","OK"))))))</f>
        <v/>
      </c>
      <c r="Y185" t="str">
        <f t="shared" si="100"/>
        <v/>
      </c>
      <c r="Z185" t="b">
        <f t="shared" si="101"/>
        <v>0</v>
      </c>
      <c r="AA185" s="208" t="str">
        <f>IF($A185="","",IF(COUNTIFS(aditivos!$A$2:$A$200,$A185,aditivos!$L$2:$L$200,"&lt;&gt;",aditivos!$L$2:$L$200,"&lt;&gt;0",aditivos!$B$2:$B$200,"&gt;0")=0,"",IFERROR(_xlfn.MINIFS(aditivos!$B$2:$B$200,aditivos!$A$2:$A$200,$A185,aditivos!$L$2:$L$200,"&lt;&gt;",aditivos!$L$2:$L$200,"&lt;&gt;0",aditivos!$B$2:$B$200,"&gt;0"),"")))</f>
        <v/>
      </c>
      <c r="AB185" t="str">
        <f>IF($A185="","",IF(OR(parametros!$C$2="",parametros!$I$2=""),0,ROUND(SUMIFS(aditivos!$L$2:$L$200,aditivos!$A$2:$A$200,$A185,aditivos!$C$2:$C$200,"C0",aditivos!$B$2:$B$200,"&gt;="&amp;(INT(parametros!$I$2)+1)),2)))</f>
        <v/>
      </c>
      <c r="AC185" t="str">
        <f>IF($A185="","",IF(OR(parametros!$C$3="",parametros!$I$3=""),0,ROUND(SUMIFS(aditivos!$L$2:$L$200,aditivos!$A$2:$A$200,$A185,aditivos!$C$2:$C$200,"C1",aditivos!$B$2:$B$200,"&gt;="&amp;(INT(parametros!$I$3)+1)),2)))</f>
        <v/>
      </c>
      <c r="AD185" t="str">
        <f>IF($A185="","",IF(OR(parametros!$C$4="",parametros!$I$4=""),0,ROUND(SUMIFS(aditivos!$L$2:$L$200,aditivos!$A$2:$A$200,$A185,aditivos!$C$2:$C$200,"C2",aditivos!$B$2:$B$200,"&gt;="&amp;(INT(parametros!$I$4)+1)),2)))</f>
        <v/>
      </c>
      <c r="AE185" t="str">
        <f>IF($A185="","",IF(OR(parametros!$C$5="",parametros!$I$5=""),0,ROUND(SUMIFS(aditivos!$L$2:$L$200,aditivos!$A$2:$A$200,$A185,aditivos!$C$2:$C$200,"C3",aditivos!$B$2:$B$200,"&gt;="&amp;(INT(parametros!$I$5)+1)),2)))</f>
        <v/>
      </c>
      <c r="AF185" t="str">
        <f>IF($A185="","",IF(OR(parametros!$C$6="",parametros!$I$6=""),0,ROUND(SUMIFS(aditivos!$L$2:$L$200,aditivos!$A$2:$A$200,$A185,aditivos!$C$2:$C$200,"C4",aditivos!$B$2:$B$200,"&gt;="&amp;(INT(parametros!$I$6)+1)),2)))</f>
        <v/>
      </c>
      <c r="AG185" t="str">
        <f t="shared" si="102"/>
        <v/>
      </c>
      <c r="AH185" t="str">
        <f t="shared" si="103"/>
        <v/>
      </c>
      <c r="AI185" t="str">
        <f t="shared" si="104"/>
        <v/>
      </c>
      <c r="AJ185" t="str">
        <f t="shared" si="105"/>
        <v/>
      </c>
      <c r="AK185" t="str">
        <f t="shared" si="106"/>
        <v/>
      </c>
      <c r="AL185" t="str">
        <f t="shared" si="107"/>
        <v/>
      </c>
    </row>
    <row r="186" spans="1:38" x14ac:dyDescent="0.35">
      <c r="A186" s="146" t="str">
        <f>IF(itens_Remanesc!A186="","",itens_Remanesc!A186)</f>
        <v/>
      </c>
      <c r="B186" s="196" t="str">
        <f>IF(A186="","",itens_Remanesc!C186)</f>
        <v/>
      </c>
      <c r="C186" s="161" t="str">
        <f>IF(A186="","",IF(itens_Remanesc!B186="",0,itens_Remanesc!B186))</f>
        <v/>
      </c>
      <c r="D186" s="163" t="str">
        <f>IF(A186="","",ROUND(SUMIFS(aditivos!$L$2:$L$200,aditivos!$A$2:$A$200,A186,aditivos!$C$2:$C$200,"C0"),2))</f>
        <v/>
      </c>
      <c r="E186" s="159" t="str">
        <f t="shared" si="90"/>
        <v/>
      </c>
      <c r="F186" s="159" t="str">
        <f>IF(A186="","",IF(itens_Remanesc!B186&lt;&gt;"",itens_Remanesc!B186,IF($Z186,0,"")))</f>
        <v/>
      </c>
      <c r="G186" s="167" t="str">
        <f t="shared" si="91"/>
        <v/>
      </c>
      <c r="H186" s="169" t="str">
        <f>IF(A186="","",ROUND(SUMIFS(aditivos!$L$2:$L$200,aditivos!$A$2:$A$200,A186,aditivos!$C$2:$C$200,"C1"),2))</f>
        <v/>
      </c>
      <c r="I186" s="165" t="str">
        <f t="shared" si="92"/>
        <v/>
      </c>
      <c r="J186" s="165" t="str">
        <f>IF(A186="","",IF(itens_Remanesc!E186="","",itens_Remanesc!E186))</f>
        <v/>
      </c>
      <c r="K186" s="171" t="str">
        <f t="shared" si="93"/>
        <v/>
      </c>
      <c r="L186" s="163" t="str">
        <f>IF(A186="","",ROUND(SUMIFS(aditivos!$L$2:$L$200,aditivos!$A$2:$A$200,A186,aditivos!$C$2:$C$200,"C2"),2))</f>
        <v/>
      </c>
      <c r="M186" s="159" t="str">
        <f t="shared" si="94"/>
        <v/>
      </c>
      <c r="N186" s="159" t="str">
        <f>IF(A186="","",IF(itens_Remanesc!G186="","",itens_Remanesc!G186))</f>
        <v/>
      </c>
      <c r="O186" s="167" t="str">
        <f t="shared" si="95"/>
        <v/>
      </c>
      <c r="P186" s="169" t="str">
        <f>IF(A186="","",ROUND(SUMIFS(aditivos!$L$2:$L$200,aditivos!$A$2:$A$200,A186,aditivos!$C$2:$C$200,"C3"),2))</f>
        <v/>
      </c>
      <c r="Q186" s="165" t="str">
        <f t="shared" si="96"/>
        <v/>
      </c>
      <c r="R186" s="165" t="str">
        <f>IF(A186="","",IF(itens_Remanesc!I186="","",itens_Remanesc!I186))</f>
        <v/>
      </c>
      <c r="S186" s="171" t="str">
        <f t="shared" si="97"/>
        <v/>
      </c>
      <c r="T186" s="163" t="str">
        <f>IF(A186="","",ROUND(SUMIFS(aditivos!$L$2:$L$200,aditivos!$A$2:$A$200,A186,aditivos!$C$2:$C$200,"C4"),2))</f>
        <v/>
      </c>
      <c r="U186" s="159" t="str">
        <f t="shared" si="98"/>
        <v/>
      </c>
      <c r="V186" s="159" t="str">
        <f>IF(A186="","",IF(itens_Remanesc!K186="","",itens_Remanesc!K186))</f>
        <v/>
      </c>
      <c r="W186" s="159" t="str">
        <f t="shared" si="99"/>
        <v/>
      </c>
      <c r="X186" s="146" t="str">
        <f>IF(A186="","",IF(COUNTIF($A$2:$A$200,A186)&gt;1,"ALERTA: ITEM_DUPLICADO",IF(AND($Z186,ISNUMBER(itens_Remanesc!B186),itens_Remanesc!B186&lt;&gt;0),"NOVO ITEM COM BASE DIFERENTE DE 0 - AJUSTAR itens_Remanesc",IF(AND($Z186,NOT(ISNUMBER(itens_Remanesc!C186))),"NOVO ITEM SEM VU_ORIGINAL - INFORMAR EM itens_Remanesc",IF(MIN(E186,I186,M186,Q186,U186,G186,K186,O186,S186,W186)&lt;0,"ALERTA: POSICAO_NEGATIVA",IF(OR(AND(G186&lt;&gt;"",G186&gt;E186),AND(K186&lt;&gt;"",K186&gt;I186),AND(O186&lt;&gt;"",O186&gt;M186),AND(S186&lt;&gt;"",S186&gt;Q186),AND(W186&lt;&gt;"",W186&gt;U186)),"ALERTA: REMANESCENTE_SUPERA_POSICAO","OK"))))))</f>
        <v/>
      </c>
      <c r="Y186" t="str">
        <f t="shared" si="100"/>
        <v/>
      </c>
      <c r="Z186" t="b">
        <f t="shared" si="101"/>
        <v>0</v>
      </c>
      <c r="AA186" s="208" t="str">
        <f>IF($A186="","",IF(COUNTIFS(aditivos!$A$2:$A$200,$A186,aditivos!$L$2:$L$200,"&lt;&gt;",aditivos!$L$2:$L$200,"&lt;&gt;0",aditivos!$B$2:$B$200,"&gt;0")=0,"",IFERROR(_xlfn.MINIFS(aditivos!$B$2:$B$200,aditivos!$A$2:$A$200,$A186,aditivos!$L$2:$L$200,"&lt;&gt;",aditivos!$L$2:$L$200,"&lt;&gt;0",aditivos!$B$2:$B$200,"&gt;0"),"")))</f>
        <v/>
      </c>
      <c r="AB186" t="str">
        <f>IF($A186="","",IF(OR(parametros!$C$2="",parametros!$I$2=""),0,ROUND(SUMIFS(aditivos!$L$2:$L$200,aditivos!$A$2:$A$200,$A186,aditivos!$C$2:$C$200,"C0",aditivos!$B$2:$B$200,"&gt;="&amp;(INT(parametros!$I$2)+1)),2)))</f>
        <v/>
      </c>
      <c r="AC186" t="str">
        <f>IF($A186="","",IF(OR(parametros!$C$3="",parametros!$I$3=""),0,ROUND(SUMIFS(aditivos!$L$2:$L$200,aditivos!$A$2:$A$200,$A186,aditivos!$C$2:$C$200,"C1",aditivos!$B$2:$B$200,"&gt;="&amp;(INT(parametros!$I$3)+1)),2)))</f>
        <v/>
      </c>
      <c r="AD186" t="str">
        <f>IF($A186="","",IF(OR(parametros!$C$4="",parametros!$I$4=""),0,ROUND(SUMIFS(aditivos!$L$2:$L$200,aditivos!$A$2:$A$200,$A186,aditivos!$C$2:$C$200,"C2",aditivos!$B$2:$B$200,"&gt;="&amp;(INT(parametros!$I$4)+1)),2)))</f>
        <v/>
      </c>
      <c r="AE186" t="str">
        <f>IF($A186="","",IF(OR(parametros!$C$5="",parametros!$I$5=""),0,ROUND(SUMIFS(aditivos!$L$2:$L$200,aditivos!$A$2:$A$200,$A186,aditivos!$C$2:$C$200,"C3",aditivos!$B$2:$B$200,"&gt;="&amp;(INT(parametros!$I$5)+1)),2)))</f>
        <v/>
      </c>
      <c r="AF186" t="str">
        <f>IF($A186="","",IF(OR(parametros!$C$6="",parametros!$I$6=""),0,ROUND(SUMIFS(aditivos!$L$2:$L$200,aditivos!$A$2:$A$200,$A186,aditivos!$C$2:$C$200,"C4",aditivos!$B$2:$B$200,"&gt;="&amp;(INT(parametros!$I$6)+1)),2)))</f>
        <v/>
      </c>
      <c r="AG186" t="str">
        <f t="shared" si="102"/>
        <v/>
      </c>
      <c r="AH186" t="str">
        <f t="shared" si="103"/>
        <v/>
      </c>
      <c r="AI186" t="str">
        <f t="shared" si="104"/>
        <v/>
      </c>
      <c r="AJ186" t="str">
        <f t="shared" si="105"/>
        <v/>
      </c>
      <c r="AK186" t="str">
        <f t="shared" si="106"/>
        <v/>
      </c>
      <c r="AL186" t="str">
        <f t="shared" si="107"/>
        <v/>
      </c>
    </row>
    <row r="187" spans="1:38" x14ac:dyDescent="0.35">
      <c r="A187" s="146" t="str">
        <f>IF(itens_Remanesc!A187="","",itens_Remanesc!A187)</f>
        <v/>
      </c>
      <c r="B187" s="196" t="str">
        <f>IF(A187="","",itens_Remanesc!C187)</f>
        <v/>
      </c>
      <c r="C187" s="161" t="str">
        <f>IF(A187="","",IF(itens_Remanesc!B187="",0,itens_Remanesc!B187))</f>
        <v/>
      </c>
      <c r="D187" s="163" t="str">
        <f>IF(A187="","",ROUND(SUMIFS(aditivos!$L$2:$L$200,aditivos!$A$2:$A$200,A187,aditivos!$C$2:$C$200,"C0"),2))</f>
        <v/>
      </c>
      <c r="E187" s="159" t="str">
        <f t="shared" si="90"/>
        <v/>
      </c>
      <c r="F187" s="159" t="str">
        <f>IF(A187="","",IF(itens_Remanesc!B187&lt;&gt;"",itens_Remanesc!B187,IF($Z187,0,"")))</f>
        <v/>
      </c>
      <c r="G187" s="167" t="str">
        <f t="shared" si="91"/>
        <v/>
      </c>
      <c r="H187" s="169" t="str">
        <f>IF(A187="","",ROUND(SUMIFS(aditivos!$L$2:$L$200,aditivos!$A$2:$A$200,A187,aditivos!$C$2:$C$200,"C1"),2))</f>
        <v/>
      </c>
      <c r="I187" s="165" t="str">
        <f t="shared" si="92"/>
        <v/>
      </c>
      <c r="J187" s="165" t="str">
        <f>IF(A187="","",IF(itens_Remanesc!E187="","",itens_Remanesc!E187))</f>
        <v/>
      </c>
      <c r="K187" s="171" t="str">
        <f t="shared" si="93"/>
        <v/>
      </c>
      <c r="L187" s="163" t="str">
        <f>IF(A187="","",ROUND(SUMIFS(aditivos!$L$2:$L$200,aditivos!$A$2:$A$200,A187,aditivos!$C$2:$C$200,"C2"),2))</f>
        <v/>
      </c>
      <c r="M187" s="159" t="str">
        <f t="shared" si="94"/>
        <v/>
      </c>
      <c r="N187" s="159" t="str">
        <f>IF(A187="","",IF(itens_Remanesc!G187="","",itens_Remanesc!G187))</f>
        <v/>
      </c>
      <c r="O187" s="167" t="str">
        <f t="shared" si="95"/>
        <v/>
      </c>
      <c r="P187" s="169" t="str">
        <f>IF(A187="","",ROUND(SUMIFS(aditivos!$L$2:$L$200,aditivos!$A$2:$A$200,A187,aditivos!$C$2:$C$200,"C3"),2))</f>
        <v/>
      </c>
      <c r="Q187" s="165" t="str">
        <f t="shared" si="96"/>
        <v/>
      </c>
      <c r="R187" s="165" t="str">
        <f>IF(A187="","",IF(itens_Remanesc!I187="","",itens_Remanesc!I187))</f>
        <v/>
      </c>
      <c r="S187" s="171" t="str">
        <f t="shared" si="97"/>
        <v/>
      </c>
      <c r="T187" s="163" t="str">
        <f>IF(A187="","",ROUND(SUMIFS(aditivos!$L$2:$L$200,aditivos!$A$2:$A$200,A187,aditivos!$C$2:$C$200,"C4"),2))</f>
        <v/>
      </c>
      <c r="U187" s="159" t="str">
        <f t="shared" si="98"/>
        <v/>
      </c>
      <c r="V187" s="159" t="str">
        <f>IF(A187="","",IF(itens_Remanesc!K187="","",itens_Remanesc!K187))</f>
        <v/>
      </c>
      <c r="W187" s="159" t="str">
        <f t="shared" si="99"/>
        <v/>
      </c>
      <c r="X187" s="146" t="str">
        <f>IF(A187="","",IF(COUNTIF($A$2:$A$200,A187)&gt;1,"ALERTA: ITEM_DUPLICADO",IF(AND($Z187,ISNUMBER(itens_Remanesc!B187),itens_Remanesc!B187&lt;&gt;0),"NOVO ITEM COM BASE DIFERENTE DE 0 - AJUSTAR itens_Remanesc",IF(AND($Z187,NOT(ISNUMBER(itens_Remanesc!C187))),"NOVO ITEM SEM VU_ORIGINAL - INFORMAR EM itens_Remanesc",IF(MIN(E187,I187,M187,Q187,U187,G187,K187,O187,S187,W187)&lt;0,"ALERTA: POSICAO_NEGATIVA",IF(OR(AND(G187&lt;&gt;"",G187&gt;E187),AND(K187&lt;&gt;"",K187&gt;I187),AND(O187&lt;&gt;"",O187&gt;M187),AND(S187&lt;&gt;"",S187&gt;Q187),AND(W187&lt;&gt;"",W187&gt;U187)),"ALERTA: REMANESCENTE_SUPERA_POSICAO","OK"))))))</f>
        <v/>
      </c>
      <c r="Y187" t="str">
        <f t="shared" si="100"/>
        <v/>
      </c>
      <c r="Z187" t="b">
        <f t="shared" si="101"/>
        <v>0</v>
      </c>
      <c r="AA187" s="208" t="str">
        <f>IF($A187="","",IF(COUNTIFS(aditivos!$A$2:$A$200,$A187,aditivos!$L$2:$L$200,"&lt;&gt;",aditivos!$L$2:$L$200,"&lt;&gt;0",aditivos!$B$2:$B$200,"&gt;0")=0,"",IFERROR(_xlfn.MINIFS(aditivos!$B$2:$B$200,aditivos!$A$2:$A$200,$A187,aditivos!$L$2:$L$200,"&lt;&gt;",aditivos!$L$2:$L$200,"&lt;&gt;0",aditivos!$B$2:$B$200,"&gt;0"),"")))</f>
        <v/>
      </c>
      <c r="AB187" t="str">
        <f>IF($A187="","",IF(OR(parametros!$C$2="",parametros!$I$2=""),0,ROUND(SUMIFS(aditivos!$L$2:$L$200,aditivos!$A$2:$A$200,$A187,aditivos!$C$2:$C$200,"C0",aditivos!$B$2:$B$200,"&gt;="&amp;(INT(parametros!$I$2)+1)),2)))</f>
        <v/>
      </c>
      <c r="AC187" t="str">
        <f>IF($A187="","",IF(OR(parametros!$C$3="",parametros!$I$3=""),0,ROUND(SUMIFS(aditivos!$L$2:$L$200,aditivos!$A$2:$A$200,$A187,aditivos!$C$2:$C$200,"C1",aditivos!$B$2:$B$200,"&gt;="&amp;(INT(parametros!$I$3)+1)),2)))</f>
        <v/>
      </c>
      <c r="AD187" t="str">
        <f>IF($A187="","",IF(OR(parametros!$C$4="",parametros!$I$4=""),0,ROUND(SUMIFS(aditivos!$L$2:$L$200,aditivos!$A$2:$A$200,$A187,aditivos!$C$2:$C$200,"C2",aditivos!$B$2:$B$200,"&gt;="&amp;(INT(parametros!$I$4)+1)),2)))</f>
        <v/>
      </c>
      <c r="AE187" t="str">
        <f>IF($A187="","",IF(OR(parametros!$C$5="",parametros!$I$5=""),0,ROUND(SUMIFS(aditivos!$L$2:$L$200,aditivos!$A$2:$A$200,$A187,aditivos!$C$2:$C$200,"C3",aditivos!$B$2:$B$200,"&gt;="&amp;(INT(parametros!$I$5)+1)),2)))</f>
        <v/>
      </c>
      <c r="AF187" t="str">
        <f>IF($A187="","",IF(OR(parametros!$C$6="",parametros!$I$6=""),0,ROUND(SUMIFS(aditivos!$L$2:$L$200,aditivos!$A$2:$A$200,$A187,aditivos!$C$2:$C$200,"C4",aditivos!$B$2:$B$200,"&gt;="&amp;(INT(parametros!$I$6)+1)),2)))</f>
        <v/>
      </c>
      <c r="AG187" t="str">
        <f t="shared" si="102"/>
        <v/>
      </c>
      <c r="AH187" t="str">
        <f t="shared" si="103"/>
        <v/>
      </c>
      <c r="AI187" t="str">
        <f t="shared" si="104"/>
        <v/>
      </c>
      <c r="AJ187" t="str">
        <f t="shared" si="105"/>
        <v/>
      </c>
      <c r="AK187" t="str">
        <f t="shared" si="106"/>
        <v/>
      </c>
      <c r="AL187" t="str">
        <f t="shared" si="107"/>
        <v/>
      </c>
    </row>
    <row r="188" spans="1:38" x14ac:dyDescent="0.35">
      <c r="A188" s="146" t="str">
        <f>IF(itens_Remanesc!A188="","",itens_Remanesc!A188)</f>
        <v/>
      </c>
      <c r="B188" s="196" t="str">
        <f>IF(A188="","",itens_Remanesc!C188)</f>
        <v/>
      </c>
      <c r="C188" s="161" t="str">
        <f>IF(A188="","",IF(itens_Remanesc!B188="",0,itens_Remanesc!B188))</f>
        <v/>
      </c>
      <c r="D188" s="163" t="str">
        <f>IF(A188="","",ROUND(SUMIFS(aditivos!$L$2:$L$200,aditivos!$A$2:$A$200,A188,aditivos!$C$2:$C$200,"C0"),2))</f>
        <v/>
      </c>
      <c r="E188" s="159" t="str">
        <f t="shared" si="90"/>
        <v/>
      </c>
      <c r="F188" s="159" t="str">
        <f>IF(A188="","",IF(itens_Remanesc!B188&lt;&gt;"",itens_Remanesc!B188,IF($Z188,0,"")))</f>
        <v/>
      </c>
      <c r="G188" s="167" t="str">
        <f t="shared" si="91"/>
        <v/>
      </c>
      <c r="H188" s="169" t="str">
        <f>IF(A188="","",ROUND(SUMIFS(aditivos!$L$2:$L$200,aditivos!$A$2:$A$200,A188,aditivos!$C$2:$C$200,"C1"),2))</f>
        <v/>
      </c>
      <c r="I188" s="165" t="str">
        <f t="shared" si="92"/>
        <v/>
      </c>
      <c r="J188" s="165" t="str">
        <f>IF(A188="","",IF(itens_Remanesc!E188="","",itens_Remanesc!E188))</f>
        <v/>
      </c>
      <c r="K188" s="171" t="str">
        <f t="shared" si="93"/>
        <v/>
      </c>
      <c r="L188" s="163" t="str">
        <f>IF(A188="","",ROUND(SUMIFS(aditivos!$L$2:$L$200,aditivos!$A$2:$A$200,A188,aditivos!$C$2:$C$200,"C2"),2))</f>
        <v/>
      </c>
      <c r="M188" s="159" t="str">
        <f t="shared" si="94"/>
        <v/>
      </c>
      <c r="N188" s="159" t="str">
        <f>IF(A188="","",IF(itens_Remanesc!G188="","",itens_Remanesc!G188))</f>
        <v/>
      </c>
      <c r="O188" s="167" t="str">
        <f t="shared" si="95"/>
        <v/>
      </c>
      <c r="P188" s="169" t="str">
        <f>IF(A188="","",ROUND(SUMIFS(aditivos!$L$2:$L$200,aditivos!$A$2:$A$200,A188,aditivos!$C$2:$C$200,"C3"),2))</f>
        <v/>
      </c>
      <c r="Q188" s="165" t="str">
        <f t="shared" si="96"/>
        <v/>
      </c>
      <c r="R188" s="165" t="str">
        <f>IF(A188="","",IF(itens_Remanesc!I188="","",itens_Remanesc!I188))</f>
        <v/>
      </c>
      <c r="S188" s="171" t="str">
        <f t="shared" si="97"/>
        <v/>
      </c>
      <c r="T188" s="163" t="str">
        <f>IF(A188="","",ROUND(SUMIFS(aditivos!$L$2:$L$200,aditivos!$A$2:$A$200,A188,aditivos!$C$2:$C$200,"C4"),2))</f>
        <v/>
      </c>
      <c r="U188" s="159" t="str">
        <f t="shared" si="98"/>
        <v/>
      </c>
      <c r="V188" s="159" t="str">
        <f>IF(A188="","",IF(itens_Remanesc!K188="","",itens_Remanesc!K188))</f>
        <v/>
      </c>
      <c r="W188" s="159" t="str">
        <f t="shared" si="99"/>
        <v/>
      </c>
      <c r="X188" s="146" t="str">
        <f>IF(A188="","",IF(COUNTIF($A$2:$A$200,A188)&gt;1,"ALERTA: ITEM_DUPLICADO",IF(AND($Z188,ISNUMBER(itens_Remanesc!B188),itens_Remanesc!B188&lt;&gt;0),"NOVO ITEM COM BASE DIFERENTE DE 0 - AJUSTAR itens_Remanesc",IF(AND($Z188,NOT(ISNUMBER(itens_Remanesc!C188))),"NOVO ITEM SEM VU_ORIGINAL - INFORMAR EM itens_Remanesc",IF(MIN(E188,I188,M188,Q188,U188,G188,K188,O188,S188,W188)&lt;0,"ALERTA: POSICAO_NEGATIVA",IF(OR(AND(G188&lt;&gt;"",G188&gt;E188),AND(K188&lt;&gt;"",K188&gt;I188),AND(O188&lt;&gt;"",O188&gt;M188),AND(S188&lt;&gt;"",S188&gt;Q188),AND(W188&lt;&gt;"",W188&gt;U188)),"ALERTA: REMANESCENTE_SUPERA_POSICAO","OK"))))))</f>
        <v/>
      </c>
      <c r="Y188" t="str">
        <f t="shared" si="100"/>
        <v/>
      </c>
      <c r="Z188" t="b">
        <f t="shared" si="101"/>
        <v>0</v>
      </c>
      <c r="AA188" s="208" t="str">
        <f>IF($A188="","",IF(COUNTIFS(aditivos!$A$2:$A$200,$A188,aditivos!$L$2:$L$200,"&lt;&gt;",aditivos!$L$2:$L$200,"&lt;&gt;0",aditivos!$B$2:$B$200,"&gt;0")=0,"",IFERROR(_xlfn.MINIFS(aditivos!$B$2:$B$200,aditivos!$A$2:$A$200,$A188,aditivos!$L$2:$L$200,"&lt;&gt;",aditivos!$L$2:$L$200,"&lt;&gt;0",aditivos!$B$2:$B$200,"&gt;0"),"")))</f>
        <v/>
      </c>
      <c r="AB188" t="str">
        <f>IF($A188="","",IF(OR(parametros!$C$2="",parametros!$I$2=""),0,ROUND(SUMIFS(aditivos!$L$2:$L$200,aditivos!$A$2:$A$200,$A188,aditivos!$C$2:$C$200,"C0",aditivos!$B$2:$B$200,"&gt;="&amp;(INT(parametros!$I$2)+1)),2)))</f>
        <v/>
      </c>
      <c r="AC188" t="str">
        <f>IF($A188="","",IF(OR(parametros!$C$3="",parametros!$I$3=""),0,ROUND(SUMIFS(aditivos!$L$2:$L$200,aditivos!$A$2:$A$200,$A188,aditivos!$C$2:$C$200,"C1",aditivos!$B$2:$B$200,"&gt;="&amp;(INT(parametros!$I$3)+1)),2)))</f>
        <v/>
      </c>
      <c r="AD188" t="str">
        <f>IF($A188="","",IF(OR(parametros!$C$4="",parametros!$I$4=""),0,ROUND(SUMIFS(aditivos!$L$2:$L$200,aditivos!$A$2:$A$200,$A188,aditivos!$C$2:$C$200,"C2",aditivos!$B$2:$B$200,"&gt;="&amp;(INT(parametros!$I$4)+1)),2)))</f>
        <v/>
      </c>
      <c r="AE188" t="str">
        <f>IF($A188="","",IF(OR(parametros!$C$5="",parametros!$I$5=""),0,ROUND(SUMIFS(aditivos!$L$2:$L$200,aditivos!$A$2:$A$200,$A188,aditivos!$C$2:$C$200,"C3",aditivos!$B$2:$B$200,"&gt;="&amp;(INT(parametros!$I$5)+1)),2)))</f>
        <v/>
      </c>
      <c r="AF188" t="str">
        <f>IF($A188="","",IF(OR(parametros!$C$6="",parametros!$I$6=""),0,ROUND(SUMIFS(aditivos!$L$2:$L$200,aditivos!$A$2:$A$200,$A188,aditivos!$C$2:$C$200,"C4",aditivos!$B$2:$B$200,"&gt;="&amp;(INT(parametros!$I$6)+1)),2)))</f>
        <v/>
      </c>
      <c r="AG188" t="str">
        <f t="shared" si="102"/>
        <v/>
      </c>
      <c r="AH188" t="str">
        <f t="shared" si="103"/>
        <v/>
      </c>
      <c r="AI188" t="str">
        <f t="shared" si="104"/>
        <v/>
      </c>
      <c r="AJ188" t="str">
        <f t="shared" si="105"/>
        <v/>
      </c>
      <c r="AK188" t="str">
        <f t="shared" si="106"/>
        <v/>
      </c>
      <c r="AL188" t="str">
        <f t="shared" si="107"/>
        <v/>
      </c>
    </row>
    <row r="189" spans="1:38" x14ac:dyDescent="0.35">
      <c r="A189" s="146" t="str">
        <f>IF(itens_Remanesc!A189="","",itens_Remanesc!A189)</f>
        <v/>
      </c>
      <c r="B189" s="196" t="str">
        <f>IF(A189="","",itens_Remanesc!C189)</f>
        <v/>
      </c>
      <c r="C189" s="161" t="str">
        <f>IF(A189="","",IF(itens_Remanesc!B189="",0,itens_Remanesc!B189))</f>
        <v/>
      </c>
      <c r="D189" s="163" t="str">
        <f>IF(A189="","",ROUND(SUMIFS(aditivos!$L$2:$L$200,aditivos!$A$2:$A$200,A189,aditivos!$C$2:$C$200,"C0"),2))</f>
        <v/>
      </c>
      <c r="E189" s="159" t="str">
        <f t="shared" si="90"/>
        <v/>
      </c>
      <c r="F189" s="159" t="str">
        <f>IF(A189="","",IF(itens_Remanesc!B189&lt;&gt;"",itens_Remanesc!B189,IF($Z189,0,"")))</f>
        <v/>
      </c>
      <c r="G189" s="167" t="str">
        <f t="shared" si="91"/>
        <v/>
      </c>
      <c r="H189" s="169" t="str">
        <f>IF(A189="","",ROUND(SUMIFS(aditivos!$L$2:$L$200,aditivos!$A$2:$A$200,A189,aditivos!$C$2:$C$200,"C1"),2))</f>
        <v/>
      </c>
      <c r="I189" s="165" t="str">
        <f t="shared" si="92"/>
        <v/>
      </c>
      <c r="J189" s="165" t="str">
        <f>IF(A189="","",IF(itens_Remanesc!E189="","",itens_Remanesc!E189))</f>
        <v/>
      </c>
      <c r="K189" s="171" t="str">
        <f t="shared" si="93"/>
        <v/>
      </c>
      <c r="L189" s="163" t="str">
        <f>IF(A189="","",ROUND(SUMIFS(aditivos!$L$2:$L$200,aditivos!$A$2:$A$200,A189,aditivos!$C$2:$C$200,"C2"),2))</f>
        <v/>
      </c>
      <c r="M189" s="159" t="str">
        <f t="shared" si="94"/>
        <v/>
      </c>
      <c r="N189" s="159" t="str">
        <f>IF(A189="","",IF(itens_Remanesc!G189="","",itens_Remanesc!G189))</f>
        <v/>
      </c>
      <c r="O189" s="167" t="str">
        <f t="shared" si="95"/>
        <v/>
      </c>
      <c r="P189" s="169" t="str">
        <f>IF(A189="","",ROUND(SUMIFS(aditivos!$L$2:$L$200,aditivos!$A$2:$A$200,A189,aditivos!$C$2:$C$200,"C3"),2))</f>
        <v/>
      </c>
      <c r="Q189" s="165" t="str">
        <f t="shared" si="96"/>
        <v/>
      </c>
      <c r="R189" s="165" t="str">
        <f>IF(A189="","",IF(itens_Remanesc!I189="","",itens_Remanesc!I189))</f>
        <v/>
      </c>
      <c r="S189" s="171" t="str">
        <f t="shared" si="97"/>
        <v/>
      </c>
      <c r="T189" s="163" t="str">
        <f>IF(A189="","",ROUND(SUMIFS(aditivos!$L$2:$L$200,aditivos!$A$2:$A$200,A189,aditivos!$C$2:$C$200,"C4"),2))</f>
        <v/>
      </c>
      <c r="U189" s="159" t="str">
        <f t="shared" si="98"/>
        <v/>
      </c>
      <c r="V189" s="159" t="str">
        <f>IF(A189="","",IF(itens_Remanesc!K189="","",itens_Remanesc!K189))</f>
        <v/>
      </c>
      <c r="W189" s="159" t="str">
        <f t="shared" si="99"/>
        <v/>
      </c>
      <c r="X189" s="146" t="str">
        <f>IF(A189="","",IF(COUNTIF($A$2:$A$200,A189)&gt;1,"ALERTA: ITEM_DUPLICADO",IF(AND($Z189,ISNUMBER(itens_Remanesc!B189),itens_Remanesc!B189&lt;&gt;0),"NOVO ITEM COM BASE DIFERENTE DE 0 - AJUSTAR itens_Remanesc",IF(AND($Z189,NOT(ISNUMBER(itens_Remanesc!C189))),"NOVO ITEM SEM VU_ORIGINAL - INFORMAR EM itens_Remanesc",IF(MIN(E189,I189,M189,Q189,U189,G189,K189,O189,S189,W189)&lt;0,"ALERTA: POSICAO_NEGATIVA",IF(OR(AND(G189&lt;&gt;"",G189&gt;E189),AND(K189&lt;&gt;"",K189&gt;I189),AND(O189&lt;&gt;"",O189&gt;M189),AND(S189&lt;&gt;"",S189&gt;Q189),AND(W189&lt;&gt;"",W189&gt;U189)),"ALERTA: REMANESCENTE_SUPERA_POSICAO","OK"))))))</f>
        <v/>
      </c>
      <c r="Y189" t="str">
        <f t="shared" si="100"/>
        <v/>
      </c>
      <c r="Z189" t="b">
        <f t="shared" si="101"/>
        <v>0</v>
      </c>
      <c r="AA189" s="208" t="str">
        <f>IF($A189="","",IF(COUNTIFS(aditivos!$A$2:$A$200,$A189,aditivos!$L$2:$L$200,"&lt;&gt;",aditivos!$L$2:$L$200,"&lt;&gt;0",aditivos!$B$2:$B$200,"&gt;0")=0,"",IFERROR(_xlfn.MINIFS(aditivos!$B$2:$B$200,aditivos!$A$2:$A$200,$A189,aditivos!$L$2:$L$200,"&lt;&gt;",aditivos!$L$2:$L$200,"&lt;&gt;0",aditivos!$B$2:$B$200,"&gt;0"),"")))</f>
        <v/>
      </c>
      <c r="AB189" t="str">
        <f>IF($A189="","",IF(OR(parametros!$C$2="",parametros!$I$2=""),0,ROUND(SUMIFS(aditivos!$L$2:$L$200,aditivos!$A$2:$A$200,$A189,aditivos!$C$2:$C$200,"C0",aditivos!$B$2:$B$200,"&gt;="&amp;(INT(parametros!$I$2)+1)),2)))</f>
        <v/>
      </c>
      <c r="AC189" t="str">
        <f>IF($A189="","",IF(OR(parametros!$C$3="",parametros!$I$3=""),0,ROUND(SUMIFS(aditivos!$L$2:$L$200,aditivos!$A$2:$A$200,$A189,aditivos!$C$2:$C$200,"C1",aditivos!$B$2:$B$200,"&gt;="&amp;(INT(parametros!$I$3)+1)),2)))</f>
        <v/>
      </c>
      <c r="AD189" t="str">
        <f>IF($A189="","",IF(OR(parametros!$C$4="",parametros!$I$4=""),0,ROUND(SUMIFS(aditivos!$L$2:$L$200,aditivos!$A$2:$A$200,$A189,aditivos!$C$2:$C$200,"C2",aditivos!$B$2:$B$200,"&gt;="&amp;(INT(parametros!$I$4)+1)),2)))</f>
        <v/>
      </c>
      <c r="AE189" t="str">
        <f>IF($A189="","",IF(OR(parametros!$C$5="",parametros!$I$5=""),0,ROUND(SUMIFS(aditivos!$L$2:$L$200,aditivos!$A$2:$A$200,$A189,aditivos!$C$2:$C$200,"C3",aditivos!$B$2:$B$200,"&gt;="&amp;(INT(parametros!$I$5)+1)),2)))</f>
        <v/>
      </c>
      <c r="AF189" t="str">
        <f>IF($A189="","",IF(OR(parametros!$C$6="",parametros!$I$6=""),0,ROUND(SUMIFS(aditivos!$L$2:$L$200,aditivos!$A$2:$A$200,$A189,aditivos!$C$2:$C$200,"C4",aditivos!$B$2:$B$200,"&gt;="&amp;(INT(parametros!$I$6)+1)),2)))</f>
        <v/>
      </c>
      <c r="AG189" t="str">
        <f t="shared" si="102"/>
        <v/>
      </c>
      <c r="AH189" t="str">
        <f t="shared" si="103"/>
        <v/>
      </c>
      <c r="AI189" t="str">
        <f t="shared" si="104"/>
        <v/>
      </c>
      <c r="AJ189" t="str">
        <f t="shared" si="105"/>
        <v/>
      </c>
      <c r="AK189" t="str">
        <f t="shared" si="106"/>
        <v/>
      </c>
      <c r="AL189" t="str">
        <f t="shared" si="107"/>
        <v/>
      </c>
    </row>
    <row r="190" spans="1:38" x14ac:dyDescent="0.35">
      <c r="A190" s="146" t="str">
        <f>IF(itens_Remanesc!A190="","",itens_Remanesc!A190)</f>
        <v/>
      </c>
      <c r="B190" s="196" t="str">
        <f>IF(A190="","",itens_Remanesc!C190)</f>
        <v/>
      </c>
      <c r="C190" s="161" t="str">
        <f>IF(A190="","",IF(itens_Remanesc!B190="",0,itens_Remanesc!B190))</f>
        <v/>
      </c>
      <c r="D190" s="163" t="str">
        <f>IF(A190="","",ROUND(SUMIFS(aditivos!$L$2:$L$200,aditivos!$A$2:$A$200,A190,aditivos!$C$2:$C$200,"C0"),2))</f>
        <v/>
      </c>
      <c r="E190" s="159" t="str">
        <f t="shared" si="90"/>
        <v/>
      </c>
      <c r="F190" s="159" t="str">
        <f>IF(A190="","",IF(itens_Remanesc!B190&lt;&gt;"",itens_Remanesc!B190,IF($Z190,0,"")))</f>
        <v/>
      </c>
      <c r="G190" s="167" t="str">
        <f t="shared" si="91"/>
        <v/>
      </c>
      <c r="H190" s="169" t="str">
        <f>IF(A190="","",ROUND(SUMIFS(aditivos!$L$2:$L$200,aditivos!$A$2:$A$200,A190,aditivos!$C$2:$C$200,"C1"),2))</f>
        <v/>
      </c>
      <c r="I190" s="165" t="str">
        <f t="shared" si="92"/>
        <v/>
      </c>
      <c r="J190" s="165" t="str">
        <f>IF(A190="","",IF(itens_Remanesc!E190="","",itens_Remanesc!E190))</f>
        <v/>
      </c>
      <c r="K190" s="171" t="str">
        <f t="shared" si="93"/>
        <v/>
      </c>
      <c r="L190" s="163" t="str">
        <f>IF(A190="","",ROUND(SUMIFS(aditivos!$L$2:$L$200,aditivos!$A$2:$A$200,A190,aditivos!$C$2:$C$200,"C2"),2))</f>
        <v/>
      </c>
      <c r="M190" s="159" t="str">
        <f t="shared" si="94"/>
        <v/>
      </c>
      <c r="N190" s="159" t="str">
        <f>IF(A190="","",IF(itens_Remanesc!G190="","",itens_Remanesc!G190))</f>
        <v/>
      </c>
      <c r="O190" s="167" t="str">
        <f t="shared" si="95"/>
        <v/>
      </c>
      <c r="P190" s="169" t="str">
        <f>IF(A190="","",ROUND(SUMIFS(aditivos!$L$2:$L$200,aditivos!$A$2:$A$200,A190,aditivos!$C$2:$C$200,"C3"),2))</f>
        <v/>
      </c>
      <c r="Q190" s="165" t="str">
        <f t="shared" si="96"/>
        <v/>
      </c>
      <c r="R190" s="165" t="str">
        <f>IF(A190="","",IF(itens_Remanesc!I190="","",itens_Remanesc!I190))</f>
        <v/>
      </c>
      <c r="S190" s="171" t="str">
        <f t="shared" si="97"/>
        <v/>
      </c>
      <c r="T190" s="163" t="str">
        <f>IF(A190="","",ROUND(SUMIFS(aditivos!$L$2:$L$200,aditivos!$A$2:$A$200,A190,aditivos!$C$2:$C$200,"C4"),2))</f>
        <v/>
      </c>
      <c r="U190" s="159" t="str">
        <f t="shared" si="98"/>
        <v/>
      </c>
      <c r="V190" s="159" t="str">
        <f>IF(A190="","",IF(itens_Remanesc!K190="","",itens_Remanesc!K190))</f>
        <v/>
      </c>
      <c r="W190" s="159" t="str">
        <f t="shared" si="99"/>
        <v/>
      </c>
      <c r="X190" s="146" t="str">
        <f>IF(A190="","",IF(COUNTIF($A$2:$A$200,A190)&gt;1,"ALERTA: ITEM_DUPLICADO",IF(AND($Z190,ISNUMBER(itens_Remanesc!B190),itens_Remanesc!B190&lt;&gt;0),"NOVO ITEM COM BASE DIFERENTE DE 0 - AJUSTAR itens_Remanesc",IF(AND($Z190,NOT(ISNUMBER(itens_Remanesc!C190))),"NOVO ITEM SEM VU_ORIGINAL - INFORMAR EM itens_Remanesc",IF(MIN(E190,I190,M190,Q190,U190,G190,K190,O190,S190,W190)&lt;0,"ALERTA: POSICAO_NEGATIVA",IF(OR(AND(G190&lt;&gt;"",G190&gt;E190),AND(K190&lt;&gt;"",K190&gt;I190),AND(O190&lt;&gt;"",O190&gt;M190),AND(S190&lt;&gt;"",S190&gt;Q190),AND(W190&lt;&gt;"",W190&gt;U190)),"ALERTA: REMANESCENTE_SUPERA_POSICAO","OK"))))))</f>
        <v/>
      </c>
      <c r="Y190" t="str">
        <f t="shared" si="100"/>
        <v/>
      </c>
      <c r="Z190" t="b">
        <f t="shared" si="101"/>
        <v>0</v>
      </c>
      <c r="AA190" s="208" t="str">
        <f>IF($A190="","",IF(COUNTIFS(aditivos!$A$2:$A$200,$A190,aditivos!$L$2:$L$200,"&lt;&gt;",aditivos!$L$2:$L$200,"&lt;&gt;0",aditivos!$B$2:$B$200,"&gt;0")=0,"",IFERROR(_xlfn.MINIFS(aditivos!$B$2:$B$200,aditivos!$A$2:$A$200,$A190,aditivos!$L$2:$L$200,"&lt;&gt;",aditivos!$L$2:$L$200,"&lt;&gt;0",aditivos!$B$2:$B$200,"&gt;0"),"")))</f>
        <v/>
      </c>
      <c r="AB190" t="str">
        <f>IF($A190="","",IF(OR(parametros!$C$2="",parametros!$I$2=""),0,ROUND(SUMIFS(aditivos!$L$2:$L$200,aditivos!$A$2:$A$200,$A190,aditivos!$C$2:$C$200,"C0",aditivos!$B$2:$B$200,"&gt;="&amp;(INT(parametros!$I$2)+1)),2)))</f>
        <v/>
      </c>
      <c r="AC190" t="str">
        <f>IF($A190="","",IF(OR(parametros!$C$3="",parametros!$I$3=""),0,ROUND(SUMIFS(aditivos!$L$2:$L$200,aditivos!$A$2:$A$200,$A190,aditivos!$C$2:$C$200,"C1",aditivos!$B$2:$B$200,"&gt;="&amp;(INT(parametros!$I$3)+1)),2)))</f>
        <v/>
      </c>
      <c r="AD190" t="str">
        <f>IF($A190="","",IF(OR(parametros!$C$4="",parametros!$I$4=""),0,ROUND(SUMIFS(aditivos!$L$2:$L$200,aditivos!$A$2:$A$200,$A190,aditivos!$C$2:$C$200,"C2",aditivos!$B$2:$B$200,"&gt;="&amp;(INT(parametros!$I$4)+1)),2)))</f>
        <v/>
      </c>
      <c r="AE190" t="str">
        <f>IF($A190="","",IF(OR(parametros!$C$5="",parametros!$I$5=""),0,ROUND(SUMIFS(aditivos!$L$2:$L$200,aditivos!$A$2:$A$200,$A190,aditivos!$C$2:$C$200,"C3",aditivos!$B$2:$B$200,"&gt;="&amp;(INT(parametros!$I$5)+1)),2)))</f>
        <v/>
      </c>
      <c r="AF190" t="str">
        <f>IF($A190="","",IF(OR(parametros!$C$6="",parametros!$I$6=""),0,ROUND(SUMIFS(aditivos!$L$2:$L$200,aditivos!$A$2:$A$200,$A190,aditivos!$C$2:$C$200,"C4",aditivos!$B$2:$B$200,"&gt;="&amp;(INT(parametros!$I$6)+1)),2)))</f>
        <v/>
      </c>
      <c r="AG190" t="str">
        <f t="shared" si="102"/>
        <v/>
      </c>
      <c r="AH190" t="str">
        <f t="shared" si="103"/>
        <v/>
      </c>
      <c r="AI190" t="str">
        <f t="shared" si="104"/>
        <v/>
      </c>
      <c r="AJ190" t="str">
        <f t="shared" si="105"/>
        <v/>
      </c>
      <c r="AK190" t="str">
        <f t="shared" si="106"/>
        <v/>
      </c>
      <c r="AL190" t="str">
        <f t="shared" si="107"/>
        <v/>
      </c>
    </row>
    <row r="191" spans="1:38" x14ac:dyDescent="0.35">
      <c r="A191" s="146" t="str">
        <f>IF(itens_Remanesc!A191="","",itens_Remanesc!A191)</f>
        <v/>
      </c>
      <c r="B191" s="196" t="str">
        <f>IF(A191="","",itens_Remanesc!C191)</f>
        <v/>
      </c>
      <c r="C191" s="161" t="str">
        <f>IF(A191="","",IF(itens_Remanesc!B191="",0,itens_Remanesc!B191))</f>
        <v/>
      </c>
      <c r="D191" s="163" t="str">
        <f>IF(A191="","",ROUND(SUMIFS(aditivos!$L$2:$L$200,aditivos!$A$2:$A$200,A191,aditivos!$C$2:$C$200,"C0"),2))</f>
        <v/>
      </c>
      <c r="E191" s="159" t="str">
        <f t="shared" si="90"/>
        <v/>
      </c>
      <c r="F191" s="159" t="str">
        <f>IF(A191="","",IF(itens_Remanesc!B191&lt;&gt;"",itens_Remanesc!B191,IF($Z191,0,"")))</f>
        <v/>
      </c>
      <c r="G191" s="167" t="str">
        <f t="shared" si="91"/>
        <v/>
      </c>
      <c r="H191" s="169" t="str">
        <f>IF(A191="","",ROUND(SUMIFS(aditivos!$L$2:$L$200,aditivos!$A$2:$A$200,A191,aditivos!$C$2:$C$200,"C1"),2))</f>
        <v/>
      </c>
      <c r="I191" s="165" t="str">
        <f t="shared" si="92"/>
        <v/>
      </c>
      <c r="J191" s="165" t="str">
        <f>IF(A191="","",IF(itens_Remanesc!E191="","",itens_Remanesc!E191))</f>
        <v/>
      </c>
      <c r="K191" s="171" t="str">
        <f t="shared" si="93"/>
        <v/>
      </c>
      <c r="L191" s="163" t="str">
        <f>IF(A191="","",ROUND(SUMIFS(aditivos!$L$2:$L$200,aditivos!$A$2:$A$200,A191,aditivos!$C$2:$C$200,"C2"),2))</f>
        <v/>
      </c>
      <c r="M191" s="159" t="str">
        <f t="shared" si="94"/>
        <v/>
      </c>
      <c r="N191" s="159" t="str">
        <f>IF(A191="","",IF(itens_Remanesc!G191="","",itens_Remanesc!G191))</f>
        <v/>
      </c>
      <c r="O191" s="167" t="str">
        <f t="shared" si="95"/>
        <v/>
      </c>
      <c r="P191" s="169" t="str">
        <f>IF(A191="","",ROUND(SUMIFS(aditivos!$L$2:$L$200,aditivos!$A$2:$A$200,A191,aditivos!$C$2:$C$200,"C3"),2))</f>
        <v/>
      </c>
      <c r="Q191" s="165" t="str">
        <f t="shared" si="96"/>
        <v/>
      </c>
      <c r="R191" s="165" t="str">
        <f>IF(A191="","",IF(itens_Remanesc!I191="","",itens_Remanesc!I191))</f>
        <v/>
      </c>
      <c r="S191" s="171" t="str">
        <f t="shared" si="97"/>
        <v/>
      </c>
      <c r="T191" s="163" t="str">
        <f>IF(A191="","",ROUND(SUMIFS(aditivos!$L$2:$L$200,aditivos!$A$2:$A$200,A191,aditivos!$C$2:$C$200,"C4"),2))</f>
        <v/>
      </c>
      <c r="U191" s="159" t="str">
        <f t="shared" si="98"/>
        <v/>
      </c>
      <c r="V191" s="159" t="str">
        <f>IF(A191="","",IF(itens_Remanesc!K191="","",itens_Remanesc!K191))</f>
        <v/>
      </c>
      <c r="W191" s="159" t="str">
        <f t="shared" si="99"/>
        <v/>
      </c>
      <c r="X191" s="146" t="str">
        <f>IF(A191="","",IF(COUNTIF($A$2:$A$200,A191)&gt;1,"ALERTA: ITEM_DUPLICADO",IF(AND($Z191,ISNUMBER(itens_Remanesc!B191),itens_Remanesc!B191&lt;&gt;0),"NOVO ITEM COM BASE DIFERENTE DE 0 - AJUSTAR itens_Remanesc",IF(AND($Z191,NOT(ISNUMBER(itens_Remanesc!C191))),"NOVO ITEM SEM VU_ORIGINAL - INFORMAR EM itens_Remanesc",IF(MIN(E191,I191,M191,Q191,U191,G191,K191,O191,S191,W191)&lt;0,"ALERTA: POSICAO_NEGATIVA",IF(OR(AND(G191&lt;&gt;"",G191&gt;E191),AND(K191&lt;&gt;"",K191&gt;I191),AND(O191&lt;&gt;"",O191&gt;M191),AND(S191&lt;&gt;"",S191&gt;Q191),AND(W191&lt;&gt;"",W191&gt;U191)),"ALERTA: REMANESCENTE_SUPERA_POSICAO","OK"))))))</f>
        <v/>
      </c>
      <c r="Y191" t="str">
        <f t="shared" si="100"/>
        <v/>
      </c>
      <c r="Z191" t="b">
        <f t="shared" si="101"/>
        <v>0</v>
      </c>
      <c r="AA191" s="208" t="str">
        <f>IF($A191="","",IF(COUNTIFS(aditivos!$A$2:$A$200,$A191,aditivos!$L$2:$L$200,"&lt;&gt;",aditivos!$L$2:$L$200,"&lt;&gt;0",aditivos!$B$2:$B$200,"&gt;0")=0,"",IFERROR(_xlfn.MINIFS(aditivos!$B$2:$B$200,aditivos!$A$2:$A$200,$A191,aditivos!$L$2:$L$200,"&lt;&gt;",aditivos!$L$2:$L$200,"&lt;&gt;0",aditivos!$B$2:$B$200,"&gt;0"),"")))</f>
        <v/>
      </c>
      <c r="AB191" t="str">
        <f>IF($A191="","",IF(OR(parametros!$C$2="",parametros!$I$2=""),0,ROUND(SUMIFS(aditivos!$L$2:$L$200,aditivos!$A$2:$A$200,$A191,aditivos!$C$2:$C$200,"C0",aditivos!$B$2:$B$200,"&gt;="&amp;(INT(parametros!$I$2)+1)),2)))</f>
        <v/>
      </c>
      <c r="AC191" t="str">
        <f>IF($A191="","",IF(OR(parametros!$C$3="",parametros!$I$3=""),0,ROUND(SUMIFS(aditivos!$L$2:$L$200,aditivos!$A$2:$A$200,$A191,aditivos!$C$2:$C$200,"C1",aditivos!$B$2:$B$200,"&gt;="&amp;(INT(parametros!$I$3)+1)),2)))</f>
        <v/>
      </c>
      <c r="AD191" t="str">
        <f>IF($A191="","",IF(OR(parametros!$C$4="",parametros!$I$4=""),0,ROUND(SUMIFS(aditivos!$L$2:$L$200,aditivos!$A$2:$A$200,$A191,aditivos!$C$2:$C$200,"C2",aditivos!$B$2:$B$200,"&gt;="&amp;(INT(parametros!$I$4)+1)),2)))</f>
        <v/>
      </c>
      <c r="AE191" t="str">
        <f>IF($A191="","",IF(OR(parametros!$C$5="",parametros!$I$5=""),0,ROUND(SUMIFS(aditivos!$L$2:$L$200,aditivos!$A$2:$A$200,$A191,aditivos!$C$2:$C$200,"C3",aditivos!$B$2:$B$200,"&gt;="&amp;(INT(parametros!$I$5)+1)),2)))</f>
        <v/>
      </c>
      <c r="AF191" t="str">
        <f>IF($A191="","",IF(OR(parametros!$C$6="",parametros!$I$6=""),0,ROUND(SUMIFS(aditivos!$L$2:$L$200,aditivos!$A$2:$A$200,$A191,aditivos!$C$2:$C$200,"C4",aditivos!$B$2:$B$200,"&gt;="&amp;(INT(parametros!$I$6)+1)),2)))</f>
        <v/>
      </c>
      <c r="AG191" t="str">
        <f t="shared" si="102"/>
        <v/>
      </c>
      <c r="AH191" t="str">
        <f t="shared" si="103"/>
        <v/>
      </c>
      <c r="AI191" t="str">
        <f t="shared" si="104"/>
        <v/>
      </c>
      <c r="AJ191" t="str">
        <f t="shared" si="105"/>
        <v/>
      </c>
      <c r="AK191" t="str">
        <f t="shared" si="106"/>
        <v/>
      </c>
      <c r="AL191" t="str">
        <f t="shared" si="107"/>
        <v/>
      </c>
    </row>
    <row r="192" spans="1:38" x14ac:dyDescent="0.35">
      <c r="A192" s="146" t="str">
        <f>IF(itens_Remanesc!A192="","",itens_Remanesc!A192)</f>
        <v/>
      </c>
      <c r="B192" s="196" t="str">
        <f>IF(A192="","",itens_Remanesc!C192)</f>
        <v/>
      </c>
      <c r="C192" s="161" t="str">
        <f>IF(A192="","",IF(itens_Remanesc!B192="",0,itens_Remanesc!B192))</f>
        <v/>
      </c>
      <c r="D192" s="163" t="str">
        <f>IF(A192="","",ROUND(SUMIFS(aditivos!$L$2:$L$200,aditivos!$A$2:$A$200,A192,aditivos!$C$2:$C$200,"C0"),2))</f>
        <v/>
      </c>
      <c r="E192" s="159" t="str">
        <f t="shared" si="90"/>
        <v/>
      </c>
      <c r="F192" s="159" t="str">
        <f>IF(A192="","",IF(itens_Remanesc!B192&lt;&gt;"",itens_Remanesc!B192,IF($Z192,0,"")))</f>
        <v/>
      </c>
      <c r="G192" s="167" t="str">
        <f t="shared" si="91"/>
        <v/>
      </c>
      <c r="H192" s="169" t="str">
        <f>IF(A192="","",ROUND(SUMIFS(aditivos!$L$2:$L$200,aditivos!$A$2:$A$200,A192,aditivos!$C$2:$C$200,"C1"),2))</f>
        <v/>
      </c>
      <c r="I192" s="165" t="str">
        <f t="shared" si="92"/>
        <v/>
      </c>
      <c r="J192" s="165" t="str">
        <f>IF(A192="","",IF(itens_Remanesc!E192="","",itens_Remanesc!E192))</f>
        <v/>
      </c>
      <c r="K192" s="171" t="str">
        <f t="shared" si="93"/>
        <v/>
      </c>
      <c r="L192" s="163" t="str">
        <f>IF(A192="","",ROUND(SUMIFS(aditivos!$L$2:$L$200,aditivos!$A$2:$A$200,A192,aditivos!$C$2:$C$200,"C2"),2))</f>
        <v/>
      </c>
      <c r="M192" s="159" t="str">
        <f t="shared" si="94"/>
        <v/>
      </c>
      <c r="N192" s="159" t="str">
        <f>IF(A192="","",IF(itens_Remanesc!G192="","",itens_Remanesc!G192))</f>
        <v/>
      </c>
      <c r="O192" s="167" t="str">
        <f t="shared" si="95"/>
        <v/>
      </c>
      <c r="P192" s="169" t="str">
        <f>IF(A192="","",ROUND(SUMIFS(aditivos!$L$2:$L$200,aditivos!$A$2:$A$200,A192,aditivos!$C$2:$C$200,"C3"),2))</f>
        <v/>
      </c>
      <c r="Q192" s="165" t="str">
        <f t="shared" si="96"/>
        <v/>
      </c>
      <c r="R192" s="165" t="str">
        <f>IF(A192="","",IF(itens_Remanesc!I192="","",itens_Remanesc!I192))</f>
        <v/>
      </c>
      <c r="S192" s="171" t="str">
        <f t="shared" si="97"/>
        <v/>
      </c>
      <c r="T192" s="163" t="str">
        <f>IF(A192="","",ROUND(SUMIFS(aditivos!$L$2:$L$200,aditivos!$A$2:$A$200,A192,aditivos!$C$2:$C$200,"C4"),2))</f>
        <v/>
      </c>
      <c r="U192" s="159" t="str">
        <f t="shared" si="98"/>
        <v/>
      </c>
      <c r="V192" s="159" t="str">
        <f>IF(A192="","",IF(itens_Remanesc!K192="","",itens_Remanesc!K192))</f>
        <v/>
      </c>
      <c r="W192" s="159" t="str">
        <f t="shared" si="99"/>
        <v/>
      </c>
      <c r="X192" s="146" t="str">
        <f>IF(A192="","",IF(COUNTIF($A$2:$A$200,A192)&gt;1,"ALERTA: ITEM_DUPLICADO",IF(AND($Z192,ISNUMBER(itens_Remanesc!B192),itens_Remanesc!B192&lt;&gt;0),"NOVO ITEM COM BASE DIFERENTE DE 0 - AJUSTAR itens_Remanesc",IF(AND($Z192,NOT(ISNUMBER(itens_Remanesc!C192))),"NOVO ITEM SEM VU_ORIGINAL - INFORMAR EM itens_Remanesc",IF(MIN(E192,I192,M192,Q192,U192,G192,K192,O192,S192,W192)&lt;0,"ALERTA: POSICAO_NEGATIVA",IF(OR(AND(G192&lt;&gt;"",G192&gt;E192),AND(K192&lt;&gt;"",K192&gt;I192),AND(O192&lt;&gt;"",O192&gt;M192),AND(S192&lt;&gt;"",S192&gt;Q192),AND(W192&lt;&gt;"",W192&gt;U192)),"ALERTA: REMANESCENTE_SUPERA_POSICAO","OK"))))))</f>
        <v/>
      </c>
      <c r="Y192" t="str">
        <f t="shared" si="100"/>
        <v/>
      </c>
      <c r="Z192" t="b">
        <f t="shared" si="101"/>
        <v>0</v>
      </c>
      <c r="AA192" s="208" t="str">
        <f>IF($A192="","",IF(COUNTIFS(aditivos!$A$2:$A$200,$A192,aditivos!$L$2:$L$200,"&lt;&gt;",aditivos!$L$2:$L$200,"&lt;&gt;0",aditivos!$B$2:$B$200,"&gt;0")=0,"",IFERROR(_xlfn.MINIFS(aditivos!$B$2:$B$200,aditivos!$A$2:$A$200,$A192,aditivos!$L$2:$L$200,"&lt;&gt;",aditivos!$L$2:$L$200,"&lt;&gt;0",aditivos!$B$2:$B$200,"&gt;0"),"")))</f>
        <v/>
      </c>
      <c r="AB192" t="str">
        <f>IF($A192="","",IF(OR(parametros!$C$2="",parametros!$I$2=""),0,ROUND(SUMIFS(aditivos!$L$2:$L$200,aditivos!$A$2:$A$200,$A192,aditivos!$C$2:$C$200,"C0",aditivos!$B$2:$B$200,"&gt;="&amp;(INT(parametros!$I$2)+1)),2)))</f>
        <v/>
      </c>
      <c r="AC192" t="str">
        <f>IF($A192="","",IF(OR(parametros!$C$3="",parametros!$I$3=""),0,ROUND(SUMIFS(aditivos!$L$2:$L$200,aditivos!$A$2:$A$200,$A192,aditivos!$C$2:$C$200,"C1",aditivos!$B$2:$B$200,"&gt;="&amp;(INT(parametros!$I$3)+1)),2)))</f>
        <v/>
      </c>
      <c r="AD192" t="str">
        <f>IF($A192="","",IF(OR(parametros!$C$4="",parametros!$I$4=""),0,ROUND(SUMIFS(aditivos!$L$2:$L$200,aditivos!$A$2:$A$200,$A192,aditivos!$C$2:$C$200,"C2",aditivos!$B$2:$B$200,"&gt;="&amp;(INT(parametros!$I$4)+1)),2)))</f>
        <v/>
      </c>
      <c r="AE192" t="str">
        <f>IF($A192="","",IF(OR(parametros!$C$5="",parametros!$I$5=""),0,ROUND(SUMIFS(aditivos!$L$2:$L$200,aditivos!$A$2:$A$200,$A192,aditivos!$C$2:$C$200,"C3",aditivos!$B$2:$B$200,"&gt;="&amp;(INT(parametros!$I$5)+1)),2)))</f>
        <v/>
      </c>
      <c r="AF192" t="str">
        <f>IF($A192="","",IF(OR(parametros!$C$6="",parametros!$I$6=""),0,ROUND(SUMIFS(aditivos!$L$2:$L$200,aditivos!$A$2:$A$200,$A192,aditivos!$C$2:$C$200,"C4",aditivos!$B$2:$B$200,"&gt;="&amp;(INT(parametros!$I$6)+1)),2)))</f>
        <v/>
      </c>
      <c r="AG192" t="str">
        <f t="shared" si="102"/>
        <v/>
      </c>
      <c r="AH192" t="str">
        <f t="shared" si="103"/>
        <v/>
      </c>
      <c r="AI192" t="str">
        <f t="shared" si="104"/>
        <v/>
      </c>
      <c r="AJ192" t="str">
        <f t="shared" si="105"/>
        <v/>
      </c>
      <c r="AK192" t="str">
        <f t="shared" si="106"/>
        <v/>
      </c>
      <c r="AL192" t="str">
        <f t="shared" si="107"/>
        <v/>
      </c>
    </row>
    <row r="193" spans="1:38" x14ac:dyDescent="0.35">
      <c r="A193" s="146" t="str">
        <f>IF(itens_Remanesc!A193="","",itens_Remanesc!A193)</f>
        <v/>
      </c>
      <c r="B193" s="196" t="str">
        <f>IF(A193="","",itens_Remanesc!C193)</f>
        <v/>
      </c>
      <c r="C193" s="161" t="str">
        <f>IF(A193="","",IF(itens_Remanesc!B193="",0,itens_Remanesc!B193))</f>
        <v/>
      </c>
      <c r="D193" s="163" t="str">
        <f>IF(A193="","",ROUND(SUMIFS(aditivos!$L$2:$L$200,aditivos!$A$2:$A$200,A193,aditivos!$C$2:$C$200,"C0"),2))</f>
        <v/>
      </c>
      <c r="E193" s="159" t="str">
        <f t="shared" si="90"/>
        <v/>
      </c>
      <c r="F193" s="159" t="str">
        <f>IF(A193="","",IF(itens_Remanesc!B193&lt;&gt;"",itens_Remanesc!B193,IF($Z193,0,"")))</f>
        <v/>
      </c>
      <c r="G193" s="167" t="str">
        <f t="shared" si="91"/>
        <v/>
      </c>
      <c r="H193" s="169" t="str">
        <f>IF(A193="","",ROUND(SUMIFS(aditivos!$L$2:$L$200,aditivos!$A$2:$A$200,A193,aditivos!$C$2:$C$200,"C1"),2))</f>
        <v/>
      </c>
      <c r="I193" s="165" t="str">
        <f t="shared" si="92"/>
        <v/>
      </c>
      <c r="J193" s="165" t="str">
        <f>IF(A193="","",IF(itens_Remanesc!E193="","",itens_Remanesc!E193))</f>
        <v/>
      </c>
      <c r="K193" s="171" t="str">
        <f t="shared" si="93"/>
        <v/>
      </c>
      <c r="L193" s="163" t="str">
        <f>IF(A193="","",ROUND(SUMIFS(aditivos!$L$2:$L$200,aditivos!$A$2:$A$200,A193,aditivos!$C$2:$C$200,"C2"),2))</f>
        <v/>
      </c>
      <c r="M193" s="159" t="str">
        <f t="shared" si="94"/>
        <v/>
      </c>
      <c r="N193" s="159" t="str">
        <f>IF(A193="","",IF(itens_Remanesc!G193="","",itens_Remanesc!G193))</f>
        <v/>
      </c>
      <c r="O193" s="167" t="str">
        <f t="shared" si="95"/>
        <v/>
      </c>
      <c r="P193" s="169" t="str">
        <f>IF(A193="","",ROUND(SUMIFS(aditivos!$L$2:$L$200,aditivos!$A$2:$A$200,A193,aditivos!$C$2:$C$200,"C3"),2))</f>
        <v/>
      </c>
      <c r="Q193" s="165" t="str">
        <f t="shared" si="96"/>
        <v/>
      </c>
      <c r="R193" s="165" t="str">
        <f>IF(A193="","",IF(itens_Remanesc!I193="","",itens_Remanesc!I193))</f>
        <v/>
      </c>
      <c r="S193" s="171" t="str">
        <f t="shared" si="97"/>
        <v/>
      </c>
      <c r="T193" s="163" t="str">
        <f>IF(A193="","",ROUND(SUMIFS(aditivos!$L$2:$L$200,aditivos!$A$2:$A$200,A193,aditivos!$C$2:$C$200,"C4"),2))</f>
        <v/>
      </c>
      <c r="U193" s="159" t="str">
        <f t="shared" si="98"/>
        <v/>
      </c>
      <c r="V193" s="159" t="str">
        <f>IF(A193="","",IF(itens_Remanesc!K193="","",itens_Remanesc!K193))</f>
        <v/>
      </c>
      <c r="W193" s="159" t="str">
        <f t="shared" si="99"/>
        <v/>
      </c>
      <c r="X193" s="146" t="str">
        <f>IF(A193="","",IF(COUNTIF($A$2:$A$200,A193)&gt;1,"ALERTA: ITEM_DUPLICADO",IF(AND($Z193,ISNUMBER(itens_Remanesc!B193),itens_Remanesc!B193&lt;&gt;0),"NOVO ITEM COM BASE DIFERENTE DE 0 - AJUSTAR itens_Remanesc",IF(AND($Z193,NOT(ISNUMBER(itens_Remanesc!C193))),"NOVO ITEM SEM VU_ORIGINAL - INFORMAR EM itens_Remanesc",IF(MIN(E193,I193,M193,Q193,U193,G193,K193,O193,S193,W193)&lt;0,"ALERTA: POSICAO_NEGATIVA",IF(OR(AND(G193&lt;&gt;"",G193&gt;E193),AND(K193&lt;&gt;"",K193&gt;I193),AND(O193&lt;&gt;"",O193&gt;M193),AND(S193&lt;&gt;"",S193&gt;Q193),AND(W193&lt;&gt;"",W193&gt;U193)),"ALERTA: REMANESCENTE_SUPERA_POSICAO","OK"))))))</f>
        <v/>
      </c>
      <c r="Y193" t="str">
        <f t="shared" si="100"/>
        <v/>
      </c>
      <c r="Z193" t="b">
        <f t="shared" si="101"/>
        <v>0</v>
      </c>
      <c r="AA193" s="208" t="str">
        <f>IF($A193="","",IF(COUNTIFS(aditivos!$A$2:$A$200,$A193,aditivos!$L$2:$L$200,"&lt;&gt;",aditivos!$L$2:$L$200,"&lt;&gt;0",aditivos!$B$2:$B$200,"&gt;0")=0,"",IFERROR(_xlfn.MINIFS(aditivos!$B$2:$B$200,aditivos!$A$2:$A$200,$A193,aditivos!$L$2:$L$200,"&lt;&gt;",aditivos!$L$2:$L$200,"&lt;&gt;0",aditivos!$B$2:$B$200,"&gt;0"),"")))</f>
        <v/>
      </c>
      <c r="AB193" t="str">
        <f>IF($A193="","",IF(OR(parametros!$C$2="",parametros!$I$2=""),0,ROUND(SUMIFS(aditivos!$L$2:$L$200,aditivos!$A$2:$A$200,$A193,aditivos!$C$2:$C$200,"C0",aditivos!$B$2:$B$200,"&gt;="&amp;(INT(parametros!$I$2)+1)),2)))</f>
        <v/>
      </c>
      <c r="AC193" t="str">
        <f>IF($A193="","",IF(OR(parametros!$C$3="",parametros!$I$3=""),0,ROUND(SUMIFS(aditivos!$L$2:$L$200,aditivos!$A$2:$A$200,$A193,aditivos!$C$2:$C$200,"C1",aditivos!$B$2:$B$200,"&gt;="&amp;(INT(parametros!$I$3)+1)),2)))</f>
        <v/>
      </c>
      <c r="AD193" t="str">
        <f>IF($A193="","",IF(OR(parametros!$C$4="",parametros!$I$4=""),0,ROUND(SUMIFS(aditivos!$L$2:$L$200,aditivos!$A$2:$A$200,$A193,aditivos!$C$2:$C$200,"C2",aditivos!$B$2:$B$200,"&gt;="&amp;(INT(parametros!$I$4)+1)),2)))</f>
        <v/>
      </c>
      <c r="AE193" t="str">
        <f>IF($A193="","",IF(OR(parametros!$C$5="",parametros!$I$5=""),0,ROUND(SUMIFS(aditivos!$L$2:$L$200,aditivos!$A$2:$A$200,$A193,aditivos!$C$2:$C$200,"C3",aditivos!$B$2:$B$200,"&gt;="&amp;(INT(parametros!$I$5)+1)),2)))</f>
        <v/>
      </c>
      <c r="AF193" t="str">
        <f>IF($A193="","",IF(OR(parametros!$C$6="",parametros!$I$6=""),0,ROUND(SUMIFS(aditivos!$L$2:$L$200,aditivos!$A$2:$A$200,$A193,aditivos!$C$2:$C$200,"C4",aditivos!$B$2:$B$200,"&gt;="&amp;(INT(parametros!$I$6)+1)),2)))</f>
        <v/>
      </c>
      <c r="AG193" t="str">
        <f t="shared" si="102"/>
        <v/>
      </c>
      <c r="AH193" t="str">
        <f t="shared" si="103"/>
        <v/>
      </c>
      <c r="AI193" t="str">
        <f t="shared" si="104"/>
        <v/>
      </c>
      <c r="AJ193" t="str">
        <f t="shared" si="105"/>
        <v/>
      </c>
      <c r="AK193" t="str">
        <f t="shared" si="106"/>
        <v/>
      </c>
      <c r="AL193" t="str">
        <f t="shared" si="107"/>
        <v/>
      </c>
    </row>
    <row r="194" spans="1:38" x14ac:dyDescent="0.35">
      <c r="A194" s="146" t="str">
        <f>IF(itens_Remanesc!A194="","",itens_Remanesc!A194)</f>
        <v/>
      </c>
      <c r="B194" s="196" t="str">
        <f>IF(A194="","",itens_Remanesc!C194)</f>
        <v/>
      </c>
      <c r="C194" s="161" t="str">
        <f>IF(A194="","",IF(itens_Remanesc!B194="",0,itens_Remanesc!B194))</f>
        <v/>
      </c>
      <c r="D194" s="163" t="str">
        <f>IF(A194="","",ROUND(SUMIFS(aditivos!$L$2:$L$200,aditivos!$A$2:$A$200,A194,aditivos!$C$2:$C$200,"C0"),2))</f>
        <v/>
      </c>
      <c r="E194" s="159" t="str">
        <f t="shared" ref="E194:E225" si="108">IF(A194="","",ROUND(C194+D194,2))</f>
        <v/>
      </c>
      <c r="F194" s="159" t="str">
        <f>IF(A194="","",IF(itens_Remanesc!B194&lt;&gt;"",itens_Remanesc!B194,IF($Z194,0,"")))</f>
        <v/>
      </c>
      <c r="G194" s="167" t="str">
        <f t="shared" ref="G194:G200" si="109">IF(A194="","",IF($Y194="","",IF($Y194&gt;0,"",ROUND(E194,2))))</f>
        <v/>
      </c>
      <c r="H194" s="169" t="str">
        <f>IF(A194="","",ROUND(SUMIFS(aditivos!$L$2:$L$200,aditivos!$A$2:$A$200,A194,aditivos!$C$2:$C$200,"C1"),2))</f>
        <v/>
      </c>
      <c r="I194" s="165" t="str">
        <f t="shared" ref="I194:I225" si="110">IF(A194="","",ROUND(E194+H194,2))</f>
        <v/>
      </c>
      <c r="J194" s="165" t="str">
        <f>IF(A194="","",IF(itens_Remanesc!E194="","",itens_Remanesc!E194))</f>
        <v/>
      </c>
      <c r="K194" s="171" t="str">
        <f t="shared" ref="K194:K225" si="111">IF(A194="","",IF($Y194="","",IF($Y194&gt;1,"",IF(ISNUMBER(J194),ROUND(J194+H194,2),IF($Y194=1,ROUND(H194,2),"")))))</f>
        <v/>
      </c>
      <c r="L194" s="163" t="str">
        <f>IF(A194="","",ROUND(SUMIFS(aditivos!$L$2:$L$200,aditivos!$A$2:$A$200,A194,aditivos!$C$2:$C$200,"C2"),2))</f>
        <v/>
      </c>
      <c r="M194" s="159" t="str">
        <f t="shared" ref="M194:M225" si="112">IF(A194="","",ROUND(I194+L194,2))</f>
        <v/>
      </c>
      <c r="N194" s="159" t="str">
        <f>IF(A194="","",IF(itens_Remanesc!G194="","",itens_Remanesc!G194))</f>
        <v/>
      </c>
      <c r="O194" s="167" t="str">
        <f t="shared" ref="O194:O225" si="113">IF(A194="","",IF($Y194="","",IF($Y194&gt;2,"",IF(ISNUMBER(N194),ROUND(N194+L194,2),IF($Y194=2,ROUND(L194,2),"")))))</f>
        <v/>
      </c>
      <c r="P194" s="169" t="str">
        <f>IF(A194="","",ROUND(SUMIFS(aditivos!$L$2:$L$200,aditivos!$A$2:$A$200,A194,aditivos!$C$2:$C$200,"C3"),2))</f>
        <v/>
      </c>
      <c r="Q194" s="165" t="str">
        <f t="shared" ref="Q194:Q225" si="114">IF(A194="","",ROUND(M194+P194,2))</f>
        <v/>
      </c>
      <c r="R194" s="165" t="str">
        <f>IF(A194="","",IF(itens_Remanesc!I194="","",itens_Remanesc!I194))</f>
        <v/>
      </c>
      <c r="S194" s="171" t="str">
        <f t="shared" ref="S194:S225" si="115">IF(A194="","",IF($Y194="","",IF($Y194&gt;3,"",IF(ISNUMBER(R194),ROUND(R194+P194,2),IF($Y194=3,ROUND(P194,2),"")))))</f>
        <v/>
      </c>
      <c r="T194" s="163" t="str">
        <f>IF(A194="","",ROUND(SUMIFS(aditivos!$L$2:$L$200,aditivos!$A$2:$A$200,A194,aditivos!$C$2:$C$200,"C4"),2))</f>
        <v/>
      </c>
      <c r="U194" s="159" t="str">
        <f t="shared" ref="U194:U225" si="116">IF(A194="","",ROUND(Q194+T194,2))</f>
        <v/>
      </c>
      <c r="V194" s="159" t="str">
        <f>IF(A194="","",IF(itens_Remanesc!K194="","",itens_Remanesc!K194))</f>
        <v/>
      </c>
      <c r="W194" s="159" t="str">
        <f t="shared" ref="W194:W225" si="117">IF(A194="","",IF($Y194="","",IF($Y194&gt;4,"",IF(ISNUMBER(V194),ROUND(V194+T194,2),IF($Y194=4,ROUND(T194,2),"")))))</f>
        <v/>
      </c>
      <c r="X194" s="146" t="str">
        <f>IF(A194="","",IF(COUNTIF($A$2:$A$200,A194)&gt;1,"ALERTA: ITEM_DUPLICADO",IF(AND($Z194,ISNUMBER(itens_Remanesc!B194),itens_Remanesc!B194&lt;&gt;0),"NOVO ITEM COM BASE DIFERENTE DE 0 - AJUSTAR itens_Remanesc",IF(AND($Z194,NOT(ISNUMBER(itens_Remanesc!C194))),"NOVO ITEM SEM VU_ORIGINAL - INFORMAR EM itens_Remanesc",IF(MIN(E194,I194,M194,Q194,U194,G194,K194,O194,S194,W194)&lt;0,"ALERTA: POSICAO_NEGATIVA",IF(OR(AND(G194&lt;&gt;"",G194&gt;E194),AND(K194&lt;&gt;"",K194&gt;I194),AND(O194&lt;&gt;"",O194&gt;M194),AND(S194&lt;&gt;"",S194&gt;Q194),AND(W194&lt;&gt;"",W194&gt;U194)),"ALERTA: REMANESCENTE_SUPERA_POSICAO","OK"))))))</f>
        <v/>
      </c>
      <c r="Y194" t="str">
        <f t="shared" ref="Y194:Y200" si="118">IF($A194="","",IF($E194&gt;0,0,IF($I194&gt;0,1,IF($M194&gt;0,2,IF($Q194&gt;0,3,IF($U194&gt;0,4,""))))))</f>
        <v/>
      </c>
      <c r="Z194" t="b">
        <f t="shared" ref="Z194:Z200" si="119">IF($A194="",FALSE,AND(LEN(TRIM($A194))=4,LEFT(TRIM($A194),1)="N",ISNUMBER(--MID(TRIM($A194),2,3)),ISERROR(FIND(".",$A194)),ISERROR(FIND(",",$A194)),ISERROR(FIND("-",$A194)),ISERROR(FIND("+",$A194)),ISERROR(SEARCH("E",$A194,2)),ISERROR(FIND(" ",TRIM($A194)))))</f>
        <v>0</v>
      </c>
      <c r="AA194" s="208" t="str">
        <f>IF($A194="","",IF(COUNTIFS(aditivos!$A$2:$A$200,$A194,aditivos!$L$2:$L$200,"&lt;&gt;",aditivos!$L$2:$L$200,"&lt;&gt;0",aditivos!$B$2:$B$200,"&gt;0")=0,"",IFERROR(_xlfn.MINIFS(aditivos!$B$2:$B$200,aditivos!$A$2:$A$200,$A194,aditivos!$L$2:$L$200,"&lt;&gt;",aditivos!$L$2:$L$200,"&lt;&gt;0",aditivos!$B$2:$B$200,"&gt;0"),"")))</f>
        <v/>
      </c>
      <c r="AB194" t="str">
        <f>IF($A194="","",IF(OR(parametros!$C$2="",parametros!$I$2=""),0,ROUND(SUMIFS(aditivos!$L$2:$L$200,aditivos!$A$2:$A$200,$A194,aditivos!$C$2:$C$200,"C0",aditivos!$B$2:$B$200,"&gt;="&amp;(INT(parametros!$I$2)+1)),2)))</f>
        <v/>
      </c>
      <c r="AC194" t="str">
        <f>IF($A194="","",IF(OR(parametros!$C$3="",parametros!$I$3=""),0,ROUND(SUMIFS(aditivos!$L$2:$L$200,aditivos!$A$2:$A$200,$A194,aditivos!$C$2:$C$200,"C1",aditivos!$B$2:$B$200,"&gt;="&amp;(INT(parametros!$I$3)+1)),2)))</f>
        <v/>
      </c>
      <c r="AD194" t="str">
        <f>IF($A194="","",IF(OR(parametros!$C$4="",parametros!$I$4=""),0,ROUND(SUMIFS(aditivos!$L$2:$L$200,aditivos!$A$2:$A$200,$A194,aditivos!$C$2:$C$200,"C2",aditivos!$B$2:$B$200,"&gt;="&amp;(INT(parametros!$I$4)+1)),2)))</f>
        <v/>
      </c>
      <c r="AE194" t="str">
        <f>IF($A194="","",IF(OR(parametros!$C$5="",parametros!$I$5=""),0,ROUND(SUMIFS(aditivos!$L$2:$L$200,aditivos!$A$2:$A$200,$A194,aditivos!$C$2:$C$200,"C3",aditivos!$B$2:$B$200,"&gt;="&amp;(INT(parametros!$I$5)+1)),2)))</f>
        <v/>
      </c>
      <c r="AF194" t="str">
        <f>IF($A194="","",IF(OR(parametros!$C$6="",parametros!$I$6=""),0,ROUND(SUMIFS(aditivos!$L$2:$L$200,aditivos!$A$2:$A$200,$A194,aditivos!$C$2:$C$200,"C4",aditivos!$B$2:$B$200,"&gt;="&amp;(INT(parametros!$I$6)+1)),2)))</f>
        <v/>
      </c>
      <c r="AG194" t="str">
        <f t="shared" ref="AG194:AG200" si="120">IF($A194="","",IF(OR(NOT(ISNUMBER($E194)),NOT(ISNUMBER($AB194))),"",ROUND($E194-$AB194,2)))</f>
        <v/>
      </c>
      <c r="AH194" t="str">
        <f t="shared" ref="AH194:AH200" si="121">IF($A194="","",IF(OR(NOT(ISNUMBER($I194)),NOT(ISNUMBER($AC194))),"",ROUND($I194-$AC194,2)))</f>
        <v/>
      </c>
      <c r="AI194" t="str">
        <f t="shared" ref="AI194:AI200" si="122">IF($A194="","",IF(OR(NOT(ISNUMBER($M194)),NOT(ISNUMBER($AD194))),"",ROUND($M194-$AD194,2)))</f>
        <v/>
      </c>
      <c r="AJ194" t="str">
        <f t="shared" ref="AJ194:AJ200" si="123">IF($A194="","",IF(OR(NOT(ISNUMBER($Q194)),NOT(ISNUMBER($AE194))),"",ROUND($Q194-$AE194,2)))</f>
        <v/>
      </c>
      <c r="AK194" t="str">
        <f t="shared" ref="AK194:AK200" si="124">IF($A194="","",IF(OR(NOT(ISNUMBER($U194)),NOT(ISNUMBER($AF194))),"",ROUND($U194-$AF194,2)))</f>
        <v/>
      </c>
      <c r="AL194" t="str">
        <f t="shared" ref="AL194:AL200" si="125">IF($A194="","",IF(N($AG194)&gt;0,0,IF(N($AH194)&gt;0,1,IF(N($AI194)&gt;0,2,IF(N($AJ194)&gt;0,3,IF(N($AK194)&gt;0,4,""))))))</f>
        <v/>
      </c>
    </row>
    <row r="195" spans="1:38" x14ac:dyDescent="0.35">
      <c r="A195" s="146" t="str">
        <f>IF(itens_Remanesc!A195="","",itens_Remanesc!A195)</f>
        <v/>
      </c>
      <c r="B195" s="196" t="str">
        <f>IF(A195="","",itens_Remanesc!C195)</f>
        <v/>
      </c>
      <c r="C195" s="161" t="str">
        <f>IF(A195="","",IF(itens_Remanesc!B195="",0,itens_Remanesc!B195))</f>
        <v/>
      </c>
      <c r="D195" s="163" t="str">
        <f>IF(A195="","",ROUND(SUMIFS(aditivos!$L$2:$L$200,aditivos!$A$2:$A$200,A195,aditivos!$C$2:$C$200,"C0"),2))</f>
        <v/>
      </c>
      <c r="E195" s="159" t="str">
        <f t="shared" si="108"/>
        <v/>
      </c>
      <c r="F195" s="159" t="str">
        <f>IF(A195="","",IF(itens_Remanesc!B195&lt;&gt;"",itens_Remanesc!B195,IF($Z195,0,"")))</f>
        <v/>
      </c>
      <c r="G195" s="167" t="str">
        <f t="shared" si="109"/>
        <v/>
      </c>
      <c r="H195" s="169" t="str">
        <f>IF(A195="","",ROUND(SUMIFS(aditivos!$L$2:$L$200,aditivos!$A$2:$A$200,A195,aditivos!$C$2:$C$200,"C1"),2))</f>
        <v/>
      </c>
      <c r="I195" s="165" t="str">
        <f t="shared" si="110"/>
        <v/>
      </c>
      <c r="J195" s="165" t="str">
        <f>IF(A195="","",IF(itens_Remanesc!E195="","",itens_Remanesc!E195))</f>
        <v/>
      </c>
      <c r="K195" s="171" t="str">
        <f t="shared" si="111"/>
        <v/>
      </c>
      <c r="L195" s="163" t="str">
        <f>IF(A195="","",ROUND(SUMIFS(aditivos!$L$2:$L$200,aditivos!$A$2:$A$200,A195,aditivos!$C$2:$C$200,"C2"),2))</f>
        <v/>
      </c>
      <c r="M195" s="159" t="str">
        <f t="shared" si="112"/>
        <v/>
      </c>
      <c r="N195" s="159" t="str">
        <f>IF(A195="","",IF(itens_Remanesc!G195="","",itens_Remanesc!G195))</f>
        <v/>
      </c>
      <c r="O195" s="167" t="str">
        <f t="shared" si="113"/>
        <v/>
      </c>
      <c r="P195" s="169" t="str">
        <f>IF(A195="","",ROUND(SUMIFS(aditivos!$L$2:$L$200,aditivos!$A$2:$A$200,A195,aditivos!$C$2:$C$200,"C3"),2))</f>
        <v/>
      </c>
      <c r="Q195" s="165" t="str">
        <f t="shared" si="114"/>
        <v/>
      </c>
      <c r="R195" s="165" t="str">
        <f>IF(A195="","",IF(itens_Remanesc!I195="","",itens_Remanesc!I195))</f>
        <v/>
      </c>
      <c r="S195" s="171" t="str">
        <f t="shared" si="115"/>
        <v/>
      </c>
      <c r="T195" s="163" t="str">
        <f>IF(A195="","",ROUND(SUMIFS(aditivos!$L$2:$L$200,aditivos!$A$2:$A$200,A195,aditivos!$C$2:$C$200,"C4"),2))</f>
        <v/>
      </c>
      <c r="U195" s="159" t="str">
        <f t="shared" si="116"/>
        <v/>
      </c>
      <c r="V195" s="159" t="str">
        <f>IF(A195="","",IF(itens_Remanesc!K195="","",itens_Remanesc!K195))</f>
        <v/>
      </c>
      <c r="W195" s="159" t="str">
        <f t="shared" si="117"/>
        <v/>
      </c>
      <c r="X195" s="146" t="str">
        <f>IF(A195="","",IF(COUNTIF($A$2:$A$200,A195)&gt;1,"ALERTA: ITEM_DUPLICADO",IF(AND($Z195,ISNUMBER(itens_Remanesc!B195),itens_Remanesc!B195&lt;&gt;0),"NOVO ITEM COM BASE DIFERENTE DE 0 - AJUSTAR itens_Remanesc",IF(AND($Z195,NOT(ISNUMBER(itens_Remanesc!C195))),"NOVO ITEM SEM VU_ORIGINAL - INFORMAR EM itens_Remanesc",IF(MIN(E195,I195,M195,Q195,U195,G195,K195,O195,S195,W195)&lt;0,"ALERTA: POSICAO_NEGATIVA",IF(OR(AND(G195&lt;&gt;"",G195&gt;E195),AND(K195&lt;&gt;"",K195&gt;I195),AND(O195&lt;&gt;"",O195&gt;M195),AND(S195&lt;&gt;"",S195&gt;Q195),AND(W195&lt;&gt;"",W195&gt;U195)),"ALERTA: REMANESCENTE_SUPERA_POSICAO","OK"))))))</f>
        <v/>
      </c>
      <c r="Y195" t="str">
        <f t="shared" si="118"/>
        <v/>
      </c>
      <c r="Z195" t="b">
        <f t="shared" si="119"/>
        <v>0</v>
      </c>
      <c r="AA195" s="208" t="str">
        <f>IF($A195="","",IF(COUNTIFS(aditivos!$A$2:$A$200,$A195,aditivos!$L$2:$L$200,"&lt;&gt;",aditivos!$L$2:$L$200,"&lt;&gt;0",aditivos!$B$2:$B$200,"&gt;0")=0,"",IFERROR(_xlfn.MINIFS(aditivos!$B$2:$B$200,aditivos!$A$2:$A$200,$A195,aditivos!$L$2:$L$200,"&lt;&gt;",aditivos!$L$2:$L$200,"&lt;&gt;0",aditivos!$B$2:$B$200,"&gt;0"),"")))</f>
        <v/>
      </c>
      <c r="AB195" t="str">
        <f>IF($A195="","",IF(OR(parametros!$C$2="",parametros!$I$2=""),0,ROUND(SUMIFS(aditivos!$L$2:$L$200,aditivos!$A$2:$A$200,$A195,aditivos!$C$2:$C$200,"C0",aditivos!$B$2:$B$200,"&gt;="&amp;(INT(parametros!$I$2)+1)),2)))</f>
        <v/>
      </c>
      <c r="AC195" t="str">
        <f>IF($A195="","",IF(OR(parametros!$C$3="",parametros!$I$3=""),0,ROUND(SUMIFS(aditivos!$L$2:$L$200,aditivos!$A$2:$A$200,$A195,aditivos!$C$2:$C$200,"C1",aditivos!$B$2:$B$200,"&gt;="&amp;(INT(parametros!$I$3)+1)),2)))</f>
        <v/>
      </c>
      <c r="AD195" t="str">
        <f>IF($A195="","",IF(OR(parametros!$C$4="",parametros!$I$4=""),0,ROUND(SUMIFS(aditivos!$L$2:$L$200,aditivos!$A$2:$A$200,$A195,aditivos!$C$2:$C$200,"C2",aditivos!$B$2:$B$200,"&gt;="&amp;(INT(parametros!$I$4)+1)),2)))</f>
        <v/>
      </c>
      <c r="AE195" t="str">
        <f>IF($A195="","",IF(OR(parametros!$C$5="",parametros!$I$5=""),0,ROUND(SUMIFS(aditivos!$L$2:$L$200,aditivos!$A$2:$A$200,$A195,aditivos!$C$2:$C$200,"C3",aditivos!$B$2:$B$200,"&gt;="&amp;(INT(parametros!$I$5)+1)),2)))</f>
        <v/>
      </c>
      <c r="AF195" t="str">
        <f>IF($A195="","",IF(OR(parametros!$C$6="",parametros!$I$6=""),0,ROUND(SUMIFS(aditivos!$L$2:$L$200,aditivos!$A$2:$A$200,$A195,aditivos!$C$2:$C$200,"C4",aditivos!$B$2:$B$200,"&gt;="&amp;(INT(parametros!$I$6)+1)),2)))</f>
        <v/>
      </c>
      <c r="AG195" t="str">
        <f t="shared" si="120"/>
        <v/>
      </c>
      <c r="AH195" t="str">
        <f t="shared" si="121"/>
        <v/>
      </c>
      <c r="AI195" t="str">
        <f t="shared" si="122"/>
        <v/>
      </c>
      <c r="AJ195" t="str">
        <f t="shared" si="123"/>
        <v/>
      </c>
      <c r="AK195" t="str">
        <f t="shared" si="124"/>
        <v/>
      </c>
      <c r="AL195" t="str">
        <f t="shared" si="125"/>
        <v/>
      </c>
    </row>
    <row r="196" spans="1:38" x14ac:dyDescent="0.35">
      <c r="A196" s="146" t="str">
        <f>IF(itens_Remanesc!A196="","",itens_Remanesc!A196)</f>
        <v/>
      </c>
      <c r="B196" s="196" t="str">
        <f>IF(A196="","",itens_Remanesc!C196)</f>
        <v/>
      </c>
      <c r="C196" s="161" t="str">
        <f>IF(A196="","",IF(itens_Remanesc!B196="",0,itens_Remanesc!B196))</f>
        <v/>
      </c>
      <c r="D196" s="163" t="str">
        <f>IF(A196="","",ROUND(SUMIFS(aditivos!$L$2:$L$200,aditivos!$A$2:$A$200,A196,aditivos!$C$2:$C$200,"C0"),2))</f>
        <v/>
      </c>
      <c r="E196" s="159" t="str">
        <f t="shared" si="108"/>
        <v/>
      </c>
      <c r="F196" s="159" t="str">
        <f>IF(A196="","",IF(itens_Remanesc!B196&lt;&gt;"",itens_Remanesc!B196,IF($Z196,0,"")))</f>
        <v/>
      </c>
      <c r="G196" s="167" t="str">
        <f t="shared" si="109"/>
        <v/>
      </c>
      <c r="H196" s="169" t="str">
        <f>IF(A196="","",ROUND(SUMIFS(aditivos!$L$2:$L$200,aditivos!$A$2:$A$200,A196,aditivos!$C$2:$C$200,"C1"),2))</f>
        <v/>
      </c>
      <c r="I196" s="165" t="str">
        <f t="shared" si="110"/>
        <v/>
      </c>
      <c r="J196" s="165" t="str">
        <f>IF(A196="","",IF(itens_Remanesc!E196="","",itens_Remanesc!E196))</f>
        <v/>
      </c>
      <c r="K196" s="171" t="str">
        <f t="shared" si="111"/>
        <v/>
      </c>
      <c r="L196" s="163" t="str">
        <f>IF(A196="","",ROUND(SUMIFS(aditivos!$L$2:$L$200,aditivos!$A$2:$A$200,A196,aditivos!$C$2:$C$200,"C2"),2))</f>
        <v/>
      </c>
      <c r="M196" s="159" t="str">
        <f t="shared" si="112"/>
        <v/>
      </c>
      <c r="N196" s="159" t="str">
        <f>IF(A196="","",IF(itens_Remanesc!G196="","",itens_Remanesc!G196))</f>
        <v/>
      </c>
      <c r="O196" s="167" t="str">
        <f t="shared" si="113"/>
        <v/>
      </c>
      <c r="P196" s="169" t="str">
        <f>IF(A196="","",ROUND(SUMIFS(aditivos!$L$2:$L$200,aditivos!$A$2:$A$200,A196,aditivos!$C$2:$C$200,"C3"),2))</f>
        <v/>
      </c>
      <c r="Q196" s="165" t="str">
        <f t="shared" si="114"/>
        <v/>
      </c>
      <c r="R196" s="165" t="str">
        <f>IF(A196="","",IF(itens_Remanesc!I196="","",itens_Remanesc!I196))</f>
        <v/>
      </c>
      <c r="S196" s="171" t="str">
        <f t="shared" si="115"/>
        <v/>
      </c>
      <c r="T196" s="163" t="str">
        <f>IF(A196="","",ROUND(SUMIFS(aditivos!$L$2:$L$200,aditivos!$A$2:$A$200,A196,aditivos!$C$2:$C$200,"C4"),2))</f>
        <v/>
      </c>
      <c r="U196" s="159" t="str">
        <f t="shared" si="116"/>
        <v/>
      </c>
      <c r="V196" s="159" t="str">
        <f>IF(A196="","",IF(itens_Remanesc!K196="","",itens_Remanesc!K196))</f>
        <v/>
      </c>
      <c r="W196" s="159" t="str">
        <f t="shared" si="117"/>
        <v/>
      </c>
      <c r="X196" s="146" t="str">
        <f>IF(A196="","",IF(COUNTIF($A$2:$A$200,A196)&gt;1,"ALERTA: ITEM_DUPLICADO",IF(AND($Z196,ISNUMBER(itens_Remanesc!B196),itens_Remanesc!B196&lt;&gt;0),"NOVO ITEM COM BASE DIFERENTE DE 0 - AJUSTAR itens_Remanesc",IF(AND($Z196,NOT(ISNUMBER(itens_Remanesc!C196))),"NOVO ITEM SEM VU_ORIGINAL - INFORMAR EM itens_Remanesc",IF(MIN(E196,I196,M196,Q196,U196,G196,K196,O196,S196,W196)&lt;0,"ALERTA: POSICAO_NEGATIVA",IF(OR(AND(G196&lt;&gt;"",G196&gt;E196),AND(K196&lt;&gt;"",K196&gt;I196),AND(O196&lt;&gt;"",O196&gt;M196),AND(S196&lt;&gt;"",S196&gt;Q196),AND(W196&lt;&gt;"",W196&gt;U196)),"ALERTA: REMANESCENTE_SUPERA_POSICAO","OK"))))))</f>
        <v/>
      </c>
      <c r="Y196" t="str">
        <f t="shared" si="118"/>
        <v/>
      </c>
      <c r="Z196" t="b">
        <f t="shared" si="119"/>
        <v>0</v>
      </c>
      <c r="AA196" s="208" t="str">
        <f>IF($A196="","",IF(COUNTIFS(aditivos!$A$2:$A$200,$A196,aditivos!$L$2:$L$200,"&lt;&gt;",aditivos!$L$2:$L$200,"&lt;&gt;0",aditivos!$B$2:$B$200,"&gt;0")=0,"",IFERROR(_xlfn.MINIFS(aditivos!$B$2:$B$200,aditivos!$A$2:$A$200,$A196,aditivos!$L$2:$L$200,"&lt;&gt;",aditivos!$L$2:$L$200,"&lt;&gt;0",aditivos!$B$2:$B$200,"&gt;0"),"")))</f>
        <v/>
      </c>
      <c r="AB196" t="str">
        <f>IF($A196="","",IF(OR(parametros!$C$2="",parametros!$I$2=""),0,ROUND(SUMIFS(aditivos!$L$2:$L$200,aditivos!$A$2:$A$200,$A196,aditivos!$C$2:$C$200,"C0",aditivos!$B$2:$B$200,"&gt;="&amp;(INT(parametros!$I$2)+1)),2)))</f>
        <v/>
      </c>
      <c r="AC196" t="str">
        <f>IF($A196="","",IF(OR(parametros!$C$3="",parametros!$I$3=""),0,ROUND(SUMIFS(aditivos!$L$2:$L$200,aditivos!$A$2:$A$200,$A196,aditivos!$C$2:$C$200,"C1",aditivos!$B$2:$B$200,"&gt;="&amp;(INT(parametros!$I$3)+1)),2)))</f>
        <v/>
      </c>
      <c r="AD196" t="str">
        <f>IF($A196="","",IF(OR(parametros!$C$4="",parametros!$I$4=""),0,ROUND(SUMIFS(aditivos!$L$2:$L$200,aditivos!$A$2:$A$200,$A196,aditivos!$C$2:$C$200,"C2",aditivos!$B$2:$B$200,"&gt;="&amp;(INT(parametros!$I$4)+1)),2)))</f>
        <v/>
      </c>
      <c r="AE196" t="str">
        <f>IF($A196="","",IF(OR(parametros!$C$5="",parametros!$I$5=""),0,ROUND(SUMIFS(aditivos!$L$2:$L$200,aditivos!$A$2:$A$200,$A196,aditivos!$C$2:$C$200,"C3",aditivos!$B$2:$B$200,"&gt;="&amp;(INT(parametros!$I$5)+1)),2)))</f>
        <v/>
      </c>
      <c r="AF196" t="str">
        <f>IF($A196="","",IF(OR(parametros!$C$6="",parametros!$I$6=""),0,ROUND(SUMIFS(aditivos!$L$2:$L$200,aditivos!$A$2:$A$200,$A196,aditivos!$C$2:$C$200,"C4",aditivos!$B$2:$B$200,"&gt;="&amp;(INT(parametros!$I$6)+1)),2)))</f>
        <v/>
      </c>
      <c r="AG196" t="str">
        <f t="shared" si="120"/>
        <v/>
      </c>
      <c r="AH196" t="str">
        <f t="shared" si="121"/>
        <v/>
      </c>
      <c r="AI196" t="str">
        <f t="shared" si="122"/>
        <v/>
      </c>
      <c r="AJ196" t="str">
        <f t="shared" si="123"/>
        <v/>
      </c>
      <c r="AK196" t="str">
        <f t="shared" si="124"/>
        <v/>
      </c>
      <c r="AL196" t="str">
        <f t="shared" si="125"/>
        <v/>
      </c>
    </row>
    <row r="197" spans="1:38" x14ac:dyDescent="0.35">
      <c r="A197" s="146" t="str">
        <f>IF(itens_Remanesc!A197="","",itens_Remanesc!A197)</f>
        <v/>
      </c>
      <c r="B197" s="196" t="str">
        <f>IF(A197="","",itens_Remanesc!C197)</f>
        <v/>
      </c>
      <c r="C197" s="161" t="str">
        <f>IF(A197="","",IF(itens_Remanesc!B197="",0,itens_Remanesc!B197))</f>
        <v/>
      </c>
      <c r="D197" s="163" t="str">
        <f>IF(A197="","",ROUND(SUMIFS(aditivos!$L$2:$L$200,aditivos!$A$2:$A$200,A197,aditivos!$C$2:$C$200,"C0"),2))</f>
        <v/>
      </c>
      <c r="E197" s="159" t="str">
        <f t="shared" si="108"/>
        <v/>
      </c>
      <c r="F197" s="159" t="str">
        <f>IF(A197="","",IF(itens_Remanesc!B197&lt;&gt;"",itens_Remanesc!B197,IF($Z197,0,"")))</f>
        <v/>
      </c>
      <c r="G197" s="167" t="str">
        <f t="shared" si="109"/>
        <v/>
      </c>
      <c r="H197" s="169" t="str">
        <f>IF(A197="","",ROUND(SUMIFS(aditivos!$L$2:$L$200,aditivos!$A$2:$A$200,A197,aditivos!$C$2:$C$200,"C1"),2))</f>
        <v/>
      </c>
      <c r="I197" s="165" t="str">
        <f t="shared" si="110"/>
        <v/>
      </c>
      <c r="J197" s="165" t="str">
        <f>IF(A197="","",IF(itens_Remanesc!E197="","",itens_Remanesc!E197))</f>
        <v/>
      </c>
      <c r="K197" s="171" t="str">
        <f t="shared" si="111"/>
        <v/>
      </c>
      <c r="L197" s="163" t="str">
        <f>IF(A197="","",ROUND(SUMIFS(aditivos!$L$2:$L$200,aditivos!$A$2:$A$200,A197,aditivos!$C$2:$C$200,"C2"),2))</f>
        <v/>
      </c>
      <c r="M197" s="159" t="str">
        <f t="shared" si="112"/>
        <v/>
      </c>
      <c r="N197" s="159" t="str">
        <f>IF(A197="","",IF(itens_Remanesc!G197="","",itens_Remanesc!G197))</f>
        <v/>
      </c>
      <c r="O197" s="167" t="str">
        <f t="shared" si="113"/>
        <v/>
      </c>
      <c r="P197" s="169" t="str">
        <f>IF(A197="","",ROUND(SUMIFS(aditivos!$L$2:$L$200,aditivos!$A$2:$A$200,A197,aditivos!$C$2:$C$200,"C3"),2))</f>
        <v/>
      </c>
      <c r="Q197" s="165" t="str">
        <f t="shared" si="114"/>
        <v/>
      </c>
      <c r="R197" s="165" t="str">
        <f>IF(A197="","",IF(itens_Remanesc!I197="","",itens_Remanesc!I197))</f>
        <v/>
      </c>
      <c r="S197" s="171" t="str">
        <f t="shared" si="115"/>
        <v/>
      </c>
      <c r="T197" s="163" t="str">
        <f>IF(A197="","",ROUND(SUMIFS(aditivos!$L$2:$L$200,aditivos!$A$2:$A$200,A197,aditivos!$C$2:$C$200,"C4"),2))</f>
        <v/>
      </c>
      <c r="U197" s="159" t="str">
        <f t="shared" si="116"/>
        <v/>
      </c>
      <c r="V197" s="159" t="str">
        <f>IF(A197="","",IF(itens_Remanesc!K197="","",itens_Remanesc!K197))</f>
        <v/>
      </c>
      <c r="W197" s="159" t="str">
        <f t="shared" si="117"/>
        <v/>
      </c>
      <c r="X197" s="146" t="str">
        <f>IF(A197="","",IF(COUNTIF($A$2:$A$200,A197)&gt;1,"ALERTA: ITEM_DUPLICADO",IF(AND($Z197,ISNUMBER(itens_Remanesc!B197),itens_Remanesc!B197&lt;&gt;0),"NOVO ITEM COM BASE DIFERENTE DE 0 - AJUSTAR itens_Remanesc",IF(AND($Z197,NOT(ISNUMBER(itens_Remanesc!C197))),"NOVO ITEM SEM VU_ORIGINAL - INFORMAR EM itens_Remanesc",IF(MIN(E197,I197,M197,Q197,U197,G197,K197,O197,S197,W197)&lt;0,"ALERTA: POSICAO_NEGATIVA",IF(OR(AND(G197&lt;&gt;"",G197&gt;E197),AND(K197&lt;&gt;"",K197&gt;I197),AND(O197&lt;&gt;"",O197&gt;M197),AND(S197&lt;&gt;"",S197&gt;Q197),AND(W197&lt;&gt;"",W197&gt;U197)),"ALERTA: REMANESCENTE_SUPERA_POSICAO","OK"))))))</f>
        <v/>
      </c>
      <c r="Y197" t="str">
        <f t="shared" si="118"/>
        <v/>
      </c>
      <c r="Z197" t="b">
        <f t="shared" si="119"/>
        <v>0</v>
      </c>
      <c r="AA197" s="208" t="str">
        <f>IF($A197="","",IF(COUNTIFS(aditivos!$A$2:$A$200,$A197,aditivos!$L$2:$L$200,"&lt;&gt;",aditivos!$L$2:$L$200,"&lt;&gt;0",aditivos!$B$2:$B$200,"&gt;0")=0,"",IFERROR(_xlfn.MINIFS(aditivos!$B$2:$B$200,aditivos!$A$2:$A$200,$A197,aditivos!$L$2:$L$200,"&lt;&gt;",aditivos!$L$2:$L$200,"&lt;&gt;0",aditivos!$B$2:$B$200,"&gt;0"),"")))</f>
        <v/>
      </c>
      <c r="AB197" t="str">
        <f>IF($A197="","",IF(OR(parametros!$C$2="",parametros!$I$2=""),0,ROUND(SUMIFS(aditivos!$L$2:$L$200,aditivos!$A$2:$A$200,$A197,aditivos!$C$2:$C$200,"C0",aditivos!$B$2:$B$200,"&gt;="&amp;(INT(parametros!$I$2)+1)),2)))</f>
        <v/>
      </c>
      <c r="AC197" t="str">
        <f>IF($A197="","",IF(OR(parametros!$C$3="",parametros!$I$3=""),0,ROUND(SUMIFS(aditivos!$L$2:$L$200,aditivos!$A$2:$A$200,$A197,aditivos!$C$2:$C$200,"C1",aditivos!$B$2:$B$200,"&gt;="&amp;(INT(parametros!$I$3)+1)),2)))</f>
        <v/>
      </c>
      <c r="AD197" t="str">
        <f>IF($A197="","",IF(OR(parametros!$C$4="",parametros!$I$4=""),0,ROUND(SUMIFS(aditivos!$L$2:$L$200,aditivos!$A$2:$A$200,$A197,aditivos!$C$2:$C$200,"C2",aditivos!$B$2:$B$200,"&gt;="&amp;(INT(parametros!$I$4)+1)),2)))</f>
        <v/>
      </c>
      <c r="AE197" t="str">
        <f>IF($A197="","",IF(OR(parametros!$C$5="",parametros!$I$5=""),0,ROUND(SUMIFS(aditivos!$L$2:$L$200,aditivos!$A$2:$A$200,$A197,aditivos!$C$2:$C$200,"C3",aditivos!$B$2:$B$200,"&gt;="&amp;(INT(parametros!$I$5)+1)),2)))</f>
        <v/>
      </c>
      <c r="AF197" t="str">
        <f>IF($A197="","",IF(OR(parametros!$C$6="",parametros!$I$6=""),0,ROUND(SUMIFS(aditivos!$L$2:$L$200,aditivos!$A$2:$A$200,$A197,aditivos!$C$2:$C$200,"C4",aditivos!$B$2:$B$200,"&gt;="&amp;(INT(parametros!$I$6)+1)),2)))</f>
        <v/>
      </c>
      <c r="AG197" t="str">
        <f t="shared" si="120"/>
        <v/>
      </c>
      <c r="AH197" t="str">
        <f t="shared" si="121"/>
        <v/>
      </c>
      <c r="AI197" t="str">
        <f t="shared" si="122"/>
        <v/>
      </c>
      <c r="AJ197" t="str">
        <f t="shared" si="123"/>
        <v/>
      </c>
      <c r="AK197" t="str">
        <f t="shared" si="124"/>
        <v/>
      </c>
      <c r="AL197" t="str">
        <f t="shared" si="125"/>
        <v/>
      </c>
    </row>
    <row r="198" spans="1:38" x14ac:dyDescent="0.35">
      <c r="A198" s="146" t="str">
        <f>IF(itens_Remanesc!A198="","",itens_Remanesc!A198)</f>
        <v/>
      </c>
      <c r="B198" s="196" t="str">
        <f>IF(A198="","",itens_Remanesc!C198)</f>
        <v/>
      </c>
      <c r="C198" s="161" t="str">
        <f>IF(A198="","",IF(itens_Remanesc!B198="",0,itens_Remanesc!B198))</f>
        <v/>
      </c>
      <c r="D198" s="163" t="str">
        <f>IF(A198="","",ROUND(SUMIFS(aditivos!$L$2:$L$200,aditivos!$A$2:$A$200,A198,aditivos!$C$2:$C$200,"C0"),2))</f>
        <v/>
      </c>
      <c r="E198" s="159" t="str">
        <f t="shared" si="108"/>
        <v/>
      </c>
      <c r="F198" s="159" t="str">
        <f>IF(A198="","",IF(itens_Remanesc!B198&lt;&gt;"",itens_Remanesc!B198,IF($Z198,0,"")))</f>
        <v/>
      </c>
      <c r="G198" s="167" t="str">
        <f t="shared" si="109"/>
        <v/>
      </c>
      <c r="H198" s="169" t="str">
        <f>IF(A198="","",ROUND(SUMIFS(aditivos!$L$2:$L$200,aditivos!$A$2:$A$200,A198,aditivos!$C$2:$C$200,"C1"),2))</f>
        <v/>
      </c>
      <c r="I198" s="165" t="str">
        <f t="shared" si="110"/>
        <v/>
      </c>
      <c r="J198" s="165" t="str">
        <f>IF(A198="","",IF(itens_Remanesc!E198="","",itens_Remanesc!E198))</f>
        <v/>
      </c>
      <c r="K198" s="171" t="str">
        <f t="shared" si="111"/>
        <v/>
      </c>
      <c r="L198" s="163" t="str">
        <f>IF(A198="","",ROUND(SUMIFS(aditivos!$L$2:$L$200,aditivos!$A$2:$A$200,A198,aditivos!$C$2:$C$200,"C2"),2))</f>
        <v/>
      </c>
      <c r="M198" s="159" t="str">
        <f t="shared" si="112"/>
        <v/>
      </c>
      <c r="N198" s="159" t="str">
        <f>IF(A198="","",IF(itens_Remanesc!G198="","",itens_Remanesc!G198))</f>
        <v/>
      </c>
      <c r="O198" s="167" t="str">
        <f t="shared" si="113"/>
        <v/>
      </c>
      <c r="P198" s="169" t="str">
        <f>IF(A198="","",ROUND(SUMIFS(aditivos!$L$2:$L$200,aditivos!$A$2:$A$200,A198,aditivos!$C$2:$C$200,"C3"),2))</f>
        <v/>
      </c>
      <c r="Q198" s="165" t="str">
        <f t="shared" si="114"/>
        <v/>
      </c>
      <c r="R198" s="165" t="str">
        <f>IF(A198="","",IF(itens_Remanesc!I198="","",itens_Remanesc!I198))</f>
        <v/>
      </c>
      <c r="S198" s="171" t="str">
        <f t="shared" si="115"/>
        <v/>
      </c>
      <c r="T198" s="163" t="str">
        <f>IF(A198="","",ROUND(SUMIFS(aditivos!$L$2:$L$200,aditivos!$A$2:$A$200,A198,aditivos!$C$2:$C$200,"C4"),2))</f>
        <v/>
      </c>
      <c r="U198" s="159" t="str">
        <f t="shared" si="116"/>
        <v/>
      </c>
      <c r="V198" s="159" t="str">
        <f>IF(A198="","",IF(itens_Remanesc!K198="","",itens_Remanesc!K198))</f>
        <v/>
      </c>
      <c r="W198" s="159" t="str">
        <f t="shared" si="117"/>
        <v/>
      </c>
      <c r="X198" s="146" t="str">
        <f>IF(A198="","",IF(COUNTIF($A$2:$A$200,A198)&gt;1,"ALERTA: ITEM_DUPLICADO",IF(AND($Z198,ISNUMBER(itens_Remanesc!B198),itens_Remanesc!B198&lt;&gt;0),"NOVO ITEM COM BASE DIFERENTE DE 0 - AJUSTAR itens_Remanesc",IF(AND($Z198,NOT(ISNUMBER(itens_Remanesc!C198))),"NOVO ITEM SEM VU_ORIGINAL - INFORMAR EM itens_Remanesc",IF(MIN(E198,I198,M198,Q198,U198,G198,K198,O198,S198,W198)&lt;0,"ALERTA: POSICAO_NEGATIVA",IF(OR(AND(G198&lt;&gt;"",G198&gt;E198),AND(K198&lt;&gt;"",K198&gt;I198),AND(O198&lt;&gt;"",O198&gt;M198),AND(S198&lt;&gt;"",S198&gt;Q198),AND(W198&lt;&gt;"",W198&gt;U198)),"ALERTA: REMANESCENTE_SUPERA_POSICAO","OK"))))))</f>
        <v/>
      </c>
      <c r="Y198" t="str">
        <f t="shared" si="118"/>
        <v/>
      </c>
      <c r="Z198" t="b">
        <f t="shared" si="119"/>
        <v>0</v>
      </c>
      <c r="AA198" s="208" t="str">
        <f>IF($A198="","",IF(COUNTIFS(aditivos!$A$2:$A$200,$A198,aditivos!$L$2:$L$200,"&lt;&gt;",aditivos!$L$2:$L$200,"&lt;&gt;0",aditivos!$B$2:$B$200,"&gt;0")=0,"",IFERROR(_xlfn.MINIFS(aditivos!$B$2:$B$200,aditivos!$A$2:$A$200,$A198,aditivos!$L$2:$L$200,"&lt;&gt;",aditivos!$L$2:$L$200,"&lt;&gt;0",aditivos!$B$2:$B$200,"&gt;0"),"")))</f>
        <v/>
      </c>
      <c r="AB198" t="str">
        <f>IF($A198="","",IF(OR(parametros!$C$2="",parametros!$I$2=""),0,ROUND(SUMIFS(aditivos!$L$2:$L$200,aditivos!$A$2:$A$200,$A198,aditivos!$C$2:$C$200,"C0",aditivos!$B$2:$B$200,"&gt;="&amp;(INT(parametros!$I$2)+1)),2)))</f>
        <v/>
      </c>
      <c r="AC198" t="str">
        <f>IF($A198="","",IF(OR(parametros!$C$3="",parametros!$I$3=""),0,ROUND(SUMIFS(aditivos!$L$2:$L$200,aditivos!$A$2:$A$200,$A198,aditivos!$C$2:$C$200,"C1",aditivos!$B$2:$B$200,"&gt;="&amp;(INT(parametros!$I$3)+1)),2)))</f>
        <v/>
      </c>
      <c r="AD198" t="str">
        <f>IF($A198="","",IF(OR(parametros!$C$4="",parametros!$I$4=""),0,ROUND(SUMIFS(aditivos!$L$2:$L$200,aditivos!$A$2:$A$200,$A198,aditivos!$C$2:$C$200,"C2",aditivos!$B$2:$B$200,"&gt;="&amp;(INT(parametros!$I$4)+1)),2)))</f>
        <v/>
      </c>
      <c r="AE198" t="str">
        <f>IF($A198="","",IF(OR(parametros!$C$5="",parametros!$I$5=""),0,ROUND(SUMIFS(aditivos!$L$2:$L$200,aditivos!$A$2:$A$200,$A198,aditivos!$C$2:$C$200,"C3",aditivos!$B$2:$B$200,"&gt;="&amp;(INT(parametros!$I$5)+1)),2)))</f>
        <v/>
      </c>
      <c r="AF198" t="str">
        <f>IF($A198="","",IF(OR(parametros!$C$6="",parametros!$I$6=""),0,ROUND(SUMIFS(aditivos!$L$2:$L$200,aditivos!$A$2:$A$200,$A198,aditivos!$C$2:$C$200,"C4",aditivos!$B$2:$B$200,"&gt;="&amp;(INT(parametros!$I$6)+1)),2)))</f>
        <v/>
      </c>
      <c r="AG198" t="str">
        <f t="shared" si="120"/>
        <v/>
      </c>
      <c r="AH198" t="str">
        <f t="shared" si="121"/>
        <v/>
      </c>
      <c r="AI198" t="str">
        <f t="shared" si="122"/>
        <v/>
      </c>
      <c r="AJ198" t="str">
        <f t="shared" si="123"/>
        <v/>
      </c>
      <c r="AK198" t="str">
        <f t="shared" si="124"/>
        <v/>
      </c>
      <c r="AL198" t="str">
        <f t="shared" si="125"/>
        <v/>
      </c>
    </row>
    <row r="199" spans="1:38" x14ac:dyDescent="0.35">
      <c r="A199" s="146" t="str">
        <f>IF(itens_Remanesc!A199="","",itens_Remanesc!A199)</f>
        <v/>
      </c>
      <c r="B199" s="196" t="str">
        <f>IF(A199="","",itens_Remanesc!C199)</f>
        <v/>
      </c>
      <c r="C199" s="161" t="str">
        <f>IF(A199="","",IF(itens_Remanesc!B199="",0,itens_Remanesc!B199))</f>
        <v/>
      </c>
      <c r="D199" s="163" t="str">
        <f>IF(A199="","",ROUND(SUMIFS(aditivos!$L$2:$L$200,aditivos!$A$2:$A$200,A199,aditivos!$C$2:$C$200,"C0"),2))</f>
        <v/>
      </c>
      <c r="E199" s="159" t="str">
        <f t="shared" si="108"/>
        <v/>
      </c>
      <c r="F199" s="159" t="str">
        <f>IF(A199="","",IF(itens_Remanesc!B199&lt;&gt;"",itens_Remanesc!B199,IF($Z199,0,"")))</f>
        <v/>
      </c>
      <c r="G199" s="167" t="str">
        <f t="shared" si="109"/>
        <v/>
      </c>
      <c r="H199" s="169" t="str">
        <f>IF(A199="","",ROUND(SUMIFS(aditivos!$L$2:$L$200,aditivos!$A$2:$A$200,A199,aditivos!$C$2:$C$200,"C1"),2))</f>
        <v/>
      </c>
      <c r="I199" s="165" t="str">
        <f t="shared" si="110"/>
        <v/>
      </c>
      <c r="J199" s="165" t="str">
        <f>IF(A199="","",IF(itens_Remanesc!E199="","",itens_Remanesc!E199))</f>
        <v/>
      </c>
      <c r="K199" s="171" t="str">
        <f t="shared" si="111"/>
        <v/>
      </c>
      <c r="L199" s="163" t="str">
        <f>IF(A199="","",ROUND(SUMIFS(aditivos!$L$2:$L$200,aditivos!$A$2:$A$200,A199,aditivos!$C$2:$C$200,"C2"),2))</f>
        <v/>
      </c>
      <c r="M199" s="159" t="str">
        <f t="shared" si="112"/>
        <v/>
      </c>
      <c r="N199" s="159" t="str">
        <f>IF(A199="","",IF(itens_Remanesc!G199="","",itens_Remanesc!G199))</f>
        <v/>
      </c>
      <c r="O199" s="167" t="str">
        <f t="shared" si="113"/>
        <v/>
      </c>
      <c r="P199" s="169" t="str">
        <f>IF(A199="","",ROUND(SUMIFS(aditivos!$L$2:$L$200,aditivos!$A$2:$A$200,A199,aditivos!$C$2:$C$200,"C3"),2))</f>
        <v/>
      </c>
      <c r="Q199" s="165" t="str">
        <f t="shared" si="114"/>
        <v/>
      </c>
      <c r="R199" s="165" t="str">
        <f>IF(A199="","",IF(itens_Remanesc!I199="","",itens_Remanesc!I199))</f>
        <v/>
      </c>
      <c r="S199" s="171" t="str">
        <f t="shared" si="115"/>
        <v/>
      </c>
      <c r="T199" s="163" t="str">
        <f>IF(A199="","",ROUND(SUMIFS(aditivos!$L$2:$L$200,aditivos!$A$2:$A$200,A199,aditivos!$C$2:$C$200,"C4"),2))</f>
        <v/>
      </c>
      <c r="U199" s="159" t="str">
        <f t="shared" si="116"/>
        <v/>
      </c>
      <c r="V199" s="159" t="str">
        <f>IF(A199="","",IF(itens_Remanesc!K199="","",itens_Remanesc!K199))</f>
        <v/>
      </c>
      <c r="W199" s="159" t="str">
        <f t="shared" si="117"/>
        <v/>
      </c>
      <c r="X199" s="146" t="str">
        <f>IF(A199="","",IF(COUNTIF($A$2:$A$200,A199)&gt;1,"ALERTA: ITEM_DUPLICADO",IF(AND($Z199,ISNUMBER(itens_Remanesc!B199),itens_Remanesc!B199&lt;&gt;0),"NOVO ITEM COM BASE DIFERENTE DE 0 - AJUSTAR itens_Remanesc",IF(AND($Z199,NOT(ISNUMBER(itens_Remanesc!C199))),"NOVO ITEM SEM VU_ORIGINAL - INFORMAR EM itens_Remanesc",IF(MIN(E199,I199,M199,Q199,U199,G199,K199,O199,S199,W199)&lt;0,"ALERTA: POSICAO_NEGATIVA",IF(OR(AND(G199&lt;&gt;"",G199&gt;E199),AND(K199&lt;&gt;"",K199&gt;I199),AND(O199&lt;&gt;"",O199&gt;M199),AND(S199&lt;&gt;"",S199&gt;Q199),AND(W199&lt;&gt;"",W199&gt;U199)),"ALERTA: REMANESCENTE_SUPERA_POSICAO","OK"))))))</f>
        <v/>
      </c>
      <c r="Y199" t="str">
        <f t="shared" si="118"/>
        <v/>
      </c>
      <c r="Z199" t="b">
        <f t="shared" si="119"/>
        <v>0</v>
      </c>
      <c r="AA199" s="208" t="str">
        <f>IF($A199="","",IF(COUNTIFS(aditivos!$A$2:$A$200,$A199,aditivos!$L$2:$L$200,"&lt;&gt;",aditivos!$L$2:$L$200,"&lt;&gt;0",aditivos!$B$2:$B$200,"&gt;0")=0,"",IFERROR(_xlfn.MINIFS(aditivos!$B$2:$B$200,aditivos!$A$2:$A$200,$A199,aditivos!$L$2:$L$200,"&lt;&gt;",aditivos!$L$2:$L$200,"&lt;&gt;0",aditivos!$B$2:$B$200,"&gt;0"),"")))</f>
        <v/>
      </c>
      <c r="AB199" t="str">
        <f>IF($A199="","",IF(OR(parametros!$C$2="",parametros!$I$2=""),0,ROUND(SUMIFS(aditivos!$L$2:$L$200,aditivos!$A$2:$A$200,$A199,aditivos!$C$2:$C$200,"C0",aditivos!$B$2:$B$200,"&gt;="&amp;(INT(parametros!$I$2)+1)),2)))</f>
        <v/>
      </c>
      <c r="AC199" t="str">
        <f>IF($A199="","",IF(OR(parametros!$C$3="",parametros!$I$3=""),0,ROUND(SUMIFS(aditivos!$L$2:$L$200,aditivos!$A$2:$A$200,$A199,aditivos!$C$2:$C$200,"C1",aditivos!$B$2:$B$200,"&gt;="&amp;(INT(parametros!$I$3)+1)),2)))</f>
        <v/>
      </c>
      <c r="AD199" t="str">
        <f>IF($A199="","",IF(OR(parametros!$C$4="",parametros!$I$4=""),0,ROUND(SUMIFS(aditivos!$L$2:$L$200,aditivos!$A$2:$A$200,$A199,aditivos!$C$2:$C$200,"C2",aditivos!$B$2:$B$200,"&gt;="&amp;(INT(parametros!$I$4)+1)),2)))</f>
        <v/>
      </c>
      <c r="AE199" t="str">
        <f>IF($A199="","",IF(OR(parametros!$C$5="",parametros!$I$5=""),0,ROUND(SUMIFS(aditivos!$L$2:$L$200,aditivos!$A$2:$A$200,$A199,aditivos!$C$2:$C$200,"C3",aditivos!$B$2:$B$200,"&gt;="&amp;(INT(parametros!$I$5)+1)),2)))</f>
        <v/>
      </c>
      <c r="AF199" t="str">
        <f>IF($A199="","",IF(OR(parametros!$C$6="",parametros!$I$6=""),0,ROUND(SUMIFS(aditivos!$L$2:$L$200,aditivos!$A$2:$A$200,$A199,aditivos!$C$2:$C$200,"C4",aditivos!$B$2:$B$200,"&gt;="&amp;(INT(parametros!$I$6)+1)),2)))</f>
        <v/>
      </c>
      <c r="AG199" t="str">
        <f t="shared" si="120"/>
        <v/>
      </c>
      <c r="AH199" t="str">
        <f t="shared" si="121"/>
        <v/>
      </c>
      <c r="AI199" t="str">
        <f t="shared" si="122"/>
        <v/>
      </c>
      <c r="AJ199" t="str">
        <f t="shared" si="123"/>
        <v/>
      </c>
      <c r="AK199" t="str">
        <f t="shared" si="124"/>
        <v/>
      </c>
      <c r="AL199" t="str">
        <f t="shared" si="125"/>
        <v/>
      </c>
    </row>
    <row r="200" spans="1:38" x14ac:dyDescent="0.35">
      <c r="A200" s="146" t="str">
        <f>IF(itens_Remanesc!A200="","",itens_Remanesc!A200)</f>
        <v/>
      </c>
      <c r="B200" s="196" t="str">
        <f>IF(A200="","",itens_Remanesc!C200)</f>
        <v/>
      </c>
      <c r="C200" s="161" t="str">
        <f>IF(A200="","",IF(itens_Remanesc!B200="",0,itens_Remanesc!B200))</f>
        <v/>
      </c>
      <c r="D200" s="163" t="str">
        <f>IF(A200="","",ROUND(SUMIFS(aditivos!$L$2:$L$200,aditivos!$A$2:$A$200,A200,aditivos!$C$2:$C$200,"C0"),2))</f>
        <v/>
      </c>
      <c r="E200" s="159" t="str">
        <f t="shared" si="108"/>
        <v/>
      </c>
      <c r="F200" s="159" t="str">
        <f>IF(A200="","",IF(itens_Remanesc!B200&lt;&gt;"",itens_Remanesc!B200,IF($Z200,0,"")))</f>
        <v/>
      </c>
      <c r="G200" s="167" t="str">
        <f t="shared" si="109"/>
        <v/>
      </c>
      <c r="H200" s="169" t="str">
        <f>IF(A200="","",ROUND(SUMIFS(aditivos!$L$2:$L$200,aditivos!$A$2:$A$200,A200,aditivos!$C$2:$C$200,"C1"),2))</f>
        <v/>
      </c>
      <c r="I200" s="165" t="str">
        <f t="shared" si="110"/>
        <v/>
      </c>
      <c r="J200" s="165" t="str">
        <f>IF(A200="","",IF(itens_Remanesc!E200="","",itens_Remanesc!E200))</f>
        <v/>
      </c>
      <c r="K200" s="171" t="str">
        <f t="shared" si="111"/>
        <v/>
      </c>
      <c r="L200" s="163" t="str">
        <f>IF(A200="","",ROUND(SUMIFS(aditivos!$L$2:$L$200,aditivos!$A$2:$A$200,A200,aditivos!$C$2:$C$200,"C2"),2))</f>
        <v/>
      </c>
      <c r="M200" s="159" t="str">
        <f t="shared" si="112"/>
        <v/>
      </c>
      <c r="N200" s="159" t="str">
        <f>IF(A200="","",IF(itens_Remanesc!G200="","",itens_Remanesc!G200))</f>
        <v/>
      </c>
      <c r="O200" s="167" t="str">
        <f t="shared" si="113"/>
        <v/>
      </c>
      <c r="P200" s="169" t="str">
        <f>IF(A200="","",ROUND(SUMIFS(aditivos!$L$2:$L$200,aditivos!$A$2:$A$200,A200,aditivos!$C$2:$C$200,"C3"),2))</f>
        <v/>
      </c>
      <c r="Q200" s="165" t="str">
        <f t="shared" si="114"/>
        <v/>
      </c>
      <c r="R200" s="165" t="str">
        <f>IF(A200="","",IF(itens_Remanesc!I200="","",itens_Remanesc!I200))</f>
        <v/>
      </c>
      <c r="S200" s="171" t="str">
        <f t="shared" si="115"/>
        <v/>
      </c>
      <c r="T200" s="163" t="str">
        <f>IF(A200="","",ROUND(SUMIFS(aditivos!$L$2:$L$200,aditivos!$A$2:$A$200,A200,aditivos!$C$2:$C$200,"C4"),2))</f>
        <v/>
      </c>
      <c r="U200" s="159" t="str">
        <f t="shared" si="116"/>
        <v/>
      </c>
      <c r="V200" s="159" t="str">
        <f>IF(A200="","",IF(itens_Remanesc!K200="","",itens_Remanesc!K200))</f>
        <v/>
      </c>
      <c r="W200" s="159" t="str">
        <f t="shared" si="117"/>
        <v/>
      </c>
      <c r="X200" s="146" t="str">
        <f>IF(A200="","",IF(COUNTIF($A$2:$A$200,A200)&gt;1,"ALERTA: ITEM_DUPLICADO",IF(AND($Z200,ISNUMBER(itens_Remanesc!B200),itens_Remanesc!B200&lt;&gt;0),"NOVO ITEM COM BASE DIFERENTE DE 0 - AJUSTAR itens_Remanesc",IF(AND($Z200,NOT(ISNUMBER(itens_Remanesc!C200))),"NOVO ITEM SEM VU_ORIGINAL - INFORMAR EM itens_Remanesc",IF(MIN(E200,I200,M200,Q200,U200,G200,K200,O200,S200,W200)&lt;0,"ALERTA: POSICAO_NEGATIVA",IF(OR(AND(G200&lt;&gt;"",G200&gt;E200),AND(K200&lt;&gt;"",K200&gt;I200),AND(O200&lt;&gt;"",O200&gt;M200),AND(S200&lt;&gt;"",S200&gt;Q200),AND(W200&lt;&gt;"",W200&gt;U200)),"ALERTA: REMANESCENTE_SUPERA_POSICAO","OK"))))))</f>
        <v/>
      </c>
      <c r="Y200" t="str">
        <f t="shared" si="118"/>
        <v/>
      </c>
      <c r="Z200" t="b">
        <f t="shared" si="119"/>
        <v>0</v>
      </c>
      <c r="AA200" s="208" t="str">
        <f>IF($A200="","",IF(COUNTIFS(aditivos!$A$2:$A$200,$A200,aditivos!$L$2:$L$200,"&lt;&gt;",aditivos!$L$2:$L$200,"&lt;&gt;0",aditivos!$B$2:$B$200,"&gt;0")=0,"",IFERROR(_xlfn.MINIFS(aditivos!$B$2:$B$200,aditivos!$A$2:$A$200,$A200,aditivos!$L$2:$L$200,"&lt;&gt;",aditivos!$L$2:$L$200,"&lt;&gt;0",aditivos!$B$2:$B$200,"&gt;0"),"")))</f>
        <v/>
      </c>
      <c r="AB200" t="str">
        <f>IF($A200="","",IF(OR(parametros!$C$2="",parametros!$I$2=""),0,ROUND(SUMIFS(aditivos!$L$2:$L$200,aditivos!$A$2:$A$200,$A200,aditivos!$C$2:$C$200,"C0",aditivos!$B$2:$B$200,"&gt;="&amp;(INT(parametros!$I$2)+1)),2)))</f>
        <v/>
      </c>
      <c r="AC200" t="str">
        <f>IF($A200="","",IF(OR(parametros!$C$3="",parametros!$I$3=""),0,ROUND(SUMIFS(aditivos!$L$2:$L$200,aditivos!$A$2:$A$200,$A200,aditivos!$C$2:$C$200,"C1",aditivos!$B$2:$B$200,"&gt;="&amp;(INT(parametros!$I$3)+1)),2)))</f>
        <v/>
      </c>
      <c r="AD200" t="str">
        <f>IF($A200="","",IF(OR(parametros!$C$4="",parametros!$I$4=""),0,ROUND(SUMIFS(aditivos!$L$2:$L$200,aditivos!$A$2:$A$200,$A200,aditivos!$C$2:$C$200,"C2",aditivos!$B$2:$B$200,"&gt;="&amp;(INT(parametros!$I$4)+1)),2)))</f>
        <v/>
      </c>
      <c r="AE200" t="str">
        <f>IF($A200="","",IF(OR(parametros!$C$5="",parametros!$I$5=""),0,ROUND(SUMIFS(aditivos!$L$2:$L$200,aditivos!$A$2:$A$200,$A200,aditivos!$C$2:$C$200,"C3",aditivos!$B$2:$B$200,"&gt;="&amp;(INT(parametros!$I$5)+1)),2)))</f>
        <v/>
      </c>
      <c r="AF200" t="str">
        <f>IF($A200="","",IF(OR(parametros!$C$6="",parametros!$I$6=""),0,ROUND(SUMIFS(aditivos!$L$2:$L$200,aditivos!$A$2:$A$200,$A200,aditivos!$C$2:$C$200,"C4",aditivos!$B$2:$B$200,"&gt;="&amp;(INT(parametros!$I$6)+1)),2)))</f>
        <v/>
      </c>
      <c r="AG200" t="str">
        <f t="shared" si="120"/>
        <v/>
      </c>
      <c r="AH200" t="str">
        <f t="shared" si="121"/>
        <v/>
      </c>
      <c r="AI200" t="str">
        <f t="shared" si="122"/>
        <v/>
      </c>
      <c r="AJ200" t="str">
        <f t="shared" si="123"/>
        <v/>
      </c>
      <c r="AK200" t="str">
        <f t="shared" si="124"/>
        <v/>
      </c>
      <c r="AL200" t="str">
        <f t="shared" si="125"/>
        <v/>
      </c>
    </row>
    <row r="201" spans="1:38" x14ac:dyDescent="0.35">
      <c r="B201" s="191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203"/>
  <sheetViews>
    <sheetView showGridLines="0" workbookViewId="0">
      <pane ySplit="2" topLeftCell="A3" activePane="bottomLeft" state="frozen"/>
      <selection pane="bottomLeft" sqref="A1:A2"/>
    </sheetView>
  </sheetViews>
  <sheetFormatPr defaultColWidth="8.54296875" defaultRowHeight="14.5" x14ac:dyDescent="0.35"/>
  <cols>
    <col min="1" max="1" width="8" customWidth="1"/>
    <col min="2" max="2" width="14" customWidth="1"/>
    <col min="3" max="3" width="12" customWidth="1"/>
    <col min="4" max="4" width="15" customWidth="1"/>
    <col min="5" max="5" width="14" customWidth="1"/>
    <col min="6" max="6" width="12" customWidth="1"/>
    <col min="7" max="7" width="15" customWidth="1"/>
    <col min="8" max="8" width="14" customWidth="1"/>
    <col min="9" max="9" width="12" customWidth="1"/>
    <col min="10" max="10" width="18.1796875" customWidth="1"/>
    <col min="11" max="11" width="14" customWidth="1"/>
    <col min="12" max="12" width="12" customWidth="1"/>
    <col min="13" max="13" width="15" customWidth="1"/>
    <col min="14" max="14" width="14" customWidth="1"/>
    <col min="15" max="15" width="12" customWidth="1"/>
    <col min="16" max="16" width="15" customWidth="1"/>
    <col min="17" max="25" width="18.6328125" customWidth="1"/>
    <col min="26" max="29" width="20" customWidth="1"/>
    <col min="31" max="31" width="46.6328125" customWidth="1"/>
  </cols>
  <sheetData>
    <row r="1" spans="1:31" ht="30" customHeight="1" x14ac:dyDescent="0.35">
      <c r="A1" s="461" t="s">
        <v>274</v>
      </c>
      <c r="B1" s="461" t="s">
        <v>275</v>
      </c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3"/>
      <c r="Q1" s="460" t="s">
        <v>276</v>
      </c>
      <c r="R1" s="425"/>
      <c r="S1" s="425"/>
      <c r="T1" s="425"/>
      <c r="U1" s="425"/>
      <c r="V1" s="425"/>
      <c r="W1" s="425"/>
      <c r="X1" s="425"/>
      <c r="Y1" s="425"/>
      <c r="Z1" s="464" t="s">
        <v>277</v>
      </c>
      <c r="AA1" s="425"/>
      <c r="AB1" s="425"/>
      <c r="AC1" s="425"/>
      <c r="AE1" s="465" t="s">
        <v>278</v>
      </c>
    </row>
    <row r="2" spans="1:31" ht="43.5" customHeight="1" x14ac:dyDescent="0.35">
      <c r="A2" s="466"/>
      <c r="B2" s="52" t="s">
        <v>279</v>
      </c>
      <c r="C2" s="52" t="s">
        <v>280</v>
      </c>
      <c r="D2" s="52" t="s">
        <v>281</v>
      </c>
      <c r="E2" s="53" t="s">
        <v>282</v>
      </c>
      <c r="F2" s="53" t="s">
        <v>283</v>
      </c>
      <c r="G2" s="53" t="s">
        <v>284</v>
      </c>
      <c r="H2" s="52" t="s">
        <v>285</v>
      </c>
      <c r="I2" s="52" t="s">
        <v>286</v>
      </c>
      <c r="J2" s="52" t="s">
        <v>287</v>
      </c>
      <c r="K2" s="53" t="s">
        <v>288</v>
      </c>
      <c r="L2" s="53" t="s">
        <v>289</v>
      </c>
      <c r="M2" s="53" t="s">
        <v>290</v>
      </c>
      <c r="N2" s="52" t="s">
        <v>291</v>
      </c>
      <c r="O2" s="52" t="s">
        <v>292</v>
      </c>
      <c r="P2" s="52" t="s">
        <v>293</v>
      </c>
      <c r="Q2" s="206" t="s">
        <v>294</v>
      </c>
      <c r="R2" s="206" t="s">
        <v>295</v>
      </c>
      <c r="S2" s="206" t="s">
        <v>296</v>
      </c>
      <c r="T2" s="206" t="s">
        <v>297</v>
      </c>
      <c r="U2" s="206" t="s">
        <v>298</v>
      </c>
      <c r="V2" s="206" t="s">
        <v>299</v>
      </c>
      <c r="W2" s="206" t="s">
        <v>300</v>
      </c>
      <c r="X2" s="206" t="s">
        <v>236</v>
      </c>
      <c r="Y2" s="206" t="s">
        <v>301</v>
      </c>
      <c r="Z2" s="209" t="s">
        <v>302</v>
      </c>
      <c r="AA2" s="209" t="s">
        <v>303</v>
      </c>
      <c r="AB2" s="209" t="s">
        <v>304</v>
      </c>
      <c r="AC2" s="209" t="s">
        <v>305</v>
      </c>
      <c r="AE2" s="425"/>
    </row>
    <row r="3" spans="1:31" x14ac:dyDescent="0.35">
      <c r="A3" s="106" t="str">
        <f>IF(FALSE,"TOTAL",IF(itens_Remanesc!A2="","",itens_Remanesc!A2))</f>
        <v>ITEM-001</v>
      </c>
      <c r="B3" s="107">
        <f>IF(OR(historico_VU!A2="",historico_VU!C2=""),"",historico_VU!C2)</f>
        <v>250</v>
      </c>
      <c r="C3" s="108">
        <f>IF(posicao_contratual!A2="","",posicao_contratual!G2)</f>
        <v>120</v>
      </c>
      <c r="D3" s="107">
        <f>IF(A3="TOTAL",ROUND(SUM($D2:D$3),2),IF(OR(A3="",B3="",C3=""),"",ROUND(B3*C3,2)))</f>
        <v>30000</v>
      </c>
      <c r="E3" s="109">
        <f>IF(OR(historico_VU!A2="",historico_VU!D2=""),"",historico_VU!D2)</f>
        <v>262.8</v>
      </c>
      <c r="F3" s="110">
        <f>IF(posicao_contratual!A2="","",posicao_contratual!K2)</f>
        <v>120</v>
      </c>
      <c r="G3" s="109">
        <f>IF(A3="TOTAL",ROUND(SUM($G2:G$3),2),IF(OR(A3="",E3="",F3=""),"",ROUND(E3*F3,2)))</f>
        <v>31536</v>
      </c>
      <c r="H3" s="107">
        <f>IF(OR(historico_VU!A2="",historico_VU!E2=""),"",historico_VU!E2)</f>
        <v>272.63</v>
      </c>
      <c r="I3" s="108">
        <f>IF(posicao_contratual!A2="","",posicao_contratual!O2)</f>
        <v>120</v>
      </c>
      <c r="J3" s="111">
        <f>IF(A3="TOTAL",ROUND(SUM($J2:J$3),2),IF(OR(A3="",H3="",I3=""),"",ROUND(H3*I3,2)))</f>
        <v>32715.599999999999</v>
      </c>
      <c r="K3" s="109">
        <f>IF(OR(historico_VU!A2="",historico_VU!F2=""),"",historico_VU!F2)</f>
        <v>280.51</v>
      </c>
      <c r="L3" s="110">
        <f>IF(posicao_contratual!A2="","",posicao_contratual!S2)</f>
        <v>120</v>
      </c>
      <c r="M3" s="112">
        <f>IF(A3="TOTAL",ROUND(SUM($M2:M$3),2),IF(OR(A3="",K3="",L3=""),"",ROUND(K3*L3,2)))</f>
        <v>33661.199999999997</v>
      </c>
      <c r="N3" s="107" t="str">
        <f>IF(OR(historico_VU!A2="",historico_VU!G2=""),"",historico_VU!G2)</f>
        <v/>
      </c>
      <c r="O3" s="108">
        <f>IF(posicao_contratual!A2="","",posicao_contratual!W2)</f>
        <v>120</v>
      </c>
      <c r="P3" s="111" t="str">
        <f>IF(A3="TOTAL",ROUND(SUM($P2:P$3),2),IF(OR(A3="",N3="",O3=""),"",ROUND(N3*O3,2)))</f>
        <v/>
      </c>
      <c r="Q3" s="181">
        <f t="shared" ref="Q3:Q34" ca="1" si="0">IF($A3="","",IFERROR(IF(INDIRECT("CICLO_EM_EXECUCAO!$D$5")="","",INDIRECT("CICLO_EM_EXECUCAO!$D$5")),""))</f>
        <v>45657</v>
      </c>
      <c r="R3" t="str">
        <f>IF($A3="","",IF(MEMORIA_RESULTADOS!$W$46="","","C"&amp;MEMORIA_RESULTADOS!$W$46))</f>
        <v>C1</v>
      </c>
      <c r="S3" s="207">
        <f t="shared" ref="S3:S34" ca="1" si="1">IF($A3="","",IFERROR(IF(INDIRECT("CICLO_EM_EXECUCAO!B"&amp;(ROW()+10))="","",INDIRECT("CICLO_EM_EXECUCAO!B"&amp;(ROW()+10))),""))</f>
        <v>120</v>
      </c>
      <c r="T3" s="207">
        <f t="shared" ref="T3:T34" ca="1" si="2">IF($A3="","",IFERROR(IF(INDIRECT("CICLO_EM_EXECUCAO!D"&amp;(ROW()+10))="","",INDIRECT("CICLO_EM_EXECUCAO!D"&amp;(ROW()+10))),""))</f>
        <v>75</v>
      </c>
      <c r="U3" s="207">
        <f t="shared" ref="U3:U34" ca="1" si="3">IF($A3="","",IFERROR(IF(INDIRECT("CICLO_EM_EXECUCAO!C"&amp;(ROW()+10))="","",INDIRECT("CICLO_EM_EXECUCAO!C"&amp;(ROW()+10))),""))</f>
        <v>45</v>
      </c>
      <c r="V3" s="191">
        <f t="shared" ref="V3:V34" ca="1" si="4">IF($A3="","",IFERROR(IF(INDIRECT("CICLO_EM_EXECUCAO!E"&amp;(ROW()+10))="","",INDIRECT("CICLO_EM_EXECUCAO!E"&amp;(ROW()+10))),""))</f>
        <v>262.8</v>
      </c>
      <c r="W3" s="191">
        <f t="shared" ref="W3:W34" ca="1" si="5">IF($A3="","",IFERROR(IF(INDIRECT("CICLO_EM_EXECUCAO!F"&amp;(ROW()+10))="","",INDIRECT("CICLO_EM_EXECUCAO!F"&amp;(ROW()+10))),""))</f>
        <v>19710</v>
      </c>
      <c r="X3" s="191">
        <f t="shared" ref="X3:X34" ca="1" si="6">IF($A3="","",IFERROR(IF(INDIRECT("CICLO_EM_EXECUCAO!G"&amp;(ROW()+10))="","",INDIRECT("CICLO_EM_EXECUCAO!G"&amp;(ROW()+10))),""))</f>
        <v>11826</v>
      </c>
      <c r="Y3" t="str">
        <f t="shared" ref="Y3:Y34" ca="1" si="7">IF($A3="","",IFERROR(IF(INDIRECT("CICLO_EM_EXECUCAO!K"&amp;(ROW()+10))="","",INDIRECT("CICLO_EM_EXECUCAO!K"&amp;(ROW()+10))),"CICLO_EM_EXECUCAO AUSENTE"))</f>
        <v>OK</v>
      </c>
      <c r="Z3" s="208" t="str">
        <f>IF($A3="","",IF(posicao_contratual!$AA2="","",posicao_contratual!$AA2))</f>
        <v/>
      </c>
      <c r="AA3" t="str">
        <f>IF($A3="","",IF(posicao_contratual!$AL2="","","C"&amp;posicao_contratual!$AL2))</f>
        <v>C0</v>
      </c>
      <c r="AB3" t="str">
        <f>IF($A3="","",IF(OR(MEMORIA_RESULTADOS!$W$46="",posicao_contratual!$AL2=""),"",IF(posicao_contratual!$AL2&lt;=MEMORIA_RESULTADOS!$W$46,"SIM","NAO APLICAVEL")))</f>
        <v>SIM</v>
      </c>
      <c r="AC3">
        <f>IF($A3="","",IF(MEMORIA_RESULTADOS!$W$46="","",CHOOSE(MEMORIA_RESULTADOS!$W$46+1,posicao_contratual!$AG2,posicao_contratual!$AH2,posicao_contratual!$AI2,posicao_contratual!$AJ2,posicao_contratual!$AK2)))</f>
        <v>120</v>
      </c>
    </row>
    <row r="4" spans="1:31" x14ac:dyDescent="0.35">
      <c r="A4" s="106" t="str">
        <f>IF(AND(itens_Remanesc!A3="",itens_Remanesc!A2&lt;&gt;"",COUNTIF(itens_Remanesc!A4:$A$200,"&lt;&gt;")=0),"TOTAL",IF(itens_Remanesc!A3="","",itens_Remanesc!A3))</f>
        <v>ITEM-002</v>
      </c>
      <c r="B4" s="107">
        <f>IF(OR(historico_VU!A3="",historico_VU!C3=""),"",historico_VU!C3)</f>
        <v>1500</v>
      </c>
      <c r="C4" s="108">
        <f>IF(posicao_contratual!A3="","",posicao_contratual!G3)</f>
        <v>80</v>
      </c>
      <c r="D4" s="107">
        <f>IF(A4="TOTAL",ROUND(SUM($D3:D$3),2),IF(OR(A4="",B4="",C4=""),"",ROUND(B4*C4,2)))</f>
        <v>120000</v>
      </c>
      <c r="E4" s="109">
        <f>IF(OR(historico_VU!A3="",historico_VU!D3=""),"",historico_VU!D3)</f>
        <v>1576.8</v>
      </c>
      <c r="F4" s="110">
        <f>IF(posicao_contratual!A3="","",posicao_contratual!K3)</f>
        <v>80</v>
      </c>
      <c r="G4" s="109">
        <f>IF(A4="TOTAL",ROUND(SUM($G3:G$3),2),IF(OR(A4="",E4="",F4=""),"",ROUND(E4*F4,2)))</f>
        <v>126144</v>
      </c>
      <c r="H4" s="107">
        <f>IF(OR(historico_VU!A3="",historico_VU!E3=""),"",historico_VU!E3)</f>
        <v>1635.77</v>
      </c>
      <c r="I4" s="108">
        <f>IF(posicao_contratual!A3="","",posicao_contratual!O3)</f>
        <v>80</v>
      </c>
      <c r="J4" s="111">
        <f>IF(A4="TOTAL",ROUND(SUM($J3:J$3),2),IF(OR(A4="",H4="",I4=""),"",ROUND(H4*I4,2)))</f>
        <v>130861.6</v>
      </c>
      <c r="K4" s="109">
        <f>IF(OR(historico_VU!A3="",historico_VU!F3=""),"",historico_VU!F3)</f>
        <v>1683.05</v>
      </c>
      <c r="L4" s="110">
        <f>IF(posicao_contratual!A3="","",posicao_contratual!S3)</f>
        <v>80</v>
      </c>
      <c r="M4" s="112">
        <f>IF(A4="TOTAL",ROUND(SUM($M3:M$3),2),IF(OR(A4="",K4="",L4=""),"",ROUND(K4*L4,2)))</f>
        <v>134644</v>
      </c>
      <c r="N4" s="107" t="str">
        <f>IF(OR(historico_VU!A3="",historico_VU!G3=""),"",historico_VU!G3)</f>
        <v/>
      </c>
      <c r="O4" s="108">
        <f>IF(posicao_contratual!A3="","",posicao_contratual!W3)</f>
        <v>80</v>
      </c>
      <c r="P4" s="111" t="str">
        <f>IF(A4="TOTAL",ROUND(SUM($P3:P$3),2),IF(OR(A4="",N4="",O4=""),"",ROUND(N4*O4,2)))</f>
        <v/>
      </c>
      <c r="Q4" s="181">
        <f t="shared" ca="1" si="0"/>
        <v>45657</v>
      </c>
      <c r="R4" t="str">
        <f>IF($A4="","",IF(MEMORIA_RESULTADOS!$W$46="","","C"&amp;MEMORIA_RESULTADOS!$W$46))</f>
        <v>C1</v>
      </c>
      <c r="S4" s="207">
        <f t="shared" ca="1" si="1"/>
        <v>80</v>
      </c>
      <c r="T4" s="207">
        <f t="shared" ca="1" si="2"/>
        <v>50</v>
      </c>
      <c r="U4" s="207">
        <f t="shared" ca="1" si="3"/>
        <v>30</v>
      </c>
      <c r="V4" s="191">
        <f t="shared" ca="1" si="4"/>
        <v>1576.8</v>
      </c>
      <c r="W4" s="191">
        <f t="shared" ca="1" si="5"/>
        <v>78840</v>
      </c>
      <c r="X4" s="191">
        <f t="shared" ca="1" si="6"/>
        <v>47304</v>
      </c>
      <c r="Y4" t="str">
        <f t="shared" ca="1" si="7"/>
        <v>OK</v>
      </c>
      <c r="Z4" s="208" t="str">
        <f>IF($A4="","",IF(posicao_contratual!$AA3="","",posicao_contratual!$AA3))</f>
        <v/>
      </c>
      <c r="AA4" t="str">
        <f>IF($A4="","",IF(posicao_contratual!$AL3="","","C"&amp;posicao_contratual!$AL3))</f>
        <v>C0</v>
      </c>
      <c r="AB4" t="str">
        <f>IF($A4="","",IF(OR(MEMORIA_RESULTADOS!$W$46="",posicao_contratual!$AL3=""),"",IF(posicao_contratual!$AL3&lt;=MEMORIA_RESULTADOS!$W$46,"SIM","NAO APLICAVEL")))</f>
        <v>SIM</v>
      </c>
      <c r="AC4">
        <f>IF($A4="","",IF(MEMORIA_RESULTADOS!$W$46="","",CHOOSE(MEMORIA_RESULTADOS!$W$46+1,posicao_contratual!$AG3,posicao_contratual!$AH3,posicao_contratual!$AI3,posicao_contratual!$AJ3,posicao_contratual!$AK3)))</f>
        <v>80</v>
      </c>
    </row>
    <row r="5" spans="1:31" x14ac:dyDescent="0.35">
      <c r="A5" s="106" t="str">
        <f>IF(AND(itens_Remanesc!A4="",itens_Remanesc!A3&lt;&gt;"",COUNTIF(itens_Remanesc!A5:$A$200,"&lt;&gt;")=0),"TOTAL",IF(itens_Remanesc!A4="","",itens_Remanesc!A4))</f>
        <v>ITEM-003</v>
      </c>
      <c r="B5" s="107">
        <f>IF(OR(historico_VU!A4="",historico_VU!C4=""),"",historico_VU!C4)</f>
        <v>3200</v>
      </c>
      <c r="C5" s="108">
        <f>IF(posicao_contratual!A4="","",posicao_contratual!G4)</f>
        <v>40</v>
      </c>
      <c r="D5" s="107">
        <f>IF(A5="TOTAL",ROUND(SUM($D$3:D4),2),IF(OR(A5="",B5="",C5=""),"",ROUND(B5*C5,2)))</f>
        <v>128000</v>
      </c>
      <c r="E5" s="109">
        <f>IF(OR(historico_VU!A4="",historico_VU!D4=""),"",historico_VU!D4)</f>
        <v>3363.84</v>
      </c>
      <c r="F5" s="110">
        <f>IF(posicao_contratual!A4="","",posicao_contratual!K4)</f>
        <v>40</v>
      </c>
      <c r="G5" s="109">
        <f>IF(A5="TOTAL",ROUND(SUM($G$3:G4),2),IF(OR(A5="",E5="",F5=""),"",ROUND(E5*F5,2)))</f>
        <v>134553.60000000001</v>
      </c>
      <c r="H5" s="107">
        <f>IF(OR(historico_VU!A4="",historico_VU!E4=""),"",historico_VU!E4)</f>
        <v>3489.65</v>
      </c>
      <c r="I5" s="108">
        <f>IF(posicao_contratual!A4="","",posicao_contratual!O4)</f>
        <v>40</v>
      </c>
      <c r="J5" s="111">
        <f>IF(A5="TOTAL",ROUND(SUM($J$3:J4),2),IF(OR(A5="",H5="",I5=""),"",ROUND(H5*I5,2)))</f>
        <v>139586</v>
      </c>
      <c r="K5" s="109">
        <f>IF(OR(historico_VU!A4="",historico_VU!F4=""),"",historico_VU!F4)</f>
        <v>3590.5</v>
      </c>
      <c r="L5" s="110">
        <f>IF(posicao_contratual!A4="","",posicao_contratual!S4)</f>
        <v>40</v>
      </c>
      <c r="M5" s="112">
        <f>IF(A5="TOTAL",ROUND(SUM($M$3:M4),2),IF(OR(A5="",K5="",L5=""),"",ROUND(K5*L5,2)))</f>
        <v>143620</v>
      </c>
      <c r="N5" s="107" t="str">
        <f>IF(OR(historico_VU!A4="",historico_VU!G4=""),"",historico_VU!G4)</f>
        <v/>
      </c>
      <c r="O5" s="108">
        <f>IF(posicao_contratual!A4="","",posicao_contratual!W4)</f>
        <v>40</v>
      </c>
      <c r="P5" s="111" t="str">
        <f>IF(A5="TOTAL",ROUND(SUM($P$3:P4),2),IF(OR(A5="",N5="",O5=""),"",ROUND(N5*O5,2)))</f>
        <v/>
      </c>
      <c r="Q5" s="181">
        <f t="shared" ca="1" si="0"/>
        <v>45657</v>
      </c>
      <c r="R5" t="str">
        <f>IF($A5="","",IF(MEMORIA_RESULTADOS!$W$46="","","C"&amp;MEMORIA_RESULTADOS!$W$46))</f>
        <v>C1</v>
      </c>
      <c r="S5" s="207">
        <f t="shared" ca="1" si="1"/>
        <v>40</v>
      </c>
      <c r="T5" s="207">
        <f t="shared" ca="1" si="2"/>
        <v>28</v>
      </c>
      <c r="U5" s="207">
        <f t="shared" ca="1" si="3"/>
        <v>12</v>
      </c>
      <c r="V5" s="191">
        <f t="shared" ca="1" si="4"/>
        <v>3363.84</v>
      </c>
      <c r="W5" s="191">
        <f t="shared" ca="1" si="5"/>
        <v>94187.520000000004</v>
      </c>
      <c r="X5" s="191">
        <f t="shared" ca="1" si="6"/>
        <v>40366.080000000002</v>
      </c>
      <c r="Y5" t="str">
        <f t="shared" ca="1" si="7"/>
        <v>OK</v>
      </c>
      <c r="Z5" s="208" t="str">
        <f>IF($A5="","",IF(posicao_contratual!$AA4="","",posicao_contratual!$AA4))</f>
        <v/>
      </c>
      <c r="AA5" t="str">
        <f>IF($A5="","",IF(posicao_contratual!$AL4="","","C"&amp;posicao_contratual!$AL4))</f>
        <v>C0</v>
      </c>
      <c r="AB5" t="str">
        <f>IF($A5="","",IF(OR(MEMORIA_RESULTADOS!$W$46="",posicao_contratual!$AL4=""),"",IF(posicao_contratual!$AL4&lt;=MEMORIA_RESULTADOS!$W$46,"SIM","NAO APLICAVEL")))</f>
        <v>SIM</v>
      </c>
      <c r="AC5">
        <f>IF($A5="","",IF(MEMORIA_RESULTADOS!$W$46="","",CHOOSE(MEMORIA_RESULTADOS!$W$46+1,posicao_contratual!$AG4,posicao_contratual!$AH4,posicao_contratual!$AI4,posicao_contratual!$AJ4,posicao_contratual!$AK4)))</f>
        <v>40</v>
      </c>
    </row>
    <row r="6" spans="1:31" x14ac:dyDescent="0.35">
      <c r="A6" s="106" t="str">
        <f>IF(AND(itens_Remanesc!A5="",itens_Remanesc!A4&lt;&gt;"",COUNTIF(itens_Remanesc!A6:$A$200,"&lt;&gt;")=0),"TOTAL",IF(itens_Remanesc!A5="","",itens_Remanesc!A5))</f>
        <v>TOTAL</v>
      </c>
      <c r="B6" s="107" t="str">
        <f>IF(OR(historico_VU!A5="",historico_VU!C5=""),"",historico_VU!C5)</f>
        <v/>
      </c>
      <c r="C6" s="108" t="str">
        <f>IF(posicao_contratual!A5="","",posicao_contratual!G5)</f>
        <v/>
      </c>
      <c r="D6" s="107">
        <f>IF(A6="TOTAL",ROUND(SUM($D$3:D5),2),IF(OR(A6="",B6="",C6=""),"",ROUND(B6*C6,2)))</f>
        <v>278000</v>
      </c>
      <c r="E6" s="109" t="str">
        <f>IF(OR(historico_VU!A5="",historico_VU!D5=""),"",historico_VU!D5)</f>
        <v/>
      </c>
      <c r="F6" s="110" t="str">
        <f>IF(posicao_contratual!A5="","",posicao_contratual!K5)</f>
        <v/>
      </c>
      <c r="G6" s="109">
        <f>IF(A6="TOTAL",ROUND(SUM($G$3:G5),2),IF(OR(A6="",E6="",F6=""),"",ROUND(E6*F6,2)))</f>
        <v>292233.59999999998</v>
      </c>
      <c r="H6" s="107" t="str">
        <f>IF(OR(historico_VU!A5="",historico_VU!E5=""),"",historico_VU!E5)</f>
        <v/>
      </c>
      <c r="I6" s="108" t="str">
        <f>IF(posicao_contratual!A5="","",posicao_contratual!O5)</f>
        <v/>
      </c>
      <c r="J6" s="111">
        <f>IF(A6="TOTAL",ROUND(SUM($J$3:J5),2),IF(OR(A6="",H6="",I6=""),"",ROUND(H6*I6,2)))</f>
        <v>303163.2</v>
      </c>
      <c r="K6" s="109" t="str">
        <f>IF(OR(historico_VU!A5="",historico_VU!F5=""),"",historico_VU!F5)</f>
        <v/>
      </c>
      <c r="L6" s="110" t="str">
        <f>IF(posicao_contratual!A5="","",posicao_contratual!S5)</f>
        <v/>
      </c>
      <c r="M6" s="112">
        <f>IF(A6="TOTAL",ROUND(SUM($M$3:M5),2),IF(OR(A6="",K6="",L6=""),"",ROUND(K6*L6,2)))</f>
        <v>311925.2</v>
      </c>
      <c r="N6" s="107" t="str">
        <f>IF(OR(historico_VU!A5="",historico_VU!G5=""),"",historico_VU!G5)</f>
        <v/>
      </c>
      <c r="O6" s="108" t="str">
        <f>IF(posicao_contratual!A5="","",posicao_contratual!W5)</f>
        <v/>
      </c>
      <c r="P6" s="111">
        <f>IF(A6="TOTAL",ROUND(SUM($P$3:P5),2),IF(OR(A6="",N6="",O6=""),"",ROUND(N6*O6,2)))</f>
        <v>0</v>
      </c>
      <c r="Q6" s="181">
        <f t="shared" ca="1" si="0"/>
        <v>45657</v>
      </c>
      <c r="R6" t="str">
        <f>IF($A6="","",IF(MEMORIA_RESULTADOS!$W$46="","","C"&amp;MEMORIA_RESULTADOS!$W$46))</f>
        <v>C1</v>
      </c>
      <c r="S6" s="207" t="str">
        <f t="shared" ca="1" si="1"/>
        <v/>
      </c>
      <c r="T6" s="207" t="str">
        <f t="shared" ca="1" si="2"/>
        <v/>
      </c>
      <c r="U6" s="207" t="str">
        <f t="shared" ca="1" si="3"/>
        <v/>
      </c>
      <c r="V6" s="191" t="str">
        <f t="shared" ca="1" si="4"/>
        <v/>
      </c>
      <c r="W6" s="191" t="str">
        <f t="shared" ca="1" si="5"/>
        <v/>
      </c>
      <c r="X6" s="191" t="str">
        <f t="shared" ca="1" si="6"/>
        <v/>
      </c>
      <c r="Y6" t="str">
        <f t="shared" ca="1" si="7"/>
        <v/>
      </c>
      <c r="Z6" s="208" t="str">
        <f>IF($A6="","",IF(posicao_contratual!$AA5="","",posicao_contratual!$AA5))</f>
        <v/>
      </c>
      <c r="AA6" t="str">
        <f>IF($A6="","",IF(posicao_contratual!$AL5="","","C"&amp;posicao_contratual!$AL5))</f>
        <v/>
      </c>
      <c r="AB6" t="str">
        <f>IF($A6="","",IF(OR(MEMORIA_RESULTADOS!$W$46="",posicao_contratual!$AL5=""),"",IF(posicao_contratual!$AL5&lt;=MEMORIA_RESULTADOS!$W$46,"SIM","NAO APLICAVEL")))</f>
        <v/>
      </c>
      <c r="AC6" t="str">
        <f>IF($A6="","",IF(MEMORIA_RESULTADOS!$W$46="","",CHOOSE(MEMORIA_RESULTADOS!$W$46+1,posicao_contratual!$AG5,posicao_contratual!$AH5,posicao_contratual!$AI5,posicao_contratual!$AJ5,posicao_contratual!$AK5)))</f>
        <v/>
      </c>
    </row>
    <row r="7" spans="1:31" x14ac:dyDescent="0.35">
      <c r="A7" s="106" t="str">
        <f>IF(AND(itens_Remanesc!A6="",itens_Remanesc!A5&lt;&gt;"",COUNTIF(itens_Remanesc!A7:$A$200,"&lt;&gt;")=0),"TOTAL",IF(itens_Remanesc!A6="","",itens_Remanesc!A6))</f>
        <v/>
      </c>
      <c r="B7" s="107" t="str">
        <f>IF(OR(historico_VU!A6="",historico_VU!C6=""),"",historico_VU!C6)</f>
        <v/>
      </c>
      <c r="C7" s="108" t="str">
        <f>IF(posicao_contratual!A6="","",posicao_contratual!G6)</f>
        <v/>
      </c>
      <c r="D7" s="107" t="str">
        <f>IF(A7="TOTAL",ROUND(SUM($D$3:D6),2),IF(OR(A7="",B7="",C7=""),"",ROUND(B7*C7,2)))</f>
        <v/>
      </c>
      <c r="E7" s="109" t="str">
        <f>IF(OR(historico_VU!A6="",historico_VU!D6=""),"",historico_VU!D6)</f>
        <v/>
      </c>
      <c r="F7" s="110" t="str">
        <f>IF(posicao_contratual!A6="","",posicao_contratual!K6)</f>
        <v/>
      </c>
      <c r="G7" s="109" t="str">
        <f>IF(A7="TOTAL",ROUND(SUM($G$3:G6),2),IF(OR(A7="",E7="",F7=""),"",ROUND(E7*F7,2)))</f>
        <v/>
      </c>
      <c r="H7" s="107" t="str">
        <f>IF(OR(historico_VU!A6="",historico_VU!E6=""),"",historico_VU!E6)</f>
        <v/>
      </c>
      <c r="I7" s="108" t="str">
        <f>IF(posicao_contratual!A6="","",posicao_contratual!O6)</f>
        <v/>
      </c>
      <c r="J7" s="111" t="str">
        <f>IF(A7="TOTAL",ROUND(SUM($J$3:J6),2),IF(OR(A7="",H7="",I7=""),"",ROUND(H7*I7,2)))</f>
        <v/>
      </c>
      <c r="K7" s="109" t="str">
        <f>IF(OR(historico_VU!A6="",historico_VU!F6=""),"",historico_VU!F6)</f>
        <v/>
      </c>
      <c r="L7" s="110" t="str">
        <f>IF(posicao_contratual!A6="","",posicao_contratual!S6)</f>
        <v/>
      </c>
      <c r="M7" s="112" t="str">
        <f>IF(A7="TOTAL",ROUND(SUM($M$3:M6),2),IF(OR(A7="",K7="",L7=""),"",ROUND(K7*L7,2)))</f>
        <v/>
      </c>
      <c r="N7" s="107" t="str">
        <f>IF(OR(historico_VU!A6="",historico_VU!G6=""),"",historico_VU!G6)</f>
        <v/>
      </c>
      <c r="O7" s="108" t="str">
        <f>IF(posicao_contratual!A6="","",posicao_contratual!W6)</f>
        <v/>
      </c>
      <c r="P7" s="111" t="str">
        <f>IF(A7="TOTAL",ROUND(SUM($P$3:P6),2),IF(OR(A7="",N7="",O7=""),"",ROUND(N7*O7,2)))</f>
        <v/>
      </c>
      <c r="Q7" s="181" t="str">
        <f t="shared" ca="1" si="0"/>
        <v/>
      </c>
      <c r="R7" t="str">
        <f>IF($A7="","",IF(MEMORIA_RESULTADOS!$W$46="","","C"&amp;MEMORIA_RESULTADOS!$W$46))</f>
        <v/>
      </c>
      <c r="S7" s="207" t="str">
        <f t="shared" ca="1" si="1"/>
        <v/>
      </c>
      <c r="T7" s="207" t="str">
        <f t="shared" ca="1" si="2"/>
        <v/>
      </c>
      <c r="U7" s="207" t="str">
        <f t="shared" ca="1" si="3"/>
        <v/>
      </c>
      <c r="V7" s="191" t="str">
        <f t="shared" ca="1" si="4"/>
        <v/>
      </c>
      <c r="W7" s="191" t="str">
        <f t="shared" ca="1" si="5"/>
        <v/>
      </c>
      <c r="X7" s="191" t="str">
        <f t="shared" ca="1" si="6"/>
        <v/>
      </c>
      <c r="Y7" t="str">
        <f t="shared" ca="1" si="7"/>
        <v/>
      </c>
      <c r="Z7" s="208" t="str">
        <f>IF($A7="","",IF(posicao_contratual!$AA6="","",posicao_contratual!$AA6))</f>
        <v/>
      </c>
      <c r="AA7" t="str">
        <f>IF($A7="","",IF(posicao_contratual!$AL6="","","C"&amp;posicao_contratual!$AL6))</f>
        <v/>
      </c>
      <c r="AB7" t="str">
        <f>IF($A7="","",IF(OR(MEMORIA_RESULTADOS!$W$46="",posicao_contratual!$AL6=""),"",IF(posicao_contratual!$AL6&lt;=MEMORIA_RESULTADOS!$W$46,"SIM","NAO APLICAVEL")))</f>
        <v/>
      </c>
      <c r="AC7" t="str">
        <f>IF($A7="","",IF(MEMORIA_RESULTADOS!$W$46="","",CHOOSE(MEMORIA_RESULTADOS!$W$46+1,posicao_contratual!$AG6,posicao_contratual!$AH6,posicao_contratual!$AI6,posicao_contratual!$AJ6,posicao_contratual!$AK6)))</f>
        <v/>
      </c>
    </row>
    <row r="8" spans="1:31" x14ac:dyDescent="0.35">
      <c r="A8" s="106" t="str">
        <f>IF(AND(itens_Remanesc!A7="",itens_Remanesc!A6&lt;&gt;"",COUNTIF(itens_Remanesc!A8:$A$200,"&lt;&gt;")=0),"TOTAL",IF(itens_Remanesc!A7="","",itens_Remanesc!A7))</f>
        <v/>
      </c>
      <c r="B8" s="107" t="str">
        <f>IF(OR(historico_VU!A7="",historico_VU!C7=""),"",historico_VU!C7)</f>
        <v/>
      </c>
      <c r="C8" s="108" t="str">
        <f>IF(posicao_contratual!A7="","",posicao_contratual!G7)</f>
        <v/>
      </c>
      <c r="D8" s="107" t="str">
        <f>IF(A8="TOTAL",ROUND(SUM($D$3:D7),2),IF(OR(A8="",B8="",C8=""),"",ROUND(B8*C8,2)))</f>
        <v/>
      </c>
      <c r="E8" s="109" t="str">
        <f>IF(OR(historico_VU!A7="",historico_VU!D7=""),"",historico_VU!D7)</f>
        <v/>
      </c>
      <c r="F8" s="110" t="str">
        <f>IF(posicao_contratual!A7="","",posicao_contratual!K7)</f>
        <v/>
      </c>
      <c r="G8" s="109" t="str">
        <f>IF(A8="TOTAL",ROUND(SUM($G$3:G7),2),IF(OR(A8="",E8="",F8=""),"",ROUND(E8*F8,2)))</f>
        <v/>
      </c>
      <c r="H8" s="107" t="str">
        <f>IF(OR(historico_VU!A7="",historico_VU!E7=""),"",historico_VU!E7)</f>
        <v/>
      </c>
      <c r="I8" s="108" t="str">
        <f>IF(posicao_contratual!A7="","",posicao_contratual!O7)</f>
        <v/>
      </c>
      <c r="J8" s="111" t="str">
        <f>IF(A8="TOTAL",ROUND(SUM($J$3:J7),2),IF(OR(A8="",H8="",I8=""),"",ROUND(H8*I8,2)))</f>
        <v/>
      </c>
      <c r="K8" s="109" t="str">
        <f>IF(OR(historico_VU!A7="",historico_VU!F7=""),"",historico_VU!F7)</f>
        <v/>
      </c>
      <c r="L8" s="110" t="str">
        <f>IF(posicao_contratual!A7="","",posicao_contratual!S7)</f>
        <v/>
      </c>
      <c r="M8" s="112" t="str">
        <f>IF(A8="TOTAL",ROUND(SUM($M$3:M7),2),IF(OR(A8="",K8="",L8=""),"",ROUND(K8*L8,2)))</f>
        <v/>
      </c>
      <c r="N8" s="107" t="str">
        <f>IF(OR(historico_VU!A7="",historico_VU!G7=""),"",historico_VU!G7)</f>
        <v/>
      </c>
      <c r="O8" s="108" t="str">
        <f>IF(posicao_contratual!A7="","",posicao_contratual!W7)</f>
        <v/>
      </c>
      <c r="P8" s="111" t="str">
        <f>IF(A8="TOTAL",ROUND(SUM($P$3:P7),2),IF(OR(A8="",N8="",O8=""),"",ROUND(N8*O8,2)))</f>
        <v/>
      </c>
      <c r="Q8" s="181" t="str">
        <f t="shared" ca="1" si="0"/>
        <v/>
      </c>
      <c r="R8" t="str">
        <f>IF($A8="","",IF(MEMORIA_RESULTADOS!$W$46="","","C"&amp;MEMORIA_RESULTADOS!$W$46))</f>
        <v/>
      </c>
      <c r="S8" s="207" t="str">
        <f t="shared" ca="1" si="1"/>
        <v/>
      </c>
      <c r="T8" s="207" t="str">
        <f t="shared" ca="1" si="2"/>
        <v/>
      </c>
      <c r="U8" s="207" t="str">
        <f t="shared" ca="1" si="3"/>
        <v/>
      </c>
      <c r="V8" s="191" t="str">
        <f t="shared" ca="1" si="4"/>
        <v/>
      </c>
      <c r="W8" s="191" t="str">
        <f t="shared" ca="1" si="5"/>
        <v/>
      </c>
      <c r="X8" s="191" t="str">
        <f t="shared" ca="1" si="6"/>
        <v/>
      </c>
      <c r="Y8" t="str">
        <f t="shared" ca="1" si="7"/>
        <v/>
      </c>
      <c r="Z8" s="208" t="str">
        <f>IF($A8="","",IF(posicao_contratual!$AA7="","",posicao_contratual!$AA7))</f>
        <v/>
      </c>
      <c r="AA8" t="str">
        <f>IF($A8="","",IF(posicao_contratual!$AL7="","","C"&amp;posicao_contratual!$AL7))</f>
        <v/>
      </c>
      <c r="AB8" t="str">
        <f>IF($A8="","",IF(OR(MEMORIA_RESULTADOS!$W$46="",posicao_contratual!$AL7=""),"",IF(posicao_contratual!$AL7&lt;=MEMORIA_RESULTADOS!$W$46,"SIM","NAO APLICAVEL")))</f>
        <v/>
      </c>
      <c r="AC8" t="str">
        <f>IF($A8="","",IF(MEMORIA_RESULTADOS!$W$46="","",CHOOSE(MEMORIA_RESULTADOS!$W$46+1,posicao_contratual!$AG7,posicao_contratual!$AH7,posicao_contratual!$AI7,posicao_contratual!$AJ7,posicao_contratual!$AK7)))</f>
        <v/>
      </c>
    </row>
    <row r="9" spans="1:31" x14ac:dyDescent="0.35">
      <c r="A9" s="106" t="str">
        <f>IF(AND(itens_Remanesc!A8="",itens_Remanesc!A7&lt;&gt;"",COUNTIF(itens_Remanesc!A9:$A$200,"&lt;&gt;")=0),"TOTAL",IF(itens_Remanesc!A8="","",itens_Remanesc!A8))</f>
        <v/>
      </c>
      <c r="B9" s="107" t="str">
        <f>IF(OR(historico_VU!A8="",historico_VU!C8=""),"",historico_VU!C8)</f>
        <v/>
      </c>
      <c r="C9" s="108" t="str">
        <f>IF(posicao_contratual!A8="","",posicao_contratual!G8)</f>
        <v/>
      </c>
      <c r="D9" s="107" t="str">
        <f>IF(A9="TOTAL",ROUND(SUM($D$3:D8),2),IF(OR(A9="",B9="",C9=""),"",ROUND(B9*C9,2)))</f>
        <v/>
      </c>
      <c r="E9" s="109" t="str">
        <f>IF(OR(historico_VU!A8="",historico_VU!D8=""),"",historico_VU!D8)</f>
        <v/>
      </c>
      <c r="F9" s="110" t="str">
        <f>IF(posicao_contratual!A8="","",posicao_contratual!K8)</f>
        <v/>
      </c>
      <c r="G9" s="109" t="str">
        <f>IF(A9="TOTAL",ROUND(SUM($G$3:G8),2),IF(OR(A9="",E9="",F9=""),"",ROUND(E9*F9,2)))</f>
        <v/>
      </c>
      <c r="H9" s="107" t="str">
        <f>IF(OR(historico_VU!A8="",historico_VU!E8=""),"",historico_VU!E8)</f>
        <v/>
      </c>
      <c r="I9" s="108" t="str">
        <f>IF(posicao_contratual!A8="","",posicao_contratual!O8)</f>
        <v/>
      </c>
      <c r="J9" s="111" t="str">
        <f>IF(A9="TOTAL",ROUND(SUM($J$3:J8),2),IF(OR(A9="",H9="",I9=""),"",ROUND(H9*I9,2)))</f>
        <v/>
      </c>
      <c r="K9" s="109" t="str">
        <f>IF(OR(historico_VU!A8="",historico_VU!F8=""),"",historico_VU!F8)</f>
        <v/>
      </c>
      <c r="L9" s="110" t="str">
        <f>IF(posicao_contratual!A8="","",posicao_contratual!S8)</f>
        <v/>
      </c>
      <c r="M9" s="112" t="str">
        <f>IF(A9="TOTAL",ROUND(SUM($M$3:M8),2),IF(OR(A9="",K9="",L9=""),"",ROUND(K9*L9,2)))</f>
        <v/>
      </c>
      <c r="N9" s="107" t="str">
        <f>IF(OR(historico_VU!A8="",historico_VU!G8=""),"",historico_VU!G8)</f>
        <v/>
      </c>
      <c r="O9" s="108" t="str">
        <f>IF(posicao_contratual!A8="","",posicao_contratual!W8)</f>
        <v/>
      </c>
      <c r="P9" s="111" t="str">
        <f>IF(A9="TOTAL",ROUND(SUM($P$3:P8),2),IF(OR(A9="",N9="",O9=""),"",ROUND(N9*O9,2)))</f>
        <v/>
      </c>
      <c r="Q9" s="181" t="str">
        <f t="shared" ca="1" si="0"/>
        <v/>
      </c>
      <c r="R9" t="str">
        <f>IF($A9="","",IF(MEMORIA_RESULTADOS!$W$46="","","C"&amp;MEMORIA_RESULTADOS!$W$46))</f>
        <v/>
      </c>
      <c r="S9" s="207" t="str">
        <f t="shared" ca="1" si="1"/>
        <v/>
      </c>
      <c r="T9" s="207" t="str">
        <f t="shared" ca="1" si="2"/>
        <v/>
      </c>
      <c r="U9" s="207" t="str">
        <f t="shared" ca="1" si="3"/>
        <v/>
      </c>
      <c r="V9" s="191" t="str">
        <f t="shared" ca="1" si="4"/>
        <v/>
      </c>
      <c r="W9" s="191" t="str">
        <f t="shared" ca="1" si="5"/>
        <v/>
      </c>
      <c r="X9" s="191" t="str">
        <f t="shared" ca="1" si="6"/>
        <v/>
      </c>
      <c r="Y9" t="str">
        <f t="shared" ca="1" si="7"/>
        <v/>
      </c>
      <c r="Z9" s="208" t="str">
        <f>IF($A9="","",IF(posicao_contratual!$AA8="","",posicao_contratual!$AA8))</f>
        <v/>
      </c>
      <c r="AA9" t="str">
        <f>IF($A9="","",IF(posicao_contratual!$AL8="","","C"&amp;posicao_contratual!$AL8))</f>
        <v/>
      </c>
      <c r="AB9" t="str">
        <f>IF($A9="","",IF(OR(MEMORIA_RESULTADOS!$W$46="",posicao_contratual!$AL8=""),"",IF(posicao_contratual!$AL8&lt;=MEMORIA_RESULTADOS!$W$46,"SIM","NAO APLICAVEL")))</f>
        <v/>
      </c>
      <c r="AC9" t="str">
        <f>IF($A9="","",IF(MEMORIA_RESULTADOS!$W$46="","",CHOOSE(MEMORIA_RESULTADOS!$W$46+1,posicao_contratual!$AG8,posicao_contratual!$AH8,posicao_contratual!$AI8,posicao_contratual!$AJ8,posicao_contratual!$AK8)))</f>
        <v/>
      </c>
    </row>
    <row r="10" spans="1:31" x14ac:dyDescent="0.35">
      <c r="A10" s="106" t="str">
        <f>IF(AND(itens_Remanesc!A9="",itens_Remanesc!A8&lt;&gt;"",COUNTIF(itens_Remanesc!A10:$A$200,"&lt;&gt;")=0),"TOTAL",IF(itens_Remanesc!A9="","",itens_Remanesc!A9))</f>
        <v/>
      </c>
      <c r="B10" s="107" t="str">
        <f>IF(OR(historico_VU!A9="",historico_VU!C9=""),"",historico_VU!C9)</f>
        <v/>
      </c>
      <c r="C10" s="108" t="str">
        <f>IF(posicao_contratual!A9="","",posicao_contratual!G9)</f>
        <v/>
      </c>
      <c r="D10" s="107" t="str">
        <f>IF(A10="TOTAL",ROUND(SUM($D$3:D9),2),IF(OR(A10="",B10="",C10=""),"",ROUND(B10*C10,2)))</f>
        <v/>
      </c>
      <c r="E10" s="109" t="str">
        <f>IF(OR(historico_VU!A9="",historico_VU!D9=""),"",historico_VU!D9)</f>
        <v/>
      </c>
      <c r="F10" s="110" t="str">
        <f>IF(posicao_contratual!A9="","",posicao_contratual!K9)</f>
        <v/>
      </c>
      <c r="G10" s="109" t="str">
        <f>IF(A10="TOTAL",ROUND(SUM($G$3:G9),2),IF(OR(A10="",E10="",F10=""),"",ROUND(E10*F10,2)))</f>
        <v/>
      </c>
      <c r="H10" s="107" t="str">
        <f>IF(OR(historico_VU!A9="",historico_VU!E9=""),"",historico_VU!E9)</f>
        <v/>
      </c>
      <c r="I10" s="108" t="str">
        <f>IF(posicao_contratual!A9="","",posicao_contratual!O9)</f>
        <v/>
      </c>
      <c r="J10" s="111" t="str">
        <f>IF(A10="TOTAL",ROUND(SUM($J$3:J9),2),IF(OR(A10="",H10="",I10=""),"",ROUND(H10*I10,2)))</f>
        <v/>
      </c>
      <c r="K10" s="109" t="str">
        <f>IF(OR(historico_VU!A9="",historico_VU!F9=""),"",historico_VU!F9)</f>
        <v/>
      </c>
      <c r="L10" s="110" t="str">
        <f>IF(posicao_contratual!A9="","",posicao_contratual!S9)</f>
        <v/>
      </c>
      <c r="M10" s="112" t="str">
        <f>IF(A10="TOTAL",ROUND(SUM($M$3:M9),2),IF(OR(A10="",K10="",L10=""),"",ROUND(K10*L10,2)))</f>
        <v/>
      </c>
      <c r="N10" s="107" t="str">
        <f>IF(OR(historico_VU!A9="",historico_VU!G9=""),"",historico_VU!G9)</f>
        <v/>
      </c>
      <c r="O10" s="108" t="str">
        <f>IF(posicao_contratual!A9="","",posicao_contratual!W9)</f>
        <v/>
      </c>
      <c r="P10" s="111" t="str">
        <f>IF(A10="TOTAL",ROUND(SUM($P$3:P9),2),IF(OR(A10="",N10="",O10=""),"",ROUND(N10*O10,2)))</f>
        <v/>
      </c>
      <c r="Q10" s="181" t="str">
        <f t="shared" ca="1" si="0"/>
        <v/>
      </c>
      <c r="R10" t="str">
        <f>IF($A10="","",IF(MEMORIA_RESULTADOS!$W$46="","","C"&amp;MEMORIA_RESULTADOS!$W$46))</f>
        <v/>
      </c>
      <c r="S10" s="207" t="str">
        <f t="shared" ca="1" si="1"/>
        <v/>
      </c>
      <c r="T10" s="207" t="str">
        <f t="shared" ca="1" si="2"/>
        <v/>
      </c>
      <c r="U10" s="207" t="str">
        <f t="shared" ca="1" si="3"/>
        <v/>
      </c>
      <c r="V10" s="191" t="str">
        <f t="shared" ca="1" si="4"/>
        <v/>
      </c>
      <c r="W10" s="191" t="str">
        <f t="shared" ca="1" si="5"/>
        <v/>
      </c>
      <c r="X10" s="191" t="str">
        <f t="shared" ca="1" si="6"/>
        <v/>
      </c>
      <c r="Y10" t="str">
        <f t="shared" ca="1" si="7"/>
        <v/>
      </c>
      <c r="Z10" s="208" t="str">
        <f>IF($A10="","",IF(posicao_contratual!$AA9="","",posicao_contratual!$AA9))</f>
        <v/>
      </c>
      <c r="AA10" t="str">
        <f>IF($A10="","",IF(posicao_contratual!$AL9="","","C"&amp;posicao_contratual!$AL9))</f>
        <v/>
      </c>
      <c r="AB10" t="str">
        <f>IF($A10="","",IF(OR(MEMORIA_RESULTADOS!$W$46="",posicao_contratual!$AL9=""),"",IF(posicao_contratual!$AL9&lt;=MEMORIA_RESULTADOS!$W$46,"SIM","NAO APLICAVEL")))</f>
        <v/>
      </c>
      <c r="AC10" t="str">
        <f>IF($A10="","",IF(MEMORIA_RESULTADOS!$W$46="","",CHOOSE(MEMORIA_RESULTADOS!$W$46+1,posicao_contratual!$AG9,posicao_contratual!$AH9,posicao_contratual!$AI9,posicao_contratual!$AJ9,posicao_contratual!$AK9)))</f>
        <v/>
      </c>
    </row>
    <row r="11" spans="1:31" x14ac:dyDescent="0.35">
      <c r="A11" s="106" t="str">
        <f>IF(AND(itens_Remanesc!A10="",itens_Remanesc!A9&lt;&gt;"",COUNTIF(itens_Remanesc!A11:$A$200,"&lt;&gt;")=0),"TOTAL",IF(itens_Remanesc!A10="","",itens_Remanesc!A10))</f>
        <v/>
      </c>
      <c r="B11" s="107" t="str">
        <f>IF(OR(historico_VU!A10="",historico_VU!C10=""),"",historico_VU!C10)</f>
        <v/>
      </c>
      <c r="C11" s="108" t="str">
        <f>IF(posicao_contratual!A10="","",posicao_contratual!G10)</f>
        <v/>
      </c>
      <c r="D11" s="107" t="str">
        <f>IF(A11="TOTAL",ROUND(SUM($D$3:D10),2),IF(OR(A11="",B11="",C11=""),"",ROUND(B11*C11,2)))</f>
        <v/>
      </c>
      <c r="E11" s="109" t="str">
        <f>IF(OR(historico_VU!A10="",historico_VU!D10=""),"",historico_VU!D10)</f>
        <v/>
      </c>
      <c r="F11" s="110" t="str">
        <f>IF(posicao_contratual!A10="","",posicao_contratual!K10)</f>
        <v/>
      </c>
      <c r="G11" s="109" t="str">
        <f>IF(A11="TOTAL",ROUND(SUM($G$3:G10),2),IF(OR(A11="",E11="",F11=""),"",ROUND(E11*F11,2)))</f>
        <v/>
      </c>
      <c r="H11" s="107" t="str">
        <f>IF(OR(historico_VU!A10="",historico_VU!E10=""),"",historico_VU!E10)</f>
        <v/>
      </c>
      <c r="I11" s="108" t="str">
        <f>IF(posicao_contratual!A10="","",posicao_contratual!O10)</f>
        <v/>
      </c>
      <c r="J11" s="111" t="str">
        <f>IF(A11="TOTAL",ROUND(SUM($J$3:J10),2),IF(OR(A11="",H11="",I11=""),"",ROUND(H11*I11,2)))</f>
        <v/>
      </c>
      <c r="K11" s="109" t="str">
        <f>IF(OR(historico_VU!A10="",historico_VU!F10=""),"",historico_VU!F10)</f>
        <v/>
      </c>
      <c r="L11" s="110" t="str">
        <f>IF(posicao_contratual!A10="","",posicao_contratual!S10)</f>
        <v/>
      </c>
      <c r="M11" s="112" t="str">
        <f>IF(A11="TOTAL",ROUND(SUM($M$3:M10),2),IF(OR(A11="",K11="",L11=""),"",ROUND(K11*L11,2)))</f>
        <v/>
      </c>
      <c r="N11" s="107" t="str">
        <f>IF(OR(historico_VU!A10="",historico_VU!G10=""),"",historico_VU!G10)</f>
        <v/>
      </c>
      <c r="O11" s="108" t="str">
        <f>IF(posicao_contratual!A10="","",posicao_contratual!W10)</f>
        <v/>
      </c>
      <c r="P11" s="111" t="str">
        <f>IF(A11="TOTAL",ROUND(SUM($P$3:P10),2),IF(OR(A11="",N11="",O11=""),"",ROUND(N11*O11,2)))</f>
        <v/>
      </c>
      <c r="Q11" s="181" t="str">
        <f t="shared" ca="1" si="0"/>
        <v/>
      </c>
      <c r="R11" t="str">
        <f>IF($A11="","",IF(MEMORIA_RESULTADOS!$W$46="","","C"&amp;MEMORIA_RESULTADOS!$W$46))</f>
        <v/>
      </c>
      <c r="S11" s="207" t="str">
        <f t="shared" ca="1" si="1"/>
        <v/>
      </c>
      <c r="T11" s="207" t="str">
        <f t="shared" ca="1" si="2"/>
        <v/>
      </c>
      <c r="U11" s="207" t="str">
        <f t="shared" ca="1" si="3"/>
        <v/>
      </c>
      <c r="V11" s="191" t="str">
        <f t="shared" ca="1" si="4"/>
        <v/>
      </c>
      <c r="W11" s="191" t="str">
        <f t="shared" ca="1" si="5"/>
        <v/>
      </c>
      <c r="X11" s="191" t="str">
        <f t="shared" ca="1" si="6"/>
        <v/>
      </c>
      <c r="Y11" t="str">
        <f t="shared" ca="1" si="7"/>
        <v/>
      </c>
      <c r="Z11" s="208" t="str">
        <f>IF($A11="","",IF(posicao_contratual!$AA10="","",posicao_contratual!$AA10))</f>
        <v/>
      </c>
      <c r="AA11" t="str">
        <f>IF($A11="","",IF(posicao_contratual!$AL10="","","C"&amp;posicao_contratual!$AL10))</f>
        <v/>
      </c>
      <c r="AB11" t="str">
        <f>IF($A11="","",IF(OR(MEMORIA_RESULTADOS!$W$46="",posicao_contratual!$AL10=""),"",IF(posicao_contratual!$AL10&lt;=MEMORIA_RESULTADOS!$W$46,"SIM","NAO APLICAVEL")))</f>
        <v/>
      </c>
      <c r="AC11" t="str">
        <f>IF($A11="","",IF(MEMORIA_RESULTADOS!$W$46="","",CHOOSE(MEMORIA_RESULTADOS!$W$46+1,posicao_contratual!$AG10,posicao_contratual!$AH10,posicao_contratual!$AI10,posicao_contratual!$AJ10,posicao_contratual!$AK10)))</f>
        <v/>
      </c>
    </row>
    <row r="12" spans="1:31" x14ac:dyDescent="0.35">
      <c r="A12" s="106" t="str">
        <f>IF(AND(itens_Remanesc!A11="",itens_Remanesc!A10&lt;&gt;"",COUNTIF(itens_Remanesc!A12:$A$200,"&lt;&gt;")=0),"TOTAL",IF(itens_Remanesc!A11="","",itens_Remanesc!A11))</f>
        <v/>
      </c>
      <c r="B12" s="107" t="str">
        <f>IF(OR(historico_VU!A11="",historico_VU!C11=""),"",historico_VU!C11)</f>
        <v/>
      </c>
      <c r="C12" s="108" t="str">
        <f>IF(posicao_contratual!A11="","",posicao_contratual!G11)</f>
        <v/>
      </c>
      <c r="D12" s="107" t="str">
        <f>IF(A12="TOTAL",ROUND(SUM($D$3:D11),2),IF(OR(A12="",B12="",C12=""),"",ROUND(B12*C12,2)))</f>
        <v/>
      </c>
      <c r="E12" s="109" t="str">
        <f>IF(OR(historico_VU!A11="",historico_VU!D11=""),"",historico_VU!D11)</f>
        <v/>
      </c>
      <c r="F12" s="110" t="str">
        <f>IF(posicao_contratual!A11="","",posicao_contratual!K11)</f>
        <v/>
      </c>
      <c r="G12" s="109" t="str">
        <f>IF(A12="TOTAL",ROUND(SUM($G$3:G11),2),IF(OR(A12="",E12="",F12=""),"",ROUND(E12*F12,2)))</f>
        <v/>
      </c>
      <c r="H12" s="107" t="str">
        <f>IF(OR(historico_VU!A11="",historico_VU!E11=""),"",historico_VU!E11)</f>
        <v/>
      </c>
      <c r="I12" s="108" t="str">
        <f>IF(posicao_contratual!A11="","",posicao_contratual!O11)</f>
        <v/>
      </c>
      <c r="J12" s="111" t="str">
        <f>IF(A12="TOTAL",ROUND(SUM($J$3:J11),2),IF(OR(A12="",H12="",I12=""),"",ROUND(H12*I12,2)))</f>
        <v/>
      </c>
      <c r="K12" s="109" t="str">
        <f>IF(OR(historico_VU!A11="",historico_VU!F11=""),"",historico_VU!F11)</f>
        <v/>
      </c>
      <c r="L12" s="110" t="str">
        <f>IF(posicao_contratual!A11="","",posicao_contratual!S11)</f>
        <v/>
      </c>
      <c r="M12" s="109" t="str">
        <f>IF(A12="TOTAL",ROUND(SUM($M$3:M11),2),IF(OR(A12="",K12="",L12=""),"",ROUND(K12*L12,2)))</f>
        <v/>
      </c>
      <c r="N12" s="107" t="str">
        <f>IF(OR(historico_VU!A11="",historico_VU!G11=""),"",historico_VU!G11)</f>
        <v/>
      </c>
      <c r="O12" s="108" t="str">
        <f>IF(posicao_contratual!A11="","",posicao_contratual!W11)</f>
        <v/>
      </c>
      <c r="P12" s="111" t="str">
        <f>IF(A12="TOTAL",ROUND(SUM($P$3:P11),2),IF(OR(A12="",N12="",O12=""),"",ROUND(N12*O12,2)))</f>
        <v/>
      </c>
      <c r="Q12" s="181" t="str">
        <f t="shared" ca="1" si="0"/>
        <v/>
      </c>
      <c r="R12" t="str">
        <f>IF($A12="","",IF(MEMORIA_RESULTADOS!$W$46="","","C"&amp;MEMORIA_RESULTADOS!$W$46))</f>
        <v/>
      </c>
      <c r="S12" s="207" t="str">
        <f t="shared" ca="1" si="1"/>
        <v/>
      </c>
      <c r="T12" s="207" t="str">
        <f t="shared" ca="1" si="2"/>
        <v/>
      </c>
      <c r="U12" s="207" t="str">
        <f t="shared" ca="1" si="3"/>
        <v/>
      </c>
      <c r="V12" s="191" t="str">
        <f t="shared" ca="1" si="4"/>
        <v/>
      </c>
      <c r="W12" s="191" t="str">
        <f t="shared" ca="1" si="5"/>
        <v/>
      </c>
      <c r="X12" s="191" t="str">
        <f t="shared" ca="1" si="6"/>
        <v/>
      </c>
      <c r="Y12" t="str">
        <f t="shared" ca="1" si="7"/>
        <v/>
      </c>
      <c r="Z12" s="208" t="str">
        <f>IF($A12="","",IF(posicao_contratual!$AA11="","",posicao_contratual!$AA11))</f>
        <v/>
      </c>
      <c r="AA12" t="str">
        <f>IF($A12="","",IF(posicao_contratual!$AL11="","","C"&amp;posicao_contratual!$AL11))</f>
        <v/>
      </c>
      <c r="AB12" t="str">
        <f>IF($A12="","",IF(OR(MEMORIA_RESULTADOS!$W$46="",posicao_contratual!$AL11=""),"",IF(posicao_contratual!$AL11&lt;=MEMORIA_RESULTADOS!$W$46,"SIM","NAO APLICAVEL")))</f>
        <v/>
      </c>
      <c r="AC12" t="str">
        <f>IF($A12="","",IF(MEMORIA_RESULTADOS!$W$46="","",CHOOSE(MEMORIA_RESULTADOS!$W$46+1,posicao_contratual!$AG11,posicao_contratual!$AH11,posicao_contratual!$AI11,posicao_contratual!$AJ11,posicao_contratual!$AK11)))</f>
        <v/>
      </c>
    </row>
    <row r="13" spans="1:31" x14ac:dyDescent="0.35">
      <c r="A13" s="106" t="str">
        <f>IF(AND(itens_Remanesc!A12="",itens_Remanesc!A11&lt;&gt;"",COUNTIF(itens_Remanesc!A13:$A$200,"&lt;&gt;")=0),"TOTAL",IF(itens_Remanesc!A12="","",itens_Remanesc!A12))</f>
        <v/>
      </c>
      <c r="B13" s="107" t="str">
        <f>IF(OR(historico_VU!A12="",historico_VU!C12=""),"",historico_VU!C12)</f>
        <v/>
      </c>
      <c r="C13" s="108" t="str">
        <f>IF(posicao_contratual!A12="","",posicao_contratual!G12)</f>
        <v/>
      </c>
      <c r="D13" s="107" t="str">
        <f>IF(A13="TOTAL",ROUND(SUM($D$3:D12),2),IF(OR(A13="",B13="",C13=""),"",ROUND(B13*C13,2)))</f>
        <v/>
      </c>
      <c r="E13" s="109" t="str">
        <f>IF(OR(historico_VU!A12="",historico_VU!D12=""),"",historico_VU!D12)</f>
        <v/>
      </c>
      <c r="F13" s="110" t="str">
        <f>IF(posicao_contratual!A12="","",posicao_contratual!K12)</f>
        <v/>
      </c>
      <c r="G13" s="109" t="str">
        <f>IF(A13="TOTAL",ROUND(SUM($G$3:G12),2),IF(OR(A13="",E13="",F13=""),"",ROUND(E13*F13,2)))</f>
        <v/>
      </c>
      <c r="H13" s="107" t="str">
        <f>IF(OR(historico_VU!A12="",historico_VU!E12=""),"",historico_VU!E12)</f>
        <v/>
      </c>
      <c r="I13" s="108" t="str">
        <f>IF(posicao_contratual!A12="","",posicao_contratual!O12)</f>
        <v/>
      </c>
      <c r="J13" s="107" t="str">
        <f>IF(A13="TOTAL",ROUND(SUM($J$3:J12),2),IF(OR(A13="",H13="",I13=""),"",ROUND(H13*I13,2)))</f>
        <v/>
      </c>
      <c r="K13" s="109" t="str">
        <f>IF(OR(historico_VU!A12="",historico_VU!F12=""),"",historico_VU!F12)</f>
        <v/>
      </c>
      <c r="L13" s="110" t="str">
        <f>IF(posicao_contratual!A12="","",posicao_contratual!S12)</f>
        <v/>
      </c>
      <c r="M13" s="109" t="str">
        <f>IF(A13="TOTAL",ROUND(SUM($M$3:M12),2),IF(OR(A13="",K13="",L13=""),"",ROUND(K13*L13,2)))</f>
        <v/>
      </c>
      <c r="N13" s="107" t="str">
        <f>IF(OR(historico_VU!A12="",historico_VU!G12=""),"",historico_VU!G12)</f>
        <v/>
      </c>
      <c r="O13" s="108" t="str">
        <f>IF(posicao_contratual!A12="","",posicao_contratual!W12)</f>
        <v/>
      </c>
      <c r="P13" s="107" t="str">
        <f>IF(A13="TOTAL",ROUND(SUM($P$3:P12),2),IF(OR(A13="",N13="",O13=""),"",ROUND(N13*O13,2)))</f>
        <v/>
      </c>
      <c r="Q13" s="181" t="str">
        <f t="shared" ca="1" si="0"/>
        <v/>
      </c>
      <c r="R13" t="str">
        <f>IF($A13="","",IF(MEMORIA_RESULTADOS!$W$46="","","C"&amp;MEMORIA_RESULTADOS!$W$46))</f>
        <v/>
      </c>
      <c r="S13" s="207" t="str">
        <f t="shared" ca="1" si="1"/>
        <v/>
      </c>
      <c r="T13" s="207" t="str">
        <f t="shared" ca="1" si="2"/>
        <v/>
      </c>
      <c r="U13" s="207" t="str">
        <f t="shared" ca="1" si="3"/>
        <v/>
      </c>
      <c r="V13" s="191" t="str">
        <f t="shared" ca="1" si="4"/>
        <v/>
      </c>
      <c r="W13" s="191" t="str">
        <f t="shared" ca="1" si="5"/>
        <v/>
      </c>
      <c r="X13" s="191" t="str">
        <f t="shared" ca="1" si="6"/>
        <v/>
      </c>
      <c r="Y13" t="str">
        <f t="shared" ca="1" si="7"/>
        <v/>
      </c>
      <c r="Z13" s="208" t="str">
        <f>IF($A13="","",IF(posicao_contratual!$AA12="","",posicao_contratual!$AA12))</f>
        <v/>
      </c>
      <c r="AA13" t="str">
        <f>IF($A13="","",IF(posicao_contratual!$AL12="","","C"&amp;posicao_contratual!$AL12))</f>
        <v/>
      </c>
      <c r="AB13" t="str">
        <f>IF($A13="","",IF(OR(MEMORIA_RESULTADOS!$W$46="",posicao_contratual!$AL12=""),"",IF(posicao_contratual!$AL12&lt;=MEMORIA_RESULTADOS!$W$46,"SIM","NAO APLICAVEL")))</f>
        <v/>
      </c>
      <c r="AC13" t="str">
        <f>IF($A13="","",IF(MEMORIA_RESULTADOS!$W$46="","",CHOOSE(MEMORIA_RESULTADOS!$W$46+1,posicao_contratual!$AG12,posicao_contratual!$AH12,posicao_contratual!$AI12,posicao_contratual!$AJ12,posicao_contratual!$AK12)))</f>
        <v/>
      </c>
    </row>
    <row r="14" spans="1:31" x14ac:dyDescent="0.35">
      <c r="A14" s="106" t="str">
        <f>IF(AND(itens_Remanesc!A13="",itens_Remanesc!A12&lt;&gt;"",COUNTIF(itens_Remanesc!A14:$A$200,"&lt;&gt;")=0),"TOTAL",IF(itens_Remanesc!A13="","",itens_Remanesc!A13))</f>
        <v/>
      </c>
      <c r="B14" s="107" t="str">
        <f>IF(OR(historico_VU!A13="",historico_VU!C13=""),"",historico_VU!C13)</f>
        <v/>
      </c>
      <c r="C14" s="108" t="str">
        <f>IF(posicao_contratual!A13="","",posicao_contratual!G13)</f>
        <v/>
      </c>
      <c r="D14" s="107" t="str">
        <f>IF(A14="TOTAL",ROUND(SUM($D$3:D13),2),IF(OR(A14="",B14="",C14=""),"",ROUND(B14*C14,2)))</f>
        <v/>
      </c>
      <c r="E14" s="109" t="str">
        <f>IF(OR(historico_VU!A13="",historico_VU!D13=""),"",historico_VU!D13)</f>
        <v/>
      </c>
      <c r="F14" s="110" t="str">
        <f>IF(posicao_contratual!A13="","",posicao_contratual!K13)</f>
        <v/>
      </c>
      <c r="G14" s="109" t="str">
        <f>IF(A14="TOTAL",ROUND(SUM($G$3:G13),2),IF(OR(A14="",E14="",F14=""),"",ROUND(E14*F14,2)))</f>
        <v/>
      </c>
      <c r="H14" s="107" t="str">
        <f>IF(OR(historico_VU!A13="",historico_VU!E13=""),"",historico_VU!E13)</f>
        <v/>
      </c>
      <c r="I14" s="108" t="str">
        <f>IF(posicao_contratual!A13="","",posicao_contratual!O13)</f>
        <v/>
      </c>
      <c r="J14" s="107" t="str">
        <f>IF(A14="TOTAL",ROUND(SUM($J$3:J13),2),IF(OR(A14="",H14="",I14=""),"",ROUND(H14*I14,2)))</f>
        <v/>
      </c>
      <c r="K14" s="109" t="str">
        <f>IF(OR(historico_VU!A13="",historico_VU!F13=""),"",historico_VU!F13)</f>
        <v/>
      </c>
      <c r="L14" s="110" t="str">
        <f>IF(posicao_contratual!A13="","",posicao_contratual!S13)</f>
        <v/>
      </c>
      <c r="M14" s="109" t="str">
        <f>IF(A14="TOTAL",ROUND(SUM($M$3:M13),2),IF(OR(A14="",K14="",L14=""),"",ROUND(K14*L14,2)))</f>
        <v/>
      </c>
      <c r="N14" s="107" t="str">
        <f>IF(OR(historico_VU!A13="",historico_VU!G13=""),"",historico_VU!G13)</f>
        <v/>
      </c>
      <c r="O14" s="108" t="str">
        <f>IF(posicao_contratual!A13="","",posicao_contratual!W13)</f>
        <v/>
      </c>
      <c r="P14" s="107" t="str">
        <f>IF(A14="TOTAL",ROUND(SUM($P$3:P13),2),IF(OR(A14="",N14="",O14=""),"",ROUND(N14*O14,2)))</f>
        <v/>
      </c>
      <c r="Q14" s="181" t="str">
        <f t="shared" ca="1" si="0"/>
        <v/>
      </c>
      <c r="R14" t="str">
        <f>IF($A14="","",IF(MEMORIA_RESULTADOS!$W$46="","","C"&amp;MEMORIA_RESULTADOS!$W$46))</f>
        <v/>
      </c>
      <c r="S14" s="207" t="str">
        <f t="shared" ca="1" si="1"/>
        <v/>
      </c>
      <c r="T14" s="207" t="str">
        <f t="shared" ca="1" si="2"/>
        <v/>
      </c>
      <c r="U14" s="207" t="str">
        <f t="shared" ca="1" si="3"/>
        <v/>
      </c>
      <c r="V14" s="191" t="str">
        <f t="shared" ca="1" si="4"/>
        <v/>
      </c>
      <c r="W14" s="191" t="str">
        <f t="shared" ca="1" si="5"/>
        <v/>
      </c>
      <c r="X14" s="191" t="str">
        <f t="shared" ca="1" si="6"/>
        <v/>
      </c>
      <c r="Y14" t="str">
        <f t="shared" ca="1" si="7"/>
        <v/>
      </c>
      <c r="Z14" s="208" t="str">
        <f>IF($A14="","",IF(posicao_contratual!$AA13="","",posicao_contratual!$AA13))</f>
        <v/>
      </c>
      <c r="AA14" t="str">
        <f>IF($A14="","",IF(posicao_contratual!$AL13="","","C"&amp;posicao_contratual!$AL13))</f>
        <v/>
      </c>
      <c r="AB14" t="str">
        <f>IF($A14="","",IF(OR(MEMORIA_RESULTADOS!$W$46="",posicao_contratual!$AL13=""),"",IF(posicao_contratual!$AL13&lt;=MEMORIA_RESULTADOS!$W$46,"SIM","NAO APLICAVEL")))</f>
        <v/>
      </c>
      <c r="AC14" t="str">
        <f>IF($A14="","",IF(MEMORIA_RESULTADOS!$W$46="","",CHOOSE(MEMORIA_RESULTADOS!$W$46+1,posicao_contratual!$AG13,posicao_contratual!$AH13,posicao_contratual!$AI13,posicao_contratual!$AJ13,posicao_contratual!$AK13)))</f>
        <v/>
      </c>
    </row>
    <row r="15" spans="1:31" x14ac:dyDescent="0.35">
      <c r="A15" s="106" t="str">
        <f>IF(AND(itens_Remanesc!A14="",itens_Remanesc!A13&lt;&gt;"",COUNTIF(itens_Remanesc!A15:$A$200,"&lt;&gt;")=0),"TOTAL",IF(itens_Remanesc!A14="","",itens_Remanesc!A14))</f>
        <v/>
      </c>
      <c r="B15" s="107" t="str">
        <f>IF(OR(historico_VU!A14="",historico_VU!C14=""),"",historico_VU!C14)</f>
        <v/>
      </c>
      <c r="C15" s="108" t="str">
        <f>IF(posicao_contratual!A14="","",posicao_contratual!G14)</f>
        <v/>
      </c>
      <c r="D15" s="107" t="str">
        <f>IF(A15="TOTAL",ROUND(SUM($D$3:D14),2),IF(OR(A15="",B15="",C15=""),"",ROUND(B15*C15,2)))</f>
        <v/>
      </c>
      <c r="E15" s="109" t="str">
        <f>IF(OR(historico_VU!A14="",historico_VU!D14=""),"",historico_VU!D14)</f>
        <v/>
      </c>
      <c r="F15" s="110" t="str">
        <f>IF(posicao_contratual!A14="","",posicao_contratual!K14)</f>
        <v/>
      </c>
      <c r="G15" s="109" t="str">
        <f>IF(A15="TOTAL",ROUND(SUM($G$3:G14),2),IF(OR(A15="",E15="",F15=""),"",ROUND(E15*F15,2)))</f>
        <v/>
      </c>
      <c r="H15" s="107" t="str">
        <f>IF(OR(historico_VU!A14="",historico_VU!E14=""),"",historico_VU!E14)</f>
        <v/>
      </c>
      <c r="I15" s="108" t="str">
        <f>IF(posicao_contratual!A14="","",posicao_contratual!O14)</f>
        <v/>
      </c>
      <c r="J15" s="107" t="str">
        <f>IF(A15="TOTAL",ROUND(SUM($J$3:J14),2),IF(OR(A15="",H15="",I15=""),"",ROUND(H15*I15,2)))</f>
        <v/>
      </c>
      <c r="K15" s="109" t="str">
        <f>IF(OR(historico_VU!A14="",historico_VU!F14=""),"",historico_VU!F14)</f>
        <v/>
      </c>
      <c r="L15" s="110" t="str">
        <f>IF(posicao_contratual!A14="","",posicao_contratual!S14)</f>
        <v/>
      </c>
      <c r="M15" s="109" t="str">
        <f>IF(A15="TOTAL",ROUND(SUM($M$3:M14),2),IF(OR(A15="",K15="",L15=""),"",ROUND(K15*L15,2)))</f>
        <v/>
      </c>
      <c r="N15" s="107" t="str">
        <f>IF(OR(historico_VU!A14="",historico_VU!G14=""),"",historico_VU!G14)</f>
        <v/>
      </c>
      <c r="O15" s="108" t="str">
        <f>IF(posicao_contratual!A14="","",posicao_contratual!W14)</f>
        <v/>
      </c>
      <c r="P15" s="107" t="str">
        <f>IF(A15="TOTAL",ROUND(SUM($P$3:P14),2),IF(OR(A15="",N15="",O15=""),"",ROUND(N15*O15,2)))</f>
        <v/>
      </c>
      <c r="Q15" s="181" t="str">
        <f t="shared" ca="1" si="0"/>
        <v/>
      </c>
      <c r="R15" t="str">
        <f>IF($A15="","",IF(MEMORIA_RESULTADOS!$W$46="","","C"&amp;MEMORIA_RESULTADOS!$W$46))</f>
        <v/>
      </c>
      <c r="S15" s="207" t="str">
        <f t="shared" ca="1" si="1"/>
        <v/>
      </c>
      <c r="T15" s="207" t="str">
        <f t="shared" ca="1" si="2"/>
        <v/>
      </c>
      <c r="U15" s="207" t="str">
        <f t="shared" ca="1" si="3"/>
        <v/>
      </c>
      <c r="V15" s="191" t="str">
        <f t="shared" ca="1" si="4"/>
        <v/>
      </c>
      <c r="W15" s="191" t="str">
        <f t="shared" ca="1" si="5"/>
        <v/>
      </c>
      <c r="X15" s="191" t="str">
        <f t="shared" ca="1" si="6"/>
        <v/>
      </c>
      <c r="Y15" t="str">
        <f t="shared" ca="1" si="7"/>
        <v/>
      </c>
      <c r="Z15" s="208" t="str">
        <f>IF($A15="","",IF(posicao_contratual!$AA14="","",posicao_contratual!$AA14))</f>
        <v/>
      </c>
      <c r="AA15" t="str">
        <f>IF($A15="","",IF(posicao_contratual!$AL14="","","C"&amp;posicao_contratual!$AL14))</f>
        <v/>
      </c>
      <c r="AB15" t="str">
        <f>IF($A15="","",IF(OR(MEMORIA_RESULTADOS!$W$46="",posicao_contratual!$AL14=""),"",IF(posicao_contratual!$AL14&lt;=MEMORIA_RESULTADOS!$W$46,"SIM","NAO APLICAVEL")))</f>
        <v/>
      </c>
      <c r="AC15" t="str">
        <f>IF($A15="","",IF(MEMORIA_RESULTADOS!$W$46="","",CHOOSE(MEMORIA_RESULTADOS!$W$46+1,posicao_contratual!$AG14,posicao_contratual!$AH14,posicao_contratual!$AI14,posicao_contratual!$AJ14,posicao_contratual!$AK14)))</f>
        <v/>
      </c>
    </row>
    <row r="16" spans="1:31" x14ac:dyDescent="0.35">
      <c r="A16" s="106" t="str">
        <f>IF(AND(itens_Remanesc!A15="",itens_Remanesc!A14&lt;&gt;"",COUNTIF(itens_Remanesc!A16:$A$200,"&lt;&gt;")=0),"TOTAL",IF(itens_Remanesc!A15="","",itens_Remanesc!A15))</f>
        <v/>
      </c>
      <c r="B16" s="107" t="str">
        <f>IF(OR(historico_VU!A15="",historico_VU!C15=""),"",historico_VU!C15)</f>
        <v/>
      </c>
      <c r="C16" s="108" t="str">
        <f>IF(posicao_contratual!A15="","",posicao_contratual!G15)</f>
        <v/>
      </c>
      <c r="D16" s="107" t="str">
        <f>IF(A16="TOTAL",ROUND(SUM($D$3:D15),2),IF(OR(A16="",B16="",C16=""),"",ROUND(B16*C16,2)))</f>
        <v/>
      </c>
      <c r="E16" s="109" t="str">
        <f>IF(OR(historico_VU!A15="",historico_VU!D15=""),"",historico_VU!D15)</f>
        <v/>
      </c>
      <c r="F16" s="110" t="str">
        <f>IF(posicao_contratual!A15="","",posicao_contratual!K15)</f>
        <v/>
      </c>
      <c r="G16" s="109" t="str">
        <f>IF(A16="TOTAL",ROUND(SUM($G$3:G15),2),IF(OR(A16="",E16="",F16=""),"",ROUND(E16*F16,2)))</f>
        <v/>
      </c>
      <c r="H16" s="107" t="str">
        <f>IF(OR(historico_VU!A15="",historico_VU!E15=""),"",historico_VU!E15)</f>
        <v/>
      </c>
      <c r="I16" s="108" t="str">
        <f>IF(posicao_contratual!A15="","",posicao_contratual!O15)</f>
        <v/>
      </c>
      <c r="J16" s="107" t="str">
        <f>IF(A16="TOTAL",ROUND(SUM($J$3:J15),2),IF(OR(A16="",H16="",I16=""),"",ROUND(H16*I16,2)))</f>
        <v/>
      </c>
      <c r="K16" s="109" t="str">
        <f>IF(OR(historico_VU!A15="",historico_VU!F15=""),"",historico_VU!F15)</f>
        <v/>
      </c>
      <c r="L16" s="110" t="str">
        <f>IF(posicao_contratual!A15="","",posicao_contratual!S15)</f>
        <v/>
      </c>
      <c r="M16" s="109" t="str">
        <f>IF(A16="TOTAL",ROUND(SUM($M$3:M15),2),IF(OR(A16="",K16="",L16=""),"",ROUND(K16*L16,2)))</f>
        <v/>
      </c>
      <c r="N16" s="107" t="str">
        <f>IF(OR(historico_VU!A15="",historico_VU!G15=""),"",historico_VU!G15)</f>
        <v/>
      </c>
      <c r="O16" s="108" t="str">
        <f>IF(posicao_contratual!A15="","",posicao_contratual!W15)</f>
        <v/>
      </c>
      <c r="P16" s="107" t="str">
        <f>IF(A16="TOTAL",ROUND(SUM($P$3:P15),2),IF(OR(A16="",N16="",O16=""),"",ROUND(N16*O16,2)))</f>
        <v/>
      </c>
      <c r="Q16" s="181" t="str">
        <f t="shared" ca="1" si="0"/>
        <v/>
      </c>
      <c r="R16" t="str">
        <f>IF($A16="","",IF(MEMORIA_RESULTADOS!$W$46="","","C"&amp;MEMORIA_RESULTADOS!$W$46))</f>
        <v/>
      </c>
      <c r="S16" s="207" t="str">
        <f t="shared" ca="1" si="1"/>
        <v/>
      </c>
      <c r="T16" s="207" t="str">
        <f t="shared" ca="1" si="2"/>
        <v/>
      </c>
      <c r="U16" s="207" t="str">
        <f t="shared" ca="1" si="3"/>
        <v/>
      </c>
      <c r="V16" s="191" t="str">
        <f t="shared" ca="1" si="4"/>
        <v/>
      </c>
      <c r="W16" s="191" t="str">
        <f t="shared" ca="1" si="5"/>
        <v/>
      </c>
      <c r="X16" s="191" t="str">
        <f t="shared" ca="1" si="6"/>
        <v/>
      </c>
      <c r="Y16" t="str">
        <f t="shared" ca="1" si="7"/>
        <v/>
      </c>
      <c r="Z16" s="208" t="str">
        <f>IF($A16="","",IF(posicao_contratual!$AA15="","",posicao_contratual!$AA15))</f>
        <v/>
      </c>
      <c r="AA16" t="str">
        <f>IF($A16="","",IF(posicao_contratual!$AL15="","","C"&amp;posicao_contratual!$AL15))</f>
        <v/>
      </c>
      <c r="AB16" t="str">
        <f>IF($A16="","",IF(OR(MEMORIA_RESULTADOS!$W$46="",posicao_contratual!$AL15=""),"",IF(posicao_contratual!$AL15&lt;=MEMORIA_RESULTADOS!$W$46,"SIM","NAO APLICAVEL")))</f>
        <v/>
      </c>
      <c r="AC16" t="str">
        <f>IF($A16="","",IF(MEMORIA_RESULTADOS!$W$46="","",CHOOSE(MEMORIA_RESULTADOS!$W$46+1,posicao_contratual!$AG15,posicao_contratual!$AH15,posicao_contratual!$AI15,posicao_contratual!$AJ15,posicao_contratual!$AK15)))</f>
        <v/>
      </c>
    </row>
    <row r="17" spans="1:29" x14ac:dyDescent="0.35">
      <c r="A17" s="106" t="str">
        <f>IF(AND(itens_Remanesc!A16="",itens_Remanesc!A15&lt;&gt;"",COUNTIF(itens_Remanesc!A17:$A$200,"&lt;&gt;")=0),"TOTAL",IF(itens_Remanesc!A16="","",itens_Remanesc!A16))</f>
        <v/>
      </c>
      <c r="B17" s="107" t="str">
        <f>IF(OR(historico_VU!A16="",historico_VU!C16=""),"",historico_VU!C16)</f>
        <v/>
      </c>
      <c r="C17" s="108" t="str">
        <f>IF(posicao_contratual!A16="","",posicao_contratual!G16)</f>
        <v/>
      </c>
      <c r="D17" s="107" t="str">
        <f>IF(A17="TOTAL",ROUND(SUM($D$3:D16),2),IF(OR(A17="",B17="",C17=""),"",ROUND(B17*C17,2)))</f>
        <v/>
      </c>
      <c r="E17" s="109" t="str">
        <f>IF(OR(historico_VU!A16="",historico_VU!D16=""),"",historico_VU!D16)</f>
        <v/>
      </c>
      <c r="F17" s="110" t="str">
        <f>IF(posicao_contratual!A16="","",posicao_contratual!K16)</f>
        <v/>
      </c>
      <c r="G17" s="109" t="str">
        <f>IF(A17="TOTAL",ROUND(SUM($G$3:G16),2),IF(OR(A17="",E17="",F17=""),"",ROUND(E17*F17,2)))</f>
        <v/>
      </c>
      <c r="H17" s="107" t="str">
        <f>IF(OR(historico_VU!A16="",historico_VU!E16=""),"",historico_VU!E16)</f>
        <v/>
      </c>
      <c r="I17" s="108" t="str">
        <f>IF(posicao_contratual!A16="","",posicao_contratual!O16)</f>
        <v/>
      </c>
      <c r="J17" s="107" t="str">
        <f>IF(A17="TOTAL",ROUND(SUM($J$3:J16),2),IF(OR(A17="",H17="",I17=""),"",ROUND(H17*I17,2)))</f>
        <v/>
      </c>
      <c r="K17" s="109" t="str">
        <f>IF(OR(historico_VU!A16="",historico_VU!F16=""),"",historico_VU!F16)</f>
        <v/>
      </c>
      <c r="L17" s="110" t="str">
        <f>IF(posicao_contratual!A16="","",posicao_contratual!S16)</f>
        <v/>
      </c>
      <c r="M17" s="109" t="str">
        <f>IF(A17="TOTAL",ROUND(SUM($M$3:M16),2),IF(OR(A17="",K17="",L17=""),"",ROUND(K17*L17,2)))</f>
        <v/>
      </c>
      <c r="N17" s="107" t="str">
        <f>IF(OR(historico_VU!A16="",historico_VU!G16=""),"",historico_VU!G16)</f>
        <v/>
      </c>
      <c r="O17" s="108" t="str">
        <f>IF(posicao_contratual!A16="","",posicao_contratual!W16)</f>
        <v/>
      </c>
      <c r="P17" s="107" t="str">
        <f>IF(A17="TOTAL",ROUND(SUM($P$3:P16),2),IF(OR(A17="",N17="",O17=""),"",ROUND(N17*O17,2)))</f>
        <v/>
      </c>
      <c r="Q17" s="181" t="str">
        <f t="shared" ca="1" si="0"/>
        <v/>
      </c>
      <c r="R17" t="str">
        <f>IF($A17="","",IF(MEMORIA_RESULTADOS!$W$46="","","C"&amp;MEMORIA_RESULTADOS!$W$46))</f>
        <v/>
      </c>
      <c r="S17" s="207" t="str">
        <f t="shared" ca="1" si="1"/>
        <v/>
      </c>
      <c r="T17" s="207" t="str">
        <f t="shared" ca="1" si="2"/>
        <v/>
      </c>
      <c r="U17" s="207" t="str">
        <f t="shared" ca="1" si="3"/>
        <v/>
      </c>
      <c r="V17" s="191" t="str">
        <f t="shared" ca="1" si="4"/>
        <v/>
      </c>
      <c r="W17" s="191" t="str">
        <f t="shared" ca="1" si="5"/>
        <v/>
      </c>
      <c r="X17" s="191" t="str">
        <f t="shared" ca="1" si="6"/>
        <v/>
      </c>
      <c r="Y17" t="str">
        <f t="shared" ca="1" si="7"/>
        <v/>
      </c>
      <c r="Z17" s="208" t="str">
        <f>IF($A17="","",IF(posicao_contratual!$AA16="","",posicao_contratual!$AA16))</f>
        <v/>
      </c>
      <c r="AA17" t="str">
        <f>IF($A17="","",IF(posicao_contratual!$AL16="","","C"&amp;posicao_contratual!$AL16))</f>
        <v/>
      </c>
      <c r="AB17" t="str">
        <f>IF($A17="","",IF(OR(MEMORIA_RESULTADOS!$W$46="",posicao_contratual!$AL16=""),"",IF(posicao_contratual!$AL16&lt;=MEMORIA_RESULTADOS!$W$46,"SIM","NAO APLICAVEL")))</f>
        <v/>
      </c>
      <c r="AC17" t="str">
        <f>IF($A17="","",IF(MEMORIA_RESULTADOS!$W$46="","",CHOOSE(MEMORIA_RESULTADOS!$W$46+1,posicao_contratual!$AG16,posicao_contratual!$AH16,posicao_contratual!$AI16,posicao_contratual!$AJ16,posicao_contratual!$AK16)))</f>
        <v/>
      </c>
    </row>
    <row r="18" spans="1:29" x14ac:dyDescent="0.35">
      <c r="A18" s="106" t="str">
        <f>IF(AND(itens_Remanesc!A17="",itens_Remanesc!A16&lt;&gt;"",COUNTIF(itens_Remanesc!A18:$A$200,"&lt;&gt;")=0),"TOTAL",IF(itens_Remanesc!A17="","",itens_Remanesc!A17))</f>
        <v/>
      </c>
      <c r="B18" s="107" t="str">
        <f>IF(OR(historico_VU!A17="",historico_VU!C17=""),"",historico_VU!C17)</f>
        <v/>
      </c>
      <c r="C18" s="108" t="str">
        <f>IF(posicao_contratual!A17="","",posicao_contratual!G17)</f>
        <v/>
      </c>
      <c r="D18" s="107" t="str">
        <f>IF(A18="TOTAL",ROUND(SUM($D$3:D17),2),IF(OR(A18="",B18="",C18=""),"",ROUND(B18*C18,2)))</f>
        <v/>
      </c>
      <c r="E18" s="109" t="str">
        <f>IF(OR(historico_VU!A17="",historico_VU!D17=""),"",historico_VU!D17)</f>
        <v/>
      </c>
      <c r="F18" s="110" t="str">
        <f>IF(posicao_contratual!A17="","",posicao_contratual!K17)</f>
        <v/>
      </c>
      <c r="G18" s="109" t="str">
        <f>IF(A18="TOTAL",ROUND(SUM($G$3:G17),2),IF(OR(A18="",E18="",F18=""),"",ROUND(E18*F18,2)))</f>
        <v/>
      </c>
      <c r="H18" s="107" t="str">
        <f>IF(OR(historico_VU!A17="",historico_VU!E17=""),"",historico_VU!E17)</f>
        <v/>
      </c>
      <c r="I18" s="108" t="str">
        <f>IF(posicao_contratual!A17="","",posicao_contratual!O17)</f>
        <v/>
      </c>
      <c r="J18" s="107" t="str">
        <f>IF(A18="TOTAL",ROUND(SUM($J$3:J17),2),IF(OR(A18="",H18="",I18=""),"",ROUND(H18*I18,2)))</f>
        <v/>
      </c>
      <c r="K18" s="109" t="str">
        <f>IF(OR(historico_VU!A17="",historico_VU!F17=""),"",historico_VU!F17)</f>
        <v/>
      </c>
      <c r="L18" s="110" t="str">
        <f>IF(posicao_contratual!A17="","",posicao_contratual!S17)</f>
        <v/>
      </c>
      <c r="M18" s="109" t="str">
        <f>IF(A18="TOTAL",ROUND(SUM($M$3:M17),2),IF(OR(A18="",K18="",L18=""),"",ROUND(K18*L18,2)))</f>
        <v/>
      </c>
      <c r="N18" s="107" t="str">
        <f>IF(OR(historico_VU!A17="",historico_VU!G17=""),"",historico_VU!G17)</f>
        <v/>
      </c>
      <c r="O18" s="108" t="str">
        <f>IF(posicao_contratual!A17="","",posicao_contratual!W17)</f>
        <v/>
      </c>
      <c r="P18" s="107" t="str">
        <f>IF(A18="TOTAL",ROUND(SUM($P$3:P17),2),IF(OR(A18="",N18="",O18=""),"",ROUND(N18*O18,2)))</f>
        <v/>
      </c>
      <c r="Q18" s="181" t="str">
        <f t="shared" ca="1" si="0"/>
        <v/>
      </c>
      <c r="R18" t="str">
        <f>IF($A18="","",IF(MEMORIA_RESULTADOS!$W$46="","","C"&amp;MEMORIA_RESULTADOS!$W$46))</f>
        <v/>
      </c>
      <c r="S18" s="207" t="str">
        <f t="shared" ca="1" si="1"/>
        <v/>
      </c>
      <c r="T18" s="207" t="str">
        <f t="shared" ca="1" si="2"/>
        <v/>
      </c>
      <c r="U18" s="207" t="str">
        <f t="shared" ca="1" si="3"/>
        <v/>
      </c>
      <c r="V18" s="191" t="str">
        <f t="shared" ca="1" si="4"/>
        <v/>
      </c>
      <c r="W18" s="191" t="str">
        <f t="shared" ca="1" si="5"/>
        <v/>
      </c>
      <c r="X18" s="191" t="str">
        <f t="shared" ca="1" si="6"/>
        <v/>
      </c>
      <c r="Y18" t="str">
        <f t="shared" ca="1" si="7"/>
        <v/>
      </c>
      <c r="Z18" s="208" t="str">
        <f>IF($A18="","",IF(posicao_contratual!$AA17="","",posicao_contratual!$AA17))</f>
        <v/>
      </c>
      <c r="AA18" t="str">
        <f>IF($A18="","",IF(posicao_contratual!$AL17="","","C"&amp;posicao_contratual!$AL17))</f>
        <v/>
      </c>
      <c r="AB18" t="str">
        <f>IF($A18="","",IF(OR(MEMORIA_RESULTADOS!$W$46="",posicao_contratual!$AL17=""),"",IF(posicao_contratual!$AL17&lt;=MEMORIA_RESULTADOS!$W$46,"SIM","NAO APLICAVEL")))</f>
        <v/>
      </c>
      <c r="AC18" t="str">
        <f>IF($A18="","",IF(MEMORIA_RESULTADOS!$W$46="","",CHOOSE(MEMORIA_RESULTADOS!$W$46+1,posicao_contratual!$AG17,posicao_contratual!$AH17,posicao_contratual!$AI17,posicao_contratual!$AJ17,posicao_contratual!$AK17)))</f>
        <v/>
      </c>
    </row>
    <row r="19" spans="1:29" x14ac:dyDescent="0.35">
      <c r="A19" s="106" t="str">
        <f>IF(AND(itens_Remanesc!A18="",itens_Remanesc!A17&lt;&gt;"",COUNTIF(itens_Remanesc!A19:$A$200,"&lt;&gt;")=0),"TOTAL",IF(itens_Remanesc!A18="","",itens_Remanesc!A18))</f>
        <v/>
      </c>
      <c r="B19" s="107" t="str">
        <f>IF(OR(historico_VU!A18="",historico_VU!C18=""),"",historico_VU!C18)</f>
        <v/>
      </c>
      <c r="C19" s="108" t="str">
        <f>IF(posicao_contratual!A18="","",posicao_contratual!G18)</f>
        <v/>
      </c>
      <c r="D19" s="107" t="str">
        <f>IF(A19="TOTAL",ROUND(SUM($D$3:D18),2),IF(OR(A19="",B19="",C19=""),"",ROUND(B19*C19,2)))</f>
        <v/>
      </c>
      <c r="E19" s="109" t="str">
        <f>IF(OR(historico_VU!A18="",historico_VU!D18=""),"",historico_VU!D18)</f>
        <v/>
      </c>
      <c r="F19" s="110" t="str">
        <f>IF(posicao_contratual!A18="","",posicao_contratual!K18)</f>
        <v/>
      </c>
      <c r="G19" s="109" t="str">
        <f>IF(A19="TOTAL",ROUND(SUM($G$3:G18),2),IF(OR(A19="",E19="",F19=""),"",ROUND(E19*F19,2)))</f>
        <v/>
      </c>
      <c r="H19" s="107" t="str">
        <f>IF(OR(historico_VU!A18="",historico_VU!E18=""),"",historico_VU!E18)</f>
        <v/>
      </c>
      <c r="I19" s="108" t="str">
        <f>IF(posicao_contratual!A18="","",posicao_contratual!O18)</f>
        <v/>
      </c>
      <c r="J19" s="107" t="str">
        <f>IF(A19="TOTAL",ROUND(SUM($J$3:J18),2),IF(OR(A19="",H19="",I19=""),"",ROUND(H19*I19,2)))</f>
        <v/>
      </c>
      <c r="K19" s="109" t="str">
        <f>IF(OR(historico_VU!A18="",historico_VU!F18=""),"",historico_VU!F18)</f>
        <v/>
      </c>
      <c r="L19" s="110" t="str">
        <f>IF(posicao_contratual!A18="","",posicao_contratual!S18)</f>
        <v/>
      </c>
      <c r="M19" s="109" t="str">
        <f>IF(A19="TOTAL",ROUND(SUM($M$3:M18),2),IF(OR(A19="",K19="",L19=""),"",ROUND(K19*L19,2)))</f>
        <v/>
      </c>
      <c r="N19" s="107" t="str">
        <f>IF(OR(historico_VU!A18="",historico_VU!G18=""),"",historico_VU!G18)</f>
        <v/>
      </c>
      <c r="O19" s="108" t="str">
        <f>IF(posicao_contratual!A18="","",posicao_contratual!W18)</f>
        <v/>
      </c>
      <c r="P19" s="107" t="str">
        <f>IF(A19="TOTAL",ROUND(SUM($P$3:P18),2),IF(OR(A19="",N19="",O19=""),"",ROUND(N19*O19,2)))</f>
        <v/>
      </c>
      <c r="Q19" s="181" t="str">
        <f t="shared" ca="1" si="0"/>
        <v/>
      </c>
      <c r="R19" t="str">
        <f>IF($A19="","",IF(MEMORIA_RESULTADOS!$W$46="","","C"&amp;MEMORIA_RESULTADOS!$W$46))</f>
        <v/>
      </c>
      <c r="S19" s="207" t="str">
        <f t="shared" ca="1" si="1"/>
        <v/>
      </c>
      <c r="T19" s="207" t="str">
        <f t="shared" ca="1" si="2"/>
        <v/>
      </c>
      <c r="U19" s="207" t="str">
        <f t="shared" ca="1" si="3"/>
        <v/>
      </c>
      <c r="V19" s="191" t="str">
        <f t="shared" ca="1" si="4"/>
        <v/>
      </c>
      <c r="W19" s="191" t="str">
        <f t="shared" ca="1" si="5"/>
        <v/>
      </c>
      <c r="X19" s="191" t="str">
        <f t="shared" ca="1" si="6"/>
        <v/>
      </c>
      <c r="Y19" t="str">
        <f t="shared" ca="1" si="7"/>
        <v/>
      </c>
      <c r="Z19" s="208" t="str">
        <f>IF($A19="","",IF(posicao_contratual!$AA18="","",posicao_contratual!$AA18))</f>
        <v/>
      </c>
      <c r="AA19" t="str">
        <f>IF($A19="","",IF(posicao_contratual!$AL18="","","C"&amp;posicao_contratual!$AL18))</f>
        <v/>
      </c>
      <c r="AB19" t="str">
        <f>IF($A19="","",IF(OR(MEMORIA_RESULTADOS!$W$46="",posicao_contratual!$AL18=""),"",IF(posicao_contratual!$AL18&lt;=MEMORIA_RESULTADOS!$W$46,"SIM","NAO APLICAVEL")))</f>
        <v/>
      </c>
      <c r="AC19" t="str">
        <f>IF($A19="","",IF(MEMORIA_RESULTADOS!$W$46="","",CHOOSE(MEMORIA_RESULTADOS!$W$46+1,posicao_contratual!$AG18,posicao_contratual!$AH18,posicao_contratual!$AI18,posicao_contratual!$AJ18,posicao_contratual!$AK18)))</f>
        <v/>
      </c>
    </row>
    <row r="20" spans="1:29" x14ac:dyDescent="0.35">
      <c r="A20" s="106" t="str">
        <f>IF(AND(itens_Remanesc!A19="",itens_Remanesc!A18&lt;&gt;"",COUNTIF(itens_Remanesc!A20:$A$200,"&lt;&gt;")=0),"TOTAL",IF(itens_Remanesc!A19="","",itens_Remanesc!A19))</f>
        <v/>
      </c>
      <c r="B20" s="107" t="str">
        <f>IF(OR(historico_VU!A19="",historico_VU!C19=""),"",historico_VU!C19)</f>
        <v/>
      </c>
      <c r="C20" s="108" t="str">
        <f>IF(posicao_contratual!A19="","",posicao_contratual!G19)</f>
        <v/>
      </c>
      <c r="D20" s="107" t="str">
        <f>IF(A20="TOTAL",ROUND(SUM($D$3:D19),2),IF(OR(A20="",B20="",C20=""),"",ROUND(B20*C20,2)))</f>
        <v/>
      </c>
      <c r="E20" s="109" t="str">
        <f>IF(OR(historico_VU!A19="",historico_VU!D19=""),"",historico_VU!D19)</f>
        <v/>
      </c>
      <c r="F20" s="110" t="str">
        <f>IF(posicao_contratual!A19="","",posicao_contratual!K19)</f>
        <v/>
      </c>
      <c r="G20" s="109" t="str">
        <f>IF(A20="TOTAL",ROUND(SUM($G$3:G19),2),IF(OR(A20="",E20="",F20=""),"",ROUND(E20*F20,2)))</f>
        <v/>
      </c>
      <c r="H20" s="107" t="str">
        <f>IF(OR(historico_VU!A19="",historico_VU!E19=""),"",historico_VU!E19)</f>
        <v/>
      </c>
      <c r="I20" s="108" t="str">
        <f>IF(posicao_contratual!A19="","",posicao_contratual!O19)</f>
        <v/>
      </c>
      <c r="J20" s="107" t="str">
        <f>IF(A20="TOTAL",ROUND(SUM($J$3:J19),2),IF(OR(A20="",H20="",I20=""),"",ROUND(H20*I20,2)))</f>
        <v/>
      </c>
      <c r="K20" s="109" t="str">
        <f>IF(OR(historico_VU!A19="",historico_VU!F19=""),"",historico_VU!F19)</f>
        <v/>
      </c>
      <c r="L20" s="110" t="str">
        <f>IF(posicao_contratual!A19="","",posicao_contratual!S19)</f>
        <v/>
      </c>
      <c r="M20" s="109" t="str">
        <f>IF(A20="TOTAL",ROUND(SUM($M$3:M19),2),IF(OR(A20="",K20="",L20=""),"",ROUND(K20*L20,2)))</f>
        <v/>
      </c>
      <c r="N20" s="107" t="str">
        <f>IF(OR(historico_VU!A19="",historico_VU!G19=""),"",historico_VU!G19)</f>
        <v/>
      </c>
      <c r="O20" s="108" t="str">
        <f>IF(posicao_contratual!A19="","",posicao_contratual!W19)</f>
        <v/>
      </c>
      <c r="P20" s="107" t="str">
        <f>IF(A20="TOTAL",ROUND(SUM($P$3:P19),2),IF(OR(A20="",N20="",O20=""),"",ROUND(N20*O20,2)))</f>
        <v/>
      </c>
      <c r="Q20" s="181" t="str">
        <f t="shared" ca="1" si="0"/>
        <v/>
      </c>
      <c r="R20" t="str">
        <f>IF($A20="","",IF(MEMORIA_RESULTADOS!$W$46="","","C"&amp;MEMORIA_RESULTADOS!$W$46))</f>
        <v/>
      </c>
      <c r="S20" s="207" t="str">
        <f t="shared" ca="1" si="1"/>
        <v/>
      </c>
      <c r="T20" s="207" t="str">
        <f t="shared" ca="1" si="2"/>
        <v/>
      </c>
      <c r="U20" s="207" t="str">
        <f t="shared" ca="1" si="3"/>
        <v/>
      </c>
      <c r="V20" s="191" t="str">
        <f t="shared" ca="1" si="4"/>
        <v/>
      </c>
      <c r="W20" s="191" t="str">
        <f t="shared" ca="1" si="5"/>
        <v/>
      </c>
      <c r="X20" s="191" t="str">
        <f t="shared" ca="1" si="6"/>
        <v/>
      </c>
      <c r="Y20" t="str">
        <f t="shared" ca="1" si="7"/>
        <v/>
      </c>
      <c r="Z20" s="208" t="str">
        <f>IF($A20="","",IF(posicao_contratual!$AA19="","",posicao_contratual!$AA19))</f>
        <v/>
      </c>
      <c r="AA20" t="str">
        <f>IF($A20="","",IF(posicao_contratual!$AL19="","","C"&amp;posicao_contratual!$AL19))</f>
        <v/>
      </c>
      <c r="AB20" t="str">
        <f>IF($A20="","",IF(OR(MEMORIA_RESULTADOS!$W$46="",posicao_contratual!$AL19=""),"",IF(posicao_contratual!$AL19&lt;=MEMORIA_RESULTADOS!$W$46,"SIM","NAO APLICAVEL")))</f>
        <v/>
      </c>
      <c r="AC20" t="str">
        <f>IF($A20="","",IF(MEMORIA_RESULTADOS!$W$46="","",CHOOSE(MEMORIA_RESULTADOS!$W$46+1,posicao_contratual!$AG19,posicao_contratual!$AH19,posicao_contratual!$AI19,posicao_contratual!$AJ19,posicao_contratual!$AK19)))</f>
        <v/>
      </c>
    </row>
    <row r="21" spans="1:29" x14ac:dyDescent="0.35">
      <c r="A21" s="106" t="str">
        <f>IF(AND(itens_Remanesc!A20="",itens_Remanesc!A19&lt;&gt;"",COUNTIF(itens_Remanesc!A21:$A$200,"&lt;&gt;")=0),"TOTAL",IF(itens_Remanesc!A20="","",itens_Remanesc!A20))</f>
        <v/>
      </c>
      <c r="B21" s="107" t="str">
        <f>IF(OR(historico_VU!A20="",historico_VU!C20=""),"",historico_VU!C20)</f>
        <v/>
      </c>
      <c r="C21" s="108" t="str">
        <f>IF(posicao_contratual!A20="","",posicao_contratual!G20)</f>
        <v/>
      </c>
      <c r="D21" s="107" t="str">
        <f>IF(A21="TOTAL",ROUND(SUM($D$3:D20),2),IF(OR(A21="",B21="",C21=""),"",ROUND(B21*C21,2)))</f>
        <v/>
      </c>
      <c r="E21" s="109" t="str">
        <f>IF(OR(historico_VU!A20="",historico_VU!D20=""),"",historico_VU!D20)</f>
        <v/>
      </c>
      <c r="F21" s="110" t="str">
        <f>IF(posicao_contratual!A20="","",posicao_contratual!K20)</f>
        <v/>
      </c>
      <c r="G21" s="109" t="str">
        <f>IF(A21="TOTAL",ROUND(SUM($G$3:G20),2),IF(OR(A21="",E21="",F21=""),"",ROUND(E21*F21,2)))</f>
        <v/>
      </c>
      <c r="H21" s="107" t="str">
        <f>IF(OR(historico_VU!A20="",historico_VU!E20=""),"",historico_VU!E20)</f>
        <v/>
      </c>
      <c r="I21" s="108" t="str">
        <f>IF(posicao_contratual!A20="","",posicao_contratual!O20)</f>
        <v/>
      </c>
      <c r="J21" s="107" t="str">
        <f>IF(A21="TOTAL",ROUND(SUM($J$3:J20),2),IF(OR(A21="",H21="",I21=""),"",ROUND(H21*I21,2)))</f>
        <v/>
      </c>
      <c r="K21" s="109" t="str">
        <f>IF(OR(historico_VU!A20="",historico_VU!F20=""),"",historico_VU!F20)</f>
        <v/>
      </c>
      <c r="L21" s="110" t="str">
        <f>IF(posicao_contratual!A20="","",posicao_contratual!S20)</f>
        <v/>
      </c>
      <c r="M21" s="109" t="str">
        <f>IF(A21="TOTAL",ROUND(SUM($M$3:M20),2),IF(OR(A21="",K21="",L21=""),"",ROUND(K21*L21,2)))</f>
        <v/>
      </c>
      <c r="N21" s="107" t="str">
        <f>IF(OR(historico_VU!A20="",historico_VU!G20=""),"",historico_VU!G20)</f>
        <v/>
      </c>
      <c r="O21" s="108" t="str">
        <f>IF(posicao_contratual!A20="","",posicao_contratual!W20)</f>
        <v/>
      </c>
      <c r="P21" s="107" t="str">
        <f>IF(A21="TOTAL",ROUND(SUM($P$3:P20),2),IF(OR(A21="",N21="",O21=""),"",ROUND(N21*O21,2)))</f>
        <v/>
      </c>
      <c r="Q21" s="181" t="str">
        <f t="shared" ca="1" si="0"/>
        <v/>
      </c>
      <c r="R21" t="str">
        <f>IF($A21="","",IF(MEMORIA_RESULTADOS!$W$46="","","C"&amp;MEMORIA_RESULTADOS!$W$46))</f>
        <v/>
      </c>
      <c r="S21" s="207" t="str">
        <f t="shared" ca="1" si="1"/>
        <v/>
      </c>
      <c r="T21" s="207" t="str">
        <f t="shared" ca="1" si="2"/>
        <v/>
      </c>
      <c r="U21" s="207" t="str">
        <f t="shared" ca="1" si="3"/>
        <v/>
      </c>
      <c r="V21" s="191" t="str">
        <f t="shared" ca="1" si="4"/>
        <v/>
      </c>
      <c r="W21" s="191" t="str">
        <f t="shared" ca="1" si="5"/>
        <v/>
      </c>
      <c r="X21" s="191" t="str">
        <f t="shared" ca="1" si="6"/>
        <v/>
      </c>
      <c r="Y21" t="str">
        <f t="shared" ca="1" si="7"/>
        <v/>
      </c>
      <c r="Z21" s="208" t="str">
        <f>IF($A21="","",IF(posicao_contratual!$AA20="","",posicao_contratual!$AA20))</f>
        <v/>
      </c>
      <c r="AA21" t="str">
        <f>IF($A21="","",IF(posicao_contratual!$AL20="","","C"&amp;posicao_contratual!$AL20))</f>
        <v/>
      </c>
      <c r="AB21" t="str">
        <f>IF($A21="","",IF(OR(MEMORIA_RESULTADOS!$W$46="",posicao_contratual!$AL20=""),"",IF(posicao_contratual!$AL20&lt;=MEMORIA_RESULTADOS!$W$46,"SIM","NAO APLICAVEL")))</f>
        <v/>
      </c>
      <c r="AC21" t="str">
        <f>IF($A21="","",IF(MEMORIA_RESULTADOS!$W$46="","",CHOOSE(MEMORIA_RESULTADOS!$W$46+1,posicao_contratual!$AG20,posicao_contratual!$AH20,posicao_contratual!$AI20,posicao_contratual!$AJ20,posicao_contratual!$AK20)))</f>
        <v/>
      </c>
    </row>
    <row r="22" spans="1:29" x14ac:dyDescent="0.35">
      <c r="A22" s="106" t="str">
        <f>IF(AND(itens_Remanesc!A21="",itens_Remanesc!A20&lt;&gt;"",COUNTIF(itens_Remanesc!A22:$A$200,"&lt;&gt;")=0),"TOTAL",IF(itens_Remanesc!A21="","",itens_Remanesc!A21))</f>
        <v/>
      </c>
      <c r="B22" s="107" t="str">
        <f>IF(OR(historico_VU!A21="",historico_VU!C21=""),"",historico_VU!C21)</f>
        <v/>
      </c>
      <c r="C22" s="108" t="str">
        <f>IF(posicao_contratual!A21="","",posicao_contratual!G21)</f>
        <v/>
      </c>
      <c r="D22" s="107" t="str">
        <f>IF(A22="TOTAL",ROUND(SUM($D$3:D21),2),IF(OR(A22="",B22="",C22=""),"",ROUND(B22*C22,2)))</f>
        <v/>
      </c>
      <c r="E22" s="109" t="str">
        <f>IF(OR(historico_VU!A21="",historico_VU!D21=""),"",historico_VU!D21)</f>
        <v/>
      </c>
      <c r="F22" s="110" t="str">
        <f>IF(posicao_contratual!A21="","",posicao_contratual!K21)</f>
        <v/>
      </c>
      <c r="G22" s="109" t="str">
        <f>IF(A22="TOTAL",ROUND(SUM($G$3:G21),2),IF(OR(A22="",E22="",F22=""),"",ROUND(E22*F22,2)))</f>
        <v/>
      </c>
      <c r="H22" s="107" t="str">
        <f>IF(OR(historico_VU!A21="",historico_VU!E21=""),"",historico_VU!E21)</f>
        <v/>
      </c>
      <c r="I22" s="108" t="str">
        <f>IF(posicao_contratual!A21="","",posicao_contratual!O21)</f>
        <v/>
      </c>
      <c r="J22" s="107" t="str">
        <f>IF(A22="TOTAL",ROUND(SUM($J$3:J21),2),IF(OR(A22="",H22="",I22=""),"",ROUND(H22*I22,2)))</f>
        <v/>
      </c>
      <c r="K22" s="109" t="str">
        <f>IF(OR(historico_VU!A21="",historico_VU!F21=""),"",historico_VU!F21)</f>
        <v/>
      </c>
      <c r="L22" s="110" t="str">
        <f>IF(posicao_contratual!A21="","",posicao_contratual!S21)</f>
        <v/>
      </c>
      <c r="M22" s="109" t="str">
        <f>IF(A22="TOTAL",ROUND(SUM($M$3:M21),2),IF(OR(A22="",K22="",L22=""),"",ROUND(K22*L22,2)))</f>
        <v/>
      </c>
      <c r="N22" s="107" t="str">
        <f>IF(OR(historico_VU!A21="",historico_VU!G21=""),"",historico_VU!G21)</f>
        <v/>
      </c>
      <c r="O22" s="108" t="str">
        <f>IF(posicao_contratual!A21="","",posicao_contratual!W21)</f>
        <v/>
      </c>
      <c r="P22" s="107" t="str">
        <f>IF(A22="TOTAL",ROUND(SUM($P$3:P21),2),IF(OR(A22="",N22="",O22=""),"",ROUND(N22*O22,2)))</f>
        <v/>
      </c>
      <c r="Q22" s="181" t="str">
        <f t="shared" ca="1" si="0"/>
        <v/>
      </c>
      <c r="R22" t="str">
        <f>IF($A22="","",IF(MEMORIA_RESULTADOS!$W$46="","","C"&amp;MEMORIA_RESULTADOS!$W$46))</f>
        <v/>
      </c>
      <c r="S22" s="207" t="str">
        <f t="shared" ca="1" si="1"/>
        <v/>
      </c>
      <c r="T22" s="207" t="str">
        <f t="shared" ca="1" si="2"/>
        <v/>
      </c>
      <c r="U22" s="207" t="str">
        <f t="shared" ca="1" si="3"/>
        <v/>
      </c>
      <c r="V22" s="191" t="str">
        <f t="shared" ca="1" si="4"/>
        <v/>
      </c>
      <c r="W22" s="191" t="str">
        <f t="shared" ca="1" si="5"/>
        <v/>
      </c>
      <c r="X22" s="191" t="str">
        <f t="shared" ca="1" si="6"/>
        <v/>
      </c>
      <c r="Y22" t="str">
        <f t="shared" ca="1" si="7"/>
        <v/>
      </c>
      <c r="Z22" s="208" t="str">
        <f>IF($A22="","",IF(posicao_contratual!$AA21="","",posicao_contratual!$AA21))</f>
        <v/>
      </c>
      <c r="AA22" t="str">
        <f>IF($A22="","",IF(posicao_contratual!$AL21="","","C"&amp;posicao_contratual!$AL21))</f>
        <v/>
      </c>
      <c r="AB22" t="str">
        <f>IF($A22="","",IF(OR(MEMORIA_RESULTADOS!$W$46="",posicao_contratual!$AL21=""),"",IF(posicao_contratual!$AL21&lt;=MEMORIA_RESULTADOS!$W$46,"SIM","NAO APLICAVEL")))</f>
        <v/>
      </c>
      <c r="AC22" t="str">
        <f>IF($A22="","",IF(MEMORIA_RESULTADOS!$W$46="","",CHOOSE(MEMORIA_RESULTADOS!$W$46+1,posicao_contratual!$AG21,posicao_contratual!$AH21,posicao_contratual!$AI21,posicao_contratual!$AJ21,posicao_contratual!$AK21)))</f>
        <v/>
      </c>
    </row>
    <row r="23" spans="1:29" x14ac:dyDescent="0.35">
      <c r="A23" s="106" t="str">
        <f>IF(AND(itens_Remanesc!A22="",itens_Remanesc!A21&lt;&gt;"",COUNTIF(itens_Remanesc!A23:$A$200,"&lt;&gt;")=0),"TOTAL",IF(itens_Remanesc!A22="","",itens_Remanesc!A22))</f>
        <v/>
      </c>
      <c r="B23" s="107" t="str">
        <f>IF(OR(historico_VU!A22="",historico_VU!C22=""),"",historico_VU!C22)</f>
        <v/>
      </c>
      <c r="C23" s="108" t="str">
        <f>IF(posicao_contratual!A22="","",posicao_contratual!G22)</f>
        <v/>
      </c>
      <c r="D23" s="107" t="str">
        <f>IF(A23="TOTAL",ROUND(SUM($D$3:D22),2),IF(OR(A23="",B23="",C23=""),"",ROUND(B23*C23,2)))</f>
        <v/>
      </c>
      <c r="E23" s="109" t="str">
        <f>IF(OR(historico_VU!A22="",historico_VU!D22=""),"",historico_VU!D22)</f>
        <v/>
      </c>
      <c r="F23" s="110" t="str">
        <f>IF(posicao_contratual!A22="","",posicao_contratual!K22)</f>
        <v/>
      </c>
      <c r="G23" s="109" t="str">
        <f>IF(A23="TOTAL",ROUND(SUM($G$3:G22),2),IF(OR(A23="",E23="",F23=""),"",ROUND(E23*F23,2)))</f>
        <v/>
      </c>
      <c r="H23" s="107" t="str">
        <f>IF(OR(historico_VU!A22="",historico_VU!E22=""),"",historico_VU!E22)</f>
        <v/>
      </c>
      <c r="I23" s="108" t="str">
        <f>IF(posicao_contratual!A22="","",posicao_contratual!O22)</f>
        <v/>
      </c>
      <c r="J23" s="107" t="str">
        <f>IF(A23="TOTAL",ROUND(SUM($J$3:J22),2),IF(OR(A23="",H23="",I23=""),"",ROUND(H23*I23,2)))</f>
        <v/>
      </c>
      <c r="K23" s="109" t="str">
        <f>IF(OR(historico_VU!A22="",historico_VU!F22=""),"",historico_VU!F22)</f>
        <v/>
      </c>
      <c r="L23" s="110" t="str">
        <f>IF(posicao_contratual!A22="","",posicao_contratual!S22)</f>
        <v/>
      </c>
      <c r="M23" s="109" t="str">
        <f>IF(A23="TOTAL",ROUND(SUM($M$3:M22),2),IF(OR(A23="",K23="",L23=""),"",ROUND(K23*L23,2)))</f>
        <v/>
      </c>
      <c r="N23" s="107" t="str">
        <f>IF(OR(historico_VU!A22="",historico_VU!G22=""),"",historico_VU!G22)</f>
        <v/>
      </c>
      <c r="O23" s="108" t="str">
        <f>IF(posicao_contratual!A22="","",posicao_contratual!W22)</f>
        <v/>
      </c>
      <c r="P23" s="107" t="str">
        <f>IF(A23="TOTAL",ROUND(SUM($P$3:P22),2),IF(OR(A23="",N23="",O23=""),"",ROUND(N23*O23,2)))</f>
        <v/>
      </c>
      <c r="Q23" s="181" t="str">
        <f t="shared" ca="1" si="0"/>
        <v/>
      </c>
      <c r="R23" t="str">
        <f>IF($A23="","",IF(MEMORIA_RESULTADOS!$W$46="","","C"&amp;MEMORIA_RESULTADOS!$W$46))</f>
        <v/>
      </c>
      <c r="S23" s="207" t="str">
        <f t="shared" ca="1" si="1"/>
        <v/>
      </c>
      <c r="T23" s="207" t="str">
        <f t="shared" ca="1" si="2"/>
        <v/>
      </c>
      <c r="U23" s="207" t="str">
        <f t="shared" ca="1" si="3"/>
        <v/>
      </c>
      <c r="V23" s="191" t="str">
        <f t="shared" ca="1" si="4"/>
        <v/>
      </c>
      <c r="W23" s="191" t="str">
        <f t="shared" ca="1" si="5"/>
        <v/>
      </c>
      <c r="X23" s="191" t="str">
        <f t="shared" ca="1" si="6"/>
        <v/>
      </c>
      <c r="Y23" t="str">
        <f t="shared" ca="1" si="7"/>
        <v/>
      </c>
      <c r="Z23" s="208" t="str">
        <f>IF($A23="","",IF(posicao_contratual!$AA22="","",posicao_contratual!$AA22))</f>
        <v/>
      </c>
      <c r="AA23" t="str">
        <f>IF($A23="","",IF(posicao_contratual!$AL22="","","C"&amp;posicao_contratual!$AL22))</f>
        <v/>
      </c>
      <c r="AB23" t="str">
        <f>IF($A23="","",IF(OR(MEMORIA_RESULTADOS!$W$46="",posicao_contratual!$AL22=""),"",IF(posicao_contratual!$AL22&lt;=MEMORIA_RESULTADOS!$W$46,"SIM","NAO APLICAVEL")))</f>
        <v/>
      </c>
      <c r="AC23" t="str">
        <f>IF($A23="","",IF(MEMORIA_RESULTADOS!$W$46="","",CHOOSE(MEMORIA_RESULTADOS!$W$46+1,posicao_contratual!$AG22,posicao_contratual!$AH22,posicao_contratual!$AI22,posicao_contratual!$AJ22,posicao_contratual!$AK22)))</f>
        <v/>
      </c>
    </row>
    <row r="24" spans="1:29" x14ac:dyDescent="0.35">
      <c r="A24" s="106" t="str">
        <f>IF(AND(itens_Remanesc!A23="",itens_Remanesc!A22&lt;&gt;"",COUNTIF(itens_Remanesc!A24:$A$200,"&lt;&gt;")=0),"TOTAL",IF(itens_Remanesc!A23="","",itens_Remanesc!A23))</f>
        <v/>
      </c>
      <c r="B24" s="107" t="str">
        <f>IF(OR(historico_VU!A23="",historico_VU!C23=""),"",historico_VU!C23)</f>
        <v/>
      </c>
      <c r="C24" s="108" t="str">
        <f>IF(posicao_contratual!A23="","",posicao_contratual!G23)</f>
        <v/>
      </c>
      <c r="D24" s="107" t="str">
        <f>IF(A24="TOTAL",ROUND(SUM($D$3:D23),2),IF(OR(A24="",B24="",C24=""),"",ROUND(B24*C24,2)))</f>
        <v/>
      </c>
      <c r="E24" s="109" t="str">
        <f>IF(OR(historico_VU!A23="",historico_VU!D23=""),"",historico_VU!D23)</f>
        <v/>
      </c>
      <c r="F24" s="110" t="str">
        <f>IF(posicao_contratual!A23="","",posicao_contratual!K23)</f>
        <v/>
      </c>
      <c r="G24" s="109" t="str">
        <f>IF(A24="TOTAL",ROUND(SUM($G$3:G23),2),IF(OR(A24="",E24="",F24=""),"",ROUND(E24*F24,2)))</f>
        <v/>
      </c>
      <c r="H24" s="107" t="str">
        <f>IF(OR(historico_VU!A23="",historico_VU!E23=""),"",historico_VU!E23)</f>
        <v/>
      </c>
      <c r="I24" s="108" t="str">
        <f>IF(posicao_contratual!A23="","",posicao_contratual!O23)</f>
        <v/>
      </c>
      <c r="J24" s="107" t="str">
        <f>IF(A24="TOTAL",ROUND(SUM($J$3:J23),2),IF(OR(A24="",H24="",I24=""),"",ROUND(H24*I24,2)))</f>
        <v/>
      </c>
      <c r="K24" s="109" t="str">
        <f>IF(OR(historico_VU!A23="",historico_VU!F23=""),"",historico_VU!F23)</f>
        <v/>
      </c>
      <c r="L24" s="110" t="str">
        <f>IF(posicao_contratual!A23="","",posicao_contratual!S23)</f>
        <v/>
      </c>
      <c r="M24" s="109" t="str">
        <f>IF(A24="TOTAL",ROUND(SUM($M$3:M23),2),IF(OR(A24="",K24="",L24=""),"",ROUND(K24*L24,2)))</f>
        <v/>
      </c>
      <c r="N24" s="107" t="str">
        <f>IF(OR(historico_VU!A23="",historico_VU!G23=""),"",historico_VU!G23)</f>
        <v/>
      </c>
      <c r="O24" s="108" t="str">
        <f>IF(posicao_contratual!A23="","",posicao_contratual!W23)</f>
        <v/>
      </c>
      <c r="P24" s="107" t="str">
        <f>IF(A24="TOTAL",ROUND(SUM($P$3:P23),2),IF(OR(A24="",N24="",O24=""),"",ROUND(N24*O24,2)))</f>
        <v/>
      </c>
      <c r="Q24" s="181" t="str">
        <f t="shared" ca="1" si="0"/>
        <v/>
      </c>
      <c r="R24" t="str">
        <f>IF($A24="","",IF(MEMORIA_RESULTADOS!$W$46="","","C"&amp;MEMORIA_RESULTADOS!$W$46))</f>
        <v/>
      </c>
      <c r="S24" s="207" t="str">
        <f t="shared" ca="1" si="1"/>
        <v/>
      </c>
      <c r="T24" s="207" t="str">
        <f t="shared" ca="1" si="2"/>
        <v/>
      </c>
      <c r="U24" s="207" t="str">
        <f t="shared" ca="1" si="3"/>
        <v/>
      </c>
      <c r="V24" s="191" t="str">
        <f t="shared" ca="1" si="4"/>
        <v/>
      </c>
      <c r="W24" s="191" t="str">
        <f t="shared" ca="1" si="5"/>
        <v/>
      </c>
      <c r="X24" s="191" t="str">
        <f t="shared" ca="1" si="6"/>
        <v/>
      </c>
      <c r="Y24" t="str">
        <f t="shared" ca="1" si="7"/>
        <v/>
      </c>
      <c r="Z24" s="208" t="str">
        <f>IF($A24="","",IF(posicao_contratual!$AA23="","",posicao_contratual!$AA23))</f>
        <v/>
      </c>
      <c r="AA24" t="str">
        <f>IF($A24="","",IF(posicao_contratual!$AL23="","","C"&amp;posicao_contratual!$AL23))</f>
        <v/>
      </c>
      <c r="AB24" t="str">
        <f>IF($A24="","",IF(OR(MEMORIA_RESULTADOS!$W$46="",posicao_contratual!$AL23=""),"",IF(posicao_contratual!$AL23&lt;=MEMORIA_RESULTADOS!$W$46,"SIM","NAO APLICAVEL")))</f>
        <v/>
      </c>
      <c r="AC24" t="str">
        <f>IF($A24="","",IF(MEMORIA_RESULTADOS!$W$46="","",CHOOSE(MEMORIA_RESULTADOS!$W$46+1,posicao_contratual!$AG23,posicao_contratual!$AH23,posicao_contratual!$AI23,posicao_contratual!$AJ23,posicao_contratual!$AK23)))</f>
        <v/>
      </c>
    </row>
    <row r="25" spans="1:29" x14ac:dyDescent="0.35">
      <c r="A25" s="106" t="str">
        <f>IF(AND(itens_Remanesc!A24="",itens_Remanesc!A23&lt;&gt;"",COUNTIF(itens_Remanesc!A25:$A$200,"&lt;&gt;")=0),"TOTAL",IF(itens_Remanesc!A24="","",itens_Remanesc!A24))</f>
        <v/>
      </c>
      <c r="B25" s="107" t="str">
        <f>IF(OR(historico_VU!A24="",historico_VU!C24=""),"",historico_VU!C24)</f>
        <v/>
      </c>
      <c r="C25" s="108" t="str">
        <f>IF(posicao_contratual!A24="","",posicao_contratual!G24)</f>
        <v/>
      </c>
      <c r="D25" s="107" t="str">
        <f>IF(A25="TOTAL",ROUND(SUM($D$3:D24),2),IF(OR(A25="",B25="",C25=""),"",ROUND(B25*C25,2)))</f>
        <v/>
      </c>
      <c r="E25" s="109" t="str">
        <f>IF(OR(historico_VU!A24="",historico_VU!D24=""),"",historico_VU!D24)</f>
        <v/>
      </c>
      <c r="F25" s="110" t="str">
        <f>IF(posicao_contratual!A24="","",posicao_contratual!K24)</f>
        <v/>
      </c>
      <c r="G25" s="109" t="str">
        <f>IF(A25="TOTAL",ROUND(SUM($G$3:G24),2),IF(OR(A25="",E25="",F25=""),"",ROUND(E25*F25,2)))</f>
        <v/>
      </c>
      <c r="H25" s="107" t="str">
        <f>IF(OR(historico_VU!A24="",historico_VU!E24=""),"",historico_VU!E24)</f>
        <v/>
      </c>
      <c r="I25" s="108" t="str">
        <f>IF(posicao_contratual!A24="","",posicao_contratual!O24)</f>
        <v/>
      </c>
      <c r="J25" s="107" t="str">
        <f>IF(A25="TOTAL",ROUND(SUM($J$3:J24),2),IF(OR(A25="",H25="",I25=""),"",ROUND(H25*I25,2)))</f>
        <v/>
      </c>
      <c r="K25" s="109" t="str">
        <f>IF(OR(historico_VU!A24="",historico_VU!F24=""),"",historico_VU!F24)</f>
        <v/>
      </c>
      <c r="L25" s="110" t="str">
        <f>IF(posicao_contratual!A24="","",posicao_contratual!S24)</f>
        <v/>
      </c>
      <c r="M25" s="109" t="str">
        <f>IF(A25="TOTAL",ROUND(SUM($M$3:M24),2),IF(OR(A25="",K25="",L25=""),"",ROUND(K25*L25,2)))</f>
        <v/>
      </c>
      <c r="N25" s="107" t="str">
        <f>IF(OR(historico_VU!A24="",historico_VU!G24=""),"",historico_VU!G24)</f>
        <v/>
      </c>
      <c r="O25" s="108" t="str">
        <f>IF(posicao_contratual!A24="","",posicao_contratual!W24)</f>
        <v/>
      </c>
      <c r="P25" s="107" t="str">
        <f>IF(A25="TOTAL",ROUND(SUM($P$3:P24),2),IF(OR(A25="",N25="",O25=""),"",ROUND(N25*O25,2)))</f>
        <v/>
      </c>
      <c r="Q25" s="181" t="str">
        <f t="shared" ca="1" si="0"/>
        <v/>
      </c>
      <c r="R25" t="str">
        <f>IF($A25="","",IF(MEMORIA_RESULTADOS!$W$46="","","C"&amp;MEMORIA_RESULTADOS!$W$46))</f>
        <v/>
      </c>
      <c r="S25" s="207" t="str">
        <f t="shared" ca="1" si="1"/>
        <v/>
      </c>
      <c r="T25" s="207" t="str">
        <f t="shared" ca="1" si="2"/>
        <v/>
      </c>
      <c r="U25" s="207" t="str">
        <f t="shared" ca="1" si="3"/>
        <v/>
      </c>
      <c r="V25" s="191" t="str">
        <f t="shared" ca="1" si="4"/>
        <v/>
      </c>
      <c r="W25" s="191" t="str">
        <f t="shared" ca="1" si="5"/>
        <v/>
      </c>
      <c r="X25" s="191" t="str">
        <f t="shared" ca="1" si="6"/>
        <v/>
      </c>
      <c r="Y25" t="str">
        <f t="shared" ca="1" si="7"/>
        <v/>
      </c>
      <c r="Z25" s="208" t="str">
        <f>IF($A25="","",IF(posicao_contratual!$AA24="","",posicao_contratual!$AA24))</f>
        <v/>
      </c>
      <c r="AA25" t="str">
        <f>IF($A25="","",IF(posicao_contratual!$AL24="","","C"&amp;posicao_contratual!$AL24))</f>
        <v/>
      </c>
      <c r="AB25" t="str">
        <f>IF($A25="","",IF(OR(MEMORIA_RESULTADOS!$W$46="",posicao_contratual!$AL24=""),"",IF(posicao_contratual!$AL24&lt;=MEMORIA_RESULTADOS!$W$46,"SIM","NAO APLICAVEL")))</f>
        <v/>
      </c>
      <c r="AC25" t="str">
        <f>IF($A25="","",IF(MEMORIA_RESULTADOS!$W$46="","",CHOOSE(MEMORIA_RESULTADOS!$W$46+1,posicao_contratual!$AG24,posicao_contratual!$AH24,posicao_contratual!$AI24,posicao_contratual!$AJ24,posicao_contratual!$AK24)))</f>
        <v/>
      </c>
    </row>
    <row r="26" spans="1:29" x14ac:dyDescent="0.35">
      <c r="A26" s="106" t="str">
        <f>IF(AND(itens_Remanesc!A25="",itens_Remanesc!A24&lt;&gt;"",COUNTIF(itens_Remanesc!A26:$A$200,"&lt;&gt;")=0),"TOTAL",IF(itens_Remanesc!A25="","",itens_Remanesc!A25))</f>
        <v/>
      </c>
      <c r="B26" s="107" t="str">
        <f>IF(OR(historico_VU!A25="",historico_VU!C25=""),"",historico_VU!C25)</f>
        <v/>
      </c>
      <c r="C26" s="108" t="str">
        <f>IF(posicao_contratual!A25="","",posicao_contratual!G25)</f>
        <v/>
      </c>
      <c r="D26" s="107" t="str">
        <f>IF(A26="TOTAL",ROUND(SUM($D$3:D25),2),IF(OR(A26="",B26="",C26=""),"",ROUND(B26*C26,2)))</f>
        <v/>
      </c>
      <c r="E26" s="109" t="str">
        <f>IF(OR(historico_VU!A25="",historico_VU!D25=""),"",historico_VU!D25)</f>
        <v/>
      </c>
      <c r="F26" s="110" t="str">
        <f>IF(posicao_contratual!A25="","",posicao_contratual!K25)</f>
        <v/>
      </c>
      <c r="G26" s="109" t="str">
        <f>IF(A26="TOTAL",ROUND(SUM($G$3:G25),2),IF(OR(A26="",E26="",F26=""),"",ROUND(E26*F26,2)))</f>
        <v/>
      </c>
      <c r="H26" s="107" t="str">
        <f>IF(OR(historico_VU!A25="",historico_VU!E25=""),"",historico_VU!E25)</f>
        <v/>
      </c>
      <c r="I26" s="108" t="str">
        <f>IF(posicao_contratual!A25="","",posicao_contratual!O25)</f>
        <v/>
      </c>
      <c r="J26" s="107" t="str">
        <f>IF(A26="TOTAL",ROUND(SUM($J$3:J25),2),IF(OR(A26="",H26="",I26=""),"",ROUND(H26*I26,2)))</f>
        <v/>
      </c>
      <c r="K26" s="109" t="str">
        <f>IF(OR(historico_VU!A25="",historico_VU!F25=""),"",historico_VU!F25)</f>
        <v/>
      </c>
      <c r="L26" s="110" t="str">
        <f>IF(posicao_contratual!A25="","",posicao_contratual!S25)</f>
        <v/>
      </c>
      <c r="M26" s="109" t="str">
        <f>IF(A26="TOTAL",ROUND(SUM($M$3:M25),2),IF(OR(A26="",K26="",L26=""),"",ROUND(K26*L26,2)))</f>
        <v/>
      </c>
      <c r="N26" s="107" t="str">
        <f>IF(OR(historico_VU!A25="",historico_VU!G25=""),"",historico_VU!G25)</f>
        <v/>
      </c>
      <c r="O26" s="108" t="str">
        <f>IF(posicao_contratual!A25="","",posicao_contratual!W25)</f>
        <v/>
      </c>
      <c r="P26" s="107" t="str">
        <f>IF(A26="TOTAL",ROUND(SUM($P$3:P25),2),IF(OR(A26="",N26="",O26=""),"",ROUND(N26*O26,2)))</f>
        <v/>
      </c>
      <c r="Q26" s="181" t="str">
        <f t="shared" ca="1" si="0"/>
        <v/>
      </c>
      <c r="R26" t="str">
        <f>IF($A26="","",IF(MEMORIA_RESULTADOS!$W$46="","","C"&amp;MEMORIA_RESULTADOS!$W$46))</f>
        <v/>
      </c>
      <c r="S26" s="207" t="str">
        <f t="shared" ca="1" si="1"/>
        <v/>
      </c>
      <c r="T26" s="207" t="str">
        <f t="shared" ca="1" si="2"/>
        <v/>
      </c>
      <c r="U26" s="207" t="str">
        <f t="shared" ca="1" si="3"/>
        <v/>
      </c>
      <c r="V26" s="191" t="str">
        <f t="shared" ca="1" si="4"/>
        <v/>
      </c>
      <c r="W26" s="191" t="str">
        <f t="shared" ca="1" si="5"/>
        <v/>
      </c>
      <c r="X26" s="191" t="str">
        <f t="shared" ca="1" si="6"/>
        <v/>
      </c>
      <c r="Y26" t="str">
        <f t="shared" ca="1" si="7"/>
        <v/>
      </c>
      <c r="Z26" s="208" t="str">
        <f>IF($A26="","",IF(posicao_contratual!$AA25="","",posicao_contratual!$AA25))</f>
        <v/>
      </c>
      <c r="AA26" t="str">
        <f>IF($A26="","",IF(posicao_contratual!$AL25="","","C"&amp;posicao_contratual!$AL25))</f>
        <v/>
      </c>
      <c r="AB26" t="str">
        <f>IF($A26="","",IF(OR(MEMORIA_RESULTADOS!$W$46="",posicao_contratual!$AL25=""),"",IF(posicao_contratual!$AL25&lt;=MEMORIA_RESULTADOS!$W$46,"SIM","NAO APLICAVEL")))</f>
        <v/>
      </c>
      <c r="AC26" t="str">
        <f>IF($A26="","",IF(MEMORIA_RESULTADOS!$W$46="","",CHOOSE(MEMORIA_RESULTADOS!$W$46+1,posicao_contratual!$AG25,posicao_contratual!$AH25,posicao_contratual!$AI25,posicao_contratual!$AJ25,posicao_contratual!$AK25)))</f>
        <v/>
      </c>
    </row>
    <row r="27" spans="1:29" x14ac:dyDescent="0.35">
      <c r="A27" s="106" t="str">
        <f>IF(AND(itens_Remanesc!A26="",itens_Remanesc!A25&lt;&gt;"",COUNTIF(itens_Remanesc!A27:$A$200,"&lt;&gt;")=0),"TOTAL",IF(itens_Remanesc!A26="","",itens_Remanesc!A26))</f>
        <v/>
      </c>
      <c r="B27" s="107" t="str">
        <f>IF(OR(historico_VU!A26="",historico_VU!C26=""),"",historico_VU!C26)</f>
        <v/>
      </c>
      <c r="C27" s="108" t="str">
        <f>IF(posicao_contratual!A26="","",posicao_contratual!G26)</f>
        <v/>
      </c>
      <c r="D27" s="107" t="str">
        <f>IF(A27="TOTAL",ROUND(SUM($D$3:D26),2),IF(OR(A27="",B27="",C27=""),"",ROUND(B27*C27,2)))</f>
        <v/>
      </c>
      <c r="E27" s="109" t="str">
        <f>IF(OR(historico_VU!A26="",historico_VU!D26=""),"",historico_VU!D26)</f>
        <v/>
      </c>
      <c r="F27" s="110" t="str">
        <f>IF(posicao_contratual!A26="","",posicao_contratual!K26)</f>
        <v/>
      </c>
      <c r="G27" s="109" t="str">
        <f>IF(A27="TOTAL",ROUND(SUM($G$3:G26),2),IF(OR(A27="",E27="",F27=""),"",ROUND(E27*F27,2)))</f>
        <v/>
      </c>
      <c r="H27" s="107" t="str">
        <f>IF(OR(historico_VU!A26="",historico_VU!E26=""),"",historico_VU!E26)</f>
        <v/>
      </c>
      <c r="I27" s="108" t="str">
        <f>IF(posicao_contratual!A26="","",posicao_contratual!O26)</f>
        <v/>
      </c>
      <c r="J27" s="107" t="str">
        <f>IF(A27="TOTAL",ROUND(SUM($J$3:J26),2),IF(OR(A27="",H27="",I27=""),"",ROUND(H27*I27,2)))</f>
        <v/>
      </c>
      <c r="K27" s="109" t="str">
        <f>IF(OR(historico_VU!A26="",historico_VU!F26=""),"",historico_VU!F26)</f>
        <v/>
      </c>
      <c r="L27" s="110" t="str">
        <f>IF(posicao_contratual!A26="","",posicao_contratual!S26)</f>
        <v/>
      </c>
      <c r="M27" s="109" t="str">
        <f>IF(A27="TOTAL",ROUND(SUM($M$3:M26),2),IF(OR(A27="",K27="",L27=""),"",ROUND(K27*L27,2)))</f>
        <v/>
      </c>
      <c r="N27" s="107" t="str">
        <f>IF(OR(historico_VU!A26="",historico_VU!G26=""),"",historico_VU!G26)</f>
        <v/>
      </c>
      <c r="O27" s="108" t="str">
        <f>IF(posicao_contratual!A26="","",posicao_contratual!W26)</f>
        <v/>
      </c>
      <c r="P27" s="107" t="str">
        <f>IF(A27="TOTAL",ROUND(SUM($P$3:P26),2),IF(OR(A27="",N27="",O27=""),"",ROUND(N27*O27,2)))</f>
        <v/>
      </c>
      <c r="Q27" s="181" t="str">
        <f t="shared" ca="1" si="0"/>
        <v/>
      </c>
      <c r="R27" t="str">
        <f>IF($A27="","",IF(MEMORIA_RESULTADOS!$W$46="","","C"&amp;MEMORIA_RESULTADOS!$W$46))</f>
        <v/>
      </c>
      <c r="S27" s="207" t="str">
        <f t="shared" ca="1" si="1"/>
        <v/>
      </c>
      <c r="T27" s="207" t="str">
        <f t="shared" ca="1" si="2"/>
        <v/>
      </c>
      <c r="U27" s="207" t="str">
        <f t="shared" ca="1" si="3"/>
        <v/>
      </c>
      <c r="V27" s="191" t="str">
        <f t="shared" ca="1" si="4"/>
        <v/>
      </c>
      <c r="W27" s="191" t="str">
        <f t="shared" ca="1" si="5"/>
        <v/>
      </c>
      <c r="X27" s="191" t="str">
        <f t="shared" ca="1" si="6"/>
        <v/>
      </c>
      <c r="Y27" t="str">
        <f t="shared" ca="1" si="7"/>
        <v/>
      </c>
      <c r="Z27" s="208" t="str">
        <f>IF($A27="","",IF(posicao_contratual!$AA26="","",posicao_contratual!$AA26))</f>
        <v/>
      </c>
      <c r="AA27" t="str">
        <f>IF($A27="","",IF(posicao_contratual!$AL26="","","C"&amp;posicao_contratual!$AL26))</f>
        <v/>
      </c>
      <c r="AB27" t="str">
        <f>IF($A27="","",IF(OR(MEMORIA_RESULTADOS!$W$46="",posicao_contratual!$AL26=""),"",IF(posicao_contratual!$AL26&lt;=MEMORIA_RESULTADOS!$W$46,"SIM","NAO APLICAVEL")))</f>
        <v/>
      </c>
      <c r="AC27" t="str">
        <f>IF($A27="","",IF(MEMORIA_RESULTADOS!$W$46="","",CHOOSE(MEMORIA_RESULTADOS!$W$46+1,posicao_contratual!$AG26,posicao_contratual!$AH26,posicao_contratual!$AI26,posicao_contratual!$AJ26,posicao_contratual!$AK26)))</f>
        <v/>
      </c>
    </row>
    <row r="28" spans="1:29" x14ac:dyDescent="0.35">
      <c r="A28" s="106" t="str">
        <f>IF(AND(itens_Remanesc!A27="",itens_Remanesc!A26&lt;&gt;"",COUNTIF(itens_Remanesc!A28:$A$200,"&lt;&gt;")=0),"TOTAL",IF(itens_Remanesc!A27="","",itens_Remanesc!A27))</f>
        <v/>
      </c>
      <c r="B28" s="107" t="str">
        <f>IF(OR(historico_VU!A27="",historico_VU!C27=""),"",historico_VU!C27)</f>
        <v/>
      </c>
      <c r="C28" s="108" t="str">
        <f>IF(posicao_contratual!A27="","",posicao_contratual!G27)</f>
        <v/>
      </c>
      <c r="D28" s="107" t="str">
        <f>IF(A28="TOTAL",ROUND(SUM($D$3:D27),2),IF(OR(A28="",B28="",C28=""),"",ROUND(B28*C28,2)))</f>
        <v/>
      </c>
      <c r="E28" s="109" t="str">
        <f>IF(OR(historico_VU!A27="",historico_VU!D27=""),"",historico_VU!D27)</f>
        <v/>
      </c>
      <c r="F28" s="110" t="str">
        <f>IF(posicao_contratual!A27="","",posicao_contratual!K27)</f>
        <v/>
      </c>
      <c r="G28" s="109" t="str">
        <f>IF(A28="TOTAL",ROUND(SUM($G$3:G27),2),IF(OR(A28="",E28="",F28=""),"",ROUND(E28*F28,2)))</f>
        <v/>
      </c>
      <c r="H28" s="107" t="str">
        <f>IF(OR(historico_VU!A27="",historico_VU!E27=""),"",historico_VU!E27)</f>
        <v/>
      </c>
      <c r="I28" s="108" t="str">
        <f>IF(posicao_contratual!A27="","",posicao_contratual!O27)</f>
        <v/>
      </c>
      <c r="J28" s="107" t="str">
        <f>IF(A28="TOTAL",ROUND(SUM($J$3:J27),2),IF(OR(A28="",H28="",I28=""),"",ROUND(H28*I28,2)))</f>
        <v/>
      </c>
      <c r="K28" s="109" t="str">
        <f>IF(OR(historico_VU!A27="",historico_VU!F27=""),"",historico_VU!F27)</f>
        <v/>
      </c>
      <c r="L28" s="110" t="str">
        <f>IF(posicao_contratual!A27="","",posicao_contratual!S27)</f>
        <v/>
      </c>
      <c r="M28" s="109" t="str">
        <f>IF(A28="TOTAL",ROUND(SUM($M$3:M27),2),IF(OR(A28="",K28="",L28=""),"",ROUND(K28*L28,2)))</f>
        <v/>
      </c>
      <c r="N28" s="107" t="str">
        <f>IF(OR(historico_VU!A27="",historico_VU!G27=""),"",historico_VU!G27)</f>
        <v/>
      </c>
      <c r="O28" s="108" t="str">
        <f>IF(posicao_contratual!A27="","",posicao_contratual!W27)</f>
        <v/>
      </c>
      <c r="P28" s="107" t="str">
        <f>IF(A28="TOTAL",ROUND(SUM($P$3:P27),2),IF(OR(A28="",N28="",O28=""),"",ROUND(N28*O28,2)))</f>
        <v/>
      </c>
      <c r="Q28" s="181" t="str">
        <f t="shared" ca="1" si="0"/>
        <v/>
      </c>
      <c r="R28" t="str">
        <f>IF($A28="","",IF(MEMORIA_RESULTADOS!$W$46="","","C"&amp;MEMORIA_RESULTADOS!$W$46))</f>
        <v/>
      </c>
      <c r="S28" s="207" t="str">
        <f t="shared" ca="1" si="1"/>
        <v/>
      </c>
      <c r="T28" s="207" t="str">
        <f t="shared" ca="1" si="2"/>
        <v/>
      </c>
      <c r="U28" s="207" t="str">
        <f t="shared" ca="1" si="3"/>
        <v/>
      </c>
      <c r="V28" s="191" t="str">
        <f t="shared" ca="1" si="4"/>
        <v/>
      </c>
      <c r="W28" s="191" t="str">
        <f t="shared" ca="1" si="5"/>
        <v/>
      </c>
      <c r="X28" s="191" t="str">
        <f t="shared" ca="1" si="6"/>
        <v/>
      </c>
      <c r="Y28" t="str">
        <f t="shared" ca="1" si="7"/>
        <v/>
      </c>
      <c r="Z28" s="208" t="str">
        <f>IF($A28="","",IF(posicao_contratual!$AA27="","",posicao_contratual!$AA27))</f>
        <v/>
      </c>
      <c r="AA28" t="str">
        <f>IF($A28="","",IF(posicao_contratual!$AL27="","","C"&amp;posicao_contratual!$AL27))</f>
        <v/>
      </c>
      <c r="AB28" t="str">
        <f>IF($A28="","",IF(OR(MEMORIA_RESULTADOS!$W$46="",posicao_contratual!$AL27=""),"",IF(posicao_contratual!$AL27&lt;=MEMORIA_RESULTADOS!$W$46,"SIM","NAO APLICAVEL")))</f>
        <v/>
      </c>
      <c r="AC28" t="str">
        <f>IF($A28="","",IF(MEMORIA_RESULTADOS!$W$46="","",CHOOSE(MEMORIA_RESULTADOS!$W$46+1,posicao_contratual!$AG27,posicao_contratual!$AH27,posicao_contratual!$AI27,posicao_contratual!$AJ27,posicao_contratual!$AK27)))</f>
        <v/>
      </c>
    </row>
    <row r="29" spans="1:29" x14ac:dyDescent="0.35">
      <c r="A29" s="106" t="str">
        <f>IF(AND(itens_Remanesc!A28="",itens_Remanesc!A27&lt;&gt;"",COUNTIF(itens_Remanesc!A29:$A$200,"&lt;&gt;")=0),"TOTAL",IF(itens_Remanesc!A28="","",itens_Remanesc!A28))</f>
        <v/>
      </c>
      <c r="B29" s="107" t="str">
        <f>IF(OR(historico_VU!A28="",historico_VU!C28=""),"",historico_VU!C28)</f>
        <v/>
      </c>
      <c r="C29" s="108" t="str">
        <f>IF(posicao_contratual!A28="","",posicao_contratual!G28)</f>
        <v/>
      </c>
      <c r="D29" s="107" t="str">
        <f>IF(A29="TOTAL",ROUND(SUM($D$3:D28),2),IF(OR(A29="",B29="",C29=""),"",ROUND(B29*C29,2)))</f>
        <v/>
      </c>
      <c r="E29" s="109" t="str">
        <f>IF(OR(historico_VU!A28="",historico_VU!D28=""),"",historico_VU!D28)</f>
        <v/>
      </c>
      <c r="F29" s="110" t="str">
        <f>IF(posicao_contratual!A28="","",posicao_contratual!K28)</f>
        <v/>
      </c>
      <c r="G29" s="109" t="str">
        <f>IF(A29="TOTAL",ROUND(SUM($G$3:G28),2),IF(OR(A29="",E29="",F29=""),"",ROUND(E29*F29,2)))</f>
        <v/>
      </c>
      <c r="H29" s="107" t="str">
        <f>IF(OR(historico_VU!A28="",historico_VU!E28=""),"",historico_VU!E28)</f>
        <v/>
      </c>
      <c r="I29" s="108" t="str">
        <f>IF(posicao_contratual!A28="","",posicao_contratual!O28)</f>
        <v/>
      </c>
      <c r="J29" s="107" t="str">
        <f>IF(A29="TOTAL",ROUND(SUM($J$3:J28),2),IF(OR(A29="",H29="",I29=""),"",ROUND(H29*I29,2)))</f>
        <v/>
      </c>
      <c r="K29" s="109" t="str">
        <f>IF(OR(historico_VU!A28="",historico_VU!F28=""),"",historico_VU!F28)</f>
        <v/>
      </c>
      <c r="L29" s="110" t="str">
        <f>IF(posicao_contratual!A28="","",posicao_contratual!S28)</f>
        <v/>
      </c>
      <c r="M29" s="109" t="str">
        <f>IF(A29="TOTAL",ROUND(SUM($M$3:M28),2),IF(OR(A29="",K29="",L29=""),"",ROUND(K29*L29,2)))</f>
        <v/>
      </c>
      <c r="N29" s="107" t="str">
        <f>IF(OR(historico_VU!A28="",historico_VU!G28=""),"",historico_VU!G28)</f>
        <v/>
      </c>
      <c r="O29" s="108" t="str">
        <f>IF(posicao_contratual!A28="","",posicao_contratual!W28)</f>
        <v/>
      </c>
      <c r="P29" s="107" t="str">
        <f>IF(A29="TOTAL",ROUND(SUM($P$3:P28),2),IF(OR(A29="",N29="",O29=""),"",ROUND(N29*O29,2)))</f>
        <v/>
      </c>
      <c r="Q29" s="181" t="str">
        <f t="shared" ca="1" si="0"/>
        <v/>
      </c>
      <c r="R29" t="str">
        <f>IF($A29="","",IF(MEMORIA_RESULTADOS!$W$46="","","C"&amp;MEMORIA_RESULTADOS!$W$46))</f>
        <v/>
      </c>
      <c r="S29" s="207" t="str">
        <f t="shared" ca="1" si="1"/>
        <v/>
      </c>
      <c r="T29" s="207" t="str">
        <f t="shared" ca="1" si="2"/>
        <v/>
      </c>
      <c r="U29" s="207" t="str">
        <f t="shared" ca="1" si="3"/>
        <v/>
      </c>
      <c r="V29" s="191" t="str">
        <f t="shared" ca="1" si="4"/>
        <v/>
      </c>
      <c r="W29" s="191" t="str">
        <f t="shared" ca="1" si="5"/>
        <v/>
      </c>
      <c r="X29" s="191" t="str">
        <f t="shared" ca="1" si="6"/>
        <v/>
      </c>
      <c r="Y29" t="str">
        <f t="shared" ca="1" si="7"/>
        <v/>
      </c>
      <c r="Z29" s="208" t="str">
        <f>IF($A29="","",IF(posicao_contratual!$AA28="","",posicao_contratual!$AA28))</f>
        <v/>
      </c>
      <c r="AA29" t="str">
        <f>IF($A29="","",IF(posicao_contratual!$AL28="","","C"&amp;posicao_contratual!$AL28))</f>
        <v/>
      </c>
      <c r="AB29" t="str">
        <f>IF($A29="","",IF(OR(MEMORIA_RESULTADOS!$W$46="",posicao_contratual!$AL28=""),"",IF(posicao_contratual!$AL28&lt;=MEMORIA_RESULTADOS!$W$46,"SIM","NAO APLICAVEL")))</f>
        <v/>
      </c>
      <c r="AC29" t="str">
        <f>IF($A29="","",IF(MEMORIA_RESULTADOS!$W$46="","",CHOOSE(MEMORIA_RESULTADOS!$W$46+1,posicao_contratual!$AG28,posicao_contratual!$AH28,posicao_contratual!$AI28,posicao_contratual!$AJ28,posicao_contratual!$AK28)))</f>
        <v/>
      </c>
    </row>
    <row r="30" spans="1:29" x14ac:dyDescent="0.35">
      <c r="A30" s="106" t="str">
        <f>IF(AND(itens_Remanesc!A29="",itens_Remanesc!A28&lt;&gt;"",COUNTIF(itens_Remanesc!A30:$A$200,"&lt;&gt;")=0),"TOTAL",IF(itens_Remanesc!A29="","",itens_Remanesc!A29))</f>
        <v/>
      </c>
      <c r="B30" s="107" t="str">
        <f>IF(OR(historico_VU!A29="",historico_VU!C29=""),"",historico_VU!C29)</f>
        <v/>
      </c>
      <c r="C30" s="108" t="str">
        <f>IF(posicao_contratual!A29="","",posicao_contratual!G29)</f>
        <v/>
      </c>
      <c r="D30" s="107" t="str">
        <f>IF(A30="TOTAL",ROUND(SUM($D$3:D29),2),IF(OR(A30="",B30="",C30=""),"",ROUND(B30*C30,2)))</f>
        <v/>
      </c>
      <c r="E30" s="109" t="str">
        <f>IF(OR(historico_VU!A29="",historico_VU!D29=""),"",historico_VU!D29)</f>
        <v/>
      </c>
      <c r="F30" s="110" t="str">
        <f>IF(posicao_contratual!A29="","",posicao_contratual!K29)</f>
        <v/>
      </c>
      <c r="G30" s="109" t="str">
        <f>IF(A30="TOTAL",ROUND(SUM($G$3:G29),2),IF(OR(A30="",E30="",F30=""),"",ROUND(E30*F30,2)))</f>
        <v/>
      </c>
      <c r="H30" s="107" t="str">
        <f>IF(OR(historico_VU!A29="",historico_VU!E29=""),"",historico_VU!E29)</f>
        <v/>
      </c>
      <c r="I30" s="108" t="str">
        <f>IF(posicao_contratual!A29="","",posicao_contratual!O29)</f>
        <v/>
      </c>
      <c r="J30" s="107" t="str">
        <f>IF(A30="TOTAL",ROUND(SUM($J$3:J29),2),IF(OR(A30="",H30="",I30=""),"",ROUND(H30*I30,2)))</f>
        <v/>
      </c>
      <c r="K30" s="109" t="str">
        <f>IF(OR(historico_VU!A29="",historico_VU!F29=""),"",historico_VU!F29)</f>
        <v/>
      </c>
      <c r="L30" s="110" t="str">
        <f>IF(posicao_contratual!A29="","",posicao_contratual!S29)</f>
        <v/>
      </c>
      <c r="M30" s="109" t="str">
        <f>IF(A30="TOTAL",ROUND(SUM($M$3:M29),2),IF(OR(A30="",K30="",L30=""),"",ROUND(K30*L30,2)))</f>
        <v/>
      </c>
      <c r="N30" s="107" t="str">
        <f>IF(OR(historico_VU!A29="",historico_VU!G29=""),"",historico_VU!G29)</f>
        <v/>
      </c>
      <c r="O30" s="108" t="str">
        <f>IF(posicao_contratual!A29="","",posicao_contratual!W29)</f>
        <v/>
      </c>
      <c r="P30" s="107" t="str">
        <f>IF(A30="TOTAL",ROUND(SUM($P$3:P29),2),IF(OR(A30="",N30="",O30=""),"",ROUND(N30*O30,2)))</f>
        <v/>
      </c>
      <c r="Q30" s="181" t="str">
        <f t="shared" ca="1" si="0"/>
        <v/>
      </c>
      <c r="R30" t="str">
        <f>IF($A30="","",IF(MEMORIA_RESULTADOS!$W$46="","","C"&amp;MEMORIA_RESULTADOS!$W$46))</f>
        <v/>
      </c>
      <c r="S30" s="207" t="str">
        <f t="shared" ca="1" si="1"/>
        <v/>
      </c>
      <c r="T30" s="207" t="str">
        <f t="shared" ca="1" si="2"/>
        <v/>
      </c>
      <c r="U30" s="207" t="str">
        <f t="shared" ca="1" si="3"/>
        <v/>
      </c>
      <c r="V30" s="191" t="str">
        <f t="shared" ca="1" si="4"/>
        <v/>
      </c>
      <c r="W30" s="191" t="str">
        <f t="shared" ca="1" si="5"/>
        <v/>
      </c>
      <c r="X30" s="191" t="str">
        <f t="shared" ca="1" si="6"/>
        <v/>
      </c>
      <c r="Y30" t="str">
        <f t="shared" ca="1" si="7"/>
        <v/>
      </c>
      <c r="Z30" s="208" t="str">
        <f>IF($A30="","",IF(posicao_contratual!$AA29="","",posicao_contratual!$AA29))</f>
        <v/>
      </c>
      <c r="AA30" t="str">
        <f>IF($A30="","",IF(posicao_contratual!$AL29="","","C"&amp;posicao_contratual!$AL29))</f>
        <v/>
      </c>
      <c r="AB30" t="str">
        <f>IF($A30="","",IF(OR(MEMORIA_RESULTADOS!$W$46="",posicao_contratual!$AL29=""),"",IF(posicao_contratual!$AL29&lt;=MEMORIA_RESULTADOS!$W$46,"SIM","NAO APLICAVEL")))</f>
        <v/>
      </c>
      <c r="AC30" t="str">
        <f>IF($A30="","",IF(MEMORIA_RESULTADOS!$W$46="","",CHOOSE(MEMORIA_RESULTADOS!$W$46+1,posicao_contratual!$AG29,posicao_contratual!$AH29,posicao_contratual!$AI29,posicao_contratual!$AJ29,posicao_contratual!$AK29)))</f>
        <v/>
      </c>
    </row>
    <row r="31" spans="1:29" x14ac:dyDescent="0.35">
      <c r="A31" s="106" t="str">
        <f>IF(AND(itens_Remanesc!A30="",itens_Remanesc!A29&lt;&gt;"",COUNTIF(itens_Remanesc!A31:$A$200,"&lt;&gt;")=0),"TOTAL",IF(itens_Remanesc!A30="","",itens_Remanesc!A30))</f>
        <v/>
      </c>
      <c r="B31" s="107" t="str">
        <f>IF(OR(historico_VU!A30="",historico_VU!C30=""),"",historico_VU!C30)</f>
        <v/>
      </c>
      <c r="C31" s="108" t="str">
        <f>IF(posicao_contratual!A30="","",posicao_contratual!G30)</f>
        <v/>
      </c>
      <c r="D31" s="107" t="str">
        <f>IF(A31="TOTAL",ROUND(SUM($D$3:D30),2),IF(OR(A31="",B31="",C31=""),"",ROUND(B31*C31,2)))</f>
        <v/>
      </c>
      <c r="E31" s="109" t="str">
        <f>IF(OR(historico_VU!A30="",historico_VU!D30=""),"",historico_VU!D30)</f>
        <v/>
      </c>
      <c r="F31" s="110" t="str">
        <f>IF(posicao_contratual!A30="","",posicao_contratual!K30)</f>
        <v/>
      </c>
      <c r="G31" s="109" t="str">
        <f>IF(A31="TOTAL",ROUND(SUM($G$3:G30),2),IF(OR(A31="",E31="",F31=""),"",ROUND(E31*F31,2)))</f>
        <v/>
      </c>
      <c r="H31" s="107" t="str">
        <f>IF(OR(historico_VU!A30="",historico_VU!E30=""),"",historico_VU!E30)</f>
        <v/>
      </c>
      <c r="I31" s="108" t="str">
        <f>IF(posicao_contratual!A30="","",posicao_contratual!O30)</f>
        <v/>
      </c>
      <c r="J31" s="107" t="str">
        <f>IF(A31="TOTAL",ROUND(SUM($J$3:J30),2),IF(OR(A31="",H31="",I31=""),"",ROUND(H31*I31,2)))</f>
        <v/>
      </c>
      <c r="K31" s="109" t="str">
        <f>IF(OR(historico_VU!A30="",historico_VU!F30=""),"",historico_VU!F30)</f>
        <v/>
      </c>
      <c r="L31" s="110" t="str">
        <f>IF(posicao_contratual!A30="","",posicao_contratual!S30)</f>
        <v/>
      </c>
      <c r="M31" s="109" t="str">
        <f>IF(A31="TOTAL",ROUND(SUM($M$3:M30),2),IF(OR(A31="",K31="",L31=""),"",ROUND(K31*L31,2)))</f>
        <v/>
      </c>
      <c r="N31" s="107" t="str">
        <f>IF(OR(historico_VU!A30="",historico_VU!G30=""),"",historico_VU!G30)</f>
        <v/>
      </c>
      <c r="O31" s="108" t="str">
        <f>IF(posicao_contratual!A30="","",posicao_contratual!W30)</f>
        <v/>
      </c>
      <c r="P31" s="107" t="str">
        <f>IF(A31="TOTAL",ROUND(SUM($P$3:P30),2),IF(OR(A31="",N31="",O31=""),"",ROUND(N31*O31,2)))</f>
        <v/>
      </c>
      <c r="Q31" s="181" t="str">
        <f t="shared" ca="1" si="0"/>
        <v/>
      </c>
      <c r="R31" t="str">
        <f>IF($A31="","",IF(MEMORIA_RESULTADOS!$W$46="","","C"&amp;MEMORIA_RESULTADOS!$W$46))</f>
        <v/>
      </c>
      <c r="S31" s="207" t="str">
        <f t="shared" ca="1" si="1"/>
        <v/>
      </c>
      <c r="T31" s="207" t="str">
        <f t="shared" ca="1" si="2"/>
        <v/>
      </c>
      <c r="U31" s="207" t="str">
        <f t="shared" ca="1" si="3"/>
        <v/>
      </c>
      <c r="V31" s="191" t="str">
        <f t="shared" ca="1" si="4"/>
        <v/>
      </c>
      <c r="W31" s="191" t="str">
        <f t="shared" ca="1" si="5"/>
        <v/>
      </c>
      <c r="X31" s="191" t="str">
        <f t="shared" ca="1" si="6"/>
        <v/>
      </c>
      <c r="Y31" t="str">
        <f t="shared" ca="1" si="7"/>
        <v/>
      </c>
      <c r="Z31" s="208" t="str">
        <f>IF($A31="","",IF(posicao_contratual!$AA30="","",posicao_contratual!$AA30))</f>
        <v/>
      </c>
      <c r="AA31" t="str">
        <f>IF($A31="","",IF(posicao_contratual!$AL30="","","C"&amp;posicao_contratual!$AL30))</f>
        <v/>
      </c>
      <c r="AB31" t="str">
        <f>IF($A31="","",IF(OR(MEMORIA_RESULTADOS!$W$46="",posicao_contratual!$AL30=""),"",IF(posicao_contratual!$AL30&lt;=MEMORIA_RESULTADOS!$W$46,"SIM","NAO APLICAVEL")))</f>
        <v/>
      </c>
      <c r="AC31" t="str">
        <f>IF($A31="","",IF(MEMORIA_RESULTADOS!$W$46="","",CHOOSE(MEMORIA_RESULTADOS!$W$46+1,posicao_contratual!$AG30,posicao_contratual!$AH30,posicao_contratual!$AI30,posicao_contratual!$AJ30,posicao_contratual!$AK30)))</f>
        <v/>
      </c>
    </row>
    <row r="32" spans="1:29" x14ac:dyDescent="0.35">
      <c r="A32" s="106" t="str">
        <f>IF(AND(itens_Remanesc!A31="",itens_Remanesc!A30&lt;&gt;"",COUNTIF(itens_Remanesc!A32:$A$200,"&lt;&gt;")=0),"TOTAL",IF(itens_Remanesc!A31="","",itens_Remanesc!A31))</f>
        <v/>
      </c>
      <c r="B32" s="107" t="str">
        <f>IF(OR(historico_VU!A31="",historico_VU!C31=""),"",historico_VU!C31)</f>
        <v/>
      </c>
      <c r="C32" s="108" t="str">
        <f>IF(posicao_contratual!A31="","",posicao_contratual!G31)</f>
        <v/>
      </c>
      <c r="D32" s="107" t="str">
        <f>IF(A32="TOTAL",ROUND(SUM($D$3:D31),2),IF(OR(A32="",B32="",C32=""),"",ROUND(B32*C32,2)))</f>
        <v/>
      </c>
      <c r="E32" s="109" t="str">
        <f>IF(OR(historico_VU!A31="",historico_VU!D31=""),"",historico_VU!D31)</f>
        <v/>
      </c>
      <c r="F32" s="110" t="str">
        <f>IF(posicao_contratual!A31="","",posicao_contratual!K31)</f>
        <v/>
      </c>
      <c r="G32" s="109" t="str">
        <f>IF(A32="TOTAL",ROUND(SUM($G$3:G31),2),IF(OR(A32="",E32="",F32=""),"",ROUND(E32*F32,2)))</f>
        <v/>
      </c>
      <c r="H32" s="107" t="str">
        <f>IF(OR(historico_VU!A31="",historico_VU!E31=""),"",historico_VU!E31)</f>
        <v/>
      </c>
      <c r="I32" s="108" t="str">
        <f>IF(posicao_contratual!A31="","",posicao_contratual!O31)</f>
        <v/>
      </c>
      <c r="J32" s="107" t="str">
        <f>IF(A32="TOTAL",ROUND(SUM($J$3:J31),2),IF(OR(A32="",H32="",I32=""),"",ROUND(H32*I32,2)))</f>
        <v/>
      </c>
      <c r="K32" s="109" t="str">
        <f>IF(OR(historico_VU!A31="",historico_VU!F31=""),"",historico_VU!F31)</f>
        <v/>
      </c>
      <c r="L32" s="110" t="str">
        <f>IF(posicao_contratual!A31="","",posicao_contratual!S31)</f>
        <v/>
      </c>
      <c r="M32" s="109" t="str">
        <f>IF(A32="TOTAL",ROUND(SUM($M$3:M31),2),IF(OR(A32="",K32="",L32=""),"",ROUND(K32*L32,2)))</f>
        <v/>
      </c>
      <c r="N32" s="107" t="str">
        <f>IF(OR(historico_VU!A31="",historico_VU!G31=""),"",historico_VU!G31)</f>
        <v/>
      </c>
      <c r="O32" s="108" t="str">
        <f>IF(posicao_contratual!A31="","",posicao_contratual!W31)</f>
        <v/>
      </c>
      <c r="P32" s="107" t="str">
        <f>IF(A32="TOTAL",ROUND(SUM($P$3:P31),2),IF(OR(A32="",N32="",O32=""),"",ROUND(N32*O32,2)))</f>
        <v/>
      </c>
      <c r="Q32" s="181" t="str">
        <f t="shared" ca="1" si="0"/>
        <v/>
      </c>
      <c r="R32" t="str">
        <f>IF($A32="","",IF(MEMORIA_RESULTADOS!$W$46="","","C"&amp;MEMORIA_RESULTADOS!$W$46))</f>
        <v/>
      </c>
      <c r="S32" s="207" t="str">
        <f t="shared" ca="1" si="1"/>
        <v/>
      </c>
      <c r="T32" s="207" t="str">
        <f t="shared" ca="1" si="2"/>
        <v/>
      </c>
      <c r="U32" s="207" t="str">
        <f t="shared" ca="1" si="3"/>
        <v/>
      </c>
      <c r="V32" s="191" t="str">
        <f t="shared" ca="1" si="4"/>
        <v/>
      </c>
      <c r="W32" s="191" t="str">
        <f t="shared" ca="1" si="5"/>
        <v/>
      </c>
      <c r="X32" s="191" t="str">
        <f t="shared" ca="1" si="6"/>
        <v/>
      </c>
      <c r="Y32" t="str">
        <f t="shared" ca="1" si="7"/>
        <v/>
      </c>
      <c r="Z32" s="208" t="str">
        <f>IF($A32="","",IF(posicao_contratual!$AA31="","",posicao_contratual!$AA31))</f>
        <v/>
      </c>
      <c r="AA32" t="str">
        <f>IF($A32="","",IF(posicao_contratual!$AL31="","","C"&amp;posicao_contratual!$AL31))</f>
        <v/>
      </c>
      <c r="AB32" t="str">
        <f>IF($A32="","",IF(OR(MEMORIA_RESULTADOS!$W$46="",posicao_contratual!$AL31=""),"",IF(posicao_contratual!$AL31&lt;=MEMORIA_RESULTADOS!$W$46,"SIM","NAO APLICAVEL")))</f>
        <v/>
      </c>
      <c r="AC32" t="str">
        <f>IF($A32="","",IF(MEMORIA_RESULTADOS!$W$46="","",CHOOSE(MEMORIA_RESULTADOS!$W$46+1,posicao_contratual!$AG31,posicao_contratual!$AH31,posicao_contratual!$AI31,posicao_contratual!$AJ31,posicao_contratual!$AK31)))</f>
        <v/>
      </c>
    </row>
    <row r="33" spans="1:29" x14ac:dyDescent="0.35">
      <c r="A33" s="113" t="str">
        <f>IF(AND(itens_Remanesc!A32="",itens_Remanesc!A31&lt;&gt;"",COUNTIF(itens_Remanesc!A33:$A$200,"&lt;&gt;")=0),"TOTAL",IF(itens_Remanesc!A32="","",itens_Remanesc!A32))</f>
        <v/>
      </c>
      <c r="B33" s="107" t="str">
        <f>IF(OR(historico_VU!A32="",historico_VU!C32=""),"",historico_VU!C32)</f>
        <v/>
      </c>
      <c r="C33" s="108" t="str">
        <f>IF(posicao_contratual!A32="","",posicao_contratual!G32)</f>
        <v/>
      </c>
      <c r="D33" s="107" t="str">
        <f>IF(A33="TOTAL",ROUND(SUM($D$3:D32),2),IF(OR(A33="",B33="",C33=""),"",ROUND(B33*C33,2)))</f>
        <v/>
      </c>
      <c r="E33" s="109" t="str">
        <f>IF(OR(historico_VU!A32="",historico_VU!D32=""),"",historico_VU!D32)</f>
        <v/>
      </c>
      <c r="F33" s="110" t="str">
        <f>IF(posicao_contratual!A32="","",posicao_contratual!K32)</f>
        <v/>
      </c>
      <c r="G33" s="109" t="str">
        <f>IF(A33="TOTAL",ROUND(SUM($G$3:G32),2),IF(OR(A33="",E33="",F33=""),"",ROUND(E33*F33,2)))</f>
        <v/>
      </c>
      <c r="H33" s="107" t="str">
        <f>IF(OR(historico_VU!A32="",historico_VU!E32=""),"",historico_VU!E32)</f>
        <v/>
      </c>
      <c r="I33" s="108" t="str">
        <f>IF(posicao_contratual!A32="","",posicao_contratual!O32)</f>
        <v/>
      </c>
      <c r="J33" s="107" t="str">
        <f>IF(A33="TOTAL",ROUND(SUM($J$3:J32),2),IF(OR(A33="",H33="",I33=""),"",ROUND(H33*I33,2)))</f>
        <v/>
      </c>
      <c r="K33" s="109" t="str">
        <f>IF(OR(historico_VU!A32="",historico_VU!F32=""),"",historico_VU!F32)</f>
        <v/>
      </c>
      <c r="L33" s="110" t="str">
        <f>IF(posicao_contratual!A32="","",posicao_contratual!S32)</f>
        <v/>
      </c>
      <c r="M33" s="109" t="str">
        <f>IF(A33="TOTAL",ROUND(SUM($M$3:M32),2),IF(OR(A33="",K33="",L33=""),"",ROUND(K33*L33,2)))</f>
        <v/>
      </c>
      <c r="N33" s="107" t="str">
        <f>IF(OR(historico_VU!A32="",historico_VU!G32=""),"",historico_VU!G32)</f>
        <v/>
      </c>
      <c r="O33" s="108" t="str">
        <f>IF(posicao_contratual!A32="","",posicao_contratual!W32)</f>
        <v/>
      </c>
      <c r="P33" s="107" t="str">
        <f>IF(A33="TOTAL",ROUND(SUM($P$3:P32),2),IF(OR(A33="",N33="",O33=""),"",ROUND(N33*O33,2)))</f>
        <v/>
      </c>
      <c r="Q33" s="181" t="str">
        <f t="shared" ca="1" si="0"/>
        <v/>
      </c>
      <c r="R33" t="str">
        <f>IF($A33="","",IF(MEMORIA_RESULTADOS!$W$46="","","C"&amp;MEMORIA_RESULTADOS!$W$46))</f>
        <v/>
      </c>
      <c r="S33" s="207" t="str">
        <f t="shared" ca="1" si="1"/>
        <v/>
      </c>
      <c r="T33" s="207" t="str">
        <f t="shared" ca="1" si="2"/>
        <v/>
      </c>
      <c r="U33" s="207" t="str">
        <f t="shared" ca="1" si="3"/>
        <v/>
      </c>
      <c r="V33" s="191" t="str">
        <f t="shared" ca="1" si="4"/>
        <v/>
      </c>
      <c r="W33" s="191" t="str">
        <f t="shared" ca="1" si="5"/>
        <v/>
      </c>
      <c r="X33" s="191" t="str">
        <f t="shared" ca="1" si="6"/>
        <v/>
      </c>
      <c r="Y33" t="str">
        <f t="shared" ca="1" si="7"/>
        <v/>
      </c>
      <c r="Z33" s="208" t="str">
        <f>IF($A33="","",IF(posicao_contratual!$AA32="","",posicao_contratual!$AA32))</f>
        <v/>
      </c>
      <c r="AA33" t="str">
        <f>IF($A33="","",IF(posicao_contratual!$AL32="","","C"&amp;posicao_contratual!$AL32))</f>
        <v/>
      </c>
      <c r="AB33" t="str">
        <f>IF($A33="","",IF(OR(MEMORIA_RESULTADOS!$W$46="",posicao_contratual!$AL32=""),"",IF(posicao_contratual!$AL32&lt;=MEMORIA_RESULTADOS!$W$46,"SIM","NAO APLICAVEL")))</f>
        <v/>
      </c>
      <c r="AC33" t="str">
        <f>IF($A33="","",IF(MEMORIA_RESULTADOS!$W$46="","",CHOOSE(MEMORIA_RESULTADOS!$W$46+1,posicao_contratual!$AG32,posicao_contratual!$AH32,posicao_contratual!$AI32,posicao_contratual!$AJ32,posicao_contratual!$AK32)))</f>
        <v/>
      </c>
    </row>
    <row r="34" spans="1:29" x14ac:dyDescent="0.35">
      <c r="A34" s="106" t="str">
        <f>IF(AND(itens_Remanesc!A33="",itens_Remanesc!A32&lt;&gt;"",COUNTIF(itens_Remanesc!A34:$A$200,"&lt;&gt;")=0),"TOTAL",IF(itens_Remanesc!A33="","",itens_Remanesc!A33))</f>
        <v/>
      </c>
      <c r="B34" s="107" t="str">
        <f>IF(OR(historico_VU!A33="",historico_VU!C33=""),"",historico_VU!C33)</f>
        <v/>
      </c>
      <c r="C34" s="108" t="str">
        <f>IF(posicao_contratual!A33="","",posicao_contratual!G33)</f>
        <v/>
      </c>
      <c r="D34" s="107" t="str">
        <f>IF(A34="TOTAL",ROUND(SUM($D$3:D33),2),IF(OR(A34="",B34="",C34=""),"",ROUND(B34*C34,2)))</f>
        <v/>
      </c>
      <c r="E34" s="109" t="str">
        <f>IF(OR(historico_VU!A33="",historico_VU!D33=""),"",historico_VU!D33)</f>
        <v/>
      </c>
      <c r="F34" s="110" t="str">
        <f>IF(posicao_contratual!A33="","",posicao_contratual!K33)</f>
        <v/>
      </c>
      <c r="G34" s="109" t="str">
        <f>IF(A34="TOTAL",ROUND(SUM($G$3:G33),2),IF(OR(A34="",E34="",F34=""),"",ROUND(E34*F34,2)))</f>
        <v/>
      </c>
      <c r="H34" s="107" t="str">
        <f>IF(OR(historico_VU!A33="",historico_VU!E33=""),"",historico_VU!E33)</f>
        <v/>
      </c>
      <c r="I34" s="108" t="str">
        <f>IF(posicao_contratual!A33="","",posicao_contratual!O33)</f>
        <v/>
      </c>
      <c r="J34" s="107" t="str">
        <f>IF(A34="TOTAL",ROUND(SUM($J$3:J33),2),IF(OR(A34="",H34="",I34=""),"",ROUND(H34*I34,2)))</f>
        <v/>
      </c>
      <c r="K34" s="109" t="str">
        <f>IF(OR(historico_VU!A33="",historico_VU!F33=""),"",historico_VU!F33)</f>
        <v/>
      </c>
      <c r="L34" s="110" t="str">
        <f>IF(posicao_contratual!A33="","",posicao_contratual!S33)</f>
        <v/>
      </c>
      <c r="M34" s="109" t="str">
        <f>IF(A34="TOTAL",ROUND(SUM($M$3:M33),2),IF(OR(A34="",K34="",L34=""),"",ROUND(K34*L34,2)))</f>
        <v/>
      </c>
      <c r="N34" s="107" t="str">
        <f>IF(OR(historico_VU!A33="",historico_VU!G33=""),"",historico_VU!G33)</f>
        <v/>
      </c>
      <c r="O34" s="108" t="str">
        <f>IF(posicao_contratual!A33="","",posicao_contratual!W33)</f>
        <v/>
      </c>
      <c r="P34" s="107" t="str">
        <f>IF(A34="TOTAL",ROUND(SUM($P$3:P33),2),IF(OR(A34="",N34="",O34=""),"",ROUND(N34*O34,2)))</f>
        <v/>
      </c>
      <c r="Q34" s="181" t="str">
        <f t="shared" ca="1" si="0"/>
        <v/>
      </c>
      <c r="R34" t="str">
        <f>IF($A34="","",IF(MEMORIA_RESULTADOS!$W$46="","","C"&amp;MEMORIA_RESULTADOS!$W$46))</f>
        <v/>
      </c>
      <c r="S34" s="207" t="str">
        <f t="shared" ca="1" si="1"/>
        <v/>
      </c>
      <c r="T34" s="207" t="str">
        <f t="shared" ca="1" si="2"/>
        <v/>
      </c>
      <c r="U34" s="207" t="str">
        <f t="shared" ca="1" si="3"/>
        <v/>
      </c>
      <c r="V34" s="191" t="str">
        <f t="shared" ca="1" si="4"/>
        <v/>
      </c>
      <c r="W34" s="191" t="str">
        <f t="shared" ca="1" si="5"/>
        <v/>
      </c>
      <c r="X34" s="191" t="str">
        <f t="shared" ca="1" si="6"/>
        <v/>
      </c>
      <c r="Y34" t="str">
        <f t="shared" ca="1" si="7"/>
        <v/>
      </c>
      <c r="Z34" s="208" t="str">
        <f>IF($A34="","",IF(posicao_contratual!$AA33="","",posicao_contratual!$AA33))</f>
        <v/>
      </c>
      <c r="AA34" t="str">
        <f>IF($A34="","",IF(posicao_contratual!$AL33="","","C"&amp;posicao_contratual!$AL33))</f>
        <v/>
      </c>
      <c r="AB34" t="str">
        <f>IF($A34="","",IF(OR(MEMORIA_RESULTADOS!$W$46="",posicao_contratual!$AL33=""),"",IF(posicao_contratual!$AL33&lt;=MEMORIA_RESULTADOS!$W$46,"SIM","NAO APLICAVEL")))</f>
        <v/>
      </c>
      <c r="AC34" t="str">
        <f>IF($A34="","",IF(MEMORIA_RESULTADOS!$W$46="","",CHOOSE(MEMORIA_RESULTADOS!$W$46+1,posicao_contratual!$AG33,posicao_contratual!$AH33,posicao_contratual!$AI33,posicao_contratual!$AJ33,posicao_contratual!$AK33)))</f>
        <v/>
      </c>
    </row>
    <row r="35" spans="1:29" x14ac:dyDescent="0.35">
      <c r="A35" s="106" t="str">
        <f>IF(AND(itens_Remanesc!A34="",itens_Remanesc!A33&lt;&gt;"",COUNTIF(itens_Remanesc!A35:$A$200,"&lt;&gt;")=0),"TOTAL",IF(itens_Remanesc!A34="","",itens_Remanesc!A34))</f>
        <v/>
      </c>
      <c r="B35" s="107" t="str">
        <f>IF(OR(historico_VU!A34="",historico_VU!C34=""),"",historico_VU!C34)</f>
        <v/>
      </c>
      <c r="C35" s="108" t="str">
        <f>IF(posicao_contratual!A34="","",posicao_contratual!G34)</f>
        <v/>
      </c>
      <c r="D35" s="107" t="str">
        <f>IF(A35="TOTAL",ROUND(SUM($D$3:D34),2),IF(OR(A35="",B35="",C35=""),"",ROUND(B35*C35,2)))</f>
        <v/>
      </c>
      <c r="E35" s="109" t="str">
        <f>IF(OR(historico_VU!A34="",historico_VU!D34=""),"",historico_VU!D34)</f>
        <v/>
      </c>
      <c r="F35" s="110" t="str">
        <f>IF(posicao_contratual!A34="","",posicao_contratual!K34)</f>
        <v/>
      </c>
      <c r="G35" s="109" t="str">
        <f>IF(A35="TOTAL",ROUND(SUM($G$3:G34),2),IF(OR(A35="",E35="",F35=""),"",ROUND(E35*F35,2)))</f>
        <v/>
      </c>
      <c r="H35" s="107" t="str">
        <f>IF(OR(historico_VU!A34="",historico_VU!E34=""),"",historico_VU!E34)</f>
        <v/>
      </c>
      <c r="I35" s="108" t="str">
        <f>IF(posicao_contratual!A34="","",posicao_contratual!O34)</f>
        <v/>
      </c>
      <c r="J35" s="107" t="str">
        <f>IF(A35="TOTAL",ROUND(SUM($J$3:J34),2),IF(OR(A35="",H35="",I35=""),"",ROUND(H35*I35,2)))</f>
        <v/>
      </c>
      <c r="K35" s="109" t="str">
        <f>IF(OR(historico_VU!A34="",historico_VU!F34=""),"",historico_VU!F34)</f>
        <v/>
      </c>
      <c r="L35" s="110" t="str">
        <f>IF(posicao_contratual!A34="","",posicao_contratual!S34)</f>
        <v/>
      </c>
      <c r="M35" s="109" t="str">
        <f>IF(A35="TOTAL",ROUND(SUM($M$3:M34),2),IF(OR(A35="",K35="",L35=""),"",ROUND(K35*L35,2)))</f>
        <v/>
      </c>
      <c r="N35" s="107" t="str">
        <f>IF(OR(historico_VU!A34="",historico_VU!G34=""),"",historico_VU!G34)</f>
        <v/>
      </c>
      <c r="O35" s="108" t="str">
        <f>IF(posicao_contratual!A34="","",posicao_contratual!W34)</f>
        <v/>
      </c>
      <c r="P35" s="107" t="str">
        <f>IF(A35="TOTAL",ROUND(SUM($P$3:P34),2),IF(OR(A35="",N35="",O35=""),"",ROUND(N35*O35,2)))</f>
        <v/>
      </c>
      <c r="Q35" s="181" t="str">
        <f t="shared" ref="Q35:Q66" ca="1" si="8">IF($A35="","",IFERROR(IF(INDIRECT("CICLO_EM_EXECUCAO!$D$5")="","",INDIRECT("CICLO_EM_EXECUCAO!$D$5")),""))</f>
        <v/>
      </c>
      <c r="R35" t="str">
        <f>IF($A35="","",IF(MEMORIA_RESULTADOS!$W$46="","","C"&amp;MEMORIA_RESULTADOS!$W$46))</f>
        <v/>
      </c>
      <c r="S35" s="207" t="str">
        <f t="shared" ref="S35:S66" ca="1" si="9">IF($A35="","",IFERROR(IF(INDIRECT("CICLO_EM_EXECUCAO!B"&amp;(ROW()+10))="","",INDIRECT("CICLO_EM_EXECUCAO!B"&amp;(ROW()+10))),""))</f>
        <v/>
      </c>
      <c r="T35" s="207" t="str">
        <f t="shared" ref="T35:T66" ca="1" si="10">IF($A35="","",IFERROR(IF(INDIRECT("CICLO_EM_EXECUCAO!D"&amp;(ROW()+10))="","",INDIRECT("CICLO_EM_EXECUCAO!D"&amp;(ROW()+10))),""))</f>
        <v/>
      </c>
      <c r="U35" s="207" t="str">
        <f t="shared" ref="U35:U66" ca="1" si="11">IF($A35="","",IFERROR(IF(INDIRECT("CICLO_EM_EXECUCAO!C"&amp;(ROW()+10))="","",INDIRECT("CICLO_EM_EXECUCAO!C"&amp;(ROW()+10))),""))</f>
        <v/>
      </c>
      <c r="V35" s="191" t="str">
        <f t="shared" ref="V35:V66" ca="1" si="12">IF($A35="","",IFERROR(IF(INDIRECT("CICLO_EM_EXECUCAO!E"&amp;(ROW()+10))="","",INDIRECT("CICLO_EM_EXECUCAO!E"&amp;(ROW()+10))),""))</f>
        <v/>
      </c>
      <c r="W35" s="191" t="str">
        <f t="shared" ref="W35:W66" ca="1" si="13">IF($A35="","",IFERROR(IF(INDIRECT("CICLO_EM_EXECUCAO!F"&amp;(ROW()+10))="","",INDIRECT("CICLO_EM_EXECUCAO!F"&amp;(ROW()+10))),""))</f>
        <v/>
      </c>
      <c r="X35" s="191" t="str">
        <f t="shared" ref="X35:X66" ca="1" si="14">IF($A35="","",IFERROR(IF(INDIRECT("CICLO_EM_EXECUCAO!G"&amp;(ROW()+10))="","",INDIRECT("CICLO_EM_EXECUCAO!G"&amp;(ROW()+10))),""))</f>
        <v/>
      </c>
      <c r="Y35" t="str">
        <f t="shared" ref="Y35:Y66" ca="1" si="15">IF($A35="","",IFERROR(IF(INDIRECT("CICLO_EM_EXECUCAO!K"&amp;(ROW()+10))="","",INDIRECT("CICLO_EM_EXECUCAO!K"&amp;(ROW()+10))),"CICLO_EM_EXECUCAO AUSENTE"))</f>
        <v/>
      </c>
      <c r="Z35" s="208" t="str">
        <f>IF($A35="","",IF(posicao_contratual!$AA34="","",posicao_contratual!$AA34))</f>
        <v/>
      </c>
      <c r="AA35" t="str">
        <f>IF($A35="","",IF(posicao_contratual!$AL34="","","C"&amp;posicao_contratual!$AL34))</f>
        <v/>
      </c>
      <c r="AB35" t="str">
        <f>IF($A35="","",IF(OR(MEMORIA_RESULTADOS!$W$46="",posicao_contratual!$AL34=""),"",IF(posicao_contratual!$AL34&lt;=MEMORIA_RESULTADOS!$W$46,"SIM","NAO APLICAVEL")))</f>
        <v/>
      </c>
      <c r="AC35" t="str">
        <f>IF($A35="","",IF(MEMORIA_RESULTADOS!$W$46="","",CHOOSE(MEMORIA_RESULTADOS!$W$46+1,posicao_contratual!$AG34,posicao_contratual!$AH34,posicao_contratual!$AI34,posicao_contratual!$AJ34,posicao_contratual!$AK34)))</f>
        <v/>
      </c>
    </row>
    <row r="36" spans="1:29" x14ac:dyDescent="0.35">
      <c r="A36" s="106" t="str">
        <f>IF(AND(itens_Remanesc!A35="",itens_Remanesc!A34&lt;&gt;"",COUNTIF(itens_Remanesc!A36:$A$200,"&lt;&gt;")=0),"TOTAL",IF(itens_Remanesc!A35="","",itens_Remanesc!A35))</f>
        <v/>
      </c>
      <c r="B36" s="107" t="str">
        <f>IF(OR(historico_VU!A35="",historico_VU!C35=""),"",historico_VU!C35)</f>
        <v/>
      </c>
      <c r="C36" s="108" t="str">
        <f>IF(posicao_contratual!A35="","",posicao_contratual!G35)</f>
        <v/>
      </c>
      <c r="D36" s="107" t="str">
        <f>IF(A36="TOTAL",ROUND(SUM($D$3:D35),2),IF(OR(A36="",B36="",C36=""),"",ROUND(B36*C36,2)))</f>
        <v/>
      </c>
      <c r="E36" s="109" t="str">
        <f>IF(OR(historico_VU!A35="",historico_VU!D35=""),"",historico_VU!D35)</f>
        <v/>
      </c>
      <c r="F36" s="110" t="str">
        <f>IF(posicao_contratual!A35="","",posicao_contratual!K35)</f>
        <v/>
      </c>
      <c r="G36" s="109" t="str">
        <f>IF(A36="TOTAL",ROUND(SUM($G$3:G35),2),IF(OR(A36="",E36="",F36=""),"",ROUND(E36*F36,2)))</f>
        <v/>
      </c>
      <c r="H36" s="107" t="str">
        <f>IF(OR(historico_VU!A35="",historico_VU!E35=""),"",historico_VU!E35)</f>
        <v/>
      </c>
      <c r="I36" s="108" t="str">
        <f>IF(posicao_contratual!A35="","",posicao_contratual!O35)</f>
        <v/>
      </c>
      <c r="J36" s="107" t="str">
        <f>IF(A36="TOTAL",ROUND(SUM($J$3:J35),2),IF(OR(A36="",H36="",I36=""),"",ROUND(H36*I36,2)))</f>
        <v/>
      </c>
      <c r="K36" s="109" t="str">
        <f>IF(OR(historico_VU!A35="",historico_VU!F35=""),"",historico_VU!F35)</f>
        <v/>
      </c>
      <c r="L36" s="110" t="str">
        <f>IF(posicao_contratual!A35="","",posicao_contratual!S35)</f>
        <v/>
      </c>
      <c r="M36" s="109" t="str">
        <f>IF(A36="TOTAL",ROUND(SUM($M$3:M35),2),IF(OR(A36="",K36="",L36=""),"",ROUND(K36*L36,2)))</f>
        <v/>
      </c>
      <c r="N36" s="107" t="str">
        <f>IF(OR(historico_VU!A35="",historico_VU!G35=""),"",historico_VU!G35)</f>
        <v/>
      </c>
      <c r="O36" s="108" t="str">
        <f>IF(posicao_contratual!A35="","",posicao_contratual!W35)</f>
        <v/>
      </c>
      <c r="P36" s="107" t="str">
        <f>IF(A36="TOTAL",ROUND(SUM($P$3:P35),2),IF(OR(A36="",N36="",O36=""),"",ROUND(N36*O36,2)))</f>
        <v/>
      </c>
      <c r="Q36" s="181" t="str">
        <f t="shared" ca="1" si="8"/>
        <v/>
      </c>
      <c r="R36" t="str">
        <f>IF($A36="","",IF(MEMORIA_RESULTADOS!$W$46="","","C"&amp;MEMORIA_RESULTADOS!$W$46))</f>
        <v/>
      </c>
      <c r="S36" s="207" t="str">
        <f t="shared" ca="1" si="9"/>
        <v/>
      </c>
      <c r="T36" s="207" t="str">
        <f t="shared" ca="1" si="10"/>
        <v/>
      </c>
      <c r="U36" s="207" t="str">
        <f t="shared" ca="1" si="11"/>
        <v/>
      </c>
      <c r="V36" s="191" t="str">
        <f t="shared" ca="1" si="12"/>
        <v/>
      </c>
      <c r="W36" s="191" t="str">
        <f t="shared" ca="1" si="13"/>
        <v/>
      </c>
      <c r="X36" s="191" t="str">
        <f t="shared" ca="1" si="14"/>
        <v/>
      </c>
      <c r="Y36" t="str">
        <f t="shared" ca="1" si="15"/>
        <v/>
      </c>
      <c r="Z36" s="208" t="str">
        <f>IF($A36="","",IF(posicao_contratual!$AA35="","",posicao_contratual!$AA35))</f>
        <v/>
      </c>
      <c r="AA36" t="str">
        <f>IF($A36="","",IF(posicao_contratual!$AL35="","","C"&amp;posicao_contratual!$AL35))</f>
        <v/>
      </c>
      <c r="AB36" t="str">
        <f>IF($A36="","",IF(OR(MEMORIA_RESULTADOS!$W$46="",posicao_contratual!$AL35=""),"",IF(posicao_contratual!$AL35&lt;=MEMORIA_RESULTADOS!$W$46,"SIM","NAO APLICAVEL")))</f>
        <v/>
      </c>
      <c r="AC36" t="str">
        <f>IF($A36="","",IF(MEMORIA_RESULTADOS!$W$46="","",CHOOSE(MEMORIA_RESULTADOS!$W$46+1,posicao_contratual!$AG35,posicao_contratual!$AH35,posicao_contratual!$AI35,posicao_contratual!$AJ35,posicao_contratual!$AK35)))</f>
        <v/>
      </c>
    </row>
    <row r="37" spans="1:29" x14ac:dyDescent="0.35">
      <c r="A37" s="106" t="str">
        <f>IF(AND(itens_Remanesc!A36="",itens_Remanesc!A35&lt;&gt;"",COUNTIF(itens_Remanesc!A37:$A$200,"&lt;&gt;")=0),"TOTAL",IF(itens_Remanesc!A36="","",itens_Remanesc!A36))</f>
        <v/>
      </c>
      <c r="B37" s="107" t="str">
        <f>IF(OR(historico_VU!A36="",historico_VU!C36=""),"",historico_VU!C36)</f>
        <v/>
      </c>
      <c r="C37" s="108" t="str">
        <f>IF(posicao_contratual!A36="","",posicao_contratual!G36)</f>
        <v/>
      </c>
      <c r="D37" s="107" t="str">
        <f>IF(A37="TOTAL",ROUND(SUM($D$3:D36),2),IF(OR(A37="",B37="",C37=""),"",ROUND(B37*C37,2)))</f>
        <v/>
      </c>
      <c r="E37" s="109" t="str">
        <f>IF(OR(historico_VU!A36="",historico_VU!D36=""),"",historico_VU!D36)</f>
        <v/>
      </c>
      <c r="F37" s="110" t="str">
        <f>IF(posicao_contratual!A36="","",posicao_contratual!K36)</f>
        <v/>
      </c>
      <c r="G37" s="109" t="str">
        <f>IF(A37="TOTAL",ROUND(SUM($G$3:G36),2),IF(OR(A37="",E37="",F37=""),"",ROUND(E37*F37,2)))</f>
        <v/>
      </c>
      <c r="H37" s="107" t="str">
        <f>IF(OR(historico_VU!A36="",historico_VU!E36=""),"",historico_VU!E36)</f>
        <v/>
      </c>
      <c r="I37" s="108" t="str">
        <f>IF(posicao_contratual!A36="","",posicao_contratual!O36)</f>
        <v/>
      </c>
      <c r="J37" s="107" t="str">
        <f>IF(A37="TOTAL",ROUND(SUM($J$3:J36),2),IF(OR(A37="",H37="",I37=""),"",ROUND(H37*I37,2)))</f>
        <v/>
      </c>
      <c r="K37" s="109" t="str">
        <f>IF(OR(historico_VU!A36="",historico_VU!F36=""),"",historico_VU!F36)</f>
        <v/>
      </c>
      <c r="L37" s="110" t="str">
        <f>IF(posicao_contratual!A36="","",posicao_contratual!S36)</f>
        <v/>
      </c>
      <c r="M37" s="109" t="str">
        <f>IF(A37="TOTAL",ROUND(SUM($M$3:M36),2),IF(OR(A37="",K37="",L37=""),"",ROUND(K37*L37,2)))</f>
        <v/>
      </c>
      <c r="N37" s="107" t="str">
        <f>IF(OR(historico_VU!A36="",historico_VU!G36=""),"",historico_VU!G36)</f>
        <v/>
      </c>
      <c r="O37" s="108" t="str">
        <f>IF(posicao_contratual!A36="","",posicao_contratual!W36)</f>
        <v/>
      </c>
      <c r="P37" s="107" t="str">
        <f>IF(A37="TOTAL",ROUND(SUM($P$3:P36),2),IF(OR(A37="",N37="",O37=""),"",ROUND(N37*O37,2)))</f>
        <v/>
      </c>
      <c r="Q37" s="181" t="str">
        <f t="shared" ca="1" si="8"/>
        <v/>
      </c>
      <c r="R37" t="str">
        <f>IF($A37="","",IF(MEMORIA_RESULTADOS!$W$46="","","C"&amp;MEMORIA_RESULTADOS!$W$46))</f>
        <v/>
      </c>
      <c r="S37" s="207" t="str">
        <f t="shared" ca="1" si="9"/>
        <v/>
      </c>
      <c r="T37" s="207" t="str">
        <f t="shared" ca="1" si="10"/>
        <v/>
      </c>
      <c r="U37" s="207" t="str">
        <f t="shared" ca="1" si="11"/>
        <v/>
      </c>
      <c r="V37" s="191" t="str">
        <f t="shared" ca="1" si="12"/>
        <v/>
      </c>
      <c r="W37" s="191" t="str">
        <f t="shared" ca="1" si="13"/>
        <v/>
      </c>
      <c r="X37" s="191" t="str">
        <f t="shared" ca="1" si="14"/>
        <v/>
      </c>
      <c r="Y37" t="str">
        <f t="shared" ca="1" si="15"/>
        <v/>
      </c>
      <c r="Z37" s="208" t="str">
        <f>IF($A37="","",IF(posicao_contratual!$AA36="","",posicao_contratual!$AA36))</f>
        <v/>
      </c>
      <c r="AA37" t="str">
        <f>IF($A37="","",IF(posicao_contratual!$AL36="","","C"&amp;posicao_contratual!$AL36))</f>
        <v/>
      </c>
      <c r="AB37" t="str">
        <f>IF($A37="","",IF(OR(MEMORIA_RESULTADOS!$W$46="",posicao_contratual!$AL36=""),"",IF(posicao_contratual!$AL36&lt;=MEMORIA_RESULTADOS!$W$46,"SIM","NAO APLICAVEL")))</f>
        <v/>
      </c>
      <c r="AC37" t="str">
        <f>IF($A37="","",IF(MEMORIA_RESULTADOS!$W$46="","",CHOOSE(MEMORIA_RESULTADOS!$W$46+1,posicao_contratual!$AG36,posicao_contratual!$AH36,posicao_contratual!$AI36,posicao_contratual!$AJ36,posicao_contratual!$AK36)))</f>
        <v/>
      </c>
    </row>
    <row r="38" spans="1:29" x14ac:dyDescent="0.35">
      <c r="A38" s="106" t="str">
        <f>IF(AND(itens_Remanesc!A37="",itens_Remanesc!A36&lt;&gt;"",COUNTIF(itens_Remanesc!A38:$A$200,"&lt;&gt;")=0),"TOTAL",IF(itens_Remanesc!A37="","",itens_Remanesc!A37))</f>
        <v/>
      </c>
      <c r="B38" s="107" t="str">
        <f>IF(OR(historico_VU!A37="",historico_VU!C37=""),"",historico_VU!C37)</f>
        <v/>
      </c>
      <c r="C38" s="108" t="str">
        <f>IF(posicao_contratual!A37="","",posicao_contratual!G37)</f>
        <v/>
      </c>
      <c r="D38" s="107" t="str">
        <f>IF(A38="TOTAL",ROUND(SUM($D$3:D37),2),IF(OR(A38="",B38="",C38=""),"",ROUND(B38*C38,2)))</f>
        <v/>
      </c>
      <c r="E38" s="109" t="str">
        <f>IF(OR(historico_VU!A37="",historico_VU!D37=""),"",historico_VU!D37)</f>
        <v/>
      </c>
      <c r="F38" s="110" t="str">
        <f>IF(posicao_contratual!A37="","",posicao_contratual!K37)</f>
        <v/>
      </c>
      <c r="G38" s="109" t="str">
        <f>IF(A38="TOTAL",ROUND(SUM($G$3:G37),2),IF(OR(A38="",E38="",F38=""),"",ROUND(E38*F38,2)))</f>
        <v/>
      </c>
      <c r="H38" s="107" t="str">
        <f>IF(OR(historico_VU!A37="",historico_VU!E37=""),"",historico_VU!E37)</f>
        <v/>
      </c>
      <c r="I38" s="108" t="str">
        <f>IF(posicao_contratual!A37="","",posicao_contratual!O37)</f>
        <v/>
      </c>
      <c r="J38" s="107" t="str">
        <f>IF(A38="TOTAL",ROUND(SUM($J$3:J37),2),IF(OR(A38="",H38="",I38=""),"",ROUND(H38*I38,2)))</f>
        <v/>
      </c>
      <c r="K38" s="109" t="str">
        <f>IF(OR(historico_VU!A37="",historico_VU!F37=""),"",historico_VU!F37)</f>
        <v/>
      </c>
      <c r="L38" s="110" t="str">
        <f>IF(posicao_contratual!A37="","",posicao_contratual!S37)</f>
        <v/>
      </c>
      <c r="M38" s="109" t="str">
        <f>IF(A38="TOTAL",ROUND(SUM($M$3:M37),2),IF(OR(A38="",K38="",L38=""),"",ROUND(K38*L38,2)))</f>
        <v/>
      </c>
      <c r="N38" s="107" t="str">
        <f>IF(OR(historico_VU!A37="",historico_VU!G37=""),"",historico_VU!G37)</f>
        <v/>
      </c>
      <c r="O38" s="108" t="str">
        <f>IF(posicao_contratual!A37="","",posicao_contratual!W37)</f>
        <v/>
      </c>
      <c r="P38" s="107" t="str">
        <f>IF(A38="TOTAL",ROUND(SUM($P$3:P37),2),IF(OR(A38="",N38="",O38=""),"",ROUND(N38*O38,2)))</f>
        <v/>
      </c>
      <c r="Q38" s="181" t="str">
        <f t="shared" ca="1" si="8"/>
        <v/>
      </c>
      <c r="R38" t="str">
        <f>IF($A38="","",IF(MEMORIA_RESULTADOS!$W$46="","","C"&amp;MEMORIA_RESULTADOS!$W$46))</f>
        <v/>
      </c>
      <c r="S38" s="207" t="str">
        <f t="shared" ca="1" si="9"/>
        <v/>
      </c>
      <c r="T38" s="207" t="str">
        <f t="shared" ca="1" si="10"/>
        <v/>
      </c>
      <c r="U38" s="207" t="str">
        <f t="shared" ca="1" si="11"/>
        <v/>
      </c>
      <c r="V38" s="191" t="str">
        <f t="shared" ca="1" si="12"/>
        <v/>
      </c>
      <c r="W38" s="191" t="str">
        <f t="shared" ca="1" si="13"/>
        <v/>
      </c>
      <c r="X38" s="191" t="str">
        <f t="shared" ca="1" si="14"/>
        <v/>
      </c>
      <c r="Y38" t="str">
        <f t="shared" ca="1" si="15"/>
        <v/>
      </c>
      <c r="Z38" s="208" t="str">
        <f>IF($A38="","",IF(posicao_contratual!$AA37="","",posicao_contratual!$AA37))</f>
        <v/>
      </c>
      <c r="AA38" t="str">
        <f>IF($A38="","",IF(posicao_contratual!$AL37="","","C"&amp;posicao_contratual!$AL37))</f>
        <v/>
      </c>
      <c r="AB38" t="str">
        <f>IF($A38="","",IF(OR(MEMORIA_RESULTADOS!$W$46="",posicao_contratual!$AL37=""),"",IF(posicao_contratual!$AL37&lt;=MEMORIA_RESULTADOS!$W$46,"SIM","NAO APLICAVEL")))</f>
        <v/>
      </c>
      <c r="AC38" t="str">
        <f>IF($A38="","",IF(MEMORIA_RESULTADOS!$W$46="","",CHOOSE(MEMORIA_RESULTADOS!$W$46+1,posicao_contratual!$AG37,posicao_contratual!$AH37,posicao_contratual!$AI37,posicao_contratual!$AJ37,posicao_contratual!$AK37)))</f>
        <v/>
      </c>
    </row>
    <row r="39" spans="1:29" x14ac:dyDescent="0.35">
      <c r="A39" s="106" t="str">
        <f>IF(AND(itens_Remanesc!A38="",itens_Remanesc!A37&lt;&gt;"",COUNTIF(itens_Remanesc!A39:$A$200,"&lt;&gt;")=0),"TOTAL",IF(itens_Remanesc!A38="","",itens_Remanesc!A38))</f>
        <v/>
      </c>
      <c r="B39" s="107" t="str">
        <f>IF(OR(historico_VU!A38="",historico_VU!C38=""),"",historico_VU!C38)</f>
        <v/>
      </c>
      <c r="C39" s="108" t="str">
        <f>IF(posicao_contratual!A38="","",posicao_contratual!G38)</f>
        <v/>
      </c>
      <c r="D39" s="107" t="str">
        <f>IF(A39="TOTAL",ROUND(SUM($D$3:D38),2),IF(OR(A39="",B39="",C39=""),"",ROUND(B39*C39,2)))</f>
        <v/>
      </c>
      <c r="E39" s="109" t="str">
        <f>IF(OR(historico_VU!A38="",historico_VU!D38=""),"",historico_VU!D38)</f>
        <v/>
      </c>
      <c r="F39" s="110" t="str">
        <f>IF(posicao_contratual!A38="","",posicao_contratual!K38)</f>
        <v/>
      </c>
      <c r="G39" s="109" t="str">
        <f>IF(A39="TOTAL",ROUND(SUM($G$3:G38),2),IF(OR(A39="",E39="",F39=""),"",ROUND(E39*F39,2)))</f>
        <v/>
      </c>
      <c r="H39" s="107" t="str">
        <f>IF(OR(historico_VU!A38="",historico_VU!E38=""),"",historico_VU!E38)</f>
        <v/>
      </c>
      <c r="I39" s="108" t="str">
        <f>IF(posicao_contratual!A38="","",posicao_contratual!O38)</f>
        <v/>
      </c>
      <c r="J39" s="107" t="str">
        <f>IF(A39="TOTAL",ROUND(SUM($J$3:J38),2),IF(OR(A39="",H39="",I39=""),"",ROUND(H39*I39,2)))</f>
        <v/>
      </c>
      <c r="K39" s="109" t="str">
        <f>IF(OR(historico_VU!A38="",historico_VU!F38=""),"",historico_VU!F38)</f>
        <v/>
      </c>
      <c r="L39" s="110" t="str">
        <f>IF(posicao_contratual!A38="","",posicao_contratual!S38)</f>
        <v/>
      </c>
      <c r="M39" s="109" t="str">
        <f>IF(A39="TOTAL",ROUND(SUM($M$3:M38),2),IF(OR(A39="",K39="",L39=""),"",ROUND(K39*L39,2)))</f>
        <v/>
      </c>
      <c r="N39" s="107" t="str">
        <f>IF(OR(historico_VU!A38="",historico_VU!G38=""),"",historico_VU!G38)</f>
        <v/>
      </c>
      <c r="O39" s="108" t="str">
        <f>IF(posicao_contratual!A38="","",posicao_contratual!W38)</f>
        <v/>
      </c>
      <c r="P39" s="107" t="str">
        <f>IF(A39="TOTAL",ROUND(SUM($P$3:P38),2),IF(OR(A39="",N39="",O39=""),"",ROUND(N39*O39,2)))</f>
        <v/>
      </c>
      <c r="Q39" s="181" t="str">
        <f t="shared" ca="1" si="8"/>
        <v/>
      </c>
      <c r="R39" t="str">
        <f>IF($A39="","",IF(MEMORIA_RESULTADOS!$W$46="","","C"&amp;MEMORIA_RESULTADOS!$W$46))</f>
        <v/>
      </c>
      <c r="S39" s="207" t="str">
        <f t="shared" ca="1" si="9"/>
        <v/>
      </c>
      <c r="T39" s="207" t="str">
        <f t="shared" ca="1" si="10"/>
        <v/>
      </c>
      <c r="U39" s="207" t="str">
        <f t="shared" ca="1" si="11"/>
        <v/>
      </c>
      <c r="V39" s="191" t="str">
        <f t="shared" ca="1" si="12"/>
        <v/>
      </c>
      <c r="W39" s="191" t="str">
        <f t="shared" ca="1" si="13"/>
        <v/>
      </c>
      <c r="X39" s="191" t="str">
        <f t="shared" ca="1" si="14"/>
        <v/>
      </c>
      <c r="Y39" t="str">
        <f t="shared" ca="1" si="15"/>
        <v/>
      </c>
      <c r="Z39" s="208" t="str">
        <f>IF($A39="","",IF(posicao_contratual!$AA38="","",posicao_contratual!$AA38))</f>
        <v/>
      </c>
      <c r="AA39" t="str">
        <f>IF($A39="","",IF(posicao_contratual!$AL38="","","C"&amp;posicao_contratual!$AL38))</f>
        <v/>
      </c>
      <c r="AB39" t="str">
        <f>IF($A39="","",IF(OR(MEMORIA_RESULTADOS!$W$46="",posicao_contratual!$AL38=""),"",IF(posicao_contratual!$AL38&lt;=MEMORIA_RESULTADOS!$W$46,"SIM","NAO APLICAVEL")))</f>
        <v/>
      </c>
      <c r="AC39" t="str">
        <f>IF($A39="","",IF(MEMORIA_RESULTADOS!$W$46="","",CHOOSE(MEMORIA_RESULTADOS!$W$46+1,posicao_contratual!$AG38,posicao_contratual!$AH38,posicao_contratual!$AI38,posicao_contratual!$AJ38,posicao_contratual!$AK38)))</f>
        <v/>
      </c>
    </row>
    <row r="40" spans="1:29" x14ac:dyDescent="0.35">
      <c r="A40" s="106" t="str">
        <f>IF(AND(itens_Remanesc!A39="",itens_Remanesc!A38&lt;&gt;"",COUNTIF(itens_Remanesc!A40:$A$200,"&lt;&gt;")=0),"TOTAL",IF(itens_Remanesc!A39="","",itens_Remanesc!A39))</f>
        <v/>
      </c>
      <c r="B40" s="107" t="str">
        <f>IF(OR(historico_VU!A39="",historico_VU!C39=""),"",historico_VU!C39)</f>
        <v/>
      </c>
      <c r="C40" s="108" t="str">
        <f>IF(posicao_contratual!A39="","",posicao_contratual!G39)</f>
        <v/>
      </c>
      <c r="D40" s="107" t="str">
        <f>IF(A40="TOTAL",ROUND(SUM($D$3:D39),2),IF(OR(A40="",B40="",C40=""),"",ROUND(B40*C40,2)))</f>
        <v/>
      </c>
      <c r="E40" s="109" t="str">
        <f>IF(OR(historico_VU!A39="",historico_VU!D39=""),"",historico_VU!D39)</f>
        <v/>
      </c>
      <c r="F40" s="110" t="str">
        <f>IF(posicao_contratual!A39="","",posicao_contratual!K39)</f>
        <v/>
      </c>
      <c r="G40" s="109" t="str">
        <f>IF(A40="TOTAL",ROUND(SUM($G$3:G39),2),IF(OR(A40="",E40="",F40=""),"",ROUND(E40*F40,2)))</f>
        <v/>
      </c>
      <c r="H40" s="107" t="str">
        <f>IF(OR(historico_VU!A39="",historico_VU!E39=""),"",historico_VU!E39)</f>
        <v/>
      </c>
      <c r="I40" s="108" t="str">
        <f>IF(posicao_contratual!A39="","",posicao_contratual!O39)</f>
        <v/>
      </c>
      <c r="J40" s="107" t="str">
        <f>IF(A40="TOTAL",ROUND(SUM($J$3:J39),2),IF(OR(A40="",H40="",I40=""),"",ROUND(H40*I40,2)))</f>
        <v/>
      </c>
      <c r="K40" s="109" t="str">
        <f>IF(OR(historico_VU!A39="",historico_VU!F39=""),"",historico_VU!F39)</f>
        <v/>
      </c>
      <c r="L40" s="110" t="str">
        <f>IF(posicao_contratual!A39="","",posicao_contratual!S39)</f>
        <v/>
      </c>
      <c r="M40" s="109" t="str">
        <f>IF(A40="TOTAL",ROUND(SUM($M$3:M39),2),IF(OR(A40="",K40="",L40=""),"",ROUND(K40*L40,2)))</f>
        <v/>
      </c>
      <c r="N40" s="107" t="str">
        <f>IF(OR(historico_VU!A39="",historico_VU!G39=""),"",historico_VU!G39)</f>
        <v/>
      </c>
      <c r="O40" s="108" t="str">
        <f>IF(posicao_contratual!A39="","",posicao_contratual!W39)</f>
        <v/>
      </c>
      <c r="P40" s="107" t="str">
        <f>IF(A40="TOTAL",ROUND(SUM($P$3:P39),2),IF(OR(A40="",N40="",O40=""),"",ROUND(N40*O40,2)))</f>
        <v/>
      </c>
      <c r="Q40" s="181" t="str">
        <f t="shared" ca="1" si="8"/>
        <v/>
      </c>
      <c r="R40" t="str">
        <f>IF($A40="","",IF(MEMORIA_RESULTADOS!$W$46="","","C"&amp;MEMORIA_RESULTADOS!$W$46))</f>
        <v/>
      </c>
      <c r="S40" s="207" t="str">
        <f t="shared" ca="1" si="9"/>
        <v/>
      </c>
      <c r="T40" s="207" t="str">
        <f t="shared" ca="1" si="10"/>
        <v/>
      </c>
      <c r="U40" s="207" t="str">
        <f t="shared" ca="1" si="11"/>
        <v/>
      </c>
      <c r="V40" s="191" t="str">
        <f t="shared" ca="1" si="12"/>
        <v/>
      </c>
      <c r="W40" s="191" t="str">
        <f t="shared" ca="1" si="13"/>
        <v/>
      </c>
      <c r="X40" s="191" t="str">
        <f t="shared" ca="1" si="14"/>
        <v/>
      </c>
      <c r="Y40" t="str">
        <f t="shared" ca="1" si="15"/>
        <v/>
      </c>
      <c r="Z40" s="208" t="str">
        <f>IF($A40="","",IF(posicao_contratual!$AA39="","",posicao_contratual!$AA39))</f>
        <v/>
      </c>
      <c r="AA40" t="str">
        <f>IF($A40="","",IF(posicao_contratual!$AL39="","","C"&amp;posicao_contratual!$AL39))</f>
        <v/>
      </c>
      <c r="AB40" t="str">
        <f>IF($A40="","",IF(OR(MEMORIA_RESULTADOS!$W$46="",posicao_contratual!$AL39=""),"",IF(posicao_contratual!$AL39&lt;=MEMORIA_RESULTADOS!$W$46,"SIM","NAO APLICAVEL")))</f>
        <v/>
      </c>
      <c r="AC40" t="str">
        <f>IF($A40="","",IF(MEMORIA_RESULTADOS!$W$46="","",CHOOSE(MEMORIA_RESULTADOS!$W$46+1,posicao_contratual!$AG39,posicao_contratual!$AH39,posicao_contratual!$AI39,posicao_contratual!$AJ39,posicao_contratual!$AK39)))</f>
        <v/>
      </c>
    </row>
    <row r="41" spans="1:29" x14ac:dyDescent="0.35">
      <c r="A41" s="106" t="str">
        <f>IF(AND(itens_Remanesc!A40="",itens_Remanesc!A39&lt;&gt;"",COUNTIF(itens_Remanesc!A41:$A$200,"&lt;&gt;")=0),"TOTAL",IF(itens_Remanesc!A40="","",itens_Remanesc!A40))</f>
        <v/>
      </c>
      <c r="B41" s="107" t="str">
        <f>IF(OR(historico_VU!A40="",historico_VU!C40=""),"",historico_VU!C40)</f>
        <v/>
      </c>
      <c r="C41" s="108" t="str">
        <f>IF(posicao_contratual!A40="","",posicao_contratual!G40)</f>
        <v/>
      </c>
      <c r="D41" s="107" t="str">
        <f>IF(A41="TOTAL",ROUND(SUM($D$3:D40),2),IF(OR(A41="",B41="",C41=""),"",ROUND(B41*C41,2)))</f>
        <v/>
      </c>
      <c r="E41" s="109" t="str">
        <f>IF(OR(historico_VU!A40="",historico_VU!D40=""),"",historico_VU!D40)</f>
        <v/>
      </c>
      <c r="F41" s="110" t="str">
        <f>IF(posicao_contratual!A40="","",posicao_contratual!K40)</f>
        <v/>
      </c>
      <c r="G41" s="109" t="str">
        <f>IF(A41="TOTAL",ROUND(SUM($G$3:G40),2),IF(OR(A41="",E41="",F41=""),"",ROUND(E41*F41,2)))</f>
        <v/>
      </c>
      <c r="H41" s="107" t="str">
        <f>IF(OR(historico_VU!A40="",historico_VU!E40=""),"",historico_VU!E40)</f>
        <v/>
      </c>
      <c r="I41" s="108" t="str">
        <f>IF(posicao_contratual!A40="","",posicao_contratual!O40)</f>
        <v/>
      </c>
      <c r="J41" s="107" t="str">
        <f>IF(A41="TOTAL",ROUND(SUM($J$3:J40),2),IF(OR(A41="",H41="",I41=""),"",ROUND(H41*I41,2)))</f>
        <v/>
      </c>
      <c r="K41" s="109" t="str">
        <f>IF(OR(historico_VU!A40="",historico_VU!F40=""),"",historico_VU!F40)</f>
        <v/>
      </c>
      <c r="L41" s="110" t="str">
        <f>IF(posicao_contratual!A40="","",posicao_contratual!S40)</f>
        <v/>
      </c>
      <c r="M41" s="109" t="str">
        <f>IF(A41="TOTAL",ROUND(SUM($M$3:M40),2),IF(OR(A41="",K41="",L41=""),"",ROUND(K41*L41,2)))</f>
        <v/>
      </c>
      <c r="N41" s="107" t="str">
        <f>IF(OR(historico_VU!A40="",historico_VU!G40=""),"",historico_VU!G40)</f>
        <v/>
      </c>
      <c r="O41" s="108" t="str">
        <f>IF(posicao_contratual!A40="","",posicao_contratual!W40)</f>
        <v/>
      </c>
      <c r="P41" s="107" t="str">
        <f>IF(A41="TOTAL",ROUND(SUM($P$3:P40),2),IF(OR(A41="",N41="",O41=""),"",ROUND(N41*O41,2)))</f>
        <v/>
      </c>
      <c r="Q41" s="181" t="str">
        <f t="shared" ca="1" si="8"/>
        <v/>
      </c>
      <c r="R41" t="str">
        <f>IF($A41="","",IF(MEMORIA_RESULTADOS!$W$46="","","C"&amp;MEMORIA_RESULTADOS!$W$46))</f>
        <v/>
      </c>
      <c r="S41" s="207" t="str">
        <f t="shared" ca="1" si="9"/>
        <v/>
      </c>
      <c r="T41" s="207" t="str">
        <f t="shared" ca="1" si="10"/>
        <v/>
      </c>
      <c r="U41" s="207" t="str">
        <f t="shared" ca="1" si="11"/>
        <v/>
      </c>
      <c r="V41" s="191" t="str">
        <f t="shared" ca="1" si="12"/>
        <v/>
      </c>
      <c r="W41" s="191" t="str">
        <f t="shared" ca="1" si="13"/>
        <v/>
      </c>
      <c r="X41" s="191" t="str">
        <f t="shared" ca="1" si="14"/>
        <v/>
      </c>
      <c r="Y41" t="str">
        <f t="shared" ca="1" si="15"/>
        <v/>
      </c>
      <c r="Z41" s="208" t="str">
        <f>IF($A41="","",IF(posicao_contratual!$AA40="","",posicao_contratual!$AA40))</f>
        <v/>
      </c>
      <c r="AA41" t="str">
        <f>IF($A41="","",IF(posicao_contratual!$AL40="","","C"&amp;posicao_contratual!$AL40))</f>
        <v/>
      </c>
      <c r="AB41" t="str">
        <f>IF($A41="","",IF(OR(MEMORIA_RESULTADOS!$W$46="",posicao_contratual!$AL40=""),"",IF(posicao_contratual!$AL40&lt;=MEMORIA_RESULTADOS!$W$46,"SIM","NAO APLICAVEL")))</f>
        <v/>
      </c>
      <c r="AC41" t="str">
        <f>IF($A41="","",IF(MEMORIA_RESULTADOS!$W$46="","",CHOOSE(MEMORIA_RESULTADOS!$W$46+1,posicao_contratual!$AG40,posicao_contratual!$AH40,posicao_contratual!$AI40,posicao_contratual!$AJ40,posicao_contratual!$AK40)))</f>
        <v/>
      </c>
    </row>
    <row r="42" spans="1:29" x14ac:dyDescent="0.35">
      <c r="A42" s="106" t="str">
        <f>IF(AND(itens_Remanesc!A41="",itens_Remanesc!A40&lt;&gt;"",COUNTIF(itens_Remanesc!A42:$A$200,"&lt;&gt;")=0),"TOTAL",IF(itens_Remanesc!A41="","",itens_Remanesc!A41))</f>
        <v/>
      </c>
      <c r="B42" s="107" t="str">
        <f>IF(OR(historico_VU!A41="",historico_VU!C41=""),"",historico_VU!C41)</f>
        <v/>
      </c>
      <c r="C42" s="108" t="str">
        <f>IF(posicao_contratual!A41="","",posicao_contratual!G41)</f>
        <v/>
      </c>
      <c r="D42" s="107" t="str">
        <f>IF(A42="TOTAL",ROUND(SUM($D$3:D41),2),IF(OR(A42="",B42="",C42=""),"",ROUND(B42*C42,2)))</f>
        <v/>
      </c>
      <c r="E42" s="109" t="str">
        <f>IF(OR(historico_VU!A41="",historico_VU!D41=""),"",historico_VU!D41)</f>
        <v/>
      </c>
      <c r="F42" s="110" t="str">
        <f>IF(posicao_contratual!A41="","",posicao_contratual!K41)</f>
        <v/>
      </c>
      <c r="G42" s="109" t="str">
        <f>IF(A42="TOTAL",ROUND(SUM($G$3:G41),2),IF(OR(A42="",E42="",F42=""),"",ROUND(E42*F42,2)))</f>
        <v/>
      </c>
      <c r="H42" s="107" t="str">
        <f>IF(OR(historico_VU!A41="",historico_VU!E41=""),"",historico_VU!E41)</f>
        <v/>
      </c>
      <c r="I42" s="108" t="str">
        <f>IF(posicao_contratual!A41="","",posicao_contratual!O41)</f>
        <v/>
      </c>
      <c r="J42" s="107" t="str">
        <f>IF(A42="TOTAL",ROUND(SUM($J$3:J41),2),IF(OR(A42="",H42="",I42=""),"",ROUND(H42*I42,2)))</f>
        <v/>
      </c>
      <c r="K42" s="109" t="str">
        <f>IF(OR(historico_VU!A41="",historico_VU!F41=""),"",historico_VU!F41)</f>
        <v/>
      </c>
      <c r="L42" s="110" t="str">
        <f>IF(posicao_contratual!A41="","",posicao_contratual!S41)</f>
        <v/>
      </c>
      <c r="M42" s="109" t="str">
        <f>IF(A42="TOTAL",ROUND(SUM($M$3:M41),2),IF(OR(A42="",K42="",L42=""),"",ROUND(K42*L42,2)))</f>
        <v/>
      </c>
      <c r="N42" s="107" t="str">
        <f>IF(OR(historico_VU!A41="",historico_VU!G41=""),"",historico_VU!G41)</f>
        <v/>
      </c>
      <c r="O42" s="108" t="str">
        <f>IF(posicao_contratual!A41="","",posicao_contratual!W41)</f>
        <v/>
      </c>
      <c r="P42" s="107" t="str">
        <f>IF(A42="TOTAL",ROUND(SUM($P$3:P41),2),IF(OR(A42="",N42="",O42=""),"",ROUND(N42*O42,2)))</f>
        <v/>
      </c>
      <c r="Q42" s="181" t="str">
        <f t="shared" ca="1" si="8"/>
        <v/>
      </c>
      <c r="R42" t="str">
        <f>IF($A42="","",IF(MEMORIA_RESULTADOS!$W$46="","","C"&amp;MEMORIA_RESULTADOS!$W$46))</f>
        <v/>
      </c>
      <c r="S42" s="207" t="str">
        <f t="shared" ca="1" si="9"/>
        <v/>
      </c>
      <c r="T42" s="207" t="str">
        <f t="shared" ca="1" si="10"/>
        <v/>
      </c>
      <c r="U42" s="207" t="str">
        <f t="shared" ca="1" si="11"/>
        <v/>
      </c>
      <c r="V42" s="191" t="str">
        <f t="shared" ca="1" si="12"/>
        <v/>
      </c>
      <c r="W42" s="191" t="str">
        <f t="shared" ca="1" si="13"/>
        <v/>
      </c>
      <c r="X42" s="191" t="str">
        <f t="shared" ca="1" si="14"/>
        <v/>
      </c>
      <c r="Y42" t="str">
        <f t="shared" ca="1" si="15"/>
        <v/>
      </c>
      <c r="Z42" s="208" t="str">
        <f>IF($A42="","",IF(posicao_contratual!$AA41="","",posicao_contratual!$AA41))</f>
        <v/>
      </c>
      <c r="AA42" t="str">
        <f>IF($A42="","",IF(posicao_contratual!$AL41="","","C"&amp;posicao_contratual!$AL41))</f>
        <v/>
      </c>
      <c r="AB42" t="str">
        <f>IF($A42="","",IF(OR(MEMORIA_RESULTADOS!$W$46="",posicao_contratual!$AL41=""),"",IF(posicao_contratual!$AL41&lt;=MEMORIA_RESULTADOS!$W$46,"SIM","NAO APLICAVEL")))</f>
        <v/>
      </c>
      <c r="AC42" t="str">
        <f>IF($A42="","",IF(MEMORIA_RESULTADOS!$W$46="","",CHOOSE(MEMORIA_RESULTADOS!$W$46+1,posicao_contratual!$AG41,posicao_contratual!$AH41,posicao_contratual!$AI41,posicao_contratual!$AJ41,posicao_contratual!$AK41)))</f>
        <v/>
      </c>
    </row>
    <row r="43" spans="1:29" x14ac:dyDescent="0.35">
      <c r="A43" s="106" t="str">
        <f>IF(AND(itens_Remanesc!A42="",itens_Remanesc!A41&lt;&gt;"",COUNTIF(itens_Remanesc!A43:$A$200,"&lt;&gt;")=0),"TOTAL",IF(itens_Remanesc!A42="","",itens_Remanesc!A42))</f>
        <v/>
      </c>
      <c r="B43" s="107" t="str">
        <f>IF(OR(historico_VU!A42="",historico_VU!C42=""),"",historico_VU!C42)</f>
        <v/>
      </c>
      <c r="C43" s="108" t="str">
        <f>IF(posicao_contratual!A42="","",posicao_contratual!G42)</f>
        <v/>
      </c>
      <c r="D43" s="107" t="str">
        <f>IF(A43="TOTAL",ROUND(SUM($D$3:D42),2),IF(OR(A43="",B43="",C43=""),"",ROUND(B43*C43,2)))</f>
        <v/>
      </c>
      <c r="E43" s="109" t="str">
        <f>IF(OR(historico_VU!A42="",historico_VU!D42=""),"",historico_VU!D42)</f>
        <v/>
      </c>
      <c r="F43" s="110" t="str">
        <f>IF(posicao_contratual!A42="","",posicao_contratual!K42)</f>
        <v/>
      </c>
      <c r="G43" s="109" t="str">
        <f>IF(A43="TOTAL",ROUND(SUM($G$3:G42),2),IF(OR(A43="",E43="",F43=""),"",ROUND(E43*F43,2)))</f>
        <v/>
      </c>
      <c r="H43" s="107" t="str">
        <f>IF(OR(historico_VU!A42="",historico_VU!E42=""),"",historico_VU!E42)</f>
        <v/>
      </c>
      <c r="I43" s="108" t="str">
        <f>IF(posicao_contratual!A42="","",posicao_contratual!O42)</f>
        <v/>
      </c>
      <c r="J43" s="107" t="str">
        <f>IF(A43="TOTAL",ROUND(SUM($J$3:J42),2),IF(OR(A43="",H43="",I43=""),"",ROUND(H43*I43,2)))</f>
        <v/>
      </c>
      <c r="K43" s="109" t="str">
        <f>IF(OR(historico_VU!A42="",historico_VU!F42=""),"",historico_VU!F42)</f>
        <v/>
      </c>
      <c r="L43" s="110" t="str">
        <f>IF(posicao_contratual!A42="","",posicao_contratual!S42)</f>
        <v/>
      </c>
      <c r="M43" s="109" t="str">
        <f>IF(A43="TOTAL",ROUND(SUM($M$3:M42),2),IF(OR(A43="",K43="",L43=""),"",ROUND(K43*L43,2)))</f>
        <v/>
      </c>
      <c r="N43" s="107" t="str">
        <f>IF(OR(historico_VU!A42="",historico_VU!G42=""),"",historico_VU!G42)</f>
        <v/>
      </c>
      <c r="O43" s="108" t="str">
        <f>IF(posicao_contratual!A42="","",posicao_contratual!W42)</f>
        <v/>
      </c>
      <c r="P43" s="107" t="str">
        <f>IF(A43="TOTAL",ROUND(SUM($P$3:P42),2),IF(OR(A43="",N43="",O43=""),"",ROUND(N43*O43,2)))</f>
        <v/>
      </c>
      <c r="Q43" s="181" t="str">
        <f t="shared" ca="1" si="8"/>
        <v/>
      </c>
      <c r="R43" t="str">
        <f>IF($A43="","",IF(MEMORIA_RESULTADOS!$W$46="","","C"&amp;MEMORIA_RESULTADOS!$W$46))</f>
        <v/>
      </c>
      <c r="S43" s="207" t="str">
        <f t="shared" ca="1" si="9"/>
        <v/>
      </c>
      <c r="T43" s="207" t="str">
        <f t="shared" ca="1" si="10"/>
        <v/>
      </c>
      <c r="U43" s="207" t="str">
        <f t="shared" ca="1" si="11"/>
        <v/>
      </c>
      <c r="V43" s="191" t="str">
        <f t="shared" ca="1" si="12"/>
        <v/>
      </c>
      <c r="W43" s="191" t="str">
        <f t="shared" ca="1" si="13"/>
        <v/>
      </c>
      <c r="X43" s="191" t="str">
        <f t="shared" ca="1" si="14"/>
        <v/>
      </c>
      <c r="Y43" t="str">
        <f t="shared" ca="1" si="15"/>
        <v/>
      </c>
      <c r="Z43" s="208" t="str">
        <f>IF($A43="","",IF(posicao_contratual!$AA42="","",posicao_contratual!$AA42))</f>
        <v/>
      </c>
      <c r="AA43" t="str">
        <f>IF($A43="","",IF(posicao_contratual!$AL42="","","C"&amp;posicao_contratual!$AL42))</f>
        <v/>
      </c>
      <c r="AB43" t="str">
        <f>IF($A43="","",IF(OR(MEMORIA_RESULTADOS!$W$46="",posicao_contratual!$AL42=""),"",IF(posicao_contratual!$AL42&lt;=MEMORIA_RESULTADOS!$W$46,"SIM","NAO APLICAVEL")))</f>
        <v/>
      </c>
      <c r="AC43" t="str">
        <f>IF($A43="","",IF(MEMORIA_RESULTADOS!$W$46="","",CHOOSE(MEMORIA_RESULTADOS!$W$46+1,posicao_contratual!$AG42,posicao_contratual!$AH42,posicao_contratual!$AI42,posicao_contratual!$AJ42,posicao_contratual!$AK42)))</f>
        <v/>
      </c>
    </row>
    <row r="44" spans="1:29" x14ac:dyDescent="0.35">
      <c r="A44" s="106" t="str">
        <f>IF(AND(itens_Remanesc!A43="",itens_Remanesc!A42&lt;&gt;"",COUNTIF(itens_Remanesc!A44:$A$200,"&lt;&gt;")=0),"TOTAL",IF(itens_Remanesc!A43="","",itens_Remanesc!A43))</f>
        <v/>
      </c>
      <c r="B44" s="107" t="str">
        <f>IF(OR(historico_VU!A43="",historico_VU!C43=""),"",historico_VU!C43)</f>
        <v/>
      </c>
      <c r="C44" s="108" t="str">
        <f>IF(posicao_contratual!A43="","",posicao_contratual!G43)</f>
        <v/>
      </c>
      <c r="D44" s="107" t="str">
        <f>IF(A44="TOTAL",ROUND(SUM($D$3:D43),2),IF(OR(A44="",B44="",C44=""),"",ROUND(B44*C44,2)))</f>
        <v/>
      </c>
      <c r="E44" s="109" t="str">
        <f>IF(OR(historico_VU!A43="",historico_VU!D43=""),"",historico_VU!D43)</f>
        <v/>
      </c>
      <c r="F44" s="110" t="str">
        <f>IF(posicao_contratual!A43="","",posicao_contratual!K43)</f>
        <v/>
      </c>
      <c r="G44" s="109" t="str">
        <f>IF(A44="TOTAL",ROUND(SUM($G$3:G43),2),IF(OR(A44="",E44="",F44=""),"",ROUND(E44*F44,2)))</f>
        <v/>
      </c>
      <c r="H44" s="107" t="str">
        <f>IF(OR(historico_VU!A43="",historico_VU!E43=""),"",historico_VU!E43)</f>
        <v/>
      </c>
      <c r="I44" s="108" t="str">
        <f>IF(posicao_contratual!A43="","",posicao_contratual!O43)</f>
        <v/>
      </c>
      <c r="J44" s="107" t="str">
        <f>IF(A44="TOTAL",ROUND(SUM($J$3:J43),2),IF(OR(A44="",H44="",I44=""),"",ROUND(H44*I44,2)))</f>
        <v/>
      </c>
      <c r="K44" s="109" t="str">
        <f>IF(OR(historico_VU!A43="",historico_VU!F43=""),"",historico_VU!F43)</f>
        <v/>
      </c>
      <c r="L44" s="110" t="str">
        <f>IF(posicao_contratual!A43="","",posicao_contratual!S43)</f>
        <v/>
      </c>
      <c r="M44" s="109" t="str">
        <f>IF(A44="TOTAL",ROUND(SUM($M$3:M43),2),IF(OR(A44="",K44="",L44=""),"",ROUND(K44*L44,2)))</f>
        <v/>
      </c>
      <c r="N44" s="107" t="str">
        <f>IF(OR(historico_VU!A43="",historico_VU!G43=""),"",historico_VU!G43)</f>
        <v/>
      </c>
      <c r="O44" s="108" t="str">
        <f>IF(posicao_contratual!A43="","",posicao_contratual!W43)</f>
        <v/>
      </c>
      <c r="P44" s="107" t="str">
        <f>IF(A44="TOTAL",ROUND(SUM($P$3:P43),2),IF(OR(A44="",N44="",O44=""),"",ROUND(N44*O44,2)))</f>
        <v/>
      </c>
      <c r="Q44" s="181" t="str">
        <f t="shared" ca="1" si="8"/>
        <v/>
      </c>
      <c r="R44" t="str">
        <f>IF($A44="","",IF(MEMORIA_RESULTADOS!$W$46="","","C"&amp;MEMORIA_RESULTADOS!$W$46))</f>
        <v/>
      </c>
      <c r="S44" s="207" t="str">
        <f t="shared" ca="1" si="9"/>
        <v/>
      </c>
      <c r="T44" s="207" t="str">
        <f t="shared" ca="1" si="10"/>
        <v/>
      </c>
      <c r="U44" s="207" t="str">
        <f t="shared" ca="1" si="11"/>
        <v/>
      </c>
      <c r="V44" s="191" t="str">
        <f t="shared" ca="1" si="12"/>
        <v/>
      </c>
      <c r="W44" s="191" t="str">
        <f t="shared" ca="1" si="13"/>
        <v/>
      </c>
      <c r="X44" s="191" t="str">
        <f t="shared" ca="1" si="14"/>
        <v/>
      </c>
      <c r="Y44" t="str">
        <f t="shared" ca="1" si="15"/>
        <v/>
      </c>
      <c r="Z44" s="208" t="str">
        <f>IF($A44="","",IF(posicao_contratual!$AA43="","",posicao_contratual!$AA43))</f>
        <v/>
      </c>
      <c r="AA44" t="str">
        <f>IF($A44="","",IF(posicao_contratual!$AL43="","","C"&amp;posicao_contratual!$AL43))</f>
        <v/>
      </c>
      <c r="AB44" t="str">
        <f>IF($A44="","",IF(OR(MEMORIA_RESULTADOS!$W$46="",posicao_contratual!$AL43=""),"",IF(posicao_contratual!$AL43&lt;=MEMORIA_RESULTADOS!$W$46,"SIM","NAO APLICAVEL")))</f>
        <v/>
      </c>
      <c r="AC44" t="str">
        <f>IF($A44="","",IF(MEMORIA_RESULTADOS!$W$46="","",CHOOSE(MEMORIA_RESULTADOS!$W$46+1,posicao_contratual!$AG43,posicao_contratual!$AH43,posicao_contratual!$AI43,posicao_contratual!$AJ43,posicao_contratual!$AK43)))</f>
        <v/>
      </c>
    </row>
    <row r="45" spans="1:29" x14ac:dyDescent="0.35">
      <c r="A45" s="106" t="str">
        <f>IF(AND(itens_Remanesc!A44="",itens_Remanesc!A43&lt;&gt;"",COUNTIF(itens_Remanesc!A45:$A$200,"&lt;&gt;")=0),"TOTAL",IF(itens_Remanesc!A44="","",itens_Remanesc!A44))</f>
        <v/>
      </c>
      <c r="B45" s="107" t="str">
        <f>IF(OR(historico_VU!A44="",historico_VU!C44=""),"",historico_VU!C44)</f>
        <v/>
      </c>
      <c r="C45" s="108" t="str">
        <f>IF(posicao_contratual!A44="","",posicao_contratual!G44)</f>
        <v/>
      </c>
      <c r="D45" s="107" t="str">
        <f>IF(A45="TOTAL",ROUND(SUM($D$3:D44),2),IF(OR(A45="",B45="",C45=""),"",ROUND(B45*C45,2)))</f>
        <v/>
      </c>
      <c r="E45" s="109" t="str">
        <f>IF(OR(historico_VU!A44="",historico_VU!D44=""),"",historico_VU!D44)</f>
        <v/>
      </c>
      <c r="F45" s="110" t="str">
        <f>IF(posicao_contratual!A44="","",posicao_contratual!K44)</f>
        <v/>
      </c>
      <c r="G45" s="109" t="str">
        <f>IF(A45="TOTAL",ROUND(SUM($G$3:G44),2),IF(OR(A45="",E45="",F45=""),"",ROUND(E45*F45,2)))</f>
        <v/>
      </c>
      <c r="H45" s="107" t="str">
        <f>IF(OR(historico_VU!A44="",historico_VU!E44=""),"",historico_VU!E44)</f>
        <v/>
      </c>
      <c r="I45" s="108" t="str">
        <f>IF(posicao_contratual!A44="","",posicao_contratual!O44)</f>
        <v/>
      </c>
      <c r="J45" s="107" t="str">
        <f>IF(A45="TOTAL",ROUND(SUM($J$3:J44),2),IF(OR(A45="",H45="",I45=""),"",ROUND(H45*I45,2)))</f>
        <v/>
      </c>
      <c r="K45" s="109" t="str">
        <f>IF(OR(historico_VU!A44="",historico_VU!F44=""),"",historico_VU!F44)</f>
        <v/>
      </c>
      <c r="L45" s="110" t="str">
        <f>IF(posicao_contratual!A44="","",posicao_contratual!S44)</f>
        <v/>
      </c>
      <c r="M45" s="109" t="str">
        <f>IF(A45="TOTAL",ROUND(SUM($M$3:M44),2),IF(OR(A45="",K45="",L45=""),"",ROUND(K45*L45,2)))</f>
        <v/>
      </c>
      <c r="N45" s="107" t="str">
        <f>IF(OR(historico_VU!A44="",historico_VU!G44=""),"",historico_VU!G44)</f>
        <v/>
      </c>
      <c r="O45" s="108" t="str">
        <f>IF(posicao_contratual!A44="","",posicao_contratual!W44)</f>
        <v/>
      </c>
      <c r="P45" s="107" t="str">
        <f>IF(A45="TOTAL",ROUND(SUM($P$3:P44),2),IF(OR(A45="",N45="",O45=""),"",ROUND(N45*O45,2)))</f>
        <v/>
      </c>
      <c r="Q45" s="181" t="str">
        <f t="shared" ca="1" si="8"/>
        <v/>
      </c>
      <c r="R45" t="str">
        <f>IF($A45="","",IF(MEMORIA_RESULTADOS!$W$46="","","C"&amp;MEMORIA_RESULTADOS!$W$46))</f>
        <v/>
      </c>
      <c r="S45" s="207" t="str">
        <f t="shared" ca="1" si="9"/>
        <v/>
      </c>
      <c r="T45" s="207" t="str">
        <f t="shared" ca="1" si="10"/>
        <v/>
      </c>
      <c r="U45" s="207" t="str">
        <f t="shared" ca="1" si="11"/>
        <v/>
      </c>
      <c r="V45" s="191" t="str">
        <f t="shared" ca="1" si="12"/>
        <v/>
      </c>
      <c r="W45" s="191" t="str">
        <f t="shared" ca="1" si="13"/>
        <v/>
      </c>
      <c r="X45" s="191" t="str">
        <f t="shared" ca="1" si="14"/>
        <v/>
      </c>
      <c r="Y45" t="str">
        <f t="shared" ca="1" si="15"/>
        <v/>
      </c>
      <c r="Z45" s="208" t="str">
        <f>IF($A45="","",IF(posicao_contratual!$AA44="","",posicao_contratual!$AA44))</f>
        <v/>
      </c>
      <c r="AA45" t="str">
        <f>IF($A45="","",IF(posicao_contratual!$AL44="","","C"&amp;posicao_contratual!$AL44))</f>
        <v/>
      </c>
      <c r="AB45" t="str">
        <f>IF($A45="","",IF(OR(MEMORIA_RESULTADOS!$W$46="",posicao_contratual!$AL44=""),"",IF(posicao_contratual!$AL44&lt;=MEMORIA_RESULTADOS!$W$46,"SIM","NAO APLICAVEL")))</f>
        <v/>
      </c>
      <c r="AC45" t="str">
        <f>IF($A45="","",IF(MEMORIA_RESULTADOS!$W$46="","",CHOOSE(MEMORIA_RESULTADOS!$W$46+1,posicao_contratual!$AG44,posicao_contratual!$AH44,posicao_contratual!$AI44,posicao_contratual!$AJ44,posicao_contratual!$AK44)))</f>
        <v/>
      </c>
    </row>
    <row r="46" spans="1:29" x14ac:dyDescent="0.35">
      <c r="A46" s="106" t="str">
        <f>IF(AND(itens_Remanesc!A45="",itens_Remanesc!A44&lt;&gt;"",COUNTIF(itens_Remanesc!A46:$A$200,"&lt;&gt;")=0),"TOTAL",IF(itens_Remanesc!A45="","",itens_Remanesc!A45))</f>
        <v/>
      </c>
      <c r="B46" s="107" t="str">
        <f>IF(OR(historico_VU!A45="",historico_VU!C45=""),"",historico_VU!C45)</f>
        <v/>
      </c>
      <c r="C46" s="108" t="str">
        <f>IF(posicao_contratual!A45="","",posicao_contratual!G45)</f>
        <v/>
      </c>
      <c r="D46" s="107" t="str">
        <f>IF(A46="TOTAL",ROUND(SUM($D$3:D45),2),IF(OR(A46="",B46="",C46=""),"",ROUND(B46*C46,2)))</f>
        <v/>
      </c>
      <c r="E46" s="109" t="str">
        <f>IF(OR(historico_VU!A45="",historico_VU!D45=""),"",historico_VU!D45)</f>
        <v/>
      </c>
      <c r="F46" s="110" t="str">
        <f>IF(posicao_contratual!A45="","",posicao_contratual!K45)</f>
        <v/>
      </c>
      <c r="G46" s="109" t="str">
        <f>IF(A46="TOTAL",ROUND(SUM($G$3:G45),2),IF(OR(A46="",E46="",F46=""),"",ROUND(E46*F46,2)))</f>
        <v/>
      </c>
      <c r="H46" s="107" t="str">
        <f>IF(OR(historico_VU!A45="",historico_VU!E45=""),"",historico_VU!E45)</f>
        <v/>
      </c>
      <c r="I46" s="108" t="str">
        <f>IF(posicao_contratual!A45="","",posicao_contratual!O45)</f>
        <v/>
      </c>
      <c r="J46" s="107" t="str">
        <f>IF(A46="TOTAL",ROUND(SUM($J$3:J45),2),IF(OR(A46="",H46="",I46=""),"",ROUND(H46*I46,2)))</f>
        <v/>
      </c>
      <c r="K46" s="109" t="str">
        <f>IF(OR(historico_VU!A45="",historico_VU!F45=""),"",historico_VU!F45)</f>
        <v/>
      </c>
      <c r="L46" s="110" t="str">
        <f>IF(posicao_contratual!A45="","",posicao_contratual!S45)</f>
        <v/>
      </c>
      <c r="M46" s="109" t="str">
        <f>IF(A46="TOTAL",ROUND(SUM($M$3:M45),2),IF(OR(A46="",K46="",L46=""),"",ROUND(K46*L46,2)))</f>
        <v/>
      </c>
      <c r="N46" s="107" t="str">
        <f>IF(OR(historico_VU!A45="",historico_VU!G45=""),"",historico_VU!G45)</f>
        <v/>
      </c>
      <c r="O46" s="108" t="str">
        <f>IF(posicao_contratual!A45="","",posicao_contratual!W45)</f>
        <v/>
      </c>
      <c r="P46" s="107" t="str">
        <f>IF(A46="TOTAL",ROUND(SUM($P$3:P45),2),IF(OR(A46="",N46="",O46=""),"",ROUND(N46*O46,2)))</f>
        <v/>
      </c>
      <c r="Q46" s="181" t="str">
        <f t="shared" ca="1" si="8"/>
        <v/>
      </c>
      <c r="R46" t="str">
        <f>IF($A46="","",IF(MEMORIA_RESULTADOS!$W$46="","","C"&amp;MEMORIA_RESULTADOS!$W$46))</f>
        <v/>
      </c>
      <c r="S46" s="207" t="str">
        <f t="shared" ca="1" si="9"/>
        <v/>
      </c>
      <c r="T46" s="207" t="str">
        <f t="shared" ca="1" si="10"/>
        <v/>
      </c>
      <c r="U46" s="207" t="str">
        <f t="shared" ca="1" si="11"/>
        <v/>
      </c>
      <c r="V46" s="191" t="str">
        <f t="shared" ca="1" si="12"/>
        <v/>
      </c>
      <c r="W46" s="191" t="str">
        <f t="shared" ca="1" si="13"/>
        <v/>
      </c>
      <c r="X46" s="191" t="str">
        <f t="shared" ca="1" si="14"/>
        <v/>
      </c>
      <c r="Y46" t="str">
        <f t="shared" ca="1" si="15"/>
        <v/>
      </c>
      <c r="Z46" s="208" t="str">
        <f>IF($A46="","",IF(posicao_contratual!$AA45="","",posicao_contratual!$AA45))</f>
        <v/>
      </c>
      <c r="AA46" t="str">
        <f>IF($A46="","",IF(posicao_contratual!$AL45="","","C"&amp;posicao_contratual!$AL45))</f>
        <v/>
      </c>
      <c r="AB46" t="str">
        <f>IF($A46="","",IF(OR(MEMORIA_RESULTADOS!$W$46="",posicao_contratual!$AL45=""),"",IF(posicao_contratual!$AL45&lt;=MEMORIA_RESULTADOS!$W$46,"SIM","NAO APLICAVEL")))</f>
        <v/>
      </c>
      <c r="AC46" t="str">
        <f>IF($A46="","",IF(MEMORIA_RESULTADOS!$W$46="","",CHOOSE(MEMORIA_RESULTADOS!$W$46+1,posicao_contratual!$AG45,posicao_contratual!$AH45,posicao_contratual!$AI45,posicao_contratual!$AJ45,posicao_contratual!$AK45)))</f>
        <v/>
      </c>
    </row>
    <row r="47" spans="1:29" x14ac:dyDescent="0.35">
      <c r="A47" s="106" t="str">
        <f>IF(AND(itens_Remanesc!A46="",itens_Remanesc!A45&lt;&gt;"",COUNTIF(itens_Remanesc!A47:$A$200,"&lt;&gt;")=0),"TOTAL",IF(itens_Remanesc!A46="","",itens_Remanesc!A46))</f>
        <v/>
      </c>
      <c r="B47" s="107" t="str">
        <f>IF(OR(historico_VU!A46="",historico_VU!C46=""),"",historico_VU!C46)</f>
        <v/>
      </c>
      <c r="C47" s="108" t="str">
        <f>IF(posicao_contratual!A46="","",posicao_contratual!G46)</f>
        <v/>
      </c>
      <c r="D47" s="107" t="str">
        <f>IF(A47="TOTAL",ROUND(SUM($D$3:D46),2),IF(OR(A47="",B47="",C47=""),"",ROUND(B47*C47,2)))</f>
        <v/>
      </c>
      <c r="E47" s="109" t="str">
        <f>IF(OR(historico_VU!A46="",historico_VU!D46=""),"",historico_VU!D46)</f>
        <v/>
      </c>
      <c r="F47" s="110" t="str">
        <f>IF(posicao_contratual!A46="","",posicao_contratual!K46)</f>
        <v/>
      </c>
      <c r="G47" s="109" t="str">
        <f>IF(A47="TOTAL",ROUND(SUM($G$3:G46),2),IF(OR(A47="",E47="",F47=""),"",ROUND(E47*F47,2)))</f>
        <v/>
      </c>
      <c r="H47" s="107" t="str">
        <f>IF(OR(historico_VU!A46="",historico_VU!E46=""),"",historico_VU!E46)</f>
        <v/>
      </c>
      <c r="I47" s="108" t="str">
        <f>IF(posicao_contratual!A46="","",posicao_contratual!O46)</f>
        <v/>
      </c>
      <c r="J47" s="107" t="str">
        <f>IF(A47="TOTAL",ROUND(SUM($J$3:J46),2),IF(OR(A47="",H47="",I47=""),"",ROUND(H47*I47,2)))</f>
        <v/>
      </c>
      <c r="K47" s="109" t="str">
        <f>IF(OR(historico_VU!A46="",historico_VU!F46=""),"",historico_VU!F46)</f>
        <v/>
      </c>
      <c r="L47" s="110" t="str">
        <f>IF(posicao_contratual!A46="","",posicao_contratual!S46)</f>
        <v/>
      </c>
      <c r="M47" s="109" t="str">
        <f>IF(A47="TOTAL",ROUND(SUM($M$3:M46),2),IF(OR(A47="",K47="",L47=""),"",ROUND(K47*L47,2)))</f>
        <v/>
      </c>
      <c r="N47" s="107" t="str">
        <f>IF(OR(historico_VU!A46="",historico_VU!G46=""),"",historico_VU!G46)</f>
        <v/>
      </c>
      <c r="O47" s="108" t="str">
        <f>IF(posicao_contratual!A46="","",posicao_contratual!W46)</f>
        <v/>
      </c>
      <c r="P47" s="107" t="str">
        <f>IF(A47="TOTAL",ROUND(SUM($P$3:P46),2),IF(OR(A47="",N47="",O47=""),"",ROUND(N47*O47,2)))</f>
        <v/>
      </c>
      <c r="Q47" s="181" t="str">
        <f t="shared" ca="1" si="8"/>
        <v/>
      </c>
      <c r="R47" t="str">
        <f>IF($A47="","",IF(MEMORIA_RESULTADOS!$W$46="","","C"&amp;MEMORIA_RESULTADOS!$W$46))</f>
        <v/>
      </c>
      <c r="S47" s="207" t="str">
        <f t="shared" ca="1" si="9"/>
        <v/>
      </c>
      <c r="T47" s="207" t="str">
        <f t="shared" ca="1" si="10"/>
        <v/>
      </c>
      <c r="U47" s="207" t="str">
        <f t="shared" ca="1" si="11"/>
        <v/>
      </c>
      <c r="V47" s="191" t="str">
        <f t="shared" ca="1" si="12"/>
        <v/>
      </c>
      <c r="W47" s="191" t="str">
        <f t="shared" ca="1" si="13"/>
        <v/>
      </c>
      <c r="X47" s="191" t="str">
        <f t="shared" ca="1" si="14"/>
        <v/>
      </c>
      <c r="Y47" t="str">
        <f t="shared" ca="1" si="15"/>
        <v/>
      </c>
      <c r="Z47" s="208" t="str">
        <f>IF($A47="","",IF(posicao_contratual!$AA46="","",posicao_contratual!$AA46))</f>
        <v/>
      </c>
      <c r="AA47" t="str">
        <f>IF($A47="","",IF(posicao_contratual!$AL46="","","C"&amp;posicao_contratual!$AL46))</f>
        <v/>
      </c>
      <c r="AB47" t="str">
        <f>IF($A47="","",IF(OR(MEMORIA_RESULTADOS!$W$46="",posicao_contratual!$AL46=""),"",IF(posicao_contratual!$AL46&lt;=MEMORIA_RESULTADOS!$W$46,"SIM","NAO APLICAVEL")))</f>
        <v/>
      </c>
      <c r="AC47" t="str">
        <f>IF($A47="","",IF(MEMORIA_RESULTADOS!$W$46="","",CHOOSE(MEMORIA_RESULTADOS!$W$46+1,posicao_contratual!$AG46,posicao_contratual!$AH46,posicao_contratual!$AI46,posicao_contratual!$AJ46,posicao_contratual!$AK46)))</f>
        <v/>
      </c>
    </row>
    <row r="48" spans="1:29" x14ac:dyDescent="0.35">
      <c r="A48" s="106" t="str">
        <f>IF(AND(itens_Remanesc!A47="",itens_Remanesc!A46&lt;&gt;"",COUNTIF(itens_Remanesc!A48:$A$200,"&lt;&gt;")=0),"TOTAL",IF(itens_Remanesc!A47="","",itens_Remanesc!A47))</f>
        <v/>
      </c>
      <c r="B48" s="107" t="str">
        <f>IF(OR(historico_VU!A47="",historico_VU!C47=""),"",historico_VU!C47)</f>
        <v/>
      </c>
      <c r="C48" s="108" t="str">
        <f>IF(posicao_contratual!A47="","",posicao_contratual!G47)</f>
        <v/>
      </c>
      <c r="D48" s="107" t="str">
        <f>IF(A48="TOTAL",ROUND(SUM($D$3:D47),2),IF(OR(A48="",B48="",C48=""),"",ROUND(B48*C48,2)))</f>
        <v/>
      </c>
      <c r="E48" s="109" t="str">
        <f>IF(OR(historico_VU!A47="",historico_VU!D47=""),"",historico_VU!D47)</f>
        <v/>
      </c>
      <c r="F48" s="110" t="str">
        <f>IF(posicao_contratual!A47="","",posicao_contratual!K47)</f>
        <v/>
      </c>
      <c r="G48" s="109" t="str">
        <f>IF(A48="TOTAL",ROUND(SUM($G$3:G47),2),IF(OR(A48="",E48="",F48=""),"",ROUND(E48*F48,2)))</f>
        <v/>
      </c>
      <c r="H48" s="107" t="str">
        <f>IF(OR(historico_VU!A47="",historico_VU!E47=""),"",historico_VU!E47)</f>
        <v/>
      </c>
      <c r="I48" s="108" t="str">
        <f>IF(posicao_contratual!A47="","",posicao_contratual!O47)</f>
        <v/>
      </c>
      <c r="J48" s="107" t="str">
        <f>IF(A48="TOTAL",ROUND(SUM($J$3:J47),2),IF(OR(A48="",H48="",I48=""),"",ROUND(H48*I48,2)))</f>
        <v/>
      </c>
      <c r="K48" s="109" t="str">
        <f>IF(OR(historico_VU!A47="",historico_VU!F47=""),"",historico_VU!F47)</f>
        <v/>
      </c>
      <c r="L48" s="110" t="str">
        <f>IF(posicao_contratual!A47="","",posicao_contratual!S47)</f>
        <v/>
      </c>
      <c r="M48" s="109" t="str">
        <f>IF(A48="TOTAL",ROUND(SUM($M$3:M47),2),IF(OR(A48="",K48="",L48=""),"",ROUND(K48*L48,2)))</f>
        <v/>
      </c>
      <c r="N48" s="107" t="str">
        <f>IF(OR(historico_VU!A47="",historico_VU!G47=""),"",historico_VU!G47)</f>
        <v/>
      </c>
      <c r="O48" s="108" t="str">
        <f>IF(posicao_contratual!A47="","",posicao_contratual!W47)</f>
        <v/>
      </c>
      <c r="P48" s="107" t="str">
        <f>IF(A48="TOTAL",ROUND(SUM($P$3:P47),2),IF(OR(A48="",N48="",O48=""),"",ROUND(N48*O48,2)))</f>
        <v/>
      </c>
      <c r="Q48" s="181" t="str">
        <f t="shared" ca="1" si="8"/>
        <v/>
      </c>
      <c r="R48" t="str">
        <f>IF($A48="","",IF(MEMORIA_RESULTADOS!$W$46="","","C"&amp;MEMORIA_RESULTADOS!$W$46))</f>
        <v/>
      </c>
      <c r="S48" s="207" t="str">
        <f t="shared" ca="1" si="9"/>
        <v/>
      </c>
      <c r="T48" s="207" t="str">
        <f t="shared" ca="1" si="10"/>
        <v/>
      </c>
      <c r="U48" s="207" t="str">
        <f t="shared" ca="1" si="11"/>
        <v/>
      </c>
      <c r="V48" s="191" t="str">
        <f t="shared" ca="1" si="12"/>
        <v/>
      </c>
      <c r="W48" s="191" t="str">
        <f t="shared" ca="1" si="13"/>
        <v/>
      </c>
      <c r="X48" s="191" t="str">
        <f t="shared" ca="1" si="14"/>
        <v/>
      </c>
      <c r="Y48" t="str">
        <f t="shared" ca="1" si="15"/>
        <v/>
      </c>
      <c r="Z48" s="208" t="str">
        <f>IF($A48="","",IF(posicao_contratual!$AA47="","",posicao_contratual!$AA47))</f>
        <v/>
      </c>
      <c r="AA48" t="str">
        <f>IF($A48="","",IF(posicao_contratual!$AL47="","","C"&amp;posicao_contratual!$AL47))</f>
        <v/>
      </c>
      <c r="AB48" t="str">
        <f>IF($A48="","",IF(OR(MEMORIA_RESULTADOS!$W$46="",posicao_contratual!$AL47=""),"",IF(posicao_contratual!$AL47&lt;=MEMORIA_RESULTADOS!$W$46,"SIM","NAO APLICAVEL")))</f>
        <v/>
      </c>
      <c r="AC48" t="str">
        <f>IF($A48="","",IF(MEMORIA_RESULTADOS!$W$46="","",CHOOSE(MEMORIA_RESULTADOS!$W$46+1,posicao_contratual!$AG47,posicao_contratual!$AH47,posicao_contratual!$AI47,posicao_contratual!$AJ47,posicao_contratual!$AK47)))</f>
        <v/>
      </c>
    </row>
    <row r="49" spans="1:29" x14ac:dyDescent="0.35">
      <c r="A49" s="106" t="str">
        <f>IF(AND(itens_Remanesc!A48="",itens_Remanesc!A47&lt;&gt;"",COUNTIF(itens_Remanesc!A49:$A$200,"&lt;&gt;")=0),"TOTAL",IF(itens_Remanesc!A48="","",itens_Remanesc!A48))</f>
        <v/>
      </c>
      <c r="B49" s="107" t="str">
        <f>IF(OR(historico_VU!A48="",historico_VU!C48=""),"",historico_VU!C48)</f>
        <v/>
      </c>
      <c r="C49" s="108" t="str">
        <f>IF(posicao_contratual!A48="","",posicao_contratual!G48)</f>
        <v/>
      </c>
      <c r="D49" s="107" t="str">
        <f>IF(A49="TOTAL",ROUND(SUM($D$3:D48),2),IF(OR(A49="",B49="",C49=""),"",ROUND(B49*C49,2)))</f>
        <v/>
      </c>
      <c r="E49" s="109" t="str">
        <f>IF(OR(historico_VU!A48="",historico_VU!D48=""),"",historico_VU!D48)</f>
        <v/>
      </c>
      <c r="F49" s="110" t="str">
        <f>IF(posicao_contratual!A48="","",posicao_contratual!K48)</f>
        <v/>
      </c>
      <c r="G49" s="109" t="str">
        <f>IF(A49="TOTAL",ROUND(SUM($G$3:G48),2),IF(OR(A49="",E49="",F49=""),"",ROUND(E49*F49,2)))</f>
        <v/>
      </c>
      <c r="H49" s="107" t="str">
        <f>IF(OR(historico_VU!A48="",historico_VU!E48=""),"",historico_VU!E48)</f>
        <v/>
      </c>
      <c r="I49" s="108" t="str">
        <f>IF(posicao_contratual!A48="","",posicao_contratual!O48)</f>
        <v/>
      </c>
      <c r="J49" s="107" t="str">
        <f>IF(A49="TOTAL",ROUND(SUM($J$3:J48),2),IF(OR(A49="",H49="",I49=""),"",ROUND(H49*I49,2)))</f>
        <v/>
      </c>
      <c r="K49" s="109" t="str">
        <f>IF(OR(historico_VU!A48="",historico_VU!F48=""),"",historico_VU!F48)</f>
        <v/>
      </c>
      <c r="L49" s="110" t="str">
        <f>IF(posicao_contratual!A48="","",posicao_contratual!S48)</f>
        <v/>
      </c>
      <c r="M49" s="109" t="str">
        <f>IF(A49="TOTAL",ROUND(SUM($M$3:M48),2),IF(OR(A49="",K49="",L49=""),"",ROUND(K49*L49,2)))</f>
        <v/>
      </c>
      <c r="N49" s="107" t="str">
        <f>IF(OR(historico_VU!A48="",historico_VU!G48=""),"",historico_VU!G48)</f>
        <v/>
      </c>
      <c r="O49" s="108" t="str">
        <f>IF(posicao_contratual!A48="","",posicao_contratual!W48)</f>
        <v/>
      </c>
      <c r="P49" s="107" t="str">
        <f>IF(A49="TOTAL",ROUND(SUM($P$3:P48),2),IF(OR(A49="",N49="",O49=""),"",ROUND(N49*O49,2)))</f>
        <v/>
      </c>
      <c r="Q49" s="181" t="str">
        <f t="shared" ca="1" si="8"/>
        <v/>
      </c>
      <c r="R49" t="str">
        <f>IF($A49="","",IF(MEMORIA_RESULTADOS!$W$46="","","C"&amp;MEMORIA_RESULTADOS!$W$46))</f>
        <v/>
      </c>
      <c r="S49" s="207" t="str">
        <f t="shared" ca="1" si="9"/>
        <v/>
      </c>
      <c r="T49" s="207" t="str">
        <f t="shared" ca="1" si="10"/>
        <v/>
      </c>
      <c r="U49" s="207" t="str">
        <f t="shared" ca="1" si="11"/>
        <v/>
      </c>
      <c r="V49" s="191" t="str">
        <f t="shared" ca="1" si="12"/>
        <v/>
      </c>
      <c r="W49" s="191" t="str">
        <f t="shared" ca="1" si="13"/>
        <v/>
      </c>
      <c r="X49" s="191" t="str">
        <f t="shared" ca="1" si="14"/>
        <v/>
      </c>
      <c r="Y49" t="str">
        <f t="shared" ca="1" si="15"/>
        <v/>
      </c>
      <c r="Z49" s="208" t="str">
        <f>IF($A49="","",IF(posicao_contratual!$AA48="","",posicao_contratual!$AA48))</f>
        <v/>
      </c>
      <c r="AA49" t="str">
        <f>IF($A49="","",IF(posicao_contratual!$AL48="","","C"&amp;posicao_contratual!$AL48))</f>
        <v/>
      </c>
      <c r="AB49" t="str">
        <f>IF($A49="","",IF(OR(MEMORIA_RESULTADOS!$W$46="",posicao_contratual!$AL48=""),"",IF(posicao_contratual!$AL48&lt;=MEMORIA_RESULTADOS!$W$46,"SIM","NAO APLICAVEL")))</f>
        <v/>
      </c>
      <c r="AC49" t="str">
        <f>IF($A49="","",IF(MEMORIA_RESULTADOS!$W$46="","",CHOOSE(MEMORIA_RESULTADOS!$W$46+1,posicao_contratual!$AG48,posicao_contratual!$AH48,posicao_contratual!$AI48,posicao_contratual!$AJ48,posicao_contratual!$AK48)))</f>
        <v/>
      </c>
    </row>
    <row r="50" spans="1:29" x14ac:dyDescent="0.35">
      <c r="A50" s="106" t="str">
        <f>IF(AND(itens_Remanesc!A49="",itens_Remanesc!A48&lt;&gt;"",COUNTIF(itens_Remanesc!A50:$A$200,"&lt;&gt;")=0),"TOTAL",IF(itens_Remanesc!A49="","",itens_Remanesc!A49))</f>
        <v/>
      </c>
      <c r="B50" s="107" t="str">
        <f>IF(OR(historico_VU!A49="",historico_VU!C49=""),"",historico_VU!C49)</f>
        <v/>
      </c>
      <c r="C50" s="108" t="str">
        <f>IF(posicao_contratual!A49="","",posicao_contratual!G49)</f>
        <v/>
      </c>
      <c r="D50" s="107" t="str">
        <f>IF(A50="TOTAL",ROUND(SUM($D$3:D49),2),IF(OR(A50="",B50="",C50=""),"",ROUND(B50*C50,2)))</f>
        <v/>
      </c>
      <c r="E50" s="109" t="str">
        <f>IF(OR(historico_VU!A49="",historico_VU!D49=""),"",historico_VU!D49)</f>
        <v/>
      </c>
      <c r="F50" s="110" t="str">
        <f>IF(posicao_contratual!A49="","",posicao_contratual!K49)</f>
        <v/>
      </c>
      <c r="G50" s="109" t="str">
        <f>IF(A50="TOTAL",ROUND(SUM($G$3:G49),2),IF(OR(A50="",E50="",F50=""),"",ROUND(E50*F50,2)))</f>
        <v/>
      </c>
      <c r="H50" s="107" t="str">
        <f>IF(OR(historico_VU!A49="",historico_VU!E49=""),"",historico_VU!E49)</f>
        <v/>
      </c>
      <c r="I50" s="108" t="str">
        <f>IF(posicao_contratual!A49="","",posicao_contratual!O49)</f>
        <v/>
      </c>
      <c r="J50" s="107" t="str">
        <f>IF(A50="TOTAL",ROUND(SUM($J$3:J49),2),IF(OR(A50="",H50="",I50=""),"",ROUND(H50*I50,2)))</f>
        <v/>
      </c>
      <c r="K50" s="109" t="str">
        <f>IF(OR(historico_VU!A49="",historico_VU!F49=""),"",historico_VU!F49)</f>
        <v/>
      </c>
      <c r="L50" s="110" t="str">
        <f>IF(posicao_contratual!A49="","",posicao_contratual!S49)</f>
        <v/>
      </c>
      <c r="M50" s="109" t="str">
        <f>IF(A50="TOTAL",ROUND(SUM($M$3:M49),2),IF(OR(A50="",K50="",L50=""),"",ROUND(K50*L50,2)))</f>
        <v/>
      </c>
      <c r="N50" s="107" t="str">
        <f>IF(OR(historico_VU!A49="",historico_VU!G49=""),"",historico_VU!G49)</f>
        <v/>
      </c>
      <c r="O50" s="108" t="str">
        <f>IF(posicao_contratual!A49="","",posicao_contratual!W49)</f>
        <v/>
      </c>
      <c r="P50" s="107" t="str">
        <f>IF(A50="TOTAL",ROUND(SUM($P$3:P49),2),IF(OR(A50="",N50="",O50=""),"",ROUND(N50*O50,2)))</f>
        <v/>
      </c>
      <c r="Q50" s="181" t="str">
        <f t="shared" ca="1" si="8"/>
        <v/>
      </c>
      <c r="R50" t="str">
        <f>IF($A50="","",IF(MEMORIA_RESULTADOS!$W$46="","","C"&amp;MEMORIA_RESULTADOS!$W$46))</f>
        <v/>
      </c>
      <c r="S50" s="207" t="str">
        <f t="shared" ca="1" si="9"/>
        <v/>
      </c>
      <c r="T50" s="207" t="str">
        <f t="shared" ca="1" si="10"/>
        <v/>
      </c>
      <c r="U50" s="207" t="str">
        <f t="shared" ca="1" si="11"/>
        <v/>
      </c>
      <c r="V50" s="191" t="str">
        <f t="shared" ca="1" si="12"/>
        <v/>
      </c>
      <c r="W50" s="191" t="str">
        <f t="shared" ca="1" si="13"/>
        <v/>
      </c>
      <c r="X50" s="191" t="str">
        <f t="shared" ca="1" si="14"/>
        <v/>
      </c>
      <c r="Y50" t="str">
        <f t="shared" ca="1" si="15"/>
        <v/>
      </c>
      <c r="Z50" s="208" t="str">
        <f>IF($A50="","",IF(posicao_contratual!$AA49="","",posicao_contratual!$AA49))</f>
        <v/>
      </c>
      <c r="AA50" t="str">
        <f>IF($A50="","",IF(posicao_contratual!$AL49="","","C"&amp;posicao_contratual!$AL49))</f>
        <v/>
      </c>
      <c r="AB50" t="str">
        <f>IF($A50="","",IF(OR(MEMORIA_RESULTADOS!$W$46="",posicao_contratual!$AL49=""),"",IF(posicao_contratual!$AL49&lt;=MEMORIA_RESULTADOS!$W$46,"SIM","NAO APLICAVEL")))</f>
        <v/>
      </c>
      <c r="AC50" t="str">
        <f>IF($A50="","",IF(MEMORIA_RESULTADOS!$W$46="","",CHOOSE(MEMORIA_RESULTADOS!$W$46+1,posicao_contratual!$AG49,posicao_contratual!$AH49,posicao_contratual!$AI49,posicao_contratual!$AJ49,posicao_contratual!$AK49)))</f>
        <v/>
      </c>
    </row>
    <row r="51" spans="1:29" x14ac:dyDescent="0.35">
      <c r="A51" s="106" t="str">
        <f>IF(AND(itens_Remanesc!A50="",itens_Remanesc!A49&lt;&gt;"",COUNTIF(itens_Remanesc!A51:$A$200,"&lt;&gt;")=0),"TOTAL",IF(itens_Remanesc!A50="","",itens_Remanesc!A50))</f>
        <v/>
      </c>
      <c r="B51" s="107" t="str">
        <f>IF(OR(historico_VU!A50="",historico_VU!C50=""),"",historico_VU!C50)</f>
        <v/>
      </c>
      <c r="C51" s="108" t="str">
        <f>IF(posicao_contratual!A50="","",posicao_contratual!G50)</f>
        <v/>
      </c>
      <c r="D51" s="107" t="str">
        <f>IF(A51="TOTAL",ROUND(SUM($D$3:D50),2),IF(OR(A51="",B51="",C51=""),"",ROUND(B51*C51,2)))</f>
        <v/>
      </c>
      <c r="E51" s="109" t="str">
        <f>IF(OR(historico_VU!A50="",historico_VU!D50=""),"",historico_VU!D50)</f>
        <v/>
      </c>
      <c r="F51" s="110" t="str">
        <f>IF(posicao_contratual!A50="","",posicao_contratual!K50)</f>
        <v/>
      </c>
      <c r="G51" s="109" t="str">
        <f>IF(A51="TOTAL",ROUND(SUM($G$3:G50),2),IF(OR(A51="",E51="",F51=""),"",ROUND(E51*F51,2)))</f>
        <v/>
      </c>
      <c r="H51" s="107" t="str">
        <f>IF(OR(historico_VU!A50="",historico_VU!E50=""),"",historico_VU!E50)</f>
        <v/>
      </c>
      <c r="I51" s="108" t="str">
        <f>IF(posicao_contratual!A50="","",posicao_contratual!O50)</f>
        <v/>
      </c>
      <c r="J51" s="107" t="str">
        <f>IF(A51="TOTAL",ROUND(SUM($J$3:J50),2),IF(OR(A51="",H51="",I51=""),"",ROUND(H51*I51,2)))</f>
        <v/>
      </c>
      <c r="K51" s="109" t="str">
        <f>IF(OR(historico_VU!A50="",historico_VU!F50=""),"",historico_VU!F50)</f>
        <v/>
      </c>
      <c r="L51" s="110" t="str">
        <f>IF(posicao_contratual!A50="","",posicao_contratual!S50)</f>
        <v/>
      </c>
      <c r="M51" s="109" t="str">
        <f>IF(A51="TOTAL",ROUND(SUM($M$3:M50),2),IF(OR(A51="",K51="",L51=""),"",ROUND(K51*L51,2)))</f>
        <v/>
      </c>
      <c r="N51" s="107" t="str">
        <f>IF(OR(historico_VU!A50="",historico_VU!G50=""),"",historico_VU!G50)</f>
        <v/>
      </c>
      <c r="O51" s="108" t="str">
        <f>IF(posicao_contratual!A50="","",posicao_contratual!W50)</f>
        <v/>
      </c>
      <c r="P51" s="107" t="str">
        <f>IF(A51="TOTAL",ROUND(SUM($P$3:P50),2),IF(OR(A51="",N51="",O51=""),"",ROUND(N51*O51,2)))</f>
        <v/>
      </c>
      <c r="Q51" s="181" t="str">
        <f t="shared" ca="1" si="8"/>
        <v/>
      </c>
      <c r="R51" t="str">
        <f>IF($A51="","",IF(MEMORIA_RESULTADOS!$W$46="","","C"&amp;MEMORIA_RESULTADOS!$W$46))</f>
        <v/>
      </c>
      <c r="S51" s="207" t="str">
        <f t="shared" ca="1" si="9"/>
        <v/>
      </c>
      <c r="T51" s="207" t="str">
        <f t="shared" ca="1" si="10"/>
        <v/>
      </c>
      <c r="U51" s="207" t="str">
        <f t="shared" ca="1" si="11"/>
        <v/>
      </c>
      <c r="V51" s="191" t="str">
        <f t="shared" ca="1" si="12"/>
        <v/>
      </c>
      <c r="W51" s="191" t="str">
        <f t="shared" ca="1" si="13"/>
        <v/>
      </c>
      <c r="X51" s="191" t="str">
        <f t="shared" ca="1" si="14"/>
        <v/>
      </c>
      <c r="Y51" t="str">
        <f t="shared" ca="1" si="15"/>
        <v/>
      </c>
      <c r="Z51" s="208" t="str">
        <f>IF($A51="","",IF(posicao_contratual!$AA50="","",posicao_contratual!$AA50))</f>
        <v/>
      </c>
      <c r="AA51" t="str">
        <f>IF($A51="","",IF(posicao_contratual!$AL50="","","C"&amp;posicao_contratual!$AL50))</f>
        <v/>
      </c>
      <c r="AB51" t="str">
        <f>IF($A51="","",IF(OR(MEMORIA_RESULTADOS!$W$46="",posicao_contratual!$AL50=""),"",IF(posicao_contratual!$AL50&lt;=MEMORIA_RESULTADOS!$W$46,"SIM","NAO APLICAVEL")))</f>
        <v/>
      </c>
      <c r="AC51" t="str">
        <f>IF($A51="","",IF(MEMORIA_RESULTADOS!$W$46="","",CHOOSE(MEMORIA_RESULTADOS!$W$46+1,posicao_contratual!$AG50,posicao_contratual!$AH50,posicao_contratual!$AI50,posicao_contratual!$AJ50,posicao_contratual!$AK50)))</f>
        <v/>
      </c>
    </row>
    <row r="52" spans="1:29" x14ac:dyDescent="0.35">
      <c r="A52" s="106" t="str">
        <f>IF(AND(itens_Remanesc!A51="",itens_Remanesc!A50&lt;&gt;"",COUNTIF(itens_Remanesc!A52:$A$200,"&lt;&gt;")=0),"TOTAL",IF(itens_Remanesc!A51="","",itens_Remanesc!A51))</f>
        <v/>
      </c>
      <c r="B52" s="107" t="str">
        <f>IF(OR(historico_VU!A51="",historico_VU!C51=""),"",historico_VU!C51)</f>
        <v/>
      </c>
      <c r="C52" s="108" t="str">
        <f>IF(posicao_contratual!A51="","",posicao_contratual!G51)</f>
        <v/>
      </c>
      <c r="D52" s="107" t="str">
        <f>IF(A52="TOTAL",ROUND(SUM($D$3:D51),2),IF(OR(A52="",B52="",C52=""),"",ROUND(B52*C52,2)))</f>
        <v/>
      </c>
      <c r="E52" s="109" t="str">
        <f>IF(OR(historico_VU!A51="",historico_VU!D51=""),"",historico_VU!D51)</f>
        <v/>
      </c>
      <c r="F52" s="110" t="str">
        <f>IF(posicao_contratual!A51="","",posicao_contratual!K51)</f>
        <v/>
      </c>
      <c r="G52" s="109" t="str">
        <f>IF(A52="TOTAL",ROUND(SUM($G$3:G51),2),IF(OR(A52="",E52="",F52=""),"",ROUND(E52*F52,2)))</f>
        <v/>
      </c>
      <c r="H52" s="107" t="str">
        <f>IF(OR(historico_VU!A51="",historico_VU!E51=""),"",historico_VU!E51)</f>
        <v/>
      </c>
      <c r="I52" s="108" t="str">
        <f>IF(posicao_contratual!A51="","",posicao_contratual!O51)</f>
        <v/>
      </c>
      <c r="J52" s="107" t="str">
        <f>IF(A52="TOTAL",ROUND(SUM($J$3:J51),2),IF(OR(A52="",H52="",I52=""),"",ROUND(H52*I52,2)))</f>
        <v/>
      </c>
      <c r="K52" s="109" t="str">
        <f>IF(OR(historico_VU!A51="",historico_VU!F51=""),"",historico_VU!F51)</f>
        <v/>
      </c>
      <c r="L52" s="110" t="str">
        <f>IF(posicao_contratual!A51="","",posicao_contratual!S51)</f>
        <v/>
      </c>
      <c r="M52" s="109" t="str">
        <f>IF(A52="TOTAL",ROUND(SUM($M$3:M51),2),IF(OR(A52="",K52="",L52=""),"",ROUND(K52*L52,2)))</f>
        <v/>
      </c>
      <c r="N52" s="107" t="str">
        <f>IF(OR(historico_VU!A51="",historico_VU!G51=""),"",historico_VU!G51)</f>
        <v/>
      </c>
      <c r="O52" s="108" t="str">
        <f>IF(posicao_contratual!A51="","",posicao_contratual!W51)</f>
        <v/>
      </c>
      <c r="P52" s="107" t="str">
        <f>IF(A52="TOTAL",ROUND(SUM($P$3:P51),2),IF(OR(A52="",N52="",O52=""),"",ROUND(N52*O52,2)))</f>
        <v/>
      </c>
      <c r="Q52" s="181" t="str">
        <f t="shared" ca="1" si="8"/>
        <v/>
      </c>
      <c r="R52" t="str">
        <f>IF($A52="","",IF(MEMORIA_RESULTADOS!$W$46="","","C"&amp;MEMORIA_RESULTADOS!$W$46))</f>
        <v/>
      </c>
      <c r="S52" s="207" t="str">
        <f t="shared" ca="1" si="9"/>
        <v/>
      </c>
      <c r="T52" s="207" t="str">
        <f t="shared" ca="1" si="10"/>
        <v/>
      </c>
      <c r="U52" s="207" t="str">
        <f t="shared" ca="1" si="11"/>
        <v/>
      </c>
      <c r="V52" s="191" t="str">
        <f t="shared" ca="1" si="12"/>
        <v/>
      </c>
      <c r="W52" s="191" t="str">
        <f t="shared" ca="1" si="13"/>
        <v/>
      </c>
      <c r="X52" s="191" t="str">
        <f t="shared" ca="1" si="14"/>
        <v/>
      </c>
      <c r="Y52" t="str">
        <f t="shared" ca="1" si="15"/>
        <v/>
      </c>
      <c r="Z52" s="208" t="str">
        <f>IF($A52="","",IF(posicao_contratual!$AA51="","",posicao_contratual!$AA51))</f>
        <v/>
      </c>
      <c r="AA52" t="str">
        <f>IF($A52="","",IF(posicao_contratual!$AL51="","","C"&amp;posicao_contratual!$AL51))</f>
        <v/>
      </c>
      <c r="AB52" t="str">
        <f>IF($A52="","",IF(OR(MEMORIA_RESULTADOS!$W$46="",posicao_contratual!$AL51=""),"",IF(posicao_contratual!$AL51&lt;=MEMORIA_RESULTADOS!$W$46,"SIM","NAO APLICAVEL")))</f>
        <v/>
      </c>
      <c r="AC52" t="str">
        <f>IF($A52="","",IF(MEMORIA_RESULTADOS!$W$46="","",CHOOSE(MEMORIA_RESULTADOS!$W$46+1,posicao_contratual!$AG51,posicao_contratual!$AH51,posicao_contratual!$AI51,posicao_contratual!$AJ51,posicao_contratual!$AK51)))</f>
        <v/>
      </c>
    </row>
    <row r="53" spans="1:29" x14ac:dyDescent="0.35">
      <c r="A53" s="106" t="str">
        <f>IF(AND(itens_Remanesc!A52="",itens_Remanesc!A51&lt;&gt;"",COUNTIF(itens_Remanesc!A53:$A$200,"&lt;&gt;")=0),"TOTAL",IF(itens_Remanesc!A52="","",itens_Remanesc!A52))</f>
        <v/>
      </c>
      <c r="B53" s="107" t="str">
        <f>IF(OR(historico_VU!A52="",historico_VU!C52=""),"",historico_VU!C52)</f>
        <v/>
      </c>
      <c r="C53" s="108" t="str">
        <f>IF(posicao_contratual!A52="","",posicao_contratual!G52)</f>
        <v/>
      </c>
      <c r="D53" s="107" t="str">
        <f>IF(A53="TOTAL",ROUND(SUM($D$3:D52),2),IF(OR(A53="",B53="",C53=""),"",ROUND(B53*C53,2)))</f>
        <v/>
      </c>
      <c r="E53" s="109" t="str">
        <f>IF(OR(historico_VU!A52="",historico_VU!D52=""),"",historico_VU!D52)</f>
        <v/>
      </c>
      <c r="F53" s="110" t="str">
        <f>IF(posicao_contratual!A52="","",posicao_contratual!K52)</f>
        <v/>
      </c>
      <c r="G53" s="109" t="str">
        <f>IF(A53="TOTAL",ROUND(SUM($G$3:G52),2),IF(OR(A53="",E53="",F53=""),"",ROUND(E53*F53,2)))</f>
        <v/>
      </c>
      <c r="H53" s="107" t="str">
        <f>IF(OR(historico_VU!A52="",historico_VU!E52=""),"",historico_VU!E52)</f>
        <v/>
      </c>
      <c r="I53" s="108" t="str">
        <f>IF(posicao_contratual!A52="","",posicao_contratual!O52)</f>
        <v/>
      </c>
      <c r="J53" s="107" t="str">
        <f>IF(A53="TOTAL",ROUND(SUM($J$3:J52),2),IF(OR(A53="",H53="",I53=""),"",ROUND(H53*I53,2)))</f>
        <v/>
      </c>
      <c r="K53" s="109" t="str">
        <f>IF(OR(historico_VU!A52="",historico_VU!F52=""),"",historico_VU!F52)</f>
        <v/>
      </c>
      <c r="L53" s="110" t="str">
        <f>IF(posicao_contratual!A52="","",posicao_contratual!S52)</f>
        <v/>
      </c>
      <c r="M53" s="109" t="str">
        <f>IF(A53="TOTAL",ROUND(SUM($M$3:M52),2),IF(OR(A53="",K53="",L53=""),"",ROUND(K53*L53,2)))</f>
        <v/>
      </c>
      <c r="N53" s="107" t="str">
        <f>IF(OR(historico_VU!A52="",historico_VU!G52=""),"",historico_VU!G52)</f>
        <v/>
      </c>
      <c r="O53" s="108" t="str">
        <f>IF(posicao_contratual!A52="","",posicao_contratual!W52)</f>
        <v/>
      </c>
      <c r="P53" s="107" t="str">
        <f>IF(A53="TOTAL",ROUND(SUM($P$3:P52),2),IF(OR(A53="",N53="",O53=""),"",ROUND(N53*O53,2)))</f>
        <v/>
      </c>
      <c r="Q53" s="181" t="str">
        <f t="shared" ca="1" si="8"/>
        <v/>
      </c>
      <c r="R53" t="str">
        <f>IF($A53="","",IF(MEMORIA_RESULTADOS!$W$46="","","C"&amp;MEMORIA_RESULTADOS!$W$46))</f>
        <v/>
      </c>
      <c r="S53" s="207" t="str">
        <f t="shared" ca="1" si="9"/>
        <v/>
      </c>
      <c r="T53" s="207" t="str">
        <f t="shared" ca="1" si="10"/>
        <v/>
      </c>
      <c r="U53" s="207" t="str">
        <f t="shared" ca="1" si="11"/>
        <v/>
      </c>
      <c r="V53" s="191" t="str">
        <f t="shared" ca="1" si="12"/>
        <v/>
      </c>
      <c r="W53" s="191" t="str">
        <f t="shared" ca="1" si="13"/>
        <v/>
      </c>
      <c r="X53" s="191" t="str">
        <f t="shared" ca="1" si="14"/>
        <v/>
      </c>
      <c r="Y53" t="str">
        <f t="shared" ca="1" si="15"/>
        <v/>
      </c>
      <c r="Z53" s="208" t="str">
        <f>IF($A53="","",IF(posicao_contratual!$AA52="","",posicao_contratual!$AA52))</f>
        <v/>
      </c>
      <c r="AA53" t="str">
        <f>IF($A53="","",IF(posicao_contratual!$AL52="","","C"&amp;posicao_contratual!$AL52))</f>
        <v/>
      </c>
      <c r="AB53" t="str">
        <f>IF($A53="","",IF(OR(MEMORIA_RESULTADOS!$W$46="",posicao_contratual!$AL52=""),"",IF(posicao_contratual!$AL52&lt;=MEMORIA_RESULTADOS!$W$46,"SIM","NAO APLICAVEL")))</f>
        <v/>
      </c>
      <c r="AC53" t="str">
        <f>IF($A53="","",IF(MEMORIA_RESULTADOS!$W$46="","",CHOOSE(MEMORIA_RESULTADOS!$W$46+1,posicao_contratual!$AG52,posicao_contratual!$AH52,posicao_contratual!$AI52,posicao_contratual!$AJ52,posicao_contratual!$AK52)))</f>
        <v/>
      </c>
    </row>
    <row r="54" spans="1:29" x14ac:dyDescent="0.35">
      <c r="A54" s="106" t="str">
        <f>IF(AND(itens_Remanesc!A53="",itens_Remanesc!A52&lt;&gt;"",COUNTIF(itens_Remanesc!A54:$A$200,"&lt;&gt;")=0),"TOTAL",IF(itens_Remanesc!A53="","",itens_Remanesc!A53))</f>
        <v/>
      </c>
      <c r="B54" s="107" t="str">
        <f>IF(OR(historico_VU!A53="",historico_VU!C53=""),"",historico_VU!C53)</f>
        <v/>
      </c>
      <c r="C54" s="108" t="str">
        <f>IF(posicao_contratual!A53="","",posicao_contratual!G53)</f>
        <v/>
      </c>
      <c r="D54" s="107" t="str">
        <f>IF(A54="TOTAL",ROUND(SUM($D$3:D53),2),IF(OR(A54="",B54="",C54=""),"",ROUND(B54*C54,2)))</f>
        <v/>
      </c>
      <c r="E54" s="109" t="str">
        <f>IF(OR(historico_VU!A53="",historico_VU!D53=""),"",historico_VU!D53)</f>
        <v/>
      </c>
      <c r="F54" s="110" t="str">
        <f>IF(posicao_contratual!A53="","",posicao_contratual!K53)</f>
        <v/>
      </c>
      <c r="G54" s="109" t="str">
        <f>IF(A54="TOTAL",ROUND(SUM($G$3:G53),2),IF(OR(A54="",E54="",F54=""),"",ROUND(E54*F54,2)))</f>
        <v/>
      </c>
      <c r="H54" s="107" t="str">
        <f>IF(OR(historico_VU!A53="",historico_VU!E53=""),"",historico_VU!E53)</f>
        <v/>
      </c>
      <c r="I54" s="108" t="str">
        <f>IF(posicao_contratual!A53="","",posicao_contratual!O53)</f>
        <v/>
      </c>
      <c r="J54" s="107" t="str">
        <f>IF(A54="TOTAL",ROUND(SUM($J$3:J53),2),IF(OR(A54="",H54="",I54=""),"",ROUND(H54*I54,2)))</f>
        <v/>
      </c>
      <c r="K54" s="109" t="str">
        <f>IF(OR(historico_VU!A53="",historico_VU!F53=""),"",historico_VU!F53)</f>
        <v/>
      </c>
      <c r="L54" s="110" t="str">
        <f>IF(posicao_contratual!A53="","",posicao_contratual!S53)</f>
        <v/>
      </c>
      <c r="M54" s="109" t="str">
        <f>IF(A54="TOTAL",ROUND(SUM($M$3:M53),2),IF(OR(A54="",K54="",L54=""),"",ROUND(K54*L54,2)))</f>
        <v/>
      </c>
      <c r="N54" s="107" t="str">
        <f>IF(OR(historico_VU!A53="",historico_VU!G53=""),"",historico_VU!G53)</f>
        <v/>
      </c>
      <c r="O54" s="108" t="str">
        <f>IF(posicao_contratual!A53="","",posicao_contratual!W53)</f>
        <v/>
      </c>
      <c r="P54" s="107" t="str">
        <f>IF(A54="TOTAL",ROUND(SUM($P$3:P53),2),IF(OR(A54="",N54="",O54=""),"",ROUND(N54*O54,2)))</f>
        <v/>
      </c>
      <c r="Q54" s="181" t="str">
        <f t="shared" ca="1" si="8"/>
        <v/>
      </c>
      <c r="R54" t="str">
        <f>IF($A54="","",IF(MEMORIA_RESULTADOS!$W$46="","","C"&amp;MEMORIA_RESULTADOS!$W$46))</f>
        <v/>
      </c>
      <c r="S54" s="207" t="str">
        <f t="shared" ca="1" si="9"/>
        <v/>
      </c>
      <c r="T54" s="207" t="str">
        <f t="shared" ca="1" si="10"/>
        <v/>
      </c>
      <c r="U54" s="207" t="str">
        <f t="shared" ca="1" si="11"/>
        <v/>
      </c>
      <c r="V54" s="191" t="str">
        <f t="shared" ca="1" si="12"/>
        <v/>
      </c>
      <c r="W54" s="191" t="str">
        <f t="shared" ca="1" si="13"/>
        <v/>
      </c>
      <c r="X54" s="191" t="str">
        <f t="shared" ca="1" si="14"/>
        <v/>
      </c>
      <c r="Y54" t="str">
        <f t="shared" ca="1" si="15"/>
        <v/>
      </c>
      <c r="Z54" s="208" t="str">
        <f>IF($A54="","",IF(posicao_contratual!$AA53="","",posicao_contratual!$AA53))</f>
        <v/>
      </c>
      <c r="AA54" t="str">
        <f>IF($A54="","",IF(posicao_contratual!$AL53="","","C"&amp;posicao_contratual!$AL53))</f>
        <v/>
      </c>
      <c r="AB54" t="str">
        <f>IF($A54="","",IF(OR(MEMORIA_RESULTADOS!$W$46="",posicao_contratual!$AL53=""),"",IF(posicao_contratual!$AL53&lt;=MEMORIA_RESULTADOS!$W$46,"SIM","NAO APLICAVEL")))</f>
        <v/>
      </c>
      <c r="AC54" t="str">
        <f>IF($A54="","",IF(MEMORIA_RESULTADOS!$W$46="","",CHOOSE(MEMORIA_RESULTADOS!$W$46+1,posicao_contratual!$AG53,posicao_contratual!$AH53,posicao_contratual!$AI53,posicao_contratual!$AJ53,posicao_contratual!$AK53)))</f>
        <v/>
      </c>
    </row>
    <row r="55" spans="1:29" x14ac:dyDescent="0.35">
      <c r="A55" s="106" t="str">
        <f>IF(AND(itens_Remanesc!A54="",itens_Remanesc!A53&lt;&gt;"",COUNTIF(itens_Remanesc!A55:$A$200,"&lt;&gt;")=0),"TOTAL",IF(itens_Remanesc!A54="","",itens_Remanesc!A54))</f>
        <v/>
      </c>
      <c r="B55" s="107" t="str">
        <f>IF(OR(historico_VU!A54="",historico_VU!C54=""),"",historico_VU!C54)</f>
        <v/>
      </c>
      <c r="C55" s="108" t="str">
        <f>IF(posicao_contratual!A54="","",posicao_contratual!G54)</f>
        <v/>
      </c>
      <c r="D55" s="107" t="str">
        <f>IF(A55="TOTAL",ROUND(SUM($D$3:D54),2),IF(OR(A55="",B55="",C55=""),"",ROUND(B55*C55,2)))</f>
        <v/>
      </c>
      <c r="E55" s="109" t="str">
        <f>IF(OR(historico_VU!A54="",historico_VU!D54=""),"",historico_VU!D54)</f>
        <v/>
      </c>
      <c r="F55" s="110" t="str">
        <f>IF(posicao_contratual!A54="","",posicao_contratual!K54)</f>
        <v/>
      </c>
      <c r="G55" s="109" t="str">
        <f>IF(A55="TOTAL",ROUND(SUM($G$3:G54),2),IF(OR(A55="",E55="",F55=""),"",ROUND(E55*F55,2)))</f>
        <v/>
      </c>
      <c r="H55" s="107" t="str">
        <f>IF(OR(historico_VU!A54="",historico_VU!E54=""),"",historico_VU!E54)</f>
        <v/>
      </c>
      <c r="I55" s="108" t="str">
        <f>IF(posicao_contratual!A54="","",posicao_contratual!O54)</f>
        <v/>
      </c>
      <c r="J55" s="107" t="str">
        <f>IF(A55="TOTAL",ROUND(SUM($J$3:J54),2),IF(OR(A55="",H55="",I55=""),"",ROUND(H55*I55,2)))</f>
        <v/>
      </c>
      <c r="K55" s="109" t="str">
        <f>IF(OR(historico_VU!A54="",historico_VU!F54=""),"",historico_VU!F54)</f>
        <v/>
      </c>
      <c r="L55" s="110" t="str">
        <f>IF(posicao_contratual!A54="","",posicao_contratual!S54)</f>
        <v/>
      </c>
      <c r="M55" s="109" t="str">
        <f>IF(A55="TOTAL",ROUND(SUM($M$3:M54),2),IF(OR(A55="",K55="",L55=""),"",ROUND(K55*L55,2)))</f>
        <v/>
      </c>
      <c r="N55" s="107" t="str">
        <f>IF(OR(historico_VU!A54="",historico_VU!G54=""),"",historico_VU!G54)</f>
        <v/>
      </c>
      <c r="O55" s="108" t="str">
        <f>IF(posicao_contratual!A54="","",posicao_contratual!W54)</f>
        <v/>
      </c>
      <c r="P55" s="107" t="str">
        <f>IF(A55="TOTAL",ROUND(SUM($P$3:P54),2),IF(OR(A55="",N55="",O55=""),"",ROUND(N55*O55,2)))</f>
        <v/>
      </c>
      <c r="Q55" s="181" t="str">
        <f t="shared" ca="1" si="8"/>
        <v/>
      </c>
      <c r="R55" t="str">
        <f>IF($A55="","",IF(MEMORIA_RESULTADOS!$W$46="","","C"&amp;MEMORIA_RESULTADOS!$W$46))</f>
        <v/>
      </c>
      <c r="S55" s="207" t="str">
        <f t="shared" ca="1" si="9"/>
        <v/>
      </c>
      <c r="T55" s="207" t="str">
        <f t="shared" ca="1" si="10"/>
        <v/>
      </c>
      <c r="U55" s="207" t="str">
        <f t="shared" ca="1" si="11"/>
        <v/>
      </c>
      <c r="V55" s="191" t="str">
        <f t="shared" ca="1" si="12"/>
        <v/>
      </c>
      <c r="W55" s="191" t="str">
        <f t="shared" ca="1" si="13"/>
        <v/>
      </c>
      <c r="X55" s="191" t="str">
        <f t="shared" ca="1" si="14"/>
        <v/>
      </c>
      <c r="Y55" t="str">
        <f t="shared" ca="1" si="15"/>
        <v/>
      </c>
      <c r="Z55" s="208" t="str">
        <f>IF($A55="","",IF(posicao_contratual!$AA54="","",posicao_contratual!$AA54))</f>
        <v/>
      </c>
      <c r="AA55" t="str">
        <f>IF($A55="","",IF(posicao_contratual!$AL54="","","C"&amp;posicao_contratual!$AL54))</f>
        <v/>
      </c>
      <c r="AB55" t="str">
        <f>IF($A55="","",IF(OR(MEMORIA_RESULTADOS!$W$46="",posicao_contratual!$AL54=""),"",IF(posicao_contratual!$AL54&lt;=MEMORIA_RESULTADOS!$W$46,"SIM","NAO APLICAVEL")))</f>
        <v/>
      </c>
      <c r="AC55" t="str">
        <f>IF($A55="","",IF(MEMORIA_RESULTADOS!$W$46="","",CHOOSE(MEMORIA_RESULTADOS!$W$46+1,posicao_contratual!$AG54,posicao_contratual!$AH54,posicao_contratual!$AI54,posicao_contratual!$AJ54,posicao_contratual!$AK54)))</f>
        <v/>
      </c>
    </row>
    <row r="56" spans="1:29" x14ac:dyDescent="0.35">
      <c r="A56" s="106" t="str">
        <f>IF(AND(itens_Remanesc!A55="",itens_Remanesc!A54&lt;&gt;"",COUNTIF(itens_Remanesc!A56:$A$200,"&lt;&gt;")=0),"TOTAL",IF(itens_Remanesc!A55="","",itens_Remanesc!A55))</f>
        <v/>
      </c>
      <c r="B56" s="107" t="str">
        <f>IF(OR(historico_VU!A55="",historico_VU!C55=""),"",historico_VU!C55)</f>
        <v/>
      </c>
      <c r="C56" s="108" t="str">
        <f>IF(posicao_contratual!A55="","",posicao_contratual!G55)</f>
        <v/>
      </c>
      <c r="D56" s="107" t="str">
        <f>IF(A56="TOTAL",ROUND(SUM($D$3:D55),2),IF(OR(A56="",B56="",C56=""),"",ROUND(B56*C56,2)))</f>
        <v/>
      </c>
      <c r="E56" s="109" t="str">
        <f>IF(OR(historico_VU!A55="",historico_VU!D55=""),"",historico_VU!D55)</f>
        <v/>
      </c>
      <c r="F56" s="110" t="str">
        <f>IF(posicao_contratual!A55="","",posicao_contratual!K55)</f>
        <v/>
      </c>
      <c r="G56" s="109" t="str">
        <f>IF(A56="TOTAL",ROUND(SUM($G$3:G55),2),IF(OR(A56="",E56="",F56=""),"",ROUND(E56*F56,2)))</f>
        <v/>
      </c>
      <c r="H56" s="107" t="str">
        <f>IF(OR(historico_VU!A55="",historico_VU!E55=""),"",historico_VU!E55)</f>
        <v/>
      </c>
      <c r="I56" s="108" t="str">
        <f>IF(posicao_contratual!A55="","",posicao_contratual!O55)</f>
        <v/>
      </c>
      <c r="J56" s="107" t="str">
        <f>IF(A56="TOTAL",ROUND(SUM($J$3:J55),2),IF(OR(A56="",H56="",I56=""),"",ROUND(H56*I56,2)))</f>
        <v/>
      </c>
      <c r="K56" s="109" t="str">
        <f>IF(OR(historico_VU!A55="",historico_VU!F55=""),"",historico_VU!F55)</f>
        <v/>
      </c>
      <c r="L56" s="110" t="str">
        <f>IF(posicao_contratual!A55="","",posicao_contratual!S55)</f>
        <v/>
      </c>
      <c r="M56" s="109" t="str">
        <f>IF(A56="TOTAL",ROUND(SUM($M$3:M55),2),IF(OR(A56="",K56="",L56=""),"",ROUND(K56*L56,2)))</f>
        <v/>
      </c>
      <c r="N56" s="107" t="str">
        <f>IF(OR(historico_VU!A55="",historico_VU!G55=""),"",historico_VU!G55)</f>
        <v/>
      </c>
      <c r="O56" s="108" t="str">
        <f>IF(posicao_contratual!A55="","",posicao_contratual!W55)</f>
        <v/>
      </c>
      <c r="P56" s="107" t="str">
        <f>IF(A56="TOTAL",ROUND(SUM($P$3:P55),2),IF(OR(A56="",N56="",O56=""),"",ROUND(N56*O56,2)))</f>
        <v/>
      </c>
      <c r="Q56" s="181" t="str">
        <f t="shared" ca="1" si="8"/>
        <v/>
      </c>
      <c r="R56" t="str">
        <f>IF($A56="","",IF(MEMORIA_RESULTADOS!$W$46="","","C"&amp;MEMORIA_RESULTADOS!$W$46))</f>
        <v/>
      </c>
      <c r="S56" s="207" t="str">
        <f t="shared" ca="1" si="9"/>
        <v/>
      </c>
      <c r="T56" s="207" t="str">
        <f t="shared" ca="1" si="10"/>
        <v/>
      </c>
      <c r="U56" s="207" t="str">
        <f t="shared" ca="1" si="11"/>
        <v/>
      </c>
      <c r="V56" s="191" t="str">
        <f t="shared" ca="1" si="12"/>
        <v/>
      </c>
      <c r="W56" s="191" t="str">
        <f t="shared" ca="1" si="13"/>
        <v/>
      </c>
      <c r="X56" s="191" t="str">
        <f t="shared" ca="1" si="14"/>
        <v/>
      </c>
      <c r="Y56" t="str">
        <f t="shared" ca="1" si="15"/>
        <v/>
      </c>
      <c r="Z56" s="208" t="str">
        <f>IF($A56="","",IF(posicao_contratual!$AA55="","",posicao_contratual!$AA55))</f>
        <v/>
      </c>
      <c r="AA56" t="str">
        <f>IF($A56="","",IF(posicao_contratual!$AL55="","","C"&amp;posicao_contratual!$AL55))</f>
        <v/>
      </c>
      <c r="AB56" t="str">
        <f>IF($A56="","",IF(OR(MEMORIA_RESULTADOS!$W$46="",posicao_contratual!$AL55=""),"",IF(posicao_contratual!$AL55&lt;=MEMORIA_RESULTADOS!$W$46,"SIM","NAO APLICAVEL")))</f>
        <v/>
      </c>
      <c r="AC56" t="str">
        <f>IF($A56="","",IF(MEMORIA_RESULTADOS!$W$46="","",CHOOSE(MEMORIA_RESULTADOS!$W$46+1,posicao_contratual!$AG55,posicao_contratual!$AH55,posicao_contratual!$AI55,posicao_contratual!$AJ55,posicao_contratual!$AK55)))</f>
        <v/>
      </c>
    </row>
    <row r="57" spans="1:29" x14ac:dyDescent="0.35">
      <c r="A57" s="106" t="str">
        <f>IF(AND(itens_Remanesc!A56="",itens_Remanesc!A55&lt;&gt;"",COUNTIF(itens_Remanesc!A57:$A$200,"&lt;&gt;")=0),"TOTAL",IF(itens_Remanesc!A56="","",itens_Remanesc!A56))</f>
        <v/>
      </c>
      <c r="B57" s="107" t="str">
        <f>IF(OR(historico_VU!A56="",historico_VU!C56=""),"",historico_VU!C56)</f>
        <v/>
      </c>
      <c r="C57" s="108" t="str">
        <f>IF(posicao_contratual!A56="","",posicao_contratual!G56)</f>
        <v/>
      </c>
      <c r="D57" s="107" t="str">
        <f>IF(A57="TOTAL",ROUND(SUM($D$3:D56),2),IF(OR(A57="",B57="",C57=""),"",ROUND(B57*C57,2)))</f>
        <v/>
      </c>
      <c r="E57" s="109" t="str">
        <f>IF(OR(historico_VU!A56="",historico_VU!D56=""),"",historico_VU!D56)</f>
        <v/>
      </c>
      <c r="F57" s="110" t="str">
        <f>IF(posicao_contratual!A56="","",posicao_contratual!K56)</f>
        <v/>
      </c>
      <c r="G57" s="109" t="str">
        <f>IF(A57="TOTAL",ROUND(SUM($G$3:G56),2),IF(OR(A57="",E57="",F57=""),"",ROUND(E57*F57,2)))</f>
        <v/>
      </c>
      <c r="H57" s="107" t="str">
        <f>IF(OR(historico_VU!A56="",historico_VU!E56=""),"",historico_VU!E56)</f>
        <v/>
      </c>
      <c r="I57" s="108" t="str">
        <f>IF(posicao_contratual!A56="","",posicao_contratual!O56)</f>
        <v/>
      </c>
      <c r="J57" s="107" t="str">
        <f>IF(A57="TOTAL",ROUND(SUM($J$3:J56),2),IF(OR(A57="",H57="",I57=""),"",ROUND(H57*I57,2)))</f>
        <v/>
      </c>
      <c r="K57" s="109" t="str">
        <f>IF(OR(historico_VU!A56="",historico_VU!F56=""),"",historico_VU!F56)</f>
        <v/>
      </c>
      <c r="L57" s="110" t="str">
        <f>IF(posicao_contratual!A56="","",posicao_contratual!S56)</f>
        <v/>
      </c>
      <c r="M57" s="109" t="str">
        <f>IF(A57="TOTAL",ROUND(SUM($M$3:M56),2),IF(OR(A57="",K57="",L57=""),"",ROUND(K57*L57,2)))</f>
        <v/>
      </c>
      <c r="N57" s="107" t="str">
        <f>IF(OR(historico_VU!A56="",historico_VU!G56=""),"",historico_VU!G56)</f>
        <v/>
      </c>
      <c r="O57" s="108" t="str">
        <f>IF(posicao_contratual!A56="","",posicao_contratual!W56)</f>
        <v/>
      </c>
      <c r="P57" s="107" t="str">
        <f>IF(A57="TOTAL",ROUND(SUM($P$3:P56),2),IF(OR(A57="",N57="",O57=""),"",ROUND(N57*O57,2)))</f>
        <v/>
      </c>
      <c r="Q57" s="181" t="str">
        <f t="shared" ca="1" si="8"/>
        <v/>
      </c>
      <c r="R57" t="str">
        <f>IF($A57="","",IF(MEMORIA_RESULTADOS!$W$46="","","C"&amp;MEMORIA_RESULTADOS!$W$46))</f>
        <v/>
      </c>
      <c r="S57" s="207" t="str">
        <f t="shared" ca="1" si="9"/>
        <v/>
      </c>
      <c r="T57" s="207" t="str">
        <f t="shared" ca="1" si="10"/>
        <v/>
      </c>
      <c r="U57" s="207" t="str">
        <f t="shared" ca="1" si="11"/>
        <v/>
      </c>
      <c r="V57" s="191" t="str">
        <f t="shared" ca="1" si="12"/>
        <v/>
      </c>
      <c r="W57" s="191" t="str">
        <f t="shared" ca="1" si="13"/>
        <v/>
      </c>
      <c r="X57" s="191" t="str">
        <f t="shared" ca="1" si="14"/>
        <v/>
      </c>
      <c r="Y57" t="str">
        <f t="shared" ca="1" si="15"/>
        <v/>
      </c>
      <c r="Z57" s="208" t="str">
        <f>IF($A57="","",IF(posicao_contratual!$AA56="","",posicao_contratual!$AA56))</f>
        <v/>
      </c>
      <c r="AA57" t="str">
        <f>IF($A57="","",IF(posicao_contratual!$AL56="","","C"&amp;posicao_contratual!$AL56))</f>
        <v/>
      </c>
      <c r="AB57" t="str">
        <f>IF($A57="","",IF(OR(MEMORIA_RESULTADOS!$W$46="",posicao_contratual!$AL56=""),"",IF(posicao_contratual!$AL56&lt;=MEMORIA_RESULTADOS!$W$46,"SIM","NAO APLICAVEL")))</f>
        <v/>
      </c>
      <c r="AC57" t="str">
        <f>IF($A57="","",IF(MEMORIA_RESULTADOS!$W$46="","",CHOOSE(MEMORIA_RESULTADOS!$W$46+1,posicao_contratual!$AG56,posicao_contratual!$AH56,posicao_contratual!$AI56,posicao_contratual!$AJ56,posicao_contratual!$AK56)))</f>
        <v/>
      </c>
    </row>
    <row r="58" spans="1:29" x14ac:dyDescent="0.35">
      <c r="A58" s="106" t="str">
        <f>IF(AND(itens_Remanesc!A57="",itens_Remanesc!A56&lt;&gt;"",COUNTIF(itens_Remanesc!A58:$A$200,"&lt;&gt;")=0),"TOTAL",IF(itens_Remanesc!A57="","",itens_Remanesc!A57))</f>
        <v/>
      </c>
      <c r="B58" s="107" t="str">
        <f>IF(OR(historico_VU!A57="",historico_VU!C57=""),"",historico_VU!C57)</f>
        <v/>
      </c>
      <c r="C58" s="108" t="str">
        <f>IF(posicao_contratual!A57="","",posicao_contratual!G57)</f>
        <v/>
      </c>
      <c r="D58" s="107" t="str">
        <f>IF(A58="TOTAL",ROUND(SUM($D$3:D57),2),IF(OR(A58="",B58="",C58=""),"",ROUND(B58*C58,2)))</f>
        <v/>
      </c>
      <c r="E58" s="109" t="str">
        <f>IF(OR(historico_VU!A57="",historico_VU!D57=""),"",historico_VU!D57)</f>
        <v/>
      </c>
      <c r="F58" s="110" t="str">
        <f>IF(posicao_contratual!A57="","",posicao_contratual!K57)</f>
        <v/>
      </c>
      <c r="G58" s="109" t="str">
        <f>IF(A58="TOTAL",ROUND(SUM($G$3:G57),2),IF(OR(A58="",E58="",F58=""),"",ROUND(E58*F58,2)))</f>
        <v/>
      </c>
      <c r="H58" s="107" t="str">
        <f>IF(OR(historico_VU!A57="",historico_VU!E57=""),"",historico_VU!E57)</f>
        <v/>
      </c>
      <c r="I58" s="108" t="str">
        <f>IF(posicao_contratual!A57="","",posicao_contratual!O57)</f>
        <v/>
      </c>
      <c r="J58" s="107" t="str">
        <f>IF(A58="TOTAL",ROUND(SUM($J$3:J57),2),IF(OR(A58="",H58="",I58=""),"",ROUND(H58*I58,2)))</f>
        <v/>
      </c>
      <c r="K58" s="109" t="str">
        <f>IF(OR(historico_VU!A57="",historico_VU!F57=""),"",historico_VU!F57)</f>
        <v/>
      </c>
      <c r="L58" s="110" t="str">
        <f>IF(posicao_contratual!A57="","",posicao_contratual!S57)</f>
        <v/>
      </c>
      <c r="M58" s="109" t="str">
        <f>IF(A58="TOTAL",ROUND(SUM($M$3:M57),2),IF(OR(A58="",K58="",L58=""),"",ROUND(K58*L58,2)))</f>
        <v/>
      </c>
      <c r="N58" s="107" t="str">
        <f>IF(OR(historico_VU!A57="",historico_VU!G57=""),"",historico_VU!G57)</f>
        <v/>
      </c>
      <c r="O58" s="108" t="str">
        <f>IF(posicao_contratual!A57="","",posicao_contratual!W57)</f>
        <v/>
      </c>
      <c r="P58" s="107" t="str">
        <f>IF(A58="TOTAL",ROUND(SUM($P$3:P57),2),IF(OR(A58="",N58="",O58=""),"",ROUND(N58*O58,2)))</f>
        <v/>
      </c>
      <c r="Q58" s="181" t="str">
        <f t="shared" ca="1" si="8"/>
        <v/>
      </c>
      <c r="R58" t="str">
        <f>IF($A58="","",IF(MEMORIA_RESULTADOS!$W$46="","","C"&amp;MEMORIA_RESULTADOS!$W$46))</f>
        <v/>
      </c>
      <c r="S58" s="207" t="str">
        <f t="shared" ca="1" si="9"/>
        <v/>
      </c>
      <c r="T58" s="207" t="str">
        <f t="shared" ca="1" si="10"/>
        <v/>
      </c>
      <c r="U58" s="207" t="str">
        <f t="shared" ca="1" si="11"/>
        <v/>
      </c>
      <c r="V58" s="191" t="str">
        <f t="shared" ca="1" si="12"/>
        <v/>
      </c>
      <c r="W58" s="191" t="str">
        <f t="shared" ca="1" si="13"/>
        <v/>
      </c>
      <c r="X58" s="191" t="str">
        <f t="shared" ca="1" si="14"/>
        <v/>
      </c>
      <c r="Y58" t="str">
        <f t="shared" ca="1" si="15"/>
        <v/>
      </c>
      <c r="Z58" s="208" t="str">
        <f>IF($A58="","",IF(posicao_contratual!$AA57="","",posicao_contratual!$AA57))</f>
        <v/>
      </c>
      <c r="AA58" t="str">
        <f>IF($A58="","",IF(posicao_contratual!$AL57="","","C"&amp;posicao_contratual!$AL57))</f>
        <v/>
      </c>
      <c r="AB58" t="str">
        <f>IF($A58="","",IF(OR(MEMORIA_RESULTADOS!$W$46="",posicao_contratual!$AL57=""),"",IF(posicao_contratual!$AL57&lt;=MEMORIA_RESULTADOS!$W$46,"SIM","NAO APLICAVEL")))</f>
        <v/>
      </c>
      <c r="AC58" t="str">
        <f>IF($A58="","",IF(MEMORIA_RESULTADOS!$W$46="","",CHOOSE(MEMORIA_RESULTADOS!$W$46+1,posicao_contratual!$AG57,posicao_contratual!$AH57,posicao_contratual!$AI57,posicao_contratual!$AJ57,posicao_contratual!$AK57)))</f>
        <v/>
      </c>
    </row>
    <row r="59" spans="1:29" x14ac:dyDescent="0.35">
      <c r="A59" s="106" t="str">
        <f>IF(AND(itens_Remanesc!A58="",itens_Remanesc!A57&lt;&gt;"",COUNTIF(itens_Remanesc!A59:$A$200,"&lt;&gt;")=0),"TOTAL",IF(itens_Remanesc!A58="","",itens_Remanesc!A58))</f>
        <v/>
      </c>
      <c r="B59" s="107" t="str">
        <f>IF(OR(historico_VU!A58="",historico_VU!C58=""),"",historico_VU!C58)</f>
        <v/>
      </c>
      <c r="C59" s="108" t="str">
        <f>IF(posicao_contratual!A58="","",posicao_contratual!G58)</f>
        <v/>
      </c>
      <c r="D59" s="107" t="str">
        <f>IF(A59="TOTAL",ROUND(SUM($D$3:D58),2),IF(OR(A59="",B59="",C59=""),"",ROUND(B59*C59,2)))</f>
        <v/>
      </c>
      <c r="E59" s="109" t="str">
        <f>IF(OR(historico_VU!A58="",historico_VU!D58=""),"",historico_VU!D58)</f>
        <v/>
      </c>
      <c r="F59" s="110" t="str">
        <f>IF(posicao_contratual!A58="","",posicao_contratual!K58)</f>
        <v/>
      </c>
      <c r="G59" s="109" t="str">
        <f>IF(A59="TOTAL",ROUND(SUM($G$3:G58),2),IF(OR(A59="",E59="",F59=""),"",ROUND(E59*F59,2)))</f>
        <v/>
      </c>
      <c r="H59" s="107" t="str">
        <f>IF(OR(historico_VU!A58="",historico_VU!E58=""),"",historico_VU!E58)</f>
        <v/>
      </c>
      <c r="I59" s="108" t="str">
        <f>IF(posicao_contratual!A58="","",posicao_contratual!O58)</f>
        <v/>
      </c>
      <c r="J59" s="107" t="str">
        <f>IF(A59="TOTAL",ROUND(SUM($J$3:J58),2),IF(OR(A59="",H59="",I59=""),"",ROUND(H59*I59,2)))</f>
        <v/>
      </c>
      <c r="K59" s="109" t="str">
        <f>IF(OR(historico_VU!A58="",historico_VU!F58=""),"",historico_VU!F58)</f>
        <v/>
      </c>
      <c r="L59" s="110" t="str">
        <f>IF(posicao_contratual!A58="","",posicao_contratual!S58)</f>
        <v/>
      </c>
      <c r="M59" s="109" t="str">
        <f>IF(A59="TOTAL",ROUND(SUM($M$3:M58),2),IF(OR(A59="",K59="",L59=""),"",ROUND(K59*L59,2)))</f>
        <v/>
      </c>
      <c r="N59" s="107" t="str">
        <f>IF(OR(historico_VU!A58="",historico_VU!G58=""),"",historico_VU!G58)</f>
        <v/>
      </c>
      <c r="O59" s="108" t="str">
        <f>IF(posicao_contratual!A58="","",posicao_contratual!W58)</f>
        <v/>
      </c>
      <c r="P59" s="107" t="str">
        <f>IF(A59="TOTAL",ROUND(SUM($P$3:P58),2),IF(OR(A59="",N59="",O59=""),"",ROUND(N59*O59,2)))</f>
        <v/>
      </c>
      <c r="Q59" s="181" t="str">
        <f t="shared" ca="1" si="8"/>
        <v/>
      </c>
      <c r="R59" t="str">
        <f>IF($A59="","",IF(MEMORIA_RESULTADOS!$W$46="","","C"&amp;MEMORIA_RESULTADOS!$W$46))</f>
        <v/>
      </c>
      <c r="S59" s="207" t="str">
        <f t="shared" ca="1" si="9"/>
        <v/>
      </c>
      <c r="T59" s="207" t="str">
        <f t="shared" ca="1" si="10"/>
        <v/>
      </c>
      <c r="U59" s="207" t="str">
        <f t="shared" ca="1" si="11"/>
        <v/>
      </c>
      <c r="V59" s="191" t="str">
        <f t="shared" ca="1" si="12"/>
        <v/>
      </c>
      <c r="W59" s="191" t="str">
        <f t="shared" ca="1" si="13"/>
        <v/>
      </c>
      <c r="X59" s="191" t="str">
        <f t="shared" ca="1" si="14"/>
        <v/>
      </c>
      <c r="Y59" t="str">
        <f t="shared" ca="1" si="15"/>
        <v/>
      </c>
      <c r="Z59" s="208" t="str">
        <f>IF($A59="","",IF(posicao_contratual!$AA58="","",posicao_contratual!$AA58))</f>
        <v/>
      </c>
      <c r="AA59" t="str">
        <f>IF($A59="","",IF(posicao_contratual!$AL58="","","C"&amp;posicao_contratual!$AL58))</f>
        <v/>
      </c>
      <c r="AB59" t="str">
        <f>IF($A59="","",IF(OR(MEMORIA_RESULTADOS!$W$46="",posicao_contratual!$AL58=""),"",IF(posicao_contratual!$AL58&lt;=MEMORIA_RESULTADOS!$W$46,"SIM","NAO APLICAVEL")))</f>
        <v/>
      </c>
      <c r="AC59" t="str">
        <f>IF($A59="","",IF(MEMORIA_RESULTADOS!$W$46="","",CHOOSE(MEMORIA_RESULTADOS!$W$46+1,posicao_contratual!$AG58,posicao_contratual!$AH58,posicao_contratual!$AI58,posicao_contratual!$AJ58,posicao_contratual!$AK58)))</f>
        <v/>
      </c>
    </row>
    <row r="60" spans="1:29" x14ac:dyDescent="0.35">
      <c r="A60" s="106" t="str">
        <f>IF(AND(itens_Remanesc!A59="",itens_Remanesc!A58&lt;&gt;"",COUNTIF(itens_Remanesc!A60:$A$200,"&lt;&gt;")=0),"TOTAL",IF(itens_Remanesc!A59="","",itens_Remanesc!A59))</f>
        <v/>
      </c>
      <c r="B60" s="107" t="str">
        <f>IF(OR(historico_VU!A59="",historico_VU!C59=""),"",historico_VU!C59)</f>
        <v/>
      </c>
      <c r="C60" s="108" t="str">
        <f>IF(posicao_contratual!A59="","",posicao_contratual!G59)</f>
        <v/>
      </c>
      <c r="D60" s="107" t="str">
        <f>IF(A60="TOTAL",ROUND(SUM($D$3:D59),2),IF(OR(A60="",B60="",C60=""),"",ROUND(B60*C60,2)))</f>
        <v/>
      </c>
      <c r="E60" s="109" t="str">
        <f>IF(OR(historico_VU!A59="",historico_VU!D59=""),"",historico_VU!D59)</f>
        <v/>
      </c>
      <c r="F60" s="110" t="str">
        <f>IF(posicao_contratual!A59="","",posicao_contratual!K59)</f>
        <v/>
      </c>
      <c r="G60" s="109" t="str">
        <f>IF(A60="TOTAL",ROUND(SUM($G$3:G59),2),IF(OR(A60="",E60="",F60=""),"",ROUND(E60*F60,2)))</f>
        <v/>
      </c>
      <c r="H60" s="107" t="str">
        <f>IF(OR(historico_VU!A59="",historico_VU!E59=""),"",historico_VU!E59)</f>
        <v/>
      </c>
      <c r="I60" s="108" t="str">
        <f>IF(posicao_contratual!A59="","",posicao_contratual!O59)</f>
        <v/>
      </c>
      <c r="J60" s="107" t="str">
        <f>IF(A60="TOTAL",ROUND(SUM($J$3:J59),2),IF(OR(A60="",H60="",I60=""),"",ROUND(H60*I60,2)))</f>
        <v/>
      </c>
      <c r="K60" s="109" t="str">
        <f>IF(OR(historico_VU!A59="",historico_VU!F59=""),"",historico_VU!F59)</f>
        <v/>
      </c>
      <c r="L60" s="110" t="str">
        <f>IF(posicao_contratual!A59="","",posicao_contratual!S59)</f>
        <v/>
      </c>
      <c r="M60" s="109" t="str">
        <f>IF(A60="TOTAL",ROUND(SUM($M$3:M59),2),IF(OR(A60="",K60="",L60=""),"",ROUND(K60*L60,2)))</f>
        <v/>
      </c>
      <c r="N60" s="107" t="str">
        <f>IF(OR(historico_VU!A59="",historico_VU!G59=""),"",historico_VU!G59)</f>
        <v/>
      </c>
      <c r="O60" s="108" t="str">
        <f>IF(posicao_contratual!A59="","",posicao_contratual!W59)</f>
        <v/>
      </c>
      <c r="P60" s="107" t="str">
        <f>IF(A60="TOTAL",ROUND(SUM($P$3:P59),2),IF(OR(A60="",N60="",O60=""),"",ROUND(N60*O60,2)))</f>
        <v/>
      </c>
      <c r="Q60" s="181" t="str">
        <f t="shared" ca="1" si="8"/>
        <v/>
      </c>
      <c r="R60" t="str">
        <f>IF($A60="","",IF(MEMORIA_RESULTADOS!$W$46="","","C"&amp;MEMORIA_RESULTADOS!$W$46))</f>
        <v/>
      </c>
      <c r="S60" s="207" t="str">
        <f t="shared" ca="1" si="9"/>
        <v/>
      </c>
      <c r="T60" s="207" t="str">
        <f t="shared" ca="1" si="10"/>
        <v/>
      </c>
      <c r="U60" s="207" t="str">
        <f t="shared" ca="1" si="11"/>
        <v/>
      </c>
      <c r="V60" s="191" t="str">
        <f t="shared" ca="1" si="12"/>
        <v/>
      </c>
      <c r="W60" s="191" t="str">
        <f t="shared" ca="1" si="13"/>
        <v/>
      </c>
      <c r="X60" s="191" t="str">
        <f t="shared" ca="1" si="14"/>
        <v/>
      </c>
      <c r="Y60" t="str">
        <f t="shared" ca="1" si="15"/>
        <v/>
      </c>
      <c r="Z60" s="208" t="str">
        <f>IF($A60="","",IF(posicao_contratual!$AA59="","",posicao_contratual!$AA59))</f>
        <v/>
      </c>
      <c r="AA60" t="str">
        <f>IF($A60="","",IF(posicao_contratual!$AL59="","","C"&amp;posicao_contratual!$AL59))</f>
        <v/>
      </c>
      <c r="AB60" t="str">
        <f>IF($A60="","",IF(OR(MEMORIA_RESULTADOS!$W$46="",posicao_contratual!$AL59=""),"",IF(posicao_contratual!$AL59&lt;=MEMORIA_RESULTADOS!$W$46,"SIM","NAO APLICAVEL")))</f>
        <v/>
      </c>
      <c r="AC60" t="str">
        <f>IF($A60="","",IF(MEMORIA_RESULTADOS!$W$46="","",CHOOSE(MEMORIA_RESULTADOS!$W$46+1,posicao_contratual!$AG59,posicao_contratual!$AH59,posicao_contratual!$AI59,posicao_contratual!$AJ59,posicao_contratual!$AK59)))</f>
        <v/>
      </c>
    </row>
    <row r="61" spans="1:29" x14ac:dyDescent="0.35">
      <c r="A61" s="106" t="str">
        <f>IF(AND(itens_Remanesc!A60="",itens_Remanesc!A59&lt;&gt;"",COUNTIF(itens_Remanesc!A61:$A$200,"&lt;&gt;")=0),"TOTAL",IF(itens_Remanesc!A60="","",itens_Remanesc!A60))</f>
        <v/>
      </c>
      <c r="B61" s="107" t="str">
        <f>IF(OR(historico_VU!A60="",historico_VU!C60=""),"",historico_VU!C60)</f>
        <v/>
      </c>
      <c r="C61" s="108" t="str">
        <f>IF(posicao_contratual!A60="","",posicao_contratual!G60)</f>
        <v/>
      </c>
      <c r="D61" s="107" t="str">
        <f>IF(A61="TOTAL",ROUND(SUM($D$3:D60),2),IF(OR(A61="",B61="",C61=""),"",ROUND(B61*C61,2)))</f>
        <v/>
      </c>
      <c r="E61" s="109" t="str">
        <f>IF(OR(historico_VU!A60="",historico_VU!D60=""),"",historico_VU!D60)</f>
        <v/>
      </c>
      <c r="F61" s="110" t="str">
        <f>IF(posicao_contratual!A60="","",posicao_contratual!K60)</f>
        <v/>
      </c>
      <c r="G61" s="109" t="str">
        <f>IF(A61="TOTAL",ROUND(SUM($G$3:G60),2),IF(OR(A61="",E61="",F61=""),"",ROUND(E61*F61,2)))</f>
        <v/>
      </c>
      <c r="H61" s="107" t="str">
        <f>IF(OR(historico_VU!A60="",historico_VU!E60=""),"",historico_VU!E60)</f>
        <v/>
      </c>
      <c r="I61" s="108" t="str">
        <f>IF(posicao_contratual!A60="","",posicao_contratual!O60)</f>
        <v/>
      </c>
      <c r="J61" s="107" t="str">
        <f>IF(A61="TOTAL",ROUND(SUM($J$3:J60),2),IF(OR(A61="",H61="",I61=""),"",ROUND(H61*I61,2)))</f>
        <v/>
      </c>
      <c r="K61" s="109" t="str">
        <f>IF(OR(historico_VU!A60="",historico_VU!F60=""),"",historico_VU!F60)</f>
        <v/>
      </c>
      <c r="L61" s="110" t="str">
        <f>IF(posicao_contratual!A60="","",posicao_contratual!S60)</f>
        <v/>
      </c>
      <c r="M61" s="109" t="str">
        <f>IF(A61="TOTAL",ROUND(SUM($M$3:M60),2),IF(OR(A61="",K61="",L61=""),"",ROUND(K61*L61,2)))</f>
        <v/>
      </c>
      <c r="N61" s="107" t="str">
        <f>IF(OR(historico_VU!A60="",historico_VU!G60=""),"",historico_VU!G60)</f>
        <v/>
      </c>
      <c r="O61" s="108" t="str">
        <f>IF(posicao_contratual!A60="","",posicao_contratual!W60)</f>
        <v/>
      </c>
      <c r="P61" s="107" t="str">
        <f>IF(A61="TOTAL",ROUND(SUM($P$3:P60),2),IF(OR(A61="",N61="",O61=""),"",ROUND(N61*O61,2)))</f>
        <v/>
      </c>
      <c r="Q61" s="181" t="str">
        <f t="shared" ca="1" si="8"/>
        <v/>
      </c>
      <c r="R61" t="str">
        <f>IF($A61="","",IF(MEMORIA_RESULTADOS!$W$46="","","C"&amp;MEMORIA_RESULTADOS!$W$46))</f>
        <v/>
      </c>
      <c r="S61" s="207" t="str">
        <f t="shared" ca="1" si="9"/>
        <v/>
      </c>
      <c r="T61" s="207" t="str">
        <f t="shared" ca="1" si="10"/>
        <v/>
      </c>
      <c r="U61" s="207" t="str">
        <f t="shared" ca="1" si="11"/>
        <v/>
      </c>
      <c r="V61" s="191" t="str">
        <f t="shared" ca="1" si="12"/>
        <v/>
      </c>
      <c r="W61" s="191" t="str">
        <f t="shared" ca="1" si="13"/>
        <v/>
      </c>
      <c r="X61" s="191" t="str">
        <f t="shared" ca="1" si="14"/>
        <v/>
      </c>
      <c r="Y61" t="str">
        <f t="shared" ca="1" si="15"/>
        <v/>
      </c>
      <c r="Z61" s="208" t="str">
        <f>IF($A61="","",IF(posicao_contratual!$AA60="","",posicao_contratual!$AA60))</f>
        <v/>
      </c>
      <c r="AA61" t="str">
        <f>IF($A61="","",IF(posicao_contratual!$AL60="","","C"&amp;posicao_contratual!$AL60))</f>
        <v/>
      </c>
      <c r="AB61" t="str">
        <f>IF($A61="","",IF(OR(MEMORIA_RESULTADOS!$W$46="",posicao_contratual!$AL60=""),"",IF(posicao_contratual!$AL60&lt;=MEMORIA_RESULTADOS!$W$46,"SIM","NAO APLICAVEL")))</f>
        <v/>
      </c>
      <c r="AC61" t="str">
        <f>IF($A61="","",IF(MEMORIA_RESULTADOS!$W$46="","",CHOOSE(MEMORIA_RESULTADOS!$W$46+1,posicao_contratual!$AG60,posicao_contratual!$AH60,posicao_contratual!$AI60,posicao_contratual!$AJ60,posicao_contratual!$AK60)))</f>
        <v/>
      </c>
    </row>
    <row r="62" spans="1:29" x14ac:dyDescent="0.35">
      <c r="A62" s="106" t="str">
        <f>IF(AND(itens_Remanesc!A61="",itens_Remanesc!A60&lt;&gt;"",COUNTIF(itens_Remanesc!A62:$A$200,"&lt;&gt;")=0),"TOTAL",IF(itens_Remanesc!A61="","",itens_Remanesc!A61))</f>
        <v/>
      </c>
      <c r="B62" s="107" t="str">
        <f>IF(OR(historico_VU!A61="",historico_VU!C61=""),"",historico_VU!C61)</f>
        <v/>
      </c>
      <c r="C62" s="108" t="str">
        <f>IF(posicao_contratual!A61="","",posicao_contratual!G61)</f>
        <v/>
      </c>
      <c r="D62" s="107" t="str">
        <f>IF(A62="TOTAL",ROUND(SUM($D$3:D61),2),IF(OR(A62="",B62="",C62=""),"",ROUND(B62*C62,2)))</f>
        <v/>
      </c>
      <c r="E62" s="109" t="str">
        <f>IF(OR(historico_VU!A61="",historico_VU!D61=""),"",historico_VU!D61)</f>
        <v/>
      </c>
      <c r="F62" s="110" t="str">
        <f>IF(posicao_contratual!A61="","",posicao_contratual!K61)</f>
        <v/>
      </c>
      <c r="G62" s="109" t="str">
        <f>IF(A62="TOTAL",ROUND(SUM($G$3:G61),2),IF(OR(A62="",E62="",F62=""),"",ROUND(E62*F62,2)))</f>
        <v/>
      </c>
      <c r="H62" s="107" t="str">
        <f>IF(OR(historico_VU!A61="",historico_VU!E61=""),"",historico_VU!E61)</f>
        <v/>
      </c>
      <c r="I62" s="108" t="str">
        <f>IF(posicao_contratual!A61="","",posicao_contratual!O61)</f>
        <v/>
      </c>
      <c r="J62" s="107" t="str">
        <f>IF(A62="TOTAL",ROUND(SUM($J$3:J61),2),IF(OR(A62="",H62="",I62=""),"",ROUND(H62*I62,2)))</f>
        <v/>
      </c>
      <c r="K62" s="109" t="str">
        <f>IF(OR(historico_VU!A61="",historico_VU!F61=""),"",historico_VU!F61)</f>
        <v/>
      </c>
      <c r="L62" s="110" t="str">
        <f>IF(posicao_contratual!A61="","",posicao_contratual!S61)</f>
        <v/>
      </c>
      <c r="M62" s="109" t="str">
        <f>IF(A62="TOTAL",ROUND(SUM($M$3:M61),2),IF(OR(A62="",K62="",L62=""),"",ROUND(K62*L62,2)))</f>
        <v/>
      </c>
      <c r="N62" s="107" t="str">
        <f>IF(OR(historico_VU!A61="",historico_VU!G61=""),"",historico_VU!G61)</f>
        <v/>
      </c>
      <c r="O62" s="108" t="str">
        <f>IF(posicao_contratual!A61="","",posicao_contratual!W61)</f>
        <v/>
      </c>
      <c r="P62" s="107" t="str">
        <f>IF(A62="TOTAL",ROUND(SUM($P$3:P61),2),IF(OR(A62="",N62="",O62=""),"",ROUND(N62*O62,2)))</f>
        <v/>
      </c>
      <c r="Q62" s="181" t="str">
        <f t="shared" ca="1" si="8"/>
        <v/>
      </c>
      <c r="R62" t="str">
        <f>IF($A62="","",IF(MEMORIA_RESULTADOS!$W$46="","","C"&amp;MEMORIA_RESULTADOS!$W$46))</f>
        <v/>
      </c>
      <c r="S62" s="207" t="str">
        <f t="shared" ca="1" si="9"/>
        <v/>
      </c>
      <c r="T62" s="207" t="str">
        <f t="shared" ca="1" si="10"/>
        <v/>
      </c>
      <c r="U62" s="207" t="str">
        <f t="shared" ca="1" si="11"/>
        <v/>
      </c>
      <c r="V62" s="191" t="str">
        <f t="shared" ca="1" si="12"/>
        <v/>
      </c>
      <c r="W62" s="191" t="str">
        <f t="shared" ca="1" si="13"/>
        <v/>
      </c>
      <c r="X62" s="191" t="str">
        <f t="shared" ca="1" si="14"/>
        <v/>
      </c>
      <c r="Y62" t="str">
        <f t="shared" ca="1" si="15"/>
        <v/>
      </c>
      <c r="Z62" s="208" t="str">
        <f>IF($A62="","",IF(posicao_contratual!$AA61="","",posicao_contratual!$AA61))</f>
        <v/>
      </c>
      <c r="AA62" t="str">
        <f>IF($A62="","",IF(posicao_contratual!$AL61="","","C"&amp;posicao_contratual!$AL61))</f>
        <v/>
      </c>
      <c r="AB62" t="str">
        <f>IF($A62="","",IF(OR(MEMORIA_RESULTADOS!$W$46="",posicao_contratual!$AL61=""),"",IF(posicao_contratual!$AL61&lt;=MEMORIA_RESULTADOS!$W$46,"SIM","NAO APLICAVEL")))</f>
        <v/>
      </c>
      <c r="AC62" t="str">
        <f>IF($A62="","",IF(MEMORIA_RESULTADOS!$W$46="","",CHOOSE(MEMORIA_RESULTADOS!$W$46+1,posicao_contratual!$AG61,posicao_contratual!$AH61,posicao_contratual!$AI61,posicao_contratual!$AJ61,posicao_contratual!$AK61)))</f>
        <v/>
      </c>
    </row>
    <row r="63" spans="1:29" x14ac:dyDescent="0.35">
      <c r="A63" s="106" t="str">
        <f>IF(AND(itens_Remanesc!A62="",itens_Remanesc!A61&lt;&gt;"",COUNTIF(itens_Remanesc!A63:$A$200,"&lt;&gt;")=0),"TOTAL",IF(itens_Remanesc!A62="","",itens_Remanesc!A62))</f>
        <v/>
      </c>
      <c r="B63" s="107" t="str">
        <f>IF(OR(historico_VU!A62="",historico_VU!C62=""),"",historico_VU!C62)</f>
        <v/>
      </c>
      <c r="C63" s="108" t="str">
        <f>IF(posicao_contratual!A62="","",posicao_contratual!G62)</f>
        <v/>
      </c>
      <c r="D63" s="107" t="str">
        <f>IF(A63="TOTAL",ROUND(SUM($D$3:D62),2),IF(OR(A63="",B63="",C63=""),"",ROUND(B63*C63,2)))</f>
        <v/>
      </c>
      <c r="E63" s="109" t="str">
        <f>IF(OR(historico_VU!A62="",historico_VU!D62=""),"",historico_VU!D62)</f>
        <v/>
      </c>
      <c r="F63" s="110" t="str">
        <f>IF(posicao_contratual!A62="","",posicao_contratual!K62)</f>
        <v/>
      </c>
      <c r="G63" s="109" t="str">
        <f>IF(A63="TOTAL",ROUND(SUM($G$3:G62),2),IF(OR(A63="",E63="",F63=""),"",ROUND(E63*F63,2)))</f>
        <v/>
      </c>
      <c r="H63" s="107" t="str">
        <f>IF(OR(historico_VU!A62="",historico_VU!E62=""),"",historico_VU!E62)</f>
        <v/>
      </c>
      <c r="I63" s="108" t="str">
        <f>IF(posicao_contratual!A62="","",posicao_contratual!O62)</f>
        <v/>
      </c>
      <c r="J63" s="107" t="str">
        <f>IF(A63="TOTAL",ROUND(SUM($J$3:J62),2),IF(OR(A63="",H63="",I63=""),"",ROUND(H63*I63,2)))</f>
        <v/>
      </c>
      <c r="K63" s="109" t="str">
        <f>IF(OR(historico_VU!A62="",historico_VU!F62=""),"",historico_VU!F62)</f>
        <v/>
      </c>
      <c r="L63" s="110" t="str">
        <f>IF(posicao_contratual!A62="","",posicao_contratual!S62)</f>
        <v/>
      </c>
      <c r="M63" s="109" t="str">
        <f>IF(A63="TOTAL",ROUND(SUM($M$3:M62),2),IF(OR(A63="",K63="",L63=""),"",ROUND(K63*L63,2)))</f>
        <v/>
      </c>
      <c r="N63" s="107" t="str">
        <f>IF(OR(historico_VU!A62="",historico_VU!G62=""),"",historico_VU!G62)</f>
        <v/>
      </c>
      <c r="O63" s="108" t="str">
        <f>IF(posicao_contratual!A62="","",posicao_contratual!W62)</f>
        <v/>
      </c>
      <c r="P63" s="107" t="str">
        <f>IF(A63="TOTAL",ROUND(SUM($P$3:P62),2),IF(OR(A63="",N63="",O63=""),"",ROUND(N63*O63,2)))</f>
        <v/>
      </c>
      <c r="Q63" s="181" t="str">
        <f t="shared" ca="1" si="8"/>
        <v/>
      </c>
      <c r="R63" t="str">
        <f>IF($A63="","",IF(MEMORIA_RESULTADOS!$W$46="","","C"&amp;MEMORIA_RESULTADOS!$W$46))</f>
        <v/>
      </c>
      <c r="S63" s="207" t="str">
        <f t="shared" ca="1" si="9"/>
        <v/>
      </c>
      <c r="T63" s="207" t="str">
        <f t="shared" ca="1" si="10"/>
        <v/>
      </c>
      <c r="U63" s="207" t="str">
        <f t="shared" ca="1" si="11"/>
        <v/>
      </c>
      <c r="V63" s="191" t="str">
        <f t="shared" ca="1" si="12"/>
        <v/>
      </c>
      <c r="W63" s="191" t="str">
        <f t="shared" ca="1" si="13"/>
        <v/>
      </c>
      <c r="X63" s="191" t="str">
        <f t="shared" ca="1" si="14"/>
        <v/>
      </c>
      <c r="Y63" t="str">
        <f t="shared" ca="1" si="15"/>
        <v/>
      </c>
      <c r="Z63" s="208" t="str">
        <f>IF($A63="","",IF(posicao_contratual!$AA62="","",posicao_contratual!$AA62))</f>
        <v/>
      </c>
      <c r="AA63" t="str">
        <f>IF($A63="","",IF(posicao_contratual!$AL62="","","C"&amp;posicao_contratual!$AL62))</f>
        <v/>
      </c>
      <c r="AB63" t="str">
        <f>IF($A63="","",IF(OR(MEMORIA_RESULTADOS!$W$46="",posicao_contratual!$AL62=""),"",IF(posicao_contratual!$AL62&lt;=MEMORIA_RESULTADOS!$W$46,"SIM","NAO APLICAVEL")))</f>
        <v/>
      </c>
      <c r="AC63" t="str">
        <f>IF($A63="","",IF(MEMORIA_RESULTADOS!$W$46="","",CHOOSE(MEMORIA_RESULTADOS!$W$46+1,posicao_contratual!$AG62,posicao_contratual!$AH62,posicao_contratual!$AI62,posicao_contratual!$AJ62,posicao_contratual!$AK62)))</f>
        <v/>
      </c>
    </row>
    <row r="64" spans="1:29" x14ac:dyDescent="0.35">
      <c r="A64" s="106" t="str">
        <f>IF(AND(itens_Remanesc!A63="",itens_Remanesc!A62&lt;&gt;"",COUNTIF(itens_Remanesc!A64:$A$200,"&lt;&gt;")=0),"TOTAL",IF(itens_Remanesc!A63="","",itens_Remanesc!A63))</f>
        <v/>
      </c>
      <c r="B64" s="107" t="str">
        <f>IF(OR(historico_VU!A63="",historico_VU!C63=""),"",historico_VU!C63)</f>
        <v/>
      </c>
      <c r="C64" s="108" t="str">
        <f>IF(posicao_contratual!A63="","",posicao_contratual!G63)</f>
        <v/>
      </c>
      <c r="D64" s="107" t="str">
        <f>IF(A64="TOTAL",ROUND(SUM($D$3:D63),2),IF(OR(A64="",B64="",C64=""),"",ROUND(B64*C64,2)))</f>
        <v/>
      </c>
      <c r="E64" s="109" t="str">
        <f>IF(OR(historico_VU!A63="",historico_VU!D63=""),"",historico_VU!D63)</f>
        <v/>
      </c>
      <c r="F64" s="110" t="str">
        <f>IF(posicao_contratual!A63="","",posicao_contratual!K63)</f>
        <v/>
      </c>
      <c r="G64" s="109" t="str">
        <f>IF(A64="TOTAL",ROUND(SUM($G$3:G63),2),IF(OR(A64="",E64="",F64=""),"",ROUND(E64*F64,2)))</f>
        <v/>
      </c>
      <c r="H64" s="107" t="str">
        <f>IF(OR(historico_VU!A63="",historico_VU!E63=""),"",historico_VU!E63)</f>
        <v/>
      </c>
      <c r="I64" s="108" t="str">
        <f>IF(posicao_contratual!A63="","",posicao_contratual!O63)</f>
        <v/>
      </c>
      <c r="J64" s="107" t="str">
        <f>IF(A64="TOTAL",ROUND(SUM($J$3:J63),2),IF(OR(A64="",H64="",I64=""),"",ROUND(H64*I64,2)))</f>
        <v/>
      </c>
      <c r="K64" s="109" t="str">
        <f>IF(OR(historico_VU!A63="",historico_VU!F63=""),"",historico_VU!F63)</f>
        <v/>
      </c>
      <c r="L64" s="110" t="str">
        <f>IF(posicao_contratual!A63="","",posicao_contratual!S63)</f>
        <v/>
      </c>
      <c r="M64" s="109" t="str">
        <f>IF(A64="TOTAL",ROUND(SUM($M$3:M63),2),IF(OR(A64="",K64="",L64=""),"",ROUND(K64*L64,2)))</f>
        <v/>
      </c>
      <c r="N64" s="107" t="str">
        <f>IF(OR(historico_VU!A63="",historico_VU!G63=""),"",historico_VU!G63)</f>
        <v/>
      </c>
      <c r="O64" s="108" t="str">
        <f>IF(posicao_contratual!A63="","",posicao_contratual!W63)</f>
        <v/>
      </c>
      <c r="P64" s="107" t="str">
        <f>IF(A64="TOTAL",ROUND(SUM($P$3:P63),2),IF(OR(A64="",N64="",O64=""),"",ROUND(N64*O64,2)))</f>
        <v/>
      </c>
      <c r="Q64" s="181" t="str">
        <f t="shared" ca="1" si="8"/>
        <v/>
      </c>
      <c r="R64" t="str">
        <f>IF($A64="","",IF(MEMORIA_RESULTADOS!$W$46="","","C"&amp;MEMORIA_RESULTADOS!$W$46))</f>
        <v/>
      </c>
      <c r="S64" s="207" t="str">
        <f t="shared" ca="1" si="9"/>
        <v/>
      </c>
      <c r="T64" s="207" t="str">
        <f t="shared" ca="1" si="10"/>
        <v/>
      </c>
      <c r="U64" s="207" t="str">
        <f t="shared" ca="1" si="11"/>
        <v/>
      </c>
      <c r="V64" s="191" t="str">
        <f t="shared" ca="1" si="12"/>
        <v/>
      </c>
      <c r="W64" s="191" t="str">
        <f t="shared" ca="1" si="13"/>
        <v/>
      </c>
      <c r="X64" s="191" t="str">
        <f t="shared" ca="1" si="14"/>
        <v/>
      </c>
      <c r="Y64" t="str">
        <f t="shared" ca="1" si="15"/>
        <v/>
      </c>
      <c r="Z64" s="208" t="str">
        <f>IF($A64="","",IF(posicao_contratual!$AA63="","",posicao_contratual!$AA63))</f>
        <v/>
      </c>
      <c r="AA64" t="str">
        <f>IF($A64="","",IF(posicao_contratual!$AL63="","","C"&amp;posicao_contratual!$AL63))</f>
        <v/>
      </c>
      <c r="AB64" t="str">
        <f>IF($A64="","",IF(OR(MEMORIA_RESULTADOS!$W$46="",posicao_contratual!$AL63=""),"",IF(posicao_contratual!$AL63&lt;=MEMORIA_RESULTADOS!$W$46,"SIM","NAO APLICAVEL")))</f>
        <v/>
      </c>
      <c r="AC64" t="str">
        <f>IF($A64="","",IF(MEMORIA_RESULTADOS!$W$46="","",CHOOSE(MEMORIA_RESULTADOS!$W$46+1,posicao_contratual!$AG63,posicao_contratual!$AH63,posicao_contratual!$AI63,posicao_contratual!$AJ63,posicao_contratual!$AK63)))</f>
        <v/>
      </c>
    </row>
    <row r="65" spans="1:29" x14ac:dyDescent="0.35">
      <c r="A65" s="106" t="str">
        <f>IF(AND(itens_Remanesc!A64="",itens_Remanesc!A63&lt;&gt;"",COUNTIF(itens_Remanesc!A65:$A$200,"&lt;&gt;")=0),"TOTAL",IF(itens_Remanesc!A64="","",itens_Remanesc!A64))</f>
        <v/>
      </c>
      <c r="B65" s="107" t="str">
        <f>IF(OR(historico_VU!A64="",historico_VU!C64=""),"",historico_VU!C64)</f>
        <v/>
      </c>
      <c r="C65" s="108" t="str">
        <f>IF(posicao_contratual!A64="","",posicao_contratual!G64)</f>
        <v/>
      </c>
      <c r="D65" s="107" t="str">
        <f>IF(A65="TOTAL",ROUND(SUM($D$3:D64),2),IF(OR(A65="",B65="",C65=""),"",ROUND(B65*C65,2)))</f>
        <v/>
      </c>
      <c r="E65" s="109" t="str">
        <f>IF(OR(historico_VU!A64="",historico_VU!D64=""),"",historico_VU!D64)</f>
        <v/>
      </c>
      <c r="F65" s="110" t="str">
        <f>IF(posicao_contratual!A64="","",posicao_contratual!K64)</f>
        <v/>
      </c>
      <c r="G65" s="109" t="str">
        <f>IF(A65="TOTAL",ROUND(SUM($G$3:G64),2),IF(OR(A65="",E65="",F65=""),"",ROUND(E65*F65,2)))</f>
        <v/>
      </c>
      <c r="H65" s="107" t="str">
        <f>IF(OR(historico_VU!A64="",historico_VU!E64=""),"",historico_VU!E64)</f>
        <v/>
      </c>
      <c r="I65" s="108" t="str">
        <f>IF(posicao_contratual!A64="","",posicao_contratual!O64)</f>
        <v/>
      </c>
      <c r="J65" s="107" t="str">
        <f>IF(A65="TOTAL",ROUND(SUM($J$3:J64),2),IF(OR(A65="",H65="",I65=""),"",ROUND(H65*I65,2)))</f>
        <v/>
      </c>
      <c r="K65" s="109" t="str">
        <f>IF(OR(historico_VU!A64="",historico_VU!F64=""),"",historico_VU!F64)</f>
        <v/>
      </c>
      <c r="L65" s="110" t="str">
        <f>IF(posicao_contratual!A64="","",posicao_contratual!S64)</f>
        <v/>
      </c>
      <c r="M65" s="109" t="str">
        <f>IF(A65="TOTAL",ROUND(SUM($M$3:M64),2),IF(OR(A65="",K65="",L65=""),"",ROUND(K65*L65,2)))</f>
        <v/>
      </c>
      <c r="N65" s="107" t="str">
        <f>IF(OR(historico_VU!A64="",historico_VU!G64=""),"",historico_VU!G64)</f>
        <v/>
      </c>
      <c r="O65" s="108" t="str">
        <f>IF(posicao_contratual!A64="","",posicao_contratual!W64)</f>
        <v/>
      </c>
      <c r="P65" s="107" t="str">
        <f>IF(A65="TOTAL",ROUND(SUM($P$3:P64),2),IF(OR(A65="",N65="",O65=""),"",ROUND(N65*O65,2)))</f>
        <v/>
      </c>
      <c r="Q65" s="181" t="str">
        <f t="shared" ca="1" si="8"/>
        <v/>
      </c>
      <c r="R65" t="str">
        <f>IF($A65="","",IF(MEMORIA_RESULTADOS!$W$46="","","C"&amp;MEMORIA_RESULTADOS!$W$46))</f>
        <v/>
      </c>
      <c r="S65" s="207" t="str">
        <f t="shared" ca="1" si="9"/>
        <v/>
      </c>
      <c r="T65" s="207" t="str">
        <f t="shared" ca="1" si="10"/>
        <v/>
      </c>
      <c r="U65" s="207" t="str">
        <f t="shared" ca="1" si="11"/>
        <v/>
      </c>
      <c r="V65" s="191" t="str">
        <f t="shared" ca="1" si="12"/>
        <v/>
      </c>
      <c r="W65" s="191" t="str">
        <f t="shared" ca="1" si="13"/>
        <v/>
      </c>
      <c r="X65" s="191" t="str">
        <f t="shared" ca="1" si="14"/>
        <v/>
      </c>
      <c r="Y65" t="str">
        <f t="shared" ca="1" si="15"/>
        <v/>
      </c>
      <c r="Z65" s="208" t="str">
        <f>IF($A65="","",IF(posicao_contratual!$AA64="","",posicao_contratual!$AA64))</f>
        <v/>
      </c>
      <c r="AA65" t="str">
        <f>IF($A65="","",IF(posicao_contratual!$AL64="","","C"&amp;posicao_contratual!$AL64))</f>
        <v/>
      </c>
      <c r="AB65" t="str">
        <f>IF($A65="","",IF(OR(MEMORIA_RESULTADOS!$W$46="",posicao_contratual!$AL64=""),"",IF(posicao_contratual!$AL64&lt;=MEMORIA_RESULTADOS!$W$46,"SIM","NAO APLICAVEL")))</f>
        <v/>
      </c>
      <c r="AC65" t="str">
        <f>IF($A65="","",IF(MEMORIA_RESULTADOS!$W$46="","",CHOOSE(MEMORIA_RESULTADOS!$W$46+1,posicao_contratual!$AG64,posicao_contratual!$AH64,posicao_contratual!$AI64,posicao_contratual!$AJ64,posicao_contratual!$AK64)))</f>
        <v/>
      </c>
    </row>
    <row r="66" spans="1:29" x14ac:dyDescent="0.35">
      <c r="A66" s="106" t="str">
        <f>IF(AND(itens_Remanesc!A65="",itens_Remanesc!A64&lt;&gt;"",COUNTIF(itens_Remanesc!A66:$A$200,"&lt;&gt;")=0),"TOTAL",IF(itens_Remanesc!A65="","",itens_Remanesc!A65))</f>
        <v/>
      </c>
      <c r="B66" s="107" t="str">
        <f>IF(OR(historico_VU!A65="",historico_VU!C65=""),"",historico_VU!C65)</f>
        <v/>
      </c>
      <c r="C66" s="108" t="str">
        <f>IF(posicao_contratual!A65="","",posicao_contratual!G65)</f>
        <v/>
      </c>
      <c r="D66" s="107" t="str">
        <f>IF(A66="TOTAL",ROUND(SUM($D$3:D65),2),IF(OR(A66="",B66="",C66=""),"",ROUND(B66*C66,2)))</f>
        <v/>
      </c>
      <c r="E66" s="109" t="str">
        <f>IF(OR(historico_VU!A65="",historico_VU!D65=""),"",historico_VU!D65)</f>
        <v/>
      </c>
      <c r="F66" s="110" t="str">
        <f>IF(posicao_contratual!A65="","",posicao_contratual!K65)</f>
        <v/>
      </c>
      <c r="G66" s="109" t="str">
        <f>IF(A66="TOTAL",ROUND(SUM($G$3:G65),2),IF(OR(A66="",E66="",F66=""),"",ROUND(E66*F66,2)))</f>
        <v/>
      </c>
      <c r="H66" s="107" t="str">
        <f>IF(OR(historico_VU!A65="",historico_VU!E65=""),"",historico_VU!E65)</f>
        <v/>
      </c>
      <c r="I66" s="108" t="str">
        <f>IF(posicao_contratual!A65="","",posicao_contratual!O65)</f>
        <v/>
      </c>
      <c r="J66" s="107" t="str">
        <f>IF(A66="TOTAL",ROUND(SUM($J$3:J65),2),IF(OR(A66="",H66="",I66=""),"",ROUND(H66*I66,2)))</f>
        <v/>
      </c>
      <c r="K66" s="109" t="str">
        <f>IF(OR(historico_VU!A65="",historico_VU!F65=""),"",historico_VU!F65)</f>
        <v/>
      </c>
      <c r="L66" s="110" t="str">
        <f>IF(posicao_contratual!A65="","",posicao_contratual!S65)</f>
        <v/>
      </c>
      <c r="M66" s="109" t="str">
        <f>IF(A66="TOTAL",ROUND(SUM($M$3:M65),2),IF(OR(A66="",K66="",L66=""),"",ROUND(K66*L66,2)))</f>
        <v/>
      </c>
      <c r="N66" s="107" t="str">
        <f>IF(OR(historico_VU!A65="",historico_VU!G65=""),"",historico_VU!G65)</f>
        <v/>
      </c>
      <c r="O66" s="108" t="str">
        <f>IF(posicao_contratual!A65="","",posicao_contratual!W65)</f>
        <v/>
      </c>
      <c r="P66" s="107" t="str">
        <f>IF(A66="TOTAL",ROUND(SUM($P$3:P65),2),IF(OR(A66="",N66="",O66=""),"",ROUND(N66*O66,2)))</f>
        <v/>
      </c>
      <c r="Q66" s="181" t="str">
        <f t="shared" ca="1" si="8"/>
        <v/>
      </c>
      <c r="R66" t="str">
        <f>IF($A66="","",IF(MEMORIA_RESULTADOS!$W$46="","","C"&amp;MEMORIA_RESULTADOS!$W$46))</f>
        <v/>
      </c>
      <c r="S66" s="207" t="str">
        <f t="shared" ca="1" si="9"/>
        <v/>
      </c>
      <c r="T66" s="207" t="str">
        <f t="shared" ca="1" si="10"/>
        <v/>
      </c>
      <c r="U66" s="207" t="str">
        <f t="shared" ca="1" si="11"/>
        <v/>
      </c>
      <c r="V66" s="191" t="str">
        <f t="shared" ca="1" si="12"/>
        <v/>
      </c>
      <c r="W66" s="191" t="str">
        <f t="shared" ca="1" si="13"/>
        <v/>
      </c>
      <c r="X66" s="191" t="str">
        <f t="shared" ca="1" si="14"/>
        <v/>
      </c>
      <c r="Y66" t="str">
        <f t="shared" ca="1" si="15"/>
        <v/>
      </c>
      <c r="Z66" s="208" t="str">
        <f>IF($A66="","",IF(posicao_contratual!$AA65="","",posicao_contratual!$AA65))</f>
        <v/>
      </c>
      <c r="AA66" t="str">
        <f>IF($A66="","",IF(posicao_contratual!$AL65="","","C"&amp;posicao_contratual!$AL65))</f>
        <v/>
      </c>
      <c r="AB66" t="str">
        <f>IF($A66="","",IF(OR(MEMORIA_RESULTADOS!$W$46="",posicao_contratual!$AL65=""),"",IF(posicao_contratual!$AL65&lt;=MEMORIA_RESULTADOS!$W$46,"SIM","NAO APLICAVEL")))</f>
        <v/>
      </c>
      <c r="AC66" t="str">
        <f>IF($A66="","",IF(MEMORIA_RESULTADOS!$W$46="","",CHOOSE(MEMORIA_RESULTADOS!$W$46+1,posicao_contratual!$AG65,posicao_contratual!$AH65,posicao_contratual!$AI65,posicao_contratual!$AJ65,posicao_contratual!$AK65)))</f>
        <v/>
      </c>
    </row>
    <row r="67" spans="1:29" x14ac:dyDescent="0.35">
      <c r="A67" s="106" t="str">
        <f>IF(AND(itens_Remanesc!A66="",itens_Remanesc!A65&lt;&gt;"",COUNTIF(itens_Remanesc!A67:$A$200,"&lt;&gt;")=0),"TOTAL",IF(itens_Remanesc!A66="","",itens_Remanesc!A66))</f>
        <v/>
      </c>
      <c r="B67" s="107" t="str">
        <f>IF(OR(historico_VU!A66="",historico_VU!C66=""),"",historico_VU!C66)</f>
        <v/>
      </c>
      <c r="C67" s="108" t="str">
        <f>IF(posicao_contratual!A66="","",posicao_contratual!G66)</f>
        <v/>
      </c>
      <c r="D67" s="107" t="str">
        <f>IF(A67="TOTAL",ROUND(SUM($D$3:D66),2),IF(OR(A67="",B67="",C67=""),"",ROUND(B67*C67,2)))</f>
        <v/>
      </c>
      <c r="E67" s="109" t="str">
        <f>IF(OR(historico_VU!A66="",historico_VU!D66=""),"",historico_VU!D66)</f>
        <v/>
      </c>
      <c r="F67" s="110" t="str">
        <f>IF(posicao_contratual!A66="","",posicao_contratual!K66)</f>
        <v/>
      </c>
      <c r="G67" s="109" t="str">
        <f>IF(A67="TOTAL",ROUND(SUM($G$3:G66),2),IF(OR(A67="",E67="",F67=""),"",ROUND(E67*F67,2)))</f>
        <v/>
      </c>
      <c r="H67" s="107" t="str">
        <f>IF(OR(historico_VU!A66="",historico_VU!E66=""),"",historico_VU!E66)</f>
        <v/>
      </c>
      <c r="I67" s="108" t="str">
        <f>IF(posicao_contratual!A66="","",posicao_contratual!O66)</f>
        <v/>
      </c>
      <c r="J67" s="107" t="str">
        <f>IF(A67="TOTAL",ROUND(SUM($J$3:J66),2),IF(OR(A67="",H67="",I67=""),"",ROUND(H67*I67,2)))</f>
        <v/>
      </c>
      <c r="K67" s="109" t="str">
        <f>IF(OR(historico_VU!A66="",historico_VU!F66=""),"",historico_VU!F66)</f>
        <v/>
      </c>
      <c r="L67" s="110" t="str">
        <f>IF(posicao_contratual!A66="","",posicao_contratual!S66)</f>
        <v/>
      </c>
      <c r="M67" s="109" t="str">
        <f>IF(A67="TOTAL",ROUND(SUM($M$3:M66),2),IF(OR(A67="",K67="",L67=""),"",ROUND(K67*L67,2)))</f>
        <v/>
      </c>
      <c r="N67" s="107" t="str">
        <f>IF(OR(historico_VU!A66="",historico_VU!G66=""),"",historico_VU!G66)</f>
        <v/>
      </c>
      <c r="O67" s="108" t="str">
        <f>IF(posicao_contratual!A66="","",posicao_contratual!W66)</f>
        <v/>
      </c>
      <c r="P67" s="107" t="str">
        <f>IF(A67="TOTAL",ROUND(SUM($P$3:P66),2),IF(OR(A67="",N67="",O67=""),"",ROUND(N67*O67,2)))</f>
        <v/>
      </c>
      <c r="Q67" s="181" t="str">
        <f t="shared" ref="Q67:Q98" ca="1" si="16">IF($A67="","",IFERROR(IF(INDIRECT("CICLO_EM_EXECUCAO!$D$5")="","",INDIRECT("CICLO_EM_EXECUCAO!$D$5")),""))</f>
        <v/>
      </c>
      <c r="R67" t="str">
        <f>IF($A67="","",IF(MEMORIA_RESULTADOS!$W$46="","","C"&amp;MEMORIA_RESULTADOS!$W$46))</f>
        <v/>
      </c>
      <c r="S67" s="207" t="str">
        <f t="shared" ref="S67:S98" ca="1" si="17">IF($A67="","",IFERROR(IF(INDIRECT("CICLO_EM_EXECUCAO!B"&amp;(ROW()+10))="","",INDIRECT("CICLO_EM_EXECUCAO!B"&amp;(ROW()+10))),""))</f>
        <v/>
      </c>
      <c r="T67" s="207" t="str">
        <f t="shared" ref="T67:T98" ca="1" si="18">IF($A67="","",IFERROR(IF(INDIRECT("CICLO_EM_EXECUCAO!D"&amp;(ROW()+10))="","",INDIRECT("CICLO_EM_EXECUCAO!D"&amp;(ROW()+10))),""))</f>
        <v/>
      </c>
      <c r="U67" s="207" t="str">
        <f t="shared" ref="U67:U98" ca="1" si="19">IF($A67="","",IFERROR(IF(INDIRECT("CICLO_EM_EXECUCAO!C"&amp;(ROW()+10))="","",INDIRECT("CICLO_EM_EXECUCAO!C"&amp;(ROW()+10))),""))</f>
        <v/>
      </c>
      <c r="V67" s="191" t="str">
        <f t="shared" ref="V67:V98" ca="1" si="20">IF($A67="","",IFERROR(IF(INDIRECT("CICLO_EM_EXECUCAO!E"&amp;(ROW()+10))="","",INDIRECT("CICLO_EM_EXECUCAO!E"&amp;(ROW()+10))),""))</f>
        <v/>
      </c>
      <c r="W67" s="191" t="str">
        <f t="shared" ref="W67:W98" ca="1" si="21">IF($A67="","",IFERROR(IF(INDIRECT("CICLO_EM_EXECUCAO!F"&amp;(ROW()+10))="","",INDIRECT("CICLO_EM_EXECUCAO!F"&amp;(ROW()+10))),""))</f>
        <v/>
      </c>
      <c r="X67" s="191" t="str">
        <f t="shared" ref="X67:X98" ca="1" si="22">IF($A67="","",IFERROR(IF(INDIRECT("CICLO_EM_EXECUCAO!G"&amp;(ROW()+10))="","",INDIRECT("CICLO_EM_EXECUCAO!G"&amp;(ROW()+10))),""))</f>
        <v/>
      </c>
      <c r="Y67" t="str">
        <f t="shared" ref="Y67:Y98" ca="1" si="23">IF($A67="","",IFERROR(IF(INDIRECT("CICLO_EM_EXECUCAO!K"&amp;(ROW()+10))="","",INDIRECT("CICLO_EM_EXECUCAO!K"&amp;(ROW()+10))),"CICLO_EM_EXECUCAO AUSENTE"))</f>
        <v/>
      </c>
      <c r="Z67" s="208" t="str">
        <f>IF($A67="","",IF(posicao_contratual!$AA66="","",posicao_contratual!$AA66))</f>
        <v/>
      </c>
      <c r="AA67" t="str">
        <f>IF($A67="","",IF(posicao_contratual!$AL66="","","C"&amp;posicao_contratual!$AL66))</f>
        <v/>
      </c>
      <c r="AB67" t="str">
        <f>IF($A67="","",IF(OR(MEMORIA_RESULTADOS!$W$46="",posicao_contratual!$AL66=""),"",IF(posicao_contratual!$AL66&lt;=MEMORIA_RESULTADOS!$W$46,"SIM","NAO APLICAVEL")))</f>
        <v/>
      </c>
      <c r="AC67" t="str">
        <f>IF($A67="","",IF(MEMORIA_RESULTADOS!$W$46="","",CHOOSE(MEMORIA_RESULTADOS!$W$46+1,posicao_contratual!$AG66,posicao_contratual!$AH66,posicao_contratual!$AI66,posicao_contratual!$AJ66,posicao_contratual!$AK66)))</f>
        <v/>
      </c>
    </row>
    <row r="68" spans="1:29" x14ac:dyDescent="0.35">
      <c r="A68" s="106" t="str">
        <f>IF(AND(itens_Remanesc!A67="",itens_Remanesc!A66&lt;&gt;"",COUNTIF(itens_Remanesc!A68:$A$200,"&lt;&gt;")=0),"TOTAL",IF(itens_Remanesc!A67="","",itens_Remanesc!A67))</f>
        <v/>
      </c>
      <c r="B68" s="107" t="str">
        <f>IF(OR(historico_VU!A67="",historico_VU!C67=""),"",historico_VU!C67)</f>
        <v/>
      </c>
      <c r="C68" s="108" t="str">
        <f>IF(posicao_contratual!A67="","",posicao_contratual!G67)</f>
        <v/>
      </c>
      <c r="D68" s="107" t="str">
        <f>IF(A68="TOTAL",ROUND(SUM($D$3:D67),2),IF(OR(A68="",B68="",C68=""),"",ROUND(B68*C68,2)))</f>
        <v/>
      </c>
      <c r="E68" s="109" t="str">
        <f>IF(OR(historico_VU!A67="",historico_VU!D67=""),"",historico_VU!D67)</f>
        <v/>
      </c>
      <c r="F68" s="110" t="str">
        <f>IF(posicao_contratual!A67="","",posicao_contratual!K67)</f>
        <v/>
      </c>
      <c r="G68" s="109" t="str">
        <f>IF(A68="TOTAL",ROUND(SUM($G$3:G67),2),IF(OR(A68="",E68="",F68=""),"",ROUND(E68*F68,2)))</f>
        <v/>
      </c>
      <c r="H68" s="107" t="str">
        <f>IF(OR(historico_VU!A67="",historico_VU!E67=""),"",historico_VU!E67)</f>
        <v/>
      </c>
      <c r="I68" s="108" t="str">
        <f>IF(posicao_contratual!A67="","",posicao_contratual!O67)</f>
        <v/>
      </c>
      <c r="J68" s="107" t="str">
        <f>IF(A68="TOTAL",ROUND(SUM($J$3:J67),2),IF(OR(A68="",H68="",I68=""),"",ROUND(H68*I68,2)))</f>
        <v/>
      </c>
      <c r="K68" s="109" t="str">
        <f>IF(OR(historico_VU!A67="",historico_VU!F67=""),"",historico_VU!F67)</f>
        <v/>
      </c>
      <c r="L68" s="110" t="str">
        <f>IF(posicao_contratual!A67="","",posicao_contratual!S67)</f>
        <v/>
      </c>
      <c r="M68" s="109" t="str">
        <f>IF(A68="TOTAL",ROUND(SUM($M$3:M67),2),IF(OR(A68="",K68="",L68=""),"",ROUND(K68*L68,2)))</f>
        <v/>
      </c>
      <c r="N68" s="107" t="str">
        <f>IF(OR(historico_VU!A67="",historico_VU!G67=""),"",historico_VU!G67)</f>
        <v/>
      </c>
      <c r="O68" s="108" t="str">
        <f>IF(posicao_contratual!A67="","",posicao_contratual!W67)</f>
        <v/>
      </c>
      <c r="P68" s="107" t="str">
        <f>IF(A68="TOTAL",ROUND(SUM($P$3:P67),2),IF(OR(A68="",N68="",O68=""),"",ROUND(N68*O68,2)))</f>
        <v/>
      </c>
      <c r="Q68" s="181" t="str">
        <f t="shared" ca="1" si="16"/>
        <v/>
      </c>
      <c r="R68" t="str">
        <f>IF($A68="","",IF(MEMORIA_RESULTADOS!$W$46="","","C"&amp;MEMORIA_RESULTADOS!$W$46))</f>
        <v/>
      </c>
      <c r="S68" s="207" t="str">
        <f t="shared" ca="1" si="17"/>
        <v/>
      </c>
      <c r="T68" s="207" t="str">
        <f t="shared" ca="1" si="18"/>
        <v/>
      </c>
      <c r="U68" s="207" t="str">
        <f t="shared" ca="1" si="19"/>
        <v/>
      </c>
      <c r="V68" s="191" t="str">
        <f t="shared" ca="1" si="20"/>
        <v/>
      </c>
      <c r="W68" s="191" t="str">
        <f t="shared" ca="1" si="21"/>
        <v/>
      </c>
      <c r="X68" s="191" t="str">
        <f t="shared" ca="1" si="22"/>
        <v/>
      </c>
      <c r="Y68" t="str">
        <f t="shared" ca="1" si="23"/>
        <v/>
      </c>
      <c r="Z68" s="208" t="str">
        <f>IF($A68="","",IF(posicao_contratual!$AA67="","",posicao_contratual!$AA67))</f>
        <v/>
      </c>
      <c r="AA68" t="str">
        <f>IF($A68="","",IF(posicao_contratual!$AL67="","","C"&amp;posicao_contratual!$AL67))</f>
        <v/>
      </c>
      <c r="AB68" t="str">
        <f>IF($A68="","",IF(OR(MEMORIA_RESULTADOS!$W$46="",posicao_contratual!$AL67=""),"",IF(posicao_contratual!$AL67&lt;=MEMORIA_RESULTADOS!$W$46,"SIM","NAO APLICAVEL")))</f>
        <v/>
      </c>
      <c r="AC68" t="str">
        <f>IF($A68="","",IF(MEMORIA_RESULTADOS!$W$46="","",CHOOSE(MEMORIA_RESULTADOS!$W$46+1,posicao_contratual!$AG67,posicao_contratual!$AH67,posicao_contratual!$AI67,posicao_contratual!$AJ67,posicao_contratual!$AK67)))</f>
        <v/>
      </c>
    </row>
    <row r="69" spans="1:29" x14ac:dyDescent="0.35">
      <c r="A69" s="106" t="str">
        <f>IF(AND(itens_Remanesc!A68="",itens_Remanesc!A67&lt;&gt;"",COUNTIF(itens_Remanesc!A69:$A$200,"&lt;&gt;")=0),"TOTAL",IF(itens_Remanesc!A68="","",itens_Remanesc!A68))</f>
        <v/>
      </c>
      <c r="B69" s="107" t="str">
        <f>IF(OR(historico_VU!A68="",historico_VU!C68=""),"",historico_VU!C68)</f>
        <v/>
      </c>
      <c r="C69" s="108" t="str">
        <f>IF(posicao_contratual!A68="","",posicao_contratual!G68)</f>
        <v/>
      </c>
      <c r="D69" s="107" t="str">
        <f>IF(A69="TOTAL",ROUND(SUM($D$3:D68),2),IF(OR(A69="",B69="",C69=""),"",ROUND(B69*C69,2)))</f>
        <v/>
      </c>
      <c r="E69" s="109" t="str">
        <f>IF(OR(historico_VU!A68="",historico_VU!D68=""),"",historico_VU!D68)</f>
        <v/>
      </c>
      <c r="F69" s="110" t="str">
        <f>IF(posicao_contratual!A68="","",posicao_contratual!K68)</f>
        <v/>
      </c>
      <c r="G69" s="109" t="str">
        <f>IF(A69="TOTAL",ROUND(SUM($G$3:G68),2),IF(OR(A69="",E69="",F69=""),"",ROUND(E69*F69,2)))</f>
        <v/>
      </c>
      <c r="H69" s="107" t="str">
        <f>IF(OR(historico_VU!A68="",historico_VU!E68=""),"",historico_VU!E68)</f>
        <v/>
      </c>
      <c r="I69" s="108" t="str">
        <f>IF(posicao_contratual!A68="","",posicao_contratual!O68)</f>
        <v/>
      </c>
      <c r="J69" s="107" t="str">
        <f>IF(A69="TOTAL",ROUND(SUM($J$3:J68),2),IF(OR(A69="",H69="",I69=""),"",ROUND(H69*I69,2)))</f>
        <v/>
      </c>
      <c r="K69" s="109" t="str">
        <f>IF(OR(historico_VU!A68="",historico_VU!F68=""),"",historico_VU!F68)</f>
        <v/>
      </c>
      <c r="L69" s="110" t="str">
        <f>IF(posicao_contratual!A68="","",posicao_contratual!S68)</f>
        <v/>
      </c>
      <c r="M69" s="109" t="str">
        <f>IF(A69="TOTAL",ROUND(SUM($M$3:M68),2),IF(OR(A69="",K69="",L69=""),"",ROUND(K69*L69,2)))</f>
        <v/>
      </c>
      <c r="N69" s="107" t="str">
        <f>IF(OR(historico_VU!A68="",historico_VU!G68=""),"",historico_VU!G68)</f>
        <v/>
      </c>
      <c r="O69" s="108" t="str">
        <f>IF(posicao_contratual!A68="","",posicao_contratual!W68)</f>
        <v/>
      </c>
      <c r="P69" s="107" t="str">
        <f>IF(A69="TOTAL",ROUND(SUM($P$3:P68),2),IF(OR(A69="",N69="",O69=""),"",ROUND(N69*O69,2)))</f>
        <v/>
      </c>
      <c r="Q69" s="181" t="str">
        <f t="shared" ca="1" si="16"/>
        <v/>
      </c>
      <c r="R69" t="str">
        <f>IF($A69="","",IF(MEMORIA_RESULTADOS!$W$46="","","C"&amp;MEMORIA_RESULTADOS!$W$46))</f>
        <v/>
      </c>
      <c r="S69" s="207" t="str">
        <f t="shared" ca="1" si="17"/>
        <v/>
      </c>
      <c r="T69" s="207" t="str">
        <f t="shared" ca="1" si="18"/>
        <v/>
      </c>
      <c r="U69" s="207" t="str">
        <f t="shared" ca="1" si="19"/>
        <v/>
      </c>
      <c r="V69" s="191" t="str">
        <f t="shared" ca="1" si="20"/>
        <v/>
      </c>
      <c r="W69" s="191" t="str">
        <f t="shared" ca="1" si="21"/>
        <v/>
      </c>
      <c r="X69" s="191" t="str">
        <f t="shared" ca="1" si="22"/>
        <v/>
      </c>
      <c r="Y69" t="str">
        <f t="shared" ca="1" si="23"/>
        <v/>
      </c>
      <c r="Z69" s="208" t="str">
        <f>IF($A69="","",IF(posicao_contratual!$AA68="","",posicao_contratual!$AA68))</f>
        <v/>
      </c>
      <c r="AA69" t="str">
        <f>IF($A69="","",IF(posicao_contratual!$AL68="","","C"&amp;posicao_contratual!$AL68))</f>
        <v/>
      </c>
      <c r="AB69" t="str">
        <f>IF($A69="","",IF(OR(MEMORIA_RESULTADOS!$W$46="",posicao_contratual!$AL68=""),"",IF(posicao_contratual!$AL68&lt;=MEMORIA_RESULTADOS!$W$46,"SIM","NAO APLICAVEL")))</f>
        <v/>
      </c>
      <c r="AC69" t="str">
        <f>IF($A69="","",IF(MEMORIA_RESULTADOS!$W$46="","",CHOOSE(MEMORIA_RESULTADOS!$W$46+1,posicao_contratual!$AG68,posicao_contratual!$AH68,posicao_contratual!$AI68,posicao_contratual!$AJ68,posicao_contratual!$AK68)))</f>
        <v/>
      </c>
    </row>
    <row r="70" spans="1:29" x14ac:dyDescent="0.35">
      <c r="A70" s="106" t="str">
        <f>IF(AND(itens_Remanesc!A69="",itens_Remanesc!A68&lt;&gt;"",COUNTIF(itens_Remanesc!A70:$A$200,"&lt;&gt;")=0),"TOTAL",IF(itens_Remanesc!A69="","",itens_Remanesc!A69))</f>
        <v/>
      </c>
      <c r="B70" s="107" t="str">
        <f>IF(OR(historico_VU!A69="",historico_VU!C69=""),"",historico_VU!C69)</f>
        <v/>
      </c>
      <c r="C70" s="108" t="str">
        <f>IF(posicao_contratual!A69="","",posicao_contratual!G69)</f>
        <v/>
      </c>
      <c r="D70" s="107" t="str">
        <f>IF(A70="TOTAL",ROUND(SUM($D$3:D69),2),IF(OR(A70="",B70="",C70=""),"",ROUND(B70*C70,2)))</f>
        <v/>
      </c>
      <c r="E70" s="109" t="str">
        <f>IF(OR(historico_VU!A69="",historico_VU!D69=""),"",historico_VU!D69)</f>
        <v/>
      </c>
      <c r="F70" s="110" t="str">
        <f>IF(posicao_contratual!A69="","",posicao_contratual!K69)</f>
        <v/>
      </c>
      <c r="G70" s="109" t="str">
        <f>IF(A70="TOTAL",ROUND(SUM($G$3:G69),2),IF(OR(A70="",E70="",F70=""),"",ROUND(E70*F70,2)))</f>
        <v/>
      </c>
      <c r="H70" s="107" t="str">
        <f>IF(OR(historico_VU!A69="",historico_VU!E69=""),"",historico_VU!E69)</f>
        <v/>
      </c>
      <c r="I70" s="108" t="str">
        <f>IF(posicao_contratual!A69="","",posicao_contratual!O69)</f>
        <v/>
      </c>
      <c r="J70" s="107" t="str">
        <f>IF(A70="TOTAL",ROUND(SUM($J$3:J69),2),IF(OR(A70="",H70="",I70=""),"",ROUND(H70*I70,2)))</f>
        <v/>
      </c>
      <c r="K70" s="109" t="str">
        <f>IF(OR(historico_VU!A69="",historico_VU!F69=""),"",historico_VU!F69)</f>
        <v/>
      </c>
      <c r="L70" s="110" t="str">
        <f>IF(posicao_contratual!A69="","",posicao_contratual!S69)</f>
        <v/>
      </c>
      <c r="M70" s="109" t="str">
        <f>IF(A70="TOTAL",ROUND(SUM($M$3:M69),2),IF(OR(A70="",K70="",L70=""),"",ROUND(K70*L70,2)))</f>
        <v/>
      </c>
      <c r="N70" s="107" t="str">
        <f>IF(OR(historico_VU!A69="",historico_VU!G69=""),"",historico_VU!G69)</f>
        <v/>
      </c>
      <c r="O70" s="108" t="str">
        <f>IF(posicao_contratual!A69="","",posicao_contratual!W69)</f>
        <v/>
      </c>
      <c r="P70" s="107" t="str">
        <f>IF(A70="TOTAL",ROUND(SUM($P$3:P69),2),IF(OR(A70="",N70="",O70=""),"",ROUND(N70*O70,2)))</f>
        <v/>
      </c>
      <c r="Q70" s="181" t="str">
        <f t="shared" ca="1" si="16"/>
        <v/>
      </c>
      <c r="R70" t="str">
        <f>IF($A70="","",IF(MEMORIA_RESULTADOS!$W$46="","","C"&amp;MEMORIA_RESULTADOS!$W$46))</f>
        <v/>
      </c>
      <c r="S70" s="207" t="str">
        <f t="shared" ca="1" si="17"/>
        <v/>
      </c>
      <c r="T70" s="207" t="str">
        <f t="shared" ca="1" si="18"/>
        <v/>
      </c>
      <c r="U70" s="207" t="str">
        <f t="shared" ca="1" si="19"/>
        <v/>
      </c>
      <c r="V70" s="191" t="str">
        <f t="shared" ca="1" si="20"/>
        <v/>
      </c>
      <c r="W70" s="191" t="str">
        <f t="shared" ca="1" si="21"/>
        <v/>
      </c>
      <c r="X70" s="191" t="str">
        <f t="shared" ca="1" si="22"/>
        <v/>
      </c>
      <c r="Y70" t="str">
        <f t="shared" ca="1" si="23"/>
        <v/>
      </c>
      <c r="Z70" s="208" t="str">
        <f>IF($A70="","",IF(posicao_contratual!$AA69="","",posicao_contratual!$AA69))</f>
        <v/>
      </c>
      <c r="AA70" t="str">
        <f>IF($A70="","",IF(posicao_contratual!$AL69="","","C"&amp;posicao_contratual!$AL69))</f>
        <v/>
      </c>
      <c r="AB70" t="str">
        <f>IF($A70="","",IF(OR(MEMORIA_RESULTADOS!$W$46="",posicao_contratual!$AL69=""),"",IF(posicao_contratual!$AL69&lt;=MEMORIA_RESULTADOS!$W$46,"SIM","NAO APLICAVEL")))</f>
        <v/>
      </c>
      <c r="AC70" t="str">
        <f>IF($A70="","",IF(MEMORIA_RESULTADOS!$W$46="","",CHOOSE(MEMORIA_RESULTADOS!$W$46+1,posicao_contratual!$AG69,posicao_contratual!$AH69,posicao_contratual!$AI69,posicao_contratual!$AJ69,posicao_contratual!$AK69)))</f>
        <v/>
      </c>
    </row>
    <row r="71" spans="1:29" x14ac:dyDescent="0.35">
      <c r="A71" s="106" t="str">
        <f>IF(AND(itens_Remanesc!A70="",itens_Remanesc!A69&lt;&gt;"",COUNTIF(itens_Remanesc!A71:$A$200,"&lt;&gt;")=0),"TOTAL",IF(itens_Remanesc!A70="","",itens_Remanesc!A70))</f>
        <v/>
      </c>
      <c r="B71" s="107" t="str">
        <f>IF(OR(historico_VU!A70="",historico_VU!C70=""),"",historico_VU!C70)</f>
        <v/>
      </c>
      <c r="C71" s="108" t="str">
        <f>IF(posicao_contratual!A70="","",posicao_contratual!G70)</f>
        <v/>
      </c>
      <c r="D71" s="107" t="str">
        <f>IF(A71="TOTAL",ROUND(SUM($D$3:D70),2),IF(OR(A71="",B71="",C71=""),"",ROUND(B71*C71,2)))</f>
        <v/>
      </c>
      <c r="E71" s="109" t="str">
        <f>IF(OR(historico_VU!A70="",historico_VU!D70=""),"",historico_VU!D70)</f>
        <v/>
      </c>
      <c r="F71" s="110" t="str">
        <f>IF(posicao_contratual!A70="","",posicao_contratual!K70)</f>
        <v/>
      </c>
      <c r="G71" s="109" t="str">
        <f>IF(A71="TOTAL",ROUND(SUM($G$3:G70),2),IF(OR(A71="",E71="",F71=""),"",ROUND(E71*F71,2)))</f>
        <v/>
      </c>
      <c r="H71" s="107" t="str">
        <f>IF(OR(historico_VU!A70="",historico_VU!E70=""),"",historico_VU!E70)</f>
        <v/>
      </c>
      <c r="I71" s="108" t="str">
        <f>IF(posicao_contratual!A70="","",posicao_contratual!O70)</f>
        <v/>
      </c>
      <c r="J71" s="107" t="str">
        <f>IF(A71="TOTAL",ROUND(SUM($J$3:J70),2),IF(OR(A71="",H71="",I71=""),"",ROUND(H71*I71,2)))</f>
        <v/>
      </c>
      <c r="K71" s="109" t="str">
        <f>IF(OR(historico_VU!A70="",historico_VU!F70=""),"",historico_VU!F70)</f>
        <v/>
      </c>
      <c r="L71" s="110" t="str">
        <f>IF(posicao_contratual!A70="","",posicao_contratual!S70)</f>
        <v/>
      </c>
      <c r="M71" s="109" t="str">
        <f>IF(A71="TOTAL",ROUND(SUM($M$3:M70),2),IF(OR(A71="",K71="",L71=""),"",ROUND(K71*L71,2)))</f>
        <v/>
      </c>
      <c r="N71" s="107" t="str">
        <f>IF(OR(historico_VU!A70="",historico_VU!G70=""),"",historico_VU!G70)</f>
        <v/>
      </c>
      <c r="O71" s="108" t="str">
        <f>IF(posicao_contratual!A70="","",posicao_contratual!W70)</f>
        <v/>
      </c>
      <c r="P71" s="107" t="str">
        <f>IF(A71="TOTAL",ROUND(SUM($P$3:P70),2),IF(OR(A71="",N71="",O71=""),"",ROUND(N71*O71,2)))</f>
        <v/>
      </c>
      <c r="Q71" s="181" t="str">
        <f t="shared" ca="1" si="16"/>
        <v/>
      </c>
      <c r="R71" t="str">
        <f>IF($A71="","",IF(MEMORIA_RESULTADOS!$W$46="","","C"&amp;MEMORIA_RESULTADOS!$W$46))</f>
        <v/>
      </c>
      <c r="S71" s="207" t="str">
        <f t="shared" ca="1" si="17"/>
        <v/>
      </c>
      <c r="T71" s="207" t="str">
        <f t="shared" ca="1" si="18"/>
        <v/>
      </c>
      <c r="U71" s="207" t="str">
        <f t="shared" ca="1" si="19"/>
        <v/>
      </c>
      <c r="V71" s="191" t="str">
        <f t="shared" ca="1" si="20"/>
        <v/>
      </c>
      <c r="W71" s="191" t="str">
        <f t="shared" ca="1" si="21"/>
        <v/>
      </c>
      <c r="X71" s="191" t="str">
        <f t="shared" ca="1" si="22"/>
        <v/>
      </c>
      <c r="Y71" t="str">
        <f t="shared" ca="1" si="23"/>
        <v/>
      </c>
      <c r="Z71" s="208" t="str">
        <f>IF($A71="","",IF(posicao_contratual!$AA70="","",posicao_contratual!$AA70))</f>
        <v/>
      </c>
      <c r="AA71" t="str">
        <f>IF($A71="","",IF(posicao_contratual!$AL70="","","C"&amp;posicao_contratual!$AL70))</f>
        <v/>
      </c>
      <c r="AB71" t="str">
        <f>IF($A71="","",IF(OR(MEMORIA_RESULTADOS!$W$46="",posicao_contratual!$AL70=""),"",IF(posicao_contratual!$AL70&lt;=MEMORIA_RESULTADOS!$W$46,"SIM","NAO APLICAVEL")))</f>
        <v/>
      </c>
      <c r="AC71" t="str">
        <f>IF($A71="","",IF(MEMORIA_RESULTADOS!$W$46="","",CHOOSE(MEMORIA_RESULTADOS!$W$46+1,posicao_contratual!$AG70,posicao_contratual!$AH70,posicao_contratual!$AI70,posicao_contratual!$AJ70,posicao_contratual!$AK70)))</f>
        <v/>
      </c>
    </row>
    <row r="72" spans="1:29" x14ac:dyDescent="0.35">
      <c r="A72" s="106" t="str">
        <f>IF(AND(itens_Remanesc!A71="",itens_Remanesc!A70&lt;&gt;"",COUNTIF(itens_Remanesc!A72:$A$200,"&lt;&gt;")=0),"TOTAL",IF(itens_Remanesc!A71="","",itens_Remanesc!A71))</f>
        <v/>
      </c>
      <c r="B72" s="107" t="str">
        <f>IF(OR(historico_VU!A71="",historico_VU!C71=""),"",historico_VU!C71)</f>
        <v/>
      </c>
      <c r="C72" s="108" t="str">
        <f>IF(posicao_contratual!A71="","",posicao_contratual!G71)</f>
        <v/>
      </c>
      <c r="D72" s="107" t="str">
        <f>IF(A72="TOTAL",ROUND(SUM($D$3:D71),2),IF(OR(A72="",B72="",C72=""),"",ROUND(B72*C72,2)))</f>
        <v/>
      </c>
      <c r="E72" s="109" t="str">
        <f>IF(OR(historico_VU!A71="",historico_VU!D71=""),"",historico_VU!D71)</f>
        <v/>
      </c>
      <c r="F72" s="110" t="str">
        <f>IF(posicao_contratual!A71="","",posicao_contratual!K71)</f>
        <v/>
      </c>
      <c r="G72" s="109" t="str">
        <f>IF(A72="TOTAL",ROUND(SUM($G$3:G71),2),IF(OR(A72="",E72="",F72=""),"",ROUND(E72*F72,2)))</f>
        <v/>
      </c>
      <c r="H72" s="107" t="str">
        <f>IF(OR(historico_VU!A71="",historico_VU!E71=""),"",historico_VU!E71)</f>
        <v/>
      </c>
      <c r="I72" s="108" t="str">
        <f>IF(posicao_contratual!A71="","",posicao_contratual!O71)</f>
        <v/>
      </c>
      <c r="J72" s="107" t="str">
        <f>IF(A72="TOTAL",ROUND(SUM($J$3:J71),2),IF(OR(A72="",H72="",I72=""),"",ROUND(H72*I72,2)))</f>
        <v/>
      </c>
      <c r="K72" s="109" t="str">
        <f>IF(OR(historico_VU!A71="",historico_VU!F71=""),"",historico_VU!F71)</f>
        <v/>
      </c>
      <c r="L72" s="110" t="str">
        <f>IF(posicao_contratual!A71="","",posicao_contratual!S71)</f>
        <v/>
      </c>
      <c r="M72" s="109" t="str">
        <f>IF(A72="TOTAL",ROUND(SUM($M$3:M71),2),IF(OR(A72="",K72="",L72=""),"",ROUND(K72*L72,2)))</f>
        <v/>
      </c>
      <c r="N72" s="107" t="str">
        <f>IF(OR(historico_VU!A71="",historico_VU!G71=""),"",historico_VU!G71)</f>
        <v/>
      </c>
      <c r="O72" s="108" t="str">
        <f>IF(posicao_contratual!A71="","",posicao_contratual!W71)</f>
        <v/>
      </c>
      <c r="P72" s="107" t="str">
        <f>IF(A72="TOTAL",ROUND(SUM($P$3:P71),2),IF(OR(A72="",N72="",O72=""),"",ROUND(N72*O72,2)))</f>
        <v/>
      </c>
      <c r="Q72" s="181" t="str">
        <f t="shared" ca="1" si="16"/>
        <v/>
      </c>
      <c r="R72" t="str">
        <f>IF($A72="","",IF(MEMORIA_RESULTADOS!$W$46="","","C"&amp;MEMORIA_RESULTADOS!$W$46))</f>
        <v/>
      </c>
      <c r="S72" s="207" t="str">
        <f t="shared" ca="1" si="17"/>
        <v/>
      </c>
      <c r="T72" s="207" t="str">
        <f t="shared" ca="1" si="18"/>
        <v/>
      </c>
      <c r="U72" s="207" t="str">
        <f t="shared" ca="1" si="19"/>
        <v/>
      </c>
      <c r="V72" s="191" t="str">
        <f t="shared" ca="1" si="20"/>
        <v/>
      </c>
      <c r="W72" s="191" t="str">
        <f t="shared" ca="1" si="21"/>
        <v/>
      </c>
      <c r="X72" s="191" t="str">
        <f t="shared" ca="1" si="22"/>
        <v/>
      </c>
      <c r="Y72" t="str">
        <f t="shared" ca="1" si="23"/>
        <v/>
      </c>
      <c r="Z72" s="208" t="str">
        <f>IF($A72="","",IF(posicao_contratual!$AA71="","",posicao_contratual!$AA71))</f>
        <v/>
      </c>
      <c r="AA72" t="str">
        <f>IF($A72="","",IF(posicao_contratual!$AL71="","","C"&amp;posicao_contratual!$AL71))</f>
        <v/>
      </c>
      <c r="AB72" t="str">
        <f>IF($A72="","",IF(OR(MEMORIA_RESULTADOS!$W$46="",posicao_contratual!$AL71=""),"",IF(posicao_contratual!$AL71&lt;=MEMORIA_RESULTADOS!$W$46,"SIM","NAO APLICAVEL")))</f>
        <v/>
      </c>
      <c r="AC72" t="str">
        <f>IF($A72="","",IF(MEMORIA_RESULTADOS!$W$46="","",CHOOSE(MEMORIA_RESULTADOS!$W$46+1,posicao_contratual!$AG71,posicao_contratual!$AH71,posicao_contratual!$AI71,posicao_contratual!$AJ71,posicao_contratual!$AK71)))</f>
        <v/>
      </c>
    </row>
    <row r="73" spans="1:29" x14ac:dyDescent="0.35">
      <c r="A73" s="106" t="str">
        <f>IF(AND(itens_Remanesc!A72="",itens_Remanesc!A71&lt;&gt;"",COUNTIF(itens_Remanesc!A73:$A$200,"&lt;&gt;")=0),"TOTAL",IF(itens_Remanesc!A72="","",itens_Remanesc!A72))</f>
        <v/>
      </c>
      <c r="B73" s="107" t="str">
        <f>IF(OR(historico_VU!A72="",historico_VU!C72=""),"",historico_VU!C72)</f>
        <v/>
      </c>
      <c r="C73" s="108" t="str">
        <f>IF(posicao_contratual!A72="","",posicao_contratual!G72)</f>
        <v/>
      </c>
      <c r="D73" s="107" t="str">
        <f>IF(A73="TOTAL",ROUND(SUM($D$3:D72),2),IF(OR(A73="",B73="",C73=""),"",ROUND(B73*C73,2)))</f>
        <v/>
      </c>
      <c r="E73" s="109" t="str">
        <f>IF(OR(historico_VU!A72="",historico_VU!D72=""),"",historico_VU!D72)</f>
        <v/>
      </c>
      <c r="F73" s="110" t="str">
        <f>IF(posicao_contratual!A72="","",posicao_contratual!K72)</f>
        <v/>
      </c>
      <c r="G73" s="109" t="str">
        <f>IF(A73="TOTAL",ROUND(SUM($G$3:G72),2),IF(OR(A73="",E73="",F73=""),"",ROUND(E73*F73,2)))</f>
        <v/>
      </c>
      <c r="H73" s="107" t="str">
        <f>IF(OR(historico_VU!A72="",historico_VU!E72=""),"",historico_VU!E72)</f>
        <v/>
      </c>
      <c r="I73" s="108" t="str">
        <f>IF(posicao_contratual!A72="","",posicao_contratual!O72)</f>
        <v/>
      </c>
      <c r="J73" s="107" t="str">
        <f>IF(A73="TOTAL",ROUND(SUM($J$3:J72),2),IF(OR(A73="",H73="",I73=""),"",ROUND(H73*I73,2)))</f>
        <v/>
      </c>
      <c r="K73" s="109" t="str">
        <f>IF(OR(historico_VU!A72="",historico_VU!F72=""),"",historico_VU!F72)</f>
        <v/>
      </c>
      <c r="L73" s="110" t="str">
        <f>IF(posicao_contratual!A72="","",posicao_contratual!S72)</f>
        <v/>
      </c>
      <c r="M73" s="109" t="str">
        <f>IF(A73="TOTAL",ROUND(SUM($M$3:M72),2),IF(OR(A73="",K73="",L73=""),"",ROUND(K73*L73,2)))</f>
        <v/>
      </c>
      <c r="N73" s="107" t="str">
        <f>IF(OR(historico_VU!A72="",historico_VU!G72=""),"",historico_VU!G72)</f>
        <v/>
      </c>
      <c r="O73" s="108" t="str">
        <f>IF(posicao_contratual!A72="","",posicao_contratual!W72)</f>
        <v/>
      </c>
      <c r="P73" s="107" t="str">
        <f>IF(A73="TOTAL",ROUND(SUM($P$3:P72),2),IF(OR(A73="",N73="",O73=""),"",ROUND(N73*O73,2)))</f>
        <v/>
      </c>
      <c r="Q73" s="181" t="str">
        <f t="shared" ca="1" si="16"/>
        <v/>
      </c>
      <c r="R73" t="str">
        <f>IF($A73="","",IF(MEMORIA_RESULTADOS!$W$46="","","C"&amp;MEMORIA_RESULTADOS!$W$46))</f>
        <v/>
      </c>
      <c r="S73" s="207" t="str">
        <f t="shared" ca="1" si="17"/>
        <v/>
      </c>
      <c r="T73" s="207" t="str">
        <f t="shared" ca="1" si="18"/>
        <v/>
      </c>
      <c r="U73" s="207" t="str">
        <f t="shared" ca="1" si="19"/>
        <v/>
      </c>
      <c r="V73" s="191" t="str">
        <f t="shared" ca="1" si="20"/>
        <v/>
      </c>
      <c r="W73" s="191" t="str">
        <f t="shared" ca="1" si="21"/>
        <v/>
      </c>
      <c r="X73" s="191" t="str">
        <f t="shared" ca="1" si="22"/>
        <v/>
      </c>
      <c r="Y73" t="str">
        <f t="shared" ca="1" si="23"/>
        <v/>
      </c>
      <c r="Z73" s="208" t="str">
        <f>IF($A73="","",IF(posicao_contratual!$AA72="","",posicao_contratual!$AA72))</f>
        <v/>
      </c>
      <c r="AA73" t="str">
        <f>IF($A73="","",IF(posicao_contratual!$AL72="","","C"&amp;posicao_contratual!$AL72))</f>
        <v/>
      </c>
      <c r="AB73" t="str">
        <f>IF($A73="","",IF(OR(MEMORIA_RESULTADOS!$W$46="",posicao_contratual!$AL72=""),"",IF(posicao_contratual!$AL72&lt;=MEMORIA_RESULTADOS!$W$46,"SIM","NAO APLICAVEL")))</f>
        <v/>
      </c>
      <c r="AC73" t="str">
        <f>IF($A73="","",IF(MEMORIA_RESULTADOS!$W$46="","",CHOOSE(MEMORIA_RESULTADOS!$W$46+1,posicao_contratual!$AG72,posicao_contratual!$AH72,posicao_contratual!$AI72,posicao_contratual!$AJ72,posicao_contratual!$AK72)))</f>
        <v/>
      </c>
    </row>
    <row r="74" spans="1:29" x14ac:dyDescent="0.35">
      <c r="A74" s="106" t="str">
        <f>IF(AND(itens_Remanesc!A73="",itens_Remanesc!A72&lt;&gt;"",COUNTIF(itens_Remanesc!A74:$A$200,"&lt;&gt;")=0),"TOTAL",IF(itens_Remanesc!A73="","",itens_Remanesc!A73))</f>
        <v/>
      </c>
      <c r="B74" s="107" t="str">
        <f>IF(OR(historico_VU!A73="",historico_VU!C73=""),"",historico_VU!C73)</f>
        <v/>
      </c>
      <c r="C74" s="108" t="str">
        <f>IF(posicao_contratual!A73="","",posicao_contratual!G73)</f>
        <v/>
      </c>
      <c r="D74" s="107" t="str">
        <f>IF(A74="TOTAL",ROUND(SUM($D$3:D73),2),IF(OR(A74="",B74="",C74=""),"",ROUND(B74*C74,2)))</f>
        <v/>
      </c>
      <c r="E74" s="109" t="str">
        <f>IF(OR(historico_VU!A73="",historico_VU!D73=""),"",historico_VU!D73)</f>
        <v/>
      </c>
      <c r="F74" s="110" t="str">
        <f>IF(posicao_contratual!A73="","",posicao_contratual!K73)</f>
        <v/>
      </c>
      <c r="G74" s="109" t="str">
        <f>IF(A74="TOTAL",ROUND(SUM($G$3:G73),2),IF(OR(A74="",E74="",F74=""),"",ROUND(E74*F74,2)))</f>
        <v/>
      </c>
      <c r="H74" s="107" t="str">
        <f>IF(OR(historico_VU!A73="",historico_VU!E73=""),"",historico_VU!E73)</f>
        <v/>
      </c>
      <c r="I74" s="108" t="str">
        <f>IF(posicao_contratual!A73="","",posicao_contratual!O73)</f>
        <v/>
      </c>
      <c r="J74" s="107" t="str">
        <f>IF(A74="TOTAL",ROUND(SUM($J$3:J73),2),IF(OR(A74="",H74="",I74=""),"",ROUND(H74*I74,2)))</f>
        <v/>
      </c>
      <c r="K74" s="109" t="str">
        <f>IF(OR(historico_VU!A73="",historico_VU!F73=""),"",historico_VU!F73)</f>
        <v/>
      </c>
      <c r="L74" s="110" t="str">
        <f>IF(posicao_contratual!A73="","",posicao_contratual!S73)</f>
        <v/>
      </c>
      <c r="M74" s="109" t="str">
        <f>IF(A74="TOTAL",ROUND(SUM($M$3:M73),2),IF(OR(A74="",K74="",L74=""),"",ROUND(K74*L74,2)))</f>
        <v/>
      </c>
      <c r="N74" s="107" t="str">
        <f>IF(OR(historico_VU!A73="",historico_VU!G73=""),"",historico_VU!G73)</f>
        <v/>
      </c>
      <c r="O74" s="108" t="str">
        <f>IF(posicao_contratual!A73="","",posicao_contratual!W73)</f>
        <v/>
      </c>
      <c r="P74" s="107" t="str">
        <f>IF(A74="TOTAL",ROUND(SUM($P$3:P73),2),IF(OR(A74="",N74="",O74=""),"",ROUND(N74*O74,2)))</f>
        <v/>
      </c>
      <c r="Q74" s="181" t="str">
        <f t="shared" ca="1" si="16"/>
        <v/>
      </c>
      <c r="R74" t="str">
        <f>IF($A74="","",IF(MEMORIA_RESULTADOS!$W$46="","","C"&amp;MEMORIA_RESULTADOS!$W$46))</f>
        <v/>
      </c>
      <c r="S74" s="207" t="str">
        <f t="shared" ca="1" si="17"/>
        <v/>
      </c>
      <c r="T74" s="207" t="str">
        <f t="shared" ca="1" si="18"/>
        <v/>
      </c>
      <c r="U74" s="207" t="str">
        <f t="shared" ca="1" si="19"/>
        <v/>
      </c>
      <c r="V74" s="191" t="str">
        <f t="shared" ca="1" si="20"/>
        <v/>
      </c>
      <c r="W74" s="191" t="str">
        <f t="shared" ca="1" si="21"/>
        <v/>
      </c>
      <c r="X74" s="191" t="str">
        <f t="shared" ca="1" si="22"/>
        <v/>
      </c>
      <c r="Y74" t="str">
        <f t="shared" ca="1" si="23"/>
        <v/>
      </c>
      <c r="Z74" s="208" t="str">
        <f>IF($A74="","",IF(posicao_contratual!$AA73="","",posicao_contratual!$AA73))</f>
        <v/>
      </c>
      <c r="AA74" t="str">
        <f>IF($A74="","",IF(posicao_contratual!$AL73="","","C"&amp;posicao_contratual!$AL73))</f>
        <v/>
      </c>
      <c r="AB74" t="str">
        <f>IF($A74="","",IF(OR(MEMORIA_RESULTADOS!$W$46="",posicao_contratual!$AL73=""),"",IF(posicao_contratual!$AL73&lt;=MEMORIA_RESULTADOS!$W$46,"SIM","NAO APLICAVEL")))</f>
        <v/>
      </c>
      <c r="AC74" t="str">
        <f>IF($A74="","",IF(MEMORIA_RESULTADOS!$W$46="","",CHOOSE(MEMORIA_RESULTADOS!$W$46+1,posicao_contratual!$AG73,posicao_contratual!$AH73,posicao_contratual!$AI73,posicao_contratual!$AJ73,posicao_contratual!$AK73)))</f>
        <v/>
      </c>
    </row>
    <row r="75" spans="1:29" x14ac:dyDescent="0.35">
      <c r="A75" s="106" t="str">
        <f>IF(AND(itens_Remanesc!A74="",itens_Remanesc!A73&lt;&gt;"",COUNTIF(itens_Remanesc!A75:$A$200,"&lt;&gt;")=0),"TOTAL",IF(itens_Remanesc!A74="","",itens_Remanesc!A74))</f>
        <v/>
      </c>
      <c r="B75" s="107" t="str">
        <f>IF(OR(historico_VU!A74="",historico_VU!C74=""),"",historico_VU!C74)</f>
        <v/>
      </c>
      <c r="C75" s="108" t="str">
        <f>IF(posicao_contratual!A74="","",posicao_contratual!G74)</f>
        <v/>
      </c>
      <c r="D75" s="107" t="str">
        <f>IF(A75="TOTAL",ROUND(SUM($D$3:D74),2),IF(OR(A75="",B75="",C75=""),"",ROUND(B75*C75,2)))</f>
        <v/>
      </c>
      <c r="E75" s="109" t="str">
        <f>IF(OR(historico_VU!A74="",historico_VU!D74=""),"",historico_VU!D74)</f>
        <v/>
      </c>
      <c r="F75" s="110" t="str">
        <f>IF(posicao_contratual!A74="","",posicao_contratual!K74)</f>
        <v/>
      </c>
      <c r="G75" s="109" t="str">
        <f>IF(A75="TOTAL",ROUND(SUM($G$3:G74),2),IF(OR(A75="",E75="",F75=""),"",ROUND(E75*F75,2)))</f>
        <v/>
      </c>
      <c r="H75" s="107" t="str">
        <f>IF(OR(historico_VU!A74="",historico_VU!E74=""),"",historico_VU!E74)</f>
        <v/>
      </c>
      <c r="I75" s="108" t="str">
        <f>IF(posicao_contratual!A74="","",posicao_contratual!O74)</f>
        <v/>
      </c>
      <c r="J75" s="107" t="str">
        <f>IF(A75="TOTAL",ROUND(SUM($J$3:J74),2),IF(OR(A75="",H75="",I75=""),"",ROUND(H75*I75,2)))</f>
        <v/>
      </c>
      <c r="K75" s="109" t="str">
        <f>IF(OR(historico_VU!A74="",historico_VU!F74=""),"",historico_VU!F74)</f>
        <v/>
      </c>
      <c r="L75" s="110" t="str">
        <f>IF(posicao_contratual!A74="","",posicao_contratual!S74)</f>
        <v/>
      </c>
      <c r="M75" s="109" t="str">
        <f>IF(A75="TOTAL",ROUND(SUM($M$3:M74),2),IF(OR(A75="",K75="",L75=""),"",ROUND(K75*L75,2)))</f>
        <v/>
      </c>
      <c r="N75" s="107" t="str">
        <f>IF(OR(historico_VU!A74="",historico_VU!G74=""),"",historico_VU!G74)</f>
        <v/>
      </c>
      <c r="O75" s="108" t="str">
        <f>IF(posicao_contratual!A74="","",posicao_contratual!W74)</f>
        <v/>
      </c>
      <c r="P75" s="107" t="str">
        <f>IF(A75="TOTAL",ROUND(SUM($P$3:P74),2),IF(OR(A75="",N75="",O75=""),"",ROUND(N75*O75,2)))</f>
        <v/>
      </c>
      <c r="Q75" s="181" t="str">
        <f t="shared" ca="1" si="16"/>
        <v/>
      </c>
      <c r="R75" t="str">
        <f>IF($A75="","",IF(MEMORIA_RESULTADOS!$W$46="","","C"&amp;MEMORIA_RESULTADOS!$W$46))</f>
        <v/>
      </c>
      <c r="S75" s="207" t="str">
        <f t="shared" ca="1" si="17"/>
        <v/>
      </c>
      <c r="T75" s="207" t="str">
        <f t="shared" ca="1" si="18"/>
        <v/>
      </c>
      <c r="U75" s="207" t="str">
        <f t="shared" ca="1" si="19"/>
        <v/>
      </c>
      <c r="V75" s="191" t="str">
        <f t="shared" ca="1" si="20"/>
        <v/>
      </c>
      <c r="W75" s="191" t="str">
        <f t="shared" ca="1" si="21"/>
        <v/>
      </c>
      <c r="X75" s="191" t="str">
        <f t="shared" ca="1" si="22"/>
        <v/>
      </c>
      <c r="Y75" t="str">
        <f t="shared" ca="1" si="23"/>
        <v/>
      </c>
      <c r="Z75" s="208" t="str">
        <f>IF($A75="","",IF(posicao_contratual!$AA74="","",posicao_contratual!$AA74))</f>
        <v/>
      </c>
      <c r="AA75" t="str">
        <f>IF($A75="","",IF(posicao_contratual!$AL74="","","C"&amp;posicao_contratual!$AL74))</f>
        <v/>
      </c>
      <c r="AB75" t="str">
        <f>IF($A75="","",IF(OR(MEMORIA_RESULTADOS!$W$46="",posicao_contratual!$AL74=""),"",IF(posicao_contratual!$AL74&lt;=MEMORIA_RESULTADOS!$W$46,"SIM","NAO APLICAVEL")))</f>
        <v/>
      </c>
      <c r="AC75" t="str">
        <f>IF($A75="","",IF(MEMORIA_RESULTADOS!$W$46="","",CHOOSE(MEMORIA_RESULTADOS!$W$46+1,posicao_contratual!$AG74,posicao_contratual!$AH74,posicao_contratual!$AI74,posicao_contratual!$AJ74,posicao_contratual!$AK74)))</f>
        <v/>
      </c>
    </row>
    <row r="76" spans="1:29" x14ac:dyDescent="0.35">
      <c r="A76" s="106" t="str">
        <f>IF(AND(itens_Remanesc!A75="",itens_Remanesc!A74&lt;&gt;"",COUNTIF(itens_Remanesc!A76:$A$200,"&lt;&gt;")=0),"TOTAL",IF(itens_Remanesc!A75="","",itens_Remanesc!A75))</f>
        <v/>
      </c>
      <c r="B76" s="107" t="str">
        <f>IF(OR(historico_VU!A75="",historico_VU!C75=""),"",historico_VU!C75)</f>
        <v/>
      </c>
      <c r="C76" s="108" t="str">
        <f>IF(posicao_contratual!A75="","",posicao_contratual!G75)</f>
        <v/>
      </c>
      <c r="D76" s="107" t="str">
        <f>IF(A76="TOTAL",ROUND(SUM($D$3:D75),2),IF(OR(A76="",B76="",C76=""),"",ROUND(B76*C76,2)))</f>
        <v/>
      </c>
      <c r="E76" s="109" t="str">
        <f>IF(OR(historico_VU!A75="",historico_VU!D75=""),"",historico_VU!D75)</f>
        <v/>
      </c>
      <c r="F76" s="110" t="str">
        <f>IF(posicao_contratual!A75="","",posicao_contratual!K75)</f>
        <v/>
      </c>
      <c r="G76" s="109" t="str">
        <f>IF(A76="TOTAL",ROUND(SUM($G$3:G75),2),IF(OR(A76="",E76="",F76=""),"",ROUND(E76*F76,2)))</f>
        <v/>
      </c>
      <c r="H76" s="107" t="str">
        <f>IF(OR(historico_VU!A75="",historico_VU!E75=""),"",historico_VU!E75)</f>
        <v/>
      </c>
      <c r="I76" s="108" t="str">
        <f>IF(posicao_contratual!A75="","",posicao_contratual!O75)</f>
        <v/>
      </c>
      <c r="J76" s="107" t="str">
        <f>IF(A76="TOTAL",ROUND(SUM($J$3:J75),2),IF(OR(A76="",H76="",I76=""),"",ROUND(H76*I76,2)))</f>
        <v/>
      </c>
      <c r="K76" s="109" t="str">
        <f>IF(OR(historico_VU!A75="",historico_VU!F75=""),"",historico_VU!F75)</f>
        <v/>
      </c>
      <c r="L76" s="110" t="str">
        <f>IF(posicao_contratual!A75="","",posicao_contratual!S75)</f>
        <v/>
      </c>
      <c r="M76" s="109" t="str">
        <f>IF(A76="TOTAL",ROUND(SUM($M$3:M75),2),IF(OR(A76="",K76="",L76=""),"",ROUND(K76*L76,2)))</f>
        <v/>
      </c>
      <c r="N76" s="107" t="str">
        <f>IF(OR(historico_VU!A75="",historico_VU!G75=""),"",historico_VU!G75)</f>
        <v/>
      </c>
      <c r="O76" s="108" t="str">
        <f>IF(posicao_contratual!A75="","",posicao_contratual!W75)</f>
        <v/>
      </c>
      <c r="P76" s="107" t="str">
        <f>IF(A76="TOTAL",ROUND(SUM($P$3:P75),2),IF(OR(A76="",N76="",O76=""),"",ROUND(N76*O76,2)))</f>
        <v/>
      </c>
      <c r="Q76" s="181" t="str">
        <f t="shared" ca="1" si="16"/>
        <v/>
      </c>
      <c r="R76" t="str">
        <f>IF($A76="","",IF(MEMORIA_RESULTADOS!$W$46="","","C"&amp;MEMORIA_RESULTADOS!$W$46))</f>
        <v/>
      </c>
      <c r="S76" s="207" t="str">
        <f t="shared" ca="1" si="17"/>
        <v/>
      </c>
      <c r="T76" s="207" t="str">
        <f t="shared" ca="1" si="18"/>
        <v/>
      </c>
      <c r="U76" s="207" t="str">
        <f t="shared" ca="1" si="19"/>
        <v/>
      </c>
      <c r="V76" s="191" t="str">
        <f t="shared" ca="1" si="20"/>
        <v/>
      </c>
      <c r="W76" s="191" t="str">
        <f t="shared" ca="1" si="21"/>
        <v/>
      </c>
      <c r="X76" s="191" t="str">
        <f t="shared" ca="1" si="22"/>
        <v/>
      </c>
      <c r="Y76" t="str">
        <f t="shared" ca="1" si="23"/>
        <v/>
      </c>
      <c r="Z76" s="208" t="str">
        <f>IF($A76="","",IF(posicao_contratual!$AA75="","",posicao_contratual!$AA75))</f>
        <v/>
      </c>
      <c r="AA76" t="str">
        <f>IF($A76="","",IF(posicao_contratual!$AL75="","","C"&amp;posicao_contratual!$AL75))</f>
        <v/>
      </c>
      <c r="AB76" t="str">
        <f>IF($A76="","",IF(OR(MEMORIA_RESULTADOS!$W$46="",posicao_contratual!$AL75=""),"",IF(posicao_contratual!$AL75&lt;=MEMORIA_RESULTADOS!$W$46,"SIM","NAO APLICAVEL")))</f>
        <v/>
      </c>
      <c r="AC76" t="str">
        <f>IF($A76="","",IF(MEMORIA_RESULTADOS!$W$46="","",CHOOSE(MEMORIA_RESULTADOS!$W$46+1,posicao_contratual!$AG75,posicao_contratual!$AH75,posicao_contratual!$AI75,posicao_contratual!$AJ75,posicao_contratual!$AK75)))</f>
        <v/>
      </c>
    </row>
    <row r="77" spans="1:29" x14ac:dyDescent="0.35">
      <c r="A77" s="106" t="str">
        <f>IF(AND(itens_Remanesc!A76="",itens_Remanesc!A75&lt;&gt;"",COUNTIF(itens_Remanesc!A77:$A$200,"&lt;&gt;")=0),"TOTAL",IF(itens_Remanesc!A76="","",itens_Remanesc!A76))</f>
        <v/>
      </c>
      <c r="B77" s="107" t="str">
        <f>IF(OR(historico_VU!A76="",historico_VU!C76=""),"",historico_VU!C76)</f>
        <v/>
      </c>
      <c r="C77" s="108" t="str">
        <f>IF(posicao_contratual!A76="","",posicao_contratual!G76)</f>
        <v/>
      </c>
      <c r="D77" s="107" t="str">
        <f>IF(A77="TOTAL",ROUND(SUM($D$3:D76),2),IF(OR(A77="",B77="",C77=""),"",ROUND(B77*C77,2)))</f>
        <v/>
      </c>
      <c r="E77" s="109" t="str">
        <f>IF(OR(historico_VU!A76="",historico_VU!D76=""),"",historico_VU!D76)</f>
        <v/>
      </c>
      <c r="F77" s="110" t="str">
        <f>IF(posicao_contratual!A76="","",posicao_contratual!K76)</f>
        <v/>
      </c>
      <c r="G77" s="109" t="str">
        <f>IF(A77="TOTAL",ROUND(SUM($G$3:G76),2),IF(OR(A77="",E77="",F77=""),"",ROUND(E77*F77,2)))</f>
        <v/>
      </c>
      <c r="H77" s="107" t="str">
        <f>IF(OR(historico_VU!A76="",historico_VU!E76=""),"",historico_VU!E76)</f>
        <v/>
      </c>
      <c r="I77" s="108" t="str">
        <f>IF(posicao_contratual!A76="","",posicao_contratual!O76)</f>
        <v/>
      </c>
      <c r="J77" s="107" t="str">
        <f>IF(A77="TOTAL",ROUND(SUM($J$3:J76),2),IF(OR(A77="",H77="",I77=""),"",ROUND(H77*I77,2)))</f>
        <v/>
      </c>
      <c r="K77" s="109" t="str">
        <f>IF(OR(historico_VU!A76="",historico_VU!F76=""),"",historico_VU!F76)</f>
        <v/>
      </c>
      <c r="L77" s="110" t="str">
        <f>IF(posicao_contratual!A76="","",posicao_contratual!S76)</f>
        <v/>
      </c>
      <c r="M77" s="109" t="str">
        <f>IF(A77="TOTAL",ROUND(SUM($M$3:M76),2),IF(OR(A77="",K77="",L77=""),"",ROUND(K77*L77,2)))</f>
        <v/>
      </c>
      <c r="N77" s="107" t="str">
        <f>IF(OR(historico_VU!A76="",historico_VU!G76=""),"",historico_VU!G76)</f>
        <v/>
      </c>
      <c r="O77" s="108" t="str">
        <f>IF(posicao_contratual!A76="","",posicao_contratual!W76)</f>
        <v/>
      </c>
      <c r="P77" s="107" t="str">
        <f>IF(A77="TOTAL",ROUND(SUM($P$3:P76),2),IF(OR(A77="",N77="",O77=""),"",ROUND(N77*O77,2)))</f>
        <v/>
      </c>
      <c r="Q77" s="181" t="str">
        <f t="shared" ca="1" si="16"/>
        <v/>
      </c>
      <c r="R77" t="str">
        <f>IF($A77="","",IF(MEMORIA_RESULTADOS!$W$46="","","C"&amp;MEMORIA_RESULTADOS!$W$46))</f>
        <v/>
      </c>
      <c r="S77" s="207" t="str">
        <f t="shared" ca="1" si="17"/>
        <v/>
      </c>
      <c r="T77" s="207" t="str">
        <f t="shared" ca="1" si="18"/>
        <v/>
      </c>
      <c r="U77" s="207" t="str">
        <f t="shared" ca="1" si="19"/>
        <v/>
      </c>
      <c r="V77" s="191" t="str">
        <f t="shared" ca="1" si="20"/>
        <v/>
      </c>
      <c r="W77" s="191" t="str">
        <f t="shared" ca="1" si="21"/>
        <v/>
      </c>
      <c r="X77" s="191" t="str">
        <f t="shared" ca="1" si="22"/>
        <v/>
      </c>
      <c r="Y77" t="str">
        <f t="shared" ca="1" si="23"/>
        <v/>
      </c>
      <c r="Z77" s="208" t="str">
        <f>IF($A77="","",IF(posicao_contratual!$AA76="","",posicao_contratual!$AA76))</f>
        <v/>
      </c>
      <c r="AA77" t="str">
        <f>IF($A77="","",IF(posicao_contratual!$AL76="","","C"&amp;posicao_contratual!$AL76))</f>
        <v/>
      </c>
      <c r="AB77" t="str">
        <f>IF($A77="","",IF(OR(MEMORIA_RESULTADOS!$W$46="",posicao_contratual!$AL76=""),"",IF(posicao_contratual!$AL76&lt;=MEMORIA_RESULTADOS!$W$46,"SIM","NAO APLICAVEL")))</f>
        <v/>
      </c>
      <c r="AC77" t="str">
        <f>IF($A77="","",IF(MEMORIA_RESULTADOS!$W$46="","",CHOOSE(MEMORIA_RESULTADOS!$W$46+1,posicao_contratual!$AG76,posicao_contratual!$AH76,posicao_contratual!$AI76,posicao_contratual!$AJ76,posicao_contratual!$AK76)))</f>
        <v/>
      </c>
    </row>
    <row r="78" spans="1:29" x14ac:dyDescent="0.35">
      <c r="A78" s="106" t="str">
        <f>IF(AND(itens_Remanesc!A77="",itens_Remanesc!A76&lt;&gt;"",COUNTIF(itens_Remanesc!A78:$A$200,"&lt;&gt;")=0),"TOTAL",IF(itens_Remanesc!A77="","",itens_Remanesc!A77))</f>
        <v/>
      </c>
      <c r="B78" s="107" t="str">
        <f>IF(OR(historico_VU!A77="",historico_VU!C77=""),"",historico_VU!C77)</f>
        <v/>
      </c>
      <c r="C78" s="108" t="str">
        <f>IF(posicao_contratual!A77="","",posicao_contratual!G77)</f>
        <v/>
      </c>
      <c r="D78" s="107" t="str">
        <f>IF(A78="TOTAL",ROUND(SUM($D$3:D77),2),IF(OR(A78="",B78="",C78=""),"",ROUND(B78*C78,2)))</f>
        <v/>
      </c>
      <c r="E78" s="109" t="str">
        <f>IF(OR(historico_VU!A77="",historico_VU!D77=""),"",historico_VU!D77)</f>
        <v/>
      </c>
      <c r="F78" s="110" t="str">
        <f>IF(posicao_contratual!A77="","",posicao_contratual!K77)</f>
        <v/>
      </c>
      <c r="G78" s="109" t="str">
        <f>IF(A78="TOTAL",ROUND(SUM($G$3:G77),2),IF(OR(A78="",E78="",F78=""),"",ROUND(E78*F78,2)))</f>
        <v/>
      </c>
      <c r="H78" s="107" t="str">
        <f>IF(OR(historico_VU!A77="",historico_VU!E77=""),"",historico_VU!E77)</f>
        <v/>
      </c>
      <c r="I78" s="108" t="str">
        <f>IF(posicao_contratual!A77="","",posicao_contratual!O77)</f>
        <v/>
      </c>
      <c r="J78" s="107" t="str">
        <f>IF(A78="TOTAL",ROUND(SUM($J$3:J77),2),IF(OR(A78="",H78="",I78=""),"",ROUND(H78*I78,2)))</f>
        <v/>
      </c>
      <c r="K78" s="109" t="str">
        <f>IF(OR(historico_VU!A77="",historico_VU!F77=""),"",historico_VU!F77)</f>
        <v/>
      </c>
      <c r="L78" s="110" t="str">
        <f>IF(posicao_contratual!A77="","",posicao_contratual!S77)</f>
        <v/>
      </c>
      <c r="M78" s="109" t="str">
        <f>IF(A78="TOTAL",ROUND(SUM($M$3:M77),2),IF(OR(A78="",K78="",L78=""),"",ROUND(K78*L78,2)))</f>
        <v/>
      </c>
      <c r="N78" s="107" t="str">
        <f>IF(OR(historico_VU!A77="",historico_VU!G77=""),"",historico_VU!G77)</f>
        <v/>
      </c>
      <c r="O78" s="108" t="str">
        <f>IF(posicao_contratual!A77="","",posicao_contratual!W77)</f>
        <v/>
      </c>
      <c r="P78" s="107" t="str">
        <f>IF(A78="TOTAL",ROUND(SUM($P$3:P77),2),IF(OR(A78="",N78="",O78=""),"",ROUND(N78*O78,2)))</f>
        <v/>
      </c>
      <c r="Q78" s="181" t="str">
        <f t="shared" ca="1" si="16"/>
        <v/>
      </c>
      <c r="R78" t="str">
        <f>IF($A78="","",IF(MEMORIA_RESULTADOS!$W$46="","","C"&amp;MEMORIA_RESULTADOS!$W$46))</f>
        <v/>
      </c>
      <c r="S78" s="207" t="str">
        <f t="shared" ca="1" si="17"/>
        <v/>
      </c>
      <c r="T78" s="207" t="str">
        <f t="shared" ca="1" si="18"/>
        <v/>
      </c>
      <c r="U78" s="207" t="str">
        <f t="shared" ca="1" si="19"/>
        <v/>
      </c>
      <c r="V78" s="191" t="str">
        <f t="shared" ca="1" si="20"/>
        <v/>
      </c>
      <c r="W78" s="191" t="str">
        <f t="shared" ca="1" si="21"/>
        <v/>
      </c>
      <c r="X78" s="191" t="str">
        <f t="shared" ca="1" si="22"/>
        <v/>
      </c>
      <c r="Y78" t="str">
        <f t="shared" ca="1" si="23"/>
        <v/>
      </c>
      <c r="Z78" s="208" t="str">
        <f>IF($A78="","",IF(posicao_contratual!$AA77="","",posicao_contratual!$AA77))</f>
        <v/>
      </c>
      <c r="AA78" t="str">
        <f>IF($A78="","",IF(posicao_contratual!$AL77="","","C"&amp;posicao_contratual!$AL77))</f>
        <v/>
      </c>
      <c r="AB78" t="str">
        <f>IF($A78="","",IF(OR(MEMORIA_RESULTADOS!$W$46="",posicao_contratual!$AL77=""),"",IF(posicao_contratual!$AL77&lt;=MEMORIA_RESULTADOS!$W$46,"SIM","NAO APLICAVEL")))</f>
        <v/>
      </c>
      <c r="AC78" t="str">
        <f>IF($A78="","",IF(MEMORIA_RESULTADOS!$W$46="","",CHOOSE(MEMORIA_RESULTADOS!$W$46+1,posicao_contratual!$AG77,posicao_contratual!$AH77,posicao_contratual!$AI77,posicao_contratual!$AJ77,posicao_contratual!$AK77)))</f>
        <v/>
      </c>
    </row>
    <row r="79" spans="1:29" x14ac:dyDescent="0.35">
      <c r="A79" s="106" t="str">
        <f>IF(AND(itens_Remanesc!A78="",itens_Remanesc!A77&lt;&gt;"",COUNTIF(itens_Remanesc!A79:$A$200,"&lt;&gt;")=0),"TOTAL",IF(itens_Remanesc!A78="","",itens_Remanesc!A78))</f>
        <v/>
      </c>
      <c r="B79" s="107" t="str">
        <f>IF(OR(historico_VU!A78="",historico_VU!C78=""),"",historico_VU!C78)</f>
        <v/>
      </c>
      <c r="C79" s="108" t="str">
        <f>IF(posicao_contratual!A78="","",posicao_contratual!G78)</f>
        <v/>
      </c>
      <c r="D79" s="107" t="str">
        <f>IF(A79="TOTAL",ROUND(SUM($D$3:D78),2),IF(OR(A79="",B79="",C79=""),"",ROUND(B79*C79,2)))</f>
        <v/>
      </c>
      <c r="E79" s="109" t="str">
        <f>IF(OR(historico_VU!A78="",historico_VU!D78=""),"",historico_VU!D78)</f>
        <v/>
      </c>
      <c r="F79" s="110" t="str">
        <f>IF(posicao_contratual!A78="","",posicao_contratual!K78)</f>
        <v/>
      </c>
      <c r="G79" s="109" t="str">
        <f>IF(A79="TOTAL",ROUND(SUM($G$3:G78),2),IF(OR(A79="",E79="",F79=""),"",ROUND(E79*F79,2)))</f>
        <v/>
      </c>
      <c r="H79" s="107" t="str">
        <f>IF(OR(historico_VU!A78="",historico_VU!E78=""),"",historico_VU!E78)</f>
        <v/>
      </c>
      <c r="I79" s="108" t="str">
        <f>IF(posicao_contratual!A78="","",posicao_contratual!O78)</f>
        <v/>
      </c>
      <c r="J79" s="107" t="str">
        <f>IF(A79="TOTAL",ROUND(SUM($J$3:J78),2),IF(OR(A79="",H79="",I79=""),"",ROUND(H79*I79,2)))</f>
        <v/>
      </c>
      <c r="K79" s="109" t="str">
        <f>IF(OR(historico_VU!A78="",historico_VU!F78=""),"",historico_VU!F78)</f>
        <v/>
      </c>
      <c r="L79" s="110" t="str">
        <f>IF(posicao_contratual!A78="","",posicao_contratual!S78)</f>
        <v/>
      </c>
      <c r="M79" s="109" t="str">
        <f>IF(A79="TOTAL",ROUND(SUM($M$3:M78),2),IF(OR(A79="",K79="",L79=""),"",ROUND(K79*L79,2)))</f>
        <v/>
      </c>
      <c r="N79" s="107" t="str">
        <f>IF(OR(historico_VU!A78="",historico_VU!G78=""),"",historico_VU!G78)</f>
        <v/>
      </c>
      <c r="O79" s="108" t="str">
        <f>IF(posicao_contratual!A78="","",posicao_contratual!W78)</f>
        <v/>
      </c>
      <c r="P79" s="107" t="str">
        <f>IF(A79="TOTAL",ROUND(SUM($P$3:P78),2),IF(OR(A79="",N79="",O79=""),"",ROUND(N79*O79,2)))</f>
        <v/>
      </c>
      <c r="Q79" s="181" t="str">
        <f t="shared" ca="1" si="16"/>
        <v/>
      </c>
      <c r="R79" t="str">
        <f>IF($A79="","",IF(MEMORIA_RESULTADOS!$W$46="","","C"&amp;MEMORIA_RESULTADOS!$W$46))</f>
        <v/>
      </c>
      <c r="S79" s="207" t="str">
        <f t="shared" ca="1" si="17"/>
        <v/>
      </c>
      <c r="T79" s="207" t="str">
        <f t="shared" ca="1" si="18"/>
        <v/>
      </c>
      <c r="U79" s="207" t="str">
        <f t="shared" ca="1" si="19"/>
        <v/>
      </c>
      <c r="V79" s="191" t="str">
        <f t="shared" ca="1" si="20"/>
        <v/>
      </c>
      <c r="W79" s="191" t="str">
        <f t="shared" ca="1" si="21"/>
        <v/>
      </c>
      <c r="X79" s="191" t="str">
        <f t="shared" ca="1" si="22"/>
        <v/>
      </c>
      <c r="Y79" t="str">
        <f t="shared" ca="1" si="23"/>
        <v/>
      </c>
      <c r="Z79" s="208" t="str">
        <f>IF($A79="","",IF(posicao_contratual!$AA78="","",posicao_contratual!$AA78))</f>
        <v/>
      </c>
      <c r="AA79" t="str">
        <f>IF($A79="","",IF(posicao_contratual!$AL78="","","C"&amp;posicao_contratual!$AL78))</f>
        <v/>
      </c>
      <c r="AB79" t="str">
        <f>IF($A79="","",IF(OR(MEMORIA_RESULTADOS!$W$46="",posicao_contratual!$AL78=""),"",IF(posicao_contratual!$AL78&lt;=MEMORIA_RESULTADOS!$W$46,"SIM","NAO APLICAVEL")))</f>
        <v/>
      </c>
      <c r="AC79" t="str">
        <f>IF($A79="","",IF(MEMORIA_RESULTADOS!$W$46="","",CHOOSE(MEMORIA_RESULTADOS!$W$46+1,posicao_contratual!$AG78,posicao_contratual!$AH78,posicao_contratual!$AI78,posicao_contratual!$AJ78,posicao_contratual!$AK78)))</f>
        <v/>
      </c>
    </row>
    <row r="80" spans="1:29" x14ac:dyDescent="0.35">
      <c r="A80" s="106" t="str">
        <f>IF(AND(itens_Remanesc!A79="",itens_Remanesc!A78&lt;&gt;"",COUNTIF(itens_Remanesc!A80:$A$200,"&lt;&gt;")=0),"TOTAL",IF(itens_Remanesc!A79="","",itens_Remanesc!A79))</f>
        <v/>
      </c>
      <c r="B80" s="107" t="str">
        <f>IF(OR(historico_VU!A79="",historico_VU!C79=""),"",historico_VU!C79)</f>
        <v/>
      </c>
      <c r="C80" s="108" t="str">
        <f>IF(posicao_contratual!A79="","",posicao_contratual!G79)</f>
        <v/>
      </c>
      <c r="D80" s="107" t="str">
        <f>IF(A80="TOTAL",ROUND(SUM($D$3:D79),2),IF(OR(A80="",B80="",C80=""),"",ROUND(B80*C80,2)))</f>
        <v/>
      </c>
      <c r="E80" s="109" t="str">
        <f>IF(OR(historico_VU!A79="",historico_VU!D79=""),"",historico_VU!D79)</f>
        <v/>
      </c>
      <c r="F80" s="110" t="str">
        <f>IF(posicao_contratual!A79="","",posicao_contratual!K79)</f>
        <v/>
      </c>
      <c r="G80" s="109" t="str">
        <f>IF(A80="TOTAL",ROUND(SUM($G$3:G79),2),IF(OR(A80="",E80="",F80=""),"",ROUND(E80*F80,2)))</f>
        <v/>
      </c>
      <c r="H80" s="107" t="str">
        <f>IF(OR(historico_VU!A79="",historico_VU!E79=""),"",historico_VU!E79)</f>
        <v/>
      </c>
      <c r="I80" s="108" t="str">
        <f>IF(posicao_contratual!A79="","",posicao_contratual!O79)</f>
        <v/>
      </c>
      <c r="J80" s="107" t="str">
        <f>IF(A80="TOTAL",ROUND(SUM($J$3:J79),2),IF(OR(A80="",H80="",I80=""),"",ROUND(H80*I80,2)))</f>
        <v/>
      </c>
      <c r="K80" s="109" t="str">
        <f>IF(OR(historico_VU!A79="",historico_VU!F79=""),"",historico_VU!F79)</f>
        <v/>
      </c>
      <c r="L80" s="110" t="str">
        <f>IF(posicao_contratual!A79="","",posicao_contratual!S79)</f>
        <v/>
      </c>
      <c r="M80" s="109" t="str">
        <f>IF(A80="TOTAL",ROUND(SUM($M$3:M79),2),IF(OR(A80="",K80="",L80=""),"",ROUND(K80*L80,2)))</f>
        <v/>
      </c>
      <c r="N80" s="107" t="str">
        <f>IF(OR(historico_VU!A79="",historico_VU!G79=""),"",historico_VU!G79)</f>
        <v/>
      </c>
      <c r="O80" s="108" t="str">
        <f>IF(posicao_contratual!A79="","",posicao_contratual!W79)</f>
        <v/>
      </c>
      <c r="P80" s="107" t="str">
        <f>IF(A80="TOTAL",ROUND(SUM($P$3:P79),2),IF(OR(A80="",N80="",O80=""),"",ROUND(N80*O80,2)))</f>
        <v/>
      </c>
      <c r="Q80" s="181" t="str">
        <f t="shared" ca="1" si="16"/>
        <v/>
      </c>
      <c r="R80" t="str">
        <f>IF($A80="","",IF(MEMORIA_RESULTADOS!$W$46="","","C"&amp;MEMORIA_RESULTADOS!$W$46))</f>
        <v/>
      </c>
      <c r="S80" s="207" t="str">
        <f t="shared" ca="1" si="17"/>
        <v/>
      </c>
      <c r="T80" s="207" t="str">
        <f t="shared" ca="1" si="18"/>
        <v/>
      </c>
      <c r="U80" s="207" t="str">
        <f t="shared" ca="1" si="19"/>
        <v/>
      </c>
      <c r="V80" s="191" t="str">
        <f t="shared" ca="1" si="20"/>
        <v/>
      </c>
      <c r="W80" s="191" t="str">
        <f t="shared" ca="1" si="21"/>
        <v/>
      </c>
      <c r="X80" s="191" t="str">
        <f t="shared" ca="1" si="22"/>
        <v/>
      </c>
      <c r="Y80" t="str">
        <f t="shared" ca="1" si="23"/>
        <v/>
      </c>
      <c r="Z80" s="208" t="str">
        <f>IF($A80="","",IF(posicao_contratual!$AA79="","",posicao_contratual!$AA79))</f>
        <v/>
      </c>
      <c r="AA80" t="str">
        <f>IF($A80="","",IF(posicao_contratual!$AL79="","","C"&amp;posicao_contratual!$AL79))</f>
        <v/>
      </c>
      <c r="AB80" t="str">
        <f>IF($A80="","",IF(OR(MEMORIA_RESULTADOS!$W$46="",posicao_contratual!$AL79=""),"",IF(posicao_contratual!$AL79&lt;=MEMORIA_RESULTADOS!$W$46,"SIM","NAO APLICAVEL")))</f>
        <v/>
      </c>
      <c r="AC80" t="str">
        <f>IF($A80="","",IF(MEMORIA_RESULTADOS!$W$46="","",CHOOSE(MEMORIA_RESULTADOS!$W$46+1,posicao_contratual!$AG79,posicao_contratual!$AH79,posicao_contratual!$AI79,posicao_contratual!$AJ79,posicao_contratual!$AK79)))</f>
        <v/>
      </c>
    </row>
    <row r="81" spans="1:29" x14ac:dyDescent="0.35">
      <c r="A81" s="106" t="str">
        <f>IF(AND(itens_Remanesc!A80="",itens_Remanesc!A79&lt;&gt;"",COUNTIF(itens_Remanesc!A81:$A$200,"&lt;&gt;")=0),"TOTAL",IF(itens_Remanesc!A80="","",itens_Remanesc!A80))</f>
        <v/>
      </c>
      <c r="B81" s="107" t="str">
        <f>IF(OR(historico_VU!A80="",historico_VU!C80=""),"",historico_VU!C80)</f>
        <v/>
      </c>
      <c r="C81" s="108" t="str">
        <f>IF(posicao_contratual!A80="","",posicao_contratual!G80)</f>
        <v/>
      </c>
      <c r="D81" s="107" t="str">
        <f>IF(A81="TOTAL",ROUND(SUM($D$3:D80),2),IF(OR(A81="",B81="",C81=""),"",ROUND(B81*C81,2)))</f>
        <v/>
      </c>
      <c r="E81" s="109" t="str">
        <f>IF(OR(historico_VU!A80="",historico_VU!D80=""),"",historico_VU!D80)</f>
        <v/>
      </c>
      <c r="F81" s="110" t="str">
        <f>IF(posicao_contratual!A80="","",posicao_contratual!K80)</f>
        <v/>
      </c>
      <c r="G81" s="109" t="str">
        <f>IF(A81="TOTAL",ROUND(SUM($G$3:G80),2),IF(OR(A81="",E81="",F81=""),"",ROUND(E81*F81,2)))</f>
        <v/>
      </c>
      <c r="H81" s="107" t="str">
        <f>IF(OR(historico_VU!A80="",historico_VU!E80=""),"",historico_VU!E80)</f>
        <v/>
      </c>
      <c r="I81" s="108" t="str">
        <f>IF(posicao_contratual!A80="","",posicao_contratual!O80)</f>
        <v/>
      </c>
      <c r="J81" s="107" t="str">
        <f>IF(A81="TOTAL",ROUND(SUM($J$3:J80),2),IF(OR(A81="",H81="",I81=""),"",ROUND(H81*I81,2)))</f>
        <v/>
      </c>
      <c r="K81" s="109" t="str">
        <f>IF(OR(historico_VU!A80="",historico_VU!F80=""),"",historico_VU!F80)</f>
        <v/>
      </c>
      <c r="L81" s="110" t="str">
        <f>IF(posicao_contratual!A80="","",posicao_contratual!S80)</f>
        <v/>
      </c>
      <c r="M81" s="109" t="str">
        <f>IF(A81="TOTAL",ROUND(SUM($M$3:M80),2),IF(OR(A81="",K81="",L81=""),"",ROUND(K81*L81,2)))</f>
        <v/>
      </c>
      <c r="N81" s="107" t="str">
        <f>IF(OR(historico_VU!A80="",historico_VU!G80=""),"",historico_VU!G80)</f>
        <v/>
      </c>
      <c r="O81" s="108" t="str">
        <f>IF(posicao_contratual!A80="","",posicao_contratual!W80)</f>
        <v/>
      </c>
      <c r="P81" s="107" t="str">
        <f>IF(A81="TOTAL",ROUND(SUM($P$3:P80),2),IF(OR(A81="",N81="",O81=""),"",ROUND(N81*O81,2)))</f>
        <v/>
      </c>
      <c r="Q81" s="181" t="str">
        <f t="shared" ca="1" si="16"/>
        <v/>
      </c>
      <c r="R81" t="str">
        <f>IF($A81="","",IF(MEMORIA_RESULTADOS!$W$46="","","C"&amp;MEMORIA_RESULTADOS!$W$46))</f>
        <v/>
      </c>
      <c r="S81" s="207" t="str">
        <f t="shared" ca="1" si="17"/>
        <v/>
      </c>
      <c r="T81" s="207" t="str">
        <f t="shared" ca="1" si="18"/>
        <v/>
      </c>
      <c r="U81" s="207" t="str">
        <f t="shared" ca="1" si="19"/>
        <v/>
      </c>
      <c r="V81" s="191" t="str">
        <f t="shared" ca="1" si="20"/>
        <v/>
      </c>
      <c r="W81" s="191" t="str">
        <f t="shared" ca="1" si="21"/>
        <v/>
      </c>
      <c r="X81" s="191" t="str">
        <f t="shared" ca="1" si="22"/>
        <v/>
      </c>
      <c r="Y81" t="str">
        <f t="shared" ca="1" si="23"/>
        <v/>
      </c>
      <c r="Z81" s="208" t="str">
        <f>IF($A81="","",IF(posicao_contratual!$AA80="","",posicao_contratual!$AA80))</f>
        <v/>
      </c>
      <c r="AA81" t="str">
        <f>IF($A81="","",IF(posicao_contratual!$AL80="","","C"&amp;posicao_contratual!$AL80))</f>
        <v/>
      </c>
      <c r="AB81" t="str">
        <f>IF($A81="","",IF(OR(MEMORIA_RESULTADOS!$W$46="",posicao_contratual!$AL80=""),"",IF(posicao_contratual!$AL80&lt;=MEMORIA_RESULTADOS!$W$46,"SIM","NAO APLICAVEL")))</f>
        <v/>
      </c>
      <c r="AC81" t="str">
        <f>IF($A81="","",IF(MEMORIA_RESULTADOS!$W$46="","",CHOOSE(MEMORIA_RESULTADOS!$W$46+1,posicao_contratual!$AG80,posicao_contratual!$AH80,posicao_contratual!$AI80,posicao_contratual!$AJ80,posicao_contratual!$AK80)))</f>
        <v/>
      </c>
    </row>
    <row r="82" spans="1:29" x14ac:dyDescent="0.35">
      <c r="A82" s="106" t="str">
        <f>IF(AND(itens_Remanesc!A81="",itens_Remanesc!A80&lt;&gt;"",COUNTIF(itens_Remanesc!A82:$A$200,"&lt;&gt;")=0),"TOTAL",IF(itens_Remanesc!A81="","",itens_Remanesc!A81))</f>
        <v/>
      </c>
      <c r="B82" s="107" t="str">
        <f>IF(OR(historico_VU!A81="",historico_VU!C81=""),"",historico_VU!C81)</f>
        <v/>
      </c>
      <c r="C82" s="108" t="str">
        <f>IF(posicao_contratual!A81="","",posicao_contratual!G81)</f>
        <v/>
      </c>
      <c r="D82" s="107" t="str">
        <f>IF(A82="TOTAL",ROUND(SUM($D$3:D81),2),IF(OR(A82="",B82="",C82=""),"",ROUND(B82*C82,2)))</f>
        <v/>
      </c>
      <c r="E82" s="109" t="str">
        <f>IF(OR(historico_VU!A81="",historico_VU!D81=""),"",historico_VU!D81)</f>
        <v/>
      </c>
      <c r="F82" s="110" t="str">
        <f>IF(posicao_contratual!A81="","",posicao_contratual!K81)</f>
        <v/>
      </c>
      <c r="G82" s="109" t="str">
        <f>IF(A82="TOTAL",ROUND(SUM($G$3:G81),2),IF(OR(A82="",E82="",F82=""),"",ROUND(E82*F82,2)))</f>
        <v/>
      </c>
      <c r="H82" s="107" t="str">
        <f>IF(OR(historico_VU!A81="",historico_VU!E81=""),"",historico_VU!E81)</f>
        <v/>
      </c>
      <c r="I82" s="108" t="str">
        <f>IF(posicao_contratual!A81="","",posicao_contratual!O81)</f>
        <v/>
      </c>
      <c r="J82" s="107" t="str">
        <f>IF(A82="TOTAL",ROUND(SUM($J$3:J81),2),IF(OR(A82="",H82="",I82=""),"",ROUND(H82*I82,2)))</f>
        <v/>
      </c>
      <c r="K82" s="109" t="str">
        <f>IF(OR(historico_VU!A81="",historico_VU!F81=""),"",historico_VU!F81)</f>
        <v/>
      </c>
      <c r="L82" s="110" t="str">
        <f>IF(posicao_contratual!A81="","",posicao_contratual!S81)</f>
        <v/>
      </c>
      <c r="M82" s="109" t="str">
        <f>IF(A82="TOTAL",ROUND(SUM($M$3:M81),2),IF(OR(A82="",K82="",L82=""),"",ROUND(K82*L82,2)))</f>
        <v/>
      </c>
      <c r="N82" s="107" t="str">
        <f>IF(OR(historico_VU!A81="",historico_VU!G81=""),"",historico_VU!G81)</f>
        <v/>
      </c>
      <c r="O82" s="108" t="str">
        <f>IF(posicao_contratual!A81="","",posicao_contratual!W81)</f>
        <v/>
      </c>
      <c r="P82" s="107" t="str">
        <f>IF(A82="TOTAL",ROUND(SUM($P$3:P81),2),IF(OR(A82="",N82="",O82=""),"",ROUND(N82*O82,2)))</f>
        <v/>
      </c>
      <c r="Q82" s="181" t="str">
        <f t="shared" ca="1" si="16"/>
        <v/>
      </c>
      <c r="R82" t="str">
        <f>IF($A82="","",IF(MEMORIA_RESULTADOS!$W$46="","","C"&amp;MEMORIA_RESULTADOS!$W$46))</f>
        <v/>
      </c>
      <c r="S82" s="207" t="str">
        <f t="shared" ca="1" si="17"/>
        <v/>
      </c>
      <c r="T82" s="207" t="str">
        <f t="shared" ca="1" si="18"/>
        <v/>
      </c>
      <c r="U82" s="207" t="str">
        <f t="shared" ca="1" si="19"/>
        <v/>
      </c>
      <c r="V82" s="191" t="str">
        <f t="shared" ca="1" si="20"/>
        <v/>
      </c>
      <c r="W82" s="191" t="str">
        <f t="shared" ca="1" si="21"/>
        <v/>
      </c>
      <c r="X82" s="191" t="str">
        <f t="shared" ca="1" si="22"/>
        <v/>
      </c>
      <c r="Y82" t="str">
        <f t="shared" ca="1" si="23"/>
        <v/>
      </c>
      <c r="Z82" s="208" t="str">
        <f>IF($A82="","",IF(posicao_contratual!$AA81="","",posicao_contratual!$AA81))</f>
        <v/>
      </c>
      <c r="AA82" t="str">
        <f>IF($A82="","",IF(posicao_contratual!$AL81="","","C"&amp;posicao_contratual!$AL81))</f>
        <v/>
      </c>
      <c r="AB82" t="str">
        <f>IF($A82="","",IF(OR(MEMORIA_RESULTADOS!$W$46="",posicao_contratual!$AL81=""),"",IF(posicao_contratual!$AL81&lt;=MEMORIA_RESULTADOS!$W$46,"SIM","NAO APLICAVEL")))</f>
        <v/>
      </c>
      <c r="AC82" t="str">
        <f>IF($A82="","",IF(MEMORIA_RESULTADOS!$W$46="","",CHOOSE(MEMORIA_RESULTADOS!$W$46+1,posicao_contratual!$AG81,posicao_contratual!$AH81,posicao_contratual!$AI81,posicao_contratual!$AJ81,posicao_contratual!$AK81)))</f>
        <v/>
      </c>
    </row>
    <row r="83" spans="1:29" x14ac:dyDescent="0.35">
      <c r="A83" s="106" t="str">
        <f>IF(AND(itens_Remanesc!A82="",itens_Remanesc!A81&lt;&gt;"",COUNTIF(itens_Remanesc!A83:$A$200,"&lt;&gt;")=0),"TOTAL",IF(itens_Remanesc!A82="","",itens_Remanesc!A82))</f>
        <v/>
      </c>
      <c r="B83" s="107" t="str">
        <f>IF(OR(historico_VU!A82="",historico_VU!C82=""),"",historico_VU!C82)</f>
        <v/>
      </c>
      <c r="C83" s="108" t="str">
        <f>IF(posicao_contratual!A82="","",posicao_contratual!G82)</f>
        <v/>
      </c>
      <c r="D83" s="107" t="str">
        <f>IF(A83="TOTAL",ROUND(SUM($D$3:D82),2),IF(OR(A83="",B83="",C83=""),"",ROUND(B83*C83,2)))</f>
        <v/>
      </c>
      <c r="E83" s="109" t="str">
        <f>IF(OR(historico_VU!A82="",historico_VU!D82=""),"",historico_VU!D82)</f>
        <v/>
      </c>
      <c r="F83" s="110" t="str">
        <f>IF(posicao_contratual!A82="","",posicao_contratual!K82)</f>
        <v/>
      </c>
      <c r="G83" s="109" t="str">
        <f>IF(A83="TOTAL",ROUND(SUM($G$3:G82),2),IF(OR(A83="",E83="",F83=""),"",ROUND(E83*F83,2)))</f>
        <v/>
      </c>
      <c r="H83" s="107" t="str">
        <f>IF(OR(historico_VU!A82="",historico_VU!E82=""),"",historico_VU!E82)</f>
        <v/>
      </c>
      <c r="I83" s="108" t="str">
        <f>IF(posicao_contratual!A82="","",posicao_contratual!O82)</f>
        <v/>
      </c>
      <c r="J83" s="107" t="str">
        <f>IF(A83="TOTAL",ROUND(SUM($J$3:J82),2),IF(OR(A83="",H83="",I83=""),"",ROUND(H83*I83,2)))</f>
        <v/>
      </c>
      <c r="K83" s="109" t="str">
        <f>IF(OR(historico_VU!A82="",historico_VU!F82=""),"",historico_VU!F82)</f>
        <v/>
      </c>
      <c r="L83" s="110" t="str">
        <f>IF(posicao_contratual!A82="","",posicao_contratual!S82)</f>
        <v/>
      </c>
      <c r="M83" s="109" t="str">
        <f>IF(A83="TOTAL",ROUND(SUM($M$3:M82),2),IF(OR(A83="",K83="",L83=""),"",ROUND(K83*L83,2)))</f>
        <v/>
      </c>
      <c r="N83" s="107" t="str">
        <f>IF(OR(historico_VU!A82="",historico_VU!G82=""),"",historico_VU!G82)</f>
        <v/>
      </c>
      <c r="O83" s="108" t="str">
        <f>IF(posicao_contratual!A82="","",posicao_contratual!W82)</f>
        <v/>
      </c>
      <c r="P83" s="107" t="str">
        <f>IF(A83="TOTAL",ROUND(SUM($P$3:P82),2),IF(OR(A83="",N83="",O83=""),"",ROUND(N83*O83,2)))</f>
        <v/>
      </c>
      <c r="Q83" s="181" t="str">
        <f t="shared" ca="1" si="16"/>
        <v/>
      </c>
      <c r="R83" t="str">
        <f>IF($A83="","",IF(MEMORIA_RESULTADOS!$W$46="","","C"&amp;MEMORIA_RESULTADOS!$W$46))</f>
        <v/>
      </c>
      <c r="S83" s="207" t="str">
        <f t="shared" ca="1" si="17"/>
        <v/>
      </c>
      <c r="T83" s="207" t="str">
        <f t="shared" ca="1" si="18"/>
        <v/>
      </c>
      <c r="U83" s="207" t="str">
        <f t="shared" ca="1" si="19"/>
        <v/>
      </c>
      <c r="V83" s="191" t="str">
        <f t="shared" ca="1" si="20"/>
        <v/>
      </c>
      <c r="W83" s="191" t="str">
        <f t="shared" ca="1" si="21"/>
        <v/>
      </c>
      <c r="X83" s="191" t="str">
        <f t="shared" ca="1" si="22"/>
        <v/>
      </c>
      <c r="Y83" t="str">
        <f t="shared" ca="1" si="23"/>
        <v/>
      </c>
      <c r="Z83" s="208" t="str">
        <f>IF($A83="","",IF(posicao_contratual!$AA82="","",posicao_contratual!$AA82))</f>
        <v/>
      </c>
      <c r="AA83" t="str">
        <f>IF($A83="","",IF(posicao_contratual!$AL82="","","C"&amp;posicao_contratual!$AL82))</f>
        <v/>
      </c>
      <c r="AB83" t="str">
        <f>IF($A83="","",IF(OR(MEMORIA_RESULTADOS!$W$46="",posicao_contratual!$AL82=""),"",IF(posicao_contratual!$AL82&lt;=MEMORIA_RESULTADOS!$W$46,"SIM","NAO APLICAVEL")))</f>
        <v/>
      </c>
      <c r="AC83" t="str">
        <f>IF($A83="","",IF(MEMORIA_RESULTADOS!$W$46="","",CHOOSE(MEMORIA_RESULTADOS!$W$46+1,posicao_contratual!$AG82,posicao_contratual!$AH82,posicao_contratual!$AI82,posicao_contratual!$AJ82,posicao_contratual!$AK82)))</f>
        <v/>
      </c>
    </row>
    <row r="84" spans="1:29" x14ac:dyDescent="0.35">
      <c r="A84" s="106" t="str">
        <f>IF(AND(itens_Remanesc!A83="",itens_Remanesc!A82&lt;&gt;"",COUNTIF(itens_Remanesc!A84:$A$200,"&lt;&gt;")=0),"TOTAL",IF(itens_Remanesc!A83="","",itens_Remanesc!A83))</f>
        <v/>
      </c>
      <c r="B84" s="107" t="str">
        <f>IF(OR(historico_VU!A83="",historico_VU!C83=""),"",historico_VU!C83)</f>
        <v/>
      </c>
      <c r="C84" s="108" t="str">
        <f>IF(posicao_contratual!A83="","",posicao_contratual!G83)</f>
        <v/>
      </c>
      <c r="D84" s="107" t="str">
        <f>IF(A84="TOTAL",ROUND(SUM($D$3:D83),2),IF(OR(A84="",B84="",C84=""),"",ROUND(B84*C84,2)))</f>
        <v/>
      </c>
      <c r="E84" s="109" t="str">
        <f>IF(OR(historico_VU!A83="",historico_VU!D83=""),"",historico_VU!D83)</f>
        <v/>
      </c>
      <c r="F84" s="110" t="str">
        <f>IF(posicao_contratual!A83="","",posicao_contratual!K83)</f>
        <v/>
      </c>
      <c r="G84" s="109" t="str">
        <f>IF(A84="TOTAL",ROUND(SUM($G$3:G83),2),IF(OR(A84="",E84="",F84=""),"",ROUND(E84*F84,2)))</f>
        <v/>
      </c>
      <c r="H84" s="107" t="str">
        <f>IF(OR(historico_VU!A83="",historico_VU!E83=""),"",historico_VU!E83)</f>
        <v/>
      </c>
      <c r="I84" s="108" t="str">
        <f>IF(posicao_contratual!A83="","",posicao_contratual!O83)</f>
        <v/>
      </c>
      <c r="J84" s="107" t="str">
        <f>IF(A84="TOTAL",ROUND(SUM($J$3:J83),2),IF(OR(A84="",H84="",I84=""),"",ROUND(H84*I84,2)))</f>
        <v/>
      </c>
      <c r="K84" s="109" t="str">
        <f>IF(OR(historico_VU!A83="",historico_VU!F83=""),"",historico_VU!F83)</f>
        <v/>
      </c>
      <c r="L84" s="110" t="str">
        <f>IF(posicao_contratual!A83="","",posicao_contratual!S83)</f>
        <v/>
      </c>
      <c r="M84" s="109" t="str">
        <f>IF(A84="TOTAL",ROUND(SUM($M$3:M83),2),IF(OR(A84="",K84="",L84=""),"",ROUND(K84*L84,2)))</f>
        <v/>
      </c>
      <c r="N84" s="107" t="str">
        <f>IF(OR(historico_VU!A83="",historico_VU!G83=""),"",historico_VU!G83)</f>
        <v/>
      </c>
      <c r="O84" s="108" t="str">
        <f>IF(posicao_contratual!A83="","",posicao_contratual!W83)</f>
        <v/>
      </c>
      <c r="P84" s="107" t="str">
        <f>IF(A84="TOTAL",ROUND(SUM($P$3:P83),2),IF(OR(A84="",N84="",O84=""),"",ROUND(N84*O84,2)))</f>
        <v/>
      </c>
      <c r="Q84" s="181" t="str">
        <f t="shared" ca="1" si="16"/>
        <v/>
      </c>
      <c r="R84" t="str">
        <f>IF($A84="","",IF(MEMORIA_RESULTADOS!$W$46="","","C"&amp;MEMORIA_RESULTADOS!$W$46))</f>
        <v/>
      </c>
      <c r="S84" s="207" t="str">
        <f t="shared" ca="1" si="17"/>
        <v/>
      </c>
      <c r="T84" s="207" t="str">
        <f t="shared" ca="1" si="18"/>
        <v/>
      </c>
      <c r="U84" s="207" t="str">
        <f t="shared" ca="1" si="19"/>
        <v/>
      </c>
      <c r="V84" s="191" t="str">
        <f t="shared" ca="1" si="20"/>
        <v/>
      </c>
      <c r="W84" s="191" t="str">
        <f t="shared" ca="1" si="21"/>
        <v/>
      </c>
      <c r="X84" s="191" t="str">
        <f t="shared" ca="1" si="22"/>
        <v/>
      </c>
      <c r="Y84" t="str">
        <f t="shared" ca="1" si="23"/>
        <v/>
      </c>
      <c r="Z84" s="208" t="str">
        <f>IF($A84="","",IF(posicao_contratual!$AA83="","",posicao_contratual!$AA83))</f>
        <v/>
      </c>
      <c r="AA84" t="str">
        <f>IF($A84="","",IF(posicao_contratual!$AL83="","","C"&amp;posicao_contratual!$AL83))</f>
        <v/>
      </c>
      <c r="AB84" t="str">
        <f>IF($A84="","",IF(OR(MEMORIA_RESULTADOS!$W$46="",posicao_contratual!$AL83=""),"",IF(posicao_contratual!$AL83&lt;=MEMORIA_RESULTADOS!$W$46,"SIM","NAO APLICAVEL")))</f>
        <v/>
      </c>
      <c r="AC84" t="str">
        <f>IF($A84="","",IF(MEMORIA_RESULTADOS!$W$46="","",CHOOSE(MEMORIA_RESULTADOS!$W$46+1,posicao_contratual!$AG83,posicao_contratual!$AH83,posicao_contratual!$AI83,posicao_contratual!$AJ83,posicao_contratual!$AK83)))</f>
        <v/>
      </c>
    </row>
    <row r="85" spans="1:29" x14ac:dyDescent="0.35">
      <c r="A85" s="106" t="str">
        <f>IF(AND(itens_Remanesc!A84="",itens_Remanesc!A83&lt;&gt;"",COUNTIF(itens_Remanesc!A85:$A$200,"&lt;&gt;")=0),"TOTAL",IF(itens_Remanesc!A84="","",itens_Remanesc!A84))</f>
        <v/>
      </c>
      <c r="B85" s="107" t="str">
        <f>IF(OR(historico_VU!A84="",historico_VU!C84=""),"",historico_VU!C84)</f>
        <v/>
      </c>
      <c r="C85" s="108" t="str">
        <f>IF(posicao_contratual!A84="","",posicao_contratual!G84)</f>
        <v/>
      </c>
      <c r="D85" s="107" t="str">
        <f>IF(A85="TOTAL",ROUND(SUM($D$3:D84),2),IF(OR(A85="",B85="",C85=""),"",ROUND(B85*C85,2)))</f>
        <v/>
      </c>
      <c r="E85" s="109" t="str">
        <f>IF(OR(historico_VU!A84="",historico_VU!D84=""),"",historico_VU!D84)</f>
        <v/>
      </c>
      <c r="F85" s="110" t="str">
        <f>IF(posicao_contratual!A84="","",posicao_contratual!K84)</f>
        <v/>
      </c>
      <c r="G85" s="109" t="str">
        <f>IF(A85="TOTAL",ROUND(SUM($G$3:G84),2),IF(OR(A85="",E85="",F85=""),"",ROUND(E85*F85,2)))</f>
        <v/>
      </c>
      <c r="H85" s="107" t="str">
        <f>IF(OR(historico_VU!A84="",historico_VU!E84=""),"",historico_VU!E84)</f>
        <v/>
      </c>
      <c r="I85" s="108" t="str">
        <f>IF(posicao_contratual!A84="","",posicao_contratual!O84)</f>
        <v/>
      </c>
      <c r="J85" s="107" t="str">
        <f>IF(A85="TOTAL",ROUND(SUM($J$3:J84),2),IF(OR(A85="",H85="",I85=""),"",ROUND(H85*I85,2)))</f>
        <v/>
      </c>
      <c r="K85" s="109" t="str">
        <f>IF(OR(historico_VU!A84="",historico_VU!F84=""),"",historico_VU!F84)</f>
        <v/>
      </c>
      <c r="L85" s="110" t="str">
        <f>IF(posicao_contratual!A84="","",posicao_contratual!S84)</f>
        <v/>
      </c>
      <c r="M85" s="109" t="str">
        <f>IF(A85="TOTAL",ROUND(SUM($M$3:M84),2),IF(OR(A85="",K85="",L85=""),"",ROUND(K85*L85,2)))</f>
        <v/>
      </c>
      <c r="N85" s="107" t="str">
        <f>IF(OR(historico_VU!A84="",historico_VU!G84=""),"",historico_VU!G84)</f>
        <v/>
      </c>
      <c r="O85" s="108" t="str">
        <f>IF(posicao_contratual!A84="","",posicao_contratual!W84)</f>
        <v/>
      </c>
      <c r="P85" s="107" t="str">
        <f>IF(A85="TOTAL",ROUND(SUM($P$3:P84),2),IF(OR(A85="",N85="",O85=""),"",ROUND(N85*O85,2)))</f>
        <v/>
      </c>
      <c r="Q85" s="181" t="str">
        <f t="shared" ca="1" si="16"/>
        <v/>
      </c>
      <c r="R85" t="str">
        <f>IF($A85="","",IF(MEMORIA_RESULTADOS!$W$46="","","C"&amp;MEMORIA_RESULTADOS!$W$46))</f>
        <v/>
      </c>
      <c r="S85" s="207" t="str">
        <f t="shared" ca="1" si="17"/>
        <v/>
      </c>
      <c r="T85" s="207" t="str">
        <f t="shared" ca="1" si="18"/>
        <v/>
      </c>
      <c r="U85" s="207" t="str">
        <f t="shared" ca="1" si="19"/>
        <v/>
      </c>
      <c r="V85" s="191" t="str">
        <f t="shared" ca="1" si="20"/>
        <v/>
      </c>
      <c r="W85" s="191" t="str">
        <f t="shared" ca="1" si="21"/>
        <v/>
      </c>
      <c r="X85" s="191" t="str">
        <f t="shared" ca="1" si="22"/>
        <v/>
      </c>
      <c r="Y85" t="str">
        <f t="shared" ca="1" si="23"/>
        <v/>
      </c>
      <c r="Z85" s="208" t="str">
        <f>IF($A85="","",IF(posicao_contratual!$AA84="","",posicao_contratual!$AA84))</f>
        <v/>
      </c>
      <c r="AA85" t="str">
        <f>IF($A85="","",IF(posicao_contratual!$AL84="","","C"&amp;posicao_contratual!$AL84))</f>
        <v/>
      </c>
      <c r="AB85" t="str">
        <f>IF($A85="","",IF(OR(MEMORIA_RESULTADOS!$W$46="",posicao_contratual!$AL84=""),"",IF(posicao_contratual!$AL84&lt;=MEMORIA_RESULTADOS!$W$46,"SIM","NAO APLICAVEL")))</f>
        <v/>
      </c>
      <c r="AC85" t="str">
        <f>IF($A85="","",IF(MEMORIA_RESULTADOS!$W$46="","",CHOOSE(MEMORIA_RESULTADOS!$W$46+1,posicao_contratual!$AG84,posicao_contratual!$AH84,posicao_contratual!$AI84,posicao_contratual!$AJ84,posicao_contratual!$AK84)))</f>
        <v/>
      </c>
    </row>
    <row r="86" spans="1:29" x14ac:dyDescent="0.35">
      <c r="A86" s="106" t="str">
        <f>IF(AND(itens_Remanesc!A85="",itens_Remanesc!A84&lt;&gt;"",COUNTIF(itens_Remanesc!A86:$A$200,"&lt;&gt;")=0),"TOTAL",IF(itens_Remanesc!A85="","",itens_Remanesc!A85))</f>
        <v/>
      </c>
      <c r="B86" s="107" t="str">
        <f>IF(OR(historico_VU!A85="",historico_VU!C85=""),"",historico_VU!C85)</f>
        <v/>
      </c>
      <c r="C86" s="108" t="str">
        <f>IF(posicao_contratual!A85="","",posicao_contratual!G85)</f>
        <v/>
      </c>
      <c r="D86" s="107" t="str">
        <f>IF(A86="TOTAL",ROUND(SUM($D$3:D85),2),IF(OR(A86="",B86="",C86=""),"",ROUND(B86*C86,2)))</f>
        <v/>
      </c>
      <c r="E86" s="109" t="str">
        <f>IF(OR(historico_VU!A85="",historico_VU!D85=""),"",historico_VU!D85)</f>
        <v/>
      </c>
      <c r="F86" s="110" t="str">
        <f>IF(posicao_contratual!A85="","",posicao_contratual!K85)</f>
        <v/>
      </c>
      <c r="G86" s="109" t="str">
        <f>IF(A86="TOTAL",ROUND(SUM($G$3:G85),2),IF(OR(A86="",E86="",F86=""),"",ROUND(E86*F86,2)))</f>
        <v/>
      </c>
      <c r="H86" s="107" t="str">
        <f>IF(OR(historico_VU!A85="",historico_VU!E85=""),"",historico_VU!E85)</f>
        <v/>
      </c>
      <c r="I86" s="108" t="str">
        <f>IF(posicao_contratual!A85="","",posicao_contratual!O85)</f>
        <v/>
      </c>
      <c r="J86" s="107" t="str">
        <f>IF(A86="TOTAL",ROUND(SUM($J$3:J85),2),IF(OR(A86="",H86="",I86=""),"",ROUND(H86*I86,2)))</f>
        <v/>
      </c>
      <c r="K86" s="109" t="str">
        <f>IF(OR(historico_VU!A85="",historico_VU!F85=""),"",historico_VU!F85)</f>
        <v/>
      </c>
      <c r="L86" s="110" t="str">
        <f>IF(posicao_contratual!A85="","",posicao_contratual!S85)</f>
        <v/>
      </c>
      <c r="M86" s="109" t="str">
        <f>IF(A86="TOTAL",ROUND(SUM($M$3:M85),2),IF(OR(A86="",K86="",L86=""),"",ROUND(K86*L86,2)))</f>
        <v/>
      </c>
      <c r="N86" s="107" t="str">
        <f>IF(OR(historico_VU!A85="",historico_VU!G85=""),"",historico_VU!G85)</f>
        <v/>
      </c>
      <c r="O86" s="108" t="str">
        <f>IF(posicao_contratual!A85="","",posicao_contratual!W85)</f>
        <v/>
      </c>
      <c r="P86" s="107" t="str">
        <f>IF(A86="TOTAL",ROUND(SUM($P$3:P85),2),IF(OR(A86="",N86="",O86=""),"",ROUND(N86*O86,2)))</f>
        <v/>
      </c>
      <c r="Q86" s="181" t="str">
        <f t="shared" ca="1" si="16"/>
        <v/>
      </c>
      <c r="R86" t="str">
        <f>IF($A86="","",IF(MEMORIA_RESULTADOS!$W$46="","","C"&amp;MEMORIA_RESULTADOS!$W$46))</f>
        <v/>
      </c>
      <c r="S86" s="207" t="str">
        <f t="shared" ca="1" si="17"/>
        <v/>
      </c>
      <c r="T86" s="207" t="str">
        <f t="shared" ca="1" si="18"/>
        <v/>
      </c>
      <c r="U86" s="207" t="str">
        <f t="shared" ca="1" si="19"/>
        <v/>
      </c>
      <c r="V86" s="191" t="str">
        <f t="shared" ca="1" si="20"/>
        <v/>
      </c>
      <c r="W86" s="191" t="str">
        <f t="shared" ca="1" si="21"/>
        <v/>
      </c>
      <c r="X86" s="191" t="str">
        <f t="shared" ca="1" si="22"/>
        <v/>
      </c>
      <c r="Y86" t="str">
        <f t="shared" ca="1" si="23"/>
        <v/>
      </c>
      <c r="Z86" s="208" t="str">
        <f>IF($A86="","",IF(posicao_contratual!$AA85="","",posicao_contratual!$AA85))</f>
        <v/>
      </c>
      <c r="AA86" t="str">
        <f>IF($A86="","",IF(posicao_contratual!$AL85="","","C"&amp;posicao_contratual!$AL85))</f>
        <v/>
      </c>
      <c r="AB86" t="str">
        <f>IF($A86="","",IF(OR(MEMORIA_RESULTADOS!$W$46="",posicao_contratual!$AL85=""),"",IF(posicao_contratual!$AL85&lt;=MEMORIA_RESULTADOS!$W$46,"SIM","NAO APLICAVEL")))</f>
        <v/>
      </c>
      <c r="AC86" t="str">
        <f>IF($A86="","",IF(MEMORIA_RESULTADOS!$W$46="","",CHOOSE(MEMORIA_RESULTADOS!$W$46+1,posicao_contratual!$AG85,posicao_contratual!$AH85,posicao_contratual!$AI85,posicao_contratual!$AJ85,posicao_contratual!$AK85)))</f>
        <v/>
      </c>
    </row>
    <row r="87" spans="1:29" x14ac:dyDescent="0.35">
      <c r="A87" s="106" t="str">
        <f>IF(AND(itens_Remanesc!A86="",itens_Remanesc!A85&lt;&gt;"",COUNTIF(itens_Remanesc!A87:$A$200,"&lt;&gt;")=0),"TOTAL",IF(itens_Remanesc!A86="","",itens_Remanesc!A86))</f>
        <v/>
      </c>
      <c r="B87" s="107" t="str">
        <f>IF(OR(historico_VU!A86="",historico_VU!C86=""),"",historico_VU!C86)</f>
        <v/>
      </c>
      <c r="C87" s="108" t="str">
        <f>IF(posicao_contratual!A86="","",posicao_contratual!G86)</f>
        <v/>
      </c>
      <c r="D87" s="107" t="str">
        <f>IF(A87="TOTAL",ROUND(SUM($D$3:D86),2),IF(OR(A87="",B87="",C87=""),"",ROUND(B87*C87,2)))</f>
        <v/>
      </c>
      <c r="E87" s="109" t="str">
        <f>IF(OR(historico_VU!A86="",historico_VU!D86=""),"",historico_VU!D86)</f>
        <v/>
      </c>
      <c r="F87" s="110" t="str">
        <f>IF(posicao_contratual!A86="","",posicao_contratual!K86)</f>
        <v/>
      </c>
      <c r="G87" s="109" t="str">
        <f>IF(A87="TOTAL",ROUND(SUM($G$3:G86),2),IF(OR(A87="",E87="",F87=""),"",ROUND(E87*F87,2)))</f>
        <v/>
      </c>
      <c r="H87" s="107" t="str">
        <f>IF(OR(historico_VU!A86="",historico_VU!E86=""),"",historico_VU!E86)</f>
        <v/>
      </c>
      <c r="I87" s="108" t="str">
        <f>IF(posicao_contratual!A86="","",posicao_contratual!O86)</f>
        <v/>
      </c>
      <c r="J87" s="107" t="str">
        <f>IF(A87="TOTAL",ROUND(SUM($J$3:J86),2),IF(OR(A87="",H87="",I87=""),"",ROUND(H87*I87,2)))</f>
        <v/>
      </c>
      <c r="K87" s="109" t="str">
        <f>IF(OR(historico_VU!A86="",historico_VU!F86=""),"",historico_VU!F86)</f>
        <v/>
      </c>
      <c r="L87" s="110" t="str">
        <f>IF(posicao_contratual!A86="","",posicao_contratual!S86)</f>
        <v/>
      </c>
      <c r="M87" s="109" t="str">
        <f>IF(A87="TOTAL",ROUND(SUM($M$3:M86),2),IF(OR(A87="",K87="",L87=""),"",ROUND(K87*L87,2)))</f>
        <v/>
      </c>
      <c r="N87" s="107" t="str">
        <f>IF(OR(historico_VU!A86="",historico_VU!G86=""),"",historico_VU!G86)</f>
        <v/>
      </c>
      <c r="O87" s="108" t="str">
        <f>IF(posicao_contratual!A86="","",posicao_contratual!W86)</f>
        <v/>
      </c>
      <c r="P87" s="107" t="str">
        <f>IF(A87="TOTAL",ROUND(SUM($P$3:P86),2),IF(OR(A87="",N87="",O87=""),"",ROUND(N87*O87,2)))</f>
        <v/>
      </c>
      <c r="Q87" s="181" t="str">
        <f t="shared" ca="1" si="16"/>
        <v/>
      </c>
      <c r="R87" t="str">
        <f>IF($A87="","",IF(MEMORIA_RESULTADOS!$W$46="","","C"&amp;MEMORIA_RESULTADOS!$W$46))</f>
        <v/>
      </c>
      <c r="S87" s="207" t="str">
        <f t="shared" ca="1" si="17"/>
        <v/>
      </c>
      <c r="T87" s="207" t="str">
        <f t="shared" ca="1" si="18"/>
        <v/>
      </c>
      <c r="U87" s="207" t="str">
        <f t="shared" ca="1" si="19"/>
        <v/>
      </c>
      <c r="V87" s="191" t="str">
        <f t="shared" ca="1" si="20"/>
        <v/>
      </c>
      <c r="W87" s="191" t="str">
        <f t="shared" ca="1" si="21"/>
        <v/>
      </c>
      <c r="X87" s="191" t="str">
        <f t="shared" ca="1" si="22"/>
        <v/>
      </c>
      <c r="Y87" t="str">
        <f t="shared" ca="1" si="23"/>
        <v/>
      </c>
      <c r="Z87" s="208" t="str">
        <f>IF($A87="","",IF(posicao_contratual!$AA86="","",posicao_contratual!$AA86))</f>
        <v/>
      </c>
      <c r="AA87" t="str">
        <f>IF($A87="","",IF(posicao_contratual!$AL86="","","C"&amp;posicao_contratual!$AL86))</f>
        <v/>
      </c>
      <c r="AB87" t="str">
        <f>IF($A87="","",IF(OR(MEMORIA_RESULTADOS!$W$46="",posicao_contratual!$AL86=""),"",IF(posicao_contratual!$AL86&lt;=MEMORIA_RESULTADOS!$W$46,"SIM","NAO APLICAVEL")))</f>
        <v/>
      </c>
      <c r="AC87" t="str">
        <f>IF($A87="","",IF(MEMORIA_RESULTADOS!$W$46="","",CHOOSE(MEMORIA_RESULTADOS!$W$46+1,posicao_contratual!$AG86,posicao_contratual!$AH86,posicao_contratual!$AI86,posicao_contratual!$AJ86,posicao_contratual!$AK86)))</f>
        <v/>
      </c>
    </row>
    <row r="88" spans="1:29" x14ac:dyDescent="0.35">
      <c r="A88" s="106" t="str">
        <f>IF(AND(itens_Remanesc!A87="",itens_Remanesc!A86&lt;&gt;"",COUNTIF(itens_Remanesc!A88:$A$200,"&lt;&gt;")=0),"TOTAL",IF(itens_Remanesc!A87="","",itens_Remanesc!A87))</f>
        <v/>
      </c>
      <c r="B88" s="107" t="str">
        <f>IF(OR(historico_VU!A87="",historico_VU!C87=""),"",historico_VU!C87)</f>
        <v/>
      </c>
      <c r="C88" s="108" t="str">
        <f>IF(posicao_contratual!A87="","",posicao_contratual!G87)</f>
        <v/>
      </c>
      <c r="D88" s="107" t="str">
        <f>IF(A88="TOTAL",ROUND(SUM($D$3:D87),2),IF(OR(A88="",B88="",C88=""),"",ROUND(B88*C88,2)))</f>
        <v/>
      </c>
      <c r="E88" s="109" t="str">
        <f>IF(OR(historico_VU!A87="",historico_VU!D87=""),"",historico_VU!D87)</f>
        <v/>
      </c>
      <c r="F88" s="110" t="str">
        <f>IF(posicao_contratual!A87="","",posicao_contratual!K87)</f>
        <v/>
      </c>
      <c r="G88" s="109" t="str">
        <f>IF(A88="TOTAL",ROUND(SUM($G$3:G87),2),IF(OR(A88="",E88="",F88=""),"",ROUND(E88*F88,2)))</f>
        <v/>
      </c>
      <c r="H88" s="107" t="str">
        <f>IF(OR(historico_VU!A87="",historico_VU!E87=""),"",historico_VU!E87)</f>
        <v/>
      </c>
      <c r="I88" s="108" t="str">
        <f>IF(posicao_contratual!A87="","",posicao_contratual!O87)</f>
        <v/>
      </c>
      <c r="J88" s="107" t="str">
        <f>IF(A88="TOTAL",ROUND(SUM($J$3:J87),2),IF(OR(A88="",H88="",I88=""),"",ROUND(H88*I88,2)))</f>
        <v/>
      </c>
      <c r="K88" s="109" t="str">
        <f>IF(OR(historico_VU!A87="",historico_VU!F87=""),"",historico_VU!F87)</f>
        <v/>
      </c>
      <c r="L88" s="110" t="str">
        <f>IF(posicao_contratual!A87="","",posicao_contratual!S87)</f>
        <v/>
      </c>
      <c r="M88" s="109" t="str">
        <f>IF(A88="TOTAL",ROUND(SUM($M$3:M87),2),IF(OR(A88="",K88="",L88=""),"",ROUND(K88*L88,2)))</f>
        <v/>
      </c>
      <c r="N88" s="107" t="str">
        <f>IF(OR(historico_VU!A87="",historico_VU!G87=""),"",historico_VU!G87)</f>
        <v/>
      </c>
      <c r="O88" s="108" t="str">
        <f>IF(posicao_contratual!A87="","",posicao_contratual!W87)</f>
        <v/>
      </c>
      <c r="P88" s="107" t="str">
        <f>IF(A88="TOTAL",ROUND(SUM($P$3:P87),2),IF(OR(A88="",N88="",O88=""),"",ROUND(N88*O88,2)))</f>
        <v/>
      </c>
      <c r="Q88" s="181" t="str">
        <f t="shared" ca="1" si="16"/>
        <v/>
      </c>
      <c r="R88" t="str">
        <f>IF($A88="","",IF(MEMORIA_RESULTADOS!$W$46="","","C"&amp;MEMORIA_RESULTADOS!$W$46))</f>
        <v/>
      </c>
      <c r="S88" s="207" t="str">
        <f t="shared" ca="1" si="17"/>
        <v/>
      </c>
      <c r="T88" s="207" t="str">
        <f t="shared" ca="1" si="18"/>
        <v/>
      </c>
      <c r="U88" s="207" t="str">
        <f t="shared" ca="1" si="19"/>
        <v/>
      </c>
      <c r="V88" s="191" t="str">
        <f t="shared" ca="1" si="20"/>
        <v/>
      </c>
      <c r="W88" s="191" t="str">
        <f t="shared" ca="1" si="21"/>
        <v/>
      </c>
      <c r="X88" s="191" t="str">
        <f t="shared" ca="1" si="22"/>
        <v/>
      </c>
      <c r="Y88" t="str">
        <f t="shared" ca="1" si="23"/>
        <v/>
      </c>
      <c r="Z88" s="208" t="str">
        <f>IF($A88="","",IF(posicao_contratual!$AA87="","",posicao_contratual!$AA87))</f>
        <v/>
      </c>
      <c r="AA88" t="str">
        <f>IF($A88="","",IF(posicao_contratual!$AL87="","","C"&amp;posicao_contratual!$AL87))</f>
        <v/>
      </c>
      <c r="AB88" t="str">
        <f>IF($A88="","",IF(OR(MEMORIA_RESULTADOS!$W$46="",posicao_contratual!$AL87=""),"",IF(posicao_contratual!$AL87&lt;=MEMORIA_RESULTADOS!$W$46,"SIM","NAO APLICAVEL")))</f>
        <v/>
      </c>
      <c r="AC88" t="str">
        <f>IF($A88="","",IF(MEMORIA_RESULTADOS!$W$46="","",CHOOSE(MEMORIA_RESULTADOS!$W$46+1,posicao_contratual!$AG87,posicao_contratual!$AH87,posicao_contratual!$AI87,posicao_contratual!$AJ87,posicao_contratual!$AK87)))</f>
        <v/>
      </c>
    </row>
    <row r="89" spans="1:29" x14ac:dyDescent="0.35">
      <c r="A89" s="106" t="str">
        <f>IF(AND(itens_Remanesc!A88="",itens_Remanesc!A87&lt;&gt;"",COUNTIF(itens_Remanesc!A89:$A$200,"&lt;&gt;")=0),"TOTAL",IF(itens_Remanesc!A88="","",itens_Remanesc!A88))</f>
        <v/>
      </c>
      <c r="B89" s="107" t="str">
        <f>IF(OR(historico_VU!A88="",historico_VU!C88=""),"",historico_VU!C88)</f>
        <v/>
      </c>
      <c r="C89" s="108" t="str">
        <f>IF(posicao_contratual!A88="","",posicao_contratual!G88)</f>
        <v/>
      </c>
      <c r="D89" s="107" t="str">
        <f>IF(A89="TOTAL",ROUND(SUM($D$3:D88),2),IF(OR(A89="",B89="",C89=""),"",ROUND(B89*C89,2)))</f>
        <v/>
      </c>
      <c r="E89" s="109" t="str">
        <f>IF(OR(historico_VU!A88="",historico_VU!D88=""),"",historico_VU!D88)</f>
        <v/>
      </c>
      <c r="F89" s="110" t="str">
        <f>IF(posicao_contratual!A88="","",posicao_contratual!K88)</f>
        <v/>
      </c>
      <c r="G89" s="109" t="str">
        <f>IF(A89="TOTAL",ROUND(SUM($G$3:G88),2),IF(OR(A89="",E89="",F89=""),"",ROUND(E89*F89,2)))</f>
        <v/>
      </c>
      <c r="H89" s="107" t="str">
        <f>IF(OR(historico_VU!A88="",historico_VU!E88=""),"",historico_VU!E88)</f>
        <v/>
      </c>
      <c r="I89" s="108" t="str">
        <f>IF(posicao_contratual!A88="","",posicao_contratual!O88)</f>
        <v/>
      </c>
      <c r="J89" s="107" t="str">
        <f>IF(A89="TOTAL",ROUND(SUM($J$3:J88),2),IF(OR(A89="",H89="",I89=""),"",ROUND(H89*I89,2)))</f>
        <v/>
      </c>
      <c r="K89" s="109" t="str">
        <f>IF(OR(historico_VU!A88="",historico_VU!F88=""),"",historico_VU!F88)</f>
        <v/>
      </c>
      <c r="L89" s="110" t="str">
        <f>IF(posicao_contratual!A88="","",posicao_contratual!S88)</f>
        <v/>
      </c>
      <c r="M89" s="109" t="str">
        <f>IF(A89="TOTAL",ROUND(SUM($M$3:M88),2),IF(OR(A89="",K89="",L89=""),"",ROUND(K89*L89,2)))</f>
        <v/>
      </c>
      <c r="N89" s="107" t="str">
        <f>IF(OR(historico_VU!A88="",historico_VU!G88=""),"",historico_VU!G88)</f>
        <v/>
      </c>
      <c r="O89" s="108" t="str">
        <f>IF(posicao_contratual!A88="","",posicao_contratual!W88)</f>
        <v/>
      </c>
      <c r="P89" s="107" t="str">
        <f>IF(A89="TOTAL",ROUND(SUM($P$3:P88),2),IF(OR(A89="",N89="",O89=""),"",ROUND(N89*O89,2)))</f>
        <v/>
      </c>
      <c r="Q89" s="181" t="str">
        <f t="shared" ca="1" si="16"/>
        <v/>
      </c>
      <c r="R89" t="str">
        <f>IF($A89="","",IF(MEMORIA_RESULTADOS!$W$46="","","C"&amp;MEMORIA_RESULTADOS!$W$46))</f>
        <v/>
      </c>
      <c r="S89" s="207" t="str">
        <f t="shared" ca="1" si="17"/>
        <v/>
      </c>
      <c r="T89" s="207" t="str">
        <f t="shared" ca="1" si="18"/>
        <v/>
      </c>
      <c r="U89" s="207" t="str">
        <f t="shared" ca="1" si="19"/>
        <v/>
      </c>
      <c r="V89" s="191" t="str">
        <f t="shared" ca="1" si="20"/>
        <v/>
      </c>
      <c r="W89" s="191" t="str">
        <f t="shared" ca="1" si="21"/>
        <v/>
      </c>
      <c r="X89" s="191" t="str">
        <f t="shared" ca="1" si="22"/>
        <v/>
      </c>
      <c r="Y89" t="str">
        <f t="shared" ca="1" si="23"/>
        <v/>
      </c>
      <c r="Z89" s="208" t="str">
        <f>IF($A89="","",IF(posicao_contratual!$AA88="","",posicao_contratual!$AA88))</f>
        <v/>
      </c>
      <c r="AA89" t="str">
        <f>IF($A89="","",IF(posicao_contratual!$AL88="","","C"&amp;posicao_contratual!$AL88))</f>
        <v/>
      </c>
      <c r="AB89" t="str">
        <f>IF($A89="","",IF(OR(MEMORIA_RESULTADOS!$W$46="",posicao_contratual!$AL88=""),"",IF(posicao_contratual!$AL88&lt;=MEMORIA_RESULTADOS!$W$46,"SIM","NAO APLICAVEL")))</f>
        <v/>
      </c>
      <c r="AC89" t="str">
        <f>IF($A89="","",IF(MEMORIA_RESULTADOS!$W$46="","",CHOOSE(MEMORIA_RESULTADOS!$W$46+1,posicao_contratual!$AG88,posicao_contratual!$AH88,posicao_contratual!$AI88,posicao_contratual!$AJ88,posicao_contratual!$AK88)))</f>
        <v/>
      </c>
    </row>
    <row r="90" spans="1:29" x14ac:dyDescent="0.35">
      <c r="A90" s="106" t="str">
        <f>IF(AND(itens_Remanesc!A89="",itens_Remanesc!A88&lt;&gt;"",COUNTIF(itens_Remanesc!A90:$A$200,"&lt;&gt;")=0),"TOTAL",IF(itens_Remanesc!A89="","",itens_Remanesc!A89))</f>
        <v/>
      </c>
      <c r="B90" s="107" t="str">
        <f>IF(OR(historico_VU!A89="",historico_VU!C89=""),"",historico_VU!C89)</f>
        <v/>
      </c>
      <c r="C90" s="108" t="str">
        <f>IF(posicao_contratual!A89="","",posicao_contratual!G89)</f>
        <v/>
      </c>
      <c r="D90" s="107" t="str">
        <f>IF(A90="TOTAL",ROUND(SUM($D$3:D89),2),IF(OR(A90="",B90="",C90=""),"",ROUND(B90*C90,2)))</f>
        <v/>
      </c>
      <c r="E90" s="109" t="str">
        <f>IF(OR(historico_VU!A89="",historico_VU!D89=""),"",historico_VU!D89)</f>
        <v/>
      </c>
      <c r="F90" s="110" t="str">
        <f>IF(posicao_contratual!A89="","",posicao_contratual!K89)</f>
        <v/>
      </c>
      <c r="G90" s="109" t="str">
        <f>IF(A90="TOTAL",ROUND(SUM($G$3:G89),2),IF(OR(A90="",E90="",F90=""),"",ROUND(E90*F90,2)))</f>
        <v/>
      </c>
      <c r="H90" s="107" t="str">
        <f>IF(OR(historico_VU!A89="",historico_VU!E89=""),"",historico_VU!E89)</f>
        <v/>
      </c>
      <c r="I90" s="108" t="str">
        <f>IF(posicao_contratual!A89="","",posicao_contratual!O89)</f>
        <v/>
      </c>
      <c r="J90" s="107" t="str">
        <f>IF(A90="TOTAL",ROUND(SUM($J$3:J89),2),IF(OR(A90="",H90="",I90=""),"",ROUND(H90*I90,2)))</f>
        <v/>
      </c>
      <c r="K90" s="109" t="str">
        <f>IF(OR(historico_VU!A89="",historico_VU!F89=""),"",historico_VU!F89)</f>
        <v/>
      </c>
      <c r="L90" s="110" t="str">
        <f>IF(posicao_contratual!A89="","",posicao_contratual!S89)</f>
        <v/>
      </c>
      <c r="M90" s="109" t="str">
        <f>IF(A90="TOTAL",ROUND(SUM($M$3:M89),2),IF(OR(A90="",K90="",L90=""),"",ROUND(K90*L90,2)))</f>
        <v/>
      </c>
      <c r="N90" s="107" t="str">
        <f>IF(OR(historico_VU!A89="",historico_VU!G89=""),"",historico_VU!G89)</f>
        <v/>
      </c>
      <c r="O90" s="108" t="str">
        <f>IF(posicao_contratual!A89="","",posicao_contratual!W89)</f>
        <v/>
      </c>
      <c r="P90" s="107" t="str">
        <f>IF(A90="TOTAL",ROUND(SUM($P$3:P89),2),IF(OR(A90="",N90="",O90=""),"",ROUND(N90*O90,2)))</f>
        <v/>
      </c>
      <c r="Q90" s="181" t="str">
        <f t="shared" ca="1" si="16"/>
        <v/>
      </c>
      <c r="R90" t="str">
        <f>IF($A90="","",IF(MEMORIA_RESULTADOS!$W$46="","","C"&amp;MEMORIA_RESULTADOS!$W$46))</f>
        <v/>
      </c>
      <c r="S90" s="207" t="str">
        <f t="shared" ca="1" si="17"/>
        <v/>
      </c>
      <c r="T90" s="207" t="str">
        <f t="shared" ca="1" si="18"/>
        <v/>
      </c>
      <c r="U90" s="207" t="str">
        <f t="shared" ca="1" si="19"/>
        <v/>
      </c>
      <c r="V90" s="191" t="str">
        <f t="shared" ca="1" si="20"/>
        <v/>
      </c>
      <c r="W90" s="191" t="str">
        <f t="shared" ca="1" si="21"/>
        <v/>
      </c>
      <c r="X90" s="191" t="str">
        <f t="shared" ca="1" si="22"/>
        <v/>
      </c>
      <c r="Y90" t="str">
        <f t="shared" ca="1" si="23"/>
        <v/>
      </c>
      <c r="Z90" s="208" t="str">
        <f>IF($A90="","",IF(posicao_contratual!$AA89="","",posicao_contratual!$AA89))</f>
        <v/>
      </c>
      <c r="AA90" t="str">
        <f>IF($A90="","",IF(posicao_contratual!$AL89="","","C"&amp;posicao_contratual!$AL89))</f>
        <v/>
      </c>
      <c r="AB90" t="str">
        <f>IF($A90="","",IF(OR(MEMORIA_RESULTADOS!$W$46="",posicao_contratual!$AL89=""),"",IF(posicao_contratual!$AL89&lt;=MEMORIA_RESULTADOS!$W$46,"SIM","NAO APLICAVEL")))</f>
        <v/>
      </c>
      <c r="AC90" t="str">
        <f>IF($A90="","",IF(MEMORIA_RESULTADOS!$W$46="","",CHOOSE(MEMORIA_RESULTADOS!$W$46+1,posicao_contratual!$AG89,posicao_contratual!$AH89,posicao_contratual!$AI89,posicao_contratual!$AJ89,posicao_contratual!$AK89)))</f>
        <v/>
      </c>
    </row>
    <row r="91" spans="1:29" x14ac:dyDescent="0.35">
      <c r="A91" s="106" t="str">
        <f>IF(AND(itens_Remanesc!A90="",itens_Remanesc!A89&lt;&gt;"",COUNTIF(itens_Remanesc!A91:$A$200,"&lt;&gt;")=0),"TOTAL",IF(itens_Remanesc!A90="","",itens_Remanesc!A90))</f>
        <v/>
      </c>
      <c r="B91" s="107" t="str">
        <f>IF(OR(historico_VU!A90="",historico_VU!C90=""),"",historico_VU!C90)</f>
        <v/>
      </c>
      <c r="C91" s="108" t="str">
        <f>IF(posicao_contratual!A90="","",posicao_contratual!G90)</f>
        <v/>
      </c>
      <c r="D91" s="107" t="str">
        <f>IF(A91="TOTAL",ROUND(SUM($D$3:D90),2),IF(OR(A91="",B91="",C91=""),"",ROUND(B91*C91,2)))</f>
        <v/>
      </c>
      <c r="E91" s="109" t="str">
        <f>IF(OR(historico_VU!A90="",historico_VU!D90=""),"",historico_VU!D90)</f>
        <v/>
      </c>
      <c r="F91" s="110" t="str">
        <f>IF(posicao_contratual!A90="","",posicao_contratual!K90)</f>
        <v/>
      </c>
      <c r="G91" s="109" t="str">
        <f>IF(A91="TOTAL",ROUND(SUM($G$3:G90),2),IF(OR(A91="",E91="",F91=""),"",ROUND(E91*F91,2)))</f>
        <v/>
      </c>
      <c r="H91" s="107" t="str">
        <f>IF(OR(historico_VU!A90="",historico_VU!E90=""),"",historico_VU!E90)</f>
        <v/>
      </c>
      <c r="I91" s="108" t="str">
        <f>IF(posicao_contratual!A90="","",posicao_contratual!O90)</f>
        <v/>
      </c>
      <c r="J91" s="107" t="str">
        <f>IF(A91="TOTAL",ROUND(SUM($J$3:J90),2),IF(OR(A91="",H91="",I91=""),"",ROUND(H91*I91,2)))</f>
        <v/>
      </c>
      <c r="K91" s="109" t="str">
        <f>IF(OR(historico_VU!A90="",historico_VU!F90=""),"",historico_VU!F90)</f>
        <v/>
      </c>
      <c r="L91" s="110" t="str">
        <f>IF(posicao_contratual!A90="","",posicao_contratual!S90)</f>
        <v/>
      </c>
      <c r="M91" s="109" t="str">
        <f>IF(A91="TOTAL",ROUND(SUM($M$3:M90),2),IF(OR(A91="",K91="",L91=""),"",ROUND(K91*L91,2)))</f>
        <v/>
      </c>
      <c r="N91" s="107" t="str">
        <f>IF(OR(historico_VU!A90="",historico_VU!G90=""),"",historico_VU!G90)</f>
        <v/>
      </c>
      <c r="O91" s="108" t="str">
        <f>IF(posicao_contratual!A90="","",posicao_contratual!W90)</f>
        <v/>
      </c>
      <c r="P91" s="107" t="str">
        <f>IF(A91="TOTAL",ROUND(SUM($P$3:P90),2),IF(OR(A91="",N91="",O91=""),"",ROUND(N91*O91,2)))</f>
        <v/>
      </c>
      <c r="Q91" s="181" t="str">
        <f t="shared" ca="1" si="16"/>
        <v/>
      </c>
      <c r="R91" t="str">
        <f>IF($A91="","",IF(MEMORIA_RESULTADOS!$W$46="","","C"&amp;MEMORIA_RESULTADOS!$W$46))</f>
        <v/>
      </c>
      <c r="S91" s="207" t="str">
        <f t="shared" ca="1" si="17"/>
        <v/>
      </c>
      <c r="T91" s="207" t="str">
        <f t="shared" ca="1" si="18"/>
        <v/>
      </c>
      <c r="U91" s="207" t="str">
        <f t="shared" ca="1" si="19"/>
        <v/>
      </c>
      <c r="V91" s="191" t="str">
        <f t="shared" ca="1" si="20"/>
        <v/>
      </c>
      <c r="W91" s="191" t="str">
        <f t="shared" ca="1" si="21"/>
        <v/>
      </c>
      <c r="X91" s="191" t="str">
        <f t="shared" ca="1" si="22"/>
        <v/>
      </c>
      <c r="Y91" t="str">
        <f t="shared" ca="1" si="23"/>
        <v/>
      </c>
      <c r="Z91" s="208" t="str">
        <f>IF($A91="","",IF(posicao_contratual!$AA90="","",posicao_contratual!$AA90))</f>
        <v/>
      </c>
      <c r="AA91" t="str">
        <f>IF($A91="","",IF(posicao_contratual!$AL90="","","C"&amp;posicao_contratual!$AL90))</f>
        <v/>
      </c>
      <c r="AB91" t="str">
        <f>IF($A91="","",IF(OR(MEMORIA_RESULTADOS!$W$46="",posicao_contratual!$AL90=""),"",IF(posicao_contratual!$AL90&lt;=MEMORIA_RESULTADOS!$W$46,"SIM","NAO APLICAVEL")))</f>
        <v/>
      </c>
      <c r="AC91" t="str">
        <f>IF($A91="","",IF(MEMORIA_RESULTADOS!$W$46="","",CHOOSE(MEMORIA_RESULTADOS!$W$46+1,posicao_contratual!$AG90,posicao_contratual!$AH90,posicao_contratual!$AI90,posicao_contratual!$AJ90,posicao_contratual!$AK90)))</f>
        <v/>
      </c>
    </row>
    <row r="92" spans="1:29" x14ac:dyDescent="0.35">
      <c r="A92" s="106" t="str">
        <f>IF(AND(itens_Remanesc!A91="",itens_Remanesc!A90&lt;&gt;"",COUNTIF(itens_Remanesc!A92:$A$200,"&lt;&gt;")=0),"TOTAL",IF(itens_Remanesc!A91="","",itens_Remanesc!A91))</f>
        <v/>
      </c>
      <c r="B92" s="107" t="str">
        <f>IF(OR(historico_VU!A91="",historico_VU!C91=""),"",historico_VU!C91)</f>
        <v/>
      </c>
      <c r="C92" s="108" t="str">
        <f>IF(posicao_contratual!A91="","",posicao_contratual!G91)</f>
        <v/>
      </c>
      <c r="D92" s="107" t="str">
        <f>IF(A92="TOTAL",ROUND(SUM($D$3:D91),2),IF(OR(A92="",B92="",C92=""),"",ROUND(B92*C92,2)))</f>
        <v/>
      </c>
      <c r="E92" s="109" t="str">
        <f>IF(OR(historico_VU!A91="",historico_VU!D91=""),"",historico_VU!D91)</f>
        <v/>
      </c>
      <c r="F92" s="110" t="str">
        <f>IF(posicao_contratual!A91="","",posicao_contratual!K91)</f>
        <v/>
      </c>
      <c r="G92" s="109" t="str">
        <f>IF(A92="TOTAL",ROUND(SUM($G$3:G91),2),IF(OR(A92="",E92="",F92=""),"",ROUND(E92*F92,2)))</f>
        <v/>
      </c>
      <c r="H92" s="107" t="str">
        <f>IF(OR(historico_VU!A91="",historico_VU!E91=""),"",historico_VU!E91)</f>
        <v/>
      </c>
      <c r="I92" s="108" t="str">
        <f>IF(posicao_contratual!A91="","",posicao_contratual!O91)</f>
        <v/>
      </c>
      <c r="J92" s="107" t="str">
        <f>IF(A92="TOTAL",ROUND(SUM($J$3:J91),2),IF(OR(A92="",H92="",I92=""),"",ROUND(H92*I92,2)))</f>
        <v/>
      </c>
      <c r="K92" s="109" t="str">
        <f>IF(OR(historico_VU!A91="",historico_VU!F91=""),"",historico_VU!F91)</f>
        <v/>
      </c>
      <c r="L92" s="110" t="str">
        <f>IF(posicao_contratual!A91="","",posicao_contratual!S91)</f>
        <v/>
      </c>
      <c r="M92" s="109" t="str">
        <f>IF(A92="TOTAL",ROUND(SUM($M$3:M91),2),IF(OR(A92="",K92="",L92=""),"",ROUND(K92*L92,2)))</f>
        <v/>
      </c>
      <c r="N92" s="107" t="str">
        <f>IF(OR(historico_VU!A91="",historico_VU!G91=""),"",historico_VU!G91)</f>
        <v/>
      </c>
      <c r="O92" s="108" t="str">
        <f>IF(posicao_contratual!A91="","",posicao_contratual!W91)</f>
        <v/>
      </c>
      <c r="P92" s="107" t="str">
        <f>IF(A92="TOTAL",ROUND(SUM($P$3:P91),2),IF(OR(A92="",N92="",O92=""),"",ROUND(N92*O92,2)))</f>
        <v/>
      </c>
      <c r="Q92" s="181" t="str">
        <f t="shared" ca="1" si="16"/>
        <v/>
      </c>
      <c r="R92" t="str">
        <f>IF($A92="","",IF(MEMORIA_RESULTADOS!$W$46="","","C"&amp;MEMORIA_RESULTADOS!$W$46))</f>
        <v/>
      </c>
      <c r="S92" s="207" t="str">
        <f t="shared" ca="1" si="17"/>
        <v/>
      </c>
      <c r="T92" s="207" t="str">
        <f t="shared" ca="1" si="18"/>
        <v/>
      </c>
      <c r="U92" s="207" t="str">
        <f t="shared" ca="1" si="19"/>
        <v/>
      </c>
      <c r="V92" s="191" t="str">
        <f t="shared" ca="1" si="20"/>
        <v/>
      </c>
      <c r="W92" s="191" t="str">
        <f t="shared" ca="1" si="21"/>
        <v/>
      </c>
      <c r="X92" s="191" t="str">
        <f t="shared" ca="1" si="22"/>
        <v/>
      </c>
      <c r="Y92" t="str">
        <f t="shared" ca="1" si="23"/>
        <v/>
      </c>
      <c r="Z92" s="208" t="str">
        <f>IF($A92="","",IF(posicao_contratual!$AA91="","",posicao_contratual!$AA91))</f>
        <v/>
      </c>
      <c r="AA92" t="str">
        <f>IF($A92="","",IF(posicao_contratual!$AL91="","","C"&amp;posicao_contratual!$AL91))</f>
        <v/>
      </c>
      <c r="AB92" t="str">
        <f>IF($A92="","",IF(OR(MEMORIA_RESULTADOS!$W$46="",posicao_contratual!$AL91=""),"",IF(posicao_contratual!$AL91&lt;=MEMORIA_RESULTADOS!$W$46,"SIM","NAO APLICAVEL")))</f>
        <v/>
      </c>
      <c r="AC92" t="str">
        <f>IF($A92="","",IF(MEMORIA_RESULTADOS!$W$46="","",CHOOSE(MEMORIA_RESULTADOS!$W$46+1,posicao_contratual!$AG91,posicao_contratual!$AH91,posicao_contratual!$AI91,posicao_contratual!$AJ91,posicao_contratual!$AK91)))</f>
        <v/>
      </c>
    </row>
    <row r="93" spans="1:29" x14ac:dyDescent="0.35">
      <c r="A93" s="106" t="str">
        <f>IF(AND(itens_Remanesc!A92="",itens_Remanesc!A91&lt;&gt;"",COUNTIF(itens_Remanesc!A93:$A$200,"&lt;&gt;")=0),"TOTAL",IF(itens_Remanesc!A92="","",itens_Remanesc!A92))</f>
        <v/>
      </c>
      <c r="B93" s="107" t="str">
        <f>IF(OR(historico_VU!A92="",historico_VU!C92=""),"",historico_VU!C92)</f>
        <v/>
      </c>
      <c r="C93" s="108" t="str">
        <f>IF(posicao_contratual!A92="","",posicao_contratual!G92)</f>
        <v/>
      </c>
      <c r="D93" s="107" t="str">
        <f>IF(A93="TOTAL",ROUND(SUM($D$3:D92),2),IF(OR(A93="",B93="",C93=""),"",ROUND(B93*C93,2)))</f>
        <v/>
      </c>
      <c r="E93" s="109" t="str">
        <f>IF(OR(historico_VU!A92="",historico_VU!D92=""),"",historico_VU!D92)</f>
        <v/>
      </c>
      <c r="F93" s="110" t="str">
        <f>IF(posicao_contratual!A92="","",posicao_contratual!K92)</f>
        <v/>
      </c>
      <c r="G93" s="109" t="str">
        <f>IF(A93="TOTAL",ROUND(SUM($G$3:G92),2),IF(OR(A93="",E93="",F93=""),"",ROUND(E93*F93,2)))</f>
        <v/>
      </c>
      <c r="H93" s="107" t="str">
        <f>IF(OR(historico_VU!A92="",historico_VU!E92=""),"",historico_VU!E92)</f>
        <v/>
      </c>
      <c r="I93" s="108" t="str">
        <f>IF(posicao_contratual!A92="","",posicao_contratual!O92)</f>
        <v/>
      </c>
      <c r="J93" s="107" t="str">
        <f>IF(A93="TOTAL",ROUND(SUM($J$3:J92),2),IF(OR(A93="",H93="",I93=""),"",ROUND(H93*I93,2)))</f>
        <v/>
      </c>
      <c r="K93" s="109" t="str">
        <f>IF(OR(historico_VU!A92="",historico_VU!F92=""),"",historico_VU!F92)</f>
        <v/>
      </c>
      <c r="L93" s="110" t="str">
        <f>IF(posicao_contratual!A92="","",posicao_contratual!S92)</f>
        <v/>
      </c>
      <c r="M93" s="109" t="str">
        <f>IF(A93="TOTAL",ROUND(SUM($M$3:M92),2),IF(OR(A93="",K93="",L93=""),"",ROUND(K93*L93,2)))</f>
        <v/>
      </c>
      <c r="N93" s="107" t="str">
        <f>IF(OR(historico_VU!A92="",historico_VU!G92=""),"",historico_VU!G92)</f>
        <v/>
      </c>
      <c r="O93" s="108" t="str">
        <f>IF(posicao_contratual!A92="","",posicao_contratual!W92)</f>
        <v/>
      </c>
      <c r="P93" s="107" t="str">
        <f>IF(A93="TOTAL",ROUND(SUM($P$3:P92),2),IF(OR(A93="",N93="",O93=""),"",ROUND(N93*O93,2)))</f>
        <v/>
      </c>
      <c r="Q93" s="181" t="str">
        <f t="shared" ca="1" si="16"/>
        <v/>
      </c>
      <c r="R93" t="str">
        <f>IF($A93="","",IF(MEMORIA_RESULTADOS!$W$46="","","C"&amp;MEMORIA_RESULTADOS!$W$46))</f>
        <v/>
      </c>
      <c r="S93" s="207" t="str">
        <f t="shared" ca="1" si="17"/>
        <v/>
      </c>
      <c r="T93" s="207" t="str">
        <f t="shared" ca="1" si="18"/>
        <v/>
      </c>
      <c r="U93" s="207" t="str">
        <f t="shared" ca="1" si="19"/>
        <v/>
      </c>
      <c r="V93" s="191" t="str">
        <f t="shared" ca="1" si="20"/>
        <v/>
      </c>
      <c r="W93" s="191" t="str">
        <f t="shared" ca="1" si="21"/>
        <v/>
      </c>
      <c r="X93" s="191" t="str">
        <f t="shared" ca="1" si="22"/>
        <v/>
      </c>
      <c r="Y93" t="str">
        <f t="shared" ca="1" si="23"/>
        <v/>
      </c>
      <c r="Z93" s="208" t="str">
        <f>IF($A93="","",IF(posicao_contratual!$AA92="","",posicao_contratual!$AA92))</f>
        <v/>
      </c>
      <c r="AA93" t="str">
        <f>IF($A93="","",IF(posicao_contratual!$AL92="","","C"&amp;posicao_contratual!$AL92))</f>
        <v/>
      </c>
      <c r="AB93" t="str">
        <f>IF($A93="","",IF(OR(MEMORIA_RESULTADOS!$W$46="",posicao_contratual!$AL92=""),"",IF(posicao_contratual!$AL92&lt;=MEMORIA_RESULTADOS!$W$46,"SIM","NAO APLICAVEL")))</f>
        <v/>
      </c>
      <c r="AC93" t="str">
        <f>IF($A93="","",IF(MEMORIA_RESULTADOS!$W$46="","",CHOOSE(MEMORIA_RESULTADOS!$W$46+1,posicao_contratual!$AG92,posicao_contratual!$AH92,posicao_contratual!$AI92,posicao_contratual!$AJ92,posicao_contratual!$AK92)))</f>
        <v/>
      </c>
    </row>
    <row r="94" spans="1:29" x14ac:dyDescent="0.35">
      <c r="A94" s="106" t="str">
        <f>IF(AND(itens_Remanesc!A93="",itens_Remanesc!A92&lt;&gt;"",COUNTIF(itens_Remanesc!A94:$A$200,"&lt;&gt;")=0),"TOTAL",IF(itens_Remanesc!A93="","",itens_Remanesc!A93))</f>
        <v/>
      </c>
      <c r="B94" s="107" t="str">
        <f>IF(OR(historico_VU!A93="",historico_VU!C93=""),"",historico_VU!C93)</f>
        <v/>
      </c>
      <c r="C94" s="108" t="str">
        <f>IF(posicao_contratual!A93="","",posicao_contratual!G93)</f>
        <v/>
      </c>
      <c r="D94" s="107" t="str">
        <f>IF(A94="TOTAL",ROUND(SUM($D$3:D93),2),IF(OR(A94="",B94="",C94=""),"",ROUND(B94*C94,2)))</f>
        <v/>
      </c>
      <c r="E94" s="109" t="str">
        <f>IF(OR(historico_VU!A93="",historico_VU!D93=""),"",historico_VU!D93)</f>
        <v/>
      </c>
      <c r="F94" s="110" t="str">
        <f>IF(posicao_contratual!A93="","",posicao_contratual!K93)</f>
        <v/>
      </c>
      <c r="G94" s="109" t="str">
        <f>IF(A94="TOTAL",ROUND(SUM($G$3:G93),2),IF(OR(A94="",E94="",F94=""),"",ROUND(E94*F94,2)))</f>
        <v/>
      </c>
      <c r="H94" s="107" t="str">
        <f>IF(OR(historico_VU!A93="",historico_VU!E93=""),"",historico_VU!E93)</f>
        <v/>
      </c>
      <c r="I94" s="108" t="str">
        <f>IF(posicao_contratual!A93="","",posicao_contratual!O93)</f>
        <v/>
      </c>
      <c r="J94" s="107" t="str">
        <f>IF(A94="TOTAL",ROUND(SUM($J$3:J93),2),IF(OR(A94="",H94="",I94=""),"",ROUND(H94*I94,2)))</f>
        <v/>
      </c>
      <c r="K94" s="109" t="str">
        <f>IF(OR(historico_VU!A93="",historico_VU!F93=""),"",historico_VU!F93)</f>
        <v/>
      </c>
      <c r="L94" s="110" t="str">
        <f>IF(posicao_contratual!A93="","",posicao_contratual!S93)</f>
        <v/>
      </c>
      <c r="M94" s="109" t="str">
        <f>IF(A94="TOTAL",ROUND(SUM($M$3:M93),2),IF(OR(A94="",K94="",L94=""),"",ROUND(K94*L94,2)))</f>
        <v/>
      </c>
      <c r="N94" s="107" t="str">
        <f>IF(OR(historico_VU!A93="",historico_VU!G93=""),"",historico_VU!G93)</f>
        <v/>
      </c>
      <c r="O94" s="108" t="str">
        <f>IF(posicao_contratual!A93="","",posicao_contratual!W93)</f>
        <v/>
      </c>
      <c r="P94" s="107" t="str">
        <f>IF(A94="TOTAL",ROUND(SUM($P$3:P93),2),IF(OR(A94="",N94="",O94=""),"",ROUND(N94*O94,2)))</f>
        <v/>
      </c>
      <c r="Q94" s="181" t="str">
        <f t="shared" ca="1" si="16"/>
        <v/>
      </c>
      <c r="R94" t="str">
        <f>IF($A94="","",IF(MEMORIA_RESULTADOS!$W$46="","","C"&amp;MEMORIA_RESULTADOS!$W$46))</f>
        <v/>
      </c>
      <c r="S94" s="207" t="str">
        <f t="shared" ca="1" si="17"/>
        <v/>
      </c>
      <c r="T94" s="207" t="str">
        <f t="shared" ca="1" si="18"/>
        <v/>
      </c>
      <c r="U94" s="207" t="str">
        <f t="shared" ca="1" si="19"/>
        <v/>
      </c>
      <c r="V94" s="191" t="str">
        <f t="shared" ca="1" si="20"/>
        <v/>
      </c>
      <c r="W94" s="191" t="str">
        <f t="shared" ca="1" si="21"/>
        <v/>
      </c>
      <c r="X94" s="191" t="str">
        <f t="shared" ca="1" si="22"/>
        <v/>
      </c>
      <c r="Y94" t="str">
        <f t="shared" ca="1" si="23"/>
        <v/>
      </c>
      <c r="Z94" s="208" t="str">
        <f>IF($A94="","",IF(posicao_contratual!$AA93="","",posicao_contratual!$AA93))</f>
        <v/>
      </c>
      <c r="AA94" t="str">
        <f>IF($A94="","",IF(posicao_contratual!$AL93="","","C"&amp;posicao_contratual!$AL93))</f>
        <v/>
      </c>
      <c r="AB94" t="str">
        <f>IF($A94="","",IF(OR(MEMORIA_RESULTADOS!$W$46="",posicao_contratual!$AL93=""),"",IF(posicao_contratual!$AL93&lt;=MEMORIA_RESULTADOS!$W$46,"SIM","NAO APLICAVEL")))</f>
        <v/>
      </c>
      <c r="AC94" t="str">
        <f>IF($A94="","",IF(MEMORIA_RESULTADOS!$W$46="","",CHOOSE(MEMORIA_RESULTADOS!$W$46+1,posicao_contratual!$AG93,posicao_contratual!$AH93,posicao_contratual!$AI93,posicao_contratual!$AJ93,posicao_contratual!$AK93)))</f>
        <v/>
      </c>
    </row>
    <row r="95" spans="1:29" x14ac:dyDescent="0.35">
      <c r="A95" s="106" t="str">
        <f>IF(AND(itens_Remanesc!A94="",itens_Remanesc!A93&lt;&gt;"",COUNTIF(itens_Remanesc!A95:$A$200,"&lt;&gt;")=0),"TOTAL",IF(itens_Remanesc!A94="","",itens_Remanesc!A94))</f>
        <v/>
      </c>
      <c r="B95" s="107" t="str">
        <f>IF(OR(historico_VU!A94="",historico_VU!C94=""),"",historico_VU!C94)</f>
        <v/>
      </c>
      <c r="C95" s="108" t="str">
        <f>IF(posicao_contratual!A94="","",posicao_contratual!G94)</f>
        <v/>
      </c>
      <c r="D95" s="107" t="str">
        <f>IF(A95="TOTAL",ROUND(SUM($D$3:D94),2),IF(OR(A95="",B95="",C95=""),"",ROUND(B95*C95,2)))</f>
        <v/>
      </c>
      <c r="E95" s="109" t="str">
        <f>IF(OR(historico_VU!A94="",historico_VU!D94=""),"",historico_VU!D94)</f>
        <v/>
      </c>
      <c r="F95" s="110" t="str">
        <f>IF(posicao_contratual!A94="","",posicao_contratual!K94)</f>
        <v/>
      </c>
      <c r="G95" s="109" t="str">
        <f>IF(A95="TOTAL",ROUND(SUM($G$3:G94),2),IF(OR(A95="",E95="",F95=""),"",ROUND(E95*F95,2)))</f>
        <v/>
      </c>
      <c r="H95" s="107" t="str">
        <f>IF(OR(historico_VU!A94="",historico_VU!E94=""),"",historico_VU!E94)</f>
        <v/>
      </c>
      <c r="I95" s="108" t="str">
        <f>IF(posicao_contratual!A94="","",posicao_contratual!O94)</f>
        <v/>
      </c>
      <c r="J95" s="107" t="str">
        <f>IF(A95="TOTAL",ROUND(SUM($J$3:J94),2),IF(OR(A95="",H95="",I95=""),"",ROUND(H95*I95,2)))</f>
        <v/>
      </c>
      <c r="K95" s="109" t="str">
        <f>IF(OR(historico_VU!A94="",historico_VU!F94=""),"",historico_VU!F94)</f>
        <v/>
      </c>
      <c r="L95" s="110" t="str">
        <f>IF(posicao_contratual!A94="","",posicao_contratual!S94)</f>
        <v/>
      </c>
      <c r="M95" s="109" t="str">
        <f>IF(A95="TOTAL",ROUND(SUM($M$3:M94),2),IF(OR(A95="",K95="",L95=""),"",ROUND(K95*L95,2)))</f>
        <v/>
      </c>
      <c r="N95" s="107" t="str">
        <f>IF(OR(historico_VU!A94="",historico_VU!G94=""),"",historico_VU!G94)</f>
        <v/>
      </c>
      <c r="O95" s="108" t="str">
        <f>IF(posicao_contratual!A94="","",posicao_contratual!W94)</f>
        <v/>
      </c>
      <c r="P95" s="107" t="str">
        <f>IF(A95="TOTAL",ROUND(SUM($P$3:P94),2),IF(OR(A95="",N95="",O95=""),"",ROUND(N95*O95,2)))</f>
        <v/>
      </c>
      <c r="Q95" s="181" t="str">
        <f t="shared" ca="1" si="16"/>
        <v/>
      </c>
      <c r="R95" t="str">
        <f>IF($A95="","",IF(MEMORIA_RESULTADOS!$W$46="","","C"&amp;MEMORIA_RESULTADOS!$W$46))</f>
        <v/>
      </c>
      <c r="S95" s="207" t="str">
        <f t="shared" ca="1" si="17"/>
        <v/>
      </c>
      <c r="T95" s="207" t="str">
        <f t="shared" ca="1" si="18"/>
        <v/>
      </c>
      <c r="U95" s="207" t="str">
        <f t="shared" ca="1" si="19"/>
        <v/>
      </c>
      <c r="V95" s="191" t="str">
        <f t="shared" ca="1" si="20"/>
        <v/>
      </c>
      <c r="W95" s="191" t="str">
        <f t="shared" ca="1" si="21"/>
        <v/>
      </c>
      <c r="X95" s="191" t="str">
        <f t="shared" ca="1" si="22"/>
        <v/>
      </c>
      <c r="Y95" t="str">
        <f t="shared" ca="1" si="23"/>
        <v/>
      </c>
      <c r="Z95" s="208" t="str">
        <f>IF($A95="","",IF(posicao_contratual!$AA94="","",posicao_contratual!$AA94))</f>
        <v/>
      </c>
      <c r="AA95" t="str">
        <f>IF($A95="","",IF(posicao_contratual!$AL94="","","C"&amp;posicao_contratual!$AL94))</f>
        <v/>
      </c>
      <c r="AB95" t="str">
        <f>IF($A95="","",IF(OR(MEMORIA_RESULTADOS!$W$46="",posicao_contratual!$AL94=""),"",IF(posicao_contratual!$AL94&lt;=MEMORIA_RESULTADOS!$W$46,"SIM","NAO APLICAVEL")))</f>
        <v/>
      </c>
      <c r="AC95" t="str">
        <f>IF($A95="","",IF(MEMORIA_RESULTADOS!$W$46="","",CHOOSE(MEMORIA_RESULTADOS!$W$46+1,posicao_contratual!$AG94,posicao_contratual!$AH94,posicao_contratual!$AI94,posicao_contratual!$AJ94,posicao_contratual!$AK94)))</f>
        <v/>
      </c>
    </row>
    <row r="96" spans="1:29" x14ac:dyDescent="0.35">
      <c r="A96" s="106" t="str">
        <f>IF(AND(itens_Remanesc!A95="",itens_Remanesc!A94&lt;&gt;"",COUNTIF(itens_Remanesc!A96:$A$200,"&lt;&gt;")=0),"TOTAL",IF(itens_Remanesc!A95="","",itens_Remanesc!A95))</f>
        <v/>
      </c>
      <c r="B96" s="107" t="str">
        <f>IF(OR(historico_VU!A95="",historico_VU!C95=""),"",historico_VU!C95)</f>
        <v/>
      </c>
      <c r="C96" s="108" t="str">
        <f>IF(posicao_contratual!A95="","",posicao_contratual!G95)</f>
        <v/>
      </c>
      <c r="D96" s="107" t="str">
        <f>IF(A96="TOTAL",ROUND(SUM($D$3:D95),2),IF(OR(A96="",B96="",C96=""),"",ROUND(B96*C96,2)))</f>
        <v/>
      </c>
      <c r="E96" s="109" t="str">
        <f>IF(OR(historico_VU!A95="",historico_VU!D95=""),"",historico_VU!D95)</f>
        <v/>
      </c>
      <c r="F96" s="110" t="str">
        <f>IF(posicao_contratual!A95="","",posicao_contratual!K95)</f>
        <v/>
      </c>
      <c r="G96" s="109" t="str">
        <f>IF(A96="TOTAL",ROUND(SUM($G$3:G95),2),IF(OR(A96="",E96="",F96=""),"",ROUND(E96*F96,2)))</f>
        <v/>
      </c>
      <c r="H96" s="107" t="str">
        <f>IF(OR(historico_VU!A95="",historico_VU!E95=""),"",historico_VU!E95)</f>
        <v/>
      </c>
      <c r="I96" s="108" t="str">
        <f>IF(posicao_contratual!A95="","",posicao_contratual!O95)</f>
        <v/>
      </c>
      <c r="J96" s="107" t="str">
        <f>IF(A96="TOTAL",ROUND(SUM($J$3:J95),2),IF(OR(A96="",H96="",I96=""),"",ROUND(H96*I96,2)))</f>
        <v/>
      </c>
      <c r="K96" s="109" t="str">
        <f>IF(OR(historico_VU!A95="",historico_VU!F95=""),"",historico_VU!F95)</f>
        <v/>
      </c>
      <c r="L96" s="110" t="str">
        <f>IF(posicao_contratual!A95="","",posicao_contratual!S95)</f>
        <v/>
      </c>
      <c r="M96" s="109" t="str">
        <f>IF(A96="TOTAL",ROUND(SUM($M$3:M95),2),IF(OR(A96="",K96="",L96=""),"",ROUND(K96*L96,2)))</f>
        <v/>
      </c>
      <c r="N96" s="107" t="str">
        <f>IF(OR(historico_VU!A95="",historico_VU!G95=""),"",historico_VU!G95)</f>
        <v/>
      </c>
      <c r="O96" s="108" t="str">
        <f>IF(posicao_contratual!A95="","",posicao_contratual!W95)</f>
        <v/>
      </c>
      <c r="P96" s="107" t="str">
        <f>IF(A96="TOTAL",ROUND(SUM($P$3:P95),2),IF(OR(A96="",N96="",O96=""),"",ROUND(N96*O96,2)))</f>
        <v/>
      </c>
      <c r="Q96" s="181" t="str">
        <f t="shared" ca="1" si="16"/>
        <v/>
      </c>
      <c r="R96" t="str">
        <f>IF($A96="","",IF(MEMORIA_RESULTADOS!$W$46="","","C"&amp;MEMORIA_RESULTADOS!$W$46))</f>
        <v/>
      </c>
      <c r="S96" s="207" t="str">
        <f t="shared" ca="1" si="17"/>
        <v/>
      </c>
      <c r="T96" s="207" t="str">
        <f t="shared" ca="1" si="18"/>
        <v/>
      </c>
      <c r="U96" s="207" t="str">
        <f t="shared" ca="1" si="19"/>
        <v/>
      </c>
      <c r="V96" s="191" t="str">
        <f t="shared" ca="1" si="20"/>
        <v/>
      </c>
      <c r="W96" s="191" t="str">
        <f t="shared" ca="1" si="21"/>
        <v/>
      </c>
      <c r="X96" s="191" t="str">
        <f t="shared" ca="1" si="22"/>
        <v/>
      </c>
      <c r="Y96" t="str">
        <f t="shared" ca="1" si="23"/>
        <v/>
      </c>
      <c r="Z96" s="208" t="str">
        <f>IF($A96="","",IF(posicao_contratual!$AA95="","",posicao_contratual!$AA95))</f>
        <v/>
      </c>
      <c r="AA96" t="str">
        <f>IF($A96="","",IF(posicao_contratual!$AL95="","","C"&amp;posicao_contratual!$AL95))</f>
        <v/>
      </c>
      <c r="AB96" t="str">
        <f>IF($A96="","",IF(OR(MEMORIA_RESULTADOS!$W$46="",posicao_contratual!$AL95=""),"",IF(posicao_contratual!$AL95&lt;=MEMORIA_RESULTADOS!$W$46,"SIM","NAO APLICAVEL")))</f>
        <v/>
      </c>
      <c r="AC96" t="str">
        <f>IF($A96="","",IF(MEMORIA_RESULTADOS!$W$46="","",CHOOSE(MEMORIA_RESULTADOS!$W$46+1,posicao_contratual!$AG95,posicao_contratual!$AH95,posicao_contratual!$AI95,posicao_contratual!$AJ95,posicao_contratual!$AK95)))</f>
        <v/>
      </c>
    </row>
    <row r="97" spans="1:29" x14ac:dyDescent="0.35">
      <c r="A97" s="106" t="str">
        <f>IF(AND(itens_Remanesc!A96="",itens_Remanesc!A95&lt;&gt;"",COUNTIF(itens_Remanesc!A97:$A$200,"&lt;&gt;")=0),"TOTAL",IF(itens_Remanesc!A96="","",itens_Remanesc!A96))</f>
        <v/>
      </c>
      <c r="B97" s="107" t="str">
        <f>IF(OR(historico_VU!A96="",historico_VU!C96=""),"",historico_VU!C96)</f>
        <v/>
      </c>
      <c r="C97" s="108" t="str">
        <f>IF(posicao_contratual!A96="","",posicao_contratual!G96)</f>
        <v/>
      </c>
      <c r="D97" s="107" t="str">
        <f>IF(A97="TOTAL",ROUND(SUM($D$3:D96),2),IF(OR(A97="",B97="",C97=""),"",ROUND(B97*C97,2)))</f>
        <v/>
      </c>
      <c r="E97" s="109" t="str">
        <f>IF(OR(historico_VU!A96="",historico_VU!D96=""),"",historico_VU!D96)</f>
        <v/>
      </c>
      <c r="F97" s="110" t="str">
        <f>IF(posicao_contratual!A96="","",posicao_contratual!K96)</f>
        <v/>
      </c>
      <c r="G97" s="109" t="str">
        <f>IF(A97="TOTAL",ROUND(SUM($G$3:G96),2),IF(OR(A97="",E97="",F97=""),"",ROUND(E97*F97,2)))</f>
        <v/>
      </c>
      <c r="H97" s="107" t="str">
        <f>IF(OR(historico_VU!A96="",historico_VU!E96=""),"",historico_VU!E96)</f>
        <v/>
      </c>
      <c r="I97" s="108" t="str">
        <f>IF(posicao_contratual!A96="","",posicao_contratual!O96)</f>
        <v/>
      </c>
      <c r="J97" s="107" t="str">
        <f>IF(A97="TOTAL",ROUND(SUM($J$3:J96),2),IF(OR(A97="",H97="",I97=""),"",ROUND(H97*I97,2)))</f>
        <v/>
      </c>
      <c r="K97" s="109" t="str">
        <f>IF(OR(historico_VU!A96="",historico_VU!F96=""),"",historico_VU!F96)</f>
        <v/>
      </c>
      <c r="L97" s="110" t="str">
        <f>IF(posicao_contratual!A96="","",posicao_contratual!S96)</f>
        <v/>
      </c>
      <c r="M97" s="109" t="str">
        <f>IF(A97="TOTAL",ROUND(SUM($M$3:M96),2),IF(OR(A97="",K97="",L97=""),"",ROUND(K97*L97,2)))</f>
        <v/>
      </c>
      <c r="N97" s="107" t="str">
        <f>IF(OR(historico_VU!A96="",historico_VU!G96=""),"",historico_VU!G96)</f>
        <v/>
      </c>
      <c r="O97" s="108" t="str">
        <f>IF(posicao_contratual!A96="","",posicao_contratual!W96)</f>
        <v/>
      </c>
      <c r="P97" s="107" t="str">
        <f>IF(A97="TOTAL",ROUND(SUM($P$3:P96),2),IF(OR(A97="",N97="",O97=""),"",ROUND(N97*O97,2)))</f>
        <v/>
      </c>
      <c r="Q97" s="181" t="str">
        <f t="shared" ca="1" si="16"/>
        <v/>
      </c>
      <c r="R97" t="str">
        <f>IF($A97="","",IF(MEMORIA_RESULTADOS!$W$46="","","C"&amp;MEMORIA_RESULTADOS!$W$46))</f>
        <v/>
      </c>
      <c r="S97" s="207" t="str">
        <f t="shared" ca="1" si="17"/>
        <v/>
      </c>
      <c r="T97" s="207" t="str">
        <f t="shared" ca="1" si="18"/>
        <v/>
      </c>
      <c r="U97" s="207" t="str">
        <f t="shared" ca="1" si="19"/>
        <v/>
      </c>
      <c r="V97" s="191" t="str">
        <f t="shared" ca="1" si="20"/>
        <v/>
      </c>
      <c r="W97" s="191" t="str">
        <f t="shared" ca="1" si="21"/>
        <v/>
      </c>
      <c r="X97" s="191" t="str">
        <f t="shared" ca="1" si="22"/>
        <v/>
      </c>
      <c r="Y97" t="str">
        <f t="shared" ca="1" si="23"/>
        <v/>
      </c>
      <c r="Z97" s="208" t="str">
        <f>IF($A97="","",IF(posicao_contratual!$AA96="","",posicao_contratual!$AA96))</f>
        <v/>
      </c>
      <c r="AA97" t="str">
        <f>IF($A97="","",IF(posicao_contratual!$AL96="","","C"&amp;posicao_contratual!$AL96))</f>
        <v/>
      </c>
      <c r="AB97" t="str">
        <f>IF($A97="","",IF(OR(MEMORIA_RESULTADOS!$W$46="",posicao_contratual!$AL96=""),"",IF(posicao_contratual!$AL96&lt;=MEMORIA_RESULTADOS!$W$46,"SIM","NAO APLICAVEL")))</f>
        <v/>
      </c>
      <c r="AC97" t="str">
        <f>IF($A97="","",IF(MEMORIA_RESULTADOS!$W$46="","",CHOOSE(MEMORIA_RESULTADOS!$W$46+1,posicao_contratual!$AG96,posicao_contratual!$AH96,posicao_contratual!$AI96,posicao_contratual!$AJ96,posicao_contratual!$AK96)))</f>
        <v/>
      </c>
    </row>
    <row r="98" spans="1:29" x14ac:dyDescent="0.35">
      <c r="A98" s="106" t="str">
        <f>IF(AND(itens_Remanesc!A97="",itens_Remanesc!A96&lt;&gt;"",COUNTIF(itens_Remanesc!A98:$A$200,"&lt;&gt;")=0),"TOTAL",IF(itens_Remanesc!A97="","",itens_Remanesc!A97))</f>
        <v/>
      </c>
      <c r="B98" s="107" t="str">
        <f>IF(OR(historico_VU!A97="",historico_VU!C97=""),"",historico_VU!C97)</f>
        <v/>
      </c>
      <c r="C98" s="108" t="str">
        <f>IF(posicao_contratual!A97="","",posicao_contratual!G97)</f>
        <v/>
      </c>
      <c r="D98" s="107" t="str">
        <f>IF(A98="TOTAL",ROUND(SUM($D$3:D97),2),IF(OR(A98="",B98="",C98=""),"",ROUND(B98*C98,2)))</f>
        <v/>
      </c>
      <c r="E98" s="109" t="str">
        <f>IF(OR(historico_VU!A97="",historico_VU!D97=""),"",historico_VU!D97)</f>
        <v/>
      </c>
      <c r="F98" s="110" t="str">
        <f>IF(posicao_contratual!A97="","",posicao_contratual!K97)</f>
        <v/>
      </c>
      <c r="G98" s="109" t="str">
        <f>IF(A98="TOTAL",ROUND(SUM($G$3:G97),2),IF(OR(A98="",E98="",F98=""),"",ROUND(E98*F98,2)))</f>
        <v/>
      </c>
      <c r="H98" s="107" t="str">
        <f>IF(OR(historico_VU!A97="",historico_VU!E97=""),"",historico_VU!E97)</f>
        <v/>
      </c>
      <c r="I98" s="108" t="str">
        <f>IF(posicao_contratual!A97="","",posicao_contratual!O97)</f>
        <v/>
      </c>
      <c r="J98" s="107" t="str">
        <f>IF(A98="TOTAL",ROUND(SUM($J$3:J97),2),IF(OR(A98="",H98="",I98=""),"",ROUND(H98*I98,2)))</f>
        <v/>
      </c>
      <c r="K98" s="109" t="str">
        <f>IF(OR(historico_VU!A97="",historico_VU!F97=""),"",historico_VU!F97)</f>
        <v/>
      </c>
      <c r="L98" s="110" t="str">
        <f>IF(posicao_contratual!A97="","",posicao_contratual!S97)</f>
        <v/>
      </c>
      <c r="M98" s="109" t="str">
        <f>IF(A98="TOTAL",ROUND(SUM($M$3:M97),2),IF(OR(A98="",K98="",L98=""),"",ROUND(K98*L98,2)))</f>
        <v/>
      </c>
      <c r="N98" s="107" t="str">
        <f>IF(OR(historico_VU!A97="",historico_VU!G97=""),"",historico_VU!G97)</f>
        <v/>
      </c>
      <c r="O98" s="108" t="str">
        <f>IF(posicao_contratual!A97="","",posicao_contratual!W97)</f>
        <v/>
      </c>
      <c r="P98" s="107" t="str">
        <f>IF(A98="TOTAL",ROUND(SUM($P$3:P97),2),IF(OR(A98="",N98="",O98=""),"",ROUND(N98*O98,2)))</f>
        <v/>
      </c>
      <c r="Q98" s="181" t="str">
        <f t="shared" ca="1" si="16"/>
        <v/>
      </c>
      <c r="R98" t="str">
        <f>IF($A98="","",IF(MEMORIA_RESULTADOS!$W$46="","","C"&amp;MEMORIA_RESULTADOS!$W$46))</f>
        <v/>
      </c>
      <c r="S98" s="207" t="str">
        <f t="shared" ca="1" si="17"/>
        <v/>
      </c>
      <c r="T98" s="207" t="str">
        <f t="shared" ca="1" si="18"/>
        <v/>
      </c>
      <c r="U98" s="207" t="str">
        <f t="shared" ca="1" si="19"/>
        <v/>
      </c>
      <c r="V98" s="191" t="str">
        <f t="shared" ca="1" si="20"/>
        <v/>
      </c>
      <c r="W98" s="191" t="str">
        <f t="shared" ca="1" si="21"/>
        <v/>
      </c>
      <c r="X98" s="191" t="str">
        <f t="shared" ca="1" si="22"/>
        <v/>
      </c>
      <c r="Y98" t="str">
        <f t="shared" ca="1" si="23"/>
        <v/>
      </c>
      <c r="Z98" s="208" t="str">
        <f>IF($A98="","",IF(posicao_contratual!$AA97="","",posicao_contratual!$AA97))</f>
        <v/>
      </c>
      <c r="AA98" t="str">
        <f>IF($A98="","",IF(posicao_contratual!$AL97="","","C"&amp;posicao_contratual!$AL97))</f>
        <v/>
      </c>
      <c r="AB98" t="str">
        <f>IF($A98="","",IF(OR(MEMORIA_RESULTADOS!$W$46="",posicao_contratual!$AL97=""),"",IF(posicao_contratual!$AL97&lt;=MEMORIA_RESULTADOS!$W$46,"SIM","NAO APLICAVEL")))</f>
        <v/>
      </c>
      <c r="AC98" t="str">
        <f>IF($A98="","",IF(MEMORIA_RESULTADOS!$W$46="","",CHOOSE(MEMORIA_RESULTADOS!$W$46+1,posicao_contratual!$AG97,posicao_contratual!$AH97,posicao_contratual!$AI97,posicao_contratual!$AJ97,posicao_contratual!$AK97)))</f>
        <v/>
      </c>
    </row>
    <row r="99" spans="1:29" x14ac:dyDescent="0.35">
      <c r="A99" s="106" t="str">
        <f>IF(AND(itens_Remanesc!A98="",itens_Remanesc!A97&lt;&gt;"",COUNTIF(itens_Remanesc!A99:$A$200,"&lt;&gt;")=0),"TOTAL",IF(itens_Remanesc!A98="","",itens_Remanesc!A98))</f>
        <v/>
      </c>
      <c r="B99" s="107" t="str">
        <f>IF(OR(historico_VU!A98="",historico_VU!C98=""),"",historico_VU!C98)</f>
        <v/>
      </c>
      <c r="C99" s="108" t="str">
        <f>IF(posicao_contratual!A98="","",posicao_contratual!G98)</f>
        <v/>
      </c>
      <c r="D99" s="107" t="str">
        <f>IF(A99="TOTAL",ROUND(SUM($D$3:D98),2),IF(OR(A99="",B99="",C99=""),"",ROUND(B99*C99,2)))</f>
        <v/>
      </c>
      <c r="E99" s="109" t="str">
        <f>IF(OR(historico_VU!A98="",historico_VU!D98=""),"",historico_VU!D98)</f>
        <v/>
      </c>
      <c r="F99" s="110" t="str">
        <f>IF(posicao_contratual!A98="","",posicao_contratual!K98)</f>
        <v/>
      </c>
      <c r="G99" s="109" t="str">
        <f>IF(A99="TOTAL",ROUND(SUM($G$3:G98),2),IF(OR(A99="",E99="",F99=""),"",ROUND(E99*F99,2)))</f>
        <v/>
      </c>
      <c r="H99" s="107" t="str">
        <f>IF(OR(historico_VU!A98="",historico_VU!E98=""),"",historico_VU!E98)</f>
        <v/>
      </c>
      <c r="I99" s="108" t="str">
        <f>IF(posicao_contratual!A98="","",posicao_contratual!O98)</f>
        <v/>
      </c>
      <c r="J99" s="107" t="str">
        <f>IF(A99="TOTAL",ROUND(SUM($J$3:J98),2),IF(OR(A99="",H99="",I99=""),"",ROUND(H99*I99,2)))</f>
        <v/>
      </c>
      <c r="K99" s="109" t="str">
        <f>IF(OR(historico_VU!A98="",historico_VU!F98=""),"",historico_VU!F98)</f>
        <v/>
      </c>
      <c r="L99" s="110" t="str">
        <f>IF(posicao_contratual!A98="","",posicao_contratual!S98)</f>
        <v/>
      </c>
      <c r="M99" s="109" t="str">
        <f>IF(A99="TOTAL",ROUND(SUM($M$3:M98),2),IF(OR(A99="",K99="",L99=""),"",ROUND(K99*L99,2)))</f>
        <v/>
      </c>
      <c r="N99" s="107" t="str">
        <f>IF(OR(historico_VU!A98="",historico_VU!G98=""),"",historico_VU!G98)</f>
        <v/>
      </c>
      <c r="O99" s="108" t="str">
        <f>IF(posicao_contratual!A98="","",posicao_contratual!W98)</f>
        <v/>
      </c>
      <c r="P99" s="107" t="str">
        <f>IF(A99="TOTAL",ROUND(SUM($P$3:P98),2),IF(OR(A99="",N99="",O99=""),"",ROUND(N99*O99,2)))</f>
        <v/>
      </c>
      <c r="Q99" s="181" t="str">
        <f t="shared" ref="Q99:Q130" ca="1" si="24">IF($A99="","",IFERROR(IF(INDIRECT("CICLO_EM_EXECUCAO!$D$5")="","",INDIRECT("CICLO_EM_EXECUCAO!$D$5")),""))</f>
        <v/>
      </c>
      <c r="R99" t="str">
        <f>IF($A99="","",IF(MEMORIA_RESULTADOS!$W$46="","","C"&amp;MEMORIA_RESULTADOS!$W$46))</f>
        <v/>
      </c>
      <c r="S99" s="207" t="str">
        <f t="shared" ref="S99:S130" ca="1" si="25">IF($A99="","",IFERROR(IF(INDIRECT("CICLO_EM_EXECUCAO!B"&amp;(ROW()+10))="","",INDIRECT("CICLO_EM_EXECUCAO!B"&amp;(ROW()+10))),""))</f>
        <v/>
      </c>
      <c r="T99" s="207" t="str">
        <f t="shared" ref="T99:T130" ca="1" si="26">IF($A99="","",IFERROR(IF(INDIRECT("CICLO_EM_EXECUCAO!D"&amp;(ROW()+10))="","",INDIRECT("CICLO_EM_EXECUCAO!D"&amp;(ROW()+10))),""))</f>
        <v/>
      </c>
      <c r="U99" s="207" t="str">
        <f t="shared" ref="U99:U130" ca="1" si="27">IF($A99="","",IFERROR(IF(INDIRECT("CICLO_EM_EXECUCAO!C"&amp;(ROW()+10))="","",INDIRECT("CICLO_EM_EXECUCAO!C"&amp;(ROW()+10))),""))</f>
        <v/>
      </c>
      <c r="V99" s="191" t="str">
        <f t="shared" ref="V99:V130" ca="1" si="28">IF($A99="","",IFERROR(IF(INDIRECT("CICLO_EM_EXECUCAO!E"&amp;(ROW()+10))="","",INDIRECT("CICLO_EM_EXECUCAO!E"&amp;(ROW()+10))),""))</f>
        <v/>
      </c>
      <c r="W99" s="191" t="str">
        <f t="shared" ref="W99:W130" ca="1" si="29">IF($A99="","",IFERROR(IF(INDIRECT("CICLO_EM_EXECUCAO!F"&amp;(ROW()+10))="","",INDIRECT("CICLO_EM_EXECUCAO!F"&amp;(ROW()+10))),""))</f>
        <v/>
      </c>
      <c r="X99" s="191" t="str">
        <f t="shared" ref="X99:X130" ca="1" si="30">IF($A99="","",IFERROR(IF(INDIRECT("CICLO_EM_EXECUCAO!G"&amp;(ROW()+10))="","",INDIRECT("CICLO_EM_EXECUCAO!G"&amp;(ROW()+10))),""))</f>
        <v/>
      </c>
      <c r="Y99" t="str">
        <f t="shared" ref="Y99:Y130" ca="1" si="31">IF($A99="","",IFERROR(IF(INDIRECT("CICLO_EM_EXECUCAO!K"&amp;(ROW()+10))="","",INDIRECT("CICLO_EM_EXECUCAO!K"&amp;(ROW()+10))),"CICLO_EM_EXECUCAO AUSENTE"))</f>
        <v/>
      </c>
      <c r="Z99" s="208" t="str">
        <f>IF($A99="","",IF(posicao_contratual!$AA98="","",posicao_contratual!$AA98))</f>
        <v/>
      </c>
      <c r="AA99" t="str">
        <f>IF($A99="","",IF(posicao_contratual!$AL98="","","C"&amp;posicao_contratual!$AL98))</f>
        <v/>
      </c>
      <c r="AB99" t="str">
        <f>IF($A99="","",IF(OR(MEMORIA_RESULTADOS!$W$46="",posicao_contratual!$AL98=""),"",IF(posicao_contratual!$AL98&lt;=MEMORIA_RESULTADOS!$W$46,"SIM","NAO APLICAVEL")))</f>
        <v/>
      </c>
      <c r="AC99" t="str">
        <f>IF($A99="","",IF(MEMORIA_RESULTADOS!$W$46="","",CHOOSE(MEMORIA_RESULTADOS!$W$46+1,posicao_contratual!$AG98,posicao_contratual!$AH98,posicao_contratual!$AI98,posicao_contratual!$AJ98,posicao_contratual!$AK98)))</f>
        <v/>
      </c>
    </row>
    <row r="100" spans="1:29" x14ac:dyDescent="0.35">
      <c r="A100" s="106" t="str">
        <f>IF(AND(itens_Remanesc!A99="",itens_Remanesc!A98&lt;&gt;"",COUNTIF(itens_Remanesc!A100:$A$200,"&lt;&gt;")=0),"TOTAL",IF(itens_Remanesc!A99="","",itens_Remanesc!A99))</f>
        <v/>
      </c>
      <c r="B100" s="107" t="str">
        <f>IF(OR(historico_VU!A99="",historico_VU!C99=""),"",historico_VU!C99)</f>
        <v/>
      </c>
      <c r="C100" s="108" t="str">
        <f>IF(posicao_contratual!A99="","",posicao_contratual!G99)</f>
        <v/>
      </c>
      <c r="D100" s="107" t="str">
        <f>IF(A100="TOTAL",ROUND(SUM($D$3:D99),2),IF(OR(A100="",B100="",C100=""),"",ROUND(B100*C100,2)))</f>
        <v/>
      </c>
      <c r="E100" s="109" t="str">
        <f>IF(OR(historico_VU!A99="",historico_VU!D99=""),"",historico_VU!D99)</f>
        <v/>
      </c>
      <c r="F100" s="110" t="str">
        <f>IF(posicao_contratual!A99="","",posicao_contratual!K99)</f>
        <v/>
      </c>
      <c r="G100" s="109" t="str">
        <f>IF(A100="TOTAL",ROUND(SUM($G$3:G99),2),IF(OR(A100="",E100="",F100=""),"",ROUND(E100*F100,2)))</f>
        <v/>
      </c>
      <c r="H100" s="107" t="str">
        <f>IF(OR(historico_VU!A99="",historico_VU!E99=""),"",historico_VU!E99)</f>
        <v/>
      </c>
      <c r="I100" s="108" t="str">
        <f>IF(posicao_contratual!A99="","",posicao_contratual!O99)</f>
        <v/>
      </c>
      <c r="J100" s="107" t="str">
        <f>IF(A100="TOTAL",ROUND(SUM($J$3:J99),2),IF(OR(A100="",H100="",I100=""),"",ROUND(H100*I100,2)))</f>
        <v/>
      </c>
      <c r="K100" s="109" t="str">
        <f>IF(OR(historico_VU!A99="",historico_VU!F99=""),"",historico_VU!F99)</f>
        <v/>
      </c>
      <c r="L100" s="110" t="str">
        <f>IF(posicao_contratual!A99="","",posicao_contratual!S99)</f>
        <v/>
      </c>
      <c r="M100" s="109" t="str">
        <f>IF(A100="TOTAL",ROUND(SUM($M$3:M99),2),IF(OR(A100="",K100="",L100=""),"",ROUND(K100*L100,2)))</f>
        <v/>
      </c>
      <c r="N100" s="107" t="str">
        <f>IF(OR(historico_VU!A99="",historico_VU!G99=""),"",historico_VU!G99)</f>
        <v/>
      </c>
      <c r="O100" s="108" t="str">
        <f>IF(posicao_contratual!A99="","",posicao_contratual!W99)</f>
        <v/>
      </c>
      <c r="P100" s="107" t="str">
        <f>IF(A100="TOTAL",ROUND(SUM($P$3:P99),2),IF(OR(A100="",N100="",O100=""),"",ROUND(N100*O100,2)))</f>
        <v/>
      </c>
      <c r="Q100" s="181" t="str">
        <f t="shared" ca="1" si="24"/>
        <v/>
      </c>
      <c r="R100" t="str">
        <f>IF($A100="","",IF(MEMORIA_RESULTADOS!$W$46="","","C"&amp;MEMORIA_RESULTADOS!$W$46))</f>
        <v/>
      </c>
      <c r="S100" s="207" t="str">
        <f t="shared" ca="1" si="25"/>
        <v/>
      </c>
      <c r="T100" s="207" t="str">
        <f t="shared" ca="1" si="26"/>
        <v/>
      </c>
      <c r="U100" s="207" t="str">
        <f t="shared" ca="1" si="27"/>
        <v/>
      </c>
      <c r="V100" s="191" t="str">
        <f t="shared" ca="1" si="28"/>
        <v/>
      </c>
      <c r="W100" s="191" t="str">
        <f t="shared" ca="1" si="29"/>
        <v/>
      </c>
      <c r="X100" s="191" t="str">
        <f t="shared" ca="1" si="30"/>
        <v/>
      </c>
      <c r="Y100" t="str">
        <f t="shared" ca="1" si="31"/>
        <v/>
      </c>
      <c r="Z100" s="208" t="str">
        <f>IF($A100="","",IF(posicao_contratual!$AA99="","",posicao_contratual!$AA99))</f>
        <v/>
      </c>
      <c r="AA100" t="str">
        <f>IF($A100="","",IF(posicao_contratual!$AL99="","","C"&amp;posicao_contratual!$AL99))</f>
        <v/>
      </c>
      <c r="AB100" t="str">
        <f>IF($A100="","",IF(OR(MEMORIA_RESULTADOS!$W$46="",posicao_contratual!$AL99=""),"",IF(posicao_contratual!$AL99&lt;=MEMORIA_RESULTADOS!$W$46,"SIM","NAO APLICAVEL")))</f>
        <v/>
      </c>
      <c r="AC100" t="str">
        <f>IF($A100="","",IF(MEMORIA_RESULTADOS!$W$46="","",CHOOSE(MEMORIA_RESULTADOS!$W$46+1,posicao_contratual!$AG99,posicao_contratual!$AH99,posicao_contratual!$AI99,posicao_contratual!$AJ99,posicao_contratual!$AK99)))</f>
        <v/>
      </c>
    </row>
    <row r="101" spans="1:29" x14ac:dyDescent="0.35">
      <c r="A101" s="106" t="str">
        <f>IF(AND(itens_Remanesc!A100="",itens_Remanesc!A99&lt;&gt;"",COUNTIF(itens_Remanesc!A101:$A$200,"&lt;&gt;")=0),"TOTAL",IF(itens_Remanesc!A100="","",itens_Remanesc!A100))</f>
        <v/>
      </c>
      <c r="B101" s="107" t="str">
        <f>IF(OR(historico_VU!A100="",historico_VU!C100=""),"",historico_VU!C100)</f>
        <v/>
      </c>
      <c r="C101" s="108" t="str">
        <f>IF(posicao_contratual!A100="","",posicao_contratual!G100)</f>
        <v/>
      </c>
      <c r="D101" s="107" t="str">
        <f>IF(A101="TOTAL",ROUND(SUM($D$3:D100),2),IF(OR(A101="",B101="",C101=""),"",ROUND(B101*C101,2)))</f>
        <v/>
      </c>
      <c r="E101" s="109" t="str">
        <f>IF(OR(historico_VU!A100="",historico_VU!D100=""),"",historico_VU!D100)</f>
        <v/>
      </c>
      <c r="F101" s="110" t="str">
        <f>IF(posicao_contratual!A100="","",posicao_contratual!K100)</f>
        <v/>
      </c>
      <c r="G101" s="109" t="str">
        <f>IF(A101="TOTAL",ROUND(SUM($G$3:G100),2),IF(OR(A101="",E101="",F101=""),"",ROUND(E101*F101,2)))</f>
        <v/>
      </c>
      <c r="H101" s="107" t="str">
        <f>IF(OR(historico_VU!A100="",historico_VU!E100=""),"",historico_VU!E100)</f>
        <v/>
      </c>
      <c r="I101" s="108" t="str">
        <f>IF(posicao_contratual!A100="","",posicao_contratual!O100)</f>
        <v/>
      </c>
      <c r="J101" s="107" t="str">
        <f>IF(A101="TOTAL",ROUND(SUM($J$3:J100),2),IF(OR(A101="",H101="",I101=""),"",ROUND(H101*I101,2)))</f>
        <v/>
      </c>
      <c r="K101" s="109" t="str">
        <f>IF(OR(historico_VU!A100="",historico_VU!F100=""),"",historico_VU!F100)</f>
        <v/>
      </c>
      <c r="L101" s="110" t="str">
        <f>IF(posicao_contratual!A100="","",posicao_contratual!S100)</f>
        <v/>
      </c>
      <c r="M101" s="109" t="str">
        <f>IF(A101="TOTAL",ROUND(SUM($M$3:M100),2),IF(OR(A101="",K101="",L101=""),"",ROUND(K101*L101,2)))</f>
        <v/>
      </c>
      <c r="N101" s="107" t="str">
        <f>IF(OR(historico_VU!A100="",historico_VU!G100=""),"",historico_VU!G100)</f>
        <v/>
      </c>
      <c r="O101" s="108" t="str">
        <f>IF(posicao_contratual!A100="","",posicao_contratual!W100)</f>
        <v/>
      </c>
      <c r="P101" s="107" t="str">
        <f>IF(A101="TOTAL",ROUND(SUM($P$3:P100),2),IF(OR(A101="",N101="",O101=""),"",ROUND(N101*O101,2)))</f>
        <v/>
      </c>
      <c r="Q101" s="181" t="str">
        <f t="shared" ca="1" si="24"/>
        <v/>
      </c>
      <c r="R101" t="str">
        <f>IF($A101="","",IF(MEMORIA_RESULTADOS!$W$46="","","C"&amp;MEMORIA_RESULTADOS!$W$46))</f>
        <v/>
      </c>
      <c r="S101" s="207" t="str">
        <f t="shared" ca="1" si="25"/>
        <v/>
      </c>
      <c r="T101" s="207" t="str">
        <f t="shared" ca="1" si="26"/>
        <v/>
      </c>
      <c r="U101" s="207" t="str">
        <f t="shared" ca="1" si="27"/>
        <v/>
      </c>
      <c r="V101" s="191" t="str">
        <f t="shared" ca="1" si="28"/>
        <v/>
      </c>
      <c r="W101" s="191" t="str">
        <f t="shared" ca="1" si="29"/>
        <v/>
      </c>
      <c r="X101" s="191" t="str">
        <f t="shared" ca="1" si="30"/>
        <v/>
      </c>
      <c r="Y101" t="str">
        <f t="shared" ca="1" si="31"/>
        <v/>
      </c>
      <c r="Z101" s="208" t="str">
        <f>IF($A101="","",IF(posicao_contratual!$AA100="","",posicao_contratual!$AA100))</f>
        <v/>
      </c>
      <c r="AA101" t="str">
        <f>IF($A101="","",IF(posicao_contratual!$AL100="","","C"&amp;posicao_contratual!$AL100))</f>
        <v/>
      </c>
      <c r="AB101" t="str">
        <f>IF($A101="","",IF(OR(MEMORIA_RESULTADOS!$W$46="",posicao_contratual!$AL100=""),"",IF(posicao_contratual!$AL100&lt;=MEMORIA_RESULTADOS!$W$46,"SIM","NAO APLICAVEL")))</f>
        <v/>
      </c>
      <c r="AC101" t="str">
        <f>IF($A101="","",IF(MEMORIA_RESULTADOS!$W$46="","",CHOOSE(MEMORIA_RESULTADOS!$W$46+1,posicao_contratual!$AG100,posicao_contratual!$AH100,posicao_contratual!$AI100,posicao_contratual!$AJ100,posicao_contratual!$AK100)))</f>
        <v/>
      </c>
    </row>
    <row r="102" spans="1:29" x14ac:dyDescent="0.35">
      <c r="A102" s="106" t="str">
        <f>IF(AND(itens_Remanesc!A101="",itens_Remanesc!A100&lt;&gt;"",COUNTIF(itens_Remanesc!A102:$A$200,"&lt;&gt;")=0),"TOTAL",IF(itens_Remanesc!A101="","",itens_Remanesc!A101))</f>
        <v/>
      </c>
      <c r="B102" s="107" t="str">
        <f>IF(OR(historico_VU!A101="",historico_VU!C101=""),"",historico_VU!C101)</f>
        <v/>
      </c>
      <c r="C102" s="108" t="str">
        <f>IF(posicao_contratual!A101="","",posicao_contratual!G101)</f>
        <v/>
      </c>
      <c r="D102" s="107" t="str">
        <f>IF(A102="TOTAL",ROUND(SUM($D$3:D101),2),IF(OR(A102="",B102="",C102=""),"",ROUND(B102*C102,2)))</f>
        <v/>
      </c>
      <c r="E102" s="109" t="str">
        <f>IF(OR(historico_VU!A101="",historico_VU!D101=""),"",historico_VU!D101)</f>
        <v/>
      </c>
      <c r="F102" s="110" t="str">
        <f>IF(posicao_contratual!A101="","",posicao_contratual!K101)</f>
        <v/>
      </c>
      <c r="G102" s="109" t="str">
        <f>IF(A102="TOTAL",ROUND(SUM($G$3:G101),2),IF(OR(A102="",E102="",F102=""),"",ROUND(E102*F102,2)))</f>
        <v/>
      </c>
      <c r="H102" s="107" t="str">
        <f>IF(OR(historico_VU!A101="",historico_VU!E101=""),"",historico_VU!E101)</f>
        <v/>
      </c>
      <c r="I102" s="108" t="str">
        <f>IF(posicao_contratual!A101="","",posicao_contratual!O101)</f>
        <v/>
      </c>
      <c r="J102" s="107" t="str">
        <f>IF(A102="TOTAL",ROUND(SUM($J$3:J101),2),IF(OR(A102="",H102="",I102=""),"",ROUND(H102*I102,2)))</f>
        <v/>
      </c>
      <c r="K102" s="109" t="str">
        <f>IF(OR(historico_VU!A101="",historico_VU!F101=""),"",historico_VU!F101)</f>
        <v/>
      </c>
      <c r="L102" s="110" t="str">
        <f>IF(posicao_contratual!A101="","",posicao_contratual!S101)</f>
        <v/>
      </c>
      <c r="M102" s="109" t="str">
        <f>IF(A102="TOTAL",ROUND(SUM($M$3:M101),2),IF(OR(A102="",K102="",L102=""),"",ROUND(K102*L102,2)))</f>
        <v/>
      </c>
      <c r="N102" s="107" t="str">
        <f>IF(OR(historico_VU!A101="",historico_VU!G101=""),"",historico_VU!G101)</f>
        <v/>
      </c>
      <c r="O102" s="108" t="str">
        <f>IF(posicao_contratual!A101="","",posicao_contratual!W101)</f>
        <v/>
      </c>
      <c r="P102" s="107" t="str">
        <f>IF(A102="TOTAL",ROUND(SUM($P$3:P101),2),IF(OR(A102="",N102="",O102=""),"",ROUND(N102*O102,2)))</f>
        <v/>
      </c>
      <c r="Q102" s="181" t="str">
        <f t="shared" ca="1" si="24"/>
        <v/>
      </c>
      <c r="R102" t="str">
        <f>IF($A102="","",IF(MEMORIA_RESULTADOS!$W$46="","","C"&amp;MEMORIA_RESULTADOS!$W$46))</f>
        <v/>
      </c>
      <c r="S102" s="207" t="str">
        <f t="shared" ca="1" si="25"/>
        <v/>
      </c>
      <c r="T102" s="207" t="str">
        <f t="shared" ca="1" si="26"/>
        <v/>
      </c>
      <c r="U102" s="207" t="str">
        <f t="shared" ca="1" si="27"/>
        <v/>
      </c>
      <c r="V102" s="191" t="str">
        <f t="shared" ca="1" si="28"/>
        <v/>
      </c>
      <c r="W102" s="191" t="str">
        <f t="shared" ca="1" si="29"/>
        <v/>
      </c>
      <c r="X102" s="191" t="str">
        <f t="shared" ca="1" si="30"/>
        <v/>
      </c>
      <c r="Y102" t="str">
        <f t="shared" ca="1" si="31"/>
        <v/>
      </c>
      <c r="Z102" s="208" t="str">
        <f>IF($A102="","",IF(posicao_contratual!$AA101="","",posicao_contratual!$AA101))</f>
        <v/>
      </c>
      <c r="AA102" t="str">
        <f>IF($A102="","",IF(posicao_contratual!$AL101="","","C"&amp;posicao_contratual!$AL101))</f>
        <v/>
      </c>
      <c r="AB102" t="str">
        <f>IF($A102="","",IF(OR(MEMORIA_RESULTADOS!$W$46="",posicao_contratual!$AL101=""),"",IF(posicao_contratual!$AL101&lt;=MEMORIA_RESULTADOS!$W$46,"SIM","NAO APLICAVEL")))</f>
        <v/>
      </c>
      <c r="AC102" t="str">
        <f>IF($A102="","",IF(MEMORIA_RESULTADOS!$W$46="","",CHOOSE(MEMORIA_RESULTADOS!$W$46+1,posicao_contratual!$AG101,posicao_contratual!$AH101,posicao_contratual!$AI101,posicao_contratual!$AJ101,posicao_contratual!$AK101)))</f>
        <v/>
      </c>
    </row>
    <row r="103" spans="1:29" x14ac:dyDescent="0.35">
      <c r="A103" s="106" t="str">
        <f>IF(AND(itens_Remanesc!A102="",itens_Remanesc!A101&lt;&gt;"",COUNTIF(itens_Remanesc!A103:$A$200,"&lt;&gt;")=0),"TOTAL",IF(itens_Remanesc!A102="","",itens_Remanesc!A102))</f>
        <v/>
      </c>
      <c r="B103" s="107" t="str">
        <f>IF(OR(historico_VU!A102="",historico_VU!C102=""),"",historico_VU!C102)</f>
        <v/>
      </c>
      <c r="C103" s="108" t="str">
        <f>IF(posicao_contratual!A102="","",posicao_contratual!G102)</f>
        <v/>
      </c>
      <c r="D103" s="107" t="str">
        <f>IF(A103="TOTAL",ROUND(SUM($D$3:D102),2),IF(OR(A103="",B103="",C103=""),"",ROUND(B103*C103,2)))</f>
        <v/>
      </c>
      <c r="E103" s="109" t="str">
        <f>IF(OR(historico_VU!A102="",historico_VU!D102=""),"",historico_VU!D102)</f>
        <v/>
      </c>
      <c r="F103" s="110" t="str">
        <f>IF(posicao_contratual!A102="","",posicao_contratual!K102)</f>
        <v/>
      </c>
      <c r="G103" s="109" t="str">
        <f>IF(A103="TOTAL",ROUND(SUM($G$3:G102),2),IF(OR(A103="",E103="",F103=""),"",ROUND(E103*F103,2)))</f>
        <v/>
      </c>
      <c r="H103" s="107" t="str">
        <f>IF(OR(historico_VU!A102="",historico_VU!E102=""),"",historico_VU!E102)</f>
        <v/>
      </c>
      <c r="I103" s="108" t="str">
        <f>IF(posicao_contratual!A102="","",posicao_contratual!O102)</f>
        <v/>
      </c>
      <c r="J103" s="107" t="str">
        <f>IF(A103="TOTAL",ROUND(SUM($J$3:J102),2),IF(OR(A103="",H103="",I103=""),"",ROUND(H103*I103,2)))</f>
        <v/>
      </c>
      <c r="K103" s="109" t="str">
        <f>IF(OR(historico_VU!A102="",historico_VU!F102=""),"",historico_VU!F102)</f>
        <v/>
      </c>
      <c r="L103" s="110" t="str">
        <f>IF(posicao_contratual!A102="","",posicao_contratual!S102)</f>
        <v/>
      </c>
      <c r="M103" s="109" t="str">
        <f>IF(A103="TOTAL",ROUND(SUM($M$3:M102),2),IF(OR(A103="",K103="",L103=""),"",ROUND(K103*L103,2)))</f>
        <v/>
      </c>
      <c r="N103" s="107" t="str">
        <f>IF(OR(historico_VU!A102="",historico_VU!G102=""),"",historico_VU!G102)</f>
        <v/>
      </c>
      <c r="O103" s="108" t="str">
        <f>IF(posicao_contratual!A102="","",posicao_contratual!W102)</f>
        <v/>
      </c>
      <c r="P103" s="107" t="str">
        <f>IF(A103="TOTAL",ROUND(SUM($P$3:P102),2),IF(OR(A103="",N103="",O103=""),"",ROUND(N103*O103,2)))</f>
        <v/>
      </c>
      <c r="Q103" s="181" t="str">
        <f t="shared" ca="1" si="24"/>
        <v/>
      </c>
      <c r="R103" t="str">
        <f>IF($A103="","",IF(MEMORIA_RESULTADOS!$W$46="","","C"&amp;MEMORIA_RESULTADOS!$W$46))</f>
        <v/>
      </c>
      <c r="S103" s="207" t="str">
        <f t="shared" ca="1" si="25"/>
        <v/>
      </c>
      <c r="T103" s="207" t="str">
        <f t="shared" ca="1" si="26"/>
        <v/>
      </c>
      <c r="U103" s="207" t="str">
        <f t="shared" ca="1" si="27"/>
        <v/>
      </c>
      <c r="V103" s="191" t="str">
        <f t="shared" ca="1" si="28"/>
        <v/>
      </c>
      <c r="W103" s="191" t="str">
        <f t="shared" ca="1" si="29"/>
        <v/>
      </c>
      <c r="X103" s="191" t="str">
        <f t="shared" ca="1" si="30"/>
        <v/>
      </c>
      <c r="Y103" t="str">
        <f t="shared" ca="1" si="31"/>
        <v/>
      </c>
      <c r="Z103" s="208" t="str">
        <f>IF($A103="","",IF(posicao_contratual!$AA102="","",posicao_contratual!$AA102))</f>
        <v/>
      </c>
      <c r="AA103" t="str">
        <f>IF($A103="","",IF(posicao_contratual!$AL102="","","C"&amp;posicao_contratual!$AL102))</f>
        <v/>
      </c>
      <c r="AB103" t="str">
        <f>IF($A103="","",IF(OR(MEMORIA_RESULTADOS!$W$46="",posicao_contratual!$AL102=""),"",IF(posicao_contratual!$AL102&lt;=MEMORIA_RESULTADOS!$W$46,"SIM","NAO APLICAVEL")))</f>
        <v/>
      </c>
      <c r="AC103" t="str">
        <f>IF($A103="","",IF(MEMORIA_RESULTADOS!$W$46="","",CHOOSE(MEMORIA_RESULTADOS!$W$46+1,posicao_contratual!$AG102,posicao_contratual!$AH102,posicao_contratual!$AI102,posicao_contratual!$AJ102,posicao_contratual!$AK102)))</f>
        <v/>
      </c>
    </row>
    <row r="104" spans="1:29" x14ac:dyDescent="0.35">
      <c r="A104" s="106" t="str">
        <f>IF(AND(itens_Remanesc!A103="",itens_Remanesc!A102&lt;&gt;"",COUNTIF(itens_Remanesc!A104:$A$200,"&lt;&gt;")=0),"TOTAL",IF(itens_Remanesc!A103="","",itens_Remanesc!A103))</f>
        <v/>
      </c>
      <c r="B104" s="107" t="str">
        <f>IF(OR(historico_VU!A103="",historico_VU!C103=""),"",historico_VU!C103)</f>
        <v/>
      </c>
      <c r="C104" s="108" t="str">
        <f>IF(posicao_contratual!A103="","",posicao_contratual!G103)</f>
        <v/>
      </c>
      <c r="D104" s="107" t="str">
        <f>IF(A104="TOTAL",ROUND(SUM($D$3:D103),2),IF(OR(A104="",B104="",C104=""),"",ROUND(B104*C104,2)))</f>
        <v/>
      </c>
      <c r="E104" s="109" t="str">
        <f>IF(OR(historico_VU!A103="",historico_VU!D103=""),"",historico_VU!D103)</f>
        <v/>
      </c>
      <c r="F104" s="110" t="str">
        <f>IF(posicao_contratual!A103="","",posicao_contratual!K103)</f>
        <v/>
      </c>
      <c r="G104" s="109" t="str">
        <f>IF(A104="TOTAL",ROUND(SUM($G$3:G103),2),IF(OR(A104="",E104="",F104=""),"",ROUND(E104*F104,2)))</f>
        <v/>
      </c>
      <c r="H104" s="107" t="str">
        <f>IF(OR(historico_VU!A103="",historico_VU!E103=""),"",historico_VU!E103)</f>
        <v/>
      </c>
      <c r="I104" s="108" t="str">
        <f>IF(posicao_contratual!A103="","",posicao_contratual!O103)</f>
        <v/>
      </c>
      <c r="J104" s="107" t="str">
        <f>IF(A104="TOTAL",ROUND(SUM($J$3:J103),2),IF(OR(A104="",H104="",I104=""),"",ROUND(H104*I104,2)))</f>
        <v/>
      </c>
      <c r="K104" s="109" t="str">
        <f>IF(OR(historico_VU!A103="",historico_VU!F103=""),"",historico_VU!F103)</f>
        <v/>
      </c>
      <c r="L104" s="110" t="str">
        <f>IF(posicao_contratual!A103="","",posicao_contratual!S103)</f>
        <v/>
      </c>
      <c r="M104" s="109" t="str">
        <f>IF(A104="TOTAL",ROUND(SUM($M$3:M103),2),IF(OR(A104="",K104="",L104=""),"",ROUND(K104*L104,2)))</f>
        <v/>
      </c>
      <c r="N104" s="107" t="str">
        <f>IF(OR(historico_VU!A103="",historico_VU!G103=""),"",historico_VU!G103)</f>
        <v/>
      </c>
      <c r="O104" s="108" t="str">
        <f>IF(posicao_contratual!A103="","",posicao_contratual!W103)</f>
        <v/>
      </c>
      <c r="P104" s="107" t="str">
        <f>IF(A104="TOTAL",ROUND(SUM($P$3:P103),2),IF(OR(A104="",N104="",O104=""),"",ROUND(N104*O104,2)))</f>
        <v/>
      </c>
      <c r="Q104" s="181" t="str">
        <f t="shared" ca="1" si="24"/>
        <v/>
      </c>
      <c r="R104" t="str">
        <f>IF($A104="","",IF(MEMORIA_RESULTADOS!$W$46="","","C"&amp;MEMORIA_RESULTADOS!$W$46))</f>
        <v/>
      </c>
      <c r="S104" s="207" t="str">
        <f t="shared" ca="1" si="25"/>
        <v/>
      </c>
      <c r="T104" s="207" t="str">
        <f t="shared" ca="1" si="26"/>
        <v/>
      </c>
      <c r="U104" s="207" t="str">
        <f t="shared" ca="1" si="27"/>
        <v/>
      </c>
      <c r="V104" s="191" t="str">
        <f t="shared" ca="1" si="28"/>
        <v/>
      </c>
      <c r="W104" s="191" t="str">
        <f t="shared" ca="1" si="29"/>
        <v/>
      </c>
      <c r="X104" s="191" t="str">
        <f t="shared" ca="1" si="30"/>
        <v/>
      </c>
      <c r="Y104" t="str">
        <f t="shared" ca="1" si="31"/>
        <v/>
      </c>
      <c r="Z104" s="208" t="str">
        <f>IF($A104="","",IF(posicao_contratual!$AA103="","",posicao_contratual!$AA103))</f>
        <v/>
      </c>
      <c r="AA104" t="str">
        <f>IF($A104="","",IF(posicao_contratual!$AL103="","","C"&amp;posicao_contratual!$AL103))</f>
        <v/>
      </c>
      <c r="AB104" t="str">
        <f>IF($A104="","",IF(OR(MEMORIA_RESULTADOS!$W$46="",posicao_contratual!$AL103=""),"",IF(posicao_contratual!$AL103&lt;=MEMORIA_RESULTADOS!$W$46,"SIM","NAO APLICAVEL")))</f>
        <v/>
      </c>
      <c r="AC104" t="str">
        <f>IF($A104="","",IF(MEMORIA_RESULTADOS!$W$46="","",CHOOSE(MEMORIA_RESULTADOS!$W$46+1,posicao_contratual!$AG103,posicao_contratual!$AH103,posicao_contratual!$AI103,posicao_contratual!$AJ103,posicao_contratual!$AK103)))</f>
        <v/>
      </c>
    </row>
    <row r="105" spans="1:29" x14ac:dyDescent="0.35">
      <c r="A105" s="106" t="str">
        <f>IF(AND(itens_Remanesc!A104="",itens_Remanesc!A103&lt;&gt;"",COUNTIF(itens_Remanesc!A105:$A$200,"&lt;&gt;")=0),"TOTAL",IF(itens_Remanesc!A104="","",itens_Remanesc!A104))</f>
        <v/>
      </c>
      <c r="B105" s="107" t="str">
        <f>IF(OR(historico_VU!A104="",historico_VU!C104=""),"",historico_VU!C104)</f>
        <v/>
      </c>
      <c r="C105" s="108" t="str">
        <f>IF(posicao_contratual!A104="","",posicao_contratual!G104)</f>
        <v/>
      </c>
      <c r="D105" s="107" t="str">
        <f>IF(A105="TOTAL",ROUND(SUM($D$3:D104),2),IF(OR(A105="",B105="",C105=""),"",ROUND(B105*C105,2)))</f>
        <v/>
      </c>
      <c r="E105" s="109" t="str">
        <f>IF(OR(historico_VU!A104="",historico_VU!D104=""),"",historico_VU!D104)</f>
        <v/>
      </c>
      <c r="F105" s="110" t="str">
        <f>IF(posicao_contratual!A104="","",posicao_contratual!K104)</f>
        <v/>
      </c>
      <c r="G105" s="109" t="str">
        <f>IF(A105="TOTAL",ROUND(SUM($G$3:G104),2),IF(OR(A105="",E105="",F105=""),"",ROUND(E105*F105,2)))</f>
        <v/>
      </c>
      <c r="H105" s="107" t="str">
        <f>IF(OR(historico_VU!A104="",historico_VU!E104=""),"",historico_VU!E104)</f>
        <v/>
      </c>
      <c r="I105" s="108" t="str">
        <f>IF(posicao_contratual!A104="","",posicao_contratual!O104)</f>
        <v/>
      </c>
      <c r="J105" s="107" t="str">
        <f>IF(A105="TOTAL",ROUND(SUM($J$3:J104),2),IF(OR(A105="",H105="",I105=""),"",ROUND(H105*I105,2)))</f>
        <v/>
      </c>
      <c r="K105" s="109" t="str">
        <f>IF(OR(historico_VU!A104="",historico_VU!F104=""),"",historico_VU!F104)</f>
        <v/>
      </c>
      <c r="L105" s="110" t="str">
        <f>IF(posicao_contratual!A104="","",posicao_contratual!S104)</f>
        <v/>
      </c>
      <c r="M105" s="109" t="str">
        <f>IF(A105="TOTAL",ROUND(SUM($M$3:M104),2),IF(OR(A105="",K105="",L105=""),"",ROUND(K105*L105,2)))</f>
        <v/>
      </c>
      <c r="N105" s="107" t="str">
        <f>IF(OR(historico_VU!A104="",historico_VU!G104=""),"",historico_VU!G104)</f>
        <v/>
      </c>
      <c r="O105" s="108" t="str">
        <f>IF(posicao_contratual!A104="","",posicao_contratual!W104)</f>
        <v/>
      </c>
      <c r="P105" s="107" t="str">
        <f>IF(A105="TOTAL",ROUND(SUM($P$3:P104),2),IF(OR(A105="",N105="",O105=""),"",ROUND(N105*O105,2)))</f>
        <v/>
      </c>
      <c r="Q105" s="181" t="str">
        <f t="shared" ca="1" si="24"/>
        <v/>
      </c>
      <c r="R105" t="str">
        <f>IF($A105="","",IF(MEMORIA_RESULTADOS!$W$46="","","C"&amp;MEMORIA_RESULTADOS!$W$46))</f>
        <v/>
      </c>
      <c r="S105" s="207" t="str">
        <f t="shared" ca="1" si="25"/>
        <v/>
      </c>
      <c r="T105" s="207" t="str">
        <f t="shared" ca="1" si="26"/>
        <v/>
      </c>
      <c r="U105" s="207" t="str">
        <f t="shared" ca="1" si="27"/>
        <v/>
      </c>
      <c r="V105" s="191" t="str">
        <f t="shared" ca="1" si="28"/>
        <v/>
      </c>
      <c r="W105" s="191" t="str">
        <f t="shared" ca="1" si="29"/>
        <v/>
      </c>
      <c r="X105" s="191" t="str">
        <f t="shared" ca="1" si="30"/>
        <v/>
      </c>
      <c r="Y105" t="str">
        <f t="shared" ca="1" si="31"/>
        <v/>
      </c>
      <c r="Z105" s="208" t="str">
        <f>IF($A105="","",IF(posicao_contratual!$AA104="","",posicao_contratual!$AA104))</f>
        <v/>
      </c>
      <c r="AA105" t="str">
        <f>IF($A105="","",IF(posicao_contratual!$AL104="","","C"&amp;posicao_contratual!$AL104))</f>
        <v/>
      </c>
      <c r="AB105" t="str">
        <f>IF($A105="","",IF(OR(MEMORIA_RESULTADOS!$W$46="",posicao_contratual!$AL104=""),"",IF(posicao_contratual!$AL104&lt;=MEMORIA_RESULTADOS!$W$46,"SIM","NAO APLICAVEL")))</f>
        <v/>
      </c>
      <c r="AC105" t="str">
        <f>IF($A105="","",IF(MEMORIA_RESULTADOS!$W$46="","",CHOOSE(MEMORIA_RESULTADOS!$W$46+1,posicao_contratual!$AG104,posicao_contratual!$AH104,posicao_contratual!$AI104,posicao_contratual!$AJ104,posicao_contratual!$AK104)))</f>
        <v/>
      </c>
    </row>
    <row r="106" spans="1:29" x14ac:dyDescent="0.35">
      <c r="A106" s="106" t="str">
        <f>IF(AND(itens_Remanesc!A105="",itens_Remanesc!A104&lt;&gt;"",COUNTIF(itens_Remanesc!A106:$A$200,"&lt;&gt;")=0),"TOTAL",IF(itens_Remanesc!A105="","",itens_Remanesc!A105))</f>
        <v/>
      </c>
      <c r="B106" s="107" t="str">
        <f>IF(OR(historico_VU!A105="",historico_VU!C105=""),"",historico_VU!C105)</f>
        <v/>
      </c>
      <c r="C106" s="108" t="str">
        <f>IF(posicao_contratual!A105="","",posicao_contratual!G105)</f>
        <v/>
      </c>
      <c r="D106" s="107" t="str">
        <f>IF(A106="TOTAL",ROUND(SUM($D$3:D105),2),IF(OR(A106="",B106="",C106=""),"",ROUND(B106*C106,2)))</f>
        <v/>
      </c>
      <c r="E106" s="109" t="str">
        <f>IF(OR(historico_VU!A105="",historico_VU!D105=""),"",historico_VU!D105)</f>
        <v/>
      </c>
      <c r="F106" s="110" t="str">
        <f>IF(posicao_contratual!A105="","",posicao_contratual!K105)</f>
        <v/>
      </c>
      <c r="G106" s="109" t="str">
        <f>IF(A106="TOTAL",ROUND(SUM($G$3:G105),2),IF(OR(A106="",E106="",F106=""),"",ROUND(E106*F106,2)))</f>
        <v/>
      </c>
      <c r="H106" s="107" t="str">
        <f>IF(OR(historico_VU!A105="",historico_VU!E105=""),"",historico_VU!E105)</f>
        <v/>
      </c>
      <c r="I106" s="108" t="str">
        <f>IF(posicao_contratual!A105="","",posicao_contratual!O105)</f>
        <v/>
      </c>
      <c r="J106" s="107" t="str">
        <f>IF(A106="TOTAL",ROUND(SUM($J$3:J105),2),IF(OR(A106="",H106="",I106=""),"",ROUND(H106*I106,2)))</f>
        <v/>
      </c>
      <c r="K106" s="109" t="str">
        <f>IF(OR(historico_VU!A105="",historico_VU!F105=""),"",historico_VU!F105)</f>
        <v/>
      </c>
      <c r="L106" s="110" t="str">
        <f>IF(posicao_contratual!A105="","",posicao_contratual!S105)</f>
        <v/>
      </c>
      <c r="M106" s="109" t="str">
        <f>IF(A106="TOTAL",ROUND(SUM($M$3:M105),2),IF(OR(A106="",K106="",L106=""),"",ROUND(K106*L106,2)))</f>
        <v/>
      </c>
      <c r="N106" s="107" t="str">
        <f>IF(OR(historico_VU!A105="",historico_VU!G105=""),"",historico_VU!G105)</f>
        <v/>
      </c>
      <c r="O106" s="108" t="str">
        <f>IF(posicao_contratual!A105="","",posicao_contratual!W105)</f>
        <v/>
      </c>
      <c r="P106" s="107" t="str">
        <f>IF(A106="TOTAL",ROUND(SUM($P$3:P105),2),IF(OR(A106="",N106="",O106=""),"",ROUND(N106*O106,2)))</f>
        <v/>
      </c>
      <c r="Q106" s="181" t="str">
        <f t="shared" ca="1" si="24"/>
        <v/>
      </c>
      <c r="R106" t="str">
        <f>IF($A106="","",IF(MEMORIA_RESULTADOS!$W$46="","","C"&amp;MEMORIA_RESULTADOS!$W$46))</f>
        <v/>
      </c>
      <c r="S106" s="207" t="str">
        <f t="shared" ca="1" si="25"/>
        <v/>
      </c>
      <c r="T106" s="207" t="str">
        <f t="shared" ca="1" si="26"/>
        <v/>
      </c>
      <c r="U106" s="207" t="str">
        <f t="shared" ca="1" si="27"/>
        <v/>
      </c>
      <c r="V106" s="191" t="str">
        <f t="shared" ca="1" si="28"/>
        <v/>
      </c>
      <c r="W106" s="191" t="str">
        <f t="shared" ca="1" si="29"/>
        <v/>
      </c>
      <c r="X106" s="191" t="str">
        <f t="shared" ca="1" si="30"/>
        <v/>
      </c>
      <c r="Y106" t="str">
        <f t="shared" ca="1" si="31"/>
        <v/>
      </c>
      <c r="Z106" s="208" t="str">
        <f>IF($A106="","",IF(posicao_contratual!$AA105="","",posicao_contratual!$AA105))</f>
        <v/>
      </c>
      <c r="AA106" t="str">
        <f>IF($A106="","",IF(posicao_contratual!$AL105="","","C"&amp;posicao_contratual!$AL105))</f>
        <v/>
      </c>
      <c r="AB106" t="str">
        <f>IF($A106="","",IF(OR(MEMORIA_RESULTADOS!$W$46="",posicao_contratual!$AL105=""),"",IF(posicao_contratual!$AL105&lt;=MEMORIA_RESULTADOS!$W$46,"SIM","NAO APLICAVEL")))</f>
        <v/>
      </c>
      <c r="AC106" t="str">
        <f>IF($A106="","",IF(MEMORIA_RESULTADOS!$W$46="","",CHOOSE(MEMORIA_RESULTADOS!$W$46+1,posicao_contratual!$AG105,posicao_contratual!$AH105,posicao_contratual!$AI105,posicao_contratual!$AJ105,posicao_contratual!$AK105)))</f>
        <v/>
      </c>
    </row>
    <row r="107" spans="1:29" x14ac:dyDescent="0.35">
      <c r="A107" s="106" t="str">
        <f>IF(AND(itens_Remanesc!A106="",itens_Remanesc!A105&lt;&gt;"",COUNTIF(itens_Remanesc!A107:$A$200,"&lt;&gt;")=0),"TOTAL",IF(itens_Remanesc!A106="","",itens_Remanesc!A106))</f>
        <v/>
      </c>
      <c r="B107" s="107" t="str">
        <f>IF(OR(historico_VU!A106="",historico_VU!C106=""),"",historico_VU!C106)</f>
        <v/>
      </c>
      <c r="C107" s="108" t="str">
        <f>IF(posicao_contratual!A106="","",posicao_contratual!G106)</f>
        <v/>
      </c>
      <c r="D107" s="107" t="str">
        <f>IF(A107="TOTAL",ROUND(SUM($D$3:D106),2),IF(OR(A107="",B107="",C107=""),"",ROUND(B107*C107,2)))</f>
        <v/>
      </c>
      <c r="E107" s="109" t="str">
        <f>IF(OR(historico_VU!A106="",historico_VU!D106=""),"",historico_VU!D106)</f>
        <v/>
      </c>
      <c r="F107" s="110" t="str">
        <f>IF(posicao_contratual!A106="","",posicao_contratual!K106)</f>
        <v/>
      </c>
      <c r="G107" s="109" t="str">
        <f>IF(A107="TOTAL",ROUND(SUM($G$3:G106),2),IF(OR(A107="",E107="",F107=""),"",ROUND(E107*F107,2)))</f>
        <v/>
      </c>
      <c r="H107" s="107" t="str">
        <f>IF(OR(historico_VU!A106="",historico_VU!E106=""),"",historico_VU!E106)</f>
        <v/>
      </c>
      <c r="I107" s="108" t="str">
        <f>IF(posicao_contratual!A106="","",posicao_contratual!O106)</f>
        <v/>
      </c>
      <c r="J107" s="107" t="str">
        <f>IF(A107="TOTAL",ROUND(SUM($J$3:J106),2),IF(OR(A107="",H107="",I107=""),"",ROUND(H107*I107,2)))</f>
        <v/>
      </c>
      <c r="K107" s="109" t="str">
        <f>IF(OR(historico_VU!A106="",historico_VU!F106=""),"",historico_VU!F106)</f>
        <v/>
      </c>
      <c r="L107" s="110" t="str">
        <f>IF(posicao_contratual!A106="","",posicao_contratual!S106)</f>
        <v/>
      </c>
      <c r="M107" s="109" t="str">
        <f>IF(A107="TOTAL",ROUND(SUM($M$3:M106),2),IF(OR(A107="",K107="",L107=""),"",ROUND(K107*L107,2)))</f>
        <v/>
      </c>
      <c r="N107" s="107" t="str">
        <f>IF(OR(historico_VU!A106="",historico_VU!G106=""),"",historico_VU!G106)</f>
        <v/>
      </c>
      <c r="O107" s="108" t="str">
        <f>IF(posicao_contratual!A106="","",posicao_contratual!W106)</f>
        <v/>
      </c>
      <c r="P107" s="107" t="str">
        <f>IF(A107="TOTAL",ROUND(SUM($P$3:P106),2),IF(OR(A107="",N107="",O107=""),"",ROUND(N107*O107,2)))</f>
        <v/>
      </c>
      <c r="Q107" s="181" t="str">
        <f t="shared" ca="1" si="24"/>
        <v/>
      </c>
      <c r="R107" t="str">
        <f>IF($A107="","",IF(MEMORIA_RESULTADOS!$W$46="","","C"&amp;MEMORIA_RESULTADOS!$W$46))</f>
        <v/>
      </c>
      <c r="S107" s="207" t="str">
        <f t="shared" ca="1" si="25"/>
        <v/>
      </c>
      <c r="T107" s="207" t="str">
        <f t="shared" ca="1" si="26"/>
        <v/>
      </c>
      <c r="U107" s="207" t="str">
        <f t="shared" ca="1" si="27"/>
        <v/>
      </c>
      <c r="V107" s="191" t="str">
        <f t="shared" ca="1" si="28"/>
        <v/>
      </c>
      <c r="W107" s="191" t="str">
        <f t="shared" ca="1" si="29"/>
        <v/>
      </c>
      <c r="X107" s="191" t="str">
        <f t="shared" ca="1" si="30"/>
        <v/>
      </c>
      <c r="Y107" t="str">
        <f t="shared" ca="1" si="31"/>
        <v/>
      </c>
      <c r="Z107" s="208" t="str">
        <f>IF($A107="","",IF(posicao_contratual!$AA106="","",posicao_contratual!$AA106))</f>
        <v/>
      </c>
      <c r="AA107" t="str">
        <f>IF($A107="","",IF(posicao_contratual!$AL106="","","C"&amp;posicao_contratual!$AL106))</f>
        <v/>
      </c>
      <c r="AB107" t="str">
        <f>IF($A107="","",IF(OR(MEMORIA_RESULTADOS!$W$46="",posicao_contratual!$AL106=""),"",IF(posicao_contratual!$AL106&lt;=MEMORIA_RESULTADOS!$W$46,"SIM","NAO APLICAVEL")))</f>
        <v/>
      </c>
      <c r="AC107" t="str">
        <f>IF($A107="","",IF(MEMORIA_RESULTADOS!$W$46="","",CHOOSE(MEMORIA_RESULTADOS!$W$46+1,posicao_contratual!$AG106,posicao_contratual!$AH106,posicao_contratual!$AI106,posicao_contratual!$AJ106,posicao_contratual!$AK106)))</f>
        <v/>
      </c>
    </row>
    <row r="108" spans="1:29" x14ac:dyDescent="0.35">
      <c r="A108" s="106" t="str">
        <f>IF(AND(itens_Remanesc!A107="",itens_Remanesc!A106&lt;&gt;"",COUNTIF(itens_Remanesc!A108:$A$200,"&lt;&gt;")=0),"TOTAL",IF(itens_Remanesc!A107="","",itens_Remanesc!A107))</f>
        <v/>
      </c>
      <c r="B108" s="107" t="str">
        <f>IF(OR(historico_VU!A107="",historico_VU!C107=""),"",historico_VU!C107)</f>
        <v/>
      </c>
      <c r="C108" s="108" t="str">
        <f>IF(posicao_contratual!A107="","",posicao_contratual!G107)</f>
        <v/>
      </c>
      <c r="D108" s="107" t="str">
        <f>IF(A108="TOTAL",ROUND(SUM($D$3:D107),2),IF(OR(A108="",B108="",C108=""),"",ROUND(B108*C108,2)))</f>
        <v/>
      </c>
      <c r="E108" s="109" t="str">
        <f>IF(OR(historico_VU!A107="",historico_VU!D107=""),"",historico_VU!D107)</f>
        <v/>
      </c>
      <c r="F108" s="110" t="str">
        <f>IF(posicao_contratual!A107="","",posicao_contratual!K107)</f>
        <v/>
      </c>
      <c r="G108" s="109" t="str">
        <f>IF(A108="TOTAL",ROUND(SUM($G$3:G107),2),IF(OR(A108="",E108="",F108=""),"",ROUND(E108*F108,2)))</f>
        <v/>
      </c>
      <c r="H108" s="107" t="str">
        <f>IF(OR(historico_VU!A107="",historico_VU!E107=""),"",historico_VU!E107)</f>
        <v/>
      </c>
      <c r="I108" s="108" t="str">
        <f>IF(posicao_contratual!A107="","",posicao_contratual!O107)</f>
        <v/>
      </c>
      <c r="J108" s="107" t="str">
        <f>IF(A108="TOTAL",ROUND(SUM($J$3:J107),2),IF(OR(A108="",H108="",I108=""),"",ROUND(H108*I108,2)))</f>
        <v/>
      </c>
      <c r="K108" s="109" t="str">
        <f>IF(OR(historico_VU!A107="",historico_VU!F107=""),"",historico_VU!F107)</f>
        <v/>
      </c>
      <c r="L108" s="110" t="str">
        <f>IF(posicao_contratual!A107="","",posicao_contratual!S107)</f>
        <v/>
      </c>
      <c r="M108" s="109" t="str">
        <f>IF(A108="TOTAL",ROUND(SUM($M$3:M107),2),IF(OR(A108="",K108="",L108=""),"",ROUND(K108*L108,2)))</f>
        <v/>
      </c>
      <c r="N108" s="107" t="str">
        <f>IF(OR(historico_VU!A107="",historico_VU!G107=""),"",historico_VU!G107)</f>
        <v/>
      </c>
      <c r="O108" s="108" t="str">
        <f>IF(posicao_contratual!A107="","",posicao_contratual!W107)</f>
        <v/>
      </c>
      <c r="P108" s="107" t="str">
        <f>IF(A108="TOTAL",ROUND(SUM($P$3:P107),2),IF(OR(A108="",N108="",O108=""),"",ROUND(N108*O108,2)))</f>
        <v/>
      </c>
      <c r="Q108" s="181" t="str">
        <f t="shared" ca="1" si="24"/>
        <v/>
      </c>
      <c r="R108" t="str">
        <f>IF($A108="","",IF(MEMORIA_RESULTADOS!$W$46="","","C"&amp;MEMORIA_RESULTADOS!$W$46))</f>
        <v/>
      </c>
      <c r="S108" s="207" t="str">
        <f t="shared" ca="1" si="25"/>
        <v/>
      </c>
      <c r="T108" s="207" t="str">
        <f t="shared" ca="1" si="26"/>
        <v/>
      </c>
      <c r="U108" s="207" t="str">
        <f t="shared" ca="1" si="27"/>
        <v/>
      </c>
      <c r="V108" s="191" t="str">
        <f t="shared" ca="1" si="28"/>
        <v/>
      </c>
      <c r="W108" s="191" t="str">
        <f t="shared" ca="1" si="29"/>
        <v/>
      </c>
      <c r="X108" s="191" t="str">
        <f t="shared" ca="1" si="30"/>
        <v/>
      </c>
      <c r="Y108" t="str">
        <f t="shared" ca="1" si="31"/>
        <v/>
      </c>
      <c r="Z108" s="208" t="str">
        <f>IF($A108="","",IF(posicao_contratual!$AA107="","",posicao_contratual!$AA107))</f>
        <v/>
      </c>
      <c r="AA108" t="str">
        <f>IF($A108="","",IF(posicao_contratual!$AL107="","","C"&amp;posicao_contratual!$AL107))</f>
        <v/>
      </c>
      <c r="AB108" t="str">
        <f>IF($A108="","",IF(OR(MEMORIA_RESULTADOS!$W$46="",posicao_contratual!$AL107=""),"",IF(posicao_contratual!$AL107&lt;=MEMORIA_RESULTADOS!$W$46,"SIM","NAO APLICAVEL")))</f>
        <v/>
      </c>
      <c r="AC108" t="str">
        <f>IF($A108="","",IF(MEMORIA_RESULTADOS!$W$46="","",CHOOSE(MEMORIA_RESULTADOS!$W$46+1,posicao_contratual!$AG107,posicao_contratual!$AH107,posicao_contratual!$AI107,posicao_contratual!$AJ107,posicao_contratual!$AK107)))</f>
        <v/>
      </c>
    </row>
    <row r="109" spans="1:29" x14ac:dyDescent="0.35">
      <c r="A109" s="106" t="str">
        <f>IF(AND(itens_Remanesc!A108="",itens_Remanesc!A107&lt;&gt;"",COUNTIF(itens_Remanesc!A109:$A$200,"&lt;&gt;")=0),"TOTAL",IF(itens_Remanesc!A108="","",itens_Remanesc!A108))</f>
        <v/>
      </c>
      <c r="B109" s="107" t="str">
        <f>IF(OR(historico_VU!A108="",historico_VU!C108=""),"",historico_VU!C108)</f>
        <v/>
      </c>
      <c r="C109" s="108" t="str">
        <f>IF(posicao_contratual!A108="","",posicao_contratual!G108)</f>
        <v/>
      </c>
      <c r="D109" s="107" t="str">
        <f>IF(A109="TOTAL",ROUND(SUM($D$3:D108),2),IF(OR(A109="",B109="",C109=""),"",ROUND(B109*C109,2)))</f>
        <v/>
      </c>
      <c r="E109" s="109" t="str">
        <f>IF(OR(historico_VU!A108="",historico_VU!D108=""),"",historico_VU!D108)</f>
        <v/>
      </c>
      <c r="F109" s="110" t="str">
        <f>IF(posicao_contratual!A108="","",posicao_contratual!K108)</f>
        <v/>
      </c>
      <c r="G109" s="109" t="str">
        <f>IF(A109="TOTAL",ROUND(SUM($G$3:G108),2),IF(OR(A109="",E109="",F109=""),"",ROUND(E109*F109,2)))</f>
        <v/>
      </c>
      <c r="H109" s="107" t="str">
        <f>IF(OR(historico_VU!A108="",historico_VU!E108=""),"",historico_VU!E108)</f>
        <v/>
      </c>
      <c r="I109" s="108" t="str">
        <f>IF(posicao_contratual!A108="","",posicao_contratual!O108)</f>
        <v/>
      </c>
      <c r="J109" s="107" t="str">
        <f>IF(A109="TOTAL",ROUND(SUM($J$3:J108),2),IF(OR(A109="",H109="",I109=""),"",ROUND(H109*I109,2)))</f>
        <v/>
      </c>
      <c r="K109" s="109" t="str">
        <f>IF(OR(historico_VU!A108="",historico_VU!F108=""),"",historico_VU!F108)</f>
        <v/>
      </c>
      <c r="L109" s="110" t="str">
        <f>IF(posicao_contratual!A108="","",posicao_contratual!S108)</f>
        <v/>
      </c>
      <c r="M109" s="109" t="str">
        <f>IF(A109="TOTAL",ROUND(SUM($M$3:M108),2),IF(OR(A109="",K109="",L109=""),"",ROUND(K109*L109,2)))</f>
        <v/>
      </c>
      <c r="N109" s="107" t="str">
        <f>IF(OR(historico_VU!A108="",historico_VU!G108=""),"",historico_VU!G108)</f>
        <v/>
      </c>
      <c r="O109" s="108" t="str">
        <f>IF(posicao_contratual!A108="","",posicao_contratual!W108)</f>
        <v/>
      </c>
      <c r="P109" s="107" t="str">
        <f>IF(A109="TOTAL",ROUND(SUM($P$3:P108),2),IF(OR(A109="",N109="",O109=""),"",ROUND(N109*O109,2)))</f>
        <v/>
      </c>
      <c r="Q109" s="181" t="str">
        <f t="shared" ca="1" si="24"/>
        <v/>
      </c>
      <c r="R109" t="str">
        <f>IF($A109="","",IF(MEMORIA_RESULTADOS!$W$46="","","C"&amp;MEMORIA_RESULTADOS!$W$46))</f>
        <v/>
      </c>
      <c r="S109" s="207" t="str">
        <f t="shared" ca="1" si="25"/>
        <v/>
      </c>
      <c r="T109" s="207" t="str">
        <f t="shared" ca="1" si="26"/>
        <v/>
      </c>
      <c r="U109" s="207" t="str">
        <f t="shared" ca="1" si="27"/>
        <v/>
      </c>
      <c r="V109" s="191" t="str">
        <f t="shared" ca="1" si="28"/>
        <v/>
      </c>
      <c r="W109" s="191" t="str">
        <f t="shared" ca="1" si="29"/>
        <v/>
      </c>
      <c r="X109" s="191" t="str">
        <f t="shared" ca="1" si="30"/>
        <v/>
      </c>
      <c r="Y109" t="str">
        <f t="shared" ca="1" si="31"/>
        <v/>
      </c>
      <c r="Z109" s="208" t="str">
        <f>IF($A109="","",IF(posicao_contratual!$AA108="","",posicao_contratual!$AA108))</f>
        <v/>
      </c>
      <c r="AA109" t="str">
        <f>IF($A109="","",IF(posicao_contratual!$AL108="","","C"&amp;posicao_contratual!$AL108))</f>
        <v/>
      </c>
      <c r="AB109" t="str">
        <f>IF($A109="","",IF(OR(MEMORIA_RESULTADOS!$W$46="",posicao_contratual!$AL108=""),"",IF(posicao_contratual!$AL108&lt;=MEMORIA_RESULTADOS!$W$46,"SIM","NAO APLICAVEL")))</f>
        <v/>
      </c>
      <c r="AC109" t="str">
        <f>IF($A109="","",IF(MEMORIA_RESULTADOS!$W$46="","",CHOOSE(MEMORIA_RESULTADOS!$W$46+1,posicao_contratual!$AG108,posicao_contratual!$AH108,posicao_contratual!$AI108,posicao_contratual!$AJ108,posicao_contratual!$AK108)))</f>
        <v/>
      </c>
    </row>
    <row r="110" spans="1:29" x14ac:dyDescent="0.35">
      <c r="A110" s="106" t="str">
        <f>IF(AND(itens_Remanesc!A109="",itens_Remanesc!A108&lt;&gt;"",COUNTIF(itens_Remanesc!A110:$A$200,"&lt;&gt;")=0),"TOTAL",IF(itens_Remanesc!A109="","",itens_Remanesc!A109))</f>
        <v/>
      </c>
      <c r="B110" s="107" t="str">
        <f>IF(OR(historico_VU!A109="",historico_VU!C109=""),"",historico_VU!C109)</f>
        <v/>
      </c>
      <c r="C110" s="108" t="str">
        <f>IF(posicao_contratual!A109="","",posicao_contratual!G109)</f>
        <v/>
      </c>
      <c r="D110" s="107" t="str">
        <f>IF(A110="TOTAL",ROUND(SUM($D$3:D109),2),IF(OR(A110="",B110="",C110=""),"",ROUND(B110*C110,2)))</f>
        <v/>
      </c>
      <c r="E110" s="109" t="str">
        <f>IF(OR(historico_VU!A109="",historico_VU!D109=""),"",historico_VU!D109)</f>
        <v/>
      </c>
      <c r="F110" s="110" t="str">
        <f>IF(posicao_contratual!A109="","",posicao_contratual!K109)</f>
        <v/>
      </c>
      <c r="G110" s="109" t="str">
        <f>IF(A110="TOTAL",ROUND(SUM($G$3:G109),2),IF(OR(A110="",E110="",F110=""),"",ROUND(E110*F110,2)))</f>
        <v/>
      </c>
      <c r="H110" s="107" t="str">
        <f>IF(OR(historico_VU!A109="",historico_VU!E109=""),"",historico_VU!E109)</f>
        <v/>
      </c>
      <c r="I110" s="108" t="str">
        <f>IF(posicao_contratual!A109="","",posicao_contratual!O109)</f>
        <v/>
      </c>
      <c r="J110" s="107" t="str">
        <f>IF(A110="TOTAL",ROUND(SUM($J$3:J109),2),IF(OR(A110="",H110="",I110=""),"",ROUND(H110*I110,2)))</f>
        <v/>
      </c>
      <c r="K110" s="109" t="str">
        <f>IF(OR(historico_VU!A109="",historico_VU!F109=""),"",historico_VU!F109)</f>
        <v/>
      </c>
      <c r="L110" s="110" t="str">
        <f>IF(posicao_contratual!A109="","",posicao_contratual!S109)</f>
        <v/>
      </c>
      <c r="M110" s="109" t="str">
        <f>IF(A110="TOTAL",ROUND(SUM($M$3:M109),2),IF(OR(A110="",K110="",L110=""),"",ROUND(K110*L110,2)))</f>
        <v/>
      </c>
      <c r="N110" s="107" t="str">
        <f>IF(OR(historico_VU!A109="",historico_VU!G109=""),"",historico_VU!G109)</f>
        <v/>
      </c>
      <c r="O110" s="108" t="str">
        <f>IF(posicao_contratual!A109="","",posicao_contratual!W109)</f>
        <v/>
      </c>
      <c r="P110" s="107" t="str">
        <f>IF(A110="TOTAL",ROUND(SUM($P$3:P109),2),IF(OR(A110="",N110="",O110=""),"",ROUND(N110*O110,2)))</f>
        <v/>
      </c>
      <c r="Q110" s="181" t="str">
        <f t="shared" ca="1" si="24"/>
        <v/>
      </c>
      <c r="R110" t="str">
        <f>IF($A110="","",IF(MEMORIA_RESULTADOS!$W$46="","","C"&amp;MEMORIA_RESULTADOS!$W$46))</f>
        <v/>
      </c>
      <c r="S110" s="207" t="str">
        <f t="shared" ca="1" si="25"/>
        <v/>
      </c>
      <c r="T110" s="207" t="str">
        <f t="shared" ca="1" si="26"/>
        <v/>
      </c>
      <c r="U110" s="207" t="str">
        <f t="shared" ca="1" si="27"/>
        <v/>
      </c>
      <c r="V110" s="191" t="str">
        <f t="shared" ca="1" si="28"/>
        <v/>
      </c>
      <c r="W110" s="191" t="str">
        <f t="shared" ca="1" si="29"/>
        <v/>
      </c>
      <c r="X110" s="191" t="str">
        <f t="shared" ca="1" si="30"/>
        <v/>
      </c>
      <c r="Y110" t="str">
        <f t="shared" ca="1" si="31"/>
        <v/>
      </c>
      <c r="Z110" s="208" t="str">
        <f>IF($A110="","",IF(posicao_contratual!$AA109="","",posicao_contratual!$AA109))</f>
        <v/>
      </c>
      <c r="AA110" t="str">
        <f>IF($A110="","",IF(posicao_contratual!$AL109="","","C"&amp;posicao_contratual!$AL109))</f>
        <v/>
      </c>
      <c r="AB110" t="str">
        <f>IF($A110="","",IF(OR(MEMORIA_RESULTADOS!$W$46="",posicao_contratual!$AL109=""),"",IF(posicao_contratual!$AL109&lt;=MEMORIA_RESULTADOS!$W$46,"SIM","NAO APLICAVEL")))</f>
        <v/>
      </c>
      <c r="AC110" t="str">
        <f>IF($A110="","",IF(MEMORIA_RESULTADOS!$W$46="","",CHOOSE(MEMORIA_RESULTADOS!$W$46+1,posicao_contratual!$AG109,posicao_contratual!$AH109,posicao_contratual!$AI109,posicao_contratual!$AJ109,posicao_contratual!$AK109)))</f>
        <v/>
      </c>
    </row>
    <row r="111" spans="1:29" x14ac:dyDescent="0.35">
      <c r="A111" s="106" t="str">
        <f>IF(AND(itens_Remanesc!A110="",itens_Remanesc!A109&lt;&gt;"",COUNTIF(itens_Remanesc!A111:$A$200,"&lt;&gt;")=0),"TOTAL",IF(itens_Remanesc!A110="","",itens_Remanesc!A110))</f>
        <v/>
      </c>
      <c r="B111" s="107" t="str">
        <f>IF(OR(historico_VU!A110="",historico_VU!C110=""),"",historico_VU!C110)</f>
        <v/>
      </c>
      <c r="C111" s="108" t="str">
        <f>IF(posicao_contratual!A110="","",posicao_contratual!G110)</f>
        <v/>
      </c>
      <c r="D111" s="107" t="str">
        <f>IF(A111="TOTAL",ROUND(SUM($D$3:D110),2),IF(OR(A111="",B111="",C111=""),"",ROUND(B111*C111,2)))</f>
        <v/>
      </c>
      <c r="E111" s="109" t="str">
        <f>IF(OR(historico_VU!A110="",historico_VU!D110=""),"",historico_VU!D110)</f>
        <v/>
      </c>
      <c r="F111" s="110" t="str">
        <f>IF(posicao_contratual!A110="","",posicao_contratual!K110)</f>
        <v/>
      </c>
      <c r="G111" s="109" t="str">
        <f>IF(A111="TOTAL",ROUND(SUM($G$3:G110),2),IF(OR(A111="",E111="",F111=""),"",ROUND(E111*F111,2)))</f>
        <v/>
      </c>
      <c r="H111" s="107" t="str">
        <f>IF(OR(historico_VU!A110="",historico_VU!E110=""),"",historico_VU!E110)</f>
        <v/>
      </c>
      <c r="I111" s="108" t="str">
        <f>IF(posicao_contratual!A110="","",posicao_contratual!O110)</f>
        <v/>
      </c>
      <c r="J111" s="107" t="str">
        <f>IF(A111="TOTAL",ROUND(SUM($J$3:J110),2),IF(OR(A111="",H111="",I111=""),"",ROUND(H111*I111,2)))</f>
        <v/>
      </c>
      <c r="K111" s="109" t="str">
        <f>IF(OR(historico_VU!A110="",historico_VU!F110=""),"",historico_VU!F110)</f>
        <v/>
      </c>
      <c r="L111" s="110" t="str">
        <f>IF(posicao_contratual!A110="","",posicao_contratual!S110)</f>
        <v/>
      </c>
      <c r="M111" s="109" t="str">
        <f>IF(A111="TOTAL",ROUND(SUM($M$3:M110),2),IF(OR(A111="",K111="",L111=""),"",ROUND(K111*L111,2)))</f>
        <v/>
      </c>
      <c r="N111" s="107" t="str">
        <f>IF(OR(historico_VU!A110="",historico_VU!G110=""),"",historico_VU!G110)</f>
        <v/>
      </c>
      <c r="O111" s="108" t="str">
        <f>IF(posicao_contratual!A110="","",posicao_contratual!W110)</f>
        <v/>
      </c>
      <c r="P111" s="107" t="str">
        <f>IF(A111="TOTAL",ROUND(SUM($P$3:P110),2),IF(OR(A111="",N111="",O111=""),"",ROUND(N111*O111,2)))</f>
        <v/>
      </c>
      <c r="Q111" s="181" t="str">
        <f t="shared" ca="1" si="24"/>
        <v/>
      </c>
      <c r="R111" t="str">
        <f>IF($A111="","",IF(MEMORIA_RESULTADOS!$W$46="","","C"&amp;MEMORIA_RESULTADOS!$W$46))</f>
        <v/>
      </c>
      <c r="S111" s="207" t="str">
        <f t="shared" ca="1" si="25"/>
        <v/>
      </c>
      <c r="T111" s="207" t="str">
        <f t="shared" ca="1" si="26"/>
        <v/>
      </c>
      <c r="U111" s="207" t="str">
        <f t="shared" ca="1" si="27"/>
        <v/>
      </c>
      <c r="V111" s="191" t="str">
        <f t="shared" ca="1" si="28"/>
        <v/>
      </c>
      <c r="W111" s="191" t="str">
        <f t="shared" ca="1" si="29"/>
        <v/>
      </c>
      <c r="X111" s="191" t="str">
        <f t="shared" ca="1" si="30"/>
        <v/>
      </c>
      <c r="Y111" t="str">
        <f t="shared" ca="1" si="31"/>
        <v/>
      </c>
      <c r="Z111" s="208" t="str">
        <f>IF($A111="","",IF(posicao_contratual!$AA110="","",posicao_contratual!$AA110))</f>
        <v/>
      </c>
      <c r="AA111" t="str">
        <f>IF($A111="","",IF(posicao_contratual!$AL110="","","C"&amp;posicao_contratual!$AL110))</f>
        <v/>
      </c>
      <c r="AB111" t="str">
        <f>IF($A111="","",IF(OR(MEMORIA_RESULTADOS!$W$46="",posicao_contratual!$AL110=""),"",IF(posicao_contratual!$AL110&lt;=MEMORIA_RESULTADOS!$W$46,"SIM","NAO APLICAVEL")))</f>
        <v/>
      </c>
      <c r="AC111" t="str">
        <f>IF($A111="","",IF(MEMORIA_RESULTADOS!$W$46="","",CHOOSE(MEMORIA_RESULTADOS!$W$46+1,posicao_contratual!$AG110,posicao_contratual!$AH110,posicao_contratual!$AI110,posicao_contratual!$AJ110,posicao_contratual!$AK110)))</f>
        <v/>
      </c>
    </row>
    <row r="112" spans="1:29" x14ac:dyDescent="0.35">
      <c r="A112" s="106" t="str">
        <f>IF(AND(itens_Remanesc!A111="",itens_Remanesc!A110&lt;&gt;"",COUNTIF(itens_Remanesc!A112:$A$200,"&lt;&gt;")=0),"TOTAL",IF(itens_Remanesc!A111="","",itens_Remanesc!A111))</f>
        <v/>
      </c>
      <c r="B112" s="107" t="str">
        <f>IF(OR(historico_VU!A111="",historico_VU!C111=""),"",historico_VU!C111)</f>
        <v/>
      </c>
      <c r="C112" s="108" t="str">
        <f>IF(posicao_contratual!A111="","",posicao_contratual!G111)</f>
        <v/>
      </c>
      <c r="D112" s="107" t="str">
        <f>IF(A112="TOTAL",ROUND(SUM($D$3:D111),2),IF(OR(A112="",B112="",C112=""),"",ROUND(B112*C112,2)))</f>
        <v/>
      </c>
      <c r="E112" s="109" t="str">
        <f>IF(OR(historico_VU!A111="",historico_VU!D111=""),"",historico_VU!D111)</f>
        <v/>
      </c>
      <c r="F112" s="110" t="str">
        <f>IF(posicao_contratual!A111="","",posicao_contratual!K111)</f>
        <v/>
      </c>
      <c r="G112" s="109" t="str">
        <f>IF(A112="TOTAL",ROUND(SUM($G$3:G111),2),IF(OR(A112="",E112="",F112=""),"",ROUND(E112*F112,2)))</f>
        <v/>
      </c>
      <c r="H112" s="107" t="str">
        <f>IF(OR(historico_VU!A111="",historico_VU!E111=""),"",historico_VU!E111)</f>
        <v/>
      </c>
      <c r="I112" s="108" t="str">
        <f>IF(posicao_contratual!A111="","",posicao_contratual!O111)</f>
        <v/>
      </c>
      <c r="J112" s="107" t="str">
        <f>IF(A112="TOTAL",ROUND(SUM($J$3:J111),2),IF(OR(A112="",H112="",I112=""),"",ROUND(H112*I112,2)))</f>
        <v/>
      </c>
      <c r="K112" s="109" t="str">
        <f>IF(OR(historico_VU!A111="",historico_VU!F111=""),"",historico_VU!F111)</f>
        <v/>
      </c>
      <c r="L112" s="110" t="str">
        <f>IF(posicao_contratual!A111="","",posicao_contratual!S111)</f>
        <v/>
      </c>
      <c r="M112" s="109" t="str">
        <f>IF(A112="TOTAL",ROUND(SUM($M$3:M111),2),IF(OR(A112="",K112="",L112=""),"",ROUND(K112*L112,2)))</f>
        <v/>
      </c>
      <c r="N112" s="107" t="str">
        <f>IF(OR(historico_VU!A111="",historico_VU!G111=""),"",historico_VU!G111)</f>
        <v/>
      </c>
      <c r="O112" s="108" t="str">
        <f>IF(posicao_contratual!A111="","",posicao_contratual!W111)</f>
        <v/>
      </c>
      <c r="P112" s="107" t="str">
        <f>IF(A112="TOTAL",ROUND(SUM($P$3:P111),2),IF(OR(A112="",N112="",O112=""),"",ROUND(N112*O112,2)))</f>
        <v/>
      </c>
      <c r="Q112" s="181" t="str">
        <f t="shared" ca="1" si="24"/>
        <v/>
      </c>
      <c r="R112" t="str">
        <f>IF($A112="","",IF(MEMORIA_RESULTADOS!$W$46="","","C"&amp;MEMORIA_RESULTADOS!$W$46))</f>
        <v/>
      </c>
      <c r="S112" s="207" t="str">
        <f t="shared" ca="1" si="25"/>
        <v/>
      </c>
      <c r="T112" s="207" t="str">
        <f t="shared" ca="1" si="26"/>
        <v/>
      </c>
      <c r="U112" s="207" t="str">
        <f t="shared" ca="1" si="27"/>
        <v/>
      </c>
      <c r="V112" s="191" t="str">
        <f t="shared" ca="1" si="28"/>
        <v/>
      </c>
      <c r="W112" s="191" t="str">
        <f t="shared" ca="1" si="29"/>
        <v/>
      </c>
      <c r="X112" s="191" t="str">
        <f t="shared" ca="1" si="30"/>
        <v/>
      </c>
      <c r="Y112" t="str">
        <f t="shared" ca="1" si="31"/>
        <v/>
      </c>
      <c r="Z112" s="208" t="str">
        <f>IF($A112="","",IF(posicao_contratual!$AA111="","",posicao_contratual!$AA111))</f>
        <v/>
      </c>
      <c r="AA112" t="str">
        <f>IF($A112="","",IF(posicao_contratual!$AL111="","","C"&amp;posicao_contratual!$AL111))</f>
        <v/>
      </c>
      <c r="AB112" t="str">
        <f>IF($A112="","",IF(OR(MEMORIA_RESULTADOS!$W$46="",posicao_contratual!$AL111=""),"",IF(posicao_contratual!$AL111&lt;=MEMORIA_RESULTADOS!$W$46,"SIM","NAO APLICAVEL")))</f>
        <v/>
      </c>
      <c r="AC112" t="str">
        <f>IF($A112="","",IF(MEMORIA_RESULTADOS!$W$46="","",CHOOSE(MEMORIA_RESULTADOS!$W$46+1,posicao_contratual!$AG111,posicao_contratual!$AH111,posicao_contratual!$AI111,posicao_contratual!$AJ111,posicao_contratual!$AK111)))</f>
        <v/>
      </c>
    </row>
    <row r="113" spans="1:29" x14ac:dyDescent="0.35">
      <c r="A113" s="106" t="str">
        <f>IF(AND(itens_Remanesc!A112="",itens_Remanesc!A111&lt;&gt;"",COUNTIF(itens_Remanesc!A113:$A$200,"&lt;&gt;")=0),"TOTAL",IF(itens_Remanesc!A112="","",itens_Remanesc!A112))</f>
        <v/>
      </c>
      <c r="B113" s="107" t="str">
        <f>IF(OR(historico_VU!A112="",historico_VU!C112=""),"",historico_VU!C112)</f>
        <v/>
      </c>
      <c r="C113" s="108" t="str">
        <f>IF(posicao_contratual!A112="","",posicao_contratual!G112)</f>
        <v/>
      </c>
      <c r="D113" s="107" t="str">
        <f>IF(A113="TOTAL",ROUND(SUM($D$3:D112),2),IF(OR(A113="",B113="",C113=""),"",ROUND(B113*C113,2)))</f>
        <v/>
      </c>
      <c r="E113" s="109" t="str">
        <f>IF(OR(historico_VU!A112="",historico_VU!D112=""),"",historico_VU!D112)</f>
        <v/>
      </c>
      <c r="F113" s="110" t="str">
        <f>IF(posicao_contratual!A112="","",posicao_contratual!K112)</f>
        <v/>
      </c>
      <c r="G113" s="109" t="str">
        <f>IF(A113="TOTAL",ROUND(SUM($G$3:G112),2),IF(OR(A113="",E113="",F113=""),"",ROUND(E113*F113,2)))</f>
        <v/>
      </c>
      <c r="H113" s="107" t="str">
        <f>IF(OR(historico_VU!A112="",historico_VU!E112=""),"",historico_VU!E112)</f>
        <v/>
      </c>
      <c r="I113" s="108" t="str">
        <f>IF(posicao_contratual!A112="","",posicao_contratual!O112)</f>
        <v/>
      </c>
      <c r="J113" s="107" t="str">
        <f>IF(A113="TOTAL",ROUND(SUM($J$3:J112),2),IF(OR(A113="",H113="",I113=""),"",ROUND(H113*I113,2)))</f>
        <v/>
      </c>
      <c r="K113" s="109" t="str">
        <f>IF(OR(historico_VU!A112="",historico_VU!F112=""),"",historico_VU!F112)</f>
        <v/>
      </c>
      <c r="L113" s="110" t="str">
        <f>IF(posicao_contratual!A112="","",posicao_contratual!S112)</f>
        <v/>
      </c>
      <c r="M113" s="109" t="str">
        <f>IF(A113="TOTAL",ROUND(SUM($M$3:M112),2),IF(OR(A113="",K113="",L113=""),"",ROUND(K113*L113,2)))</f>
        <v/>
      </c>
      <c r="N113" s="107" t="str">
        <f>IF(OR(historico_VU!A112="",historico_VU!G112=""),"",historico_VU!G112)</f>
        <v/>
      </c>
      <c r="O113" s="108" t="str">
        <f>IF(posicao_contratual!A112="","",posicao_contratual!W112)</f>
        <v/>
      </c>
      <c r="P113" s="107" t="str">
        <f>IF(A113="TOTAL",ROUND(SUM($P$3:P112),2),IF(OR(A113="",N113="",O113=""),"",ROUND(N113*O113,2)))</f>
        <v/>
      </c>
      <c r="Q113" s="181" t="str">
        <f t="shared" ca="1" si="24"/>
        <v/>
      </c>
      <c r="R113" t="str">
        <f>IF($A113="","",IF(MEMORIA_RESULTADOS!$W$46="","","C"&amp;MEMORIA_RESULTADOS!$W$46))</f>
        <v/>
      </c>
      <c r="S113" s="207" t="str">
        <f t="shared" ca="1" si="25"/>
        <v/>
      </c>
      <c r="T113" s="207" t="str">
        <f t="shared" ca="1" si="26"/>
        <v/>
      </c>
      <c r="U113" s="207" t="str">
        <f t="shared" ca="1" si="27"/>
        <v/>
      </c>
      <c r="V113" s="191" t="str">
        <f t="shared" ca="1" si="28"/>
        <v/>
      </c>
      <c r="W113" s="191" t="str">
        <f t="shared" ca="1" si="29"/>
        <v/>
      </c>
      <c r="X113" s="191" t="str">
        <f t="shared" ca="1" si="30"/>
        <v/>
      </c>
      <c r="Y113" t="str">
        <f t="shared" ca="1" si="31"/>
        <v/>
      </c>
      <c r="Z113" s="208" t="str">
        <f>IF($A113="","",IF(posicao_contratual!$AA112="","",posicao_contratual!$AA112))</f>
        <v/>
      </c>
      <c r="AA113" t="str">
        <f>IF($A113="","",IF(posicao_contratual!$AL112="","","C"&amp;posicao_contratual!$AL112))</f>
        <v/>
      </c>
      <c r="AB113" t="str">
        <f>IF($A113="","",IF(OR(MEMORIA_RESULTADOS!$W$46="",posicao_contratual!$AL112=""),"",IF(posicao_contratual!$AL112&lt;=MEMORIA_RESULTADOS!$W$46,"SIM","NAO APLICAVEL")))</f>
        <v/>
      </c>
      <c r="AC113" t="str">
        <f>IF($A113="","",IF(MEMORIA_RESULTADOS!$W$46="","",CHOOSE(MEMORIA_RESULTADOS!$W$46+1,posicao_contratual!$AG112,posicao_contratual!$AH112,posicao_contratual!$AI112,posicao_contratual!$AJ112,posicao_contratual!$AK112)))</f>
        <v/>
      </c>
    </row>
    <row r="114" spans="1:29" x14ac:dyDescent="0.35">
      <c r="A114" s="106" t="str">
        <f>IF(AND(itens_Remanesc!A113="",itens_Remanesc!A112&lt;&gt;"",COUNTIF(itens_Remanesc!A114:$A$200,"&lt;&gt;")=0),"TOTAL",IF(itens_Remanesc!A113="","",itens_Remanesc!A113))</f>
        <v/>
      </c>
      <c r="B114" s="107" t="str">
        <f>IF(OR(historico_VU!A113="",historico_VU!C113=""),"",historico_VU!C113)</f>
        <v/>
      </c>
      <c r="C114" s="108" t="str">
        <f>IF(posicao_contratual!A113="","",posicao_contratual!G113)</f>
        <v/>
      </c>
      <c r="D114" s="107" t="str">
        <f>IF(A114="TOTAL",ROUND(SUM($D$3:D113),2),IF(OR(A114="",B114="",C114=""),"",ROUND(B114*C114,2)))</f>
        <v/>
      </c>
      <c r="E114" s="109" t="str">
        <f>IF(OR(historico_VU!A113="",historico_VU!D113=""),"",historico_VU!D113)</f>
        <v/>
      </c>
      <c r="F114" s="110" t="str">
        <f>IF(posicao_contratual!A113="","",posicao_contratual!K113)</f>
        <v/>
      </c>
      <c r="G114" s="109" t="str">
        <f>IF(A114="TOTAL",ROUND(SUM($G$3:G113),2),IF(OR(A114="",E114="",F114=""),"",ROUND(E114*F114,2)))</f>
        <v/>
      </c>
      <c r="H114" s="107" t="str">
        <f>IF(OR(historico_VU!A113="",historico_VU!E113=""),"",historico_VU!E113)</f>
        <v/>
      </c>
      <c r="I114" s="108" t="str">
        <f>IF(posicao_contratual!A113="","",posicao_contratual!O113)</f>
        <v/>
      </c>
      <c r="J114" s="107" t="str">
        <f>IF(A114="TOTAL",ROUND(SUM($J$3:J113),2),IF(OR(A114="",H114="",I114=""),"",ROUND(H114*I114,2)))</f>
        <v/>
      </c>
      <c r="K114" s="109" t="str">
        <f>IF(OR(historico_VU!A113="",historico_VU!F113=""),"",historico_VU!F113)</f>
        <v/>
      </c>
      <c r="L114" s="110" t="str">
        <f>IF(posicao_contratual!A113="","",posicao_contratual!S113)</f>
        <v/>
      </c>
      <c r="M114" s="109" t="str">
        <f>IF(A114="TOTAL",ROUND(SUM($M$3:M113),2),IF(OR(A114="",K114="",L114=""),"",ROUND(K114*L114,2)))</f>
        <v/>
      </c>
      <c r="N114" s="107" t="str">
        <f>IF(OR(historico_VU!A113="",historico_VU!G113=""),"",historico_VU!G113)</f>
        <v/>
      </c>
      <c r="O114" s="108" t="str">
        <f>IF(posicao_contratual!A113="","",posicao_contratual!W113)</f>
        <v/>
      </c>
      <c r="P114" s="107" t="str">
        <f>IF(A114="TOTAL",ROUND(SUM($P$3:P113),2),IF(OR(A114="",N114="",O114=""),"",ROUND(N114*O114,2)))</f>
        <v/>
      </c>
      <c r="Q114" s="181" t="str">
        <f t="shared" ca="1" si="24"/>
        <v/>
      </c>
      <c r="R114" t="str">
        <f>IF($A114="","",IF(MEMORIA_RESULTADOS!$W$46="","","C"&amp;MEMORIA_RESULTADOS!$W$46))</f>
        <v/>
      </c>
      <c r="S114" s="207" t="str">
        <f t="shared" ca="1" si="25"/>
        <v/>
      </c>
      <c r="T114" s="207" t="str">
        <f t="shared" ca="1" si="26"/>
        <v/>
      </c>
      <c r="U114" s="207" t="str">
        <f t="shared" ca="1" si="27"/>
        <v/>
      </c>
      <c r="V114" s="191" t="str">
        <f t="shared" ca="1" si="28"/>
        <v/>
      </c>
      <c r="W114" s="191" t="str">
        <f t="shared" ca="1" si="29"/>
        <v/>
      </c>
      <c r="X114" s="191" t="str">
        <f t="shared" ca="1" si="30"/>
        <v/>
      </c>
      <c r="Y114" t="str">
        <f t="shared" ca="1" si="31"/>
        <v/>
      </c>
      <c r="Z114" s="208" t="str">
        <f>IF($A114="","",IF(posicao_contratual!$AA113="","",posicao_contratual!$AA113))</f>
        <v/>
      </c>
      <c r="AA114" t="str">
        <f>IF($A114="","",IF(posicao_contratual!$AL113="","","C"&amp;posicao_contratual!$AL113))</f>
        <v/>
      </c>
      <c r="AB114" t="str">
        <f>IF($A114="","",IF(OR(MEMORIA_RESULTADOS!$W$46="",posicao_contratual!$AL113=""),"",IF(posicao_contratual!$AL113&lt;=MEMORIA_RESULTADOS!$W$46,"SIM","NAO APLICAVEL")))</f>
        <v/>
      </c>
      <c r="AC114" t="str">
        <f>IF($A114="","",IF(MEMORIA_RESULTADOS!$W$46="","",CHOOSE(MEMORIA_RESULTADOS!$W$46+1,posicao_contratual!$AG113,posicao_contratual!$AH113,posicao_contratual!$AI113,posicao_contratual!$AJ113,posicao_contratual!$AK113)))</f>
        <v/>
      </c>
    </row>
    <row r="115" spans="1:29" x14ac:dyDescent="0.35">
      <c r="A115" s="106" t="str">
        <f>IF(AND(itens_Remanesc!A114="",itens_Remanesc!A113&lt;&gt;"",COUNTIF(itens_Remanesc!A115:$A$200,"&lt;&gt;")=0),"TOTAL",IF(itens_Remanesc!A114="","",itens_Remanesc!A114))</f>
        <v/>
      </c>
      <c r="B115" s="107" t="str">
        <f>IF(OR(historico_VU!A114="",historico_VU!C114=""),"",historico_VU!C114)</f>
        <v/>
      </c>
      <c r="C115" s="108" t="str">
        <f>IF(posicao_contratual!A114="","",posicao_contratual!G114)</f>
        <v/>
      </c>
      <c r="D115" s="107" t="str">
        <f>IF(A115="TOTAL",ROUND(SUM($D$3:D114),2),IF(OR(A115="",B115="",C115=""),"",ROUND(B115*C115,2)))</f>
        <v/>
      </c>
      <c r="E115" s="109" t="str">
        <f>IF(OR(historico_VU!A114="",historico_VU!D114=""),"",historico_VU!D114)</f>
        <v/>
      </c>
      <c r="F115" s="110" t="str">
        <f>IF(posicao_contratual!A114="","",posicao_contratual!K114)</f>
        <v/>
      </c>
      <c r="G115" s="109" t="str">
        <f>IF(A115="TOTAL",ROUND(SUM($G$3:G114),2),IF(OR(A115="",E115="",F115=""),"",ROUND(E115*F115,2)))</f>
        <v/>
      </c>
      <c r="H115" s="107" t="str">
        <f>IF(OR(historico_VU!A114="",historico_VU!E114=""),"",historico_VU!E114)</f>
        <v/>
      </c>
      <c r="I115" s="108" t="str">
        <f>IF(posicao_contratual!A114="","",posicao_contratual!O114)</f>
        <v/>
      </c>
      <c r="J115" s="107" t="str">
        <f>IF(A115="TOTAL",ROUND(SUM($J$3:J114),2),IF(OR(A115="",H115="",I115=""),"",ROUND(H115*I115,2)))</f>
        <v/>
      </c>
      <c r="K115" s="109" t="str">
        <f>IF(OR(historico_VU!A114="",historico_VU!F114=""),"",historico_VU!F114)</f>
        <v/>
      </c>
      <c r="L115" s="110" t="str">
        <f>IF(posicao_contratual!A114="","",posicao_contratual!S114)</f>
        <v/>
      </c>
      <c r="M115" s="109" t="str">
        <f>IF(A115="TOTAL",ROUND(SUM($M$3:M114),2),IF(OR(A115="",K115="",L115=""),"",ROUND(K115*L115,2)))</f>
        <v/>
      </c>
      <c r="N115" s="107" t="str">
        <f>IF(OR(historico_VU!A114="",historico_VU!G114=""),"",historico_VU!G114)</f>
        <v/>
      </c>
      <c r="O115" s="108" t="str">
        <f>IF(posicao_contratual!A114="","",posicao_contratual!W114)</f>
        <v/>
      </c>
      <c r="P115" s="107" t="str">
        <f>IF(A115="TOTAL",ROUND(SUM($P$3:P114),2),IF(OR(A115="",N115="",O115=""),"",ROUND(N115*O115,2)))</f>
        <v/>
      </c>
      <c r="Q115" s="181" t="str">
        <f t="shared" ca="1" si="24"/>
        <v/>
      </c>
      <c r="R115" t="str">
        <f>IF($A115="","",IF(MEMORIA_RESULTADOS!$W$46="","","C"&amp;MEMORIA_RESULTADOS!$W$46))</f>
        <v/>
      </c>
      <c r="S115" s="207" t="str">
        <f t="shared" ca="1" si="25"/>
        <v/>
      </c>
      <c r="T115" s="207" t="str">
        <f t="shared" ca="1" si="26"/>
        <v/>
      </c>
      <c r="U115" s="207" t="str">
        <f t="shared" ca="1" si="27"/>
        <v/>
      </c>
      <c r="V115" s="191" t="str">
        <f t="shared" ca="1" si="28"/>
        <v/>
      </c>
      <c r="W115" s="191" t="str">
        <f t="shared" ca="1" si="29"/>
        <v/>
      </c>
      <c r="X115" s="191" t="str">
        <f t="shared" ca="1" si="30"/>
        <v/>
      </c>
      <c r="Y115" t="str">
        <f t="shared" ca="1" si="31"/>
        <v/>
      </c>
      <c r="Z115" s="208" t="str">
        <f>IF($A115="","",IF(posicao_contratual!$AA114="","",posicao_contratual!$AA114))</f>
        <v/>
      </c>
      <c r="AA115" t="str">
        <f>IF($A115="","",IF(posicao_contratual!$AL114="","","C"&amp;posicao_contratual!$AL114))</f>
        <v/>
      </c>
      <c r="AB115" t="str">
        <f>IF($A115="","",IF(OR(MEMORIA_RESULTADOS!$W$46="",posicao_contratual!$AL114=""),"",IF(posicao_contratual!$AL114&lt;=MEMORIA_RESULTADOS!$W$46,"SIM","NAO APLICAVEL")))</f>
        <v/>
      </c>
      <c r="AC115" t="str">
        <f>IF($A115="","",IF(MEMORIA_RESULTADOS!$W$46="","",CHOOSE(MEMORIA_RESULTADOS!$W$46+1,posicao_contratual!$AG114,posicao_contratual!$AH114,posicao_contratual!$AI114,posicao_contratual!$AJ114,posicao_contratual!$AK114)))</f>
        <v/>
      </c>
    </row>
    <row r="116" spans="1:29" x14ac:dyDescent="0.35">
      <c r="A116" s="106" t="str">
        <f>IF(AND(itens_Remanesc!A115="",itens_Remanesc!A114&lt;&gt;"",COUNTIF(itens_Remanesc!A116:$A$200,"&lt;&gt;")=0),"TOTAL",IF(itens_Remanesc!A115="","",itens_Remanesc!A115))</f>
        <v/>
      </c>
      <c r="B116" s="107" t="str">
        <f>IF(OR(historico_VU!A115="",historico_VU!C115=""),"",historico_VU!C115)</f>
        <v/>
      </c>
      <c r="C116" s="108" t="str">
        <f>IF(posicao_contratual!A115="","",posicao_contratual!G115)</f>
        <v/>
      </c>
      <c r="D116" s="107" t="str">
        <f>IF(A116="TOTAL",ROUND(SUM($D$3:D115),2),IF(OR(A116="",B116="",C116=""),"",ROUND(B116*C116,2)))</f>
        <v/>
      </c>
      <c r="E116" s="109" t="str">
        <f>IF(OR(historico_VU!A115="",historico_VU!D115=""),"",historico_VU!D115)</f>
        <v/>
      </c>
      <c r="F116" s="110" t="str">
        <f>IF(posicao_contratual!A115="","",posicao_contratual!K115)</f>
        <v/>
      </c>
      <c r="G116" s="109" t="str">
        <f>IF(A116="TOTAL",ROUND(SUM($G$3:G115),2),IF(OR(A116="",E116="",F116=""),"",ROUND(E116*F116,2)))</f>
        <v/>
      </c>
      <c r="H116" s="107" t="str">
        <f>IF(OR(historico_VU!A115="",historico_VU!E115=""),"",historico_VU!E115)</f>
        <v/>
      </c>
      <c r="I116" s="108" t="str">
        <f>IF(posicao_contratual!A115="","",posicao_contratual!O115)</f>
        <v/>
      </c>
      <c r="J116" s="107" t="str">
        <f>IF(A116="TOTAL",ROUND(SUM($J$3:J115),2),IF(OR(A116="",H116="",I116=""),"",ROUND(H116*I116,2)))</f>
        <v/>
      </c>
      <c r="K116" s="109" t="str">
        <f>IF(OR(historico_VU!A115="",historico_VU!F115=""),"",historico_VU!F115)</f>
        <v/>
      </c>
      <c r="L116" s="110" t="str">
        <f>IF(posicao_contratual!A115="","",posicao_contratual!S115)</f>
        <v/>
      </c>
      <c r="M116" s="109" t="str">
        <f>IF(A116="TOTAL",ROUND(SUM($M$3:M115),2),IF(OR(A116="",K116="",L116=""),"",ROUND(K116*L116,2)))</f>
        <v/>
      </c>
      <c r="N116" s="107" t="str">
        <f>IF(OR(historico_VU!A115="",historico_VU!G115=""),"",historico_VU!G115)</f>
        <v/>
      </c>
      <c r="O116" s="108" t="str">
        <f>IF(posicao_contratual!A115="","",posicao_contratual!W115)</f>
        <v/>
      </c>
      <c r="P116" s="107" t="str">
        <f>IF(A116="TOTAL",ROUND(SUM($P$3:P115),2),IF(OR(A116="",N116="",O116=""),"",ROUND(N116*O116,2)))</f>
        <v/>
      </c>
      <c r="Q116" s="181" t="str">
        <f t="shared" ca="1" si="24"/>
        <v/>
      </c>
      <c r="R116" t="str">
        <f>IF($A116="","",IF(MEMORIA_RESULTADOS!$W$46="","","C"&amp;MEMORIA_RESULTADOS!$W$46))</f>
        <v/>
      </c>
      <c r="S116" s="207" t="str">
        <f t="shared" ca="1" si="25"/>
        <v/>
      </c>
      <c r="T116" s="207" t="str">
        <f t="shared" ca="1" si="26"/>
        <v/>
      </c>
      <c r="U116" s="207" t="str">
        <f t="shared" ca="1" si="27"/>
        <v/>
      </c>
      <c r="V116" s="191" t="str">
        <f t="shared" ca="1" si="28"/>
        <v/>
      </c>
      <c r="W116" s="191" t="str">
        <f t="shared" ca="1" si="29"/>
        <v/>
      </c>
      <c r="X116" s="191" t="str">
        <f t="shared" ca="1" si="30"/>
        <v/>
      </c>
      <c r="Y116" t="str">
        <f t="shared" ca="1" si="31"/>
        <v/>
      </c>
      <c r="Z116" s="208" t="str">
        <f>IF($A116="","",IF(posicao_contratual!$AA115="","",posicao_contratual!$AA115))</f>
        <v/>
      </c>
      <c r="AA116" t="str">
        <f>IF($A116="","",IF(posicao_contratual!$AL115="","","C"&amp;posicao_contratual!$AL115))</f>
        <v/>
      </c>
      <c r="AB116" t="str">
        <f>IF($A116="","",IF(OR(MEMORIA_RESULTADOS!$W$46="",posicao_contratual!$AL115=""),"",IF(posicao_contratual!$AL115&lt;=MEMORIA_RESULTADOS!$W$46,"SIM","NAO APLICAVEL")))</f>
        <v/>
      </c>
      <c r="AC116" t="str">
        <f>IF($A116="","",IF(MEMORIA_RESULTADOS!$W$46="","",CHOOSE(MEMORIA_RESULTADOS!$W$46+1,posicao_contratual!$AG115,posicao_contratual!$AH115,posicao_contratual!$AI115,posicao_contratual!$AJ115,posicao_contratual!$AK115)))</f>
        <v/>
      </c>
    </row>
    <row r="117" spans="1:29" x14ac:dyDescent="0.35">
      <c r="A117" s="106" t="str">
        <f>IF(AND(itens_Remanesc!A116="",itens_Remanesc!A115&lt;&gt;"",COUNTIF(itens_Remanesc!A117:$A$200,"&lt;&gt;")=0),"TOTAL",IF(itens_Remanesc!A116="","",itens_Remanesc!A116))</f>
        <v/>
      </c>
      <c r="B117" s="107" t="str">
        <f>IF(OR(historico_VU!A116="",historico_VU!C116=""),"",historico_VU!C116)</f>
        <v/>
      </c>
      <c r="C117" s="108" t="str">
        <f>IF(posicao_contratual!A116="","",posicao_contratual!G116)</f>
        <v/>
      </c>
      <c r="D117" s="107" t="str">
        <f>IF(A117="TOTAL",ROUND(SUM($D$3:D116),2),IF(OR(A117="",B117="",C117=""),"",ROUND(B117*C117,2)))</f>
        <v/>
      </c>
      <c r="E117" s="109" t="str">
        <f>IF(OR(historico_VU!A116="",historico_VU!D116=""),"",historico_VU!D116)</f>
        <v/>
      </c>
      <c r="F117" s="110" t="str">
        <f>IF(posicao_contratual!A116="","",posicao_contratual!K116)</f>
        <v/>
      </c>
      <c r="G117" s="109" t="str">
        <f>IF(A117="TOTAL",ROUND(SUM($G$3:G116),2),IF(OR(A117="",E117="",F117=""),"",ROUND(E117*F117,2)))</f>
        <v/>
      </c>
      <c r="H117" s="107" t="str">
        <f>IF(OR(historico_VU!A116="",historico_VU!E116=""),"",historico_VU!E116)</f>
        <v/>
      </c>
      <c r="I117" s="108" t="str">
        <f>IF(posicao_contratual!A116="","",posicao_contratual!O116)</f>
        <v/>
      </c>
      <c r="J117" s="107" t="str">
        <f>IF(A117="TOTAL",ROUND(SUM($J$3:J116),2),IF(OR(A117="",H117="",I117=""),"",ROUND(H117*I117,2)))</f>
        <v/>
      </c>
      <c r="K117" s="109" t="str">
        <f>IF(OR(historico_VU!A116="",historico_VU!F116=""),"",historico_VU!F116)</f>
        <v/>
      </c>
      <c r="L117" s="110" t="str">
        <f>IF(posicao_contratual!A116="","",posicao_contratual!S116)</f>
        <v/>
      </c>
      <c r="M117" s="109" t="str">
        <f>IF(A117="TOTAL",ROUND(SUM($M$3:M116),2),IF(OR(A117="",K117="",L117=""),"",ROUND(K117*L117,2)))</f>
        <v/>
      </c>
      <c r="N117" s="107" t="str">
        <f>IF(OR(historico_VU!A116="",historico_VU!G116=""),"",historico_VU!G116)</f>
        <v/>
      </c>
      <c r="O117" s="108" t="str">
        <f>IF(posicao_contratual!A116="","",posicao_contratual!W116)</f>
        <v/>
      </c>
      <c r="P117" s="107" t="str">
        <f>IF(A117="TOTAL",ROUND(SUM($P$3:P116),2),IF(OR(A117="",N117="",O117=""),"",ROUND(N117*O117,2)))</f>
        <v/>
      </c>
      <c r="Q117" s="181" t="str">
        <f t="shared" ca="1" si="24"/>
        <v/>
      </c>
      <c r="R117" t="str">
        <f>IF($A117="","",IF(MEMORIA_RESULTADOS!$W$46="","","C"&amp;MEMORIA_RESULTADOS!$W$46))</f>
        <v/>
      </c>
      <c r="S117" s="207" t="str">
        <f t="shared" ca="1" si="25"/>
        <v/>
      </c>
      <c r="T117" s="207" t="str">
        <f t="shared" ca="1" si="26"/>
        <v/>
      </c>
      <c r="U117" s="207" t="str">
        <f t="shared" ca="1" si="27"/>
        <v/>
      </c>
      <c r="V117" s="191" t="str">
        <f t="shared" ca="1" si="28"/>
        <v/>
      </c>
      <c r="W117" s="191" t="str">
        <f t="shared" ca="1" si="29"/>
        <v/>
      </c>
      <c r="X117" s="191" t="str">
        <f t="shared" ca="1" si="30"/>
        <v/>
      </c>
      <c r="Y117" t="str">
        <f t="shared" ca="1" si="31"/>
        <v/>
      </c>
      <c r="Z117" s="208" t="str">
        <f>IF($A117="","",IF(posicao_contratual!$AA116="","",posicao_contratual!$AA116))</f>
        <v/>
      </c>
      <c r="AA117" t="str">
        <f>IF($A117="","",IF(posicao_contratual!$AL116="","","C"&amp;posicao_contratual!$AL116))</f>
        <v/>
      </c>
      <c r="AB117" t="str">
        <f>IF($A117="","",IF(OR(MEMORIA_RESULTADOS!$W$46="",posicao_contratual!$AL116=""),"",IF(posicao_contratual!$AL116&lt;=MEMORIA_RESULTADOS!$W$46,"SIM","NAO APLICAVEL")))</f>
        <v/>
      </c>
      <c r="AC117" t="str">
        <f>IF($A117="","",IF(MEMORIA_RESULTADOS!$W$46="","",CHOOSE(MEMORIA_RESULTADOS!$W$46+1,posicao_contratual!$AG116,posicao_contratual!$AH116,posicao_contratual!$AI116,posicao_contratual!$AJ116,posicao_contratual!$AK116)))</f>
        <v/>
      </c>
    </row>
    <row r="118" spans="1:29" x14ac:dyDescent="0.35">
      <c r="A118" s="106" t="str">
        <f>IF(AND(itens_Remanesc!A117="",itens_Remanesc!A116&lt;&gt;"",COUNTIF(itens_Remanesc!A118:$A$200,"&lt;&gt;")=0),"TOTAL",IF(itens_Remanesc!A117="","",itens_Remanesc!A117))</f>
        <v/>
      </c>
      <c r="B118" s="107" t="str">
        <f>IF(OR(historico_VU!A117="",historico_VU!C117=""),"",historico_VU!C117)</f>
        <v/>
      </c>
      <c r="C118" s="108" t="str">
        <f>IF(posicao_contratual!A117="","",posicao_contratual!G117)</f>
        <v/>
      </c>
      <c r="D118" s="107" t="str">
        <f>IF(A118="TOTAL",ROUND(SUM($D$3:D117),2),IF(OR(A118="",B118="",C118=""),"",ROUND(B118*C118,2)))</f>
        <v/>
      </c>
      <c r="E118" s="109" t="str">
        <f>IF(OR(historico_VU!A117="",historico_VU!D117=""),"",historico_VU!D117)</f>
        <v/>
      </c>
      <c r="F118" s="110" t="str">
        <f>IF(posicao_contratual!A117="","",posicao_contratual!K117)</f>
        <v/>
      </c>
      <c r="G118" s="109" t="str">
        <f>IF(A118="TOTAL",ROUND(SUM($G$3:G117),2),IF(OR(A118="",E118="",F118=""),"",ROUND(E118*F118,2)))</f>
        <v/>
      </c>
      <c r="H118" s="107" t="str">
        <f>IF(OR(historico_VU!A117="",historico_VU!E117=""),"",historico_VU!E117)</f>
        <v/>
      </c>
      <c r="I118" s="108" t="str">
        <f>IF(posicao_contratual!A117="","",posicao_contratual!O117)</f>
        <v/>
      </c>
      <c r="J118" s="107" t="str">
        <f>IF(A118="TOTAL",ROUND(SUM($J$3:J117),2),IF(OR(A118="",H118="",I118=""),"",ROUND(H118*I118,2)))</f>
        <v/>
      </c>
      <c r="K118" s="109" t="str">
        <f>IF(OR(historico_VU!A117="",historico_VU!F117=""),"",historico_VU!F117)</f>
        <v/>
      </c>
      <c r="L118" s="110" t="str">
        <f>IF(posicao_contratual!A117="","",posicao_contratual!S117)</f>
        <v/>
      </c>
      <c r="M118" s="109" t="str">
        <f>IF(A118="TOTAL",ROUND(SUM($M$3:M117),2),IF(OR(A118="",K118="",L118=""),"",ROUND(K118*L118,2)))</f>
        <v/>
      </c>
      <c r="N118" s="107" t="str">
        <f>IF(OR(historico_VU!A117="",historico_VU!G117=""),"",historico_VU!G117)</f>
        <v/>
      </c>
      <c r="O118" s="108" t="str">
        <f>IF(posicao_contratual!A117="","",posicao_contratual!W117)</f>
        <v/>
      </c>
      <c r="P118" s="107" t="str">
        <f>IF(A118="TOTAL",ROUND(SUM($P$3:P117),2),IF(OR(A118="",N118="",O118=""),"",ROUND(N118*O118,2)))</f>
        <v/>
      </c>
      <c r="Q118" s="181" t="str">
        <f t="shared" ca="1" si="24"/>
        <v/>
      </c>
      <c r="R118" t="str">
        <f>IF($A118="","",IF(MEMORIA_RESULTADOS!$W$46="","","C"&amp;MEMORIA_RESULTADOS!$W$46))</f>
        <v/>
      </c>
      <c r="S118" s="207" t="str">
        <f t="shared" ca="1" si="25"/>
        <v/>
      </c>
      <c r="T118" s="207" t="str">
        <f t="shared" ca="1" si="26"/>
        <v/>
      </c>
      <c r="U118" s="207" t="str">
        <f t="shared" ca="1" si="27"/>
        <v/>
      </c>
      <c r="V118" s="191" t="str">
        <f t="shared" ca="1" si="28"/>
        <v/>
      </c>
      <c r="W118" s="191" t="str">
        <f t="shared" ca="1" si="29"/>
        <v/>
      </c>
      <c r="X118" s="191" t="str">
        <f t="shared" ca="1" si="30"/>
        <v/>
      </c>
      <c r="Y118" t="str">
        <f t="shared" ca="1" si="31"/>
        <v/>
      </c>
      <c r="Z118" s="208" t="str">
        <f>IF($A118="","",IF(posicao_contratual!$AA117="","",posicao_contratual!$AA117))</f>
        <v/>
      </c>
      <c r="AA118" t="str">
        <f>IF($A118="","",IF(posicao_contratual!$AL117="","","C"&amp;posicao_contratual!$AL117))</f>
        <v/>
      </c>
      <c r="AB118" t="str">
        <f>IF($A118="","",IF(OR(MEMORIA_RESULTADOS!$W$46="",posicao_contratual!$AL117=""),"",IF(posicao_contratual!$AL117&lt;=MEMORIA_RESULTADOS!$W$46,"SIM","NAO APLICAVEL")))</f>
        <v/>
      </c>
      <c r="AC118" t="str">
        <f>IF($A118="","",IF(MEMORIA_RESULTADOS!$W$46="","",CHOOSE(MEMORIA_RESULTADOS!$W$46+1,posicao_contratual!$AG117,posicao_contratual!$AH117,posicao_contratual!$AI117,posicao_contratual!$AJ117,posicao_contratual!$AK117)))</f>
        <v/>
      </c>
    </row>
    <row r="119" spans="1:29" x14ac:dyDescent="0.35">
      <c r="A119" s="106" t="str">
        <f>IF(AND(itens_Remanesc!A118="",itens_Remanesc!A117&lt;&gt;"",COUNTIF(itens_Remanesc!A119:$A$200,"&lt;&gt;")=0),"TOTAL",IF(itens_Remanesc!A118="","",itens_Remanesc!A118))</f>
        <v/>
      </c>
      <c r="B119" s="107" t="str">
        <f>IF(OR(historico_VU!A118="",historico_VU!C118=""),"",historico_VU!C118)</f>
        <v/>
      </c>
      <c r="C119" s="108" t="str">
        <f>IF(posicao_contratual!A118="","",posicao_contratual!G118)</f>
        <v/>
      </c>
      <c r="D119" s="107" t="str">
        <f>IF(A119="TOTAL",ROUND(SUM($D$3:D118),2),IF(OR(A119="",B119="",C119=""),"",ROUND(B119*C119,2)))</f>
        <v/>
      </c>
      <c r="E119" s="109" t="str">
        <f>IF(OR(historico_VU!A118="",historico_VU!D118=""),"",historico_VU!D118)</f>
        <v/>
      </c>
      <c r="F119" s="110" t="str">
        <f>IF(posicao_contratual!A118="","",posicao_contratual!K118)</f>
        <v/>
      </c>
      <c r="G119" s="109" t="str">
        <f>IF(A119="TOTAL",ROUND(SUM($G$3:G118),2),IF(OR(A119="",E119="",F119=""),"",ROUND(E119*F119,2)))</f>
        <v/>
      </c>
      <c r="H119" s="107" t="str">
        <f>IF(OR(historico_VU!A118="",historico_VU!E118=""),"",historico_VU!E118)</f>
        <v/>
      </c>
      <c r="I119" s="108" t="str">
        <f>IF(posicao_contratual!A118="","",posicao_contratual!O118)</f>
        <v/>
      </c>
      <c r="J119" s="107" t="str">
        <f>IF(A119="TOTAL",ROUND(SUM($J$3:J118),2),IF(OR(A119="",H119="",I119=""),"",ROUND(H119*I119,2)))</f>
        <v/>
      </c>
      <c r="K119" s="109" t="str">
        <f>IF(OR(historico_VU!A118="",historico_VU!F118=""),"",historico_VU!F118)</f>
        <v/>
      </c>
      <c r="L119" s="110" t="str">
        <f>IF(posicao_contratual!A118="","",posicao_contratual!S118)</f>
        <v/>
      </c>
      <c r="M119" s="109" t="str">
        <f>IF(A119="TOTAL",ROUND(SUM($M$3:M118),2),IF(OR(A119="",K119="",L119=""),"",ROUND(K119*L119,2)))</f>
        <v/>
      </c>
      <c r="N119" s="107" t="str">
        <f>IF(OR(historico_VU!A118="",historico_VU!G118=""),"",historico_VU!G118)</f>
        <v/>
      </c>
      <c r="O119" s="108" t="str">
        <f>IF(posicao_contratual!A118="","",posicao_contratual!W118)</f>
        <v/>
      </c>
      <c r="P119" s="107" t="str">
        <f>IF(A119="TOTAL",ROUND(SUM($P$3:P118),2),IF(OR(A119="",N119="",O119=""),"",ROUND(N119*O119,2)))</f>
        <v/>
      </c>
      <c r="Q119" s="181" t="str">
        <f t="shared" ca="1" si="24"/>
        <v/>
      </c>
      <c r="R119" t="str">
        <f>IF($A119="","",IF(MEMORIA_RESULTADOS!$W$46="","","C"&amp;MEMORIA_RESULTADOS!$W$46))</f>
        <v/>
      </c>
      <c r="S119" s="207" t="str">
        <f t="shared" ca="1" si="25"/>
        <v/>
      </c>
      <c r="T119" s="207" t="str">
        <f t="shared" ca="1" si="26"/>
        <v/>
      </c>
      <c r="U119" s="207" t="str">
        <f t="shared" ca="1" si="27"/>
        <v/>
      </c>
      <c r="V119" s="191" t="str">
        <f t="shared" ca="1" si="28"/>
        <v/>
      </c>
      <c r="W119" s="191" t="str">
        <f t="shared" ca="1" si="29"/>
        <v/>
      </c>
      <c r="X119" s="191" t="str">
        <f t="shared" ca="1" si="30"/>
        <v/>
      </c>
      <c r="Y119" t="str">
        <f t="shared" ca="1" si="31"/>
        <v/>
      </c>
      <c r="Z119" s="208" t="str">
        <f>IF($A119="","",IF(posicao_contratual!$AA118="","",posicao_contratual!$AA118))</f>
        <v/>
      </c>
      <c r="AA119" t="str">
        <f>IF($A119="","",IF(posicao_contratual!$AL118="","","C"&amp;posicao_contratual!$AL118))</f>
        <v/>
      </c>
      <c r="AB119" t="str">
        <f>IF($A119="","",IF(OR(MEMORIA_RESULTADOS!$W$46="",posicao_contratual!$AL118=""),"",IF(posicao_contratual!$AL118&lt;=MEMORIA_RESULTADOS!$W$46,"SIM","NAO APLICAVEL")))</f>
        <v/>
      </c>
      <c r="AC119" t="str">
        <f>IF($A119="","",IF(MEMORIA_RESULTADOS!$W$46="","",CHOOSE(MEMORIA_RESULTADOS!$W$46+1,posicao_contratual!$AG118,posicao_contratual!$AH118,posicao_contratual!$AI118,posicao_contratual!$AJ118,posicao_contratual!$AK118)))</f>
        <v/>
      </c>
    </row>
    <row r="120" spans="1:29" x14ac:dyDescent="0.35">
      <c r="A120" s="106" t="str">
        <f>IF(AND(itens_Remanesc!A119="",itens_Remanesc!A118&lt;&gt;"",COUNTIF(itens_Remanesc!A120:$A$200,"&lt;&gt;")=0),"TOTAL",IF(itens_Remanesc!A119="","",itens_Remanesc!A119))</f>
        <v/>
      </c>
      <c r="B120" s="107" t="str">
        <f>IF(OR(historico_VU!A119="",historico_VU!C119=""),"",historico_VU!C119)</f>
        <v/>
      </c>
      <c r="C120" s="108" t="str">
        <f>IF(posicao_contratual!A119="","",posicao_contratual!G119)</f>
        <v/>
      </c>
      <c r="D120" s="107" t="str">
        <f>IF(A120="TOTAL",ROUND(SUM($D$3:D119),2),IF(OR(A120="",B120="",C120=""),"",ROUND(B120*C120,2)))</f>
        <v/>
      </c>
      <c r="E120" s="109" t="str">
        <f>IF(OR(historico_VU!A119="",historico_VU!D119=""),"",historico_VU!D119)</f>
        <v/>
      </c>
      <c r="F120" s="110" t="str">
        <f>IF(posicao_contratual!A119="","",posicao_contratual!K119)</f>
        <v/>
      </c>
      <c r="G120" s="109" t="str">
        <f>IF(A120="TOTAL",ROUND(SUM($G$3:G119),2),IF(OR(A120="",E120="",F120=""),"",ROUND(E120*F120,2)))</f>
        <v/>
      </c>
      <c r="H120" s="107" t="str">
        <f>IF(OR(historico_VU!A119="",historico_VU!E119=""),"",historico_VU!E119)</f>
        <v/>
      </c>
      <c r="I120" s="108" t="str">
        <f>IF(posicao_contratual!A119="","",posicao_contratual!O119)</f>
        <v/>
      </c>
      <c r="J120" s="107" t="str">
        <f>IF(A120="TOTAL",ROUND(SUM($J$3:J119),2),IF(OR(A120="",H120="",I120=""),"",ROUND(H120*I120,2)))</f>
        <v/>
      </c>
      <c r="K120" s="109" t="str">
        <f>IF(OR(historico_VU!A119="",historico_VU!F119=""),"",historico_VU!F119)</f>
        <v/>
      </c>
      <c r="L120" s="110" t="str">
        <f>IF(posicao_contratual!A119="","",posicao_contratual!S119)</f>
        <v/>
      </c>
      <c r="M120" s="109" t="str">
        <f>IF(A120="TOTAL",ROUND(SUM($M$3:M119),2),IF(OR(A120="",K120="",L120=""),"",ROUND(K120*L120,2)))</f>
        <v/>
      </c>
      <c r="N120" s="107" t="str">
        <f>IF(OR(historico_VU!A119="",historico_VU!G119=""),"",historico_VU!G119)</f>
        <v/>
      </c>
      <c r="O120" s="108" t="str">
        <f>IF(posicao_contratual!A119="","",posicao_contratual!W119)</f>
        <v/>
      </c>
      <c r="P120" s="107" t="str">
        <f>IF(A120="TOTAL",ROUND(SUM($P$3:P119),2),IF(OR(A120="",N120="",O120=""),"",ROUND(N120*O120,2)))</f>
        <v/>
      </c>
      <c r="Q120" s="181" t="str">
        <f t="shared" ca="1" si="24"/>
        <v/>
      </c>
      <c r="R120" t="str">
        <f>IF($A120="","",IF(MEMORIA_RESULTADOS!$W$46="","","C"&amp;MEMORIA_RESULTADOS!$W$46))</f>
        <v/>
      </c>
      <c r="S120" s="207" t="str">
        <f t="shared" ca="1" si="25"/>
        <v/>
      </c>
      <c r="T120" s="207" t="str">
        <f t="shared" ca="1" si="26"/>
        <v/>
      </c>
      <c r="U120" s="207" t="str">
        <f t="shared" ca="1" si="27"/>
        <v/>
      </c>
      <c r="V120" s="191" t="str">
        <f t="shared" ca="1" si="28"/>
        <v/>
      </c>
      <c r="W120" s="191" t="str">
        <f t="shared" ca="1" si="29"/>
        <v/>
      </c>
      <c r="X120" s="191" t="str">
        <f t="shared" ca="1" si="30"/>
        <v/>
      </c>
      <c r="Y120" t="str">
        <f t="shared" ca="1" si="31"/>
        <v/>
      </c>
      <c r="Z120" s="208" t="str">
        <f>IF($A120="","",IF(posicao_contratual!$AA119="","",posicao_contratual!$AA119))</f>
        <v/>
      </c>
      <c r="AA120" t="str">
        <f>IF($A120="","",IF(posicao_contratual!$AL119="","","C"&amp;posicao_contratual!$AL119))</f>
        <v/>
      </c>
      <c r="AB120" t="str">
        <f>IF($A120="","",IF(OR(MEMORIA_RESULTADOS!$W$46="",posicao_contratual!$AL119=""),"",IF(posicao_contratual!$AL119&lt;=MEMORIA_RESULTADOS!$W$46,"SIM","NAO APLICAVEL")))</f>
        <v/>
      </c>
      <c r="AC120" t="str">
        <f>IF($A120="","",IF(MEMORIA_RESULTADOS!$W$46="","",CHOOSE(MEMORIA_RESULTADOS!$W$46+1,posicao_contratual!$AG119,posicao_contratual!$AH119,posicao_contratual!$AI119,posicao_contratual!$AJ119,posicao_contratual!$AK119)))</f>
        <v/>
      </c>
    </row>
    <row r="121" spans="1:29" x14ac:dyDescent="0.35">
      <c r="A121" s="106" t="str">
        <f>IF(AND(itens_Remanesc!A120="",itens_Remanesc!A119&lt;&gt;"",COUNTIF(itens_Remanesc!A121:$A$200,"&lt;&gt;")=0),"TOTAL",IF(itens_Remanesc!A120="","",itens_Remanesc!A120))</f>
        <v/>
      </c>
      <c r="B121" s="107" t="str">
        <f>IF(OR(historico_VU!A120="",historico_VU!C120=""),"",historico_VU!C120)</f>
        <v/>
      </c>
      <c r="C121" s="108" t="str">
        <f>IF(posicao_contratual!A120="","",posicao_contratual!G120)</f>
        <v/>
      </c>
      <c r="D121" s="107" t="str">
        <f>IF(A121="TOTAL",ROUND(SUM($D$3:D120),2),IF(OR(A121="",B121="",C121=""),"",ROUND(B121*C121,2)))</f>
        <v/>
      </c>
      <c r="E121" s="109" t="str">
        <f>IF(OR(historico_VU!A120="",historico_VU!D120=""),"",historico_VU!D120)</f>
        <v/>
      </c>
      <c r="F121" s="110" t="str">
        <f>IF(posicao_contratual!A120="","",posicao_contratual!K120)</f>
        <v/>
      </c>
      <c r="G121" s="109" t="str">
        <f>IF(A121="TOTAL",ROUND(SUM($G$3:G120),2),IF(OR(A121="",E121="",F121=""),"",ROUND(E121*F121,2)))</f>
        <v/>
      </c>
      <c r="H121" s="107" t="str">
        <f>IF(OR(historico_VU!A120="",historico_VU!E120=""),"",historico_VU!E120)</f>
        <v/>
      </c>
      <c r="I121" s="108" t="str">
        <f>IF(posicao_contratual!A120="","",posicao_contratual!O120)</f>
        <v/>
      </c>
      <c r="J121" s="107" t="str">
        <f>IF(A121="TOTAL",ROUND(SUM($J$3:J120),2),IF(OR(A121="",H121="",I121=""),"",ROUND(H121*I121,2)))</f>
        <v/>
      </c>
      <c r="K121" s="109" t="str">
        <f>IF(OR(historico_VU!A120="",historico_VU!F120=""),"",historico_VU!F120)</f>
        <v/>
      </c>
      <c r="L121" s="110" t="str">
        <f>IF(posicao_contratual!A120="","",posicao_contratual!S120)</f>
        <v/>
      </c>
      <c r="M121" s="109" t="str">
        <f>IF(A121="TOTAL",ROUND(SUM($M$3:M120),2),IF(OR(A121="",K121="",L121=""),"",ROUND(K121*L121,2)))</f>
        <v/>
      </c>
      <c r="N121" s="107" t="str">
        <f>IF(OR(historico_VU!A120="",historico_VU!G120=""),"",historico_VU!G120)</f>
        <v/>
      </c>
      <c r="O121" s="108" t="str">
        <f>IF(posicao_contratual!A120="","",posicao_contratual!W120)</f>
        <v/>
      </c>
      <c r="P121" s="107" t="str">
        <f>IF(A121="TOTAL",ROUND(SUM($P$3:P120),2),IF(OR(A121="",N121="",O121=""),"",ROUND(N121*O121,2)))</f>
        <v/>
      </c>
      <c r="Q121" s="181" t="str">
        <f t="shared" ca="1" si="24"/>
        <v/>
      </c>
      <c r="R121" t="str">
        <f>IF($A121="","",IF(MEMORIA_RESULTADOS!$W$46="","","C"&amp;MEMORIA_RESULTADOS!$W$46))</f>
        <v/>
      </c>
      <c r="S121" s="207" t="str">
        <f t="shared" ca="1" si="25"/>
        <v/>
      </c>
      <c r="T121" s="207" t="str">
        <f t="shared" ca="1" si="26"/>
        <v/>
      </c>
      <c r="U121" s="207" t="str">
        <f t="shared" ca="1" si="27"/>
        <v/>
      </c>
      <c r="V121" s="191" t="str">
        <f t="shared" ca="1" si="28"/>
        <v/>
      </c>
      <c r="W121" s="191" t="str">
        <f t="shared" ca="1" si="29"/>
        <v/>
      </c>
      <c r="X121" s="191" t="str">
        <f t="shared" ca="1" si="30"/>
        <v/>
      </c>
      <c r="Y121" t="str">
        <f t="shared" ca="1" si="31"/>
        <v/>
      </c>
      <c r="Z121" s="208" t="str">
        <f>IF($A121="","",IF(posicao_contratual!$AA120="","",posicao_contratual!$AA120))</f>
        <v/>
      </c>
      <c r="AA121" t="str">
        <f>IF($A121="","",IF(posicao_contratual!$AL120="","","C"&amp;posicao_contratual!$AL120))</f>
        <v/>
      </c>
      <c r="AB121" t="str">
        <f>IF($A121="","",IF(OR(MEMORIA_RESULTADOS!$W$46="",posicao_contratual!$AL120=""),"",IF(posicao_contratual!$AL120&lt;=MEMORIA_RESULTADOS!$W$46,"SIM","NAO APLICAVEL")))</f>
        <v/>
      </c>
      <c r="AC121" t="str">
        <f>IF($A121="","",IF(MEMORIA_RESULTADOS!$W$46="","",CHOOSE(MEMORIA_RESULTADOS!$W$46+1,posicao_contratual!$AG120,posicao_contratual!$AH120,posicao_contratual!$AI120,posicao_contratual!$AJ120,posicao_contratual!$AK120)))</f>
        <v/>
      </c>
    </row>
    <row r="122" spans="1:29" x14ac:dyDescent="0.35">
      <c r="A122" s="106" t="str">
        <f>IF(AND(itens_Remanesc!A121="",itens_Remanesc!A120&lt;&gt;"",COUNTIF(itens_Remanesc!A122:$A$200,"&lt;&gt;")=0),"TOTAL",IF(itens_Remanesc!A121="","",itens_Remanesc!A121))</f>
        <v/>
      </c>
      <c r="B122" s="107" t="str">
        <f>IF(OR(historico_VU!A121="",historico_VU!C121=""),"",historico_VU!C121)</f>
        <v/>
      </c>
      <c r="C122" s="108" t="str">
        <f>IF(posicao_contratual!A121="","",posicao_contratual!G121)</f>
        <v/>
      </c>
      <c r="D122" s="107" t="str">
        <f>IF(A122="TOTAL",ROUND(SUM($D$3:D121),2),IF(OR(A122="",B122="",C122=""),"",ROUND(B122*C122,2)))</f>
        <v/>
      </c>
      <c r="E122" s="109" t="str">
        <f>IF(OR(historico_VU!A121="",historico_VU!D121=""),"",historico_VU!D121)</f>
        <v/>
      </c>
      <c r="F122" s="110" t="str">
        <f>IF(posicao_contratual!A121="","",posicao_contratual!K121)</f>
        <v/>
      </c>
      <c r="G122" s="109" t="str">
        <f>IF(A122="TOTAL",ROUND(SUM($G$3:G121),2),IF(OR(A122="",E122="",F122=""),"",ROUND(E122*F122,2)))</f>
        <v/>
      </c>
      <c r="H122" s="107" t="str">
        <f>IF(OR(historico_VU!A121="",historico_VU!E121=""),"",historico_VU!E121)</f>
        <v/>
      </c>
      <c r="I122" s="108" t="str">
        <f>IF(posicao_contratual!A121="","",posicao_contratual!O121)</f>
        <v/>
      </c>
      <c r="J122" s="107" t="str">
        <f>IF(A122="TOTAL",ROUND(SUM($J$3:J121),2),IF(OR(A122="",H122="",I122=""),"",ROUND(H122*I122,2)))</f>
        <v/>
      </c>
      <c r="K122" s="109" t="str">
        <f>IF(OR(historico_VU!A121="",historico_VU!F121=""),"",historico_VU!F121)</f>
        <v/>
      </c>
      <c r="L122" s="110" t="str">
        <f>IF(posicao_contratual!A121="","",posicao_contratual!S121)</f>
        <v/>
      </c>
      <c r="M122" s="109" t="str">
        <f>IF(A122="TOTAL",ROUND(SUM($M$3:M121),2),IF(OR(A122="",K122="",L122=""),"",ROUND(K122*L122,2)))</f>
        <v/>
      </c>
      <c r="N122" s="107" t="str">
        <f>IF(OR(historico_VU!A121="",historico_VU!G121=""),"",historico_VU!G121)</f>
        <v/>
      </c>
      <c r="O122" s="108" t="str">
        <f>IF(posicao_contratual!A121="","",posicao_contratual!W121)</f>
        <v/>
      </c>
      <c r="P122" s="107" t="str">
        <f>IF(A122="TOTAL",ROUND(SUM($P$3:P121),2),IF(OR(A122="",N122="",O122=""),"",ROUND(N122*O122,2)))</f>
        <v/>
      </c>
      <c r="Q122" s="181" t="str">
        <f t="shared" ca="1" si="24"/>
        <v/>
      </c>
      <c r="R122" t="str">
        <f>IF($A122="","",IF(MEMORIA_RESULTADOS!$W$46="","","C"&amp;MEMORIA_RESULTADOS!$W$46))</f>
        <v/>
      </c>
      <c r="S122" s="207" t="str">
        <f t="shared" ca="1" si="25"/>
        <v/>
      </c>
      <c r="T122" s="207" t="str">
        <f t="shared" ca="1" si="26"/>
        <v/>
      </c>
      <c r="U122" s="207" t="str">
        <f t="shared" ca="1" si="27"/>
        <v/>
      </c>
      <c r="V122" s="191" t="str">
        <f t="shared" ca="1" si="28"/>
        <v/>
      </c>
      <c r="W122" s="191" t="str">
        <f t="shared" ca="1" si="29"/>
        <v/>
      </c>
      <c r="X122" s="191" t="str">
        <f t="shared" ca="1" si="30"/>
        <v/>
      </c>
      <c r="Y122" t="str">
        <f t="shared" ca="1" si="31"/>
        <v/>
      </c>
      <c r="Z122" s="208" t="str">
        <f>IF($A122="","",IF(posicao_contratual!$AA121="","",posicao_contratual!$AA121))</f>
        <v/>
      </c>
      <c r="AA122" t="str">
        <f>IF($A122="","",IF(posicao_contratual!$AL121="","","C"&amp;posicao_contratual!$AL121))</f>
        <v/>
      </c>
      <c r="AB122" t="str">
        <f>IF($A122="","",IF(OR(MEMORIA_RESULTADOS!$W$46="",posicao_contratual!$AL121=""),"",IF(posicao_contratual!$AL121&lt;=MEMORIA_RESULTADOS!$W$46,"SIM","NAO APLICAVEL")))</f>
        <v/>
      </c>
      <c r="AC122" t="str">
        <f>IF($A122="","",IF(MEMORIA_RESULTADOS!$W$46="","",CHOOSE(MEMORIA_RESULTADOS!$W$46+1,posicao_contratual!$AG121,posicao_contratual!$AH121,posicao_contratual!$AI121,posicao_contratual!$AJ121,posicao_contratual!$AK121)))</f>
        <v/>
      </c>
    </row>
    <row r="123" spans="1:29" x14ac:dyDescent="0.35">
      <c r="A123" s="106" t="str">
        <f>IF(AND(itens_Remanesc!A122="",itens_Remanesc!A121&lt;&gt;"",COUNTIF(itens_Remanesc!A123:$A$200,"&lt;&gt;")=0),"TOTAL",IF(itens_Remanesc!A122="","",itens_Remanesc!A122))</f>
        <v/>
      </c>
      <c r="B123" s="107" t="str">
        <f>IF(OR(historico_VU!A122="",historico_VU!C122=""),"",historico_VU!C122)</f>
        <v/>
      </c>
      <c r="C123" s="108" t="str">
        <f>IF(posicao_contratual!A122="","",posicao_contratual!G122)</f>
        <v/>
      </c>
      <c r="D123" s="107" t="str">
        <f>IF(A123="TOTAL",ROUND(SUM($D$3:D122),2),IF(OR(A123="",B123="",C123=""),"",ROUND(B123*C123,2)))</f>
        <v/>
      </c>
      <c r="E123" s="109" t="str">
        <f>IF(OR(historico_VU!A122="",historico_VU!D122=""),"",historico_VU!D122)</f>
        <v/>
      </c>
      <c r="F123" s="110" t="str">
        <f>IF(posicao_contratual!A122="","",posicao_contratual!K122)</f>
        <v/>
      </c>
      <c r="G123" s="109" t="str">
        <f>IF(A123="TOTAL",ROUND(SUM($G$3:G122),2),IF(OR(A123="",E123="",F123=""),"",ROUND(E123*F123,2)))</f>
        <v/>
      </c>
      <c r="H123" s="107" t="str">
        <f>IF(OR(historico_VU!A122="",historico_VU!E122=""),"",historico_VU!E122)</f>
        <v/>
      </c>
      <c r="I123" s="108" t="str">
        <f>IF(posicao_contratual!A122="","",posicao_contratual!O122)</f>
        <v/>
      </c>
      <c r="J123" s="107" t="str">
        <f>IF(A123="TOTAL",ROUND(SUM($J$3:J122),2),IF(OR(A123="",H123="",I123=""),"",ROUND(H123*I123,2)))</f>
        <v/>
      </c>
      <c r="K123" s="109" t="str">
        <f>IF(OR(historico_VU!A122="",historico_VU!F122=""),"",historico_VU!F122)</f>
        <v/>
      </c>
      <c r="L123" s="110" t="str">
        <f>IF(posicao_contratual!A122="","",posicao_contratual!S122)</f>
        <v/>
      </c>
      <c r="M123" s="109" t="str">
        <f>IF(A123="TOTAL",ROUND(SUM($M$3:M122),2),IF(OR(A123="",K123="",L123=""),"",ROUND(K123*L123,2)))</f>
        <v/>
      </c>
      <c r="N123" s="107" t="str">
        <f>IF(OR(historico_VU!A122="",historico_VU!G122=""),"",historico_VU!G122)</f>
        <v/>
      </c>
      <c r="O123" s="108" t="str">
        <f>IF(posicao_contratual!A122="","",posicao_contratual!W122)</f>
        <v/>
      </c>
      <c r="P123" s="107" t="str">
        <f>IF(A123="TOTAL",ROUND(SUM($P$3:P122),2),IF(OR(A123="",N123="",O123=""),"",ROUND(N123*O123,2)))</f>
        <v/>
      </c>
      <c r="Q123" s="181" t="str">
        <f t="shared" ca="1" si="24"/>
        <v/>
      </c>
      <c r="R123" t="str">
        <f>IF($A123="","",IF(MEMORIA_RESULTADOS!$W$46="","","C"&amp;MEMORIA_RESULTADOS!$W$46))</f>
        <v/>
      </c>
      <c r="S123" s="207" t="str">
        <f t="shared" ca="1" si="25"/>
        <v/>
      </c>
      <c r="T123" s="207" t="str">
        <f t="shared" ca="1" si="26"/>
        <v/>
      </c>
      <c r="U123" s="207" t="str">
        <f t="shared" ca="1" si="27"/>
        <v/>
      </c>
      <c r="V123" s="191" t="str">
        <f t="shared" ca="1" si="28"/>
        <v/>
      </c>
      <c r="W123" s="191" t="str">
        <f t="shared" ca="1" si="29"/>
        <v/>
      </c>
      <c r="X123" s="191" t="str">
        <f t="shared" ca="1" si="30"/>
        <v/>
      </c>
      <c r="Y123" t="str">
        <f t="shared" ca="1" si="31"/>
        <v/>
      </c>
      <c r="Z123" s="208" t="str">
        <f>IF($A123="","",IF(posicao_contratual!$AA122="","",posicao_contratual!$AA122))</f>
        <v/>
      </c>
      <c r="AA123" t="str">
        <f>IF($A123="","",IF(posicao_contratual!$AL122="","","C"&amp;posicao_contratual!$AL122))</f>
        <v/>
      </c>
      <c r="AB123" t="str">
        <f>IF($A123="","",IF(OR(MEMORIA_RESULTADOS!$W$46="",posicao_contratual!$AL122=""),"",IF(posicao_contratual!$AL122&lt;=MEMORIA_RESULTADOS!$W$46,"SIM","NAO APLICAVEL")))</f>
        <v/>
      </c>
      <c r="AC123" t="str">
        <f>IF($A123="","",IF(MEMORIA_RESULTADOS!$W$46="","",CHOOSE(MEMORIA_RESULTADOS!$W$46+1,posicao_contratual!$AG122,posicao_contratual!$AH122,posicao_contratual!$AI122,posicao_contratual!$AJ122,posicao_contratual!$AK122)))</f>
        <v/>
      </c>
    </row>
    <row r="124" spans="1:29" x14ac:dyDescent="0.35">
      <c r="A124" s="106" t="str">
        <f>IF(AND(itens_Remanesc!A123="",itens_Remanesc!A122&lt;&gt;"",COUNTIF(itens_Remanesc!A124:$A$200,"&lt;&gt;")=0),"TOTAL",IF(itens_Remanesc!A123="","",itens_Remanesc!A123))</f>
        <v/>
      </c>
      <c r="B124" s="107" t="str">
        <f>IF(OR(historico_VU!A123="",historico_VU!C123=""),"",historico_VU!C123)</f>
        <v/>
      </c>
      <c r="C124" s="108" t="str">
        <f>IF(posicao_contratual!A123="","",posicao_contratual!G123)</f>
        <v/>
      </c>
      <c r="D124" s="107" t="str">
        <f>IF(A124="TOTAL",ROUND(SUM($D$3:D123),2),IF(OR(A124="",B124="",C124=""),"",ROUND(B124*C124,2)))</f>
        <v/>
      </c>
      <c r="E124" s="109" t="str">
        <f>IF(OR(historico_VU!A123="",historico_VU!D123=""),"",historico_VU!D123)</f>
        <v/>
      </c>
      <c r="F124" s="110" t="str">
        <f>IF(posicao_contratual!A123="","",posicao_contratual!K123)</f>
        <v/>
      </c>
      <c r="G124" s="109" t="str">
        <f>IF(A124="TOTAL",ROUND(SUM($G$3:G123),2),IF(OR(A124="",E124="",F124=""),"",ROUND(E124*F124,2)))</f>
        <v/>
      </c>
      <c r="H124" s="107" t="str">
        <f>IF(OR(historico_VU!A123="",historico_VU!E123=""),"",historico_VU!E123)</f>
        <v/>
      </c>
      <c r="I124" s="108" t="str">
        <f>IF(posicao_contratual!A123="","",posicao_contratual!O123)</f>
        <v/>
      </c>
      <c r="J124" s="107" t="str">
        <f>IF(A124="TOTAL",ROUND(SUM($J$3:J123),2),IF(OR(A124="",H124="",I124=""),"",ROUND(H124*I124,2)))</f>
        <v/>
      </c>
      <c r="K124" s="109" t="str">
        <f>IF(OR(historico_VU!A123="",historico_VU!F123=""),"",historico_VU!F123)</f>
        <v/>
      </c>
      <c r="L124" s="110" t="str">
        <f>IF(posicao_contratual!A123="","",posicao_contratual!S123)</f>
        <v/>
      </c>
      <c r="M124" s="109" t="str">
        <f>IF(A124="TOTAL",ROUND(SUM($M$3:M123),2),IF(OR(A124="",K124="",L124=""),"",ROUND(K124*L124,2)))</f>
        <v/>
      </c>
      <c r="N124" s="107" t="str">
        <f>IF(OR(historico_VU!A123="",historico_VU!G123=""),"",historico_VU!G123)</f>
        <v/>
      </c>
      <c r="O124" s="108" t="str">
        <f>IF(posicao_contratual!A123="","",posicao_contratual!W123)</f>
        <v/>
      </c>
      <c r="P124" s="107" t="str">
        <f>IF(A124="TOTAL",ROUND(SUM($P$3:P123),2),IF(OR(A124="",N124="",O124=""),"",ROUND(N124*O124,2)))</f>
        <v/>
      </c>
      <c r="Q124" s="181" t="str">
        <f t="shared" ca="1" si="24"/>
        <v/>
      </c>
      <c r="R124" t="str">
        <f>IF($A124="","",IF(MEMORIA_RESULTADOS!$W$46="","","C"&amp;MEMORIA_RESULTADOS!$W$46))</f>
        <v/>
      </c>
      <c r="S124" s="207" t="str">
        <f t="shared" ca="1" si="25"/>
        <v/>
      </c>
      <c r="T124" s="207" t="str">
        <f t="shared" ca="1" si="26"/>
        <v/>
      </c>
      <c r="U124" s="207" t="str">
        <f t="shared" ca="1" si="27"/>
        <v/>
      </c>
      <c r="V124" s="191" t="str">
        <f t="shared" ca="1" si="28"/>
        <v/>
      </c>
      <c r="W124" s="191" t="str">
        <f t="shared" ca="1" si="29"/>
        <v/>
      </c>
      <c r="X124" s="191" t="str">
        <f t="shared" ca="1" si="30"/>
        <v/>
      </c>
      <c r="Y124" t="str">
        <f t="shared" ca="1" si="31"/>
        <v/>
      </c>
      <c r="Z124" s="208" t="str">
        <f>IF($A124="","",IF(posicao_contratual!$AA123="","",posicao_contratual!$AA123))</f>
        <v/>
      </c>
      <c r="AA124" t="str">
        <f>IF($A124="","",IF(posicao_contratual!$AL123="","","C"&amp;posicao_contratual!$AL123))</f>
        <v/>
      </c>
      <c r="AB124" t="str">
        <f>IF($A124="","",IF(OR(MEMORIA_RESULTADOS!$W$46="",posicao_contratual!$AL123=""),"",IF(posicao_contratual!$AL123&lt;=MEMORIA_RESULTADOS!$W$46,"SIM","NAO APLICAVEL")))</f>
        <v/>
      </c>
      <c r="AC124" t="str">
        <f>IF($A124="","",IF(MEMORIA_RESULTADOS!$W$46="","",CHOOSE(MEMORIA_RESULTADOS!$W$46+1,posicao_contratual!$AG123,posicao_contratual!$AH123,posicao_contratual!$AI123,posicao_contratual!$AJ123,posicao_contratual!$AK123)))</f>
        <v/>
      </c>
    </row>
    <row r="125" spans="1:29" x14ac:dyDescent="0.35">
      <c r="A125" s="106" t="str">
        <f>IF(AND(itens_Remanesc!A124="",itens_Remanesc!A123&lt;&gt;"",COUNTIF(itens_Remanesc!A125:$A$200,"&lt;&gt;")=0),"TOTAL",IF(itens_Remanesc!A124="","",itens_Remanesc!A124))</f>
        <v/>
      </c>
      <c r="B125" s="107" t="str">
        <f>IF(OR(historico_VU!A124="",historico_VU!C124=""),"",historico_VU!C124)</f>
        <v/>
      </c>
      <c r="C125" s="108" t="str">
        <f>IF(posicao_contratual!A124="","",posicao_contratual!G124)</f>
        <v/>
      </c>
      <c r="D125" s="107" t="str">
        <f>IF(A125="TOTAL",ROUND(SUM($D$3:D124),2),IF(OR(A125="",B125="",C125=""),"",ROUND(B125*C125,2)))</f>
        <v/>
      </c>
      <c r="E125" s="109" t="str">
        <f>IF(OR(historico_VU!A124="",historico_VU!D124=""),"",historico_VU!D124)</f>
        <v/>
      </c>
      <c r="F125" s="110" t="str">
        <f>IF(posicao_contratual!A124="","",posicao_contratual!K124)</f>
        <v/>
      </c>
      <c r="G125" s="109" t="str">
        <f>IF(A125="TOTAL",ROUND(SUM($G$3:G124),2),IF(OR(A125="",E125="",F125=""),"",ROUND(E125*F125,2)))</f>
        <v/>
      </c>
      <c r="H125" s="107" t="str">
        <f>IF(OR(historico_VU!A124="",historico_VU!E124=""),"",historico_VU!E124)</f>
        <v/>
      </c>
      <c r="I125" s="108" t="str">
        <f>IF(posicao_contratual!A124="","",posicao_contratual!O124)</f>
        <v/>
      </c>
      <c r="J125" s="107" t="str">
        <f>IF(A125="TOTAL",ROUND(SUM($J$3:J124),2),IF(OR(A125="",H125="",I125=""),"",ROUND(H125*I125,2)))</f>
        <v/>
      </c>
      <c r="K125" s="109" t="str">
        <f>IF(OR(historico_VU!A124="",historico_VU!F124=""),"",historico_VU!F124)</f>
        <v/>
      </c>
      <c r="L125" s="110" t="str">
        <f>IF(posicao_contratual!A124="","",posicao_contratual!S124)</f>
        <v/>
      </c>
      <c r="M125" s="109" t="str">
        <f>IF(A125="TOTAL",ROUND(SUM($M$3:M124),2),IF(OR(A125="",K125="",L125=""),"",ROUND(K125*L125,2)))</f>
        <v/>
      </c>
      <c r="N125" s="107" t="str">
        <f>IF(OR(historico_VU!A124="",historico_VU!G124=""),"",historico_VU!G124)</f>
        <v/>
      </c>
      <c r="O125" s="108" t="str">
        <f>IF(posicao_contratual!A124="","",posicao_contratual!W124)</f>
        <v/>
      </c>
      <c r="P125" s="107" t="str">
        <f>IF(A125="TOTAL",ROUND(SUM($P$3:P124),2),IF(OR(A125="",N125="",O125=""),"",ROUND(N125*O125,2)))</f>
        <v/>
      </c>
      <c r="Q125" s="181" t="str">
        <f t="shared" ca="1" si="24"/>
        <v/>
      </c>
      <c r="R125" t="str">
        <f>IF($A125="","",IF(MEMORIA_RESULTADOS!$W$46="","","C"&amp;MEMORIA_RESULTADOS!$W$46))</f>
        <v/>
      </c>
      <c r="S125" s="207" t="str">
        <f t="shared" ca="1" si="25"/>
        <v/>
      </c>
      <c r="T125" s="207" t="str">
        <f t="shared" ca="1" si="26"/>
        <v/>
      </c>
      <c r="U125" s="207" t="str">
        <f t="shared" ca="1" si="27"/>
        <v/>
      </c>
      <c r="V125" s="191" t="str">
        <f t="shared" ca="1" si="28"/>
        <v/>
      </c>
      <c r="W125" s="191" t="str">
        <f t="shared" ca="1" si="29"/>
        <v/>
      </c>
      <c r="X125" s="191" t="str">
        <f t="shared" ca="1" si="30"/>
        <v/>
      </c>
      <c r="Y125" t="str">
        <f t="shared" ca="1" si="31"/>
        <v/>
      </c>
      <c r="Z125" s="208" t="str">
        <f>IF($A125="","",IF(posicao_contratual!$AA124="","",posicao_contratual!$AA124))</f>
        <v/>
      </c>
      <c r="AA125" t="str">
        <f>IF($A125="","",IF(posicao_contratual!$AL124="","","C"&amp;posicao_contratual!$AL124))</f>
        <v/>
      </c>
      <c r="AB125" t="str">
        <f>IF($A125="","",IF(OR(MEMORIA_RESULTADOS!$W$46="",posicao_contratual!$AL124=""),"",IF(posicao_contratual!$AL124&lt;=MEMORIA_RESULTADOS!$W$46,"SIM","NAO APLICAVEL")))</f>
        <v/>
      </c>
      <c r="AC125" t="str">
        <f>IF($A125="","",IF(MEMORIA_RESULTADOS!$W$46="","",CHOOSE(MEMORIA_RESULTADOS!$W$46+1,posicao_contratual!$AG124,posicao_contratual!$AH124,posicao_contratual!$AI124,posicao_contratual!$AJ124,posicao_contratual!$AK124)))</f>
        <v/>
      </c>
    </row>
    <row r="126" spans="1:29" x14ac:dyDescent="0.35">
      <c r="A126" s="106" t="str">
        <f>IF(AND(itens_Remanesc!A125="",itens_Remanesc!A124&lt;&gt;"",COUNTIF(itens_Remanesc!A126:$A$200,"&lt;&gt;")=0),"TOTAL",IF(itens_Remanesc!A125="","",itens_Remanesc!A125))</f>
        <v/>
      </c>
      <c r="B126" s="107" t="str">
        <f>IF(OR(historico_VU!A125="",historico_VU!C125=""),"",historico_VU!C125)</f>
        <v/>
      </c>
      <c r="C126" s="108" t="str">
        <f>IF(posicao_contratual!A125="","",posicao_contratual!G125)</f>
        <v/>
      </c>
      <c r="D126" s="107" t="str">
        <f>IF(A126="TOTAL",ROUND(SUM($D$3:D125),2),IF(OR(A126="",B126="",C126=""),"",ROUND(B126*C126,2)))</f>
        <v/>
      </c>
      <c r="E126" s="109" t="str">
        <f>IF(OR(historico_VU!A125="",historico_VU!D125=""),"",historico_VU!D125)</f>
        <v/>
      </c>
      <c r="F126" s="110" t="str">
        <f>IF(posicao_contratual!A125="","",posicao_contratual!K125)</f>
        <v/>
      </c>
      <c r="G126" s="109" t="str">
        <f>IF(A126="TOTAL",ROUND(SUM($G$3:G125),2),IF(OR(A126="",E126="",F126=""),"",ROUND(E126*F126,2)))</f>
        <v/>
      </c>
      <c r="H126" s="107" t="str">
        <f>IF(OR(historico_VU!A125="",historico_VU!E125=""),"",historico_VU!E125)</f>
        <v/>
      </c>
      <c r="I126" s="108" t="str">
        <f>IF(posicao_contratual!A125="","",posicao_contratual!O125)</f>
        <v/>
      </c>
      <c r="J126" s="107" t="str">
        <f>IF(A126="TOTAL",ROUND(SUM($J$3:J125),2),IF(OR(A126="",H126="",I126=""),"",ROUND(H126*I126,2)))</f>
        <v/>
      </c>
      <c r="K126" s="109" t="str">
        <f>IF(OR(historico_VU!A125="",historico_VU!F125=""),"",historico_VU!F125)</f>
        <v/>
      </c>
      <c r="L126" s="110" t="str">
        <f>IF(posicao_contratual!A125="","",posicao_contratual!S125)</f>
        <v/>
      </c>
      <c r="M126" s="109" t="str">
        <f>IF(A126="TOTAL",ROUND(SUM($M$3:M125),2),IF(OR(A126="",K126="",L126=""),"",ROUND(K126*L126,2)))</f>
        <v/>
      </c>
      <c r="N126" s="107" t="str">
        <f>IF(OR(historico_VU!A125="",historico_VU!G125=""),"",historico_VU!G125)</f>
        <v/>
      </c>
      <c r="O126" s="108" t="str">
        <f>IF(posicao_contratual!A125="","",posicao_contratual!W125)</f>
        <v/>
      </c>
      <c r="P126" s="107" t="str">
        <f>IF(A126="TOTAL",ROUND(SUM($P$3:P125),2),IF(OR(A126="",N126="",O126=""),"",ROUND(N126*O126,2)))</f>
        <v/>
      </c>
      <c r="Q126" s="181" t="str">
        <f t="shared" ca="1" si="24"/>
        <v/>
      </c>
      <c r="R126" t="str">
        <f>IF($A126="","",IF(MEMORIA_RESULTADOS!$W$46="","","C"&amp;MEMORIA_RESULTADOS!$W$46))</f>
        <v/>
      </c>
      <c r="S126" s="207" t="str">
        <f t="shared" ca="1" si="25"/>
        <v/>
      </c>
      <c r="T126" s="207" t="str">
        <f t="shared" ca="1" si="26"/>
        <v/>
      </c>
      <c r="U126" s="207" t="str">
        <f t="shared" ca="1" si="27"/>
        <v/>
      </c>
      <c r="V126" s="191" t="str">
        <f t="shared" ca="1" si="28"/>
        <v/>
      </c>
      <c r="W126" s="191" t="str">
        <f t="shared" ca="1" si="29"/>
        <v/>
      </c>
      <c r="X126" s="191" t="str">
        <f t="shared" ca="1" si="30"/>
        <v/>
      </c>
      <c r="Y126" t="str">
        <f t="shared" ca="1" si="31"/>
        <v/>
      </c>
      <c r="Z126" s="208" t="str">
        <f>IF($A126="","",IF(posicao_contratual!$AA125="","",posicao_contratual!$AA125))</f>
        <v/>
      </c>
      <c r="AA126" t="str">
        <f>IF($A126="","",IF(posicao_contratual!$AL125="","","C"&amp;posicao_contratual!$AL125))</f>
        <v/>
      </c>
      <c r="AB126" t="str">
        <f>IF($A126="","",IF(OR(MEMORIA_RESULTADOS!$W$46="",posicao_contratual!$AL125=""),"",IF(posicao_contratual!$AL125&lt;=MEMORIA_RESULTADOS!$W$46,"SIM","NAO APLICAVEL")))</f>
        <v/>
      </c>
      <c r="AC126" t="str">
        <f>IF($A126="","",IF(MEMORIA_RESULTADOS!$W$46="","",CHOOSE(MEMORIA_RESULTADOS!$W$46+1,posicao_contratual!$AG125,posicao_contratual!$AH125,posicao_contratual!$AI125,posicao_contratual!$AJ125,posicao_contratual!$AK125)))</f>
        <v/>
      </c>
    </row>
    <row r="127" spans="1:29" x14ac:dyDescent="0.35">
      <c r="A127" s="106" t="str">
        <f>IF(AND(itens_Remanesc!A126="",itens_Remanesc!A125&lt;&gt;"",COUNTIF(itens_Remanesc!A127:$A$200,"&lt;&gt;")=0),"TOTAL",IF(itens_Remanesc!A126="","",itens_Remanesc!A126))</f>
        <v/>
      </c>
      <c r="B127" s="107" t="str">
        <f>IF(OR(historico_VU!A126="",historico_VU!C126=""),"",historico_VU!C126)</f>
        <v/>
      </c>
      <c r="C127" s="108" t="str">
        <f>IF(posicao_contratual!A126="","",posicao_contratual!G126)</f>
        <v/>
      </c>
      <c r="D127" s="107" t="str">
        <f>IF(A127="TOTAL",ROUND(SUM($D$3:D126),2),IF(OR(A127="",B127="",C127=""),"",ROUND(B127*C127,2)))</f>
        <v/>
      </c>
      <c r="E127" s="109" t="str">
        <f>IF(OR(historico_VU!A126="",historico_VU!D126=""),"",historico_VU!D126)</f>
        <v/>
      </c>
      <c r="F127" s="110" t="str">
        <f>IF(posicao_contratual!A126="","",posicao_contratual!K126)</f>
        <v/>
      </c>
      <c r="G127" s="109" t="str">
        <f>IF(A127="TOTAL",ROUND(SUM($G$3:G126),2),IF(OR(A127="",E127="",F127=""),"",ROUND(E127*F127,2)))</f>
        <v/>
      </c>
      <c r="H127" s="107" t="str">
        <f>IF(OR(historico_VU!A126="",historico_VU!E126=""),"",historico_VU!E126)</f>
        <v/>
      </c>
      <c r="I127" s="108" t="str">
        <f>IF(posicao_contratual!A126="","",posicao_contratual!O126)</f>
        <v/>
      </c>
      <c r="J127" s="107" t="str">
        <f>IF(A127="TOTAL",ROUND(SUM($J$3:J126),2),IF(OR(A127="",H127="",I127=""),"",ROUND(H127*I127,2)))</f>
        <v/>
      </c>
      <c r="K127" s="109" t="str">
        <f>IF(OR(historico_VU!A126="",historico_VU!F126=""),"",historico_VU!F126)</f>
        <v/>
      </c>
      <c r="L127" s="110" t="str">
        <f>IF(posicao_contratual!A126="","",posicao_contratual!S126)</f>
        <v/>
      </c>
      <c r="M127" s="109" t="str">
        <f>IF(A127="TOTAL",ROUND(SUM($M$3:M126),2),IF(OR(A127="",K127="",L127=""),"",ROUND(K127*L127,2)))</f>
        <v/>
      </c>
      <c r="N127" s="107" t="str">
        <f>IF(OR(historico_VU!A126="",historico_VU!G126=""),"",historico_VU!G126)</f>
        <v/>
      </c>
      <c r="O127" s="108" t="str">
        <f>IF(posicao_contratual!A126="","",posicao_contratual!W126)</f>
        <v/>
      </c>
      <c r="P127" s="107" t="str">
        <f>IF(A127="TOTAL",ROUND(SUM($P$3:P126),2),IF(OR(A127="",N127="",O127=""),"",ROUND(N127*O127,2)))</f>
        <v/>
      </c>
      <c r="Q127" s="181" t="str">
        <f t="shared" ca="1" si="24"/>
        <v/>
      </c>
      <c r="R127" t="str">
        <f>IF($A127="","",IF(MEMORIA_RESULTADOS!$W$46="","","C"&amp;MEMORIA_RESULTADOS!$W$46))</f>
        <v/>
      </c>
      <c r="S127" s="207" t="str">
        <f t="shared" ca="1" si="25"/>
        <v/>
      </c>
      <c r="T127" s="207" t="str">
        <f t="shared" ca="1" si="26"/>
        <v/>
      </c>
      <c r="U127" s="207" t="str">
        <f t="shared" ca="1" si="27"/>
        <v/>
      </c>
      <c r="V127" s="191" t="str">
        <f t="shared" ca="1" si="28"/>
        <v/>
      </c>
      <c r="W127" s="191" t="str">
        <f t="shared" ca="1" si="29"/>
        <v/>
      </c>
      <c r="X127" s="191" t="str">
        <f t="shared" ca="1" si="30"/>
        <v/>
      </c>
      <c r="Y127" t="str">
        <f t="shared" ca="1" si="31"/>
        <v/>
      </c>
      <c r="Z127" s="208" t="str">
        <f>IF($A127="","",IF(posicao_contratual!$AA126="","",posicao_contratual!$AA126))</f>
        <v/>
      </c>
      <c r="AA127" t="str">
        <f>IF($A127="","",IF(posicao_contratual!$AL126="","","C"&amp;posicao_contratual!$AL126))</f>
        <v/>
      </c>
      <c r="AB127" t="str">
        <f>IF($A127="","",IF(OR(MEMORIA_RESULTADOS!$W$46="",posicao_contratual!$AL126=""),"",IF(posicao_contratual!$AL126&lt;=MEMORIA_RESULTADOS!$W$46,"SIM","NAO APLICAVEL")))</f>
        <v/>
      </c>
      <c r="AC127" t="str">
        <f>IF($A127="","",IF(MEMORIA_RESULTADOS!$W$46="","",CHOOSE(MEMORIA_RESULTADOS!$W$46+1,posicao_contratual!$AG126,posicao_contratual!$AH126,posicao_contratual!$AI126,posicao_contratual!$AJ126,posicao_contratual!$AK126)))</f>
        <v/>
      </c>
    </row>
    <row r="128" spans="1:29" x14ac:dyDescent="0.35">
      <c r="A128" s="106" t="str">
        <f>IF(AND(itens_Remanesc!A127="",itens_Remanesc!A126&lt;&gt;"",COUNTIF(itens_Remanesc!A128:$A$200,"&lt;&gt;")=0),"TOTAL",IF(itens_Remanesc!A127="","",itens_Remanesc!A127))</f>
        <v/>
      </c>
      <c r="B128" s="107" t="str">
        <f>IF(OR(historico_VU!A127="",historico_VU!C127=""),"",historico_VU!C127)</f>
        <v/>
      </c>
      <c r="C128" s="108" t="str">
        <f>IF(posicao_contratual!A127="","",posicao_contratual!G127)</f>
        <v/>
      </c>
      <c r="D128" s="107" t="str">
        <f>IF(A128="TOTAL",ROUND(SUM($D$3:D127),2),IF(OR(A128="",B128="",C128=""),"",ROUND(B128*C128,2)))</f>
        <v/>
      </c>
      <c r="E128" s="109" t="str">
        <f>IF(OR(historico_VU!A127="",historico_VU!D127=""),"",historico_VU!D127)</f>
        <v/>
      </c>
      <c r="F128" s="110" t="str">
        <f>IF(posicao_contratual!A127="","",posicao_contratual!K127)</f>
        <v/>
      </c>
      <c r="G128" s="109" t="str">
        <f>IF(A128="TOTAL",ROUND(SUM($G$3:G127),2),IF(OR(A128="",E128="",F128=""),"",ROUND(E128*F128,2)))</f>
        <v/>
      </c>
      <c r="H128" s="107" t="str">
        <f>IF(OR(historico_VU!A127="",historico_VU!E127=""),"",historico_VU!E127)</f>
        <v/>
      </c>
      <c r="I128" s="108" t="str">
        <f>IF(posicao_contratual!A127="","",posicao_contratual!O127)</f>
        <v/>
      </c>
      <c r="J128" s="107" t="str">
        <f>IF(A128="TOTAL",ROUND(SUM($J$3:J127),2),IF(OR(A128="",H128="",I128=""),"",ROUND(H128*I128,2)))</f>
        <v/>
      </c>
      <c r="K128" s="109" t="str">
        <f>IF(OR(historico_VU!A127="",historico_VU!F127=""),"",historico_VU!F127)</f>
        <v/>
      </c>
      <c r="L128" s="110" t="str">
        <f>IF(posicao_contratual!A127="","",posicao_contratual!S127)</f>
        <v/>
      </c>
      <c r="M128" s="109" t="str">
        <f>IF(A128="TOTAL",ROUND(SUM($M$3:M127),2),IF(OR(A128="",K128="",L128=""),"",ROUND(K128*L128,2)))</f>
        <v/>
      </c>
      <c r="N128" s="107" t="str">
        <f>IF(OR(historico_VU!A127="",historico_VU!G127=""),"",historico_VU!G127)</f>
        <v/>
      </c>
      <c r="O128" s="108" t="str">
        <f>IF(posicao_contratual!A127="","",posicao_contratual!W127)</f>
        <v/>
      </c>
      <c r="P128" s="107" t="str">
        <f>IF(A128="TOTAL",ROUND(SUM($P$3:P127),2),IF(OR(A128="",N128="",O128=""),"",ROUND(N128*O128,2)))</f>
        <v/>
      </c>
      <c r="Q128" s="181" t="str">
        <f t="shared" ca="1" si="24"/>
        <v/>
      </c>
      <c r="R128" t="str">
        <f>IF($A128="","",IF(MEMORIA_RESULTADOS!$W$46="","","C"&amp;MEMORIA_RESULTADOS!$W$46))</f>
        <v/>
      </c>
      <c r="S128" s="207" t="str">
        <f t="shared" ca="1" si="25"/>
        <v/>
      </c>
      <c r="T128" s="207" t="str">
        <f t="shared" ca="1" si="26"/>
        <v/>
      </c>
      <c r="U128" s="207" t="str">
        <f t="shared" ca="1" si="27"/>
        <v/>
      </c>
      <c r="V128" s="191" t="str">
        <f t="shared" ca="1" si="28"/>
        <v/>
      </c>
      <c r="W128" s="191" t="str">
        <f t="shared" ca="1" si="29"/>
        <v/>
      </c>
      <c r="X128" s="191" t="str">
        <f t="shared" ca="1" si="30"/>
        <v/>
      </c>
      <c r="Y128" t="str">
        <f t="shared" ca="1" si="31"/>
        <v/>
      </c>
      <c r="Z128" s="208" t="str">
        <f>IF($A128="","",IF(posicao_contratual!$AA127="","",posicao_contratual!$AA127))</f>
        <v/>
      </c>
      <c r="AA128" t="str">
        <f>IF($A128="","",IF(posicao_contratual!$AL127="","","C"&amp;posicao_contratual!$AL127))</f>
        <v/>
      </c>
      <c r="AB128" t="str">
        <f>IF($A128="","",IF(OR(MEMORIA_RESULTADOS!$W$46="",posicao_contratual!$AL127=""),"",IF(posicao_contratual!$AL127&lt;=MEMORIA_RESULTADOS!$W$46,"SIM","NAO APLICAVEL")))</f>
        <v/>
      </c>
      <c r="AC128" t="str">
        <f>IF($A128="","",IF(MEMORIA_RESULTADOS!$W$46="","",CHOOSE(MEMORIA_RESULTADOS!$W$46+1,posicao_contratual!$AG127,posicao_contratual!$AH127,posicao_contratual!$AI127,posicao_contratual!$AJ127,posicao_contratual!$AK127)))</f>
        <v/>
      </c>
    </row>
    <row r="129" spans="1:29" x14ac:dyDescent="0.35">
      <c r="A129" s="106" t="str">
        <f>IF(AND(itens_Remanesc!A128="",itens_Remanesc!A127&lt;&gt;"",COUNTIF(itens_Remanesc!A129:$A$200,"&lt;&gt;")=0),"TOTAL",IF(itens_Remanesc!A128="","",itens_Remanesc!A128))</f>
        <v/>
      </c>
      <c r="B129" s="107" t="str">
        <f>IF(OR(historico_VU!A128="",historico_VU!C128=""),"",historico_VU!C128)</f>
        <v/>
      </c>
      <c r="C129" s="108" t="str">
        <f>IF(posicao_contratual!A128="","",posicao_contratual!G128)</f>
        <v/>
      </c>
      <c r="D129" s="107" t="str">
        <f>IF(A129="TOTAL",ROUND(SUM($D$3:D128),2),IF(OR(A129="",B129="",C129=""),"",ROUND(B129*C129,2)))</f>
        <v/>
      </c>
      <c r="E129" s="109" t="str">
        <f>IF(OR(historico_VU!A128="",historico_VU!D128=""),"",historico_VU!D128)</f>
        <v/>
      </c>
      <c r="F129" s="110" t="str">
        <f>IF(posicao_contratual!A128="","",posicao_contratual!K128)</f>
        <v/>
      </c>
      <c r="G129" s="109" t="str">
        <f>IF(A129="TOTAL",ROUND(SUM($G$3:G128),2),IF(OR(A129="",E129="",F129=""),"",ROUND(E129*F129,2)))</f>
        <v/>
      </c>
      <c r="H129" s="107" t="str">
        <f>IF(OR(historico_VU!A128="",historico_VU!E128=""),"",historico_VU!E128)</f>
        <v/>
      </c>
      <c r="I129" s="108" t="str">
        <f>IF(posicao_contratual!A128="","",posicao_contratual!O128)</f>
        <v/>
      </c>
      <c r="J129" s="107" t="str">
        <f>IF(A129="TOTAL",ROUND(SUM($J$3:J128),2),IF(OR(A129="",H129="",I129=""),"",ROUND(H129*I129,2)))</f>
        <v/>
      </c>
      <c r="K129" s="109" t="str">
        <f>IF(OR(historico_VU!A128="",historico_VU!F128=""),"",historico_VU!F128)</f>
        <v/>
      </c>
      <c r="L129" s="110" t="str">
        <f>IF(posicao_contratual!A128="","",posicao_contratual!S128)</f>
        <v/>
      </c>
      <c r="M129" s="109" t="str">
        <f>IF(A129="TOTAL",ROUND(SUM($M$3:M128),2),IF(OR(A129="",K129="",L129=""),"",ROUND(K129*L129,2)))</f>
        <v/>
      </c>
      <c r="N129" s="107" t="str">
        <f>IF(OR(historico_VU!A128="",historico_VU!G128=""),"",historico_VU!G128)</f>
        <v/>
      </c>
      <c r="O129" s="108" t="str">
        <f>IF(posicao_contratual!A128="","",posicao_contratual!W128)</f>
        <v/>
      </c>
      <c r="P129" s="107" t="str">
        <f>IF(A129="TOTAL",ROUND(SUM($P$3:P128),2),IF(OR(A129="",N129="",O129=""),"",ROUND(N129*O129,2)))</f>
        <v/>
      </c>
      <c r="Q129" s="181" t="str">
        <f t="shared" ca="1" si="24"/>
        <v/>
      </c>
      <c r="R129" t="str">
        <f>IF($A129="","",IF(MEMORIA_RESULTADOS!$W$46="","","C"&amp;MEMORIA_RESULTADOS!$W$46))</f>
        <v/>
      </c>
      <c r="S129" s="207" t="str">
        <f t="shared" ca="1" si="25"/>
        <v/>
      </c>
      <c r="T129" s="207" t="str">
        <f t="shared" ca="1" si="26"/>
        <v/>
      </c>
      <c r="U129" s="207" t="str">
        <f t="shared" ca="1" si="27"/>
        <v/>
      </c>
      <c r="V129" s="191" t="str">
        <f t="shared" ca="1" si="28"/>
        <v/>
      </c>
      <c r="W129" s="191" t="str">
        <f t="shared" ca="1" si="29"/>
        <v/>
      </c>
      <c r="X129" s="191" t="str">
        <f t="shared" ca="1" si="30"/>
        <v/>
      </c>
      <c r="Y129" t="str">
        <f t="shared" ca="1" si="31"/>
        <v/>
      </c>
      <c r="Z129" s="208" t="str">
        <f>IF($A129="","",IF(posicao_contratual!$AA128="","",posicao_contratual!$AA128))</f>
        <v/>
      </c>
      <c r="AA129" t="str">
        <f>IF($A129="","",IF(posicao_contratual!$AL128="","","C"&amp;posicao_contratual!$AL128))</f>
        <v/>
      </c>
      <c r="AB129" t="str">
        <f>IF($A129="","",IF(OR(MEMORIA_RESULTADOS!$W$46="",posicao_contratual!$AL128=""),"",IF(posicao_contratual!$AL128&lt;=MEMORIA_RESULTADOS!$W$46,"SIM","NAO APLICAVEL")))</f>
        <v/>
      </c>
      <c r="AC129" t="str">
        <f>IF($A129="","",IF(MEMORIA_RESULTADOS!$W$46="","",CHOOSE(MEMORIA_RESULTADOS!$W$46+1,posicao_contratual!$AG128,posicao_contratual!$AH128,posicao_contratual!$AI128,posicao_contratual!$AJ128,posicao_contratual!$AK128)))</f>
        <v/>
      </c>
    </row>
    <row r="130" spans="1:29" x14ac:dyDescent="0.35">
      <c r="A130" s="106" t="str">
        <f>IF(AND(itens_Remanesc!A129="",itens_Remanesc!A128&lt;&gt;"",COUNTIF(itens_Remanesc!A130:$A$200,"&lt;&gt;")=0),"TOTAL",IF(itens_Remanesc!A129="","",itens_Remanesc!A129))</f>
        <v/>
      </c>
      <c r="B130" s="107" t="str">
        <f>IF(OR(historico_VU!A129="",historico_VU!C129=""),"",historico_VU!C129)</f>
        <v/>
      </c>
      <c r="C130" s="108" t="str">
        <f>IF(posicao_contratual!A129="","",posicao_contratual!G129)</f>
        <v/>
      </c>
      <c r="D130" s="107" t="str">
        <f>IF(A130="TOTAL",ROUND(SUM($D$3:D129),2),IF(OR(A130="",B130="",C130=""),"",ROUND(B130*C130,2)))</f>
        <v/>
      </c>
      <c r="E130" s="109" t="str">
        <f>IF(OR(historico_VU!A129="",historico_VU!D129=""),"",historico_VU!D129)</f>
        <v/>
      </c>
      <c r="F130" s="110" t="str">
        <f>IF(posicao_contratual!A129="","",posicao_contratual!K129)</f>
        <v/>
      </c>
      <c r="G130" s="109" t="str">
        <f>IF(A130="TOTAL",ROUND(SUM($G$3:G129),2),IF(OR(A130="",E130="",F130=""),"",ROUND(E130*F130,2)))</f>
        <v/>
      </c>
      <c r="H130" s="107" t="str">
        <f>IF(OR(historico_VU!A129="",historico_VU!E129=""),"",historico_VU!E129)</f>
        <v/>
      </c>
      <c r="I130" s="108" t="str">
        <f>IF(posicao_contratual!A129="","",posicao_contratual!O129)</f>
        <v/>
      </c>
      <c r="J130" s="107" t="str">
        <f>IF(A130="TOTAL",ROUND(SUM($J$3:J129),2),IF(OR(A130="",H130="",I130=""),"",ROUND(H130*I130,2)))</f>
        <v/>
      </c>
      <c r="K130" s="109" t="str">
        <f>IF(OR(historico_VU!A129="",historico_VU!F129=""),"",historico_VU!F129)</f>
        <v/>
      </c>
      <c r="L130" s="110" t="str">
        <f>IF(posicao_contratual!A129="","",posicao_contratual!S129)</f>
        <v/>
      </c>
      <c r="M130" s="109" t="str">
        <f>IF(A130="TOTAL",ROUND(SUM($M$3:M129),2),IF(OR(A130="",K130="",L130=""),"",ROUND(K130*L130,2)))</f>
        <v/>
      </c>
      <c r="N130" s="107" t="str">
        <f>IF(OR(historico_VU!A129="",historico_VU!G129=""),"",historico_VU!G129)</f>
        <v/>
      </c>
      <c r="O130" s="108" t="str">
        <f>IF(posicao_contratual!A129="","",posicao_contratual!W129)</f>
        <v/>
      </c>
      <c r="P130" s="107" t="str">
        <f>IF(A130="TOTAL",ROUND(SUM($P$3:P129),2),IF(OR(A130="",N130="",O130=""),"",ROUND(N130*O130,2)))</f>
        <v/>
      </c>
      <c r="Q130" s="181" t="str">
        <f t="shared" ca="1" si="24"/>
        <v/>
      </c>
      <c r="R130" t="str">
        <f>IF($A130="","",IF(MEMORIA_RESULTADOS!$W$46="","","C"&amp;MEMORIA_RESULTADOS!$W$46))</f>
        <v/>
      </c>
      <c r="S130" s="207" t="str">
        <f t="shared" ca="1" si="25"/>
        <v/>
      </c>
      <c r="T130" s="207" t="str">
        <f t="shared" ca="1" si="26"/>
        <v/>
      </c>
      <c r="U130" s="207" t="str">
        <f t="shared" ca="1" si="27"/>
        <v/>
      </c>
      <c r="V130" s="191" t="str">
        <f t="shared" ca="1" si="28"/>
        <v/>
      </c>
      <c r="W130" s="191" t="str">
        <f t="shared" ca="1" si="29"/>
        <v/>
      </c>
      <c r="X130" s="191" t="str">
        <f t="shared" ca="1" si="30"/>
        <v/>
      </c>
      <c r="Y130" t="str">
        <f t="shared" ca="1" si="31"/>
        <v/>
      </c>
      <c r="Z130" s="208" t="str">
        <f>IF($A130="","",IF(posicao_contratual!$AA129="","",posicao_contratual!$AA129))</f>
        <v/>
      </c>
      <c r="AA130" t="str">
        <f>IF($A130="","",IF(posicao_contratual!$AL129="","","C"&amp;posicao_contratual!$AL129))</f>
        <v/>
      </c>
      <c r="AB130" t="str">
        <f>IF($A130="","",IF(OR(MEMORIA_RESULTADOS!$W$46="",posicao_contratual!$AL129=""),"",IF(posicao_contratual!$AL129&lt;=MEMORIA_RESULTADOS!$W$46,"SIM","NAO APLICAVEL")))</f>
        <v/>
      </c>
      <c r="AC130" t="str">
        <f>IF($A130="","",IF(MEMORIA_RESULTADOS!$W$46="","",CHOOSE(MEMORIA_RESULTADOS!$W$46+1,posicao_contratual!$AG129,posicao_contratual!$AH129,posicao_contratual!$AI129,posicao_contratual!$AJ129,posicao_contratual!$AK129)))</f>
        <v/>
      </c>
    </row>
    <row r="131" spans="1:29" x14ac:dyDescent="0.35">
      <c r="A131" s="106" t="str">
        <f>IF(AND(itens_Remanesc!A130="",itens_Remanesc!A129&lt;&gt;"",COUNTIF(itens_Remanesc!A131:$A$200,"&lt;&gt;")=0),"TOTAL",IF(itens_Remanesc!A130="","",itens_Remanesc!A130))</f>
        <v/>
      </c>
      <c r="B131" s="107" t="str">
        <f>IF(OR(historico_VU!A130="",historico_VU!C130=""),"",historico_VU!C130)</f>
        <v/>
      </c>
      <c r="C131" s="108" t="str">
        <f>IF(posicao_contratual!A130="","",posicao_contratual!G130)</f>
        <v/>
      </c>
      <c r="D131" s="107" t="str">
        <f>IF(A131="TOTAL",ROUND(SUM($D$3:D130),2),IF(OR(A131="",B131="",C131=""),"",ROUND(B131*C131,2)))</f>
        <v/>
      </c>
      <c r="E131" s="109" t="str">
        <f>IF(OR(historico_VU!A130="",historico_VU!D130=""),"",historico_VU!D130)</f>
        <v/>
      </c>
      <c r="F131" s="110" t="str">
        <f>IF(posicao_contratual!A130="","",posicao_contratual!K130)</f>
        <v/>
      </c>
      <c r="G131" s="109" t="str">
        <f>IF(A131="TOTAL",ROUND(SUM($G$3:G130),2),IF(OR(A131="",E131="",F131=""),"",ROUND(E131*F131,2)))</f>
        <v/>
      </c>
      <c r="H131" s="107" t="str">
        <f>IF(OR(historico_VU!A130="",historico_VU!E130=""),"",historico_VU!E130)</f>
        <v/>
      </c>
      <c r="I131" s="108" t="str">
        <f>IF(posicao_contratual!A130="","",posicao_contratual!O130)</f>
        <v/>
      </c>
      <c r="J131" s="107" t="str">
        <f>IF(A131="TOTAL",ROUND(SUM($J$3:J130),2),IF(OR(A131="",H131="",I131=""),"",ROUND(H131*I131,2)))</f>
        <v/>
      </c>
      <c r="K131" s="109" t="str">
        <f>IF(OR(historico_VU!A130="",historico_VU!F130=""),"",historico_VU!F130)</f>
        <v/>
      </c>
      <c r="L131" s="110" t="str">
        <f>IF(posicao_contratual!A130="","",posicao_contratual!S130)</f>
        <v/>
      </c>
      <c r="M131" s="109" t="str">
        <f>IF(A131="TOTAL",ROUND(SUM($M$3:M130),2),IF(OR(A131="",K131="",L131=""),"",ROUND(K131*L131,2)))</f>
        <v/>
      </c>
      <c r="N131" s="107" t="str">
        <f>IF(OR(historico_VU!A130="",historico_VU!G130=""),"",historico_VU!G130)</f>
        <v/>
      </c>
      <c r="O131" s="108" t="str">
        <f>IF(posicao_contratual!A130="","",posicao_contratual!W130)</f>
        <v/>
      </c>
      <c r="P131" s="107" t="str">
        <f>IF(A131="TOTAL",ROUND(SUM($P$3:P130),2),IF(OR(A131="",N131="",O131=""),"",ROUND(N131*O131,2)))</f>
        <v/>
      </c>
      <c r="Q131" s="181" t="str">
        <f t="shared" ref="Q131:Q162" ca="1" si="32">IF($A131="","",IFERROR(IF(INDIRECT("CICLO_EM_EXECUCAO!$D$5")="","",INDIRECT("CICLO_EM_EXECUCAO!$D$5")),""))</f>
        <v/>
      </c>
      <c r="R131" t="str">
        <f>IF($A131="","",IF(MEMORIA_RESULTADOS!$W$46="","","C"&amp;MEMORIA_RESULTADOS!$W$46))</f>
        <v/>
      </c>
      <c r="S131" s="207" t="str">
        <f t="shared" ref="S131:S162" ca="1" si="33">IF($A131="","",IFERROR(IF(INDIRECT("CICLO_EM_EXECUCAO!B"&amp;(ROW()+10))="","",INDIRECT("CICLO_EM_EXECUCAO!B"&amp;(ROW()+10))),""))</f>
        <v/>
      </c>
      <c r="T131" s="207" t="str">
        <f t="shared" ref="T131:T162" ca="1" si="34">IF($A131="","",IFERROR(IF(INDIRECT("CICLO_EM_EXECUCAO!D"&amp;(ROW()+10))="","",INDIRECT("CICLO_EM_EXECUCAO!D"&amp;(ROW()+10))),""))</f>
        <v/>
      </c>
      <c r="U131" s="207" t="str">
        <f t="shared" ref="U131:U162" ca="1" si="35">IF($A131="","",IFERROR(IF(INDIRECT("CICLO_EM_EXECUCAO!C"&amp;(ROW()+10))="","",INDIRECT("CICLO_EM_EXECUCAO!C"&amp;(ROW()+10))),""))</f>
        <v/>
      </c>
      <c r="V131" s="191" t="str">
        <f t="shared" ref="V131:V162" ca="1" si="36">IF($A131="","",IFERROR(IF(INDIRECT("CICLO_EM_EXECUCAO!E"&amp;(ROW()+10))="","",INDIRECT("CICLO_EM_EXECUCAO!E"&amp;(ROW()+10))),""))</f>
        <v/>
      </c>
      <c r="W131" s="191" t="str">
        <f t="shared" ref="W131:W162" ca="1" si="37">IF($A131="","",IFERROR(IF(INDIRECT("CICLO_EM_EXECUCAO!F"&amp;(ROW()+10))="","",INDIRECT("CICLO_EM_EXECUCAO!F"&amp;(ROW()+10))),""))</f>
        <v/>
      </c>
      <c r="X131" s="191" t="str">
        <f t="shared" ref="X131:X162" ca="1" si="38">IF($A131="","",IFERROR(IF(INDIRECT("CICLO_EM_EXECUCAO!G"&amp;(ROW()+10))="","",INDIRECT("CICLO_EM_EXECUCAO!G"&amp;(ROW()+10))),""))</f>
        <v/>
      </c>
      <c r="Y131" t="str">
        <f t="shared" ref="Y131:Y162" ca="1" si="39">IF($A131="","",IFERROR(IF(INDIRECT("CICLO_EM_EXECUCAO!K"&amp;(ROW()+10))="","",INDIRECT("CICLO_EM_EXECUCAO!K"&amp;(ROW()+10))),"CICLO_EM_EXECUCAO AUSENTE"))</f>
        <v/>
      </c>
      <c r="Z131" s="208" t="str">
        <f>IF($A131="","",IF(posicao_contratual!$AA130="","",posicao_contratual!$AA130))</f>
        <v/>
      </c>
      <c r="AA131" t="str">
        <f>IF($A131="","",IF(posicao_contratual!$AL130="","","C"&amp;posicao_contratual!$AL130))</f>
        <v/>
      </c>
      <c r="AB131" t="str">
        <f>IF($A131="","",IF(OR(MEMORIA_RESULTADOS!$W$46="",posicao_contratual!$AL130=""),"",IF(posicao_contratual!$AL130&lt;=MEMORIA_RESULTADOS!$W$46,"SIM","NAO APLICAVEL")))</f>
        <v/>
      </c>
      <c r="AC131" t="str">
        <f>IF($A131="","",IF(MEMORIA_RESULTADOS!$W$46="","",CHOOSE(MEMORIA_RESULTADOS!$W$46+1,posicao_contratual!$AG130,posicao_contratual!$AH130,posicao_contratual!$AI130,posicao_contratual!$AJ130,posicao_contratual!$AK130)))</f>
        <v/>
      </c>
    </row>
    <row r="132" spans="1:29" x14ac:dyDescent="0.35">
      <c r="A132" s="106" t="str">
        <f>IF(AND(itens_Remanesc!A131="",itens_Remanesc!A130&lt;&gt;"",COUNTIF(itens_Remanesc!A132:$A$200,"&lt;&gt;")=0),"TOTAL",IF(itens_Remanesc!A131="","",itens_Remanesc!A131))</f>
        <v/>
      </c>
      <c r="B132" s="107" t="str">
        <f>IF(OR(historico_VU!A131="",historico_VU!C131=""),"",historico_VU!C131)</f>
        <v/>
      </c>
      <c r="C132" s="108" t="str">
        <f>IF(posicao_contratual!A131="","",posicao_contratual!G131)</f>
        <v/>
      </c>
      <c r="D132" s="107" t="str">
        <f>IF(A132="TOTAL",ROUND(SUM($D$3:D131),2),IF(OR(A132="",B132="",C132=""),"",ROUND(B132*C132,2)))</f>
        <v/>
      </c>
      <c r="E132" s="109" t="str">
        <f>IF(OR(historico_VU!A131="",historico_VU!D131=""),"",historico_VU!D131)</f>
        <v/>
      </c>
      <c r="F132" s="110" t="str">
        <f>IF(posicao_contratual!A131="","",posicao_contratual!K131)</f>
        <v/>
      </c>
      <c r="G132" s="109" t="str">
        <f>IF(A132="TOTAL",ROUND(SUM($G$3:G131),2),IF(OR(A132="",E132="",F132=""),"",ROUND(E132*F132,2)))</f>
        <v/>
      </c>
      <c r="H132" s="107" t="str">
        <f>IF(OR(historico_VU!A131="",historico_VU!E131=""),"",historico_VU!E131)</f>
        <v/>
      </c>
      <c r="I132" s="108" t="str">
        <f>IF(posicao_contratual!A131="","",posicao_contratual!O131)</f>
        <v/>
      </c>
      <c r="J132" s="107" t="str">
        <f>IF(A132="TOTAL",ROUND(SUM($J$3:J131),2),IF(OR(A132="",H132="",I132=""),"",ROUND(H132*I132,2)))</f>
        <v/>
      </c>
      <c r="K132" s="109" t="str">
        <f>IF(OR(historico_VU!A131="",historico_VU!F131=""),"",historico_VU!F131)</f>
        <v/>
      </c>
      <c r="L132" s="110" t="str">
        <f>IF(posicao_contratual!A131="","",posicao_contratual!S131)</f>
        <v/>
      </c>
      <c r="M132" s="109" t="str">
        <f>IF(A132="TOTAL",ROUND(SUM($M$3:M131),2),IF(OR(A132="",K132="",L132=""),"",ROUND(K132*L132,2)))</f>
        <v/>
      </c>
      <c r="N132" s="107" t="str">
        <f>IF(OR(historico_VU!A131="",historico_VU!G131=""),"",historico_VU!G131)</f>
        <v/>
      </c>
      <c r="O132" s="108" t="str">
        <f>IF(posicao_contratual!A131="","",posicao_contratual!W131)</f>
        <v/>
      </c>
      <c r="P132" s="107" t="str">
        <f>IF(A132="TOTAL",ROUND(SUM($P$3:P131),2),IF(OR(A132="",N132="",O132=""),"",ROUND(N132*O132,2)))</f>
        <v/>
      </c>
      <c r="Q132" s="181" t="str">
        <f t="shared" ca="1" si="32"/>
        <v/>
      </c>
      <c r="R132" t="str">
        <f>IF($A132="","",IF(MEMORIA_RESULTADOS!$W$46="","","C"&amp;MEMORIA_RESULTADOS!$W$46))</f>
        <v/>
      </c>
      <c r="S132" s="207" t="str">
        <f t="shared" ca="1" si="33"/>
        <v/>
      </c>
      <c r="T132" s="207" t="str">
        <f t="shared" ca="1" si="34"/>
        <v/>
      </c>
      <c r="U132" s="207" t="str">
        <f t="shared" ca="1" si="35"/>
        <v/>
      </c>
      <c r="V132" s="191" t="str">
        <f t="shared" ca="1" si="36"/>
        <v/>
      </c>
      <c r="W132" s="191" t="str">
        <f t="shared" ca="1" si="37"/>
        <v/>
      </c>
      <c r="X132" s="191" t="str">
        <f t="shared" ca="1" si="38"/>
        <v/>
      </c>
      <c r="Y132" t="str">
        <f t="shared" ca="1" si="39"/>
        <v/>
      </c>
      <c r="Z132" s="208" t="str">
        <f>IF($A132="","",IF(posicao_contratual!$AA131="","",posicao_contratual!$AA131))</f>
        <v/>
      </c>
      <c r="AA132" t="str">
        <f>IF($A132="","",IF(posicao_contratual!$AL131="","","C"&amp;posicao_contratual!$AL131))</f>
        <v/>
      </c>
      <c r="AB132" t="str">
        <f>IF($A132="","",IF(OR(MEMORIA_RESULTADOS!$W$46="",posicao_contratual!$AL131=""),"",IF(posicao_contratual!$AL131&lt;=MEMORIA_RESULTADOS!$W$46,"SIM","NAO APLICAVEL")))</f>
        <v/>
      </c>
      <c r="AC132" t="str">
        <f>IF($A132="","",IF(MEMORIA_RESULTADOS!$W$46="","",CHOOSE(MEMORIA_RESULTADOS!$W$46+1,posicao_contratual!$AG131,posicao_contratual!$AH131,posicao_contratual!$AI131,posicao_contratual!$AJ131,posicao_contratual!$AK131)))</f>
        <v/>
      </c>
    </row>
    <row r="133" spans="1:29" x14ac:dyDescent="0.35">
      <c r="A133" s="106" t="str">
        <f>IF(AND(itens_Remanesc!A132="",itens_Remanesc!A131&lt;&gt;"",COUNTIF(itens_Remanesc!A133:$A$200,"&lt;&gt;")=0),"TOTAL",IF(itens_Remanesc!A132="","",itens_Remanesc!A132))</f>
        <v/>
      </c>
      <c r="B133" s="107" t="str">
        <f>IF(OR(historico_VU!A132="",historico_VU!C132=""),"",historico_VU!C132)</f>
        <v/>
      </c>
      <c r="C133" s="108" t="str">
        <f>IF(posicao_contratual!A132="","",posicao_contratual!G132)</f>
        <v/>
      </c>
      <c r="D133" s="107" t="str">
        <f>IF(A133="TOTAL",ROUND(SUM($D$3:D132),2),IF(OR(A133="",B133="",C133=""),"",ROUND(B133*C133,2)))</f>
        <v/>
      </c>
      <c r="E133" s="109" t="str">
        <f>IF(OR(historico_VU!A132="",historico_VU!D132=""),"",historico_VU!D132)</f>
        <v/>
      </c>
      <c r="F133" s="110" t="str">
        <f>IF(posicao_contratual!A132="","",posicao_contratual!K132)</f>
        <v/>
      </c>
      <c r="G133" s="109" t="str">
        <f>IF(A133="TOTAL",ROUND(SUM($G$3:G132),2),IF(OR(A133="",E133="",F133=""),"",ROUND(E133*F133,2)))</f>
        <v/>
      </c>
      <c r="H133" s="107" t="str">
        <f>IF(OR(historico_VU!A132="",historico_VU!E132=""),"",historico_VU!E132)</f>
        <v/>
      </c>
      <c r="I133" s="108" t="str">
        <f>IF(posicao_contratual!A132="","",posicao_contratual!O132)</f>
        <v/>
      </c>
      <c r="J133" s="107" t="str">
        <f>IF(A133="TOTAL",ROUND(SUM($J$3:J132),2),IF(OR(A133="",H133="",I133=""),"",ROUND(H133*I133,2)))</f>
        <v/>
      </c>
      <c r="K133" s="109" t="str">
        <f>IF(OR(historico_VU!A132="",historico_VU!F132=""),"",historico_VU!F132)</f>
        <v/>
      </c>
      <c r="L133" s="110" t="str">
        <f>IF(posicao_contratual!A132="","",posicao_contratual!S132)</f>
        <v/>
      </c>
      <c r="M133" s="109" t="str">
        <f>IF(A133="TOTAL",ROUND(SUM($M$3:M132),2),IF(OR(A133="",K133="",L133=""),"",ROUND(K133*L133,2)))</f>
        <v/>
      </c>
      <c r="N133" s="107" t="str">
        <f>IF(OR(historico_VU!A132="",historico_VU!G132=""),"",historico_VU!G132)</f>
        <v/>
      </c>
      <c r="O133" s="108" t="str">
        <f>IF(posicao_contratual!A132="","",posicao_contratual!W132)</f>
        <v/>
      </c>
      <c r="P133" s="107" t="str">
        <f>IF(A133="TOTAL",ROUND(SUM($P$3:P132),2),IF(OR(A133="",N133="",O133=""),"",ROUND(N133*O133,2)))</f>
        <v/>
      </c>
      <c r="Q133" s="181" t="str">
        <f t="shared" ca="1" si="32"/>
        <v/>
      </c>
      <c r="R133" t="str">
        <f>IF($A133="","",IF(MEMORIA_RESULTADOS!$W$46="","","C"&amp;MEMORIA_RESULTADOS!$W$46))</f>
        <v/>
      </c>
      <c r="S133" s="207" t="str">
        <f t="shared" ca="1" si="33"/>
        <v/>
      </c>
      <c r="T133" s="207" t="str">
        <f t="shared" ca="1" si="34"/>
        <v/>
      </c>
      <c r="U133" s="207" t="str">
        <f t="shared" ca="1" si="35"/>
        <v/>
      </c>
      <c r="V133" s="191" t="str">
        <f t="shared" ca="1" si="36"/>
        <v/>
      </c>
      <c r="W133" s="191" t="str">
        <f t="shared" ca="1" si="37"/>
        <v/>
      </c>
      <c r="X133" s="191" t="str">
        <f t="shared" ca="1" si="38"/>
        <v/>
      </c>
      <c r="Y133" t="str">
        <f t="shared" ca="1" si="39"/>
        <v/>
      </c>
      <c r="Z133" s="208" t="str">
        <f>IF($A133="","",IF(posicao_contratual!$AA132="","",posicao_contratual!$AA132))</f>
        <v/>
      </c>
      <c r="AA133" t="str">
        <f>IF($A133="","",IF(posicao_contratual!$AL132="","","C"&amp;posicao_contratual!$AL132))</f>
        <v/>
      </c>
      <c r="AB133" t="str">
        <f>IF($A133="","",IF(OR(MEMORIA_RESULTADOS!$W$46="",posicao_contratual!$AL132=""),"",IF(posicao_contratual!$AL132&lt;=MEMORIA_RESULTADOS!$W$46,"SIM","NAO APLICAVEL")))</f>
        <v/>
      </c>
      <c r="AC133" t="str">
        <f>IF($A133="","",IF(MEMORIA_RESULTADOS!$W$46="","",CHOOSE(MEMORIA_RESULTADOS!$W$46+1,posicao_contratual!$AG132,posicao_contratual!$AH132,posicao_contratual!$AI132,posicao_contratual!$AJ132,posicao_contratual!$AK132)))</f>
        <v/>
      </c>
    </row>
    <row r="134" spans="1:29" x14ac:dyDescent="0.35">
      <c r="A134" s="106" t="str">
        <f>IF(AND(itens_Remanesc!A133="",itens_Remanesc!A132&lt;&gt;"",COUNTIF(itens_Remanesc!A134:$A$200,"&lt;&gt;")=0),"TOTAL",IF(itens_Remanesc!A133="","",itens_Remanesc!A133))</f>
        <v/>
      </c>
      <c r="B134" s="107" t="str">
        <f>IF(OR(historico_VU!A133="",historico_VU!C133=""),"",historico_VU!C133)</f>
        <v/>
      </c>
      <c r="C134" s="108" t="str">
        <f>IF(posicao_contratual!A133="","",posicao_contratual!G133)</f>
        <v/>
      </c>
      <c r="D134" s="107" t="str">
        <f>IF(A134="TOTAL",ROUND(SUM($D$3:D133),2),IF(OR(A134="",B134="",C134=""),"",ROUND(B134*C134,2)))</f>
        <v/>
      </c>
      <c r="E134" s="109" t="str">
        <f>IF(OR(historico_VU!A133="",historico_VU!D133=""),"",historico_VU!D133)</f>
        <v/>
      </c>
      <c r="F134" s="110" t="str">
        <f>IF(posicao_contratual!A133="","",posicao_contratual!K133)</f>
        <v/>
      </c>
      <c r="G134" s="109" t="str">
        <f>IF(A134="TOTAL",ROUND(SUM($G$3:G133),2),IF(OR(A134="",E134="",F134=""),"",ROUND(E134*F134,2)))</f>
        <v/>
      </c>
      <c r="H134" s="107" t="str">
        <f>IF(OR(historico_VU!A133="",historico_VU!E133=""),"",historico_VU!E133)</f>
        <v/>
      </c>
      <c r="I134" s="108" t="str">
        <f>IF(posicao_contratual!A133="","",posicao_contratual!O133)</f>
        <v/>
      </c>
      <c r="J134" s="107" t="str">
        <f>IF(A134="TOTAL",ROUND(SUM($J$3:J133),2),IF(OR(A134="",H134="",I134=""),"",ROUND(H134*I134,2)))</f>
        <v/>
      </c>
      <c r="K134" s="109" t="str">
        <f>IF(OR(historico_VU!A133="",historico_VU!F133=""),"",historico_VU!F133)</f>
        <v/>
      </c>
      <c r="L134" s="110" t="str">
        <f>IF(posicao_contratual!A133="","",posicao_contratual!S133)</f>
        <v/>
      </c>
      <c r="M134" s="109" t="str">
        <f>IF(A134="TOTAL",ROUND(SUM($M$3:M133),2),IF(OR(A134="",K134="",L134=""),"",ROUND(K134*L134,2)))</f>
        <v/>
      </c>
      <c r="N134" s="107" t="str">
        <f>IF(OR(historico_VU!A133="",historico_VU!G133=""),"",historico_VU!G133)</f>
        <v/>
      </c>
      <c r="O134" s="108" t="str">
        <f>IF(posicao_contratual!A133="","",posicao_contratual!W133)</f>
        <v/>
      </c>
      <c r="P134" s="107" t="str">
        <f>IF(A134="TOTAL",ROUND(SUM($P$3:P133),2),IF(OR(A134="",N134="",O134=""),"",ROUND(N134*O134,2)))</f>
        <v/>
      </c>
      <c r="Q134" s="181" t="str">
        <f t="shared" ca="1" si="32"/>
        <v/>
      </c>
      <c r="R134" t="str">
        <f>IF($A134="","",IF(MEMORIA_RESULTADOS!$W$46="","","C"&amp;MEMORIA_RESULTADOS!$W$46))</f>
        <v/>
      </c>
      <c r="S134" s="207" t="str">
        <f t="shared" ca="1" si="33"/>
        <v/>
      </c>
      <c r="T134" s="207" t="str">
        <f t="shared" ca="1" si="34"/>
        <v/>
      </c>
      <c r="U134" s="207" t="str">
        <f t="shared" ca="1" si="35"/>
        <v/>
      </c>
      <c r="V134" s="191" t="str">
        <f t="shared" ca="1" si="36"/>
        <v/>
      </c>
      <c r="W134" s="191" t="str">
        <f t="shared" ca="1" si="37"/>
        <v/>
      </c>
      <c r="X134" s="191" t="str">
        <f t="shared" ca="1" si="38"/>
        <v/>
      </c>
      <c r="Y134" t="str">
        <f t="shared" ca="1" si="39"/>
        <v/>
      </c>
      <c r="Z134" s="208" t="str">
        <f>IF($A134="","",IF(posicao_contratual!$AA133="","",posicao_contratual!$AA133))</f>
        <v/>
      </c>
      <c r="AA134" t="str">
        <f>IF($A134="","",IF(posicao_contratual!$AL133="","","C"&amp;posicao_contratual!$AL133))</f>
        <v/>
      </c>
      <c r="AB134" t="str">
        <f>IF($A134="","",IF(OR(MEMORIA_RESULTADOS!$W$46="",posicao_contratual!$AL133=""),"",IF(posicao_contratual!$AL133&lt;=MEMORIA_RESULTADOS!$W$46,"SIM","NAO APLICAVEL")))</f>
        <v/>
      </c>
      <c r="AC134" t="str">
        <f>IF($A134="","",IF(MEMORIA_RESULTADOS!$W$46="","",CHOOSE(MEMORIA_RESULTADOS!$W$46+1,posicao_contratual!$AG133,posicao_contratual!$AH133,posicao_contratual!$AI133,posicao_contratual!$AJ133,posicao_contratual!$AK133)))</f>
        <v/>
      </c>
    </row>
    <row r="135" spans="1:29" x14ac:dyDescent="0.35">
      <c r="A135" s="106" t="str">
        <f>IF(AND(itens_Remanesc!A134="",itens_Remanesc!A133&lt;&gt;"",COUNTIF(itens_Remanesc!A135:$A$200,"&lt;&gt;")=0),"TOTAL",IF(itens_Remanesc!A134="","",itens_Remanesc!A134))</f>
        <v/>
      </c>
      <c r="B135" s="107" t="str">
        <f>IF(OR(historico_VU!A134="",historico_VU!C134=""),"",historico_VU!C134)</f>
        <v/>
      </c>
      <c r="C135" s="108" t="str">
        <f>IF(posicao_contratual!A134="","",posicao_contratual!G134)</f>
        <v/>
      </c>
      <c r="D135" s="107" t="str">
        <f>IF(A135="TOTAL",ROUND(SUM($D$3:D134),2),IF(OR(A135="",B135="",C135=""),"",ROUND(B135*C135,2)))</f>
        <v/>
      </c>
      <c r="E135" s="109" t="str">
        <f>IF(OR(historico_VU!A134="",historico_VU!D134=""),"",historico_VU!D134)</f>
        <v/>
      </c>
      <c r="F135" s="110" t="str">
        <f>IF(posicao_contratual!A134="","",posicao_contratual!K134)</f>
        <v/>
      </c>
      <c r="G135" s="109" t="str">
        <f>IF(A135="TOTAL",ROUND(SUM($G$3:G134),2),IF(OR(A135="",E135="",F135=""),"",ROUND(E135*F135,2)))</f>
        <v/>
      </c>
      <c r="H135" s="107" t="str">
        <f>IF(OR(historico_VU!A134="",historico_VU!E134=""),"",historico_VU!E134)</f>
        <v/>
      </c>
      <c r="I135" s="108" t="str">
        <f>IF(posicao_contratual!A134="","",posicao_contratual!O134)</f>
        <v/>
      </c>
      <c r="J135" s="107" t="str">
        <f>IF(A135="TOTAL",ROUND(SUM($J$3:J134),2),IF(OR(A135="",H135="",I135=""),"",ROUND(H135*I135,2)))</f>
        <v/>
      </c>
      <c r="K135" s="109" t="str">
        <f>IF(OR(historico_VU!A134="",historico_VU!F134=""),"",historico_VU!F134)</f>
        <v/>
      </c>
      <c r="L135" s="110" t="str">
        <f>IF(posicao_contratual!A134="","",posicao_contratual!S134)</f>
        <v/>
      </c>
      <c r="M135" s="109" t="str">
        <f>IF(A135="TOTAL",ROUND(SUM($M$3:M134),2),IF(OR(A135="",K135="",L135=""),"",ROUND(K135*L135,2)))</f>
        <v/>
      </c>
      <c r="N135" s="107" t="str">
        <f>IF(OR(historico_VU!A134="",historico_VU!G134=""),"",historico_VU!G134)</f>
        <v/>
      </c>
      <c r="O135" s="108" t="str">
        <f>IF(posicao_contratual!A134="","",posicao_contratual!W134)</f>
        <v/>
      </c>
      <c r="P135" s="107" t="str">
        <f>IF(A135="TOTAL",ROUND(SUM($P$3:P134),2),IF(OR(A135="",N135="",O135=""),"",ROUND(N135*O135,2)))</f>
        <v/>
      </c>
      <c r="Q135" s="181" t="str">
        <f t="shared" ca="1" si="32"/>
        <v/>
      </c>
      <c r="R135" t="str">
        <f>IF($A135="","",IF(MEMORIA_RESULTADOS!$W$46="","","C"&amp;MEMORIA_RESULTADOS!$W$46))</f>
        <v/>
      </c>
      <c r="S135" s="207" t="str">
        <f t="shared" ca="1" si="33"/>
        <v/>
      </c>
      <c r="T135" s="207" t="str">
        <f t="shared" ca="1" si="34"/>
        <v/>
      </c>
      <c r="U135" s="207" t="str">
        <f t="shared" ca="1" si="35"/>
        <v/>
      </c>
      <c r="V135" s="191" t="str">
        <f t="shared" ca="1" si="36"/>
        <v/>
      </c>
      <c r="W135" s="191" t="str">
        <f t="shared" ca="1" si="37"/>
        <v/>
      </c>
      <c r="X135" s="191" t="str">
        <f t="shared" ca="1" si="38"/>
        <v/>
      </c>
      <c r="Y135" t="str">
        <f t="shared" ca="1" si="39"/>
        <v/>
      </c>
      <c r="Z135" s="208" t="str">
        <f>IF($A135="","",IF(posicao_contratual!$AA134="","",posicao_contratual!$AA134))</f>
        <v/>
      </c>
      <c r="AA135" t="str">
        <f>IF($A135="","",IF(posicao_contratual!$AL134="","","C"&amp;posicao_contratual!$AL134))</f>
        <v/>
      </c>
      <c r="AB135" t="str">
        <f>IF($A135="","",IF(OR(MEMORIA_RESULTADOS!$W$46="",posicao_contratual!$AL134=""),"",IF(posicao_contratual!$AL134&lt;=MEMORIA_RESULTADOS!$W$46,"SIM","NAO APLICAVEL")))</f>
        <v/>
      </c>
      <c r="AC135" t="str">
        <f>IF($A135="","",IF(MEMORIA_RESULTADOS!$W$46="","",CHOOSE(MEMORIA_RESULTADOS!$W$46+1,posicao_contratual!$AG134,posicao_contratual!$AH134,posicao_contratual!$AI134,posicao_contratual!$AJ134,posicao_contratual!$AK134)))</f>
        <v/>
      </c>
    </row>
    <row r="136" spans="1:29" x14ac:dyDescent="0.35">
      <c r="A136" s="106" t="str">
        <f>IF(AND(itens_Remanesc!A135="",itens_Remanesc!A134&lt;&gt;"",COUNTIF(itens_Remanesc!A136:$A$200,"&lt;&gt;")=0),"TOTAL",IF(itens_Remanesc!A135="","",itens_Remanesc!A135))</f>
        <v/>
      </c>
      <c r="B136" s="107" t="str">
        <f>IF(OR(historico_VU!A135="",historico_VU!C135=""),"",historico_VU!C135)</f>
        <v/>
      </c>
      <c r="C136" s="108" t="str">
        <f>IF(posicao_contratual!A135="","",posicao_contratual!G135)</f>
        <v/>
      </c>
      <c r="D136" s="107" t="str">
        <f>IF(A136="TOTAL",ROUND(SUM($D$3:D135),2),IF(OR(A136="",B136="",C136=""),"",ROUND(B136*C136,2)))</f>
        <v/>
      </c>
      <c r="E136" s="109" t="str">
        <f>IF(OR(historico_VU!A135="",historico_VU!D135=""),"",historico_VU!D135)</f>
        <v/>
      </c>
      <c r="F136" s="110" t="str">
        <f>IF(posicao_contratual!A135="","",posicao_contratual!K135)</f>
        <v/>
      </c>
      <c r="G136" s="109" t="str">
        <f>IF(A136="TOTAL",ROUND(SUM($G$3:G135),2),IF(OR(A136="",E136="",F136=""),"",ROUND(E136*F136,2)))</f>
        <v/>
      </c>
      <c r="H136" s="107" t="str">
        <f>IF(OR(historico_VU!A135="",historico_VU!E135=""),"",historico_VU!E135)</f>
        <v/>
      </c>
      <c r="I136" s="108" t="str">
        <f>IF(posicao_contratual!A135="","",posicao_contratual!O135)</f>
        <v/>
      </c>
      <c r="J136" s="107" t="str">
        <f>IF(A136="TOTAL",ROUND(SUM($J$3:J135),2),IF(OR(A136="",H136="",I136=""),"",ROUND(H136*I136,2)))</f>
        <v/>
      </c>
      <c r="K136" s="109" t="str">
        <f>IF(OR(historico_VU!A135="",historico_VU!F135=""),"",historico_VU!F135)</f>
        <v/>
      </c>
      <c r="L136" s="110" t="str">
        <f>IF(posicao_contratual!A135="","",posicao_contratual!S135)</f>
        <v/>
      </c>
      <c r="M136" s="109" t="str">
        <f>IF(A136="TOTAL",ROUND(SUM($M$3:M135),2),IF(OR(A136="",K136="",L136=""),"",ROUND(K136*L136,2)))</f>
        <v/>
      </c>
      <c r="N136" s="107" t="str">
        <f>IF(OR(historico_VU!A135="",historico_VU!G135=""),"",historico_VU!G135)</f>
        <v/>
      </c>
      <c r="O136" s="108" t="str">
        <f>IF(posicao_contratual!A135="","",posicao_contratual!W135)</f>
        <v/>
      </c>
      <c r="P136" s="107" t="str">
        <f>IF(A136="TOTAL",ROUND(SUM($P$3:P135),2),IF(OR(A136="",N136="",O136=""),"",ROUND(N136*O136,2)))</f>
        <v/>
      </c>
      <c r="Q136" s="181" t="str">
        <f t="shared" ca="1" si="32"/>
        <v/>
      </c>
      <c r="R136" t="str">
        <f>IF($A136="","",IF(MEMORIA_RESULTADOS!$W$46="","","C"&amp;MEMORIA_RESULTADOS!$W$46))</f>
        <v/>
      </c>
      <c r="S136" s="207" t="str">
        <f t="shared" ca="1" si="33"/>
        <v/>
      </c>
      <c r="T136" s="207" t="str">
        <f t="shared" ca="1" si="34"/>
        <v/>
      </c>
      <c r="U136" s="207" t="str">
        <f t="shared" ca="1" si="35"/>
        <v/>
      </c>
      <c r="V136" s="191" t="str">
        <f t="shared" ca="1" si="36"/>
        <v/>
      </c>
      <c r="W136" s="191" t="str">
        <f t="shared" ca="1" si="37"/>
        <v/>
      </c>
      <c r="X136" s="191" t="str">
        <f t="shared" ca="1" si="38"/>
        <v/>
      </c>
      <c r="Y136" t="str">
        <f t="shared" ca="1" si="39"/>
        <v/>
      </c>
      <c r="Z136" s="208" t="str">
        <f>IF($A136="","",IF(posicao_contratual!$AA135="","",posicao_contratual!$AA135))</f>
        <v/>
      </c>
      <c r="AA136" t="str">
        <f>IF($A136="","",IF(posicao_contratual!$AL135="","","C"&amp;posicao_contratual!$AL135))</f>
        <v/>
      </c>
      <c r="AB136" t="str">
        <f>IF($A136="","",IF(OR(MEMORIA_RESULTADOS!$W$46="",posicao_contratual!$AL135=""),"",IF(posicao_contratual!$AL135&lt;=MEMORIA_RESULTADOS!$W$46,"SIM","NAO APLICAVEL")))</f>
        <v/>
      </c>
      <c r="AC136" t="str">
        <f>IF($A136="","",IF(MEMORIA_RESULTADOS!$W$46="","",CHOOSE(MEMORIA_RESULTADOS!$W$46+1,posicao_contratual!$AG135,posicao_contratual!$AH135,posicao_contratual!$AI135,posicao_contratual!$AJ135,posicao_contratual!$AK135)))</f>
        <v/>
      </c>
    </row>
    <row r="137" spans="1:29" x14ac:dyDescent="0.35">
      <c r="A137" s="106" t="str">
        <f>IF(AND(itens_Remanesc!A136="",itens_Remanesc!A135&lt;&gt;"",COUNTIF(itens_Remanesc!A137:$A$200,"&lt;&gt;")=0),"TOTAL",IF(itens_Remanesc!A136="","",itens_Remanesc!A136))</f>
        <v/>
      </c>
      <c r="B137" s="107" t="str">
        <f>IF(OR(historico_VU!A136="",historico_VU!C136=""),"",historico_VU!C136)</f>
        <v/>
      </c>
      <c r="C137" s="108" t="str">
        <f>IF(posicao_contratual!A136="","",posicao_contratual!G136)</f>
        <v/>
      </c>
      <c r="D137" s="107" t="str">
        <f>IF(A137="TOTAL",ROUND(SUM($D$3:D136),2),IF(OR(A137="",B137="",C137=""),"",ROUND(B137*C137,2)))</f>
        <v/>
      </c>
      <c r="E137" s="109" t="str">
        <f>IF(OR(historico_VU!A136="",historico_VU!D136=""),"",historico_VU!D136)</f>
        <v/>
      </c>
      <c r="F137" s="110" t="str">
        <f>IF(posicao_contratual!A136="","",posicao_contratual!K136)</f>
        <v/>
      </c>
      <c r="G137" s="109" t="str">
        <f>IF(A137="TOTAL",ROUND(SUM($G$3:G136),2),IF(OR(A137="",E137="",F137=""),"",ROUND(E137*F137,2)))</f>
        <v/>
      </c>
      <c r="H137" s="107" t="str">
        <f>IF(OR(historico_VU!A136="",historico_VU!E136=""),"",historico_VU!E136)</f>
        <v/>
      </c>
      <c r="I137" s="108" t="str">
        <f>IF(posicao_contratual!A136="","",posicao_contratual!O136)</f>
        <v/>
      </c>
      <c r="J137" s="107" t="str">
        <f>IF(A137="TOTAL",ROUND(SUM($J$3:J136),2),IF(OR(A137="",H137="",I137=""),"",ROUND(H137*I137,2)))</f>
        <v/>
      </c>
      <c r="K137" s="109" t="str">
        <f>IF(OR(historico_VU!A136="",historico_VU!F136=""),"",historico_VU!F136)</f>
        <v/>
      </c>
      <c r="L137" s="110" t="str">
        <f>IF(posicao_contratual!A136="","",posicao_contratual!S136)</f>
        <v/>
      </c>
      <c r="M137" s="109" t="str">
        <f>IF(A137="TOTAL",ROUND(SUM($M$3:M136),2),IF(OR(A137="",K137="",L137=""),"",ROUND(K137*L137,2)))</f>
        <v/>
      </c>
      <c r="N137" s="107" t="str">
        <f>IF(OR(historico_VU!A136="",historico_VU!G136=""),"",historico_VU!G136)</f>
        <v/>
      </c>
      <c r="O137" s="108" t="str">
        <f>IF(posicao_contratual!A136="","",posicao_contratual!W136)</f>
        <v/>
      </c>
      <c r="P137" s="107" t="str">
        <f>IF(A137="TOTAL",ROUND(SUM($P$3:P136),2),IF(OR(A137="",N137="",O137=""),"",ROUND(N137*O137,2)))</f>
        <v/>
      </c>
      <c r="Q137" s="181" t="str">
        <f t="shared" ca="1" si="32"/>
        <v/>
      </c>
      <c r="R137" t="str">
        <f>IF($A137="","",IF(MEMORIA_RESULTADOS!$W$46="","","C"&amp;MEMORIA_RESULTADOS!$W$46))</f>
        <v/>
      </c>
      <c r="S137" s="207" t="str">
        <f t="shared" ca="1" si="33"/>
        <v/>
      </c>
      <c r="T137" s="207" t="str">
        <f t="shared" ca="1" si="34"/>
        <v/>
      </c>
      <c r="U137" s="207" t="str">
        <f t="shared" ca="1" si="35"/>
        <v/>
      </c>
      <c r="V137" s="191" t="str">
        <f t="shared" ca="1" si="36"/>
        <v/>
      </c>
      <c r="W137" s="191" t="str">
        <f t="shared" ca="1" si="37"/>
        <v/>
      </c>
      <c r="X137" s="191" t="str">
        <f t="shared" ca="1" si="38"/>
        <v/>
      </c>
      <c r="Y137" t="str">
        <f t="shared" ca="1" si="39"/>
        <v/>
      </c>
      <c r="Z137" s="208" t="str">
        <f>IF($A137="","",IF(posicao_contratual!$AA136="","",posicao_contratual!$AA136))</f>
        <v/>
      </c>
      <c r="AA137" t="str">
        <f>IF($A137="","",IF(posicao_contratual!$AL136="","","C"&amp;posicao_contratual!$AL136))</f>
        <v/>
      </c>
      <c r="AB137" t="str">
        <f>IF($A137="","",IF(OR(MEMORIA_RESULTADOS!$W$46="",posicao_contratual!$AL136=""),"",IF(posicao_contratual!$AL136&lt;=MEMORIA_RESULTADOS!$W$46,"SIM","NAO APLICAVEL")))</f>
        <v/>
      </c>
      <c r="AC137" t="str">
        <f>IF($A137="","",IF(MEMORIA_RESULTADOS!$W$46="","",CHOOSE(MEMORIA_RESULTADOS!$W$46+1,posicao_contratual!$AG136,posicao_contratual!$AH136,posicao_contratual!$AI136,posicao_contratual!$AJ136,posicao_contratual!$AK136)))</f>
        <v/>
      </c>
    </row>
    <row r="138" spans="1:29" x14ac:dyDescent="0.35">
      <c r="A138" s="106" t="str">
        <f>IF(AND(itens_Remanesc!A137="",itens_Remanesc!A136&lt;&gt;"",COUNTIF(itens_Remanesc!A138:$A$200,"&lt;&gt;")=0),"TOTAL",IF(itens_Remanesc!A137="","",itens_Remanesc!A137))</f>
        <v/>
      </c>
      <c r="B138" s="107" t="str">
        <f>IF(OR(historico_VU!A137="",historico_VU!C137=""),"",historico_VU!C137)</f>
        <v/>
      </c>
      <c r="C138" s="108" t="str">
        <f>IF(posicao_contratual!A137="","",posicao_contratual!G137)</f>
        <v/>
      </c>
      <c r="D138" s="107" t="str">
        <f>IF(A138="TOTAL",ROUND(SUM($D$3:D137),2),IF(OR(A138="",B138="",C138=""),"",ROUND(B138*C138,2)))</f>
        <v/>
      </c>
      <c r="E138" s="109" t="str">
        <f>IF(OR(historico_VU!A137="",historico_VU!D137=""),"",historico_VU!D137)</f>
        <v/>
      </c>
      <c r="F138" s="110" t="str">
        <f>IF(posicao_contratual!A137="","",posicao_contratual!K137)</f>
        <v/>
      </c>
      <c r="G138" s="109" t="str">
        <f>IF(A138="TOTAL",ROUND(SUM($G$3:G137),2),IF(OR(A138="",E138="",F138=""),"",ROUND(E138*F138,2)))</f>
        <v/>
      </c>
      <c r="H138" s="107" t="str">
        <f>IF(OR(historico_VU!A137="",historico_VU!E137=""),"",historico_VU!E137)</f>
        <v/>
      </c>
      <c r="I138" s="108" t="str">
        <f>IF(posicao_contratual!A137="","",posicao_contratual!O137)</f>
        <v/>
      </c>
      <c r="J138" s="107" t="str">
        <f>IF(A138="TOTAL",ROUND(SUM($J$3:J137),2),IF(OR(A138="",H138="",I138=""),"",ROUND(H138*I138,2)))</f>
        <v/>
      </c>
      <c r="K138" s="109" t="str">
        <f>IF(OR(historico_VU!A137="",historico_VU!F137=""),"",historico_VU!F137)</f>
        <v/>
      </c>
      <c r="L138" s="110" t="str">
        <f>IF(posicao_contratual!A137="","",posicao_contratual!S137)</f>
        <v/>
      </c>
      <c r="M138" s="109" t="str">
        <f>IF(A138="TOTAL",ROUND(SUM($M$3:M137),2),IF(OR(A138="",K138="",L138=""),"",ROUND(K138*L138,2)))</f>
        <v/>
      </c>
      <c r="N138" s="107" t="str">
        <f>IF(OR(historico_VU!A137="",historico_VU!G137=""),"",historico_VU!G137)</f>
        <v/>
      </c>
      <c r="O138" s="108" t="str">
        <f>IF(posicao_contratual!A137="","",posicao_contratual!W137)</f>
        <v/>
      </c>
      <c r="P138" s="107" t="str">
        <f>IF(A138="TOTAL",ROUND(SUM($P$3:P137),2),IF(OR(A138="",N138="",O138=""),"",ROUND(N138*O138,2)))</f>
        <v/>
      </c>
      <c r="Q138" s="181" t="str">
        <f t="shared" ca="1" si="32"/>
        <v/>
      </c>
      <c r="R138" t="str">
        <f>IF($A138="","",IF(MEMORIA_RESULTADOS!$W$46="","","C"&amp;MEMORIA_RESULTADOS!$W$46))</f>
        <v/>
      </c>
      <c r="S138" s="207" t="str">
        <f t="shared" ca="1" si="33"/>
        <v/>
      </c>
      <c r="T138" s="207" t="str">
        <f t="shared" ca="1" si="34"/>
        <v/>
      </c>
      <c r="U138" s="207" t="str">
        <f t="shared" ca="1" si="35"/>
        <v/>
      </c>
      <c r="V138" s="191" t="str">
        <f t="shared" ca="1" si="36"/>
        <v/>
      </c>
      <c r="W138" s="191" t="str">
        <f t="shared" ca="1" si="37"/>
        <v/>
      </c>
      <c r="X138" s="191" t="str">
        <f t="shared" ca="1" si="38"/>
        <v/>
      </c>
      <c r="Y138" t="str">
        <f t="shared" ca="1" si="39"/>
        <v/>
      </c>
      <c r="Z138" s="208" t="str">
        <f>IF($A138="","",IF(posicao_contratual!$AA137="","",posicao_contratual!$AA137))</f>
        <v/>
      </c>
      <c r="AA138" t="str">
        <f>IF($A138="","",IF(posicao_contratual!$AL137="","","C"&amp;posicao_contratual!$AL137))</f>
        <v/>
      </c>
      <c r="AB138" t="str">
        <f>IF($A138="","",IF(OR(MEMORIA_RESULTADOS!$W$46="",posicao_contratual!$AL137=""),"",IF(posicao_contratual!$AL137&lt;=MEMORIA_RESULTADOS!$W$46,"SIM","NAO APLICAVEL")))</f>
        <v/>
      </c>
      <c r="AC138" t="str">
        <f>IF($A138="","",IF(MEMORIA_RESULTADOS!$W$46="","",CHOOSE(MEMORIA_RESULTADOS!$W$46+1,posicao_contratual!$AG137,posicao_contratual!$AH137,posicao_contratual!$AI137,posicao_contratual!$AJ137,posicao_contratual!$AK137)))</f>
        <v/>
      </c>
    </row>
    <row r="139" spans="1:29" x14ac:dyDescent="0.35">
      <c r="A139" s="106" t="str">
        <f>IF(AND(itens_Remanesc!A138="",itens_Remanesc!A137&lt;&gt;"",COUNTIF(itens_Remanesc!A139:$A$200,"&lt;&gt;")=0),"TOTAL",IF(itens_Remanesc!A138="","",itens_Remanesc!A138))</f>
        <v/>
      </c>
      <c r="B139" s="107" t="str">
        <f>IF(OR(historico_VU!A138="",historico_VU!C138=""),"",historico_VU!C138)</f>
        <v/>
      </c>
      <c r="C139" s="108" t="str">
        <f>IF(posicao_contratual!A138="","",posicao_contratual!G138)</f>
        <v/>
      </c>
      <c r="D139" s="107" t="str">
        <f>IF(A139="TOTAL",ROUND(SUM($D$3:D138),2),IF(OR(A139="",B139="",C139=""),"",ROUND(B139*C139,2)))</f>
        <v/>
      </c>
      <c r="E139" s="109" t="str">
        <f>IF(OR(historico_VU!A138="",historico_VU!D138=""),"",historico_VU!D138)</f>
        <v/>
      </c>
      <c r="F139" s="110" t="str">
        <f>IF(posicao_contratual!A138="","",posicao_contratual!K138)</f>
        <v/>
      </c>
      <c r="G139" s="109" t="str">
        <f>IF(A139="TOTAL",ROUND(SUM($G$3:G138),2),IF(OR(A139="",E139="",F139=""),"",ROUND(E139*F139,2)))</f>
        <v/>
      </c>
      <c r="H139" s="107" t="str">
        <f>IF(OR(historico_VU!A138="",historico_VU!E138=""),"",historico_VU!E138)</f>
        <v/>
      </c>
      <c r="I139" s="108" t="str">
        <f>IF(posicao_contratual!A138="","",posicao_contratual!O138)</f>
        <v/>
      </c>
      <c r="J139" s="107" t="str">
        <f>IF(A139="TOTAL",ROUND(SUM($J$3:J138),2),IF(OR(A139="",H139="",I139=""),"",ROUND(H139*I139,2)))</f>
        <v/>
      </c>
      <c r="K139" s="109" t="str">
        <f>IF(OR(historico_VU!A138="",historico_VU!F138=""),"",historico_VU!F138)</f>
        <v/>
      </c>
      <c r="L139" s="110" t="str">
        <f>IF(posicao_contratual!A138="","",posicao_contratual!S138)</f>
        <v/>
      </c>
      <c r="M139" s="109" t="str">
        <f>IF(A139="TOTAL",ROUND(SUM($M$3:M138),2),IF(OR(A139="",K139="",L139=""),"",ROUND(K139*L139,2)))</f>
        <v/>
      </c>
      <c r="N139" s="107" t="str">
        <f>IF(OR(historico_VU!A138="",historico_VU!G138=""),"",historico_VU!G138)</f>
        <v/>
      </c>
      <c r="O139" s="108" t="str">
        <f>IF(posicao_contratual!A138="","",posicao_contratual!W138)</f>
        <v/>
      </c>
      <c r="P139" s="107" t="str">
        <f>IF(A139="TOTAL",ROUND(SUM($P$3:P138),2),IF(OR(A139="",N139="",O139=""),"",ROUND(N139*O139,2)))</f>
        <v/>
      </c>
      <c r="Q139" s="181" t="str">
        <f t="shared" ca="1" si="32"/>
        <v/>
      </c>
      <c r="R139" t="str">
        <f>IF($A139="","",IF(MEMORIA_RESULTADOS!$W$46="","","C"&amp;MEMORIA_RESULTADOS!$W$46))</f>
        <v/>
      </c>
      <c r="S139" s="207" t="str">
        <f t="shared" ca="1" si="33"/>
        <v/>
      </c>
      <c r="T139" s="207" t="str">
        <f t="shared" ca="1" si="34"/>
        <v/>
      </c>
      <c r="U139" s="207" t="str">
        <f t="shared" ca="1" si="35"/>
        <v/>
      </c>
      <c r="V139" s="191" t="str">
        <f t="shared" ca="1" si="36"/>
        <v/>
      </c>
      <c r="W139" s="191" t="str">
        <f t="shared" ca="1" si="37"/>
        <v/>
      </c>
      <c r="X139" s="191" t="str">
        <f t="shared" ca="1" si="38"/>
        <v/>
      </c>
      <c r="Y139" t="str">
        <f t="shared" ca="1" si="39"/>
        <v/>
      </c>
      <c r="Z139" s="208" t="str">
        <f>IF($A139="","",IF(posicao_contratual!$AA138="","",posicao_contratual!$AA138))</f>
        <v/>
      </c>
      <c r="AA139" t="str">
        <f>IF($A139="","",IF(posicao_contratual!$AL138="","","C"&amp;posicao_contratual!$AL138))</f>
        <v/>
      </c>
      <c r="AB139" t="str">
        <f>IF($A139="","",IF(OR(MEMORIA_RESULTADOS!$W$46="",posicao_contratual!$AL138=""),"",IF(posicao_contratual!$AL138&lt;=MEMORIA_RESULTADOS!$W$46,"SIM","NAO APLICAVEL")))</f>
        <v/>
      </c>
      <c r="AC139" t="str">
        <f>IF($A139="","",IF(MEMORIA_RESULTADOS!$W$46="","",CHOOSE(MEMORIA_RESULTADOS!$W$46+1,posicao_contratual!$AG138,posicao_contratual!$AH138,posicao_contratual!$AI138,posicao_contratual!$AJ138,posicao_contratual!$AK138)))</f>
        <v/>
      </c>
    </row>
    <row r="140" spans="1:29" x14ac:dyDescent="0.35">
      <c r="A140" s="106" t="str">
        <f>IF(AND(itens_Remanesc!A139="",itens_Remanesc!A138&lt;&gt;"",COUNTIF(itens_Remanesc!A140:$A$200,"&lt;&gt;")=0),"TOTAL",IF(itens_Remanesc!A139="","",itens_Remanesc!A139))</f>
        <v/>
      </c>
      <c r="B140" s="107" t="str">
        <f>IF(OR(historico_VU!A139="",historico_VU!C139=""),"",historico_VU!C139)</f>
        <v/>
      </c>
      <c r="C140" s="108" t="str">
        <f>IF(posicao_contratual!A139="","",posicao_contratual!G139)</f>
        <v/>
      </c>
      <c r="D140" s="107" t="str">
        <f>IF(A140="TOTAL",ROUND(SUM($D$3:D139),2),IF(OR(A140="",B140="",C140=""),"",ROUND(B140*C140,2)))</f>
        <v/>
      </c>
      <c r="E140" s="109" t="str">
        <f>IF(OR(historico_VU!A139="",historico_VU!D139=""),"",historico_VU!D139)</f>
        <v/>
      </c>
      <c r="F140" s="110" t="str">
        <f>IF(posicao_contratual!A139="","",posicao_contratual!K139)</f>
        <v/>
      </c>
      <c r="G140" s="109" t="str">
        <f>IF(A140="TOTAL",ROUND(SUM($G$3:G139),2),IF(OR(A140="",E140="",F140=""),"",ROUND(E140*F140,2)))</f>
        <v/>
      </c>
      <c r="H140" s="107" t="str">
        <f>IF(OR(historico_VU!A139="",historico_VU!E139=""),"",historico_VU!E139)</f>
        <v/>
      </c>
      <c r="I140" s="108" t="str">
        <f>IF(posicao_contratual!A139="","",posicao_contratual!O139)</f>
        <v/>
      </c>
      <c r="J140" s="107" t="str">
        <f>IF(A140="TOTAL",ROUND(SUM($J$3:J139),2),IF(OR(A140="",H140="",I140=""),"",ROUND(H140*I140,2)))</f>
        <v/>
      </c>
      <c r="K140" s="109" t="str">
        <f>IF(OR(historico_VU!A139="",historico_VU!F139=""),"",historico_VU!F139)</f>
        <v/>
      </c>
      <c r="L140" s="110" t="str">
        <f>IF(posicao_contratual!A139="","",posicao_contratual!S139)</f>
        <v/>
      </c>
      <c r="M140" s="109" t="str">
        <f>IF(A140="TOTAL",ROUND(SUM($M$3:M139),2),IF(OR(A140="",K140="",L140=""),"",ROUND(K140*L140,2)))</f>
        <v/>
      </c>
      <c r="N140" s="107" t="str">
        <f>IF(OR(historico_VU!A139="",historico_VU!G139=""),"",historico_VU!G139)</f>
        <v/>
      </c>
      <c r="O140" s="108" t="str">
        <f>IF(posicao_contratual!A139="","",posicao_contratual!W139)</f>
        <v/>
      </c>
      <c r="P140" s="107" t="str">
        <f>IF(A140="TOTAL",ROUND(SUM($P$3:P139),2),IF(OR(A140="",N140="",O140=""),"",ROUND(N140*O140,2)))</f>
        <v/>
      </c>
      <c r="Q140" s="181" t="str">
        <f t="shared" ca="1" si="32"/>
        <v/>
      </c>
      <c r="R140" t="str">
        <f>IF($A140="","",IF(MEMORIA_RESULTADOS!$W$46="","","C"&amp;MEMORIA_RESULTADOS!$W$46))</f>
        <v/>
      </c>
      <c r="S140" s="207" t="str">
        <f t="shared" ca="1" si="33"/>
        <v/>
      </c>
      <c r="T140" s="207" t="str">
        <f t="shared" ca="1" si="34"/>
        <v/>
      </c>
      <c r="U140" s="207" t="str">
        <f t="shared" ca="1" si="35"/>
        <v/>
      </c>
      <c r="V140" s="191" t="str">
        <f t="shared" ca="1" si="36"/>
        <v/>
      </c>
      <c r="W140" s="191" t="str">
        <f t="shared" ca="1" si="37"/>
        <v/>
      </c>
      <c r="X140" s="191" t="str">
        <f t="shared" ca="1" si="38"/>
        <v/>
      </c>
      <c r="Y140" t="str">
        <f t="shared" ca="1" si="39"/>
        <v/>
      </c>
      <c r="Z140" s="208" t="str">
        <f>IF($A140="","",IF(posicao_contratual!$AA139="","",posicao_contratual!$AA139))</f>
        <v/>
      </c>
      <c r="AA140" t="str">
        <f>IF($A140="","",IF(posicao_contratual!$AL139="","","C"&amp;posicao_contratual!$AL139))</f>
        <v/>
      </c>
      <c r="AB140" t="str">
        <f>IF($A140="","",IF(OR(MEMORIA_RESULTADOS!$W$46="",posicao_contratual!$AL139=""),"",IF(posicao_contratual!$AL139&lt;=MEMORIA_RESULTADOS!$W$46,"SIM","NAO APLICAVEL")))</f>
        <v/>
      </c>
      <c r="AC140" t="str">
        <f>IF($A140="","",IF(MEMORIA_RESULTADOS!$W$46="","",CHOOSE(MEMORIA_RESULTADOS!$W$46+1,posicao_contratual!$AG139,posicao_contratual!$AH139,posicao_contratual!$AI139,posicao_contratual!$AJ139,posicao_contratual!$AK139)))</f>
        <v/>
      </c>
    </row>
    <row r="141" spans="1:29" x14ac:dyDescent="0.35">
      <c r="A141" s="106" t="str">
        <f>IF(AND(itens_Remanesc!A140="",itens_Remanesc!A139&lt;&gt;"",COUNTIF(itens_Remanesc!A141:$A$200,"&lt;&gt;")=0),"TOTAL",IF(itens_Remanesc!A140="","",itens_Remanesc!A140))</f>
        <v/>
      </c>
      <c r="B141" s="107" t="str">
        <f>IF(OR(historico_VU!A140="",historico_VU!C140=""),"",historico_VU!C140)</f>
        <v/>
      </c>
      <c r="C141" s="108" t="str">
        <f>IF(posicao_contratual!A140="","",posicao_contratual!G140)</f>
        <v/>
      </c>
      <c r="D141" s="107" t="str">
        <f>IF(A141="TOTAL",ROUND(SUM($D$3:D140),2),IF(OR(A141="",B141="",C141=""),"",ROUND(B141*C141,2)))</f>
        <v/>
      </c>
      <c r="E141" s="109" t="str">
        <f>IF(OR(historico_VU!A140="",historico_VU!D140=""),"",historico_VU!D140)</f>
        <v/>
      </c>
      <c r="F141" s="110" t="str">
        <f>IF(posicao_contratual!A140="","",posicao_contratual!K140)</f>
        <v/>
      </c>
      <c r="G141" s="109" t="str">
        <f>IF(A141="TOTAL",ROUND(SUM($G$3:G140),2),IF(OR(A141="",E141="",F141=""),"",ROUND(E141*F141,2)))</f>
        <v/>
      </c>
      <c r="H141" s="107" t="str">
        <f>IF(OR(historico_VU!A140="",historico_VU!E140=""),"",historico_VU!E140)</f>
        <v/>
      </c>
      <c r="I141" s="108" t="str">
        <f>IF(posicao_contratual!A140="","",posicao_contratual!O140)</f>
        <v/>
      </c>
      <c r="J141" s="107" t="str">
        <f>IF(A141="TOTAL",ROUND(SUM($J$3:J140),2),IF(OR(A141="",H141="",I141=""),"",ROUND(H141*I141,2)))</f>
        <v/>
      </c>
      <c r="K141" s="109" t="str">
        <f>IF(OR(historico_VU!A140="",historico_VU!F140=""),"",historico_VU!F140)</f>
        <v/>
      </c>
      <c r="L141" s="110" t="str">
        <f>IF(posicao_contratual!A140="","",posicao_contratual!S140)</f>
        <v/>
      </c>
      <c r="M141" s="109" t="str">
        <f>IF(A141="TOTAL",ROUND(SUM($M$3:M140),2),IF(OR(A141="",K141="",L141=""),"",ROUND(K141*L141,2)))</f>
        <v/>
      </c>
      <c r="N141" s="107" t="str">
        <f>IF(OR(historico_VU!A140="",historico_VU!G140=""),"",historico_VU!G140)</f>
        <v/>
      </c>
      <c r="O141" s="108" t="str">
        <f>IF(posicao_contratual!A140="","",posicao_contratual!W140)</f>
        <v/>
      </c>
      <c r="P141" s="107" t="str">
        <f>IF(A141="TOTAL",ROUND(SUM($P$3:P140),2),IF(OR(A141="",N141="",O141=""),"",ROUND(N141*O141,2)))</f>
        <v/>
      </c>
      <c r="Q141" s="181" t="str">
        <f t="shared" ca="1" si="32"/>
        <v/>
      </c>
      <c r="R141" t="str">
        <f>IF($A141="","",IF(MEMORIA_RESULTADOS!$W$46="","","C"&amp;MEMORIA_RESULTADOS!$W$46))</f>
        <v/>
      </c>
      <c r="S141" s="207" t="str">
        <f t="shared" ca="1" si="33"/>
        <v/>
      </c>
      <c r="T141" s="207" t="str">
        <f t="shared" ca="1" si="34"/>
        <v/>
      </c>
      <c r="U141" s="207" t="str">
        <f t="shared" ca="1" si="35"/>
        <v/>
      </c>
      <c r="V141" s="191" t="str">
        <f t="shared" ca="1" si="36"/>
        <v/>
      </c>
      <c r="W141" s="191" t="str">
        <f t="shared" ca="1" si="37"/>
        <v/>
      </c>
      <c r="X141" s="191" t="str">
        <f t="shared" ca="1" si="38"/>
        <v/>
      </c>
      <c r="Y141" t="str">
        <f t="shared" ca="1" si="39"/>
        <v/>
      </c>
      <c r="Z141" s="208" t="str">
        <f>IF($A141="","",IF(posicao_contratual!$AA140="","",posicao_contratual!$AA140))</f>
        <v/>
      </c>
      <c r="AA141" t="str">
        <f>IF($A141="","",IF(posicao_contratual!$AL140="","","C"&amp;posicao_contratual!$AL140))</f>
        <v/>
      </c>
      <c r="AB141" t="str">
        <f>IF($A141="","",IF(OR(MEMORIA_RESULTADOS!$W$46="",posicao_contratual!$AL140=""),"",IF(posicao_contratual!$AL140&lt;=MEMORIA_RESULTADOS!$W$46,"SIM","NAO APLICAVEL")))</f>
        <v/>
      </c>
      <c r="AC141" t="str">
        <f>IF($A141="","",IF(MEMORIA_RESULTADOS!$W$46="","",CHOOSE(MEMORIA_RESULTADOS!$W$46+1,posicao_contratual!$AG140,posicao_contratual!$AH140,posicao_contratual!$AI140,posicao_contratual!$AJ140,posicao_contratual!$AK140)))</f>
        <v/>
      </c>
    </row>
    <row r="142" spans="1:29" x14ac:dyDescent="0.35">
      <c r="A142" s="106" t="str">
        <f>IF(AND(itens_Remanesc!A141="",itens_Remanesc!A140&lt;&gt;"",COUNTIF(itens_Remanesc!A142:$A$200,"&lt;&gt;")=0),"TOTAL",IF(itens_Remanesc!A141="","",itens_Remanesc!A141))</f>
        <v/>
      </c>
      <c r="B142" s="107" t="str">
        <f>IF(OR(historico_VU!A141="",historico_VU!C141=""),"",historico_VU!C141)</f>
        <v/>
      </c>
      <c r="C142" s="108" t="str">
        <f>IF(posicao_contratual!A141="","",posicao_contratual!G141)</f>
        <v/>
      </c>
      <c r="D142" s="107" t="str">
        <f>IF(A142="TOTAL",ROUND(SUM($D$3:D141),2),IF(OR(A142="",B142="",C142=""),"",ROUND(B142*C142,2)))</f>
        <v/>
      </c>
      <c r="E142" s="109" t="str">
        <f>IF(OR(historico_VU!A141="",historico_VU!D141=""),"",historico_VU!D141)</f>
        <v/>
      </c>
      <c r="F142" s="110" t="str">
        <f>IF(posicao_contratual!A141="","",posicao_contratual!K141)</f>
        <v/>
      </c>
      <c r="G142" s="109" t="str">
        <f>IF(A142="TOTAL",ROUND(SUM($G$3:G141),2),IF(OR(A142="",E142="",F142=""),"",ROUND(E142*F142,2)))</f>
        <v/>
      </c>
      <c r="H142" s="107" t="str">
        <f>IF(OR(historico_VU!A141="",historico_VU!E141=""),"",historico_VU!E141)</f>
        <v/>
      </c>
      <c r="I142" s="108" t="str">
        <f>IF(posicao_contratual!A141="","",posicao_contratual!O141)</f>
        <v/>
      </c>
      <c r="J142" s="107" t="str">
        <f>IF(A142="TOTAL",ROUND(SUM($J$3:J141),2),IF(OR(A142="",H142="",I142=""),"",ROUND(H142*I142,2)))</f>
        <v/>
      </c>
      <c r="K142" s="109" t="str">
        <f>IF(OR(historico_VU!A141="",historico_VU!F141=""),"",historico_VU!F141)</f>
        <v/>
      </c>
      <c r="L142" s="110" t="str">
        <f>IF(posicao_contratual!A141="","",posicao_contratual!S141)</f>
        <v/>
      </c>
      <c r="M142" s="109" t="str">
        <f>IF(A142="TOTAL",ROUND(SUM($M$3:M141),2),IF(OR(A142="",K142="",L142=""),"",ROUND(K142*L142,2)))</f>
        <v/>
      </c>
      <c r="N142" s="107" t="str">
        <f>IF(OR(historico_VU!A141="",historico_VU!G141=""),"",historico_VU!G141)</f>
        <v/>
      </c>
      <c r="O142" s="108" t="str">
        <f>IF(posicao_contratual!A141="","",posicao_contratual!W141)</f>
        <v/>
      </c>
      <c r="P142" s="107" t="str">
        <f>IF(A142="TOTAL",ROUND(SUM($P$3:P141),2),IF(OR(A142="",N142="",O142=""),"",ROUND(N142*O142,2)))</f>
        <v/>
      </c>
      <c r="Q142" s="181" t="str">
        <f t="shared" ca="1" si="32"/>
        <v/>
      </c>
      <c r="R142" t="str">
        <f>IF($A142="","",IF(MEMORIA_RESULTADOS!$W$46="","","C"&amp;MEMORIA_RESULTADOS!$W$46))</f>
        <v/>
      </c>
      <c r="S142" s="207" t="str">
        <f t="shared" ca="1" si="33"/>
        <v/>
      </c>
      <c r="T142" s="207" t="str">
        <f t="shared" ca="1" si="34"/>
        <v/>
      </c>
      <c r="U142" s="207" t="str">
        <f t="shared" ca="1" si="35"/>
        <v/>
      </c>
      <c r="V142" s="191" t="str">
        <f t="shared" ca="1" si="36"/>
        <v/>
      </c>
      <c r="W142" s="191" t="str">
        <f t="shared" ca="1" si="37"/>
        <v/>
      </c>
      <c r="X142" s="191" t="str">
        <f t="shared" ca="1" si="38"/>
        <v/>
      </c>
      <c r="Y142" t="str">
        <f t="shared" ca="1" si="39"/>
        <v/>
      </c>
      <c r="Z142" s="208" t="str">
        <f>IF($A142="","",IF(posicao_contratual!$AA141="","",posicao_contratual!$AA141))</f>
        <v/>
      </c>
      <c r="AA142" t="str">
        <f>IF($A142="","",IF(posicao_contratual!$AL141="","","C"&amp;posicao_contratual!$AL141))</f>
        <v/>
      </c>
      <c r="AB142" t="str">
        <f>IF($A142="","",IF(OR(MEMORIA_RESULTADOS!$W$46="",posicao_contratual!$AL141=""),"",IF(posicao_contratual!$AL141&lt;=MEMORIA_RESULTADOS!$W$46,"SIM","NAO APLICAVEL")))</f>
        <v/>
      </c>
      <c r="AC142" t="str">
        <f>IF($A142="","",IF(MEMORIA_RESULTADOS!$W$46="","",CHOOSE(MEMORIA_RESULTADOS!$W$46+1,posicao_contratual!$AG141,posicao_contratual!$AH141,posicao_contratual!$AI141,posicao_contratual!$AJ141,posicao_contratual!$AK141)))</f>
        <v/>
      </c>
    </row>
    <row r="143" spans="1:29" x14ac:dyDescent="0.35">
      <c r="A143" s="106" t="str">
        <f>IF(AND(itens_Remanesc!A142="",itens_Remanesc!A141&lt;&gt;"",COUNTIF(itens_Remanesc!A143:$A$200,"&lt;&gt;")=0),"TOTAL",IF(itens_Remanesc!A142="","",itens_Remanesc!A142))</f>
        <v/>
      </c>
      <c r="B143" s="107" t="str">
        <f>IF(OR(historico_VU!A142="",historico_VU!C142=""),"",historico_VU!C142)</f>
        <v/>
      </c>
      <c r="C143" s="108" t="str">
        <f>IF(posicao_contratual!A142="","",posicao_contratual!G142)</f>
        <v/>
      </c>
      <c r="D143" s="107" t="str">
        <f>IF(A143="TOTAL",ROUND(SUM($D$3:D142),2),IF(OR(A143="",B143="",C143=""),"",ROUND(B143*C143,2)))</f>
        <v/>
      </c>
      <c r="E143" s="109" t="str">
        <f>IF(OR(historico_VU!A142="",historico_VU!D142=""),"",historico_VU!D142)</f>
        <v/>
      </c>
      <c r="F143" s="110" t="str">
        <f>IF(posicao_contratual!A142="","",posicao_contratual!K142)</f>
        <v/>
      </c>
      <c r="G143" s="109" t="str">
        <f>IF(A143="TOTAL",ROUND(SUM($G$3:G142),2),IF(OR(A143="",E143="",F143=""),"",ROUND(E143*F143,2)))</f>
        <v/>
      </c>
      <c r="H143" s="107" t="str">
        <f>IF(OR(historico_VU!A142="",historico_VU!E142=""),"",historico_VU!E142)</f>
        <v/>
      </c>
      <c r="I143" s="108" t="str">
        <f>IF(posicao_contratual!A142="","",posicao_contratual!O142)</f>
        <v/>
      </c>
      <c r="J143" s="107" t="str">
        <f>IF(A143="TOTAL",ROUND(SUM($J$3:J142),2),IF(OR(A143="",H143="",I143=""),"",ROUND(H143*I143,2)))</f>
        <v/>
      </c>
      <c r="K143" s="109" t="str">
        <f>IF(OR(historico_VU!A142="",historico_VU!F142=""),"",historico_VU!F142)</f>
        <v/>
      </c>
      <c r="L143" s="110" t="str">
        <f>IF(posicao_contratual!A142="","",posicao_contratual!S142)</f>
        <v/>
      </c>
      <c r="M143" s="109" t="str">
        <f>IF(A143="TOTAL",ROUND(SUM($M$3:M142),2),IF(OR(A143="",K143="",L143=""),"",ROUND(K143*L143,2)))</f>
        <v/>
      </c>
      <c r="N143" s="107" t="str">
        <f>IF(OR(historico_VU!A142="",historico_VU!G142=""),"",historico_VU!G142)</f>
        <v/>
      </c>
      <c r="O143" s="108" t="str">
        <f>IF(posicao_contratual!A142="","",posicao_contratual!W142)</f>
        <v/>
      </c>
      <c r="P143" s="107" t="str">
        <f>IF(A143="TOTAL",ROUND(SUM($P$3:P142),2),IF(OR(A143="",N143="",O143=""),"",ROUND(N143*O143,2)))</f>
        <v/>
      </c>
      <c r="Q143" s="181" t="str">
        <f t="shared" ca="1" si="32"/>
        <v/>
      </c>
      <c r="R143" t="str">
        <f>IF($A143="","",IF(MEMORIA_RESULTADOS!$W$46="","","C"&amp;MEMORIA_RESULTADOS!$W$46))</f>
        <v/>
      </c>
      <c r="S143" s="207" t="str">
        <f t="shared" ca="1" si="33"/>
        <v/>
      </c>
      <c r="T143" s="207" t="str">
        <f t="shared" ca="1" si="34"/>
        <v/>
      </c>
      <c r="U143" s="207" t="str">
        <f t="shared" ca="1" si="35"/>
        <v/>
      </c>
      <c r="V143" s="191" t="str">
        <f t="shared" ca="1" si="36"/>
        <v/>
      </c>
      <c r="W143" s="191" t="str">
        <f t="shared" ca="1" si="37"/>
        <v/>
      </c>
      <c r="X143" s="191" t="str">
        <f t="shared" ca="1" si="38"/>
        <v/>
      </c>
      <c r="Y143" t="str">
        <f t="shared" ca="1" si="39"/>
        <v/>
      </c>
      <c r="Z143" s="208" t="str">
        <f>IF($A143="","",IF(posicao_contratual!$AA142="","",posicao_contratual!$AA142))</f>
        <v/>
      </c>
      <c r="AA143" t="str">
        <f>IF($A143="","",IF(posicao_contratual!$AL142="","","C"&amp;posicao_contratual!$AL142))</f>
        <v/>
      </c>
      <c r="AB143" t="str">
        <f>IF($A143="","",IF(OR(MEMORIA_RESULTADOS!$W$46="",posicao_contratual!$AL142=""),"",IF(posicao_contratual!$AL142&lt;=MEMORIA_RESULTADOS!$W$46,"SIM","NAO APLICAVEL")))</f>
        <v/>
      </c>
      <c r="AC143" t="str">
        <f>IF($A143="","",IF(MEMORIA_RESULTADOS!$W$46="","",CHOOSE(MEMORIA_RESULTADOS!$W$46+1,posicao_contratual!$AG142,posicao_contratual!$AH142,posicao_contratual!$AI142,posicao_contratual!$AJ142,posicao_contratual!$AK142)))</f>
        <v/>
      </c>
    </row>
    <row r="144" spans="1:29" x14ac:dyDescent="0.35">
      <c r="A144" s="106" t="str">
        <f>IF(AND(itens_Remanesc!A143="",itens_Remanesc!A142&lt;&gt;"",COUNTIF(itens_Remanesc!A144:$A$200,"&lt;&gt;")=0),"TOTAL",IF(itens_Remanesc!A143="","",itens_Remanesc!A143))</f>
        <v/>
      </c>
      <c r="B144" s="107" t="str">
        <f>IF(OR(historico_VU!A143="",historico_VU!C143=""),"",historico_VU!C143)</f>
        <v/>
      </c>
      <c r="C144" s="108" t="str">
        <f>IF(posicao_contratual!A143="","",posicao_contratual!G143)</f>
        <v/>
      </c>
      <c r="D144" s="107" t="str">
        <f>IF(A144="TOTAL",ROUND(SUM($D$3:D143),2),IF(OR(A144="",B144="",C144=""),"",ROUND(B144*C144,2)))</f>
        <v/>
      </c>
      <c r="E144" s="109" t="str">
        <f>IF(OR(historico_VU!A143="",historico_VU!D143=""),"",historico_VU!D143)</f>
        <v/>
      </c>
      <c r="F144" s="110" t="str">
        <f>IF(posicao_contratual!A143="","",posicao_contratual!K143)</f>
        <v/>
      </c>
      <c r="G144" s="109" t="str">
        <f>IF(A144="TOTAL",ROUND(SUM($G$3:G143),2),IF(OR(A144="",E144="",F144=""),"",ROUND(E144*F144,2)))</f>
        <v/>
      </c>
      <c r="H144" s="107" t="str">
        <f>IF(OR(historico_VU!A143="",historico_VU!E143=""),"",historico_VU!E143)</f>
        <v/>
      </c>
      <c r="I144" s="108" t="str">
        <f>IF(posicao_contratual!A143="","",posicao_contratual!O143)</f>
        <v/>
      </c>
      <c r="J144" s="107" t="str">
        <f>IF(A144="TOTAL",ROUND(SUM($J$3:J143),2),IF(OR(A144="",H144="",I144=""),"",ROUND(H144*I144,2)))</f>
        <v/>
      </c>
      <c r="K144" s="109" t="str">
        <f>IF(OR(historico_VU!A143="",historico_VU!F143=""),"",historico_VU!F143)</f>
        <v/>
      </c>
      <c r="L144" s="110" t="str">
        <f>IF(posicao_contratual!A143="","",posicao_contratual!S143)</f>
        <v/>
      </c>
      <c r="M144" s="109" t="str">
        <f>IF(A144="TOTAL",ROUND(SUM($M$3:M143),2),IF(OR(A144="",K144="",L144=""),"",ROUND(K144*L144,2)))</f>
        <v/>
      </c>
      <c r="N144" s="107" t="str">
        <f>IF(OR(historico_VU!A143="",historico_VU!G143=""),"",historico_VU!G143)</f>
        <v/>
      </c>
      <c r="O144" s="108" t="str">
        <f>IF(posicao_contratual!A143="","",posicao_contratual!W143)</f>
        <v/>
      </c>
      <c r="P144" s="107" t="str">
        <f>IF(A144="TOTAL",ROUND(SUM($P$3:P143),2),IF(OR(A144="",N144="",O144=""),"",ROUND(N144*O144,2)))</f>
        <v/>
      </c>
      <c r="Q144" s="181" t="str">
        <f t="shared" ca="1" si="32"/>
        <v/>
      </c>
      <c r="R144" t="str">
        <f>IF($A144="","",IF(MEMORIA_RESULTADOS!$W$46="","","C"&amp;MEMORIA_RESULTADOS!$W$46))</f>
        <v/>
      </c>
      <c r="S144" s="207" t="str">
        <f t="shared" ca="1" si="33"/>
        <v/>
      </c>
      <c r="T144" s="207" t="str">
        <f t="shared" ca="1" si="34"/>
        <v/>
      </c>
      <c r="U144" s="207" t="str">
        <f t="shared" ca="1" si="35"/>
        <v/>
      </c>
      <c r="V144" s="191" t="str">
        <f t="shared" ca="1" si="36"/>
        <v/>
      </c>
      <c r="W144" s="191" t="str">
        <f t="shared" ca="1" si="37"/>
        <v/>
      </c>
      <c r="X144" s="191" t="str">
        <f t="shared" ca="1" si="38"/>
        <v/>
      </c>
      <c r="Y144" t="str">
        <f t="shared" ca="1" si="39"/>
        <v/>
      </c>
      <c r="Z144" s="208" t="str">
        <f>IF($A144="","",IF(posicao_contratual!$AA143="","",posicao_contratual!$AA143))</f>
        <v/>
      </c>
      <c r="AA144" t="str">
        <f>IF($A144="","",IF(posicao_contratual!$AL143="","","C"&amp;posicao_contratual!$AL143))</f>
        <v/>
      </c>
      <c r="AB144" t="str">
        <f>IF($A144="","",IF(OR(MEMORIA_RESULTADOS!$W$46="",posicao_contratual!$AL143=""),"",IF(posicao_contratual!$AL143&lt;=MEMORIA_RESULTADOS!$W$46,"SIM","NAO APLICAVEL")))</f>
        <v/>
      </c>
      <c r="AC144" t="str">
        <f>IF($A144="","",IF(MEMORIA_RESULTADOS!$W$46="","",CHOOSE(MEMORIA_RESULTADOS!$W$46+1,posicao_contratual!$AG143,posicao_contratual!$AH143,posicao_contratual!$AI143,posicao_contratual!$AJ143,posicao_contratual!$AK143)))</f>
        <v/>
      </c>
    </row>
    <row r="145" spans="1:29" x14ac:dyDescent="0.35">
      <c r="A145" s="106" t="str">
        <f>IF(AND(itens_Remanesc!A144="",itens_Remanesc!A143&lt;&gt;"",COUNTIF(itens_Remanesc!A145:$A$200,"&lt;&gt;")=0),"TOTAL",IF(itens_Remanesc!A144="","",itens_Remanesc!A144))</f>
        <v/>
      </c>
      <c r="B145" s="107" t="str">
        <f>IF(OR(historico_VU!A144="",historico_VU!C144=""),"",historico_VU!C144)</f>
        <v/>
      </c>
      <c r="C145" s="108" t="str">
        <f>IF(posicao_contratual!A144="","",posicao_contratual!G144)</f>
        <v/>
      </c>
      <c r="D145" s="107" t="str">
        <f>IF(A145="TOTAL",ROUND(SUM($D$3:D144),2),IF(OR(A145="",B145="",C145=""),"",ROUND(B145*C145,2)))</f>
        <v/>
      </c>
      <c r="E145" s="109" t="str">
        <f>IF(OR(historico_VU!A144="",historico_VU!D144=""),"",historico_VU!D144)</f>
        <v/>
      </c>
      <c r="F145" s="110" t="str">
        <f>IF(posicao_contratual!A144="","",posicao_contratual!K144)</f>
        <v/>
      </c>
      <c r="G145" s="109" t="str">
        <f>IF(A145="TOTAL",ROUND(SUM($G$3:G144),2),IF(OR(A145="",E145="",F145=""),"",ROUND(E145*F145,2)))</f>
        <v/>
      </c>
      <c r="H145" s="107" t="str">
        <f>IF(OR(historico_VU!A144="",historico_VU!E144=""),"",historico_VU!E144)</f>
        <v/>
      </c>
      <c r="I145" s="108" t="str">
        <f>IF(posicao_contratual!A144="","",posicao_contratual!O144)</f>
        <v/>
      </c>
      <c r="J145" s="107" t="str">
        <f>IF(A145="TOTAL",ROUND(SUM($J$3:J144),2),IF(OR(A145="",H145="",I145=""),"",ROUND(H145*I145,2)))</f>
        <v/>
      </c>
      <c r="K145" s="109" t="str">
        <f>IF(OR(historico_VU!A144="",historico_VU!F144=""),"",historico_VU!F144)</f>
        <v/>
      </c>
      <c r="L145" s="110" t="str">
        <f>IF(posicao_contratual!A144="","",posicao_contratual!S144)</f>
        <v/>
      </c>
      <c r="M145" s="109" t="str">
        <f>IF(A145="TOTAL",ROUND(SUM($M$3:M144),2),IF(OR(A145="",K145="",L145=""),"",ROUND(K145*L145,2)))</f>
        <v/>
      </c>
      <c r="N145" s="107" t="str">
        <f>IF(OR(historico_VU!A144="",historico_VU!G144=""),"",historico_VU!G144)</f>
        <v/>
      </c>
      <c r="O145" s="108" t="str">
        <f>IF(posicao_contratual!A144="","",posicao_contratual!W144)</f>
        <v/>
      </c>
      <c r="P145" s="107" t="str">
        <f>IF(A145="TOTAL",ROUND(SUM($P$3:P144),2),IF(OR(A145="",N145="",O145=""),"",ROUND(N145*O145,2)))</f>
        <v/>
      </c>
      <c r="Q145" s="181" t="str">
        <f t="shared" ca="1" si="32"/>
        <v/>
      </c>
      <c r="R145" t="str">
        <f>IF($A145="","",IF(MEMORIA_RESULTADOS!$W$46="","","C"&amp;MEMORIA_RESULTADOS!$W$46))</f>
        <v/>
      </c>
      <c r="S145" s="207" t="str">
        <f t="shared" ca="1" si="33"/>
        <v/>
      </c>
      <c r="T145" s="207" t="str">
        <f t="shared" ca="1" si="34"/>
        <v/>
      </c>
      <c r="U145" s="207" t="str">
        <f t="shared" ca="1" si="35"/>
        <v/>
      </c>
      <c r="V145" s="191" t="str">
        <f t="shared" ca="1" si="36"/>
        <v/>
      </c>
      <c r="W145" s="191" t="str">
        <f t="shared" ca="1" si="37"/>
        <v/>
      </c>
      <c r="X145" s="191" t="str">
        <f t="shared" ca="1" si="38"/>
        <v/>
      </c>
      <c r="Y145" t="str">
        <f t="shared" ca="1" si="39"/>
        <v/>
      </c>
      <c r="Z145" s="208" t="str">
        <f>IF($A145="","",IF(posicao_contratual!$AA144="","",posicao_contratual!$AA144))</f>
        <v/>
      </c>
      <c r="AA145" t="str">
        <f>IF($A145="","",IF(posicao_contratual!$AL144="","","C"&amp;posicao_contratual!$AL144))</f>
        <v/>
      </c>
      <c r="AB145" t="str">
        <f>IF($A145="","",IF(OR(MEMORIA_RESULTADOS!$W$46="",posicao_contratual!$AL144=""),"",IF(posicao_contratual!$AL144&lt;=MEMORIA_RESULTADOS!$W$46,"SIM","NAO APLICAVEL")))</f>
        <v/>
      </c>
      <c r="AC145" t="str">
        <f>IF($A145="","",IF(MEMORIA_RESULTADOS!$W$46="","",CHOOSE(MEMORIA_RESULTADOS!$W$46+1,posicao_contratual!$AG144,posicao_contratual!$AH144,posicao_contratual!$AI144,posicao_contratual!$AJ144,posicao_contratual!$AK144)))</f>
        <v/>
      </c>
    </row>
    <row r="146" spans="1:29" x14ac:dyDescent="0.35">
      <c r="A146" s="106" t="str">
        <f>IF(AND(itens_Remanesc!A145="",itens_Remanesc!A144&lt;&gt;"",COUNTIF(itens_Remanesc!A146:$A$200,"&lt;&gt;")=0),"TOTAL",IF(itens_Remanesc!A145="","",itens_Remanesc!A145))</f>
        <v/>
      </c>
      <c r="B146" s="107" t="str">
        <f>IF(OR(historico_VU!A145="",historico_VU!C145=""),"",historico_VU!C145)</f>
        <v/>
      </c>
      <c r="C146" s="108" t="str">
        <f>IF(posicao_contratual!A145="","",posicao_contratual!G145)</f>
        <v/>
      </c>
      <c r="D146" s="107" t="str">
        <f>IF(A146="TOTAL",ROUND(SUM($D$3:D145),2),IF(OR(A146="",B146="",C146=""),"",ROUND(B146*C146,2)))</f>
        <v/>
      </c>
      <c r="E146" s="109" t="str">
        <f>IF(OR(historico_VU!A145="",historico_VU!D145=""),"",historico_VU!D145)</f>
        <v/>
      </c>
      <c r="F146" s="110" t="str">
        <f>IF(posicao_contratual!A145="","",posicao_contratual!K145)</f>
        <v/>
      </c>
      <c r="G146" s="109" t="str">
        <f>IF(A146="TOTAL",ROUND(SUM($G$3:G145),2),IF(OR(A146="",E146="",F146=""),"",ROUND(E146*F146,2)))</f>
        <v/>
      </c>
      <c r="H146" s="107" t="str">
        <f>IF(OR(historico_VU!A145="",historico_VU!E145=""),"",historico_VU!E145)</f>
        <v/>
      </c>
      <c r="I146" s="108" t="str">
        <f>IF(posicao_contratual!A145="","",posicao_contratual!O145)</f>
        <v/>
      </c>
      <c r="J146" s="107" t="str">
        <f>IF(A146="TOTAL",ROUND(SUM($J$3:J145),2),IF(OR(A146="",H146="",I146=""),"",ROUND(H146*I146,2)))</f>
        <v/>
      </c>
      <c r="K146" s="109" t="str">
        <f>IF(OR(historico_VU!A145="",historico_VU!F145=""),"",historico_VU!F145)</f>
        <v/>
      </c>
      <c r="L146" s="110" t="str">
        <f>IF(posicao_contratual!A145="","",posicao_contratual!S145)</f>
        <v/>
      </c>
      <c r="M146" s="109" t="str">
        <f>IF(A146="TOTAL",ROUND(SUM($M$3:M145),2),IF(OR(A146="",K146="",L146=""),"",ROUND(K146*L146,2)))</f>
        <v/>
      </c>
      <c r="N146" s="107" t="str">
        <f>IF(OR(historico_VU!A145="",historico_VU!G145=""),"",historico_VU!G145)</f>
        <v/>
      </c>
      <c r="O146" s="108" t="str">
        <f>IF(posicao_contratual!A145="","",posicao_contratual!W145)</f>
        <v/>
      </c>
      <c r="P146" s="107" t="str">
        <f>IF(A146="TOTAL",ROUND(SUM($P$3:P145),2),IF(OR(A146="",N146="",O146=""),"",ROUND(N146*O146,2)))</f>
        <v/>
      </c>
      <c r="Q146" s="181" t="str">
        <f t="shared" ca="1" si="32"/>
        <v/>
      </c>
      <c r="R146" t="str">
        <f>IF($A146="","",IF(MEMORIA_RESULTADOS!$W$46="","","C"&amp;MEMORIA_RESULTADOS!$W$46))</f>
        <v/>
      </c>
      <c r="S146" s="207" t="str">
        <f t="shared" ca="1" si="33"/>
        <v/>
      </c>
      <c r="T146" s="207" t="str">
        <f t="shared" ca="1" si="34"/>
        <v/>
      </c>
      <c r="U146" s="207" t="str">
        <f t="shared" ca="1" si="35"/>
        <v/>
      </c>
      <c r="V146" s="191" t="str">
        <f t="shared" ca="1" si="36"/>
        <v/>
      </c>
      <c r="W146" s="191" t="str">
        <f t="shared" ca="1" si="37"/>
        <v/>
      </c>
      <c r="X146" s="191" t="str">
        <f t="shared" ca="1" si="38"/>
        <v/>
      </c>
      <c r="Y146" t="str">
        <f t="shared" ca="1" si="39"/>
        <v/>
      </c>
      <c r="Z146" s="208" t="str">
        <f>IF($A146="","",IF(posicao_contratual!$AA145="","",posicao_contratual!$AA145))</f>
        <v/>
      </c>
      <c r="AA146" t="str">
        <f>IF($A146="","",IF(posicao_contratual!$AL145="","","C"&amp;posicao_contratual!$AL145))</f>
        <v/>
      </c>
      <c r="AB146" t="str">
        <f>IF($A146="","",IF(OR(MEMORIA_RESULTADOS!$W$46="",posicao_contratual!$AL145=""),"",IF(posicao_contratual!$AL145&lt;=MEMORIA_RESULTADOS!$W$46,"SIM","NAO APLICAVEL")))</f>
        <v/>
      </c>
      <c r="AC146" t="str">
        <f>IF($A146="","",IF(MEMORIA_RESULTADOS!$W$46="","",CHOOSE(MEMORIA_RESULTADOS!$W$46+1,posicao_contratual!$AG145,posicao_contratual!$AH145,posicao_contratual!$AI145,posicao_contratual!$AJ145,posicao_contratual!$AK145)))</f>
        <v/>
      </c>
    </row>
    <row r="147" spans="1:29" x14ac:dyDescent="0.35">
      <c r="A147" s="106" t="str">
        <f>IF(AND(itens_Remanesc!A146="",itens_Remanesc!A145&lt;&gt;"",COUNTIF(itens_Remanesc!A147:$A$200,"&lt;&gt;")=0),"TOTAL",IF(itens_Remanesc!A146="","",itens_Remanesc!A146))</f>
        <v/>
      </c>
      <c r="B147" s="107" t="str">
        <f>IF(OR(historico_VU!A146="",historico_VU!C146=""),"",historico_VU!C146)</f>
        <v/>
      </c>
      <c r="C147" s="108" t="str">
        <f>IF(posicao_contratual!A146="","",posicao_contratual!G146)</f>
        <v/>
      </c>
      <c r="D147" s="107" t="str">
        <f>IF(A147="TOTAL",ROUND(SUM($D$3:D146),2),IF(OR(A147="",B147="",C147=""),"",ROUND(B147*C147,2)))</f>
        <v/>
      </c>
      <c r="E147" s="109" t="str">
        <f>IF(OR(historico_VU!A146="",historico_VU!D146=""),"",historico_VU!D146)</f>
        <v/>
      </c>
      <c r="F147" s="110" t="str">
        <f>IF(posicao_contratual!A146="","",posicao_contratual!K146)</f>
        <v/>
      </c>
      <c r="G147" s="109" t="str">
        <f>IF(A147="TOTAL",ROUND(SUM($G$3:G146),2),IF(OR(A147="",E147="",F147=""),"",ROUND(E147*F147,2)))</f>
        <v/>
      </c>
      <c r="H147" s="107" t="str">
        <f>IF(OR(historico_VU!A146="",historico_VU!E146=""),"",historico_VU!E146)</f>
        <v/>
      </c>
      <c r="I147" s="108" t="str">
        <f>IF(posicao_contratual!A146="","",posicao_contratual!O146)</f>
        <v/>
      </c>
      <c r="J147" s="107" t="str">
        <f>IF(A147="TOTAL",ROUND(SUM($J$3:J146),2),IF(OR(A147="",H147="",I147=""),"",ROUND(H147*I147,2)))</f>
        <v/>
      </c>
      <c r="K147" s="109" t="str">
        <f>IF(OR(historico_VU!A146="",historico_VU!F146=""),"",historico_VU!F146)</f>
        <v/>
      </c>
      <c r="L147" s="110" t="str">
        <f>IF(posicao_contratual!A146="","",posicao_contratual!S146)</f>
        <v/>
      </c>
      <c r="M147" s="109" t="str">
        <f>IF(A147="TOTAL",ROUND(SUM($M$3:M146),2),IF(OR(A147="",K147="",L147=""),"",ROUND(K147*L147,2)))</f>
        <v/>
      </c>
      <c r="N147" s="107" t="str">
        <f>IF(OR(historico_VU!A146="",historico_VU!G146=""),"",historico_VU!G146)</f>
        <v/>
      </c>
      <c r="O147" s="108" t="str">
        <f>IF(posicao_contratual!A146="","",posicao_contratual!W146)</f>
        <v/>
      </c>
      <c r="P147" s="107" t="str">
        <f>IF(A147="TOTAL",ROUND(SUM($P$3:P146),2),IF(OR(A147="",N147="",O147=""),"",ROUND(N147*O147,2)))</f>
        <v/>
      </c>
      <c r="Q147" s="181" t="str">
        <f t="shared" ca="1" si="32"/>
        <v/>
      </c>
      <c r="R147" t="str">
        <f>IF($A147="","",IF(MEMORIA_RESULTADOS!$W$46="","","C"&amp;MEMORIA_RESULTADOS!$W$46))</f>
        <v/>
      </c>
      <c r="S147" s="207" t="str">
        <f t="shared" ca="1" si="33"/>
        <v/>
      </c>
      <c r="T147" s="207" t="str">
        <f t="shared" ca="1" si="34"/>
        <v/>
      </c>
      <c r="U147" s="207" t="str">
        <f t="shared" ca="1" si="35"/>
        <v/>
      </c>
      <c r="V147" s="191" t="str">
        <f t="shared" ca="1" si="36"/>
        <v/>
      </c>
      <c r="W147" s="191" t="str">
        <f t="shared" ca="1" si="37"/>
        <v/>
      </c>
      <c r="X147" s="191" t="str">
        <f t="shared" ca="1" si="38"/>
        <v/>
      </c>
      <c r="Y147" t="str">
        <f t="shared" ca="1" si="39"/>
        <v/>
      </c>
      <c r="Z147" s="208" t="str">
        <f>IF($A147="","",IF(posicao_contratual!$AA146="","",posicao_contratual!$AA146))</f>
        <v/>
      </c>
      <c r="AA147" t="str">
        <f>IF($A147="","",IF(posicao_contratual!$AL146="","","C"&amp;posicao_contratual!$AL146))</f>
        <v/>
      </c>
      <c r="AB147" t="str">
        <f>IF($A147="","",IF(OR(MEMORIA_RESULTADOS!$W$46="",posicao_contratual!$AL146=""),"",IF(posicao_contratual!$AL146&lt;=MEMORIA_RESULTADOS!$W$46,"SIM","NAO APLICAVEL")))</f>
        <v/>
      </c>
      <c r="AC147" t="str">
        <f>IF($A147="","",IF(MEMORIA_RESULTADOS!$W$46="","",CHOOSE(MEMORIA_RESULTADOS!$W$46+1,posicao_contratual!$AG146,posicao_contratual!$AH146,posicao_contratual!$AI146,posicao_contratual!$AJ146,posicao_contratual!$AK146)))</f>
        <v/>
      </c>
    </row>
    <row r="148" spans="1:29" x14ac:dyDescent="0.35">
      <c r="A148" s="106" t="str">
        <f>IF(AND(itens_Remanesc!A147="",itens_Remanesc!A146&lt;&gt;"",COUNTIF(itens_Remanesc!A148:$A$200,"&lt;&gt;")=0),"TOTAL",IF(itens_Remanesc!A147="","",itens_Remanesc!A147))</f>
        <v/>
      </c>
      <c r="B148" s="107" t="str">
        <f>IF(OR(historico_VU!A147="",historico_VU!C147=""),"",historico_VU!C147)</f>
        <v/>
      </c>
      <c r="C148" s="108" t="str">
        <f>IF(posicao_contratual!A147="","",posicao_contratual!G147)</f>
        <v/>
      </c>
      <c r="D148" s="107" t="str">
        <f>IF(A148="TOTAL",ROUND(SUM($D$3:D147),2),IF(OR(A148="",B148="",C148=""),"",ROUND(B148*C148,2)))</f>
        <v/>
      </c>
      <c r="E148" s="109" t="str">
        <f>IF(OR(historico_VU!A147="",historico_VU!D147=""),"",historico_VU!D147)</f>
        <v/>
      </c>
      <c r="F148" s="110" t="str">
        <f>IF(posicao_contratual!A147="","",posicao_contratual!K147)</f>
        <v/>
      </c>
      <c r="G148" s="109" t="str">
        <f>IF(A148="TOTAL",ROUND(SUM($G$3:G147),2),IF(OR(A148="",E148="",F148=""),"",ROUND(E148*F148,2)))</f>
        <v/>
      </c>
      <c r="H148" s="107" t="str">
        <f>IF(OR(historico_VU!A147="",historico_VU!E147=""),"",historico_VU!E147)</f>
        <v/>
      </c>
      <c r="I148" s="108" t="str">
        <f>IF(posicao_contratual!A147="","",posicao_contratual!O147)</f>
        <v/>
      </c>
      <c r="J148" s="107" t="str">
        <f>IF(A148="TOTAL",ROUND(SUM($J$3:J147),2),IF(OR(A148="",H148="",I148=""),"",ROUND(H148*I148,2)))</f>
        <v/>
      </c>
      <c r="K148" s="109" t="str">
        <f>IF(OR(historico_VU!A147="",historico_VU!F147=""),"",historico_VU!F147)</f>
        <v/>
      </c>
      <c r="L148" s="110" t="str">
        <f>IF(posicao_contratual!A147="","",posicao_contratual!S147)</f>
        <v/>
      </c>
      <c r="M148" s="109" t="str">
        <f>IF(A148="TOTAL",ROUND(SUM($M$3:M147),2),IF(OR(A148="",K148="",L148=""),"",ROUND(K148*L148,2)))</f>
        <v/>
      </c>
      <c r="N148" s="107" t="str">
        <f>IF(OR(historico_VU!A147="",historico_VU!G147=""),"",historico_VU!G147)</f>
        <v/>
      </c>
      <c r="O148" s="108" t="str">
        <f>IF(posicao_contratual!A147="","",posicao_contratual!W147)</f>
        <v/>
      </c>
      <c r="P148" s="107" t="str">
        <f>IF(A148="TOTAL",ROUND(SUM($P$3:P147),2),IF(OR(A148="",N148="",O148=""),"",ROUND(N148*O148,2)))</f>
        <v/>
      </c>
      <c r="Q148" s="181" t="str">
        <f t="shared" ca="1" si="32"/>
        <v/>
      </c>
      <c r="R148" t="str">
        <f>IF($A148="","",IF(MEMORIA_RESULTADOS!$W$46="","","C"&amp;MEMORIA_RESULTADOS!$W$46))</f>
        <v/>
      </c>
      <c r="S148" s="207" t="str">
        <f t="shared" ca="1" si="33"/>
        <v/>
      </c>
      <c r="T148" s="207" t="str">
        <f t="shared" ca="1" si="34"/>
        <v/>
      </c>
      <c r="U148" s="207" t="str">
        <f t="shared" ca="1" si="35"/>
        <v/>
      </c>
      <c r="V148" s="191" t="str">
        <f t="shared" ca="1" si="36"/>
        <v/>
      </c>
      <c r="W148" s="191" t="str">
        <f t="shared" ca="1" si="37"/>
        <v/>
      </c>
      <c r="X148" s="191" t="str">
        <f t="shared" ca="1" si="38"/>
        <v/>
      </c>
      <c r="Y148" t="str">
        <f t="shared" ca="1" si="39"/>
        <v/>
      </c>
      <c r="Z148" s="208" t="str">
        <f>IF($A148="","",IF(posicao_contratual!$AA147="","",posicao_contratual!$AA147))</f>
        <v/>
      </c>
      <c r="AA148" t="str">
        <f>IF($A148="","",IF(posicao_contratual!$AL147="","","C"&amp;posicao_contratual!$AL147))</f>
        <v/>
      </c>
      <c r="AB148" t="str">
        <f>IF($A148="","",IF(OR(MEMORIA_RESULTADOS!$W$46="",posicao_contratual!$AL147=""),"",IF(posicao_contratual!$AL147&lt;=MEMORIA_RESULTADOS!$W$46,"SIM","NAO APLICAVEL")))</f>
        <v/>
      </c>
      <c r="AC148" t="str">
        <f>IF($A148="","",IF(MEMORIA_RESULTADOS!$W$46="","",CHOOSE(MEMORIA_RESULTADOS!$W$46+1,posicao_contratual!$AG147,posicao_contratual!$AH147,posicao_contratual!$AI147,posicao_contratual!$AJ147,posicao_contratual!$AK147)))</f>
        <v/>
      </c>
    </row>
    <row r="149" spans="1:29" x14ac:dyDescent="0.35">
      <c r="A149" s="106" t="str">
        <f>IF(AND(itens_Remanesc!A148="",itens_Remanesc!A147&lt;&gt;"",COUNTIF(itens_Remanesc!A149:$A$200,"&lt;&gt;")=0),"TOTAL",IF(itens_Remanesc!A148="","",itens_Remanesc!A148))</f>
        <v/>
      </c>
      <c r="B149" s="107" t="str">
        <f>IF(OR(historico_VU!A148="",historico_VU!C148=""),"",historico_VU!C148)</f>
        <v/>
      </c>
      <c r="C149" s="108" t="str">
        <f>IF(posicao_contratual!A148="","",posicao_contratual!G148)</f>
        <v/>
      </c>
      <c r="D149" s="107" t="str">
        <f>IF(A149="TOTAL",ROUND(SUM($D$3:D148),2),IF(OR(A149="",B149="",C149=""),"",ROUND(B149*C149,2)))</f>
        <v/>
      </c>
      <c r="E149" s="109" t="str">
        <f>IF(OR(historico_VU!A148="",historico_VU!D148=""),"",historico_VU!D148)</f>
        <v/>
      </c>
      <c r="F149" s="110" t="str">
        <f>IF(posicao_contratual!A148="","",posicao_contratual!K148)</f>
        <v/>
      </c>
      <c r="G149" s="109" t="str">
        <f>IF(A149="TOTAL",ROUND(SUM($G$3:G148),2),IF(OR(A149="",E149="",F149=""),"",ROUND(E149*F149,2)))</f>
        <v/>
      </c>
      <c r="H149" s="107" t="str">
        <f>IF(OR(historico_VU!A148="",historico_VU!E148=""),"",historico_VU!E148)</f>
        <v/>
      </c>
      <c r="I149" s="108" t="str">
        <f>IF(posicao_contratual!A148="","",posicao_contratual!O148)</f>
        <v/>
      </c>
      <c r="J149" s="107" t="str">
        <f>IF(A149="TOTAL",ROUND(SUM($J$3:J148),2),IF(OR(A149="",H149="",I149=""),"",ROUND(H149*I149,2)))</f>
        <v/>
      </c>
      <c r="K149" s="109" t="str">
        <f>IF(OR(historico_VU!A148="",historico_VU!F148=""),"",historico_VU!F148)</f>
        <v/>
      </c>
      <c r="L149" s="110" t="str">
        <f>IF(posicao_contratual!A148="","",posicao_contratual!S148)</f>
        <v/>
      </c>
      <c r="M149" s="109" t="str">
        <f>IF(A149="TOTAL",ROUND(SUM($M$3:M148),2),IF(OR(A149="",K149="",L149=""),"",ROUND(K149*L149,2)))</f>
        <v/>
      </c>
      <c r="N149" s="107" t="str">
        <f>IF(OR(historico_VU!A148="",historico_VU!G148=""),"",historico_VU!G148)</f>
        <v/>
      </c>
      <c r="O149" s="108" t="str">
        <f>IF(posicao_contratual!A148="","",posicao_contratual!W148)</f>
        <v/>
      </c>
      <c r="P149" s="107" t="str">
        <f>IF(A149="TOTAL",ROUND(SUM($P$3:P148),2),IF(OR(A149="",N149="",O149=""),"",ROUND(N149*O149,2)))</f>
        <v/>
      </c>
      <c r="Q149" s="181" t="str">
        <f t="shared" ca="1" si="32"/>
        <v/>
      </c>
      <c r="R149" t="str">
        <f>IF($A149="","",IF(MEMORIA_RESULTADOS!$W$46="","","C"&amp;MEMORIA_RESULTADOS!$W$46))</f>
        <v/>
      </c>
      <c r="S149" s="207" t="str">
        <f t="shared" ca="1" si="33"/>
        <v/>
      </c>
      <c r="T149" s="207" t="str">
        <f t="shared" ca="1" si="34"/>
        <v/>
      </c>
      <c r="U149" s="207" t="str">
        <f t="shared" ca="1" si="35"/>
        <v/>
      </c>
      <c r="V149" s="191" t="str">
        <f t="shared" ca="1" si="36"/>
        <v/>
      </c>
      <c r="W149" s="191" t="str">
        <f t="shared" ca="1" si="37"/>
        <v/>
      </c>
      <c r="X149" s="191" t="str">
        <f t="shared" ca="1" si="38"/>
        <v/>
      </c>
      <c r="Y149" t="str">
        <f t="shared" ca="1" si="39"/>
        <v/>
      </c>
      <c r="Z149" s="208" t="str">
        <f>IF($A149="","",IF(posicao_contratual!$AA148="","",posicao_contratual!$AA148))</f>
        <v/>
      </c>
      <c r="AA149" t="str">
        <f>IF($A149="","",IF(posicao_contratual!$AL148="","","C"&amp;posicao_contratual!$AL148))</f>
        <v/>
      </c>
      <c r="AB149" t="str">
        <f>IF($A149="","",IF(OR(MEMORIA_RESULTADOS!$W$46="",posicao_contratual!$AL148=""),"",IF(posicao_contratual!$AL148&lt;=MEMORIA_RESULTADOS!$W$46,"SIM","NAO APLICAVEL")))</f>
        <v/>
      </c>
      <c r="AC149" t="str">
        <f>IF($A149="","",IF(MEMORIA_RESULTADOS!$W$46="","",CHOOSE(MEMORIA_RESULTADOS!$W$46+1,posicao_contratual!$AG148,posicao_contratual!$AH148,posicao_contratual!$AI148,posicao_contratual!$AJ148,posicao_contratual!$AK148)))</f>
        <v/>
      </c>
    </row>
    <row r="150" spans="1:29" x14ac:dyDescent="0.35">
      <c r="A150" s="106" t="str">
        <f>IF(AND(itens_Remanesc!A149="",itens_Remanesc!A148&lt;&gt;"",COUNTIF(itens_Remanesc!A150:$A$200,"&lt;&gt;")=0),"TOTAL",IF(itens_Remanesc!A149="","",itens_Remanesc!A149))</f>
        <v/>
      </c>
      <c r="B150" s="107" t="str">
        <f>IF(OR(historico_VU!A149="",historico_VU!C149=""),"",historico_VU!C149)</f>
        <v/>
      </c>
      <c r="C150" s="108" t="str">
        <f>IF(posicao_contratual!A149="","",posicao_contratual!G149)</f>
        <v/>
      </c>
      <c r="D150" s="107" t="str">
        <f>IF(A150="TOTAL",ROUND(SUM($D$3:D149),2),IF(OR(A150="",B150="",C150=""),"",ROUND(B150*C150,2)))</f>
        <v/>
      </c>
      <c r="E150" s="109" t="str">
        <f>IF(OR(historico_VU!A149="",historico_VU!D149=""),"",historico_VU!D149)</f>
        <v/>
      </c>
      <c r="F150" s="110" t="str">
        <f>IF(posicao_contratual!A149="","",posicao_contratual!K149)</f>
        <v/>
      </c>
      <c r="G150" s="109" t="str">
        <f>IF(A150="TOTAL",ROUND(SUM($G$3:G149),2),IF(OR(A150="",E150="",F150=""),"",ROUND(E150*F150,2)))</f>
        <v/>
      </c>
      <c r="H150" s="107" t="str">
        <f>IF(OR(historico_VU!A149="",historico_VU!E149=""),"",historico_VU!E149)</f>
        <v/>
      </c>
      <c r="I150" s="108" t="str">
        <f>IF(posicao_contratual!A149="","",posicao_contratual!O149)</f>
        <v/>
      </c>
      <c r="J150" s="107" t="str">
        <f>IF(A150="TOTAL",ROUND(SUM($J$3:J149),2),IF(OR(A150="",H150="",I150=""),"",ROUND(H150*I150,2)))</f>
        <v/>
      </c>
      <c r="K150" s="109" t="str">
        <f>IF(OR(historico_VU!A149="",historico_VU!F149=""),"",historico_VU!F149)</f>
        <v/>
      </c>
      <c r="L150" s="110" t="str">
        <f>IF(posicao_contratual!A149="","",posicao_contratual!S149)</f>
        <v/>
      </c>
      <c r="M150" s="109" t="str">
        <f>IF(A150="TOTAL",ROUND(SUM($M$3:M149),2),IF(OR(A150="",K150="",L150=""),"",ROUND(K150*L150,2)))</f>
        <v/>
      </c>
      <c r="N150" s="107" t="str">
        <f>IF(OR(historico_VU!A149="",historico_VU!G149=""),"",historico_VU!G149)</f>
        <v/>
      </c>
      <c r="O150" s="108" t="str">
        <f>IF(posicao_contratual!A149="","",posicao_contratual!W149)</f>
        <v/>
      </c>
      <c r="P150" s="107" t="str">
        <f>IF(A150="TOTAL",ROUND(SUM($P$3:P149),2),IF(OR(A150="",N150="",O150=""),"",ROUND(N150*O150,2)))</f>
        <v/>
      </c>
      <c r="Q150" s="181" t="str">
        <f t="shared" ca="1" si="32"/>
        <v/>
      </c>
      <c r="R150" t="str">
        <f>IF($A150="","",IF(MEMORIA_RESULTADOS!$W$46="","","C"&amp;MEMORIA_RESULTADOS!$W$46))</f>
        <v/>
      </c>
      <c r="S150" s="207" t="str">
        <f t="shared" ca="1" si="33"/>
        <v/>
      </c>
      <c r="T150" s="207" t="str">
        <f t="shared" ca="1" si="34"/>
        <v/>
      </c>
      <c r="U150" s="207" t="str">
        <f t="shared" ca="1" si="35"/>
        <v/>
      </c>
      <c r="V150" s="191" t="str">
        <f t="shared" ca="1" si="36"/>
        <v/>
      </c>
      <c r="W150" s="191" t="str">
        <f t="shared" ca="1" si="37"/>
        <v/>
      </c>
      <c r="X150" s="191" t="str">
        <f t="shared" ca="1" si="38"/>
        <v/>
      </c>
      <c r="Y150" t="str">
        <f t="shared" ca="1" si="39"/>
        <v/>
      </c>
      <c r="Z150" s="208" t="str">
        <f>IF($A150="","",IF(posicao_contratual!$AA149="","",posicao_contratual!$AA149))</f>
        <v/>
      </c>
      <c r="AA150" t="str">
        <f>IF($A150="","",IF(posicao_contratual!$AL149="","","C"&amp;posicao_contratual!$AL149))</f>
        <v/>
      </c>
      <c r="AB150" t="str">
        <f>IF($A150="","",IF(OR(MEMORIA_RESULTADOS!$W$46="",posicao_contratual!$AL149=""),"",IF(posicao_contratual!$AL149&lt;=MEMORIA_RESULTADOS!$W$46,"SIM","NAO APLICAVEL")))</f>
        <v/>
      </c>
      <c r="AC150" t="str">
        <f>IF($A150="","",IF(MEMORIA_RESULTADOS!$W$46="","",CHOOSE(MEMORIA_RESULTADOS!$W$46+1,posicao_contratual!$AG149,posicao_contratual!$AH149,posicao_contratual!$AI149,posicao_contratual!$AJ149,posicao_contratual!$AK149)))</f>
        <v/>
      </c>
    </row>
    <row r="151" spans="1:29" x14ac:dyDescent="0.35">
      <c r="A151" s="106" t="str">
        <f>IF(AND(itens_Remanesc!A150="",itens_Remanesc!A149&lt;&gt;"",COUNTIF(itens_Remanesc!A151:$A$200,"&lt;&gt;")=0),"TOTAL",IF(itens_Remanesc!A150="","",itens_Remanesc!A150))</f>
        <v/>
      </c>
      <c r="B151" s="107" t="str">
        <f>IF(OR(historico_VU!A150="",historico_VU!C150=""),"",historico_VU!C150)</f>
        <v/>
      </c>
      <c r="C151" s="108" t="str">
        <f>IF(posicao_contratual!A150="","",posicao_contratual!G150)</f>
        <v/>
      </c>
      <c r="D151" s="107" t="str">
        <f>IF(A151="TOTAL",ROUND(SUM($D$3:D150),2),IF(OR(A151="",B151="",C151=""),"",ROUND(B151*C151,2)))</f>
        <v/>
      </c>
      <c r="E151" s="109" t="str">
        <f>IF(OR(historico_VU!A150="",historico_VU!D150=""),"",historico_VU!D150)</f>
        <v/>
      </c>
      <c r="F151" s="110" t="str">
        <f>IF(posicao_contratual!A150="","",posicao_contratual!K150)</f>
        <v/>
      </c>
      <c r="G151" s="109" t="str">
        <f>IF(A151="TOTAL",ROUND(SUM($G$3:G150),2),IF(OR(A151="",E151="",F151=""),"",ROUND(E151*F151,2)))</f>
        <v/>
      </c>
      <c r="H151" s="107" t="str">
        <f>IF(OR(historico_VU!A150="",historico_VU!E150=""),"",historico_VU!E150)</f>
        <v/>
      </c>
      <c r="I151" s="108" t="str">
        <f>IF(posicao_contratual!A150="","",posicao_contratual!O150)</f>
        <v/>
      </c>
      <c r="J151" s="107" t="str">
        <f>IF(A151="TOTAL",ROUND(SUM($J$3:J150),2),IF(OR(A151="",H151="",I151=""),"",ROUND(H151*I151,2)))</f>
        <v/>
      </c>
      <c r="K151" s="109" t="str">
        <f>IF(OR(historico_VU!A150="",historico_VU!F150=""),"",historico_VU!F150)</f>
        <v/>
      </c>
      <c r="L151" s="110" t="str">
        <f>IF(posicao_contratual!A150="","",posicao_contratual!S150)</f>
        <v/>
      </c>
      <c r="M151" s="109" t="str">
        <f>IF(A151="TOTAL",ROUND(SUM($M$3:M150),2),IF(OR(A151="",K151="",L151=""),"",ROUND(K151*L151,2)))</f>
        <v/>
      </c>
      <c r="N151" s="107" t="str">
        <f>IF(OR(historico_VU!A150="",historico_VU!G150=""),"",historico_VU!G150)</f>
        <v/>
      </c>
      <c r="O151" s="108" t="str">
        <f>IF(posicao_contratual!A150="","",posicao_contratual!W150)</f>
        <v/>
      </c>
      <c r="P151" s="107" t="str">
        <f>IF(A151="TOTAL",ROUND(SUM($P$3:P150),2),IF(OR(A151="",N151="",O151=""),"",ROUND(N151*O151,2)))</f>
        <v/>
      </c>
      <c r="Q151" s="181" t="str">
        <f t="shared" ca="1" si="32"/>
        <v/>
      </c>
      <c r="R151" t="str">
        <f>IF($A151="","",IF(MEMORIA_RESULTADOS!$W$46="","","C"&amp;MEMORIA_RESULTADOS!$W$46))</f>
        <v/>
      </c>
      <c r="S151" s="207" t="str">
        <f t="shared" ca="1" si="33"/>
        <v/>
      </c>
      <c r="T151" s="207" t="str">
        <f t="shared" ca="1" si="34"/>
        <v/>
      </c>
      <c r="U151" s="207" t="str">
        <f t="shared" ca="1" si="35"/>
        <v/>
      </c>
      <c r="V151" s="191" t="str">
        <f t="shared" ca="1" si="36"/>
        <v/>
      </c>
      <c r="W151" s="191" t="str">
        <f t="shared" ca="1" si="37"/>
        <v/>
      </c>
      <c r="X151" s="191" t="str">
        <f t="shared" ca="1" si="38"/>
        <v/>
      </c>
      <c r="Y151" t="str">
        <f t="shared" ca="1" si="39"/>
        <v/>
      </c>
      <c r="Z151" s="208" t="str">
        <f>IF($A151="","",IF(posicao_contratual!$AA150="","",posicao_contratual!$AA150))</f>
        <v/>
      </c>
      <c r="AA151" t="str">
        <f>IF($A151="","",IF(posicao_contratual!$AL150="","","C"&amp;posicao_contratual!$AL150))</f>
        <v/>
      </c>
      <c r="AB151" t="str">
        <f>IF($A151="","",IF(OR(MEMORIA_RESULTADOS!$W$46="",posicao_contratual!$AL150=""),"",IF(posicao_contratual!$AL150&lt;=MEMORIA_RESULTADOS!$W$46,"SIM","NAO APLICAVEL")))</f>
        <v/>
      </c>
      <c r="AC151" t="str">
        <f>IF($A151="","",IF(MEMORIA_RESULTADOS!$W$46="","",CHOOSE(MEMORIA_RESULTADOS!$W$46+1,posicao_contratual!$AG150,posicao_contratual!$AH150,posicao_contratual!$AI150,posicao_contratual!$AJ150,posicao_contratual!$AK150)))</f>
        <v/>
      </c>
    </row>
    <row r="152" spans="1:29" x14ac:dyDescent="0.35">
      <c r="A152" s="106" t="str">
        <f>IF(AND(itens_Remanesc!A151="",itens_Remanesc!A150&lt;&gt;"",COUNTIF(itens_Remanesc!A152:$A$200,"&lt;&gt;")=0),"TOTAL",IF(itens_Remanesc!A151="","",itens_Remanesc!A151))</f>
        <v/>
      </c>
      <c r="B152" s="107" t="str">
        <f>IF(OR(historico_VU!A151="",historico_VU!C151=""),"",historico_VU!C151)</f>
        <v/>
      </c>
      <c r="C152" s="108" t="str">
        <f>IF(posicao_contratual!A151="","",posicao_contratual!G151)</f>
        <v/>
      </c>
      <c r="D152" s="107" t="str">
        <f>IF(A152="TOTAL",ROUND(SUM($D$3:D151),2),IF(OR(A152="",B152="",C152=""),"",ROUND(B152*C152,2)))</f>
        <v/>
      </c>
      <c r="E152" s="109" t="str">
        <f>IF(OR(historico_VU!A151="",historico_VU!D151=""),"",historico_VU!D151)</f>
        <v/>
      </c>
      <c r="F152" s="110" t="str">
        <f>IF(posicao_contratual!A151="","",posicao_contratual!K151)</f>
        <v/>
      </c>
      <c r="G152" s="109" t="str">
        <f>IF(A152="TOTAL",ROUND(SUM($G$3:G151),2),IF(OR(A152="",E152="",F152=""),"",ROUND(E152*F152,2)))</f>
        <v/>
      </c>
      <c r="H152" s="107" t="str">
        <f>IF(OR(historico_VU!A151="",historico_VU!E151=""),"",historico_VU!E151)</f>
        <v/>
      </c>
      <c r="I152" s="108" t="str">
        <f>IF(posicao_contratual!A151="","",posicao_contratual!O151)</f>
        <v/>
      </c>
      <c r="J152" s="107" t="str">
        <f>IF(A152="TOTAL",ROUND(SUM($J$3:J151),2),IF(OR(A152="",H152="",I152=""),"",ROUND(H152*I152,2)))</f>
        <v/>
      </c>
      <c r="K152" s="109" t="str">
        <f>IF(OR(historico_VU!A151="",historico_VU!F151=""),"",historico_VU!F151)</f>
        <v/>
      </c>
      <c r="L152" s="110" t="str">
        <f>IF(posicao_contratual!A151="","",posicao_contratual!S151)</f>
        <v/>
      </c>
      <c r="M152" s="109" t="str">
        <f>IF(A152="TOTAL",ROUND(SUM($M$3:M151),2),IF(OR(A152="",K152="",L152=""),"",ROUND(K152*L152,2)))</f>
        <v/>
      </c>
      <c r="N152" s="107" t="str">
        <f>IF(OR(historico_VU!A151="",historico_VU!G151=""),"",historico_VU!G151)</f>
        <v/>
      </c>
      <c r="O152" s="108" t="str">
        <f>IF(posicao_contratual!A151="","",posicao_contratual!W151)</f>
        <v/>
      </c>
      <c r="P152" s="107" t="str">
        <f>IF(A152="TOTAL",ROUND(SUM($P$3:P151),2),IF(OR(A152="",N152="",O152=""),"",ROUND(N152*O152,2)))</f>
        <v/>
      </c>
      <c r="Q152" s="181" t="str">
        <f t="shared" ca="1" si="32"/>
        <v/>
      </c>
      <c r="R152" t="str">
        <f>IF($A152="","",IF(MEMORIA_RESULTADOS!$W$46="","","C"&amp;MEMORIA_RESULTADOS!$W$46))</f>
        <v/>
      </c>
      <c r="S152" s="207" t="str">
        <f t="shared" ca="1" si="33"/>
        <v/>
      </c>
      <c r="T152" s="207" t="str">
        <f t="shared" ca="1" si="34"/>
        <v/>
      </c>
      <c r="U152" s="207" t="str">
        <f t="shared" ca="1" si="35"/>
        <v/>
      </c>
      <c r="V152" s="191" t="str">
        <f t="shared" ca="1" si="36"/>
        <v/>
      </c>
      <c r="W152" s="191" t="str">
        <f t="shared" ca="1" si="37"/>
        <v/>
      </c>
      <c r="X152" s="191" t="str">
        <f t="shared" ca="1" si="38"/>
        <v/>
      </c>
      <c r="Y152" t="str">
        <f t="shared" ca="1" si="39"/>
        <v/>
      </c>
      <c r="Z152" s="208" t="str">
        <f>IF($A152="","",IF(posicao_contratual!$AA151="","",posicao_contratual!$AA151))</f>
        <v/>
      </c>
      <c r="AA152" t="str">
        <f>IF($A152="","",IF(posicao_contratual!$AL151="","","C"&amp;posicao_contratual!$AL151))</f>
        <v/>
      </c>
      <c r="AB152" t="str">
        <f>IF($A152="","",IF(OR(MEMORIA_RESULTADOS!$W$46="",posicao_contratual!$AL151=""),"",IF(posicao_contratual!$AL151&lt;=MEMORIA_RESULTADOS!$W$46,"SIM","NAO APLICAVEL")))</f>
        <v/>
      </c>
      <c r="AC152" t="str">
        <f>IF($A152="","",IF(MEMORIA_RESULTADOS!$W$46="","",CHOOSE(MEMORIA_RESULTADOS!$W$46+1,posicao_contratual!$AG151,posicao_contratual!$AH151,posicao_contratual!$AI151,posicao_contratual!$AJ151,posicao_contratual!$AK151)))</f>
        <v/>
      </c>
    </row>
    <row r="153" spans="1:29" x14ac:dyDescent="0.35">
      <c r="A153" s="106" t="str">
        <f>IF(AND(itens_Remanesc!A152="",itens_Remanesc!A151&lt;&gt;"",COUNTIF(itens_Remanesc!A153:$A$200,"&lt;&gt;")=0),"TOTAL",IF(itens_Remanesc!A152="","",itens_Remanesc!A152))</f>
        <v/>
      </c>
      <c r="B153" s="107" t="str">
        <f>IF(OR(historico_VU!A152="",historico_VU!C152=""),"",historico_VU!C152)</f>
        <v/>
      </c>
      <c r="C153" s="108" t="str">
        <f>IF(posicao_contratual!A152="","",posicao_contratual!G152)</f>
        <v/>
      </c>
      <c r="D153" s="107" t="str">
        <f>IF(A153="TOTAL",ROUND(SUM($D$3:D152),2),IF(OR(A153="",B153="",C153=""),"",ROUND(B153*C153,2)))</f>
        <v/>
      </c>
      <c r="E153" s="109" t="str">
        <f>IF(OR(historico_VU!A152="",historico_VU!D152=""),"",historico_VU!D152)</f>
        <v/>
      </c>
      <c r="F153" s="110" t="str">
        <f>IF(posicao_contratual!A152="","",posicao_contratual!K152)</f>
        <v/>
      </c>
      <c r="G153" s="109" t="str">
        <f>IF(A153="TOTAL",ROUND(SUM($G$3:G152),2),IF(OR(A153="",E153="",F153=""),"",ROUND(E153*F153,2)))</f>
        <v/>
      </c>
      <c r="H153" s="107" t="str">
        <f>IF(OR(historico_VU!A152="",historico_VU!E152=""),"",historico_VU!E152)</f>
        <v/>
      </c>
      <c r="I153" s="108" t="str">
        <f>IF(posicao_contratual!A152="","",posicao_contratual!O152)</f>
        <v/>
      </c>
      <c r="J153" s="107" t="str">
        <f>IF(A153="TOTAL",ROUND(SUM($J$3:J152),2),IF(OR(A153="",H153="",I153=""),"",ROUND(H153*I153,2)))</f>
        <v/>
      </c>
      <c r="K153" s="109" t="str">
        <f>IF(OR(historico_VU!A152="",historico_VU!F152=""),"",historico_VU!F152)</f>
        <v/>
      </c>
      <c r="L153" s="110" t="str">
        <f>IF(posicao_contratual!A152="","",posicao_contratual!S152)</f>
        <v/>
      </c>
      <c r="M153" s="109" t="str">
        <f>IF(A153="TOTAL",ROUND(SUM($M$3:M152),2),IF(OR(A153="",K153="",L153=""),"",ROUND(K153*L153,2)))</f>
        <v/>
      </c>
      <c r="N153" s="107" t="str">
        <f>IF(OR(historico_VU!A152="",historico_VU!G152=""),"",historico_VU!G152)</f>
        <v/>
      </c>
      <c r="O153" s="108" t="str">
        <f>IF(posicao_contratual!A152="","",posicao_contratual!W152)</f>
        <v/>
      </c>
      <c r="P153" s="107" t="str">
        <f>IF(A153="TOTAL",ROUND(SUM($P$3:P152),2),IF(OR(A153="",N153="",O153=""),"",ROUND(N153*O153,2)))</f>
        <v/>
      </c>
      <c r="Q153" s="181" t="str">
        <f t="shared" ca="1" si="32"/>
        <v/>
      </c>
      <c r="R153" t="str">
        <f>IF($A153="","",IF(MEMORIA_RESULTADOS!$W$46="","","C"&amp;MEMORIA_RESULTADOS!$W$46))</f>
        <v/>
      </c>
      <c r="S153" s="207" t="str">
        <f t="shared" ca="1" si="33"/>
        <v/>
      </c>
      <c r="T153" s="207" t="str">
        <f t="shared" ca="1" si="34"/>
        <v/>
      </c>
      <c r="U153" s="207" t="str">
        <f t="shared" ca="1" si="35"/>
        <v/>
      </c>
      <c r="V153" s="191" t="str">
        <f t="shared" ca="1" si="36"/>
        <v/>
      </c>
      <c r="W153" s="191" t="str">
        <f t="shared" ca="1" si="37"/>
        <v/>
      </c>
      <c r="X153" s="191" t="str">
        <f t="shared" ca="1" si="38"/>
        <v/>
      </c>
      <c r="Y153" t="str">
        <f t="shared" ca="1" si="39"/>
        <v/>
      </c>
      <c r="Z153" s="208" t="str">
        <f>IF($A153="","",IF(posicao_contratual!$AA152="","",posicao_contratual!$AA152))</f>
        <v/>
      </c>
      <c r="AA153" t="str">
        <f>IF($A153="","",IF(posicao_contratual!$AL152="","","C"&amp;posicao_contratual!$AL152))</f>
        <v/>
      </c>
      <c r="AB153" t="str">
        <f>IF($A153="","",IF(OR(MEMORIA_RESULTADOS!$W$46="",posicao_contratual!$AL152=""),"",IF(posicao_contratual!$AL152&lt;=MEMORIA_RESULTADOS!$W$46,"SIM","NAO APLICAVEL")))</f>
        <v/>
      </c>
      <c r="AC153" t="str">
        <f>IF($A153="","",IF(MEMORIA_RESULTADOS!$W$46="","",CHOOSE(MEMORIA_RESULTADOS!$W$46+1,posicao_contratual!$AG152,posicao_contratual!$AH152,posicao_contratual!$AI152,posicao_contratual!$AJ152,posicao_contratual!$AK152)))</f>
        <v/>
      </c>
    </row>
    <row r="154" spans="1:29" x14ac:dyDescent="0.35">
      <c r="A154" s="106" t="str">
        <f>IF(AND(itens_Remanesc!A153="",itens_Remanesc!A152&lt;&gt;"",COUNTIF(itens_Remanesc!A154:$A$200,"&lt;&gt;")=0),"TOTAL",IF(itens_Remanesc!A153="","",itens_Remanesc!A153))</f>
        <v/>
      </c>
      <c r="B154" s="107" t="str">
        <f>IF(OR(historico_VU!A153="",historico_VU!C153=""),"",historico_VU!C153)</f>
        <v/>
      </c>
      <c r="C154" s="108" t="str">
        <f>IF(posicao_contratual!A153="","",posicao_contratual!G153)</f>
        <v/>
      </c>
      <c r="D154" s="107" t="str">
        <f>IF(A154="TOTAL",ROUND(SUM($D$3:D153),2),IF(OR(A154="",B154="",C154=""),"",ROUND(B154*C154,2)))</f>
        <v/>
      </c>
      <c r="E154" s="109" t="str">
        <f>IF(OR(historico_VU!A153="",historico_VU!D153=""),"",historico_VU!D153)</f>
        <v/>
      </c>
      <c r="F154" s="110" t="str">
        <f>IF(posicao_contratual!A153="","",posicao_contratual!K153)</f>
        <v/>
      </c>
      <c r="G154" s="109" t="str">
        <f>IF(A154="TOTAL",ROUND(SUM($G$3:G153),2),IF(OR(A154="",E154="",F154=""),"",ROUND(E154*F154,2)))</f>
        <v/>
      </c>
      <c r="H154" s="107" t="str">
        <f>IF(OR(historico_VU!A153="",historico_VU!E153=""),"",historico_VU!E153)</f>
        <v/>
      </c>
      <c r="I154" s="108" t="str">
        <f>IF(posicao_contratual!A153="","",posicao_contratual!O153)</f>
        <v/>
      </c>
      <c r="J154" s="107" t="str">
        <f>IF(A154="TOTAL",ROUND(SUM($J$3:J153),2),IF(OR(A154="",H154="",I154=""),"",ROUND(H154*I154,2)))</f>
        <v/>
      </c>
      <c r="K154" s="109" t="str">
        <f>IF(OR(historico_VU!A153="",historico_VU!F153=""),"",historico_VU!F153)</f>
        <v/>
      </c>
      <c r="L154" s="110" t="str">
        <f>IF(posicao_contratual!A153="","",posicao_contratual!S153)</f>
        <v/>
      </c>
      <c r="M154" s="109" t="str">
        <f>IF(A154="TOTAL",ROUND(SUM($M$3:M153),2),IF(OR(A154="",K154="",L154=""),"",ROUND(K154*L154,2)))</f>
        <v/>
      </c>
      <c r="N154" s="107" t="str">
        <f>IF(OR(historico_VU!A153="",historico_VU!G153=""),"",historico_VU!G153)</f>
        <v/>
      </c>
      <c r="O154" s="108" t="str">
        <f>IF(posicao_contratual!A153="","",posicao_contratual!W153)</f>
        <v/>
      </c>
      <c r="P154" s="107" t="str">
        <f>IF(A154="TOTAL",ROUND(SUM($P$3:P153),2),IF(OR(A154="",N154="",O154=""),"",ROUND(N154*O154,2)))</f>
        <v/>
      </c>
      <c r="Q154" s="181" t="str">
        <f t="shared" ca="1" si="32"/>
        <v/>
      </c>
      <c r="R154" t="str">
        <f>IF($A154="","",IF(MEMORIA_RESULTADOS!$W$46="","","C"&amp;MEMORIA_RESULTADOS!$W$46))</f>
        <v/>
      </c>
      <c r="S154" s="207" t="str">
        <f t="shared" ca="1" si="33"/>
        <v/>
      </c>
      <c r="T154" s="207" t="str">
        <f t="shared" ca="1" si="34"/>
        <v/>
      </c>
      <c r="U154" s="207" t="str">
        <f t="shared" ca="1" si="35"/>
        <v/>
      </c>
      <c r="V154" s="191" t="str">
        <f t="shared" ca="1" si="36"/>
        <v/>
      </c>
      <c r="W154" s="191" t="str">
        <f t="shared" ca="1" si="37"/>
        <v/>
      </c>
      <c r="X154" s="191" t="str">
        <f t="shared" ca="1" si="38"/>
        <v/>
      </c>
      <c r="Y154" t="str">
        <f t="shared" ca="1" si="39"/>
        <v/>
      </c>
      <c r="Z154" s="208" t="str">
        <f>IF($A154="","",IF(posicao_contratual!$AA153="","",posicao_contratual!$AA153))</f>
        <v/>
      </c>
      <c r="AA154" t="str">
        <f>IF($A154="","",IF(posicao_contratual!$AL153="","","C"&amp;posicao_contratual!$AL153))</f>
        <v/>
      </c>
      <c r="AB154" t="str">
        <f>IF($A154="","",IF(OR(MEMORIA_RESULTADOS!$W$46="",posicao_contratual!$AL153=""),"",IF(posicao_contratual!$AL153&lt;=MEMORIA_RESULTADOS!$W$46,"SIM","NAO APLICAVEL")))</f>
        <v/>
      </c>
      <c r="AC154" t="str">
        <f>IF($A154="","",IF(MEMORIA_RESULTADOS!$W$46="","",CHOOSE(MEMORIA_RESULTADOS!$W$46+1,posicao_contratual!$AG153,posicao_contratual!$AH153,posicao_contratual!$AI153,posicao_contratual!$AJ153,posicao_contratual!$AK153)))</f>
        <v/>
      </c>
    </row>
    <row r="155" spans="1:29" x14ac:dyDescent="0.35">
      <c r="A155" s="106" t="str">
        <f>IF(AND(itens_Remanesc!A154="",itens_Remanesc!A153&lt;&gt;"",COUNTIF(itens_Remanesc!A155:$A$200,"&lt;&gt;")=0),"TOTAL",IF(itens_Remanesc!A154="","",itens_Remanesc!A154))</f>
        <v/>
      </c>
      <c r="B155" s="107" t="str">
        <f>IF(OR(historico_VU!A154="",historico_VU!C154=""),"",historico_VU!C154)</f>
        <v/>
      </c>
      <c r="C155" s="108" t="str">
        <f>IF(posicao_contratual!A154="","",posicao_contratual!G154)</f>
        <v/>
      </c>
      <c r="D155" s="107" t="str">
        <f>IF(A155="TOTAL",ROUND(SUM($D$3:D154),2),IF(OR(A155="",B155="",C155=""),"",ROUND(B155*C155,2)))</f>
        <v/>
      </c>
      <c r="E155" s="109" t="str">
        <f>IF(OR(historico_VU!A154="",historico_VU!D154=""),"",historico_VU!D154)</f>
        <v/>
      </c>
      <c r="F155" s="110" t="str">
        <f>IF(posicao_contratual!A154="","",posicao_contratual!K154)</f>
        <v/>
      </c>
      <c r="G155" s="109" t="str">
        <f>IF(A155="TOTAL",ROUND(SUM($G$3:G154),2),IF(OR(A155="",E155="",F155=""),"",ROUND(E155*F155,2)))</f>
        <v/>
      </c>
      <c r="H155" s="107" t="str">
        <f>IF(OR(historico_VU!A154="",historico_VU!E154=""),"",historico_VU!E154)</f>
        <v/>
      </c>
      <c r="I155" s="108" t="str">
        <f>IF(posicao_contratual!A154="","",posicao_contratual!O154)</f>
        <v/>
      </c>
      <c r="J155" s="107" t="str">
        <f>IF(A155="TOTAL",ROUND(SUM($J$3:J154),2),IF(OR(A155="",H155="",I155=""),"",ROUND(H155*I155,2)))</f>
        <v/>
      </c>
      <c r="K155" s="109" t="str">
        <f>IF(OR(historico_VU!A154="",historico_VU!F154=""),"",historico_VU!F154)</f>
        <v/>
      </c>
      <c r="L155" s="110" t="str">
        <f>IF(posicao_contratual!A154="","",posicao_contratual!S154)</f>
        <v/>
      </c>
      <c r="M155" s="109" t="str">
        <f>IF(A155="TOTAL",ROUND(SUM($M$3:M154),2),IF(OR(A155="",K155="",L155=""),"",ROUND(K155*L155,2)))</f>
        <v/>
      </c>
      <c r="N155" s="107" t="str">
        <f>IF(OR(historico_VU!A154="",historico_VU!G154=""),"",historico_VU!G154)</f>
        <v/>
      </c>
      <c r="O155" s="108" t="str">
        <f>IF(posicao_contratual!A154="","",posicao_contratual!W154)</f>
        <v/>
      </c>
      <c r="P155" s="107" t="str">
        <f>IF(A155="TOTAL",ROUND(SUM($P$3:P154),2),IF(OR(A155="",N155="",O155=""),"",ROUND(N155*O155,2)))</f>
        <v/>
      </c>
      <c r="Q155" s="181" t="str">
        <f t="shared" ca="1" si="32"/>
        <v/>
      </c>
      <c r="R155" t="str">
        <f>IF($A155="","",IF(MEMORIA_RESULTADOS!$W$46="","","C"&amp;MEMORIA_RESULTADOS!$W$46))</f>
        <v/>
      </c>
      <c r="S155" s="207" t="str">
        <f t="shared" ca="1" si="33"/>
        <v/>
      </c>
      <c r="T155" s="207" t="str">
        <f t="shared" ca="1" si="34"/>
        <v/>
      </c>
      <c r="U155" s="207" t="str">
        <f t="shared" ca="1" si="35"/>
        <v/>
      </c>
      <c r="V155" s="191" t="str">
        <f t="shared" ca="1" si="36"/>
        <v/>
      </c>
      <c r="W155" s="191" t="str">
        <f t="shared" ca="1" si="37"/>
        <v/>
      </c>
      <c r="X155" s="191" t="str">
        <f t="shared" ca="1" si="38"/>
        <v/>
      </c>
      <c r="Y155" t="str">
        <f t="shared" ca="1" si="39"/>
        <v/>
      </c>
      <c r="Z155" s="208" t="str">
        <f>IF($A155="","",IF(posicao_contratual!$AA154="","",posicao_contratual!$AA154))</f>
        <v/>
      </c>
      <c r="AA155" t="str">
        <f>IF($A155="","",IF(posicao_contratual!$AL154="","","C"&amp;posicao_contratual!$AL154))</f>
        <v/>
      </c>
      <c r="AB155" t="str">
        <f>IF($A155="","",IF(OR(MEMORIA_RESULTADOS!$W$46="",posicao_contratual!$AL154=""),"",IF(posicao_contratual!$AL154&lt;=MEMORIA_RESULTADOS!$W$46,"SIM","NAO APLICAVEL")))</f>
        <v/>
      </c>
      <c r="AC155" t="str">
        <f>IF($A155="","",IF(MEMORIA_RESULTADOS!$W$46="","",CHOOSE(MEMORIA_RESULTADOS!$W$46+1,posicao_contratual!$AG154,posicao_contratual!$AH154,posicao_contratual!$AI154,posicao_contratual!$AJ154,posicao_contratual!$AK154)))</f>
        <v/>
      </c>
    </row>
    <row r="156" spans="1:29" x14ac:dyDescent="0.35">
      <c r="A156" s="106" t="str">
        <f>IF(AND(itens_Remanesc!A155="",itens_Remanesc!A154&lt;&gt;"",COUNTIF(itens_Remanesc!A156:$A$200,"&lt;&gt;")=0),"TOTAL",IF(itens_Remanesc!A155="","",itens_Remanesc!A155))</f>
        <v/>
      </c>
      <c r="B156" s="107" t="str">
        <f>IF(OR(historico_VU!A155="",historico_VU!C155=""),"",historico_VU!C155)</f>
        <v/>
      </c>
      <c r="C156" s="108" t="str">
        <f>IF(posicao_contratual!A155="","",posicao_contratual!G155)</f>
        <v/>
      </c>
      <c r="D156" s="107" t="str">
        <f>IF(A156="TOTAL",ROUND(SUM($D$3:D155),2),IF(OR(A156="",B156="",C156=""),"",ROUND(B156*C156,2)))</f>
        <v/>
      </c>
      <c r="E156" s="109" t="str">
        <f>IF(OR(historico_VU!A155="",historico_VU!D155=""),"",historico_VU!D155)</f>
        <v/>
      </c>
      <c r="F156" s="110" t="str">
        <f>IF(posicao_contratual!A155="","",posicao_contratual!K155)</f>
        <v/>
      </c>
      <c r="G156" s="109" t="str">
        <f>IF(A156="TOTAL",ROUND(SUM($G$3:G155),2),IF(OR(A156="",E156="",F156=""),"",ROUND(E156*F156,2)))</f>
        <v/>
      </c>
      <c r="H156" s="107" t="str">
        <f>IF(OR(historico_VU!A155="",historico_VU!E155=""),"",historico_VU!E155)</f>
        <v/>
      </c>
      <c r="I156" s="108" t="str">
        <f>IF(posicao_contratual!A155="","",posicao_contratual!O155)</f>
        <v/>
      </c>
      <c r="J156" s="107" t="str">
        <f>IF(A156="TOTAL",ROUND(SUM($J$3:J155),2),IF(OR(A156="",H156="",I156=""),"",ROUND(H156*I156,2)))</f>
        <v/>
      </c>
      <c r="K156" s="109" t="str">
        <f>IF(OR(historico_VU!A155="",historico_VU!F155=""),"",historico_VU!F155)</f>
        <v/>
      </c>
      <c r="L156" s="110" t="str">
        <f>IF(posicao_contratual!A155="","",posicao_contratual!S155)</f>
        <v/>
      </c>
      <c r="M156" s="109" t="str">
        <f>IF(A156="TOTAL",ROUND(SUM($M$3:M155),2),IF(OR(A156="",K156="",L156=""),"",ROUND(K156*L156,2)))</f>
        <v/>
      </c>
      <c r="N156" s="107" t="str">
        <f>IF(OR(historico_VU!A155="",historico_VU!G155=""),"",historico_VU!G155)</f>
        <v/>
      </c>
      <c r="O156" s="108" t="str">
        <f>IF(posicao_contratual!A155="","",posicao_contratual!W155)</f>
        <v/>
      </c>
      <c r="P156" s="107" t="str">
        <f>IF(A156="TOTAL",ROUND(SUM($P$3:P155),2),IF(OR(A156="",N156="",O156=""),"",ROUND(N156*O156,2)))</f>
        <v/>
      </c>
      <c r="Q156" s="181" t="str">
        <f t="shared" ca="1" si="32"/>
        <v/>
      </c>
      <c r="R156" t="str">
        <f>IF($A156="","",IF(MEMORIA_RESULTADOS!$W$46="","","C"&amp;MEMORIA_RESULTADOS!$W$46))</f>
        <v/>
      </c>
      <c r="S156" s="207" t="str">
        <f t="shared" ca="1" si="33"/>
        <v/>
      </c>
      <c r="T156" s="207" t="str">
        <f t="shared" ca="1" si="34"/>
        <v/>
      </c>
      <c r="U156" s="207" t="str">
        <f t="shared" ca="1" si="35"/>
        <v/>
      </c>
      <c r="V156" s="191" t="str">
        <f t="shared" ca="1" si="36"/>
        <v/>
      </c>
      <c r="W156" s="191" t="str">
        <f t="shared" ca="1" si="37"/>
        <v/>
      </c>
      <c r="X156" s="191" t="str">
        <f t="shared" ca="1" si="38"/>
        <v/>
      </c>
      <c r="Y156" t="str">
        <f t="shared" ca="1" si="39"/>
        <v/>
      </c>
      <c r="Z156" s="208" t="str">
        <f>IF($A156="","",IF(posicao_contratual!$AA155="","",posicao_contratual!$AA155))</f>
        <v/>
      </c>
      <c r="AA156" t="str">
        <f>IF($A156="","",IF(posicao_contratual!$AL155="","","C"&amp;posicao_contratual!$AL155))</f>
        <v/>
      </c>
      <c r="AB156" t="str">
        <f>IF($A156="","",IF(OR(MEMORIA_RESULTADOS!$W$46="",posicao_contratual!$AL155=""),"",IF(posicao_contratual!$AL155&lt;=MEMORIA_RESULTADOS!$W$46,"SIM","NAO APLICAVEL")))</f>
        <v/>
      </c>
      <c r="AC156" t="str">
        <f>IF($A156="","",IF(MEMORIA_RESULTADOS!$W$46="","",CHOOSE(MEMORIA_RESULTADOS!$W$46+1,posicao_contratual!$AG155,posicao_contratual!$AH155,posicao_contratual!$AI155,posicao_contratual!$AJ155,posicao_contratual!$AK155)))</f>
        <v/>
      </c>
    </row>
    <row r="157" spans="1:29" x14ac:dyDescent="0.35">
      <c r="A157" s="106" t="str">
        <f>IF(AND(itens_Remanesc!A156="",itens_Remanesc!A155&lt;&gt;"",COUNTIF(itens_Remanesc!A157:$A$200,"&lt;&gt;")=0),"TOTAL",IF(itens_Remanesc!A156="","",itens_Remanesc!A156))</f>
        <v/>
      </c>
      <c r="B157" s="107" t="str">
        <f>IF(OR(historico_VU!A156="",historico_VU!C156=""),"",historico_VU!C156)</f>
        <v/>
      </c>
      <c r="C157" s="108" t="str">
        <f>IF(posicao_contratual!A156="","",posicao_contratual!G156)</f>
        <v/>
      </c>
      <c r="D157" s="107" t="str">
        <f>IF(A157="TOTAL",ROUND(SUM($D$3:D156),2),IF(OR(A157="",B157="",C157=""),"",ROUND(B157*C157,2)))</f>
        <v/>
      </c>
      <c r="E157" s="109" t="str">
        <f>IF(OR(historico_VU!A156="",historico_VU!D156=""),"",historico_VU!D156)</f>
        <v/>
      </c>
      <c r="F157" s="110" t="str">
        <f>IF(posicao_contratual!A156="","",posicao_contratual!K156)</f>
        <v/>
      </c>
      <c r="G157" s="109" t="str">
        <f>IF(A157="TOTAL",ROUND(SUM($G$3:G156),2),IF(OR(A157="",E157="",F157=""),"",ROUND(E157*F157,2)))</f>
        <v/>
      </c>
      <c r="H157" s="107" t="str">
        <f>IF(OR(historico_VU!A156="",historico_VU!E156=""),"",historico_VU!E156)</f>
        <v/>
      </c>
      <c r="I157" s="108" t="str">
        <f>IF(posicao_contratual!A156="","",posicao_contratual!O156)</f>
        <v/>
      </c>
      <c r="J157" s="107" t="str">
        <f>IF(A157="TOTAL",ROUND(SUM($J$3:J156),2),IF(OR(A157="",H157="",I157=""),"",ROUND(H157*I157,2)))</f>
        <v/>
      </c>
      <c r="K157" s="109" t="str">
        <f>IF(OR(historico_VU!A156="",historico_VU!F156=""),"",historico_VU!F156)</f>
        <v/>
      </c>
      <c r="L157" s="110" t="str">
        <f>IF(posicao_contratual!A156="","",posicao_contratual!S156)</f>
        <v/>
      </c>
      <c r="M157" s="109" t="str">
        <f>IF(A157="TOTAL",ROUND(SUM($M$3:M156),2),IF(OR(A157="",K157="",L157=""),"",ROUND(K157*L157,2)))</f>
        <v/>
      </c>
      <c r="N157" s="107" t="str">
        <f>IF(OR(historico_VU!A156="",historico_VU!G156=""),"",historico_VU!G156)</f>
        <v/>
      </c>
      <c r="O157" s="108" t="str">
        <f>IF(posicao_contratual!A156="","",posicao_contratual!W156)</f>
        <v/>
      </c>
      <c r="P157" s="107" t="str">
        <f>IF(A157="TOTAL",ROUND(SUM($P$3:P156),2),IF(OR(A157="",N157="",O157=""),"",ROUND(N157*O157,2)))</f>
        <v/>
      </c>
      <c r="Q157" s="181" t="str">
        <f t="shared" ca="1" si="32"/>
        <v/>
      </c>
      <c r="R157" t="str">
        <f>IF($A157="","",IF(MEMORIA_RESULTADOS!$W$46="","","C"&amp;MEMORIA_RESULTADOS!$W$46))</f>
        <v/>
      </c>
      <c r="S157" s="207" t="str">
        <f t="shared" ca="1" si="33"/>
        <v/>
      </c>
      <c r="T157" s="207" t="str">
        <f t="shared" ca="1" si="34"/>
        <v/>
      </c>
      <c r="U157" s="207" t="str">
        <f t="shared" ca="1" si="35"/>
        <v/>
      </c>
      <c r="V157" s="191" t="str">
        <f t="shared" ca="1" si="36"/>
        <v/>
      </c>
      <c r="W157" s="191" t="str">
        <f t="shared" ca="1" si="37"/>
        <v/>
      </c>
      <c r="X157" s="191" t="str">
        <f t="shared" ca="1" si="38"/>
        <v/>
      </c>
      <c r="Y157" t="str">
        <f t="shared" ca="1" si="39"/>
        <v/>
      </c>
      <c r="Z157" s="208" t="str">
        <f>IF($A157="","",IF(posicao_contratual!$AA156="","",posicao_contratual!$AA156))</f>
        <v/>
      </c>
      <c r="AA157" t="str">
        <f>IF($A157="","",IF(posicao_contratual!$AL156="","","C"&amp;posicao_contratual!$AL156))</f>
        <v/>
      </c>
      <c r="AB157" t="str">
        <f>IF($A157="","",IF(OR(MEMORIA_RESULTADOS!$W$46="",posicao_contratual!$AL156=""),"",IF(posicao_contratual!$AL156&lt;=MEMORIA_RESULTADOS!$W$46,"SIM","NAO APLICAVEL")))</f>
        <v/>
      </c>
      <c r="AC157" t="str">
        <f>IF($A157="","",IF(MEMORIA_RESULTADOS!$W$46="","",CHOOSE(MEMORIA_RESULTADOS!$W$46+1,posicao_contratual!$AG156,posicao_contratual!$AH156,posicao_contratual!$AI156,posicao_contratual!$AJ156,posicao_contratual!$AK156)))</f>
        <v/>
      </c>
    </row>
    <row r="158" spans="1:29" x14ac:dyDescent="0.35">
      <c r="A158" s="106" t="str">
        <f>IF(AND(itens_Remanesc!A157="",itens_Remanesc!A156&lt;&gt;"",COUNTIF(itens_Remanesc!A158:$A$200,"&lt;&gt;")=0),"TOTAL",IF(itens_Remanesc!A157="","",itens_Remanesc!A157))</f>
        <v/>
      </c>
      <c r="B158" s="107" t="str">
        <f>IF(OR(historico_VU!A157="",historico_VU!C157=""),"",historico_VU!C157)</f>
        <v/>
      </c>
      <c r="C158" s="108" t="str">
        <f>IF(posicao_contratual!A157="","",posicao_contratual!G157)</f>
        <v/>
      </c>
      <c r="D158" s="107" t="str">
        <f>IF(A158="TOTAL",ROUND(SUM($D$3:D157),2),IF(OR(A158="",B158="",C158=""),"",ROUND(B158*C158,2)))</f>
        <v/>
      </c>
      <c r="E158" s="109" t="str">
        <f>IF(OR(historico_VU!A157="",historico_VU!D157=""),"",historico_VU!D157)</f>
        <v/>
      </c>
      <c r="F158" s="110" t="str">
        <f>IF(posicao_contratual!A157="","",posicao_contratual!K157)</f>
        <v/>
      </c>
      <c r="G158" s="109" t="str">
        <f>IF(A158="TOTAL",ROUND(SUM($G$3:G157),2),IF(OR(A158="",E158="",F158=""),"",ROUND(E158*F158,2)))</f>
        <v/>
      </c>
      <c r="H158" s="107" t="str">
        <f>IF(OR(historico_VU!A157="",historico_VU!E157=""),"",historico_VU!E157)</f>
        <v/>
      </c>
      <c r="I158" s="108" t="str">
        <f>IF(posicao_contratual!A157="","",posicao_contratual!O157)</f>
        <v/>
      </c>
      <c r="J158" s="107" t="str">
        <f>IF(A158="TOTAL",ROUND(SUM($J$3:J157),2),IF(OR(A158="",H158="",I158=""),"",ROUND(H158*I158,2)))</f>
        <v/>
      </c>
      <c r="K158" s="109" t="str">
        <f>IF(OR(historico_VU!A157="",historico_VU!F157=""),"",historico_VU!F157)</f>
        <v/>
      </c>
      <c r="L158" s="110" t="str">
        <f>IF(posicao_contratual!A157="","",posicao_contratual!S157)</f>
        <v/>
      </c>
      <c r="M158" s="109" t="str">
        <f>IF(A158="TOTAL",ROUND(SUM($M$3:M157),2),IF(OR(A158="",K158="",L158=""),"",ROUND(K158*L158,2)))</f>
        <v/>
      </c>
      <c r="N158" s="107" t="str">
        <f>IF(OR(historico_VU!A157="",historico_VU!G157=""),"",historico_VU!G157)</f>
        <v/>
      </c>
      <c r="O158" s="108" t="str">
        <f>IF(posicao_contratual!A157="","",posicao_contratual!W157)</f>
        <v/>
      </c>
      <c r="P158" s="107" t="str">
        <f>IF(A158="TOTAL",ROUND(SUM($P$3:P157),2),IF(OR(A158="",N158="",O158=""),"",ROUND(N158*O158,2)))</f>
        <v/>
      </c>
      <c r="Q158" s="181" t="str">
        <f t="shared" ca="1" si="32"/>
        <v/>
      </c>
      <c r="R158" t="str">
        <f>IF($A158="","",IF(MEMORIA_RESULTADOS!$W$46="","","C"&amp;MEMORIA_RESULTADOS!$W$46))</f>
        <v/>
      </c>
      <c r="S158" s="207" t="str">
        <f t="shared" ca="1" si="33"/>
        <v/>
      </c>
      <c r="T158" s="207" t="str">
        <f t="shared" ca="1" si="34"/>
        <v/>
      </c>
      <c r="U158" s="207" t="str">
        <f t="shared" ca="1" si="35"/>
        <v/>
      </c>
      <c r="V158" s="191" t="str">
        <f t="shared" ca="1" si="36"/>
        <v/>
      </c>
      <c r="W158" s="191" t="str">
        <f t="shared" ca="1" si="37"/>
        <v/>
      </c>
      <c r="X158" s="191" t="str">
        <f t="shared" ca="1" si="38"/>
        <v/>
      </c>
      <c r="Y158" t="str">
        <f t="shared" ca="1" si="39"/>
        <v/>
      </c>
      <c r="Z158" s="208" t="str">
        <f>IF($A158="","",IF(posicao_contratual!$AA157="","",posicao_contratual!$AA157))</f>
        <v/>
      </c>
      <c r="AA158" t="str">
        <f>IF($A158="","",IF(posicao_contratual!$AL157="","","C"&amp;posicao_contratual!$AL157))</f>
        <v/>
      </c>
      <c r="AB158" t="str">
        <f>IF($A158="","",IF(OR(MEMORIA_RESULTADOS!$W$46="",posicao_contratual!$AL157=""),"",IF(posicao_contratual!$AL157&lt;=MEMORIA_RESULTADOS!$W$46,"SIM","NAO APLICAVEL")))</f>
        <v/>
      </c>
      <c r="AC158" t="str">
        <f>IF($A158="","",IF(MEMORIA_RESULTADOS!$W$46="","",CHOOSE(MEMORIA_RESULTADOS!$W$46+1,posicao_contratual!$AG157,posicao_contratual!$AH157,posicao_contratual!$AI157,posicao_contratual!$AJ157,posicao_contratual!$AK157)))</f>
        <v/>
      </c>
    </row>
    <row r="159" spans="1:29" x14ac:dyDescent="0.35">
      <c r="A159" s="106" t="str">
        <f>IF(AND(itens_Remanesc!A158="",itens_Remanesc!A157&lt;&gt;"",COUNTIF(itens_Remanesc!A159:$A$200,"&lt;&gt;")=0),"TOTAL",IF(itens_Remanesc!A158="","",itens_Remanesc!A158))</f>
        <v/>
      </c>
      <c r="B159" s="107" t="str">
        <f>IF(OR(historico_VU!A158="",historico_VU!C158=""),"",historico_VU!C158)</f>
        <v/>
      </c>
      <c r="C159" s="108" t="str">
        <f>IF(posicao_contratual!A158="","",posicao_contratual!G158)</f>
        <v/>
      </c>
      <c r="D159" s="107" t="str">
        <f>IF(A159="TOTAL",ROUND(SUM($D$3:D158),2),IF(OR(A159="",B159="",C159=""),"",ROUND(B159*C159,2)))</f>
        <v/>
      </c>
      <c r="E159" s="109" t="str">
        <f>IF(OR(historico_VU!A158="",historico_VU!D158=""),"",historico_VU!D158)</f>
        <v/>
      </c>
      <c r="F159" s="110" t="str">
        <f>IF(posicao_contratual!A158="","",posicao_contratual!K158)</f>
        <v/>
      </c>
      <c r="G159" s="109" t="str">
        <f>IF(A159="TOTAL",ROUND(SUM($G$3:G158),2),IF(OR(A159="",E159="",F159=""),"",ROUND(E159*F159,2)))</f>
        <v/>
      </c>
      <c r="H159" s="107" t="str">
        <f>IF(OR(historico_VU!A158="",historico_VU!E158=""),"",historico_VU!E158)</f>
        <v/>
      </c>
      <c r="I159" s="108" t="str">
        <f>IF(posicao_contratual!A158="","",posicao_contratual!O158)</f>
        <v/>
      </c>
      <c r="J159" s="107" t="str">
        <f>IF(A159="TOTAL",ROUND(SUM($J$3:J158),2),IF(OR(A159="",H159="",I159=""),"",ROUND(H159*I159,2)))</f>
        <v/>
      </c>
      <c r="K159" s="109" t="str">
        <f>IF(OR(historico_VU!A158="",historico_VU!F158=""),"",historico_VU!F158)</f>
        <v/>
      </c>
      <c r="L159" s="110" t="str">
        <f>IF(posicao_contratual!A158="","",posicao_contratual!S158)</f>
        <v/>
      </c>
      <c r="M159" s="109" t="str">
        <f>IF(A159="TOTAL",ROUND(SUM($M$3:M158),2),IF(OR(A159="",K159="",L159=""),"",ROUND(K159*L159,2)))</f>
        <v/>
      </c>
      <c r="N159" s="107" t="str">
        <f>IF(OR(historico_VU!A158="",historico_VU!G158=""),"",historico_VU!G158)</f>
        <v/>
      </c>
      <c r="O159" s="108" t="str">
        <f>IF(posicao_contratual!A158="","",posicao_contratual!W158)</f>
        <v/>
      </c>
      <c r="P159" s="107" t="str">
        <f>IF(A159="TOTAL",ROUND(SUM($P$3:P158),2),IF(OR(A159="",N159="",O159=""),"",ROUND(N159*O159,2)))</f>
        <v/>
      </c>
      <c r="Q159" s="181" t="str">
        <f t="shared" ca="1" si="32"/>
        <v/>
      </c>
      <c r="R159" t="str">
        <f>IF($A159="","",IF(MEMORIA_RESULTADOS!$W$46="","","C"&amp;MEMORIA_RESULTADOS!$W$46))</f>
        <v/>
      </c>
      <c r="S159" s="207" t="str">
        <f t="shared" ca="1" si="33"/>
        <v/>
      </c>
      <c r="T159" s="207" t="str">
        <f t="shared" ca="1" si="34"/>
        <v/>
      </c>
      <c r="U159" s="207" t="str">
        <f t="shared" ca="1" si="35"/>
        <v/>
      </c>
      <c r="V159" s="191" t="str">
        <f t="shared" ca="1" si="36"/>
        <v/>
      </c>
      <c r="W159" s="191" t="str">
        <f t="shared" ca="1" si="37"/>
        <v/>
      </c>
      <c r="X159" s="191" t="str">
        <f t="shared" ca="1" si="38"/>
        <v/>
      </c>
      <c r="Y159" t="str">
        <f t="shared" ca="1" si="39"/>
        <v/>
      </c>
      <c r="Z159" s="208" t="str">
        <f>IF($A159="","",IF(posicao_contratual!$AA158="","",posicao_contratual!$AA158))</f>
        <v/>
      </c>
      <c r="AA159" t="str">
        <f>IF($A159="","",IF(posicao_contratual!$AL158="","","C"&amp;posicao_contratual!$AL158))</f>
        <v/>
      </c>
      <c r="AB159" t="str">
        <f>IF($A159="","",IF(OR(MEMORIA_RESULTADOS!$W$46="",posicao_contratual!$AL158=""),"",IF(posicao_contratual!$AL158&lt;=MEMORIA_RESULTADOS!$W$46,"SIM","NAO APLICAVEL")))</f>
        <v/>
      </c>
      <c r="AC159" t="str">
        <f>IF($A159="","",IF(MEMORIA_RESULTADOS!$W$46="","",CHOOSE(MEMORIA_RESULTADOS!$W$46+1,posicao_contratual!$AG158,posicao_contratual!$AH158,posicao_contratual!$AI158,posicao_contratual!$AJ158,posicao_contratual!$AK158)))</f>
        <v/>
      </c>
    </row>
    <row r="160" spans="1:29" x14ac:dyDescent="0.35">
      <c r="A160" s="106" t="str">
        <f>IF(AND(itens_Remanesc!A159="",itens_Remanesc!A158&lt;&gt;"",COUNTIF(itens_Remanesc!A160:$A$200,"&lt;&gt;")=0),"TOTAL",IF(itens_Remanesc!A159="","",itens_Remanesc!A159))</f>
        <v/>
      </c>
      <c r="B160" s="107" t="str">
        <f>IF(OR(historico_VU!A159="",historico_VU!C159=""),"",historico_VU!C159)</f>
        <v/>
      </c>
      <c r="C160" s="108" t="str">
        <f>IF(posicao_contratual!A159="","",posicao_contratual!G159)</f>
        <v/>
      </c>
      <c r="D160" s="107" t="str">
        <f>IF(A160="TOTAL",ROUND(SUM($D$3:D159),2),IF(OR(A160="",B160="",C160=""),"",ROUND(B160*C160,2)))</f>
        <v/>
      </c>
      <c r="E160" s="109" t="str">
        <f>IF(OR(historico_VU!A159="",historico_VU!D159=""),"",historico_VU!D159)</f>
        <v/>
      </c>
      <c r="F160" s="110" t="str">
        <f>IF(posicao_contratual!A159="","",posicao_contratual!K159)</f>
        <v/>
      </c>
      <c r="G160" s="109" t="str">
        <f>IF(A160="TOTAL",ROUND(SUM($G$3:G159),2),IF(OR(A160="",E160="",F160=""),"",ROUND(E160*F160,2)))</f>
        <v/>
      </c>
      <c r="H160" s="107" t="str">
        <f>IF(OR(historico_VU!A159="",historico_VU!E159=""),"",historico_VU!E159)</f>
        <v/>
      </c>
      <c r="I160" s="108" t="str">
        <f>IF(posicao_contratual!A159="","",posicao_contratual!O159)</f>
        <v/>
      </c>
      <c r="J160" s="107" t="str">
        <f>IF(A160="TOTAL",ROUND(SUM($J$3:J159),2),IF(OR(A160="",H160="",I160=""),"",ROUND(H160*I160,2)))</f>
        <v/>
      </c>
      <c r="K160" s="109" t="str">
        <f>IF(OR(historico_VU!A159="",historico_VU!F159=""),"",historico_VU!F159)</f>
        <v/>
      </c>
      <c r="L160" s="110" t="str">
        <f>IF(posicao_contratual!A159="","",posicao_contratual!S159)</f>
        <v/>
      </c>
      <c r="M160" s="109" t="str">
        <f>IF(A160="TOTAL",ROUND(SUM($M$3:M159),2),IF(OR(A160="",K160="",L160=""),"",ROUND(K160*L160,2)))</f>
        <v/>
      </c>
      <c r="N160" s="107" t="str">
        <f>IF(OR(historico_VU!A159="",historico_VU!G159=""),"",historico_VU!G159)</f>
        <v/>
      </c>
      <c r="O160" s="108" t="str">
        <f>IF(posicao_contratual!A159="","",posicao_contratual!W159)</f>
        <v/>
      </c>
      <c r="P160" s="107" t="str">
        <f>IF(A160="TOTAL",ROUND(SUM($P$3:P159),2),IF(OR(A160="",N160="",O160=""),"",ROUND(N160*O160,2)))</f>
        <v/>
      </c>
      <c r="Q160" s="181" t="str">
        <f t="shared" ca="1" si="32"/>
        <v/>
      </c>
      <c r="R160" t="str">
        <f>IF($A160="","",IF(MEMORIA_RESULTADOS!$W$46="","","C"&amp;MEMORIA_RESULTADOS!$W$46))</f>
        <v/>
      </c>
      <c r="S160" s="207" t="str">
        <f t="shared" ca="1" si="33"/>
        <v/>
      </c>
      <c r="T160" s="207" t="str">
        <f t="shared" ca="1" si="34"/>
        <v/>
      </c>
      <c r="U160" s="207" t="str">
        <f t="shared" ca="1" si="35"/>
        <v/>
      </c>
      <c r="V160" s="191" t="str">
        <f t="shared" ca="1" si="36"/>
        <v/>
      </c>
      <c r="W160" s="191" t="str">
        <f t="shared" ca="1" si="37"/>
        <v/>
      </c>
      <c r="X160" s="191" t="str">
        <f t="shared" ca="1" si="38"/>
        <v/>
      </c>
      <c r="Y160" t="str">
        <f t="shared" ca="1" si="39"/>
        <v/>
      </c>
      <c r="Z160" s="208" t="str">
        <f>IF($A160="","",IF(posicao_contratual!$AA159="","",posicao_contratual!$AA159))</f>
        <v/>
      </c>
      <c r="AA160" t="str">
        <f>IF($A160="","",IF(posicao_contratual!$AL159="","","C"&amp;posicao_contratual!$AL159))</f>
        <v/>
      </c>
      <c r="AB160" t="str">
        <f>IF($A160="","",IF(OR(MEMORIA_RESULTADOS!$W$46="",posicao_contratual!$AL159=""),"",IF(posicao_contratual!$AL159&lt;=MEMORIA_RESULTADOS!$W$46,"SIM","NAO APLICAVEL")))</f>
        <v/>
      </c>
      <c r="AC160" t="str">
        <f>IF($A160="","",IF(MEMORIA_RESULTADOS!$W$46="","",CHOOSE(MEMORIA_RESULTADOS!$W$46+1,posicao_contratual!$AG159,posicao_contratual!$AH159,posicao_contratual!$AI159,posicao_contratual!$AJ159,posicao_contratual!$AK159)))</f>
        <v/>
      </c>
    </row>
    <row r="161" spans="1:29" x14ac:dyDescent="0.35">
      <c r="A161" s="106" t="str">
        <f>IF(AND(itens_Remanesc!A160="",itens_Remanesc!A159&lt;&gt;"",COUNTIF(itens_Remanesc!A161:$A$200,"&lt;&gt;")=0),"TOTAL",IF(itens_Remanesc!A160="","",itens_Remanesc!A160))</f>
        <v/>
      </c>
      <c r="B161" s="107" t="str">
        <f>IF(OR(historico_VU!A160="",historico_VU!C160=""),"",historico_VU!C160)</f>
        <v/>
      </c>
      <c r="C161" s="108" t="str">
        <f>IF(posicao_contratual!A160="","",posicao_contratual!G160)</f>
        <v/>
      </c>
      <c r="D161" s="107" t="str">
        <f>IF(A161="TOTAL",ROUND(SUM($D$3:D160),2),IF(OR(A161="",B161="",C161=""),"",ROUND(B161*C161,2)))</f>
        <v/>
      </c>
      <c r="E161" s="109" t="str">
        <f>IF(OR(historico_VU!A160="",historico_VU!D160=""),"",historico_VU!D160)</f>
        <v/>
      </c>
      <c r="F161" s="110" t="str">
        <f>IF(posicao_contratual!A160="","",posicao_contratual!K160)</f>
        <v/>
      </c>
      <c r="G161" s="109" t="str">
        <f>IF(A161="TOTAL",ROUND(SUM($G$3:G160),2),IF(OR(A161="",E161="",F161=""),"",ROUND(E161*F161,2)))</f>
        <v/>
      </c>
      <c r="H161" s="107" t="str">
        <f>IF(OR(historico_VU!A160="",historico_VU!E160=""),"",historico_VU!E160)</f>
        <v/>
      </c>
      <c r="I161" s="108" t="str">
        <f>IF(posicao_contratual!A160="","",posicao_contratual!O160)</f>
        <v/>
      </c>
      <c r="J161" s="107" t="str">
        <f>IF(A161="TOTAL",ROUND(SUM($J$3:J160),2),IF(OR(A161="",H161="",I161=""),"",ROUND(H161*I161,2)))</f>
        <v/>
      </c>
      <c r="K161" s="109" t="str">
        <f>IF(OR(historico_VU!A160="",historico_VU!F160=""),"",historico_VU!F160)</f>
        <v/>
      </c>
      <c r="L161" s="110" t="str">
        <f>IF(posicao_contratual!A160="","",posicao_contratual!S160)</f>
        <v/>
      </c>
      <c r="M161" s="109" t="str">
        <f>IF(A161="TOTAL",ROUND(SUM($M$3:M160),2),IF(OR(A161="",K161="",L161=""),"",ROUND(K161*L161,2)))</f>
        <v/>
      </c>
      <c r="N161" s="107" t="str">
        <f>IF(OR(historico_VU!A160="",historico_VU!G160=""),"",historico_VU!G160)</f>
        <v/>
      </c>
      <c r="O161" s="108" t="str">
        <f>IF(posicao_contratual!A160="","",posicao_contratual!W160)</f>
        <v/>
      </c>
      <c r="P161" s="107" t="str">
        <f>IF(A161="TOTAL",ROUND(SUM($P$3:P160),2),IF(OR(A161="",N161="",O161=""),"",ROUND(N161*O161,2)))</f>
        <v/>
      </c>
      <c r="Q161" s="181" t="str">
        <f t="shared" ca="1" si="32"/>
        <v/>
      </c>
      <c r="R161" t="str">
        <f>IF($A161="","",IF(MEMORIA_RESULTADOS!$W$46="","","C"&amp;MEMORIA_RESULTADOS!$W$46))</f>
        <v/>
      </c>
      <c r="S161" s="207" t="str">
        <f t="shared" ca="1" si="33"/>
        <v/>
      </c>
      <c r="T161" s="207" t="str">
        <f t="shared" ca="1" si="34"/>
        <v/>
      </c>
      <c r="U161" s="207" t="str">
        <f t="shared" ca="1" si="35"/>
        <v/>
      </c>
      <c r="V161" s="191" t="str">
        <f t="shared" ca="1" si="36"/>
        <v/>
      </c>
      <c r="W161" s="191" t="str">
        <f t="shared" ca="1" si="37"/>
        <v/>
      </c>
      <c r="X161" s="191" t="str">
        <f t="shared" ca="1" si="38"/>
        <v/>
      </c>
      <c r="Y161" t="str">
        <f t="shared" ca="1" si="39"/>
        <v/>
      </c>
      <c r="Z161" s="208" t="str">
        <f>IF($A161="","",IF(posicao_contratual!$AA160="","",posicao_contratual!$AA160))</f>
        <v/>
      </c>
      <c r="AA161" t="str">
        <f>IF($A161="","",IF(posicao_contratual!$AL160="","","C"&amp;posicao_contratual!$AL160))</f>
        <v/>
      </c>
      <c r="AB161" t="str">
        <f>IF($A161="","",IF(OR(MEMORIA_RESULTADOS!$W$46="",posicao_contratual!$AL160=""),"",IF(posicao_contratual!$AL160&lt;=MEMORIA_RESULTADOS!$W$46,"SIM","NAO APLICAVEL")))</f>
        <v/>
      </c>
      <c r="AC161" t="str">
        <f>IF($A161="","",IF(MEMORIA_RESULTADOS!$W$46="","",CHOOSE(MEMORIA_RESULTADOS!$W$46+1,posicao_contratual!$AG160,posicao_contratual!$AH160,posicao_contratual!$AI160,posicao_contratual!$AJ160,posicao_contratual!$AK160)))</f>
        <v/>
      </c>
    </row>
    <row r="162" spans="1:29" x14ac:dyDescent="0.35">
      <c r="A162" s="106" t="str">
        <f>IF(AND(itens_Remanesc!A161="",itens_Remanesc!A160&lt;&gt;"",COUNTIF(itens_Remanesc!A162:$A$200,"&lt;&gt;")=0),"TOTAL",IF(itens_Remanesc!A161="","",itens_Remanesc!A161))</f>
        <v/>
      </c>
      <c r="B162" s="107" t="str">
        <f>IF(OR(historico_VU!A161="",historico_VU!C161=""),"",historico_VU!C161)</f>
        <v/>
      </c>
      <c r="C162" s="108" t="str">
        <f>IF(posicao_contratual!A161="","",posicao_contratual!G161)</f>
        <v/>
      </c>
      <c r="D162" s="107" t="str">
        <f>IF(A162="TOTAL",ROUND(SUM($D$3:D161),2),IF(OR(A162="",B162="",C162=""),"",ROUND(B162*C162,2)))</f>
        <v/>
      </c>
      <c r="E162" s="109" t="str">
        <f>IF(OR(historico_VU!A161="",historico_VU!D161=""),"",historico_VU!D161)</f>
        <v/>
      </c>
      <c r="F162" s="110" t="str">
        <f>IF(posicao_contratual!A161="","",posicao_contratual!K161)</f>
        <v/>
      </c>
      <c r="G162" s="109" t="str">
        <f>IF(A162="TOTAL",ROUND(SUM($G$3:G161),2),IF(OR(A162="",E162="",F162=""),"",ROUND(E162*F162,2)))</f>
        <v/>
      </c>
      <c r="H162" s="107" t="str">
        <f>IF(OR(historico_VU!A161="",historico_VU!E161=""),"",historico_VU!E161)</f>
        <v/>
      </c>
      <c r="I162" s="108" t="str">
        <f>IF(posicao_contratual!A161="","",posicao_contratual!O161)</f>
        <v/>
      </c>
      <c r="J162" s="107" t="str">
        <f>IF(A162="TOTAL",ROUND(SUM($J$3:J161),2),IF(OR(A162="",H162="",I162=""),"",ROUND(H162*I162,2)))</f>
        <v/>
      </c>
      <c r="K162" s="109" t="str">
        <f>IF(OR(historico_VU!A161="",historico_VU!F161=""),"",historico_VU!F161)</f>
        <v/>
      </c>
      <c r="L162" s="110" t="str">
        <f>IF(posicao_contratual!A161="","",posicao_contratual!S161)</f>
        <v/>
      </c>
      <c r="M162" s="109" t="str">
        <f>IF(A162="TOTAL",ROUND(SUM($M$3:M161),2),IF(OR(A162="",K162="",L162=""),"",ROUND(K162*L162,2)))</f>
        <v/>
      </c>
      <c r="N162" s="107" t="str">
        <f>IF(OR(historico_VU!A161="",historico_VU!G161=""),"",historico_VU!G161)</f>
        <v/>
      </c>
      <c r="O162" s="108" t="str">
        <f>IF(posicao_contratual!A161="","",posicao_contratual!W161)</f>
        <v/>
      </c>
      <c r="P162" s="107" t="str">
        <f>IF(A162="TOTAL",ROUND(SUM($P$3:P161),2),IF(OR(A162="",N162="",O162=""),"",ROUND(N162*O162,2)))</f>
        <v/>
      </c>
      <c r="Q162" s="181" t="str">
        <f t="shared" ca="1" si="32"/>
        <v/>
      </c>
      <c r="R162" t="str">
        <f>IF($A162="","",IF(MEMORIA_RESULTADOS!$W$46="","","C"&amp;MEMORIA_RESULTADOS!$W$46))</f>
        <v/>
      </c>
      <c r="S162" s="207" t="str">
        <f t="shared" ca="1" si="33"/>
        <v/>
      </c>
      <c r="T162" s="207" t="str">
        <f t="shared" ca="1" si="34"/>
        <v/>
      </c>
      <c r="U162" s="207" t="str">
        <f t="shared" ca="1" si="35"/>
        <v/>
      </c>
      <c r="V162" s="191" t="str">
        <f t="shared" ca="1" si="36"/>
        <v/>
      </c>
      <c r="W162" s="191" t="str">
        <f t="shared" ca="1" si="37"/>
        <v/>
      </c>
      <c r="X162" s="191" t="str">
        <f t="shared" ca="1" si="38"/>
        <v/>
      </c>
      <c r="Y162" t="str">
        <f t="shared" ca="1" si="39"/>
        <v/>
      </c>
      <c r="Z162" s="208" t="str">
        <f>IF($A162="","",IF(posicao_contratual!$AA161="","",posicao_contratual!$AA161))</f>
        <v/>
      </c>
      <c r="AA162" t="str">
        <f>IF($A162="","",IF(posicao_contratual!$AL161="","","C"&amp;posicao_contratual!$AL161))</f>
        <v/>
      </c>
      <c r="AB162" t="str">
        <f>IF($A162="","",IF(OR(MEMORIA_RESULTADOS!$W$46="",posicao_contratual!$AL161=""),"",IF(posicao_contratual!$AL161&lt;=MEMORIA_RESULTADOS!$W$46,"SIM","NAO APLICAVEL")))</f>
        <v/>
      </c>
      <c r="AC162" t="str">
        <f>IF($A162="","",IF(MEMORIA_RESULTADOS!$W$46="","",CHOOSE(MEMORIA_RESULTADOS!$W$46+1,posicao_contratual!$AG161,posicao_contratual!$AH161,posicao_contratual!$AI161,posicao_contratual!$AJ161,posicao_contratual!$AK161)))</f>
        <v/>
      </c>
    </row>
    <row r="163" spans="1:29" x14ac:dyDescent="0.35">
      <c r="A163" s="106" t="str">
        <f>IF(AND(itens_Remanesc!A162="",itens_Remanesc!A161&lt;&gt;"",COUNTIF(itens_Remanesc!A163:$A$200,"&lt;&gt;")=0),"TOTAL",IF(itens_Remanesc!A162="","",itens_Remanesc!A162))</f>
        <v/>
      </c>
      <c r="B163" s="107" t="str">
        <f>IF(OR(historico_VU!A162="",historico_VU!C162=""),"",historico_VU!C162)</f>
        <v/>
      </c>
      <c r="C163" s="108" t="str">
        <f>IF(posicao_contratual!A162="","",posicao_contratual!G162)</f>
        <v/>
      </c>
      <c r="D163" s="107" t="str">
        <f>IF(A163="TOTAL",ROUND(SUM($D$3:D162),2),IF(OR(A163="",B163="",C163=""),"",ROUND(B163*C163,2)))</f>
        <v/>
      </c>
      <c r="E163" s="109" t="str">
        <f>IF(OR(historico_VU!A162="",historico_VU!D162=""),"",historico_VU!D162)</f>
        <v/>
      </c>
      <c r="F163" s="110" t="str">
        <f>IF(posicao_contratual!A162="","",posicao_contratual!K162)</f>
        <v/>
      </c>
      <c r="G163" s="109" t="str">
        <f>IF(A163="TOTAL",ROUND(SUM($G$3:G162),2),IF(OR(A163="",E163="",F163=""),"",ROUND(E163*F163,2)))</f>
        <v/>
      </c>
      <c r="H163" s="107" t="str">
        <f>IF(OR(historico_VU!A162="",historico_VU!E162=""),"",historico_VU!E162)</f>
        <v/>
      </c>
      <c r="I163" s="108" t="str">
        <f>IF(posicao_contratual!A162="","",posicao_contratual!O162)</f>
        <v/>
      </c>
      <c r="J163" s="107" t="str">
        <f>IF(A163="TOTAL",ROUND(SUM($J$3:J162),2),IF(OR(A163="",H163="",I163=""),"",ROUND(H163*I163,2)))</f>
        <v/>
      </c>
      <c r="K163" s="109" t="str">
        <f>IF(OR(historico_VU!A162="",historico_VU!F162=""),"",historico_VU!F162)</f>
        <v/>
      </c>
      <c r="L163" s="110" t="str">
        <f>IF(posicao_contratual!A162="","",posicao_contratual!S162)</f>
        <v/>
      </c>
      <c r="M163" s="109" t="str">
        <f>IF(A163="TOTAL",ROUND(SUM($M$3:M162),2),IF(OR(A163="",K163="",L163=""),"",ROUND(K163*L163,2)))</f>
        <v/>
      </c>
      <c r="N163" s="107" t="str">
        <f>IF(OR(historico_VU!A162="",historico_VU!G162=""),"",historico_VU!G162)</f>
        <v/>
      </c>
      <c r="O163" s="108" t="str">
        <f>IF(posicao_contratual!A162="","",posicao_contratual!W162)</f>
        <v/>
      </c>
      <c r="P163" s="107" t="str">
        <f>IF(A163="TOTAL",ROUND(SUM($P$3:P162),2),IF(OR(A163="",N163="",O163=""),"",ROUND(N163*O163,2)))</f>
        <v/>
      </c>
      <c r="Q163" s="181" t="str">
        <f t="shared" ref="Q163:Q194" ca="1" si="40">IF($A163="","",IFERROR(IF(INDIRECT("CICLO_EM_EXECUCAO!$D$5")="","",INDIRECT("CICLO_EM_EXECUCAO!$D$5")),""))</f>
        <v/>
      </c>
      <c r="R163" t="str">
        <f>IF($A163="","",IF(MEMORIA_RESULTADOS!$W$46="","","C"&amp;MEMORIA_RESULTADOS!$W$46))</f>
        <v/>
      </c>
      <c r="S163" s="207" t="str">
        <f t="shared" ref="S163:S194" ca="1" si="41">IF($A163="","",IFERROR(IF(INDIRECT("CICLO_EM_EXECUCAO!B"&amp;(ROW()+10))="","",INDIRECT("CICLO_EM_EXECUCAO!B"&amp;(ROW()+10))),""))</f>
        <v/>
      </c>
      <c r="T163" s="207" t="str">
        <f t="shared" ref="T163:T194" ca="1" si="42">IF($A163="","",IFERROR(IF(INDIRECT("CICLO_EM_EXECUCAO!D"&amp;(ROW()+10))="","",INDIRECT("CICLO_EM_EXECUCAO!D"&amp;(ROW()+10))),""))</f>
        <v/>
      </c>
      <c r="U163" s="207" t="str">
        <f t="shared" ref="U163:U194" ca="1" si="43">IF($A163="","",IFERROR(IF(INDIRECT("CICLO_EM_EXECUCAO!C"&amp;(ROW()+10))="","",INDIRECT("CICLO_EM_EXECUCAO!C"&amp;(ROW()+10))),""))</f>
        <v/>
      </c>
      <c r="V163" s="191" t="str">
        <f t="shared" ref="V163:V194" ca="1" si="44">IF($A163="","",IFERROR(IF(INDIRECT("CICLO_EM_EXECUCAO!E"&amp;(ROW()+10))="","",INDIRECT("CICLO_EM_EXECUCAO!E"&amp;(ROW()+10))),""))</f>
        <v/>
      </c>
      <c r="W163" s="191" t="str">
        <f t="shared" ref="W163:W194" ca="1" si="45">IF($A163="","",IFERROR(IF(INDIRECT("CICLO_EM_EXECUCAO!F"&amp;(ROW()+10))="","",INDIRECT("CICLO_EM_EXECUCAO!F"&amp;(ROW()+10))),""))</f>
        <v/>
      </c>
      <c r="X163" s="191" t="str">
        <f t="shared" ref="X163:X194" ca="1" si="46">IF($A163="","",IFERROR(IF(INDIRECT("CICLO_EM_EXECUCAO!G"&amp;(ROW()+10))="","",INDIRECT("CICLO_EM_EXECUCAO!G"&amp;(ROW()+10))),""))</f>
        <v/>
      </c>
      <c r="Y163" t="str">
        <f t="shared" ref="Y163:Y194" ca="1" si="47">IF($A163="","",IFERROR(IF(INDIRECT("CICLO_EM_EXECUCAO!K"&amp;(ROW()+10))="","",INDIRECT("CICLO_EM_EXECUCAO!K"&amp;(ROW()+10))),"CICLO_EM_EXECUCAO AUSENTE"))</f>
        <v/>
      </c>
      <c r="Z163" s="208" t="str">
        <f>IF($A163="","",IF(posicao_contratual!$AA162="","",posicao_contratual!$AA162))</f>
        <v/>
      </c>
      <c r="AA163" t="str">
        <f>IF($A163="","",IF(posicao_contratual!$AL162="","","C"&amp;posicao_contratual!$AL162))</f>
        <v/>
      </c>
      <c r="AB163" t="str">
        <f>IF($A163="","",IF(OR(MEMORIA_RESULTADOS!$W$46="",posicao_contratual!$AL162=""),"",IF(posicao_contratual!$AL162&lt;=MEMORIA_RESULTADOS!$W$46,"SIM","NAO APLICAVEL")))</f>
        <v/>
      </c>
      <c r="AC163" t="str">
        <f>IF($A163="","",IF(MEMORIA_RESULTADOS!$W$46="","",CHOOSE(MEMORIA_RESULTADOS!$W$46+1,posicao_contratual!$AG162,posicao_contratual!$AH162,posicao_contratual!$AI162,posicao_contratual!$AJ162,posicao_contratual!$AK162)))</f>
        <v/>
      </c>
    </row>
    <row r="164" spans="1:29" x14ac:dyDescent="0.35">
      <c r="A164" s="106" t="str">
        <f>IF(AND(itens_Remanesc!A163="",itens_Remanesc!A162&lt;&gt;"",COUNTIF(itens_Remanesc!A164:$A$200,"&lt;&gt;")=0),"TOTAL",IF(itens_Remanesc!A163="","",itens_Remanesc!A163))</f>
        <v/>
      </c>
      <c r="B164" s="107" t="str">
        <f>IF(OR(historico_VU!A163="",historico_VU!C163=""),"",historico_VU!C163)</f>
        <v/>
      </c>
      <c r="C164" s="108" t="str">
        <f>IF(posicao_contratual!A163="","",posicao_contratual!G163)</f>
        <v/>
      </c>
      <c r="D164" s="107" t="str">
        <f>IF(A164="TOTAL",ROUND(SUM($D$3:D163),2),IF(OR(A164="",B164="",C164=""),"",ROUND(B164*C164,2)))</f>
        <v/>
      </c>
      <c r="E164" s="109" t="str">
        <f>IF(OR(historico_VU!A163="",historico_VU!D163=""),"",historico_VU!D163)</f>
        <v/>
      </c>
      <c r="F164" s="110" t="str">
        <f>IF(posicao_contratual!A163="","",posicao_contratual!K163)</f>
        <v/>
      </c>
      <c r="G164" s="109" t="str">
        <f>IF(A164="TOTAL",ROUND(SUM($G$3:G163),2),IF(OR(A164="",E164="",F164=""),"",ROUND(E164*F164,2)))</f>
        <v/>
      </c>
      <c r="H164" s="107" t="str">
        <f>IF(OR(historico_VU!A163="",historico_VU!E163=""),"",historico_VU!E163)</f>
        <v/>
      </c>
      <c r="I164" s="108" t="str">
        <f>IF(posicao_contratual!A163="","",posicao_contratual!O163)</f>
        <v/>
      </c>
      <c r="J164" s="107" t="str">
        <f>IF(A164="TOTAL",ROUND(SUM($J$3:J163),2),IF(OR(A164="",H164="",I164=""),"",ROUND(H164*I164,2)))</f>
        <v/>
      </c>
      <c r="K164" s="109" t="str">
        <f>IF(OR(historico_VU!A163="",historico_VU!F163=""),"",historico_VU!F163)</f>
        <v/>
      </c>
      <c r="L164" s="110" t="str">
        <f>IF(posicao_contratual!A163="","",posicao_contratual!S163)</f>
        <v/>
      </c>
      <c r="M164" s="109" t="str">
        <f>IF(A164="TOTAL",ROUND(SUM($M$3:M163),2),IF(OR(A164="",K164="",L164=""),"",ROUND(K164*L164,2)))</f>
        <v/>
      </c>
      <c r="N164" s="107" t="str">
        <f>IF(OR(historico_VU!A163="",historico_VU!G163=""),"",historico_VU!G163)</f>
        <v/>
      </c>
      <c r="O164" s="108" t="str">
        <f>IF(posicao_contratual!A163="","",posicao_contratual!W163)</f>
        <v/>
      </c>
      <c r="P164" s="107" t="str">
        <f>IF(A164="TOTAL",ROUND(SUM($P$3:P163),2),IF(OR(A164="",N164="",O164=""),"",ROUND(N164*O164,2)))</f>
        <v/>
      </c>
      <c r="Q164" s="181" t="str">
        <f t="shared" ca="1" si="40"/>
        <v/>
      </c>
      <c r="R164" t="str">
        <f>IF($A164="","",IF(MEMORIA_RESULTADOS!$W$46="","","C"&amp;MEMORIA_RESULTADOS!$W$46))</f>
        <v/>
      </c>
      <c r="S164" s="207" t="str">
        <f t="shared" ca="1" si="41"/>
        <v/>
      </c>
      <c r="T164" s="207" t="str">
        <f t="shared" ca="1" si="42"/>
        <v/>
      </c>
      <c r="U164" s="207" t="str">
        <f t="shared" ca="1" si="43"/>
        <v/>
      </c>
      <c r="V164" s="191" t="str">
        <f t="shared" ca="1" si="44"/>
        <v/>
      </c>
      <c r="W164" s="191" t="str">
        <f t="shared" ca="1" si="45"/>
        <v/>
      </c>
      <c r="X164" s="191" t="str">
        <f t="shared" ca="1" si="46"/>
        <v/>
      </c>
      <c r="Y164" t="str">
        <f t="shared" ca="1" si="47"/>
        <v/>
      </c>
      <c r="Z164" s="208" t="str">
        <f>IF($A164="","",IF(posicao_contratual!$AA163="","",posicao_contratual!$AA163))</f>
        <v/>
      </c>
      <c r="AA164" t="str">
        <f>IF($A164="","",IF(posicao_contratual!$AL163="","","C"&amp;posicao_contratual!$AL163))</f>
        <v/>
      </c>
      <c r="AB164" t="str">
        <f>IF($A164="","",IF(OR(MEMORIA_RESULTADOS!$W$46="",posicao_contratual!$AL163=""),"",IF(posicao_contratual!$AL163&lt;=MEMORIA_RESULTADOS!$W$46,"SIM","NAO APLICAVEL")))</f>
        <v/>
      </c>
      <c r="AC164" t="str">
        <f>IF($A164="","",IF(MEMORIA_RESULTADOS!$W$46="","",CHOOSE(MEMORIA_RESULTADOS!$W$46+1,posicao_contratual!$AG163,posicao_contratual!$AH163,posicao_contratual!$AI163,posicao_contratual!$AJ163,posicao_contratual!$AK163)))</f>
        <v/>
      </c>
    </row>
    <row r="165" spans="1:29" x14ac:dyDescent="0.35">
      <c r="A165" s="106" t="str">
        <f>IF(AND(itens_Remanesc!A164="",itens_Remanesc!A163&lt;&gt;"",COUNTIF(itens_Remanesc!A165:$A$200,"&lt;&gt;")=0),"TOTAL",IF(itens_Remanesc!A164="","",itens_Remanesc!A164))</f>
        <v/>
      </c>
      <c r="B165" s="107" t="str">
        <f>IF(OR(historico_VU!A164="",historico_VU!C164=""),"",historico_VU!C164)</f>
        <v/>
      </c>
      <c r="C165" s="108" t="str">
        <f>IF(posicao_contratual!A164="","",posicao_contratual!G164)</f>
        <v/>
      </c>
      <c r="D165" s="107" t="str">
        <f>IF(A165="TOTAL",ROUND(SUM($D$3:D164),2),IF(OR(A165="",B165="",C165=""),"",ROUND(B165*C165,2)))</f>
        <v/>
      </c>
      <c r="E165" s="109" t="str">
        <f>IF(OR(historico_VU!A164="",historico_VU!D164=""),"",historico_VU!D164)</f>
        <v/>
      </c>
      <c r="F165" s="110" t="str">
        <f>IF(posicao_contratual!A164="","",posicao_contratual!K164)</f>
        <v/>
      </c>
      <c r="G165" s="109" t="str">
        <f>IF(A165="TOTAL",ROUND(SUM($G$3:G164),2),IF(OR(A165="",E165="",F165=""),"",ROUND(E165*F165,2)))</f>
        <v/>
      </c>
      <c r="H165" s="107" t="str">
        <f>IF(OR(historico_VU!A164="",historico_VU!E164=""),"",historico_VU!E164)</f>
        <v/>
      </c>
      <c r="I165" s="108" t="str">
        <f>IF(posicao_contratual!A164="","",posicao_contratual!O164)</f>
        <v/>
      </c>
      <c r="J165" s="107" t="str">
        <f>IF(A165="TOTAL",ROUND(SUM($J$3:J164),2),IF(OR(A165="",H165="",I165=""),"",ROUND(H165*I165,2)))</f>
        <v/>
      </c>
      <c r="K165" s="109" t="str">
        <f>IF(OR(historico_VU!A164="",historico_VU!F164=""),"",historico_VU!F164)</f>
        <v/>
      </c>
      <c r="L165" s="110" t="str">
        <f>IF(posicao_contratual!A164="","",posicao_contratual!S164)</f>
        <v/>
      </c>
      <c r="M165" s="109" t="str">
        <f>IF(A165="TOTAL",ROUND(SUM($M$3:M164),2),IF(OR(A165="",K165="",L165=""),"",ROUND(K165*L165,2)))</f>
        <v/>
      </c>
      <c r="N165" s="107" t="str">
        <f>IF(OR(historico_VU!A164="",historico_VU!G164=""),"",historico_VU!G164)</f>
        <v/>
      </c>
      <c r="O165" s="108" t="str">
        <f>IF(posicao_contratual!A164="","",posicao_contratual!W164)</f>
        <v/>
      </c>
      <c r="P165" s="107" t="str">
        <f>IF(A165="TOTAL",ROUND(SUM($P$3:P164),2),IF(OR(A165="",N165="",O165=""),"",ROUND(N165*O165,2)))</f>
        <v/>
      </c>
      <c r="Q165" s="181" t="str">
        <f t="shared" ca="1" si="40"/>
        <v/>
      </c>
      <c r="R165" t="str">
        <f>IF($A165="","",IF(MEMORIA_RESULTADOS!$W$46="","","C"&amp;MEMORIA_RESULTADOS!$W$46))</f>
        <v/>
      </c>
      <c r="S165" s="207" t="str">
        <f t="shared" ca="1" si="41"/>
        <v/>
      </c>
      <c r="T165" s="207" t="str">
        <f t="shared" ca="1" si="42"/>
        <v/>
      </c>
      <c r="U165" s="207" t="str">
        <f t="shared" ca="1" si="43"/>
        <v/>
      </c>
      <c r="V165" s="191" t="str">
        <f t="shared" ca="1" si="44"/>
        <v/>
      </c>
      <c r="W165" s="191" t="str">
        <f t="shared" ca="1" si="45"/>
        <v/>
      </c>
      <c r="X165" s="191" t="str">
        <f t="shared" ca="1" si="46"/>
        <v/>
      </c>
      <c r="Y165" t="str">
        <f t="shared" ca="1" si="47"/>
        <v/>
      </c>
      <c r="Z165" s="208" t="str">
        <f>IF($A165="","",IF(posicao_contratual!$AA164="","",posicao_contratual!$AA164))</f>
        <v/>
      </c>
      <c r="AA165" t="str">
        <f>IF($A165="","",IF(posicao_contratual!$AL164="","","C"&amp;posicao_contratual!$AL164))</f>
        <v/>
      </c>
      <c r="AB165" t="str">
        <f>IF($A165="","",IF(OR(MEMORIA_RESULTADOS!$W$46="",posicao_contratual!$AL164=""),"",IF(posicao_contratual!$AL164&lt;=MEMORIA_RESULTADOS!$W$46,"SIM","NAO APLICAVEL")))</f>
        <v/>
      </c>
      <c r="AC165" t="str">
        <f>IF($A165="","",IF(MEMORIA_RESULTADOS!$W$46="","",CHOOSE(MEMORIA_RESULTADOS!$W$46+1,posicao_contratual!$AG164,posicao_contratual!$AH164,posicao_contratual!$AI164,posicao_contratual!$AJ164,posicao_contratual!$AK164)))</f>
        <v/>
      </c>
    </row>
    <row r="166" spans="1:29" x14ac:dyDescent="0.35">
      <c r="A166" s="106" t="str">
        <f>IF(AND(itens_Remanesc!A165="",itens_Remanesc!A164&lt;&gt;"",COUNTIF(itens_Remanesc!A166:$A$200,"&lt;&gt;")=0),"TOTAL",IF(itens_Remanesc!A165="","",itens_Remanesc!A165))</f>
        <v/>
      </c>
      <c r="B166" s="107" t="str">
        <f>IF(OR(historico_VU!A165="",historico_VU!C165=""),"",historico_VU!C165)</f>
        <v/>
      </c>
      <c r="C166" s="108" t="str">
        <f>IF(posicao_contratual!A165="","",posicao_contratual!G165)</f>
        <v/>
      </c>
      <c r="D166" s="107" t="str">
        <f>IF(A166="TOTAL",ROUND(SUM($D$3:D165),2),IF(OR(A166="",B166="",C166=""),"",ROUND(B166*C166,2)))</f>
        <v/>
      </c>
      <c r="E166" s="109" t="str">
        <f>IF(OR(historico_VU!A165="",historico_VU!D165=""),"",historico_VU!D165)</f>
        <v/>
      </c>
      <c r="F166" s="110" t="str">
        <f>IF(posicao_contratual!A165="","",posicao_contratual!K165)</f>
        <v/>
      </c>
      <c r="G166" s="109" t="str">
        <f>IF(A166="TOTAL",ROUND(SUM($G$3:G165),2),IF(OR(A166="",E166="",F166=""),"",ROUND(E166*F166,2)))</f>
        <v/>
      </c>
      <c r="H166" s="107" t="str">
        <f>IF(OR(historico_VU!A165="",historico_VU!E165=""),"",historico_VU!E165)</f>
        <v/>
      </c>
      <c r="I166" s="108" t="str">
        <f>IF(posicao_contratual!A165="","",posicao_contratual!O165)</f>
        <v/>
      </c>
      <c r="J166" s="107" t="str">
        <f>IF(A166="TOTAL",ROUND(SUM($J$3:J165),2),IF(OR(A166="",H166="",I166=""),"",ROUND(H166*I166,2)))</f>
        <v/>
      </c>
      <c r="K166" s="109" t="str">
        <f>IF(OR(historico_VU!A165="",historico_VU!F165=""),"",historico_VU!F165)</f>
        <v/>
      </c>
      <c r="L166" s="110" t="str">
        <f>IF(posicao_contratual!A165="","",posicao_contratual!S165)</f>
        <v/>
      </c>
      <c r="M166" s="109" t="str">
        <f>IF(A166="TOTAL",ROUND(SUM($M$3:M165),2),IF(OR(A166="",K166="",L166=""),"",ROUND(K166*L166,2)))</f>
        <v/>
      </c>
      <c r="N166" s="107" t="str">
        <f>IF(OR(historico_VU!A165="",historico_VU!G165=""),"",historico_VU!G165)</f>
        <v/>
      </c>
      <c r="O166" s="108" t="str">
        <f>IF(posicao_contratual!A165="","",posicao_contratual!W165)</f>
        <v/>
      </c>
      <c r="P166" s="107" t="str">
        <f>IF(A166="TOTAL",ROUND(SUM($P$3:P165),2),IF(OR(A166="",N166="",O166=""),"",ROUND(N166*O166,2)))</f>
        <v/>
      </c>
      <c r="Q166" s="181" t="str">
        <f t="shared" ca="1" si="40"/>
        <v/>
      </c>
      <c r="R166" t="str">
        <f>IF($A166="","",IF(MEMORIA_RESULTADOS!$W$46="","","C"&amp;MEMORIA_RESULTADOS!$W$46))</f>
        <v/>
      </c>
      <c r="S166" s="207" t="str">
        <f t="shared" ca="1" si="41"/>
        <v/>
      </c>
      <c r="T166" s="207" t="str">
        <f t="shared" ca="1" si="42"/>
        <v/>
      </c>
      <c r="U166" s="207" t="str">
        <f t="shared" ca="1" si="43"/>
        <v/>
      </c>
      <c r="V166" s="191" t="str">
        <f t="shared" ca="1" si="44"/>
        <v/>
      </c>
      <c r="W166" s="191" t="str">
        <f t="shared" ca="1" si="45"/>
        <v/>
      </c>
      <c r="X166" s="191" t="str">
        <f t="shared" ca="1" si="46"/>
        <v/>
      </c>
      <c r="Y166" t="str">
        <f t="shared" ca="1" si="47"/>
        <v/>
      </c>
      <c r="Z166" s="208" t="str">
        <f>IF($A166="","",IF(posicao_contratual!$AA165="","",posicao_contratual!$AA165))</f>
        <v/>
      </c>
      <c r="AA166" t="str">
        <f>IF($A166="","",IF(posicao_contratual!$AL165="","","C"&amp;posicao_contratual!$AL165))</f>
        <v/>
      </c>
      <c r="AB166" t="str">
        <f>IF($A166="","",IF(OR(MEMORIA_RESULTADOS!$W$46="",posicao_contratual!$AL165=""),"",IF(posicao_contratual!$AL165&lt;=MEMORIA_RESULTADOS!$W$46,"SIM","NAO APLICAVEL")))</f>
        <v/>
      </c>
      <c r="AC166" t="str">
        <f>IF($A166="","",IF(MEMORIA_RESULTADOS!$W$46="","",CHOOSE(MEMORIA_RESULTADOS!$W$46+1,posicao_contratual!$AG165,posicao_contratual!$AH165,posicao_contratual!$AI165,posicao_contratual!$AJ165,posicao_contratual!$AK165)))</f>
        <v/>
      </c>
    </row>
    <row r="167" spans="1:29" x14ac:dyDescent="0.35">
      <c r="A167" s="106" t="str">
        <f>IF(AND(itens_Remanesc!A166="",itens_Remanesc!A165&lt;&gt;"",COUNTIF(itens_Remanesc!A167:$A$200,"&lt;&gt;")=0),"TOTAL",IF(itens_Remanesc!A166="","",itens_Remanesc!A166))</f>
        <v/>
      </c>
      <c r="B167" s="107" t="str">
        <f>IF(OR(historico_VU!A166="",historico_VU!C166=""),"",historico_VU!C166)</f>
        <v/>
      </c>
      <c r="C167" s="108" t="str">
        <f>IF(posicao_contratual!A166="","",posicao_contratual!G166)</f>
        <v/>
      </c>
      <c r="D167" s="107" t="str">
        <f>IF(A167="TOTAL",ROUND(SUM($D$3:D166),2),IF(OR(A167="",B167="",C167=""),"",ROUND(B167*C167,2)))</f>
        <v/>
      </c>
      <c r="E167" s="109" t="str">
        <f>IF(OR(historico_VU!A166="",historico_VU!D166=""),"",historico_VU!D166)</f>
        <v/>
      </c>
      <c r="F167" s="110" t="str">
        <f>IF(posicao_contratual!A166="","",posicao_contratual!K166)</f>
        <v/>
      </c>
      <c r="G167" s="109" t="str">
        <f>IF(A167="TOTAL",ROUND(SUM($G$3:G166),2),IF(OR(A167="",E167="",F167=""),"",ROUND(E167*F167,2)))</f>
        <v/>
      </c>
      <c r="H167" s="107" t="str">
        <f>IF(OR(historico_VU!A166="",historico_VU!E166=""),"",historico_VU!E166)</f>
        <v/>
      </c>
      <c r="I167" s="108" t="str">
        <f>IF(posicao_contratual!A166="","",posicao_contratual!O166)</f>
        <v/>
      </c>
      <c r="J167" s="107" t="str">
        <f>IF(A167="TOTAL",ROUND(SUM($J$3:J166),2),IF(OR(A167="",H167="",I167=""),"",ROUND(H167*I167,2)))</f>
        <v/>
      </c>
      <c r="K167" s="109" t="str">
        <f>IF(OR(historico_VU!A166="",historico_VU!F166=""),"",historico_VU!F166)</f>
        <v/>
      </c>
      <c r="L167" s="110" t="str">
        <f>IF(posicao_contratual!A166="","",posicao_contratual!S166)</f>
        <v/>
      </c>
      <c r="M167" s="109" t="str">
        <f>IF(A167="TOTAL",ROUND(SUM($M$3:M166),2),IF(OR(A167="",K167="",L167=""),"",ROUND(K167*L167,2)))</f>
        <v/>
      </c>
      <c r="N167" s="107" t="str">
        <f>IF(OR(historico_VU!A166="",historico_VU!G166=""),"",historico_VU!G166)</f>
        <v/>
      </c>
      <c r="O167" s="108" t="str">
        <f>IF(posicao_contratual!A166="","",posicao_contratual!W166)</f>
        <v/>
      </c>
      <c r="P167" s="107" t="str">
        <f>IF(A167="TOTAL",ROUND(SUM($P$3:P166),2),IF(OR(A167="",N167="",O167=""),"",ROUND(N167*O167,2)))</f>
        <v/>
      </c>
      <c r="Q167" s="181" t="str">
        <f t="shared" ca="1" si="40"/>
        <v/>
      </c>
      <c r="R167" t="str">
        <f>IF($A167="","",IF(MEMORIA_RESULTADOS!$W$46="","","C"&amp;MEMORIA_RESULTADOS!$W$46))</f>
        <v/>
      </c>
      <c r="S167" s="207" t="str">
        <f t="shared" ca="1" si="41"/>
        <v/>
      </c>
      <c r="T167" s="207" t="str">
        <f t="shared" ca="1" si="42"/>
        <v/>
      </c>
      <c r="U167" s="207" t="str">
        <f t="shared" ca="1" si="43"/>
        <v/>
      </c>
      <c r="V167" s="191" t="str">
        <f t="shared" ca="1" si="44"/>
        <v/>
      </c>
      <c r="W167" s="191" t="str">
        <f t="shared" ca="1" si="45"/>
        <v/>
      </c>
      <c r="X167" s="191" t="str">
        <f t="shared" ca="1" si="46"/>
        <v/>
      </c>
      <c r="Y167" t="str">
        <f t="shared" ca="1" si="47"/>
        <v/>
      </c>
      <c r="Z167" s="208" t="str">
        <f>IF($A167="","",IF(posicao_contratual!$AA166="","",posicao_contratual!$AA166))</f>
        <v/>
      </c>
      <c r="AA167" t="str">
        <f>IF($A167="","",IF(posicao_contratual!$AL166="","","C"&amp;posicao_contratual!$AL166))</f>
        <v/>
      </c>
      <c r="AB167" t="str">
        <f>IF($A167="","",IF(OR(MEMORIA_RESULTADOS!$W$46="",posicao_contratual!$AL166=""),"",IF(posicao_contratual!$AL166&lt;=MEMORIA_RESULTADOS!$W$46,"SIM","NAO APLICAVEL")))</f>
        <v/>
      </c>
      <c r="AC167" t="str">
        <f>IF($A167="","",IF(MEMORIA_RESULTADOS!$W$46="","",CHOOSE(MEMORIA_RESULTADOS!$W$46+1,posicao_contratual!$AG166,posicao_contratual!$AH166,posicao_contratual!$AI166,posicao_contratual!$AJ166,posicao_contratual!$AK166)))</f>
        <v/>
      </c>
    </row>
    <row r="168" spans="1:29" x14ac:dyDescent="0.35">
      <c r="A168" s="106" t="str">
        <f>IF(AND(itens_Remanesc!A167="",itens_Remanesc!A166&lt;&gt;"",COUNTIF(itens_Remanesc!A168:$A$200,"&lt;&gt;")=0),"TOTAL",IF(itens_Remanesc!A167="","",itens_Remanesc!A167))</f>
        <v/>
      </c>
      <c r="B168" s="107" t="str">
        <f>IF(OR(historico_VU!A167="",historico_VU!C167=""),"",historico_VU!C167)</f>
        <v/>
      </c>
      <c r="C168" s="108" t="str">
        <f>IF(posicao_contratual!A167="","",posicao_contratual!G167)</f>
        <v/>
      </c>
      <c r="D168" s="107" t="str">
        <f>IF(A168="TOTAL",ROUND(SUM($D$3:D167),2),IF(OR(A168="",B168="",C168=""),"",ROUND(B168*C168,2)))</f>
        <v/>
      </c>
      <c r="E168" s="109" t="str">
        <f>IF(OR(historico_VU!A167="",historico_VU!D167=""),"",historico_VU!D167)</f>
        <v/>
      </c>
      <c r="F168" s="110" t="str">
        <f>IF(posicao_contratual!A167="","",posicao_contratual!K167)</f>
        <v/>
      </c>
      <c r="G168" s="109" t="str">
        <f>IF(A168="TOTAL",ROUND(SUM($G$3:G167),2),IF(OR(A168="",E168="",F168=""),"",ROUND(E168*F168,2)))</f>
        <v/>
      </c>
      <c r="H168" s="107" t="str">
        <f>IF(OR(historico_VU!A167="",historico_VU!E167=""),"",historico_VU!E167)</f>
        <v/>
      </c>
      <c r="I168" s="108" t="str">
        <f>IF(posicao_contratual!A167="","",posicao_contratual!O167)</f>
        <v/>
      </c>
      <c r="J168" s="107" t="str">
        <f>IF(A168="TOTAL",ROUND(SUM($J$3:J167),2),IF(OR(A168="",H168="",I168=""),"",ROUND(H168*I168,2)))</f>
        <v/>
      </c>
      <c r="K168" s="109" t="str">
        <f>IF(OR(historico_VU!A167="",historico_VU!F167=""),"",historico_VU!F167)</f>
        <v/>
      </c>
      <c r="L168" s="110" t="str">
        <f>IF(posicao_contratual!A167="","",posicao_contratual!S167)</f>
        <v/>
      </c>
      <c r="M168" s="109" t="str">
        <f>IF(A168="TOTAL",ROUND(SUM($M$3:M167),2),IF(OR(A168="",K168="",L168=""),"",ROUND(K168*L168,2)))</f>
        <v/>
      </c>
      <c r="N168" s="107" t="str">
        <f>IF(OR(historico_VU!A167="",historico_VU!G167=""),"",historico_VU!G167)</f>
        <v/>
      </c>
      <c r="O168" s="108" t="str">
        <f>IF(posicao_contratual!A167="","",posicao_contratual!W167)</f>
        <v/>
      </c>
      <c r="P168" s="107" t="str">
        <f>IF(A168="TOTAL",ROUND(SUM($P$3:P167),2),IF(OR(A168="",N168="",O168=""),"",ROUND(N168*O168,2)))</f>
        <v/>
      </c>
      <c r="Q168" s="181" t="str">
        <f t="shared" ca="1" si="40"/>
        <v/>
      </c>
      <c r="R168" t="str">
        <f>IF($A168="","",IF(MEMORIA_RESULTADOS!$W$46="","","C"&amp;MEMORIA_RESULTADOS!$W$46))</f>
        <v/>
      </c>
      <c r="S168" s="207" t="str">
        <f t="shared" ca="1" si="41"/>
        <v/>
      </c>
      <c r="T168" s="207" t="str">
        <f t="shared" ca="1" si="42"/>
        <v/>
      </c>
      <c r="U168" s="207" t="str">
        <f t="shared" ca="1" si="43"/>
        <v/>
      </c>
      <c r="V168" s="191" t="str">
        <f t="shared" ca="1" si="44"/>
        <v/>
      </c>
      <c r="W168" s="191" t="str">
        <f t="shared" ca="1" si="45"/>
        <v/>
      </c>
      <c r="X168" s="191" t="str">
        <f t="shared" ca="1" si="46"/>
        <v/>
      </c>
      <c r="Y168" t="str">
        <f t="shared" ca="1" si="47"/>
        <v/>
      </c>
      <c r="Z168" s="208" t="str">
        <f>IF($A168="","",IF(posicao_contratual!$AA167="","",posicao_contratual!$AA167))</f>
        <v/>
      </c>
      <c r="AA168" t="str">
        <f>IF($A168="","",IF(posicao_contratual!$AL167="","","C"&amp;posicao_contratual!$AL167))</f>
        <v/>
      </c>
      <c r="AB168" t="str">
        <f>IF($A168="","",IF(OR(MEMORIA_RESULTADOS!$W$46="",posicao_contratual!$AL167=""),"",IF(posicao_contratual!$AL167&lt;=MEMORIA_RESULTADOS!$W$46,"SIM","NAO APLICAVEL")))</f>
        <v/>
      </c>
      <c r="AC168" t="str">
        <f>IF($A168="","",IF(MEMORIA_RESULTADOS!$W$46="","",CHOOSE(MEMORIA_RESULTADOS!$W$46+1,posicao_contratual!$AG167,posicao_contratual!$AH167,posicao_contratual!$AI167,posicao_contratual!$AJ167,posicao_contratual!$AK167)))</f>
        <v/>
      </c>
    </row>
    <row r="169" spans="1:29" x14ac:dyDescent="0.35">
      <c r="A169" s="106" t="str">
        <f>IF(AND(itens_Remanesc!A168="",itens_Remanesc!A167&lt;&gt;"",COUNTIF(itens_Remanesc!A169:$A$200,"&lt;&gt;")=0),"TOTAL",IF(itens_Remanesc!A168="","",itens_Remanesc!A168))</f>
        <v/>
      </c>
      <c r="B169" s="107" t="str">
        <f>IF(OR(historico_VU!A168="",historico_VU!C168=""),"",historico_VU!C168)</f>
        <v/>
      </c>
      <c r="C169" s="108" t="str">
        <f>IF(posicao_contratual!A168="","",posicao_contratual!G168)</f>
        <v/>
      </c>
      <c r="D169" s="107" t="str">
        <f>IF(A169="TOTAL",ROUND(SUM($D$3:D168),2),IF(OR(A169="",B169="",C169=""),"",ROUND(B169*C169,2)))</f>
        <v/>
      </c>
      <c r="E169" s="109" t="str">
        <f>IF(OR(historico_VU!A168="",historico_VU!D168=""),"",historico_VU!D168)</f>
        <v/>
      </c>
      <c r="F169" s="110" t="str">
        <f>IF(posicao_contratual!A168="","",posicao_contratual!K168)</f>
        <v/>
      </c>
      <c r="G169" s="109" t="str">
        <f>IF(A169="TOTAL",ROUND(SUM($G$3:G168),2),IF(OR(A169="",E169="",F169=""),"",ROUND(E169*F169,2)))</f>
        <v/>
      </c>
      <c r="H169" s="107" t="str">
        <f>IF(OR(historico_VU!A168="",historico_VU!E168=""),"",historico_VU!E168)</f>
        <v/>
      </c>
      <c r="I169" s="108" t="str">
        <f>IF(posicao_contratual!A168="","",posicao_contratual!O168)</f>
        <v/>
      </c>
      <c r="J169" s="107" t="str">
        <f>IF(A169="TOTAL",ROUND(SUM($J$3:J168),2),IF(OR(A169="",H169="",I169=""),"",ROUND(H169*I169,2)))</f>
        <v/>
      </c>
      <c r="K169" s="109" t="str">
        <f>IF(OR(historico_VU!A168="",historico_VU!F168=""),"",historico_VU!F168)</f>
        <v/>
      </c>
      <c r="L169" s="110" t="str">
        <f>IF(posicao_contratual!A168="","",posicao_contratual!S168)</f>
        <v/>
      </c>
      <c r="M169" s="109" t="str">
        <f>IF(A169="TOTAL",ROUND(SUM($M$3:M168),2),IF(OR(A169="",K169="",L169=""),"",ROUND(K169*L169,2)))</f>
        <v/>
      </c>
      <c r="N169" s="107" t="str">
        <f>IF(OR(historico_VU!A168="",historico_VU!G168=""),"",historico_VU!G168)</f>
        <v/>
      </c>
      <c r="O169" s="108" t="str">
        <f>IF(posicao_contratual!A168="","",posicao_contratual!W168)</f>
        <v/>
      </c>
      <c r="P169" s="107" t="str">
        <f>IF(A169="TOTAL",ROUND(SUM($P$3:P168),2),IF(OR(A169="",N169="",O169=""),"",ROUND(N169*O169,2)))</f>
        <v/>
      </c>
      <c r="Q169" s="181" t="str">
        <f t="shared" ca="1" si="40"/>
        <v/>
      </c>
      <c r="R169" t="str">
        <f>IF($A169="","",IF(MEMORIA_RESULTADOS!$W$46="","","C"&amp;MEMORIA_RESULTADOS!$W$46))</f>
        <v/>
      </c>
      <c r="S169" s="207" t="str">
        <f t="shared" ca="1" si="41"/>
        <v/>
      </c>
      <c r="T169" s="207" t="str">
        <f t="shared" ca="1" si="42"/>
        <v/>
      </c>
      <c r="U169" s="207" t="str">
        <f t="shared" ca="1" si="43"/>
        <v/>
      </c>
      <c r="V169" s="191" t="str">
        <f t="shared" ca="1" si="44"/>
        <v/>
      </c>
      <c r="W169" s="191" t="str">
        <f t="shared" ca="1" si="45"/>
        <v/>
      </c>
      <c r="X169" s="191" t="str">
        <f t="shared" ca="1" si="46"/>
        <v/>
      </c>
      <c r="Y169" t="str">
        <f t="shared" ca="1" si="47"/>
        <v/>
      </c>
      <c r="Z169" s="208" t="str">
        <f>IF($A169="","",IF(posicao_contratual!$AA168="","",posicao_contratual!$AA168))</f>
        <v/>
      </c>
      <c r="AA169" t="str">
        <f>IF($A169="","",IF(posicao_contratual!$AL168="","","C"&amp;posicao_contratual!$AL168))</f>
        <v/>
      </c>
      <c r="AB169" t="str">
        <f>IF($A169="","",IF(OR(MEMORIA_RESULTADOS!$W$46="",posicao_contratual!$AL168=""),"",IF(posicao_contratual!$AL168&lt;=MEMORIA_RESULTADOS!$W$46,"SIM","NAO APLICAVEL")))</f>
        <v/>
      </c>
      <c r="AC169" t="str">
        <f>IF($A169="","",IF(MEMORIA_RESULTADOS!$W$46="","",CHOOSE(MEMORIA_RESULTADOS!$W$46+1,posicao_contratual!$AG168,posicao_contratual!$AH168,posicao_contratual!$AI168,posicao_contratual!$AJ168,posicao_contratual!$AK168)))</f>
        <v/>
      </c>
    </row>
    <row r="170" spans="1:29" x14ac:dyDescent="0.35">
      <c r="A170" s="106" t="str">
        <f>IF(AND(itens_Remanesc!A169="",itens_Remanesc!A168&lt;&gt;"",COUNTIF(itens_Remanesc!A170:$A$200,"&lt;&gt;")=0),"TOTAL",IF(itens_Remanesc!A169="","",itens_Remanesc!A169))</f>
        <v/>
      </c>
      <c r="B170" s="107" t="str">
        <f>IF(OR(historico_VU!A169="",historico_VU!C169=""),"",historico_VU!C169)</f>
        <v/>
      </c>
      <c r="C170" s="108" t="str">
        <f>IF(posicao_contratual!A169="","",posicao_contratual!G169)</f>
        <v/>
      </c>
      <c r="D170" s="107" t="str">
        <f>IF(A170="TOTAL",ROUND(SUM($D$3:D169),2),IF(OR(A170="",B170="",C170=""),"",ROUND(B170*C170,2)))</f>
        <v/>
      </c>
      <c r="E170" s="109" t="str">
        <f>IF(OR(historico_VU!A169="",historico_VU!D169=""),"",historico_VU!D169)</f>
        <v/>
      </c>
      <c r="F170" s="110" t="str">
        <f>IF(posicao_contratual!A169="","",posicao_contratual!K169)</f>
        <v/>
      </c>
      <c r="G170" s="109" t="str">
        <f>IF(A170="TOTAL",ROUND(SUM($G$3:G169),2),IF(OR(A170="",E170="",F170=""),"",ROUND(E170*F170,2)))</f>
        <v/>
      </c>
      <c r="H170" s="107" t="str">
        <f>IF(OR(historico_VU!A169="",historico_VU!E169=""),"",historico_VU!E169)</f>
        <v/>
      </c>
      <c r="I170" s="108" t="str">
        <f>IF(posicao_contratual!A169="","",posicao_contratual!O169)</f>
        <v/>
      </c>
      <c r="J170" s="107" t="str">
        <f>IF(A170="TOTAL",ROUND(SUM($J$3:J169),2),IF(OR(A170="",H170="",I170=""),"",ROUND(H170*I170,2)))</f>
        <v/>
      </c>
      <c r="K170" s="109" t="str">
        <f>IF(OR(historico_VU!A169="",historico_VU!F169=""),"",historico_VU!F169)</f>
        <v/>
      </c>
      <c r="L170" s="110" t="str">
        <f>IF(posicao_contratual!A169="","",posicao_contratual!S169)</f>
        <v/>
      </c>
      <c r="M170" s="109" t="str">
        <f>IF(A170="TOTAL",ROUND(SUM($M$3:M169),2),IF(OR(A170="",K170="",L170=""),"",ROUND(K170*L170,2)))</f>
        <v/>
      </c>
      <c r="N170" s="107" t="str">
        <f>IF(OR(historico_VU!A169="",historico_VU!G169=""),"",historico_VU!G169)</f>
        <v/>
      </c>
      <c r="O170" s="108" t="str">
        <f>IF(posicao_contratual!A169="","",posicao_contratual!W169)</f>
        <v/>
      </c>
      <c r="P170" s="107" t="str">
        <f>IF(A170="TOTAL",ROUND(SUM($P$3:P169),2),IF(OR(A170="",N170="",O170=""),"",ROUND(N170*O170,2)))</f>
        <v/>
      </c>
      <c r="Q170" s="181" t="str">
        <f t="shared" ca="1" si="40"/>
        <v/>
      </c>
      <c r="R170" t="str">
        <f>IF($A170="","",IF(MEMORIA_RESULTADOS!$W$46="","","C"&amp;MEMORIA_RESULTADOS!$W$46))</f>
        <v/>
      </c>
      <c r="S170" s="207" t="str">
        <f t="shared" ca="1" si="41"/>
        <v/>
      </c>
      <c r="T170" s="207" t="str">
        <f t="shared" ca="1" si="42"/>
        <v/>
      </c>
      <c r="U170" s="207" t="str">
        <f t="shared" ca="1" si="43"/>
        <v/>
      </c>
      <c r="V170" s="191" t="str">
        <f t="shared" ca="1" si="44"/>
        <v/>
      </c>
      <c r="W170" s="191" t="str">
        <f t="shared" ca="1" si="45"/>
        <v/>
      </c>
      <c r="X170" s="191" t="str">
        <f t="shared" ca="1" si="46"/>
        <v/>
      </c>
      <c r="Y170" t="str">
        <f t="shared" ca="1" si="47"/>
        <v/>
      </c>
      <c r="Z170" s="208" t="str">
        <f>IF($A170="","",IF(posicao_contratual!$AA169="","",posicao_contratual!$AA169))</f>
        <v/>
      </c>
      <c r="AA170" t="str">
        <f>IF($A170="","",IF(posicao_contratual!$AL169="","","C"&amp;posicao_contratual!$AL169))</f>
        <v/>
      </c>
      <c r="AB170" t="str">
        <f>IF($A170="","",IF(OR(MEMORIA_RESULTADOS!$W$46="",posicao_contratual!$AL169=""),"",IF(posicao_contratual!$AL169&lt;=MEMORIA_RESULTADOS!$W$46,"SIM","NAO APLICAVEL")))</f>
        <v/>
      </c>
      <c r="AC170" t="str">
        <f>IF($A170="","",IF(MEMORIA_RESULTADOS!$W$46="","",CHOOSE(MEMORIA_RESULTADOS!$W$46+1,posicao_contratual!$AG169,posicao_contratual!$AH169,posicao_contratual!$AI169,posicao_contratual!$AJ169,posicao_contratual!$AK169)))</f>
        <v/>
      </c>
    </row>
    <row r="171" spans="1:29" x14ac:dyDescent="0.35">
      <c r="A171" s="106" t="str">
        <f>IF(AND(itens_Remanesc!A170="",itens_Remanesc!A169&lt;&gt;"",COUNTIF(itens_Remanesc!A171:$A$200,"&lt;&gt;")=0),"TOTAL",IF(itens_Remanesc!A170="","",itens_Remanesc!A170))</f>
        <v/>
      </c>
      <c r="B171" s="107" t="str">
        <f>IF(OR(historico_VU!A170="",historico_VU!C170=""),"",historico_VU!C170)</f>
        <v/>
      </c>
      <c r="C171" s="108" t="str">
        <f>IF(posicao_contratual!A170="","",posicao_contratual!G170)</f>
        <v/>
      </c>
      <c r="D171" s="107" t="str">
        <f>IF(A171="TOTAL",ROUND(SUM($D$3:D170),2),IF(OR(A171="",B171="",C171=""),"",ROUND(B171*C171,2)))</f>
        <v/>
      </c>
      <c r="E171" s="109" t="str">
        <f>IF(OR(historico_VU!A170="",historico_VU!D170=""),"",historico_VU!D170)</f>
        <v/>
      </c>
      <c r="F171" s="110" t="str">
        <f>IF(posicao_contratual!A170="","",posicao_contratual!K170)</f>
        <v/>
      </c>
      <c r="G171" s="109" t="str">
        <f>IF(A171="TOTAL",ROUND(SUM($G$3:G170),2),IF(OR(A171="",E171="",F171=""),"",ROUND(E171*F171,2)))</f>
        <v/>
      </c>
      <c r="H171" s="107" t="str">
        <f>IF(OR(historico_VU!A170="",historico_VU!E170=""),"",historico_VU!E170)</f>
        <v/>
      </c>
      <c r="I171" s="108" t="str">
        <f>IF(posicao_contratual!A170="","",posicao_contratual!O170)</f>
        <v/>
      </c>
      <c r="J171" s="107" t="str">
        <f>IF(A171="TOTAL",ROUND(SUM($J$3:J170),2),IF(OR(A171="",H171="",I171=""),"",ROUND(H171*I171,2)))</f>
        <v/>
      </c>
      <c r="K171" s="109" t="str">
        <f>IF(OR(historico_VU!A170="",historico_VU!F170=""),"",historico_VU!F170)</f>
        <v/>
      </c>
      <c r="L171" s="110" t="str">
        <f>IF(posicao_contratual!A170="","",posicao_contratual!S170)</f>
        <v/>
      </c>
      <c r="M171" s="109" t="str">
        <f>IF(A171="TOTAL",ROUND(SUM($M$3:M170),2),IF(OR(A171="",K171="",L171=""),"",ROUND(K171*L171,2)))</f>
        <v/>
      </c>
      <c r="N171" s="107" t="str">
        <f>IF(OR(historico_VU!A170="",historico_VU!G170=""),"",historico_VU!G170)</f>
        <v/>
      </c>
      <c r="O171" s="108" t="str">
        <f>IF(posicao_contratual!A170="","",posicao_contratual!W170)</f>
        <v/>
      </c>
      <c r="P171" s="107" t="str">
        <f>IF(A171="TOTAL",ROUND(SUM($P$3:P170),2),IF(OR(A171="",N171="",O171=""),"",ROUND(N171*O171,2)))</f>
        <v/>
      </c>
      <c r="Q171" s="181" t="str">
        <f t="shared" ca="1" si="40"/>
        <v/>
      </c>
      <c r="R171" t="str">
        <f>IF($A171="","",IF(MEMORIA_RESULTADOS!$W$46="","","C"&amp;MEMORIA_RESULTADOS!$W$46))</f>
        <v/>
      </c>
      <c r="S171" s="207" t="str">
        <f t="shared" ca="1" si="41"/>
        <v/>
      </c>
      <c r="T171" s="207" t="str">
        <f t="shared" ca="1" si="42"/>
        <v/>
      </c>
      <c r="U171" s="207" t="str">
        <f t="shared" ca="1" si="43"/>
        <v/>
      </c>
      <c r="V171" s="191" t="str">
        <f t="shared" ca="1" si="44"/>
        <v/>
      </c>
      <c r="W171" s="191" t="str">
        <f t="shared" ca="1" si="45"/>
        <v/>
      </c>
      <c r="X171" s="191" t="str">
        <f t="shared" ca="1" si="46"/>
        <v/>
      </c>
      <c r="Y171" t="str">
        <f t="shared" ca="1" si="47"/>
        <v/>
      </c>
      <c r="Z171" s="208" t="str">
        <f>IF($A171="","",IF(posicao_contratual!$AA170="","",posicao_contratual!$AA170))</f>
        <v/>
      </c>
      <c r="AA171" t="str">
        <f>IF($A171="","",IF(posicao_contratual!$AL170="","","C"&amp;posicao_contratual!$AL170))</f>
        <v/>
      </c>
      <c r="AB171" t="str">
        <f>IF($A171="","",IF(OR(MEMORIA_RESULTADOS!$W$46="",posicao_contratual!$AL170=""),"",IF(posicao_contratual!$AL170&lt;=MEMORIA_RESULTADOS!$W$46,"SIM","NAO APLICAVEL")))</f>
        <v/>
      </c>
      <c r="AC171" t="str">
        <f>IF($A171="","",IF(MEMORIA_RESULTADOS!$W$46="","",CHOOSE(MEMORIA_RESULTADOS!$W$46+1,posicao_contratual!$AG170,posicao_contratual!$AH170,posicao_contratual!$AI170,posicao_contratual!$AJ170,posicao_contratual!$AK170)))</f>
        <v/>
      </c>
    </row>
    <row r="172" spans="1:29" x14ac:dyDescent="0.35">
      <c r="A172" s="106" t="str">
        <f>IF(AND(itens_Remanesc!A171="",itens_Remanesc!A170&lt;&gt;"",COUNTIF(itens_Remanesc!A172:$A$200,"&lt;&gt;")=0),"TOTAL",IF(itens_Remanesc!A171="","",itens_Remanesc!A171))</f>
        <v/>
      </c>
      <c r="B172" s="107" t="str">
        <f>IF(OR(historico_VU!A171="",historico_VU!C171=""),"",historico_VU!C171)</f>
        <v/>
      </c>
      <c r="C172" s="108" t="str">
        <f>IF(posicao_contratual!A171="","",posicao_contratual!G171)</f>
        <v/>
      </c>
      <c r="D172" s="107" t="str">
        <f>IF(A172="TOTAL",ROUND(SUM($D$3:D171),2),IF(OR(A172="",B172="",C172=""),"",ROUND(B172*C172,2)))</f>
        <v/>
      </c>
      <c r="E172" s="109" t="str">
        <f>IF(OR(historico_VU!A171="",historico_VU!D171=""),"",historico_VU!D171)</f>
        <v/>
      </c>
      <c r="F172" s="110" t="str">
        <f>IF(posicao_contratual!A171="","",posicao_contratual!K171)</f>
        <v/>
      </c>
      <c r="G172" s="109" t="str">
        <f>IF(A172="TOTAL",ROUND(SUM($G$3:G171),2),IF(OR(A172="",E172="",F172=""),"",ROUND(E172*F172,2)))</f>
        <v/>
      </c>
      <c r="H172" s="107" t="str">
        <f>IF(OR(historico_VU!A171="",historico_VU!E171=""),"",historico_VU!E171)</f>
        <v/>
      </c>
      <c r="I172" s="108" t="str">
        <f>IF(posicao_contratual!A171="","",posicao_contratual!O171)</f>
        <v/>
      </c>
      <c r="J172" s="107" t="str">
        <f>IF(A172="TOTAL",ROUND(SUM($J$3:J171),2),IF(OR(A172="",H172="",I172=""),"",ROUND(H172*I172,2)))</f>
        <v/>
      </c>
      <c r="K172" s="109" t="str">
        <f>IF(OR(historico_VU!A171="",historico_VU!F171=""),"",historico_VU!F171)</f>
        <v/>
      </c>
      <c r="L172" s="110" t="str">
        <f>IF(posicao_contratual!A171="","",posicao_contratual!S171)</f>
        <v/>
      </c>
      <c r="M172" s="109" t="str">
        <f>IF(A172="TOTAL",ROUND(SUM($M$3:M171),2),IF(OR(A172="",K172="",L172=""),"",ROUND(K172*L172,2)))</f>
        <v/>
      </c>
      <c r="N172" s="107" t="str">
        <f>IF(OR(historico_VU!A171="",historico_VU!G171=""),"",historico_VU!G171)</f>
        <v/>
      </c>
      <c r="O172" s="108" t="str">
        <f>IF(posicao_contratual!A171="","",posicao_contratual!W171)</f>
        <v/>
      </c>
      <c r="P172" s="107" t="str">
        <f>IF(A172="TOTAL",ROUND(SUM($P$3:P171),2),IF(OR(A172="",N172="",O172=""),"",ROUND(N172*O172,2)))</f>
        <v/>
      </c>
      <c r="Q172" s="181" t="str">
        <f t="shared" ca="1" si="40"/>
        <v/>
      </c>
      <c r="R172" t="str">
        <f>IF($A172="","",IF(MEMORIA_RESULTADOS!$W$46="","","C"&amp;MEMORIA_RESULTADOS!$W$46))</f>
        <v/>
      </c>
      <c r="S172" s="207" t="str">
        <f t="shared" ca="1" si="41"/>
        <v/>
      </c>
      <c r="T172" s="207" t="str">
        <f t="shared" ca="1" si="42"/>
        <v/>
      </c>
      <c r="U172" s="207" t="str">
        <f t="shared" ca="1" si="43"/>
        <v/>
      </c>
      <c r="V172" s="191" t="str">
        <f t="shared" ca="1" si="44"/>
        <v/>
      </c>
      <c r="W172" s="191" t="str">
        <f t="shared" ca="1" si="45"/>
        <v/>
      </c>
      <c r="X172" s="191" t="str">
        <f t="shared" ca="1" si="46"/>
        <v/>
      </c>
      <c r="Y172" t="str">
        <f t="shared" ca="1" si="47"/>
        <v/>
      </c>
      <c r="Z172" s="208" t="str">
        <f>IF($A172="","",IF(posicao_contratual!$AA171="","",posicao_contratual!$AA171))</f>
        <v/>
      </c>
      <c r="AA172" t="str">
        <f>IF($A172="","",IF(posicao_contratual!$AL171="","","C"&amp;posicao_contratual!$AL171))</f>
        <v/>
      </c>
      <c r="AB172" t="str">
        <f>IF($A172="","",IF(OR(MEMORIA_RESULTADOS!$W$46="",posicao_contratual!$AL171=""),"",IF(posicao_contratual!$AL171&lt;=MEMORIA_RESULTADOS!$W$46,"SIM","NAO APLICAVEL")))</f>
        <v/>
      </c>
      <c r="AC172" t="str">
        <f>IF($A172="","",IF(MEMORIA_RESULTADOS!$W$46="","",CHOOSE(MEMORIA_RESULTADOS!$W$46+1,posicao_contratual!$AG171,posicao_contratual!$AH171,posicao_contratual!$AI171,posicao_contratual!$AJ171,posicao_contratual!$AK171)))</f>
        <v/>
      </c>
    </row>
    <row r="173" spans="1:29" x14ac:dyDescent="0.35">
      <c r="A173" s="106" t="str">
        <f>IF(AND(itens_Remanesc!A172="",itens_Remanesc!A171&lt;&gt;"",COUNTIF(itens_Remanesc!A173:$A$200,"&lt;&gt;")=0),"TOTAL",IF(itens_Remanesc!A172="","",itens_Remanesc!A172))</f>
        <v/>
      </c>
      <c r="B173" s="107" t="str">
        <f>IF(OR(historico_VU!A172="",historico_VU!C172=""),"",historico_VU!C172)</f>
        <v/>
      </c>
      <c r="C173" s="108" t="str">
        <f>IF(posicao_contratual!A172="","",posicao_contratual!G172)</f>
        <v/>
      </c>
      <c r="D173" s="107" t="str">
        <f>IF(A173="TOTAL",ROUND(SUM($D$3:D172),2),IF(OR(A173="",B173="",C173=""),"",ROUND(B173*C173,2)))</f>
        <v/>
      </c>
      <c r="E173" s="109" t="str">
        <f>IF(OR(historico_VU!A172="",historico_VU!D172=""),"",historico_VU!D172)</f>
        <v/>
      </c>
      <c r="F173" s="110" t="str">
        <f>IF(posicao_contratual!A172="","",posicao_contratual!K172)</f>
        <v/>
      </c>
      <c r="G173" s="109" t="str">
        <f>IF(A173="TOTAL",ROUND(SUM($G$3:G172),2),IF(OR(A173="",E173="",F173=""),"",ROUND(E173*F173,2)))</f>
        <v/>
      </c>
      <c r="H173" s="107" t="str">
        <f>IF(OR(historico_VU!A172="",historico_VU!E172=""),"",historico_VU!E172)</f>
        <v/>
      </c>
      <c r="I173" s="108" t="str">
        <f>IF(posicao_contratual!A172="","",posicao_contratual!O172)</f>
        <v/>
      </c>
      <c r="J173" s="107" t="str">
        <f>IF(A173="TOTAL",ROUND(SUM($J$3:J172),2),IF(OR(A173="",H173="",I173=""),"",ROUND(H173*I173,2)))</f>
        <v/>
      </c>
      <c r="K173" s="109" t="str">
        <f>IF(OR(historico_VU!A172="",historico_VU!F172=""),"",historico_VU!F172)</f>
        <v/>
      </c>
      <c r="L173" s="110" t="str">
        <f>IF(posicao_contratual!A172="","",posicao_contratual!S172)</f>
        <v/>
      </c>
      <c r="M173" s="109" t="str">
        <f>IF(A173="TOTAL",ROUND(SUM($M$3:M172),2),IF(OR(A173="",K173="",L173=""),"",ROUND(K173*L173,2)))</f>
        <v/>
      </c>
      <c r="N173" s="107" t="str">
        <f>IF(OR(historico_VU!A172="",historico_VU!G172=""),"",historico_VU!G172)</f>
        <v/>
      </c>
      <c r="O173" s="108" t="str">
        <f>IF(posicao_contratual!A172="","",posicao_contratual!W172)</f>
        <v/>
      </c>
      <c r="P173" s="107" t="str">
        <f>IF(A173="TOTAL",ROUND(SUM($P$3:P172),2),IF(OR(A173="",N173="",O173=""),"",ROUND(N173*O173,2)))</f>
        <v/>
      </c>
      <c r="Q173" s="181" t="str">
        <f t="shared" ca="1" si="40"/>
        <v/>
      </c>
      <c r="R173" t="str">
        <f>IF($A173="","",IF(MEMORIA_RESULTADOS!$W$46="","","C"&amp;MEMORIA_RESULTADOS!$W$46))</f>
        <v/>
      </c>
      <c r="S173" s="207" t="str">
        <f t="shared" ca="1" si="41"/>
        <v/>
      </c>
      <c r="T173" s="207" t="str">
        <f t="shared" ca="1" si="42"/>
        <v/>
      </c>
      <c r="U173" s="207" t="str">
        <f t="shared" ca="1" si="43"/>
        <v/>
      </c>
      <c r="V173" s="191" t="str">
        <f t="shared" ca="1" si="44"/>
        <v/>
      </c>
      <c r="W173" s="191" t="str">
        <f t="shared" ca="1" si="45"/>
        <v/>
      </c>
      <c r="X173" s="191" t="str">
        <f t="shared" ca="1" si="46"/>
        <v/>
      </c>
      <c r="Y173" t="str">
        <f t="shared" ca="1" si="47"/>
        <v/>
      </c>
      <c r="Z173" s="208" t="str">
        <f>IF($A173="","",IF(posicao_contratual!$AA172="","",posicao_contratual!$AA172))</f>
        <v/>
      </c>
      <c r="AA173" t="str">
        <f>IF($A173="","",IF(posicao_contratual!$AL172="","","C"&amp;posicao_contratual!$AL172))</f>
        <v/>
      </c>
      <c r="AB173" t="str">
        <f>IF($A173="","",IF(OR(MEMORIA_RESULTADOS!$W$46="",posicao_contratual!$AL172=""),"",IF(posicao_contratual!$AL172&lt;=MEMORIA_RESULTADOS!$W$46,"SIM","NAO APLICAVEL")))</f>
        <v/>
      </c>
      <c r="AC173" t="str">
        <f>IF($A173="","",IF(MEMORIA_RESULTADOS!$W$46="","",CHOOSE(MEMORIA_RESULTADOS!$W$46+1,posicao_contratual!$AG172,posicao_contratual!$AH172,posicao_contratual!$AI172,posicao_contratual!$AJ172,posicao_contratual!$AK172)))</f>
        <v/>
      </c>
    </row>
    <row r="174" spans="1:29" x14ac:dyDescent="0.35">
      <c r="A174" s="106" t="str">
        <f>IF(AND(itens_Remanesc!A173="",itens_Remanesc!A172&lt;&gt;"",COUNTIF(itens_Remanesc!A174:$A$200,"&lt;&gt;")=0),"TOTAL",IF(itens_Remanesc!A173="","",itens_Remanesc!A173))</f>
        <v/>
      </c>
      <c r="B174" s="107" t="str">
        <f>IF(OR(historico_VU!A173="",historico_VU!C173=""),"",historico_VU!C173)</f>
        <v/>
      </c>
      <c r="C174" s="108" t="str">
        <f>IF(posicao_contratual!A173="","",posicao_contratual!G173)</f>
        <v/>
      </c>
      <c r="D174" s="107" t="str">
        <f>IF(A174="TOTAL",ROUND(SUM($D$3:D173),2),IF(OR(A174="",B174="",C174=""),"",ROUND(B174*C174,2)))</f>
        <v/>
      </c>
      <c r="E174" s="109" t="str">
        <f>IF(OR(historico_VU!A173="",historico_VU!D173=""),"",historico_VU!D173)</f>
        <v/>
      </c>
      <c r="F174" s="110" t="str">
        <f>IF(posicao_contratual!A173="","",posicao_contratual!K173)</f>
        <v/>
      </c>
      <c r="G174" s="109" t="str">
        <f>IF(A174="TOTAL",ROUND(SUM($G$3:G173),2),IF(OR(A174="",E174="",F174=""),"",ROUND(E174*F174,2)))</f>
        <v/>
      </c>
      <c r="H174" s="107" t="str">
        <f>IF(OR(historico_VU!A173="",historico_VU!E173=""),"",historico_VU!E173)</f>
        <v/>
      </c>
      <c r="I174" s="108" t="str">
        <f>IF(posicao_contratual!A173="","",posicao_contratual!O173)</f>
        <v/>
      </c>
      <c r="J174" s="107" t="str">
        <f>IF(A174="TOTAL",ROUND(SUM($J$3:J173),2),IF(OR(A174="",H174="",I174=""),"",ROUND(H174*I174,2)))</f>
        <v/>
      </c>
      <c r="K174" s="109" t="str">
        <f>IF(OR(historico_VU!A173="",historico_VU!F173=""),"",historico_VU!F173)</f>
        <v/>
      </c>
      <c r="L174" s="110" t="str">
        <f>IF(posicao_contratual!A173="","",posicao_contratual!S173)</f>
        <v/>
      </c>
      <c r="M174" s="109" t="str">
        <f>IF(A174="TOTAL",ROUND(SUM($M$3:M173),2),IF(OR(A174="",K174="",L174=""),"",ROUND(K174*L174,2)))</f>
        <v/>
      </c>
      <c r="N174" s="107" t="str">
        <f>IF(OR(historico_VU!A173="",historico_VU!G173=""),"",historico_VU!G173)</f>
        <v/>
      </c>
      <c r="O174" s="108" t="str">
        <f>IF(posicao_contratual!A173="","",posicao_contratual!W173)</f>
        <v/>
      </c>
      <c r="P174" s="107" t="str">
        <f>IF(A174="TOTAL",ROUND(SUM($P$3:P173),2),IF(OR(A174="",N174="",O174=""),"",ROUND(N174*O174,2)))</f>
        <v/>
      </c>
      <c r="Q174" s="181" t="str">
        <f t="shared" ca="1" si="40"/>
        <v/>
      </c>
      <c r="R174" t="str">
        <f>IF($A174="","",IF(MEMORIA_RESULTADOS!$W$46="","","C"&amp;MEMORIA_RESULTADOS!$W$46))</f>
        <v/>
      </c>
      <c r="S174" s="207" t="str">
        <f t="shared" ca="1" si="41"/>
        <v/>
      </c>
      <c r="T174" s="207" t="str">
        <f t="shared" ca="1" si="42"/>
        <v/>
      </c>
      <c r="U174" s="207" t="str">
        <f t="shared" ca="1" si="43"/>
        <v/>
      </c>
      <c r="V174" s="191" t="str">
        <f t="shared" ca="1" si="44"/>
        <v/>
      </c>
      <c r="W174" s="191" t="str">
        <f t="shared" ca="1" si="45"/>
        <v/>
      </c>
      <c r="X174" s="191" t="str">
        <f t="shared" ca="1" si="46"/>
        <v/>
      </c>
      <c r="Y174" t="str">
        <f t="shared" ca="1" si="47"/>
        <v/>
      </c>
      <c r="Z174" s="208" t="str">
        <f>IF($A174="","",IF(posicao_contratual!$AA173="","",posicao_contratual!$AA173))</f>
        <v/>
      </c>
      <c r="AA174" t="str">
        <f>IF($A174="","",IF(posicao_contratual!$AL173="","","C"&amp;posicao_contratual!$AL173))</f>
        <v/>
      </c>
      <c r="AB174" t="str">
        <f>IF($A174="","",IF(OR(MEMORIA_RESULTADOS!$W$46="",posicao_contratual!$AL173=""),"",IF(posicao_contratual!$AL173&lt;=MEMORIA_RESULTADOS!$W$46,"SIM","NAO APLICAVEL")))</f>
        <v/>
      </c>
      <c r="AC174" t="str">
        <f>IF($A174="","",IF(MEMORIA_RESULTADOS!$W$46="","",CHOOSE(MEMORIA_RESULTADOS!$W$46+1,posicao_contratual!$AG173,posicao_contratual!$AH173,posicao_contratual!$AI173,posicao_contratual!$AJ173,posicao_contratual!$AK173)))</f>
        <v/>
      </c>
    </row>
    <row r="175" spans="1:29" x14ac:dyDescent="0.35">
      <c r="A175" s="106" t="str">
        <f>IF(AND(itens_Remanesc!A174="",itens_Remanesc!A173&lt;&gt;"",COUNTIF(itens_Remanesc!A175:$A$200,"&lt;&gt;")=0),"TOTAL",IF(itens_Remanesc!A174="","",itens_Remanesc!A174))</f>
        <v/>
      </c>
      <c r="B175" s="107" t="str">
        <f>IF(OR(historico_VU!A174="",historico_VU!C174=""),"",historico_VU!C174)</f>
        <v/>
      </c>
      <c r="C175" s="108" t="str">
        <f>IF(posicao_contratual!A174="","",posicao_contratual!G174)</f>
        <v/>
      </c>
      <c r="D175" s="107" t="str">
        <f>IF(A175="TOTAL",ROUND(SUM($D$3:D174),2),IF(OR(A175="",B175="",C175=""),"",ROUND(B175*C175,2)))</f>
        <v/>
      </c>
      <c r="E175" s="109" t="str">
        <f>IF(OR(historico_VU!A174="",historico_VU!D174=""),"",historico_VU!D174)</f>
        <v/>
      </c>
      <c r="F175" s="110" t="str">
        <f>IF(posicao_contratual!A174="","",posicao_contratual!K174)</f>
        <v/>
      </c>
      <c r="G175" s="109" t="str">
        <f>IF(A175="TOTAL",ROUND(SUM($G$3:G174),2),IF(OR(A175="",E175="",F175=""),"",ROUND(E175*F175,2)))</f>
        <v/>
      </c>
      <c r="H175" s="107" t="str">
        <f>IF(OR(historico_VU!A174="",historico_VU!E174=""),"",historico_VU!E174)</f>
        <v/>
      </c>
      <c r="I175" s="108" t="str">
        <f>IF(posicao_contratual!A174="","",posicao_contratual!O174)</f>
        <v/>
      </c>
      <c r="J175" s="107" t="str">
        <f>IF(A175="TOTAL",ROUND(SUM($J$3:J174),2),IF(OR(A175="",H175="",I175=""),"",ROUND(H175*I175,2)))</f>
        <v/>
      </c>
      <c r="K175" s="109" t="str">
        <f>IF(OR(historico_VU!A174="",historico_VU!F174=""),"",historico_VU!F174)</f>
        <v/>
      </c>
      <c r="L175" s="110" t="str">
        <f>IF(posicao_contratual!A174="","",posicao_contratual!S174)</f>
        <v/>
      </c>
      <c r="M175" s="109" t="str">
        <f>IF(A175="TOTAL",ROUND(SUM($M$3:M174),2),IF(OR(A175="",K175="",L175=""),"",ROUND(K175*L175,2)))</f>
        <v/>
      </c>
      <c r="N175" s="107" t="str">
        <f>IF(OR(historico_VU!A174="",historico_VU!G174=""),"",historico_VU!G174)</f>
        <v/>
      </c>
      <c r="O175" s="108" t="str">
        <f>IF(posicao_contratual!A174="","",posicao_contratual!W174)</f>
        <v/>
      </c>
      <c r="P175" s="107" t="str">
        <f>IF(A175="TOTAL",ROUND(SUM($P$3:P174),2),IF(OR(A175="",N175="",O175=""),"",ROUND(N175*O175,2)))</f>
        <v/>
      </c>
      <c r="Q175" s="181" t="str">
        <f t="shared" ca="1" si="40"/>
        <v/>
      </c>
      <c r="R175" t="str">
        <f>IF($A175="","",IF(MEMORIA_RESULTADOS!$W$46="","","C"&amp;MEMORIA_RESULTADOS!$W$46))</f>
        <v/>
      </c>
      <c r="S175" s="207" t="str">
        <f t="shared" ca="1" si="41"/>
        <v/>
      </c>
      <c r="T175" s="207" t="str">
        <f t="shared" ca="1" si="42"/>
        <v/>
      </c>
      <c r="U175" s="207" t="str">
        <f t="shared" ca="1" si="43"/>
        <v/>
      </c>
      <c r="V175" s="191" t="str">
        <f t="shared" ca="1" si="44"/>
        <v/>
      </c>
      <c r="W175" s="191" t="str">
        <f t="shared" ca="1" si="45"/>
        <v/>
      </c>
      <c r="X175" s="191" t="str">
        <f t="shared" ca="1" si="46"/>
        <v/>
      </c>
      <c r="Y175" t="str">
        <f t="shared" ca="1" si="47"/>
        <v/>
      </c>
      <c r="Z175" s="208" t="str">
        <f>IF($A175="","",IF(posicao_contratual!$AA174="","",posicao_contratual!$AA174))</f>
        <v/>
      </c>
      <c r="AA175" t="str">
        <f>IF($A175="","",IF(posicao_contratual!$AL174="","","C"&amp;posicao_contratual!$AL174))</f>
        <v/>
      </c>
      <c r="AB175" t="str">
        <f>IF($A175="","",IF(OR(MEMORIA_RESULTADOS!$W$46="",posicao_contratual!$AL174=""),"",IF(posicao_contratual!$AL174&lt;=MEMORIA_RESULTADOS!$W$46,"SIM","NAO APLICAVEL")))</f>
        <v/>
      </c>
      <c r="AC175" t="str">
        <f>IF($A175="","",IF(MEMORIA_RESULTADOS!$W$46="","",CHOOSE(MEMORIA_RESULTADOS!$W$46+1,posicao_contratual!$AG174,posicao_contratual!$AH174,posicao_contratual!$AI174,posicao_contratual!$AJ174,posicao_contratual!$AK174)))</f>
        <v/>
      </c>
    </row>
    <row r="176" spans="1:29" x14ac:dyDescent="0.35">
      <c r="A176" s="106" t="str">
        <f>IF(AND(itens_Remanesc!A175="",itens_Remanesc!A174&lt;&gt;"",COUNTIF(itens_Remanesc!A176:$A$200,"&lt;&gt;")=0),"TOTAL",IF(itens_Remanesc!A175="","",itens_Remanesc!A175))</f>
        <v/>
      </c>
      <c r="B176" s="107" t="str">
        <f>IF(OR(historico_VU!A175="",historico_VU!C175=""),"",historico_VU!C175)</f>
        <v/>
      </c>
      <c r="C176" s="108" t="str">
        <f>IF(posicao_contratual!A175="","",posicao_contratual!G175)</f>
        <v/>
      </c>
      <c r="D176" s="107" t="str">
        <f>IF(A176="TOTAL",ROUND(SUM($D$3:D175),2),IF(OR(A176="",B176="",C176=""),"",ROUND(B176*C176,2)))</f>
        <v/>
      </c>
      <c r="E176" s="109" t="str">
        <f>IF(OR(historico_VU!A175="",historico_VU!D175=""),"",historico_VU!D175)</f>
        <v/>
      </c>
      <c r="F176" s="110" t="str">
        <f>IF(posicao_contratual!A175="","",posicao_contratual!K175)</f>
        <v/>
      </c>
      <c r="G176" s="109" t="str">
        <f>IF(A176="TOTAL",ROUND(SUM($G$3:G175),2),IF(OR(A176="",E176="",F176=""),"",ROUND(E176*F176,2)))</f>
        <v/>
      </c>
      <c r="H176" s="107" t="str">
        <f>IF(OR(historico_VU!A175="",historico_VU!E175=""),"",historico_VU!E175)</f>
        <v/>
      </c>
      <c r="I176" s="108" t="str">
        <f>IF(posicao_contratual!A175="","",posicao_contratual!O175)</f>
        <v/>
      </c>
      <c r="J176" s="107" t="str">
        <f>IF(A176="TOTAL",ROUND(SUM($J$3:J175),2),IF(OR(A176="",H176="",I176=""),"",ROUND(H176*I176,2)))</f>
        <v/>
      </c>
      <c r="K176" s="109" t="str">
        <f>IF(OR(historico_VU!A175="",historico_VU!F175=""),"",historico_VU!F175)</f>
        <v/>
      </c>
      <c r="L176" s="110" t="str">
        <f>IF(posicao_contratual!A175="","",posicao_contratual!S175)</f>
        <v/>
      </c>
      <c r="M176" s="109" t="str">
        <f>IF(A176="TOTAL",ROUND(SUM($M$3:M175),2),IF(OR(A176="",K176="",L176=""),"",ROUND(K176*L176,2)))</f>
        <v/>
      </c>
      <c r="N176" s="107" t="str">
        <f>IF(OR(historico_VU!A175="",historico_VU!G175=""),"",historico_VU!G175)</f>
        <v/>
      </c>
      <c r="O176" s="108" t="str">
        <f>IF(posicao_contratual!A175="","",posicao_contratual!W175)</f>
        <v/>
      </c>
      <c r="P176" s="107" t="str">
        <f>IF(A176="TOTAL",ROUND(SUM($P$3:P175),2),IF(OR(A176="",N176="",O176=""),"",ROUND(N176*O176,2)))</f>
        <v/>
      </c>
      <c r="Q176" s="181" t="str">
        <f t="shared" ca="1" si="40"/>
        <v/>
      </c>
      <c r="R176" t="str">
        <f>IF($A176="","",IF(MEMORIA_RESULTADOS!$W$46="","","C"&amp;MEMORIA_RESULTADOS!$W$46))</f>
        <v/>
      </c>
      <c r="S176" s="207" t="str">
        <f t="shared" ca="1" si="41"/>
        <v/>
      </c>
      <c r="T176" s="207" t="str">
        <f t="shared" ca="1" si="42"/>
        <v/>
      </c>
      <c r="U176" s="207" t="str">
        <f t="shared" ca="1" si="43"/>
        <v/>
      </c>
      <c r="V176" s="191" t="str">
        <f t="shared" ca="1" si="44"/>
        <v/>
      </c>
      <c r="W176" s="191" t="str">
        <f t="shared" ca="1" si="45"/>
        <v/>
      </c>
      <c r="X176" s="191" t="str">
        <f t="shared" ca="1" si="46"/>
        <v/>
      </c>
      <c r="Y176" t="str">
        <f t="shared" ca="1" si="47"/>
        <v/>
      </c>
      <c r="Z176" s="208" t="str">
        <f>IF($A176="","",IF(posicao_contratual!$AA175="","",posicao_contratual!$AA175))</f>
        <v/>
      </c>
      <c r="AA176" t="str">
        <f>IF($A176="","",IF(posicao_contratual!$AL175="","","C"&amp;posicao_contratual!$AL175))</f>
        <v/>
      </c>
      <c r="AB176" t="str">
        <f>IF($A176="","",IF(OR(MEMORIA_RESULTADOS!$W$46="",posicao_contratual!$AL175=""),"",IF(posicao_contratual!$AL175&lt;=MEMORIA_RESULTADOS!$W$46,"SIM","NAO APLICAVEL")))</f>
        <v/>
      </c>
      <c r="AC176" t="str">
        <f>IF($A176="","",IF(MEMORIA_RESULTADOS!$W$46="","",CHOOSE(MEMORIA_RESULTADOS!$W$46+1,posicao_contratual!$AG175,posicao_contratual!$AH175,posicao_contratual!$AI175,posicao_contratual!$AJ175,posicao_contratual!$AK175)))</f>
        <v/>
      </c>
    </row>
    <row r="177" spans="1:29" x14ac:dyDescent="0.35">
      <c r="A177" s="106" t="str">
        <f>IF(AND(itens_Remanesc!A176="",itens_Remanesc!A175&lt;&gt;"",COUNTIF(itens_Remanesc!A177:$A$200,"&lt;&gt;")=0),"TOTAL",IF(itens_Remanesc!A176="","",itens_Remanesc!A176))</f>
        <v/>
      </c>
      <c r="B177" s="107" t="str">
        <f>IF(OR(historico_VU!A176="",historico_VU!C176=""),"",historico_VU!C176)</f>
        <v/>
      </c>
      <c r="C177" s="108" t="str">
        <f>IF(posicao_contratual!A176="","",posicao_contratual!G176)</f>
        <v/>
      </c>
      <c r="D177" s="107" t="str">
        <f>IF(A177="TOTAL",ROUND(SUM($D$3:D176),2),IF(OR(A177="",B177="",C177=""),"",ROUND(B177*C177,2)))</f>
        <v/>
      </c>
      <c r="E177" s="109" t="str">
        <f>IF(OR(historico_VU!A176="",historico_VU!D176=""),"",historico_VU!D176)</f>
        <v/>
      </c>
      <c r="F177" s="110" t="str">
        <f>IF(posicao_contratual!A176="","",posicao_contratual!K176)</f>
        <v/>
      </c>
      <c r="G177" s="109" t="str">
        <f>IF(A177="TOTAL",ROUND(SUM($G$3:G176),2),IF(OR(A177="",E177="",F177=""),"",ROUND(E177*F177,2)))</f>
        <v/>
      </c>
      <c r="H177" s="107" t="str">
        <f>IF(OR(historico_VU!A176="",historico_VU!E176=""),"",historico_VU!E176)</f>
        <v/>
      </c>
      <c r="I177" s="108" t="str">
        <f>IF(posicao_contratual!A176="","",posicao_contratual!O176)</f>
        <v/>
      </c>
      <c r="J177" s="107" t="str">
        <f>IF(A177="TOTAL",ROUND(SUM($J$3:J176),2),IF(OR(A177="",H177="",I177=""),"",ROUND(H177*I177,2)))</f>
        <v/>
      </c>
      <c r="K177" s="109" t="str">
        <f>IF(OR(historico_VU!A176="",historico_VU!F176=""),"",historico_VU!F176)</f>
        <v/>
      </c>
      <c r="L177" s="110" t="str">
        <f>IF(posicao_contratual!A176="","",posicao_contratual!S176)</f>
        <v/>
      </c>
      <c r="M177" s="109" t="str">
        <f>IF(A177="TOTAL",ROUND(SUM($M$3:M176),2),IF(OR(A177="",K177="",L177=""),"",ROUND(K177*L177,2)))</f>
        <v/>
      </c>
      <c r="N177" s="107" t="str">
        <f>IF(OR(historico_VU!A176="",historico_VU!G176=""),"",historico_VU!G176)</f>
        <v/>
      </c>
      <c r="O177" s="108" t="str">
        <f>IF(posicao_contratual!A176="","",posicao_contratual!W176)</f>
        <v/>
      </c>
      <c r="P177" s="107" t="str">
        <f>IF(A177="TOTAL",ROUND(SUM($P$3:P176),2),IF(OR(A177="",N177="",O177=""),"",ROUND(N177*O177,2)))</f>
        <v/>
      </c>
      <c r="Q177" s="181" t="str">
        <f t="shared" ca="1" si="40"/>
        <v/>
      </c>
      <c r="R177" t="str">
        <f>IF($A177="","",IF(MEMORIA_RESULTADOS!$W$46="","","C"&amp;MEMORIA_RESULTADOS!$W$46))</f>
        <v/>
      </c>
      <c r="S177" s="207" t="str">
        <f t="shared" ca="1" si="41"/>
        <v/>
      </c>
      <c r="T177" s="207" t="str">
        <f t="shared" ca="1" si="42"/>
        <v/>
      </c>
      <c r="U177" s="207" t="str">
        <f t="shared" ca="1" si="43"/>
        <v/>
      </c>
      <c r="V177" s="191" t="str">
        <f t="shared" ca="1" si="44"/>
        <v/>
      </c>
      <c r="W177" s="191" t="str">
        <f t="shared" ca="1" si="45"/>
        <v/>
      </c>
      <c r="X177" s="191" t="str">
        <f t="shared" ca="1" si="46"/>
        <v/>
      </c>
      <c r="Y177" t="str">
        <f t="shared" ca="1" si="47"/>
        <v/>
      </c>
      <c r="Z177" s="208" t="str">
        <f>IF($A177="","",IF(posicao_contratual!$AA176="","",posicao_contratual!$AA176))</f>
        <v/>
      </c>
      <c r="AA177" t="str">
        <f>IF($A177="","",IF(posicao_contratual!$AL176="","","C"&amp;posicao_contratual!$AL176))</f>
        <v/>
      </c>
      <c r="AB177" t="str">
        <f>IF($A177="","",IF(OR(MEMORIA_RESULTADOS!$W$46="",posicao_contratual!$AL176=""),"",IF(posicao_contratual!$AL176&lt;=MEMORIA_RESULTADOS!$W$46,"SIM","NAO APLICAVEL")))</f>
        <v/>
      </c>
      <c r="AC177" t="str">
        <f>IF($A177="","",IF(MEMORIA_RESULTADOS!$W$46="","",CHOOSE(MEMORIA_RESULTADOS!$W$46+1,posicao_contratual!$AG176,posicao_contratual!$AH176,posicao_contratual!$AI176,posicao_contratual!$AJ176,posicao_contratual!$AK176)))</f>
        <v/>
      </c>
    </row>
    <row r="178" spans="1:29" x14ac:dyDescent="0.35">
      <c r="A178" s="106" t="str">
        <f>IF(AND(itens_Remanesc!A177="",itens_Remanesc!A176&lt;&gt;"",COUNTIF(itens_Remanesc!A178:$A$200,"&lt;&gt;")=0),"TOTAL",IF(itens_Remanesc!A177="","",itens_Remanesc!A177))</f>
        <v/>
      </c>
      <c r="B178" s="107" t="str">
        <f>IF(OR(historico_VU!A177="",historico_VU!C177=""),"",historico_VU!C177)</f>
        <v/>
      </c>
      <c r="C178" s="108" t="str">
        <f>IF(posicao_contratual!A177="","",posicao_contratual!G177)</f>
        <v/>
      </c>
      <c r="D178" s="107" t="str">
        <f>IF(A178="TOTAL",ROUND(SUM($D$3:D177),2),IF(OR(A178="",B178="",C178=""),"",ROUND(B178*C178,2)))</f>
        <v/>
      </c>
      <c r="E178" s="109" t="str">
        <f>IF(OR(historico_VU!A177="",historico_VU!D177=""),"",historico_VU!D177)</f>
        <v/>
      </c>
      <c r="F178" s="110" t="str">
        <f>IF(posicao_contratual!A177="","",posicao_contratual!K177)</f>
        <v/>
      </c>
      <c r="G178" s="109" t="str">
        <f>IF(A178="TOTAL",ROUND(SUM($G$3:G177),2),IF(OR(A178="",E178="",F178=""),"",ROUND(E178*F178,2)))</f>
        <v/>
      </c>
      <c r="H178" s="107" t="str">
        <f>IF(OR(historico_VU!A177="",historico_VU!E177=""),"",historico_VU!E177)</f>
        <v/>
      </c>
      <c r="I178" s="108" t="str">
        <f>IF(posicao_contratual!A177="","",posicao_contratual!O177)</f>
        <v/>
      </c>
      <c r="J178" s="107" t="str">
        <f>IF(A178="TOTAL",ROUND(SUM($J$3:J177),2),IF(OR(A178="",H178="",I178=""),"",ROUND(H178*I178,2)))</f>
        <v/>
      </c>
      <c r="K178" s="109" t="str">
        <f>IF(OR(historico_VU!A177="",historico_VU!F177=""),"",historico_VU!F177)</f>
        <v/>
      </c>
      <c r="L178" s="110" t="str">
        <f>IF(posicao_contratual!A177="","",posicao_contratual!S177)</f>
        <v/>
      </c>
      <c r="M178" s="109" t="str">
        <f>IF(A178="TOTAL",ROUND(SUM($M$3:M177),2),IF(OR(A178="",K178="",L178=""),"",ROUND(K178*L178,2)))</f>
        <v/>
      </c>
      <c r="N178" s="107" t="str">
        <f>IF(OR(historico_VU!A177="",historico_VU!G177=""),"",historico_VU!G177)</f>
        <v/>
      </c>
      <c r="O178" s="108" t="str">
        <f>IF(posicao_contratual!A177="","",posicao_contratual!W177)</f>
        <v/>
      </c>
      <c r="P178" s="107" t="str">
        <f>IF(A178="TOTAL",ROUND(SUM($P$3:P177),2),IF(OR(A178="",N178="",O178=""),"",ROUND(N178*O178,2)))</f>
        <v/>
      </c>
      <c r="Q178" s="181" t="str">
        <f t="shared" ca="1" si="40"/>
        <v/>
      </c>
      <c r="R178" t="str">
        <f>IF($A178="","",IF(MEMORIA_RESULTADOS!$W$46="","","C"&amp;MEMORIA_RESULTADOS!$W$46))</f>
        <v/>
      </c>
      <c r="S178" s="207" t="str">
        <f t="shared" ca="1" si="41"/>
        <v/>
      </c>
      <c r="T178" s="207" t="str">
        <f t="shared" ca="1" si="42"/>
        <v/>
      </c>
      <c r="U178" s="207" t="str">
        <f t="shared" ca="1" si="43"/>
        <v/>
      </c>
      <c r="V178" s="191" t="str">
        <f t="shared" ca="1" si="44"/>
        <v/>
      </c>
      <c r="W178" s="191" t="str">
        <f t="shared" ca="1" si="45"/>
        <v/>
      </c>
      <c r="X178" s="191" t="str">
        <f t="shared" ca="1" si="46"/>
        <v/>
      </c>
      <c r="Y178" t="str">
        <f t="shared" ca="1" si="47"/>
        <v/>
      </c>
      <c r="Z178" s="208" t="str">
        <f>IF($A178="","",IF(posicao_contratual!$AA177="","",posicao_contratual!$AA177))</f>
        <v/>
      </c>
      <c r="AA178" t="str">
        <f>IF($A178="","",IF(posicao_contratual!$AL177="","","C"&amp;posicao_contratual!$AL177))</f>
        <v/>
      </c>
      <c r="AB178" t="str">
        <f>IF($A178="","",IF(OR(MEMORIA_RESULTADOS!$W$46="",posicao_contratual!$AL177=""),"",IF(posicao_contratual!$AL177&lt;=MEMORIA_RESULTADOS!$W$46,"SIM","NAO APLICAVEL")))</f>
        <v/>
      </c>
      <c r="AC178" t="str">
        <f>IF($A178="","",IF(MEMORIA_RESULTADOS!$W$46="","",CHOOSE(MEMORIA_RESULTADOS!$W$46+1,posicao_contratual!$AG177,posicao_contratual!$AH177,posicao_contratual!$AI177,posicao_contratual!$AJ177,posicao_contratual!$AK177)))</f>
        <v/>
      </c>
    </row>
    <row r="179" spans="1:29" x14ac:dyDescent="0.35">
      <c r="A179" s="106" t="str">
        <f>IF(AND(itens_Remanesc!A178="",itens_Remanesc!A177&lt;&gt;"",COUNTIF(itens_Remanesc!A179:$A$200,"&lt;&gt;")=0),"TOTAL",IF(itens_Remanesc!A178="","",itens_Remanesc!A178))</f>
        <v/>
      </c>
      <c r="B179" s="107" t="str">
        <f>IF(OR(historico_VU!A178="",historico_VU!C178=""),"",historico_VU!C178)</f>
        <v/>
      </c>
      <c r="C179" s="108" t="str">
        <f>IF(posicao_contratual!A178="","",posicao_contratual!G178)</f>
        <v/>
      </c>
      <c r="D179" s="107" t="str">
        <f>IF(A179="TOTAL",ROUND(SUM($D$3:D178),2),IF(OR(A179="",B179="",C179=""),"",ROUND(B179*C179,2)))</f>
        <v/>
      </c>
      <c r="E179" s="109" t="str">
        <f>IF(OR(historico_VU!A178="",historico_VU!D178=""),"",historico_VU!D178)</f>
        <v/>
      </c>
      <c r="F179" s="110" t="str">
        <f>IF(posicao_contratual!A178="","",posicao_contratual!K178)</f>
        <v/>
      </c>
      <c r="G179" s="109" t="str">
        <f>IF(A179="TOTAL",ROUND(SUM($G$3:G178),2),IF(OR(A179="",E179="",F179=""),"",ROUND(E179*F179,2)))</f>
        <v/>
      </c>
      <c r="H179" s="107" t="str">
        <f>IF(OR(historico_VU!A178="",historico_VU!E178=""),"",historico_VU!E178)</f>
        <v/>
      </c>
      <c r="I179" s="108" t="str">
        <f>IF(posicao_contratual!A178="","",posicao_contratual!O178)</f>
        <v/>
      </c>
      <c r="J179" s="107" t="str">
        <f>IF(A179="TOTAL",ROUND(SUM($J$3:J178),2),IF(OR(A179="",H179="",I179=""),"",ROUND(H179*I179,2)))</f>
        <v/>
      </c>
      <c r="K179" s="109" t="str">
        <f>IF(OR(historico_VU!A178="",historico_VU!F178=""),"",historico_VU!F178)</f>
        <v/>
      </c>
      <c r="L179" s="110" t="str">
        <f>IF(posicao_contratual!A178="","",posicao_contratual!S178)</f>
        <v/>
      </c>
      <c r="M179" s="109" t="str">
        <f>IF(A179="TOTAL",ROUND(SUM($M$3:M178),2),IF(OR(A179="",K179="",L179=""),"",ROUND(K179*L179,2)))</f>
        <v/>
      </c>
      <c r="N179" s="107" t="str">
        <f>IF(OR(historico_VU!A178="",historico_VU!G178=""),"",historico_VU!G178)</f>
        <v/>
      </c>
      <c r="O179" s="108" t="str">
        <f>IF(posicao_contratual!A178="","",posicao_contratual!W178)</f>
        <v/>
      </c>
      <c r="P179" s="107" t="str">
        <f>IF(A179="TOTAL",ROUND(SUM($P$3:P178),2),IF(OR(A179="",N179="",O179=""),"",ROUND(N179*O179,2)))</f>
        <v/>
      </c>
      <c r="Q179" s="181" t="str">
        <f t="shared" ca="1" si="40"/>
        <v/>
      </c>
      <c r="R179" t="str">
        <f>IF($A179="","",IF(MEMORIA_RESULTADOS!$W$46="","","C"&amp;MEMORIA_RESULTADOS!$W$46))</f>
        <v/>
      </c>
      <c r="S179" s="207" t="str">
        <f t="shared" ca="1" si="41"/>
        <v/>
      </c>
      <c r="T179" s="207" t="str">
        <f t="shared" ca="1" si="42"/>
        <v/>
      </c>
      <c r="U179" s="207" t="str">
        <f t="shared" ca="1" si="43"/>
        <v/>
      </c>
      <c r="V179" s="191" t="str">
        <f t="shared" ca="1" si="44"/>
        <v/>
      </c>
      <c r="W179" s="191" t="str">
        <f t="shared" ca="1" si="45"/>
        <v/>
      </c>
      <c r="X179" s="191" t="str">
        <f t="shared" ca="1" si="46"/>
        <v/>
      </c>
      <c r="Y179" t="str">
        <f t="shared" ca="1" si="47"/>
        <v/>
      </c>
      <c r="Z179" s="208" t="str">
        <f>IF($A179="","",IF(posicao_contratual!$AA178="","",posicao_contratual!$AA178))</f>
        <v/>
      </c>
      <c r="AA179" t="str">
        <f>IF($A179="","",IF(posicao_contratual!$AL178="","","C"&amp;posicao_contratual!$AL178))</f>
        <v/>
      </c>
      <c r="AB179" t="str">
        <f>IF($A179="","",IF(OR(MEMORIA_RESULTADOS!$W$46="",posicao_contratual!$AL178=""),"",IF(posicao_contratual!$AL178&lt;=MEMORIA_RESULTADOS!$W$46,"SIM","NAO APLICAVEL")))</f>
        <v/>
      </c>
      <c r="AC179" t="str">
        <f>IF($A179="","",IF(MEMORIA_RESULTADOS!$W$46="","",CHOOSE(MEMORIA_RESULTADOS!$W$46+1,posicao_contratual!$AG178,posicao_contratual!$AH178,posicao_contratual!$AI178,posicao_contratual!$AJ178,posicao_contratual!$AK178)))</f>
        <v/>
      </c>
    </row>
    <row r="180" spans="1:29" x14ac:dyDescent="0.35">
      <c r="A180" s="106" t="str">
        <f>IF(AND(itens_Remanesc!A179="",itens_Remanesc!A178&lt;&gt;"",COUNTIF(itens_Remanesc!A180:$A$200,"&lt;&gt;")=0),"TOTAL",IF(itens_Remanesc!A179="","",itens_Remanesc!A179))</f>
        <v/>
      </c>
      <c r="B180" s="107" t="str">
        <f>IF(OR(historico_VU!A179="",historico_VU!C179=""),"",historico_VU!C179)</f>
        <v/>
      </c>
      <c r="C180" s="108" t="str">
        <f>IF(posicao_contratual!A179="","",posicao_contratual!G179)</f>
        <v/>
      </c>
      <c r="D180" s="107" t="str">
        <f>IF(A180="TOTAL",ROUND(SUM($D$3:D179),2),IF(OR(A180="",B180="",C180=""),"",ROUND(B180*C180,2)))</f>
        <v/>
      </c>
      <c r="E180" s="109" t="str">
        <f>IF(OR(historico_VU!A179="",historico_VU!D179=""),"",historico_VU!D179)</f>
        <v/>
      </c>
      <c r="F180" s="110" t="str">
        <f>IF(posicao_contratual!A179="","",posicao_contratual!K179)</f>
        <v/>
      </c>
      <c r="G180" s="109" t="str">
        <f>IF(A180="TOTAL",ROUND(SUM($G$3:G179),2),IF(OR(A180="",E180="",F180=""),"",ROUND(E180*F180,2)))</f>
        <v/>
      </c>
      <c r="H180" s="107" t="str">
        <f>IF(OR(historico_VU!A179="",historico_VU!E179=""),"",historico_VU!E179)</f>
        <v/>
      </c>
      <c r="I180" s="108" t="str">
        <f>IF(posicao_contratual!A179="","",posicao_contratual!O179)</f>
        <v/>
      </c>
      <c r="J180" s="107" t="str">
        <f>IF(A180="TOTAL",ROUND(SUM($J$3:J179),2),IF(OR(A180="",H180="",I180=""),"",ROUND(H180*I180,2)))</f>
        <v/>
      </c>
      <c r="K180" s="109" t="str">
        <f>IF(OR(historico_VU!A179="",historico_VU!F179=""),"",historico_VU!F179)</f>
        <v/>
      </c>
      <c r="L180" s="110" t="str">
        <f>IF(posicao_contratual!A179="","",posicao_contratual!S179)</f>
        <v/>
      </c>
      <c r="M180" s="109" t="str">
        <f>IF(A180="TOTAL",ROUND(SUM($M$3:M179),2),IF(OR(A180="",K180="",L180=""),"",ROUND(K180*L180,2)))</f>
        <v/>
      </c>
      <c r="N180" s="107" t="str">
        <f>IF(OR(historico_VU!A179="",historico_VU!G179=""),"",historico_VU!G179)</f>
        <v/>
      </c>
      <c r="O180" s="108" t="str">
        <f>IF(posicao_contratual!A179="","",posicao_contratual!W179)</f>
        <v/>
      </c>
      <c r="P180" s="107" t="str">
        <f>IF(A180="TOTAL",ROUND(SUM($P$3:P179),2),IF(OR(A180="",N180="",O180=""),"",ROUND(N180*O180,2)))</f>
        <v/>
      </c>
      <c r="Q180" s="181" t="str">
        <f t="shared" ca="1" si="40"/>
        <v/>
      </c>
      <c r="R180" t="str">
        <f>IF($A180="","",IF(MEMORIA_RESULTADOS!$W$46="","","C"&amp;MEMORIA_RESULTADOS!$W$46))</f>
        <v/>
      </c>
      <c r="S180" s="207" t="str">
        <f t="shared" ca="1" si="41"/>
        <v/>
      </c>
      <c r="T180" s="207" t="str">
        <f t="shared" ca="1" si="42"/>
        <v/>
      </c>
      <c r="U180" s="207" t="str">
        <f t="shared" ca="1" si="43"/>
        <v/>
      </c>
      <c r="V180" s="191" t="str">
        <f t="shared" ca="1" si="44"/>
        <v/>
      </c>
      <c r="W180" s="191" t="str">
        <f t="shared" ca="1" si="45"/>
        <v/>
      </c>
      <c r="X180" s="191" t="str">
        <f t="shared" ca="1" si="46"/>
        <v/>
      </c>
      <c r="Y180" t="str">
        <f t="shared" ca="1" si="47"/>
        <v/>
      </c>
      <c r="Z180" s="208" t="str">
        <f>IF($A180="","",IF(posicao_contratual!$AA179="","",posicao_contratual!$AA179))</f>
        <v/>
      </c>
      <c r="AA180" t="str">
        <f>IF($A180="","",IF(posicao_contratual!$AL179="","","C"&amp;posicao_contratual!$AL179))</f>
        <v/>
      </c>
      <c r="AB180" t="str">
        <f>IF($A180="","",IF(OR(MEMORIA_RESULTADOS!$W$46="",posicao_contratual!$AL179=""),"",IF(posicao_contratual!$AL179&lt;=MEMORIA_RESULTADOS!$W$46,"SIM","NAO APLICAVEL")))</f>
        <v/>
      </c>
      <c r="AC180" t="str">
        <f>IF($A180="","",IF(MEMORIA_RESULTADOS!$W$46="","",CHOOSE(MEMORIA_RESULTADOS!$W$46+1,posicao_contratual!$AG179,posicao_contratual!$AH179,posicao_contratual!$AI179,posicao_contratual!$AJ179,posicao_contratual!$AK179)))</f>
        <v/>
      </c>
    </row>
    <row r="181" spans="1:29" x14ac:dyDescent="0.35">
      <c r="A181" s="106" t="str">
        <f>IF(AND(itens_Remanesc!A180="",itens_Remanesc!A179&lt;&gt;"",COUNTIF(itens_Remanesc!A181:$A$200,"&lt;&gt;")=0),"TOTAL",IF(itens_Remanesc!A180="","",itens_Remanesc!A180))</f>
        <v/>
      </c>
      <c r="B181" s="107" t="str">
        <f>IF(OR(historico_VU!A180="",historico_VU!C180=""),"",historico_VU!C180)</f>
        <v/>
      </c>
      <c r="C181" s="108" t="str">
        <f>IF(posicao_contratual!A180="","",posicao_contratual!G180)</f>
        <v/>
      </c>
      <c r="D181" s="107" t="str">
        <f>IF(A181="TOTAL",ROUND(SUM($D$3:D180),2),IF(OR(A181="",B181="",C181=""),"",ROUND(B181*C181,2)))</f>
        <v/>
      </c>
      <c r="E181" s="109" t="str">
        <f>IF(OR(historico_VU!A180="",historico_VU!D180=""),"",historico_VU!D180)</f>
        <v/>
      </c>
      <c r="F181" s="110" t="str">
        <f>IF(posicao_contratual!A180="","",posicao_contratual!K180)</f>
        <v/>
      </c>
      <c r="G181" s="109" t="str">
        <f>IF(A181="TOTAL",ROUND(SUM($G$3:G180),2),IF(OR(A181="",E181="",F181=""),"",ROUND(E181*F181,2)))</f>
        <v/>
      </c>
      <c r="H181" s="107" t="str">
        <f>IF(OR(historico_VU!A180="",historico_VU!E180=""),"",historico_VU!E180)</f>
        <v/>
      </c>
      <c r="I181" s="108" t="str">
        <f>IF(posicao_contratual!A180="","",posicao_contratual!O180)</f>
        <v/>
      </c>
      <c r="J181" s="107" t="str">
        <f>IF(A181="TOTAL",ROUND(SUM($J$3:J180),2),IF(OR(A181="",H181="",I181=""),"",ROUND(H181*I181,2)))</f>
        <v/>
      </c>
      <c r="K181" s="109" t="str">
        <f>IF(OR(historico_VU!A180="",historico_VU!F180=""),"",historico_VU!F180)</f>
        <v/>
      </c>
      <c r="L181" s="110" t="str">
        <f>IF(posicao_contratual!A180="","",posicao_contratual!S180)</f>
        <v/>
      </c>
      <c r="M181" s="109" t="str">
        <f>IF(A181="TOTAL",ROUND(SUM($M$3:M180),2),IF(OR(A181="",K181="",L181=""),"",ROUND(K181*L181,2)))</f>
        <v/>
      </c>
      <c r="N181" s="107" t="str">
        <f>IF(OR(historico_VU!A180="",historico_VU!G180=""),"",historico_VU!G180)</f>
        <v/>
      </c>
      <c r="O181" s="108" t="str">
        <f>IF(posicao_contratual!A180="","",posicao_contratual!W180)</f>
        <v/>
      </c>
      <c r="P181" s="107" t="str">
        <f>IF(A181="TOTAL",ROUND(SUM($P$3:P180),2),IF(OR(A181="",N181="",O181=""),"",ROUND(N181*O181,2)))</f>
        <v/>
      </c>
      <c r="Q181" s="181" t="str">
        <f t="shared" ca="1" si="40"/>
        <v/>
      </c>
      <c r="R181" t="str">
        <f>IF($A181="","",IF(MEMORIA_RESULTADOS!$W$46="","","C"&amp;MEMORIA_RESULTADOS!$W$46))</f>
        <v/>
      </c>
      <c r="S181" s="207" t="str">
        <f t="shared" ca="1" si="41"/>
        <v/>
      </c>
      <c r="T181" s="207" t="str">
        <f t="shared" ca="1" si="42"/>
        <v/>
      </c>
      <c r="U181" s="207" t="str">
        <f t="shared" ca="1" si="43"/>
        <v/>
      </c>
      <c r="V181" s="191" t="str">
        <f t="shared" ca="1" si="44"/>
        <v/>
      </c>
      <c r="W181" s="191" t="str">
        <f t="shared" ca="1" si="45"/>
        <v/>
      </c>
      <c r="X181" s="191" t="str">
        <f t="shared" ca="1" si="46"/>
        <v/>
      </c>
      <c r="Y181" t="str">
        <f t="shared" ca="1" si="47"/>
        <v/>
      </c>
      <c r="Z181" s="208" t="str">
        <f>IF($A181="","",IF(posicao_contratual!$AA180="","",posicao_contratual!$AA180))</f>
        <v/>
      </c>
      <c r="AA181" t="str">
        <f>IF($A181="","",IF(posicao_contratual!$AL180="","","C"&amp;posicao_contratual!$AL180))</f>
        <v/>
      </c>
      <c r="AB181" t="str">
        <f>IF($A181="","",IF(OR(MEMORIA_RESULTADOS!$W$46="",posicao_contratual!$AL180=""),"",IF(posicao_contratual!$AL180&lt;=MEMORIA_RESULTADOS!$W$46,"SIM","NAO APLICAVEL")))</f>
        <v/>
      </c>
      <c r="AC181" t="str">
        <f>IF($A181="","",IF(MEMORIA_RESULTADOS!$W$46="","",CHOOSE(MEMORIA_RESULTADOS!$W$46+1,posicao_contratual!$AG180,posicao_contratual!$AH180,posicao_contratual!$AI180,posicao_contratual!$AJ180,posicao_contratual!$AK180)))</f>
        <v/>
      </c>
    </row>
    <row r="182" spans="1:29" x14ac:dyDescent="0.35">
      <c r="A182" s="106" t="str">
        <f>IF(AND(itens_Remanesc!A181="",itens_Remanesc!A180&lt;&gt;"",COUNTIF(itens_Remanesc!A182:$A$200,"&lt;&gt;")=0),"TOTAL",IF(itens_Remanesc!A181="","",itens_Remanesc!A181))</f>
        <v/>
      </c>
      <c r="B182" s="107" t="str">
        <f>IF(OR(historico_VU!A181="",historico_VU!C181=""),"",historico_VU!C181)</f>
        <v/>
      </c>
      <c r="C182" s="108" t="str">
        <f>IF(posicao_contratual!A181="","",posicao_contratual!G181)</f>
        <v/>
      </c>
      <c r="D182" s="107" t="str">
        <f>IF(A182="TOTAL",ROUND(SUM($D$3:D181),2),IF(OR(A182="",B182="",C182=""),"",ROUND(B182*C182,2)))</f>
        <v/>
      </c>
      <c r="E182" s="109" t="str">
        <f>IF(OR(historico_VU!A181="",historico_VU!D181=""),"",historico_VU!D181)</f>
        <v/>
      </c>
      <c r="F182" s="110" t="str">
        <f>IF(posicao_contratual!A181="","",posicao_contratual!K181)</f>
        <v/>
      </c>
      <c r="G182" s="109" t="str">
        <f>IF(A182="TOTAL",ROUND(SUM($G$3:G181),2),IF(OR(A182="",E182="",F182=""),"",ROUND(E182*F182,2)))</f>
        <v/>
      </c>
      <c r="H182" s="107" t="str">
        <f>IF(OR(historico_VU!A181="",historico_VU!E181=""),"",historico_VU!E181)</f>
        <v/>
      </c>
      <c r="I182" s="108" t="str">
        <f>IF(posicao_contratual!A181="","",posicao_contratual!O181)</f>
        <v/>
      </c>
      <c r="J182" s="107" t="str">
        <f>IF(A182="TOTAL",ROUND(SUM($J$3:J181),2),IF(OR(A182="",H182="",I182=""),"",ROUND(H182*I182,2)))</f>
        <v/>
      </c>
      <c r="K182" s="109" t="str">
        <f>IF(OR(historico_VU!A181="",historico_VU!F181=""),"",historico_VU!F181)</f>
        <v/>
      </c>
      <c r="L182" s="110" t="str">
        <f>IF(posicao_contratual!A181="","",posicao_contratual!S181)</f>
        <v/>
      </c>
      <c r="M182" s="109" t="str">
        <f>IF(A182="TOTAL",ROUND(SUM($M$3:M181),2),IF(OR(A182="",K182="",L182=""),"",ROUND(K182*L182,2)))</f>
        <v/>
      </c>
      <c r="N182" s="107" t="str">
        <f>IF(OR(historico_VU!A181="",historico_VU!G181=""),"",historico_VU!G181)</f>
        <v/>
      </c>
      <c r="O182" s="108" t="str">
        <f>IF(posicao_contratual!A181="","",posicao_contratual!W181)</f>
        <v/>
      </c>
      <c r="P182" s="107" t="str">
        <f>IF(A182="TOTAL",ROUND(SUM($P$3:P181),2),IF(OR(A182="",N182="",O182=""),"",ROUND(N182*O182,2)))</f>
        <v/>
      </c>
      <c r="Q182" s="181" t="str">
        <f t="shared" ca="1" si="40"/>
        <v/>
      </c>
      <c r="R182" t="str">
        <f>IF($A182="","",IF(MEMORIA_RESULTADOS!$W$46="","","C"&amp;MEMORIA_RESULTADOS!$W$46))</f>
        <v/>
      </c>
      <c r="S182" s="207" t="str">
        <f t="shared" ca="1" si="41"/>
        <v/>
      </c>
      <c r="T182" s="207" t="str">
        <f t="shared" ca="1" si="42"/>
        <v/>
      </c>
      <c r="U182" s="207" t="str">
        <f t="shared" ca="1" si="43"/>
        <v/>
      </c>
      <c r="V182" s="191" t="str">
        <f t="shared" ca="1" si="44"/>
        <v/>
      </c>
      <c r="W182" s="191" t="str">
        <f t="shared" ca="1" si="45"/>
        <v/>
      </c>
      <c r="X182" s="191" t="str">
        <f t="shared" ca="1" si="46"/>
        <v/>
      </c>
      <c r="Y182" t="str">
        <f t="shared" ca="1" si="47"/>
        <v/>
      </c>
      <c r="Z182" s="208" t="str">
        <f>IF($A182="","",IF(posicao_contratual!$AA181="","",posicao_contratual!$AA181))</f>
        <v/>
      </c>
      <c r="AA182" t="str">
        <f>IF($A182="","",IF(posicao_contratual!$AL181="","","C"&amp;posicao_contratual!$AL181))</f>
        <v/>
      </c>
      <c r="AB182" t="str">
        <f>IF($A182="","",IF(OR(MEMORIA_RESULTADOS!$W$46="",posicao_contratual!$AL181=""),"",IF(posicao_contratual!$AL181&lt;=MEMORIA_RESULTADOS!$W$46,"SIM","NAO APLICAVEL")))</f>
        <v/>
      </c>
      <c r="AC182" t="str">
        <f>IF($A182="","",IF(MEMORIA_RESULTADOS!$W$46="","",CHOOSE(MEMORIA_RESULTADOS!$W$46+1,posicao_contratual!$AG181,posicao_contratual!$AH181,posicao_contratual!$AI181,posicao_contratual!$AJ181,posicao_contratual!$AK181)))</f>
        <v/>
      </c>
    </row>
    <row r="183" spans="1:29" x14ac:dyDescent="0.35">
      <c r="A183" s="106" t="str">
        <f>IF(AND(itens_Remanesc!A182="",itens_Remanesc!A181&lt;&gt;"",COUNTIF(itens_Remanesc!A183:$A$200,"&lt;&gt;")=0),"TOTAL",IF(itens_Remanesc!A182="","",itens_Remanesc!A182))</f>
        <v/>
      </c>
      <c r="B183" s="107" t="str">
        <f>IF(OR(historico_VU!A182="",historico_VU!C182=""),"",historico_VU!C182)</f>
        <v/>
      </c>
      <c r="C183" s="108" t="str">
        <f>IF(posicao_contratual!A182="","",posicao_contratual!G182)</f>
        <v/>
      </c>
      <c r="D183" s="107" t="str">
        <f>IF(A183="TOTAL",ROUND(SUM($D$3:D182),2),IF(OR(A183="",B183="",C183=""),"",ROUND(B183*C183,2)))</f>
        <v/>
      </c>
      <c r="E183" s="109" t="str">
        <f>IF(OR(historico_VU!A182="",historico_VU!D182=""),"",historico_VU!D182)</f>
        <v/>
      </c>
      <c r="F183" s="110" t="str">
        <f>IF(posicao_contratual!A182="","",posicao_contratual!K182)</f>
        <v/>
      </c>
      <c r="G183" s="109" t="str">
        <f>IF(A183="TOTAL",ROUND(SUM($G$3:G182),2),IF(OR(A183="",E183="",F183=""),"",ROUND(E183*F183,2)))</f>
        <v/>
      </c>
      <c r="H183" s="107" t="str">
        <f>IF(OR(historico_VU!A182="",historico_VU!E182=""),"",historico_VU!E182)</f>
        <v/>
      </c>
      <c r="I183" s="108" t="str">
        <f>IF(posicao_contratual!A182="","",posicao_contratual!O182)</f>
        <v/>
      </c>
      <c r="J183" s="107" t="str">
        <f>IF(A183="TOTAL",ROUND(SUM($J$3:J182),2),IF(OR(A183="",H183="",I183=""),"",ROUND(H183*I183,2)))</f>
        <v/>
      </c>
      <c r="K183" s="109" t="str">
        <f>IF(OR(historico_VU!A182="",historico_VU!F182=""),"",historico_VU!F182)</f>
        <v/>
      </c>
      <c r="L183" s="110" t="str">
        <f>IF(posicao_contratual!A182="","",posicao_contratual!S182)</f>
        <v/>
      </c>
      <c r="M183" s="109" t="str">
        <f>IF(A183="TOTAL",ROUND(SUM($M$3:M182),2),IF(OR(A183="",K183="",L183=""),"",ROUND(K183*L183,2)))</f>
        <v/>
      </c>
      <c r="N183" s="107" t="str">
        <f>IF(OR(historico_VU!A182="",historico_VU!G182=""),"",historico_VU!G182)</f>
        <v/>
      </c>
      <c r="O183" s="108" t="str">
        <f>IF(posicao_contratual!A182="","",posicao_contratual!W182)</f>
        <v/>
      </c>
      <c r="P183" s="107" t="str">
        <f>IF(A183="TOTAL",ROUND(SUM($P$3:P182),2),IF(OR(A183="",N183="",O183=""),"",ROUND(N183*O183,2)))</f>
        <v/>
      </c>
      <c r="Q183" s="181" t="str">
        <f t="shared" ca="1" si="40"/>
        <v/>
      </c>
      <c r="R183" t="str">
        <f>IF($A183="","",IF(MEMORIA_RESULTADOS!$W$46="","","C"&amp;MEMORIA_RESULTADOS!$W$46))</f>
        <v/>
      </c>
      <c r="S183" s="207" t="str">
        <f t="shared" ca="1" si="41"/>
        <v/>
      </c>
      <c r="T183" s="207" t="str">
        <f t="shared" ca="1" si="42"/>
        <v/>
      </c>
      <c r="U183" s="207" t="str">
        <f t="shared" ca="1" si="43"/>
        <v/>
      </c>
      <c r="V183" s="191" t="str">
        <f t="shared" ca="1" si="44"/>
        <v/>
      </c>
      <c r="W183" s="191" t="str">
        <f t="shared" ca="1" si="45"/>
        <v/>
      </c>
      <c r="X183" s="191" t="str">
        <f t="shared" ca="1" si="46"/>
        <v/>
      </c>
      <c r="Y183" t="str">
        <f t="shared" ca="1" si="47"/>
        <v/>
      </c>
      <c r="Z183" s="208" t="str">
        <f>IF($A183="","",IF(posicao_contratual!$AA182="","",posicao_contratual!$AA182))</f>
        <v/>
      </c>
      <c r="AA183" t="str">
        <f>IF($A183="","",IF(posicao_contratual!$AL182="","","C"&amp;posicao_contratual!$AL182))</f>
        <v/>
      </c>
      <c r="AB183" t="str">
        <f>IF($A183="","",IF(OR(MEMORIA_RESULTADOS!$W$46="",posicao_contratual!$AL182=""),"",IF(posicao_contratual!$AL182&lt;=MEMORIA_RESULTADOS!$W$46,"SIM","NAO APLICAVEL")))</f>
        <v/>
      </c>
      <c r="AC183" t="str">
        <f>IF($A183="","",IF(MEMORIA_RESULTADOS!$W$46="","",CHOOSE(MEMORIA_RESULTADOS!$W$46+1,posicao_contratual!$AG182,posicao_contratual!$AH182,posicao_contratual!$AI182,posicao_contratual!$AJ182,posicao_contratual!$AK182)))</f>
        <v/>
      </c>
    </row>
    <row r="184" spans="1:29" x14ac:dyDescent="0.35">
      <c r="A184" s="106" t="str">
        <f>IF(AND(itens_Remanesc!A183="",itens_Remanesc!A182&lt;&gt;"",COUNTIF(itens_Remanesc!A184:$A$200,"&lt;&gt;")=0),"TOTAL",IF(itens_Remanesc!A183="","",itens_Remanesc!A183))</f>
        <v/>
      </c>
      <c r="B184" s="107" t="str">
        <f>IF(OR(historico_VU!A183="",historico_VU!C183=""),"",historico_VU!C183)</f>
        <v/>
      </c>
      <c r="C184" s="108" t="str">
        <f>IF(posicao_contratual!A183="","",posicao_contratual!G183)</f>
        <v/>
      </c>
      <c r="D184" s="107" t="str">
        <f>IF(A184="TOTAL",ROUND(SUM($D$3:D183),2),IF(OR(A184="",B184="",C184=""),"",ROUND(B184*C184,2)))</f>
        <v/>
      </c>
      <c r="E184" s="109" t="str">
        <f>IF(OR(historico_VU!A183="",historico_VU!D183=""),"",historico_VU!D183)</f>
        <v/>
      </c>
      <c r="F184" s="110" t="str">
        <f>IF(posicao_contratual!A183="","",posicao_contratual!K183)</f>
        <v/>
      </c>
      <c r="G184" s="109" t="str">
        <f>IF(A184="TOTAL",ROUND(SUM($G$3:G183),2),IF(OR(A184="",E184="",F184=""),"",ROUND(E184*F184,2)))</f>
        <v/>
      </c>
      <c r="H184" s="107" t="str">
        <f>IF(OR(historico_VU!A183="",historico_VU!E183=""),"",historico_VU!E183)</f>
        <v/>
      </c>
      <c r="I184" s="108" t="str">
        <f>IF(posicao_contratual!A183="","",posicao_contratual!O183)</f>
        <v/>
      </c>
      <c r="J184" s="107" t="str">
        <f>IF(A184="TOTAL",ROUND(SUM($J$3:J183),2),IF(OR(A184="",H184="",I184=""),"",ROUND(H184*I184,2)))</f>
        <v/>
      </c>
      <c r="K184" s="109" t="str">
        <f>IF(OR(historico_VU!A183="",historico_VU!F183=""),"",historico_VU!F183)</f>
        <v/>
      </c>
      <c r="L184" s="110" t="str">
        <f>IF(posicao_contratual!A183="","",posicao_contratual!S183)</f>
        <v/>
      </c>
      <c r="M184" s="109" t="str">
        <f>IF(A184="TOTAL",ROUND(SUM($M$3:M183),2),IF(OR(A184="",K184="",L184=""),"",ROUND(K184*L184,2)))</f>
        <v/>
      </c>
      <c r="N184" s="107" t="str">
        <f>IF(OR(historico_VU!A183="",historico_VU!G183=""),"",historico_VU!G183)</f>
        <v/>
      </c>
      <c r="O184" s="108" t="str">
        <f>IF(posicao_contratual!A183="","",posicao_contratual!W183)</f>
        <v/>
      </c>
      <c r="P184" s="107" t="str">
        <f>IF(A184="TOTAL",ROUND(SUM($P$3:P183),2),IF(OR(A184="",N184="",O184=""),"",ROUND(N184*O184,2)))</f>
        <v/>
      </c>
      <c r="Q184" s="181" t="str">
        <f t="shared" ca="1" si="40"/>
        <v/>
      </c>
      <c r="R184" t="str">
        <f>IF($A184="","",IF(MEMORIA_RESULTADOS!$W$46="","","C"&amp;MEMORIA_RESULTADOS!$W$46))</f>
        <v/>
      </c>
      <c r="S184" s="207" t="str">
        <f t="shared" ca="1" si="41"/>
        <v/>
      </c>
      <c r="T184" s="207" t="str">
        <f t="shared" ca="1" si="42"/>
        <v/>
      </c>
      <c r="U184" s="207" t="str">
        <f t="shared" ca="1" si="43"/>
        <v/>
      </c>
      <c r="V184" s="191" t="str">
        <f t="shared" ca="1" si="44"/>
        <v/>
      </c>
      <c r="W184" s="191" t="str">
        <f t="shared" ca="1" si="45"/>
        <v/>
      </c>
      <c r="X184" s="191" t="str">
        <f t="shared" ca="1" si="46"/>
        <v/>
      </c>
      <c r="Y184" t="str">
        <f t="shared" ca="1" si="47"/>
        <v/>
      </c>
      <c r="Z184" s="208" t="str">
        <f>IF($A184="","",IF(posicao_contratual!$AA183="","",posicao_contratual!$AA183))</f>
        <v/>
      </c>
      <c r="AA184" t="str">
        <f>IF($A184="","",IF(posicao_contratual!$AL183="","","C"&amp;posicao_contratual!$AL183))</f>
        <v/>
      </c>
      <c r="AB184" t="str">
        <f>IF($A184="","",IF(OR(MEMORIA_RESULTADOS!$W$46="",posicao_contratual!$AL183=""),"",IF(posicao_contratual!$AL183&lt;=MEMORIA_RESULTADOS!$W$46,"SIM","NAO APLICAVEL")))</f>
        <v/>
      </c>
      <c r="AC184" t="str">
        <f>IF($A184="","",IF(MEMORIA_RESULTADOS!$W$46="","",CHOOSE(MEMORIA_RESULTADOS!$W$46+1,posicao_contratual!$AG183,posicao_contratual!$AH183,posicao_contratual!$AI183,posicao_contratual!$AJ183,posicao_contratual!$AK183)))</f>
        <v/>
      </c>
    </row>
    <row r="185" spans="1:29" x14ac:dyDescent="0.35">
      <c r="A185" s="106" t="str">
        <f>IF(AND(itens_Remanesc!A184="",itens_Remanesc!A183&lt;&gt;"",COUNTIF(itens_Remanesc!A185:$A$200,"&lt;&gt;")=0),"TOTAL",IF(itens_Remanesc!A184="","",itens_Remanesc!A184))</f>
        <v/>
      </c>
      <c r="B185" s="107" t="str">
        <f>IF(OR(historico_VU!A184="",historico_VU!C184=""),"",historico_VU!C184)</f>
        <v/>
      </c>
      <c r="C185" s="108" t="str">
        <f>IF(posicao_contratual!A184="","",posicao_contratual!G184)</f>
        <v/>
      </c>
      <c r="D185" s="107" t="str">
        <f>IF(A185="TOTAL",ROUND(SUM($D$3:D184),2),IF(OR(A185="",B185="",C185=""),"",ROUND(B185*C185,2)))</f>
        <v/>
      </c>
      <c r="E185" s="109" t="str">
        <f>IF(OR(historico_VU!A184="",historico_VU!D184=""),"",historico_VU!D184)</f>
        <v/>
      </c>
      <c r="F185" s="110" t="str">
        <f>IF(posicao_contratual!A184="","",posicao_contratual!K184)</f>
        <v/>
      </c>
      <c r="G185" s="109" t="str">
        <f>IF(A185="TOTAL",ROUND(SUM($G$3:G184),2),IF(OR(A185="",E185="",F185=""),"",ROUND(E185*F185,2)))</f>
        <v/>
      </c>
      <c r="H185" s="107" t="str">
        <f>IF(OR(historico_VU!A184="",historico_VU!E184=""),"",historico_VU!E184)</f>
        <v/>
      </c>
      <c r="I185" s="108" t="str">
        <f>IF(posicao_contratual!A184="","",posicao_contratual!O184)</f>
        <v/>
      </c>
      <c r="J185" s="107" t="str">
        <f>IF(A185="TOTAL",ROUND(SUM($J$3:J184),2),IF(OR(A185="",H185="",I185=""),"",ROUND(H185*I185,2)))</f>
        <v/>
      </c>
      <c r="K185" s="109" t="str">
        <f>IF(OR(historico_VU!A184="",historico_VU!F184=""),"",historico_VU!F184)</f>
        <v/>
      </c>
      <c r="L185" s="110" t="str">
        <f>IF(posicao_contratual!A184="","",posicao_contratual!S184)</f>
        <v/>
      </c>
      <c r="M185" s="109" t="str">
        <f>IF(A185="TOTAL",ROUND(SUM($M$3:M184),2),IF(OR(A185="",K185="",L185=""),"",ROUND(K185*L185,2)))</f>
        <v/>
      </c>
      <c r="N185" s="107" t="str">
        <f>IF(OR(historico_VU!A184="",historico_VU!G184=""),"",historico_VU!G184)</f>
        <v/>
      </c>
      <c r="O185" s="108" t="str">
        <f>IF(posicao_contratual!A184="","",posicao_contratual!W184)</f>
        <v/>
      </c>
      <c r="P185" s="107" t="str">
        <f>IF(A185="TOTAL",ROUND(SUM($P$3:P184),2),IF(OR(A185="",N185="",O185=""),"",ROUND(N185*O185,2)))</f>
        <v/>
      </c>
      <c r="Q185" s="181" t="str">
        <f t="shared" ca="1" si="40"/>
        <v/>
      </c>
      <c r="R185" t="str">
        <f>IF($A185="","",IF(MEMORIA_RESULTADOS!$W$46="","","C"&amp;MEMORIA_RESULTADOS!$W$46))</f>
        <v/>
      </c>
      <c r="S185" s="207" t="str">
        <f t="shared" ca="1" si="41"/>
        <v/>
      </c>
      <c r="T185" s="207" t="str">
        <f t="shared" ca="1" si="42"/>
        <v/>
      </c>
      <c r="U185" s="207" t="str">
        <f t="shared" ca="1" si="43"/>
        <v/>
      </c>
      <c r="V185" s="191" t="str">
        <f t="shared" ca="1" si="44"/>
        <v/>
      </c>
      <c r="W185" s="191" t="str">
        <f t="shared" ca="1" si="45"/>
        <v/>
      </c>
      <c r="X185" s="191" t="str">
        <f t="shared" ca="1" si="46"/>
        <v/>
      </c>
      <c r="Y185" t="str">
        <f t="shared" ca="1" si="47"/>
        <v/>
      </c>
      <c r="Z185" s="208" t="str">
        <f>IF($A185="","",IF(posicao_contratual!$AA184="","",posicao_contratual!$AA184))</f>
        <v/>
      </c>
      <c r="AA185" t="str">
        <f>IF($A185="","",IF(posicao_contratual!$AL184="","","C"&amp;posicao_contratual!$AL184))</f>
        <v/>
      </c>
      <c r="AB185" t="str">
        <f>IF($A185="","",IF(OR(MEMORIA_RESULTADOS!$W$46="",posicao_contratual!$AL184=""),"",IF(posicao_contratual!$AL184&lt;=MEMORIA_RESULTADOS!$W$46,"SIM","NAO APLICAVEL")))</f>
        <v/>
      </c>
      <c r="AC185" t="str">
        <f>IF($A185="","",IF(MEMORIA_RESULTADOS!$W$46="","",CHOOSE(MEMORIA_RESULTADOS!$W$46+1,posicao_contratual!$AG184,posicao_contratual!$AH184,posicao_contratual!$AI184,posicao_contratual!$AJ184,posicao_contratual!$AK184)))</f>
        <v/>
      </c>
    </row>
    <row r="186" spans="1:29" x14ac:dyDescent="0.35">
      <c r="A186" s="106" t="str">
        <f>IF(AND(itens_Remanesc!A185="",itens_Remanesc!A184&lt;&gt;"",COUNTIF(itens_Remanesc!A186:$A$200,"&lt;&gt;")=0),"TOTAL",IF(itens_Remanesc!A185="","",itens_Remanesc!A185))</f>
        <v/>
      </c>
      <c r="B186" s="107" t="str">
        <f>IF(OR(historico_VU!A185="",historico_VU!C185=""),"",historico_VU!C185)</f>
        <v/>
      </c>
      <c r="C186" s="108" t="str">
        <f>IF(posicao_contratual!A185="","",posicao_contratual!G185)</f>
        <v/>
      </c>
      <c r="D186" s="107" t="str">
        <f>IF(A186="TOTAL",ROUND(SUM($D$3:D185),2),IF(OR(A186="",B186="",C186=""),"",ROUND(B186*C186,2)))</f>
        <v/>
      </c>
      <c r="E186" s="109" t="str">
        <f>IF(OR(historico_VU!A185="",historico_VU!D185=""),"",historico_VU!D185)</f>
        <v/>
      </c>
      <c r="F186" s="110" t="str">
        <f>IF(posicao_contratual!A185="","",posicao_contratual!K185)</f>
        <v/>
      </c>
      <c r="G186" s="109" t="str">
        <f>IF(A186="TOTAL",ROUND(SUM($G$3:G185),2),IF(OR(A186="",E186="",F186=""),"",ROUND(E186*F186,2)))</f>
        <v/>
      </c>
      <c r="H186" s="107" t="str">
        <f>IF(OR(historico_VU!A185="",historico_VU!E185=""),"",historico_VU!E185)</f>
        <v/>
      </c>
      <c r="I186" s="108" t="str">
        <f>IF(posicao_contratual!A185="","",posicao_contratual!O185)</f>
        <v/>
      </c>
      <c r="J186" s="107" t="str">
        <f>IF(A186="TOTAL",ROUND(SUM($J$3:J185),2),IF(OR(A186="",H186="",I186=""),"",ROUND(H186*I186,2)))</f>
        <v/>
      </c>
      <c r="K186" s="109" t="str">
        <f>IF(OR(historico_VU!A185="",historico_VU!F185=""),"",historico_VU!F185)</f>
        <v/>
      </c>
      <c r="L186" s="110" t="str">
        <f>IF(posicao_contratual!A185="","",posicao_contratual!S185)</f>
        <v/>
      </c>
      <c r="M186" s="109" t="str">
        <f>IF(A186="TOTAL",ROUND(SUM($M$3:M185),2),IF(OR(A186="",K186="",L186=""),"",ROUND(K186*L186,2)))</f>
        <v/>
      </c>
      <c r="N186" s="107" t="str">
        <f>IF(OR(historico_VU!A185="",historico_VU!G185=""),"",historico_VU!G185)</f>
        <v/>
      </c>
      <c r="O186" s="108" t="str">
        <f>IF(posicao_contratual!A185="","",posicao_contratual!W185)</f>
        <v/>
      </c>
      <c r="P186" s="107" t="str">
        <f>IF(A186="TOTAL",ROUND(SUM($P$3:P185),2),IF(OR(A186="",N186="",O186=""),"",ROUND(N186*O186,2)))</f>
        <v/>
      </c>
      <c r="Q186" s="181" t="str">
        <f t="shared" ca="1" si="40"/>
        <v/>
      </c>
      <c r="R186" t="str">
        <f>IF($A186="","",IF(MEMORIA_RESULTADOS!$W$46="","","C"&amp;MEMORIA_RESULTADOS!$W$46))</f>
        <v/>
      </c>
      <c r="S186" s="207" t="str">
        <f t="shared" ca="1" si="41"/>
        <v/>
      </c>
      <c r="T186" s="207" t="str">
        <f t="shared" ca="1" si="42"/>
        <v/>
      </c>
      <c r="U186" s="207" t="str">
        <f t="shared" ca="1" si="43"/>
        <v/>
      </c>
      <c r="V186" s="191" t="str">
        <f t="shared" ca="1" si="44"/>
        <v/>
      </c>
      <c r="W186" s="191" t="str">
        <f t="shared" ca="1" si="45"/>
        <v/>
      </c>
      <c r="X186" s="191" t="str">
        <f t="shared" ca="1" si="46"/>
        <v/>
      </c>
      <c r="Y186" t="str">
        <f t="shared" ca="1" si="47"/>
        <v/>
      </c>
      <c r="Z186" s="208" t="str">
        <f>IF($A186="","",IF(posicao_contratual!$AA185="","",posicao_contratual!$AA185))</f>
        <v/>
      </c>
      <c r="AA186" t="str">
        <f>IF($A186="","",IF(posicao_contratual!$AL185="","","C"&amp;posicao_contratual!$AL185))</f>
        <v/>
      </c>
      <c r="AB186" t="str">
        <f>IF($A186="","",IF(OR(MEMORIA_RESULTADOS!$W$46="",posicao_contratual!$AL185=""),"",IF(posicao_contratual!$AL185&lt;=MEMORIA_RESULTADOS!$W$46,"SIM","NAO APLICAVEL")))</f>
        <v/>
      </c>
      <c r="AC186" t="str">
        <f>IF($A186="","",IF(MEMORIA_RESULTADOS!$W$46="","",CHOOSE(MEMORIA_RESULTADOS!$W$46+1,posicao_contratual!$AG185,posicao_contratual!$AH185,posicao_contratual!$AI185,posicao_contratual!$AJ185,posicao_contratual!$AK185)))</f>
        <v/>
      </c>
    </row>
    <row r="187" spans="1:29" x14ac:dyDescent="0.35">
      <c r="A187" s="106" t="str">
        <f>IF(AND(itens_Remanesc!A186="",itens_Remanesc!A185&lt;&gt;"",COUNTIF(itens_Remanesc!A187:$A$200,"&lt;&gt;")=0),"TOTAL",IF(itens_Remanesc!A186="","",itens_Remanesc!A186))</f>
        <v/>
      </c>
      <c r="B187" s="107" t="str">
        <f>IF(OR(historico_VU!A186="",historico_VU!C186=""),"",historico_VU!C186)</f>
        <v/>
      </c>
      <c r="C187" s="108" t="str">
        <f>IF(posicao_contratual!A186="","",posicao_contratual!G186)</f>
        <v/>
      </c>
      <c r="D187" s="107" t="str">
        <f>IF(A187="TOTAL",ROUND(SUM($D$3:D186),2),IF(OR(A187="",B187="",C187=""),"",ROUND(B187*C187,2)))</f>
        <v/>
      </c>
      <c r="E187" s="109" t="str">
        <f>IF(OR(historico_VU!A186="",historico_VU!D186=""),"",historico_VU!D186)</f>
        <v/>
      </c>
      <c r="F187" s="110" t="str">
        <f>IF(posicao_contratual!A186="","",posicao_contratual!K186)</f>
        <v/>
      </c>
      <c r="G187" s="109" t="str">
        <f>IF(A187="TOTAL",ROUND(SUM($G$3:G186),2),IF(OR(A187="",E187="",F187=""),"",ROUND(E187*F187,2)))</f>
        <v/>
      </c>
      <c r="H187" s="107" t="str">
        <f>IF(OR(historico_VU!A186="",historico_VU!E186=""),"",historico_VU!E186)</f>
        <v/>
      </c>
      <c r="I187" s="108" t="str">
        <f>IF(posicao_contratual!A186="","",posicao_contratual!O186)</f>
        <v/>
      </c>
      <c r="J187" s="107" t="str">
        <f>IF(A187="TOTAL",ROUND(SUM($J$3:J186),2),IF(OR(A187="",H187="",I187=""),"",ROUND(H187*I187,2)))</f>
        <v/>
      </c>
      <c r="K187" s="109" t="str">
        <f>IF(OR(historico_VU!A186="",historico_VU!F186=""),"",historico_VU!F186)</f>
        <v/>
      </c>
      <c r="L187" s="110" t="str">
        <f>IF(posicao_contratual!A186="","",posicao_contratual!S186)</f>
        <v/>
      </c>
      <c r="M187" s="109" t="str">
        <f>IF(A187="TOTAL",ROUND(SUM($M$3:M186),2),IF(OR(A187="",K187="",L187=""),"",ROUND(K187*L187,2)))</f>
        <v/>
      </c>
      <c r="N187" s="107" t="str">
        <f>IF(OR(historico_VU!A186="",historico_VU!G186=""),"",historico_VU!G186)</f>
        <v/>
      </c>
      <c r="O187" s="108" t="str">
        <f>IF(posicao_contratual!A186="","",posicao_contratual!W186)</f>
        <v/>
      </c>
      <c r="P187" s="107" t="str">
        <f>IF(A187="TOTAL",ROUND(SUM($P$3:P186),2),IF(OR(A187="",N187="",O187=""),"",ROUND(N187*O187,2)))</f>
        <v/>
      </c>
      <c r="Q187" s="181" t="str">
        <f t="shared" ca="1" si="40"/>
        <v/>
      </c>
      <c r="R187" t="str">
        <f>IF($A187="","",IF(MEMORIA_RESULTADOS!$W$46="","","C"&amp;MEMORIA_RESULTADOS!$W$46))</f>
        <v/>
      </c>
      <c r="S187" s="207" t="str">
        <f t="shared" ca="1" si="41"/>
        <v/>
      </c>
      <c r="T187" s="207" t="str">
        <f t="shared" ca="1" si="42"/>
        <v/>
      </c>
      <c r="U187" s="207" t="str">
        <f t="shared" ca="1" si="43"/>
        <v/>
      </c>
      <c r="V187" s="191" t="str">
        <f t="shared" ca="1" si="44"/>
        <v/>
      </c>
      <c r="W187" s="191" t="str">
        <f t="shared" ca="1" si="45"/>
        <v/>
      </c>
      <c r="X187" s="191" t="str">
        <f t="shared" ca="1" si="46"/>
        <v/>
      </c>
      <c r="Y187" t="str">
        <f t="shared" ca="1" si="47"/>
        <v/>
      </c>
      <c r="Z187" s="208" t="str">
        <f>IF($A187="","",IF(posicao_contratual!$AA186="","",posicao_contratual!$AA186))</f>
        <v/>
      </c>
      <c r="AA187" t="str">
        <f>IF($A187="","",IF(posicao_contratual!$AL186="","","C"&amp;posicao_contratual!$AL186))</f>
        <v/>
      </c>
      <c r="AB187" t="str">
        <f>IF($A187="","",IF(OR(MEMORIA_RESULTADOS!$W$46="",posicao_contratual!$AL186=""),"",IF(posicao_contratual!$AL186&lt;=MEMORIA_RESULTADOS!$W$46,"SIM","NAO APLICAVEL")))</f>
        <v/>
      </c>
      <c r="AC187" t="str">
        <f>IF($A187="","",IF(MEMORIA_RESULTADOS!$W$46="","",CHOOSE(MEMORIA_RESULTADOS!$W$46+1,posicao_contratual!$AG186,posicao_contratual!$AH186,posicao_contratual!$AI186,posicao_contratual!$AJ186,posicao_contratual!$AK186)))</f>
        <v/>
      </c>
    </row>
    <row r="188" spans="1:29" x14ac:dyDescent="0.35">
      <c r="A188" s="106" t="str">
        <f>IF(AND(itens_Remanesc!A187="",itens_Remanesc!A186&lt;&gt;"",COUNTIF(itens_Remanesc!A188:$A$200,"&lt;&gt;")=0),"TOTAL",IF(itens_Remanesc!A187="","",itens_Remanesc!A187))</f>
        <v/>
      </c>
      <c r="B188" s="107" t="str">
        <f>IF(OR(historico_VU!A187="",historico_VU!C187=""),"",historico_VU!C187)</f>
        <v/>
      </c>
      <c r="C188" s="108" t="str">
        <f>IF(posicao_contratual!A187="","",posicao_contratual!G187)</f>
        <v/>
      </c>
      <c r="D188" s="107" t="str">
        <f>IF(A188="TOTAL",ROUND(SUM($D$3:D187),2),IF(OR(A188="",B188="",C188=""),"",ROUND(B188*C188,2)))</f>
        <v/>
      </c>
      <c r="E188" s="109" t="str">
        <f>IF(OR(historico_VU!A187="",historico_VU!D187=""),"",historico_VU!D187)</f>
        <v/>
      </c>
      <c r="F188" s="110" t="str">
        <f>IF(posicao_contratual!A187="","",posicao_contratual!K187)</f>
        <v/>
      </c>
      <c r="G188" s="109" t="str">
        <f>IF(A188="TOTAL",ROUND(SUM($G$3:G187),2),IF(OR(A188="",E188="",F188=""),"",ROUND(E188*F188,2)))</f>
        <v/>
      </c>
      <c r="H188" s="107" t="str">
        <f>IF(OR(historico_VU!A187="",historico_VU!E187=""),"",historico_VU!E187)</f>
        <v/>
      </c>
      <c r="I188" s="108" t="str">
        <f>IF(posicao_contratual!A187="","",posicao_contratual!O187)</f>
        <v/>
      </c>
      <c r="J188" s="107" t="str">
        <f>IF(A188="TOTAL",ROUND(SUM($J$3:J187),2),IF(OR(A188="",H188="",I188=""),"",ROUND(H188*I188,2)))</f>
        <v/>
      </c>
      <c r="K188" s="109" t="str">
        <f>IF(OR(historico_VU!A187="",historico_VU!F187=""),"",historico_VU!F187)</f>
        <v/>
      </c>
      <c r="L188" s="110" t="str">
        <f>IF(posicao_contratual!A187="","",posicao_contratual!S187)</f>
        <v/>
      </c>
      <c r="M188" s="109" t="str">
        <f>IF(A188="TOTAL",ROUND(SUM($M$3:M187),2),IF(OR(A188="",K188="",L188=""),"",ROUND(K188*L188,2)))</f>
        <v/>
      </c>
      <c r="N188" s="107" t="str">
        <f>IF(OR(historico_VU!A187="",historico_VU!G187=""),"",historico_VU!G187)</f>
        <v/>
      </c>
      <c r="O188" s="108" t="str">
        <f>IF(posicao_contratual!A187="","",posicao_contratual!W187)</f>
        <v/>
      </c>
      <c r="P188" s="107" t="str">
        <f>IF(A188="TOTAL",ROUND(SUM($P$3:P187),2),IF(OR(A188="",N188="",O188=""),"",ROUND(N188*O188,2)))</f>
        <v/>
      </c>
      <c r="Q188" s="181" t="str">
        <f t="shared" ca="1" si="40"/>
        <v/>
      </c>
      <c r="R188" t="str">
        <f>IF($A188="","",IF(MEMORIA_RESULTADOS!$W$46="","","C"&amp;MEMORIA_RESULTADOS!$W$46))</f>
        <v/>
      </c>
      <c r="S188" s="207" t="str">
        <f t="shared" ca="1" si="41"/>
        <v/>
      </c>
      <c r="T188" s="207" t="str">
        <f t="shared" ca="1" si="42"/>
        <v/>
      </c>
      <c r="U188" s="207" t="str">
        <f t="shared" ca="1" si="43"/>
        <v/>
      </c>
      <c r="V188" s="191" t="str">
        <f t="shared" ca="1" si="44"/>
        <v/>
      </c>
      <c r="W188" s="191" t="str">
        <f t="shared" ca="1" si="45"/>
        <v/>
      </c>
      <c r="X188" s="191" t="str">
        <f t="shared" ca="1" si="46"/>
        <v/>
      </c>
      <c r="Y188" t="str">
        <f t="shared" ca="1" si="47"/>
        <v/>
      </c>
      <c r="Z188" s="208" t="str">
        <f>IF($A188="","",IF(posicao_contratual!$AA187="","",posicao_contratual!$AA187))</f>
        <v/>
      </c>
      <c r="AA188" t="str">
        <f>IF($A188="","",IF(posicao_contratual!$AL187="","","C"&amp;posicao_contratual!$AL187))</f>
        <v/>
      </c>
      <c r="AB188" t="str">
        <f>IF($A188="","",IF(OR(MEMORIA_RESULTADOS!$W$46="",posicao_contratual!$AL187=""),"",IF(posicao_contratual!$AL187&lt;=MEMORIA_RESULTADOS!$W$46,"SIM","NAO APLICAVEL")))</f>
        <v/>
      </c>
      <c r="AC188" t="str">
        <f>IF($A188="","",IF(MEMORIA_RESULTADOS!$W$46="","",CHOOSE(MEMORIA_RESULTADOS!$W$46+1,posicao_contratual!$AG187,posicao_contratual!$AH187,posicao_contratual!$AI187,posicao_contratual!$AJ187,posicao_contratual!$AK187)))</f>
        <v/>
      </c>
    </row>
    <row r="189" spans="1:29" x14ac:dyDescent="0.35">
      <c r="A189" s="106" t="str">
        <f>IF(AND(itens_Remanesc!A188="",itens_Remanesc!A187&lt;&gt;"",COUNTIF(itens_Remanesc!A189:$A$200,"&lt;&gt;")=0),"TOTAL",IF(itens_Remanesc!A188="","",itens_Remanesc!A188))</f>
        <v/>
      </c>
      <c r="B189" s="107" t="str">
        <f>IF(OR(historico_VU!A188="",historico_VU!C188=""),"",historico_VU!C188)</f>
        <v/>
      </c>
      <c r="C189" s="108" t="str">
        <f>IF(posicao_contratual!A188="","",posicao_contratual!G188)</f>
        <v/>
      </c>
      <c r="D189" s="107" t="str">
        <f>IF(A189="TOTAL",ROUND(SUM($D$3:D188),2),IF(OR(A189="",B189="",C189=""),"",ROUND(B189*C189,2)))</f>
        <v/>
      </c>
      <c r="E189" s="109" t="str">
        <f>IF(OR(historico_VU!A188="",historico_VU!D188=""),"",historico_VU!D188)</f>
        <v/>
      </c>
      <c r="F189" s="110" t="str">
        <f>IF(posicao_contratual!A188="","",posicao_contratual!K188)</f>
        <v/>
      </c>
      <c r="G189" s="109" t="str">
        <f>IF(A189="TOTAL",ROUND(SUM($G$3:G188),2),IF(OR(A189="",E189="",F189=""),"",ROUND(E189*F189,2)))</f>
        <v/>
      </c>
      <c r="H189" s="107" t="str">
        <f>IF(OR(historico_VU!A188="",historico_VU!E188=""),"",historico_VU!E188)</f>
        <v/>
      </c>
      <c r="I189" s="108" t="str">
        <f>IF(posicao_contratual!A188="","",posicao_contratual!O188)</f>
        <v/>
      </c>
      <c r="J189" s="107" t="str">
        <f>IF(A189="TOTAL",ROUND(SUM($J$3:J188),2),IF(OR(A189="",H189="",I189=""),"",ROUND(H189*I189,2)))</f>
        <v/>
      </c>
      <c r="K189" s="109" t="str">
        <f>IF(OR(historico_VU!A188="",historico_VU!F188=""),"",historico_VU!F188)</f>
        <v/>
      </c>
      <c r="L189" s="110" t="str">
        <f>IF(posicao_contratual!A188="","",posicao_contratual!S188)</f>
        <v/>
      </c>
      <c r="M189" s="109" t="str">
        <f>IF(A189="TOTAL",ROUND(SUM($M$3:M188),2),IF(OR(A189="",K189="",L189=""),"",ROUND(K189*L189,2)))</f>
        <v/>
      </c>
      <c r="N189" s="107" t="str">
        <f>IF(OR(historico_VU!A188="",historico_VU!G188=""),"",historico_VU!G188)</f>
        <v/>
      </c>
      <c r="O189" s="108" t="str">
        <f>IF(posicao_contratual!A188="","",posicao_contratual!W188)</f>
        <v/>
      </c>
      <c r="P189" s="107" t="str">
        <f>IF(A189="TOTAL",ROUND(SUM($P$3:P188),2),IF(OR(A189="",N189="",O189=""),"",ROUND(N189*O189,2)))</f>
        <v/>
      </c>
      <c r="Q189" s="181" t="str">
        <f t="shared" ca="1" si="40"/>
        <v/>
      </c>
      <c r="R189" t="str">
        <f>IF($A189="","",IF(MEMORIA_RESULTADOS!$W$46="","","C"&amp;MEMORIA_RESULTADOS!$W$46))</f>
        <v/>
      </c>
      <c r="S189" s="207" t="str">
        <f t="shared" ca="1" si="41"/>
        <v/>
      </c>
      <c r="T189" s="207" t="str">
        <f t="shared" ca="1" si="42"/>
        <v/>
      </c>
      <c r="U189" s="207" t="str">
        <f t="shared" ca="1" si="43"/>
        <v/>
      </c>
      <c r="V189" s="191" t="str">
        <f t="shared" ca="1" si="44"/>
        <v/>
      </c>
      <c r="W189" s="191" t="str">
        <f t="shared" ca="1" si="45"/>
        <v/>
      </c>
      <c r="X189" s="191" t="str">
        <f t="shared" ca="1" si="46"/>
        <v/>
      </c>
      <c r="Y189" t="str">
        <f t="shared" ca="1" si="47"/>
        <v/>
      </c>
      <c r="Z189" s="208" t="str">
        <f>IF($A189="","",IF(posicao_contratual!$AA188="","",posicao_contratual!$AA188))</f>
        <v/>
      </c>
      <c r="AA189" t="str">
        <f>IF($A189="","",IF(posicao_contratual!$AL188="","","C"&amp;posicao_contratual!$AL188))</f>
        <v/>
      </c>
      <c r="AB189" t="str">
        <f>IF($A189="","",IF(OR(MEMORIA_RESULTADOS!$W$46="",posicao_contratual!$AL188=""),"",IF(posicao_contratual!$AL188&lt;=MEMORIA_RESULTADOS!$W$46,"SIM","NAO APLICAVEL")))</f>
        <v/>
      </c>
      <c r="AC189" t="str">
        <f>IF($A189="","",IF(MEMORIA_RESULTADOS!$W$46="","",CHOOSE(MEMORIA_RESULTADOS!$W$46+1,posicao_contratual!$AG188,posicao_contratual!$AH188,posicao_contratual!$AI188,posicao_contratual!$AJ188,posicao_contratual!$AK188)))</f>
        <v/>
      </c>
    </row>
    <row r="190" spans="1:29" x14ac:dyDescent="0.35">
      <c r="A190" s="106" t="str">
        <f>IF(AND(itens_Remanesc!A189="",itens_Remanesc!A188&lt;&gt;"",COUNTIF(itens_Remanesc!A190:$A$200,"&lt;&gt;")=0),"TOTAL",IF(itens_Remanesc!A189="","",itens_Remanesc!A189))</f>
        <v/>
      </c>
      <c r="B190" s="107" t="str">
        <f>IF(OR(historico_VU!A189="",historico_VU!C189=""),"",historico_VU!C189)</f>
        <v/>
      </c>
      <c r="C190" s="108" t="str">
        <f>IF(posicao_contratual!A189="","",posicao_contratual!G189)</f>
        <v/>
      </c>
      <c r="D190" s="107" t="str">
        <f>IF(A190="TOTAL",ROUND(SUM($D$3:D189),2),IF(OR(A190="",B190="",C190=""),"",ROUND(B190*C190,2)))</f>
        <v/>
      </c>
      <c r="E190" s="109" t="str">
        <f>IF(OR(historico_VU!A189="",historico_VU!D189=""),"",historico_VU!D189)</f>
        <v/>
      </c>
      <c r="F190" s="110" t="str">
        <f>IF(posicao_contratual!A189="","",posicao_contratual!K189)</f>
        <v/>
      </c>
      <c r="G190" s="109" t="str">
        <f>IF(A190="TOTAL",ROUND(SUM($G$3:G189),2),IF(OR(A190="",E190="",F190=""),"",ROUND(E190*F190,2)))</f>
        <v/>
      </c>
      <c r="H190" s="107" t="str">
        <f>IF(OR(historico_VU!A189="",historico_VU!E189=""),"",historico_VU!E189)</f>
        <v/>
      </c>
      <c r="I190" s="108" t="str">
        <f>IF(posicao_contratual!A189="","",posicao_contratual!O189)</f>
        <v/>
      </c>
      <c r="J190" s="107" t="str">
        <f>IF(A190="TOTAL",ROUND(SUM($J$3:J189),2),IF(OR(A190="",H190="",I190=""),"",ROUND(H190*I190,2)))</f>
        <v/>
      </c>
      <c r="K190" s="109" t="str">
        <f>IF(OR(historico_VU!A189="",historico_VU!F189=""),"",historico_VU!F189)</f>
        <v/>
      </c>
      <c r="L190" s="110" t="str">
        <f>IF(posicao_contratual!A189="","",posicao_contratual!S189)</f>
        <v/>
      </c>
      <c r="M190" s="109" t="str">
        <f>IF(A190="TOTAL",ROUND(SUM($M$3:M189),2),IF(OR(A190="",K190="",L190=""),"",ROUND(K190*L190,2)))</f>
        <v/>
      </c>
      <c r="N190" s="107" t="str">
        <f>IF(OR(historico_VU!A189="",historico_VU!G189=""),"",historico_VU!G189)</f>
        <v/>
      </c>
      <c r="O190" s="108" t="str">
        <f>IF(posicao_contratual!A189="","",posicao_contratual!W189)</f>
        <v/>
      </c>
      <c r="P190" s="107" t="str">
        <f>IF(A190="TOTAL",ROUND(SUM($P$3:P189),2),IF(OR(A190="",N190="",O190=""),"",ROUND(N190*O190,2)))</f>
        <v/>
      </c>
      <c r="Q190" s="181" t="str">
        <f t="shared" ca="1" si="40"/>
        <v/>
      </c>
      <c r="R190" t="str">
        <f>IF($A190="","",IF(MEMORIA_RESULTADOS!$W$46="","","C"&amp;MEMORIA_RESULTADOS!$W$46))</f>
        <v/>
      </c>
      <c r="S190" s="207" t="str">
        <f t="shared" ca="1" si="41"/>
        <v/>
      </c>
      <c r="T190" s="207" t="str">
        <f t="shared" ca="1" si="42"/>
        <v/>
      </c>
      <c r="U190" s="207" t="str">
        <f t="shared" ca="1" si="43"/>
        <v/>
      </c>
      <c r="V190" s="191" t="str">
        <f t="shared" ca="1" si="44"/>
        <v/>
      </c>
      <c r="W190" s="191" t="str">
        <f t="shared" ca="1" si="45"/>
        <v/>
      </c>
      <c r="X190" s="191" t="str">
        <f t="shared" ca="1" si="46"/>
        <v/>
      </c>
      <c r="Y190" t="str">
        <f t="shared" ca="1" si="47"/>
        <v/>
      </c>
      <c r="Z190" s="208" t="str">
        <f>IF($A190="","",IF(posicao_contratual!$AA189="","",posicao_contratual!$AA189))</f>
        <v/>
      </c>
      <c r="AA190" t="str">
        <f>IF($A190="","",IF(posicao_contratual!$AL189="","","C"&amp;posicao_contratual!$AL189))</f>
        <v/>
      </c>
      <c r="AB190" t="str">
        <f>IF($A190="","",IF(OR(MEMORIA_RESULTADOS!$W$46="",posicao_contratual!$AL189=""),"",IF(posicao_contratual!$AL189&lt;=MEMORIA_RESULTADOS!$W$46,"SIM","NAO APLICAVEL")))</f>
        <v/>
      </c>
      <c r="AC190" t="str">
        <f>IF($A190="","",IF(MEMORIA_RESULTADOS!$W$46="","",CHOOSE(MEMORIA_RESULTADOS!$W$46+1,posicao_contratual!$AG189,posicao_contratual!$AH189,posicao_contratual!$AI189,posicao_contratual!$AJ189,posicao_contratual!$AK189)))</f>
        <v/>
      </c>
    </row>
    <row r="191" spans="1:29" x14ac:dyDescent="0.35">
      <c r="A191" s="106" t="str">
        <f>IF(AND(itens_Remanesc!A190="",itens_Remanesc!A189&lt;&gt;"",COUNTIF(itens_Remanesc!A191:$A$200,"&lt;&gt;")=0),"TOTAL",IF(itens_Remanesc!A190="","",itens_Remanesc!A190))</f>
        <v/>
      </c>
      <c r="B191" s="107" t="str">
        <f>IF(OR(historico_VU!A190="",historico_VU!C190=""),"",historico_VU!C190)</f>
        <v/>
      </c>
      <c r="C191" s="108" t="str">
        <f>IF(posicao_contratual!A190="","",posicao_contratual!G190)</f>
        <v/>
      </c>
      <c r="D191" s="107" t="str">
        <f>IF(A191="TOTAL",ROUND(SUM($D$3:D190),2),IF(OR(A191="",B191="",C191=""),"",ROUND(B191*C191,2)))</f>
        <v/>
      </c>
      <c r="E191" s="109" t="str">
        <f>IF(OR(historico_VU!A190="",historico_VU!D190=""),"",historico_VU!D190)</f>
        <v/>
      </c>
      <c r="F191" s="110" t="str">
        <f>IF(posicao_contratual!A190="","",posicao_contratual!K190)</f>
        <v/>
      </c>
      <c r="G191" s="109" t="str">
        <f>IF(A191="TOTAL",ROUND(SUM($G$3:G190),2),IF(OR(A191="",E191="",F191=""),"",ROUND(E191*F191,2)))</f>
        <v/>
      </c>
      <c r="H191" s="107" t="str">
        <f>IF(OR(historico_VU!A190="",historico_VU!E190=""),"",historico_VU!E190)</f>
        <v/>
      </c>
      <c r="I191" s="108" t="str">
        <f>IF(posicao_contratual!A190="","",posicao_contratual!O190)</f>
        <v/>
      </c>
      <c r="J191" s="107" t="str">
        <f>IF(A191="TOTAL",ROUND(SUM($J$3:J190),2),IF(OR(A191="",H191="",I191=""),"",ROUND(H191*I191,2)))</f>
        <v/>
      </c>
      <c r="K191" s="109" t="str">
        <f>IF(OR(historico_VU!A190="",historico_VU!F190=""),"",historico_VU!F190)</f>
        <v/>
      </c>
      <c r="L191" s="110" t="str">
        <f>IF(posicao_contratual!A190="","",posicao_contratual!S190)</f>
        <v/>
      </c>
      <c r="M191" s="109" t="str">
        <f>IF(A191="TOTAL",ROUND(SUM($M$3:M190),2),IF(OR(A191="",K191="",L191=""),"",ROUND(K191*L191,2)))</f>
        <v/>
      </c>
      <c r="N191" s="107" t="str">
        <f>IF(OR(historico_VU!A190="",historico_VU!G190=""),"",historico_VU!G190)</f>
        <v/>
      </c>
      <c r="O191" s="108" t="str">
        <f>IF(posicao_contratual!A190="","",posicao_contratual!W190)</f>
        <v/>
      </c>
      <c r="P191" s="107" t="str">
        <f>IF(A191="TOTAL",ROUND(SUM($P$3:P190),2),IF(OR(A191="",N191="",O191=""),"",ROUND(N191*O191,2)))</f>
        <v/>
      </c>
      <c r="Q191" s="181" t="str">
        <f t="shared" ca="1" si="40"/>
        <v/>
      </c>
      <c r="R191" t="str">
        <f>IF($A191="","",IF(MEMORIA_RESULTADOS!$W$46="","","C"&amp;MEMORIA_RESULTADOS!$W$46))</f>
        <v/>
      </c>
      <c r="S191" s="207" t="str">
        <f t="shared" ca="1" si="41"/>
        <v/>
      </c>
      <c r="T191" s="207" t="str">
        <f t="shared" ca="1" si="42"/>
        <v/>
      </c>
      <c r="U191" s="207" t="str">
        <f t="shared" ca="1" si="43"/>
        <v/>
      </c>
      <c r="V191" s="191" t="str">
        <f t="shared" ca="1" si="44"/>
        <v/>
      </c>
      <c r="W191" s="191" t="str">
        <f t="shared" ca="1" si="45"/>
        <v/>
      </c>
      <c r="X191" s="191" t="str">
        <f t="shared" ca="1" si="46"/>
        <v/>
      </c>
      <c r="Y191" t="str">
        <f t="shared" ca="1" si="47"/>
        <v/>
      </c>
      <c r="Z191" s="208" t="str">
        <f>IF($A191="","",IF(posicao_contratual!$AA190="","",posicao_contratual!$AA190))</f>
        <v/>
      </c>
      <c r="AA191" t="str">
        <f>IF($A191="","",IF(posicao_contratual!$AL190="","","C"&amp;posicao_contratual!$AL190))</f>
        <v/>
      </c>
      <c r="AB191" t="str">
        <f>IF($A191="","",IF(OR(MEMORIA_RESULTADOS!$W$46="",posicao_contratual!$AL190=""),"",IF(posicao_contratual!$AL190&lt;=MEMORIA_RESULTADOS!$W$46,"SIM","NAO APLICAVEL")))</f>
        <v/>
      </c>
      <c r="AC191" t="str">
        <f>IF($A191="","",IF(MEMORIA_RESULTADOS!$W$46="","",CHOOSE(MEMORIA_RESULTADOS!$W$46+1,posicao_contratual!$AG190,posicao_contratual!$AH190,posicao_contratual!$AI190,posicao_contratual!$AJ190,posicao_contratual!$AK190)))</f>
        <v/>
      </c>
    </row>
    <row r="192" spans="1:29" x14ac:dyDescent="0.35">
      <c r="A192" s="106" t="str">
        <f>IF(AND(itens_Remanesc!A191="",itens_Remanesc!A190&lt;&gt;"",COUNTIF(itens_Remanesc!A192:$A$200,"&lt;&gt;")=0),"TOTAL",IF(itens_Remanesc!A191="","",itens_Remanesc!A191))</f>
        <v/>
      </c>
      <c r="B192" s="107" t="str">
        <f>IF(OR(historico_VU!A191="",historico_VU!C191=""),"",historico_VU!C191)</f>
        <v/>
      </c>
      <c r="C192" s="108" t="str">
        <f>IF(posicao_contratual!A191="","",posicao_contratual!G191)</f>
        <v/>
      </c>
      <c r="D192" s="107" t="str">
        <f>IF(A192="TOTAL",ROUND(SUM($D$3:D191),2),IF(OR(A192="",B192="",C192=""),"",ROUND(B192*C192,2)))</f>
        <v/>
      </c>
      <c r="E192" s="109" t="str">
        <f>IF(OR(historico_VU!A191="",historico_VU!D191=""),"",historico_VU!D191)</f>
        <v/>
      </c>
      <c r="F192" s="110" t="str">
        <f>IF(posicao_contratual!A191="","",posicao_contratual!K191)</f>
        <v/>
      </c>
      <c r="G192" s="109" t="str">
        <f>IF(A192="TOTAL",ROUND(SUM($G$3:G191),2),IF(OR(A192="",E192="",F192=""),"",ROUND(E192*F192,2)))</f>
        <v/>
      </c>
      <c r="H192" s="107" t="str">
        <f>IF(OR(historico_VU!A191="",historico_VU!E191=""),"",historico_VU!E191)</f>
        <v/>
      </c>
      <c r="I192" s="108" t="str">
        <f>IF(posicao_contratual!A191="","",posicao_contratual!O191)</f>
        <v/>
      </c>
      <c r="J192" s="107" t="str">
        <f>IF(A192="TOTAL",ROUND(SUM($J$3:J191),2),IF(OR(A192="",H192="",I192=""),"",ROUND(H192*I192,2)))</f>
        <v/>
      </c>
      <c r="K192" s="109" t="str">
        <f>IF(OR(historico_VU!A191="",historico_VU!F191=""),"",historico_VU!F191)</f>
        <v/>
      </c>
      <c r="L192" s="110" t="str">
        <f>IF(posicao_contratual!A191="","",posicao_contratual!S191)</f>
        <v/>
      </c>
      <c r="M192" s="109" t="str">
        <f>IF(A192="TOTAL",ROUND(SUM($M$3:M191),2),IF(OR(A192="",K192="",L192=""),"",ROUND(K192*L192,2)))</f>
        <v/>
      </c>
      <c r="N192" s="107" t="str">
        <f>IF(OR(historico_VU!A191="",historico_VU!G191=""),"",historico_VU!G191)</f>
        <v/>
      </c>
      <c r="O192" s="108" t="str">
        <f>IF(posicao_contratual!A191="","",posicao_contratual!W191)</f>
        <v/>
      </c>
      <c r="P192" s="107" t="str">
        <f>IF(A192="TOTAL",ROUND(SUM($P$3:P191),2),IF(OR(A192="",N192="",O192=""),"",ROUND(N192*O192,2)))</f>
        <v/>
      </c>
      <c r="Q192" s="181" t="str">
        <f t="shared" ca="1" si="40"/>
        <v/>
      </c>
      <c r="R192" t="str">
        <f>IF($A192="","",IF(MEMORIA_RESULTADOS!$W$46="","","C"&amp;MEMORIA_RESULTADOS!$W$46))</f>
        <v/>
      </c>
      <c r="S192" s="207" t="str">
        <f t="shared" ca="1" si="41"/>
        <v/>
      </c>
      <c r="T192" s="207" t="str">
        <f t="shared" ca="1" si="42"/>
        <v/>
      </c>
      <c r="U192" s="207" t="str">
        <f t="shared" ca="1" si="43"/>
        <v/>
      </c>
      <c r="V192" s="191" t="str">
        <f t="shared" ca="1" si="44"/>
        <v/>
      </c>
      <c r="W192" s="191" t="str">
        <f t="shared" ca="1" si="45"/>
        <v/>
      </c>
      <c r="X192" s="191" t="str">
        <f t="shared" ca="1" si="46"/>
        <v/>
      </c>
      <c r="Y192" t="str">
        <f t="shared" ca="1" si="47"/>
        <v/>
      </c>
      <c r="Z192" s="208" t="str">
        <f>IF($A192="","",IF(posicao_contratual!$AA191="","",posicao_contratual!$AA191))</f>
        <v/>
      </c>
      <c r="AA192" t="str">
        <f>IF($A192="","",IF(posicao_contratual!$AL191="","","C"&amp;posicao_contratual!$AL191))</f>
        <v/>
      </c>
      <c r="AB192" t="str">
        <f>IF($A192="","",IF(OR(MEMORIA_RESULTADOS!$W$46="",posicao_contratual!$AL191=""),"",IF(posicao_contratual!$AL191&lt;=MEMORIA_RESULTADOS!$W$46,"SIM","NAO APLICAVEL")))</f>
        <v/>
      </c>
      <c r="AC192" t="str">
        <f>IF($A192="","",IF(MEMORIA_RESULTADOS!$W$46="","",CHOOSE(MEMORIA_RESULTADOS!$W$46+1,posicao_contratual!$AG191,posicao_contratual!$AH191,posicao_contratual!$AI191,posicao_contratual!$AJ191,posicao_contratual!$AK191)))</f>
        <v/>
      </c>
    </row>
    <row r="193" spans="1:29" x14ac:dyDescent="0.35">
      <c r="A193" s="106" t="str">
        <f>IF(AND(itens_Remanesc!A192="",itens_Remanesc!A191&lt;&gt;"",COUNTIF(itens_Remanesc!A193:$A$200,"&lt;&gt;")=0),"TOTAL",IF(itens_Remanesc!A192="","",itens_Remanesc!A192))</f>
        <v/>
      </c>
      <c r="B193" s="107" t="str">
        <f>IF(OR(historico_VU!A192="",historico_VU!C192=""),"",historico_VU!C192)</f>
        <v/>
      </c>
      <c r="C193" s="108" t="str">
        <f>IF(posicao_contratual!A192="","",posicao_contratual!G192)</f>
        <v/>
      </c>
      <c r="D193" s="107" t="str">
        <f>IF(A193="TOTAL",ROUND(SUM($D$3:D192),2),IF(OR(A193="",B193="",C193=""),"",ROUND(B193*C193,2)))</f>
        <v/>
      </c>
      <c r="E193" s="109" t="str">
        <f>IF(OR(historico_VU!A192="",historico_VU!D192=""),"",historico_VU!D192)</f>
        <v/>
      </c>
      <c r="F193" s="110" t="str">
        <f>IF(posicao_contratual!A192="","",posicao_contratual!K192)</f>
        <v/>
      </c>
      <c r="G193" s="109" t="str">
        <f>IF(A193="TOTAL",ROUND(SUM($G$3:G192),2),IF(OR(A193="",E193="",F193=""),"",ROUND(E193*F193,2)))</f>
        <v/>
      </c>
      <c r="H193" s="107" t="str">
        <f>IF(OR(historico_VU!A192="",historico_VU!E192=""),"",historico_VU!E192)</f>
        <v/>
      </c>
      <c r="I193" s="108" t="str">
        <f>IF(posicao_contratual!A192="","",posicao_contratual!O192)</f>
        <v/>
      </c>
      <c r="J193" s="107" t="str">
        <f>IF(A193="TOTAL",ROUND(SUM($J$3:J192),2),IF(OR(A193="",H193="",I193=""),"",ROUND(H193*I193,2)))</f>
        <v/>
      </c>
      <c r="K193" s="109" t="str">
        <f>IF(OR(historico_VU!A192="",historico_VU!F192=""),"",historico_VU!F192)</f>
        <v/>
      </c>
      <c r="L193" s="110" t="str">
        <f>IF(posicao_contratual!A192="","",posicao_contratual!S192)</f>
        <v/>
      </c>
      <c r="M193" s="109" t="str">
        <f>IF(A193="TOTAL",ROUND(SUM($M$3:M192),2),IF(OR(A193="",K193="",L193=""),"",ROUND(K193*L193,2)))</f>
        <v/>
      </c>
      <c r="N193" s="107" t="str">
        <f>IF(OR(historico_VU!A192="",historico_VU!G192=""),"",historico_VU!G192)</f>
        <v/>
      </c>
      <c r="O193" s="108" t="str">
        <f>IF(posicao_contratual!A192="","",posicao_contratual!W192)</f>
        <v/>
      </c>
      <c r="P193" s="107" t="str">
        <f>IF(A193="TOTAL",ROUND(SUM($P$3:P192),2),IF(OR(A193="",N193="",O193=""),"",ROUND(N193*O193,2)))</f>
        <v/>
      </c>
      <c r="Q193" s="181" t="str">
        <f t="shared" ca="1" si="40"/>
        <v/>
      </c>
      <c r="R193" t="str">
        <f>IF($A193="","",IF(MEMORIA_RESULTADOS!$W$46="","","C"&amp;MEMORIA_RESULTADOS!$W$46))</f>
        <v/>
      </c>
      <c r="S193" s="207" t="str">
        <f t="shared" ca="1" si="41"/>
        <v/>
      </c>
      <c r="T193" s="207" t="str">
        <f t="shared" ca="1" si="42"/>
        <v/>
      </c>
      <c r="U193" s="207" t="str">
        <f t="shared" ca="1" si="43"/>
        <v/>
      </c>
      <c r="V193" s="191" t="str">
        <f t="shared" ca="1" si="44"/>
        <v/>
      </c>
      <c r="W193" s="191" t="str">
        <f t="shared" ca="1" si="45"/>
        <v/>
      </c>
      <c r="X193" s="191" t="str">
        <f t="shared" ca="1" si="46"/>
        <v/>
      </c>
      <c r="Y193" t="str">
        <f t="shared" ca="1" si="47"/>
        <v/>
      </c>
      <c r="Z193" s="208" t="str">
        <f>IF($A193="","",IF(posicao_contratual!$AA192="","",posicao_contratual!$AA192))</f>
        <v/>
      </c>
      <c r="AA193" t="str">
        <f>IF($A193="","",IF(posicao_contratual!$AL192="","","C"&amp;posicao_contratual!$AL192))</f>
        <v/>
      </c>
      <c r="AB193" t="str">
        <f>IF($A193="","",IF(OR(MEMORIA_RESULTADOS!$W$46="",posicao_contratual!$AL192=""),"",IF(posicao_contratual!$AL192&lt;=MEMORIA_RESULTADOS!$W$46,"SIM","NAO APLICAVEL")))</f>
        <v/>
      </c>
      <c r="AC193" t="str">
        <f>IF($A193="","",IF(MEMORIA_RESULTADOS!$W$46="","",CHOOSE(MEMORIA_RESULTADOS!$W$46+1,posicao_contratual!$AG192,posicao_contratual!$AH192,posicao_contratual!$AI192,posicao_contratual!$AJ192,posicao_contratual!$AK192)))</f>
        <v/>
      </c>
    </row>
    <row r="194" spans="1:29" x14ac:dyDescent="0.35">
      <c r="A194" s="106" t="str">
        <f>IF(AND(itens_Remanesc!A193="",itens_Remanesc!A192&lt;&gt;"",COUNTIF(itens_Remanesc!A194:$A$200,"&lt;&gt;")=0),"TOTAL",IF(itens_Remanesc!A193="","",itens_Remanesc!A193))</f>
        <v/>
      </c>
      <c r="B194" s="107" t="str">
        <f>IF(OR(historico_VU!A193="",historico_VU!C193=""),"",historico_VU!C193)</f>
        <v/>
      </c>
      <c r="C194" s="108" t="str">
        <f>IF(posicao_contratual!A193="","",posicao_contratual!G193)</f>
        <v/>
      </c>
      <c r="D194" s="107" t="str">
        <f>IF(A194="TOTAL",ROUND(SUM($D$3:D193),2),IF(OR(A194="",B194="",C194=""),"",ROUND(B194*C194,2)))</f>
        <v/>
      </c>
      <c r="E194" s="109" t="str">
        <f>IF(OR(historico_VU!A193="",historico_VU!D193=""),"",historico_VU!D193)</f>
        <v/>
      </c>
      <c r="F194" s="110" t="str">
        <f>IF(posicao_contratual!A193="","",posicao_contratual!K193)</f>
        <v/>
      </c>
      <c r="G194" s="109" t="str">
        <f>IF(A194="TOTAL",ROUND(SUM($G$3:G193),2),IF(OR(A194="",E194="",F194=""),"",ROUND(E194*F194,2)))</f>
        <v/>
      </c>
      <c r="H194" s="107" t="str">
        <f>IF(OR(historico_VU!A193="",historico_VU!E193=""),"",historico_VU!E193)</f>
        <v/>
      </c>
      <c r="I194" s="108" t="str">
        <f>IF(posicao_contratual!A193="","",posicao_contratual!O193)</f>
        <v/>
      </c>
      <c r="J194" s="107" t="str">
        <f>IF(A194="TOTAL",ROUND(SUM($J$3:J193),2),IF(OR(A194="",H194="",I194=""),"",ROUND(H194*I194,2)))</f>
        <v/>
      </c>
      <c r="K194" s="109" t="str">
        <f>IF(OR(historico_VU!A193="",historico_VU!F193=""),"",historico_VU!F193)</f>
        <v/>
      </c>
      <c r="L194" s="110" t="str">
        <f>IF(posicao_contratual!A193="","",posicao_contratual!S193)</f>
        <v/>
      </c>
      <c r="M194" s="109" t="str">
        <f>IF(A194="TOTAL",ROUND(SUM($M$3:M193),2),IF(OR(A194="",K194="",L194=""),"",ROUND(K194*L194,2)))</f>
        <v/>
      </c>
      <c r="N194" s="107" t="str">
        <f>IF(OR(historico_VU!A193="",historico_VU!G193=""),"",historico_VU!G193)</f>
        <v/>
      </c>
      <c r="O194" s="108" t="str">
        <f>IF(posicao_contratual!A193="","",posicao_contratual!W193)</f>
        <v/>
      </c>
      <c r="P194" s="107" t="str">
        <f>IF(A194="TOTAL",ROUND(SUM($P$3:P193),2),IF(OR(A194="",N194="",O194=""),"",ROUND(N194*O194,2)))</f>
        <v/>
      </c>
      <c r="Q194" s="181" t="str">
        <f t="shared" ca="1" si="40"/>
        <v/>
      </c>
      <c r="R194" t="str">
        <f>IF($A194="","",IF(MEMORIA_RESULTADOS!$W$46="","","C"&amp;MEMORIA_RESULTADOS!$W$46))</f>
        <v/>
      </c>
      <c r="S194" s="207" t="str">
        <f t="shared" ca="1" si="41"/>
        <v/>
      </c>
      <c r="T194" s="207" t="str">
        <f t="shared" ca="1" si="42"/>
        <v/>
      </c>
      <c r="U194" s="207" t="str">
        <f t="shared" ca="1" si="43"/>
        <v/>
      </c>
      <c r="V194" s="191" t="str">
        <f t="shared" ca="1" si="44"/>
        <v/>
      </c>
      <c r="W194" s="191" t="str">
        <f t="shared" ca="1" si="45"/>
        <v/>
      </c>
      <c r="X194" s="191" t="str">
        <f t="shared" ca="1" si="46"/>
        <v/>
      </c>
      <c r="Y194" t="str">
        <f t="shared" ca="1" si="47"/>
        <v/>
      </c>
      <c r="Z194" s="208" t="str">
        <f>IF($A194="","",IF(posicao_contratual!$AA193="","",posicao_contratual!$AA193))</f>
        <v/>
      </c>
      <c r="AA194" t="str">
        <f>IF($A194="","",IF(posicao_contratual!$AL193="","","C"&amp;posicao_contratual!$AL193))</f>
        <v/>
      </c>
      <c r="AB194" t="str">
        <f>IF($A194="","",IF(OR(MEMORIA_RESULTADOS!$W$46="",posicao_contratual!$AL193=""),"",IF(posicao_contratual!$AL193&lt;=MEMORIA_RESULTADOS!$W$46,"SIM","NAO APLICAVEL")))</f>
        <v/>
      </c>
      <c r="AC194" t="str">
        <f>IF($A194="","",IF(MEMORIA_RESULTADOS!$W$46="","",CHOOSE(MEMORIA_RESULTADOS!$W$46+1,posicao_contratual!$AG193,posicao_contratual!$AH193,posicao_contratual!$AI193,posicao_contratual!$AJ193,posicao_contratual!$AK193)))</f>
        <v/>
      </c>
    </row>
    <row r="195" spans="1:29" x14ac:dyDescent="0.35">
      <c r="A195" s="106" t="str">
        <f>IF(AND(itens_Remanesc!A194="",itens_Remanesc!A193&lt;&gt;"",COUNTIF(itens_Remanesc!A195:$A$200,"&lt;&gt;")=0),"TOTAL",IF(itens_Remanesc!A194="","",itens_Remanesc!A194))</f>
        <v/>
      </c>
      <c r="B195" s="107" t="str">
        <f>IF(OR(historico_VU!A194="",historico_VU!C194=""),"",historico_VU!C194)</f>
        <v/>
      </c>
      <c r="C195" s="108" t="str">
        <f>IF(posicao_contratual!A194="","",posicao_contratual!G194)</f>
        <v/>
      </c>
      <c r="D195" s="107" t="str">
        <f>IF(A195="TOTAL",ROUND(SUM($D$3:D194),2),IF(OR(A195="",B195="",C195=""),"",ROUND(B195*C195,2)))</f>
        <v/>
      </c>
      <c r="E195" s="109" t="str">
        <f>IF(OR(historico_VU!A194="",historico_VU!D194=""),"",historico_VU!D194)</f>
        <v/>
      </c>
      <c r="F195" s="110" t="str">
        <f>IF(posicao_contratual!A194="","",posicao_contratual!K194)</f>
        <v/>
      </c>
      <c r="G195" s="109" t="str">
        <f>IF(A195="TOTAL",ROUND(SUM($G$3:G194),2),IF(OR(A195="",E195="",F195=""),"",ROUND(E195*F195,2)))</f>
        <v/>
      </c>
      <c r="H195" s="107" t="str">
        <f>IF(OR(historico_VU!A194="",historico_VU!E194=""),"",historico_VU!E194)</f>
        <v/>
      </c>
      <c r="I195" s="108" t="str">
        <f>IF(posicao_contratual!A194="","",posicao_contratual!O194)</f>
        <v/>
      </c>
      <c r="J195" s="107" t="str">
        <f>IF(A195="TOTAL",ROUND(SUM($J$3:J194),2),IF(OR(A195="",H195="",I195=""),"",ROUND(H195*I195,2)))</f>
        <v/>
      </c>
      <c r="K195" s="109" t="str">
        <f>IF(OR(historico_VU!A194="",historico_VU!F194=""),"",historico_VU!F194)</f>
        <v/>
      </c>
      <c r="L195" s="110" t="str">
        <f>IF(posicao_contratual!A194="","",posicao_contratual!S194)</f>
        <v/>
      </c>
      <c r="M195" s="109" t="str">
        <f>IF(A195="TOTAL",ROUND(SUM($M$3:M194),2),IF(OR(A195="",K195="",L195=""),"",ROUND(K195*L195,2)))</f>
        <v/>
      </c>
      <c r="N195" s="107" t="str">
        <f>IF(OR(historico_VU!A194="",historico_VU!G194=""),"",historico_VU!G194)</f>
        <v/>
      </c>
      <c r="O195" s="108" t="str">
        <f>IF(posicao_contratual!A194="","",posicao_contratual!W194)</f>
        <v/>
      </c>
      <c r="P195" s="107" t="str">
        <f>IF(A195="TOTAL",ROUND(SUM($P$3:P194),2),IF(OR(A195="",N195="",O195=""),"",ROUND(N195*O195,2)))</f>
        <v/>
      </c>
      <c r="Q195" s="181" t="str">
        <f t="shared" ref="Q195:Q202" ca="1" si="48">IF($A195="","",IFERROR(IF(INDIRECT("CICLO_EM_EXECUCAO!$D$5")="","",INDIRECT("CICLO_EM_EXECUCAO!$D$5")),""))</f>
        <v/>
      </c>
      <c r="R195" t="str">
        <f>IF($A195="","",IF(MEMORIA_RESULTADOS!$W$46="","","C"&amp;MEMORIA_RESULTADOS!$W$46))</f>
        <v/>
      </c>
      <c r="S195" s="207" t="str">
        <f t="shared" ref="S195:S202" ca="1" si="49">IF($A195="","",IFERROR(IF(INDIRECT("CICLO_EM_EXECUCAO!B"&amp;(ROW()+10))="","",INDIRECT("CICLO_EM_EXECUCAO!B"&amp;(ROW()+10))),""))</f>
        <v/>
      </c>
      <c r="T195" s="207" t="str">
        <f t="shared" ref="T195:T202" ca="1" si="50">IF($A195="","",IFERROR(IF(INDIRECT("CICLO_EM_EXECUCAO!D"&amp;(ROW()+10))="","",INDIRECT("CICLO_EM_EXECUCAO!D"&amp;(ROW()+10))),""))</f>
        <v/>
      </c>
      <c r="U195" s="207" t="str">
        <f t="shared" ref="U195:U202" ca="1" si="51">IF($A195="","",IFERROR(IF(INDIRECT("CICLO_EM_EXECUCAO!C"&amp;(ROW()+10))="","",INDIRECT("CICLO_EM_EXECUCAO!C"&amp;(ROW()+10))),""))</f>
        <v/>
      </c>
      <c r="V195" s="191" t="str">
        <f t="shared" ref="V195:V202" ca="1" si="52">IF($A195="","",IFERROR(IF(INDIRECT("CICLO_EM_EXECUCAO!E"&amp;(ROW()+10))="","",INDIRECT("CICLO_EM_EXECUCAO!E"&amp;(ROW()+10))),""))</f>
        <v/>
      </c>
      <c r="W195" s="191" t="str">
        <f t="shared" ref="W195:W202" ca="1" si="53">IF($A195="","",IFERROR(IF(INDIRECT("CICLO_EM_EXECUCAO!F"&amp;(ROW()+10))="","",INDIRECT("CICLO_EM_EXECUCAO!F"&amp;(ROW()+10))),""))</f>
        <v/>
      </c>
      <c r="X195" s="191" t="str">
        <f t="shared" ref="X195:X202" ca="1" si="54">IF($A195="","",IFERROR(IF(INDIRECT("CICLO_EM_EXECUCAO!G"&amp;(ROW()+10))="","",INDIRECT("CICLO_EM_EXECUCAO!G"&amp;(ROW()+10))),""))</f>
        <v/>
      </c>
      <c r="Y195" t="str">
        <f t="shared" ref="Y195:Y202" ca="1" si="55">IF($A195="","",IFERROR(IF(INDIRECT("CICLO_EM_EXECUCAO!K"&amp;(ROW()+10))="","",INDIRECT("CICLO_EM_EXECUCAO!K"&amp;(ROW()+10))),"CICLO_EM_EXECUCAO AUSENTE"))</f>
        <v/>
      </c>
      <c r="Z195" s="208" t="str">
        <f>IF($A195="","",IF(posicao_contratual!$AA194="","",posicao_contratual!$AA194))</f>
        <v/>
      </c>
      <c r="AA195" t="str">
        <f>IF($A195="","",IF(posicao_contratual!$AL194="","","C"&amp;posicao_contratual!$AL194))</f>
        <v/>
      </c>
      <c r="AB195" t="str">
        <f>IF($A195="","",IF(OR(MEMORIA_RESULTADOS!$W$46="",posicao_contratual!$AL194=""),"",IF(posicao_contratual!$AL194&lt;=MEMORIA_RESULTADOS!$W$46,"SIM","NAO APLICAVEL")))</f>
        <v/>
      </c>
      <c r="AC195" t="str">
        <f>IF($A195="","",IF(MEMORIA_RESULTADOS!$W$46="","",CHOOSE(MEMORIA_RESULTADOS!$W$46+1,posicao_contratual!$AG194,posicao_contratual!$AH194,posicao_contratual!$AI194,posicao_contratual!$AJ194,posicao_contratual!$AK194)))</f>
        <v/>
      </c>
    </row>
    <row r="196" spans="1:29" x14ac:dyDescent="0.35">
      <c r="A196" s="106" t="str">
        <f>IF(AND(itens_Remanesc!A195="",itens_Remanesc!A194&lt;&gt;"",COUNTIF(itens_Remanesc!A196:$A$200,"&lt;&gt;")=0),"TOTAL",IF(itens_Remanesc!A195="","",itens_Remanesc!A195))</f>
        <v/>
      </c>
      <c r="B196" s="107" t="str">
        <f>IF(OR(historico_VU!A195="",historico_VU!C195=""),"",historico_VU!C195)</f>
        <v/>
      </c>
      <c r="C196" s="108" t="str">
        <f>IF(posicao_contratual!A195="","",posicao_contratual!G195)</f>
        <v/>
      </c>
      <c r="D196" s="107" t="str">
        <f>IF(A196="TOTAL",ROUND(SUM($D$3:D195),2),IF(OR(A196="",B196="",C196=""),"",ROUND(B196*C196,2)))</f>
        <v/>
      </c>
      <c r="E196" s="109" t="str">
        <f>IF(OR(historico_VU!A195="",historico_VU!D195=""),"",historico_VU!D195)</f>
        <v/>
      </c>
      <c r="F196" s="110" t="str">
        <f>IF(posicao_contratual!A195="","",posicao_contratual!K195)</f>
        <v/>
      </c>
      <c r="G196" s="109" t="str">
        <f>IF(A196="TOTAL",ROUND(SUM($G$3:G195),2),IF(OR(A196="",E196="",F196=""),"",ROUND(E196*F196,2)))</f>
        <v/>
      </c>
      <c r="H196" s="107" t="str">
        <f>IF(OR(historico_VU!A195="",historico_VU!E195=""),"",historico_VU!E195)</f>
        <v/>
      </c>
      <c r="I196" s="108" t="str">
        <f>IF(posicao_contratual!A195="","",posicao_contratual!O195)</f>
        <v/>
      </c>
      <c r="J196" s="107" t="str">
        <f>IF(A196="TOTAL",ROUND(SUM($J$3:J195),2),IF(OR(A196="",H196="",I196=""),"",ROUND(H196*I196,2)))</f>
        <v/>
      </c>
      <c r="K196" s="109" t="str">
        <f>IF(OR(historico_VU!A195="",historico_VU!F195=""),"",historico_VU!F195)</f>
        <v/>
      </c>
      <c r="L196" s="110" t="str">
        <f>IF(posicao_contratual!A195="","",posicao_contratual!S195)</f>
        <v/>
      </c>
      <c r="M196" s="109" t="str">
        <f>IF(A196="TOTAL",ROUND(SUM($M$3:M195),2),IF(OR(A196="",K196="",L196=""),"",ROUND(K196*L196,2)))</f>
        <v/>
      </c>
      <c r="N196" s="107" t="str">
        <f>IF(OR(historico_VU!A195="",historico_VU!G195=""),"",historico_VU!G195)</f>
        <v/>
      </c>
      <c r="O196" s="108" t="str">
        <f>IF(posicao_contratual!A195="","",posicao_contratual!W195)</f>
        <v/>
      </c>
      <c r="P196" s="107" t="str">
        <f>IF(A196="TOTAL",ROUND(SUM($P$3:P195),2),IF(OR(A196="",N196="",O196=""),"",ROUND(N196*O196,2)))</f>
        <v/>
      </c>
      <c r="Q196" s="181" t="str">
        <f t="shared" ca="1" si="48"/>
        <v/>
      </c>
      <c r="R196" t="str">
        <f>IF($A196="","",IF(MEMORIA_RESULTADOS!$W$46="","","C"&amp;MEMORIA_RESULTADOS!$W$46))</f>
        <v/>
      </c>
      <c r="S196" s="207" t="str">
        <f t="shared" ca="1" si="49"/>
        <v/>
      </c>
      <c r="T196" s="207" t="str">
        <f t="shared" ca="1" si="50"/>
        <v/>
      </c>
      <c r="U196" s="207" t="str">
        <f t="shared" ca="1" si="51"/>
        <v/>
      </c>
      <c r="V196" s="191" t="str">
        <f t="shared" ca="1" si="52"/>
        <v/>
      </c>
      <c r="W196" s="191" t="str">
        <f t="shared" ca="1" si="53"/>
        <v/>
      </c>
      <c r="X196" s="191" t="str">
        <f t="shared" ca="1" si="54"/>
        <v/>
      </c>
      <c r="Y196" t="str">
        <f t="shared" ca="1" si="55"/>
        <v/>
      </c>
      <c r="Z196" s="208" t="str">
        <f>IF($A196="","",IF(posicao_contratual!$AA195="","",posicao_contratual!$AA195))</f>
        <v/>
      </c>
      <c r="AA196" t="str">
        <f>IF($A196="","",IF(posicao_contratual!$AL195="","","C"&amp;posicao_contratual!$AL195))</f>
        <v/>
      </c>
      <c r="AB196" t="str">
        <f>IF($A196="","",IF(OR(MEMORIA_RESULTADOS!$W$46="",posicao_contratual!$AL195=""),"",IF(posicao_contratual!$AL195&lt;=MEMORIA_RESULTADOS!$W$46,"SIM","NAO APLICAVEL")))</f>
        <v/>
      </c>
      <c r="AC196" t="str">
        <f>IF($A196="","",IF(MEMORIA_RESULTADOS!$W$46="","",CHOOSE(MEMORIA_RESULTADOS!$W$46+1,posicao_contratual!$AG195,posicao_contratual!$AH195,posicao_contratual!$AI195,posicao_contratual!$AJ195,posicao_contratual!$AK195)))</f>
        <v/>
      </c>
    </row>
    <row r="197" spans="1:29" x14ac:dyDescent="0.35">
      <c r="A197" s="106" t="str">
        <f>IF(AND(itens_Remanesc!A196="",itens_Remanesc!A195&lt;&gt;"",COUNTIF(itens_Remanesc!A197:$A$200,"&lt;&gt;")=0),"TOTAL",IF(itens_Remanesc!A196="","",itens_Remanesc!A196))</f>
        <v/>
      </c>
      <c r="B197" s="107" t="str">
        <f>IF(OR(historico_VU!A196="",historico_VU!C196=""),"",historico_VU!C196)</f>
        <v/>
      </c>
      <c r="C197" s="108" t="str">
        <f>IF(posicao_contratual!A196="","",posicao_contratual!G196)</f>
        <v/>
      </c>
      <c r="D197" s="107" t="str">
        <f>IF(A197="TOTAL",ROUND(SUM($D$3:D196),2),IF(OR(A197="",B197="",C197=""),"",ROUND(B197*C197,2)))</f>
        <v/>
      </c>
      <c r="E197" s="109" t="str">
        <f>IF(OR(historico_VU!A196="",historico_VU!D196=""),"",historico_VU!D196)</f>
        <v/>
      </c>
      <c r="F197" s="110" t="str">
        <f>IF(posicao_contratual!A196="","",posicao_contratual!K196)</f>
        <v/>
      </c>
      <c r="G197" s="109" t="str">
        <f>IF(A197="TOTAL",ROUND(SUM($G$3:G196),2),IF(OR(A197="",E197="",F197=""),"",ROUND(E197*F197,2)))</f>
        <v/>
      </c>
      <c r="H197" s="107" t="str">
        <f>IF(OR(historico_VU!A196="",historico_VU!E196=""),"",historico_VU!E196)</f>
        <v/>
      </c>
      <c r="I197" s="108" t="str">
        <f>IF(posicao_contratual!A196="","",posicao_contratual!O196)</f>
        <v/>
      </c>
      <c r="J197" s="107" t="str">
        <f>IF(A197="TOTAL",ROUND(SUM($J$3:J196),2),IF(OR(A197="",H197="",I197=""),"",ROUND(H197*I197,2)))</f>
        <v/>
      </c>
      <c r="K197" s="109" t="str">
        <f>IF(OR(historico_VU!A196="",historico_VU!F196=""),"",historico_VU!F196)</f>
        <v/>
      </c>
      <c r="L197" s="110" t="str">
        <f>IF(posicao_contratual!A196="","",posicao_contratual!S196)</f>
        <v/>
      </c>
      <c r="M197" s="109" t="str">
        <f>IF(A197="TOTAL",ROUND(SUM($M$3:M196),2),IF(OR(A197="",K197="",L197=""),"",ROUND(K197*L197,2)))</f>
        <v/>
      </c>
      <c r="N197" s="107" t="str">
        <f>IF(OR(historico_VU!A196="",historico_VU!G196=""),"",historico_VU!G196)</f>
        <v/>
      </c>
      <c r="O197" s="108" t="str">
        <f>IF(posicao_contratual!A196="","",posicao_contratual!W196)</f>
        <v/>
      </c>
      <c r="P197" s="107" t="str">
        <f>IF(A197="TOTAL",ROUND(SUM($P$3:P196),2),IF(OR(A197="",N197="",O197=""),"",ROUND(N197*O197,2)))</f>
        <v/>
      </c>
      <c r="Q197" s="181" t="str">
        <f t="shared" ca="1" si="48"/>
        <v/>
      </c>
      <c r="R197" t="str">
        <f>IF($A197="","",IF(MEMORIA_RESULTADOS!$W$46="","","C"&amp;MEMORIA_RESULTADOS!$W$46))</f>
        <v/>
      </c>
      <c r="S197" s="207" t="str">
        <f t="shared" ca="1" si="49"/>
        <v/>
      </c>
      <c r="T197" s="207" t="str">
        <f t="shared" ca="1" si="50"/>
        <v/>
      </c>
      <c r="U197" s="207" t="str">
        <f t="shared" ca="1" si="51"/>
        <v/>
      </c>
      <c r="V197" s="191" t="str">
        <f t="shared" ca="1" si="52"/>
        <v/>
      </c>
      <c r="W197" s="191" t="str">
        <f t="shared" ca="1" si="53"/>
        <v/>
      </c>
      <c r="X197" s="191" t="str">
        <f t="shared" ca="1" si="54"/>
        <v/>
      </c>
      <c r="Y197" t="str">
        <f t="shared" ca="1" si="55"/>
        <v/>
      </c>
      <c r="Z197" s="208" t="str">
        <f>IF($A197="","",IF(posicao_contratual!$AA196="","",posicao_contratual!$AA196))</f>
        <v/>
      </c>
      <c r="AA197" t="str">
        <f>IF($A197="","",IF(posicao_contratual!$AL196="","","C"&amp;posicao_contratual!$AL196))</f>
        <v/>
      </c>
      <c r="AB197" t="str">
        <f>IF($A197="","",IF(OR(MEMORIA_RESULTADOS!$W$46="",posicao_contratual!$AL196=""),"",IF(posicao_contratual!$AL196&lt;=MEMORIA_RESULTADOS!$W$46,"SIM","NAO APLICAVEL")))</f>
        <v/>
      </c>
      <c r="AC197" t="str">
        <f>IF($A197="","",IF(MEMORIA_RESULTADOS!$W$46="","",CHOOSE(MEMORIA_RESULTADOS!$W$46+1,posicao_contratual!$AG196,posicao_contratual!$AH196,posicao_contratual!$AI196,posicao_contratual!$AJ196,posicao_contratual!$AK196)))</f>
        <v/>
      </c>
    </row>
    <row r="198" spans="1:29" x14ac:dyDescent="0.35">
      <c r="A198" s="106" t="str">
        <f>IF(AND(itens_Remanesc!A197="",itens_Remanesc!A196&lt;&gt;"",COUNTIF(itens_Remanesc!A198:$A$200,"&lt;&gt;")=0),"TOTAL",IF(itens_Remanesc!A197="","",itens_Remanesc!A197))</f>
        <v/>
      </c>
      <c r="B198" s="107" t="str">
        <f>IF(OR(historico_VU!A197="",historico_VU!C197=""),"",historico_VU!C197)</f>
        <v/>
      </c>
      <c r="C198" s="108" t="str">
        <f>IF(posicao_contratual!A197="","",posicao_contratual!G197)</f>
        <v/>
      </c>
      <c r="D198" s="107" t="str">
        <f>IF(A198="TOTAL",ROUND(SUM($D$3:D197),2),IF(OR(A198="",B198="",C198=""),"",ROUND(B198*C198,2)))</f>
        <v/>
      </c>
      <c r="E198" s="109" t="str">
        <f>IF(OR(historico_VU!A197="",historico_VU!D197=""),"",historico_VU!D197)</f>
        <v/>
      </c>
      <c r="F198" s="110" t="str">
        <f>IF(posicao_contratual!A197="","",posicao_contratual!K197)</f>
        <v/>
      </c>
      <c r="G198" s="109" t="str">
        <f>IF(A198="TOTAL",ROUND(SUM($G$3:G197),2),IF(OR(A198="",E198="",F198=""),"",ROUND(E198*F198,2)))</f>
        <v/>
      </c>
      <c r="H198" s="107" t="str">
        <f>IF(OR(historico_VU!A197="",historico_VU!E197=""),"",historico_VU!E197)</f>
        <v/>
      </c>
      <c r="I198" s="108" t="str">
        <f>IF(posicao_contratual!A197="","",posicao_contratual!O197)</f>
        <v/>
      </c>
      <c r="J198" s="107" t="str">
        <f>IF(A198="TOTAL",ROUND(SUM($J$3:J197),2),IF(OR(A198="",H198="",I198=""),"",ROUND(H198*I198,2)))</f>
        <v/>
      </c>
      <c r="K198" s="109" t="str">
        <f>IF(OR(historico_VU!A197="",historico_VU!F197=""),"",historico_VU!F197)</f>
        <v/>
      </c>
      <c r="L198" s="110" t="str">
        <f>IF(posicao_contratual!A197="","",posicao_contratual!S197)</f>
        <v/>
      </c>
      <c r="M198" s="109" t="str">
        <f>IF(A198="TOTAL",ROUND(SUM($M$3:M197),2),IF(OR(A198="",K198="",L198=""),"",ROUND(K198*L198,2)))</f>
        <v/>
      </c>
      <c r="N198" s="107" t="str">
        <f>IF(OR(historico_VU!A197="",historico_VU!G197=""),"",historico_VU!G197)</f>
        <v/>
      </c>
      <c r="O198" s="108" t="str">
        <f>IF(posicao_contratual!A197="","",posicao_contratual!W197)</f>
        <v/>
      </c>
      <c r="P198" s="107" t="str">
        <f>IF(A198="TOTAL",ROUND(SUM($P$3:P197),2),IF(OR(A198="",N198="",O198=""),"",ROUND(N198*O198,2)))</f>
        <v/>
      </c>
      <c r="Q198" s="181" t="str">
        <f t="shared" ca="1" si="48"/>
        <v/>
      </c>
      <c r="R198" t="str">
        <f>IF($A198="","",IF(MEMORIA_RESULTADOS!$W$46="","","C"&amp;MEMORIA_RESULTADOS!$W$46))</f>
        <v/>
      </c>
      <c r="S198" s="207" t="str">
        <f t="shared" ca="1" si="49"/>
        <v/>
      </c>
      <c r="T198" s="207" t="str">
        <f t="shared" ca="1" si="50"/>
        <v/>
      </c>
      <c r="U198" s="207" t="str">
        <f t="shared" ca="1" si="51"/>
        <v/>
      </c>
      <c r="V198" s="191" t="str">
        <f t="shared" ca="1" si="52"/>
        <v/>
      </c>
      <c r="W198" s="191" t="str">
        <f t="shared" ca="1" si="53"/>
        <v/>
      </c>
      <c r="X198" s="191" t="str">
        <f t="shared" ca="1" si="54"/>
        <v/>
      </c>
      <c r="Y198" t="str">
        <f t="shared" ca="1" si="55"/>
        <v/>
      </c>
      <c r="Z198" s="208" t="str">
        <f>IF($A198="","",IF(posicao_contratual!$AA197="","",posicao_contratual!$AA197))</f>
        <v/>
      </c>
      <c r="AA198" t="str">
        <f>IF($A198="","",IF(posicao_contratual!$AL197="","","C"&amp;posicao_contratual!$AL197))</f>
        <v/>
      </c>
      <c r="AB198" t="str">
        <f>IF($A198="","",IF(OR(MEMORIA_RESULTADOS!$W$46="",posicao_contratual!$AL197=""),"",IF(posicao_contratual!$AL197&lt;=MEMORIA_RESULTADOS!$W$46,"SIM","NAO APLICAVEL")))</f>
        <v/>
      </c>
      <c r="AC198" t="str">
        <f>IF($A198="","",IF(MEMORIA_RESULTADOS!$W$46="","",CHOOSE(MEMORIA_RESULTADOS!$W$46+1,posicao_contratual!$AG197,posicao_contratual!$AH197,posicao_contratual!$AI197,posicao_contratual!$AJ197,posicao_contratual!$AK197)))</f>
        <v/>
      </c>
    </row>
    <row r="199" spans="1:29" x14ac:dyDescent="0.35">
      <c r="A199" s="106" t="str">
        <f>IF(AND(itens_Remanesc!A198="",itens_Remanesc!A197&lt;&gt;"",COUNTIF(itens_Remanesc!A199:$A$200,"&lt;&gt;")=0),"TOTAL",IF(itens_Remanesc!A198="","",itens_Remanesc!A198))</f>
        <v/>
      </c>
      <c r="B199" s="107" t="str">
        <f>IF(OR(historico_VU!A198="",historico_VU!C198=""),"",historico_VU!C198)</f>
        <v/>
      </c>
      <c r="C199" s="108" t="str">
        <f>IF(posicao_contratual!A198="","",posicao_contratual!G198)</f>
        <v/>
      </c>
      <c r="D199" s="107" t="str">
        <f>IF(A199="TOTAL",ROUND(SUM($D$3:D198),2),IF(OR(A199="",B199="",C199=""),"",ROUND(B199*C199,2)))</f>
        <v/>
      </c>
      <c r="E199" s="109" t="str">
        <f>IF(OR(historico_VU!A198="",historico_VU!D198=""),"",historico_VU!D198)</f>
        <v/>
      </c>
      <c r="F199" s="110" t="str">
        <f>IF(posicao_contratual!A198="","",posicao_contratual!K198)</f>
        <v/>
      </c>
      <c r="G199" s="109" t="str">
        <f>IF(A199="TOTAL",ROUND(SUM($G$3:G198),2),IF(OR(A199="",E199="",F199=""),"",ROUND(E199*F199,2)))</f>
        <v/>
      </c>
      <c r="H199" s="107" t="str">
        <f>IF(OR(historico_VU!A198="",historico_VU!E198=""),"",historico_VU!E198)</f>
        <v/>
      </c>
      <c r="I199" s="108" t="str">
        <f>IF(posicao_contratual!A198="","",posicao_contratual!O198)</f>
        <v/>
      </c>
      <c r="J199" s="107" t="str">
        <f>IF(A199="TOTAL",ROUND(SUM($J$3:J198),2),IF(OR(A199="",H199="",I199=""),"",ROUND(H199*I199,2)))</f>
        <v/>
      </c>
      <c r="K199" s="109" t="str">
        <f>IF(OR(historico_VU!A198="",historico_VU!F198=""),"",historico_VU!F198)</f>
        <v/>
      </c>
      <c r="L199" s="110" t="str">
        <f>IF(posicao_contratual!A198="","",posicao_contratual!S198)</f>
        <v/>
      </c>
      <c r="M199" s="109" t="str">
        <f>IF(A199="TOTAL",ROUND(SUM($M$3:M198),2),IF(OR(A199="",K199="",L199=""),"",ROUND(K199*L199,2)))</f>
        <v/>
      </c>
      <c r="N199" s="107" t="str">
        <f>IF(OR(historico_VU!A198="",historico_VU!G198=""),"",historico_VU!G198)</f>
        <v/>
      </c>
      <c r="O199" s="108" t="str">
        <f>IF(posicao_contratual!A198="","",posicao_contratual!W198)</f>
        <v/>
      </c>
      <c r="P199" s="107" t="str">
        <f>IF(A199="TOTAL",ROUND(SUM($P$3:P198),2),IF(OR(A199="",N199="",O199=""),"",ROUND(N199*O199,2)))</f>
        <v/>
      </c>
      <c r="Q199" s="181" t="str">
        <f t="shared" ca="1" si="48"/>
        <v/>
      </c>
      <c r="R199" t="str">
        <f>IF($A199="","",IF(MEMORIA_RESULTADOS!$W$46="","","C"&amp;MEMORIA_RESULTADOS!$W$46))</f>
        <v/>
      </c>
      <c r="S199" s="207" t="str">
        <f t="shared" ca="1" si="49"/>
        <v/>
      </c>
      <c r="T199" s="207" t="str">
        <f t="shared" ca="1" si="50"/>
        <v/>
      </c>
      <c r="U199" s="207" t="str">
        <f t="shared" ca="1" si="51"/>
        <v/>
      </c>
      <c r="V199" s="191" t="str">
        <f t="shared" ca="1" si="52"/>
        <v/>
      </c>
      <c r="W199" s="191" t="str">
        <f t="shared" ca="1" si="53"/>
        <v/>
      </c>
      <c r="X199" s="191" t="str">
        <f t="shared" ca="1" si="54"/>
        <v/>
      </c>
      <c r="Y199" t="str">
        <f t="shared" ca="1" si="55"/>
        <v/>
      </c>
      <c r="Z199" s="208" t="str">
        <f>IF($A199="","",IF(posicao_contratual!$AA198="","",posicao_contratual!$AA198))</f>
        <v/>
      </c>
      <c r="AA199" t="str">
        <f>IF($A199="","",IF(posicao_contratual!$AL198="","","C"&amp;posicao_contratual!$AL198))</f>
        <v/>
      </c>
      <c r="AB199" t="str">
        <f>IF($A199="","",IF(OR(MEMORIA_RESULTADOS!$W$46="",posicao_contratual!$AL198=""),"",IF(posicao_contratual!$AL198&lt;=MEMORIA_RESULTADOS!$W$46,"SIM","NAO APLICAVEL")))</f>
        <v/>
      </c>
      <c r="AC199" t="str">
        <f>IF($A199="","",IF(MEMORIA_RESULTADOS!$W$46="","",CHOOSE(MEMORIA_RESULTADOS!$W$46+1,posicao_contratual!$AG198,posicao_contratual!$AH198,posicao_contratual!$AI198,posicao_contratual!$AJ198,posicao_contratual!$AK198)))</f>
        <v/>
      </c>
    </row>
    <row r="200" spans="1:29" x14ac:dyDescent="0.35">
      <c r="A200" s="106" t="str">
        <f>IF(AND(itens_Remanesc!A199="",itens_Remanesc!A198&lt;&gt;"",COUNTIF(itens_Remanesc!A200:$A$200,"&lt;&gt;")=0),"TOTAL",IF(itens_Remanesc!A199="","",itens_Remanesc!A199))</f>
        <v/>
      </c>
      <c r="B200" s="107" t="str">
        <f>IF(OR(historico_VU!A199="",historico_VU!C199=""),"",historico_VU!C199)</f>
        <v/>
      </c>
      <c r="C200" s="108" t="str">
        <f>IF(posicao_contratual!A199="","",posicao_contratual!G199)</f>
        <v/>
      </c>
      <c r="D200" s="107" t="str">
        <f>IF(A200="TOTAL",ROUND(SUM($D$3:D199),2),IF(OR(A200="",B200="",C200=""),"",ROUND(B200*C200,2)))</f>
        <v/>
      </c>
      <c r="E200" s="109" t="str">
        <f>IF(OR(historico_VU!A199="",historico_VU!D199=""),"",historico_VU!D199)</f>
        <v/>
      </c>
      <c r="F200" s="110" t="str">
        <f>IF(posicao_contratual!A199="","",posicao_contratual!K199)</f>
        <v/>
      </c>
      <c r="G200" s="109" t="str">
        <f>IF(A200="TOTAL",ROUND(SUM($G$3:G199),2),IF(OR(A200="",E200="",F200=""),"",ROUND(E200*F200,2)))</f>
        <v/>
      </c>
      <c r="H200" s="107" t="str">
        <f>IF(OR(historico_VU!A199="",historico_VU!E199=""),"",historico_VU!E199)</f>
        <v/>
      </c>
      <c r="I200" s="108" t="str">
        <f>IF(posicao_contratual!A199="","",posicao_contratual!O199)</f>
        <v/>
      </c>
      <c r="J200" s="107" t="str">
        <f>IF(A200="TOTAL",ROUND(SUM($J$3:J199),2),IF(OR(A200="",H200="",I200=""),"",ROUND(H200*I200,2)))</f>
        <v/>
      </c>
      <c r="K200" s="109" t="str">
        <f>IF(OR(historico_VU!A199="",historico_VU!F199=""),"",historico_VU!F199)</f>
        <v/>
      </c>
      <c r="L200" s="110" t="str">
        <f>IF(posicao_contratual!A199="","",posicao_contratual!S199)</f>
        <v/>
      </c>
      <c r="M200" s="109" t="str">
        <f>IF(A200="TOTAL",ROUND(SUM($M$3:M199),2),IF(OR(A200="",K200="",L200=""),"",ROUND(K200*L200,2)))</f>
        <v/>
      </c>
      <c r="N200" s="107" t="str">
        <f>IF(OR(historico_VU!A199="",historico_VU!G199=""),"",historico_VU!G199)</f>
        <v/>
      </c>
      <c r="O200" s="108" t="str">
        <f>IF(posicao_contratual!A199="","",posicao_contratual!W199)</f>
        <v/>
      </c>
      <c r="P200" s="107" t="str">
        <f>IF(A200="TOTAL",ROUND(SUM($P$3:P199),2),IF(OR(A200="",N200="",O200=""),"",ROUND(N200*O200,2)))</f>
        <v/>
      </c>
      <c r="Q200" s="181" t="str">
        <f t="shared" ca="1" si="48"/>
        <v/>
      </c>
      <c r="R200" t="str">
        <f>IF($A200="","",IF(MEMORIA_RESULTADOS!$W$46="","","C"&amp;MEMORIA_RESULTADOS!$W$46))</f>
        <v/>
      </c>
      <c r="S200" s="207" t="str">
        <f t="shared" ca="1" si="49"/>
        <v/>
      </c>
      <c r="T200" s="207" t="str">
        <f t="shared" ca="1" si="50"/>
        <v/>
      </c>
      <c r="U200" s="207" t="str">
        <f t="shared" ca="1" si="51"/>
        <v/>
      </c>
      <c r="V200" s="191" t="str">
        <f t="shared" ca="1" si="52"/>
        <v/>
      </c>
      <c r="W200" s="191" t="str">
        <f t="shared" ca="1" si="53"/>
        <v/>
      </c>
      <c r="X200" s="191" t="str">
        <f t="shared" ca="1" si="54"/>
        <v/>
      </c>
      <c r="Y200" t="str">
        <f t="shared" ca="1" si="55"/>
        <v/>
      </c>
      <c r="Z200" s="208" t="str">
        <f>IF($A200="","",IF(posicao_contratual!$AA199="","",posicao_contratual!$AA199))</f>
        <v/>
      </c>
      <c r="AA200" t="str">
        <f>IF($A200="","",IF(posicao_contratual!$AL199="","","C"&amp;posicao_contratual!$AL199))</f>
        <v/>
      </c>
      <c r="AB200" t="str">
        <f>IF($A200="","",IF(OR(MEMORIA_RESULTADOS!$W$46="",posicao_contratual!$AL199=""),"",IF(posicao_contratual!$AL199&lt;=MEMORIA_RESULTADOS!$W$46,"SIM","NAO APLICAVEL")))</f>
        <v/>
      </c>
      <c r="AC200" t="str">
        <f>IF($A200="","",IF(MEMORIA_RESULTADOS!$W$46="","",CHOOSE(MEMORIA_RESULTADOS!$W$46+1,posicao_contratual!$AG199,posicao_contratual!$AH199,posicao_contratual!$AI199,posicao_contratual!$AJ199,posicao_contratual!$AK199)))</f>
        <v/>
      </c>
    </row>
    <row r="201" spans="1:29" x14ac:dyDescent="0.35">
      <c r="A201" s="106" t="str">
        <f>IF(AND(itens_Remanesc!A200="",itens_Remanesc!A199&lt;&gt;"",COUNTIF(itens_Remanesc!A$200:$A201,"&lt;&gt;")=0),"TOTAL",IF(itens_Remanesc!A200="","",itens_Remanesc!A200))</f>
        <v/>
      </c>
      <c r="B201" s="107" t="str">
        <f>IF(OR(historico_VU!A200="",historico_VU!C200=""),"",historico_VU!C200)</f>
        <v/>
      </c>
      <c r="C201" s="108" t="str">
        <f>IF(posicao_contratual!A200="","",posicao_contratual!G200)</f>
        <v/>
      </c>
      <c r="D201" s="107" t="str">
        <f>IF(A201="TOTAL",ROUND(SUM($D$3:D200),2),IF(OR(A201="",B201="",C201=""),"",ROUND(B201*C201,2)))</f>
        <v/>
      </c>
      <c r="E201" s="109" t="str">
        <f>IF(OR(historico_VU!A200="",historico_VU!D200=""),"",historico_VU!D200)</f>
        <v/>
      </c>
      <c r="F201" s="110" t="str">
        <f>IF(posicao_contratual!A200="","",posicao_contratual!K200)</f>
        <v/>
      </c>
      <c r="G201" s="109" t="str">
        <f>IF(A201="TOTAL",ROUND(SUM($G$3:G200),2),IF(OR(A201="",E201="",F201=""),"",ROUND(E201*F201,2)))</f>
        <v/>
      </c>
      <c r="H201" s="107" t="str">
        <f>IF(OR(historico_VU!A200="",historico_VU!E200=""),"",historico_VU!E200)</f>
        <v/>
      </c>
      <c r="I201" s="108" t="str">
        <f>IF(posicao_contratual!A200="","",posicao_contratual!O200)</f>
        <v/>
      </c>
      <c r="J201" s="107" t="str">
        <f>IF(A201="TOTAL",ROUND(SUM($J$3:J200),2),IF(OR(A201="",H201="",I201=""),"",ROUND(H201*I201,2)))</f>
        <v/>
      </c>
      <c r="K201" s="109" t="str">
        <f>IF(OR(historico_VU!A200="",historico_VU!F200=""),"",historico_VU!F200)</f>
        <v/>
      </c>
      <c r="L201" s="110" t="str">
        <f>IF(posicao_contratual!A200="","",posicao_contratual!S200)</f>
        <v/>
      </c>
      <c r="M201" s="109" t="str">
        <f>IF(A201="TOTAL",ROUND(SUM($M$3:M200),2),IF(OR(A201="",K201="",L201=""),"",ROUND(K201*L201,2)))</f>
        <v/>
      </c>
      <c r="N201" s="107" t="str">
        <f>IF(OR(historico_VU!A200="",historico_VU!G200=""),"",historico_VU!G200)</f>
        <v/>
      </c>
      <c r="O201" s="108" t="str">
        <f>IF(posicao_contratual!A200="","",posicao_contratual!W200)</f>
        <v/>
      </c>
      <c r="P201" s="107" t="str">
        <f>IF(A201="TOTAL",ROUND(SUM($P$3:P200),2),IF(OR(A201="",N201="",O201=""),"",ROUND(N201*O201,2)))</f>
        <v/>
      </c>
      <c r="Q201" s="181" t="str">
        <f t="shared" ca="1" si="48"/>
        <v/>
      </c>
      <c r="R201" t="str">
        <f>IF($A201="","",IF(MEMORIA_RESULTADOS!$W$46="","","C"&amp;MEMORIA_RESULTADOS!$W$46))</f>
        <v/>
      </c>
      <c r="S201" s="207" t="str">
        <f t="shared" ca="1" si="49"/>
        <v/>
      </c>
      <c r="T201" s="207" t="str">
        <f t="shared" ca="1" si="50"/>
        <v/>
      </c>
      <c r="U201" s="207" t="str">
        <f t="shared" ca="1" si="51"/>
        <v/>
      </c>
      <c r="V201" s="191" t="str">
        <f t="shared" ca="1" si="52"/>
        <v/>
      </c>
      <c r="W201" s="191" t="str">
        <f t="shared" ca="1" si="53"/>
        <v/>
      </c>
      <c r="X201" s="191" t="str">
        <f t="shared" ca="1" si="54"/>
        <v/>
      </c>
      <c r="Y201" t="str">
        <f t="shared" ca="1" si="55"/>
        <v/>
      </c>
      <c r="Z201" s="208" t="str">
        <f>IF($A201="","",IF(posicao_contratual!$AA200="","",posicao_contratual!$AA200))</f>
        <v/>
      </c>
      <c r="AA201" t="str">
        <f>IF($A201="","",IF(posicao_contratual!$AL200="","","C"&amp;posicao_contratual!$AL200))</f>
        <v/>
      </c>
      <c r="AB201" t="str">
        <f>IF($A201="","",IF(OR(MEMORIA_RESULTADOS!$W$46="",posicao_contratual!$AL200=""),"",IF(posicao_contratual!$AL200&lt;=MEMORIA_RESULTADOS!$W$46,"SIM","NAO APLICAVEL")))</f>
        <v/>
      </c>
      <c r="AC201" t="str">
        <f>IF($A201="","",IF(MEMORIA_RESULTADOS!$W$46="","",CHOOSE(MEMORIA_RESULTADOS!$W$46+1,posicao_contratual!$AG200,posicao_contratual!$AH200,posicao_contratual!$AI200,posicao_contratual!$AJ200,posicao_contratual!$AK200)))</f>
        <v/>
      </c>
    </row>
    <row r="202" spans="1:29" x14ac:dyDescent="0.35">
      <c r="A202" s="106" t="str">
        <f>IF(itens_Remanesc!$A$200&lt;&gt;"","TOTAL","")</f>
        <v/>
      </c>
      <c r="B202" s="107" t="str">
        <f>""</f>
        <v/>
      </c>
      <c r="C202" s="108" t="str">
        <f>""</f>
        <v/>
      </c>
      <c r="D202" s="107" t="str">
        <f>IF(A202="TOTAL",ROUND(SUM($D$3:D201),2),IF(A202="","",ROUND(B202*C202,2)))</f>
        <v/>
      </c>
      <c r="E202" s="109" t="str">
        <f>""</f>
        <v/>
      </c>
      <c r="F202" s="110" t="str">
        <f>""</f>
        <v/>
      </c>
      <c r="G202" s="109" t="str">
        <f>IF(A202="TOTAL",ROUND(SUM($G$3:G201),2),IF(OR(A202="",E202="",F202=""),"",ROUND(E202*F202,2)))</f>
        <v/>
      </c>
      <c r="H202" s="107" t="str">
        <f>""</f>
        <v/>
      </c>
      <c r="I202" s="108" t="str">
        <f>""</f>
        <v/>
      </c>
      <c r="J202" s="107" t="str">
        <f>IF(A202="TOTAL",ROUND(SUM($J$3:J201),2),IF(OR(A202="",H202="",I202=""),"",ROUND(H202*I202,2)))</f>
        <v/>
      </c>
      <c r="K202" s="109" t="str">
        <f>""</f>
        <v/>
      </c>
      <c r="L202" s="110" t="str">
        <f>""</f>
        <v/>
      </c>
      <c r="M202" s="109" t="str">
        <f>IF(A202="TOTAL",ROUND(SUM($M$3:M201),2),IF(OR(A202="",K202="",L202=""),"",ROUND(K202*L202,2)))</f>
        <v/>
      </c>
      <c r="N202" s="107" t="str">
        <f>""</f>
        <v/>
      </c>
      <c r="O202" s="108" t="str">
        <f>""</f>
        <v/>
      </c>
      <c r="P202" s="107" t="str">
        <f>IF(A202="TOTAL",ROUND(SUM($P$3:P201),2),IF(OR(A202="",N202="",O202=""),"",ROUND(N202*O202,2)))</f>
        <v/>
      </c>
      <c r="Q202" s="181" t="str">
        <f t="shared" ca="1" si="48"/>
        <v/>
      </c>
      <c r="R202" t="str">
        <f>IF($A202="","",IF(MEMORIA_RESULTADOS!$W$46="","","C"&amp;MEMORIA_RESULTADOS!$W$46))</f>
        <v/>
      </c>
      <c r="S202" s="207" t="str">
        <f t="shared" ca="1" si="49"/>
        <v/>
      </c>
      <c r="T202" s="207" t="str">
        <f t="shared" ca="1" si="50"/>
        <v/>
      </c>
      <c r="U202" s="207" t="str">
        <f t="shared" ca="1" si="51"/>
        <v/>
      </c>
      <c r="V202" s="191" t="str">
        <f t="shared" ca="1" si="52"/>
        <v/>
      </c>
      <c r="W202" s="191" t="str">
        <f t="shared" ca="1" si="53"/>
        <v/>
      </c>
      <c r="X202" s="191" t="str">
        <f t="shared" ca="1" si="54"/>
        <v/>
      </c>
      <c r="Y202" t="str">
        <f t="shared" ca="1" si="55"/>
        <v/>
      </c>
      <c r="Z202" s="208" t="str">
        <f>IF($A202="","",IF(posicao_contratual!$AA201="","",posicao_contratual!$AA201))</f>
        <v/>
      </c>
      <c r="AA202" t="str">
        <f>IF($A202="","",IF(posicao_contratual!$AL201="","","C"&amp;posicao_contratual!$AL201))</f>
        <v/>
      </c>
      <c r="AB202" t="str">
        <f>IF($A202="","",IF(OR(MEMORIA_RESULTADOS!$W$46="",posicao_contratual!$AL201=""),"",IF(posicao_contratual!$AL201&lt;=MEMORIA_RESULTADOS!$W$46,"SIM","NAO APLICAVEL")))</f>
        <v/>
      </c>
      <c r="AC202" t="str">
        <f>IF($A202="","",IF(MEMORIA_RESULTADOS!$W$46="","",CHOOSE(MEMORIA_RESULTADOS!$W$46+1,posicao_contratual!$AG201,posicao_contratual!$AH201,posicao_contratual!$AI201,posicao_contratual!$AJ201,posicao_contratual!$AK201)))</f>
        <v/>
      </c>
    </row>
    <row r="203" spans="1:29" x14ac:dyDescent="0.35">
      <c r="A203" s="54"/>
      <c r="B203" s="54"/>
      <c r="C203" s="54"/>
      <c r="D203" s="55"/>
      <c r="E203" s="54"/>
      <c r="F203" s="54"/>
      <c r="G203" s="55"/>
      <c r="H203" s="54"/>
      <c r="I203" s="54"/>
      <c r="J203" s="55"/>
      <c r="K203" s="54"/>
      <c r="L203" s="54"/>
      <c r="M203" s="55"/>
      <c r="N203" s="54"/>
      <c r="O203" s="54"/>
      <c r="P203" s="55"/>
    </row>
  </sheetData>
  <mergeCells count="5">
    <mergeCell ref="Q1:Y1"/>
    <mergeCell ref="B1:P1"/>
    <mergeCell ref="Z1:AC1"/>
    <mergeCell ref="AE1:AE2"/>
    <mergeCell ref="A1:A2"/>
  </mergeCells>
  <conditionalFormatting sqref="A3:P202">
    <cfRule type="expression" dxfId="38" priority="2">
      <formula>$A3="TOTAL"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210"/>
  <sheetViews>
    <sheetView showGridLines="0" workbookViewId="0">
      <pane xSplit="1" ySplit="1" topLeftCell="Q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1.54296875" customWidth="1"/>
    <col min="2" max="7" width="12" customWidth="1"/>
    <col min="8" max="8" width="16" customWidth="1"/>
    <col min="9" max="9" width="3" customWidth="1"/>
    <col min="10" max="10" width="8" customWidth="1"/>
    <col min="11" max="11" width="14" customWidth="1"/>
    <col min="12" max="12" width="16" customWidth="1"/>
    <col min="13" max="13" width="18" customWidth="1"/>
    <col min="14" max="23" width="23" customWidth="1"/>
  </cols>
  <sheetData>
    <row r="1" spans="1:23" ht="32" customHeight="1" x14ac:dyDescent="0.35">
      <c r="A1" s="34" t="s">
        <v>24</v>
      </c>
      <c r="B1" s="50" t="s">
        <v>306</v>
      </c>
      <c r="C1" s="51" t="s">
        <v>307</v>
      </c>
      <c r="D1" s="56" t="s">
        <v>308</v>
      </c>
      <c r="E1" s="28" t="s">
        <v>309</v>
      </c>
      <c r="F1" s="56" t="s">
        <v>310</v>
      </c>
      <c r="G1" s="28" t="s">
        <v>311</v>
      </c>
      <c r="H1" s="34" t="s">
        <v>312</v>
      </c>
      <c r="I1" s="12"/>
      <c r="J1" s="37" t="s">
        <v>36</v>
      </c>
      <c r="K1" s="37" t="s">
        <v>73</v>
      </c>
      <c r="L1" s="37" t="s">
        <v>40</v>
      </c>
      <c r="M1" s="12"/>
      <c r="N1" s="63" t="s">
        <v>313</v>
      </c>
      <c r="O1" s="63" t="s">
        <v>314</v>
      </c>
      <c r="P1" s="63" t="s">
        <v>315</v>
      </c>
      <c r="Q1" s="63" t="s">
        <v>316</v>
      </c>
      <c r="R1" s="63" t="s">
        <v>317</v>
      </c>
      <c r="S1" s="63" t="s">
        <v>82</v>
      </c>
      <c r="T1" s="63" t="s">
        <v>83</v>
      </c>
      <c r="U1" s="63" t="s">
        <v>84</v>
      </c>
      <c r="V1" s="63" t="s">
        <v>85</v>
      </c>
      <c r="W1" s="63" t="s">
        <v>86</v>
      </c>
    </row>
    <row r="2" spans="1:23" x14ac:dyDescent="0.35">
      <c r="A2" s="86" t="str">
        <f>IF(itens_Remanesc!A2="","",itens_Remanesc!A2)</f>
        <v>ITEM-001</v>
      </c>
      <c r="B2" s="85">
        <f>IF(A2="","",IF(posicao_contratual!$Y2="","",IF(posicao_contratual!$Y2&gt;0,"",posicao_contratual!G2)))</f>
        <v>120</v>
      </c>
      <c r="C2" s="79">
        <f>IF(itens_Remanesc!A2="","",IF(posicao_contratual!$Y2="","",IF(posicao_contratual!$Y2&gt;0,"",itens_Remanesc!C2)))</f>
        <v>250</v>
      </c>
      <c r="D2" s="79">
        <f>IF(OR($A2="",posicao_contratual!$Y2=""),"",IF(posicao_contratual!$Y2&gt;1,"",IF(posicao_contratual!$Y2=1,IF(ISNUMBER(itens_Remanesc!C2),itens_Remanesc!C2,""),IF(OR(NOT(ISNUMBER(itens_Remanesc!C2)),NOT(ISNUMBER($L$3)),NOT(ISNUMBER(INDEX($L$2:$L$6,posicao_contratual!$Y2+1)))),"",ROUND(itens_Remanesc!C2*$L$3/INDEX($L$2:$L$6,posicao_contratual!$Y2+1),2)))))</f>
        <v>262.8</v>
      </c>
      <c r="E2" s="79">
        <f>IF(OR($A2="",posicao_contratual!$Y2=""),"",IF(posicao_contratual!$Y2&gt;2,"",IF(posicao_contratual!$Y2=2,IF(ISNUMBER(itens_Remanesc!C2),itens_Remanesc!C2,""),IF(OR(NOT(ISNUMBER(itens_Remanesc!C2)),NOT(ISNUMBER($L$4)),NOT(ISNUMBER(INDEX($L$2:$L$6,posicao_contratual!$Y2+1)))),"",ROUND(itens_Remanesc!C2*$L$4/INDEX($L$2:$L$6,posicao_contratual!$Y2+1),2)))))</f>
        <v>272.63</v>
      </c>
      <c r="F2" s="79">
        <f>IF(OR($A2="",posicao_contratual!$Y2=""),"",IF(posicao_contratual!$Y2&gt;3,"",IF(posicao_contratual!$Y2=3,IF(ISNUMBER(itens_Remanesc!C2),itens_Remanesc!C2,""),IF(OR(NOT(ISNUMBER(itens_Remanesc!C2)),NOT(ISNUMBER($L$5)),NOT(ISNUMBER(INDEX($L$2:$L$6,posicao_contratual!$Y2+1)))),"",ROUND(itens_Remanesc!C2*$L$5/INDEX($L$2:$L$6,posicao_contratual!$Y2+1),2)))))</f>
        <v>280.51</v>
      </c>
      <c r="G2" s="79" t="str">
        <f>IF(OR($A2="",posicao_contratual!$Y2=""),"",IF(posicao_contratual!$Y2&gt;4,"",IF(posicao_contratual!$Y2=4,IF(ISNUMBER(itens_Remanesc!C2),itens_Remanesc!C2,""),IF(OR(NOT(ISNUMBER(itens_Remanesc!C2)),NOT(ISNUMBER($L$6)),NOT(ISNUMBER(INDEX($L$2:$L$6,posicao_contratual!$Y2+1)))),"",ROUND(itens_Remanesc!C2*$L$6/INDEX($L$2:$L$6,posicao_contratual!$Y2+1),2)))))</f>
        <v/>
      </c>
      <c r="H2" s="114" t="str">
        <f t="shared" ref="H2:H33" si="0">IF(OR(A2="",C2="",C2=0,NOT(ISNUMBER($L$6))),"",ROUND($L$6-1,4))</f>
        <v/>
      </c>
      <c r="I2" s="29"/>
      <c r="J2" s="87" t="s">
        <v>26</v>
      </c>
      <c r="K2" s="89" t="str">
        <f>IF(ISNUMBER(parametros!$E$2),parametros!$E$2,"")</f>
        <v/>
      </c>
      <c r="L2" s="90">
        <f>IF(ISNUMBER(parametros!$F$2),parametros!$F$2,"")</f>
        <v>1</v>
      </c>
      <c r="M2" s="29"/>
      <c r="N2" s="147">
        <f>IF(A2="","",IF(posicao_contratual!$Y2="","",IF(posicao_contratual!$Y2&gt;0,"",posicao_contratual!E2)))</f>
        <v>120</v>
      </c>
      <c r="O2" s="145">
        <f>IF(A2="","",IF(posicao_contratual!$Y2="","",IF(posicao_contratual!$Y2&gt;1,"",posicao_contratual!I2)))</f>
        <v>120</v>
      </c>
      <c r="P2" s="145">
        <f>IF(A2="","",IF(posicao_contratual!$Y2="","",IF(posicao_contratual!$Y2&gt;2,"",posicao_contratual!M2)))</f>
        <v>120</v>
      </c>
      <c r="Q2" s="145">
        <f>IF(A2="","",IF(posicao_contratual!$Y2="","",IF(posicao_contratual!$Y2&gt;3,"",posicao_contratual!Q2)))</f>
        <v>120</v>
      </c>
      <c r="R2" s="145">
        <f>IF(A2="","",IF(posicao_contratual!$Y2="","",IF(posicao_contratual!$Y2&gt;4,"",posicao_contratual!U2)))</f>
        <v>120</v>
      </c>
      <c r="S2" s="165">
        <f>IF(A2="","",posicao_contratual!G2)</f>
        <v>120</v>
      </c>
      <c r="T2" s="165">
        <f>IF(A2="","",posicao_contratual!K2)</f>
        <v>120</v>
      </c>
      <c r="U2" s="165">
        <f>IF(A2="","",posicao_contratual!O2)</f>
        <v>120</v>
      </c>
      <c r="V2" s="165">
        <f>IF(A2="","",posicao_contratual!S2)</f>
        <v>120</v>
      </c>
      <c r="W2" s="165">
        <f>IF(A2="","",posicao_contratual!W2)</f>
        <v>120</v>
      </c>
    </row>
    <row r="3" spans="1:23" x14ac:dyDescent="0.35">
      <c r="A3" s="86" t="str">
        <f>IF(itens_Remanesc!A3="","",itens_Remanesc!A3)</f>
        <v>ITEM-002</v>
      </c>
      <c r="B3" s="85">
        <f>IF(A3="","",IF(posicao_contratual!$Y3="","",IF(posicao_contratual!$Y3&gt;0,"",posicao_contratual!G3)))</f>
        <v>80</v>
      </c>
      <c r="C3" s="79">
        <f>IF(itens_Remanesc!A3="","",IF(posicao_contratual!$Y3="","",IF(posicao_contratual!$Y3&gt;0,"",itens_Remanesc!C3)))</f>
        <v>1500</v>
      </c>
      <c r="D3" s="79">
        <f>IF(OR($A3="",posicao_contratual!$Y3=""),"",IF(posicao_contratual!$Y3&gt;1,"",IF(posicao_contratual!$Y3=1,IF(ISNUMBER(itens_Remanesc!C3),itens_Remanesc!C3,""),IF(OR(NOT(ISNUMBER(itens_Remanesc!C3)),NOT(ISNUMBER($L$3)),NOT(ISNUMBER(INDEX($L$2:$L$6,posicao_contratual!$Y3+1)))),"",ROUND(itens_Remanesc!C3*$L$3/INDEX($L$2:$L$6,posicao_contratual!$Y3+1),2)))))</f>
        <v>1576.8</v>
      </c>
      <c r="E3" s="79">
        <f>IF(OR($A3="",posicao_contratual!$Y3=""),"",IF(posicao_contratual!$Y3&gt;2,"",IF(posicao_contratual!$Y3=2,IF(ISNUMBER(itens_Remanesc!C3),itens_Remanesc!C3,""),IF(OR(NOT(ISNUMBER(itens_Remanesc!C3)),NOT(ISNUMBER($L$4)),NOT(ISNUMBER(INDEX($L$2:$L$6,posicao_contratual!$Y3+1)))),"",ROUND(itens_Remanesc!C3*$L$4/INDEX($L$2:$L$6,posicao_contratual!$Y3+1),2)))))</f>
        <v>1635.77</v>
      </c>
      <c r="F3" s="79">
        <f>IF(OR($A3="",posicao_contratual!$Y3=""),"",IF(posicao_contratual!$Y3&gt;3,"",IF(posicao_contratual!$Y3=3,IF(ISNUMBER(itens_Remanesc!C3),itens_Remanesc!C3,""),IF(OR(NOT(ISNUMBER(itens_Remanesc!C3)),NOT(ISNUMBER($L$5)),NOT(ISNUMBER(INDEX($L$2:$L$6,posicao_contratual!$Y3+1)))),"",ROUND(itens_Remanesc!C3*$L$5/INDEX($L$2:$L$6,posicao_contratual!$Y3+1),2)))))</f>
        <v>1683.05</v>
      </c>
      <c r="G3" s="79" t="str">
        <f>IF(OR($A3="",posicao_contratual!$Y3=""),"",IF(posicao_contratual!$Y3&gt;4,"",IF(posicao_contratual!$Y3=4,IF(ISNUMBER(itens_Remanesc!C3),itens_Remanesc!C3,""),IF(OR(NOT(ISNUMBER(itens_Remanesc!C3)),NOT(ISNUMBER($L$6)),NOT(ISNUMBER(INDEX($L$2:$L$6,posicao_contratual!$Y3+1)))),"",ROUND(itens_Remanesc!C3*$L$6/INDEX($L$2:$L$6,posicao_contratual!$Y3+1),2)))))</f>
        <v/>
      </c>
      <c r="H3" s="114" t="str">
        <f t="shared" si="0"/>
        <v/>
      </c>
      <c r="I3" s="14"/>
      <c r="J3" s="87" t="s">
        <v>3</v>
      </c>
      <c r="K3" s="89">
        <f>IF(ISNUMBER(parametros!$E$3),parametros!$E$3,"")</f>
        <v>5.1200000000000002E-2</v>
      </c>
      <c r="L3" s="90">
        <f>IF(ISNUMBER(parametros!$F$3),parametros!$F$3,"")</f>
        <v>1.0511999999999999</v>
      </c>
      <c r="M3" s="14"/>
      <c r="N3" s="145">
        <f>IF(A3="","",IF(posicao_contratual!$Y3="","",IF(posicao_contratual!$Y3&gt;0,"",posicao_contratual!E3)))</f>
        <v>80</v>
      </c>
      <c r="O3" s="145">
        <f>IF(A3="","",IF(posicao_contratual!$Y3="","",IF(posicao_contratual!$Y3&gt;1,"",posicao_contratual!I3)))</f>
        <v>80</v>
      </c>
      <c r="P3" s="145">
        <f>IF(A3="","",IF(posicao_contratual!$Y3="","",IF(posicao_contratual!$Y3&gt;2,"",posicao_contratual!M3)))</f>
        <v>80</v>
      </c>
      <c r="Q3" s="145">
        <f>IF(A3="","",IF(posicao_contratual!$Y3="","",IF(posicao_contratual!$Y3&gt;3,"",posicao_contratual!Q3)))</f>
        <v>80</v>
      </c>
      <c r="R3" s="145">
        <f>IF(A3="","",IF(posicao_contratual!$Y3="","",IF(posicao_contratual!$Y3&gt;4,"",posicao_contratual!U3)))</f>
        <v>80</v>
      </c>
      <c r="S3" s="165">
        <f>IF(A3="","",posicao_contratual!G3)</f>
        <v>80</v>
      </c>
      <c r="T3" s="165">
        <f>IF(A3="","",posicao_contratual!K3)</f>
        <v>80</v>
      </c>
      <c r="U3" s="165">
        <f>IF(A3="","",posicao_contratual!O3)</f>
        <v>80</v>
      </c>
      <c r="V3" s="165">
        <f>IF(A3="","",posicao_contratual!S3)</f>
        <v>80</v>
      </c>
      <c r="W3" s="165">
        <f>IF(A3="","",posicao_contratual!W3)</f>
        <v>80</v>
      </c>
    </row>
    <row r="4" spans="1:23" x14ac:dyDescent="0.35">
      <c r="A4" s="86" t="str">
        <f>IF(itens_Remanesc!A4="","",itens_Remanesc!A4)</f>
        <v>ITEM-003</v>
      </c>
      <c r="B4" s="85">
        <f>IF(A4="","",IF(posicao_contratual!$Y4="","",IF(posicao_contratual!$Y4&gt;0,"",posicao_contratual!G4)))</f>
        <v>40</v>
      </c>
      <c r="C4" s="79">
        <f>IF(itens_Remanesc!A4="","",IF(posicao_contratual!$Y4="","",IF(posicao_contratual!$Y4&gt;0,"",itens_Remanesc!C4)))</f>
        <v>3200</v>
      </c>
      <c r="D4" s="79">
        <f>IF(OR($A4="",posicao_contratual!$Y4=""),"",IF(posicao_contratual!$Y4&gt;1,"",IF(posicao_contratual!$Y4=1,IF(ISNUMBER(itens_Remanesc!C4),itens_Remanesc!C4,""),IF(OR(NOT(ISNUMBER(itens_Remanesc!C4)),NOT(ISNUMBER($L$3)),NOT(ISNUMBER(INDEX($L$2:$L$6,posicao_contratual!$Y4+1)))),"",ROUND(itens_Remanesc!C4*$L$3/INDEX($L$2:$L$6,posicao_contratual!$Y4+1),2)))))</f>
        <v>3363.84</v>
      </c>
      <c r="E4" s="79">
        <f>IF(OR($A4="",posicao_contratual!$Y4=""),"",IF(posicao_contratual!$Y4&gt;2,"",IF(posicao_contratual!$Y4=2,IF(ISNUMBER(itens_Remanesc!C4),itens_Remanesc!C4,""),IF(OR(NOT(ISNUMBER(itens_Remanesc!C4)),NOT(ISNUMBER($L$4)),NOT(ISNUMBER(INDEX($L$2:$L$6,posicao_contratual!$Y4+1)))),"",ROUND(itens_Remanesc!C4*$L$4/INDEX($L$2:$L$6,posicao_contratual!$Y4+1),2)))))</f>
        <v>3489.65</v>
      </c>
      <c r="F4" s="79">
        <f>IF(OR($A4="",posicao_contratual!$Y4=""),"",IF(posicao_contratual!$Y4&gt;3,"",IF(posicao_contratual!$Y4=3,IF(ISNUMBER(itens_Remanesc!C4),itens_Remanesc!C4,""),IF(OR(NOT(ISNUMBER(itens_Remanesc!C4)),NOT(ISNUMBER($L$5)),NOT(ISNUMBER(INDEX($L$2:$L$6,posicao_contratual!$Y4+1)))),"",ROUND(itens_Remanesc!C4*$L$5/INDEX($L$2:$L$6,posicao_contratual!$Y4+1),2)))))</f>
        <v>3590.5</v>
      </c>
      <c r="G4" s="79" t="str">
        <f>IF(OR($A4="",posicao_contratual!$Y4=""),"",IF(posicao_contratual!$Y4&gt;4,"",IF(posicao_contratual!$Y4=4,IF(ISNUMBER(itens_Remanesc!C4),itens_Remanesc!C4,""),IF(OR(NOT(ISNUMBER(itens_Remanesc!C4)),NOT(ISNUMBER($L$6)),NOT(ISNUMBER(INDEX($L$2:$L$6,posicao_contratual!$Y4+1)))),"",ROUND(itens_Remanesc!C4*$L$6/INDEX($L$2:$L$6,posicao_contratual!$Y4+1),2)))))</f>
        <v/>
      </c>
      <c r="H4" s="114" t="str">
        <f t="shared" si="0"/>
        <v/>
      </c>
      <c r="I4" s="14"/>
      <c r="J4" s="87" t="s">
        <v>27</v>
      </c>
      <c r="K4" s="89">
        <f>IF(ISNUMBER(parametros!$E$4),parametros!$E$4,"")</f>
        <v>3.7400000000000003E-2</v>
      </c>
      <c r="L4" s="90">
        <f>IF(ISNUMBER(parametros!$F$4),parametros!$F$4,"")</f>
        <v>1.09051488</v>
      </c>
      <c r="M4" s="14"/>
      <c r="N4" s="145">
        <f>IF(A4="","",IF(posicao_contratual!$Y4="","",IF(posicao_contratual!$Y4&gt;0,"",posicao_contratual!E4)))</f>
        <v>40</v>
      </c>
      <c r="O4" s="145">
        <f>IF(A4="","",IF(posicao_contratual!$Y4="","",IF(posicao_contratual!$Y4&gt;1,"",posicao_contratual!I4)))</f>
        <v>40</v>
      </c>
      <c r="P4" s="145">
        <f>IF(A4="","",IF(posicao_contratual!$Y4="","",IF(posicao_contratual!$Y4&gt;2,"",posicao_contratual!M4)))</f>
        <v>40</v>
      </c>
      <c r="Q4" s="145">
        <f>IF(A4="","",IF(posicao_contratual!$Y4="","",IF(posicao_contratual!$Y4&gt;3,"",posicao_contratual!Q4)))</f>
        <v>40</v>
      </c>
      <c r="R4" s="145">
        <f>IF(A4="","",IF(posicao_contratual!$Y4="","",IF(posicao_contratual!$Y4&gt;4,"",posicao_contratual!U4)))</f>
        <v>40</v>
      </c>
      <c r="S4" s="165">
        <f>IF(A4="","",posicao_contratual!G4)</f>
        <v>40</v>
      </c>
      <c r="T4" s="165">
        <f>IF(A4="","",posicao_contratual!K4)</f>
        <v>40</v>
      </c>
      <c r="U4" s="165">
        <f>IF(A4="","",posicao_contratual!O4)</f>
        <v>40</v>
      </c>
      <c r="V4" s="165">
        <f>IF(A4="","",posicao_contratual!S4)</f>
        <v>40</v>
      </c>
      <c r="W4" s="165">
        <f>IF(A4="","",posicao_contratual!W4)</f>
        <v>40</v>
      </c>
    </row>
    <row r="5" spans="1:23" x14ac:dyDescent="0.35">
      <c r="A5" s="86" t="str">
        <f>IF(itens_Remanesc!A5="","",itens_Remanesc!A5)</f>
        <v/>
      </c>
      <c r="B5" s="85" t="str">
        <f>IF(A5="","",IF(posicao_contratual!$Y5="","",IF(posicao_contratual!$Y5&gt;0,"",posicao_contratual!G5)))</f>
        <v/>
      </c>
      <c r="C5" s="79" t="str">
        <f>IF(itens_Remanesc!A5="","",IF(posicao_contratual!$Y5="","",IF(posicao_contratual!$Y5&gt;0,"",itens_Remanesc!C5)))</f>
        <v/>
      </c>
      <c r="D5" s="79" t="str">
        <f>IF(OR($A5="",posicao_contratual!$Y5=""),"",IF(posicao_contratual!$Y5&gt;1,"",IF(posicao_contratual!$Y5=1,IF(ISNUMBER(itens_Remanesc!C5),itens_Remanesc!C5,""),IF(OR(NOT(ISNUMBER(itens_Remanesc!C5)),NOT(ISNUMBER($L$3)),NOT(ISNUMBER(INDEX($L$2:$L$6,posicao_contratual!$Y5+1)))),"",ROUND(itens_Remanesc!C5*$L$3/INDEX($L$2:$L$6,posicao_contratual!$Y5+1),2)))))</f>
        <v/>
      </c>
      <c r="E5" s="79" t="str">
        <f>IF(OR($A5="",posicao_contratual!$Y5=""),"",IF(posicao_contratual!$Y5&gt;2,"",IF(posicao_contratual!$Y5=2,IF(ISNUMBER(itens_Remanesc!C5),itens_Remanesc!C5,""),IF(OR(NOT(ISNUMBER(itens_Remanesc!C5)),NOT(ISNUMBER($L$4)),NOT(ISNUMBER(INDEX($L$2:$L$6,posicao_contratual!$Y5+1)))),"",ROUND(itens_Remanesc!C5*$L$4/INDEX($L$2:$L$6,posicao_contratual!$Y5+1),2)))))</f>
        <v/>
      </c>
      <c r="F5" s="79" t="str">
        <f>IF(OR($A5="",posicao_contratual!$Y5=""),"",IF(posicao_contratual!$Y5&gt;3,"",IF(posicao_contratual!$Y5=3,IF(ISNUMBER(itens_Remanesc!C5),itens_Remanesc!C5,""),IF(OR(NOT(ISNUMBER(itens_Remanesc!C5)),NOT(ISNUMBER($L$5)),NOT(ISNUMBER(INDEX($L$2:$L$6,posicao_contratual!$Y5+1)))),"",ROUND(itens_Remanesc!C5*$L$5/INDEX($L$2:$L$6,posicao_contratual!$Y5+1),2)))))</f>
        <v/>
      </c>
      <c r="G5" s="79" t="str">
        <f>IF(OR($A5="",posicao_contratual!$Y5=""),"",IF(posicao_contratual!$Y5&gt;4,"",IF(posicao_contratual!$Y5=4,IF(ISNUMBER(itens_Remanesc!C5),itens_Remanesc!C5,""),IF(OR(NOT(ISNUMBER(itens_Remanesc!C5)),NOT(ISNUMBER($L$6)),NOT(ISNUMBER(INDEX($L$2:$L$6,posicao_contratual!$Y5+1)))),"",ROUND(itens_Remanesc!C5*$L$6/INDEX($L$2:$L$6,posicao_contratual!$Y5+1),2)))))</f>
        <v/>
      </c>
      <c r="H5" s="114" t="str">
        <f t="shared" si="0"/>
        <v/>
      </c>
      <c r="I5" s="14"/>
      <c r="J5" s="87" t="s">
        <v>28</v>
      </c>
      <c r="K5" s="89">
        <f>IF(ISNUMBER(parametros!$E$5),parametros!$E$5,"")</f>
        <v>2.8899999999999999E-2</v>
      </c>
      <c r="L5" s="90">
        <f>IF(ISNUMBER(parametros!$F$5),parametros!$F$5,"")</f>
        <v>1.1220307600319999</v>
      </c>
      <c r="M5" s="14"/>
      <c r="N5" s="145" t="str">
        <f>IF(A5="","",IF(posicao_contratual!$Y5="","",IF(posicao_contratual!$Y5&gt;0,"",posicao_contratual!E5)))</f>
        <v/>
      </c>
      <c r="O5" s="145" t="str">
        <f>IF(A5="","",IF(posicao_contratual!$Y5="","",IF(posicao_contratual!$Y5&gt;1,"",posicao_contratual!I5)))</f>
        <v/>
      </c>
      <c r="P5" s="145" t="str">
        <f>IF(A5="","",IF(posicao_contratual!$Y5="","",IF(posicao_contratual!$Y5&gt;2,"",posicao_contratual!M5)))</f>
        <v/>
      </c>
      <c r="Q5" s="145" t="str">
        <f>IF(A5="","",IF(posicao_contratual!$Y5="","",IF(posicao_contratual!$Y5&gt;3,"",posicao_contratual!Q5)))</f>
        <v/>
      </c>
      <c r="R5" s="145" t="str">
        <f>IF(A5="","",IF(posicao_contratual!$Y5="","",IF(posicao_contratual!$Y5&gt;4,"",posicao_contratual!U5)))</f>
        <v/>
      </c>
      <c r="S5" s="165" t="str">
        <f>IF(A5="","",posicao_contratual!G5)</f>
        <v/>
      </c>
      <c r="T5" s="165" t="str">
        <f>IF(A5="","",posicao_contratual!K5)</f>
        <v/>
      </c>
      <c r="U5" s="165" t="str">
        <f>IF(A5="","",posicao_contratual!O5)</f>
        <v/>
      </c>
      <c r="V5" s="165" t="str">
        <f>IF(A5="","",posicao_contratual!S5)</f>
        <v/>
      </c>
      <c r="W5" s="165" t="str">
        <f>IF(A5="","",posicao_contratual!W5)</f>
        <v/>
      </c>
    </row>
    <row r="6" spans="1:23" x14ac:dyDescent="0.35">
      <c r="A6" s="86" t="str">
        <f>IF(itens_Remanesc!A6="","",itens_Remanesc!A6)</f>
        <v/>
      </c>
      <c r="B6" s="85" t="str">
        <f>IF(A6="","",IF(posicao_contratual!$Y6="","",IF(posicao_contratual!$Y6&gt;0,"",posicao_contratual!G6)))</f>
        <v/>
      </c>
      <c r="C6" s="79" t="str">
        <f>IF(itens_Remanesc!A6="","",IF(posicao_contratual!$Y6="","",IF(posicao_contratual!$Y6&gt;0,"",itens_Remanesc!C6)))</f>
        <v/>
      </c>
      <c r="D6" s="79" t="str">
        <f>IF(OR($A6="",posicao_contratual!$Y6=""),"",IF(posicao_contratual!$Y6&gt;1,"",IF(posicao_contratual!$Y6=1,IF(ISNUMBER(itens_Remanesc!C6),itens_Remanesc!C6,""),IF(OR(NOT(ISNUMBER(itens_Remanesc!C6)),NOT(ISNUMBER($L$3)),NOT(ISNUMBER(INDEX($L$2:$L$6,posicao_contratual!$Y6+1)))),"",ROUND(itens_Remanesc!C6*$L$3/INDEX($L$2:$L$6,posicao_contratual!$Y6+1),2)))))</f>
        <v/>
      </c>
      <c r="E6" s="79" t="str">
        <f>IF(OR($A6="",posicao_contratual!$Y6=""),"",IF(posicao_contratual!$Y6&gt;2,"",IF(posicao_contratual!$Y6=2,IF(ISNUMBER(itens_Remanesc!C6),itens_Remanesc!C6,""),IF(OR(NOT(ISNUMBER(itens_Remanesc!C6)),NOT(ISNUMBER($L$4)),NOT(ISNUMBER(INDEX($L$2:$L$6,posicao_contratual!$Y6+1)))),"",ROUND(itens_Remanesc!C6*$L$4/INDEX($L$2:$L$6,posicao_contratual!$Y6+1),2)))))</f>
        <v/>
      </c>
      <c r="F6" s="79" t="str">
        <f>IF(OR($A6="",posicao_contratual!$Y6=""),"",IF(posicao_contratual!$Y6&gt;3,"",IF(posicao_contratual!$Y6=3,IF(ISNUMBER(itens_Remanesc!C6),itens_Remanesc!C6,""),IF(OR(NOT(ISNUMBER(itens_Remanesc!C6)),NOT(ISNUMBER($L$5)),NOT(ISNUMBER(INDEX($L$2:$L$6,posicao_contratual!$Y6+1)))),"",ROUND(itens_Remanesc!C6*$L$5/INDEX($L$2:$L$6,posicao_contratual!$Y6+1),2)))))</f>
        <v/>
      </c>
      <c r="G6" s="79" t="str">
        <f>IF(OR($A6="",posicao_contratual!$Y6=""),"",IF(posicao_contratual!$Y6&gt;4,"",IF(posicao_contratual!$Y6=4,IF(ISNUMBER(itens_Remanesc!C6),itens_Remanesc!C6,""),IF(OR(NOT(ISNUMBER(itens_Remanesc!C6)),NOT(ISNUMBER($L$6)),NOT(ISNUMBER(INDEX($L$2:$L$6,posicao_contratual!$Y6+1)))),"",ROUND(itens_Remanesc!C6*$L$6/INDEX($L$2:$L$6,posicao_contratual!$Y6+1),2)))))</f>
        <v/>
      </c>
      <c r="H6" s="114" t="str">
        <f t="shared" si="0"/>
        <v/>
      </c>
      <c r="I6" s="14"/>
      <c r="J6" s="87" t="s">
        <v>29</v>
      </c>
      <c r="K6" s="89" t="str">
        <f>IF(ISNUMBER(parametros!$E$6),parametros!$E$6,"")</f>
        <v/>
      </c>
      <c r="L6" s="90" t="str">
        <f>IF(ISNUMBER(parametros!$F$6),parametros!$F$6,"")</f>
        <v/>
      </c>
      <c r="M6" s="14"/>
      <c r="N6" s="145" t="str">
        <f>IF(A6="","",IF(posicao_contratual!$Y6="","",IF(posicao_contratual!$Y6&gt;0,"",posicao_contratual!E6)))</f>
        <v/>
      </c>
      <c r="O6" s="145" t="str">
        <f>IF(A6="","",IF(posicao_contratual!$Y6="","",IF(posicao_contratual!$Y6&gt;1,"",posicao_contratual!I6)))</f>
        <v/>
      </c>
      <c r="P6" s="145" t="str">
        <f>IF(A6="","",IF(posicao_contratual!$Y6="","",IF(posicao_contratual!$Y6&gt;2,"",posicao_contratual!M6)))</f>
        <v/>
      </c>
      <c r="Q6" s="145" t="str">
        <f>IF(A6="","",IF(posicao_contratual!$Y6="","",IF(posicao_contratual!$Y6&gt;3,"",posicao_contratual!Q6)))</f>
        <v/>
      </c>
      <c r="R6" s="145" t="str">
        <f>IF(A6="","",IF(posicao_contratual!$Y6="","",IF(posicao_contratual!$Y6&gt;4,"",posicao_contratual!U6)))</f>
        <v/>
      </c>
      <c r="S6" s="165" t="str">
        <f>IF(A6="","",posicao_contratual!G6)</f>
        <v/>
      </c>
      <c r="T6" s="165" t="str">
        <f>IF(A6="","",posicao_contratual!K6)</f>
        <v/>
      </c>
      <c r="U6" s="165" t="str">
        <f>IF(A6="","",posicao_contratual!O6)</f>
        <v/>
      </c>
      <c r="V6" s="165" t="str">
        <f>IF(A6="","",posicao_contratual!S6)</f>
        <v/>
      </c>
      <c r="W6" s="165" t="str">
        <f>IF(A6="","",posicao_contratual!W6)</f>
        <v/>
      </c>
    </row>
    <row r="7" spans="1:23" x14ac:dyDescent="0.35">
      <c r="A7" s="86" t="str">
        <f>IF(itens_Remanesc!A7="","",itens_Remanesc!A7)</f>
        <v/>
      </c>
      <c r="B7" s="85" t="str">
        <f>IF(A7="","",IF(posicao_contratual!$Y7="","",IF(posicao_contratual!$Y7&gt;0,"",posicao_contratual!G7)))</f>
        <v/>
      </c>
      <c r="C7" s="79" t="str">
        <f>IF(itens_Remanesc!A7="","",IF(posicao_contratual!$Y7="","",IF(posicao_contratual!$Y7&gt;0,"",itens_Remanesc!C7)))</f>
        <v/>
      </c>
      <c r="D7" s="79" t="str">
        <f>IF(OR($A7="",posicao_contratual!$Y7=""),"",IF(posicao_contratual!$Y7&gt;1,"",IF(posicao_contratual!$Y7=1,IF(ISNUMBER(itens_Remanesc!C7),itens_Remanesc!C7,""),IF(OR(NOT(ISNUMBER(itens_Remanesc!C7)),NOT(ISNUMBER($L$3)),NOT(ISNUMBER(INDEX($L$2:$L$6,posicao_contratual!$Y7+1)))),"",ROUND(itens_Remanesc!C7*$L$3/INDEX($L$2:$L$6,posicao_contratual!$Y7+1),2)))))</f>
        <v/>
      </c>
      <c r="E7" s="79" t="str">
        <f>IF(OR($A7="",posicao_contratual!$Y7=""),"",IF(posicao_contratual!$Y7&gt;2,"",IF(posicao_contratual!$Y7=2,IF(ISNUMBER(itens_Remanesc!C7),itens_Remanesc!C7,""),IF(OR(NOT(ISNUMBER(itens_Remanesc!C7)),NOT(ISNUMBER($L$4)),NOT(ISNUMBER(INDEX($L$2:$L$6,posicao_contratual!$Y7+1)))),"",ROUND(itens_Remanesc!C7*$L$4/INDEX($L$2:$L$6,posicao_contratual!$Y7+1),2)))))</f>
        <v/>
      </c>
      <c r="F7" s="79" t="str">
        <f>IF(OR($A7="",posicao_contratual!$Y7=""),"",IF(posicao_contratual!$Y7&gt;3,"",IF(posicao_contratual!$Y7=3,IF(ISNUMBER(itens_Remanesc!C7),itens_Remanesc!C7,""),IF(OR(NOT(ISNUMBER(itens_Remanesc!C7)),NOT(ISNUMBER($L$5)),NOT(ISNUMBER(INDEX($L$2:$L$6,posicao_contratual!$Y7+1)))),"",ROUND(itens_Remanesc!C7*$L$5/INDEX($L$2:$L$6,posicao_contratual!$Y7+1),2)))))</f>
        <v/>
      </c>
      <c r="G7" s="79" t="str">
        <f>IF(OR($A7="",posicao_contratual!$Y7=""),"",IF(posicao_contratual!$Y7&gt;4,"",IF(posicao_contratual!$Y7=4,IF(ISNUMBER(itens_Remanesc!C7),itens_Remanesc!C7,""),IF(OR(NOT(ISNUMBER(itens_Remanesc!C7)),NOT(ISNUMBER($L$6)),NOT(ISNUMBER(INDEX($L$2:$L$6,posicao_contratual!$Y7+1)))),"",ROUND(itens_Remanesc!C7*$L$6/INDEX($L$2:$L$6,posicao_contratual!$Y7+1),2)))))</f>
        <v/>
      </c>
      <c r="H7" s="114" t="str">
        <f t="shared" si="0"/>
        <v/>
      </c>
      <c r="I7" s="14"/>
      <c r="J7" s="14"/>
      <c r="K7" s="14"/>
      <c r="L7" s="14"/>
      <c r="M7" s="14"/>
      <c r="N7" s="145" t="str">
        <f>IF(A7="","",IF(posicao_contratual!$Y7="","",IF(posicao_contratual!$Y7&gt;0,"",posicao_contratual!E7)))</f>
        <v/>
      </c>
      <c r="O7" s="145" t="str">
        <f>IF(A7="","",IF(posicao_contratual!$Y7="","",IF(posicao_contratual!$Y7&gt;1,"",posicao_contratual!I7)))</f>
        <v/>
      </c>
      <c r="P7" s="145" t="str">
        <f>IF(A7="","",IF(posicao_contratual!$Y7="","",IF(posicao_contratual!$Y7&gt;2,"",posicao_contratual!M7)))</f>
        <v/>
      </c>
      <c r="Q7" s="145" t="str">
        <f>IF(A7="","",IF(posicao_contratual!$Y7="","",IF(posicao_contratual!$Y7&gt;3,"",posicao_contratual!Q7)))</f>
        <v/>
      </c>
      <c r="R7" s="145" t="str">
        <f>IF(A7="","",IF(posicao_contratual!$Y7="","",IF(posicao_contratual!$Y7&gt;4,"",posicao_contratual!U7)))</f>
        <v/>
      </c>
      <c r="S7" s="165" t="str">
        <f>IF(A7="","",posicao_contratual!G7)</f>
        <v/>
      </c>
      <c r="T7" s="165" t="str">
        <f>IF(A7="","",posicao_contratual!K7)</f>
        <v/>
      </c>
      <c r="U7" s="165" t="str">
        <f>IF(A7="","",posicao_contratual!O7)</f>
        <v/>
      </c>
      <c r="V7" s="165" t="str">
        <f>IF(A7="","",posicao_contratual!S7)</f>
        <v/>
      </c>
      <c r="W7" s="165" t="str">
        <f>IF(A7="","",posicao_contratual!W7)</f>
        <v/>
      </c>
    </row>
    <row r="8" spans="1:23" x14ac:dyDescent="0.35">
      <c r="A8" s="86" t="str">
        <f>IF(itens_Remanesc!A8="","",itens_Remanesc!A8)</f>
        <v/>
      </c>
      <c r="B8" s="85" t="str">
        <f>IF(A8="","",IF(posicao_contratual!$Y8="","",IF(posicao_contratual!$Y8&gt;0,"",posicao_contratual!G8)))</f>
        <v/>
      </c>
      <c r="C8" s="79" t="str">
        <f>IF(itens_Remanesc!A8="","",IF(posicao_contratual!$Y8="","",IF(posicao_contratual!$Y8&gt;0,"",itens_Remanesc!C8)))</f>
        <v/>
      </c>
      <c r="D8" s="79" t="str">
        <f>IF(OR($A8="",posicao_contratual!$Y8=""),"",IF(posicao_contratual!$Y8&gt;1,"",IF(posicao_contratual!$Y8=1,IF(ISNUMBER(itens_Remanesc!C8),itens_Remanesc!C8,""),IF(OR(NOT(ISNUMBER(itens_Remanesc!C8)),NOT(ISNUMBER($L$3)),NOT(ISNUMBER(INDEX($L$2:$L$6,posicao_contratual!$Y8+1)))),"",ROUND(itens_Remanesc!C8*$L$3/INDEX($L$2:$L$6,posicao_contratual!$Y8+1),2)))))</f>
        <v/>
      </c>
      <c r="E8" s="79" t="str">
        <f>IF(OR($A8="",posicao_contratual!$Y8=""),"",IF(posicao_contratual!$Y8&gt;2,"",IF(posicao_contratual!$Y8=2,IF(ISNUMBER(itens_Remanesc!C8),itens_Remanesc!C8,""),IF(OR(NOT(ISNUMBER(itens_Remanesc!C8)),NOT(ISNUMBER($L$4)),NOT(ISNUMBER(INDEX($L$2:$L$6,posicao_contratual!$Y8+1)))),"",ROUND(itens_Remanesc!C8*$L$4/INDEX($L$2:$L$6,posicao_contratual!$Y8+1),2)))))</f>
        <v/>
      </c>
      <c r="F8" s="79" t="str">
        <f>IF(OR($A8="",posicao_contratual!$Y8=""),"",IF(posicao_contratual!$Y8&gt;3,"",IF(posicao_contratual!$Y8=3,IF(ISNUMBER(itens_Remanesc!C8),itens_Remanesc!C8,""),IF(OR(NOT(ISNUMBER(itens_Remanesc!C8)),NOT(ISNUMBER($L$5)),NOT(ISNUMBER(INDEX($L$2:$L$6,posicao_contratual!$Y8+1)))),"",ROUND(itens_Remanesc!C8*$L$5/INDEX($L$2:$L$6,posicao_contratual!$Y8+1),2)))))</f>
        <v/>
      </c>
      <c r="G8" s="79" t="str">
        <f>IF(OR($A8="",posicao_contratual!$Y8=""),"",IF(posicao_contratual!$Y8&gt;4,"",IF(posicao_contratual!$Y8=4,IF(ISNUMBER(itens_Remanesc!C8),itens_Remanesc!C8,""),IF(OR(NOT(ISNUMBER(itens_Remanesc!C8)),NOT(ISNUMBER($L$6)),NOT(ISNUMBER(INDEX($L$2:$L$6,posicao_contratual!$Y8+1)))),"",ROUND(itens_Remanesc!C8*$L$6/INDEX($L$2:$L$6,posicao_contratual!$Y8+1),2)))))</f>
        <v/>
      </c>
      <c r="H8" s="114" t="str">
        <f t="shared" si="0"/>
        <v/>
      </c>
      <c r="I8" s="14"/>
      <c r="J8" s="14"/>
      <c r="K8" s="14"/>
      <c r="L8" s="14"/>
      <c r="M8" s="14"/>
      <c r="N8" s="145" t="str">
        <f>IF(A8="","",IF(posicao_contratual!$Y8="","",IF(posicao_contratual!$Y8&gt;0,"",posicao_contratual!E8)))</f>
        <v/>
      </c>
      <c r="O8" s="145" t="str">
        <f>IF(A8="","",IF(posicao_contratual!$Y8="","",IF(posicao_contratual!$Y8&gt;1,"",posicao_contratual!I8)))</f>
        <v/>
      </c>
      <c r="P8" s="145" t="str">
        <f>IF(A8="","",IF(posicao_contratual!$Y8="","",IF(posicao_contratual!$Y8&gt;2,"",posicao_contratual!M8)))</f>
        <v/>
      </c>
      <c r="Q8" s="145" t="str">
        <f>IF(A8="","",IF(posicao_contratual!$Y8="","",IF(posicao_contratual!$Y8&gt;3,"",posicao_contratual!Q8)))</f>
        <v/>
      </c>
      <c r="R8" s="145" t="str">
        <f>IF(A8="","",IF(posicao_contratual!$Y8="","",IF(posicao_contratual!$Y8&gt;4,"",posicao_contratual!U8)))</f>
        <v/>
      </c>
      <c r="S8" s="165" t="str">
        <f>IF(A8="","",posicao_contratual!G8)</f>
        <v/>
      </c>
      <c r="T8" s="165" t="str">
        <f>IF(A8="","",posicao_contratual!K8)</f>
        <v/>
      </c>
      <c r="U8" s="165" t="str">
        <f>IF(A8="","",posicao_contratual!O8)</f>
        <v/>
      </c>
      <c r="V8" s="165" t="str">
        <f>IF(A8="","",posicao_contratual!S8)</f>
        <v/>
      </c>
      <c r="W8" s="165" t="str">
        <f>IF(A8="","",posicao_contratual!W8)</f>
        <v/>
      </c>
    </row>
    <row r="9" spans="1:23" x14ac:dyDescent="0.35">
      <c r="A9" s="86" t="str">
        <f>IF(itens_Remanesc!A9="","",itens_Remanesc!A9)</f>
        <v/>
      </c>
      <c r="B9" s="85" t="str">
        <f>IF(A9="","",IF(posicao_contratual!$Y9="","",IF(posicao_contratual!$Y9&gt;0,"",posicao_contratual!G9)))</f>
        <v/>
      </c>
      <c r="C9" s="79" t="str">
        <f>IF(itens_Remanesc!A9="","",IF(posicao_contratual!$Y9="","",IF(posicao_contratual!$Y9&gt;0,"",itens_Remanesc!C9)))</f>
        <v/>
      </c>
      <c r="D9" s="79" t="str">
        <f>IF(OR($A9="",posicao_contratual!$Y9=""),"",IF(posicao_contratual!$Y9&gt;1,"",IF(posicao_contratual!$Y9=1,IF(ISNUMBER(itens_Remanesc!C9),itens_Remanesc!C9,""),IF(OR(NOT(ISNUMBER(itens_Remanesc!C9)),NOT(ISNUMBER($L$3)),NOT(ISNUMBER(INDEX($L$2:$L$6,posicao_contratual!$Y9+1)))),"",ROUND(itens_Remanesc!C9*$L$3/INDEX($L$2:$L$6,posicao_contratual!$Y9+1),2)))))</f>
        <v/>
      </c>
      <c r="E9" s="79" t="str">
        <f>IF(OR($A9="",posicao_contratual!$Y9=""),"",IF(posicao_contratual!$Y9&gt;2,"",IF(posicao_contratual!$Y9=2,IF(ISNUMBER(itens_Remanesc!C9),itens_Remanesc!C9,""),IF(OR(NOT(ISNUMBER(itens_Remanesc!C9)),NOT(ISNUMBER($L$4)),NOT(ISNUMBER(INDEX($L$2:$L$6,posicao_contratual!$Y9+1)))),"",ROUND(itens_Remanesc!C9*$L$4/INDEX($L$2:$L$6,posicao_contratual!$Y9+1),2)))))</f>
        <v/>
      </c>
      <c r="F9" s="79" t="str">
        <f>IF(OR($A9="",posicao_contratual!$Y9=""),"",IF(posicao_contratual!$Y9&gt;3,"",IF(posicao_contratual!$Y9=3,IF(ISNUMBER(itens_Remanesc!C9),itens_Remanesc!C9,""),IF(OR(NOT(ISNUMBER(itens_Remanesc!C9)),NOT(ISNUMBER($L$5)),NOT(ISNUMBER(INDEX($L$2:$L$6,posicao_contratual!$Y9+1)))),"",ROUND(itens_Remanesc!C9*$L$5/INDEX($L$2:$L$6,posicao_contratual!$Y9+1),2)))))</f>
        <v/>
      </c>
      <c r="G9" s="79" t="str">
        <f>IF(OR($A9="",posicao_contratual!$Y9=""),"",IF(posicao_contratual!$Y9&gt;4,"",IF(posicao_contratual!$Y9=4,IF(ISNUMBER(itens_Remanesc!C9),itens_Remanesc!C9,""),IF(OR(NOT(ISNUMBER(itens_Remanesc!C9)),NOT(ISNUMBER($L$6)),NOT(ISNUMBER(INDEX($L$2:$L$6,posicao_contratual!$Y9+1)))),"",ROUND(itens_Remanesc!C9*$L$6/INDEX($L$2:$L$6,posicao_contratual!$Y9+1),2)))))</f>
        <v/>
      </c>
      <c r="H9" s="114" t="str">
        <f t="shared" si="0"/>
        <v/>
      </c>
      <c r="I9" s="14"/>
      <c r="J9" s="14"/>
      <c r="K9" s="14"/>
      <c r="L9" s="14"/>
      <c r="M9" s="14"/>
      <c r="N9" s="145" t="str">
        <f>IF(A9="","",IF(posicao_contratual!$Y9="","",IF(posicao_contratual!$Y9&gt;0,"",posicao_contratual!E9)))</f>
        <v/>
      </c>
      <c r="O9" s="145" t="str">
        <f>IF(A9="","",IF(posicao_contratual!$Y9="","",IF(posicao_contratual!$Y9&gt;1,"",posicao_contratual!I9)))</f>
        <v/>
      </c>
      <c r="P9" s="145" t="str">
        <f>IF(A9="","",IF(posicao_contratual!$Y9="","",IF(posicao_contratual!$Y9&gt;2,"",posicao_contratual!M9)))</f>
        <v/>
      </c>
      <c r="Q9" s="145" t="str">
        <f>IF(A9="","",IF(posicao_contratual!$Y9="","",IF(posicao_contratual!$Y9&gt;3,"",posicao_contratual!Q9)))</f>
        <v/>
      </c>
      <c r="R9" s="145" t="str">
        <f>IF(A9="","",IF(posicao_contratual!$Y9="","",IF(posicao_contratual!$Y9&gt;4,"",posicao_contratual!U9)))</f>
        <v/>
      </c>
      <c r="S9" s="165" t="str">
        <f>IF(A9="","",posicao_contratual!G9)</f>
        <v/>
      </c>
      <c r="T9" s="165" t="str">
        <f>IF(A9="","",posicao_contratual!K9)</f>
        <v/>
      </c>
      <c r="U9" s="165" t="str">
        <f>IF(A9="","",posicao_contratual!O9)</f>
        <v/>
      </c>
      <c r="V9" s="165" t="str">
        <f>IF(A9="","",posicao_contratual!S9)</f>
        <v/>
      </c>
      <c r="W9" s="165" t="str">
        <f>IF(A9="","",posicao_contratual!W9)</f>
        <v/>
      </c>
    </row>
    <row r="10" spans="1:23" x14ac:dyDescent="0.35">
      <c r="A10" s="86" t="str">
        <f>IF(itens_Remanesc!A10="","",itens_Remanesc!A10)</f>
        <v/>
      </c>
      <c r="B10" s="85" t="str">
        <f>IF(A10="","",IF(posicao_contratual!$Y10="","",IF(posicao_contratual!$Y10&gt;0,"",posicao_contratual!G10)))</f>
        <v/>
      </c>
      <c r="C10" s="79" t="str">
        <f>IF(itens_Remanesc!A10="","",IF(posicao_contratual!$Y10="","",IF(posicao_contratual!$Y10&gt;0,"",itens_Remanesc!C10)))</f>
        <v/>
      </c>
      <c r="D10" s="79" t="str">
        <f>IF(OR($A10="",posicao_contratual!$Y10=""),"",IF(posicao_contratual!$Y10&gt;1,"",IF(posicao_contratual!$Y10=1,IF(ISNUMBER(itens_Remanesc!C10),itens_Remanesc!C10,""),IF(OR(NOT(ISNUMBER(itens_Remanesc!C10)),NOT(ISNUMBER($L$3)),NOT(ISNUMBER(INDEX($L$2:$L$6,posicao_contratual!$Y10+1)))),"",ROUND(itens_Remanesc!C10*$L$3/INDEX($L$2:$L$6,posicao_contratual!$Y10+1),2)))))</f>
        <v/>
      </c>
      <c r="E10" s="79" t="str">
        <f>IF(OR($A10="",posicao_contratual!$Y10=""),"",IF(posicao_contratual!$Y10&gt;2,"",IF(posicao_contratual!$Y10=2,IF(ISNUMBER(itens_Remanesc!C10),itens_Remanesc!C10,""),IF(OR(NOT(ISNUMBER(itens_Remanesc!C10)),NOT(ISNUMBER($L$4)),NOT(ISNUMBER(INDEX($L$2:$L$6,posicao_contratual!$Y10+1)))),"",ROUND(itens_Remanesc!C10*$L$4/INDEX($L$2:$L$6,posicao_contratual!$Y10+1),2)))))</f>
        <v/>
      </c>
      <c r="F10" s="79" t="str">
        <f>IF(OR($A10="",posicao_contratual!$Y10=""),"",IF(posicao_contratual!$Y10&gt;3,"",IF(posicao_contratual!$Y10=3,IF(ISNUMBER(itens_Remanesc!C10),itens_Remanesc!C10,""),IF(OR(NOT(ISNUMBER(itens_Remanesc!C10)),NOT(ISNUMBER($L$5)),NOT(ISNUMBER(INDEX($L$2:$L$6,posicao_contratual!$Y10+1)))),"",ROUND(itens_Remanesc!C10*$L$5/INDEX($L$2:$L$6,posicao_contratual!$Y10+1),2)))))</f>
        <v/>
      </c>
      <c r="G10" s="79" t="str">
        <f>IF(OR($A10="",posicao_contratual!$Y10=""),"",IF(posicao_contratual!$Y10&gt;4,"",IF(posicao_contratual!$Y10=4,IF(ISNUMBER(itens_Remanesc!C10),itens_Remanesc!C10,""),IF(OR(NOT(ISNUMBER(itens_Remanesc!C10)),NOT(ISNUMBER($L$6)),NOT(ISNUMBER(INDEX($L$2:$L$6,posicao_contratual!$Y10+1)))),"",ROUND(itens_Remanesc!C10*$L$6/INDEX($L$2:$L$6,posicao_contratual!$Y10+1),2)))))</f>
        <v/>
      </c>
      <c r="H10" s="114" t="str">
        <f t="shared" si="0"/>
        <v/>
      </c>
      <c r="I10" s="14"/>
      <c r="J10" s="14"/>
      <c r="K10" s="14"/>
      <c r="L10" s="14"/>
      <c r="M10" s="14"/>
      <c r="N10" s="145" t="str">
        <f>IF(A10="","",IF(posicao_contratual!$Y10="","",IF(posicao_contratual!$Y10&gt;0,"",posicao_contratual!E10)))</f>
        <v/>
      </c>
      <c r="O10" s="145" t="str">
        <f>IF(A10="","",IF(posicao_contratual!$Y10="","",IF(posicao_contratual!$Y10&gt;1,"",posicao_contratual!I10)))</f>
        <v/>
      </c>
      <c r="P10" s="145" t="str">
        <f>IF(A10="","",IF(posicao_contratual!$Y10="","",IF(posicao_contratual!$Y10&gt;2,"",posicao_contratual!M10)))</f>
        <v/>
      </c>
      <c r="Q10" s="145" t="str">
        <f>IF(A10="","",IF(posicao_contratual!$Y10="","",IF(posicao_contratual!$Y10&gt;3,"",posicao_contratual!Q10)))</f>
        <v/>
      </c>
      <c r="R10" s="145" t="str">
        <f>IF(A10="","",IF(posicao_contratual!$Y10="","",IF(posicao_contratual!$Y10&gt;4,"",posicao_contratual!U10)))</f>
        <v/>
      </c>
      <c r="S10" s="165" t="str">
        <f>IF(A10="","",posicao_contratual!G10)</f>
        <v/>
      </c>
      <c r="T10" s="165" t="str">
        <f>IF(A10="","",posicao_contratual!K10)</f>
        <v/>
      </c>
      <c r="U10" s="165" t="str">
        <f>IF(A10="","",posicao_contratual!O10)</f>
        <v/>
      </c>
      <c r="V10" s="165" t="str">
        <f>IF(A10="","",posicao_contratual!S10)</f>
        <v/>
      </c>
      <c r="W10" s="165" t="str">
        <f>IF(A10="","",posicao_contratual!W10)</f>
        <v/>
      </c>
    </row>
    <row r="11" spans="1:23" x14ac:dyDescent="0.35">
      <c r="A11" s="86" t="str">
        <f>IF(itens_Remanesc!A11="","",itens_Remanesc!A11)</f>
        <v/>
      </c>
      <c r="B11" s="85" t="str">
        <f>IF(A11="","",IF(posicao_contratual!$Y11="","",IF(posicao_contratual!$Y11&gt;0,"",posicao_contratual!G11)))</f>
        <v/>
      </c>
      <c r="C11" s="79" t="str">
        <f>IF(itens_Remanesc!A11="","",IF(posicao_contratual!$Y11="","",IF(posicao_contratual!$Y11&gt;0,"",itens_Remanesc!C11)))</f>
        <v/>
      </c>
      <c r="D11" s="79" t="str">
        <f>IF(OR($A11="",posicao_contratual!$Y11=""),"",IF(posicao_contratual!$Y11&gt;1,"",IF(posicao_contratual!$Y11=1,IF(ISNUMBER(itens_Remanesc!C11),itens_Remanesc!C11,""),IF(OR(NOT(ISNUMBER(itens_Remanesc!C11)),NOT(ISNUMBER($L$3)),NOT(ISNUMBER(INDEX($L$2:$L$6,posicao_contratual!$Y11+1)))),"",ROUND(itens_Remanesc!C11*$L$3/INDEX($L$2:$L$6,posicao_contratual!$Y11+1),2)))))</f>
        <v/>
      </c>
      <c r="E11" s="79" t="str">
        <f>IF(OR($A11="",posicao_contratual!$Y11=""),"",IF(posicao_contratual!$Y11&gt;2,"",IF(posicao_contratual!$Y11=2,IF(ISNUMBER(itens_Remanesc!C11),itens_Remanesc!C11,""),IF(OR(NOT(ISNUMBER(itens_Remanesc!C11)),NOT(ISNUMBER($L$4)),NOT(ISNUMBER(INDEX($L$2:$L$6,posicao_contratual!$Y11+1)))),"",ROUND(itens_Remanesc!C11*$L$4/INDEX($L$2:$L$6,posicao_contratual!$Y11+1),2)))))</f>
        <v/>
      </c>
      <c r="F11" s="79" t="str">
        <f>IF(OR($A11="",posicao_contratual!$Y11=""),"",IF(posicao_contratual!$Y11&gt;3,"",IF(posicao_contratual!$Y11=3,IF(ISNUMBER(itens_Remanesc!C11),itens_Remanesc!C11,""),IF(OR(NOT(ISNUMBER(itens_Remanesc!C11)),NOT(ISNUMBER($L$5)),NOT(ISNUMBER(INDEX($L$2:$L$6,posicao_contratual!$Y11+1)))),"",ROUND(itens_Remanesc!C11*$L$5/INDEX($L$2:$L$6,posicao_contratual!$Y11+1),2)))))</f>
        <v/>
      </c>
      <c r="G11" s="79" t="str">
        <f>IF(OR($A11="",posicao_contratual!$Y11=""),"",IF(posicao_contratual!$Y11&gt;4,"",IF(posicao_contratual!$Y11=4,IF(ISNUMBER(itens_Remanesc!C11),itens_Remanesc!C11,""),IF(OR(NOT(ISNUMBER(itens_Remanesc!C11)),NOT(ISNUMBER($L$6)),NOT(ISNUMBER(INDEX($L$2:$L$6,posicao_contratual!$Y11+1)))),"",ROUND(itens_Remanesc!C11*$L$6/INDEX($L$2:$L$6,posicao_contratual!$Y11+1),2)))))</f>
        <v/>
      </c>
      <c r="H11" s="114" t="str">
        <f t="shared" si="0"/>
        <v/>
      </c>
      <c r="I11" s="14"/>
      <c r="J11" s="14"/>
      <c r="K11" s="14"/>
      <c r="L11" s="14"/>
      <c r="M11" s="14"/>
      <c r="N11" s="145" t="str">
        <f>IF(A11="","",IF(posicao_contratual!$Y11="","",IF(posicao_contratual!$Y11&gt;0,"",posicao_contratual!E11)))</f>
        <v/>
      </c>
      <c r="O11" s="145" t="str">
        <f>IF(A11="","",IF(posicao_contratual!$Y11="","",IF(posicao_contratual!$Y11&gt;1,"",posicao_contratual!I11)))</f>
        <v/>
      </c>
      <c r="P11" s="145" t="str">
        <f>IF(A11="","",IF(posicao_contratual!$Y11="","",IF(posicao_contratual!$Y11&gt;2,"",posicao_contratual!M11)))</f>
        <v/>
      </c>
      <c r="Q11" s="145" t="str">
        <f>IF(A11="","",IF(posicao_contratual!$Y11="","",IF(posicao_contratual!$Y11&gt;3,"",posicao_contratual!Q11)))</f>
        <v/>
      </c>
      <c r="R11" s="145" t="str">
        <f>IF(A11="","",IF(posicao_contratual!$Y11="","",IF(posicao_contratual!$Y11&gt;4,"",posicao_contratual!U11)))</f>
        <v/>
      </c>
      <c r="S11" s="165" t="str">
        <f>IF(A11="","",posicao_contratual!G11)</f>
        <v/>
      </c>
      <c r="T11" s="165" t="str">
        <f>IF(A11="","",posicao_contratual!K11)</f>
        <v/>
      </c>
      <c r="U11" s="165" t="str">
        <f>IF(A11="","",posicao_contratual!O11)</f>
        <v/>
      </c>
      <c r="V11" s="165" t="str">
        <f>IF(A11="","",posicao_contratual!S11)</f>
        <v/>
      </c>
      <c r="W11" s="165" t="str">
        <f>IF(A11="","",posicao_contratual!W11)</f>
        <v/>
      </c>
    </row>
    <row r="12" spans="1:23" x14ac:dyDescent="0.35">
      <c r="A12" s="86" t="str">
        <f>IF(itens_Remanesc!A12="","",itens_Remanesc!A12)</f>
        <v/>
      </c>
      <c r="B12" s="85" t="str">
        <f>IF(A12="","",IF(posicao_contratual!$Y12="","",IF(posicao_contratual!$Y12&gt;0,"",posicao_contratual!G12)))</f>
        <v/>
      </c>
      <c r="C12" s="79" t="str">
        <f>IF(itens_Remanesc!A12="","",IF(posicao_contratual!$Y12="","",IF(posicao_contratual!$Y12&gt;0,"",itens_Remanesc!C12)))</f>
        <v/>
      </c>
      <c r="D12" s="79" t="str">
        <f>IF(OR($A12="",posicao_contratual!$Y12=""),"",IF(posicao_contratual!$Y12&gt;1,"",IF(posicao_contratual!$Y12=1,IF(ISNUMBER(itens_Remanesc!C12),itens_Remanesc!C12,""),IF(OR(NOT(ISNUMBER(itens_Remanesc!C12)),NOT(ISNUMBER($L$3)),NOT(ISNUMBER(INDEX($L$2:$L$6,posicao_contratual!$Y12+1)))),"",ROUND(itens_Remanesc!C12*$L$3/INDEX($L$2:$L$6,posicao_contratual!$Y12+1),2)))))</f>
        <v/>
      </c>
      <c r="E12" s="79" t="str">
        <f>IF(OR($A12="",posicao_contratual!$Y12=""),"",IF(posicao_contratual!$Y12&gt;2,"",IF(posicao_contratual!$Y12=2,IF(ISNUMBER(itens_Remanesc!C12),itens_Remanesc!C12,""),IF(OR(NOT(ISNUMBER(itens_Remanesc!C12)),NOT(ISNUMBER($L$4)),NOT(ISNUMBER(INDEX($L$2:$L$6,posicao_contratual!$Y12+1)))),"",ROUND(itens_Remanesc!C12*$L$4/INDEX($L$2:$L$6,posicao_contratual!$Y12+1),2)))))</f>
        <v/>
      </c>
      <c r="F12" s="79" t="str">
        <f>IF(OR($A12="",posicao_contratual!$Y12=""),"",IF(posicao_contratual!$Y12&gt;3,"",IF(posicao_contratual!$Y12=3,IF(ISNUMBER(itens_Remanesc!C12),itens_Remanesc!C12,""),IF(OR(NOT(ISNUMBER(itens_Remanesc!C12)),NOT(ISNUMBER($L$5)),NOT(ISNUMBER(INDEX($L$2:$L$6,posicao_contratual!$Y12+1)))),"",ROUND(itens_Remanesc!C12*$L$5/INDEX($L$2:$L$6,posicao_contratual!$Y12+1),2)))))</f>
        <v/>
      </c>
      <c r="G12" s="79" t="str">
        <f>IF(OR($A12="",posicao_contratual!$Y12=""),"",IF(posicao_contratual!$Y12&gt;4,"",IF(posicao_contratual!$Y12=4,IF(ISNUMBER(itens_Remanesc!C12),itens_Remanesc!C12,""),IF(OR(NOT(ISNUMBER(itens_Remanesc!C12)),NOT(ISNUMBER($L$6)),NOT(ISNUMBER(INDEX($L$2:$L$6,posicao_contratual!$Y12+1)))),"",ROUND(itens_Remanesc!C12*$L$6/INDEX($L$2:$L$6,posicao_contratual!$Y12+1),2)))))</f>
        <v/>
      </c>
      <c r="H12" s="114" t="str">
        <f t="shared" si="0"/>
        <v/>
      </c>
      <c r="I12" s="14"/>
      <c r="J12" s="14"/>
      <c r="K12" s="14"/>
      <c r="L12" s="14"/>
      <c r="M12" s="14"/>
      <c r="N12" s="145" t="str">
        <f>IF(A12="","",IF(posicao_contratual!$Y12="","",IF(posicao_contratual!$Y12&gt;0,"",posicao_contratual!E12)))</f>
        <v/>
      </c>
      <c r="O12" s="145" t="str">
        <f>IF(A12="","",IF(posicao_contratual!$Y12="","",IF(posicao_contratual!$Y12&gt;1,"",posicao_contratual!I12)))</f>
        <v/>
      </c>
      <c r="P12" s="145" t="str">
        <f>IF(A12="","",IF(posicao_contratual!$Y12="","",IF(posicao_contratual!$Y12&gt;2,"",posicao_contratual!M12)))</f>
        <v/>
      </c>
      <c r="Q12" s="145" t="str">
        <f>IF(A12="","",IF(posicao_contratual!$Y12="","",IF(posicao_contratual!$Y12&gt;3,"",posicao_contratual!Q12)))</f>
        <v/>
      </c>
      <c r="R12" s="145" t="str">
        <f>IF(A12="","",IF(posicao_contratual!$Y12="","",IF(posicao_contratual!$Y12&gt;4,"",posicao_contratual!U12)))</f>
        <v/>
      </c>
      <c r="S12" s="165" t="str">
        <f>IF(A12="","",posicao_contratual!G12)</f>
        <v/>
      </c>
      <c r="T12" s="165" t="str">
        <f>IF(A12="","",posicao_contratual!K12)</f>
        <v/>
      </c>
      <c r="U12" s="165" t="str">
        <f>IF(A12="","",posicao_contratual!O12)</f>
        <v/>
      </c>
      <c r="V12" s="165" t="str">
        <f>IF(A12="","",posicao_contratual!S12)</f>
        <v/>
      </c>
      <c r="W12" s="165" t="str">
        <f>IF(A12="","",posicao_contratual!W12)</f>
        <v/>
      </c>
    </row>
    <row r="13" spans="1:23" x14ac:dyDescent="0.35">
      <c r="A13" s="86" t="str">
        <f>IF(itens_Remanesc!A13="","",itens_Remanesc!A13)</f>
        <v/>
      </c>
      <c r="B13" s="85" t="str">
        <f>IF(A13="","",IF(posicao_contratual!$Y13="","",IF(posicao_contratual!$Y13&gt;0,"",posicao_contratual!G13)))</f>
        <v/>
      </c>
      <c r="C13" s="79" t="str">
        <f>IF(itens_Remanesc!A13="","",IF(posicao_contratual!$Y13="","",IF(posicao_contratual!$Y13&gt;0,"",itens_Remanesc!C13)))</f>
        <v/>
      </c>
      <c r="D13" s="79" t="str">
        <f>IF(OR($A13="",posicao_contratual!$Y13=""),"",IF(posicao_contratual!$Y13&gt;1,"",IF(posicao_contratual!$Y13=1,IF(ISNUMBER(itens_Remanesc!C13),itens_Remanesc!C13,""),IF(OR(NOT(ISNUMBER(itens_Remanesc!C13)),NOT(ISNUMBER($L$3)),NOT(ISNUMBER(INDEX($L$2:$L$6,posicao_contratual!$Y13+1)))),"",ROUND(itens_Remanesc!C13*$L$3/INDEX($L$2:$L$6,posicao_contratual!$Y13+1),2)))))</f>
        <v/>
      </c>
      <c r="E13" s="79" t="str">
        <f>IF(OR($A13="",posicao_contratual!$Y13=""),"",IF(posicao_contratual!$Y13&gt;2,"",IF(posicao_contratual!$Y13=2,IF(ISNUMBER(itens_Remanesc!C13),itens_Remanesc!C13,""),IF(OR(NOT(ISNUMBER(itens_Remanesc!C13)),NOT(ISNUMBER($L$4)),NOT(ISNUMBER(INDEX($L$2:$L$6,posicao_contratual!$Y13+1)))),"",ROUND(itens_Remanesc!C13*$L$4/INDEX($L$2:$L$6,posicao_contratual!$Y13+1),2)))))</f>
        <v/>
      </c>
      <c r="F13" s="79" t="str">
        <f>IF(OR($A13="",posicao_contratual!$Y13=""),"",IF(posicao_contratual!$Y13&gt;3,"",IF(posicao_contratual!$Y13=3,IF(ISNUMBER(itens_Remanesc!C13),itens_Remanesc!C13,""),IF(OR(NOT(ISNUMBER(itens_Remanesc!C13)),NOT(ISNUMBER($L$5)),NOT(ISNUMBER(INDEX($L$2:$L$6,posicao_contratual!$Y13+1)))),"",ROUND(itens_Remanesc!C13*$L$5/INDEX($L$2:$L$6,posicao_contratual!$Y13+1),2)))))</f>
        <v/>
      </c>
      <c r="G13" s="79" t="str">
        <f>IF(OR($A13="",posicao_contratual!$Y13=""),"",IF(posicao_contratual!$Y13&gt;4,"",IF(posicao_contratual!$Y13=4,IF(ISNUMBER(itens_Remanesc!C13),itens_Remanesc!C13,""),IF(OR(NOT(ISNUMBER(itens_Remanesc!C13)),NOT(ISNUMBER($L$6)),NOT(ISNUMBER(INDEX($L$2:$L$6,posicao_contratual!$Y13+1)))),"",ROUND(itens_Remanesc!C13*$L$6/INDEX($L$2:$L$6,posicao_contratual!$Y13+1),2)))))</f>
        <v/>
      </c>
      <c r="H13" s="114" t="str">
        <f t="shared" si="0"/>
        <v/>
      </c>
      <c r="I13" s="14"/>
      <c r="J13" s="14"/>
      <c r="K13" s="14"/>
      <c r="L13" s="14"/>
      <c r="M13" s="14"/>
      <c r="N13" s="145" t="str">
        <f>IF(A13="","",IF(posicao_contratual!$Y13="","",IF(posicao_contratual!$Y13&gt;0,"",posicao_contratual!E13)))</f>
        <v/>
      </c>
      <c r="O13" s="145" t="str">
        <f>IF(A13="","",IF(posicao_contratual!$Y13="","",IF(posicao_contratual!$Y13&gt;1,"",posicao_contratual!I13)))</f>
        <v/>
      </c>
      <c r="P13" s="145" t="str">
        <f>IF(A13="","",IF(posicao_contratual!$Y13="","",IF(posicao_contratual!$Y13&gt;2,"",posicao_contratual!M13)))</f>
        <v/>
      </c>
      <c r="Q13" s="145" t="str">
        <f>IF(A13="","",IF(posicao_contratual!$Y13="","",IF(posicao_contratual!$Y13&gt;3,"",posicao_contratual!Q13)))</f>
        <v/>
      </c>
      <c r="R13" s="145" t="str">
        <f>IF(A13="","",IF(posicao_contratual!$Y13="","",IF(posicao_contratual!$Y13&gt;4,"",posicao_contratual!U13)))</f>
        <v/>
      </c>
      <c r="S13" s="165" t="str">
        <f>IF(A13="","",posicao_contratual!G13)</f>
        <v/>
      </c>
      <c r="T13" s="165" t="str">
        <f>IF(A13="","",posicao_contratual!K13)</f>
        <v/>
      </c>
      <c r="U13" s="165" t="str">
        <f>IF(A13="","",posicao_contratual!O13)</f>
        <v/>
      </c>
      <c r="V13" s="165" t="str">
        <f>IF(A13="","",posicao_contratual!S13)</f>
        <v/>
      </c>
      <c r="W13" s="165" t="str">
        <f>IF(A13="","",posicao_contratual!W13)</f>
        <v/>
      </c>
    </row>
    <row r="14" spans="1:23" x14ac:dyDescent="0.35">
      <c r="A14" s="86" t="str">
        <f>IF(itens_Remanesc!A14="","",itens_Remanesc!A14)</f>
        <v/>
      </c>
      <c r="B14" s="85" t="str">
        <f>IF(A14="","",IF(posicao_contratual!$Y14="","",IF(posicao_contratual!$Y14&gt;0,"",posicao_contratual!G14)))</f>
        <v/>
      </c>
      <c r="C14" s="79" t="str">
        <f>IF(itens_Remanesc!A14="","",IF(posicao_contratual!$Y14="","",IF(posicao_contratual!$Y14&gt;0,"",itens_Remanesc!C14)))</f>
        <v/>
      </c>
      <c r="D14" s="79" t="str">
        <f>IF(OR($A14="",posicao_contratual!$Y14=""),"",IF(posicao_contratual!$Y14&gt;1,"",IF(posicao_contratual!$Y14=1,IF(ISNUMBER(itens_Remanesc!C14),itens_Remanesc!C14,""),IF(OR(NOT(ISNUMBER(itens_Remanesc!C14)),NOT(ISNUMBER($L$3)),NOT(ISNUMBER(INDEX($L$2:$L$6,posicao_contratual!$Y14+1)))),"",ROUND(itens_Remanesc!C14*$L$3/INDEX($L$2:$L$6,posicao_contratual!$Y14+1),2)))))</f>
        <v/>
      </c>
      <c r="E14" s="79" t="str">
        <f>IF(OR($A14="",posicao_contratual!$Y14=""),"",IF(posicao_contratual!$Y14&gt;2,"",IF(posicao_contratual!$Y14=2,IF(ISNUMBER(itens_Remanesc!C14),itens_Remanesc!C14,""),IF(OR(NOT(ISNUMBER(itens_Remanesc!C14)),NOT(ISNUMBER($L$4)),NOT(ISNUMBER(INDEX($L$2:$L$6,posicao_contratual!$Y14+1)))),"",ROUND(itens_Remanesc!C14*$L$4/INDEX($L$2:$L$6,posicao_contratual!$Y14+1),2)))))</f>
        <v/>
      </c>
      <c r="F14" s="79" t="str">
        <f>IF(OR($A14="",posicao_contratual!$Y14=""),"",IF(posicao_contratual!$Y14&gt;3,"",IF(posicao_contratual!$Y14=3,IF(ISNUMBER(itens_Remanesc!C14),itens_Remanesc!C14,""),IF(OR(NOT(ISNUMBER(itens_Remanesc!C14)),NOT(ISNUMBER($L$5)),NOT(ISNUMBER(INDEX($L$2:$L$6,posicao_contratual!$Y14+1)))),"",ROUND(itens_Remanesc!C14*$L$5/INDEX($L$2:$L$6,posicao_contratual!$Y14+1),2)))))</f>
        <v/>
      </c>
      <c r="G14" s="79" t="str">
        <f>IF(OR($A14="",posicao_contratual!$Y14=""),"",IF(posicao_contratual!$Y14&gt;4,"",IF(posicao_contratual!$Y14=4,IF(ISNUMBER(itens_Remanesc!C14),itens_Remanesc!C14,""),IF(OR(NOT(ISNUMBER(itens_Remanesc!C14)),NOT(ISNUMBER($L$6)),NOT(ISNUMBER(INDEX($L$2:$L$6,posicao_contratual!$Y14+1)))),"",ROUND(itens_Remanesc!C14*$L$6/INDEX($L$2:$L$6,posicao_contratual!$Y14+1),2)))))</f>
        <v/>
      </c>
      <c r="H14" s="114" t="str">
        <f t="shared" si="0"/>
        <v/>
      </c>
      <c r="I14" s="14"/>
      <c r="J14" s="14"/>
      <c r="K14" s="14"/>
      <c r="L14" s="14"/>
      <c r="M14" s="14"/>
      <c r="N14" s="145" t="str">
        <f>IF(A14="","",IF(posicao_contratual!$Y14="","",IF(posicao_contratual!$Y14&gt;0,"",posicao_contratual!E14)))</f>
        <v/>
      </c>
      <c r="O14" s="145" t="str">
        <f>IF(A14="","",IF(posicao_contratual!$Y14="","",IF(posicao_contratual!$Y14&gt;1,"",posicao_contratual!I14)))</f>
        <v/>
      </c>
      <c r="P14" s="145" t="str">
        <f>IF(A14="","",IF(posicao_contratual!$Y14="","",IF(posicao_contratual!$Y14&gt;2,"",posicao_contratual!M14)))</f>
        <v/>
      </c>
      <c r="Q14" s="145" t="str">
        <f>IF(A14="","",IF(posicao_contratual!$Y14="","",IF(posicao_contratual!$Y14&gt;3,"",posicao_contratual!Q14)))</f>
        <v/>
      </c>
      <c r="R14" s="145" t="str">
        <f>IF(A14="","",IF(posicao_contratual!$Y14="","",IF(posicao_contratual!$Y14&gt;4,"",posicao_contratual!U14)))</f>
        <v/>
      </c>
      <c r="S14" s="165" t="str">
        <f>IF(A14="","",posicao_contratual!G14)</f>
        <v/>
      </c>
      <c r="T14" s="165" t="str">
        <f>IF(A14="","",posicao_contratual!K14)</f>
        <v/>
      </c>
      <c r="U14" s="165" t="str">
        <f>IF(A14="","",posicao_contratual!O14)</f>
        <v/>
      </c>
      <c r="V14" s="165" t="str">
        <f>IF(A14="","",posicao_contratual!S14)</f>
        <v/>
      </c>
      <c r="W14" s="165" t="str">
        <f>IF(A14="","",posicao_contratual!W14)</f>
        <v/>
      </c>
    </row>
    <row r="15" spans="1:23" x14ac:dyDescent="0.35">
      <c r="A15" s="86" t="str">
        <f>IF(itens_Remanesc!A15="","",itens_Remanesc!A15)</f>
        <v/>
      </c>
      <c r="B15" s="85" t="str">
        <f>IF(A15="","",IF(posicao_contratual!$Y15="","",IF(posicao_contratual!$Y15&gt;0,"",posicao_contratual!G15)))</f>
        <v/>
      </c>
      <c r="C15" s="79" t="str">
        <f>IF(itens_Remanesc!A15="","",IF(posicao_contratual!$Y15="","",IF(posicao_contratual!$Y15&gt;0,"",itens_Remanesc!C15)))</f>
        <v/>
      </c>
      <c r="D15" s="79" t="str">
        <f>IF(OR($A15="",posicao_contratual!$Y15=""),"",IF(posicao_contratual!$Y15&gt;1,"",IF(posicao_contratual!$Y15=1,IF(ISNUMBER(itens_Remanesc!C15),itens_Remanesc!C15,""),IF(OR(NOT(ISNUMBER(itens_Remanesc!C15)),NOT(ISNUMBER($L$3)),NOT(ISNUMBER(INDEX($L$2:$L$6,posicao_contratual!$Y15+1)))),"",ROUND(itens_Remanesc!C15*$L$3/INDEX($L$2:$L$6,posicao_contratual!$Y15+1),2)))))</f>
        <v/>
      </c>
      <c r="E15" s="79" t="str">
        <f>IF(OR($A15="",posicao_contratual!$Y15=""),"",IF(posicao_contratual!$Y15&gt;2,"",IF(posicao_contratual!$Y15=2,IF(ISNUMBER(itens_Remanesc!C15),itens_Remanesc!C15,""),IF(OR(NOT(ISNUMBER(itens_Remanesc!C15)),NOT(ISNUMBER($L$4)),NOT(ISNUMBER(INDEX($L$2:$L$6,posicao_contratual!$Y15+1)))),"",ROUND(itens_Remanesc!C15*$L$4/INDEX($L$2:$L$6,posicao_contratual!$Y15+1),2)))))</f>
        <v/>
      </c>
      <c r="F15" s="79" t="str">
        <f>IF(OR($A15="",posicao_contratual!$Y15=""),"",IF(posicao_contratual!$Y15&gt;3,"",IF(posicao_contratual!$Y15=3,IF(ISNUMBER(itens_Remanesc!C15),itens_Remanesc!C15,""),IF(OR(NOT(ISNUMBER(itens_Remanesc!C15)),NOT(ISNUMBER($L$5)),NOT(ISNUMBER(INDEX($L$2:$L$6,posicao_contratual!$Y15+1)))),"",ROUND(itens_Remanesc!C15*$L$5/INDEX($L$2:$L$6,posicao_contratual!$Y15+1),2)))))</f>
        <v/>
      </c>
      <c r="G15" s="79" t="str">
        <f>IF(OR($A15="",posicao_contratual!$Y15=""),"",IF(posicao_contratual!$Y15&gt;4,"",IF(posicao_contratual!$Y15=4,IF(ISNUMBER(itens_Remanesc!C15),itens_Remanesc!C15,""),IF(OR(NOT(ISNUMBER(itens_Remanesc!C15)),NOT(ISNUMBER($L$6)),NOT(ISNUMBER(INDEX($L$2:$L$6,posicao_contratual!$Y15+1)))),"",ROUND(itens_Remanesc!C15*$L$6/INDEX($L$2:$L$6,posicao_contratual!$Y15+1),2)))))</f>
        <v/>
      </c>
      <c r="H15" s="114" t="str">
        <f t="shared" si="0"/>
        <v/>
      </c>
      <c r="I15" s="14"/>
      <c r="J15" s="14"/>
      <c r="K15" s="14"/>
      <c r="L15" s="14"/>
      <c r="M15" s="14"/>
      <c r="N15" s="145" t="str">
        <f>IF(A15="","",IF(posicao_contratual!$Y15="","",IF(posicao_contratual!$Y15&gt;0,"",posicao_contratual!E15)))</f>
        <v/>
      </c>
      <c r="O15" s="145" t="str">
        <f>IF(A15="","",IF(posicao_contratual!$Y15="","",IF(posicao_contratual!$Y15&gt;1,"",posicao_contratual!I15)))</f>
        <v/>
      </c>
      <c r="P15" s="145" t="str">
        <f>IF(A15="","",IF(posicao_contratual!$Y15="","",IF(posicao_contratual!$Y15&gt;2,"",posicao_contratual!M15)))</f>
        <v/>
      </c>
      <c r="Q15" s="145" t="str">
        <f>IF(A15="","",IF(posicao_contratual!$Y15="","",IF(posicao_contratual!$Y15&gt;3,"",posicao_contratual!Q15)))</f>
        <v/>
      </c>
      <c r="R15" s="145" t="str">
        <f>IF(A15="","",IF(posicao_contratual!$Y15="","",IF(posicao_contratual!$Y15&gt;4,"",posicao_contratual!U15)))</f>
        <v/>
      </c>
      <c r="S15" s="165" t="str">
        <f>IF(A15="","",posicao_contratual!G15)</f>
        <v/>
      </c>
      <c r="T15" s="165" t="str">
        <f>IF(A15="","",posicao_contratual!K15)</f>
        <v/>
      </c>
      <c r="U15" s="165" t="str">
        <f>IF(A15="","",posicao_contratual!O15)</f>
        <v/>
      </c>
      <c r="V15" s="165" t="str">
        <f>IF(A15="","",posicao_contratual!S15)</f>
        <v/>
      </c>
      <c r="W15" s="165" t="str">
        <f>IF(A15="","",posicao_contratual!W15)</f>
        <v/>
      </c>
    </row>
    <row r="16" spans="1:23" x14ac:dyDescent="0.35">
      <c r="A16" s="86" t="str">
        <f>IF(itens_Remanesc!A16="","",itens_Remanesc!A16)</f>
        <v/>
      </c>
      <c r="B16" s="85" t="str">
        <f>IF(A16="","",IF(posicao_contratual!$Y16="","",IF(posicao_contratual!$Y16&gt;0,"",posicao_contratual!G16)))</f>
        <v/>
      </c>
      <c r="C16" s="79" t="str">
        <f>IF(itens_Remanesc!A16="","",IF(posicao_contratual!$Y16="","",IF(posicao_contratual!$Y16&gt;0,"",itens_Remanesc!C16)))</f>
        <v/>
      </c>
      <c r="D16" s="79" t="str">
        <f>IF(OR($A16="",posicao_contratual!$Y16=""),"",IF(posicao_contratual!$Y16&gt;1,"",IF(posicao_contratual!$Y16=1,IF(ISNUMBER(itens_Remanesc!C16),itens_Remanesc!C16,""),IF(OR(NOT(ISNUMBER(itens_Remanesc!C16)),NOT(ISNUMBER($L$3)),NOT(ISNUMBER(INDEX($L$2:$L$6,posicao_contratual!$Y16+1)))),"",ROUND(itens_Remanesc!C16*$L$3/INDEX($L$2:$L$6,posicao_contratual!$Y16+1),2)))))</f>
        <v/>
      </c>
      <c r="E16" s="79" t="str">
        <f>IF(OR($A16="",posicao_contratual!$Y16=""),"",IF(posicao_contratual!$Y16&gt;2,"",IF(posicao_contratual!$Y16=2,IF(ISNUMBER(itens_Remanesc!C16),itens_Remanesc!C16,""),IF(OR(NOT(ISNUMBER(itens_Remanesc!C16)),NOT(ISNUMBER($L$4)),NOT(ISNUMBER(INDEX($L$2:$L$6,posicao_contratual!$Y16+1)))),"",ROUND(itens_Remanesc!C16*$L$4/INDEX($L$2:$L$6,posicao_contratual!$Y16+1),2)))))</f>
        <v/>
      </c>
      <c r="F16" s="79" t="str">
        <f>IF(OR($A16="",posicao_contratual!$Y16=""),"",IF(posicao_contratual!$Y16&gt;3,"",IF(posicao_contratual!$Y16=3,IF(ISNUMBER(itens_Remanesc!C16),itens_Remanesc!C16,""),IF(OR(NOT(ISNUMBER(itens_Remanesc!C16)),NOT(ISNUMBER($L$5)),NOT(ISNUMBER(INDEX($L$2:$L$6,posicao_contratual!$Y16+1)))),"",ROUND(itens_Remanesc!C16*$L$5/INDEX($L$2:$L$6,posicao_contratual!$Y16+1),2)))))</f>
        <v/>
      </c>
      <c r="G16" s="79" t="str">
        <f>IF(OR($A16="",posicao_contratual!$Y16=""),"",IF(posicao_contratual!$Y16&gt;4,"",IF(posicao_contratual!$Y16=4,IF(ISNUMBER(itens_Remanesc!C16),itens_Remanesc!C16,""),IF(OR(NOT(ISNUMBER(itens_Remanesc!C16)),NOT(ISNUMBER($L$6)),NOT(ISNUMBER(INDEX($L$2:$L$6,posicao_contratual!$Y16+1)))),"",ROUND(itens_Remanesc!C16*$L$6/INDEX($L$2:$L$6,posicao_contratual!$Y16+1),2)))))</f>
        <v/>
      </c>
      <c r="H16" s="114" t="str">
        <f t="shared" si="0"/>
        <v/>
      </c>
      <c r="I16" s="14"/>
      <c r="J16" s="14"/>
      <c r="K16" s="14"/>
      <c r="L16" s="14"/>
      <c r="M16" s="14"/>
      <c r="N16" s="145" t="str">
        <f>IF(A16="","",IF(posicao_contratual!$Y16="","",IF(posicao_contratual!$Y16&gt;0,"",posicao_contratual!E16)))</f>
        <v/>
      </c>
      <c r="O16" s="145" t="str">
        <f>IF(A16="","",IF(posicao_contratual!$Y16="","",IF(posicao_contratual!$Y16&gt;1,"",posicao_contratual!I16)))</f>
        <v/>
      </c>
      <c r="P16" s="145" t="str">
        <f>IF(A16="","",IF(posicao_contratual!$Y16="","",IF(posicao_contratual!$Y16&gt;2,"",posicao_contratual!M16)))</f>
        <v/>
      </c>
      <c r="Q16" s="145" t="str">
        <f>IF(A16="","",IF(posicao_contratual!$Y16="","",IF(posicao_contratual!$Y16&gt;3,"",posicao_contratual!Q16)))</f>
        <v/>
      </c>
      <c r="R16" s="145" t="str">
        <f>IF(A16="","",IF(posicao_contratual!$Y16="","",IF(posicao_contratual!$Y16&gt;4,"",posicao_contratual!U16)))</f>
        <v/>
      </c>
      <c r="S16" s="165" t="str">
        <f>IF(A16="","",posicao_contratual!G16)</f>
        <v/>
      </c>
      <c r="T16" s="165" t="str">
        <f>IF(A16="","",posicao_contratual!K16)</f>
        <v/>
      </c>
      <c r="U16" s="165" t="str">
        <f>IF(A16="","",posicao_contratual!O16)</f>
        <v/>
      </c>
      <c r="V16" s="165" t="str">
        <f>IF(A16="","",posicao_contratual!S16)</f>
        <v/>
      </c>
      <c r="W16" s="165" t="str">
        <f>IF(A16="","",posicao_contratual!W16)</f>
        <v/>
      </c>
    </row>
    <row r="17" spans="1:23" x14ac:dyDescent="0.35">
      <c r="A17" s="86" t="str">
        <f>IF(itens_Remanesc!A17="","",itens_Remanesc!A17)</f>
        <v/>
      </c>
      <c r="B17" s="85" t="str">
        <f>IF(A17="","",IF(posicao_contratual!$Y17="","",IF(posicao_contratual!$Y17&gt;0,"",posicao_contratual!G17)))</f>
        <v/>
      </c>
      <c r="C17" s="79" t="str">
        <f>IF(itens_Remanesc!A17="","",IF(posicao_contratual!$Y17="","",IF(posicao_contratual!$Y17&gt;0,"",itens_Remanesc!C17)))</f>
        <v/>
      </c>
      <c r="D17" s="79" t="str">
        <f>IF(OR($A17="",posicao_contratual!$Y17=""),"",IF(posicao_contratual!$Y17&gt;1,"",IF(posicao_contratual!$Y17=1,IF(ISNUMBER(itens_Remanesc!C17),itens_Remanesc!C17,""),IF(OR(NOT(ISNUMBER(itens_Remanesc!C17)),NOT(ISNUMBER($L$3)),NOT(ISNUMBER(INDEX($L$2:$L$6,posicao_contratual!$Y17+1)))),"",ROUND(itens_Remanesc!C17*$L$3/INDEX($L$2:$L$6,posicao_contratual!$Y17+1),2)))))</f>
        <v/>
      </c>
      <c r="E17" s="79" t="str">
        <f>IF(OR($A17="",posicao_contratual!$Y17=""),"",IF(posicao_contratual!$Y17&gt;2,"",IF(posicao_contratual!$Y17=2,IF(ISNUMBER(itens_Remanesc!C17),itens_Remanesc!C17,""),IF(OR(NOT(ISNUMBER(itens_Remanesc!C17)),NOT(ISNUMBER($L$4)),NOT(ISNUMBER(INDEX($L$2:$L$6,posicao_contratual!$Y17+1)))),"",ROUND(itens_Remanesc!C17*$L$4/INDEX($L$2:$L$6,posicao_contratual!$Y17+1),2)))))</f>
        <v/>
      </c>
      <c r="F17" s="79" t="str">
        <f>IF(OR($A17="",posicao_contratual!$Y17=""),"",IF(posicao_contratual!$Y17&gt;3,"",IF(posicao_contratual!$Y17=3,IF(ISNUMBER(itens_Remanesc!C17),itens_Remanesc!C17,""),IF(OR(NOT(ISNUMBER(itens_Remanesc!C17)),NOT(ISNUMBER($L$5)),NOT(ISNUMBER(INDEX($L$2:$L$6,posicao_contratual!$Y17+1)))),"",ROUND(itens_Remanesc!C17*$L$5/INDEX($L$2:$L$6,posicao_contratual!$Y17+1),2)))))</f>
        <v/>
      </c>
      <c r="G17" s="79" t="str">
        <f>IF(OR($A17="",posicao_contratual!$Y17=""),"",IF(posicao_contratual!$Y17&gt;4,"",IF(posicao_contratual!$Y17=4,IF(ISNUMBER(itens_Remanesc!C17),itens_Remanesc!C17,""),IF(OR(NOT(ISNUMBER(itens_Remanesc!C17)),NOT(ISNUMBER($L$6)),NOT(ISNUMBER(INDEX($L$2:$L$6,posicao_contratual!$Y17+1)))),"",ROUND(itens_Remanesc!C17*$L$6/INDEX($L$2:$L$6,posicao_contratual!$Y17+1),2)))))</f>
        <v/>
      </c>
      <c r="H17" s="114" t="str">
        <f t="shared" si="0"/>
        <v/>
      </c>
      <c r="I17" s="14"/>
      <c r="J17" s="14"/>
      <c r="K17" s="14"/>
      <c r="L17" s="14"/>
      <c r="M17" s="14"/>
      <c r="N17" s="145" t="str">
        <f>IF(A17="","",IF(posicao_contratual!$Y17="","",IF(posicao_contratual!$Y17&gt;0,"",posicao_contratual!E17)))</f>
        <v/>
      </c>
      <c r="O17" s="145" t="str">
        <f>IF(A17="","",IF(posicao_contratual!$Y17="","",IF(posicao_contratual!$Y17&gt;1,"",posicao_contratual!I17)))</f>
        <v/>
      </c>
      <c r="P17" s="145" t="str">
        <f>IF(A17="","",IF(posicao_contratual!$Y17="","",IF(posicao_contratual!$Y17&gt;2,"",posicao_contratual!M17)))</f>
        <v/>
      </c>
      <c r="Q17" s="145" t="str">
        <f>IF(A17="","",IF(posicao_contratual!$Y17="","",IF(posicao_contratual!$Y17&gt;3,"",posicao_contratual!Q17)))</f>
        <v/>
      </c>
      <c r="R17" s="145" t="str">
        <f>IF(A17="","",IF(posicao_contratual!$Y17="","",IF(posicao_contratual!$Y17&gt;4,"",posicao_contratual!U17)))</f>
        <v/>
      </c>
      <c r="S17" s="165" t="str">
        <f>IF(A17="","",posicao_contratual!G17)</f>
        <v/>
      </c>
      <c r="T17" s="165" t="str">
        <f>IF(A17="","",posicao_contratual!K17)</f>
        <v/>
      </c>
      <c r="U17" s="165" t="str">
        <f>IF(A17="","",posicao_contratual!O17)</f>
        <v/>
      </c>
      <c r="V17" s="165" t="str">
        <f>IF(A17="","",posicao_contratual!S17)</f>
        <v/>
      </c>
      <c r="W17" s="165" t="str">
        <f>IF(A17="","",posicao_contratual!W17)</f>
        <v/>
      </c>
    </row>
    <row r="18" spans="1:23" x14ac:dyDescent="0.35">
      <c r="A18" s="86" t="str">
        <f>IF(itens_Remanesc!A18="","",itens_Remanesc!A18)</f>
        <v/>
      </c>
      <c r="B18" s="85" t="str">
        <f>IF(A18="","",IF(posicao_contratual!$Y18="","",IF(posicao_contratual!$Y18&gt;0,"",posicao_contratual!G18)))</f>
        <v/>
      </c>
      <c r="C18" s="79" t="str">
        <f>IF(itens_Remanesc!A18="","",IF(posicao_contratual!$Y18="","",IF(posicao_contratual!$Y18&gt;0,"",itens_Remanesc!C18)))</f>
        <v/>
      </c>
      <c r="D18" s="79" t="str">
        <f>IF(OR($A18="",posicao_contratual!$Y18=""),"",IF(posicao_contratual!$Y18&gt;1,"",IF(posicao_contratual!$Y18=1,IF(ISNUMBER(itens_Remanesc!C18),itens_Remanesc!C18,""),IF(OR(NOT(ISNUMBER(itens_Remanesc!C18)),NOT(ISNUMBER($L$3)),NOT(ISNUMBER(INDEX($L$2:$L$6,posicao_contratual!$Y18+1)))),"",ROUND(itens_Remanesc!C18*$L$3/INDEX($L$2:$L$6,posicao_contratual!$Y18+1),2)))))</f>
        <v/>
      </c>
      <c r="E18" s="79" t="str">
        <f>IF(OR($A18="",posicao_contratual!$Y18=""),"",IF(posicao_contratual!$Y18&gt;2,"",IF(posicao_contratual!$Y18=2,IF(ISNUMBER(itens_Remanesc!C18),itens_Remanesc!C18,""),IF(OR(NOT(ISNUMBER(itens_Remanesc!C18)),NOT(ISNUMBER($L$4)),NOT(ISNUMBER(INDEX($L$2:$L$6,posicao_contratual!$Y18+1)))),"",ROUND(itens_Remanesc!C18*$L$4/INDEX($L$2:$L$6,posicao_contratual!$Y18+1),2)))))</f>
        <v/>
      </c>
      <c r="F18" s="79" t="str">
        <f>IF(OR($A18="",posicao_contratual!$Y18=""),"",IF(posicao_contratual!$Y18&gt;3,"",IF(posicao_contratual!$Y18=3,IF(ISNUMBER(itens_Remanesc!C18),itens_Remanesc!C18,""),IF(OR(NOT(ISNUMBER(itens_Remanesc!C18)),NOT(ISNUMBER($L$5)),NOT(ISNUMBER(INDEX($L$2:$L$6,posicao_contratual!$Y18+1)))),"",ROUND(itens_Remanesc!C18*$L$5/INDEX($L$2:$L$6,posicao_contratual!$Y18+1),2)))))</f>
        <v/>
      </c>
      <c r="G18" s="79" t="str">
        <f>IF(OR($A18="",posicao_contratual!$Y18=""),"",IF(posicao_contratual!$Y18&gt;4,"",IF(posicao_contratual!$Y18=4,IF(ISNUMBER(itens_Remanesc!C18),itens_Remanesc!C18,""),IF(OR(NOT(ISNUMBER(itens_Remanesc!C18)),NOT(ISNUMBER($L$6)),NOT(ISNUMBER(INDEX($L$2:$L$6,posicao_contratual!$Y18+1)))),"",ROUND(itens_Remanesc!C18*$L$6/INDEX($L$2:$L$6,posicao_contratual!$Y18+1),2)))))</f>
        <v/>
      </c>
      <c r="H18" s="114" t="str">
        <f t="shared" si="0"/>
        <v/>
      </c>
      <c r="I18" s="14"/>
      <c r="J18" s="14"/>
      <c r="K18" s="14"/>
      <c r="L18" s="14"/>
      <c r="M18" s="14"/>
      <c r="N18" s="145" t="str">
        <f>IF(A18="","",IF(posicao_contratual!$Y18="","",IF(posicao_contratual!$Y18&gt;0,"",posicao_contratual!E18)))</f>
        <v/>
      </c>
      <c r="O18" s="145" t="str">
        <f>IF(A18="","",IF(posicao_contratual!$Y18="","",IF(posicao_contratual!$Y18&gt;1,"",posicao_contratual!I18)))</f>
        <v/>
      </c>
      <c r="P18" s="145" t="str">
        <f>IF(A18="","",IF(posicao_contratual!$Y18="","",IF(posicao_contratual!$Y18&gt;2,"",posicao_contratual!M18)))</f>
        <v/>
      </c>
      <c r="Q18" s="145" t="str">
        <f>IF(A18="","",IF(posicao_contratual!$Y18="","",IF(posicao_contratual!$Y18&gt;3,"",posicao_contratual!Q18)))</f>
        <v/>
      </c>
      <c r="R18" s="145" t="str">
        <f>IF(A18="","",IF(posicao_contratual!$Y18="","",IF(posicao_contratual!$Y18&gt;4,"",posicao_contratual!U18)))</f>
        <v/>
      </c>
      <c r="S18" s="165" t="str">
        <f>IF(A18="","",posicao_contratual!G18)</f>
        <v/>
      </c>
      <c r="T18" s="165" t="str">
        <f>IF(A18="","",posicao_contratual!K18)</f>
        <v/>
      </c>
      <c r="U18" s="165" t="str">
        <f>IF(A18="","",posicao_contratual!O18)</f>
        <v/>
      </c>
      <c r="V18" s="165" t="str">
        <f>IF(A18="","",posicao_contratual!S18)</f>
        <v/>
      </c>
      <c r="W18" s="165" t="str">
        <f>IF(A18="","",posicao_contratual!W18)</f>
        <v/>
      </c>
    </row>
    <row r="19" spans="1:23" x14ac:dyDescent="0.35">
      <c r="A19" s="86" t="str">
        <f>IF(itens_Remanesc!A19="","",itens_Remanesc!A19)</f>
        <v/>
      </c>
      <c r="B19" s="85" t="str">
        <f>IF(A19="","",IF(posicao_contratual!$Y19="","",IF(posicao_contratual!$Y19&gt;0,"",posicao_contratual!G19)))</f>
        <v/>
      </c>
      <c r="C19" s="79" t="str">
        <f>IF(itens_Remanesc!A19="","",IF(posicao_contratual!$Y19="","",IF(posicao_contratual!$Y19&gt;0,"",itens_Remanesc!C19)))</f>
        <v/>
      </c>
      <c r="D19" s="79" t="str">
        <f>IF(OR($A19="",posicao_contratual!$Y19=""),"",IF(posicao_contratual!$Y19&gt;1,"",IF(posicao_contratual!$Y19=1,IF(ISNUMBER(itens_Remanesc!C19),itens_Remanesc!C19,""),IF(OR(NOT(ISNUMBER(itens_Remanesc!C19)),NOT(ISNUMBER($L$3)),NOT(ISNUMBER(INDEX($L$2:$L$6,posicao_contratual!$Y19+1)))),"",ROUND(itens_Remanesc!C19*$L$3/INDEX($L$2:$L$6,posicao_contratual!$Y19+1),2)))))</f>
        <v/>
      </c>
      <c r="E19" s="79" t="str">
        <f>IF(OR($A19="",posicao_contratual!$Y19=""),"",IF(posicao_contratual!$Y19&gt;2,"",IF(posicao_contratual!$Y19=2,IF(ISNUMBER(itens_Remanesc!C19),itens_Remanesc!C19,""),IF(OR(NOT(ISNUMBER(itens_Remanesc!C19)),NOT(ISNUMBER($L$4)),NOT(ISNUMBER(INDEX($L$2:$L$6,posicao_contratual!$Y19+1)))),"",ROUND(itens_Remanesc!C19*$L$4/INDEX($L$2:$L$6,posicao_contratual!$Y19+1),2)))))</f>
        <v/>
      </c>
      <c r="F19" s="79" t="str">
        <f>IF(OR($A19="",posicao_contratual!$Y19=""),"",IF(posicao_contratual!$Y19&gt;3,"",IF(posicao_contratual!$Y19=3,IF(ISNUMBER(itens_Remanesc!C19),itens_Remanesc!C19,""),IF(OR(NOT(ISNUMBER(itens_Remanesc!C19)),NOT(ISNUMBER($L$5)),NOT(ISNUMBER(INDEX($L$2:$L$6,posicao_contratual!$Y19+1)))),"",ROUND(itens_Remanesc!C19*$L$5/INDEX($L$2:$L$6,posicao_contratual!$Y19+1),2)))))</f>
        <v/>
      </c>
      <c r="G19" s="79" t="str">
        <f>IF(OR($A19="",posicao_contratual!$Y19=""),"",IF(posicao_contratual!$Y19&gt;4,"",IF(posicao_contratual!$Y19=4,IF(ISNUMBER(itens_Remanesc!C19),itens_Remanesc!C19,""),IF(OR(NOT(ISNUMBER(itens_Remanesc!C19)),NOT(ISNUMBER($L$6)),NOT(ISNUMBER(INDEX($L$2:$L$6,posicao_contratual!$Y19+1)))),"",ROUND(itens_Remanesc!C19*$L$6/INDEX($L$2:$L$6,posicao_contratual!$Y19+1),2)))))</f>
        <v/>
      </c>
      <c r="H19" s="114" t="str">
        <f t="shared" si="0"/>
        <v/>
      </c>
      <c r="I19" s="14"/>
      <c r="J19" s="14"/>
      <c r="K19" s="14"/>
      <c r="L19" s="14"/>
      <c r="M19" s="14"/>
      <c r="N19" s="145" t="str">
        <f>IF(A19="","",IF(posicao_contratual!$Y19="","",IF(posicao_contratual!$Y19&gt;0,"",posicao_contratual!E19)))</f>
        <v/>
      </c>
      <c r="O19" s="145" t="str">
        <f>IF(A19="","",IF(posicao_contratual!$Y19="","",IF(posicao_contratual!$Y19&gt;1,"",posicao_contratual!I19)))</f>
        <v/>
      </c>
      <c r="P19" s="145" t="str">
        <f>IF(A19="","",IF(posicao_contratual!$Y19="","",IF(posicao_contratual!$Y19&gt;2,"",posicao_contratual!M19)))</f>
        <v/>
      </c>
      <c r="Q19" s="145" t="str">
        <f>IF(A19="","",IF(posicao_contratual!$Y19="","",IF(posicao_contratual!$Y19&gt;3,"",posicao_contratual!Q19)))</f>
        <v/>
      </c>
      <c r="R19" s="145" t="str">
        <f>IF(A19="","",IF(posicao_contratual!$Y19="","",IF(posicao_contratual!$Y19&gt;4,"",posicao_contratual!U19)))</f>
        <v/>
      </c>
      <c r="S19" s="165" t="str">
        <f>IF(A19="","",posicao_contratual!G19)</f>
        <v/>
      </c>
      <c r="T19" s="165" t="str">
        <f>IF(A19="","",posicao_contratual!K19)</f>
        <v/>
      </c>
      <c r="U19" s="165" t="str">
        <f>IF(A19="","",posicao_contratual!O19)</f>
        <v/>
      </c>
      <c r="V19" s="165" t="str">
        <f>IF(A19="","",posicao_contratual!S19)</f>
        <v/>
      </c>
      <c r="W19" s="165" t="str">
        <f>IF(A19="","",posicao_contratual!W19)</f>
        <v/>
      </c>
    </row>
    <row r="20" spans="1:23" x14ac:dyDescent="0.35">
      <c r="A20" s="86" t="str">
        <f>IF(itens_Remanesc!A20="","",itens_Remanesc!A20)</f>
        <v/>
      </c>
      <c r="B20" s="85" t="str">
        <f>IF(A20="","",IF(posicao_contratual!$Y20="","",IF(posicao_contratual!$Y20&gt;0,"",posicao_contratual!G20)))</f>
        <v/>
      </c>
      <c r="C20" s="79" t="str">
        <f>IF(itens_Remanesc!A20="","",IF(posicao_contratual!$Y20="","",IF(posicao_contratual!$Y20&gt;0,"",itens_Remanesc!C20)))</f>
        <v/>
      </c>
      <c r="D20" s="79" t="str">
        <f>IF(OR($A20="",posicao_contratual!$Y20=""),"",IF(posicao_contratual!$Y20&gt;1,"",IF(posicao_contratual!$Y20=1,IF(ISNUMBER(itens_Remanesc!C20),itens_Remanesc!C20,""),IF(OR(NOT(ISNUMBER(itens_Remanesc!C20)),NOT(ISNUMBER($L$3)),NOT(ISNUMBER(INDEX($L$2:$L$6,posicao_contratual!$Y20+1)))),"",ROUND(itens_Remanesc!C20*$L$3/INDEX($L$2:$L$6,posicao_contratual!$Y20+1),2)))))</f>
        <v/>
      </c>
      <c r="E20" s="79" t="str">
        <f>IF(OR($A20="",posicao_contratual!$Y20=""),"",IF(posicao_contratual!$Y20&gt;2,"",IF(posicao_contratual!$Y20=2,IF(ISNUMBER(itens_Remanesc!C20),itens_Remanesc!C20,""),IF(OR(NOT(ISNUMBER(itens_Remanesc!C20)),NOT(ISNUMBER($L$4)),NOT(ISNUMBER(INDEX($L$2:$L$6,posicao_contratual!$Y20+1)))),"",ROUND(itens_Remanesc!C20*$L$4/INDEX($L$2:$L$6,posicao_contratual!$Y20+1),2)))))</f>
        <v/>
      </c>
      <c r="F20" s="79" t="str">
        <f>IF(OR($A20="",posicao_contratual!$Y20=""),"",IF(posicao_contratual!$Y20&gt;3,"",IF(posicao_contratual!$Y20=3,IF(ISNUMBER(itens_Remanesc!C20),itens_Remanesc!C20,""),IF(OR(NOT(ISNUMBER(itens_Remanesc!C20)),NOT(ISNUMBER($L$5)),NOT(ISNUMBER(INDEX($L$2:$L$6,posicao_contratual!$Y20+1)))),"",ROUND(itens_Remanesc!C20*$L$5/INDEX($L$2:$L$6,posicao_contratual!$Y20+1),2)))))</f>
        <v/>
      </c>
      <c r="G20" s="79" t="str">
        <f>IF(OR($A20="",posicao_contratual!$Y20=""),"",IF(posicao_contratual!$Y20&gt;4,"",IF(posicao_contratual!$Y20=4,IF(ISNUMBER(itens_Remanesc!C20),itens_Remanesc!C20,""),IF(OR(NOT(ISNUMBER(itens_Remanesc!C20)),NOT(ISNUMBER($L$6)),NOT(ISNUMBER(INDEX($L$2:$L$6,posicao_contratual!$Y20+1)))),"",ROUND(itens_Remanesc!C20*$L$6/INDEX($L$2:$L$6,posicao_contratual!$Y20+1),2)))))</f>
        <v/>
      </c>
      <c r="H20" s="114" t="str">
        <f t="shared" si="0"/>
        <v/>
      </c>
      <c r="I20" s="14"/>
      <c r="J20" s="14"/>
      <c r="K20" s="14"/>
      <c r="L20" s="14"/>
      <c r="M20" s="14"/>
      <c r="N20" s="145" t="str">
        <f>IF(A20="","",IF(posicao_contratual!$Y20="","",IF(posicao_contratual!$Y20&gt;0,"",posicao_contratual!E20)))</f>
        <v/>
      </c>
      <c r="O20" s="145" t="str">
        <f>IF(A20="","",IF(posicao_contratual!$Y20="","",IF(posicao_contratual!$Y20&gt;1,"",posicao_contratual!I20)))</f>
        <v/>
      </c>
      <c r="P20" s="145" t="str">
        <f>IF(A20="","",IF(posicao_contratual!$Y20="","",IF(posicao_contratual!$Y20&gt;2,"",posicao_contratual!M20)))</f>
        <v/>
      </c>
      <c r="Q20" s="145" t="str">
        <f>IF(A20="","",IF(posicao_contratual!$Y20="","",IF(posicao_contratual!$Y20&gt;3,"",posicao_contratual!Q20)))</f>
        <v/>
      </c>
      <c r="R20" s="145" t="str">
        <f>IF(A20="","",IF(posicao_contratual!$Y20="","",IF(posicao_contratual!$Y20&gt;4,"",posicao_contratual!U20)))</f>
        <v/>
      </c>
      <c r="S20" s="165" t="str">
        <f>IF(A20="","",posicao_contratual!G20)</f>
        <v/>
      </c>
      <c r="T20" s="165" t="str">
        <f>IF(A20="","",posicao_contratual!K20)</f>
        <v/>
      </c>
      <c r="U20" s="165" t="str">
        <f>IF(A20="","",posicao_contratual!O20)</f>
        <v/>
      </c>
      <c r="V20" s="165" t="str">
        <f>IF(A20="","",posicao_contratual!S20)</f>
        <v/>
      </c>
      <c r="W20" s="165" t="str">
        <f>IF(A20="","",posicao_contratual!W20)</f>
        <v/>
      </c>
    </row>
    <row r="21" spans="1:23" x14ac:dyDescent="0.35">
      <c r="A21" s="86" t="str">
        <f>IF(itens_Remanesc!A21="","",itens_Remanesc!A21)</f>
        <v/>
      </c>
      <c r="B21" s="85" t="str">
        <f>IF(A21="","",IF(posicao_contratual!$Y21="","",IF(posicao_contratual!$Y21&gt;0,"",posicao_contratual!G21)))</f>
        <v/>
      </c>
      <c r="C21" s="79" t="str">
        <f>IF(itens_Remanesc!A21="","",IF(posicao_contratual!$Y21="","",IF(posicao_contratual!$Y21&gt;0,"",itens_Remanesc!C21)))</f>
        <v/>
      </c>
      <c r="D21" s="79" t="str">
        <f>IF(OR($A21="",posicao_contratual!$Y21=""),"",IF(posicao_contratual!$Y21&gt;1,"",IF(posicao_contratual!$Y21=1,IF(ISNUMBER(itens_Remanesc!C21),itens_Remanesc!C21,""),IF(OR(NOT(ISNUMBER(itens_Remanesc!C21)),NOT(ISNUMBER($L$3)),NOT(ISNUMBER(INDEX($L$2:$L$6,posicao_contratual!$Y21+1)))),"",ROUND(itens_Remanesc!C21*$L$3/INDEX($L$2:$L$6,posicao_contratual!$Y21+1),2)))))</f>
        <v/>
      </c>
      <c r="E21" s="79" t="str">
        <f>IF(OR($A21="",posicao_contratual!$Y21=""),"",IF(posicao_contratual!$Y21&gt;2,"",IF(posicao_contratual!$Y21=2,IF(ISNUMBER(itens_Remanesc!C21),itens_Remanesc!C21,""),IF(OR(NOT(ISNUMBER(itens_Remanesc!C21)),NOT(ISNUMBER($L$4)),NOT(ISNUMBER(INDEX($L$2:$L$6,posicao_contratual!$Y21+1)))),"",ROUND(itens_Remanesc!C21*$L$4/INDEX($L$2:$L$6,posicao_contratual!$Y21+1),2)))))</f>
        <v/>
      </c>
      <c r="F21" s="79" t="str">
        <f>IF(OR($A21="",posicao_contratual!$Y21=""),"",IF(posicao_contratual!$Y21&gt;3,"",IF(posicao_contratual!$Y21=3,IF(ISNUMBER(itens_Remanesc!C21),itens_Remanesc!C21,""),IF(OR(NOT(ISNUMBER(itens_Remanesc!C21)),NOT(ISNUMBER($L$5)),NOT(ISNUMBER(INDEX($L$2:$L$6,posicao_contratual!$Y21+1)))),"",ROUND(itens_Remanesc!C21*$L$5/INDEX($L$2:$L$6,posicao_contratual!$Y21+1),2)))))</f>
        <v/>
      </c>
      <c r="G21" s="79" t="str">
        <f>IF(OR($A21="",posicao_contratual!$Y21=""),"",IF(posicao_contratual!$Y21&gt;4,"",IF(posicao_contratual!$Y21=4,IF(ISNUMBER(itens_Remanesc!C21),itens_Remanesc!C21,""),IF(OR(NOT(ISNUMBER(itens_Remanesc!C21)),NOT(ISNUMBER($L$6)),NOT(ISNUMBER(INDEX($L$2:$L$6,posicao_contratual!$Y21+1)))),"",ROUND(itens_Remanesc!C21*$L$6/INDEX($L$2:$L$6,posicao_contratual!$Y21+1),2)))))</f>
        <v/>
      </c>
      <c r="H21" s="114" t="str">
        <f t="shared" si="0"/>
        <v/>
      </c>
      <c r="I21" s="14"/>
      <c r="J21" s="14"/>
      <c r="K21" s="14"/>
      <c r="L21" s="14"/>
      <c r="M21" s="14"/>
      <c r="N21" s="145" t="str">
        <f>IF(A21="","",IF(posicao_contratual!$Y21="","",IF(posicao_contratual!$Y21&gt;0,"",posicao_contratual!E21)))</f>
        <v/>
      </c>
      <c r="O21" s="145" t="str">
        <f>IF(A21="","",IF(posicao_contratual!$Y21="","",IF(posicao_contratual!$Y21&gt;1,"",posicao_contratual!I21)))</f>
        <v/>
      </c>
      <c r="P21" s="145" t="str">
        <f>IF(A21="","",IF(posicao_contratual!$Y21="","",IF(posicao_contratual!$Y21&gt;2,"",posicao_contratual!M21)))</f>
        <v/>
      </c>
      <c r="Q21" s="145" t="str">
        <f>IF(A21="","",IF(posicao_contratual!$Y21="","",IF(posicao_contratual!$Y21&gt;3,"",posicao_contratual!Q21)))</f>
        <v/>
      </c>
      <c r="R21" s="145" t="str">
        <f>IF(A21="","",IF(posicao_contratual!$Y21="","",IF(posicao_contratual!$Y21&gt;4,"",posicao_contratual!U21)))</f>
        <v/>
      </c>
      <c r="S21" s="165" t="str">
        <f>IF(A21="","",posicao_contratual!G21)</f>
        <v/>
      </c>
      <c r="T21" s="165" t="str">
        <f>IF(A21="","",posicao_contratual!K21)</f>
        <v/>
      </c>
      <c r="U21" s="165" t="str">
        <f>IF(A21="","",posicao_contratual!O21)</f>
        <v/>
      </c>
      <c r="V21" s="165" t="str">
        <f>IF(A21="","",posicao_contratual!S21)</f>
        <v/>
      </c>
      <c r="W21" s="165" t="str">
        <f>IF(A21="","",posicao_contratual!W21)</f>
        <v/>
      </c>
    </row>
    <row r="22" spans="1:23" x14ac:dyDescent="0.35">
      <c r="A22" s="86" t="str">
        <f>IF(itens_Remanesc!A22="","",itens_Remanesc!A22)</f>
        <v/>
      </c>
      <c r="B22" s="85" t="str">
        <f>IF(A22="","",IF(posicao_contratual!$Y22="","",IF(posicao_contratual!$Y22&gt;0,"",posicao_contratual!G22)))</f>
        <v/>
      </c>
      <c r="C22" s="79" t="str">
        <f>IF(itens_Remanesc!A22="","",IF(posicao_contratual!$Y22="","",IF(posicao_contratual!$Y22&gt;0,"",itens_Remanesc!C22)))</f>
        <v/>
      </c>
      <c r="D22" s="79" t="str">
        <f>IF(OR($A22="",posicao_contratual!$Y22=""),"",IF(posicao_contratual!$Y22&gt;1,"",IF(posicao_contratual!$Y22=1,IF(ISNUMBER(itens_Remanesc!C22),itens_Remanesc!C22,""),IF(OR(NOT(ISNUMBER(itens_Remanesc!C22)),NOT(ISNUMBER($L$3)),NOT(ISNUMBER(INDEX($L$2:$L$6,posicao_contratual!$Y22+1)))),"",ROUND(itens_Remanesc!C22*$L$3/INDEX($L$2:$L$6,posicao_contratual!$Y22+1),2)))))</f>
        <v/>
      </c>
      <c r="E22" s="79" t="str">
        <f>IF(OR($A22="",posicao_contratual!$Y22=""),"",IF(posicao_contratual!$Y22&gt;2,"",IF(posicao_contratual!$Y22=2,IF(ISNUMBER(itens_Remanesc!C22),itens_Remanesc!C22,""),IF(OR(NOT(ISNUMBER(itens_Remanesc!C22)),NOT(ISNUMBER($L$4)),NOT(ISNUMBER(INDEX($L$2:$L$6,posicao_contratual!$Y22+1)))),"",ROUND(itens_Remanesc!C22*$L$4/INDEX($L$2:$L$6,posicao_contratual!$Y22+1),2)))))</f>
        <v/>
      </c>
      <c r="F22" s="79" t="str">
        <f>IF(OR($A22="",posicao_contratual!$Y22=""),"",IF(posicao_contratual!$Y22&gt;3,"",IF(posicao_contratual!$Y22=3,IF(ISNUMBER(itens_Remanesc!C22),itens_Remanesc!C22,""),IF(OR(NOT(ISNUMBER(itens_Remanesc!C22)),NOT(ISNUMBER($L$5)),NOT(ISNUMBER(INDEX($L$2:$L$6,posicao_contratual!$Y22+1)))),"",ROUND(itens_Remanesc!C22*$L$5/INDEX($L$2:$L$6,posicao_contratual!$Y22+1),2)))))</f>
        <v/>
      </c>
      <c r="G22" s="79" t="str">
        <f>IF(OR($A22="",posicao_contratual!$Y22=""),"",IF(posicao_contratual!$Y22&gt;4,"",IF(posicao_contratual!$Y22=4,IF(ISNUMBER(itens_Remanesc!C22),itens_Remanesc!C22,""),IF(OR(NOT(ISNUMBER(itens_Remanesc!C22)),NOT(ISNUMBER($L$6)),NOT(ISNUMBER(INDEX($L$2:$L$6,posicao_contratual!$Y22+1)))),"",ROUND(itens_Remanesc!C22*$L$6/INDEX($L$2:$L$6,posicao_contratual!$Y22+1),2)))))</f>
        <v/>
      </c>
      <c r="H22" s="114" t="str">
        <f t="shared" si="0"/>
        <v/>
      </c>
      <c r="I22" s="14"/>
      <c r="J22" s="14"/>
      <c r="K22" s="14"/>
      <c r="L22" s="14"/>
      <c r="M22" s="14"/>
      <c r="N22" s="145" t="str">
        <f>IF(A22="","",IF(posicao_contratual!$Y22="","",IF(posicao_contratual!$Y22&gt;0,"",posicao_contratual!E22)))</f>
        <v/>
      </c>
      <c r="O22" s="145" t="str">
        <f>IF(A22="","",IF(posicao_contratual!$Y22="","",IF(posicao_contratual!$Y22&gt;1,"",posicao_contratual!I22)))</f>
        <v/>
      </c>
      <c r="P22" s="145" t="str">
        <f>IF(A22="","",IF(posicao_contratual!$Y22="","",IF(posicao_contratual!$Y22&gt;2,"",posicao_contratual!M22)))</f>
        <v/>
      </c>
      <c r="Q22" s="145" t="str">
        <f>IF(A22="","",IF(posicao_contratual!$Y22="","",IF(posicao_contratual!$Y22&gt;3,"",posicao_contratual!Q22)))</f>
        <v/>
      </c>
      <c r="R22" s="145" t="str">
        <f>IF(A22="","",IF(posicao_contratual!$Y22="","",IF(posicao_contratual!$Y22&gt;4,"",posicao_contratual!U22)))</f>
        <v/>
      </c>
      <c r="S22" s="165" t="str">
        <f>IF(A22="","",posicao_contratual!G22)</f>
        <v/>
      </c>
      <c r="T22" s="165" t="str">
        <f>IF(A22="","",posicao_contratual!K22)</f>
        <v/>
      </c>
      <c r="U22" s="165" t="str">
        <f>IF(A22="","",posicao_contratual!O22)</f>
        <v/>
      </c>
      <c r="V22" s="165" t="str">
        <f>IF(A22="","",posicao_contratual!S22)</f>
        <v/>
      </c>
      <c r="W22" s="165" t="str">
        <f>IF(A22="","",posicao_contratual!W22)</f>
        <v/>
      </c>
    </row>
    <row r="23" spans="1:23" x14ac:dyDescent="0.35">
      <c r="A23" s="86" t="str">
        <f>IF(itens_Remanesc!A23="","",itens_Remanesc!A23)</f>
        <v/>
      </c>
      <c r="B23" s="85" t="str">
        <f>IF(A23="","",IF(posicao_contratual!$Y23="","",IF(posicao_contratual!$Y23&gt;0,"",posicao_contratual!G23)))</f>
        <v/>
      </c>
      <c r="C23" s="79" t="str">
        <f>IF(itens_Remanesc!A23="","",IF(posicao_contratual!$Y23="","",IF(posicao_contratual!$Y23&gt;0,"",itens_Remanesc!C23)))</f>
        <v/>
      </c>
      <c r="D23" s="79" t="str">
        <f>IF(OR($A23="",posicao_contratual!$Y23=""),"",IF(posicao_contratual!$Y23&gt;1,"",IF(posicao_contratual!$Y23=1,IF(ISNUMBER(itens_Remanesc!C23),itens_Remanesc!C23,""),IF(OR(NOT(ISNUMBER(itens_Remanesc!C23)),NOT(ISNUMBER($L$3)),NOT(ISNUMBER(INDEX($L$2:$L$6,posicao_contratual!$Y23+1)))),"",ROUND(itens_Remanesc!C23*$L$3/INDEX($L$2:$L$6,posicao_contratual!$Y23+1),2)))))</f>
        <v/>
      </c>
      <c r="E23" s="79" t="str">
        <f>IF(OR($A23="",posicao_contratual!$Y23=""),"",IF(posicao_contratual!$Y23&gt;2,"",IF(posicao_contratual!$Y23=2,IF(ISNUMBER(itens_Remanesc!C23),itens_Remanesc!C23,""),IF(OR(NOT(ISNUMBER(itens_Remanesc!C23)),NOT(ISNUMBER($L$4)),NOT(ISNUMBER(INDEX($L$2:$L$6,posicao_contratual!$Y23+1)))),"",ROUND(itens_Remanesc!C23*$L$4/INDEX($L$2:$L$6,posicao_contratual!$Y23+1),2)))))</f>
        <v/>
      </c>
      <c r="F23" s="79" t="str">
        <f>IF(OR($A23="",posicao_contratual!$Y23=""),"",IF(posicao_contratual!$Y23&gt;3,"",IF(posicao_contratual!$Y23=3,IF(ISNUMBER(itens_Remanesc!C23),itens_Remanesc!C23,""),IF(OR(NOT(ISNUMBER(itens_Remanesc!C23)),NOT(ISNUMBER($L$5)),NOT(ISNUMBER(INDEX($L$2:$L$6,posicao_contratual!$Y23+1)))),"",ROUND(itens_Remanesc!C23*$L$5/INDEX($L$2:$L$6,posicao_contratual!$Y23+1),2)))))</f>
        <v/>
      </c>
      <c r="G23" s="79" t="str">
        <f>IF(OR($A23="",posicao_contratual!$Y23=""),"",IF(posicao_contratual!$Y23&gt;4,"",IF(posicao_contratual!$Y23=4,IF(ISNUMBER(itens_Remanesc!C23),itens_Remanesc!C23,""),IF(OR(NOT(ISNUMBER(itens_Remanesc!C23)),NOT(ISNUMBER($L$6)),NOT(ISNUMBER(INDEX($L$2:$L$6,posicao_contratual!$Y23+1)))),"",ROUND(itens_Remanesc!C23*$L$6/INDEX($L$2:$L$6,posicao_contratual!$Y23+1),2)))))</f>
        <v/>
      </c>
      <c r="H23" s="114" t="str">
        <f t="shared" si="0"/>
        <v/>
      </c>
      <c r="I23" s="14"/>
      <c r="J23" s="14"/>
      <c r="K23" s="14"/>
      <c r="L23" s="14"/>
      <c r="M23" s="14"/>
      <c r="N23" s="145" t="str">
        <f>IF(A23="","",IF(posicao_contratual!$Y23="","",IF(posicao_contratual!$Y23&gt;0,"",posicao_contratual!E23)))</f>
        <v/>
      </c>
      <c r="O23" s="145" t="str">
        <f>IF(A23="","",IF(posicao_contratual!$Y23="","",IF(posicao_contratual!$Y23&gt;1,"",posicao_contratual!I23)))</f>
        <v/>
      </c>
      <c r="P23" s="145" t="str">
        <f>IF(A23="","",IF(posicao_contratual!$Y23="","",IF(posicao_contratual!$Y23&gt;2,"",posicao_contratual!M23)))</f>
        <v/>
      </c>
      <c r="Q23" s="145" t="str">
        <f>IF(A23="","",IF(posicao_contratual!$Y23="","",IF(posicao_contratual!$Y23&gt;3,"",posicao_contratual!Q23)))</f>
        <v/>
      </c>
      <c r="R23" s="145" t="str">
        <f>IF(A23="","",IF(posicao_contratual!$Y23="","",IF(posicao_contratual!$Y23&gt;4,"",posicao_contratual!U23)))</f>
        <v/>
      </c>
      <c r="S23" s="165" t="str">
        <f>IF(A23="","",posicao_contratual!G23)</f>
        <v/>
      </c>
      <c r="T23" s="165" t="str">
        <f>IF(A23="","",posicao_contratual!K23)</f>
        <v/>
      </c>
      <c r="U23" s="165" t="str">
        <f>IF(A23="","",posicao_contratual!O23)</f>
        <v/>
      </c>
      <c r="V23" s="165" t="str">
        <f>IF(A23="","",posicao_contratual!S23)</f>
        <v/>
      </c>
      <c r="W23" s="165" t="str">
        <f>IF(A23="","",posicao_contratual!W23)</f>
        <v/>
      </c>
    </row>
    <row r="24" spans="1:23" x14ac:dyDescent="0.35">
      <c r="A24" s="86" t="str">
        <f>IF(itens_Remanesc!A24="","",itens_Remanesc!A24)</f>
        <v/>
      </c>
      <c r="B24" s="85" t="str">
        <f>IF(A24="","",IF(posicao_contratual!$Y24="","",IF(posicao_contratual!$Y24&gt;0,"",posicao_contratual!G24)))</f>
        <v/>
      </c>
      <c r="C24" s="79" t="str">
        <f>IF(itens_Remanesc!A24="","",IF(posicao_contratual!$Y24="","",IF(posicao_contratual!$Y24&gt;0,"",itens_Remanesc!C24)))</f>
        <v/>
      </c>
      <c r="D24" s="79" t="str">
        <f>IF(OR($A24="",posicao_contratual!$Y24=""),"",IF(posicao_contratual!$Y24&gt;1,"",IF(posicao_contratual!$Y24=1,IF(ISNUMBER(itens_Remanesc!C24),itens_Remanesc!C24,""),IF(OR(NOT(ISNUMBER(itens_Remanesc!C24)),NOT(ISNUMBER($L$3)),NOT(ISNUMBER(INDEX($L$2:$L$6,posicao_contratual!$Y24+1)))),"",ROUND(itens_Remanesc!C24*$L$3/INDEX($L$2:$L$6,posicao_contratual!$Y24+1),2)))))</f>
        <v/>
      </c>
      <c r="E24" s="79" t="str">
        <f>IF(OR($A24="",posicao_contratual!$Y24=""),"",IF(posicao_contratual!$Y24&gt;2,"",IF(posicao_contratual!$Y24=2,IF(ISNUMBER(itens_Remanesc!C24),itens_Remanesc!C24,""),IF(OR(NOT(ISNUMBER(itens_Remanesc!C24)),NOT(ISNUMBER($L$4)),NOT(ISNUMBER(INDEX($L$2:$L$6,posicao_contratual!$Y24+1)))),"",ROUND(itens_Remanesc!C24*$L$4/INDEX($L$2:$L$6,posicao_contratual!$Y24+1),2)))))</f>
        <v/>
      </c>
      <c r="F24" s="79" t="str">
        <f>IF(OR($A24="",posicao_contratual!$Y24=""),"",IF(posicao_contratual!$Y24&gt;3,"",IF(posicao_contratual!$Y24=3,IF(ISNUMBER(itens_Remanesc!C24),itens_Remanesc!C24,""),IF(OR(NOT(ISNUMBER(itens_Remanesc!C24)),NOT(ISNUMBER($L$5)),NOT(ISNUMBER(INDEX($L$2:$L$6,posicao_contratual!$Y24+1)))),"",ROUND(itens_Remanesc!C24*$L$5/INDEX($L$2:$L$6,posicao_contratual!$Y24+1),2)))))</f>
        <v/>
      </c>
      <c r="G24" s="79" t="str">
        <f>IF(OR($A24="",posicao_contratual!$Y24=""),"",IF(posicao_contratual!$Y24&gt;4,"",IF(posicao_contratual!$Y24=4,IF(ISNUMBER(itens_Remanesc!C24),itens_Remanesc!C24,""),IF(OR(NOT(ISNUMBER(itens_Remanesc!C24)),NOT(ISNUMBER($L$6)),NOT(ISNUMBER(INDEX($L$2:$L$6,posicao_contratual!$Y24+1)))),"",ROUND(itens_Remanesc!C24*$L$6/INDEX($L$2:$L$6,posicao_contratual!$Y24+1),2)))))</f>
        <v/>
      </c>
      <c r="H24" s="114" t="str">
        <f t="shared" si="0"/>
        <v/>
      </c>
      <c r="I24" s="14"/>
      <c r="J24" s="14"/>
      <c r="K24" s="14"/>
      <c r="L24" s="14"/>
      <c r="M24" s="14"/>
      <c r="N24" s="145" t="str">
        <f>IF(A24="","",IF(posicao_contratual!$Y24="","",IF(posicao_contratual!$Y24&gt;0,"",posicao_contratual!E24)))</f>
        <v/>
      </c>
      <c r="O24" s="145" t="str">
        <f>IF(A24="","",IF(posicao_contratual!$Y24="","",IF(posicao_contratual!$Y24&gt;1,"",posicao_contratual!I24)))</f>
        <v/>
      </c>
      <c r="P24" s="145" t="str">
        <f>IF(A24="","",IF(posicao_contratual!$Y24="","",IF(posicao_contratual!$Y24&gt;2,"",posicao_contratual!M24)))</f>
        <v/>
      </c>
      <c r="Q24" s="145" t="str">
        <f>IF(A24="","",IF(posicao_contratual!$Y24="","",IF(posicao_contratual!$Y24&gt;3,"",posicao_contratual!Q24)))</f>
        <v/>
      </c>
      <c r="R24" s="145" t="str">
        <f>IF(A24="","",IF(posicao_contratual!$Y24="","",IF(posicao_contratual!$Y24&gt;4,"",posicao_contratual!U24)))</f>
        <v/>
      </c>
      <c r="S24" s="165" t="str">
        <f>IF(A24="","",posicao_contratual!G24)</f>
        <v/>
      </c>
      <c r="T24" s="165" t="str">
        <f>IF(A24="","",posicao_contratual!K24)</f>
        <v/>
      </c>
      <c r="U24" s="165" t="str">
        <f>IF(A24="","",posicao_contratual!O24)</f>
        <v/>
      </c>
      <c r="V24" s="165" t="str">
        <f>IF(A24="","",posicao_contratual!S24)</f>
        <v/>
      </c>
      <c r="W24" s="165" t="str">
        <f>IF(A24="","",posicao_contratual!W24)</f>
        <v/>
      </c>
    </row>
    <row r="25" spans="1:23" x14ac:dyDescent="0.35">
      <c r="A25" s="86" t="str">
        <f>IF(itens_Remanesc!A25="","",itens_Remanesc!A25)</f>
        <v/>
      </c>
      <c r="B25" s="85" t="str">
        <f>IF(A25="","",IF(posicao_contratual!$Y25="","",IF(posicao_contratual!$Y25&gt;0,"",posicao_contratual!G25)))</f>
        <v/>
      </c>
      <c r="C25" s="79" t="str">
        <f>IF(itens_Remanesc!A25="","",IF(posicao_contratual!$Y25="","",IF(posicao_contratual!$Y25&gt;0,"",itens_Remanesc!C25)))</f>
        <v/>
      </c>
      <c r="D25" s="79" t="str">
        <f>IF(OR($A25="",posicao_contratual!$Y25=""),"",IF(posicao_contratual!$Y25&gt;1,"",IF(posicao_contratual!$Y25=1,IF(ISNUMBER(itens_Remanesc!C25),itens_Remanesc!C25,""),IF(OR(NOT(ISNUMBER(itens_Remanesc!C25)),NOT(ISNUMBER($L$3)),NOT(ISNUMBER(INDEX($L$2:$L$6,posicao_contratual!$Y25+1)))),"",ROUND(itens_Remanesc!C25*$L$3/INDEX($L$2:$L$6,posicao_contratual!$Y25+1),2)))))</f>
        <v/>
      </c>
      <c r="E25" s="79" t="str">
        <f>IF(OR($A25="",posicao_contratual!$Y25=""),"",IF(posicao_contratual!$Y25&gt;2,"",IF(posicao_contratual!$Y25=2,IF(ISNUMBER(itens_Remanesc!C25),itens_Remanesc!C25,""),IF(OR(NOT(ISNUMBER(itens_Remanesc!C25)),NOT(ISNUMBER($L$4)),NOT(ISNUMBER(INDEX($L$2:$L$6,posicao_contratual!$Y25+1)))),"",ROUND(itens_Remanesc!C25*$L$4/INDEX($L$2:$L$6,posicao_contratual!$Y25+1),2)))))</f>
        <v/>
      </c>
      <c r="F25" s="79" t="str">
        <f>IF(OR($A25="",posicao_contratual!$Y25=""),"",IF(posicao_contratual!$Y25&gt;3,"",IF(posicao_contratual!$Y25=3,IF(ISNUMBER(itens_Remanesc!C25),itens_Remanesc!C25,""),IF(OR(NOT(ISNUMBER(itens_Remanesc!C25)),NOT(ISNUMBER($L$5)),NOT(ISNUMBER(INDEX($L$2:$L$6,posicao_contratual!$Y25+1)))),"",ROUND(itens_Remanesc!C25*$L$5/INDEX($L$2:$L$6,posicao_contratual!$Y25+1),2)))))</f>
        <v/>
      </c>
      <c r="G25" s="79" t="str">
        <f>IF(OR($A25="",posicao_contratual!$Y25=""),"",IF(posicao_contratual!$Y25&gt;4,"",IF(posicao_contratual!$Y25=4,IF(ISNUMBER(itens_Remanesc!C25),itens_Remanesc!C25,""),IF(OR(NOT(ISNUMBER(itens_Remanesc!C25)),NOT(ISNUMBER($L$6)),NOT(ISNUMBER(INDEX($L$2:$L$6,posicao_contratual!$Y25+1)))),"",ROUND(itens_Remanesc!C25*$L$6/INDEX($L$2:$L$6,posicao_contratual!$Y25+1),2)))))</f>
        <v/>
      </c>
      <c r="H25" s="114" t="str">
        <f t="shared" si="0"/>
        <v/>
      </c>
      <c r="I25" s="14"/>
      <c r="J25" s="14"/>
      <c r="K25" s="14"/>
      <c r="L25" s="14"/>
      <c r="M25" s="14"/>
      <c r="N25" s="145" t="str">
        <f>IF(A25="","",IF(posicao_contratual!$Y25="","",IF(posicao_contratual!$Y25&gt;0,"",posicao_contratual!E25)))</f>
        <v/>
      </c>
      <c r="O25" s="145" t="str">
        <f>IF(A25="","",IF(posicao_contratual!$Y25="","",IF(posicao_contratual!$Y25&gt;1,"",posicao_contratual!I25)))</f>
        <v/>
      </c>
      <c r="P25" s="145" t="str">
        <f>IF(A25="","",IF(posicao_contratual!$Y25="","",IF(posicao_contratual!$Y25&gt;2,"",posicao_contratual!M25)))</f>
        <v/>
      </c>
      <c r="Q25" s="145" t="str">
        <f>IF(A25="","",IF(posicao_contratual!$Y25="","",IF(posicao_contratual!$Y25&gt;3,"",posicao_contratual!Q25)))</f>
        <v/>
      </c>
      <c r="R25" s="145" t="str">
        <f>IF(A25="","",IF(posicao_contratual!$Y25="","",IF(posicao_contratual!$Y25&gt;4,"",posicao_contratual!U25)))</f>
        <v/>
      </c>
      <c r="S25" s="165" t="str">
        <f>IF(A25="","",posicao_contratual!G25)</f>
        <v/>
      </c>
      <c r="T25" s="165" t="str">
        <f>IF(A25="","",posicao_contratual!K25)</f>
        <v/>
      </c>
      <c r="U25" s="165" t="str">
        <f>IF(A25="","",posicao_contratual!O25)</f>
        <v/>
      </c>
      <c r="V25" s="165" t="str">
        <f>IF(A25="","",posicao_contratual!S25)</f>
        <v/>
      </c>
      <c r="W25" s="165" t="str">
        <f>IF(A25="","",posicao_contratual!W25)</f>
        <v/>
      </c>
    </row>
    <row r="26" spans="1:23" x14ac:dyDescent="0.35">
      <c r="A26" s="86" t="str">
        <f>IF(itens_Remanesc!A26="","",itens_Remanesc!A26)</f>
        <v/>
      </c>
      <c r="B26" s="85" t="str">
        <f>IF(A26="","",IF(posicao_contratual!$Y26="","",IF(posicao_contratual!$Y26&gt;0,"",posicao_contratual!G26)))</f>
        <v/>
      </c>
      <c r="C26" s="79" t="str">
        <f>IF(itens_Remanesc!A26="","",IF(posicao_contratual!$Y26="","",IF(posicao_contratual!$Y26&gt;0,"",itens_Remanesc!C26)))</f>
        <v/>
      </c>
      <c r="D26" s="79" t="str">
        <f>IF(OR($A26="",posicao_contratual!$Y26=""),"",IF(posicao_contratual!$Y26&gt;1,"",IF(posicao_contratual!$Y26=1,IF(ISNUMBER(itens_Remanesc!C26),itens_Remanesc!C26,""),IF(OR(NOT(ISNUMBER(itens_Remanesc!C26)),NOT(ISNUMBER($L$3)),NOT(ISNUMBER(INDEX($L$2:$L$6,posicao_contratual!$Y26+1)))),"",ROUND(itens_Remanesc!C26*$L$3/INDEX($L$2:$L$6,posicao_contratual!$Y26+1),2)))))</f>
        <v/>
      </c>
      <c r="E26" s="79" t="str">
        <f>IF(OR($A26="",posicao_contratual!$Y26=""),"",IF(posicao_contratual!$Y26&gt;2,"",IF(posicao_contratual!$Y26=2,IF(ISNUMBER(itens_Remanesc!C26),itens_Remanesc!C26,""),IF(OR(NOT(ISNUMBER(itens_Remanesc!C26)),NOT(ISNUMBER($L$4)),NOT(ISNUMBER(INDEX($L$2:$L$6,posicao_contratual!$Y26+1)))),"",ROUND(itens_Remanesc!C26*$L$4/INDEX($L$2:$L$6,posicao_contratual!$Y26+1),2)))))</f>
        <v/>
      </c>
      <c r="F26" s="79" t="str">
        <f>IF(OR($A26="",posicao_contratual!$Y26=""),"",IF(posicao_contratual!$Y26&gt;3,"",IF(posicao_contratual!$Y26=3,IF(ISNUMBER(itens_Remanesc!C26),itens_Remanesc!C26,""),IF(OR(NOT(ISNUMBER(itens_Remanesc!C26)),NOT(ISNUMBER($L$5)),NOT(ISNUMBER(INDEX($L$2:$L$6,posicao_contratual!$Y26+1)))),"",ROUND(itens_Remanesc!C26*$L$5/INDEX($L$2:$L$6,posicao_contratual!$Y26+1),2)))))</f>
        <v/>
      </c>
      <c r="G26" s="79" t="str">
        <f>IF(OR($A26="",posicao_contratual!$Y26=""),"",IF(posicao_contratual!$Y26&gt;4,"",IF(posicao_contratual!$Y26=4,IF(ISNUMBER(itens_Remanesc!C26),itens_Remanesc!C26,""),IF(OR(NOT(ISNUMBER(itens_Remanesc!C26)),NOT(ISNUMBER($L$6)),NOT(ISNUMBER(INDEX($L$2:$L$6,posicao_contratual!$Y26+1)))),"",ROUND(itens_Remanesc!C26*$L$6/INDEX($L$2:$L$6,posicao_contratual!$Y26+1),2)))))</f>
        <v/>
      </c>
      <c r="H26" s="114" t="str">
        <f t="shared" si="0"/>
        <v/>
      </c>
      <c r="I26" s="14"/>
      <c r="J26" s="14"/>
      <c r="K26" s="14"/>
      <c r="L26" s="14"/>
      <c r="M26" s="14"/>
      <c r="N26" s="145" t="str">
        <f>IF(A26="","",IF(posicao_contratual!$Y26="","",IF(posicao_contratual!$Y26&gt;0,"",posicao_contratual!E26)))</f>
        <v/>
      </c>
      <c r="O26" s="145" t="str">
        <f>IF(A26="","",IF(posicao_contratual!$Y26="","",IF(posicao_contratual!$Y26&gt;1,"",posicao_contratual!I26)))</f>
        <v/>
      </c>
      <c r="P26" s="145" t="str">
        <f>IF(A26="","",IF(posicao_contratual!$Y26="","",IF(posicao_contratual!$Y26&gt;2,"",posicao_contratual!M26)))</f>
        <v/>
      </c>
      <c r="Q26" s="145" t="str">
        <f>IF(A26="","",IF(posicao_contratual!$Y26="","",IF(posicao_contratual!$Y26&gt;3,"",posicao_contratual!Q26)))</f>
        <v/>
      </c>
      <c r="R26" s="145" t="str">
        <f>IF(A26="","",IF(posicao_contratual!$Y26="","",IF(posicao_contratual!$Y26&gt;4,"",posicao_contratual!U26)))</f>
        <v/>
      </c>
      <c r="S26" s="165" t="str">
        <f>IF(A26="","",posicao_contratual!G26)</f>
        <v/>
      </c>
      <c r="T26" s="165" t="str">
        <f>IF(A26="","",posicao_contratual!K26)</f>
        <v/>
      </c>
      <c r="U26" s="165" t="str">
        <f>IF(A26="","",posicao_contratual!O26)</f>
        <v/>
      </c>
      <c r="V26" s="165" t="str">
        <f>IF(A26="","",posicao_contratual!S26)</f>
        <v/>
      </c>
      <c r="W26" s="165" t="str">
        <f>IF(A26="","",posicao_contratual!W26)</f>
        <v/>
      </c>
    </row>
    <row r="27" spans="1:23" x14ac:dyDescent="0.35">
      <c r="A27" s="86" t="str">
        <f>IF(itens_Remanesc!A27="","",itens_Remanesc!A27)</f>
        <v/>
      </c>
      <c r="B27" s="85" t="str">
        <f>IF(A27="","",IF(posicao_contratual!$Y27="","",IF(posicao_contratual!$Y27&gt;0,"",posicao_contratual!G27)))</f>
        <v/>
      </c>
      <c r="C27" s="79" t="str">
        <f>IF(itens_Remanesc!A27="","",IF(posicao_contratual!$Y27="","",IF(posicao_contratual!$Y27&gt;0,"",itens_Remanesc!C27)))</f>
        <v/>
      </c>
      <c r="D27" s="79" t="str">
        <f>IF(OR($A27="",posicao_contratual!$Y27=""),"",IF(posicao_contratual!$Y27&gt;1,"",IF(posicao_contratual!$Y27=1,IF(ISNUMBER(itens_Remanesc!C27),itens_Remanesc!C27,""),IF(OR(NOT(ISNUMBER(itens_Remanesc!C27)),NOT(ISNUMBER($L$3)),NOT(ISNUMBER(INDEX($L$2:$L$6,posicao_contratual!$Y27+1)))),"",ROUND(itens_Remanesc!C27*$L$3/INDEX($L$2:$L$6,posicao_contratual!$Y27+1),2)))))</f>
        <v/>
      </c>
      <c r="E27" s="79" t="str">
        <f>IF(OR($A27="",posicao_contratual!$Y27=""),"",IF(posicao_contratual!$Y27&gt;2,"",IF(posicao_contratual!$Y27=2,IF(ISNUMBER(itens_Remanesc!C27),itens_Remanesc!C27,""),IF(OR(NOT(ISNUMBER(itens_Remanesc!C27)),NOT(ISNUMBER($L$4)),NOT(ISNUMBER(INDEX($L$2:$L$6,posicao_contratual!$Y27+1)))),"",ROUND(itens_Remanesc!C27*$L$4/INDEX($L$2:$L$6,posicao_contratual!$Y27+1),2)))))</f>
        <v/>
      </c>
      <c r="F27" s="79" t="str">
        <f>IF(OR($A27="",posicao_contratual!$Y27=""),"",IF(posicao_contratual!$Y27&gt;3,"",IF(posicao_contratual!$Y27=3,IF(ISNUMBER(itens_Remanesc!C27),itens_Remanesc!C27,""),IF(OR(NOT(ISNUMBER(itens_Remanesc!C27)),NOT(ISNUMBER($L$5)),NOT(ISNUMBER(INDEX($L$2:$L$6,posicao_contratual!$Y27+1)))),"",ROUND(itens_Remanesc!C27*$L$5/INDEX($L$2:$L$6,posicao_contratual!$Y27+1),2)))))</f>
        <v/>
      </c>
      <c r="G27" s="79" t="str">
        <f>IF(OR($A27="",posicao_contratual!$Y27=""),"",IF(posicao_contratual!$Y27&gt;4,"",IF(posicao_contratual!$Y27=4,IF(ISNUMBER(itens_Remanesc!C27),itens_Remanesc!C27,""),IF(OR(NOT(ISNUMBER(itens_Remanesc!C27)),NOT(ISNUMBER($L$6)),NOT(ISNUMBER(INDEX($L$2:$L$6,posicao_contratual!$Y27+1)))),"",ROUND(itens_Remanesc!C27*$L$6/INDEX($L$2:$L$6,posicao_contratual!$Y27+1),2)))))</f>
        <v/>
      </c>
      <c r="H27" s="114" t="str">
        <f t="shared" si="0"/>
        <v/>
      </c>
      <c r="I27" s="14"/>
      <c r="J27" s="14"/>
      <c r="K27" s="14"/>
      <c r="L27" s="14"/>
      <c r="M27" s="14"/>
      <c r="N27" s="145" t="str">
        <f>IF(A27="","",IF(posicao_contratual!$Y27="","",IF(posicao_contratual!$Y27&gt;0,"",posicao_contratual!E27)))</f>
        <v/>
      </c>
      <c r="O27" s="145" t="str">
        <f>IF(A27="","",IF(posicao_contratual!$Y27="","",IF(posicao_contratual!$Y27&gt;1,"",posicao_contratual!I27)))</f>
        <v/>
      </c>
      <c r="P27" s="145" t="str">
        <f>IF(A27="","",IF(posicao_contratual!$Y27="","",IF(posicao_contratual!$Y27&gt;2,"",posicao_contratual!M27)))</f>
        <v/>
      </c>
      <c r="Q27" s="145" t="str">
        <f>IF(A27="","",IF(posicao_contratual!$Y27="","",IF(posicao_contratual!$Y27&gt;3,"",posicao_contratual!Q27)))</f>
        <v/>
      </c>
      <c r="R27" s="145" t="str">
        <f>IF(A27="","",IF(posicao_contratual!$Y27="","",IF(posicao_contratual!$Y27&gt;4,"",posicao_contratual!U27)))</f>
        <v/>
      </c>
      <c r="S27" s="165" t="str">
        <f>IF(A27="","",posicao_contratual!G27)</f>
        <v/>
      </c>
      <c r="T27" s="165" t="str">
        <f>IF(A27="","",posicao_contratual!K27)</f>
        <v/>
      </c>
      <c r="U27" s="165" t="str">
        <f>IF(A27="","",posicao_contratual!O27)</f>
        <v/>
      </c>
      <c r="V27" s="165" t="str">
        <f>IF(A27="","",posicao_contratual!S27)</f>
        <v/>
      </c>
      <c r="W27" s="165" t="str">
        <f>IF(A27="","",posicao_contratual!W27)</f>
        <v/>
      </c>
    </row>
    <row r="28" spans="1:23" x14ac:dyDescent="0.35">
      <c r="A28" s="86" t="str">
        <f>IF(itens_Remanesc!A28="","",itens_Remanesc!A28)</f>
        <v/>
      </c>
      <c r="B28" s="85" t="str">
        <f>IF(A28="","",IF(posicao_contratual!$Y28="","",IF(posicao_contratual!$Y28&gt;0,"",posicao_contratual!G28)))</f>
        <v/>
      </c>
      <c r="C28" s="79" t="str">
        <f>IF(itens_Remanesc!A28="","",IF(posicao_contratual!$Y28="","",IF(posicao_contratual!$Y28&gt;0,"",itens_Remanesc!C28)))</f>
        <v/>
      </c>
      <c r="D28" s="79" t="str">
        <f>IF(OR($A28="",posicao_contratual!$Y28=""),"",IF(posicao_contratual!$Y28&gt;1,"",IF(posicao_contratual!$Y28=1,IF(ISNUMBER(itens_Remanesc!C28),itens_Remanesc!C28,""),IF(OR(NOT(ISNUMBER(itens_Remanesc!C28)),NOT(ISNUMBER($L$3)),NOT(ISNUMBER(INDEX($L$2:$L$6,posicao_contratual!$Y28+1)))),"",ROUND(itens_Remanesc!C28*$L$3/INDEX($L$2:$L$6,posicao_contratual!$Y28+1),2)))))</f>
        <v/>
      </c>
      <c r="E28" s="79" t="str">
        <f>IF(OR($A28="",posicao_contratual!$Y28=""),"",IF(posicao_contratual!$Y28&gt;2,"",IF(posicao_contratual!$Y28=2,IF(ISNUMBER(itens_Remanesc!C28),itens_Remanesc!C28,""),IF(OR(NOT(ISNUMBER(itens_Remanesc!C28)),NOT(ISNUMBER($L$4)),NOT(ISNUMBER(INDEX($L$2:$L$6,posicao_contratual!$Y28+1)))),"",ROUND(itens_Remanesc!C28*$L$4/INDEX($L$2:$L$6,posicao_contratual!$Y28+1),2)))))</f>
        <v/>
      </c>
      <c r="F28" s="79" t="str">
        <f>IF(OR($A28="",posicao_contratual!$Y28=""),"",IF(posicao_contratual!$Y28&gt;3,"",IF(posicao_contratual!$Y28=3,IF(ISNUMBER(itens_Remanesc!C28),itens_Remanesc!C28,""),IF(OR(NOT(ISNUMBER(itens_Remanesc!C28)),NOT(ISNUMBER($L$5)),NOT(ISNUMBER(INDEX($L$2:$L$6,posicao_contratual!$Y28+1)))),"",ROUND(itens_Remanesc!C28*$L$5/INDEX($L$2:$L$6,posicao_contratual!$Y28+1),2)))))</f>
        <v/>
      </c>
      <c r="G28" s="79" t="str">
        <f>IF(OR($A28="",posicao_contratual!$Y28=""),"",IF(posicao_contratual!$Y28&gt;4,"",IF(posicao_contratual!$Y28=4,IF(ISNUMBER(itens_Remanesc!C28),itens_Remanesc!C28,""),IF(OR(NOT(ISNUMBER(itens_Remanesc!C28)),NOT(ISNUMBER($L$6)),NOT(ISNUMBER(INDEX($L$2:$L$6,posicao_contratual!$Y28+1)))),"",ROUND(itens_Remanesc!C28*$L$6/INDEX($L$2:$L$6,posicao_contratual!$Y28+1),2)))))</f>
        <v/>
      </c>
      <c r="H28" s="114" t="str">
        <f t="shared" si="0"/>
        <v/>
      </c>
      <c r="I28" s="14"/>
      <c r="J28" s="14"/>
      <c r="K28" s="14"/>
      <c r="L28" s="14"/>
      <c r="M28" s="14"/>
      <c r="N28" s="145" t="str">
        <f>IF(A28="","",IF(posicao_contratual!$Y28="","",IF(posicao_contratual!$Y28&gt;0,"",posicao_contratual!E28)))</f>
        <v/>
      </c>
      <c r="O28" s="145" t="str">
        <f>IF(A28="","",IF(posicao_contratual!$Y28="","",IF(posicao_contratual!$Y28&gt;1,"",posicao_contratual!I28)))</f>
        <v/>
      </c>
      <c r="P28" s="145" t="str">
        <f>IF(A28="","",IF(posicao_contratual!$Y28="","",IF(posicao_contratual!$Y28&gt;2,"",posicao_contratual!M28)))</f>
        <v/>
      </c>
      <c r="Q28" s="145" t="str">
        <f>IF(A28="","",IF(posicao_contratual!$Y28="","",IF(posicao_contratual!$Y28&gt;3,"",posicao_contratual!Q28)))</f>
        <v/>
      </c>
      <c r="R28" s="145" t="str">
        <f>IF(A28="","",IF(posicao_contratual!$Y28="","",IF(posicao_contratual!$Y28&gt;4,"",posicao_contratual!U28)))</f>
        <v/>
      </c>
      <c r="S28" s="165" t="str">
        <f>IF(A28="","",posicao_contratual!G28)</f>
        <v/>
      </c>
      <c r="T28" s="165" t="str">
        <f>IF(A28="","",posicao_contratual!K28)</f>
        <v/>
      </c>
      <c r="U28" s="165" t="str">
        <f>IF(A28="","",posicao_contratual!O28)</f>
        <v/>
      </c>
      <c r="V28" s="165" t="str">
        <f>IF(A28="","",posicao_contratual!S28)</f>
        <v/>
      </c>
      <c r="W28" s="165" t="str">
        <f>IF(A28="","",posicao_contratual!W28)</f>
        <v/>
      </c>
    </row>
    <row r="29" spans="1:23" x14ac:dyDescent="0.35">
      <c r="A29" s="86" t="str">
        <f>IF(itens_Remanesc!A29="","",itens_Remanesc!A29)</f>
        <v/>
      </c>
      <c r="B29" s="85" t="str">
        <f>IF(A29="","",IF(posicao_contratual!$Y29="","",IF(posicao_contratual!$Y29&gt;0,"",posicao_contratual!G29)))</f>
        <v/>
      </c>
      <c r="C29" s="79" t="str">
        <f>IF(itens_Remanesc!A29="","",IF(posicao_contratual!$Y29="","",IF(posicao_contratual!$Y29&gt;0,"",itens_Remanesc!C29)))</f>
        <v/>
      </c>
      <c r="D29" s="79" t="str">
        <f>IF(OR($A29="",posicao_contratual!$Y29=""),"",IF(posicao_contratual!$Y29&gt;1,"",IF(posicao_contratual!$Y29=1,IF(ISNUMBER(itens_Remanesc!C29),itens_Remanesc!C29,""),IF(OR(NOT(ISNUMBER(itens_Remanesc!C29)),NOT(ISNUMBER($L$3)),NOT(ISNUMBER(INDEX($L$2:$L$6,posicao_contratual!$Y29+1)))),"",ROUND(itens_Remanesc!C29*$L$3/INDEX($L$2:$L$6,posicao_contratual!$Y29+1),2)))))</f>
        <v/>
      </c>
      <c r="E29" s="79" t="str">
        <f>IF(OR($A29="",posicao_contratual!$Y29=""),"",IF(posicao_contratual!$Y29&gt;2,"",IF(posicao_contratual!$Y29=2,IF(ISNUMBER(itens_Remanesc!C29),itens_Remanesc!C29,""),IF(OR(NOT(ISNUMBER(itens_Remanesc!C29)),NOT(ISNUMBER($L$4)),NOT(ISNUMBER(INDEX($L$2:$L$6,posicao_contratual!$Y29+1)))),"",ROUND(itens_Remanesc!C29*$L$4/INDEX($L$2:$L$6,posicao_contratual!$Y29+1),2)))))</f>
        <v/>
      </c>
      <c r="F29" s="79" t="str">
        <f>IF(OR($A29="",posicao_contratual!$Y29=""),"",IF(posicao_contratual!$Y29&gt;3,"",IF(posicao_contratual!$Y29=3,IF(ISNUMBER(itens_Remanesc!C29),itens_Remanesc!C29,""),IF(OR(NOT(ISNUMBER(itens_Remanesc!C29)),NOT(ISNUMBER($L$5)),NOT(ISNUMBER(INDEX($L$2:$L$6,posicao_contratual!$Y29+1)))),"",ROUND(itens_Remanesc!C29*$L$5/INDEX($L$2:$L$6,posicao_contratual!$Y29+1),2)))))</f>
        <v/>
      </c>
      <c r="G29" s="79" t="str">
        <f>IF(OR($A29="",posicao_contratual!$Y29=""),"",IF(posicao_contratual!$Y29&gt;4,"",IF(posicao_contratual!$Y29=4,IF(ISNUMBER(itens_Remanesc!C29),itens_Remanesc!C29,""),IF(OR(NOT(ISNUMBER(itens_Remanesc!C29)),NOT(ISNUMBER($L$6)),NOT(ISNUMBER(INDEX($L$2:$L$6,posicao_contratual!$Y29+1)))),"",ROUND(itens_Remanesc!C29*$L$6/INDEX($L$2:$L$6,posicao_contratual!$Y29+1),2)))))</f>
        <v/>
      </c>
      <c r="H29" s="114" t="str">
        <f t="shared" si="0"/>
        <v/>
      </c>
      <c r="I29" s="14"/>
      <c r="J29" s="14"/>
      <c r="K29" s="14"/>
      <c r="L29" s="14"/>
      <c r="M29" s="14"/>
      <c r="N29" s="145" t="str">
        <f>IF(A29="","",IF(posicao_contratual!$Y29="","",IF(posicao_contratual!$Y29&gt;0,"",posicao_contratual!E29)))</f>
        <v/>
      </c>
      <c r="O29" s="145" t="str">
        <f>IF(A29="","",IF(posicao_contratual!$Y29="","",IF(posicao_contratual!$Y29&gt;1,"",posicao_contratual!I29)))</f>
        <v/>
      </c>
      <c r="P29" s="145" t="str">
        <f>IF(A29="","",IF(posicao_contratual!$Y29="","",IF(posicao_contratual!$Y29&gt;2,"",posicao_contratual!M29)))</f>
        <v/>
      </c>
      <c r="Q29" s="145" t="str">
        <f>IF(A29="","",IF(posicao_contratual!$Y29="","",IF(posicao_contratual!$Y29&gt;3,"",posicao_contratual!Q29)))</f>
        <v/>
      </c>
      <c r="R29" s="145" t="str">
        <f>IF(A29="","",IF(posicao_contratual!$Y29="","",IF(posicao_contratual!$Y29&gt;4,"",posicao_contratual!U29)))</f>
        <v/>
      </c>
      <c r="S29" s="165" t="str">
        <f>IF(A29="","",posicao_contratual!G29)</f>
        <v/>
      </c>
      <c r="T29" s="165" t="str">
        <f>IF(A29="","",posicao_contratual!K29)</f>
        <v/>
      </c>
      <c r="U29" s="165" t="str">
        <f>IF(A29="","",posicao_contratual!O29)</f>
        <v/>
      </c>
      <c r="V29" s="165" t="str">
        <f>IF(A29="","",posicao_contratual!S29)</f>
        <v/>
      </c>
      <c r="W29" s="165" t="str">
        <f>IF(A29="","",posicao_contratual!W29)</f>
        <v/>
      </c>
    </row>
    <row r="30" spans="1:23" x14ac:dyDescent="0.35">
      <c r="A30" s="86" t="str">
        <f>IF(itens_Remanesc!A30="","",itens_Remanesc!A30)</f>
        <v/>
      </c>
      <c r="B30" s="85" t="str">
        <f>IF(A30="","",IF(posicao_contratual!$Y30="","",IF(posicao_contratual!$Y30&gt;0,"",posicao_contratual!G30)))</f>
        <v/>
      </c>
      <c r="C30" s="79" t="str">
        <f>IF(itens_Remanesc!A30="","",IF(posicao_contratual!$Y30="","",IF(posicao_contratual!$Y30&gt;0,"",itens_Remanesc!C30)))</f>
        <v/>
      </c>
      <c r="D30" s="79" t="str">
        <f>IF(OR($A30="",posicao_contratual!$Y30=""),"",IF(posicao_contratual!$Y30&gt;1,"",IF(posicao_contratual!$Y30=1,IF(ISNUMBER(itens_Remanesc!C30),itens_Remanesc!C30,""),IF(OR(NOT(ISNUMBER(itens_Remanesc!C30)),NOT(ISNUMBER($L$3)),NOT(ISNUMBER(INDEX($L$2:$L$6,posicao_contratual!$Y30+1)))),"",ROUND(itens_Remanesc!C30*$L$3/INDEX($L$2:$L$6,posicao_contratual!$Y30+1),2)))))</f>
        <v/>
      </c>
      <c r="E30" s="79" t="str">
        <f>IF(OR($A30="",posicao_contratual!$Y30=""),"",IF(posicao_contratual!$Y30&gt;2,"",IF(posicao_contratual!$Y30=2,IF(ISNUMBER(itens_Remanesc!C30),itens_Remanesc!C30,""),IF(OR(NOT(ISNUMBER(itens_Remanesc!C30)),NOT(ISNUMBER($L$4)),NOT(ISNUMBER(INDEX($L$2:$L$6,posicao_contratual!$Y30+1)))),"",ROUND(itens_Remanesc!C30*$L$4/INDEX($L$2:$L$6,posicao_contratual!$Y30+1),2)))))</f>
        <v/>
      </c>
      <c r="F30" s="79" t="str">
        <f>IF(OR($A30="",posicao_contratual!$Y30=""),"",IF(posicao_contratual!$Y30&gt;3,"",IF(posicao_contratual!$Y30=3,IF(ISNUMBER(itens_Remanesc!C30),itens_Remanesc!C30,""),IF(OR(NOT(ISNUMBER(itens_Remanesc!C30)),NOT(ISNUMBER($L$5)),NOT(ISNUMBER(INDEX($L$2:$L$6,posicao_contratual!$Y30+1)))),"",ROUND(itens_Remanesc!C30*$L$5/INDEX($L$2:$L$6,posicao_contratual!$Y30+1),2)))))</f>
        <v/>
      </c>
      <c r="G30" s="79" t="str">
        <f>IF(OR($A30="",posicao_contratual!$Y30=""),"",IF(posicao_contratual!$Y30&gt;4,"",IF(posicao_contratual!$Y30=4,IF(ISNUMBER(itens_Remanesc!C30),itens_Remanesc!C30,""),IF(OR(NOT(ISNUMBER(itens_Remanesc!C30)),NOT(ISNUMBER($L$6)),NOT(ISNUMBER(INDEX($L$2:$L$6,posicao_contratual!$Y30+1)))),"",ROUND(itens_Remanesc!C30*$L$6/INDEX($L$2:$L$6,posicao_contratual!$Y30+1),2)))))</f>
        <v/>
      </c>
      <c r="H30" s="114" t="str">
        <f t="shared" si="0"/>
        <v/>
      </c>
      <c r="I30" s="14"/>
      <c r="J30" s="14"/>
      <c r="K30" s="14"/>
      <c r="L30" s="14"/>
      <c r="M30" s="14"/>
      <c r="N30" s="145" t="str">
        <f>IF(A30="","",IF(posicao_contratual!$Y30="","",IF(posicao_contratual!$Y30&gt;0,"",posicao_contratual!E30)))</f>
        <v/>
      </c>
      <c r="O30" s="145" t="str">
        <f>IF(A30="","",IF(posicao_contratual!$Y30="","",IF(posicao_contratual!$Y30&gt;1,"",posicao_contratual!I30)))</f>
        <v/>
      </c>
      <c r="P30" s="145" t="str">
        <f>IF(A30="","",IF(posicao_contratual!$Y30="","",IF(posicao_contratual!$Y30&gt;2,"",posicao_contratual!M30)))</f>
        <v/>
      </c>
      <c r="Q30" s="145" t="str">
        <f>IF(A30="","",IF(posicao_contratual!$Y30="","",IF(posicao_contratual!$Y30&gt;3,"",posicao_contratual!Q30)))</f>
        <v/>
      </c>
      <c r="R30" s="145" t="str">
        <f>IF(A30="","",IF(posicao_contratual!$Y30="","",IF(posicao_contratual!$Y30&gt;4,"",posicao_contratual!U30)))</f>
        <v/>
      </c>
      <c r="S30" s="165" t="str">
        <f>IF(A30="","",posicao_contratual!G30)</f>
        <v/>
      </c>
      <c r="T30" s="165" t="str">
        <f>IF(A30="","",posicao_contratual!K30)</f>
        <v/>
      </c>
      <c r="U30" s="165" t="str">
        <f>IF(A30="","",posicao_contratual!O30)</f>
        <v/>
      </c>
      <c r="V30" s="165" t="str">
        <f>IF(A30="","",posicao_contratual!S30)</f>
        <v/>
      </c>
      <c r="W30" s="165" t="str">
        <f>IF(A30="","",posicao_contratual!W30)</f>
        <v/>
      </c>
    </row>
    <row r="31" spans="1:23" x14ac:dyDescent="0.35">
      <c r="A31" s="86" t="str">
        <f>IF(itens_Remanesc!A31="","",itens_Remanesc!A31)</f>
        <v/>
      </c>
      <c r="B31" s="85" t="str">
        <f>IF(A31="","",IF(posicao_contratual!$Y31="","",IF(posicao_contratual!$Y31&gt;0,"",posicao_contratual!G31)))</f>
        <v/>
      </c>
      <c r="C31" s="79" t="str">
        <f>IF(itens_Remanesc!A31="","",IF(posicao_contratual!$Y31="","",IF(posicao_contratual!$Y31&gt;0,"",itens_Remanesc!C31)))</f>
        <v/>
      </c>
      <c r="D31" s="79" t="str">
        <f>IF(OR($A31="",posicao_contratual!$Y31=""),"",IF(posicao_contratual!$Y31&gt;1,"",IF(posicao_contratual!$Y31=1,IF(ISNUMBER(itens_Remanesc!C31),itens_Remanesc!C31,""),IF(OR(NOT(ISNUMBER(itens_Remanesc!C31)),NOT(ISNUMBER($L$3)),NOT(ISNUMBER(INDEX($L$2:$L$6,posicao_contratual!$Y31+1)))),"",ROUND(itens_Remanesc!C31*$L$3/INDEX($L$2:$L$6,posicao_contratual!$Y31+1),2)))))</f>
        <v/>
      </c>
      <c r="E31" s="79" t="str">
        <f>IF(OR($A31="",posicao_contratual!$Y31=""),"",IF(posicao_contratual!$Y31&gt;2,"",IF(posicao_contratual!$Y31=2,IF(ISNUMBER(itens_Remanesc!C31),itens_Remanesc!C31,""),IF(OR(NOT(ISNUMBER(itens_Remanesc!C31)),NOT(ISNUMBER($L$4)),NOT(ISNUMBER(INDEX($L$2:$L$6,posicao_contratual!$Y31+1)))),"",ROUND(itens_Remanesc!C31*$L$4/INDEX($L$2:$L$6,posicao_contratual!$Y31+1),2)))))</f>
        <v/>
      </c>
      <c r="F31" s="79" t="str">
        <f>IF(OR($A31="",posicao_contratual!$Y31=""),"",IF(posicao_contratual!$Y31&gt;3,"",IF(posicao_contratual!$Y31=3,IF(ISNUMBER(itens_Remanesc!C31),itens_Remanesc!C31,""),IF(OR(NOT(ISNUMBER(itens_Remanesc!C31)),NOT(ISNUMBER($L$5)),NOT(ISNUMBER(INDEX($L$2:$L$6,posicao_contratual!$Y31+1)))),"",ROUND(itens_Remanesc!C31*$L$5/INDEX($L$2:$L$6,posicao_contratual!$Y31+1),2)))))</f>
        <v/>
      </c>
      <c r="G31" s="79" t="str">
        <f>IF(OR($A31="",posicao_contratual!$Y31=""),"",IF(posicao_contratual!$Y31&gt;4,"",IF(posicao_contratual!$Y31=4,IF(ISNUMBER(itens_Remanesc!C31),itens_Remanesc!C31,""),IF(OR(NOT(ISNUMBER(itens_Remanesc!C31)),NOT(ISNUMBER($L$6)),NOT(ISNUMBER(INDEX($L$2:$L$6,posicao_contratual!$Y31+1)))),"",ROUND(itens_Remanesc!C31*$L$6/INDEX($L$2:$L$6,posicao_contratual!$Y31+1),2)))))</f>
        <v/>
      </c>
      <c r="H31" s="114" t="str">
        <f t="shared" si="0"/>
        <v/>
      </c>
      <c r="I31" s="14"/>
      <c r="J31" s="14"/>
      <c r="K31" s="14"/>
      <c r="L31" s="14"/>
      <c r="M31" s="14"/>
      <c r="N31" s="145" t="str">
        <f>IF(A31="","",IF(posicao_contratual!$Y31="","",IF(posicao_contratual!$Y31&gt;0,"",posicao_contratual!E31)))</f>
        <v/>
      </c>
      <c r="O31" s="145" t="str">
        <f>IF(A31="","",IF(posicao_contratual!$Y31="","",IF(posicao_contratual!$Y31&gt;1,"",posicao_contratual!I31)))</f>
        <v/>
      </c>
      <c r="P31" s="145" t="str">
        <f>IF(A31="","",IF(posicao_contratual!$Y31="","",IF(posicao_contratual!$Y31&gt;2,"",posicao_contratual!M31)))</f>
        <v/>
      </c>
      <c r="Q31" s="145" t="str">
        <f>IF(A31="","",IF(posicao_contratual!$Y31="","",IF(posicao_contratual!$Y31&gt;3,"",posicao_contratual!Q31)))</f>
        <v/>
      </c>
      <c r="R31" s="145" t="str">
        <f>IF(A31="","",IF(posicao_contratual!$Y31="","",IF(posicao_contratual!$Y31&gt;4,"",posicao_contratual!U31)))</f>
        <v/>
      </c>
      <c r="S31" s="165" t="str">
        <f>IF(A31="","",posicao_contratual!G31)</f>
        <v/>
      </c>
      <c r="T31" s="165" t="str">
        <f>IF(A31="","",posicao_contratual!K31)</f>
        <v/>
      </c>
      <c r="U31" s="165" t="str">
        <f>IF(A31="","",posicao_contratual!O31)</f>
        <v/>
      </c>
      <c r="V31" s="165" t="str">
        <f>IF(A31="","",posicao_contratual!S31)</f>
        <v/>
      </c>
      <c r="W31" s="165" t="str">
        <f>IF(A31="","",posicao_contratual!W31)</f>
        <v/>
      </c>
    </row>
    <row r="32" spans="1:23" x14ac:dyDescent="0.35">
      <c r="A32" s="86" t="str">
        <f>IF(itens_Remanesc!A32="","",itens_Remanesc!A32)</f>
        <v/>
      </c>
      <c r="B32" s="85" t="str">
        <f>IF(A32="","",IF(posicao_contratual!$Y32="","",IF(posicao_contratual!$Y32&gt;0,"",posicao_contratual!G32)))</f>
        <v/>
      </c>
      <c r="C32" s="79" t="str">
        <f>IF(itens_Remanesc!A32="","",IF(posicao_contratual!$Y32="","",IF(posicao_contratual!$Y32&gt;0,"",itens_Remanesc!C32)))</f>
        <v/>
      </c>
      <c r="D32" s="79" t="str">
        <f>IF(OR($A32="",posicao_contratual!$Y32=""),"",IF(posicao_contratual!$Y32&gt;1,"",IF(posicao_contratual!$Y32=1,IF(ISNUMBER(itens_Remanesc!C32),itens_Remanesc!C32,""),IF(OR(NOT(ISNUMBER(itens_Remanesc!C32)),NOT(ISNUMBER($L$3)),NOT(ISNUMBER(INDEX($L$2:$L$6,posicao_contratual!$Y32+1)))),"",ROUND(itens_Remanesc!C32*$L$3/INDEX($L$2:$L$6,posicao_contratual!$Y32+1),2)))))</f>
        <v/>
      </c>
      <c r="E32" s="79" t="str">
        <f>IF(OR($A32="",posicao_contratual!$Y32=""),"",IF(posicao_contratual!$Y32&gt;2,"",IF(posicao_contratual!$Y32=2,IF(ISNUMBER(itens_Remanesc!C32),itens_Remanesc!C32,""),IF(OR(NOT(ISNUMBER(itens_Remanesc!C32)),NOT(ISNUMBER($L$4)),NOT(ISNUMBER(INDEX($L$2:$L$6,posicao_contratual!$Y32+1)))),"",ROUND(itens_Remanesc!C32*$L$4/INDEX($L$2:$L$6,posicao_contratual!$Y32+1),2)))))</f>
        <v/>
      </c>
      <c r="F32" s="79" t="str">
        <f>IF(OR($A32="",posicao_contratual!$Y32=""),"",IF(posicao_contratual!$Y32&gt;3,"",IF(posicao_contratual!$Y32=3,IF(ISNUMBER(itens_Remanesc!C32),itens_Remanesc!C32,""),IF(OR(NOT(ISNUMBER(itens_Remanesc!C32)),NOT(ISNUMBER($L$5)),NOT(ISNUMBER(INDEX($L$2:$L$6,posicao_contratual!$Y32+1)))),"",ROUND(itens_Remanesc!C32*$L$5/INDEX($L$2:$L$6,posicao_contratual!$Y32+1),2)))))</f>
        <v/>
      </c>
      <c r="G32" s="79" t="str">
        <f>IF(OR($A32="",posicao_contratual!$Y32=""),"",IF(posicao_contratual!$Y32&gt;4,"",IF(posicao_contratual!$Y32=4,IF(ISNUMBER(itens_Remanesc!C32),itens_Remanesc!C32,""),IF(OR(NOT(ISNUMBER(itens_Remanesc!C32)),NOT(ISNUMBER($L$6)),NOT(ISNUMBER(INDEX($L$2:$L$6,posicao_contratual!$Y32+1)))),"",ROUND(itens_Remanesc!C32*$L$6/INDEX($L$2:$L$6,posicao_contratual!$Y32+1),2)))))</f>
        <v/>
      </c>
      <c r="H32" s="114" t="str">
        <f t="shared" si="0"/>
        <v/>
      </c>
      <c r="I32" s="14"/>
      <c r="J32" s="14"/>
      <c r="K32" s="14"/>
      <c r="L32" s="14"/>
      <c r="M32" s="14"/>
      <c r="N32" s="145" t="str">
        <f>IF(A32="","",IF(posicao_contratual!$Y32="","",IF(posicao_contratual!$Y32&gt;0,"",posicao_contratual!E32)))</f>
        <v/>
      </c>
      <c r="O32" s="145" t="str">
        <f>IF(A32="","",IF(posicao_contratual!$Y32="","",IF(posicao_contratual!$Y32&gt;1,"",posicao_contratual!I32)))</f>
        <v/>
      </c>
      <c r="P32" s="145" t="str">
        <f>IF(A32="","",IF(posicao_contratual!$Y32="","",IF(posicao_contratual!$Y32&gt;2,"",posicao_contratual!M32)))</f>
        <v/>
      </c>
      <c r="Q32" s="145" t="str">
        <f>IF(A32="","",IF(posicao_contratual!$Y32="","",IF(posicao_contratual!$Y32&gt;3,"",posicao_contratual!Q32)))</f>
        <v/>
      </c>
      <c r="R32" s="145" t="str">
        <f>IF(A32="","",IF(posicao_contratual!$Y32="","",IF(posicao_contratual!$Y32&gt;4,"",posicao_contratual!U32)))</f>
        <v/>
      </c>
      <c r="S32" s="165" t="str">
        <f>IF(A32="","",posicao_contratual!G32)</f>
        <v/>
      </c>
      <c r="T32" s="165" t="str">
        <f>IF(A32="","",posicao_contratual!K32)</f>
        <v/>
      </c>
      <c r="U32" s="165" t="str">
        <f>IF(A32="","",posicao_contratual!O32)</f>
        <v/>
      </c>
      <c r="V32" s="165" t="str">
        <f>IF(A32="","",posicao_contratual!S32)</f>
        <v/>
      </c>
      <c r="W32" s="165" t="str">
        <f>IF(A32="","",posicao_contratual!W32)</f>
        <v/>
      </c>
    </row>
    <row r="33" spans="1:23" x14ac:dyDescent="0.35">
      <c r="A33" s="86" t="str">
        <f>IF(itens_Remanesc!A33="","",itens_Remanesc!A33)</f>
        <v/>
      </c>
      <c r="B33" s="85" t="str">
        <f>IF(A33="","",IF(posicao_contratual!$Y33="","",IF(posicao_contratual!$Y33&gt;0,"",posicao_contratual!G33)))</f>
        <v/>
      </c>
      <c r="C33" s="79" t="str">
        <f>IF(itens_Remanesc!A33="","",IF(posicao_contratual!$Y33="","",IF(posicao_contratual!$Y33&gt;0,"",itens_Remanesc!C33)))</f>
        <v/>
      </c>
      <c r="D33" s="79" t="str">
        <f>IF(OR($A33="",posicao_contratual!$Y33=""),"",IF(posicao_contratual!$Y33&gt;1,"",IF(posicao_contratual!$Y33=1,IF(ISNUMBER(itens_Remanesc!C33),itens_Remanesc!C33,""),IF(OR(NOT(ISNUMBER(itens_Remanesc!C33)),NOT(ISNUMBER($L$3)),NOT(ISNUMBER(INDEX($L$2:$L$6,posicao_contratual!$Y33+1)))),"",ROUND(itens_Remanesc!C33*$L$3/INDEX($L$2:$L$6,posicao_contratual!$Y33+1),2)))))</f>
        <v/>
      </c>
      <c r="E33" s="79" t="str">
        <f>IF(OR($A33="",posicao_contratual!$Y33=""),"",IF(posicao_contratual!$Y33&gt;2,"",IF(posicao_contratual!$Y33=2,IF(ISNUMBER(itens_Remanesc!C33),itens_Remanesc!C33,""),IF(OR(NOT(ISNUMBER(itens_Remanesc!C33)),NOT(ISNUMBER($L$4)),NOT(ISNUMBER(INDEX($L$2:$L$6,posicao_contratual!$Y33+1)))),"",ROUND(itens_Remanesc!C33*$L$4/INDEX($L$2:$L$6,posicao_contratual!$Y33+1),2)))))</f>
        <v/>
      </c>
      <c r="F33" s="79" t="str">
        <f>IF(OR($A33="",posicao_contratual!$Y33=""),"",IF(posicao_contratual!$Y33&gt;3,"",IF(posicao_contratual!$Y33=3,IF(ISNUMBER(itens_Remanesc!C33),itens_Remanesc!C33,""),IF(OR(NOT(ISNUMBER(itens_Remanesc!C33)),NOT(ISNUMBER($L$5)),NOT(ISNUMBER(INDEX($L$2:$L$6,posicao_contratual!$Y33+1)))),"",ROUND(itens_Remanesc!C33*$L$5/INDEX($L$2:$L$6,posicao_contratual!$Y33+1),2)))))</f>
        <v/>
      </c>
      <c r="G33" s="79" t="str">
        <f>IF(OR($A33="",posicao_contratual!$Y33=""),"",IF(posicao_contratual!$Y33&gt;4,"",IF(posicao_contratual!$Y33=4,IF(ISNUMBER(itens_Remanesc!C33),itens_Remanesc!C33,""),IF(OR(NOT(ISNUMBER(itens_Remanesc!C33)),NOT(ISNUMBER($L$6)),NOT(ISNUMBER(INDEX($L$2:$L$6,posicao_contratual!$Y33+1)))),"",ROUND(itens_Remanesc!C33*$L$6/INDEX($L$2:$L$6,posicao_contratual!$Y33+1),2)))))</f>
        <v/>
      </c>
      <c r="H33" s="114" t="str">
        <f t="shared" si="0"/>
        <v/>
      </c>
      <c r="I33" s="14"/>
      <c r="J33" s="14"/>
      <c r="K33" s="14"/>
      <c r="L33" s="14"/>
      <c r="M33" s="14"/>
      <c r="N33" s="145" t="str">
        <f>IF(A33="","",IF(posicao_contratual!$Y33="","",IF(posicao_contratual!$Y33&gt;0,"",posicao_contratual!E33)))</f>
        <v/>
      </c>
      <c r="O33" s="145" t="str">
        <f>IF(A33="","",IF(posicao_contratual!$Y33="","",IF(posicao_contratual!$Y33&gt;1,"",posicao_contratual!I33)))</f>
        <v/>
      </c>
      <c r="P33" s="145" t="str">
        <f>IF(A33="","",IF(posicao_contratual!$Y33="","",IF(posicao_contratual!$Y33&gt;2,"",posicao_contratual!M33)))</f>
        <v/>
      </c>
      <c r="Q33" s="145" t="str">
        <f>IF(A33="","",IF(posicao_contratual!$Y33="","",IF(posicao_contratual!$Y33&gt;3,"",posicao_contratual!Q33)))</f>
        <v/>
      </c>
      <c r="R33" s="145" t="str">
        <f>IF(A33="","",IF(posicao_contratual!$Y33="","",IF(posicao_contratual!$Y33&gt;4,"",posicao_contratual!U33)))</f>
        <v/>
      </c>
      <c r="S33" s="165" t="str">
        <f>IF(A33="","",posicao_contratual!G33)</f>
        <v/>
      </c>
      <c r="T33" s="165" t="str">
        <f>IF(A33="","",posicao_contratual!K33)</f>
        <v/>
      </c>
      <c r="U33" s="165" t="str">
        <f>IF(A33="","",posicao_contratual!O33)</f>
        <v/>
      </c>
      <c r="V33" s="165" t="str">
        <f>IF(A33="","",posicao_contratual!S33)</f>
        <v/>
      </c>
      <c r="W33" s="165" t="str">
        <f>IF(A33="","",posicao_contratual!W33)</f>
        <v/>
      </c>
    </row>
    <row r="34" spans="1:23" x14ac:dyDescent="0.35">
      <c r="A34" s="86" t="str">
        <f>IF(itens_Remanesc!A34="","",itens_Remanesc!A34)</f>
        <v/>
      </c>
      <c r="B34" s="85" t="str">
        <f>IF(A34="","",IF(posicao_contratual!$Y34="","",IF(posicao_contratual!$Y34&gt;0,"",posicao_contratual!G34)))</f>
        <v/>
      </c>
      <c r="C34" s="79" t="str">
        <f>IF(itens_Remanesc!A34="","",IF(posicao_contratual!$Y34="","",IF(posicao_contratual!$Y34&gt;0,"",itens_Remanesc!C34)))</f>
        <v/>
      </c>
      <c r="D34" s="79" t="str">
        <f>IF(OR($A34="",posicao_contratual!$Y34=""),"",IF(posicao_contratual!$Y34&gt;1,"",IF(posicao_contratual!$Y34=1,IF(ISNUMBER(itens_Remanesc!C34),itens_Remanesc!C34,""),IF(OR(NOT(ISNUMBER(itens_Remanesc!C34)),NOT(ISNUMBER($L$3)),NOT(ISNUMBER(INDEX($L$2:$L$6,posicao_contratual!$Y34+1)))),"",ROUND(itens_Remanesc!C34*$L$3/INDEX($L$2:$L$6,posicao_contratual!$Y34+1),2)))))</f>
        <v/>
      </c>
      <c r="E34" s="79" t="str">
        <f>IF(OR($A34="",posicao_contratual!$Y34=""),"",IF(posicao_contratual!$Y34&gt;2,"",IF(posicao_contratual!$Y34=2,IF(ISNUMBER(itens_Remanesc!C34),itens_Remanesc!C34,""),IF(OR(NOT(ISNUMBER(itens_Remanesc!C34)),NOT(ISNUMBER($L$4)),NOT(ISNUMBER(INDEX($L$2:$L$6,posicao_contratual!$Y34+1)))),"",ROUND(itens_Remanesc!C34*$L$4/INDEX($L$2:$L$6,posicao_contratual!$Y34+1),2)))))</f>
        <v/>
      </c>
      <c r="F34" s="79" t="str">
        <f>IF(OR($A34="",posicao_contratual!$Y34=""),"",IF(posicao_contratual!$Y34&gt;3,"",IF(posicao_contratual!$Y34=3,IF(ISNUMBER(itens_Remanesc!C34),itens_Remanesc!C34,""),IF(OR(NOT(ISNUMBER(itens_Remanesc!C34)),NOT(ISNUMBER($L$5)),NOT(ISNUMBER(INDEX($L$2:$L$6,posicao_contratual!$Y34+1)))),"",ROUND(itens_Remanesc!C34*$L$5/INDEX($L$2:$L$6,posicao_contratual!$Y34+1),2)))))</f>
        <v/>
      </c>
      <c r="G34" s="79" t="str">
        <f>IF(OR($A34="",posicao_contratual!$Y34=""),"",IF(posicao_contratual!$Y34&gt;4,"",IF(posicao_contratual!$Y34=4,IF(ISNUMBER(itens_Remanesc!C34),itens_Remanesc!C34,""),IF(OR(NOT(ISNUMBER(itens_Remanesc!C34)),NOT(ISNUMBER($L$6)),NOT(ISNUMBER(INDEX($L$2:$L$6,posicao_contratual!$Y34+1)))),"",ROUND(itens_Remanesc!C34*$L$6/INDEX($L$2:$L$6,posicao_contratual!$Y34+1),2)))))</f>
        <v/>
      </c>
      <c r="H34" s="114" t="str">
        <f t="shared" ref="H34:H65" si="1">IF(OR(A34="",C34="",C34=0,NOT(ISNUMBER($L$6))),"",ROUND($L$6-1,4))</f>
        <v/>
      </c>
      <c r="I34" s="14"/>
      <c r="J34" s="14"/>
      <c r="K34" s="14"/>
      <c r="L34" s="14"/>
      <c r="M34" s="14"/>
      <c r="N34" s="145" t="str">
        <f>IF(A34="","",IF(posicao_contratual!$Y34="","",IF(posicao_contratual!$Y34&gt;0,"",posicao_contratual!E34)))</f>
        <v/>
      </c>
      <c r="O34" s="145" t="str">
        <f>IF(A34="","",IF(posicao_contratual!$Y34="","",IF(posicao_contratual!$Y34&gt;1,"",posicao_contratual!I34)))</f>
        <v/>
      </c>
      <c r="P34" s="145" t="str">
        <f>IF(A34="","",IF(posicao_contratual!$Y34="","",IF(posicao_contratual!$Y34&gt;2,"",posicao_contratual!M34)))</f>
        <v/>
      </c>
      <c r="Q34" s="145" t="str">
        <f>IF(A34="","",IF(posicao_contratual!$Y34="","",IF(posicao_contratual!$Y34&gt;3,"",posicao_contratual!Q34)))</f>
        <v/>
      </c>
      <c r="R34" s="145" t="str">
        <f>IF(A34="","",IF(posicao_contratual!$Y34="","",IF(posicao_contratual!$Y34&gt;4,"",posicao_contratual!U34)))</f>
        <v/>
      </c>
      <c r="S34" s="165" t="str">
        <f>IF(A34="","",posicao_contratual!G34)</f>
        <v/>
      </c>
      <c r="T34" s="165" t="str">
        <f>IF(A34="","",posicao_contratual!K34)</f>
        <v/>
      </c>
      <c r="U34" s="165" t="str">
        <f>IF(A34="","",posicao_contratual!O34)</f>
        <v/>
      </c>
      <c r="V34" s="165" t="str">
        <f>IF(A34="","",posicao_contratual!S34)</f>
        <v/>
      </c>
      <c r="W34" s="165" t="str">
        <f>IF(A34="","",posicao_contratual!W34)</f>
        <v/>
      </c>
    </row>
    <row r="35" spans="1:23" x14ac:dyDescent="0.35">
      <c r="A35" s="86" t="str">
        <f>IF(itens_Remanesc!A35="","",itens_Remanesc!A35)</f>
        <v/>
      </c>
      <c r="B35" s="85" t="str">
        <f>IF(A35="","",IF(posicao_contratual!$Y35="","",IF(posicao_contratual!$Y35&gt;0,"",posicao_contratual!G35)))</f>
        <v/>
      </c>
      <c r="C35" s="79" t="str">
        <f>IF(itens_Remanesc!A35="","",IF(posicao_contratual!$Y35="","",IF(posicao_contratual!$Y35&gt;0,"",itens_Remanesc!C35)))</f>
        <v/>
      </c>
      <c r="D35" s="79" t="str">
        <f>IF(OR($A35="",posicao_contratual!$Y35=""),"",IF(posicao_contratual!$Y35&gt;1,"",IF(posicao_contratual!$Y35=1,IF(ISNUMBER(itens_Remanesc!C35),itens_Remanesc!C35,""),IF(OR(NOT(ISNUMBER(itens_Remanesc!C35)),NOT(ISNUMBER($L$3)),NOT(ISNUMBER(INDEX($L$2:$L$6,posicao_contratual!$Y35+1)))),"",ROUND(itens_Remanesc!C35*$L$3/INDEX($L$2:$L$6,posicao_contratual!$Y35+1),2)))))</f>
        <v/>
      </c>
      <c r="E35" s="79" t="str">
        <f>IF(OR($A35="",posicao_contratual!$Y35=""),"",IF(posicao_contratual!$Y35&gt;2,"",IF(posicao_contratual!$Y35=2,IF(ISNUMBER(itens_Remanesc!C35),itens_Remanesc!C35,""),IF(OR(NOT(ISNUMBER(itens_Remanesc!C35)),NOT(ISNUMBER($L$4)),NOT(ISNUMBER(INDEX($L$2:$L$6,posicao_contratual!$Y35+1)))),"",ROUND(itens_Remanesc!C35*$L$4/INDEX($L$2:$L$6,posicao_contratual!$Y35+1),2)))))</f>
        <v/>
      </c>
      <c r="F35" s="79" t="str">
        <f>IF(OR($A35="",posicao_contratual!$Y35=""),"",IF(posicao_contratual!$Y35&gt;3,"",IF(posicao_contratual!$Y35=3,IF(ISNUMBER(itens_Remanesc!C35),itens_Remanesc!C35,""),IF(OR(NOT(ISNUMBER(itens_Remanesc!C35)),NOT(ISNUMBER($L$5)),NOT(ISNUMBER(INDEX($L$2:$L$6,posicao_contratual!$Y35+1)))),"",ROUND(itens_Remanesc!C35*$L$5/INDEX($L$2:$L$6,posicao_contratual!$Y35+1),2)))))</f>
        <v/>
      </c>
      <c r="G35" s="79" t="str">
        <f>IF(OR($A35="",posicao_contratual!$Y35=""),"",IF(posicao_contratual!$Y35&gt;4,"",IF(posicao_contratual!$Y35=4,IF(ISNUMBER(itens_Remanesc!C35),itens_Remanesc!C35,""),IF(OR(NOT(ISNUMBER(itens_Remanesc!C35)),NOT(ISNUMBER($L$6)),NOT(ISNUMBER(INDEX($L$2:$L$6,posicao_contratual!$Y35+1)))),"",ROUND(itens_Remanesc!C35*$L$6/INDEX($L$2:$L$6,posicao_contratual!$Y35+1),2)))))</f>
        <v/>
      </c>
      <c r="H35" s="114" t="str">
        <f t="shared" si="1"/>
        <v/>
      </c>
      <c r="I35" s="14"/>
      <c r="J35" s="14"/>
      <c r="K35" s="14"/>
      <c r="L35" s="14"/>
      <c r="M35" s="14"/>
      <c r="N35" s="145" t="str">
        <f>IF(A35="","",IF(posicao_contratual!$Y35="","",IF(posicao_contratual!$Y35&gt;0,"",posicao_contratual!E35)))</f>
        <v/>
      </c>
      <c r="O35" s="145" t="str">
        <f>IF(A35="","",IF(posicao_contratual!$Y35="","",IF(posicao_contratual!$Y35&gt;1,"",posicao_contratual!I35)))</f>
        <v/>
      </c>
      <c r="P35" s="145" t="str">
        <f>IF(A35="","",IF(posicao_contratual!$Y35="","",IF(posicao_contratual!$Y35&gt;2,"",posicao_contratual!M35)))</f>
        <v/>
      </c>
      <c r="Q35" s="145" t="str">
        <f>IF(A35="","",IF(posicao_contratual!$Y35="","",IF(posicao_contratual!$Y35&gt;3,"",posicao_contratual!Q35)))</f>
        <v/>
      </c>
      <c r="R35" s="145" t="str">
        <f>IF(A35="","",IF(posicao_contratual!$Y35="","",IF(posicao_contratual!$Y35&gt;4,"",posicao_contratual!U35)))</f>
        <v/>
      </c>
      <c r="S35" s="165" t="str">
        <f>IF(A35="","",posicao_contratual!G35)</f>
        <v/>
      </c>
      <c r="T35" s="165" t="str">
        <f>IF(A35="","",posicao_contratual!K35)</f>
        <v/>
      </c>
      <c r="U35" s="165" t="str">
        <f>IF(A35="","",posicao_contratual!O35)</f>
        <v/>
      </c>
      <c r="V35" s="165" t="str">
        <f>IF(A35="","",posicao_contratual!S35)</f>
        <v/>
      </c>
      <c r="W35" s="165" t="str">
        <f>IF(A35="","",posicao_contratual!W35)</f>
        <v/>
      </c>
    </row>
    <row r="36" spans="1:23" x14ac:dyDescent="0.35">
      <c r="A36" s="86" t="str">
        <f>IF(itens_Remanesc!A36="","",itens_Remanesc!A36)</f>
        <v/>
      </c>
      <c r="B36" s="85" t="str">
        <f>IF(A36="","",IF(posicao_contratual!$Y36="","",IF(posicao_contratual!$Y36&gt;0,"",posicao_contratual!G36)))</f>
        <v/>
      </c>
      <c r="C36" s="79" t="str">
        <f>IF(itens_Remanesc!A36="","",IF(posicao_contratual!$Y36="","",IF(posicao_contratual!$Y36&gt;0,"",itens_Remanesc!C36)))</f>
        <v/>
      </c>
      <c r="D36" s="79" t="str">
        <f>IF(OR($A36="",posicao_contratual!$Y36=""),"",IF(posicao_contratual!$Y36&gt;1,"",IF(posicao_contratual!$Y36=1,IF(ISNUMBER(itens_Remanesc!C36),itens_Remanesc!C36,""),IF(OR(NOT(ISNUMBER(itens_Remanesc!C36)),NOT(ISNUMBER($L$3)),NOT(ISNUMBER(INDEX($L$2:$L$6,posicao_contratual!$Y36+1)))),"",ROUND(itens_Remanesc!C36*$L$3/INDEX($L$2:$L$6,posicao_contratual!$Y36+1),2)))))</f>
        <v/>
      </c>
      <c r="E36" s="79" t="str">
        <f>IF(OR($A36="",posicao_contratual!$Y36=""),"",IF(posicao_contratual!$Y36&gt;2,"",IF(posicao_contratual!$Y36=2,IF(ISNUMBER(itens_Remanesc!C36),itens_Remanesc!C36,""),IF(OR(NOT(ISNUMBER(itens_Remanesc!C36)),NOT(ISNUMBER($L$4)),NOT(ISNUMBER(INDEX($L$2:$L$6,posicao_contratual!$Y36+1)))),"",ROUND(itens_Remanesc!C36*$L$4/INDEX($L$2:$L$6,posicao_contratual!$Y36+1),2)))))</f>
        <v/>
      </c>
      <c r="F36" s="79" t="str">
        <f>IF(OR($A36="",posicao_contratual!$Y36=""),"",IF(posicao_contratual!$Y36&gt;3,"",IF(posicao_contratual!$Y36=3,IF(ISNUMBER(itens_Remanesc!C36),itens_Remanesc!C36,""),IF(OR(NOT(ISNUMBER(itens_Remanesc!C36)),NOT(ISNUMBER($L$5)),NOT(ISNUMBER(INDEX($L$2:$L$6,posicao_contratual!$Y36+1)))),"",ROUND(itens_Remanesc!C36*$L$5/INDEX($L$2:$L$6,posicao_contratual!$Y36+1),2)))))</f>
        <v/>
      </c>
      <c r="G36" s="79" t="str">
        <f>IF(OR($A36="",posicao_contratual!$Y36=""),"",IF(posicao_contratual!$Y36&gt;4,"",IF(posicao_contratual!$Y36=4,IF(ISNUMBER(itens_Remanesc!C36),itens_Remanesc!C36,""),IF(OR(NOT(ISNUMBER(itens_Remanesc!C36)),NOT(ISNUMBER($L$6)),NOT(ISNUMBER(INDEX($L$2:$L$6,posicao_contratual!$Y36+1)))),"",ROUND(itens_Remanesc!C36*$L$6/INDEX($L$2:$L$6,posicao_contratual!$Y36+1),2)))))</f>
        <v/>
      </c>
      <c r="H36" s="114" t="str">
        <f t="shared" si="1"/>
        <v/>
      </c>
      <c r="I36" s="14"/>
      <c r="J36" s="14"/>
      <c r="K36" s="14"/>
      <c r="L36" s="14"/>
      <c r="M36" s="14"/>
      <c r="N36" s="145" t="str">
        <f>IF(A36="","",IF(posicao_contratual!$Y36="","",IF(posicao_contratual!$Y36&gt;0,"",posicao_contratual!E36)))</f>
        <v/>
      </c>
      <c r="O36" s="145" t="str">
        <f>IF(A36="","",IF(posicao_contratual!$Y36="","",IF(posicao_contratual!$Y36&gt;1,"",posicao_contratual!I36)))</f>
        <v/>
      </c>
      <c r="P36" s="145" t="str">
        <f>IF(A36="","",IF(posicao_contratual!$Y36="","",IF(posicao_contratual!$Y36&gt;2,"",posicao_contratual!M36)))</f>
        <v/>
      </c>
      <c r="Q36" s="145" t="str">
        <f>IF(A36="","",IF(posicao_contratual!$Y36="","",IF(posicao_contratual!$Y36&gt;3,"",posicao_contratual!Q36)))</f>
        <v/>
      </c>
      <c r="R36" s="145" t="str">
        <f>IF(A36="","",IF(posicao_contratual!$Y36="","",IF(posicao_contratual!$Y36&gt;4,"",posicao_contratual!U36)))</f>
        <v/>
      </c>
      <c r="S36" s="165" t="str">
        <f>IF(A36="","",posicao_contratual!G36)</f>
        <v/>
      </c>
      <c r="T36" s="165" t="str">
        <f>IF(A36="","",posicao_contratual!K36)</f>
        <v/>
      </c>
      <c r="U36" s="165" t="str">
        <f>IF(A36="","",posicao_contratual!O36)</f>
        <v/>
      </c>
      <c r="V36" s="165" t="str">
        <f>IF(A36="","",posicao_contratual!S36)</f>
        <v/>
      </c>
      <c r="W36" s="165" t="str">
        <f>IF(A36="","",posicao_contratual!W36)</f>
        <v/>
      </c>
    </row>
    <row r="37" spans="1:23" x14ac:dyDescent="0.35">
      <c r="A37" s="86" t="str">
        <f>IF(itens_Remanesc!A37="","",itens_Remanesc!A37)</f>
        <v/>
      </c>
      <c r="B37" s="85" t="str">
        <f>IF(A37="","",IF(posicao_contratual!$Y37="","",IF(posicao_contratual!$Y37&gt;0,"",posicao_contratual!G37)))</f>
        <v/>
      </c>
      <c r="C37" s="79" t="str">
        <f>IF(itens_Remanesc!A37="","",IF(posicao_contratual!$Y37="","",IF(posicao_contratual!$Y37&gt;0,"",itens_Remanesc!C37)))</f>
        <v/>
      </c>
      <c r="D37" s="79" t="str">
        <f>IF(OR($A37="",posicao_contratual!$Y37=""),"",IF(posicao_contratual!$Y37&gt;1,"",IF(posicao_contratual!$Y37=1,IF(ISNUMBER(itens_Remanesc!C37),itens_Remanesc!C37,""),IF(OR(NOT(ISNUMBER(itens_Remanesc!C37)),NOT(ISNUMBER($L$3)),NOT(ISNUMBER(INDEX($L$2:$L$6,posicao_contratual!$Y37+1)))),"",ROUND(itens_Remanesc!C37*$L$3/INDEX($L$2:$L$6,posicao_contratual!$Y37+1),2)))))</f>
        <v/>
      </c>
      <c r="E37" s="79" t="str">
        <f>IF(OR($A37="",posicao_contratual!$Y37=""),"",IF(posicao_contratual!$Y37&gt;2,"",IF(posicao_contratual!$Y37=2,IF(ISNUMBER(itens_Remanesc!C37),itens_Remanesc!C37,""),IF(OR(NOT(ISNUMBER(itens_Remanesc!C37)),NOT(ISNUMBER($L$4)),NOT(ISNUMBER(INDEX($L$2:$L$6,posicao_contratual!$Y37+1)))),"",ROUND(itens_Remanesc!C37*$L$4/INDEX($L$2:$L$6,posicao_contratual!$Y37+1),2)))))</f>
        <v/>
      </c>
      <c r="F37" s="79" t="str">
        <f>IF(OR($A37="",posicao_contratual!$Y37=""),"",IF(posicao_contratual!$Y37&gt;3,"",IF(posicao_contratual!$Y37=3,IF(ISNUMBER(itens_Remanesc!C37),itens_Remanesc!C37,""),IF(OR(NOT(ISNUMBER(itens_Remanesc!C37)),NOT(ISNUMBER($L$5)),NOT(ISNUMBER(INDEX($L$2:$L$6,posicao_contratual!$Y37+1)))),"",ROUND(itens_Remanesc!C37*$L$5/INDEX($L$2:$L$6,posicao_contratual!$Y37+1),2)))))</f>
        <v/>
      </c>
      <c r="G37" s="79" t="str">
        <f>IF(OR($A37="",posicao_contratual!$Y37=""),"",IF(posicao_contratual!$Y37&gt;4,"",IF(posicao_contratual!$Y37=4,IF(ISNUMBER(itens_Remanesc!C37),itens_Remanesc!C37,""),IF(OR(NOT(ISNUMBER(itens_Remanesc!C37)),NOT(ISNUMBER($L$6)),NOT(ISNUMBER(INDEX($L$2:$L$6,posicao_contratual!$Y37+1)))),"",ROUND(itens_Remanesc!C37*$L$6/INDEX($L$2:$L$6,posicao_contratual!$Y37+1),2)))))</f>
        <v/>
      </c>
      <c r="H37" s="114" t="str">
        <f t="shared" si="1"/>
        <v/>
      </c>
      <c r="I37" s="14"/>
      <c r="J37" s="14"/>
      <c r="K37" s="14"/>
      <c r="L37" s="14"/>
      <c r="M37" s="14"/>
      <c r="N37" s="145" t="str">
        <f>IF(A37="","",IF(posicao_contratual!$Y37="","",IF(posicao_contratual!$Y37&gt;0,"",posicao_contratual!E37)))</f>
        <v/>
      </c>
      <c r="O37" s="145" t="str">
        <f>IF(A37="","",IF(posicao_contratual!$Y37="","",IF(posicao_contratual!$Y37&gt;1,"",posicao_contratual!I37)))</f>
        <v/>
      </c>
      <c r="P37" s="145" t="str">
        <f>IF(A37="","",IF(posicao_contratual!$Y37="","",IF(posicao_contratual!$Y37&gt;2,"",posicao_contratual!M37)))</f>
        <v/>
      </c>
      <c r="Q37" s="145" t="str">
        <f>IF(A37="","",IF(posicao_contratual!$Y37="","",IF(posicao_contratual!$Y37&gt;3,"",posicao_contratual!Q37)))</f>
        <v/>
      </c>
      <c r="R37" s="145" t="str">
        <f>IF(A37="","",IF(posicao_contratual!$Y37="","",IF(posicao_contratual!$Y37&gt;4,"",posicao_contratual!U37)))</f>
        <v/>
      </c>
      <c r="S37" s="165" t="str">
        <f>IF(A37="","",posicao_contratual!G37)</f>
        <v/>
      </c>
      <c r="T37" s="165" t="str">
        <f>IF(A37="","",posicao_contratual!K37)</f>
        <v/>
      </c>
      <c r="U37" s="165" t="str">
        <f>IF(A37="","",posicao_contratual!O37)</f>
        <v/>
      </c>
      <c r="V37" s="165" t="str">
        <f>IF(A37="","",posicao_contratual!S37)</f>
        <v/>
      </c>
      <c r="W37" s="165" t="str">
        <f>IF(A37="","",posicao_contratual!W37)</f>
        <v/>
      </c>
    </row>
    <row r="38" spans="1:23" x14ac:dyDescent="0.35">
      <c r="A38" s="86" t="str">
        <f>IF(itens_Remanesc!A38="","",itens_Remanesc!A38)</f>
        <v/>
      </c>
      <c r="B38" s="85" t="str">
        <f>IF(A38="","",IF(posicao_contratual!$Y38="","",IF(posicao_contratual!$Y38&gt;0,"",posicao_contratual!G38)))</f>
        <v/>
      </c>
      <c r="C38" s="79" t="str">
        <f>IF(itens_Remanesc!A38="","",IF(posicao_contratual!$Y38="","",IF(posicao_contratual!$Y38&gt;0,"",itens_Remanesc!C38)))</f>
        <v/>
      </c>
      <c r="D38" s="79" t="str">
        <f>IF(OR($A38="",posicao_contratual!$Y38=""),"",IF(posicao_contratual!$Y38&gt;1,"",IF(posicao_contratual!$Y38=1,IF(ISNUMBER(itens_Remanesc!C38),itens_Remanesc!C38,""),IF(OR(NOT(ISNUMBER(itens_Remanesc!C38)),NOT(ISNUMBER($L$3)),NOT(ISNUMBER(INDEX($L$2:$L$6,posicao_contratual!$Y38+1)))),"",ROUND(itens_Remanesc!C38*$L$3/INDEX($L$2:$L$6,posicao_contratual!$Y38+1),2)))))</f>
        <v/>
      </c>
      <c r="E38" s="79" t="str">
        <f>IF(OR($A38="",posicao_contratual!$Y38=""),"",IF(posicao_contratual!$Y38&gt;2,"",IF(posicao_contratual!$Y38=2,IF(ISNUMBER(itens_Remanesc!C38),itens_Remanesc!C38,""),IF(OR(NOT(ISNUMBER(itens_Remanesc!C38)),NOT(ISNUMBER($L$4)),NOT(ISNUMBER(INDEX($L$2:$L$6,posicao_contratual!$Y38+1)))),"",ROUND(itens_Remanesc!C38*$L$4/INDEX($L$2:$L$6,posicao_contratual!$Y38+1),2)))))</f>
        <v/>
      </c>
      <c r="F38" s="79" t="str">
        <f>IF(OR($A38="",posicao_contratual!$Y38=""),"",IF(posicao_contratual!$Y38&gt;3,"",IF(posicao_contratual!$Y38=3,IF(ISNUMBER(itens_Remanesc!C38),itens_Remanesc!C38,""),IF(OR(NOT(ISNUMBER(itens_Remanesc!C38)),NOT(ISNUMBER($L$5)),NOT(ISNUMBER(INDEX($L$2:$L$6,posicao_contratual!$Y38+1)))),"",ROUND(itens_Remanesc!C38*$L$5/INDEX($L$2:$L$6,posicao_contratual!$Y38+1),2)))))</f>
        <v/>
      </c>
      <c r="G38" s="79" t="str">
        <f>IF(OR($A38="",posicao_contratual!$Y38=""),"",IF(posicao_contratual!$Y38&gt;4,"",IF(posicao_contratual!$Y38=4,IF(ISNUMBER(itens_Remanesc!C38),itens_Remanesc!C38,""),IF(OR(NOT(ISNUMBER(itens_Remanesc!C38)),NOT(ISNUMBER($L$6)),NOT(ISNUMBER(INDEX($L$2:$L$6,posicao_contratual!$Y38+1)))),"",ROUND(itens_Remanesc!C38*$L$6/INDEX($L$2:$L$6,posicao_contratual!$Y38+1),2)))))</f>
        <v/>
      </c>
      <c r="H38" s="114" t="str">
        <f t="shared" si="1"/>
        <v/>
      </c>
      <c r="I38" s="14"/>
      <c r="J38" s="14"/>
      <c r="K38" s="14"/>
      <c r="L38" s="14"/>
      <c r="M38" s="14"/>
      <c r="N38" s="145" t="str">
        <f>IF(A38="","",IF(posicao_contratual!$Y38="","",IF(posicao_contratual!$Y38&gt;0,"",posicao_contratual!E38)))</f>
        <v/>
      </c>
      <c r="O38" s="145" t="str">
        <f>IF(A38="","",IF(posicao_contratual!$Y38="","",IF(posicao_contratual!$Y38&gt;1,"",posicao_contratual!I38)))</f>
        <v/>
      </c>
      <c r="P38" s="145" t="str">
        <f>IF(A38="","",IF(posicao_contratual!$Y38="","",IF(posicao_contratual!$Y38&gt;2,"",posicao_contratual!M38)))</f>
        <v/>
      </c>
      <c r="Q38" s="145" t="str">
        <f>IF(A38="","",IF(posicao_contratual!$Y38="","",IF(posicao_contratual!$Y38&gt;3,"",posicao_contratual!Q38)))</f>
        <v/>
      </c>
      <c r="R38" s="145" t="str">
        <f>IF(A38="","",IF(posicao_contratual!$Y38="","",IF(posicao_contratual!$Y38&gt;4,"",posicao_contratual!U38)))</f>
        <v/>
      </c>
      <c r="S38" s="165" t="str">
        <f>IF(A38="","",posicao_contratual!G38)</f>
        <v/>
      </c>
      <c r="T38" s="165" t="str">
        <f>IF(A38="","",posicao_contratual!K38)</f>
        <v/>
      </c>
      <c r="U38" s="165" t="str">
        <f>IF(A38="","",posicao_contratual!O38)</f>
        <v/>
      </c>
      <c r="V38" s="165" t="str">
        <f>IF(A38="","",posicao_contratual!S38)</f>
        <v/>
      </c>
      <c r="W38" s="165" t="str">
        <f>IF(A38="","",posicao_contratual!W38)</f>
        <v/>
      </c>
    </row>
    <row r="39" spans="1:23" x14ac:dyDescent="0.35">
      <c r="A39" s="86" t="str">
        <f>IF(itens_Remanesc!A39="","",itens_Remanesc!A39)</f>
        <v/>
      </c>
      <c r="B39" s="85" t="str">
        <f>IF(A39="","",IF(posicao_contratual!$Y39="","",IF(posicao_contratual!$Y39&gt;0,"",posicao_contratual!G39)))</f>
        <v/>
      </c>
      <c r="C39" s="79" t="str">
        <f>IF(itens_Remanesc!A39="","",IF(posicao_contratual!$Y39="","",IF(posicao_contratual!$Y39&gt;0,"",itens_Remanesc!C39)))</f>
        <v/>
      </c>
      <c r="D39" s="79" t="str">
        <f>IF(OR($A39="",posicao_contratual!$Y39=""),"",IF(posicao_contratual!$Y39&gt;1,"",IF(posicao_contratual!$Y39=1,IF(ISNUMBER(itens_Remanesc!C39),itens_Remanesc!C39,""),IF(OR(NOT(ISNUMBER(itens_Remanesc!C39)),NOT(ISNUMBER($L$3)),NOT(ISNUMBER(INDEX($L$2:$L$6,posicao_contratual!$Y39+1)))),"",ROUND(itens_Remanesc!C39*$L$3/INDEX($L$2:$L$6,posicao_contratual!$Y39+1),2)))))</f>
        <v/>
      </c>
      <c r="E39" s="79" t="str">
        <f>IF(OR($A39="",posicao_contratual!$Y39=""),"",IF(posicao_contratual!$Y39&gt;2,"",IF(posicao_contratual!$Y39=2,IF(ISNUMBER(itens_Remanesc!C39),itens_Remanesc!C39,""),IF(OR(NOT(ISNUMBER(itens_Remanesc!C39)),NOT(ISNUMBER($L$4)),NOT(ISNUMBER(INDEX($L$2:$L$6,posicao_contratual!$Y39+1)))),"",ROUND(itens_Remanesc!C39*$L$4/INDEX($L$2:$L$6,posicao_contratual!$Y39+1),2)))))</f>
        <v/>
      </c>
      <c r="F39" s="79" t="str">
        <f>IF(OR($A39="",posicao_contratual!$Y39=""),"",IF(posicao_contratual!$Y39&gt;3,"",IF(posicao_contratual!$Y39=3,IF(ISNUMBER(itens_Remanesc!C39),itens_Remanesc!C39,""),IF(OR(NOT(ISNUMBER(itens_Remanesc!C39)),NOT(ISNUMBER($L$5)),NOT(ISNUMBER(INDEX($L$2:$L$6,posicao_contratual!$Y39+1)))),"",ROUND(itens_Remanesc!C39*$L$5/INDEX($L$2:$L$6,posicao_contratual!$Y39+1),2)))))</f>
        <v/>
      </c>
      <c r="G39" s="79" t="str">
        <f>IF(OR($A39="",posicao_contratual!$Y39=""),"",IF(posicao_contratual!$Y39&gt;4,"",IF(posicao_contratual!$Y39=4,IF(ISNUMBER(itens_Remanesc!C39),itens_Remanesc!C39,""),IF(OR(NOT(ISNUMBER(itens_Remanesc!C39)),NOT(ISNUMBER($L$6)),NOT(ISNUMBER(INDEX($L$2:$L$6,posicao_contratual!$Y39+1)))),"",ROUND(itens_Remanesc!C39*$L$6/INDEX($L$2:$L$6,posicao_contratual!$Y39+1),2)))))</f>
        <v/>
      </c>
      <c r="H39" s="114" t="str">
        <f t="shared" si="1"/>
        <v/>
      </c>
      <c r="I39" s="14"/>
      <c r="J39" s="14"/>
      <c r="K39" s="14"/>
      <c r="L39" s="14"/>
      <c r="M39" s="14"/>
      <c r="N39" s="145" t="str">
        <f>IF(A39="","",IF(posicao_contratual!$Y39="","",IF(posicao_contratual!$Y39&gt;0,"",posicao_contratual!E39)))</f>
        <v/>
      </c>
      <c r="O39" s="145" t="str">
        <f>IF(A39="","",IF(posicao_contratual!$Y39="","",IF(posicao_contratual!$Y39&gt;1,"",posicao_contratual!I39)))</f>
        <v/>
      </c>
      <c r="P39" s="145" t="str">
        <f>IF(A39="","",IF(posicao_contratual!$Y39="","",IF(posicao_contratual!$Y39&gt;2,"",posicao_contratual!M39)))</f>
        <v/>
      </c>
      <c r="Q39" s="145" t="str">
        <f>IF(A39="","",IF(posicao_contratual!$Y39="","",IF(posicao_contratual!$Y39&gt;3,"",posicao_contratual!Q39)))</f>
        <v/>
      </c>
      <c r="R39" s="145" t="str">
        <f>IF(A39="","",IF(posicao_contratual!$Y39="","",IF(posicao_contratual!$Y39&gt;4,"",posicao_contratual!U39)))</f>
        <v/>
      </c>
      <c r="S39" s="165" t="str">
        <f>IF(A39="","",posicao_contratual!G39)</f>
        <v/>
      </c>
      <c r="T39" s="165" t="str">
        <f>IF(A39="","",posicao_contratual!K39)</f>
        <v/>
      </c>
      <c r="U39" s="165" t="str">
        <f>IF(A39="","",posicao_contratual!O39)</f>
        <v/>
      </c>
      <c r="V39" s="165" t="str">
        <f>IF(A39="","",posicao_contratual!S39)</f>
        <v/>
      </c>
      <c r="W39" s="165" t="str">
        <f>IF(A39="","",posicao_contratual!W39)</f>
        <v/>
      </c>
    </row>
    <row r="40" spans="1:23" x14ac:dyDescent="0.35">
      <c r="A40" s="86" t="str">
        <f>IF(itens_Remanesc!A40="","",itens_Remanesc!A40)</f>
        <v/>
      </c>
      <c r="B40" s="85" t="str">
        <f>IF(A40="","",IF(posicao_contratual!$Y40="","",IF(posicao_contratual!$Y40&gt;0,"",posicao_contratual!G40)))</f>
        <v/>
      </c>
      <c r="C40" s="79" t="str">
        <f>IF(itens_Remanesc!A40="","",IF(posicao_contratual!$Y40="","",IF(posicao_contratual!$Y40&gt;0,"",itens_Remanesc!C40)))</f>
        <v/>
      </c>
      <c r="D40" s="79" t="str">
        <f>IF(OR($A40="",posicao_contratual!$Y40=""),"",IF(posicao_contratual!$Y40&gt;1,"",IF(posicao_contratual!$Y40=1,IF(ISNUMBER(itens_Remanesc!C40),itens_Remanesc!C40,""),IF(OR(NOT(ISNUMBER(itens_Remanesc!C40)),NOT(ISNUMBER($L$3)),NOT(ISNUMBER(INDEX($L$2:$L$6,posicao_contratual!$Y40+1)))),"",ROUND(itens_Remanesc!C40*$L$3/INDEX($L$2:$L$6,posicao_contratual!$Y40+1),2)))))</f>
        <v/>
      </c>
      <c r="E40" s="79" t="str">
        <f>IF(OR($A40="",posicao_contratual!$Y40=""),"",IF(posicao_contratual!$Y40&gt;2,"",IF(posicao_contratual!$Y40=2,IF(ISNUMBER(itens_Remanesc!C40),itens_Remanesc!C40,""),IF(OR(NOT(ISNUMBER(itens_Remanesc!C40)),NOT(ISNUMBER($L$4)),NOT(ISNUMBER(INDEX($L$2:$L$6,posicao_contratual!$Y40+1)))),"",ROUND(itens_Remanesc!C40*$L$4/INDEX($L$2:$L$6,posicao_contratual!$Y40+1),2)))))</f>
        <v/>
      </c>
      <c r="F40" s="79" t="str">
        <f>IF(OR($A40="",posicao_contratual!$Y40=""),"",IF(posicao_contratual!$Y40&gt;3,"",IF(posicao_contratual!$Y40=3,IF(ISNUMBER(itens_Remanesc!C40),itens_Remanesc!C40,""),IF(OR(NOT(ISNUMBER(itens_Remanesc!C40)),NOT(ISNUMBER($L$5)),NOT(ISNUMBER(INDEX($L$2:$L$6,posicao_contratual!$Y40+1)))),"",ROUND(itens_Remanesc!C40*$L$5/INDEX($L$2:$L$6,posicao_contratual!$Y40+1),2)))))</f>
        <v/>
      </c>
      <c r="G40" s="79" t="str">
        <f>IF(OR($A40="",posicao_contratual!$Y40=""),"",IF(posicao_contratual!$Y40&gt;4,"",IF(posicao_contratual!$Y40=4,IF(ISNUMBER(itens_Remanesc!C40),itens_Remanesc!C40,""),IF(OR(NOT(ISNUMBER(itens_Remanesc!C40)),NOT(ISNUMBER($L$6)),NOT(ISNUMBER(INDEX($L$2:$L$6,posicao_contratual!$Y40+1)))),"",ROUND(itens_Remanesc!C40*$L$6/INDEX($L$2:$L$6,posicao_contratual!$Y40+1),2)))))</f>
        <v/>
      </c>
      <c r="H40" s="114" t="str">
        <f t="shared" si="1"/>
        <v/>
      </c>
      <c r="I40" s="14"/>
      <c r="J40" s="14"/>
      <c r="K40" s="14"/>
      <c r="L40" s="14"/>
      <c r="M40" s="14"/>
      <c r="N40" s="145" t="str">
        <f>IF(A40="","",IF(posicao_contratual!$Y40="","",IF(posicao_contratual!$Y40&gt;0,"",posicao_contratual!E40)))</f>
        <v/>
      </c>
      <c r="O40" s="145" t="str">
        <f>IF(A40="","",IF(posicao_contratual!$Y40="","",IF(posicao_contratual!$Y40&gt;1,"",posicao_contratual!I40)))</f>
        <v/>
      </c>
      <c r="P40" s="145" t="str">
        <f>IF(A40="","",IF(posicao_contratual!$Y40="","",IF(posicao_contratual!$Y40&gt;2,"",posicao_contratual!M40)))</f>
        <v/>
      </c>
      <c r="Q40" s="145" t="str">
        <f>IF(A40="","",IF(posicao_contratual!$Y40="","",IF(posicao_contratual!$Y40&gt;3,"",posicao_contratual!Q40)))</f>
        <v/>
      </c>
      <c r="R40" s="145" t="str">
        <f>IF(A40="","",IF(posicao_contratual!$Y40="","",IF(posicao_contratual!$Y40&gt;4,"",posicao_contratual!U40)))</f>
        <v/>
      </c>
      <c r="S40" s="165" t="str">
        <f>IF(A40="","",posicao_contratual!G40)</f>
        <v/>
      </c>
      <c r="T40" s="165" t="str">
        <f>IF(A40="","",posicao_contratual!K40)</f>
        <v/>
      </c>
      <c r="U40" s="165" t="str">
        <f>IF(A40="","",posicao_contratual!O40)</f>
        <v/>
      </c>
      <c r="V40" s="165" t="str">
        <f>IF(A40="","",posicao_contratual!S40)</f>
        <v/>
      </c>
      <c r="W40" s="165" t="str">
        <f>IF(A40="","",posicao_contratual!W40)</f>
        <v/>
      </c>
    </row>
    <row r="41" spans="1:23" x14ac:dyDescent="0.35">
      <c r="A41" s="86" t="str">
        <f>IF(itens_Remanesc!A41="","",itens_Remanesc!A41)</f>
        <v/>
      </c>
      <c r="B41" s="85" t="str">
        <f>IF(A41="","",IF(posicao_contratual!$Y41="","",IF(posicao_contratual!$Y41&gt;0,"",posicao_contratual!G41)))</f>
        <v/>
      </c>
      <c r="C41" s="79" t="str">
        <f>IF(itens_Remanesc!A41="","",IF(posicao_contratual!$Y41="","",IF(posicao_contratual!$Y41&gt;0,"",itens_Remanesc!C41)))</f>
        <v/>
      </c>
      <c r="D41" s="79" t="str">
        <f>IF(OR($A41="",posicao_contratual!$Y41=""),"",IF(posicao_contratual!$Y41&gt;1,"",IF(posicao_contratual!$Y41=1,IF(ISNUMBER(itens_Remanesc!C41),itens_Remanesc!C41,""),IF(OR(NOT(ISNUMBER(itens_Remanesc!C41)),NOT(ISNUMBER($L$3)),NOT(ISNUMBER(INDEX($L$2:$L$6,posicao_contratual!$Y41+1)))),"",ROUND(itens_Remanesc!C41*$L$3/INDEX($L$2:$L$6,posicao_contratual!$Y41+1),2)))))</f>
        <v/>
      </c>
      <c r="E41" s="79" t="str">
        <f>IF(OR($A41="",posicao_contratual!$Y41=""),"",IF(posicao_contratual!$Y41&gt;2,"",IF(posicao_contratual!$Y41=2,IF(ISNUMBER(itens_Remanesc!C41),itens_Remanesc!C41,""),IF(OR(NOT(ISNUMBER(itens_Remanesc!C41)),NOT(ISNUMBER($L$4)),NOT(ISNUMBER(INDEX($L$2:$L$6,posicao_contratual!$Y41+1)))),"",ROUND(itens_Remanesc!C41*$L$4/INDEX($L$2:$L$6,posicao_contratual!$Y41+1),2)))))</f>
        <v/>
      </c>
      <c r="F41" s="79" t="str">
        <f>IF(OR($A41="",posicao_contratual!$Y41=""),"",IF(posicao_contratual!$Y41&gt;3,"",IF(posicao_contratual!$Y41=3,IF(ISNUMBER(itens_Remanesc!C41),itens_Remanesc!C41,""),IF(OR(NOT(ISNUMBER(itens_Remanesc!C41)),NOT(ISNUMBER($L$5)),NOT(ISNUMBER(INDEX($L$2:$L$6,posicao_contratual!$Y41+1)))),"",ROUND(itens_Remanesc!C41*$L$5/INDEX($L$2:$L$6,posicao_contratual!$Y41+1),2)))))</f>
        <v/>
      </c>
      <c r="G41" s="79" t="str">
        <f>IF(OR($A41="",posicao_contratual!$Y41=""),"",IF(posicao_contratual!$Y41&gt;4,"",IF(posicao_contratual!$Y41=4,IF(ISNUMBER(itens_Remanesc!C41),itens_Remanesc!C41,""),IF(OR(NOT(ISNUMBER(itens_Remanesc!C41)),NOT(ISNUMBER($L$6)),NOT(ISNUMBER(INDEX($L$2:$L$6,posicao_contratual!$Y41+1)))),"",ROUND(itens_Remanesc!C41*$L$6/INDEX($L$2:$L$6,posicao_contratual!$Y41+1),2)))))</f>
        <v/>
      </c>
      <c r="H41" s="114" t="str">
        <f t="shared" si="1"/>
        <v/>
      </c>
      <c r="I41" s="14"/>
      <c r="J41" s="14"/>
      <c r="K41" s="14"/>
      <c r="L41" s="14"/>
      <c r="M41" s="14"/>
      <c r="N41" s="145" t="str">
        <f>IF(A41="","",IF(posicao_contratual!$Y41="","",IF(posicao_contratual!$Y41&gt;0,"",posicao_contratual!E41)))</f>
        <v/>
      </c>
      <c r="O41" s="145" t="str">
        <f>IF(A41="","",IF(posicao_contratual!$Y41="","",IF(posicao_contratual!$Y41&gt;1,"",posicao_contratual!I41)))</f>
        <v/>
      </c>
      <c r="P41" s="145" t="str">
        <f>IF(A41="","",IF(posicao_contratual!$Y41="","",IF(posicao_contratual!$Y41&gt;2,"",posicao_contratual!M41)))</f>
        <v/>
      </c>
      <c r="Q41" s="145" t="str">
        <f>IF(A41="","",IF(posicao_contratual!$Y41="","",IF(posicao_contratual!$Y41&gt;3,"",posicao_contratual!Q41)))</f>
        <v/>
      </c>
      <c r="R41" s="145" t="str">
        <f>IF(A41="","",IF(posicao_contratual!$Y41="","",IF(posicao_contratual!$Y41&gt;4,"",posicao_contratual!U41)))</f>
        <v/>
      </c>
      <c r="S41" s="165" t="str">
        <f>IF(A41="","",posicao_contratual!G41)</f>
        <v/>
      </c>
      <c r="T41" s="165" t="str">
        <f>IF(A41="","",posicao_contratual!K41)</f>
        <v/>
      </c>
      <c r="U41" s="165" t="str">
        <f>IF(A41="","",posicao_contratual!O41)</f>
        <v/>
      </c>
      <c r="V41" s="165" t="str">
        <f>IF(A41="","",posicao_contratual!S41)</f>
        <v/>
      </c>
      <c r="W41" s="165" t="str">
        <f>IF(A41="","",posicao_contratual!W41)</f>
        <v/>
      </c>
    </row>
    <row r="42" spans="1:23" x14ac:dyDescent="0.35">
      <c r="A42" s="86" t="str">
        <f>IF(itens_Remanesc!A42="","",itens_Remanesc!A42)</f>
        <v/>
      </c>
      <c r="B42" s="85" t="str">
        <f>IF(A42="","",IF(posicao_contratual!$Y42="","",IF(posicao_contratual!$Y42&gt;0,"",posicao_contratual!G42)))</f>
        <v/>
      </c>
      <c r="C42" s="79" t="str">
        <f>IF(itens_Remanesc!A42="","",IF(posicao_contratual!$Y42="","",IF(posicao_contratual!$Y42&gt;0,"",itens_Remanesc!C42)))</f>
        <v/>
      </c>
      <c r="D42" s="79" t="str">
        <f>IF(OR($A42="",posicao_contratual!$Y42=""),"",IF(posicao_contratual!$Y42&gt;1,"",IF(posicao_contratual!$Y42=1,IF(ISNUMBER(itens_Remanesc!C42),itens_Remanesc!C42,""),IF(OR(NOT(ISNUMBER(itens_Remanesc!C42)),NOT(ISNUMBER($L$3)),NOT(ISNUMBER(INDEX($L$2:$L$6,posicao_contratual!$Y42+1)))),"",ROUND(itens_Remanesc!C42*$L$3/INDEX($L$2:$L$6,posicao_contratual!$Y42+1),2)))))</f>
        <v/>
      </c>
      <c r="E42" s="79" t="str">
        <f>IF(OR($A42="",posicao_contratual!$Y42=""),"",IF(posicao_contratual!$Y42&gt;2,"",IF(posicao_contratual!$Y42=2,IF(ISNUMBER(itens_Remanesc!C42),itens_Remanesc!C42,""),IF(OR(NOT(ISNUMBER(itens_Remanesc!C42)),NOT(ISNUMBER($L$4)),NOT(ISNUMBER(INDEX($L$2:$L$6,posicao_contratual!$Y42+1)))),"",ROUND(itens_Remanesc!C42*$L$4/INDEX($L$2:$L$6,posicao_contratual!$Y42+1),2)))))</f>
        <v/>
      </c>
      <c r="F42" s="79" t="str">
        <f>IF(OR($A42="",posicao_contratual!$Y42=""),"",IF(posicao_contratual!$Y42&gt;3,"",IF(posicao_contratual!$Y42=3,IF(ISNUMBER(itens_Remanesc!C42),itens_Remanesc!C42,""),IF(OR(NOT(ISNUMBER(itens_Remanesc!C42)),NOT(ISNUMBER($L$5)),NOT(ISNUMBER(INDEX($L$2:$L$6,posicao_contratual!$Y42+1)))),"",ROUND(itens_Remanesc!C42*$L$5/INDEX($L$2:$L$6,posicao_contratual!$Y42+1),2)))))</f>
        <v/>
      </c>
      <c r="G42" s="79" t="str">
        <f>IF(OR($A42="",posicao_contratual!$Y42=""),"",IF(posicao_contratual!$Y42&gt;4,"",IF(posicao_contratual!$Y42=4,IF(ISNUMBER(itens_Remanesc!C42),itens_Remanesc!C42,""),IF(OR(NOT(ISNUMBER(itens_Remanesc!C42)),NOT(ISNUMBER($L$6)),NOT(ISNUMBER(INDEX($L$2:$L$6,posicao_contratual!$Y42+1)))),"",ROUND(itens_Remanesc!C42*$L$6/INDEX($L$2:$L$6,posicao_contratual!$Y42+1),2)))))</f>
        <v/>
      </c>
      <c r="H42" s="114" t="str">
        <f t="shared" si="1"/>
        <v/>
      </c>
      <c r="I42" s="14"/>
      <c r="J42" s="14"/>
      <c r="K42" s="14"/>
      <c r="L42" s="14"/>
      <c r="M42" s="14"/>
      <c r="N42" s="145" t="str">
        <f>IF(A42="","",IF(posicao_contratual!$Y42="","",IF(posicao_contratual!$Y42&gt;0,"",posicao_contratual!E42)))</f>
        <v/>
      </c>
      <c r="O42" s="145" t="str">
        <f>IF(A42="","",IF(posicao_contratual!$Y42="","",IF(posicao_contratual!$Y42&gt;1,"",posicao_contratual!I42)))</f>
        <v/>
      </c>
      <c r="P42" s="145" t="str">
        <f>IF(A42="","",IF(posicao_contratual!$Y42="","",IF(posicao_contratual!$Y42&gt;2,"",posicao_contratual!M42)))</f>
        <v/>
      </c>
      <c r="Q42" s="145" t="str">
        <f>IF(A42="","",IF(posicao_contratual!$Y42="","",IF(posicao_contratual!$Y42&gt;3,"",posicao_contratual!Q42)))</f>
        <v/>
      </c>
      <c r="R42" s="145" t="str">
        <f>IF(A42="","",IF(posicao_contratual!$Y42="","",IF(posicao_contratual!$Y42&gt;4,"",posicao_contratual!U42)))</f>
        <v/>
      </c>
      <c r="S42" s="165" t="str">
        <f>IF(A42="","",posicao_contratual!G42)</f>
        <v/>
      </c>
      <c r="T42" s="165" t="str">
        <f>IF(A42="","",posicao_contratual!K42)</f>
        <v/>
      </c>
      <c r="U42" s="165" t="str">
        <f>IF(A42="","",posicao_contratual!O42)</f>
        <v/>
      </c>
      <c r="V42" s="165" t="str">
        <f>IF(A42="","",posicao_contratual!S42)</f>
        <v/>
      </c>
      <c r="W42" s="165" t="str">
        <f>IF(A42="","",posicao_contratual!W42)</f>
        <v/>
      </c>
    </row>
    <row r="43" spans="1:23" x14ac:dyDescent="0.35">
      <c r="A43" s="86" t="str">
        <f>IF(itens_Remanesc!A43="","",itens_Remanesc!A43)</f>
        <v/>
      </c>
      <c r="B43" s="85" t="str">
        <f>IF(A43="","",IF(posicao_contratual!$Y43="","",IF(posicao_contratual!$Y43&gt;0,"",posicao_contratual!G43)))</f>
        <v/>
      </c>
      <c r="C43" s="79" t="str">
        <f>IF(itens_Remanesc!A43="","",IF(posicao_contratual!$Y43="","",IF(posicao_contratual!$Y43&gt;0,"",itens_Remanesc!C43)))</f>
        <v/>
      </c>
      <c r="D43" s="79" t="str">
        <f>IF(OR($A43="",posicao_contratual!$Y43=""),"",IF(posicao_contratual!$Y43&gt;1,"",IF(posicao_contratual!$Y43=1,IF(ISNUMBER(itens_Remanesc!C43),itens_Remanesc!C43,""),IF(OR(NOT(ISNUMBER(itens_Remanesc!C43)),NOT(ISNUMBER($L$3)),NOT(ISNUMBER(INDEX($L$2:$L$6,posicao_contratual!$Y43+1)))),"",ROUND(itens_Remanesc!C43*$L$3/INDEX($L$2:$L$6,posicao_contratual!$Y43+1),2)))))</f>
        <v/>
      </c>
      <c r="E43" s="79" t="str">
        <f>IF(OR($A43="",posicao_contratual!$Y43=""),"",IF(posicao_contratual!$Y43&gt;2,"",IF(posicao_contratual!$Y43=2,IF(ISNUMBER(itens_Remanesc!C43),itens_Remanesc!C43,""),IF(OR(NOT(ISNUMBER(itens_Remanesc!C43)),NOT(ISNUMBER($L$4)),NOT(ISNUMBER(INDEX($L$2:$L$6,posicao_contratual!$Y43+1)))),"",ROUND(itens_Remanesc!C43*$L$4/INDEX($L$2:$L$6,posicao_contratual!$Y43+1),2)))))</f>
        <v/>
      </c>
      <c r="F43" s="79" t="str">
        <f>IF(OR($A43="",posicao_contratual!$Y43=""),"",IF(posicao_contratual!$Y43&gt;3,"",IF(posicao_contratual!$Y43=3,IF(ISNUMBER(itens_Remanesc!C43),itens_Remanesc!C43,""),IF(OR(NOT(ISNUMBER(itens_Remanesc!C43)),NOT(ISNUMBER($L$5)),NOT(ISNUMBER(INDEX($L$2:$L$6,posicao_contratual!$Y43+1)))),"",ROUND(itens_Remanesc!C43*$L$5/INDEX($L$2:$L$6,posicao_contratual!$Y43+1),2)))))</f>
        <v/>
      </c>
      <c r="G43" s="79" t="str">
        <f>IF(OR($A43="",posicao_contratual!$Y43=""),"",IF(posicao_contratual!$Y43&gt;4,"",IF(posicao_contratual!$Y43=4,IF(ISNUMBER(itens_Remanesc!C43),itens_Remanesc!C43,""),IF(OR(NOT(ISNUMBER(itens_Remanesc!C43)),NOT(ISNUMBER($L$6)),NOT(ISNUMBER(INDEX($L$2:$L$6,posicao_contratual!$Y43+1)))),"",ROUND(itens_Remanesc!C43*$L$6/INDEX($L$2:$L$6,posicao_contratual!$Y43+1),2)))))</f>
        <v/>
      </c>
      <c r="H43" s="114" t="str">
        <f t="shared" si="1"/>
        <v/>
      </c>
      <c r="I43" s="14"/>
      <c r="J43" s="14"/>
      <c r="K43" s="14"/>
      <c r="L43" s="14"/>
      <c r="M43" s="14"/>
      <c r="N43" s="145" t="str">
        <f>IF(A43="","",IF(posicao_contratual!$Y43="","",IF(posicao_contratual!$Y43&gt;0,"",posicao_contratual!E43)))</f>
        <v/>
      </c>
      <c r="O43" s="145" t="str">
        <f>IF(A43="","",IF(posicao_contratual!$Y43="","",IF(posicao_contratual!$Y43&gt;1,"",posicao_contratual!I43)))</f>
        <v/>
      </c>
      <c r="P43" s="145" t="str">
        <f>IF(A43="","",IF(posicao_contratual!$Y43="","",IF(posicao_contratual!$Y43&gt;2,"",posicao_contratual!M43)))</f>
        <v/>
      </c>
      <c r="Q43" s="145" t="str">
        <f>IF(A43="","",IF(posicao_contratual!$Y43="","",IF(posicao_contratual!$Y43&gt;3,"",posicao_contratual!Q43)))</f>
        <v/>
      </c>
      <c r="R43" s="145" t="str">
        <f>IF(A43="","",IF(posicao_contratual!$Y43="","",IF(posicao_contratual!$Y43&gt;4,"",posicao_contratual!U43)))</f>
        <v/>
      </c>
      <c r="S43" s="165" t="str">
        <f>IF(A43="","",posicao_contratual!G43)</f>
        <v/>
      </c>
      <c r="T43" s="165" t="str">
        <f>IF(A43="","",posicao_contratual!K43)</f>
        <v/>
      </c>
      <c r="U43" s="165" t="str">
        <f>IF(A43="","",posicao_contratual!O43)</f>
        <v/>
      </c>
      <c r="V43" s="165" t="str">
        <f>IF(A43="","",posicao_contratual!S43)</f>
        <v/>
      </c>
      <c r="W43" s="165" t="str">
        <f>IF(A43="","",posicao_contratual!W43)</f>
        <v/>
      </c>
    </row>
    <row r="44" spans="1:23" x14ac:dyDescent="0.35">
      <c r="A44" s="86" t="str">
        <f>IF(itens_Remanesc!A44="","",itens_Remanesc!A44)</f>
        <v/>
      </c>
      <c r="B44" s="85" t="str">
        <f>IF(A44="","",IF(posicao_contratual!$Y44="","",IF(posicao_contratual!$Y44&gt;0,"",posicao_contratual!G44)))</f>
        <v/>
      </c>
      <c r="C44" s="79" t="str">
        <f>IF(itens_Remanesc!A44="","",IF(posicao_contratual!$Y44="","",IF(posicao_contratual!$Y44&gt;0,"",itens_Remanesc!C44)))</f>
        <v/>
      </c>
      <c r="D44" s="79" t="str">
        <f>IF(OR($A44="",posicao_contratual!$Y44=""),"",IF(posicao_contratual!$Y44&gt;1,"",IF(posicao_contratual!$Y44=1,IF(ISNUMBER(itens_Remanesc!C44),itens_Remanesc!C44,""),IF(OR(NOT(ISNUMBER(itens_Remanesc!C44)),NOT(ISNUMBER($L$3)),NOT(ISNUMBER(INDEX($L$2:$L$6,posicao_contratual!$Y44+1)))),"",ROUND(itens_Remanesc!C44*$L$3/INDEX($L$2:$L$6,posicao_contratual!$Y44+1),2)))))</f>
        <v/>
      </c>
      <c r="E44" s="79" t="str">
        <f>IF(OR($A44="",posicao_contratual!$Y44=""),"",IF(posicao_contratual!$Y44&gt;2,"",IF(posicao_contratual!$Y44=2,IF(ISNUMBER(itens_Remanesc!C44),itens_Remanesc!C44,""),IF(OR(NOT(ISNUMBER(itens_Remanesc!C44)),NOT(ISNUMBER($L$4)),NOT(ISNUMBER(INDEX($L$2:$L$6,posicao_contratual!$Y44+1)))),"",ROUND(itens_Remanesc!C44*$L$4/INDEX($L$2:$L$6,posicao_contratual!$Y44+1),2)))))</f>
        <v/>
      </c>
      <c r="F44" s="79" t="str">
        <f>IF(OR($A44="",posicao_contratual!$Y44=""),"",IF(posicao_contratual!$Y44&gt;3,"",IF(posicao_contratual!$Y44=3,IF(ISNUMBER(itens_Remanesc!C44),itens_Remanesc!C44,""),IF(OR(NOT(ISNUMBER(itens_Remanesc!C44)),NOT(ISNUMBER($L$5)),NOT(ISNUMBER(INDEX($L$2:$L$6,posicao_contratual!$Y44+1)))),"",ROUND(itens_Remanesc!C44*$L$5/INDEX($L$2:$L$6,posicao_contratual!$Y44+1),2)))))</f>
        <v/>
      </c>
      <c r="G44" s="79" t="str">
        <f>IF(OR($A44="",posicao_contratual!$Y44=""),"",IF(posicao_contratual!$Y44&gt;4,"",IF(posicao_contratual!$Y44=4,IF(ISNUMBER(itens_Remanesc!C44),itens_Remanesc!C44,""),IF(OR(NOT(ISNUMBER(itens_Remanesc!C44)),NOT(ISNUMBER($L$6)),NOT(ISNUMBER(INDEX($L$2:$L$6,posicao_contratual!$Y44+1)))),"",ROUND(itens_Remanesc!C44*$L$6/INDEX($L$2:$L$6,posicao_contratual!$Y44+1),2)))))</f>
        <v/>
      </c>
      <c r="H44" s="114" t="str">
        <f t="shared" si="1"/>
        <v/>
      </c>
      <c r="I44" s="14"/>
      <c r="J44" s="14"/>
      <c r="K44" s="14"/>
      <c r="L44" s="14"/>
      <c r="M44" s="14"/>
      <c r="N44" s="145" t="str">
        <f>IF(A44="","",IF(posicao_contratual!$Y44="","",IF(posicao_contratual!$Y44&gt;0,"",posicao_contratual!E44)))</f>
        <v/>
      </c>
      <c r="O44" s="145" t="str">
        <f>IF(A44="","",IF(posicao_contratual!$Y44="","",IF(posicao_contratual!$Y44&gt;1,"",posicao_contratual!I44)))</f>
        <v/>
      </c>
      <c r="P44" s="145" t="str">
        <f>IF(A44="","",IF(posicao_contratual!$Y44="","",IF(posicao_contratual!$Y44&gt;2,"",posicao_contratual!M44)))</f>
        <v/>
      </c>
      <c r="Q44" s="145" t="str">
        <f>IF(A44="","",IF(posicao_contratual!$Y44="","",IF(posicao_contratual!$Y44&gt;3,"",posicao_contratual!Q44)))</f>
        <v/>
      </c>
      <c r="R44" s="145" t="str">
        <f>IF(A44="","",IF(posicao_contratual!$Y44="","",IF(posicao_contratual!$Y44&gt;4,"",posicao_contratual!U44)))</f>
        <v/>
      </c>
      <c r="S44" s="165" t="str">
        <f>IF(A44="","",posicao_contratual!G44)</f>
        <v/>
      </c>
      <c r="T44" s="165" t="str">
        <f>IF(A44="","",posicao_contratual!K44)</f>
        <v/>
      </c>
      <c r="U44" s="165" t="str">
        <f>IF(A44="","",posicao_contratual!O44)</f>
        <v/>
      </c>
      <c r="V44" s="165" t="str">
        <f>IF(A44="","",posicao_contratual!S44)</f>
        <v/>
      </c>
      <c r="W44" s="165" t="str">
        <f>IF(A44="","",posicao_contratual!W44)</f>
        <v/>
      </c>
    </row>
    <row r="45" spans="1:23" x14ac:dyDescent="0.35">
      <c r="A45" s="86" t="str">
        <f>IF(itens_Remanesc!A45="","",itens_Remanesc!A45)</f>
        <v/>
      </c>
      <c r="B45" s="85" t="str">
        <f>IF(A45="","",IF(posicao_contratual!$Y45="","",IF(posicao_contratual!$Y45&gt;0,"",posicao_contratual!G45)))</f>
        <v/>
      </c>
      <c r="C45" s="79" t="str">
        <f>IF(itens_Remanesc!A45="","",IF(posicao_contratual!$Y45="","",IF(posicao_contratual!$Y45&gt;0,"",itens_Remanesc!C45)))</f>
        <v/>
      </c>
      <c r="D45" s="79" t="str">
        <f>IF(OR($A45="",posicao_contratual!$Y45=""),"",IF(posicao_contratual!$Y45&gt;1,"",IF(posicao_contratual!$Y45=1,IF(ISNUMBER(itens_Remanesc!C45),itens_Remanesc!C45,""),IF(OR(NOT(ISNUMBER(itens_Remanesc!C45)),NOT(ISNUMBER($L$3)),NOT(ISNUMBER(INDEX($L$2:$L$6,posicao_contratual!$Y45+1)))),"",ROUND(itens_Remanesc!C45*$L$3/INDEX($L$2:$L$6,posicao_contratual!$Y45+1),2)))))</f>
        <v/>
      </c>
      <c r="E45" s="79" t="str">
        <f>IF(OR($A45="",posicao_contratual!$Y45=""),"",IF(posicao_contratual!$Y45&gt;2,"",IF(posicao_contratual!$Y45=2,IF(ISNUMBER(itens_Remanesc!C45),itens_Remanesc!C45,""),IF(OR(NOT(ISNUMBER(itens_Remanesc!C45)),NOT(ISNUMBER($L$4)),NOT(ISNUMBER(INDEX($L$2:$L$6,posicao_contratual!$Y45+1)))),"",ROUND(itens_Remanesc!C45*$L$4/INDEX($L$2:$L$6,posicao_contratual!$Y45+1),2)))))</f>
        <v/>
      </c>
      <c r="F45" s="79" t="str">
        <f>IF(OR($A45="",posicao_contratual!$Y45=""),"",IF(posicao_contratual!$Y45&gt;3,"",IF(posicao_contratual!$Y45=3,IF(ISNUMBER(itens_Remanesc!C45),itens_Remanesc!C45,""),IF(OR(NOT(ISNUMBER(itens_Remanesc!C45)),NOT(ISNUMBER($L$5)),NOT(ISNUMBER(INDEX($L$2:$L$6,posicao_contratual!$Y45+1)))),"",ROUND(itens_Remanesc!C45*$L$5/INDEX($L$2:$L$6,posicao_contratual!$Y45+1),2)))))</f>
        <v/>
      </c>
      <c r="G45" s="79" t="str">
        <f>IF(OR($A45="",posicao_contratual!$Y45=""),"",IF(posicao_contratual!$Y45&gt;4,"",IF(posicao_contratual!$Y45=4,IF(ISNUMBER(itens_Remanesc!C45),itens_Remanesc!C45,""),IF(OR(NOT(ISNUMBER(itens_Remanesc!C45)),NOT(ISNUMBER($L$6)),NOT(ISNUMBER(INDEX($L$2:$L$6,posicao_contratual!$Y45+1)))),"",ROUND(itens_Remanesc!C45*$L$6/INDEX($L$2:$L$6,posicao_contratual!$Y45+1),2)))))</f>
        <v/>
      </c>
      <c r="H45" s="114" t="str">
        <f t="shared" si="1"/>
        <v/>
      </c>
      <c r="I45" s="14"/>
      <c r="J45" s="14"/>
      <c r="K45" s="14"/>
      <c r="L45" s="14"/>
      <c r="M45" s="14"/>
      <c r="N45" s="145" t="str">
        <f>IF(A45="","",IF(posicao_contratual!$Y45="","",IF(posicao_contratual!$Y45&gt;0,"",posicao_contratual!E45)))</f>
        <v/>
      </c>
      <c r="O45" s="145" t="str">
        <f>IF(A45="","",IF(posicao_contratual!$Y45="","",IF(posicao_contratual!$Y45&gt;1,"",posicao_contratual!I45)))</f>
        <v/>
      </c>
      <c r="P45" s="145" t="str">
        <f>IF(A45="","",IF(posicao_contratual!$Y45="","",IF(posicao_contratual!$Y45&gt;2,"",posicao_contratual!M45)))</f>
        <v/>
      </c>
      <c r="Q45" s="145" t="str">
        <f>IF(A45="","",IF(posicao_contratual!$Y45="","",IF(posicao_contratual!$Y45&gt;3,"",posicao_contratual!Q45)))</f>
        <v/>
      </c>
      <c r="R45" s="145" t="str">
        <f>IF(A45="","",IF(posicao_contratual!$Y45="","",IF(posicao_contratual!$Y45&gt;4,"",posicao_contratual!U45)))</f>
        <v/>
      </c>
      <c r="S45" s="165" t="str">
        <f>IF(A45="","",posicao_contratual!G45)</f>
        <v/>
      </c>
      <c r="T45" s="165" t="str">
        <f>IF(A45="","",posicao_contratual!K45)</f>
        <v/>
      </c>
      <c r="U45" s="165" t="str">
        <f>IF(A45="","",posicao_contratual!O45)</f>
        <v/>
      </c>
      <c r="V45" s="165" t="str">
        <f>IF(A45="","",posicao_contratual!S45)</f>
        <v/>
      </c>
      <c r="W45" s="165" t="str">
        <f>IF(A45="","",posicao_contratual!W45)</f>
        <v/>
      </c>
    </row>
    <row r="46" spans="1:23" x14ac:dyDescent="0.35">
      <c r="A46" s="86" t="str">
        <f>IF(itens_Remanesc!A46="","",itens_Remanesc!A46)</f>
        <v/>
      </c>
      <c r="B46" s="85" t="str">
        <f>IF(A46="","",IF(posicao_contratual!$Y46="","",IF(posicao_contratual!$Y46&gt;0,"",posicao_contratual!G46)))</f>
        <v/>
      </c>
      <c r="C46" s="79" t="str">
        <f>IF(itens_Remanesc!A46="","",IF(posicao_contratual!$Y46="","",IF(posicao_contratual!$Y46&gt;0,"",itens_Remanesc!C46)))</f>
        <v/>
      </c>
      <c r="D46" s="79" t="str">
        <f>IF(OR($A46="",posicao_contratual!$Y46=""),"",IF(posicao_contratual!$Y46&gt;1,"",IF(posicao_contratual!$Y46=1,IF(ISNUMBER(itens_Remanesc!C46),itens_Remanesc!C46,""),IF(OR(NOT(ISNUMBER(itens_Remanesc!C46)),NOT(ISNUMBER($L$3)),NOT(ISNUMBER(INDEX($L$2:$L$6,posicao_contratual!$Y46+1)))),"",ROUND(itens_Remanesc!C46*$L$3/INDEX($L$2:$L$6,posicao_contratual!$Y46+1),2)))))</f>
        <v/>
      </c>
      <c r="E46" s="79" t="str">
        <f>IF(OR($A46="",posicao_contratual!$Y46=""),"",IF(posicao_contratual!$Y46&gt;2,"",IF(posicao_contratual!$Y46=2,IF(ISNUMBER(itens_Remanesc!C46),itens_Remanesc!C46,""),IF(OR(NOT(ISNUMBER(itens_Remanesc!C46)),NOT(ISNUMBER($L$4)),NOT(ISNUMBER(INDEX($L$2:$L$6,posicao_contratual!$Y46+1)))),"",ROUND(itens_Remanesc!C46*$L$4/INDEX($L$2:$L$6,posicao_contratual!$Y46+1),2)))))</f>
        <v/>
      </c>
      <c r="F46" s="79" t="str">
        <f>IF(OR($A46="",posicao_contratual!$Y46=""),"",IF(posicao_contratual!$Y46&gt;3,"",IF(posicao_contratual!$Y46=3,IF(ISNUMBER(itens_Remanesc!C46),itens_Remanesc!C46,""),IF(OR(NOT(ISNUMBER(itens_Remanesc!C46)),NOT(ISNUMBER($L$5)),NOT(ISNUMBER(INDEX($L$2:$L$6,posicao_contratual!$Y46+1)))),"",ROUND(itens_Remanesc!C46*$L$5/INDEX($L$2:$L$6,posicao_contratual!$Y46+1),2)))))</f>
        <v/>
      </c>
      <c r="G46" s="79" t="str">
        <f>IF(OR($A46="",posicao_contratual!$Y46=""),"",IF(posicao_contratual!$Y46&gt;4,"",IF(posicao_contratual!$Y46=4,IF(ISNUMBER(itens_Remanesc!C46),itens_Remanesc!C46,""),IF(OR(NOT(ISNUMBER(itens_Remanesc!C46)),NOT(ISNUMBER($L$6)),NOT(ISNUMBER(INDEX($L$2:$L$6,posicao_contratual!$Y46+1)))),"",ROUND(itens_Remanesc!C46*$L$6/INDEX($L$2:$L$6,posicao_contratual!$Y46+1),2)))))</f>
        <v/>
      </c>
      <c r="H46" s="114" t="str">
        <f t="shared" si="1"/>
        <v/>
      </c>
      <c r="I46" s="14"/>
      <c r="J46" s="14"/>
      <c r="K46" s="14"/>
      <c r="L46" s="14"/>
      <c r="M46" s="14"/>
      <c r="N46" s="145" t="str">
        <f>IF(A46="","",IF(posicao_contratual!$Y46="","",IF(posicao_contratual!$Y46&gt;0,"",posicao_contratual!E46)))</f>
        <v/>
      </c>
      <c r="O46" s="145" t="str">
        <f>IF(A46="","",IF(posicao_contratual!$Y46="","",IF(posicao_contratual!$Y46&gt;1,"",posicao_contratual!I46)))</f>
        <v/>
      </c>
      <c r="P46" s="145" t="str">
        <f>IF(A46="","",IF(posicao_contratual!$Y46="","",IF(posicao_contratual!$Y46&gt;2,"",posicao_contratual!M46)))</f>
        <v/>
      </c>
      <c r="Q46" s="145" t="str">
        <f>IF(A46="","",IF(posicao_contratual!$Y46="","",IF(posicao_contratual!$Y46&gt;3,"",posicao_contratual!Q46)))</f>
        <v/>
      </c>
      <c r="R46" s="145" t="str">
        <f>IF(A46="","",IF(posicao_contratual!$Y46="","",IF(posicao_contratual!$Y46&gt;4,"",posicao_contratual!U46)))</f>
        <v/>
      </c>
      <c r="S46" s="165" t="str">
        <f>IF(A46="","",posicao_contratual!G46)</f>
        <v/>
      </c>
      <c r="T46" s="165" t="str">
        <f>IF(A46="","",posicao_contratual!K46)</f>
        <v/>
      </c>
      <c r="U46" s="165" t="str">
        <f>IF(A46="","",posicao_contratual!O46)</f>
        <v/>
      </c>
      <c r="V46" s="165" t="str">
        <f>IF(A46="","",posicao_contratual!S46)</f>
        <v/>
      </c>
      <c r="W46" s="165" t="str">
        <f>IF(A46="","",posicao_contratual!W46)</f>
        <v/>
      </c>
    </row>
    <row r="47" spans="1:23" x14ac:dyDescent="0.35">
      <c r="A47" s="86" t="str">
        <f>IF(itens_Remanesc!A47="","",itens_Remanesc!A47)</f>
        <v/>
      </c>
      <c r="B47" s="85" t="str">
        <f>IF(A47="","",IF(posicao_contratual!$Y47="","",IF(posicao_contratual!$Y47&gt;0,"",posicao_contratual!G47)))</f>
        <v/>
      </c>
      <c r="C47" s="79" t="str">
        <f>IF(itens_Remanesc!A47="","",IF(posicao_contratual!$Y47="","",IF(posicao_contratual!$Y47&gt;0,"",itens_Remanesc!C47)))</f>
        <v/>
      </c>
      <c r="D47" s="79" t="str">
        <f>IF(OR($A47="",posicao_contratual!$Y47=""),"",IF(posicao_contratual!$Y47&gt;1,"",IF(posicao_contratual!$Y47=1,IF(ISNUMBER(itens_Remanesc!C47),itens_Remanesc!C47,""),IF(OR(NOT(ISNUMBER(itens_Remanesc!C47)),NOT(ISNUMBER($L$3)),NOT(ISNUMBER(INDEX($L$2:$L$6,posicao_contratual!$Y47+1)))),"",ROUND(itens_Remanesc!C47*$L$3/INDEX($L$2:$L$6,posicao_contratual!$Y47+1),2)))))</f>
        <v/>
      </c>
      <c r="E47" s="79" t="str">
        <f>IF(OR($A47="",posicao_contratual!$Y47=""),"",IF(posicao_contratual!$Y47&gt;2,"",IF(posicao_contratual!$Y47=2,IF(ISNUMBER(itens_Remanesc!C47),itens_Remanesc!C47,""),IF(OR(NOT(ISNUMBER(itens_Remanesc!C47)),NOT(ISNUMBER($L$4)),NOT(ISNUMBER(INDEX($L$2:$L$6,posicao_contratual!$Y47+1)))),"",ROUND(itens_Remanesc!C47*$L$4/INDEX($L$2:$L$6,posicao_contratual!$Y47+1),2)))))</f>
        <v/>
      </c>
      <c r="F47" s="79" t="str">
        <f>IF(OR($A47="",posicao_contratual!$Y47=""),"",IF(posicao_contratual!$Y47&gt;3,"",IF(posicao_contratual!$Y47=3,IF(ISNUMBER(itens_Remanesc!C47),itens_Remanesc!C47,""),IF(OR(NOT(ISNUMBER(itens_Remanesc!C47)),NOT(ISNUMBER($L$5)),NOT(ISNUMBER(INDEX($L$2:$L$6,posicao_contratual!$Y47+1)))),"",ROUND(itens_Remanesc!C47*$L$5/INDEX($L$2:$L$6,posicao_contratual!$Y47+1),2)))))</f>
        <v/>
      </c>
      <c r="G47" s="79" t="str">
        <f>IF(OR($A47="",posicao_contratual!$Y47=""),"",IF(posicao_contratual!$Y47&gt;4,"",IF(posicao_contratual!$Y47=4,IF(ISNUMBER(itens_Remanesc!C47),itens_Remanesc!C47,""),IF(OR(NOT(ISNUMBER(itens_Remanesc!C47)),NOT(ISNUMBER($L$6)),NOT(ISNUMBER(INDEX($L$2:$L$6,posicao_contratual!$Y47+1)))),"",ROUND(itens_Remanesc!C47*$L$6/INDEX($L$2:$L$6,posicao_contratual!$Y47+1),2)))))</f>
        <v/>
      </c>
      <c r="H47" s="114" t="str">
        <f t="shared" si="1"/>
        <v/>
      </c>
      <c r="I47" s="14"/>
      <c r="J47" s="14"/>
      <c r="K47" s="14"/>
      <c r="L47" s="14"/>
      <c r="M47" s="14"/>
      <c r="N47" s="145" t="str">
        <f>IF(A47="","",IF(posicao_contratual!$Y47="","",IF(posicao_contratual!$Y47&gt;0,"",posicao_contratual!E47)))</f>
        <v/>
      </c>
      <c r="O47" s="145" t="str">
        <f>IF(A47="","",IF(posicao_contratual!$Y47="","",IF(posicao_contratual!$Y47&gt;1,"",posicao_contratual!I47)))</f>
        <v/>
      </c>
      <c r="P47" s="145" t="str">
        <f>IF(A47="","",IF(posicao_contratual!$Y47="","",IF(posicao_contratual!$Y47&gt;2,"",posicao_contratual!M47)))</f>
        <v/>
      </c>
      <c r="Q47" s="145" t="str">
        <f>IF(A47="","",IF(posicao_contratual!$Y47="","",IF(posicao_contratual!$Y47&gt;3,"",posicao_contratual!Q47)))</f>
        <v/>
      </c>
      <c r="R47" s="145" t="str">
        <f>IF(A47="","",IF(posicao_contratual!$Y47="","",IF(posicao_contratual!$Y47&gt;4,"",posicao_contratual!U47)))</f>
        <v/>
      </c>
      <c r="S47" s="165" t="str">
        <f>IF(A47="","",posicao_contratual!G47)</f>
        <v/>
      </c>
      <c r="T47" s="165" t="str">
        <f>IF(A47="","",posicao_contratual!K47)</f>
        <v/>
      </c>
      <c r="U47" s="165" t="str">
        <f>IF(A47="","",posicao_contratual!O47)</f>
        <v/>
      </c>
      <c r="V47" s="165" t="str">
        <f>IF(A47="","",posicao_contratual!S47)</f>
        <v/>
      </c>
      <c r="W47" s="165" t="str">
        <f>IF(A47="","",posicao_contratual!W47)</f>
        <v/>
      </c>
    </row>
    <row r="48" spans="1:23" x14ac:dyDescent="0.35">
      <c r="A48" s="86" t="str">
        <f>IF(itens_Remanesc!A48="","",itens_Remanesc!A48)</f>
        <v/>
      </c>
      <c r="B48" s="85" t="str">
        <f>IF(A48="","",IF(posicao_contratual!$Y48="","",IF(posicao_contratual!$Y48&gt;0,"",posicao_contratual!G48)))</f>
        <v/>
      </c>
      <c r="C48" s="79" t="str">
        <f>IF(itens_Remanesc!A48="","",IF(posicao_contratual!$Y48="","",IF(posicao_contratual!$Y48&gt;0,"",itens_Remanesc!C48)))</f>
        <v/>
      </c>
      <c r="D48" s="79" t="str">
        <f>IF(OR($A48="",posicao_contratual!$Y48=""),"",IF(posicao_contratual!$Y48&gt;1,"",IF(posicao_contratual!$Y48=1,IF(ISNUMBER(itens_Remanesc!C48),itens_Remanesc!C48,""),IF(OR(NOT(ISNUMBER(itens_Remanesc!C48)),NOT(ISNUMBER($L$3)),NOT(ISNUMBER(INDEX($L$2:$L$6,posicao_contratual!$Y48+1)))),"",ROUND(itens_Remanesc!C48*$L$3/INDEX($L$2:$L$6,posicao_contratual!$Y48+1),2)))))</f>
        <v/>
      </c>
      <c r="E48" s="79" t="str">
        <f>IF(OR($A48="",posicao_contratual!$Y48=""),"",IF(posicao_contratual!$Y48&gt;2,"",IF(posicao_contratual!$Y48=2,IF(ISNUMBER(itens_Remanesc!C48),itens_Remanesc!C48,""),IF(OR(NOT(ISNUMBER(itens_Remanesc!C48)),NOT(ISNUMBER($L$4)),NOT(ISNUMBER(INDEX($L$2:$L$6,posicao_contratual!$Y48+1)))),"",ROUND(itens_Remanesc!C48*$L$4/INDEX($L$2:$L$6,posicao_contratual!$Y48+1),2)))))</f>
        <v/>
      </c>
      <c r="F48" s="79" t="str">
        <f>IF(OR($A48="",posicao_contratual!$Y48=""),"",IF(posicao_contratual!$Y48&gt;3,"",IF(posicao_contratual!$Y48=3,IF(ISNUMBER(itens_Remanesc!C48),itens_Remanesc!C48,""),IF(OR(NOT(ISNUMBER(itens_Remanesc!C48)),NOT(ISNUMBER($L$5)),NOT(ISNUMBER(INDEX($L$2:$L$6,posicao_contratual!$Y48+1)))),"",ROUND(itens_Remanesc!C48*$L$5/INDEX($L$2:$L$6,posicao_contratual!$Y48+1),2)))))</f>
        <v/>
      </c>
      <c r="G48" s="79" t="str">
        <f>IF(OR($A48="",posicao_contratual!$Y48=""),"",IF(posicao_contratual!$Y48&gt;4,"",IF(posicao_contratual!$Y48=4,IF(ISNUMBER(itens_Remanesc!C48),itens_Remanesc!C48,""),IF(OR(NOT(ISNUMBER(itens_Remanesc!C48)),NOT(ISNUMBER($L$6)),NOT(ISNUMBER(INDEX($L$2:$L$6,posicao_contratual!$Y48+1)))),"",ROUND(itens_Remanesc!C48*$L$6/INDEX($L$2:$L$6,posicao_contratual!$Y48+1),2)))))</f>
        <v/>
      </c>
      <c r="H48" s="114" t="str">
        <f t="shared" si="1"/>
        <v/>
      </c>
      <c r="I48" s="14"/>
      <c r="J48" s="14"/>
      <c r="K48" s="14"/>
      <c r="L48" s="14"/>
      <c r="M48" s="14"/>
      <c r="N48" s="145" t="str">
        <f>IF(A48="","",IF(posicao_contratual!$Y48="","",IF(posicao_contratual!$Y48&gt;0,"",posicao_contratual!E48)))</f>
        <v/>
      </c>
      <c r="O48" s="145" t="str">
        <f>IF(A48="","",IF(posicao_contratual!$Y48="","",IF(posicao_contratual!$Y48&gt;1,"",posicao_contratual!I48)))</f>
        <v/>
      </c>
      <c r="P48" s="145" t="str">
        <f>IF(A48="","",IF(posicao_contratual!$Y48="","",IF(posicao_contratual!$Y48&gt;2,"",posicao_contratual!M48)))</f>
        <v/>
      </c>
      <c r="Q48" s="145" t="str">
        <f>IF(A48="","",IF(posicao_contratual!$Y48="","",IF(posicao_contratual!$Y48&gt;3,"",posicao_contratual!Q48)))</f>
        <v/>
      </c>
      <c r="R48" s="145" t="str">
        <f>IF(A48="","",IF(posicao_contratual!$Y48="","",IF(posicao_contratual!$Y48&gt;4,"",posicao_contratual!U48)))</f>
        <v/>
      </c>
      <c r="S48" s="165" t="str">
        <f>IF(A48="","",posicao_contratual!G48)</f>
        <v/>
      </c>
      <c r="T48" s="165" t="str">
        <f>IF(A48="","",posicao_contratual!K48)</f>
        <v/>
      </c>
      <c r="U48" s="165" t="str">
        <f>IF(A48="","",posicao_contratual!O48)</f>
        <v/>
      </c>
      <c r="V48" s="165" t="str">
        <f>IF(A48="","",posicao_contratual!S48)</f>
        <v/>
      </c>
      <c r="W48" s="165" t="str">
        <f>IF(A48="","",posicao_contratual!W48)</f>
        <v/>
      </c>
    </row>
    <row r="49" spans="1:23" x14ac:dyDescent="0.35">
      <c r="A49" s="86" t="str">
        <f>IF(itens_Remanesc!A49="","",itens_Remanesc!A49)</f>
        <v/>
      </c>
      <c r="B49" s="85" t="str">
        <f>IF(A49="","",IF(posicao_contratual!$Y49="","",IF(posicao_contratual!$Y49&gt;0,"",posicao_contratual!G49)))</f>
        <v/>
      </c>
      <c r="C49" s="79" t="str">
        <f>IF(itens_Remanesc!A49="","",IF(posicao_contratual!$Y49="","",IF(posicao_contratual!$Y49&gt;0,"",itens_Remanesc!C49)))</f>
        <v/>
      </c>
      <c r="D49" s="79" t="str">
        <f>IF(OR($A49="",posicao_contratual!$Y49=""),"",IF(posicao_contratual!$Y49&gt;1,"",IF(posicao_contratual!$Y49=1,IF(ISNUMBER(itens_Remanesc!C49),itens_Remanesc!C49,""),IF(OR(NOT(ISNUMBER(itens_Remanesc!C49)),NOT(ISNUMBER($L$3)),NOT(ISNUMBER(INDEX($L$2:$L$6,posicao_contratual!$Y49+1)))),"",ROUND(itens_Remanesc!C49*$L$3/INDEX($L$2:$L$6,posicao_contratual!$Y49+1),2)))))</f>
        <v/>
      </c>
      <c r="E49" s="79" t="str">
        <f>IF(OR($A49="",posicao_contratual!$Y49=""),"",IF(posicao_contratual!$Y49&gt;2,"",IF(posicao_contratual!$Y49=2,IF(ISNUMBER(itens_Remanesc!C49),itens_Remanesc!C49,""),IF(OR(NOT(ISNUMBER(itens_Remanesc!C49)),NOT(ISNUMBER($L$4)),NOT(ISNUMBER(INDEX($L$2:$L$6,posicao_contratual!$Y49+1)))),"",ROUND(itens_Remanesc!C49*$L$4/INDEX($L$2:$L$6,posicao_contratual!$Y49+1),2)))))</f>
        <v/>
      </c>
      <c r="F49" s="79" t="str">
        <f>IF(OR($A49="",posicao_contratual!$Y49=""),"",IF(posicao_contratual!$Y49&gt;3,"",IF(posicao_contratual!$Y49=3,IF(ISNUMBER(itens_Remanesc!C49),itens_Remanesc!C49,""),IF(OR(NOT(ISNUMBER(itens_Remanesc!C49)),NOT(ISNUMBER($L$5)),NOT(ISNUMBER(INDEX($L$2:$L$6,posicao_contratual!$Y49+1)))),"",ROUND(itens_Remanesc!C49*$L$5/INDEX($L$2:$L$6,posicao_contratual!$Y49+1),2)))))</f>
        <v/>
      </c>
      <c r="G49" s="79" t="str">
        <f>IF(OR($A49="",posicao_contratual!$Y49=""),"",IF(posicao_contratual!$Y49&gt;4,"",IF(posicao_contratual!$Y49=4,IF(ISNUMBER(itens_Remanesc!C49),itens_Remanesc!C49,""),IF(OR(NOT(ISNUMBER(itens_Remanesc!C49)),NOT(ISNUMBER($L$6)),NOT(ISNUMBER(INDEX($L$2:$L$6,posicao_contratual!$Y49+1)))),"",ROUND(itens_Remanesc!C49*$L$6/INDEX($L$2:$L$6,posicao_contratual!$Y49+1),2)))))</f>
        <v/>
      </c>
      <c r="H49" s="114" t="str">
        <f t="shared" si="1"/>
        <v/>
      </c>
      <c r="I49" s="14"/>
      <c r="J49" s="14"/>
      <c r="K49" s="14"/>
      <c r="L49" s="14"/>
      <c r="M49" s="14"/>
      <c r="N49" s="145" t="str">
        <f>IF(A49="","",IF(posicao_contratual!$Y49="","",IF(posicao_contratual!$Y49&gt;0,"",posicao_contratual!E49)))</f>
        <v/>
      </c>
      <c r="O49" s="145" t="str">
        <f>IF(A49="","",IF(posicao_contratual!$Y49="","",IF(posicao_contratual!$Y49&gt;1,"",posicao_contratual!I49)))</f>
        <v/>
      </c>
      <c r="P49" s="145" t="str">
        <f>IF(A49="","",IF(posicao_contratual!$Y49="","",IF(posicao_contratual!$Y49&gt;2,"",posicao_contratual!M49)))</f>
        <v/>
      </c>
      <c r="Q49" s="145" t="str">
        <f>IF(A49="","",IF(posicao_contratual!$Y49="","",IF(posicao_contratual!$Y49&gt;3,"",posicao_contratual!Q49)))</f>
        <v/>
      </c>
      <c r="R49" s="145" t="str">
        <f>IF(A49="","",IF(posicao_contratual!$Y49="","",IF(posicao_contratual!$Y49&gt;4,"",posicao_contratual!U49)))</f>
        <v/>
      </c>
      <c r="S49" s="165" t="str">
        <f>IF(A49="","",posicao_contratual!G49)</f>
        <v/>
      </c>
      <c r="T49" s="165" t="str">
        <f>IF(A49="","",posicao_contratual!K49)</f>
        <v/>
      </c>
      <c r="U49" s="165" t="str">
        <f>IF(A49="","",posicao_contratual!O49)</f>
        <v/>
      </c>
      <c r="V49" s="165" t="str">
        <f>IF(A49="","",posicao_contratual!S49)</f>
        <v/>
      </c>
      <c r="W49" s="165" t="str">
        <f>IF(A49="","",posicao_contratual!W49)</f>
        <v/>
      </c>
    </row>
    <row r="50" spans="1:23" x14ac:dyDescent="0.35">
      <c r="A50" s="86" t="str">
        <f>IF(itens_Remanesc!A50="","",itens_Remanesc!A50)</f>
        <v/>
      </c>
      <c r="B50" s="85" t="str">
        <f>IF(A50="","",IF(posicao_contratual!$Y50="","",IF(posicao_contratual!$Y50&gt;0,"",posicao_contratual!G50)))</f>
        <v/>
      </c>
      <c r="C50" s="79" t="str">
        <f>IF(itens_Remanesc!A50="","",IF(posicao_contratual!$Y50="","",IF(posicao_contratual!$Y50&gt;0,"",itens_Remanesc!C50)))</f>
        <v/>
      </c>
      <c r="D50" s="79" t="str">
        <f>IF(OR($A50="",posicao_contratual!$Y50=""),"",IF(posicao_contratual!$Y50&gt;1,"",IF(posicao_contratual!$Y50=1,IF(ISNUMBER(itens_Remanesc!C50),itens_Remanesc!C50,""),IF(OR(NOT(ISNUMBER(itens_Remanesc!C50)),NOT(ISNUMBER($L$3)),NOT(ISNUMBER(INDEX($L$2:$L$6,posicao_contratual!$Y50+1)))),"",ROUND(itens_Remanesc!C50*$L$3/INDEX($L$2:$L$6,posicao_contratual!$Y50+1),2)))))</f>
        <v/>
      </c>
      <c r="E50" s="79" t="str">
        <f>IF(OR($A50="",posicao_contratual!$Y50=""),"",IF(posicao_contratual!$Y50&gt;2,"",IF(posicao_contratual!$Y50=2,IF(ISNUMBER(itens_Remanesc!C50),itens_Remanesc!C50,""),IF(OR(NOT(ISNUMBER(itens_Remanesc!C50)),NOT(ISNUMBER($L$4)),NOT(ISNUMBER(INDEX($L$2:$L$6,posicao_contratual!$Y50+1)))),"",ROUND(itens_Remanesc!C50*$L$4/INDEX($L$2:$L$6,posicao_contratual!$Y50+1),2)))))</f>
        <v/>
      </c>
      <c r="F50" s="79" t="str">
        <f>IF(OR($A50="",posicao_contratual!$Y50=""),"",IF(posicao_contratual!$Y50&gt;3,"",IF(posicao_contratual!$Y50=3,IF(ISNUMBER(itens_Remanesc!C50),itens_Remanesc!C50,""),IF(OR(NOT(ISNUMBER(itens_Remanesc!C50)),NOT(ISNUMBER($L$5)),NOT(ISNUMBER(INDEX($L$2:$L$6,posicao_contratual!$Y50+1)))),"",ROUND(itens_Remanesc!C50*$L$5/INDEX($L$2:$L$6,posicao_contratual!$Y50+1),2)))))</f>
        <v/>
      </c>
      <c r="G50" s="79" t="str">
        <f>IF(OR($A50="",posicao_contratual!$Y50=""),"",IF(posicao_contratual!$Y50&gt;4,"",IF(posicao_contratual!$Y50=4,IF(ISNUMBER(itens_Remanesc!C50),itens_Remanesc!C50,""),IF(OR(NOT(ISNUMBER(itens_Remanesc!C50)),NOT(ISNUMBER($L$6)),NOT(ISNUMBER(INDEX($L$2:$L$6,posicao_contratual!$Y50+1)))),"",ROUND(itens_Remanesc!C50*$L$6/INDEX($L$2:$L$6,posicao_contratual!$Y50+1),2)))))</f>
        <v/>
      </c>
      <c r="H50" s="114" t="str">
        <f t="shared" si="1"/>
        <v/>
      </c>
      <c r="I50" s="14"/>
      <c r="J50" s="14"/>
      <c r="K50" s="14"/>
      <c r="L50" s="14"/>
      <c r="M50" s="14"/>
      <c r="N50" s="145" t="str">
        <f>IF(A50="","",IF(posicao_contratual!$Y50="","",IF(posicao_contratual!$Y50&gt;0,"",posicao_contratual!E50)))</f>
        <v/>
      </c>
      <c r="O50" s="145" t="str">
        <f>IF(A50="","",IF(posicao_contratual!$Y50="","",IF(posicao_contratual!$Y50&gt;1,"",posicao_contratual!I50)))</f>
        <v/>
      </c>
      <c r="P50" s="145" t="str">
        <f>IF(A50="","",IF(posicao_contratual!$Y50="","",IF(posicao_contratual!$Y50&gt;2,"",posicao_contratual!M50)))</f>
        <v/>
      </c>
      <c r="Q50" s="145" t="str">
        <f>IF(A50="","",IF(posicao_contratual!$Y50="","",IF(posicao_contratual!$Y50&gt;3,"",posicao_contratual!Q50)))</f>
        <v/>
      </c>
      <c r="R50" s="145" t="str">
        <f>IF(A50="","",IF(posicao_contratual!$Y50="","",IF(posicao_contratual!$Y50&gt;4,"",posicao_contratual!U50)))</f>
        <v/>
      </c>
      <c r="S50" s="165" t="str">
        <f>IF(A50="","",posicao_contratual!G50)</f>
        <v/>
      </c>
      <c r="T50" s="165" t="str">
        <f>IF(A50="","",posicao_contratual!K50)</f>
        <v/>
      </c>
      <c r="U50" s="165" t="str">
        <f>IF(A50="","",posicao_contratual!O50)</f>
        <v/>
      </c>
      <c r="V50" s="165" t="str">
        <f>IF(A50="","",posicao_contratual!S50)</f>
        <v/>
      </c>
      <c r="W50" s="165" t="str">
        <f>IF(A50="","",posicao_contratual!W50)</f>
        <v/>
      </c>
    </row>
    <row r="51" spans="1:23" x14ac:dyDescent="0.35">
      <c r="A51" s="86" t="str">
        <f>IF(itens_Remanesc!A51="","",itens_Remanesc!A51)</f>
        <v/>
      </c>
      <c r="B51" s="85" t="str">
        <f>IF(A51="","",IF(posicao_contratual!$Y51="","",IF(posicao_contratual!$Y51&gt;0,"",posicao_contratual!G51)))</f>
        <v/>
      </c>
      <c r="C51" s="79" t="str">
        <f>IF(itens_Remanesc!A51="","",IF(posicao_contratual!$Y51="","",IF(posicao_contratual!$Y51&gt;0,"",itens_Remanesc!C51)))</f>
        <v/>
      </c>
      <c r="D51" s="79" t="str">
        <f>IF(OR($A51="",posicao_contratual!$Y51=""),"",IF(posicao_contratual!$Y51&gt;1,"",IF(posicao_contratual!$Y51=1,IF(ISNUMBER(itens_Remanesc!C51),itens_Remanesc!C51,""),IF(OR(NOT(ISNUMBER(itens_Remanesc!C51)),NOT(ISNUMBER($L$3)),NOT(ISNUMBER(INDEX($L$2:$L$6,posicao_contratual!$Y51+1)))),"",ROUND(itens_Remanesc!C51*$L$3/INDEX($L$2:$L$6,posicao_contratual!$Y51+1),2)))))</f>
        <v/>
      </c>
      <c r="E51" s="79" t="str">
        <f>IF(OR($A51="",posicao_contratual!$Y51=""),"",IF(posicao_contratual!$Y51&gt;2,"",IF(posicao_contratual!$Y51=2,IF(ISNUMBER(itens_Remanesc!C51),itens_Remanesc!C51,""),IF(OR(NOT(ISNUMBER(itens_Remanesc!C51)),NOT(ISNUMBER($L$4)),NOT(ISNUMBER(INDEX($L$2:$L$6,posicao_contratual!$Y51+1)))),"",ROUND(itens_Remanesc!C51*$L$4/INDEX($L$2:$L$6,posicao_contratual!$Y51+1),2)))))</f>
        <v/>
      </c>
      <c r="F51" s="79" t="str">
        <f>IF(OR($A51="",posicao_contratual!$Y51=""),"",IF(posicao_contratual!$Y51&gt;3,"",IF(posicao_contratual!$Y51=3,IF(ISNUMBER(itens_Remanesc!C51),itens_Remanesc!C51,""),IF(OR(NOT(ISNUMBER(itens_Remanesc!C51)),NOT(ISNUMBER($L$5)),NOT(ISNUMBER(INDEX($L$2:$L$6,posicao_contratual!$Y51+1)))),"",ROUND(itens_Remanesc!C51*$L$5/INDEX($L$2:$L$6,posicao_contratual!$Y51+1),2)))))</f>
        <v/>
      </c>
      <c r="G51" s="79" t="str">
        <f>IF(OR($A51="",posicao_contratual!$Y51=""),"",IF(posicao_contratual!$Y51&gt;4,"",IF(posicao_contratual!$Y51=4,IF(ISNUMBER(itens_Remanesc!C51),itens_Remanesc!C51,""),IF(OR(NOT(ISNUMBER(itens_Remanesc!C51)),NOT(ISNUMBER($L$6)),NOT(ISNUMBER(INDEX($L$2:$L$6,posicao_contratual!$Y51+1)))),"",ROUND(itens_Remanesc!C51*$L$6/INDEX($L$2:$L$6,posicao_contratual!$Y51+1),2)))))</f>
        <v/>
      </c>
      <c r="H51" s="114" t="str">
        <f t="shared" si="1"/>
        <v/>
      </c>
      <c r="I51" s="14"/>
      <c r="J51" s="14"/>
      <c r="K51" s="14"/>
      <c r="L51" s="14"/>
      <c r="M51" s="14"/>
      <c r="N51" s="145" t="str">
        <f>IF(A51="","",IF(posicao_contratual!$Y51="","",IF(posicao_contratual!$Y51&gt;0,"",posicao_contratual!E51)))</f>
        <v/>
      </c>
      <c r="O51" s="145" t="str">
        <f>IF(A51="","",IF(posicao_contratual!$Y51="","",IF(posicao_contratual!$Y51&gt;1,"",posicao_contratual!I51)))</f>
        <v/>
      </c>
      <c r="P51" s="145" t="str">
        <f>IF(A51="","",IF(posicao_contratual!$Y51="","",IF(posicao_contratual!$Y51&gt;2,"",posicao_contratual!M51)))</f>
        <v/>
      </c>
      <c r="Q51" s="145" t="str">
        <f>IF(A51="","",IF(posicao_contratual!$Y51="","",IF(posicao_contratual!$Y51&gt;3,"",posicao_contratual!Q51)))</f>
        <v/>
      </c>
      <c r="R51" s="145" t="str">
        <f>IF(A51="","",IF(posicao_contratual!$Y51="","",IF(posicao_contratual!$Y51&gt;4,"",posicao_contratual!U51)))</f>
        <v/>
      </c>
      <c r="S51" s="165" t="str">
        <f>IF(A51="","",posicao_contratual!G51)</f>
        <v/>
      </c>
      <c r="T51" s="165" t="str">
        <f>IF(A51="","",posicao_contratual!K51)</f>
        <v/>
      </c>
      <c r="U51" s="165" t="str">
        <f>IF(A51="","",posicao_contratual!O51)</f>
        <v/>
      </c>
      <c r="V51" s="165" t="str">
        <f>IF(A51="","",posicao_contratual!S51)</f>
        <v/>
      </c>
      <c r="W51" s="165" t="str">
        <f>IF(A51="","",posicao_contratual!W51)</f>
        <v/>
      </c>
    </row>
    <row r="52" spans="1:23" x14ac:dyDescent="0.35">
      <c r="A52" s="86" t="str">
        <f>IF(itens_Remanesc!A52="","",itens_Remanesc!A52)</f>
        <v/>
      </c>
      <c r="B52" s="85" t="str">
        <f>IF(A52="","",IF(posicao_contratual!$Y52="","",IF(posicao_contratual!$Y52&gt;0,"",posicao_contratual!G52)))</f>
        <v/>
      </c>
      <c r="C52" s="79" t="str">
        <f>IF(itens_Remanesc!A52="","",IF(posicao_contratual!$Y52="","",IF(posicao_contratual!$Y52&gt;0,"",itens_Remanesc!C52)))</f>
        <v/>
      </c>
      <c r="D52" s="79" t="str">
        <f>IF(OR($A52="",posicao_contratual!$Y52=""),"",IF(posicao_contratual!$Y52&gt;1,"",IF(posicao_contratual!$Y52=1,IF(ISNUMBER(itens_Remanesc!C52),itens_Remanesc!C52,""),IF(OR(NOT(ISNUMBER(itens_Remanesc!C52)),NOT(ISNUMBER($L$3)),NOT(ISNUMBER(INDEX($L$2:$L$6,posicao_contratual!$Y52+1)))),"",ROUND(itens_Remanesc!C52*$L$3/INDEX($L$2:$L$6,posicao_contratual!$Y52+1),2)))))</f>
        <v/>
      </c>
      <c r="E52" s="79" t="str">
        <f>IF(OR($A52="",posicao_contratual!$Y52=""),"",IF(posicao_contratual!$Y52&gt;2,"",IF(posicao_contratual!$Y52=2,IF(ISNUMBER(itens_Remanesc!C52),itens_Remanesc!C52,""),IF(OR(NOT(ISNUMBER(itens_Remanesc!C52)),NOT(ISNUMBER($L$4)),NOT(ISNUMBER(INDEX($L$2:$L$6,posicao_contratual!$Y52+1)))),"",ROUND(itens_Remanesc!C52*$L$4/INDEX($L$2:$L$6,posicao_contratual!$Y52+1),2)))))</f>
        <v/>
      </c>
      <c r="F52" s="79" t="str">
        <f>IF(OR($A52="",posicao_contratual!$Y52=""),"",IF(posicao_contratual!$Y52&gt;3,"",IF(posicao_contratual!$Y52=3,IF(ISNUMBER(itens_Remanesc!C52),itens_Remanesc!C52,""),IF(OR(NOT(ISNUMBER(itens_Remanesc!C52)),NOT(ISNUMBER($L$5)),NOT(ISNUMBER(INDEX($L$2:$L$6,posicao_contratual!$Y52+1)))),"",ROUND(itens_Remanesc!C52*$L$5/INDEX($L$2:$L$6,posicao_contratual!$Y52+1),2)))))</f>
        <v/>
      </c>
      <c r="G52" s="79" t="str">
        <f>IF(OR($A52="",posicao_contratual!$Y52=""),"",IF(posicao_contratual!$Y52&gt;4,"",IF(posicao_contratual!$Y52=4,IF(ISNUMBER(itens_Remanesc!C52),itens_Remanesc!C52,""),IF(OR(NOT(ISNUMBER(itens_Remanesc!C52)),NOT(ISNUMBER($L$6)),NOT(ISNUMBER(INDEX($L$2:$L$6,posicao_contratual!$Y52+1)))),"",ROUND(itens_Remanesc!C52*$L$6/INDEX($L$2:$L$6,posicao_contratual!$Y52+1),2)))))</f>
        <v/>
      </c>
      <c r="H52" s="114" t="str">
        <f t="shared" si="1"/>
        <v/>
      </c>
      <c r="I52" s="14"/>
      <c r="J52" s="14"/>
      <c r="K52" s="14"/>
      <c r="L52" s="14"/>
      <c r="M52" s="14"/>
      <c r="N52" s="145" t="str">
        <f>IF(A52="","",IF(posicao_contratual!$Y52="","",IF(posicao_contratual!$Y52&gt;0,"",posicao_contratual!E52)))</f>
        <v/>
      </c>
      <c r="O52" s="145" t="str">
        <f>IF(A52="","",IF(posicao_contratual!$Y52="","",IF(posicao_contratual!$Y52&gt;1,"",posicao_contratual!I52)))</f>
        <v/>
      </c>
      <c r="P52" s="145" t="str">
        <f>IF(A52="","",IF(posicao_contratual!$Y52="","",IF(posicao_contratual!$Y52&gt;2,"",posicao_contratual!M52)))</f>
        <v/>
      </c>
      <c r="Q52" s="145" t="str">
        <f>IF(A52="","",IF(posicao_contratual!$Y52="","",IF(posicao_contratual!$Y52&gt;3,"",posicao_contratual!Q52)))</f>
        <v/>
      </c>
      <c r="R52" s="145" t="str">
        <f>IF(A52="","",IF(posicao_contratual!$Y52="","",IF(posicao_contratual!$Y52&gt;4,"",posicao_contratual!U52)))</f>
        <v/>
      </c>
      <c r="S52" s="165" t="str">
        <f>IF(A52="","",posicao_contratual!G52)</f>
        <v/>
      </c>
      <c r="T52" s="165" t="str">
        <f>IF(A52="","",posicao_contratual!K52)</f>
        <v/>
      </c>
      <c r="U52" s="165" t="str">
        <f>IF(A52="","",posicao_contratual!O52)</f>
        <v/>
      </c>
      <c r="V52" s="165" t="str">
        <f>IF(A52="","",posicao_contratual!S52)</f>
        <v/>
      </c>
      <c r="W52" s="165" t="str">
        <f>IF(A52="","",posicao_contratual!W52)</f>
        <v/>
      </c>
    </row>
    <row r="53" spans="1:23" x14ac:dyDescent="0.35">
      <c r="A53" s="86" t="str">
        <f>IF(itens_Remanesc!A53="","",itens_Remanesc!A53)</f>
        <v/>
      </c>
      <c r="B53" s="85" t="str">
        <f>IF(A53="","",IF(posicao_contratual!$Y53="","",IF(posicao_contratual!$Y53&gt;0,"",posicao_contratual!G53)))</f>
        <v/>
      </c>
      <c r="C53" s="79" t="str">
        <f>IF(itens_Remanesc!A53="","",IF(posicao_contratual!$Y53="","",IF(posicao_contratual!$Y53&gt;0,"",itens_Remanesc!C53)))</f>
        <v/>
      </c>
      <c r="D53" s="79" t="str">
        <f>IF(OR($A53="",posicao_contratual!$Y53=""),"",IF(posicao_contratual!$Y53&gt;1,"",IF(posicao_contratual!$Y53=1,IF(ISNUMBER(itens_Remanesc!C53),itens_Remanesc!C53,""),IF(OR(NOT(ISNUMBER(itens_Remanesc!C53)),NOT(ISNUMBER($L$3)),NOT(ISNUMBER(INDEX($L$2:$L$6,posicao_contratual!$Y53+1)))),"",ROUND(itens_Remanesc!C53*$L$3/INDEX($L$2:$L$6,posicao_contratual!$Y53+1),2)))))</f>
        <v/>
      </c>
      <c r="E53" s="79" t="str">
        <f>IF(OR($A53="",posicao_contratual!$Y53=""),"",IF(posicao_contratual!$Y53&gt;2,"",IF(posicao_contratual!$Y53=2,IF(ISNUMBER(itens_Remanesc!C53),itens_Remanesc!C53,""),IF(OR(NOT(ISNUMBER(itens_Remanesc!C53)),NOT(ISNUMBER($L$4)),NOT(ISNUMBER(INDEX($L$2:$L$6,posicao_contratual!$Y53+1)))),"",ROUND(itens_Remanesc!C53*$L$4/INDEX($L$2:$L$6,posicao_contratual!$Y53+1),2)))))</f>
        <v/>
      </c>
      <c r="F53" s="79" t="str">
        <f>IF(OR($A53="",posicao_contratual!$Y53=""),"",IF(posicao_contratual!$Y53&gt;3,"",IF(posicao_contratual!$Y53=3,IF(ISNUMBER(itens_Remanesc!C53),itens_Remanesc!C53,""),IF(OR(NOT(ISNUMBER(itens_Remanesc!C53)),NOT(ISNUMBER($L$5)),NOT(ISNUMBER(INDEX($L$2:$L$6,posicao_contratual!$Y53+1)))),"",ROUND(itens_Remanesc!C53*$L$5/INDEX($L$2:$L$6,posicao_contratual!$Y53+1),2)))))</f>
        <v/>
      </c>
      <c r="G53" s="79" t="str">
        <f>IF(OR($A53="",posicao_contratual!$Y53=""),"",IF(posicao_contratual!$Y53&gt;4,"",IF(posicao_contratual!$Y53=4,IF(ISNUMBER(itens_Remanesc!C53),itens_Remanesc!C53,""),IF(OR(NOT(ISNUMBER(itens_Remanesc!C53)),NOT(ISNUMBER($L$6)),NOT(ISNUMBER(INDEX($L$2:$L$6,posicao_contratual!$Y53+1)))),"",ROUND(itens_Remanesc!C53*$L$6/INDEX($L$2:$L$6,posicao_contratual!$Y53+1),2)))))</f>
        <v/>
      </c>
      <c r="H53" s="114" t="str">
        <f t="shared" si="1"/>
        <v/>
      </c>
      <c r="I53" s="14"/>
      <c r="J53" s="14"/>
      <c r="K53" s="14"/>
      <c r="L53" s="14"/>
      <c r="M53" s="14"/>
      <c r="N53" s="145" t="str">
        <f>IF(A53="","",IF(posicao_contratual!$Y53="","",IF(posicao_contratual!$Y53&gt;0,"",posicao_contratual!E53)))</f>
        <v/>
      </c>
      <c r="O53" s="145" t="str">
        <f>IF(A53="","",IF(posicao_contratual!$Y53="","",IF(posicao_contratual!$Y53&gt;1,"",posicao_contratual!I53)))</f>
        <v/>
      </c>
      <c r="P53" s="145" t="str">
        <f>IF(A53="","",IF(posicao_contratual!$Y53="","",IF(posicao_contratual!$Y53&gt;2,"",posicao_contratual!M53)))</f>
        <v/>
      </c>
      <c r="Q53" s="145" t="str">
        <f>IF(A53="","",IF(posicao_contratual!$Y53="","",IF(posicao_contratual!$Y53&gt;3,"",posicao_contratual!Q53)))</f>
        <v/>
      </c>
      <c r="R53" s="145" t="str">
        <f>IF(A53="","",IF(posicao_contratual!$Y53="","",IF(posicao_contratual!$Y53&gt;4,"",posicao_contratual!U53)))</f>
        <v/>
      </c>
      <c r="S53" s="165" t="str">
        <f>IF(A53="","",posicao_contratual!G53)</f>
        <v/>
      </c>
      <c r="T53" s="165" t="str">
        <f>IF(A53="","",posicao_contratual!K53)</f>
        <v/>
      </c>
      <c r="U53" s="165" t="str">
        <f>IF(A53="","",posicao_contratual!O53)</f>
        <v/>
      </c>
      <c r="V53" s="165" t="str">
        <f>IF(A53="","",posicao_contratual!S53)</f>
        <v/>
      </c>
      <c r="W53" s="165" t="str">
        <f>IF(A53="","",posicao_contratual!W53)</f>
        <v/>
      </c>
    </row>
    <row r="54" spans="1:23" x14ac:dyDescent="0.35">
      <c r="A54" s="86" t="str">
        <f>IF(itens_Remanesc!A54="","",itens_Remanesc!A54)</f>
        <v/>
      </c>
      <c r="B54" s="85" t="str">
        <f>IF(A54="","",IF(posicao_contratual!$Y54="","",IF(posicao_contratual!$Y54&gt;0,"",posicao_contratual!G54)))</f>
        <v/>
      </c>
      <c r="C54" s="79" t="str">
        <f>IF(itens_Remanesc!A54="","",IF(posicao_contratual!$Y54="","",IF(posicao_contratual!$Y54&gt;0,"",itens_Remanesc!C54)))</f>
        <v/>
      </c>
      <c r="D54" s="79" t="str">
        <f>IF(OR($A54="",posicao_contratual!$Y54=""),"",IF(posicao_contratual!$Y54&gt;1,"",IF(posicao_contratual!$Y54=1,IF(ISNUMBER(itens_Remanesc!C54),itens_Remanesc!C54,""),IF(OR(NOT(ISNUMBER(itens_Remanesc!C54)),NOT(ISNUMBER($L$3)),NOT(ISNUMBER(INDEX($L$2:$L$6,posicao_contratual!$Y54+1)))),"",ROUND(itens_Remanesc!C54*$L$3/INDEX($L$2:$L$6,posicao_contratual!$Y54+1),2)))))</f>
        <v/>
      </c>
      <c r="E54" s="79" t="str">
        <f>IF(OR($A54="",posicao_contratual!$Y54=""),"",IF(posicao_contratual!$Y54&gt;2,"",IF(posicao_contratual!$Y54=2,IF(ISNUMBER(itens_Remanesc!C54),itens_Remanesc!C54,""),IF(OR(NOT(ISNUMBER(itens_Remanesc!C54)),NOT(ISNUMBER($L$4)),NOT(ISNUMBER(INDEX($L$2:$L$6,posicao_contratual!$Y54+1)))),"",ROUND(itens_Remanesc!C54*$L$4/INDEX($L$2:$L$6,posicao_contratual!$Y54+1),2)))))</f>
        <v/>
      </c>
      <c r="F54" s="79" t="str">
        <f>IF(OR($A54="",posicao_contratual!$Y54=""),"",IF(posicao_contratual!$Y54&gt;3,"",IF(posicao_contratual!$Y54=3,IF(ISNUMBER(itens_Remanesc!C54),itens_Remanesc!C54,""),IF(OR(NOT(ISNUMBER(itens_Remanesc!C54)),NOT(ISNUMBER($L$5)),NOT(ISNUMBER(INDEX($L$2:$L$6,posicao_contratual!$Y54+1)))),"",ROUND(itens_Remanesc!C54*$L$5/INDEX($L$2:$L$6,posicao_contratual!$Y54+1),2)))))</f>
        <v/>
      </c>
      <c r="G54" s="79" t="str">
        <f>IF(OR($A54="",posicao_contratual!$Y54=""),"",IF(posicao_contratual!$Y54&gt;4,"",IF(posicao_contratual!$Y54=4,IF(ISNUMBER(itens_Remanesc!C54),itens_Remanesc!C54,""),IF(OR(NOT(ISNUMBER(itens_Remanesc!C54)),NOT(ISNUMBER($L$6)),NOT(ISNUMBER(INDEX($L$2:$L$6,posicao_contratual!$Y54+1)))),"",ROUND(itens_Remanesc!C54*$L$6/INDEX($L$2:$L$6,posicao_contratual!$Y54+1),2)))))</f>
        <v/>
      </c>
      <c r="H54" s="114" t="str">
        <f t="shared" si="1"/>
        <v/>
      </c>
      <c r="I54" s="14"/>
      <c r="J54" s="14"/>
      <c r="K54" s="14"/>
      <c r="L54" s="14"/>
      <c r="M54" s="14"/>
      <c r="N54" s="145" t="str">
        <f>IF(A54="","",IF(posicao_contratual!$Y54="","",IF(posicao_contratual!$Y54&gt;0,"",posicao_contratual!E54)))</f>
        <v/>
      </c>
      <c r="O54" s="145" t="str">
        <f>IF(A54="","",IF(posicao_contratual!$Y54="","",IF(posicao_contratual!$Y54&gt;1,"",posicao_contratual!I54)))</f>
        <v/>
      </c>
      <c r="P54" s="145" t="str">
        <f>IF(A54="","",IF(posicao_contratual!$Y54="","",IF(posicao_contratual!$Y54&gt;2,"",posicao_contratual!M54)))</f>
        <v/>
      </c>
      <c r="Q54" s="145" t="str">
        <f>IF(A54="","",IF(posicao_contratual!$Y54="","",IF(posicao_contratual!$Y54&gt;3,"",posicao_contratual!Q54)))</f>
        <v/>
      </c>
      <c r="R54" s="145" t="str">
        <f>IF(A54="","",IF(posicao_contratual!$Y54="","",IF(posicao_contratual!$Y54&gt;4,"",posicao_contratual!U54)))</f>
        <v/>
      </c>
      <c r="S54" s="165" t="str">
        <f>IF(A54="","",posicao_contratual!G54)</f>
        <v/>
      </c>
      <c r="T54" s="165" t="str">
        <f>IF(A54="","",posicao_contratual!K54)</f>
        <v/>
      </c>
      <c r="U54" s="165" t="str">
        <f>IF(A54="","",posicao_contratual!O54)</f>
        <v/>
      </c>
      <c r="V54" s="165" t="str">
        <f>IF(A54="","",posicao_contratual!S54)</f>
        <v/>
      </c>
      <c r="W54" s="165" t="str">
        <f>IF(A54="","",posicao_contratual!W54)</f>
        <v/>
      </c>
    </row>
    <row r="55" spans="1:23" x14ac:dyDescent="0.35">
      <c r="A55" s="86" t="str">
        <f>IF(itens_Remanesc!A55="","",itens_Remanesc!A55)</f>
        <v/>
      </c>
      <c r="B55" s="85" t="str">
        <f>IF(A55="","",IF(posicao_contratual!$Y55="","",IF(posicao_contratual!$Y55&gt;0,"",posicao_contratual!G55)))</f>
        <v/>
      </c>
      <c r="C55" s="79" t="str">
        <f>IF(itens_Remanesc!A55="","",IF(posicao_contratual!$Y55="","",IF(posicao_contratual!$Y55&gt;0,"",itens_Remanesc!C55)))</f>
        <v/>
      </c>
      <c r="D55" s="79" t="str">
        <f>IF(OR($A55="",posicao_contratual!$Y55=""),"",IF(posicao_contratual!$Y55&gt;1,"",IF(posicao_contratual!$Y55=1,IF(ISNUMBER(itens_Remanesc!C55),itens_Remanesc!C55,""),IF(OR(NOT(ISNUMBER(itens_Remanesc!C55)),NOT(ISNUMBER($L$3)),NOT(ISNUMBER(INDEX($L$2:$L$6,posicao_contratual!$Y55+1)))),"",ROUND(itens_Remanesc!C55*$L$3/INDEX($L$2:$L$6,posicao_contratual!$Y55+1),2)))))</f>
        <v/>
      </c>
      <c r="E55" s="79" t="str">
        <f>IF(OR($A55="",posicao_contratual!$Y55=""),"",IF(posicao_contratual!$Y55&gt;2,"",IF(posicao_contratual!$Y55=2,IF(ISNUMBER(itens_Remanesc!C55),itens_Remanesc!C55,""),IF(OR(NOT(ISNUMBER(itens_Remanesc!C55)),NOT(ISNUMBER($L$4)),NOT(ISNUMBER(INDEX($L$2:$L$6,posicao_contratual!$Y55+1)))),"",ROUND(itens_Remanesc!C55*$L$4/INDEX($L$2:$L$6,posicao_contratual!$Y55+1),2)))))</f>
        <v/>
      </c>
      <c r="F55" s="79" t="str">
        <f>IF(OR($A55="",posicao_contratual!$Y55=""),"",IF(posicao_contratual!$Y55&gt;3,"",IF(posicao_contratual!$Y55=3,IF(ISNUMBER(itens_Remanesc!C55),itens_Remanesc!C55,""),IF(OR(NOT(ISNUMBER(itens_Remanesc!C55)),NOT(ISNUMBER($L$5)),NOT(ISNUMBER(INDEX($L$2:$L$6,posicao_contratual!$Y55+1)))),"",ROUND(itens_Remanesc!C55*$L$5/INDEX($L$2:$L$6,posicao_contratual!$Y55+1),2)))))</f>
        <v/>
      </c>
      <c r="G55" s="79" t="str">
        <f>IF(OR($A55="",posicao_contratual!$Y55=""),"",IF(posicao_contratual!$Y55&gt;4,"",IF(posicao_contratual!$Y55=4,IF(ISNUMBER(itens_Remanesc!C55),itens_Remanesc!C55,""),IF(OR(NOT(ISNUMBER(itens_Remanesc!C55)),NOT(ISNUMBER($L$6)),NOT(ISNUMBER(INDEX($L$2:$L$6,posicao_contratual!$Y55+1)))),"",ROUND(itens_Remanesc!C55*$L$6/INDEX($L$2:$L$6,posicao_contratual!$Y55+1),2)))))</f>
        <v/>
      </c>
      <c r="H55" s="114" t="str">
        <f t="shared" si="1"/>
        <v/>
      </c>
      <c r="I55" s="14"/>
      <c r="J55" s="14"/>
      <c r="K55" s="14"/>
      <c r="L55" s="14"/>
      <c r="M55" s="14"/>
      <c r="N55" s="145" t="str">
        <f>IF(A55="","",IF(posicao_contratual!$Y55="","",IF(posicao_contratual!$Y55&gt;0,"",posicao_contratual!E55)))</f>
        <v/>
      </c>
      <c r="O55" s="145" t="str">
        <f>IF(A55="","",IF(posicao_contratual!$Y55="","",IF(posicao_contratual!$Y55&gt;1,"",posicao_contratual!I55)))</f>
        <v/>
      </c>
      <c r="P55" s="145" t="str">
        <f>IF(A55="","",IF(posicao_contratual!$Y55="","",IF(posicao_contratual!$Y55&gt;2,"",posicao_contratual!M55)))</f>
        <v/>
      </c>
      <c r="Q55" s="145" t="str">
        <f>IF(A55="","",IF(posicao_contratual!$Y55="","",IF(posicao_contratual!$Y55&gt;3,"",posicao_contratual!Q55)))</f>
        <v/>
      </c>
      <c r="R55" s="145" t="str">
        <f>IF(A55="","",IF(posicao_contratual!$Y55="","",IF(posicao_contratual!$Y55&gt;4,"",posicao_contratual!U55)))</f>
        <v/>
      </c>
      <c r="S55" s="165" t="str">
        <f>IF(A55="","",posicao_contratual!G55)</f>
        <v/>
      </c>
      <c r="T55" s="165" t="str">
        <f>IF(A55="","",posicao_contratual!K55)</f>
        <v/>
      </c>
      <c r="U55" s="165" t="str">
        <f>IF(A55="","",posicao_contratual!O55)</f>
        <v/>
      </c>
      <c r="V55" s="165" t="str">
        <f>IF(A55="","",posicao_contratual!S55)</f>
        <v/>
      </c>
      <c r="W55" s="165" t="str">
        <f>IF(A55="","",posicao_contratual!W55)</f>
        <v/>
      </c>
    </row>
    <row r="56" spans="1:23" x14ac:dyDescent="0.35">
      <c r="A56" s="86" t="str">
        <f>IF(itens_Remanesc!A56="","",itens_Remanesc!A56)</f>
        <v/>
      </c>
      <c r="B56" s="85" t="str">
        <f>IF(A56="","",IF(posicao_contratual!$Y56="","",IF(posicao_contratual!$Y56&gt;0,"",posicao_contratual!G56)))</f>
        <v/>
      </c>
      <c r="C56" s="79" t="str">
        <f>IF(itens_Remanesc!A56="","",IF(posicao_contratual!$Y56="","",IF(posicao_contratual!$Y56&gt;0,"",itens_Remanesc!C56)))</f>
        <v/>
      </c>
      <c r="D56" s="79" t="str">
        <f>IF(OR($A56="",posicao_contratual!$Y56=""),"",IF(posicao_contratual!$Y56&gt;1,"",IF(posicao_contratual!$Y56=1,IF(ISNUMBER(itens_Remanesc!C56),itens_Remanesc!C56,""),IF(OR(NOT(ISNUMBER(itens_Remanesc!C56)),NOT(ISNUMBER($L$3)),NOT(ISNUMBER(INDEX($L$2:$L$6,posicao_contratual!$Y56+1)))),"",ROUND(itens_Remanesc!C56*$L$3/INDEX($L$2:$L$6,posicao_contratual!$Y56+1),2)))))</f>
        <v/>
      </c>
      <c r="E56" s="79" t="str">
        <f>IF(OR($A56="",posicao_contratual!$Y56=""),"",IF(posicao_contratual!$Y56&gt;2,"",IF(posicao_contratual!$Y56=2,IF(ISNUMBER(itens_Remanesc!C56),itens_Remanesc!C56,""),IF(OR(NOT(ISNUMBER(itens_Remanesc!C56)),NOT(ISNUMBER($L$4)),NOT(ISNUMBER(INDEX($L$2:$L$6,posicao_contratual!$Y56+1)))),"",ROUND(itens_Remanesc!C56*$L$4/INDEX($L$2:$L$6,posicao_contratual!$Y56+1),2)))))</f>
        <v/>
      </c>
      <c r="F56" s="79" t="str">
        <f>IF(OR($A56="",posicao_contratual!$Y56=""),"",IF(posicao_contratual!$Y56&gt;3,"",IF(posicao_contratual!$Y56=3,IF(ISNUMBER(itens_Remanesc!C56),itens_Remanesc!C56,""),IF(OR(NOT(ISNUMBER(itens_Remanesc!C56)),NOT(ISNUMBER($L$5)),NOT(ISNUMBER(INDEX($L$2:$L$6,posicao_contratual!$Y56+1)))),"",ROUND(itens_Remanesc!C56*$L$5/INDEX($L$2:$L$6,posicao_contratual!$Y56+1),2)))))</f>
        <v/>
      </c>
      <c r="G56" s="79" t="str">
        <f>IF(OR($A56="",posicao_contratual!$Y56=""),"",IF(posicao_contratual!$Y56&gt;4,"",IF(posicao_contratual!$Y56=4,IF(ISNUMBER(itens_Remanesc!C56),itens_Remanesc!C56,""),IF(OR(NOT(ISNUMBER(itens_Remanesc!C56)),NOT(ISNUMBER($L$6)),NOT(ISNUMBER(INDEX($L$2:$L$6,posicao_contratual!$Y56+1)))),"",ROUND(itens_Remanesc!C56*$L$6/INDEX($L$2:$L$6,posicao_contratual!$Y56+1),2)))))</f>
        <v/>
      </c>
      <c r="H56" s="114" t="str">
        <f t="shared" si="1"/>
        <v/>
      </c>
      <c r="I56" s="14"/>
      <c r="J56" s="14"/>
      <c r="K56" s="14"/>
      <c r="L56" s="14"/>
      <c r="M56" s="14"/>
      <c r="N56" s="145" t="str">
        <f>IF(A56="","",IF(posicao_contratual!$Y56="","",IF(posicao_contratual!$Y56&gt;0,"",posicao_contratual!E56)))</f>
        <v/>
      </c>
      <c r="O56" s="145" t="str">
        <f>IF(A56="","",IF(posicao_contratual!$Y56="","",IF(posicao_contratual!$Y56&gt;1,"",posicao_contratual!I56)))</f>
        <v/>
      </c>
      <c r="P56" s="145" t="str">
        <f>IF(A56="","",IF(posicao_contratual!$Y56="","",IF(posicao_contratual!$Y56&gt;2,"",posicao_contratual!M56)))</f>
        <v/>
      </c>
      <c r="Q56" s="145" t="str">
        <f>IF(A56="","",IF(posicao_contratual!$Y56="","",IF(posicao_contratual!$Y56&gt;3,"",posicao_contratual!Q56)))</f>
        <v/>
      </c>
      <c r="R56" s="145" t="str">
        <f>IF(A56="","",IF(posicao_contratual!$Y56="","",IF(posicao_contratual!$Y56&gt;4,"",posicao_contratual!U56)))</f>
        <v/>
      </c>
      <c r="S56" s="165" t="str">
        <f>IF(A56="","",posicao_contratual!G56)</f>
        <v/>
      </c>
      <c r="T56" s="165" t="str">
        <f>IF(A56="","",posicao_contratual!K56)</f>
        <v/>
      </c>
      <c r="U56" s="165" t="str">
        <f>IF(A56="","",posicao_contratual!O56)</f>
        <v/>
      </c>
      <c r="V56" s="165" t="str">
        <f>IF(A56="","",posicao_contratual!S56)</f>
        <v/>
      </c>
      <c r="W56" s="165" t="str">
        <f>IF(A56="","",posicao_contratual!W56)</f>
        <v/>
      </c>
    </row>
    <row r="57" spans="1:23" x14ac:dyDescent="0.35">
      <c r="A57" s="86" t="str">
        <f>IF(itens_Remanesc!A57="","",itens_Remanesc!A57)</f>
        <v/>
      </c>
      <c r="B57" s="85" t="str">
        <f>IF(A57="","",IF(posicao_contratual!$Y57="","",IF(posicao_contratual!$Y57&gt;0,"",posicao_contratual!G57)))</f>
        <v/>
      </c>
      <c r="C57" s="79" t="str">
        <f>IF(itens_Remanesc!A57="","",IF(posicao_contratual!$Y57="","",IF(posicao_contratual!$Y57&gt;0,"",itens_Remanesc!C57)))</f>
        <v/>
      </c>
      <c r="D57" s="79" t="str">
        <f>IF(OR($A57="",posicao_contratual!$Y57=""),"",IF(posicao_contratual!$Y57&gt;1,"",IF(posicao_contratual!$Y57=1,IF(ISNUMBER(itens_Remanesc!C57),itens_Remanesc!C57,""),IF(OR(NOT(ISNUMBER(itens_Remanesc!C57)),NOT(ISNUMBER($L$3)),NOT(ISNUMBER(INDEX($L$2:$L$6,posicao_contratual!$Y57+1)))),"",ROUND(itens_Remanesc!C57*$L$3/INDEX($L$2:$L$6,posicao_contratual!$Y57+1),2)))))</f>
        <v/>
      </c>
      <c r="E57" s="79" t="str">
        <f>IF(OR($A57="",posicao_contratual!$Y57=""),"",IF(posicao_contratual!$Y57&gt;2,"",IF(posicao_contratual!$Y57=2,IF(ISNUMBER(itens_Remanesc!C57),itens_Remanesc!C57,""),IF(OR(NOT(ISNUMBER(itens_Remanesc!C57)),NOT(ISNUMBER($L$4)),NOT(ISNUMBER(INDEX($L$2:$L$6,posicao_contratual!$Y57+1)))),"",ROUND(itens_Remanesc!C57*$L$4/INDEX($L$2:$L$6,posicao_contratual!$Y57+1),2)))))</f>
        <v/>
      </c>
      <c r="F57" s="79" t="str">
        <f>IF(OR($A57="",posicao_contratual!$Y57=""),"",IF(posicao_contratual!$Y57&gt;3,"",IF(posicao_contratual!$Y57=3,IF(ISNUMBER(itens_Remanesc!C57),itens_Remanesc!C57,""),IF(OR(NOT(ISNUMBER(itens_Remanesc!C57)),NOT(ISNUMBER($L$5)),NOT(ISNUMBER(INDEX($L$2:$L$6,posicao_contratual!$Y57+1)))),"",ROUND(itens_Remanesc!C57*$L$5/INDEX($L$2:$L$6,posicao_contratual!$Y57+1),2)))))</f>
        <v/>
      </c>
      <c r="G57" s="79" t="str">
        <f>IF(OR($A57="",posicao_contratual!$Y57=""),"",IF(posicao_contratual!$Y57&gt;4,"",IF(posicao_contratual!$Y57=4,IF(ISNUMBER(itens_Remanesc!C57),itens_Remanesc!C57,""),IF(OR(NOT(ISNUMBER(itens_Remanesc!C57)),NOT(ISNUMBER($L$6)),NOT(ISNUMBER(INDEX($L$2:$L$6,posicao_contratual!$Y57+1)))),"",ROUND(itens_Remanesc!C57*$L$6/INDEX($L$2:$L$6,posicao_contratual!$Y57+1),2)))))</f>
        <v/>
      </c>
      <c r="H57" s="114" t="str">
        <f t="shared" si="1"/>
        <v/>
      </c>
      <c r="I57" s="14"/>
      <c r="J57" s="14"/>
      <c r="K57" s="14"/>
      <c r="L57" s="14"/>
      <c r="M57" s="14"/>
      <c r="N57" s="145" t="str">
        <f>IF(A57="","",IF(posicao_contratual!$Y57="","",IF(posicao_contratual!$Y57&gt;0,"",posicao_contratual!E57)))</f>
        <v/>
      </c>
      <c r="O57" s="145" t="str">
        <f>IF(A57="","",IF(posicao_contratual!$Y57="","",IF(posicao_contratual!$Y57&gt;1,"",posicao_contratual!I57)))</f>
        <v/>
      </c>
      <c r="P57" s="145" t="str">
        <f>IF(A57="","",IF(posicao_contratual!$Y57="","",IF(posicao_contratual!$Y57&gt;2,"",posicao_contratual!M57)))</f>
        <v/>
      </c>
      <c r="Q57" s="145" t="str">
        <f>IF(A57="","",IF(posicao_contratual!$Y57="","",IF(posicao_contratual!$Y57&gt;3,"",posicao_contratual!Q57)))</f>
        <v/>
      </c>
      <c r="R57" s="145" t="str">
        <f>IF(A57="","",IF(posicao_contratual!$Y57="","",IF(posicao_contratual!$Y57&gt;4,"",posicao_contratual!U57)))</f>
        <v/>
      </c>
      <c r="S57" s="165" t="str">
        <f>IF(A57="","",posicao_contratual!G57)</f>
        <v/>
      </c>
      <c r="T57" s="165" t="str">
        <f>IF(A57="","",posicao_contratual!K57)</f>
        <v/>
      </c>
      <c r="U57" s="165" t="str">
        <f>IF(A57="","",posicao_contratual!O57)</f>
        <v/>
      </c>
      <c r="V57" s="165" t="str">
        <f>IF(A57="","",posicao_contratual!S57)</f>
        <v/>
      </c>
      <c r="W57" s="165" t="str">
        <f>IF(A57="","",posicao_contratual!W57)</f>
        <v/>
      </c>
    </row>
    <row r="58" spans="1:23" x14ac:dyDescent="0.35">
      <c r="A58" s="86" t="str">
        <f>IF(itens_Remanesc!A58="","",itens_Remanesc!A58)</f>
        <v/>
      </c>
      <c r="B58" s="85" t="str">
        <f>IF(A58="","",IF(posicao_contratual!$Y58="","",IF(posicao_contratual!$Y58&gt;0,"",posicao_contratual!G58)))</f>
        <v/>
      </c>
      <c r="C58" s="79" t="str">
        <f>IF(itens_Remanesc!A58="","",IF(posicao_contratual!$Y58="","",IF(posicao_contratual!$Y58&gt;0,"",itens_Remanesc!C58)))</f>
        <v/>
      </c>
      <c r="D58" s="79" t="str">
        <f>IF(OR($A58="",posicao_contratual!$Y58=""),"",IF(posicao_contratual!$Y58&gt;1,"",IF(posicao_contratual!$Y58=1,IF(ISNUMBER(itens_Remanesc!C58),itens_Remanesc!C58,""),IF(OR(NOT(ISNUMBER(itens_Remanesc!C58)),NOT(ISNUMBER($L$3)),NOT(ISNUMBER(INDEX($L$2:$L$6,posicao_contratual!$Y58+1)))),"",ROUND(itens_Remanesc!C58*$L$3/INDEX($L$2:$L$6,posicao_contratual!$Y58+1),2)))))</f>
        <v/>
      </c>
      <c r="E58" s="79" t="str">
        <f>IF(OR($A58="",posicao_contratual!$Y58=""),"",IF(posicao_contratual!$Y58&gt;2,"",IF(posicao_contratual!$Y58=2,IF(ISNUMBER(itens_Remanesc!C58),itens_Remanesc!C58,""),IF(OR(NOT(ISNUMBER(itens_Remanesc!C58)),NOT(ISNUMBER($L$4)),NOT(ISNUMBER(INDEX($L$2:$L$6,posicao_contratual!$Y58+1)))),"",ROUND(itens_Remanesc!C58*$L$4/INDEX($L$2:$L$6,posicao_contratual!$Y58+1),2)))))</f>
        <v/>
      </c>
      <c r="F58" s="79" t="str">
        <f>IF(OR($A58="",posicao_contratual!$Y58=""),"",IF(posicao_contratual!$Y58&gt;3,"",IF(posicao_contratual!$Y58=3,IF(ISNUMBER(itens_Remanesc!C58),itens_Remanesc!C58,""),IF(OR(NOT(ISNUMBER(itens_Remanesc!C58)),NOT(ISNUMBER($L$5)),NOT(ISNUMBER(INDEX($L$2:$L$6,posicao_contratual!$Y58+1)))),"",ROUND(itens_Remanesc!C58*$L$5/INDEX($L$2:$L$6,posicao_contratual!$Y58+1),2)))))</f>
        <v/>
      </c>
      <c r="G58" s="79" t="str">
        <f>IF(OR($A58="",posicao_contratual!$Y58=""),"",IF(posicao_contratual!$Y58&gt;4,"",IF(posicao_contratual!$Y58=4,IF(ISNUMBER(itens_Remanesc!C58),itens_Remanesc!C58,""),IF(OR(NOT(ISNUMBER(itens_Remanesc!C58)),NOT(ISNUMBER($L$6)),NOT(ISNUMBER(INDEX($L$2:$L$6,posicao_contratual!$Y58+1)))),"",ROUND(itens_Remanesc!C58*$L$6/INDEX($L$2:$L$6,posicao_contratual!$Y58+1),2)))))</f>
        <v/>
      </c>
      <c r="H58" s="114" t="str">
        <f t="shared" si="1"/>
        <v/>
      </c>
      <c r="I58" s="14"/>
      <c r="J58" s="14"/>
      <c r="K58" s="14"/>
      <c r="L58" s="14"/>
      <c r="M58" s="14"/>
      <c r="N58" s="145" t="str">
        <f>IF(A58="","",IF(posicao_contratual!$Y58="","",IF(posicao_contratual!$Y58&gt;0,"",posicao_contratual!E58)))</f>
        <v/>
      </c>
      <c r="O58" s="145" t="str">
        <f>IF(A58="","",IF(posicao_contratual!$Y58="","",IF(posicao_contratual!$Y58&gt;1,"",posicao_contratual!I58)))</f>
        <v/>
      </c>
      <c r="P58" s="145" t="str">
        <f>IF(A58="","",IF(posicao_contratual!$Y58="","",IF(posicao_contratual!$Y58&gt;2,"",posicao_contratual!M58)))</f>
        <v/>
      </c>
      <c r="Q58" s="145" t="str">
        <f>IF(A58="","",IF(posicao_contratual!$Y58="","",IF(posicao_contratual!$Y58&gt;3,"",posicao_contratual!Q58)))</f>
        <v/>
      </c>
      <c r="R58" s="145" t="str">
        <f>IF(A58="","",IF(posicao_contratual!$Y58="","",IF(posicao_contratual!$Y58&gt;4,"",posicao_contratual!U58)))</f>
        <v/>
      </c>
      <c r="S58" s="165" t="str">
        <f>IF(A58="","",posicao_contratual!G58)</f>
        <v/>
      </c>
      <c r="T58" s="165" t="str">
        <f>IF(A58="","",posicao_contratual!K58)</f>
        <v/>
      </c>
      <c r="U58" s="165" t="str">
        <f>IF(A58="","",posicao_contratual!O58)</f>
        <v/>
      </c>
      <c r="V58" s="165" t="str">
        <f>IF(A58="","",posicao_contratual!S58)</f>
        <v/>
      </c>
      <c r="W58" s="165" t="str">
        <f>IF(A58="","",posicao_contratual!W58)</f>
        <v/>
      </c>
    </row>
    <row r="59" spans="1:23" x14ac:dyDescent="0.35">
      <c r="A59" s="86" t="str">
        <f>IF(itens_Remanesc!A59="","",itens_Remanesc!A59)</f>
        <v/>
      </c>
      <c r="B59" s="85" t="str">
        <f>IF(A59="","",IF(posicao_contratual!$Y59="","",IF(posicao_contratual!$Y59&gt;0,"",posicao_contratual!G59)))</f>
        <v/>
      </c>
      <c r="C59" s="79" t="str">
        <f>IF(itens_Remanesc!A59="","",IF(posicao_contratual!$Y59="","",IF(posicao_contratual!$Y59&gt;0,"",itens_Remanesc!C59)))</f>
        <v/>
      </c>
      <c r="D59" s="79" t="str">
        <f>IF(OR($A59="",posicao_contratual!$Y59=""),"",IF(posicao_contratual!$Y59&gt;1,"",IF(posicao_contratual!$Y59=1,IF(ISNUMBER(itens_Remanesc!C59),itens_Remanesc!C59,""),IF(OR(NOT(ISNUMBER(itens_Remanesc!C59)),NOT(ISNUMBER($L$3)),NOT(ISNUMBER(INDEX($L$2:$L$6,posicao_contratual!$Y59+1)))),"",ROUND(itens_Remanesc!C59*$L$3/INDEX($L$2:$L$6,posicao_contratual!$Y59+1),2)))))</f>
        <v/>
      </c>
      <c r="E59" s="79" t="str">
        <f>IF(OR($A59="",posicao_contratual!$Y59=""),"",IF(posicao_contratual!$Y59&gt;2,"",IF(posicao_contratual!$Y59=2,IF(ISNUMBER(itens_Remanesc!C59),itens_Remanesc!C59,""),IF(OR(NOT(ISNUMBER(itens_Remanesc!C59)),NOT(ISNUMBER($L$4)),NOT(ISNUMBER(INDEX($L$2:$L$6,posicao_contratual!$Y59+1)))),"",ROUND(itens_Remanesc!C59*$L$4/INDEX($L$2:$L$6,posicao_contratual!$Y59+1),2)))))</f>
        <v/>
      </c>
      <c r="F59" s="79" t="str">
        <f>IF(OR($A59="",posicao_contratual!$Y59=""),"",IF(posicao_contratual!$Y59&gt;3,"",IF(posicao_contratual!$Y59=3,IF(ISNUMBER(itens_Remanesc!C59),itens_Remanesc!C59,""),IF(OR(NOT(ISNUMBER(itens_Remanesc!C59)),NOT(ISNUMBER($L$5)),NOT(ISNUMBER(INDEX($L$2:$L$6,posicao_contratual!$Y59+1)))),"",ROUND(itens_Remanesc!C59*$L$5/INDEX($L$2:$L$6,posicao_contratual!$Y59+1),2)))))</f>
        <v/>
      </c>
      <c r="G59" s="79" t="str">
        <f>IF(OR($A59="",posicao_contratual!$Y59=""),"",IF(posicao_contratual!$Y59&gt;4,"",IF(posicao_contratual!$Y59=4,IF(ISNUMBER(itens_Remanesc!C59),itens_Remanesc!C59,""),IF(OR(NOT(ISNUMBER(itens_Remanesc!C59)),NOT(ISNUMBER($L$6)),NOT(ISNUMBER(INDEX($L$2:$L$6,posicao_contratual!$Y59+1)))),"",ROUND(itens_Remanesc!C59*$L$6/INDEX($L$2:$L$6,posicao_contratual!$Y59+1),2)))))</f>
        <v/>
      </c>
      <c r="H59" s="114" t="str">
        <f t="shared" si="1"/>
        <v/>
      </c>
      <c r="I59" s="14"/>
      <c r="J59" s="14"/>
      <c r="K59" s="14"/>
      <c r="L59" s="14"/>
      <c r="M59" s="14"/>
      <c r="N59" s="145" t="str">
        <f>IF(A59="","",IF(posicao_contratual!$Y59="","",IF(posicao_contratual!$Y59&gt;0,"",posicao_contratual!E59)))</f>
        <v/>
      </c>
      <c r="O59" s="145" t="str">
        <f>IF(A59="","",IF(posicao_contratual!$Y59="","",IF(posicao_contratual!$Y59&gt;1,"",posicao_contratual!I59)))</f>
        <v/>
      </c>
      <c r="P59" s="145" t="str">
        <f>IF(A59="","",IF(posicao_contratual!$Y59="","",IF(posicao_contratual!$Y59&gt;2,"",posicao_contratual!M59)))</f>
        <v/>
      </c>
      <c r="Q59" s="145" t="str">
        <f>IF(A59="","",IF(posicao_contratual!$Y59="","",IF(posicao_contratual!$Y59&gt;3,"",posicao_contratual!Q59)))</f>
        <v/>
      </c>
      <c r="R59" s="145" t="str">
        <f>IF(A59="","",IF(posicao_contratual!$Y59="","",IF(posicao_contratual!$Y59&gt;4,"",posicao_contratual!U59)))</f>
        <v/>
      </c>
      <c r="S59" s="165" t="str">
        <f>IF(A59="","",posicao_contratual!G59)</f>
        <v/>
      </c>
      <c r="T59" s="165" t="str">
        <f>IF(A59="","",posicao_contratual!K59)</f>
        <v/>
      </c>
      <c r="U59" s="165" t="str">
        <f>IF(A59="","",posicao_contratual!O59)</f>
        <v/>
      </c>
      <c r="V59" s="165" t="str">
        <f>IF(A59="","",posicao_contratual!S59)</f>
        <v/>
      </c>
      <c r="W59" s="165" t="str">
        <f>IF(A59="","",posicao_contratual!W59)</f>
        <v/>
      </c>
    </row>
    <row r="60" spans="1:23" x14ac:dyDescent="0.35">
      <c r="A60" s="86" t="str">
        <f>IF(itens_Remanesc!A60="","",itens_Remanesc!A60)</f>
        <v/>
      </c>
      <c r="B60" s="85" t="str">
        <f>IF(A60="","",IF(posicao_contratual!$Y60="","",IF(posicao_contratual!$Y60&gt;0,"",posicao_contratual!G60)))</f>
        <v/>
      </c>
      <c r="C60" s="79" t="str">
        <f>IF(itens_Remanesc!A60="","",IF(posicao_contratual!$Y60="","",IF(posicao_contratual!$Y60&gt;0,"",itens_Remanesc!C60)))</f>
        <v/>
      </c>
      <c r="D60" s="79" t="str">
        <f>IF(OR($A60="",posicao_contratual!$Y60=""),"",IF(posicao_contratual!$Y60&gt;1,"",IF(posicao_contratual!$Y60=1,IF(ISNUMBER(itens_Remanesc!C60),itens_Remanesc!C60,""),IF(OR(NOT(ISNUMBER(itens_Remanesc!C60)),NOT(ISNUMBER($L$3)),NOT(ISNUMBER(INDEX($L$2:$L$6,posicao_contratual!$Y60+1)))),"",ROUND(itens_Remanesc!C60*$L$3/INDEX($L$2:$L$6,posicao_contratual!$Y60+1),2)))))</f>
        <v/>
      </c>
      <c r="E60" s="79" t="str">
        <f>IF(OR($A60="",posicao_contratual!$Y60=""),"",IF(posicao_contratual!$Y60&gt;2,"",IF(posicao_contratual!$Y60=2,IF(ISNUMBER(itens_Remanesc!C60),itens_Remanesc!C60,""),IF(OR(NOT(ISNUMBER(itens_Remanesc!C60)),NOT(ISNUMBER($L$4)),NOT(ISNUMBER(INDEX($L$2:$L$6,posicao_contratual!$Y60+1)))),"",ROUND(itens_Remanesc!C60*$L$4/INDEX($L$2:$L$6,posicao_contratual!$Y60+1),2)))))</f>
        <v/>
      </c>
      <c r="F60" s="79" t="str">
        <f>IF(OR($A60="",posicao_contratual!$Y60=""),"",IF(posicao_contratual!$Y60&gt;3,"",IF(posicao_contratual!$Y60=3,IF(ISNUMBER(itens_Remanesc!C60),itens_Remanesc!C60,""),IF(OR(NOT(ISNUMBER(itens_Remanesc!C60)),NOT(ISNUMBER($L$5)),NOT(ISNUMBER(INDEX($L$2:$L$6,posicao_contratual!$Y60+1)))),"",ROUND(itens_Remanesc!C60*$L$5/INDEX($L$2:$L$6,posicao_contratual!$Y60+1),2)))))</f>
        <v/>
      </c>
      <c r="G60" s="79" t="str">
        <f>IF(OR($A60="",posicao_contratual!$Y60=""),"",IF(posicao_contratual!$Y60&gt;4,"",IF(posicao_contratual!$Y60=4,IF(ISNUMBER(itens_Remanesc!C60),itens_Remanesc!C60,""),IF(OR(NOT(ISNUMBER(itens_Remanesc!C60)),NOT(ISNUMBER($L$6)),NOT(ISNUMBER(INDEX($L$2:$L$6,posicao_contratual!$Y60+1)))),"",ROUND(itens_Remanesc!C60*$L$6/INDEX($L$2:$L$6,posicao_contratual!$Y60+1),2)))))</f>
        <v/>
      </c>
      <c r="H60" s="114" t="str">
        <f t="shared" si="1"/>
        <v/>
      </c>
      <c r="I60" s="14"/>
      <c r="J60" s="14"/>
      <c r="K60" s="14"/>
      <c r="L60" s="14"/>
      <c r="M60" s="14"/>
      <c r="N60" s="145" t="str">
        <f>IF(A60="","",IF(posicao_contratual!$Y60="","",IF(posicao_contratual!$Y60&gt;0,"",posicao_contratual!E60)))</f>
        <v/>
      </c>
      <c r="O60" s="145" t="str">
        <f>IF(A60="","",IF(posicao_contratual!$Y60="","",IF(posicao_contratual!$Y60&gt;1,"",posicao_contratual!I60)))</f>
        <v/>
      </c>
      <c r="P60" s="145" t="str">
        <f>IF(A60="","",IF(posicao_contratual!$Y60="","",IF(posicao_contratual!$Y60&gt;2,"",posicao_contratual!M60)))</f>
        <v/>
      </c>
      <c r="Q60" s="145" t="str">
        <f>IF(A60="","",IF(posicao_contratual!$Y60="","",IF(posicao_contratual!$Y60&gt;3,"",posicao_contratual!Q60)))</f>
        <v/>
      </c>
      <c r="R60" s="145" t="str">
        <f>IF(A60="","",IF(posicao_contratual!$Y60="","",IF(posicao_contratual!$Y60&gt;4,"",posicao_contratual!U60)))</f>
        <v/>
      </c>
      <c r="S60" s="165" t="str">
        <f>IF(A60="","",posicao_contratual!G60)</f>
        <v/>
      </c>
      <c r="T60" s="165" t="str">
        <f>IF(A60="","",posicao_contratual!K60)</f>
        <v/>
      </c>
      <c r="U60" s="165" t="str">
        <f>IF(A60="","",posicao_contratual!O60)</f>
        <v/>
      </c>
      <c r="V60" s="165" t="str">
        <f>IF(A60="","",posicao_contratual!S60)</f>
        <v/>
      </c>
      <c r="W60" s="165" t="str">
        <f>IF(A60="","",posicao_contratual!W60)</f>
        <v/>
      </c>
    </row>
    <row r="61" spans="1:23" x14ac:dyDescent="0.35">
      <c r="A61" s="86" t="str">
        <f>IF(itens_Remanesc!A61="","",itens_Remanesc!A61)</f>
        <v/>
      </c>
      <c r="B61" s="85" t="str">
        <f>IF(A61="","",IF(posicao_contratual!$Y61="","",IF(posicao_contratual!$Y61&gt;0,"",posicao_contratual!G61)))</f>
        <v/>
      </c>
      <c r="C61" s="79" t="str">
        <f>IF(itens_Remanesc!A61="","",IF(posicao_contratual!$Y61="","",IF(posicao_contratual!$Y61&gt;0,"",itens_Remanesc!C61)))</f>
        <v/>
      </c>
      <c r="D61" s="79" t="str">
        <f>IF(OR($A61="",posicao_contratual!$Y61=""),"",IF(posicao_contratual!$Y61&gt;1,"",IF(posicao_contratual!$Y61=1,IF(ISNUMBER(itens_Remanesc!C61),itens_Remanesc!C61,""),IF(OR(NOT(ISNUMBER(itens_Remanesc!C61)),NOT(ISNUMBER($L$3)),NOT(ISNUMBER(INDEX($L$2:$L$6,posicao_contratual!$Y61+1)))),"",ROUND(itens_Remanesc!C61*$L$3/INDEX($L$2:$L$6,posicao_contratual!$Y61+1),2)))))</f>
        <v/>
      </c>
      <c r="E61" s="79" t="str">
        <f>IF(OR($A61="",posicao_contratual!$Y61=""),"",IF(posicao_contratual!$Y61&gt;2,"",IF(posicao_contratual!$Y61=2,IF(ISNUMBER(itens_Remanesc!C61),itens_Remanesc!C61,""),IF(OR(NOT(ISNUMBER(itens_Remanesc!C61)),NOT(ISNUMBER($L$4)),NOT(ISNUMBER(INDEX($L$2:$L$6,posicao_contratual!$Y61+1)))),"",ROUND(itens_Remanesc!C61*$L$4/INDEX($L$2:$L$6,posicao_contratual!$Y61+1),2)))))</f>
        <v/>
      </c>
      <c r="F61" s="79" t="str">
        <f>IF(OR($A61="",posicao_contratual!$Y61=""),"",IF(posicao_contratual!$Y61&gt;3,"",IF(posicao_contratual!$Y61=3,IF(ISNUMBER(itens_Remanesc!C61),itens_Remanesc!C61,""),IF(OR(NOT(ISNUMBER(itens_Remanesc!C61)),NOT(ISNUMBER($L$5)),NOT(ISNUMBER(INDEX($L$2:$L$6,posicao_contratual!$Y61+1)))),"",ROUND(itens_Remanesc!C61*$L$5/INDEX($L$2:$L$6,posicao_contratual!$Y61+1),2)))))</f>
        <v/>
      </c>
      <c r="G61" s="79" t="str">
        <f>IF(OR($A61="",posicao_contratual!$Y61=""),"",IF(posicao_contratual!$Y61&gt;4,"",IF(posicao_contratual!$Y61=4,IF(ISNUMBER(itens_Remanesc!C61),itens_Remanesc!C61,""),IF(OR(NOT(ISNUMBER(itens_Remanesc!C61)),NOT(ISNUMBER($L$6)),NOT(ISNUMBER(INDEX($L$2:$L$6,posicao_contratual!$Y61+1)))),"",ROUND(itens_Remanesc!C61*$L$6/INDEX($L$2:$L$6,posicao_contratual!$Y61+1),2)))))</f>
        <v/>
      </c>
      <c r="H61" s="114" t="str">
        <f t="shared" si="1"/>
        <v/>
      </c>
      <c r="I61" s="14"/>
      <c r="J61" s="14"/>
      <c r="K61" s="14"/>
      <c r="L61" s="14"/>
      <c r="M61" s="14"/>
      <c r="N61" s="145" t="str">
        <f>IF(A61="","",IF(posicao_contratual!$Y61="","",IF(posicao_contratual!$Y61&gt;0,"",posicao_contratual!E61)))</f>
        <v/>
      </c>
      <c r="O61" s="145" t="str">
        <f>IF(A61="","",IF(posicao_contratual!$Y61="","",IF(posicao_contratual!$Y61&gt;1,"",posicao_contratual!I61)))</f>
        <v/>
      </c>
      <c r="P61" s="145" t="str">
        <f>IF(A61="","",IF(posicao_contratual!$Y61="","",IF(posicao_contratual!$Y61&gt;2,"",posicao_contratual!M61)))</f>
        <v/>
      </c>
      <c r="Q61" s="145" t="str">
        <f>IF(A61="","",IF(posicao_contratual!$Y61="","",IF(posicao_contratual!$Y61&gt;3,"",posicao_contratual!Q61)))</f>
        <v/>
      </c>
      <c r="R61" s="145" t="str">
        <f>IF(A61="","",IF(posicao_contratual!$Y61="","",IF(posicao_contratual!$Y61&gt;4,"",posicao_contratual!U61)))</f>
        <v/>
      </c>
      <c r="S61" s="165" t="str">
        <f>IF(A61="","",posicao_contratual!G61)</f>
        <v/>
      </c>
      <c r="T61" s="165" t="str">
        <f>IF(A61="","",posicao_contratual!K61)</f>
        <v/>
      </c>
      <c r="U61" s="165" t="str">
        <f>IF(A61="","",posicao_contratual!O61)</f>
        <v/>
      </c>
      <c r="V61" s="165" t="str">
        <f>IF(A61="","",posicao_contratual!S61)</f>
        <v/>
      </c>
      <c r="W61" s="165" t="str">
        <f>IF(A61="","",posicao_contratual!W61)</f>
        <v/>
      </c>
    </row>
    <row r="62" spans="1:23" x14ac:dyDescent="0.35">
      <c r="A62" s="86" t="str">
        <f>IF(itens_Remanesc!A62="","",itens_Remanesc!A62)</f>
        <v/>
      </c>
      <c r="B62" s="85" t="str">
        <f>IF(A62="","",IF(posicao_contratual!$Y62="","",IF(posicao_contratual!$Y62&gt;0,"",posicao_contratual!G62)))</f>
        <v/>
      </c>
      <c r="C62" s="79" t="str">
        <f>IF(itens_Remanesc!A62="","",IF(posicao_contratual!$Y62="","",IF(posicao_contratual!$Y62&gt;0,"",itens_Remanesc!C62)))</f>
        <v/>
      </c>
      <c r="D62" s="79" t="str">
        <f>IF(OR($A62="",posicao_contratual!$Y62=""),"",IF(posicao_contratual!$Y62&gt;1,"",IF(posicao_contratual!$Y62=1,IF(ISNUMBER(itens_Remanesc!C62),itens_Remanesc!C62,""),IF(OR(NOT(ISNUMBER(itens_Remanesc!C62)),NOT(ISNUMBER($L$3)),NOT(ISNUMBER(INDEX($L$2:$L$6,posicao_contratual!$Y62+1)))),"",ROUND(itens_Remanesc!C62*$L$3/INDEX($L$2:$L$6,posicao_contratual!$Y62+1),2)))))</f>
        <v/>
      </c>
      <c r="E62" s="79" t="str">
        <f>IF(OR($A62="",posicao_contratual!$Y62=""),"",IF(posicao_contratual!$Y62&gt;2,"",IF(posicao_contratual!$Y62=2,IF(ISNUMBER(itens_Remanesc!C62),itens_Remanesc!C62,""),IF(OR(NOT(ISNUMBER(itens_Remanesc!C62)),NOT(ISNUMBER($L$4)),NOT(ISNUMBER(INDEX($L$2:$L$6,posicao_contratual!$Y62+1)))),"",ROUND(itens_Remanesc!C62*$L$4/INDEX($L$2:$L$6,posicao_contratual!$Y62+1),2)))))</f>
        <v/>
      </c>
      <c r="F62" s="79" t="str">
        <f>IF(OR($A62="",posicao_contratual!$Y62=""),"",IF(posicao_contratual!$Y62&gt;3,"",IF(posicao_contratual!$Y62=3,IF(ISNUMBER(itens_Remanesc!C62),itens_Remanesc!C62,""),IF(OR(NOT(ISNUMBER(itens_Remanesc!C62)),NOT(ISNUMBER($L$5)),NOT(ISNUMBER(INDEX($L$2:$L$6,posicao_contratual!$Y62+1)))),"",ROUND(itens_Remanesc!C62*$L$5/INDEX($L$2:$L$6,posicao_contratual!$Y62+1),2)))))</f>
        <v/>
      </c>
      <c r="G62" s="79" t="str">
        <f>IF(OR($A62="",posicao_contratual!$Y62=""),"",IF(posicao_contratual!$Y62&gt;4,"",IF(posicao_contratual!$Y62=4,IF(ISNUMBER(itens_Remanesc!C62),itens_Remanesc!C62,""),IF(OR(NOT(ISNUMBER(itens_Remanesc!C62)),NOT(ISNUMBER($L$6)),NOT(ISNUMBER(INDEX($L$2:$L$6,posicao_contratual!$Y62+1)))),"",ROUND(itens_Remanesc!C62*$L$6/INDEX($L$2:$L$6,posicao_contratual!$Y62+1),2)))))</f>
        <v/>
      </c>
      <c r="H62" s="114" t="str">
        <f t="shared" si="1"/>
        <v/>
      </c>
      <c r="I62" s="14"/>
      <c r="J62" s="14"/>
      <c r="K62" s="14"/>
      <c r="L62" s="14"/>
      <c r="M62" s="14"/>
      <c r="N62" s="145" t="str">
        <f>IF(A62="","",IF(posicao_contratual!$Y62="","",IF(posicao_contratual!$Y62&gt;0,"",posicao_contratual!E62)))</f>
        <v/>
      </c>
      <c r="O62" s="145" t="str">
        <f>IF(A62="","",IF(posicao_contratual!$Y62="","",IF(posicao_contratual!$Y62&gt;1,"",posicao_contratual!I62)))</f>
        <v/>
      </c>
      <c r="P62" s="145" t="str">
        <f>IF(A62="","",IF(posicao_contratual!$Y62="","",IF(posicao_contratual!$Y62&gt;2,"",posicao_contratual!M62)))</f>
        <v/>
      </c>
      <c r="Q62" s="145" t="str">
        <f>IF(A62="","",IF(posicao_contratual!$Y62="","",IF(posicao_contratual!$Y62&gt;3,"",posicao_contratual!Q62)))</f>
        <v/>
      </c>
      <c r="R62" s="145" t="str">
        <f>IF(A62="","",IF(posicao_contratual!$Y62="","",IF(posicao_contratual!$Y62&gt;4,"",posicao_contratual!U62)))</f>
        <v/>
      </c>
      <c r="S62" s="165" t="str">
        <f>IF(A62="","",posicao_contratual!G62)</f>
        <v/>
      </c>
      <c r="T62" s="165" t="str">
        <f>IF(A62="","",posicao_contratual!K62)</f>
        <v/>
      </c>
      <c r="U62" s="165" t="str">
        <f>IF(A62="","",posicao_contratual!O62)</f>
        <v/>
      </c>
      <c r="V62" s="165" t="str">
        <f>IF(A62="","",posicao_contratual!S62)</f>
        <v/>
      </c>
      <c r="W62" s="165" t="str">
        <f>IF(A62="","",posicao_contratual!W62)</f>
        <v/>
      </c>
    </row>
    <row r="63" spans="1:23" x14ac:dyDescent="0.35">
      <c r="A63" s="86" t="str">
        <f>IF(itens_Remanesc!A63="","",itens_Remanesc!A63)</f>
        <v/>
      </c>
      <c r="B63" s="85" t="str">
        <f>IF(A63="","",IF(posicao_contratual!$Y63="","",IF(posicao_contratual!$Y63&gt;0,"",posicao_contratual!G63)))</f>
        <v/>
      </c>
      <c r="C63" s="79" t="str">
        <f>IF(itens_Remanesc!A63="","",IF(posicao_contratual!$Y63="","",IF(posicao_contratual!$Y63&gt;0,"",itens_Remanesc!C63)))</f>
        <v/>
      </c>
      <c r="D63" s="79" t="str">
        <f>IF(OR($A63="",posicao_contratual!$Y63=""),"",IF(posicao_contratual!$Y63&gt;1,"",IF(posicao_contratual!$Y63=1,IF(ISNUMBER(itens_Remanesc!C63),itens_Remanesc!C63,""),IF(OR(NOT(ISNUMBER(itens_Remanesc!C63)),NOT(ISNUMBER($L$3)),NOT(ISNUMBER(INDEX($L$2:$L$6,posicao_contratual!$Y63+1)))),"",ROUND(itens_Remanesc!C63*$L$3/INDEX($L$2:$L$6,posicao_contratual!$Y63+1),2)))))</f>
        <v/>
      </c>
      <c r="E63" s="79" t="str">
        <f>IF(OR($A63="",posicao_contratual!$Y63=""),"",IF(posicao_contratual!$Y63&gt;2,"",IF(posicao_contratual!$Y63=2,IF(ISNUMBER(itens_Remanesc!C63),itens_Remanesc!C63,""),IF(OR(NOT(ISNUMBER(itens_Remanesc!C63)),NOT(ISNUMBER($L$4)),NOT(ISNUMBER(INDEX($L$2:$L$6,posicao_contratual!$Y63+1)))),"",ROUND(itens_Remanesc!C63*$L$4/INDEX($L$2:$L$6,posicao_contratual!$Y63+1),2)))))</f>
        <v/>
      </c>
      <c r="F63" s="79" t="str">
        <f>IF(OR($A63="",posicao_contratual!$Y63=""),"",IF(posicao_contratual!$Y63&gt;3,"",IF(posicao_contratual!$Y63=3,IF(ISNUMBER(itens_Remanesc!C63),itens_Remanesc!C63,""),IF(OR(NOT(ISNUMBER(itens_Remanesc!C63)),NOT(ISNUMBER($L$5)),NOT(ISNUMBER(INDEX($L$2:$L$6,posicao_contratual!$Y63+1)))),"",ROUND(itens_Remanesc!C63*$L$5/INDEX($L$2:$L$6,posicao_contratual!$Y63+1),2)))))</f>
        <v/>
      </c>
      <c r="G63" s="79" t="str">
        <f>IF(OR($A63="",posicao_contratual!$Y63=""),"",IF(posicao_contratual!$Y63&gt;4,"",IF(posicao_contratual!$Y63=4,IF(ISNUMBER(itens_Remanesc!C63),itens_Remanesc!C63,""),IF(OR(NOT(ISNUMBER(itens_Remanesc!C63)),NOT(ISNUMBER($L$6)),NOT(ISNUMBER(INDEX($L$2:$L$6,posicao_contratual!$Y63+1)))),"",ROUND(itens_Remanesc!C63*$L$6/INDEX($L$2:$L$6,posicao_contratual!$Y63+1),2)))))</f>
        <v/>
      </c>
      <c r="H63" s="114" t="str">
        <f t="shared" si="1"/>
        <v/>
      </c>
      <c r="I63" s="14"/>
      <c r="J63" s="14"/>
      <c r="K63" s="14"/>
      <c r="L63" s="14"/>
      <c r="M63" s="14"/>
      <c r="N63" s="145" t="str">
        <f>IF(A63="","",IF(posicao_contratual!$Y63="","",IF(posicao_contratual!$Y63&gt;0,"",posicao_contratual!E63)))</f>
        <v/>
      </c>
      <c r="O63" s="145" t="str">
        <f>IF(A63="","",IF(posicao_contratual!$Y63="","",IF(posicao_contratual!$Y63&gt;1,"",posicao_contratual!I63)))</f>
        <v/>
      </c>
      <c r="P63" s="145" t="str">
        <f>IF(A63="","",IF(posicao_contratual!$Y63="","",IF(posicao_contratual!$Y63&gt;2,"",posicao_contratual!M63)))</f>
        <v/>
      </c>
      <c r="Q63" s="145" t="str">
        <f>IF(A63="","",IF(posicao_contratual!$Y63="","",IF(posicao_contratual!$Y63&gt;3,"",posicao_contratual!Q63)))</f>
        <v/>
      </c>
      <c r="R63" s="145" t="str">
        <f>IF(A63="","",IF(posicao_contratual!$Y63="","",IF(posicao_contratual!$Y63&gt;4,"",posicao_contratual!U63)))</f>
        <v/>
      </c>
      <c r="S63" s="165" t="str">
        <f>IF(A63="","",posicao_contratual!G63)</f>
        <v/>
      </c>
      <c r="T63" s="165" t="str">
        <f>IF(A63="","",posicao_contratual!K63)</f>
        <v/>
      </c>
      <c r="U63" s="165" t="str">
        <f>IF(A63="","",posicao_contratual!O63)</f>
        <v/>
      </c>
      <c r="V63" s="165" t="str">
        <f>IF(A63="","",posicao_contratual!S63)</f>
        <v/>
      </c>
      <c r="W63" s="165" t="str">
        <f>IF(A63="","",posicao_contratual!W63)</f>
        <v/>
      </c>
    </row>
    <row r="64" spans="1:23" x14ac:dyDescent="0.35">
      <c r="A64" s="86" t="str">
        <f>IF(itens_Remanesc!A64="","",itens_Remanesc!A64)</f>
        <v/>
      </c>
      <c r="B64" s="85" t="str">
        <f>IF(A64="","",IF(posicao_contratual!$Y64="","",IF(posicao_contratual!$Y64&gt;0,"",posicao_contratual!G64)))</f>
        <v/>
      </c>
      <c r="C64" s="79" t="str">
        <f>IF(itens_Remanesc!A64="","",IF(posicao_contratual!$Y64="","",IF(posicao_contratual!$Y64&gt;0,"",itens_Remanesc!C64)))</f>
        <v/>
      </c>
      <c r="D64" s="79" t="str">
        <f>IF(OR($A64="",posicao_contratual!$Y64=""),"",IF(posicao_contratual!$Y64&gt;1,"",IF(posicao_contratual!$Y64=1,IF(ISNUMBER(itens_Remanesc!C64),itens_Remanesc!C64,""),IF(OR(NOT(ISNUMBER(itens_Remanesc!C64)),NOT(ISNUMBER($L$3)),NOT(ISNUMBER(INDEX($L$2:$L$6,posicao_contratual!$Y64+1)))),"",ROUND(itens_Remanesc!C64*$L$3/INDEX($L$2:$L$6,posicao_contratual!$Y64+1),2)))))</f>
        <v/>
      </c>
      <c r="E64" s="79" t="str">
        <f>IF(OR($A64="",posicao_contratual!$Y64=""),"",IF(posicao_contratual!$Y64&gt;2,"",IF(posicao_contratual!$Y64=2,IF(ISNUMBER(itens_Remanesc!C64),itens_Remanesc!C64,""),IF(OR(NOT(ISNUMBER(itens_Remanesc!C64)),NOT(ISNUMBER($L$4)),NOT(ISNUMBER(INDEX($L$2:$L$6,posicao_contratual!$Y64+1)))),"",ROUND(itens_Remanesc!C64*$L$4/INDEX($L$2:$L$6,posicao_contratual!$Y64+1),2)))))</f>
        <v/>
      </c>
      <c r="F64" s="79" t="str">
        <f>IF(OR($A64="",posicao_contratual!$Y64=""),"",IF(posicao_contratual!$Y64&gt;3,"",IF(posicao_contratual!$Y64=3,IF(ISNUMBER(itens_Remanesc!C64),itens_Remanesc!C64,""),IF(OR(NOT(ISNUMBER(itens_Remanesc!C64)),NOT(ISNUMBER($L$5)),NOT(ISNUMBER(INDEX($L$2:$L$6,posicao_contratual!$Y64+1)))),"",ROUND(itens_Remanesc!C64*$L$5/INDEX($L$2:$L$6,posicao_contratual!$Y64+1),2)))))</f>
        <v/>
      </c>
      <c r="G64" s="79" t="str">
        <f>IF(OR($A64="",posicao_contratual!$Y64=""),"",IF(posicao_contratual!$Y64&gt;4,"",IF(posicao_contratual!$Y64=4,IF(ISNUMBER(itens_Remanesc!C64),itens_Remanesc!C64,""),IF(OR(NOT(ISNUMBER(itens_Remanesc!C64)),NOT(ISNUMBER($L$6)),NOT(ISNUMBER(INDEX($L$2:$L$6,posicao_contratual!$Y64+1)))),"",ROUND(itens_Remanesc!C64*$L$6/INDEX($L$2:$L$6,posicao_contratual!$Y64+1),2)))))</f>
        <v/>
      </c>
      <c r="H64" s="114" t="str">
        <f t="shared" si="1"/>
        <v/>
      </c>
      <c r="I64" s="14"/>
      <c r="J64" s="14"/>
      <c r="K64" s="14"/>
      <c r="L64" s="14"/>
      <c r="M64" s="14"/>
      <c r="N64" s="145" t="str">
        <f>IF(A64="","",IF(posicao_contratual!$Y64="","",IF(posicao_contratual!$Y64&gt;0,"",posicao_contratual!E64)))</f>
        <v/>
      </c>
      <c r="O64" s="145" t="str">
        <f>IF(A64="","",IF(posicao_contratual!$Y64="","",IF(posicao_contratual!$Y64&gt;1,"",posicao_contratual!I64)))</f>
        <v/>
      </c>
      <c r="P64" s="145" t="str">
        <f>IF(A64="","",IF(posicao_contratual!$Y64="","",IF(posicao_contratual!$Y64&gt;2,"",posicao_contratual!M64)))</f>
        <v/>
      </c>
      <c r="Q64" s="145" t="str">
        <f>IF(A64="","",IF(posicao_contratual!$Y64="","",IF(posicao_contratual!$Y64&gt;3,"",posicao_contratual!Q64)))</f>
        <v/>
      </c>
      <c r="R64" s="145" t="str">
        <f>IF(A64="","",IF(posicao_contratual!$Y64="","",IF(posicao_contratual!$Y64&gt;4,"",posicao_contratual!U64)))</f>
        <v/>
      </c>
      <c r="S64" s="165" t="str">
        <f>IF(A64="","",posicao_contratual!G64)</f>
        <v/>
      </c>
      <c r="T64" s="165" t="str">
        <f>IF(A64="","",posicao_contratual!K64)</f>
        <v/>
      </c>
      <c r="U64" s="165" t="str">
        <f>IF(A64="","",posicao_contratual!O64)</f>
        <v/>
      </c>
      <c r="V64" s="165" t="str">
        <f>IF(A64="","",posicao_contratual!S64)</f>
        <v/>
      </c>
      <c r="W64" s="165" t="str">
        <f>IF(A64="","",posicao_contratual!W64)</f>
        <v/>
      </c>
    </row>
    <row r="65" spans="1:23" x14ac:dyDescent="0.35">
      <c r="A65" s="86" t="str">
        <f>IF(itens_Remanesc!A65="","",itens_Remanesc!A65)</f>
        <v/>
      </c>
      <c r="B65" s="85" t="str">
        <f>IF(A65="","",IF(posicao_contratual!$Y65="","",IF(posicao_contratual!$Y65&gt;0,"",posicao_contratual!G65)))</f>
        <v/>
      </c>
      <c r="C65" s="79" t="str">
        <f>IF(itens_Remanesc!A65="","",IF(posicao_contratual!$Y65="","",IF(posicao_contratual!$Y65&gt;0,"",itens_Remanesc!C65)))</f>
        <v/>
      </c>
      <c r="D65" s="79" t="str">
        <f>IF(OR($A65="",posicao_contratual!$Y65=""),"",IF(posicao_contratual!$Y65&gt;1,"",IF(posicao_contratual!$Y65=1,IF(ISNUMBER(itens_Remanesc!C65),itens_Remanesc!C65,""),IF(OR(NOT(ISNUMBER(itens_Remanesc!C65)),NOT(ISNUMBER($L$3)),NOT(ISNUMBER(INDEX($L$2:$L$6,posicao_contratual!$Y65+1)))),"",ROUND(itens_Remanesc!C65*$L$3/INDEX($L$2:$L$6,posicao_contratual!$Y65+1),2)))))</f>
        <v/>
      </c>
      <c r="E65" s="79" t="str">
        <f>IF(OR($A65="",posicao_contratual!$Y65=""),"",IF(posicao_contratual!$Y65&gt;2,"",IF(posicao_contratual!$Y65=2,IF(ISNUMBER(itens_Remanesc!C65),itens_Remanesc!C65,""),IF(OR(NOT(ISNUMBER(itens_Remanesc!C65)),NOT(ISNUMBER($L$4)),NOT(ISNUMBER(INDEX($L$2:$L$6,posicao_contratual!$Y65+1)))),"",ROUND(itens_Remanesc!C65*$L$4/INDEX($L$2:$L$6,posicao_contratual!$Y65+1),2)))))</f>
        <v/>
      </c>
      <c r="F65" s="79" t="str">
        <f>IF(OR($A65="",posicao_contratual!$Y65=""),"",IF(posicao_contratual!$Y65&gt;3,"",IF(posicao_contratual!$Y65=3,IF(ISNUMBER(itens_Remanesc!C65),itens_Remanesc!C65,""),IF(OR(NOT(ISNUMBER(itens_Remanesc!C65)),NOT(ISNUMBER($L$5)),NOT(ISNUMBER(INDEX($L$2:$L$6,posicao_contratual!$Y65+1)))),"",ROUND(itens_Remanesc!C65*$L$5/INDEX($L$2:$L$6,posicao_contratual!$Y65+1),2)))))</f>
        <v/>
      </c>
      <c r="G65" s="79" t="str">
        <f>IF(OR($A65="",posicao_contratual!$Y65=""),"",IF(posicao_contratual!$Y65&gt;4,"",IF(posicao_contratual!$Y65=4,IF(ISNUMBER(itens_Remanesc!C65),itens_Remanesc!C65,""),IF(OR(NOT(ISNUMBER(itens_Remanesc!C65)),NOT(ISNUMBER($L$6)),NOT(ISNUMBER(INDEX($L$2:$L$6,posicao_contratual!$Y65+1)))),"",ROUND(itens_Remanesc!C65*$L$6/INDEX($L$2:$L$6,posicao_contratual!$Y65+1),2)))))</f>
        <v/>
      </c>
      <c r="H65" s="114" t="str">
        <f t="shared" si="1"/>
        <v/>
      </c>
      <c r="I65" s="14"/>
      <c r="J65" s="14"/>
      <c r="K65" s="14"/>
      <c r="L65" s="14"/>
      <c r="M65" s="14"/>
      <c r="N65" s="145" t="str">
        <f>IF(A65="","",IF(posicao_contratual!$Y65="","",IF(posicao_contratual!$Y65&gt;0,"",posicao_contratual!E65)))</f>
        <v/>
      </c>
      <c r="O65" s="145" t="str">
        <f>IF(A65="","",IF(posicao_contratual!$Y65="","",IF(posicao_contratual!$Y65&gt;1,"",posicao_contratual!I65)))</f>
        <v/>
      </c>
      <c r="P65" s="145" t="str">
        <f>IF(A65="","",IF(posicao_contratual!$Y65="","",IF(posicao_contratual!$Y65&gt;2,"",posicao_contratual!M65)))</f>
        <v/>
      </c>
      <c r="Q65" s="145" t="str">
        <f>IF(A65="","",IF(posicao_contratual!$Y65="","",IF(posicao_contratual!$Y65&gt;3,"",posicao_contratual!Q65)))</f>
        <v/>
      </c>
      <c r="R65" s="145" t="str">
        <f>IF(A65="","",IF(posicao_contratual!$Y65="","",IF(posicao_contratual!$Y65&gt;4,"",posicao_contratual!U65)))</f>
        <v/>
      </c>
      <c r="S65" s="165" t="str">
        <f>IF(A65="","",posicao_contratual!G65)</f>
        <v/>
      </c>
      <c r="T65" s="165" t="str">
        <f>IF(A65="","",posicao_contratual!K65)</f>
        <v/>
      </c>
      <c r="U65" s="165" t="str">
        <f>IF(A65="","",posicao_contratual!O65)</f>
        <v/>
      </c>
      <c r="V65" s="165" t="str">
        <f>IF(A65="","",posicao_contratual!S65)</f>
        <v/>
      </c>
      <c r="W65" s="165" t="str">
        <f>IF(A65="","",posicao_contratual!W65)</f>
        <v/>
      </c>
    </row>
    <row r="66" spans="1:23" x14ac:dyDescent="0.35">
      <c r="A66" s="86" t="str">
        <f>IF(itens_Remanesc!A66="","",itens_Remanesc!A66)</f>
        <v/>
      </c>
      <c r="B66" s="85" t="str">
        <f>IF(A66="","",IF(posicao_contratual!$Y66="","",IF(posicao_contratual!$Y66&gt;0,"",posicao_contratual!G66)))</f>
        <v/>
      </c>
      <c r="C66" s="79" t="str">
        <f>IF(itens_Remanesc!A66="","",IF(posicao_contratual!$Y66="","",IF(posicao_contratual!$Y66&gt;0,"",itens_Remanesc!C66)))</f>
        <v/>
      </c>
      <c r="D66" s="79" t="str">
        <f>IF(OR($A66="",posicao_contratual!$Y66=""),"",IF(posicao_contratual!$Y66&gt;1,"",IF(posicao_contratual!$Y66=1,IF(ISNUMBER(itens_Remanesc!C66),itens_Remanesc!C66,""),IF(OR(NOT(ISNUMBER(itens_Remanesc!C66)),NOT(ISNUMBER($L$3)),NOT(ISNUMBER(INDEX($L$2:$L$6,posicao_contratual!$Y66+1)))),"",ROUND(itens_Remanesc!C66*$L$3/INDEX($L$2:$L$6,posicao_contratual!$Y66+1),2)))))</f>
        <v/>
      </c>
      <c r="E66" s="79" t="str">
        <f>IF(OR($A66="",posicao_contratual!$Y66=""),"",IF(posicao_contratual!$Y66&gt;2,"",IF(posicao_contratual!$Y66=2,IF(ISNUMBER(itens_Remanesc!C66),itens_Remanesc!C66,""),IF(OR(NOT(ISNUMBER(itens_Remanesc!C66)),NOT(ISNUMBER($L$4)),NOT(ISNUMBER(INDEX($L$2:$L$6,posicao_contratual!$Y66+1)))),"",ROUND(itens_Remanesc!C66*$L$4/INDEX($L$2:$L$6,posicao_contratual!$Y66+1),2)))))</f>
        <v/>
      </c>
      <c r="F66" s="79" t="str">
        <f>IF(OR($A66="",posicao_contratual!$Y66=""),"",IF(posicao_contratual!$Y66&gt;3,"",IF(posicao_contratual!$Y66=3,IF(ISNUMBER(itens_Remanesc!C66),itens_Remanesc!C66,""),IF(OR(NOT(ISNUMBER(itens_Remanesc!C66)),NOT(ISNUMBER($L$5)),NOT(ISNUMBER(INDEX($L$2:$L$6,posicao_contratual!$Y66+1)))),"",ROUND(itens_Remanesc!C66*$L$5/INDEX($L$2:$L$6,posicao_contratual!$Y66+1),2)))))</f>
        <v/>
      </c>
      <c r="G66" s="79" t="str">
        <f>IF(OR($A66="",posicao_contratual!$Y66=""),"",IF(posicao_contratual!$Y66&gt;4,"",IF(posicao_contratual!$Y66=4,IF(ISNUMBER(itens_Remanesc!C66),itens_Remanesc!C66,""),IF(OR(NOT(ISNUMBER(itens_Remanesc!C66)),NOT(ISNUMBER($L$6)),NOT(ISNUMBER(INDEX($L$2:$L$6,posicao_contratual!$Y66+1)))),"",ROUND(itens_Remanesc!C66*$L$6/INDEX($L$2:$L$6,posicao_contratual!$Y66+1),2)))))</f>
        <v/>
      </c>
      <c r="H66" s="114" t="str">
        <f t="shared" ref="H66:H97" si="2">IF(OR(A66="",C66="",C66=0,NOT(ISNUMBER($L$6))),"",ROUND($L$6-1,4))</f>
        <v/>
      </c>
      <c r="I66" s="14"/>
      <c r="J66" s="14"/>
      <c r="K66" s="14"/>
      <c r="L66" s="14"/>
      <c r="M66" s="14"/>
      <c r="N66" s="145" t="str">
        <f>IF(A66="","",IF(posicao_contratual!$Y66="","",IF(posicao_contratual!$Y66&gt;0,"",posicao_contratual!E66)))</f>
        <v/>
      </c>
      <c r="O66" s="145" t="str">
        <f>IF(A66="","",IF(posicao_contratual!$Y66="","",IF(posicao_contratual!$Y66&gt;1,"",posicao_contratual!I66)))</f>
        <v/>
      </c>
      <c r="P66" s="145" t="str">
        <f>IF(A66="","",IF(posicao_contratual!$Y66="","",IF(posicao_contratual!$Y66&gt;2,"",posicao_contratual!M66)))</f>
        <v/>
      </c>
      <c r="Q66" s="145" t="str">
        <f>IF(A66="","",IF(posicao_contratual!$Y66="","",IF(posicao_contratual!$Y66&gt;3,"",posicao_contratual!Q66)))</f>
        <v/>
      </c>
      <c r="R66" s="145" t="str">
        <f>IF(A66="","",IF(posicao_contratual!$Y66="","",IF(posicao_contratual!$Y66&gt;4,"",posicao_contratual!U66)))</f>
        <v/>
      </c>
      <c r="S66" s="165" t="str">
        <f>IF(A66="","",posicao_contratual!G66)</f>
        <v/>
      </c>
      <c r="T66" s="165" t="str">
        <f>IF(A66="","",posicao_contratual!K66)</f>
        <v/>
      </c>
      <c r="U66" s="165" t="str">
        <f>IF(A66="","",posicao_contratual!O66)</f>
        <v/>
      </c>
      <c r="V66" s="165" t="str">
        <f>IF(A66="","",posicao_contratual!S66)</f>
        <v/>
      </c>
      <c r="W66" s="165" t="str">
        <f>IF(A66="","",posicao_contratual!W66)</f>
        <v/>
      </c>
    </row>
    <row r="67" spans="1:23" x14ac:dyDescent="0.35">
      <c r="A67" s="86" t="str">
        <f>IF(itens_Remanesc!A67="","",itens_Remanesc!A67)</f>
        <v/>
      </c>
      <c r="B67" s="85" t="str">
        <f>IF(A67="","",IF(posicao_contratual!$Y67="","",IF(posicao_contratual!$Y67&gt;0,"",posicao_contratual!G67)))</f>
        <v/>
      </c>
      <c r="C67" s="79" t="str">
        <f>IF(itens_Remanesc!A67="","",IF(posicao_contratual!$Y67="","",IF(posicao_contratual!$Y67&gt;0,"",itens_Remanesc!C67)))</f>
        <v/>
      </c>
      <c r="D67" s="79" t="str">
        <f>IF(OR($A67="",posicao_contratual!$Y67=""),"",IF(posicao_contratual!$Y67&gt;1,"",IF(posicao_contratual!$Y67=1,IF(ISNUMBER(itens_Remanesc!C67),itens_Remanesc!C67,""),IF(OR(NOT(ISNUMBER(itens_Remanesc!C67)),NOT(ISNUMBER($L$3)),NOT(ISNUMBER(INDEX($L$2:$L$6,posicao_contratual!$Y67+1)))),"",ROUND(itens_Remanesc!C67*$L$3/INDEX($L$2:$L$6,posicao_contratual!$Y67+1),2)))))</f>
        <v/>
      </c>
      <c r="E67" s="79" t="str">
        <f>IF(OR($A67="",posicao_contratual!$Y67=""),"",IF(posicao_contratual!$Y67&gt;2,"",IF(posicao_contratual!$Y67=2,IF(ISNUMBER(itens_Remanesc!C67),itens_Remanesc!C67,""),IF(OR(NOT(ISNUMBER(itens_Remanesc!C67)),NOT(ISNUMBER($L$4)),NOT(ISNUMBER(INDEX($L$2:$L$6,posicao_contratual!$Y67+1)))),"",ROUND(itens_Remanesc!C67*$L$4/INDEX($L$2:$L$6,posicao_contratual!$Y67+1),2)))))</f>
        <v/>
      </c>
      <c r="F67" s="79" t="str">
        <f>IF(OR($A67="",posicao_contratual!$Y67=""),"",IF(posicao_contratual!$Y67&gt;3,"",IF(posicao_contratual!$Y67=3,IF(ISNUMBER(itens_Remanesc!C67),itens_Remanesc!C67,""),IF(OR(NOT(ISNUMBER(itens_Remanesc!C67)),NOT(ISNUMBER($L$5)),NOT(ISNUMBER(INDEX($L$2:$L$6,posicao_contratual!$Y67+1)))),"",ROUND(itens_Remanesc!C67*$L$5/INDEX($L$2:$L$6,posicao_contratual!$Y67+1),2)))))</f>
        <v/>
      </c>
      <c r="G67" s="79" t="str">
        <f>IF(OR($A67="",posicao_contratual!$Y67=""),"",IF(posicao_contratual!$Y67&gt;4,"",IF(posicao_contratual!$Y67=4,IF(ISNUMBER(itens_Remanesc!C67),itens_Remanesc!C67,""),IF(OR(NOT(ISNUMBER(itens_Remanesc!C67)),NOT(ISNUMBER($L$6)),NOT(ISNUMBER(INDEX($L$2:$L$6,posicao_contratual!$Y67+1)))),"",ROUND(itens_Remanesc!C67*$L$6/INDEX($L$2:$L$6,posicao_contratual!$Y67+1),2)))))</f>
        <v/>
      </c>
      <c r="H67" s="114" t="str">
        <f t="shared" si="2"/>
        <v/>
      </c>
      <c r="I67" s="14"/>
      <c r="J67" s="14"/>
      <c r="K67" s="14"/>
      <c r="L67" s="14"/>
      <c r="M67" s="14"/>
      <c r="N67" s="145" t="str">
        <f>IF(A67="","",IF(posicao_contratual!$Y67="","",IF(posicao_contratual!$Y67&gt;0,"",posicao_contratual!E67)))</f>
        <v/>
      </c>
      <c r="O67" s="145" t="str">
        <f>IF(A67="","",IF(posicao_contratual!$Y67="","",IF(posicao_contratual!$Y67&gt;1,"",posicao_contratual!I67)))</f>
        <v/>
      </c>
      <c r="P67" s="145" t="str">
        <f>IF(A67="","",IF(posicao_contratual!$Y67="","",IF(posicao_contratual!$Y67&gt;2,"",posicao_contratual!M67)))</f>
        <v/>
      </c>
      <c r="Q67" s="145" t="str">
        <f>IF(A67="","",IF(posicao_contratual!$Y67="","",IF(posicao_contratual!$Y67&gt;3,"",posicao_contratual!Q67)))</f>
        <v/>
      </c>
      <c r="R67" s="145" t="str">
        <f>IF(A67="","",IF(posicao_contratual!$Y67="","",IF(posicao_contratual!$Y67&gt;4,"",posicao_contratual!U67)))</f>
        <v/>
      </c>
      <c r="S67" s="165" t="str">
        <f>IF(A67="","",posicao_contratual!G67)</f>
        <v/>
      </c>
      <c r="T67" s="165" t="str">
        <f>IF(A67="","",posicao_contratual!K67)</f>
        <v/>
      </c>
      <c r="U67" s="165" t="str">
        <f>IF(A67="","",posicao_contratual!O67)</f>
        <v/>
      </c>
      <c r="V67" s="165" t="str">
        <f>IF(A67="","",posicao_contratual!S67)</f>
        <v/>
      </c>
      <c r="W67" s="165" t="str">
        <f>IF(A67="","",posicao_contratual!W67)</f>
        <v/>
      </c>
    </row>
    <row r="68" spans="1:23" x14ac:dyDescent="0.35">
      <c r="A68" s="86" t="str">
        <f>IF(itens_Remanesc!A68="","",itens_Remanesc!A68)</f>
        <v/>
      </c>
      <c r="B68" s="85" t="str">
        <f>IF(A68="","",IF(posicao_contratual!$Y68="","",IF(posicao_contratual!$Y68&gt;0,"",posicao_contratual!G68)))</f>
        <v/>
      </c>
      <c r="C68" s="79" t="str">
        <f>IF(itens_Remanesc!A68="","",IF(posicao_contratual!$Y68="","",IF(posicao_contratual!$Y68&gt;0,"",itens_Remanesc!C68)))</f>
        <v/>
      </c>
      <c r="D68" s="79" t="str">
        <f>IF(OR($A68="",posicao_contratual!$Y68=""),"",IF(posicao_contratual!$Y68&gt;1,"",IF(posicao_contratual!$Y68=1,IF(ISNUMBER(itens_Remanesc!C68),itens_Remanesc!C68,""),IF(OR(NOT(ISNUMBER(itens_Remanesc!C68)),NOT(ISNUMBER($L$3)),NOT(ISNUMBER(INDEX($L$2:$L$6,posicao_contratual!$Y68+1)))),"",ROUND(itens_Remanesc!C68*$L$3/INDEX($L$2:$L$6,posicao_contratual!$Y68+1),2)))))</f>
        <v/>
      </c>
      <c r="E68" s="79" t="str">
        <f>IF(OR($A68="",posicao_contratual!$Y68=""),"",IF(posicao_contratual!$Y68&gt;2,"",IF(posicao_contratual!$Y68=2,IF(ISNUMBER(itens_Remanesc!C68),itens_Remanesc!C68,""),IF(OR(NOT(ISNUMBER(itens_Remanesc!C68)),NOT(ISNUMBER($L$4)),NOT(ISNUMBER(INDEX($L$2:$L$6,posicao_contratual!$Y68+1)))),"",ROUND(itens_Remanesc!C68*$L$4/INDEX($L$2:$L$6,posicao_contratual!$Y68+1),2)))))</f>
        <v/>
      </c>
      <c r="F68" s="79" t="str">
        <f>IF(OR($A68="",posicao_contratual!$Y68=""),"",IF(posicao_contratual!$Y68&gt;3,"",IF(posicao_contratual!$Y68=3,IF(ISNUMBER(itens_Remanesc!C68),itens_Remanesc!C68,""),IF(OR(NOT(ISNUMBER(itens_Remanesc!C68)),NOT(ISNUMBER($L$5)),NOT(ISNUMBER(INDEX($L$2:$L$6,posicao_contratual!$Y68+1)))),"",ROUND(itens_Remanesc!C68*$L$5/INDEX($L$2:$L$6,posicao_contratual!$Y68+1),2)))))</f>
        <v/>
      </c>
      <c r="G68" s="79" t="str">
        <f>IF(OR($A68="",posicao_contratual!$Y68=""),"",IF(posicao_contratual!$Y68&gt;4,"",IF(posicao_contratual!$Y68=4,IF(ISNUMBER(itens_Remanesc!C68),itens_Remanesc!C68,""),IF(OR(NOT(ISNUMBER(itens_Remanesc!C68)),NOT(ISNUMBER($L$6)),NOT(ISNUMBER(INDEX($L$2:$L$6,posicao_contratual!$Y68+1)))),"",ROUND(itens_Remanesc!C68*$L$6/INDEX($L$2:$L$6,posicao_contratual!$Y68+1),2)))))</f>
        <v/>
      </c>
      <c r="H68" s="114" t="str">
        <f t="shared" si="2"/>
        <v/>
      </c>
      <c r="I68" s="14"/>
      <c r="J68" s="14"/>
      <c r="K68" s="14"/>
      <c r="L68" s="14"/>
      <c r="M68" s="14"/>
      <c r="N68" s="145" t="str">
        <f>IF(A68="","",IF(posicao_contratual!$Y68="","",IF(posicao_contratual!$Y68&gt;0,"",posicao_contratual!E68)))</f>
        <v/>
      </c>
      <c r="O68" s="145" t="str">
        <f>IF(A68="","",IF(posicao_contratual!$Y68="","",IF(posicao_contratual!$Y68&gt;1,"",posicao_contratual!I68)))</f>
        <v/>
      </c>
      <c r="P68" s="145" t="str">
        <f>IF(A68="","",IF(posicao_contratual!$Y68="","",IF(posicao_contratual!$Y68&gt;2,"",posicao_contratual!M68)))</f>
        <v/>
      </c>
      <c r="Q68" s="145" t="str">
        <f>IF(A68="","",IF(posicao_contratual!$Y68="","",IF(posicao_contratual!$Y68&gt;3,"",posicao_contratual!Q68)))</f>
        <v/>
      </c>
      <c r="R68" s="145" t="str">
        <f>IF(A68="","",IF(posicao_contratual!$Y68="","",IF(posicao_contratual!$Y68&gt;4,"",posicao_contratual!U68)))</f>
        <v/>
      </c>
      <c r="S68" s="165" t="str">
        <f>IF(A68="","",posicao_contratual!G68)</f>
        <v/>
      </c>
      <c r="T68" s="165" t="str">
        <f>IF(A68="","",posicao_contratual!K68)</f>
        <v/>
      </c>
      <c r="U68" s="165" t="str">
        <f>IF(A68="","",posicao_contratual!O68)</f>
        <v/>
      </c>
      <c r="V68" s="165" t="str">
        <f>IF(A68="","",posicao_contratual!S68)</f>
        <v/>
      </c>
      <c r="W68" s="165" t="str">
        <f>IF(A68="","",posicao_contratual!W68)</f>
        <v/>
      </c>
    </row>
    <row r="69" spans="1:23" x14ac:dyDescent="0.35">
      <c r="A69" s="86" t="str">
        <f>IF(itens_Remanesc!A69="","",itens_Remanesc!A69)</f>
        <v/>
      </c>
      <c r="B69" s="85" t="str">
        <f>IF(A69="","",IF(posicao_contratual!$Y69="","",IF(posicao_contratual!$Y69&gt;0,"",posicao_contratual!G69)))</f>
        <v/>
      </c>
      <c r="C69" s="79" t="str">
        <f>IF(itens_Remanesc!A69="","",IF(posicao_contratual!$Y69="","",IF(posicao_contratual!$Y69&gt;0,"",itens_Remanesc!C69)))</f>
        <v/>
      </c>
      <c r="D69" s="79" t="str">
        <f>IF(OR($A69="",posicao_contratual!$Y69=""),"",IF(posicao_contratual!$Y69&gt;1,"",IF(posicao_contratual!$Y69=1,IF(ISNUMBER(itens_Remanesc!C69),itens_Remanesc!C69,""),IF(OR(NOT(ISNUMBER(itens_Remanesc!C69)),NOT(ISNUMBER($L$3)),NOT(ISNUMBER(INDEX($L$2:$L$6,posicao_contratual!$Y69+1)))),"",ROUND(itens_Remanesc!C69*$L$3/INDEX($L$2:$L$6,posicao_contratual!$Y69+1),2)))))</f>
        <v/>
      </c>
      <c r="E69" s="79" t="str">
        <f>IF(OR($A69="",posicao_contratual!$Y69=""),"",IF(posicao_contratual!$Y69&gt;2,"",IF(posicao_contratual!$Y69=2,IF(ISNUMBER(itens_Remanesc!C69),itens_Remanesc!C69,""),IF(OR(NOT(ISNUMBER(itens_Remanesc!C69)),NOT(ISNUMBER($L$4)),NOT(ISNUMBER(INDEX($L$2:$L$6,posicao_contratual!$Y69+1)))),"",ROUND(itens_Remanesc!C69*$L$4/INDEX($L$2:$L$6,posicao_contratual!$Y69+1),2)))))</f>
        <v/>
      </c>
      <c r="F69" s="79" t="str">
        <f>IF(OR($A69="",posicao_contratual!$Y69=""),"",IF(posicao_contratual!$Y69&gt;3,"",IF(posicao_contratual!$Y69=3,IF(ISNUMBER(itens_Remanesc!C69),itens_Remanesc!C69,""),IF(OR(NOT(ISNUMBER(itens_Remanesc!C69)),NOT(ISNUMBER($L$5)),NOT(ISNUMBER(INDEX($L$2:$L$6,posicao_contratual!$Y69+1)))),"",ROUND(itens_Remanesc!C69*$L$5/INDEX($L$2:$L$6,posicao_contratual!$Y69+1),2)))))</f>
        <v/>
      </c>
      <c r="G69" s="79" t="str">
        <f>IF(OR($A69="",posicao_contratual!$Y69=""),"",IF(posicao_contratual!$Y69&gt;4,"",IF(posicao_contratual!$Y69=4,IF(ISNUMBER(itens_Remanesc!C69),itens_Remanesc!C69,""),IF(OR(NOT(ISNUMBER(itens_Remanesc!C69)),NOT(ISNUMBER($L$6)),NOT(ISNUMBER(INDEX($L$2:$L$6,posicao_contratual!$Y69+1)))),"",ROUND(itens_Remanesc!C69*$L$6/INDEX($L$2:$L$6,posicao_contratual!$Y69+1),2)))))</f>
        <v/>
      </c>
      <c r="H69" s="114" t="str">
        <f t="shared" si="2"/>
        <v/>
      </c>
      <c r="I69" s="14"/>
      <c r="J69" s="14"/>
      <c r="K69" s="14"/>
      <c r="L69" s="14"/>
      <c r="M69" s="14"/>
      <c r="N69" s="145" t="str">
        <f>IF(A69="","",IF(posicao_contratual!$Y69="","",IF(posicao_contratual!$Y69&gt;0,"",posicao_contratual!E69)))</f>
        <v/>
      </c>
      <c r="O69" s="145" t="str">
        <f>IF(A69="","",IF(posicao_contratual!$Y69="","",IF(posicao_contratual!$Y69&gt;1,"",posicao_contratual!I69)))</f>
        <v/>
      </c>
      <c r="P69" s="145" t="str">
        <f>IF(A69="","",IF(posicao_contratual!$Y69="","",IF(posicao_contratual!$Y69&gt;2,"",posicao_contratual!M69)))</f>
        <v/>
      </c>
      <c r="Q69" s="145" t="str">
        <f>IF(A69="","",IF(posicao_contratual!$Y69="","",IF(posicao_contratual!$Y69&gt;3,"",posicao_contratual!Q69)))</f>
        <v/>
      </c>
      <c r="R69" s="145" t="str">
        <f>IF(A69="","",IF(posicao_contratual!$Y69="","",IF(posicao_contratual!$Y69&gt;4,"",posicao_contratual!U69)))</f>
        <v/>
      </c>
      <c r="S69" s="165" t="str">
        <f>IF(A69="","",posicao_contratual!G69)</f>
        <v/>
      </c>
      <c r="T69" s="165" t="str">
        <f>IF(A69="","",posicao_contratual!K69)</f>
        <v/>
      </c>
      <c r="U69" s="165" t="str">
        <f>IF(A69="","",posicao_contratual!O69)</f>
        <v/>
      </c>
      <c r="V69" s="165" t="str">
        <f>IF(A69="","",posicao_contratual!S69)</f>
        <v/>
      </c>
      <c r="W69" s="165" t="str">
        <f>IF(A69="","",posicao_contratual!W69)</f>
        <v/>
      </c>
    </row>
    <row r="70" spans="1:23" x14ac:dyDescent="0.35">
      <c r="A70" s="86" t="str">
        <f>IF(itens_Remanesc!A70="","",itens_Remanesc!A70)</f>
        <v/>
      </c>
      <c r="B70" s="85" t="str">
        <f>IF(A70="","",IF(posicao_contratual!$Y70="","",IF(posicao_contratual!$Y70&gt;0,"",posicao_contratual!G70)))</f>
        <v/>
      </c>
      <c r="C70" s="79" t="str">
        <f>IF(itens_Remanesc!A70="","",IF(posicao_contratual!$Y70="","",IF(posicao_contratual!$Y70&gt;0,"",itens_Remanesc!C70)))</f>
        <v/>
      </c>
      <c r="D70" s="79" t="str">
        <f>IF(OR($A70="",posicao_contratual!$Y70=""),"",IF(posicao_contratual!$Y70&gt;1,"",IF(posicao_contratual!$Y70=1,IF(ISNUMBER(itens_Remanesc!C70),itens_Remanesc!C70,""),IF(OR(NOT(ISNUMBER(itens_Remanesc!C70)),NOT(ISNUMBER($L$3)),NOT(ISNUMBER(INDEX($L$2:$L$6,posicao_contratual!$Y70+1)))),"",ROUND(itens_Remanesc!C70*$L$3/INDEX($L$2:$L$6,posicao_contratual!$Y70+1),2)))))</f>
        <v/>
      </c>
      <c r="E70" s="79" t="str">
        <f>IF(OR($A70="",posicao_contratual!$Y70=""),"",IF(posicao_contratual!$Y70&gt;2,"",IF(posicao_contratual!$Y70=2,IF(ISNUMBER(itens_Remanesc!C70),itens_Remanesc!C70,""),IF(OR(NOT(ISNUMBER(itens_Remanesc!C70)),NOT(ISNUMBER($L$4)),NOT(ISNUMBER(INDEX($L$2:$L$6,posicao_contratual!$Y70+1)))),"",ROUND(itens_Remanesc!C70*$L$4/INDEX($L$2:$L$6,posicao_contratual!$Y70+1),2)))))</f>
        <v/>
      </c>
      <c r="F70" s="79" t="str">
        <f>IF(OR($A70="",posicao_contratual!$Y70=""),"",IF(posicao_contratual!$Y70&gt;3,"",IF(posicao_contratual!$Y70=3,IF(ISNUMBER(itens_Remanesc!C70),itens_Remanesc!C70,""),IF(OR(NOT(ISNUMBER(itens_Remanesc!C70)),NOT(ISNUMBER($L$5)),NOT(ISNUMBER(INDEX($L$2:$L$6,posicao_contratual!$Y70+1)))),"",ROUND(itens_Remanesc!C70*$L$5/INDEX($L$2:$L$6,posicao_contratual!$Y70+1),2)))))</f>
        <v/>
      </c>
      <c r="G70" s="79" t="str">
        <f>IF(OR($A70="",posicao_contratual!$Y70=""),"",IF(posicao_contratual!$Y70&gt;4,"",IF(posicao_contratual!$Y70=4,IF(ISNUMBER(itens_Remanesc!C70),itens_Remanesc!C70,""),IF(OR(NOT(ISNUMBER(itens_Remanesc!C70)),NOT(ISNUMBER($L$6)),NOT(ISNUMBER(INDEX($L$2:$L$6,posicao_contratual!$Y70+1)))),"",ROUND(itens_Remanesc!C70*$L$6/INDEX($L$2:$L$6,posicao_contratual!$Y70+1),2)))))</f>
        <v/>
      </c>
      <c r="H70" s="114" t="str">
        <f t="shared" si="2"/>
        <v/>
      </c>
      <c r="I70" s="14"/>
      <c r="J70" s="14"/>
      <c r="K70" s="14"/>
      <c r="L70" s="14"/>
      <c r="M70" s="14"/>
      <c r="N70" s="145" t="str">
        <f>IF(A70="","",IF(posicao_contratual!$Y70="","",IF(posicao_contratual!$Y70&gt;0,"",posicao_contratual!E70)))</f>
        <v/>
      </c>
      <c r="O70" s="145" t="str">
        <f>IF(A70="","",IF(posicao_contratual!$Y70="","",IF(posicao_contratual!$Y70&gt;1,"",posicao_contratual!I70)))</f>
        <v/>
      </c>
      <c r="P70" s="145" t="str">
        <f>IF(A70="","",IF(posicao_contratual!$Y70="","",IF(posicao_contratual!$Y70&gt;2,"",posicao_contratual!M70)))</f>
        <v/>
      </c>
      <c r="Q70" s="145" t="str">
        <f>IF(A70="","",IF(posicao_contratual!$Y70="","",IF(posicao_contratual!$Y70&gt;3,"",posicao_contratual!Q70)))</f>
        <v/>
      </c>
      <c r="R70" s="145" t="str">
        <f>IF(A70="","",IF(posicao_contratual!$Y70="","",IF(posicao_contratual!$Y70&gt;4,"",posicao_contratual!U70)))</f>
        <v/>
      </c>
      <c r="S70" s="165" t="str">
        <f>IF(A70="","",posicao_contratual!G70)</f>
        <v/>
      </c>
      <c r="T70" s="165" t="str">
        <f>IF(A70="","",posicao_contratual!K70)</f>
        <v/>
      </c>
      <c r="U70" s="165" t="str">
        <f>IF(A70="","",posicao_contratual!O70)</f>
        <v/>
      </c>
      <c r="V70" s="165" t="str">
        <f>IF(A70="","",posicao_contratual!S70)</f>
        <v/>
      </c>
      <c r="W70" s="165" t="str">
        <f>IF(A70="","",posicao_contratual!W70)</f>
        <v/>
      </c>
    </row>
    <row r="71" spans="1:23" x14ac:dyDescent="0.35">
      <c r="A71" s="86" t="str">
        <f>IF(itens_Remanesc!A71="","",itens_Remanesc!A71)</f>
        <v/>
      </c>
      <c r="B71" s="85" t="str">
        <f>IF(A71="","",IF(posicao_contratual!$Y71="","",IF(posicao_contratual!$Y71&gt;0,"",posicao_contratual!G71)))</f>
        <v/>
      </c>
      <c r="C71" s="79" t="str">
        <f>IF(itens_Remanesc!A71="","",IF(posicao_contratual!$Y71="","",IF(posicao_contratual!$Y71&gt;0,"",itens_Remanesc!C71)))</f>
        <v/>
      </c>
      <c r="D71" s="79" t="str">
        <f>IF(OR($A71="",posicao_contratual!$Y71=""),"",IF(posicao_contratual!$Y71&gt;1,"",IF(posicao_contratual!$Y71=1,IF(ISNUMBER(itens_Remanesc!C71),itens_Remanesc!C71,""),IF(OR(NOT(ISNUMBER(itens_Remanesc!C71)),NOT(ISNUMBER($L$3)),NOT(ISNUMBER(INDEX($L$2:$L$6,posicao_contratual!$Y71+1)))),"",ROUND(itens_Remanesc!C71*$L$3/INDEX($L$2:$L$6,posicao_contratual!$Y71+1),2)))))</f>
        <v/>
      </c>
      <c r="E71" s="79" t="str">
        <f>IF(OR($A71="",posicao_contratual!$Y71=""),"",IF(posicao_contratual!$Y71&gt;2,"",IF(posicao_contratual!$Y71=2,IF(ISNUMBER(itens_Remanesc!C71),itens_Remanesc!C71,""),IF(OR(NOT(ISNUMBER(itens_Remanesc!C71)),NOT(ISNUMBER($L$4)),NOT(ISNUMBER(INDEX($L$2:$L$6,posicao_contratual!$Y71+1)))),"",ROUND(itens_Remanesc!C71*$L$4/INDEX($L$2:$L$6,posicao_contratual!$Y71+1),2)))))</f>
        <v/>
      </c>
      <c r="F71" s="79" t="str">
        <f>IF(OR($A71="",posicao_contratual!$Y71=""),"",IF(posicao_contratual!$Y71&gt;3,"",IF(posicao_contratual!$Y71=3,IF(ISNUMBER(itens_Remanesc!C71),itens_Remanesc!C71,""),IF(OR(NOT(ISNUMBER(itens_Remanesc!C71)),NOT(ISNUMBER($L$5)),NOT(ISNUMBER(INDEX($L$2:$L$6,posicao_contratual!$Y71+1)))),"",ROUND(itens_Remanesc!C71*$L$5/INDEX($L$2:$L$6,posicao_contratual!$Y71+1),2)))))</f>
        <v/>
      </c>
      <c r="G71" s="79" t="str">
        <f>IF(OR($A71="",posicao_contratual!$Y71=""),"",IF(posicao_contratual!$Y71&gt;4,"",IF(posicao_contratual!$Y71=4,IF(ISNUMBER(itens_Remanesc!C71),itens_Remanesc!C71,""),IF(OR(NOT(ISNUMBER(itens_Remanesc!C71)),NOT(ISNUMBER($L$6)),NOT(ISNUMBER(INDEX($L$2:$L$6,posicao_contratual!$Y71+1)))),"",ROUND(itens_Remanesc!C71*$L$6/INDEX($L$2:$L$6,posicao_contratual!$Y71+1),2)))))</f>
        <v/>
      </c>
      <c r="H71" s="114" t="str">
        <f t="shared" si="2"/>
        <v/>
      </c>
      <c r="I71" s="14"/>
      <c r="J71" s="14"/>
      <c r="K71" s="14"/>
      <c r="L71" s="14"/>
      <c r="M71" s="14"/>
      <c r="N71" s="145" t="str">
        <f>IF(A71="","",IF(posicao_contratual!$Y71="","",IF(posicao_contratual!$Y71&gt;0,"",posicao_contratual!E71)))</f>
        <v/>
      </c>
      <c r="O71" s="145" t="str">
        <f>IF(A71="","",IF(posicao_contratual!$Y71="","",IF(posicao_contratual!$Y71&gt;1,"",posicao_contratual!I71)))</f>
        <v/>
      </c>
      <c r="P71" s="145" t="str">
        <f>IF(A71="","",IF(posicao_contratual!$Y71="","",IF(posicao_contratual!$Y71&gt;2,"",posicao_contratual!M71)))</f>
        <v/>
      </c>
      <c r="Q71" s="145" t="str">
        <f>IF(A71="","",IF(posicao_contratual!$Y71="","",IF(posicao_contratual!$Y71&gt;3,"",posicao_contratual!Q71)))</f>
        <v/>
      </c>
      <c r="R71" s="145" t="str">
        <f>IF(A71="","",IF(posicao_contratual!$Y71="","",IF(posicao_contratual!$Y71&gt;4,"",posicao_contratual!U71)))</f>
        <v/>
      </c>
      <c r="S71" s="165" t="str">
        <f>IF(A71="","",posicao_contratual!G71)</f>
        <v/>
      </c>
      <c r="T71" s="165" t="str">
        <f>IF(A71="","",posicao_contratual!K71)</f>
        <v/>
      </c>
      <c r="U71" s="165" t="str">
        <f>IF(A71="","",posicao_contratual!O71)</f>
        <v/>
      </c>
      <c r="V71" s="165" t="str">
        <f>IF(A71="","",posicao_contratual!S71)</f>
        <v/>
      </c>
      <c r="W71" s="165" t="str">
        <f>IF(A71="","",posicao_contratual!W71)</f>
        <v/>
      </c>
    </row>
    <row r="72" spans="1:23" x14ac:dyDescent="0.35">
      <c r="A72" s="86" t="str">
        <f>IF(itens_Remanesc!A72="","",itens_Remanesc!A72)</f>
        <v/>
      </c>
      <c r="B72" s="85" t="str">
        <f>IF(A72="","",IF(posicao_contratual!$Y72="","",IF(posicao_contratual!$Y72&gt;0,"",posicao_contratual!G72)))</f>
        <v/>
      </c>
      <c r="C72" s="79" t="str">
        <f>IF(itens_Remanesc!A72="","",IF(posicao_contratual!$Y72="","",IF(posicao_contratual!$Y72&gt;0,"",itens_Remanesc!C72)))</f>
        <v/>
      </c>
      <c r="D72" s="79" t="str">
        <f>IF(OR($A72="",posicao_contratual!$Y72=""),"",IF(posicao_contratual!$Y72&gt;1,"",IF(posicao_contratual!$Y72=1,IF(ISNUMBER(itens_Remanesc!C72),itens_Remanesc!C72,""),IF(OR(NOT(ISNUMBER(itens_Remanesc!C72)),NOT(ISNUMBER($L$3)),NOT(ISNUMBER(INDEX($L$2:$L$6,posicao_contratual!$Y72+1)))),"",ROUND(itens_Remanesc!C72*$L$3/INDEX($L$2:$L$6,posicao_contratual!$Y72+1),2)))))</f>
        <v/>
      </c>
      <c r="E72" s="79" t="str">
        <f>IF(OR($A72="",posicao_contratual!$Y72=""),"",IF(posicao_contratual!$Y72&gt;2,"",IF(posicao_contratual!$Y72=2,IF(ISNUMBER(itens_Remanesc!C72),itens_Remanesc!C72,""),IF(OR(NOT(ISNUMBER(itens_Remanesc!C72)),NOT(ISNUMBER($L$4)),NOT(ISNUMBER(INDEX($L$2:$L$6,posicao_contratual!$Y72+1)))),"",ROUND(itens_Remanesc!C72*$L$4/INDEX($L$2:$L$6,posicao_contratual!$Y72+1),2)))))</f>
        <v/>
      </c>
      <c r="F72" s="79" t="str">
        <f>IF(OR($A72="",posicao_contratual!$Y72=""),"",IF(posicao_contratual!$Y72&gt;3,"",IF(posicao_contratual!$Y72=3,IF(ISNUMBER(itens_Remanesc!C72),itens_Remanesc!C72,""),IF(OR(NOT(ISNUMBER(itens_Remanesc!C72)),NOT(ISNUMBER($L$5)),NOT(ISNUMBER(INDEX($L$2:$L$6,posicao_contratual!$Y72+1)))),"",ROUND(itens_Remanesc!C72*$L$5/INDEX($L$2:$L$6,posicao_contratual!$Y72+1),2)))))</f>
        <v/>
      </c>
      <c r="G72" s="79" t="str">
        <f>IF(OR($A72="",posicao_contratual!$Y72=""),"",IF(posicao_contratual!$Y72&gt;4,"",IF(posicao_contratual!$Y72=4,IF(ISNUMBER(itens_Remanesc!C72),itens_Remanesc!C72,""),IF(OR(NOT(ISNUMBER(itens_Remanesc!C72)),NOT(ISNUMBER($L$6)),NOT(ISNUMBER(INDEX($L$2:$L$6,posicao_contratual!$Y72+1)))),"",ROUND(itens_Remanesc!C72*$L$6/INDEX($L$2:$L$6,posicao_contratual!$Y72+1),2)))))</f>
        <v/>
      </c>
      <c r="H72" s="114" t="str">
        <f t="shared" si="2"/>
        <v/>
      </c>
      <c r="I72" s="14"/>
      <c r="J72" s="14"/>
      <c r="K72" s="14"/>
      <c r="L72" s="14"/>
      <c r="M72" s="14"/>
      <c r="N72" s="145" t="str">
        <f>IF(A72="","",IF(posicao_contratual!$Y72="","",IF(posicao_contratual!$Y72&gt;0,"",posicao_contratual!E72)))</f>
        <v/>
      </c>
      <c r="O72" s="145" t="str">
        <f>IF(A72="","",IF(posicao_contratual!$Y72="","",IF(posicao_contratual!$Y72&gt;1,"",posicao_contratual!I72)))</f>
        <v/>
      </c>
      <c r="P72" s="145" t="str">
        <f>IF(A72="","",IF(posicao_contratual!$Y72="","",IF(posicao_contratual!$Y72&gt;2,"",posicao_contratual!M72)))</f>
        <v/>
      </c>
      <c r="Q72" s="145" t="str">
        <f>IF(A72="","",IF(posicao_contratual!$Y72="","",IF(posicao_contratual!$Y72&gt;3,"",posicao_contratual!Q72)))</f>
        <v/>
      </c>
      <c r="R72" s="145" t="str">
        <f>IF(A72="","",IF(posicao_contratual!$Y72="","",IF(posicao_contratual!$Y72&gt;4,"",posicao_contratual!U72)))</f>
        <v/>
      </c>
      <c r="S72" s="165" t="str">
        <f>IF(A72="","",posicao_contratual!G72)</f>
        <v/>
      </c>
      <c r="T72" s="165" t="str">
        <f>IF(A72="","",posicao_contratual!K72)</f>
        <v/>
      </c>
      <c r="U72" s="165" t="str">
        <f>IF(A72="","",posicao_contratual!O72)</f>
        <v/>
      </c>
      <c r="V72" s="165" t="str">
        <f>IF(A72="","",posicao_contratual!S72)</f>
        <v/>
      </c>
      <c r="W72" s="165" t="str">
        <f>IF(A72="","",posicao_contratual!W72)</f>
        <v/>
      </c>
    </row>
    <row r="73" spans="1:23" x14ac:dyDescent="0.35">
      <c r="A73" s="86" t="str">
        <f>IF(itens_Remanesc!A73="","",itens_Remanesc!A73)</f>
        <v/>
      </c>
      <c r="B73" s="85" t="str">
        <f>IF(A73="","",IF(posicao_contratual!$Y73="","",IF(posicao_contratual!$Y73&gt;0,"",posicao_contratual!G73)))</f>
        <v/>
      </c>
      <c r="C73" s="79" t="str">
        <f>IF(itens_Remanesc!A73="","",IF(posicao_contratual!$Y73="","",IF(posicao_contratual!$Y73&gt;0,"",itens_Remanesc!C73)))</f>
        <v/>
      </c>
      <c r="D73" s="79" t="str">
        <f>IF(OR($A73="",posicao_contratual!$Y73=""),"",IF(posicao_contratual!$Y73&gt;1,"",IF(posicao_contratual!$Y73=1,IF(ISNUMBER(itens_Remanesc!C73),itens_Remanesc!C73,""),IF(OR(NOT(ISNUMBER(itens_Remanesc!C73)),NOT(ISNUMBER($L$3)),NOT(ISNUMBER(INDEX($L$2:$L$6,posicao_contratual!$Y73+1)))),"",ROUND(itens_Remanesc!C73*$L$3/INDEX($L$2:$L$6,posicao_contratual!$Y73+1),2)))))</f>
        <v/>
      </c>
      <c r="E73" s="79" t="str">
        <f>IF(OR($A73="",posicao_contratual!$Y73=""),"",IF(posicao_contratual!$Y73&gt;2,"",IF(posicao_contratual!$Y73=2,IF(ISNUMBER(itens_Remanesc!C73),itens_Remanesc!C73,""),IF(OR(NOT(ISNUMBER(itens_Remanesc!C73)),NOT(ISNUMBER($L$4)),NOT(ISNUMBER(INDEX($L$2:$L$6,posicao_contratual!$Y73+1)))),"",ROUND(itens_Remanesc!C73*$L$4/INDEX($L$2:$L$6,posicao_contratual!$Y73+1),2)))))</f>
        <v/>
      </c>
      <c r="F73" s="79" t="str">
        <f>IF(OR($A73="",posicao_contratual!$Y73=""),"",IF(posicao_contratual!$Y73&gt;3,"",IF(posicao_contratual!$Y73=3,IF(ISNUMBER(itens_Remanesc!C73),itens_Remanesc!C73,""),IF(OR(NOT(ISNUMBER(itens_Remanesc!C73)),NOT(ISNUMBER($L$5)),NOT(ISNUMBER(INDEX($L$2:$L$6,posicao_contratual!$Y73+1)))),"",ROUND(itens_Remanesc!C73*$L$5/INDEX($L$2:$L$6,posicao_contratual!$Y73+1),2)))))</f>
        <v/>
      </c>
      <c r="G73" s="79" t="str">
        <f>IF(OR($A73="",posicao_contratual!$Y73=""),"",IF(posicao_contratual!$Y73&gt;4,"",IF(posicao_contratual!$Y73=4,IF(ISNUMBER(itens_Remanesc!C73),itens_Remanesc!C73,""),IF(OR(NOT(ISNUMBER(itens_Remanesc!C73)),NOT(ISNUMBER($L$6)),NOT(ISNUMBER(INDEX($L$2:$L$6,posicao_contratual!$Y73+1)))),"",ROUND(itens_Remanesc!C73*$L$6/INDEX($L$2:$L$6,posicao_contratual!$Y73+1),2)))))</f>
        <v/>
      </c>
      <c r="H73" s="114" t="str">
        <f t="shared" si="2"/>
        <v/>
      </c>
      <c r="I73" s="14"/>
      <c r="J73" s="14"/>
      <c r="K73" s="14"/>
      <c r="L73" s="14"/>
      <c r="M73" s="14"/>
      <c r="N73" s="145" t="str">
        <f>IF(A73="","",IF(posicao_contratual!$Y73="","",IF(posicao_contratual!$Y73&gt;0,"",posicao_contratual!E73)))</f>
        <v/>
      </c>
      <c r="O73" s="145" t="str">
        <f>IF(A73="","",IF(posicao_contratual!$Y73="","",IF(posicao_contratual!$Y73&gt;1,"",posicao_contratual!I73)))</f>
        <v/>
      </c>
      <c r="P73" s="145" t="str">
        <f>IF(A73="","",IF(posicao_contratual!$Y73="","",IF(posicao_contratual!$Y73&gt;2,"",posicao_contratual!M73)))</f>
        <v/>
      </c>
      <c r="Q73" s="145" t="str">
        <f>IF(A73="","",IF(posicao_contratual!$Y73="","",IF(posicao_contratual!$Y73&gt;3,"",posicao_contratual!Q73)))</f>
        <v/>
      </c>
      <c r="R73" s="145" t="str">
        <f>IF(A73="","",IF(posicao_contratual!$Y73="","",IF(posicao_contratual!$Y73&gt;4,"",posicao_contratual!U73)))</f>
        <v/>
      </c>
      <c r="S73" s="165" t="str">
        <f>IF(A73="","",posicao_contratual!G73)</f>
        <v/>
      </c>
      <c r="T73" s="165" t="str">
        <f>IF(A73="","",posicao_contratual!K73)</f>
        <v/>
      </c>
      <c r="U73" s="165" t="str">
        <f>IF(A73="","",posicao_contratual!O73)</f>
        <v/>
      </c>
      <c r="V73" s="165" t="str">
        <f>IF(A73="","",posicao_contratual!S73)</f>
        <v/>
      </c>
      <c r="W73" s="165" t="str">
        <f>IF(A73="","",posicao_contratual!W73)</f>
        <v/>
      </c>
    </row>
    <row r="74" spans="1:23" x14ac:dyDescent="0.35">
      <c r="A74" s="86" t="str">
        <f>IF(itens_Remanesc!A74="","",itens_Remanesc!A74)</f>
        <v/>
      </c>
      <c r="B74" s="85" t="str">
        <f>IF(A74="","",IF(posicao_contratual!$Y74="","",IF(posicao_contratual!$Y74&gt;0,"",posicao_contratual!G74)))</f>
        <v/>
      </c>
      <c r="C74" s="79" t="str">
        <f>IF(itens_Remanesc!A74="","",IF(posicao_contratual!$Y74="","",IF(posicao_contratual!$Y74&gt;0,"",itens_Remanesc!C74)))</f>
        <v/>
      </c>
      <c r="D74" s="79" t="str">
        <f>IF(OR($A74="",posicao_contratual!$Y74=""),"",IF(posicao_contratual!$Y74&gt;1,"",IF(posicao_contratual!$Y74=1,IF(ISNUMBER(itens_Remanesc!C74),itens_Remanesc!C74,""),IF(OR(NOT(ISNUMBER(itens_Remanesc!C74)),NOT(ISNUMBER($L$3)),NOT(ISNUMBER(INDEX($L$2:$L$6,posicao_contratual!$Y74+1)))),"",ROUND(itens_Remanesc!C74*$L$3/INDEX($L$2:$L$6,posicao_contratual!$Y74+1),2)))))</f>
        <v/>
      </c>
      <c r="E74" s="79" t="str">
        <f>IF(OR($A74="",posicao_contratual!$Y74=""),"",IF(posicao_contratual!$Y74&gt;2,"",IF(posicao_contratual!$Y74=2,IF(ISNUMBER(itens_Remanesc!C74),itens_Remanesc!C74,""),IF(OR(NOT(ISNUMBER(itens_Remanesc!C74)),NOT(ISNUMBER($L$4)),NOT(ISNUMBER(INDEX($L$2:$L$6,posicao_contratual!$Y74+1)))),"",ROUND(itens_Remanesc!C74*$L$4/INDEX($L$2:$L$6,posicao_contratual!$Y74+1),2)))))</f>
        <v/>
      </c>
      <c r="F74" s="79" t="str">
        <f>IF(OR($A74="",posicao_contratual!$Y74=""),"",IF(posicao_contratual!$Y74&gt;3,"",IF(posicao_contratual!$Y74=3,IF(ISNUMBER(itens_Remanesc!C74),itens_Remanesc!C74,""),IF(OR(NOT(ISNUMBER(itens_Remanesc!C74)),NOT(ISNUMBER($L$5)),NOT(ISNUMBER(INDEX($L$2:$L$6,posicao_contratual!$Y74+1)))),"",ROUND(itens_Remanesc!C74*$L$5/INDEX($L$2:$L$6,posicao_contratual!$Y74+1),2)))))</f>
        <v/>
      </c>
      <c r="G74" s="79" t="str">
        <f>IF(OR($A74="",posicao_contratual!$Y74=""),"",IF(posicao_contratual!$Y74&gt;4,"",IF(posicao_contratual!$Y74=4,IF(ISNUMBER(itens_Remanesc!C74),itens_Remanesc!C74,""),IF(OR(NOT(ISNUMBER(itens_Remanesc!C74)),NOT(ISNUMBER($L$6)),NOT(ISNUMBER(INDEX($L$2:$L$6,posicao_contratual!$Y74+1)))),"",ROUND(itens_Remanesc!C74*$L$6/INDEX($L$2:$L$6,posicao_contratual!$Y74+1),2)))))</f>
        <v/>
      </c>
      <c r="H74" s="114" t="str">
        <f t="shared" si="2"/>
        <v/>
      </c>
      <c r="I74" s="14"/>
      <c r="J74" s="14"/>
      <c r="K74" s="14"/>
      <c r="L74" s="14"/>
      <c r="M74" s="14"/>
      <c r="N74" s="145" t="str">
        <f>IF(A74="","",IF(posicao_contratual!$Y74="","",IF(posicao_contratual!$Y74&gt;0,"",posicao_contratual!E74)))</f>
        <v/>
      </c>
      <c r="O74" s="145" t="str">
        <f>IF(A74="","",IF(posicao_contratual!$Y74="","",IF(posicao_contratual!$Y74&gt;1,"",posicao_contratual!I74)))</f>
        <v/>
      </c>
      <c r="P74" s="145" t="str">
        <f>IF(A74="","",IF(posicao_contratual!$Y74="","",IF(posicao_contratual!$Y74&gt;2,"",posicao_contratual!M74)))</f>
        <v/>
      </c>
      <c r="Q74" s="145" t="str">
        <f>IF(A74="","",IF(posicao_contratual!$Y74="","",IF(posicao_contratual!$Y74&gt;3,"",posicao_contratual!Q74)))</f>
        <v/>
      </c>
      <c r="R74" s="145" t="str">
        <f>IF(A74="","",IF(posicao_contratual!$Y74="","",IF(posicao_contratual!$Y74&gt;4,"",posicao_contratual!U74)))</f>
        <v/>
      </c>
      <c r="S74" s="165" t="str">
        <f>IF(A74="","",posicao_contratual!G74)</f>
        <v/>
      </c>
      <c r="T74" s="165" t="str">
        <f>IF(A74="","",posicao_contratual!K74)</f>
        <v/>
      </c>
      <c r="U74" s="165" t="str">
        <f>IF(A74="","",posicao_contratual!O74)</f>
        <v/>
      </c>
      <c r="V74" s="165" t="str">
        <f>IF(A74="","",posicao_contratual!S74)</f>
        <v/>
      </c>
      <c r="W74" s="165" t="str">
        <f>IF(A74="","",posicao_contratual!W74)</f>
        <v/>
      </c>
    </row>
    <row r="75" spans="1:23" x14ac:dyDescent="0.35">
      <c r="A75" s="86" t="str">
        <f>IF(itens_Remanesc!A75="","",itens_Remanesc!A75)</f>
        <v/>
      </c>
      <c r="B75" s="85" t="str">
        <f>IF(A75="","",IF(posicao_contratual!$Y75="","",IF(posicao_contratual!$Y75&gt;0,"",posicao_contratual!G75)))</f>
        <v/>
      </c>
      <c r="C75" s="79" t="str">
        <f>IF(itens_Remanesc!A75="","",IF(posicao_contratual!$Y75="","",IF(posicao_contratual!$Y75&gt;0,"",itens_Remanesc!C75)))</f>
        <v/>
      </c>
      <c r="D75" s="79" t="str">
        <f>IF(OR($A75="",posicao_contratual!$Y75=""),"",IF(posicao_contratual!$Y75&gt;1,"",IF(posicao_contratual!$Y75=1,IF(ISNUMBER(itens_Remanesc!C75),itens_Remanesc!C75,""),IF(OR(NOT(ISNUMBER(itens_Remanesc!C75)),NOT(ISNUMBER($L$3)),NOT(ISNUMBER(INDEX($L$2:$L$6,posicao_contratual!$Y75+1)))),"",ROUND(itens_Remanesc!C75*$L$3/INDEX($L$2:$L$6,posicao_contratual!$Y75+1),2)))))</f>
        <v/>
      </c>
      <c r="E75" s="79" t="str">
        <f>IF(OR($A75="",posicao_contratual!$Y75=""),"",IF(posicao_contratual!$Y75&gt;2,"",IF(posicao_contratual!$Y75=2,IF(ISNUMBER(itens_Remanesc!C75),itens_Remanesc!C75,""),IF(OR(NOT(ISNUMBER(itens_Remanesc!C75)),NOT(ISNUMBER($L$4)),NOT(ISNUMBER(INDEX($L$2:$L$6,posicao_contratual!$Y75+1)))),"",ROUND(itens_Remanesc!C75*$L$4/INDEX($L$2:$L$6,posicao_contratual!$Y75+1),2)))))</f>
        <v/>
      </c>
      <c r="F75" s="79" t="str">
        <f>IF(OR($A75="",posicao_contratual!$Y75=""),"",IF(posicao_contratual!$Y75&gt;3,"",IF(posicao_contratual!$Y75=3,IF(ISNUMBER(itens_Remanesc!C75),itens_Remanesc!C75,""),IF(OR(NOT(ISNUMBER(itens_Remanesc!C75)),NOT(ISNUMBER($L$5)),NOT(ISNUMBER(INDEX($L$2:$L$6,posicao_contratual!$Y75+1)))),"",ROUND(itens_Remanesc!C75*$L$5/INDEX($L$2:$L$6,posicao_contratual!$Y75+1),2)))))</f>
        <v/>
      </c>
      <c r="G75" s="79" t="str">
        <f>IF(OR($A75="",posicao_contratual!$Y75=""),"",IF(posicao_contratual!$Y75&gt;4,"",IF(posicao_contratual!$Y75=4,IF(ISNUMBER(itens_Remanesc!C75),itens_Remanesc!C75,""),IF(OR(NOT(ISNUMBER(itens_Remanesc!C75)),NOT(ISNUMBER($L$6)),NOT(ISNUMBER(INDEX($L$2:$L$6,posicao_contratual!$Y75+1)))),"",ROUND(itens_Remanesc!C75*$L$6/INDEX($L$2:$L$6,posicao_contratual!$Y75+1),2)))))</f>
        <v/>
      </c>
      <c r="H75" s="114" t="str">
        <f t="shared" si="2"/>
        <v/>
      </c>
      <c r="I75" s="14"/>
      <c r="J75" s="14"/>
      <c r="K75" s="14"/>
      <c r="L75" s="14"/>
      <c r="M75" s="14"/>
      <c r="N75" s="145" t="str">
        <f>IF(A75="","",IF(posicao_contratual!$Y75="","",IF(posicao_contratual!$Y75&gt;0,"",posicao_contratual!E75)))</f>
        <v/>
      </c>
      <c r="O75" s="145" t="str">
        <f>IF(A75="","",IF(posicao_contratual!$Y75="","",IF(posicao_contratual!$Y75&gt;1,"",posicao_contratual!I75)))</f>
        <v/>
      </c>
      <c r="P75" s="145" t="str">
        <f>IF(A75="","",IF(posicao_contratual!$Y75="","",IF(posicao_contratual!$Y75&gt;2,"",posicao_contratual!M75)))</f>
        <v/>
      </c>
      <c r="Q75" s="145" t="str">
        <f>IF(A75="","",IF(posicao_contratual!$Y75="","",IF(posicao_contratual!$Y75&gt;3,"",posicao_contratual!Q75)))</f>
        <v/>
      </c>
      <c r="R75" s="145" t="str">
        <f>IF(A75="","",IF(posicao_contratual!$Y75="","",IF(posicao_contratual!$Y75&gt;4,"",posicao_contratual!U75)))</f>
        <v/>
      </c>
      <c r="S75" s="165" t="str">
        <f>IF(A75="","",posicao_contratual!G75)</f>
        <v/>
      </c>
      <c r="T75" s="165" t="str">
        <f>IF(A75="","",posicao_contratual!K75)</f>
        <v/>
      </c>
      <c r="U75" s="165" t="str">
        <f>IF(A75="","",posicao_contratual!O75)</f>
        <v/>
      </c>
      <c r="V75" s="165" t="str">
        <f>IF(A75="","",posicao_contratual!S75)</f>
        <v/>
      </c>
      <c r="W75" s="165" t="str">
        <f>IF(A75="","",posicao_contratual!W75)</f>
        <v/>
      </c>
    </row>
    <row r="76" spans="1:23" x14ac:dyDescent="0.35">
      <c r="A76" s="86" t="str">
        <f>IF(itens_Remanesc!A76="","",itens_Remanesc!A76)</f>
        <v/>
      </c>
      <c r="B76" s="85" t="str">
        <f>IF(A76="","",IF(posicao_contratual!$Y76="","",IF(posicao_contratual!$Y76&gt;0,"",posicao_contratual!G76)))</f>
        <v/>
      </c>
      <c r="C76" s="79" t="str">
        <f>IF(itens_Remanesc!A76="","",IF(posicao_contratual!$Y76="","",IF(posicao_contratual!$Y76&gt;0,"",itens_Remanesc!C76)))</f>
        <v/>
      </c>
      <c r="D76" s="79" t="str">
        <f>IF(OR($A76="",posicao_contratual!$Y76=""),"",IF(posicao_contratual!$Y76&gt;1,"",IF(posicao_contratual!$Y76=1,IF(ISNUMBER(itens_Remanesc!C76),itens_Remanesc!C76,""),IF(OR(NOT(ISNUMBER(itens_Remanesc!C76)),NOT(ISNUMBER($L$3)),NOT(ISNUMBER(INDEX($L$2:$L$6,posicao_contratual!$Y76+1)))),"",ROUND(itens_Remanesc!C76*$L$3/INDEX($L$2:$L$6,posicao_contratual!$Y76+1),2)))))</f>
        <v/>
      </c>
      <c r="E76" s="79" t="str">
        <f>IF(OR($A76="",posicao_contratual!$Y76=""),"",IF(posicao_contratual!$Y76&gt;2,"",IF(posicao_contratual!$Y76=2,IF(ISNUMBER(itens_Remanesc!C76),itens_Remanesc!C76,""),IF(OR(NOT(ISNUMBER(itens_Remanesc!C76)),NOT(ISNUMBER($L$4)),NOT(ISNUMBER(INDEX($L$2:$L$6,posicao_contratual!$Y76+1)))),"",ROUND(itens_Remanesc!C76*$L$4/INDEX($L$2:$L$6,posicao_contratual!$Y76+1),2)))))</f>
        <v/>
      </c>
      <c r="F76" s="79" t="str">
        <f>IF(OR($A76="",posicao_contratual!$Y76=""),"",IF(posicao_contratual!$Y76&gt;3,"",IF(posicao_contratual!$Y76=3,IF(ISNUMBER(itens_Remanesc!C76),itens_Remanesc!C76,""),IF(OR(NOT(ISNUMBER(itens_Remanesc!C76)),NOT(ISNUMBER($L$5)),NOT(ISNUMBER(INDEX($L$2:$L$6,posicao_contratual!$Y76+1)))),"",ROUND(itens_Remanesc!C76*$L$5/INDEX($L$2:$L$6,posicao_contratual!$Y76+1),2)))))</f>
        <v/>
      </c>
      <c r="G76" s="79" t="str">
        <f>IF(OR($A76="",posicao_contratual!$Y76=""),"",IF(posicao_contratual!$Y76&gt;4,"",IF(posicao_contratual!$Y76=4,IF(ISNUMBER(itens_Remanesc!C76),itens_Remanesc!C76,""),IF(OR(NOT(ISNUMBER(itens_Remanesc!C76)),NOT(ISNUMBER($L$6)),NOT(ISNUMBER(INDEX($L$2:$L$6,posicao_contratual!$Y76+1)))),"",ROUND(itens_Remanesc!C76*$L$6/INDEX($L$2:$L$6,posicao_contratual!$Y76+1),2)))))</f>
        <v/>
      </c>
      <c r="H76" s="114" t="str">
        <f t="shared" si="2"/>
        <v/>
      </c>
      <c r="I76" s="14"/>
      <c r="J76" s="14"/>
      <c r="K76" s="14"/>
      <c r="L76" s="14"/>
      <c r="M76" s="14"/>
      <c r="N76" s="145" t="str">
        <f>IF(A76="","",IF(posicao_contratual!$Y76="","",IF(posicao_contratual!$Y76&gt;0,"",posicao_contratual!E76)))</f>
        <v/>
      </c>
      <c r="O76" s="145" t="str">
        <f>IF(A76="","",IF(posicao_contratual!$Y76="","",IF(posicao_contratual!$Y76&gt;1,"",posicao_contratual!I76)))</f>
        <v/>
      </c>
      <c r="P76" s="145" t="str">
        <f>IF(A76="","",IF(posicao_contratual!$Y76="","",IF(posicao_contratual!$Y76&gt;2,"",posicao_contratual!M76)))</f>
        <v/>
      </c>
      <c r="Q76" s="145" t="str">
        <f>IF(A76="","",IF(posicao_contratual!$Y76="","",IF(posicao_contratual!$Y76&gt;3,"",posicao_contratual!Q76)))</f>
        <v/>
      </c>
      <c r="R76" s="145" t="str">
        <f>IF(A76="","",IF(posicao_contratual!$Y76="","",IF(posicao_contratual!$Y76&gt;4,"",posicao_contratual!U76)))</f>
        <v/>
      </c>
      <c r="S76" s="165" t="str">
        <f>IF(A76="","",posicao_contratual!G76)</f>
        <v/>
      </c>
      <c r="T76" s="165" t="str">
        <f>IF(A76="","",posicao_contratual!K76)</f>
        <v/>
      </c>
      <c r="U76" s="165" t="str">
        <f>IF(A76="","",posicao_contratual!O76)</f>
        <v/>
      </c>
      <c r="V76" s="165" t="str">
        <f>IF(A76="","",posicao_contratual!S76)</f>
        <v/>
      </c>
      <c r="W76" s="165" t="str">
        <f>IF(A76="","",posicao_contratual!W76)</f>
        <v/>
      </c>
    </row>
    <row r="77" spans="1:23" x14ac:dyDescent="0.35">
      <c r="A77" s="86" t="str">
        <f>IF(itens_Remanesc!A77="","",itens_Remanesc!A77)</f>
        <v/>
      </c>
      <c r="B77" s="85" t="str">
        <f>IF(A77="","",IF(posicao_contratual!$Y77="","",IF(posicao_contratual!$Y77&gt;0,"",posicao_contratual!G77)))</f>
        <v/>
      </c>
      <c r="C77" s="79" t="str">
        <f>IF(itens_Remanesc!A77="","",IF(posicao_contratual!$Y77="","",IF(posicao_contratual!$Y77&gt;0,"",itens_Remanesc!C77)))</f>
        <v/>
      </c>
      <c r="D77" s="79" t="str">
        <f>IF(OR($A77="",posicao_contratual!$Y77=""),"",IF(posicao_contratual!$Y77&gt;1,"",IF(posicao_contratual!$Y77=1,IF(ISNUMBER(itens_Remanesc!C77),itens_Remanesc!C77,""),IF(OR(NOT(ISNUMBER(itens_Remanesc!C77)),NOT(ISNUMBER($L$3)),NOT(ISNUMBER(INDEX($L$2:$L$6,posicao_contratual!$Y77+1)))),"",ROUND(itens_Remanesc!C77*$L$3/INDEX($L$2:$L$6,posicao_contratual!$Y77+1),2)))))</f>
        <v/>
      </c>
      <c r="E77" s="79" t="str">
        <f>IF(OR($A77="",posicao_contratual!$Y77=""),"",IF(posicao_contratual!$Y77&gt;2,"",IF(posicao_contratual!$Y77=2,IF(ISNUMBER(itens_Remanesc!C77),itens_Remanesc!C77,""),IF(OR(NOT(ISNUMBER(itens_Remanesc!C77)),NOT(ISNUMBER($L$4)),NOT(ISNUMBER(INDEX($L$2:$L$6,posicao_contratual!$Y77+1)))),"",ROUND(itens_Remanesc!C77*$L$4/INDEX($L$2:$L$6,posicao_contratual!$Y77+1),2)))))</f>
        <v/>
      </c>
      <c r="F77" s="79" t="str">
        <f>IF(OR($A77="",posicao_contratual!$Y77=""),"",IF(posicao_contratual!$Y77&gt;3,"",IF(posicao_contratual!$Y77=3,IF(ISNUMBER(itens_Remanesc!C77),itens_Remanesc!C77,""),IF(OR(NOT(ISNUMBER(itens_Remanesc!C77)),NOT(ISNUMBER($L$5)),NOT(ISNUMBER(INDEX($L$2:$L$6,posicao_contratual!$Y77+1)))),"",ROUND(itens_Remanesc!C77*$L$5/INDEX($L$2:$L$6,posicao_contratual!$Y77+1),2)))))</f>
        <v/>
      </c>
      <c r="G77" s="79" t="str">
        <f>IF(OR($A77="",posicao_contratual!$Y77=""),"",IF(posicao_contratual!$Y77&gt;4,"",IF(posicao_contratual!$Y77=4,IF(ISNUMBER(itens_Remanesc!C77),itens_Remanesc!C77,""),IF(OR(NOT(ISNUMBER(itens_Remanesc!C77)),NOT(ISNUMBER($L$6)),NOT(ISNUMBER(INDEX($L$2:$L$6,posicao_contratual!$Y77+1)))),"",ROUND(itens_Remanesc!C77*$L$6/INDEX($L$2:$L$6,posicao_contratual!$Y77+1),2)))))</f>
        <v/>
      </c>
      <c r="H77" s="114" t="str">
        <f t="shared" si="2"/>
        <v/>
      </c>
      <c r="I77" s="14"/>
      <c r="J77" s="14"/>
      <c r="K77" s="14"/>
      <c r="L77" s="14"/>
      <c r="M77" s="14"/>
      <c r="N77" s="145" t="str">
        <f>IF(A77="","",IF(posicao_contratual!$Y77="","",IF(posicao_contratual!$Y77&gt;0,"",posicao_contratual!E77)))</f>
        <v/>
      </c>
      <c r="O77" s="145" t="str">
        <f>IF(A77="","",IF(posicao_contratual!$Y77="","",IF(posicao_contratual!$Y77&gt;1,"",posicao_contratual!I77)))</f>
        <v/>
      </c>
      <c r="P77" s="145" t="str">
        <f>IF(A77="","",IF(posicao_contratual!$Y77="","",IF(posicao_contratual!$Y77&gt;2,"",posicao_contratual!M77)))</f>
        <v/>
      </c>
      <c r="Q77" s="145" t="str">
        <f>IF(A77="","",IF(posicao_contratual!$Y77="","",IF(posicao_contratual!$Y77&gt;3,"",posicao_contratual!Q77)))</f>
        <v/>
      </c>
      <c r="R77" s="145" t="str">
        <f>IF(A77="","",IF(posicao_contratual!$Y77="","",IF(posicao_contratual!$Y77&gt;4,"",posicao_contratual!U77)))</f>
        <v/>
      </c>
      <c r="S77" s="165" t="str">
        <f>IF(A77="","",posicao_contratual!G77)</f>
        <v/>
      </c>
      <c r="T77" s="165" t="str">
        <f>IF(A77="","",posicao_contratual!K77)</f>
        <v/>
      </c>
      <c r="U77" s="165" t="str">
        <f>IF(A77="","",posicao_contratual!O77)</f>
        <v/>
      </c>
      <c r="V77" s="165" t="str">
        <f>IF(A77="","",posicao_contratual!S77)</f>
        <v/>
      </c>
      <c r="W77" s="165" t="str">
        <f>IF(A77="","",posicao_contratual!W77)</f>
        <v/>
      </c>
    </row>
    <row r="78" spans="1:23" x14ac:dyDescent="0.35">
      <c r="A78" s="86" t="str">
        <f>IF(itens_Remanesc!A78="","",itens_Remanesc!A78)</f>
        <v/>
      </c>
      <c r="B78" s="85" t="str">
        <f>IF(A78="","",IF(posicao_contratual!$Y78="","",IF(posicao_contratual!$Y78&gt;0,"",posicao_contratual!G78)))</f>
        <v/>
      </c>
      <c r="C78" s="79" t="str">
        <f>IF(itens_Remanesc!A78="","",IF(posicao_contratual!$Y78="","",IF(posicao_contratual!$Y78&gt;0,"",itens_Remanesc!C78)))</f>
        <v/>
      </c>
      <c r="D78" s="79" t="str">
        <f>IF(OR($A78="",posicao_contratual!$Y78=""),"",IF(posicao_contratual!$Y78&gt;1,"",IF(posicao_contratual!$Y78=1,IF(ISNUMBER(itens_Remanesc!C78),itens_Remanesc!C78,""),IF(OR(NOT(ISNUMBER(itens_Remanesc!C78)),NOT(ISNUMBER($L$3)),NOT(ISNUMBER(INDEX($L$2:$L$6,posicao_contratual!$Y78+1)))),"",ROUND(itens_Remanesc!C78*$L$3/INDEX($L$2:$L$6,posicao_contratual!$Y78+1),2)))))</f>
        <v/>
      </c>
      <c r="E78" s="79" t="str">
        <f>IF(OR($A78="",posicao_contratual!$Y78=""),"",IF(posicao_contratual!$Y78&gt;2,"",IF(posicao_contratual!$Y78=2,IF(ISNUMBER(itens_Remanesc!C78),itens_Remanesc!C78,""),IF(OR(NOT(ISNUMBER(itens_Remanesc!C78)),NOT(ISNUMBER($L$4)),NOT(ISNUMBER(INDEX($L$2:$L$6,posicao_contratual!$Y78+1)))),"",ROUND(itens_Remanesc!C78*$L$4/INDEX($L$2:$L$6,posicao_contratual!$Y78+1),2)))))</f>
        <v/>
      </c>
      <c r="F78" s="79" t="str">
        <f>IF(OR($A78="",posicao_contratual!$Y78=""),"",IF(posicao_contratual!$Y78&gt;3,"",IF(posicao_contratual!$Y78=3,IF(ISNUMBER(itens_Remanesc!C78),itens_Remanesc!C78,""),IF(OR(NOT(ISNUMBER(itens_Remanesc!C78)),NOT(ISNUMBER($L$5)),NOT(ISNUMBER(INDEX($L$2:$L$6,posicao_contratual!$Y78+1)))),"",ROUND(itens_Remanesc!C78*$L$5/INDEX($L$2:$L$6,posicao_contratual!$Y78+1),2)))))</f>
        <v/>
      </c>
      <c r="G78" s="79" t="str">
        <f>IF(OR($A78="",posicao_contratual!$Y78=""),"",IF(posicao_contratual!$Y78&gt;4,"",IF(posicao_contratual!$Y78=4,IF(ISNUMBER(itens_Remanesc!C78),itens_Remanesc!C78,""),IF(OR(NOT(ISNUMBER(itens_Remanesc!C78)),NOT(ISNUMBER($L$6)),NOT(ISNUMBER(INDEX($L$2:$L$6,posicao_contratual!$Y78+1)))),"",ROUND(itens_Remanesc!C78*$L$6/INDEX($L$2:$L$6,posicao_contratual!$Y78+1),2)))))</f>
        <v/>
      </c>
      <c r="H78" s="114" t="str">
        <f t="shared" si="2"/>
        <v/>
      </c>
      <c r="I78" s="14"/>
      <c r="J78" s="14"/>
      <c r="K78" s="14"/>
      <c r="L78" s="14"/>
      <c r="M78" s="14"/>
      <c r="N78" s="145" t="str">
        <f>IF(A78="","",IF(posicao_contratual!$Y78="","",IF(posicao_contratual!$Y78&gt;0,"",posicao_contratual!E78)))</f>
        <v/>
      </c>
      <c r="O78" s="145" t="str">
        <f>IF(A78="","",IF(posicao_contratual!$Y78="","",IF(posicao_contratual!$Y78&gt;1,"",posicao_contratual!I78)))</f>
        <v/>
      </c>
      <c r="P78" s="145" t="str">
        <f>IF(A78="","",IF(posicao_contratual!$Y78="","",IF(posicao_contratual!$Y78&gt;2,"",posicao_contratual!M78)))</f>
        <v/>
      </c>
      <c r="Q78" s="145" t="str">
        <f>IF(A78="","",IF(posicao_contratual!$Y78="","",IF(posicao_contratual!$Y78&gt;3,"",posicao_contratual!Q78)))</f>
        <v/>
      </c>
      <c r="R78" s="145" t="str">
        <f>IF(A78="","",IF(posicao_contratual!$Y78="","",IF(posicao_contratual!$Y78&gt;4,"",posicao_contratual!U78)))</f>
        <v/>
      </c>
      <c r="S78" s="165" t="str">
        <f>IF(A78="","",posicao_contratual!G78)</f>
        <v/>
      </c>
      <c r="T78" s="165" t="str">
        <f>IF(A78="","",posicao_contratual!K78)</f>
        <v/>
      </c>
      <c r="U78" s="165" t="str">
        <f>IF(A78="","",posicao_contratual!O78)</f>
        <v/>
      </c>
      <c r="V78" s="165" t="str">
        <f>IF(A78="","",posicao_contratual!S78)</f>
        <v/>
      </c>
      <c r="W78" s="165" t="str">
        <f>IF(A78="","",posicao_contratual!W78)</f>
        <v/>
      </c>
    </row>
    <row r="79" spans="1:23" x14ac:dyDescent="0.35">
      <c r="A79" s="86" t="str">
        <f>IF(itens_Remanesc!A79="","",itens_Remanesc!A79)</f>
        <v/>
      </c>
      <c r="B79" s="85" t="str">
        <f>IF(A79="","",IF(posicao_contratual!$Y79="","",IF(posicao_contratual!$Y79&gt;0,"",posicao_contratual!G79)))</f>
        <v/>
      </c>
      <c r="C79" s="79" t="str">
        <f>IF(itens_Remanesc!A79="","",IF(posicao_contratual!$Y79="","",IF(posicao_contratual!$Y79&gt;0,"",itens_Remanesc!C79)))</f>
        <v/>
      </c>
      <c r="D79" s="79" t="str">
        <f>IF(OR($A79="",posicao_contratual!$Y79=""),"",IF(posicao_contratual!$Y79&gt;1,"",IF(posicao_contratual!$Y79=1,IF(ISNUMBER(itens_Remanesc!C79),itens_Remanesc!C79,""),IF(OR(NOT(ISNUMBER(itens_Remanesc!C79)),NOT(ISNUMBER($L$3)),NOT(ISNUMBER(INDEX($L$2:$L$6,posicao_contratual!$Y79+1)))),"",ROUND(itens_Remanesc!C79*$L$3/INDEX($L$2:$L$6,posicao_contratual!$Y79+1),2)))))</f>
        <v/>
      </c>
      <c r="E79" s="79" t="str">
        <f>IF(OR($A79="",posicao_contratual!$Y79=""),"",IF(posicao_contratual!$Y79&gt;2,"",IF(posicao_contratual!$Y79=2,IF(ISNUMBER(itens_Remanesc!C79),itens_Remanesc!C79,""),IF(OR(NOT(ISNUMBER(itens_Remanesc!C79)),NOT(ISNUMBER($L$4)),NOT(ISNUMBER(INDEX($L$2:$L$6,posicao_contratual!$Y79+1)))),"",ROUND(itens_Remanesc!C79*$L$4/INDEX($L$2:$L$6,posicao_contratual!$Y79+1),2)))))</f>
        <v/>
      </c>
      <c r="F79" s="79" t="str">
        <f>IF(OR($A79="",posicao_contratual!$Y79=""),"",IF(posicao_contratual!$Y79&gt;3,"",IF(posicao_contratual!$Y79=3,IF(ISNUMBER(itens_Remanesc!C79),itens_Remanesc!C79,""),IF(OR(NOT(ISNUMBER(itens_Remanesc!C79)),NOT(ISNUMBER($L$5)),NOT(ISNUMBER(INDEX($L$2:$L$6,posicao_contratual!$Y79+1)))),"",ROUND(itens_Remanesc!C79*$L$5/INDEX($L$2:$L$6,posicao_contratual!$Y79+1),2)))))</f>
        <v/>
      </c>
      <c r="G79" s="79" t="str">
        <f>IF(OR($A79="",posicao_contratual!$Y79=""),"",IF(posicao_contratual!$Y79&gt;4,"",IF(posicao_contratual!$Y79=4,IF(ISNUMBER(itens_Remanesc!C79),itens_Remanesc!C79,""),IF(OR(NOT(ISNUMBER(itens_Remanesc!C79)),NOT(ISNUMBER($L$6)),NOT(ISNUMBER(INDEX($L$2:$L$6,posicao_contratual!$Y79+1)))),"",ROUND(itens_Remanesc!C79*$L$6/INDEX($L$2:$L$6,posicao_contratual!$Y79+1),2)))))</f>
        <v/>
      </c>
      <c r="H79" s="114" t="str">
        <f t="shared" si="2"/>
        <v/>
      </c>
      <c r="I79" s="14"/>
      <c r="J79" s="14"/>
      <c r="K79" s="14"/>
      <c r="L79" s="14"/>
      <c r="M79" s="14"/>
      <c r="N79" s="145" t="str">
        <f>IF(A79="","",IF(posicao_contratual!$Y79="","",IF(posicao_contratual!$Y79&gt;0,"",posicao_contratual!E79)))</f>
        <v/>
      </c>
      <c r="O79" s="145" t="str">
        <f>IF(A79="","",IF(posicao_contratual!$Y79="","",IF(posicao_contratual!$Y79&gt;1,"",posicao_contratual!I79)))</f>
        <v/>
      </c>
      <c r="P79" s="145" t="str">
        <f>IF(A79="","",IF(posicao_contratual!$Y79="","",IF(posicao_contratual!$Y79&gt;2,"",posicao_contratual!M79)))</f>
        <v/>
      </c>
      <c r="Q79" s="145" t="str">
        <f>IF(A79="","",IF(posicao_contratual!$Y79="","",IF(posicao_contratual!$Y79&gt;3,"",posicao_contratual!Q79)))</f>
        <v/>
      </c>
      <c r="R79" s="145" t="str">
        <f>IF(A79="","",IF(posicao_contratual!$Y79="","",IF(posicao_contratual!$Y79&gt;4,"",posicao_contratual!U79)))</f>
        <v/>
      </c>
      <c r="S79" s="165" t="str">
        <f>IF(A79="","",posicao_contratual!G79)</f>
        <v/>
      </c>
      <c r="T79" s="165" t="str">
        <f>IF(A79="","",posicao_contratual!K79)</f>
        <v/>
      </c>
      <c r="U79" s="165" t="str">
        <f>IF(A79="","",posicao_contratual!O79)</f>
        <v/>
      </c>
      <c r="V79" s="165" t="str">
        <f>IF(A79="","",posicao_contratual!S79)</f>
        <v/>
      </c>
      <c r="W79" s="165" t="str">
        <f>IF(A79="","",posicao_contratual!W79)</f>
        <v/>
      </c>
    </row>
    <row r="80" spans="1:23" x14ac:dyDescent="0.35">
      <c r="A80" s="86" t="str">
        <f>IF(itens_Remanesc!A80="","",itens_Remanesc!A80)</f>
        <v/>
      </c>
      <c r="B80" s="85" t="str">
        <f>IF(A80="","",IF(posicao_contratual!$Y80="","",IF(posicao_contratual!$Y80&gt;0,"",posicao_contratual!G80)))</f>
        <v/>
      </c>
      <c r="C80" s="79" t="str">
        <f>IF(itens_Remanesc!A80="","",IF(posicao_contratual!$Y80="","",IF(posicao_contratual!$Y80&gt;0,"",itens_Remanesc!C80)))</f>
        <v/>
      </c>
      <c r="D80" s="79" t="str">
        <f>IF(OR($A80="",posicao_contratual!$Y80=""),"",IF(posicao_contratual!$Y80&gt;1,"",IF(posicao_contratual!$Y80=1,IF(ISNUMBER(itens_Remanesc!C80),itens_Remanesc!C80,""),IF(OR(NOT(ISNUMBER(itens_Remanesc!C80)),NOT(ISNUMBER($L$3)),NOT(ISNUMBER(INDEX($L$2:$L$6,posicao_contratual!$Y80+1)))),"",ROUND(itens_Remanesc!C80*$L$3/INDEX($L$2:$L$6,posicao_contratual!$Y80+1),2)))))</f>
        <v/>
      </c>
      <c r="E80" s="79" t="str">
        <f>IF(OR($A80="",posicao_contratual!$Y80=""),"",IF(posicao_contratual!$Y80&gt;2,"",IF(posicao_contratual!$Y80=2,IF(ISNUMBER(itens_Remanesc!C80),itens_Remanesc!C80,""),IF(OR(NOT(ISNUMBER(itens_Remanesc!C80)),NOT(ISNUMBER($L$4)),NOT(ISNUMBER(INDEX($L$2:$L$6,posicao_contratual!$Y80+1)))),"",ROUND(itens_Remanesc!C80*$L$4/INDEX($L$2:$L$6,posicao_contratual!$Y80+1),2)))))</f>
        <v/>
      </c>
      <c r="F80" s="79" t="str">
        <f>IF(OR($A80="",posicao_contratual!$Y80=""),"",IF(posicao_contratual!$Y80&gt;3,"",IF(posicao_contratual!$Y80=3,IF(ISNUMBER(itens_Remanesc!C80),itens_Remanesc!C80,""),IF(OR(NOT(ISNUMBER(itens_Remanesc!C80)),NOT(ISNUMBER($L$5)),NOT(ISNUMBER(INDEX($L$2:$L$6,posicao_contratual!$Y80+1)))),"",ROUND(itens_Remanesc!C80*$L$5/INDEX($L$2:$L$6,posicao_contratual!$Y80+1),2)))))</f>
        <v/>
      </c>
      <c r="G80" s="79" t="str">
        <f>IF(OR($A80="",posicao_contratual!$Y80=""),"",IF(posicao_contratual!$Y80&gt;4,"",IF(posicao_contratual!$Y80=4,IF(ISNUMBER(itens_Remanesc!C80),itens_Remanesc!C80,""),IF(OR(NOT(ISNUMBER(itens_Remanesc!C80)),NOT(ISNUMBER($L$6)),NOT(ISNUMBER(INDEX($L$2:$L$6,posicao_contratual!$Y80+1)))),"",ROUND(itens_Remanesc!C80*$L$6/INDEX($L$2:$L$6,posicao_contratual!$Y80+1),2)))))</f>
        <v/>
      </c>
      <c r="H80" s="114" t="str">
        <f t="shared" si="2"/>
        <v/>
      </c>
      <c r="I80" s="14"/>
      <c r="J80" s="14"/>
      <c r="K80" s="14"/>
      <c r="L80" s="14"/>
      <c r="M80" s="14"/>
      <c r="N80" s="145" t="str">
        <f>IF(A80="","",IF(posicao_contratual!$Y80="","",IF(posicao_contratual!$Y80&gt;0,"",posicao_contratual!E80)))</f>
        <v/>
      </c>
      <c r="O80" s="145" t="str">
        <f>IF(A80="","",IF(posicao_contratual!$Y80="","",IF(posicao_contratual!$Y80&gt;1,"",posicao_contratual!I80)))</f>
        <v/>
      </c>
      <c r="P80" s="145" t="str">
        <f>IF(A80="","",IF(posicao_contratual!$Y80="","",IF(posicao_contratual!$Y80&gt;2,"",posicao_contratual!M80)))</f>
        <v/>
      </c>
      <c r="Q80" s="145" t="str">
        <f>IF(A80="","",IF(posicao_contratual!$Y80="","",IF(posicao_contratual!$Y80&gt;3,"",posicao_contratual!Q80)))</f>
        <v/>
      </c>
      <c r="R80" s="145" t="str">
        <f>IF(A80="","",IF(posicao_contratual!$Y80="","",IF(posicao_contratual!$Y80&gt;4,"",posicao_contratual!U80)))</f>
        <v/>
      </c>
      <c r="S80" s="165" t="str">
        <f>IF(A80="","",posicao_contratual!G80)</f>
        <v/>
      </c>
      <c r="T80" s="165" t="str">
        <f>IF(A80="","",posicao_contratual!K80)</f>
        <v/>
      </c>
      <c r="U80" s="165" t="str">
        <f>IF(A80="","",posicao_contratual!O80)</f>
        <v/>
      </c>
      <c r="V80" s="165" t="str">
        <f>IF(A80="","",posicao_contratual!S80)</f>
        <v/>
      </c>
      <c r="W80" s="165" t="str">
        <f>IF(A80="","",posicao_contratual!W80)</f>
        <v/>
      </c>
    </row>
    <row r="81" spans="1:23" x14ac:dyDescent="0.35">
      <c r="A81" s="86" t="str">
        <f>IF(itens_Remanesc!A81="","",itens_Remanesc!A81)</f>
        <v/>
      </c>
      <c r="B81" s="85" t="str">
        <f>IF(A81="","",IF(posicao_contratual!$Y81="","",IF(posicao_contratual!$Y81&gt;0,"",posicao_contratual!G81)))</f>
        <v/>
      </c>
      <c r="C81" s="79" t="str">
        <f>IF(itens_Remanesc!A81="","",IF(posicao_contratual!$Y81="","",IF(posicao_contratual!$Y81&gt;0,"",itens_Remanesc!C81)))</f>
        <v/>
      </c>
      <c r="D81" s="79" t="str">
        <f>IF(OR($A81="",posicao_contratual!$Y81=""),"",IF(posicao_contratual!$Y81&gt;1,"",IF(posicao_contratual!$Y81=1,IF(ISNUMBER(itens_Remanesc!C81),itens_Remanesc!C81,""),IF(OR(NOT(ISNUMBER(itens_Remanesc!C81)),NOT(ISNUMBER($L$3)),NOT(ISNUMBER(INDEX($L$2:$L$6,posicao_contratual!$Y81+1)))),"",ROUND(itens_Remanesc!C81*$L$3/INDEX($L$2:$L$6,posicao_contratual!$Y81+1),2)))))</f>
        <v/>
      </c>
      <c r="E81" s="79" t="str">
        <f>IF(OR($A81="",posicao_contratual!$Y81=""),"",IF(posicao_contratual!$Y81&gt;2,"",IF(posicao_contratual!$Y81=2,IF(ISNUMBER(itens_Remanesc!C81),itens_Remanesc!C81,""),IF(OR(NOT(ISNUMBER(itens_Remanesc!C81)),NOT(ISNUMBER($L$4)),NOT(ISNUMBER(INDEX($L$2:$L$6,posicao_contratual!$Y81+1)))),"",ROUND(itens_Remanesc!C81*$L$4/INDEX($L$2:$L$6,posicao_contratual!$Y81+1),2)))))</f>
        <v/>
      </c>
      <c r="F81" s="79" t="str">
        <f>IF(OR($A81="",posicao_contratual!$Y81=""),"",IF(posicao_contratual!$Y81&gt;3,"",IF(posicao_contratual!$Y81=3,IF(ISNUMBER(itens_Remanesc!C81),itens_Remanesc!C81,""),IF(OR(NOT(ISNUMBER(itens_Remanesc!C81)),NOT(ISNUMBER($L$5)),NOT(ISNUMBER(INDEX($L$2:$L$6,posicao_contratual!$Y81+1)))),"",ROUND(itens_Remanesc!C81*$L$5/INDEX($L$2:$L$6,posicao_contratual!$Y81+1),2)))))</f>
        <v/>
      </c>
      <c r="G81" s="79" t="str">
        <f>IF(OR($A81="",posicao_contratual!$Y81=""),"",IF(posicao_contratual!$Y81&gt;4,"",IF(posicao_contratual!$Y81=4,IF(ISNUMBER(itens_Remanesc!C81),itens_Remanesc!C81,""),IF(OR(NOT(ISNUMBER(itens_Remanesc!C81)),NOT(ISNUMBER($L$6)),NOT(ISNUMBER(INDEX($L$2:$L$6,posicao_contratual!$Y81+1)))),"",ROUND(itens_Remanesc!C81*$L$6/INDEX($L$2:$L$6,posicao_contratual!$Y81+1),2)))))</f>
        <v/>
      </c>
      <c r="H81" s="114" t="str">
        <f t="shared" si="2"/>
        <v/>
      </c>
      <c r="I81" s="14"/>
      <c r="J81" s="14"/>
      <c r="K81" s="14"/>
      <c r="L81" s="14"/>
      <c r="M81" s="14"/>
      <c r="N81" s="145" t="str">
        <f>IF(A81="","",IF(posicao_contratual!$Y81="","",IF(posicao_contratual!$Y81&gt;0,"",posicao_contratual!E81)))</f>
        <v/>
      </c>
      <c r="O81" s="145" t="str">
        <f>IF(A81="","",IF(posicao_contratual!$Y81="","",IF(posicao_contratual!$Y81&gt;1,"",posicao_contratual!I81)))</f>
        <v/>
      </c>
      <c r="P81" s="145" t="str">
        <f>IF(A81="","",IF(posicao_contratual!$Y81="","",IF(posicao_contratual!$Y81&gt;2,"",posicao_contratual!M81)))</f>
        <v/>
      </c>
      <c r="Q81" s="145" t="str">
        <f>IF(A81="","",IF(posicao_contratual!$Y81="","",IF(posicao_contratual!$Y81&gt;3,"",posicao_contratual!Q81)))</f>
        <v/>
      </c>
      <c r="R81" s="145" t="str">
        <f>IF(A81="","",IF(posicao_contratual!$Y81="","",IF(posicao_contratual!$Y81&gt;4,"",posicao_contratual!U81)))</f>
        <v/>
      </c>
      <c r="S81" s="165" t="str">
        <f>IF(A81="","",posicao_contratual!G81)</f>
        <v/>
      </c>
      <c r="T81" s="165" t="str">
        <f>IF(A81="","",posicao_contratual!K81)</f>
        <v/>
      </c>
      <c r="U81" s="165" t="str">
        <f>IF(A81="","",posicao_contratual!O81)</f>
        <v/>
      </c>
      <c r="V81" s="165" t="str">
        <f>IF(A81="","",posicao_contratual!S81)</f>
        <v/>
      </c>
      <c r="W81" s="165" t="str">
        <f>IF(A81="","",posicao_contratual!W81)</f>
        <v/>
      </c>
    </row>
    <row r="82" spans="1:23" x14ac:dyDescent="0.35">
      <c r="A82" s="86" t="str">
        <f>IF(itens_Remanesc!A82="","",itens_Remanesc!A82)</f>
        <v/>
      </c>
      <c r="B82" s="85" t="str">
        <f>IF(A82="","",IF(posicao_contratual!$Y82="","",IF(posicao_contratual!$Y82&gt;0,"",posicao_contratual!G82)))</f>
        <v/>
      </c>
      <c r="C82" s="79" t="str">
        <f>IF(itens_Remanesc!A82="","",IF(posicao_contratual!$Y82="","",IF(posicao_contratual!$Y82&gt;0,"",itens_Remanesc!C82)))</f>
        <v/>
      </c>
      <c r="D82" s="79" t="str">
        <f>IF(OR($A82="",posicao_contratual!$Y82=""),"",IF(posicao_contratual!$Y82&gt;1,"",IF(posicao_contratual!$Y82=1,IF(ISNUMBER(itens_Remanesc!C82),itens_Remanesc!C82,""),IF(OR(NOT(ISNUMBER(itens_Remanesc!C82)),NOT(ISNUMBER($L$3)),NOT(ISNUMBER(INDEX($L$2:$L$6,posicao_contratual!$Y82+1)))),"",ROUND(itens_Remanesc!C82*$L$3/INDEX($L$2:$L$6,posicao_contratual!$Y82+1),2)))))</f>
        <v/>
      </c>
      <c r="E82" s="79" t="str">
        <f>IF(OR($A82="",posicao_contratual!$Y82=""),"",IF(posicao_contratual!$Y82&gt;2,"",IF(posicao_contratual!$Y82=2,IF(ISNUMBER(itens_Remanesc!C82),itens_Remanesc!C82,""),IF(OR(NOT(ISNUMBER(itens_Remanesc!C82)),NOT(ISNUMBER($L$4)),NOT(ISNUMBER(INDEX($L$2:$L$6,posicao_contratual!$Y82+1)))),"",ROUND(itens_Remanesc!C82*$L$4/INDEX($L$2:$L$6,posicao_contratual!$Y82+1),2)))))</f>
        <v/>
      </c>
      <c r="F82" s="79" t="str">
        <f>IF(OR($A82="",posicao_contratual!$Y82=""),"",IF(posicao_contratual!$Y82&gt;3,"",IF(posicao_contratual!$Y82=3,IF(ISNUMBER(itens_Remanesc!C82),itens_Remanesc!C82,""),IF(OR(NOT(ISNUMBER(itens_Remanesc!C82)),NOT(ISNUMBER($L$5)),NOT(ISNUMBER(INDEX($L$2:$L$6,posicao_contratual!$Y82+1)))),"",ROUND(itens_Remanesc!C82*$L$5/INDEX($L$2:$L$6,posicao_contratual!$Y82+1),2)))))</f>
        <v/>
      </c>
      <c r="G82" s="79" t="str">
        <f>IF(OR($A82="",posicao_contratual!$Y82=""),"",IF(posicao_contratual!$Y82&gt;4,"",IF(posicao_contratual!$Y82=4,IF(ISNUMBER(itens_Remanesc!C82),itens_Remanesc!C82,""),IF(OR(NOT(ISNUMBER(itens_Remanesc!C82)),NOT(ISNUMBER($L$6)),NOT(ISNUMBER(INDEX($L$2:$L$6,posicao_contratual!$Y82+1)))),"",ROUND(itens_Remanesc!C82*$L$6/INDEX($L$2:$L$6,posicao_contratual!$Y82+1),2)))))</f>
        <v/>
      </c>
      <c r="H82" s="114" t="str">
        <f t="shared" si="2"/>
        <v/>
      </c>
      <c r="I82" s="14"/>
      <c r="J82" s="14"/>
      <c r="K82" s="14"/>
      <c r="L82" s="14"/>
      <c r="M82" s="14"/>
      <c r="N82" s="145" t="str">
        <f>IF(A82="","",IF(posicao_contratual!$Y82="","",IF(posicao_contratual!$Y82&gt;0,"",posicao_contratual!E82)))</f>
        <v/>
      </c>
      <c r="O82" s="145" t="str">
        <f>IF(A82="","",IF(posicao_contratual!$Y82="","",IF(posicao_contratual!$Y82&gt;1,"",posicao_contratual!I82)))</f>
        <v/>
      </c>
      <c r="P82" s="145" t="str">
        <f>IF(A82="","",IF(posicao_contratual!$Y82="","",IF(posicao_contratual!$Y82&gt;2,"",posicao_contratual!M82)))</f>
        <v/>
      </c>
      <c r="Q82" s="145" t="str">
        <f>IF(A82="","",IF(posicao_contratual!$Y82="","",IF(posicao_contratual!$Y82&gt;3,"",posicao_contratual!Q82)))</f>
        <v/>
      </c>
      <c r="R82" s="145" t="str">
        <f>IF(A82="","",IF(posicao_contratual!$Y82="","",IF(posicao_contratual!$Y82&gt;4,"",posicao_contratual!U82)))</f>
        <v/>
      </c>
      <c r="S82" s="165" t="str">
        <f>IF(A82="","",posicao_contratual!G82)</f>
        <v/>
      </c>
      <c r="T82" s="165" t="str">
        <f>IF(A82="","",posicao_contratual!K82)</f>
        <v/>
      </c>
      <c r="U82" s="165" t="str">
        <f>IF(A82="","",posicao_contratual!O82)</f>
        <v/>
      </c>
      <c r="V82" s="165" t="str">
        <f>IF(A82="","",posicao_contratual!S82)</f>
        <v/>
      </c>
      <c r="W82" s="165" t="str">
        <f>IF(A82="","",posicao_contratual!W82)</f>
        <v/>
      </c>
    </row>
    <row r="83" spans="1:23" x14ac:dyDescent="0.35">
      <c r="A83" s="86" t="str">
        <f>IF(itens_Remanesc!A83="","",itens_Remanesc!A83)</f>
        <v/>
      </c>
      <c r="B83" s="85" t="str">
        <f>IF(A83="","",IF(posicao_contratual!$Y83="","",IF(posicao_contratual!$Y83&gt;0,"",posicao_contratual!G83)))</f>
        <v/>
      </c>
      <c r="C83" s="79" t="str">
        <f>IF(itens_Remanesc!A83="","",IF(posicao_contratual!$Y83="","",IF(posicao_contratual!$Y83&gt;0,"",itens_Remanesc!C83)))</f>
        <v/>
      </c>
      <c r="D83" s="79" t="str">
        <f>IF(OR($A83="",posicao_contratual!$Y83=""),"",IF(posicao_contratual!$Y83&gt;1,"",IF(posicao_contratual!$Y83=1,IF(ISNUMBER(itens_Remanesc!C83),itens_Remanesc!C83,""),IF(OR(NOT(ISNUMBER(itens_Remanesc!C83)),NOT(ISNUMBER($L$3)),NOT(ISNUMBER(INDEX($L$2:$L$6,posicao_contratual!$Y83+1)))),"",ROUND(itens_Remanesc!C83*$L$3/INDEX($L$2:$L$6,posicao_contratual!$Y83+1),2)))))</f>
        <v/>
      </c>
      <c r="E83" s="79" t="str">
        <f>IF(OR($A83="",posicao_contratual!$Y83=""),"",IF(posicao_contratual!$Y83&gt;2,"",IF(posicao_contratual!$Y83=2,IF(ISNUMBER(itens_Remanesc!C83),itens_Remanesc!C83,""),IF(OR(NOT(ISNUMBER(itens_Remanesc!C83)),NOT(ISNUMBER($L$4)),NOT(ISNUMBER(INDEX($L$2:$L$6,posicao_contratual!$Y83+1)))),"",ROUND(itens_Remanesc!C83*$L$4/INDEX($L$2:$L$6,posicao_contratual!$Y83+1),2)))))</f>
        <v/>
      </c>
      <c r="F83" s="79" t="str">
        <f>IF(OR($A83="",posicao_contratual!$Y83=""),"",IF(posicao_contratual!$Y83&gt;3,"",IF(posicao_contratual!$Y83=3,IF(ISNUMBER(itens_Remanesc!C83),itens_Remanesc!C83,""),IF(OR(NOT(ISNUMBER(itens_Remanesc!C83)),NOT(ISNUMBER($L$5)),NOT(ISNUMBER(INDEX($L$2:$L$6,posicao_contratual!$Y83+1)))),"",ROUND(itens_Remanesc!C83*$L$5/INDEX($L$2:$L$6,posicao_contratual!$Y83+1),2)))))</f>
        <v/>
      </c>
      <c r="G83" s="79" t="str">
        <f>IF(OR($A83="",posicao_contratual!$Y83=""),"",IF(posicao_contratual!$Y83&gt;4,"",IF(posicao_contratual!$Y83=4,IF(ISNUMBER(itens_Remanesc!C83),itens_Remanesc!C83,""),IF(OR(NOT(ISNUMBER(itens_Remanesc!C83)),NOT(ISNUMBER($L$6)),NOT(ISNUMBER(INDEX($L$2:$L$6,posicao_contratual!$Y83+1)))),"",ROUND(itens_Remanesc!C83*$L$6/INDEX($L$2:$L$6,posicao_contratual!$Y83+1),2)))))</f>
        <v/>
      </c>
      <c r="H83" s="114" t="str">
        <f t="shared" si="2"/>
        <v/>
      </c>
      <c r="I83" s="14"/>
      <c r="J83" s="14"/>
      <c r="K83" s="14"/>
      <c r="L83" s="14"/>
      <c r="M83" s="14"/>
      <c r="N83" s="145" t="str">
        <f>IF(A83="","",IF(posicao_contratual!$Y83="","",IF(posicao_contratual!$Y83&gt;0,"",posicao_contratual!E83)))</f>
        <v/>
      </c>
      <c r="O83" s="145" t="str">
        <f>IF(A83="","",IF(posicao_contratual!$Y83="","",IF(posicao_contratual!$Y83&gt;1,"",posicao_contratual!I83)))</f>
        <v/>
      </c>
      <c r="P83" s="145" t="str">
        <f>IF(A83="","",IF(posicao_contratual!$Y83="","",IF(posicao_contratual!$Y83&gt;2,"",posicao_contratual!M83)))</f>
        <v/>
      </c>
      <c r="Q83" s="145" t="str">
        <f>IF(A83="","",IF(posicao_contratual!$Y83="","",IF(posicao_contratual!$Y83&gt;3,"",posicao_contratual!Q83)))</f>
        <v/>
      </c>
      <c r="R83" s="145" t="str">
        <f>IF(A83="","",IF(posicao_contratual!$Y83="","",IF(posicao_contratual!$Y83&gt;4,"",posicao_contratual!U83)))</f>
        <v/>
      </c>
      <c r="S83" s="165" t="str">
        <f>IF(A83="","",posicao_contratual!G83)</f>
        <v/>
      </c>
      <c r="T83" s="165" t="str">
        <f>IF(A83="","",posicao_contratual!K83)</f>
        <v/>
      </c>
      <c r="U83" s="165" t="str">
        <f>IF(A83="","",posicao_contratual!O83)</f>
        <v/>
      </c>
      <c r="V83" s="165" t="str">
        <f>IF(A83="","",posicao_contratual!S83)</f>
        <v/>
      </c>
      <c r="W83" s="165" t="str">
        <f>IF(A83="","",posicao_contratual!W83)</f>
        <v/>
      </c>
    </row>
    <row r="84" spans="1:23" x14ac:dyDescent="0.35">
      <c r="A84" s="86" t="str">
        <f>IF(itens_Remanesc!A84="","",itens_Remanesc!A84)</f>
        <v/>
      </c>
      <c r="B84" s="85" t="str">
        <f>IF(A84="","",IF(posicao_contratual!$Y84="","",IF(posicao_contratual!$Y84&gt;0,"",posicao_contratual!G84)))</f>
        <v/>
      </c>
      <c r="C84" s="79" t="str">
        <f>IF(itens_Remanesc!A84="","",IF(posicao_contratual!$Y84="","",IF(posicao_contratual!$Y84&gt;0,"",itens_Remanesc!C84)))</f>
        <v/>
      </c>
      <c r="D84" s="79" t="str">
        <f>IF(OR($A84="",posicao_contratual!$Y84=""),"",IF(posicao_contratual!$Y84&gt;1,"",IF(posicao_contratual!$Y84=1,IF(ISNUMBER(itens_Remanesc!C84),itens_Remanesc!C84,""),IF(OR(NOT(ISNUMBER(itens_Remanesc!C84)),NOT(ISNUMBER($L$3)),NOT(ISNUMBER(INDEX($L$2:$L$6,posicao_contratual!$Y84+1)))),"",ROUND(itens_Remanesc!C84*$L$3/INDEX($L$2:$L$6,posicao_contratual!$Y84+1),2)))))</f>
        <v/>
      </c>
      <c r="E84" s="79" t="str">
        <f>IF(OR($A84="",posicao_contratual!$Y84=""),"",IF(posicao_contratual!$Y84&gt;2,"",IF(posicao_contratual!$Y84=2,IF(ISNUMBER(itens_Remanesc!C84),itens_Remanesc!C84,""),IF(OR(NOT(ISNUMBER(itens_Remanesc!C84)),NOT(ISNUMBER($L$4)),NOT(ISNUMBER(INDEX($L$2:$L$6,posicao_contratual!$Y84+1)))),"",ROUND(itens_Remanesc!C84*$L$4/INDEX($L$2:$L$6,posicao_contratual!$Y84+1),2)))))</f>
        <v/>
      </c>
      <c r="F84" s="79" t="str">
        <f>IF(OR($A84="",posicao_contratual!$Y84=""),"",IF(posicao_contratual!$Y84&gt;3,"",IF(posicao_contratual!$Y84=3,IF(ISNUMBER(itens_Remanesc!C84),itens_Remanesc!C84,""),IF(OR(NOT(ISNUMBER(itens_Remanesc!C84)),NOT(ISNUMBER($L$5)),NOT(ISNUMBER(INDEX($L$2:$L$6,posicao_contratual!$Y84+1)))),"",ROUND(itens_Remanesc!C84*$L$5/INDEX($L$2:$L$6,posicao_contratual!$Y84+1),2)))))</f>
        <v/>
      </c>
      <c r="G84" s="79" t="str">
        <f>IF(OR($A84="",posicao_contratual!$Y84=""),"",IF(posicao_contratual!$Y84&gt;4,"",IF(posicao_contratual!$Y84=4,IF(ISNUMBER(itens_Remanesc!C84),itens_Remanesc!C84,""),IF(OR(NOT(ISNUMBER(itens_Remanesc!C84)),NOT(ISNUMBER($L$6)),NOT(ISNUMBER(INDEX($L$2:$L$6,posicao_contratual!$Y84+1)))),"",ROUND(itens_Remanesc!C84*$L$6/INDEX($L$2:$L$6,posicao_contratual!$Y84+1),2)))))</f>
        <v/>
      </c>
      <c r="H84" s="114" t="str">
        <f t="shared" si="2"/>
        <v/>
      </c>
      <c r="I84" s="14"/>
      <c r="J84" s="14"/>
      <c r="K84" s="14"/>
      <c r="L84" s="14"/>
      <c r="M84" s="14"/>
      <c r="N84" s="145" t="str">
        <f>IF(A84="","",IF(posicao_contratual!$Y84="","",IF(posicao_contratual!$Y84&gt;0,"",posicao_contratual!E84)))</f>
        <v/>
      </c>
      <c r="O84" s="145" t="str">
        <f>IF(A84="","",IF(posicao_contratual!$Y84="","",IF(posicao_contratual!$Y84&gt;1,"",posicao_contratual!I84)))</f>
        <v/>
      </c>
      <c r="P84" s="145" t="str">
        <f>IF(A84="","",IF(posicao_contratual!$Y84="","",IF(posicao_contratual!$Y84&gt;2,"",posicao_contratual!M84)))</f>
        <v/>
      </c>
      <c r="Q84" s="145" t="str">
        <f>IF(A84="","",IF(posicao_contratual!$Y84="","",IF(posicao_contratual!$Y84&gt;3,"",posicao_contratual!Q84)))</f>
        <v/>
      </c>
      <c r="R84" s="145" t="str">
        <f>IF(A84="","",IF(posicao_contratual!$Y84="","",IF(posicao_contratual!$Y84&gt;4,"",posicao_contratual!U84)))</f>
        <v/>
      </c>
      <c r="S84" s="165" t="str">
        <f>IF(A84="","",posicao_contratual!G84)</f>
        <v/>
      </c>
      <c r="T84" s="165" t="str">
        <f>IF(A84="","",posicao_contratual!K84)</f>
        <v/>
      </c>
      <c r="U84" s="165" t="str">
        <f>IF(A84="","",posicao_contratual!O84)</f>
        <v/>
      </c>
      <c r="V84" s="165" t="str">
        <f>IF(A84="","",posicao_contratual!S84)</f>
        <v/>
      </c>
      <c r="W84" s="165" t="str">
        <f>IF(A84="","",posicao_contratual!W84)</f>
        <v/>
      </c>
    </row>
    <row r="85" spans="1:23" x14ac:dyDescent="0.35">
      <c r="A85" s="86" t="str">
        <f>IF(itens_Remanesc!A85="","",itens_Remanesc!A85)</f>
        <v/>
      </c>
      <c r="B85" s="85" t="str">
        <f>IF(A85="","",IF(posicao_contratual!$Y85="","",IF(posicao_contratual!$Y85&gt;0,"",posicao_contratual!G85)))</f>
        <v/>
      </c>
      <c r="C85" s="79" t="str">
        <f>IF(itens_Remanesc!A85="","",IF(posicao_contratual!$Y85="","",IF(posicao_contratual!$Y85&gt;0,"",itens_Remanesc!C85)))</f>
        <v/>
      </c>
      <c r="D85" s="79" t="str">
        <f>IF(OR($A85="",posicao_contratual!$Y85=""),"",IF(posicao_contratual!$Y85&gt;1,"",IF(posicao_contratual!$Y85=1,IF(ISNUMBER(itens_Remanesc!C85),itens_Remanesc!C85,""),IF(OR(NOT(ISNUMBER(itens_Remanesc!C85)),NOT(ISNUMBER($L$3)),NOT(ISNUMBER(INDEX($L$2:$L$6,posicao_contratual!$Y85+1)))),"",ROUND(itens_Remanesc!C85*$L$3/INDEX($L$2:$L$6,posicao_contratual!$Y85+1),2)))))</f>
        <v/>
      </c>
      <c r="E85" s="79" t="str">
        <f>IF(OR($A85="",posicao_contratual!$Y85=""),"",IF(posicao_contratual!$Y85&gt;2,"",IF(posicao_contratual!$Y85=2,IF(ISNUMBER(itens_Remanesc!C85),itens_Remanesc!C85,""),IF(OR(NOT(ISNUMBER(itens_Remanesc!C85)),NOT(ISNUMBER($L$4)),NOT(ISNUMBER(INDEX($L$2:$L$6,posicao_contratual!$Y85+1)))),"",ROUND(itens_Remanesc!C85*$L$4/INDEX($L$2:$L$6,posicao_contratual!$Y85+1),2)))))</f>
        <v/>
      </c>
      <c r="F85" s="79" t="str">
        <f>IF(OR($A85="",posicao_contratual!$Y85=""),"",IF(posicao_contratual!$Y85&gt;3,"",IF(posicao_contratual!$Y85=3,IF(ISNUMBER(itens_Remanesc!C85),itens_Remanesc!C85,""),IF(OR(NOT(ISNUMBER(itens_Remanesc!C85)),NOT(ISNUMBER($L$5)),NOT(ISNUMBER(INDEX($L$2:$L$6,posicao_contratual!$Y85+1)))),"",ROUND(itens_Remanesc!C85*$L$5/INDEX($L$2:$L$6,posicao_contratual!$Y85+1),2)))))</f>
        <v/>
      </c>
      <c r="G85" s="79" t="str">
        <f>IF(OR($A85="",posicao_contratual!$Y85=""),"",IF(posicao_contratual!$Y85&gt;4,"",IF(posicao_contratual!$Y85=4,IF(ISNUMBER(itens_Remanesc!C85),itens_Remanesc!C85,""),IF(OR(NOT(ISNUMBER(itens_Remanesc!C85)),NOT(ISNUMBER($L$6)),NOT(ISNUMBER(INDEX($L$2:$L$6,posicao_contratual!$Y85+1)))),"",ROUND(itens_Remanesc!C85*$L$6/INDEX($L$2:$L$6,posicao_contratual!$Y85+1),2)))))</f>
        <v/>
      </c>
      <c r="H85" s="114" t="str">
        <f t="shared" si="2"/>
        <v/>
      </c>
      <c r="I85" s="14"/>
      <c r="J85" s="14"/>
      <c r="K85" s="14"/>
      <c r="L85" s="14"/>
      <c r="M85" s="14"/>
      <c r="N85" s="145" t="str">
        <f>IF(A85="","",IF(posicao_contratual!$Y85="","",IF(posicao_contratual!$Y85&gt;0,"",posicao_contratual!E85)))</f>
        <v/>
      </c>
      <c r="O85" s="145" t="str">
        <f>IF(A85="","",IF(posicao_contratual!$Y85="","",IF(posicao_contratual!$Y85&gt;1,"",posicao_contratual!I85)))</f>
        <v/>
      </c>
      <c r="P85" s="145" t="str">
        <f>IF(A85="","",IF(posicao_contratual!$Y85="","",IF(posicao_contratual!$Y85&gt;2,"",posicao_contratual!M85)))</f>
        <v/>
      </c>
      <c r="Q85" s="145" t="str">
        <f>IF(A85="","",IF(posicao_contratual!$Y85="","",IF(posicao_contratual!$Y85&gt;3,"",posicao_contratual!Q85)))</f>
        <v/>
      </c>
      <c r="R85" s="145" t="str">
        <f>IF(A85="","",IF(posicao_contratual!$Y85="","",IF(posicao_contratual!$Y85&gt;4,"",posicao_contratual!U85)))</f>
        <v/>
      </c>
      <c r="S85" s="165" t="str">
        <f>IF(A85="","",posicao_contratual!G85)</f>
        <v/>
      </c>
      <c r="T85" s="165" t="str">
        <f>IF(A85="","",posicao_contratual!K85)</f>
        <v/>
      </c>
      <c r="U85" s="165" t="str">
        <f>IF(A85="","",posicao_contratual!O85)</f>
        <v/>
      </c>
      <c r="V85" s="165" t="str">
        <f>IF(A85="","",posicao_contratual!S85)</f>
        <v/>
      </c>
      <c r="W85" s="165" t="str">
        <f>IF(A85="","",posicao_contratual!W85)</f>
        <v/>
      </c>
    </row>
    <row r="86" spans="1:23" x14ac:dyDescent="0.35">
      <c r="A86" s="86" t="str">
        <f>IF(itens_Remanesc!A86="","",itens_Remanesc!A86)</f>
        <v/>
      </c>
      <c r="B86" s="85" t="str">
        <f>IF(A86="","",IF(posicao_contratual!$Y86="","",IF(posicao_contratual!$Y86&gt;0,"",posicao_contratual!G86)))</f>
        <v/>
      </c>
      <c r="C86" s="79" t="str">
        <f>IF(itens_Remanesc!A86="","",IF(posicao_contratual!$Y86="","",IF(posicao_contratual!$Y86&gt;0,"",itens_Remanesc!C86)))</f>
        <v/>
      </c>
      <c r="D86" s="79" t="str">
        <f>IF(OR($A86="",posicao_contratual!$Y86=""),"",IF(posicao_contratual!$Y86&gt;1,"",IF(posicao_contratual!$Y86=1,IF(ISNUMBER(itens_Remanesc!C86),itens_Remanesc!C86,""),IF(OR(NOT(ISNUMBER(itens_Remanesc!C86)),NOT(ISNUMBER($L$3)),NOT(ISNUMBER(INDEX($L$2:$L$6,posicao_contratual!$Y86+1)))),"",ROUND(itens_Remanesc!C86*$L$3/INDEX($L$2:$L$6,posicao_contratual!$Y86+1),2)))))</f>
        <v/>
      </c>
      <c r="E86" s="79" t="str">
        <f>IF(OR($A86="",posicao_contratual!$Y86=""),"",IF(posicao_contratual!$Y86&gt;2,"",IF(posicao_contratual!$Y86=2,IF(ISNUMBER(itens_Remanesc!C86),itens_Remanesc!C86,""),IF(OR(NOT(ISNUMBER(itens_Remanesc!C86)),NOT(ISNUMBER($L$4)),NOT(ISNUMBER(INDEX($L$2:$L$6,posicao_contratual!$Y86+1)))),"",ROUND(itens_Remanesc!C86*$L$4/INDEX($L$2:$L$6,posicao_contratual!$Y86+1),2)))))</f>
        <v/>
      </c>
      <c r="F86" s="79" t="str">
        <f>IF(OR($A86="",posicao_contratual!$Y86=""),"",IF(posicao_contratual!$Y86&gt;3,"",IF(posicao_contratual!$Y86=3,IF(ISNUMBER(itens_Remanesc!C86),itens_Remanesc!C86,""),IF(OR(NOT(ISNUMBER(itens_Remanesc!C86)),NOT(ISNUMBER($L$5)),NOT(ISNUMBER(INDEX($L$2:$L$6,posicao_contratual!$Y86+1)))),"",ROUND(itens_Remanesc!C86*$L$5/INDEX($L$2:$L$6,posicao_contratual!$Y86+1),2)))))</f>
        <v/>
      </c>
      <c r="G86" s="79" t="str">
        <f>IF(OR($A86="",posicao_contratual!$Y86=""),"",IF(posicao_contratual!$Y86&gt;4,"",IF(posicao_contratual!$Y86=4,IF(ISNUMBER(itens_Remanesc!C86),itens_Remanesc!C86,""),IF(OR(NOT(ISNUMBER(itens_Remanesc!C86)),NOT(ISNUMBER($L$6)),NOT(ISNUMBER(INDEX($L$2:$L$6,posicao_contratual!$Y86+1)))),"",ROUND(itens_Remanesc!C86*$L$6/INDEX($L$2:$L$6,posicao_contratual!$Y86+1),2)))))</f>
        <v/>
      </c>
      <c r="H86" s="114" t="str">
        <f t="shared" si="2"/>
        <v/>
      </c>
      <c r="I86" s="14"/>
      <c r="J86" s="14"/>
      <c r="K86" s="14"/>
      <c r="L86" s="14"/>
      <c r="M86" s="14"/>
      <c r="N86" s="145" t="str">
        <f>IF(A86="","",IF(posicao_contratual!$Y86="","",IF(posicao_contratual!$Y86&gt;0,"",posicao_contratual!E86)))</f>
        <v/>
      </c>
      <c r="O86" s="145" t="str">
        <f>IF(A86="","",IF(posicao_contratual!$Y86="","",IF(posicao_contratual!$Y86&gt;1,"",posicao_contratual!I86)))</f>
        <v/>
      </c>
      <c r="P86" s="145" t="str">
        <f>IF(A86="","",IF(posicao_contratual!$Y86="","",IF(posicao_contratual!$Y86&gt;2,"",posicao_contratual!M86)))</f>
        <v/>
      </c>
      <c r="Q86" s="145" t="str">
        <f>IF(A86="","",IF(posicao_contratual!$Y86="","",IF(posicao_contratual!$Y86&gt;3,"",posicao_contratual!Q86)))</f>
        <v/>
      </c>
      <c r="R86" s="145" t="str">
        <f>IF(A86="","",IF(posicao_contratual!$Y86="","",IF(posicao_contratual!$Y86&gt;4,"",posicao_contratual!U86)))</f>
        <v/>
      </c>
      <c r="S86" s="165" t="str">
        <f>IF(A86="","",posicao_contratual!G86)</f>
        <v/>
      </c>
      <c r="T86" s="165" t="str">
        <f>IF(A86="","",posicao_contratual!K86)</f>
        <v/>
      </c>
      <c r="U86" s="165" t="str">
        <f>IF(A86="","",posicao_contratual!O86)</f>
        <v/>
      </c>
      <c r="V86" s="165" t="str">
        <f>IF(A86="","",posicao_contratual!S86)</f>
        <v/>
      </c>
      <c r="W86" s="165" t="str">
        <f>IF(A86="","",posicao_contratual!W86)</f>
        <v/>
      </c>
    </row>
    <row r="87" spans="1:23" x14ac:dyDescent="0.35">
      <c r="A87" s="86" t="str">
        <f>IF(itens_Remanesc!A87="","",itens_Remanesc!A87)</f>
        <v/>
      </c>
      <c r="B87" s="85" t="str">
        <f>IF(A87="","",IF(posicao_contratual!$Y87="","",IF(posicao_contratual!$Y87&gt;0,"",posicao_contratual!G87)))</f>
        <v/>
      </c>
      <c r="C87" s="79" t="str">
        <f>IF(itens_Remanesc!A87="","",IF(posicao_contratual!$Y87="","",IF(posicao_contratual!$Y87&gt;0,"",itens_Remanesc!C87)))</f>
        <v/>
      </c>
      <c r="D87" s="79" t="str">
        <f>IF(OR($A87="",posicao_contratual!$Y87=""),"",IF(posicao_contratual!$Y87&gt;1,"",IF(posicao_contratual!$Y87=1,IF(ISNUMBER(itens_Remanesc!C87),itens_Remanesc!C87,""),IF(OR(NOT(ISNUMBER(itens_Remanesc!C87)),NOT(ISNUMBER($L$3)),NOT(ISNUMBER(INDEX($L$2:$L$6,posicao_contratual!$Y87+1)))),"",ROUND(itens_Remanesc!C87*$L$3/INDEX($L$2:$L$6,posicao_contratual!$Y87+1),2)))))</f>
        <v/>
      </c>
      <c r="E87" s="79" t="str">
        <f>IF(OR($A87="",posicao_contratual!$Y87=""),"",IF(posicao_contratual!$Y87&gt;2,"",IF(posicao_contratual!$Y87=2,IF(ISNUMBER(itens_Remanesc!C87),itens_Remanesc!C87,""),IF(OR(NOT(ISNUMBER(itens_Remanesc!C87)),NOT(ISNUMBER($L$4)),NOT(ISNUMBER(INDEX($L$2:$L$6,posicao_contratual!$Y87+1)))),"",ROUND(itens_Remanesc!C87*$L$4/INDEX($L$2:$L$6,posicao_contratual!$Y87+1),2)))))</f>
        <v/>
      </c>
      <c r="F87" s="79" t="str">
        <f>IF(OR($A87="",posicao_contratual!$Y87=""),"",IF(posicao_contratual!$Y87&gt;3,"",IF(posicao_contratual!$Y87=3,IF(ISNUMBER(itens_Remanesc!C87),itens_Remanesc!C87,""),IF(OR(NOT(ISNUMBER(itens_Remanesc!C87)),NOT(ISNUMBER($L$5)),NOT(ISNUMBER(INDEX($L$2:$L$6,posicao_contratual!$Y87+1)))),"",ROUND(itens_Remanesc!C87*$L$5/INDEX($L$2:$L$6,posicao_contratual!$Y87+1),2)))))</f>
        <v/>
      </c>
      <c r="G87" s="79" t="str">
        <f>IF(OR($A87="",posicao_contratual!$Y87=""),"",IF(posicao_contratual!$Y87&gt;4,"",IF(posicao_contratual!$Y87=4,IF(ISNUMBER(itens_Remanesc!C87),itens_Remanesc!C87,""),IF(OR(NOT(ISNUMBER(itens_Remanesc!C87)),NOT(ISNUMBER($L$6)),NOT(ISNUMBER(INDEX($L$2:$L$6,posicao_contratual!$Y87+1)))),"",ROUND(itens_Remanesc!C87*$L$6/INDEX($L$2:$L$6,posicao_contratual!$Y87+1),2)))))</f>
        <v/>
      </c>
      <c r="H87" s="114" t="str">
        <f t="shared" si="2"/>
        <v/>
      </c>
      <c r="I87" s="14"/>
      <c r="J87" s="14"/>
      <c r="K87" s="14"/>
      <c r="L87" s="14"/>
      <c r="M87" s="14"/>
      <c r="N87" s="145" t="str">
        <f>IF(A87="","",IF(posicao_contratual!$Y87="","",IF(posicao_contratual!$Y87&gt;0,"",posicao_contratual!E87)))</f>
        <v/>
      </c>
      <c r="O87" s="145" t="str">
        <f>IF(A87="","",IF(posicao_contratual!$Y87="","",IF(posicao_contratual!$Y87&gt;1,"",posicao_contratual!I87)))</f>
        <v/>
      </c>
      <c r="P87" s="145" t="str">
        <f>IF(A87="","",IF(posicao_contratual!$Y87="","",IF(posicao_contratual!$Y87&gt;2,"",posicao_contratual!M87)))</f>
        <v/>
      </c>
      <c r="Q87" s="145" t="str">
        <f>IF(A87="","",IF(posicao_contratual!$Y87="","",IF(posicao_contratual!$Y87&gt;3,"",posicao_contratual!Q87)))</f>
        <v/>
      </c>
      <c r="R87" s="145" t="str">
        <f>IF(A87="","",IF(posicao_contratual!$Y87="","",IF(posicao_contratual!$Y87&gt;4,"",posicao_contratual!U87)))</f>
        <v/>
      </c>
      <c r="S87" s="165" t="str">
        <f>IF(A87="","",posicao_contratual!G87)</f>
        <v/>
      </c>
      <c r="T87" s="165" t="str">
        <f>IF(A87="","",posicao_contratual!K87)</f>
        <v/>
      </c>
      <c r="U87" s="165" t="str">
        <f>IF(A87="","",posicao_contratual!O87)</f>
        <v/>
      </c>
      <c r="V87" s="165" t="str">
        <f>IF(A87="","",posicao_contratual!S87)</f>
        <v/>
      </c>
      <c r="W87" s="165" t="str">
        <f>IF(A87="","",posicao_contratual!W87)</f>
        <v/>
      </c>
    </row>
    <row r="88" spans="1:23" x14ac:dyDescent="0.35">
      <c r="A88" s="86" t="str">
        <f>IF(itens_Remanesc!A88="","",itens_Remanesc!A88)</f>
        <v/>
      </c>
      <c r="B88" s="85" t="str">
        <f>IF(A88="","",IF(posicao_contratual!$Y88="","",IF(posicao_contratual!$Y88&gt;0,"",posicao_contratual!G88)))</f>
        <v/>
      </c>
      <c r="C88" s="79" t="str">
        <f>IF(itens_Remanesc!A88="","",IF(posicao_contratual!$Y88="","",IF(posicao_contratual!$Y88&gt;0,"",itens_Remanesc!C88)))</f>
        <v/>
      </c>
      <c r="D88" s="79" t="str">
        <f>IF(OR($A88="",posicao_contratual!$Y88=""),"",IF(posicao_contratual!$Y88&gt;1,"",IF(posicao_contratual!$Y88=1,IF(ISNUMBER(itens_Remanesc!C88),itens_Remanesc!C88,""),IF(OR(NOT(ISNUMBER(itens_Remanesc!C88)),NOT(ISNUMBER($L$3)),NOT(ISNUMBER(INDEX($L$2:$L$6,posicao_contratual!$Y88+1)))),"",ROUND(itens_Remanesc!C88*$L$3/INDEX($L$2:$L$6,posicao_contratual!$Y88+1),2)))))</f>
        <v/>
      </c>
      <c r="E88" s="79" t="str">
        <f>IF(OR($A88="",posicao_contratual!$Y88=""),"",IF(posicao_contratual!$Y88&gt;2,"",IF(posicao_contratual!$Y88=2,IF(ISNUMBER(itens_Remanesc!C88),itens_Remanesc!C88,""),IF(OR(NOT(ISNUMBER(itens_Remanesc!C88)),NOT(ISNUMBER($L$4)),NOT(ISNUMBER(INDEX($L$2:$L$6,posicao_contratual!$Y88+1)))),"",ROUND(itens_Remanesc!C88*$L$4/INDEX($L$2:$L$6,posicao_contratual!$Y88+1),2)))))</f>
        <v/>
      </c>
      <c r="F88" s="79" t="str">
        <f>IF(OR($A88="",posicao_contratual!$Y88=""),"",IF(posicao_contratual!$Y88&gt;3,"",IF(posicao_contratual!$Y88=3,IF(ISNUMBER(itens_Remanesc!C88),itens_Remanesc!C88,""),IF(OR(NOT(ISNUMBER(itens_Remanesc!C88)),NOT(ISNUMBER($L$5)),NOT(ISNUMBER(INDEX($L$2:$L$6,posicao_contratual!$Y88+1)))),"",ROUND(itens_Remanesc!C88*$L$5/INDEX($L$2:$L$6,posicao_contratual!$Y88+1),2)))))</f>
        <v/>
      </c>
      <c r="G88" s="79" t="str">
        <f>IF(OR($A88="",posicao_contratual!$Y88=""),"",IF(posicao_contratual!$Y88&gt;4,"",IF(posicao_contratual!$Y88=4,IF(ISNUMBER(itens_Remanesc!C88),itens_Remanesc!C88,""),IF(OR(NOT(ISNUMBER(itens_Remanesc!C88)),NOT(ISNUMBER($L$6)),NOT(ISNUMBER(INDEX($L$2:$L$6,posicao_contratual!$Y88+1)))),"",ROUND(itens_Remanesc!C88*$L$6/INDEX($L$2:$L$6,posicao_contratual!$Y88+1),2)))))</f>
        <v/>
      </c>
      <c r="H88" s="114" t="str">
        <f t="shared" si="2"/>
        <v/>
      </c>
      <c r="I88" s="14"/>
      <c r="J88" s="14"/>
      <c r="K88" s="14"/>
      <c r="L88" s="14"/>
      <c r="M88" s="14"/>
      <c r="N88" s="145" t="str">
        <f>IF(A88="","",IF(posicao_contratual!$Y88="","",IF(posicao_contratual!$Y88&gt;0,"",posicao_contratual!E88)))</f>
        <v/>
      </c>
      <c r="O88" s="145" t="str">
        <f>IF(A88="","",IF(posicao_contratual!$Y88="","",IF(posicao_contratual!$Y88&gt;1,"",posicao_contratual!I88)))</f>
        <v/>
      </c>
      <c r="P88" s="145" t="str">
        <f>IF(A88="","",IF(posicao_contratual!$Y88="","",IF(posicao_contratual!$Y88&gt;2,"",posicao_contratual!M88)))</f>
        <v/>
      </c>
      <c r="Q88" s="145" t="str">
        <f>IF(A88="","",IF(posicao_contratual!$Y88="","",IF(posicao_contratual!$Y88&gt;3,"",posicao_contratual!Q88)))</f>
        <v/>
      </c>
      <c r="R88" s="145" t="str">
        <f>IF(A88="","",IF(posicao_contratual!$Y88="","",IF(posicao_contratual!$Y88&gt;4,"",posicao_contratual!U88)))</f>
        <v/>
      </c>
      <c r="S88" s="165" t="str">
        <f>IF(A88="","",posicao_contratual!G88)</f>
        <v/>
      </c>
      <c r="T88" s="165" t="str">
        <f>IF(A88="","",posicao_contratual!K88)</f>
        <v/>
      </c>
      <c r="U88" s="165" t="str">
        <f>IF(A88="","",posicao_contratual!O88)</f>
        <v/>
      </c>
      <c r="V88" s="165" t="str">
        <f>IF(A88="","",posicao_contratual!S88)</f>
        <v/>
      </c>
      <c r="W88" s="165" t="str">
        <f>IF(A88="","",posicao_contratual!W88)</f>
        <v/>
      </c>
    </row>
    <row r="89" spans="1:23" x14ac:dyDescent="0.35">
      <c r="A89" s="86" t="str">
        <f>IF(itens_Remanesc!A89="","",itens_Remanesc!A89)</f>
        <v/>
      </c>
      <c r="B89" s="85" t="str">
        <f>IF(A89="","",IF(posicao_contratual!$Y89="","",IF(posicao_contratual!$Y89&gt;0,"",posicao_contratual!G89)))</f>
        <v/>
      </c>
      <c r="C89" s="79" t="str">
        <f>IF(itens_Remanesc!A89="","",IF(posicao_contratual!$Y89="","",IF(posicao_contratual!$Y89&gt;0,"",itens_Remanesc!C89)))</f>
        <v/>
      </c>
      <c r="D89" s="79" t="str">
        <f>IF(OR($A89="",posicao_contratual!$Y89=""),"",IF(posicao_contratual!$Y89&gt;1,"",IF(posicao_contratual!$Y89=1,IF(ISNUMBER(itens_Remanesc!C89),itens_Remanesc!C89,""),IF(OR(NOT(ISNUMBER(itens_Remanesc!C89)),NOT(ISNUMBER($L$3)),NOT(ISNUMBER(INDEX($L$2:$L$6,posicao_contratual!$Y89+1)))),"",ROUND(itens_Remanesc!C89*$L$3/INDEX($L$2:$L$6,posicao_contratual!$Y89+1),2)))))</f>
        <v/>
      </c>
      <c r="E89" s="79" t="str">
        <f>IF(OR($A89="",posicao_contratual!$Y89=""),"",IF(posicao_contratual!$Y89&gt;2,"",IF(posicao_contratual!$Y89=2,IF(ISNUMBER(itens_Remanesc!C89),itens_Remanesc!C89,""),IF(OR(NOT(ISNUMBER(itens_Remanesc!C89)),NOT(ISNUMBER($L$4)),NOT(ISNUMBER(INDEX($L$2:$L$6,posicao_contratual!$Y89+1)))),"",ROUND(itens_Remanesc!C89*$L$4/INDEX($L$2:$L$6,posicao_contratual!$Y89+1),2)))))</f>
        <v/>
      </c>
      <c r="F89" s="79" t="str">
        <f>IF(OR($A89="",posicao_contratual!$Y89=""),"",IF(posicao_contratual!$Y89&gt;3,"",IF(posicao_contratual!$Y89=3,IF(ISNUMBER(itens_Remanesc!C89),itens_Remanesc!C89,""),IF(OR(NOT(ISNUMBER(itens_Remanesc!C89)),NOT(ISNUMBER($L$5)),NOT(ISNUMBER(INDEX($L$2:$L$6,posicao_contratual!$Y89+1)))),"",ROUND(itens_Remanesc!C89*$L$5/INDEX($L$2:$L$6,posicao_contratual!$Y89+1),2)))))</f>
        <v/>
      </c>
      <c r="G89" s="79" t="str">
        <f>IF(OR($A89="",posicao_contratual!$Y89=""),"",IF(posicao_contratual!$Y89&gt;4,"",IF(posicao_contratual!$Y89=4,IF(ISNUMBER(itens_Remanesc!C89),itens_Remanesc!C89,""),IF(OR(NOT(ISNUMBER(itens_Remanesc!C89)),NOT(ISNUMBER($L$6)),NOT(ISNUMBER(INDEX($L$2:$L$6,posicao_contratual!$Y89+1)))),"",ROUND(itens_Remanesc!C89*$L$6/INDEX($L$2:$L$6,posicao_contratual!$Y89+1),2)))))</f>
        <v/>
      </c>
      <c r="H89" s="114" t="str">
        <f t="shared" si="2"/>
        <v/>
      </c>
      <c r="I89" s="14"/>
      <c r="J89" s="14"/>
      <c r="K89" s="14"/>
      <c r="L89" s="14"/>
      <c r="M89" s="14"/>
      <c r="N89" s="145" t="str">
        <f>IF(A89="","",IF(posicao_contratual!$Y89="","",IF(posicao_contratual!$Y89&gt;0,"",posicao_contratual!E89)))</f>
        <v/>
      </c>
      <c r="O89" s="145" t="str">
        <f>IF(A89="","",IF(posicao_contratual!$Y89="","",IF(posicao_contratual!$Y89&gt;1,"",posicao_contratual!I89)))</f>
        <v/>
      </c>
      <c r="P89" s="145" t="str">
        <f>IF(A89="","",IF(posicao_contratual!$Y89="","",IF(posicao_contratual!$Y89&gt;2,"",posicao_contratual!M89)))</f>
        <v/>
      </c>
      <c r="Q89" s="145" t="str">
        <f>IF(A89="","",IF(posicao_contratual!$Y89="","",IF(posicao_contratual!$Y89&gt;3,"",posicao_contratual!Q89)))</f>
        <v/>
      </c>
      <c r="R89" s="145" t="str">
        <f>IF(A89="","",IF(posicao_contratual!$Y89="","",IF(posicao_contratual!$Y89&gt;4,"",posicao_contratual!U89)))</f>
        <v/>
      </c>
      <c r="S89" s="165" t="str">
        <f>IF(A89="","",posicao_contratual!G89)</f>
        <v/>
      </c>
      <c r="T89" s="165" t="str">
        <f>IF(A89="","",posicao_contratual!K89)</f>
        <v/>
      </c>
      <c r="U89" s="165" t="str">
        <f>IF(A89="","",posicao_contratual!O89)</f>
        <v/>
      </c>
      <c r="V89" s="165" t="str">
        <f>IF(A89="","",posicao_contratual!S89)</f>
        <v/>
      </c>
      <c r="W89" s="165" t="str">
        <f>IF(A89="","",posicao_contratual!W89)</f>
        <v/>
      </c>
    </row>
    <row r="90" spans="1:23" x14ac:dyDescent="0.35">
      <c r="A90" s="86" t="str">
        <f>IF(itens_Remanesc!A90="","",itens_Remanesc!A90)</f>
        <v/>
      </c>
      <c r="B90" s="85" t="str">
        <f>IF(A90="","",IF(posicao_contratual!$Y90="","",IF(posicao_contratual!$Y90&gt;0,"",posicao_contratual!G90)))</f>
        <v/>
      </c>
      <c r="C90" s="79" t="str">
        <f>IF(itens_Remanesc!A90="","",IF(posicao_contratual!$Y90="","",IF(posicao_contratual!$Y90&gt;0,"",itens_Remanesc!C90)))</f>
        <v/>
      </c>
      <c r="D90" s="79" t="str">
        <f>IF(OR($A90="",posicao_contratual!$Y90=""),"",IF(posicao_contratual!$Y90&gt;1,"",IF(posicao_contratual!$Y90=1,IF(ISNUMBER(itens_Remanesc!C90),itens_Remanesc!C90,""),IF(OR(NOT(ISNUMBER(itens_Remanesc!C90)),NOT(ISNUMBER($L$3)),NOT(ISNUMBER(INDEX($L$2:$L$6,posicao_contratual!$Y90+1)))),"",ROUND(itens_Remanesc!C90*$L$3/INDEX($L$2:$L$6,posicao_contratual!$Y90+1),2)))))</f>
        <v/>
      </c>
      <c r="E90" s="79" t="str">
        <f>IF(OR($A90="",posicao_contratual!$Y90=""),"",IF(posicao_contratual!$Y90&gt;2,"",IF(posicao_contratual!$Y90=2,IF(ISNUMBER(itens_Remanesc!C90),itens_Remanesc!C90,""),IF(OR(NOT(ISNUMBER(itens_Remanesc!C90)),NOT(ISNUMBER($L$4)),NOT(ISNUMBER(INDEX($L$2:$L$6,posicao_contratual!$Y90+1)))),"",ROUND(itens_Remanesc!C90*$L$4/INDEX($L$2:$L$6,posicao_contratual!$Y90+1),2)))))</f>
        <v/>
      </c>
      <c r="F90" s="79" t="str">
        <f>IF(OR($A90="",posicao_contratual!$Y90=""),"",IF(posicao_contratual!$Y90&gt;3,"",IF(posicao_contratual!$Y90=3,IF(ISNUMBER(itens_Remanesc!C90),itens_Remanesc!C90,""),IF(OR(NOT(ISNUMBER(itens_Remanesc!C90)),NOT(ISNUMBER($L$5)),NOT(ISNUMBER(INDEX($L$2:$L$6,posicao_contratual!$Y90+1)))),"",ROUND(itens_Remanesc!C90*$L$5/INDEX($L$2:$L$6,posicao_contratual!$Y90+1),2)))))</f>
        <v/>
      </c>
      <c r="G90" s="79" t="str">
        <f>IF(OR($A90="",posicao_contratual!$Y90=""),"",IF(posicao_contratual!$Y90&gt;4,"",IF(posicao_contratual!$Y90=4,IF(ISNUMBER(itens_Remanesc!C90),itens_Remanesc!C90,""),IF(OR(NOT(ISNUMBER(itens_Remanesc!C90)),NOT(ISNUMBER($L$6)),NOT(ISNUMBER(INDEX($L$2:$L$6,posicao_contratual!$Y90+1)))),"",ROUND(itens_Remanesc!C90*$L$6/INDEX($L$2:$L$6,posicao_contratual!$Y90+1),2)))))</f>
        <v/>
      </c>
      <c r="H90" s="114" t="str">
        <f t="shared" si="2"/>
        <v/>
      </c>
      <c r="I90" s="14"/>
      <c r="J90" s="14"/>
      <c r="K90" s="14"/>
      <c r="L90" s="14"/>
      <c r="M90" s="14"/>
      <c r="N90" s="145" t="str">
        <f>IF(A90="","",IF(posicao_contratual!$Y90="","",IF(posicao_contratual!$Y90&gt;0,"",posicao_contratual!E90)))</f>
        <v/>
      </c>
      <c r="O90" s="145" t="str">
        <f>IF(A90="","",IF(posicao_contratual!$Y90="","",IF(posicao_contratual!$Y90&gt;1,"",posicao_contratual!I90)))</f>
        <v/>
      </c>
      <c r="P90" s="145" t="str">
        <f>IF(A90="","",IF(posicao_contratual!$Y90="","",IF(posicao_contratual!$Y90&gt;2,"",posicao_contratual!M90)))</f>
        <v/>
      </c>
      <c r="Q90" s="145" t="str">
        <f>IF(A90="","",IF(posicao_contratual!$Y90="","",IF(posicao_contratual!$Y90&gt;3,"",posicao_contratual!Q90)))</f>
        <v/>
      </c>
      <c r="R90" s="145" t="str">
        <f>IF(A90="","",IF(posicao_contratual!$Y90="","",IF(posicao_contratual!$Y90&gt;4,"",posicao_contratual!U90)))</f>
        <v/>
      </c>
      <c r="S90" s="165" t="str">
        <f>IF(A90="","",posicao_contratual!G90)</f>
        <v/>
      </c>
      <c r="T90" s="165" t="str">
        <f>IF(A90="","",posicao_contratual!K90)</f>
        <v/>
      </c>
      <c r="U90" s="165" t="str">
        <f>IF(A90="","",posicao_contratual!O90)</f>
        <v/>
      </c>
      <c r="V90" s="165" t="str">
        <f>IF(A90="","",posicao_contratual!S90)</f>
        <v/>
      </c>
      <c r="W90" s="165" t="str">
        <f>IF(A90="","",posicao_contratual!W90)</f>
        <v/>
      </c>
    </row>
    <row r="91" spans="1:23" x14ac:dyDescent="0.35">
      <c r="A91" s="86" t="str">
        <f>IF(itens_Remanesc!A91="","",itens_Remanesc!A91)</f>
        <v/>
      </c>
      <c r="B91" s="85" t="str">
        <f>IF(A91="","",IF(posicao_contratual!$Y91="","",IF(posicao_contratual!$Y91&gt;0,"",posicao_contratual!G91)))</f>
        <v/>
      </c>
      <c r="C91" s="79" t="str">
        <f>IF(itens_Remanesc!A91="","",IF(posicao_contratual!$Y91="","",IF(posicao_contratual!$Y91&gt;0,"",itens_Remanesc!C91)))</f>
        <v/>
      </c>
      <c r="D91" s="79" t="str">
        <f>IF(OR($A91="",posicao_contratual!$Y91=""),"",IF(posicao_contratual!$Y91&gt;1,"",IF(posicao_contratual!$Y91=1,IF(ISNUMBER(itens_Remanesc!C91),itens_Remanesc!C91,""),IF(OR(NOT(ISNUMBER(itens_Remanesc!C91)),NOT(ISNUMBER($L$3)),NOT(ISNUMBER(INDEX($L$2:$L$6,posicao_contratual!$Y91+1)))),"",ROUND(itens_Remanesc!C91*$L$3/INDEX($L$2:$L$6,posicao_contratual!$Y91+1),2)))))</f>
        <v/>
      </c>
      <c r="E91" s="79" t="str">
        <f>IF(OR($A91="",posicao_contratual!$Y91=""),"",IF(posicao_contratual!$Y91&gt;2,"",IF(posicao_contratual!$Y91=2,IF(ISNUMBER(itens_Remanesc!C91),itens_Remanesc!C91,""),IF(OR(NOT(ISNUMBER(itens_Remanesc!C91)),NOT(ISNUMBER($L$4)),NOT(ISNUMBER(INDEX($L$2:$L$6,posicao_contratual!$Y91+1)))),"",ROUND(itens_Remanesc!C91*$L$4/INDEX($L$2:$L$6,posicao_contratual!$Y91+1),2)))))</f>
        <v/>
      </c>
      <c r="F91" s="79" t="str">
        <f>IF(OR($A91="",posicao_contratual!$Y91=""),"",IF(posicao_contratual!$Y91&gt;3,"",IF(posicao_contratual!$Y91=3,IF(ISNUMBER(itens_Remanesc!C91),itens_Remanesc!C91,""),IF(OR(NOT(ISNUMBER(itens_Remanesc!C91)),NOT(ISNUMBER($L$5)),NOT(ISNUMBER(INDEX($L$2:$L$6,posicao_contratual!$Y91+1)))),"",ROUND(itens_Remanesc!C91*$L$5/INDEX($L$2:$L$6,posicao_contratual!$Y91+1),2)))))</f>
        <v/>
      </c>
      <c r="G91" s="79" t="str">
        <f>IF(OR($A91="",posicao_contratual!$Y91=""),"",IF(posicao_contratual!$Y91&gt;4,"",IF(posicao_contratual!$Y91=4,IF(ISNUMBER(itens_Remanesc!C91),itens_Remanesc!C91,""),IF(OR(NOT(ISNUMBER(itens_Remanesc!C91)),NOT(ISNUMBER($L$6)),NOT(ISNUMBER(INDEX($L$2:$L$6,posicao_contratual!$Y91+1)))),"",ROUND(itens_Remanesc!C91*$L$6/INDEX($L$2:$L$6,posicao_contratual!$Y91+1),2)))))</f>
        <v/>
      </c>
      <c r="H91" s="114" t="str">
        <f t="shared" si="2"/>
        <v/>
      </c>
      <c r="I91" s="14"/>
      <c r="J91" s="14"/>
      <c r="K91" s="14"/>
      <c r="L91" s="14"/>
      <c r="M91" s="14"/>
      <c r="N91" s="145" t="str">
        <f>IF(A91="","",IF(posicao_contratual!$Y91="","",IF(posicao_contratual!$Y91&gt;0,"",posicao_contratual!E91)))</f>
        <v/>
      </c>
      <c r="O91" s="145" t="str">
        <f>IF(A91="","",IF(posicao_contratual!$Y91="","",IF(posicao_contratual!$Y91&gt;1,"",posicao_contratual!I91)))</f>
        <v/>
      </c>
      <c r="P91" s="145" t="str">
        <f>IF(A91="","",IF(posicao_contratual!$Y91="","",IF(posicao_contratual!$Y91&gt;2,"",posicao_contratual!M91)))</f>
        <v/>
      </c>
      <c r="Q91" s="145" t="str">
        <f>IF(A91="","",IF(posicao_contratual!$Y91="","",IF(posicao_contratual!$Y91&gt;3,"",posicao_contratual!Q91)))</f>
        <v/>
      </c>
      <c r="R91" s="145" t="str">
        <f>IF(A91="","",IF(posicao_contratual!$Y91="","",IF(posicao_contratual!$Y91&gt;4,"",posicao_contratual!U91)))</f>
        <v/>
      </c>
      <c r="S91" s="165" t="str">
        <f>IF(A91="","",posicao_contratual!G91)</f>
        <v/>
      </c>
      <c r="T91" s="165" t="str">
        <f>IF(A91="","",posicao_contratual!K91)</f>
        <v/>
      </c>
      <c r="U91" s="165" t="str">
        <f>IF(A91="","",posicao_contratual!O91)</f>
        <v/>
      </c>
      <c r="V91" s="165" t="str">
        <f>IF(A91="","",posicao_contratual!S91)</f>
        <v/>
      </c>
      <c r="W91" s="165" t="str">
        <f>IF(A91="","",posicao_contratual!W91)</f>
        <v/>
      </c>
    </row>
    <row r="92" spans="1:23" x14ac:dyDescent="0.35">
      <c r="A92" s="86" t="str">
        <f>IF(itens_Remanesc!A92="","",itens_Remanesc!A92)</f>
        <v/>
      </c>
      <c r="B92" s="85" t="str">
        <f>IF(A92="","",IF(posicao_contratual!$Y92="","",IF(posicao_contratual!$Y92&gt;0,"",posicao_contratual!G92)))</f>
        <v/>
      </c>
      <c r="C92" s="79" t="str">
        <f>IF(itens_Remanesc!A92="","",IF(posicao_contratual!$Y92="","",IF(posicao_contratual!$Y92&gt;0,"",itens_Remanesc!C92)))</f>
        <v/>
      </c>
      <c r="D92" s="79" t="str">
        <f>IF(OR($A92="",posicao_contratual!$Y92=""),"",IF(posicao_contratual!$Y92&gt;1,"",IF(posicao_contratual!$Y92=1,IF(ISNUMBER(itens_Remanesc!C92),itens_Remanesc!C92,""),IF(OR(NOT(ISNUMBER(itens_Remanesc!C92)),NOT(ISNUMBER($L$3)),NOT(ISNUMBER(INDEX($L$2:$L$6,posicao_contratual!$Y92+1)))),"",ROUND(itens_Remanesc!C92*$L$3/INDEX($L$2:$L$6,posicao_contratual!$Y92+1),2)))))</f>
        <v/>
      </c>
      <c r="E92" s="79" t="str">
        <f>IF(OR($A92="",posicao_contratual!$Y92=""),"",IF(posicao_contratual!$Y92&gt;2,"",IF(posicao_contratual!$Y92=2,IF(ISNUMBER(itens_Remanesc!C92),itens_Remanesc!C92,""),IF(OR(NOT(ISNUMBER(itens_Remanesc!C92)),NOT(ISNUMBER($L$4)),NOT(ISNUMBER(INDEX($L$2:$L$6,posicao_contratual!$Y92+1)))),"",ROUND(itens_Remanesc!C92*$L$4/INDEX($L$2:$L$6,posicao_contratual!$Y92+1),2)))))</f>
        <v/>
      </c>
      <c r="F92" s="79" t="str">
        <f>IF(OR($A92="",posicao_contratual!$Y92=""),"",IF(posicao_contratual!$Y92&gt;3,"",IF(posicao_contratual!$Y92=3,IF(ISNUMBER(itens_Remanesc!C92),itens_Remanesc!C92,""),IF(OR(NOT(ISNUMBER(itens_Remanesc!C92)),NOT(ISNUMBER($L$5)),NOT(ISNUMBER(INDEX($L$2:$L$6,posicao_contratual!$Y92+1)))),"",ROUND(itens_Remanesc!C92*$L$5/INDEX($L$2:$L$6,posicao_contratual!$Y92+1),2)))))</f>
        <v/>
      </c>
      <c r="G92" s="79" t="str">
        <f>IF(OR($A92="",posicao_contratual!$Y92=""),"",IF(posicao_contratual!$Y92&gt;4,"",IF(posicao_contratual!$Y92=4,IF(ISNUMBER(itens_Remanesc!C92),itens_Remanesc!C92,""),IF(OR(NOT(ISNUMBER(itens_Remanesc!C92)),NOT(ISNUMBER($L$6)),NOT(ISNUMBER(INDEX($L$2:$L$6,posicao_contratual!$Y92+1)))),"",ROUND(itens_Remanesc!C92*$L$6/INDEX($L$2:$L$6,posicao_contratual!$Y92+1),2)))))</f>
        <v/>
      </c>
      <c r="H92" s="114" t="str">
        <f t="shared" si="2"/>
        <v/>
      </c>
      <c r="I92" s="14"/>
      <c r="J92" s="14"/>
      <c r="K92" s="14"/>
      <c r="L92" s="14"/>
      <c r="M92" s="14"/>
      <c r="N92" s="145" t="str">
        <f>IF(A92="","",IF(posicao_contratual!$Y92="","",IF(posicao_contratual!$Y92&gt;0,"",posicao_contratual!E92)))</f>
        <v/>
      </c>
      <c r="O92" s="145" t="str">
        <f>IF(A92="","",IF(posicao_contratual!$Y92="","",IF(posicao_contratual!$Y92&gt;1,"",posicao_contratual!I92)))</f>
        <v/>
      </c>
      <c r="P92" s="145" t="str">
        <f>IF(A92="","",IF(posicao_contratual!$Y92="","",IF(posicao_contratual!$Y92&gt;2,"",posicao_contratual!M92)))</f>
        <v/>
      </c>
      <c r="Q92" s="145" t="str">
        <f>IF(A92="","",IF(posicao_contratual!$Y92="","",IF(posicao_contratual!$Y92&gt;3,"",posicao_contratual!Q92)))</f>
        <v/>
      </c>
      <c r="R92" s="145" t="str">
        <f>IF(A92="","",IF(posicao_contratual!$Y92="","",IF(posicao_contratual!$Y92&gt;4,"",posicao_contratual!U92)))</f>
        <v/>
      </c>
      <c r="S92" s="165" t="str">
        <f>IF(A92="","",posicao_contratual!G92)</f>
        <v/>
      </c>
      <c r="T92" s="165" t="str">
        <f>IF(A92="","",posicao_contratual!K92)</f>
        <v/>
      </c>
      <c r="U92" s="165" t="str">
        <f>IF(A92="","",posicao_contratual!O92)</f>
        <v/>
      </c>
      <c r="V92" s="165" t="str">
        <f>IF(A92="","",posicao_contratual!S92)</f>
        <v/>
      </c>
      <c r="W92" s="165" t="str">
        <f>IF(A92="","",posicao_contratual!W92)</f>
        <v/>
      </c>
    </row>
    <row r="93" spans="1:23" x14ac:dyDescent="0.35">
      <c r="A93" s="86" t="str">
        <f>IF(itens_Remanesc!A93="","",itens_Remanesc!A93)</f>
        <v/>
      </c>
      <c r="B93" s="85" t="str">
        <f>IF(A93="","",IF(posicao_contratual!$Y93="","",IF(posicao_contratual!$Y93&gt;0,"",posicao_contratual!G93)))</f>
        <v/>
      </c>
      <c r="C93" s="79" t="str">
        <f>IF(itens_Remanesc!A93="","",IF(posicao_contratual!$Y93="","",IF(posicao_contratual!$Y93&gt;0,"",itens_Remanesc!C93)))</f>
        <v/>
      </c>
      <c r="D93" s="79" t="str">
        <f>IF(OR($A93="",posicao_contratual!$Y93=""),"",IF(posicao_contratual!$Y93&gt;1,"",IF(posicao_contratual!$Y93=1,IF(ISNUMBER(itens_Remanesc!C93),itens_Remanesc!C93,""),IF(OR(NOT(ISNUMBER(itens_Remanesc!C93)),NOT(ISNUMBER($L$3)),NOT(ISNUMBER(INDEX($L$2:$L$6,posicao_contratual!$Y93+1)))),"",ROUND(itens_Remanesc!C93*$L$3/INDEX($L$2:$L$6,posicao_contratual!$Y93+1),2)))))</f>
        <v/>
      </c>
      <c r="E93" s="79" t="str">
        <f>IF(OR($A93="",posicao_contratual!$Y93=""),"",IF(posicao_contratual!$Y93&gt;2,"",IF(posicao_contratual!$Y93=2,IF(ISNUMBER(itens_Remanesc!C93),itens_Remanesc!C93,""),IF(OR(NOT(ISNUMBER(itens_Remanesc!C93)),NOT(ISNUMBER($L$4)),NOT(ISNUMBER(INDEX($L$2:$L$6,posicao_contratual!$Y93+1)))),"",ROUND(itens_Remanesc!C93*$L$4/INDEX($L$2:$L$6,posicao_contratual!$Y93+1),2)))))</f>
        <v/>
      </c>
      <c r="F93" s="79" t="str">
        <f>IF(OR($A93="",posicao_contratual!$Y93=""),"",IF(posicao_contratual!$Y93&gt;3,"",IF(posicao_contratual!$Y93=3,IF(ISNUMBER(itens_Remanesc!C93),itens_Remanesc!C93,""),IF(OR(NOT(ISNUMBER(itens_Remanesc!C93)),NOT(ISNUMBER($L$5)),NOT(ISNUMBER(INDEX($L$2:$L$6,posicao_contratual!$Y93+1)))),"",ROUND(itens_Remanesc!C93*$L$5/INDEX($L$2:$L$6,posicao_contratual!$Y93+1),2)))))</f>
        <v/>
      </c>
      <c r="G93" s="79" t="str">
        <f>IF(OR($A93="",posicao_contratual!$Y93=""),"",IF(posicao_contratual!$Y93&gt;4,"",IF(posicao_contratual!$Y93=4,IF(ISNUMBER(itens_Remanesc!C93),itens_Remanesc!C93,""),IF(OR(NOT(ISNUMBER(itens_Remanesc!C93)),NOT(ISNUMBER($L$6)),NOT(ISNUMBER(INDEX($L$2:$L$6,posicao_contratual!$Y93+1)))),"",ROUND(itens_Remanesc!C93*$L$6/INDEX($L$2:$L$6,posicao_contratual!$Y93+1),2)))))</f>
        <v/>
      </c>
      <c r="H93" s="114" t="str">
        <f t="shared" si="2"/>
        <v/>
      </c>
      <c r="I93" s="14"/>
      <c r="J93" s="14"/>
      <c r="K93" s="14"/>
      <c r="L93" s="14"/>
      <c r="M93" s="14"/>
      <c r="N93" s="145" t="str">
        <f>IF(A93="","",IF(posicao_contratual!$Y93="","",IF(posicao_contratual!$Y93&gt;0,"",posicao_contratual!E93)))</f>
        <v/>
      </c>
      <c r="O93" s="145" t="str">
        <f>IF(A93="","",IF(posicao_contratual!$Y93="","",IF(posicao_contratual!$Y93&gt;1,"",posicao_contratual!I93)))</f>
        <v/>
      </c>
      <c r="P93" s="145" t="str">
        <f>IF(A93="","",IF(posicao_contratual!$Y93="","",IF(posicao_contratual!$Y93&gt;2,"",posicao_contratual!M93)))</f>
        <v/>
      </c>
      <c r="Q93" s="145" t="str">
        <f>IF(A93="","",IF(posicao_contratual!$Y93="","",IF(posicao_contratual!$Y93&gt;3,"",posicao_contratual!Q93)))</f>
        <v/>
      </c>
      <c r="R93" s="145" t="str">
        <f>IF(A93="","",IF(posicao_contratual!$Y93="","",IF(posicao_contratual!$Y93&gt;4,"",posicao_contratual!U93)))</f>
        <v/>
      </c>
      <c r="S93" s="165" t="str">
        <f>IF(A93="","",posicao_contratual!G93)</f>
        <v/>
      </c>
      <c r="T93" s="165" t="str">
        <f>IF(A93="","",posicao_contratual!K93)</f>
        <v/>
      </c>
      <c r="U93" s="165" t="str">
        <f>IF(A93="","",posicao_contratual!O93)</f>
        <v/>
      </c>
      <c r="V93" s="165" t="str">
        <f>IF(A93="","",posicao_contratual!S93)</f>
        <v/>
      </c>
      <c r="W93" s="165" t="str">
        <f>IF(A93="","",posicao_contratual!W93)</f>
        <v/>
      </c>
    </row>
    <row r="94" spans="1:23" x14ac:dyDescent="0.35">
      <c r="A94" s="86" t="str">
        <f>IF(itens_Remanesc!A94="","",itens_Remanesc!A94)</f>
        <v/>
      </c>
      <c r="B94" s="85" t="str">
        <f>IF(A94="","",IF(posicao_contratual!$Y94="","",IF(posicao_contratual!$Y94&gt;0,"",posicao_contratual!G94)))</f>
        <v/>
      </c>
      <c r="C94" s="79" t="str">
        <f>IF(itens_Remanesc!A94="","",IF(posicao_contratual!$Y94="","",IF(posicao_contratual!$Y94&gt;0,"",itens_Remanesc!C94)))</f>
        <v/>
      </c>
      <c r="D94" s="79" t="str">
        <f>IF(OR($A94="",posicao_contratual!$Y94=""),"",IF(posicao_contratual!$Y94&gt;1,"",IF(posicao_contratual!$Y94=1,IF(ISNUMBER(itens_Remanesc!C94),itens_Remanesc!C94,""),IF(OR(NOT(ISNUMBER(itens_Remanesc!C94)),NOT(ISNUMBER($L$3)),NOT(ISNUMBER(INDEX($L$2:$L$6,posicao_contratual!$Y94+1)))),"",ROUND(itens_Remanesc!C94*$L$3/INDEX($L$2:$L$6,posicao_contratual!$Y94+1),2)))))</f>
        <v/>
      </c>
      <c r="E94" s="79" t="str">
        <f>IF(OR($A94="",posicao_contratual!$Y94=""),"",IF(posicao_contratual!$Y94&gt;2,"",IF(posicao_contratual!$Y94=2,IF(ISNUMBER(itens_Remanesc!C94),itens_Remanesc!C94,""),IF(OR(NOT(ISNUMBER(itens_Remanesc!C94)),NOT(ISNUMBER($L$4)),NOT(ISNUMBER(INDEX($L$2:$L$6,posicao_contratual!$Y94+1)))),"",ROUND(itens_Remanesc!C94*$L$4/INDEX($L$2:$L$6,posicao_contratual!$Y94+1),2)))))</f>
        <v/>
      </c>
      <c r="F94" s="79" t="str">
        <f>IF(OR($A94="",posicao_contratual!$Y94=""),"",IF(posicao_contratual!$Y94&gt;3,"",IF(posicao_contratual!$Y94=3,IF(ISNUMBER(itens_Remanesc!C94),itens_Remanesc!C94,""),IF(OR(NOT(ISNUMBER(itens_Remanesc!C94)),NOT(ISNUMBER($L$5)),NOT(ISNUMBER(INDEX($L$2:$L$6,posicao_contratual!$Y94+1)))),"",ROUND(itens_Remanesc!C94*$L$5/INDEX($L$2:$L$6,posicao_contratual!$Y94+1),2)))))</f>
        <v/>
      </c>
      <c r="G94" s="79" t="str">
        <f>IF(OR($A94="",posicao_contratual!$Y94=""),"",IF(posicao_contratual!$Y94&gt;4,"",IF(posicao_contratual!$Y94=4,IF(ISNUMBER(itens_Remanesc!C94),itens_Remanesc!C94,""),IF(OR(NOT(ISNUMBER(itens_Remanesc!C94)),NOT(ISNUMBER($L$6)),NOT(ISNUMBER(INDEX($L$2:$L$6,posicao_contratual!$Y94+1)))),"",ROUND(itens_Remanesc!C94*$L$6/INDEX($L$2:$L$6,posicao_contratual!$Y94+1),2)))))</f>
        <v/>
      </c>
      <c r="H94" s="114" t="str">
        <f t="shared" si="2"/>
        <v/>
      </c>
      <c r="I94" s="14"/>
      <c r="J94" s="14"/>
      <c r="K94" s="14"/>
      <c r="L94" s="14"/>
      <c r="M94" s="14"/>
      <c r="N94" s="145" t="str">
        <f>IF(A94="","",IF(posicao_contratual!$Y94="","",IF(posicao_contratual!$Y94&gt;0,"",posicao_contratual!E94)))</f>
        <v/>
      </c>
      <c r="O94" s="145" t="str">
        <f>IF(A94="","",IF(posicao_contratual!$Y94="","",IF(posicao_contratual!$Y94&gt;1,"",posicao_contratual!I94)))</f>
        <v/>
      </c>
      <c r="P94" s="145" t="str">
        <f>IF(A94="","",IF(posicao_contratual!$Y94="","",IF(posicao_contratual!$Y94&gt;2,"",posicao_contratual!M94)))</f>
        <v/>
      </c>
      <c r="Q94" s="145" t="str">
        <f>IF(A94="","",IF(posicao_contratual!$Y94="","",IF(posicao_contratual!$Y94&gt;3,"",posicao_contratual!Q94)))</f>
        <v/>
      </c>
      <c r="R94" s="145" t="str">
        <f>IF(A94="","",IF(posicao_contratual!$Y94="","",IF(posicao_contratual!$Y94&gt;4,"",posicao_contratual!U94)))</f>
        <v/>
      </c>
      <c r="S94" s="165" t="str">
        <f>IF(A94="","",posicao_contratual!G94)</f>
        <v/>
      </c>
      <c r="T94" s="165" t="str">
        <f>IF(A94="","",posicao_contratual!K94)</f>
        <v/>
      </c>
      <c r="U94" s="165" t="str">
        <f>IF(A94="","",posicao_contratual!O94)</f>
        <v/>
      </c>
      <c r="V94" s="165" t="str">
        <f>IF(A94="","",posicao_contratual!S94)</f>
        <v/>
      </c>
      <c r="W94" s="165" t="str">
        <f>IF(A94="","",posicao_contratual!W94)</f>
        <v/>
      </c>
    </row>
    <row r="95" spans="1:23" x14ac:dyDescent="0.35">
      <c r="A95" s="86" t="str">
        <f>IF(itens_Remanesc!A95="","",itens_Remanesc!A95)</f>
        <v/>
      </c>
      <c r="B95" s="85" t="str">
        <f>IF(A95="","",IF(posicao_contratual!$Y95="","",IF(posicao_contratual!$Y95&gt;0,"",posicao_contratual!G95)))</f>
        <v/>
      </c>
      <c r="C95" s="79" t="str">
        <f>IF(itens_Remanesc!A95="","",IF(posicao_contratual!$Y95="","",IF(posicao_contratual!$Y95&gt;0,"",itens_Remanesc!C95)))</f>
        <v/>
      </c>
      <c r="D95" s="79" t="str">
        <f>IF(OR($A95="",posicao_contratual!$Y95=""),"",IF(posicao_contratual!$Y95&gt;1,"",IF(posicao_contratual!$Y95=1,IF(ISNUMBER(itens_Remanesc!C95),itens_Remanesc!C95,""),IF(OR(NOT(ISNUMBER(itens_Remanesc!C95)),NOT(ISNUMBER($L$3)),NOT(ISNUMBER(INDEX($L$2:$L$6,posicao_contratual!$Y95+1)))),"",ROUND(itens_Remanesc!C95*$L$3/INDEX($L$2:$L$6,posicao_contratual!$Y95+1),2)))))</f>
        <v/>
      </c>
      <c r="E95" s="79" t="str">
        <f>IF(OR($A95="",posicao_contratual!$Y95=""),"",IF(posicao_contratual!$Y95&gt;2,"",IF(posicao_contratual!$Y95=2,IF(ISNUMBER(itens_Remanesc!C95),itens_Remanesc!C95,""),IF(OR(NOT(ISNUMBER(itens_Remanesc!C95)),NOT(ISNUMBER($L$4)),NOT(ISNUMBER(INDEX($L$2:$L$6,posicao_contratual!$Y95+1)))),"",ROUND(itens_Remanesc!C95*$L$4/INDEX($L$2:$L$6,posicao_contratual!$Y95+1),2)))))</f>
        <v/>
      </c>
      <c r="F95" s="79" t="str">
        <f>IF(OR($A95="",posicao_contratual!$Y95=""),"",IF(posicao_contratual!$Y95&gt;3,"",IF(posicao_contratual!$Y95=3,IF(ISNUMBER(itens_Remanesc!C95),itens_Remanesc!C95,""),IF(OR(NOT(ISNUMBER(itens_Remanesc!C95)),NOT(ISNUMBER($L$5)),NOT(ISNUMBER(INDEX($L$2:$L$6,posicao_contratual!$Y95+1)))),"",ROUND(itens_Remanesc!C95*$L$5/INDEX($L$2:$L$6,posicao_contratual!$Y95+1),2)))))</f>
        <v/>
      </c>
      <c r="G95" s="79" t="str">
        <f>IF(OR($A95="",posicao_contratual!$Y95=""),"",IF(posicao_contratual!$Y95&gt;4,"",IF(posicao_contratual!$Y95=4,IF(ISNUMBER(itens_Remanesc!C95),itens_Remanesc!C95,""),IF(OR(NOT(ISNUMBER(itens_Remanesc!C95)),NOT(ISNUMBER($L$6)),NOT(ISNUMBER(INDEX($L$2:$L$6,posicao_contratual!$Y95+1)))),"",ROUND(itens_Remanesc!C95*$L$6/INDEX($L$2:$L$6,posicao_contratual!$Y95+1),2)))))</f>
        <v/>
      </c>
      <c r="H95" s="114" t="str">
        <f t="shared" si="2"/>
        <v/>
      </c>
      <c r="I95" s="14"/>
      <c r="J95" s="14"/>
      <c r="K95" s="14"/>
      <c r="L95" s="14"/>
      <c r="M95" s="14"/>
      <c r="N95" s="145" t="str">
        <f>IF(A95="","",IF(posicao_contratual!$Y95="","",IF(posicao_contratual!$Y95&gt;0,"",posicao_contratual!E95)))</f>
        <v/>
      </c>
      <c r="O95" s="145" t="str">
        <f>IF(A95="","",IF(posicao_contratual!$Y95="","",IF(posicao_contratual!$Y95&gt;1,"",posicao_contratual!I95)))</f>
        <v/>
      </c>
      <c r="P95" s="145" t="str">
        <f>IF(A95="","",IF(posicao_contratual!$Y95="","",IF(posicao_contratual!$Y95&gt;2,"",posicao_contratual!M95)))</f>
        <v/>
      </c>
      <c r="Q95" s="145" t="str">
        <f>IF(A95="","",IF(posicao_contratual!$Y95="","",IF(posicao_contratual!$Y95&gt;3,"",posicao_contratual!Q95)))</f>
        <v/>
      </c>
      <c r="R95" s="145" t="str">
        <f>IF(A95="","",IF(posicao_contratual!$Y95="","",IF(posicao_contratual!$Y95&gt;4,"",posicao_contratual!U95)))</f>
        <v/>
      </c>
      <c r="S95" s="165" t="str">
        <f>IF(A95="","",posicao_contratual!G95)</f>
        <v/>
      </c>
      <c r="T95" s="165" t="str">
        <f>IF(A95="","",posicao_contratual!K95)</f>
        <v/>
      </c>
      <c r="U95" s="165" t="str">
        <f>IF(A95="","",posicao_contratual!O95)</f>
        <v/>
      </c>
      <c r="V95" s="165" t="str">
        <f>IF(A95="","",posicao_contratual!S95)</f>
        <v/>
      </c>
      <c r="W95" s="165" t="str">
        <f>IF(A95="","",posicao_contratual!W95)</f>
        <v/>
      </c>
    </row>
    <row r="96" spans="1:23" x14ac:dyDescent="0.35">
      <c r="A96" s="86" t="str">
        <f>IF(itens_Remanesc!A96="","",itens_Remanesc!A96)</f>
        <v/>
      </c>
      <c r="B96" s="85" t="str">
        <f>IF(A96="","",IF(posicao_contratual!$Y96="","",IF(posicao_contratual!$Y96&gt;0,"",posicao_contratual!G96)))</f>
        <v/>
      </c>
      <c r="C96" s="79" t="str">
        <f>IF(itens_Remanesc!A96="","",IF(posicao_contratual!$Y96="","",IF(posicao_contratual!$Y96&gt;0,"",itens_Remanesc!C96)))</f>
        <v/>
      </c>
      <c r="D96" s="79" t="str">
        <f>IF(OR($A96="",posicao_contratual!$Y96=""),"",IF(posicao_contratual!$Y96&gt;1,"",IF(posicao_contratual!$Y96=1,IF(ISNUMBER(itens_Remanesc!C96),itens_Remanesc!C96,""),IF(OR(NOT(ISNUMBER(itens_Remanesc!C96)),NOT(ISNUMBER($L$3)),NOT(ISNUMBER(INDEX($L$2:$L$6,posicao_contratual!$Y96+1)))),"",ROUND(itens_Remanesc!C96*$L$3/INDEX($L$2:$L$6,posicao_contratual!$Y96+1),2)))))</f>
        <v/>
      </c>
      <c r="E96" s="79" t="str">
        <f>IF(OR($A96="",posicao_contratual!$Y96=""),"",IF(posicao_contratual!$Y96&gt;2,"",IF(posicao_contratual!$Y96=2,IF(ISNUMBER(itens_Remanesc!C96),itens_Remanesc!C96,""),IF(OR(NOT(ISNUMBER(itens_Remanesc!C96)),NOT(ISNUMBER($L$4)),NOT(ISNUMBER(INDEX($L$2:$L$6,posicao_contratual!$Y96+1)))),"",ROUND(itens_Remanesc!C96*$L$4/INDEX($L$2:$L$6,posicao_contratual!$Y96+1),2)))))</f>
        <v/>
      </c>
      <c r="F96" s="79" t="str">
        <f>IF(OR($A96="",posicao_contratual!$Y96=""),"",IF(posicao_contratual!$Y96&gt;3,"",IF(posicao_contratual!$Y96=3,IF(ISNUMBER(itens_Remanesc!C96),itens_Remanesc!C96,""),IF(OR(NOT(ISNUMBER(itens_Remanesc!C96)),NOT(ISNUMBER($L$5)),NOT(ISNUMBER(INDEX($L$2:$L$6,posicao_contratual!$Y96+1)))),"",ROUND(itens_Remanesc!C96*$L$5/INDEX($L$2:$L$6,posicao_contratual!$Y96+1),2)))))</f>
        <v/>
      </c>
      <c r="G96" s="79" t="str">
        <f>IF(OR($A96="",posicao_contratual!$Y96=""),"",IF(posicao_contratual!$Y96&gt;4,"",IF(posicao_contratual!$Y96=4,IF(ISNUMBER(itens_Remanesc!C96),itens_Remanesc!C96,""),IF(OR(NOT(ISNUMBER(itens_Remanesc!C96)),NOT(ISNUMBER($L$6)),NOT(ISNUMBER(INDEX($L$2:$L$6,posicao_contratual!$Y96+1)))),"",ROUND(itens_Remanesc!C96*$L$6/INDEX($L$2:$L$6,posicao_contratual!$Y96+1),2)))))</f>
        <v/>
      </c>
      <c r="H96" s="114" t="str">
        <f t="shared" si="2"/>
        <v/>
      </c>
      <c r="I96" s="14"/>
      <c r="J96" s="14"/>
      <c r="K96" s="14"/>
      <c r="L96" s="14"/>
      <c r="M96" s="14"/>
      <c r="N96" s="145" t="str">
        <f>IF(A96="","",IF(posicao_contratual!$Y96="","",IF(posicao_contratual!$Y96&gt;0,"",posicao_contratual!E96)))</f>
        <v/>
      </c>
      <c r="O96" s="145" t="str">
        <f>IF(A96="","",IF(posicao_contratual!$Y96="","",IF(posicao_contratual!$Y96&gt;1,"",posicao_contratual!I96)))</f>
        <v/>
      </c>
      <c r="P96" s="145" t="str">
        <f>IF(A96="","",IF(posicao_contratual!$Y96="","",IF(posicao_contratual!$Y96&gt;2,"",posicao_contratual!M96)))</f>
        <v/>
      </c>
      <c r="Q96" s="145" t="str">
        <f>IF(A96="","",IF(posicao_contratual!$Y96="","",IF(posicao_contratual!$Y96&gt;3,"",posicao_contratual!Q96)))</f>
        <v/>
      </c>
      <c r="R96" s="145" t="str">
        <f>IF(A96="","",IF(posicao_contratual!$Y96="","",IF(posicao_contratual!$Y96&gt;4,"",posicao_contratual!U96)))</f>
        <v/>
      </c>
      <c r="S96" s="165" t="str">
        <f>IF(A96="","",posicao_contratual!G96)</f>
        <v/>
      </c>
      <c r="T96" s="165" t="str">
        <f>IF(A96="","",posicao_contratual!K96)</f>
        <v/>
      </c>
      <c r="U96" s="165" t="str">
        <f>IF(A96="","",posicao_contratual!O96)</f>
        <v/>
      </c>
      <c r="V96" s="165" t="str">
        <f>IF(A96="","",posicao_contratual!S96)</f>
        <v/>
      </c>
      <c r="W96" s="165" t="str">
        <f>IF(A96="","",posicao_contratual!W96)</f>
        <v/>
      </c>
    </row>
    <row r="97" spans="1:23" x14ac:dyDescent="0.35">
      <c r="A97" s="86" t="str">
        <f>IF(itens_Remanesc!A97="","",itens_Remanesc!A97)</f>
        <v/>
      </c>
      <c r="B97" s="85" t="str">
        <f>IF(A97="","",IF(posicao_contratual!$Y97="","",IF(posicao_contratual!$Y97&gt;0,"",posicao_contratual!G97)))</f>
        <v/>
      </c>
      <c r="C97" s="79" t="str">
        <f>IF(itens_Remanesc!A97="","",IF(posicao_contratual!$Y97="","",IF(posicao_contratual!$Y97&gt;0,"",itens_Remanesc!C97)))</f>
        <v/>
      </c>
      <c r="D97" s="79" t="str">
        <f>IF(OR($A97="",posicao_contratual!$Y97=""),"",IF(posicao_contratual!$Y97&gt;1,"",IF(posicao_contratual!$Y97=1,IF(ISNUMBER(itens_Remanesc!C97),itens_Remanesc!C97,""),IF(OR(NOT(ISNUMBER(itens_Remanesc!C97)),NOT(ISNUMBER($L$3)),NOT(ISNUMBER(INDEX($L$2:$L$6,posicao_contratual!$Y97+1)))),"",ROUND(itens_Remanesc!C97*$L$3/INDEX($L$2:$L$6,posicao_contratual!$Y97+1),2)))))</f>
        <v/>
      </c>
      <c r="E97" s="79" t="str">
        <f>IF(OR($A97="",posicao_contratual!$Y97=""),"",IF(posicao_contratual!$Y97&gt;2,"",IF(posicao_contratual!$Y97=2,IF(ISNUMBER(itens_Remanesc!C97),itens_Remanesc!C97,""),IF(OR(NOT(ISNUMBER(itens_Remanesc!C97)),NOT(ISNUMBER($L$4)),NOT(ISNUMBER(INDEX($L$2:$L$6,posicao_contratual!$Y97+1)))),"",ROUND(itens_Remanesc!C97*$L$4/INDEX($L$2:$L$6,posicao_contratual!$Y97+1),2)))))</f>
        <v/>
      </c>
      <c r="F97" s="79" t="str">
        <f>IF(OR($A97="",posicao_contratual!$Y97=""),"",IF(posicao_contratual!$Y97&gt;3,"",IF(posicao_contratual!$Y97=3,IF(ISNUMBER(itens_Remanesc!C97),itens_Remanesc!C97,""),IF(OR(NOT(ISNUMBER(itens_Remanesc!C97)),NOT(ISNUMBER($L$5)),NOT(ISNUMBER(INDEX($L$2:$L$6,posicao_contratual!$Y97+1)))),"",ROUND(itens_Remanesc!C97*$L$5/INDEX($L$2:$L$6,posicao_contratual!$Y97+1),2)))))</f>
        <v/>
      </c>
      <c r="G97" s="79" t="str">
        <f>IF(OR($A97="",posicao_contratual!$Y97=""),"",IF(posicao_contratual!$Y97&gt;4,"",IF(posicao_contratual!$Y97=4,IF(ISNUMBER(itens_Remanesc!C97),itens_Remanesc!C97,""),IF(OR(NOT(ISNUMBER(itens_Remanesc!C97)),NOT(ISNUMBER($L$6)),NOT(ISNUMBER(INDEX($L$2:$L$6,posicao_contratual!$Y97+1)))),"",ROUND(itens_Remanesc!C97*$L$6/INDEX($L$2:$L$6,posicao_contratual!$Y97+1),2)))))</f>
        <v/>
      </c>
      <c r="H97" s="114" t="str">
        <f t="shared" si="2"/>
        <v/>
      </c>
      <c r="I97" s="14"/>
      <c r="J97" s="14"/>
      <c r="K97" s="14"/>
      <c r="L97" s="14"/>
      <c r="M97" s="14"/>
      <c r="N97" s="145" t="str">
        <f>IF(A97="","",IF(posicao_contratual!$Y97="","",IF(posicao_contratual!$Y97&gt;0,"",posicao_contratual!E97)))</f>
        <v/>
      </c>
      <c r="O97" s="145" t="str">
        <f>IF(A97="","",IF(posicao_contratual!$Y97="","",IF(posicao_contratual!$Y97&gt;1,"",posicao_contratual!I97)))</f>
        <v/>
      </c>
      <c r="P97" s="145" t="str">
        <f>IF(A97="","",IF(posicao_contratual!$Y97="","",IF(posicao_contratual!$Y97&gt;2,"",posicao_contratual!M97)))</f>
        <v/>
      </c>
      <c r="Q97" s="145" t="str">
        <f>IF(A97="","",IF(posicao_contratual!$Y97="","",IF(posicao_contratual!$Y97&gt;3,"",posicao_contratual!Q97)))</f>
        <v/>
      </c>
      <c r="R97" s="145" t="str">
        <f>IF(A97="","",IF(posicao_contratual!$Y97="","",IF(posicao_contratual!$Y97&gt;4,"",posicao_contratual!U97)))</f>
        <v/>
      </c>
      <c r="S97" s="165" t="str">
        <f>IF(A97="","",posicao_contratual!G97)</f>
        <v/>
      </c>
      <c r="T97" s="165" t="str">
        <f>IF(A97="","",posicao_contratual!K97)</f>
        <v/>
      </c>
      <c r="U97" s="165" t="str">
        <f>IF(A97="","",posicao_contratual!O97)</f>
        <v/>
      </c>
      <c r="V97" s="165" t="str">
        <f>IF(A97="","",posicao_contratual!S97)</f>
        <v/>
      </c>
      <c r="W97" s="165" t="str">
        <f>IF(A97="","",posicao_contratual!W97)</f>
        <v/>
      </c>
    </row>
    <row r="98" spans="1:23" x14ac:dyDescent="0.35">
      <c r="A98" s="86" t="str">
        <f>IF(itens_Remanesc!A98="","",itens_Remanesc!A98)</f>
        <v/>
      </c>
      <c r="B98" s="85" t="str">
        <f>IF(A98="","",IF(posicao_contratual!$Y98="","",IF(posicao_contratual!$Y98&gt;0,"",posicao_contratual!G98)))</f>
        <v/>
      </c>
      <c r="C98" s="79" t="str">
        <f>IF(itens_Remanesc!A98="","",IF(posicao_contratual!$Y98="","",IF(posicao_contratual!$Y98&gt;0,"",itens_Remanesc!C98)))</f>
        <v/>
      </c>
      <c r="D98" s="79" t="str">
        <f>IF(OR($A98="",posicao_contratual!$Y98=""),"",IF(posicao_contratual!$Y98&gt;1,"",IF(posicao_contratual!$Y98=1,IF(ISNUMBER(itens_Remanesc!C98),itens_Remanesc!C98,""),IF(OR(NOT(ISNUMBER(itens_Remanesc!C98)),NOT(ISNUMBER($L$3)),NOT(ISNUMBER(INDEX($L$2:$L$6,posicao_contratual!$Y98+1)))),"",ROUND(itens_Remanesc!C98*$L$3/INDEX($L$2:$L$6,posicao_contratual!$Y98+1),2)))))</f>
        <v/>
      </c>
      <c r="E98" s="79" t="str">
        <f>IF(OR($A98="",posicao_contratual!$Y98=""),"",IF(posicao_contratual!$Y98&gt;2,"",IF(posicao_contratual!$Y98=2,IF(ISNUMBER(itens_Remanesc!C98),itens_Remanesc!C98,""),IF(OR(NOT(ISNUMBER(itens_Remanesc!C98)),NOT(ISNUMBER($L$4)),NOT(ISNUMBER(INDEX($L$2:$L$6,posicao_contratual!$Y98+1)))),"",ROUND(itens_Remanesc!C98*$L$4/INDEX($L$2:$L$6,posicao_contratual!$Y98+1),2)))))</f>
        <v/>
      </c>
      <c r="F98" s="79" t="str">
        <f>IF(OR($A98="",posicao_contratual!$Y98=""),"",IF(posicao_contratual!$Y98&gt;3,"",IF(posicao_contratual!$Y98=3,IF(ISNUMBER(itens_Remanesc!C98),itens_Remanesc!C98,""),IF(OR(NOT(ISNUMBER(itens_Remanesc!C98)),NOT(ISNUMBER($L$5)),NOT(ISNUMBER(INDEX($L$2:$L$6,posicao_contratual!$Y98+1)))),"",ROUND(itens_Remanesc!C98*$L$5/INDEX($L$2:$L$6,posicao_contratual!$Y98+1),2)))))</f>
        <v/>
      </c>
      <c r="G98" s="79" t="str">
        <f>IF(OR($A98="",posicao_contratual!$Y98=""),"",IF(posicao_contratual!$Y98&gt;4,"",IF(posicao_contratual!$Y98=4,IF(ISNUMBER(itens_Remanesc!C98),itens_Remanesc!C98,""),IF(OR(NOT(ISNUMBER(itens_Remanesc!C98)),NOT(ISNUMBER($L$6)),NOT(ISNUMBER(INDEX($L$2:$L$6,posicao_contratual!$Y98+1)))),"",ROUND(itens_Remanesc!C98*$L$6/INDEX($L$2:$L$6,posicao_contratual!$Y98+1),2)))))</f>
        <v/>
      </c>
      <c r="H98" s="114" t="str">
        <f t="shared" ref="H98:H129" si="3">IF(OR(A98="",C98="",C98=0,NOT(ISNUMBER($L$6))),"",ROUND($L$6-1,4))</f>
        <v/>
      </c>
      <c r="I98" s="14"/>
      <c r="J98" s="14"/>
      <c r="K98" s="14"/>
      <c r="L98" s="14"/>
      <c r="M98" s="14"/>
      <c r="N98" s="145" t="str">
        <f>IF(A98="","",IF(posicao_contratual!$Y98="","",IF(posicao_contratual!$Y98&gt;0,"",posicao_contratual!E98)))</f>
        <v/>
      </c>
      <c r="O98" s="145" t="str">
        <f>IF(A98="","",IF(posicao_contratual!$Y98="","",IF(posicao_contratual!$Y98&gt;1,"",posicao_contratual!I98)))</f>
        <v/>
      </c>
      <c r="P98" s="145" t="str">
        <f>IF(A98="","",IF(posicao_contratual!$Y98="","",IF(posicao_contratual!$Y98&gt;2,"",posicao_contratual!M98)))</f>
        <v/>
      </c>
      <c r="Q98" s="145" t="str">
        <f>IF(A98="","",IF(posicao_contratual!$Y98="","",IF(posicao_contratual!$Y98&gt;3,"",posicao_contratual!Q98)))</f>
        <v/>
      </c>
      <c r="R98" s="145" t="str">
        <f>IF(A98="","",IF(posicao_contratual!$Y98="","",IF(posicao_contratual!$Y98&gt;4,"",posicao_contratual!U98)))</f>
        <v/>
      </c>
      <c r="S98" s="165" t="str">
        <f>IF(A98="","",posicao_contratual!G98)</f>
        <v/>
      </c>
      <c r="T98" s="165" t="str">
        <f>IF(A98="","",posicao_contratual!K98)</f>
        <v/>
      </c>
      <c r="U98" s="165" t="str">
        <f>IF(A98="","",posicao_contratual!O98)</f>
        <v/>
      </c>
      <c r="V98" s="165" t="str">
        <f>IF(A98="","",posicao_contratual!S98)</f>
        <v/>
      </c>
      <c r="W98" s="165" t="str">
        <f>IF(A98="","",posicao_contratual!W98)</f>
        <v/>
      </c>
    </row>
    <row r="99" spans="1:23" x14ac:dyDescent="0.35">
      <c r="A99" s="86" t="str">
        <f>IF(itens_Remanesc!A99="","",itens_Remanesc!A99)</f>
        <v/>
      </c>
      <c r="B99" s="85" t="str">
        <f>IF(A99="","",IF(posicao_contratual!$Y99="","",IF(posicao_contratual!$Y99&gt;0,"",posicao_contratual!G99)))</f>
        <v/>
      </c>
      <c r="C99" s="79" t="str">
        <f>IF(itens_Remanesc!A99="","",IF(posicao_contratual!$Y99="","",IF(posicao_contratual!$Y99&gt;0,"",itens_Remanesc!C99)))</f>
        <v/>
      </c>
      <c r="D99" s="79" t="str">
        <f>IF(OR($A99="",posicao_contratual!$Y99=""),"",IF(posicao_contratual!$Y99&gt;1,"",IF(posicao_contratual!$Y99=1,IF(ISNUMBER(itens_Remanesc!C99),itens_Remanesc!C99,""),IF(OR(NOT(ISNUMBER(itens_Remanesc!C99)),NOT(ISNUMBER($L$3)),NOT(ISNUMBER(INDEX($L$2:$L$6,posicao_contratual!$Y99+1)))),"",ROUND(itens_Remanesc!C99*$L$3/INDEX($L$2:$L$6,posicao_contratual!$Y99+1),2)))))</f>
        <v/>
      </c>
      <c r="E99" s="79" t="str">
        <f>IF(OR($A99="",posicao_contratual!$Y99=""),"",IF(posicao_contratual!$Y99&gt;2,"",IF(posicao_contratual!$Y99=2,IF(ISNUMBER(itens_Remanesc!C99),itens_Remanesc!C99,""),IF(OR(NOT(ISNUMBER(itens_Remanesc!C99)),NOT(ISNUMBER($L$4)),NOT(ISNUMBER(INDEX($L$2:$L$6,posicao_contratual!$Y99+1)))),"",ROUND(itens_Remanesc!C99*$L$4/INDEX($L$2:$L$6,posicao_contratual!$Y99+1),2)))))</f>
        <v/>
      </c>
      <c r="F99" s="79" t="str">
        <f>IF(OR($A99="",posicao_contratual!$Y99=""),"",IF(posicao_contratual!$Y99&gt;3,"",IF(posicao_contratual!$Y99=3,IF(ISNUMBER(itens_Remanesc!C99),itens_Remanesc!C99,""),IF(OR(NOT(ISNUMBER(itens_Remanesc!C99)),NOT(ISNUMBER($L$5)),NOT(ISNUMBER(INDEX($L$2:$L$6,posicao_contratual!$Y99+1)))),"",ROUND(itens_Remanesc!C99*$L$5/INDEX($L$2:$L$6,posicao_contratual!$Y99+1),2)))))</f>
        <v/>
      </c>
      <c r="G99" s="79" t="str">
        <f>IF(OR($A99="",posicao_contratual!$Y99=""),"",IF(posicao_contratual!$Y99&gt;4,"",IF(posicao_contratual!$Y99=4,IF(ISNUMBER(itens_Remanesc!C99),itens_Remanesc!C99,""),IF(OR(NOT(ISNUMBER(itens_Remanesc!C99)),NOT(ISNUMBER($L$6)),NOT(ISNUMBER(INDEX($L$2:$L$6,posicao_contratual!$Y99+1)))),"",ROUND(itens_Remanesc!C99*$L$6/INDEX($L$2:$L$6,posicao_contratual!$Y99+1),2)))))</f>
        <v/>
      </c>
      <c r="H99" s="114" t="str">
        <f t="shared" si="3"/>
        <v/>
      </c>
      <c r="I99" s="14"/>
      <c r="J99" s="14"/>
      <c r="K99" s="14"/>
      <c r="L99" s="14"/>
      <c r="M99" s="14"/>
      <c r="N99" s="145" t="str">
        <f>IF(A99="","",IF(posicao_contratual!$Y99="","",IF(posicao_contratual!$Y99&gt;0,"",posicao_contratual!E99)))</f>
        <v/>
      </c>
      <c r="O99" s="145" t="str">
        <f>IF(A99="","",IF(posicao_contratual!$Y99="","",IF(posicao_contratual!$Y99&gt;1,"",posicao_contratual!I99)))</f>
        <v/>
      </c>
      <c r="P99" s="145" t="str">
        <f>IF(A99="","",IF(posicao_contratual!$Y99="","",IF(posicao_contratual!$Y99&gt;2,"",posicao_contratual!M99)))</f>
        <v/>
      </c>
      <c r="Q99" s="145" t="str">
        <f>IF(A99="","",IF(posicao_contratual!$Y99="","",IF(posicao_contratual!$Y99&gt;3,"",posicao_contratual!Q99)))</f>
        <v/>
      </c>
      <c r="R99" s="145" t="str">
        <f>IF(A99="","",IF(posicao_contratual!$Y99="","",IF(posicao_contratual!$Y99&gt;4,"",posicao_contratual!U99)))</f>
        <v/>
      </c>
      <c r="S99" s="165" t="str">
        <f>IF(A99="","",posicao_contratual!G99)</f>
        <v/>
      </c>
      <c r="T99" s="165" t="str">
        <f>IF(A99="","",posicao_contratual!K99)</f>
        <v/>
      </c>
      <c r="U99" s="165" t="str">
        <f>IF(A99="","",posicao_contratual!O99)</f>
        <v/>
      </c>
      <c r="V99" s="165" t="str">
        <f>IF(A99="","",posicao_contratual!S99)</f>
        <v/>
      </c>
      <c r="W99" s="165" t="str">
        <f>IF(A99="","",posicao_contratual!W99)</f>
        <v/>
      </c>
    </row>
    <row r="100" spans="1:23" x14ac:dyDescent="0.35">
      <c r="A100" s="86" t="str">
        <f>IF(itens_Remanesc!A100="","",itens_Remanesc!A100)</f>
        <v/>
      </c>
      <c r="B100" s="85" t="str">
        <f>IF(A100="","",IF(posicao_contratual!$Y100="","",IF(posicao_contratual!$Y100&gt;0,"",posicao_contratual!G100)))</f>
        <v/>
      </c>
      <c r="C100" s="79" t="str">
        <f>IF(itens_Remanesc!A100="","",IF(posicao_contratual!$Y100="","",IF(posicao_contratual!$Y100&gt;0,"",itens_Remanesc!C100)))</f>
        <v/>
      </c>
      <c r="D100" s="79" t="str">
        <f>IF(OR($A100="",posicao_contratual!$Y100=""),"",IF(posicao_contratual!$Y100&gt;1,"",IF(posicao_contratual!$Y100=1,IF(ISNUMBER(itens_Remanesc!C100),itens_Remanesc!C100,""),IF(OR(NOT(ISNUMBER(itens_Remanesc!C100)),NOT(ISNUMBER($L$3)),NOT(ISNUMBER(INDEX($L$2:$L$6,posicao_contratual!$Y100+1)))),"",ROUND(itens_Remanesc!C100*$L$3/INDEX($L$2:$L$6,posicao_contratual!$Y100+1),2)))))</f>
        <v/>
      </c>
      <c r="E100" s="79" t="str">
        <f>IF(OR($A100="",posicao_contratual!$Y100=""),"",IF(posicao_contratual!$Y100&gt;2,"",IF(posicao_contratual!$Y100=2,IF(ISNUMBER(itens_Remanesc!C100),itens_Remanesc!C100,""),IF(OR(NOT(ISNUMBER(itens_Remanesc!C100)),NOT(ISNUMBER($L$4)),NOT(ISNUMBER(INDEX($L$2:$L$6,posicao_contratual!$Y100+1)))),"",ROUND(itens_Remanesc!C100*$L$4/INDEX($L$2:$L$6,posicao_contratual!$Y100+1),2)))))</f>
        <v/>
      </c>
      <c r="F100" s="79" t="str">
        <f>IF(OR($A100="",posicao_contratual!$Y100=""),"",IF(posicao_contratual!$Y100&gt;3,"",IF(posicao_contratual!$Y100=3,IF(ISNUMBER(itens_Remanesc!C100),itens_Remanesc!C100,""),IF(OR(NOT(ISNUMBER(itens_Remanesc!C100)),NOT(ISNUMBER($L$5)),NOT(ISNUMBER(INDEX($L$2:$L$6,posicao_contratual!$Y100+1)))),"",ROUND(itens_Remanesc!C100*$L$5/INDEX($L$2:$L$6,posicao_contratual!$Y100+1),2)))))</f>
        <v/>
      </c>
      <c r="G100" s="79" t="str">
        <f>IF(OR($A100="",posicao_contratual!$Y100=""),"",IF(posicao_contratual!$Y100&gt;4,"",IF(posicao_contratual!$Y100=4,IF(ISNUMBER(itens_Remanesc!C100),itens_Remanesc!C100,""),IF(OR(NOT(ISNUMBER(itens_Remanesc!C100)),NOT(ISNUMBER($L$6)),NOT(ISNUMBER(INDEX($L$2:$L$6,posicao_contratual!$Y100+1)))),"",ROUND(itens_Remanesc!C100*$L$6/INDEX($L$2:$L$6,posicao_contratual!$Y100+1),2)))))</f>
        <v/>
      </c>
      <c r="H100" s="114" t="str">
        <f t="shared" si="3"/>
        <v/>
      </c>
      <c r="I100" s="14"/>
      <c r="J100" s="14"/>
      <c r="K100" s="14"/>
      <c r="L100" s="14"/>
      <c r="M100" s="14"/>
      <c r="N100" s="145" t="str">
        <f>IF(A100="","",IF(posicao_contratual!$Y100="","",IF(posicao_contratual!$Y100&gt;0,"",posicao_contratual!E100)))</f>
        <v/>
      </c>
      <c r="O100" s="145" t="str">
        <f>IF(A100="","",IF(posicao_contratual!$Y100="","",IF(posicao_contratual!$Y100&gt;1,"",posicao_contratual!I100)))</f>
        <v/>
      </c>
      <c r="P100" s="145" t="str">
        <f>IF(A100="","",IF(posicao_contratual!$Y100="","",IF(posicao_contratual!$Y100&gt;2,"",posicao_contratual!M100)))</f>
        <v/>
      </c>
      <c r="Q100" s="145" t="str">
        <f>IF(A100="","",IF(posicao_contratual!$Y100="","",IF(posicao_contratual!$Y100&gt;3,"",posicao_contratual!Q100)))</f>
        <v/>
      </c>
      <c r="R100" s="145" t="str">
        <f>IF(A100="","",IF(posicao_contratual!$Y100="","",IF(posicao_contratual!$Y100&gt;4,"",posicao_contratual!U100)))</f>
        <v/>
      </c>
      <c r="S100" s="165" t="str">
        <f>IF(A100="","",posicao_contratual!G100)</f>
        <v/>
      </c>
      <c r="T100" s="165" t="str">
        <f>IF(A100="","",posicao_contratual!K100)</f>
        <v/>
      </c>
      <c r="U100" s="165" t="str">
        <f>IF(A100="","",posicao_contratual!O100)</f>
        <v/>
      </c>
      <c r="V100" s="165" t="str">
        <f>IF(A100="","",posicao_contratual!S100)</f>
        <v/>
      </c>
      <c r="W100" s="165" t="str">
        <f>IF(A100="","",posicao_contratual!W100)</f>
        <v/>
      </c>
    </row>
    <row r="101" spans="1:23" x14ac:dyDescent="0.35">
      <c r="A101" s="86" t="str">
        <f>IF(itens_Remanesc!A101="","",itens_Remanesc!A101)</f>
        <v/>
      </c>
      <c r="B101" s="85" t="str">
        <f>IF(A101="","",IF(posicao_contratual!$Y101="","",IF(posicao_contratual!$Y101&gt;0,"",posicao_contratual!G101)))</f>
        <v/>
      </c>
      <c r="C101" s="79" t="str">
        <f>IF(itens_Remanesc!A101="","",IF(posicao_contratual!$Y101="","",IF(posicao_contratual!$Y101&gt;0,"",itens_Remanesc!C101)))</f>
        <v/>
      </c>
      <c r="D101" s="79" t="str">
        <f>IF(OR($A101="",posicao_contratual!$Y101=""),"",IF(posicao_contratual!$Y101&gt;1,"",IF(posicao_contratual!$Y101=1,IF(ISNUMBER(itens_Remanesc!C101),itens_Remanesc!C101,""),IF(OR(NOT(ISNUMBER(itens_Remanesc!C101)),NOT(ISNUMBER($L$3)),NOT(ISNUMBER(INDEX($L$2:$L$6,posicao_contratual!$Y101+1)))),"",ROUND(itens_Remanesc!C101*$L$3/INDEX($L$2:$L$6,posicao_contratual!$Y101+1),2)))))</f>
        <v/>
      </c>
      <c r="E101" s="79" t="str">
        <f>IF(OR($A101="",posicao_contratual!$Y101=""),"",IF(posicao_contratual!$Y101&gt;2,"",IF(posicao_contratual!$Y101=2,IF(ISNUMBER(itens_Remanesc!C101),itens_Remanesc!C101,""),IF(OR(NOT(ISNUMBER(itens_Remanesc!C101)),NOT(ISNUMBER($L$4)),NOT(ISNUMBER(INDEX($L$2:$L$6,posicao_contratual!$Y101+1)))),"",ROUND(itens_Remanesc!C101*$L$4/INDEX($L$2:$L$6,posicao_contratual!$Y101+1),2)))))</f>
        <v/>
      </c>
      <c r="F101" s="79" t="str">
        <f>IF(OR($A101="",posicao_contratual!$Y101=""),"",IF(posicao_contratual!$Y101&gt;3,"",IF(posicao_contratual!$Y101=3,IF(ISNUMBER(itens_Remanesc!C101),itens_Remanesc!C101,""),IF(OR(NOT(ISNUMBER(itens_Remanesc!C101)),NOT(ISNUMBER($L$5)),NOT(ISNUMBER(INDEX($L$2:$L$6,posicao_contratual!$Y101+1)))),"",ROUND(itens_Remanesc!C101*$L$5/INDEX($L$2:$L$6,posicao_contratual!$Y101+1),2)))))</f>
        <v/>
      </c>
      <c r="G101" s="79" t="str">
        <f>IF(OR($A101="",posicao_contratual!$Y101=""),"",IF(posicao_contratual!$Y101&gt;4,"",IF(posicao_contratual!$Y101=4,IF(ISNUMBER(itens_Remanesc!C101),itens_Remanesc!C101,""),IF(OR(NOT(ISNUMBER(itens_Remanesc!C101)),NOT(ISNUMBER($L$6)),NOT(ISNUMBER(INDEX($L$2:$L$6,posicao_contratual!$Y101+1)))),"",ROUND(itens_Remanesc!C101*$L$6/INDEX($L$2:$L$6,posicao_contratual!$Y101+1),2)))))</f>
        <v/>
      </c>
      <c r="H101" s="114" t="str">
        <f t="shared" si="3"/>
        <v/>
      </c>
      <c r="I101" s="13"/>
      <c r="J101" s="13"/>
      <c r="K101" s="13"/>
      <c r="L101" s="13"/>
      <c r="M101" s="13"/>
      <c r="N101" s="145" t="str">
        <f>IF(A101="","",IF(posicao_contratual!$Y101="","",IF(posicao_contratual!$Y101&gt;0,"",posicao_contratual!E101)))</f>
        <v/>
      </c>
      <c r="O101" s="145" t="str">
        <f>IF(A101="","",IF(posicao_contratual!$Y101="","",IF(posicao_contratual!$Y101&gt;1,"",posicao_contratual!I101)))</f>
        <v/>
      </c>
      <c r="P101" s="145" t="str">
        <f>IF(A101="","",IF(posicao_contratual!$Y101="","",IF(posicao_contratual!$Y101&gt;2,"",posicao_contratual!M101)))</f>
        <v/>
      </c>
      <c r="Q101" s="145" t="str">
        <f>IF(A101="","",IF(posicao_contratual!$Y101="","",IF(posicao_contratual!$Y101&gt;3,"",posicao_contratual!Q101)))</f>
        <v/>
      </c>
      <c r="R101" s="145" t="str">
        <f>IF(A101="","",IF(posicao_contratual!$Y101="","",IF(posicao_contratual!$Y101&gt;4,"",posicao_contratual!U101)))</f>
        <v/>
      </c>
      <c r="S101" s="165" t="str">
        <f>IF(A101="","",posicao_contratual!G101)</f>
        <v/>
      </c>
      <c r="T101" s="165" t="str">
        <f>IF(A101="","",posicao_contratual!K101)</f>
        <v/>
      </c>
      <c r="U101" s="165" t="str">
        <f>IF(A101="","",posicao_contratual!O101)</f>
        <v/>
      </c>
      <c r="V101" s="165" t="str">
        <f>IF(A101="","",posicao_contratual!S101)</f>
        <v/>
      </c>
      <c r="W101" s="165" t="str">
        <f>IF(A101="","",posicao_contratual!W101)</f>
        <v/>
      </c>
    </row>
    <row r="102" spans="1:23" x14ac:dyDescent="0.35">
      <c r="A102" s="86" t="str">
        <f>IF(itens_Remanesc!A102="","",itens_Remanesc!A102)</f>
        <v/>
      </c>
      <c r="B102" s="85" t="str">
        <f>IF(A102="","",IF(posicao_contratual!$Y102="","",IF(posicao_contratual!$Y102&gt;0,"",posicao_contratual!G102)))</f>
        <v/>
      </c>
      <c r="C102" s="79" t="str">
        <f>IF(itens_Remanesc!A102="","",IF(posicao_contratual!$Y102="","",IF(posicao_contratual!$Y102&gt;0,"",itens_Remanesc!C102)))</f>
        <v/>
      </c>
      <c r="D102" s="79" t="str">
        <f>IF(OR($A102="",posicao_contratual!$Y102=""),"",IF(posicao_contratual!$Y102&gt;1,"",IF(posicao_contratual!$Y102=1,IF(ISNUMBER(itens_Remanesc!C102),itens_Remanesc!C102,""),IF(OR(NOT(ISNUMBER(itens_Remanesc!C102)),NOT(ISNUMBER($L$3)),NOT(ISNUMBER(INDEX($L$2:$L$6,posicao_contratual!$Y102+1)))),"",ROUND(itens_Remanesc!C102*$L$3/INDEX($L$2:$L$6,posicao_contratual!$Y102+1),2)))))</f>
        <v/>
      </c>
      <c r="E102" s="79" t="str">
        <f>IF(OR($A102="",posicao_contratual!$Y102=""),"",IF(posicao_contratual!$Y102&gt;2,"",IF(posicao_contratual!$Y102=2,IF(ISNUMBER(itens_Remanesc!C102),itens_Remanesc!C102,""),IF(OR(NOT(ISNUMBER(itens_Remanesc!C102)),NOT(ISNUMBER($L$4)),NOT(ISNUMBER(INDEX($L$2:$L$6,posicao_contratual!$Y102+1)))),"",ROUND(itens_Remanesc!C102*$L$4/INDEX($L$2:$L$6,posicao_contratual!$Y102+1),2)))))</f>
        <v/>
      </c>
      <c r="F102" s="79" t="str">
        <f>IF(OR($A102="",posicao_contratual!$Y102=""),"",IF(posicao_contratual!$Y102&gt;3,"",IF(posicao_contratual!$Y102=3,IF(ISNUMBER(itens_Remanesc!C102),itens_Remanesc!C102,""),IF(OR(NOT(ISNUMBER(itens_Remanesc!C102)),NOT(ISNUMBER($L$5)),NOT(ISNUMBER(INDEX($L$2:$L$6,posicao_contratual!$Y102+1)))),"",ROUND(itens_Remanesc!C102*$L$5/INDEX($L$2:$L$6,posicao_contratual!$Y102+1),2)))))</f>
        <v/>
      </c>
      <c r="G102" s="79" t="str">
        <f>IF(OR($A102="",posicao_contratual!$Y102=""),"",IF(posicao_contratual!$Y102&gt;4,"",IF(posicao_contratual!$Y102=4,IF(ISNUMBER(itens_Remanesc!C102),itens_Remanesc!C102,""),IF(OR(NOT(ISNUMBER(itens_Remanesc!C102)),NOT(ISNUMBER($L$6)),NOT(ISNUMBER(INDEX($L$2:$L$6,posicao_contratual!$Y102+1)))),"",ROUND(itens_Remanesc!C102*$L$6/INDEX($L$2:$L$6,posicao_contratual!$Y102+1),2)))))</f>
        <v/>
      </c>
      <c r="H102" s="114" t="str">
        <f t="shared" si="3"/>
        <v/>
      </c>
      <c r="I102" s="13"/>
      <c r="J102" s="13"/>
      <c r="K102" s="13"/>
      <c r="L102" s="13"/>
      <c r="M102" s="13"/>
      <c r="N102" s="145" t="str">
        <f>IF(A102="","",IF(posicao_contratual!$Y102="","",IF(posicao_contratual!$Y102&gt;0,"",posicao_contratual!E102)))</f>
        <v/>
      </c>
      <c r="O102" s="145" t="str">
        <f>IF(A102="","",IF(posicao_contratual!$Y102="","",IF(posicao_contratual!$Y102&gt;1,"",posicao_contratual!I102)))</f>
        <v/>
      </c>
      <c r="P102" s="145" t="str">
        <f>IF(A102="","",IF(posicao_contratual!$Y102="","",IF(posicao_contratual!$Y102&gt;2,"",posicao_contratual!M102)))</f>
        <v/>
      </c>
      <c r="Q102" s="145" t="str">
        <f>IF(A102="","",IF(posicao_contratual!$Y102="","",IF(posicao_contratual!$Y102&gt;3,"",posicao_contratual!Q102)))</f>
        <v/>
      </c>
      <c r="R102" s="145" t="str">
        <f>IF(A102="","",IF(posicao_contratual!$Y102="","",IF(posicao_contratual!$Y102&gt;4,"",posicao_contratual!U102)))</f>
        <v/>
      </c>
      <c r="S102" s="165" t="str">
        <f>IF(A102="","",posicao_contratual!G102)</f>
        <v/>
      </c>
      <c r="T102" s="165" t="str">
        <f>IF(A102="","",posicao_contratual!K102)</f>
        <v/>
      </c>
      <c r="U102" s="165" t="str">
        <f>IF(A102="","",posicao_contratual!O102)</f>
        <v/>
      </c>
      <c r="V102" s="165" t="str">
        <f>IF(A102="","",posicao_contratual!S102)</f>
        <v/>
      </c>
      <c r="W102" s="165" t="str">
        <f>IF(A102="","",posicao_contratual!W102)</f>
        <v/>
      </c>
    </row>
    <row r="103" spans="1:23" x14ac:dyDescent="0.35">
      <c r="A103" s="86" t="str">
        <f>IF(itens_Remanesc!A103="","",itens_Remanesc!A103)</f>
        <v/>
      </c>
      <c r="B103" s="85" t="str">
        <f>IF(A103="","",IF(posicao_contratual!$Y103="","",IF(posicao_contratual!$Y103&gt;0,"",posicao_contratual!G103)))</f>
        <v/>
      </c>
      <c r="C103" s="79" t="str">
        <f>IF(itens_Remanesc!A103="","",IF(posicao_contratual!$Y103="","",IF(posicao_contratual!$Y103&gt;0,"",itens_Remanesc!C103)))</f>
        <v/>
      </c>
      <c r="D103" s="79" t="str">
        <f>IF(OR($A103="",posicao_contratual!$Y103=""),"",IF(posicao_contratual!$Y103&gt;1,"",IF(posicao_contratual!$Y103=1,IF(ISNUMBER(itens_Remanesc!C103),itens_Remanesc!C103,""),IF(OR(NOT(ISNUMBER(itens_Remanesc!C103)),NOT(ISNUMBER($L$3)),NOT(ISNUMBER(INDEX($L$2:$L$6,posicao_contratual!$Y103+1)))),"",ROUND(itens_Remanesc!C103*$L$3/INDEX($L$2:$L$6,posicao_contratual!$Y103+1),2)))))</f>
        <v/>
      </c>
      <c r="E103" s="79" t="str">
        <f>IF(OR($A103="",posicao_contratual!$Y103=""),"",IF(posicao_contratual!$Y103&gt;2,"",IF(posicao_contratual!$Y103=2,IF(ISNUMBER(itens_Remanesc!C103),itens_Remanesc!C103,""),IF(OR(NOT(ISNUMBER(itens_Remanesc!C103)),NOT(ISNUMBER($L$4)),NOT(ISNUMBER(INDEX($L$2:$L$6,posicao_contratual!$Y103+1)))),"",ROUND(itens_Remanesc!C103*$L$4/INDEX($L$2:$L$6,posicao_contratual!$Y103+1),2)))))</f>
        <v/>
      </c>
      <c r="F103" s="79" t="str">
        <f>IF(OR($A103="",posicao_contratual!$Y103=""),"",IF(posicao_contratual!$Y103&gt;3,"",IF(posicao_contratual!$Y103=3,IF(ISNUMBER(itens_Remanesc!C103),itens_Remanesc!C103,""),IF(OR(NOT(ISNUMBER(itens_Remanesc!C103)),NOT(ISNUMBER($L$5)),NOT(ISNUMBER(INDEX($L$2:$L$6,posicao_contratual!$Y103+1)))),"",ROUND(itens_Remanesc!C103*$L$5/INDEX($L$2:$L$6,posicao_contratual!$Y103+1),2)))))</f>
        <v/>
      </c>
      <c r="G103" s="79" t="str">
        <f>IF(OR($A103="",posicao_contratual!$Y103=""),"",IF(posicao_contratual!$Y103&gt;4,"",IF(posicao_contratual!$Y103=4,IF(ISNUMBER(itens_Remanesc!C103),itens_Remanesc!C103,""),IF(OR(NOT(ISNUMBER(itens_Remanesc!C103)),NOT(ISNUMBER($L$6)),NOT(ISNUMBER(INDEX($L$2:$L$6,posicao_contratual!$Y103+1)))),"",ROUND(itens_Remanesc!C103*$L$6/INDEX($L$2:$L$6,posicao_contratual!$Y103+1),2)))))</f>
        <v/>
      </c>
      <c r="H103" s="114" t="str">
        <f t="shared" si="3"/>
        <v/>
      </c>
      <c r="I103" s="13"/>
      <c r="J103" s="13"/>
      <c r="K103" s="13"/>
      <c r="L103" s="13"/>
      <c r="M103" s="13"/>
      <c r="N103" s="145" t="str">
        <f>IF(A103="","",IF(posicao_contratual!$Y103="","",IF(posicao_contratual!$Y103&gt;0,"",posicao_contratual!E103)))</f>
        <v/>
      </c>
      <c r="O103" s="145" t="str">
        <f>IF(A103="","",IF(posicao_contratual!$Y103="","",IF(posicao_contratual!$Y103&gt;1,"",posicao_contratual!I103)))</f>
        <v/>
      </c>
      <c r="P103" s="145" t="str">
        <f>IF(A103="","",IF(posicao_contratual!$Y103="","",IF(posicao_contratual!$Y103&gt;2,"",posicao_contratual!M103)))</f>
        <v/>
      </c>
      <c r="Q103" s="145" t="str">
        <f>IF(A103="","",IF(posicao_contratual!$Y103="","",IF(posicao_contratual!$Y103&gt;3,"",posicao_contratual!Q103)))</f>
        <v/>
      </c>
      <c r="R103" s="145" t="str">
        <f>IF(A103="","",IF(posicao_contratual!$Y103="","",IF(posicao_contratual!$Y103&gt;4,"",posicao_contratual!U103)))</f>
        <v/>
      </c>
      <c r="S103" s="165" t="str">
        <f>IF(A103="","",posicao_contratual!G103)</f>
        <v/>
      </c>
      <c r="T103" s="165" t="str">
        <f>IF(A103="","",posicao_contratual!K103)</f>
        <v/>
      </c>
      <c r="U103" s="165" t="str">
        <f>IF(A103="","",posicao_contratual!O103)</f>
        <v/>
      </c>
      <c r="V103" s="165" t="str">
        <f>IF(A103="","",posicao_contratual!S103)</f>
        <v/>
      </c>
      <c r="W103" s="165" t="str">
        <f>IF(A103="","",posicao_contratual!W103)</f>
        <v/>
      </c>
    </row>
    <row r="104" spans="1:23" x14ac:dyDescent="0.35">
      <c r="A104" s="86" t="str">
        <f>IF(itens_Remanesc!A104="","",itens_Remanesc!A104)</f>
        <v/>
      </c>
      <c r="B104" s="85" t="str">
        <f>IF(A104="","",IF(posicao_contratual!$Y104="","",IF(posicao_contratual!$Y104&gt;0,"",posicao_contratual!G104)))</f>
        <v/>
      </c>
      <c r="C104" s="79" t="str">
        <f>IF(itens_Remanesc!A104="","",IF(posicao_contratual!$Y104="","",IF(posicao_contratual!$Y104&gt;0,"",itens_Remanesc!C104)))</f>
        <v/>
      </c>
      <c r="D104" s="79" t="str">
        <f>IF(OR($A104="",posicao_contratual!$Y104=""),"",IF(posicao_contratual!$Y104&gt;1,"",IF(posicao_contratual!$Y104=1,IF(ISNUMBER(itens_Remanesc!C104),itens_Remanesc!C104,""),IF(OR(NOT(ISNUMBER(itens_Remanesc!C104)),NOT(ISNUMBER($L$3)),NOT(ISNUMBER(INDEX($L$2:$L$6,posicao_contratual!$Y104+1)))),"",ROUND(itens_Remanesc!C104*$L$3/INDEX($L$2:$L$6,posicao_contratual!$Y104+1),2)))))</f>
        <v/>
      </c>
      <c r="E104" s="79" t="str">
        <f>IF(OR($A104="",posicao_contratual!$Y104=""),"",IF(posicao_contratual!$Y104&gt;2,"",IF(posicao_contratual!$Y104=2,IF(ISNUMBER(itens_Remanesc!C104),itens_Remanesc!C104,""),IF(OR(NOT(ISNUMBER(itens_Remanesc!C104)),NOT(ISNUMBER($L$4)),NOT(ISNUMBER(INDEX($L$2:$L$6,posicao_contratual!$Y104+1)))),"",ROUND(itens_Remanesc!C104*$L$4/INDEX($L$2:$L$6,posicao_contratual!$Y104+1),2)))))</f>
        <v/>
      </c>
      <c r="F104" s="79" t="str">
        <f>IF(OR($A104="",posicao_contratual!$Y104=""),"",IF(posicao_contratual!$Y104&gt;3,"",IF(posicao_contratual!$Y104=3,IF(ISNUMBER(itens_Remanesc!C104),itens_Remanesc!C104,""),IF(OR(NOT(ISNUMBER(itens_Remanesc!C104)),NOT(ISNUMBER($L$5)),NOT(ISNUMBER(INDEX($L$2:$L$6,posicao_contratual!$Y104+1)))),"",ROUND(itens_Remanesc!C104*$L$5/INDEX($L$2:$L$6,posicao_contratual!$Y104+1),2)))))</f>
        <v/>
      </c>
      <c r="G104" s="79" t="str">
        <f>IF(OR($A104="",posicao_contratual!$Y104=""),"",IF(posicao_contratual!$Y104&gt;4,"",IF(posicao_contratual!$Y104=4,IF(ISNUMBER(itens_Remanesc!C104),itens_Remanesc!C104,""),IF(OR(NOT(ISNUMBER(itens_Remanesc!C104)),NOT(ISNUMBER($L$6)),NOT(ISNUMBER(INDEX($L$2:$L$6,posicao_contratual!$Y104+1)))),"",ROUND(itens_Remanesc!C104*$L$6/INDEX($L$2:$L$6,posicao_contratual!$Y104+1),2)))))</f>
        <v/>
      </c>
      <c r="H104" s="114" t="str">
        <f t="shared" si="3"/>
        <v/>
      </c>
      <c r="I104" s="13"/>
      <c r="J104" s="13"/>
      <c r="K104" s="13"/>
      <c r="L104" s="13"/>
      <c r="M104" s="13"/>
      <c r="N104" s="145" t="str">
        <f>IF(A104="","",IF(posicao_contratual!$Y104="","",IF(posicao_contratual!$Y104&gt;0,"",posicao_contratual!E104)))</f>
        <v/>
      </c>
      <c r="O104" s="145" t="str">
        <f>IF(A104="","",IF(posicao_contratual!$Y104="","",IF(posicao_contratual!$Y104&gt;1,"",posicao_contratual!I104)))</f>
        <v/>
      </c>
      <c r="P104" s="145" t="str">
        <f>IF(A104="","",IF(posicao_contratual!$Y104="","",IF(posicao_contratual!$Y104&gt;2,"",posicao_contratual!M104)))</f>
        <v/>
      </c>
      <c r="Q104" s="145" t="str">
        <f>IF(A104="","",IF(posicao_contratual!$Y104="","",IF(posicao_contratual!$Y104&gt;3,"",posicao_contratual!Q104)))</f>
        <v/>
      </c>
      <c r="R104" s="145" t="str">
        <f>IF(A104="","",IF(posicao_contratual!$Y104="","",IF(posicao_contratual!$Y104&gt;4,"",posicao_contratual!U104)))</f>
        <v/>
      </c>
      <c r="S104" s="165" t="str">
        <f>IF(A104="","",posicao_contratual!G104)</f>
        <v/>
      </c>
      <c r="T104" s="165" t="str">
        <f>IF(A104="","",posicao_contratual!K104)</f>
        <v/>
      </c>
      <c r="U104" s="165" t="str">
        <f>IF(A104="","",posicao_contratual!O104)</f>
        <v/>
      </c>
      <c r="V104" s="165" t="str">
        <f>IF(A104="","",posicao_contratual!S104)</f>
        <v/>
      </c>
      <c r="W104" s="165" t="str">
        <f>IF(A104="","",posicao_contratual!W104)</f>
        <v/>
      </c>
    </row>
    <row r="105" spans="1:23" x14ac:dyDescent="0.35">
      <c r="A105" s="86" t="str">
        <f>IF(itens_Remanesc!A105="","",itens_Remanesc!A105)</f>
        <v/>
      </c>
      <c r="B105" s="85" t="str">
        <f>IF(A105="","",IF(posicao_contratual!$Y105="","",IF(posicao_contratual!$Y105&gt;0,"",posicao_contratual!G105)))</f>
        <v/>
      </c>
      <c r="C105" s="79" t="str">
        <f>IF(itens_Remanesc!A105="","",IF(posicao_contratual!$Y105="","",IF(posicao_contratual!$Y105&gt;0,"",itens_Remanesc!C105)))</f>
        <v/>
      </c>
      <c r="D105" s="79" t="str">
        <f>IF(OR($A105="",posicao_contratual!$Y105=""),"",IF(posicao_contratual!$Y105&gt;1,"",IF(posicao_contratual!$Y105=1,IF(ISNUMBER(itens_Remanesc!C105),itens_Remanesc!C105,""),IF(OR(NOT(ISNUMBER(itens_Remanesc!C105)),NOT(ISNUMBER($L$3)),NOT(ISNUMBER(INDEX($L$2:$L$6,posicao_contratual!$Y105+1)))),"",ROUND(itens_Remanesc!C105*$L$3/INDEX($L$2:$L$6,posicao_contratual!$Y105+1),2)))))</f>
        <v/>
      </c>
      <c r="E105" s="79" t="str">
        <f>IF(OR($A105="",posicao_contratual!$Y105=""),"",IF(posicao_contratual!$Y105&gt;2,"",IF(posicao_contratual!$Y105=2,IF(ISNUMBER(itens_Remanesc!C105),itens_Remanesc!C105,""),IF(OR(NOT(ISNUMBER(itens_Remanesc!C105)),NOT(ISNUMBER($L$4)),NOT(ISNUMBER(INDEX($L$2:$L$6,posicao_contratual!$Y105+1)))),"",ROUND(itens_Remanesc!C105*$L$4/INDEX($L$2:$L$6,posicao_contratual!$Y105+1),2)))))</f>
        <v/>
      </c>
      <c r="F105" s="79" t="str">
        <f>IF(OR($A105="",posicao_contratual!$Y105=""),"",IF(posicao_contratual!$Y105&gt;3,"",IF(posicao_contratual!$Y105=3,IF(ISNUMBER(itens_Remanesc!C105),itens_Remanesc!C105,""),IF(OR(NOT(ISNUMBER(itens_Remanesc!C105)),NOT(ISNUMBER($L$5)),NOT(ISNUMBER(INDEX($L$2:$L$6,posicao_contratual!$Y105+1)))),"",ROUND(itens_Remanesc!C105*$L$5/INDEX($L$2:$L$6,posicao_contratual!$Y105+1),2)))))</f>
        <v/>
      </c>
      <c r="G105" s="79" t="str">
        <f>IF(OR($A105="",posicao_contratual!$Y105=""),"",IF(posicao_contratual!$Y105&gt;4,"",IF(posicao_contratual!$Y105=4,IF(ISNUMBER(itens_Remanesc!C105),itens_Remanesc!C105,""),IF(OR(NOT(ISNUMBER(itens_Remanesc!C105)),NOT(ISNUMBER($L$6)),NOT(ISNUMBER(INDEX($L$2:$L$6,posicao_contratual!$Y105+1)))),"",ROUND(itens_Remanesc!C105*$L$6/INDEX($L$2:$L$6,posicao_contratual!$Y105+1),2)))))</f>
        <v/>
      </c>
      <c r="H105" s="114" t="str">
        <f t="shared" si="3"/>
        <v/>
      </c>
      <c r="I105" s="13"/>
      <c r="J105" s="13"/>
      <c r="K105" s="13"/>
      <c r="L105" s="13"/>
      <c r="M105" s="13"/>
      <c r="N105" s="145" t="str">
        <f>IF(A105="","",IF(posicao_contratual!$Y105="","",IF(posicao_contratual!$Y105&gt;0,"",posicao_contratual!E105)))</f>
        <v/>
      </c>
      <c r="O105" s="145" t="str">
        <f>IF(A105="","",IF(posicao_contratual!$Y105="","",IF(posicao_contratual!$Y105&gt;1,"",posicao_contratual!I105)))</f>
        <v/>
      </c>
      <c r="P105" s="145" t="str">
        <f>IF(A105="","",IF(posicao_contratual!$Y105="","",IF(posicao_contratual!$Y105&gt;2,"",posicao_contratual!M105)))</f>
        <v/>
      </c>
      <c r="Q105" s="145" t="str">
        <f>IF(A105="","",IF(posicao_contratual!$Y105="","",IF(posicao_contratual!$Y105&gt;3,"",posicao_contratual!Q105)))</f>
        <v/>
      </c>
      <c r="R105" s="145" t="str">
        <f>IF(A105="","",IF(posicao_contratual!$Y105="","",IF(posicao_contratual!$Y105&gt;4,"",posicao_contratual!U105)))</f>
        <v/>
      </c>
      <c r="S105" s="165" t="str">
        <f>IF(A105="","",posicao_contratual!G105)</f>
        <v/>
      </c>
      <c r="T105" s="165" t="str">
        <f>IF(A105="","",posicao_contratual!K105)</f>
        <v/>
      </c>
      <c r="U105" s="165" t="str">
        <f>IF(A105="","",posicao_contratual!O105)</f>
        <v/>
      </c>
      <c r="V105" s="165" t="str">
        <f>IF(A105="","",posicao_contratual!S105)</f>
        <v/>
      </c>
      <c r="W105" s="165" t="str">
        <f>IF(A105="","",posicao_contratual!W105)</f>
        <v/>
      </c>
    </row>
    <row r="106" spans="1:23" x14ac:dyDescent="0.35">
      <c r="A106" s="86" t="str">
        <f>IF(itens_Remanesc!A106="","",itens_Remanesc!A106)</f>
        <v/>
      </c>
      <c r="B106" s="85" t="str">
        <f>IF(A106="","",IF(posicao_contratual!$Y106="","",IF(posicao_contratual!$Y106&gt;0,"",posicao_contratual!G106)))</f>
        <v/>
      </c>
      <c r="C106" s="79" t="str">
        <f>IF(itens_Remanesc!A106="","",IF(posicao_contratual!$Y106="","",IF(posicao_contratual!$Y106&gt;0,"",itens_Remanesc!C106)))</f>
        <v/>
      </c>
      <c r="D106" s="79" t="str">
        <f>IF(OR($A106="",posicao_contratual!$Y106=""),"",IF(posicao_contratual!$Y106&gt;1,"",IF(posicao_contratual!$Y106=1,IF(ISNUMBER(itens_Remanesc!C106),itens_Remanesc!C106,""),IF(OR(NOT(ISNUMBER(itens_Remanesc!C106)),NOT(ISNUMBER($L$3)),NOT(ISNUMBER(INDEX($L$2:$L$6,posicao_contratual!$Y106+1)))),"",ROUND(itens_Remanesc!C106*$L$3/INDEX($L$2:$L$6,posicao_contratual!$Y106+1),2)))))</f>
        <v/>
      </c>
      <c r="E106" s="79" t="str">
        <f>IF(OR($A106="",posicao_contratual!$Y106=""),"",IF(posicao_contratual!$Y106&gt;2,"",IF(posicao_contratual!$Y106=2,IF(ISNUMBER(itens_Remanesc!C106),itens_Remanesc!C106,""),IF(OR(NOT(ISNUMBER(itens_Remanesc!C106)),NOT(ISNUMBER($L$4)),NOT(ISNUMBER(INDEX($L$2:$L$6,posicao_contratual!$Y106+1)))),"",ROUND(itens_Remanesc!C106*$L$4/INDEX($L$2:$L$6,posicao_contratual!$Y106+1),2)))))</f>
        <v/>
      </c>
      <c r="F106" s="79" t="str">
        <f>IF(OR($A106="",posicao_contratual!$Y106=""),"",IF(posicao_contratual!$Y106&gt;3,"",IF(posicao_contratual!$Y106=3,IF(ISNUMBER(itens_Remanesc!C106),itens_Remanesc!C106,""),IF(OR(NOT(ISNUMBER(itens_Remanesc!C106)),NOT(ISNUMBER($L$5)),NOT(ISNUMBER(INDEX($L$2:$L$6,posicao_contratual!$Y106+1)))),"",ROUND(itens_Remanesc!C106*$L$5/INDEX($L$2:$L$6,posicao_contratual!$Y106+1),2)))))</f>
        <v/>
      </c>
      <c r="G106" s="79" t="str">
        <f>IF(OR($A106="",posicao_contratual!$Y106=""),"",IF(posicao_contratual!$Y106&gt;4,"",IF(posicao_contratual!$Y106=4,IF(ISNUMBER(itens_Remanesc!C106),itens_Remanesc!C106,""),IF(OR(NOT(ISNUMBER(itens_Remanesc!C106)),NOT(ISNUMBER($L$6)),NOT(ISNUMBER(INDEX($L$2:$L$6,posicao_contratual!$Y106+1)))),"",ROUND(itens_Remanesc!C106*$L$6/INDEX($L$2:$L$6,posicao_contratual!$Y106+1),2)))))</f>
        <v/>
      </c>
      <c r="H106" s="114" t="str">
        <f t="shared" si="3"/>
        <v/>
      </c>
      <c r="I106" s="13"/>
      <c r="J106" s="13"/>
      <c r="K106" s="13"/>
      <c r="L106" s="13"/>
      <c r="M106" s="13"/>
      <c r="N106" s="145" t="str">
        <f>IF(A106="","",IF(posicao_contratual!$Y106="","",IF(posicao_contratual!$Y106&gt;0,"",posicao_contratual!E106)))</f>
        <v/>
      </c>
      <c r="O106" s="145" t="str">
        <f>IF(A106="","",IF(posicao_contratual!$Y106="","",IF(posicao_contratual!$Y106&gt;1,"",posicao_contratual!I106)))</f>
        <v/>
      </c>
      <c r="P106" s="145" t="str">
        <f>IF(A106="","",IF(posicao_contratual!$Y106="","",IF(posicao_contratual!$Y106&gt;2,"",posicao_contratual!M106)))</f>
        <v/>
      </c>
      <c r="Q106" s="145" t="str">
        <f>IF(A106="","",IF(posicao_contratual!$Y106="","",IF(posicao_contratual!$Y106&gt;3,"",posicao_contratual!Q106)))</f>
        <v/>
      </c>
      <c r="R106" s="145" t="str">
        <f>IF(A106="","",IF(posicao_contratual!$Y106="","",IF(posicao_contratual!$Y106&gt;4,"",posicao_contratual!U106)))</f>
        <v/>
      </c>
      <c r="S106" s="165" t="str">
        <f>IF(A106="","",posicao_contratual!G106)</f>
        <v/>
      </c>
      <c r="T106" s="165" t="str">
        <f>IF(A106="","",posicao_contratual!K106)</f>
        <v/>
      </c>
      <c r="U106" s="165" t="str">
        <f>IF(A106="","",posicao_contratual!O106)</f>
        <v/>
      </c>
      <c r="V106" s="165" t="str">
        <f>IF(A106="","",posicao_contratual!S106)</f>
        <v/>
      </c>
      <c r="W106" s="165" t="str">
        <f>IF(A106="","",posicao_contratual!W106)</f>
        <v/>
      </c>
    </row>
    <row r="107" spans="1:23" x14ac:dyDescent="0.35">
      <c r="A107" s="86" t="str">
        <f>IF(itens_Remanesc!A107="","",itens_Remanesc!A107)</f>
        <v/>
      </c>
      <c r="B107" s="85" t="str">
        <f>IF(A107="","",IF(posicao_contratual!$Y107="","",IF(posicao_contratual!$Y107&gt;0,"",posicao_contratual!G107)))</f>
        <v/>
      </c>
      <c r="C107" s="79" t="str">
        <f>IF(itens_Remanesc!A107="","",IF(posicao_contratual!$Y107="","",IF(posicao_contratual!$Y107&gt;0,"",itens_Remanesc!C107)))</f>
        <v/>
      </c>
      <c r="D107" s="79" t="str">
        <f>IF(OR($A107="",posicao_contratual!$Y107=""),"",IF(posicao_contratual!$Y107&gt;1,"",IF(posicao_contratual!$Y107=1,IF(ISNUMBER(itens_Remanesc!C107),itens_Remanesc!C107,""),IF(OR(NOT(ISNUMBER(itens_Remanesc!C107)),NOT(ISNUMBER($L$3)),NOT(ISNUMBER(INDEX($L$2:$L$6,posicao_contratual!$Y107+1)))),"",ROUND(itens_Remanesc!C107*$L$3/INDEX($L$2:$L$6,posicao_contratual!$Y107+1),2)))))</f>
        <v/>
      </c>
      <c r="E107" s="79" t="str">
        <f>IF(OR($A107="",posicao_contratual!$Y107=""),"",IF(posicao_contratual!$Y107&gt;2,"",IF(posicao_contratual!$Y107=2,IF(ISNUMBER(itens_Remanesc!C107),itens_Remanesc!C107,""),IF(OR(NOT(ISNUMBER(itens_Remanesc!C107)),NOT(ISNUMBER($L$4)),NOT(ISNUMBER(INDEX($L$2:$L$6,posicao_contratual!$Y107+1)))),"",ROUND(itens_Remanesc!C107*$L$4/INDEX($L$2:$L$6,posicao_contratual!$Y107+1),2)))))</f>
        <v/>
      </c>
      <c r="F107" s="79" t="str">
        <f>IF(OR($A107="",posicao_contratual!$Y107=""),"",IF(posicao_contratual!$Y107&gt;3,"",IF(posicao_contratual!$Y107=3,IF(ISNUMBER(itens_Remanesc!C107),itens_Remanesc!C107,""),IF(OR(NOT(ISNUMBER(itens_Remanesc!C107)),NOT(ISNUMBER($L$5)),NOT(ISNUMBER(INDEX($L$2:$L$6,posicao_contratual!$Y107+1)))),"",ROUND(itens_Remanesc!C107*$L$5/INDEX($L$2:$L$6,posicao_contratual!$Y107+1),2)))))</f>
        <v/>
      </c>
      <c r="G107" s="79" t="str">
        <f>IF(OR($A107="",posicao_contratual!$Y107=""),"",IF(posicao_contratual!$Y107&gt;4,"",IF(posicao_contratual!$Y107=4,IF(ISNUMBER(itens_Remanesc!C107),itens_Remanesc!C107,""),IF(OR(NOT(ISNUMBER(itens_Remanesc!C107)),NOT(ISNUMBER($L$6)),NOT(ISNUMBER(INDEX($L$2:$L$6,posicao_contratual!$Y107+1)))),"",ROUND(itens_Remanesc!C107*$L$6/INDEX($L$2:$L$6,posicao_contratual!$Y107+1),2)))))</f>
        <v/>
      </c>
      <c r="H107" s="114" t="str">
        <f t="shared" si="3"/>
        <v/>
      </c>
      <c r="I107" s="13"/>
      <c r="J107" s="13"/>
      <c r="K107" s="13"/>
      <c r="L107" s="13"/>
      <c r="M107" s="13"/>
      <c r="N107" s="145" t="str">
        <f>IF(A107="","",IF(posicao_contratual!$Y107="","",IF(posicao_contratual!$Y107&gt;0,"",posicao_contratual!E107)))</f>
        <v/>
      </c>
      <c r="O107" s="145" t="str">
        <f>IF(A107="","",IF(posicao_contratual!$Y107="","",IF(posicao_contratual!$Y107&gt;1,"",posicao_contratual!I107)))</f>
        <v/>
      </c>
      <c r="P107" s="145" t="str">
        <f>IF(A107="","",IF(posicao_contratual!$Y107="","",IF(posicao_contratual!$Y107&gt;2,"",posicao_contratual!M107)))</f>
        <v/>
      </c>
      <c r="Q107" s="145" t="str">
        <f>IF(A107="","",IF(posicao_contratual!$Y107="","",IF(posicao_contratual!$Y107&gt;3,"",posicao_contratual!Q107)))</f>
        <v/>
      </c>
      <c r="R107" s="145" t="str">
        <f>IF(A107="","",IF(posicao_contratual!$Y107="","",IF(posicao_contratual!$Y107&gt;4,"",posicao_contratual!U107)))</f>
        <v/>
      </c>
      <c r="S107" s="165" t="str">
        <f>IF(A107="","",posicao_contratual!G107)</f>
        <v/>
      </c>
      <c r="T107" s="165" t="str">
        <f>IF(A107="","",posicao_contratual!K107)</f>
        <v/>
      </c>
      <c r="U107" s="165" t="str">
        <f>IF(A107="","",posicao_contratual!O107)</f>
        <v/>
      </c>
      <c r="V107" s="165" t="str">
        <f>IF(A107="","",posicao_contratual!S107)</f>
        <v/>
      </c>
      <c r="W107" s="165" t="str">
        <f>IF(A107="","",posicao_contratual!W107)</f>
        <v/>
      </c>
    </row>
    <row r="108" spans="1:23" x14ac:dyDescent="0.35">
      <c r="A108" s="86" t="str">
        <f>IF(itens_Remanesc!A108="","",itens_Remanesc!A108)</f>
        <v/>
      </c>
      <c r="B108" s="85" t="str">
        <f>IF(A108="","",IF(posicao_contratual!$Y108="","",IF(posicao_contratual!$Y108&gt;0,"",posicao_contratual!G108)))</f>
        <v/>
      </c>
      <c r="C108" s="79" t="str">
        <f>IF(itens_Remanesc!A108="","",IF(posicao_contratual!$Y108="","",IF(posicao_contratual!$Y108&gt;0,"",itens_Remanesc!C108)))</f>
        <v/>
      </c>
      <c r="D108" s="79" t="str">
        <f>IF(OR($A108="",posicao_contratual!$Y108=""),"",IF(posicao_contratual!$Y108&gt;1,"",IF(posicao_contratual!$Y108=1,IF(ISNUMBER(itens_Remanesc!C108),itens_Remanesc!C108,""),IF(OR(NOT(ISNUMBER(itens_Remanesc!C108)),NOT(ISNUMBER($L$3)),NOT(ISNUMBER(INDEX($L$2:$L$6,posicao_contratual!$Y108+1)))),"",ROUND(itens_Remanesc!C108*$L$3/INDEX($L$2:$L$6,posicao_contratual!$Y108+1),2)))))</f>
        <v/>
      </c>
      <c r="E108" s="79" t="str">
        <f>IF(OR($A108="",posicao_contratual!$Y108=""),"",IF(posicao_contratual!$Y108&gt;2,"",IF(posicao_contratual!$Y108=2,IF(ISNUMBER(itens_Remanesc!C108),itens_Remanesc!C108,""),IF(OR(NOT(ISNUMBER(itens_Remanesc!C108)),NOT(ISNUMBER($L$4)),NOT(ISNUMBER(INDEX($L$2:$L$6,posicao_contratual!$Y108+1)))),"",ROUND(itens_Remanesc!C108*$L$4/INDEX($L$2:$L$6,posicao_contratual!$Y108+1),2)))))</f>
        <v/>
      </c>
      <c r="F108" s="79" t="str">
        <f>IF(OR($A108="",posicao_contratual!$Y108=""),"",IF(posicao_contratual!$Y108&gt;3,"",IF(posicao_contratual!$Y108=3,IF(ISNUMBER(itens_Remanesc!C108),itens_Remanesc!C108,""),IF(OR(NOT(ISNUMBER(itens_Remanesc!C108)),NOT(ISNUMBER($L$5)),NOT(ISNUMBER(INDEX($L$2:$L$6,posicao_contratual!$Y108+1)))),"",ROUND(itens_Remanesc!C108*$L$5/INDEX($L$2:$L$6,posicao_contratual!$Y108+1),2)))))</f>
        <v/>
      </c>
      <c r="G108" s="79" t="str">
        <f>IF(OR($A108="",posicao_contratual!$Y108=""),"",IF(posicao_contratual!$Y108&gt;4,"",IF(posicao_contratual!$Y108=4,IF(ISNUMBER(itens_Remanesc!C108),itens_Remanesc!C108,""),IF(OR(NOT(ISNUMBER(itens_Remanesc!C108)),NOT(ISNUMBER($L$6)),NOT(ISNUMBER(INDEX($L$2:$L$6,posicao_contratual!$Y108+1)))),"",ROUND(itens_Remanesc!C108*$L$6/INDEX($L$2:$L$6,posicao_contratual!$Y108+1),2)))))</f>
        <v/>
      </c>
      <c r="H108" s="114" t="str">
        <f t="shared" si="3"/>
        <v/>
      </c>
      <c r="I108" s="13"/>
      <c r="J108" s="13"/>
      <c r="K108" s="13"/>
      <c r="L108" s="13"/>
      <c r="M108" s="13"/>
      <c r="N108" s="145" t="str">
        <f>IF(A108="","",IF(posicao_contratual!$Y108="","",IF(posicao_contratual!$Y108&gt;0,"",posicao_contratual!E108)))</f>
        <v/>
      </c>
      <c r="O108" s="145" t="str">
        <f>IF(A108="","",IF(posicao_contratual!$Y108="","",IF(posicao_contratual!$Y108&gt;1,"",posicao_contratual!I108)))</f>
        <v/>
      </c>
      <c r="P108" s="145" t="str">
        <f>IF(A108="","",IF(posicao_contratual!$Y108="","",IF(posicao_contratual!$Y108&gt;2,"",posicao_contratual!M108)))</f>
        <v/>
      </c>
      <c r="Q108" s="145" t="str">
        <f>IF(A108="","",IF(posicao_contratual!$Y108="","",IF(posicao_contratual!$Y108&gt;3,"",posicao_contratual!Q108)))</f>
        <v/>
      </c>
      <c r="R108" s="145" t="str">
        <f>IF(A108="","",IF(posicao_contratual!$Y108="","",IF(posicao_contratual!$Y108&gt;4,"",posicao_contratual!U108)))</f>
        <v/>
      </c>
      <c r="S108" s="165" t="str">
        <f>IF(A108="","",posicao_contratual!G108)</f>
        <v/>
      </c>
      <c r="T108" s="165" t="str">
        <f>IF(A108="","",posicao_contratual!K108)</f>
        <v/>
      </c>
      <c r="U108" s="165" t="str">
        <f>IF(A108="","",posicao_contratual!O108)</f>
        <v/>
      </c>
      <c r="V108" s="165" t="str">
        <f>IF(A108="","",posicao_contratual!S108)</f>
        <v/>
      </c>
      <c r="W108" s="165" t="str">
        <f>IF(A108="","",posicao_contratual!W108)</f>
        <v/>
      </c>
    </row>
    <row r="109" spans="1:23" x14ac:dyDescent="0.35">
      <c r="A109" s="86" t="str">
        <f>IF(itens_Remanesc!A109="","",itens_Remanesc!A109)</f>
        <v/>
      </c>
      <c r="B109" s="85" t="str">
        <f>IF(A109="","",IF(posicao_contratual!$Y109="","",IF(posicao_contratual!$Y109&gt;0,"",posicao_contratual!G109)))</f>
        <v/>
      </c>
      <c r="C109" s="79" t="str">
        <f>IF(itens_Remanesc!A109="","",IF(posicao_contratual!$Y109="","",IF(posicao_contratual!$Y109&gt;0,"",itens_Remanesc!C109)))</f>
        <v/>
      </c>
      <c r="D109" s="79" t="str">
        <f>IF(OR($A109="",posicao_contratual!$Y109=""),"",IF(posicao_contratual!$Y109&gt;1,"",IF(posicao_contratual!$Y109=1,IF(ISNUMBER(itens_Remanesc!C109),itens_Remanesc!C109,""),IF(OR(NOT(ISNUMBER(itens_Remanesc!C109)),NOT(ISNUMBER($L$3)),NOT(ISNUMBER(INDEX($L$2:$L$6,posicao_contratual!$Y109+1)))),"",ROUND(itens_Remanesc!C109*$L$3/INDEX($L$2:$L$6,posicao_contratual!$Y109+1),2)))))</f>
        <v/>
      </c>
      <c r="E109" s="79" t="str">
        <f>IF(OR($A109="",posicao_contratual!$Y109=""),"",IF(posicao_contratual!$Y109&gt;2,"",IF(posicao_contratual!$Y109=2,IF(ISNUMBER(itens_Remanesc!C109),itens_Remanesc!C109,""),IF(OR(NOT(ISNUMBER(itens_Remanesc!C109)),NOT(ISNUMBER($L$4)),NOT(ISNUMBER(INDEX($L$2:$L$6,posicao_contratual!$Y109+1)))),"",ROUND(itens_Remanesc!C109*$L$4/INDEX($L$2:$L$6,posicao_contratual!$Y109+1),2)))))</f>
        <v/>
      </c>
      <c r="F109" s="79" t="str">
        <f>IF(OR($A109="",posicao_contratual!$Y109=""),"",IF(posicao_contratual!$Y109&gt;3,"",IF(posicao_contratual!$Y109=3,IF(ISNUMBER(itens_Remanesc!C109),itens_Remanesc!C109,""),IF(OR(NOT(ISNUMBER(itens_Remanesc!C109)),NOT(ISNUMBER($L$5)),NOT(ISNUMBER(INDEX($L$2:$L$6,posicao_contratual!$Y109+1)))),"",ROUND(itens_Remanesc!C109*$L$5/INDEX($L$2:$L$6,posicao_contratual!$Y109+1),2)))))</f>
        <v/>
      </c>
      <c r="G109" s="79" t="str">
        <f>IF(OR($A109="",posicao_contratual!$Y109=""),"",IF(posicao_contratual!$Y109&gt;4,"",IF(posicao_contratual!$Y109=4,IF(ISNUMBER(itens_Remanesc!C109),itens_Remanesc!C109,""),IF(OR(NOT(ISNUMBER(itens_Remanesc!C109)),NOT(ISNUMBER($L$6)),NOT(ISNUMBER(INDEX($L$2:$L$6,posicao_contratual!$Y109+1)))),"",ROUND(itens_Remanesc!C109*$L$6/INDEX($L$2:$L$6,posicao_contratual!$Y109+1),2)))))</f>
        <v/>
      </c>
      <c r="H109" s="114" t="str">
        <f t="shared" si="3"/>
        <v/>
      </c>
      <c r="I109" s="13"/>
      <c r="J109" s="13"/>
      <c r="K109" s="13"/>
      <c r="L109" s="13"/>
      <c r="M109" s="13"/>
      <c r="N109" s="145" t="str">
        <f>IF(A109="","",IF(posicao_contratual!$Y109="","",IF(posicao_contratual!$Y109&gt;0,"",posicao_contratual!E109)))</f>
        <v/>
      </c>
      <c r="O109" s="145" t="str">
        <f>IF(A109="","",IF(posicao_contratual!$Y109="","",IF(posicao_contratual!$Y109&gt;1,"",posicao_contratual!I109)))</f>
        <v/>
      </c>
      <c r="P109" s="145" t="str">
        <f>IF(A109="","",IF(posicao_contratual!$Y109="","",IF(posicao_contratual!$Y109&gt;2,"",posicao_contratual!M109)))</f>
        <v/>
      </c>
      <c r="Q109" s="145" t="str">
        <f>IF(A109="","",IF(posicao_contratual!$Y109="","",IF(posicao_contratual!$Y109&gt;3,"",posicao_contratual!Q109)))</f>
        <v/>
      </c>
      <c r="R109" s="145" t="str">
        <f>IF(A109="","",IF(posicao_contratual!$Y109="","",IF(posicao_contratual!$Y109&gt;4,"",posicao_contratual!U109)))</f>
        <v/>
      </c>
      <c r="S109" s="165" t="str">
        <f>IF(A109="","",posicao_contratual!G109)</f>
        <v/>
      </c>
      <c r="T109" s="165" t="str">
        <f>IF(A109="","",posicao_contratual!K109)</f>
        <v/>
      </c>
      <c r="U109" s="165" t="str">
        <f>IF(A109="","",posicao_contratual!O109)</f>
        <v/>
      </c>
      <c r="V109" s="165" t="str">
        <f>IF(A109="","",posicao_contratual!S109)</f>
        <v/>
      </c>
      <c r="W109" s="165" t="str">
        <f>IF(A109="","",posicao_contratual!W109)</f>
        <v/>
      </c>
    </row>
    <row r="110" spans="1:23" x14ac:dyDescent="0.35">
      <c r="A110" s="86" t="str">
        <f>IF(itens_Remanesc!A110="","",itens_Remanesc!A110)</f>
        <v/>
      </c>
      <c r="B110" s="85" t="str">
        <f>IF(A110="","",IF(posicao_contratual!$Y110="","",IF(posicao_contratual!$Y110&gt;0,"",posicao_contratual!G110)))</f>
        <v/>
      </c>
      <c r="C110" s="79" t="str">
        <f>IF(itens_Remanesc!A110="","",IF(posicao_contratual!$Y110="","",IF(posicao_contratual!$Y110&gt;0,"",itens_Remanesc!C110)))</f>
        <v/>
      </c>
      <c r="D110" s="79" t="str">
        <f>IF(OR($A110="",posicao_contratual!$Y110=""),"",IF(posicao_contratual!$Y110&gt;1,"",IF(posicao_contratual!$Y110=1,IF(ISNUMBER(itens_Remanesc!C110),itens_Remanesc!C110,""),IF(OR(NOT(ISNUMBER(itens_Remanesc!C110)),NOT(ISNUMBER($L$3)),NOT(ISNUMBER(INDEX($L$2:$L$6,posicao_contratual!$Y110+1)))),"",ROUND(itens_Remanesc!C110*$L$3/INDEX($L$2:$L$6,posicao_contratual!$Y110+1),2)))))</f>
        <v/>
      </c>
      <c r="E110" s="79" t="str">
        <f>IF(OR($A110="",posicao_contratual!$Y110=""),"",IF(posicao_contratual!$Y110&gt;2,"",IF(posicao_contratual!$Y110=2,IF(ISNUMBER(itens_Remanesc!C110),itens_Remanesc!C110,""),IF(OR(NOT(ISNUMBER(itens_Remanesc!C110)),NOT(ISNUMBER($L$4)),NOT(ISNUMBER(INDEX($L$2:$L$6,posicao_contratual!$Y110+1)))),"",ROUND(itens_Remanesc!C110*$L$4/INDEX($L$2:$L$6,posicao_contratual!$Y110+1),2)))))</f>
        <v/>
      </c>
      <c r="F110" s="79" t="str">
        <f>IF(OR($A110="",posicao_contratual!$Y110=""),"",IF(posicao_contratual!$Y110&gt;3,"",IF(posicao_contratual!$Y110=3,IF(ISNUMBER(itens_Remanesc!C110),itens_Remanesc!C110,""),IF(OR(NOT(ISNUMBER(itens_Remanesc!C110)),NOT(ISNUMBER($L$5)),NOT(ISNUMBER(INDEX($L$2:$L$6,posicao_contratual!$Y110+1)))),"",ROUND(itens_Remanesc!C110*$L$5/INDEX($L$2:$L$6,posicao_contratual!$Y110+1),2)))))</f>
        <v/>
      </c>
      <c r="G110" s="79" t="str">
        <f>IF(OR($A110="",posicao_contratual!$Y110=""),"",IF(posicao_contratual!$Y110&gt;4,"",IF(posicao_contratual!$Y110=4,IF(ISNUMBER(itens_Remanesc!C110),itens_Remanesc!C110,""),IF(OR(NOT(ISNUMBER(itens_Remanesc!C110)),NOT(ISNUMBER($L$6)),NOT(ISNUMBER(INDEX($L$2:$L$6,posicao_contratual!$Y110+1)))),"",ROUND(itens_Remanesc!C110*$L$6/INDEX($L$2:$L$6,posicao_contratual!$Y110+1),2)))))</f>
        <v/>
      </c>
      <c r="H110" s="114" t="str">
        <f t="shared" si="3"/>
        <v/>
      </c>
      <c r="I110" s="13"/>
      <c r="J110" s="13"/>
      <c r="K110" s="13"/>
      <c r="L110" s="13"/>
      <c r="M110" s="13"/>
      <c r="N110" s="145" t="str">
        <f>IF(A110="","",IF(posicao_contratual!$Y110="","",IF(posicao_contratual!$Y110&gt;0,"",posicao_contratual!E110)))</f>
        <v/>
      </c>
      <c r="O110" s="145" t="str">
        <f>IF(A110="","",IF(posicao_contratual!$Y110="","",IF(posicao_contratual!$Y110&gt;1,"",posicao_contratual!I110)))</f>
        <v/>
      </c>
      <c r="P110" s="145" t="str">
        <f>IF(A110="","",IF(posicao_contratual!$Y110="","",IF(posicao_contratual!$Y110&gt;2,"",posicao_contratual!M110)))</f>
        <v/>
      </c>
      <c r="Q110" s="145" t="str">
        <f>IF(A110="","",IF(posicao_contratual!$Y110="","",IF(posicao_contratual!$Y110&gt;3,"",posicao_contratual!Q110)))</f>
        <v/>
      </c>
      <c r="R110" s="145" t="str">
        <f>IF(A110="","",IF(posicao_contratual!$Y110="","",IF(posicao_contratual!$Y110&gt;4,"",posicao_contratual!U110)))</f>
        <v/>
      </c>
      <c r="S110" s="165" t="str">
        <f>IF(A110="","",posicao_contratual!G110)</f>
        <v/>
      </c>
      <c r="T110" s="165" t="str">
        <f>IF(A110="","",posicao_contratual!K110)</f>
        <v/>
      </c>
      <c r="U110" s="165" t="str">
        <f>IF(A110="","",posicao_contratual!O110)</f>
        <v/>
      </c>
      <c r="V110" s="165" t="str">
        <f>IF(A110="","",posicao_contratual!S110)</f>
        <v/>
      </c>
      <c r="W110" s="165" t="str">
        <f>IF(A110="","",posicao_contratual!W110)</f>
        <v/>
      </c>
    </row>
    <row r="111" spans="1:23" x14ac:dyDescent="0.35">
      <c r="A111" s="86" t="str">
        <f>IF(itens_Remanesc!A111="","",itens_Remanesc!A111)</f>
        <v/>
      </c>
      <c r="B111" s="85" t="str">
        <f>IF(A111="","",IF(posicao_contratual!$Y111="","",IF(posicao_contratual!$Y111&gt;0,"",posicao_contratual!G111)))</f>
        <v/>
      </c>
      <c r="C111" s="79" t="str">
        <f>IF(itens_Remanesc!A111="","",IF(posicao_contratual!$Y111="","",IF(posicao_contratual!$Y111&gt;0,"",itens_Remanesc!C111)))</f>
        <v/>
      </c>
      <c r="D111" s="79" t="str">
        <f>IF(OR($A111="",posicao_contratual!$Y111=""),"",IF(posicao_contratual!$Y111&gt;1,"",IF(posicao_contratual!$Y111=1,IF(ISNUMBER(itens_Remanesc!C111),itens_Remanesc!C111,""),IF(OR(NOT(ISNUMBER(itens_Remanesc!C111)),NOT(ISNUMBER($L$3)),NOT(ISNUMBER(INDEX($L$2:$L$6,posicao_contratual!$Y111+1)))),"",ROUND(itens_Remanesc!C111*$L$3/INDEX($L$2:$L$6,posicao_contratual!$Y111+1),2)))))</f>
        <v/>
      </c>
      <c r="E111" s="79" t="str">
        <f>IF(OR($A111="",posicao_contratual!$Y111=""),"",IF(posicao_contratual!$Y111&gt;2,"",IF(posicao_contratual!$Y111=2,IF(ISNUMBER(itens_Remanesc!C111),itens_Remanesc!C111,""),IF(OR(NOT(ISNUMBER(itens_Remanesc!C111)),NOT(ISNUMBER($L$4)),NOT(ISNUMBER(INDEX($L$2:$L$6,posicao_contratual!$Y111+1)))),"",ROUND(itens_Remanesc!C111*$L$4/INDEX($L$2:$L$6,posicao_contratual!$Y111+1),2)))))</f>
        <v/>
      </c>
      <c r="F111" s="79" t="str">
        <f>IF(OR($A111="",posicao_contratual!$Y111=""),"",IF(posicao_contratual!$Y111&gt;3,"",IF(posicao_contratual!$Y111=3,IF(ISNUMBER(itens_Remanesc!C111),itens_Remanesc!C111,""),IF(OR(NOT(ISNUMBER(itens_Remanesc!C111)),NOT(ISNUMBER($L$5)),NOT(ISNUMBER(INDEX($L$2:$L$6,posicao_contratual!$Y111+1)))),"",ROUND(itens_Remanesc!C111*$L$5/INDEX($L$2:$L$6,posicao_contratual!$Y111+1),2)))))</f>
        <v/>
      </c>
      <c r="G111" s="79" t="str">
        <f>IF(OR($A111="",posicao_contratual!$Y111=""),"",IF(posicao_contratual!$Y111&gt;4,"",IF(posicao_contratual!$Y111=4,IF(ISNUMBER(itens_Remanesc!C111),itens_Remanesc!C111,""),IF(OR(NOT(ISNUMBER(itens_Remanesc!C111)),NOT(ISNUMBER($L$6)),NOT(ISNUMBER(INDEX($L$2:$L$6,posicao_contratual!$Y111+1)))),"",ROUND(itens_Remanesc!C111*$L$6/INDEX($L$2:$L$6,posicao_contratual!$Y111+1),2)))))</f>
        <v/>
      </c>
      <c r="H111" s="114" t="str">
        <f t="shared" si="3"/>
        <v/>
      </c>
      <c r="I111" s="13"/>
      <c r="J111" s="13"/>
      <c r="K111" s="13"/>
      <c r="L111" s="13"/>
      <c r="M111" s="13"/>
      <c r="N111" s="145" t="str">
        <f>IF(A111="","",IF(posicao_contratual!$Y111="","",IF(posicao_contratual!$Y111&gt;0,"",posicao_contratual!E111)))</f>
        <v/>
      </c>
      <c r="O111" s="145" t="str">
        <f>IF(A111="","",IF(posicao_contratual!$Y111="","",IF(posicao_contratual!$Y111&gt;1,"",posicao_contratual!I111)))</f>
        <v/>
      </c>
      <c r="P111" s="145" t="str">
        <f>IF(A111="","",IF(posicao_contratual!$Y111="","",IF(posicao_contratual!$Y111&gt;2,"",posicao_contratual!M111)))</f>
        <v/>
      </c>
      <c r="Q111" s="145" t="str">
        <f>IF(A111="","",IF(posicao_contratual!$Y111="","",IF(posicao_contratual!$Y111&gt;3,"",posicao_contratual!Q111)))</f>
        <v/>
      </c>
      <c r="R111" s="145" t="str">
        <f>IF(A111="","",IF(posicao_contratual!$Y111="","",IF(posicao_contratual!$Y111&gt;4,"",posicao_contratual!U111)))</f>
        <v/>
      </c>
      <c r="S111" s="165" t="str">
        <f>IF(A111="","",posicao_contratual!G111)</f>
        <v/>
      </c>
      <c r="T111" s="165" t="str">
        <f>IF(A111="","",posicao_contratual!K111)</f>
        <v/>
      </c>
      <c r="U111" s="165" t="str">
        <f>IF(A111="","",posicao_contratual!O111)</f>
        <v/>
      </c>
      <c r="V111" s="165" t="str">
        <f>IF(A111="","",posicao_contratual!S111)</f>
        <v/>
      </c>
      <c r="W111" s="165" t="str">
        <f>IF(A111="","",posicao_contratual!W111)</f>
        <v/>
      </c>
    </row>
    <row r="112" spans="1:23" x14ac:dyDescent="0.35">
      <c r="A112" s="86" t="str">
        <f>IF(itens_Remanesc!A112="","",itens_Remanesc!A112)</f>
        <v/>
      </c>
      <c r="B112" s="85" t="str">
        <f>IF(A112="","",IF(posicao_contratual!$Y112="","",IF(posicao_contratual!$Y112&gt;0,"",posicao_contratual!G112)))</f>
        <v/>
      </c>
      <c r="C112" s="79" t="str">
        <f>IF(itens_Remanesc!A112="","",IF(posicao_contratual!$Y112="","",IF(posicao_contratual!$Y112&gt;0,"",itens_Remanesc!C112)))</f>
        <v/>
      </c>
      <c r="D112" s="79" t="str">
        <f>IF(OR($A112="",posicao_contratual!$Y112=""),"",IF(posicao_contratual!$Y112&gt;1,"",IF(posicao_contratual!$Y112=1,IF(ISNUMBER(itens_Remanesc!C112),itens_Remanesc!C112,""),IF(OR(NOT(ISNUMBER(itens_Remanesc!C112)),NOT(ISNUMBER($L$3)),NOT(ISNUMBER(INDEX($L$2:$L$6,posicao_contratual!$Y112+1)))),"",ROUND(itens_Remanesc!C112*$L$3/INDEX($L$2:$L$6,posicao_contratual!$Y112+1),2)))))</f>
        <v/>
      </c>
      <c r="E112" s="79" t="str">
        <f>IF(OR($A112="",posicao_contratual!$Y112=""),"",IF(posicao_contratual!$Y112&gt;2,"",IF(posicao_contratual!$Y112=2,IF(ISNUMBER(itens_Remanesc!C112),itens_Remanesc!C112,""),IF(OR(NOT(ISNUMBER(itens_Remanesc!C112)),NOT(ISNUMBER($L$4)),NOT(ISNUMBER(INDEX($L$2:$L$6,posicao_contratual!$Y112+1)))),"",ROUND(itens_Remanesc!C112*$L$4/INDEX($L$2:$L$6,posicao_contratual!$Y112+1),2)))))</f>
        <v/>
      </c>
      <c r="F112" s="79" t="str">
        <f>IF(OR($A112="",posicao_contratual!$Y112=""),"",IF(posicao_contratual!$Y112&gt;3,"",IF(posicao_contratual!$Y112=3,IF(ISNUMBER(itens_Remanesc!C112),itens_Remanesc!C112,""),IF(OR(NOT(ISNUMBER(itens_Remanesc!C112)),NOT(ISNUMBER($L$5)),NOT(ISNUMBER(INDEX($L$2:$L$6,posicao_contratual!$Y112+1)))),"",ROUND(itens_Remanesc!C112*$L$5/INDEX($L$2:$L$6,posicao_contratual!$Y112+1),2)))))</f>
        <v/>
      </c>
      <c r="G112" s="79" t="str">
        <f>IF(OR($A112="",posicao_contratual!$Y112=""),"",IF(posicao_contratual!$Y112&gt;4,"",IF(posicao_contratual!$Y112=4,IF(ISNUMBER(itens_Remanesc!C112),itens_Remanesc!C112,""),IF(OR(NOT(ISNUMBER(itens_Remanesc!C112)),NOT(ISNUMBER($L$6)),NOT(ISNUMBER(INDEX($L$2:$L$6,posicao_contratual!$Y112+1)))),"",ROUND(itens_Remanesc!C112*$L$6/INDEX($L$2:$L$6,posicao_contratual!$Y112+1),2)))))</f>
        <v/>
      </c>
      <c r="H112" s="114" t="str">
        <f t="shared" si="3"/>
        <v/>
      </c>
      <c r="I112" s="13"/>
      <c r="J112" s="13"/>
      <c r="K112" s="13"/>
      <c r="L112" s="13"/>
      <c r="M112" s="13"/>
      <c r="N112" s="145" t="str">
        <f>IF(A112="","",IF(posicao_contratual!$Y112="","",IF(posicao_contratual!$Y112&gt;0,"",posicao_contratual!E112)))</f>
        <v/>
      </c>
      <c r="O112" s="145" t="str">
        <f>IF(A112="","",IF(posicao_contratual!$Y112="","",IF(posicao_contratual!$Y112&gt;1,"",posicao_contratual!I112)))</f>
        <v/>
      </c>
      <c r="P112" s="145" t="str">
        <f>IF(A112="","",IF(posicao_contratual!$Y112="","",IF(posicao_contratual!$Y112&gt;2,"",posicao_contratual!M112)))</f>
        <v/>
      </c>
      <c r="Q112" s="145" t="str">
        <f>IF(A112="","",IF(posicao_contratual!$Y112="","",IF(posicao_contratual!$Y112&gt;3,"",posicao_contratual!Q112)))</f>
        <v/>
      </c>
      <c r="R112" s="145" t="str">
        <f>IF(A112="","",IF(posicao_contratual!$Y112="","",IF(posicao_contratual!$Y112&gt;4,"",posicao_contratual!U112)))</f>
        <v/>
      </c>
      <c r="S112" s="165" t="str">
        <f>IF(A112="","",posicao_contratual!G112)</f>
        <v/>
      </c>
      <c r="T112" s="165" t="str">
        <f>IF(A112="","",posicao_contratual!K112)</f>
        <v/>
      </c>
      <c r="U112" s="165" t="str">
        <f>IF(A112="","",posicao_contratual!O112)</f>
        <v/>
      </c>
      <c r="V112" s="165" t="str">
        <f>IF(A112="","",posicao_contratual!S112)</f>
        <v/>
      </c>
      <c r="W112" s="165" t="str">
        <f>IF(A112="","",posicao_contratual!W112)</f>
        <v/>
      </c>
    </row>
    <row r="113" spans="1:23" x14ac:dyDescent="0.35">
      <c r="A113" s="86" t="str">
        <f>IF(itens_Remanesc!A113="","",itens_Remanesc!A113)</f>
        <v/>
      </c>
      <c r="B113" s="85" t="str">
        <f>IF(A113="","",IF(posicao_contratual!$Y113="","",IF(posicao_contratual!$Y113&gt;0,"",posicao_contratual!G113)))</f>
        <v/>
      </c>
      <c r="C113" s="79" t="str">
        <f>IF(itens_Remanesc!A113="","",IF(posicao_contratual!$Y113="","",IF(posicao_contratual!$Y113&gt;0,"",itens_Remanesc!C113)))</f>
        <v/>
      </c>
      <c r="D113" s="79" t="str">
        <f>IF(OR($A113="",posicao_contratual!$Y113=""),"",IF(posicao_contratual!$Y113&gt;1,"",IF(posicao_contratual!$Y113=1,IF(ISNUMBER(itens_Remanesc!C113),itens_Remanesc!C113,""),IF(OR(NOT(ISNUMBER(itens_Remanesc!C113)),NOT(ISNUMBER($L$3)),NOT(ISNUMBER(INDEX($L$2:$L$6,posicao_contratual!$Y113+1)))),"",ROUND(itens_Remanesc!C113*$L$3/INDEX($L$2:$L$6,posicao_contratual!$Y113+1),2)))))</f>
        <v/>
      </c>
      <c r="E113" s="79" t="str">
        <f>IF(OR($A113="",posicao_contratual!$Y113=""),"",IF(posicao_contratual!$Y113&gt;2,"",IF(posicao_contratual!$Y113=2,IF(ISNUMBER(itens_Remanesc!C113),itens_Remanesc!C113,""),IF(OR(NOT(ISNUMBER(itens_Remanesc!C113)),NOT(ISNUMBER($L$4)),NOT(ISNUMBER(INDEX($L$2:$L$6,posicao_contratual!$Y113+1)))),"",ROUND(itens_Remanesc!C113*$L$4/INDEX($L$2:$L$6,posicao_contratual!$Y113+1),2)))))</f>
        <v/>
      </c>
      <c r="F113" s="79" t="str">
        <f>IF(OR($A113="",posicao_contratual!$Y113=""),"",IF(posicao_contratual!$Y113&gt;3,"",IF(posicao_contratual!$Y113=3,IF(ISNUMBER(itens_Remanesc!C113),itens_Remanesc!C113,""),IF(OR(NOT(ISNUMBER(itens_Remanesc!C113)),NOT(ISNUMBER($L$5)),NOT(ISNUMBER(INDEX($L$2:$L$6,posicao_contratual!$Y113+1)))),"",ROUND(itens_Remanesc!C113*$L$5/INDEX($L$2:$L$6,posicao_contratual!$Y113+1),2)))))</f>
        <v/>
      </c>
      <c r="G113" s="79" t="str">
        <f>IF(OR($A113="",posicao_contratual!$Y113=""),"",IF(posicao_contratual!$Y113&gt;4,"",IF(posicao_contratual!$Y113=4,IF(ISNUMBER(itens_Remanesc!C113),itens_Remanesc!C113,""),IF(OR(NOT(ISNUMBER(itens_Remanesc!C113)),NOT(ISNUMBER($L$6)),NOT(ISNUMBER(INDEX($L$2:$L$6,posicao_contratual!$Y113+1)))),"",ROUND(itens_Remanesc!C113*$L$6/INDEX($L$2:$L$6,posicao_contratual!$Y113+1),2)))))</f>
        <v/>
      </c>
      <c r="H113" s="114" t="str">
        <f t="shared" si="3"/>
        <v/>
      </c>
      <c r="I113" s="13"/>
      <c r="J113" s="13"/>
      <c r="K113" s="13"/>
      <c r="L113" s="13"/>
      <c r="M113" s="13"/>
      <c r="N113" s="145" t="str">
        <f>IF(A113="","",IF(posicao_contratual!$Y113="","",IF(posicao_contratual!$Y113&gt;0,"",posicao_contratual!E113)))</f>
        <v/>
      </c>
      <c r="O113" s="145" t="str">
        <f>IF(A113="","",IF(posicao_contratual!$Y113="","",IF(posicao_contratual!$Y113&gt;1,"",posicao_contratual!I113)))</f>
        <v/>
      </c>
      <c r="P113" s="145" t="str">
        <f>IF(A113="","",IF(posicao_contratual!$Y113="","",IF(posicao_contratual!$Y113&gt;2,"",posicao_contratual!M113)))</f>
        <v/>
      </c>
      <c r="Q113" s="145" t="str">
        <f>IF(A113="","",IF(posicao_contratual!$Y113="","",IF(posicao_contratual!$Y113&gt;3,"",posicao_contratual!Q113)))</f>
        <v/>
      </c>
      <c r="R113" s="145" t="str">
        <f>IF(A113="","",IF(posicao_contratual!$Y113="","",IF(posicao_contratual!$Y113&gt;4,"",posicao_contratual!U113)))</f>
        <v/>
      </c>
      <c r="S113" s="165" t="str">
        <f>IF(A113="","",posicao_contratual!G113)</f>
        <v/>
      </c>
      <c r="T113" s="165" t="str">
        <f>IF(A113="","",posicao_contratual!K113)</f>
        <v/>
      </c>
      <c r="U113" s="165" t="str">
        <f>IF(A113="","",posicao_contratual!O113)</f>
        <v/>
      </c>
      <c r="V113" s="165" t="str">
        <f>IF(A113="","",posicao_contratual!S113)</f>
        <v/>
      </c>
      <c r="W113" s="165" t="str">
        <f>IF(A113="","",posicao_contratual!W113)</f>
        <v/>
      </c>
    </row>
    <row r="114" spans="1:23" x14ac:dyDescent="0.35">
      <c r="A114" s="86" t="str">
        <f>IF(itens_Remanesc!A114="","",itens_Remanesc!A114)</f>
        <v/>
      </c>
      <c r="B114" s="85" t="str">
        <f>IF(A114="","",IF(posicao_contratual!$Y114="","",IF(posicao_contratual!$Y114&gt;0,"",posicao_contratual!G114)))</f>
        <v/>
      </c>
      <c r="C114" s="79" t="str">
        <f>IF(itens_Remanesc!A114="","",IF(posicao_contratual!$Y114="","",IF(posicao_contratual!$Y114&gt;0,"",itens_Remanesc!C114)))</f>
        <v/>
      </c>
      <c r="D114" s="79" t="str">
        <f>IF(OR($A114="",posicao_contratual!$Y114=""),"",IF(posicao_contratual!$Y114&gt;1,"",IF(posicao_contratual!$Y114=1,IF(ISNUMBER(itens_Remanesc!C114),itens_Remanesc!C114,""),IF(OR(NOT(ISNUMBER(itens_Remanesc!C114)),NOT(ISNUMBER($L$3)),NOT(ISNUMBER(INDEX($L$2:$L$6,posicao_contratual!$Y114+1)))),"",ROUND(itens_Remanesc!C114*$L$3/INDEX($L$2:$L$6,posicao_contratual!$Y114+1),2)))))</f>
        <v/>
      </c>
      <c r="E114" s="79" t="str">
        <f>IF(OR($A114="",posicao_contratual!$Y114=""),"",IF(posicao_contratual!$Y114&gt;2,"",IF(posicao_contratual!$Y114=2,IF(ISNUMBER(itens_Remanesc!C114),itens_Remanesc!C114,""),IF(OR(NOT(ISNUMBER(itens_Remanesc!C114)),NOT(ISNUMBER($L$4)),NOT(ISNUMBER(INDEX($L$2:$L$6,posicao_contratual!$Y114+1)))),"",ROUND(itens_Remanesc!C114*$L$4/INDEX($L$2:$L$6,posicao_contratual!$Y114+1),2)))))</f>
        <v/>
      </c>
      <c r="F114" s="79" t="str">
        <f>IF(OR($A114="",posicao_contratual!$Y114=""),"",IF(posicao_contratual!$Y114&gt;3,"",IF(posicao_contratual!$Y114=3,IF(ISNUMBER(itens_Remanesc!C114),itens_Remanesc!C114,""),IF(OR(NOT(ISNUMBER(itens_Remanesc!C114)),NOT(ISNUMBER($L$5)),NOT(ISNUMBER(INDEX($L$2:$L$6,posicao_contratual!$Y114+1)))),"",ROUND(itens_Remanesc!C114*$L$5/INDEX($L$2:$L$6,posicao_contratual!$Y114+1),2)))))</f>
        <v/>
      </c>
      <c r="G114" s="79" t="str">
        <f>IF(OR($A114="",posicao_contratual!$Y114=""),"",IF(posicao_contratual!$Y114&gt;4,"",IF(posicao_contratual!$Y114=4,IF(ISNUMBER(itens_Remanesc!C114),itens_Remanesc!C114,""),IF(OR(NOT(ISNUMBER(itens_Remanesc!C114)),NOT(ISNUMBER($L$6)),NOT(ISNUMBER(INDEX($L$2:$L$6,posicao_contratual!$Y114+1)))),"",ROUND(itens_Remanesc!C114*$L$6/INDEX($L$2:$L$6,posicao_contratual!$Y114+1),2)))))</f>
        <v/>
      </c>
      <c r="H114" s="114" t="str">
        <f t="shared" si="3"/>
        <v/>
      </c>
      <c r="I114" s="13"/>
      <c r="J114" s="13"/>
      <c r="K114" s="13"/>
      <c r="L114" s="13"/>
      <c r="M114" s="13"/>
      <c r="N114" s="145" t="str">
        <f>IF(A114="","",IF(posicao_contratual!$Y114="","",IF(posicao_contratual!$Y114&gt;0,"",posicao_contratual!E114)))</f>
        <v/>
      </c>
      <c r="O114" s="145" t="str">
        <f>IF(A114="","",IF(posicao_contratual!$Y114="","",IF(posicao_contratual!$Y114&gt;1,"",posicao_contratual!I114)))</f>
        <v/>
      </c>
      <c r="P114" s="145" t="str">
        <f>IF(A114="","",IF(posicao_contratual!$Y114="","",IF(posicao_contratual!$Y114&gt;2,"",posicao_contratual!M114)))</f>
        <v/>
      </c>
      <c r="Q114" s="145" t="str">
        <f>IF(A114="","",IF(posicao_contratual!$Y114="","",IF(posicao_contratual!$Y114&gt;3,"",posicao_contratual!Q114)))</f>
        <v/>
      </c>
      <c r="R114" s="145" t="str">
        <f>IF(A114="","",IF(posicao_contratual!$Y114="","",IF(posicao_contratual!$Y114&gt;4,"",posicao_contratual!U114)))</f>
        <v/>
      </c>
      <c r="S114" s="165" t="str">
        <f>IF(A114="","",posicao_contratual!G114)</f>
        <v/>
      </c>
      <c r="T114" s="165" t="str">
        <f>IF(A114="","",posicao_contratual!K114)</f>
        <v/>
      </c>
      <c r="U114" s="165" t="str">
        <f>IF(A114="","",posicao_contratual!O114)</f>
        <v/>
      </c>
      <c r="V114" s="165" t="str">
        <f>IF(A114="","",posicao_contratual!S114)</f>
        <v/>
      </c>
      <c r="W114" s="165" t="str">
        <f>IF(A114="","",posicao_contratual!W114)</f>
        <v/>
      </c>
    </row>
    <row r="115" spans="1:23" x14ac:dyDescent="0.35">
      <c r="A115" s="86" t="str">
        <f>IF(itens_Remanesc!A115="","",itens_Remanesc!A115)</f>
        <v/>
      </c>
      <c r="B115" s="85" t="str">
        <f>IF(A115="","",IF(posicao_contratual!$Y115="","",IF(posicao_contratual!$Y115&gt;0,"",posicao_contratual!G115)))</f>
        <v/>
      </c>
      <c r="C115" s="79" t="str">
        <f>IF(itens_Remanesc!A115="","",IF(posicao_contratual!$Y115="","",IF(posicao_contratual!$Y115&gt;0,"",itens_Remanesc!C115)))</f>
        <v/>
      </c>
      <c r="D115" s="79" t="str">
        <f>IF(OR($A115="",posicao_contratual!$Y115=""),"",IF(posicao_contratual!$Y115&gt;1,"",IF(posicao_contratual!$Y115=1,IF(ISNUMBER(itens_Remanesc!C115),itens_Remanesc!C115,""),IF(OR(NOT(ISNUMBER(itens_Remanesc!C115)),NOT(ISNUMBER($L$3)),NOT(ISNUMBER(INDEX($L$2:$L$6,posicao_contratual!$Y115+1)))),"",ROUND(itens_Remanesc!C115*$L$3/INDEX($L$2:$L$6,posicao_contratual!$Y115+1),2)))))</f>
        <v/>
      </c>
      <c r="E115" s="79" t="str">
        <f>IF(OR($A115="",posicao_contratual!$Y115=""),"",IF(posicao_contratual!$Y115&gt;2,"",IF(posicao_contratual!$Y115=2,IF(ISNUMBER(itens_Remanesc!C115),itens_Remanesc!C115,""),IF(OR(NOT(ISNUMBER(itens_Remanesc!C115)),NOT(ISNUMBER($L$4)),NOT(ISNUMBER(INDEX($L$2:$L$6,posicao_contratual!$Y115+1)))),"",ROUND(itens_Remanesc!C115*$L$4/INDEX($L$2:$L$6,posicao_contratual!$Y115+1),2)))))</f>
        <v/>
      </c>
      <c r="F115" s="79" t="str">
        <f>IF(OR($A115="",posicao_contratual!$Y115=""),"",IF(posicao_contratual!$Y115&gt;3,"",IF(posicao_contratual!$Y115=3,IF(ISNUMBER(itens_Remanesc!C115),itens_Remanesc!C115,""),IF(OR(NOT(ISNUMBER(itens_Remanesc!C115)),NOT(ISNUMBER($L$5)),NOT(ISNUMBER(INDEX($L$2:$L$6,posicao_contratual!$Y115+1)))),"",ROUND(itens_Remanesc!C115*$L$5/INDEX($L$2:$L$6,posicao_contratual!$Y115+1),2)))))</f>
        <v/>
      </c>
      <c r="G115" s="79" t="str">
        <f>IF(OR($A115="",posicao_contratual!$Y115=""),"",IF(posicao_contratual!$Y115&gt;4,"",IF(posicao_contratual!$Y115=4,IF(ISNUMBER(itens_Remanesc!C115),itens_Remanesc!C115,""),IF(OR(NOT(ISNUMBER(itens_Remanesc!C115)),NOT(ISNUMBER($L$6)),NOT(ISNUMBER(INDEX($L$2:$L$6,posicao_contratual!$Y115+1)))),"",ROUND(itens_Remanesc!C115*$L$6/INDEX($L$2:$L$6,posicao_contratual!$Y115+1),2)))))</f>
        <v/>
      </c>
      <c r="H115" s="114" t="str">
        <f t="shared" si="3"/>
        <v/>
      </c>
      <c r="I115" s="13"/>
      <c r="J115" s="13"/>
      <c r="K115" s="13"/>
      <c r="L115" s="13"/>
      <c r="M115" s="13"/>
      <c r="N115" s="145" t="str">
        <f>IF(A115="","",IF(posicao_contratual!$Y115="","",IF(posicao_contratual!$Y115&gt;0,"",posicao_contratual!E115)))</f>
        <v/>
      </c>
      <c r="O115" s="145" t="str">
        <f>IF(A115="","",IF(posicao_contratual!$Y115="","",IF(posicao_contratual!$Y115&gt;1,"",posicao_contratual!I115)))</f>
        <v/>
      </c>
      <c r="P115" s="145" t="str">
        <f>IF(A115="","",IF(posicao_contratual!$Y115="","",IF(posicao_contratual!$Y115&gt;2,"",posicao_contratual!M115)))</f>
        <v/>
      </c>
      <c r="Q115" s="145" t="str">
        <f>IF(A115="","",IF(posicao_contratual!$Y115="","",IF(posicao_contratual!$Y115&gt;3,"",posicao_contratual!Q115)))</f>
        <v/>
      </c>
      <c r="R115" s="145" t="str">
        <f>IF(A115="","",IF(posicao_contratual!$Y115="","",IF(posicao_contratual!$Y115&gt;4,"",posicao_contratual!U115)))</f>
        <v/>
      </c>
      <c r="S115" s="165" t="str">
        <f>IF(A115="","",posicao_contratual!G115)</f>
        <v/>
      </c>
      <c r="T115" s="165" t="str">
        <f>IF(A115="","",posicao_contratual!K115)</f>
        <v/>
      </c>
      <c r="U115" s="165" t="str">
        <f>IF(A115="","",posicao_contratual!O115)</f>
        <v/>
      </c>
      <c r="V115" s="165" t="str">
        <f>IF(A115="","",posicao_contratual!S115)</f>
        <v/>
      </c>
      <c r="W115" s="165" t="str">
        <f>IF(A115="","",posicao_contratual!W115)</f>
        <v/>
      </c>
    </row>
    <row r="116" spans="1:23" x14ac:dyDescent="0.35">
      <c r="A116" s="86" t="str">
        <f>IF(itens_Remanesc!A116="","",itens_Remanesc!A116)</f>
        <v/>
      </c>
      <c r="B116" s="85" t="str">
        <f>IF(A116="","",IF(posicao_contratual!$Y116="","",IF(posicao_contratual!$Y116&gt;0,"",posicao_contratual!G116)))</f>
        <v/>
      </c>
      <c r="C116" s="79" t="str">
        <f>IF(itens_Remanesc!A116="","",IF(posicao_contratual!$Y116="","",IF(posicao_contratual!$Y116&gt;0,"",itens_Remanesc!C116)))</f>
        <v/>
      </c>
      <c r="D116" s="79" t="str">
        <f>IF(OR($A116="",posicao_contratual!$Y116=""),"",IF(posicao_contratual!$Y116&gt;1,"",IF(posicao_contratual!$Y116=1,IF(ISNUMBER(itens_Remanesc!C116),itens_Remanesc!C116,""),IF(OR(NOT(ISNUMBER(itens_Remanesc!C116)),NOT(ISNUMBER($L$3)),NOT(ISNUMBER(INDEX($L$2:$L$6,posicao_contratual!$Y116+1)))),"",ROUND(itens_Remanesc!C116*$L$3/INDEX($L$2:$L$6,posicao_contratual!$Y116+1),2)))))</f>
        <v/>
      </c>
      <c r="E116" s="79" t="str">
        <f>IF(OR($A116="",posicao_contratual!$Y116=""),"",IF(posicao_contratual!$Y116&gt;2,"",IF(posicao_contratual!$Y116=2,IF(ISNUMBER(itens_Remanesc!C116),itens_Remanesc!C116,""),IF(OR(NOT(ISNUMBER(itens_Remanesc!C116)),NOT(ISNUMBER($L$4)),NOT(ISNUMBER(INDEX($L$2:$L$6,posicao_contratual!$Y116+1)))),"",ROUND(itens_Remanesc!C116*$L$4/INDEX($L$2:$L$6,posicao_contratual!$Y116+1),2)))))</f>
        <v/>
      </c>
      <c r="F116" s="79" t="str">
        <f>IF(OR($A116="",posicao_contratual!$Y116=""),"",IF(posicao_contratual!$Y116&gt;3,"",IF(posicao_contratual!$Y116=3,IF(ISNUMBER(itens_Remanesc!C116),itens_Remanesc!C116,""),IF(OR(NOT(ISNUMBER(itens_Remanesc!C116)),NOT(ISNUMBER($L$5)),NOT(ISNUMBER(INDEX($L$2:$L$6,posicao_contratual!$Y116+1)))),"",ROUND(itens_Remanesc!C116*$L$5/INDEX($L$2:$L$6,posicao_contratual!$Y116+1),2)))))</f>
        <v/>
      </c>
      <c r="G116" s="79" t="str">
        <f>IF(OR($A116="",posicao_contratual!$Y116=""),"",IF(posicao_contratual!$Y116&gt;4,"",IF(posicao_contratual!$Y116=4,IF(ISNUMBER(itens_Remanesc!C116),itens_Remanesc!C116,""),IF(OR(NOT(ISNUMBER(itens_Remanesc!C116)),NOT(ISNUMBER($L$6)),NOT(ISNUMBER(INDEX($L$2:$L$6,posicao_contratual!$Y116+1)))),"",ROUND(itens_Remanesc!C116*$L$6/INDEX($L$2:$L$6,posicao_contratual!$Y116+1),2)))))</f>
        <v/>
      </c>
      <c r="H116" s="114" t="str">
        <f t="shared" si="3"/>
        <v/>
      </c>
      <c r="I116" s="13"/>
      <c r="J116" s="13"/>
      <c r="K116" s="13"/>
      <c r="L116" s="13"/>
      <c r="M116" s="13"/>
      <c r="N116" s="145" t="str">
        <f>IF(A116="","",IF(posicao_contratual!$Y116="","",IF(posicao_contratual!$Y116&gt;0,"",posicao_contratual!E116)))</f>
        <v/>
      </c>
      <c r="O116" s="145" t="str">
        <f>IF(A116="","",IF(posicao_contratual!$Y116="","",IF(posicao_contratual!$Y116&gt;1,"",posicao_contratual!I116)))</f>
        <v/>
      </c>
      <c r="P116" s="145" t="str">
        <f>IF(A116="","",IF(posicao_contratual!$Y116="","",IF(posicao_contratual!$Y116&gt;2,"",posicao_contratual!M116)))</f>
        <v/>
      </c>
      <c r="Q116" s="145" t="str">
        <f>IF(A116="","",IF(posicao_contratual!$Y116="","",IF(posicao_contratual!$Y116&gt;3,"",posicao_contratual!Q116)))</f>
        <v/>
      </c>
      <c r="R116" s="145" t="str">
        <f>IF(A116="","",IF(posicao_contratual!$Y116="","",IF(posicao_contratual!$Y116&gt;4,"",posicao_contratual!U116)))</f>
        <v/>
      </c>
      <c r="S116" s="165" t="str">
        <f>IF(A116="","",posicao_contratual!G116)</f>
        <v/>
      </c>
      <c r="T116" s="165" t="str">
        <f>IF(A116="","",posicao_contratual!K116)</f>
        <v/>
      </c>
      <c r="U116" s="165" t="str">
        <f>IF(A116="","",posicao_contratual!O116)</f>
        <v/>
      </c>
      <c r="V116" s="165" t="str">
        <f>IF(A116="","",posicao_contratual!S116)</f>
        <v/>
      </c>
      <c r="W116" s="165" t="str">
        <f>IF(A116="","",posicao_contratual!W116)</f>
        <v/>
      </c>
    </row>
    <row r="117" spans="1:23" x14ac:dyDescent="0.35">
      <c r="A117" s="86" t="str">
        <f>IF(itens_Remanesc!A117="","",itens_Remanesc!A117)</f>
        <v/>
      </c>
      <c r="B117" s="85" t="str">
        <f>IF(A117="","",IF(posicao_contratual!$Y117="","",IF(posicao_contratual!$Y117&gt;0,"",posicao_contratual!G117)))</f>
        <v/>
      </c>
      <c r="C117" s="79" t="str">
        <f>IF(itens_Remanesc!A117="","",IF(posicao_contratual!$Y117="","",IF(posicao_contratual!$Y117&gt;0,"",itens_Remanesc!C117)))</f>
        <v/>
      </c>
      <c r="D117" s="79" t="str">
        <f>IF(OR($A117="",posicao_contratual!$Y117=""),"",IF(posicao_contratual!$Y117&gt;1,"",IF(posicao_contratual!$Y117=1,IF(ISNUMBER(itens_Remanesc!C117),itens_Remanesc!C117,""),IF(OR(NOT(ISNUMBER(itens_Remanesc!C117)),NOT(ISNUMBER($L$3)),NOT(ISNUMBER(INDEX($L$2:$L$6,posicao_contratual!$Y117+1)))),"",ROUND(itens_Remanesc!C117*$L$3/INDEX($L$2:$L$6,posicao_contratual!$Y117+1),2)))))</f>
        <v/>
      </c>
      <c r="E117" s="79" t="str">
        <f>IF(OR($A117="",posicao_contratual!$Y117=""),"",IF(posicao_contratual!$Y117&gt;2,"",IF(posicao_contratual!$Y117=2,IF(ISNUMBER(itens_Remanesc!C117),itens_Remanesc!C117,""),IF(OR(NOT(ISNUMBER(itens_Remanesc!C117)),NOT(ISNUMBER($L$4)),NOT(ISNUMBER(INDEX($L$2:$L$6,posicao_contratual!$Y117+1)))),"",ROUND(itens_Remanesc!C117*$L$4/INDEX($L$2:$L$6,posicao_contratual!$Y117+1),2)))))</f>
        <v/>
      </c>
      <c r="F117" s="79" t="str">
        <f>IF(OR($A117="",posicao_contratual!$Y117=""),"",IF(posicao_contratual!$Y117&gt;3,"",IF(posicao_contratual!$Y117=3,IF(ISNUMBER(itens_Remanesc!C117),itens_Remanesc!C117,""),IF(OR(NOT(ISNUMBER(itens_Remanesc!C117)),NOT(ISNUMBER($L$5)),NOT(ISNUMBER(INDEX($L$2:$L$6,posicao_contratual!$Y117+1)))),"",ROUND(itens_Remanesc!C117*$L$5/INDEX($L$2:$L$6,posicao_contratual!$Y117+1),2)))))</f>
        <v/>
      </c>
      <c r="G117" s="79" t="str">
        <f>IF(OR($A117="",posicao_contratual!$Y117=""),"",IF(posicao_contratual!$Y117&gt;4,"",IF(posicao_contratual!$Y117=4,IF(ISNUMBER(itens_Remanesc!C117),itens_Remanesc!C117,""),IF(OR(NOT(ISNUMBER(itens_Remanesc!C117)),NOT(ISNUMBER($L$6)),NOT(ISNUMBER(INDEX($L$2:$L$6,posicao_contratual!$Y117+1)))),"",ROUND(itens_Remanesc!C117*$L$6/INDEX($L$2:$L$6,posicao_contratual!$Y117+1),2)))))</f>
        <v/>
      </c>
      <c r="H117" s="114" t="str">
        <f t="shared" si="3"/>
        <v/>
      </c>
      <c r="I117" s="13"/>
      <c r="J117" s="13"/>
      <c r="K117" s="13"/>
      <c r="L117" s="13"/>
      <c r="M117" s="13"/>
      <c r="N117" s="145" t="str">
        <f>IF(A117="","",IF(posicao_contratual!$Y117="","",IF(posicao_contratual!$Y117&gt;0,"",posicao_contratual!E117)))</f>
        <v/>
      </c>
      <c r="O117" s="145" t="str">
        <f>IF(A117="","",IF(posicao_contratual!$Y117="","",IF(posicao_contratual!$Y117&gt;1,"",posicao_contratual!I117)))</f>
        <v/>
      </c>
      <c r="P117" s="145" t="str">
        <f>IF(A117="","",IF(posicao_contratual!$Y117="","",IF(posicao_contratual!$Y117&gt;2,"",posicao_contratual!M117)))</f>
        <v/>
      </c>
      <c r="Q117" s="145" t="str">
        <f>IF(A117="","",IF(posicao_contratual!$Y117="","",IF(posicao_contratual!$Y117&gt;3,"",posicao_contratual!Q117)))</f>
        <v/>
      </c>
      <c r="R117" s="145" t="str">
        <f>IF(A117="","",IF(posicao_contratual!$Y117="","",IF(posicao_contratual!$Y117&gt;4,"",posicao_contratual!U117)))</f>
        <v/>
      </c>
      <c r="S117" s="165" t="str">
        <f>IF(A117="","",posicao_contratual!G117)</f>
        <v/>
      </c>
      <c r="T117" s="165" t="str">
        <f>IF(A117="","",posicao_contratual!K117)</f>
        <v/>
      </c>
      <c r="U117" s="165" t="str">
        <f>IF(A117="","",posicao_contratual!O117)</f>
        <v/>
      </c>
      <c r="V117" s="165" t="str">
        <f>IF(A117="","",posicao_contratual!S117)</f>
        <v/>
      </c>
      <c r="W117" s="165" t="str">
        <f>IF(A117="","",posicao_contratual!W117)</f>
        <v/>
      </c>
    </row>
    <row r="118" spans="1:23" x14ac:dyDescent="0.35">
      <c r="A118" s="86" t="str">
        <f>IF(itens_Remanesc!A118="","",itens_Remanesc!A118)</f>
        <v/>
      </c>
      <c r="B118" s="85" t="str">
        <f>IF(A118="","",IF(posicao_contratual!$Y118="","",IF(posicao_contratual!$Y118&gt;0,"",posicao_contratual!G118)))</f>
        <v/>
      </c>
      <c r="C118" s="79" t="str">
        <f>IF(itens_Remanesc!A118="","",IF(posicao_contratual!$Y118="","",IF(posicao_contratual!$Y118&gt;0,"",itens_Remanesc!C118)))</f>
        <v/>
      </c>
      <c r="D118" s="79" t="str">
        <f>IF(OR($A118="",posicao_contratual!$Y118=""),"",IF(posicao_contratual!$Y118&gt;1,"",IF(posicao_contratual!$Y118=1,IF(ISNUMBER(itens_Remanesc!C118),itens_Remanesc!C118,""),IF(OR(NOT(ISNUMBER(itens_Remanesc!C118)),NOT(ISNUMBER($L$3)),NOT(ISNUMBER(INDEX($L$2:$L$6,posicao_contratual!$Y118+1)))),"",ROUND(itens_Remanesc!C118*$L$3/INDEX($L$2:$L$6,posicao_contratual!$Y118+1),2)))))</f>
        <v/>
      </c>
      <c r="E118" s="79" t="str">
        <f>IF(OR($A118="",posicao_contratual!$Y118=""),"",IF(posicao_contratual!$Y118&gt;2,"",IF(posicao_contratual!$Y118=2,IF(ISNUMBER(itens_Remanesc!C118),itens_Remanesc!C118,""),IF(OR(NOT(ISNUMBER(itens_Remanesc!C118)),NOT(ISNUMBER($L$4)),NOT(ISNUMBER(INDEX($L$2:$L$6,posicao_contratual!$Y118+1)))),"",ROUND(itens_Remanesc!C118*$L$4/INDEX($L$2:$L$6,posicao_contratual!$Y118+1),2)))))</f>
        <v/>
      </c>
      <c r="F118" s="79" t="str">
        <f>IF(OR($A118="",posicao_contratual!$Y118=""),"",IF(posicao_contratual!$Y118&gt;3,"",IF(posicao_contratual!$Y118=3,IF(ISNUMBER(itens_Remanesc!C118),itens_Remanesc!C118,""),IF(OR(NOT(ISNUMBER(itens_Remanesc!C118)),NOT(ISNUMBER($L$5)),NOT(ISNUMBER(INDEX($L$2:$L$6,posicao_contratual!$Y118+1)))),"",ROUND(itens_Remanesc!C118*$L$5/INDEX($L$2:$L$6,posicao_contratual!$Y118+1),2)))))</f>
        <v/>
      </c>
      <c r="G118" s="79" t="str">
        <f>IF(OR($A118="",posicao_contratual!$Y118=""),"",IF(posicao_contratual!$Y118&gt;4,"",IF(posicao_contratual!$Y118=4,IF(ISNUMBER(itens_Remanesc!C118),itens_Remanesc!C118,""),IF(OR(NOT(ISNUMBER(itens_Remanesc!C118)),NOT(ISNUMBER($L$6)),NOT(ISNUMBER(INDEX($L$2:$L$6,posicao_contratual!$Y118+1)))),"",ROUND(itens_Remanesc!C118*$L$6/INDEX($L$2:$L$6,posicao_contratual!$Y118+1),2)))))</f>
        <v/>
      </c>
      <c r="H118" s="114" t="str">
        <f t="shared" si="3"/>
        <v/>
      </c>
      <c r="I118" s="13"/>
      <c r="J118" s="13"/>
      <c r="K118" s="13"/>
      <c r="L118" s="13"/>
      <c r="M118" s="13"/>
      <c r="N118" s="145" t="str">
        <f>IF(A118="","",IF(posicao_contratual!$Y118="","",IF(posicao_contratual!$Y118&gt;0,"",posicao_contratual!E118)))</f>
        <v/>
      </c>
      <c r="O118" s="145" t="str">
        <f>IF(A118="","",IF(posicao_contratual!$Y118="","",IF(posicao_contratual!$Y118&gt;1,"",posicao_contratual!I118)))</f>
        <v/>
      </c>
      <c r="P118" s="145" t="str">
        <f>IF(A118="","",IF(posicao_contratual!$Y118="","",IF(posicao_contratual!$Y118&gt;2,"",posicao_contratual!M118)))</f>
        <v/>
      </c>
      <c r="Q118" s="145" t="str">
        <f>IF(A118="","",IF(posicao_contratual!$Y118="","",IF(posicao_contratual!$Y118&gt;3,"",posicao_contratual!Q118)))</f>
        <v/>
      </c>
      <c r="R118" s="145" t="str">
        <f>IF(A118="","",IF(posicao_contratual!$Y118="","",IF(posicao_contratual!$Y118&gt;4,"",posicao_contratual!U118)))</f>
        <v/>
      </c>
      <c r="S118" s="165" t="str">
        <f>IF(A118="","",posicao_contratual!G118)</f>
        <v/>
      </c>
      <c r="T118" s="165" t="str">
        <f>IF(A118="","",posicao_contratual!K118)</f>
        <v/>
      </c>
      <c r="U118" s="165" t="str">
        <f>IF(A118="","",posicao_contratual!O118)</f>
        <v/>
      </c>
      <c r="V118" s="165" t="str">
        <f>IF(A118="","",posicao_contratual!S118)</f>
        <v/>
      </c>
      <c r="W118" s="165" t="str">
        <f>IF(A118="","",posicao_contratual!W118)</f>
        <v/>
      </c>
    </row>
    <row r="119" spans="1:23" x14ac:dyDescent="0.35">
      <c r="A119" s="86" t="str">
        <f>IF(itens_Remanesc!A119="","",itens_Remanesc!A119)</f>
        <v/>
      </c>
      <c r="B119" s="85" t="str">
        <f>IF(A119="","",IF(posicao_contratual!$Y119="","",IF(posicao_contratual!$Y119&gt;0,"",posicao_contratual!G119)))</f>
        <v/>
      </c>
      <c r="C119" s="79" t="str">
        <f>IF(itens_Remanesc!A119="","",IF(posicao_contratual!$Y119="","",IF(posicao_contratual!$Y119&gt;0,"",itens_Remanesc!C119)))</f>
        <v/>
      </c>
      <c r="D119" s="79" t="str">
        <f>IF(OR($A119="",posicao_contratual!$Y119=""),"",IF(posicao_contratual!$Y119&gt;1,"",IF(posicao_contratual!$Y119=1,IF(ISNUMBER(itens_Remanesc!C119),itens_Remanesc!C119,""),IF(OR(NOT(ISNUMBER(itens_Remanesc!C119)),NOT(ISNUMBER($L$3)),NOT(ISNUMBER(INDEX($L$2:$L$6,posicao_contratual!$Y119+1)))),"",ROUND(itens_Remanesc!C119*$L$3/INDEX($L$2:$L$6,posicao_contratual!$Y119+1),2)))))</f>
        <v/>
      </c>
      <c r="E119" s="79" t="str">
        <f>IF(OR($A119="",posicao_contratual!$Y119=""),"",IF(posicao_contratual!$Y119&gt;2,"",IF(posicao_contratual!$Y119=2,IF(ISNUMBER(itens_Remanesc!C119),itens_Remanesc!C119,""),IF(OR(NOT(ISNUMBER(itens_Remanesc!C119)),NOT(ISNUMBER($L$4)),NOT(ISNUMBER(INDEX($L$2:$L$6,posicao_contratual!$Y119+1)))),"",ROUND(itens_Remanesc!C119*$L$4/INDEX($L$2:$L$6,posicao_contratual!$Y119+1),2)))))</f>
        <v/>
      </c>
      <c r="F119" s="79" t="str">
        <f>IF(OR($A119="",posicao_contratual!$Y119=""),"",IF(posicao_contratual!$Y119&gt;3,"",IF(posicao_contratual!$Y119=3,IF(ISNUMBER(itens_Remanesc!C119),itens_Remanesc!C119,""),IF(OR(NOT(ISNUMBER(itens_Remanesc!C119)),NOT(ISNUMBER($L$5)),NOT(ISNUMBER(INDEX($L$2:$L$6,posicao_contratual!$Y119+1)))),"",ROUND(itens_Remanesc!C119*$L$5/INDEX($L$2:$L$6,posicao_contratual!$Y119+1),2)))))</f>
        <v/>
      </c>
      <c r="G119" s="79" t="str">
        <f>IF(OR($A119="",posicao_contratual!$Y119=""),"",IF(posicao_contratual!$Y119&gt;4,"",IF(posicao_contratual!$Y119=4,IF(ISNUMBER(itens_Remanesc!C119),itens_Remanesc!C119,""),IF(OR(NOT(ISNUMBER(itens_Remanesc!C119)),NOT(ISNUMBER($L$6)),NOT(ISNUMBER(INDEX($L$2:$L$6,posicao_contratual!$Y119+1)))),"",ROUND(itens_Remanesc!C119*$L$6/INDEX($L$2:$L$6,posicao_contratual!$Y119+1),2)))))</f>
        <v/>
      </c>
      <c r="H119" s="114" t="str">
        <f t="shared" si="3"/>
        <v/>
      </c>
      <c r="I119" s="13"/>
      <c r="J119" s="13"/>
      <c r="K119" s="13"/>
      <c r="L119" s="13"/>
      <c r="M119" s="13"/>
      <c r="N119" s="145" t="str">
        <f>IF(A119="","",IF(posicao_contratual!$Y119="","",IF(posicao_contratual!$Y119&gt;0,"",posicao_contratual!E119)))</f>
        <v/>
      </c>
      <c r="O119" s="145" t="str">
        <f>IF(A119="","",IF(posicao_contratual!$Y119="","",IF(posicao_contratual!$Y119&gt;1,"",posicao_contratual!I119)))</f>
        <v/>
      </c>
      <c r="P119" s="145" t="str">
        <f>IF(A119="","",IF(posicao_contratual!$Y119="","",IF(posicao_contratual!$Y119&gt;2,"",posicao_contratual!M119)))</f>
        <v/>
      </c>
      <c r="Q119" s="145" t="str">
        <f>IF(A119="","",IF(posicao_contratual!$Y119="","",IF(posicao_contratual!$Y119&gt;3,"",posicao_contratual!Q119)))</f>
        <v/>
      </c>
      <c r="R119" s="145" t="str">
        <f>IF(A119="","",IF(posicao_contratual!$Y119="","",IF(posicao_contratual!$Y119&gt;4,"",posicao_contratual!U119)))</f>
        <v/>
      </c>
      <c r="S119" s="165" t="str">
        <f>IF(A119="","",posicao_contratual!G119)</f>
        <v/>
      </c>
      <c r="T119" s="165" t="str">
        <f>IF(A119="","",posicao_contratual!K119)</f>
        <v/>
      </c>
      <c r="U119" s="165" t="str">
        <f>IF(A119="","",posicao_contratual!O119)</f>
        <v/>
      </c>
      <c r="V119" s="165" t="str">
        <f>IF(A119="","",posicao_contratual!S119)</f>
        <v/>
      </c>
      <c r="W119" s="165" t="str">
        <f>IF(A119="","",posicao_contratual!W119)</f>
        <v/>
      </c>
    </row>
    <row r="120" spans="1:23" x14ac:dyDescent="0.35">
      <c r="A120" s="86" t="str">
        <f>IF(itens_Remanesc!A120="","",itens_Remanesc!A120)</f>
        <v/>
      </c>
      <c r="B120" s="85" t="str">
        <f>IF(A120="","",IF(posicao_contratual!$Y120="","",IF(posicao_contratual!$Y120&gt;0,"",posicao_contratual!G120)))</f>
        <v/>
      </c>
      <c r="C120" s="79" t="str">
        <f>IF(itens_Remanesc!A120="","",IF(posicao_contratual!$Y120="","",IF(posicao_contratual!$Y120&gt;0,"",itens_Remanesc!C120)))</f>
        <v/>
      </c>
      <c r="D120" s="79" t="str">
        <f>IF(OR($A120="",posicao_contratual!$Y120=""),"",IF(posicao_contratual!$Y120&gt;1,"",IF(posicao_contratual!$Y120=1,IF(ISNUMBER(itens_Remanesc!C120),itens_Remanesc!C120,""),IF(OR(NOT(ISNUMBER(itens_Remanesc!C120)),NOT(ISNUMBER($L$3)),NOT(ISNUMBER(INDEX($L$2:$L$6,posicao_contratual!$Y120+1)))),"",ROUND(itens_Remanesc!C120*$L$3/INDEX($L$2:$L$6,posicao_contratual!$Y120+1),2)))))</f>
        <v/>
      </c>
      <c r="E120" s="79" t="str">
        <f>IF(OR($A120="",posicao_contratual!$Y120=""),"",IF(posicao_contratual!$Y120&gt;2,"",IF(posicao_contratual!$Y120=2,IF(ISNUMBER(itens_Remanesc!C120),itens_Remanesc!C120,""),IF(OR(NOT(ISNUMBER(itens_Remanesc!C120)),NOT(ISNUMBER($L$4)),NOT(ISNUMBER(INDEX($L$2:$L$6,posicao_contratual!$Y120+1)))),"",ROUND(itens_Remanesc!C120*$L$4/INDEX($L$2:$L$6,posicao_contratual!$Y120+1),2)))))</f>
        <v/>
      </c>
      <c r="F120" s="79" t="str">
        <f>IF(OR($A120="",posicao_contratual!$Y120=""),"",IF(posicao_contratual!$Y120&gt;3,"",IF(posicao_contratual!$Y120=3,IF(ISNUMBER(itens_Remanesc!C120),itens_Remanesc!C120,""),IF(OR(NOT(ISNUMBER(itens_Remanesc!C120)),NOT(ISNUMBER($L$5)),NOT(ISNUMBER(INDEX($L$2:$L$6,posicao_contratual!$Y120+1)))),"",ROUND(itens_Remanesc!C120*$L$5/INDEX($L$2:$L$6,posicao_contratual!$Y120+1),2)))))</f>
        <v/>
      </c>
      <c r="G120" s="79" t="str">
        <f>IF(OR($A120="",posicao_contratual!$Y120=""),"",IF(posicao_contratual!$Y120&gt;4,"",IF(posicao_contratual!$Y120=4,IF(ISNUMBER(itens_Remanesc!C120),itens_Remanesc!C120,""),IF(OR(NOT(ISNUMBER(itens_Remanesc!C120)),NOT(ISNUMBER($L$6)),NOT(ISNUMBER(INDEX($L$2:$L$6,posicao_contratual!$Y120+1)))),"",ROUND(itens_Remanesc!C120*$L$6/INDEX($L$2:$L$6,posicao_contratual!$Y120+1),2)))))</f>
        <v/>
      </c>
      <c r="H120" s="114" t="str">
        <f t="shared" si="3"/>
        <v/>
      </c>
      <c r="I120" s="13"/>
      <c r="J120" s="13"/>
      <c r="K120" s="13"/>
      <c r="L120" s="13"/>
      <c r="M120" s="13"/>
      <c r="N120" s="145" t="str">
        <f>IF(A120="","",IF(posicao_contratual!$Y120="","",IF(posicao_contratual!$Y120&gt;0,"",posicao_contratual!E120)))</f>
        <v/>
      </c>
      <c r="O120" s="145" t="str">
        <f>IF(A120="","",IF(posicao_contratual!$Y120="","",IF(posicao_contratual!$Y120&gt;1,"",posicao_contratual!I120)))</f>
        <v/>
      </c>
      <c r="P120" s="145" t="str">
        <f>IF(A120="","",IF(posicao_contratual!$Y120="","",IF(posicao_contratual!$Y120&gt;2,"",posicao_contratual!M120)))</f>
        <v/>
      </c>
      <c r="Q120" s="145" t="str">
        <f>IF(A120="","",IF(posicao_contratual!$Y120="","",IF(posicao_contratual!$Y120&gt;3,"",posicao_contratual!Q120)))</f>
        <v/>
      </c>
      <c r="R120" s="145" t="str">
        <f>IF(A120="","",IF(posicao_contratual!$Y120="","",IF(posicao_contratual!$Y120&gt;4,"",posicao_contratual!U120)))</f>
        <v/>
      </c>
      <c r="S120" s="165" t="str">
        <f>IF(A120="","",posicao_contratual!G120)</f>
        <v/>
      </c>
      <c r="T120" s="165" t="str">
        <f>IF(A120="","",posicao_contratual!K120)</f>
        <v/>
      </c>
      <c r="U120" s="165" t="str">
        <f>IF(A120="","",posicao_contratual!O120)</f>
        <v/>
      </c>
      <c r="V120" s="165" t="str">
        <f>IF(A120="","",posicao_contratual!S120)</f>
        <v/>
      </c>
      <c r="W120" s="165" t="str">
        <f>IF(A120="","",posicao_contratual!W120)</f>
        <v/>
      </c>
    </row>
    <row r="121" spans="1:23" x14ac:dyDescent="0.35">
      <c r="A121" s="86" t="str">
        <f>IF(itens_Remanesc!A121="","",itens_Remanesc!A121)</f>
        <v/>
      </c>
      <c r="B121" s="85" t="str">
        <f>IF(A121="","",IF(posicao_contratual!$Y121="","",IF(posicao_contratual!$Y121&gt;0,"",posicao_contratual!G121)))</f>
        <v/>
      </c>
      <c r="C121" s="79" t="str">
        <f>IF(itens_Remanesc!A121="","",IF(posicao_contratual!$Y121="","",IF(posicao_contratual!$Y121&gt;0,"",itens_Remanesc!C121)))</f>
        <v/>
      </c>
      <c r="D121" s="79" t="str">
        <f>IF(OR($A121="",posicao_contratual!$Y121=""),"",IF(posicao_contratual!$Y121&gt;1,"",IF(posicao_contratual!$Y121=1,IF(ISNUMBER(itens_Remanesc!C121),itens_Remanesc!C121,""),IF(OR(NOT(ISNUMBER(itens_Remanesc!C121)),NOT(ISNUMBER($L$3)),NOT(ISNUMBER(INDEX($L$2:$L$6,posicao_contratual!$Y121+1)))),"",ROUND(itens_Remanesc!C121*$L$3/INDEX($L$2:$L$6,posicao_contratual!$Y121+1),2)))))</f>
        <v/>
      </c>
      <c r="E121" s="79" t="str">
        <f>IF(OR($A121="",posicao_contratual!$Y121=""),"",IF(posicao_contratual!$Y121&gt;2,"",IF(posicao_contratual!$Y121=2,IF(ISNUMBER(itens_Remanesc!C121),itens_Remanesc!C121,""),IF(OR(NOT(ISNUMBER(itens_Remanesc!C121)),NOT(ISNUMBER($L$4)),NOT(ISNUMBER(INDEX($L$2:$L$6,posicao_contratual!$Y121+1)))),"",ROUND(itens_Remanesc!C121*$L$4/INDEX($L$2:$L$6,posicao_contratual!$Y121+1),2)))))</f>
        <v/>
      </c>
      <c r="F121" s="79" t="str">
        <f>IF(OR($A121="",posicao_contratual!$Y121=""),"",IF(posicao_contratual!$Y121&gt;3,"",IF(posicao_contratual!$Y121=3,IF(ISNUMBER(itens_Remanesc!C121),itens_Remanesc!C121,""),IF(OR(NOT(ISNUMBER(itens_Remanesc!C121)),NOT(ISNUMBER($L$5)),NOT(ISNUMBER(INDEX($L$2:$L$6,posicao_contratual!$Y121+1)))),"",ROUND(itens_Remanesc!C121*$L$5/INDEX($L$2:$L$6,posicao_contratual!$Y121+1),2)))))</f>
        <v/>
      </c>
      <c r="G121" s="79" t="str">
        <f>IF(OR($A121="",posicao_contratual!$Y121=""),"",IF(posicao_contratual!$Y121&gt;4,"",IF(posicao_contratual!$Y121=4,IF(ISNUMBER(itens_Remanesc!C121),itens_Remanesc!C121,""),IF(OR(NOT(ISNUMBER(itens_Remanesc!C121)),NOT(ISNUMBER($L$6)),NOT(ISNUMBER(INDEX($L$2:$L$6,posicao_contratual!$Y121+1)))),"",ROUND(itens_Remanesc!C121*$L$6/INDEX($L$2:$L$6,posicao_contratual!$Y121+1),2)))))</f>
        <v/>
      </c>
      <c r="H121" s="114" t="str">
        <f t="shared" si="3"/>
        <v/>
      </c>
      <c r="I121" s="13"/>
      <c r="J121" s="13"/>
      <c r="K121" s="13"/>
      <c r="L121" s="13"/>
      <c r="M121" s="13"/>
      <c r="N121" s="145" t="str">
        <f>IF(A121="","",IF(posicao_contratual!$Y121="","",IF(posicao_contratual!$Y121&gt;0,"",posicao_contratual!E121)))</f>
        <v/>
      </c>
      <c r="O121" s="145" t="str">
        <f>IF(A121="","",IF(posicao_contratual!$Y121="","",IF(posicao_contratual!$Y121&gt;1,"",posicao_contratual!I121)))</f>
        <v/>
      </c>
      <c r="P121" s="145" t="str">
        <f>IF(A121="","",IF(posicao_contratual!$Y121="","",IF(posicao_contratual!$Y121&gt;2,"",posicao_contratual!M121)))</f>
        <v/>
      </c>
      <c r="Q121" s="145" t="str">
        <f>IF(A121="","",IF(posicao_contratual!$Y121="","",IF(posicao_contratual!$Y121&gt;3,"",posicao_contratual!Q121)))</f>
        <v/>
      </c>
      <c r="R121" s="145" t="str">
        <f>IF(A121="","",IF(posicao_contratual!$Y121="","",IF(posicao_contratual!$Y121&gt;4,"",posicao_contratual!U121)))</f>
        <v/>
      </c>
      <c r="S121" s="165" t="str">
        <f>IF(A121="","",posicao_contratual!G121)</f>
        <v/>
      </c>
      <c r="T121" s="165" t="str">
        <f>IF(A121="","",posicao_contratual!K121)</f>
        <v/>
      </c>
      <c r="U121" s="165" t="str">
        <f>IF(A121="","",posicao_contratual!O121)</f>
        <v/>
      </c>
      <c r="V121" s="165" t="str">
        <f>IF(A121="","",posicao_contratual!S121)</f>
        <v/>
      </c>
      <c r="W121" s="165" t="str">
        <f>IF(A121="","",posicao_contratual!W121)</f>
        <v/>
      </c>
    </row>
    <row r="122" spans="1:23" x14ac:dyDescent="0.35">
      <c r="A122" s="86" t="str">
        <f>IF(itens_Remanesc!A122="","",itens_Remanesc!A122)</f>
        <v/>
      </c>
      <c r="B122" s="85" t="str">
        <f>IF(A122="","",IF(posicao_contratual!$Y122="","",IF(posicao_contratual!$Y122&gt;0,"",posicao_contratual!G122)))</f>
        <v/>
      </c>
      <c r="C122" s="79" t="str">
        <f>IF(itens_Remanesc!A122="","",IF(posicao_contratual!$Y122="","",IF(posicao_contratual!$Y122&gt;0,"",itens_Remanesc!C122)))</f>
        <v/>
      </c>
      <c r="D122" s="79" t="str">
        <f>IF(OR($A122="",posicao_contratual!$Y122=""),"",IF(posicao_contratual!$Y122&gt;1,"",IF(posicao_contratual!$Y122=1,IF(ISNUMBER(itens_Remanesc!C122),itens_Remanesc!C122,""),IF(OR(NOT(ISNUMBER(itens_Remanesc!C122)),NOT(ISNUMBER($L$3)),NOT(ISNUMBER(INDEX($L$2:$L$6,posicao_contratual!$Y122+1)))),"",ROUND(itens_Remanesc!C122*$L$3/INDEX($L$2:$L$6,posicao_contratual!$Y122+1),2)))))</f>
        <v/>
      </c>
      <c r="E122" s="79" t="str">
        <f>IF(OR($A122="",posicao_contratual!$Y122=""),"",IF(posicao_contratual!$Y122&gt;2,"",IF(posicao_contratual!$Y122=2,IF(ISNUMBER(itens_Remanesc!C122),itens_Remanesc!C122,""),IF(OR(NOT(ISNUMBER(itens_Remanesc!C122)),NOT(ISNUMBER($L$4)),NOT(ISNUMBER(INDEX($L$2:$L$6,posicao_contratual!$Y122+1)))),"",ROUND(itens_Remanesc!C122*$L$4/INDEX($L$2:$L$6,posicao_contratual!$Y122+1),2)))))</f>
        <v/>
      </c>
      <c r="F122" s="79" t="str">
        <f>IF(OR($A122="",posicao_contratual!$Y122=""),"",IF(posicao_contratual!$Y122&gt;3,"",IF(posicao_contratual!$Y122=3,IF(ISNUMBER(itens_Remanesc!C122),itens_Remanesc!C122,""),IF(OR(NOT(ISNUMBER(itens_Remanesc!C122)),NOT(ISNUMBER($L$5)),NOT(ISNUMBER(INDEX($L$2:$L$6,posicao_contratual!$Y122+1)))),"",ROUND(itens_Remanesc!C122*$L$5/INDEX($L$2:$L$6,posicao_contratual!$Y122+1),2)))))</f>
        <v/>
      </c>
      <c r="G122" s="79" t="str">
        <f>IF(OR($A122="",posicao_contratual!$Y122=""),"",IF(posicao_contratual!$Y122&gt;4,"",IF(posicao_contratual!$Y122=4,IF(ISNUMBER(itens_Remanesc!C122),itens_Remanesc!C122,""),IF(OR(NOT(ISNUMBER(itens_Remanesc!C122)),NOT(ISNUMBER($L$6)),NOT(ISNUMBER(INDEX($L$2:$L$6,posicao_contratual!$Y122+1)))),"",ROUND(itens_Remanesc!C122*$L$6/INDEX($L$2:$L$6,posicao_contratual!$Y122+1),2)))))</f>
        <v/>
      </c>
      <c r="H122" s="114" t="str">
        <f t="shared" si="3"/>
        <v/>
      </c>
      <c r="I122" s="13"/>
      <c r="J122" s="13"/>
      <c r="K122" s="13"/>
      <c r="L122" s="13"/>
      <c r="M122" s="13"/>
      <c r="N122" s="145" t="str">
        <f>IF(A122="","",IF(posicao_contratual!$Y122="","",IF(posicao_contratual!$Y122&gt;0,"",posicao_contratual!E122)))</f>
        <v/>
      </c>
      <c r="O122" s="145" t="str">
        <f>IF(A122="","",IF(posicao_contratual!$Y122="","",IF(posicao_contratual!$Y122&gt;1,"",posicao_contratual!I122)))</f>
        <v/>
      </c>
      <c r="P122" s="145" t="str">
        <f>IF(A122="","",IF(posicao_contratual!$Y122="","",IF(posicao_contratual!$Y122&gt;2,"",posicao_contratual!M122)))</f>
        <v/>
      </c>
      <c r="Q122" s="145" t="str">
        <f>IF(A122="","",IF(posicao_contratual!$Y122="","",IF(posicao_contratual!$Y122&gt;3,"",posicao_contratual!Q122)))</f>
        <v/>
      </c>
      <c r="R122" s="145" t="str">
        <f>IF(A122="","",IF(posicao_contratual!$Y122="","",IF(posicao_contratual!$Y122&gt;4,"",posicao_contratual!U122)))</f>
        <v/>
      </c>
      <c r="S122" s="165" t="str">
        <f>IF(A122="","",posicao_contratual!G122)</f>
        <v/>
      </c>
      <c r="T122" s="165" t="str">
        <f>IF(A122="","",posicao_contratual!K122)</f>
        <v/>
      </c>
      <c r="U122" s="165" t="str">
        <f>IF(A122="","",posicao_contratual!O122)</f>
        <v/>
      </c>
      <c r="V122" s="165" t="str">
        <f>IF(A122="","",posicao_contratual!S122)</f>
        <v/>
      </c>
      <c r="W122" s="165" t="str">
        <f>IF(A122="","",posicao_contratual!W122)</f>
        <v/>
      </c>
    </row>
    <row r="123" spans="1:23" x14ac:dyDescent="0.35">
      <c r="A123" s="86" t="str">
        <f>IF(itens_Remanesc!A123="","",itens_Remanesc!A123)</f>
        <v/>
      </c>
      <c r="B123" s="85" t="str">
        <f>IF(A123="","",IF(posicao_contratual!$Y123="","",IF(posicao_contratual!$Y123&gt;0,"",posicao_contratual!G123)))</f>
        <v/>
      </c>
      <c r="C123" s="79" t="str">
        <f>IF(itens_Remanesc!A123="","",IF(posicao_contratual!$Y123="","",IF(posicao_contratual!$Y123&gt;0,"",itens_Remanesc!C123)))</f>
        <v/>
      </c>
      <c r="D123" s="79" t="str">
        <f>IF(OR($A123="",posicao_contratual!$Y123=""),"",IF(posicao_contratual!$Y123&gt;1,"",IF(posicao_contratual!$Y123=1,IF(ISNUMBER(itens_Remanesc!C123),itens_Remanesc!C123,""),IF(OR(NOT(ISNUMBER(itens_Remanesc!C123)),NOT(ISNUMBER($L$3)),NOT(ISNUMBER(INDEX($L$2:$L$6,posicao_contratual!$Y123+1)))),"",ROUND(itens_Remanesc!C123*$L$3/INDEX($L$2:$L$6,posicao_contratual!$Y123+1),2)))))</f>
        <v/>
      </c>
      <c r="E123" s="79" t="str">
        <f>IF(OR($A123="",posicao_contratual!$Y123=""),"",IF(posicao_contratual!$Y123&gt;2,"",IF(posicao_contratual!$Y123=2,IF(ISNUMBER(itens_Remanesc!C123),itens_Remanesc!C123,""),IF(OR(NOT(ISNUMBER(itens_Remanesc!C123)),NOT(ISNUMBER($L$4)),NOT(ISNUMBER(INDEX($L$2:$L$6,posicao_contratual!$Y123+1)))),"",ROUND(itens_Remanesc!C123*$L$4/INDEX($L$2:$L$6,posicao_contratual!$Y123+1),2)))))</f>
        <v/>
      </c>
      <c r="F123" s="79" t="str">
        <f>IF(OR($A123="",posicao_contratual!$Y123=""),"",IF(posicao_contratual!$Y123&gt;3,"",IF(posicao_contratual!$Y123=3,IF(ISNUMBER(itens_Remanesc!C123),itens_Remanesc!C123,""),IF(OR(NOT(ISNUMBER(itens_Remanesc!C123)),NOT(ISNUMBER($L$5)),NOT(ISNUMBER(INDEX($L$2:$L$6,posicao_contratual!$Y123+1)))),"",ROUND(itens_Remanesc!C123*$L$5/INDEX($L$2:$L$6,posicao_contratual!$Y123+1),2)))))</f>
        <v/>
      </c>
      <c r="G123" s="79" t="str">
        <f>IF(OR($A123="",posicao_contratual!$Y123=""),"",IF(posicao_contratual!$Y123&gt;4,"",IF(posicao_contratual!$Y123=4,IF(ISNUMBER(itens_Remanesc!C123),itens_Remanesc!C123,""),IF(OR(NOT(ISNUMBER(itens_Remanesc!C123)),NOT(ISNUMBER($L$6)),NOT(ISNUMBER(INDEX($L$2:$L$6,posicao_contratual!$Y123+1)))),"",ROUND(itens_Remanesc!C123*$L$6/INDEX($L$2:$L$6,posicao_contratual!$Y123+1),2)))))</f>
        <v/>
      </c>
      <c r="H123" s="114" t="str">
        <f t="shared" si="3"/>
        <v/>
      </c>
      <c r="I123" s="13"/>
      <c r="J123" s="13"/>
      <c r="K123" s="13"/>
      <c r="L123" s="13"/>
      <c r="M123" s="13"/>
      <c r="N123" s="145" t="str">
        <f>IF(A123="","",IF(posicao_contratual!$Y123="","",IF(posicao_contratual!$Y123&gt;0,"",posicao_contratual!E123)))</f>
        <v/>
      </c>
      <c r="O123" s="145" t="str">
        <f>IF(A123="","",IF(posicao_contratual!$Y123="","",IF(posicao_contratual!$Y123&gt;1,"",posicao_contratual!I123)))</f>
        <v/>
      </c>
      <c r="P123" s="145" t="str">
        <f>IF(A123="","",IF(posicao_contratual!$Y123="","",IF(posicao_contratual!$Y123&gt;2,"",posicao_contratual!M123)))</f>
        <v/>
      </c>
      <c r="Q123" s="145" t="str">
        <f>IF(A123="","",IF(posicao_contratual!$Y123="","",IF(posicao_contratual!$Y123&gt;3,"",posicao_contratual!Q123)))</f>
        <v/>
      </c>
      <c r="R123" s="145" t="str">
        <f>IF(A123="","",IF(posicao_contratual!$Y123="","",IF(posicao_contratual!$Y123&gt;4,"",posicao_contratual!U123)))</f>
        <v/>
      </c>
      <c r="S123" s="165" t="str">
        <f>IF(A123="","",posicao_contratual!G123)</f>
        <v/>
      </c>
      <c r="T123" s="165" t="str">
        <f>IF(A123="","",posicao_contratual!K123)</f>
        <v/>
      </c>
      <c r="U123" s="165" t="str">
        <f>IF(A123="","",posicao_contratual!O123)</f>
        <v/>
      </c>
      <c r="V123" s="165" t="str">
        <f>IF(A123="","",posicao_contratual!S123)</f>
        <v/>
      </c>
      <c r="W123" s="165" t="str">
        <f>IF(A123="","",posicao_contratual!W123)</f>
        <v/>
      </c>
    </row>
    <row r="124" spans="1:23" x14ac:dyDescent="0.35">
      <c r="A124" s="86" t="str">
        <f>IF(itens_Remanesc!A124="","",itens_Remanesc!A124)</f>
        <v/>
      </c>
      <c r="B124" s="85" t="str">
        <f>IF(A124="","",IF(posicao_contratual!$Y124="","",IF(posicao_contratual!$Y124&gt;0,"",posicao_contratual!G124)))</f>
        <v/>
      </c>
      <c r="C124" s="79" t="str">
        <f>IF(itens_Remanesc!A124="","",IF(posicao_contratual!$Y124="","",IF(posicao_contratual!$Y124&gt;0,"",itens_Remanesc!C124)))</f>
        <v/>
      </c>
      <c r="D124" s="79" t="str">
        <f>IF(OR($A124="",posicao_contratual!$Y124=""),"",IF(posicao_contratual!$Y124&gt;1,"",IF(posicao_contratual!$Y124=1,IF(ISNUMBER(itens_Remanesc!C124),itens_Remanesc!C124,""),IF(OR(NOT(ISNUMBER(itens_Remanesc!C124)),NOT(ISNUMBER($L$3)),NOT(ISNUMBER(INDEX($L$2:$L$6,posicao_contratual!$Y124+1)))),"",ROUND(itens_Remanesc!C124*$L$3/INDEX($L$2:$L$6,posicao_contratual!$Y124+1),2)))))</f>
        <v/>
      </c>
      <c r="E124" s="79" t="str">
        <f>IF(OR($A124="",posicao_contratual!$Y124=""),"",IF(posicao_contratual!$Y124&gt;2,"",IF(posicao_contratual!$Y124=2,IF(ISNUMBER(itens_Remanesc!C124),itens_Remanesc!C124,""),IF(OR(NOT(ISNUMBER(itens_Remanesc!C124)),NOT(ISNUMBER($L$4)),NOT(ISNUMBER(INDEX($L$2:$L$6,posicao_contratual!$Y124+1)))),"",ROUND(itens_Remanesc!C124*$L$4/INDEX($L$2:$L$6,posicao_contratual!$Y124+1),2)))))</f>
        <v/>
      </c>
      <c r="F124" s="79" t="str">
        <f>IF(OR($A124="",posicao_contratual!$Y124=""),"",IF(posicao_contratual!$Y124&gt;3,"",IF(posicao_contratual!$Y124=3,IF(ISNUMBER(itens_Remanesc!C124),itens_Remanesc!C124,""),IF(OR(NOT(ISNUMBER(itens_Remanesc!C124)),NOT(ISNUMBER($L$5)),NOT(ISNUMBER(INDEX($L$2:$L$6,posicao_contratual!$Y124+1)))),"",ROUND(itens_Remanesc!C124*$L$5/INDEX($L$2:$L$6,posicao_contratual!$Y124+1),2)))))</f>
        <v/>
      </c>
      <c r="G124" s="79" t="str">
        <f>IF(OR($A124="",posicao_contratual!$Y124=""),"",IF(posicao_contratual!$Y124&gt;4,"",IF(posicao_contratual!$Y124=4,IF(ISNUMBER(itens_Remanesc!C124),itens_Remanesc!C124,""),IF(OR(NOT(ISNUMBER(itens_Remanesc!C124)),NOT(ISNUMBER($L$6)),NOT(ISNUMBER(INDEX($L$2:$L$6,posicao_contratual!$Y124+1)))),"",ROUND(itens_Remanesc!C124*$L$6/INDEX($L$2:$L$6,posicao_contratual!$Y124+1),2)))))</f>
        <v/>
      </c>
      <c r="H124" s="114" t="str">
        <f t="shared" si="3"/>
        <v/>
      </c>
      <c r="I124" s="13"/>
      <c r="J124" s="13"/>
      <c r="K124" s="13"/>
      <c r="L124" s="13"/>
      <c r="M124" s="13"/>
      <c r="N124" s="145" t="str">
        <f>IF(A124="","",IF(posicao_contratual!$Y124="","",IF(posicao_contratual!$Y124&gt;0,"",posicao_contratual!E124)))</f>
        <v/>
      </c>
      <c r="O124" s="145" t="str">
        <f>IF(A124="","",IF(posicao_contratual!$Y124="","",IF(posicao_contratual!$Y124&gt;1,"",posicao_contratual!I124)))</f>
        <v/>
      </c>
      <c r="P124" s="145" t="str">
        <f>IF(A124="","",IF(posicao_contratual!$Y124="","",IF(posicao_contratual!$Y124&gt;2,"",posicao_contratual!M124)))</f>
        <v/>
      </c>
      <c r="Q124" s="145" t="str">
        <f>IF(A124="","",IF(posicao_contratual!$Y124="","",IF(posicao_contratual!$Y124&gt;3,"",posicao_contratual!Q124)))</f>
        <v/>
      </c>
      <c r="R124" s="145" t="str">
        <f>IF(A124="","",IF(posicao_contratual!$Y124="","",IF(posicao_contratual!$Y124&gt;4,"",posicao_contratual!U124)))</f>
        <v/>
      </c>
      <c r="S124" s="165" t="str">
        <f>IF(A124="","",posicao_contratual!G124)</f>
        <v/>
      </c>
      <c r="T124" s="165" t="str">
        <f>IF(A124="","",posicao_contratual!K124)</f>
        <v/>
      </c>
      <c r="U124" s="165" t="str">
        <f>IF(A124="","",posicao_contratual!O124)</f>
        <v/>
      </c>
      <c r="V124" s="165" t="str">
        <f>IF(A124="","",posicao_contratual!S124)</f>
        <v/>
      </c>
      <c r="W124" s="165" t="str">
        <f>IF(A124="","",posicao_contratual!W124)</f>
        <v/>
      </c>
    </row>
    <row r="125" spans="1:23" x14ac:dyDescent="0.35">
      <c r="A125" s="86" t="str">
        <f>IF(itens_Remanesc!A125="","",itens_Remanesc!A125)</f>
        <v/>
      </c>
      <c r="B125" s="85" t="str">
        <f>IF(A125="","",IF(posicao_contratual!$Y125="","",IF(posicao_contratual!$Y125&gt;0,"",posicao_contratual!G125)))</f>
        <v/>
      </c>
      <c r="C125" s="79" t="str">
        <f>IF(itens_Remanesc!A125="","",IF(posicao_contratual!$Y125="","",IF(posicao_contratual!$Y125&gt;0,"",itens_Remanesc!C125)))</f>
        <v/>
      </c>
      <c r="D125" s="79" t="str">
        <f>IF(OR($A125="",posicao_contratual!$Y125=""),"",IF(posicao_contratual!$Y125&gt;1,"",IF(posicao_contratual!$Y125=1,IF(ISNUMBER(itens_Remanesc!C125),itens_Remanesc!C125,""),IF(OR(NOT(ISNUMBER(itens_Remanesc!C125)),NOT(ISNUMBER($L$3)),NOT(ISNUMBER(INDEX($L$2:$L$6,posicao_contratual!$Y125+1)))),"",ROUND(itens_Remanesc!C125*$L$3/INDEX($L$2:$L$6,posicao_contratual!$Y125+1),2)))))</f>
        <v/>
      </c>
      <c r="E125" s="79" t="str">
        <f>IF(OR($A125="",posicao_contratual!$Y125=""),"",IF(posicao_contratual!$Y125&gt;2,"",IF(posicao_contratual!$Y125=2,IF(ISNUMBER(itens_Remanesc!C125),itens_Remanesc!C125,""),IF(OR(NOT(ISNUMBER(itens_Remanesc!C125)),NOT(ISNUMBER($L$4)),NOT(ISNUMBER(INDEX($L$2:$L$6,posicao_contratual!$Y125+1)))),"",ROUND(itens_Remanesc!C125*$L$4/INDEX($L$2:$L$6,posicao_contratual!$Y125+1),2)))))</f>
        <v/>
      </c>
      <c r="F125" s="79" t="str">
        <f>IF(OR($A125="",posicao_contratual!$Y125=""),"",IF(posicao_contratual!$Y125&gt;3,"",IF(posicao_contratual!$Y125=3,IF(ISNUMBER(itens_Remanesc!C125),itens_Remanesc!C125,""),IF(OR(NOT(ISNUMBER(itens_Remanesc!C125)),NOT(ISNUMBER($L$5)),NOT(ISNUMBER(INDEX($L$2:$L$6,posicao_contratual!$Y125+1)))),"",ROUND(itens_Remanesc!C125*$L$5/INDEX($L$2:$L$6,posicao_contratual!$Y125+1),2)))))</f>
        <v/>
      </c>
      <c r="G125" s="79" t="str">
        <f>IF(OR($A125="",posicao_contratual!$Y125=""),"",IF(posicao_contratual!$Y125&gt;4,"",IF(posicao_contratual!$Y125=4,IF(ISNUMBER(itens_Remanesc!C125),itens_Remanesc!C125,""),IF(OR(NOT(ISNUMBER(itens_Remanesc!C125)),NOT(ISNUMBER($L$6)),NOT(ISNUMBER(INDEX($L$2:$L$6,posicao_contratual!$Y125+1)))),"",ROUND(itens_Remanesc!C125*$L$6/INDEX($L$2:$L$6,posicao_contratual!$Y125+1),2)))))</f>
        <v/>
      </c>
      <c r="H125" s="114" t="str">
        <f t="shared" si="3"/>
        <v/>
      </c>
      <c r="I125" s="13"/>
      <c r="J125" s="13"/>
      <c r="K125" s="13"/>
      <c r="L125" s="13"/>
      <c r="M125" s="13"/>
      <c r="N125" s="145" t="str">
        <f>IF(A125="","",IF(posicao_contratual!$Y125="","",IF(posicao_contratual!$Y125&gt;0,"",posicao_contratual!E125)))</f>
        <v/>
      </c>
      <c r="O125" s="145" t="str">
        <f>IF(A125="","",IF(posicao_contratual!$Y125="","",IF(posicao_contratual!$Y125&gt;1,"",posicao_contratual!I125)))</f>
        <v/>
      </c>
      <c r="P125" s="145" t="str">
        <f>IF(A125="","",IF(posicao_contratual!$Y125="","",IF(posicao_contratual!$Y125&gt;2,"",posicao_contratual!M125)))</f>
        <v/>
      </c>
      <c r="Q125" s="145" t="str">
        <f>IF(A125="","",IF(posicao_contratual!$Y125="","",IF(posicao_contratual!$Y125&gt;3,"",posicao_contratual!Q125)))</f>
        <v/>
      </c>
      <c r="R125" s="145" t="str">
        <f>IF(A125="","",IF(posicao_contratual!$Y125="","",IF(posicao_contratual!$Y125&gt;4,"",posicao_contratual!U125)))</f>
        <v/>
      </c>
      <c r="S125" s="165" t="str">
        <f>IF(A125="","",posicao_contratual!G125)</f>
        <v/>
      </c>
      <c r="T125" s="165" t="str">
        <f>IF(A125="","",posicao_contratual!K125)</f>
        <v/>
      </c>
      <c r="U125" s="165" t="str">
        <f>IF(A125="","",posicao_contratual!O125)</f>
        <v/>
      </c>
      <c r="V125" s="165" t="str">
        <f>IF(A125="","",posicao_contratual!S125)</f>
        <v/>
      </c>
      <c r="W125" s="165" t="str">
        <f>IF(A125="","",posicao_contratual!W125)</f>
        <v/>
      </c>
    </row>
    <row r="126" spans="1:23" x14ac:dyDescent="0.35">
      <c r="A126" s="86" t="str">
        <f>IF(itens_Remanesc!A126="","",itens_Remanesc!A126)</f>
        <v/>
      </c>
      <c r="B126" s="85" t="str">
        <f>IF(A126="","",IF(posicao_contratual!$Y126="","",IF(posicao_contratual!$Y126&gt;0,"",posicao_contratual!G126)))</f>
        <v/>
      </c>
      <c r="C126" s="79" t="str">
        <f>IF(itens_Remanesc!A126="","",IF(posicao_contratual!$Y126="","",IF(posicao_contratual!$Y126&gt;0,"",itens_Remanesc!C126)))</f>
        <v/>
      </c>
      <c r="D126" s="79" t="str">
        <f>IF(OR($A126="",posicao_contratual!$Y126=""),"",IF(posicao_contratual!$Y126&gt;1,"",IF(posicao_contratual!$Y126=1,IF(ISNUMBER(itens_Remanesc!C126),itens_Remanesc!C126,""),IF(OR(NOT(ISNUMBER(itens_Remanesc!C126)),NOT(ISNUMBER($L$3)),NOT(ISNUMBER(INDEX($L$2:$L$6,posicao_contratual!$Y126+1)))),"",ROUND(itens_Remanesc!C126*$L$3/INDEX($L$2:$L$6,posicao_contratual!$Y126+1),2)))))</f>
        <v/>
      </c>
      <c r="E126" s="79" t="str">
        <f>IF(OR($A126="",posicao_contratual!$Y126=""),"",IF(posicao_contratual!$Y126&gt;2,"",IF(posicao_contratual!$Y126=2,IF(ISNUMBER(itens_Remanesc!C126),itens_Remanesc!C126,""),IF(OR(NOT(ISNUMBER(itens_Remanesc!C126)),NOT(ISNUMBER($L$4)),NOT(ISNUMBER(INDEX($L$2:$L$6,posicao_contratual!$Y126+1)))),"",ROUND(itens_Remanesc!C126*$L$4/INDEX($L$2:$L$6,posicao_contratual!$Y126+1),2)))))</f>
        <v/>
      </c>
      <c r="F126" s="79" t="str">
        <f>IF(OR($A126="",posicao_contratual!$Y126=""),"",IF(posicao_contratual!$Y126&gt;3,"",IF(posicao_contratual!$Y126=3,IF(ISNUMBER(itens_Remanesc!C126),itens_Remanesc!C126,""),IF(OR(NOT(ISNUMBER(itens_Remanesc!C126)),NOT(ISNUMBER($L$5)),NOT(ISNUMBER(INDEX($L$2:$L$6,posicao_contratual!$Y126+1)))),"",ROUND(itens_Remanesc!C126*$L$5/INDEX($L$2:$L$6,posicao_contratual!$Y126+1),2)))))</f>
        <v/>
      </c>
      <c r="G126" s="79" t="str">
        <f>IF(OR($A126="",posicao_contratual!$Y126=""),"",IF(posicao_contratual!$Y126&gt;4,"",IF(posicao_contratual!$Y126=4,IF(ISNUMBER(itens_Remanesc!C126),itens_Remanesc!C126,""),IF(OR(NOT(ISNUMBER(itens_Remanesc!C126)),NOT(ISNUMBER($L$6)),NOT(ISNUMBER(INDEX($L$2:$L$6,posicao_contratual!$Y126+1)))),"",ROUND(itens_Remanesc!C126*$L$6/INDEX($L$2:$L$6,posicao_contratual!$Y126+1),2)))))</f>
        <v/>
      </c>
      <c r="H126" s="114" t="str">
        <f t="shared" si="3"/>
        <v/>
      </c>
      <c r="I126" s="13"/>
      <c r="J126" s="13"/>
      <c r="K126" s="13"/>
      <c r="L126" s="13"/>
      <c r="M126" s="13"/>
      <c r="N126" s="145" t="str">
        <f>IF(A126="","",IF(posicao_contratual!$Y126="","",IF(posicao_contratual!$Y126&gt;0,"",posicao_contratual!E126)))</f>
        <v/>
      </c>
      <c r="O126" s="145" t="str">
        <f>IF(A126="","",IF(posicao_contratual!$Y126="","",IF(posicao_contratual!$Y126&gt;1,"",posicao_contratual!I126)))</f>
        <v/>
      </c>
      <c r="P126" s="145" t="str">
        <f>IF(A126="","",IF(posicao_contratual!$Y126="","",IF(posicao_contratual!$Y126&gt;2,"",posicao_contratual!M126)))</f>
        <v/>
      </c>
      <c r="Q126" s="145" t="str">
        <f>IF(A126="","",IF(posicao_contratual!$Y126="","",IF(posicao_contratual!$Y126&gt;3,"",posicao_contratual!Q126)))</f>
        <v/>
      </c>
      <c r="R126" s="145" t="str">
        <f>IF(A126="","",IF(posicao_contratual!$Y126="","",IF(posicao_contratual!$Y126&gt;4,"",posicao_contratual!U126)))</f>
        <v/>
      </c>
      <c r="S126" s="165" t="str">
        <f>IF(A126="","",posicao_contratual!G126)</f>
        <v/>
      </c>
      <c r="T126" s="165" t="str">
        <f>IF(A126="","",posicao_contratual!K126)</f>
        <v/>
      </c>
      <c r="U126" s="165" t="str">
        <f>IF(A126="","",posicao_contratual!O126)</f>
        <v/>
      </c>
      <c r="V126" s="165" t="str">
        <f>IF(A126="","",posicao_contratual!S126)</f>
        <v/>
      </c>
      <c r="W126" s="165" t="str">
        <f>IF(A126="","",posicao_contratual!W126)</f>
        <v/>
      </c>
    </row>
    <row r="127" spans="1:23" x14ac:dyDescent="0.35">
      <c r="A127" s="86" t="str">
        <f>IF(itens_Remanesc!A127="","",itens_Remanesc!A127)</f>
        <v/>
      </c>
      <c r="B127" s="85" t="str">
        <f>IF(A127="","",IF(posicao_contratual!$Y127="","",IF(posicao_contratual!$Y127&gt;0,"",posicao_contratual!G127)))</f>
        <v/>
      </c>
      <c r="C127" s="79" t="str">
        <f>IF(itens_Remanesc!A127="","",IF(posicao_contratual!$Y127="","",IF(posicao_contratual!$Y127&gt;0,"",itens_Remanesc!C127)))</f>
        <v/>
      </c>
      <c r="D127" s="79" t="str">
        <f>IF(OR($A127="",posicao_contratual!$Y127=""),"",IF(posicao_contratual!$Y127&gt;1,"",IF(posicao_contratual!$Y127=1,IF(ISNUMBER(itens_Remanesc!C127),itens_Remanesc!C127,""),IF(OR(NOT(ISNUMBER(itens_Remanesc!C127)),NOT(ISNUMBER($L$3)),NOT(ISNUMBER(INDEX($L$2:$L$6,posicao_contratual!$Y127+1)))),"",ROUND(itens_Remanesc!C127*$L$3/INDEX($L$2:$L$6,posicao_contratual!$Y127+1),2)))))</f>
        <v/>
      </c>
      <c r="E127" s="79" t="str">
        <f>IF(OR($A127="",posicao_contratual!$Y127=""),"",IF(posicao_contratual!$Y127&gt;2,"",IF(posicao_contratual!$Y127=2,IF(ISNUMBER(itens_Remanesc!C127),itens_Remanesc!C127,""),IF(OR(NOT(ISNUMBER(itens_Remanesc!C127)),NOT(ISNUMBER($L$4)),NOT(ISNUMBER(INDEX($L$2:$L$6,posicao_contratual!$Y127+1)))),"",ROUND(itens_Remanesc!C127*$L$4/INDEX($L$2:$L$6,posicao_contratual!$Y127+1),2)))))</f>
        <v/>
      </c>
      <c r="F127" s="79" t="str">
        <f>IF(OR($A127="",posicao_contratual!$Y127=""),"",IF(posicao_contratual!$Y127&gt;3,"",IF(posicao_contratual!$Y127=3,IF(ISNUMBER(itens_Remanesc!C127),itens_Remanesc!C127,""),IF(OR(NOT(ISNUMBER(itens_Remanesc!C127)),NOT(ISNUMBER($L$5)),NOT(ISNUMBER(INDEX($L$2:$L$6,posicao_contratual!$Y127+1)))),"",ROUND(itens_Remanesc!C127*$L$5/INDEX($L$2:$L$6,posicao_contratual!$Y127+1),2)))))</f>
        <v/>
      </c>
      <c r="G127" s="79" t="str">
        <f>IF(OR($A127="",posicao_contratual!$Y127=""),"",IF(posicao_contratual!$Y127&gt;4,"",IF(posicao_contratual!$Y127=4,IF(ISNUMBER(itens_Remanesc!C127),itens_Remanesc!C127,""),IF(OR(NOT(ISNUMBER(itens_Remanesc!C127)),NOT(ISNUMBER($L$6)),NOT(ISNUMBER(INDEX($L$2:$L$6,posicao_contratual!$Y127+1)))),"",ROUND(itens_Remanesc!C127*$L$6/INDEX($L$2:$L$6,posicao_contratual!$Y127+1),2)))))</f>
        <v/>
      </c>
      <c r="H127" s="114" t="str">
        <f t="shared" si="3"/>
        <v/>
      </c>
      <c r="I127" s="13"/>
      <c r="J127" s="13"/>
      <c r="K127" s="13"/>
      <c r="L127" s="13"/>
      <c r="M127" s="13"/>
      <c r="N127" s="145" t="str">
        <f>IF(A127="","",IF(posicao_contratual!$Y127="","",IF(posicao_contratual!$Y127&gt;0,"",posicao_contratual!E127)))</f>
        <v/>
      </c>
      <c r="O127" s="145" t="str">
        <f>IF(A127="","",IF(posicao_contratual!$Y127="","",IF(posicao_contratual!$Y127&gt;1,"",posicao_contratual!I127)))</f>
        <v/>
      </c>
      <c r="P127" s="145" t="str">
        <f>IF(A127="","",IF(posicao_contratual!$Y127="","",IF(posicao_contratual!$Y127&gt;2,"",posicao_contratual!M127)))</f>
        <v/>
      </c>
      <c r="Q127" s="145" t="str">
        <f>IF(A127="","",IF(posicao_contratual!$Y127="","",IF(posicao_contratual!$Y127&gt;3,"",posicao_contratual!Q127)))</f>
        <v/>
      </c>
      <c r="R127" s="145" t="str">
        <f>IF(A127="","",IF(posicao_contratual!$Y127="","",IF(posicao_contratual!$Y127&gt;4,"",posicao_contratual!U127)))</f>
        <v/>
      </c>
      <c r="S127" s="165" t="str">
        <f>IF(A127="","",posicao_contratual!G127)</f>
        <v/>
      </c>
      <c r="T127" s="165" t="str">
        <f>IF(A127="","",posicao_contratual!K127)</f>
        <v/>
      </c>
      <c r="U127" s="165" t="str">
        <f>IF(A127="","",posicao_contratual!O127)</f>
        <v/>
      </c>
      <c r="V127" s="165" t="str">
        <f>IF(A127="","",posicao_contratual!S127)</f>
        <v/>
      </c>
      <c r="W127" s="165" t="str">
        <f>IF(A127="","",posicao_contratual!W127)</f>
        <v/>
      </c>
    </row>
    <row r="128" spans="1:23" x14ac:dyDescent="0.35">
      <c r="A128" s="86" t="str">
        <f>IF(itens_Remanesc!A128="","",itens_Remanesc!A128)</f>
        <v/>
      </c>
      <c r="B128" s="85" t="str">
        <f>IF(A128="","",IF(posicao_contratual!$Y128="","",IF(posicao_contratual!$Y128&gt;0,"",posicao_contratual!G128)))</f>
        <v/>
      </c>
      <c r="C128" s="79" t="str">
        <f>IF(itens_Remanesc!A128="","",IF(posicao_contratual!$Y128="","",IF(posicao_contratual!$Y128&gt;0,"",itens_Remanesc!C128)))</f>
        <v/>
      </c>
      <c r="D128" s="79" t="str">
        <f>IF(OR($A128="",posicao_contratual!$Y128=""),"",IF(posicao_contratual!$Y128&gt;1,"",IF(posicao_contratual!$Y128=1,IF(ISNUMBER(itens_Remanesc!C128),itens_Remanesc!C128,""),IF(OR(NOT(ISNUMBER(itens_Remanesc!C128)),NOT(ISNUMBER($L$3)),NOT(ISNUMBER(INDEX($L$2:$L$6,posicao_contratual!$Y128+1)))),"",ROUND(itens_Remanesc!C128*$L$3/INDEX($L$2:$L$6,posicao_contratual!$Y128+1),2)))))</f>
        <v/>
      </c>
      <c r="E128" s="79" t="str">
        <f>IF(OR($A128="",posicao_contratual!$Y128=""),"",IF(posicao_contratual!$Y128&gt;2,"",IF(posicao_contratual!$Y128=2,IF(ISNUMBER(itens_Remanesc!C128),itens_Remanesc!C128,""),IF(OR(NOT(ISNUMBER(itens_Remanesc!C128)),NOT(ISNUMBER($L$4)),NOT(ISNUMBER(INDEX($L$2:$L$6,posicao_contratual!$Y128+1)))),"",ROUND(itens_Remanesc!C128*$L$4/INDEX($L$2:$L$6,posicao_contratual!$Y128+1),2)))))</f>
        <v/>
      </c>
      <c r="F128" s="79" t="str">
        <f>IF(OR($A128="",posicao_contratual!$Y128=""),"",IF(posicao_contratual!$Y128&gt;3,"",IF(posicao_contratual!$Y128=3,IF(ISNUMBER(itens_Remanesc!C128),itens_Remanesc!C128,""),IF(OR(NOT(ISNUMBER(itens_Remanesc!C128)),NOT(ISNUMBER($L$5)),NOT(ISNUMBER(INDEX($L$2:$L$6,posicao_contratual!$Y128+1)))),"",ROUND(itens_Remanesc!C128*$L$5/INDEX($L$2:$L$6,posicao_contratual!$Y128+1),2)))))</f>
        <v/>
      </c>
      <c r="G128" s="79" t="str">
        <f>IF(OR($A128="",posicao_contratual!$Y128=""),"",IF(posicao_contratual!$Y128&gt;4,"",IF(posicao_contratual!$Y128=4,IF(ISNUMBER(itens_Remanesc!C128),itens_Remanesc!C128,""),IF(OR(NOT(ISNUMBER(itens_Remanesc!C128)),NOT(ISNUMBER($L$6)),NOT(ISNUMBER(INDEX($L$2:$L$6,posicao_contratual!$Y128+1)))),"",ROUND(itens_Remanesc!C128*$L$6/INDEX($L$2:$L$6,posicao_contratual!$Y128+1),2)))))</f>
        <v/>
      </c>
      <c r="H128" s="114" t="str">
        <f t="shared" si="3"/>
        <v/>
      </c>
      <c r="I128" s="13"/>
      <c r="J128" s="13"/>
      <c r="K128" s="13"/>
      <c r="L128" s="13"/>
      <c r="M128" s="13"/>
      <c r="N128" s="145" t="str">
        <f>IF(A128="","",IF(posicao_contratual!$Y128="","",IF(posicao_contratual!$Y128&gt;0,"",posicao_contratual!E128)))</f>
        <v/>
      </c>
      <c r="O128" s="145" t="str">
        <f>IF(A128="","",IF(posicao_contratual!$Y128="","",IF(posicao_contratual!$Y128&gt;1,"",posicao_contratual!I128)))</f>
        <v/>
      </c>
      <c r="P128" s="145" t="str">
        <f>IF(A128="","",IF(posicao_contratual!$Y128="","",IF(posicao_contratual!$Y128&gt;2,"",posicao_contratual!M128)))</f>
        <v/>
      </c>
      <c r="Q128" s="145" t="str">
        <f>IF(A128="","",IF(posicao_contratual!$Y128="","",IF(posicao_contratual!$Y128&gt;3,"",posicao_contratual!Q128)))</f>
        <v/>
      </c>
      <c r="R128" s="145" t="str">
        <f>IF(A128="","",IF(posicao_contratual!$Y128="","",IF(posicao_contratual!$Y128&gt;4,"",posicao_contratual!U128)))</f>
        <v/>
      </c>
      <c r="S128" s="165" t="str">
        <f>IF(A128="","",posicao_contratual!G128)</f>
        <v/>
      </c>
      <c r="T128" s="165" t="str">
        <f>IF(A128="","",posicao_contratual!K128)</f>
        <v/>
      </c>
      <c r="U128" s="165" t="str">
        <f>IF(A128="","",posicao_contratual!O128)</f>
        <v/>
      </c>
      <c r="V128" s="165" t="str">
        <f>IF(A128="","",posicao_contratual!S128)</f>
        <v/>
      </c>
      <c r="W128" s="165" t="str">
        <f>IF(A128="","",posicao_contratual!W128)</f>
        <v/>
      </c>
    </row>
    <row r="129" spans="1:23" x14ac:dyDescent="0.35">
      <c r="A129" s="86" t="str">
        <f>IF(itens_Remanesc!A129="","",itens_Remanesc!A129)</f>
        <v/>
      </c>
      <c r="B129" s="85" t="str">
        <f>IF(A129="","",IF(posicao_contratual!$Y129="","",IF(posicao_contratual!$Y129&gt;0,"",posicao_contratual!G129)))</f>
        <v/>
      </c>
      <c r="C129" s="79" t="str">
        <f>IF(itens_Remanesc!A129="","",IF(posicao_contratual!$Y129="","",IF(posicao_contratual!$Y129&gt;0,"",itens_Remanesc!C129)))</f>
        <v/>
      </c>
      <c r="D129" s="79" t="str">
        <f>IF(OR($A129="",posicao_contratual!$Y129=""),"",IF(posicao_contratual!$Y129&gt;1,"",IF(posicao_contratual!$Y129=1,IF(ISNUMBER(itens_Remanesc!C129),itens_Remanesc!C129,""),IF(OR(NOT(ISNUMBER(itens_Remanesc!C129)),NOT(ISNUMBER($L$3)),NOT(ISNUMBER(INDEX($L$2:$L$6,posicao_contratual!$Y129+1)))),"",ROUND(itens_Remanesc!C129*$L$3/INDEX($L$2:$L$6,posicao_contratual!$Y129+1),2)))))</f>
        <v/>
      </c>
      <c r="E129" s="79" t="str">
        <f>IF(OR($A129="",posicao_contratual!$Y129=""),"",IF(posicao_contratual!$Y129&gt;2,"",IF(posicao_contratual!$Y129=2,IF(ISNUMBER(itens_Remanesc!C129),itens_Remanesc!C129,""),IF(OR(NOT(ISNUMBER(itens_Remanesc!C129)),NOT(ISNUMBER($L$4)),NOT(ISNUMBER(INDEX($L$2:$L$6,posicao_contratual!$Y129+1)))),"",ROUND(itens_Remanesc!C129*$L$4/INDEX($L$2:$L$6,posicao_contratual!$Y129+1),2)))))</f>
        <v/>
      </c>
      <c r="F129" s="79" t="str">
        <f>IF(OR($A129="",posicao_contratual!$Y129=""),"",IF(posicao_contratual!$Y129&gt;3,"",IF(posicao_contratual!$Y129=3,IF(ISNUMBER(itens_Remanesc!C129),itens_Remanesc!C129,""),IF(OR(NOT(ISNUMBER(itens_Remanesc!C129)),NOT(ISNUMBER($L$5)),NOT(ISNUMBER(INDEX($L$2:$L$6,posicao_contratual!$Y129+1)))),"",ROUND(itens_Remanesc!C129*$L$5/INDEX($L$2:$L$6,posicao_contratual!$Y129+1),2)))))</f>
        <v/>
      </c>
      <c r="G129" s="79" t="str">
        <f>IF(OR($A129="",posicao_contratual!$Y129=""),"",IF(posicao_contratual!$Y129&gt;4,"",IF(posicao_contratual!$Y129=4,IF(ISNUMBER(itens_Remanesc!C129),itens_Remanesc!C129,""),IF(OR(NOT(ISNUMBER(itens_Remanesc!C129)),NOT(ISNUMBER($L$6)),NOT(ISNUMBER(INDEX($L$2:$L$6,posicao_contratual!$Y129+1)))),"",ROUND(itens_Remanesc!C129*$L$6/INDEX($L$2:$L$6,posicao_contratual!$Y129+1),2)))))</f>
        <v/>
      </c>
      <c r="H129" s="114" t="str">
        <f t="shared" si="3"/>
        <v/>
      </c>
      <c r="I129" s="13"/>
      <c r="J129" s="13"/>
      <c r="K129" s="13"/>
      <c r="L129" s="13"/>
      <c r="M129" s="13"/>
      <c r="N129" s="145" t="str">
        <f>IF(A129="","",IF(posicao_contratual!$Y129="","",IF(posicao_contratual!$Y129&gt;0,"",posicao_contratual!E129)))</f>
        <v/>
      </c>
      <c r="O129" s="145" t="str">
        <f>IF(A129="","",IF(posicao_contratual!$Y129="","",IF(posicao_contratual!$Y129&gt;1,"",posicao_contratual!I129)))</f>
        <v/>
      </c>
      <c r="P129" s="145" t="str">
        <f>IF(A129="","",IF(posicao_contratual!$Y129="","",IF(posicao_contratual!$Y129&gt;2,"",posicao_contratual!M129)))</f>
        <v/>
      </c>
      <c r="Q129" s="145" t="str">
        <f>IF(A129="","",IF(posicao_contratual!$Y129="","",IF(posicao_contratual!$Y129&gt;3,"",posicao_contratual!Q129)))</f>
        <v/>
      </c>
      <c r="R129" s="145" t="str">
        <f>IF(A129="","",IF(posicao_contratual!$Y129="","",IF(posicao_contratual!$Y129&gt;4,"",posicao_contratual!U129)))</f>
        <v/>
      </c>
      <c r="S129" s="165" t="str">
        <f>IF(A129="","",posicao_contratual!G129)</f>
        <v/>
      </c>
      <c r="T129" s="165" t="str">
        <f>IF(A129="","",posicao_contratual!K129)</f>
        <v/>
      </c>
      <c r="U129" s="165" t="str">
        <f>IF(A129="","",posicao_contratual!O129)</f>
        <v/>
      </c>
      <c r="V129" s="165" t="str">
        <f>IF(A129="","",posicao_contratual!S129)</f>
        <v/>
      </c>
      <c r="W129" s="165" t="str">
        <f>IF(A129="","",posicao_contratual!W129)</f>
        <v/>
      </c>
    </row>
    <row r="130" spans="1:23" x14ac:dyDescent="0.35">
      <c r="A130" s="86" t="str">
        <f>IF(itens_Remanesc!A130="","",itens_Remanesc!A130)</f>
        <v/>
      </c>
      <c r="B130" s="85" t="str">
        <f>IF(A130="","",IF(posicao_contratual!$Y130="","",IF(posicao_contratual!$Y130&gt;0,"",posicao_contratual!G130)))</f>
        <v/>
      </c>
      <c r="C130" s="79" t="str">
        <f>IF(itens_Remanesc!A130="","",IF(posicao_contratual!$Y130="","",IF(posicao_contratual!$Y130&gt;0,"",itens_Remanesc!C130)))</f>
        <v/>
      </c>
      <c r="D130" s="79" t="str">
        <f>IF(OR($A130="",posicao_contratual!$Y130=""),"",IF(posicao_contratual!$Y130&gt;1,"",IF(posicao_contratual!$Y130=1,IF(ISNUMBER(itens_Remanesc!C130),itens_Remanesc!C130,""),IF(OR(NOT(ISNUMBER(itens_Remanesc!C130)),NOT(ISNUMBER($L$3)),NOT(ISNUMBER(INDEX($L$2:$L$6,posicao_contratual!$Y130+1)))),"",ROUND(itens_Remanesc!C130*$L$3/INDEX($L$2:$L$6,posicao_contratual!$Y130+1),2)))))</f>
        <v/>
      </c>
      <c r="E130" s="79" t="str">
        <f>IF(OR($A130="",posicao_contratual!$Y130=""),"",IF(posicao_contratual!$Y130&gt;2,"",IF(posicao_contratual!$Y130=2,IF(ISNUMBER(itens_Remanesc!C130),itens_Remanesc!C130,""),IF(OR(NOT(ISNUMBER(itens_Remanesc!C130)),NOT(ISNUMBER($L$4)),NOT(ISNUMBER(INDEX($L$2:$L$6,posicao_contratual!$Y130+1)))),"",ROUND(itens_Remanesc!C130*$L$4/INDEX($L$2:$L$6,posicao_contratual!$Y130+1),2)))))</f>
        <v/>
      </c>
      <c r="F130" s="79" t="str">
        <f>IF(OR($A130="",posicao_contratual!$Y130=""),"",IF(posicao_contratual!$Y130&gt;3,"",IF(posicao_contratual!$Y130=3,IF(ISNUMBER(itens_Remanesc!C130),itens_Remanesc!C130,""),IF(OR(NOT(ISNUMBER(itens_Remanesc!C130)),NOT(ISNUMBER($L$5)),NOT(ISNUMBER(INDEX($L$2:$L$6,posicao_contratual!$Y130+1)))),"",ROUND(itens_Remanesc!C130*$L$5/INDEX($L$2:$L$6,posicao_contratual!$Y130+1),2)))))</f>
        <v/>
      </c>
      <c r="G130" s="79" t="str">
        <f>IF(OR($A130="",posicao_contratual!$Y130=""),"",IF(posicao_contratual!$Y130&gt;4,"",IF(posicao_contratual!$Y130=4,IF(ISNUMBER(itens_Remanesc!C130),itens_Remanesc!C130,""),IF(OR(NOT(ISNUMBER(itens_Remanesc!C130)),NOT(ISNUMBER($L$6)),NOT(ISNUMBER(INDEX($L$2:$L$6,posicao_contratual!$Y130+1)))),"",ROUND(itens_Remanesc!C130*$L$6/INDEX($L$2:$L$6,posicao_contratual!$Y130+1),2)))))</f>
        <v/>
      </c>
      <c r="H130" s="114" t="str">
        <f t="shared" ref="H130:H161" si="4">IF(OR(A130="",C130="",C130=0,NOT(ISNUMBER($L$6))),"",ROUND($L$6-1,4))</f>
        <v/>
      </c>
      <c r="I130" s="13"/>
      <c r="J130" s="13"/>
      <c r="K130" s="13"/>
      <c r="L130" s="13"/>
      <c r="M130" s="13"/>
      <c r="N130" s="145" t="str">
        <f>IF(A130="","",IF(posicao_contratual!$Y130="","",IF(posicao_contratual!$Y130&gt;0,"",posicao_contratual!E130)))</f>
        <v/>
      </c>
      <c r="O130" s="145" t="str">
        <f>IF(A130="","",IF(posicao_contratual!$Y130="","",IF(posicao_contratual!$Y130&gt;1,"",posicao_contratual!I130)))</f>
        <v/>
      </c>
      <c r="P130" s="145" t="str">
        <f>IF(A130="","",IF(posicao_contratual!$Y130="","",IF(posicao_contratual!$Y130&gt;2,"",posicao_contratual!M130)))</f>
        <v/>
      </c>
      <c r="Q130" s="145" t="str">
        <f>IF(A130="","",IF(posicao_contratual!$Y130="","",IF(posicao_contratual!$Y130&gt;3,"",posicao_contratual!Q130)))</f>
        <v/>
      </c>
      <c r="R130" s="145" t="str">
        <f>IF(A130="","",IF(posicao_contratual!$Y130="","",IF(posicao_contratual!$Y130&gt;4,"",posicao_contratual!U130)))</f>
        <v/>
      </c>
      <c r="S130" s="165" t="str">
        <f>IF(A130="","",posicao_contratual!G130)</f>
        <v/>
      </c>
      <c r="T130" s="165" t="str">
        <f>IF(A130="","",posicao_contratual!K130)</f>
        <v/>
      </c>
      <c r="U130" s="165" t="str">
        <f>IF(A130="","",posicao_contratual!O130)</f>
        <v/>
      </c>
      <c r="V130" s="165" t="str">
        <f>IF(A130="","",posicao_contratual!S130)</f>
        <v/>
      </c>
      <c r="W130" s="165" t="str">
        <f>IF(A130="","",posicao_contratual!W130)</f>
        <v/>
      </c>
    </row>
    <row r="131" spans="1:23" x14ac:dyDescent="0.35">
      <c r="A131" s="86" t="str">
        <f>IF(itens_Remanesc!A131="","",itens_Remanesc!A131)</f>
        <v/>
      </c>
      <c r="B131" s="85" t="str">
        <f>IF(A131="","",IF(posicao_contratual!$Y131="","",IF(posicao_contratual!$Y131&gt;0,"",posicao_contratual!G131)))</f>
        <v/>
      </c>
      <c r="C131" s="79" t="str">
        <f>IF(itens_Remanesc!A131="","",IF(posicao_contratual!$Y131="","",IF(posicao_contratual!$Y131&gt;0,"",itens_Remanesc!C131)))</f>
        <v/>
      </c>
      <c r="D131" s="79" t="str">
        <f>IF(OR($A131="",posicao_contratual!$Y131=""),"",IF(posicao_contratual!$Y131&gt;1,"",IF(posicao_contratual!$Y131=1,IF(ISNUMBER(itens_Remanesc!C131),itens_Remanesc!C131,""),IF(OR(NOT(ISNUMBER(itens_Remanesc!C131)),NOT(ISNUMBER($L$3)),NOT(ISNUMBER(INDEX($L$2:$L$6,posicao_contratual!$Y131+1)))),"",ROUND(itens_Remanesc!C131*$L$3/INDEX($L$2:$L$6,posicao_contratual!$Y131+1),2)))))</f>
        <v/>
      </c>
      <c r="E131" s="79" t="str">
        <f>IF(OR($A131="",posicao_contratual!$Y131=""),"",IF(posicao_contratual!$Y131&gt;2,"",IF(posicao_contratual!$Y131=2,IF(ISNUMBER(itens_Remanesc!C131),itens_Remanesc!C131,""),IF(OR(NOT(ISNUMBER(itens_Remanesc!C131)),NOT(ISNUMBER($L$4)),NOT(ISNUMBER(INDEX($L$2:$L$6,posicao_contratual!$Y131+1)))),"",ROUND(itens_Remanesc!C131*$L$4/INDEX($L$2:$L$6,posicao_contratual!$Y131+1),2)))))</f>
        <v/>
      </c>
      <c r="F131" s="79" t="str">
        <f>IF(OR($A131="",posicao_contratual!$Y131=""),"",IF(posicao_contratual!$Y131&gt;3,"",IF(posicao_contratual!$Y131=3,IF(ISNUMBER(itens_Remanesc!C131),itens_Remanesc!C131,""),IF(OR(NOT(ISNUMBER(itens_Remanesc!C131)),NOT(ISNUMBER($L$5)),NOT(ISNUMBER(INDEX($L$2:$L$6,posicao_contratual!$Y131+1)))),"",ROUND(itens_Remanesc!C131*$L$5/INDEX($L$2:$L$6,posicao_contratual!$Y131+1),2)))))</f>
        <v/>
      </c>
      <c r="G131" s="79" t="str">
        <f>IF(OR($A131="",posicao_contratual!$Y131=""),"",IF(posicao_contratual!$Y131&gt;4,"",IF(posicao_contratual!$Y131=4,IF(ISNUMBER(itens_Remanesc!C131),itens_Remanesc!C131,""),IF(OR(NOT(ISNUMBER(itens_Remanesc!C131)),NOT(ISNUMBER($L$6)),NOT(ISNUMBER(INDEX($L$2:$L$6,posicao_contratual!$Y131+1)))),"",ROUND(itens_Remanesc!C131*$L$6/INDEX($L$2:$L$6,posicao_contratual!$Y131+1),2)))))</f>
        <v/>
      </c>
      <c r="H131" s="114" t="str">
        <f t="shared" si="4"/>
        <v/>
      </c>
      <c r="I131" s="13"/>
      <c r="J131" s="13"/>
      <c r="K131" s="13"/>
      <c r="L131" s="13"/>
      <c r="M131" s="13"/>
      <c r="N131" s="145" t="str">
        <f>IF(A131="","",IF(posicao_contratual!$Y131="","",IF(posicao_contratual!$Y131&gt;0,"",posicao_contratual!E131)))</f>
        <v/>
      </c>
      <c r="O131" s="145" t="str">
        <f>IF(A131="","",IF(posicao_contratual!$Y131="","",IF(posicao_contratual!$Y131&gt;1,"",posicao_contratual!I131)))</f>
        <v/>
      </c>
      <c r="P131" s="145" t="str">
        <f>IF(A131="","",IF(posicao_contratual!$Y131="","",IF(posicao_contratual!$Y131&gt;2,"",posicao_contratual!M131)))</f>
        <v/>
      </c>
      <c r="Q131" s="145" t="str">
        <f>IF(A131="","",IF(posicao_contratual!$Y131="","",IF(posicao_contratual!$Y131&gt;3,"",posicao_contratual!Q131)))</f>
        <v/>
      </c>
      <c r="R131" s="145" t="str">
        <f>IF(A131="","",IF(posicao_contratual!$Y131="","",IF(posicao_contratual!$Y131&gt;4,"",posicao_contratual!U131)))</f>
        <v/>
      </c>
      <c r="S131" s="165" t="str">
        <f>IF(A131="","",posicao_contratual!G131)</f>
        <v/>
      </c>
      <c r="T131" s="165" t="str">
        <f>IF(A131="","",posicao_contratual!K131)</f>
        <v/>
      </c>
      <c r="U131" s="165" t="str">
        <f>IF(A131="","",posicao_contratual!O131)</f>
        <v/>
      </c>
      <c r="V131" s="165" t="str">
        <f>IF(A131="","",posicao_contratual!S131)</f>
        <v/>
      </c>
      <c r="W131" s="165" t="str">
        <f>IF(A131="","",posicao_contratual!W131)</f>
        <v/>
      </c>
    </row>
    <row r="132" spans="1:23" x14ac:dyDescent="0.35">
      <c r="A132" s="86" t="str">
        <f>IF(itens_Remanesc!A132="","",itens_Remanesc!A132)</f>
        <v/>
      </c>
      <c r="B132" s="85" t="str">
        <f>IF(A132="","",IF(posicao_contratual!$Y132="","",IF(posicao_contratual!$Y132&gt;0,"",posicao_contratual!G132)))</f>
        <v/>
      </c>
      <c r="C132" s="79" t="str">
        <f>IF(itens_Remanesc!A132="","",IF(posicao_contratual!$Y132="","",IF(posicao_contratual!$Y132&gt;0,"",itens_Remanesc!C132)))</f>
        <v/>
      </c>
      <c r="D132" s="79" t="str">
        <f>IF(OR($A132="",posicao_contratual!$Y132=""),"",IF(posicao_contratual!$Y132&gt;1,"",IF(posicao_contratual!$Y132=1,IF(ISNUMBER(itens_Remanesc!C132),itens_Remanesc!C132,""),IF(OR(NOT(ISNUMBER(itens_Remanesc!C132)),NOT(ISNUMBER($L$3)),NOT(ISNUMBER(INDEX($L$2:$L$6,posicao_contratual!$Y132+1)))),"",ROUND(itens_Remanesc!C132*$L$3/INDEX($L$2:$L$6,posicao_contratual!$Y132+1),2)))))</f>
        <v/>
      </c>
      <c r="E132" s="79" t="str">
        <f>IF(OR($A132="",posicao_contratual!$Y132=""),"",IF(posicao_contratual!$Y132&gt;2,"",IF(posicao_contratual!$Y132=2,IF(ISNUMBER(itens_Remanesc!C132),itens_Remanesc!C132,""),IF(OR(NOT(ISNUMBER(itens_Remanesc!C132)),NOT(ISNUMBER($L$4)),NOT(ISNUMBER(INDEX($L$2:$L$6,posicao_contratual!$Y132+1)))),"",ROUND(itens_Remanesc!C132*$L$4/INDEX($L$2:$L$6,posicao_contratual!$Y132+1),2)))))</f>
        <v/>
      </c>
      <c r="F132" s="79" t="str">
        <f>IF(OR($A132="",posicao_contratual!$Y132=""),"",IF(posicao_contratual!$Y132&gt;3,"",IF(posicao_contratual!$Y132=3,IF(ISNUMBER(itens_Remanesc!C132),itens_Remanesc!C132,""),IF(OR(NOT(ISNUMBER(itens_Remanesc!C132)),NOT(ISNUMBER($L$5)),NOT(ISNUMBER(INDEX($L$2:$L$6,posicao_contratual!$Y132+1)))),"",ROUND(itens_Remanesc!C132*$L$5/INDEX($L$2:$L$6,posicao_contratual!$Y132+1),2)))))</f>
        <v/>
      </c>
      <c r="G132" s="79" t="str">
        <f>IF(OR($A132="",posicao_contratual!$Y132=""),"",IF(posicao_contratual!$Y132&gt;4,"",IF(posicao_contratual!$Y132=4,IF(ISNUMBER(itens_Remanesc!C132),itens_Remanesc!C132,""),IF(OR(NOT(ISNUMBER(itens_Remanesc!C132)),NOT(ISNUMBER($L$6)),NOT(ISNUMBER(INDEX($L$2:$L$6,posicao_contratual!$Y132+1)))),"",ROUND(itens_Remanesc!C132*$L$6/INDEX($L$2:$L$6,posicao_contratual!$Y132+1),2)))))</f>
        <v/>
      </c>
      <c r="H132" s="114" t="str">
        <f t="shared" si="4"/>
        <v/>
      </c>
      <c r="I132" s="13"/>
      <c r="J132" s="13"/>
      <c r="K132" s="13"/>
      <c r="L132" s="13"/>
      <c r="M132" s="13"/>
      <c r="N132" s="145" t="str">
        <f>IF(A132="","",IF(posicao_contratual!$Y132="","",IF(posicao_contratual!$Y132&gt;0,"",posicao_contratual!E132)))</f>
        <v/>
      </c>
      <c r="O132" s="145" t="str">
        <f>IF(A132="","",IF(posicao_contratual!$Y132="","",IF(posicao_contratual!$Y132&gt;1,"",posicao_contratual!I132)))</f>
        <v/>
      </c>
      <c r="P132" s="145" t="str">
        <f>IF(A132="","",IF(posicao_contratual!$Y132="","",IF(posicao_contratual!$Y132&gt;2,"",posicao_contratual!M132)))</f>
        <v/>
      </c>
      <c r="Q132" s="145" t="str">
        <f>IF(A132="","",IF(posicao_contratual!$Y132="","",IF(posicao_contratual!$Y132&gt;3,"",posicao_contratual!Q132)))</f>
        <v/>
      </c>
      <c r="R132" s="145" t="str">
        <f>IF(A132="","",IF(posicao_contratual!$Y132="","",IF(posicao_contratual!$Y132&gt;4,"",posicao_contratual!U132)))</f>
        <v/>
      </c>
      <c r="S132" s="165" t="str">
        <f>IF(A132="","",posicao_contratual!G132)</f>
        <v/>
      </c>
      <c r="T132" s="165" t="str">
        <f>IF(A132="","",posicao_contratual!K132)</f>
        <v/>
      </c>
      <c r="U132" s="165" t="str">
        <f>IF(A132="","",posicao_contratual!O132)</f>
        <v/>
      </c>
      <c r="V132" s="165" t="str">
        <f>IF(A132="","",posicao_contratual!S132)</f>
        <v/>
      </c>
      <c r="W132" s="165" t="str">
        <f>IF(A132="","",posicao_contratual!W132)</f>
        <v/>
      </c>
    </row>
    <row r="133" spans="1:23" x14ac:dyDescent="0.35">
      <c r="A133" s="86" t="str">
        <f>IF(itens_Remanesc!A133="","",itens_Remanesc!A133)</f>
        <v/>
      </c>
      <c r="B133" s="85" t="str">
        <f>IF(A133="","",IF(posicao_contratual!$Y133="","",IF(posicao_contratual!$Y133&gt;0,"",posicao_contratual!G133)))</f>
        <v/>
      </c>
      <c r="C133" s="79" t="str">
        <f>IF(itens_Remanesc!A133="","",IF(posicao_contratual!$Y133="","",IF(posicao_contratual!$Y133&gt;0,"",itens_Remanesc!C133)))</f>
        <v/>
      </c>
      <c r="D133" s="79" t="str">
        <f>IF(OR($A133="",posicao_contratual!$Y133=""),"",IF(posicao_contratual!$Y133&gt;1,"",IF(posicao_contratual!$Y133=1,IF(ISNUMBER(itens_Remanesc!C133),itens_Remanesc!C133,""),IF(OR(NOT(ISNUMBER(itens_Remanesc!C133)),NOT(ISNUMBER($L$3)),NOT(ISNUMBER(INDEX($L$2:$L$6,posicao_contratual!$Y133+1)))),"",ROUND(itens_Remanesc!C133*$L$3/INDEX($L$2:$L$6,posicao_contratual!$Y133+1),2)))))</f>
        <v/>
      </c>
      <c r="E133" s="79" t="str">
        <f>IF(OR($A133="",posicao_contratual!$Y133=""),"",IF(posicao_contratual!$Y133&gt;2,"",IF(posicao_contratual!$Y133=2,IF(ISNUMBER(itens_Remanesc!C133),itens_Remanesc!C133,""),IF(OR(NOT(ISNUMBER(itens_Remanesc!C133)),NOT(ISNUMBER($L$4)),NOT(ISNUMBER(INDEX($L$2:$L$6,posicao_contratual!$Y133+1)))),"",ROUND(itens_Remanesc!C133*$L$4/INDEX($L$2:$L$6,posicao_contratual!$Y133+1),2)))))</f>
        <v/>
      </c>
      <c r="F133" s="79" t="str">
        <f>IF(OR($A133="",posicao_contratual!$Y133=""),"",IF(posicao_contratual!$Y133&gt;3,"",IF(posicao_contratual!$Y133=3,IF(ISNUMBER(itens_Remanesc!C133),itens_Remanesc!C133,""),IF(OR(NOT(ISNUMBER(itens_Remanesc!C133)),NOT(ISNUMBER($L$5)),NOT(ISNUMBER(INDEX($L$2:$L$6,posicao_contratual!$Y133+1)))),"",ROUND(itens_Remanesc!C133*$L$5/INDEX($L$2:$L$6,posicao_contratual!$Y133+1),2)))))</f>
        <v/>
      </c>
      <c r="G133" s="79" t="str">
        <f>IF(OR($A133="",posicao_contratual!$Y133=""),"",IF(posicao_contratual!$Y133&gt;4,"",IF(posicao_contratual!$Y133=4,IF(ISNUMBER(itens_Remanesc!C133),itens_Remanesc!C133,""),IF(OR(NOT(ISNUMBER(itens_Remanesc!C133)),NOT(ISNUMBER($L$6)),NOT(ISNUMBER(INDEX($L$2:$L$6,posicao_contratual!$Y133+1)))),"",ROUND(itens_Remanesc!C133*$L$6/INDEX($L$2:$L$6,posicao_contratual!$Y133+1),2)))))</f>
        <v/>
      </c>
      <c r="H133" s="114" t="str">
        <f t="shared" si="4"/>
        <v/>
      </c>
      <c r="I133" s="13"/>
      <c r="J133" s="13"/>
      <c r="K133" s="13"/>
      <c r="L133" s="13"/>
      <c r="M133" s="13"/>
      <c r="N133" s="145" t="str">
        <f>IF(A133="","",IF(posicao_contratual!$Y133="","",IF(posicao_contratual!$Y133&gt;0,"",posicao_contratual!E133)))</f>
        <v/>
      </c>
      <c r="O133" s="145" t="str">
        <f>IF(A133="","",IF(posicao_contratual!$Y133="","",IF(posicao_contratual!$Y133&gt;1,"",posicao_contratual!I133)))</f>
        <v/>
      </c>
      <c r="P133" s="145" t="str">
        <f>IF(A133="","",IF(posicao_contratual!$Y133="","",IF(posicao_contratual!$Y133&gt;2,"",posicao_contratual!M133)))</f>
        <v/>
      </c>
      <c r="Q133" s="145" t="str">
        <f>IF(A133="","",IF(posicao_contratual!$Y133="","",IF(posicao_contratual!$Y133&gt;3,"",posicao_contratual!Q133)))</f>
        <v/>
      </c>
      <c r="R133" s="145" t="str">
        <f>IF(A133="","",IF(posicao_contratual!$Y133="","",IF(posicao_contratual!$Y133&gt;4,"",posicao_contratual!U133)))</f>
        <v/>
      </c>
      <c r="S133" s="165" t="str">
        <f>IF(A133="","",posicao_contratual!G133)</f>
        <v/>
      </c>
      <c r="T133" s="165" t="str">
        <f>IF(A133="","",posicao_contratual!K133)</f>
        <v/>
      </c>
      <c r="U133" s="165" t="str">
        <f>IF(A133="","",posicao_contratual!O133)</f>
        <v/>
      </c>
      <c r="V133" s="165" t="str">
        <f>IF(A133="","",posicao_contratual!S133)</f>
        <v/>
      </c>
      <c r="W133" s="165" t="str">
        <f>IF(A133="","",posicao_contratual!W133)</f>
        <v/>
      </c>
    </row>
    <row r="134" spans="1:23" x14ac:dyDescent="0.35">
      <c r="A134" s="86" t="str">
        <f>IF(itens_Remanesc!A134="","",itens_Remanesc!A134)</f>
        <v/>
      </c>
      <c r="B134" s="85" t="str">
        <f>IF(A134="","",IF(posicao_contratual!$Y134="","",IF(posicao_contratual!$Y134&gt;0,"",posicao_contratual!G134)))</f>
        <v/>
      </c>
      <c r="C134" s="79" t="str">
        <f>IF(itens_Remanesc!A134="","",IF(posicao_contratual!$Y134="","",IF(posicao_contratual!$Y134&gt;0,"",itens_Remanesc!C134)))</f>
        <v/>
      </c>
      <c r="D134" s="79" t="str">
        <f>IF(OR($A134="",posicao_contratual!$Y134=""),"",IF(posicao_contratual!$Y134&gt;1,"",IF(posicao_contratual!$Y134=1,IF(ISNUMBER(itens_Remanesc!C134),itens_Remanesc!C134,""),IF(OR(NOT(ISNUMBER(itens_Remanesc!C134)),NOT(ISNUMBER($L$3)),NOT(ISNUMBER(INDEX($L$2:$L$6,posicao_contratual!$Y134+1)))),"",ROUND(itens_Remanesc!C134*$L$3/INDEX($L$2:$L$6,posicao_contratual!$Y134+1),2)))))</f>
        <v/>
      </c>
      <c r="E134" s="79" t="str">
        <f>IF(OR($A134="",posicao_contratual!$Y134=""),"",IF(posicao_contratual!$Y134&gt;2,"",IF(posicao_contratual!$Y134=2,IF(ISNUMBER(itens_Remanesc!C134),itens_Remanesc!C134,""),IF(OR(NOT(ISNUMBER(itens_Remanesc!C134)),NOT(ISNUMBER($L$4)),NOT(ISNUMBER(INDEX($L$2:$L$6,posicao_contratual!$Y134+1)))),"",ROUND(itens_Remanesc!C134*$L$4/INDEX($L$2:$L$6,posicao_contratual!$Y134+1),2)))))</f>
        <v/>
      </c>
      <c r="F134" s="79" t="str">
        <f>IF(OR($A134="",posicao_contratual!$Y134=""),"",IF(posicao_contratual!$Y134&gt;3,"",IF(posicao_contratual!$Y134=3,IF(ISNUMBER(itens_Remanesc!C134),itens_Remanesc!C134,""),IF(OR(NOT(ISNUMBER(itens_Remanesc!C134)),NOT(ISNUMBER($L$5)),NOT(ISNUMBER(INDEX($L$2:$L$6,posicao_contratual!$Y134+1)))),"",ROUND(itens_Remanesc!C134*$L$5/INDEX($L$2:$L$6,posicao_contratual!$Y134+1),2)))))</f>
        <v/>
      </c>
      <c r="G134" s="79" t="str">
        <f>IF(OR($A134="",posicao_contratual!$Y134=""),"",IF(posicao_contratual!$Y134&gt;4,"",IF(posicao_contratual!$Y134=4,IF(ISNUMBER(itens_Remanesc!C134),itens_Remanesc!C134,""),IF(OR(NOT(ISNUMBER(itens_Remanesc!C134)),NOT(ISNUMBER($L$6)),NOT(ISNUMBER(INDEX($L$2:$L$6,posicao_contratual!$Y134+1)))),"",ROUND(itens_Remanesc!C134*$L$6/INDEX($L$2:$L$6,posicao_contratual!$Y134+1),2)))))</f>
        <v/>
      </c>
      <c r="H134" s="114" t="str">
        <f t="shared" si="4"/>
        <v/>
      </c>
      <c r="I134" s="13"/>
      <c r="J134" s="13"/>
      <c r="K134" s="13"/>
      <c r="L134" s="13"/>
      <c r="M134" s="13"/>
      <c r="N134" s="145" t="str">
        <f>IF(A134="","",IF(posicao_contratual!$Y134="","",IF(posicao_contratual!$Y134&gt;0,"",posicao_contratual!E134)))</f>
        <v/>
      </c>
      <c r="O134" s="145" t="str">
        <f>IF(A134="","",IF(posicao_contratual!$Y134="","",IF(posicao_contratual!$Y134&gt;1,"",posicao_contratual!I134)))</f>
        <v/>
      </c>
      <c r="P134" s="145" t="str">
        <f>IF(A134="","",IF(posicao_contratual!$Y134="","",IF(posicao_contratual!$Y134&gt;2,"",posicao_contratual!M134)))</f>
        <v/>
      </c>
      <c r="Q134" s="145" t="str">
        <f>IF(A134="","",IF(posicao_contratual!$Y134="","",IF(posicao_contratual!$Y134&gt;3,"",posicao_contratual!Q134)))</f>
        <v/>
      </c>
      <c r="R134" s="145" t="str">
        <f>IF(A134="","",IF(posicao_contratual!$Y134="","",IF(posicao_contratual!$Y134&gt;4,"",posicao_contratual!U134)))</f>
        <v/>
      </c>
      <c r="S134" s="165" t="str">
        <f>IF(A134="","",posicao_contratual!G134)</f>
        <v/>
      </c>
      <c r="T134" s="165" t="str">
        <f>IF(A134="","",posicao_contratual!K134)</f>
        <v/>
      </c>
      <c r="U134" s="165" t="str">
        <f>IF(A134="","",posicao_contratual!O134)</f>
        <v/>
      </c>
      <c r="V134" s="165" t="str">
        <f>IF(A134="","",posicao_contratual!S134)</f>
        <v/>
      </c>
      <c r="W134" s="165" t="str">
        <f>IF(A134="","",posicao_contratual!W134)</f>
        <v/>
      </c>
    </row>
    <row r="135" spans="1:23" x14ac:dyDescent="0.35">
      <c r="A135" s="86" t="str">
        <f>IF(itens_Remanesc!A135="","",itens_Remanesc!A135)</f>
        <v/>
      </c>
      <c r="B135" s="85" t="str">
        <f>IF(A135="","",IF(posicao_contratual!$Y135="","",IF(posicao_contratual!$Y135&gt;0,"",posicao_contratual!G135)))</f>
        <v/>
      </c>
      <c r="C135" s="79" t="str">
        <f>IF(itens_Remanesc!A135="","",IF(posicao_contratual!$Y135="","",IF(posicao_contratual!$Y135&gt;0,"",itens_Remanesc!C135)))</f>
        <v/>
      </c>
      <c r="D135" s="79" t="str">
        <f>IF(OR($A135="",posicao_contratual!$Y135=""),"",IF(posicao_contratual!$Y135&gt;1,"",IF(posicao_contratual!$Y135=1,IF(ISNUMBER(itens_Remanesc!C135),itens_Remanesc!C135,""),IF(OR(NOT(ISNUMBER(itens_Remanesc!C135)),NOT(ISNUMBER($L$3)),NOT(ISNUMBER(INDEX($L$2:$L$6,posicao_contratual!$Y135+1)))),"",ROUND(itens_Remanesc!C135*$L$3/INDEX($L$2:$L$6,posicao_contratual!$Y135+1),2)))))</f>
        <v/>
      </c>
      <c r="E135" s="79" t="str">
        <f>IF(OR($A135="",posicao_contratual!$Y135=""),"",IF(posicao_contratual!$Y135&gt;2,"",IF(posicao_contratual!$Y135=2,IF(ISNUMBER(itens_Remanesc!C135),itens_Remanesc!C135,""),IF(OR(NOT(ISNUMBER(itens_Remanesc!C135)),NOT(ISNUMBER($L$4)),NOT(ISNUMBER(INDEX($L$2:$L$6,posicao_contratual!$Y135+1)))),"",ROUND(itens_Remanesc!C135*$L$4/INDEX($L$2:$L$6,posicao_contratual!$Y135+1),2)))))</f>
        <v/>
      </c>
      <c r="F135" s="79" t="str">
        <f>IF(OR($A135="",posicao_contratual!$Y135=""),"",IF(posicao_contratual!$Y135&gt;3,"",IF(posicao_contratual!$Y135=3,IF(ISNUMBER(itens_Remanesc!C135),itens_Remanesc!C135,""),IF(OR(NOT(ISNUMBER(itens_Remanesc!C135)),NOT(ISNUMBER($L$5)),NOT(ISNUMBER(INDEX($L$2:$L$6,posicao_contratual!$Y135+1)))),"",ROUND(itens_Remanesc!C135*$L$5/INDEX($L$2:$L$6,posicao_contratual!$Y135+1),2)))))</f>
        <v/>
      </c>
      <c r="G135" s="79" t="str">
        <f>IF(OR($A135="",posicao_contratual!$Y135=""),"",IF(posicao_contratual!$Y135&gt;4,"",IF(posicao_contratual!$Y135=4,IF(ISNUMBER(itens_Remanesc!C135),itens_Remanesc!C135,""),IF(OR(NOT(ISNUMBER(itens_Remanesc!C135)),NOT(ISNUMBER($L$6)),NOT(ISNUMBER(INDEX($L$2:$L$6,posicao_contratual!$Y135+1)))),"",ROUND(itens_Remanesc!C135*$L$6/INDEX($L$2:$L$6,posicao_contratual!$Y135+1),2)))))</f>
        <v/>
      </c>
      <c r="H135" s="114" t="str">
        <f t="shared" si="4"/>
        <v/>
      </c>
      <c r="I135" s="13"/>
      <c r="J135" s="13"/>
      <c r="K135" s="13"/>
      <c r="L135" s="13"/>
      <c r="M135" s="13"/>
      <c r="N135" s="145" t="str">
        <f>IF(A135="","",IF(posicao_contratual!$Y135="","",IF(posicao_contratual!$Y135&gt;0,"",posicao_contratual!E135)))</f>
        <v/>
      </c>
      <c r="O135" s="145" t="str">
        <f>IF(A135="","",IF(posicao_contratual!$Y135="","",IF(posicao_contratual!$Y135&gt;1,"",posicao_contratual!I135)))</f>
        <v/>
      </c>
      <c r="P135" s="145" t="str">
        <f>IF(A135="","",IF(posicao_contratual!$Y135="","",IF(posicao_contratual!$Y135&gt;2,"",posicao_contratual!M135)))</f>
        <v/>
      </c>
      <c r="Q135" s="145" t="str">
        <f>IF(A135="","",IF(posicao_contratual!$Y135="","",IF(posicao_contratual!$Y135&gt;3,"",posicao_contratual!Q135)))</f>
        <v/>
      </c>
      <c r="R135" s="145" t="str">
        <f>IF(A135="","",IF(posicao_contratual!$Y135="","",IF(posicao_contratual!$Y135&gt;4,"",posicao_contratual!U135)))</f>
        <v/>
      </c>
      <c r="S135" s="165" t="str">
        <f>IF(A135="","",posicao_contratual!G135)</f>
        <v/>
      </c>
      <c r="T135" s="165" t="str">
        <f>IF(A135="","",posicao_contratual!K135)</f>
        <v/>
      </c>
      <c r="U135" s="165" t="str">
        <f>IF(A135="","",posicao_contratual!O135)</f>
        <v/>
      </c>
      <c r="V135" s="165" t="str">
        <f>IF(A135="","",posicao_contratual!S135)</f>
        <v/>
      </c>
      <c r="W135" s="165" t="str">
        <f>IF(A135="","",posicao_contratual!W135)</f>
        <v/>
      </c>
    </row>
    <row r="136" spans="1:23" x14ac:dyDescent="0.35">
      <c r="A136" s="86" t="str">
        <f>IF(itens_Remanesc!A136="","",itens_Remanesc!A136)</f>
        <v/>
      </c>
      <c r="B136" s="85" t="str">
        <f>IF(A136="","",IF(posicao_contratual!$Y136="","",IF(posicao_contratual!$Y136&gt;0,"",posicao_contratual!G136)))</f>
        <v/>
      </c>
      <c r="C136" s="79" t="str">
        <f>IF(itens_Remanesc!A136="","",IF(posicao_contratual!$Y136="","",IF(posicao_contratual!$Y136&gt;0,"",itens_Remanesc!C136)))</f>
        <v/>
      </c>
      <c r="D136" s="79" t="str">
        <f>IF(OR($A136="",posicao_contratual!$Y136=""),"",IF(posicao_contratual!$Y136&gt;1,"",IF(posicao_contratual!$Y136=1,IF(ISNUMBER(itens_Remanesc!C136),itens_Remanesc!C136,""),IF(OR(NOT(ISNUMBER(itens_Remanesc!C136)),NOT(ISNUMBER($L$3)),NOT(ISNUMBER(INDEX($L$2:$L$6,posicao_contratual!$Y136+1)))),"",ROUND(itens_Remanesc!C136*$L$3/INDEX($L$2:$L$6,posicao_contratual!$Y136+1),2)))))</f>
        <v/>
      </c>
      <c r="E136" s="79" t="str">
        <f>IF(OR($A136="",posicao_contratual!$Y136=""),"",IF(posicao_contratual!$Y136&gt;2,"",IF(posicao_contratual!$Y136=2,IF(ISNUMBER(itens_Remanesc!C136),itens_Remanesc!C136,""),IF(OR(NOT(ISNUMBER(itens_Remanesc!C136)),NOT(ISNUMBER($L$4)),NOT(ISNUMBER(INDEX($L$2:$L$6,posicao_contratual!$Y136+1)))),"",ROUND(itens_Remanesc!C136*$L$4/INDEX($L$2:$L$6,posicao_contratual!$Y136+1),2)))))</f>
        <v/>
      </c>
      <c r="F136" s="79" t="str">
        <f>IF(OR($A136="",posicao_contratual!$Y136=""),"",IF(posicao_contratual!$Y136&gt;3,"",IF(posicao_contratual!$Y136=3,IF(ISNUMBER(itens_Remanesc!C136),itens_Remanesc!C136,""),IF(OR(NOT(ISNUMBER(itens_Remanesc!C136)),NOT(ISNUMBER($L$5)),NOT(ISNUMBER(INDEX($L$2:$L$6,posicao_contratual!$Y136+1)))),"",ROUND(itens_Remanesc!C136*$L$5/INDEX($L$2:$L$6,posicao_contratual!$Y136+1),2)))))</f>
        <v/>
      </c>
      <c r="G136" s="79" t="str">
        <f>IF(OR($A136="",posicao_contratual!$Y136=""),"",IF(posicao_contratual!$Y136&gt;4,"",IF(posicao_contratual!$Y136=4,IF(ISNUMBER(itens_Remanesc!C136),itens_Remanesc!C136,""),IF(OR(NOT(ISNUMBER(itens_Remanesc!C136)),NOT(ISNUMBER($L$6)),NOT(ISNUMBER(INDEX($L$2:$L$6,posicao_contratual!$Y136+1)))),"",ROUND(itens_Remanesc!C136*$L$6/INDEX($L$2:$L$6,posicao_contratual!$Y136+1),2)))))</f>
        <v/>
      </c>
      <c r="H136" s="114" t="str">
        <f t="shared" si="4"/>
        <v/>
      </c>
      <c r="I136" s="13"/>
      <c r="J136" s="13"/>
      <c r="K136" s="13"/>
      <c r="L136" s="13"/>
      <c r="M136" s="13"/>
      <c r="N136" s="145" t="str">
        <f>IF(A136="","",IF(posicao_contratual!$Y136="","",IF(posicao_contratual!$Y136&gt;0,"",posicao_contratual!E136)))</f>
        <v/>
      </c>
      <c r="O136" s="145" t="str">
        <f>IF(A136="","",IF(posicao_contratual!$Y136="","",IF(posicao_contratual!$Y136&gt;1,"",posicao_contratual!I136)))</f>
        <v/>
      </c>
      <c r="P136" s="145" t="str">
        <f>IF(A136="","",IF(posicao_contratual!$Y136="","",IF(posicao_contratual!$Y136&gt;2,"",posicao_contratual!M136)))</f>
        <v/>
      </c>
      <c r="Q136" s="145" t="str">
        <f>IF(A136="","",IF(posicao_contratual!$Y136="","",IF(posicao_contratual!$Y136&gt;3,"",posicao_contratual!Q136)))</f>
        <v/>
      </c>
      <c r="R136" s="145" t="str">
        <f>IF(A136="","",IF(posicao_contratual!$Y136="","",IF(posicao_contratual!$Y136&gt;4,"",posicao_contratual!U136)))</f>
        <v/>
      </c>
      <c r="S136" s="165" t="str">
        <f>IF(A136="","",posicao_contratual!G136)</f>
        <v/>
      </c>
      <c r="T136" s="165" t="str">
        <f>IF(A136="","",posicao_contratual!K136)</f>
        <v/>
      </c>
      <c r="U136" s="165" t="str">
        <f>IF(A136="","",posicao_contratual!O136)</f>
        <v/>
      </c>
      <c r="V136" s="165" t="str">
        <f>IF(A136="","",posicao_contratual!S136)</f>
        <v/>
      </c>
      <c r="W136" s="165" t="str">
        <f>IF(A136="","",posicao_contratual!W136)</f>
        <v/>
      </c>
    </row>
    <row r="137" spans="1:23" x14ac:dyDescent="0.35">
      <c r="A137" s="86" t="str">
        <f>IF(itens_Remanesc!A137="","",itens_Remanesc!A137)</f>
        <v/>
      </c>
      <c r="B137" s="85" t="str">
        <f>IF(A137="","",IF(posicao_contratual!$Y137="","",IF(posicao_contratual!$Y137&gt;0,"",posicao_contratual!G137)))</f>
        <v/>
      </c>
      <c r="C137" s="79" t="str">
        <f>IF(itens_Remanesc!A137="","",IF(posicao_contratual!$Y137="","",IF(posicao_contratual!$Y137&gt;0,"",itens_Remanesc!C137)))</f>
        <v/>
      </c>
      <c r="D137" s="79" t="str">
        <f>IF(OR($A137="",posicao_contratual!$Y137=""),"",IF(posicao_contratual!$Y137&gt;1,"",IF(posicao_contratual!$Y137=1,IF(ISNUMBER(itens_Remanesc!C137),itens_Remanesc!C137,""),IF(OR(NOT(ISNUMBER(itens_Remanesc!C137)),NOT(ISNUMBER($L$3)),NOT(ISNUMBER(INDEX($L$2:$L$6,posicao_contratual!$Y137+1)))),"",ROUND(itens_Remanesc!C137*$L$3/INDEX($L$2:$L$6,posicao_contratual!$Y137+1),2)))))</f>
        <v/>
      </c>
      <c r="E137" s="79" t="str">
        <f>IF(OR($A137="",posicao_contratual!$Y137=""),"",IF(posicao_contratual!$Y137&gt;2,"",IF(posicao_contratual!$Y137=2,IF(ISNUMBER(itens_Remanesc!C137),itens_Remanesc!C137,""),IF(OR(NOT(ISNUMBER(itens_Remanesc!C137)),NOT(ISNUMBER($L$4)),NOT(ISNUMBER(INDEX($L$2:$L$6,posicao_contratual!$Y137+1)))),"",ROUND(itens_Remanesc!C137*$L$4/INDEX($L$2:$L$6,posicao_contratual!$Y137+1),2)))))</f>
        <v/>
      </c>
      <c r="F137" s="79" t="str">
        <f>IF(OR($A137="",posicao_contratual!$Y137=""),"",IF(posicao_contratual!$Y137&gt;3,"",IF(posicao_contratual!$Y137=3,IF(ISNUMBER(itens_Remanesc!C137),itens_Remanesc!C137,""),IF(OR(NOT(ISNUMBER(itens_Remanesc!C137)),NOT(ISNUMBER($L$5)),NOT(ISNUMBER(INDEX($L$2:$L$6,posicao_contratual!$Y137+1)))),"",ROUND(itens_Remanesc!C137*$L$5/INDEX($L$2:$L$6,posicao_contratual!$Y137+1),2)))))</f>
        <v/>
      </c>
      <c r="G137" s="79" t="str">
        <f>IF(OR($A137="",posicao_contratual!$Y137=""),"",IF(posicao_contratual!$Y137&gt;4,"",IF(posicao_contratual!$Y137=4,IF(ISNUMBER(itens_Remanesc!C137),itens_Remanesc!C137,""),IF(OR(NOT(ISNUMBER(itens_Remanesc!C137)),NOT(ISNUMBER($L$6)),NOT(ISNUMBER(INDEX($L$2:$L$6,posicao_contratual!$Y137+1)))),"",ROUND(itens_Remanesc!C137*$L$6/INDEX($L$2:$L$6,posicao_contratual!$Y137+1),2)))))</f>
        <v/>
      </c>
      <c r="H137" s="114" t="str">
        <f t="shared" si="4"/>
        <v/>
      </c>
      <c r="I137" s="13"/>
      <c r="J137" s="13"/>
      <c r="K137" s="13"/>
      <c r="L137" s="13"/>
      <c r="M137" s="13"/>
      <c r="N137" s="145" t="str">
        <f>IF(A137="","",IF(posicao_contratual!$Y137="","",IF(posicao_contratual!$Y137&gt;0,"",posicao_contratual!E137)))</f>
        <v/>
      </c>
      <c r="O137" s="145" t="str">
        <f>IF(A137="","",IF(posicao_contratual!$Y137="","",IF(posicao_contratual!$Y137&gt;1,"",posicao_contratual!I137)))</f>
        <v/>
      </c>
      <c r="P137" s="145" t="str">
        <f>IF(A137="","",IF(posicao_contratual!$Y137="","",IF(posicao_contratual!$Y137&gt;2,"",posicao_contratual!M137)))</f>
        <v/>
      </c>
      <c r="Q137" s="145" t="str">
        <f>IF(A137="","",IF(posicao_contratual!$Y137="","",IF(posicao_contratual!$Y137&gt;3,"",posicao_contratual!Q137)))</f>
        <v/>
      </c>
      <c r="R137" s="145" t="str">
        <f>IF(A137="","",IF(posicao_contratual!$Y137="","",IF(posicao_contratual!$Y137&gt;4,"",posicao_contratual!U137)))</f>
        <v/>
      </c>
      <c r="S137" s="165" t="str">
        <f>IF(A137="","",posicao_contratual!G137)</f>
        <v/>
      </c>
      <c r="T137" s="165" t="str">
        <f>IF(A137="","",posicao_contratual!K137)</f>
        <v/>
      </c>
      <c r="U137" s="165" t="str">
        <f>IF(A137="","",posicao_contratual!O137)</f>
        <v/>
      </c>
      <c r="V137" s="165" t="str">
        <f>IF(A137="","",posicao_contratual!S137)</f>
        <v/>
      </c>
      <c r="W137" s="165" t="str">
        <f>IF(A137="","",posicao_contratual!W137)</f>
        <v/>
      </c>
    </row>
    <row r="138" spans="1:23" x14ac:dyDescent="0.35">
      <c r="A138" s="86" t="str">
        <f>IF(itens_Remanesc!A138="","",itens_Remanesc!A138)</f>
        <v/>
      </c>
      <c r="B138" s="85" t="str">
        <f>IF(A138="","",IF(posicao_contratual!$Y138="","",IF(posicao_contratual!$Y138&gt;0,"",posicao_contratual!G138)))</f>
        <v/>
      </c>
      <c r="C138" s="79" t="str">
        <f>IF(itens_Remanesc!A138="","",IF(posicao_contratual!$Y138="","",IF(posicao_contratual!$Y138&gt;0,"",itens_Remanesc!C138)))</f>
        <v/>
      </c>
      <c r="D138" s="79" t="str">
        <f>IF(OR($A138="",posicao_contratual!$Y138=""),"",IF(posicao_contratual!$Y138&gt;1,"",IF(posicao_contratual!$Y138=1,IF(ISNUMBER(itens_Remanesc!C138),itens_Remanesc!C138,""),IF(OR(NOT(ISNUMBER(itens_Remanesc!C138)),NOT(ISNUMBER($L$3)),NOT(ISNUMBER(INDEX($L$2:$L$6,posicao_contratual!$Y138+1)))),"",ROUND(itens_Remanesc!C138*$L$3/INDEX($L$2:$L$6,posicao_contratual!$Y138+1),2)))))</f>
        <v/>
      </c>
      <c r="E138" s="79" t="str">
        <f>IF(OR($A138="",posicao_contratual!$Y138=""),"",IF(posicao_contratual!$Y138&gt;2,"",IF(posicao_contratual!$Y138=2,IF(ISNUMBER(itens_Remanesc!C138),itens_Remanesc!C138,""),IF(OR(NOT(ISNUMBER(itens_Remanesc!C138)),NOT(ISNUMBER($L$4)),NOT(ISNUMBER(INDEX($L$2:$L$6,posicao_contratual!$Y138+1)))),"",ROUND(itens_Remanesc!C138*$L$4/INDEX($L$2:$L$6,posicao_contratual!$Y138+1),2)))))</f>
        <v/>
      </c>
      <c r="F138" s="79" t="str">
        <f>IF(OR($A138="",posicao_contratual!$Y138=""),"",IF(posicao_contratual!$Y138&gt;3,"",IF(posicao_contratual!$Y138=3,IF(ISNUMBER(itens_Remanesc!C138),itens_Remanesc!C138,""),IF(OR(NOT(ISNUMBER(itens_Remanesc!C138)),NOT(ISNUMBER($L$5)),NOT(ISNUMBER(INDEX($L$2:$L$6,posicao_contratual!$Y138+1)))),"",ROUND(itens_Remanesc!C138*$L$5/INDEX($L$2:$L$6,posicao_contratual!$Y138+1),2)))))</f>
        <v/>
      </c>
      <c r="G138" s="79" t="str">
        <f>IF(OR($A138="",posicao_contratual!$Y138=""),"",IF(posicao_contratual!$Y138&gt;4,"",IF(posicao_contratual!$Y138=4,IF(ISNUMBER(itens_Remanesc!C138),itens_Remanesc!C138,""),IF(OR(NOT(ISNUMBER(itens_Remanesc!C138)),NOT(ISNUMBER($L$6)),NOT(ISNUMBER(INDEX($L$2:$L$6,posicao_contratual!$Y138+1)))),"",ROUND(itens_Remanesc!C138*$L$6/INDEX($L$2:$L$6,posicao_contratual!$Y138+1),2)))))</f>
        <v/>
      </c>
      <c r="H138" s="114" t="str">
        <f t="shared" si="4"/>
        <v/>
      </c>
      <c r="I138" s="13"/>
      <c r="J138" s="13"/>
      <c r="K138" s="13"/>
      <c r="L138" s="13"/>
      <c r="M138" s="13"/>
      <c r="N138" s="145" t="str">
        <f>IF(A138="","",IF(posicao_contratual!$Y138="","",IF(posicao_contratual!$Y138&gt;0,"",posicao_contratual!E138)))</f>
        <v/>
      </c>
      <c r="O138" s="145" t="str">
        <f>IF(A138="","",IF(posicao_contratual!$Y138="","",IF(posicao_contratual!$Y138&gt;1,"",posicao_contratual!I138)))</f>
        <v/>
      </c>
      <c r="P138" s="145" t="str">
        <f>IF(A138="","",IF(posicao_contratual!$Y138="","",IF(posicao_contratual!$Y138&gt;2,"",posicao_contratual!M138)))</f>
        <v/>
      </c>
      <c r="Q138" s="145" t="str">
        <f>IF(A138="","",IF(posicao_contratual!$Y138="","",IF(posicao_contratual!$Y138&gt;3,"",posicao_contratual!Q138)))</f>
        <v/>
      </c>
      <c r="R138" s="145" t="str">
        <f>IF(A138="","",IF(posicao_contratual!$Y138="","",IF(posicao_contratual!$Y138&gt;4,"",posicao_contratual!U138)))</f>
        <v/>
      </c>
      <c r="S138" s="165" t="str">
        <f>IF(A138="","",posicao_contratual!G138)</f>
        <v/>
      </c>
      <c r="T138" s="165" t="str">
        <f>IF(A138="","",posicao_contratual!K138)</f>
        <v/>
      </c>
      <c r="U138" s="165" t="str">
        <f>IF(A138="","",posicao_contratual!O138)</f>
        <v/>
      </c>
      <c r="V138" s="165" t="str">
        <f>IF(A138="","",posicao_contratual!S138)</f>
        <v/>
      </c>
      <c r="W138" s="165" t="str">
        <f>IF(A138="","",posicao_contratual!W138)</f>
        <v/>
      </c>
    </row>
    <row r="139" spans="1:23" x14ac:dyDescent="0.35">
      <c r="A139" s="86" t="str">
        <f>IF(itens_Remanesc!A139="","",itens_Remanesc!A139)</f>
        <v/>
      </c>
      <c r="B139" s="85" t="str">
        <f>IF(A139="","",IF(posicao_contratual!$Y139="","",IF(posicao_contratual!$Y139&gt;0,"",posicao_contratual!G139)))</f>
        <v/>
      </c>
      <c r="C139" s="79" t="str">
        <f>IF(itens_Remanesc!A139="","",IF(posicao_contratual!$Y139="","",IF(posicao_contratual!$Y139&gt;0,"",itens_Remanesc!C139)))</f>
        <v/>
      </c>
      <c r="D139" s="79" t="str">
        <f>IF(OR($A139="",posicao_contratual!$Y139=""),"",IF(posicao_contratual!$Y139&gt;1,"",IF(posicao_contratual!$Y139=1,IF(ISNUMBER(itens_Remanesc!C139),itens_Remanesc!C139,""),IF(OR(NOT(ISNUMBER(itens_Remanesc!C139)),NOT(ISNUMBER($L$3)),NOT(ISNUMBER(INDEX($L$2:$L$6,posicao_contratual!$Y139+1)))),"",ROUND(itens_Remanesc!C139*$L$3/INDEX($L$2:$L$6,posicao_contratual!$Y139+1),2)))))</f>
        <v/>
      </c>
      <c r="E139" s="79" t="str">
        <f>IF(OR($A139="",posicao_contratual!$Y139=""),"",IF(posicao_contratual!$Y139&gt;2,"",IF(posicao_contratual!$Y139=2,IF(ISNUMBER(itens_Remanesc!C139),itens_Remanesc!C139,""),IF(OR(NOT(ISNUMBER(itens_Remanesc!C139)),NOT(ISNUMBER($L$4)),NOT(ISNUMBER(INDEX($L$2:$L$6,posicao_contratual!$Y139+1)))),"",ROUND(itens_Remanesc!C139*$L$4/INDEX($L$2:$L$6,posicao_contratual!$Y139+1),2)))))</f>
        <v/>
      </c>
      <c r="F139" s="79" t="str">
        <f>IF(OR($A139="",posicao_contratual!$Y139=""),"",IF(posicao_contratual!$Y139&gt;3,"",IF(posicao_contratual!$Y139=3,IF(ISNUMBER(itens_Remanesc!C139),itens_Remanesc!C139,""),IF(OR(NOT(ISNUMBER(itens_Remanesc!C139)),NOT(ISNUMBER($L$5)),NOT(ISNUMBER(INDEX($L$2:$L$6,posicao_contratual!$Y139+1)))),"",ROUND(itens_Remanesc!C139*$L$5/INDEX($L$2:$L$6,posicao_contratual!$Y139+1),2)))))</f>
        <v/>
      </c>
      <c r="G139" s="79" t="str">
        <f>IF(OR($A139="",posicao_contratual!$Y139=""),"",IF(posicao_contratual!$Y139&gt;4,"",IF(posicao_contratual!$Y139=4,IF(ISNUMBER(itens_Remanesc!C139),itens_Remanesc!C139,""),IF(OR(NOT(ISNUMBER(itens_Remanesc!C139)),NOT(ISNUMBER($L$6)),NOT(ISNUMBER(INDEX($L$2:$L$6,posicao_contratual!$Y139+1)))),"",ROUND(itens_Remanesc!C139*$L$6/INDEX($L$2:$L$6,posicao_contratual!$Y139+1),2)))))</f>
        <v/>
      </c>
      <c r="H139" s="114" t="str">
        <f t="shared" si="4"/>
        <v/>
      </c>
      <c r="I139" s="13"/>
      <c r="J139" s="13"/>
      <c r="K139" s="13"/>
      <c r="L139" s="13"/>
      <c r="M139" s="13"/>
      <c r="N139" s="145" t="str">
        <f>IF(A139="","",IF(posicao_contratual!$Y139="","",IF(posicao_contratual!$Y139&gt;0,"",posicao_contratual!E139)))</f>
        <v/>
      </c>
      <c r="O139" s="145" t="str">
        <f>IF(A139="","",IF(posicao_contratual!$Y139="","",IF(posicao_contratual!$Y139&gt;1,"",posicao_contratual!I139)))</f>
        <v/>
      </c>
      <c r="P139" s="145" t="str">
        <f>IF(A139="","",IF(posicao_contratual!$Y139="","",IF(posicao_contratual!$Y139&gt;2,"",posicao_contratual!M139)))</f>
        <v/>
      </c>
      <c r="Q139" s="145" t="str">
        <f>IF(A139="","",IF(posicao_contratual!$Y139="","",IF(posicao_contratual!$Y139&gt;3,"",posicao_contratual!Q139)))</f>
        <v/>
      </c>
      <c r="R139" s="145" t="str">
        <f>IF(A139="","",IF(posicao_contratual!$Y139="","",IF(posicao_contratual!$Y139&gt;4,"",posicao_contratual!U139)))</f>
        <v/>
      </c>
      <c r="S139" s="165" t="str">
        <f>IF(A139="","",posicao_contratual!G139)</f>
        <v/>
      </c>
      <c r="T139" s="165" t="str">
        <f>IF(A139="","",posicao_contratual!K139)</f>
        <v/>
      </c>
      <c r="U139" s="165" t="str">
        <f>IF(A139="","",posicao_contratual!O139)</f>
        <v/>
      </c>
      <c r="V139" s="165" t="str">
        <f>IF(A139="","",posicao_contratual!S139)</f>
        <v/>
      </c>
      <c r="W139" s="165" t="str">
        <f>IF(A139="","",posicao_contratual!W139)</f>
        <v/>
      </c>
    </row>
    <row r="140" spans="1:23" x14ac:dyDescent="0.35">
      <c r="A140" s="86" t="str">
        <f>IF(itens_Remanesc!A140="","",itens_Remanesc!A140)</f>
        <v/>
      </c>
      <c r="B140" s="85" t="str">
        <f>IF(A140="","",IF(posicao_contratual!$Y140="","",IF(posicao_contratual!$Y140&gt;0,"",posicao_contratual!G140)))</f>
        <v/>
      </c>
      <c r="C140" s="79" t="str">
        <f>IF(itens_Remanesc!A140="","",IF(posicao_contratual!$Y140="","",IF(posicao_contratual!$Y140&gt;0,"",itens_Remanesc!C140)))</f>
        <v/>
      </c>
      <c r="D140" s="79" t="str">
        <f>IF(OR($A140="",posicao_contratual!$Y140=""),"",IF(posicao_contratual!$Y140&gt;1,"",IF(posicao_contratual!$Y140=1,IF(ISNUMBER(itens_Remanesc!C140),itens_Remanesc!C140,""),IF(OR(NOT(ISNUMBER(itens_Remanesc!C140)),NOT(ISNUMBER($L$3)),NOT(ISNUMBER(INDEX($L$2:$L$6,posicao_contratual!$Y140+1)))),"",ROUND(itens_Remanesc!C140*$L$3/INDEX($L$2:$L$6,posicao_contratual!$Y140+1),2)))))</f>
        <v/>
      </c>
      <c r="E140" s="79" t="str">
        <f>IF(OR($A140="",posicao_contratual!$Y140=""),"",IF(posicao_contratual!$Y140&gt;2,"",IF(posicao_contratual!$Y140=2,IF(ISNUMBER(itens_Remanesc!C140),itens_Remanesc!C140,""),IF(OR(NOT(ISNUMBER(itens_Remanesc!C140)),NOT(ISNUMBER($L$4)),NOT(ISNUMBER(INDEX($L$2:$L$6,posicao_contratual!$Y140+1)))),"",ROUND(itens_Remanesc!C140*$L$4/INDEX($L$2:$L$6,posicao_contratual!$Y140+1),2)))))</f>
        <v/>
      </c>
      <c r="F140" s="79" t="str">
        <f>IF(OR($A140="",posicao_contratual!$Y140=""),"",IF(posicao_contratual!$Y140&gt;3,"",IF(posicao_contratual!$Y140=3,IF(ISNUMBER(itens_Remanesc!C140),itens_Remanesc!C140,""),IF(OR(NOT(ISNUMBER(itens_Remanesc!C140)),NOT(ISNUMBER($L$5)),NOT(ISNUMBER(INDEX($L$2:$L$6,posicao_contratual!$Y140+1)))),"",ROUND(itens_Remanesc!C140*$L$5/INDEX($L$2:$L$6,posicao_contratual!$Y140+1),2)))))</f>
        <v/>
      </c>
      <c r="G140" s="79" t="str">
        <f>IF(OR($A140="",posicao_contratual!$Y140=""),"",IF(posicao_contratual!$Y140&gt;4,"",IF(posicao_contratual!$Y140=4,IF(ISNUMBER(itens_Remanesc!C140),itens_Remanesc!C140,""),IF(OR(NOT(ISNUMBER(itens_Remanesc!C140)),NOT(ISNUMBER($L$6)),NOT(ISNUMBER(INDEX($L$2:$L$6,posicao_contratual!$Y140+1)))),"",ROUND(itens_Remanesc!C140*$L$6/INDEX($L$2:$L$6,posicao_contratual!$Y140+1),2)))))</f>
        <v/>
      </c>
      <c r="H140" s="114" t="str">
        <f t="shared" si="4"/>
        <v/>
      </c>
      <c r="I140" s="13"/>
      <c r="J140" s="13"/>
      <c r="K140" s="13"/>
      <c r="L140" s="13"/>
      <c r="M140" s="13"/>
      <c r="N140" s="145" t="str">
        <f>IF(A140="","",IF(posicao_contratual!$Y140="","",IF(posicao_contratual!$Y140&gt;0,"",posicao_contratual!E140)))</f>
        <v/>
      </c>
      <c r="O140" s="145" t="str">
        <f>IF(A140="","",IF(posicao_contratual!$Y140="","",IF(posicao_contratual!$Y140&gt;1,"",posicao_contratual!I140)))</f>
        <v/>
      </c>
      <c r="P140" s="145" t="str">
        <f>IF(A140="","",IF(posicao_contratual!$Y140="","",IF(posicao_contratual!$Y140&gt;2,"",posicao_contratual!M140)))</f>
        <v/>
      </c>
      <c r="Q140" s="145" t="str">
        <f>IF(A140="","",IF(posicao_contratual!$Y140="","",IF(posicao_contratual!$Y140&gt;3,"",posicao_contratual!Q140)))</f>
        <v/>
      </c>
      <c r="R140" s="145" t="str">
        <f>IF(A140="","",IF(posicao_contratual!$Y140="","",IF(posicao_contratual!$Y140&gt;4,"",posicao_contratual!U140)))</f>
        <v/>
      </c>
      <c r="S140" s="165" t="str">
        <f>IF(A140="","",posicao_contratual!G140)</f>
        <v/>
      </c>
      <c r="T140" s="165" t="str">
        <f>IF(A140="","",posicao_contratual!K140)</f>
        <v/>
      </c>
      <c r="U140" s="165" t="str">
        <f>IF(A140="","",posicao_contratual!O140)</f>
        <v/>
      </c>
      <c r="V140" s="165" t="str">
        <f>IF(A140="","",posicao_contratual!S140)</f>
        <v/>
      </c>
      <c r="W140" s="165" t="str">
        <f>IF(A140="","",posicao_contratual!W140)</f>
        <v/>
      </c>
    </row>
    <row r="141" spans="1:23" x14ac:dyDescent="0.35">
      <c r="A141" s="86" t="str">
        <f>IF(itens_Remanesc!A141="","",itens_Remanesc!A141)</f>
        <v/>
      </c>
      <c r="B141" s="85" t="str">
        <f>IF(A141="","",IF(posicao_contratual!$Y141="","",IF(posicao_contratual!$Y141&gt;0,"",posicao_contratual!G141)))</f>
        <v/>
      </c>
      <c r="C141" s="79" t="str">
        <f>IF(itens_Remanesc!A141="","",IF(posicao_contratual!$Y141="","",IF(posicao_contratual!$Y141&gt;0,"",itens_Remanesc!C141)))</f>
        <v/>
      </c>
      <c r="D141" s="79" t="str">
        <f>IF(OR($A141="",posicao_contratual!$Y141=""),"",IF(posicao_contratual!$Y141&gt;1,"",IF(posicao_contratual!$Y141=1,IF(ISNUMBER(itens_Remanesc!C141),itens_Remanesc!C141,""),IF(OR(NOT(ISNUMBER(itens_Remanesc!C141)),NOT(ISNUMBER($L$3)),NOT(ISNUMBER(INDEX($L$2:$L$6,posicao_contratual!$Y141+1)))),"",ROUND(itens_Remanesc!C141*$L$3/INDEX($L$2:$L$6,posicao_contratual!$Y141+1),2)))))</f>
        <v/>
      </c>
      <c r="E141" s="79" t="str">
        <f>IF(OR($A141="",posicao_contratual!$Y141=""),"",IF(posicao_contratual!$Y141&gt;2,"",IF(posicao_contratual!$Y141=2,IF(ISNUMBER(itens_Remanesc!C141),itens_Remanesc!C141,""),IF(OR(NOT(ISNUMBER(itens_Remanesc!C141)),NOT(ISNUMBER($L$4)),NOT(ISNUMBER(INDEX($L$2:$L$6,posicao_contratual!$Y141+1)))),"",ROUND(itens_Remanesc!C141*$L$4/INDEX($L$2:$L$6,posicao_contratual!$Y141+1),2)))))</f>
        <v/>
      </c>
      <c r="F141" s="79" t="str">
        <f>IF(OR($A141="",posicao_contratual!$Y141=""),"",IF(posicao_contratual!$Y141&gt;3,"",IF(posicao_contratual!$Y141=3,IF(ISNUMBER(itens_Remanesc!C141),itens_Remanesc!C141,""),IF(OR(NOT(ISNUMBER(itens_Remanesc!C141)),NOT(ISNUMBER($L$5)),NOT(ISNUMBER(INDEX($L$2:$L$6,posicao_contratual!$Y141+1)))),"",ROUND(itens_Remanesc!C141*$L$5/INDEX($L$2:$L$6,posicao_contratual!$Y141+1),2)))))</f>
        <v/>
      </c>
      <c r="G141" s="79" t="str">
        <f>IF(OR($A141="",posicao_contratual!$Y141=""),"",IF(posicao_contratual!$Y141&gt;4,"",IF(posicao_contratual!$Y141=4,IF(ISNUMBER(itens_Remanesc!C141),itens_Remanesc!C141,""),IF(OR(NOT(ISNUMBER(itens_Remanesc!C141)),NOT(ISNUMBER($L$6)),NOT(ISNUMBER(INDEX($L$2:$L$6,posicao_contratual!$Y141+1)))),"",ROUND(itens_Remanesc!C141*$L$6/INDEX($L$2:$L$6,posicao_contratual!$Y141+1),2)))))</f>
        <v/>
      </c>
      <c r="H141" s="114" t="str">
        <f t="shared" si="4"/>
        <v/>
      </c>
      <c r="I141" s="13"/>
      <c r="J141" s="13"/>
      <c r="K141" s="13"/>
      <c r="L141" s="13"/>
      <c r="M141" s="13"/>
      <c r="N141" s="145" t="str">
        <f>IF(A141="","",IF(posicao_contratual!$Y141="","",IF(posicao_contratual!$Y141&gt;0,"",posicao_contratual!E141)))</f>
        <v/>
      </c>
      <c r="O141" s="145" t="str">
        <f>IF(A141="","",IF(posicao_contratual!$Y141="","",IF(posicao_contratual!$Y141&gt;1,"",posicao_contratual!I141)))</f>
        <v/>
      </c>
      <c r="P141" s="145" t="str">
        <f>IF(A141="","",IF(posicao_contratual!$Y141="","",IF(posicao_contratual!$Y141&gt;2,"",posicao_contratual!M141)))</f>
        <v/>
      </c>
      <c r="Q141" s="145" t="str">
        <f>IF(A141="","",IF(posicao_contratual!$Y141="","",IF(posicao_contratual!$Y141&gt;3,"",posicao_contratual!Q141)))</f>
        <v/>
      </c>
      <c r="R141" s="145" t="str">
        <f>IF(A141="","",IF(posicao_contratual!$Y141="","",IF(posicao_contratual!$Y141&gt;4,"",posicao_contratual!U141)))</f>
        <v/>
      </c>
      <c r="S141" s="165" t="str">
        <f>IF(A141="","",posicao_contratual!G141)</f>
        <v/>
      </c>
      <c r="T141" s="165" t="str">
        <f>IF(A141="","",posicao_contratual!K141)</f>
        <v/>
      </c>
      <c r="U141" s="165" t="str">
        <f>IF(A141="","",posicao_contratual!O141)</f>
        <v/>
      </c>
      <c r="V141" s="165" t="str">
        <f>IF(A141="","",posicao_contratual!S141)</f>
        <v/>
      </c>
      <c r="W141" s="165" t="str">
        <f>IF(A141="","",posicao_contratual!W141)</f>
        <v/>
      </c>
    </row>
    <row r="142" spans="1:23" x14ac:dyDescent="0.35">
      <c r="A142" s="86" t="str">
        <f>IF(itens_Remanesc!A142="","",itens_Remanesc!A142)</f>
        <v/>
      </c>
      <c r="B142" s="85" t="str">
        <f>IF(A142="","",IF(posicao_contratual!$Y142="","",IF(posicao_contratual!$Y142&gt;0,"",posicao_contratual!G142)))</f>
        <v/>
      </c>
      <c r="C142" s="79" t="str">
        <f>IF(itens_Remanesc!A142="","",IF(posicao_contratual!$Y142="","",IF(posicao_contratual!$Y142&gt;0,"",itens_Remanesc!C142)))</f>
        <v/>
      </c>
      <c r="D142" s="79" t="str">
        <f>IF(OR($A142="",posicao_contratual!$Y142=""),"",IF(posicao_contratual!$Y142&gt;1,"",IF(posicao_contratual!$Y142=1,IF(ISNUMBER(itens_Remanesc!C142),itens_Remanesc!C142,""),IF(OR(NOT(ISNUMBER(itens_Remanesc!C142)),NOT(ISNUMBER($L$3)),NOT(ISNUMBER(INDEX($L$2:$L$6,posicao_contratual!$Y142+1)))),"",ROUND(itens_Remanesc!C142*$L$3/INDEX($L$2:$L$6,posicao_contratual!$Y142+1),2)))))</f>
        <v/>
      </c>
      <c r="E142" s="79" t="str">
        <f>IF(OR($A142="",posicao_contratual!$Y142=""),"",IF(posicao_contratual!$Y142&gt;2,"",IF(posicao_contratual!$Y142=2,IF(ISNUMBER(itens_Remanesc!C142),itens_Remanesc!C142,""),IF(OR(NOT(ISNUMBER(itens_Remanesc!C142)),NOT(ISNUMBER($L$4)),NOT(ISNUMBER(INDEX($L$2:$L$6,posicao_contratual!$Y142+1)))),"",ROUND(itens_Remanesc!C142*$L$4/INDEX($L$2:$L$6,posicao_contratual!$Y142+1),2)))))</f>
        <v/>
      </c>
      <c r="F142" s="79" t="str">
        <f>IF(OR($A142="",posicao_contratual!$Y142=""),"",IF(posicao_contratual!$Y142&gt;3,"",IF(posicao_contratual!$Y142=3,IF(ISNUMBER(itens_Remanesc!C142),itens_Remanesc!C142,""),IF(OR(NOT(ISNUMBER(itens_Remanesc!C142)),NOT(ISNUMBER($L$5)),NOT(ISNUMBER(INDEX($L$2:$L$6,posicao_contratual!$Y142+1)))),"",ROUND(itens_Remanesc!C142*$L$5/INDEX($L$2:$L$6,posicao_contratual!$Y142+1),2)))))</f>
        <v/>
      </c>
      <c r="G142" s="79" t="str">
        <f>IF(OR($A142="",posicao_contratual!$Y142=""),"",IF(posicao_contratual!$Y142&gt;4,"",IF(posicao_contratual!$Y142=4,IF(ISNUMBER(itens_Remanesc!C142),itens_Remanesc!C142,""),IF(OR(NOT(ISNUMBER(itens_Remanesc!C142)),NOT(ISNUMBER($L$6)),NOT(ISNUMBER(INDEX($L$2:$L$6,posicao_contratual!$Y142+1)))),"",ROUND(itens_Remanesc!C142*$L$6/INDEX($L$2:$L$6,posicao_contratual!$Y142+1),2)))))</f>
        <v/>
      </c>
      <c r="H142" s="114" t="str">
        <f t="shared" si="4"/>
        <v/>
      </c>
      <c r="I142" s="13"/>
      <c r="J142" s="13"/>
      <c r="K142" s="13"/>
      <c r="L142" s="13"/>
      <c r="M142" s="13"/>
      <c r="N142" s="145" t="str">
        <f>IF(A142="","",IF(posicao_contratual!$Y142="","",IF(posicao_contratual!$Y142&gt;0,"",posicao_contratual!E142)))</f>
        <v/>
      </c>
      <c r="O142" s="145" t="str">
        <f>IF(A142="","",IF(posicao_contratual!$Y142="","",IF(posicao_contratual!$Y142&gt;1,"",posicao_contratual!I142)))</f>
        <v/>
      </c>
      <c r="P142" s="145" t="str">
        <f>IF(A142="","",IF(posicao_contratual!$Y142="","",IF(posicao_contratual!$Y142&gt;2,"",posicao_contratual!M142)))</f>
        <v/>
      </c>
      <c r="Q142" s="145" t="str">
        <f>IF(A142="","",IF(posicao_contratual!$Y142="","",IF(posicao_contratual!$Y142&gt;3,"",posicao_contratual!Q142)))</f>
        <v/>
      </c>
      <c r="R142" s="145" t="str">
        <f>IF(A142="","",IF(posicao_contratual!$Y142="","",IF(posicao_contratual!$Y142&gt;4,"",posicao_contratual!U142)))</f>
        <v/>
      </c>
      <c r="S142" s="165" t="str">
        <f>IF(A142="","",posicao_contratual!G142)</f>
        <v/>
      </c>
      <c r="T142" s="165" t="str">
        <f>IF(A142="","",posicao_contratual!K142)</f>
        <v/>
      </c>
      <c r="U142" s="165" t="str">
        <f>IF(A142="","",posicao_contratual!O142)</f>
        <v/>
      </c>
      <c r="V142" s="165" t="str">
        <f>IF(A142="","",posicao_contratual!S142)</f>
        <v/>
      </c>
      <c r="W142" s="165" t="str">
        <f>IF(A142="","",posicao_contratual!W142)</f>
        <v/>
      </c>
    </row>
    <row r="143" spans="1:23" x14ac:dyDescent="0.35">
      <c r="A143" s="86" t="str">
        <f>IF(itens_Remanesc!A143="","",itens_Remanesc!A143)</f>
        <v/>
      </c>
      <c r="B143" s="85" t="str">
        <f>IF(A143="","",IF(posicao_contratual!$Y143="","",IF(posicao_contratual!$Y143&gt;0,"",posicao_contratual!G143)))</f>
        <v/>
      </c>
      <c r="C143" s="79" t="str">
        <f>IF(itens_Remanesc!A143="","",IF(posicao_contratual!$Y143="","",IF(posicao_contratual!$Y143&gt;0,"",itens_Remanesc!C143)))</f>
        <v/>
      </c>
      <c r="D143" s="79" t="str">
        <f>IF(OR($A143="",posicao_contratual!$Y143=""),"",IF(posicao_contratual!$Y143&gt;1,"",IF(posicao_contratual!$Y143=1,IF(ISNUMBER(itens_Remanesc!C143),itens_Remanesc!C143,""),IF(OR(NOT(ISNUMBER(itens_Remanesc!C143)),NOT(ISNUMBER($L$3)),NOT(ISNUMBER(INDEX($L$2:$L$6,posicao_contratual!$Y143+1)))),"",ROUND(itens_Remanesc!C143*$L$3/INDEX($L$2:$L$6,posicao_contratual!$Y143+1),2)))))</f>
        <v/>
      </c>
      <c r="E143" s="79" t="str">
        <f>IF(OR($A143="",posicao_contratual!$Y143=""),"",IF(posicao_contratual!$Y143&gt;2,"",IF(posicao_contratual!$Y143=2,IF(ISNUMBER(itens_Remanesc!C143),itens_Remanesc!C143,""),IF(OR(NOT(ISNUMBER(itens_Remanesc!C143)),NOT(ISNUMBER($L$4)),NOT(ISNUMBER(INDEX($L$2:$L$6,posicao_contratual!$Y143+1)))),"",ROUND(itens_Remanesc!C143*$L$4/INDEX($L$2:$L$6,posicao_contratual!$Y143+1),2)))))</f>
        <v/>
      </c>
      <c r="F143" s="79" t="str">
        <f>IF(OR($A143="",posicao_contratual!$Y143=""),"",IF(posicao_contratual!$Y143&gt;3,"",IF(posicao_contratual!$Y143=3,IF(ISNUMBER(itens_Remanesc!C143),itens_Remanesc!C143,""),IF(OR(NOT(ISNUMBER(itens_Remanesc!C143)),NOT(ISNUMBER($L$5)),NOT(ISNUMBER(INDEX($L$2:$L$6,posicao_contratual!$Y143+1)))),"",ROUND(itens_Remanesc!C143*$L$5/INDEX($L$2:$L$6,posicao_contratual!$Y143+1),2)))))</f>
        <v/>
      </c>
      <c r="G143" s="79" t="str">
        <f>IF(OR($A143="",posicao_contratual!$Y143=""),"",IF(posicao_contratual!$Y143&gt;4,"",IF(posicao_contratual!$Y143=4,IF(ISNUMBER(itens_Remanesc!C143),itens_Remanesc!C143,""),IF(OR(NOT(ISNUMBER(itens_Remanesc!C143)),NOT(ISNUMBER($L$6)),NOT(ISNUMBER(INDEX($L$2:$L$6,posicao_contratual!$Y143+1)))),"",ROUND(itens_Remanesc!C143*$L$6/INDEX($L$2:$L$6,posicao_contratual!$Y143+1),2)))))</f>
        <v/>
      </c>
      <c r="H143" s="114" t="str">
        <f t="shared" si="4"/>
        <v/>
      </c>
      <c r="I143" s="13"/>
      <c r="J143" s="13"/>
      <c r="K143" s="13"/>
      <c r="L143" s="13"/>
      <c r="M143" s="13"/>
      <c r="N143" s="145" t="str">
        <f>IF(A143="","",IF(posicao_contratual!$Y143="","",IF(posicao_contratual!$Y143&gt;0,"",posicao_contratual!E143)))</f>
        <v/>
      </c>
      <c r="O143" s="145" t="str">
        <f>IF(A143="","",IF(posicao_contratual!$Y143="","",IF(posicao_contratual!$Y143&gt;1,"",posicao_contratual!I143)))</f>
        <v/>
      </c>
      <c r="P143" s="145" t="str">
        <f>IF(A143="","",IF(posicao_contratual!$Y143="","",IF(posicao_contratual!$Y143&gt;2,"",posicao_contratual!M143)))</f>
        <v/>
      </c>
      <c r="Q143" s="145" t="str">
        <f>IF(A143="","",IF(posicao_contratual!$Y143="","",IF(posicao_contratual!$Y143&gt;3,"",posicao_contratual!Q143)))</f>
        <v/>
      </c>
      <c r="R143" s="145" t="str">
        <f>IF(A143="","",IF(posicao_contratual!$Y143="","",IF(posicao_contratual!$Y143&gt;4,"",posicao_contratual!U143)))</f>
        <v/>
      </c>
      <c r="S143" s="165" t="str">
        <f>IF(A143="","",posicao_contratual!G143)</f>
        <v/>
      </c>
      <c r="T143" s="165" t="str">
        <f>IF(A143="","",posicao_contratual!K143)</f>
        <v/>
      </c>
      <c r="U143" s="165" t="str">
        <f>IF(A143="","",posicao_contratual!O143)</f>
        <v/>
      </c>
      <c r="V143" s="165" t="str">
        <f>IF(A143="","",posicao_contratual!S143)</f>
        <v/>
      </c>
      <c r="W143" s="165" t="str">
        <f>IF(A143="","",posicao_contratual!W143)</f>
        <v/>
      </c>
    </row>
    <row r="144" spans="1:23" x14ac:dyDescent="0.35">
      <c r="A144" s="86" t="str">
        <f>IF(itens_Remanesc!A144="","",itens_Remanesc!A144)</f>
        <v/>
      </c>
      <c r="B144" s="85" t="str">
        <f>IF(A144="","",IF(posicao_contratual!$Y144="","",IF(posicao_contratual!$Y144&gt;0,"",posicao_contratual!G144)))</f>
        <v/>
      </c>
      <c r="C144" s="79" t="str">
        <f>IF(itens_Remanesc!A144="","",IF(posicao_contratual!$Y144="","",IF(posicao_contratual!$Y144&gt;0,"",itens_Remanesc!C144)))</f>
        <v/>
      </c>
      <c r="D144" s="79" t="str">
        <f>IF(OR($A144="",posicao_contratual!$Y144=""),"",IF(posicao_contratual!$Y144&gt;1,"",IF(posicao_contratual!$Y144=1,IF(ISNUMBER(itens_Remanesc!C144),itens_Remanesc!C144,""),IF(OR(NOT(ISNUMBER(itens_Remanesc!C144)),NOT(ISNUMBER($L$3)),NOT(ISNUMBER(INDEX($L$2:$L$6,posicao_contratual!$Y144+1)))),"",ROUND(itens_Remanesc!C144*$L$3/INDEX($L$2:$L$6,posicao_contratual!$Y144+1),2)))))</f>
        <v/>
      </c>
      <c r="E144" s="79" t="str">
        <f>IF(OR($A144="",posicao_contratual!$Y144=""),"",IF(posicao_contratual!$Y144&gt;2,"",IF(posicao_contratual!$Y144=2,IF(ISNUMBER(itens_Remanesc!C144),itens_Remanesc!C144,""),IF(OR(NOT(ISNUMBER(itens_Remanesc!C144)),NOT(ISNUMBER($L$4)),NOT(ISNUMBER(INDEX($L$2:$L$6,posicao_contratual!$Y144+1)))),"",ROUND(itens_Remanesc!C144*$L$4/INDEX($L$2:$L$6,posicao_contratual!$Y144+1),2)))))</f>
        <v/>
      </c>
      <c r="F144" s="79" t="str">
        <f>IF(OR($A144="",posicao_contratual!$Y144=""),"",IF(posicao_contratual!$Y144&gt;3,"",IF(posicao_contratual!$Y144=3,IF(ISNUMBER(itens_Remanesc!C144),itens_Remanesc!C144,""),IF(OR(NOT(ISNUMBER(itens_Remanesc!C144)),NOT(ISNUMBER($L$5)),NOT(ISNUMBER(INDEX($L$2:$L$6,posicao_contratual!$Y144+1)))),"",ROUND(itens_Remanesc!C144*$L$5/INDEX($L$2:$L$6,posicao_contratual!$Y144+1),2)))))</f>
        <v/>
      </c>
      <c r="G144" s="79" t="str">
        <f>IF(OR($A144="",posicao_contratual!$Y144=""),"",IF(posicao_contratual!$Y144&gt;4,"",IF(posicao_contratual!$Y144=4,IF(ISNUMBER(itens_Remanesc!C144),itens_Remanesc!C144,""),IF(OR(NOT(ISNUMBER(itens_Remanesc!C144)),NOT(ISNUMBER($L$6)),NOT(ISNUMBER(INDEX($L$2:$L$6,posicao_contratual!$Y144+1)))),"",ROUND(itens_Remanesc!C144*$L$6/INDEX($L$2:$L$6,posicao_contratual!$Y144+1),2)))))</f>
        <v/>
      </c>
      <c r="H144" s="114" t="str">
        <f t="shared" si="4"/>
        <v/>
      </c>
      <c r="I144" s="13"/>
      <c r="J144" s="13"/>
      <c r="K144" s="13"/>
      <c r="L144" s="13"/>
      <c r="M144" s="13"/>
      <c r="N144" s="145" t="str">
        <f>IF(A144="","",IF(posicao_contratual!$Y144="","",IF(posicao_contratual!$Y144&gt;0,"",posicao_contratual!E144)))</f>
        <v/>
      </c>
      <c r="O144" s="145" t="str">
        <f>IF(A144="","",IF(posicao_contratual!$Y144="","",IF(posicao_contratual!$Y144&gt;1,"",posicao_contratual!I144)))</f>
        <v/>
      </c>
      <c r="P144" s="145" t="str">
        <f>IF(A144="","",IF(posicao_contratual!$Y144="","",IF(posicao_contratual!$Y144&gt;2,"",posicao_contratual!M144)))</f>
        <v/>
      </c>
      <c r="Q144" s="145" t="str">
        <f>IF(A144="","",IF(posicao_contratual!$Y144="","",IF(posicao_contratual!$Y144&gt;3,"",posicao_contratual!Q144)))</f>
        <v/>
      </c>
      <c r="R144" s="145" t="str">
        <f>IF(A144="","",IF(posicao_contratual!$Y144="","",IF(posicao_contratual!$Y144&gt;4,"",posicao_contratual!U144)))</f>
        <v/>
      </c>
      <c r="S144" s="165" t="str">
        <f>IF(A144="","",posicao_contratual!G144)</f>
        <v/>
      </c>
      <c r="T144" s="165" t="str">
        <f>IF(A144="","",posicao_contratual!K144)</f>
        <v/>
      </c>
      <c r="U144" s="165" t="str">
        <f>IF(A144="","",posicao_contratual!O144)</f>
        <v/>
      </c>
      <c r="V144" s="165" t="str">
        <f>IF(A144="","",posicao_contratual!S144)</f>
        <v/>
      </c>
      <c r="W144" s="165" t="str">
        <f>IF(A144="","",posicao_contratual!W144)</f>
        <v/>
      </c>
    </row>
    <row r="145" spans="1:23" x14ac:dyDescent="0.35">
      <c r="A145" s="86" t="str">
        <f>IF(itens_Remanesc!A145="","",itens_Remanesc!A145)</f>
        <v/>
      </c>
      <c r="B145" s="85" t="str">
        <f>IF(A145="","",IF(posicao_contratual!$Y145="","",IF(posicao_contratual!$Y145&gt;0,"",posicao_contratual!G145)))</f>
        <v/>
      </c>
      <c r="C145" s="79" t="str">
        <f>IF(itens_Remanesc!A145="","",IF(posicao_contratual!$Y145="","",IF(posicao_contratual!$Y145&gt;0,"",itens_Remanesc!C145)))</f>
        <v/>
      </c>
      <c r="D145" s="79" t="str">
        <f>IF(OR($A145="",posicao_contratual!$Y145=""),"",IF(posicao_contratual!$Y145&gt;1,"",IF(posicao_contratual!$Y145=1,IF(ISNUMBER(itens_Remanesc!C145),itens_Remanesc!C145,""),IF(OR(NOT(ISNUMBER(itens_Remanesc!C145)),NOT(ISNUMBER($L$3)),NOT(ISNUMBER(INDEX($L$2:$L$6,posicao_contratual!$Y145+1)))),"",ROUND(itens_Remanesc!C145*$L$3/INDEX($L$2:$L$6,posicao_contratual!$Y145+1),2)))))</f>
        <v/>
      </c>
      <c r="E145" s="79" t="str">
        <f>IF(OR($A145="",posicao_contratual!$Y145=""),"",IF(posicao_contratual!$Y145&gt;2,"",IF(posicao_contratual!$Y145=2,IF(ISNUMBER(itens_Remanesc!C145),itens_Remanesc!C145,""),IF(OR(NOT(ISNUMBER(itens_Remanesc!C145)),NOT(ISNUMBER($L$4)),NOT(ISNUMBER(INDEX($L$2:$L$6,posicao_contratual!$Y145+1)))),"",ROUND(itens_Remanesc!C145*$L$4/INDEX($L$2:$L$6,posicao_contratual!$Y145+1),2)))))</f>
        <v/>
      </c>
      <c r="F145" s="79" t="str">
        <f>IF(OR($A145="",posicao_contratual!$Y145=""),"",IF(posicao_contratual!$Y145&gt;3,"",IF(posicao_contratual!$Y145=3,IF(ISNUMBER(itens_Remanesc!C145),itens_Remanesc!C145,""),IF(OR(NOT(ISNUMBER(itens_Remanesc!C145)),NOT(ISNUMBER($L$5)),NOT(ISNUMBER(INDEX($L$2:$L$6,posicao_contratual!$Y145+1)))),"",ROUND(itens_Remanesc!C145*$L$5/INDEX($L$2:$L$6,posicao_contratual!$Y145+1),2)))))</f>
        <v/>
      </c>
      <c r="G145" s="79" t="str">
        <f>IF(OR($A145="",posicao_contratual!$Y145=""),"",IF(posicao_contratual!$Y145&gt;4,"",IF(posicao_contratual!$Y145=4,IF(ISNUMBER(itens_Remanesc!C145),itens_Remanesc!C145,""),IF(OR(NOT(ISNUMBER(itens_Remanesc!C145)),NOT(ISNUMBER($L$6)),NOT(ISNUMBER(INDEX($L$2:$L$6,posicao_contratual!$Y145+1)))),"",ROUND(itens_Remanesc!C145*$L$6/INDEX($L$2:$L$6,posicao_contratual!$Y145+1),2)))))</f>
        <v/>
      </c>
      <c r="H145" s="114" t="str">
        <f t="shared" si="4"/>
        <v/>
      </c>
      <c r="I145" s="13"/>
      <c r="J145" s="13"/>
      <c r="K145" s="13"/>
      <c r="L145" s="13"/>
      <c r="M145" s="13"/>
      <c r="N145" s="145" t="str">
        <f>IF(A145="","",IF(posicao_contratual!$Y145="","",IF(posicao_contratual!$Y145&gt;0,"",posicao_contratual!E145)))</f>
        <v/>
      </c>
      <c r="O145" s="145" t="str">
        <f>IF(A145="","",IF(posicao_contratual!$Y145="","",IF(posicao_contratual!$Y145&gt;1,"",posicao_contratual!I145)))</f>
        <v/>
      </c>
      <c r="P145" s="145" t="str">
        <f>IF(A145="","",IF(posicao_contratual!$Y145="","",IF(posicao_contratual!$Y145&gt;2,"",posicao_contratual!M145)))</f>
        <v/>
      </c>
      <c r="Q145" s="145" t="str">
        <f>IF(A145="","",IF(posicao_contratual!$Y145="","",IF(posicao_contratual!$Y145&gt;3,"",posicao_contratual!Q145)))</f>
        <v/>
      </c>
      <c r="R145" s="145" t="str">
        <f>IF(A145="","",IF(posicao_contratual!$Y145="","",IF(posicao_contratual!$Y145&gt;4,"",posicao_contratual!U145)))</f>
        <v/>
      </c>
      <c r="S145" s="165" t="str">
        <f>IF(A145="","",posicao_contratual!G145)</f>
        <v/>
      </c>
      <c r="T145" s="165" t="str">
        <f>IF(A145="","",posicao_contratual!K145)</f>
        <v/>
      </c>
      <c r="U145" s="165" t="str">
        <f>IF(A145="","",posicao_contratual!O145)</f>
        <v/>
      </c>
      <c r="V145" s="165" t="str">
        <f>IF(A145="","",posicao_contratual!S145)</f>
        <v/>
      </c>
      <c r="W145" s="165" t="str">
        <f>IF(A145="","",posicao_contratual!W145)</f>
        <v/>
      </c>
    </row>
    <row r="146" spans="1:23" x14ac:dyDescent="0.35">
      <c r="A146" s="86" t="str">
        <f>IF(itens_Remanesc!A146="","",itens_Remanesc!A146)</f>
        <v/>
      </c>
      <c r="B146" s="85" t="str">
        <f>IF(A146="","",IF(posicao_contratual!$Y146="","",IF(posicao_contratual!$Y146&gt;0,"",posicao_contratual!G146)))</f>
        <v/>
      </c>
      <c r="C146" s="79" t="str">
        <f>IF(itens_Remanesc!A146="","",IF(posicao_contratual!$Y146="","",IF(posicao_contratual!$Y146&gt;0,"",itens_Remanesc!C146)))</f>
        <v/>
      </c>
      <c r="D146" s="79" t="str">
        <f>IF(OR($A146="",posicao_contratual!$Y146=""),"",IF(posicao_contratual!$Y146&gt;1,"",IF(posicao_contratual!$Y146=1,IF(ISNUMBER(itens_Remanesc!C146),itens_Remanesc!C146,""),IF(OR(NOT(ISNUMBER(itens_Remanesc!C146)),NOT(ISNUMBER($L$3)),NOT(ISNUMBER(INDEX($L$2:$L$6,posicao_contratual!$Y146+1)))),"",ROUND(itens_Remanesc!C146*$L$3/INDEX($L$2:$L$6,posicao_contratual!$Y146+1),2)))))</f>
        <v/>
      </c>
      <c r="E146" s="79" t="str">
        <f>IF(OR($A146="",posicao_contratual!$Y146=""),"",IF(posicao_contratual!$Y146&gt;2,"",IF(posicao_contratual!$Y146=2,IF(ISNUMBER(itens_Remanesc!C146),itens_Remanesc!C146,""),IF(OR(NOT(ISNUMBER(itens_Remanesc!C146)),NOT(ISNUMBER($L$4)),NOT(ISNUMBER(INDEX($L$2:$L$6,posicao_contratual!$Y146+1)))),"",ROUND(itens_Remanesc!C146*$L$4/INDEX($L$2:$L$6,posicao_contratual!$Y146+1),2)))))</f>
        <v/>
      </c>
      <c r="F146" s="79" t="str">
        <f>IF(OR($A146="",posicao_contratual!$Y146=""),"",IF(posicao_contratual!$Y146&gt;3,"",IF(posicao_contratual!$Y146=3,IF(ISNUMBER(itens_Remanesc!C146),itens_Remanesc!C146,""),IF(OR(NOT(ISNUMBER(itens_Remanesc!C146)),NOT(ISNUMBER($L$5)),NOT(ISNUMBER(INDEX($L$2:$L$6,posicao_contratual!$Y146+1)))),"",ROUND(itens_Remanesc!C146*$L$5/INDEX($L$2:$L$6,posicao_contratual!$Y146+1),2)))))</f>
        <v/>
      </c>
      <c r="G146" s="79" t="str">
        <f>IF(OR($A146="",posicao_contratual!$Y146=""),"",IF(posicao_contratual!$Y146&gt;4,"",IF(posicao_contratual!$Y146=4,IF(ISNUMBER(itens_Remanesc!C146),itens_Remanesc!C146,""),IF(OR(NOT(ISNUMBER(itens_Remanesc!C146)),NOT(ISNUMBER($L$6)),NOT(ISNUMBER(INDEX($L$2:$L$6,posicao_contratual!$Y146+1)))),"",ROUND(itens_Remanesc!C146*$L$6/INDEX($L$2:$L$6,posicao_contratual!$Y146+1),2)))))</f>
        <v/>
      </c>
      <c r="H146" s="114" t="str">
        <f t="shared" si="4"/>
        <v/>
      </c>
      <c r="I146" s="13"/>
      <c r="J146" s="13"/>
      <c r="K146" s="13"/>
      <c r="L146" s="13"/>
      <c r="M146" s="13"/>
      <c r="N146" s="145" t="str">
        <f>IF(A146="","",IF(posicao_contratual!$Y146="","",IF(posicao_contratual!$Y146&gt;0,"",posicao_contratual!E146)))</f>
        <v/>
      </c>
      <c r="O146" s="145" t="str">
        <f>IF(A146="","",IF(posicao_contratual!$Y146="","",IF(posicao_contratual!$Y146&gt;1,"",posicao_contratual!I146)))</f>
        <v/>
      </c>
      <c r="P146" s="145" t="str">
        <f>IF(A146="","",IF(posicao_contratual!$Y146="","",IF(posicao_contratual!$Y146&gt;2,"",posicao_contratual!M146)))</f>
        <v/>
      </c>
      <c r="Q146" s="145" t="str">
        <f>IF(A146="","",IF(posicao_contratual!$Y146="","",IF(posicao_contratual!$Y146&gt;3,"",posicao_contratual!Q146)))</f>
        <v/>
      </c>
      <c r="R146" s="145" t="str">
        <f>IF(A146="","",IF(posicao_contratual!$Y146="","",IF(posicao_contratual!$Y146&gt;4,"",posicao_contratual!U146)))</f>
        <v/>
      </c>
      <c r="S146" s="165" t="str">
        <f>IF(A146="","",posicao_contratual!G146)</f>
        <v/>
      </c>
      <c r="T146" s="165" t="str">
        <f>IF(A146="","",posicao_contratual!K146)</f>
        <v/>
      </c>
      <c r="U146" s="165" t="str">
        <f>IF(A146="","",posicao_contratual!O146)</f>
        <v/>
      </c>
      <c r="V146" s="165" t="str">
        <f>IF(A146="","",posicao_contratual!S146)</f>
        <v/>
      </c>
      <c r="W146" s="165" t="str">
        <f>IF(A146="","",posicao_contratual!W146)</f>
        <v/>
      </c>
    </row>
    <row r="147" spans="1:23" x14ac:dyDescent="0.35">
      <c r="A147" s="86" t="str">
        <f>IF(itens_Remanesc!A147="","",itens_Remanesc!A147)</f>
        <v/>
      </c>
      <c r="B147" s="85" t="str">
        <f>IF(A147="","",IF(posicao_contratual!$Y147="","",IF(posicao_contratual!$Y147&gt;0,"",posicao_contratual!G147)))</f>
        <v/>
      </c>
      <c r="C147" s="79" t="str">
        <f>IF(itens_Remanesc!A147="","",IF(posicao_contratual!$Y147="","",IF(posicao_contratual!$Y147&gt;0,"",itens_Remanesc!C147)))</f>
        <v/>
      </c>
      <c r="D147" s="79" t="str">
        <f>IF(OR($A147="",posicao_contratual!$Y147=""),"",IF(posicao_contratual!$Y147&gt;1,"",IF(posicao_contratual!$Y147=1,IF(ISNUMBER(itens_Remanesc!C147),itens_Remanesc!C147,""),IF(OR(NOT(ISNUMBER(itens_Remanesc!C147)),NOT(ISNUMBER($L$3)),NOT(ISNUMBER(INDEX($L$2:$L$6,posicao_contratual!$Y147+1)))),"",ROUND(itens_Remanesc!C147*$L$3/INDEX($L$2:$L$6,posicao_contratual!$Y147+1),2)))))</f>
        <v/>
      </c>
      <c r="E147" s="79" t="str">
        <f>IF(OR($A147="",posicao_contratual!$Y147=""),"",IF(posicao_contratual!$Y147&gt;2,"",IF(posicao_contratual!$Y147=2,IF(ISNUMBER(itens_Remanesc!C147),itens_Remanesc!C147,""),IF(OR(NOT(ISNUMBER(itens_Remanesc!C147)),NOT(ISNUMBER($L$4)),NOT(ISNUMBER(INDEX($L$2:$L$6,posicao_contratual!$Y147+1)))),"",ROUND(itens_Remanesc!C147*$L$4/INDEX($L$2:$L$6,posicao_contratual!$Y147+1),2)))))</f>
        <v/>
      </c>
      <c r="F147" s="79" t="str">
        <f>IF(OR($A147="",posicao_contratual!$Y147=""),"",IF(posicao_contratual!$Y147&gt;3,"",IF(posicao_contratual!$Y147=3,IF(ISNUMBER(itens_Remanesc!C147),itens_Remanesc!C147,""),IF(OR(NOT(ISNUMBER(itens_Remanesc!C147)),NOT(ISNUMBER($L$5)),NOT(ISNUMBER(INDEX($L$2:$L$6,posicao_contratual!$Y147+1)))),"",ROUND(itens_Remanesc!C147*$L$5/INDEX($L$2:$L$6,posicao_contratual!$Y147+1),2)))))</f>
        <v/>
      </c>
      <c r="G147" s="79" t="str">
        <f>IF(OR($A147="",posicao_contratual!$Y147=""),"",IF(posicao_contratual!$Y147&gt;4,"",IF(posicao_contratual!$Y147=4,IF(ISNUMBER(itens_Remanesc!C147),itens_Remanesc!C147,""),IF(OR(NOT(ISNUMBER(itens_Remanesc!C147)),NOT(ISNUMBER($L$6)),NOT(ISNUMBER(INDEX($L$2:$L$6,posicao_contratual!$Y147+1)))),"",ROUND(itens_Remanesc!C147*$L$6/INDEX($L$2:$L$6,posicao_contratual!$Y147+1),2)))))</f>
        <v/>
      </c>
      <c r="H147" s="114" t="str">
        <f t="shared" si="4"/>
        <v/>
      </c>
      <c r="I147" s="13"/>
      <c r="J147" s="13"/>
      <c r="K147" s="13"/>
      <c r="L147" s="13"/>
      <c r="M147" s="13"/>
      <c r="N147" s="145" t="str">
        <f>IF(A147="","",IF(posicao_contratual!$Y147="","",IF(posicao_contratual!$Y147&gt;0,"",posicao_contratual!E147)))</f>
        <v/>
      </c>
      <c r="O147" s="145" t="str">
        <f>IF(A147="","",IF(posicao_contratual!$Y147="","",IF(posicao_contratual!$Y147&gt;1,"",posicao_contratual!I147)))</f>
        <v/>
      </c>
      <c r="P147" s="145" t="str">
        <f>IF(A147="","",IF(posicao_contratual!$Y147="","",IF(posicao_contratual!$Y147&gt;2,"",posicao_contratual!M147)))</f>
        <v/>
      </c>
      <c r="Q147" s="145" t="str">
        <f>IF(A147="","",IF(posicao_contratual!$Y147="","",IF(posicao_contratual!$Y147&gt;3,"",posicao_contratual!Q147)))</f>
        <v/>
      </c>
      <c r="R147" s="145" t="str">
        <f>IF(A147="","",IF(posicao_contratual!$Y147="","",IF(posicao_contratual!$Y147&gt;4,"",posicao_contratual!U147)))</f>
        <v/>
      </c>
      <c r="S147" s="165" t="str">
        <f>IF(A147="","",posicao_contratual!G147)</f>
        <v/>
      </c>
      <c r="T147" s="165" t="str">
        <f>IF(A147="","",posicao_contratual!K147)</f>
        <v/>
      </c>
      <c r="U147" s="165" t="str">
        <f>IF(A147="","",posicao_contratual!O147)</f>
        <v/>
      </c>
      <c r="V147" s="165" t="str">
        <f>IF(A147="","",posicao_contratual!S147)</f>
        <v/>
      </c>
      <c r="W147" s="165" t="str">
        <f>IF(A147="","",posicao_contratual!W147)</f>
        <v/>
      </c>
    </row>
    <row r="148" spans="1:23" x14ac:dyDescent="0.35">
      <c r="A148" s="86" t="str">
        <f>IF(itens_Remanesc!A148="","",itens_Remanesc!A148)</f>
        <v/>
      </c>
      <c r="B148" s="85" t="str">
        <f>IF(A148="","",IF(posicao_contratual!$Y148="","",IF(posicao_contratual!$Y148&gt;0,"",posicao_contratual!G148)))</f>
        <v/>
      </c>
      <c r="C148" s="79" t="str">
        <f>IF(itens_Remanesc!A148="","",IF(posicao_contratual!$Y148="","",IF(posicao_contratual!$Y148&gt;0,"",itens_Remanesc!C148)))</f>
        <v/>
      </c>
      <c r="D148" s="79" t="str">
        <f>IF(OR($A148="",posicao_contratual!$Y148=""),"",IF(posicao_contratual!$Y148&gt;1,"",IF(posicao_contratual!$Y148=1,IF(ISNUMBER(itens_Remanesc!C148),itens_Remanesc!C148,""),IF(OR(NOT(ISNUMBER(itens_Remanesc!C148)),NOT(ISNUMBER($L$3)),NOT(ISNUMBER(INDEX($L$2:$L$6,posicao_contratual!$Y148+1)))),"",ROUND(itens_Remanesc!C148*$L$3/INDEX($L$2:$L$6,posicao_contratual!$Y148+1),2)))))</f>
        <v/>
      </c>
      <c r="E148" s="79" t="str">
        <f>IF(OR($A148="",posicao_contratual!$Y148=""),"",IF(posicao_contratual!$Y148&gt;2,"",IF(posicao_contratual!$Y148=2,IF(ISNUMBER(itens_Remanesc!C148),itens_Remanesc!C148,""),IF(OR(NOT(ISNUMBER(itens_Remanesc!C148)),NOT(ISNUMBER($L$4)),NOT(ISNUMBER(INDEX($L$2:$L$6,posicao_contratual!$Y148+1)))),"",ROUND(itens_Remanesc!C148*$L$4/INDEX($L$2:$L$6,posicao_contratual!$Y148+1),2)))))</f>
        <v/>
      </c>
      <c r="F148" s="79" t="str">
        <f>IF(OR($A148="",posicao_contratual!$Y148=""),"",IF(posicao_contratual!$Y148&gt;3,"",IF(posicao_contratual!$Y148=3,IF(ISNUMBER(itens_Remanesc!C148),itens_Remanesc!C148,""),IF(OR(NOT(ISNUMBER(itens_Remanesc!C148)),NOT(ISNUMBER($L$5)),NOT(ISNUMBER(INDEX($L$2:$L$6,posicao_contratual!$Y148+1)))),"",ROUND(itens_Remanesc!C148*$L$5/INDEX($L$2:$L$6,posicao_contratual!$Y148+1),2)))))</f>
        <v/>
      </c>
      <c r="G148" s="79" t="str">
        <f>IF(OR($A148="",posicao_contratual!$Y148=""),"",IF(posicao_contratual!$Y148&gt;4,"",IF(posicao_contratual!$Y148=4,IF(ISNUMBER(itens_Remanesc!C148),itens_Remanesc!C148,""),IF(OR(NOT(ISNUMBER(itens_Remanesc!C148)),NOT(ISNUMBER($L$6)),NOT(ISNUMBER(INDEX($L$2:$L$6,posicao_contratual!$Y148+1)))),"",ROUND(itens_Remanesc!C148*$L$6/INDEX($L$2:$L$6,posicao_contratual!$Y148+1),2)))))</f>
        <v/>
      </c>
      <c r="H148" s="114" t="str">
        <f t="shared" si="4"/>
        <v/>
      </c>
      <c r="I148" s="13"/>
      <c r="J148" s="13"/>
      <c r="K148" s="13"/>
      <c r="L148" s="13"/>
      <c r="M148" s="13"/>
      <c r="N148" s="145" t="str">
        <f>IF(A148="","",IF(posicao_contratual!$Y148="","",IF(posicao_contratual!$Y148&gt;0,"",posicao_contratual!E148)))</f>
        <v/>
      </c>
      <c r="O148" s="145" t="str">
        <f>IF(A148="","",IF(posicao_contratual!$Y148="","",IF(posicao_contratual!$Y148&gt;1,"",posicao_contratual!I148)))</f>
        <v/>
      </c>
      <c r="P148" s="145" t="str">
        <f>IF(A148="","",IF(posicao_contratual!$Y148="","",IF(posicao_contratual!$Y148&gt;2,"",posicao_contratual!M148)))</f>
        <v/>
      </c>
      <c r="Q148" s="145" t="str">
        <f>IF(A148="","",IF(posicao_contratual!$Y148="","",IF(posicao_contratual!$Y148&gt;3,"",posicao_contratual!Q148)))</f>
        <v/>
      </c>
      <c r="R148" s="145" t="str">
        <f>IF(A148="","",IF(posicao_contratual!$Y148="","",IF(posicao_contratual!$Y148&gt;4,"",posicao_contratual!U148)))</f>
        <v/>
      </c>
      <c r="S148" s="165" t="str">
        <f>IF(A148="","",posicao_contratual!G148)</f>
        <v/>
      </c>
      <c r="T148" s="165" t="str">
        <f>IF(A148="","",posicao_contratual!K148)</f>
        <v/>
      </c>
      <c r="U148" s="165" t="str">
        <f>IF(A148="","",posicao_contratual!O148)</f>
        <v/>
      </c>
      <c r="V148" s="165" t="str">
        <f>IF(A148="","",posicao_contratual!S148)</f>
        <v/>
      </c>
      <c r="W148" s="165" t="str">
        <f>IF(A148="","",posicao_contratual!W148)</f>
        <v/>
      </c>
    </row>
    <row r="149" spans="1:23" x14ac:dyDescent="0.35">
      <c r="A149" s="86" t="str">
        <f>IF(itens_Remanesc!A149="","",itens_Remanesc!A149)</f>
        <v/>
      </c>
      <c r="B149" s="85" t="str">
        <f>IF(A149="","",IF(posicao_contratual!$Y149="","",IF(posicao_contratual!$Y149&gt;0,"",posicao_contratual!G149)))</f>
        <v/>
      </c>
      <c r="C149" s="79" t="str">
        <f>IF(itens_Remanesc!A149="","",IF(posicao_contratual!$Y149="","",IF(posicao_contratual!$Y149&gt;0,"",itens_Remanesc!C149)))</f>
        <v/>
      </c>
      <c r="D149" s="79" t="str">
        <f>IF(OR($A149="",posicao_contratual!$Y149=""),"",IF(posicao_contratual!$Y149&gt;1,"",IF(posicao_contratual!$Y149=1,IF(ISNUMBER(itens_Remanesc!C149),itens_Remanesc!C149,""),IF(OR(NOT(ISNUMBER(itens_Remanesc!C149)),NOT(ISNUMBER($L$3)),NOT(ISNUMBER(INDEX($L$2:$L$6,posicao_contratual!$Y149+1)))),"",ROUND(itens_Remanesc!C149*$L$3/INDEX($L$2:$L$6,posicao_contratual!$Y149+1),2)))))</f>
        <v/>
      </c>
      <c r="E149" s="79" t="str">
        <f>IF(OR($A149="",posicao_contratual!$Y149=""),"",IF(posicao_contratual!$Y149&gt;2,"",IF(posicao_contratual!$Y149=2,IF(ISNUMBER(itens_Remanesc!C149),itens_Remanesc!C149,""),IF(OR(NOT(ISNUMBER(itens_Remanesc!C149)),NOT(ISNUMBER($L$4)),NOT(ISNUMBER(INDEX($L$2:$L$6,posicao_contratual!$Y149+1)))),"",ROUND(itens_Remanesc!C149*$L$4/INDEX($L$2:$L$6,posicao_contratual!$Y149+1),2)))))</f>
        <v/>
      </c>
      <c r="F149" s="79" t="str">
        <f>IF(OR($A149="",posicao_contratual!$Y149=""),"",IF(posicao_contratual!$Y149&gt;3,"",IF(posicao_contratual!$Y149=3,IF(ISNUMBER(itens_Remanesc!C149),itens_Remanesc!C149,""),IF(OR(NOT(ISNUMBER(itens_Remanesc!C149)),NOT(ISNUMBER($L$5)),NOT(ISNUMBER(INDEX($L$2:$L$6,posicao_contratual!$Y149+1)))),"",ROUND(itens_Remanesc!C149*$L$5/INDEX($L$2:$L$6,posicao_contratual!$Y149+1),2)))))</f>
        <v/>
      </c>
      <c r="G149" s="79" t="str">
        <f>IF(OR($A149="",posicao_contratual!$Y149=""),"",IF(posicao_contratual!$Y149&gt;4,"",IF(posicao_contratual!$Y149=4,IF(ISNUMBER(itens_Remanesc!C149),itens_Remanesc!C149,""),IF(OR(NOT(ISNUMBER(itens_Remanesc!C149)),NOT(ISNUMBER($L$6)),NOT(ISNUMBER(INDEX($L$2:$L$6,posicao_contratual!$Y149+1)))),"",ROUND(itens_Remanesc!C149*$L$6/INDEX($L$2:$L$6,posicao_contratual!$Y149+1),2)))))</f>
        <v/>
      </c>
      <c r="H149" s="114" t="str">
        <f t="shared" si="4"/>
        <v/>
      </c>
      <c r="I149" s="13"/>
      <c r="J149" s="13"/>
      <c r="K149" s="13"/>
      <c r="L149" s="13"/>
      <c r="M149" s="13"/>
      <c r="N149" s="145" t="str">
        <f>IF(A149="","",IF(posicao_contratual!$Y149="","",IF(posicao_contratual!$Y149&gt;0,"",posicao_contratual!E149)))</f>
        <v/>
      </c>
      <c r="O149" s="145" t="str">
        <f>IF(A149="","",IF(posicao_contratual!$Y149="","",IF(posicao_contratual!$Y149&gt;1,"",posicao_contratual!I149)))</f>
        <v/>
      </c>
      <c r="P149" s="145" t="str">
        <f>IF(A149="","",IF(posicao_contratual!$Y149="","",IF(posicao_contratual!$Y149&gt;2,"",posicao_contratual!M149)))</f>
        <v/>
      </c>
      <c r="Q149" s="145" t="str">
        <f>IF(A149="","",IF(posicao_contratual!$Y149="","",IF(posicao_contratual!$Y149&gt;3,"",posicao_contratual!Q149)))</f>
        <v/>
      </c>
      <c r="R149" s="145" t="str">
        <f>IF(A149="","",IF(posicao_contratual!$Y149="","",IF(posicao_contratual!$Y149&gt;4,"",posicao_contratual!U149)))</f>
        <v/>
      </c>
      <c r="S149" s="165" t="str">
        <f>IF(A149="","",posicao_contratual!G149)</f>
        <v/>
      </c>
      <c r="T149" s="165" t="str">
        <f>IF(A149="","",posicao_contratual!K149)</f>
        <v/>
      </c>
      <c r="U149" s="165" t="str">
        <f>IF(A149="","",posicao_contratual!O149)</f>
        <v/>
      </c>
      <c r="V149" s="165" t="str">
        <f>IF(A149="","",posicao_contratual!S149)</f>
        <v/>
      </c>
      <c r="W149" s="165" t="str">
        <f>IF(A149="","",posicao_contratual!W149)</f>
        <v/>
      </c>
    </row>
    <row r="150" spans="1:23" x14ac:dyDescent="0.35">
      <c r="A150" s="86" t="str">
        <f>IF(itens_Remanesc!A150="","",itens_Remanesc!A150)</f>
        <v/>
      </c>
      <c r="B150" s="85" t="str">
        <f>IF(A150="","",IF(posicao_contratual!$Y150="","",IF(posicao_contratual!$Y150&gt;0,"",posicao_contratual!G150)))</f>
        <v/>
      </c>
      <c r="C150" s="79" t="str">
        <f>IF(itens_Remanesc!A150="","",IF(posicao_contratual!$Y150="","",IF(posicao_contratual!$Y150&gt;0,"",itens_Remanesc!C150)))</f>
        <v/>
      </c>
      <c r="D150" s="79" t="str">
        <f>IF(OR($A150="",posicao_contratual!$Y150=""),"",IF(posicao_contratual!$Y150&gt;1,"",IF(posicao_contratual!$Y150=1,IF(ISNUMBER(itens_Remanesc!C150),itens_Remanesc!C150,""),IF(OR(NOT(ISNUMBER(itens_Remanesc!C150)),NOT(ISNUMBER($L$3)),NOT(ISNUMBER(INDEX($L$2:$L$6,posicao_contratual!$Y150+1)))),"",ROUND(itens_Remanesc!C150*$L$3/INDEX($L$2:$L$6,posicao_contratual!$Y150+1),2)))))</f>
        <v/>
      </c>
      <c r="E150" s="79" t="str">
        <f>IF(OR($A150="",posicao_contratual!$Y150=""),"",IF(posicao_contratual!$Y150&gt;2,"",IF(posicao_contratual!$Y150=2,IF(ISNUMBER(itens_Remanesc!C150),itens_Remanesc!C150,""),IF(OR(NOT(ISNUMBER(itens_Remanesc!C150)),NOT(ISNUMBER($L$4)),NOT(ISNUMBER(INDEX($L$2:$L$6,posicao_contratual!$Y150+1)))),"",ROUND(itens_Remanesc!C150*$L$4/INDEX($L$2:$L$6,posicao_contratual!$Y150+1),2)))))</f>
        <v/>
      </c>
      <c r="F150" s="79" t="str">
        <f>IF(OR($A150="",posicao_contratual!$Y150=""),"",IF(posicao_contratual!$Y150&gt;3,"",IF(posicao_contratual!$Y150=3,IF(ISNUMBER(itens_Remanesc!C150),itens_Remanesc!C150,""),IF(OR(NOT(ISNUMBER(itens_Remanesc!C150)),NOT(ISNUMBER($L$5)),NOT(ISNUMBER(INDEX($L$2:$L$6,posicao_contratual!$Y150+1)))),"",ROUND(itens_Remanesc!C150*$L$5/INDEX($L$2:$L$6,posicao_contratual!$Y150+1),2)))))</f>
        <v/>
      </c>
      <c r="G150" s="79" t="str">
        <f>IF(OR($A150="",posicao_contratual!$Y150=""),"",IF(posicao_contratual!$Y150&gt;4,"",IF(posicao_contratual!$Y150=4,IF(ISNUMBER(itens_Remanesc!C150),itens_Remanesc!C150,""),IF(OR(NOT(ISNUMBER(itens_Remanesc!C150)),NOT(ISNUMBER($L$6)),NOT(ISNUMBER(INDEX($L$2:$L$6,posicao_contratual!$Y150+1)))),"",ROUND(itens_Remanesc!C150*$L$6/INDEX($L$2:$L$6,posicao_contratual!$Y150+1),2)))))</f>
        <v/>
      </c>
      <c r="H150" s="114" t="str">
        <f t="shared" si="4"/>
        <v/>
      </c>
      <c r="I150" s="13"/>
      <c r="J150" s="13"/>
      <c r="K150" s="13"/>
      <c r="L150" s="13"/>
      <c r="M150" s="13"/>
      <c r="N150" s="145" t="str">
        <f>IF(A150="","",IF(posicao_contratual!$Y150="","",IF(posicao_contratual!$Y150&gt;0,"",posicao_contratual!E150)))</f>
        <v/>
      </c>
      <c r="O150" s="145" t="str">
        <f>IF(A150="","",IF(posicao_contratual!$Y150="","",IF(posicao_contratual!$Y150&gt;1,"",posicao_contratual!I150)))</f>
        <v/>
      </c>
      <c r="P150" s="145" t="str">
        <f>IF(A150="","",IF(posicao_contratual!$Y150="","",IF(posicao_contratual!$Y150&gt;2,"",posicao_contratual!M150)))</f>
        <v/>
      </c>
      <c r="Q150" s="145" t="str">
        <f>IF(A150="","",IF(posicao_contratual!$Y150="","",IF(posicao_contratual!$Y150&gt;3,"",posicao_contratual!Q150)))</f>
        <v/>
      </c>
      <c r="R150" s="145" t="str">
        <f>IF(A150="","",IF(posicao_contratual!$Y150="","",IF(posicao_contratual!$Y150&gt;4,"",posicao_contratual!U150)))</f>
        <v/>
      </c>
      <c r="S150" s="165" t="str">
        <f>IF(A150="","",posicao_contratual!G150)</f>
        <v/>
      </c>
      <c r="T150" s="165" t="str">
        <f>IF(A150="","",posicao_contratual!K150)</f>
        <v/>
      </c>
      <c r="U150" s="165" t="str">
        <f>IF(A150="","",posicao_contratual!O150)</f>
        <v/>
      </c>
      <c r="V150" s="165" t="str">
        <f>IF(A150="","",posicao_contratual!S150)</f>
        <v/>
      </c>
      <c r="W150" s="165" t="str">
        <f>IF(A150="","",posicao_contratual!W150)</f>
        <v/>
      </c>
    </row>
    <row r="151" spans="1:23" x14ac:dyDescent="0.35">
      <c r="A151" s="86" t="str">
        <f>IF(itens_Remanesc!A151="","",itens_Remanesc!A151)</f>
        <v/>
      </c>
      <c r="B151" s="85" t="str">
        <f>IF(A151="","",IF(posicao_contratual!$Y151="","",IF(posicao_contratual!$Y151&gt;0,"",posicao_contratual!G151)))</f>
        <v/>
      </c>
      <c r="C151" s="79" t="str">
        <f>IF(itens_Remanesc!A151="","",IF(posicao_contratual!$Y151="","",IF(posicao_contratual!$Y151&gt;0,"",itens_Remanesc!C151)))</f>
        <v/>
      </c>
      <c r="D151" s="79" t="str">
        <f>IF(OR($A151="",posicao_contratual!$Y151=""),"",IF(posicao_contratual!$Y151&gt;1,"",IF(posicao_contratual!$Y151=1,IF(ISNUMBER(itens_Remanesc!C151),itens_Remanesc!C151,""),IF(OR(NOT(ISNUMBER(itens_Remanesc!C151)),NOT(ISNUMBER($L$3)),NOT(ISNUMBER(INDEX($L$2:$L$6,posicao_contratual!$Y151+1)))),"",ROUND(itens_Remanesc!C151*$L$3/INDEX($L$2:$L$6,posicao_contratual!$Y151+1),2)))))</f>
        <v/>
      </c>
      <c r="E151" s="79" t="str">
        <f>IF(OR($A151="",posicao_contratual!$Y151=""),"",IF(posicao_contratual!$Y151&gt;2,"",IF(posicao_contratual!$Y151=2,IF(ISNUMBER(itens_Remanesc!C151),itens_Remanesc!C151,""),IF(OR(NOT(ISNUMBER(itens_Remanesc!C151)),NOT(ISNUMBER($L$4)),NOT(ISNUMBER(INDEX($L$2:$L$6,posicao_contratual!$Y151+1)))),"",ROUND(itens_Remanesc!C151*$L$4/INDEX($L$2:$L$6,posicao_contratual!$Y151+1),2)))))</f>
        <v/>
      </c>
      <c r="F151" s="79" t="str">
        <f>IF(OR($A151="",posicao_contratual!$Y151=""),"",IF(posicao_contratual!$Y151&gt;3,"",IF(posicao_contratual!$Y151=3,IF(ISNUMBER(itens_Remanesc!C151),itens_Remanesc!C151,""),IF(OR(NOT(ISNUMBER(itens_Remanesc!C151)),NOT(ISNUMBER($L$5)),NOT(ISNUMBER(INDEX($L$2:$L$6,posicao_contratual!$Y151+1)))),"",ROUND(itens_Remanesc!C151*$L$5/INDEX($L$2:$L$6,posicao_contratual!$Y151+1),2)))))</f>
        <v/>
      </c>
      <c r="G151" s="79" t="str">
        <f>IF(OR($A151="",posicao_contratual!$Y151=""),"",IF(posicao_contratual!$Y151&gt;4,"",IF(posicao_contratual!$Y151=4,IF(ISNUMBER(itens_Remanesc!C151),itens_Remanesc!C151,""),IF(OR(NOT(ISNUMBER(itens_Remanesc!C151)),NOT(ISNUMBER($L$6)),NOT(ISNUMBER(INDEX($L$2:$L$6,posicao_contratual!$Y151+1)))),"",ROUND(itens_Remanesc!C151*$L$6/INDEX($L$2:$L$6,posicao_contratual!$Y151+1),2)))))</f>
        <v/>
      </c>
      <c r="H151" s="114" t="str">
        <f t="shared" si="4"/>
        <v/>
      </c>
      <c r="I151" s="13"/>
      <c r="J151" s="13"/>
      <c r="K151" s="13"/>
      <c r="L151" s="13"/>
      <c r="M151" s="13"/>
      <c r="N151" s="145" t="str">
        <f>IF(A151="","",IF(posicao_contratual!$Y151="","",IF(posicao_contratual!$Y151&gt;0,"",posicao_contratual!E151)))</f>
        <v/>
      </c>
      <c r="O151" s="145" t="str">
        <f>IF(A151="","",IF(posicao_contratual!$Y151="","",IF(posicao_contratual!$Y151&gt;1,"",posicao_contratual!I151)))</f>
        <v/>
      </c>
      <c r="P151" s="145" t="str">
        <f>IF(A151="","",IF(posicao_contratual!$Y151="","",IF(posicao_contratual!$Y151&gt;2,"",posicao_contratual!M151)))</f>
        <v/>
      </c>
      <c r="Q151" s="145" t="str">
        <f>IF(A151="","",IF(posicao_contratual!$Y151="","",IF(posicao_contratual!$Y151&gt;3,"",posicao_contratual!Q151)))</f>
        <v/>
      </c>
      <c r="R151" s="145" t="str">
        <f>IF(A151="","",IF(posicao_contratual!$Y151="","",IF(posicao_contratual!$Y151&gt;4,"",posicao_contratual!U151)))</f>
        <v/>
      </c>
      <c r="S151" s="165" t="str">
        <f>IF(A151="","",posicao_contratual!G151)</f>
        <v/>
      </c>
      <c r="T151" s="165" t="str">
        <f>IF(A151="","",posicao_contratual!K151)</f>
        <v/>
      </c>
      <c r="U151" s="165" t="str">
        <f>IF(A151="","",posicao_contratual!O151)</f>
        <v/>
      </c>
      <c r="V151" s="165" t="str">
        <f>IF(A151="","",posicao_contratual!S151)</f>
        <v/>
      </c>
      <c r="W151" s="165" t="str">
        <f>IF(A151="","",posicao_contratual!W151)</f>
        <v/>
      </c>
    </row>
    <row r="152" spans="1:23" x14ac:dyDescent="0.35">
      <c r="A152" s="86" t="str">
        <f>IF(itens_Remanesc!A152="","",itens_Remanesc!A152)</f>
        <v/>
      </c>
      <c r="B152" s="85" t="str">
        <f>IF(A152="","",IF(posicao_contratual!$Y152="","",IF(posicao_contratual!$Y152&gt;0,"",posicao_contratual!G152)))</f>
        <v/>
      </c>
      <c r="C152" s="79" t="str">
        <f>IF(itens_Remanesc!A152="","",IF(posicao_contratual!$Y152="","",IF(posicao_contratual!$Y152&gt;0,"",itens_Remanesc!C152)))</f>
        <v/>
      </c>
      <c r="D152" s="79" t="str">
        <f>IF(OR($A152="",posicao_contratual!$Y152=""),"",IF(posicao_contratual!$Y152&gt;1,"",IF(posicao_contratual!$Y152=1,IF(ISNUMBER(itens_Remanesc!C152),itens_Remanesc!C152,""),IF(OR(NOT(ISNUMBER(itens_Remanesc!C152)),NOT(ISNUMBER($L$3)),NOT(ISNUMBER(INDEX($L$2:$L$6,posicao_contratual!$Y152+1)))),"",ROUND(itens_Remanesc!C152*$L$3/INDEX($L$2:$L$6,posicao_contratual!$Y152+1),2)))))</f>
        <v/>
      </c>
      <c r="E152" s="79" t="str">
        <f>IF(OR($A152="",posicao_contratual!$Y152=""),"",IF(posicao_contratual!$Y152&gt;2,"",IF(posicao_contratual!$Y152=2,IF(ISNUMBER(itens_Remanesc!C152),itens_Remanesc!C152,""),IF(OR(NOT(ISNUMBER(itens_Remanesc!C152)),NOT(ISNUMBER($L$4)),NOT(ISNUMBER(INDEX($L$2:$L$6,posicao_contratual!$Y152+1)))),"",ROUND(itens_Remanesc!C152*$L$4/INDEX($L$2:$L$6,posicao_contratual!$Y152+1),2)))))</f>
        <v/>
      </c>
      <c r="F152" s="79" t="str">
        <f>IF(OR($A152="",posicao_contratual!$Y152=""),"",IF(posicao_contratual!$Y152&gt;3,"",IF(posicao_contratual!$Y152=3,IF(ISNUMBER(itens_Remanesc!C152),itens_Remanesc!C152,""),IF(OR(NOT(ISNUMBER(itens_Remanesc!C152)),NOT(ISNUMBER($L$5)),NOT(ISNUMBER(INDEX($L$2:$L$6,posicao_contratual!$Y152+1)))),"",ROUND(itens_Remanesc!C152*$L$5/INDEX($L$2:$L$6,posicao_contratual!$Y152+1),2)))))</f>
        <v/>
      </c>
      <c r="G152" s="79" t="str">
        <f>IF(OR($A152="",posicao_contratual!$Y152=""),"",IF(posicao_contratual!$Y152&gt;4,"",IF(posicao_contratual!$Y152=4,IF(ISNUMBER(itens_Remanesc!C152),itens_Remanesc!C152,""),IF(OR(NOT(ISNUMBER(itens_Remanesc!C152)),NOT(ISNUMBER($L$6)),NOT(ISNUMBER(INDEX($L$2:$L$6,posicao_contratual!$Y152+1)))),"",ROUND(itens_Remanesc!C152*$L$6/INDEX($L$2:$L$6,posicao_contratual!$Y152+1),2)))))</f>
        <v/>
      </c>
      <c r="H152" s="114" t="str">
        <f t="shared" si="4"/>
        <v/>
      </c>
      <c r="I152" s="13"/>
      <c r="J152" s="13"/>
      <c r="K152" s="13"/>
      <c r="L152" s="13"/>
      <c r="M152" s="13"/>
      <c r="N152" s="145" t="str">
        <f>IF(A152="","",IF(posicao_contratual!$Y152="","",IF(posicao_contratual!$Y152&gt;0,"",posicao_contratual!E152)))</f>
        <v/>
      </c>
      <c r="O152" s="145" t="str">
        <f>IF(A152="","",IF(posicao_contratual!$Y152="","",IF(posicao_contratual!$Y152&gt;1,"",posicao_contratual!I152)))</f>
        <v/>
      </c>
      <c r="P152" s="145" t="str">
        <f>IF(A152="","",IF(posicao_contratual!$Y152="","",IF(posicao_contratual!$Y152&gt;2,"",posicao_contratual!M152)))</f>
        <v/>
      </c>
      <c r="Q152" s="145" t="str">
        <f>IF(A152="","",IF(posicao_contratual!$Y152="","",IF(posicao_contratual!$Y152&gt;3,"",posicao_contratual!Q152)))</f>
        <v/>
      </c>
      <c r="R152" s="145" t="str">
        <f>IF(A152="","",IF(posicao_contratual!$Y152="","",IF(posicao_contratual!$Y152&gt;4,"",posicao_contratual!U152)))</f>
        <v/>
      </c>
      <c r="S152" s="165" t="str">
        <f>IF(A152="","",posicao_contratual!G152)</f>
        <v/>
      </c>
      <c r="T152" s="165" t="str">
        <f>IF(A152="","",posicao_contratual!K152)</f>
        <v/>
      </c>
      <c r="U152" s="165" t="str">
        <f>IF(A152="","",posicao_contratual!O152)</f>
        <v/>
      </c>
      <c r="V152" s="165" t="str">
        <f>IF(A152="","",posicao_contratual!S152)</f>
        <v/>
      </c>
      <c r="W152" s="165" t="str">
        <f>IF(A152="","",posicao_contratual!W152)</f>
        <v/>
      </c>
    </row>
    <row r="153" spans="1:23" x14ac:dyDescent="0.35">
      <c r="A153" s="86" t="str">
        <f>IF(itens_Remanesc!A153="","",itens_Remanesc!A153)</f>
        <v/>
      </c>
      <c r="B153" s="85" t="str">
        <f>IF(A153="","",IF(posicao_contratual!$Y153="","",IF(posicao_contratual!$Y153&gt;0,"",posicao_contratual!G153)))</f>
        <v/>
      </c>
      <c r="C153" s="79" t="str">
        <f>IF(itens_Remanesc!A153="","",IF(posicao_contratual!$Y153="","",IF(posicao_contratual!$Y153&gt;0,"",itens_Remanesc!C153)))</f>
        <v/>
      </c>
      <c r="D153" s="79" t="str">
        <f>IF(OR($A153="",posicao_contratual!$Y153=""),"",IF(posicao_contratual!$Y153&gt;1,"",IF(posicao_contratual!$Y153=1,IF(ISNUMBER(itens_Remanesc!C153),itens_Remanesc!C153,""),IF(OR(NOT(ISNUMBER(itens_Remanesc!C153)),NOT(ISNUMBER($L$3)),NOT(ISNUMBER(INDEX($L$2:$L$6,posicao_contratual!$Y153+1)))),"",ROUND(itens_Remanesc!C153*$L$3/INDEX($L$2:$L$6,posicao_contratual!$Y153+1),2)))))</f>
        <v/>
      </c>
      <c r="E153" s="79" t="str">
        <f>IF(OR($A153="",posicao_contratual!$Y153=""),"",IF(posicao_contratual!$Y153&gt;2,"",IF(posicao_contratual!$Y153=2,IF(ISNUMBER(itens_Remanesc!C153),itens_Remanesc!C153,""),IF(OR(NOT(ISNUMBER(itens_Remanesc!C153)),NOT(ISNUMBER($L$4)),NOT(ISNUMBER(INDEX($L$2:$L$6,posicao_contratual!$Y153+1)))),"",ROUND(itens_Remanesc!C153*$L$4/INDEX($L$2:$L$6,posicao_contratual!$Y153+1),2)))))</f>
        <v/>
      </c>
      <c r="F153" s="79" t="str">
        <f>IF(OR($A153="",posicao_contratual!$Y153=""),"",IF(posicao_contratual!$Y153&gt;3,"",IF(posicao_contratual!$Y153=3,IF(ISNUMBER(itens_Remanesc!C153),itens_Remanesc!C153,""),IF(OR(NOT(ISNUMBER(itens_Remanesc!C153)),NOT(ISNUMBER($L$5)),NOT(ISNUMBER(INDEX($L$2:$L$6,posicao_contratual!$Y153+1)))),"",ROUND(itens_Remanesc!C153*$L$5/INDEX($L$2:$L$6,posicao_contratual!$Y153+1),2)))))</f>
        <v/>
      </c>
      <c r="G153" s="79" t="str">
        <f>IF(OR($A153="",posicao_contratual!$Y153=""),"",IF(posicao_contratual!$Y153&gt;4,"",IF(posicao_contratual!$Y153=4,IF(ISNUMBER(itens_Remanesc!C153),itens_Remanesc!C153,""),IF(OR(NOT(ISNUMBER(itens_Remanesc!C153)),NOT(ISNUMBER($L$6)),NOT(ISNUMBER(INDEX($L$2:$L$6,posicao_contratual!$Y153+1)))),"",ROUND(itens_Remanesc!C153*$L$6/INDEX($L$2:$L$6,posicao_contratual!$Y153+1),2)))))</f>
        <v/>
      </c>
      <c r="H153" s="114" t="str">
        <f t="shared" si="4"/>
        <v/>
      </c>
      <c r="I153" s="13"/>
      <c r="J153" s="13"/>
      <c r="K153" s="13"/>
      <c r="L153" s="13"/>
      <c r="M153" s="13"/>
      <c r="N153" s="145" t="str">
        <f>IF(A153="","",IF(posicao_contratual!$Y153="","",IF(posicao_contratual!$Y153&gt;0,"",posicao_contratual!E153)))</f>
        <v/>
      </c>
      <c r="O153" s="145" t="str">
        <f>IF(A153="","",IF(posicao_contratual!$Y153="","",IF(posicao_contratual!$Y153&gt;1,"",posicao_contratual!I153)))</f>
        <v/>
      </c>
      <c r="P153" s="145" t="str">
        <f>IF(A153="","",IF(posicao_contratual!$Y153="","",IF(posicao_contratual!$Y153&gt;2,"",posicao_contratual!M153)))</f>
        <v/>
      </c>
      <c r="Q153" s="145" t="str">
        <f>IF(A153="","",IF(posicao_contratual!$Y153="","",IF(posicao_contratual!$Y153&gt;3,"",posicao_contratual!Q153)))</f>
        <v/>
      </c>
      <c r="R153" s="145" t="str">
        <f>IF(A153="","",IF(posicao_contratual!$Y153="","",IF(posicao_contratual!$Y153&gt;4,"",posicao_contratual!U153)))</f>
        <v/>
      </c>
      <c r="S153" s="165" t="str">
        <f>IF(A153="","",posicao_contratual!G153)</f>
        <v/>
      </c>
      <c r="T153" s="165" t="str">
        <f>IF(A153="","",posicao_contratual!K153)</f>
        <v/>
      </c>
      <c r="U153" s="165" t="str">
        <f>IF(A153="","",posicao_contratual!O153)</f>
        <v/>
      </c>
      <c r="V153" s="165" t="str">
        <f>IF(A153="","",posicao_contratual!S153)</f>
        <v/>
      </c>
      <c r="W153" s="165" t="str">
        <f>IF(A153="","",posicao_contratual!W153)</f>
        <v/>
      </c>
    </row>
    <row r="154" spans="1:23" x14ac:dyDescent="0.35">
      <c r="A154" s="86" t="str">
        <f>IF(itens_Remanesc!A154="","",itens_Remanesc!A154)</f>
        <v/>
      </c>
      <c r="B154" s="85" t="str">
        <f>IF(A154="","",IF(posicao_contratual!$Y154="","",IF(posicao_contratual!$Y154&gt;0,"",posicao_contratual!G154)))</f>
        <v/>
      </c>
      <c r="C154" s="79" t="str">
        <f>IF(itens_Remanesc!A154="","",IF(posicao_contratual!$Y154="","",IF(posicao_contratual!$Y154&gt;0,"",itens_Remanesc!C154)))</f>
        <v/>
      </c>
      <c r="D154" s="79" t="str">
        <f>IF(OR($A154="",posicao_contratual!$Y154=""),"",IF(posicao_contratual!$Y154&gt;1,"",IF(posicao_contratual!$Y154=1,IF(ISNUMBER(itens_Remanesc!C154),itens_Remanesc!C154,""),IF(OR(NOT(ISNUMBER(itens_Remanesc!C154)),NOT(ISNUMBER($L$3)),NOT(ISNUMBER(INDEX($L$2:$L$6,posicao_contratual!$Y154+1)))),"",ROUND(itens_Remanesc!C154*$L$3/INDEX($L$2:$L$6,posicao_contratual!$Y154+1),2)))))</f>
        <v/>
      </c>
      <c r="E154" s="79" t="str">
        <f>IF(OR($A154="",posicao_contratual!$Y154=""),"",IF(posicao_contratual!$Y154&gt;2,"",IF(posicao_contratual!$Y154=2,IF(ISNUMBER(itens_Remanesc!C154),itens_Remanesc!C154,""),IF(OR(NOT(ISNUMBER(itens_Remanesc!C154)),NOT(ISNUMBER($L$4)),NOT(ISNUMBER(INDEX($L$2:$L$6,posicao_contratual!$Y154+1)))),"",ROUND(itens_Remanesc!C154*$L$4/INDEX($L$2:$L$6,posicao_contratual!$Y154+1),2)))))</f>
        <v/>
      </c>
      <c r="F154" s="79" t="str">
        <f>IF(OR($A154="",posicao_contratual!$Y154=""),"",IF(posicao_contratual!$Y154&gt;3,"",IF(posicao_contratual!$Y154=3,IF(ISNUMBER(itens_Remanesc!C154),itens_Remanesc!C154,""),IF(OR(NOT(ISNUMBER(itens_Remanesc!C154)),NOT(ISNUMBER($L$5)),NOT(ISNUMBER(INDEX($L$2:$L$6,posicao_contratual!$Y154+1)))),"",ROUND(itens_Remanesc!C154*$L$5/INDEX($L$2:$L$6,posicao_contratual!$Y154+1),2)))))</f>
        <v/>
      </c>
      <c r="G154" s="79" t="str">
        <f>IF(OR($A154="",posicao_contratual!$Y154=""),"",IF(posicao_contratual!$Y154&gt;4,"",IF(posicao_contratual!$Y154=4,IF(ISNUMBER(itens_Remanesc!C154),itens_Remanesc!C154,""),IF(OR(NOT(ISNUMBER(itens_Remanesc!C154)),NOT(ISNUMBER($L$6)),NOT(ISNUMBER(INDEX($L$2:$L$6,posicao_contratual!$Y154+1)))),"",ROUND(itens_Remanesc!C154*$L$6/INDEX($L$2:$L$6,posicao_contratual!$Y154+1),2)))))</f>
        <v/>
      </c>
      <c r="H154" s="114" t="str">
        <f t="shared" si="4"/>
        <v/>
      </c>
      <c r="I154" s="13"/>
      <c r="J154" s="13"/>
      <c r="K154" s="13"/>
      <c r="L154" s="13"/>
      <c r="M154" s="13"/>
      <c r="N154" s="145" t="str">
        <f>IF(A154="","",IF(posicao_contratual!$Y154="","",IF(posicao_contratual!$Y154&gt;0,"",posicao_contratual!E154)))</f>
        <v/>
      </c>
      <c r="O154" s="145" t="str">
        <f>IF(A154="","",IF(posicao_contratual!$Y154="","",IF(posicao_contratual!$Y154&gt;1,"",posicao_contratual!I154)))</f>
        <v/>
      </c>
      <c r="P154" s="145" t="str">
        <f>IF(A154="","",IF(posicao_contratual!$Y154="","",IF(posicao_contratual!$Y154&gt;2,"",posicao_contratual!M154)))</f>
        <v/>
      </c>
      <c r="Q154" s="145" t="str">
        <f>IF(A154="","",IF(posicao_contratual!$Y154="","",IF(posicao_contratual!$Y154&gt;3,"",posicao_contratual!Q154)))</f>
        <v/>
      </c>
      <c r="R154" s="145" t="str">
        <f>IF(A154="","",IF(posicao_contratual!$Y154="","",IF(posicao_contratual!$Y154&gt;4,"",posicao_contratual!U154)))</f>
        <v/>
      </c>
      <c r="S154" s="165" t="str">
        <f>IF(A154="","",posicao_contratual!G154)</f>
        <v/>
      </c>
      <c r="T154" s="165" t="str">
        <f>IF(A154="","",posicao_contratual!K154)</f>
        <v/>
      </c>
      <c r="U154" s="165" t="str">
        <f>IF(A154="","",posicao_contratual!O154)</f>
        <v/>
      </c>
      <c r="V154" s="165" t="str">
        <f>IF(A154="","",posicao_contratual!S154)</f>
        <v/>
      </c>
      <c r="W154" s="165" t="str">
        <f>IF(A154="","",posicao_contratual!W154)</f>
        <v/>
      </c>
    </row>
    <row r="155" spans="1:23" x14ac:dyDescent="0.35">
      <c r="A155" s="86" t="str">
        <f>IF(itens_Remanesc!A155="","",itens_Remanesc!A155)</f>
        <v/>
      </c>
      <c r="B155" s="85" t="str">
        <f>IF(A155="","",IF(posicao_contratual!$Y155="","",IF(posicao_contratual!$Y155&gt;0,"",posicao_contratual!G155)))</f>
        <v/>
      </c>
      <c r="C155" s="79" t="str">
        <f>IF(itens_Remanesc!A155="","",IF(posicao_contratual!$Y155="","",IF(posicao_contratual!$Y155&gt;0,"",itens_Remanesc!C155)))</f>
        <v/>
      </c>
      <c r="D155" s="79" t="str">
        <f>IF(OR($A155="",posicao_contratual!$Y155=""),"",IF(posicao_contratual!$Y155&gt;1,"",IF(posicao_contratual!$Y155=1,IF(ISNUMBER(itens_Remanesc!C155),itens_Remanesc!C155,""),IF(OR(NOT(ISNUMBER(itens_Remanesc!C155)),NOT(ISNUMBER($L$3)),NOT(ISNUMBER(INDEX($L$2:$L$6,posicao_contratual!$Y155+1)))),"",ROUND(itens_Remanesc!C155*$L$3/INDEX($L$2:$L$6,posicao_contratual!$Y155+1),2)))))</f>
        <v/>
      </c>
      <c r="E155" s="79" t="str">
        <f>IF(OR($A155="",posicao_contratual!$Y155=""),"",IF(posicao_contratual!$Y155&gt;2,"",IF(posicao_contratual!$Y155=2,IF(ISNUMBER(itens_Remanesc!C155),itens_Remanesc!C155,""),IF(OR(NOT(ISNUMBER(itens_Remanesc!C155)),NOT(ISNUMBER($L$4)),NOT(ISNUMBER(INDEX($L$2:$L$6,posicao_contratual!$Y155+1)))),"",ROUND(itens_Remanesc!C155*$L$4/INDEX($L$2:$L$6,posicao_contratual!$Y155+1),2)))))</f>
        <v/>
      </c>
      <c r="F155" s="79" t="str">
        <f>IF(OR($A155="",posicao_contratual!$Y155=""),"",IF(posicao_contratual!$Y155&gt;3,"",IF(posicao_contratual!$Y155=3,IF(ISNUMBER(itens_Remanesc!C155),itens_Remanesc!C155,""),IF(OR(NOT(ISNUMBER(itens_Remanesc!C155)),NOT(ISNUMBER($L$5)),NOT(ISNUMBER(INDEX($L$2:$L$6,posicao_contratual!$Y155+1)))),"",ROUND(itens_Remanesc!C155*$L$5/INDEX($L$2:$L$6,posicao_contratual!$Y155+1),2)))))</f>
        <v/>
      </c>
      <c r="G155" s="79" t="str">
        <f>IF(OR($A155="",posicao_contratual!$Y155=""),"",IF(posicao_contratual!$Y155&gt;4,"",IF(posicao_contratual!$Y155=4,IF(ISNUMBER(itens_Remanesc!C155),itens_Remanesc!C155,""),IF(OR(NOT(ISNUMBER(itens_Remanesc!C155)),NOT(ISNUMBER($L$6)),NOT(ISNUMBER(INDEX($L$2:$L$6,posicao_contratual!$Y155+1)))),"",ROUND(itens_Remanesc!C155*$L$6/INDEX($L$2:$L$6,posicao_contratual!$Y155+1),2)))))</f>
        <v/>
      </c>
      <c r="H155" s="114" t="str">
        <f t="shared" si="4"/>
        <v/>
      </c>
      <c r="I155" s="13"/>
      <c r="J155" s="13"/>
      <c r="K155" s="13"/>
      <c r="L155" s="13"/>
      <c r="M155" s="13"/>
      <c r="N155" s="145" t="str">
        <f>IF(A155="","",IF(posicao_contratual!$Y155="","",IF(posicao_contratual!$Y155&gt;0,"",posicao_contratual!E155)))</f>
        <v/>
      </c>
      <c r="O155" s="145" t="str">
        <f>IF(A155="","",IF(posicao_contratual!$Y155="","",IF(posicao_contratual!$Y155&gt;1,"",posicao_contratual!I155)))</f>
        <v/>
      </c>
      <c r="P155" s="145" t="str">
        <f>IF(A155="","",IF(posicao_contratual!$Y155="","",IF(posicao_contratual!$Y155&gt;2,"",posicao_contratual!M155)))</f>
        <v/>
      </c>
      <c r="Q155" s="145" t="str">
        <f>IF(A155="","",IF(posicao_contratual!$Y155="","",IF(posicao_contratual!$Y155&gt;3,"",posicao_contratual!Q155)))</f>
        <v/>
      </c>
      <c r="R155" s="145" t="str">
        <f>IF(A155="","",IF(posicao_contratual!$Y155="","",IF(posicao_contratual!$Y155&gt;4,"",posicao_contratual!U155)))</f>
        <v/>
      </c>
      <c r="S155" s="165" t="str">
        <f>IF(A155="","",posicao_contratual!G155)</f>
        <v/>
      </c>
      <c r="T155" s="165" t="str">
        <f>IF(A155="","",posicao_contratual!K155)</f>
        <v/>
      </c>
      <c r="U155" s="165" t="str">
        <f>IF(A155="","",posicao_contratual!O155)</f>
        <v/>
      </c>
      <c r="V155" s="165" t="str">
        <f>IF(A155="","",posicao_contratual!S155)</f>
        <v/>
      </c>
      <c r="W155" s="165" t="str">
        <f>IF(A155="","",posicao_contratual!W155)</f>
        <v/>
      </c>
    </row>
    <row r="156" spans="1:23" x14ac:dyDescent="0.35">
      <c r="A156" s="86" t="str">
        <f>IF(itens_Remanesc!A156="","",itens_Remanesc!A156)</f>
        <v/>
      </c>
      <c r="B156" s="85" t="str">
        <f>IF(A156="","",IF(posicao_contratual!$Y156="","",IF(posicao_contratual!$Y156&gt;0,"",posicao_contratual!G156)))</f>
        <v/>
      </c>
      <c r="C156" s="79" t="str">
        <f>IF(itens_Remanesc!A156="","",IF(posicao_contratual!$Y156="","",IF(posicao_contratual!$Y156&gt;0,"",itens_Remanesc!C156)))</f>
        <v/>
      </c>
      <c r="D156" s="79" t="str">
        <f>IF(OR($A156="",posicao_contratual!$Y156=""),"",IF(posicao_contratual!$Y156&gt;1,"",IF(posicao_contratual!$Y156=1,IF(ISNUMBER(itens_Remanesc!C156),itens_Remanesc!C156,""),IF(OR(NOT(ISNUMBER(itens_Remanesc!C156)),NOT(ISNUMBER($L$3)),NOT(ISNUMBER(INDEX($L$2:$L$6,posicao_contratual!$Y156+1)))),"",ROUND(itens_Remanesc!C156*$L$3/INDEX($L$2:$L$6,posicao_contratual!$Y156+1),2)))))</f>
        <v/>
      </c>
      <c r="E156" s="79" t="str">
        <f>IF(OR($A156="",posicao_contratual!$Y156=""),"",IF(posicao_contratual!$Y156&gt;2,"",IF(posicao_contratual!$Y156=2,IF(ISNUMBER(itens_Remanesc!C156),itens_Remanesc!C156,""),IF(OR(NOT(ISNUMBER(itens_Remanesc!C156)),NOT(ISNUMBER($L$4)),NOT(ISNUMBER(INDEX($L$2:$L$6,posicao_contratual!$Y156+1)))),"",ROUND(itens_Remanesc!C156*$L$4/INDEX($L$2:$L$6,posicao_contratual!$Y156+1),2)))))</f>
        <v/>
      </c>
      <c r="F156" s="79" t="str">
        <f>IF(OR($A156="",posicao_contratual!$Y156=""),"",IF(posicao_contratual!$Y156&gt;3,"",IF(posicao_contratual!$Y156=3,IF(ISNUMBER(itens_Remanesc!C156),itens_Remanesc!C156,""),IF(OR(NOT(ISNUMBER(itens_Remanesc!C156)),NOT(ISNUMBER($L$5)),NOT(ISNUMBER(INDEX($L$2:$L$6,posicao_contratual!$Y156+1)))),"",ROUND(itens_Remanesc!C156*$L$5/INDEX($L$2:$L$6,posicao_contratual!$Y156+1),2)))))</f>
        <v/>
      </c>
      <c r="G156" s="79" t="str">
        <f>IF(OR($A156="",posicao_contratual!$Y156=""),"",IF(posicao_contratual!$Y156&gt;4,"",IF(posicao_contratual!$Y156=4,IF(ISNUMBER(itens_Remanesc!C156),itens_Remanesc!C156,""),IF(OR(NOT(ISNUMBER(itens_Remanesc!C156)),NOT(ISNUMBER($L$6)),NOT(ISNUMBER(INDEX($L$2:$L$6,posicao_contratual!$Y156+1)))),"",ROUND(itens_Remanesc!C156*$L$6/INDEX($L$2:$L$6,posicao_contratual!$Y156+1),2)))))</f>
        <v/>
      </c>
      <c r="H156" s="114" t="str">
        <f t="shared" si="4"/>
        <v/>
      </c>
      <c r="I156" s="13"/>
      <c r="J156" s="13"/>
      <c r="K156" s="13"/>
      <c r="L156" s="13"/>
      <c r="M156" s="13"/>
      <c r="N156" s="145" t="str">
        <f>IF(A156="","",IF(posicao_contratual!$Y156="","",IF(posicao_contratual!$Y156&gt;0,"",posicao_contratual!E156)))</f>
        <v/>
      </c>
      <c r="O156" s="145" t="str">
        <f>IF(A156="","",IF(posicao_contratual!$Y156="","",IF(posicao_contratual!$Y156&gt;1,"",posicao_contratual!I156)))</f>
        <v/>
      </c>
      <c r="P156" s="145" t="str">
        <f>IF(A156="","",IF(posicao_contratual!$Y156="","",IF(posicao_contratual!$Y156&gt;2,"",posicao_contratual!M156)))</f>
        <v/>
      </c>
      <c r="Q156" s="145" t="str">
        <f>IF(A156="","",IF(posicao_contratual!$Y156="","",IF(posicao_contratual!$Y156&gt;3,"",posicao_contratual!Q156)))</f>
        <v/>
      </c>
      <c r="R156" s="145" t="str">
        <f>IF(A156="","",IF(posicao_contratual!$Y156="","",IF(posicao_contratual!$Y156&gt;4,"",posicao_contratual!U156)))</f>
        <v/>
      </c>
      <c r="S156" s="165" t="str">
        <f>IF(A156="","",posicao_contratual!G156)</f>
        <v/>
      </c>
      <c r="T156" s="165" t="str">
        <f>IF(A156="","",posicao_contratual!K156)</f>
        <v/>
      </c>
      <c r="U156" s="165" t="str">
        <f>IF(A156="","",posicao_contratual!O156)</f>
        <v/>
      </c>
      <c r="V156" s="165" t="str">
        <f>IF(A156="","",posicao_contratual!S156)</f>
        <v/>
      </c>
      <c r="W156" s="165" t="str">
        <f>IF(A156="","",posicao_contratual!W156)</f>
        <v/>
      </c>
    </row>
    <row r="157" spans="1:23" x14ac:dyDescent="0.35">
      <c r="A157" s="86" t="str">
        <f>IF(itens_Remanesc!A157="","",itens_Remanesc!A157)</f>
        <v/>
      </c>
      <c r="B157" s="85" t="str">
        <f>IF(A157="","",IF(posicao_contratual!$Y157="","",IF(posicao_contratual!$Y157&gt;0,"",posicao_contratual!G157)))</f>
        <v/>
      </c>
      <c r="C157" s="79" t="str">
        <f>IF(itens_Remanesc!A157="","",IF(posicao_contratual!$Y157="","",IF(posicao_contratual!$Y157&gt;0,"",itens_Remanesc!C157)))</f>
        <v/>
      </c>
      <c r="D157" s="79" t="str">
        <f>IF(OR($A157="",posicao_contratual!$Y157=""),"",IF(posicao_contratual!$Y157&gt;1,"",IF(posicao_contratual!$Y157=1,IF(ISNUMBER(itens_Remanesc!C157),itens_Remanesc!C157,""),IF(OR(NOT(ISNUMBER(itens_Remanesc!C157)),NOT(ISNUMBER($L$3)),NOT(ISNUMBER(INDEX($L$2:$L$6,posicao_contratual!$Y157+1)))),"",ROUND(itens_Remanesc!C157*$L$3/INDEX($L$2:$L$6,posicao_contratual!$Y157+1),2)))))</f>
        <v/>
      </c>
      <c r="E157" s="79" t="str">
        <f>IF(OR($A157="",posicao_contratual!$Y157=""),"",IF(posicao_contratual!$Y157&gt;2,"",IF(posicao_contratual!$Y157=2,IF(ISNUMBER(itens_Remanesc!C157),itens_Remanesc!C157,""),IF(OR(NOT(ISNUMBER(itens_Remanesc!C157)),NOT(ISNUMBER($L$4)),NOT(ISNUMBER(INDEX($L$2:$L$6,posicao_contratual!$Y157+1)))),"",ROUND(itens_Remanesc!C157*$L$4/INDEX($L$2:$L$6,posicao_contratual!$Y157+1),2)))))</f>
        <v/>
      </c>
      <c r="F157" s="79" t="str">
        <f>IF(OR($A157="",posicao_contratual!$Y157=""),"",IF(posicao_contratual!$Y157&gt;3,"",IF(posicao_contratual!$Y157=3,IF(ISNUMBER(itens_Remanesc!C157),itens_Remanesc!C157,""),IF(OR(NOT(ISNUMBER(itens_Remanesc!C157)),NOT(ISNUMBER($L$5)),NOT(ISNUMBER(INDEX($L$2:$L$6,posicao_contratual!$Y157+1)))),"",ROUND(itens_Remanesc!C157*$L$5/INDEX($L$2:$L$6,posicao_contratual!$Y157+1),2)))))</f>
        <v/>
      </c>
      <c r="G157" s="79" t="str">
        <f>IF(OR($A157="",posicao_contratual!$Y157=""),"",IF(posicao_contratual!$Y157&gt;4,"",IF(posicao_contratual!$Y157=4,IF(ISNUMBER(itens_Remanesc!C157),itens_Remanesc!C157,""),IF(OR(NOT(ISNUMBER(itens_Remanesc!C157)),NOT(ISNUMBER($L$6)),NOT(ISNUMBER(INDEX($L$2:$L$6,posicao_contratual!$Y157+1)))),"",ROUND(itens_Remanesc!C157*$L$6/INDEX($L$2:$L$6,posicao_contratual!$Y157+1),2)))))</f>
        <v/>
      </c>
      <c r="H157" s="114" t="str">
        <f t="shared" si="4"/>
        <v/>
      </c>
      <c r="I157" s="13"/>
      <c r="J157" s="13"/>
      <c r="K157" s="13"/>
      <c r="L157" s="13"/>
      <c r="M157" s="13"/>
      <c r="N157" s="145" t="str">
        <f>IF(A157="","",IF(posicao_contratual!$Y157="","",IF(posicao_contratual!$Y157&gt;0,"",posicao_contratual!E157)))</f>
        <v/>
      </c>
      <c r="O157" s="145" t="str">
        <f>IF(A157="","",IF(posicao_contratual!$Y157="","",IF(posicao_contratual!$Y157&gt;1,"",posicao_contratual!I157)))</f>
        <v/>
      </c>
      <c r="P157" s="145" t="str">
        <f>IF(A157="","",IF(posicao_contratual!$Y157="","",IF(posicao_contratual!$Y157&gt;2,"",posicao_contratual!M157)))</f>
        <v/>
      </c>
      <c r="Q157" s="145" t="str">
        <f>IF(A157="","",IF(posicao_contratual!$Y157="","",IF(posicao_contratual!$Y157&gt;3,"",posicao_contratual!Q157)))</f>
        <v/>
      </c>
      <c r="R157" s="145" t="str">
        <f>IF(A157="","",IF(posicao_contratual!$Y157="","",IF(posicao_contratual!$Y157&gt;4,"",posicao_contratual!U157)))</f>
        <v/>
      </c>
      <c r="S157" s="165" t="str">
        <f>IF(A157="","",posicao_contratual!G157)</f>
        <v/>
      </c>
      <c r="T157" s="165" t="str">
        <f>IF(A157="","",posicao_contratual!K157)</f>
        <v/>
      </c>
      <c r="U157" s="165" t="str">
        <f>IF(A157="","",posicao_contratual!O157)</f>
        <v/>
      </c>
      <c r="V157" s="165" t="str">
        <f>IF(A157="","",posicao_contratual!S157)</f>
        <v/>
      </c>
      <c r="W157" s="165" t="str">
        <f>IF(A157="","",posicao_contratual!W157)</f>
        <v/>
      </c>
    </row>
    <row r="158" spans="1:23" x14ac:dyDescent="0.35">
      <c r="A158" s="86" t="str">
        <f>IF(itens_Remanesc!A158="","",itens_Remanesc!A158)</f>
        <v/>
      </c>
      <c r="B158" s="85" t="str">
        <f>IF(A158="","",IF(posicao_contratual!$Y158="","",IF(posicao_contratual!$Y158&gt;0,"",posicao_contratual!G158)))</f>
        <v/>
      </c>
      <c r="C158" s="79" t="str">
        <f>IF(itens_Remanesc!A158="","",IF(posicao_contratual!$Y158="","",IF(posicao_contratual!$Y158&gt;0,"",itens_Remanesc!C158)))</f>
        <v/>
      </c>
      <c r="D158" s="79" t="str">
        <f>IF(OR($A158="",posicao_contratual!$Y158=""),"",IF(posicao_contratual!$Y158&gt;1,"",IF(posicao_contratual!$Y158=1,IF(ISNUMBER(itens_Remanesc!C158),itens_Remanesc!C158,""),IF(OR(NOT(ISNUMBER(itens_Remanesc!C158)),NOT(ISNUMBER($L$3)),NOT(ISNUMBER(INDEX($L$2:$L$6,posicao_contratual!$Y158+1)))),"",ROUND(itens_Remanesc!C158*$L$3/INDEX($L$2:$L$6,posicao_contratual!$Y158+1),2)))))</f>
        <v/>
      </c>
      <c r="E158" s="79" t="str">
        <f>IF(OR($A158="",posicao_contratual!$Y158=""),"",IF(posicao_contratual!$Y158&gt;2,"",IF(posicao_contratual!$Y158=2,IF(ISNUMBER(itens_Remanesc!C158),itens_Remanesc!C158,""),IF(OR(NOT(ISNUMBER(itens_Remanesc!C158)),NOT(ISNUMBER($L$4)),NOT(ISNUMBER(INDEX($L$2:$L$6,posicao_contratual!$Y158+1)))),"",ROUND(itens_Remanesc!C158*$L$4/INDEX($L$2:$L$6,posicao_contratual!$Y158+1),2)))))</f>
        <v/>
      </c>
      <c r="F158" s="79" t="str">
        <f>IF(OR($A158="",posicao_contratual!$Y158=""),"",IF(posicao_contratual!$Y158&gt;3,"",IF(posicao_contratual!$Y158=3,IF(ISNUMBER(itens_Remanesc!C158),itens_Remanesc!C158,""),IF(OR(NOT(ISNUMBER(itens_Remanesc!C158)),NOT(ISNUMBER($L$5)),NOT(ISNUMBER(INDEX($L$2:$L$6,posicao_contratual!$Y158+1)))),"",ROUND(itens_Remanesc!C158*$L$5/INDEX($L$2:$L$6,posicao_contratual!$Y158+1),2)))))</f>
        <v/>
      </c>
      <c r="G158" s="79" t="str">
        <f>IF(OR($A158="",posicao_contratual!$Y158=""),"",IF(posicao_contratual!$Y158&gt;4,"",IF(posicao_contratual!$Y158=4,IF(ISNUMBER(itens_Remanesc!C158),itens_Remanesc!C158,""),IF(OR(NOT(ISNUMBER(itens_Remanesc!C158)),NOT(ISNUMBER($L$6)),NOT(ISNUMBER(INDEX($L$2:$L$6,posicao_contratual!$Y158+1)))),"",ROUND(itens_Remanesc!C158*$L$6/INDEX($L$2:$L$6,posicao_contratual!$Y158+1),2)))))</f>
        <v/>
      </c>
      <c r="H158" s="114" t="str">
        <f t="shared" si="4"/>
        <v/>
      </c>
      <c r="I158" s="13"/>
      <c r="J158" s="13"/>
      <c r="K158" s="13"/>
      <c r="L158" s="13"/>
      <c r="M158" s="13"/>
      <c r="N158" s="145" t="str">
        <f>IF(A158="","",IF(posicao_contratual!$Y158="","",IF(posicao_contratual!$Y158&gt;0,"",posicao_contratual!E158)))</f>
        <v/>
      </c>
      <c r="O158" s="145" t="str">
        <f>IF(A158="","",IF(posicao_contratual!$Y158="","",IF(posicao_contratual!$Y158&gt;1,"",posicao_contratual!I158)))</f>
        <v/>
      </c>
      <c r="P158" s="145" t="str">
        <f>IF(A158="","",IF(posicao_contratual!$Y158="","",IF(posicao_contratual!$Y158&gt;2,"",posicao_contratual!M158)))</f>
        <v/>
      </c>
      <c r="Q158" s="145" t="str">
        <f>IF(A158="","",IF(posicao_contratual!$Y158="","",IF(posicao_contratual!$Y158&gt;3,"",posicao_contratual!Q158)))</f>
        <v/>
      </c>
      <c r="R158" s="145" t="str">
        <f>IF(A158="","",IF(posicao_contratual!$Y158="","",IF(posicao_contratual!$Y158&gt;4,"",posicao_contratual!U158)))</f>
        <v/>
      </c>
      <c r="S158" s="165" t="str">
        <f>IF(A158="","",posicao_contratual!G158)</f>
        <v/>
      </c>
      <c r="T158" s="165" t="str">
        <f>IF(A158="","",posicao_contratual!K158)</f>
        <v/>
      </c>
      <c r="U158" s="165" t="str">
        <f>IF(A158="","",posicao_contratual!O158)</f>
        <v/>
      </c>
      <c r="V158" s="165" t="str">
        <f>IF(A158="","",posicao_contratual!S158)</f>
        <v/>
      </c>
      <c r="W158" s="165" t="str">
        <f>IF(A158="","",posicao_contratual!W158)</f>
        <v/>
      </c>
    </row>
    <row r="159" spans="1:23" x14ac:dyDescent="0.35">
      <c r="A159" s="86" t="str">
        <f>IF(itens_Remanesc!A159="","",itens_Remanesc!A159)</f>
        <v/>
      </c>
      <c r="B159" s="85" t="str">
        <f>IF(A159="","",IF(posicao_contratual!$Y159="","",IF(posicao_contratual!$Y159&gt;0,"",posicao_contratual!G159)))</f>
        <v/>
      </c>
      <c r="C159" s="79" t="str">
        <f>IF(itens_Remanesc!A159="","",IF(posicao_contratual!$Y159="","",IF(posicao_contratual!$Y159&gt;0,"",itens_Remanesc!C159)))</f>
        <v/>
      </c>
      <c r="D159" s="79" t="str">
        <f>IF(OR($A159="",posicao_contratual!$Y159=""),"",IF(posicao_contratual!$Y159&gt;1,"",IF(posicao_contratual!$Y159=1,IF(ISNUMBER(itens_Remanesc!C159),itens_Remanesc!C159,""),IF(OR(NOT(ISNUMBER(itens_Remanesc!C159)),NOT(ISNUMBER($L$3)),NOT(ISNUMBER(INDEX($L$2:$L$6,posicao_contratual!$Y159+1)))),"",ROUND(itens_Remanesc!C159*$L$3/INDEX($L$2:$L$6,posicao_contratual!$Y159+1),2)))))</f>
        <v/>
      </c>
      <c r="E159" s="79" t="str">
        <f>IF(OR($A159="",posicao_contratual!$Y159=""),"",IF(posicao_contratual!$Y159&gt;2,"",IF(posicao_contratual!$Y159=2,IF(ISNUMBER(itens_Remanesc!C159),itens_Remanesc!C159,""),IF(OR(NOT(ISNUMBER(itens_Remanesc!C159)),NOT(ISNUMBER($L$4)),NOT(ISNUMBER(INDEX($L$2:$L$6,posicao_contratual!$Y159+1)))),"",ROUND(itens_Remanesc!C159*$L$4/INDEX($L$2:$L$6,posicao_contratual!$Y159+1),2)))))</f>
        <v/>
      </c>
      <c r="F159" s="79" t="str">
        <f>IF(OR($A159="",posicao_contratual!$Y159=""),"",IF(posicao_contratual!$Y159&gt;3,"",IF(posicao_contratual!$Y159=3,IF(ISNUMBER(itens_Remanesc!C159),itens_Remanesc!C159,""),IF(OR(NOT(ISNUMBER(itens_Remanesc!C159)),NOT(ISNUMBER($L$5)),NOT(ISNUMBER(INDEX($L$2:$L$6,posicao_contratual!$Y159+1)))),"",ROUND(itens_Remanesc!C159*$L$5/INDEX($L$2:$L$6,posicao_contratual!$Y159+1),2)))))</f>
        <v/>
      </c>
      <c r="G159" s="79" t="str">
        <f>IF(OR($A159="",posicao_contratual!$Y159=""),"",IF(posicao_contratual!$Y159&gt;4,"",IF(posicao_contratual!$Y159=4,IF(ISNUMBER(itens_Remanesc!C159),itens_Remanesc!C159,""),IF(OR(NOT(ISNUMBER(itens_Remanesc!C159)),NOT(ISNUMBER($L$6)),NOT(ISNUMBER(INDEX($L$2:$L$6,posicao_contratual!$Y159+1)))),"",ROUND(itens_Remanesc!C159*$L$6/INDEX($L$2:$L$6,posicao_contratual!$Y159+1),2)))))</f>
        <v/>
      </c>
      <c r="H159" s="114" t="str">
        <f t="shared" si="4"/>
        <v/>
      </c>
      <c r="I159" s="13"/>
      <c r="J159" s="13"/>
      <c r="K159" s="13"/>
      <c r="L159" s="13"/>
      <c r="M159" s="13"/>
      <c r="N159" s="145" t="str">
        <f>IF(A159="","",IF(posicao_contratual!$Y159="","",IF(posicao_contratual!$Y159&gt;0,"",posicao_contratual!E159)))</f>
        <v/>
      </c>
      <c r="O159" s="145" t="str">
        <f>IF(A159="","",IF(posicao_contratual!$Y159="","",IF(posicao_contratual!$Y159&gt;1,"",posicao_contratual!I159)))</f>
        <v/>
      </c>
      <c r="P159" s="145" t="str">
        <f>IF(A159="","",IF(posicao_contratual!$Y159="","",IF(posicao_contratual!$Y159&gt;2,"",posicao_contratual!M159)))</f>
        <v/>
      </c>
      <c r="Q159" s="145" t="str">
        <f>IF(A159="","",IF(posicao_contratual!$Y159="","",IF(posicao_contratual!$Y159&gt;3,"",posicao_contratual!Q159)))</f>
        <v/>
      </c>
      <c r="R159" s="145" t="str">
        <f>IF(A159="","",IF(posicao_contratual!$Y159="","",IF(posicao_contratual!$Y159&gt;4,"",posicao_contratual!U159)))</f>
        <v/>
      </c>
      <c r="S159" s="165" t="str">
        <f>IF(A159="","",posicao_contratual!G159)</f>
        <v/>
      </c>
      <c r="T159" s="165" t="str">
        <f>IF(A159="","",posicao_contratual!K159)</f>
        <v/>
      </c>
      <c r="U159" s="165" t="str">
        <f>IF(A159="","",posicao_contratual!O159)</f>
        <v/>
      </c>
      <c r="V159" s="165" t="str">
        <f>IF(A159="","",posicao_contratual!S159)</f>
        <v/>
      </c>
      <c r="W159" s="165" t="str">
        <f>IF(A159="","",posicao_contratual!W159)</f>
        <v/>
      </c>
    </row>
    <row r="160" spans="1:23" x14ac:dyDescent="0.35">
      <c r="A160" s="86" t="str">
        <f>IF(itens_Remanesc!A160="","",itens_Remanesc!A160)</f>
        <v/>
      </c>
      <c r="B160" s="85" t="str">
        <f>IF(A160="","",IF(posicao_contratual!$Y160="","",IF(posicao_contratual!$Y160&gt;0,"",posicao_contratual!G160)))</f>
        <v/>
      </c>
      <c r="C160" s="79" t="str">
        <f>IF(itens_Remanesc!A160="","",IF(posicao_contratual!$Y160="","",IF(posicao_contratual!$Y160&gt;0,"",itens_Remanesc!C160)))</f>
        <v/>
      </c>
      <c r="D160" s="79" t="str">
        <f>IF(OR($A160="",posicao_contratual!$Y160=""),"",IF(posicao_contratual!$Y160&gt;1,"",IF(posicao_contratual!$Y160=1,IF(ISNUMBER(itens_Remanesc!C160),itens_Remanesc!C160,""),IF(OR(NOT(ISNUMBER(itens_Remanesc!C160)),NOT(ISNUMBER($L$3)),NOT(ISNUMBER(INDEX($L$2:$L$6,posicao_contratual!$Y160+1)))),"",ROUND(itens_Remanesc!C160*$L$3/INDEX($L$2:$L$6,posicao_contratual!$Y160+1),2)))))</f>
        <v/>
      </c>
      <c r="E160" s="79" t="str">
        <f>IF(OR($A160="",posicao_contratual!$Y160=""),"",IF(posicao_contratual!$Y160&gt;2,"",IF(posicao_contratual!$Y160=2,IF(ISNUMBER(itens_Remanesc!C160),itens_Remanesc!C160,""),IF(OR(NOT(ISNUMBER(itens_Remanesc!C160)),NOT(ISNUMBER($L$4)),NOT(ISNUMBER(INDEX($L$2:$L$6,posicao_contratual!$Y160+1)))),"",ROUND(itens_Remanesc!C160*$L$4/INDEX($L$2:$L$6,posicao_contratual!$Y160+1),2)))))</f>
        <v/>
      </c>
      <c r="F160" s="79" t="str">
        <f>IF(OR($A160="",posicao_contratual!$Y160=""),"",IF(posicao_contratual!$Y160&gt;3,"",IF(posicao_contratual!$Y160=3,IF(ISNUMBER(itens_Remanesc!C160),itens_Remanesc!C160,""),IF(OR(NOT(ISNUMBER(itens_Remanesc!C160)),NOT(ISNUMBER($L$5)),NOT(ISNUMBER(INDEX($L$2:$L$6,posicao_contratual!$Y160+1)))),"",ROUND(itens_Remanesc!C160*$L$5/INDEX($L$2:$L$6,posicao_contratual!$Y160+1),2)))))</f>
        <v/>
      </c>
      <c r="G160" s="79" t="str">
        <f>IF(OR($A160="",posicao_contratual!$Y160=""),"",IF(posicao_contratual!$Y160&gt;4,"",IF(posicao_contratual!$Y160=4,IF(ISNUMBER(itens_Remanesc!C160),itens_Remanesc!C160,""),IF(OR(NOT(ISNUMBER(itens_Remanesc!C160)),NOT(ISNUMBER($L$6)),NOT(ISNUMBER(INDEX($L$2:$L$6,posicao_contratual!$Y160+1)))),"",ROUND(itens_Remanesc!C160*$L$6/INDEX($L$2:$L$6,posicao_contratual!$Y160+1),2)))))</f>
        <v/>
      </c>
      <c r="H160" s="114" t="str">
        <f t="shared" si="4"/>
        <v/>
      </c>
      <c r="I160" s="13"/>
      <c r="J160" s="13"/>
      <c r="K160" s="13"/>
      <c r="L160" s="13"/>
      <c r="M160" s="13"/>
      <c r="N160" s="145" t="str">
        <f>IF(A160="","",IF(posicao_contratual!$Y160="","",IF(posicao_contratual!$Y160&gt;0,"",posicao_contratual!E160)))</f>
        <v/>
      </c>
      <c r="O160" s="145" t="str">
        <f>IF(A160="","",IF(posicao_contratual!$Y160="","",IF(posicao_contratual!$Y160&gt;1,"",posicao_contratual!I160)))</f>
        <v/>
      </c>
      <c r="P160" s="145" t="str">
        <f>IF(A160="","",IF(posicao_contratual!$Y160="","",IF(posicao_contratual!$Y160&gt;2,"",posicao_contratual!M160)))</f>
        <v/>
      </c>
      <c r="Q160" s="145" t="str">
        <f>IF(A160="","",IF(posicao_contratual!$Y160="","",IF(posicao_contratual!$Y160&gt;3,"",posicao_contratual!Q160)))</f>
        <v/>
      </c>
      <c r="R160" s="145" t="str">
        <f>IF(A160="","",IF(posicao_contratual!$Y160="","",IF(posicao_contratual!$Y160&gt;4,"",posicao_contratual!U160)))</f>
        <v/>
      </c>
      <c r="S160" s="165" t="str">
        <f>IF(A160="","",posicao_contratual!G160)</f>
        <v/>
      </c>
      <c r="T160" s="165" t="str">
        <f>IF(A160="","",posicao_contratual!K160)</f>
        <v/>
      </c>
      <c r="U160" s="165" t="str">
        <f>IF(A160="","",posicao_contratual!O160)</f>
        <v/>
      </c>
      <c r="V160" s="165" t="str">
        <f>IF(A160="","",posicao_contratual!S160)</f>
        <v/>
      </c>
      <c r="W160" s="165" t="str">
        <f>IF(A160="","",posicao_contratual!W160)</f>
        <v/>
      </c>
    </row>
    <row r="161" spans="1:23" x14ac:dyDescent="0.35">
      <c r="A161" s="86" t="str">
        <f>IF(itens_Remanesc!A161="","",itens_Remanesc!A161)</f>
        <v/>
      </c>
      <c r="B161" s="85" t="str">
        <f>IF(A161="","",IF(posicao_contratual!$Y161="","",IF(posicao_contratual!$Y161&gt;0,"",posicao_contratual!G161)))</f>
        <v/>
      </c>
      <c r="C161" s="79" t="str">
        <f>IF(itens_Remanesc!A161="","",IF(posicao_contratual!$Y161="","",IF(posicao_contratual!$Y161&gt;0,"",itens_Remanesc!C161)))</f>
        <v/>
      </c>
      <c r="D161" s="79" t="str">
        <f>IF(OR($A161="",posicao_contratual!$Y161=""),"",IF(posicao_contratual!$Y161&gt;1,"",IF(posicao_contratual!$Y161=1,IF(ISNUMBER(itens_Remanesc!C161),itens_Remanesc!C161,""),IF(OR(NOT(ISNUMBER(itens_Remanesc!C161)),NOT(ISNUMBER($L$3)),NOT(ISNUMBER(INDEX($L$2:$L$6,posicao_contratual!$Y161+1)))),"",ROUND(itens_Remanesc!C161*$L$3/INDEX($L$2:$L$6,posicao_contratual!$Y161+1),2)))))</f>
        <v/>
      </c>
      <c r="E161" s="79" t="str">
        <f>IF(OR($A161="",posicao_contratual!$Y161=""),"",IF(posicao_contratual!$Y161&gt;2,"",IF(posicao_contratual!$Y161=2,IF(ISNUMBER(itens_Remanesc!C161),itens_Remanesc!C161,""),IF(OR(NOT(ISNUMBER(itens_Remanesc!C161)),NOT(ISNUMBER($L$4)),NOT(ISNUMBER(INDEX($L$2:$L$6,posicao_contratual!$Y161+1)))),"",ROUND(itens_Remanesc!C161*$L$4/INDEX($L$2:$L$6,posicao_contratual!$Y161+1),2)))))</f>
        <v/>
      </c>
      <c r="F161" s="79" t="str">
        <f>IF(OR($A161="",posicao_contratual!$Y161=""),"",IF(posicao_contratual!$Y161&gt;3,"",IF(posicao_contratual!$Y161=3,IF(ISNUMBER(itens_Remanesc!C161),itens_Remanesc!C161,""),IF(OR(NOT(ISNUMBER(itens_Remanesc!C161)),NOT(ISNUMBER($L$5)),NOT(ISNUMBER(INDEX($L$2:$L$6,posicao_contratual!$Y161+1)))),"",ROUND(itens_Remanesc!C161*$L$5/INDEX($L$2:$L$6,posicao_contratual!$Y161+1),2)))))</f>
        <v/>
      </c>
      <c r="G161" s="79" t="str">
        <f>IF(OR($A161="",posicao_contratual!$Y161=""),"",IF(posicao_contratual!$Y161&gt;4,"",IF(posicao_contratual!$Y161=4,IF(ISNUMBER(itens_Remanesc!C161),itens_Remanesc!C161,""),IF(OR(NOT(ISNUMBER(itens_Remanesc!C161)),NOT(ISNUMBER($L$6)),NOT(ISNUMBER(INDEX($L$2:$L$6,posicao_contratual!$Y161+1)))),"",ROUND(itens_Remanesc!C161*$L$6/INDEX($L$2:$L$6,posicao_contratual!$Y161+1),2)))))</f>
        <v/>
      </c>
      <c r="H161" s="114" t="str">
        <f t="shared" si="4"/>
        <v/>
      </c>
      <c r="I161" s="13"/>
      <c r="J161" s="13"/>
      <c r="K161" s="13"/>
      <c r="L161" s="13"/>
      <c r="M161" s="13"/>
      <c r="N161" s="145" t="str">
        <f>IF(A161="","",IF(posicao_contratual!$Y161="","",IF(posicao_contratual!$Y161&gt;0,"",posicao_contratual!E161)))</f>
        <v/>
      </c>
      <c r="O161" s="145" t="str">
        <f>IF(A161="","",IF(posicao_contratual!$Y161="","",IF(posicao_contratual!$Y161&gt;1,"",posicao_contratual!I161)))</f>
        <v/>
      </c>
      <c r="P161" s="145" t="str">
        <f>IF(A161="","",IF(posicao_contratual!$Y161="","",IF(posicao_contratual!$Y161&gt;2,"",posicao_contratual!M161)))</f>
        <v/>
      </c>
      <c r="Q161" s="145" t="str">
        <f>IF(A161="","",IF(posicao_contratual!$Y161="","",IF(posicao_contratual!$Y161&gt;3,"",posicao_contratual!Q161)))</f>
        <v/>
      </c>
      <c r="R161" s="145" t="str">
        <f>IF(A161="","",IF(posicao_contratual!$Y161="","",IF(posicao_contratual!$Y161&gt;4,"",posicao_contratual!U161)))</f>
        <v/>
      </c>
      <c r="S161" s="165" t="str">
        <f>IF(A161="","",posicao_contratual!G161)</f>
        <v/>
      </c>
      <c r="T161" s="165" t="str">
        <f>IF(A161="","",posicao_contratual!K161)</f>
        <v/>
      </c>
      <c r="U161" s="165" t="str">
        <f>IF(A161="","",posicao_contratual!O161)</f>
        <v/>
      </c>
      <c r="V161" s="165" t="str">
        <f>IF(A161="","",posicao_contratual!S161)</f>
        <v/>
      </c>
      <c r="W161" s="165" t="str">
        <f>IF(A161="","",posicao_contratual!W161)</f>
        <v/>
      </c>
    </row>
    <row r="162" spans="1:23" x14ac:dyDescent="0.35">
      <c r="A162" s="86" t="str">
        <f>IF(itens_Remanesc!A162="","",itens_Remanesc!A162)</f>
        <v/>
      </c>
      <c r="B162" s="85" t="str">
        <f>IF(A162="","",IF(posicao_contratual!$Y162="","",IF(posicao_contratual!$Y162&gt;0,"",posicao_contratual!G162)))</f>
        <v/>
      </c>
      <c r="C162" s="79" t="str">
        <f>IF(itens_Remanesc!A162="","",IF(posicao_contratual!$Y162="","",IF(posicao_contratual!$Y162&gt;0,"",itens_Remanesc!C162)))</f>
        <v/>
      </c>
      <c r="D162" s="79" t="str">
        <f>IF(OR($A162="",posicao_contratual!$Y162=""),"",IF(posicao_contratual!$Y162&gt;1,"",IF(posicao_contratual!$Y162=1,IF(ISNUMBER(itens_Remanesc!C162),itens_Remanesc!C162,""),IF(OR(NOT(ISNUMBER(itens_Remanesc!C162)),NOT(ISNUMBER($L$3)),NOT(ISNUMBER(INDEX($L$2:$L$6,posicao_contratual!$Y162+1)))),"",ROUND(itens_Remanesc!C162*$L$3/INDEX($L$2:$L$6,posicao_contratual!$Y162+1),2)))))</f>
        <v/>
      </c>
      <c r="E162" s="79" t="str">
        <f>IF(OR($A162="",posicao_contratual!$Y162=""),"",IF(posicao_contratual!$Y162&gt;2,"",IF(posicao_contratual!$Y162=2,IF(ISNUMBER(itens_Remanesc!C162),itens_Remanesc!C162,""),IF(OR(NOT(ISNUMBER(itens_Remanesc!C162)),NOT(ISNUMBER($L$4)),NOT(ISNUMBER(INDEX($L$2:$L$6,posicao_contratual!$Y162+1)))),"",ROUND(itens_Remanesc!C162*$L$4/INDEX($L$2:$L$6,posicao_contratual!$Y162+1),2)))))</f>
        <v/>
      </c>
      <c r="F162" s="79" t="str">
        <f>IF(OR($A162="",posicao_contratual!$Y162=""),"",IF(posicao_contratual!$Y162&gt;3,"",IF(posicao_contratual!$Y162=3,IF(ISNUMBER(itens_Remanesc!C162),itens_Remanesc!C162,""),IF(OR(NOT(ISNUMBER(itens_Remanesc!C162)),NOT(ISNUMBER($L$5)),NOT(ISNUMBER(INDEX($L$2:$L$6,posicao_contratual!$Y162+1)))),"",ROUND(itens_Remanesc!C162*$L$5/INDEX($L$2:$L$6,posicao_contratual!$Y162+1),2)))))</f>
        <v/>
      </c>
      <c r="G162" s="79" t="str">
        <f>IF(OR($A162="",posicao_contratual!$Y162=""),"",IF(posicao_contratual!$Y162&gt;4,"",IF(posicao_contratual!$Y162=4,IF(ISNUMBER(itens_Remanesc!C162),itens_Remanesc!C162,""),IF(OR(NOT(ISNUMBER(itens_Remanesc!C162)),NOT(ISNUMBER($L$6)),NOT(ISNUMBER(INDEX($L$2:$L$6,posicao_contratual!$Y162+1)))),"",ROUND(itens_Remanesc!C162*$L$6/INDEX($L$2:$L$6,posicao_contratual!$Y162+1),2)))))</f>
        <v/>
      </c>
      <c r="H162" s="114" t="str">
        <f t="shared" ref="H162:H193" si="5">IF(OR(A162="",C162="",C162=0,NOT(ISNUMBER($L$6))),"",ROUND($L$6-1,4))</f>
        <v/>
      </c>
      <c r="I162" s="13"/>
      <c r="J162" s="13"/>
      <c r="K162" s="13"/>
      <c r="L162" s="13"/>
      <c r="M162" s="13"/>
      <c r="N162" s="145" t="str">
        <f>IF(A162="","",IF(posicao_contratual!$Y162="","",IF(posicao_contratual!$Y162&gt;0,"",posicao_contratual!E162)))</f>
        <v/>
      </c>
      <c r="O162" s="145" t="str">
        <f>IF(A162="","",IF(posicao_contratual!$Y162="","",IF(posicao_contratual!$Y162&gt;1,"",posicao_contratual!I162)))</f>
        <v/>
      </c>
      <c r="P162" s="145" t="str">
        <f>IF(A162="","",IF(posicao_contratual!$Y162="","",IF(posicao_contratual!$Y162&gt;2,"",posicao_contratual!M162)))</f>
        <v/>
      </c>
      <c r="Q162" s="145" t="str">
        <f>IF(A162="","",IF(posicao_contratual!$Y162="","",IF(posicao_contratual!$Y162&gt;3,"",posicao_contratual!Q162)))</f>
        <v/>
      </c>
      <c r="R162" s="145" t="str">
        <f>IF(A162="","",IF(posicao_contratual!$Y162="","",IF(posicao_contratual!$Y162&gt;4,"",posicao_contratual!U162)))</f>
        <v/>
      </c>
      <c r="S162" s="165" t="str">
        <f>IF(A162="","",posicao_contratual!G162)</f>
        <v/>
      </c>
      <c r="T162" s="165" t="str">
        <f>IF(A162="","",posicao_contratual!K162)</f>
        <v/>
      </c>
      <c r="U162" s="165" t="str">
        <f>IF(A162="","",posicao_contratual!O162)</f>
        <v/>
      </c>
      <c r="V162" s="165" t="str">
        <f>IF(A162="","",posicao_contratual!S162)</f>
        <v/>
      </c>
      <c r="W162" s="165" t="str">
        <f>IF(A162="","",posicao_contratual!W162)</f>
        <v/>
      </c>
    </row>
    <row r="163" spans="1:23" x14ac:dyDescent="0.35">
      <c r="A163" s="86" t="str">
        <f>IF(itens_Remanesc!A163="","",itens_Remanesc!A163)</f>
        <v/>
      </c>
      <c r="B163" s="85" t="str">
        <f>IF(A163="","",IF(posicao_contratual!$Y163="","",IF(posicao_contratual!$Y163&gt;0,"",posicao_contratual!G163)))</f>
        <v/>
      </c>
      <c r="C163" s="79" t="str">
        <f>IF(itens_Remanesc!A163="","",IF(posicao_contratual!$Y163="","",IF(posicao_contratual!$Y163&gt;0,"",itens_Remanesc!C163)))</f>
        <v/>
      </c>
      <c r="D163" s="79" t="str">
        <f>IF(OR($A163="",posicao_contratual!$Y163=""),"",IF(posicao_contratual!$Y163&gt;1,"",IF(posicao_contratual!$Y163=1,IF(ISNUMBER(itens_Remanesc!C163),itens_Remanesc!C163,""),IF(OR(NOT(ISNUMBER(itens_Remanesc!C163)),NOT(ISNUMBER($L$3)),NOT(ISNUMBER(INDEX($L$2:$L$6,posicao_contratual!$Y163+1)))),"",ROUND(itens_Remanesc!C163*$L$3/INDEX($L$2:$L$6,posicao_contratual!$Y163+1),2)))))</f>
        <v/>
      </c>
      <c r="E163" s="79" t="str">
        <f>IF(OR($A163="",posicao_contratual!$Y163=""),"",IF(posicao_contratual!$Y163&gt;2,"",IF(posicao_contratual!$Y163=2,IF(ISNUMBER(itens_Remanesc!C163),itens_Remanesc!C163,""),IF(OR(NOT(ISNUMBER(itens_Remanesc!C163)),NOT(ISNUMBER($L$4)),NOT(ISNUMBER(INDEX($L$2:$L$6,posicao_contratual!$Y163+1)))),"",ROUND(itens_Remanesc!C163*$L$4/INDEX($L$2:$L$6,posicao_contratual!$Y163+1),2)))))</f>
        <v/>
      </c>
      <c r="F163" s="79" t="str">
        <f>IF(OR($A163="",posicao_contratual!$Y163=""),"",IF(posicao_contratual!$Y163&gt;3,"",IF(posicao_contratual!$Y163=3,IF(ISNUMBER(itens_Remanesc!C163),itens_Remanesc!C163,""),IF(OR(NOT(ISNUMBER(itens_Remanesc!C163)),NOT(ISNUMBER($L$5)),NOT(ISNUMBER(INDEX($L$2:$L$6,posicao_contratual!$Y163+1)))),"",ROUND(itens_Remanesc!C163*$L$5/INDEX($L$2:$L$6,posicao_contratual!$Y163+1),2)))))</f>
        <v/>
      </c>
      <c r="G163" s="79" t="str">
        <f>IF(OR($A163="",posicao_contratual!$Y163=""),"",IF(posicao_contratual!$Y163&gt;4,"",IF(posicao_contratual!$Y163=4,IF(ISNUMBER(itens_Remanesc!C163),itens_Remanesc!C163,""),IF(OR(NOT(ISNUMBER(itens_Remanesc!C163)),NOT(ISNUMBER($L$6)),NOT(ISNUMBER(INDEX($L$2:$L$6,posicao_contratual!$Y163+1)))),"",ROUND(itens_Remanesc!C163*$L$6/INDEX($L$2:$L$6,posicao_contratual!$Y163+1),2)))))</f>
        <v/>
      </c>
      <c r="H163" s="114" t="str">
        <f t="shared" si="5"/>
        <v/>
      </c>
      <c r="I163" s="13"/>
      <c r="J163" s="13"/>
      <c r="K163" s="13"/>
      <c r="L163" s="13"/>
      <c r="M163" s="13"/>
      <c r="N163" s="145" t="str">
        <f>IF(A163="","",IF(posicao_contratual!$Y163="","",IF(posicao_contratual!$Y163&gt;0,"",posicao_contratual!E163)))</f>
        <v/>
      </c>
      <c r="O163" s="145" t="str">
        <f>IF(A163="","",IF(posicao_contratual!$Y163="","",IF(posicao_contratual!$Y163&gt;1,"",posicao_contratual!I163)))</f>
        <v/>
      </c>
      <c r="P163" s="145" t="str">
        <f>IF(A163="","",IF(posicao_contratual!$Y163="","",IF(posicao_contratual!$Y163&gt;2,"",posicao_contratual!M163)))</f>
        <v/>
      </c>
      <c r="Q163" s="145" t="str">
        <f>IF(A163="","",IF(posicao_contratual!$Y163="","",IF(posicao_contratual!$Y163&gt;3,"",posicao_contratual!Q163)))</f>
        <v/>
      </c>
      <c r="R163" s="145" t="str">
        <f>IF(A163="","",IF(posicao_contratual!$Y163="","",IF(posicao_contratual!$Y163&gt;4,"",posicao_contratual!U163)))</f>
        <v/>
      </c>
      <c r="S163" s="165" t="str">
        <f>IF(A163="","",posicao_contratual!G163)</f>
        <v/>
      </c>
      <c r="T163" s="165" t="str">
        <f>IF(A163="","",posicao_contratual!K163)</f>
        <v/>
      </c>
      <c r="U163" s="165" t="str">
        <f>IF(A163="","",posicao_contratual!O163)</f>
        <v/>
      </c>
      <c r="V163" s="165" t="str">
        <f>IF(A163="","",posicao_contratual!S163)</f>
        <v/>
      </c>
      <c r="W163" s="165" t="str">
        <f>IF(A163="","",posicao_contratual!W163)</f>
        <v/>
      </c>
    </row>
    <row r="164" spans="1:23" x14ac:dyDescent="0.35">
      <c r="A164" s="86" t="str">
        <f>IF(itens_Remanesc!A164="","",itens_Remanesc!A164)</f>
        <v/>
      </c>
      <c r="B164" s="85" t="str">
        <f>IF(A164="","",IF(posicao_contratual!$Y164="","",IF(posicao_contratual!$Y164&gt;0,"",posicao_contratual!G164)))</f>
        <v/>
      </c>
      <c r="C164" s="79" t="str">
        <f>IF(itens_Remanesc!A164="","",IF(posicao_contratual!$Y164="","",IF(posicao_contratual!$Y164&gt;0,"",itens_Remanesc!C164)))</f>
        <v/>
      </c>
      <c r="D164" s="79" t="str">
        <f>IF(OR($A164="",posicao_contratual!$Y164=""),"",IF(posicao_contratual!$Y164&gt;1,"",IF(posicao_contratual!$Y164=1,IF(ISNUMBER(itens_Remanesc!C164),itens_Remanesc!C164,""),IF(OR(NOT(ISNUMBER(itens_Remanesc!C164)),NOT(ISNUMBER($L$3)),NOT(ISNUMBER(INDEX($L$2:$L$6,posicao_contratual!$Y164+1)))),"",ROUND(itens_Remanesc!C164*$L$3/INDEX($L$2:$L$6,posicao_contratual!$Y164+1),2)))))</f>
        <v/>
      </c>
      <c r="E164" s="79" t="str">
        <f>IF(OR($A164="",posicao_contratual!$Y164=""),"",IF(posicao_contratual!$Y164&gt;2,"",IF(posicao_contratual!$Y164=2,IF(ISNUMBER(itens_Remanesc!C164),itens_Remanesc!C164,""),IF(OR(NOT(ISNUMBER(itens_Remanesc!C164)),NOT(ISNUMBER($L$4)),NOT(ISNUMBER(INDEX($L$2:$L$6,posicao_contratual!$Y164+1)))),"",ROUND(itens_Remanesc!C164*$L$4/INDEX($L$2:$L$6,posicao_contratual!$Y164+1),2)))))</f>
        <v/>
      </c>
      <c r="F164" s="79" t="str">
        <f>IF(OR($A164="",posicao_contratual!$Y164=""),"",IF(posicao_contratual!$Y164&gt;3,"",IF(posicao_contratual!$Y164=3,IF(ISNUMBER(itens_Remanesc!C164),itens_Remanesc!C164,""),IF(OR(NOT(ISNUMBER(itens_Remanesc!C164)),NOT(ISNUMBER($L$5)),NOT(ISNUMBER(INDEX($L$2:$L$6,posicao_contratual!$Y164+1)))),"",ROUND(itens_Remanesc!C164*$L$5/INDEX($L$2:$L$6,posicao_contratual!$Y164+1),2)))))</f>
        <v/>
      </c>
      <c r="G164" s="79" t="str">
        <f>IF(OR($A164="",posicao_contratual!$Y164=""),"",IF(posicao_contratual!$Y164&gt;4,"",IF(posicao_contratual!$Y164=4,IF(ISNUMBER(itens_Remanesc!C164),itens_Remanesc!C164,""),IF(OR(NOT(ISNUMBER(itens_Remanesc!C164)),NOT(ISNUMBER($L$6)),NOT(ISNUMBER(INDEX($L$2:$L$6,posicao_contratual!$Y164+1)))),"",ROUND(itens_Remanesc!C164*$L$6/INDEX($L$2:$L$6,posicao_contratual!$Y164+1),2)))))</f>
        <v/>
      </c>
      <c r="H164" s="114" t="str">
        <f t="shared" si="5"/>
        <v/>
      </c>
      <c r="I164" s="13"/>
      <c r="J164" s="13"/>
      <c r="K164" s="13"/>
      <c r="L164" s="13"/>
      <c r="M164" s="13"/>
      <c r="N164" s="145" t="str">
        <f>IF(A164="","",IF(posicao_contratual!$Y164="","",IF(posicao_contratual!$Y164&gt;0,"",posicao_contratual!E164)))</f>
        <v/>
      </c>
      <c r="O164" s="145" t="str">
        <f>IF(A164="","",IF(posicao_contratual!$Y164="","",IF(posicao_contratual!$Y164&gt;1,"",posicao_contratual!I164)))</f>
        <v/>
      </c>
      <c r="P164" s="145" t="str">
        <f>IF(A164="","",IF(posicao_contratual!$Y164="","",IF(posicao_contratual!$Y164&gt;2,"",posicao_contratual!M164)))</f>
        <v/>
      </c>
      <c r="Q164" s="145" t="str">
        <f>IF(A164="","",IF(posicao_contratual!$Y164="","",IF(posicao_contratual!$Y164&gt;3,"",posicao_contratual!Q164)))</f>
        <v/>
      </c>
      <c r="R164" s="145" t="str">
        <f>IF(A164="","",IF(posicao_contratual!$Y164="","",IF(posicao_contratual!$Y164&gt;4,"",posicao_contratual!U164)))</f>
        <v/>
      </c>
      <c r="S164" s="165" t="str">
        <f>IF(A164="","",posicao_contratual!G164)</f>
        <v/>
      </c>
      <c r="T164" s="165" t="str">
        <f>IF(A164="","",posicao_contratual!K164)</f>
        <v/>
      </c>
      <c r="U164" s="165" t="str">
        <f>IF(A164="","",posicao_contratual!O164)</f>
        <v/>
      </c>
      <c r="V164" s="165" t="str">
        <f>IF(A164="","",posicao_contratual!S164)</f>
        <v/>
      </c>
      <c r="W164" s="165" t="str">
        <f>IF(A164="","",posicao_contratual!W164)</f>
        <v/>
      </c>
    </row>
    <row r="165" spans="1:23" x14ac:dyDescent="0.35">
      <c r="A165" s="86" t="str">
        <f>IF(itens_Remanesc!A165="","",itens_Remanesc!A165)</f>
        <v/>
      </c>
      <c r="B165" s="85" t="str">
        <f>IF(A165="","",IF(posicao_contratual!$Y165="","",IF(posicao_contratual!$Y165&gt;0,"",posicao_contratual!G165)))</f>
        <v/>
      </c>
      <c r="C165" s="79" t="str">
        <f>IF(itens_Remanesc!A165="","",IF(posicao_contratual!$Y165="","",IF(posicao_contratual!$Y165&gt;0,"",itens_Remanesc!C165)))</f>
        <v/>
      </c>
      <c r="D165" s="79" t="str">
        <f>IF(OR($A165="",posicao_contratual!$Y165=""),"",IF(posicao_contratual!$Y165&gt;1,"",IF(posicao_contratual!$Y165=1,IF(ISNUMBER(itens_Remanesc!C165),itens_Remanesc!C165,""),IF(OR(NOT(ISNUMBER(itens_Remanesc!C165)),NOT(ISNUMBER($L$3)),NOT(ISNUMBER(INDEX($L$2:$L$6,posicao_contratual!$Y165+1)))),"",ROUND(itens_Remanesc!C165*$L$3/INDEX($L$2:$L$6,posicao_contratual!$Y165+1),2)))))</f>
        <v/>
      </c>
      <c r="E165" s="79" t="str">
        <f>IF(OR($A165="",posicao_contratual!$Y165=""),"",IF(posicao_contratual!$Y165&gt;2,"",IF(posicao_contratual!$Y165=2,IF(ISNUMBER(itens_Remanesc!C165),itens_Remanesc!C165,""),IF(OR(NOT(ISNUMBER(itens_Remanesc!C165)),NOT(ISNUMBER($L$4)),NOT(ISNUMBER(INDEX($L$2:$L$6,posicao_contratual!$Y165+1)))),"",ROUND(itens_Remanesc!C165*$L$4/INDEX($L$2:$L$6,posicao_contratual!$Y165+1),2)))))</f>
        <v/>
      </c>
      <c r="F165" s="79" t="str">
        <f>IF(OR($A165="",posicao_contratual!$Y165=""),"",IF(posicao_contratual!$Y165&gt;3,"",IF(posicao_contratual!$Y165=3,IF(ISNUMBER(itens_Remanesc!C165),itens_Remanesc!C165,""),IF(OR(NOT(ISNUMBER(itens_Remanesc!C165)),NOT(ISNUMBER($L$5)),NOT(ISNUMBER(INDEX($L$2:$L$6,posicao_contratual!$Y165+1)))),"",ROUND(itens_Remanesc!C165*$L$5/INDEX($L$2:$L$6,posicao_contratual!$Y165+1),2)))))</f>
        <v/>
      </c>
      <c r="G165" s="79" t="str">
        <f>IF(OR($A165="",posicao_contratual!$Y165=""),"",IF(posicao_contratual!$Y165&gt;4,"",IF(posicao_contratual!$Y165=4,IF(ISNUMBER(itens_Remanesc!C165),itens_Remanesc!C165,""),IF(OR(NOT(ISNUMBER(itens_Remanesc!C165)),NOT(ISNUMBER($L$6)),NOT(ISNUMBER(INDEX($L$2:$L$6,posicao_contratual!$Y165+1)))),"",ROUND(itens_Remanesc!C165*$L$6/INDEX($L$2:$L$6,posicao_contratual!$Y165+1),2)))))</f>
        <v/>
      </c>
      <c r="H165" s="114" t="str">
        <f t="shared" si="5"/>
        <v/>
      </c>
      <c r="I165" s="13"/>
      <c r="J165" s="13"/>
      <c r="K165" s="13"/>
      <c r="L165" s="13"/>
      <c r="M165" s="13"/>
      <c r="N165" s="145" t="str">
        <f>IF(A165="","",IF(posicao_contratual!$Y165="","",IF(posicao_contratual!$Y165&gt;0,"",posicao_contratual!E165)))</f>
        <v/>
      </c>
      <c r="O165" s="145" t="str">
        <f>IF(A165="","",IF(posicao_contratual!$Y165="","",IF(posicao_contratual!$Y165&gt;1,"",posicao_contratual!I165)))</f>
        <v/>
      </c>
      <c r="P165" s="145" t="str">
        <f>IF(A165="","",IF(posicao_contratual!$Y165="","",IF(posicao_contratual!$Y165&gt;2,"",posicao_contratual!M165)))</f>
        <v/>
      </c>
      <c r="Q165" s="145" t="str">
        <f>IF(A165="","",IF(posicao_contratual!$Y165="","",IF(posicao_contratual!$Y165&gt;3,"",posicao_contratual!Q165)))</f>
        <v/>
      </c>
      <c r="R165" s="145" t="str">
        <f>IF(A165="","",IF(posicao_contratual!$Y165="","",IF(posicao_contratual!$Y165&gt;4,"",posicao_contratual!U165)))</f>
        <v/>
      </c>
      <c r="S165" s="165" t="str">
        <f>IF(A165="","",posicao_contratual!G165)</f>
        <v/>
      </c>
      <c r="T165" s="165" t="str">
        <f>IF(A165="","",posicao_contratual!K165)</f>
        <v/>
      </c>
      <c r="U165" s="165" t="str">
        <f>IF(A165="","",posicao_contratual!O165)</f>
        <v/>
      </c>
      <c r="V165" s="165" t="str">
        <f>IF(A165="","",posicao_contratual!S165)</f>
        <v/>
      </c>
      <c r="W165" s="165" t="str">
        <f>IF(A165="","",posicao_contratual!W165)</f>
        <v/>
      </c>
    </row>
    <row r="166" spans="1:23" x14ac:dyDescent="0.35">
      <c r="A166" s="86" t="str">
        <f>IF(itens_Remanesc!A166="","",itens_Remanesc!A166)</f>
        <v/>
      </c>
      <c r="B166" s="85" t="str">
        <f>IF(A166="","",IF(posicao_contratual!$Y166="","",IF(posicao_contratual!$Y166&gt;0,"",posicao_contratual!G166)))</f>
        <v/>
      </c>
      <c r="C166" s="79" t="str">
        <f>IF(itens_Remanesc!A166="","",IF(posicao_contratual!$Y166="","",IF(posicao_contratual!$Y166&gt;0,"",itens_Remanesc!C166)))</f>
        <v/>
      </c>
      <c r="D166" s="79" t="str">
        <f>IF(OR($A166="",posicao_contratual!$Y166=""),"",IF(posicao_contratual!$Y166&gt;1,"",IF(posicao_contratual!$Y166=1,IF(ISNUMBER(itens_Remanesc!C166),itens_Remanesc!C166,""),IF(OR(NOT(ISNUMBER(itens_Remanesc!C166)),NOT(ISNUMBER($L$3)),NOT(ISNUMBER(INDEX($L$2:$L$6,posicao_contratual!$Y166+1)))),"",ROUND(itens_Remanesc!C166*$L$3/INDEX($L$2:$L$6,posicao_contratual!$Y166+1),2)))))</f>
        <v/>
      </c>
      <c r="E166" s="79" t="str">
        <f>IF(OR($A166="",posicao_contratual!$Y166=""),"",IF(posicao_contratual!$Y166&gt;2,"",IF(posicao_contratual!$Y166=2,IF(ISNUMBER(itens_Remanesc!C166),itens_Remanesc!C166,""),IF(OR(NOT(ISNUMBER(itens_Remanesc!C166)),NOT(ISNUMBER($L$4)),NOT(ISNUMBER(INDEX($L$2:$L$6,posicao_contratual!$Y166+1)))),"",ROUND(itens_Remanesc!C166*$L$4/INDEX($L$2:$L$6,posicao_contratual!$Y166+1),2)))))</f>
        <v/>
      </c>
      <c r="F166" s="79" t="str">
        <f>IF(OR($A166="",posicao_contratual!$Y166=""),"",IF(posicao_contratual!$Y166&gt;3,"",IF(posicao_contratual!$Y166=3,IF(ISNUMBER(itens_Remanesc!C166),itens_Remanesc!C166,""),IF(OR(NOT(ISNUMBER(itens_Remanesc!C166)),NOT(ISNUMBER($L$5)),NOT(ISNUMBER(INDEX($L$2:$L$6,posicao_contratual!$Y166+1)))),"",ROUND(itens_Remanesc!C166*$L$5/INDEX($L$2:$L$6,posicao_contratual!$Y166+1),2)))))</f>
        <v/>
      </c>
      <c r="G166" s="79" t="str">
        <f>IF(OR($A166="",posicao_contratual!$Y166=""),"",IF(posicao_contratual!$Y166&gt;4,"",IF(posicao_contratual!$Y166=4,IF(ISNUMBER(itens_Remanesc!C166),itens_Remanesc!C166,""),IF(OR(NOT(ISNUMBER(itens_Remanesc!C166)),NOT(ISNUMBER($L$6)),NOT(ISNUMBER(INDEX($L$2:$L$6,posicao_contratual!$Y166+1)))),"",ROUND(itens_Remanesc!C166*$L$6/INDEX($L$2:$L$6,posicao_contratual!$Y166+1),2)))))</f>
        <v/>
      </c>
      <c r="H166" s="114" t="str">
        <f t="shared" si="5"/>
        <v/>
      </c>
      <c r="I166" s="13"/>
      <c r="J166" s="13"/>
      <c r="K166" s="13"/>
      <c r="L166" s="13"/>
      <c r="M166" s="13"/>
      <c r="N166" s="145" t="str">
        <f>IF(A166="","",IF(posicao_contratual!$Y166="","",IF(posicao_contratual!$Y166&gt;0,"",posicao_contratual!E166)))</f>
        <v/>
      </c>
      <c r="O166" s="145" t="str">
        <f>IF(A166="","",IF(posicao_contratual!$Y166="","",IF(posicao_contratual!$Y166&gt;1,"",posicao_contratual!I166)))</f>
        <v/>
      </c>
      <c r="P166" s="145" t="str">
        <f>IF(A166="","",IF(posicao_contratual!$Y166="","",IF(posicao_contratual!$Y166&gt;2,"",posicao_contratual!M166)))</f>
        <v/>
      </c>
      <c r="Q166" s="145" t="str">
        <f>IF(A166="","",IF(posicao_contratual!$Y166="","",IF(posicao_contratual!$Y166&gt;3,"",posicao_contratual!Q166)))</f>
        <v/>
      </c>
      <c r="R166" s="145" t="str">
        <f>IF(A166="","",IF(posicao_contratual!$Y166="","",IF(posicao_contratual!$Y166&gt;4,"",posicao_contratual!U166)))</f>
        <v/>
      </c>
      <c r="S166" s="165" t="str">
        <f>IF(A166="","",posicao_contratual!G166)</f>
        <v/>
      </c>
      <c r="T166" s="165" t="str">
        <f>IF(A166="","",posicao_contratual!K166)</f>
        <v/>
      </c>
      <c r="U166" s="165" t="str">
        <f>IF(A166="","",posicao_contratual!O166)</f>
        <v/>
      </c>
      <c r="V166" s="165" t="str">
        <f>IF(A166="","",posicao_contratual!S166)</f>
        <v/>
      </c>
      <c r="W166" s="165" t="str">
        <f>IF(A166="","",posicao_contratual!W166)</f>
        <v/>
      </c>
    </row>
    <row r="167" spans="1:23" x14ac:dyDescent="0.35">
      <c r="A167" s="86" t="str">
        <f>IF(itens_Remanesc!A167="","",itens_Remanesc!A167)</f>
        <v/>
      </c>
      <c r="B167" s="85" t="str">
        <f>IF(A167="","",IF(posicao_contratual!$Y167="","",IF(posicao_contratual!$Y167&gt;0,"",posicao_contratual!G167)))</f>
        <v/>
      </c>
      <c r="C167" s="79" t="str">
        <f>IF(itens_Remanesc!A167="","",IF(posicao_contratual!$Y167="","",IF(posicao_contratual!$Y167&gt;0,"",itens_Remanesc!C167)))</f>
        <v/>
      </c>
      <c r="D167" s="79" t="str">
        <f>IF(OR($A167="",posicao_contratual!$Y167=""),"",IF(posicao_contratual!$Y167&gt;1,"",IF(posicao_contratual!$Y167=1,IF(ISNUMBER(itens_Remanesc!C167),itens_Remanesc!C167,""),IF(OR(NOT(ISNUMBER(itens_Remanesc!C167)),NOT(ISNUMBER($L$3)),NOT(ISNUMBER(INDEX($L$2:$L$6,posicao_contratual!$Y167+1)))),"",ROUND(itens_Remanesc!C167*$L$3/INDEX($L$2:$L$6,posicao_contratual!$Y167+1),2)))))</f>
        <v/>
      </c>
      <c r="E167" s="79" t="str">
        <f>IF(OR($A167="",posicao_contratual!$Y167=""),"",IF(posicao_contratual!$Y167&gt;2,"",IF(posicao_contratual!$Y167=2,IF(ISNUMBER(itens_Remanesc!C167),itens_Remanesc!C167,""),IF(OR(NOT(ISNUMBER(itens_Remanesc!C167)),NOT(ISNUMBER($L$4)),NOT(ISNUMBER(INDEX($L$2:$L$6,posicao_contratual!$Y167+1)))),"",ROUND(itens_Remanesc!C167*$L$4/INDEX($L$2:$L$6,posicao_contratual!$Y167+1),2)))))</f>
        <v/>
      </c>
      <c r="F167" s="79" t="str">
        <f>IF(OR($A167="",posicao_contratual!$Y167=""),"",IF(posicao_contratual!$Y167&gt;3,"",IF(posicao_contratual!$Y167=3,IF(ISNUMBER(itens_Remanesc!C167),itens_Remanesc!C167,""),IF(OR(NOT(ISNUMBER(itens_Remanesc!C167)),NOT(ISNUMBER($L$5)),NOT(ISNUMBER(INDEX($L$2:$L$6,posicao_contratual!$Y167+1)))),"",ROUND(itens_Remanesc!C167*$L$5/INDEX($L$2:$L$6,posicao_contratual!$Y167+1),2)))))</f>
        <v/>
      </c>
      <c r="G167" s="79" t="str">
        <f>IF(OR($A167="",posicao_contratual!$Y167=""),"",IF(posicao_contratual!$Y167&gt;4,"",IF(posicao_contratual!$Y167=4,IF(ISNUMBER(itens_Remanesc!C167),itens_Remanesc!C167,""),IF(OR(NOT(ISNUMBER(itens_Remanesc!C167)),NOT(ISNUMBER($L$6)),NOT(ISNUMBER(INDEX($L$2:$L$6,posicao_contratual!$Y167+1)))),"",ROUND(itens_Remanesc!C167*$L$6/INDEX($L$2:$L$6,posicao_contratual!$Y167+1),2)))))</f>
        <v/>
      </c>
      <c r="H167" s="114" t="str">
        <f t="shared" si="5"/>
        <v/>
      </c>
      <c r="I167" s="13"/>
      <c r="J167" s="13"/>
      <c r="K167" s="13"/>
      <c r="L167" s="13"/>
      <c r="M167" s="13"/>
      <c r="N167" s="145" t="str">
        <f>IF(A167="","",IF(posicao_contratual!$Y167="","",IF(posicao_contratual!$Y167&gt;0,"",posicao_contratual!E167)))</f>
        <v/>
      </c>
      <c r="O167" s="145" t="str">
        <f>IF(A167="","",IF(posicao_contratual!$Y167="","",IF(posicao_contratual!$Y167&gt;1,"",posicao_contratual!I167)))</f>
        <v/>
      </c>
      <c r="P167" s="145" t="str">
        <f>IF(A167="","",IF(posicao_contratual!$Y167="","",IF(posicao_contratual!$Y167&gt;2,"",posicao_contratual!M167)))</f>
        <v/>
      </c>
      <c r="Q167" s="145" t="str">
        <f>IF(A167="","",IF(posicao_contratual!$Y167="","",IF(posicao_contratual!$Y167&gt;3,"",posicao_contratual!Q167)))</f>
        <v/>
      </c>
      <c r="R167" s="145" t="str">
        <f>IF(A167="","",IF(posicao_contratual!$Y167="","",IF(posicao_contratual!$Y167&gt;4,"",posicao_contratual!U167)))</f>
        <v/>
      </c>
      <c r="S167" s="165" t="str">
        <f>IF(A167="","",posicao_contratual!G167)</f>
        <v/>
      </c>
      <c r="T167" s="165" t="str">
        <f>IF(A167="","",posicao_contratual!K167)</f>
        <v/>
      </c>
      <c r="U167" s="165" t="str">
        <f>IF(A167="","",posicao_contratual!O167)</f>
        <v/>
      </c>
      <c r="V167" s="165" t="str">
        <f>IF(A167="","",posicao_contratual!S167)</f>
        <v/>
      </c>
      <c r="W167" s="165" t="str">
        <f>IF(A167="","",posicao_contratual!W167)</f>
        <v/>
      </c>
    </row>
    <row r="168" spans="1:23" x14ac:dyDescent="0.35">
      <c r="A168" s="86" t="str">
        <f>IF(itens_Remanesc!A168="","",itens_Remanesc!A168)</f>
        <v/>
      </c>
      <c r="B168" s="85" t="str">
        <f>IF(A168="","",IF(posicao_contratual!$Y168="","",IF(posicao_contratual!$Y168&gt;0,"",posicao_contratual!G168)))</f>
        <v/>
      </c>
      <c r="C168" s="79" t="str">
        <f>IF(itens_Remanesc!A168="","",IF(posicao_contratual!$Y168="","",IF(posicao_contratual!$Y168&gt;0,"",itens_Remanesc!C168)))</f>
        <v/>
      </c>
      <c r="D168" s="79" t="str">
        <f>IF(OR($A168="",posicao_contratual!$Y168=""),"",IF(posicao_contratual!$Y168&gt;1,"",IF(posicao_contratual!$Y168=1,IF(ISNUMBER(itens_Remanesc!C168),itens_Remanesc!C168,""),IF(OR(NOT(ISNUMBER(itens_Remanesc!C168)),NOT(ISNUMBER($L$3)),NOT(ISNUMBER(INDEX($L$2:$L$6,posicao_contratual!$Y168+1)))),"",ROUND(itens_Remanesc!C168*$L$3/INDEX($L$2:$L$6,posicao_contratual!$Y168+1),2)))))</f>
        <v/>
      </c>
      <c r="E168" s="79" t="str">
        <f>IF(OR($A168="",posicao_contratual!$Y168=""),"",IF(posicao_contratual!$Y168&gt;2,"",IF(posicao_contratual!$Y168=2,IF(ISNUMBER(itens_Remanesc!C168),itens_Remanesc!C168,""),IF(OR(NOT(ISNUMBER(itens_Remanesc!C168)),NOT(ISNUMBER($L$4)),NOT(ISNUMBER(INDEX($L$2:$L$6,posicao_contratual!$Y168+1)))),"",ROUND(itens_Remanesc!C168*$L$4/INDEX($L$2:$L$6,posicao_contratual!$Y168+1),2)))))</f>
        <v/>
      </c>
      <c r="F168" s="79" t="str">
        <f>IF(OR($A168="",posicao_contratual!$Y168=""),"",IF(posicao_contratual!$Y168&gt;3,"",IF(posicao_contratual!$Y168=3,IF(ISNUMBER(itens_Remanesc!C168),itens_Remanesc!C168,""),IF(OR(NOT(ISNUMBER(itens_Remanesc!C168)),NOT(ISNUMBER($L$5)),NOT(ISNUMBER(INDEX($L$2:$L$6,posicao_contratual!$Y168+1)))),"",ROUND(itens_Remanesc!C168*$L$5/INDEX($L$2:$L$6,posicao_contratual!$Y168+1),2)))))</f>
        <v/>
      </c>
      <c r="G168" s="79" t="str">
        <f>IF(OR($A168="",posicao_contratual!$Y168=""),"",IF(posicao_contratual!$Y168&gt;4,"",IF(posicao_contratual!$Y168=4,IF(ISNUMBER(itens_Remanesc!C168),itens_Remanesc!C168,""),IF(OR(NOT(ISNUMBER(itens_Remanesc!C168)),NOT(ISNUMBER($L$6)),NOT(ISNUMBER(INDEX($L$2:$L$6,posicao_contratual!$Y168+1)))),"",ROUND(itens_Remanesc!C168*$L$6/INDEX($L$2:$L$6,posicao_contratual!$Y168+1),2)))))</f>
        <v/>
      </c>
      <c r="H168" s="114" t="str">
        <f t="shared" si="5"/>
        <v/>
      </c>
      <c r="I168" s="13"/>
      <c r="J168" s="13"/>
      <c r="K168" s="13"/>
      <c r="L168" s="13"/>
      <c r="M168" s="13"/>
      <c r="N168" s="145" t="str">
        <f>IF(A168="","",IF(posicao_contratual!$Y168="","",IF(posicao_contratual!$Y168&gt;0,"",posicao_contratual!E168)))</f>
        <v/>
      </c>
      <c r="O168" s="145" t="str">
        <f>IF(A168="","",IF(posicao_contratual!$Y168="","",IF(posicao_contratual!$Y168&gt;1,"",posicao_contratual!I168)))</f>
        <v/>
      </c>
      <c r="P168" s="145" t="str">
        <f>IF(A168="","",IF(posicao_contratual!$Y168="","",IF(posicao_contratual!$Y168&gt;2,"",posicao_contratual!M168)))</f>
        <v/>
      </c>
      <c r="Q168" s="145" t="str">
        <f>IF(A168="","",IF(posicao_contratual!$Y168="","",IF(posicao_contratual!$Y168&gt;3,"",posicao_contratual!Q168)))</f>
        <v/>
      </c>
      <c r="R168" s="145" t="str">
        <f>IF(A168="","",IF(posicao_contratual!$Y168="","",IF(posicao_contratual!$Y168&gt;4,"",posicao_contratual!U168)))</f>
        <v/>
      </c>
      <c r="S168" s="165" t="str">
        <f>IF(A168="","",posicao_contratual!G168)</f>
        <v/>
      </c>
      <c r="T168" s="165" t="str">
        <f>IF(A168="","",posicao_contratual!K168)</f>
        <v/>
      </c>
      <c r="U168" s="165" t="str">
        <f>IF(A168="","",posicao_contratual!O168)</f>
        <v/>
      </c>
      <c r="V168" s="165" t="str">
        <f>IF(A168="","",posicao_contratual!S168)</f>
        <v/>
      </c>
      <c r="W168" s="165" t="str">
        <f>IF(A168="","",posicao_contratual!W168)</f>
        <v/>
      </c>
    </row>
    <row r="169" spans="1:23" x14ac:dyDescent="0.35">
      <c r="A169" s="86" t="str">
        <f>IF(itens_Remanesc!A169="","",itens_Remanesc!A169)</f>
        <v/>
      </c>
      <c r="B169" s="85" t="str">
        <f>IF(A169="","",IF(posicao_contratual!$Y169="","",IF(posicao_contratual!$Y169&gt;0,"",posicao_contratual!G169)))</f>
        <v/>
      </c>
      <c r="C169" s="79" t="str">
        <f>IF(itens_Remanesc!A169="","",IF(posicao_contratual!$Y169="","",IF(posicao_contratual!$Y169&gt;0,"",itens_Remanesc!C169)))</f>
        <v/>
      </c>
      <c r="D169" s="79" t="str">
        <f>IF(OR($A169="",posicao_contratual!$Y169=""),"",IF(posicao_contratual!$Y169&gt;1,"",IF(posicao_contratual!$Y169=1,IF(ISNUMBER(itens_Remanesc!C169),itens_Remanesc!C169,""),IF(OR(NOT(ISNUMBER(itens_Remanesc!C169)),NOT(ISNUMBER($L$3)),NOT(ISNUMBER(INDEX($L$2:$L$6,posicao_contratual!$Y169+1)))),"",ROUND(itens_Remanesc!C169*$L$3/INDEX($L$2:$L$6,posicao_contratual!$Y169+1),2)))))</f>
        <v/>
      </c>
      <c r="E169" s="79" t="str">
        <f>IF(OR($A169="",posicao_contratual!$Y169=""),"",IF(posicao_contratual!$Y169&gt;2,"",IF(posicao_contratual!$Y169=2,IF(ISNUMBER(itens_Remanesc!C169),itens_Remanesc!C169,""),IF(OR(NOT(ISNUMBER(itens_Remanesc!C169)),NOT(ISNUMBER($L$4)),NOT(ISNUMBER(INDEX($L$2:$L$6,posicao_contratual!$Y169+1)))),"",ROUND(itens_Remanesc!C169*$L$4/INDEX($L$2:$L$6,posicao_contratual!$Y169+1),2)))))</f>
        <v/>
      </c>
      <c r="F169" s="79" t="str">
        <f>IF(OR($A169="",posicao_contratual!$Y169=""),"",IF(posicao_contratual!$Y169&gt;3,"",IF(posicao_contratual!$Y169=3,IF(ISNUMBER(itens_Remanesc!C169),itens_Remanesc!C169,""),IF(OR(NOT(ISNUMBER(itens_Remanesc!C169)),NOT(ISNUMBER($L$5)),NOT(ISNUMBER(INDEX($L$2:$L$6,posicao_contratual!$Y169+1)))),"",ROUND(itens_Remanesc!C169*$L$5/INDEX($L$2:$L$6,posicao_contratual!$Y169+1),2)))))</f>
        <v/>
      </c>
      <c r="G169" s="79" t="str">
        <f>IF(OR($A169="",posicao_contratual!$Y169=""),"",IF(posicao_contratual!$Y169&gt;4,"",IF(posicao_contratual!$Y169=4,IF(ISNUMBER(itens_Remanesc!C169),itens_Remanesc!C169,""),IF(OR(NOT(ISNUMBER(itens_Remanesc!C169)),NOT(ISNUMBER($L$6)),NOT(ISNUMBER(INDEX($L$2:$L$6,posicao_contratual!$Y169+1)))),"",ROUND(itens_Remanesc!C169*$L$6/INDEX($L$2:$L$6,posicao_contratual!$Y169+1),2)))))</f>
        <v/>
      </c>
      <c r="H169" s="114" t="str">
        <f t="shared" si="5"/>
        <v/>
      </c>
      <c r="I169" s="13"/>
      <c r="J169" s="13"/>
      <c r="K169" s="13"/>
      <c r="L169" s="13"/>
      <c r="M169" s="13"/>
      <c r="N169" s="145" t="str">
        <f>IF(A169="","",IF(posicao_contratual!$Y169="","",IF(posicao_contratual!$Y169&gt;0,"",posicao_contratual!E169)))</f>
        <v/>
      </c>
      <c r="O169" s="145" t="str">
        <f>IF(A169="","",IF(posicao_contratual!$Y169="","",IF(posicao_contratual!$Y169&gt;1,"",posicao_contratual!I169)))</f>
        <v/>
      </c>
      <c r="P169" s="145" t="str">
        <f>IF(A169="","",IF(posicao_contratual!$Y169="","",IF(posicao_contratual!$Y169&gt;2,"",posicao_contratual!M169)))</f>
        <v/>
      </c>
      <c r="Q169" s="145" t="str">
        <f>IF(A169="","",IF(posicao_contratual!$Y169="","",IF(posicao_contratual!$Y169&gt;3,"",posicao_contratual!Q169)))</f>
        <v/>
      </c>
      <c r="R169" s="145" t="str">
        <f>IF(A169="","",IF(posicao_contratual!$Y169="","",IF(posicao_contratual!$Y169&gt;4,"",posicao_contratual!U169)))</f>
        <v/>
      </c>
      <c r="S169" s="165" t="str">
        <f>IF(A169="","",posicao_contratual!G169)</f>
        <v/>
      </c>
      <c r="T169" s="165" t="str">
        <f>IF(A169="","",posicao_contratual!K169)</f>
        <v/>
      </c>
      <c r="U169" s="165" t="str">
        <f>IF(A169="","",posicao_contratual!O169)</f>
        <v/>
      </c>
      <c r="V169" s="165" t="str">
        <f>IF(A169="","",posicao_contratual!S169)</f>
        <v/>
      </c>
      <c r="W169" s="165" t="str">
        <f>IF(A169="","",posicao_contratual!W169)</f>
        <v/>
      </c>
    </row>
    <row r="170" spans="1:23" x14ac:dyDescent="0.35">
      <c r="A170" s="86" t="str">
        <f>IF(itens_Remanesc!A170="","",itens_Remanesc!A170)</f>
        <v/>
      </c>
      <c r="B170" s="85" t="str">
        <f>IF(A170="","",IF(posicao_contratual!$Y170="","",IF(posicao_contratual!$Y170&gt;0,"",posicao_contratual!G170)))</f>
        <v/>
      </c>
      <c r="C170" s="79" t="str">
        <f>IF(itens_Remanesc!A170="","",IF(posicao_contratual!$Y170="","",IF(posicao_contratual!$Y170&gt;0,"",itens_Remanesc!C170)))</f>
        <v/>
      </c>
      <c r="D170" s="79" t="str">
        <f>IF(OR($A170="",posicao_contratual!$Y170=""),"",IF(posicao_contratual!$Y170&gt;1,"",IF(posicao_contratual!$Y170=1,IF(ISNUMBER(itens_Remanesc!C170),itens_Remanesc!C170,""),IF(OR(NOT(ISNUMBER(itens_Remanesc!C170)),NOT(ISNUMBER($L$3)),NOT(ISNUMBER(INDEX($L$2:$L$6,posicao_contratual!$Y170+1)))),"",ROUND(itens_Remanesc!C170*$L$3/INDEX($L$2:$L$6,posicao_contratual!$Y170+1),2)))))</f>
        <v/>
      </c>
      <c r="E170" s="79" t="str">
        <f>IF(OR($A170="",posicao_contratual!$Y170=""),"",IF(posicao_contratual!$Y170&gt;2,"",IF(posicao_contratual!$Y170=2,IF(ISNUMBER(itens_Remanesc!C170),itens_Remanesc!C170,""),IF(OR(NOT(ISNUMBER(itens_Remanesc!C170)),NOT(ISNUMBER($L$4)),NOT(ISNUMBER(INDEX($L$2:$L$6,posicao_contratual!$Y170+1)))),"",ROUND(itens_Remanesc!C170*$L$4/INDEX($L$2:$L$6,posicao_contratual!$Y170+1),2)))))</f>
        <v/>
      </c>
      <c r="F170" s="79" t="str">
        <f>IF(OR($A170="",posicao_contratual!$Y170=""),"",IF(posicao_contratual!$Y170&gt;3,"",IF(posicao_contratual!$Y170=3,IF(ISNUMBER(itens_Remanesc!C170),itens_Remanesc!C170,""),IF(OR(NOT(ISNUMBER(itens_Remanesc!C170)),NOT(ISNUMBER($L$5)),NOT(ISNUMBER(INDEX($L$2:$L$6,posicao_contratual!$Y170+1)))),"",ROUND(itens_Remanesc!C170*$L$5/INDEX($L$2:$L$6,posicao_contratual!$Y170+1),2)))))</f>
        <v/>
      </c>
      <c r="G170" s="79" t="str">
        <f>IF(OR($A170="",posicao_contratual!$Y170=""),"",IF(posicao_contratual!$Y170&gt;4,"",IF(posicao_contratual!$Y170=4,IF(ISNUMBER(itens_Remanesc!C170),itens_Remanesc!C170,""),IF(OR(NOT(ISNUMBER(itens_Remanesc!C170)),NOT(ISNUMBER($L$6)),NOT(ISNUMBER(INDEX($L$2:$L$6,posicao_contratual!$Y170+1)))),"",ROUND(itens_Remanesc!C170*$L$6/INDEX($L$2:$L$6,posicao_contratual!$Y170+1),2)))))</f>
        <v/>
      </c>
      <c r="H170" s="114" t="str">
        <f t="shared" si="5"/>
        <v/>
      </c>
      <c r="I170" s="13"/>
      <c r="J170" s="13"/>
      <c r="K170" s="13"/>
      <c r="L170" s="13"/>
      <c r="M170" s="13"/>
      <c r="N170" s="145" t="str">
        <f>IF(A170="","",IF(posicao_contratual!$Y170="","",IF(posicao_contratual!$Y170&gt;0,"",posicao_contratual!E170)))</f>
        <v/>
      </c>
      <c r="O170" s="145" t="str">
        <f>IF(A170="","",IF(posicao_contratual!$Y170="","",IF(posicao_contratual!$Y170&gt;1,"",posicao_contratual!I170)))</f>
        <v/>
      </c>
      <c r="P170" s="145" t="str">
        <f>IF(A170="","",IF(posicao_contratual!$Y170="","",IF(posicao_contratual!$Y170&gt;2,"",posicao_contratual!M170)))</f>
        <v/>
      </c>
      <c r="Q170" s="145" t="str">
        <f>IF(A170="","",IF(posicao_contratual!$Y170="","",IF(posicao_contratual!$Y170&gt;3,"",posicao_contratual!Q170)))</f>
        <v/>
      </c>
      <c r="R170" s="145" t="str">
        <f>IF(A170="","",IF(posicao_contratual!$Y170="","",IF(posicao_contratual!$Y170&gt;4,"",posicao_contratual!U170)))</f>
        <v/>
      </c>
      <c r="S170" s="165" t="str">
        <f>IF(A170="","",posicao_contratual!G170)</f>
        <v/>
      </c>
      <c r="T170" s="165" t="str">
        <f>IF(A170="","",posicao_contratual!K170)</f>
        <v/>
      </c>
      <c r="U170" s="165" t="str">
        <f>IF(A170="","",posicao_contratual!O170)</f>
        <v/>
      </c>
      <c r="V170" s="165" t="str">
        <f>IF(A170="","",posicao_contratual!S170)</f>
        <v/>
      </c>
      <c r="W170" s="165" t="str">
        <f>IF(A170="","",posicao_contratual!W170)</f>
        <v/>
      </c>
    </row>
    <row r="171" spans="1:23" x14ac:dyDescent="0.35">
      <c r="A171" s="86" t="str">
        <f>IF(itens_Remanesc!A171="","",itens_Remanesc!A171)</f>
        <v/>
      </c>
      <c r="B171" s="85" t="str">
        <f>IF(A171="","",IF(posicao_contratual!$Y171="","",IF(posicao_contratual!$Y171&gt;0,"",posicao_contratual!G171)))</f>
        <v/>
      </c>
      <c r="C171" s="79" t="str">
        <f>IF(itens_Remanesc!A171="","",IF(posicao_contratual!$Y171="","",IF(posicao_contratual!$Y171&gt;0,"",itens_Remanesc!C171)))</f>
        <v/>
      </c>
      <c r="D171" s="79" t="str">
        <f>IF(OR($A171="",posicao_contratual!$Y171=""),"",IF(posicao_contratual!$Y171&gt;1,"",IF(posicao_contratual!$Y171=1,IF(ISNUMBER(itens_Remanesc!C171),itens_Remanesc!C171,""),IF(OR(NOT(ISNUMBER(itens_Remanesc!C171)),NOT(ISNUMBER($L$3)),NOT(ISNUMBER(INDEX($L$2:$L$6,posicao_contratual!$Y171+1)))),"",ROUND(itens_Remanesc!C171*$L$3/INDEX($L$2:$L$6,posicao_contratual!$Y171+1),2)))))</f>
        <v/>
      </c>
      <c r="E171" s="79" t="str">
        <f>IF(OR($A171="",posicao_contratual!$Y171=""),"",IF(posicao_contratual!$Y171&gt;2,"",IF(posicao_contratual!$Y171=2,IF(ISNUMBER(itens_Remanesc!C171),itens_Remanesc!C171,""),IF(OR(NOT(ISNUMBER(itens_Remanesc!C171)),NOT(ISNUMBER($L$4)),NOT(ISNUMBER(INDEX($L$2:$L$6,posicao_contratual!$Y171+1)))),"",ROUND(itens_Remanesc!C171*$L$4/INDEX($L$2:$L$6,posicao_contratual!$Y171+1),2)))))</f>
        <v/>
      </c>
      <c r="F171" s="79" t="str">
        <f>IF(OR($A171="",posicao_contratual!$Y171=""),"",IF(posicao_contratual!$Y171&gt;3,"",IF(posicao_contratual!$Y171=3,IF(ISNUMBER(itens_Remanesc!C171),itens_Remanesc!C171,""),IF(OR(NOT(ISNUMBER(itens_Remanesc!C171)),NOT(ISNUMBER($L$5)),NOT(ISNUMBER(INDEX($L$2:$L$6,posicao_contratual!$Y171+1)))),"",ROUND(itens_Remanesc!C171*$L$5/INDEX($L$2:$L$6,posicao_contratual!$Y171+1),2)))))</f>
        <v/>
      </c>
      <c r="G171" s="79" t="str">
        <f>IF(OR($A171="",posicao_contratual!$Y171=""),"",IF(posicao_contratual!$Y171&gt;4,"",IF(posicao_contratual!$Y171=4,IF(ISNUMBER(itens_Remanesc!C171),itens_Remanesc!C171,""),IF(OR(NOT(ISNUMBER(itens_Remanesc!C171)),NOT(ISNUMBER($L$6)),NOT(ISNUMBER(INDEX($L$2:$L$6,posicao_contratual!$Y171+1)))),"",ROUND(itens_Remanesc!C171*$L$6/INDEX($L$2:$L$6,posicao_contratual!$Y171+1),2)))))</f>
        <v/>
      </c>
      <c r="H171" s="114" t="str">
        <f t="shared" si="5"/>
        <v/>
      </c>
      <c r="I171" s="13"/>
      <c r="J171" s="13"/>
      <c r="K171" s="13"/>
      <c r="L171" s="13"/>
      <c r="M171" s="13"/>
      <c r="N171" s="145" t="str">
        <f>IF(A171="","",IF(posicao_contratual!$Y171="","",IF(posicao_contratual!$Y171&gt;0,"",posicao_contratual!E171)))</f>
        <v/>
      </c>
      <c r="O171" s="145" t="str">
        <f>IF(A171="","",IF(posicao_contratual!$Y171="","",IF(posicao_contratual!$Y171&gt;1,"",posicao_contratual!I171)))</f>
        <v/>
      </c>
      <c r="P171" s="145" t="str">
        <f>IF(A171="","",IF(posicao_contratual!$Y171="","",IF(posicao_contratual!$Y171&gt;2,"",posicao_contratual!M171)))</f>
        <v/>
      </c>
      <c r="Q171" s="145" t="str">
        <f>IF(A171="","",IF(posicao_contratual!$Y171="","",IF(posicao_contratual!$Y171&gt;3,"",posicao_contratual!Q171)))</f>
        <v/>
      </c>
      <c r="R171" s="145" t="str">
        <f>IF(A171="","",IF(posicao_contratual!$Y171="","",IF(posicao_contratual!$Y171&gt;4,"",posicao_contratual!U171)))</f>
        <v/>
      </c>
      <c r="S171" s="165" t="str">
        <f>IF(A171="","",posicao_contratual!G171)</f>
        <v/>
      </c>
      <c r="T171" s="165" t="str">
        <f>IF(A171="","",posicao_contratual!K171)</f>
        <v/>
      </c>
      <c r="U171" s="165" t="str">
        <f>IF(A171="","",posicao_contratual!O171)</f>
        <v/>
      </c>
      <c r="V171" s="165" t="str">
        <f>IF(A171="","",posicao_contratual!S171)</f>
        <v/>
      </c>
      <c r="W171" s="165" t="str">
        <f>IF(A171="","",posicao_contratual!W171)</f>
        <v/>
      </c>
    </row>
    <row r="172" spans="1:23" x14ac:dyDescent="0.35">
      <c r="A172" s="86" t="str">
        <f>IF(itens_Remanesc!A172="","",itens_Remanesc!A172)</f>
        <v/>
      </c>
      <c r="B172" s="85" t="str">
        <f>IF(A172="","",IF(posicao_contratual!$Y172="","",IF(posicao_contratual!$Y172&gt;0,"",posicao_contratual!G172)))</f>
        <v/>
      </c>
      <c r="C172" s="79" t="str">
        <f>IF(itens_Remanesc!A172="","",IF(posicao_contratual!$Y172="","",IF(posicao_contratual!$Y172&gt;0,"",itens_Remanesc!C172)))</f>
        <v/>
      </c>
      <c r="D172" s="79" t="str">
        <f>IF(OR($A172="",posicao_contratual!$Y172=""),"",IF(posicao_contratual!$Y172&gt;1,"",IF(posicao_contratual!$Y172=1,IF(ISNUMBER(itens_Remanesc!C172),itens_Remanesc!C172,""),IF(OR(NOT(ISNUMBER(itens_Remanesc!C172)),NOT(ISNUMBER($L$3)),NOT(ISNUMBER(INDEX($L$2:$L$6,posicao_contratual!$Y172+1)))),"",ROUND(itens_Remanesc!C172*$L$3/INDEX($L$2:$L$6,posicao_contratual!$Y172+1),2)))))</f>
        <v/>
      </c>
      <c r="E172" s="79" t="str">
        <f>IF(OR($A172="",posicao_contratual!$Y172=""),"",IF(posicao_contratual!$Y172&gt;2,"",IF(posicao_contratual!$Y172=2,IF(ISNUMBER(itens_Remanesc!C172),itens_Remanesc!C172,""),IF(OR(NOT(ISNUMBER(itens_Remanesc!C172)),NOT(ISNUMBER($L$4)),NOT(ISNUMBER(INDEX($L$2:$L$6,posicao_contratual!$Y172+1)))),"",ROUND(itens_Remanesc!C172*$L$4/INDEX($L$2:$L$6,posicao_contratual!$Y172+1),2)))))</f>
        <v/>
      </c>
      <c r="F172" s="79" t="str">
        <f>IF(OR($A172="",posicao_contratual!$Y172=""),"",IF(posicao_contratual!$Y172&gt;3,"",IF(posicao_contratual!$Y172=3,IF(ISNUMBER(itens_Remanesc!C172),itens_Remanesc!C172,""),IF(OR(NOT(ISNUMBER(itens_Remanesc!C172)),NOT(ISNUMBER($L$5)),NOT(ISNUMBER(INDEX($L$2:$L$6,posicao_contratual!$Y172+1)))),"",ROUND(itens_Remanesc!C172*$L$5/INDEX($L$2:$L$6,posicao_contratual!$Y172+1),2)))))</f>
        <v/>
      </c>
      <c r="G172" s="79" t="str">
        <f>IF(OR($A172="",posicao_contratual!$Y172=""),"",IF(posicao_contratual!$Y172&gt;4,"",IF(posicao_contratual!$Y172=4,IF(ISNUMBER(itens_Remanesc!C172),itens_Remanesc!C172,""),IF(OR(NOT(ISNUMBER(itens_Remanesc!C172)),NOT(ISNUMBER($L$6)),NOT(ISNUMBER(INDEX($L$2:$L$6,posicao_contratual!$Y172+1)))),"",ROUND(itens_Remanesc!C172*$L$6/INDEX($L$2:$L$6,posicao_contratual!$Y172+1),2)))))</f>
        <v/>
      </c>
      <c r="H172" s="114" t="str">
        <f t="shared" si="5"/>
        <v/>
      </c>
      <c r="I172" s="13"/>
      <c r="J172" s="13"/>
      <c r="K172" s="13"/>
      <c r="L172" s="13"/>
      <c r="M172" s="13"/>
      <c r="N172" s="145" t="str">
        <f>IF(A172="","",IF(posicao_contratual!$Y172="","",IF(posicao_contratual!$Y172&gt;0,"",posicao_contratual!E172)))</f>
        <v/>
      </c>
      <c r="O172" s="145" t="str">
        <f>IF(A172="","",IF(posicao_contratual!$Y172="","",IF(posicao_contratual!$Y172&gt;1,"",posicao_contratual!I172)))</f>
        <v/>
      </c>
      <c r="P172" s="145" t="str">
        <f>IF(A172="","",IF(posicao_contratual!$Y172="","",IF(posicao_contratual!$Y172&gt;2,"",posicao_contratual!M172)))</f>
        <v/>
      </c>
      <c r="Q172" s="145" t="str">
        <f>IF(A172="","",IF(posicao_contratual!$Y172="","",IF(posicao_contratual!$Y172&gt;3,"",posicao_contratual!Q172)))</f>
        <v/>
      </c>
      <c r="R172" s="145" t="str">
        <f>IF(A172="","",IF(posicao_contratual!$Y172="","",IF(posicao_contratual!$Y172&gt;4,"",posicao_contratual!U172)))</f>
        <v/>
      </c>
      <c r="S172" s="165" t="str">
        <f>IF(A172="","",posicao_contratual!G172)</f>
        <v/>
      </c>
      <c r="T172" s="165" t="str">
        <f>IF(A172="","",posicao_contratual!K172)</f>
        <v/>
      </c>
      <c r="U172" s="165" t="str">
        <f>IF(A172="","",posicao_contratual!O172)</f>
        <v/>
      </c>
      <c r="V172" s="165" t="str">
        <f>IF(A172="","",posicao_contratual!S172)</f>
        <v/>
      </c>
      <c r="W172" s="165" t="str">
        <f>IF(A172="","",posicao_contratual!W172)</f>
        <v/>
      </c>
    </row>
    <row r="173" spans="1:23" x14ac:dyDescent="0.35">
      <c r="A173" s="86" t="str">
        <f>IF(itens_Remanesc!A173="","",itens_Remanesc!A173)</f>
        <v/>
      </c>
      <c r="B173" s="85" t="str">
        <f>IF(A173="","",IF(posicao_contratual!$Y173="","",IF(posicao_contratual!$Y173&gt;0,"",posicao_contratual!G173)))</f>
        <v/>
      </c>
      <c r="C173" s="79" t="str">
        <f>IF(itens_Remanesc!A173="","",IF(posicao_contratual!$Y173="","",IF(posicao_contratual!$Y173&gt;0,"",itens_Remanesc!C173)))</f>
        <v/>
      </c>
      <c r="D173" s="79" t="str">
        <f>IF(OR($A173="",posicao_contratual!$Y173=""),"",IF(posicao_contratual!$Y173&gt;1,"",IF(posicao_contratual!$Y173=1,IF(ISNUMBER(itens_Remanesc!C173),itens_Remanesc!C173,""),IF(OR(NOT(ISNUMBER(itens_Remanesc!C173)),NOT(ISNUMBER($L$3)),NOT(ISNUMBER(INDEX($L$2:$L$6,posicao_contratual!$Y173+1)))),"",ROUND(itens_Remanesc!C173*$L$3/INDEX($L$2:$L$6,posicao_contratual!$Y173+1),2)))))</f>
        <v/>
      </c>
      <c r="E173" s="79" t="str">
        <f>IF(OR($A173="",posicao_contratual!$Y173=""),"",IF(posicao_contratual!$Y173&gt;2,"",IF(posicao_contratual!$Y173=2,IF(ISNUMBER(itens_Remanesc!C173),itens_Remanesc!C173,""),IF(OR(NOT(ISNUMBER(itens_Remanesc!C173)),NOT(ISNUMBER($L$4)),NOT(ISNUMBER(INDEX($L$2:$L$6,posicao_contratual!$Y173+1)))),"",ROUND(itens_Remanesc!C173*$L$4/INDEX($L$2:$L$6,posicao_contratual!$Y173+1),2)))))</f>
        <v/>
      </c>
      <c r="F173" s="79" t="str">
        <f>IF(OR($A173="",posicao_contratual!$Y173=""),"",IF(posicao_contratual!$Y173&gt;3,"",IF(posicao_contratual!$Y173=3,IF(ISNUMBER(itens_Remanesc!C173),itens_Remanesc!C173,""),IF(OR(NOT(ISNUMBER(itens_Remanesc!C173)),NOT(ISNUMBER($L$5)),NOT(ISNUMBER(INDEX($L$2:$L$6,posicao_contratual!$Y173+1)))),"",ROUND(itens_Remanesc!C173*$L$5/INDEX($L$2:$L$6,posicao_contratual!$Y173+1),2)))))</f>
        <v/>
      </c>
      <c r="G173" s="79" t="str">
        <f>IF(OR($A173="",posicao_contratual!$Y173=""),"",IF(posicao_contratual!$Y173&gt;4,"",IF(posicao_contratual!$Y173=4,IF(ISNUMBER(itens_Remanesc!C173),itens_Remanesc!C173,""),IF(OR(NOT(ISNUMBER(itens_Remanesc!C173)),NOT(ISNUMBER($L$6)),NOT(ISNUMBER(INDEX($L$2:$L$6,posicao_contratual!$Y173+1)))),"",ROUND(itens_Remanesc!C173*$L$6/INDEX($L$2:$L$6,posicao_contratual!$Y173+1),2)))))</f>
        <v/>
      </c>
      <c r="H173" s="114" t="str">
        <f t="shared" si="5"/>
        <v/>
      </c>
      <c r="I173" s="13"/>
      <c r="J173" s="13"/>
      <c r="K173" s="13"/>
      <c r="L173" s="13"/>
      <c r="M173" s="13"/>
      <c r="N173" s="145" t="str">
        <f>IF(A173="","",IF(posicao_contratual!$Y173="","",IF(posicao_contratual!$Y173&gt;0,"",posicao_contratual!E173)))</f>
        <v/>
      </c>
      <c r="O173" s="145" t="str">
        <f>IF(A173="","",IF(posicao_contratual!$Y173="","",IF(posicao_contratual!$Y173&gt;1,"",posicao_contratual!I173)))</f>
        <v/>
      </c>
      <c r="P173" s="145" t="str">
        <f>IF(A173="","",IF(posicao_contratual!$Y173="","",IF(posicao_contratual!$Y173&gt;2,"",posicao_contratual!M173)))</f>
        <v/>
      </c>
      <c r="Q173" s="145" t="str">
        <f>IF(A173="","",IF(posicao_contratual!$Y173="","",IF(posicao_contratual!$Y173&gt;3,"",posicao_contratual!Q173)))</f>
        <v/>
      </c>
      <c r="R173" s="145" t="str">
        <f>IF(A173="","",IF(posicao_contratual!$Y173="","",IF(posicao_contratual!$Y173&gt;4,"",posicao_contratual!U173)))</f>
        <v/>
      </c>
      <c r="S173" s="165" t="str">
        <f>IF(A173="","",posicao_contratual!G173)</f>
        <v/>
      </c>
      <c r="T173" s="165" t="str">
        <f>IF(A173="","",posicao_contratual!K173)</f>
        <v/>
      </c>
      <c r="U173" s="165" t="str">
        <f>IF(A173="","",posicao_contratual!O173)</f>
        <v/>
      </c>
      <c r="V173" s="165" t="str">
        <f>IF(A173="","",posicao_contratual!S173)</f>
        <v/>
      </c>
      <c r="W173" s="165" t="str">
        <f>IF(A173="","",posicao_contratual!W173)</f>
        <v/>
      </c>
    </row>
    <row r="174" spans="1:23" x14ac:dyDescent="0.35">
      <c r="A174" s="86" t="str">
        <f>IF(itens_Remanesc!A174="","",itens_Remanesc!A174)</f>
        <v/>
      </c>
      <c r="B174" s="85" t="str">
        <f>IF(A174="","",IF(posicao_contratual!$Y174="","",IF(posicao_contratual!$Y174&gt;0,"",posicao_contratual!G174)))</f>
        <v/>
      </c>
      <c r="C174" s="79" t="str">
        <f>IF(itens_Remanesc!A174="","",IF(posicao_contratual!$Y174="","",IF(posicao_contratual!$Y174&gt;0,"",itens_Remanesc!C174)))</f>
        <v/>
      </c>
      <c r="D174" s="79" t="str">
        <f>IF(OR($A174="",posicao_contratual!$Y174=""),"",IF(posicao_contratual!$Y174&gt;1,"",IF(posicao_contratual!$Y174=1,IF(ISNUMBER(itens_Remanesc!C174),itens_Remanesc!C174,""),IF(OR(NOT(ISNUMBER(itens_Remanesc!C174)),NOT(ISNUMBER($L$3)),NOT(ISNUMBER(INDEX($L$2:$L$6,posicao_contratual!$Y174+1)))),"",ROUND(itens_Remanesc!C174*$L$3/INDEX($L$2:$L$6,posicao_contratual!$Y174+1),2)))))</f>
        <v/>
      </c>
      <c r="E174" s="79" t="str">
        <f>IF(OR($A174="",posicao_contratual!$Y174=""),"",IF(posicao_contratual!$Y174&gt;2,"",IF(posicao_contratual!$Y174=2,IF(ISNUMBER(itens_Remanesc!C174),itens_Remanesc!C174,""),IF(OR(NOT(ISNUMBER(itens_Remanesc!C174)),NOT(ISNUMBER($L$4)),NOT(ISNUMBER(INDEX($L$2:$L$6,posicao_contratual!$Y174+1)))),"",ROUND(itens_Remanesc!C174*$L$4/INDEX($L$2:$L$6,posicao_contratual!$Y174+1),2)))))</f>
        <v/>
      </c>
      <c r="F174" s="79" t="str">
        <f>IF(OR($A174="",posicao_contratual!$Y174=""),"",IF(posicao_contratual!$Y174&gt;3,"",IF(posicao_contratual!$Y174=3,IF(ISNUMBER(itens_Remanesc!C174),itens_Remanesc!C174,""),IF(OR(NOT(ISNUMBER(itens_Remanesc!C174)),NOT(ISNUMBER($L$5)),NOT(ISNUMBER(INDEX($L$2:$L$6,posicao_contratual!$Y174+1)))),"",ROUND(itens_Remanesc!C174*$L$5/INDEX($L$2:$L$6,posicao_contratual!$Y174+1),2)))))</f>
        <v/>
      </c>
      <c r="G174" s="79" t="str">
        <f>IF(OR($A174="",posicao_contratual!$Y174=""),"",IF(posicao_contratual!$Y174&gt;4,"",IF(posicao_contratual!$Y174=4,IF(ISNUMBER(itens_Remanesc!C174),itens_Remanesc!C174,""),IF(OR(NOT(ISNUMBER(itens_Remanesc!C174)),NOT(ISNUMBER($L$6)),NOT(ISNUMBER(INDEX($L$2:$L$6,posicao_contratual!$Y174+1)))),"",ROUND(itens_Remanesc!C174*$L$6/INDEX($L$2:$L$6,posicao_contratual!$Y174+1),2)))))</f>
        <v/>
      </c>
      <c r="H174" s="114" t="str">
        <f t="shared" si="5"/>
        <v/>
      </c>
      <c r="I174" s="13"/>
      <c r="J174" s="13"/>
      <c r="K174" s="13"/>
      <c r="L174" s="13"/>
      <c r="M174" s="13"/>
      <c r="N174" s="145" t="str">
        <f>IF(A174="","",IF(posicao_contratual!$Y174="","",IF(posicao_contratual!$Y174&gt;0,"",posicao_contratual!E174)))</f>
        <v/>
      </c>
      <c r="O174" s="145" t="str">
        <f>IF(A174="","",IF(posicao_contratual!$Y174="","",IF(posicao_contratual!$Y174&gt;1,"",posicao_contratual!I174)))</f>
        <v/>
      </c>
      <c r="P174" s="145" t="str">
        <f>IF(A174="","",IF(posicao_contratual!$Y174="","",IF(posicao_contratual!$Y174&gt;2,"",posicao_contratual!M174)))</f>
        <v/>
      </c>
      <c r="Q174" s="145" t="str">
        <f>IF(A174="","",IF(posicao_contratual!$Y174="","",IF(posicao_contratual!$Y174&gt;3,"",posicao_contratual!Q174)))</f>
        <v/>
      </c>
      <c r="R174" s="145" t="str">
        <f>IF(A174="","",IF(posicao_contratual!$Y174="","",IF(posicao_contratual!$Y174&gt;4,"",posicao_contratual!U174)))</f>
        <v/>
      </c>
      <c r="S174" s="165" t="str">
        <f>IF(A174="","",posicao_contratual!G174)</f>
        <v/>
      </c>
      <c r="T174" s="165" t="str">
        <f>IF(A174="","",posicao_contratual!K174)</f>
        <v/>
      </c>
      <c r="U174" s="165" t="str">
        <f>IF(A174="","",posicao_contratual!O174)</f>
        <v/>
      </c>
      <c r="V174" s="165" t="str">
        <f>IF(A174="","",posicao_contratual!S174)</f>
        <v/>
      </c>
      <c r="W174" s="165" t="str">
        <f>IF(A174="","",posicao_contratual!W174)</f>
        <v/>
      </c>
    </row>
    <row r="175" spans="1:23" x14ac:dyDescent="0.35">
      <c r="A175" s="86" t="str">
        <f>IF(itens_Remanesc!A175="","",itens_Remanesc!A175)</f>
        <v/>
      </c>
      <c r="B175" s="85" t="str">
        <f>IF(A175="","",IF(posicao_contratual!$Y175="","",IF(posicao_contratual!$Y175&gt;0,"",posicao_contratual!G175)))</f>
        <v/>
      </c>
      <c r="C175" s="79" t="str">
        <f>IF(itens_Remanesc!A175="","",IF(posicao_contratual!$Y175="","",IF(posicao_contratual!$Y175&gt;0,"",itens_Remanesc!C175)))</f>
        <v/>
      </c>
      <c r="D175" s="79" t="str">
        <f>IF(OR($A175="",posicao_contratual!$Y175=""),"",IF(posicao_contratual!$Y175&gt;1,"",IF(posicao_contratual!$Y175=1,IF(ISNUMBER(itens_Remanesc!C175),itens_Remanesc!C175,""),IF(OR(NOT(ISNUMBER(itens_Remanesc!C175)),NOT(ISNUMBER($L$3)),NOT(ISNUMBER(INDEX($L$2:$L$6,posicao_contratual!$Y175+1)))),"",ROUND(itens_Remanesc!C175*$L$3/INDEX($L$2:$L$6,posicao_contratual!$Y175+1),2)))))</f>
        <v/>
      </c>
      <c r="E175" s="79" t="str">
        <f>IF(OR($A175="",posicao_contratual!$Y175=""),"",IF(posicao_contratual!$Y175&gt;2,"",IF(posicao_contratual!$Y175=2,IF(ISNUMBER(itens_Remanesc!C175),itens_Remanesc!C175,""),IF(OR(NOT(ISNUMBER(itens_Remanesc!C175)),NOT(ISNUMBER($L$4)),NOT(ISNUMBER(INDEX($L$2:$L$6,posicao_contratual!$Y175+1)))),"",ROUND(itens_Remanesc!C175*$L$4/INDEX($L$2:$L$6,posicao_contratual!$Y175+1),2)))))</f>
        <v/>
      </c>
      <c r="F175" s="79" t="str">
        <f>IF(OR($A175="",posicao_contratual!$Y175=""),"",IF(posicao_contratual!$Y175&gt;3,"",IF(posicao_contratual!$Y175=3,IF(ISNUMBER(itens_Remanesc!C175),itens_Remanesc!C175,""),IF(OR(NOT(ISNUMBER(itens_Remanesc!C175)),NOT(ISNUMBER($L$5)),NOT(ISNUMBER(INDEX($L$2:$L$6,posicao_contratual!$Y175+1)))),"",ROUND(itens_Remanesc!C175*$L$5/INDEX($L$2:$L$6,posicao_contratual!$Y175+1),2)))))</f>
        <v/>
      </c>
      <c r="G175" s="79" t="str">
        <f>IF(OR($A175="",posicao_contratual!$Y175=""),"",IF(posicao_contratual!$Y175&gt;4,"",IF(posicao_contratual!$Y175=4,IF(ISNUMBER(itens_Remanesc!C175),itens_Remanesc!C175,""),IF(OR(NOT(ISNUMBER(itens_Remanesc!C175)),NOT(ISNUMBER($L$6)),NOT(ISNUMBER(INDEX($L$2:$L$6,posicao_contratual!$Y175+1)))),"",ROUND(itens_Remanesc!C175*$L$6/INDEX($L$2:$L$6,posicao_contratual!$Y175+1),2)))))</f>
        <v/>
      </c>
      <c r="H175" s="114" t="str">
        <f t="shared" si="5"/>
        <v/>
      </c>
      <c r="I175" s="13"/>
      <c r="J175" s="13"/>
      <c r="K175" s="13"/>
      <c r="L175" s="13"/>
      <c r="M175" s="13"/>
      <c r="N175" s="145" t="str">
        <f>IF(A175="","",IF(posicao_contratual!$Y175="","",IF(posicao_contratual!$Y175&gt;0,"",posicao_contratual!E175)))</f>
        <v/>
      </c>
      <c r="O175" s="145" t="str">
        <f>IF(A175="","",IF(posicao_contratual!$Y175="","",IF(posicao_contratual!$Y175&gt;1,"",posicao_contratual!I175)))</f>
        <v/>
      </c>
      <c r="P175" s="145" t="str">
        <f>IF(A175="","",IF(posicao_contratual!$Y175="","",IF(posicao_contratual!$Y175&gt;2,"",posicao_contratual!M175)))</f>
        <v/>
      </c>
      <c r="Q175" s="145" t="str">
        <f>IF(A175="","",IF(posicao_contratual!$Y175="","",IF(posicao_contratual!$Y175&gt;3,"",posicao_contratual!Q175)))</f>
        <v/>
      </c>
      <c r="R175" s="145" t="str">
        <f>IF(A175="","",IF(posicao_contratual!$Y175="","",IF(posicao_contratual!$Y175&gt;4,"",posicao_contratual!U175)))</f>
        <v/>
      </c>
      <c r="S175" s="165" t="str">
        <f>IF(A175="","",posicao_contratual!G175)</f>
        <v/>
      </c>
      <c r="T175" s="165" t="str">
        <f>IF(A175="","",posicao_contratual!K175)</f>
        <v/>
      </c>
      <c r="U175" s="165" t="str">
        <f>IF(A175="","",posicao_contratual!O175)</f>
        <v/>
      </c>
      <c r="V175" s="165" t="str">
        <f>IF(A175="","",posicao_contratual!S175)</f>
        <v/>
      </c>
      <c r="W175" s="165" t="str">
        <f>IF(A175="","",posicao_contratual!W175)</f>
        <v/>
      </c>
    </row>
    <row r="176" spans="1:23" x14ac:dyDescent="0.35">
      <c r="A176" s="86" t="str">
        <f>IF(itens_Remanesc!A176="","",itens_Remanesc!A176)</f>
        <v/>
      </c>
      <c r="B176" s="85" t="str">
        <f>IF(A176="","",IF(posicao_contratual!$Y176="","",IF(posicao_contratual!$Y176&gt;0,"",posicao_contratual!G176)))</f>
        <v/>
      </c>
      <c r="C176" s="79" t="str">
        <f>IF(itens_Remanesc!A176="","",IF(posicao_contratual!$Y176="","",IF(posicao_contratual!$Y176&gt;0,"",itens_Remanesc!C176)))</f>
        <v/>
      </c>
      <c r="D176" s="79" t="str">
        <f>IF(OR($A176="",posicao_contratual!$Y176=""),"",IF(posicao_contratual!$Y176&gt;1,"",IF(posicao_contratual!$Y176=1,IF(ISNUMBER(itens_Remanesc!C176),itens_Remanesc!C176,""),IF(OR(NOT(ISNUMBER(itens_Remanesc!C176)),NOT(ISNUMBER($L$3)),NOT(ISNUMBER(INDEX($L$2:$L$6,posicao_contratual!$Y176+1)))),"",ROUND(itens_Remanesc!C176*$L$3/INDEX($L$2:$L$6,posicao_contratual!$Y176+1),2)))))</f>
        <v/>
      </c>
      <c r="E176" s="79" t="str">
        <f>IF(OR($A176="",posicao_contratual!$Y176=""),"",IF(posicao_contratual!$Y176&gt;2,"",IF(posicao_contratual!$Y176=2,IF(ISNUMBER(itens_Remanesc!C176),itens_Remanesc!C176,""),IF(OR(NOT(ISNUMBER(itens_Remanesc!C176)),NOT(ISNUMBER($L$4)),NOT(ISNUMBER(INDEX($L$2:$L$6,posicao_contratual!$Y176+1)))),"",ROUND(itens_Remanesc!C176*$L$4/INDEX($L$2:$L$6,posicao_contratual!$Y176+1),2)))))</f>
        <v/>
      </c>
      <c r="F176" s="79" t="str">
        <f>IF(OR($A176="",posicao_contratual!$Y176=""),"",IF(posicao_contratual!$Y176&gt;3,"",IF(posicao_contratual!$Y176=3,IF(ISNUMBER(itens_Remanesc!C176),itens_Remanesc!C176,""),IF(OR(NOT(ISNUMBER(itens_Remanesc!C176)),NOT(ISNUMBER($L$5)),NOT(ISNUMBER(INDEX($L$2:$L$6,posicao_contratual!$Y176+1)))),"",ROUND(itens_Remanesc!C176*$L$5/INDEX($L$2:$L$6,posicao_contratual!$Y176+1),2)))))</f>
        <v/>
      </c>
      <c r="G176" s="79" t="str">
        <f>IF(OR($A176="",posicao_contratual!$Y176=""),"",IF(posicao_contratual!$Y176&gt;4,"",IF(posicao_contratual!$Y176=4,IF(ISNUMBER(itens_Remanesc!C176),itens_Remanesc!C176,""),IF(OR(NOT(ISNUMBER(itens_Remanesc!C176)),NOT(ISNUMBER($L$6)),NOT(ISNUMBER(INDEX($L$2:$L$6,posicao_contratual!$Y176+1)))),"",ROUND(itens_Remanesc!C176*$L$6/INDEX($L$2:$L$6,posicao_contratual!$Y176+1),2)))))</f>
        <v/>
      </c>
      <c r="H176" s="114" t="str">
        <f t="shared" si="5"/>
        <v/>
      </c>
      <c r="I176" s="13"/>
      <c r="J176" s="13"/>
      <c r="K176" s="13"/>
      <c r="L176" s="13"/>
      <c r="M176" s="13"/>
      <c r="N176" s="145" t="str">
        <f>IF(A176="","",IF(posicao_contratual!$Y176="","",IF(posicao_contratual!$Y176&gt;0,"",posicao_contratual!E176)))</f>
        <v/>
      </c>
      <c r="O176" s="145" t="str">
        <f>IF(A176="","",IF(posicao_contratual!$Y176="","",IF(posicao_contratual!$Y176&gt;1,"",posicao_contratual!I176)))</f>
        <v/>
      </c>
      <c r="P176" s="145" t="str">
        <f>IF(A176="","",IF(posicao_contratual!$Y176="","",IF(posicao_contratual!$Y176&gt;2,"",posicao_contratual!M176)))</f>
        <v/>
      </c>
      <c r="Q176" s="145" t="str">
        <f>IF(A176="","",IF(posicao_contratual!$Y176="","",IF(posicao_contratual!$Y176&gt;3,"",posicao_contratual!Q176)))</f>
        <v/>
      </c>
      <c r="R176" s="145" t="str">
        <f>IF(A176="","",IF(posicao_contratual!$Y176="","",IF(posicao_contratual!$Y176&gt;4,"",posicao_contratual!U176)))</f>
        <v/>
      </c>
      <c r="S176" s="165" t="str">
        <f>IF(A176="","",posicao_contratual!G176)</f>
        <v/>
      </c>
      <c r="T176" s="165" t="str">
        <f>IF(A176="","",posicao_contratual!K176)</f>
        <v/>
      </c>
      <c r="U176" s="165" t="str">
        <f>IF(A176="","",posicao_contratual!O176)</f>
        <v/>
      </c>
      <c r="V176" s="165" t="str">
        <f>IF(A176="","",posicao_contratual!S176)</f>
        <v/>
      </c>
      <c r="W176" s="165" t="str">
        <f>IF(A176="","",posicao_contratual!W176)</f>
        <v/>
      </c>
    </row>
    <row r="177" spans="1:23" x14ac:dyDescent="0.35">
      <c r="A177" s="86" t="str">
        <f>IF(itens_Remanesc!A177="","",itens_Remanesc!A177)</f>
        <v/>
      </c>
      <c r="B177" s="85" t="str">
        <f>IF(A177="","",IF(posicao_contratual!$Y177="","",IF(posicao_contratual!$Y177&gt;0,"",posicao_contratual!G177)))</f>
        <v/>
      </c>
      <c r="C177" s="79" t="str">
        <f>IF(itens_Remanesc!A177="","",IF(posicao_contratual!$Y177="","",IF(posicao_contratual!$Y177&gt;0,"",itens_Remanesc!C177)))</f>
        <v/>
      </c>
      <c r="D177" s="79" t="str">
        <f>IF(OR($A177="",posicao_contratual!$Y177=""),"",IF(posicao_contratual!$Y177&gt;1,"",IF(posicao_contratual!$Y177=1,IF(ISNUMBER(itens_Remanesc!C177),itens_Remanesc!C177,""),IF(OR(NOT(ISNUMBER(itens_Remanesc!C177)),NOT(ISNUMBER($L$3)),NOT(ISNUMBER(INDEX($L$2:$L$6,posicao_contratual!$Y177+1)))),"",ROUND(itens_Remanesc!C177*$L$3/INDEX($L$2:$L$6,posicao_contratual!$Y177+1),2)))))</f>
        <v/>
      </c>
      <c r="E177" s="79" t="str">
        <f>IF(OR($A177="",posicao_contratual!$Y177=""),"",IF(posicao_contratual!$Y177&gt;2,"",IF(posicao_contratual!$Y177=2,IF(ISNUMBER(itens_Remanesc!C177),itens_Remanesc!C177,""),IF(OR(NOT(ISNUMBER(itens_Remanesc!C177)),NOT(ISNUMBER($L$4)),NOT(ISNUMBER(INDEX($L$2:$L$6,posicao_contratual!$Y177+1)))),"",ROUND(itens_Remanesc!C177*$L$4/INDEX($L$2:$L$6,posicao_contratual!$Y177+1),2)))))</f>
        <v/>
      </c>
      <c r="F177" s="79" t="str">
        <f>IF(OR($A177="",posicao_contratual!$Y177=""),"",IF(posicao_contratual!$Y177&gt;3,"",IF(posicao_contratual!$Y177=3,IF(ISNUMBER(itens_Remanesc!C177),itens_Remanesc!C177,""),IF(OR(NOT(ISNUMBER(itens_Remanesc!C177)),NOT(ISNUMBER($L$5)),NOT(ISNUMBER(INDEX($L$2:$L$6,posicao_contratual!$Y177+1)))),"",ROUND(itens_Remanesc!C177*$L$5/INDEX($L$2:$L$6,posicao_contratual!$Y177+1),2)))))</f>
        <v/>
      </c>
      <c r="G177" s="79" t="str">
        <f>IF(OR($A177="",posicao_contratual!$Y177=""),"",IF(posicao_contratual!$Y177&gt;4,"",IF(posicao_contratual!$Y177=4,IF(ISNUMBER(itens_Remanesc!C177),itens_Remanesc!C177,""),IF(OR(NOT(ISNUMBER(itens_Remanesc!C177)),NOT(ISNUMBER($L$6)),NOT(ISNUMBER(INDEX($L$2:$L$6,posicao_contratual!$Y177+1)))),"",ROUND(itens_Remanesc!C177*$L$6/INDEX($L$2:$L$6,posicao_contratual!$Y177+1),2)))))</f>
        <v/>
      </c>
      <c r="H177" s="114" t="str">
        <f t="shared" si="5"/>
        <v/>
      </c>
      <c r="I177" s="13"/>
      <c r="J177" s="13"/>
      <c r="K177" s="13"/>
      <c r="L177" s="13"/>
      <c r="M177" s="13"/>
      <c r="N177" s="145" t="str">
        <f>IF(A177="","",IF(posicao_contratual!$Y177="","",IF(posicao_contratual!$Y177&gt;0,"",posicao_contratual!E177)))</f>
        <v/>
      </c>
      <c r="O177" s="145" t="str">
        <f>IF(A177="","",IF(posicao_contratual!$Y177="","",IF(posicao_contratual!$Y177&gt;1,"",posicao_contratual!I177)))</f>
        <v/>
      </c>
      <c r="P177" s="145" t="str">
        <f>IF(A177="","",IF(posicao_contratual!$Y177="","",IF(posicao_contratual!$Y177&gt;2,"",posicao_contratual!M177)))</f>
        <v/>
      </c>
      <c r="Q177" s="145" t="str">
        <f>IF(A177="","",IF(posicao_contratual!$Y177="","",IF(posicao_contratual!$Y177&gt;3,"",posicao_contratual!Q177)))</f>
        <v/>
      </c>
      <c r="R177" s="145" t="str">
        <f>IF(A177="","",IF(posicao_contratual!$Y177="","",IF(posicao_contratual!$Y177&gt;4,"",posicao_contratual!U177)))</f>
        <v/>
      </c>
      <c r="S177" s="165" t="str">
        <f>IF(A177="","",posicao_contratual!G177)</f>
        <v/>
      </c>
      <c r="T177" s="165" t="str">
        <f>IF(A177="","",posicao_contratual!K177)</f>
        <v/>
      </c>
      <c r="U177" s="165" t="str">
        <f>IF(A177="","",posicao_contratual!O177)</f>
        <v/>
      </c>
      <c r="V177" s="165" t="str">
        <f>IF(A177="","",posicao_contratual!S177)</f>
        <v/>
      </c>
      <c r="W177" s="165" t="str">
        <f>IF(A177="","",posicao_contratual!W177)</f>
        <v/>
      </c>
    </row>
    <row r="178" spans="1:23" x14ac:dyDescent="0.35">
      <c r="A178" s="86" t="str">
        <f>IF(itens_Remanesc!A178="","",itens_Remanesc!A178)</f>
        <v/>
      </c>
      <c r="B178" s="85" t="str">
        <f>IF(A178="","",IF(posicao_contratual!$Y178="","",IF(posicao_contratual!$Y178&gt;0,"",posicao_contratual!G178)))</f>
        <v/>
      </c>
      <c r="C178" s="79" t="str">
        <f>IF(itens_Remanesc!A178="","",IF(posicao_contratual!$Y178="","",IF(posicao_contratual!$Y178&gt;0,"",itens_Remanesc!C178)))</f>
        <v/>
      </c>
      <c r="D178" s="79" t="str">
        <f>IF(OR($A178="",posicao_contratual!$Y178=""),"",IF(posicao_contratual!$Y178&gt;1,"",IF(posicao_contratual!$Y178=1,IF(ISNUMBER(itens_Remanesc!C178),itens_Remanesc!C178,""),IF(OR(NOT(ISNUMBER(itens_Remanesc!C178)),NOT(ISNUMBER($L$3)),NOT(ISNUMBER(INDEX($L$2:$L$6,posicao_contratual!$Y178+1)))),"",ROUND(itens_Remanesc!C178*$L$3/INDEX($L$2:$L$6,posicao_contratual!$Y178+1),2)))))</f>
        <v/>
      </c>
      <c r="E178" s="79" t="str">
        <f>IF(OR($A178="",posicao_contratual!$Y178=""),"",IF(posicao_contratual!$Y178&gt;2,"",IF(posicao_contratual!$Y178=2,IF(ISNUMBER(itens_Remanesc!C178),itens_Remanesc!C178,""),IF(OR(NOT(ISNUMBER(itens_Remanesc!C178)),NOT(ISNUMBER($L$4)),NOT(ISNUMBER(INDEX($L$2:$L$6,posicao_contratual!$Y178+1)))),"",ROUND(itens_Remanesc!C178*$L$4/INDEX($L$2:$L$6,posicao_contratual!$Y178+1),2)))))</f>
        <v/>
      </c>
      <c r="F178" s="79" t="str">
        <f>IF(OR($A178="",posicao_contratual!$Y178=""),"",IF(posicao_contratual!$Y178&gt;3,"",IF(posicao_contratual!$Y178=3,IF(ISNUMBER(itens_Remanesc!C178),itens_Remanesc!C178,""),IF(OR(NOT(ISNUMBER(itens_Remanesc!C178)),NOT(ISNUMBER($L$5)),NOT(ISNUMBER(INDEX($L$2:$L$6,posicao_contratual!$Y178+1)))),"",ROUND(itens_Remanesc!C178*$L$5/INDEX($L$2:$L$6,posicao_contratual!$Y178+1),2)))))</f>
        <v/>
      </c>
      <c r="G178" s="79" t="str">
        <f>IF(OR($A178="",posicao_contratual!$Y178=""),"",IF(posicao_contratual!$Y178&gt;4,"",IF(posicao_contratual!$Y178=4,IF(ISNUMBER(itens_Remanesc!C178),itens_Remanesc!C178,""),IF(OR(NOT(ISNUMBER(itens_Remanesc!C178)),NOT(ISNUMBER($L$6)),NOT(ISNUMBER(INDEX($L$2:$L$6,posicao_contratual!$Y178+1)))),"",ROUND(itens_Remanesc!C178*$L$6/INDEX($L$2:$L$6,posicao_contratual!$Y178+1),2)))))</f>
        <v/>
      </c>
      <c r="H178" s="114" t="str">
        <f t="shared" si="5"/>
        <v/>
      </c>
      <c r="I178" s="13"/>
      <c r="J178" s="13"/>
      <c r="K178" s="13"/>
      <c r="L178" s="13"/>
      <c r="M178" s="13"/>
      <c r="N178" s="145" t="str">
        <f>IF(A178="","",IF(posicao_contratual!$Y178="","",IF(posicao_contratual!$Y178&gt;0,"",posicao_contratual!E178)))</f>
        <v/>
      </c>
      <c r="O178" s="145" t="str">
        <f>IF(A178="","",IF(posicao_contratual!$Y178="","",IF(posicao_contratual!$Y178&gt;1,"",posicao_contratual!I178)))</f>
        <v/>
      </c>
      <c r="P178" s="145" t="str">
        <f>IF(A178="","",IF(posicao_contratual!$Y178="","",IF(posicao_contratual!$Y178&gt;2,"",posicao_contratual!M178)))</f>
        <v/>
      </c>
      <c r="Q178" s="145" t="str">
        <f>IF(A178="","",IF(posicao_contratual!$Y178="","",IF(posicao_contratual!$Y178&gt;3,"",posicao_contratual!Q178)))</f>
        <v/>
      </c>
      <c r="R178" s="145" t="str">
        <f>IF(A178="","",IF(posicao_contratual!$Y178="","",IF(posicao_contratual!$Y178&gt;4,"",posicao_contratual!U178)))</f>
        <v/>
      </c>
      <c r="S178" s="165" t="str">
        <f>IF(A178="","",posicao_contratual!G178)</f>
        <v/>
      </c>
      <c r="T178" s="165" t="str">
        <f>IF(A178="","",posicao_contratual!K178)</f>
        <v/>
      </c>
      <c r="U178" s="165" t="str">
        <f>IF(A178="","",posicao_contratual!O178)</f>
        <v/>
      </c>
      <c r="V178" s="165" t="str">
        <f>IF(A178="","",posicao_contratual!S178)</f>
        <v/>
      </c>
      <c r="W178" s="165" t="str">
        <f>IF(A178="","",posicao_contratual!W178)</f>
        <v/>
      </c>
    </row>
    <row r="179" spans="1:23" x14ac:dyDescent="0.35">
      <c r="A179" s="86" t="str">
        <f>IF(itens_Remanesc!A179="","",itens_Remanesc!A179)</f>
        <v/>
      </c>
      <c r="B179" s="85" t="str">
        <f>IF(A179="","",IF(posicao_contratual!$Y179="","",IF(posicao_contratual!$Y179&gt;0,"",posicao_contratual!G179)))</f>
        <v/>
      </c>
      <c r="C179" s="79" t="str">
        <f>IF(itens_Remanesc!A179="","",IF(posicao_contratual!$Y179="","",IF(posicao_contratual!$Y179&gt;0,"",itens_Remanesc!C179)))</f>
        <v/>
      </c>
      <c r="D179" s="79" t="str">
        <f>IF(OR($A179="",posicao_contratual!$Y179=""),"",IF(posicao_contratual!$Y179&gt;1,"",IF(posicao_contratual!$Y179=1,IF(ISNUMBER(itens_Remanesc!C179),itens_Remanesc!C179,""),IF(OR(NOT(ISNUMBER(itens_Remanesc!C179)),NOT(ISNUMBER($L$3)),NOT(ISNUMBER(INDEX($L$2:$L$6,posicao_contratual!$Y179+1)))),"",ROUND(itens_Remanesc!C179*$L$3/INDEX($L$2:$L$6,posicao_contratual!$Y179+1),2)))))</f>
        <v/>
      </c>
      <c r="E179" s="79" t="str">
        <f>IF(OR($A179="",posicao_contratual!$Y179=""),"",IF(posicao_contratual!$Y179&gt;2,"",IF(posicao_contratual!$Y179=2,IF(ISNUMBER(itens_Remanesc!C179),itens_Remanesc!C179,""),IF(OR(NOT(ISNUMBER(itens_Remanesc!C179)),NOT(ISNUMBER($L$4)),NOT(ISNUMBER(INDEX($L$2:$L$6,posicao_contratual!$Y179+1)))),"",ROUND(itens_Remanesc!C179*$L$4/INDEX($L$2:$L$6,posicao_contratual!$Y179+1),2)))))</f>
        <v/>
      </c>
      <c r="F179" s="79" t="str">
        <f>IF(OR($A179="",posicao_contratual!$Y179=""),"",IF(posicao_contratual!$Y179&gt;3,"",IF(posicao_contratual!$Y179=3,IF(ISNUMBER(itens_Remanesc!C179),itens_Remanesc!C179,""),IF(OR(NOT(ISNUMBER(itens_Remanesc!C179)),NOT(ISNUMBER($L$5)),NOT(ISNUMBER(INDEX($L$2:$L$6,posicao_contratual!$Y179+1)))),"",ROUND(itens_Remanesc!C179*$L$5/INDEX($L$2:$L$6,posicao_contratual!$Y179+1),2)))))</f>
        <v/>
      </c>
      <c r="G179" s="79" t="str">
        <f>IF(OR($A179="",posicao_contratual!$Y179=""),"",IF(posicao_contratual!$Y179&gt;4,"",IF(posicao_contratual!$Y179=4,IF(ISNUMBER(itens_Remanesc!C179),itens_Remanesc!C179,""),IF(OR(NOT(ISNUMBER(itens_Remanesc!C179)),NOT(ISNUMBER($L$6)),NOT(ISNUMBER(INDEX($L$2:$L$6,posicao_contratual!$Y179+1)))),"",ROUND(itens_Remanesc!C179*$L$6/INDEX($L$2:$L$6,posicao_contratual!$Y179+1),2)))))</f>
        <v/>
      </c>
      <c r="H179" s="114" t="str">
        <f t="shared" si="5"/>
        <v/>
      </c>
      <c r="I179" s="13"/>
      <c r="J179" s="13"/>
      <c r="K179" s="13"/>
      <c r="L179" s="13"/>
      <c r="M179" s="13"/>
      <c r="N179" s="145" t="str">
        <f>IF(A179="","",IF(posicao_contratual!$Y179="","",IF(posicao_contratual!$Y179&gt;0,"",posicao_contratual!E179)))</f>
        <v/>
      </c>
      <c r="O179" s="145" t="str">
        <f>IF(A179="","",IF(posicao_contratual!$Y179="","",IF(posicao_contratual!$Y179&gt;1,"",posicao_contratual!I179)))</f>
        <v/>
      </c>
      <c r="P179" s="145" t="str">
        <f>IF(A179="","",IF(posicao_contratual!$Y179="","",IF(posicao_contratual!$Y179&gt;2,"",posicao_contratual!M179)))</f>
        <v/>
      </c>
      <c r="Q179" s="145" t="str">
        <f>IF(A179="","",IF(posicao_contratual!$Y179="","",IF(posicao_contratual!$Y179&gt;3,"",posicao_contratual!Q179)))</f>
        <v/>
      </c>
      <c r="R179" s="145" t="str">
        <f>IF(A179="","",IF(posicao_contratual!$Y179="","",IF(posicao_contratual!$Y179&gt;4,"",posicao_contratual!U179)))</f>
        <v/>
      </c>
      <c r="S179" s="165" t="str">
        <f>IF(A179="","",posicao_contratual!G179)</f>
        <v/>
      </c>
      <c r="T179" s="165" t="str">
        <f>IF(A179="","",posicao_contratual!K179)</f>
        <v/>
      </c>
      <c r="U179" s="165" t="str">
        <f>IF(A179="","",posicao_contratual!O179)</f>
        <v/>
      </c>
      <c r="V179" s="165" t="str">
        <f>IF(A179="","",posicao_contratual!S179)</f>
        <v/>
      </c>
      <c r="W179" s="165" t="str">
        <f>IF(A179="","",posicao_contratual!W179)</f>
        <v/>
      </c>
    </row>
    <row r="180" spans="1:23" x14ac:dyDescent="0.35">
      <c r="A180" s="86" t="str">
        <f>IF(itens_Remanesc!A180="","",itens_Remanesc!A180)</f>
        <v/>
      </c>
      <c r="B180" s="85" t="str">
        <f>IF(A180="","",IF(posicao_contratual!$Y180="","",IF(posicao_contratual!$Y180&gt;0,"",posicao_contratual!G180)))</f>
        <v/>
      </c>
      <c r="C180" s="79" t="str">
        <f>IF(itens_Remanesc!A180="","",IF(posicao_contratual!$Y180="","",IF(posicao_contratual!$Y180&gt;0,"",itens_Remanesc!C180)))</f>
        <v/>
      </c>
      <c r="D180" s="79" t="str">
        <f>IF(OR($A180="",posicao_contratual!$Y180=""),"",IF(posicao_contratual!$Y180&gt;1,"",IF(posicao_contratual!$Y180=1,IF(ISNUMBER(itens_Remanesc!C180),itens_Remanesc!C180,""),IF(OR(NOT(ISNUMBER(itens_Remanesc!C180)),NOT(ISNUMBER($L$3)),NOT(ISNUMBER(INDEX($L$2:$L$6,posicao_contratual!$Y180+1)))),"",ROUND(itens_Remanesc!C180*$L$3/INDEX($L$2:$L$6,posicao_contratual!$Y180+1),2)))))</f>
        <v/>
      </c>
      <c r="E180" s="79" t="str">
        <f>IF(OR($A180="",posicao_contratual!$Y180=""),"",IF(posicao_contratual!$Y180&gt;2,"",IF(posicao_contratual!$Y180=2,IF(ISNUMBER(itens_Remanesc!C180),itens_Remanesc!C180,""),IF(OR(NOT(ISNUMBER(itens_Remanesc!C180)),NOT(ISNUMBER($L$4)),NOT(ISNUMBER(INDEX($L$2:$L$6,posicao_contratual!$Y180+1)))),"",ROUND(itens_Remanesc!C180*$L$4/INDEX($L$2:$L$6,posicao_contratual!$Y180+1),2)))))</f>
        <v/>
      </c>
      <c r="F180" s="79" t="str">
        <f>IF(OR($A180="",posicao_contratual!$Y180=""),"",IF(posicao_contratual!$Y180&gt;3,"",IF(posicao_contratual!$Y180=3,IF(ISNUMBER(itens_Remanesc!C180),itens_Remanesc!C180,""),IF(OR(NOT(ISNUMBER(itens_Remanesc!C180)),NOT(ISNUMBER($L$5)),NOT(ISNUMBER(INDEX($L$2:$L$6,posicao_contratual!$Y180+1)))),"",ROUND(itens_Remanesc!C180*$L$5/INDEX($L$2:$L$6,posicao_contratual!$Y180+1),2)))))</f>
        <v/>
      </c>
      <c r="G180" s="79" t="str">
        <f>IF(OR($A180="",posicao_contratual!$Y180=""),"",IF(posicao_contratual!$Y180&gt;4,"",IF(posicao_contratual!$Y180=4,IF(ISNUMBER(itens_Remanesc!C180),itens_Remanesc!C180,""),IF(OR(NOT(ISNUMBER(itens_Remanesc!C180)),NOT(ISNUMBER($L$6)),NOT(ISNUMBER(INDEX($L$2:$L$6,posicao_contratual!$Y180+1)))),"",ROUND(itens_Remanesc!C180*$L$6/INDEX($L$2:$L$6,posicao_contratual!$Y180+1),2)))))</f>
        <v/>
      </c>
      <c r="H180" s="114" t="str">
        <f t="shared" si="5"/>
        <v/>
      </c>
      <c r="I180" s="13"/>
      <c r="J180" s="13"/>
      <c r="K180" s="13"/>
      <c r="L180" s="13"/>
      <c r="M180" s="13"/>
      <c r="N180" s="145" t="str">
        <f>IF(A180="","",IF(posicao_contratual!$Y180="","",IF(posicao_contratual!$Y180&gt;0,"",posicao_contratual!E180)))</f>
        <v/>
      </c>
      <c r="O180" s="145" t="str">
        <f>IF(A180="","",IF(posicao_contratual!$Y180="","",IF(posicao_contratual!$Y180&gt;1,"",posicao_contratual!I180)))</f>
        <v/>
      </c>
      <c r="P180" s="145" t="str">
        <f>IF(A180="","",IF(posicao_contratual!$Y180="","",IF(posicao_contratual!$Y180&gt;2,"",posicao_contratual!M180)))</f>
        <v/>
      </c>
      <c r="Q180" s="145" t="str">
        <f>IF(A180="","",IF(posicao_contratual!$Y180="","",IF(posicao_contratual!$Y180&gt;3,"",posicao_contratual!Q180)))</f>
        <v/>
      </c>
      <c r="R180" s="145" t="str">
        <f>IF(A180="","",IF(posicao_contratual!$Y180="","",IF(posicao_contratual!$Y180&gt;4,"",posicao_contratual!U180)))</f>
        <v/>
      </c>
      <c r="S180" s="165" t="str">
        <f>IF(A180="","",posicao_contratual!G180)</f>
        <v/>
      </c>
      <c r="T180" s="165" t="str">
        <f>IF(A180="","",posicao_contratual!K180)</f>
        <v/>
      </c>
      <c r="U180" s="165" t="str">
        <f>IF(A180="","",posicao_contratual!O180)</f>
        <v/>
      </c>
      <c r="V180" s="165" t="str">
        <f>IF(A180="","",posicao_contratual!S180)</f>
        <v/>
      </c>
      <c r="W180" s="165" t="str">
        <f>IF(A180="","",posicao_contratual!W180)</f>
        <v/>
      </c>
    </row>
    <row r="181" spans="1:23" x14ac:dyDescent="0.35">
      <c r="A181" s="86" t="str">
        <f>IF(itens_Remanesc!A181="","",itens_Remanesc!A181)</f>
        <v/>
      </c>
      <c r="B181" s="85" t="str">
        <f>IF(A181="","",IF(posicao_contratual!$Y181="","",IF(posicao_contratual!$Y181&gt;0,"",posicao_contratual!G181)))</f>
        <v/>
      </c>
      <c r="C181" s="79" t="str">
        <f>IF(itens_Remanesc!A181="","",IF(posicao_contratual!$Y181="","",IF(posicao_contratual!$Y181&gt;0,"",itens_Remanesc!C181)))</f>
        <v/>
      </c>
      <c r="D181" s="79" t="str">
        <f>IF(OR($A181="",posicao_contratual!$Y181=""),"",IF(posicao_contratual!$Y181&gt;1,"",IF(posicao_contratual!$Y181=1,IF(ISNUMBER(itens_Remanesc!C181),itens_Remanesc!C181,""),IF(OR(NOT(ISNUMBER(itens_Remanesc!C181)),NOT(ISNUMBER($L$3)),NOT(ISNUMBER(INDEX($L$2:$L$6,posicao_contratual!$Y181+1)))),"",ROUND(itens_Remanesc!C181*$L$3/INDEX($L$2:$L$6,posicao_contratual!$Y181+1),2)))))</f>
        <v/>
      </c>
      <c r="E181" s="79" t="str">
        <f>IF(OR($A181="",posicao_contratual!$Y181=""),"",IF(posicao_contratual!$Y181&gt;2,"",IF(posicao_contratual!$Y181=2,IF(ISNUMBER(itens_Remanesc!C181),itens_Remanesc!C181,""),IF(OR(NOT(ISNUMBER(itens_Remanesc!C181)),NOT(ISNUMBER($L$4)),NOT(ISNUMBER(INDEX($L$2:$L$6,posicao_contratual!$Y181+1)))),"",ROUND(itens_Remanesc!C181*$L$4/INDEX($L$2:$L$6,posicao_contratual!$Y181+1),2)))))</f>
        <v/>
      </c>
      <c r="F181" s="79" t="str">
        <f>IF(OR($A181="",posicao_contratual!$Y181=""),"",IF(posicao_contratual!$Y181&gt;3,"",IF(posicao_contratual!$Y181=3,IF(ISNUMBER(itens_Remanesc!C181),itens_Remanesc!C181,""),IF(OR(NOT(ISNUMBER(itens_Remanesc!C181)),NOT(ISNUMBER($L$5)),NOT(ISNUMBER(INDEX($L$2:$L$6,posicao_contratual!$Y181+1)))),"",ROUND(itens_Remanesc!C181*$L$5/INDEX($L$2:$L$6,posicao_contratual!$Y181+1),2)))))</f>
        <v/>
      </c>
      <c r="G181" s="79" t="str">
        <f>IF(OR($A181="",posicao_contratual!$Y181=""),"",IF(posicao_contratual!$Y181&gt;4,"",IF(posicao_contratual!$Y181=4,IF(ISNUMBER(itens_Remanesc!C181),itens_Remanesc!C181,""),IF(OR(NOT(ISNUMBER(itens_Remanesc!C181)),NOT(ISNUMBER($L$6)),NOT(ISNUMBER(INDEX($L$2:$L$6,posicao_contratual!$Y181+1)))),"",ROUND(itens_Remanesc!C181*$L$6/INDEX($L$2:$L$6,posicao_contratual!$Y181+1),2)))))</f>
        <v/>
      </c>
      <c r="H181" s="114" t="str">
        <f t="shared" si="5"/>
        <v/>
      </c>
      <c r="I181" s="13"/>
      <c r="J181" s="13"/>
      <c r="K181" s="13"/>
      <c r="L181" s="13"/>
      <c r="M181" s="13"/>
      <c r="N181" s="145" t="str">
        <f>IF(A181="","",IF(posicao_contratual!$Y181="","",IF(posicao_contratual!$Y181&gt;0,"",posicao_contratual!E181)))</f>
        <v/>
      </c>
      <c r="O181" s="145" t="str">
        <f>IF(A181="","",IF(posicao_contratual!$Y181="","",IF(posicao_contratual!$Y181&gt;1,"",posicao_contratual!I181)))</f>
        <v/>
      </c>
      <c r="P181" s="145" t="str">
        <f>IF(A181="","",IF(posicao_contratual!$Y181="","",IF(posicao_contratual!$Y181&gt;2,"",posicao_contratual!M181)))</f>
        <v/>
      </c>
      <c r="Q181" s="145" t="str">
        <f>IF(A181="","",IF(posicao_contratual!$Y181="","",IF(posicao_contratual!$Y181&gt;3,"",posicao_contratual!Q181)))</f>
        <v/>
      </c>
      <c r="R181" s="145" t="str">
        <f>IF(A181="","",IF(posicao_contratual!$Y181="","",IF(posicao_contratual!$Y181&gt;4,"",posicao_contratual!U181)))</f>
        <v/>
      </c>
      <c r="S181" s="165" t="str">
        <f>IF(A181="","",posicao_contratual!G181)</f>
        <v/>
      </c>
      <c r="T181" s="165" t="str">
        <f>IF(A181="","",posicao_contratual!K181)</f>
        <v/>
      </c>
      <c r="U181" s="165" t="str">
        <f>IF(A181="","",posicao_contratual!O181)</f>
        <v/>
      </c>
      <c r="V181" s="165" t="str">
        <f>IF(A181="","",posicao_contratual!S181)</f>
        <v/>
      </c>
      <c r="W181" s="165" t="str">
        <f>IF(A181="","",posicao_contratual!W181)</f>
        <v/>
      </c>
    </row>
    <row r="182" spans="1:23" x14ac:dyDescent="0.35">
      <c r="A182" s="86" t="str">
        <f>IF(itens_Remanesc!A182="","",itens_Remanesc!A182)</f>
        <v/>
      </c>
      <c r="B182" s="85" t="str">
        <f>IF(A182="","",IF(posicao_contratual!$Y182="","",IF(posicao_contratual!$Y182&gt;0,"",posicao_contratual!G182)))</f>
        <v/>
      </c>
      <c r="C182" s="79" t="str">
        <f>IF(itens_Remanesc!A182="","",IF(posicao_contratual!$Y182="","",IF(posicao_contratual!$Y182&gt;0,"",itens_Remanesc!C182)))</f>
        <v/>
      </c>
      <c r="D182" s="79" t="str">
        <f>IF(OR($A182="",posicao_contratual!$Y182=""),"",IF(posicao_contratual!$Y182&gt;1,"",IF(posicao_contratual!$Y182=1,IF(ISNUMBER(itens_Remanesc!C182),itens_Remanesc!C182,""),IF(OR(NOT(ISNUMBER(itens_Remanesc!C182)),NOT(ISNUMBER($L$3)),NOT(ISNUMBER(INDEX($L$2:$L$6,posicao_contratual!$Y182+1)))),"",ROUND(itens_Remanesc!C182*$L$3/INDEX($L$2:$L$6,posicao_contratual!$Y182+1),2)))))</f>
        <v/>
      </c>
      <c r="E182" s="79" t="str">
        <f>IF(OR($A182="",posicao_contratual!$Y182=""),"",IF(posicao_contratual!$Y182&gt;2,"",IF(posicao_contratual!$Y182=2,IF(ISNUMBER(itens_Remanesc!C182),itens_Remanesc!C182,""),IF(OR(NOT(ISNUMBER(itens_Remanesc!C182)),NOT(ISNUMBER($L$4)),NOT(ISNUMBER(INDEX($L$2:$L$6,posicao_contratual!$Y182+1)))),"",ROUND(itens_Remanesc!C182*$L$4/INDEX($L$2:$L$6,posicao_contratual!$Y182+1),2)))))</f>
        <v/>
      </c>
      <c r="F182" s="79" t="str">
        <f>IF(OR($A182="",posicao_contratual!$Y182=""),"",IF(posicao_contratual!$Y182&gt;3,"",IF(posicao_contratual!$Y182=3,IF(ISNUMBER(itens_Remanesc!C182),itens_Remanesc!C182,""),IF(OR(NOT(ISNUMBER(itens_Remanesc!C182)),NOT(ISNUMBER($L$5)),NOT(ISNUMBER(INDEX($L$2:$L$6,posicao_contratual!$Y182+1)))),"",ROUND(itens_Remanesc!C182*$L$5/INDEX($L$2:$L$6,posicao_contratual!$Y182+1),2)))))</f>
        <v/>
      </c>
      <c r="G182" s="79" t="str">
        <f>IF(OR($A182="",posicao_contratual!$Y182=""),"",IF(posicao_contratual!$Y182&gt;4,"",IF(posicao_contratual!$Y182=4,IF(ISNUMBER(itens_Remanesc!C182),itens_Remanesc!C182,""),IF(OR(NOT(ISNUMBER(itens_Remanesc!C182)),NOT(ISNUMBER($L$6)),NOT(ISNUMBER(INDEX($L$2:$L$6,posicao_contratual!$Y182+1)))),"",ROUND(itens_Remanesc!C182*$L$6/INDEX($L$2:$L$6,posicao_contratual!$Y182+1),2)))))</f>
        <v/>
      </c>
      <c r="H182" s="114" t="str">
        <f t="shared" si="5"/>
        <v/>
      </c>
      <c r="I182" s="13"/>
      <c r="J182" s="13"/>
      <c r="K182" s="13"/>
      <c r="L182" s="13"/>
      <c r="M182" s="13"/>
      <c r="N182" s="145" t="str">
        <f>IF(A182="","",IF(posicao_contratual!$Y182="","",IF(posicao_contratual!$Y182&gt;0,"",posicao_contratual!E182)))</f>
        <v/>
      </c>
      <c r="O182" s="145" t="str">
        <f>IF(A182="","",IF(posicao_contratual!$Y182="","",IF(posicao_contratual!$Y182&gt;1,"",posicao_contratual!I182)))</f>
        <v/>
      </c>
      <c r="P182" s="145" t="str">
        <f>IF(A182="","",IF(posicao_contratual!$Y182="","",IF(posicao_contratual!$Y182&gt;2,"",posicao_contratual!M182)))</f>
        <v/>
      </c>
      <c r="Q182" s="145" t="str">
        <f>IF(A182="","",IF(posicao_contratual!$Y182="","",IF(posicao_contratual!$Y182&gt;3,"",posicao_contratual!Q182)))</f>
        <v/>
      </c>
      <c r="R182" s="145" t="str">
        <f>IF(A182="","",IF(posicao_contratual!$Y182="","",IF(posicao_contratual!$Y182&gt;4,"",posicao_contratual!U182)))</f>
        <v/>
      </c>
      <c r="S182" s="165" t="str">
        <f>IF(A182="","",posicao_contratual!G182)</f>
        <v/>
      </c>
      <c r="T182" s="165" t="str">
        <f>IF(A182="","",posicao_contratual!K182)</f>
        <v/>
      </c>
      <c r="U182" s="165" t="str">
        <f>IF(A182="","",posicao_contratual!O182)</f>
        <v/>
      </c>
      <c r="V182" s="165" t="str">
        <f>IF(A182="","",posicao_contratual!S182)</f>
        <v/>
      </c>
      <c r="W182" s="165" t="str">
        <f>IF(A182="","",posicao_contratual!W182)</f>
        <v/>
      </c>
    </row>
    <row r="183" spans="1:23" x14ac:dyDescent="0.35">
      <c r="A183" s="86" t="str">
        <f>IF(itens_Remanesc!A183="","",itens_Remanesc!A183)</f>
        <v/>
      </c>
      <c r="B183" s="85" t="str">
        <f>IF(A183="","",IF(posicao_contratual!$Y183="","",IF(posicao_contratual!$Y183&gt;0,"",posicao_contratual!G183)))</f>
        <v/>
      </c>
      <c r="C183" s="79" t="str">
        <f>IF(itens_Remanesc!A183="","",IF(posicao_contratual!$Y183="","",IF(posicao_contratual!$Y183&gt;0,"",itens_Remanesc!C183)))</f>
        <v/>
      </c>
      <c r="D183" s="79" t="str">
        <f>IF(OR($A183="",posicao_contratual!$Y183=""),"",IF(posicao_contratual!$Y183&gt;1,"",IF(posicao_contratual!$Y183=1,IF(ISNUMBER(itens_Remanesc!C183),itens_Remanesc!C183,""),IF(OR(NOT(ISNUMBER(itens_Remanesc!C183)),NOT(ISNUMBER($L$3)),NOT(ISNUMBER(INDEX($L$2:$L$6,posicao_contratual!$Y183+1)))),"",ROUND(itens_Remanesc!C183*$L$3/INDEX($L$2:$L$6,posicao_contratual!$Y183+1),2)))))</f>
        <v/>
      </c>
      <c r="E183" s="79" t="str">
        <f>IF(OR($A183="",posicao_contratual!$Y183=""),"",IF(posicao_contratual!$Y183&gt;2,"",IF(posicao_contratual!$Y183=2,IF(ISNUMBER(itens_Remanesc!C183),itens_Remanesc!C183,""),IF(OR(NOT(ISNUMBER(itens_Remanesc!C183)),NOT(ISNUMBER($L$4)),NOT(ISNUMBER(INDEX($L$2:$L$6,posicao_contratual!$Y183+1)))),"",ROUND(itens_Remanesc!C183*$L$4/INDEX($L$2:$L$6,posicao_contratual!$Y183+1),2)))))</f>
        <v/>
      </c>
      <c r="F183" s="79" t="str">
        <f>IF(OR($A183="",posicao_contratual!$Y183=""),"",IF(posicao_contratual!$Y183&gt;3,"",IF(posicao_contratual!$Y183=3,IF(ISNUMBER(itens_Remanesc!C183),itens_Remanesc!C183,""),IF(OR(NOT(ISNUMBER(itens_Remanesc!C183)),NOT(ISNUMBER($L$5)),NOT(ISNUMBER(INDEX($L$2:$L$6,posicao_contratual!$Y183+1)))),"",ROUND(itens_Remanesc!C183*$L$5/INDEX($L$2:$L$6,posicao_contratual!$Y183+1),2)))))</f>
        <v/>
      </c>
      <c r="G183" s="79" t="str">
        <f>IF(OR($A183="",posicao_contratual!$Y183=""),"",IF(posicao_contratual!$Y183&gt;4,"",IF(posicao_contratual!$Y183=4,IF(ISNUMBER(itens_Remanesc!C183),itens_Remanesc!C183,""),IF(OR(NOT(ISNUMBER(itens_Remanesc!C183)),NOT(ISNUMBER($L$6)),NOT(ISNUMBER(INDEX($L$2:$L$6,posicao_contratual!$Y183+1)))),"",ROUND(itens_Remanesc!C183*$L$6/INDEX($L$2:$L$6,posicao_contratual!$Y183+1),2)))))</f>
        <v/>
      </c>
      <c r="H183" s="114" t="str">
        <f t="shared" si="5"/>
        <v/>
      </c>
      <c r="I183" s="13"/>
      <c r="J183" s="13"/>
      <c r="K183" s="13"/>
      <c r="L183" s="13"/>
      <c r="M183" s="13"/>
      <c r="N183" s="145" t="str">
        <f>IF(A183="","",IF(posicao_contratual!$Y183="","",IF(posicao_contratual!$Y183&gt;0,"",posicao_contratual!E183)))</f>
        <v/>
      </c>
      <c r="O183" s="145" t="str">
        <f>IF(A183="","",IF(posicao_contratual!$Y183="","",IF(posicao_contratual!$Y183&gt;1,"",posicao_contratual!I183)))</f>
        <v/>
      </c>
      <c r="P183" s="145" t="str">
        <f>IF(A183="","",IF(posicao_contratual!$Y183="","",IF(posicao_contratual!$Y183&gt;2,"",posicao_contratual!M183)))</f>
        <v/>
      </c>
      <c r="Q183" s="145" t="str">
        <f>IF(A183="","",IF(posicao_contratual!$Y183="","",IF(posicao_contratual!$Y183&gt;3,"",posicao_contratual!Q183)))</f>
        <v/>
      </c>
      <c r="R183" s="145" t="str">
        <f>IF(A183="","",IF(posicao_contratual!$Y183="","",IF(posicao_contratual!$Y183&gt;4,"",posicao_contratual!U183)))</f>
        <v/>
      </c>
      <c r="S183" s="165" t="str">
        <f>IF(A183="","",posicao_contratual!G183)</f>
        <v/>
      </c>
      <c r="T183" s="165" t="str">
        <f>IF(A183="","",posicao_contratual!K183)</f>
        <v/>
      </c>
      <c r="U183" s="165" t="str">
        <f>IF(A183="","",posicao_contratual!O183)</f>
        <v/>
      </c>
      <c r="V183" s="165" t="str">
        <f>IF(A183="","",posicao_contratual!S183)</f>
        <v/>
      </c>
      <c r="W183" s="165" t="str">
        <f>IF(A183="","",posicao_contratual!W183)</f>
        <v/>
      </c>
    </row>
    <row r="184" spans="1:23" x14ac:dyDescent="0.35">
      <c r="A184" s="86" t="str">
        <f>IF(itens_Remanesc!A184="","",itens_Remanesc!A184)</f>
        <v/>
      </c>
      <c r="B184" s="85" t="str">
        <f>IF(A184="","",IF(posicao_contratual!$Y184="","",IF(posicao_contratual!$Y184&gt;0,"",posicao_contratual!G184)))</f>
        <v/>
      </c>
      <c r="C184" s="79" t="str">
        <f>IF(itens_Remanesc!A184="","",IF(posicao_contratual!$Y184="","",IF(posicao_contratual!$Y184&gt;0,"",itens_Remanesc!C184)))</f>
        <v/>
      </c>
      <c r="D184" s="79" t="str">
        <f>IF(OR($A184="",posicao_contratual!$Y184=""),"",IF(posicao_contratual!$Y184&gt;1,"",IF(posicao_contratual!$Y184=1,IF(ISNUMBER(itens_Remanesc!C184),itens_Remanesc!C184,""),IF(OR(NOT(ISNUMBER(itens_Remanesc!C184)),NOT(ISNUMBER($L$3)),NOT(ISNUMBER(INDEX($L$2:$L$6,posicao_contratual!$Y184+1)))),"",ROUND(itens_Remanesc!C184*$L$3/INDEX($L$2:$L$6,posicao_contratual!$Y184+1),2)))))</f>
        <v/>
      </c>
      <c r="E184" s="79" t="str">
        <f>IF(OR($A184="",posicao_contratual!$Y184=""),"",IF(posicao_contratual!$Y184&gt;2,"",IF(posicao_contratual!$Y184=2,IF(ISNUMBER(itens_Remanesc!C184),itens_Remanesc!C184,""),IF(OR(NOT(ISNUMBER(itens_Remanesc!C184)),NOT(ISNUMBER($L$4)),NOT(ISNUMBER(INDEX($L$2:$L$6,posicao_contratual!$Y184+1)))),"",ROUND(itens_Remanesc!C184*$L$4/INDEX($L$2:$L$6,posicao_contratual!$Y184+1),2)))))</f>
        <v/>
      </c>
      <c r="F184" s="79" t="str">
        <f>IF(OR($A184="",posicao_contratual!$Y184=""),"",IF(posicao_contratual!$Y184&gt;3,"",IF(posicao_contratual!$Y184=3,IF(ISNUMBER(itens_Remanesc!C184),itens_Remanesc!C184,""),IF(OR(NOT(ISNUMBER(itens_Remanesc!C184)),NOT(ISNUMBER($L$5)),NOT(ISNUMBER(INDEX($L$2:$L$6,posicao_contratual!$Y184+1)))),"",ROUND(itens_Remanesc!C184*$L$5/INDEX($L$2:$L$6,posicao_contratual!$Y184+1),2)))))</f>
        <v/>
      </c>
      <c r="G184" s="79" t="str">
        <f>IF(OR($A184="",posicao_contratual!$Y184=""),"",IF(posicao_contratual!$Y184&gt;4,"",IF(posicao_contratual!$Y184=4,IF(ISNUMBER(itens_Remanesc!C184),itens_Remanesc!C184,""),IF(OR(NOT(ISNUMBER(itens_Remanesc!C184)),NOT(ISNUMBER($L$6)),NOT(ISNUMBER(INDEX($L$2:$L$6,posicao_contratual!$Y184+1)))),"",ROUND(itens_Remanesc!C184*$L$6/INDEX($L$2:$L$6,posicao_contratual!$Y184+1),2)))))</f>
        <v/>
      </c>
      <c r="H184" s="114" t="str">
        <f t="shared" si="5"/>
        <v/>
      </c>
      <c r="I184" s="13"/>
      <c r="J184" s="13"/>
      <c r="K184" s="13"/>
      <c r="L184" s="13"/>
      <c r="M184" s="13"/>
      <c r="N184" s="145" t="str">
        <f>IF(A184="","",IF(posicao_contratual!$Y184="","",IF(posicao_contratual!$Y184&gt;0,"",posicao_contratual!E184)))</f>
        <v/>
      </c>
      <c r="O184" s="145" t="str">
        <f>IF(A184="","",IF(posicao_contratual!$Y184="","",IF(posicao_contratual!$Y184&gt;1,"",posicao_contratual!I184)))</f>
        <v/>
      </c>
      <c r="P184" s="145" t="str">
        <f>IF(A184="","",IF(posicao_contratual!$Y184="","",IF(posicao_contratual!$Y184&gt;2,"",posicao_contratual!M184)))</f>
        <v/>
      </c>
      <c r="Q184" s="145" t="str">
        <f>IF(A184="","",IF(posicao_contratual!$Y184="","",IF(posicao_contratual!$Y184&gt;3,"",posicao_contratual!Q184)))</f>
        <v/>
      </c>
      <c r="R184" s="145" t="str">
        <f>IF(A184="","",IF(posicao_contratual!$Y184="","",IF(posicao_contratual!$Y184&gt;4,"",posicao_contratual!U184)))</f>
        <v/>
      </c>
      <c r="S184" s="165" t="str">
        <f>IF(A184="","",posicao_contratual!G184)</f>
        <v/>
      </c>
      <c r="T184" s="165" t="str">
        <f>IF(A184="","",posicao_contratual!K184)</f>
        <v/>
      </c>
      <c r="U184" s="165" t="str">
        <f>IF(A184="","",posicao_contratual!O184)</f>
        <v/>
      </c>
      <c r="V184" s="165" t="str">
        <f>IF(A184="","",posicao_contratual!S184)</f>
        <v/>
      </c>
      <c r="W184" s="165" t="str">
        <f>IF(A184="","",posicao_contratual!W184)</f>
        <v/>
      </c>
    </row>
    <row r="185" spans="1:23" x14ac:dyDescent="0.35">
      <c r="A185" s="86" t="str">
        <f>IF(itens_Remanesc!A185="","",itens_Remanesc!A185)</f>
        <v/>
      </c>
      <c r="B185" s="85" t="str">
        <f>IF(A185="","",IF(posicao_contratual!$Y185="","",IF(posicao_contratual!$Y185&gt;0,"",posicao_contratual!G185)))</f>
        <v/>
      </c>
      <c r="C185" s="79" t="str">
        <f>IF(itens_Remanesc!A185="","",IF(posicao_contratual!$Y185="","",IF(posicao_contratual!$Y185&gt;0,"",itens_Remanesc!C185)))</f>
        <v/>
      </c>
      <c r="D185" s="79" t="str">
        <f>IF(OR($A185="",posicao_contratual!$Y185=""),"",IF(posicao_contratual!$Y185&gt;1,"",IF(posicao_contratual!$Y185=1,IF(ISNUMBER(itens_Remanesc!C185),itens_Remanesc!C185,""),IF(OR(NOT(ISNUMBER(itens_Remanesc!C185)),NOT(ISNUMBER($L$3)),NOT(ISNUMBER(INDEX($L$2:$L$6,posicao_contratual!$Y185+1)))),"",ROUND(itens_Remanesc!C185*$L$3/INDEX($L$2:$L$6,posicao_contratual!$Y185+1),2)))))</f>
        <v/>
      </c>
      <c r="E185" s="79" t="str">
        <f>IF(OR($A185="",posicao_contratual!$Y185=""),"",IF(posicao_contratual!$Y185&gt;2,"",IF(posicao_contratual!$Y185=2,IF(ISNUMBER(itens_Remanesc!C185),itens_Remanesc!C185,""),IF(OR(NOT(ISNUMBER(itens_Remanesc!C185)),NOT(ISNUMBER($L$4)),NOT(ISNUMBER(INDEX($L$2:$L$6,posicao_contratual!$Y185+1)))),"",ROUND(itens_Remanesc!C185*$L$4/INDEX($L$2:$L$6,posicao_contratual!$Y185+1),2)))))</f>
        <v/>
      </c>
      <c r="F185" s="79" t="str">
        <f>IF(OR($A185="",posicao_contratual!$Y185=""),"",IF(posicao_contratual!$Y185&gt;3,"",IF(posicao_contratual!$Y185=3,IF(ISNUMBER(itens_Remanesc!C185),itens_Remanesc!C185,""),IF(OR(NOT(ISNUMBER(itens_Remanesc!C185)),NOT(ISNUMBER($L$5)),NOT(ISNUMBER(INDEX($L$2:$L$6,posicao_contratual!$Y185+1)))),"",ROUND(itens_Remanesc!C185*$L$5/INDEX($L$2:$L$6,posicao_contratual!$Y185+1),2)))))</f>
        <v/>
      </c>
      <c r="G185" s="79" t="str">
        <f>IF(OR($A185="",posicao_contratual!$Y185=""),"",IF(posicao_contratual!$Y185&gt;4,"",IF(posicao_contratual!$Y185=4,IF(ISNUMBER(itens_Remanesc!C185),itens_Remanesc!C185,""),IF(OR(NOT(ISNUMBER(itens_Remanesc!C185)),NOT(ISNUMBER($L$6)),NOT(ISNUMBER(INDEX($L$2:$L$6,posicao_contratual!$Y185+1)))),"",ROUND(itens_Remanesc!C185*$L$6/INDEX($L$2:$L$6,posicao_contratual!$Y185+1),2)))))</f>
        <v/>
      </c>
      <c r="H185" s="114" t="str">
        <f t="shared" si="5"/>
        <v/>
      </c>
      <c r="I185" s="13"/>
      <c r="J185" s="13"/>
      <c r="K185" s="13"/>
      <c r="L185" s="13"/>
      <c r="M185" s="13"/>
      <c r="N185" s="145" t="str">
        <f>IF(A185="","",IF(posicao_contratual!$Y185="","",IF(posicao_contratual!$Y185&gt;0,"",posicao_contratual!E185)))</f>
        <v/>
      </c>
      <c r="O185" s="145" t="str">
        <f>IF(A185="","",IF(posicao_contratual!$Y185="","",IF(posicao_contratual!$Y185&gt;1,"",posicao_contratual!I185)))</f>
        <v/>
      </c>
      <c r="P185" s="145" t="str">
        <f>IF(A185="","",IF(posicao_contratual!$Y185="","",IF(posicao_contratual!$Y185&gt;2,"",posicao_contratual!M185)))</f>
        <v/>
      </c>
      <c r="Q185" s="145" t="str">
        <f>IF(A185="","",IF(posicao_contratual!$Y185="","",IF(posicao_contratual!$Y185&gt;3,"",posicao_contratual!Q185)))</f>
        <v/>
      </c>
      <c r="R185" s="145" t="str">
        <f>IF(A185="","",IF(posicao_contratual!$Y185="","",IF(posicao_contratual!$Y185&gt;4,"",posicao_contratual!U185)))</f>
        <v/>
      </c>
      <c r="S185" s="165" t="str">
        <f>IF(A185="","",posicao_contratual!G185)</f>
        <v/>
      </c>
      <c r="T185" s="165" t="str">
        <f>IF(A185="","",posicao_contratual!K185)</f>
        <v/>
      </c>
      <c r="U185" s="165" t="str">
        <f>IF(A185="","",posicao_contratual!O185)</f>
        <v/>
      </c>
      <c r="V185" s="165" t="str">
        <f>IF(A185="","",posicao_contratual!S185)</f>
        <v/>
      </c>
      <c r="W185" s="165" t="str">
        <f>IF(A185="","",posicao_contratual!W185)</f>
        <v/>
      </c>
    </row>
    <row r="186" spans="1:23" x14ac:dyDescent="0.35">
      <c r="A186" s="86" t="str">
        <f>IF(itens_Remanesc!A186="","",itens_Remanesc!A186)</f>
        <v/>
      </c>
      <c r="B186" s="85" t="str">
        <f>IF(A186="","",IF(posicao_contratual!$Y186="","",IF(posicao_contratual!$Y186&gt;0,"",posicao_contratual!G186)))</f>
        <v/>
      </c>
      <c r="C186" s="79" t="str">
        <f>IF(itens_Remanesc!A186="","",IF(posicao_contratual!$Y186="","",IF(posicao_contratual!$Y186&gt;0,"",itens_Remanesc!C186)))</f>
        <v/>
      </c>
      <c r="D186" s="79" t="str">
        <f>IF(OR($A186="",posicao_contratual!$Y186=""),"",IF(posicao_contratual!$Y186&gt;1,"",IF(posicao_contratual!$Y186=1,IF(ISNUMBER(itens_Remanesc!C186),itens_Remanesc!C186,""),IF(OR(NOT(ISNUMBER(itens_Remanesc!C186)),NOT(ISNUMBER($L$3)),NOT(ISNUMBER(INDEX($L$2:$L$6,posicao_contratual!$Y186+1)))),"",ROUND(itens_Remanesc!C186*$L$3/INDEX($L$2:$L$6,posicao_contratual!$Y186+1),2)))))</f>
        <v/>
      </c>
      <c r="E186" s="79" t="str">
        <f>IF(OR($A186="",posicao_contratual!$Y186=""),"",IF(posicao_contratual!$Y186&gt;2,"",IF(posicao_contratual!$Y186=2,IF(ISNUMBER(itens_Remanesc!C186),itens_Remanesc!C186,""),IF(OR(NOT(ISNUMBER(itens_Remanesc!C186)),NOT(ISNUMBER($L$4)),NOT(ISNUMBER(INDEX($L$2:$L$6,posicao_contratual!$Y186+1)))),"",ROUND(itens_Remanesc!C186*$L$4/INDEX($L$2:$L$6,posicao_contratual!$Y186+1),2)))))</f>
        <v/>
      </c>
      <c r="F186" s="79" t="str">
        <f>IF(OR($A186="",posicao_contratual!$Y186=""),"",IF(posicao_contratual!$Y186&gt;3,"",IF(posicao_contratual!$Y186=3,IF(ISNUMBER(itens_Remanesc!C186),itens_Remanesc!C186,""),IF(OR(NOT(ISNUMBER(itens_Remanesc!C186)),NOT(ISNUMBER($L$5)),NOT(ISNUMBER(INDEX($L$2:$L$6,posicao_contratual!$Y186+1)))),"",ROUND(itens_Remanesc!C186*$L$5/INDEX($L$2:$L$6,posicao_contratual!$Y186+1),2)))))</f>
        <v/>
      </c>
      <c r="G186" s="79" t="str">
        <f>IF(OR($A186="",posicao_contratual!$Y186=""),"",IF(posicao_contratual!$Y186&gt;4,"",IF(posicao_contratual!$Y186=4,IF(ISNUMBER(itens_Remanesc!C186),itens_Remanesc!C186,""),IF(OR(NOT(ISNUMBER(itens_Remanesc!C186)),NOT(ISNUMBER($L$6)),NOT(ISNUMBER(INDEX($L$2:$L$6,posicao_contratual!$Y186+1)))),"",ROUND(itens_Remanesc!C186*$L$6/INDEX($L$2:$L$6,posicao_contratual!$Y186+1),2)))))</f>
        <v/>
      </c>
      <c r="H186" s="114" t="str">
        <f t="shared" si="5"/>
        <v/>
      </c>
      <c r="I186" s="13"/>
      <c r="J186" s="13"/>
      <c r="K186" s="13"/>
      <c r="L186" s="13"/>
      <c r="M186" s="13"/>
      <c r="N186" s="145" t="str">
        <f>IF(A186="","",IF(posicao_contratual!$Y186="","",IF(posicao_contratual!$Y186&gt;0,"",posicao_contratual!E186)))</f>
        <v/>
      </c>
      <c r="O186" s="145" t="str">
        <f>IF(A186="","",IF(posicao_contratual!$Y186="","",IF(posicao_contratual!$Y186&gt;1,"",posicao_contratual!I186)))</f>
        <v/>
      </c>
      <c r="P186" s="145" t="str">
        <f>IF(A186="","",IF(posicao_contratual!$Y186="","",IF(posicao_contratual!$Y186&gt;2,"",posicao_contratual!M186)))</f>
        <v/>
      </c>
      <c r="Q186" s="145" t="str">
        <f>IF(A186="","",IF(posicao_contratual!$Y186="","",IF(posicao_contratual!$Y186&gt;3,"",posicao_contratual!Q186)))</f>
        <v/>
      </c>
      <c r="R186" s="145" t="str">
        <f>IF(A186="","",IF(posicao_contratual!$Y186="","",IF(posicao_contratual!$Y186&gt;4,"",posicao_contratual!U186)))</f>
        <v/>
      </c>
      <c r="S186" s="165" t="str">
        <f>IF(A186="","",posicao_contratual!G186)</f>
        <v/>
      </c>
      <c r="T186" s="165" t="str">
        <f>IF(A186="","",posicao_contratual!K186)</f>
        <v/>
      </c>
      <c r="U186" s="165" t="str">
        <f>IF(A186="","",posicao_contratual!O186)</f>
        <v/>
      </c>
      <c r="V186" s="165" t="str">
        <f>IF(A186="","",posicao_contratual!S186)</f>
        <v/>
      </c>
      <c r="W186" s="165" t="str">
        <f>IF(A186="","",posicao_contratual!W186)</f>
        <v/>
      </c>
    </row>
    <row r="187" spans="1:23" x14ac:dyDescent="0.35">
      <c r="A187" s="86" t="str">
        <f>IF(itens_Remanesc!A187="","",itens_Remanesc!A187)</f>
        <v/>
      </c>
      <c r="B187" s="85" t="str">
        <f>IF(A187="","",IF(posicao_contratual!$Y187="","",IF(posicao_contratual!$Y187&gt;0,"",posicao_contratual!G187)))</f>
        <v/>
      </c>
      <c r="C187" s="79" t="str">
        <f>IF(itens_Remanesc!A187="","",IF(posicao_contratual!$Y187="","",IF(posicao_contratual!$Y187&gt;0,"",itens_Remanesc!C187)))</f>
        <v/>
      </c>
      <c r="D187" s="79" t="str">
        <f>IF(OR($A187="",posicao_contratual!$Y187=""),"",IF(posicao_contratual!$Y187&gt;1,"",IF(posicao_contratual!$Y187=1,IF(ISNUMBER(itens_Remanesc!C187),itens_Remanesc!C187,""),IF(OR(NOT(ISNUMBER(itens_Remanesc!C187)),NOT(ISNUMBER($L$3)),NOT(ISNUMBER(INDEX($L$2:$L$6,posicao_contratual!$Y187+1)))),"",ROUND(itens_Remanesc!C187*$L$3/INDEX($L$2:$L$6,posicao_contratual!$Y187+1),2)))))</f>
        <v/>
      </c>
      <c r="E187" s="79" t="str">
        <f>IF(OR($A187="",posicao_contratual!$Y187=""),"",IF(posicao_contratual!$Y187&gt;2,"",IF(posicao_contratual!$Y187=2,IF(ISNUMBER(itens_Remanesc!C187),itens_Remanesc!C187,""),IF(OR(NOT(ISNUMBER(itens_Remanesc!C187)),NOT(ISNUMBER($L$4)),NOT(ISNUMBER(INDEX($L$2:$L$6,posicao_contratual!$Y187+1)))),"",ROUND(itens_Remanesc!C187*$L$4/INDEX($L$2:$L$6,posicao_contratual!$Y187+1),2)))))</f>
        <v/>
      </c>
      <c r="F187" s="79" t="str">
        <f>IF(OR($A187="",posicao_contratual!$Y187=""),"",IF(posicao_contratual!$Y187&gt;3,"",IF(posicao_contratual!$Y187=3,IF(ISNUMBER(itens_Remanesc!C187),itens_Remanesc!C187,""),IF(OR(NOT(ISNUMBER(itens_Remanesc!C187)),NOT(ISNUMBER($L$5)),NOT(ISNUMBER(INDEX($L$2:$L$6,posicao_contratual!$Y187+1)))),"",ROUND(itens_Remanesc!C187*$L$5/INDEX($L$2:$L$6,posicao_contratual!$Y187+1),2)))))</f>
        <v/>
      </c>
      <c r="G187" s="79" t="str">
        <f>IF(OR($A187="",posicao_contratual!$Y187=""),"",IF(posicao_contratual!$Y187&gt;4,"",IF(posicao_contratual!$Y187=4,IF(ISNUMBER(itens_Remanesc!C187),itens_Remanesc!C187,""),IF(OR(NOT(ISNUMBER(itens_Remanesc!C187)),NOT(ISNUMBER($L$6)),NOT(ISNUMBER(INDEX($L$2:$L$6,posicao_contratual!$Y187+1)))),"",ROUND(itens_Remanesc!C187*$L$6/INDEX($L$2:$L$6,posicao_contratual!$Y187+1),2)))))</f>
        <v/>
      </c>
      <c r="H187" s="114" t="str">
        <f t="shared" si="5"/>
        <v/>
      </c>
      <c r="I187" s="13"/>
      <c r="J187" s="13"/>
      <c r="K187" s="13"/>
      <c r="L187" s="13"/>
      <c r="M187" s="13"/>
      <c r="N187" s="145" t="str">
        <f>IF(A187="","",IF(posicao_contratual!$Y187="","",IF(posicao_contratual!$Y187&gt;0,"",posicao_contratual!E187)))</f>
        <v/>
      </c>
      <c r="O187" s="145" t="str">
        <f>IF(A187="","",IF(posicao_contratual!$Y187="","",IF(posicao_contratual!$Y187&gt;1,"",posicao_contratual!I187)))</f>
        <v/>
      </c>
      <c r="P187" s="145" t="str">
        <f>IF(A187="","",IF(posicao_contratual!$Y187="","",IF(posicao_contratual!$Y187&gt;2,"",posicao_contratual!M187)))</f>
        <v/>
      </c>
      <c r="Q187" s="145" t="str">
        <f>IF(A187="","",IF(posicao_contratual!$Y187="","",IF(posicao_contratual!$Y187&gt;3,"",posicao_contratual!Q187)))</f>
        <v/>
      </c>
      <c r="R187" s="145" t="str">
        <f>IF(A187="","",IF(posicao_contratual!$Y187="","",IF(posicao_contratual!$Y187&gt;4,"",posicao_contratual!U187)))</f>
        <v/>
      </c>
      <c r="S187" s="165" t="str">
        <f>IF(A187="","",posicao_contratual!G187)</f>
        <v/>
      </c>
      <c r="T187" s="165" t="str">
        <f>IF(A187="","",posicao_contratual!K187)</f>
        <v/>
      </c>
      <c r="U187" s="165" t="str">
        <f>IF(A187="","",posicao_contratual!O187)</f>
        <v/>
      </c>
      <c r="V187" s="165" t="str">
        <f>IF(A187="","",posicao_contratual!S187)</f>
        <v/>
      </c>
      <c r="W187" s="165" t="str">
        <f>IF(A187="","",posicao_contratual!W187)</f>
        <v/>
      </c>
    </row>
    <row r="188" spans="1:23" x14ac:dyDescent="0.35">
      <c r="A188" s="86" t="str">
        <f>IF(itens_Remanesc!A188="","",itens_Remanesc!A188)</f>
        <v/>
      </c>
      <c r="B188" s="85" t="str">
        <f>IF(A188="","",IF(posicao_contratual!$Y188="","",IF(posicao_contratual!$Y188&gt;0,"",posicao_contratual!G188)))</f>
        <v/>
      </c>
      <c r="C188" s="79" t="str">
        <f>IF(itens_Remanesc!A188="","",IF(posicao_contratual!$Y188="","",IF(posicao_contratual!$Y188&gt;0,"",itens_Remanesc!C188)))</f>
        <v/>
      </c>
      <c r="D188" s="79" t="str">
        <f>IF(OR($A188="",posicao_contratual!$Y188=""),"",IF(posicao_contratual!$Y188&gt;1,"",IF(posicao_contratual!$Y188=1,IF(ISNUMBER(itens_Remanesc!C188),itens_Remanesc!C188,""),IF(OR(NOT(ISNUMBER(itens_Remanesc!C188)),NOT(ISNUMBER($L$3)),NOT(ISNUMBER(INDEX($L$2:$L$6,posicao_contratual!$Y188+1)))),"",ROUND(itens_Remanesc!C188*$L$3/INDEX($L$2:$L$6,posicao_contratual!$Y188+1),2)))))</f>
        <v/>
      </c>
      <c r="E188" s="79" t="str">
        <f>IF(OR($A188="",posicao_contratual!$Y188=""),"",IF(posicao_contratual!$Y188&gt;2,"",IF(posicao_contratual!$Y188=2,IF(ISNUMBER(itens_Remanesc!C188),itens_Remanesc!C188,""),IF(OR(NOT(ISNUMBER(itens_Remanesc!C188)),NOT(ISNUMBER($L$4)),NOT(ISNUMBER(INDEX($L$2:$L$6,posicao_contratual!$Y188+1)))),"",ROUND(itens_Remanesc!C188*$L$4/INDEX($L$2:$L$6,posicao_contratual!$Y188+1),2)))))</f>
        <v/>
      </c>
      <c r="F188" s="79" t="str">
        <f>IF(OR($A188="",posicao_contratual!$Y188=""),"",IF(posicao_contratual!$Y188&gt;3,"",IF(posicao_contratual!$Y188=3,IF(ISNUMBER(itens_Remanesc!C188),itens_Remanesc!C188,""),IF(OR(NOT(ISNUMBER(itens_Remanesc!C188)),NOT(ISNUMBER($L$5)),NOT(ISNUMBER(INDEX($L$2:$L$6,posicao_contratual!$Y188+1)))),"",ROUND(itens_Remanesc!C188*$L$5/INDEX($L$2:$L$6,posicao_contratual!$Y188+1),2)))))</f>
        <v/>
      </c>
      <c r="G188" s="79" t="str">
        <f>IF(OR($A188="",posicao_contratual!$Y188=""),"",IF(posicao_contratual!$Y188&gt;4,"",IF(posicao_contratual!$Y188=4,IF(ISNUMBER(itens_Remanesc!C188),itens_Remanesc!C188,""),IF(OR(NOT(ISNUMBER(itens_Remanesc!C188)),NOT(ISNUMBER($L$6)),NOT(ISNUMBER(INDEX($L$2:$L$6,posicao_contratual!$Y188+1)))),"",ROUND(itens_Remanesc!C188*$L$6/INDEX($L$2:$L$6,posicao_contratual!$Y188+1),2)))))</f>
        <v/>
      </c>
      <c r="H188" s="114" t="str">
        <f t="shared" si="5"/>
        <v/>
      </c>
      <c r="I188" s="13"/>
      <c r="J188" s="13"/>
      <c r="K188" s="13"/>
      <c r="L188" s="13"/>
      <c r="M188" s="13"/>
      <c r="N188" s="145" t="str">
        <f>IF(A188="","",IF(posicao_contratual!$Y188="","",IF(posicao_contratual!$Y188&gt;0,"",posicao_contratual!E188)))</f>
        <v/>
      </c>
      <c r="O188" s="145" t="str">
        <f>IF(A188="","",IF(posicao_contratual!$Y188="","",IF(posicao_contratual!$Y188&gt;1,"",posicao_contratual!I188)))</f>
        <v/>
      </c>
      <c r="P188" s="145" t="str">
        <f>IF(A188="","",IF(posicao_contratual!$Y188="","",IF(posicao_contratual!$Y188&gt;2,"",posicao_contratual!M188)))</f>
        <v/>
      </c>
      <c r="Q188" s="145" t="str">
        <f>IF(A188="","",IF(posicao_contratual!$Y188="","",IF(posicao_contratual!$Y188&gt;3,"",posicao_contratual!Q188)))</f>
        <v/>
      </c>
      <c r="R188" s="145" t="str">
        <f>IF(A188="","",IF(posicao_contratual!$Y188="","",IF(posicao_contratual!$Y188&gt;4,"",posicao_contratual!U188)))</f>
        <v/>
      </c>
      <c r="S188" s="165" t="str">
        <f>IF(A188="","",posicao_contratual!G188)</f>
        <v/>
      </c>
      <c r="T188" s="165" t="str">
        <f>IF(A188="","",posicao_contratual!K188)</f>
        <v/>
      </c>
      <c r="U188" s="165" t="str">
        <f>IF(A188="","",posicao_contratual!O188)</f>
        <v/>
      </c>
      <c r="V188" s="165" t="str">
        <f>IF(A188="","",posicao_contratual!S188)</f>
        <v/>
      </c>
      <c r="W188" s="165" t="str">
        <f>IF(A188="","",posicao_contratual!W188)</f>
        <v/>
      </c>
    </row>
    <row r="189" spans="1:23" x14ac:dyDescent="0.35">
      <c r="A189" s="86" t="str">
        <f>IF(itens_Remanesc!A189="","",itens_Remanesc!A189)</f>
        <v/>
      </c>
      <c r="B189" s="85" t="str">
        <f>IF(A189="","",IF(posicao_contratual!$Y189="","",IF(posicao_contratual!$Y189&gt;0,"",posicao_contratual!G189)))</f>
        <v/>
      </c>
      <c r="C189" s="79" t="str">
        <f>IF(itens_Remanesc!A189="","",IF(posicao_contratual!$Y189="","",IF(posicao_contratual!$Y189&gt;0,"",itens_Remanesc!C189)))</f>
        <v/>
      </c>
      <c r="D189" s="79" t="str">
        <f>IF(OR($A189="",posicao_contratual!$Y189=""),"",IF(posicao_contratual!$Y189&gt;1,"",IF(posicao_contratual!$Y189=1,IF(ISNUMBER(itens_Remanesc!C189),itens_Remanesc!C189,""),IF(OR(NOT(ISNUMBER(itens_Remanesc!C189)),NOT(ISNUMBER($L$3)),NOT(ISNUMBER(INDEX($L$2:$L$6,posicao_contratual!$Y189+1)))),"",ROUND(itens_Remanesc!C189*$L$3/INDEX($L$2:$L$6,posicao_contratual!$Y189+1),2)))))</f>
        <v/>
      </c>
      <c r="E189" s="79" t="str">
        <f>IF(OR($A189="",posicao_contratual!$Y189=""),"",IF(posicao_contratual!$Y189&gt;2,"",IF(posicao_contratual!$Y189=2,IF(ISNUMBER(itens_Remanesc!C189),itens_Remanesc!C189,""),IF(OR(NOT(ISNUMBER(itens_Remanesc!C189)),NOT(ISNUMBER($L$4)),NOT(ISNUMBER(INDEX($L$2:$L$6,posicao_contratual!$Y189+1)))),"",ROUND(itens_Remanesc!C189*$L$4/INDEX($L$2:$L$6,posicao_contratual!$Y189+1),2)))))</f>
        <v/>
      </c>
      <c r="F189" s="79" t="str">
        <f>IF(OR($A189="",posicao_contratual!$Y189=""),"",IF(posicao_contratual!$Y189&gt;3,"",IF(posicao_contratual!$Y189=3,IF(ISNUMBER(itens_Remanesc!C189),itens_Remanesc!C189,""),IF(OR(NOT(ISNUMBER(itens_Remanesc!C189)),NOT(ISNUMBER($L$5)),NOT(ISNUMBER(INDEX($L$2:$L$6,posicao_contratual!$Y189+1)))),"",ROUND(itens_Remanesc!C189*$L$5/INDEX($L$2:$L$6,posicao_contratual!$Y189+1),2)))))</f>
        <v/>
      </c>
      <c r="G189" s="79" t="str">
        <f>IF(OR($A189="",posicao_contratual!$Y189=""),"",IF(posicao_contratual!$Y189&gt;4,"",IF(posicao_contratual!$Y189=4,IF(ISNUMBER(itens_Remanesc!C189),itens_Remanesc!C189,""),IF(OR(NOT(ISNUMBER(itens_Remanesc!C189)),NOT(ISNUMBER($L$6)),NOT(ISNUMBER(INDEX($L$2:$L$6,posicao_contratual!$Y189+1)))),"",ROUND(itens_Remanesc!C189*$L$6/INDEX($L$2:$L$6,posicao_contratual!$Y189+1),2)))))</f>
        <v/>
      </c>
      <c r="H189" s="114" t="str">
        <f t="shared" si="5"/>
        <v/>
      </c>
      <c r="I189" s="13"/>
      <c r="J189" s="13"/>
      <c r="K189" s="13"/>
      <c r="L189" s="13"/>
      <c r="M189" s="13"/>
      <c r="N189" s="145" t="str">
        <f>IF(A189="","",IF(posicao_contratual!$Y189="","",IF(posicao_contratual!$Y189&gt;0,"",posicao_contratual!E189)))</f>
        <v/>
      </c>
      <c r="O189" s="145" t="str">
        <f>IF(A189="","",IF(posicao_contratual!$Y189="","",IF(posicao_contratual!$Y189&gt;1,"",posicao_contratual!I189)))</f>
        <v/>
      </c>
      <c r="P189" s="145" t="str">
        <f>IF(A189="","",IF(posicao_contratual!$Y189="","",IF(posicao_contratual!$Y189&gt;2,"",posicao_contratual!M189)))</f>
        <v/>
      </c>
      <c r="Q189" s="145" t="str">
        <f>IF(A189="","",IF(posicao_contratual!$Y189="","",IF(posicao_contratual!$Y189&gt;3,"",posicao_contratual!Q189)))</f>
        <v/>
      </c>
      <c r="R189" s="145" t="str">
        <f>IF(A189="","",IF(posicao_contratual!$Y189="","",IF(posicao_contratual!$Y189&gt;4,"",posicao_contratual!U189)))</f>
        <v/>
      </c>
      <c r="S189" s="165" t="str">
        <f>IF(A189="","",posicao_contratual!G189)</f>
        <v/>
      </c>
      <c r="T189" s="165" t="str">
        <f>IF(A189="","",posicao_contratual!K189)</f>
        <v/>
      </c>
      <c r="U189" s="165" t="str">
        <f>IF(A189="","",posicao_contratual!O189)</f>
        <v/>
      </c>
      <c r="V189" s="165" t="str">
        <f>IF(A189="","",posicao_contratual!S189)</f>
        <v/>
      </c>
      <c r="W189" s="165" t="str">
        <f>IF(A189="","",posicao_contratual!W189)</f>
        <v/>
      </c>
    </row>
    <row r="190" spans="1:23" x14ac:dyDescent="0.35">
      <c r="A190" s="86" t="str">
        <f>IF(itens_Remanesc!A190="","",itens_Remanesc!A190)</f>
        <v/>
      </c>
      <c r="B190" s="85" t="str">
        <f>IF(A190="","",IF(posicao_contratual!$Y190="","",IF(posicao_contratual!$Y190&gt;0,"",posicao_contratual!G190)))</f>
        <v/>
      </c>
      <c r="C190" s="79" t="str">
        <f>IF(itens_Remanesc!A190="","",IF(posicao_contratual!$Y190="","",IF(posicao_contratual!$Y190&gt;0,"",itens_Remanesc!C190)))</f>
        <v/>
      </c>
      <c r="D190" s="79" t="str">
        <f>IF(OR($A190="",posicao_contratual!$Y190=""),"",IF(posicao_contratual!$Y190&gt;1,"",IF(posicao_contratual!$Y190=1,IF(ISNUMBER(itens_Remanesc!C190),itens_Remanesc!C190,""),IF(OR(NOT(ISNUMBER(itens_Remanesc!C190)),NOT(ISNUMBER($L$3)),NOT(ISNUMBER(INDEX($L$2:$L$6,posicao_contratual!$Y190+1)))),"",ROUND(itens_Remanesc!C190*$L$3/INDEX($L$2:$L$6,posicao_contratual!$Y190+1),2)))))</f>
        <v/>
      </c>
      <c r="E190" s="79" t="str">
        <f>IF(OR($A190="",posicao_contratual!$Y190=""),"",IF(posicao_contratual!$Y190&gt;2,"",IF(posicao_contratual!$Y190=2,IF(ISNUMBER(itens_Remanesc!C190),itens_Remanesc!C190,""),IF(OR(NOT(ISNUMBER(itens_Remanesc!C190)),NOT(ISNUMBER($L$4)),NOT(ISNUMBER(INDEX($L$2:$L$6,posicao_contratual!$Y190+1)))),"",ROUND(itens_Remanesc!C190*$L$4/INDEX($L$2:$L$6,posicao_contratual!$Y190+1),2)))))</f>
        <v/>
      </c>
      <c r="F190" s="79" t="str">
        <f>IF(OR($A190="",posicao_contratual!$Y190=""),"",IF(posicao_contratual!$Y190&gt;3,"",IF(posicao_contratual!$Y190=3,IF(ISNUMBER(itens_Remanesc!C190),itens_Remanesc!C190,""),IF(OR(NOT(ISNUMBER(itens_Remanesc!C190)),NOT(ISNUMBER($L$5)),NOT(ISNUMBER(INDEX($L$2:$L$6,posicao_contratual!$Y190+1)))),"",ROUND(itens_Remanesc!C190*$L$5/INDEX($L$2:$L$6,posicao_contratual!$Y190+1),2)))))</f>
        <v/>
      </c>
      <c r="G190" s="79" t="str">
        <f>IF(OR($A190="",posicao_contratual!$Y190=""),"",IF(posicao_contratual!$Y190&gt;4,"",IF(posicao_contratual!$Y190=4,IF(ISNUMBER(itens_Remanesc!C190),itens_Remanesc!C190,""),IF(OR(NOT(ISNUMBER(itens_Remanesc!C190)),NOT(ISNUMBER($L$6)),NOT(ISNUMBER(INDEX($L$2:$L$6,posicao_contratual!$Y190+1)))),"",ROUND(itens_Remanesc!C190*$L$6/INDEX($L$2:$L$6,posicao_contratual!$Y190+1),2)))))</f>
        <v/>
      </c>
      <c r="H190" s="114" t="str">
        <f t="shared" si="5"/>
        <v/>
      </c>
      <c r="I190" s="13"/>
      <c r="J190" s="13"/>
      <c r="K190" s="13"/>
      <c r="L190" s="13"/>
      <c r="M190" s="13"/>
      <c r="N190" s="145" t="str">
        <f>IF(A190="","",IF(posicao_contratual!$Y190="","",IF(posicao_contratual!$Y190&gt;0,"",posicao_contratual!E190)))</f>
        <v/>
      </c>
      <c r="O190" s="145" t="str">
        <f>IF(A190="","",IF(posicao_contratual!$Y190="","",IF(posicao_contratual!$Y190&gt;1,"",posicao_contratual!I190)))</f>
        <v/>
      </c>
      <c r="P190" s="145" t="str">
        <f>IF(A190="","",IF(posicao_contratual!$Y190="","",IF(posicao_contratual!$Y190&gt;2,"",posicao_contratual!M190)))</f>
        <v/>
      </c>
      <c r="Q190" s="145" t="str">
        <f>IF(A190="","",IF(posicao_contratual!$Y190="","",IF(posicao_contratual!$Y190&gt;3,"",posicao_contratual!Q190)))</f>
        <v/>
      </c>
      <c r="R190" s="145" t="str">
        <f>IF(A190="","",IF(posicao_contratual!$Y190="","",IF(posicao_contratual!$Y190&gt;4,"",posicao_contratual!U190)))</f>
        <v/>
      </c>
      <c r="S190" s="165" t="str">
        <f>IF(A190="","",posicao_contratual!G190)</f>
        <v/>
      </c>
      <c r="T190" s="165" t="str">
        <f>IF(A190="","",posicao_contratual!K190)</f>
        <v/>
      </c>
      <c r="U190" s="165" t="str">
        <f>IF(A190="","",posicao_contratual!O190)</f>
        <v/>
      </c>
      <c r="V190" s="165" t="str">
        <f>IF(A190="","",posicao_contratual!S190)</f>
        <v/>
      </c>
      <c r="W190" s="165" t="str">
        <f>IF(A190="","",posicao_contratual!W190)</f>
        <v/>
      </c>
    </row>
    <row r="191" spans="1:23" x14ac:dyDescent="0.35">
      <c r="A191" s="86" t="str">
        <f>IF(itens_Remanesc!A191="","",itens_Remanesc!A191)</f>
        <v/>
      </c>
      <c r="B191" s="85" t="str">
        <f>IF(A191="","",IF(posicao_contratual!$Y191="","",IF(posicao_contratual!$Y191&gt;0,"",posicao_contratual!G191)))</f>
        <v/>
      </c>
      <c r="C191" s="79" t="str">
        <f>IF(itens_Remanesc!A191="","",IF(posicao_contratual!$Y191="","",IF(posicao_contratual!$Y191&gt;0,"",itens_Remanesc!C191)))</f>
        <v/>
      </c>
      <c r="D191" s="79" t="str">
        <f>IF(OR($A191="",posicao_contratual!$Y191=""),"",IF(posicao_contratual!$Y191&gt;1,"",IF(posicao_contratual!$Y191=1,IF(ISNUMBER(itens_Remanesc!C191),itens_Remanesc!C191,""),IF(OR(NOT(ISNUMBER(itens_Remanesc!C191)),NOT(ISNUMBER($L$3)),NOT(ISNUMBER(INDEX($L$2:$L$6,posicao_contratual!$Y191+1)))),"",ROUND(itens_Remanesc!C191*$L$3/INDEX($L$2:$L$6,posicao_contratual!$Y191+1),2)))))</f>
        <v/>
      </c>
      <c r="E191" s="79" t="str">
        <f>IF(OR($A191="",posicao_contratual!$Y191=""),"",IF(posicao_contratual!$Y191&gt;2,"",IF(posicao_contratual!$Y191=2,IF(ISNUMBER(itens_Remanesc!C191),itens_Remanesc!C191,""),IF(OR(NOT(ISNUMBER(itens_Remanesc!C191)),NOT(ISNUMBER($L$4)),NOT(ISNUMBER(INDEX($L$2:$L$6,posicao_contratual!$Y191+1)))),"",ROUND(itens_Remanesc!C191*$L$4/INDEX($L$2:$L$6,posicao_contratual!$Y191+1),2)))))</f>
        <v/>
      </c>
      <c r="F191" s="79" t="str">
        <f>IF(OR($A191="",posicao_contratual!$Y191=""),"",IF(posicao_contratual!$Y191&gt;3,"",IF(posicao_contratual!$Y191=3,IF(ISNUMBER(itens_Remanesc!C191),itens_Remanesc!C191,""),IF(OR(NOT(ISNUMBER(itens_Remanesc!C191)),NOT(ISNUMBER($L$5)),NOT(ISNUMBER(INDEX($L$2:$L$6,posicao_contratual!$Y191+1)))),"",ROUND(itens_Remanesc!C191*$L$5/INDEX($L$2:$L$6,posicao_contratual!$Y191+1),2)))))</f>
        <v/>
      </c>
      <c r="G191" s="79" t="str">
        <f>IF(OR($A191="",posicao_contratual!$Y191=""),"",IF(posicao_contratual!$Y191&gt;4,"",IF(posicao_contratual!$Y191=4,IF(ISNUMBER(itens_Remanesc!C191),itens_Remanesc!C191,""),IF(OR(NOT(ISNUMBER(itens_Remanesc!C191)),NOT(ISNUMBER($L$6)),NOT(ISNUMBER(INDEX($L$2:$L$6,posicao_contratual!$Y191+1)))),"",ROUND(itens_Remanesc!C191*$L$6/INDEX($L$2:$L$6,posicao_contratual!$Y191+1),2)))))</f>
        <v/>
      </c>
      <c r="H191" s="114" t="str">
        <f t="shared" si="5"/>
        <v/>
      </c>
      <c r="I191" s="13"/>
      <c r="J191" s="13"/>
      <c r="K191" s="13"/>
      <c r="L191" s="13"/>
      <c r="M191" s="13"/>
      <c r="N191" s="145" t="str">
        <f>IF(A191="","",IF(posicao_contratual!$Y191="","",IF(posicao_contratual!$Y191&gt;0,"",posicao_contratual!E191)))</f>
        <v/>
      </c>
      <c r="O191" s="145" t="str">
        <f>IF(A191="","",IF(posicao_contratual!$Y191="","",IF(posicao_contratual!$Y191&gt;1,"",posicao_contratual!I191)))</f>
        <v/>
      </c>
      <c r="P191" s="145" t="str">
        <f>IF(A191="","",IF(posicao_contratual!$Y191="","",IF(posicao_contratual!$Y191&gt;2,"",posicao_contratual!M191)))</f>
        <v/>
      </c>
      <c r="Q191" s="145" t="str">
        <f>IF(A191="","",IF(posicao_contratual!$Y191="","",IF(posicao_contratual!$Y191&gt;3,"",posicao_contratual!Q191)))</f>
        <v/>
      </c>
      <c r="R191" s="145" t="str">
        <f>IF(A191="","",IF(posicao_contratual!$Y191="","",IF(posicao_contratual!$Y191&gt;4,"",posicao_contratual!U191)))</f>
        <v/>
      </c>
      <c r="S191" s="165" t="str">
        <f>IF(A191="","",posicao_contratual!G191)</f>
        <v/>
      </c>
      <c r="T191" s="165" t="str">
        <f>IF(A191="","",posicao_contratual!K191)</f>
        <v/>
      </c>
      <c r="U191" s="165" t="str">
        <f>IF(A191="","",posicao_contratual!O191)</f>
        <v/>
      </c>
      <c r="V191" s="165" t="str">
        <f>IF(A191="","",posicao_contratual!S191)</f>
        <v/>
      </c>
      <c r="W191" s="165" t="str">
        <f>IF(A191="","",posicao_contratual!W191)</f>
        <v/>
      </c>
    </row>
    <row r="192" spans="1:23" x14ac:dyDescent="0.35">
      <c r="A192" s="86" t="str">
        <f>IF(itens_Remanesc!A192="","",itens_Remanesc!A192)</f>
        <v/>
      </c>
      <c r="B192" s="85" t="str">
        <f>IF(A192="","",IF(posicao_contratual!$Y192="","",IF(posicao_contratual!$Y192&gt;0,"",posicao_contratual!G192)))</f>
        <v/>
      </c>
      <c r="C192" s="79" t="str">
        <f>IF(itens_Remanesc!A192="","",IF(posicao_contratual!$Y192="","",IF(posicao_contratual!$Y192&gt;0,"",itens_Remanesc!C192)))</f>
        <v/>
      </c>
      <c r="D192" s="79" t="str">
        <f>IF(OR($A192="",posicao_contratual!$Y192=""),"",IF(posicao_contratual!$Y192&gt;1,"",IF(posicao_contratual!$Y192=1,IF(ISNUMBER(itens_Remanesc!C192),itens_Remanesc!C192,""),IF(OR(NOT(ISNUMBER(itens_Remanesc!C192)),NOT(ISNUMBER($L$3)),NOT(ISNUMBER(INDEX($L$2:$L$6,posicao_contratual!$Y192+1)))),"",ROUND(itens_Remanesc!C192*$L$3/INDEX($L$2:$L$6,posicao_contratual!$Y192+1),2)))))</f>
        <v/>
      </c>
      <c r="E192" s="79" t="str">
        <f>IF(OR($A192="",posicao_contratual!$Y192=""),"",IF(posicao_contratual!$Y192&gt;2,"",IF(posicao_contratual!$Y192=2,IF(ISNUMBER(itens_Remanesc!C192),itens_Remanesc!C192,""),IF(OR(NOT(ISNUMBER(itens_Remanesc!C192)),NOT(ISNUMBER($L$4)),NOT(ISNUMBER(INDEX($L$2:$L$6,posicao_contratual!$Y192+1)))),"",ROUND(itens_Remanesc!C192*$L$4/INDEX($L$2:$L$6,posicao_contratual!$Y192+1),2)))))</f>
        <v/>
      </c>
      <c r="F192" s="79" t="str">
        <f>IF(OR($A192="",posicao_contratual!$Y192=""),"",IF(posicao_contratual!$Y192&gt;3,"",IF(posicao_contratual!$Y192=3,IF(ISNUMBER(itens_Remanesc!C192),itens_Remanesc!C192,""),IF(OR(NOT(ISNUMBER(itens_Remanesc!C192)),NOT(ISNUMBER($L$5)),NOT(ISNUMBER(INDEX($L$2:$L$6,posicao_contratual!$Y192+1)))),"",ROUND(itens_Remanesc!C192*$L$5/INDEX($L$2:$L$6,posicao_contratual!$Y192+1),2)))))</f>
        <v/>
      </c>
      <c r="G192" s="79" t="str">
        <f>IF(OR($A192="",posicao_contratual!$Y192=""),"",IF(posicao_contratual!$Y192&gt;4,"",IF(posicao_contratual!$Y192=4,IF(ISNUMBER(itens_Remanesc!C192),itens_Remanesc!C192,""),IF(OR(NOT(ISNUMBER(itens_Remanesc!C192)),NOT(ISNUMBER($L$6)),NOT(ISNUMBER(INDEX($L$2:$L$6,posicao_contratual!$Y192+1)))),"",ROUND(itens_Remanesc!C192*$L$6/INDEX($L$2:$L$6,posicao_contratual!$Y192+1),2)))))</f>
        <v/>
      </c>
      <c r="H192" s="114" t="str">
        <f t="shared" si="5"/>
        <v/>
      </c>
      <c r="I192" s="13"/>
      <c r="J192" s="13"/>
      <c r="K192" s="13"/>
      <c r="L192" s="13"/>
      <c r="M192" s="13"/>
      <c r="N192" s="145" t="str">
        <f>IF(A192="","",IF(posicao_contratual!$Y192="","",IF(posicao_contratual!$Y192&gt;0,"",posicao_contratual!E192)))</f>
        <v/>
      </c>
      <c r="O192" s="145" t="str">
        <f>IF(A192="","",IF(posicao_contratual!$Y192="","",IF(posicao_contratual!$Y192&gt;1,"",posicao_contratual!I192)))</f>
        <v/>
      </c>
      <c r="P192" s="145" t="str">
        <f>IF(A192="","",IF(posicao_contratual!$Y192="","",IF(posicao_contratual!$Y192&gt;2,"",posicao_contratual!M192)))</f>
        <v/>
      </c>
      <c r="Q192" s="145" t="str">
        <f>IF(A192="","",IF(posicao_contratual!$Y192="","",IF(posicao_contratual!$Y192&gt;3,"",posicao_contratual!Q192)))</f>
        <v/>
      </c>
      <c r="R192" s="145" t="str">
        <f>IF(A192="","",IF(posicao_contratual!$Y192="","",IF(posicao_contratual!$Y192&gt;4,"",posicao_contratual!U192)))</f>
        <v/>
      </c>
      <c r="S192" s="165" t="str">
        <f>IF(A192="","",posicao_contratual!G192)</f>
        <v/>
      </c>
      <c r="T192" s="165" t="str">
        <f>IF(A192="","",posicao_contratual!K192)</f>
        <v/>
      </c>
      <c r="U192" s="165" t="str">
        <f>IF(A192="","",posicao_contratual!O192)</f>
        <v/>
      </c>
      <c r="V192" s="165" t="str">
        <f>IF(A192="","",posicao_contratual!S192)</f>
        <v/>
      </c>
      <c r="W192" s="165" t="str">
        <f>IF(A192="","",posicao_contratual!W192)</f>
        <v/>
      </c>
    </row>
    <row r="193" spans="1:23" x14ac:dyDescent="0.35">
      <c r="A193" s="86" t="str">
        <f>IF(itens_Remanesc!A193="","",itens_Remanesc!A193)</f>
        <v/>
      </c>
      <c r="B193" s="85" t="str">
        <f>IF(A193="","",IF(posicao_contratual!$Y193="","",IF(posicao_contratual!$Y193&gt;0,"",posicao_contratual!G193)))</f>
        <v/>
      </c>
      <c r="C193" s="79" t="str">
        <f>IF(itens_Remanesc!A193="","",IF(posicao_contratual!$Y193="","",IF(posicao_contratual!$Y193&gt;0,"",itens_Remanesc!C193)))</f>
        <v/>
      </c>
      <c r="D193" s="79" t="str">
        <f>IF(OR($A193="",posicao_contratual!$Y193=""),"",IF(posicao_contratual!$Y193&gt;1,"",IF(posicao_contratual!$Y193=1,IF(ISNUMBER(itens_Remanesc!C193),itens_Remanesc!C193,""),IF(OR(NOT(ISNUMBER(itens_Remanesc!C193)),NOT(ISNUMBER($L$3)),NOT(ISNUMBER(INDEX($L$2:$L$6,posicao_contratual!$Y193+1)))),"",ROUND(itens_Remanesc!C193*$L$3/INDEX($L$2:$L$6,posicao_contratual!$Y193+1),2)))))</f>
        <v/>
      </c>
      <c r="E193" s="79" t="str">
        <f>IF(OR($A193="",posicao_contratual!$Y193=""),"",IF(posicao_contratual!$Y193&gt;2,"",IF(posicao_contratual!$Y193=2,IF(ISNUMBER(itens_Remanesc!C193),itens_Remanesc!C193,""),IF(OR(NOT(ISNUMBER(itens_Remanesc!C193)),NOT(ISNUMBER($L$4)),NOT(ISNUMBER(INDEX($L$2:$L$6,posicao_contratual!$Y193+1)))),"",ROUND(itens_Remanesc!C193*$L$4/INDEX($L$2:$L$6,posicao_contratual!$Y193+1),2)))))</f>
        <v/>
      </c>
      <c r="F193" s="79" t="str">
        <f>IF(OR($A193="",posicao_contratual!$Y193=""),"",IF(posicao_contratual!$Y193&gt;3,"",IF(posicao_contratual!$Y193=3,IF(ISNUMBER(itens_Remanesc!C193),itens_Remanesc!C193,""),IF(OR(NOT(ISNUMBER(itens_Remanesc!C193)),NOT(ISNUMBER($L$5)),NOT(ISNUMBER(INDEX($L$2:$L$6,posicao_contratual!$Y193+1)))),"",ROUND(itens_Remanesc!C193*$L$5/INDEX($L$2:$L$6,posicao_contratual!$Y193+1),2)))))</f>
        <v/>
      </c>
      <c r="G193" s="79" t="str">
        <f>IF(OR($A193="",posicao_contratual!$Y193=""),"",IF(posicao_contratual!$Y193&gt;4,"",IF(posicao_contratual!$Y193=4,IF(ISNUMBER(itens_Remanesc!C193),itens_Remanesc!C193,""),IF(OR(NOT(ISNUMBER(itens_Remanesc!C193)),NOT(ISNUMBER($L$6)),NOT(ISNUMBER(INDEX($L$2:$L$6,posicao_contratual!$Y193+1)))),"",ROUND(itens_Remanesc!C193*$L$6/INDEX($L$2:$L$6,posicao_contratual!$Y193+1),2)))))</f>
        <v/>
      </c>
      <c r="H193" s="114" t="str">
        <f t="shared" si="5"/>
        <v/>
      </c>
      <c r="I193" s="13"/>
      <c r="J193" s="13"/>
      <c r="K193" s="13"/>
      <c r="L193" s="13"/>
      <c r="M193" s="13"/>
      <c r="N193" s="145" t="str">
        <f>IF(A193="","",IF(posicao_contratual!$Y193="","",IF(posicao_contratual!$Y193&gt;0,"",posicao_contratual!E193)))</f>
        <v/>
      </c>
      <c r="O193" s="145" t="str">
        <f>IF(A193="","",IF(posicao_contratual!$Y193="","",IF(posicao_contratual!$Y193&gt;1,"",posicao_contratual!I193)))</f>
        <v/>
      </c>
      <c r="P193" s="145" t="str">
        <f>IF(A193="","",IF(posicao_contratual!$Y193="","",IF(posicao_contratual!$Y193&gt;2,"",posicao_contratual!M193)))</f>
        <v/>
      </c>
      <c r="Q193" s="145" t="str">
        <f>IF(A193="","",IF(posicao_contratual!$Y193="","",IF(posicao_contratual!$Y193&gt;3,"",posicao_contratual!Q193)))</f>
        <v/>
      </c>
      <c r="R193" s="145" t="str">
        <f>IF(A193="","",IF(posicao_contratual!$Y193="","",IF(posicao_contratual!$Y193&gt;4,"",posicao_contratual!U193)))</f>
        <v/>
      </c>
      <c r="S193" s="165" t="str">
        <f>IF(A193="","",posicao_contratual!G193)</f>
        <v/>
      </c>
      <c r="T193" s="165" t="str">
        <f>IF(A193="","",posicao_contratual!K193)</f>
        <v/>
      </c>
      <c r="U193" s="165" t="str">
        <f>IF(A193="","",posicao_contratual!O193)</f>
        <v/>
      </c>
      <c r="V193" s="165" t="str">
        <f>IF(A193="","",posicao_contratual!S193)</f>
        <v/>
      </c>
      <c r="W193" s="165" t="str">
        <f>IF(A193="","",posicao_contratual!W193)</f>
        <v/>
      </c>
    </row>
    <row r="194" spans="1:23" x14ac:dyDescent="0.35">
      <c r="A194" s="86" t="str">
        <f>IF(itens_Remanesc!A194="","",itens_Remanesc!A194)</f>
        <v/>
      </c>
      <c r="B194" s="85" t="str">
        <f>IF(A194="","",IF(posicao_contratual!$Y194="","",IF(posicao_contratual!$Y194&gt;0,"",posicao_contratual!G194)))</f>
        <v/>
      </c>
      <c r="C194" s="79" t="str">
        <f>IF(itens_Remanesc!A194="","",IF(posicao_contratual!$Y194="","",IF(posicao_contratual!$Y194&gt;0,"",itens_Remanesc!C194)))</f>
        <v/>
      </c>
      <c r="D194" s="79" t="str">
        <f>IF(OR($A194="",posicao_contratual!$Y194=""),"",IF(posicao_contratual!$Y194&gt;1,"",IF(posicao_contratual!$Y194=1,IF(ISNUMBER(itens_Remanesc!C194),itens_Remanesc!C194,""),IF(OR(NOT(ISNUMBER(itens_Remanesc!C194)),NOT(ISNUMBER($L$3)),NOT(ISNUMBER(INDEX($L$2:$L$6,posicao_contratual!$Y194+1)))),"",ROUND(itens_Remanesc!C194*$L$3/INDEX($L$2:$L$6,posicao_contratual!$Y194+1),2)))))</f>
        <v/>
      </c>
      <c r="E194" s="79" t="str">
        <f>IF(OR($A194="",posicao_contratual!$Y194=""),"",IF(posicao_contratual!$Y194&gt;2,"",IF(posicao_contratual!$Y194=2,IF(ISNUMBER(itens_Remanesc!C194),itens_Remanesc!C194,""),IF(OR(NOT(ISNUMBER(itens_Remanesc!C194)),NOT(ISNUMBER($L$4)),NOT(ISNUMBER(INDEX($L$2:$L$6,posicao_contratual!$Y194+1)))),"",ROUND(itens_Remanesc!C194*$L$4/INDEX($L$2:$L$6,posicao_contratual!$Y194+1),2)))))</f>
        <v/>
      </c>
      <c r="F194" s="79" t="str">
        <f>IF(OR($A194="",posicao_contratual!$Y194=""),"",IF(posicao_contratual!$Y194&gt;3,"",IF(posicao_contratual!$Y194=3,IF(ISNUMBER(itens_Remanesc!C194),itens_Remanesc!C194,""),IF(OR(NOT(ISNUMBER(itens_Remanesc!C194)),NOT(ISNUMBER($L$5)),NOT(ISNUMBER(INDEX($L$2:$L$6,posicao_contratual!$Y194+1)))),"",ROUND(itens_Remanesc!C194*$L$5/INDEX($L$2:$L$6,posicao_contratual!$Y194+1),2)))))</f>
        <v/>
      </c>
      <c r="G194" s="79" t="str">
        <f>IF(OR($A194="",posicao_contratual!$Y194=""),"",IF(posicao_contratual!$Y194&gt;4,"",IF(posicao_contratual!$Y194=4,IF(ISNUMBER(itens_Remanesc!C194),itens_Remanesc!C194,""),IF(OR(NOT(ISNUMBER(itens_Remanesc!C194)),NOT(ISNUMBER($L$6)),NOT(ISNUMBER(INDEX($L$2:$L$6,posicao_contratual!$Y194+1)))),"",ROUND(itens_Remanesc!C194*$L$6/INDEX($L$2:$L$6,posicao_contratual!$Y194+1),2)))))</f>
        <v/>
      </c>
      <c r="H194" s="114" t="str">
        <f t="shared" ref="H194:H200" si="6">IF(OR(A194="",C194="",C194=0,NOT(ISNUMBER($L$6))),"",ROUND($L$6-1,4))</f>
        <v/>
      </c>
      <c r="I194" s="13"/>
      <c r="J194" s="13"/>
      <c r="K194" s="13"/>
      <c r="L194" s="13"/>
      <c r="M194" s="13"/>
      <c r="N194" s="145" t="str">
        <f>IF(A194="","",IF(posicao_contratual!$Y194="","",IF(posicao_contratual!$Y194&gt;0,"",posicao_contratual!E194)))</f>
        <v/>
      </c>
      <c r="O194" s="145" t="str">
        <f>IF(A194="","",IF(posicao_contratual!$Y194="","",IF(posicao_contratual!$Y194&gt;1,"",posicao_contratual!I194)))</f>
        <v/>
      </c>
      <c r="P194" s="145" t="str">
        <f>IF(A194="","",IF(posicao_contratual!$Y194="","",IF(posicao_contratual!$Y194&gt;2,"",posicao_contratual!M194)))</f>
        <v/>
      </c>
      <c r="Q194" s="145" t="str">
        <f>IF(A194="","",IF(posicao_contratual!$Y194="","",IF(posicao_contratual!$Y194&gt;3,"",posicao_contratual!Q194)))</f>
        <v/>
      </c>
      <c r="R194" s="145" t="str">
        <f>IF(A194="","",IF(posicao_contratual!$Y194="","",IF(posicao_contratual!$Y194&gt;4,"",posicao_contratual!U194)))</f>
        <v/>
      </c>
      <c r="S194" s="165" t="str">
        <f>IF(A194="","",posicao_contratual!G194)</f>
        <v/>
      </c>
      <c r="T194" s="165" t="str">
        <f>IF(A194="","",posicao_contratual!K194)</f>
        <v/>
      </c>
      <c r="U194" s="165" t="str">
        <f>IF(A194="","",posicao_contratual!O194)</f>
        <v/>
      </c>
      <c r="V194" s="165" t="str">
        <f>IF(A194="","",posicao_contratual!S194)</f>
        <v/>
      </c>
      <c r="W194" s="165" t="str">
        <f>IF(A194="","",posicao_contratual!W194)</f>
        <v/>
      </c>
    </row>
    <row r="195" spans="1:23" x14ac:dyDescent="0.35">
      <c r="A195" s="86" t="str">
        <f>IF(itens_Remanesc!A195="","",itens_Remanesc!A195)</f>
        <v/>
      </c>
      <c r="B195" s="85" t="str">
        <f>IF(A195="","",IF(posicao_contratual!$Y195="","",IF(posicao_contratual!$Y195&gt;0,"",posicao_contratual!G195)))</f>
        <v/>
      </c>
      <c r="C195" s="79" t="str">
        <f>IF(itens_Remanesc!A195="","",IF(posicao_contratual!$Y195="","",IF(posicao_contratual!$Y195&gt;0,"",itens_Remanesc!C195)))</f>
        <v/>
      </c>
      <c r="D195" s="79" t="str">
        <f>IF(OR($A195="",posicao_contratual!$Y195=""),"",IF(posicao_contratual!$Y195&gt;1,"",IF(posicao_contratual!$Y195=1,IF(ISNUMBER(itens_Remanesc!C195),itens_Remanesc!C195,""),IF(OR(NOT(ISNUMBER(itens_Remanesc!C195)),NOT(ISNUMBER($L$3)),NOT(ISNUMBER(INDEX($L$2:$L$6,posicao_contratual!$Y195+1)))),"",ROUND(itens_Remanesc!C195*$L$3/INDEX($L$2:$L$6,posicao_contratual!$Y195+1),2)))))</f>
        <v/>
      </c>
      <c r="E195" s="79" t="str">
        <f>IF(OR($A195="",posicao_contratual!$Y195=""),"",IF(posicao_contratual!$Y195&gt;2,"",IF(posicao_contratual!$Y195=2,IF(ISNUMBER(itens_Remanesc!C195),itens_Remanesc!C195,""),IF(OR(NOT(ISNUMBER(itens_Remanesc!C195)),NOT(ISNUMBER($L$4)),NOT(ISNUMBER(INDEX($L$2:$L$6,posicao_contratual!$Y195+1)))),"",ROUND(itens_Remanesc!C195*$L$4/INDEX($L$2:$L$6,posicao_contratual!$Y195+1),2)))))</f>
        <v/>
      </c>
      <c r="F195" s="79" t="str">
        <f>IF(OR($A195="",posicao_contratual!$Y195=""),"",IF(posicao_contratual!$Y195&gt;3,"",IF(posicao_contratual!$Y195=3,IF(ISNUMBER(itens_Remanesc!C195),itens_Remanesc!C195,""),IF(OR(NOT(ISNUMBER(itens_Remanesc!C195)),NOT(ISNUMBER($L$5)),NOT(ISNUMBER(INDEX($L$2:$L$6,posicao_contratual!$Y195+1)))),"",ROUND(itens_Remanesc!C195*$L$5/INDEX($L$2:$L$6,posicao_contratual!$Y195+1),2)))))</f>
        <v/>
      </c>
      <c r="G195" s="79" t="str">
        <f>IF(OR($A195="",posicao_contratual!$Y195=""),"",IF(posicao_contratual!$Y195&gt;4,"",IF(posicao_contratual!$Y195=4,IF(ISNUMBER(itens_Remanesc!C195),itens_Remanesc!C195,""),IF(OR(NOT(ISNUMBER(itens_Remanesc!C195)),NOT(ISNUMBER($L$6)),NOT(ISNUMBER(INDEX($L$2:$L$6,posicao_contratual!$Y195+1)))),"",ROUND(itens_Remanesc!C195*$L$6/INDEX($L$2:$L$6,posicao_contratual!$Y195+1),2)))))</f>
        <v/>
      </c>
      <c r="H195" s="114" t="str">
        <f t="shared" si="6"/>
        <v/>
      </c>
      <c r="I195" s="13"/>
      <c r="J195" s="13"/>
      <c r="K195" s="13"/>
      <c r="L195" s="13"/>
      <c r="M195" s="13"/>
      <c r="N195" s="145" t="str">
        <f>IF(A195="","",IF(posicao_contratual!$Y195="","",IF(posicao_contratual!$Y195&gt;0,"",posicao_contratual!E195)))</f>
        <v/>
      </c>
      <c r="O195" s="145" t="str">
        <f>IF(A195="","",IF(posicao_contratual!$Y195="","",IF(posicao_contratual!$Y195&gt;1,"",posicao_contratual!I195)))</f>
        <v/>
      </c>
      <c r="P195" s="145" t="str">
        <f>IF(A195="","",IF(posicao_contratual!$Y195="","",IF(posicao_contratual!$Y195&gt;2,"",posicao_contratual!M195)))</f>
        <v/>
      </c>
      <c r="Q195" s="145" t="str">
        <f>IF(A195="","",IF(posicao_contratual!$Y195="","",IF(posicao_contratual!$Y195&gt;3,"",posicao_contratual!Q195)))</f>
        <v/>
      </c>
      <c r="R195" s="145" t="str">
        <f>IF(A195="","",IF(posicao_contratual!$Y195="","",IF(posicao_contratual!$Y195&gt;4,"",posicao_contratual!U195)))</f>
        <v/>
      </c>
      <c r="S195" s="165" t="str">
        <f>IF(A195="","",posicao_contratual!G195)</f>
        <v/>
      </c>
      <c r="T195" s="165" t="str">
        <f>IF(A195="","",posicao_contratual!K195)</f>
        <v/>
      </c>
      <c r="U195" s="165" t="str">
        <f>IF(A195="","",posicao_contratual!O195)</f>
        <v/>
      </c>
      <c r="V195" s="165" t="str">
        <f>IF(A195="","",posicao_contratual!S195)</f>
        <v/>
      </c>
      <c r="W195" s="165" t="str">
        <f>IF(A195="","",posicao_contratual!W195)</f>
        <v/>
      </c>
    </row>
    <row r="196" spans="1:23" x14ac:dyDescent="0.35">
      <c r="A196" s="86" t="str">
        <f>IF(itens_Remanesc!A196="","",itens_Remanesc!A196)</f>
        <v/>
      </c>
      <c r="B196" s="85" t="str">
        <f>IF(A196="","",IF(posicao_contratual!$Y196="","",IF(posicao_contratual!$Y196&gt;0,"",posicao_contratual!G196)))</f>
        <v/>
      </c>
      <c r="C196" s="79" t="str">
        <f>IF(itens_Remanesc!A196="","",IF(posicao_contratual!$Y196="","",IF(posicao_contratual!$Y196&gt;0,"",itens_Remanesc!C196)))</f>
        <v/>
      </c>
      <c r="D196" s="79" t="str">
        <f>IF(OR($A196="",posicao_contratual!$Y196=""),"",IF(posicao_contratual!$Y196&gt;1,"",IF(posicao_contratual!$Y196=1,IF(ISNUMBER(itens_Remanesc!C196),itens_Remanesc!C196,""),IF(OR(NOT(ISNUMBER(itens_Remanesc!C196)),NOT(ISNUMBER($L$3)),NOT(ISNUMBER(INDEX($L$2:$L$6,posicao_contratual!$Y196+1)))),"",ROUND(itens_Remanesc!C196*$L$3/INDEX($L$2:$L$6,posicao_contratual!$Y196+1),2)))))</f>
        <v/>
      </c>
      <c r="E196" s="79" t="str">
        <f>IF(OR($A196="",posicao_contratual!$Y196=""),"",IF(posicao_contratual!$Y196&gt;2,"",IF(posicao_contratual!$Y196=2,IF(ISNUMBER(itens_Remanesc!C196),itens_Remanesc!C196,""),IF(OR(NOT(ISNUMBER(itens_Remanesc!C196)),NOT(ISNUMBER($L$4)),NOT(ISNUMBER(INDEX($L$2:$L$6,posicao_contratual!$Y196+1)))),"",ROUND(itens_Remanesc!C196*$L$4/INDEX($L$2:$L$6,posicao_contratual!$Y196+1),2)))))</f>
        <v/>
      </c>
      <c r="F196" s="79" t="str">
        <f>IF(OR($A196="",posicao_contratual!$Y196=""),"",IF(posicao_contratual!$Y196&gt;3,"",IF(posicao_contratual!$Y196=3,IF(ISNUMBER(itens_Remanesc!C196),itens_Remanesc!C196,""),IF(OR(NOT(ISNUMBER(itens_Remanesc!C196)),NOT(ISNUMBER($L$5)),NOT(ISNUMBER(INDEX($L$2:$L$6,posicao_contratual!$Y196+1)))),"",ROUND(itens_Remanesc!C196*$L$5/INDEX($L$2:$L$6,posicao_contratual!$Y196+1),2)))))</f>
        <v/>
      </c>
      <c r="G196" s="79" t="str">
        <f>IF(OR($A196="",posicao_contratual!$Y196=""),"",IF(posicao_contratual!$Y196&gt;4,"",IF(posicao_contratual!$Y196=4,IF(ISNUMBER(itens_Remanesc!C196),itens_Remanesc!C196,""),IF(OR(NOT(ISNUMBER(itens_Remanesc!C196)),NOT(ISNUMBER($L$6)),NOT(ISNUMBER(INDEX($L$2:$L$6,posicao_contratual!$Y196+1)))),"",ROUND(itens_Remanesc!C196*$L$6/INDEX($L$2:$L$6,posicao_contratual!$Y196+1),2)))))</f>
        <v/>
      </c>
      <c r="H196" s="114" t="str">
        <f t="shared" si="6"/>
        <v/>
      </c>
      <c r="I196" s="13"/>
      <c r="J196" s="13"/>
      <c r="K196" s="13"/>
      <c r="L196" s="13"/>
      <c r="M196" s="13"/>
      <c r="N196" s="145" t="str">
        <f>IF(A196="","",IF(posicao_contratual!$Y196="","",IF(posicao_contratual!$Y196&gt;0,"",posicao_contratual!E196)))</f>
        <v/>
      </c>
      <c r="O196" s="145" t="str">
        <f>IF(A196="","",IF(posicao_contratual!$Y196="","",IF(posicao_contratual!$Y196&gt;1,"",posicao_contratual!I196)))</f>
        <v/>
      </c>
      <c r="P196" s="145" t="str">
        <f>IF(A196="","",IF(posicao_contratual!$Y196="","",IF(posicao_contratual!$Y196&gt;2,"",posicao_contratual!M196)))</f>
        <v/>
      </c>
      <c r="Q196" s="145" t="str">
        <f>IF(A196="","",IF(posicao_contratual!$Y196="","",IF(posicao_contratual!$Y196&gt;3,"",posicao_contratual!Q196)))</f>
        <v/>
      </c>
      <c r="R196" s="145" t="str">
        <f>IF(A196="","",IF(posicao_contratual!$Y196="","",IF(posicao_contratual!$Y196&gt;4,"",posicao_contratual!U196)))</f>
        <v/>
      </c>
      <c r="S196" s="165" t="str">
        <f>IF(A196="","",posicao_contratual!G196)</f>
        <v/>
      </c>
      <c r="T196" s="165" t="str">
        <f>IF(A196="","",posicao_contratual!K196)</f>
        <v/>
      </c>
      <c r="U196" s="165" t="str">
        <f>IF(A196="","",posicao_contratual!O196)</f>
        <v/>
      </c>
      <c r="V196" s="165" t="str">
        <f>IF(A196="","",posicao_contratual!S196)</f>
        <v/>
      </c>
      <c r="W196" s="165" t="str">
        <f>IF(A196="","",posicao_contratual!W196)</f>
        <v/>
      </c>
    </row>
    <row r="197" spans="1:23" x14ac:dyDescent="0.35">
      <c r="A197" s="86" t="str">
        <f>IF(itens_Remanesc!A197="","",itens_Remanesc!A197)</f>
        <v/>
      </c>
      <c r="B197" s="85" t="str">
        <f>IF(A197="","",IF(posicao_contratual!$Y197="","",IF(posicao_contratual!$Y197&gt;0,"",posicao_contratual!G197)))</f>
        <v/>
      </c>
      <c r="C197" s="79" t="str">
        <f>IF(itens_Remanesc!A197="","",IF(posicao_contratual!$Y197="","",IF(posicao_contratual!$Y197&gt;0,"",itens_Remanesc!C197)))</f>
        <v/>
      </c>
      <c r="D197" s="79" t="str">
        <f>IF(OR($A197="",posicao_contratual!$Y197=""),"",IF(posicao_contratual!$Y197&gt;1,"",IF(posicao_contratual!$Y197=1,IF(ISNUMBER(itens_Remanesc!C197),itens_Remanesc!C197,""),IF(OR(NOT(ISNUMBER(itens_Remanesc!C197)),NOT(ISNUMBER($L$3)),NOT(ISNUMBER(INDEX($L$2:$L$6,posicao_contratual!$Y197+1)))),"",ROUND(itens_Remanesc!C197*$L$3/INDEX($L$2:$L$6,posicao_contratual!$Y197+1),2)))))</f>
        <v/>
      </c>
      <c r="E197" s="79" t="str">
        <f>IF(OR($A197="",posicao_contratual!$Y197=""),"",IF(posicao_contratual!$Y197&gt;2,"",IF(posicao_contratual!$Y197=2,IF(ISNUMBER(itens_Remanesc!C197),itens_Remanesc!C197,""),IF(OR(NOT(ISNUMBER(itens_Remanesc!C197)),NOT(ISNUMBER($L$4)),NOT(ISNUMBER(INDEX($L$2:$L$6,posicao_contratual!$Y197+1)))),"",ROUND(itens_Remanesc!C197*$L$4/INDEX($L$2:$L$6,posicao_contratual!$Y197+1),2)))))</f>
        <v/>
      </c>
      <c r="F197" s="79" t="str">
        <f>IF(OR($A197="",posicao_contratual!$Y197=""),"",IF(posicao_contratual!$Y197&gt;3,"",IF(posicao_contratual!$Y197=3,IF(ISNUMBER(itens_Remanesc!C197),itens_Remanesc!C197,""),IF(OR(NOT(ISNUMBER(itens_Remanesc!C197)),NOT(ISNUMBER($L$5)),NOT(ISNUMBER(INDEX($L$2:$L$6,posicao_contratual!$Y197+1)))),"",ROUND(itens_Remanesc!C197*$L$5/INDEX($L$2:$L$6,posicao_contratual!$Y197+1),2)))))</f>
        <v/>
      </c>
      <c r="G197" s="79" t="str">
        <f>IF(OR($A197="",posicao_contratual!$Y197=""),"",IF(posicao_contratual!$Y197&gt;4,"",IF(posicao_contratual!$Y197=4,IF(ISNUMBER(itens_Remanesc!C197),itens_Remanesc!C197,""),IF(OR(NOT(ISNUMBER(itens_Remanesc!C197)),NOT(ISNUMBER($L$6)),NOT(ISNUMBER(INDEX($L$2:$L$6,posicao_contratual!$Y197+1)))),"",ROUND(itens_Remanesc!C197*$L$6/INDEX($L$2:$L$6,posicao_contratual!$Y197+1),2)))))</f>
        <v/>
      </c>
      <c r="H197" s="114" t="str">
        <f t="shared" si="6"/>
        <v/>
      </c>
      <c r="I197" s="13"/>
      <c r="J197" s="13"/>
      <c r="K197" s="13"/>
      <c r="L197" s="13"/>
      <c r="M197" s="13"/>
      <c r="N197" s="145" t="str">
        <f>IF(A197="","",IF(posicao_contratual!$Y197="","",IF(posicao_contratual!$Y197&gt;0,"",posicao_contratual!E197)))</f>
        <v/>
      </c>
      <c r="O197" s="145" t="str">
        <f>IF(A197="","",IF(posicao_contratual!$Y197="","",IF(posicao_contratual!$Y197&gt;1,"",posicao_contratual!I197)))</f>
        <v/>
      </c>
      <c r="P197" s="145" t="str">
        <f>IF(A197="","",IF(posicao_contratual!$Y197="","",IF(posicao_contratual!$Y197&gt;2,"",posicao_contratual!M197)))</f>
        <v/>
      </c>
      <c r="Q197" s="145" t="str">
        <f>IF(A197="","",IF(posicao_contratual!$Y197="","",IF(posicao_contratual!$Y197&gt;3,"",posicao_contratual!Q197)))</f>
        <v/>
      </c>
      <c r="R197" s="145" t="str">
        <f>IF(A197="","",IF(posicao_contratual!$Y197="","",IF(posicao_contratual!$Y197&gt;4,"",posicao_contratual!U197)))</f>
        <v/>
      </c>
      <c r="S197" s="165" t="str">
        <f>IF(A197="","",posicao_contratual!G197)</f>
        <v/>
      </c>
      <c r="T197" s="165" t="str">
        <f>IF(A197="","",posicao_contratual!K197)</f>
        <v/>
      </c>
      <c r="U197" s="165" t="str">
        <f>IF(A197="","",posicao_contratual!O197)</f>
        <v/>
      </c>
      <c r="V197" s="165" t="str">
        <f>IF(A197="","",posicao_contratual!S197)</f>
        <v/>
      </c>
      <c r="W197" s="165" t="str">
        <f>IF(A197="","",posicao_contratual!W197)</f>
        <v/>
      </c>
    </row>
    <row r="198" spans="1:23" x14ac:dyDescent="0.35">
      <c r="A198" s="86" t="str">
        <f>IF(itens_Remanesc!A198="","",itens_Remanesc!A198)</f>
        <v/>
      </c>
      <c r="B198" s="85" t="str">
        <f>IF(A198="","",IF(posicao_contratual!$Y198="","",IF(posicao_contratual!$Y198&gt;0,"",posicao_contratual!G198)))</f>
        <v/>
      </c>
      <c r="C198" s="79" t="str">
        <f>IF(itens_Remanesc!A198="","",IF(posicao_contratual!$Y198="","",IF(posicao_contratual!$Y198&gt;0,"",itens_Remanesc!C198)))</f>
        <v/>
      </c>
      <c r="D198" s="79" t="str">
        <f>IF(OR($A198="",posicao_contratual!$Y198=""),"",IF(posicao_contratual!$Y198&gt;1,"",IF(posicao_contratual!$Y198=1,IF(ISNUMBER(itens_Remanesc!C198),itens_Remanesc!C198,""),IF(OR(NOT(ISNUMBER(itens_Remanesc!C198)),NOT(ISNUMBER($L$3)),NOT(ISNUMBER(INDEX($L$2:$L$6,posicao_contratual!$Y198+1)))),"",ROUND(itens_Remanesc!C198*$L$3/INDEX($L$2:$L$6,posicao_contratual!$Y198+1),2)))))</f>
        <v/>
      </c>
      <c r="E198" s="79" t="str">
        <f>IF(OR($A198="",posicao_contratual!$Y198=""),"",IF(posicao_contratual!$Y198&gt;2,"",IF(posicao_contratual!$Y198=2,IF(ISNUMBER(itens_Remanesc!C198),itens_Remanesc!C198,""),IF(OR(NOT(ISNUMBER(itens_Remanesc!C198)),NOT(ISNUMBER($L$4)),NOT(ISNUMBER(INDEX($L$2:$L$6,posicao_contratual!$Y198+1)))),"",ROUND(itens_Remanesc!C198*$L$4/INDEX($L$2:$L$6,posicao_contratual!$Y198+1),2)))))</f>
        <v/>
      </c>
      <c r="F198" s="79" t="str">
        <f>IF(OR($A198="",posicao_contratual!$Y198=""),"",IF(posicao_contratual!$Y198&gt;3,"",IF(posicao_contratual!$Y198=3,IF(ISNUMBER(itens_Remanesc!C198),itens_Remanesc!C198,""),IF(OR(NOT(ISNUMBER(itens_Remanesc!C198)),NOT(ISNUMBER($L$5)),NOT(ISNUMBER(INDEX($L$2:$L$6,posicao_contratual!$Y198+1)))),"",ROUND(itens_Remanesc!C198*$L$5/INDEX($L$2:$L$6,posicao_contratual!$Y198+1),2)))))</f>
        <v/>
      </c>
      <c r="G198" s="79" t="str">
        <f>IF(OR($A198="",posicao_contratual!$Y198=""),"",IF(posicao_contratual!$Y198&gt;4,"",IF(posicao_contratual!$Y198=4,IF(ISNUMBER(itens_Remanesc!C198),itens_Remanesc!C198,""),IF(OR(NOT(ISNUMBER(itens_Remanesc!C198)),NOT(ISNUMBER($L$6)),NOT(ISNUMBER(INDEX($L$2:$L$6,posicao_contratual!$Y198+1)))),"",ROUND(itens_Remanesc!C198*$L$6/INDEX($L$2:$L$6,posicao_contratual!$Y198+1),2)))))</f>
        <v/>
      </c>
      <c r="H198" s="114" t="str">
        <f t="shared" si="6"/>
        <v/>
      </c>
      <c r="I198" s="13"/>
      <c r="J198" s="13"/>
      <c r="K198" s="13"/>
      <c r="L198" s="13"/>
      <c r="M198" s="13"/>
      <c r="N198" s="145" t="str">
        <f>IF(A198="","",IF(posicao_contratual!$Y198="","",IF(posicao_contratual!$Y198&gt;0,"",posicao_contratual!E198)))</f>
        <v/>
      </c>
      <c r="O198" s="145" t="str">
        <f>IF(A198="","",IF(posicao_contratual!$Y198="","",IF(posicao_contratual!$Y198&gt;1,"",posicao_contratual!I198)))</f>
        <v/>
      </c>
      <c r="P198" s="145" t="str">
        <f>IF(A198="","",IF(posicao_contratual!$Y198="","",IF(posicao_contratual!$Y198&gt;2,"",posicao_contratual!M198)))</f>
        <v/>
      </c>
      <c r="Q198" s="145" t="str">
        <f>IF(A198="","",IF(posicao_contratual!$Y198="","",IF(posicao_contratual!$Y198&gt;3,"",posicao_contratual!Q198)))</f>
        <v/>
      </c>
      <c r="R198" s="145" t="str">
        <f>IF(A198="","",IF(posicao_contratual!$Y198="","",IF(posicao_contratual!$Y198&gt;4,"",posicao_contratual!U198)))</f>
        <v/>
      </c>
      <c r="S198" s="165" t="str">
        <f>IF(A198="","",posicao_contratual!G198)</f>
        <v/>
      </c>
      <c r="T198" s="165" t="str">
        <f>IF(A198="","",posicao_contratual!K198)</f>
        <v/>
      </c>
      <c r="U198" s="165" t="str">
        <f>IF(A198="","",posicao_contratual!O198)</f>
        <v/>
      </c>
      <c r="V198" s="165" t="str">
        <f>IF(A198="","",posicao_contratual!S198)</f>
        <v/>
      </c>
      <c r="W198" s="165" t="str">
        <f>IF(A198="","",posicao_contratual!W198)</f>
        <v/>
      </c>
    </row>
    <row r="199" spans="1:23" x14ac:dyDescent="0.35">
      <c r="A199" s="86" t="str">
        <f>IF(itens_Remanesc!A199="","",itens_Remanesc!A199)</f>
        <v/>
      </c>
      <c r="B199" s="85" t="str">
        <f>IF(A199="","",IF(posicao_contratual!$Y199="","",IF(posicao_contratual!$Y199&gt;0,"",posicao_contratual!G199)))</f>
        <v/>
      </c>
      <c r="C199" s="79" t="str">
        <f>IF(itens_Remanesc!A199="","",IF(posicao_contratual!$Y199="","",IF(posicao_contratual!$Y199&gt;0,"",itens_Remanesc!C199)))</f>
        <v/>
      </c>
      <c r="D199" s="79" t="str">
        <f>IF(OR($A199="",posicao_contratual!$Y199=""),"",IF(posicao_contratual!$Y199&gt;1,"",IF(posicao_contratual!$Y199=1,IF(ISNUMBER(itens_Remanesc!C199),itens_Remanesc!C199,""),IF(OR(NOT(ISNUMBER(itens_Remanesc!C199)),NOT(ISNUMBER($L$3)),NOT(ISNUMBER(INDEX($L$2:$L$6,posicao_contratual!$Y199+1)))),"",ROUND(itens_Remanesc!C199*$L$3/INDEX($L$2:$L$6,posicao_contratual!$Y199+1),2)))))</f>
        <v/>
      </c>
      <c r="E199" s="79" t="str">
        <f>IF(OR($A199="",posicao_contratual!$Y199=""),"",IF(posicao_contratual!$Y199&gt;2,"",IF(posicao_contratual!$Y199=2,IF(ISNUMBER(itens_Remanesc!C199),itens_Remanesc!C199,""),IF(OR(NOT(ISNUMBER(itens_Remanesc!C199)),NOT(ISNUMBER($L$4)),NOT(ISNUMBER(INDEX($L$2:$L$6,posicao_contratual!$Y199+1)))),"",ROUND(itens_Remanesc!C199*$L$4/INDEX($L$2:$L$6,posicao_contratual!$Y199+1),2)))))</f>
        <v/>
      </c>
      <c r="F199" s="79" t="str">
        <f>IF(OR($A199="",posicao_contratual!$Y199=""),"",IF(posicao_contratual!$Y199&gt;3,"",IF(posicao_contratual!$Y199=3,IF(ISNUMBER(itens_Remanesc!C199),itens_Remanesc!C199,""),IF(OR(NOT(ISNUMBER(itens_Remanesc!C199)),NOT(ISNUMBER($L$5)),NOT(ISNUMBER(INDEX($L$2:$L$6,posicao_contratual!$Y199+1)))),"",ROUND(itens_Remanesc!C199*$L$5/INDEX($L$2:$L$6,posicao_contratual!$Y199+1),2)))))</f>
        <v/>
      </c>
      <c r="G199" s="79" t="str">
        <f>IF(OR($A199="",posicao_contratual!$Y199=""),"",IF(posicao_contratual!$Y199&gt;4,"",IF(posicao_contratual!$Y199=4,IF(ISNUMBER(itens_Remanesc!C199),itens_Remanesc!C199,""),IF(OR(NOT(ISNUMBER(itens_Remanesc!C199)),NOT(ISNUMBER($L$6)),NOT(ISNUMBER(INDEX($L$2:$L$6,posicao_contratual!$Y199+1)))),"",ROUND(itens_Remanesc!C199*$L$6/INDEX($L$2:$L$6,posicao_contratual!$Y199+1),2)))))</f>
        <v/>
      </c>
      <c r="H199" s="114" t="str">
        <f t="shared" si="6"/>
        <v/>
      </c>
      <c r="I199" s="13"/>
      <c r="J199" s="13"/>
      <c r="K199" s="13"/>
      <c r="L199" s="13"/>
      <c r="M199" s="13"/>
      <c r="N199" s="145" t="str">
        <f>IF(A199="","",IF(posicao_contratual!$Y199="","",IF(posicao_contratual!$Y199&gt;0,"",posicao_contratual!E199)))</f>
        <v/>
      </c>
      <c r="O199" s="145" t="str">
        <f>IF(A199="","",IF(posicao_contratual!$Y199="","",IF(posicao_contratual!$Y199&gt;1,"",posicao_contratual!I199)))</f>
        <v/>
      </c>
      <c r="P199" s="145" t="str">
        <f>IF(A199="","",IF(posicao_contratual!$Y199="","",IF(posicao_contratual!$Y199&gt;2,"",posicao_contratual!M199)))</f>
        <v/>
      </c>
      <c r="Q199" s="145" t="str">
        <f>IF(A199="","",IF(posicao_contratual!$Y199="","",IF(posicao_contratual!$Y199&gt;3,"",posicao_contratual!Q199)))</f>
        <v/>
      </c>
      <c r="R199" s="145" t="str">
        <f>IF(A199="","",IF(posicao_contratual!$Y199="","",IF(posicao_contratual!$Y199&gt;4,"",posicao_contratual!U199)))</f>
        <v/>
      </c>
      <c r="S199" s="165" t="str">
        <f>IF(A199="","",posicao_contratual!G199)</f>
        <v/>
      </c>
      <c r="T199" s="165" t="str">
        <f>IF(A199="","",posicao_contratual!K199)</f>
        <v/>
      </c>
      <c r="U199" s="165" t="str">
        <f>IF(A199="","",posicao_contratual!O199)</f>
        <v/>
      </c>
      <c r="V199" s="165" t="str">
        <f>IF(A199="","",posicao_contratual!S199)</f>
        <v/>
      </c>
      <c r="W199" s="165" t="str">
        <f>IF(A199="","",posicao_contratual!W199)</f>
        <v/>
      </c>
    </row>
    <row r="200" spans="1:23" x14ac:dyDescent="0.35">
      <c r="A200" s="86" t="str">
        <f>IF(itens_Remanesc!A200="","",itens_Remanesc!A200)</f>
        <v/>
      </c>
      <c r="B200" s="85" t="str">
        <f>IF(A200="","",IF(posicao_contratual!$Y200="","",IF(posicao_contratual!$Y200&gt;0,"",posicao_contratual!G200)))</f>
        <v/>
      </c>
      <c r="C200" s="79" t="str">
        <f>IF(itens_Remanesc!A200="","",IF(posicao_contratual!$Y200="","",IF(posicao_contratual!$Y200&gt;0,"",itens_Remanesc!C200)))</f>
        <v/>
      </c>
      <c r="D200" s="79" t="str">
        <f>IF(OR($A200="",posicao_contratual!$Y200=""),"",IF(posicao_contratual!$Y200&gt;1,"",IF(posicao_contratual!$Y200=1,IF(ISNUMBER(itens_Remanesc!C200),itens_Remanesc!C200,""),IF(OR(NOT(ISNUMBER(itens_Remanesc!C200)),NOT(ISNUMBER($L$3)),NOT(ISNUMBER(INDEX($L$2:$L$6,posicao_contratual!$Y200+1)))),"",ROUND(itens_Remanesc!C200*$L$3/INDEX($L$2:$L$6,posicao_contratual!$Y200+1),2)))))</f>
        <v/>
      </c>
      <c r="E200" s="79" t="str">
        <f>IF(OR($A200="",posicao_contratual!$Y200=""),"",IF(posicao_contratual!$Y200&gt;2,"",IF(posicao_contratual!$Y200=2,IF(ISNUMBER(itens_Remanesc!C200),itens_Remanesc!C200,""),IF(OR(NOT(ISNUMBER(itens_Remanesc!C200)),NOT(ISNUMBER($L$4)),NOT(ISNUMBER(INDEX($L$2:$L$6,posicao_contratual!$Y200+1)))),"",ROUND(itens_Remanesc!C200*$L$4/INDEX($L$2:$L$6,posicao_contratual!$Y200+1),2)))))</f>
        <v/>
      </c>
      <c r="F200" s="79" t="str">
        <f>IF(OR($A200="",posicao_contratual!$Y200=""),"",IF(posicao_contratual!$Y200&gt;3,"",IF(posicao_contratual!$Y200=3,IF(ISNUMBER(itens_Remanesc!C200),itens_Remanesc!C200,""),IF(OR(NOT(ISNUMBER(itens_Remanesc!C200)),NOT(ISNUMBER($L$5)),NOT(ISNUMBER(INDEX($L$2:$L$6,posicao_contratual!$Y200+1)))),"",ROUND(itens_Remanesc!C200*$L$5/INDEX($L$2:$L$6,posicao_contratual!$Y200+1),2)))))</f>
        <v/>
      </c>
      <c r="G200" s="79" t="str">
        <f>IF(OR($A200="",posicao_contratual!$Y200=""),"",IF(posicao_contratual!$Y200&gt;4,"",IF(posicao_contratual!$Y200=4,IF(ISNUMBER(itens_Remanesc!C200),itens_Remanesc!C200,""),IF(OR(NOT(ISNUMBER(itens_Remanesc!C200)),NOT(ISNUMBER($L$6)),NOT(ISNUMBER(INDEX($L$2:$L$6,posicao_contratual!$Y200+1)))),"",ROUND(itens_Remanesc!C200*$L$6/INDEX($L$2:$L$6,posicao_contratual!$Y200+1),2)))))</f>
        <v/>
      </c>
      <c r="H200" s="114" t="str">
        <f t="shared" si="6"/>
        <v/>
      </c>
      <c r="I200" s="13"/>
      <c r="J200" s="13"/>
      <c r="K200" s="13"/>
      <c r="L200" s="13"/>
      <c r="M200" s="13"/>
      <c r="N200" s="145" t="str">
        <f>IF(A200="","",IF(posicao_contratual!$Y200="","",IF(posicao_contratual!$Y200&gt;0,"",posicao_contratual!E200)))</f>
        <v/>
      </c>
      <c r="O200" s="145" t="str">
        <f>IF(A200="","",IF(posicao_contratual!$Y200="","",IF(posicao_contratual!$Y200&gt;1,"",posicao_contratual!I200)))</f>
        <v/>
      </c>
      <c r="P200" s="145" t="str">
        <f>IF(A200="","",IF(posicao_contratual!$Y200="","",IF(posicao_contratual!$Y200&gt;2,"",posicao_contratual!M200)))</f>
        <v/>
      </c>
      <c r="Q200" s="145" t="str">
        <f>IF(A200="","",IF(posicao_contratual!$Y200="","",IF(posicao_contratual!$Y200&gt;3,"",posicao_contratual!Q200)))</f>
        <v/>
      </c>
      <c r="R200" s="145" t="str">
        <f>IF(A200="","",IF(posicao_contratual!$Y200="","",IF(posicao_contratual!$Y200&gt;4,"",posicao_contratual!U200)))</f>
        <v/>
      </c>
      <c r="S200" s="165" t="str">
        <f>IF(A200="","",posicao_contratual!G200)</f>
        <v/>
      </c>
      <c r="T200" s="165" t="str">
        <f>IF(A200="","",posicao_contratual!K200)</f>
        <v/>
      </c>
      <c r="U200" s="165" t="str">
        <f>IF(A200="","",posicao_contratual!O200)</f>
        <v/>
      </c>
      <c r="V200" s="165" t="str">
        <f>IF(A200="","",posicao_contratual!S200)</f>
        <v/>
      </c>
      <c r="W200" s="165" t="str">
        <f>IF(A200="","",posicao_contratual!W200)</f>
        <v/>
      </c>
    </row>
    <row r="201" spans="1:23" x14ac:dyDescent="0.35">
      <c r="A201" s="13"/>
      <c r="B201" s="30"/>
      <c r="C201" s="31"/>
      <c r="D201" s="31"/>
      <c r="E201" s="31"/>
      <c r="F201" s="31"/>
      <c r="G201" s="31"/>
      <c r="H201" s="13"/>
      <c r="I201" s="13"/>
      <c r="J201" s="13"/>
      <c r="K201" s="13"/>
      <c r="L201" s="13"/>
      <c r="M201" s="13"/>
      <c r="N201" s="13"/>
      <c r="O201" s="13"/>
      <c r="S201" s="197"/>
      <c r="T201" s="197"/>
      <c r="U201" s="197"/>
      <c r="V201" s="197"/>
      <c r="W201" s="197"/>
    </row>
    <row r="202" spans="1:23" x14ac:dyDescent="0.35">
      <c r="A202" s="13"/>
      <c r="B202" s="30"/>
      <c r="C202" s="31"/>
      <c r="D202" s="31"/>
      <c r="E202" s="31"/>
      <c r="F202" s="31"/>
      <c r="G202" s="31"/>
      <c r="H202" s="13"/>
      <c r="I202" s="13"/>
      <c r="J202" s="13"/>
      <c r="K202" s="13"/>
      <c r="L202" s="13"/>
      <c r="M202" s="13"/>
      <c r="N202" s="13"/>
      <c r="O202" s="13"/>
    </row>
    <row r="203" spans="1:23" x14ac:dyDescent="0.35">
      <c r="A203" s="13"/>
      <c r="B203" s="30"/>
      <c r="C203" s="31"/>
      <c r="D203" s="31"/>
      <c r="E203" s="31"/>
      <c r="F203" s="31"/>
      <c r="G203" s="31"/>
      <c r="H203" s="13"/>
      <c r="I203" s="13"/>
      <c r="J203" s="13"/>
      <c r="K203" s="13"/>
      <c r="L203" s="13"/>
      <c r="M203" s="13"/>
      <c r="N203" s="13"/>
      <c r="O203" s="13"/>
    </row>
    <row r="204" spans="1:23" x14ac:dyDescent="0.35">
      <c r="A204" s="13"/>
      <c r="B204" s="30"/>
      <c r="C204" s="31"/>
      <c r="D204" s="31"/>
      <c r="E204" s="31"/>
      <c r="F204" s="31"/>
      <c r="G204" s="31"/>
      <c r="H204" s="13"/>
      <c r="I204" s="13"/>
      <c r="J204" s="13"/>
      <c r="K204" s="13"/>
      <c r="L204" s="13"/>
      <c r="M204" s="13"/>
      <c r="N204" s="13"/>
      <c r="O204" s="13"/>
    </row>
    <row r="205" spans="1:23" x14ac:dyDescent="0.35">
      <c r="A205" s="13"/>
      <c r="B205" s="30"/>
      <c r="C205" s="31"/>
      <c r="D205" s="31"/>
      <c r="E205" s="31"/>
      <c r="F205" s="31"/>
      <c r="G205" s="31"/>
      <c r="H205" s="13"/>
      <c r="I205" s="13"/>
      <c r="J205" s="13"/>
      <c r="K205" s="13"/>
      <c r="L205" s="13"/>
      <c r="M205" s="13"/>
      <c r="N205" s="13"/>
      <c r="O205" s="13"/>
    </row>
    <row r="206" spans="1:23" x14ac:dyDescent="0.35">
      <c r="A206" s="13"/>
      <c r="B206" s="30"/>
      <c r="C206" s="31"/>
      <c r="D206" s="31"/>
      <c r="E206" s="31"/>
      <c r="F206" s="31"/>
      <c r="G206" s="31"/>
      <c r="H206" s="13"/>
      <c r="I206" s="13"/>
      <c r="J206" s="13"/>
      <c r="K206" s="13"/>
      <c r="L206" s="13"/>
      <c r="M206" s="13"/>
      <c r="N206" s="13"/>
      <c r="O206" s="13"/>
    </row>
    <row r="207" spans="1:23" x14ac:dyDescent="0.35">
      <c r="A207" s="13"/>
      <c r="B207" s="30"/>
      <c r="C207" s="31"/>
      <c r="D207" s="31"/>
      <c r="E207" s="31"/>
      <c r="F207" s="31"/>
      <c r="G207" s="31"/>
      <c r="H207" s="13"/>
      <c r="I207" s="13"/>
      <c r="J207" s="13"/>
      <c r="K207" s="13"/>
      <c r="L207" s="13"/>
      <c r="M207" s="13"/>
      <c r="N207" s="13"/>
      <c r="O207" s="13"/>
    </row>
    <row r="208" spans="1:23" x14ac:dyDescent="0.35">
      <c r="A208" s="13"/>
      <c r="B208" s="30"/>
      <c r="C208" s="31"/>
      <c r="D208" s="31"/>
      <c r="E208" s="31"/>
      <c r="F208" s="31"/>
      <c r="G208" s="31"/>
      <c r="H208" s="13"/>
      <c r="I208" s="13"/>
      <c r="J208" s="13"/>
      <c r="K208" s="13"/>
      <c r="L208" s="13"/>
      <c r="M208" s="13"/>
      <c r="N208" s="13"/>
      <c r="O208" s="13"/>
    </row>
    <row r="209" spans="1:15" x14ac:dyDescent="0.35">
      <c r="A209" s="13"/>
      <c r="B209" s="30"/>
      <c r="C209" s="31"/>
      <c r="D209" s="31"/>
      <c r="E209" s="31"/>
      <c r="F209" s="31"/>
      <c r="G209" s="31"/>
      <c r="H209" s="13"/>
      <c r="I209" s="13"/>
      <c r="J209" s="13"/>
      <c r="K209" s="13"/>
      <c r="L209" s="13"/>
      <c r="M209" s="13"/>
      <c r="N209" s="13"/>
      <c r="O209" s="13"/>
    </row>
    <row r="210" spans="1:15" x14ac:dyDescent="0.35">
      <c r="A210" s="13"/>
      <c r="B210" s="30"/>
      <c r="C210" s="31"/>
      <c r="D210" s="31"/>
      <c r="E210" s="31"/>
      <c r="F210" s="31"/>
      <c r="G210" s="31"/>
      <c r="H210" s="13"/>
      <c r="I210" s="13"/>
      <c r="J210" s="13"/>
      <c r="K210" s="13"/>
      <c r="L210" s="13"/>
      <c r="M210" s="13"/>
      <c r="N210" s="13"/>
      <c r="O210" s="1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C29"/>
  <sheetViews>
    <sheetView workbookViewId="0">
      <selection activeCell="B17" sqref="B17"/>
    </sheetView>
  </sheetViews>
  <sheetFormatPr defaultRowHeight="14.5" x14ac:dyDescent="0.35"/>
  <cols>
    <col min="1" max="1" width="46.6328125" customWidth="1"/>
    <col min="2" max="2" width="26.6328125" customWidth="1"/>
    <col min="3" max="3" width="62" customWidth="1"/>
  </cols>
  <sheetData>
    <row r="1" spans="1:3" x14ac:dyDescent="0.35">
      <c r="A1" s="5" t="s">
        <v>318</v>
      </c>
      <c r="B1" s="5"/>
      <c r="C1" s="5"/>
    </row>
    <row r="2" spans="1:3" x14ac:dyDescent="0.35">
      <c r="A2" s="6" t="s">
        <v>319</v>
      </c>
      <c r="B2" s="227" t="str">
        <f>IF(OR(CONTROLE!$B$1="SELECIONE AQUI",CONTROLE!$B$1=""),"SELECIONE O METODO EM CONTROLE!B1",CONTROLE!$B$1)</f>
        <v>PC (Pedidos de Compra)</v>
      </c>
    </row>
    <row r="3" spans="1:3" x14ac:dyDescent="0.35">
      <c r="A3" s="5" t="s">
        <v>320</v>
      </c>
      <c r="B3" s="5"/>
      <c r="C3" s="5"/>
    </row>
    <row r="4" spans="1:3" x14ac:dyDescent="0.35">
      <c r="A4" s="6" t="s">
        <v>321</v>
      </c>
      <c r="B4" s="304">
        <f ca="1">IF(CONTROLE!$B$14="","",CONTROLE!$B$14)</f>
        <v>46295.818186689816</v>
      </c>
    </row>
    <row r="5" spans="1:3" x14ac:dyDescent="0.35">
      <c r="A5" s="6" t="s">
        <v>322</v>
      </c>
      <c r="B5" s="227" t="str">
        <f>IF(CONTROLE!$B$2="","",CONTROLE!$B$2)</f>
        <v>C1</v>
      </c>
    </row>
    <row r="6" spans="1:3" x14ac:dyDescent="0.35">
      <c r="A6" s="6" t="s">
        <v>323</v>
      </c>
      <c r="B6" s="187">
        <f>IF($B$5="C4",parametros!$I$6,IF($B$5="C3",parametros!$I$5,IF($B$5="C2",parametros!$I$4,IF($B$5="C1",parametros!$I$3,IF($B$5="C0",parametros!$I$2,"")))))</f>
        <v>0</v>
      </c>
    </row>
    <row r="7" spans="1:3" x14ac:dyDescent="0.35">
      <c r="A7" s="6" t="s">
        <v>324</v>
      </c>
      <c r="B7" s="187">
        <f ca="1">posicao_referencia!$I$6</f>
        <v>0</v>
      </c>
    </row>
    <row r="8" spans="1:3" ht="43.5" customHeight="1" x14ac:dyDescent="0.35">
      <c r="A8" s="6" t="s">
        <v>325</v>
      </c>
      <c r="B8" s="187">
        <f ca="1">IF(ISERROR(INDIRECT("CICLO_EM_EXECUCAO!A9")),"",IF(INDIRECT("CICLO_EM_EXECUCAO!A9")="","",INDIRECT("CICLO_EM_EXECUCAO!D5")))</f>
        <v>45657</v>
      </c>
      <c r="C8" s="311" t="s">
        <v>326</v>
      </c>
    </row>
    <row r="10" spans="1:3" x14ac:dyDescent="0.35">
      <c r="A10" s="5" t="s">
        <v>327</v>
      </c>
      <c r="B10" s="5"/>
      <c r="C10" s="5"/>
    </row>
    <row r="11" spans="1:3" x14ac:dyDescent="0.35">
      <c r="A11" s="6" t="s">
        <v>328</v>
      </c>
      <c r="B11" s="187">
        <f ca="1">posicao_referencia!$I$5</f>
        <v>45657</v>
      </c>
    </row>
    <row r="12" spans="1:3" x14ac:dyDescent="0.35">
      <c r="A12" s="6" t="s">
        <v>329</v>
      </c>
      <c r="B12" s="33" t="str">
        <f>IFERROR(LOOKUP(2,1/(ISNUMBER(financeiro!$A$2:$A$200)*ISNUMBER(financeiro!$C$2:$C$200)),financeiro!$A$2:$A$200),"")</f>
        <v/>
      </c>
    </row>
    <row r="13" spans="1:3" x14ac:dyDescent="0.35">
      <c r="A13" s="6" t="s">
        <v>330</v>
      </c>
      <c r="B13" s="305"/>
    </row>
    <row r="14" spans="1:3" ht="43.5" customHeight="1" x14ac:dyDescent="0.35">
      <c r="A14" s="6" t="s">
        <v>331</v>
      </c>
      <c r="B14" s="187">
        <f>IFERROR(IF(COUNT(itens_PC!$B$2:$B$5001)=0,"",IF(NOT(ISNUMBER(CONTROLE!$B$3)),MAX(itens_PC!$B$2:$B$5001),IF(COUNTIFS(itens_PC!$B$2:$B$5001,"&lt;="&amp;CONTROLE!$B$3,itens_PC!$B$2:$B$5001,"&gt;0")=0,"",SUMPRODUCT(MAX((itens_PC!$B$2:$B$5001&lt;=CONTROLE!$B$3)*(itens_PC!$B$2:$B$5001&gt;0)*itens_PC!$B$2:$B$5001))))),"")</f>
        <v>45565</v>
      </c>
      <c r="C14" s="311" t="s">
        <v>332</v>
      </c>
    </row>
    <row r="15" spans="1:3" x14ac:dyDescent="0.35">
      <c r="A15" s="6" t="s">
        <v>333</v>
      </c>
      <c r="B15" s="305">
        <v>45657</v>
      </c>
    </row>
    <row r="16" spans="1:3" x14ac:dyDescent="0.35">
      <c r="A16" s="6" t="s">
        <v>334</v>
      </c>
      <c r="B16" s="188">
        <f ca="1">IF(MAX($B$11,$B$13,$B$15)=0,"",MAX($B$11,$B$13,$B$15)+1)</f>
        <v>45658</v>
      </c>
    </row>
    <row r="17" spans="1:3" ht="29" customHeight="1" x14ac:dyDescent="0.35">
      <c r="A17" s="6" t="s">
        <v>335</v>
      </c>
      <c r="B17" s="227" t="str">
        <f>IFERROR(IF(COUNT(itens_PC!$B$2:$B$5001)=0,"NAO",IF(NOT(ISNUMBER(CONTROLE!$B$3)),"NAO",IF(COUNTIFS(itens_PC!$B$2:$B$5001,"&gt;"&amp;CONTROLE!$B$3)=0,"NAO","SIM - ULTIMO PC CADASTRADO EM "&amp;(RIGHT("0"&amp;DAY(MAX(itens_PC!$B$2:$B$5001)),2)&amp;"/"&amp;RIGHT("0"&amp;MONTH(MAX(itens_PC!$B$2:$B$5001)),2)&amp;"/"&amp;YEAR(MAX(itens_PC!$B$2:$B$5001)))))),"NAO")</f>
        <v>NAO</v>
      </c>
      <c r="C17" s="311" t="s">
        <v>336</v>
      </c>
    </row>
    <row r="18" spans="1:3" x14ac:dyDescent="0.35">
      <c r="A18" s="5" t="s">
        <v>337</v>
      </c>
      <c r="B18" s="5"/>
      <c r="C18" s="5"/>
    </row>
    <row r="19" spans="1:3" x14ac:dyDescent="0.35">
      <c r="A19" s="6" t="s">
        <v>338</v>
      </c>
      <c r="B19" s="227" t="str">
        <f ca="1">IF(AND(posicao_referencia!$I$2,NOT((AND($B$12&lt;&gt;"",$B$11&lt;&gt;"",$B$12&gt;$B$11))),NOT((AND($B$14&lt;&gt;"",$B$11&lt;&gt;"",$B$14&gt;$B$11)))),"POSICAO_ATUAL",IF(AND((AND($B$12&lt;&gt;"",$B$11&lt;&gt;"",$B$12&gt;$B$11)),(AND($B$14&lt;&gt;"",$B$11&lt;&gt;"",$B$14&gt;$B$11))),"HIBRIDO_TEMPORAL",IF((AND($B$12&lt;&gt;"",$B$11&lt;&gt;"",$B$12&gt;$B$11)),"FINANCEIRO_POSTERIOR",IF((AND($B$14&lt;&gt;"",$B$11&lt;&gt;"",$B$14&gt;$B$11)),"PC_POSTERIOR","POSICAO_DE_CORTE"))))</f>
        <v>POSICAO_ATUAL</v>
      </c>
    </row>
    <row r="20" spans="1:3" x14ac:dyDescent="0.35">
      <c r="A20" s="6" t="s">
        <v>339</v>
      </c>
      <c r="B20" s="227" t="str">
        <f>IF($B$12&lt;&gt;"","Financeiro",IF($B$14&lt;&gt;"","PC",""))</f>
        <v>PC</v>
      </c>
    </row>
    <row r="21" spans="1:3" x14ac:dyDescent="0.35">
      <c r="A21" s="6" t="s">
        <v>340</v>
      </c>
      <c r="B21" s="187">
        <f ca="1">posicao_referencia!$I$5</f>
        <v>45657</v>
      </c>
    </row>
    <row r="22" spans="1:3" x14ac:dyDescent="0.35">
      <c r="A22" s="6" t="s">
        <v>341</v>
      </c>
      <c r="B22" s="227" t="str">
        <f ca="1">posicao_referencia!$I$8</f>
        <v>POSICAO FISICA INFORMADA - 31/12/2024</v>
      </c>
    </row>
    <row r="23" spans="1:3" x14ac:dyDescent="0.35">
      <c r="A23" s="6" t="s">
        <v>342</v>
      </c>
      <c r="B23" s="306" t="str">
        <f ca="1">IF($B$16="","NAO PROJETADO (posicao observada mantida)","ESTIMATIVA a partir de "&amp;(RIGHT("0"&amp;DAY($B$16),2)&amp;"/"&amp;RIGHT("0"&amp;MONTH($B$16),2)&amp;"/"&amp;YEAR($B$16))&amp;" - nao observada, nao cria retroativo a pagar")</f>
        <v>ESTIMATIVA a partir de 01/01/2025 - nao observada, nao cria retroativo a pagar</v>
      </c>
    </row>
    <row r="25" spans="1:3" x14ac:dyDescent="0.35">
      <c r="A25" s="467" t="s">
        <v>343</v>
      </c>
      <c r="B25" s="468"/>
      <c r="C25" s="469"/>
    </row>
    <row r="26" spans="1:3" x14ac:dyDescent="0.35">
      <c r="A26" s="307" t="s">
        <v>344</v>
      </c>
      <c r="B26" s="474" t="s">
        <v>345</v>
      </c>
      <c r="C26" s="475"/>
    </row>
    <row r="27" spans="1:3" x14ac:dyDescent="0.35">
      <c r="A27" s="308" t="s">
        <v>346</v>
      </c>
      <c r="B27" s="476" t="s">
        <v>347</v>
      </c>
      <c r="C27" s="473"/>
    </row>
    <row r="28" spans="1:3" x14ac:dyDescent="0.35">
      <c r="A28" s="309" t="s">
        <v>348</v>
      </c>
      <c r="B28" s="472" t="s">
        <v>349</v>
      </c>
      <c r="C28" s="473"/>
    </row>
    <row r="29" spans="1:3" x14ac:dyDescent="0.35">
      <c r="A29" s="310" t="s">
        <v>350</v>
      </c>
      <c r="B29" s="470" t="s">
        <v>351</v>
      </c>
      <c r="C29" s="471"/>
    </row>
  </sheetData>
  <mergeCells count="5">
    <mergeCell ref="A25:C25"/>
    <mergeCell ref="B29:C29"/>
    <mergeCell ref="B28:C28"/>
    <mergeCell ref="B26:C26"/>
    <mergeCell ref="B27:C27"/>
  </mergeCells>
  <dataValidations count="2">
    <dataValidation type="date" allowBlank="1" showInputMessage="1" showErrorMessage="1" error="Informe uma data valida (dd/mm/aaaa)." promptTitle="Financeiro confirmado (GCC)" prompt="Data ate a qual a cobertura FINANCEIRA e CONFIRMADA completa (GCC). Vazio = cobertura completa NAO confirmada; usa-se so a ultima evidencia." sqref="B13" xr:uid="{00000000-0002-0000-0D00-000000000000}">
      <formula1>32874</formula1>
      <formula2>109574</formula2>
    </dataValidation>
    <dataValidation type="date" allowBlank="1" showInputMessage="1" showErrorMessage="1" error="Informe uma data valida (dd/mm/aaaa)." promptTitle="PC confirmado (GCC)" prompt="Data ate a qual a cobertura de PCs e CONFIRMADA completa (GCC). PC nao admite inferencia automatica: vazio = completude NAO confirmada." sqref="B15" xr:uid="{00000000-0002-0000-0D00-000001000000}">
      <formula1>32874</formula1>
      <formula2>109574</formula2>
    </dataValidation>
  </dataValidation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AD282"/>
  <sheetViews>
    <sheetView showGridLines="0" workbookViewId="0">
      <selection activeCell="V60" sqref="V60:W60"/>
    </sheetView>
  </sheetViews>
  <sheetFormatPr defaultRowHeight="14.5" outlineLevelRow="1" x14ac:dyDescent="0.35"/>
  <cols>
    <col min="1" max="1" width="30" customWidth="1"/>
    <col min="2" max="2" width="18" customWidth="1"/>
    <col min="3" max="3" width="23" customWidth="1"/>
    <col min="4" max="5" width="22" customWidth="1"/>
    <col min="6" max="6" width="30" customWidth="1"/>
    <col min="7" max="7" width="24" hidden="1" customWidth="1"/>
    <col min="8" max="8" width="20" hidden="1" customWidth="1"/>
    <col min="9" max="9" width="16" hidden="1" customWidth="1"/>
    <col min="10" max="10" width="30" hidden="1" customWidth="1"/>
    <col min="11" max="14" width="17" hidden="1" customWidth="1"/>
    <col min="15" max="15" width="18" hidden="1" customWidth="1"/>
    <col min="16" max="17" width="18" customWidth="1"/>
    <col min="19" max="20" width="13" hidden="1" customWidth="1"/>
    <col min="24" max="25" width="13" hidden="1" customWidth="1"/>
  </cols>
  <sheetData>
    <row r="1" spans="1:30" ht="28" customHeight="1" x14ac:dyDescent="0.35">
      <c r="A1" s="477" t="s">
        <v>352</v>
      </c>
      <c r="B1" s="425"/>
      <c r="C1" s="425"/>
      <c r="D1" s="425"/>
      <c r="E1" s="425"/>
      <c r="F1" s="425"/>
      <c r="G1" s="425"/>
      <c r="H1" s="425"/>
      <c r="I1" s="425"/>
      <c r="J1" s="425"/>
      <c r="K1" s="57"/>
      <c r="L1" s="57"/>
      <c r="M1" s="57"/>
      <c r="N1" s="57"/>
      <c r="O1" s="57"/>
      <c r="P1" s="57"/>
      <c r="Q1" s="57"/>
      <c r="X1" t="s">
        <v>353</v>
      </c>
      <c r="Y1" t="s">
        <v>354</v>
      </c>
      <c r="AB1" t="s">
        <v>355</v>
      </c>
    </row>
    <row r="2" spans="1:30" ht="34" customHeight="1" x14ac:dyDescent="0.35">
      <c r="A2" s="484" t="s">
        <v>356</v>
      </c>
      <c r="B2" s="425"/>
      <c r="C2" s="425"/>
      <c r="D2" s="425"/>
      <c r="E2" s="425"/>
      <c r="F2" s="425"/>
      <c r="G2" s="425"/>
      <c r="H2" s="425"/>
      <c r="I2" s="425"/>
      <c r="J2" s="425"/>
      <c r="K2" s="57"/>
      <c r="L2" s="57"/>
      <c r="M2" s="57"/>
      <c r="N2" s="57"/>
      <c r="O2" s="57"/>
      <c r="P2" s="57"/>
      <c r="Q2" s="57"/>
      <c r="X2">
        <f>IF(posicao_contratual!$A2="",0,IF(AND(ISNUMBER(posicao_contratual!$Y2),posicao_contratual!$Y2&gt;0),0,IF(AND(ISNUMBER(posicao_contratual!$G2),ISNUMBER(posicao_contratual!$K2),ISNUMBER(historico_VU!$C2)),((posicao_contratual!$G2-N(posicao_contratual!$AB2))-(posicao_contratual!$K2-N(posicao_contratual!$AC2)))*historico_VU!$C2,"")))</f>
        <v>0</v>
      </c>
      <c r="Y2">
        <f>IF(OR(posicao_contratual!$A2="",$T$20=""),0,IF(AND(ISNUMBER(CHOOSE($T$20+1,historico_VU!$C2,historico_VU!$D2,historico_VU!$E2,historico_VU!$F2,historico_VU!$G2)),ISNUMBER(CHOOSE($T$20+1,posicao_contratual!$G2,posicao_contratual!$K2,posicao_contratual!$O2,posicao_contratual!$S2,posicao_contratual!$W2))),ROUND(ROUND(CHOOSE($T$20+1,historico_VU!$C2,historico_VU!$D2,historico_VU!$E2,historico_VU!$F2,historico_VU!$G2),2)*CHOOSE($T$20+1,posicao_contratual!$G2,posicao_contratual!$K2,posicao_contratual!$O2,posicao_contratual!$S2,posicao_contratual!$W2),2),""))</f>
        <v>31536</v>
      </c>
      <c r="AB2">
        <f>IF(OR(posicao_contratual!$A2="",$W$46=""),0,IF(AND(ISNUMBER(CHOOSE($W$46+1,historico_VU!$C2,historico_VU!$D2,historico_VU!$E2,historico_VU!$F2,historico_VU!$G2)),ISNUMBER(CHOOSE($W$46+1,posicao_contratual!$G2,posicao_contratual!$K2,posicao_contratual!$O2,posicao_contratual!$S2,posicao_contratual!$W2))),ROUND(ROUND(CHOOSE($W$46+1,historico_VU!$C2,historico_VU!$D2,historico_VU!$E2,historico_VU!$F2,historico_VU!$G2),2)*CHOOSE($W$46+1,posicao_contratual!$G2,posicao_contratual!$K2,posicao_contratual!$O2,posicao_contratual!$S2,posicao_contratual!$W2),2),""))</f>
        <v>31536</v>
      </c>
      <c r="AC2">
        <f>IF(OR(posicao_contratual!$A2="",$W$46=""),0,IF(OR($AB2="",$AD2=""),"",ROUND($AB2-$AD2,2)))</f>
        <v>31536</v>
      </c>
      <c r="AD2">
        <f>IF(OR(posicao_contratual!$A2="",$W$46=""),0,IF($AB2="","",IF(NOT(ISNUMBER(CHOOSE($W$46+1,posicao_contratual!$AB2,posicao_contratual!$AC2,posicao_contratual!$AD2,posicao_contratual!$AE2,posicao_contratual!$AF2))),0,ROUND(ROUND(CHOOSE($W$46+1,historico_VU!$C2,historico_VU!$D2,historico_VU!$E2,historico_VU!$F2,historico_VU!$G2),2)*CHOOSE($W$46+1,posicao_contratual!$AB2,posicao_contratual!$AC2,posicao_contratual!$AD2,posicao_contratual!$AE2,posicao_contratual!$AF2),2))))</f>
        <v>0</v>
      </c>
    </row>
    <row r="3" spans="1:30" x14ac:dyDescent="0.35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X3">
        <f>IF(posicao_contratual!$A3="",0,IF(AND(ISNUMBER(posicao_contratual!$Y3),posicao_contratual!$Y3&gt;0),0,IF(AND(ISNUMBER(posicao_contratual!$G3),ISNUMBER(posicao_contratual!$K3),ISNUMBER(historico_VU!$C3)),((posicao_contratual!$G3-N(posicao_contratual!$AB3))-(posicao_contratual!$K3-N(posicao_contratual!$AC3)))*historico_VU!$C3,"")))</f>
        <v>0</v>
      </c>
      <c r="Y3">
        <f>IF(OR(posicao_contratual!$A3="",$T$20=""),0,IF(AND(ISNUMBER(CHOOSE($T$20+1,historico_VU!$C3,historico_VU!$D3,historico_VU!$E3,historico_VU!$F3,historico_VU!$G3)),ISNUMBER(CHOOSE($T$20+1,posicao_contratual!$G3,posicao_contratual!$K3,posicao_contratual!$O3,posicao_contratual!$S3,posicao_contratual!$W3))),ROUND(ROUND(CHOOSE($T$20+1,historico_VU!$C3,historico_VU!$D3,historico_VU!$E3,historico_VU!$F3,historico_VU!$G3),2)*CHOOSE($T$20+1,posicao_contratual!$G3,posicao_contratual!$K3,posicao_contratual!$O3,posicao_contratual!$S3,posicao_contratual!$W3),2),""))</f>
        <v>126144</v>
      </c>
      <c r="AB3">
        <f>IF(OR(posicao_contratual!$A3="",$W$46=""),0,IF(AND(ISNUMBER(CHOOSE($W$46+1,historico_VU!$C3,historico_VU!$D3,historico_VU!$E3,historico_VU!$F3,historico_VU!$G3)),ISNUMBER(CHOOSE($W$46+1,posicao_contratual!$G3,posicao_contratual!$K3,posicao_contratual!$O3,posicao_contratual!$S3,posicao_contratual!$W3))),ROUND(ROUND(CHOOSE($W$46+1,historico_VU!$C3,historico_VU!$D3,historico_VU!$E3,historico_VU!$F3,historico_VU!$G3),2)*CHOOSE($W$46+1,posicao_contratual!$G3,posicao_contratual!$K3,posicao_contratual!$O3,posicao_contratual!$S3,posicao_contratual!$W3),2),""))</f>
        <v>126144</v>
      </c>
      <c r="AC3">
        <f>IF(OR(posicao_contratual!$A3="",$W$46=""),0,IF(OR($AB3="",$AD3=""),"",ROUND($AB3-$AD3,2)))</f>
        <v>126144</v>
      </c>
      <c r="AD3">
        <f>IF(OR(posicao_contratual!$A3="",$W$46=""),0,IF($AB3="","",IF(NOT(ISNUMBER(CHOOSE($W$46+1,posicao_contratual!$AB3,posicao_contratual!$AC3,posicao_contratual!$AD3,posicao_contratual!$AE3,posicao_contratual!$AF3))),0,ROUND(ROUND(CHOOSE($W$46+1,historico_VU!$C3,historico_VU!$D3,historico_VU!$E3,historico_VU!$F3,historico_VU!$G3),2)*CHOOSE($W$46+1,posicao_contratual!$AB3,posicao_contratual!$AC3,posicao_contratual!$AD3,posicao_contratual!$AE3,posicao_contratual!$AF3),2))))</f>
        <v>0</v>
      </c>
    </row>
    <row r="4" spans="1:30" ht="24" customHeight="1" x14ac:dyDescent="0.35">
      <c r="A4" s="115" t="s">
        <v>357</v>
      </c>
      <c r="B4" s="183" t="str">
        <f>IF(OR(CONTROLE!$B$1="SELECIONE AQUI",CONTROLE!$B$1=""),"SELECIONE O METODO EM CONTROLE!B1",IF(OR(ISNUMBER(SEARCH("Financeiro",CONTROLE!$B$1)),ISNUMBER(SEARCH("Principal",CONTROLE!$B$1))),"Financeiro",IF(OR(ISNUMBER(SEARCH("Pedido",CONTROLE!$B$1)),ISNUMBER(SEARCH("PC",CONTROLE!$B$1))),"PCs",IF(ISNUMBER(SEARCH("Itens",CONTROLE!$B$1)),"Itens","SELECIONE O METODO EM CONTROLE!B1"))))</f>
        <v>PCs</v>
      </c>
      <c r="C4" s="115" t="s">
        <v>358</v>
      </c>
      <c r="D4" s="116">
        <v>5.0000000000000001E-3</v>
      </c>
      <c r="E4" s="115" t="s">
        <v>359</v>
      </c>
      <c r="F4" s="117" t="str">
        <f>UPPER(CONTROLE!B2)</f>
        <v>C1</v>
      </c>
      <c r="G4" s="115" t="s">
        <v>360</v>
      </c>
      <c r="H4" s="117" t="str">
        <f>IF($B$4="Itens","Itens",IF($B$4="PCs","PCs","Informado"))</f>
        <v>PCs</v>
      </c>
      <c r="I4" s="115" t="s">
        <v>361</v>
      </c>
      <c r="J4" s="117" t="str">
        <f ca="1">IF(OR(E26="MANUAL VALIDADO",E26="CALCULADO — CONFERIR",E26="VTA COM AJUSTE MANUAL — CONFERIR"),IF(OR(F16="CALCULADO — CONFERIR",F16="MANUAL VALIDADO"),IF(OR(F36="CALCULADO — CONFERIR",F36="BASE ÚNICA — CONFERIR"),"CONSOLIDADO — CONFERIR",F36),F16),E26)</f>
        <v>CONSOLIDADO — CONFERIR</v>
      </c>
      <c r="K4" s="57"/>
      <c r="L4" s="57"/>
      <c r="M4" s="57"/>
      <c r="N4" s="57"/>
      <c r="O4" s="57"/>
      <c r="P4" s="57"/>
      <c r="Q4" s="57"/>
      <c r="X4">
        <f>IF(posicao_contratual!$A4="",0,IF(AND(ISNUMBER(posicao_contratual!$Y4),posicao_contratual!$Y4&gt;0),0,IF(AND(ISNUMBER(posicao_contratual!$G4),ISNUMBER(posicao_contratual!$K4),ISNUMBER(historico_VU!$C4)),((posicao_contratual!$G4-N(posicao_contratual!$AB4))-(posicao_contratual!$K4-N(posicao_contratual!$AC4)))*historico_VU!$C4,"")))</f>
        <v>0</v>
      </c>
      <c r="Y4">
        <f>IF(OR(posicao_contratual!$A4="",$T$20=""),0,IF(AND(ISNUMBER(CHOOSE($T$20+1,historico_VU!$C4,historico_VU!$D4,historico_VU!$E4,historico_VU!$F4,historico_VU!$G4)),ISNUMBER(CHOOSE($T$20+1,posicao_contratual!$G4,posicao_contratual!$K4,posicao_contratual!$O4,posicao_contratual!$S4,posicao_contratual!$W4))),ROUND(ROUND(CHOOSE($T$20+1,historico_VU!$C4,historico_VU!$D4,historico_VU!$E4,historico_VU!$F4,historico_VU!$G4),2)*CHOOSE($T$20+1,posicao_contratual!$G4,posicao_contratual!$K4,posicao_contratual!$O4,posicao_contratual!$S4,posicao_contratual!$W4),2),""))</f>
        <v>134553.60000000001</v>
      </c>
      <c r="AB4">
        <f>IF(OR(posicao_contratual!$A4="",$W$46=""),0,IF(AND(ISNUMBER(CHOOSE($W$46+1,historico_VU!$C4,historico_VU!$D4,historico_VU!$E4,historico_VU!$F4,historico_VU!$G4)),ISNUMBER(CHOOSE($W$46+1,posicao_contratual!$G4,posicao_contratual!$K4,posicao_contratual!$O4,posicao_contratual!$S4,posicao_contratual!$W4))),ROUND(ROUND(CHOOSE($W$46+1,historico_VU!$C4,historico_VU!$D4,historico_VU!$E4,historico_VU!$F4,historico_VU!$G4),2)*CHOOSE($W$46+1,posicao_contratual!$G4,posicao_contratual!$K4,posicao_contratual!$O4,posicao_contratual!$S4,posicao_contratual!$W4),2),""))</f>
        <v>134553.60000000001</v>
      </c>
      <c r="AC4">
        <f>IF(OR(posicao_contratual!$A4="",$W$46=""),0,IF(OR($AB4="",$AD4=""),"",ROUND($AB4-$AD4,2)))</f>
        <v>134553.60000000001</v>
      </c>
      <c r="AD4">
        <f>IF(OR(posicao_contratual!$A4="",$W$46=""),0,IF($AB4="","",IF(NOT(ISNUMBER(CHOOSE($W$46+1,posicao_contratual!$AB4,posicao_contratual!$AC4,posicao_contratual!$AD4,posicao_contratual!$AE4,posicao_contratual!$AF4))),0,ROUND(ROUND(CHOOSE($W$46+1,historico_VU!$C4,historico_VU!$D4,historico_VU!$E4,historico_VU!$F4,historico_VU!$G4),2)*CHOOSE($W$46+1,posicao_contratual!$AB4,posicao_contratual!$AC4,posicao_contratual!$AD4,posicao_contratual!$AE4,posicao_contratual!$AF4),2))))</f>
        <v>0</v>
      </c>
    </row>
    <row r="5" spans="1:30" ht="24" customHeight="1" x14ac:dyDescent="0.35">
      <c r="A5" s="115" t="s">
        <v>362</v>
      </c>
      <c r="B5" s="60" t="str">
        <f>IF(AND(RESULTADOS!$G$43="Sim",RESULTADOS!$C$43&lt;&gt;""),RESULTADOS!$C$43,"")</f>
        <v/>
      </c>
      <c r="C5" s="115" t="s">
        <v>363</v>
      </c>
      <c r="D5" s="487" t="str">
        <f>IF(AND(RESULTADOS!$G$43="Sim",RESULTADOS!$D$43&lt;&gt;""),RESULTADOS!$D$43,"")</f>
        <v/>
      </c>
      <c r="E5" s="488"/>
      <c r="F5" s="488"/>
      <c r="G5" s="488"/>
      <c r="H5" s="488"/>
      <c r="I5" s="488"/>
      <c r="J5" s="489"/>
      <c r="K5" s="57"/>
      <c r="L5" s="57"/>
      <c r="M5" s="57"/>
      <c r="N5" s="57"/>
      <c r="O5" s="57"/>
      <c r="P5" s="57"/>
      <c r="Q5" s="57"/>
      <c r="X5">
        <f>IF(posicao_contratual!$A5="",0,IF(AND(ISNUMBER(posicao_contratual!$Y5),posicao_contratual!$Y5&gt;0),0,IF(AND(ISNUMBER(posicao_contratual!$G5),ISNUMBER(posicao_contratual!$K5),ISNUMBER(historico_VU!$C5)),((posicao_contratual!$G5-N(posicao_contratual!$AB5))-(posicao_contratual!$K5-N(posicao_contratual!$AC5)))*historico_VU!$C5,"")))</f>
        <v>0</v>
      </c>
      <c r="Y5">
        <f>IF(OR(posicao_contratual!$A5="",$T$20=""),0,IF(AND(ISNUMBER(CHOOSE($T$20+1,historico_VU!$C5,historico_VU!$D5,historico_VU!$E5,historico_VU!$F5,historico_VU!$G5)),ISNUMBER(CHOOSE($T$20+1,posicao_contratual!$G5,posicao_contratual!$K5,posicao_contratual!$O5,posicao_contratual!$S5,posicao_contratual!$W5))),ROUND(ROUND(CHOOSE($T$20+1,historico_VU!$C5,historico_VU!$D5,historico_VU!$E5,historico_VU!$F5,historico_VU!$G5),2)*CHOOSE($T$20+1,posicao_contratual!$G5,posicao_contratual!$K5,posicao_contratual!$O5,posicao_contratual!$S5,posicao_contratual!$W5),2),""))</f>
        <v>0</v>
      </c>
      <c r="AB5">
        <f>IF(OR(posicao_contratual!$A5="",$W$46=""),0,IF(AND(ISNUMBER(CHOOSE($W$46+1,historico_VU!$C5,historico_VU!$D5,historico_VU!$E5,historico_VU!$F5,historico_VU!$G5)),ISNUMBER(CHOOSE($W$46+1,posicao_contratual!$G5,posicao_contratual!$K5,posicao_contratual!$O5,posicao_contratual!$S5,posicao_contratual!$W5))),ROUND(ROUND(CHOOSE($W$46+1,historico_VU!$C5,historico_VU!$D5,historico_VU!$E5,historico_VU!$F5,historico_VU!$G5),2)*CHOOSE($W$46+1,posicao_contratual!$G5,posicao_contratual!$K5,posicao_contratual!$O5,posicao_contratual!$S5,posicao_contratual!$W5),2),""))</f>
        <v>0</v>
      </c>
      <c r="AC5">
        <f>IF(OR(posicao_contratual!$A5="",$W$46=""),0,IF(OR($AB5="",$AD5=""),"",ROUND($AB5-$AD5,2)))</f>
        <v>0</v>
      </c>
      <c r="AD5">
        <f>IF(OR(posicao_contratual!$A5="",$W$46=""),0,IF($AB5="","",IF(NOT(ISNUMBER(CHOOSE($W$46+1,posicao_contratual!$AB5,posicao_contratual!$AC5,posicao_contratual!$AD5,posicao_contratual!$AE5,posicao_contratual!$AF5))),0,ROUND(ROUND(CHOOSE($W$46+1,historico_VU!$C5,historico_VU!$D5,historico_VU!$E5,historico_VU!$F5,historico_VU!$G5),2)*CHOOSE($W$46+1,posicao_contratual!$AB5,posicao_contratual!$AC5,posicao_contratual!$AD5,posicao_contratual!$AE5,posicao_contratual!$AF5),2))))</f>
        <v>0</v>
      </c>
    </row>
    <row r="6" spans="1:30" ht="34" customHeight="1" x14ac:dyDescent="0.35">
      <c r="A6" s="482" t="s">
        <v>364</v>
      </c>
      <c r="B6" s="425"/>
      <c r="C6" s="425"/>
      <c r="D6" s="425"/>
      <c r="E6" s="425"/>
      <c r="F6" s="425"/>
      <c r="G6" s="425"/>
      <c r="H6" s="425"/>
      <c r="I6" s="425"/>
      <c r="J6" s="425"/>
      <c r="K6" s="57"/>
      <c r="L6" s="57"/>
      <c r="M6" s="57"/>
      <c r="N6" s="57"/>
      <c r="O6" s="57"/>
      <c r="P6" s="57"/>
      <c r="Q6" s="57"/>
      <c r="X6">
        <f>IF(posicao_contratual!$A6="",0,IF(AND(ISNUMBER(posicao_contratual!$Y6),posicao_contratual!$Y6&gt;0),0,IF(AND(ISNUMBER(posicao_contratual!$G6),ISNUMBER(posicao_contratual!$K6),ISNUMBER(historico_VU!$C6)),((posicao_contratual!$G6-N(posicao_contratual!$AB6))-(posicao_contratual!$K6-N(posicao_contratual!$AC6)))*historico_VU!$C6,"")))</f>
        <v>0</v>
      </c>
      <c r="Y6">
        <f>IF(OR(posicao_contratual!$A6="",$T$20=""),0,IF(AND(ISNUMBER(CHOOSE($T$20+1,historico_VU!$C6,historico_VU!$D6,historico_VU!$E6,historico_VU!$F6,historico_VU!$G6)),ISNUMBER(CHOOSE($T$20+1,posicao_contratual!$G6,posicao_contratual!$K6,posicao_contratual!$O6,posicao_contratual!$S6,posicao_contratual!$W6))),ROUND(ROUND(CHOOSE($T$20+1,historico_VU!$C6,historico_VU!$D6,historico_VU!$E6,historico_VU!$F6,historico_VU!$G6),2)*CHOOSE($T$20+1,posicao_contratual!$G6,posicao_contratual!$K6,posicao_contratual!$O6,posicao_contratual!$S6,posicao_contratual!$W6),2),""))</f>
        <v>0</v>
      </c>
      <c r="AB6">
        <f>IF(OR(posicao_contratual!$A6="",$W$46=""),0,IF(AND(ISNUMBER(CHOOSE($W$46+1,historico_VU!$C6,historico_VU!$D6,historico_VU!$E6,historico_VU!$F6,historico_VU!$G6)),ISNUMBER(CHOOSE($W$46+1,posicao_contratual!$G6,posicao_contratual!$K6,posicao_contratual!$O6,posicao_contratual!$S6,posicao_contratual!$W6))),ROUND(ROUND(CHOOSE($W$46+1,historico_VU!$C6,historico_VU!$D6,historico_VU!$E6,historico_VU!$F6,historico_VU!$G6),2)*CHOOSE($W$46+1,posicao_contratual!$G6,posicao_contratual!$K6,posicao_contratual!$O6,posicao_contratual!$S6,posicao_contratual!$W6),2),""))</f>
        <v>0</v>
      </c>
      <c r="AC6">
        <f>IF(OR(posicao_contratual!$A6="",$W$46=""),0,IF(OR($AB6="",$AD6=""),"",ROUND($AB6-$AD6,2)))</f>
        <v>0</v>
      </c>
      <c r="AD6">
        <f>IF(OR(posicao_contratual!$A6="",$W$46=""),0,IF($AB6="","",IF(NOT(ISNUMBER(CHOOSE($W$46+1,posicao_contratual!$AB6,posicao_contratual!$AC6,posicao_contratual!$AD6,posicao_contratual!$AE6,posicao_contratual!$AF6))),0,ROUND(ROUND(CHOOSE($W$46+1,historico_VU!$C6,historico_VU!$D6,historico_VU!$E6,historico_VU!$F6,historico_VU!$G6),2)*CHOOSE($W$46+1,posicao_contratual!$AB6,posicao_contratual!$AC6,posicao_contratual!$AD6,posicao_contratual!$AE6,posicao_contratual!$AF6),2))))</f>
        <v>0</v>
      </c>
    </row>
    <row r="7" spans="1:30" x14ac:dyDescent="0.35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X7">
        <f>IF(posicao_contratual!$A7="",0,IF(AND(ISNUMBER(posicao_contratual!$Y7),posicao_contratual!$Y7&gt;0),0,IF(AND(ISNUMBER(posicao_contratual!$G7),ISNUMBER(posicao_contratual!$K7),ISNUMBER(historico_VU!$C7)),((posicao_contratual!$G7-N(posicao_contratual!$AB7))-(posicao_contratual!$K7-N(posicao_contratual!$AC7)))*historico_VU!$C7,"")))</f>
        <v>0</v>
      </c>
      <c r="Y7">
        <f>IF(OR(posicao_contratual!$A7="",$T$20=""),0,IF(AND(ISNUMBER(CHOOSE($T$20+1,historico_VU!$C7,historico_VU!$D7,historico_VU!$E7,historico_VU!$F7,historico_VU!$G7)),ISNUMBER(CHOOSE($T$20+1,posicao_contratual!$G7,posicao_contratual!$K7,posicao_contratual!$O7,posicao_contratual!$S7,posicao_contratual!$W7))),ROUND(ROUND(CHOOSE($T$20+1,historico_VU!$C7,historico_VU!$D7,historico_VU!$E7,historico_VU!$F7,historico_VU!$G7),2)*CHOOSE($T$20+1,posicao_contratual!$G7,posicao_contratual!$K7,posicao_contratual!$O7,posicao_contratual!$S7,posicao_contratual!$W7),2),""))</f>
        <v>0</v>
      </c>
      <c r="AB7">
        <f>IF(OR(posicao_contratual!$A7="",$W$46=""),0,IF(AND(ISNUMBER(CHOOSE($W$46+1,historico_VU!$C7,historico_VU!$D7,historico_VU!$E7,historico_VU!$F7,historico_VU!$G7)),ISNUMBER(CHOOSE($W$46+1,posicao_contratual!$G7,posicao_contratual!$K7,posicao_contratual!$O7,posicao_contratual!$S7,posicao_contratual!$W7))),ROUND(ROUND(CHOOSE($W$46+1,historico_VU!$C7,historico_VU!$D7,historico_VU!$E7,historico_VU!$F7,historico_VU!$G7),2)*CHOOSE($W$46+1,posicao_contratual!$G7,posicao_contratual!$K7,posicao_contratual!$O7,posicao_contratual!$S7,posicao_contratual!$W7),2),""))</f>
        <v>0</v>
      </c>
      <c r="AC7">
        <f>IF(OR(posicao_contratual!$A7="",$W$46=""),0,IF(OR($AB7="",$AD7=""),"",ROUND($AB7-$AD7,2)))</f>
        <v>0</v>
      </c>
      <c r="AD7">
        <f>IF(OR(posicao_contratual!$A7="",$W$46=""),0,IF($AB7="","",IF(NOT(ISNUMBER(CHOOSE($W$46+1,posicao_contratual!$AB7,posicao_contratual!$AC7,posicao_contratual!$AD7,posicao_contratual!$AE7,posicao_contratual!$AF7))),0,ROUND(ROUND(CHOOSE($W$46+1,historico_VU!$C7,historico_VU!$D7,historico_VU!$E7,historico_VU!$F7,historico_VU!$G7),2)*CHOOSE($W$46+1,posicao_contratual!$AB7,posicao_contratual!$AC7,posicao_contratual!$AD7,posicao_contratual!$AE7,posicao_contratual!$AF7),2))))</f>
        <v>0</v>
      </c>
    </row>
    <row r="8" spans="1:30" ht="24" customHeight="1" x14ac:dyDescent="0.35">
      <c r="A8" s="481" t="s">
        <v>365</v>
      </c>
      <c r="B8" s="425"/>
      <c r="C8" s="425"/>
      <c r="D8" s="425"/>
      <c r="E8" s="425"/>
      <c r="F8" s="425"/>
      <c r="G8" s="425"/>
      <c r="H8" s="425"/>
      <c r="I8" s="425"/>
      <c r="J8" s="425"/>
      <c r="K8" s="57"/>
      <c r="L8" s="57"/>
      <c r="M8" s="57"/>
      <c r="N8" s="57"/>
      <c r="O8" s="57"/>
      <c r="P8" s="57"/>
      <c r="Q8" s="57"/>
      <c r="X8">
        <f>IF(posicao_contratual!$A8="",0,IF(AND(ISNUMBER(posicao_contratual!$Y8),posicao_contratual!$Y8&gt;0),0,IF(AND(ISNUMBER(posicao_contratual!$G8),ISNUMBER(posicao_contratual!$K8),ISNUMBER(historico_VU!$C8)),((posicao_contratual!$G8-N(posicao_contratual!$AB8))-(posicao_contratual!$K8-N(posicao_contratual!$AC8)))*historico_VU!$C8,"")))</f>
        <v>0</v>
      </c>
      <c r="Y8">
        <f>IF(OR(posicao_contratual!$A8="",$T$20=""),0,IF(AND(ISNUMBER(CHOOSE($T$20+1,historico_VU!$C8,historico_VU!$D8,historico_VU!$E8,historico_VU!$F8,historico_VU!$G8)),ISNUMBER(CHOOSE($T$20+1,posicao_contratual!$G8,posicao_contratual!$K8,posicao_contratual!$O8,posicao_contratual!$S8,posicao_contratual!$W8))),ROUND(ROUND(CHOOSE($T$20+1,historico_VU!$C8,historico_VU!$D8,historico_VU!$E8,historico_VU!$F8,historico_VU!$G8),2)*CHOOSE($T$20+1,posicao_contratual!$G8,posicao_contratual!$K8,posicao_contratual!$O8,posicao_contratual!$S8,posicao_contratual!$W8),2),""))</f>
        <v>0</v>
      </c>
      <c r="AB8">
        <f>IF(OR(posicao_contratual!$A8="",$W$46=""),0,IF(AND(ISNUMBER(CHOOSE($W$46+1,historico_VU!$C8,historico_VU!$D8,historico_VU!$E8,historico_VU!$F8,historico_VU!$G8)),ISNUMBER(CHOOSE($W$46+1,posicao_contratual!$G8,posicao_contratual!$K8,posicao_contratual!$O8,posicao_contratual!$S8,posicao_contratual!$W8))),ROUND(ROUND(CHOOSE($W$46+1,historico_VU!$C8,historico_VU!$D8,historico_VU!$E8,historico_VU!$F8,historico_VU!$G8),2)*CHOOSE($W$46+1,posicao_contratual!$G8,posicao_contratual!$K8,posicao_contratual!$O8,posicao_contratual!$S8,posicao_contratual!$W8),2),""))</f>
        <v>0</v>
      </c>
      <c r="AC8">
        <f>IF(OR(posicao_contratual!$A8="",$W$46=""),0,IF(OR($AB8="",$AD8=""),"",ROUND($AB8-$AD8,2)))</f>
        <v>0</v>
      </c>
      <c r="AD8">
        <f>IF(OR(posicao_contratual!$A8="",$W$46=""),0,IF($AB8="","",IF(NOT(ISNUMBER(CHOOSE($W$46+1,posicao_contratual!$AB8,posicao_contratual!$AC8,posicao_contratual!$AD8,posicao_contratual!$AE8,posicao_contratual!$AF8))),0,ROUND(ROUND(CHOOSE($W$46+1,historico_VU!$C8,historico_VU!$D8,historico_VU!$E8,historico_VU!$F8,historico_VU!$G8),2)*CHOOSE($W$46+1,posicao_contratual!$AB8,posicao_contratual!$AC8,posicao_contratual!$AD8,posicao_contratual!$AE8,posicao_contratual!$AF8),2))))</f>
        <v>0</v>
      </c>
    </row>
    <row r="9" spans="1:30" x14ac:dyDescent="0.35">
      <c r="A9" s="118" t="s">
        <v>178</v>
      </c>
      <c r="B9" s="118" t="s">
        <v>366</v>
      </c>
      <c r="C9" s="118" t="s">
        <v>367</v>
      </c>
      <c r="D9" s="118" t="s">
        <v>368</v>
      </c>
      <c r="E9" s="118" t="s">
        <v>369</v>
      </c>
      <c r="F9" s="118" t="s">
        <v>370</v>
      </c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X9">
        <f>IF(posicao_contratual!$A9="",0,IF(AND(ISNUMBER(posicao_contratual!$Y9),posicao_contratual!$Y9&gt;0),0,IF(AND(ISNUMBER(posicao_contratual!$G9),ISNUMBER(posicao_contratual!$K9),ISNUMBER(historico_VU!$C9)),((posicao_contratual!$G9-N(posicao_contratual!$AB9))-(posicao_contratual!$K9-N(posicao_contratual!$AC9)))*historico_VU!$C9,"")))</f>
        <v>0</v>
      </c>
      <c r="Y9">
        <f>IF(OR(posicao_contratual!$A9="",$T$20=""),0,IF(AND(ISNUMBER(CHOOSE($T$20+1,historico_VU!$C9,historico_VU!$D9,historico_VU!$E9,historico_VU!$F9,historico_VU!$G9)),ISNUMBER(CHOOSE($T$20+1,posicao_contratual!$G9,posicao_contratual!$K9,posicao_contratual!$O9,posicao_contratual!$S9,posicao_contratual!$W9))),ROUND(ROUND(CHOOSE($T$20+1,historico_VU!$C9,historico_VU!$D9,historico_VU!$E9,historico_VU!$F9,historico_VU!$G9),2)*CHOOSE($T$20+1,posicao_contratual!$G9,posicao_contratual!$K9,posicao_contratual!$O9,posicao_contratual!$S9,posicao_contratual!$W9),2),""))</f>
        <v>0</v>
      </c>
      <c r="AB9">
        <f>IF(OR(posicao_contratual!$A9="",$W$46=""),0,IF(AND(ISNUMBER(CHOOSE($W$46+1,historico_VU!$C9,historico_VU!$D9,historico_VU!$E9,historico_VU!$F9,historico_VU!$G9)),ISNUMBER(CHOOSE($W$46+1,posicao_contratual!$G9,posicao_contratual!$K9,posicao_contratual!$O9,posicao_contratual!$S9,posicao_contratual!$W9))),ROUND(ROUND(CHOOSE($W$46+1,historico_VU!$C9,historico_VU!$D9,historico_VU!$E9,historico_VU!$F9,historico_VU!$G9),2)*CHOOSE($W$46+1,posicao_contratual!$G9,posicao_contratual!$K9,posicao_contratual!$O9,posicao_contratual!$S9,posicao_contratual!$W9),2),""))</f>
        <v>0</v>
      </c>
      <c r="AC9">
        <f>IF(OR(posicao_contratual!$A9="",$W$46=""),0,IF(OR($AB9="",$AD9=""),"",ROUND($AB9-$AD9,2)))</f>
        <v>0</v>
      </c>
      <c r="AD9">
        <f>IF(OR(posicao_contratual!$A9="",$W$46=""),0,IF($AB9="","",IF(NOT(ISNUMBER(CHOOSE($W$46+1,posicao_contratual!$AB9,posicao_contratual!$AC9,posicao_contratual!$AD9,posicao_contratual!$AE9,posicao_contratual!$AF9))),0,ROUND(ROUND(CHOOSE($W$46+1,historico_VU!$C9,historico_VU!$D9,historico_VU!$E9,historico_VU!$F9,historico_VU!$G9),2)*CHOOSE($W$46+1,posicao_contratual!$AB9,posicao_contratual!$AC9,posicao_contratual!$AD9,posicao_contratual!$AE9,posicao_contratual!$AF9),2))))</f>
        <v>0</v>
      </c>
    </row>
    <row r="10" spans="1:30" x14ac:dyDescent="0.35">
      <c r="A10" s="119" t="s">
        <v>26</v>
      </c>
      <c r="B10" s="120" t="str">
        <f>IF(COUNTIFS(financeiro!$B$2:$B$73,"c0",financeiro!$C$2:$C$73,"&gt;0",financeiro!$G$2:$G$73,"Sim")=0,"",ROUND(SUMIFS(financeiro!$F$2:$F$73,financeiro!$B$2:$B$73,"c0",financeiro!$G$2:$G$73,"Sim"),2))</f>
        <v/>
      </c>
      <c r="C10" s="120" t="str">
        <f>IF(COUNTIFS(itens_PC!$C$2:$C$5001,"C0",itens_PC!$D$2:$D$5001,"&gt;0")=0,"",ROUND(SUMIFS(itens_PC!$H$2:$H$5001,itens_PC!$C$2:$C$5001,"C0",itens_PC!$G$2:$G$5001,"Sim",itens_PC!$B$2:$B$5001,"&lt;="&amp;$T$31),2))</f>
        <v/>
      </c>
      <c r="D10" s="120" t="str">
        <f>IF(COUNTIF(itens_Consumidos!$AG$2:$AG$6,"REVISAR*")&gt;0,"",IF(COUNTIFS(itens_Consumidos!$E$2:$E$200,"&gt;0")=0,"",0))</f>
        <v/>
      </c>
      <c r="E10" s="120" t="str">
        <f t="shared" ref="E10:E15" si="0">IF($B$4="Financeiro",B10,IF($B$4="PCs",C10,D10))</f>
        <v/>
      </c>
      <c r="F10" s="121" t="str">
        <f>IF(COUNT(B10:D10)=0,"SEM BASE",IF(E10="","FONTE OFICIAL AUSENTE","CONFERIR"))</f>
        <v>SEM BASE</v>
      </c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X10">
        <f>IF(posicao_contratual!$A10="",0,IF(AND(ISNUMBER(posicao_contratual!$Y10),posicao_contratual!$Y10&gt;0),0,IF(AND(ISNUMBER(posicao_contratual!$G10),ISNUMBER(posicao_contratual!$K10),ISNUMBER(historico_VU!$C10)),((posicao_contratual!$G10-N(posicao_contratual!$AB10))-(posicao_contratual!$K10-N(posicao_contratual!$AC10)))*historico_VU!$C10,"")))</f>
        <v>0</v>
      </c>
      <c r="Y10">
        <f>IF(OR(posicao_contratual!$A10="",$T$20=""),0,IF(AND(ISNUMBER(CHOOSE($T$20+1,historico_VU!$C10,historico_VU!$D10,historico_VU!$E10,historico_VU!$F10,historico_VU!$G10)),ISNUMBER(CHOOSE($T$20+1,posicao_contratual!$G10,posicao_contratual!$K10,posicao_contratual!$O10,posicao_contratual!$S10,posicao_contratual!$W10))),ROUND(ROUND(CHOOSE($T$20+1,historico_VU!$C10,historico_VU!$D10,historico_VU!$E10,historico_VU!$F10,historico_VU!$G10),2)*CHOOSE($T$20+1,posicao_contratual!$G10,posicao_contratual!$K10,posicao_contratual!$O10,posicao_contratual!$S10,posicao_contratual!$W10),2),""))</f>
        <v>0</v>
      </c>
      <c r="AB10">
        <f>IF(OR(posicao_contratual!$A10="",$W$46=""),0,IF(AND(ISNUMBER(CHOOSE($W$46+1,historico_VU!$C10,historico_VU!$D10,historico_VU!$E10,historico_VU!$F10,historico_VU!$G10)),ISNUMBER(CHOOSE($W$46+1,posicao_contratual!$G10,posicao_contratual!$K10,posicao_contratual!$O10,posicao_contratual!$S10,posicao_contratual!$W10))),ROUND(ROUND(CHOOSE($W$46+1,historico_VU!$C10,historico_VU!$D10,historico_VU!$E10,historico_VU!$F10,historico_VU!$G10),2)*CHOOSE($W$46+1,posicao_contratual!$G10,posicao_contratual!$K10,posicao_contratual!$O10,posicao_contratual!$S10,posicao_contratual!$W10),2),""))</f>
        <v>0</v>
      </c>
      <c r="AC10">
        <f>IF(OR(posicao_contratual!$A10="",$W$46=""),0,IF(OR($AB10="",$AD10=""),"",ROUND($AB10-$AD10,2)))</f>
        <v>0</v>
      </c>
      <c r="AD10">
        <f>IF(OR(posicao_contratual!$A10="",$W$46=""),0,IF($AB10="","",IF(NOT(ISNUMBER(CHOOSE($W$46+1,posicao_contratual!$AB10,posicao_contratual!$AC10,posicao_contratual!$AD10,posicao_contratual!$AE10,posicao_contratual!$AF10))),0,ROUND(ROUND(CHOOSE($W$46+1,historico_VU!$C10,historico_VU!$D10,historico_VU!$E10,historico_VU!$F10,historico_VU!$G10),2)*CHOOSE($W$46+1,posicao_contratual!$AB10,posicao_contratual!$AC10,posicao_contratual!$AD10,posicao_contratual!$AE10,posicao_contratual!$AF10),2))))</f>
        <v>0</v>
      </c>
    </row>
    <row r="11" spans="1:30" x14ac:dyDescent="0.35">
      <c r="A11" s="119" t="s">
        <v>3</v>
      </c>
      <c r="B11" s="120" t="str">
        <f>IF(COUNTIFS(financeiro!$B$2:$B$73,"c1",financeiro!$C$2:$C$73,"&gt;0",financeiro!$G$2:$G$73,"Sim")=0,"",ROUND(SUMIFS(financeiro!$F$2:$F$73,financeiro!$B$2:$B$73,"c1",financeiro!$G$2:$G$73,"Sim"),2))</f>
        <v/>
      </c>
      <c r="C11" s="120">
        <f>IF(COUNTIFS(itens_PC!$C$2:$C$5001,"C1",itens_PC!$D$2:$D$5001,"&gt;0")=0,"",ROUND(SUMIFS(itens_PC!$H$2:$H$5001,itens_PC!$C$2:$C$5001,"C1",itens_PC!$G$2:$G$5001,"Sim",itens_PC!$B$2:$B$5001,"&lt;="&amp;$T$31),2))</f>
        <v>14156.8</v>
      </c>
      <c r="D11" s="120" t="str">
        <f>IF(COUNTIF(itens_Consumidos!$AG$2:$AG$6,"REVISAR*")&gt;0,"",IF(itens_Consumidos!$AG$3="AJUSTE APLICADO",IF(OR(NOT(ISNUMBER(parametros!$F3)),NOT(ISNUMBER(parametros!$D12)),parametros!$D12=0),"",ROUND(itens_Consumidos!$AB$3*(parametros!$D12-1),2)),IF(OR(COUNTIFS(itens_Consumidos!$G$2:$G$200,"&gt;0")=0,NOT(ISNUMBER(parametros!$F3)),NOT(ISNUMBER(parametros!$D12)),parametros!$D12=0),"",ROUND(SUMPRODUCT(itens_Consumidos!$G$2:$G$200,itens_Consumidos!$C$2:$C$200)*(parametros!$F3-parametros!$F3/parametros!$D12),2))))</f>
        <v/>
      </c>
      <c r="E11" s="120">
        <f t="shared" si="0"/>
        <v>14156.8</v>
      </c>
      <c r="F11" s="121" t="str">
        <f>IF(COUNT(B11:D11)=0,"SEM BASE",IF(E11="","FONTE OFICIAL AUSENTE","CONFERIR"))</f>
        <v>CONFERIR</v>
      </c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X11">
        <f>IF(posicao_contratual!$A11="",0,IF(AND(ISNUMBER(posicao_contratual!$Y11),posicao_contratual!$Y11&gt;0),0,IF(AND(ISNUMBER(posicao_contratual!$G11),ISNUMBER(posicao_contratual!$K11),ISNUMBER(historico_VU!$C11)),((posicao_contratual!$G11-N(posicao_contratual!$AB11))-(posicao_contratual!$K11-N(posicao_contratual!$AC11)))*historico_VU!$C11,"")))</f>
        <v>0</v>
      </c>
      <c r="Y11">
        <f>IF(OR(posicao_contratual!$A11="",$T$20=""),0,IF(AND(ISNUMBER(CHOOSE($T$20+1,historico_VU!$C11,historico_VU!$D11,historico_VU!$E11,historico_VU!$F11,historico_VU!$G11)),ISNUMBER(CHOOSE($T$20+1,posicao_contratual!$G11,posicao_contratual!$K11,posicao_contratual!$O11,posicao_contratual!$S11,posicao_contratual!$W11))),ROUND(ROUND(CHOOSE($T$20+1,historico_VU!$C11,historico_VU!$D11,historico_VU!$E11,historico_VU!$F11,historico_VU!$G11),2)*CHOOSE($T$20+1,posicao_contratual!$G11,posicao_contratual!$K11,posicao_contratual!$O11,posicao_contratual!$S11,posicao_contratual!$W11),2),""))</f>
        <v>0</v>
      </c>
      <c r="AB11">
        <f>IF(OR(posicao_contratual!$A11="",$W$46=""),0,IF(AND(ISNUMBER(CHOOSE($W$46+1,historico_VU!$C11,historico_VU!$D11,historico_VU!$E11,historico_VU!$F11,historico_VU!$G11)),ISNUMBER(CHOOSE($W$46+1,posicao_contratual!$G11,posicao_contratual!$K11,posicao_contratual!$O11,posicao_contratual!$S11,posicao_contratual!$W11))),ROUND(ROUND(CHOOSE($W$46+1,historico_VU!$C11,historico_VU!$D11,historico_VU!$E11,historico_VU!$F11,historico_VU!$G11),2)*CHOOSE($W$46+1,posicao_contratual!$G11,posicao_contratual!$K11,posicao_contratual!$O11,posicao_contratual!$S11,posicao_contratual!$W11),2),""))</f>
        <v>0</v>
      </c>
      <c r="AC11">
        <f>IF(OR(posicao_contratual!$A11="",$W$46=""),0,IF(OR($AB11="",$AD11=""),"",ROUND($AB11-$AD11,2)))</f>
        <v>0</v>
      </c>
      <c r="AD11">
        <f>IF(OR(posicao_contratual!$A11="",$W$46=""),0,IF($AB11="","",IF(NOT(ISNUMBER(CHOOSE($W$46+1,posicao_contratual!$AB11,posicao_contratual!$AC11,posicao_contratual!$AD11,posicao_contratual!$AE11,posicao_contratual!$AF11))),0,ROUND(ROUND(CHOOSE($W$46+1,historico_VU!$C11,historico_VU!$D11,historico_VU!$E11,historico_VU!$F11,historico_VU!$G11),2)*CHOOSE($W$46+1,posicao_contratual!$AB11,posicao_contratual!$AC11,posicao_contratual!$AD11,posicao_contratual!$AE11,posicao_contratual!$AF11),2))))</f>
        <v>0</v>
      </c>
    </row>
    <row r="12" spans="1:30" x14ac:dyDescent="0.35">
      <c r="A12" s="119" t="s">
        <v>27</v>
      </c>
      <c r="B12" s="120" t="str">
        <f>IF(COUNTIFS(financeiro!$B$2:$B$73,"c2",financeiro!$C$2:$C$73,"&gt;0",financeiro!$G$2:$G$73,"Sim")=0,"",ROUND(SUMIFS(financeiro!$F$2:$F$73,financeiro!$B$2:$B$73,"c2",financeiro!$G$2:$G$73,"Sim"),2))</f>
        <v/>
      </c>
      <c r="C12" s="120" t="str">
        <f>IF(COUNTIFS(itens_PC!$C$2:$C$5001,"C2",itens_PC!$D$2:$D$5001,"&gt;0")=0,"",ROUND(SUMIFS(itens_PC!$H$2:$H$5001,itens_PC!$C$2:$C$5001,"C2",itens_PC!$G$2:$G$5001,"Sim",itens_PC!$B$2:$B$5001,"&lt;="&amp;$T$31),2))</f>
        <v/>
      </c>
      <c r="D12" s="120" t="str">
        <f>IF(COUNTIF(itens_Consumidos!$AG$2:$AG$6,"REVISAR*")&gt;0,"",IF(itens_Consumidos!$AG$4="AJUSTE APLICADO",IF(OR(NOT(ISNUMBER(parametros!$F4)),NOT(ISNUMBER(parametros!$D13)),parametros!$D13=0),"",ROUND(itens_Consumidos!$AB$4*(parametros!$D13-1),2)),IF(OR(COUNTIFS(itens_Consumidos!$I$2:$I$200,"&gt;0")=0,NOT(ISNUMBER(parametros!$F4)),NOT(ISNUMBER(parametros!$D13)),parametros!$D13=0),"",ROUND(SUMPRODUCT(itens_Consumidos!$I$2:$I$200,itens_Consumidos!$C$2:$C$200)*(parametros!$F4-parametros!$F4/parametros!$D13),2))))</f>
        <v/>
      </c>
      <c r="E12" s="120" t="str">
        <f t="shared" si="0"/>
        <v/>
      </c>
      <c r="F12" s="121" t="str">
        <f>IF(COUNT(B12:D12)=0,"SEM BASE",IF(E12="","FONTE OFICIAL AUSENTE","CONFERIR"))</f>
        <v>SEM BASE</v>
      </c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X12">
        <f>IF(posicao_contratual!$A12="",0,IF(AND(ISNUMBER(posicao_contratual!$Y12),posicao_contratual!$Y12&gt;0),0,IF(AND(ISNUMBER(posicao_contratual!$G12),ISNUMBER(posicao_contratual!$K12),ISNUMBER(historico_VU!$C12)),((posicao_contratual!$G12-N(posicao_contratual!$AB12))-(posicao_contratual!$K12-N(posicao_contratual!$AC12)))*historico_VU!$C12,"")))</f>
        <v>0</v>
      </c>
      <c r="Y12">
        <f>IF(OR(posicao_contratual!$A12="",$T$20=""),0,IF(AND(ISNUMBER(CHOOSE($T$20+1,historico_VU!$C12,historico_VU!$D12,historico_VU!$E12,historico_VU!$F12,historico_VU!$G12)),ISNUMBER(CHOOSE($T$20+1,posicao_contratual!$G12,posicao_contratual!$K12,posicao_contratual!$O12,posicao_contratual!$S12,posicao_contratual!$W12))),ROUND(ROUND(CHOOSE($T$20+1,historico_VU!$C12,historico_VU!$D12,historico_VU!$E12,historico_VU!$F12,historico_VU!$G12),2)*CHOOSE($T$20+1,posicao_contratual!$G12,posicao_contratual!$K12,posicao_contratual!$O12,posicao_contratual!$S12,posicao_contratual!$W12),2),""))</f>
        <v>0</v>
      </c>
      <c r="AB12">
        <f>IF(OR(posicao_contratual!$A12="",$W$46=""),0,IF(AND(ISNUMBER(CHOOSE($W$46+1,historico_VU!$C12,historico_VU!$D12,historico_VU!$E12,historico_VU!$F12,historico_VU!$G12)),ISNUMBER(CHOOSE($W$46+1,posicao_contratual!$G12,posicao_contratual!$K12,posicao_contratual!$O12,posicao_contratual!$S12,posicao_contratual!$W12))),ROUND(ROUND(CHOOSE($W$46+1,historico_VU!$C12,historico_VU!$D12,historico_VU!$E12,historico_VU!$F12,historico_VU!$G12),2)*CHOOSE($W$46+1,posicao_contratual!$G12,posicao_contratual!$K12,posicao_contratual!$O12,posicao_contratual!$S12,posicao_contratual!$W12),2),""))</f>
        <v>0</v>
      </c>
      <c r="AC12">
        <f>IF(OR(posicao_contratual!$A12="",$W$46=""),0,IF(OR($AB12="",$AD12=""),"",ROUND($AB12-$AD12,2)))</f>
        <v>0</v>
      </c>
      <c r="AD12">
        <f>IF(OR(posicao_contratual!$A12="",$W$46=""),0,IF($AB12="","",IF(NOT(ISNUMBER(CHOOSE($W$46+1,posicao_contratual!$AB12,posicao_contratual!$AC12,posicao_contratual!$AD12,posicao_contratual!$AE12,posicao_contratual!$AF12))),0,ROUND(ROUND(CHOOSE($W$46+1,historico_VU!$C12,historico_VU!$D12,historico_VU!$E12,historico_VU!$F12,historico_VU!$G12),2)*CHOOSE($W$46+1,posicao_contratual!$AB12,posicao_contratual!$AC12,posicao_contratual!$AD12,posicao_contratual!$AE12,posicao_contratual!$AF12),2))))</f>
        <v>0</v>
      </c>
    </row>
    <row r="13" spans="1:30" x14ac:dyDescent="0.35">
      <c r="A13" s="119" t="s">
        <v>28</v>
      </c>
      <c r="B13" s="120" t="str">
        <f>IF(COUNTIFS(financeiro!$B$2:$B$73,"c3",financeiro!$C$2:$C$73,"&gt;0",financeiro!$G$2:$G$73,"Sim")=0,"",ROUND(SUMIFS(financeiro!$F$2:$F$73,financeiro!$B$2:$B$73,"c3",financeiro!$G$2:$G$73,"Sim"),2))</f>
        <v/>
      </c>
      <c r="C13" s="120" t="str">
        <f>IF(COUNTIFS(itens_PC!$C$2:$C$5001,"C3",itens_PC!$D$2:$D$5001,"&gt;0")=0,"",ROUND(SUMIFS(itens_PC!$H$2:$H$5001,itens_PC!$C$2:$C$5001,"C3",itens_PC!$G$2:$G$5001,"Sim",itens_PC!$B$2:$B$5001,"&lt;="&amp;$T$31),2))</f>
        <v/>
      </c>
      <c r="D13" s="120" t="str">
        <f>IF(COUNTIF(itens_Consumidos!$AG$2:$AG$6,"REVISAR*")&gt;0,"",IF(itens_Consumidos!$AG$5="AJUSTE APLICADO",IF(OR(NOT(ISNUMBER(parametros!$F5)),NOT(ISNUMBER(parametros!$D14)),parametros!$D14=0),"",ROUND(itens_Consumidos!$AB$5*(parametros!$D14-1),2)),IF(OR(COUNTIFS(itens_Consumidos!$K$2:$K$200,"&gt;0")=0,NOT(ISNUMBER(parametros!$F5)),NOT(ISNUMBER(parametros!$D14)),parametros!$D14=0),"",ROUND(SUMPRODUCT(itens_Consumidos!$K$2:$K$200,itens_Consumidos!$C$2:$C$200)*(parametros!$F5-parametros!$F5/parametros!$D14),2))))</f>
        <v/>
      </c>
      <c r="E13" s="120" t="str">
        <f t="shared" si="0"/>
        <v/>
      </c>
      <c r="F13" s="121" t="str">
        <f>IF(COUNT(B13:D13)=0,"SEM BASE",IF(E13="","FONTE OFICIAL AUSENTE","CONFERIR"))</f>
        <v>SEM BASE</v>
      </c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X13">
        <f>IF(posicao_contratual!$A13="",0,IF(AND(ISNUMBER(posicao_contratual!$Y13),posicao_contratual!$Y13&gt;0),0,IF(AND(ISNUMBER(posicao_contratual!$G13),ISNUMBER(posicao_contratual!$K13),ISNUMBER(historico_VU!$C13)),((posicao_contratual!$G13-N(posicao_contratual!$AB13))-(posicao_contratual!$K13-N(posicao_contratual!$AC13)))*historico_VU!$C13,"")))</f>
        <v>0</v>
      </c>
      <c r="Y13">
        <f>IF(OR(posicao_contratual!$A13="",$T$20=""),0,IF(AND(ISNUMBER(CHOOSE($T$20+1,historico_VU!$C13,historico_VU!$D13,historico_VU!$E13,historico_VU!$F13,historico_VU!$G13)),ISNUMBER(CHOOSE($T$20+1,posicao_contratual!$G13,posicao_contratual!$K13,posicao_contratual!$O13,posicao_contratual!$S13,posicao_contratual!$W13))),ROUND(ROUND(CHOOSE($T$20+1,historico_VU!$C13,historico_VU!$D13,historico_VU!$E13,historico_VU!$F13,historico_VU!$G13),2)*CHOOSE($T$20+1,posicao_contratual!$G13,posicao_contratual!$K13,posicao_contratual!$O13,posicao_contratual!$S13,posicao_contratual!$W13),2),""))</f>
        <v>0</v>
      </c>
      <c r="AB13">
        <f>IF(OR(posicao_contratual!$A13="",$W$46=""),0,IF(AND(ISNUMBER(CHOOSE($W$46+1,historico_VU!$C13,historico_VU!$D13,historico_VU!$E13,historico_VU!$F13,historico_VU!$G13)),ISNUMBER(CHOOSE($W$46+1,posicao_contratual!$G13,posicao_contratual!$K13,posicao_contratual!$O13,posicao_contratual!$S13,posicao_contratual!$W13))),ROUND(ROUND(CHOOSE($W$46+1,historico_VU!$C13,historico_VU!$D13,historico_VU!$E13,historico_VU!$F13,historico_VU!$G13),2)*CHOOSE($W$46+1,posicao_contratual!$G13,posicao_contratual!$K13,posicao_contratual!$O13,posicao_contratual!$S13,posicao_contratual!$W13),2),""))</f>
        <v>0</v>
      </c>
      <c r="AC13">
        <f>IF(OR(posicao_contratual!$A13="",$W$46=""),0,IF(OR($AB13="",$AD13=""),"",ROUND($AB13-$AD13,2)))</f>
        <v>0</v>
      </c>
      <c r="AD13">
        <f>IF(OR(posicao_contratual!$A13="",$W$46=""),0,IF($AB13="","",IF(NOT(ISNUMBER(CHOOSE($W$46+1,posicao_contratual!$AB13,posicao_contratual!$AC13,posicao_contratual!$AD13,posicao_contratual!$AE13,posicao_contratual!$AF13))),0,ROUND(ROUND(CHOOSE($W$46+1,historico_VU!$C13,historico_VU!$D13,historico_VU!$E13,historico_VU!$F13,historico_VU!$G13),2)*CHOOSE($W$46+1,posicao_contratual!$AB13,posicao_contratual!$AC13,posicao_contratual!$AD13,posicao_contratual!$AE13,posicao_contratual!$AF13),2))))</f>
        <v>0</v>
      </c>
    </row>
    <row r="14" spans="1:30" x14ac:dyDescent="0.35">
      <c r="A14" s="119" t="s">
        <v>29</v>
      </c>
      <c r="B14" s="120" t="str">
        <f>IF(COUNTIFS(financeiro!$B$2:$B$73,"c4",financeiro!$C$2:$C$73,"&gt;0",financeiro!$G$2:$G$73,"Sim")=0,"",ROUND(SUMIFS(financeiro!$F$2:$F$73,financeiro!$B$2:$B$73,"c4",financeiro!$G$2:$G$73,"Sim"),2))</f>
        <v/>
      </c>
      <c r="C14" s="120" t="str">
        <f>IF(COUNTIFS(itens_PC!$C$2:$C$5001,"C4",itens_PC!$D$2:$D$5001,"&gt;0")=0,"",ROUND(SUMIFS(itens_PC!$H$2:$H$5001,itens_PC!$C$2:$C$5001,"C4",itens_PC!$G$2:$G$5001,"Sim",itens_PC!$B$2:$B$5001,"&lt;="&amp;$T$31),2))</f>
        <v/>
      </c>
      <c r="D14" s="120" t="str">
        <f>IF(COUNTIF(itens_Consumidos!$AG$2:$AG$6,"REVISAR*")&gt;0,"",IF(itens_Consumidos!$AG$6="AJUSTE APLICADO",IF(OR(NOT(ISNUMBER(parametros!$F6)),NOT(ISNUMBER(parametros!$D15)),parametros!$D15=0),"",ROUND(itens_Consumidos!$AB$6*(parametros!$D15-1),2)),IF(OR(COUNTIFS(itens_Consumidos!$M$2:$M$200,"&gt;0")=0,NOT(ISNUMBER(parametros!$F6)),NOT(ISNUMBER(parametros!$D15)),parametros!$D15=0),"",ROUND(SUMPRODUCT(itens_Consumidos!$M$2:$M$200,itens_Consumidos!$C$2:$C$200)*(parametros!$F6-parametros!$F6/parametros!$D15),2))))</f>
        <v/>
      </c>
      <c r="E14" s="120" t="str">
        <f t="shared" si="0"/>
        <v/>
      </c>
      <c r="F14" s="121" t="str">
        <f>IF(COUNT(B14:D14)=0,"SEM BASE",IF(E14="","FONTE OFICIAL AUSENTE","CONFERIR"))</f>
        <v>SEM BASE</v>
      </c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X14">
        <f>IF(posicao_contratual!$A14="",0,IF(AND(ISNUMBER(posicao_contratual!$Y14),posicao_contratual!$Y14&gt;0),0,IF(AND(ISNUMBER(posicao_contratual!$G14),ISNUMBER(posicao_contratual!$K14),ISNUMBER(historico_VU!$C14)),((posicao_contratual!$G14-N(posicao_contratual!$AB14))-(posicao_contratual!$K14-N(posicao_contratual!$AC14)))*historico_VU!$C14,"")))</f>
        <v>0</v>
      </c>
      <c r="Y14">
        <f>IF(OR(posicao_contratual!$A14="",$T$20=""),0,IF(AND(ISNUMBER(CHOOSE($T$20+1,historico_VU!$C14,historico_VU!$D14,historico_VU!$E14,historico_VU!$F14,historico_VU!$G14)),ISNUMBER(CHOOSE($T$20+1,posicao_contratual!$G14,posicao_contratual!$K14,posicao_contratual!$O14,posicao_contratual!$S14,posicao_contratual!$W14))),ROUND(ROUND(CHOOSE($T$20+1,historico_VU!$C14,historico_VU!$D14,historico_VU!$E14,historico_VU!$F14,historico_VU!$G14),2)*CHOOSE($T$20+1,posicao_contratual!$G14,posicao_contratual!$K14,posicao_contratual!$O14,posicao_contratual!$S14,posicao_contratual!$W14),2),""))</f>
        <v>0</v>
      </c>
      <c r="AB14">
        <f>IF(OR(posicao_contratual!$A14="",$W$46=""),0,IF(AND(ISNUMBER(CHOOSE($W$46+1,historico_VU!$C14,historico_VU!$D14,historico_VU!$E14,historico_VU!$F14,historico_VU!$G14)),ISNUMBER(CHOOSE($W$46+1,posicao_contratual!$G14,posicao_contratual!$K14,posicao_contratual!$O14,posicao_contratual!$S14,posicao_contratual!$W14))),ROUND(ROUND(CHOOSE($W$46+1,historico_VU!$C14,historico_VU!$D14,historico_VU!$E14,historico_VU!$F14,historico_VU!$G14),2)*CHOOSE($W$46+1,posicao_contratual!$G14,posicao_contratual!$K14,posicao_contratual!$O14,posicao_contratual!$S14,posicao_contratual!$W14),2),""))</f>
        <v>0</v>
      </c>
      <c r="AC14">
        <f>IF(OR(posicao_contratual!$A14="",$W$46=""),0,IF(OR($AB14="",$AD14=""),"",ROUND($AB14-$AD14,2)))</f>
        <v>0</v>
      </c>
      <c r="AD14">
        <f>IF(OR(posicao_contratual!$A14="",$W$46=""),0,IF($AB14="","",IF(NOT(ISNUMBER(CHOOSE($W$46+1,posicao_contratual!$AB14,posicao_contratual!$AC14,posicao_contratual!$AD14,posicao_contratual!$AE14,posicao_contratual!$AF14))),0,ROUND(ROUND(CHOOSE($W$46+1,historico_VU!$C14,historico_VU!$D14,historico_VU!$E14,historico_VU!$F14,historico_VU!$G14),2)*CHOOSE($W$46+1,posicao_contratual!$AB14,posicao_contratual!$AC14,posicao_contratual!$AD14,posicao_contratual!$AE14,posicao_contratual!$AF14),2))))</f>
        <v>0</v>
      </c>
    </row>
    <row r="15" spans="1:30" x14ac:dyDescent="0.35">
      <c r="A15" s="122" t="s">
        <v>30</v>
      </c>
      <c r="B15" s="123" t="str">
        <f>IF(COUNT(B10:B14)=0,"",ROUND(SUM(B10:B14),2))</f>
        <v/>
      </c>
      <c r="C15" s="123">
        <f>IF(COUNT(C10:C14)=0,"",ROUND(SUM(C10:C14),2))</f>
        <v>14156.8</v>
      </c>
      <c r="D15" s="123" t="str">
        <f>IF(COUNT(D10:D14)=0,"",ROUND(SUM(D10:D14),2))</f>
        <v/>
      </c>
      <c r="E15" s="123">
        <f t="shared" si="0"/>
        <v>14156.8</v>
      </c>
      <c r="F15" s="124" t="str">
        <f>IF(E15="","SEM TOTAL OFICIAL","CONFERIR")</f>
        <v>CONFERIR</v>
      </c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X15">
        <f>IF(posicao_contratual!$A15="",0,IF(AND(ISNUMBER(posicao_contratual!$Y15),posicao_contratual!$Y15&gt;0),0,IF(AND(ISNUMBER(posicao_contratual!$G15),ISNUMBER(posicao_contratual!$K15),ISNUMBER(historico_VU!$C15)),((posicao_contratual!$G15-N(posicao_contratual!$AB15))-(posicao_contratual!$K15-N(posicao_contratual!$AC15)))*historico_VU!$C15,"")))</f>
        <v>0</v>
      </c>
      <c r="Y15">
        <f>IF(OR(posicao_contratual!$A15="",$T$20=""),0,IF(AND(ISNUMBER(CHOOSE($T$20+1,historico_VU!$C15,historico_VU!$D15,historico_VU!$E15,historico_VU!$F15,historico_VU!$G15)),ISNUMBER(CHOOSE($T$20+1,posicao_contratual!$G15,posicao_contratual!$K15,posicao_contratual!$O15,posicao_contratual!$S15,posicao_contratual!$W15))),ROUND(ROUND(CHOOSE($T$20+1,historico_VU!$C15,historico_VU!$D15,historico_VU!$E15,historico_VU!$F15,historico_VU!$G15),2)*CHOOSE($T$20+1,posicao_contratual!$G15,posicao_contratual!$K15,posicao_contratual!$O15,posicao_contratual!$S15,posicao_contratual!$W15),2),""))</f>
        <v>0</v>
      </c>
      <c r="AB15">
        <f>IF(OR(posicao_contratual!$A15="",$W$46=""),0,IF(AND(ISNUMBER(CHOOSE($W$46+1,historico_VU!$C15,historico_VU!$D15,historico_VU!$E15,historico_VU!$F15,historico_VU!$G15)),ISNUMBER(CHOOSE($W$46+1,posicao_contratual!$G15,posicao_contratual!$K15,posicao_contratual!$O15,posicao_contratual!$S15,posicao_contratual!$W15))),ROUND(ROUND(CHOOSE($W$46+1,historico_VU!$C15,historico_VU!$D15,historico_VU!$E15,historico_VU!$F15,historico_VU!$G15),2)*CHOOSE($W$46+1,posicao_contratual!$G15,posicao_contratual!$K15,posicao_contratual!$O15,posicao_contratual!$S15,posicao_contratual!$W15),2),""))</f>
        <v>0</v>
      </c>
      <c r="AC15">
        <f>IF(OR(posicao_contratual!$A15="",$W$46=""),0,IF(OR($AB15="",$AD15=""),"",ROUND($AB15-$AD15,2)))</f>
        <v>0</v>
      </c>
      <c r="AD15">
        <f>IF(OR(posicao_contratual!$A15="",$W$46=""),0,IF($AB15="","",IF(NOT(ISNUMBER(CHOOSE($W$46+1,posicao_contratual!$AB15,posicao_contratual!$AC15,posicao_contratual!$AD15,posicao_contratual!$AE15,posicao_contratual!$AF15))),0,ROUND(ROUND(CHOOSE($W$46+1,historico_VU!$C15,historico_VU!$D15,historico_VU!$E15,historico_VU!$F15,historico_VU!$G15),2)*CHOOSE($W$46+1,posicao_contratual!$AB15,posicao_contratual!$AC15,posicao_contratual!$AD15,posicao_contratual!$AE15,posicao_contratual!$AF15),2))))</f>
        <v>0</v>
      </c>
    </row>
    <row r="16" spans="1:30" ht="26" customHeight="1" x14ac:dyDescent="0.35">
      <c r="A16" s="117" t="s">
        <v>371</v>
      </c>
      <c r="B16" s="125">
        <f>IF(ISNUMBER($B$5),$B$5,E15)</f>
        <v>14156.8</v>
      </c>
      <c r="C16" s="117" t="s">
        <v>372</v>
      </c>
      <c r="D16" s="117" t="str">
        <f>IF(ISNUMBER($B$5),"MANUAL",$B$4)</f>
        <v>PCs</v>
      </c>
      <c r="E16" s="117" t="s">
        <v>373</v>
      </c>
      <c r="F16" s="117" t="str">
        <f>IF(AND($B$5&lt;&gt;"",NOT(ISNUMBER($B$5))),"VALOR MANUAL INVÁLIDO",IF(ISNUMBER($B$5),IF($D$5="","JUSTIFICATIVA OBRIGATÓRIA","MANUAL VALIDADO"),IF(E15="",IF(COUNT(B15:D15)=0,"INCOMPLETO — SEM BASE","CÁLCULO MANUAL REQUERIDO"),IF(IF($B$4="Financeiro",$B$44,IF($B$4="PCs",$D$44,$F$44))&gt;0,"CÁLCULO MANUAL REQUERIDO",IF(OR(IF(AND(ISNUMBER(B15),$B$4&lt;&gt;"Financeiro"),ABS(B15-E15)/MAX(ABS(E15),1)&gt;$D$4,FALSE),IF(AND(ISNUMBER(C15),$B$4&lt;&gt;"PCs"),ABS(C15-E15)/MAX(ABS(E15),1)&gt;$D$4,FALSE),IF(AND(ISNUMBER(D15),$B$4&lt;&gt;"Itens"),ABS(D15-E15)/MAX(ABS(E15),1)&gt;$D$4,FALSE)),"DIVERGENTE — CÁLCULO MANUAL REQUERIDO","CALCULADO — CONFERIR")))))</f>
        <v>CALCULADO — CONFERIR</v>
      </c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X16">
        <f>IF(posicao_contratual!$A16="",0,IF(AND(ISNUMBER(posicao_contratual!$Y16),posicao_contratual!$Y16&gt;0),0,IF(AND(ISNUMBER(posicao_contratual!$G16),ISNUMBER(posicao_contratual!$K16),ISNUMBER(historico_VU!$C16)),((posicao_contratual!$G16-N(posicao_contratual!$AB16))-(posicao_contratual!$K16-N(posicao_contratual!$AC16)))*historico_VU!$C16,"")))</f>
        <v>0</v>
      </c>
      <c r="Y16">
        <f>IF(OR(posicao_contratual!$A16="",$T$20=""),0,IF(AND(ISNUMBER(CHOOSE($T$20+1,historico_VU!$C16,historico_VU!$D16,historico_VU!$E16,historico_VU!$F16,historico_VU!$G16)),ISNUMBER(CHOOSE($T$20+1,posicao_contratual!$G16,posicao_contratual!$K16,posicao_contratual!$O16,posicao_contratual!$S16,posicao_contratual!$W16))),ROUND(ROUND(CHOOSE($T$20+1,historico_VU!$C16,historico_VU!$D16,historico_VU!$E16,historico_VU!$F16,historico_VU!$G16),2)*CHOOSE($T$20+1,posicao_contratual!$G16,posicao_contratual!$K16,posicao_contratual!$O16,posicao_contratual!$S16,posicao_contratual!$W16),2),""))</f>
        <v>0</v>
      </c>
      <c r="AB16">
        <f>IF(OR(posicao_contratual!$A16="",$W$46=""),0,IF(AND(ISNUMBER(CHOOSE($W$46+1,historico_VU!$C16,historico_VU!$D16,historico_VU!$E16,historico_VU!$F16,historico_VU!$G16)),ISNUMBER(CHOOSE($W$46+1,posicao_contratual!$G16,posicao_contratual!$K16,posicao_contratual!$O16,posicao_contratual!$S16,posicao_contratual!$W16))),ROUND(ROUND(CHOOSE($W$46+1,historico_VU!$C16,historico_VU!$D16,historico_VU!$E16,historico_VU!$F16,historico_VU!$G16),2)*CHOOSE($W$46+1,posicao_contratual!$G16,posicao_contratual!$K16,posicao_contratual!$O16,posicao_contratual!$S16,posicao_contratual!$W16),2),""))</f>
        <v>0</v>
      </c>
      <c r="AC16">
        <f>IF(OR(posicao_contratual!$A16="",$W$46=""),0,IF(OR($AB16="",$AD16=""),"",ROUND($AB16-$AD16,2)))</f>
        <v>0</v>
      </c>
      <c r="AD16">
        <f>IF(OR(posicao_contratual!$A16="",$W$46=""),0,IF($AB16="","",IF(NOT(ISNUMBER(CHOOSE($W$46+1,posicao_contratual!$AB16,posicao_contratual!$AC16,posicao_contratual!$AD16,posicao_contratual!$AE16,posicao_contratual!$AF16))),0,ROUND(ROUND(CHOOSE($W$46+1,historico_VU!$C16,historico_VU!$D16,historico_VU!$E16,historico_VU!$F16,historico_VU!$G16),2)*CHOOSE($W$46+1,posicao_contratual!$AB16,posicao_contratual!$AC16,posicao_contratual!$AD16,posicao_contratual!$AE16,posicao_contratual!$AF16),2))))</f>
        <v>0</v>
      </c>
    </row>
    <row r="17" spans="1:30" ht="24" customHeight="1" x14ac:dyDescent="0.35">
      <c r="A17" s="483" t="s">
        <v>374</v>
      </c>
      <c r="B17" s="425"/>
      <c r="C17" s="425"/>
      <c r="D17" s="425"/>
      <c r="E17" s="425"/>
      <c r="F17" s="425"/>
      <c r="G17" s="425"/>
      <c r="H17" s="425"/>
      <c r="I17" s="425"/>
      <c r="J17" s="425"/>
      <c r="K17" s="57"/>
      <c r="L17" s="57"/>
      <c r="M17" s="57"/>
      <c r="N17" s="57"/>
      <c r="O17" s="57"/>
      <c r="P17" s="57"/>
      <c r="Q17" s="57"/>
      <c r="X17">
        <f>IF(posicao_contratual!$A17="",0,IF(AND(ISNUMBER(posicao_contratual!$Y17),posicao_contratual!$Y17&gt;0),0,IF(AND(ISNUMBER(posicao_contratual!$G17),ISNUMBER(posicao_contratual!$K17),ISNUMBER(historico_VU!$C17)),((posicao_contratual!$G17-N(posicao_contratual!$AB17))-(posicao_contratual!$K17-N(posicao_contratual!$AC17)))*historico_VU!$C17,"")))</f>
        <v>0</v>
      </c>
      <c r="Y17">
        <f>IF(OR(posicao_contratual!$A17="",$T$20=""),0,IF(AND(ISNUMBER(CHOOSE($T$20+1,historico_VU!$C17,historico_VU!$D17,historico_VU!$E17,historico_VU!$F17,historico_VU!$G17)),ISNUMBER(CHOOSE($T$20+1,posicao_contratual!$G17,posicao_contratual!$K17,posicao_contratual!$O17,posicao_contratual!$S17,posicao_contratual!$W17))),ROUND(ROUND(CHOOSE($T$20+1,historico_VU!$C17,historico_VU!$D17,historico_VU!$E17,historico_VU!$F17,historico_VU!$G17),2)*CHOOSE($T$20+1,posicao_contratual!$G17,posicao_contratual!$K17,posicao_contratual!$O17,posicao_contratual!$S17,posicao_contratual!$W17),2),""))</f>
        <v>0</v>
      </c>
      <c r="AB17">
        <f>IF(OR(posicao_contratual!$A17="",$W$46=""),0,IF(AND(ISNUMBER(CHOOSE($W$46+1,historico_VU!$C17,historico_VU!$D17,historico_VU!$E17,historico_VU!$F17,historico_VU!$G17)),ISNUMBER(CHOOSE($W$46+1,posicao_contratual!$G17,posicao_contratual!$K17,posicao_contratual!$O17,posicao_contratual!$S17,posicao_contratual!$W17))),ROUND(ROUND(CHOOSE($W$46+1,historico_VU!$C17,historico_VU!$D17,historico_VU!$E17,historico_VU!$F17,historico_VU!$G17),2)*CHOOSE($W$46+1,posicao_contratual!$G17,posicao_contratual!$K17,posicao_contratual!$O17,posicao_contratual!$S17,posicao_contratual!$W17),2),""))</f>
        <v>0</v>
      </c>
      <c r="AC17">
        <f>IF(OR(posicao_contratual!$A17="",$W$46=""),0,IF(OR($AB17="",$AD17=""),"",ROUND($AB17-$AD17,2)))</f>
        <v>0</v>
      </c>
      <c r="AD17">
        <f>IF(OR(posicao_contratual!$A17="",$W$46=""),0,IF($AB17="","",IF(NOT(ISNUMBER(CHOOSE($W$46+1,posicao_contratual!$AB17,posicao_contratual!$AC17,posicao_contratual!$AD17,posicao_contratual!$AE17,posicao_contratual!$AF17))),0,ROUND(ROUND(CHOOSE($W$46+1,historico_VU!$C17,historico_VU!$D17,historico_VU!$E17,historico_VU!$F17,historico_VU!$G17),2)*CHOOSE($W$46+1,posicao_contratual!$AB17,posicao_contratual!$AC17,posicao_contratual!$AD17,posicao_contratual!$AE17,posicao_contratual!$AF17),2))))</f>
        <v>0</v>
      </c>
    </row>
    <row r="18" spans="1:30" x14ac:dyDescent="0.35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X18">
        <f>IF(posicao_contratual!$A18="",0,IF(AND(ISNUMBER(posicao_contratual!$Y18),posicao_contratual!$Y18&gt;0),0,IF(AND(ISNUMBER(posicao_contratual!$G18),ISNUMBER(posicao_contratual!$K18),ISNUMBER(historico_VU!$C18)),((posicao_contratual!$G18-N(posicao_contratual!$AB18))-(posicao_contratual!$K18-N(posicao_contratual!$AC18)))*historico_VU!$C18,"")))</f>
        <v>0</v>
      </c>
      <c r="Y18">
        <f>IF(OR(posicao_contratual!$A18="",$T$20=""),0,IF(AND(ISNUMBER(CHOOSE($T$20+1,historico_VU!$C18,historico_VU!$D18,historico_VU!$E18,historico_VU!$F18,historico_VU!$G18)),ISNUMBER(CHOOSE($T$20+1,posicao_contratual!$G18,posicao_contratual!$K18,posicao_contratual!$O18,posicao_contratual!$S18,posicao_contratual!$W18))),ROUND(ROUND(CHOOSE($T$20+1,historico_VU!$C18,historico_VU!$D18,historico_VU!$E18,historico_VU!$F18,historico_VU!$G18),2)*CHOOSE($T$20+1,posicao_contratual!$G18,posicao_contratual!$K18,posicao_contratual!$O18,posicao_contratual!$S18,posicao_contratual!$W18),2),""))</f>
        <v>0</v>
      </c>
      <c r="AB18">
        <f>IF(OR(posicao_contratual!$A18="",$W$46=""),0,IF(AND(ISNUMBER(CHOOSE($W$46+1,historico_VU!$C18,historico_VU!$D18,historico_VU!$E18,historico_VU!$F18,historico_VU!$G18)),ISNUMBER(CHOOSE($W$46+1,posicao_contratual!$G18,posicao_contratual!$K18,posicao_contratual!$O18,posicao_contratual!$S18,posicao_contratual!$W18))),ROUND(ROUND(CHOOSE($W$46+1,historico_VU!$C18,historico_VU!$D18,historico_VU!$E18,historico_VU!$F18,historico_VU!$G18),2)*CHOOSE($W$46+1,posicao_contratual!$G18,posicao_contratual!$K18,posicao_contratual!$O18,posicao_contratual!$S18,posicao_contratual!$W18),2),""))</f>
        <v>0</v>
      </c>
      <c r="AC18">
        <f>IF(OR(posicao_contratual!$A18="",$W$46=""),0,IF(OR($AB18="",$AD18=""),"",ROUND($AB18-$AD18,2)))</f>
        <v>0</v>
      </c>
      <c r="AD18">
        <f>IF(OR(posicao_contratual!$A18="",$W$46=""),0,IF($AB18="","",IF(NOT(ISNUMBER(CHOOSE($W$46+1,posicao_contratual!$AB18,posicao_contratual!$AC18,posicao_contratual!$AD18,posicao_contratual!$AE18,posicao_contratual!$AF18))),0,ROUND(ROUND(CHOOSE($W$46+1,historico_VU!$C18,historico_VU!$D18,historico_VU!$E18,historico_VU!$F18,historico_VU!$G18),2)*CHOOSE($W$46+1,posicao_contratual!$AB18,posicao_contratual!$AC18,posicao_contratual!$AD18,posicao_contratual!$AE18,posicao_contratual!$AF18),2))))</f>
        <v>0</v>
      </c>
    </row>
    <row r="19" spans="1:30" ht="24" customHeight="1" x14ac:dyDescent="0.35">
      <c r="A19" s="481" t="s">
        <v>375</v>
      </c>
      <c r="B19" s="425"/>
      <c r="C19" s="425"/>
      <c r="D19" s="425"/>
      <c r="E19" s="425"/>
      <c r="F19" s="425"/>
      <c r="G19" s="425"/>
      <c r="H19" s="425"/>
      <c r="I19" s="425"/>
      <c r="J19" s="425"/>
      <c r="K19" s="57"/>
      <c r="L19" s="57"/>
      <c r="M19" s="57"/>
      <c r="N19" s="57"/>
      <c r="O19" s="57"/>
      <c r="P19" s="57"/>
      <c r="Q19" s="57"/>
      <c r="S19" t="s">
        <v>376</v>
      </c>
      <c r="X19">
        <f>IF(posicao_contratual!$A19="",0,IF(AND(ISNUMBER(posicao_contratual!$Y19),posicao_contratual!$Y19&gt;0),0,IF(AND(ISNUMBER(posicao_contratual!$G19),ISNUMBER(posicao_contratual!$K19),ISNUMBER(historico_VU!$C19)),((posicao_contratual!$G19-N(posicao_contratual!$AB19))-(posicao_contratual!$K19-N(posicao_contratual!$AC19)))*historico_VU!$C19,"")))</f>
        <v>0</v>
      </c>
      <c r="Y19">
        <f>IF(OR(posicao_contratual!$A19="",$T$20=""),0,IF(AND(ISNUMBER(CHOOSE($T$20+1,historico_VU!$C19,historico_VU!$D19,historico_VU!$E19,historico_VU!$F19,historico_VU!$G19)),ISNUMBER(CHOOSE($T$20+1,posicao_contratual!$G19,posicao_contratual!$K19,posicao_contratual!$O19,posicao_contratual!$S19,posicao_contratual!$W19))),ROUND(ROUND(CHOOSE($T$20+1,historico_VU!$C19,historico_VU!$D19,historico_VU!$E19,historico_VU!$F19,historico_VU!$G19),2)*CHOOSE($T$20+1,posicao_contratual!$G19,posicao_contratual!$K19,posicao_contratual!$O19,posicao_contratual!$S19,posicao_contratual!$W19),2),""))</f>
        <v>0</v>
      </c>
      <c r="AB19">
        <f>IF(OR(posicao_contratual!$A19="",$W$46=""),0,IF(AND(ISNUMBER(CHOOSE($W$46+1,historico_VU!$C19,historico_VU!$D19,historico_VU!$E19,historico_VU!$F19,historico_VU!$G19)),ISNUMBER(CHOOSE($W$46+1,posicao_contratual!$G19,posicao_contratual!$K19,posicao_contratual!$O19,posicao_contratual!$S19,posicao_contratual!$W19))),ROUND(ROUND(CHOOSE($W$46+1,historico_VU!$C19,historico_VU!$D19,historico_VU!$E19,historico_VU!$F19,historico_VU!$G19),2)*CHOOSE($W$46+1,posicao_contratual!$G19,posicao_contratual!$K19,posicao_contratual!$O19,posicao_contratual!$S19,posicao_contratual!$W19),2),""))</f>
        <v>0</v>
      </c>
      <c r="AC19">
        <f>IF(OR(posicao_contratual!$A19="",$W$46=""),0,IF(OR($AB19="",$AD19=""),"",ROUND($AB19-$AD19,2)))</f>
        <v>0</v>
      </c>
      <c r="AD19">
        <f>IF(OR(posicao_contratual!$A19="",$W$46=""),0,IF($AB19="","",IF(NOT(ISNUMBER(CHOOSE($W$46+1,posicao_contratual!$AB19,posicao_contratual!$AC19,posicao_contratual!$AD19,posicao_contratual!$AE19,posicao_contratual!$AF19))),0,ROUND(ROUND(CHOOSE($W$46+1,historico_VU!$C19,historico_VU!$D19,historico_VU!$E19,historico_VU!$F19,historico_VU!$G19),2)*CHOOSE($W$46+1,posicao_contratual!$AB19,posicao_contratual!$AC19,posicao_contratual!$AD19,posicao_contratual!$AE19,posicao_contratual!$AF19),2))))</f>
        <v>0</v>
      </c>
    </row>
    <row r="20" spans="1:30" x14ac:dyDescent="0.35">
      <c r="A20" s="115" t="s">
        <v>377</v>
      </c>
      <c r="B20" s="126">
        <f>IF(COUNTIF(itens_Remanesc!$A$2:$A$200,"&lt;&gt;")=0,"",ROUND(SUMIF(itens_Remanesc!$A$2:$A$200,"&lt;&gt;",itens_Remanesc!$D$2:$D$200),2))</f>
        <v>278000</v>
      </c>
      <c r="C20" s="58" t="s">
        <v>378</v>
      </c>
      <c r="D20" s="58" t="str">
        <f>IF(COUNTIF(financeiro!$C$2:$C$73,"&lt;&gt;")=0,"",ROUND(SUM(financeiro!$C$2:$C$73),2))</f>
        <v/>
      </c>
      <c r="E20" s="58" t="s">
        <v>379</v>
      </c>
      <c r="F20" s="58" t="str">
        <f>IF(OR(COUNT(itens_Consumidos!$E$2:$E$200)&lt;&gt;COUNT(itens_Consumidos!$F$2:$F$200),COUNT(itens_Consumidos!$G$2:$G$200)&lt;&gt;COUNT(itens_Consumidos!$H$2:$H$200),COUNT(itens_Consumidos!$I$2:$I$200)&lt;&gt;COUNT(itens_Consumidos!$J$2:$J$200),COUNT(itens_Consumidos!$K$2:$K$200)&lt;&gt;COUNT(itens_Consumidos!$L$2:$L$200),COUNT(itens_Consumidos!$M$2:$M$200)&lt;&gt;COUNT(itens_Consumidos!$N$2:$N$200)),"",IF(COUNT(itens_Consumidos!$E$2:$E$200,itens_Consumidos!$G$2:$G$200,itens_Consumidos!$I$2:$I$200,itens_Consumidos!$K$2:$K$200,itens_Consumidos!$M$2:$M$200)=0,"",IF(COUNTIF(itens_Consumidos!$AG$2:$AG$6,"REVISAR*")&gt;0,"",ROUND(IF(itens_Consumidos!$AG$2="AJUSTE APLICADO",itens_Consumidos!$AE$2,SUM(itens_Consumidos!$F$2:$F$200))+IF(itens_Consumidos!$AG$3="AJUSTE APLICADO",itens_Consumidos!$AE$3,SUM(itens_Consumidos!$H$2:$H$200))+IF(itens_Consumidos!$AG$4="AJUSTE APLICADO",itens_Consumidos!$AE$4,SUM(itens_Consumidos!$J$2:$J$200))+IF(itens_Consumidos!$AG$5="AJUSTE APLICADO",itens_Consumidos!$AE$5,SUM(itens_Consumidos!$L$2:$L$200))+IF(itens_Consumidos!$AG$6="AJUSTE APLICADO",itens_Consumidos!$AE$6,SUM(itens_Consumidos!$N$2:$N$200)),2))))</f>
        <v/>
      </c>
      <c r="G20" s="58"/>
      <c r="H20" s="58"/>
      <c r="I20" s="58"/>
      <c r="J20" s="58"/>
      <c r="K20" s="57"/>
      <c r="L20" s="57"/>
      <c r="M20" s="57"/>
      <c r="N20" s="57"/>
      <c r="O20" s="57"/>
      <c r="P20" s="57"/>
      <c r="Q20" s="57"/>
      <c r="S20" t="s">
        <v>380</v>
      </c>
      <c r="T20">
        <f>IFERROR(VALUE(MID(CONTROLE!$B$2,2,3)),"")</f>
        <v>1</v>
      </c>
      <c r="X20">
        <f>IF(posicao_contratual!$A20="",0,IF(AND(ISNUMBER(posicao_contratual!$Y20),posicao_contratual!$Y20&gt;0),0,IF(AND(ISNUMBER(posicao_contratual!$G20),ISNUMBER(posicao_contratual!$K20),ISNUMBER(historico_VU!$C20)),((posicao_contratual!$G20-N(posicao_contratual!$AB20))-(posicao_contratual!$K20-N(posicao_contratual!$AC20)))*historico_VU!$C20,"")))</f>
        <v>0</v>
      </c>
      <c r="Y20">
        <f>IF(OR(posicao_contratual!$A20="",$T$20=""),0,IF(AND(ISNUMBER(CHOOSE($T$20+1,historico_VU!$C20,historico_VU!$D20,historico_VU!$E20,historico_VU!$F20,historico_VU!$G20)),ISNUMBER(CHOOSE($T$20+1,posicao_contratual!$G20,posicao_contratual!$K20,posicao_contratual!$O20,posicao_contratual!$S20,posicao_contratual!$W20))),ROUND(ROUND(CHOOSE($T$20+1,historico_VU!$C20,historico_VU!$D20,historico_VU!$E20,historico_VU!$F20,historico_VU!$G20),2)*CHOOSE($T$20+1,posicao_contratual!$G20,posicao_contratual!$K20,posicao_contratual!$O20,posicao_contratual!$S20,posicao_contratual!$W20),2),""))</f>
        <v>0</v>
      </c>
      <c r="AB20">
        <f>IF(OR(posicao_contratual!$A20="",$W$46=""),0,IF(AND(ISNUMBER(CHOOSE($W$46+1,historico_VU!$C20,historico_VU!$D20,historico_VU!$E20,historico_VU!$F20,historico_VU!$G20)),ISNUMBER(CHOOSE($W$46+1,posicao_contratual!$G20,posicao_contratual!$K20,posicao_contratual!$O20,posicao_contratual!$S20,posicao_contratual!$W20))),ROUND(ROUND(CHOOSE($W$46+1,historico_VU!$C20,historico_VU!$D20,historico_VU!$E20,historico_VU!$F20,historico_VU!$G20),2)*CHOOSE($W$46+1,posicao_contratual!$G20,posicao_contratual!$K20,posicao_contratual!$O20,posicao_contratual!$S20,posicao_contratual!$W20),2),""))</f>
        <v>0</v>
      </c>
      <c r="AC20">
        <f>IF(OR(posicao_contratual!$A20="",$W$46=""),0,IF(OR($AB20="",$AD20=""),"",ROUND($AB20-$AD20,2)))</f>
        <v>0</v>
      </c>
      <c r="AD20">
        <f>IF(OR(posicao_contratual!$A20="",$W$46=""),0,IF($AB20="","",IF(NOT(ISNUMBER(CHOOSE($W$46+1,posicao_contratual!$AB20,posicao_contratual!$AC20,posicao_contratual!$AD20,posicao_contratual!$AE20,posicao_contratual!$AF20))),0,ROUND(ROUND(CHOOSE($W$46+1,historico_VU!$C20,historico_VU!$D20,historico_VU!$E20,historico_VU!$F20,historico_VU!$G20),2)*CHOOSE($W$46+1,posicao_contratual!$AB20,posicao_contratual!$AC20,posicao_contratual!$AD20,posicao_contratual!$AE20,posicao_contratual!$AF20),2))))</f>
        <v>0</v>
      </c>
    </row>
    <row r="21" spans="1:30" x14ac:dyDescent="0.35">
      <c r="A21" s="115" t="s">
        <v>381</v>
      </c>
      <c r="B21" s="126">
        <f>IF(B16="","",B16)</f>
        <v>14156.8</v>
      </c>
      <c r="C21" s="58"/>
      <c r="D21" s="58"/>
      <c r="E21" s="58"/>
      <c r="F21" s="58"/>
      <c r="G21" s="58"/>
      <c r="H21" s="58"/>
      <c r="I21" s="58"/>
      <c r="J21" s="58"/>
      <c r="K21" s="57"/>
      <c r="L21" s="57"/>
      <c r="M21" s="57"/>
      <c r="N21" s="57"/>
      <c r="O21" s="57"/>
      <c r="P21" s="57"/>
      <c r="Q21" s="57"/>
      <c r="S21" t="s">
        <v>382</v>
      </c>
      <c r="T21" s="191">
        <f>IF(itens_PC!$O$3&gt;0,ROUND(itens_PC!$O$3+itens_PC!$Q$3,2),SUM($X$2:$X$201))</f>
        <v>0</v>
      </c>
      <c r="X21">
        <f>IF(posicao_contratual!$A21="",0,IF(AND(ISNUMBER(posicao_contratual!$Y21),posicao_contratual!$Y21&gt;0),0,IF(AND(ISNUMBER(posicao_contratual!$G21),ISNUMBER(posicao_contratual!$K21),ISNUMBER(historico_VU!$C21)),((posicao_contratual!$G21-N(posicao_contratual!$AB21))-(posicao_contratual!$K21-N(posicao_contratual!$AC21)))*historico_VU!$C21,"")))</f>
        <v>0</v>
      </c>
      <c r="Y21">
        <f>IF(OR(posicao_contratual!$A21="",$T$20=""),0,IF(AND(ISNUMBER(CHOOSE($T$20+1,historico_VU!$C21,historico_VU!$D21,historico_VU!$E21,historico_VU!$F21,historico_VU!$G21)),ISNUMBER(CHOOSE($T$20+1,posicao_contratual!$G21,posicao_contratual!$K21,posicao_contratual!$O21,posicao_contratual!$S21,posicao_contratual!$W21))),ROUND(ROUND(CHOOSE($T$20+1,historico_VU!$C21,historico_VU!$D21,historico_VU!$E21,historico_VU!$F21,historico_VU!$G21),2)*CHOOSE($T$20+1,posicao_contratual!$G21,posicao_contratual!$K21,posicao_contratual!$O21,posicao_contratual!$S21,posicao_contratual!$W21),2),""))</f>
        <v>0</v>
      </c>
      <c r="AB21">
        <f>IF(OR(posicao_contratual!$A21="",$W$46=""),0,IF(AND(ISNUMBER(CHOOSE($W$46+1,historico_VU!$C21,historico_VU!$D21,historico_VU!$E21,historico_VU!$F21,historico_VU!$G21)),ISNUMBER(CHOOSE($W$46+1,posicao_contratual!$G21,posicao_contratual!$K21,posicao_contratual!$O21,posicao_contratual!$S21,posicao_contratual!$W21))),ROUND(ROUND(CHOOSE($W$46+1,historico_VU!$C21,historico_VU!$D21,historico_VU!$E21,historico_VU!$F21,historico_VU!$G21),2)*CHOOSE($W$46+1,posicao_contratual!$G21,posicao_contratual!$K21,posicao_contratual!$O21,posicao_contratual!$S21,posicao_contratual!$W21),2),""))</f>
        <v>0</v>
      </c>
      <c r="AC21">
        <f>IF(OR(posicao_contratual!$A21="",$W$46=""),0,IF(OR($AB21="",$AD21=""),"",ROUND($AB21-$AD21,2)))</f>
        <v>0</v>
      </c>
      <c r="AD21">
        <f>IF(OR(posicao_contratual!$A21="",$W$46=""),0,IF($AB21="","",IF(NOT(ISNUMBER(CHOOSE($W$46+1,posicao_contratual!$AB21,posicao_contratual!$AC21,posicao_contratual!$AD21,posicao_contratual!$AE21,posicao_contratual!$AF21))),0,ROUND(ROUND(CHOOSE($W$46+1,historico_VU!$C21,historico_VU!$D21,historico_VU!$E21,historico_VU!$F21,historico_VU!$G21),2)*CHOOSE($W$46+1,posicao_contratual!$AB21,posicao_contratual!$AC21,posicao_contratual!$AD21,posicao_contratual!$AE21,posicao_contratual!$AF21),2))))</f>
        <v>0</v>
      </c>
    </row>
    <row r="22" spans="1:30" x14ac:dyDescent="0.35">
      <c r="A22" s="115" t="s">
        <v>383</v>
      </c>
      <c r="B22" s="126">
        <f>IF(OR(C35="",D35=""),"",ROUND(D35-C35,2))</f>
        <v>14233.6</v>
      </c>
      <c r="C22" s="58"/>
      <c r="D22" s="58"/>
      <c r="E22" s="58"/>
      <c r="F22" s="58"/>
      <c r="G22" s="58"/>
      <c r="H22" s="58"/>
      <c r="I22" s="58"/>
      <c r="J22" s="58"/>
      <c r="K22" s="57"/>
      <c r="L22" s="57"/>
      <c r="M22" s="57"/>
      <c r="N22" s="57"/>
      <c r="O22" s="57"/>
      <c r="P22" s="57"/>
      <c r="Q22" s="57"/>
      <c r="S22" t="s">
        <v>384</v>
      </c>
      <c r="T22" s="191">
        <f>SUMPRODUCT((ROW(itens_PC!$O$3:$O$7)-3&gt;=1)*(ROW(itens_PC!$O$3:$O$7)-3&lt;$T$20)*(itens_PC!$O$3:$O$7+itens_PC!$Q$3:$Q$7))</f>
        <v>0</v>
      </c>
      <c r="X22">
        <f>IF(posicao_contratual!$A22="",0,IF(AND(ISNUMBER(posicao_contratual!$Y22),posicao_contratual!$Y22&gt;0),0,IF(AND(ISNUMBER(posicao_contratual!$G22),ISNUMBER(posicao_contratual!$K22),ISNUMBER(historico_VU!$C22)),((posicao_contratual!$G22-N(posicao_contratual!$AB22))-(posicao_contratual!$K22-N(posicao_contratual!$AC22)))*historico_VU!$C22,"")))</f>
        <v>0</v>
      </c>
      <c r="Y22">
        <f>IF(OR(posicao_contratual!$A22="",$T$20=""),0,IF(AND(ISNUMBER(CHOOSE($T$20+1,historico_VU!$C22,historico_VU!$D22,historico_VU!$E22,historico_VU!$F22,historico_VU!$G22)),ISNUMBER(CHOOSE($T$20+1,posicao_contratual!$G22,posicao_contratual!$K22,posicao_contratual!$O22,posicao_contratual!$S22,posicao_contratual!$W22))),ROUND(ROUND(CHOOSE($T$20+1,historico_VU!$C22,historico_VU!$D22,historico_VU!$E22,historico_VU!$F22,historico_VU!$G22),2)*CHOOSE($T$20+1,posicao_contratual!$G22,posicao_contratual!$K22,posicao_contratual!$O22,posicao_contratual!$S22,posicao_contratual!$W22),2),""))</f>
        <v>0</v>
      </c>
      <c r="AB22">
        <f>IF(OR(posicao_contratual!$A22="",$W$46=""),0,IF(AND(ISNUMBER(CHOOSE($W$46+1,historico_VU!$C22,historico_VU!$D22,historico_VU!$E22,historico_VU!$F22,historico_VU!$G22)),ISNUMBER(CHOOSE($W$46+1,posicao_contratual!$G22,posicao_contratual!$K22,posicao_contratual!$O22,posicao_contratual!$S22,posicao_contratual!$W22))),ROUND(ROUND(CHOOSE($W$46+1,historico_VU!$C22,historico_VU!$D22,historico_VU!$E22,historico_VU!$F22,historico_VU!$G22),2)*CHOOSE($W$46+1,posicao_contratual!$G22,posicao_contratual!$K22,posicao_contratual!$O22,posicao_contratual!$S22,posicao_contratual!$W22),2),""))</f>
        <v>0</v>
      </c>
      <c r="AC22">
        <f>IF(OR(posicao_contratual!$A22="",$W$46=""),0,IF(OR($AB22="",$AD22=""),"",ROUND($AB22-$AD22,2)))</f>
        <v>0</v>
      </c>
      <c r="AD22">
        <f>IF(OR(posicao_contratual!$A22="",$W$46=""),0,IF($AB22="","",IF(NOT(ISNUMBER(CHOOSE($W$46+1,posicao_contratual!$AB22,posicao_contratual!$AC22,posicao_contratual!$AD22,posicao_contratual!$AE22,posicao_contratual!$AF22))),0,ROUND(ROUND(CHOOSE($W$46+1,historico_VU!$C22,historico_VU!$D22,historico_VU!$E22,historico_VU!$F22,historico_VU!$G22),2)*CHOOSE($W$46+1,posicao_contratual!$AB22,posicao_contratual!$AC22,posicao_contratual!$AD22,posicao_contratual!$AE22,posicao_contratual!$AF22),2))))</f>
        <v>0</v>
      </c>
    </row>
    <row r="23" spans="1:30" x14ac:dyDescent="0.35">
      <c r="A23" s="115" t="s">
        <v>385</v>
      </c>
      <c r="B23" s="126">
        <f>IF(OR(B20="",B21="",B22=""),"",ROUND(B20+B21+B22,2))</f>
        <v>306390.40000000002</v>
      </c>
      <c r="C23" s="58"/>
      <c r="D23" s="58"/>
      <c r="E23" s="58"/>
      <c r="F23" s="58"/>
      <c r="G23" s="58"/>
      <c r="H23" s="58"/>
      <c r="I23" s="58"/>
      <c r="J23" s="58"/>
      <c r="K23" s="57"/>
      <c r="L23" s="57"/>
      <c r="M23" s="57"/>
      <c r="N23" s="57"/>
      <c r="O23" s="57"/>
      <c r="P23" s="57"/>
      <c r="Q23" s="57"/>
      <c r="S23" t="s">
        <v>386</v>
      </c>
      <c r="T23" s="191">
        <f>SUM($Y$2:$Y$201)</f>
        <v>292233.59999999998</v>
      </c>
      <c r="X23">
        <f>IF(posicao_contratual!$A23="",0,IF(AND(ISNUMBER(posicao_contratual!$Y23),posicao_contratual!$Y23&gt;0),0,IF(AND(ISNUMBER(posicao_contratual!$G23),ISNUMBER(posicao_contratual!$K23),ISNUMBER(historico_VU!$C23)),((posicao_contratual!$G23-N(posicao_contratual!$AB23))-(posicao_contratual!$K23-N(posicao_contratual!$AC23)))*historico_VU!$C23,"")))</f>
        <v>0</v>
      </c>
      <c r="Y23">
        <f>IF(OR(posicao_contratual!$A23="",$T$20=""),0,IF(AND(ISNUMBER(CHOOSE($T$20+1,historico_VU!$C23,historico_VU!$D23,historico_VU!$E23,historico_VU!$F23,historico_VU!$G23)),ISNUMBER(CHOOSE($T$20+1,posicao_contratual!$G23,posicao_contratual!$K23,posicao_contratual!$O23,posicao_contratual!$S23,posicao_contratual!$W23))),ROUND(ROUND(CHOOSE($T$20+1,historico_VU!$C23,historico_VU!$D23,historico_VU!$E23,historico_VU!$F23,historico_VU!$G23),2)*CHOOSE($T$20+1,posicao_contratual!$G23,posicao_contratual!$K23,posicao_contratual!$O23,posicao_contratual!$S23,posicao_contratual!$W23),2),""))</f>
        <v>0</v>
      </c>
      <c r="AB23">
        <f>IF(OR(posicao_contratual!$A23="",$W$46=""),0,IF(AND(ISNUMBER(CHOOSE($W$46+1,historico_VU!$C23,historico_VU!$D23,historico_VU!$E23,historico_VU!$F23,historico_VU!$G23)),ISNUMBER(CHOOSE($W$46+1,posicao_contratual!$G23,posicao_contratual!$K23,posicao_contratual!$O23,posicao_contratual!$S23,posicao_contratual!$W23))),ROUND(ROUND(CHOOSE($W$46+1,historico_VU!$C23,historico_VU!$D23,historico_VU!$E23,historico_VU!$F23,historico_VU!$G23),2)*CHOOSE($W$46+1,posicao_contratual!$G23,posicao_contratual!$K23,posicao_contratual!$O23,posicao_contratual!$S23,posicao_contratual!$W23),2),""))</f>
        <v>0</v>
      </c>
      <c r="AC23">
        <f>IF(OR(posicao_contratual!$A23="",$W$46=""),0,IF(OR($AB23="",$AD23=""),"",ROUND($AB23-$AD23,2)))</f>
        <v>0</v>
      </c>
      <c r="AD23">
        <f>IF(OR(posicao_contratual!$A23="",$W$46=""),0,IF($AB23="","",IF(NOT(ISNUMBER(CHOOSE($W$46+1,posicao_contratual!$AB23,posicao_contratual!$AC23,posicao_contratual!$AD23,posicao_contratual!$AE23,posicao_contratual!$AF23))),0,ROUND(ROUND(CHOOSE($W$46+1,historico_VU!$C23,historico_VU!$D23,historico_VU!$E23,historico_VU!$F23,historico_VU!$G23),2)*CHOOSE($W$46+1,posicao_contratual!$AB23,posicao_contratual!$AC23,posicao_contratual!$AD23,posicao_contratual!$AE23,posicao_contratual!$AF23),2))))</f>
        <v>0</v>
      </c>
    </row>
    <row r="24" spans="1:30" x14ac:dyDescent="0.35">
      <c r="A24" s="115" t="s">
        <v>387</v>
      </c>
      <c r="B24" s="60" t="str">
        <f>IF(AND(RESULTADOS!$G$44="Sim",RESULTADOS!$C$44&lt;&gt;""),RESULTADOS!$C$44,"")</f>
        <v/>
      </c>
      <c r="C24" s="115" t="s">
        <v>388</v>
      </c>
      <c r="D24" s="487" t="str">
        <f>IF(AND(RESULTADOS!$G$44="Sim",RESULTADOS!$D$44&lt;&gt;""),RESULTADOS!$D$44,"")</f>
        <v/>
      </c>
      <c r="E24" s="488"/>
      <c r="F24" s="488"/>
      <c r="G24" s="488"/>
      <c r="H24" s="488"/>
      <c r="I24" s="488"/>
      <c r="J24" s="489"/>
      <c r="K24" s="57"/>
      <c r="L24" s="57"/>
      <c r="M24" s="57"/>
      <c r="N24" s="57"/>
      <c r="O24" s="57"/>
      <c r="P24" s="57"/>
      <c r="Q24" s="57"/>
      <c r="S24" t="s">
        <v>389</v>
      </c>
      <c r="T24">
        <f>IF(COUNTIF(posicao_contratual!$A$2:$A$201,"&lt;&gt;")=0,0,1)</f>
        <v>1</v>
      </c>
      <c r="X24">
        <f>IF(posicao_contratual!$A24="",0,IF(AND(ISNUMBER(posicao_contratual!$Y24),posicao_contratual!$Y24&gt;0),0,IF(AND(ISNUMBER(posicao_contratual!$G24),ISNUMBER(posicao_contratual!$K24),ISNUMBER(historico_VU!$C24)),((posicao_contratual!$G24-N(posicao_contratual!$AB24))-(posicao_contratual!$K24-N(posicao_contratual!$AC24)))*historico_VU!$C24,"")))</f>
        <v>0</v>
      </c>
      <c r="Y24">
        <f>IF(OR(posicao_contratual!$A24="",$T$20=""),0,IF(AND(ISNUMBER(CHOOSE($T$20+1,historico_VU!$C24,historico_VU!$D24,historico_VU!$E24,historico_VU!$F24,historico_VU!$G24)),ISNUMBER(CHOOSE($T$20+1,posicao_contratual!$G24,posicao_contratual!$K24,posicao_contratual!$O24,posicao_contratual!$S24,posicao_contratual!$W24))),ROUND(ROUND(CHOOSE($T$20+1,historico_VU!$C24,historico_VU!$D24,historico_VU!$E24,historico_VU!$F24,historico_VU!$G24),2)*CHOOSE($T$20+1,posicao_contratual!$G24,posicao_contratual!$K24,posicao_contratual!$O24,posicao_contratual!$S24,posicao_contratual!$W24),2),""))</f>
        <v>0</v>
      </c>
      <c r="AB24">
        <f>IF(OR(posicao_contratual!$A24="",$W$46=""),0,IF(AND(ISNUMBER(CHOOSE($W$46+1,historico_VU!$C24,historico_VU!$D24,historico_VU!$E24,historico_VU!$F24,historico_VU!$G24)),ISNUMBER(CHOOSE($W$46+1,posicao_contratual!$G24,posicao_contratual!$K24,posicao_contratual!$O24,posicao_contratual!$S24,posicao_contratual!$W24))),ROUND(ROUND(CHOOSE($W$46+1,historico_VU!$C24,historico_VU!$D24,historico_VU!$E24,historico_VU!$F24,historico_VU!$G24),2)*CHOOSE($W$46+1,posicao_contratual!$G24,posicao_contratual!$K24,posicao_contratual!$O24,posicao_contratual!$S24,posicao_contratual!$W24),2),""))</f>
        <v>0</v>
      </c>
      <c r="AC24">
        <f>IF(OR(posicao_contratual!$A24="",$W$46=""),0,IF(OR($AB24="",$AD24=""),"",ROUND($AB24-$AD24,2)))</f>
        <v>0</v>
      </c>
      <c r="AD24">
        <f>IF(OR(posicao_contratual!$A24="",$W$46=""),0,IF($AB24="","",IF(NOT(ISNUMBER(CHOOSE($W$46+1,posicao_contratual!$AB24,posicao_contratual!$AC24,posicao_contratual!$AD24,posicao_contratual!$AE24,posicao_contratual!$AF24))),0,ROUND(ROUND(CHOOSE($W$46+1,historico_VU!$C24,historico_VU!$D24,historico_VU!$E24,historico_VU!$F24,historico_VU!$G24),2)*CHOOSE($W$46+1,posicao_contratual!$AB24,posicao_contratual!$AC24,posicao_contratual!$AD24,posicao_contratual!$AE24,posicao_contratual!$AF24),2))))</f>
        <v>0</v>
      </c>
    </row>
    <row r="25" spans="1:30" ht="26" customHeight="1" x14ac:dyDescent="0.35">
      <c r="A25" s="115" t="s">
        <v>390</v>
      </c>
      <c r="B25" s="60" t="str">
        <f>IF(AND(RESULTADOS!$G$45="Sim",RESULTADOS!$C$45&lt;&gt;""),RESULTADOS!$C$45,"")</f>
        <v/>
      </c>
      <c r="C25" s="115" t="s">
        <v>391</v>
      </c>
      <c r="D25" s="487" t="str">
        <f>IF(AND(RESULTADOS!$G$45="Sim",RESULTADOS!$D$45&lt;&gt;""),RESULTADOS!$D$45,"")</f>
        <v/>
      </c>
      <c r="E25" s="488"/>
      <c r="F25" s="488"/>
      <c r="G25" s="488"/>
      <c r="H25" s="488"/>
      <c r="I25" s="488"/>
      <c r="J25" s="489"/>
      <c r="K25" s="57"/>
      <c r="L25" s="57"/>
      <c r="M25" s="57"/>
      <c r="N25" s="57"/>
      <c r="O25" s="57"/>
      <c r="P25" s="57"/>
      <c r="Q25" s="57"/>
      <c r="S25" t="s">
        <v>392</v>
      </c>
      <c r="T25" s="191">
        <f>IF(OR($T$24=0,$T$20="",$T$26&gt;0,AND(NOT(itens_PC!$P$3&gt;0),$T$27&gt;0)),"CALCULO MANUAL REQUERIDO",ROUND($T$21+$T$22+$T$23+$T$39,2))</f>
        <v>299670.40000000002</v>
      </c>
      <c r="X25">
        <f>IF(posicao_contratual!$A25="",0,IF(AND(ISNUMBER(posicao_contratual!$Y25),posicao_contratual!$Y25&gt;0),0,IF(AND(ISNUMBER(posicao_contratual!$G25),ISNUMBER(posicao_contratual!$K25),ISNUMBER(historico_VU!$C25)),((posicao_contratual!$G25-N(posicao_contratual!$AB25))-(posicao_contratual!$K25-N(posicao_contratual!$AC25)))*historico_VU!$C25,"")))</f>
        <v>0</v>
      </c>
      <c r="Y25">
        <f>IF(OR(posicao_contratual!$A25="",$T$20=""),0,IF(AND(ISNUMBER(CHOOSE($T$20+1,historico_VU!$C25,historico_VU!$D25,historico_VU!$E25,historico_VU!$F25,historico_VU!$G25)),ISNUMBER(CHOOSE($T$20+1,posicao_contratual!$G25,posicao_contratual!$K25,posicao_contratual!$O25,posicao_contratual!$S25,posicao_contratual!$W25))),ROUND(ROUND(CHOOSE($T$20+1,historico_VU!$C25,historico_VU!$D25,historico_VU!$E25,historico_VU!$F25,historico_VU!$G25),2)*CHOOSE($T$20+1,posicao_contratual!$G25,posicao_contratual!$K25,posicao_contratual!$O25,posicao_contratual!$S25,posicao_contratual!$W25),2),""))</f>
        <v>0</v>
      </c>
      <c r="AB25">
        <f>IF(OR(posicao_contratual!$A25="",$W$46=""),0,IF(AND(ISNUMBER(CHOOSE($W$46+1,historico_VU!$C25,historico_VU!$D25,historico_VU!$E25,historico_VU!$F25,historico_VU!$G25)),ISNUMBER(CHOOSE($W$46+1,posicao_contratual!$G25,posicao_contratual!$K25,posicao_contratual!$O25,posicao_contratual!$S25,posicao_contratual!$W25))),ROUND(ROUND(CHOOSE($W$46+1,historico_VU!$C25,historico_VU!$D25,historico_VU!$E25,historico_VU!$F25,historico_VU!$G25),2)*CHOOSE($W$46+1,posicao_contratual!$G25,posicao_contratual!$K25,posicao_contratual!$O25,posicao_contratual!$S25,posicao_contratual!$W25),2),""))</f>
        <v>0</v>
      </c>
      <c r="AC25">
        <f>IF(OR(posicao_contratual!$A25="",$W$46=""),0,IF(OR($AB25="",$AD25=""),"",ROUND($AB25-$AD25,2)))</f>
        <v>0</v>
      </c>
      <c r="AD25">
        <f>IF(OR(posicao_contratual!$A25="",$W$46=""),0,IF($AB25="","",IF(NOT(ISNUMBER(CHOOSE($W$46+1,posicao_contratual!$AB25,posicao_contratual!$AC25,posicao_contratual!$AD25,posicao_contratual!$AE25,posicao_contratual!$AF25))),0,ROUND(ROUND(CHOOSE($W$46+1,historico_VU!$C25,historico_VU!$D25,historico_VU!$E25,historico_VU!$F25,historico_VU!$G25),2)*CHOOSE($W$46+1,posicao_contratual!$AB25,posicao_contratual!$AC25,posicao_contratual!$AD25,posicao_contratual!$AE25,posicao_contratual!$AF25),2))))</f>
        <v>0</v>
      </c>
    </row>
    <row r="26" spans="1:30" x14ac:dyDescent="0.35">
      <c r="A26" s="115" t="s">
        <v>393</v>
      </c>
      <c r="B26" s="127">
        <f>IF(AND(B24&lt;&gt;"",B25&lt;&gt;""),"",IF(ISNUMBER(B25),B25,IF($B$4="PCs",IF($T$25="CALCULO MANUAL REQUERIDO","",ROUND($T$25+IF(ISNUMBER(B24),B24,0),2)),IF($B$4="Financeiro",IF(OR($D$20="",B21="",D35="",AND(B24&lt;&gt;"",NOT(ISNUMBER(B24)))),"",ROUND($D$20+B21+D35+IF(ISNUMBER(B24),B24,0)+IF(ISNUMBER($N$263),$N$263,0),2)),IF($B$4="Itens",IF(OR($F$20="",D35="",AND(B24&lt;&gt;"",NOT(ISNUMBER(B24)))),"",ROUND($F$20+D35+IF(ISNUMBER(B24),B24,0)+IF(ISNUMBER($N$263),$N$263,0),2)),IF(OR(B23="",AND(B24&lt;&gt;"",NOT(ISNUMBER(B24)))),"",ROUND(B23+IF(ISNUMBER(B24),B24,0)+IF(ISNUMBER($N$263),$N$263,0),2)))))))</f>
        <v>299670.40000000002</v>
      </c>
      <c r="C26" s="115" t="s">
        <v>373</v>
      </c>
      <c r="D26" s="58"/>
      <c r="E26" s="490" t="str">
        <f ca="1">IF($B$4="Itens",IF(ISNUMBER($B$26),"CALCULADO - CONFERIR","INCOMPLETO - CALCULO MANUAL REQUERIDO"),IF(AND(B24&lt;&gt;"",B25&lt;&gt;""),"ENTRADA MANUAL DUPLA — CORRIGIR",IF(B25&lt;&gt;"",IF(NOT(ISNUMBER(B25)),"VTA MANUAL INVÁLIDO",IF(D25="","JUSTIFICATIVA OBRIGATÓRIA","MANUAL VALIDADO")),IF(B24&lt;&gt;"",IF(NOT(ISNUMBER(B24)),"AJUSTE MANUAL INVÁLIDO",IF(D24="","JUSTIFICATIVA OBRIGATÓRIA",IF(B23="","BASE INDISPONÍVEL — USE VTA MANUAL","VTA COM AJUSTE MANUAL — CONFERIR"))),IF(B23="","INCOMPLETO — CÁLCULO MANUAL REQUERIDO",IF(OR(AND(F16&lt;&gt;"CALCULADO — CONFERIR",F16&lt;&gt;"MANUAL VALIDADO"),AND(F36&lt;&gt;"CALCULADO — CONFERIR",F36&lt;&gt;"BASE ÚNICA — CONFERIR"),$J$44&gt;0,AND($B$45&gt;0,NOT(AND(ISNUMBER($W$51),ROUND($W$51,2)=0,ISNUMBER($W$55),ROUND($W$55,2)=0)))),"CÁLCULO MANUAL REQUERIDO","CALCULADO — CONFERIR"))))))</f>
        <v>CALCULADO — CONFERIR</v>
      </c>
      <c r="F26" s="488"/>
      <c r="G26" s="488"/>
      <c r="H26" s="488"/>
      <c r="I26" s="488"/>
      <c r="J26" s="489"/>
      <c r="K26" s="57"/>
      <c r="L26" s="57"/>
      <c r="M26" s="57"/>
      <c r="N26" s="57"/>
      <c r="O26" s="57"/>
      <c r="P26" s="57"/>
      <c r="Q26" s="57"/>
      <c r="S26" t="s">
        <v>394</v>
      </c>
      <c r="T26">
        <f>IF($T$20="",0,SUMPRODUCT((posicao_contratual!$A$2:$A$201&lt;&gt;"")*(1-ISNUMBER(CHOOSE($T$20+1,posicao_contratual!$G$2:$G$201,posicao_contratual!$K$2:$K$201,posicao_contratual!$O$2:$O$201,posicao_contratual!$S$2:$S$201,posicao_contratual!$W$2:$W$201)))))</f>
        <v>0</v>
      </c>
      <c r="X26">
        <f>IF(posicao_contratual!$A26="",0,IF(AND(ISNUMBER(posicao_contratual!$Y26),posicao_contratual!$Y26&gt;0),0,IF(AND(ISNUMBER(posicao_contratual!$G26),ISNUMBER(posicao_contratual!$K26),ISNUMBER(historico_VU!$C26)),((posicao_contratual!$G26-N(posicao_contratual!$AB26))-(posicao_contratual!$K26-N(posicao_contratual!$AC26)))*historico_VU!$C26,"")))</f>
        <v>0</v>
      </c>
      <c r="Y26">
        <f>IF(OR(posicao_contratual!$A26="",$T$20=""),0,IF(AND(ISNUMBER(CHOOSE($T$20+1,historico_VU!$C26,historico_VU!$D26,historico_VU!$E26,historico_VU!$F26,historico_VU!$G26)),ISNUMBER(CHOOSE($T$20+1,posicao_contratual!$G26,posicao_contratual!$K26,posicao_contratual!$O26,posicao_contratual!$S26,posicao_contratual!$W26))),ROUND(ROUND(CHOOSE($T$20+1,historico_VU!$C26,historico_VU!$D26,historico_VU!$E26,historico_VU!$F26,historico_VU!$G26),2)*CHOOSE($T$20+1,posicao_contratual!$G26,posicao_contratual!$K26,posicao_contratual!$O26,posicao_contratual!$S26,posicao_contratual!$W26),2),""))</f>
        <v>0</v>
      </c>
      <c r="AB26">
        <f>IF(OR(posicao_contratual!$A26="",$W$46=""),0,IF(AND(ISNUMBER(CHOOSE($W$46+1,historico_VU!$C26,historico_VU!$D26,historico_VU!$E26,historico_VU!$F26,historico_VU!$G26)),ISNUMBER(CHOOSE($W$46+1,posicao_contratual!$G26,posicao_contratual!$K26,posicao_contratual!$O26,posicao_contratual!$S26,posicao_contratual!$W26))),ROUND(ROUND(CHOOSE($W$46+1,historico_VU!$C26,historico_VU!$D26,historico_VU!$E26,historico_VU!$F26,historico_VU!$G26),2)*CHOOSE($W$46+1,posicao_contratual!$G26,posicao_contratual!$K26,posicao_contratual!$O26,posicao_contratual!$S26,posicao_contratual!$W26),2),""))</f>
        <v>0</v>
      </c>
      <c r="AC26">
        <f>IF(OR(posicao_contratual!$A26="",$W$46=""),0,IF(OR($AB26="",$AD26=""),"",ROUND($AB26-$AD26,2)))</f>
        <v>0</v>
      </c>
      <c r="AD26">
        <f>IF(OR(posicao_contratual!$A26="",$W$46=""),0,IF($AB26="","",IF(NOT(ISNUMBER(CHOOSE($W$46+1,posicao_contratual!$AB26,posicao_contratual!$AC26,posicao_contratual!$AD26,posicao_contratual!$AE26,posicao_contratual!$AF26))),0,ROUND(ROUND(CHOOSE($W$46+1,historico_VU!$C26,historico_VU!$D26,historico_VU!$E26,historico_VU!$F26,historico_VU!$G26),2)*CHOOSE($W$46+1,posicao_contratual!$AB26,posicao_contratual!$AC26,posicao_contratual!$AD26,posicao_contratual!$AE26,posicao_contratual!$AF26),2))))</f>
        <v>0</v>
      </c>
    </row>
    <row r="27" spans="1:30" ht="34" customHeight="1" x14ac:dyDescent="0.35">
      <c r="A27" s="484" t="s">
        <v>395</v>
      </c>
      <c r="B27" s="425"/>
      <c r="C27" s="425"/>
      <c r="D27" s="425"/>
      <c r="E27" s="425"/>
      <c r="F27" s="425"/>
      <c r="G27" s="425"/>
      <c r="H27" s="425"/>
      <c r="I27" s="425"/>
      <c r="J27" s="425"/>
      <c r="K27" s="57"/>
      <c r="L27" s="57"/>
      <c r="M27" s="57"/>
      <c r="N27" s="57"/>
      <c r="O27" s="57"/>
      <c r="P27" s="57"/>
      <c r="Q27" s="57"/>
      <c r="S27" t="s">
        <v>396</v>
      </c>
      <c r="T27">
        <f>SUMPRODUCT((posicao_contratual!$A$2:$A$201&lt;&gt;"")*(1-ISNUMBER(posicao_contratual!$AL$2:$AL$201)*(posicao_contratual!$AL$2:$AL$201&gt;0))*(1-ISNUMBER(posicao_contratual!$G$2:$G$201)*ISNUMBER(posicao_contratual!$K$2:$K$201)*ISNUMBER(historico_VU!$C$2:$C$201)))</f>
        <v>0</v>
      </c>
      <c r="X27">
        <f>IF(posicao_contratual!$A27="",0,IF(AND(ISNUMBER(posicao_contratual!$Y27),posicao_contratual!$Y27&gt;0),0,IF(AND(ISNUMBER(posicao_contratual!$G27),ISNUMBER(posicao_contratual!$K27),ISNUMBER(historico_VU!$C27)),((posicao_contratual!$G27-N(posicao_contratual!$AB27))-(posicao_contratual!$K27-N(posicao_contratual!$AC27)))*historico_VU!$C27,"")))</f>
        <v>0</v>
      </c>
      <c r="Y27">
        <f>IF(OR(posicao_contratual!$A27="",$T$20=""),0,IF(AND(ISNUMBER(CHOOSE($T$20+1,historico_VU!$C27,historico_VU!$D27,historico_VU!$E27,historico_VU!$F27,historico_VU!$G27)),ISNUMBER(CHOOSE($T$20+1,posicao_contratual!$G27,posicao_contratual!$K27,posicao_contratual!$O27,posicao_contratual!$S27,posicao_contratual!$W27))),ROUND(ROUND(CHOOSE($T$20+1,historico_VU!$C27,historico_VU!$D27,historico_VU!$E27,historico_VU!$F27,historico_VU!$G27),2)*CHOOSE($T$20+1,posicao_contratual!$G27,posicao_contratual!$K27,posicao_contratual!$O27,posicao_contratual!$S27,posicao_contratual!$W27),2),""))</f>
        <v>0</v>
      </c>
      <c r="AB27">
        <f>IF(OR(posicao_contratual!$A27="",$W$46=""),0,IF(AND(ISNUMBER(CHOOSE($W$46+1,historico_VU!$C27,historico_VU!$D27,historico_VU!$E27,historico_VU!$F27,historico_VU!$G27)),ISNUMBER(CHOOSE($W$46+1,posicao_contratual!$G27,posicao_contratual!$K27,posicao_contratual!$O27,posicao_contratual!$S27,posicao_contratual!$W27))),ROUND(ROUND(CHOOSE($W$46+1,historico_VU!$C27,historico_VU!$D27,historico_VU!$E27,historico_VU!$F27,historico_VU!$G27),2)*CHOOSE($W$46+1,posicao_contratual!$G27,posicao_contratual!$K27,posicao_contratual!$O27,posicao_contratual!$S27,posicao_contratual!$W27),2),""))</f>
        <v>0</v>
      </c>
      <c r="AC27">
        <f>IF(OR(posicao_contratual!$A27="",$W$46=""),0,IF(OR($AB27="",$AD27=""),"",ROUND($AB27-$AD27,2)))</f>
        <v>0</v>
      </c>
      <c r="AD27">
        <f>IF(OR(posicao_contratual!$A27="",$W$46=""),0,IF($AB27="","",IF(NOT(ISNUMBER(CHOOSE($W$46+1,posicao_contratual!$AB27,posicao_contratual!$AC27,posicao_contratual!$AD27,posicao_contratual!$AE27,posicao_contratual!$AF27))),0,ROUND(ROUND(CHOOSE($W$46+1,historico_VU!$C27,historico_VU!$D27,historico_VU!$E27,historico_VU!$F27,historico_VU!$G27),2)*CHOOSE($W$46+1,posicao_contratual!$AB27,posicao_contratual!$AC27,posicao_contratual!$AD27,posicao_contratual!$AE27,posicao_contratual!$AF27),2))))</f>
        <v>0</v>
      </c>
    </row>
    <row r="28" spans="1:30" x14ac:dyDescent="0.35">
      <c r="A28" s="199" t="s">
        <v>397</v>
      </c>
      <c r="B28" s="198">
        <f>IF(OR($B$4="Financeiro",$B$4="Itens"),$B$23,$B$26)</f>
        <v>299670.40000000002</v>
      </c>
      <c r="C28" s="199" t="s">
        <v>398</v>
      </c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S28" t="s">
        <v>399</v>
      </c>
      <c r="T28">
        <f>COUNTIFS(itens_PC!$C$2:$C$5001,"C1",itens_PC!$L$2:$L$5001,"Nao",itens_PC!$D$2:$D$5001,"&gt;0")*(parametros!$A$3="Sim")+COUNTIFS(itens_PC!$C$2:$C$5001,"C2",itens_PC!$L$2:$L$5001,"Nao",itens_PC!$D$2:$D$5001,"&gt;0")*(parametros!$A$4="Sim")+COUNTIFS(itens_PC!$C$2:$C$5001,"C3",itens_PC!$L$2:$L$5001,"Nao",itens_PC!$D$2:$D$5001,"&gt;0")*(parametros!$A$5="Sim")+COUNTIFS(itens_PC!$C$2:$C$5001,"C4",itens_PC!$L$2:$L$5001,"Nao",itens_PC!$D$2:$D$5001,"&gt;0")*(parametros!$A$6="Sim")</f>
        <v>0</v>
      </c>
      <c r="X28">
        <f>IF(posicao_contratual!$A28="",0,IF(AND(ISNUMBER(posicao_contratual!$Y28),posicao_contratual!$Y28&gt;0),0,IF(AND(ISNUMBER(posicao_contratual!$G28),ISNUMBER(posicao_contratual!$K28),ISNUMBER(historico_VU!$C28)),((posicao_contratual!$G28-N(posicao_contratual!$AB28))-(posicao_contratual!$K28-N(posicao_contratual!$AC28)))*historico_VU!$C28,"")))</f>
        <v>0</v>
      </c>
      <c r="Y28">
        <f>IF(OR(posicao_contratual!$A28="",$T$20=""),0,IF(AND(ISNUMBER(CHOOSE($T$20+1,historico_VU!$C28,historico_VU!$D28,historico_VU!$E28,historico_VU!$F28,historico_VU!$G28)),ISNUMBER(CHOOSE($T$20+1,posicao_contratual!$G28,posicao_contratual!$K28,posicao_contratual!$O28,posicao_contratual!$S28,posicao_contratual!$W28))),ROUND(ROUND(CHOOSE($T$20+1,historico_VU!$C28,historico_VU!$D28,historico_VU!$E28,historico_VU!$F28,historico_VU!$G28),2)*CHOOSE($T$20+1,posicao_contratual!$G28,posicao_contratual!$K28,posicao_contratual!$O28,posicao_contratual!$S28,posicao_contratual!$W28),2),""))</f>
        <v>0</v>
      </c>
      <c r="AB28">
        <f>IF(OR(posicao_contratual!$A28="",$W$46=""),0,IF(AND(ISNUMBER(CHOOSE($W$46+1,historico_VU!$C28,historico_VU!$D28,historico_VU!$E28,historico_VU!$F28,historico_VU!$G28)),ISNUMBER(CHOOSE($W$46+1,posicao_contratual!$G28,posicao_contratual!$K28,posicao_contratual!$O28,posicao_contratual!$S28,posicao_contratual!$W28))),ROUND(ROUND(CHOOSE($W$46+1,historico_VU!$C28,historico_VU!$D28,historico_VU!$E28,historico_VU!$F28,historico_VU!$G28),2)*CHOOSE($W$46+1,posicao_contratual!$G28,posicao_contratual!$K28,posicao_contratual!$O28,posicao_contratual!$S28,posicao_contratual!$W28),2),""))</f>
        <v>0</v>
      </c>
      <c r="AC28">
        <f>IF(OR(posicao_contratual!$A28="",$W$46=""),0,IF(OR($AB28="",$AD28=""),"",ROUND($AB28-$AD28,2)))</f>
        <v>0</v>
      </c>
      <c r="AD28">
        <f>IF(OR(posicao_contratual!$A28="",$W$46=""),0,IF($AB28="","",IF(NOT(ISNUMBER(CHOOSE($W$46+1,posicao_contratual!$AB28,posicao_contratual!$AC28,posicao_contratual!$AD28,posicao_contratual!$AE28,posicao_contratual!$AF28))),0,ROUND(ROUND(CHOOSE($W$46+1,historico_VU!$C28,historico_VU!$D28,historico_VU!$E28,historico_VU!$F28,historico_VU!$G28),2)*CHOOSE($W$46+1,posicao_contratual!$AB28,posicao_contratual!$AC28,posicao_contratual!$AD28,posicao_contratual!$AE28,posicao_contratual!$AF28),2))))</f>
        <v>0</v>
      </c>
    </row>
    <row r="29" spans="1:30" x14ac:dyDescent="0.35">
      <c r="A29" s="199" t="s">
        <v>400</v>
      </c>
      <c r="B29" s="198">
        <f>comparativo_VTA!$B$208</f>
        <v>292233.59999999998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S29" t="s">
        <v>401</v>
      </c>
      <c r="T29">
        <f>ROUND(SUMIFS(itens_PC!$D$2:$D$5001,itens_PC!$C$2:$C$5001,"C1",itens_PC!$L$2:$L$5001,"Nao",itens_PC!$D$2:$D$5001,"&gt;0")*(parametros!$A$3="Sim")+SUMIFS(itens_PC!$D$2:$D$5001,itens_PC!$C$2:$C$5001,"C2",itens_PC!$L$2:$L$5001,"Nao",itens_PC!$D$2:$D$5001,"&gt;0")*(parametros!$A$4="Sim")+SUMIFS(itens_PC!$D$2:$D$5001,itens_PC!$C$2:$C$5001,"C3",itens_PC!$L$2:$L$5001,"Nao",itens_PC!$D$2:$D$5001,"&gt;0")*(parametros!$A$5="Sim")+SUMIFS(itens_PC!$D$2:$D$5001,itens_PC!$C$2:$C$5001,"C4",itens_PC!$L$2:$L$5001,"Nao",itens_PC!$D$2:$D$5001,"&gt;0")*(parametros!$A$6="Sim"),2)</f>
        <v>0</v>
      </c>
      <c r="X29">
        <f>IF(posicao_contratual!$A29="",0,IF(AND(ISNUMBER(posicao_contratual!$Y29),posicao_contratual!$Y29&gt;0),0,IF(AND(ISNUMBER(posicao_contratual!$G29),ISNUMBER(posicao_contratual!$K29),ISNUMBER(historico_VU!$C29)),((posicao_contratual!$G29-N(posicao_contratual!$AB29))-(posicao_contratual!$K29-N(posicao_contratual!$AC29)))*historico_VU!$C29,"")))</f>
        <v>0</v>
      </c>
      <c r="Y29">
        <f>IF(OR(posicao_contratual!$A29="",$T$20=""),0,IF(AND(ISNUMBER(CHOOSE($T$20+1,historico_VU!$C29,historico_VU!$D29,historico_VU!$E29,historico_VU!$F29,historico_VU!$G29)),ISNUMBER(CHOOSE($T$20+1,posicao_contratual!$G29,posicao_contratual!$K29,posicao_contratual!$O29,posicao_contratual!$S29,posicao_contratual!$W29))),ROUND(ROUND(CHOOSE($T$20+1,historico_VU!$C29,historico_VU!$D29,historico_VU!$E29,historico_VU!$F29,historico_VU!$G29),2)*CHOOSE($T$20+1,posicao_contratual!$G29,posicao_contratual!$K29,posicao_contratual!$O29,posicao_contratual!$S29,posicao_contratual!$W29),2),""))</f>
        <v>0</v>
      </c>
      <c r="AB29">
        <f>IF(OR(posicao_contratual!$A29="",$W$46=""),0,IF(AND(ISNUMBER(CHOOSE($W$46+1,historico_VU!$C29,historico_VU!$D29,historico_VU!$E29,historico_VU!$F29,historico_VU!$G29)),ISNUMBER(CHOOSE($W$46+1,posicao_contratual!$G29,posicao_contratual!$K29,posicao_contratual!$O29,posicao_contratual!$S29,posicao_contratual!$W29))),ROUND(ROUND(CHOOSE($W$46+1,historico_VU!$C29,historico_VU!$D29,historico_VU!$E29,historico_VU!$F29,historico_VU!$G29),2)*CHOOSE($W$46+1,posicao_contratual!$G29,posicao_contratual!$K29,posicao_contratual!$O29,posicao_contratual!$S29,posicao_contratual!$W29),2),""))</f>
        <v>0</v>
      </c>
      <c r="AC29">
        <f>IF(OR(posicao_contratual!$A29="",$W$46=""),0,IF(OR($AB29="",$AD29=""),"",ROUND($AB29-$AD29,2)))</f>
        <v>0</v>
      </c>
      <c r="AD29">
        <f>IF(OR(posicao_contratual!$A29="",$W$46=""),0,IF($AB29="","",IF(NOT(ISNUMBER(CHOOSE($W$46+1,posicao_contratual!$AB29,posicao_contratual!$AC29,posicao_contratual!$AD29,posicao_contratual!$AE29,posicao_contratual!$AF29))),0,ROUND(ROUND(CHOOSE($W$46+1,historico_VU!$C29,historico_VU!$D29,historico_VU!$E29,historico_VU!$F29,historico_VU!$G29),2)*CHOOSE($W$46+1,posicao_contratual!$AB29,posicao_contratual!$AC29,posicao_contratual!$AD29,posicao_contratual!$AE29,posicao_contratual!$AF29),2))))</f>
        <v>0</v>
      </c>
    </row>
    <row r="30" spans="1:30" ht="24" customHeight="1" x14ac:dyDescent="0.35">
      <c r="A30" s="481" t="s">
        <v>402</v>
      </c>
      <c r="B30" s="425"/>
      <c r="C30" s="425"/>
      <c r="D30" s="425"/>
      <c r="E30" s="425"/>
      <c r="F30" s="425"/>
      <c r="G30" s="425"/>
      <c r="H30" s="425"/>
      <c r="I30" s="425"/>
      <c r="J30" s="425"/>
      <c r="K30" s="57"/>
      <c r="L30" s="57"/>
      <c r="M30" s="57"/>
      <c r="N30" s="57"/>
      <c r="O30" s="57"/>
      <c r="P30" s="57"/>
      <c r="Q30" s="57"/>
      <c r="S30" t="s">
        <v>403</v>
      </c>
      <c r="T30">
        <f>ROUND(SUMIFS(itens_PC!$F$2:$F$5001,itens_PC!$C$2:$C$5001,"C1",itens_PC!$L$2:$L$5001,"Nao",itens_PC!$D$2:$D$5001,"&gt;0")*(parametros!$A$3="Sim")+SUMIFS(itens_PC!$F$2:$F$5001,itens_PC!$C$2:$C$5001,"C2",itens_PC!$L$2:$L$5001,"Nao",itens_PC!$D$2:$D$5001,"&gt;0")*(parametros!$A$4="Sim")+SUMIFS(itens_PC!$F$2:$F$5001,itens_PC!$C$2:$C$5001,"C3",itens_PC!$L$2:$L$5001,"Nao",itens_PC!$D$2:$D$5001,"&gt;0")*(parametros!$A$5="Sim")+SUMIFS(itens_PC!$F$2:$F$5001,itens_PC!$C$2:$C$5001,"C4",itens_PC!$L$2:$L$5001,"Nao",itens_PC!$D$2:$D$5001,"&gt;0")*(parametros!$A$6="Sim")-$T$29-(SUMIFS(itens_PC!$H$2:$H$5001,itens_PC!$C$2:$C$5001,"C1",itens_PC!$L$2:$L$5001,"Nao",itens_PC!$D$2:$D$5001,"&gt;0")*(parametros!$A$3="Sim")+SUMIFS(itens_PC!$H$2:$H$5001,itens_PC!$C$2:$C$5001,"C2",itens_PC!$L$2:$L$5001,"Nao",itens_PC!$D$2:$D$5001,"&gt;0")*(parametros!$A$4="Sim")+SUMIFS(itens_PC!$H$2:$H$5001,itens_PC!$C$2:$C$5001,"C3",itens_PC!$L$2:$L$5001,"Nao",itens_PC!$D$2:$D$5001,"&gt;0")*(parametros!$A$5="Sim")+SUMIFS(itens_PC!$H$2:$H$5001,itens_PC!$C$2:$C$5001,"C4",itens_PC!$L$2:$L$5001,"Nao",itens_PC!$D$2:$D$5001,"&gt;0")*(parametros!$A$6="Sim")),2)</f>
        <v>0</v>
      </c>
      <c r="X30">
        <f>IF(posicao_contratual!$A30="",0,IF(AND(ISNUMBER(posicao_contratual!$Y30),posicao_contratual!$Y30&gt;0),0,IF(AND(ISNUMBER(posicao_contratual!$G30),ISNUMBER(posicao_contratual!$K30),ISNUMBER(historico_VU!$C30)),((posicao_contratual!$G30-N(posicao_contratual!$AB30))-(posicao_contratual!$K30-N(posicao_contratual!$AC30)))*historico_VU!$C30,"")))</f>
        <v>0</v>
      </c>
      <c r="Y30">
        <f>IF(OR(posicao_contratual!$A30="",$T$20=""),0,IF(AND(ISNUMBER(CHOOSE($T$20+1,historico_VU!$C30,historico_VU!$D30,historico_VU!$E30,historico_VU!$F30,historico_VU!$G30)),ISNUMBER(CHOOSE($T$20+1,posicao_contratual!$G30,posicao_contratual!$K30,posicao_contratual!$O30,posicao_contratual!$S30,posicao_contratual!$W30))),ROUND(ROUND(CHOOSE($T$20+1,historico_VU!$C30,historico_VU!$D30,historico_VU!$E30,historico_VU!$F30,historico_VU!$G30),2)*CHOOSE($T$20+1,posicao_contratual!$G30,posicao_contratual!$K30,posicao_contratual!$O30,posicao_contratual!$S30,posicao_contratual!$W30),2),""))</f>
        <v>0</v>
      </c>
      <c r="AB30">
        <f>IF(OR(posicao_contratual!$A30="",$W$46=""),0,IF(AND(ISNUMBER(CHOOSE($W$46+1,historico_VU!$C30,historico_VU!$D30,historico_VU!$E30,historico_VU!$F30,historico_VU!$G30)),ISNUMBER(CHOOSE($W$46+1,posicao_contratual!$G30,posicao_contratual!$K30,posicao_contratual!$O30,posicao_contratual!$S30,posicao_contratual!$W30))),ROUND(ROUND(CHOOSE($W$46+1,historico_VU!$C30,historico_VU!$D30,historico_VU!$E30,historico_VU!$F30,historico_VU!$G30),2)*CHOOSE($W$46+1,posicao_contratual!$G30,posicao_contratual!$K30,posicao_contratual!$O30,posicao_contratual!$S30,posicao_contratual!$W30),2),""))</f>
        <v>0</v>
      </c>
      <c r="AC30">
        <f>IF(OR(posicao_contratual!$A30="",$W$46=""),0,IF(OR($AB30="",$AD30=""),"",ROUND($AB30-$AD30,2)))</f>
        <v>0</v>
      </c>
      <c r="AD30">
        <f>IF(OR(posicao_contratual!$A30="",$W$46=""),0,IF($AB30="","",IF(NOT(ISNUMBER(CHOOSE($W$46+1,posicao_contratual!$AB30,posicao_contratual!$AC30,posicao_contratual!$AD30,posicao_contratual!$AE30,posicao_contratual!$AF30))),0,ROUND(ROUND(CHOOSE($W$46+1,historico_VU!$C30,historico_VU!$D30,historico_VU!$E30,historico_VU!$F30,historico_VU!$G30),2)*CHOOSE($W$46+1,posicao_contratual!$AB30,posicao_contratual!$AC30,posicao_contratual!$AD30,posicao_contratual!$AE30,posicao_contratual!$AF30),2))))</f>
        <v>0</v>
      </c>
    </row>
    <row r="31" spans="1:30" x14ac:dyDescent="0.35">
      <c r="A31" s="118" t="s">
        <v>404</v>
      </c>
      <c r="B31" s="118" t="s">
        <v>405</v>
      </c>
      <c r="C31" s="118" t="s">
        <v>406</v>
      </c>
      <c r="D31" s="118" t="s">
        <v>407</v>
      </c>
      <c r="E31" s="118" t="s">
        <v>408</v>
      </c>
      <c r="F31" s="118" t="s">
        <v>409</v>
      </c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S31" t="s">
        <v>410</v>
      </c>
      <c r="T31">
        <f>IF(ISNUMBER(CONTROLE!$B$3),CONTROLE!$B$3,DATE(9999,12,31))</f>
        <v>45657</v>
      </c>
      <c r="X31">
        <f>IF(posicao_contratual!$A31="",0,IF(AND(ISNUMBER(posicao_contratual!$Y31),posicao_contratual!$Y31&gt;0),0,IF(AND(ISNUMBER(posicao_contratual!$G31),ISNUMBER(posicao_contratual!$K31),ISNUMBER(historico_VU!$C31)),((posicao_contratual!$G31-N(posicao_contratual!$AB31))-(posicao_contratual!$K31-N(posicao_contratual!$AC31)))*historico_VU!$C31,"")))</f>
        <v>0</v>
      </c>
      <c r="Y31">
        <f>IF(OR(posicao_contratual!$A31="",$T$20=""),0,IF(AND(ISNUMBER(CHOOSE($T$20+1,historico_VU!$C31,historico_VU!$D31,historico_VU!$E31,historico_VU!$F31,historico_VU!$G31)),ISNUMBER(CHOOSE($T$20+1,posicao_contratual!$G31,posicao_contratual!$K31,posicao_contratual!$O31,posicao_contratual!$S31,posicao_contratual!$W31))),ROUND(ROUND(CHOOSE($T$20+1,historico_VU!$C31,historico_VU!$D31,historico_VU!$E31,historico_VU!$F31,historico_VU!$G31),2)*CHOOSE($T$20+1,posicao_contratual!$G31,posicao_contratual!$K31,posicao_contratual!$O31,posicao_contratual!$S31,posicao_contratual!$W31),2),""))</f>
        <v>0</v>
      </c>
      <c r="AB31">
        <f>IF(OR(posicao_contratual!$A31="",$W$46=""),0,IF(AND(ISNUMBER(CHOOSE($W$46+1,historico_VU!$C31,historico_VU!$D31,historico_VU!$E31,historico_VU!$F31,historico_VU!$G31)),ISNUMBER(CHOOSE($W$46+1,posicao_contratual!$G31,posicao_contratual!$K31,posicao_contratual!$O31,posicao_contratual!$S31,posicao_contratual!$W31))),ROUND(ROUND(CHOOSE($W$46+1,historico_VU!$C31,historico_VU!$D31,historico_VU!$E31,historico_VU!$F31,historico_VU!$G31),2)*CHOOSE($W$46+1,posicao_contratual!$G31,posicao_contratual!$K31,posicao_contratual!$O31,posicao_contratual!$S31,posicao_contratual!$W31),2),""))</f>
        <v>0</v>
      </c>
      <c r="AC31">
        <f>IF(OR(posicao_contratual!$A31="",$W$46=""),0,IF(OR($AB31="",$AD31=""),"",ROUND($AB31-$AD31,2)))</f>
        <v>0</v>
      </c>
      <c r="AD31">
        <f>IF(OR(posicao_contratual!$A31="",$W$46=""),0,IF($AB31="","",IF(NOT(ISNUMBER(CHOOSE($W$46+1,posicao_contratual!$AB31,posicao_contratual!$AC31,posicao_contratual!$AD31,posicao_contratual!$AE31,posicao_contratual!$AF31))),0,ROUND(ROUND(CHOOSE($W$46+1,historico_VU!$C31,historico_VU!$D31,historico_VU!$E31,historico_VU!$F31,historico_VU!$G31),2)*CHOOSE($W$46+1,posicao_contratual!$AB31,posicao_contratual!$AC31,posicao_contratual!$AD31,posicao_contratual!$AE31,posicao_contratual!$AF31),2))))</f>
        <v>0</v>
      </c>
    </row>
    <row r="32" spans="1:30" x14ac:dyDescent="0.35">
      <c r="A32" s="124" t="s">
        <v>411</v>
      </c>
      <c r="B32" s="128">
        <f>IF(COUNTIF(itens_Remanesc!$A$2:$A$200,"&lt;&gt;")=0,"",ROUND(IF($F$4="C0",SUM(posicao_contratual!$G$2:$G$200),IF($F$4="C1",SUM(posicao_contratual!$K$2:$K$200),IF($F$4="C2",SUM(posicao_contratual!$O$2:$O$200),IF($F$4="C3",SUM(posicao_contratual!$S$2:$S$200),SUM(posicao_contratual!$W$2:$W$200))))),2))</f>
        <v>240</v>
      </c>
      <c r="C32" s="129">
        <f>IF(COUNTIF(itens_Remanesc!$A$2:$A$200,"&lt;&gt;")=0,"",IF($T$26&gt;0,"",ROUND(IF($F$4="C0",SUMPRODUCT(posicao_contratual!$G$2:$G$200,itens_Remanesc!$C$2:$C$200),IF($F$4="C1",SUMPRODUCT(posicao_contratual!$K$2:$K$200,itens_Remanesc!$C$2:$C$200),IF($F$4="C2",SUMPRODUCT(posicao_contratual!$O$2:$O$200,itens_Remanesc!$C$2:$C$200),IF($F$4="C3",SUMPRODUCT(posicao_contratual!$S$2:$S$200,itens_Remanesc!$C$2:$C$200),SUMPRODUCT(posicao_contratual!$W$2:$W$200,itens_Remanesc!$C$2:$C$200))))),2)))</f>
        <v>278000</v>
      </c>
      <c r="D32" s="129">
        <f>IF(COUNTIF(itens_Remanesc!$A$2:$A$200,"&lt;&gt;")=0,"",ROUND(IF($F$4="C0",SUMIFS(itens_RC!$D$3:$D$202,itens_RC!$A$3:$A$202,"&lt;&gt;TOTAL",itens_RC!$A$3:$A$202,"&lt;&gt;"),IF($F$4="C1",SUMIFS(itens_RC!$G$3:$G$202,itens_RC!$A$3:$A$202,"&lt;&gt;TOTAL",itens_RC!$A$3:$A$202,"&lt;&gt;"),IF($F$4="C2",SUMIFS(itens_RC!$J$3:$J$202,itens_RC!$A$3:$A$202,"&lt;&gt;TOTAL",itens_RC!$A$3:$A$202,"&lt;&gt;"),IF($F$4="C3",SUMIFS(itens_RC!$M$3:$M$202,itens_RC!$A$3:$A$202,"&lt;&gt;TOTAL",itens_RC!$A$3:$A$202,"&lt;&gt;"),SUMIFS(itens_RC!$P$3:$P$202,itens_RC!$A$3:$A$202,"&lt;&gt;TOTAL",itens_RC!$A$3:$A$202,"&lt;&gt;"))))),2))</f>
        <v>292233.59999999998</v>
      </c>
      <c r="E32" s="129">
        <f>IF(OR(C32="",D32=""),"",ROUND(D32-C32,2))</f>
        <v>14233.6</v>
      </c>
      <c r="F32" s="130" t="str">
        <f>IF(B32="","SEM BASE",IF($H$44&gt;0,"COM ERROS — NÃO CONFIÁVEL","PREENCHIDO"))</f>
        <v>PREENCHIDO</v>
      </c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X32">
        <f>IF(posicao_contratual!$A32="",0,IF(AND(ISNUMBER(posicao_contratual!$Y32),posicao_contratual!$Y32&gt;0),0,IF(AND(ISNUMBER(posicao_contratual!$G32),ISNUMBER(posicao_contratual!$K32),ISNUMBER(historico_VU!$C32)),((posicao_contratual!$G32-N(posicao_contratual!$AB32))-(posicao_contratual!$K32-N(posicao_contratual!$AC32)))*historico_VU!$C32,"")))</f>
        <v>0</v>
      </c>
      <c r="Y32">
        <f>IF(OR(posicao_contratual!$A32="",$T$20=""),0,IF(AND(ISNUMBER(CHOOSE($T$20+1,historico_VU!$C32,historico_VU!$D32,historico_VU!$E32,historico_VU!$F32,historico_VU!$G32)),ISNUMBER(CHOOSE($T$20+1,posicao_contratual!$G32,posicao_contratual!$K32,posicao_contratual!$O32,posicao_contratual!$S32,posicao_contratual!$W32))),ROUND(ROUND(CHOOSE($T$20+1,historico_VU!$C32,historico_VU!$D32,historico_VU!$E32,historico_VU!$F32,historico_VU!$G32),2)*CHOOSE($T$20+1,posicao_contratual!$G32,posicao_contratual!$K32,posicao_contratual!$O32,posicao_contratual!$S32,posicao_contratual!$W32),2),""))</f>
        <v>0</v>
      </c>
      <c r="AB32">
        <f>IF(OR(posicao_contratual!$A32="",$W$46=""),0,IF(AND(ISNUMBER(CHOOSE($W$46+1,historico_VU!$C32,historico_VU!$D32,historico_VU!$E32,historico_VU!$F32,historico_VU!$G32)),ISNUMBER(CHOOSE($W$46+1,posicao_contratual!$G32,posicao_contratual!$K32,posicao_contratual!$O32,posicao_contratual!$S32,posicao_contratual!$W32))),ROUND(ROUND(CHOOSE($W$46+1,historico_VU!$C32,historico_VU!$D32,historico_VU!$E32,historico_VU!$F32,historico_VU!$G32),2)*CHOOSE($W$46+1,posicao_contratual!$G32,posicao_contratual!$K32,posicao_contratual!$O32,posicao_contratual!$S32,posicao_contratual!$W32),2),""))</f>
        <v>0</v>
      </c>
      <c r="AC32">
        <f>IF(OR(posicao_contratual!$A32="",$W$46=""),0,IF(OR($AB32="",$AD32=""),"",ROUND($AB32-$AD32,2)))</f>
        <v>0</v>
      </c>
      <c r="AD32">
        <f>IF(OR(posicao_contratual!$A32="",$W$46=""),0,IF($AB32="","",IF(NOT(ISNUMBER(CHOOSE($W$46+1,posicao_contratual!$AB32,posicao_contratual!$AC32,posicao_contratual!$AD32,posicao_contratual!$AE32,posicao_contratual!$AF32))),0,ROUND(ROUND(CHOOSE($W$46+1,historico_VU!$C32,historico_VU!$D32,historico_VU!$E32,historico_VU!$F32,historico_VU!$G32),2)*CHOOSE($W$46+1,posicao_contratual!$AB32,posicao_contratual!$AC32,posicao_contratual!$AD32,posicao_contratual!$AE32,posicao_contratual!$AF32),2))))</f>
        <v>0</v>
      </c>
    </row>
    <row r="33" spans="1:30" x14ac:dyDescent="0.35">
      <c r="A33" s="124" t="s">
        <v>412</v>
      </c>
      <c r="B33" s="128" t="str">
        <f>IF(COUNTIF(itens_Consumidos!$A$2:$A$200,"&lt;&gt;")=0,"",ROUND(SUMPRODUCT((N(itens_Consumidos!$B$2:$B$200)-N(itens_Consumidos!$O$2:$O$200)&gt;0)*(N(itens_Consumidos!$B$2:$B$200)-N(itens_Consumidos!$O$2:$O$200))),2))</f>
        <v/>
      </c>
      <c r="C33" s="129" t="str">
        <f>IF(COUNTIF(itens_Consumidos!$A$2:$A$200,"&lt;&gt;")=0,"",IF(COUNTIFS(itens_Consumidos!$A$2:$A$200,"&lt;&gt;",itens_Consumidos!$V$2:$V$200,"")&gt;0,"",ROUND(SUM(itens_Consumidos!$V$2:$V$200),2)))</f>
        <v/>
      </c>
      <c r="D33" s="129" t="str">
        <f>IF(OR(C33="",NOT(ISNUMBER(IF($F$4="C0",parametros!$F$2,IF($F$4="C1",parametros!$F$3,IF($F$4="C2",parametros!$F$4,IF($F$4="C3",parametros!$F$5,parametros!$F$6))))))),"",ROUND(C33*IF($F$4="C0",parametros!$F$2,IF($F$4="C1",parametros!$F$3,IF($F$4="C2",parametros!$F$4,IF($F$4="C3",parametros!$F$5,parametros!$F$6)))),2))</f>
        <v/>
      </c>
      <c r="E33" s="129" t="str">
        <f>IF(OR(C33="",D33=""),"",ROUND(D33-C33,2))</f>
        <v/>
      </c>
      <c r="F33" s="130" t="str">
        <f>IF(B33="","SEM BASE",IF($F$44&gt;0,"COM ERROS — NÃO CONFIÁVEL","DERIVADO"))</f>
        <v>SEM BASE</v>
      </c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S33" t="s">
        <v>413</v>
      </c>
      <c r="T33">
        <f>ROUND(SUM(itens_PC!$D$2:$D$5001),2)</f>
        <v>421750</v>
      </c>
      <c r="X33">
        <f>IF(posicao_contratual!$A33="",0,IF(AND(ISNUMBER(posicao_contratual!$Y33),posicao_contratual!$Y33&gt;0),0,IF(AND(ISNUMBER(posicao_contratual!$G33),ISNUMBER(posicao_contratual!$K33),ISNUMBER(historico_VU!$C33)),((posicao_contratual!$G33-N(posicao_contratual!$AB33))-(posicao_contratual!$K33-N(posicao_contratual!$AC33)))*historico_VU!$C33,"")))</f>
        <v>0</v>
      </c>
      <c r="Y33">
        <f>IF(OR(posicao_contratual!$A33="",$T$20=""),0,IF(AND(ISNUMBER(CHOOSE($T$20+1,historico_VU!$C33,historico_VU!$D33,historico_VU!$E33,historico_VU!$F33,historico_VU!$G33)),ISNUMBER(CHOOSE($T$20+1,posicao_contratual!$G33,posicao_contratual!$K33,posicao_contratual!$O33,posicao_contratual!$S33,posicao_contratual!$W33))),ROUND(ROUND(CHOOSE($T$20+1,historico_VU!$C33,historico_VU!$D33,historico_VU!$E33,historico_VU!$F33,historico_VU!$G33),2)*CHOOSE($T$20+1,posicao_contratual!$G33,posicao_contratual!$K33,posicao_contratual!$O33,posicao_contratual!$S33,posicao_contratual!$W33),2),""))</f>
        <v>0</v>
      </c>
      <c r="AB33">
        <f>IF(OR(posicao_contratual!$A33="",$W$46=""),0,IF(AND(ISNUMBER(CHOOSE($W$46+1,historico_VU!$C33,historico_VU!$D33,historico_VU!$E33,historico_VU!$F33,historico_VU!$G33)),ISNUMBER(CHOOSE($W$46+1,posicao_contratual!$G33,posicao_contratual!$K33,posicao_contratual!$O33,posicao_contratual!$S33,posicao_contratual!$W33))),ROUND(ROUND(CHOOSE($W$46+1,historico_VU!$C33,historico_VU!$D33,historico_VU!$E33,historico_VU!$F33,historico_VU!$G33),2)*CHOOSE($W$46+1,posicao_contratual!$G33,posicao_contratual!$K33,posicao_contratual!$O33,posicao_contratual!$S33,posicao_contratual!$W33),2),""))</f>
        <v>0</v>
      </c>
      <c r="AC33">
        <f>IF(OR(posicao_contratual!$A33="",$W$46=""),0,IF(OR($AB33="",$AD33=""),"",ROUND($AB33-$AD33,2)))</f>
        <v>0</v>
      </c>
      <c r="AD33">
        <f>IF(OR(posicao_contratual!$A33="",$W$46=""),0,IF($AB33="","",IF(NOT(ISNUMBER(CHOOSE($W$46+1,posicao_contratual!$AB33,posicao_contratual!$AC33,posicao_contratual!$AD33,posicao_contratual!$AE33,posicao_contratual!$AF33))),0,ROUND(ROUND(CHOOSE($W$46+1,historico_VU!$C33,historico_VU!$D33,historico_VU!$E33,historico_VU!$F33,historico_VU!$G33),2)*CHOOSE($W$46+1,posicao_contratual!$AB33,posicao_contratual!$AC33,posicao_contratual!$AD33,posicao_contratual!$AE33,posicao_contratual!$AF33),2))))</f>
        <v>0</v>
      </c>
    </row>
    <row r="34" spans="1:30" ht="26" customHeight="1" x14ac:dyDescent="0.35">
      <c r="A34" s="124" t="s">
        <v>414</v>
      </c>
      <c r="B34" s="61"/>
      <c r="C34" s="62"/>
      <c r="D34" s="62"/>
      <c r="E34" s="62"/>
      <c r="F34" s="130" t="s">
        <v>415</v>
      </c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S34" t="s">
        <v>416</v>
      </c>
      <c r="T34">
        <f>ROUND($T$33-SUMIFS(itens_PC!$D$2:$D$5001,itens_PC!$B$2:$B$5001,"&gt;"&amp;$T$31),2)</f>
        <v>421750</v>
      </c>
      <c r="X34">
        <f>IF(posicao_contratual!$A34="",0,IF(AND(ISNUMBER(posicao_contratual!$Y34),posicao_contratual!$Y34&gt;0),0,IF(AND(ISNUMBER(posicao_contratual!$G34),ISNUMBER(posicao_contratual!$K34),ISNUMBER(historico_VU!$C34)),((posicao_contratual!$G34-N(posicao_contratual!$AB34))-(posicao_contratual!$K34-N(posicao_contratual!$AC34)))*historico_VU!$C34,"")))</f>
        <v>0</v>
      </c>
      <c r="Y34">
        <f>IF(OR(posicao_contratual!$A34="",$T$20=""),0,IF(AND(ISNUMBER(CHOOSE($T$20+1,historico_VU!$C34,historico_VU!$D34,historico_VU!$E34,historico_VU!$F34,historico_VU!$G34)),ISNUMBER(CHOOSE($T$20+1,posicao_contratual!$G34,posicao_contratual!$K34,posicao_contratual!$O34,posicao_contratual!$S34,posicao_contratual!$W34))),ROUND(ROUND(CHOOSE($T$20+1,historico_VU!$C34,historico_VU!$D34,historico_VU!$E34,historico_VU!$F34,historico_VU!$G34),2)*CHOOSE($T$20+1,posicao_contratual!$G34,posicao_contratual!$K34,posicao_contratual!$O34,posicao_contratual!$S34,posicao_contratual!$W34),2),""))</f>
        <v>0</v>
      </c>
      <c r="AB34">
        <f>IF(OR(posicao_contratual!$A34="",$W$46=""),0,IF(AND(ISNUMBER(CHOOSE($W$46+1,historico_VU!$C34,historico_VU!$D34,historico_VU!$E34,historico_VU!$F34,historico_VU!$G34)),ISNUMBER(CHOOSE($W$46+1,posicao_contratual!$G34,posicao_contratual!$K34,posicao_contratual!$O34,posicao_contratual!$S34,posicao_contratual!$W34))),ROUND(ROUND(CHOOSE($W$46+1,historico_VU!$C34,historico_VU!$D34,historico_VU!$E34,historico_VU!$F34,historico_VU!$G34),2)*CHOOSE($W$46+1,posicao_contratual!$G34,posicao_contratual!$K34,posicao_contratual!$O34,posicao_contratual!$S34,posicao_contratual!$W34),2),""))</f>
        <v>0</v>
      </c>
      <c r="AC34">
        <f>IF(OR(posicao_contratual!$A34="",$W$46=""),0,IF(OR($AB34="",$AD34=""),"",ROUND($AB34-$AD34,2)))</f>
        <v>0</v>
      </c>
      <c r="AD34">
        <f>IF(OR(posicao_contratual!$A34="",$W$46=""),0,IF($AB34="","",IF(NOT(ISNUMBER(CHOOSE($W$46+1,posicao_contratual!$AB34,posicao_contratual!$AC34,posicao_contratual!$AD34,posicao_contratual!$AE34,posicao_contratual!$AF34))),0,ROUND(ROUND(CHOOSE($W$46+1,historico_VU!$C34,historico_VU!$D34,historico_VU!$E34,historico_VU!$F34,historico_VU!$G34),2)*CHOOSE($W$46+1,posicao_contratual!$AB34,posicao_contratual!$AC34,posicao_contratual!$AD34,posicao_contratual!$AE34,posicao_contratual!$AF34),2))))</f>
        <v>0</v>
      </c>
    </row>
    <row r="35" spans="1:30" x14ac:dyDescent="0.35">
      <c r="A35" s="124" t="s">
        <v>417</v>
      </c>
      <c r="B35" s="128">
        <f>IF(OR($B$4="Financeiro",$B$4="PCs"),B32,IF($B$4="Itens",B33,""))</f>
        <v>240</v>
      </c>
      <c r="C35" s="129">
        <f>IF(OR($B$4="Financeiro",$B$4="PCs"),C32,IF($B$4="Itens",C33,""))</f>
        <v>278000</v>
      </c>
      <c r="D35" s="129">
        <f>IF($B$4="PCs",$T$23,IF($B$4="Financeiro",D32,IF($B$4="Itens",D33,"")))</f>
        <v>292233.59999999998</v>
      </c>
      <c r="E35" s="129">
        <f>IF(OR(C35="",D35=""),"",ROUND(D35-C35,2))</f>
        <v>14233.6</v>
      </c>
      <c r="F35" s="130" t="str">
        <f>IF($B$4="Itens","ITENS",IF(OR($B$4="Financeiro",$B$4="PCs"),"INFORMADO",""))</f>
        <v>INFORMADO</v>
      </c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S35" t="s">
        <v>418</v>
      </c>
      <c r="T35">
        <f>ROUND(SUM(itens_PC!$O$3:$O$7)-(SUMIFS(itens_PC!$D$2:$D$5001,itens_PC!$C$2:$C$5001,"C0",itens_PC!$B$2:$B$5001,"&gt;"&amp;$T$31)+SUMIFS(itens_PC!$D$2:$D$5001,itens_PC!$C$2:$C$5001,"C1",itens_PC!$B$2:$B$5001,"&gt;"&amp;$T$31)+SUMIFS(itens_PC!$D$2:$D$5001,itens_PC!$C$2:$C$5001,"C2",itens_PC!$B$2:$B$5001,"&gt;"&amp;$T$31)+SUMIFS(itens_PC!$D$2:$D$5001,itens_PC!$C$2:$C$5001,"C3",itens_PC!$B$2:$B$5001,"&gt;"&amp;$T$31)+SUMIFS(itens_PC!$D$2:$D$5001,itens_PC!$C$2:$C$5001,"C4",itens_PC!$B$2:$B$5001,"&gt;"&amp;$T$31)),2)</f>
        <v>421750</v>
      </c>
      <c r="X35">
        <f>IF(posicao_contratual!$A35="",0,IF(AND(ISNUMBER(posicao_contratual!$Y35),posicao_contratual!$Y35&gt;0),0,IF(AND(ISNUMBER(posicao_contratual!$G35),ISNUMBER(posicao_contratual!$K35),ISNUMBER(historico_VU!$C35)),((posicao_contratual!$G35-N(posicao_contratual!$AB35))-(posicao_contratual!$K35-N(posicao_contratual!$AC35)))*historico_VU!$C35,"")))</f>
        <v>0</v>
      </c>
      <c r="Y35">
        <f>IF(OR(posicao_contratual!$A35="",$T$20=""),0,IF(AND(ISNUMBER(CHOOSE($T$20+1,historico_VU!$C35,historico_VU!$D35,historico_VU!$E35,historico_VU!$F35,historico_VU!$G35)),ISNUMBER(CHOOSE($T$20+1,posicao_contratual!$G35,posicao_contratual!$K35,posicao_contratual!$O35,posicao_contratual!$S35,posicao_contratual!$W35))),ROUND(ROUND(CHOOSE($T$20+1,historico_VU!$C35,historico_VU!$D35,historico_VU!$E35,historico_VU!$F35,historico_VU!$G35),2)*CHOOSE($T$20+1,posicao_contratual!$G35,posicao_contratual!$K35,posicao_contratual!$O35,posicao_contratual!$S35,posicao_contratual!$W35),2),""))</f>
        <v>0</v>
      </c>
      <c r="AB35">
        <f>IF(OR(posicao_contratual!$A35="",$W$46=""),0,IF(AND(ISNUMBER(CHOOSE($W$46+1,historico_VU!$C35,historico_VU!$D35,historico_VU!$E35,historico_VU!$F35,historico_VU!$G35)),ISNUMBER(CHOOSE($W$46+1,posicao_contratual!$G35,posicao_contratual!$K35,posicao_contratual!$O35,posicao_contratual!$S35,posicao_contratual!$W35))),ROUND(ROUND(CHOOSE($W$46+1,historico_VU!$C35,historico_VU!$D35,historico_VU!$E35,historico_VU!$F35,historico_VU!$G35),2)*CHOOSE($W$46+1,posicao_contratual!$G35,posicao_contratual!$K35,posicao_contratual!$O35,posicao_contratual!$S35,posicao_contratual!$W35),2),""))</f>
        <v>0</v>
      </c>
      <c r="AC35">
        <f>IF(OR(posicao_contratual!$A35="",$W$46=""),0,IF(OR($AB35="",$AD35=""),"",ROUND($AB35-$AD35,2)))</f>
        <v>0</v>
      </c>
      <c r="AD35">
        <f>IF(OR(posicao_contratual!$A35="",$W$46=""),0,IF($AB35="","",IF(NOT(ISNUMBER(CHOOSE($W$46+1,posicao_contratual!$AB35,posicao_contratual!$AC35,posicao_contratual!$AD35,posicao_contratual!$AE35,posicao_contratual!$AF35))),0,ROUND(ROUND(CHOOSE($W$46+1,historico_VU!$C35,historico_VU!$D35,historico_VU!$E35,historico_VU!$F35,historico_VU!$G35),2)*CHOOSE($W$46+1,posicao_contratual!$AB35,posicao_contratual!$AC35,posicao_contratual!$AD35,posicao_contratual!$AE35,posicao_contratual!$AF35),2))))</f>
        <v>0</v>
      </c>
    </row>
    <row r="36" spans="1:30" x14ac:dyDescent="0.35">
      <c r="A36" s="124" t="s">
        <v>419</v>
      </c>
      <c r="B36" s="478"/>
      <c r="C36" s="479"/>
      <c r="D36" s="479"/>
      <c r="E36" s="480"/>
      <c r="F36" s="131" t="str">
        <f>IF(B35="",IF(OR(B32&lt;&gt;"",B33&lt;&gt;""),"CÁLCULO MANUAL REQUERIDO","INCOMPLETO — SEM BASE"),IF(OR(AND(OR($B$4="Financeiro",$B$4="PCs"),$H$44&gt;0),AND($B$4="Itens",$F$44&gt;0)),"CÁLCULO MANUAL REQUERIDO",IF(AND(ISNUMBER(B32),ISNUMBER(B33)),IF(OR(ABS(B32-B33)/MAX(ABS(B35),1)&gt;$D$4,ABS(C32-C33)/MAX(ABS(C35),1)&gt;$D$4,ABS(D32-D33)/MAX(ABS(D35),1)&gt;$D$4),"DIVERGENTE — CÁLCULO MANUAL REQUERIDO","CALCULADO — CONFERIR"),"BASE ÚNICA — CONFERIR")))</f>
        <v>BASE ÚNICA — CONFERIR</v>
      </c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S36" t="s">
        <v>420</v>
      </c>
      <c r="T36">
        <f>ROUND(SUMIFS(itens_PC!$D$2:$D$5001,itens_PC!$L$2:$L$5001,"Sim")-SUMIFS(itens_PC!$D$2:$D$5001,itens_PC!$L$2:$L$5001,"Sim",itens_PC!$B$2:$B$5001,"&gt;"&amp;$T$31),2)</f>
        <v>421750</v>
      </c>
      <c r="X36">
        <f>IF(posicao_contratual!$A36="",0,IF(AND(ISNUMBER(posicao_contratual!$Y36),posicao_contratual!$Y36&gt;0),0,IF(AND(ISNUMBER(posicao_contratual!$G36),ISNUMBER(posicao_contratual!$K36),ISNUMBER(historico_VU!$C36)),((posicao_contratual!$G36-N(posicao_contratual!$AB36))-(posicao_contratual!$K36-N(posicao_contratual!$AC36)))*historico_VU!$C36,"")))</f>
        <v>0</v>
      </c>
      <c r="Y36">
        <f>IF(OR(posicao_contratual!$A36="",$T$20=""),0,IF(AND(ISNUMBER(CHOOSE($T$20+1,historico_VU!$C36,historico_VU!$D36,historico_VU!$E36,historico_VU!$F36,historico_VU!$G36)),ISNUMBER(CHOOSE($T$20+1,posicao_contratual!$G36,posicao_contratual!$K36,posicao_contratual!$O36,posicao_contratual!$S36,posicao_contratual!$W36))),ROUND(ROUND(CHOOSE($T$20+1,historico_VU!$C36,historico_VU!$D36,historico_VU!$E36,historico_VU!$F36,historico_VU!$G36),2)*CHOOSE($T$20+1,posicao_contratual!$G36,posicao_contratual!$K36,posicao_contratual!$O36,posicao_contratual!$S36,posicao_contratual!$W36),2),""))</f>
        <v>0</v>
      </c>
      <c r="AB36">
        <f>IF(OR(posicao_contratual!$A36="",$W$46=""),0,IF(AND(ISNUMBER(CHOOSE($W$46+1,historico_VU!$C36,historico_VU!$D36,historico_VU!$E36,historico_VU!$F36,historico_VU!$G36)),ISNUMBER(CHOOSE($W$46+1,posicao_contratual!$G36,posicao_contratual!$K36,posicao_contratual!$O36,posicao_contratual!$S36,posicao_contratual!$W36))),ROUND(ROUND(CHOOSE($W$46+1,historico_VU!$C36,historico_VU!$D36,historico_VU!$E36,historico_VU!$F36,historico_VU!$G36),2)*CHOOSE($W$46+1,posicao_contratual!$G36,posicao_contratual!$K36,posicao_contratual!$O36,posicao_contratual!$S36,posicao_contratual!$W36),2),""))</f>
        <v>0</v>
      </c>
      <c r="AC36">
        <f>IF(OR(posicao_contratual!$A36="",$W$46=""),0,IF(OR($AB36="",$AD36=""),"",ROUND($AB36-$AD36,2)))</f>
        <v>0</v>
      </c>
      <c r="AD36">
        <f>IF(OR(posicao_contratual!$A36="",$W$46=""),0,IF($AB36="","",IF(NOT(ISNUMBER(CHOOSE($W$46+1,posicao_contratual!$AB36,posicao_contratual!$AC36,posicao_contratual!$AD36,posicao_contratual!$AE36,posicao_contratual!$AF36))),0,ROUND(ROUND(CHOOSE($W$46+1,historico_VU!$C36,historico_VU!$D36,historico_VU!$E36,historico_VU!$F36,historico_VU!$G36),2)*CHOOSE($W$46+1,posicao_contratual!$AB36,posicao_contratual!$AC36,posicao_contratual!$AD36,posicao_contratual!$AE36,posicao_contratual!$AF36),2))))</f>
        <v>0</v>
      </c>
    </row>
    <row r="37" spans="1:30" x14ac:dyDescent="0.35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S37" t="s">
        <v>421</v>
      </c>
      <c r="T37">
        <f>ROUND($T$35-$T$36,2)</f>
        <v>0</v>
      </c>
      <c r="X37">
        <f>IF(posicao_contratual!$A37="",0,IF(AND(ISNUMBER(posicao_contratual!$Y37),posicao_contratual!$Y37&gt;0),0,IF(AND(ISNUMBER(posicao_contratual!$G37),ISNUMBER(posicao_contratual!$K37),ISNUMBER(historico_VU!$C37)),((posicao_contratual!$G37-N(posicao_contratual!$AB37))-(posicao_contratual!$K37-N(posicao_contratual!$AC37)))*historico_VU!$C37,"")))</f>
        <v>0</v>
      </c>
      <c r="Y37">
        <f>IF(OR(posicao_contratual!$A37="",$T$20=""),0,IF(AND(ISNUMBER(CHOOSE($T$20+1,historico_VU!$C37,historico_VU!$D37,historico_VU!$E37,historico_VU!$F37,historico_VU!$G37)),ISNUMBER(CHOOSE($T$20+1,posicao_contratual!$G37,posicao_contratual!$K37,posicao_contratual!$O37,posicao_contratual!$S37,posicao_contratual!$W37))),ROUND(ROUND(CHOOSE($T$20+1,historico_VU!$C37,historico_VU!$D37,historico_VU!$E37,historico_VU!$F37,historico_VU!$G37),2)*CHOOSE($T$20+1,posicao_contratual!$G37,posicao_contratual!$K37,posicao_contratual!$O37,posicao_contratual!$S37,posicao_contratual!$W37),2),""))</f>
        <v>0</v>
      </c>
      <c r="AB37">
        <f>IF(OR(posicao_contratual!$A37="",$W$46=""),0,IF(AND(ISNUMBER(CHOOSE($W$46+1,historico_VU!$C37,historico_VU!$D37,historico_VU!$E37,historico_VU!$F37,historico_VU!$G37)),ISNUMBER(CHOOSE($W$46+1,posicao_contratual!$G37,posicao_contratual!$K37,posicao_contratual!$O37,posicao_contratual!$S37,posicao_contratual!$W37))),ROUND(ROUND(CHOOSE($W$46+1,historico_VU!$C37,historico_VU!$D37,historico_VU!$E37,historico_VU!$F37,historico_VU!$G37),2)*CHOOSE($W$46+1,posicao_contratual!$G37,posicao_contratual!$K37,posicao_contratual!$O37,posicao_contratual!$S37,posicao_contratual!$W37),2),""))</f>
        <v>0</v>
      </c>
      <c r="AC37">
        <f>IF(OR(posicao_contratual!$A37="",$W$46=""),0,IF(OR($AB37="",$AD37=""),"",ROUND($AB37-$AD37,2)))</f>
        <v>0</v>
      </c>
      <c r="AD37">
        <f>IF(OR(posicao_contratual!$A37="",$W$46=""),0,IF($AB37="","",IF(NOT(ISNUMBER(CHOOSE($W$46+1,posicao_contratual!$AB37,posicao_contratual!$AC37,posicao_contratual!$AD37,posicao_contratual!$AE37,posicao_contratual!$AF37))),0,ROUND(ROUND(CHOOSE($W$46+1,historico_VU!$C37,historico_VU!$D37,historico_VU!$E37,historico_VU!$F37,historico_VU!$G37),2)*CHOOSE($W$46+1,posicao_contratual!$AB37,posicao_contratual!$AC37,posicao_contratual!$AD37,posicao_contratual!$AE37,posicao_contratual!$AF37),2))))</f>
        <v>0</v>
      </c>
    </row>
    <row r="38" spans="1:30" x14ac:dyDescent="0.35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S38" t="s">
        <v>422</v>
      </c>
      <c r="T38">
        <f>ROUND(SUMIFS(itens_PC!$J$2:$J$5001,itens_PC!$B$2:$B$5001,"&lt;="&amp;$T$31),2)</f>
        <v>7436.8</v>
      </c>
      <c r="X38">
        <f>IF(posicao_contratual!$A38="",0,IF(AND(ISNUMBER(posicao_contratual!$Y38),posicao_contratual!$Y38&gt;0),0,IF(AND(ISNUMBER(posicao_contratual!$G38),ISNUMBER(posicao_contratual!$K38),ISNUMBER(historico_VU!$C38)),((posicao_contratual!$G38-N(posicao_contratual!$AB38))-(posicao_contratual!$K38-N(posicao_contratual!$AC38)))*historico_VU!$C38,"")))</f>
        <v>0</v>
      </c>
      <c r="Y38">
        <f>IF(OR(posicao_contratual!$A38="",$T$20=""),0,IF(AND(ISNUMBER(CHOOSE($T$20+1,historico_VU!$C38,historico_VU!$D38,historico_VU!$E38,historico_VU!$F38,historico_VU!$G38)),ISNUMBER(CHOOSE($T$20+1,posicao_contratual!$G38,posicao_contratual!$K38,posicao_contratual!$O38,posicao_contratual!$S38,posicao_contratual!$W38))),ROUND(ROUND(CHOOSE($T$20+1,historico_VU!$C38,historico_VU!$D38,historico_VU!$E38,historico_VU!$F38,historico_VU!$G38),2)*CHOOSE($T$20+1,posicao_contratual!$G38,posicao_contratual!$K38,posicao_contratual!$O38,posicao_contratual!$S38,posicao_contratual!$W38),2),""))</f>
        <v>0</v>
      </c>
      <c r="AB38">
        <f>IF(OR(posicao_contratual!$A38="",$W$46=""),0,IF(AND(ISNUMBER(CHOOSE($W$46+1,historico_VU!$C38,historico_VU!$D38,historico_VU!$E38,historico_VU!$F38,historico_VU!$G38)),ISNUMBER(CHOOSE($W$46+1,posicao_contratual!$G38,posicao_contratual!$K38,posicao_contratual!$O38,posicao_contratual!$S38,posicao_contratual!$W38))),ROUND(ROUND(CHOOSE($W$46+1,historico_VU!$C38,historico_VU!$D38,historico_VU!$E38,historico_VU!$F38,historico_VU!$G38),2)*CHOOSE($W$46+1,posicao_contratual!$G38,posicao_contratual!$K38,posicao_contratual!$O38,posicao_contratual!$S38,posicao_contratual!$W38),2),""))</f>
        <v>0</v>
      </c>
      <c r="AC38">
        <f>IF(OR(posicao_contratual!$A38="",$W$46=""),0,IF(OR($AB38="",$AD38=""),"",ROUND($AB38-$AD38,2)))</f>
        <v>0</v>
      </c>
      <c r="AD38">
        <f>IF(OR(posicao_contratual!$A38="",$W$46=""),0,IF($AB38="","",IF(NOT(ISNUMBER(CHOOSE($W$46+1,posicao_contratual!$AB38,posicao_contratual!$AC38,posicao_contratual!$AD38,posicao_contratual!$AE38,posicao_contratual!$AF38))),0,ROUND(ROUND(CHOOSE($W$46+1,historico_VU!$C38,historico_VU!$D38,historico_VU!$E38,historico_VU!$F38,historico_VU!$G38),2)*CHOOSE($W$46+1,posicao_contratual!$AB38,posicao_contratual!$AC38,posicao_contratual!$AD38,posicao_contratual!$AE38,posicao_contratual!$AF38),2))))</f>
        <v>0</v>
      </c>
    </row>
    <row r="39" spans="1:30" x14ac:dyDescent="0.35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S39" t="s">
        <v>423</v>
      </c>
      <c r="T39" s="371">
        <f>ROUND(SUM($T$42:$T$46),2)</f>
        <v>7436.8</v>
      </c>
      <c r="X39">
        <f>IF(posicao_contratual!$A39="",0,IF(AND(ISNUMBER(posicao_contratual!$Y39),posicao_contratual!$Y39&gt;0),0,IF(AND(ISNUMBER(posicao_contratual!$G39),ISNUMBER(posicao_contratual!$K39),ISNUMBER(historico_VU!$C39)),((posicao_contratual!$G39-N(posicao_contratual!$AB39))-(posicao_contratual!$K39-N(posicao_contratual!$AC39)))*historico_VU!$C39,"")))</f>
        <v>0</v>
      </c>
      <c r="Y39">
        <f>IF(OR(posicao_contratual!$A39="",$T$20=""),0,IF(AND(ISNUMBER(CHOOSE($T$20+1,historico_VU!$C39,historico_VU!$D39,historico_VU!$E39,historico_VU!$F39,historico_VU!$G39)),ISNUMBER(CHOOSE($T$20+1,posicao_contratual!$G39,posicao_contratual!$K39,posicao_contratual!$O39,posicao_contratual!$S39,posicao_contratual!$W39))),ROUND(ROUND(CHOOSE($T$20+1,historico_VU!$C39,historico_VU!$D39,historico_VU!$E39,historico_VU!$F39,historico_VU!$G39),2)*CHOOSE($T$20+1,posicao_contratual!$G39,posicao_contratual!$K39,posicao_contratual!$O39,posicao_contratual!$S39,posicao_contratual!$W39),2),""))</f>
        <v>0</v>
      </c>
      <c r="AB39">
        <f>IF(OR(posicao_contratual!$A39="",$W$46=""),0,IF(AND(ISNUMBER(CHOOSE($W$46+1,historico_VU!$C39,historico_VU!$D39,historico_VU!$E39,historico_VU!$F39,historico_VU!$G39)),ISNUMBER(CHOOSE($W$46+1,posicao_contratual!$G39,posicao_contratual!$K39,posicao_contratual!$O39,posicao_contratual!$S39,posicao_contratual!$W39))),ROUND(ROUND(CHOOSE($W$46+1,historico_VU!$C39,historico_VU!$D39,historico_VU!$E39,historico_VU!$F39,historico_VU!$G39),2)*CHOOSE($W$46+1,posicao_contratual!$G39,posicao_contratual!$K39,posicao_contratual!$O39,posicao_contratual!$S39,posicao_contratual!$W39),2),""))</f>
        <v>0</v>
      </c>
      <c r="AC39">
        <f>IF(OR(posicao_contratual!$A39="",$W$46=""),0,IF(OR($AB39="",$AD39=""),"",ROUND($AB39-$AD39,2)))</f>
        <v>0</v>
      </c>
      <c r="AD39">
        <f>IF(OR(posicao_contratual!$A39="",$W$46=""),0,IF($AB39="","",IF(NOT(ISNUMBER(CHOOSE($W$46+1,posicao_contratual!$AB39,posicao_contratual!$AC39,posicao_contratual!$AD39,posicao_contratual!$AE39,posicao_contratual!$AF39))),0,ROUND(ROUND(CHOOSE($W$46+1,historico_VU!$C39,historico_VU!$D39,historico_VU!$E39,historico_VU!$F39,historico_VU!$G39),2)*CHOOSE($W$46+1,posicao_contratual!$AB39,posicao_contratual!$AC39,posicao_contratual!$AD39,posicao_contratual!$AE39,posicao_contratual!$AF39),2))))</f>
        <v>0</v>
      </c>
    </row>
    <row r="40" spans="1:30" ht="24" customHeight="1" x14ac:dyDescent="0.35">
      <c r="A40" s="481" t="s">
        <v>424</v>
      </c>
      <c r="B40" s="425"/>
      <c r="C40" s="425"/>
      <c r="D40" s="425"/>
      <c r="E40" s="425"/>
      <c r="F40" s="425"/>
      <c r="G40" s="425"/>
      <c r="H40" s="425"/>
      <c r="I40" s="425"/>
      <c r="J40" s="425"/>
      <c r="K40" s="57"/>
      <c r="L40" s="57"/>
      <c r="M40" s="57"/>
      <c r="N40" s="57"/>
      <c r="O40" s="57"/>
      <c r="P40" s="57"/>
      <c r="Q40" s="57"/>
      <c r="S40" t="s">
        <v>425</v>
      </c>
      <c r="T40" s="363">
        <f>IF(OR($T$24=0,$T$20="",$T$26&gt;0,AND(NOT(itens_PC!$P$3&gt;0),$T$27&gt;0)),"",ROUND($T$21+$T$22+$T$23,2))</f>
        <v>292233.59999999998</v>
      </c>
      <c r="V40" s="204" t="s">
        <v>426</v>
      </c>
      <c r="X40">
        <f>IF(posicao_contratual!$A40="",0,IF(AND(ISNUMBER(posicao_contratual!$Y40),posicao_contratual!$Y40&gt;0),0,IF(AND(ISNUMBER(posicao_contratual!$G40),ISNUMBER(posicao_contratual!$K40),ISNUMBER(historico_VU!$C40)),((posicao_contratual!$G40-N(posicao_contratual!$AB40))-(posicao_contratual!$K40-N(posicao_contratual!$AC40)))*historico_VU!$C40,"")))</f>
        <v>0</v>
      </c>
      <c r="Y40">
        <f>IF(OR(posicao_contratual!$A40="",$T$20=""),0,IF(AND(ISNUMBER(CHOOSE($T$20+1,historico_VU!$C40,historico_VU!$D40,historico_VU!$E40,historico_VU!$F40,historico_VU!$G40)),ISNUMBER(CHOOSE($T$20+1,posicao_contratual!$G40,posicao_contratual!$K40,posicao_contratual!$O40,posicao_contratual!$S40,posicao_contratual!$W40))),ROUND(ROUND(CHOOSE($T$20+1,historico_VU!$C40,historico_VU!$D40,historico_VU!$E40,historico_VU!$F40,historico_VU!$G40),2)*CHOOSE($T$20+1,posicao_contratual!$G40,posicao_contratual!$K40,posicao_contratual!$O40,posicao_contratual!$S40,posicao_contratual!$W40),2),""))</f>
        <v>0</v>
      </c>
      <c r="AB40">
        <f>IF(OR(posicao_contratual!$A40="",$W$46=""),0,IF(AND(ISNUMBER(CHOOSE($W$46+1,historico_VU!$C40,historico_VU!$D40,historico_VU!$E40,historico_VU!$F40,historico_VU!$G40)),ISNUMBER(CHOOSE($W$46+1,posicao_contratual!$G40,posicao_contratual!$K40,posicao_contratual!$O40,posicao_contratual!$S40,posicao_contratual!$W40))),ROUND(ROUND(CHOOSE($W$46+1,historico_VU!$C40,historico_VU!$D40,historico_VU!$E40,historico_VU!$F40,historico_VU!$G40),2)*CHOOSE($W$46+1,posicao_contratual!$G40,posicao_contratual!$K40,posicao_contratual!$O40,posicao_contratual!$S40,posicao_contratual!$W40),2),""))</f>
        <v>0</v>
      </c>
      <c r="AC40">
        <f>IF(OR(posicao_contratual!$A40="",$W$46=""),0,IF(OR($AB40="",$AD40=""),"",ROUND($AB40-$AD40,2)))</f>
        <v>0</v>
      </c>
      <c r="AD40">
        <f>IF(OR(posicao_contratual!$A40="",$W$46=""),0,IF($AB40="","",IF(NOT(ISNUMBER(CHOOSE($W$46+1,posicao_contratual!$AB40,posicao_contratual!$AC40,posicao_contratual!$AD40,posicao_contratual!$AE40,posicao_contratual!$AF40))),0,ROUND(ROUND(CHOOSE($W$46+1,historico_VU!$C40,historico_VU!$D40,historico_VU!$E40,historico_VU!$F40,historico_VU!$G40),2)*CHOOSE($W$46+1,posicao_contratual!$AB40,posicao_contratual!$AC40,posicao_contratual!$AD40,posicao_contratual!$AE40,posicao_contratual!$AF40),2))))</f>
        <v>0</v>
      </c>
    </row>
    <row r="41" spans="1:30" x14ac:dyDescent="0.35">
      <c r="A41" s="124" t="s">
        <v>427</v>
      </c>
      <c r="B41" s="129" t="str">
        <f>IF(B15="","",B15)</f>
        <v/>
      </c>
      <c r="C41" s="132" t="s">
        <v>428</v>
      </c>
      <c r="D41" s="129">
        <f>IF(C15="","",C15)</f>
        <v>14156.8</v>
      </c>
      <c r="E41" s="132" t="s">
        <v>429</v>
      </c>
      <c r="F41" s="129" t="str">
        <f>IF(D15="","",D15)</f>
        <v/>
      </c>
      <c r="G41" s="132" t="s">
        <v>430</v>
      </c>
      <c r="H41" s="129">
        <f>IF(B16="","",B16)</f>
        <v>14156.8</v>
      </c>
      <c r="I41" s="124" t="s">
        <v>373</v>
      </c>
      <c r="J41" s="133" t="str">
        <f>F16</f>
        <v>CALCULADO — CONFERIR</v>
      </c>
      <c r="K41" s="57"/>
      <c r="L41" s="57"/>
      <c r="M41" s="57"/>
      <c r="N41" s="57"/>
      <c r="O41" s="57"/>
      <c r="P41" s="57"/>
      <c r="Q41" s="57"/>
      <c r="S41" t="s">
        <v>431</v>
      </c>
      <c r="T41" s="371">
        <f>ROUND(SUM(itens_PC!$S$12:$S$16),2)</f>
        <v>7436.8</v>
      </c>
      <c r="V41" s="205" t="s">
        <v>432</v>
      </c>
      <c r="W41">
        <f>IF(COUNTIF(posicao_contratual!$A$2:$A$201,"&lt;&gt;")=0,0,IF(SUMPRODUCT((posicao_contratual!$A$2:$A$201&lt;&gt;"")*(posicao_contratual!$AL$2:$AL$201&lt;=0)*(1-ISNUMBER(posicao_contratual!$G$2:$G$201)))&gt;0,0,1))</f>
        <v>1</v>
      </c>
      <c r="X41">
        <f>IF(posicao_contratual!$A41="",0,IF(AND(ISNUMBER(posicao_contratual!$Y41),posicao_contratual!$Y41&gt;0),0,IF(AND(ISNUMBER(posicao_contratual!$G41),ISNUMBER(posicao_contratual!$K41),ISNUMBER(historico_VU!$C41)),((posicao_contratual!$G41-N(posicao_contratual!$AB41))-(posicao_contratual!$K41-N(posicao_contratual!$AC41)))*historico_VU!$C41,"")))</f>
        <v>0</v>
      </c>
      <c r="Y41">
        <f>IF(OR(posicao_contratual!$A41="",$T$20=""),0,IF(AND(ISNUMBER(CHOOSE($T$20+1,historico_VU!$C41,historico_VU!$D41,historico_VU!$E41,historico_VU!$F41,historico_VU!$G41)),ISNUMBER(CHOOSE($T$20+1,posicao_contratual!$G41,posicao_contratual!$K41,posicao_contratual!$O41,posicao_contratual!$S41,posicao_contratual!$W41))),ROUND(ROUND(CHOOSE($T$20+1,historico_VU!$C41,historico_VU!$D41,historico_VU!$E41,historico_VU!$F41,historico_VU!$G41),2)*CHOOSE($T$20+1,posicao_contratual!$G41,posicao_contratual!$K41,posicao_contratual!$O41,posicao_contratual!$S41,posicao_contratual!$W41),2),""))</f>
        <v>0</v>
      </c>
      <c r="AB41">
        <f>IF(OR(posicao_contratual!$A41="",$W$46=""),0,IF(AND(ISNUMBER(CHOOSE($W$46+1,historico_VU!$C41,historico_VU!$D41,historico_VU!$E41,historico_VU!$F41,historico_VU!$G41)),ISNUMBER(CHOOSE($W$46+1,posicao_contratual!$G41,posicao_contratual!$K41,posicao_contratual!$O41,posicao_contratual!$S41,posicao_contratual!$W41))),ROUND(ROUND(CHOOSE($W$46+1,historico_VU!$C41,historico_VU!$D41,historico_VU!$E41,historico_VU!$F41,historico_VU!$G41),2)*CHOOSE($W$46+1,posicao_contratual!$G41,posicao_contratual!$K41,posicao_contratual!$O41,posicao_contratual!$S41,posicao_contratual!$W41),2),""))</f>
        <v>0</v>
      </c>
      <c r="AC41">
        <f>IF(OR(posicao_contratual!$A41="",$W$46=""),0,IF(OR($AB41="",$AD41=""),"",ROUND($AB41-$AD41,2)))</f>
        <v>0</v>
      </c>
      <c r="AD41">
        <f>IF(OR(posicao_contratual!$A41="",$W$46=""),0,IF($AB41="","",IF(NOT(ISNUMBER(CHOOSE($W$46+1,posicao_contratual!$AB41,posicao_contratual!$AC41,posicao_contratual!$AD41,posicao_contratual!$AE41,posicao_contratual!$AF41))),0,ROUND(ROUND(CHOOSE($W$46+1,historico_VU!$C41,historico_VU!$D41,historico_VU!$E41,historico_VU!$F41,historico_VU!$G41),2)*CHOOSE($W$46+1,posicao_contratual!$AB41,posicao_contratual!$AC41,posicao_contratual!$AD41,posicao_contratual!$AE41,posicao_contratual!$AF41),2))))</f>
        <v>0</v>
      </c>
    </row>
    <row r="42" spans="1:30" x14ac:dyDescent="0.35">
      <c r="A42" s="124" t="s">
        <v>433</v>
      </c>
      <c r="B42" s="134">
        <f>IF($F$4="C0",parametros!$F$2,IF($F$4="C1",parametros!$F$3,IF($F$4="C2",parametros!$F$4,IF($F$4="C3",parametros!$F$5,parametros!$F$6))))</f>
        <v>1.0511999999999999</v>
      </c>
      <c r="C42" s="135" t="s">
        <v>434</v>
      </c>
      <c r="D42" s="134">
        <f>IF($F$4="C0",parametros!$D$11,IF($F$4="C1",parametros!$D$12,IF($F$4="C2",parametros!$D$13,IF($F$4="C3",parametros!$D$14,parametros!$D$15))))</f>
        <v>1.0511999999999999</v>
      </c>
      <c r="E42" s="135" t="s">
        <v>435</v>
      </c>
      <c r="F42" s="134">
        <f>IF(OR(NOT(ISNUMBER(B42)),NOT(ISNUMBER(D42)),D42=0),"",B42/D42)</f>
        <v>1</v>
      </c>
      <c r="G42" s="135" t="s">
        <v>436</v>
      </c>
      <c r="H42" s="134">
        <f>IF(OR(NOT(ISNUMBER(B42)),NOT(ISNUMBER(F42))),"",B42-F42)</f>
        <v>5.1199999999999912E-2</v>
      </c>
      <c r="I42" s="59"/>
      <c r="J42" s="59"/>
      <c r="K42" s="57"/>
      <c r="L42" s="57"/>
      <c r="M42" s="57"/>
      <c r="N42" s="57"/>
      <c r="O42" s="57"/>
      <c r="P42" s="57"/>
      <c r="Q42" s="57"/>
      <c r="S42" t="s">
        <v>437</v>
      </c>
      <c r="T42" s="371">
        <f>ROUND(SUMIFS(itens_PC!$J$2:$J$5001,itens_PC!$C$2:$C$5001,"C0",itens_PC!$J$2:$J$5001,"&gt;0",itens_PC!$B$2:$B$5001,"&lt;="&amp;$T$31),2)</f>
        <v>0</v>
      </c>
      <c r="V42" s="205" t="s">
        <v>438</v>
      </c>
      <c r="W42">
        <f>IF(COUNTIF(posicao_contratual!$A$2:$A$201,"&lt;&gt;")=0,0,IF(SUMPRODUCT((posicao_contratual!$A$2:$A$201&lt;&gt;"")*(posicao_contratual!$AL$2:$AL$201&lt;=1)*(1-ISNUMBER(posicao_contratual!$K$2:$K$201)))&gt;0,0,1))</f>
        <v>1</v>
      </c>
      <c r="X42">
        <f>IF(posicao_contratual!$A42="",0,IF(AND(ISNUMBER(posicao_contratual!$Y42),posicao_contratual!$Y42&gt;0),0,IF(AND(ISNUMBER(posicao_contratual!$G42),ISNUMBER(posicao_contratual!$K42),ISNUMBER(historico_VU!$C42)),((posicao_contratual!$G42-N(posicao_contratual!$AB42))-(posicao_contratual!$K42-N(posicao_contratual!$AC42)))*historico_VU!$C42,"")))</f>
        <v>0</v>
      </c>
      <c r="Y42">
        <f>IF(OR(posicao_contratual!$A42="",$T$20=""),0,IF(AND(ISNUMBER(CHOOSE($T$20+1,historico_VU!$C42,historico_VU!$D42,historico_VU!$E42,historico_VU!$F42,historico_VU!$G42)),ISNUMBER(CHOOSE($T$20+1,posicao_contratual!$G42,posicao_contratual!$K42,posicao_contratual!$O42,posicao_contratual!$S42,posicao_contratual!$W42))),ROUND(ROUND(CHOOSE($T$20+1,historico_VU!$C42,historico_VU!$D42,historico_VU!$E42,historico_VU!$F42,historico_VU!$G42),2)*CHOOSE($T$20+1,posicao_contratual!$G42,posicao_contratual!$K42,posicao_contratual!$O42,posicao_contratual!$S42,posicao_contratual!$W42),2),""))</f>
        <v>0</v>
      </c>
      <c r="AB42">
        <f>IF(OR(posicao_contratual!$A42="",$W$46=""),0,IF(AND(ISNUMBER(CHOOSE($W$46+1,historico_VU!$C42,historico_VU!$D42,historico_VU!$E42,historico_VU!$F42,historico_VU!$G42)),ISNUMBER(CHOOSE($W$46+1,posicao_contratual!$G42,posicao_contratual!$K42,posicao_contratual!$O42,posicao_contratual!$S42,posicao_contratual!$W42))),ROUND(ROUND(CHOOSE($W$46+1,historico_VU!$C42,historico_VU!$D42,historico_VU!$E42,historico_VU!$F42,historico_VU!$G42),2)*CHOOSE($W$46+1,posicao_contratual!$G42,posicao_contratual!$K42,posicao_contratual!$O42,posicao_contratual!$S42,posicao_contratual!$W42),2),""))</f>
        <v>0</v>
      </c>
      <c r="AC42">
        <f>IF(OR(posicao_contratual!$A42="",$W$46=""),0,IF(OR($AB42="",$AD42=""),"",ROUND($AB42-$AD42,2)))</f>
        <v>0</v>
      </c>
      <c r="AD42">
        <f>IF(OR(posicao_contratual!$A42="",$W$46=""),0,IF($AB42="","",IF(NOT(ISNUMBER(CHOOSE($W$46+1,posicao_contratual!$AB42,posicao_contratual!$AC42,posicao_contratual!$AD42,posicao_contratual!$AE42,posicao_contratual!$AF42))),0,ROUND(ROUND(CHOOSE($W$46+1,historico_VU!$C42,historico_VU!$D42,historico_VU!$E42,historico_VU!$F42,historico_VU!$G42),2)*CHOOSE($W$46+1,posicao_contratual!$AB42,posicao_contratual!$AC42,posicao_contratual!$AD42,posicao_contratual!$AE42,posicao_contratual!$AF42),2))))</f>
        <v>0</v>
      </c>
    </row>
    <row r="43" spans="1:30" x14ac:dyDescent="0.35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7"/>
      <c r="L43" s="57"/>
      <c r="M43" s="57"/>
      <c r="N43" s="57"/>
      <c r="O43" s="57"/>
      <c r="P43" s="57"/>
      <c r="Q43" s="57"/>
      <c r="S43" t="s">
        <v>439</v>
      </c>
      <c r="T43" s="371">
        <f>ROUND(SUMIFS(itens_PC!$J$2:$J$5001,itens_PC!$C$2:$C$5001,"C1",itens_PC!$J$2:$J$5001,"&gt;0",itens_PC!$B$2:$B$5001,"&lt;="&amp;$T$31),2)</f>
        <v>7436.8</v>
      </c>
      <c r="V43" s="205" t="s">
        <v>440</v>
      </c>
      <c r="W43">
        <f>IF(COUNTIF(posicao_contratual!$A$2:$A$201,"&lt;&gt;")=0,0,IF(SUMPRODUCT((posicao_contratual!$A$2:$A$201&lt;&gt;"")*(posicao_contratual!$AL$2:$AL$201&lt;=2)*(1-ISNUMBER(posicao_contratual!$O$2:$O$201)))&gt;0,0,1))</f>
        <v>1</v>
      </c>
      <c r="X43">
        <f>IF(posicao_contratual!$A43="",0,IF(AND(ISNUMBER(posicao_contratual!$Y43),posicao_contratual!$Y43&gt;0),0,IF(AND(ISNUMBER(posicao_contratual!$G43),ISNUMBER(posicao_contratual!$K43),ISNUMBER(historico_VU!$C43)),((posicao_contratual!$G43-N(posicao_contratual!$AB43))-(posicao_contratual!$K43-N(posicao_contratual!$AC43)))*historico_VU!$C43,"")))</f>
        <v>0</v>
      </c>
      <c r="Y43">
        <f>IF(OR(posicao_contratual!$A43="",$T$20=""),0,IF(AND(ISNUMBER(CHOOSE($T$20+1,historico_VU!$C43,historico_VU!$D43,historico_VU!$E43,historico_VU!$F43,historico_VU!$G43)),ISNUMBER(CHOOSE($T$20+1,posicao_contratual!$G43,posicao_contratual!$K43,posicao_contratual!$O43,posicao_contratual!$S43,posicao_contratual!$W43))),ROUND(ROUND(CHOOSE($T$20+1,historico_VU!$C43,historico_VU!$D43,historico_VU!$E43,historico_VU!$F43,historico_VU!$G43),2)*CHOOSE($T$20+1,posicao_contratual!$G43,posicao_contratual!$K43,posicao_contratual!$O43,posicao_contratual!$S43,posicao_contratual!$W43),2),""))</f>
        <v>0</v>
      </c>
      <c r="AB43">
        <f>IF(OR(posicao_contratual!$A43="",$W$46=""),0,IF(AND(ISNUMBER(CHOOSE($W$46+1,historico_VU!$C43,historico_VU!$D43,historico_VU!$E43,historico_VU!$F43,historico_VU!$G43)),ISNUMBER(CHOOSE($W$46+1,posicao_contratual!$G43,posicao_contratual!$K43,posicao_contratual!$O43,posicao_contratual!$S43,posicao_contratual!$W43))),ROUND(ROUND(CHOOSE($W$46+1,historico_VU!$C43,historico_VU!$D43,historico_VU!$E43,historico_VU!$F43,historico_VU!$G43),2)*CHOOSE($W$46+1,posicao_contratual!$G43,posicao_contratual!$K43,posicao_contratual!$O43,posicao_contratual!$S43,posicao_contratual!$W43),2),""))</f>
        <v>0</v>
      </c>
      <c r="AC43">
        <f>IF(OR(posicao_contratual!$A43="",$W$46=""),0,IF(OR($AB43="",$AD43=""),"",ROUND($AB43-$AD43,2)))</f>
        <v>0</v>
      </c>
      <c r="AD43">
        <f>IF(OR(posicao_contratual!$A43="",$W$46=""),0,IF($AB43="","",IF(NOT(ISNUMBER(CHOOSE($W$46+1,posicao_contratual!$AB43,posicao_contratual!$AC43,posicao_contratual!$AD43,posicao_contratual!$AE43,posicao_contratual!$AF43))),0,ROUND(ROUND(CHOOSE($W$46+1,historico_VU!$C43,historico_VU!$D43,historico_VU!$E43,historico_VU!$F43,historico_VU!$G43),2)*CHOOSE($W$46+1,posicao_contratual!$AB43,posicao_contratual!$AC43,posicao_contratual!$AD43,posicao_contratual!$AE43,posicao_contratual!$AF43),2))))</f>
        <v>0</v>
      </c>
    </row>
    <row r="44" spans="1:30" ht="26" customHeight="1" x14ac:dyDescent="0.35">
      <c r="A44" s="124" t="s">
        <v>441</v>
      </c>
      <c r="B44" s="133">
        <f>SUMPRODUCT(--(financeiro!$C$2:$C$73&lt;&gt;""),--(((financeiro!$B$2:$B$73="")+(financeiro!$G$2:$G$73=""))&gt;0))</f>
        <v>0</v>
      </c>
      <c r="C44" s="124" t="s">
        <v>442</v>
      </c>
      <c r="D44" s="133">
        <f>SUMPRODUCT(--(((itens_PC!$B$2:$B$5001&lt;&gt;"")+(itens_PC!$D$2:$D$5001&lt;&gt;"")+(itens_PC!$G$2:$G$5001&lt;&gt;""))&gt;0),--(itens_PC!$K$2:$K$5001&lt;&gt;"OK"))</f>
        <v>0</v>
      </c>
      <c r="E44" s="124" t="s">
        <v>443</v>
      </c>
      <c r="F44" s="133">
        <f>COUNTIFS(itens_Consumidos!$A$2:$A$200,"&lt;&gt;",itens_Consumidos!$Q$2:$Q$200,"&lt;&gt;OK")+COUNTIFS(itens_Consumidos!$A$2:$A$200,"&lt;&gt;",itens_Consumidos!$C$2:$C$200,"")</f>
        <v>0</v>
      </c>
      <c r="G44" s="124" t="s">
        <v>444</v>
      </c>
      <c r="H44" s="133">
        <f>COUNTIFS(itens_Remanesc!$A$2:$A$200,"&lt;&gt;",itens_Remanesc!$U$2:$U$200,"&lt;&gt;OK")+COUNTIFS(itens_Remanesc!$A$2:$A$200,"&lt;&gt;",itens_Remanesc!$V$2:$V$200,"&lt;&gt;OK")</f>
        <v>0</v>
      </c>
      <c r="I44" s="124" t="s">
        <v>445</v>
      </c>
      <c r="J44" s="133">
        <f>COUNTIFS(itens_Remanesc!$A$2:$A$200,"&lt;&gt;",itens_Remanesc!$B$2:$B$200,"")+COUNTIFS(itens_Remanesc!$A$2:$A$200,"&lt;&gt;",itens_Remanesc!$C$2:$C$200,"")</f>
        <v>0</v>
      </c>
      <c r="K44" s="57"/>
      <c r="L44" s="57"/>
      <c r="M44" s="57"/>
      <c r="N44" s="57"/>
      <c r="O44" s="57"/>
      <c r="P44" s="57"/>
      <c r="Q44" s="57"/>
      <c r="S44" t="s">
        <v>446</v>
      </c>
      <c r="T44" s="371">
        <f>ROUND(SUMIFS(itens_PC!$J$2:$J$5001,itens_PC!$C$2:$C$5001,"C2",itens_PC!$J$2:$J$5001,"&gt;0",itens_PC!$B$2:$B$5001,"&lt;="&amp;$T$31),2)</f>
        <v>0</v>
      </c>
      <c r="V44" s="205" t="s">
        <v>447</v>
      </c>
      <c r="W44">
        <f>IF(COUNTIF(posicao_contratual!$A$2:$A$201,"&lt;&gt;")=0,0,IF(SUMPRODUCT((posicao_contratual!$A$2:$A$201&lt;&gt;"")*(posicao_contratual!$AL$2:$AL$201&lt;=3)*(1-ISNUMBER(posicao_contratual!$S$2:$S$201)))&gt;0,0,1))</f>
        <v>1</v>
      </c>
      <c r="X44">
        <f>IF(posicao_contratual!$A44="",0,IF(AND(ISNUMBER(posicao_contratual!$Y44),posicao_contratual!$Y44&gt;0),0,IF(AND(ISNUMBER(posicao_contratual!$G44),ISNUMBER(posicao_contratual!$K44),ISNUMBER(historico_VU!$C44)),((posicao_contratual!$G44-N(posicao_contratual!$AB44))-(posicao_contratual!$K44-N(posicao_contratual!$AC44)))*historico_VU!$C44,"")))</f>
        <v>0</v>
      </c>
      <c r="Y44">
        <f>IF(OR(posicao_contratual!$A44="",$T$20=""),0,IF(AND(ISNUMBER(CHOOSE($T$20+1,historico_VU!$C44,historico_VU!$D44,historico_VU!$E44,historico_VU!$F44,historico_VU!$G44)),ISNUMBER(CHOOSE($T$20+1,posicao_contratual!$G44,posicao_contratual!$K44,posicao_contratual!$O44,posicao_contratual!$S44,posicao_contratual!$W44))),ROUND(ROUND(CHOOSE($T$20+1,historico_VU!$C44,historico_VU!$D44,historico_VU!$E44,historico_VU!$F44,historico_VU!$G44),2)*CHOOSE($T$20+1,posicao_contratual!$G44,posicao_contratual!$K44,posicao_contratual!$O44,posicao_contratual!$S44,posicao_contratual!$W44),2),""))</f>
        <v>0</v>
      </c>
      <c r="AB44">
        <f>IF(OR(posicao_contratual!$A44="",$W$46=""),0,IF(AND(ISNUMBER(CHOOSE($W$46+1,historico_VU!$C44,historico_VU!$D44,historico_VU!$E44,historico_VU!$F44,historico_VU!$G44)),ISNUMBER(CHOOSE($W$46+1,posicao_contratual!$G44,posicao_contratual!$K44,posicao_contratual!$O44,posicao_contratual!$S44,posicao_contratual!$W44))),ROUND(ROUND(CHOOSE($W$46+1,historico_VU!$C44,historico_VU!$D44,historico_VU!$E44,historico_VU!$F44,historico_VU!$G44),2)*CHOOSE($W$46+1,posicao_contratual!$G44,posicao_contratual!$K44,posicao_contratual!$O44,posicao_contratual!$S44,posicao_contratual!$W44),2),""))</f>
        <v>0</v>
      </c>
      <c r="AC44">
        <f>IF(OR(posicao_contratual!$A44="",$W$46=""),0,IF(OR($AB44="",$AD44=""),"",ROUND($AB44-$AD44,2)))</f>
        <v>0</v>
      </c>
      <c r="AD44">
        <f>IF(OR(posicao_contratual!$A44="",$W$46=""),0,IF($AB44="","",IF(NOT(ISNUMBER(CHOOSE($W$46+1,posicao_contratual!$AB44,posicao_contratual!$AC44,posicao_contratual!$AD44,posicao_contratual!$AE44,posicao_contratual!$AF44))),0,ROUND(ROUND(CHOOSE($W$46+1,historico_VU!$C44,historico_VU!$D44,historico_VU!$E44,historico_VU!$F44,historico_VU!$G44),2)*CHOOSE($W$46+1,posicao_contratual!$AB44,posicao_contratual!$AC44,posicao_contratual!$AD44,posicao_contratual!$AE44,posicao_contratual!$AF44),2))))</f>
        <v>0</v>
      </c>
    </row>
    <row r="45" spans="1:30" ht="26" customHeight="1" x14ac:dyDescent="0.35">
      <c r="A45" s="124" t="s">
        <v>448</v>
      </c>
      <c r="B45" s="133">
        <f>COUNTIF(aditivos!$K$2:$K$200,"Sim")</f>
        <v>0</v>
      </c>
      <c r="C45" s="124" t="s">
        <v>449</v>
      </c>
      <c r="D45" s="129">
        <f>ROUND(SUM(itens_PC!$J$2:$J$5001),2)</f>
        <v>7436.8</v>
      </c>
      <c r="E45" s="59"/>
      <c r="F45" s="59"/>
      <c r="G45" s="59"/>
      <c r="H45" s="59"/>
      <c r="I45" s="59"/>
      <c r="J45" s="59"/>
      <c r="K45" s="57"/>
      <c r="L45" s="57"/>
      <c r="M45" s="57"/>
      <c r="N45" s="57"/>
      <c r="O45" s="57"/>
      <c r="P45" s="57"/>
      <c r="Q45" s="57"/>
      <c r="S45" t="s">
        <v>450</v>
      </c>
      <c r="T45" s="371">
        <f>ROUND(SUMIFS(itens_PC!$J$2:$J$5001,itens_PC!$C$2:$C$5001,"C3",itens_PC!$J$2:$J$5001,"&gt;0",itens_PC!$B$2:$B$5001,"&lt;="&amp;$T$31),2)</f>
        <v>0</v>
      </c>
      <c r="V45" s="205" t="s">
        <v>451</v>
      </c>
      <c r="W45">
        <f>IF(COUNTIF(posicao_contratual!$A$2:$A$201,"&lt;&gt;")=0,0,IF(SUMPRODUCT((posicao_contratual!$A$2:$A$201&lt;&gt;"")*(posicao_contratual!$AL$2:$AL$201&lt;=4)*(1-ISNUMBER(posicao_contratual!$W$2:$W$201)))&gt;0,0,1))</f>
        <v>1</v>
      </c>
      <c r="X45">
        <f>IF(posicao_contratual!$A45="",0,IF(AND(ISNUMBER(posicao_contratual!$Y45),posicao_contratual!$Y45&gt;0),0,IF(AND(ISNUMBER(posicao_contratual!$G45),ISNUMBER(posicao_contratual!$K45),ISNUMBER(historico_VU!$C45)),((posicao_contratual!$G45-N(posicao_contratual!$AB45))-(posicao_contratual!$K45-N(posicao_contratual!$AC45)))*historico_VU!$C45,"")))</f>
        <v>0</v>
      </c>
      <c r="Y45">
        <f>IF(OR(posicao_contratual!$A45="",$T$20=""),0,IF(AND(ISNUMBER(CHOOSE($T$20+1,historico_VU!$C45,historico_VU!$D45,historico_VU!$E45,historico_VU!$F45,historico_VU!$G45)),ISNUMBER(CHOOSE($T$20+1,posicao_contratual!$G45,posicao_contratual!$K45,posicao_contratual!$O45,posicao_contratual!$S45,posicao_contratual!$W45))),ROUND(ROUND(CHOOSE($T$20+1,historico_VU!$C45,historico_VU!$D45,historico_VU!$E45,historico_VU!$F45,historico_VU!$G45),2)*CHOOSE($T$20+1,posicao_contratual!$G45,posicao_contratual!$K45,posicao_contratual!$O45,posicao_contratual!$S45,posicao_contratual!$W45),2),""))</f>
        <v>0</v>
      </c>
      <c r="AB45">
        <f>IF(OR(posicao_contratual!$A45="",$W$46=""),0,IF(AND(ISNUMBER(CHOOSE($W$46+1,historico_VU!$C45,historico_VU!$D45,historico_VU!$E45,historico_VU!$F45,historico_VU!$G45)),ISNUMBER(CHOOSE($W$46+1,posicao_contratual!$G45,posicao_contratual!$K45,posicao_contratual!$O45,posicao_contratual!$S45,posicao_contratual!$W45))),ROUND(ROUND(CHOOSE($W$46+1,historico_VU!$C45,historico_VU!$D45,historico_VU!$E45,historico_VU!$F45,historico_VU!$G45),2)*CHOOSE($W$46+1,posicao_contratual!$G45,posicao_contratual!$K45,posicao_contratual!$O45,posicao_contratual!$S45,posicao_contratual!$W45),2),""))</f>
        <v>0</v>
      </c>
      <c r="AC45">
        <f>IF(OR(posicao_contratual!$A45="",$W$46=""),0,IF(OR($AB45="",$AD45=""),"",ROUND($AB45-$AD45,2)))</f>
        <v>0</v>
      </c>
      <c r="AD45">
        <f>IF(OR(posicao_contratual!$A45="",$W$46=""),0,IF($AB45="","",IF(NOT(ISNUMBER(CHOOSE($W$46+1,posicao_contratual!$AB45,posicao_contratual!$AC45,posicao_contratual!$AD45,posicao_contratual!$AE45,posicao_contratual!$AF45))),0,ROUND(ROUND(CHOOSE($W$46+1,historico_VU!$C45,historico_VU!$D45,historico_VU!$E45,historico_VU!$F45,historico_VU!$G45),2)*CHOOSE($W$46+1,posicao_contratual!$AB45,posicao_contratual!$AC45,posicao_contratual!$AD45,posicao_contratual!$AE45,posicao_contratual!$AF45),2))))</f>
        <v>0</v>
      </c>
    </row>
    <row r="46" spans="1:30" x14ac:dyDescent="0.35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S46" t="s">
        <v>452</v>
      </c>
      <c r="T46" s="371">
        <f>ROUND(SUMIFS(itens_PC!$J$2:$J$5001,itens_PC!$C$2:$C$5001,"C4",itens_PC!$J$2:$J$5001,"&gt;0",itens_PC!$B$2:$B$5001,"&lt;="&amp;$T$31),2)</f>
        <v>0</v>
      </c>
      <c r="V46" s="205" t="s">
        <v>453</v>
      </c>
      <c r="W46">
        <f>IF($T$20="","",IF(AND($T$20&gt;=4,INDEX($W$41:$W$45,5)=1),4,IF(AND($T$20&gt;=3,INDEX($W$41:$W$45,4)=1),3,IF(AND($T$20&gt;=2,INDEX($W$41:$W$45,3)=1),2,IF(AND($T$20&gt;=1,INDEX($W$41:$W$45,2)=1),1,IF(INDEX($W$41:$W$45,1)=1,0,""))))))</f>
        <v>1</v>
      </c>
      <c r="X46">
        <f>IF(posicao_contratual!$A46="",0,IF(AND(ISNUMBER(posicao_contratual!$Y46),posicao_contratual!$Y46&gt;0),0,IF(AND(ISNUMBER(posicao_contratual!$G46),ISNUMBER(posicao_contratual!$K46),ISNUMBER(historico_VU!$C46)),((posicao_contratual!$G46-N(posicao_contratual!$AB46))-(posicao_contratual!$K46-N(posicao_contratual!$AC46)))*historico_VU!$C46,"")))</f>
        <v>0</v>
      </c>
      <c r="Y46">
        <f>IF(OR(posicao_contratual!$A46="",$T$20=""),0,IF(AND(ISNUMBER(CHOOSE($T$20+1,historico_VU!$C46,historico_VU!$D46,historico_VU!$E46,historico_VU!$F46,historico_VU!$G46)),ISNUMBER(CHOOSE($T$20+1,posicao_contratual!$G46,posicao_contratual!$K46,posicao_contratual!$O46,posicao_contratual!$S46,posicao_contratual!$W46))),ROUND(ROUND(CHOOSE($T$20+1,historico_VU!$C46,historico_VU!$D46,historico_VU!$E46,historico_VU!$F46,historico_VU!$G46),2)*CHOOSE($T$20+1,posicao_contratual!$G46,posicao_contratual!$K46,posicao_contratual!$O46,posicao_contratual!$S46,posicao_contratual!$W46),2),""))</f>
        <v>0</v>
      </c>
      <c r="AB46">
        <f>IF(OR(posicao_contratual!$A46="",$W$46=""),0,IF(AND(ISNUMBER(CHOOSE($W$46+1,historico_VU!$C46,historico_VU!$D46,historico_VU!$E46,historico_VU!$F46,historico_VU!$G46)),ISNUMBER(CHOOSE($W$46+1,posicao_contratual!$G46,posicao_contratual!$K46,posicao_contratual!$O46,posicao_contratual!$S46,posicao_contratual!$W46))),ROUND(ROUND(CHOOSE($W$46+1,historico_VU!$C46,historico_VU!$D46,historico_VU!$E46,historico_VU!$F46,historico_VU!$G46),2)*CHOOSE($W$46+1,posicao_contratual!$G46,posicao_contratual!$K46,posicao_contratual!$O46,posicao_contratual!$S46,posicao_contratual!$W46),2),""))</f>
        <v>0</v>
      </c>
      <c r="AC46">
        <f>IF(OR(posicao_contratual!$A46="",$W$46=""),0,IF(OR($AB46="",$AD46=""),"",ROUND($AB46-$AD46,2)))</f>
        <v>0</v>
      </c>
      <c r="AD46">
        <f>IF(OR(posicao_contratual!$A46="",$W$46=""),0,IF($AB46="","",IF(NOT(ISNUMBER(CHOOSE($W$46+1,posicao_contratual!$AB46,posicao_contratual!$AC46,posicao_contratual!$AD46,posicao_contratual!$AE46,posicao_contratual!$AF46))),0,ROUND(ROUND(CHOOSE($W$46+1,historico_VU!$C46,historico_VU!$D46,historico_VU!$E46,historico_VU!$F46,historico_VU!$G46),2)*CHOOSE($W$46+1,posicao_contratual!$AB46,posicao_contratual!$AC46,posicao_contratual!$AD46,posicao_contratual!$AE46,posicao_contratual!$AF46),2))))</f>
        <v>0</v>
      </c>
    </row>
    <row r="47" spans="1:30" x14ac:dyDescent="0.35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S47" t="s">
        <v>454</v>
      </c>
      <c r="T47" s="371">
        <f>ROUND($T$41-$T$39,2)</f>
        <v>0</v>
      </c>
      <c r="V47" s="205" t="s">
        <v>455</v>
      </c>
      <c r="W47" t="str">
        <f>IF(OR($W$46="",$W$46=$T$20),"","Aberturas posteriores a C"&amp;$W$46&amp;" incompletas (ciclo vigente C"&amp;$T$20&amp;").")</f>
        <v/>
      </c>
      <c r="X47">
        <f>IF(posicao_contratual!$A47="",0,IF(AND(ISNUMBER(posicao_contratual!$Y47),posicao_contratual!$Y47&gt;0),0,IF(AND(ISNUMBER(posicao_contratual!$G47),ISNUMBER(posicao_contratual!$K47),ISNUMBER(historico_VU!$C47)),((posicao_contratual!$G47-N(posicao_contratual!$AB47))-(posicao_contratual!$K47-N(posicao_contratual!$AC47)))*historico_VU!$C47,"")))</f>
        <v>0</v>
      </c>
      <c r="Y47">
        <f>IF(OR(posicao_contratual!$A47="",$T$20=""),0,IF(AND(ISNUMBER(CHOOSE($T$20+1,historico_VU!$C47,historico_VU!$D47,historico_VU!$E47,historico_VU!$F47,historico_VU!$G47)),ISNUMBER(CHOOSE($T$20+1,posicao_contratual!$G47,posicao_contratual!$K47,posicao_contratual!$O47,posicao_contratual!$S47,posicao_contratual!$W47))),ROUND(ROUND(CHOOSE($T$20+1,historico_VU!$C47,historico_VU!$D47,historico_VU!$E47,historico_VU!$F47,historico_VU!$G47),2)*CHOOSE($T$20+1,posicao_contratual!$G47,posicao_contratual!$K47,posicao_contratual!$O47,posicao_contratual!$S47,posicao_contratual!$W47),2),""))</f>
        <v>0</v>
      </c>
      <c r="AB47">
        <f>IF(OR(posicao_contratual!$A47="",$W$46=""),0,IF(AND(ISNUMBER(CHOOSE($W$46+1,historico_VU!$C47,historico_VU!$D47,historico_VU!$E47,historico_VU!$F47,historico_VU!$G47)),ISNUMBER(CHOOSE($W$46+1,posicao_contratual!$G47,posicao_contratual!$K47,posicao_contratual!$O47,posicao_contratual!$S47,posicao_contratual!$W47))),ROUND(ROUND(CHOOSE($W$46+1,historico_VU!$C47,historico_VU!$D47,historico_VU!$E47,historico_VU!$F47,historico_VU!$G47),2)*CHOOSE($W$46+1,posicao_contratual!$G47,posicao_contratual!$K47,posicao_contratual!$O47,posicao_contratual!$S47,posicao_contratual!$W47),2),""))</f>
        <v>0</v>
      </c>
      <c r="AC47">
        <f>IF(OR(posicao_contratual!$A47="",$W$46=""),0,IF(OR($AB47="",$AD47=""),"",ROUND($AB47-$AD47,2)))</f>
        <v>0</v>
      </c>
      <c r="AD47">
        <f>IF(OR(posicao_contratual!$A47="",$W$46=""),0,IF($AB47="","",IF(NOT(ISNUMBER(CHOOSE($W$46+1,posicao_contratual!$AB47,posicao_contratual!$AC47,posicao_contratual!$AD47,posicao_contratual!$AE47,posicao_contratual!$AF47))),0,ROUND(ROUND(CHOOSE($W$46+1,historico_VU!$C47,historico_VU!$D47,historico_VU!$E47,historico_VU!$F47,historico_VU!$G47),2)*CHOOSE($W$46+1,posicao_contratual!$AB47,posicao_contratual!$AC47,posicao_contratual!$AD47,posicao_contratual!$AE47,posicao_contratual!$AF47),2))))</f>
        <v>0</v>
      </c>
    </row>
    <row r="48" spans="1:30" ht="34" customHeight="1" x14ac:dyDescent="0.35">
      <c r="A48" s="482"/>
      <c r="B48" s="425"/>
      <c r="C48" s="425"/>
      <c r="D48" s="425"/>
      <c r="E48" s="425"/>
      <c r="F48" s="425"/>
      <c r="G48" s="425"/>
      <c r="H48" s="425"/>
      <c r="I48" s="425"/>
      <c r="J48" s="425"/>
      <c r="K48" s="57"/>
      <c r="L48" s="57"/>
      <c r="M48" s="57"/>
      <c r="N48" s="57"/>
      <c r="O48" s="57"/>
      <c r="P48" s="57"/>
      <c r="Q48" s="57"/>
      <c r="V48" s="205" t="s">
        <v>456</v>
      </c>
      <c r="W48" s="191">
        <f>IF(OR($W$46="",$W$67=""),"",ROUND($W$67+$W$53+$W$54,2))</f>
        <v>292233.59999999998</v>
      </c>
      <c r="X48">
        <f>IF(posicao_contratual!$A48="",0,IF(AND(ISNUMBER(posicao_contratual!$Y48),posicao_contratual!$Y48&gt;0),0,IF(AND(ISNUMBER(posicao_contratual!$G48),ISNUMBER(posicao_contratual!$K48),ISNUMBER(historico_VU!$C48)),((posicao_contratual!$G48-N(posicao_contratual!$AB48))-(posicao_contratual!$K48-N(posicao_contratual!$AC48)))*historico_VU!$C48,"")))</f>
        <v>0</v>
      </c>
      <c r="Y48">
        <f>IF(OR(posicao_contratual!$A48="",$T$20=""),0,IF(AND(ISNUMBER(CHOOSE($T$20+1,historico_VU!$C48,historico_VU!$D48,historico_VU!$E48,historico_VU!$F48,historico_VU!$G48)),ISNUMBER(CHOOSE($T$20+1,posicao_contratual!$G48,posicao_contratual!$K48,posicao_contratual!$O48,posicao_contratual!$S48,posicao_contratual!$W48))),ROUND(ROUND(CHOOSE($T$20+1,historico_VU!$C48,historico_VU!$D48,historico_VU!$E48,historico_VU!$F48,historico_VU!$G48),2)*CHOOSE($T$20+1,posicao_contratual!$G48,posicao_contratual!$K48,posicao_contratual!$O48,posicao_contratual!$S48,posicao_contratual!$W48),2),""))</f>
        <v>0</v>
      </c>
      <c r="AB48">
        <f>IF(OR(posicao_contratual!$A48="",$W$46=""),0,IF(AND(ISNUMBER(CHOOSE($W$46+1,historico_VU!$C48,historico_VU!$D48,historico_VU!$E48,historico_VU!$F48,historico_VU!$G48)),ISNUMBER(CHOOSE($W$46+1,posicao_contratual!$G48,posicao_contratual!$K48,posicao_contratual!$O48,posicao_contratual!$S48,posicao_contratual!$W48))),ROUND(ROUND(CHOOSE($W$46+1,historico_VU!$C48,historico_VU!$D48,historico_VU!$E48,historico_VU!$F48,historico_VU!$G48),2)*CHOOSE($W$46+1,posicao_contratual!$G48,posicao_contratual!$K48,posicao_contratual!$O48,posicao_contratual!$S48,posicao_contratual!$W48),2),""))</f>
        <v>0</v>
      </c>
      <c r="AC48">
        <f>IF(OR(posicao_contratual!$A48="",$W$46=""),0,IF(OR($AB48="",$AD48=""),"",ROUND($AB48-$AD48,2)))</f>
        <v>0</v>
      </c>
      <c r="AD48">
        <f>IF(OR(posicao_contratual!$A48="",$W$46=""),0,IF($AB48="","",IF(NOT(ISNUMBER(CHOOSE($W$46+1,posicao_contratual!$AB48,posicao_contratual!$AC48,posicao_contratual!$AD48,posicao_contratual!$AE48,posicao_contratual!$AF48))),0,ROUND(ROUND(CHOOSE($W$46+1,historico_VU!$C48,historico_VU!$D48,historico_VU!$E48,historico_VU!$F48,historico_VU!$G48),2)*CHOOSE($W$46+1,posicao_contratual!$AB48,posicao_contratual!$AC48,posicao_contratual!$AD48,posicao_contratual!$AE48,posicao_contratual!$AF48),2))))</f>
        <v>0</v>
      </c>
    </row>
    <row r="49" spans="1:30" ht="34" customHeight="1" x14ac:dyDescent="0.35">
      <c r="A49" s="482"/>
      <c r="B49" s="425"/>
      <c r="C49" s="425"/>
      <c r="D49" s="425"/>
      <c r="E49" s="425"/>
      <c r="F49" s="425"/>
      <c r="G49" s="425"/>
      <c r="H49" s="425"/>
      <c r="I49" s="425"/>
      <c r="J49" s="425"/>
      <c r="K49" s="57"/>
      <c r="L49" s="57"/>
      <c r="M49" s="57"/>
      <c r="N49" s="57"/>
      <c r="O49" s="57"/>
      <c r="P49" s="57"/>
      <c r="Q49" s="57"/>
      <c r="V49" s="205" t="s">
        <v>457</v>
      </c>
      <c r="W49">
        <f ca="1">IF(ISERROR(INDIRECT("CICLO_EM_EXECUCAO!$A$9")),0,IF(INDIRECT("CICLO_EM_EXECUCAO!$A$9")="",0,IF(AND(ISNUMBER(INDIRECT("CICLO_EM_EXECUCAO!$D$5")),ISNUMBER(CONTROLE!$B$3),INDIRECT("CICLO_EM_EXECUCAO!$D$5")&gt;CONTROLE!$B$3),0,1)))</f>
        <v>1</v>
      </c>
      <c r="X49">
        <f>IF(posicao_contratual!$A49="",0,IF(AND(ISNUMBER(posicao_contratual!$Y49),posicao_contratual!$Y49&gt;0),0,IF(AND(ISNUMBER(posicao_contratual!$G49),ISNUMBER(posicao_contratual!$K49),ISNUMBER(historico_VU!$C49)),((posicao_contratual!$G49-N(posicao_contratual!$AB49))-(posicao_contratual!$K49-N(posicao_contratual!$AC49)))*historico_VU!$C49,"")))</f>
        <v>0</v>
      </c>
      <c r="Y49">
        <f>IF(OR(posicao_contratual!$A49="",$T$20=""),0,IF(AND(ISNUMBER(CHOOSE($T$20+1,historico_VU!$C49,historico_VU!$D49,historico_VU!$E49,historico_VU!$F49,historico_VU!$G49)),ISNUMBER(CHOOSE($T$20+1,posicao_contratual!$G49,posicao_contratual!$K49,posicao_contratual!$O49,posicao_contratual!$S49,posicao_contratual!$W49))),ROUND(ROUND(CHOOSE($T$20+1,historico_VU!$C49,historico_VU!$D49,historico_VU!$E49,historico_VU!$F49,historico_VU!$G49),2)*CHOOSE($T$20+1,posicao_contratual!$G49,posicao_contratual!$K49,posicao_contratual!$O49,posicao_contratual!$S49,posicao_contratual!$W49),2),""))</f>
        <v>0</v>
      </c>
      <c r="AB49">
        <f>IF(OR(posicao_contratual!$A49="",$W$46=""),0,IF(AND(ISNUMBER(CHOOSE($W$46+1,historico_VU!$C49,historico_VU!$D49,historico_VU!$E49,historico_VU!$F49,historico_VU!$G49)),ISNUMBER(CHOOSE($W$46+1,posicao_contratual!$G49,posicao_contratual!$K49,posicao_contratual!$O49,posicao_contratual!$S49,posicao_contratual!$W49))),ROUND(ROUND(CHOOSE($W$46+1,historico_VU!$C49,historico_VU!$D49,historico_VU!$E49,historico_VU!$F49,historico_VU!$G49),2)*CHOOSE($W$46+1,posicao_contratual!$G49,posicao_contratual!$K49,posicao_contratual!$O49,posicao_contratual!$S49,posicao_contratual!$W49),2),""))</f>
        <v>0</v>
      </c>
      <c r="AC49">
        <f>IF(OR(posicao_contratual!$A49="",$W$46=""),0,IF(OR($AB49="",$AD49=""),"",ROUND($AB49-$AD49,2)))</f>
        <v>0</v>
      </c>
      <c r="AD49">
        <f>IF(OR(posicao_contratual!$A49="",$W$46=""),0,IF($AB49="","",IF(NOT(ISNUMBER(CHOOSE($W$46+1,posicao_contratual!$AB49,posicao_contratual!$AC49,posicao_contratual!$AD49,posicao_contratual!$AE49,posicao_contratual!$AF49))),0,ROUND(ROUND(CHOOSE($W$46+1,historico_VU!$C49,historico_VU!$D49,historico_VU!$E49,historico_VU!$F49,historico_VU!$G49),2)*CHOOSE($W$46+1,posicao_contratual!$AB49,posicao_contratual!$AC49,posicao_contratual!$AD49,posicao_contratual!$AE49,posicao_contratual!$AF49),2))))</f>
        <v>0</v>
      </c>
    </row>
    <row r="50" spans="1:30" x14ac:dyDescent="0.35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V50" s="205" t="s">
        <v>458</v>
      </c>
      <c r="W50" s="191">
        <f ca="1">IF(OR($W$49=0,$W$66=""),"",ROUND($W$66+IFERROR(SUM(INDIRECT("CICLO_EM_EXECUCAO!F13:F211")),0)+IFERROR(SUM(INDIRECT("CICLO_EM_EXECUCAO!G13:G211")),0),2))</f>
        <v>292233.59999999998</v>
      </c>
      <c r="X50">
        <f>IF(posicao_contratual!$A50="",0,IF(AND(ISNUMBER(posicao_contratual!$Y50),posicao_contratual!$Y50&gt;0),0,IF(AND(ISNUMBER(posicao_contratual!$G50),ISNUMBER(posicao_contratual!$K50),ISNUMBER(historico_VU!$C50)),((posicao_contratual!$G50-N(posicao_contratual!$AB50))-(posicao_contratual!$K50-N(posicao_contratual!$AC50)))*historico_VU!$C50,"")))</f>
        <v>0</v>
      </c>
      <c r="Y50">
        <f>IF(OR(posicao_contratual!$A50="",$T$20=""),0,IF(AND(ISNUMBER(CHOOSE($T$20+1,historico_VU!$C50,historico_VU!$D50,historico_VU!$E50,historico_VU!$F50,historico_VU!$G50)),ISNUMBER(CHOOSE($T$20+1,posicao_contratual!$G50,posicao_contratual!$K50,posicao_contratual!$O50,posicao_contratual!$S50,posicao_contratual!$W50))),ROUND(ROUND(CHOOSE($T$20+1,historico_VU!$C50,historico_VU!$D50,historico_VU!$E50,historico_VU!$F50,historico_VU!$G50),2)*CHOOSE($T$20+1,posicao_contratual!$G50,posicao_contratual!$K50,posicao_contratual!$O50,posicao_contratual!$S50,posicao_contratual!$W50),2),""))</f>
        <v>0</v>
      </c>
      <c r="AB50">
        <f>IF(OR(posicao_contratual!$A50="",$W$46=""),0,IF(AND(ISNUMBER(CHOOSE($W$46+1,historico_VU!$C50,historico_VU!$D50,historico_VU!$E50,historico_VU!$F50,historico_VU!$G50)),ISNUMBER(CHOOSE($W$46+1,posicao_contratual!$G50,posicao_contratual!$K50,posicao_contratual!$O50,posicao_contratual!$S50,posicao_contratual!$W50))),ROUND(ROUND(CHOOSE($W$46+1,historico_VU!$C50,historico_VU!$D50,historico_VU!$E50,historico_VU!$F50,historico_VU!$G50),2)*CHOOSE($W$46+1,posicao_contratual!$G50,posicao_contratual!$K50,posicao_contratual!$O50,posicao_contratual!$S50,posicao_contratual!$W50),2),""))</f>
        <v>0</v>
      </c>
      <c r="AC50">
        <f>IF(OR(posicao_contratual!$A50="",$W$46=""),0,IF(OR($AB50="",$AD50=""),"",ROUND($AB50-$AD50,2)))</f>
        <v>0</v>
      </c>
      <c r="AD50">
        <f>IF(OR(posicao_contratual!$A50="",$W$46=""),0,IF($AB50="","",IF(NOT(ISNUMBER(CHOOSE($W$46+1,posicao_contratual!$AB50,posicao_contratual!$AC50,posicao_contratual!$AD50,posicao_contratual!$AE50,posicao_contratual!$AF50))),0,ROUND(ROUND(CHOOSE($W$46+1,historico_VU!$C50,historico_VU!$D50,historico_VU!$E50,historico_VU!$F50,historico_VU!$G50),2)*CHOOSE($W$46+1,posicao_contratual!$AB50,posicao_contratual!$AC50,posicao_contratual!$AD50,posicao_contratual!$AE50,posicao_contratual!$AF50),2))))</f>
        <v>0</v>
      </c>
    </row>
    <row r="51" spans="1:30" x14ac:dyDescent="0.35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V51" s="205" t="s">
        <v>459</v>
      </c>
      <c r="W51" s="191">
        <f ca="1">IF(OR($W$50="",$W$48=""),"",ROUND($W$50-$W$48,2))</f>
        <v>0</v>
      </c>
      <c r="X51">
        <f>IF(posicao_contratual!$A51="",0,IF(AND(ISNUMBER(posicao_contratual!$Y51),posicao_contratual!$Y51&gt;0),0,IF(AND(ISNUMBER(posicao_contratual!$G51),ISNUMBER(posicao_contratual!$K51),ISNUMBER(historico_VU!$C51)),((posicao_contratual!$G51-N(posicao_contratual!$AB51))-(posicao_contratual!$K51-N(posicao_contratual!$AC51)))*historico_VU!$C51,"")))</f>
        <v>0</v>
      </c>
      <c r="Y51">
        <f>IF(OR(posicao_contratual!$A51="",$T$20=""),0,IF(AND(ISNUMBER(CHOOSE($T$20+1,historico_VU!$C51,historico_VU!$D51,historico_VU!$E51,historico_VU!$F51,historico_VU!$G51)),ISNUMBER(CHOOSE($T$20+1,posicao_contratual!$G51,posicao_contratual!$K51,posicao_contratual!$O51,posicao_contratual!$S51,posicao_contratual!$W51))),ROUND(ROUND(CHOOSE($T$20+1,historico_VU!$C51,historico_VU!$D51,historico_VU!$E51,historico_VU!$F51,historico_VU!$G51),2)*CHOOSE($T$20+1,posicao_contratual!$G51,posicao_contratual!$K51,posicao_contratual!$O51,posicao_contratual!$S51,posicao_contratual!$W51),2),""))</f>
        <v>0</v>
      </c>
      <c r="AB51">
        <f>IF(OR(posicao_contratual!$A51="",$W$46=""),0,IF(AND(ISNUMBER(CHOOSE($W$46+1,historico_VU!$C51,historico_VU!$D51,historico_VU!$E51,historico_VU!$F51,historico_VU!$G51)),ISNUMBER(CHOOSE($W$46+1,posicao_contratual!$G51,posicao_contratual!$K51,posicao_contratual!$O51,posicao_contratual!$S51,posicao_contratual!$W51))),ROUND(ROUND(CHOOSE($W$46+1,historico_VU!$C51,historico_VU!$D51,historico_VU!$E51,historico_VU!$F51,historico_VU!$G51),2)*CHOOSE($W$46+1,posicao_contratual!$G51,posicao_contratual!$K51,posicao_contratual!$O51,posicao_contratual!$S51,posicao_contratual!$W51),2),""))</f>
        <v>0</v>
      </c>
      <c r="AC51">
        <f>IF(OR(posicao_contratual!$A51="",$W$46=""),0,IF(OR($AB51="",$AD51=""),"",ROUND($AB51-$AD51,2)))</f>
        <v>0</v>
      </c>
      <c r="AD51">
        <f>IF(OR(posicao_contratual!$A51="",$W$46=""),0,IF($AB51="","",IF(NOT(ISNUMBER(CHOOSE($W$46+1,posicao_contratual!$AB51,posicao_contratual!$AC51,posicao_contratual!$AD51,posicao_contratual!$AE51,posicao_contratual!$AF51))),0,ROUND(ROUND(CHOOSE($W$46+1,historico_VU!$C51,historico_VU!$D51,historico_VU!$E51,historico_VU!$F51,historico_VU!$G51),2)*CHOOSE($W$46+1,posicao_contratual!$AB51,posicao_contratual!$AC51,posicao_contratual!$AD51,posicao_contratual!$AE51,posicao_contratual!$AF51),2))))</f>
        <v>0</v>
      </c>
    </row>
    <row r="52" spans="1:30" x14ac:dyDescent="0.35">
      <c r="A52" s="485" t="s">
        <v>460</v>
      </c>
      <c r="B52" s="486"/>
      <c r="C52" s="486"/>
      <c r="D52" s="486"/>
      <c r="E52" s="486"/>
      <c r="F52" s="486"/>
      <c r="G52" s="486"/>
      <c r="H52" s="486"/>
      <c r="I52" s="57"/>
      <c r="J52" s="485" t="s">
        <v>461</v>
      </c>
      <c r="K52" s="486"/>
      <c r="L52" s="486"/>
      <c r="M52" s="486"/>
      <c r="N52" s="486"/>
      <c r="O52" s="486"/>
      <c r="P52" s="486"/>
      <c r="Q52" s="486"/>
      <c r="V52" s="205" t="s">
        <v>462</v>
      </c>
      <c r="W52" t="str">
        <f ca="1">IF($W$50="","POSICAO ATUAL NAO INFORMADA",IF($W$48="","ULTIMA ABERTURA INDISPONIVEL",IF(ABS($W$51)&lt;=$D$4,"RECONCILIADO","REVISE — DECOMPOSICOES DO VTA NAO RECONCILIADAS")))</f>
        <v>RECONCILIADO</v>
      </c>
      <c r="X52">
        <f>IF(posicao_contratual!$A52="",0,IF(AND(ISNUMBER(posicao_contratual!$Y52),posicao_contratual!$Y52&gt;0),0,IF(AND(ISNUMBER(posicao_contratual!$G52),ISNUMBER(posicao_contratual!$K52),ISNUMBER(historico_VU!$C52)),((posicao_contratual!$G52-N(posicao_contratual!$AB52))-(posicao_contratual!$K52-N(posicao_contratual!$AC52)))*historico_VU!$C52,"")))</f>
        <v>0</v>
      </c>
      <c r="Y52">
        <f>IF(OR(posicao_contratual!$A52="",$T$20=""),0,IF(AND(ISNUMBER(CHOOSE($T$20+1,historico_VU!$C52,historico_VU!$D52,historico_VU!$E52,historico_VU!$F52,historico_VU!$G52)),ISNUMBER(CHOOSE($T$20+1,posicao_contratual!$G52,posicao_contratual!$K52,posicao_contratual!$O52,posicao_contratual!$S52,posicao_contratual!$W52))),ROUND(ROUND(CHOOSE($T$20+1,historico_VU!$C52,historico_VU!$D52,historico_VU!$E52,historico_VU!$F52,historico_VU!$G52),2)*CHOOSE($T$20+1,posicao_contratual!$G52,posicao_contratual!$K52,posicao_contratual!$O52,posicao_contratual!$S52,posicao_contratual!$W52),2),""))</f>
        <v>0</v>
      </c>
      <c r="AB52">
        <f>IF(OR(posicao_contratual!$A52="",$W$46=""),0,IF(AND(ISNUMBER(CHOOSE($W$46+1,historico_VU!$C52,historico_VU!$D52,historico_VU!$E52,historico_VU!$F52,historico_VU!$G52)),ISNUMBER(CHOOSE($W$46+1,posicao_contratual!$G52,posicao_contratual!$K52,posicao_contratual!$O52,posicao_contratual!$S52,posicao_contratual!$W52))),ROUND(ROUND(CHOOSE($W$46+1,historico_VU!$C52,historico_VU!$D52,historico_VU!$E52,historico_VU!$F52,historico_VU!$G52),2)*CHOOSE($W$46+1,posicao_contratual!$G52,posicao_contratual!$K52,posicao_contratual!$O52,posicao_contratual!$S52,posicao_contratual!$W52),2),""))</f>
        <v>0</v>
      </c>
      <c r="AC52">
        <f>IF(OR(posicao_contratual!$A52="",$W$46=""),0,IF(OR($AB52="",$AD52=""),"",ROUND($AB52-$AD52,2)))</f>
        <v>0</v>
      </c>
      <c r="AD52">
        <f>IF(OR(posicao_contratual!$A52="",$W$46=""),0,IF($AB52="","",IF(NOT(ISNUMBER(CHOOSE($W$46+1,posicao_contratual!$AB52,posicao_contratual!$AC52,posicao_contratual!$AD52,posicao_contratual!$AE52,posicao_contratual!$AF52))),0,ROUND(ROUND(CHOOSE($W$46+1,historico_VU!$C52,historico_VU!$D52,historico_VU!$E52,historico_VU!$F52,historico_VU!$G52),2)*CHOOSE($W$46+1,posicao_contratual!$AB52,posicao_contratual!$AC52,posicao_contratual!$AD52,posicao_contratual!$AE52,posicao_contratual!$AF52),2))))</f>
        <v>0</v>
      </c>
    </row>
    <row r="53" spans="1:30" collapsed="1" x14ac:dyDescent="0.35">
      <c r="A53" s="136" t="s">
        <v>24</v>
      </c>
      <c r="B53" s="136" t="s">
        <v>463</v>
      </c>
      <c r="C53" s="136" t="s">
        <v>464</v>
      </c>
      <c r="D53" s="136" t="s">
        <v>465</v>
      </c>
      <c r="E53" s="136" t="s">
        <v>466</v>
      </c>
      <c r="F53" s="136" t="s">
        <v>467</v>
      </c>
      <c r="G53" s="136" t="s">
        <v>468</v>
      </c>
      <c r="H53" s="136" t="s">
        <v>469</v>
      </c>
      <c r="I53" s="57"/>
      <c r="J53" s="136" t="s">
        <v>24</v>
      </c>
      <c r="K53" s="136" t="s">
        <v>470</v>
      </c>
      <c r="L53" s="136" t="s">
        <v>471</v>
      </c>
      <c r="M53" s="136" t="s">
        <v>472</v>
      </c>
      <c r="N53" s="136" t="s">
        <v>473</v>
      </c>
      <c r="O53" s="136" t="s">
        <v>474</v>
      </c>
      <c r="P53" s="136" t="s">
        <v>475</v>
      </c>
      <c r="Q53" s="136" t="s">
        <v>59</v>
      </c>
      <c r="V53" t="s">
        <v>476</v>
      </c>
      <c r="W53">
        <f>SUM($AC$2:$AC$201)</f>
        <v>292233.59999999998</v>
      </c>
      <c r="X53">
        <f>IF(posicao_contratual!$A53="",0,IF(AND(ISNUMBER(posicao_contratual!$Y53),posicao_contratual!$Y53&gt;0),0,IF(AND(ISNUMBER(posicao_contratual!$G53),ISNUMBER(posicao_contratual!$K53),ISNUMBER(historico_VU!$C53)),((posicao_contratual!$G53-N(posicao_contratual!$AB53))-(posicao_contratual!$K53-N(posicao_contratual!$AC53)))*historico_VU!$C53,"")))</f>
        <v>0</v>
      </c>
      <c r="Y53">
        <f>IF(OR(posicao_contratual!$A53="",$T$20=""),0,IF(AND(ISNUMBER(CHOOSE($T$20+1,historico_VU!$C53,historico_VU!$D53,historico_VU!$E53,historico_VU!$F53,historico_VU!$G53)),ISNUMBER(CHOOSE($T$20+1,posicao_contratual!$G53,posicao_contratual!$K53,posicao_contratual!$O53,posicao_contratual!$S53,posicao_contratual!$W53))),ROUND(ROUND(CHOOSE($T$20+1,historico_VU!$C53,historico_VU!$D53,historico_VU!$E53,historico_VU!$F53,historico_VU!$G53),2)*CHOOSE($T$20+1,posicao_contratual!$G53,posicao_contratual!$K53,posicao_contratual!$O53,posicao_contratual!$S53,posicao_contratual!$W53),2),""))</f>
        <v>0</v>
      </c>
      <c r="AB53">
        <f>IF(OR(posicao_contratual!$A53="",$W$46=""),0,IF(AND(ISNUMBER(CHOOSE($W$46+1,historico_VU!$C53,historico_VU!$D53,historico_VU!$E53,historico_VU!$F53,historico_VU!$G53)),ISNUMBER(CHOOSE($W$46+1,posicao_contratual!$G53,posicao_contratual!$K53,posicao_contratual!$O53,posicao_contratual!$S53,posicao_contratual!$W53))),ROUND(ROUND(CHOOSE($W$46+1,historico_VU!$C53,historico_VU!$D53,historico_VU!$E53,historico_VU!$F53,historico_VU!$G53),2)*CHOOSE($W$46+1,posicao_contratual!$G53,posicao_contratual!$K53,posicao_contratual!$O53,posicao_contratual!$S53,posicao_contratual!$W53),2),""))</f>
        <v>0</v>
      </c>
      <c r="AC53">
        <f>IF(OR(posicao_contratual!$A53="",$W$46=""),0,IF(OR($AB53="",$AD53=""),"",ROUND($AB53-$AD53,2)))</f>
        <v>0</v>
      </c>
      <c r="AD53">
        <f>IF(OR(posicao_contratual!$A53="",$W$46=""),0,IF($AB53="","",IF(NOT(ISNUMBER(CHOOSE($W$46+1,posicao_contratual!$AB53,posicao_contratual!$AC53,posicao_contratual!$AD53,posicao_contratual!$AE53,posicao_contratual!$AF53))),0,ROUND(ROUND(CHOOSE($W$46+1,historico_VU!$C53,historico_VU!$D53,historico_VU!$E53,historico_VU!$F53,historico_VU!$G53),2)*CHOOSE($W$46+1,posicao_contratual!$AB53,posicao_contratual!$AC53,posicao_contratual!$AD53,posicao_contratual!$AE53,posicao_contratual!$AF53),2))))</f>
        <v>0</v>
      </c>
    </row>
    <row r="54" spans="1:30" hidden="1" outlineLevel="1" x14ac:dyDescent="0.35">
      <c r="A54" s="137" t="str">
        <f>IF(historico_VU!A2="","",historico_VU!A2)</f>
        <v>ITEM-001</v>
      </c>
      <c r="B54" s="138">
        <f>IF(A54="","",historico_VU!B2)</f>
        <v>120</v>
      </c>
      <c r="C54" s="139">
        <f>IF(A54="","",historico_VU!C2)</f>
        <v>250</v>
      </c>
      <c r="D54" s="139">
        <f>IF(A54="","",historico_VU!D2)</f>
        <v>262.8</v>
      </c>
      <c r="E54" s="139">
        <f>IF(A54="","",historico_VU!E2)</f>
        <v>272.63</v>
      </c>
      <c r="F54" s="139">
        <f>IF(A54="","",historico_VU!F2)</f>
        <v>280.51</v>
      </c>
      <c r="G54" s="139" t="str">
        <f>IF(A54="","",historico_VU!G2)</f>
        <v/>
      </c>
      <c r="H54" s="140" t="str">
        <f>IF(A54="","",historico_VU!H2)</f>
        <v/>
      </c>
      <c r="I54" s="57"/>
      <c r="J54" s="137" t="str">
        <f>IF(itens_Remanesc!A2="","",itens_Remanesc!A2)</f>
        <v>ITEM-001</v>
      </c>
      <c r="K54" s="138">
        <f>IF(J54="","",IF($F$4="C0",itens_Remanesc!B2,IF($F$4="C1",itens_Remanesc!E2,IF($F$4="C2",itens_Remanesc!G2,IF($F$4="C3",itens_Remanesc!I2,itens_Remanesc!K2)))))</f>
        <v>120</v>
      </c>
      <c r="L54" s="138">
        <f>IF(J54="","",IF(SUMIF(itens_Consumidos!$A$2:$A$200,J54,itens_Consumidos!$B$2:$B$200)-SUMIF(itens_Consumidos!$A$2:$A$200,J54,itens_Consumidos!$O$2:$O$200)&lt;0,0,SUMIF(itens_Consumidos!$A$2:$A$200,J54,itens_Consumidos!$B$2:$B$200)-SUMIF(itens_Consumidos!$A$2:$A$200,J54,itens_Consumidos!$O$2:$O$200)))</f>
        <v>0</v>
      </c>
      <c r="M54" s="141">
        <f>IF(J54="","",itens_Remanesc!C2)</f>
        <v>250</v>
      </c>
      <c r="N54" s="141">
        <f>IF(J54="","",IF($F$4="C0",historico_VU!C2,IF($F$4="C1",historico_VU!D2,IF($F$4="C2",historico_VU!E2,IF($F$4="C3",historico_VU!F2,historico_VU!G2)))))</f>
        <v>262.8</v>
      </c>
      <c r="O54" s="141">
        <f t="shared" ref="O54:O85" si="1">IF(J54="","",IF(OR($B$4="Financeiro",$B$4="PCs"),IF(OR(K54="",M54=""),"",ROUND(K54*M54,2)),IF($B$4="Itens",IF(OR(L54="",M54=""),"",ROUND(L54*M54,2)),"")))</f>
        <v>30000</v>
      </c>
      <c r="P54" s="141">
        <f t="shared" ref="P54:P85" si="2">IF(J54="","",IF(OR($B$4="Financeiro",$B$4="PCs"),IF(OR(K54="",N54=""),"",ROUND(K54*N54,2)),IF($B$4="Itens",IF(OR(L54="",N54=""),"",ROUND(L54*N54,2)),"")))</f>
        <v>31536</v>
      </c>
      <c r="Q54" s="142" t="str">
        <f t="shared" ref="Q54:Q85" si="3">IF(J54="","",IF(OR(M54="",AND(OR($B$4="Financeiro",$B$4="PCs"),K54=""),AND($B$4="Itens",L54="")),"INCOMPLETO",IF(AND(ISNUMBER(K54),ISNUMBER(L54),ABS(K54-L54)/MAX(ABS(IF(OR($B$4="Financeiro",$B$4="PCs"),K54,L54)),1)&gt;$D$4),"DIVERGENTE","OK")))</f>
        <v>DIVERGENTE</v>
      </c>
      <c r="V54" t="s">
        <v>477</v>
      </c>
      <c r="W54">
        <f>SUM($AD$2:$AD$201)</f>
        <v>0</v>
      </c>
      <c r="X54">
        <f>IF(posicao_contratual!$A54="",0,IF(AND(ISNUMBER(posicao_contratual!$Y54),posicao_contratual!$Y54&gt;0),0,IF(AND(ISNUMBER(posicao_contratual!$G54),ISNUMBER(posicao_contratual!$K54),ISNUMBER(historico_VU!$C54)),((posicao_contratual!$G54-N(posicao_contratual!$AB54))-(posicao_contratual!$K54-N(posicao_contratual!$AC54)))*historico_VU!$C54,"")))</f>
        <v>0</v>
      </c>
      <c r="Y54">
        <f>IF(OR(posicao_contratual!$A54="",$T$20=""),0,IF(AND(ISNUMBER(CHOOSE($T$20+1,historico_VU!$C54,historico_VU!$D54,historico_VU!$E54,historico_VU!$F54,historico_VU!$G54)),ISNUMBER(CHOOSE($T$20+1,posicao_contratual!$G54,posicao_contratual!$K54,posicao_contratual!$O54,posicao_contratual!$S54,posicao_contratual!$W54))),ROUND(ROUND(CHOOSE($T$20+1,historico_VU!$C54,historico_VU!$D54,historico_VU!$E54,historico_VU!$F54,historico_VU!$G54),2)*CHOOSE($T$20+1,posicao_contratual!$G54,posicao_contratual!$K54,posicao_contratual!$O54,posicao_contratual!$S54,posicao_contratual!$W54),2),""))</f>
        <v>0</v>
      </c>
      <c r="AB54">
        <f>IF(OR(posicao_contratual!$A54="",$W$46=""),0,IF(AND(ISNUMBER(CHOOSE($W$46+1,historico_VU!$C54,historico_VU!$D54,historico_VU!$E54,historico_VU!$F54,historico_VU!$G54)),ISNUMBER(CHOOSE($W$46+1,posicao_contratual!$G54,posicao_contratual!$K54,posicao_contratual!$O54,posicao_contratual!$S54,posicao_contratual!$W54))),ROUND(ROUND(CHOOSE($W$46+1,historico_VU!$C54,historico_VU!$D54,historico_VU!$E54,historico_VU!$F54,historico_VU!$G54),2)*CHOOSE($W$46+1,posicao_contratual!$G54,posicao_contratual!$K54,posicao_contratual!$O54,posicao_contratual!$S54,posicao_contratual!$W54),2),""))</f>
        <v>0</v>
      </c>
      <c r="AC54">
        <f>IF(OR(posicao_contratual!$A54="",$W$46=""),0,IF(OR($AB54="",$AD54=""),"",ROUND($AB54-$AD54,2)))</f>
        <v>0</v>
      </c>
      <c r="AD54">
        <f>IF(OR(posicao_contratual!$A54="",$W$46=""),0,IF($AB54="","",IF(NOT(ISNUMBER(CHOOSE($W$46+1,posicao_contratual!$AB54,posicao_contratual!$AC54,posicao_contratual!$AD54,posicao_contratual!$AE54,posicao_contratual!$AF54))),0,ROUND(ROUND(CHOOSE($W$46+1,historico_VU!$C54,historico_VU!$D54,historico_VU!$E54,historico_VU!$F54,historico_VU!$G54),2)*CHOOSE($W$46+1,posicao_contratual!$AB54,posicao_contratual!$AC54,posicao_contratual!$AD54,posicao_contratual!$AE54,posicao_contratual!$AF54),2))))</f>
        <v>0</v>
      </c>
    </row>
    <row r="55" spans="1:30" hidden="1" outlineLevel="1" x14ac:dyDescent="0.35">
      <c r="A55" s="137" t="str">
        <f>IF(historico_VU!A3="","",historico_VU!A3)</f>
        <v>ITEM-002</v>
      </c>
      <c r="B55" s="138">
        <f>IF(A55="","",historico_VU!B3)</f>
        <v>80</v>
      </c>
      <c r="C55" s="139">
        <f>IF(A55="","",historico_VU!C3)</f>
        <v>1500</v>
      </c>
      <c r="D55" s="139">
        <f>IF(A55="","",historico_VU!D3)</f>
        <v>1576.8</v>
      </c>
      <c r="E55" s="139">
        <f>IF(A55="","",historico_VU!E3)</f>
        <v>1635.77</v>
      </c>
      <c r="F55" s="139">
        <f>IF(A55="","",historico_VU!F3)</f>
        <v>1683.05</v>
      </c>
      <c r="G55" s="139" t="str">
        <f>IF(A55="","",historico_VU!G3)</f>
        <v/>
      </c>
      <c r="H55" s="140" t="str">
        <f>IF(A55="","",historico_VU!H3)</f>
        <v/>
      </c>
      <c r="I55" s="57"/>
      <c r="J55" s="137" t="str">
        <f>IF(itens_Remanesc!A3="","",itens_Remanesc!A3)</f>
        <v>ITEM-002</v>
      </c>
      <c r="K55" s="138">
        <f>IF(J55="","",IF($F$4="C0",itens_Remanesc!B3,IF($F$4="C1",itens_Remanesc!E3,IF($F$4="C2",itens_Remanesc!G3,IF($F$4="C3",itens_Remanesc!I3,itens_Remanesc!K3)))))</f>
        <v>80</v>
      </c>
      <c r="L55" s="138">
        <f>IF(J55="","",IF(SUMIF(itens_Consumidos!$A$2:$A$200,J55,itens_Consumidos!$B$2:$B$200)-SUMIF(itens_Consumidos!$A$2:$A$200,J55,itens_Consumidos!$O$2:$O$200)&lt;0,0,SUMIF(itens_Consumidos!$A$2:$A$200,J55,itens_Consumidos!$B$2:$B$200)-SUMIF(itens_Consumidos!$A$2:$A$200,J55,itens_Consumidos!$O$2:$O$200)))</f>
        <v>0</v>
      </c>
      <c r="M55" s="141">
        <f>IF(J55="","",itens_Remanesc!C3)</f>
        <v>1500</v>
      </c>
      <c r="N55" s="141">
        <f>IF(J55="","",IF($F$4="C0",historico_VU!C3,IF($F$4="C1",historico_VU!D3,IF($F$4="C2",historico_VU!E3,IF($F$4="C3",historico_VU!F3,historico_VU!G3)))))</f>
        <v>1576.8</v>
      </c>
      <c r="O55" s="141">
        <f t="shared" si="1"/>
        <v>120000</v>
      </c>
      <c r="P55" s="141">
        <f t="shared" si="2"/>
        <v>126144</v>
      </c>
      <c r="Q55" s="142" t="str">
        <f t="shared" si="3"/>
        <v>DIVERGENTE</v>
      </c>
      <c r="V55" t="s">
        <v>478</v>
      </c>
      <c r="W55">
        <f>ROUND(SUM($AB$2:$AB$201)-($W$53+$W$54),2)</f>
        <v>0</v>
      </c>
      <c r="X55">
        <f>IF(posicao_contratual!$A55="",0,IF(AND(ISNUMBER(posicao_contratual!$Y55),posicao_contratual!$Y55&gt;0),0,IF(AND(ISNUMBER(posicao_contratual!$G55),ISNUMBER(posicao_contratual!$K55),ISNUMBER(historico_VU!$C55)),((posicao_contratual!$G55-N(posicao_contratual!$AB55))-(posicao_contratual!$K55-N(posicao_contratual!$AC55)))*historico_VU!$C55,"")))</f>
        <v>0</v>
      </c>
      <c r="Y55">
        <f>IF(OR(posicao_contratual!$A55="",$T$20=""),0,IF(AND(ISNUMBER(CHOOSE($T$20+1,historico_VU!$C55,historico_VU!$D55,historico_VU!$E55,historico_VU!$F55,historico_VU!$G55)),ISNUMBER(CHOOSE($T$20+1,posicao_contratual!$G55,posicao_contratual!$K55,posicao_contratual!$O55,posicao_contratual!$S55,posicao_contratual!$W55))),ROUND(ROUND(CHOOSE($T$20+1,historico_VU!$C55,historico_VU!$D55,historico_VU!$E55,historico_VU!$F55,historico_VU!$G55),2)*CHOOSE($T$20+1,posicao_contratual!$G55,posicao_contratual!$K55,posicao_contratual!$O55,posicao_contratual!$S55,posicao_contratual!$W55),2),""))</f>
        <v>0</v>
      </c>
      <c r="AB55">
        <f>IF(OR(posicao_contratual!$A55="",$W$46=""),0,IF(AND(ISNUMBER(CHOOSE($W$46+1,historico_VU!$C55,historico_VU!$D55,historico_VU!$E55,historico_VU!$F55,historico_VU!$G55)),ISNUMBER(CHOOSE($W$46+1,posicao_contratual!$G55,posicao_contratual!$K55,posicao_contratual!$O55,posicao_contratual!$S55,posicao_contratual!$W55))),ROUND(ROUND(CHOOSE($W$46+1,historico_VU!$C55,historico_VU!$D55,historico_VU!$E55,historico_VU!$F55,historico_VU!$G55),2)*CHOOSE($W$46+1,posicao_contratual!$G55,posicao_contratual!$K55,posicao_contratual!$O55,posicao_contratual!$S55,posicao_contratual!$W55),2),""))</f>
        <v>0</v>
      </c>
      <c r="AC55">
        <f>IF(OR(posicao_contratual!$A55="",$W$46=""),0,IF(OR($AB55="",$AD55=""),"",ROUND($AB55-$AD55,2)))</f>
        <v>0</v>
      </c>
      <c r="AD55">
        <f>IF(OR(posicao_contratual!$A55="",$W$46=""),0,IF($AB55="","",IF(NOT(ISNUMBER(CHOOSE($W$46+1,posicao_contratual!$AB55,posicao_contratual!$AC55,posicao_contratual!$AD55,posicao_contratual!$AE55,posicao_contratual!$AF55))),0,ROUND(ROUND(CHOOSE($W$46+1,historico_VU!$C55,historico_VU!$D55,historico_VU!$E55,historico_VU!$F55,historico_VU!$G55),2)*CHOOSE($W$46+1,posicao_contratual!$AB55,posicao_contratual!$AC55,posicao_contratual!$AD55,posicao_contratual!$AE55,posicao_contratual!$AF55),2))))</f>
        <v>0</v>
      </c>
    </row>
    <row r="56" spans="1:30" hidden="1" outlineLevel="1" x14ac:dyDescent="0.35">
      <c r="A56" s="137" t="str">
        <f>IF(historico_VU!A4="","",historico_VU!A4)</f>
        <v>ITEM-003</v>
      </c>
      <c r="B56" s="138">
        <f>IF(A56="","",historico_VU!B4)</f>
        <v>40</v>
      </c>
      <c r="C56" s="139">
        <f>IF(A56="","",historico_VU!C4)</f>
        <v>3200</v>
      </c>
      <c r="D56" s="139">
        <f>IF(A56="","",historico_VU!D4)</f>
        <v>3363.84</v>
      </c>
      <c r="E56" s="139">
        <f>IF(A56="","",historico_VU!E4)</f>
        <v>3489.65</v>
      </c>
      <c r="F56" s="139">
        <f>IF(A56="","",historico_VU!F4)</f>
        <v>3590.5</v>
      </c>
      <c r="G56" s="139" t="str">
        <f>IF(A56="","",historico_VU!G4)</f>
        <v/>
      </c>
      <c r="H56" s="140" t="str">
        <f>IF(A56="","",historico_VU!H4)</f>
        <v/>
      </c>
      <c r="I56" s="57"/>
      <c r="J56" s="137" t="str">
        <f>IF(itens_Remanesc!A4="","",itens_Remanesc!A4)</f>
        <v>ITEM-003</v>
      </c>
      <c r="K56" s="138">
        <f>IF(J56="","",IF($F$4="C0",itens_Remanesc!B4,IF($F$4="C1",itens_Remanesc!E4,IF($F$4="C2",itens_Remanesc!G4,IF($F$4="C3",itens_Remanesc!I4,itens_Remanesc!K4)))))</f>
        <v>40</v>
      </c>
      <c r="L56" s="138">
        <f>IF(J56="","",IF(SUMIF(itens_Consumidos!$A$2:$A$200,J56,itens_Consumidos!$B$2:$B$200)-SUMIF(itens_Consumidos!$A$2:$A$200,J56,itens_Consumidos!$O$2:$O$200)&lt;0,0,SUMIF(itens_Consumidos!$A$2:$A$200,J56,itens_Consumidos!$B$2:$B$200)-SUMIF(itens_Consumidos!$A$2:$A$200,J56,itens_Consumidos!$O$2:$O$200)))</f>
        <v>0</v>
      </c>
      <c r="M56" s="141">
        <f>IF(J56="","",itens_Remanesc!C4)</f>
        <v>3200</v>
      </c>
      <c r="N56" s="141">
        <f>IF(J56="","",IF($F$4="C0",historico_VU!C4,IF($F$4="C1",historico_VU!D4,IF($F$4="C2",historico_VU!E4,IF($F$4="C3",historico_VU!F4,historico_VU!G4)))))</f>
        <v>3363.84</v>
      </c>
      <c r="O56" s="141">
        <f t="shared" si="1"/>
        <v>128000</v>
      </c>
      <c r="P56" s="141">
        <f t="shared" si="2"/>
        <v>134553.60000000001</v>
      </c>
      <c r="Q56" s="142" t="str">
        <f t="shared" si="3"/>
        <v>DIVERGENTE</v>
      </c>
      <c r="V56" t="s">
        <v>479</v>
      </c>
      <c r="W56" t="str">
        <f>IF(ABS($W$55)&lt;=$D$4,"SEM DUPLA CONTAGEM","REVISE - DUPLA CONTAGEM NA FORMA 2")</f>
        <v>SEM DUPLA CONTAGEM</v>
      </c>
      <c r="X56">
        <f>IF(posicao_contratual!$A56="",0,IF(AND(ISNUMBER(posicao_contratual!$Y56),posicao_contratual!$Y56&gt;0),0,IF(AND(ISNUMBER(posicao_contratual!$G56),ISNUMBER(posicao_contratual!$K56),ISNUMBER(historico_VU!$C56)),((posicao_contratual!$G56-N(posicao_contratual!$AB56))-(posicao_contratual!$K56-N(posicao_contratual!$AC56)))*historico_VU!$C56,"")))</f>
        <v>0</v>
      </c>
      <c r="Y56">
        <f>IF(OR(posicao_contratual!$A56="",$T$20=""),0,IF(AND(ISNUMBER(CHOOSE($T$20+1,historico_VU!$C56,historico_VU!$D56,historico_VU!$E56,historico_VU!$F56,historico_VU!$G56)),ISNUMBER(CHOOSE($T$20+1,posicao_contratual!$G56,posicao_contratual!$K56,posicao_contratual!$O56,posicao_contratual!$S56,posicao_contratual!$W56))),ROUND(ROUND(CHOOSE($T$20+1,historico_VU!$C56,historico_VU!$D56,historico_VU!$E56,historico_VU!$F56,historico_VU!$G56),2)*CHOOSE($T$20+1,posicao_contratual!$G56,posicao_contratual!$K56,posicao_contratual!$O56,posicao_contratual!$S56,posicao_contratual!$W56),2),""))</f>
        <v>0</v>
      </c>
      <c r="AB56">
        <f>IF(OR(posicao_contratual!$A56="",$W$46=""),0,IF(AND(ISNUMBER(CHOOSE($W$46+1,historico_VU!$C56,historico_VU!$D56,historico_VU!$E56,historico_VU!$F56,historico_VU!$G56)),ISNUMBER(CHOOSE($W$46+1,posicao_contratual!$G56,posicao_contratual!$K56,posicao_contratual!$O56,posicao_contratual!$S56,posicao_contratual!$W56))),ROUND(ROUND(CHOOSE($W$46+1,historico_VU!$C56,historico_VU!$D56,historico_VU!$E56,historico_VU!$F56,historico_VU!$G56),2)*CHOOSE($W$46+1,posicao_contratual!$G56,posicao_contratual!$K56,posicao_contratual!$O56,posicao_contratual!$S56,posicao_contratual!$W56),2),""))</f>
        <v>0</v>
      </c>
      <c r="AC56">
        <f>IF(OR(posicao_contratual!$A56="",$W$46=""),0,IF(OR($AB56="",$AD56=""),"",ROUND($AB56-$AD56,2)))</f>
        <v>0</v>
      </c>
      <c r="AD56">
        <f>IF(OR(posicao_contratual!$A56="",$W$46=""),0,IF($AB56="","",IF(NOT(ISNUMBER(CHOOSE($W$46+1,posicao_contratual!$AB56,posicao_contratual!$AC56,posicao_contratual!$AD56,posicao_contratual!$AE56,posicao_contratual!$AF56))),0,ROUND(ROUND(CHOOSE($W$46+1,historico_VU!$C56,historico_VU!$D56,historico_VU!$E56,historico_VU!$F56,historico_VU!$G56),2)*CHOOSE($W$46+1,posicao_contratual!$AB56,posicao_contratual!$AC56,posicao_contratual!$AD56,posicao_contratual!$AE56,posicao_contratual!$AF56),2))))</f>
        <v>0</v>
      </c>
    </row>
    <row r="57" spans="1:30" hidden="1" outlineLevel="1" x14ac:dyDescent="0.35">
      <c r="A57" s="137" t="str">
        <f>IF(historico_VU!A5="","",historico_VU!A5)</f>
        <v/>
      </c>
      <c r="B57" s="138" t="str">
        <f>IF(A57="","",historico_VU!B5)</f>
        <v/>
      </c>
      <c r="C57" s="139" t="str">
        <f>IF(A57="","",historico_VU!C5)</f>
        <v/>
      </c>
      <c r="D57" s="139" t="str">
        <f>IF(A57="","",historico_VU!D5)</f>
        <v/>
      </c>
      <c r="E57" s="139" t="str">
        <f>IF(A57="","",historico_VU!E5)</f>
        <v/>
      </c>
      <c r="F57" s="139" t="str">
        <f>IF(A57="","",historico_VU!F5)</f>
        <v/>
      </c>
      <c r="G57" s="139" t="str">
        <f>IF(A57="","",historico_VU!G5)</f>
        <v/>
      </c>
      <c r="H57" s="140" t="str">
        <f>IF(A57="","",historico_VU!H5)</f>
        <v/>
      </c>
      <c r="I57" s="57"/>
      <c r="J57" s="137" t="str">
        <f>IF(itens_Remanesc!A5="","",itens_Remanesc!A5)</f>
        <v/>
      </c>
      <c r="K57" s="138" t="str">
        <f>IF(J57="","",IF($F$4="C0",itens_Remanesc!B5,IF($F$4="C1",itens_Remanesc!E5,IF($F$4="C2",itens_Remanesc!G5,IF($F$4="C3",itens_Remanesc!I5,itens_Remanesc!K5)))))</f>
        <v/>
      </c>
      <c r="L57" s="138" t="str">
        <f>IF(J57="","",IF(SUMIF(itens_Consumidos!$A$2:$A$200,J57,itens_Consumidos!$B$2:$B$200)-SUMIF(itens_Consumidos!$A$2:$A$200,J57,itens_Consumidos!$O$2:$O$200)&lt;0,0,SUMIF(itens_Consumidos!$A$2:$A$200,J57,itens_Consumidos!$B$2:$B$200)-SUMIF(itens_Consumidos!$A$2:$A$200,J57,itens_Consumidos!$O$2:$O$200)))</f>
        <v/>
      </c>
      <c r="M57" s="141" t="str">
        <f>IF(J57="","",itens_Remanesc!C5)</f>
        <v/>
      </c>
      <c r="N57" s="141" t="str">
        <f>IF(J57="","",IF($F$4="C0",historico_VU!C5,IF($F$4="C1",historico_VU!D5,IF($F$4="C2",historico_VU!E5,IF($F$4="C3",historico_VU!F5,historico_VU!G5)))))</f>
        <v/>
      </c>
      <c r="O57" s="141" t="str">
        <f t="shared" si="1"/>
        <v/>
      </c>
      <c r="P57" s="141" t="str">
        <f t="shared" si="2"/>
        <v/>
      </c>
      <c r="Q57" s="142" t="str">
        <f t="shared" si="3"/>
        <v/>
      </c>
      <c r="V57" t="s">
        <v>480</v>
      </c>
      <c r="W57">
        <f>IF($W$46="","",SUMPRODUCT((posicao_contratual!$A$2:$A$200&lt;&gt;"")*ISNUMBER(posicao_contratual!$AL$2:$AL$200)*(posicao_contratual!$AL$2:$AL$200&gt;$W$46)))</f>
        <v>0</v>
      </c>
      <c r="X57">
        <f>IF(posicao_contratual!$A57="",0,IF(AND(ISNUMBER(posicao_contratual!$Y57),posicao_contratual!$Y57&gt;0),0,IF(AND(ISNUMBER(posicao_contratual!$G57),ISNUMBER(posicao_contratual!$K57),ISNUMBER(historico_VU!$C57)),((posicao_contratual!$G57-N(posicao_contratual!$AB57))-(posicao_contratual!$K57-N(posicao_contratual!$AC57)))*historico_VU!$C57,"")))</f>
        <v>0</v>
      </c>
      <c r="Y57">
        <f>IF(OR(posicao_contratual!$A57="",$T$20=""),0,IF(AND(ISNUMBER(CHOOSE($T$20+1,historico_VU!$C57,historico_VU!$D57,historico_VU!$E57,historico_VU!$F57,historico_VU!$G57)),ISNUMBER(CHOOSE($T$20+1,posicao_contratual!$G57,posicao_contratual!$K57,posicao_contratual!$O57,posicao_contratual!$S57,posicao_contratual!$W57))),ROUND(ROUND(CHOOSE($T$20+1,historico_VU!$C57,historico_VU!$D57,historico_VU!$E57,historico_VU!$F57,historico_VU!$G57),2)*CHOOSE($T$20+1,posicao_contratual!$G57,posicao_contratual!$K57,posicao_contratual!$O57,posicao_contratual!$S57,posicao_contratual!$W57),2),""))</f>
        <v>0</v>
      </c>
      <c r="AB57">
        <f>IF(OR(posicao_contratual!$A57="",$W$46=""),0,IF(AND(ISNUMBER(CHOOSE($W$46+1,historico_VU!$C57,historico_VU!$D57,historico_VU!$E57,historico_VU!$F57,historico_VU!$G57)),ISNUMBER(CHOOSE($W$46+1,posicao_contratual!$G57,posicao_contratual!$K57,posicao_contratual!$O57,posicao_contratual!$S57,posicao_contratual!$W57))),ROUND(ROUND(CHOOSE($W$46+1,historico_VU!$C57,historico_VU!$D57,historico_VU!$E57,historico_VU!$F57,historico_VU!$G57),2)*CHOOSE($W$46+1,posicao_contratual!$G57,posicao_contratual!$K57,posicao_contratual!$O57,posicao_contratual!$S57,posicao_contratual!$W57),2),""))</f>
        <v>0</v>
      </c>
      <c r="AC57">
        <f>IF(OR(posicao_contratual!$A57="",$W$46=""),0,IF(OR($AB57="",$AD57=""),"",ROUND($AB57-$AD57,2)))</f>
        <v>0</v>
      </c>
      <c r="AD57">
        <f>IF(OR(posicao_contratual!$A57="",$W$46=""),0,IF($AB57="","",IF(NOT(ISNUMBER(CHOOSE($W$46+1,posicao_contratual!$AB57,posicao_contratual!$AC57,posicao_contratual!$AD57,posicao_contratual!$AE57,posicao_contratual!$AF57))),0,ROUND(ROUND(CHOOSE($W$46+1,historico_VU!$C57,historico_VU!$D57,historico_VU!$E57,historico_VU!$F57,historico_VU!$G57),2)*CHOOSE($W$46+1,posicao_contratual!$AB57,posicao_contratual!$AC57,posicao_contratual!$AD57,posicao_contratual!$AE57,posicao_contratual!$AF57),2))))</f>
        <v>0</v>
      </c>
    </row>
    <row r="58" spans="1:30" hidden="1" outlineLevel="1" x14ac:dyDescent="0.35">
      <c r="A58" s="137" t="str">
        <f>IF(historico_VU!A6="","",historico_VU!A6)</f>
        <v/>
      </c>
      <c r="B58" s="138" t="str">
        <f>IF(A58="","",historico_VU!B6)</f>
        <v/>
      </c>
      <c r="C58" s="139" t="str">
        <f>IF(A58="","",historico_VU!C6)</f>
        <v/>
      </c>
      <c r="D58" s="139" t="str">
        <f>IF(A58="","",historico_VU!D6)</f>
        <v/>
      </c>
      <c r="E58" s="139" t="str">
        <f>IF(A58="","",historico_VU!E6)</f>
        <v/>
      </c>
      <c r="F58" s="139" t="str">
        <f>IF(A58="","",historico_VU!F6)</f>
        <v/>
      </c>
      <c r="G58" s="139" t="str">
        <f>IF(A58="","",historico_VU!G6)</f>
        <v/>
      </c>
      <c r="H58" s="140" t="str">
        <f>IF(A58="","",historico_VU!H6)</f>
        <v/>
      </c>
      <c r="I58" s="57"/>
      <c r="J58" s="137" t="str">
        <f>IF(itens_Remanesc!A6="","",itens_Remanesc!A6)</f>
        <v/>
      </c>
      <c r="K58" s="138" t="str">
        <f>IF(J58="","",IF($F$4="C0",itens_Remanesc!B6,IF($F$4="C1",itens_Remanesc!E6,IF($F$4="C2",itens_Remanesc!G6,IF($F$4="C3",itens_Remanesc!I6,itens_Remanesc!K6)))))</f>
        <v/>
      </c>
      <c r="L58" s="138" t="str">
        <f>IF(J58="","",IF(SUMIF(itens_Consumidos!$A$2:$A$200,J58,itens_Consumidos!$B$2:$B$200)-SUMIF(itens_Consumidos!$A$2:$A$200,J58,itens_Consumidos!$O$2:$O$200)&lt;0,0,SUMIF(itens_Consumidos!$A$2:$A$200,J58,itens_Consumidos!$B$2:$B$200)-SUMIF(itens_Consumidos!$A$2:$A$200,J58,itens_Consumidos!$O$2:$O$200)))</f>
        <v/>
      </c>
      <c r="M58" s="141" t="str">
        <f>IF(J58="","",itens_Remanesc!C6)</f>
        <v/>
      </c>
      <c r="N58" s="141" t="str">
        <f>IF(J58="","",IF($F$4="C0",historico_VU!C6,IF($F$4="C1",historico_VU!D6,IF($F$4="C2",historico_VU!E6,IF($F$4="C3",historico_VU!F6,historico_VU!G6)))))</f>
        <v/>
      </c>
      <c r="O58" s="141" t="str">
        <f t="shared" si="1"/>
        <v/>
      </c>
      <c r="P58" s="141" t="str">
        <f t="shared" si="2"/>
        <v/>
      </c>
      <c r="Q58" s="142" t="str">
        <f t="shared" si="3"/>
        <v/>
      </c>
      <c r="X58">
        <f>IF(posicao_contratual!$A58="",0,IF(AND(ISNUMBER(posicao_contratual!$Y58),posicao_contratual!$Y58&gt;0),0,IF(AND(ISNUMBER(posicao_contratual!$G58),ISNUMBER(posicao_contratual!$K58),ISNUMBER(historico_VU!$C58)),((posicao_contratual!$G58-N(posicao_contratual!$AB58))-(posicao_contratual!$K58-N(posicao_contratual!$AC58)))*historico_VU!$C58,"")))</f>
        <v>0</v>
      </c>
      <c r="Y58">
        <f>IF(OR(posicao_contratual!$A58="",$T$20=""),0,IF(AND(ISNUMBER(CHOOSE($T$20+1,historico_VU!$C58,historico_VU!$D58,historico_VU!$E58,historico_VU!$F58,historico_VU!$G58)),ISNUMBER(CHOOSE($T$20+1,posicao_contratual!$G58,posicao_contratual!$K58,posicao_contratual!$O58,posicao_contratual!$S58,posicao_contratual!$W58))),ROUND(ROUND(CHOOSE($T$20+1,historico_VU!$C58,historico_VU!$D58,historico_VU!$E58,historico_VU!$F58,historico_VU!$G58),2)*CHOOSE($T$20+1,posicao_contratual!$G58,posicao_contratual!$K58,posicao_contratual!$O58,posicao_contratual!$S58,posicao_contratual!$W58),2),""))</f>
        <v>0</v>
      </c>
      <c r="AB58">
        <f>IF(OR(posicao_contratual!$A58="",$W$46=""),0,IF(AND(ISNUMBER(CHOOSE($W$46+1,historico_VU!$C58,historico_VU!$D58,historico_VU!$E58,historico_VU!$F58,historico_VU!$G58)),ISNUMBER(CHOOSE($W$46+1,posicao_contratual!$G58,posicao_contratual!$K58,posicao_contratual!$O58,posicao_contratual!$S58,posicao_contratual!$W58))),ROUND(ROUND(CHOOSE($W$46+1,historico_VU!$C58,historico_VU!$D58,historico_VU!$E58,historico_VU!$F58,historico_VU!$G58),2)*CHOOSE($W$46+1,posicao_contratual!$G58,posicao_contratual!$K58,posicao_contratual!$O58,posicao_contratual!$S58,posicao_contratual!$W58),2),""))</f>
        <v>0</v>
      </c>
      <c r="AC58">
        <f>IF(OR(posicao_contratual!$A58="",$W$46=""),0,IF(OR($AB58="",$AD58=""),"",ROUND($AB58-$AD58,2)))</f>
        <v>0</v>
      </c>
      <c r="AD58">
        <f>IF(OR(posicao_contratual!$A58="",$W$46=""),0,IF($AB58="","",IF(NOT(ISNUMBER(CHOOSE($W$46+1,posicao_contratual!$AB58,posicao_contratual!$AC58,posicao_contratual!$AD58,posicao_contratual!$AE58,posicao_contratual!$AF58))),0,ROUND(ROUND(CHOOSE($W$46+1,historico_VU!$C58,historico_VU!$D58,historico_VU!$E58,historico_VU!$F58,historico_VU!$G58),2)*CHOOSE($W$46+1,posicao_contratual!$AB58,posicao_contratual!$AC58,posicao_contratual!$AD58,posicao_contratual!$AE58,posicao_contratual!$AF58),2))))</f>
        <v>0</v>
      </c>
    </row>
    <row r="59" spans="1:30" hidden="1" outlineLevel="1" x14ac:dyDescent="0.35">
      <c r="A59" s="137" t="str">
        <f>IF(historico_VU!A7="","",historico_VU!A7)</f>
        <v/>
      </c>
      <c r="B59" s="138" t="str">
        <f>IF(A59="","",historico_VU!B7)</f>
        <v/>
      </c>
      <c r="C59" s="139" t="str">
        <f>IF(A59="","",historico_VU!C7)</f>
        <v/>
      </c>
      <c r="D59" s="139" t="str">
        <f>IF(A59="","",historico_VU!D7)</f>
        <v/>
      </c>
      <c r="E59" s="139" t="str">
        <f>IF(A59="","",historico_VU!E7)</f>
        <v/>
      </c>
      <c r="F59" s="139" t="str">
        <f>IF(A59="","",historico_VU!F7)</f>
        <v/>
      </c>
      <c r="G59" s="139" t="str">
        <f>IF(A59="","",historico_VU!G7)</f>
        <v/>
      </c>
      <c r="H59" s="140" t="str">
        <f>IF(A59="","",historico_VU!H7)</f>
        <v/>
      </c>
      <c r="I59" s="57"/>
      <c r="J59" s="137" t="str">
        <f>IF(itens_Remanesc!A7="","",itens_Remanesc!A7)</f>
        <v/>
      </c>
      <c r="K59" s="138" t="str">
        <f>IF(J59="","",IF($F$4="C0",itens_Remanesc!B7,IF($F$4="C1",itens_Remanesc!E7,IF($F$4="C2",itens_Remanesc!G7,IF($F$4="C3",itens_Remanesc!I7,itens_Remanesc!K7)))))</f>
        <v/>
      </c>
      <c r="L59" s="138" t="str">
        <f>IF(J59="","",IF(SUMIF(itens_Consumidos!$A$2:$A$200,J59,itens_Consumidos!$B$2:$B$200)-SUMIF(itens_Consumidos!$A$2:$A$200,J59,itens_Consumidos!$O$2:$O$200)&lt;0,0,SUMIF(itens_Consumidos!$A$2:$A$200,J59,itens_Consumidos!$B$2:$B$200)-SUMIF(itens_Consumidos!$A$2:$A$200,J59,itens_Consumidos!$O$2:$O$200)))</f>
        <v/>
      </c>
      <c r="M59" s="141" t="str">
        <f>IF(J59="","",itens_Remanesc!C7)</f>
        <v/>
      </c>
      <c r="N59" s="141" t="str">
        <f>IF(J59="","",IF($F$4="C0",historico_VU!C7,IF($F$4="C1",historico_VU!D7,IF($F$4="C2",historico_VU!E7,IF($F$4="C3",historico_VU!F7,historico_VU!G7)))))</f>
        <v/>
      </c>
      <c r="O59" s="141" t="str">
        <f t="shared" si="1"/>
        <v/>
      </c>
      <c r="P59" s="141" t="str">
        <f t="shared" si="2"/>
        <v/>
      </c>
      <c r="Q59" s="142" t="str">
        <f t="shared" si="3"/>
        <v/>
      </c>
      <c r="X59">
        <f>IF(posicao_contratual!$A59="",0,IF(AND(ISNUMBER(posicao_contratual!$Y59),posicao_contratual!$Y59&gt;0),0,IF(AND(ISNUMBER(posicao_contratual!$G59),ISNUMBER(posicao_contratual!$K59),ISNUMBER(historico_VU!$C59)),((posicao_contratual!$G59-N(posicao_contratual!$AB59))-(posicao_contratual!$K59-N(posicao_contratual!$AC59)))*historico_VU!$C59,"")))</f>
        <v>0</v>
      </c>
      <c r="Y59">
        <f>IF(OR(posicao_contratual!$A59="",$T$20=""),0,IF(AND(ISNUMBER(CHOOSE($T$20+1,historico_VU!$C59,historico_VU!$D59,historico_VU!$E59,historico_VU!$F59,historico_VU!$G59)),ISNUMBER(CHOOSE($T$20+1,posicao_contratual!$G59,posicao_contratual!$K59,posicao_contratual!$O59,posicao_contratual!$S59,posicao_contratual!$W59))),ROUND(ROUND(CHOOSE($T$20+1,historico_VU!$C59,historico_VU!$D59,historico_VU!$E59,historico_VU!$F59,historico_VU!$G59),2)*CHOOSE($T$20+1,posicao_contratual!$G59,posicao_contratual!$K59,posicao_contratual!$O59,posicao_contratual!$S59,posicao_contratual!$W59),2),""))</f>
        <v>0</v>
      </c>
      <c r="AB59">
        <f>IF(OR(posicao_contratual!$A59="",$W$46=""),0,IF(AND(ISNUMBER(CHOOSE($W$46+1,historico_VU!$C59,historico_VU!$D59,historico_VU!$E59,historico_VU!$F59,historico_VU!$G59)),ISNUMBER(CHOOSE($W$46+1,posicao_contratual!$G59,posicao_contratual!$K59,posicao_contratual!$O59,posicao_contratual!$S59,posicao_contratual!$W59))),ROUND(ROUND(CHOOSE($W$46+1,historico_VU!$C59,historico_VU!$D59,historico_VU!$E59,historico_VU!$F59,historico_VU!$G59),2)*CHOOSE($W$46+1,posicao_contratual!$G59,posicao_contratual!$K59,posicao_contratual!$O59,posicao_contratual!$S59,posicao_contratual!$W59),2),""))</f>
        <v>0</v>
      </c>
      <c r="AC59">
        <f>IF(OR(posicao_contratual!$A59="",$W$46=""),0,IF(OR($AB59="",$AD59=""),"",ROUND($AB59-$AD59,2)))</f>
        <v>0</v>
      </c>
      <c r="AD59">
        <f>IF(OR(posicao_contratual!$A59="",$W$46=""),0,IF($AB59="","",IF(NOT(ISNUMBER(CHOOSE($W$46+1,posicao_contratual!$AB59,posicao_contratual!$AC59,posicao_contratual!$AD59,posicao_contratual!$AE59,posicao_contratual!$AF59))),0,ROUND(ROUND(CHOOSE($W$46+1,historico_VU!$C59,historico_VU!$D59,historico_VU!$E59,historico_VU!$F59,historico_VU!$G59),2)*CHOOSE($W$46+1,posicao_contratual!$AB59,posicao_contratual!$AC59,posicao_contratual!$AD59,posicao_contratual!$AE59,posicao_contratual!$AF59),2))))</f>
        <v>0</v>
      </c>
    </row>
    <row r="60" spans="1:30" hidden="1" outlineLevel="1" x14ac:dyDescent="0.35">
      <c r="A60" s="137" t="str">
        <f>IF(historico_VU!A8="","",historico_VU!A8)</f>
        <v/>
      </c>
      <c r="B60" s="138" t="str">
        <f>IF(A60="","",historico_VU!B8)</f>
        <v/>
      </c>
      <c r="C60" s="139" t="str">
        <f>IF(A60="","",historico_VU!C8)</f>
        <v/>
      </c>
      <c r="D60" s="139" t="str">
        <f>IF(A60="","",historico_VU!D8)</f>
        <v/>
      </c>
      <c r="E60" s="139" t="str">
        <f>IF(A60="","",historico_VU!E8)</f>
        <v/>
      </c>
      <c r="F60" s="139" t="str">
        <f>IF(A60="","",historico_VU!F8)</f>
        <v/>
      </c>
      <c r="G60" s="139" t="str">
        <f>IF(A60="","",historico_VU!G8)</f>
        <v/>
      </c>
      <c r="H60" s="140" t="str">
        <f>IF(A60="","",historico_VU!H8)</f>
        <v/>
      </c>
      <c r="I60" s="57"/>
      <c r="J60" s="137" t="str">
        <f>IF(itens_Remanesc!A8="","",itens_Remanesc!A8)</f>
        <v/>
      </c>
      <c r="K60" s="138" t="str">
        <f>IF(J60="","",IF($F$4="C0",itens_Remanesc!B8,IF($F$4="C1",itens_Remanesc!E8,IF($F$4="C2",itens_Remanesc!G8,IF($F$4="C3",itens_Remanesc!I8,itens_Remanesc!K8)))))</f>
        <v/>
      </c>
      <c r="L60" s="138" t="str">
        <f>IF(J60="","",IF(SUMIF(itens_Consumidos!$A$2:$A$200,J60,itens_Consumidos!$B$2:$B$200)-SUMIF(itens_Consumidos!$A$2:$A$200,J60,itens_Consumidos!$O$2:$O$200)&lt;0,0,SUMIF(itens_Consumidos!$A$2:$A$200,J60,itens_Consumidos!$B$2:$B$200)-SUMIF(itens_Consumidos!$A$2:$A$200,J60,itens_Consumidos!$O$2:$O$200)))</f>
        <v/>
      </c>
      <c r="M60" s="141" t="str">
        <f>IF(J60="","",itens_Remanesc!C8)</f>
        <v/>
      </c>
      <c r="N60" s="141" t="str">
        <f>IF(J60="","",IF($F$4="C0",historico_VU!C8,IF($F$4="C1",historico_VU!D8,IF($F$4="C2",historico_VU!E8,IF($F$4="C3",historico_VU!F8,historico_VU!G8)))))</f>
        <v/>
      </c>
      <c r="O60" s="141" t="str">
        <f t="shared" si="1"/>
        <v/>
      </c>
      <c r="P60" s="141" t="str">
        <f t="shared" si="2"/>
        <v/>
      </c>
      <c r="Q60" s="142" t="str">
        <f t="shared" si="3"/>
        <v/>
      </c>
      <c r="V60" s="204" t="s">
        <v>481</v>
      </c>
      <c r="X60">
        <f>IF(posicao_contratual!$A60="",0,IF(AND(ISNUMBER(posicao_contratual!$Y60),posicao_contratual!$Y60&gt;0),0,IF(AND(ISNUMBER(posicao_contratual!$G60),ISNUMBER(posicao_contratual!$K60),ISNUMBER(historico_VU!$C60)),((posicao_contratual!$G60-N(posicao_contratual!$AB60))-(posicao_contratual!$K60-N(posicao_contratual!$AC60)))*historico_VU!$C60,"")))</f>
        <v>0</v>
      </c>
      <c r="Y60">
        <f>IF(OR(posicao_contratual!$A60="",$T$20=""),0,IF(AND(ISNUMBER(CHOOSE($T$20+1,historico_VU!$C60,historico_VU!$D60,historico_VU!$E60,historico_VU!$F60,historico_VU!$G60)),ISNUMBER(CHOOSE($T$20+1,posicao_contratual!$G60,posicao_contratual!$K60,posicao_contratual!$O60,posicao_contratual!$S60,posicao_contratual!$W60))),ROUND(ROUND(CHOOSE($T$20+1,historico_VU!$C60,historico_VU!$D60,historico_VU!$E60,historico_VU!$F60,historico_VU!$G60),2)*CHOOSE($T$20+1,posicao_contratual!$G60,posicao_contratual!$K60,posicao_contratual!$O60,posicao_contratual!$S60,posicao_contratual!$W60),2),""))</f>
        <v>0</v>
      </c>
      <c r="AB60">
        <f>IF(OR(posicao_contratual!$A60="",$W$46=""),0,IF(AND(ISNUMBER(CHOOSE($W$46+1,historico_VU!$C60,historico_VU!$D60,historico_VU!$E60,historico_VU!$F60,historico_VU!$G60)),ISNUMBER(CHOOSE($W$46+1,posicao_contratual!$G60,posicao_contratual!$K60,posicao_contratual!$O60,posicao_contratual!$S60,posicao_contratual!$W60))),ROUND(ROUND(CHOOSE($W$46+1,historico_VU!$C60,historico_VU!$D60,historico_VU!$E60,historico_VU!$F60,historico_VU!$G60),2)*CHOOSE($W$46+1,posicao_contratual!$G60,posicao_contratual!$K60,posicao_contratual!$O60,posicao_contratual!$S60,posicao_contratual!$W60),2),""))</f>
        <v>0</v>
      </c>
      <c r="AC60">
        <f>IF(OR(posicao_contratual!$A60="",$W$46=""),0,IF(OR($AB60="",$AD60=""),"",ROUND($AB60-$AD60,2)))</f>
        <v>0</v>
      </c>
      <c r="AD60">
        <f>IF(OR(posicao_contratual!$A60="",$W$46=""),0,IF($AB60="","",IF(NOT(ISNUMBER(CHOOSE($W$46+1,posicao_contratual!$AB60,posicao_contratual!$AC60,posicao_contratual!$AD60,posicao_contratual!$AE60,posicao_contratual!$AF60))),0,ROUND(ROUND(CHOOSE($W$46+1,historico_VU!$C60,historico_VU!$D60,historico_VU!$E60,historico_VU!$F60,historico_VU!$G60),2)*CHOOSE($W$46+1,posicao_contratual!$AB60,posicao_contratual!$AC60,posicao_contratual!$AD60,posicao_contratual!$AE60,posicao_contratual!$AF60),2))))</f>
        <v>0</v>
      </c>
    </row>
    <row r="61" spans="1:30" hidden="1" outlineLevel="1" x14ac:dyDescent="0.35">
      <c r="A61" s="137" t="str">
        <f>IF(historico_VU!A9="","",historico_VU!A9)</f>
        <v/>
      </c>
      <c r="B61" s="138" t="str">
        <f>IF(A61="","",historico_VU!B9)</f>
        <v/>
      </c>
      <c r="C61" s="139" t="str">
        <f>IF(A61="","",historico_VU!C9)</f>
        <v/>
      </c>
      <c r="D61" s="139" t="str">
        <f>IF(A61="","",historico_VU!D9)</f>
        <v/>
      </c>
      <c r="E61" s="139" t="str">
        <f>IF(A61="","",historico_VU!E9)</f>
        <v/>
      </c>
      <c r="F61" s="139" t="str">
        <f>IF(A61="","",historico_VU!F9)</f>
        <v/>
      </c>
      <c r="G61" s="139" t="str">
        <f>IF(A61="","",historico_VU!G9)</f>
        <v/>
      </c>
      <c r="H61" s="140" t="str">
        <f>IF(A61="","",historico_VU!H9)</f>
        <v/>
      </c>
      <c r="I61" s="57"/>
      <c r="J61" s="137" t="str">
        <f>IF(itens_Remanesc!A9="","",itens_Remanesc!A9)</f>
        <v/>
      </c>
      <c r="K61" s="138" t="str">
        <f>IF(J61="","",IF($F$4="C0",itens_Remanesc!B9,IF($F$4="C1",itens_Remanesc!E9,IF($F$4="C2",itens_Remanesc!G9,IF($F$4="C3",itens_Remanesc!I9,itens_Remanesc!K9)))))</f>
        <v/>
      </c>
      <c r="L61" s="138" t="str">
        <f>IF(J61="","",IF(SUMIF(itens_Consumidos!$A$2:$A$200,J61,itens_Consumidos!$B$2:$B$200)-SUMIF(itens_Consumidos!$A$2:$A$200,J61,itens_Consumidos!$O$2:$O$200)&lt;0,0,SUMIF(itens_Consumidos!$A$2:$A$200,J61,itens_Consumidos!$B$2:$B$200)-SUMIF(itens_Consumidos!$A$2:$A$200,J61,itens_Consumidos!$O$2:$O$200)))</f>
        <v/>
      </c>
      <c r="M61" s="141" t="str">
        <f>IF(J61="","",itens_Remanesc!C9)</f>
        <v/>
      </c>
      <c r="N61" s="141" t="str">
        <f>IF(J61="","",IF($F$4="C0",historico_VU!C9,IF($F$4="C1",historico_VU!D9,IF($F$4="C2",historico_VU!E9,IF($F$4="C3",historico_VU!F9,historico_VU!G9)))))</f>
        <v/>
      </c>
      <c r="O61" s="141" t="str">
        <f t="shared" si="1"/>
        <v/>
      </c>
      <c r="P61" s="141" t="str">
        <f t="shared" si="2"/>
        <v/>
      </c>
      <c r="Q61" s="142" t="str">
        <f t="shared" si="3"/>
        <v/>
      </c>
      <c r="V61" s="205" t="s">
        <v>482</v>
      </c>
      <c r="W61">
        <f>ROUND(SUMIF(financeiro!$B$2:$B$73,"c0",financeiro!$E$2:$E$73),2)</f>
        <v>0</v>
      </c>
      <c r="X61">
        <f>IF(posicao_contratual!$A61="",0,IF(AND(ISNUMBER(posicao_contratual!$Y61),posicao_contratual!$Y61&gt;0),0,IF(AND(ISNUMBER(posicao_contratual!$G61),ISNUMBER(posicao_contratual!$K61),ISNUMBER(historico_VU!$C61)),((posicao_contratual!$G61-N(posicao_contratual!$AB61))-(posicao_contratual!$K61-N(posicao_contratual!$AC61)))*historico_VU!$C61,"")))</f>
        <v>0</v>
      </c>
      <c r="Y61">
        <f>IF(OR(posicao_contratual!$A61="",$T$20=""),0,IF(AND(ISNUMBER(CHOOSE($T$20+1,historico_VU!$C61,historico_VU!$D61,historico_VU!$E61,historico_VU!$F61,historico_VU!$G61)),ISNUMBER(CHOOSE($T$20+1,posicao_contratual!$G61,posicao_contratual!$K61,posicao_contratual!$O61,posicao_contratual!$S61,posicao_contratual!$W61))),ROUND(ROUND(CHOOSE($T$20+1,historico_VU!$C61,historico_VU!$D61,historico_VU!$E61,historico_VU!$F61,historico_VU!$G61),2)*CHOOSE($T$20+1,posicao_contratual!$G61,posicao_contratual!$K61,posicao_contratual!$O61,posicao_contratual!$S61,posicao_contratual!$W61),2),""))</f>
        <v>0</v>
      </c>
      <c r="AB61">
        <f>IF(OR(posicao_contratual!$A61="",$W$46=""),0,IF(AND(ISNUMBER(CHOOSE($W$46+1,historico_VU!$C61,historico_VU!$D61,historico_VU!$E61,historico_VU!$F61,historico_VU!$G61)),ISNUMBER(CHOOSE($W$46+1,posicao_contratual!$G61,posicao_contratual!$K61,posicao_contratual!$O61,posicao_contratual!$S61,posicao_contratual!$W61))),ROUND(ROUND(CHOOSE($W$46+1,historico_VU!$C61,historico_VU!$D61,historico_VU!$E61,historico_VU!$F61,historico_VU!$G61),2)*CHOOSE($W$46+1,posicao_contratual!$G61,posicao_contratual!$K61,posicao_contratual!$O61,posicao_contratual!$S61,posicao_contratual!$W61),2),""))</f>
        <v>0</v>
      </c>
      <c r="AC61">
        <f>IF(OR(posicao_contratual!$A61="",$W$46=""),0,IF(OR($AB61="",$AD61=""),"",ROUND($AB61-$AD61,2)))</f>
        <v>0</v>
      </c>
      <c r="AD61">
        <f>IF(OR(posicao_contratual!$A61="",$W$46=""),0,IF($AB61="","",IF(NOT(ISNUMBER(CHOOSE($W$46+1,posicao_contratual!$AB61,posicao_contratual!$AC61,posicao_contratual!$AD61,posicao_contratual!$AE61,posicao_contratual!$AF61))),0,ROUND(ROUND(CHOOSE($W$46+1,historico_VU!$C61,historico_VU!$D61,historico_VU!$E61,historico_VU!$F61,historico_VU!$G61),2)*CHOOSE($W$46+1,posicao_contratual!$AB61,posicao_contratual!$AC61,posicao_contratual!$AD61,posicao_contratual!$AE61,posicao_contratual!$AF61),2))))</f>
        <v>0</v>
      </c>
    </row>
    <row r="62" spans="1:30" ht="24" hidden="1" customHeight="1" outlineLevel="1" x14ac:dyDescent="0.35">
      <c r="A62" s="137" t="str">
        <f>IF(historico_VU!A10="","",historico_VU!A10)</f>
        <v/>
      </c>
      <c r="B62" s="138" t="str">
        <f>IF(A62="","",historico_VU!B10)</f>
        <v/>
      </c>
      <c r="C62" s="139" t="str">
        <f>IF(A62="","",historico_VU!C10)</f>
        <v/>
      </c>
      <c r="D62" s="139" t="str">
        <f>IF(A62="","",historico_VU!D10)</f>
        <v/>
      </c>
      <c r="E62" s="139" t="str">
        <f>IF(A62="","",historico_VU!E10)</f>
        <v/>
      </c>
      <c r="F62" s="139" t="str">
        <f>IF(A62="","",historico_VU!F10)</f>
        <v/>
      </c>
      <c r="G62" s="139" t="str">
        <f>IF(A62="","",historico_VU!G10)</f>
        <v/>
      </c>
      <c r="H62" s="140" t="str">
        <f>IF(A62="","",historico_VU!H10)</f>
        <v/>
      </c>
      <c r="I62" s="57"/>
      <c r="J62" s="137" t="str">
        <f>IF(itens_Remanesc!A10="","",itens_Remanesc!A10)</f>
        <v/>
      </c>
      <c r="K62" s="138" t="str">
        <f>IF(J62="","",IF($F$4="C0",itens_Remanesc!B10,IF($F$4="C1",itens_Remanesc!E10,IF($F$4="C2",itens_Remanesc!G10,IF($F$4="C3",itens_Remanesc!I10,itens_Remanesc!K10)))))</f>
        <v/>
      </c>
      <c r="L62" s="138" t="str">
        <f>IF(J62="","",IF(SUMIF(itens_Consumidos!$A$2:$A$200,J62,itens_Consumidos!$B$2:$B$200)-SUMIF(itens_Consumidos!$A$2:$A$200,J62,itens_Consumidos!$O$2:$O$200)&lt;0,0,SUMIF(itens_Consumidos!$A$2:$A$200,J62,itens_Consumidos!$B$2:$B$200)-SUMIF(itens_Consumidos!$A$2:$A$200,J62,itens_Consumidos!$O$2:$O$200)))</f>
        <v/>
      </c>
      <c r="M62" s="141" t="str">
        <f>IF(J62="","",itens_Remanesc!C10)</f>
        <v/>
      </c>
      <c r="N62" s="141" t="str">
        <f>IF(J62="","",IF($F$4="C0",historico_VU!C10,IF($F$4="C1",historico_VU!D10,IF($F$4="C2",historico_VU!E10,IF($F$4="C3",historico_VU!F10,historico_VU!G10)))))</f>
        <v/>
      </c>
      <c r="O62" s="141" t="str">
        <f t="shared" si="1"/>
        <v/>
      </c>
      <c r="P62" s="141" t="str">
        <f t="shared" si="2"/>
        <v/>
      </c>
      <c r="Q62" s="142" t="str">
        <f t="shared" si="3"/>
        <v/>
      </c>
      <c r="V62" s="205" t="s">
        <v>483</v>
      </c>
      <c r="W62">
        <f>ROUND(SUMIF(financeiro!$B$2:$B$73,"c1",financeiro!$E$2:$E$73),2)</f>
        <v>0</v>
      </c>
      <c r="X62">
        <f>IF(posicao_contratual!$A62="",0,IF(AND(ISNUMBER(posicao_contratual!$Y62),posicao_contratual!$Y62&gt;0),0,IF(AND(ISNUMBER(posicao_contratual!$G62),ISNUMBER(posicao_contratual!$K62),ISNUMBER(historico_VU!$C62)),((posicao_contratual!$G62-N(posicao_contratual!$AB62))-(posicao_contratual!$K62-N(posicao_contratual!$AC62)))*historico_VU!$C62,"")))</f>
        <v>0</v>
      </c>
      <c r="Y62">
        <f>IF(OR(posicao_contratual!$A62="",$T$20=""),0,IF(AND(ISNUMBER(CHOOSE($T$20+1,historico_VU!$C62,historico_VU!$D62,historico_VU!$E62,historico_VU!$F62,historico_VU!$G62)),ISNUMBER(CHOOSE($T$20+1,posicao_contratual!$G62,posicao_contratual!$K62,posicao_contratual!$O62,posicao_contratual!$S62,posicao_contratual!$W62))),ROUND(ROUND(CHOOSE($T$20+1,historico_VU!$C62,historico_VU!$D62,historico_VU!$E62,historico_VU!$F62,historico_VU!$G62),2)*CHOOSE($T$20+1,posicao_contratual!$G62,posicao_contratual!$K62,posicao_contratual!$O62,posicao_contratual!$S62,posicao_contratual!$W62),2),""))</f>
        <v>0</v>
      </c>
      <c r="AB62">
        <f>IF(OR(posicao_contratual!$A62="",$W$46=""),0,IF(AND(ISNUMBER(CHOOSE($W$46+1,historico_VU!$C62,historico_VU!$D62,historico_VU!$E62,historico_VU!$F62,historico_VU!$G62)),ISNUMBER(CHOOSE($W$46+1,posicao_contratual!$G62,posicao_contratual!$K62,posicao_contratual!$O62,posicao_contratual!$S62,posicao_contratual!$W62))),ROUND(ROUND(CHOOSE($W$46+1,historico_VU!$C62,historico_VU!$D62,historico_VU!$E62,historico_VU!$F62,historico_VU!$G62),2)*CHOOSE($W$46+1,posicao_contratual!$G62,posicao_contratual!$K62,posicao_contratual!$O62,posicao_contratual!$S62,posicao_contratual!$W62),2),""))</f>
        <v>0</v>
      </c>
      <c r="AC62">
        <f>IF(OR(posicao_contratual!$A62="",$W$46=""),0,IF(OR($AB62="",$AD62=""),"",ROUND($AB62-$AD62,2)))</f>
        <v>0</v>
      </c>
      <c r="AD62">
        <f>IF(OR(posicao_contratual!$A62="",$W$46=""),0,IF($AB62="","",IF(NOT(ISNUMBER(CHOOSE($W$46+1,posicao_contratual!$AB62,posicao_contratual!$AC62,posicao_contratual!$AD62,posicao_contratual!$AE62,posicao_contratual!$AF62))),0,ROUND(ROUND(CHOOSE($W$46+1,historico_VU!$C62,historico_VU!$D62,historico_VU!$E62,historico_VU!$F62,historico_VU!$G62),2)*CHOOSE($W$46+1,posicao_contratual!$AB62,posicao_contratual!$AC62,posicao_contratual!$AD62,posicao_contratual!$AE62,posicao_contratual!$AF62),2))))</f>
        <v>0</v>
      </c>
    </row>
    <row r="63" spans="1:30" ht="24" hidden="1" customHeight="1" outlineLevel="1" x14ac:dyDescent="0.35">
      <c r="A63" s="137" t="str">
        <f>IF(historico_VU!A11="","",historico_VU!A11)</f>
        <v/>
      </c>
      <c r="B63" s="138" t="str">
        <f>IF(A63="","",historico_VU!B11)</f>
        <v/>
      </c>
      <c r="C63" s="139" t="str">
        <f>IF(A63="","",historico_VU!C11)</f>
        <v/>
      </c>
      <c r="D63" s="139" t="str">
        <f>IF(A63="","",historico_VU!D11)</f>
        <v/>
      </c>
      <c r="E63" s="139" t="str">
        <f>IF(A63="","",historico_VU!E11)</f>
        <v/>
      </c>
      <c r="F63" s="139" t="str">
        <f>IF(A63="","",historico_VU!F11)</f>
        <v/>
      </c>
      <c r="G63" s="139" t="str">
        <f>IF(A63="","",historico_VU!G11)</f>
        <v/>
      </c>
      <c r="H63" s="140" t="str">
        <f>IF(A63="","",historico_VU!H11)</f>
        <v/>
      </c>
      <c r="I63" s="57"/>
      <c r="J63" s="137" t="str">
        <f>IF(itens_Remanesc!A11="","",itens_Remanesc!A11)</f>
        <v/>
      </c>
      <c r="K63" s="138" t="str">
        <f>IF(J63="","",IF($F$4="C0",itens_Remanesc!B11,IF($F$4="C1",itens_Remanesc!E11,IF($F$4="C2",itens_Remanesc!G11,IF($F$4="C3",itens_Remanesc!I11,itens_Remanesc!K11)))))</f>
        <v/>
      </c>
      <c r="L63" s="138" t="str">
        <f>IF(J63="","",IF(SUMIF(itens_Consumidos!$A$2:$A$200,J63,itens_Consumidos!$B$2:$B$200)-SUMIF(itens_Consumidos!$A$2:$A$200,J63,itens_Consumidos!$O$2:$O$200)&lt;0,0,SUMIF(itens_Consumidos!$A$2:$A$200,J63,itens_Consumidos!$B$2:$B$200)-SUMIF(itens_Consumidos!$A$2:$A$200,J63,itens_Consumidos!$O$2:$O$200)))</f>
        <v/>
      </c>
      <c r="M63" s="141" t="str">
        <f>IF(J63="","",itens_Remanesc!C11)</f>
        <v/>
      </c>
      <c r="N63" s="141" t="str">
        <f>IF(J63="","",IF($F$4="C0",historico_VU!C11,IF($F$4="C1",historico_VU!D11,IF($F$4="C2",historico_VU!E11,IF($F$4="C3",historico_VU!F11,historico_VU!G11)))))</f>
        <v/>
      </c>
      <c r="O63" s="141" t="str">
        <f t="shared" si="1"/>
        <v/>
      </c>
      <c r="P63" s="141" t="str">
        <f t="shared" si="2"/>
        <v/>
      </c>
      <c r="Q63" s="142" t="str">
        <f t="shared" si="3"/>
        <v/>
      </c>
      <c r="V63" s="205" t="s">
        <v>484</v>
      </c>
      <c r="W63">
        <f>ROUND(SUMIF(financeiro!$B$2:$B$73,"c2",financeiro!$E$2:$E$73),2)</f>
        <v>0</v>
      </c>
      <c r="X63">
        <f>IF(posicao_contratual!$A63="",0,IF(AND(ISNUMBER(posicao_contratual!$Y63),posicao_contratual!$Y63&gt;0),0,IF(AND(ISNUMBER(posicao_contratual!$G63),ISNUMBER(posicao_contratual!$K63),ISNUMBER(historico_VU!$C63)),((posicao_contratual!$G63-N(posicao_contratual!$AB63))-(posicao_contratual!$K63-N(posicao_contratual!$AC63)))*historico_VU!$C63,"")))</f>
        <v>0</v>
      </c>
      <c r="Y63">
        <f>IF(OR(posicao_contratual!$A63="",$T$20=""),0,IF(AND(ISNUMBER(CHOOSE($T$20+1,historico_VU!$C63,historico_VU!$D63,historico_VU!$E63,historico_VU!$F63,historico_VU!$G63)),ISNUMBER(CHOOSE($T$20+1,posicao_contratual!$G63,posicao_contratual!$K63,posicao_contratual!$O63,posicao_contratual!$S63,posicao_contratual!$W63))),ROUND(ROUND(CHOOSE($T$20+1,historico_VU!$C63,historico_VU!$D63,historico_VU!$E63,historico_VU!$F63,historico_VU!$G63),2)*CHOOSE($T$20+1,posicao_contratual!$G63,posicao_contratual!$K63,posicao_contratual!$O63,posicao_contratual!$S63,posicao_contratual!$W63),2),""))</f>
        <v>0</v>
      </c>
      <c r="AB63">
        <f>IF(OR(posicao_contratual!$A63="",$W$46=""),0,IF(AND(ISNUMBER(CHOOSE($W$46+1,historico_VU!$C63,historico_VU!$D63,historico_VU!$E63,historico_VU!$F63,historico_VU!$G63)),ISNUMBER(CHOOSE($W$46+1,posicao_contratual!$G63,posicao_contratual!$K63,posicao_contratual!$O63,posicao_contratual!$S63,posicao_contratual!$W63))),ROUND(ROUND(CHOOSE($W$46+1,historico_VU!$C63,historico_VU!$D63,historico_VU!$E63,historico_VU!$F63,historico_VU!$G63),2)*CHOOSE($W$46+1,posicao_contratual!$G63,posicao_contratual!$K63,posicao_contratual!$O63,posicao_contratual!$S63,posicao_contratual!$W63),2),""))</f>
        <v>0</v>
      </c>
      <c r="AC63">
        <f>IF(OR(posicao_contratual!$A63="",$W$46=""),0,IF(OR($AB63="",$AD63=""),"",ROUND($AB63-$AD63,2)))</f>
        <v>0</v>
      </c>
      <c r="AD63">
        <f>IF(OR(posicao_contratual!$A63="",$W$46=""),0,IF($AB63="","",IF(NOT(ISNUMBER(CHOOSE($W$46+1,posicao_contratual!$AB63,posicao_contratual!$AC63,posicao_contratual!$AD63,posicao_contratual!$AE63,posicao_contratual!$AF63))),0,ROUND(ROUND(CHOOSE($W$46+1,historico_VU!$C63,historico_VU!$D63,historico_VU!$E63,historico_VU!$F63,historico_VU!$G63),2)*CHOOSE($W$46+1,posicao_contratual!$AB63,posicao_contratual!$AC63,posicao_contratual!$AD63,posicao_contratual!$AE63,posicao_contratual!$AF63),2))))</f>
        <v>0</v>
      </c>
    </row>
    <row r="64" spans="1:30" hidden="1" outlineLevel="1" x14ac:dyDescent="0.35">
      <c r="A64" s="137" t="str">
        <f>IF(historico_VU!A12="","",historico_VU!A12)</f>
        <v/>
      </c>
      <c r="B64" s="138" t="str">
        <f>IF(A64="","",historico_VU!B12)</f>
        <v/>
      </c>
      <c r="C64" s="139" t="str">
        <f>IF(A64="","",historico_VU!C12)</f>
        <v/>
      </c>
      <c r="D64" s="139" t="str">
        <f>IF(A64="","",historico_VU!D12)</f>
        <v/>
      </c>
      <c r="E64" s="139" t="str">
        <f>IF(A64="","",historico_VU!E12)</f>
        <v/>
      </c>
      <c r="F64" s="139" t="str">
        <f>IF(A64="","",historico_VU!F12)</f>
        <v/>
      </c>
      <c r="G64" s="139" t="str">
        <f>IF(A64="","",historico_VU!G12)</f>
        <v/>
      </c>
      <c r="H64" s="140" t="str">
        <f>IF(A64="","",historico_VU!H12)</f>
        <v/>
      </c>
      <c r="I64" s="57"/>
      <c r="J64" s="137" t="str">
        <f>IF(itens_Remanesc!A12="","",itens_Remanesc!A12)</f>
        <v/>
      </c>
      <c r="K64" s="138" t="str">
        <f>IF(J64="","",IF($F$4="C0",itens_Remanesc!B12,IF($F$4="C1",itens_Remanesc!E12,IF($F$4="C2",itens_Remanesc!G12,IF($F$4="C3",itens_Remanesc!I12,itens_Remanesc!K12)))))</f>
        <v/>
      </c>
      <c r="L64" s="138" t="str">
        <f>IF(J64="","",IF(SUMIF(itens_Consumidos!$A$2:$A$200,J64,itens_Consumidos!$B$2:$B$200)-SUMIF(itens_Consumidos!$A$2:$A$200,J64,itens_Consumidos!$O$2:$O$200)&lt;0,0,SUMIF(itens_Consumidos!$A$2:$A$200,J64,itens_Consumidos!$B$2:$B$200)-SUMIF(itens_Consumidos!$A$2:$A$200,J64,itens_Consumidos!$O$2:$O$200)))</f>
        <v/>
      </c>
      <c r="M64" s="141" t="str">
        <f>IF(J64="","",itens_Remanesc!C12)</f>
        <v/>
      </c>
      <c r="N64" s="141" t="str">
        <f>IF(J64="","",IF($F$4="C0",historico_VU!C12,IF($F$4="C1",historico_VU!D12,IF($F$4="C2",historico_VU!E12,IF($F$4="C3",historico_VU!F12,historico_VU!G12)))))</f>
        <v/>
      </c>
      <c r="O64" s="141" t="str">
        <f t="shared" si="1"/>
        <v/>
      </c>
      <c r="P64" s="141" t="str">
        <f t="shared" si="2"/>
        <v/>
      </c>
      <c r="Q64" s="142" t="str">
        <f t="shared" si="3"/>
        <v/>
      </c>
      <c r="V64" s="205" t="s">
        <v>485</v>
      </c>
      <c r="W64">
        <f>ROUND(SUMIF(financeiro!$B$2:$B$73,"c3",financeiro!$E$2:$E$73),2)</f>
        <v>0</v>
      </c>
      <c r="X64">
        <f>IF(posicao_contratual!$A64="",0,IF(AND(ISNUMBER(posicao_contratual!$Y64),posicao_contratual!$Y64&gt;0),0,IF(AND(ISNUMBER(posicao_contratual!$G64),ISNUMBER(posicao_contratual!$K64),ISNUMBER(historico_VU!$C64)),((posicao_contratual!$G64-N(posicao_contratual!$AB64))-(posicao_contratual!$K64-N(posicao_contratual!$AC64)))*historico_VU!$C64,"")))</f>
        <v>0</v>
      </c>
      <c r="Y64">
        <f>IF(OR(posicao_contratual!$A64="",$T$20=""),0,IF(AND(ISNUMBER(CHOOSE($T$20+1,historico_VU!$C64,historico_VU!$D64,historico_VU!$E64,historico_VU!$F64,historico_VU!$G64)),ISNUMBER(CHOOSE($T$20+1,posicao_contratual!$G64,posicao_contratual!$K64,posicao_contratual!$O64,posicao_contratual!$S64,posicao_contratual!$W64))),ROUND(ROUND(CHOOSE($T$20+1,historico_VU!$C64,historico_VU!$D64,historico_VU!$E64,historico_VU!$F64,historico_VU!$G64),2)*CHOOSE($T$20+1,posicao_contratual!$G64,posicao_contratual!$K64,posicao_contratual!$O64,posicao_contratual!$S64,posicao_contratual!$W64),2),""))</f>
        <v>0</v>
      </c>
      <c r="AB64">
        <f>IF(OR(posicao_contratual!$A64="",$W$46=""),0,IF(AND(ISNUMBER(CHOOSE($W$46+1,historico_VU!$C64,historico_VU!$D64,historico_VU!$E64,historico_VU!$F64,historico_VU!$G64)),ISNUMBER(CHOOSE($W$46+1,posicao_contratual!$G64,posicao_contratual!$K64,posicao_contratual!$O64,posicao_contratual!$S64,posicao_contratual!$W64))),ROUND(ROUND(CHOOSE($W$46+1,historico_VU!$C64,historico_VU!$D64,historico_VU!$E64,historico_VU!$F64,historico_VU!$G64),2)*CHOOSE($W$46+1,posicao_contratual!$G64,posicao_contratual!$K64,posicao_contratual!$O64,posicao_contratual!$S64,posicao_contratual!$W64),2),""))</f>
        <v>0</v>
      </c>
      <c r="AC64">
        <f>IF(OR(posicao_contratual!$A64="",$W$46=""),0,IF(OR($AB64="",$AD64=""),"",ROUND($AB64-$AD64,2)))</f>
        <v>0</v>
      </c>
      <c r="AD64">
        <f>IF(OR(posicao_contratual!$A64="",$W$46=""),0,IF($AB64="","",IF(NOT(ISNUMBER(CHOOSE($W$46+1,posicao_contratual!$AB64,posicao_contratual!$AC64,posicao_contratual!$AD64,posicao_contratual!$AE64,posicao_contratual!$AF64))),0,ROUND(ROUND(CHOOSE($W$46+1,historico_VU!$C64,historico_VU!$D64,historico_VU!$E64,historico_VU!$F64,historico_VU!$G64),2)*CHOOSE($W$46+1,posicao_contratual!$AB64,posicao_contratual!$AC64,posicao_contratual!$AD64,posicao_contratual!$AE64,posicao_contratual!$AF64),2))))</f>
        <v>0</v>
      </c>
    </row>
    <row r="65" spans="1:30" hidden="1" outlineLevel="1" x14ac:dyDescent="0.35">
      <c r="A65" s="137" t="str">
        <f>IF(historico_VU!A13="","",historico_VU!A13)</f>
        <v/>
      </c>
      <c r="B65" s="138" t="str">
        <f>IF(A65="","",historico_VU!B13)</f>
        <v/>
      </c>
      <c r="C65" s="139" t="str">
        <f>IF(A65="","",historico_VU!C13)</f>
        <v/>
      </c>
      <c r="D65" s="139" t="str">
        <f>IF(A65="","",historico_VU!D13)</f>
        <v/>
      </c>
      <c r="E65" s="139" t="str">
        <f>IF(A65="","",historico_VU!E13)</f>
        <v/>
      </c>
      <c r="F65" s="139" t="str">
        <f>IF(A65="","",historico_VU!F13)</f>
        <v/>
      </c>
      <c r="G65" s="139" t="str">
        <f>IF(A65="","",historico_VU!G13)</f>
        <v/>
      </c>
      <c r="H65" s="140" t="str">
        <f>IF(A65="","",historico_VU!H13)</f>
        <v/>
      </c>
      <c r="I65" s="57"/>
      <c r="J65" s="137" t="str">
        <f>IF(itens_Remanesc!A13="","",itens_Remanesc!A13)</f>
        <v/>
      </c>
      <c r="K65" s="138" t="str">
        <f>IF(J65="","",IF($F$4="C0",itens_Remanesc!B13,IF($F$4="C1",itens_Remanesc!E13,IF($F$4="C2",itens_Remanesc!G13,IF($F$4="C3",itens_Remanesc!I13,itens_Remanesc!K13)))))</f>
        <v/>
      </c>
      <c r="L65" s="138" t="str">
        <f>IF(J65="","",IF(SUMIF(itens_Consumidos!$A$2:$A$200,J65,itens_Consumidos!$B$2:$B$200)-SUMIF(itens_Consumidos!$A$2:$A$200,J65,itens_Consumidos!$O$2:$O$200)&lt;0,0,SUMIF(itens_Consumidos!$A$2:$A$200,J65,itens_Consumidos!$B$2:$B$200)-SUMIF(itens_Consumidos!$A$2:$A$200,J65,itens_Consumidos!$O$2:$O$200)))</f>
        <v/>
      </c>
      <c r="M65" s="141" t="str">
        <f>IF(J65="","",itens_Remanesc!C13)</f>
        <v/>
      </c>
      <c r="N65" s="141" t="str">
        <f>IF(J65="","",IF($F$4="C0",historico_VU!C13,IF($F$4="C1",historico_VU!D13,IF($F$4="C2",historico_VU!E13,IF($F$4="C3",historico_VU!F13,historico_VU!G13)))))</f>
        <v/>
      </c>
      <c r="O65" s="141" t="str">
        <f t="shared" si="1"/>
        <v/>
      </c>
      <c r="P65" s="141" t="str">
        <f t="shared" si="2"/>
        <v/>
      </c>
      <c r="Q65" s="142" t="str">
        <f t="shared" si="3"/>
        <v/>
      </c>
      <c r="V65" s="205" t="s">
        <v>486</v>
      </c>
      <c r="W65">
        <f>ROUND(SUMIF(financeiro!$B$2:$B$73,"c4",financeiro!$E$2:$E$73),2)</f>
        <v>0</v>
      </c>
      <c r="X65">
        <f>IF(posicao_contratual!$A65="",0,IF(AND(ISNUMBER(posicao_contratual!$Y65),posicao_contratual!$Y65&gt;0),0,IF(AND(ISNUMBER(posicao_contratual!$G65),ISNUMBER(posicao_contratual!$K65),ISNUMBER(historico_VU!$C65)),((posicao_contratual!$G65-N(posicao_contratual!$AB65))-(posicao_contratual!$K65-N(posicao_contratual!$AC65)))*historico_VU!$C65,"")))</f>
        <v>0</v>
      </c>
      <c r="Y65">
        <f>IF(OR(posicao_contratual!$A65="",$T$20=""),0,IF(AND(ISNUMBER(CHOOSE($T$20+1,historico_VU!$C65,historico_VU!$D65,historico_VU!$E65,historico_VU!$F65,historico_VU!$G65)),ISNUMBER(CHOOSE($T$20+1,posicao_contratual!$G65,posicao_contratual!$K65,posicao_contratual!$O65,posicao_contratual!$S65,posicao_contratual!$W65))),ROUND(ROUND(CHOOSE($T$20+1,historico_VU!$C65,historico_VU!$D65,historico_VU!$E65,historico_VU!$F65,historico_VU!$G65),2)*CHOOSE($T$20+1,posicao_contratual!$G65,posicao_contratual!$K65,posicao_contratual!$O65,posicao_contratual!$S65,posicao_contratual!$W65),2),""))</f>
        <v>0</v>
      </c>
      <c r="AB65">
        <f>IF(OR(posicao_contratual!$A65="",$W$46=""),0,IF(AND(ISNUMBER(CHOOSE($W$46+1,historico_VU!$C65,historico_VU!$D65,historico_VU!$E65,historico_VU!$F65,historico_VU!$G65)),ISNUMBER(CHOOSE($W$46+1,posicao_contratual!$G65,posicao_contratual!$K65,posicao_contratual!$O65,posicao_contratual!$S65,posicao_contratual!$W65))),ROUND(ROUND(CHOOSE($W$46+1,historico_VU!$C65,historico_VU!$D65,historico_VU!$E65,historico_VU!$F65,historico_VU!$G65),2)*CHOOSE($W$46+1,posicao_contratual!$G65,posicao_contratual!$K65,posicao_contratual!$O65,posicao_contratual!$S65,posicao_contratual!$W65),2),""))</f>
        <v>0</v>
      </c>
      <c r="AC65">
        <f>IF(OR(posicao_contratual!$A65="",$W$46=""),0,IF(OR($AB65="",$AD65=""),"",ROUND($AB65-$AD65,2)))</f>
        <v>0</v>
      </c>
      <c r="AD65">
        <f>IF(OR(posicao_contratual!$A65="",$W$46=""),0,IF($AB65="","",IF(NOT(ISNUMBER(CHOOSE($W$46+1,posicao_contratual!$AB65,posicao_contratual!$AC65,posicao_contratual!$AD65,posicao_contratual!$AE65,posicao_contratual!$AF65))),0,ROUND(ROUND(CHOOSE($W$46+1,historico_VU!$C65,historico_VU!$D65,historico_VU!$E65,historico_VU!$F65,historico_VU!$G65),2)*CHOOSE($W$46+1,posicao_contratual!$AB65,posicao_contratual!$AC65,posicao_contratual!$AD65,posicao_contratual!$AE65,posicao_contratual!$AF65),2))))</f>
        <v>0</v>
      </c>
    </row>
    <row r="66" spans="1:30" hidden="1" outlineLevel="1" x14ac:dyDescent="0.35">
      <c r="A66" s="137" t="str">
        <f>IF(historico_VU!A14="","",historico_VU!A14)</f>
        <v/>
      </c>
      <c r="B66" s="138" t="str">
        <f>IF(A66="","",historico_VU!B14)</f>
        <v/>
      </c>
      <c r="C66" s="139" t="str">
        <f>IF(A66="","",historico_VU!C14)</f>
        <v/>
      </c>
      <c r="D66" s="139" t="str">
        <f>IF(A66="","",historico_VU!D14)</f>
        <v/>
      </c>
      <c r="E66" s="139" t="str">
        <f>IF(A66="","",historico_VU!E14)</f>
        <v/>
      </c>
      <c r="F66" s="139" t="str">
        <f>IF(A66="","",historico_VU!F14)</f>
        <v/>
      </c>
      <c r="G66" s="139" t="str">
        <f>IF(A66="","",historico_VU!G14)</f>
        <v/>
      </c>
      <c r="H66" s="140" t="str">
        <f>IF(A66="","",historico_VU!H14)</f>
        <v/>
      </c>
      <c r="I66" s="57"/>
      <c r="J66" s="137" t="str">
        <f>IF(itens_Remanesc!A14="","",itens_Remanesc!A14)</f>
        <v/>
      </c>
      <c r="K66" s="138" t="str">
        <f>IF(J66="","",IF($F$4="C0",itens_Remanesc!B14,IF($F$4="C1",itens_Remanesc!E14,IF($F$4="C2",itens_Remanesc!G14,IF($F$4="C3",itens_Remanesc!I14,itens_Remanesc!K14)))))</f>
        <v/>
      </c>
      <c r="L66" s="138" t="str">
        <f>IF(J66="","",IF(SUMIF(itens_Consumidos!$A$2:$A$200,J66,itens_Consumidos!$B$2:$B$200)-SUMIF(itens_Consumidos!$A$2:$A$200,J66,itens_Consumidos!$O$2:$O$200)&lt;0,0,SUMIF(itens_Consumidos!$A$2:$A$200,J66,itens_Consumidos!$B$2:$B$200)-SUMIF(itens_Consumidos!$A$2:$A$200,J66,itens_Consumidos!$O$2:$O$200)))</f>
        <v/>
      </c>
      <c r="M66" s="141" t="str">
        <f>IF(J66="","",itens_Remanesc!C14)</f>
        <v/>
      </c>
      <c r="N66" s="141" t="str">
        <f>IF(J66="","",IF($F$4="C0",historico_VU!C14,IF($F$4="C1",historico_VU!D14,IF($F$4="C2",historico_VU!E14,IF($F$4="C3",historico_VU!F14,historico_VU!G14)))))</f>
        <v/>
      </c>
      <c r="O66" s="141" t="str">
        <f t="shared" si="1"/>
        <v/>
      </c>
      <c r="P66" s="141" t="str">
        <f t="shared" si="2"/>
        <v/>
      </c>
      <c r="Q66" s="142" t="str">
        <f t="shared" si="3"/>
        <v/>
      </c>
      <c r="V66" s="205" t="s">
        <v>487</v>
      </c>
      <c r="W66">
        <f>IF($T$20="","",IF($B$4="Financeiro",SUMPRODUCT((ROW($W$61:$W$65)-ROW($W$61)&lt;$T$20)*$W$61:$W$65),IF(NOT(ISNUMBER($T$21)),"",$T$21+$T$22)))</f>
        <v>0</v>
      </c>
      <c r="X66">
        <f>IF(posicao_contratual!$A66="",0,IF(AND(ISNUMBER(posicao_contratual!$Y66),posicao_contratual!$Y66&gt;0),0,IF(AND(ISNUMBER(posicao_contratual!$G66),ISNUMBER(posicao_contratual!$K66),ISNUMBER(historico_VU!$C66)),((posicao_contratual!$G66-N(posicao_contratual!$AB66))-(posicao_contratual!$K66-N(posicao_contratual!$AC66)))*historico_VU!$C66,"")))</f>
        <v>0</v>
      </c>
      <c r="Y66">
        <f>IF(OR(posicao_contratual!$A66="",$T$20=""),0,IF(AND(ISNUMBER(CHOOSE($T$20+1,historico_VU!$C66,historico_VU!$D66,historico_VU!$E66,historico_VU!$F66,historico_VU!$G66)),ISNUMBER(CHOOSE($T$20+1,posicao_contratual!$G66,posicao_contratual!$K66,posicao_contratual!$O66,posicao_contratual!$S66,posicao_contratual!$W66))),ROUND(ROUND(CHOOSE($T$20+1,historico_VU!$C66,historico_VU!$D66,historico_VU!$E66,historico_VU!$F66,historico_VU!$G66),2)*CHOOSE($T$20+1,posicao_contratual!$G66,posicao_contratual!$K66,posicao_contratual!$O66,posicao_contratual!$S66,posicao_contratual!$W66),2),""))</f>
        <v>0</v>
      </c>
      <c r="AB66">
        <f>IF(OR(posicao_contratual!$A66="",$W$46=""),0,IF(AND(ISNUMBER(CHOOSE($W$46+1,historico_VU!$C66,historico_VU!$D66,historico_VU!$E66,historico_VU!$F66,historico_VU!$G66)),ISNUMBER(CHOOSE($W$46+1,posicao_contratual!$G66,posicao_contratual!$K66,posicao_contratual!$O66,posicao_contratual!$S66,posicao_contratual!$W66))),ROUND(ROUND(CHOOSE($W$46+1,historico_VU!$C66,historico_VU!$D66,historico_VU!$E66,historico_VU!$F66,historico_VU!$G66),2)*CHOOSE($W$46+1,posicao_contratual!$G66,posicao_contratual!$K66,posicao_contratual!$O66,posicao_contratual!$S66,posicao_contratual!$W66),2),""))</f>
        <v>0</v>
      </c>
      <c r="AC66">
        <f>IF(OR(posicao_contratual!$A66="",$W$46=""),0,IF(OR($AB66="",$AD66=""),"",ROUND($AB66-$AD66,2)))</f>
        <v>0</v>
      </c>
      <c r="AD66">
        <f>IF(OR(posicao_contratual!$A66="",$W$46=""),0,IF($AB66="","",IF(NOT(ISNUMBER(CHOOSE($W$46+1,posicao_contratual!$AB66,posicao_contratual!$AC66,posicao_contratual!$AD66,posicao_contratual!$AE66,posicao_contratual!$AF66))),0,ROUND(ROUND(CHOOSE($W$46+1,historico_VU!$C66,historico_VU!$D66,historico_VU!$E66,historico_VU!$F66,historico_VU!$G66),2)*CHOOSE($W$46+1,posicao_contratual!$AB66,posicao_contratual!$AC66,posicao_contratual!$AD66,posicao_contratual!$AE66,posicao_contratual!$AF66),2))))</f>
        <v>0</v>
      </c>
    </row>
    <row r="67" spans="1:30" hidden="1" outlineLevel="1" x14ac:dyDescent="0.35">
      <c r="A67" s="137" t="str">
        <f>IF(historico_VU!A15="","",historico_VU!A15)</f>
        <v/>
      </c>
      <c r="B67" s="138" t="str">
        <f>IF(A67="","",historico_VU!B15)</f>
        <v/>
      </c>
      <c r="C67" s="139" t="str">
        <f>IF(A67="","",historico_VU!C15)</f>
        <v/>
      </c>
      <c r="D67" s="139" t="str">
        <f>IF(A67="","",historico_VU!D15)</f>
        <v/>
      </c>
      <c r="E67" s="139" t="str">
        <f>IF(A67="","",historico_VU!E15)</f>
        <v/>
      </c>
      <c r="F67" s="139" t="str">
        <f>IF(A67="","",historico_VU!F15)</f>
        <v/>
      </c>
      <c r="G67" s="139" t="str">
        <f>IF(A67="","",historico_VU!G15)</f>
        <v/>
      </c>
      <c r="H67" s="140" t="str">
        <f>IF(A67="","",historico_VU!H15)</f>
        <v/>
      </c>
      <c r="I67" s="57"/>
      <c r="J67" s="137" t="str">
        <f>IF(itens_Remanesc!A15="","",itens_Remanesc!A15)</f>
        <v/>
      </c>
      <c r="K67" s="138" t="str">
        <f>IF(J67="","",IF($F$4="C0",itens_Remanesc!B15,IF($F$4="C1",itens_Remanesc!E15,IF($F$4="C2",itens_Remanesc!G15,IF($F$4="C3",itens_Remanesc!I15,itens_Remanesc!K15)))))</f>
        <v/>
      </c>
      <c r="L67" s="138" t="str">
        <f>IF(J67="","",IF(SUMIF(itens_Consumidos!$A$2:$A$200,J67,itens_Consumidos!$B$2:$B$200)-SUMIF(itens_Consumidos!$A$2:$A$200,J67,itens_Consumidos!$O$2:$O$200)&lt;0,0,SUMIF(itens_Consumidos!$A$2:$A$200,J67,itens_Consumidos!$B$2:$B$200)-SUMIF(itens_Consumidos!$A$2:$A$200,J67,itens_Consumidos!$O$2:$O$200)))</f>
        <v/>
      </c>
      <c r="M67" s="141" t="str">
        <f>IF(J67="","",itens_Remanesc!C15)</f>
        <v/>
      </c>
      <c r="N67" s="141" t="str">
        <f>IF(J67="","",IF($F$4="C0",historico_VU!C15,IF($F$4="C1",historico_VU!D15,IF($F$4="C2",historico_VU!E15,IF($F$4="C3",historico_VU!F15,historico_VU!G15)))))</f>
        <v/>
      </c>
      <c r="O67" s="141" t="str">
        <f t="shared" si="1"/>
        <v/>
      </c>
      <c r="P67" s="141" t="str">
        <f t="shared" si="2"/>
        <v/>
      </c>
      <c r="Q67" s="142" t="str">
        <f t="shared" si="3"/>
        <v/>
      </c>
      <c r="V67" s="205" t="s">
        <v>488</v>
      </c>
      <c r="W67">
        <f>IF($W$46="","",IF($B$4="Financeiro",SUMPRODUCT((ROW($W$61:$W$65)-ROW($W$61)&lt;$W$46)*$W$61:$W$65),IF(NOT(ISNUMBER($T$21)),"",$T$21+SUMPRODUCT((ROW(itens_PC!$O$3:$O$7)-3&gt;=1)*(ROW(itens_PC!$O$3:$O$7)-3&lt;$W$46)*(itens_PC!$O$3:$O$7+itens_PC!$Q$3:$Q$7)))))</f>
        <v>0</v>
      </c>
      <c r="X67">
        <f>IF(posicao_contratual!$A67="",0,IF(AND(ISNUMBER(posicao_contratual!$Y67),posicao_contratual!$Y67&gt;0),0,IF(AND(ISNUMBER(posicao_contratual!$G67),ISNUMBER(posicao_contratual!$K67),ISNUMBER(historico_VU!$C67)),((posicao_contratual!$G67-N(posicao_contratual!$AB67))-(posicao_contratual!$K67-N(posicao_contratual!$AC67)))*historico_VU!$C67,"")))</f>
        <v>0</v>
      </c>
      <c r="Y67">
        <f>IF(OR(posicao_contratual!$A67="",$T$20=""),0,IF(AND(ISNUMBER(CHOOSE($T$20+1,historico_VU!$C67,historico_VU!$D67,historico_VU!$E67,historico_VU!$F67,historico_VU!$G67)),ISNUMBER(CHOOSE($T$20+1,posicao_contratual!$G67,posicao_contratual!$K67,posicao_contratual!$O67,posicao_contratual!$S67,posicao_contratual!$W67))),ROUND(ROUND(CHOOSE($T$20+1,historico_VU!$C67,historico_VU!$D67,historico_VU!$E67,historico_VU!$F67,historico_VU!$G67),2)*CHOOSE($T$20+1,posicao_contratual!$G67,posicao_contratual!$K67,posicao_contratual!$O67,posicao_contratual!$S67,posicao_contratual!$W67),2),""))</f>
        <v>0</v>
      </c>
      <c r="AB67">
        <f>IF(OR(posicao_contratual!$A67="",$W$46=""),0,IF(AND(ISNUMBER(CHOOSE($W$46+1,historico_VU!$C67,historico_VU!$D67,historico_VU!$E67,historico_VU!$F67,historico_VU!$G67)),ISNUMBER(CHOOSE($W$46+1,posicao_contratual!$G67,posicao_contratual!$K67,posicao_contratual!$O67,posicao_contratual!$S67,posicao_contratual!$W67))),ROUND(ROUND(CHOOSE($W$46+1,historico_VU!$C67,historico_VU!$D67,historico_VU!$E67,historico_VU!$F67,historico_VU!$G67),2)*CHOOSE($W$46+1,posicao_contratual!$G67,posicao_contratual!$K67,posicao_contratual!$O67,posicao_contratual!$S67,posicao_contratual!$W67),2),""))</f>
        <v>0</v>
      </c>
      <c r="AC67">
        <f>IF(OR(posicao_contratual!$A67="",$W$46=""),0,IF(OR($AB67="",$AD67=""),"",ROUND($AB67-$AD67,2)))</f>
        <v>0</v>
      </c>
      <c r="AD67">
        <f>IF(OR(posicao_contratual!$A67="",$W$46=""),0,IF($AB67="","",IF(NOT(ISNUMBER(CHOOSE($W$46+1,posicao_contratual!$AB67,posicao_contratual!$AC67,posicao_contratual!$AD67,posicao_contratual!$AE67,posicao_contratual!$AF67))),0,ROUND(ROUND(CHOOSE($W$46+1,historico_VU!$C67,historico_VU!$D67,historico_VU!$E67,historico_VU!$F67,historico_VU!$G67),2)*CHOOSE($W$46+1,posicao_contratual!$AB67,posicao_contratual!$AC67,posicao_contratual!$AD67,posicao_contratual!$AE67,posicao_contratual!$AF67),2))))</f>
        <v>0</v>
      </c>
    </row>
    <row r="68" spans="1:30" hidden="1" outlineLevel="1" x14ac:dyDescent="0.35">
      <c r="A68" s="137" t="str">
        <f>IF(historico_VU!A16="","",historico_VU!A16)</f>
        <v/>
      </c>
      <c r="B68" s="138" t="str">
        <f>IF(A68="","",historico_VU!B16)</f>
        <v/>
      </c>
      <c r="C68" s="139" t="str">
        <f>IF(A68="","",historico_VU!C16)</f>
        <v/>
      </c>
      <c r="D68" s="139" t="str">
        <f>IF(A68="","",historico_VU!D16)</f>
        <v/>
      </c>
      <c r="E68" s="139" t="str">
        <f>IF(A68="","",historico_VU!E16)</f>
        <v/>
      </c>
      <c r="F68" s="139" t="str">
        <f>IF(A68="","",historico_VU!F16)</f>
        <v/>
      </c>
      <c r="G68" s="139" t="str">
        <f>IF(A68="","",historico_VU!G16)</f>
        <v/>
      </c>
      <c r="H68" s="140" t="str">
        <f>IF(A68="","",historico_VU!H16)</f>
        <v/>
      </c>
      <c r="I68" s="57"/>
      <c r="J68" s="137" t="str">
        <f>IF(itens_Remanesc!A16="","",itens_Remanesc!A16)</f>
        <v/>
      </c>
      <c r="K68" s="138" t="str">
        <f>IF(J68="","",IF($F$4="C0",itens_Remanesc!B16,IF($F$4="C1",itens_Remanesc!E16,IF($F$4="C2",itens_Remanesc!G16,IF($F$4="C3",itens_Remanesc!I16,itens_Remanesc!K16)))))</f>
        <v/>
      </c>
      <c r="L68" s="138" t="str">
        <f>IF(J68="","",IF(SUMIF(itens_Consumidos!$A$2:$A$200,J68,itens_Consumidos!$B$2:$B$200)-SUMIF(itens_Consumidos!$A$2:$A$200,J68,itens_Consumidos!$O$2:$O$200)&lt;0,0,SUMIF(itens_Consumidos!$A$2:$A$200,J68,itens_Consumidos!$B$2:$B$200)-SUMIF(itens_Consumidos!$A$2:$A$200,J68,itens_Consumidos!$O$2:$O$200)))</f>
        <v/>
      </c>
      <c r="M68" s="141" t="str">
        <f>IF(J68="","",itens_Remanesc!C16)</f>
        <v/>
      </c>
      <c r="N68" s="141" t="str">
        <f>IF(J68="","",IF($F$4="C0",historico_VU!C16,IF($F$4="C1",historico_VU!D16,IF($F$4="C2",historico_VU!E16,IF($F$4="C3",historico_VU!F16,historico_VU!G16)))))</f>
        <v/>
      </c>
      <c r="O68" s="141" t="str">
        <f t="shared" si="1"/>
        <v/>
      </c>
      <c r="P68" s="141" t="str">
        <f t="shared" si="2"/>
        <v/>
      </c>
      <c r="Q68" s="142" t="str">
        <f t="shared" si="3"/>
        <v/>
      </c>
      <c r="X68">
        <f>IF(posicao_contratual!$A68="",0,IF(AND(ISNUMBER(posicao_contratual!$Y68),posicao_contratual!$Y68&gt;0),0,IF(AND(ISNUMBER(posicao_contratual!$G68),ISNUMBER(posicao_contratual!$K68),ISNUMBER(historico_VU!$C68)),((posicao_contratual!$G68-N(posicao_contratual!$AB68))-(posicao_contratual!$K68-N(posicao_contratual!$AC68)))*historico_VU!$C68,"")))</f>
        <v>0</v>
      </c>
      <c r="Y68">
        <f>IF(OR(posicao_contratual!$A68="",$T$20=""),0,IF(AND(ISNUMBER(CHOOSE($T$20+1,historico_VU!$C68,historico_VU!$D68,historico_VU!$E68,historico_VU!$F68,historico_VU!$G68)),ISNUMBER(CHOOSE($T$20+1,posicao_contratual!$G68,posicao_contratual!$K68,posicao_contratual!$O68,posicao_contratual!$S68,posicao_contratual!$W68))),ROUND(ROUND(CHOOSE($T$20+1,historico_VU!$C68,historico_VU!$D68,historico_VU!$E68,historico_VU!$F68,historico_VU!$G68),2)*CHOOSE($T$20+1,posicao_contratual!$G68,posicao_contratual!$K68,posicao_contratual!$O68,posicao_contratual!$S68,posicao_contratual!$W68),2),""))</f>
        <v>0</v>
      </c>
      <c r="AB68">
        <f>IF(OR(posicao_contratual!$A68="",$W$46=""),0,IF(AND(ISNUMBER(CHOOSE($W$46+1,historico_VU!$C68,historico_VU!$D68,historico_VU!$E68,historico_VU!$F68,historico_VU!$G68)),ISNUMBER(CHOOSE($W$46+1,posicao_contratual!$G68,posicao_contratual!$K68,posicao_contratual!$O68,posicao_contratual!$S68,posicao_contratual!$W68))),ROUND(ROUND(CHOOSE($W$46+1,historico_VU!$C68,historico_VU!$D68,historico_VU!$E68,historico_VU!$F68,historico_VU!$G68),2)*CHOOSE($W$46+1,posicao_contratual!$G68,posicao_contratual!$K68,posicao_contratual!$O68,posicao_contratual!$S68,posicao_contratual!$W68),2),""))</f>
        <v>0</v>
      </c>
      <c r="AC68">
        <f>IF(OR(posicao_contratual!$A68="",$W$46=""),0,IF(OR($AB68="",$AD68=""),"",ROUND($AB68-$AD68,2)))</f>
        <v>0</v>
      </c>
      <c r="AD68">
        <f>IF(OR(posicao_contratual!$A68="",$W$46=""),0,IF($AB68="","",IF(NOT(ISNUMBER(CHOOSE($W$46+1,posicao_contratual!$AB68,posicao_contratual!$AC68,posicao_contratual!$AD68,posicao_contratual!$AE68,posicao_contratual!$AF68))),0,ROUND(ROUND(CHOOSE($W$46+1,historico_VU!$C68,historico_VU!$D68,historico_VU!$E68,historico_VU!$F68,historico_VU!$G68),2)*CHOOSE($W$46+1,posicao_contratual!$AB68,posicao_contratual!$AC68,posicao_contratual!$AD68,posicao_contratual!$AE68,posicao_contratual!$AF68),2))))</f>
        <v>0</v>
      </c>
    </row>
    <row r="69" spans="1:30" hidden="1" outlineLevel="1" x14ac:dyDescent="0.35">
      <c r="A69" s="137" t="str">
        <f>IF(historico_VU!A17="","",historico_VU!A17)</f>
        <v/>
      </c>
      <c r="B69" s="138" t="str">
        <f>IF(A69="","",historico_VU!B17)</f>
        <v/>
      </c>
      <c r="C69" s="139" t="str">
        <f>IF(A69="","",historico_VU!C17)</f>
        <v/>
      </c>
      <c r="D69" s="139" t="str">
        <f>IF(A69="","",historico_VU!D17)</f>
        <v/>
      </c>
      <c r="E69" s="139" t="str">
        <f>IF(A69="","",historico_VU!E17)</f>
        <v/>
      </c>
      <c r="F69" s="139" t="str">
        <f>IF(A69="","",historico_VU!F17)</f>
        <v/>
      </c>
      <c r="G69" s="139" t="str">
        <f>IF(A69="","",historico_VU!G17)</f>
        <v/>
      </c>
      <c r="H69" s="140" t="str">
        <f>IF(A69="","",historico_VU!H17)</f>
        <v/>
      </c>
      <c r="I69" s="57"/>
      <c r="J69" s="137" t="str">
        <f>IF(itens_Remanesc!A17="","",itens_Remanesc!A17)</f>
        <v/>
      </c>
      <c r="K69" s="138" t="str">
        <f>IF(J69="","",IF($F$4="C0",itens_Remanesc!B17,IF($F$4="C1",itens_Remanesc!E17,IF($F$4="C2",itens_Remanesc!G17,IF($F$4="C3",itens_Remanesc!I17,itens_Remanesc!K17)))))</f>
        <v/>
      </c>
      <c r="L69" s="138" t="str">
        <f>IF(J69="","",IF(SUMIF(itens_Consumidos!$A$2:$A$200,J69,itens_Consumidos!$B$2:$B$200)-SUMIF(itens_Consumidos!$A$2:$A$200,J69,itens_Consumidos!$O$2:$O$200)&lt;0,0,SUMIF(itens_Consumidos!$A$2:$A$200,J69,itens_Consumidos!$B$2:$B$200)-SUMIF(itens_Consumidos!$A$2:$A$200,J69,itens_Consumidos!$O$2:$O$200)))</f>
        <v/>
      </c>
      <c r="M69" s="141" t="str">
        <f>IF(J69="","",itens_Remanesc!C17)</f>
        <v/>
      </c>
      <c r="N69" s="141" t="str">
        <f>IF(J69="","",IF($F$4="C0",historico_VU!C17,IF($F$4="C1",historico_VU!D17,IF($F$4="C2",historico_VU!E17,IF($F$4="C3",historico_VU!F17,historico_VU!G17)))))</f>
        <v/>
      </c>
      <c r="O69" s="141" t="str">
        <f t="shared" si="1"/>
        <v/>
      </c>
      <c r="P69" s="141" t="str">
        <f t="shared" si="2"/>
        <v/>
      </c>
      <c r="Q69" s="142" t="str">
        <f t="shared" si="3"/>
        <v/>
      </c>
      <c r="S69" s="384" t="s">
        <v>489</v>
      </c>
      <c r="X69">
        <f>IF(posicao_contratual!$A69="",0,IF(AND(ISNUMBER(posicao_contratual!$Y69),posicao_contratual!$Y69&gt;0),0,IF(AND(ISNUMBER(posicao_contratual!$G69),ISNUMBER(posicao_contratual!$K69),ISNUMBER(historico_VU!$C69)),((posicao_contratual!$G69-N(posicao_contratual!$AB69))-(posicao_contratual!$K69-N(posicao_contratual!$AC69)))*historico_VU!$C69,"")))</f>
        <v>0</v>
      </c>
      <c r="Y69">
        <f>IF(OR(posicao_contratual!$A69="",$T$20=""),0,IF(AND(ISNUMBER(CHOOSE($T$20+1,historico_VU!$C69,historico_VU!$D69,historico_VU!$E69,historico_VU!$F69,historico_VU!$G69)),ISNUMBER(CHOOSE($T$20+1,posicao_contratual!$G69,posicao_contratual!$K69,posicao_contratual!$O69,posicao_contratual!$S69,posicao_contratual!$W69))),ROUND(ROUND(CHOOSE($T$20+1,historico_VU!$C69,historico_VU!$D69,historico_VU!$E69,historico_VU!$F69,historico_VU!$G69),2)*CHOOSE($T$20+1,posicao_contratual!$G69,posicao_contratual!$K69,posicao_contratual!$O69,posicao_contratual!$S69,posicao_contratual!$W69),2),""))</f>
        <v>0</v>
      </c>
      <c r="AB69">
        <f>IF(OR(posicao_contratual!$A69="",$W$46=""),0,IF(AND(ISNUMBER(CHOOSE($W$46+1,historico_VU!$C69,historico_VU!$D69,historico_VU!$E69,historico_VU!$F69,historico_VU!$G69)),ISNUMBER(CHOOSE($W$46+1,posicao_contratual!$G69,posicao_contratual!$K69,posicao_contratual!$O69,posicao_contratual!$S69,posicao_contratual!$W69))),ROUND(ROUND(CHOOSE($W$46+1,historico_VU!$C69,historico_VU!$D69,historico_VU!$E69,historico_VU!$F69,historico_VU!$G69),2)*CHOOSE($W$46+1,posicao_contratual!$G69,posicao_contratual!$K69,posicao_contratual!$O69,posicao_contratual!$S69,posicao_contratual!$W69),2),""))</f>
        <v>0</v>
      </c>
      <c r="AC69">
        <f>IF(OR(posicao_contratual!$A69="",$W$46=""),0,IF(OR($AB69="",$AD69=""),"",ROUND($AB69-$AD69,2)))</f>
        <v>0</v>
      </c>
      <c r="AD69">
        <f>IF(OR(posicao_contratual!$A69="",$W$46=""),0,IF($AB69="","",IF(NOT(ISNUMBER(CHOOSE($W$46+1,posicao_contratual!$AB69,posicao_contratual!$AC69,posicao_contratual!$AD69,posicao_contratual!$AE69,posicao_contratual!$AF69))),0,ROUND(ROUND(CHOOSE($W$46+1,historico_VU!$C69,historico_VU!$D69,historico_VU!$E69,historico_VU!$F69,historico_VU!$G69),2)*CHOOSE($W$46+1,posicao_contratual!$AB69,posicao_contratual!$AC69,posicao_contratual!$AD69,posicao_contratual!$AE69,posicao_contratual!$AF69),2))))</f>
        <v>0</v>
      </c>
    </row>
    <row r="70" spans="1:30" hidden="1" outlineLevel="1" x14ac:dyDescent="0.35">
      <c r="A70" s="137" t="str">
        <f>IF(historico_VU!A18="","",historico_VU!A18)</f>
        <v/>
      </c>
      <c r="B70" s="138" t="str">
        <f>IF(A70="","",historico_VU!B18)</f>
        <v/>
      </c>
      <c r="C70" s="139" t="str">
        <f>IF(A70="","",historico_VU!C18)</f>
        <v/>
      </c>
      <c r="D70" s="139" t="str">
        <f>IF(A70="","",historico_VU!D18)</f>
        <v/>
      </c>
      <c r="E70" s="139" t="str">
        <f>IF(A70="","",historico_VU!E18)</f>
        <v/>
      </c>
      <c r="F70" s="139" t="str">
        <f>IF(A70="","",historico_VU!F18)</f>
        <v/>
      </c>
      <c r="G70" s="139" t="str">
        <f>IF(A70="","",historico_VU!G18)</f>
        <v/>
      </c>
      <c r="H70" s="140" t="str">
        <f>IF(A70="","",historico_VU!H18)</f>
        <v/>
      </c>
      <c r="I70" s="57"/>
      <c r="J70" s="137" t="str">
        <f>IF(itens_Remanesc!A18="","",itens_Remanesc!A18)</f>
        <v/>
      </c>
      <c r="K70" s="138" t="str">
        <f>IF(J70="","",IF($F$4="C0",itens_Remanesc!B18,IF($F$4="C1",itens_Remanesc!E18,IF($F$4="C2",itens_Remanesc!G18,IF($F$4="C3",itens_Remanesc!I18,itens_Remanesc!K18)))))</f>
        <v/>
      </c>
      <c r="L70" s="138" t="str">
        <f>IF(J70="","",IF(SUMIF(itens_Consumidos!$A$2:$A$200,J70,itens_Consumidos!$B$2:$B$200)-SUMIF(itens_Consumidos!$A$2:$A$200,J70,itens_Consumidos!$O$2:$O$200)&lt;0,0,SUMIF(itens_Consumidos!$A$2:$A$200,J70,itens_Consumidos!$B$2:$B$200)-SUMIF(itens_Consumidos!$A$2:$A$200,J70,itens_Consumidos!$O$2:$O$200)))</f>
        <v/>
      </c>
      <c r="M70" s="141" t="str">
        <f>IF(J70="","",itens_Remanesc!C18)</f>
        <v/>
      </c>
      <c r="N70" s="141" t="str">
        <f>IF(J70="","",IF($F$4="C0",historico_VU!C18,IF($F$4="C1",historico_VU!D18,IF($F$4="C2",historico_VU!E18,IF($F$4="C3",historico_VU!F18,historico_VU!G18)))))</f>
        <v/>
      </c>
      <c r="O70" s="141" t="str">
        <f t="shared" si="1"/>
        <v/>
      </c>
      <c r="P70" s="141" t="str">
        <f t="shared" si="2"/>
        <v/>
      </c>
      <c r="Q70" s="142" t="str">
        <f t="shared" si="3"/>
        <v/>
      </c>
      <c r="S70" t="s">
        <v>490</v>
      </c>
      <c r="T70" s="385" t="str">
        <f>IF($T$75&lt;&gt;"AJUSTE APLICADO","",ROUND(SUM(itens_Consumidos!$AB$2:$AB$6)+SUM(itens_Consumidos!$AC$2:$AC$6),2))</f>
        <v/>
      </c>
      <c r="X70">
        <f>IF(posicao_contratual!$A70="",0,IF(AND(ISNUMBER(posicao_contratual!$Y70),posicao_contratual!$Y70&gt;0),0,IF(AND(ISNUMBER(posicao_contratual!$G70),ISNUMBER(posicao_contratual!$K70),ISNUMBER(historico_VU!$C70)),((posicao_contratual!$G70-N(posicao_contratual!$AB70))-(posicao_contratual!$K70-N(posicao_contratual!$AC70)))*historico_VU!$C70,"")))</f>
        <v>0</v>
      </c>
      <c r="Y70">
        <f>IF(OR(posicao_contratual!$A70="",$T$20=""),0,IF(AND(ISNUMBER(CHOOSE($T$20+1,historico_VU!$C70,historico_VU!$D70,historico_VU!$E70,historico_VU!$F70,historico_VU!$G70)),ISNUMBER(CHOOSE($T$20+1,posicao_contratual!$G70,posicao_contratual!$K70,posicao_contratual!$O70,posicao_contratual!$S70,posicao_contratual!$W70))),ROUND(ROUND(CHOOSE($T$20+1,historico_VU!$C70,historico_VU!$D70,historico_VU!$E70,historico_VU!$F70,historico_VU!$G70),2)*CHOOSE($T$20+1,posicao_contratual!$G70,posicao_contratual!$K70,posicao_contratual!$O70,posicao_contratual!$S70,posicao_contratual!$W70),2),""))</f>
        <v>0</v>
      </c>
      <c r="AB70">
        <f>IF(OR(posicao_contratual!$A70="",$W$46=""),0,IF(AND(ISNUMBER(CHOOSE($W$46+1,historico_VU!$C70,historico_VU!$D70,historico_VU!$E70,historico_VU!$F70,historico_VU!$G70)),ISNUMBER(CHOOSE($W$46+1,posicao_contratual!$G70,posicao_contratual!$K70,posicao_contratual!$O70,posicao_contratual!$S70,posicao_contratual!$W70))),ROUND(ROUND(CHOOSE($W$46+1,historico_VU!$C70,historico_VU!$D70,historico_VU!$E70,historico_VU!$F70,historico_VU!$G70),2)*CHOOSE($W$46+1,posicao_contratual!$G70,posicao_contratual!$K70,posicao_contratual!$O70,posicao_contratual!$S70,posicao_contratual!$W70),2),""))</f>
        <v>0</v>
      </c>
      <c r="AC70">
        <f>IF(OR(posicao_contratual!$A70="",$W$46=""),0,IF(OR($AB70="",$AD70=""),"",ROUND($AB70-$AD70,2)))</f>
        <v>0</v>
      </c>
      <c r="AD70">
        <f>IF(OR(posicao_contratual!$A70="",$W$46=""),0,IF($AB70="","",IF(NOT(ISNUMBER(CHOOSE($W$46+1,posicao_contratual!$AB70,posicao_contratual!$AC70,posicao_contratual!$AD70,posicao_contratual!$AE70,posicao_contratual!$AF70))),0,ROUND(ROUND(CHOOSE($W$46+1,historico_VU!$C70,historico_VU!$D70,historico_VU!$E70,historico_VU!$F70,historico_VU!$G70),2)*CHOOSE($W$46+1,posicao_contratual!$AB70,posicao_contratual!$AC70,posicao_contratual!$AD70,posicao_contratual!$AE70,posicao_contratual!$AF70),2))))</f>
        <v>0</v>
      </c>
    </row>
    <row r="71" spans="1:30" hidden="1" outlineLevel="1" x14ac:dyDescent="0.35">
      <c r="A71" s="137" t="str">
        <f>IF(historico_VU!A19="","",historico_VU!A19)</f>
        <v/>
      </c>
      <c r="B71" s="138" t="str">
        <f>IF(A71="","",historico_VU!B19)</f>
        <v/>
      </c>
      <c r="C71" s="139" t="str">
        <f>IF(A71="","",historico_VU!C19)</f>
        <v/>
      </c>
      <c r="D71" s="139" t="str">
        <f>IF(A71="","",historico_VU!D19)</f>
        <v/>
      </c>
      <c r="E71" s="139" t="str">
        <f>IF(A71="","",historico_VU!E19)</f>
        <v/>
      </c>
      <c r="F71" s="139" t="str">
        <f>IF(A71="","",historico_VU!F19)</f>
        <v/>
      </c>
      <c r="G71" s="139" t="str">
        <f>IF(A71="","",historico_VU!G19)</f>
        <v/>
      </c>
      <c r="H71" s="140" t="str">
        <f>IF(A71="","",historico_VU!H19)</f>
        <v/>
      </c>
      <c r="I71" s="57"/>
      <c r="J71" s="137" t="str">
        <f>IF(itens_Remanesc!A19="","",itens_Remanesc!A19)</f>
        <v/>
      </c>
      <c r="K71" s="138" t="str">
        <f>IF(J71="","",IF($F$4="C0",itens_Remanesc!B19,IF($F$4="C1",itens_Remanesc!E19,IF($F$4="C2",itens_Remanesc!G19,IF($F$4="C3",itens_Remanesc!I19,itens_Remanesc!K19)))))</f>
        <v/>
      </c>
      <c r="L71" s="138" t="str">
        <f>IF(J71="","",IF(SUMIF(itens_Consumidos!$A$2:$A$200,J71,itens_Consumidos!$B$2:$B$200)-SUMIF(itens_Consumidos!$A$2:$A$200,J71,itens_Consumidos!$O$2:$O$200)&lt;0,0,SUMIF(itens_Consumidos!$A$2:$A$200,J71,itens_Consumidos!$B$2:$B$200)-SUMIF(itens_Consumidos!$A$2:$A$200,J71,itens_Consumidos!$O$2:$O$200)))</f>
        <v/>
      </c>
      <c r="M71" s="141" t="str">
        <f>IF(J71="","",itens_Remanesc!C19)</f>
        <v/>
      </c>
      <c r="N71" s="141" t="str">
        <f>IF(J71="","",IF($F$4="C0",historico_VU!C19,IF($F$4="C1",historico_VU!D19,IF($F$4="C2",historico_VU!E19,IF($F$4="C3",historico_VU!F19,historico_VU!G19)))))</f>
        <v/>
      </c>
      <c r="O71" s="141" t="str">
        <f t="shared" si="1"/>
        <v/>
      </c>
      <c r="P71" s="141" t="str">
        <f t="shared" si="2"/>
        <v/>
      </c>
      <c r="Q71" s="142" t="str">
        <f t="shared" si="3"/>
        <v/>
      </c>
      <c r="S71" t="s">
        <v>491</v>
      </c>
      <c r="T71" s="385" t="str">
        <f>IF($T$75&lt;&gt;"AJUSTE APLICADO","",ROUND(SUM(itens_Consumidos!$AC$2:$AC$6),2))</f>
        <v/>
      </c>
      <c r="X71">
        <f>IF(posicao_contratual!$A71="",0,IF(AND(ISNUMBER(posicao_contratual!$Y71),posicao_contratual!$Y71&gt;0),0,IF(AND(ISNUMBER(posicao_contratual!$G71),ISNUMBER(posicao_contratual!$K71),ISNUMBER(historico_VU!$C71)),((posicao_contratual!$G71-N(posicao_contratual!$AB71))-(posicao_contratual!$K71-N(posicao_contratual!$AC71)))*historico_VU!$C71,"")))</f>
        <v>0</v>
      </c>
      <c r="Y71">
        <f>IF(OR(posicao_contratual!$A71="",$T$20=""),0,IF(AND(ISNUMBER(CHOOSE($T$20+1,historico_VU!$C71,historico_VU!$D71,historico_VU!$E71,historico_VU!$F71,historico_VU!$G71)),ISNUMBER(CHOOSE($T$20+1,posicao_contratual!$G71,posicao_contratual!$K71,posicao_contratual!$O71,posicao_contratual!$S71,posicao_contratual!$W71))),ROUND(ROUND(CHOOSE($T$20+1,historico_VU!$C71,historico_VU!$D71,historico_VU!$E71,historico_VU!$F71,historico_VU!$G71),2)*CHOOSE($T$20+1,posicao_contratual!$G71,posicao_contratual!$K71,posicao_contratual!$O71,posicao_contratual!$S71,posicao_contratual!$W71),2),""))</f>
        <v>0</v>
      </c>
      <c r="AB71">
        <f>IF(OR(posicao_contratual!$A71="",$W$46=""),0,IF(AND(ISNUMBER(CHOOSE($W$46+1,historico_VU!$C71,historico_VU!$D71,historico_VU!$E71,historico_VU!$F71,historico_VU!$G71)),ISNUMBER(CHOOSE($W$46+1,posicao_contratual!$G71,posicao_contratual!$K71,posicao_contratual!$O71,posicao_contratual!$S71,posicao_contratual!$W71))),ROUND(ROUND(CHOOSE($W$46+1,historico_VU!$C71,historico_VU!$D71,historico_VU!$E71,historico_VU!$F71,historico_VU!$G71),2)*CHOOSE($W$46+1,posicao_contratual!$G71,posicao_contratual!$K71,posicao_contratual!$O71,posicao_contratual!$S71,posicao_contratual!$W71),2),""))</f>
        <v>0</v>
      </c>
      <c r="AC71">
        <f>IF(OR(posicao_contratual!$A71="",$W$46=""),0,IF(OR($AB71="",$AD71=""),"",ROUND($AB71-$AD71,2)))</f>
        <v>0</v>
      </c>
      <c r="AD71">
        <f>IF(OR(posicao_contratual!$A71="",$W$46=""),0,IF($AB71="","",IF(NOT(ISNUMBER(CHOOSE($W$46+1,posicao_contratual!$AB71,posicao_contratual!$AC71,posicao_contratual!$AD71,posicao_contratual!$AE71,posicao_contratual!$AF71))),0,ROUND(ROUND(CHOOSE($W$46+1,historico_VU!$C71,historico_VU!$D71,historico_VU!$E71,historico_VU!$F71,historico_VU!$G71),2)*CHOOSE($W$46+1,posicao_contratual!$AB71,posicao_contratual!$AC71,posicao_contratual!$AD71,posicao_contratual!$AE71,posicao_contratual!$AF71),2))))</f>
        <v>0</v>
      </c>
    </row>
    <row r="72" spans="1:30" hidden="1" outlineLevel="1" x14ac:dyDescent="0.35">
      <c r="A72" s="137" t="str">
        <f>IF(historico_VU!A20="","",historico_VU!A20)</f>
        <v/>
      </c>
      <c r="B72" s="138" t="str">
        <f>IF(A72="","",historico_VU!B20)</f>
        <v/>
      </c>
      <c r="C72" s="139" t="str">
        <f>IF(A72="","",historico_VU!C20)</f>
        <v/>
      </c>
      <c r="D72" s="139" t="str">
        <f>IF(A72="","",historico_VU!D20)</f>
        <v/>
      </c>
      <c r="E72" s="139" t="str">
        <f>IF(A72="","",historico_VU!E20)</f>
        <v/>
      </c>
      <c r="F72" s="139" t="str">
        <f>IF(A72="","",historico_VU!F20)</f>
        <v/>
      </c>
      <c r="G72" s="139" t="str">
        <f>IF(A72="","",historico_VU!G20)</f>
        <v/>
      </c>
      <c r="H72" s="140" t="str">
        <f>IF(A72="","",historico_VU!H20)</f>
        <v/>
      </c>
      <c r="I72" s="57"/>
      <c r="J72" s="137" t="str">
        <f>IF(itens_Remanesc!A20="","",itens_Remanesc!A20)</f>
        <v/>
      </c>
      <c r="K72" s="138" t="str">
        <f>IF(J72="","",IF($F$4="C0",itens_Remanesc!B20,IF($F$4="C1",itens_Remanesc!E20,IF($F$4="C2",itens_Remanesc!G20,IF($F$4="C3",itens_Remanesc!I20,itens_Remanesc!K20)))))</f>
        <v/>
      </c>
      <c r="L72" s="138" t="str">
        <f>IF(J72="","",IF(SUMIF(itens_Consumidos!$A$2:$A$200,J72,itens_Consumidos!$B$2:$B$200)-SUMIF(itens_Consumidos!$A$2:$A$200,J72,itens_Consumidos!$O$2:$O$200)&lt;0,0,SUMIF(itens_Consumidos!$A$2:$A$200,J72,itens_Consumidos!$B$2:$B$200)-SUMIF(itens_Consumidos!$A$2:$A$200,J72,itens_Consumidos!$O$2:$O$200)))</f>
        <v/>
      </c>
      <c r="M72" s="141" t="str">
        <f>IF(J72="","",itens_Remanesc!C20)</f>
        <v/>
      </c>
      <c r="N72" s="141" t="str">
        <f>IF(J72="","",IF($F$4="C0",historico_VU!C20,IF($F$4="C1",historico_VU!D20,IF($F$4="C2",historico_VU!E20,IF($F$4="C3",historico_VU!F20,historico_VU!G20)))))</f>
        <v/>
      </c>
      <c r="O72" s="141" t="str">
        <f t="shared" si="1"/>
        <v/>
      </c>
      <c r="P72" s="141" t="str">
        <f t="shared" si="2"/>
        <v/>
      </c>
      <c r="Q72" s="142" t="str">
        <f t="shared" si="3"/>
        <v/>
      </c>
      <c r="S72" t="s">
        <v>492</v>
      </c>
      <c r="T72" s="385" t="str">
        <f>IF($T$75&lt;&gt;"AJUSTE APLICADO","",ROUND(SUM(itens_Consumidos!$AB$2:$AB$6),2))</f>
        <v/>
      </c>
      <c r="X72">
        <f>IF(posicao_contratual!$A72="",0,IF(AND(ISNUMBER(posicao_contratual!$Y72),posicao_contratual!$Y72&gt;0),0,IF(AND(ISNUMBER(posicao_contratual!$G72),ISNUMBER(posicao_contratual!$K72),ISNUMBER(historico_VU!$C72)),((posicao_contratual!$G72-N(posicao_contratual!$AB72))-(posicao_contratual!$K72-N(posicao_contratual!$AC72)))*historico_VU!$C72,"")))</f>
        <v>0</v>
      </c>
      <c r="Y72">
        <f>IF(OR(posicao_contratual!$A72="",$T$20=""),0,IF(AND(ISNUMBER(CHOOSE($T$20+1,historico_VU!$C72,historico_VU!$D72,historico_VU!$E72,historico_VU!$F72,historico_VU!$G72)),ISNUMBER(CHOOSE($T$20+1,posicao_contratual!$G72,posicao_contratual!$K72,posicao_contratual!$O72,posicao_contratual!$S72,posicao_contratual!$W72))),ROUND(ROUND(CHOOSE($T$20+1,historico_VU!$C72,historico_VU!$D72,historico_VU!$E72,historico_VU!$F72,historico_VU!$G72),2)*CHOOSE($T$20+1,posicao_contratual!$G72,posicao_contratual!$K72,posicao_contratual!$O72,posicao_contratual!$S72,posicao_contratual!$W72),2),""))</f>
        <v>0</v>
      </c>
      <c r="AB72">
        <f>IF(OR(posicao_contratual!$A72="",$W$46=""),0,IF(AND(ISNUMBER(CHOOSE($W$46+1,historico_VU!$C72,historico_VU!$D72,historico_VU!$E72,historico_VU!$F72,historico_VU!$G72)),ISNUMBER(CHOOSE($W$46+1,posicao_contratual!$G72,posicao_contratual!$K72,posicao_contratual!$O72,posicao_contratual!$S72,posicao_contratual!$W72))),ROUND(ROUND(CHOOSE($W$46+1,historico_VU!$C72,historico_VU!$D72,historico_VU!$E72,historico_VU!$F72,historico_VU!$G72),2)*CHOOSE($W$46+1,posicao_contratual!$G72,posicao_contratual!$K72,posicao_contratual!$O72,posicao_contratual!$S72,posicao_contratual!$W72),2),""))</f>
        <v>0</v>
      </c>
      <c r="AC72">
        <f>IF(OR(posicao_contratual!$A72="",$W$46=""),0,IF(OR($AB72="",$AD72=""),"",ROUND($AB72-$AD72,2)))</f>
        <v>0</v>
      </c>
      <c r="AD72">
        <f>IF(OR(posicao_contratual!$A72="",$W$46=""),0,IF($AB72="","",IF(NOT(ISNUMBER(CHOOSE($W$46+1,posicao_contratual!$AB72,posicao_contratual!$AC72,posicao_contratual!$AD72,posicao_contratual!$AE72,posicao_contratual!$AF72))),0,ROUND(ROUND(CHOOSE($W$46+1,historico_VU!$C72,historico_VU!$D72,historico_VU!$E72,historico_VU!$F72,historico_VU!$G72),2)*CHOOSE($W$46+1,posicao_contratual!$AB72,posicao_contratual!$AC72,posicao_contratual!$AD72,posicao_contratual!$AE72,posicao_contratual!$AF72),2))))</f>
        <v>0</v>
      </c>
    </row>
    <row r="73" spans="1:30" hidden="1" outlineLevel="1" x14ac:dyDescent="0.35">
      <c r="A73" s="137" t="str">
        <f>IF(historico_VU!A21="","",historico_VU!A21)</f>
        <v/>
      </c>
      <c r="B73" s="138" t="str">
        <f>IF(A73="","",historico_VU!B21)</f>
        <v/>
      </c>
      <c r="C73" s="139" t="str">
        <f>IF(A73="","",historico_VU!C21)</f>
        <v/>
      </c>
      <c r="D73" s="139" t="str">
        <f>IF(A73="","",historico_VU!D21)</f>
        <v/>
      </c>
      <c r="E73" s="139" t="str">
        <f>IF(A73="","",historico_VU!E21)</f>
        <v/>
      </c>
      <c r="F73" s="139" t="str">
        <f>IF(A73="","",historico_VU!F21)</f>
        <v/>
      </c>
      <c r="G73" s="139" t="str">
        <f>IF(A73="","",historico_VU!G21)</f>
        <v/>
      </c>
      <c r="H73" s="140" t="str">
        <f>IF(A73="","",historico_VU!H21)</f>
        <v/>
      </c>
      <c r="I73" s="57"/>
      <c r="J73" s="137" t="str">
        <f>IF(itens_Remanesc!A21="","",itens_Remanesc!A21)</f>
        <v/>
      </c>
      <c r="K73" s="138" t="str">
        <f>IF(J73="","",IF($F$4="C0",itens_Remanesc!B21,IF($F$4="C1",itens_Remanesc!E21,IF($F$4="C2",itens_Remanesc!G21,IF($F$4="C3",itens_Remanesc!I21,itens_Remanesc!K21)))))</f>
        <v/>
      </c>
      <c r="L73" s="138" t="str">
        <f>IF(J73="","",IF(SUMIF(itens_Consumidos!$A$2:$A$200,J73,itens_Consumidos!$B$2:$B$200)-SUMIF(itens_Consumidos!$A$2:$A$200,J73,itens_Consumidos!$O$2:$O$200)&lt;0,0,SUMIF(itens_Consumidos!$A$2:$A$200,J73,itens_Consumidos!$B$2:$B$200)-SUMIF(itens_Consumidos!$A$2:$A$200,J73,itens_Consumidos!$O$2:$O$200)))</f>
        <v/>
      </c>
      <c r="M73" s="141" t="str">
        <f>IF(J73="","",itens_Remanesc!C21)</f>
        <v/>
      </c>
      <c r="N73" s="141" t="str">
        <f>IF(J73="","",IF($F$4="C0",historico_VU!C21,IF($F$4="C1",historico_VU!D21,IF($F$4="C2",historico_VU!E21,IF($F$4="C3",historico_VU!F21,historico_VU!G21)))))</f>
        <v/>
      </c>
      <c r="O73" s="141" t="str">
        <f t="shared" si="1"/>
        <v/>
      </c>
      <c r="P73" s="141" t="str">
        <f t="shared" si="2"/>
        <v/>
      </c>
      <c r="Q73" s="142" t="str">
        <f t="shared" si="3"/>
        <v/>
      </c>
      <c r="S73" t="s">
        <v>493</v>
      </c>
      <c r="T73" s="385" t="str">
        <f>IF($T$75&lt;&gt;"AJUSTE APLICADO","",ROUND(SUM(itens_Consumidos!$AE$2:$AE$6),2))</f>
        <v/>
      </c>
      <c r="X73">
        <f>IF(posicao_contratual!$A73="",0,IF(AND(ISNUMBER(posicao_contratual!$Y73),posicao_contratual!$Y73&gt;0),0,IF(AND(ISNUMBER(posicao_contratual!$G73),ISNUMBER(posicao_contratual!$K73),ISNUMBER(historico_VU!$C73)),((posicao_contratual!$G73-N(posicao_contratual!$AB73))-(posicao_contratual!$K73-N(posicao_contratual!$AC73)))*historico_VU!$C73,"")))</f>
        <v>0</v>
      </c>
      <c r="Y73">
        <f>IF(OR(posicao_contratual!$A73="",$T$20=""),0,IF(AND(ISNUMBER(CHOOSE($T$20+1,historico_VU!$C73,historico_VU!$D73,historico_VU!$E73,historico_VU!$F73,historico_VU!$G73)),ISNUMBER(CHOOSE($T$20+1,posicao_contratual!$G73,posicao_contratual!$K73,posicao_contratual!$O73,posicao_contratual!$S73,posicao_contratual!$W73))),ROUND(ROUND(CHOOSE($T$20+1,historico_VU!$C73,historico_VU!$D73,historico_VU!$E73,historico_VU!$F73,historico_VU!$G73),2)*CHOOSE($T$20+1,posicao_contratual!$G73,posicao_contratual!$K73,posicao_contratual!$O73,posicao_contratual!$S73,posicao_contratual!$W73),2),""))</f>
        <v>0</v>
      </c>
      <c r="AB73">
        <f>IF(OR(posicao_contratual!$A73="",$W$46=""),0,IF(AND(ISNUMBER(CHOOSE($W$46+1,historico_VU!$C73,historico_VU!$D73,historico_VU!$E73,historico_VU!$F73,historico_VU!$G73)),ISNUMBER(CHOOSE($W$46+1,posicao_contratual!$G73,posicao_contratual!$K73,posicao_contratual!$O73,posicao_contratual!$S73,posicao_contratual!$W73))),ROUND(ROUND(CHOOSE($W$46+1,historico_VU!$C73,historico_VU!$D73,historico_VU!$E73,historico_VU!$F73,historico_VU!$G73),2)*CHOOSE($W$46+1,posicao_contratual!$G73,posicao_contratual!$K73,posicao_contratual!$O73,posicao_contratual!$S73,posicao_contratual!$W73),2),""))</f>
        <v>0</v>
      </c>
      <c r="AC73">
        <f>IF(OR(posicao_contratual!$A73="",$W$46=""),0,IF(OR($AB73="",$AD73=""),"",ROUND($AB73-$AD73,2)))</f>
        <v>0</v>
      </c>
      <c r="AD73">
        <f>IF(OR(posicao_contratual!$A73="",$W$46=""),0,IF($AB73="","",IF(NOT(ISNUMBER(CHOOSE($W$46+1,posicao_contratual!$AB73,posicao_contratual!$AC73,posicao_contratual!$AD73,posicao_contratual!$AE73,posicao_contratual!$AF73))),0,ROUND(ROUND(CHOOSE($W$46+1,historico_VU!$C73,historico_VU!$D73,historico_VU!$E73,historico_VU!$F73,historico_VU!$G73),2)*CHOOSE($W$46+1,posicao_contratual!$AB73,posicao_contratual!$AC73,posicao_contratual!$AD73,posicao_contratual!$AE73,posicao_contratual!$AF73),2))))</f>
        <v>0</v>
      </c>
    </row>
    <row r="74" spans="1:30" hidden="1" outlineLevel="1" x14ac:dyDescent="0.35">
      <c r="A74" s="137" t="str">
        <f>IF(historico_VU!A22="","",historico_VU!A22)</f>
        <v/>
      </c>
      <c r="B74" s="138" t="str">
        <f>IF(A74="","",historico_VU!B22)</f>
        <v/>
      </c>
      <c r="C74" s="139" t="str">
        <f>IF(A74="","",historico_VU!C22)</f>
        <v/>
      </c>
      <c r="D74" s="139" t="str">
        <f>IF(A74="","",historico_VU!D22)</f>
        <v/>
      </c>
      <c r="E74" s="139" t="str">
        <f>IF(A74="","",historico_VU!E22)</f>
        <v/>
      </c>
      <c r="F74" s="139" t="str">
        <f>IF(A74="","",historico_VU!F22)</f>
        <v/>
      </c>
      <c r="G74" s="139" t="str">
        <f>IF(A74="","",historico_VU!G22)</f>
        <v/>
      </c>
      <c r="H74" s="140" t="str">
        <f>IF(A74="","",historico_VU!H22)</f>
        <v/>
      </c>
      <c r="I74" s="57"/>
      <c r="J74" s="137" t="str">
        <f>IF(itens_Remanesc!A22="","",itens_Remanesc!A22)</f>
        <v/>
      </c>
      <c r="K74" s="138" t="str">
        <f>IF(J74="","",IF($F$4="C0",itens_Remanesc!B22,IF($F$4="C1",itens_Remanesc!E22,IF($F$4="C2",itens_Remanesc!G22,IF($F$4="C3",itens_Remanesc!I22,itens_Remanesc!K22)))))</f>
        <v/>
      </c>
      <c r="L74" s="138" t="str">
        <f>IF(J74="","",IF(SUMIF(itens_Consumidos!$A$2:$A$200,J74,itens_Consumidos!$B$2:$B$200)-SUMIF(itens_Consumidos!$A$2:$A$200,J74,itens_Consumidos!$O$2:$O$200)&lt;0,0,SUMIF(itens_Consumidos!$A$2:$A$200,J74,itens_Consumidos!$B$2:$B$200)-SUMIF(itens_Consumidos!$A$2:$A$200,J74,itens_Consumidos!$O$2:$O$200)))</f>
        <v/>
      </c>
      <c r="M74" s="141" t="str">
        <f>IF(J74="","",itens_Remanesc!C22)</f>
        <v/>
      </c>
      <c r="N74" s="141" t="str">
        <f>IF(J74="","",IF($F$4="C0",historico_VU!C22,IF($F$4="C1",historico_VU!D22,IF($F$4="C2",historico_VU!E22,IF($F$4="C3",historico_VU!F22,historico_VU!G22)))))</f>
        <v/>
      </c>
      <c r="O74" s="141" t="str">
        <f t="shared" si="1"/>
        <v/>
      </c>
      <c r="P74" s="141" t="str">
        <f t="shared" si="2"/>
        <v/>
      </c>
      <c r="Q74" s="142" t="str">
        <f t="shared" si="3"/>
        <v/>
      </c>
      <c r="S74" t="s">
        <v>494</v>
      </c>
      <c r="T74" s="385" t="str">
        <f>IF($T$75&lt;&gt;"AJUSTE APLICADO","",ROUND(SUM(itens_Consumidos!$AF$2:$AF$6),2))</f>
        <v/>
      </c>
      <c r="X74">
        <f>IF(posicao_contratual!$A74="",0,IF(AND(ISNUMBER(posicao_contratual!$Y74),posicao_contratual!$Y74&gt;0),0,IF(AND(ISNUMBER(posicao_contratual!$G74),ISNUMBER(posicao_contratual!$K74),ISNUMBER(historico_VU!$C74)),((posicao_contratual!$G74-N(posicao_contratual!$AB74))-(posicao_contratual!$K74-N(posicao_contratual!$AC74)))*historico_VU!$C74,"")))</f>
        <v>0</v>
      </c>
      <c r="Y74">
        <f>IF(OR(posicao_contratual!$A74="",$T$20=""),0,IF(AND(ISNUMBER(CHOOSE($T$20+1,historico_VU!$C74,historico_VU!$D74,historico_VU!$E74,historico_VU!$F74,historico_VU!$G74)),ISNUMBER(CHOOSE($T$20+1,posicao_contratual!$G74,posicao_contratual!$K74,posicao_contratual!$O74,posicao_contratual!$S74,posicao_contratual!$W74))),ROUND(ROUND(CHOOSE($T$20+1,historico_VU!$C74,historico_VU!$D74,historico_VU!$E74,historico_VU!$F74,historico_VU!$G74),2)*CHOOSE($T$20+1,posicao_contratual!$G74,posicao_contratual!$K74,posicao_contratual!$O74,posicao_contratual!$S74,posicao_contratual!$W74),2),""))</f>
        <v>0</v>
      </c>
      <c r="AB74">
        <f>IF(OR(posicao_contratual!$A74="",$W$46=""),0,IF(AND(ISNUMBER(CHOOSE($W$46+1,historico_VU!$C74,historico_VU!$D74,historico_VU!$E74,historico_VU!$F74,historico_VU!$G74)),ISNUMBER(CHOOSE($W$46+1,posicao_contratual!$G74,posicao_contratual!$K74,posicao_contratual!$O74,posicao_contratual!$S74,posicao_contratual!$W74))),ROUND(ROUND(CHOOSE($W$46+1,historico_VU!$C74,historico_VU!$D74,historico_VU!$E74,historico_VU!$F74,historico_VU!$G74),2)*CHOOSE($W$46+1,posicao_contratual!$G74,posicao_contratual!$K74,posicao_contratual!$O74,posicao_contratual!$S74,posicao_contratual!$W74),2),""))</f>
        <v>0</v>
      </c>
      <c r="AC74">
        <f>IF(OR(posicao_contratual!$A74="",$W$46=""),0,IF(OR($AB74="",$AD74=""),"",ROUND($AB74-$AD74,2)))</f>
        <v>0</v>
      </c>
      <c r="AD74">
        <f>IF(OR(posicao_contratual!$A74="",$W$46=""),0,IF($AB74="","",IF(NOT(ISNUMBER(CHOOSE($W$46+1,posicao_contratual!$AB74,posicao_contratual!$AC74,posicao_contratual!$AD74,posicao_contratual!$AE74,posicao_contratual!$AF74))),0,ROUND(ROUND(CHOOSE($W$46+1,historico_VU!$C74,historico_VU!$D74,historico_VU!$E74,historico_VU!$F74,historico_VU!$G74),2)*CHOOSE($W$46+1,posicao_contratual!$AB74,posicao_contratual!$AC74,posicao_contratual!$AD74,posicao_contratual!$AE74,posicao_contratual!$AF74),2))))</f>
        <v>0</v>
      </c>
    </row>
    <row r="75" spans="1:30" hidden="1" outlineLevel="1" x14ac:dyDescent="0.35">
      <c r="A75" s="137" t="str">
        <f>IF(historico_VU!A23="","",historico_VU!A23)</f>
        <v/>
      </c>
      <c r="B75" s="138" t="str">
        <f>IF(A75="","",historico_VU!B23)</f>
        <v/>
      </c>
      <c r="C75" s="139" t="str">
        <f>IF(A75="","",historico_VU!C23)</f>
        <v/>
      </c>
      <c r="D75" s="139" t="str">
        <f>IF(A75="","",historico_VU!D23)</f>
        <v/>
      </c>
      <c r="E75" s="139" t="str">
        <f>IF(A75="","",historico_VU!E23)</f>
        <v/>
      </c>
      <c r="F75" s="139" t="str">
        <f>IF(A75="","",historico_VU!F23)</f>
        <v/>
      </c>
      <c r="G75" s="139" t="str">
        <f>IF(A75="","",historico_VU!G23)</f>
        <v/>
      </c>
      <c r="H75" s="140" t="str">
        <f>IF(A75="","",historico_VU!H23)</f>
        <v/>
      </c>
      <c r="I75" s="57"/>
      <c r="J75" s="137" t="str">
        <f>IF(itens_Remanesc!A23="","",itens_Remanesc!A23)</f>
        <v/>
      </c>
      <c r="K75" s="138" t="str">
        <f>IF(J75="","",IF($F$4="C0",itens_Remanesc!B23,IF($F$4="C1",itens_Remanesc!E23,IF($F$4="C2",itens_Remanesc!G23,IF($F$4="C3",itens_Remanesc!I23,itens_Remanesc!K23)))))</f>
        <v/>
      </c>
      <c r="L75" s="138" t="str">
        <f>IF(J75="","",IF(SUMIF(itens_Consumidos!$A$2:$A$200,J75,itens_Consumidos!$B$2:$B$200)-SUMIF(itens_Consumidos!$A$2:$A$200,J75,itens_Consumidos!$O$2:$O$200)&lt;0,0,SUMIF(itens_Consumidos!$A$2:$A$200,J75,itens_Consumidos!$B$2:$B$200)-SUMIF(itens_Consumidos!$A$2:$A$200,J75,itens_Consumidos!$O$2:$O$200)))</f>
        <v/>
      </c>
      <c r="M75" s="141" t="str">
        <f>IF(J75="","",itens_Remanesc!C23)</f>
        <v/>
      </c>
      <c r="N75" s="141" t="str">
        <f>IF(J75="","",IF($F$4="C0",historico_VU!C23,IF($F$4="C1",historico_VU!D23,IF($F$4="C2",historico_VU!E23,IF($F$4="C3",historico_VU!F23,historico_VU!G23)))))</f>
        <v/>
      </c>
      <c r="O75" s="141" t="str">
        <f t="shared" si="1"/>
        <v/>
      </c>
      <c r="P75" s="141" t="str">
        <f t="shared" si="2"/>
        <v/>
      </c>
      <c r="Q75" s="142" t="str">
        <f t="shared" si="3"/>
        <v/>
      </c>
      <c r="S75" t="s">
        <v>495</v>
      </c>
      <c r="T75" t="str">
        <f>IF(COUNTIF(itens_Consumidos!$AG$2:$AG$6,"REVISAR*")&gt;0,"REVISAR",IF(COUNTIF(itens_Consumidos!$AG$2:$AG$6,"AJUSTE APLICADO")=0,"SEM AJUSTE","AJUSTE APLICADO"))</f>
        <v>SEM AJUSTE</v>
      </c>
      <c r="X75">
        <f>IF(posicao_contratual!$A75="",0,IF(AND(ISNUMBER(posicao_contratual!$Y75),posicao_contratual!$Y75&gt;0),0,IF(AND(ISNUMBER(posicao_contratual!$G75),ISNUMBER(posicao_contratual!$K75),ISNUMBER(historico_VU!$C75)),((posicao_contratual!$G75-N(posicao_contratual!$AB75))-(posicao_contratual!$K75-N(posicao_contratual!$AC75)))*historico_VU!$C75,"")))</f>
        <v>0</v>
      </c>
      <c r="Y75">
        <f>IF(OR(posicao_contratual!$A75="",$T$20=""),0,IF(AND(ISNUMBER(CHOOSE($T$20+1,historico_VU!$C75,historico_VU!$D75,historico_VU!$E75,historico_VU!$F75,historico_VU!$G75)),ISNUMBER(CHOOSE($T$20+1,posicao_contratual!$G75,posicao_contratual!$K75,posicao_contratual!$O75,posicao_contratual!$S75,posicao_contratual!$W75))),ROUND(ROUND(CHOOSE($T$20+1,historico_VU!$C75,historico_VU!$D75,historico_VU!$E75,historico_VU!$F75,historico_VU!$G75),2)*CHOOSE($T$20+1,posicao_contratual!$G75,posicao_contratual!$K75,posicao_contratual!$O75,posicao_contratual!$S75,posicao_contratual!$W75),2),""))</f>
        <v>0</v>
      </c>
      <c r="AB75">
        <f>IF(OR(posicao_contratual!$A75="",$W$46=""),0,IF(AND(ISNUMBER(CHOOSE($W$46+1,historico_VU!$C75,historico_VU!$D75,historico_VU!$E75,historico_VU!$F75,historico_VU!$G75)),ISNUMBER(CHOOSE($W$46+1,posicao_contratual!$G75,posicao_contratual!$K75,posicao_contratual!$O75,posicao_contratual!$S75,posicao_contratual!$W75))),ROUND(ROUND(CHOOSE($W$46+1,historico_VU!$C75,historico_VU!$D75,historico_VU!$E75,historico_VU!$F75,historico_VU!$G75),2)*CHOOSE($W$46+1,posicao_contratual!$G75,posicao_contratual!$K75,posicao_contratual!$O75,posicao_contratual!$S75,posicao_contratual!$W75),2),""))</f>
        <v>0</v>
      </c>
      <c r="AC75">
        <f>IF(OR(posicao_contratual!$A75="",$W$46=""),0,IF(OR($AB75="",$AD75=""),"",ROUND($AB75-$AD75,2)))</f>
        <v>0</v>
      </c>
      <c r="AD75">
        <f>IF(OR(posicao_contratual!$A75="",$W$46=""),0,IF($AB75="","",IF(NOT(ISNUMBER(CHOOSE($W$46+1,posicao_contratual!$AB75,posicao_contratual!$AC75,posicao_contratual!$AD75,posicao_contratual!$AE75,posicao_contratual!$AF75))),0,ROUND(ROUND(CHOOSE($W$46+1,historico_VU!$C75,historico_VU!$D75,historico_VU!$E75,historico_VU!$F75,historico_VU!$G75),2)*CHOOSE($W$46+1,posicao_contratual!$AB75,posicao_contratual!$AC75,posicao_contratual!$AD75,posicao_contratual!$AE75,posicao_contratual!$AF75),2))))</f>
        <v>0</v>
      </c>
    </row>
    <row r="76" spans="1:30" hidden="1" outlineLevel="1" x14ac:dyDescent="0.35">
      <c r="A76" s="137" t="str">
        <f>IF(historico_VU!A24="","",historico_VU!A24)</f>
        <v/>
      </c>
      <c r="B76" s="138" t="str">
        <f>IF(A76="","",historico_VU!B24)</f>
        <v/>
      </c>
      <c r="C76" s="139" t="str">
        <f>IF(A76="","",historico_VU!C24)</f>
        <v/>
      </c>
      <c r="D76" s="139" t="str">
        <f>IF(A76="","",historico_VU!D24)</f>
        <v/>
      </c>
      <c r="E76" s="139" t="str">
        <f>IF(A76="","",historico_VU!E24)</f>
        <v/>
      </c>
      <c r="F76" s="139" t="str">
        <f>IF(A76="","",historico_VU!F24)</f>
        <v/>
      </c>
      <c r="G76" s="139" t="str">
        <f>IF(A76="","",historico_VU!G24)</f>
        <v/>
      </c>
      <c r="H76" s="140" t="str">
        <f>IF(A76="","",historico_VU!H24)</f>
        <v/>
      </c>
      <c r="I76" s="57"/>
      <c r="J76" s="137" t="str">
        <f>IF(itens_Remanesc!A24="","",itens_Remanesc!A24)</f>
        <v/>
      </c>
      <c r="K76" s="138" t="str">
        <f>IF(J76="","",IF($F$4="C0",itens_Remanesc!B24,IF($F$4="C1",itens_Remanesc!E24,IF($F$4="C2",itens_Remanesc!G24,IF($F$4="C3",itens_Remanesc!I24,itens_Remanesc!K24)))))</f>
        <v/>
      </c>
      <c r="L76" s="138" t="str">
        <f>IF(J76="","",IF(SUMIF(itens_Consumidos!$A$2:$A$200,J76,itens_Consumidos!$B$2:$B$200)-SUMIF(itens_Consumidos!$A$2:$A$200,J76,itens_Consumidos!$O$2:$O$200)&lt;0,0,SUMIF(itens_Consumidos!$A$2:$A$200,J76,itens_Consumidos!$B$2:$B$200)-SUMIF(itens_Consumidos!$A$2:$A$200,J76,itens_Consumidos!$O$2:$O$200)))</f>
        <v/>
      </c>
      <c r="M76" s="141" t="str">
        <f>IF(J76="","",itens_Remanesc!C24)</f>
        <v/>
      </c>
      <c r="N76" s="141" t="str">
        <f>IF(J76="","",IF($F$4="C0",historico_VU!C24,IF($F$4="C1",historico_VU!D24,IF($F$4="C2",historico_VU!E24,IF($F$4="C3",historico_VU!F24,historico_VU!G24)))))</f>
        <v/>
      </c>
      <c r="O76" s="141" t="str">
        <f t="shared" si="1"/>
        <v/>
      </c>
      <c r="P76" s="141" t="str">
        <f t="shared" si="2"/>
        <v/>
      </c>
      <c r="Q76" s="142" t="str">
        <f t="shared" si="3"/>
        <v/>
      </c>
      <c r="X76">
        <f>IF(posicao_contratual!$A76="",0,IF(AND(ISNUMBER(posicao_contratual!$Y76),posicao_contratual!$Y76&gt;0),0,IF(AND(ISNUMBER(posicao_contratual!$G76),ISNUMBER(posicao_contratual!$K76),ISNUMBER(historico_VU!$C76)),((posicao_contratual!$G76-N(posicao_contratual!$AB76))-(posicao_contratual!$K76-N(posicao_contratual!$AC76)))*historico_VU!$C76,"")))</f>
        <v>0</v>
      </c>
      <c r="Y76">
        <f>IF(OR(posicao_contratual!$A76="",$T$20=""),0,IF(AND(ISNUMBER(CHOOSE($T$20+1,historico_VU!$C76,historico_VU!$D76,historico_VU!$E76,historico_VU!$F76,historico_VU!$G76)),ISNUMBER(CHOOSE($T$20+1,posicao_contratual!$G76,posicao_contratual!$K76,posicao_contratual!$O76,posicao_contratual!$S76,posicao_contratual!$W76))),ROUND(ROUND(CHOOSE($T$20+1,historico_VU!$C76,historico_VU!$D76,historico_VU!$E76,historico_VU!$F76,historico_VU!$G76),2)*CHOOSE($T$20+1,posicao_contratual!$G76,posicao_contratual!$K76,posicao_contratual!$O76,posicao_contratual!$S76,posicao_contratual!$W76),2),""))</f>
        <v>0</v>
      </c>
      <c r="AB76">
        <f>IF(OR(posicao_contratual!$A76="",$W$46=""),0,IF(AND(ISNUMBER(CHOOSE($W$46+1,historico_VU!$C76,historico_VU!$D76,historico_VU!$E76,historico_VU!$F76,historico_VU!$G76)),ISNUMBER(CHOOSE($W$46+1,posicao_contratual!$G76,posicao_contratual!$K76,posicao_contratual!$O76,posicao_contratual!$S76,posicao_contratual!$W76))),ROUND(ROUND(CHOOSE($W$46+1,historico_VU!$C76,historico_VU!$D76,historico_VU!$E76,historico_VU!$F76,historico_VU!$G76),2)*CHOOSE($W$46+1,posicao_contratual!$G76,posicao_contratual!$K76,posicao_contratual!$O76,posicao_contratual!$S76,posicao_contratual!$W76),2),""))</f>
        <v>0</v>
      </c>
      <c r="AC76">
        <f>IF(OR(posicao_contratual!$A76="",$W$46=""),0,IF(OR($AB76="",$AD76=""),"",ROUND($AB76-$AD76,2)))</f>
        <v>0</v>
      </c>
      <c r="AD76">
        <f>IF(OR(posicao_contratual!$A76="",$W$46=""),0,IF($AB76="","",IF(NOT(ISNUMBER(CHOOSE($W$46+1,posicao_contratual!$AB76,posicao_contratual!$AC76,posicao_contratual!$AD76,posicao_contratual!$AE76,posicao_contratual!$AF76))),0,ROUND(ROUND(CHOOSE($W$46+1,historico_VU!$C76,historico_VU!$D76,historico_VU!$E76,historico_VU!$F76,historico_VU!$G76),2)*CHOOSE($W$46+1,posicao_contratual!$AB76,posicao_contratual!$AC76,posicao_contratual!$AD76,posicao_contratual!$AE76,posicao_contratual!$AF76),2))))</f>
        <v>0</v>
      </c>
    </row>
    <row r="77" spans="1:30" hidden="1" outlineLevel="1" x14ac:dyDescent="0.35">
      <c r="A77" s="137" t="str">
        <f>IF(historico_VU!A25="","",historico_VU!A25)</f>
        <v/>
      </c>
      <c r="B77" s="138" t="str">
        <f>IF(A77="","",historico_VU!B25)</f>
        <v/>
      </c>
      <c r="C77" s="139" t="str">
        <f>IF(A77="","",historico_VU!C25)</f>
        <v/>
      </c>
      <c r="D77" s="139" t="str">
        <f>IF(A77="","",historico_VU!D25)</f>
        <v/>
      </c>
      <c r="E77" s="139" t="str">
        <f>IF(A77="","",historico_VU!E25)</f>
        <v/>
      </c>
      <c r="F77" s="139" t="str">
        <f>IF(A77="","",historico_VU!F25)</f>
        <v/>
      </c>
      <c r="G77" s="139" t="str">
        <f>IF(A77="","",historico_VU!G25)</f>
        <v/>
      </c>
      <c r="H77" s="140" t="str">
        <f>IF(A77="","",historico_VU!H25)</f>
        <v/>
      </c>
      <c r="I77" s="57"/>
      <c r="J77" s="137" t="str">
        <f>IF(itens_Remanesc!A25="","",itens_Remanesc!A25)</f>
        <v/>
      </c>
      <c r="K77" s="138" t="str">
        <f>IF(J77="","",IF($F$4="C0",itens_Remanesc!B25,IF($F$4="C1",itens_Remanesc!E25,IF($F$4="C2",itens_Remanesc!G25,IF($F$4="C3",itens_Remanesc!I25,itens_Remanesc!K25)))))</f>
        <v/>
      </c>
      <c r="L77" s="138" t="str">
        <f>IF(J77="","",IF(SUMIF(itens_Consumidos!$A$2:$A$200,J77,itens_Consumidos!$B$2:$B$200)-SUMIF(itens_Consumidos!$A$2:$A$200,J77,itens_Consumidos!$O$2:$O$200)&lt;0,0,SUMIF(itens_Consumidos!$A$2:$A$200,J77,itens_Consumidos!$B$2:$B$200)-SUMIF(itens_Consumidos!$A$2:$A$200,J77,itens_Consumidos!$O$2:$O$200)))</f>
        <v/>
      </c>
      <c r="M77" s="141" t="str">
        <f>IF(J77="","",itens_Remanesc!C25)</f>
        <v/>
      </c>
      <c r="N77" s="141" t="str">
        <f>IF(J77="","",IF($F$4="C0",historico_VU!C25,IF($F$4="C1",historico_VU!D25,IF($F$4="C2",historico_VU!E25,IF($F$4="C3",historico_VU!F25,historico_VU!G25)))))</f>
        <v/>
      </c>
      <c r="O77" s="141" t="str">
        <f t="shared" si="1"/>
        <v/>
      </c>
      <c r="P77" s="141" t="str">
        <f t="shared" si="2"/>
        <v/>
      </c>
      <c r="Q77" s="142" t="str">
        <f t="shared" si="3"/>
        <v/>
      </c>
      <c r="X77">
        <f>IF(posicao_contratual!$A77="",0,IF(AND(ISNUMBER(posicao_contratual!$Y77),posicao_contratual!$Y77&gt;0),0,IF(AND(ISNUMBER(posicao_contratual!$G77),ISNUMBER(posicao_contratual!$K77),ISNUMBER(historico_VU!$C77)),((posicao_contratual!$G77-N(posicao_contratual!$AB77))-(posicao_contratual!$K77-N(posicao_contratual!$AC77)))*historico_VU!$C77,"")))</f>
        <v>0</v>
      </c>
      <c r="Y77">
        <f>IF(OR(posicao_contratual!$A77="",$T$20=""),0,IF(AND(ISNUMBER(CHOOSE($T$20+1,historico_VU!$C77,historico_VU!$D77,historico_VU!$E77,historico_VU!$F77,historico_VU!$G77)),ISNUMBER(CHOOSE($T$20+1,posicao_contratual!$G77,posicao_contratual!$K77,posicao_contratual!$O77,posicao_contratual!$S77,posicao_contratual!$W77))),ROUND(ROUND(CHOOSE($T$20+1,historico_VU!$C77,historico_VU!$D77,historico_VU!$E77,historico_VU!$F77,historico_VU!$G77),2)*CHOOSE($T$20+1,posicao_contratual!$G77,posicao_contratual!$K77,posicao_contratual!$O77,posicao_contratual!$S77,posicao_contratual!$W77),2),""))</f>
        <v>0</v>
      </c>
      <c r="AB77">
        <f>IF(OR(posicao_contratual!$A77="",$W$46=""),0,IF(AND(ISNUMBER(CHOOSE($W$46+1,historico_VU!$C77,historico_VU!$D77,historico_VU!$E77,historico_VU!$F77,historico_VU!$G77)),ISNUMBER(CHOOSE($W$46+1,posicao_contratual!$G77,posicao_contratual!$K77,posicao_contratual!$O77,posicao_contratual!$S77,posicao_contratual!$W77))),ROUND(ROUND(CHOOSE($W$46+1,historico_VU!$C77,historico_VU!$D77,historico_VU!$E77,historico_VU!$F77,historico_VU!$G77),2)*CHOOSE($W$46+1,posicao_contratual!$G77,posicao_contratual!$K77,posicao_contratual!$O77,posicao_contratual!$S77,posicao_contratual!$W77),2),""))</f>
        <v>0</v>
      </c>
      <c r="AC77">
        <f>IF(OR(posicao_contratual!$A77="",$W$46=""),0,IF(OR($AB77="",$AD77=""),"",ROUND($AB77-$AD77,2)))</f>
        <v>0</v>
      </c>
      <c r="AD77">
        <f>IF(OR(posicao_contratual!$A77="",$W$46=""),0,IF($AB77="","",IF(NOT(ISNUMBER(CHOOSE($W$46+1,posicao_contratual!$AB77,posicao_contratual!$AC77,posicao_contratual!$AD77,posicao_contratual!$AE77,posicao_contratual!$AF77))),0,ROUND(ROUND(CHOOSE($W$46+1,historico_VU!$C77,historico_VU!$D77,historico_VU!$E77,historico_VU!$F77,historico_VU!$G77),2)*CHOOSE($W$46+1,posicao_contratual!$AB77,posicao_contratual!$AC77,posicao_contratual!$AD77,posicao_contratual!$AE77,posicao_contratual!$AF77),2))))</f>
        <v>0</v>
      </c>
    </row>
    <row r="78" spans="1:30" hidden="1" outlineLevel="1" x14ac:dyDescent="0.35">
      <c r="A78" s="137" t="str">
        <f>IF(historico_VU!A26="","",historico_VU!A26)</f>
        <v/>
      </c>
      <c r="B78" s="138" t="str">
        <f>IF(A78="","",historico_VU!B26)</f>
        <v/>
      </c>
      <c r="C78" s="139" t="str">
        <f>IF(A78="","",historico_VU!C26)</f>
        <v/>
      </c>
      <c r="D78" s="139" t="str">
        <f>IF(A78="","",historico_VU!D26)</f>
        <v/>
      </c>
      <c r="E78" s="139" t="str">
        <f>IF(A78="","",historico_VU!E26)</f>
        <v/>
      </c>
      <c r="F78" s="139" t="str">
        <f>IF(A78="","",historico_VU!F26)</f>
        <v/>
      </c>
      <c r="G78" s="139" t="str">
        <f>IF(A78="","",historico_VU!G26)</f>
        <v/>
      </c>
      <c r="H78" s="140" t="str">
        <f>IF(A78="","",historico_VU!H26)</f>
        <v/>
      </c>
      <c r="I78" s="57"/>
      <c r="J78" s="137" t="str">
        <f>IF(itens_Remanesc!A26="","",itens_Remanesc!A26)</f>
        <v/>
      </c>
      <c r="K78" s="138" t="str">
        <f>IF(J78="","",IF($F$4="C0",itens_Remanesc!B26,IF($F$4="C1",itens_Remanesc!E26,IF($F$4="C2",itens_Remanesc!G26,IF($F$4="C3",itens_Remanesc!I26,itens_Remanesc!K26)))))</f>
        <v/>
      </c>
      <c r="L78" s="138" t="str">
        <f>IF(J78="","",IF(SUMIF(itens_Consumidos!$A$2:$A$200,J78,itens_Consumidos!$B$2:$B$200)-SUMIF(itens_Consumidos!$A$2:$A$200,J78,itens_Consumidos!$O$2:$O$200)&lt;0,0,SUMIF(itens_Consumidos!$A$2:$A$200,J78,itens_Consumidos!$B$2:$B$200)-SUMIF(itens_Consumidos!$A$2:$A$200,J78,itens_Consumidos!$O$2:$O$200)))</f>
        <v/>
      </c>
      <c r="M78" s="141" t="str">
        <f>IF(J78="","",itens_Remanesc!C26)</f>
        <v/>
      </c>
      <c r="N78" s="141" t="str">
        <f>IF(J78="","",IF($F$4="C0",historico_VU!C26,IF($F$4="C1",historico_VU!D26,IF($F$4="C2",historico_VU!E26,IF($F$4="C3",historico_VU!F26,historico_VU!G26)))))</f>
        <v/>
      </c>
      <c r="O78" s="141" t="str">
        <f t="shared" si="1"/>
        <v/>
      </c>
      <c r="P78" s="141" t="str">
        <f t="shared" si="2"/>
        <v/>
      </c>
      <c r="Q78" s="142" t="str">
        <f t="shared" si="3"/>
        <v/>
      </c>
      <c r="X78">
        <f>IF(posicao_contratual!$A78="",0,IF(AND(ISNUMBER(posicao_contratual!$Y78),posicao_contratual!$Y78&gt;0),0,IF(AND(ISNUMBER(posicao_contratual!$G78),ISNUMBER(posicao_contratual!$K78),ISNUMBER(historico_VU!$C78)),((posicao_contratual!$G78-N(posicao_contratual!$AB78))-(posicao_contratual!$K78-N(posicao_contratual!$AC78)))*historico_VU!$C78,"")))</f>
        <v>0</v>
      </c>
      <c r="Y78">
        <f>IF(OR(posicao_contratual!$A78="",$T$20=""),0,IF(AND(ISNUMBER(CHOOSE($T$20+1,historico_VU!$C78,historico_VU!$D78,historico_VU!$E78,historico_VU!$F78,historico_VU!$G78)),ISNUMBER(CHOOSE($T$20+1,posicao_contratual!$G78,posicao_contratual!$K78,posicao_contratual!$O78,posicao_contratual!$S78,posicao_contratual!$W78))),ROUND(ROUND(CHOOSE($T$20+1,historico_VU!$C78,historico_VU!$D78,historico_VU!$E78,historico_VU!$F78,historico_VU!$G78),2)*CHOOSE($T$20+1,posicao_contratual!$G78,posicao_contratual!$K78,posicao_contratual!$O78,posicao_contratual!$S78,posicao_contratual!$W78),2),""))</f>
        <v>0</v>
      </c>
      <c r="AB78">
        <f>IF(OR(posicao_contratual!$A78="",$W$46=""),0,IF(AND(ISNUMBER(CHOOSE($W$46+1,historico_VU!$C78,historico_VU!$D78,historico_VU!$E78,historico_VU!$F78,historico_VU!$G78)),ISNUMBER(CHOOSE($W$46+1,posicao_contratual!$G78,posicao_contratual!$K78,posicao_contratual!$O78,posicao_contratual!$S78,posicao_contratual!$W78))),ROUND(ROUND(CHOOSE($W$46+1,historico_VU!$C78,historico_VU!$D78,historico_VU!$E78,historico_VU!$F78,historico_VU!$G78),2)*CHOOSE($W$46+1,posicao_contratual!$G78,posicao_contratual!$K78,posicao_contratual!$O78,posicao_contratual!$S78,posicao_contratual!$W78),2),""))</f>
        <v>0</v>
      </c>
      <c r="AC78">
        <f>IF(OR(posicao_contratual!$A78="",$W$46=""),0,IF(OR($AB78="",$AD78=""),"",ROUND($AB78-$AD78,2)))</f>
        <v>0</v>
      </c>
      <c r="AD78">
        <f>IF(OR(posicao_contratual!$A78="",$W$46=""),0,IF($AB78="","",IF(NOT(ISNUMBER(CHOOSE($W$46+1,posicao_contratual!$AB78,posicao_contratual!$AC78,posicao_contratual!$AD78,posicao_contratual!$AE78,posicao_contratual!$AF78))),0,ROUND(ROUND(CHOOSE($W$46+1,historico_VU!$C78,historico_VU!$D78,historico_VU!$E78,historico_VU!$F78,historico_VU!$G78),2)*CHOOSE($W$46+1,posicao_contratual!$AB78,posicao_contratual!$AC78,posicao_contratual!$AD78,posicao_contratual!$AE78,posicao_contratual!$AF78),2))))</f>
        <v>0</v>
      </c>
    </row>
    <row r="79" spans="1:30" hidden="1" outlineLevel="1" x14ac:dyDescent="0.35">
      <c r="A79" s="137" t="str">
        <f>IF(historico_VU!A27="","",historico_VU!A27)</f>
        <v/>
      </c>
      <c r="B79" s="138" t="str">
        <f>IF(A79="","",historico_VU!B27)</f>
        <v/>
      </c>
      <c r="C79" s="139" t="str">
        <f>IF(A79="","",historico_VU!C27)</f>
        <v/>
      </c>
      <c r="D79" s="139" t="str">
        <f>IF(A79="","",historico_VU!D27)</f>
        <v/>
      </c>
      <c r="E79" s="139" t="str">
        <f>IF(A79="","",historico_VU!E27)</f>
        <v/>
      </c>
      <c r="F79" s="139" t="str">
        <f>IF(A79="","",historico_VU!F27)</f>
        <v/>
      </c>
      <c r="G79" s="139" t="str">
        <f>IF(A79="","",historico_VU!G27)</f>
        <v/>
      </c>
      <c r="H79" s="140" t="str">
        <f>IF(A79="","",historico_VU!H27)</f>
        <v/>
      </c>
      <c r="I79" s="57"/>
      <c r="J79" s="137" t="str">
        <f>IF(itens_Remanesc!A27="","",itens_Remanesc!A27)</f>
        <v/>
      </c>
      <c r="K79" s="138" t="str">
        <f>IF(J79="","",IF($F$4="C0",itens_Remanesc!B27,IF($F$4="C1",itens_Remanesc!E27,IF($F$4="C2",itens_Remanesc!G27,IF($F$4="C3",itens_Remanesc!I27,itens_Remanesc!K27)))))</f>
        <v/>
      </c>
      <c r="L79" s="138" t="str">
        <f>IF(J79="","",IF(SUMIF(itens_Consumidos!$A$2:$A$200,J79,itens_Consumidos!$B$2:$B$200)-SUMIF(itens_Consumidos!$A$2:$A$200,J79,itens_Consumidos!$O$2:$O$200)&lt;0,0,SUMIF(itens_Consumidos!$A$2:$A$200,J79,itens_Consumidos!$B$2:$B$200)-SUMIF(itens_Consumidos!$A$2:$A$200,J79,itens_Consumidos!$O$2:$O$200)))</f>
        <v/>
      </c>
      <c r="M79" s="141" t="str">
        <f>IF(J79="","",itens_Remanesc!C27)</f>
        <v/>
      </c>
      <c r="N79" s="141" t="str">
        <f>IF(J79="","",IF($F$4="C0",historico_VU!C27,IF($F$4="C1",historico_VU!D27,IF($F$4="C2",historico_VU!E27,IF($F$4="C3",historico_VU!F27,historico_VU!G27)))))</f>
        <v/>
      </c>
      <c r="O79" s="141" t="str">
        <f t="shared" si="1"/>
        <v/>
      </c>
      <c r="P79" s="141" t="str">
        <f t="shared" si="2"/>
        <v/>
      </c>
      <c r="Q79" s="142" t="str">
        <f t="shared" si="3"/>
        <v/>
      </c>
      <c r="X79">
        <f>IF(posicao_contratual!$A79="",0,IF(AND(ISNUMBER(posicao_contratual!$Y79),posicao_contratual!$Y79&gt;0),0,IF(AND(ISNUMBER(posicao_contratual!$G79),ISNUMBER(posicao_contratual!$K79),ISNUMBER(historico_VU!$C79)),((posicao_contratual!$G79-N(posicao_contratual!$AB79))-(posicao_contratual!$K79-N(posicao_contratual!$AC79)))*historico_VU!$C79,"")))</f>
        <v>0</v>
      </c>
      <c r="Y79">
        <f>IF(OR(posicao_contratual!$A79="",$T$20=""),0,IF(AND(ISNUMBER(CHOOSE($T$20+1,historico_VU!$C79,historico_VU!$D79,historico_VU!$E79,historico_VU!$F79,historico_VU!$G79)),ISNUMBER(CHOOSE($T$20+1,posicao_contratual!$G79,posicao_contratual!$K79,posicao_contratual!$O79,posicao_contratual!$S79,posicao_contratual!$W79))),ROUND(ROUND(CHOOSE($T$20+1,historico_VU!$C79,historico_VU!$D79,historico_VU!$E79,historico_VU!$F79,historico_VU!$G79),2)*CHOOSE($T$20+1,posicao_contratual!$G79,posicao_contratual!$K79,posicao_contratual!$O79,posicao_contratual!$S79,posicao_contratual!$W79),2),""))</f>
        <v>0</v>
      </c>
      <c r="AB79">
        <f>IF(OR(posicao_contratual!$A79="",$W$46=""),0,IF(AND(ISNUMBER(CHOOSE($W$46+1,historico_VU!$C79,historico_VU!$D79,historico_VU!$E79,historico_VU!$F79,historico_VU!$G79)),ISNUMBER(CHOOSE($W$46+1,posicao_contratual!$G79,posicao_contratual!$K79,posicao_contratual!$O79,posicao_contratual!$S79,posicao_contratual!$W79))),ROUND(ROUND(CHOOSE($W$46+1,historico_VU!$C79,historico_VU!$D79,historico_VU!$E79,historico_VU!$F79,historico_VU!$G79),2)*CHOOSE($W$46+1,posicao_contratual!$G79,posicao_contratual!$K79,posicao_contratual!$O79,posicao_contratual!$S79,posicao_contratual!$W79),2),""))</f>
        <v>0</v>
      </c>
      <c r="AC79">
        <f>IF(OR(posicao_contratual!$A79="",$W$46=""),0,IF(OR($AB79="",$AD79=""),"",ROUND($AB79-$AD79,2)))</f>
        <v>0</v>
      </c>
      <c r="AD79">
        <f>IF(OR(posicao_contratual!$A79="",$W$46=""),0,IF($AB79="","",IF(NOT(ISNUMBER(CHOOSE($W$46+1,posicao_contratual!$AB79,posicao_contratual!$AC79,posicao_contratual!$AD79,posicao_contratual!$AE79,posicao_contratual!$AF79))),0,ROUND(ROUND(CHOOSE($W$46+1,historico_VU!$C79,historico_VU!$D79,historico_VU!$E79,historico_VU!$F79,historico_VU!$G79),2)*CHOOSE($W$46+1,posicao_contratual!$AB79,posicao_contratual!$AC79,posicao_contratual!$AD79,posicao_contratual!$AE79,posicao_contratual!$AF79),2))))</f>
        <v>0</v>
      </c>
    </row>
    <row r="80" spans="1:30" hidden="1" outlineLevel="1" x14ac:dyDescent="0.35">
      <c r="A80" s="137" t="str">
        <f>IF(historico_VU!A28="","",historico_VU!A28)</f>
        <v/>
      </c>
      <c r="B80" s="138" t="str">
        <f>IF(A80="","",historico_VU!B28)</f>
        <v/>
      </c>
      <c r="C80" s="139" t="str">
        <f>IF(A80="","",historico_VU!C28)</f>
        <v/>
      </c>
      <c r="D80" s="139" t="str">
        <f>IF(A80="","",historico_VU!D28)</f>
        <v/>
      </c>
      <c r="E80" s="139" t="str">
        <f>IF(A80="","",historico_VU!E28)</f>
        <v/>
      </c>
      <c r="F80" s="139" t="str">
        <f>IF(A80="","",historico_VU!F28)</f>
        <v/>
      </c>
      <c r="G80" s="139" t="str">
        <f>IF(A80="","",historico_VU!G28)</f>
        <v/>
      </c>
      <c r="H80" s="140" t="str">
        <f>IF(A80="","",historico_VU!H28)</f>
        <v/>
      </c>
      <c r="I80" s="57"/>
      <c r="J80" s="137" t="str">
        <f>IF(itens_Remanesc!A28="","",itens_Remanesc!A28)</f>
        <v/>
      </c>
      <c r="K80" s="138" t="str">
        <f>IF(J80="","",IF($F$4="C0",itens_Remanesc!B28,IF($F$4="C1",itens_Remanesc!E28,IF($F$4="C2",itens_Remanesc!G28,IF($F$4="C3",itens_Remanesc!I28,itens_Remanesc!K28)))))</f>
        <v/>
      </c>
      <c r="L80" s="138" t="str">
        <f>IF(J80="","",IF(SUMIF(itens_Consumidos!$A$2:$A$200,J80,itens_Consumidos!$B$2:$B$200)-SUMIF(itens_Consumidos!$A$2:$A$200,J80,itens_Consumidos!$O$2:$O$200)&lt;0,0,SUMIF(itens_Consumidos!$A$2:$A$200,J80,itens_Consumidos!$B$2:$B$200)-SUMIF(itens_Consumidos!$A$2:$A$200,J80,itens_Consumidos!$O$2:$O$200)))</f>
        <v/>
      </c>
      <c r="M80" s="141" t="str">
        <f>IF(J80="","",itens_Remanesc!C28)</f>
        <v/>
      </c>
      <c r="N80" s="141" t="str">
        <f>IF(J80="","",IF($F$4="C0",historico_VU!C28,IF($F$4="C1",historico_VU!D28,IF($F$4="C2",historico_VU!E28,IF($F$4="C3",historico_VU!F28,historico_VU!G28)))))</f>
        <v/>
      </c>
      <c r="O80" s="141" t="str">
        <f t="shared" si="1"/>
        <v/>
      </c>
      <c r="P80" s="141" t="str">
        <f t="shared" si="2"/>
        <v/>
      </c>
      <c r="Q80" s="142" t="str">
        <f t="shared" si="3"/>
        <v/>
      </c>
      <c r="X80">
        <f>IF(posicao_contratual!$A80="",0,IF(AND(ISNUMBER(posicao_contratual!$Y80),posicao_contratual!$Y80&gt;0),0,IF(AND(ISNUMBER(posicao_contratual!$G80),ISNUMBER(posicao_contratual!$K80),ISNUMBER(historico_VU!$C80)),((posicao_contratual!$G80-N(posicao_contratual!$AB80))-(posicao_contratual!$K80-N(posicao_contratual!$AC80)))*historico_VU!$C80,"")))</f>
        <v>0</v>
      </c>
      <c r="Y80">
        <f>IF(OR(posicao_contratual!$A80="",$T$20=""),0,IF(AND(ISNUMBER(CHOOSE($T$20+1,historico_VU!$C80,historico_VU!$D80,historico_VU!$E80,historico_VU!$F80,historico_VU!$G80)),ISNUMBER(CHOOSE($T$20+1,posicao_contratual!$G80,posicao_contratual!$K80,posicao_contratual!$O80,posicao_contratual!$S80,posicao_contratual!$W80))),ROUND(ROUND(CHOOSE($T$20+1,historico_VU!$C80,historico_VU!$D80,historico_VU!$E80,historico_VU!$F80,historico_VU!$G80),2)*CHOOSE($T$20+1,posicao_contratual!$G80,posicao_contratual!$K80,posicao_contratual!$O80,posicao_contratual!$S80,posicao_contratual!$W80),2),""))</f>
        <v>0</v>
      </c>
      <c r="AB80">
        <f>IF(OR(posicao_contratual!$A80="",$W$46=""),0,IF(AND(ISNUMBER(CHOOSE($W$46+1,historico_VU!$C80,historico_VU!$D80,historico_VU!$E80,historico_VU!$F80,historico_VU!$G80)),ISNUMBER(CHOOSE($W$46+1,posicao_contratual!$G80,posicao_contratual!$K80,posicao_contratual!$O80,posicao_contratual!$S80,posicao_contratual!$W80))),ROUND(ROUND(CHOOSE($W$46+1,historico_VU!$C80,historico_VU!$D80,historico_VU!$E80,historico_VU!$F80,historico_VU!$G80),2)*CHOOSE($W$46+1,posicao_contratual!$G80,posicao_contratual!$K80,posicao_contratual!$O80,posicao_contratual!$S80,posicao_contratual!$W80),2),""))</f>
        <v>0</v>
      </c>
      <c r="AC80">
        <f>IF(OR(posicao_contratual!$A80="",$W$46=""),0,IF(OR($AB80="",$AD80=""),"",ROUND($AB80-$AD80,2)))</f>
        <v>0</v>
      </c>
      <c r="AD80">
        <f>IF(OR(posicao_contratual!$A80="",$W$46=""),0,IF($AB80="","",IF(NOT(ISNUMBER(CHOOSE($W$46+1,posicao_contratual!$AB80,posicao_contratual!$AC80,posicao_contratual!$AD80,posicao_contratual!$AE80,posicao_contratual!$AF80))),0,ROUND(ROUND(CHOOSE($W$46+1,historico_VU!$C80,historico_VU!$D80,historico_VU!$E80,historico_VU!$F80,historico_VU!$G80),2)*CHOOSE($W$46+1,posicao_contratual!$AB80,posicao_contratual!$AC80,posicao_contratual!$AD80,posicao_contratual!$AE80,posicao_contratual!$AF80),2))))</f>
        <v>0</v>
      </c>
    </row>
    <row r="81" spans="1:30" hidden="1" outlineLevel="1" x14ac:dyDescent="0.35">
      <c r="A81" s="137" t="str">
        <f>IF(historico_VU!A29="","",historico_VU!A29)</f>
        <v/>
      </c>
      <c r="B81" s="138" t="str">
        <f>IF(A81="","",historico_VU!B29)</f>
        <v/>
      </c>
      <c r="C81" s="139" t="str">
        <f>IF(A81="","",historico_VU!C29)</f>
        <v/>
      </c>
      <c r="D81" s="139" t="str">
        <f>IF(A81="","",historico_VU!D29)</f>
        <v/>
      </c>
      <c r="E81" s="139" t="str">
        <f>IF(A81="","",historico_VU!E29)</f>
        <v/>
      </c>
      <c r="F81" s="139" t="str">
        <f>IF(A81="","",historico_VU!F29)</f>
        <v/>
      </c>
      <c r="G81" s="139" t="str">
        <f>IF(A81="","",historico_VU!G29)</f>
        <v/>
      </c>
      <c r="H81" s="140" t="str">
        <f>IF(A81="","",historico_VU!H29)</f>
        <v/>
      </c>
      <c r="I81" s="57"/>
      <c r="J81" s="137" t="str">
        <f>IF(itens_Remanesc!A29="","",itens_Remanesc!A29)</f>
        <v/>
      </c>
      <c r="K81" s="138" t="str">
        <f>IF(J81="","",IF($F$4="C0",itens_Remanesc!B29,IF($F$4="C1",itens_Remanesc!E29,IF($F$4="C2",itens_Remanesc!G29,IF($F$4="C3",itens_Remanesc!I29,itens_Remanesc!K29)))))</f>
        <v/>
      </c>
      <c r="L81" s="138" t="str">
        <f>IF(J81="","",IF(SUMIF(itens_Consumidos!$A$2:$A$200,J81,itens_Consumidos!$B$2:$B$200)-SUMIF(itens_Consumidos!$A$2:$A$200,J81,itens_Consumidos!$O$2:$O$200)&lt;0,0,SUMIF(itens_Consumidos!$A$2:$A$200,J81,itens_Consumidos!$B$2:$B$200)-SUMIF(itens_Consumidos!$A$2:$A$200,J81,itens_Consumidos!$O$2:$O$200)))</f>
        <v/>
      </c>
      <c r="M81" s="141" t="str">
        <f>IF(J81="","",itens_Remanesc!C29)</f>
        <v/>
      </c>
      <c r="N81" s="141" t="str">
        <f>IF(J81="","",IF($F$4="C0",historico_VU!C29,IF($F$4="C1",historico_VU!D29,IF($F$4="C2",historico_VU!E29,IF($F$4="C3",historico_VU!F29,historico_VU!G29)))))</f>
        <v/>
      </c>
      <c r="O81" s="141" t="str">
        <f t="shared" si="1"/>
        <v/>
      </c>
      <c r="P81" s="141" t="str">
        <f t="shared" si="2"/>
        <v/>
      </c>
      <c r="Q81" s="142" t="str">
        <f t="shared" si="3"/>
        <v/>
      </c>
      <c r="X81">
        <f>IF(posicao_contratual!$A81="",0,IF(AND(ISNUMBER(posicao_contratual!$Y81),posicao_contratual!$Y81&gt;0),0,IF(AND(ISNUMBER(posicao_contratual!$G81),ISNUMBER(posicao_contratual!$K81),ISNUMBER(historico_VU!$C81)),((posicao_contratual!$G81-N(posicao_contratual!$AB81))-(posicao_contratual!$K81-N(posicao_contratual!$AC81)))*historico_VU!$C81,"")))</f>
        <v>0</v>
      </c>
      <c r="Y81">
        <f>IF(OR(posicao_contratual!$A81="",$T$20=""),0,IF(AND(ISNUMBER(CHOOSE($T$20+1,historico_VU!$C81,historico_VU!$D81,historico_VU!$E81,historico_VU!$F81,historico_VU!$G81)),ISNUMBER(CHOOSE($T$20+1,posicao_contratual!$G81,posicao_contratual!$K81,posicao_contratual!$O81,posicao_contratual!$S81,posicao_contratual!$W81))),ROUND(ROUND(CHOOSE($T$20+1,historico_VU!$C81,historico_VU!$D81,historico_VU!$E81,historico_VU!$F81,historico_VU!$G81),2)*CHOOSE($T$20+1,posicao_contratual!$G81,posicao_contratual!$K81,posicao_contratual!$O81,posicao_contratual!$S81,posicao_contratual!$W81),2),""))</f>
        <v>0</v>
      </c>
      <c r="AB81">
        <f>IF(OR(posicao_contratual!$A81="",$W$46=""),0,IF(AND(ISNUMBER(CHOOSE($W$46+1,historico_VU!$C81,historico_VU!$D81,historico_VU!$E81,historico_VU!$F81,historico_VU!$G81)),ISNUMBER(CHOOSE($W$46+1,posicao_contratual!$G81,posicao_contratual!$K81,posicao_contratual!$O81,posicao_contratual!$S81,posicao_contratual!$W81))),ROUND(ROUND(CHOOSE($W$46+1,historico_VU!$C81,historico_VU!$D81,historico_VU!$E81,historico_VU!$F81,historico_VU!$G81),2)*CHOOSE($W$46+1,posicao_contratual!$G81,posicao_contratual!$K81,posicao_contratual!$O81,posicao_contratual!$S81,posicao_contratual!$W81),2),""))</f>
        <v>0</v>
      </c>
      <c r="AC81">
        <f>IF(OR(posicao_contratual!$A81="",$W$46=""),0,IF(OR($AB81="",$AD81=""),"",ROUND($AB81-$AD81,2)))</f>
        <v>0</v>
      </c>
      <c r="AD81">
        <f>IF(OR(posicao_contratual!$A81="",$W$46=""),0,IF($AB81="","",IF(NOT(ISNUMBER(CHOOSE($W$46+1,posicao_contratual!$AB81,posicao_contratual!$AC81,posicao_contratual!$AD81,posicao_contratual!$AE81,posicao_contratual!$AF81))),0,ROUND(ROUND(CHOOSE($W$46+1,historico_VU!$C81,historico_VU!$D81,historico_VU!$E81,historico_VU!$F81,historico_VU!$G81),2)*CHOOSE($W$46+1,posicao_contratual!$AB81,posicao_contratual!$AC81,posicao_contratual!$AD81,posicao_contratual!$AE81,posicao_contratual!$AF81),2))))</f>
        <v>0</v>
      </c>
    </row>
    <row r="82" spans="1:30" hidden="1" outlineLevel="1" x14ac:dyDescent="0.35">
      <c r="A82" s="137" t="str">
        <f>IF(historico_VU!A30="","",historico_VU!A30)</f>
        <v/>
      </c>
      <c r="B82" s="138" t="str">
        <f>IF(A82="","",historico_VU!B30)</f>
        <v/>
      </c>
      <c r="C82" s="139" t="str">
        <f>IF(A82="","",historico_VU!C30)</f>
        <v/>
      </c>
      <c r="D82" s="139" t="str">
        <f>IF(A82="","",historico_VU!D30)</f>
        <v/>
      </c>
      <c r="E82" s="139" t="str">
        <f>IF(A82="","",historico_VU!E30)</f>
        <v/>
      </c>
      <c r="F82" s="139" t="str">
        <f>IF(A82="","",historico_VU!F30)</f>
        <v/>
      </c>
      <c r="G82" s="139" t="str">
        <f>IF(A82="","",historico_VU!G30)</f>
        <v/>
      </c>
      <c r="H82" s="140" t="str">
        <f>IF(A82="","",historico_VU!H30)</f>
        <v/>
      </c>
      <c r="I82" s="57"/>
      <c r="J82" s="137" t="str">
        <f>IF(itens_Remanesc!A30="","",itens_Remanesc!A30)</f>
        <v/>
      </c>
      <c r="K82" s="138" t="str">
        <f>IF(J82="","",IF($F$4="C0",itens_Remanesc!B30,IF($F$4="C1",itens_Remanesc!E30,IF($F$4="C2",itens_Remanesc!G30,IF($F$4="C3",itens_Remanesc!I30,itens_Remanesc!K30)))))</f>
        <v/>
      </c>
      <c r="L82" s="138" t="str">
        <f>IF(J82="","",IF(SUMIF(itens_Consumidos!$A$2:$A$200,J82,itens_Consumidos!$B$2:$B$200)-SUMIF(itens_Consumidos!$A$2:$A$200,J82,itens_Consumidos!$O$2:$O$200)&lt;0,0,SUMIF(itens_Consumidos!$A$2:$A$200,J82,itens_Consumidos!$B$2:$B$200)-SUMIF(itens_Consumidos!$A$2:$A$200,J82,itens_Consumidos!$O$2:$O$200)))</f>
        <v/>
      </c>
      <c r="M82" s="141" t="str">
        <f>IF(J82="","",itens_Remanesc!C30)</f>
        <v/>
      </c>
      <c r="N82" s="141" t="str">
        <f>IF(J82="","",IF($F$4="C0",historico_VU!C30,IF($F$4="C1",historico_VU!D30,IF($F$4="C2",historico_VU!E30,IF($F$4="C3",historico_VU!F30,historico_VU!G30)))))</f>
        <v/>
      </c>
      <c r="O82" s="141" t="str">
        <f t="shared" si="1"/>
        <v/>
      </c>
      <c r="P82" s="141" t="str">
        <f t="shared" si="2"/>
        <v/>
      </c>
      <c r="Q82" s="142" t="str">
        <f t="shared" si="3"/>
        <v/>
      </c>
      <c r="X82">
        <f>IF(posicao_contratual!$A82="",0,IF(AND(ISNUMBER(posicao_contratual!$Y82),posicao_contratual!$Y82&gt;0),0,IF(AND(ISNUMBER(posicao_contratual!$G82),ISNUMBER(posicao_contratual!$K82),ISNUMBER(historico_VU!$C82)),((posicao_contratual!$G82-N(posicao_contratual!$AB82))-(posicao_contratual!$K82-N(posicao_contratual!$AC82)))*historico_VU!$C82,"")))</f>
        <v>0</v>
      </c>
      <c r="Y82">
        <f>IF(OR(posicao_contratual!$A82="",$T$20=""),0,IF(AND(ISNUMBER(CHOOSE($T$20+1,historico_VU!$C82,historico_VU!$D82,historico_VU!$E82,historico_VU!$F82,historico_VU!$G82)),ISNUMBER(CHOOSE($T$20+1,posicao_contratual!$G82,posicao_contratual!$K82,posicao_contratual!$O82,posicao_contratual!$S82,posicao_contratual!$W82))),ROUND(ROUND(CHOOSE($T$20+1,historico_VU!$C82,historico_VU!$D82,historico_VU!$E82,historico_VU!$F82,historico_VU!$G82),2)*CHOOSE($T$20+1,posicao_contratual!$G82,posicao_contratual!$K82,posicao_contratual!$O82,posicao_contratual!$S82,posicao_contratual!$W82),2),""))</f>
        <v>0</v>
      </c>
      <c r="AB82">
        <f>IF(OR(posicao_contratual!$A82="",$W$46=""),0,IF(AND(ISNUMBER(CHOOSE($W$46+1,historico_VU!$C82,historico_VU!$D82,historico_VU!$E82,historico_VU!$F82,historico_VU!$G82)),ISNUMBER(CHOOSE($W$46+1,posicao_contratual!$G82,posicao_contratual!$K82,posicao_contratual!$O82,posicao_contratual!$S82,posicao_contratual!$W82))),ROUND(ROUND(CHOOSE($W$46+1,historico_VU!$C82,historico_VU!$D82,historico_VU!$E82,historico_VU!$F82,historico_VU!$G82),2)*CHOOSE($W$46+1,posicao_contratual!$G82,posicao_contratual!$K82,posicao_contratual!$O82,posicao_contratual!$S82,posicao_contratual!$W82),2),""))</f>
        <v>0</v>
      </c>
      <c r="AC82">
        <f>IF(OR(posicao_contratual!$A82="",$W$46=""),0,IF(OR($AB82="",$AD82=""),"",ROUND($AB82-$AD82,2)))</f>
        <v>0</v>
      </c>
      <c r="AD82">
        <f>IF(OR(posicao_contratual!$A82="",$W$46=""),0,IF($AB82="","",IF(NOT(ISNUMBER(CHOOSE($W$46+1,posicao_contratual!$AB82,posicao_contratual!$AC82,posicao_contratual!$AD82,posicao_contratual!$AE82,posicao_contratual!$AF82))),0,ROUND(ROUND(CHOOSE($W$46+1,historico_VU!$C82,historico_VU!$D82,historico_VU!$E82,historico_VU!$F82,historico_VU!$G82),2)*CHOOSE($W$46+1,posicao_contratual!$AB82,posicao_contratual!$AC82,posicao_contratual!$AD82,posicao_contratual!$AE82,posicao_contratual!$AF82),2))))</f>
        <v>0</v>
      </c>
    </row>
    <row r="83" spans="1:30" hidden="1" outlineLevel="1" x14ac:dyDescent="0.35">
      <c r="A83" s="137" t="str">
        <f>IF(historico_VU!A31="","",historico_VU!A31)</f>
        <v/>
      </c>
      <c r="B83" s="138" t="str">
        <f>IF(A83="","",historico_VU!B31)</f>
        <v/>
      </c>
      <c r="C83" s="139" t="str">
        <f>IF(A83="","",historico_VU!C31)</f>
        <v/>
      </c>
      <c r="D83" s="139" t="str">
        <f>IF(A83="","",historico_VU!D31)</f>
        <v/>
      </c>
      <c r="E83" s="139" t="str">
        <f>IF(A83="","",historico_VU!E31)</f>
        <v/>
      </c>
      <c r="F83" s="139" t="str">
        <f>IF(A83="","",historico_VU!F31)</f>
        <v/>
      </c>
      <c r="G83" s="139" t="str">
        <f>IF(A83="","",historico_VU!G31)</f>
        <v/>
      </c>
      <c r="H83" s="140" t="str">
        <f>IF(A83="","",historico_VU!H31)</f>
        <v/>
      </c>
      <c r="I83" s="57"/>
      <c r="J83" s="137" t="str">
        <f>IF(itens_Remanesc!A31="","",itens_Remanesc!A31)</f>
        <v/>
      </c>
      <c r="K83" s="138" t="str">
        <f>IF(J83="","",IF($F$4="C0",itens_Remanesc!B31,IF($F$4="C1",itens_Remanesc!E31,IF($F$4="C2",itens_Remanesc!G31,IF($F$4="C3",itens_Remanesc!I31,itens_Remanesc!K31)))))</f>
        <v/>
      </c>
      <c r="L83" s="138" t="str">
        <f>IF(J83="","",IF(SUMIF(itens_Consumidos!$A$2:$A$200,J83,itens_Consumidos!$B$2:$B$200)-SUMIF(itens_Consumidos!$A$2:$A$200,J83,itens_Consumidos!$O$2:$O$200)&lt;0,0,SUMIF(itens_Consumidos!$A$2:$A$200,J83,itens_Consumidos!$B$2:$B$200)-SUMIF(itens_Consumidos!$A$2:$A$200,J83,itens_Consumidos!$O$2:$O$200)))</f>
        <v/>
      </c>
      <c r="M83" s="141" t="str">
        <f>IF(J83="","",itens_Remanesc!C31)</f>
        <v/>
      </c>
      <c r="N83" s="141" t="str">
        <f>IF(J83="","",IF($F$4="C0",historico_VU!C31,IF($F$4="C1",historico_VU!D31,IF($F$4="C2",historico_VU!E31,IF($F$4="C3",historico_VU!F31,historico_VU!G31)))))</f>
        <v/>
      </c>
      <c r="O83" s="141" t="str">
        <f t="shared" si="1"/>
        <v/>
      </c>
      <c r="P83" s="141" t="str">
        <f t="shared" si="2"/>
        <v/>
      </c>
      <c r="Q83" s="142" t="str">
        <f t="shared" si="3"/>
        <v/>
      </c>
      <c r="X83">
        <f>IF(posicao_contratual!$A83="",0,IF(AND(ISNUMBER(posicao_contratual!$Y83),posicao_contratual!$Y83&gt;0),0,IF(AND(ISNUMBER(posicao_contratual!$G83),ISNUMBER(posicao_contratual!$K83),ISNUMBER(historico_VU!$C83)),((posicao_contratual!$G83-N(posicao_contratual!$AB83))-(posicao_contratual!$K83-N(posicao_contratual!$AC83)))*historico_VU!$C83,"")))</f>
        <v>0</v>
      </c>
      <c r="Y83">
        <f>IF(OR(posicao_contratual!$A83="",$T$20=""),0,IF(AND(ISNUMBER(CHOOSE($T$20+1,historico_VU!$C83,historico_VU!$D83,historico_VU!$E83,historico_VU!$F83,historico_VU!$G83)),ISNUMBER(CHOOSE($T$20+1,posicao_contratual!$G83,posicao_contratual!$K83,posicao_contratual!$O83,posicao_contratual!$S83,posicao_contratual!$W83))),ROUND(ROUND(CHOOSE($T$20+1,historico_VU!$C83,historico_VU!$D83,historico_VU!$E83,historico_VU!$F83,historico_VU!$G83),2)*CHOOSE($T$20+1,posicao_contratual!$G83,posicao_contratual!$K83,posicao_contratual!$O83,posicao_contratual!$S83,posicao_contratual!$W83),2),""))</f>
        <v>0</v>
      </c>
      <c r="AB83">
        <f>IF(OR(posicao_contratual!$A83="",$W$46=""),0,IF(AND(ISNUMBER(CHOOSE($W$46+1,historico_VU!$C83,historico_VU!$D83,historico_VU!$E83,historico_VU!$F83,historico_VU!$G83)),ISNUMBER(CHOOSE($W$46+1,posicao_contratual!$G83,posicao_contratual!$K83,posicao_contratual!$O83,posicao_contratual!$S83,posicao_contratual!$W83))),ROUND(ROUND(CHOOSE($W$46+1,historico_VU!$C83,historico_VU!$D83,historico_VU!$E83,historico_VU!$F83,historico_VU!$G83),2)*CHOOSE($W$46+1,posicao_contratual!$G83,posicao_contratual!$K83,posicao_contratual!$O83,posicao_contratual!$S83,posicao_contratual!$W83),2),""))</f>
        <v>0</v>
      </c>
      <c r="AC83">
        <f>IF(OR(posicao_contratual!$A83="",$W$46=""),0,IF(OR($AB83="",$AD83=""),"",ROUND($AB83-$AD83,2)))</f>
        <v>0</v>
      </c>
      <c r="AD83">
        <f>IF(OR(posicao_contratual!$A83="",$W$46=""),0,IF($AB83="","",IF(NOT(ISNUMBER(CHOOSE($W$46+1,posicao_contratual!$AB83,posicao_contratual!$AC83,posicao_contratual!$AD83,posicao_contratual!$AE83,posicao_contratual!$AF83))),0,ROUND(ROUND(CHOOSE($W$46+1,historico_VU!$C83,historico_VU!$D83,historico_VU!$E83,historico_VU!$F83,historico_VU!$G83),2)*CHOOSE($W$46+1,posicao_contratual!$AB83,posicao_contratual!$AC83,posicao_contratual!$AD83,posicao_contratual!$AE83,posicao_contratual!$AF83),2))))</f>
        <v>0</v>
      </c>
    </row>
    <row r="84" spans="1:30" hidden="1" outlineLevel="1" x14ac:dyDescent="0.35">
      <c r="A84" s="137" t="str">
        <f>IF(historico_VU!A32="","",historico_VU!A32)</f>
        <v/>
      </c>
      <c r="B84" s="138" t="str">
        <f>IF(A84="","",historico_VU!B32)</f>
        <v/>
      </c>
      <c r="C84" s="139" t="str">
        <f>IF(A84="","",historico_VU!C32)</f>
        <v/>
      </c>
      <c r="D84" s="139" t="str">
        <f>IF(A84="","",historico_VU!D32)</f>
        <v/>
      </c>
      <c r="E84" s="139" t="str">
        <f>IF(A84="","",historico_VU!E32)</f>
        <v/>
      </c>
      <c r="F84" s="139" t="str">
        <f>IF(A84="","",historico_VU!F32)</f>
        <v/>
      </c>
      <c r="G84" s="139" t="str">
        <f>IF(A84="","",historico_VU!G32)</f>
        <v/>
      </c>
      <c r="H84" s="140" t="str">
        <f>IF(A84="","",historico_VU!H32)</f>
        <v/>
      </c>
      <c r="I84" s="57"/>
      <c r="J84" s="137" t="str">
        <f>IF(itens_Remanesc!A32="","",itens_Remanesc!A32)</f>
        <v/>
      </c>
      <c r="K84" s="138" t="str">
        <f>IF(J84="","",IF($F$4="C0",itens_Remanesc!B32,IF($F$4="C1",itens_Remanesc!E32,IF($F$4="C2",itens_Remanesc!G32,IF($F$4="C3",itens_Remanesc!I32,itens_Remanesc!K32)))))</f>
        <v/>
      </c>
      <c r="L84" s="138" t="str">
        <f>IF(J84="","",IF(SUMIF(itens_Consumidos!$A$2:$A$200,J84,itens_Consumidos!$B$2:$B$200)-SUMIF(itens_Consumidos!$A$2:$A$200,J84,itens_Consumidos!$O$2:$O$200)&lt;0,0,SUMIF(itens_Consumidos!$A$2:$A$200,J84,itens_Consumidos!$B$2:$B$200)-SUMIF(itens_Consumidos!$A$2:$A$200,J84,itens_Consumidos!$O$2:$O$200)))</f>
        <v/>
      </c>
      <c r="M84" s="141" t="str">
        <f>IF(J84="","",itens_Remanesc!C32)</f>
        <v/>
      </c>
      <c r="N84" s="141" t="str">
        <f>IF(J84="","",IF($F$4="C0",historico_VU!C32,IF($F$4="C1",historico_VU!D32,IF($F$4="C2",historico_VU!E32,IF($F$4="C3",historico_VU!F32,historico_VU!G32)))))</f>
        <v/>
      </c>
      <c r="O84" s="141" t="str">
        <f t="shared" si="1"/>
        <v/>
      </c>
      <c r="P84" s="141" t="str">
        <f t="shared" si="2"/>
        <v/>
      </c>
      <c r="Q84" s="142" t="str">
        <f t="shared" si="3"/>
        <v/>
      </c>
      <c r="X84">
        <f>IF(posicao_contratual!$A84="",0,IF(AND(ISNUMBER(posicao_contratual!$Y84),posicao_contratual!$Y84&gt;0),0,IF(AND(ISNUMBER(posicao_contratual!$G84),ISNUMBER(posicao_contratual!$K84),ISNUMBER(historico_VU!$C84)),((posicao_contratual!$G84-N(posicao_contratual!$AB84))-(posicao_contratual!$K84-N(posicao_contratual!$AC84)))*historico_VU!$C84,"")))</f>
        <v>0</v>
      </c>
      <c r="Y84">
        <f>IF(OR(posicao_contratual!$A84="",$T$20=""),0,IF(AND(ISNUMBER(CHOOSE($T$20+1,historico_VU!$C84,historico_VU!$D84,historico_VU!$E84,historico_VU!$F84,historico_VU!$G84)),ISNUMBER(CHOOSE($T$20+1,posicao_contratual!$G84,posicao_contratual!$K84,posicao_contratual!$O84,posicao_contratual!$S84,posicao_contratual!$W84))),ROUND(ROUND(CHOOSE($T$20+1,historico_VU!$C84,historico_VU!$D84,historico_VU!$E84,historico_VU!$F84,historico_VU!$G84),2)*CHOOSE($T$20+1,posicao_contratual!$G84,posicao_contratual!$K84,posicao_contratual!$O84,posicao_contratual!$S84,posicao_contratual!$W84),2),""))</f>
        <v>0</v>
      </c>
      <c r="AB84">
        <f>IF(OR(posicao_contratual!$A84="",$W$46=""),0,IF(AND(ISNUMBER(CHOOSE($W$46+1,historico_VU!$C84,historico_VU!$D84,historico_VU!$E84,historico_VU!$F84,historico_VU!$G84)),ISNUMBER(CHOOSE($W$46+1,posicao_contratual!$G84,posicao_contratual!$K84,posicao_contratual!$O84,posicao_contratual!$S84,posicao_contratual!$W84))),ROUND(ROUND(CHOOSE($W$46+1,historico_VU!$C84,historico_VU!$D84,historico_VU!$E84,historico_VU!$F84,historico_VU!$G84),2)*CHOOSE($W$46+1,posicao_contratual!$G84,posicao_contratual!$K84,posicao_contratual!$O84,posicao_contratual!$S84,posicao_contratual!$W84),2),""))</f>
        <v>0</v>
      </c>
      <c r="AC84">
        <f>IF(OR(posicao_contratual!$A84="",$W$46=""),0,IF(OR($AB84="",$AD84=""),"",ROUND($AB84-$AD84,2)))</f>
        <v>0</v>
      </c>
      <c r="AD84">
        <f>IF(OR(posicao_contratual!$A84="",$W$46=""),0,IF($AB84="","",IF(NOT(ISNUMBER(CHOOSE($W$46+1,posicao_contratual!$AB84,posicao_contratual!$AC84,posicao_contratual!$AD84,posicao_contratual!$AE84,posicao_contratual!$AF84))),0,ROUND(ROUND(CHOOSE($W$46+1,historico_VU!$C84,historico_VU!$D84,historico_VU!$E84,historico_VU!$F84,historico_VU!$G84),2)*CHOOSE($W$46+1,posicao_contratual!$AB84,posicao_contratual!$AC84,posicao_contratual!$AD84,posicao_contratual!$AE84,posicao_contratual!$AF84),2))))</f>
        <v>0</v>
      </c>
    </row>
    <row r="85" spans="1:30" hidden="1" outlineLevel="1" x14ac:dyDescent="0.35">
      <c r="A85" s="137" t="str">
        <f>IF(historico_VU!A33="","",historico_VU!A33)</f>
        <v/>
      </c>
      <c r="B85" s="138" t="str">
        <f>IF(A85="","",historico_VU!B33)</f>
        <v/>
      </c>
      <c r="C85" s="139" t="str">
        <f>IF(A85="","",historico_VU!C33)</f>
        <v/>
      </c>
      <c r="D85" s="139" t="str">
        <f>IF(A85="","",historico_VU!D33)</f>
        <v/>
      </c>
      <c r="E85" s="139" t="str">
        <f>IF(A85="","",historico_VU!E33)</f>
        <v/>
      </c>
      <c r="F85" s="139" t="str">
        <f>IF(A85="","",historico_VU!F33)</f>
        <v/>
      </c>
      <c r="G85" s="139" t="str">
        <f>IF(A85="","",historico_VU!G33)</f>
        <v/>
      </c>
      <c r="H85" s="140" t="str">
        <f>IF(A85="","",historico_VU!H33)</f>
        <v/>
      </c>
      <c r="I85" s="57"/>
      <c r="J85" s="137" t="str">
        <f>IF(itens_Remanesc!A33="","",itens_Remanesc!A33)</f>
        <v/>
      </c>
      <c r="K85" s="138" t="str">
        <f>IF(J85="","",IF($F$4="C0",itens_Remanesc!B33,IF($F$4="C1",itens_Remanesc!E33,IF($F$4="C2",itens_Remanesc!G33,IF($F$4="C3",itens_Remanesc!I33,itens_Remanesc!K33)))))</f>
        <v/>
      </c>
      <c r="L85" s="138" t="str">
        <f>IF(J85="","",IF(SUMIF(itens_Consumidos!$A$2:$A$200,J85,itens_Consumidos!$B$2:$B$200)-SUMIF(itens_Consumidos!$A$2:$A$200,J85,itens_Consumidos!$O$2:$O$200)&lt;0,0,SUMIF(itens_Consumidos!$A$2:$A$200,J85,itens_Consumidos!$B$2:$B$200)-SUMIF(itens_Consumidos!$A$2:$A$200,J85,itens_Consumidos!$O$2:$O$200)))</f>
        <v/>
      </c>
      <c r="M85" s="141" t="str">
        <f>IF(J85="","",itens_Remanesc!C33)</f>
        <v/>
      </c>
      <c r="N85" s="141" t="str">
        <f>IF(J85="","",IF($F$4="C0",historico_VU!C33,IF($F$4="C1",historico_VU!D33,IF($F$4="C2",historico_VU!E33,IF($F$4="C3",historico_VU!F33,historico_VU!G33)))))</f>
        <v/>
      </c>
      <c r="O85" s="141" t="str">
        <f t="shared" si="1"/>
        <v/>
      </c>
      <c r="P85" s="141" t="str">
        <f t="shared" si="2"/>
        <v/>
      </c>
      <c r="Q85" s="142" t="str">
        <f t="shared" si="3"/>
        <v/>
      </c>
      <c r="X85">
        <f>IF(posicao_contratual!$A85="",0,IF(AND(ISNUMBER(posicao_contratual!$Y85),posicao_contratual!$Y85&gt;0),0,IF(AND(ISNUMBER(posicao_contratual!$G85),ISNUMBER(posicao_contratual!$K85),ISNUMBER(historico_VU!$C85)),((posicao_contratual!$G85-N(posicao_contratual!$AB85))-(posicao_contratual!$K85-N(posicao_contratual!$AC85)))*historico_VU!$C85,"")))</f>
        <v>0</v>
      </c>
      <c r="Y85">
        <f>IF(OR(posicao_contratual!$A85="",$T$20=""),0,IF(AND(ISNUMBER(CHOOSE($T$20+1,historico_VU!$C85,historico_VU!$D85,historico_VU!$E85,historico_VU!$F85,historico_VU!$G85)),ISNUMBER(CHOOSE($T$20+1,posicao_contratual!$G85,posicao_contratual!$K85,posicao_contratual!$O85,posicao_contratual!$S85,posicao_contratual!$W85))),ROUND(ROUND(CHOOSE($T$20+1,historico_VU!$C85,historico_VU!$D85,historico_VU!$E85,historico_VU!$F85,historico_VU!$G85),2)*CHOOSE($T$20+1,posicao_contratual!$G85,posicao_contratual!$K85,posicao_contratual!$O85,posicao_contratual!$S85,posicao_contratual!$W85),2),""))</f>
        <v>0</v>
      </c>
      <c r="AB85">
        <f>IF(OR(posicao_contratual!$A85="",$W$46=""),0,IF(AND(ISNUMBER(CHOOSE($W$46+1,historico_VU!$C85,historico_VU!$D85,historico_VU!$E85,historico_VU!$F85,historico_VU!$G85)),ISNUMBER(CHOOSE($W$46+1,posicao_contratual!$G85,posicao_contratual!$K85,posicao_contratual!$O85,posicao_contratual!$S85,posicao_contratual!$W85))),ROUND(ROUND(CHOOSE($W$46+1,historico_VU!$C85,historico_VU!$D85,historico_VU!$E85,historico_VU!$F85,historico_VU!$G85),2)*CHOOSE($W$46+1,posicao_contratual!$G85,posicao_contratual!$K85,posicao_contratual!$O85,posicao_contratual!$S85,posicao_contratual!$W85),2),""))</f>
        <v>0</v>
      </c>
      <c r="AC85">
        <f>IF(OR(posicao_contratual!$A85="",$W$46=""),0,IF(OR($AB85="",$AD85=""),"",ROUND($AB85-$AD85,2)))</f>
        <v>0</v>
      </c>
      <c r="AD85">
        <f>IF(OR(posicao_contratual!$A85="",$W$46=""),0,IF($AB85="","",IF(NOT(ISNUMBER(CHOOSE($W$46+1,posicao_contratual!$AB85,posicao_contratual!$AC85,posicao_contratual!$AD85,posicao_contratual!$AE85,posicao_contratual!$AF85))),0,ROUND(ROUND(CHOOSE($W$46+1,historico_VU!$C85,historico_VU!$D85,historico_VU!$E85,historico_VU!$F85,historico_VU!$G85),2)*CHOOSE($W$46+1,posicao_contratual!$AB85,posicao_contratual!$AC85,posicao_contratual!$AD85,posicao_contratual!$AE85,posicao_contratual!$AF85),2))))</f>
        <v>0</v>
      </c>
    </row>
    <row r="86" spans="1:30" hidden="1" outlineLevel="1" x14ac:dyDescent="0.35">
      <c r="A86" s="137" t="str">
        <f>IF(historico_VU!A34="","",historico_VU!A34)</f>
        <v/>
      </c>
      <c r="B86" s="138" t="str">
        <f>IF(A86="","",historico_VU!B34)</f>
        <v/>
      </c>
      <c r="C86" s="139" t="str">
        <f>IF(A86="","",historico_VU!C34)</f>
        <v/>
      </c>
      <c r="D86" s="139" t="str">
        <f>IF(A86="","",historico_VU!D34)</f>
        <v/>
      </c>
      <c r="E86" s="139" t="str">
        <f>IF(A86="","",historico_VU!E34)</f>
        <v/>
      </c>
      <c r="F86" s="139" t="str">
        <f>IF(A86="","",historico_VU!F34)</f>
        <v/>
      </c>
      <c r="G86" s="139" t="str">
        <f>IF(A86="","",historico_VU!G34)</f>
        <v/>
      </c>
      <c r="H86" s="140" t="str">
        <f>IF(A86="","",historico_VU!H34)</f>
        <v/>
      </c>
      <c r="I86" s="57"/>
      <c r="J86" s="137" t="str">
        <f>IF(itens_Remanesc!A34="","",itens_Remanesc!A34)</f>
        <v/>
      </c>
      <c r="K86" s="138" t="str">
        <f>IF(J86="","",IF($F$4="C0",itens_Remanesc!B34,IF($F$4="C1",itens_Remanesc!E34,IF($F$4="C2",itens_Remanesc!G34,IF($F$4="C3",itens_Remanesc!I34,itens_Remanesc!K34)))))</f>
        <v/>
      </c>
      <c r="L86" s="138" t="str">
        <f>IF(J86="","",IF(SUMIF(itens_Consumidos!$A$2:$A$200,J86,itens_Consumidos!$B$2:$B$200)-SUMIF(itens_Consumidos!$A$2:$A$200,J86,itens_Consumidos!$O$2:$O$200)&lt;0,0,SUMIF(itens_Consumidos!$A$2:$A$200,J86,itens_Consumidos!$B$2:$B$200)-SUMIF(itens_Consumidos!$A$2:$A$200,J86,itens_Consumidos!$O$2:$O$200)))</f>
        <v/>
      </c>
      <c r="M86" s="141" t="str">
        <f>IF(J86="","",itens_Remanesc!C34)</f>
        <v/>
      </c>
      <c r="N86" s="141" t="str">
        <f>IF(J86="","",IF($F$4="C0",historico_VU!C34,IF($F$4="C1",historico_VU!D34,IF($F$4="C2",historico_VU!E34,IF($F$4="C3",historico_VU!F34,historico_VU!G34)))))</f>
        <v/>
      </c>
      <c r="O86" s="141" t="str">
        <f t="shared" ref="O86:O117" si="4">IF(J86="","",IF(OR($B$4="Financeiro",$B$4="PCs"),IF(OR(K86="",M86=""),"",ROUND(K86*M86,2)),IF($B$4="Itens",IF(OR(L86="",M86=""),"",ROUND(L86*M86,2)),"")))</f>
        <v/>
      </c>
      <c r="P86" s="141" t="str">
        <f t="shared" ref="P86:P117" si="5">IF(J86="","",IF(OR($B$4="Financeiro",$B$4="PCs"),IF(OR(K86="",N86=""),"",ROUND(K86*N86,2)),IF($B$4="Itens",IF(OR(L86="",N86=""),"",ROUND(L86*N86,2)),"")))</f>
        <v/>
      </c>
      <c r="Q86" s="142" t="str">
        <f t="shared" ref="Q86:Q117" si="6">IF(J86="","",IF(OR(M86="",AND(OR($B$4="Financeiro",$B$4="PCs"),K86=""),AND($B$4="Itens",L86="")),"INCOMPLETO",IF(AND(ISNUMBER(K86),ISNUMBER(L86),ABS(K86-L86)/MAX(ABS(IF(OR($B$4="Financeiro",$B$4="PCs"),K86,L86)),1)&gt;$D$4),"DIVERGENTE","OK")))</f>
        <v/>
      </c>
      <c r="X86">
        <f>IF(posicao_contratual!$A86="",0,IF(AND(ISNUMBER(posicao_contratual!$Y86),posicao_contratual!$Y86&gt;0),0,IF(AND(ISNUMBER(posicao_contratual!$G86),ISNUMBER(posicao_contratual!$K86),ISNUMBER(historico_VU!$C86)),((posicao_contratual!$G86-N(posicao_contratual!$AB86))-(posicao_contratual!$K86-N(posicao_contratual!$AC86)))*historico_VU!$C86,"")))</f>
        <v>0</v>
      </c>
      <c r="Y86">
        <f>IF(OR(posicao_contratual!$A86="",$T$20=""),0,IF(AND(ISNUMBER(CHOOSE($T$20+1,historico_VU!$C86,historico_VU!$D86,historico_VU!$E86,historico_VU!$F86,historico_VU!$G86)),ISNUMBER(CHOOSE($T$20+1,posicao_contratual!$G86,posicao_contratual!$K86,posicao_contratual!$O86,posicao_contratual!$S86,posicao_contratual!$W86))),ROUND(ROUND(CHOOSE($T$20+1,historico_VU!$C86,historico_VU!$D86,historico_VU!$E86,historico_VU!$F86,historico_VU!$G86),2)*CHOOSE($T$20+1,posicao_contratual!$G86,posicao_contratual!$K86,posicao_contratual!$O86,posicao_contratual!$S86,posicao_contratual!$W86),2),""))</f>
        <v>0</v>
      </c>
      <c r="AB86">
        <f>IF(OR(posicao_contratual!$A86="",$W$46=""),0,IF(AND(ISNUMBER(CHOOSE($W$46+1,historico_VU!$C86,historico_VU!$D86,historico_VU!$E86,historico_VU!$F86,historico_VU!$G86)),ISNUMBER(CHOOSE($W$46+1,posicao_contratual!$G86,posicao_contratual!$K86,posicao_contratual!$O86,posicao_contratual!$S86,posicao_contratual!$W86))),ROUND(ROUND(CHOOSE($W$46+1,historico_VU!$C86,historico_VU!$D86,historico_VU!$E86,historico_VU!$F86,historico_VU!$G86),2)*CHOOSE($W$46+1,posicao_contratual!$G86,posicao_contratual!$K86,posicao_contratual!$O86,posicao_contratual!$S86,posicao_contratual!$W86),2),""))</f>
        <v>0</v>
      </c>
      <c r="AC86">
        <f>IF(OR(posicao_contratual!$A86="",$W$46=""),0,IF(OR($AB86="",$AD86=""),"",ROUND($AB86-$AD86,2)))</f>
        <v>0</v>
      </c>
      <c r="AD86">
        <f>IF(OR(posicao_contratual!$A86="",$W$46=""),0,IF($AB86="","",IF(NOT(ISNUMBER(CHOOSE($W$46+1,posicao_contratual!$AB86,posicao_contratual!$AC86,posicao_contratual!$AD86,posicao_contratual!$AE86,posicao_contratual!$AF86))),0,ROUND(ROUND(CHOOSE($W$46+1,historico_VU!$C86,historico_VU!$D86,historico_VU!$E86,historico_VU!$F86,historico_VU!$G86),2)*CHOOSE($W$46+1,posicao_contratual!$AB86,posicao_contratual!$AC86,posicao_contratual!$AD86,posicao_contratual!$AE86,posicao_contratual!$AF86),2))))</f>
        <v>0</v>
      </c>
    </row>
    <row r="87" spans="1:30" hidden="1" outlineLevel="1" x14ac:dyDescent="0.35">
      <c r="A87" s="137" t="str">
        <f>IF(historico_VU!A35="","",historico_VU!A35)</f>
        <v/>
      </c>
      <c r="B87" s="138" t="str">
        <f>IF(A87="","",historico_VU!B35)</f>
        <v/>
      </c>
      <c r="C87" s="139" t="str">
        <f>IF(A87="","",historico_VU!C35)</f>
        <v/>
      </c>
      <c r="D87" s="139" t="str">
        <f>IF(A87="","",historico_VU!D35)</f>
        <v/>
      </c>
      <c r="E87" s="139" t="str">
        <f>IF(A87="","",historico_VU!E35)</f>
        <v/>
      </c>
      <c r="F87" s="139" t="str">
        <f>IF(A87="","",historico_VU!F35)</f>
        <v/>
      </c>
      <c r="G87" s="139" t="str">
        <f>IF(A87="","",historico_VU!G35)</f>
        <v/>
      </c>
      <c r="H87" s="140" t="str">
        <f>IF(A87="","",historico_VU!H35)</f>
        <v/>
      </c>
      <c r="I87" s="57"/>
      <c r="J87" s="137" t="str">
        <f>IF(itens_Remanesc!A35="","",itens_Remanesc!A35)</f>
        <v/>
      </c>
      <c r="K87" s="138" t="str">
        <f>IF(J87="","",IF($F$4="C0",itens_Remanesc!B35,IF($F$4="C1",itens_Remanesc!E35,IF($F$4="C2",itens_Remanesc!G35,IF($F$4="C3",itens_Remanesc!I35,itens_Remanesc!K35)))))</f>
        <v/>
      </c>
      <c r="L87" s="138" t="str">
        <f>IF(J87="","",IF(SUMIF(itens_Consumidos!$A$2:$A$200,J87,itens_Consumidos!$B$2:$B$200)-SUMIF(itens_Consumidos!$A$2:$A$200,J87,itens_Consumidos!$O$2:$O$200)&lt;0,0,SUMIF(itens_Consumidos!$A$2:$A$200,J87,itens_Consumidos!$B$2:$B$200)-SUMIF(itens_Consumidos!$A$2:$A$200,J87,itens_Consumidos!$O$2:$O$200)))</f>
        <v/>
      </c>
      <c r="M87" s="141" t="str">
        <f>IF(J87="","",itens_Remanesc!C35)</f>
        <v/>
      </c>
      <c r="N87" s="141" t="str">
        <f>IF(J87="","",IF($F$4="C0",historico_VU!C35,IF($F$4="C1",historico_VU!D35,IF($F$4="C2",historico_VU!E35,IF($F$4="C3",historico_VU!F35,historico_VU!G35)))))</f>
        <v/>
      </c>
      <c r="O87" s="141" t="str">
        <f t="shared" si="4"/>
        <v/>
      </c>
      <c r="P87" s="141" t="str">
        <f t="shared" si="5"/>
        <v/>
      </c>
      <c r="Q87" s="142" t="str">
        <f t="shared" si="6"/>
        <v/>
      </c>
      <c r="X87">
        <f>IF(posicao_contratual!$A87="",0,IF(AND(ISNUMBER(posicao_contratual!$Y87),posicao_contratual!$Y87&gt;0),0,IF(AND(ISNUMBER(posicao_contratual!$G87),ISNUMBER(posicao_contratual!$K87),ISNUMBER(historico_VU!$C87)),((posicao_contratual!$G87-N(posicao_contratual!$AB87))-(posicao_contratual!$K87-N(posicao_contratual!$AC87)))*historico_VU!$C87,"")))</f>
        <v>0</v>
      </c>
      <c r="Y87">
        <f>IF(OR(posicao_contratual!$A87="",$T$20=""),0,IF(AND(ISNUMBER(CHOOSE($T$20+1,historico_VU!$C87,historico_VU!$D87,historico_VU!$E87,historico_VU!$F87,historico_VU!$G87)),ISNUMBER(CHOOSE($T$20+1,posicao_contratual!$G87,posicao_contratual!$K87,posicao_contratual!$O87,posicao_contratual!$S87,posicao_contratual!$W87))),ROUND(ROUND(CHOOSE($T$20+1,historico_VU!$C87,historico_VU!$D87,historico_VU!$E87,historico_VU!$F87,historico_VU!$G87),2)*CHOOSE($T$20+1,posicao_contratual!$G87,posicao_contratual!$K87,posicao_contratual!$O87,posicao_contratual!$S87,posicao_contratual!$W87),2),""))</f>
        <v>0</v>
      </c>
      <c r="AB87">
        <f>IF(OR(posicao_contratual!$A87="",$W$46=""),0,IF(AND(ISNUMBER(CHOOSE($W$46+1,historico_VU!$C87,historico_VU!$D87,historico_VU!$E87,historico_VU!$F87,historico_VU!$G87)),ISNUMBER(CHOOSE($W$46+1,posicao_contratual!$G87,posicao_contratual!$K87,posicao_contratual!$O87,posicao_contratual!$S87,posicao_contratual!$W87))),ROUND(ROUND(CHOOSE($W$46+1,historico_VU!$C87,historico_VU!$D87,historico_VU!$E87,historico_VU!$F87,historico_VU!$G87),2)*CHOOSE($W$46+1,posicao_contratual!$G87,posicao_contratual!$K87,posicao_contratual!$O87,posicao_contratual!$S87,posicao_contratual!$W87),2),""))</f>
        <v>0</v>
      </c>
      <c r="AC87">
        <f>IF(OR(posicao_contratual!$A87="",$W$46=""),0,IF(OR($AB87="",$AD87=""),"",ROUND($AB87-$AD87,2)))</f>
        <v>0</v>
      </c>
      <c r="AD87">
        <f>IF(OR(posicao_contratual!$A87="",$W$46=""),0,IF($AB87="","",IF(NOT(ISNUMBER(CHOOSE($W$46+1,posicao_contratual!$AB87,posicao_contratual!$AC87,posicao_contratual!$AD87,posicao_contratual!$AE87,posicao_contratual!$AF87))),0,ROUND(ROUND(CHOOSE($W$46+1,historico_VU!$C87,historico_VU!$D87,historico_VU!$E87,historico_VU!$F87,historico_VU!$G87),2)*CHOOSE($W$46+1,posicao_contratual!$AB87,posicao_contratual!$AC87,posicao_contratual!$AD87,posicao_contratual!$AE87,posicao_contratual!$AF87),2))))</f>
        <v>0</v>
      </c>
    </row>
    <row r="88" spans="1:30" hidden="1" outlineLevel="1" x14ac:dyDescent="0.35">
      <c r="A88" s="137" t="str">
        <f>IF(historico_VU!A36="","",historico_VU!A36)</f>
        <v/>
      </c>
      <c r="B88" s="138" t="str">
        <f>IF(A88="","",historico_VU!B36)</f>
        <v/>
      </c>
      <c r="C88" s="139" t="str">
        <f>IF(A88="","",historico_VU!C36)</f>
        <v/>
      </c>
      <c r="D88" s="139" t="str">
        <f>IF(A88="","",historico_VU!D36)</f>
        <v/>
      </c>
      <c r="E88" s="139" t="str">
        <f>IF(A88="","",historico_VU!E36)</f>
        <v/>
      </c>
      <c r="F88" s="139" t="str">
        <f>IF(A88="","",historico_VU!F36)</f>
        <v/>
      </c>
      <c r="G88" s="139" t="str">
        <f>IF(A88="","",historico_VU!G36)</f>
        <v/>
      </c>
      <c r="H88" s="140" t="str">
        <f>IF(A88="","",historico_VU!H36)</f>
        <v/>
      </c>
      <c r="I88" s="57"/>
      <c r="J88" s="137" t="str">
        <f>IF(itens_Remanesc!A36="","",itens_Remanesc!A36)</f>
        <v/>
      </c>
      <c r="K88" s="138" t="str">
        <f>IF(J88="","",IF($F$4="C0",itens_Remanesc!B36,IF($F$4="C1",itens_Remanesc!E36,IF($F$4="C2",itens_Remanesc!G36,IF($F$4="C3",itens_Remanesc!I36,itens_Remanesc!K36)))))</f>
        <v/>
      </c>
      <c r="L88" s="138" t="str">
        <f>IF(J88="","",IF(SUMIF(itens_Consumidos!$A$2:$A$200,J88,itens_Consumidos!$B$2:$B$200)-SUMIF(itens_Consumidos!$A$2:$A$200,J88,itens_Consumidos!$O$2:$O$200)&lt;0,0,SUMIF(itens_Consumidos!$A$2:$A$200,J88,itens_Consumidos!$B$2:$B$200)-SUMIF(itens_Consumidos!$A$2:$A$200,J88,itens_Consumidos!$O$2:$O$200)))</f>
        <v/>
      </c>
      <c r="M88" s="141" t="str">
        <f>IF(J88="","",itens_Remanesc!C36)</f>
        <v/>
      </c>
      <c r="N88" s="141" t="str">
        <f>IF(J88="","",IF($F$4="C0",historico_VU!C36,IF($F$4="C1",historico_VU!D36,IF($F$4="C2",historico_VU!E36,IF($F$4="C3",historico_VU!F36,historico_VU!G36)))))</f>
        <v/>
      </c>
      <c r="O88" s="141" t="str">
        <f t="shared" si="4"/>
        <v/>
      </c>
      <c r="P88" s="141" t="str">
        <f t="shared" si="5"/>
        <v/>
      </c>
      <c r="Q88" s="142" t="str">
        <f t="shared" si="6"/>
        <v/>
      </c>
      <c r="X88">
        <f>IF(posicao_contratual!$A88="",0,IF(AND(ISNUMBER(posicao_contratual!$Y88),posicao_contratual!$Y88&gt;0),0,IF(AND(ISNUMBER(posicao_contratual!$G88),ISNUMBER(posicao_contratual!$K88),ISNUMBER(historico_VU!$C88)),((posicao_contratual!$G88-N(posicao_contratual!$AB88))-(posicao_contratual!$K88-N(posicao_contratual!$AC88)))*historico_VU!$C88,"")))</f>
        <v>0</v>
      </c>
      <c r="Y88">
        <f>IF(OR(posicao_contratual!$A88="",$T$20=""),0,IF(AND(ISNUMBER(CHOOSE($T$20+1,historico_VU!$C88,historico_VU!$D88,historico_VU!$E88,historico_VU!$F88,historico_VU!$G88)),ISNUMBER(CHOOSE($T$20+1,posicao_contratual!$G88,posicao_contratual!$K88,posicao_contratual!$O88,posicao_contratual!$S88,posicao_contratual!$W88))),ROUND(ROUND(CHOOSE($T$20+1,historico_VU!$C88,historico_VU!$D88,historico_VU!$E88,historico_VU!$F88,historico_VU!$G88),2)*CHOOSE($T$20+1,posicao_contratual!$G88,posicao_contratual!$K88,posicao_contratual!$O88,posicao_contratual!$S88,posicao_contratual!$W88),2),""))</f>
        <v>0</v>
      </c>
      <c r="AB88">
        <f>IF(OR(posicao_contratual!$A88="",$W$46=""),0,IF(AND(ISNUMBER(CHOOSE($W$46+1,historico_VU!$C88,historico_VU!$D88,historico_VU!$E88,historico_VU!$F88,historico_VU!$G88)),ISNUMBER(CHOOSE($W$46+1,posicao_contratual!$G88,posicao_contratual!$K88,posicao_contratual!$O88,posicao_contratual!$S88,posicao_contratual!$W88))),ROUND(ROUND(CHOOSE($W$46+1,historico_VU!$C88,historico_VU!$D88,historico_VU!$E88,historico_VU!$F88,historico_VU!$G88),2)*CHOOSE($W$46+1,posicao_contratual!$G88,posicao_contratual!$K88,posicao_contratual!$O88,posicao_contratual!$S88,posicao_contratual!$W88),2),""))</f>
        <v>0</v>
      </c>
      <c r="AC88">
        <f>IF(OR(posicao_contratual!$A88="",$W$46=""),0,IF(OR($AB88="",$AD88=""),"",ROUND($AB88-$AD88,2)))</f>
        <v>0</v>
      </c>
      <c r="AD88">
        <f>IF(OR(posicao_contratual!$A88="",$W$46=""),0,IF($AB88="","",IF(NOT(ISNUMBER(CHOOSE($W$46+1,posicao_contratual!$AB88,posicao_contratual!$AC88,posicao_contratual!$AD88,posicao_contratual!$AE88,posicao_contratual!$AF88))),0,ROUND(ROUND(CHOOSE($W$46+1,historico_VU!$C88,historico_VU!$D88,historico_VU!$E88,historico_VU!$F88,historico_VU!$G88),2)*CHOOSE($W$46+1,posicao_contratual!$AB88,posicao_contratual!$AC88,posicao_contratual!$AD88,posicao_contratual!$AE88,posicao_contratual!$AF88),2))))</f>
        <v>0</v>
      </c>
    </row>
    <row r="89" spans="1:30" hidden="1" outlineLevel="1" x14ac:dyDescent="0.35">
      <c r="A89" s="137" t="str">
        <f>IF(historico_VU!A37="","",historico_VU!A37)</f>
        <v/>
      </c>
      <c r="B89" s="138" t="str">
        <f>IF(A89="","",historico_VU!B37)</f>
        <v/>
      </c>
      <c r="C89" s="139" t="str">
        <f>IF(A89="","",historico_VU!C37)</f>
        <v/>
      </c>
      <c r="D89" s="139" t="str">
        <f>IF(A89="","",historico_VU!D37)</f>
        <v/>
      </c>
      <c r="E89" s="139" t="str">
        <f>IF(A89="","",historico_VU!E37)</f>
        <v/>
      </c>
      <c r="F89" s="139" t="str">
        <f>IF(A89="","",historico_VU!F37)</f>
        <v/>
      </c>
      <c r="G89" s="139" t="str">
        <f>IF(A89="","",historico_VU!G37)</f>
        <v/>
      </c>
      <c r="H89" s="140" t="str">
        <f>IF(A89="","",historico_VU!H37)</f>
        <v/>
      </c>
      <c r="I89" s="57"/>
      <c r="J89" s="137" t="str">
        <f>IF(itens_Remanesc!A37="","",itens_Remanesc!A37)</f>
        <v/>
      </c>
      <c r="K89" s="138" t="str">
        <f>IF(J89="","",IF($F$4="C0",itens_Remanesc!B37,IF($F$4="C1",itens_Remanesc!E37,IF($F$4="C2",itens_Remanesc!G37,IF($F$4="C3",itens_Remanesc!I37,itens_Remanesc!K37)))))</f>
        <v/>
      </c>
      <c r="L89" s="138" t="str">
        <f>IF(J89="","",IF(SUMIF(itens_Consumidos!$A$2:$A$200,J89,itens_Consumidos!$B$2:$B$200)-SUMIF(itens_Consumidos!$A$2:$A$200,J89,itens_Consumidos!$O$2:$O$200)&lt;0,0,SUMIF(itens_Consumidos!$A$2:$A$200,J89,itens_Consumidos!$B$2:$B$200)-SUMIF(itens_Consumidos!$A$2:$A$200,J89,itens_Consumidos!$O$2:$O$200)))</f>
        <v/>
      </c>
      <c r="M89" s="141" t="str">
        <f>IF(J89="","",itens_Remanesc!C37)</f>
        <v/>
      </c>
      <c r="N89" s="141" t="str">
        <f>IF(J89="","",IF($F$4="C0",historico_VU!C37,IF($F$4="C1",historico_VU!D37,IF($F$4="C2",historico_VU!E37,IF($F$4="C3",historico_VU!F37,historico_VU!G37)))))</f>
        <v/>
      </c>
      <c r="O89" s="141" t="str">
        <f t="shared" si="4"/>
        <v/>
      </c>
      <c r="P89" s="141" t="str">
        <f t="shared" si="5"/>
        <v/>
      </c>
      <c r="Q89" s="142" t="str">
        <f t="shared" si="6"/>
        <v/>
      </c>
      <c r="X89">
        <f>IF(posicao_contratual!$A89="",0,IF(AND(ISNUMBER(posicao_contratual!$Y89),posicao_contratual!$Y89&gt;0),0,IF(AND(ISNUMBER(posicao_contratual!$G89),ISNUMBER(posicao_contratual!$K89),ISNUMBER(historico_VU!$C89)),((posicao_contratual!$G89-N(posicao_contratual!$AB89))-(posicao_contratual!$K89-N(posicao_contratual!$AC89)))*historico_VU!$C89,"")))</f>
        <v>0</v>
      </c>
      <c r="Y89">
        <f>IF(OR(posicao_contratual!$A89="",$T$20=""),0,IF(AND(ISNUMBER(CHOOSE($T$20+1,historico_VU!$C89,historico_VU!$D89,historico_VU!$E89,historico_VU!$F89,historico_VU!$G89)),ISNUMBER(CHOOSE($T$20+1,posicao_contratual!$G89,posicao_contratual!$K89,posicao_contratual!$O89,posicao_contratual!$S89,posicao_contratual!$W89))),ROUND(ROUND(CHOOSE($T$20+1,historico_VU!$C89,historico_VU!$D89,historico_VU!$E89,historico_VU!$F89,historico_VU!$G89),2)*CHOOSE($T$20+1,posicao_contratual!$G89,posicao_contratual!$K89,posicao_contratual!$O89,posicao_contratual!$S89,posicao_contratual!$W89),2),""))</f>
        <v>0</v>
      </c>
      <c r="AB89">
        <f>IF(OR(posicao_contratual!$A89="",$W$46=""),0,IF(AND(ISNUMBER(CHOOSE($W$46+1,historico_VU!$C89,historico_VU!$D89,historico_VU!$E89,historico_VU!$F89,historico_VU!$G89)),ISNUMBER(CHOOSE($W$46+1,posicao_contratual!$G89,posicao_contratual!$K89,posicao_contratual!$O89,posicao_contratual!$S89,posicao_contratual!$W89))),ROUND(ROUND(CHOOSE($W$46+1,historico_VU!$C89,historico_VU!$D89,historico_VU!$E89,historico_VU!$F89,historico_VU!$G89),2)*CHOOSE($W$46+1,posicao_contratual!$G89,posicao_contratual!$K89,posicao_contratual!$O89,posicao_contratual!$S89,posicao_contratual!$W89),2),""))</f>
        <v>0</v>
      </c>
      <c r="AC89">
        <f>IF(OR(posicao_contratual!$A89="",$W$46=""),0,IF(OR($AB89="",$AD89=""),"",ROUND($AB89-$AD89,2)))</f>
        <v>0</v>
      </c>
      <c r="AD89">
        <f>IF(OR(posicao_contratual!$A89="",$W$46=""),0,IF($AB89="","",IF(NOT(ISNUMBER(CHOOSE($W$46+1,posicao_contratual!$AB89,posicao_contratual!$AC89,posicao_contratual!$AD89,posicao_contratual!$AE89,posicao_contratual!$AF89))),0,ROUND(ROUND(CHOOSE($W$46+1,historico_VU!$C89,historico_VU!$D89,historico_VU!$E89,historico_VU!$F89,historico_VU!$G89),2)*CHOOSE($W$46+1,posicao_contratual!$AB89,posicao_contratual!$AC89,posicao_contratual!$AD89,posicao_contratual!$AE89,posicao_contratual!$AF89),2))))</f>
        <v>0</v>
      </c>
    </row>
    <row r="90" spans="1:30" hidden="1" outlineLevel="1" x14ac:dyDescent="0.35">
      <c r="A90" s="137" t="str">
        <f>IF(historico_VU!A38="","",historico_VU!A38)</f>
        <v/>
      </c>
      <c r="B90" s="138" t="str">
        <f>IF(A90="","",historico_VU!B38)</f>
        <v/>
      </c>
      <c r="C90" s="139" t="str">
        <f>IF(A90="","",historico_VU!C38)</f>
        <v/>
      </c>
      <c r="D90" s="139" t="str">
        <f>IF(A90="","",historico_VU!D38)</f>
        <v/>
      </c>
      <c r="E90" s="139" t="str">
        <f>IF(A90="","",historico_VU!E38)</f>
        <v/>
      </c>
      <c r="F90" s="139" t="str">
        <f>IF(A90="","",historico_VU!F38)</f>
        <v/>
      </c>
      <c r="G90" s="139" t="str">
        <f>IF(A90="","",historico_VU!G38)</f>
        <v/>
      </c>
      <c r="H90" s="140" t="str">
        <f>IF(A90="","",historico_VU!H38)</f>
        <v/>
      </c>
      <c r="I90" s="57"/>
      <c r="J90" s="137" t="str">
        <f>IF(itens_Remanesc!A38="","",itens_Remanesc!A38)</f>
        <v/>
      </c>
      <c r="K90" s="138" t="str">
        <f>IF(J90="","",IF($F$4="C0",itens_Remanesc!B38,IF($F$4="C1",itens_Remanesc!E38,IF($F$4="C2",itens_Remanesc!G38,IF($F$4="C3",itens_Remanesc!I38,itens_Remanesc!K38)))))</f>
        <v/>
      </c>
      <c r="L90" s="138" t="str">
        <f>IF(J90="","",IF(SUMIF(itens_Consumidos!$A$2:$A$200,J90,itens_Consumidos!$B$2:$B$200)-SUMIF(itens_Consumidos!$A$2:$A$200,J90,itens_Consumidos!$O$2:$O$200)&lt;0,0,SUMIF(itens_Consumidos!$A$2:$A$200,J90,itens_Consumidos!$B$2:$B$200)-SUMIF(itens_Consumidos!$A$2:$A$200,J90,itens_Consumidos!$O$2:$O$200)))</f>
        <v/>
      </c>
      <c r="M90" s="141" t="str">
        <f>IF(J90="","",itens_Remanesc!C38)</f>
        <v/>
      </c>
      <c r="N90" s="141" t="str">
        <f>IF(J90="","",IF($F$4="C0",historico_VU!C38,IF($F$4="C1",historico_VU!D38,IF($F$4="C2",historico_VU!E38,IF($F$4="C3",historico_VU!F38,historico_VU!G38)))))</f>
        <v/>
      </c>
      <c r="O90" s="141" t="str">
        <f t="shared" si="4"/>
        <v/>
      </c>
      <c r="P90" s="141" t="str">
        <f t="shared" si="5"/>
        <v/>
      </c>
      <c r="Q90" s="142" t="str">
        <f t="shared" si="6"/>
        <v/>
      </c>
      <c r="X90">
        <f>IF(posicao_contratual!$A90="",0,IF(AND(ISNUMBER(posicao_contratual!$Y90),posicao_contratual!$Y90&gt;0),0,IF(AND(ISNUMBER(posicao_contratual!$G90),ISNUMBER(posicao_contratual!$K90),ISNUMBER(historico_VU!$C90)),((posicao_contratual!$G90-N(posicao_contratual!$AB90))-(posicao_contratual!$K90-N(posicao_contratual!$AC90)))*historico_VU!$C90,"")))</f>
        <v>0</v>
      </c>
      <c r="Y90">
        <f>IF(OR(posicao_contratual!$A90="",$T$20=""),0,IF(AND(ISNUMBER(CHOOSE($T$20+1,historico_VU!$C90,historico_VU!$D90,historico_VU!$E90,historico_VU!$F90,historico_VU!$G90)),ISNUMBER(CHOOSE($T$20+1,posicao_contratual!$G90,posicao_contratual!$K90,posicao_contratual!$O90,posicao_contratual!$S90,posicao_contratual!$W90))),ROUND(ROUND(CHOOSE($T$20+1,historico_VU!$C90,historico_VU!$D90,historico_VU!$E90,historico_VU!$F90,historico_VU!$G90),2)*CHOOSE($T$20+1,posicao_contratual!$G90,posicao_contratual!$K90,posicao_contratual!$O90,posicao_contratual!$S90,posicao_contratual!$W90),2),""))</f>
        <v>0</v>
      </c>
      <c r="AB90">
        <f>IF(OR(posicao_contratual!$A90="",$W$46=""),0,IF(AND(ISNUMBER(CHOOSE($W$46+1,historico_VU!$C90,historico_VU!$D90,historico_VU!$E90,historico_VU!$F90,historico_VU!$G90)),ISNUMBER(CHOOSE($W$46+1,posicao_contratual!$G90,posicao_contratual!$K90,posicao_contratual!$O90,posicao_contratual!$S90,posicao_contratual!$W90))),ROUND(ROUND(CHOOSE($W$46+1,historico_VU!$C90,historico_VU!$D90,historico_VU!$E90,historico_VU!$F90,historico_VU!$G90),2)*CHOOSE($W$46+1,posicao_contratual!$G90,posicao_contratual!$K90,posicao_contratual!$O90,posicao_contratual!$S90,posicao_contratual!$W90),2),""))</f>
        <v>0</v>
      </c>
      <c r="AC90">
        <f>IF(OR(posicao_contratual!$A90="",$W$46=""),0,IF(OR($AB90="",$AD90=""),"",ROUND($AB90-$AD90,2)))</f>
        <v>0</v>
      </c>
      <c r="AD90">
        <f>IF(OR(posicao_contratual!$A90="",$W$46=""),0,IF($AB90="","",IF(NOT(ISNUMBER(CHOOSE($W$46+1,posicao_contratual!$AB90,posicao_contratual!$AC90,posicao_contratual!$AD90,posicao_contratual!$AE90,posicao_contratual!$AF90))),0,ROUND(ROUND(CHOOSE($W$46+1,historico_VU!$C90,historico_VU!$D90,historico_VU!$E90,historico_VU!$F90,historico_VU!$G90),2)*CHOOSE($W$46+1,posicao_contratual!$AB90,posicao_contratual!$AC90,posicao_contratual!$AD90,posicao_contratual!$AE90,posicao_contratual!$AF90),2))))</f>
        <v>0</v>
      </c>
    </row>
    <row r="91" spans="1:30" hidden="1" outlineLevel="1" x14ac:dyDescent="0.35">
      <c r="A91" s="137" t="str">
        <f>IF(historico_VU!A39="","",historico_VU!A39)</f>
        <v/>
      </c>
      <c r="B91" s="138" t="str">
        <f>IF(A91="","",historico_VU!B39)</f>
        <v/>
      </c>
      <c r="C91" s="139" t="str">
        <f>IF(A91="","",historico_VU!C39)</f>
        <v/>
      </c>
      <c r="D91" s="139" t="str">
        <f>IF(A91="","",historico_VU!D39)</f>
        <v/>
      </c>
      <c r="E91" s="139" t="str">
        <f>IF(A91="","",historico_VU!E39)</f>
        <v/>
      </c>
      <c r="F91" s="139" t="str">
        <f>IF(A91="","",historico_VU!F39)</f>
        <v/>
      </c>
      <c r="G91" s="139" t="str">
        <f>IF(A91="","",historico_VU!G39)</f>
        <v/>
      </c>
      <c r="H91" s="140" t="str">
        <f>IF(A91="","",historico_VU!H39)</f>
        <v/>
      </c>
      <c r="I91" s="57"/>
      <c r="J91" s="137" t="str">
        <f>IF(itens_Remanesc!A39="","",itens_Remanesc!A39)</f>
        <v/>
      </c>
      <c r="K91" s="138" t="str">
        <f>IF(J91="","",IF($F$4="C0",itens_Remanesc!B39,IF($F$4="C1",itens_Remanesc!E39,IF($F$4="C2",itens_Remanesc!G39,IF($F$4="C3",itens_Remanesc!I39,itens_Remanesc!K39)))))</f>
        <v/>
      </c>
      <c r="L91" s="138" t="str">
        <f>IF(J91="","",IF(SUMIF(itens_Consumidos!$A$2:$A$200,J91,itens_Consumidos!$B$2:$B$200)-SUMIF(itens_Consumidos!$A$2:$A$200,J91,itens_Consumidos!$O$2:$O$200)&lt;0,0,SUMIF(itens_Consumidos!$A$2:$A$200,J91,itens_Consumidos!$B$2:$B$200)-SUMIF(itens_Consumidos!$A$2:$A$200,J91,itens_Consumidos!$O$2:$O$200)))</f>
        <v/>
      </c>
      <c r="M91" s="141" t="str">
        <f>IF(J91="","",itens_Remanesc!C39)</f>
        <v/>
      </c>
      <c r="N91" s="141" t="str">
        <f>IF(J91="","",IF($F$4="C0",historico_VU!C39,IF($F$4="C1",historico_VU!D39,IF($F$4="C2",historico_VU!E39,IF($F$4="C3",historico_VU!F39,historico_VU!G39)))))</f>
        <v/>
      </c>
      <c r="O91" s="141" t="str">
        <f t="shared" si="4"/>
        <v/>
      </c>
      <c r="P91" s="141" t="str">
        <f t="shared" si="5"/>
        <v/>
      </c>
      <c r="Q91" s="142" t="str">
        <f t="shared" si="6"/>
        <v/>
      </c>
      <c r="X91">
        <f>IF(posicao_contratual!$A91="",0,IF(AND(ISNUMBER(posicao_contratual!$Y91),posicao_contratual!$Y91&gt;0),0,IF(AND(ISNUMBER(posicao_contratual!$G91),ISNUMBER(posicao_contratual!$K91),ISNUMBER(historico_VU!$C91)),((posicao_contratual!$G91-N(posicao_contratual!$AB91))-(posicao_contratual!$K91-N(posicao_contratual!$AC91)))*historico_VU!$C91,"")))</f>
        <v>0</v>
      </c>
      <c r="Y91">
        <f>IF(OR(posicao_contratual!$A91="",$T$20=""),0,IF(AND(ISNUMBER(CHOOSE($T$20+1,historico_VU!$C91,historico_VU!$D91,historico_VU!$E91,historico_VU!$F91,historico_VU!$G91)),ISNUMBER(CHOOSE($T$20+1,posicao_contratual!$G91,posicao_contratual!$K91,posicao_contratual!$O91,posicao_contratual!$S91,posicao_contratual!$W91))),ROUND(ROUND(CHOOSE($T$20+1,historico_VU!$C91,historico_VU!$D91,historico_VU!$E91,historico_VU!$F91,historico_VU!$G91),2)*CHOOSE($T$20+1,posicao_contratual!$G91,posicao_contratual!$K91,posicao_contratual!$O91,posicao_contratual!$S91,posicao_contratual!$W91),2),""))</f>
        <v>0</v>
      </c>
      <c r="AB91">
        <f>IF(OR(posicao_contratual!$A91="",$W$46=""),0,IF(AND(ISNUMBER(CHOOSE($W$46+1,historico_VU!$C91,historico_VU!$D91,historico_VU!$E91,historico_VU!$F91,historico_VU!$G91)),ISNUMBER(CHOOSE($W$46+1,posicao_contratual!$G91,posicao_contratual!$K91,posicao_contratual!$O91,posicao_contratual!$S91,posicao_contratual!$W91))),ROUND(ROUND(CHOOSE($W$46+1,historico_VU!$C91,historico_VU!$D91,historico_VU!$E91,historico_VU!$F91,historico_VU!$G91),2)*CHOOSE($W$46+1,posicao_contratual!$G91,posicao_contratual!$K91,posicao_contratual!$O91,posicao_contratual!$S91,posicao_contratual!$W91),2),""))</f>
        <v>0</v>
      </c>
      <c r="AC91">
        <f>IF(OR(posicao_contratual!$A91="",$W$46=""),0,IF(OR($AB91="",$AD91=""),"",ROUND($AB91-$AD91,2)))</f>
        <v>0</v>
      </c>
      <c r="AD91">
        <f>IF(OR(posicao_contratual!$A91="",$W$46=""),0,IF($AB91="","",IF(NOT(ISNUMBER(CHOOSE($W$46+1,posicao_contratual!$AB91,posicao_contratual!$AC91,posicao_contratual!$AD91,posicao_contratual!$AE91,posicao_contratual!$AF91))),0,ROUND(ROUND(CHOOSE($W$46+1,historico_VU!$C91,historico_VU!$D91,historico_VU!$E91,historico_VU!$F91,historico_VU!$G91),2)*CHOOSE($W$46+1,posicao_contratual!$AB91,posicao_contratual!$AC91,posicao_contratual!$AD91,posicao_contratual!$AE91,posicao_contratual!$AF91),2))))</f>
        <v>0</v>
      </c>
    </row>
    <row r="92" spans="1:30" hidden="1" outlineLevel="1" x14ac:dyDescent="0.35">
      <c r="A92" s="137" t="str">
        <f>IF(historico_VU!A40="","",historico_VU!A40)</f>
        <v/>
      </c>
      <c r="B92" s="138" t="str">
        <f>IF(A92="","",historico_VU!B40)</f>
        <v/>
      </c>
      <c r="C92" s="139" t="str">
        <f>IF(A92="","",historico_VU!C40)</f>
        <v/>
      </c>
      <c r="D92" s="139" t="str">
        <f>IF(A92="","",historico_VU!D40)</f>
        <v/>
      </c>
      <c r="E92" s="139" t="str">
        <f>IF(A92="","",historico_VU!E40)</f>
        <v/>
      </c>
      <c r="F92" s="139" t="str">
        <f>IF(A92="","",historico_VU!F40)</f>
        <v/>
      </c>
      <c r="G92" s="139" t="str">
        <f>IF(A92="","",historico_VU!G40)</f>
        <v/>
      </c>
      <c r="H92" s="140" t="str">
        <f>IF(A92="","",historico_VU!H40)</f>
        <v/>
      </c>
      <c r="I92" s="57"/>
      <c r="J92" s="137" t="str">
        <f>IF(itens_Remanesc!A40="","",itens_Remanesc!A40)</f>
        <v/>
      </c>
      <c r="K92" s="138" t="str">
        <f>IF(J92="","",IF($F$4="C0",itens_Remanesc!B40,IF($F$4="C1",itens_Remanesc!E40,IF($F$4="C2",itens_Remanesc!G40,IF($F$4="C3",itens_Remanesc!I40,itens_Remanesc!K40)))))</f>
        <v/>
      </c>
      <c r="L92" s="138" t="str">
        <f>IF(J92="","",IF(SUMIF(itens_Consumidos!$A$2:$A$200,J92,itens_Consumidos!$B$2:$B$200)-SUMIF(itens_Consumidos!$A$2:$A$200,J92,itens_Consumidos!$O$2:$O$200)&lt;0,0,SUMIF(itens_Consumidos!$A$2:$A$200,J92,itens_Consumidos!$B$2:$B$200)-SUMIF(itens_Consumidos!$A$2:$A$200,J92,itens_Consumidos!$O$2:$O$200)))</f>
        <v/>
      </c>
      <c r="M92" s="141" t="str">
        <f>IF(J92="","",itens_Remanesc!C40)</f>
        <v/>
      </c>
      <c r="N92" s="141" t="str">
        <f>IF(J92="","",IF($F$4="C0",historico_VU!C40,IF($F$4="C1",historico_VU!D40,IF($F$4="C2",historico_VU!E40,IF($F$4="C3",historico_VU!F40,historico_VU!G40)))))</f>
        <v/>
      </c>
      <c r="O92" s="141" t="str">
        <f t="shared" si="4"/>
        <v/>
      </c>
      <c r="P92" s="141" t="str">
        <f t="shared" si="5"/>
        <v/>
      </c>
      <c r="Q92" s="142" t="str">
        <f t="shared" si="6"/>
        <v/>
      </c>
      <c r="X92">
        <f>IF(posicao_contratual!$A92="",0,IF(AND(ISNUMBER(posicao_contratual!$Y92),posicao_contratual!$Y92&gt;0),0,IF(AND(ISNUMBER(posicao_contratual!$G92),ISNUMBER(posicao_contratual!$K92),ISNUMBER(historico_VU!$C92)),((posicao_contratual!$G92-N(posicao_contratual!$AB92))-(posicao_contratual!$K92-N(posicao_contratual!$AC92)))*historico_VU!$C92,"")))</f>
        <v>0</v>
      </c>
      <c r="Y92">
        <f>IF(OR(posicao_contratual!$A92="",$T$20=""),0,IF(AND(ISNUMBER(CHOOSE($T$20+1,historico_VU!$C92,historico_VU!$D92,historico_VU!$E92,historico_VU!$F92,historico_VU!$G92)),ISNUMBER(CHOOSE($T$20+1,posicao_contratual!$G92,posicao_contratual!$K92,posicao_contratual!$O92,posicao_contratual!$S92,posicao_contratual!$W92))),ROUND(ROUND(CHOOSE($T$20+1,historico_VU!$C92,historico_VU!$D92,historico_VU!$E92,historico_VU!$F92,historico_VU!$G92),2)*CHOOSE($T$20+1,posicao_contratual!$G92,posicao_contratual!$K92,posicao_contratual!$O92,posicao_contratual!$S92,posicao_contratual!$W92),2),""))</f>
        <v>0</v>
      </c>
      <c r="AB92">
        <f>IF(OR(posicao_contratual!$A92="",$W$46=""),0,IF(AND(ISNUMBER(CHOOSE($W$46+1,historico_VU!$C92,historico_VU!$D92,historico_VU!$E92,historico_VU!$F92,historico_VU!$G92)),ISNUMBER(CHOOSE($W$46+1,posicao_contratual!$G92,posicao_contratual!$K92,posicao_contratual!$O92,posicao_contratual!$S92,posicao_contratual!$W92))),ROUND(ROUND(CHOOSE($W$46+1,historico_VU!$C92,historico_VU!$D92,historico_VU!$E92,historico_VU!$F92,historico_VU!$G92),2)*CHOOSE($W$46+1,posicao_contratual!$G92,posicao_contratual!$K92,posicao_contratual!$O92,posicao_contratual!$S92,posicao_contratual!$W92),2),""))</f>
        <v>0</v>
      </c>
      <c r="AC92">
        <f>IF(OR(posicao_contratual!$A92="",$W$46=""),0,IF(OR($AB92="",$AD92=""),"",ROUND($AB92-$AD92,2)))</f>
        <v>0</v>
      </c>
      <c r="AD92">
        <f>IF(OR(posicao_contratual!$A92="",$W$46=""),0,IF($AB92="","",IF(NOT(ISNUMBER(CHOOSE($W$46+1,posicao_contratual!$AB92,posicao_contratual!$AC92,posicao_contratual!$AD92,posicao_contratual!$AE92,posicao_contratual!$AF92))),0,ROUND(ROUND(CHOOSE($W$46+1,historico_VU!$C92,historico_VU!$D92,historico_VU!$E92,historico_VU!$F92,historico_VU!$G92),2)*CHOOSE($W$46+1,posicao_contratual!$AB92,posicao_contratual!$AC92,posicao_contratual!$AD92,posicao_contratual!$AE92,posicao_contratual!$AF92),2))))</f>
        <v>0</v>
      </c>
    </row>
    <row r="93" spans="1:30" hidden="1" outlineLevel="1" x14ac:dyDescent="0.35">
      <c r="A93" s="137" t="str">
        <f>IF(historico_VU!A41="","",historico_VU!A41)</f>
        <v/>
      </c>
      <c r="B93" s="138" t="str">
        <f>IF(A93="","",historico_VU!B41)</f>
        <v/>
      </c>
      <c r="C93" s="139" t="str">
        <f>IF(A93="","",historico_VU!C41)</f>
        <v/>
      </c>
      <c r="D93" s="139" t="str">
        <f>IF(A93="","",historico_VU!D41)</f>
        <v/>
      </c>
      <c r="E93" s="139" t="str">
        <f>IF(A93="","",historico_VU!E41)</f>
        <v/>
      </c>
      <c r="F93" s="139" t="str">
        <f>IF(A93="","",historico_VU!F41)</f>
        <v/>
      </c>
      <c r="G93" s="139" t="str">
        <f>IF(A93="","",historico_VU!G41)</f>
        <v/>
      </c>
      <c r="H93" s="140" t="str">
        <f>IF(A93="","",historico_VU!H41)</f>
        <v/>
      </c>
      <c r="I93" s="57"/>
      <c r="J93" s="137" t="str">
        <f>IF(itens_Remanesc!A41="","",itens_Remanesc!A41)</f>
        <v/>
      </c>
      <c r="K93" s="138" t="str">
        <f>IF(J93="","",IF($F$4="C0",itens_Remanesc!B41,IF($F$4="C1",itens_Remanesc!E41,IF($F$4="C2",itens_Remanesc!G41,IF($F$4="C3",itens_Remanesc!I41,itens_Remanesc!K41)))))</f>
        <v/>
      </c>
      <c r="L93" s="138" t="str">
        <f>IF(J93="","",IF(SUMIF(itens_Consumidos!$A$2:$A$200,J93,itens_Consumidos!$B$2:$B$200)-SUMIF(itens_Consumidos!$A$2:$A$200,J93,itens_Consumidos!$O$2:$O$200)&lt;0,0,SUMIF(itens_Consumidos!$A$2:$A$200,J93,itens_Consumidos!$B$2:$B$200)-SUMIF(itens_Consumidos!$A$2:$A$200,J93,itens_Consumidos!$O$2:$O$200)))</f>
        <v/>
      </c>
      <c r="M93" s="141" t="str">
        <f>IF(J93="","",itens_Remanesc!C41)</f>
        <v/>
      </c>
      <c r="N93" s="141" t="str">
        <f>IF(J93="","",IF($F$4="C0",historico_VU!C41,IF($F$4="C1",historico_VU!D41,IF($F$4="C2",historico_VU!E41,IF($F$4="C3",historico_VU!F41,historico_VU!G41)))))</f>
        <v/>
      </c>
      <c r="O93" s="141" t="str">
        <f t="shared" si="4"/>
        <v/>
      </c>
      <c r="P93" s="141" t="str">
        <f t="shared" si="5"/>
        <v/>
      </c>
      <c r="Q93" s="142" t="str">
        <f t="shared" si="6"/>
        <v/>
      </c>
      <c r="X93">
        <f>IF(posicao_contratual!$A93="",0,IF(AND(ISNUMBER(posicao_contratual!$Y93),posicao_contratual!$Y93&gt;0),0,IF(AND(ISNUMBER(posicao_contratual!$G93),ISNUMBER(posicao_contratual!$K93),ISNUMBER(historico_VU!$C93)),((posicao_contratual!$G93-N(posicao_contratual!$AB93))-(posicao_contratual!$K93-N(posicao_contratual!$AC93)))*historico_VU!$C93,"")))</f>
        <v>0</v>
      </c>
      <c r="Y93">
        <f>IF(OR(posicao_contratual!$A93="",$T$20=""),0,IF(AND(ISNUMBER(CHOOSE($T$20+1,historico_VU!$C93,historico_VU!$D93,historico_VU!$E93,historico_VU!$F93,historico_VU!$G93)),ISNUMBER(CHOOSE($T$20+1,posicao_contratual!$G93,posicao_contratual!$K93,posicao_contratual!$O93,posicao_contratual!$S93,posicao_contratual!$W93))),ROUND(ROUND(CHOOSE($T$20+1,historico_VU!$C93,historico_VU!$D93,historico_VU!$E93,historico_VU!$F93,historico_VU!$G93),2)*CHOOSE($T$20+1,posicao_contratual!$G93,posicao_contratual!$K93,posicao_contratual!$O93,posicao_contratual!$S93,posicao_contratual!$W93),2),""))</f>
        <v>0</v>
      </c>
      <c r="AB93">
        <f>IF(OR(posicao_contratual!$A93="",$W$46=""),0,IF(AND(ISNUMBER(CHOOSE($W$46+1,historico_VU!$C93,historico_VU!$D93,historico_VU!$E93,historico_VU!$F93,historico_VU!$G93)),ISNUMBER(CHOOSE($W$46+1,posicao_contratual!$G93,posicao_contratual!$K93,posicao_contratual!$O93,posicao_contratual!$S93,posicao_contratual!$W93))),ROUND(ROUND(CHOOSE($W$46+1,historico_VU!$C93,historico_VU!$D93,historico_VU!$E93,historico_VU!$F93,historico_VU!$G93),2)*CHOOSE($W$46+1,posicao_contratual!$G93,posicao_contratual!$K93,posicao_contratual!$O93,posicao_contratual!$S93,posicao_contratual!$W93),2),""))</f>
        <v>0</v>
      </c>
      <c r="AC93">
        <f>IF(OR(posicao_contratual!$A93="",$W$46=""),0,IF(OR($AB93="",$AD93=""),"",ROUND($AB93-$AD93,2)))</f>
        <v>0</v>
      </c>
      <c r="AD93">
        <f>IF(OR(posicao_contratual!$A93="",$W$46=""),0,IF($AB93="","",IF(NOT(ISNUMBER(CHOOSE($W$46+1,posicao_contratual!$AB93,posicao_contratual!$AC93,posicao_contratual!$AD93,posicao_contratual!$AE93,posicao_contratual!$AF93))),0,ROUND(ROUND(CHOOSE($W$46+1,historico_VU!$C93,historico_VU!$D93,historico_VU!$E93,historico_VU!$F93,historico_VU!$G93),2)*CHOOSE($W$46+1,posicao_contratual!$AB93,posicao_contratual!$AC93,posicao_contratual!$AD93,posicao_contratual!$AE93,posicao_contratual!$AF93),2))))</f>
        <v>0</v>
      </c>
    </row>
    <row r="94" spans="1:30" hidden="1" outlineLevel="1" x14ac:dyDescent="0.35">
      <c r="A94" s="137" t="str">
        <f>IF(historico_VU!A42="","",historico_VU!A42)</f>
        <v/>
      </c>
      <c r="B94" s="138" t="str">
        <f>IF(A94="","",historico_VU!B42)</f>
        <v/>
      </c>
      <c r="C94" s="139" t="str">
        <f>IF(A94="","",historico_VU!C42)</f>
        <v/>
      </c>
      <c r="D94" s="139" t="str">
        <f>IF(A94="","",historico_VU!D42)</f>
        <v/>
      </c>
      <c r="E94" s="139" t="str">
        <f>IF(A94="","",historico_VU!E42)</f>
        <v/>
      </c>
      <c r="F94" s="139" t="str">
        <f>IF(A94="","",historico_VU!F42)</f>
        <v/>
      </c>
      <c r="G94" s="139" t="str">
        <f>IF(A94="","",historico_VU!G42)</f>
        <v/>
      </c>
      <c r="H94" s="140" t="str">
        <f>IF(A94="","",historico_VU!H42)</f>
        <v/>
      </c>
      <c r="I94" s="57"/>
      <c r="J94" s="137" t="str">
        <f>IF(itens_Remanesc!A42="","",itens_Remanesc!A42)</f>
        <v/>
      </c>
      <c r="K94" s="138" t="str">
        <f>IF(J94="","",IF($F$4="C0",itens_Remanesc!B42,IF($F$4="C1",itens_Remanesc!E42,IF($F$4="C2",itens_Remanesc!G42,IF($F$4="C3",itens_Remanesc!I42,itens_Remanesc!K42)))))</f>
        <v/>
      </c>
      <c r="L94" s="138" t="str">
        <f>IF(J94="","",IF(SUMIF(itens_Consumidos!$A$2:$A$200,J94,itens_Consumidos!$B$2:$B$200)-SUMIF(itens_Consumidos!$A$2:$A$200,J94,itens_Consumidos!$O$2:$O$200)&lt;0,0,SUMIF(itens_Consumidos!$A$2:$A$200,J94,itens_Consumidos!$B$2:$B$200)-SUMIF(itens_Consumidos!$A$2:$A$200,J94,itens_Consumidos!$O$2:$O$200)))</f>
        <v/>
      </c>
      <c r="M94" s="141" t="str">
        <f>IF(J94="","",itens_Remanesc!C42)</f>
        <v/>
      </c>
      <c r="N94" s="141" t="str">
        <f>IF(J94="","",IF($F$4="C0",historico_VU!C42,IF($F$4="C1",historico_VU!D42,IF($F$4="C2",historico_VU!E42,IF($F$4="C3",historico_VU!F42,historico_VU!G42)))))</f>
        <v/>
      </c>
      <c r="O94" s="141" t="str">
        <f t="shared" si="4"/>
        <v/>
      </c>
      <c r="P94" s="141" t="str">
        <f t="shared" si="5"/>
        <v/>
      </c>
      <c r="Q94" s="142" t="str">
        <f t="shared" si="6"/>
        <v/>
      </c>
      <c r="X94">
        <f>IF(posicao_contratual!$A94="",0,IF(AND(ISNUMBER(posicao_contratual!$Y94),posicao_contratual!$Y94&gt;0),0,IF(AND(ISNUMBER(posicao_contratual!$G94),ISNUMBER(posicao_contratual!$K94),ISNUMBER(historico_VU!$C94)),((posicao_contratual!$G94-N(posicao_contratual!$AB94))-(posicao_contratual!$K94-N(posicao_contratual!$AC94)))*historico_VU!$C94,"")))</f>
        <v>0</v>
      </c>
      <c r="Y94">
        <f>IF(OR(posicao_contratual!$A94="",$T$20=""),0,IF(AND(ISNUMBER(CHOOSE($T$20+1,historico_VU!$C94,historico_VU!$D94,historico_VU!$E94,historico_VU!$F94,historico_VU!$G94)),ISNUMBER(CHOOSE($T$20+1,posicao_contratual!$G94,posicao_contratual!$K94,posicao_contratual!$O94,posicao_contratual!$S94,posicao_contratual!$W94))),ROUND(ROUND(CHOOSE($T$20+1,historico_VU!$C94,historico_VU!$D94,historico_VU!$E94,historico_VU!$F94,historico_VU!$G94),2)*CHOOSE($T$20+1,posicao_contratual!$G94,posicao_contratual!$K94,posicao_contratual!$O94,posicao_contratual!$S94,posicao_contratual!$W94),2),""))</f>
        <v>0</v>
      </c>
      <c r="AB94">
        <f>IF(OR(posicao_contratual!$A94="",$W$46=""),0,IF(AND(ISNUMBER(CHOOSE($W$46+1,historico_VU!$C94,historico_VU!$D94,historico_VU!$E94,historico_VU!$F94,historico_VU!$G94)),ISNUMBER(CHOOSE($W$46+1,posicao_contratual!$G94,posicao_contratual!$K94,posicao_contratual!$O94,posicao_contratual!$S94,posicao_contratual!$W94))),ROUND(ROUND(CHOOSE($W$46+1,historico_VU!$C94,historico_VU!$D94,historico_VU!$E94,historico_VU!$F94,historico_VU!$G94),2)*CHOOSE($W$46+1,posicao_contratual!$G94,posicao_contratual!$K94,posicao_contratual!$O94,posicao_contratual!$S94,posicao_contratual!$W94),2),""))</f>
        <v>0</v>
      </c>
      <c r="AC94">
        <f>IF(OR(posicao_contratual!$A94="",$W$46=""),0,IF(OR($AB94="",$AD94=""),"",ROUND($AB94-$AD94,2)))</f>
        <v>0</v>
      </c>
      <c r="AD94">
        <f>IF(OR(posicao_contratual!$A94="",$W$46=""),0,IF($AB94="","",IF(NOT(ISNUMBER(CHOOSE($W$46+1,posicao_contratual!$AB94,posicao_contratual!$AC94,posicao_contratual!$AD94,posicao_contratual!$AE94,posicao_contratual!$AF94))),0,ROUND(ROUND(CHOOSE($W$46+1,historico_VU!$C94,historico_VU!$D94,historico_VU!$E94,historico_VU!$F94,historico_VU!$G94),2)*CHOOSE($W$46+1,posicao_contratual!$AB94,posicao_contratual!$AC94,posicao_contratual!$AD94,posicao_contratual!$AE94,posicao_contratual!$AF94),2))))</f>
        <v>0</v>
      </c>
    </row>
    <row r="95" spans="1:30" hidden="1" outlineLevel="1" x14ac:dyDescent="0.35">
      <c r="A95" s="137" t="str">
        <f>IF(historico_VU!A43="","",historico_VU!A43)</f>
        <v/>
      </c>
      <c r="B95" s="138" t="str">
        <f>IF(A95="","",historico_VU!B43)</f>
        <v/>
      </c>
      <c r="C95" s="139" t="str">
        <f>IF(A95="","",historico_VU!C43)</f>
        <v/>
      </c>
      <c r="D95" s="139" t="str">
        <f>IF(A95="","",historico_VU!D43)</f>
        <v/>
      </c>
      <c r="E95" s="139" t="str">
        <f>IF(A95="","",historico_VU!E43)</f>
        <v/>
      </c>
      <c r="F95" s="139" t="str">
        <f>IF(A95="","",historico_VU!F43)</f>
        <v/>
      </c>
      <c r="G95" s="139" t="str">
        <f>IF(A95="","",historico_VU!G43)</f>
        <v/>
      </c>
      <c r="H95" s="140" t="str">
        <f>IF(A95="","",historico_VU!H43)</f>
        <v/>
      </c>
      <c r="I95" s="57"/>
      <c r="J95" s="137" t="str">
        <f>IF(itens_Remanesc!A43="","",itens_Remanesc!A43)</f>
        <v/>
      </c>
      <c r="K95" s="138" t="str">
        <f>IF(J95="","",IF($F$4="C0",itens_Remanesc!B43,IF($F$4="C1",itens_Remanesc!E43,IF($F$4="C2",itens_Remanesc!G43,IF($F$4="C3",itens_Remanesc!I43,itens_Remanesc!K43)))))</f>
        <v/>
      </c>
      <c r="L95" s="138" t="str">
        <f>IF(J95="","",IF(SUMIF(itens_Consumidos!$A$2:$A$200,J95,itens_Consumidos!$B$2:$B$200)-SUMIF(itens_Consumidos!$A$2:$A$200,J95,itens_Consumidos!$O$2:$O$200)&lt;0,0,SUMIF(itens_Consumidos!$A$2:$A$200,J95,itens_Consumidos!$B$2:$B$200)-SUMIF(itens_Consumidos!$A$2:$A$200,J95,itens_Consumidos!$O$2:$O$200)))</f>
        <v/>
      </c>
      <c r="M95" s="141" t="str">
        <f>IF(J95="","",itens_Remanesc!C43)</f>
        <v/>
      </c>
      <c r="N95" s="141" t="str">
        <f>IF(J95="","",IF($F$4="C0",historico_VU!C43,IF($F$4="C1",historico_VU!D43,IF($F$4="C2",historico_VU!E43,IF($F$4="C3",historico_VU!F43,historico_VU!G43)))))</f>
        <v/>
      </c>
      <c r="O95" s="141" t="str">
        <f t="shared" si="4"/>
        <v/>
      </c>
      <c r="P95" s="141" t="str">
        <f t="shared" si="5"/>
        <v/>
      </c>
      <c r="Q95" s="142" t="str">
        <f t="shared" si="6"/>
        <v/>
      </c>
      <c r="X95">
        <f>IF(posicao_contratual!$A95="",0,IF(AND(ISNUMBER(posicao_contratual!$Y95),posicao_contratual!$Y95&gt;0),0,IF(AND(ISNUMBER(posicao_contratual!$G95),ISNUMBER(posicao_contratual!$K95),ISNUMBER(historico_VU!$C95)),((posicao_contratual!$G95-N(posicao_contratual!$AB95))-(posicao_contratual!$K95-N(posicao_contratual!$AC95)))*historico_VU!$C95,"")))</f>
        <v>0</v>
      </c>
      <c r="Y95">
        <f>IF(OR(posicao_contratual!$A95="",$T$20=""),0,IF(AND(ISNUMBER(CHOOSE($T$20+1,historico_VU!$C95,historico_VU!$D95,historico_VU!$E95,historico_VU!$F95,historico_VU!$G95)),ISNUMBER(CHOOSE($T$20+1,posicao_contratual!$G95,posicao_contratual!$K95,posicao_contratual!$O95,posicao_contratual!$S95,posicao_contratual!$W95))),ROUND(ROUND(CHOOSE($T$20+1,historico_VU!$C95,historico_VU!$D95,historico_VU!$E95,historico_VU!$F95,historico_VU!$G95),2)*CHOOSE($T$20+1,posicao_contratual!$G95,posicao_contratual!$K95,posicao_contratual!$O95,posicao_contratual!$S95,posicao_contratual!$W95),2),""))</f>
        <v>0</v>
      </c>
      <c r="AB95">
        <f>IF(OR(posicao_contratual!$A95="",$W$46=""),0,IF(AND(ISNUMBER(CHOOSE($W$46+1,historico_VU!$C95,historico_VU!$D95,historico_VU!$E95,historico_VU!$F95,historico_VU!$G95)),ISNUMBER(CHOOSE($W$46+1,posicao_contratual!$G95,posicao_contratual!$K95,posicao_contratual!$O95,posicao_contratual!$S95,posicao_contratual!$W95))),ROUND(ROUND(CHOOSE($W$46+1,historico_VU!$C95,historico_VU!$D95,historico_VU!$E95,historico_VU!$F95,historico_VU!$G95),2)*CHOOSE($W$46+1,posicao_contratual!$G95,posicao_contratual!$K95,posicao_contratual!$O95,posicao_contratual!$S95,posicao_contratual!$W95),2),""))</f>
        <v>0</v>
      </c>
      <c r="AC95">
        <f>IF(OR(posicao_contratual!$A95="",$W$46=""),0,IF(OR($AB95="",$AD95=""),"",ROUND($AB95-$AD95,2)))</f>
        <v>0</v>
      </c>
      <c r="AD95">
        <f>IF(OR(posicao_contratual!$A95="",$W$46=""),0,IF($AB95="","",IF(NOT(ISNUMBER(CHOOSE($W$46+1,posicao_contratual!$AB95,posicao_contratual!$AC95,posicao_contratual!$AD95,posicao_contratual!$AE95,posicao_contratual!$AF95))),0,ROUND(ROUND(CHOOSE($W$46+1,historico_VU!$C95,historico_VU!$D95,historico_VU!$E95,historico_VU!$F95,historico_VU!$G95),2)*CHOOSE($W$46+1,posicao_contratual!$AB95,posicao_contratual!$AC95,posicao_contratual!$AD95,posicao_contratual!$AE95,posicao_contratual!$AF95),2))))</f>
        <v>0</v>
      </c>
    </row>
    <row r="96" spans="1:30" hidden="1" outlineLevel="1" x14ac:dyDescent="0.35">
      <c r="A96" s="137" t="str">
        <f>IF(historico_VU!A44="","",historico_VU!A44)</f>
        <v/>
      </c>
      <c r="B96" s="138" t="str">
        <f>IF(A96="","",historico_VU!B44)</f>
        <v/>
      </c>
      <c r="C96" s="139" t="str">
        <f>IF(A96="","",historico_VU!C44)</f>
        <v/>
      </c>
      <c r="D96" s="139" t="str">
        <f>IF(A96="","",historico_VU!D44)</f>
        <v/>
      </c>
      <c r="E96" s="139" t="str">
        <f>IF(A96="","",historico_VU!E44)</f>
        <v/>
      </c>
      <c r="F96" s="139" t="str">
        <f>IF(A96="","",historico_VU!F44)</f>
        <v/>
      </c>
      <c r="G96" s="139" t="str">
        <f>IF(A96="","",historico_VU!G44)</f>
        <v/>
      </c>
      <c r="H96" s="140" t="str">
        <f>IF(A96="","",historico_VU!H44)</f>
        <v/>
      </c>
      <c r="I96" s="57"/>
      <c r="J96" s="137" t="str">
        <f>IF(itens_Remanesc!A44="","",itens_Remanesc!A44)</f>
        <v/>
      </c>
      <c r="K96" s="138" t="str">
        <f>IF(J96="","",IF($F$4="C0",itens_Remanesc!B44,IF($F$4="C1",itens_Remanesc!E44,IF($F$4="C2",itens_Remanesc!G44,IF($F$4="C3",itens_Remanesc!I44,itens_Remanesc!K44)))))</f>
        <v/>
      </c>
      <c r="L96" s="138" t="str">
        <f>IF(J96="","",IF(SUMIF(itens_Consumidos!$A$2:$A$200,J96,itens_Consumidos!$B$2:$B$200)-SUMIF(itens_Consumidos!$A$2:$A$200,J96,itens_Consumidos!$O$2:$O$200)&lt;0,0,SUMIF(itens_Consumidos!$A$2:$A$200,J96,itens_Consumidos!$B$2:$B$200)-SUMIF(itens_Consumidos!$A$2:$A$200,J96,itens_Consumidos!$O$2:$O$200)))</f>
        <v/>
      </c>
      <c r="M96" s="141" t="str">
        <f>IF(J96="","",itens_Remanesc!C44)</f>
        <v/>
      </c>
      <c r="N96" s="141" t="str">
        <f>IF(J96="","",IF($F$4="C0",historico_VU!C44,IF($F$4="C1",historico_VU!D44,IF($F$4="C2",historico_VU!E44,IF($F$4="C3",historico_VU!F44,historico_VU!G44)))))</f>
        <v/>
      </c>
      <c r="O96" s="141" t="str">
        <f t="shared" si="4"/>
        <v/>
      </c>
      <c r="P96" s="141" t="str">
        <f t="shared" si="5"/>
        <v/>
      </c>
      <c r="Q96" s="142" t="str">
        <f t="shared" si="6"/>
        <v/>
      </c>
      <c r="X96">
        <f>IF(posicao_contratual!$A96="",0,IF(AND(ISNUMBER(posicao_contratual!$Y96),posicao_contratual!$Y96&gt;0),0,IF(AND(ISNUMBER(posicao_contratual!$G96),ISNUMBER(posicao_contratual!$K96),ISNUMBER(historico_VU!$C96)),((posicao_contratual!$G96-N(posicao_contratual!$AB96))-(posicao_contratual!$K96-N(posicao_contratual!$AC96)))*historico_VU!$C96,"")))</f>
        <v>0</v>
      </c>
      <c r="Y96">
        <f>IF(OR(posicao_contratual!$A96="",$T$20=""),0,IF(AND(ISNUMBER(CHOOSE($T$20+1,historico_VU!$C96,historico_VU!$D96,historico_VU!$E96,historico_VU!$F96,historico_VU!$G96)),ISNUMBER(CHOOSE($T$20+1,posicao_contratual!$G96,posicao_contratual!$K96,posicao_contratual!$O96,posicao_contratual!$S96,posicao_contratual!$W96))),ROUND(ROUND(CHOOSE($T$20+1,historico_VU!$C96,historico_VU!$D96,historico_VU!$E96,historico_VU!$F96,historico_VU!$G96),2)*CHOOSE($T$20+1,posicao_contratual!$G96,posicao_contratual!$K96,posicao_contratual!$O96,posicao_contratual!$S96,posicao_contratual!$W96),2),""))</f>
        <v>0</v>
      </c>
      <c r="AB96">
        <f>IF(OR(posicao_contratual!$A96="",$W$46=""),0,IF(AND(ISNUMBER(CHOOSE($W$46+1,historico_VU!$C96,historico_VU!$D96,historico_VU!$E96,historico_VU!$F96,historico_VU!$G96)),ISNUMBER(CHOOSE($W$46+1,posicao_contratual!$G96,posicao_contratual!$K96,posicao_contratual!$O96,posicao_contratual!$S96,posicao_contratual!$W96))),ROUND(ROUND(CHOOSE($W$46+1,historico_VU!$C96,historico_VU!$D96,historico_VU!$E96,historico_VU!$F96,historico_VU!$G96),2)*CHOOSE($W$46+1,posicao_contratual!$G96,posicao_contratual!$K96,posicao_contratual!$O96,posicao_contratual!$S96,posicao_contratual!$W96),2),""))</f>
        <v>0</v>
      </c>
      <c r="AC96">
        <f>IF(OR(posicao_contratual!$A96="",$W$46=""),0,IF(OR($AB96="",$AD96=""),"",ROUND($AB96-$AD96,2)))</f>
        <v>0</v>
      </c>
      <c r="AD96">
        <f>IF(OR(posicao_contratual!$A96="",$W$46=""),0,IF($AB96="","",IF(NOT(ISNUMBER(CHOOSE($W$46+1,posicao_contratual!$AB96,posicao_contratual!$AC96,posicao_contratual!$AD96,posicao_contratual!$AE96,posicao_contratual!$AF96))),0,ROUND(ROUND(CHOOSE($W$46+1,historico_VU!$C96,historico_VU!$D96,historico_VU!$E96,historico_VU!$F96,historico_VU!$G96),2)*CHOOSE($W$46+1,posicao_contratual!$AB96,posicao_contratual!$AC96,posicao_contratual!$AD96,posicao_contratual!$AE96,posicao_contratual!$AF96),2))))</f>
        <v>0</v>
      </c>
    </row>
    <row r="97" spans="1:30" hidden="1" outlineLevel="1" x14ac:dyDescent="0.35">
      <c r="A97" s="137" t="str">
        <f>IF(historico_VU!A45="","",historico_VU!A45)</f>
        <v/>
      </c>
      <c r="B97" s="138" t="str">
        <f>IF(A97="","",historico_VU!B45)</f>
        <v/>
      </c>
      <c r="C97" s="139" t="str">
        <f>IF(A97="","",historico_VU!C45)</f>
        <v/>
      </c>
      <c r="D97" s="139" t="str">
        <f>IF(A97="","",historico_VU!D45)</f>
        <v/>
      </c>
      <c r="E97" s="139" t="str">
        <f>IF(A97="","",historico_VU!E45)</f>
        <v/>
      </c>
      <c r="F97" s="139" t="str">
        <f>IF(A97="","",historico_VU!F45)</f>
        <v/>
      </c>
      <c r="G97" s="139" t="str">
        <f>IF(A97="","",historico_VU!G45)</f>
        <v/>
      </c>
      <c r="H97" s="140" t="str">
        <f>IF(A97="","",historico_VU!H45)</f>
        <v/>
      </c>
      <c r="I97" s="57"/>
      <c r="J97" s="137" t="str">
        <f>IF(itens_Remanesc!A45="","",itens_Remanesc!A45)</f>
        <v/>
      </c>
      <c r="K97" s="138" t="str">
        <f>IF(J97="","",IF($F$4="C0",itens_Remanesc!B45,IF($F$4="C1",itens_Remanesc!E45,IF($F$4="C2",itens_Remanesc!G45,IF($F$4="C3",itens_Remanesc!I45,itens_Remanesc!K45)))))</f>
        <v/>
      </c>
      <c r="L97" s="138" t="str">
        <f>IF(J97="","",IF(SUMIF(itens_Consumidos!$A$2:$A$200,J97,itens_Consumidos!$B$2:$B$200)-SUMIF(itens_Consumidos!$A$2:$A$200,J97,itens_Consumidos!$O$2:$O$200)&lt;0,0,SUMIF(itens_Consumidos!$A$2:$A$200,J97,itens_Consumidos!$B$2:$B$200)-SUMIF(itens_Consumidos!$A$2:$A$200,J97,itens_Consumidos!$O$2:$O$200)))</f>
        <v/>
      </c>
      <c r="M97" s="141" t="str">
        <f>IF(J97="","",itens_Remanesc!C45)</f>
        <v/>
      </c>
      <c r="N97" s="141" t="str">
        <f>IF(J97="","",IF($F$4="C0",historico_VU!C45,IF($F$4="C1",historico_VU!D45,IF($F$4="C2",historico_VU!E45,IF($F$4="C3",historico_VU!F45,historico_VU!G45)))))</f>
        <v/>
      </c>
      <c r="O97" s="141" t="str">
        <f t="shared" si="4"/>
        <v/>
      </c>
      <c r="P97" s="141" t="str">
        <f t="shared" si="5"/>
        <v/>
      </c>
      <c r="Q97" s="142" t="str">
        <f t="shared" si="6"/>
        <v/>
      </c>
      <c r="X97">
        <f>IF(posicao_contratual!$A97="",0,IF(AND(ISNUMBER(posicao_contratual!$Y97),posicao_contratual!$Y97&gt;0),0,IF(AND(ISNUMBER(posicao_contratual!$G97),ISNUMBER(posicao_contratual!$K97),ISNUMBER(historico_VU!$C97)),((posicao_contratual!$G97-N(posicao_contratual!$AB97))-(posicao_contratual!$K97-N(posicao_contratual!$AC97)))*historico_VU!$C97,"")))</f>
        <v>0</v>
      </c>
      <c r="Y97">
        <f>IF(OR(posicao_contratual!$A97="",$T$20=""),0,IF(AND(ISNUMBER(CHOOSE($T$20+1,historico_VU!$C97,historico_VU!$D97,historico_VU!$E97,historico_VU!$F97,historico_VU!$G97)),ISNUMBER(CHOOSE($T$20+1,posicao_contratual!$G97,posicao_contratual!$K97,posicao_contratual!$O97,posicao_contratual!$S97,posicao_contratual!$W97))),ROUND(ROUND(CHOOSE($T$20+1,historico_VU!$C97,historico_VU!$D97,historico_VU!$E97,historico_VU!$F97,historico_VU!$G97),2)*CHOOSE($T$20+1,posicao_contratual!$G97,posicao_contratual!$K97,posicao_contratual!$O97,posicao_contratual!$S97,posicao_contratual!$W97),2),""))</f>
        <v>0</v>
      </c>
      <c r="AB97">
        <f>IF(OR(posicao_contratual!$A97="",$W$46=""),0,IF(AND(ISNUMBER(CHOOSE($W$46+1,historico_VU!$C97,historico_VU!$D97,historico_VU!$E97,historico_VU!$F97,historico_VU!$G97)),ISNUMBER(CHOOSE($W$46+1,posicao_contratual!$G97,posicao_contratual!$K97,posicao_contratual!$O97,posicao_contratual!$S97,posicao_contratual!$W97))),ROUND(ROUND(CHOOSE($W$46+1,historico_VU!$C97,historico_VU!$D97,historico_VU!$E97,historico_VU!$F97,historico_VU!$G97),2)*CHOOSE($W$46+1,posicao_contratual!$G97,posicao_contratual!$K97,posicao_contratual!$O97,posicao_contratual!$S97,posicao_contratual!$W97),2),""))</f>
        <v>0</v>
      </c>
      <c r="AC97">
        <f>IF(OR(posicao_contratual!$A97="",$W$46=""),0,IF(OR($AB97="",$AD97=""),"",ROUND($AB97-$AD97,2)))</f>
        <v>0</v>
      </c>
      <c r="AD97">
        <f>IF(OR(posicao_contratual!$A97="",$W$46=""),0,IF($AB97="","",IF(NOT(ISNUMBER(CHOOSE($W$46+1,posicao_contratual!$AB97,posicao_contratual!$AC97,posicao_contratual!$AD97,posicao_contratual!$AE97,posicao_contratual!$AF97))),0,ROUND(ROUND(CHOOSE($W$46+1,historico_VU!$C97,historico_VU!$D97,historico_VU!$E97,historico_VU!$F97,historico_VU!$G97),2)*CHOOSE($W$46+1,posicao_contratual!$AB97,posicao_contratual!$AC97,posicao_contratual!$AD97,posicao_contratual!$AE97,posicao_contratual!$AF97),2))))</f>
        <v>0</v>
      </c>
    </row>
    <row r="98" spans="1:30" hidden="1" outlineLevel="1" x14ac:dyDescent="0.35">
      <c r="A98" s="137" t="str">
        <f>IF(historico_VU!A46="","",historico_VU!A46)</f>
        <v/>
      </c>
      <c r="B98" s="138" t="str">
        <f>IF(A98="","",historico_VU!B46)</f>
        <v/>
      </c>
      <c r="C98" s="139" t="str">
        <f>IF(A98="","",historico_VU!C46)</f>
        <v/>
      </c>
      <c r="D98" s="139" t="str">
        <f>IF(A98="","",historico_VU!D46)</f>
        <v/>
      </c>
      <c r="E98" s="139" t="str">
        <f>IF(A98="","",historico_VU!E46)</f>
        <v/>
      </c>
      <c r="F98" s="139" t="str">
        <f>IF(A98="","",historico_VU!F46)</f>
        <v/>
      </c>
      <c r="G98" s="139" t="str">
        <f>IF(A98="","",historico_VU!G46)</f>
        <v/>
      </c>
      <c r="H98" s="140" t="str">
        <f>IF(A98="","",historico_VU!H46)</f>
        <v/>
      </c>
      <c r="I98" s="57"/>
      <c r="J98" s="137" t="str">
        <f>IF(itens_Remanesc!A46="","",itens_Remanesc!A46)</f>
        <v/>
      </c>
      <c r="K98" s="138" t="str">
        <f>IF(J98="","",IF($F$4="C0",itens_Remanesc!B46,IF($F$4="C1",itens_Remanesc!E46,IF($F$4="C2",itens_Remanesc!G46,IF($F$4="C3",itens_Remanesc!I46,itens_Remanesc!K46)))))</f>
        <v/>
      </c>
      <c r="L98" s="138" t="str">
        <f>IF(J98="","",IF(SUMIF(itens_Consumidos!$A$2:$A$200,J98,itens_Consumidos!$B$2:$B$200)-SUMIF(itens_Consumidos!$A$2:$A$200,J98,itens_Consumidos!$O$2:$O$200)&lt;0,0,SUMIF(itens_Consumidos!$A$2:$A$200,J98,itens_Consumidos!$B$2:$B$200)-SUMIF(itens_Consumidos!$A$2:$A$200,J98,itens_Consumidos!$O$2:$O$200)))</f>
        <v/>
      </c>
      <c r="M98" s="141" t="str">
        <f>IF(J98="","",itens_Remanesc!C46)</f>
        <v/>
      </c>
      <c r="N98" s="141" t="str">
        <f>IF(J98="","",IF($F$4="C0",historico_VU!C46,IF($F$4="C1",historico_VU!D46,IF($F$4="C2",historico_VU!E46,IF($F$4="C3",historico_VU!F46,historico_VU!G46)))))</f>
        <v/>
      </c>
      <c r="O98" s="141" t="str">
        <f t="shared" si="4"/>
        <v/>
      </c>
      <c r="P98" s="141" t="str">
        <f t="shared" si="5"/>
        <v/>
      </c>
      <c r="Q98" s="142" t="str">
        <f t="shared" si="6"/>
        <v/>
      </c>
      <c r="X98">
        <f>IF(posicao_contratual!$A98="",0,IF(AND(ISNUMBER(posicao_contratual!$Y98),posicao_contratual!$Y98&gt;0),0,IF(AND(ISNUMBER(posicao_contratual!$G98),ISNUMBER(posicao_contratual!$K98),ISNUMBER(historico_VU!$C98)),((posicao_contratual!$G98-N(posicao_contratual!$AB98))-(posicao_contratual!$K98-N(posicao_contratual!$AC98)))*historico_VU!$C98,"")))</f>
        <v>0</v>
      </c>
      <c r="Y98">
        <f>IF(OR(posicao_contratual!$A98="",$T$20=""),0,IF(AND(ISNUMBER(CHOOSE($T$20+1,historico_VU!$C98,historico_VU!$D98,historico_VU!$E98,historico_VU!$F98,historico_VU!$G98)),ISNUMBER(CHOOSE($T$20+1,posicao_contratual!$G98,posicao_contratual!$K98,posicao_contratual!$O98,posicao_contratual!$S98,posicao_contratual!$W98))),ROUND(ROUND(CHOOSE($T$20+1,historico_VU!$C98,historico_VU!$D98,historico_VU!$E98,historico_VU!$F98,historico_VU!$G98),2)*CHOOSE($T$20+1,posicao_contratual!$G98,posicao_contratual!$K98,posicao_contratual!$O98,posicao_contratual!$S98,posicao_contratual!$W98),2),""))</f>
        <v>0</v>
      </c>
      <c r="AB98">
        <f>IF(OR(posicao_contratual!$A98="",$W$46=""),0,IF(AND(ISNUMBER(CHOOSE($W$46+1,historico_VU!$C98,historico_VU!$D98,historico_VU!$E98,historico_VU!$F98,historico_VU!$G98)),ISNUMBER(CHOOSE($W$46+1,posicao_contratual!$G98,posicao_contratual!$K98,posicao_contratual!$O98,posicao_contratual!$S98,posicao_contratual!$W98))),ROUND(ROUND(CHOOSE($W$46+1,historico_VU!$C98,historico_VU!$D98,historico_VU!$E98,historico_VU!$F98,historico_VU!$G98),2)*CHOOSE($W$46+1,posicao_contratual!$G98,posicao_contratual!$K98,posicao_contratual!$O98,posicao_contratual!$S98,posicao_contratual!$W98),2),""))</f>
        <v>0</v>
      </c>
      <c r="AC98">
        <f>IF(OR(posicao_contratual!$A98="",$W$46=""),0,IF(OR($AB98="",$AD98=""),"",ROUND($AB98-$AD98,2)))</f>
        <v>0</v>
      </c>
      <c r="AD98">
        <f>IF(OR(posicao_contratual!$A98="",$W$46=""),0,IF($AB98="","",IF(NOT(ISNUMBER(CHOOSE($W$46+1,posicao_contratual!$AB98,posicao_contratual!$AC98,posicao_contratual!$AD98,posicao_contratual!$AE98,posicao_contratual!$AF98))),0,ROUND(ROUND(CHOOSE($W$46+1,historico_VU!$C98,historico_VU!$D98,historico_VU!$E98,historico_VU!$F98,historico_VU!$G98),2)*CHOOSE($W$46+1,posicao_contratual!$AB98,posicao_contratual!$AC98,posicao_contratual!$AD98,posicao_contratual!$AE98,posicao_contratual!$AF98),2))))</f>
        <v>0</v>
      </c>
    </row>
    <row r="99" spans="1:30" hidden="1" outlineLevel="1" x14ac:dyDescent="0.35">
      <c r="A99" s="137" t="str">
        <f>IF(historico_VU!A47="","",historico_VU!A47)</f>
        <v/>
      </c>
      <c r="B99" s="138" t="str">
        <f>IF(A99="","",historico_VU!B47)</f>
        <v/>
      </c>
      <c r="C99" s="139" t="str">
        <f>IF(A99="","",historico_VU!C47)</f>
        <v/>
      </c>
      <c r="D99" s="139" t="str">
        <f>IF(A99="","",historico_VU!D47)</f>
        <v/>
      </c>
      <c r="E99" s="139" t="str">
        <f>IF(A99="","",historico_VU!E47)</f>
        <v/>
      </c>
      <c r="F99" s="139" t="str">
        <f>IF(A99="","",historico_VU!F47)</f>
        <v/>
      </c>
      <c r="G99" s="139" t="str">
        <f>IF(A99="","",historico_VU!G47)</f>
        <v/>
      </c>
      <c r="H99" s="140" t="str">
        <f>IF(A99="","",historico_VU!H47)</f>
        <v/>
      </c>
      <c r="I99" s="57"/>
      <c r="J99" s="137" t="str">
        <f>IF(itens_Remanesc!A47="","",itens_Remanesc!A47)</f>
        <v/>
      </c>
      <c r="K99" s="138" t="str">
        <f>IF(J99="","",IF($F$4="C0",itens_Remanesc!B47,IF($F$4="C1",itens_Remanesc!E47,IF($F$4="C2",itens_Remanesc!G47,IF($F$4="C3",itens_Remanesc!I47,itens_Remanesc!K47)))))</f>
        <v/>
      </c>
      <c r="L99" s="138" t="str">
        <f>IF(J99="","",IF(SUMIF(itens_Consumidos!$A$2:$A$200,J99,itens_Consumidos!$B$2:$B$200)-SUMIF(itens_Consumidos!$A$2:$A$200,J99,itens_Consumidos!$O$2:$O$200)&lt;0,0,SUMIF(itens_Consumidos!$A$2:$A$200,J99,itens_Consumidos!$B$2:$B$200)-SUMIF(itens_Consumidos!$A$2:$A$200,J99,itens_Consumidos!$O$2:$O$200)))</f>
        <v/>
      </c>
      <c r="M99" s="141" t="str">
        <f>IF(J99="","",itens_Remanesc!C47)</f>
        <v/>
      </c>
      <c r="N99" s="141" t="str">
        <f>IF(J99="","",IF($F$4="C0",historico_VU!C47,IF($F$4="C1",historico_VU!D47,IF($F$4="C2",historico_VU!E47,IF($F$4="C3",historico_VU!F47,historico_VU!G47)))))</f>
        <v/>
      </c>
      <c r="O99" s="141" t="str">
        <f t="shared" si="4"/>
        <v/>
      </c>
      <c r="P99" s="141" t="str">
        <f t="shared" si="5"/>
        <v/>
      </c>
      <c r="Q99" s="142" t="str">
        <f t="shared" si="6"/>
        <v/>
      </c>
      <c r="X99">
        <f>IF(posicao_contratual!$A99="",0,IF(AND(ISNUMBER(posicao_contratual!$Y99),posicao_contratual!$Y99&gt;0),0,IF(AND(ISNUMBER(posicao_contratual!$G99),ISNUMBER(posicao_contratual!$K99),ISNUMBER(historico_VU!$C99)),((posicao_contratual!$G99-N(posicao_contratual!$AB99))-(posicao_contratual!$K99-N(posicao_contratual!$AC99)))*historico_VU!$C99,"")))</f>
        <v>0</v>
      </c>
      <c r="Y99">
        <f>IF(OR(posicao_contratual!$A99="",$T$20=""),0,IF(AND(ISNUMBER(CHOOSE($T$20+1,historico_VU!$C99,historico_VU!$D99,historico_VU!$E99,historico_VU!$F99,historico_VU!$G99)),ISNUMBER(CHOOSE($T$20+1,posicao_contratual!$G99,posicao_contratual!$K99,posicao_contratual!$O99,posicao_contratual!$S99,posicao_contratual!$W99))),ROUND(ROUND(CHOOSE($T$20+1,historico_VU!$C99,historico_VU!$D99,historico_VU!$E99,historico_VU!$F99,historico_VU!$G99),2)*CHOOSE($T$20+1,posicao_contratual!$G99,posicao_contratual!$K99,posicao_contratual!$O99,posicao_contratual!$S99,posicao_contratual!$W99),2),""))</f>
        <v>0</v>
      </c>
      <c r="AB99">
        <f>IF(OR(posicao_contratual!$A99="",$W$46=""),0,IF(AND(ISNUMBER(CHOOSE($W$46+1,historico_VU!$C99,historico_VU!$D99,historico_VU!$E99,historico_VU!$F99,historico_VU!$G99)),ISNUMBER(CHOOSE($W$46+1,posicao_contratual!$G99,posicao_contratual!$K99,posicao_contratual!$O99,posicao_contratual!$S99,posicao_contratual!$W99))),ROUND(ROUND(CHOOSE($W$46+1,historico_VU!$C99,historico_VU!$D99,historico_VU!$E99,historico_VU!$F99,historico_VU!$G99),2)*CHOOSE($W$46+1,posicao_contratual!$G99,posicao_contratual!$K99,posicao_contratual!$O99,posicao_contratual!$S99,posicao_contratual!$W99),2),""))</f>
        <v>0</v>
      </c>
      <c r="AC99">
        <f>IF(OR(posicao_contratual!$A99="",$W$46=""),0,IF(OR($AB99="",$AD99=""),"",ROUND($AB99-$AD99,2)))</f>
        <v>0</v>
      </c>
      <c r="AD99">
        <f>IF(OR(posicao_contratual!$A99="",$W$46=""),0,IF($AB99="","",IF(NOT(ISNUMBER(CHOOSE($W$46+1,posicao_contratual!$AB99,posicao_contratual!$AC99,posicao_contratual!$AD99,posicao_contratual!$AE99,posicao_contratual!$AF99))),0,ROUND(ROUND(CHOOSE($W$46+1,historico_VU!$C99,historico_VU!$D99,historico_VU!$E99,historico_VU!$F99,historico_VU!$G99),2)*CHOOSE($W$46+1,posicao_contratual!$AB99,posicao_contratual!$AC99,posicao_contratual!$AD99,posicao_contratual!$AE99,posicao_contratual!$AF99),2))))</f>
        <v>0</v>
      </c>
    </row>
    <row r="100" spans="1:30" hidden="1" outlineLevel="1" x14ac:dyDescent="0.35">
      <c r="A100" s="137" t="str">
        <f>IF(historico_VU!A48="","",historico_VU!A48)</f>
        <v/>
      </c>
      <c r="B100" s="138" t="str">
        <f>IF(A100="","",historico_VU!B48)</f>
        <v/>
      </c>
      <c r="C100" s="139" t="str">
        <f>IF(A100="","",historico_VU!C48)</f>
        <v/>
      </c>
      <c r="D100" s="139" t="str">
        <f>IF(A100="","",historico_VU!D48)</f>
        <v/>
      </c>
      <c r="E100" s="139" t="str">
        <f>IF(A100="","",historico_VU!E48)</f>
        <v/>
      </c>
      <c r="F100" s="139" t="str">
        <f>IF(A100="","",historico_VU!F48)</f>
        <v/>
      </c>
      <c r="G100" s="139" t="str">
        <f>IF(A100="","",historico_VU!G48)</f>
        <v/>
      </c>
      <c r="H100" s="140" t="str">
        <f>IF(A100="","",historico_VU!H48)</f>
        <v/>
      </c>
      <c r="I100" s="57"/>
      <c r="J100" s="137" t="str">
        <f>IF(itens_Remanesc!A48="","",itens_Remanesc!A48)</f>
        <v/>
      </c>
      <c r="K100" s="138" t="str">
        <f>IF(J100="","",IF($F$4="C0",itens_Remanesc!B48,IF($F$4="C1",itens_Remanesc!E48,IF($F$4="C2",itens_Remanesc!G48,IF($F$4="C3",itens_Remanesc!I48,itens_Remanesc!K48)))))</f>
        <v/>
      </c>
      <c r="L100" s="138" t="str">
        <f>IF(J100="","",IF(SUMIF(itens_Consumidos!$A$2:$A$200,J100,itens_Consumidos!$B$2:$B$200)-SUMIF(itens_Consumidos!$A$2:$A$200,J100,itens_Consumidos!$O$2:$O$200)&lt;0,0,SUMIF(itens_Consumidos!$A$2:$A$200,J100,itens_Consumidos!$B$2:$B$200)-SUMIF(itens_Consumidos!$A$2:$A$200,J100,itens_Consumidos!$O$2:$O$200)))</f>
        <v/>
      </c>
      <c r="M100" s="141" t="str">
        <f>IF(J100="","",itens_Remanesc!C48)</f>
        <v/>
      </c>
      <c r="N100" s="141" t="str">
        <f>IF(J100="","",IF($F$4="C0",historico_VU!C48,IF($F$4="C1",historico_VU!D48,IF($F$4="C2",historico_VU!E48,IF($F$4="C3",historico_VU!F48,historico_VU!G48)))))</f>
        <v/>
      </c>
      <c r="O100" s="141" t="str">
        <f t="shared" si="4"/>
        <v/>
      </c>
      <c r="P100" s="141" t="str">
        <f t="shared" si="5"/>
        <v/>
      </c>
      <c r="Q100" s="142" t="str">
        <f t="shared" si="6"/>
        <v/>
      </c>
      <c r="X100">
        <f>IF(posicao_contratual!$A100="",0,IF(AND(ISNUMBER(posicao_contratual!$Y100),posicao_contratual!$Y100&gt;0),0,IF(AND(ISNUMBER(posicao_contratual!$G100),ISNUMBER(posicao_contratual!$K100),ISNUMBER(historico_VU!$C100)),((posicao_contratual!$G100-N(posicao_contratual!$AB100))-(posicao_contratual!$K100-N(posicao_contratual!$AC100)))*historico_VU!$C100,"")))</f>
        <v>0</v>
      </c>
      <c r="Y100">
        <f>IF(OR(posicao_contratual!$A100="",$T$20=""),0,IF(AND(ISNUMBER(CHOOSE($T$20+1,historico_VU!$C100,historico_VU!$D100,historico_VU!$E100,historico_VU!$F100,historico_VU!$G100)),ISNUMBER(CHOOSE($T$20+1,posicao_contratual!$G100,posicao_contratual!$K100,posicao_contratual!$O100,posicao_contratual!$S100,posicao_contratual!$W100))),ROUND(ROUND(CHOOSE($T$20+1,historico_VU!$C100,historico_VU!$D100,historico_VU!$E100,historico_VU!$F100,historico_VU!$G100),2)*CHOOSE($T$20+1,posicao_contratual!$G100,posicao_contratual!$K100,posicao_contratual!$O100,posicao_contratual!$S100,posicao_contratual!$W100),2),""))</f>
        <v>0</v>
      </c>
      <c r="AB100">
        <f>IF(OR(posicao_contratual!$A100="",$W$46=""),0,IF(AND(ISNUMBER(CHOOSE($W$46+1,historico_VU!$C100,historico_VU!$D100,historico_VU!$E100,historico_VU!$F100,historico_VU!$G100)),ISNUMBER(CHOOSE($W$46+1,posicao_contratual!$G100,posicao_contratual!$K100,posicao_contratual!$O100,posicao_contratual!$S100,posicao_contratual!$W100))),ROUND(ROUND(CHOOSE($W$46+1,historico_VU!$C100,historico_VU!$D100,historico_VU!$E100,historico_VU!$F100,historico_VU!$G100),2)*CHOOSE($W$46+1,posicao_contratual!$G100,posicao_contratual!$K100,posicao_contratual!$O100,posicao_contratual!$S100,posicao_contratual!$W100),2),""))</f>
        <v>0</v>
      </c>
      <c r="AC100">
        <f>IF(OR(posicao_contratual!$A100="",$W$46=""),0,IF(OR($AB100="",$AD100=""),"",ROUND($AB100-$AD100,2)))</f>
        <v>0</v>
      </c>
      <c r="AD100">
        <f>IF(OR(posicao_contratual!$A100="",$W$46=""),0,IF($AB100="","",IF(NOT(ISNUMBER(CHOOSE($W$46+1,posicao_contratual!$AB100,posicao_contratual!$AC100,posicao_contratual!$AD100,posicao_contratual!$AE100,posicao_contratual!$AF100))),0,ROUND(ROUND(CHOOSE($W$46+1,historico_VU!$C100,historico_VU!$D100,historico_VU!$E100,historico_VU!$F100,historico_VU!$G100),2)*CHOOSE($W$46+1,posicao_contratual!$AB100,posicao_contratual!$AC100,posicao_contratual!$AD100,posicao_contratual!$AE100,posicao_contratual!$AF100),2))))</f>
        <v>0</v>
      </c>
    </row>
    <row r="101" spans="1:30" hidden="1" outlineLevel="1" x14ac:dyDescent="0.35">
      <c r="A101" s="137" t="str">
        <f>IF(historico_VU!A49="","",historico_VU!A49)</f>
        <v/>
      </c>
      <c r="B101" s="138" t="str">
        <f>IF(A101="","",historico_VU!B49)</f>
        <v/>
      </c>
      <c r="C101" s="139" t="str">
        <f>IF(A101="","",historico_VU!C49)</f>
        <v/>
      </c>
      <c r="D101" s="139" t="str">
        <f>IF(A101="","",historico_VU!D49)</f>
        <v/>
      </c>
      <c r="E101" s="139" t="str">
        <f>IF(A101="","",historico_VU!E49)</f>
        <v/>
      </c>
      <c r="F101" s="139" t="str">
        <f>IF(A101="","",historico_VU!F49)</f>
        <v/>
      </c>
      <c r="G101" s="139" t="str">
        <f>IF(A101="","",historico_VU!G49)</f>
        <v/>
      </c>
      <c r="H101" s="140" t="str">
        <f>IF(A101="","",historico_VU!H49)</f>
        <v/>
      </c>
      <c r="I101" s="57"/>
      <c r="J101" s="137" t="str">
        <f>IF(itens_Remanesc!A49="","",itens_Remanesc!A49)</f>
        <v/>
      </c>
      <c r="K101" s="138" t="str">
        <f>IF(J101="","",IF($F$4="C0",itens_Remanesc!B49,IF($F$4="C1",itens_Remanesc!E49,IF($F$4="C2",itens_Remanesc!G49,IF($F$4="C3",itens_Remanesc!I49,itens_Remanesc!K49)))))</f>
        <v/>
      </c>
      <c r="L101" s="138" t="str">
        <f>IF(J101="","",IF(SUMIF(itens_Consumidos!$A$2:$A$200,J101,itens_Consumidos!$B$2:$B$200)-SUMIF(itens_Consumidos!$A$2:$A$200,J101,itens_Consumidos!$O$2:$O$200)&lt;0,0,SUMIF(itens_Consumidos!$A$2:$A$200,J101,itens_Consumidos!$B$2:$B$200)-SUMIF(itens_Consumidos!$A$2:$A$200,J101,itens_Consumidos!$O$2:$O$200)))</f>
        <v/>
      </c>
      <c r="M101" s="141" t="str">
        <f>IF(J101="","",itens_Remanesc!C49)</f>
        <v/>
      </c>
      <c r="N101" s="141" t="str">
        <f>IF(J101="","",IF($F$4="C0",historico_VU!C49,IF($F$4="C1",historico_VU!D49,IF($F$4="C2",historico_VU!E49,IF($F$4="C3",historico_VU!F49,historico_VU!G49)))))</f>
        <v/>
      </c>
      <c r="O101" s="141" t="str">
        <f t="shared" si="4"/>
        <v/>
      </c>
      <c r="P101" s="141" t="str">
        <f t="shared" si="5"/>
        <v/>
      </c>
      <c r="Q101" s="142" t="str">
        <f t="shared" si="6"/>
        <v/>
      </c>
      <c r="X101">
        <f>IF(posicao_contratual!$A101="",0,IF(AND(ISNUMBER(posicao_contratual!$Y101),posicao_contratual!$Y101&gt;0),0,IF(AND(ISNUMBER(posicao_contratual!$G101),ISNUMBER(posicao_contratual!$K101),ISNUMBER(historico_VU!$C101)),((posicao_contratual!$G101-N(posicao_contratual!$AB101))-(posicao_contratual!$K101-N(posicao_contratual!$AC101)))*historico_VU!$C101,"")))</f>
        <v>0</v>
      </c>
      <c r="Y101">
        <f>IF(OR(posicao_contratual!$A101="",$T$20=""),0,IF(AND(ISNUMBER(CHOOSE($T$20+1,historico_VU!$C101,historico_VU!$D101,historico_VU!$E101,historico_VU!$F101,historico_VU!$G101)),ISNUMBER(CHOOSE($T$20+1,posicao_contratual!$G101,posicao_contratual!$K101,posicao_contratual!$O101,posicao_contratual!$S101,posicao_contratual!$W101))),ROUND(ROUND(CHOOSE($T$20+1,historico_VU!$C101,historico_VU!$D101,historico_VU!$E101,historico_VU!$F101,historico_VU!$G101),2)*CHOOSE($T$20+1,posicao_contratual!$G101,posicao_contratual!$K101,posicao_contratual!$O101,posicao_contratual!$S101,posicao_contratual!$W101),2),""))</f>
        <v>0</v>
      </c>
      <c r="AB101">
        <f>IF(OR(posicao_contratual!$A101="",$W$46=""),0,IF(AND(ISNUMBER(CHOOSE($W$46+1,historico_VU!$C101,historico_VU!$D101,historico_VU!$E101,historico_VU!$F101,historico_VU!$G101)),ISNUMBER(CHOOSE($W$46+1,posicao_contratual!$G101,posicao_contratual!$K101,posicao_contratual!$O101,posicao_contratual!$S101,posicao_contratual!$W101))),ROUND(ROUND(CHOOSE($W$46+1,historico_VU!$C101,historico_VU!$D101,historico_VU!$E101,historico_VU!$F101,historico_VU!$G101),2)*CHOOSE($W$46+1,posicao_contratual!$G101,posicao_contratual!$K101,posicao_contratual!$O101,posicao_contratual!$S101,posicao_contratual!$W101),2),""))</f>
        <v>0</v>
      </c>
      <c r="AC101">
        <f>IF(OR(posicao_contratual!$A101="",$W$46=""),0,IF(OR($AB101="",$AD101=""),"",ROUND($AB101-$AD101,2)))</f>
        <v>0</v>
      </c>
      <c r="AD101">
        <f>IF(OR(posicao_contratual!$A101="",$W$46=""),0,IF($AB101="","",IF(NOT(ISNUMBER(CHOOSE($W$46+1,posicao_contratual!$AB101,posicao_contratual!$AC101,posicao_contratual!$AD101,posicao_contratual!$AE101,posicao_contratual!$AF101))),0,ROUND(ROUND(CHOOSE($W$46+1,historico_VU!$C101,historico_VU!$D101,historico_VU!$E101,historico_VU!$F101,historico_VU!$G101),2)*CHOOSE($W$46+1,posicao_contratual!$AB101,posicao_contratual!$AC101,posicao_contratual!$AD101,posicao_contratual!$AE101,posicao_contratual!$AF101),2))))</f>
        <v>0</v>
      </c>
    </row>
    <row r="102" spans="1:30" hidden="1" outlineLevel="1" x14ac:dyDescent="0.35">
      <c r="A102" s="137" t="str">
        <f>IF(historico_VU!A50="","",historico_VU!A50)</f>
        <v/>
      </c>
      <c r="B102" s="138" t="str">
        <f>IF(A102="","",historico_VU!B50)</f>
        <v/>
      </c>
      <c r="C102" s="139" t="str">
        <f>IF(A102="","",historico_VU!C50)</f>
        <v/>
      </c>
      <c r="D102" s="139" t="str">
        <f>IF(A102="","",historico_VU!D50)</f>
        <v/>
      </c>
      <c r="E102" s="139" t="str">
        <f>IF(A102="","",historico_VU!E50)</f>
        <v/>
      </c>
      <c r="F102" s="139" t="str">
        <f>IF(A102="","",historico_VU!F50)</f>
        <v/>
      </c>
      <c r="G102" s="139" t="str">
        <f>IF(A102="","",historico_VU!G50)</f>
        <v/>
      </c>
      <c r="H102" s="140" t="str">
        <f>IF(A102="","",historico_VU!H50)</f>
        <v/>
      </c>
      <c r="I102" s="57"/>
      <c r="J102" s="137" t="str">
        <f>IF(itens_Remanesc!A50="","",itens_Remanesc!A50)</f>
        <v/>
      </c>
      <c r="K102" s="138" t="str">
        <f>IF(J102="","",IF($F$4="C0",itens_Remanesc!B50,IF($F$4="C1",itens_Remanesc!E50,IF($F$4="C2",itens_Remanesc!G50,IF($F$4="C3",itens_Remanesc!I50,itens_Remanesc!K50)))))</f>
        <v/>
      </c>
      <c r="L102" s="138" t="str">
        <f>IF(J102="","",IF(SUMIF(itens_Consumidos!$A$2:$A$200,J102,itens_Consumidos!$B$2:$B$200)-SUMIF(itens_Consumidos!$A$2:$A$200,J102,itens_Consumidos!$O$2:$O$200)&lt;0,0,SUMIF(itens_Consumidos!$A$2:$A$200,J102,itens_Consumidos!$B$2:$B$200)-SUMIF(itens_Consumidos!$A$2:$A$200,J102,itens_Consumidos!$O$2:$O$200)))</f>
        <v/>
      </c>
      <c r="M102" s="141" t="str">
        <f>IF(J102="","",itens_Remanesc!C50)</f>
        <v/>
      </c>
      <c r="N102" s="141" t="str">
        <f>IF(J102="","",IF($F$4="C0",historico_VU!C50,IF($F$4="C1",historico_VU!D50,IF($F$4="C2",historico_VU!E50,IF($F$4="C3",historico_VU!F50,historico_VU!G50)))))</f>
        <v/>
      </c>
      <c r="O102" s="141" t="str">
        <f t="shared" si="4"/>
        <v/>
      </c>
      <c r="P102" s="141" t="str">
        <f t="shared" si="5"/>
        <v/>
      </c>
      <c r="Q102" s="142" t="str">
        <f t="shared" si="6"/>
        <v/>
      </c>
      <c r="X102">
        <f>IF(posicao_contratual!$A102="",0,IF(AND(ISNUMBER(posicao_contratual!$Y102),posicao_contratual!$Y102&gt;0),0,IF(AND(ISNUMBER(posicao_contratual!$G102),ISNUMBER(posicao_contratual!$K102),ISNUMBER(historico_VU!$C102)),((posicao_contratual!$G102-N(posicao_contratual!$AB102))-(posicao_contratual!$K102-N(posicao_contratual!$AC102)))*historico_VU!$C102,"")))</f>
        <v>0</v>
      </c>
      <c r="Y102">
        <f>IF(OR(posicao_contratual!$A102="",$T$20=""),0,IF(AND(ISNUMBER(CHOOSE($T$20+1,historico_VU!$C102,historico_VU!$D102,historico_VU!$E102,historico_VU!$F102,historico_VU!$G102)),ISNUMBER(CHOOSE($T$20+1,posicao_contratual!$G102,posicao_contratual!$K102,posicao_contratual!$O102,posicao_contratual!$S102,posicao_contratual!$W102))),ROUND(ROUND(CHOOSE($T$20+1,historico_VU!$C102,historico_VU!$D102,historico_VU!$E102,historico_VU!$F102,historico_VU!$G102),2)*CHOOSE($T$20+1,posicao_contratual!$G102,posicao_contratual!$K102,posicao_contratual!$O102,posicao_contratual!$S102,posicao_contratual!$W102),2),""))</f>
        <v>0</v>
      </c>
      <c r="AB102">
        <f>IF(OR(posicao_contratual!$A102="",$W$46=""),0,IF(AND(ISNUMBER(CHOOSE($W$46+1,historico_VU!$C102,historico_VU!$D102,historico_VU!$E102,historico_VU!$F102,historico_VU!$G102)),ISNUMBER(CHOOSE($W$46+1,posicao_contratual!$G102,posicao_contratual!$K102,posicao_contratual!$O102,posicao_contratual!$S102,posicao_contratual!$W102))),ROUND(ROUND(CHOOSE($W$46+1,historico_VU!$C102,historico_VU!$D102,historico_VU!$E102,historico_VU!$F102,historico_VU!$G102),2)*CHOOSE($W$46+1,posicao_contratual!$G102,posicao_contratual!$K102,posicao_contratual!$O102,posicao_contratual!$S102,posicao_contratual!$W102),2),""))</f>
        <v>0</v>
      </c>
      <c r="AC102">
        <f>IF(OR(posicao_contratual!$A102="",$W$46=""),0,IF(OR($AB102="",$AD102=""),"",ROUND($AB102-$AD102,2)))</f>
        <v>0</v>
      </c>
      <c r="AD102">
        <f>IF(OR(posicao_contratual!$A102="",$W$46=""),0,IF($AB102="","",IF(NOT(ISNUMBER(CHOOSE($W$46+1,posicao_contratual!$AB102,posicao_contratual!$AC102,posicao_contratual!$AD102,posicao_contratual!$AE102,posicao_contratual!$AF102))),0,ROUND(ROUND(CHOOSE($W$46+1,historico_VU!$C102,historico_VU!$D102,historico_VU!$E102,historico_VU!$F102,historico_VU!$G102),2)*CHOOSE($W$46+1,posicao_contratual!$AB102,posicao_contratual!$AC102,posicao_contratual!$AD102,posicao_contratual!$AE102,posicao_contratual!$AF102),2))))</f>
        <v>0</v>
      </c>
    </row>
    <row r="103" spans="1:30" hidden="1" outlineLevel="1" x14ac:dyDescent="0.35">
      <c r="A103" s="137" t="str">
        <f>IF(historico_VU!A51="","",historico_VU!A51)</f>
        <v/>
      </c>
      <c r="B103" s="138" t="str">
        <f>IF(A103="","",historico_VU!B51)</f>
        <v/>
      </c>
      <c r="C103" s="139" t="str">
        <f>IF(A103="","",historico_VU!C51)</f>
        <v/>
      </c>
      <c r="D103" s="139" t="str">
        <f>IF(A103="","",historico_VU!D51)</f>
        <v/>
      </c>
      <c r="E103" s="139" t="str">
        <f>IF(A103="","",historico_VU!E51)</f>
        <v/>
      </c>
      <c r="F103" s="139" t="str">
        <f>IF(A103="","",historico_VU!F51)</f>
        <v/>
      </c>
      <c r="G103" s="139" t="str">
        <f>IF(A103="","",historico_VU!G51)</f>
        <v/>
      </c>
      <c r="H103" s="140" t="str">
        <f>IF(A103="","",historico_VU!H51)</f>
        <v/>
      </c>
      <c r="I103" s="57"/>
      <c r="J103" s="137" t="str">
        <f>IF(itens_Remanesc!A51="","",itens_Remanesc!A51)</f>
        <v/>
      </c>
      <c r="K103" s="138" t="str">
        <f>IF(J103="","",IF($F$4="C0",itens_Remanesc!B51,IF($F$4="C1",itens_Remanesc!E51,IF($F$4="C2",itens_Remanesc!G51,IF($F$4="C3",itens_Remanesc!I51,itens_Remanesc!K51)))))</f>
        <v/>
      </c>
      <c r="L103" s="138" t="str">
        <f>IF(J103="","",IF(SUMIF(itens_Consumidos!$A$2:$A$200,J103,itens_Consumidos!$B$2:$B$200)-SUMIF(itens_Consumidos!$A$2:$A$200,J103,itens_Consumidos!$O$2:$O$200)&lt;0,0,SUMIF(itens_Consumidos!$A$2:$A$200,J103,itens_Consumidos!$B$2:$B$200)-SUMIF(itens_Consumidos!$A$2:$A$200,J103,itens_Consumidos!$O$2:$O$200)))</f>
        <v/>
      </c>
      <c r="M103" s="141" t="str">
        <f>IF(J103="","",itens_Remanesc!C51)</f>
        <v/>
      </c>
      <c r="N103" s="141" t="str">
        <f>IF(J103="","",IF($F$4="C0",historico_VU!C51,IF($F$4="C1",historico_VU!D51,IF($F$4="C2",historico_VU!E51,IF($F$4="C3",historico_VU!F51,historico_VU!G51)))))</f>
        <v/>
      </c>
      <c r="O103" s="141" t="str">
        <f t="shared" si="4"/>
        <v/>
      </c>
      <c r="P103" s="141" t="str">
        <f t="shared" si="5"/>
        <v/>
      </c>
      <c r="Q103" s="142" t="str">
        <f t="shared" si="6"/>
        <v/>
      </c>
      <c r="X103">
        <f>IF(posicao_contratual!$A103="",0,IF(AND(ISNUMBER(posicao_contratual!$Y103),posicao_contratual!$Y103&gt;0),0,IF(AND(ISNUMBER(posicao_contratual!$G103),ISNUMBER(posicao_contratual!$K103),ISNUMBER(historico_VU!$C103)),((posicao_contratual!$G103-N(posicao_contratual!$AB103))-(posicao_contratual!$K103-N(posicao_contratual!$AC103)))*historico_VU!$C103,"")))</f>
        <v>0</v>
      </c>
      <c r="Y103">
        <f>IF(OR(posicao_contratual!$A103="",$T$20=""),0,IF(AND(ISNUMBER(CHOOSE($T$20+1,historico_VU!$C103,historico_VU!$D103,historico_VU!$E103,historico_VU!$F103,historico_VU!$G103)),ISNUMBER(CHOOSE($T$20+1,posicao_contratual!$G103,posicao_contratual!$K103,posicao_contratual!$O103,posicao_contratual!$S103,posicao_contratual!$W103))),ROUND(ROUND(CHOOSE($T$20+1,historico_VU!$C103,historico_VU!$D103,historico_VU!$E103,historico_VU!$F103,historico_VU!$G103),2)*CHOOSE($T$20+1,posicao_contratual!$G103,posicao_contratual!$K103,posicao_contratual!$O103,posicao_contratual!$S103,posicao_contratual!$W103),2),""))</f>
        <v>0</v>
      </c>
      <c r="AB103">
        <f>IF(OR(posicao_contratual!$A103="",$W$46=""),0,IF(AND(ISNUMBER(CHOOSE($W$46+1,historico_VU!$C103,historico_VU!$D103,historico_VU!$E103,historico_VU!$F103,historico_VU!$G103)),ISNUMBER(CHOOSE($W$46+1,posicao_contratual!$G103,posicao_contratual!$K103,posicao_contratual!$O103,posicao_contratual!$S103,posicao_contratual!$W103))),ROUND(ROUND(CHOOSE($W$46+1,historico_VU!$C103,historico_VU!$D103,historico_VU!$E103,historico_VU!$F103,historico_VU!$G103),2)*CHOOSE($W$46+1,posicao_contratual!$G103,posicao_contratual!$K103,posicao_contratual!$O103,posicao_contratual!$S103,posicao_contratual!$W103),2),""))</f>
        <v>0</v>
      </c>
      <c r="AC103">
        <f>IF(OR(posicao_contratual!$A103="",$W$46=""),0,IF(OR($AB103="",$AD103=""),"",ROUND($AB103-$AD103,2)))</f>
        <v>0</v>
      </c>
      <c r="AD103">
        <f>IF(OR(posicao_contratual!$A103="",$W$46=""),0,IF($AB103="","",IF(NOT(ISNUMBER(CHOOSE($W$46+1,posicao_contratual!$AB103,posicao_contratual!$AC103,posicao_contratual!$AD103,posicao_contratual!$AE103,posicao_contratual!$AF103))),0,ROUND(ROUND(CHOOSE($W$46+1,historico_VU!$C103,historico_VU!$D103,historico_VU!$E103,historico_VU!$F103,historico_VU!$G103),2)*CHOOSE($W$46+1,posicao_contratual!$AB103,posicao_contratual!$AC103,posicao_contratual!$AD103,posicao_contratual!$AE103,posicao_contratual!$AF103),2))))</f>
        <v>0</v>
      </c>
    </row>
    <row r="104" spans="1:30" hidden="1" outlineLevel="1" x14ac:dyDescent="0.35">
      <c r="A104" s="137" t="str">
        <f>IF(historico_VU!A52="","",historico_VU!A52)</f>
        <v/>
      </c>
      <c r="B104" s="138" t="str">
        <f>IF(A104="","",historico_VU!B52)</f>
        <v/>
      </c>
      <c r="C104" s="139" t="str">
        <f>IF(A104="","",historico_VU!C52)</f>
        <v/>
      </c>
      <c r="D104" s="139" t="str">
        <f>IF(A104="","",historico_VU!D52)</f>
        <v/>
      </c>
      <c r="E104" s="139" t="str">
        <f>IF(A104="","",historico_VU!E52)</f>
        <v/>
      </c>
      <c r="F104" s="139" t="str">
        <f>IF(A104="","",historico_VU!F52)</f>
        <v/>
      </c>
      <c r="G104" s="139" t="str">
        <f>IF(A104="","",historico_VU!G52)</f>
        <v/>
      </c>
      <c r="H104" s="140" t="str">
        <f>IF(A104="","",historico_VU!H52)</f>
        <v/>
      </c>
      <c r="I104" s="57"/>
      <c r="J104" s="137" t="str">
        <f>IF(itens_Remanesc!A52="","",itens_Remanesc!A52)</f>
        <v/>
      </c>
      <c r="K104" s="138" t="str">
        <f>IF(J104="","",IF($F$4="C0",itens_Remanesc!B52,IF($F$4="C1",itens_Remanesc!E52,IF($F$4="C2",itens_Remanesc!G52,IF($F$4="C3",itens_Remanesc!I52,itens_Remanesc!K52)))))</f>
        <v/>
      </c>
      <c r="L104" s="138" t="str">
        <f>IF(J104="","",IF(SUMIF(itens_Consumidos!$A$2:$A$200,J104,itens_Consumidos!$B$2:$B$200)-SUMIF(itens_Consumidos!$A$2:$A$200,J104,itens_Consumidos!$O$2:$O$200)&lt;0,0,SUMIF(itens_Consumidos!$A$2:$A$200,J104,itens_Consumidos!$B$2:$B$200)-SUMIF(itens_Consumidos!$A$2:$A$200,J104,itens_Consumidos!$O$2:$O$200)))</f>
        <v/>
      </c>
      <c r="M104" s="141" t="str">
        <f>IF(J104="","",itens_Remanesc!C52)</f>
        <v/>
      </c>
      <c r="N104" s="141" t="str">
        <f>IF(J104="","",IF($F$4="C0",historico_VU!C52,IF($F$4="C1",historico_VU!D52,IF($F$4="C2",historico_VU!E52,IF($F$4="C3",historico_VU!F52,historico_VU!G52)))))</f>
        <v/>
      </c>
      <c r="O104" s="141" t="str">
        <f t="shared" si="4"/>
        <v/>
      </c>
      <c r="P104" s="141" t="str">
        <f t="shared" si="5"/>
        <v/>
      </c>
      <c r="Q104" s="142" t="str">
        <f t="shared" si="6"/>
        <v/>
      </c>
      <c r="X104">
        <f>IF(posicao_contratual!$A104="",0,IF(AND(ISNUMBER(posicao_contratual!$Y104),posicao_contratual!$Y104&gt;0),0,IF(AND(ISNUMBER(posicao_contratual!$G104),ISNUMBER(posicao_contratual!$K104),ISNUMBER(historico_VU!$C104)),((posicao_contratual!$G104-N(posicao_contratual!$AB104))-(posicao_contratual!$K104-N(posicao_contratual!$AC104)))*historico_VU!$C104,"")))</f>
        <v>0</v>
      </c>
      <c r="Y104">
        <f>IF(OR(posicao_contratual!$A104="",$T$20=""),0,IF(AND(ISNUMBER(CHOOSE($T$20+1,historico_VU!$C104,historico_VU!$D104,historico_VU!$E104,historico_VU!$F104,historico_VU!$G104)),ISNUMBER(CHOOSE($T$20+1,posicao_contratual!$G104,posicao_contratual!$K104,posicao_contratual!$O104,posicao_contratual!$S104,posicao_contratual!$W104))),ROUND(ROUND(CHOOSE($T$20+1,historico_VU!$C104,historico_VU!$D104,historico_VU!$E104,historico_VU!$F104,historico_VU!$G104),2)*CHOOSE($T$20+1,posicao_contratual!$G104,posicao_contratual!$K104,posicao_contratual!$O104,posicao_contratual!$S104,posicao_contratual!$W104),2),""))</f>
        <v>0</v>
      </c>
      <c r="AB104">
        <f>IF(OR(posicao_contratual!$A104="",$W$46=""),0,IF(AND(ISNUMBER(CHOOSE($W$46+1,historico_VU!$C104,historico_VU!$D104,historico_VU!$E104,historico_VU!$F104,historico_VU!$G104)),ISNUMBER(CHOOSE($W$46+1,posicao_contratual!$G104,posicao_contratual!$K104,posicao_contratual!$O104,posicao_contratual!$S104,posicao_contratual!$W104))),ROUND(ROUND(CHOOSE($W$46+1,historico_VU!$C104,historico_VU!$D104,historico_VU!$E104,historico_VU!$F104,historico_VU!$G104),2)*CHOOSE($W$46+1,posicao_contratual!$G104,posicao_contratual!$K104,posicao_contratual!$O104,posicao_contratual!$S104,posicao_contratual!$W104),2),""))</f>
        <v>0</v>
      </c>
      <c r="AC104">
        <f>IF(OR(posicao_contratual!$A104="",$W$46=""),0,IF(OR($AB104="",$AD104=""),"",ROUND($AB104-$AD104,2)))</f>
        <v>0</v>
      </c>
      <c r="AD104">
        <f>IF(OR(posicao_contratual!$A104="",$W$46=""),0,IF($AB104="","",IF(NOT(ISNUMBER(CHOOSE($W$46+1,posicao_contratual!$AB104,posicao_contratual!$AC104,posicao_contratual!$AD104,posicao_contratual!$AE104,posicao_contratual!$AF104))),0,ROUND(ROUND(CHOOSE($W$46+1,historico_VU!$C104,historico_VU!$D104,historico_VU!$E104,historico_VU!$F104,historico_VU!$G104),2)*CHOOSE($W$46+1,posicao_contratual!$AB104,posicao_contratual!$AC104,posicao_contratual!$AD104,posicao_contratual!$AE104,posicao_contratual!$AF104),2))))</f>
        <v>0</v>
      </c>
    </row>
    <row r="105" spans="1:30" hidden="1" outlineLevel="1" x14ac:dyDescent="0.35">
      <c r="A105" s="137" t="str">
        <f>IF(historico_VU!A53="","",historico_VU!A53)</f>
        <v/>
      </c>
      <c r="B105" s="138" t="str">
        <f>IF(A105="","",historico_VU!B53)</f>
        <v/>
      </c>
      <c r="C105" s="139" t="str">
        <f>IF(A105="","",historico_VU!C53)</f>
        <v/>
      </c>
      <c r="D105" s="139" t="str">
        <f>IF(A105="","",historico_VU!D53)</f>
        <v/>
      </c>
      <c r="E105" s="139" t="str">
        <f>IF(A105="","",historico_VU!E53)</f>
        <v/>
      </c>
      <c r="F105" s="139" t="str">
        <f>IF(A105="","",historico_VU!F53)</f>
        <v/>
      </c>
      <c r="G105" s="139" t="str">
        <f>IF(A105="","",historico_VU!G53)</f>
        <v/>
      </c>
      <c r="H105" s="140" t="str">
        <f>IF(A105="","",historico_VU!H53)</f>
        <v/>
      </c>
      <c r="I105" s="57"/>
      <c r="J105" s="137" t="str">
        <f>IF(itens_Remanesc!A53="","",itens_Remanesc!A53)</f>
        <v/>
      </c>
      <c r="K105" s="138" t="str">
        <f>IF(J105="","",IF($F$4="C0",itens_Remanesc!B53,IF($F$4="C1",itens_Remanesc!E53,IF($F$4="C2",itens_Remanesc!G53,IF($F$4="C3",itens_Remanesc!I53,itens_Remanesc!K53)))))</f>
        <v/>
      </c>
      <c r="L105" s="138" t="str">
        <f>IF(J105="","",IF(SUMIF(itens_Consumidos!$A$2:$A$200,J105,itens_Consumidos!$B$2:$B$200)-SUMIF(itens_Consumidos!$A$2:$A$200,J105,itens_Consumidos!$O$2:$O$200)&lt;0,0,SUMIF(itens_Consumidos!$A$2:$A$200,J105,itens_Consumidos!$B$2:$B$200)-SUMIF(itens_Consumidos!$A$2:$A$200,J105,itens_Consumidos!$O$2:$O$200)))</f>
        <v/>
      </c>
      <c r="M105" s="141" t="str">
        <f>IF(J105="","",itens_Remanesc!C53)</f>
        <v/>
      </c>
      <c r="N105" s="141" t="str">
        <f>IF(J105="","",IF($F$4="C0",historico_VU!C53,IF($F$4="C1",historico_VU!D53,IF($F$4="C2",historico_VU!E53,IF($F$4="C3",historico_VU!F53,historico_VU!G53)))))</f>
        <v/>
      </c>
      <c r="O105" s="141" t="str">
        <f t="shared" si="4"/>
        <v/>
      </c>
      <c r="P105" s="141" t="str">
        <f t="shared" si="5"/>
        <v/>
      </c>
      <c r="Q105" s="142" t="str">
        <f t="shared" si="6"/>
        <v/>
      </c>
      <c r="X105">
        <f>IF(posicao_contratual!$A105="",0,IF(AND(ISNUMBER(posicao_contratual!$Y105),posicao_contratual!$Y105&gt;0),0,IF(AND(ISNUMBER(posicao_contratual!$G105),ISNUMBER(posicao_contratual!$K105),ISNUMBER(historico_VU!$C105)),((posicao_contratual!$G105-N(posicao_contratual!$AB105))-(posicao_contratual!$K105-N(posicao_contratual!$AC105)))*historico_VU!$C105,"")))</f>
        <v>0</v>
      </c>
      <c r="Y105">
        <f>IF(OR(posicao_contratual!$A105="",$T$20=""),0,IF(AND(ISNUMBER(CHOOSE($T$20+1,historico_VU!$C105,historico_VU!$D105,historico_VU!$E105,historico_VU!$F105,historico_VU!$G105)),ISNUMBER(CHOOSE($T$20+1,posicao_contratual!$G105,posicao_contratual!$K105,posicao_contratual!$O105,posicao_contratual!$S105,posicao_contratual!$W105))),ROUND(ROUND(CHOOSE($T$20+1,historico_VU!$C105,historico_VU!$D105,historico_VU!$E105,historico_VU!$F105,historico_VU!$G105),2)*CHOOSE($T$20+1,posicao_contratual!$G105,posicao_contratual!$K105,posicao_contratual!$O105,posicao_contratual!$S105,posicao_contratual!$W105),2),""))</f>
        <v>0</v>
      </c>
      <c r="AB105">
        <f>IF(OR(posicao_contratual!$A105="",$W$46=""),0,IF(AND(ISNUMBER(CHOOSE($W$46+1,historico_VU!$C105,historico_VU!$D105,historico_VU!$E105,historico_VU!$F105,historico_VU!$G105)),ISNUMBER(CHOOSE($W$46+1,posicao_contratual!$G105,posicao_contratual!$K105,posicao_contratual!$O105,posicao_contratual!$S105,posicao_contratual!$W105))),ROUND(ROUND(CHOOSE($W$46+1,historico_VU!$C105,historico_VU!$D105,historico_VU!$E105,historico_VU!$F105,historico_VU!$G105),2)*CHOOSE($W$46+1,posicao_contratual!$G105,posicao_contratual!$K105,posicao_contratual!$O105,posicao_contratual!$S105,posicao_contratual!$W105),2),""))</f>
        <v>0</v>
      </c>
      <c r="AC105">
        <f>IF(OR(posicao_contratual!$A105="",$W$46=""),0,IF(OR($AB105="",$AD105=""),"",ROUND($AB105-$AD105,2)))</f>
        <v>0</v>
      </c>
      <c r="AD105">
        <f>IF(OR(posicao_contratual!$A105="",$W$46=""),0,IF($AB105="","",IF(NOT(ISNUMBER(CHOOSE($W$46+1,posicao_contratual!$AB105,posicao_contratual!$AC105,posicao_contratual!$AD105,posicao_contratual!$AE105,posicao_contratual!$AF105))),0,ROUND(ROUND(CHOOSE($W$46+1,historico_VU!$C105,historico_VU!$D105,historico_VU!$E105,historico_VU!$F105,historico_VU!$G105),2)*CHOOSE($W$46+1,posicao_contratual!$AB105,posicao_contratual!$AC105,posicao_contratual!$AD105,posicao_contratual!$AE105,posicao_contratual!$AF105),2))))</f>
        <v>0</v>
      </c>
    </row>
    <row r="106" spans="1:30" hidden="1" outlineLevel="1" x14ac:dyDescent="0.35">
      <c r="A106" s="137" t="str">
        <f>IF(historico_VU!A54="","",historico_VU!A54)</f>
        <v/>
      </c>
      <c r="B106" s="138" t="str">
        <f>IF(A106="","",historico_VU!B54)</f>
        <v/>
      </c>
      <c r="C106" s="139" t="str">
        <f>IF(A106="","",historico_VU!C54)</f>
        <v/>
      </c>
      <c r="D106" s="139" t="str">
        <f>IF(A106="","",historico_VU!D54)</f>
        <v/>
      </c>
      <c r="E106" s="139" t="str">
        <f>IF(A106="","",historico_VU!E54)</f>
        <v/>
      </c>
      <c r="F106" s="139" t="str">
        <f>IF(A106="","",historico_VU!F54)</f>
        <v/>
      </c>
      <c r="G106" s="139" t="str">
        <f>IF(A106="","",historico_VU!G54)</f>
        <v/>
      </c>
      <c r="H106" s="140" t="str">
        <f>IF(A106="","",historico_VU!H54)</f>
        <v/>
      </c>
      <c r="I106" s="57"/>
      <c r="J106" s="137" t="str">
        <f>IF(itens_Remanesc!A54="","",itens_Remanesc!A54)</f>
        <v/>
      </c>
      <c r="K106" s="138" t="str">
        <f>IF(J106="","",IF($F$4="C0",itens_Remanesc!B54,IF($F$4="C1",itens_Remanesc!E54,IF($F$4="C2",itens_Remanesc!G54,IF($F$4="C3",itens_Remanesc!I54,itens_Remanesc!K54)))))</f>
        <v/>
      </c>
      <c r="L106" s="138" t="str">
        <f>IF(J106="","",IF(SUMIF(itens_Consumidos!$A$2:$A$200,J106,itens_Consumidos!$B$2:$B$200)-SUMIF(itens_Consumidos!$A$2:$A$200,J106,itens_Consumidos!$O$2:$O$200)&lt;0,0,SUMIF(itens_Consumidos!$A$2:$A$200,J106,itens_Consumidos!$B$2:$B$200)-SUMIF(itens_Consumidos!$A$2:$A$200,J106,itens_Consumidos!$O$2:$O$200)))</f>
        <v/>
      </c>
      <c r="M106" s="141" t="str">
        <f>IF(J106="","",itens_Remanesc!C54)</f>
        <v/>
      </c>
      <c r="N106" s="141" t="str">
        <f>IF(J106="","",IF($F$4="C0",historico_VU!C54,IF($F$4="C1",historico_VU!D54,IF($F$4="C2",historico_VU!E54,IF($F$4="C3",historico_VU!F54,historico_VU!G54)))))</f>
        <v/>
      </c>
      <c r="O106" s="141" t="str">
        <f t="shared" si="4"/>
        <v/>
      </c>
      <c r="P106" s="141" t="str">
        <f t="shared" si="5"/>
        <v/>
      </c>
      <c r="Q106" s="142" t="str">
        <f t="shared" si="6"/>
        <v/>
      </c>
      <c r="X106">
        <f>IF(posicao_contratual!$A106="",0,IF(AND(ISNUMBER(posicao_contratual!$Y106),posicao_contratual!$Y106&gt;0),0,IF(AND(ISNUMBER(posicao_contratual!$G106),ISNUMBER(posicao_contratual!$K106),ISNUMBER(historico_VU!$C106)),((posicao_contratual!$G106-N(posicao_contratual!$AB106))-(posicao_contratual!$K106-N(posicao_contratual!$AC106)))*historico_VU!$C106,"")))</f>
        <v>0</v>
      </c>
      <c r="Y106">
        <f>IF(OR(posicao_contratual!$A106="",$T$20=""),0,IF(AND(ISNUMBER(CHOOSE($T$20+1,historico_VU!$C106,historico_VU!$D106,historico_VU!$E106,historico_VU!$F106,historico_VU!$G106)),ISNUMBER(CHOOSE($T$20+1,posicao_contratual!$G106,posicao_contratual!$K106,posicao_contratual!$O106,posicao_contratual!$S106,posicao_contratual!$W106))),ROUND(ROUND(CHOOSE($T$20+1,historico_VU!$C106,historico_VU!$D106,historico_VU!$E106,historico_VU!$F106,historico_VU!$G106),2)*CHOOSE($T$20+1,posicao_contratual!$G106,posicao_contratual!$K106,posicao_contratual!$O106,posicao_contratual!$S106,posicao_contratual!$W106),2),""))</f>
        <v>0</v>
      </c>
      <c r="AB106">
        <f>IF(OR(posicao_contratual!$A106="",$W$46=""),0,IF(AND(ISNUMBER(CHOOSE($W$46+1,historico_VU!$C106,historico_VU!$D106,historico_VU!$E106,historico_VU!$F106,historico_VU!$G106)),ISNUMBER(CHOOSE($W$46+1,posicao_contratual!$G106,posicao_contratual!$K106,posicao_contratual!$O106,posicao_contratual!$S106,posicao_contratual!$W106))),ROUND(ROUND(CHOOSE($W$46+1,historico_VU!$C106,historico_VU!$D106,historico_VU!$E106,historico_VU!$F106,historico_VU!$G106),2)*CHOOSE($W$46+1,posicao_contratual!$G106,posicao_contratual!$K106,posicao_contratual!$O106,posicao_contratual!$S106,posicao_contratual!$W106),2),""))</f>
        <v>0</v>
      </c>
      <c r="AC106">
        <f>IF(OR(posicao_contratual!$A106="",$W$46=""),0,IF(OR($AB106="",$AD106=""),"",ROUND($AB106-$AD106,2)))</f>
        <v>0</v>
      </c>
      <c r="AD106">
        <f>IF(OR(posicao_contratual!$A106="",$W$46=""),0,IF($AB106="","",IF(NOT(ISNUMBER(CHOOSE($W$46+1,posicao_contratual!$AB106,posicao_contratual!$AC106,posicao_contratual!$AD106,posicao_contratual!$AE106,posicao_contratual!$AF106))),0,ROUND(ROUND(CHOOSE($W$46+1,historico_VU!$C106,historico_VU!$D106,historico_VU!$E106,historico_VU!$F106,historico_VU!$G106),2)*CHOOSE($W$46+1,posicao_contratual!$AB106,posicao_contratual!$AC106,posicao_contratual!$AD106,posicao_contratual!$AE106,posicao_contratual!$AF106),2))))</f>
        <v>0</v>
      </c>
    </row>
    <row r="107" spans="1:30" hidden="1" outlineLevel="1" x14ac:dyDescent="0.35">
      <c r="A107" s="137" t="str">
        <f>IF(historico_VU!A55="","",historico_VU!A55)</f>
        <v/>
      </c>
      <c r="B107" s="138" t="str">
        <f>IF(A107="","",historico_VU!B55)</f>
        <v/>
      </c>
      <c r="C107" s="139" t="str">
        <f>IF(A107="","",historico_VU!C55)</f>
        <v/>
      </c>
      <c r="D107" s="139" t="str">
        <f>IF(A107="","",historico_VU!D55)</f>
        <v/>
      </c>
      <c r="E107" s="139" t="str">
        <f>IF(A107="","",historico_VU!E55)</f>
        <v/>
      </c>
      <c r="F107" s="139" t="str">
        <f>IF(A107="","",historico_VU!F55)</f>
        <v/>
      </c>
      <c r="G107" s="139" t="str">
        <f>IF(A107="","",historico_VU!G55)</f>
        <v/>
      </c>
      <c r="H107" s="140" t="str">
        <f>IF(A107="","",historico_VU!H55)</f>
        <v/>
      </c>
      <c r="I107" s="57"/>
      <c r="J107" s="137" t="str">
        <f>IF(itens_Remanesc!A55="","",itens_Remanesc!A55)</f>
        <v/>
      </c>
      <c r="K107" s="138" t="str">
        <f>IF(J107="","",IF($F$4="C0",itens_Remanesc!B55,IF($F$4="C1",itens_Remanesc!E55,IF($F$4="C2",itens_Remanesc!G55,IF($F$4="C3",itens_Remanesc!I55,itens_Remanesc!K55)))))</f>
        <v/>
      </c>
      <c r="L107" s="138" t="str">
        <f>IF(J107="","",IF(SUMIF(itens_Consumidos!$A$2:$A$200,J107,itens_Consumidos!$B$2:$B$200)-SUMIF(itens_Consumidos!$A$2:$A$200,J107,itens_Consumidos!$O$2:$O$200)&lt;0,0,SUMIF(itens_Consumidos!$A$2:$A$200,J107,itens_Consumidos!$B$2:$B$200)-SUMIF(itens_Consumidos!$A$2:$A$200,J107,itens_Consumidos!$O$2:$O$200)))</f>
        <v/>
      </c>
      <c r="M107" s="141" t="str">
        <f>IF(J107="","",itens_Remanesc!C55)</f>
        <v/>
      </c>
      <c r="N107" s="141" t="str">
        <f>IF(J107="","",IF($F$4="C0",historico_VU!C55,IF($F$4="C1",historico_VU!D55,IF($F$4="C2",historico_VU!E55,IF($F$4="C3",historico_VU!F55,historico_VU!G55)))))</f>
        <v/>
      </c>
      <c r="O107" s="141" t="str">
        <f t="shared" si="4"/>
        <v/>
      </c>
      <c r="P107" s="141" t="str">
        <f t="shared" si="5"/>
        <v/>
      </c>
      <c r="Q107" s="142" t="str">
        <f t="shared" si="6"/>
        <v/>
      </c>
      <c r="X107">
        <f>IF(posicao_contratual!$A107="",0,IF(AND(ISNUMBER(posicao_contratual!$Y107),posicao_contratual!$Y107&gt;0),0,IF(AND(ISNUMBER(posicao_contratual!$G107),ISNUMBER(posicao_contratual!$K107),ISNUMBER(historico_VU!$C107)),((posicao_contratual!$G107-N(posicao_contratual!$AB107))-(posicao_contratual!$K107-N(posicao_contratual!$AC107)))*historico_VU!$C107,"")))</f>
        <v>0</v>
      </c>
      <c r="Y107">
        <f>IF(OR(posicao_contratual!$A107="",$T$20=""),0,IF(AND(ISNUMBER(CHOOSE($T$20+1,historico_VU!$C107,historico_VU!$D107,historico_VU!$E107,historico_VU!$F107,historico_VU!$G107)),ISNUMBER(CHOOSE($T$20+1,posicao_contratual!$G107,posicao_contratual!$K107,posicao_contratual!$O107,posicao_contratual!$S107,posicao_contratual!$W107))),ROUND(ROUND(CHOOSE($T$20+1,historico_VU!$C107,historico_VU!$D107,historico_VU!$E107,historico_VU!$F107,historico_VU!$G107),2)*CHOOSE($T$20+1,posicao_contratual!$G107,posicao_contratual!$K107,posicao_contratual!$O107,posicao_contratual!$S107,posicao_contratual!$W107),2),""))</f>
        <v>0</v>
      </c>
      <c r="AB107">
        <f>IF(OR(posicao_contratual!$A107="",$W$46=""),0,IF(AND(ISNUMBER(CHOOSE($W$46+1,historico_VU!$C107,historico_VU!$D107,historico_VU!$E107,historico_VU!$F107,historico_VU!$G107)),ISNUMBER(CHOOSE($W$46+1,posicao_contratual!$G107,posicao_contratual!$K107,posicao_contratual!$O107,posicao_contratual!$S107,posicao_contratual!$W107))),ROUND(ROUND(CHOOSE($W$46+1,historico_VU!$C107,historico_VU!$D107,historico_VU!$E107,historico_VU!$F107,historico_VU!$G107),2)*CHOOSE($W$46+1,posicao_contratual!$G107,posicao_contratual!$K107,posicao_contratual!$O107,posicao_contratual!$S107,posicao_contratual!$W107),2),""))</f>
        <v>0</v>
      </c>
      <c r="AC107">
        <f>IF(OR(posicao_contratual!$A107="",$W$46=""),0,IF(OR($AB107="",$AD107=""),"",ROUND($AB107-$AD107,2)))</f>
        <v>0</v>
      </c>
      <c r="AD107">
        <f>IF(OR(posicao_contratual!$A107="",$W$46=""),0,IF($AB107="","",IF(NOT(ISNUMBER(CHOOSE($W$46+1,posicao_contratual!$AB107,posicao_contratual!$AC107,posicao_contratual!$AD107,posicao_contratual!$AE107,posicao_contratual!$AF107))),0,ROUND(ROUND(CHOOSE($W$46+1,historico_VU!$C107,historico_VU!$D107,historico_VU!$E107,historico_VU!$F107,historico_VU!$G107),2)*CHOOSE($W$46+1,posicao_contratual!$AB107,posicao_contratual!$AC107,posicao_contratual!$AD107,posicao_contratual!$AE107,posicao_contratual!$AF107),2))))</f>
        <v>0</v>
      </c>
    </row>
    <row r="108" spans="1:30" hidden="1" outlineLevel="1" x14ac:dyDescent="0.35">
      <c r="A108" s="137" t="str">
        <f>IF(historico_VU!A56="","",historico_VU!A56)</f>
        <v/>
      </c>
      <c r="B108" s="138" t="str">
        <f>IF(A108="","",historico_VU!B56)</f>
        <v/>
      </c>
      <c r="C108" s="139" t="str">
        <f>IF(A108="","",historico_VU!C56)</f>
        <v/>
      </c>
      <c r="D108" s="139" t="str">
        <f>IF(A108="","",historico_VU!D56)</f>
        <v/>
      </c>
      <c r="E108" s="139" t="str">
        <f>IF(A108="","",historico_VU!E56)</f>
        <v/>
      </c>
      <c r="F108" s="139" t="str">
        <f>IF(A108="","",historico_VU!F56)</f>
        <v/>
      </c>
      <c r="G108" s="139" t="str">
        <f>IF(A108="","",historico_VU!G56)</f>
        <v/>
      </c>
      <c r="H108" s="140" t="str">
        <f>IF(A108="","",historico_VU!H56)</f>
        <v/>
      </c>
      <c r="I108" s="57"/>
      <c r="J108" s="137" t="str">
        <f>IF(itens_Remanesc!A56="","",itens_Remanesc!A56)</f>
        <v/>
      </c>
      <c r="K108" s="138" t="str">
        <f>IF(J108="","",IF($F$4="C0",itens_Remanesc!B56,IF($F$4="C1",itens_Remanesc!E56,IF($F$4="C2",itens_Remanesc!G56,IF($F$4="C3",itens_Remanesc!I56,itens_Remanesc!K56)))))</f>
        <v/>
      </c>
      <c r="L108" s="138" t="str">
        <f>IF(J108="","",IF(SUMIF(itens_Consumidos!$A$2:$A$200,J108,itens_Consumidos!$B$2:$B$200)-SUMIF(itens_Consumidos!$A$2:$A$200,J108,itens_Consumidos!$O$2:$O$200)&lt;0,0,SUMIF(itens_Consumidos!$A$2:$A$200,J108,itens_Consumidos!$B$2:$B$200)-SUMIF(itens_Consumidos!$A$2:$A$200,J108,itens_Consumidos!$O$2:$O$200)))</f>
        <v/>
      </c>
      <c r="M108" s="141" t="str">
        <f>IF(J108="","",itens_Remanesc!C56)</f>
        <v/>
      </c>
      <c r="N108" s="141" t="str">
        <f>IF(J108="","",IF($F$4="C0",historico_VU!C56,IF($F$4="C1",historico_VU!D56,IF($F$4="C2",historico_VU!E56,IF($F$4="C3",historico_VU!F56,historico_VU!G56)))))</f>
        <v/>
      </c>
      <c r="O108" s="141" t="str">
        <f t="shared" si="4"/>
        <v/>
      </c>
      <c r="P108" s="141" t="str">
        <f t="shared" si="5"/>
        <v/>
      </c>
      <c r="Q108" s="142" t="str">
        <f t="shared" si="6"/>
        <v/>
      </c>
      <c r="X108">
        <f>IF(posicao_contratual!$A108="",0,IF(AND(ISNUMBER(posicao_contratual!$Y108),posicao_contratual!$Y108&gt;0),0,IF(AND(ISNUMBER(posicao_contratual!$G108),ISNUMBER(posicao_contratual!$K108),ISNUMBER(historico_VU!$C108)),((posicao_contratual!$G108-N(posicao_contratual!$AB108))-(posicao_contratual!$K108-N(posicao_contratual!$AC108)))*historico_VU!$C108,"")))</f>
        <v>0</v>
      </c>
      <c r="Y108">
        <f>IF(OR(posicao_contratual!$A108="",$T$20=""),0,IF(AND(ISNUMBER(CHOOSE($T$20+1,historico_VU!$C108,historico_VU!$D108,historico_VU!$E108,historico_VU!$F108,historico_VU!$G108)),ISNUMBER(CHOOSE($T$20+1,posicao_contratual!$G108,posicao_contratual!$K108,posicao_contratual!$O108,posicao_contratual!$S108,posicao_contratual!$W108))),ROUND(ROUND(CHOOSE($T$20+1,historico_VU!$C108,historico_VU!$D108,historico_VU!$E108,historico_VU!$F108,historico_VU!$G108),2)*CHOOSE($T$20+1,posicao_contratual!$G108,posicao_contratual!$K108,posicao_contratual!$O108,posicao_contratual!$S108,posicao_contratual!$W108),2),""))</f>
        <v>0</v>
      </c>
      <c r="AB108">
        <f>IF(OR(posicao_contratual!$A108="",$W$46=""),0,IF(AND(ISNUMBER(CHOOSE($W$46+1,historico_VU!$C108,historico_VU!$D108,historico_VU!$E108,historico_VU!$F108,historico_VU!$G108)),ISNUMBER(CHOOSE($W$46+1,posicao_contratual!$G108,posicao_contratual!$K108,posicao_contratual!$O108,posicao_contratual!$S108,posicao_contratual!$W108))),ROUND(ROUND(CHOOSE($W$46+1,historico_VU!$C108,historico_VU!$D108,historico_VU!$E108,historico_VU!$F108,historico_VU!$G108),2)*CHOOSE($W$46+1,posicao_contratual!$G108,posicao_contratual!$K108,posicao_contratual!$O108,posicao_contratual!$S108,posicao_contratual!$W108),2),""))</f>
        <v>0</v>
      </c>
      <c r="AC108">
        <f>IF(OR(posicao_contratual!$A108="",$W$46=""),0,IF(OR($AB108="",$AD108=""),"",ROUND($AB108-$AD108,2)))</f>
        <v>0</v>
      </c>
      <c r="AD108">
        <f>IF(OR(posicao_contratual!$A108="",$W$46=""),0,IF($AB108="","",IF(NOT(ISNUMBER(CHOOSE($W$46+1,posicao_contratual!$AB108,posicao_contratual!$AC108,posicao_contratual!$AD108,posicao_contratual!$AE108,posicao_contratual!$AF108))),0,ROUND(ROUND(CHOOSE($W$46+1,historico_VU!$C108,historico_VU!$D108,historico_VU!$E108,historico_VU!$F108,historico_VU!$G108),2)*CHOOSE($W$46+1,posicao_contratual!$AB108,posicao_contratual!$AC108,posicao_contratual!$AD108,posicao_contratual!$AE108,posicao_contratual!$AF108),2))))</f>
        <v>0</v>
      </c>
    </row>
    <row r="109" spans="1:30" hidden="1" outlineLevel="1" x14ac:dyDescent="0.35">
      <c r="A109" s="137" t="str">
        <f>IF(historico_VU!A57="","",historico_VU!A57)</f>
        <v/>
      </c>
      <c r="B109" s="138" t="str">
        <f>IF(A109="","",historico_VU!B57)</f>
        <v/>
      </c>
      <c r="C109" s="139" t="str">
        <f>IF(A109="","",historico_VU!C57)</f>
        <v/>
      </c>
      <c r="D109" s="139" t="str">
        <f>IF(A109="","",historico_VU!D57)</f>
        <v/>
      </c>
      <c r="E109" s="139" t="str">
        <f>IF(A109="","",historico_VU!E57)</f>
        <v/>
      </c>
      <c r="F109" s="139" t="str">
        <f>IF(A109="","",historico_VU!F57)</f>
        <v/>
      </c>
      <c r="G109" s="139" t="str">
        <f>IF(A109="","",historico_VU!G57)</f>
        <v/>
      </c>
      <c r="H109" s="140" t="str">
        <f>IF(A109="","",historico_VU!H57)</f>
        <v/>
      </c>
      <c r="I109" s="57"/>
      <c r="J109" s="137" t="str">
        <f>IF(itens_Remanesc!A57="","",itens_Remanesc!A57)</f>
        <v/>
      </c>
      <c r="K109" s="138" t="str">
        <f>IF(J109="","",IF($F$4="C0",itens_Remanesc!B57,IF($F$4="C1",itens_Remanesc!E57,IF($F$4="C2",itens_Remanesc!G57,IF($F$4="C3",itens_Remanesc!I57,itens_Remanesc!K57)))))</f>
        <v/>
      </c>
      <c r="L109" s="138" t="str">
        <f>IF(J109="","",IF(SUMIF(itens_Consumidos!$A$2:$A$200,J109,itens_Consumidos!$B$2:$B$200)-SUMIF(itens_Consumidos!$A$2:$A$200,J109,itens_Consumidos!$O$2:$O$200)&lt;0,0,SUMIF(itens_Consumidos!$A$2:$A$200,J109,itens_Consumidos!$B$2:$B$200)-SUMIF(itens_Consumidos!$A$2:$A$200,J109,itens_Consumidos!$O$2:$O$200)))</f>
        <v/>
      </c>
      <c r="M109" s="141" t="str">
        <f>IF(J109="","",itens_Remanesc!C57)</f>
        <v/>
      </c>
      <c r="N109" s="141" t="str">
        <f>IF(J109="","",IF($F$4="C0",historico_VU!C57,IF($F$4="C1",historico_VU!D57,IF($F$4="C2",historico_VU!E57,IF($F$4="C3",historico_VU!F57,historico_VU!G57)))))</f>
        <v/>
      </c>
      <c r="O109" s="141" t="str">
        <f t="shared" si="4"/>
        <v/>
      </c>
      <c r="P109" s="141" t="str">
        <f t="shared" si="5"/>
        <v/>
      </c>
      <c r="Q109" s="142" t="str">
        <f t="shared" si="6"/>
        <v/>
      </c>
      <c r="X109">
        <f>IF(posicao_contratual!$A109="",0,IF(AND(ISNUMBER(posicao_contratual!$Y109),posicao_contratual!$Y109&gt;0),0,IF(AND(ISNUMBER(posicao_contratual!$G109),ISNUMBER(posicao_contratual!$K109),ISNUMBER(historico_VU!$C109)),((posicao_contratual!$G109-N(posicao_contratual!$AB109))-(posicao_contratual!$K109-N(posicao_contratual!$AC109)))*historico_VU!$C109,"")))</f>
        <v>0</v>
      </c>
      <c r="Y109">
        <f>IF(OR(posicao_contratual!$A109="",$T$20=""),0,IF(AND(ISNUMBER(CHOOSE($T$20+1,historico_VU!$C109,historico_VU!$D109,historico_VU!$E109,historico_VU!$F109,historico_VU!$G109)),ISNUMBER(CHOOSE($T$20+1,posicao_contratual!$G109,posicao_contratual!$K109,posicao_contratual!$O109,posicao_contratual!$S109,posicao_contratual!$W109))),ROUND(ROUND(CHOOSE($T$20+1,historico_VU!$C109,historico_VU!$D109,historico_VU!$E109,historico_VU!$F109,historico_VU!$G109),2)*CHOOSE($T$20+1,posicao_contratual!$G109,posicao_contratual!$K109,posicao_contratual!$O109,posicao_contratual!$S109,posicao_contratual!$W109),2),""))</f>
        <v>0</v>
      </c>
      <c r="AB109">
        <f>IF(OR(posicao_contratual!$A109="",$W$46=""),0,IF(AND(ISNUMBER(CHOOSE($W$46+1,historico_VU!$C109,historico_VU!$D109,historico_VU!$E109,historico_VU!$F109,historico_VU!$G109)),ISNUMBER(CHOOSE($W$46+1,posicao_contratual!$G109,posicao_contratual!$K109,posicao_contratual!$O109,posicao_contratual!$S109,posicao_contratual!$W109))),ROUND(ROUND(CHOOSE($W$46+1,historico_VU!$C109,historico_VU!$D109,historico_VU!$E109,historico_VU!$F109,historico_VU!$G109),2)*CHOOSE($W$46+1,posicao_contratual!$G109,posicao_contratual!$K109,posicao_contratual!$O109,posicao_contratual!$S109,posicao_contratual!$W109),2),""))</f>
        <v>0</v>
      </c>
      <c r="AC109">
        <f>IF(OR(posicao_contratual!$A109="",$W$46=""),0,IF(OR($AB109="",$AD109=""),"",ROUND($AB109-$AD109,2)))</f>
        <v>0</v>
      </c>
      <c r="AD109">
        <f>IF(OR(posicao_contratual!$A109="",$W$46=""),0,IF($AB109="","",IF(NOT(ISNUMBER(CHOOSE($W$46+1,posicao_contratual!$AB109,posicao_contratual!$AC109,posicao_contratual!$AD109,posicao_contratual!$AE109,posicao_contratual!$AF109))),0,ROUND(ROUND(CHOOSE($W$46+1,historico_VU!$C109,historico_VU!$D109,historico_VU!$E109,historico_VU!$F109,historico_VU!$G109),2)*CHOOSE($W$46+1,posicao_contratual!$AB109,posicao_contratual!$AC109,posicao_contratual!$AD109,posicao_contratual!$AE109,posicao_contratual!$AF109),2))))</f>
        <v>0</v>
      </c>
    </row>
    <row r="110" spans="1:30" hidden="1" outlineLevel="1" x14ac:dyDescent="0.35">
      <c r="A110" s="137" t="str">
        <f>IF(historico_VU!A58="","",historico_VU!A58)</f>
        <v/>
      </c>
      <c r="B110" s="138" t="str">
        <f>IF(A110="","",historico_VU!B58)</f>
        <v/>
      </c>
      <c r="C110" s="139" t="str">
        <f>IF(A110="","",historico_VU!C58)</f>
        <v/>
      </c>
      <c r="D110" s="139" t="str">
        <f>IF(A110="","",historico_VU!D58)</f>
        <v/>
      </c>
      <c r="E110" s="139" t="str">
        <f>IF(A110="","",historico_VU!E58)</f>
        <v/>
      </c>
      <c r="F110" s="139" t="str">
        <f>IF(A110="","",historico_VU!F58)</f>
        <v/>
      </c>
      <c r="G110" s="139" t="str">
        <f>IF(A110="","",historico_VU!G58)</f>
        <v/>
      </c>
      <c r="H110" s="140" t="str">
        <f>IF(A110="","",historico_VU!H58)</f>
        <v/>
      </c>
      <c r="I110" s="57"/>
      <c r="J110" s="137" t="str">
        <f>IF(itens_Remanesc!A58="","",itens_Remanesc!A58)</f>
        <v/>
      </c>
      <c r="K110" s="138" t="str">
        <f>IF(J110="","",IF($F$4="C0",itens_Remanesc!B58,IF($F$4="C1",itens_Remanesc!E58,IF($F$4="C2",itens_Remanesc!G58,IF($F$4="C3",itens_Remanesc!I58,itens_Remanesc!K58)))))</f>
        <v/>
      </c>
      <c r="L110" s="138" t="str">
        <f>IF(J110="","",IF(SUMIF(itens_Consumidos!$A$2:$A$200,J110,itens_Consumidos!$B$2:$B$200)-SUMIF(itens_Consumidos!$A$2:$A$200,J110,itens_Consumidos!$O$2:$O$200)&lt;0,0,SUMIF(itens_Consumidos!$A$2:$A$200,J110,itens_Consumidos!$B$2:$B$200)-SUMIF(itens_Consumidos!$A$2:$A$200,J110,itens_Consumidos!$O$2:$O$200)))</f>
        <v/>
      </c>
      <c r="M110" s="141" t="str">
        <f>IF(J110="","",itens_Remanesc!C58)</f>
        <v/>
      </c>
      <c r="N110" s="141" t="str">
        <f>IF(J110="","",IF($F$4="C0",historico_VU!C58,IF($F$4="C1",historico_VU!D58,IF($F$4="C2",historico_VU!E58,IF($F$4="C3",historico_VU!F58,historico_VU!G58)))))</f>
        <v/>
      </c>
      <c r="O110" s="141" t="str">
        <f t="shared" si="4"/>
        <v/>
      </c>
      <c r="P110" s="141" t="str">
        <f t="shared" si="5"/>
        <v/>
      </c>
      <c r="Q110" s="142" t="str">
        <f t="shared" si="6"/>
        <v/>
      </c>
      <c r="X110">
        <f>IF(posicao_contratual!$A110="",0,IF(AND(ISNUMBER(posicao_contratual!$Y110),posicao_contratual!$Y110&gt;0),0,IF(AND(ISNUMBER(posicao_contratual!$G110),ISNUMBER(posicao_contratual!$K110),ISNUMBER(historico_VU!$C110)),((posicao_contratual!$G110-N(posicao_contratual!$AB110))-(posicao_contratual!$K110-N(posicao_contratual!$AC110)))*historico_VU!$C110,"")))</f>
        <v>0</v>
      </c>
      <c r="Y110">
        <f>IF(OR(posicao_contratual!$A110="",$T$20=""),0,IF(AND(ISNUMBER(CHOOSE($T$20+1,historico_VU!$C110,historico_VU!$D110,historico_VU!$E110,historico_VU!$F110,historico_VU!$G110)),ISNUMBER(CHOOSE($T$20+1,posicao_contratual!$G110,posicao_contratual!$K110,posicao_contratual!$O110,posicao_contratual!$S110,posicao_contratual!$W110))),ROUND(ROUND(CHOOSE($T$20+1,historico_VU!$C110,historico_VU!$D110,historico_VU!$E110,historico_VU!$F110,historico_VU!$G110),2)*CHOOSE($T$20+1,posicao_contratual!$G110,posicao_contratual!$K110,posicao_contratual!$O110,posicao_contratual!$S110,posicao_contratual!$W110),2),""))</f>
        <v>0</v>
      </c>
      <c r="AB110">
        <f>IF(OR(posicao_contratual!$A110="",$W$46=""),0,IF(AND(ISNUMBER(CHOOSE($W$46+1,historico_VU!$C110,historico_VU!$D110,historico_VU!$E110,historico_VU!$F110,historico_VU!$G110)),ISNUMBER(CHOOSE($W$46+1,posicao_contratual!$G110,posicao_contratual!$K110,posicao_contratual!$O110,posicao_contratual!$S110,posicao_contratual!$W110))),ROUND(ROUND(CHOOSE($W$46+1,historico_VU!$C110,historico_VU!$D110,historico_VU!$E110,historico_VU!$F110,historico_VU!$G110),2)*CHOOSE($W$46+1,posicao_contratual!$G110,posicao_contratual!$K110,posicao_contratual!$O110,posicao_contratual!$S110,posicao_contratual!$W110),2),""))</f>
        <v>0</v>
      </c>
      <c r="AC110">
        <f>IF(OR(posicao_contratual!$A110="",$W$46=""),0,IF(OR($AB110="",$AD110=""),"",ROUND($AB110-$AD110,2)))</f>
        <v>0</v>
      </c>
      <c r="AD110">
        <f>IF(OR(posicao_contratual!$A110="",$W$46=""),0,IF($AB110="","",IF(NOT(ISNUMBER(CHOOSE($W$46+1,posicao_contratual!$AB110,posicao_contratual!$AC110,posicao_contratual!$AD110,posicao_contratual!$AE110,posicao_contratual!$AF110))),0,ROUND(ROUND(CHOOSE($W$46+1,historico_VU!$C110,historico_VU!$D110,historico_VU!$E110,historico_VU!$F110,historico_VU!$G110),2)*CHOOSE($W$46+1,posicao_contratual!$AB110,posicao_contratual!$AC110,posicao_contratual!$AD110,posicao_contratual!$AE110,posicao_contratual!$AF110),2))))</f>
        <v>0</v>
      </c>
    </row>
    <row r="111" spans="1:30" hidden="1" outlineLevel="1" x14ac:dyDescent="0.35">
      <c r="A111" s="137" t="str">
        <f>IF(historico_VU!A59="","",historico_VU!A59)</f>
        <v/>
      </c>
      <c r="B111" s="138" t="str">
        <f>IF(A111="","",historico_VU!B59)</f>
        <v/>
      </c>
      <c r="C111" s="139" t="str">
        <f>IF(A111="","",historico_VU!C59)</f>
        <v/>
      </c>
      <c r="D111" s="139" t="str">
        <f>IF(A111="","",historico_VU!D59)</f>
        <v/>
      </c>
      <c r="E111" s="139" t="str">
        <f>IF(A111="","",historico_VU!E59)</f>
        <v/>
      </c>
      <c r="F111" s="139" t="str">
        <f>IF(A111="","",historico_VU!F59)</f>
        <v/>
      </c>
      <c r="G111" s="139" t="str">
        <f>IF(A111="","",historico_VU!G59)</f>
        <v/>
      </c>
      <c r="H111" s="140" t="str">
        <f>IF(A111="","",historico_VU!H59)</f>
        <v/>
      </c>
      <c r="I111" s="57"/>
      <c r="J111" s="137" t="str">
        <f>IF(itens_Remanesc!A59="","",itens_Remanesc!A59)</f>
        <v/>
      </c>
      <c r="K111" s="138" t="str">
        <f>IF(J111="","",IF($F$4="C0",itens_Remanesc!B59,IF($F$4="C1",itens_Remanesc!E59,IF($F$4="C2",itens_Remanesc!G59,IF($F$4="C3",itens_Remanesc!I59,itens_Remanesc!K59)))))</f>
        <v/>
      </c>
      <c r="L111" s="138" t="str">
        <f>IF(J111="","",IF(SUMIF(itens_Consumidos!$A$2:$A$200,J111,itens_Consumidos!$B$2:$B$200)-SUMIF(itens_Consumidos!$A$2:$A$200,J111,itens_Consumidos!$O$2:$O$200)&lt;0,0,SUMIF(itens_Consumidos!$A$2:$A$200,J111,itens_Consumidos!$B$2:$B$200)-SUMIF(itens_Consumidos!$A$2:$A$200,J111,itens_Consumidos!$O$2:$O$200)))</f>
        <v/>
      </c>
      <c r="M111" s="141" t="str">
        <f>IF(J111="","",itens_Remanesc!C59)</f>
        <v/>
      </c>
      <c r="N111" s="141" t="str">
        <f>IF(J111="","",IF($F$4="C0",historico_VU!C59,IF($F$4="C1",historico_VU!D59,IF($F$4="C2",historico_VU!E59,IF($F$4="C3",historico_VU!F59,historico_VU!G59)))))</f>
        <v/>
      </c>
      <c r="O111" s="141" t="str">
        <f t="shared" si="4"/>
        <v/>
      </c>
      <c r="P111" s="141" t="str">
        <f t="shared" si="5"/>
        <v/>
      </c>
      <c r="Q111" s="142" t="str">
        <f t="shared" si="6"/>
        <v/>
      </c>
      <c r="X111">
        <f>IF(posicao_contratual!$A111="",0,IF(AND(ISNUMBER(posicao_contratual!$Y111),posicao_contratual!$Y111&gt;0),0,IF(AND(ISNUMBER(posicao_contratual!$G111),ISNUMBER(posicao_contratual!$K111),ISNUMBER(historico_VU!$C111)),((posicao_contratual!$G111-N(posicao_contratual!$AB111))-(posicao_contratual!$K111-N(posicao_contratual!$AC111)))*historico_VU!$C111,"")))</f>
        <v>0</v>
      </c>
      <c r="Y111">
        <f>IF(OR(posicao_contratual!$A111="",$T$20=""),0,IF(AND(ISNUMBER(CHOOSE($T$20+1,historico_VU!$C111,historico_VU!$D111,historico_VU!$E111,historico_VU!$F111,historico_VU!$G111)),ISNUMBER(CHOOSE($T$20+1,posicao_contratual!$G111,posicao_contratual!$K111,posicao_contratual!$O111,posicao_contratual!$S111,posicao_contratual!$W111))),ROUND(ROUND(CHOOSE($T$20+1,historico_VU!$C111,historico_VU!$D111,historico_VU!$E111,historico_VU!$F111,historico_VU!$G111),2)*CHOOSE($T$20+1,posicao_contratual!$G111,posicao_contratual!$K111,posicao_contratual!$O111,posicao_contratual!$S111,posicao_contratual!$W111),2),""))</f>
        <v>0</v>
      </c>
      <c r="AB111">
        <f>IF(OR(posicao_contratual!$A111="",$W$46=""),0,IF(AND(ISNUMBER(CHOOSE($W$46+1,historico_VU!$C111,historico_VU!$D111,historico_VU!$E111,historico_VU!$F111,historico_VU!$G111)),ISNUMBER(CHOOSE($W$46+1,posicao_contratual!$G111,posicao_contratual!$K111,posicao_contratual!$O111,posicao_contratual!$S111,posicao_contratual!$W111))),ROUND(ROUND(CHOOSE($W$46+1,historico_VU!$C111,historico_VU!$D111,historico_VU!$E111,historico_VU!$F111,historico_VU!$G111),2)*CHOOSE($W$46+1,posicao_contratual!$G111,posicao_contratual!$K111,posicao_contratual!$O111,posicao_contratual!$S111,posicao_contratual!$W111),2),""))</f>
        <v>0</v>
      </c>
      <c r="AC111">
        <f>IF(OR(posicao_contratual!$A111="",$W$46=""),0,IF(OR($AB111="",$AD111=""),"",ROUND($AB111-$AD111,2)))</f>
        <v>0</v>
      </c>
      <c r="AD111">
        <f>IF(OR(posicao_contratual!$A111="",$W$46=""),0,IF($AB111="","",IF(NOT(ISNUMBER(CHOOSE($W$46+1,posicao_contratual!$AB111,posicao_contratual!$AC111,posicao_contratual!$AD111,posicao_contratual!$AE111,posicao_contratual!$AF111))),0,ROUND(ROUND(CHOOSE($W$46+1,historico_VU!$C111,historico_VU!$D111,historico_VU!$E111,historico_VU!$F111,historico_VU!$G111),2)*CHOOSE($W$46+1,posicao_contratual!$AB111,posicao_contratual!$AC111,posicao_contratual!$AD111,posicao_contratual!$AE111,posicao_contratual!$AF111),2))))</f>
        <v>0</v>
      </c>
    </row>
    <row r="112" spans="1:30" hidden="1" outlineLevel="1" x14ac:dyDescent="0.35">
      <c r="A112" s="137" t="str">
        <f>IF(historico_VU!A60="","",historico_VU!A60)</f>
        <v/>
      </c>
      <c r="B112" s="138" t="str">
        <f>IF(A112="","",historico_VU!B60)</f>
        <v/>
      </c>
      <c r="C112" s="139" t="str">
        <f>IF(A112="","",historico_VU!C60)</f>
        <v/>
      </c>
      <c r="D112" s="139" t="str">
        <f>IF(A112="","",historico_VU!D60)</f>
        <v/>
      </c>
      <c r="E112" s="139" t="str">
        <f>IF(A112="","",historico_VU!E60)</f>
        <v/>
      </c>
      <c r="F112" s="139" t="str">
        <f>IF(A112="","",historico_VU!F60)</f>
        <v/>
      </c>
      <c r="G112" s="139" t="str">
        <f>IF(A112="","",historico_VU!G60)</f>
        <v/>
      </c>
      <c r="H112" s="140" t="str">
        <f>IF(A112="","",historico_VU!H60)</f>
        <v/>
      </c>
      <c r="I112" s="57"/>
      <c r="J112" s="137" t="str">
        <f>IF(itens_Remanesc!A60="","",itens_Remanesc!A60)</f>
        <v/>
      </c>
      <c r="K112" s="138" t="str">
        <f>IF(J112="","",IF($F$4="C0",itens_Remanesc!B60,IF($F$4="C1",itens_Remanesc!E60,IF($F$4="C2",itens_Remanesc!G60,IF($F$4="C3",itens_Remanesc!I60,itens_Remanesc!K60)))))</f>
        <v/>
      </c>
      <c r="L112" s="138" t="str">
        <f>IF(J112="","",IF(SUMIF(itens_Consumidos!$A$2:$A$200,J112,itens_Consumidos!$B$2:$B$200)-SUMIF(itens_Consumidos!$A$2:$A$200,J112,itens_Consumidos!$O$2:$O$200)&lt;0,0,SUMIF(itens_Consumidos!$A$2:$A$200,J112,itens_Consumidos!$B$2:$B$200)-SUMIF(itens_Consumidos!$A$2:$A$200,J112,itens_Consumidos!$O$2:$O$200)))</f>
        <v/>
      </c>
      <c r="M112" s="141" t="str">
        <f>IF(J112="","",itens_Remanesc!C60)</f>
        <v/>
      </c>
      <c r="N112" s="141" t="str">
        <f>IF(J112="","",IF($F$4="C0",historico_VU!C60,IF($F$4="C1",historico_VU!D60,IF($F$4="C2",historico_VU!E60,IF($F$4="C3",historico_VU!F60,historico_VU!G60)))))</f>
        <v/>
      </c>
      <c r="O112" s="141" t="str">
        <f t="shared" si="4"/>
        <v/>
      </c>
      <c r="P112" s="141" t="str">
        <f t="shared" si="5"/>
        <v/>
      </c>
      <c r="Q112" s="142" t="str">
        <f t="shared" si="6"/>
        <v/>
      </c>
      <c r="X112">
        <f>IF(posicao_contratual!$A112="",0,IF(AND(ISNUMBER(posicao_contratual!$Y112),posicao_contratual!$Y112&gt;0),0,IF(AND(ISNUMBER(posicao_contratual!$G112),ISNUMBER(posicao_contratual!$K112),ISNUMBER(historico_VU!$C112)),((posicao_contratual!$G112-N(posicao_contratual!$AB112))-(posicao_contratual!$K112-N(posicao_contratual!$AC112)))*historico_VU!$C112,"")))</f>
        <v>0</v>
      </c>
      <c r="Y112">
        <f>IF(OR(posicao_contratual!$A112="",$T$20=""),0,IF(AND(ISNUMBER(CHOOSE($T$20+1,historico_VU!$C112,historico_VU!$D112,historico_VU!$E112,historico_VU!$F112,historico_VU!$G112)),ISNUMBER(CHOOSE($T$20+1,posicao_contratual!$G112,posicao_contratual!$K112,posicao_contratual!$O112,posicao_contratual!$S112,posicao_contratual!$W112))),ROUND(ROUND(CHOOSE($T$20+1,historico_VU!$C112,historico_VU!$D112,historico_VU!$E112,historico_VU!$F112,historico_VU!$G112),2)*CHOOSE($T$20+1,posicao_contratual!$G112,posicao_contratual!$K112,posicao_contratual!$O112,posicao_contratual!$S112,posicao_contratual!$W112),2),""))</f>
        <v>0</v>
      </c>
      <c r="AB112">
        <f>IF(OR(posicao_contratual!$A112="",$W$46=""),0,IF(AND(ISNUMBER(CHOOSE($W$46+1,historico_VU!$C112,historico_VU!$D112,historico_VU!$E112,historico_VU!$F112,historico_VU!$G112)),ISNUMBER(CHOOSE($W$46+1,posicao_contratual!$G112,posicao_contratual!$K112,posicao_contratual!$O112,posicao_contratual!$S112,posicao_contratual!$W112))),ROUND(ROUND(CHOOSE($W$46+1,historico_VU!$C112,historico_VU!$D112,historico_VU!$E112,historico_VU!$F112,historico_VU!$G112),2)*CHOOSE($W$46+1,posicao_contratual!$G112,posicao_contratual!$K112,posicao_contratual!$O112,posicao_contratual!$S112,posicao_contratual!$W112),2),""))</f>
        <v>0</v>
      </c>
      <c r="AC112">
        <f>IF(OR(posicao_contratual!$A112="",$W$46=""),0,IF(OR($AB112="",$AD112=""),"",ROUND($AB112-$AD112,2)))</f>
        <v>0</v>
      </c>
      <c r="AD112">
        <f>IF(OR(posicao_contratual!$A112="",$W$46=""),0,IF($AB112="","",IF(NOT(ISNUMBER(CHOOSE($W$46+1,posicao_contratual!$AB112,posicao_contratual!$AC112,posicao_contratual!$AD112,posicao_contratual!$AE112,posicao_contratual!$AF112))),0,ROUND(ROUND(CHOOSE($W$46+1,historico_VU!$C112,historico_VU!$D112,historico_VU!$E112,historico_VU!$F112,historico_VU!$G112),2)*CHOOSE($W$46+1,posicao_contratual!$AB112,posicao_contratual!$AC112,posicao_contratual!$AD112,posicao_contratual!$AE112,posicao_contratual!$AF112),2))))</f>
        <v>0</v>
      </c>
    </row>
    <row r="113" spans="1:30" hidden="1" outlineLevel="1" x14ac:dyDescent="0.35">
      <c r="A113" s="137" t="str">
        <f>IF(historico_VU!A61="","",historico_VU!A61)</f>
        <v/>
      </c>
      <c r="B113" s="138" t="str">
        <f>IF(A113="","",historico_VU!B61)</f>
        <v/>
      </c>
      <c r="C113" s="139" t="str">
        <f>IF(A113="","",historico_VU!C61)</f>
        <v/>
      </c>
      <c r="D113" s="139" t="str">
        <f>IF(A113="","",historico_VU!D61)</f>
        <v/>
      </c>
      <c r="E113" s="139" t="str">
        <f>IF(A113="","",historico_VU!E61)</f>
        <v/>
      </c>
      <c r="F113" s="139" t="str">
        <f>IF(A113="","",historico_VU!F61)</f>
        <v/>
      </c>
      <c r="G113" s="139" t="str">
        <f>IF(A113="","",historico_VU!G61)</f>
        <v/>
      </c>
      <c r="H113" s="140" t="str">
        <f>IF(A113="","",historico_VU!H61)</f>
        <v/>
      </c>
      <c r="I113" s="57"/>
      <c r="J113" s="137" t="str">
        <f>IF(itens_Remanesc!A61="","",itens_Remanesc!A61)</f>
        <v/>
      </c>
      <c r="K113" s="138" t="str">
        <f>IF(J113="","",IF($F$4="C0",itens_Remanesc!B61,IF($F$4="C1",itens_Remanesc!E61,IF($F$4="C2",itens_Remanesc!G61,IF($F$4="C3",itens_Remanesc!I61,itens_Remanesc!K61)))))</f>
        <v/>
      </c>
      <c r="L113" s="138" t="str">
        <f>IF(J113="","",IF(SUMIF(itens_Consumidos!$A$2:$A$200,J113,itens_Consumidos!$B$2:$B$200)-SUMIF(itens_Consumidos!$A$2:$A$200,J113,itens_Consumidos!$O$2:$O$200)&lt;0,0,SUMIF(itens_Consumidos!$A$2:$A$200,J113,itens_Consumidos!$B$2:$B$200)-SUMIF(itens_Consumidos!$A$2:$A$200,J113,itens_Consumidos!$O$2:$O$200)))</f>
        <v/>
      </c>
      <c r="M113" s="141" t="str">
        <f>IF(J113="","",itens_Remanesc!C61)</f>
        <v/>
      </c>
      <c r="N113" s="141" t="str">
        <f>IF(J113="","",IF($F$4="C0",historico_VU!C61,IF($F$4="C1",historico_VU!D61,IF($F$4="C2",historico_VU!E61,IF($F$4="C3",historico_VU!F61,historico_VU!G61)))))</f>
        <v/>
      </c>
      <c r="O113" s="141" t="str">
        <f t="shared" si="4"/>
        <v/>
      </c>
      <c r="P113" s="141" t="str">
        <f t="shared" si="5"/>
        <v/>
      </c>
      <c r="Q113" s="142" t="str">
        <f t="shared" si="6"/>
        <v/>
      </c>
      <c r="X113">
        <f>IF(posicao_contratual!$A113="",0,IF(AND(ISNUMBER(posicao_contratual!$Y113),posicao_contratual!$Y113&gt;0),0,IF(AND(ISNUMBER(posicao_contratual!$G113),ISNUMBER(posicao_contratual!$K113),ISNUMBER(historico_VU!$C113)),((posicao_contratual!$G113-N(posicao_contratual!$AB113))-(posicao_contratual!$K113-N(posicao_contratual!$AC113)))*historico_VU!$C113,"")))</f>
        <v>0</v>
      </c>
      <c r="Y113">
        <f>IF(OR(posicao_contratual!$A113="",$T$20=""),0,IF(AND(ISNUMBER(CHOOSE($T$20+1,historico_VU!$C113,historico_VU!$D113,historico_VU!$E113,historico_VU!$F113,historico_VU!$G113)),ISNUMBER(CHOOSE($T$20+1,posicao_contratual!$G113,posicao_contratual!$K113,posicao_contratual!$O113,posicao_contratual!$S113,posicao_contratual!$W113))),ROUND(ROUND(CHOOSE($T$20+1,historico_VU!$C113,historico_VU!$D113,historico_VU!$E113,historico_VU!$F113,historico_VU!$G113),2)*CHOOSE($T$20+1,posicao_contratual!$G113,posicao_contratual!$K113,posicao_contratual!$O113,posicao_contratual!$S113,posicao_contratual!$W113),2),""))</f>
        <v>0</v>
      </c>
      <c r="AB113">
        <f>IF(OR(posicao_contratual!$A113="",$W$46=""),0,IF(AND(ISNUMBER(CHOOSE($W$46+1,historico_VU!$C113,historico_VU!$D113,historico_VU!$E113,historico_VU!$F113,historico_VU!$G113)),ISNUMBER(CHOOSE($W$46+1,posicao_contratual!$G113,posicao_contratual!$K113,posicao_contratual!$O113,posicao_contratual!$S113,posicao_contratual!$W113))),ROUND(ROUND(CHOOSE($W$46+1,historico_VU!$C113,historico_VU!$D113,historico_VU!$E113,historico_VU!$F113,historico_VU!$G113),2)*CHOOSE($W$46+1,posicao_contratual!$G113,posicao_contratual!$K113,posicao_contratual!$O113,posicao_contratual!$S113,posicao_contratual!$W113),2),""))</f>
        <v>0</v>
      </c>
      <c r="AC113">
        <f>IF(OR(posicao_contratual!$A113="",$W$46=""),0,IF(OR($AB113="",$AD113=""),"",ROUND($AB113-$AD113,2)))</f>
        <v>0</v>
      </c>
      <c r="AD113">
        <f>IF(OR(posicao_contratual!$A113="",$W$46=""),0,IF($AB113="","",IF(NOT(ISNUMBER(CHOOSE($W$46+1,posicao_contratual!$AB113,posicao_contratual!$AC113,posicao_contratual!$AD113,posicao_contratual!$AE113,posicao_contratual!$AF113))),0,ROUND(ROUND(CHOOSE($W$46+1,historico_VU!$C113,historico_VU!$D113,historico_VU!$E113,historico_VU!$F113,historico_VU!$G113),2)*CHOOSE($W$46+1,posicao_contratual!$AB113,posicao_contratual!$AC113,posicao_contratual!$AD113,posicao_contratual!$AE113,posicao_contratual!$AF113),2))))</f>
        <v>0</v>
      </c>
    </row>
    <row r="114" spans="1:30" hidden="1" outlineLevel="1" x14ac:dyDescent="0.35">
      <c r="A114" s="137" t="str">
        <f>IF(historico_VU!A62="","",historico_VU!A62)</f>
        <v/>
      </c>
      <c r="B114" s="138" t="str">
        <f>IF(A114="","",historico_VU!B62)</f>
        <v/>
      </c>
      <c r="C114" s="139" t="str">
        <f>IF(A114="","",historico_VU!C62)</f>
        <v/>
      </c>
      <c r="D114" s="139" t="str">
        <f>IF(A114="","",historico_VU!D62)</f>
        <v/>
      </c>
      <c r="E114" s="139" t="str">
        <f>IF(A114="","",historico_VU!E62)</f>
        <v/>
      </c>
      <c r="F114" s="139" t="str">
        <f>IF(A114="","",historico_VU!F62)</f>
        <v/>
      </c>
      <c r="G114" s="139" t="str">
        <f>IF(A114="","",historico_VU!G62)</f>
        <v/>
      </c>
      <c r="H114" s="140" t="str">
        <f>IF(A114="","",historico_VU!H62)</f>
        <v/>
      </c>
      <c r="I114" s="57"/>
      <c r="J114" s="137" t="str">
        <f>IF(itens_Remanesc!A62="","",itens_Remanesc!A62)</f>
        <v/>
      </c>
      <c r="K114" s="138" t="str">
        <f>IF(J114="","",IF($F$4="C0",itens_Remanesc!B62,IF($F$4="C1",itens_Remanesc!E62,IF($F$4="C2",itens_Remanesc!G62,IF($F$4="C3",itens_Remanesc!I62,itens_Remanesc!K62)))))</f>
        <v/>
      </c>
      <c r="L114" s="138" t="str">
        <f>IF(J114="","",IF(SUMIF(itens_Consumidos!$A$2:$A$200,J114,itens_Consumidos!$B$2:$B$200)-SUMIF(itens_Consumidos!$A$2:$A$200,J114,itens_Consumidos!$O$2:$O$200)&lt;0,0,SUMIF(itens_Consumidos!$A$2:$A$200,J114,itens_Consumidos!$B$2:$B$200)-SUMIF(itens_Consumidos!$A$2:$A$200,J114,itens_Consumidos!$O$2:$O$200)))</f>
        <v/>
      </c>
      <c r="M114" s="141" t="str">
        <f>IF(J114="","",itens_Remanesc!C62)</f>
        <v/>
      </c>
      <c r="N114" s="141" t="str">
        <f>IF(J114="","",IF($F$4="C0",historico_VU!C62,IF($F$4="C1",historico_VU!D62,IF($F$4="C2",historico_VU!E62,IF($F$4="C3",historico_VU!F62,historico_VU!G62)))))</f>
        <v/>
      </c>
      <c r="O114" s="141" t="str">
        <f t="shared" si="4"/>
        <v/>
      </c>
      <c r="P114" s="141" t="str">
        <f t="shared" si="5"/>
        <v/>
      </c>
      <c r="Q114" s="142" t="str">
        <f t="shared" si="6"/>
        <v/>
      </c>
      <c r="X114">
        <f>IF(posicao_contratual!$A114="",0,IF(AND(ISNUMBER(posicao_contratual!$Y114),posicao_contratual!$Y114&gt;0),0,IF(AND(ISNUMBER(posicao_contratual!$G114),ISNUMBER(posicao_contratual!$K114),ISNUMBER(historico_VU!$C114)),((posicao_contratual!$G114-N(posicao_contratual!$AB114))-(posicao_contratual!$K114-N(posicao_contratual!$AC114)))*historico_VU!$C114,"")))</f>
        <v>0</v>
      </c>
      <c r="Y114">
        <f>IF(OR(posicao_contratual!$A114="",$T$20=""),0,IF(AND(ISNUMBER(CHOOSE($T$20+1,historico_VU!$C114,historico_VU!$D114,historico_VU!$E114,historico_VU!$F114,historico_VU!$G114)),ISNUMBER(CHOOSE($T$20+1,posicao_contratual!$G114,posicao_contratual!$K114,posicao_contratual!$O114,posicao_contratual!$S114,posicao_contratual!$W114))),ROUND(ROUND(CHOOSE($T$20+1,historico_VU!$C114,historico_VU!$D114,historico_VU!$E114,historico_VU!$F114,historico_VU!$G114),2)*CHOOSE($T$20+1,posicao_contratual!$G114,posicao_contratual!$K114,posicao_contratual!$O114,posicao_contratual!$S114,posicao_contratual!$W114),2),""))</f>
        <v>0</v>
      </c>
      <c r="AB114">
        <f>IF(OR(posicao_contratual!$A114="",$W$46=""),0,IF(AND(ISNUMBER(CHOOSE($W$46+1,historico_VU!$C114,historico_VU!$D114,historico_VU!$E114,historico_VU!$F114,historico_VU!$G114)),ISNUMBER(CHOOSE($W$46+1,posicao_contratual!$G114,posicao_contratual!$K114,posicao_contratual!$O114,posicao_contratual!$S114,posicao_contratual!$W114))),ROUND(ROUND(CHOOSE($W$46+1,historico_VU!$C114,historico_VU!$D114,historico_VU!$E114,historico_VU!$F114,historico_VU!$G114),2)*CHOOSE($W$46+1,posicao_contratual!$G114,posicao_contratual!$K114,posicao_contratual!$O114,posicao_contratual!$S114,posicao_contratual!$W114),2),""))</f>
        <v>0</v>
      </c>
      <c r="AC114">
        <f>IF(OR(posicao_contratual!$A114="",$W$46=""),0,IF(OR($AB114="",$AD114=""),"",ROUND($AB114-$AD114,2)))</f>
        <v>0</v>
      </c>
      <c r="AD114">
        <f>IF(OR(posicao_contratual!$A114="",$W$46=""),0,IF($AB114="","",IF(NOT(ISNUMBER(CHOOSE($W$46+1,posicao_contratual!$AB114,posicao_contratual!$AC114,posicao_contratual!$AD114,posicao_contratual!$AE114,posicao_contratual!$AF114))),0,ROUND(ROUND(CHOOSE($W$46+1,historico_VU!$C114,historico_VU!$D114,historico_VU!$E114,historico_VU!$F114,historico_VU!$G114),2)*CHOOSE($W$46+1,posicao_contratual!$AB114,posicao_contratual!$AC114,posicao_contratual!$AD114,posicao_contratual!$AE114,posicao_contratual!$AF114),2))))</f>
        <v>0</v>
      </c>
    </row>
    <row r="115" spans="1:30" hidden="1" outlineLevel="1" x14ac:dyDescent="0.35">
      <c r="A115" s="137" t="str">
        <f>IF(historico_VU!A63="","",historico_VU!A63)</f>
        <v/>
      </c>
      <c r="B115" s="138" t="str">
        <f>IF(A115="","",historico_VU!B63)</f>
        <v/>
      </c>
      <c r="C115" s="139" t="str">
        <f>IF(A115="","",historico_VU!C63)</f>
        <v/>
      </c>
      <c r="D115" s="139" t="str">
        <f>IF(A115="","",historico_VU!D63)</f>
        <v/>
      </c>
      <c r="E115" s="139" t="str">
        <f>IF(A115="","",historico_VU!E63)</f>
        <v/>
      </c>
      <c r="F115" s="139" t="str">
        <f>IF(A115="","",historico_VU!F63)</f>
        <v/>
      </c>
      <c r="G115" s="139" t="str">
        <f>IF(A115="","",historico_VU!G63)</f>
        <v/>
      </c>
      <c r="H115" s="140" t="str">
        <f>IF(A115="","",historico_VU!H63)</f>
        <v/>
      </c>
      <c r="I115" s="57"/>
      <c r="J115" s="137" t="str">
        <f>IF(itens_Remanesc!A63="","",itens_Remanesc!A63)</f>
        <v/>
      </c>
      <c r="K115" s="138" t="str">
        <f>IF(J115="","",IF($F$4="C0",itens_Remanesc!B63,IF($F$4="C1",itens_Remanesc!E63,IF($F$4="C2",itens_Remanesc!G63,IF($F$4="C3",itens_Remanesc!I63,itens_Remanesc!K63)))))</f>
        <v/>
      </c>
      <c r="L115" s="138" t="str">
        <f>IF(J115="","",IF(SUMIF(itens_Consumidos!$A$2:$A$200,J115,itens_Consumidos!$B$2:$B$200)-SUMIF(itens_Consumidos!$A$2:$A$200,J115,itens_Consumidos!$O$2:$O$200)&lt;0,0,SUMIF(itens_Consumidos!$A$2:$A$200,J115,itens_Consumidos!$B$2:$B$200)-SUMIF(itens_Consumidos!$A$2:$A$200,J115,itens_Consumidos!$O$2:$O$200)))</f>
        <v/>
      </c>
      <c r="M115" s="141" t="str">
        <f>IF(J115="","",itens_Remanesc!C63)</f>
        <v/>
      </c>
      <c r="N115" s="141" t="str">
        <f>IF(J115="","",IF($F$4="C0",historico_VU!C63,IF($F$4="C1",historico_VU!D63,IF($F$4="C2",historico_VU!E63,IF($F$4="C3",historico_VU!F63,historico_VU!G63)))))</f>
        <v/>
      </c>
      <c r="O115" s="141" t="str">
        <f t="shared" si="4"/>
        <v/>
      </c>
      <c r="P115" s="141" t="str">
        <f t="shared" si="5"/>
        <v/>
      </c>
      <c r="Q115" s="142" t="str">
        <f t="shared" si="6"/>
        <v/>
      </c>
      <c r="X115">
        <f>IF(posicao_contratual!$A115="",0,IF(AND(ISNUMBER(posicao_contratual!$Y115),posicao_contratual!$Y115&gt;0),0,IF(AND(ISNUMBER(posicao_contratual!$G115),ISNUMBER(posicao_contratual!$K115),ISNUMBER(historico_VU!$C115)),((posicao_contratual!$G115-N(posicao_contratual!$AB115))-(posicao_contratual!$K115-N(posicao_contratual!$AC115)))*historico_VU!$C115,"")))</f>
        <v>0</v>
      </c>
      <c r="Y115">
        <f>IF(OR(posicao_contratual!$A115="",$T$20=""),0,IF(AND(ISNUMBER(CHOOSE($T$20+1,historico_VU!$C115,historico_VU!$D115,historico_VU!$E115,historico_VU!$F115,historico_VU!$G115)),ISNUMBER(CHOOSE($T$20+1,posicao_contratual!$G115,posicao_contratual!$K115,posicao_contratual!$O115,posicao_contratual!$S115,posicao_contratual!$W115))),ROUND(ROUND(CHOOSE($T$20+1,historico_VU!$C115,historico_VU!$D115,historico_VU!$E115,historico_VU!$F115,historico_VU!$G115),2)*CHOOSE($T$20+1,posicao_contratual!$G115,posicao_contratual!$K115,posicao_contratual!$O115,posicao_contratual!$S115,posicao_contratual!$W115),2),""))</f>
        <v>0</v>
      </c>
      <c r="AB115">
        <f>IF(OR(posicao_contratual!$A115="",$W$46=""),0,IF(AND(ISNUMBER(CHOOSE($W$46+1,historico_VU!$C115,historico_VU!$D115,historico_VU!$E115,historico_VU!$F115,historico_VU!$G115)),ISNUMBER(CHOOSE($W$46+1,posicao_contratual!$G115,posicao_contratual!$K115,posicao_contratual!$O115,posicao_contratual!$S115,posicao_contratual!$W115))),ROUND(ROUND(CHOOSE($W$46+1,historico_VU!$C115,historico_VU!$D115,historico_VU!$E115,historico_VU!$F115,historico_VU!$G115),2)*CHOOSE($W$46+1,posicao_contratual!$G115,posicao_contratual!$K115,posicao_contratual!$O115,posicao_contratual!$S115,posicao_contratual!$W115),2),""))</f>
        <v>0</v>
      </c>
      <c r="AC115">
        <f>IF(OR(posicao_contratual!$A115="",$W$46=""),0,IF(OR($AB115="",$AD115=""),"",ROUND($AB115-$AD115,2)))</f>
        <v>0</v>
      </c>
      <c r="AD115">
        <f>IF(OR(posicao_contratual!$A115="",$W$46=""),0,IF($AB115="","",IF(NOT(ISNUMBER(CHOOSE($W$46+1,posicao_contratual!$AB115,posicao_contratual!$AC115,posicao_contratual!$AD115,posicao_contratual!$AE115,posicao_contratual!$AF115))),0,ROUND(ROUND(CHOOSE($W$46+1,historico_VU!$C115,historico_VU!$D115,historico_VU!$E115,historico_VU!$F115,historico_VU!$G115),2)*CHOOSE($W$46+1,posicao_contratual!$AB115,posicao_contratual!$AC115,posicao_contratual!$AD115,posicao_contratual!$AE115,posicao_contratual!$AF115),2))))</f>
        <v>0</v>
      </c>
    </row>
    <row r="116" spans="1:30" hidden="1" outlineLevel="1" x14ac:dyDescent="0.35">
      <c r="A116" s="137" t="str">
        <f>IF(historico_VU!A64="","",historico_VU!A64)</f>
        <v/>
      </c>
      <c r="B116" s="138" t="str">
        <f>IF(A116="","",historico_VU!B64)</f>
        <v/>
      </c>
      <c r="C116" s="139" t="str">
        <f>IF(A116="","",historico_VU!C64)</f>
        <v/>
      </c>
      <c r="D116" s="139" t="str">
        <f>IF(A116="","",historico_VU!D64)</f>
        <v/>
      </c>
      <c r="E116" s="139" t="str">
        <f>IF(A116="","",historico_VU!E64)</f>
        <v/>
      </c>
      <c r="F116" s="139" t="str">
        <f>IF(A116="","",historico_VU!F64)</f>
        <v/>
      </c>
      <c r="G116" s="139" t="str">
        <f>IF(A116="","",historico_VU!G64)</f>
        <v/>
      </c>
      <c r="H116" s="140" t="str">
        <f>IF(A116="","",historico_VU!H64)</f>
        <v/>
      </c>
      <c r="I116" s="57"/>
      <c r="J116" s="137" t="str">
        <f>IF(itens_Remanesc!A64="","",itens_Remanesc!A64)</f>
        <v/>
      </c>
      <c r="K116" s="138" t="str">
        <f>IF(J116="","",IF($F$4="C0",itens_Remanesc!B64,IF($F$4="C1",itens_Remanesc!E64,IF($F$4="C2",itens_Remanesc!G64,IF($F$4="C3",itens_Remanesc!I64,itens_Remanesc!K64)))))</f>
        <v/>
      </c>
      <c r="L116" s="138" t="str">
        <f>IF(J116="","",IF(SUMIF(itens_Consumidos!$A$2:$A$200,J116,itens_Consumidos!$B$2:$B$200)-SUMIF(itens_Consumidos!$A$2:$A$200,J116,itens_Consumidos!$O$2:$O$200)&lt;0,0,SUMIF(itens_Consumidos!$A$2:$A$200,J116,itens_Consumidos!$B$2:$B$200)-SUMIF(itens_Consumidos!$A$2:$A$200,J116,itens_Consumidos!$O$2:$O$200)))</f>
        <v/>
      </c>
      <c r="M116" s="141" t="str">
        <f>IF(J116="","",itens_Remanesc!C64)</f>
        <v/>
      </c>
      <c r="N116" s="141" t="str">
        <f>IF(J116="","",IF($F$4="C0",historico_VU!C64,IF($F$4="C1",historico_VU!D64,IF($F$4="C2",historico_VU!E64,IF($F$4="C3",historico_VU!F64,historico_VU!G64)))))</f>
        <v/>
      </c>
      <c r="O116" s="141" t="str">
        <f t="shared" si="4"/>
        <v/>
      </c>
      <c r="P116" s="141" t="str">
        <f t="shared" si="5"/>
        <v/>
      </c>
      <c r="Q116" s="142" t="str">
        <f t="shared" si="6"/>
        <v/>
      </c>
      <c r="X116">
        <f>IF(posicao_contratual!$A116="",0,IF(AND(ISNUMBER(posicao_contratual!$Y116),posicao_contratual!$Y116&gt;0),0,IF(AND(ISNUMBER(posicao_contratual!$G116),ISNUMBER(posicao_contratual!$K116),ISNUMBER(historico_VU!$C116)),((posicao_contratual!$G116-N(posicao_contratual!$AB116))-(posicao_contratual!$K116-N(posicao_contratual!$AC116)))*historico_VU!$C116,"")))</f>
        <v>0</v>
      </c>
      <c r="Y116">
        <f>IF(OR(posicao_contratual!$A116="",$T$20=""),0,IF(AND(ISNUMBER(CHOOSE($T$20+1,historico_VU!$C116,historico_VU!$D116,historico_VU!$E116,historico_VU!$F116,historico_VU!$G116)),ISNUMBER(CHOOSE($T$20+1,posicao_contratual!$G116,posicao_contratual!$K116,posicao_contratual!$O116,posicao_contratual!$S116,posicao_contratual!$W116))),ROUND(ROUND(CHOOSE($T$20+1,historico_VU!$C116,historico_VU!$D116,historico_VU!$E116,historico_VU!$F116,historico_VU!$G116),2)*CHOOSE($T$20+1,posicao_contratual!$G116,posicao_contratual!$K116,posicao_contratual!$O116,posicao_contratual!$S116,posicao_contratual!$W116),2),""))</f>
        <v>0</v>
      </c>
      <c r="AB116">
        <f>IF(OR(posicao_contratual!$A116="",$W$46=""),0,IF(AND(ISNUMBER(CHOOSE($W$46+1,historico_VU!$C116,historico_VU!$D116,historico_VU!$E116,historico_VU!$F116,historico_VU!$G116)),ISNUMBER(CHOOSE($W$46+1,posicao_contratual!$G116,posicao_contratual!$K116,posicao_contratual!$O116,posicao_contratual!$S116,posicao_contratual!$W116))),ROUND(ROUND(CHOOSE($W$46+1,historico_VU!$C116,historico_VU!$D116,historico_VU!$E116,historico_VU!$F116,historico_VU!$G116),2)*CHOOSE($W$46+1,posicao_contratual!$G116,posicao_contratual!$K116,posicao_contratual!$O116,posicao_contratual!$S116,posicao_contratual!$W116),2),""))</f>
        <v>0</v>
      </c>
      <c r="AC116">
        <f>IF(OR(posicao_contratual!$A116="",$W$46=""),0,IF(OR($AB116="",$AD116=""),"",ROUND($AB116-$AD116,2)))</f>
        <v>0</v>
      </c>
      <c r="AD116">
        <f>IF(OR(posicao_contratual!$A116="",$W$46=""),0,IF($AB116="","",IF(NOT(ISNUMBER(CHOOSE($W$46+1,posicao_contratual!$AB116,posicao_contratual!$AC116,posicao_contratual!$AD116,posicao_contratual!$AE116,posicao_contratual!$AF116))),0,ROUND(ROUND(CHOOSE($W$46+1,historico_VU!$C116,historico_VU!$D116,historico_VU!$E116,historico_VU!$F116,historico_VU!$G116),2)*CHOOSE($W$46+1,posicao_contratual!$AB116,posicao_contratual!$AC116,posicao_contratual!$AD116,posicao_contratual!$AE116,posicao_contratual!$AF116),2))))</f>
        <v>0</v>
      </c>
    </row>
    <row r="117" spans="1:30" hidden="1" outlineLevel="1" x14ac:dyDescent="0.35">
      <c r="A117" s="137" t="str">
        <f>IF(historico_VU!A65="","",historico_VU!A65)</f>
        <v/>
      </c>
      <c r="B117" s="138" t="str">
        <f>IF(A117="","",historico_VU!B65)</f>
        <v/>
      </c>
      <c r="C117" s="139" t="str">
        <f>IF(A117="","",historico_VU!C65)</f>
        <v/>
      </c>
      <c r="D117" s="139" t="str">
        <f>IF(A117="","",historico_VU!D65)</f>
        <v/>
      </c>
      <c r="E117" s="139" t="str">
        <f>IF(A117="","",historico_VU!E65)</f>
        <v/>
      </c>
      <c r="F117" s="139" t="str">
        <f>IF(A117="","",historico_VU!F65)</f>
        <v/>
      </c>
      <c r="G117" s="139" t="str">
        <f>IF(A117="","",historico_VU!G65)</f>
        <v/>
      </c>
      <c r="H117" s="140" t="str">
        <f>IF(A117="","",historico_VU!H65)</f>
        <v/>
      </c>
      <c r="I117" s="57"/>
      <c r="J117" s="137" t="str">
        <f>IF(itens_Remanesc!A65="","",itens_Remanesc!A65)</f>
        <v/>
      </c>
      <c r="K117" s="138" t="str">
        <f>IF(J117="","",IF($F$4="C0",itens_Remanesc!B65,IF($F$4="C1",itens_Remanesc!E65,IF($F$4="C2",itens_Remanesc!G65,IF($F$4="C3",itens_Remanesc!I65,itens_Remanesc!K65)))))</f>
        <v/>
      </c>
      <c r="L117" s="138" t="str">
        <f>IF(J117="","",IF(SUMIF(itens_Consumidos!$A$2:$A$200,J117,itens_Consumidos!$B$2:$B$200)-SUMIF(itens_Consumidos!$A$2:$A$200,J117,itens_Consumidos!$O$2:$O$200)&lt;0,0,SUMIF(itens_Consumidos!$A$2:$A$200,J117,itens_Consumidos!$B$2:$B$200)-SUMIF(itens_Consumidos!$A$2:$A$200,J117,itens_Consumidos!$O$2:$O$200)))</f>
        <v/>
      </c>
      <c r="M117" s="141" t="str">
        <f>IF(J117="","",itens_Remanesc!C65)</f>
        <v/>
      </c>
      <c r="N117" s="141" t="str">
        <f>IF(J117="","",IF($F$4="C0",historico_VU!C65,IF($F$4="C1",historico_VU!D65,IF($F$4="C2",historico_VU!E65,IF($F$4="C3",historico_VU!F65,historico_VU!G65)))))</f>
        <v/>
      </c>
      <c r="O117" s="141" t="str">
        <f t="shared" si="4"/>
        <v/>
      </c>
      <c r="P117" s="141" t="str">
        <f t="shared" si="5"/>
        <v/>
      </c>
      <c r="Q117" s="142" t="str">
        <f t="shared" si="6"/>
        <v/>
      </c>
      <c r="X117">
        <f>IF(posicao_contratual!$A117="",0,IF(AND(ISNUMBER(posicao_contratual!$Y117),posicao_contratual!$Y117&gt;0),0,IF(AND(ISNUMBER(posicao_contratual!$G117),ISNUMBER(posicao_contratual!$K117),ISNUMBER(historico_VU!$C117)),((posicao_contratual!$G117-N(posicao_contratual!$AB117))-(posicao_contratual!$K117-N(posicao_contratual!$AC117)))*historico_VU!$C117,"")))</f>
        <v>0</v>
      </c>
      <c r="Y117">
        <f>IF(OR(posicao_contratual!$A117="",$T$20=""),0,IF(AND(ISNUMBER(CHOOSE($T$20+1,historico_VU!$C117,historico_VU!$D117,historico_VU!$E117,historico_VU!$F117,historico_VU!$G117)),ISNUMBER(CHOOSE($T$20+1,posicao_contratual!$G117,posicao_contratual!$K117,posicao_contratual!$O117,posicao_contratual!$S117,posicao_contratual!$W117))),ROUND(ROUND(CHOOSE($T$20+1,historico_VU!$C117,historico_VU!$D117,historico_VU!$E117,historico_VU!$F117,historico_VU!$G117),2)*CHOOSE($T$20+1,posicao_contratual!$G117,posicao_contratual!$K117,posicao_contratual!$O117,posicao_contratual!$S117,posicao_contratual!$W117),2),""))</f>
        <v>0</v>
      </c>
      <c r="AB117">
        <f>IF(OR(posicao_contratual!$A117="",$W$46=""),0,IF(AND(ISNUMBER(CHOOSE($W$46+1,historico_VU!$C117,historico_VU!$D117,historico_VU!$E117,historico_VU!$F117,historico_VU!$G117)),ISNUMBER(CHOOSE($W$46+1,posicao_contratual!$G117,posicao_contratual!$K117,posicao_contratual!$O117,posicao_contratual!$S117,posicao_contratual!$W117))),ROUND(ROUND(CHOOSE($W$46+1,historico_VU!$C117,historico_VU!$D117,historico_VU!$E117,historico_VU!$F117,historico_VU!$G117),2)*CHOOSE($W$46+1,posicao_contratual!$G117,posicao_contratual!$K117,posicao_contratual!$O117,posicao_contratual!$S117,posicao_contratual!$W117),2),""))</f>
        <v>0</v>
      </c>
      <c r="AC117">
        <f>IF(OR(posicao_contratual!$A117="",$W$46=""),0,IF(OR($AB117="",$AD117=""),"",ROUND($AB117-$AD117,2)))</f>
        <v>0</v>
      </c>
      <c r="AD117">
        <f>IF(OR(posicao_contratual!$A117="",$W$46=""),0,IF($AB117="","",IF(NOT(ISNUMBER(CHOOSE($W$46+1,posicao_contratual!$AB117,posicao_contratual!$AC117,posicao_contratual!$AD117,posicao_contratual!$AE117,posicao_contratual!$AF117))),0,ROUND(ROUND(CHOOSE($W$46+1,historico_VU!$C117,historico_VU!$D117,historico_VU!$E117,historico_VU!$F117,historico_VU!$G117),2)*CHOOSE($W$46+1,posicao_contratual!$AB117,posicao_contratual!$AC117,posicao_contratual!$AD117,posicao_contratual!$AE117,posicao_contratual!$AF117),2))))</f>
        <v>0</v>
      </c>
    </row>
    <row r="118" spans="1:30" hidden="1" outlineLevel="1" x14ac:dyDescent="0.35">
      <c r="A118" s="137" t="str">
        <f>IF(historico_VU!A66="","",historico_VU!A66)</f>
        <v/>
      </c>
      <c r="B118" s="138" t="str">
        <f>IF(A118="","",historico_VU!B66)</f>
        <v/>
      </c>
      <c r="C118" s="139" t="str">
        <f>IF(A118="","",historico_VU!C66)</f>
        <v/>
      </c>
      <c r="D118" s="139" t="str">
        <f>IF(A118="","",historico_VU!D66)</f>
        <v/>
      </c>
      <c r="E118" s="139" t="str">
        <f>IF(A118="","",historico_VU!E66)</f>
        <v/>
      </c>
      <c r="F118" s="139" t="str">
        <f>IF(A118="","",historico_VU!F66)</f>
        <v/>
      </c>
      <c r="G118" s="139" t="str">
        <f>IF(A118="","",historico_VU!G66)</f>
        <v/>
      </c>
      <c r="H118" s="140" t="str">
        <f>IF(A118="","",historico_VU!H66)</f>
        <v/>
      </c>
      <c r="I118" s="57"/>
      <c r="J118" s="137" t="str">
        <f>IF(itens_Remanesc!A66="","",itens_Remanesc!A66)</f>
        <v/>
      </c>
      <c r="K118" s="138" t="str">
        <f>IF(J118="","",IF($F$4="C0",itens_Remanesc!B66,IF($F$4="C1",itens_Remanesc!E66,IF($F$4="C2",itens_Remanesc!G66,IF($F$4="C3",itens_Remanesc!I66,itens_Remanesc!K66)))))</f>
        <v/>
      </c>
      <c r="L118" s="138" t="str">
        <f>IF(J118="","",IF(SUMIF(itens_Consumidos!$A$2:$A$200,J118,itens_Consumidos!$B$2:$B$200)-SUMIF(itens_Consumidos!$A$2:$A$200,J118,itens_Consumidos!$O$2:$O$200)&lt;0,0,SUMIF(itens_Consumidos!$A$2:$A$200,J118,itens_Consumidos!$B$2:$B$200)-SUMIF(itens_Consumidos!$A$2:$A$200,J118,itens_Consumidos!$O$2:$O$200)))</f>
        <v/>
      </c>
      <c r="M118" s="141" t="str">
        <f>IF(J118="","",itens_Remanesc!C66)</f>
        <v/>
      </c>
      <c r="N118" s="141" t="str">
        <f>IF(J118="","",IF($F$4="C0",historico_VU!C66,IF($F$4="C1",historico_VU!D66,IF($F$4="C2",historico_VU!E66,IF($F$4="C3",historico_VU!F66,historico_VU!G66)))))</f>
        <v/>
      </c>
      <c r="O118" s="141" t="str">
        <f t="shared" ref="O118:O149" si="7">IF(J118="","",IF(OR($B$4="Financeiro",$B$4="PCs"),IF(OR(K118="",M118=""),"",ROUND(K118*M118,2)),IF($B$4="Itens",IF(OR(L118="",M118=""),"",ROUND(L118*M118,2)),"")))</f>
        <v/>
      </c>
      <c r="P118" s="141" t="str">
        <f t="shared" ref="P118:P149" si="8">IF(J118="","",IF(OR($B$4="Financeiro",$B$4="PCs"),IF(OR(K118="",N118=""),"",ROUND(K118*N118,2)),IF($B$4="Itens",IF(OR(L118="",N118=""),"",ROUND(L118*N118,2)),"")))</f>
        <v/>
      </c>
      <c r="Q118" s="142" t="str">
        <f t="shared" ref="Q118:Q149" si="9">IF(J118="","",IF(OR(M118="",AND(OR($B$4="Financeiro",$B$4="PCs"),K118=""),AND($B$4="Itens",L118="")),"INCOMPLETO",IF(AND(ISNUMBER(K118),ISNUMBER(L118),ABS(K118-L118)/MAX(ABS(IF(OR($B$4="Financeiro",$B$4="PCs"),K118,L118)),1)&gt;$D$4),"DIVERGENTE","OK")))</f>
        <v/>
      </c>
      <c r="X118">
        <f>IF(posicao_contratual!$A118="",0,IF(AND(ISNUMBER(posicao_contratual!$Y118),posicao_contratual!$Y118&gt;0),0,IF(AND(ISNUMBER(posicao_contratual!$G118),ISNUMBER(posicao_contratual!$K118),ISNUMBER(historico_VU!$C118)),((posicao_contratual!$G118-N(posicao_contratual!$AB118))-(posicao_contratual!$K118-N(posicao_contratual!$AC118)))*historico_VU!$C118,"")))</f>
        <v>0</v>
      </c>
      <c r="Y118">
        <f>IF(OR(posicao_contratual!$A118="",$T$20=""),0,IF(AND(ISNUMBER(CHOOSE($T$20+1,historico_VU!$C118,historico_VU!$D118,historico_VU!$E118,historico_VU!$F118,historico_VU!$G118)),ISNUMBER(CHOOSE($T$20+1,posicao_contratual!$G118,posicao_contratual!$K118,posicao_contratual!$O118,posicao_contratual!$S118,posicao_contratual!$W118))),ROUND(ROUND(CHOOSE($T$20+1,historico_VU!$C118,historico_VU!$D118,historico_VU!$E118,historico_VU!$F118,historico_VU!$G118),2)*CHOOSE($T$20+1,posicao_contratual!$G118,posicao_contratual!$K118,posicao_contratual!$O118,posicao_contratual!$S118,posicao_contratual!$W118),2),""))</f>
        <v>0</v>
      </c>
      <c r="AB118">
        <f>IF(OR(posicao_contratual!$A118="",$W$46=""),0,IF(AND(ISNUMBER(CHOOSE($W$46+1,historico_VU!$C118,historico_VU!$D118,historico_VU!$E118,historico_VU!$F118,historico_VU!$G118)),ISNUMBER(CHOOSE($W$46+1,posicao_contratual!$G118,posicao_contratual!$K118,posicao_contratual!$O118,posicao_contratual!$S118,posicao_contratual!$W118))),ROUND(ROUND(CHOOSE($W$46+1,historico_VU!$C118,historico_VU!$D118,historico_VU!$E118,historico_VU!$F118,historico_VU!$G118),2)*CHOOSE($W$46+1,posicao_contratual!$G118,posicao_contratual!$K118,posicao_contratual!$O118,posicao_contratual!$S118,posicao_contratual!$W118),2),""))</f>
        <v>0</v>
      </c>
      <c r="AC118">
        <f>IF(OR(posicao_contratual!$A118="",$W$46=""),0,IF(OR($AB118="",$AD118=""),"",ROUND($AB118-$AD118,2)))</f>
        <v>0</v>
      </c>
      <c r="AD118">
        <f>IF(OR(posicao_contratual!$A118="",$W$46=""),0,IF($AB118="","",IF(NOT(ISNUMBER(CHOOSE($W$46+1,posicao_contratual!$AB118,posicao_contratual!$AC118,posicao_contratual!$AD118,posicao_contratual!$AE118,posicao_contratual!$AF118))),0,ROUND(ROUND(CHOOSE($W$46+1,historico_VU!$C118,historico_VU!$D118,historico_VU!$E118,historico_VU!$F118,historico_VU!$G118),2)*CHOOSE($W$46+1,posicao_contratual!$AB118,posicao_contratual!$AC118,posicao_contratual!$AD118,posicao_contratual!$AE118,posicao_contratual!$AF118),2))))</f>
        <v>0</v>
      </c>
    </row>
    <row r="119" spans="1:30" hidden="1" outlineLevel="1" x14ac:dyDescent="0.35">
      <c r="A119" s="137" t="str">
        <f>IF(historico_VU!A67="","",historico_VU!A67)</f>
        <v/>
      </c>
      <c r="B119" s="138" t="str">
        <f>IF(A119="","",historico_VU!B67)</f>
        <v/>
      </c>
      <c r="C119" s="139" t="str">
        <f>IF(A119="","",historico_VU!C67)</f>
        <v/>
      </c>
      <c r="D119" s="139" t="str">
        <f>IF(A119="","",historico_VU!D67)</f>
        <v/>
      </c>
      <c r="E119" s="139" t="str">
        <f>IF(A119="","",historico_VU!E67)</f>
        <v/>
      </c>
      <c r="F119" s="139" t="str">
        <f>IF(A119="","",historico_VU!F67)</f>
        <v/>
      </c>
      <c r="G119" s="139" t="str">
        <f>IF(A119="","",historico_VU!G67)</f>
        <v/>
      </c>
      <c r="H119" s="140" t="str">
        <f>IF(A119="","",historico_VU!H67)</f>
        <v/>
      </c>
      <c r="I119" s="57"/>
      <c r="J119" s="137" t="str">
        <f>IF(itens_Remanesc!A67="","",itens_Remanesc!A67)</f>
        <v/>
      </c>
      <c r="K119" s="138" t="str">
        <f>IF(J119="","",IF($F$4="C0",itens_Remanesc!B67,IF($F$4="C1",itens_Remanesc!E67,IF($F$4="C2",itens_Remanesc!G67,IF($F$4="C3",itens_Remanesc!I67,itens_Remanesc!K67)))))</f>
        <v/>
      </c>
      <c r="L119" s="138" t="str">
        <f>IF(J119="","",IF(SUMIF(itens_Consumidos!$A$2:$A$200,J119,itens_Consumidos!$B$2:$B$200)-SUMIF(itens_Consumidos!$A$2:$A$200,J119,itens_Consumidos!$O$2:$O$200)&lt;0,0,SUMIF(itens_Consumidos!$A$2:$A$200,J119,itens_Consumidos!$B$2:$B$200)-SUMIF(itens_Consumidos!$A$2:$A$200,J119,itens_Consumidos!$O$2:$O$200)))</f>
        <v/>
      </c>
      <c r="M119" s="141" t="str">
        <f>IF(J119="","",itens_Remanesc!C67)</f>
        <v/>
      </c>
      <c r="N119" s="141" t="str">
        <f>IF(J119="","",IF($F$4="C0",historico_VU!C67,IF($F$4="C1",historico_VU!D67,IF($F$4="C2",historico_VU!E67,IF($F$4="C3",historico_VU!F67,historico_VU!G67)))))</f>
        <v/>
      </c>
      <c r="O119" s="141" t="str">
        <f t="shared" si="7"/>
        <v/>
      </c>
      <c r="P119" s="141" t="str">
        <f t="shared" si="8"/>
        <v/>
      </c>
      <c r="Q119" s="142" t="str">
        <f t="shared" si="9"/>
        <v/>
      </c>
      <c r="X119">
        <f>IF(posicao_contratual!$A119="",0,IF(AND(ISNUMBER(posicao_contratual!$Y119),posicao_contratual!$Y119&gt;0),0,IF(AND(ISNUMBER(posicao_contratual!$G119),ISNUMBER(posicao_contratual!$K119),ISNUMBER(historico_VU!$C119)),((posicao_contratual!$G119-N(posicao_contratual!$AB119))-(posicao_contratual!$K119-N(posicao_contratual!$AC119)))*historico_VU!$C119,"")))</f>
        <v>0</v>
      </c>
      <c r="Y119">
        <f>IF(OR(posicao_contratual!$A119="",$T$20=""),0,IF(AND(ISNUMBER(CHOOSE($T$20+1,historico_VU!$C119,historico_VU!$D119,historico_VU!$E119,historico_VU!$F119,historico_VU!$G119)),ISNUMBER(CHOOSE($T$20+1,posicao_contratual!$G119,posicao_contratual!$K119,posicao_contratual!$O119,posicao_contratual!$S119,posicao_contratual!$W119))),ROUND(ROUND(CHOOSE($T$20+1,historico_VU!$C119,historico_VU!$D119,historico_VU!$E119,historico_VU!$F119,historico_VU!$G119),2)*CHOOSE($T$20+1,posicao_contratual!$G119,posicao_contratual!$K119,posicao_contratual!$O119,posicao_contratual!$S119,posicao_contratual!$W119),2),""))</f>
        <v>0</v>
      </c>
      <c r="AB119">
        <f>IF(OR(posicao_contratual!$A119="",$W$46=""),0,IF(AND(ISNUMBER(CHOOSE($W$46+1,historico_VU!$C119,historico_VU!$D119,historico_VU!$E119,historico_VU!$F119,historico_VU!$G119)),ISNUMBER(CHOOSE($W$46+1,posicao_contratual!$G119,posicao_contratual!$K119,posicao_contratual!$O119,posicao_contratual!$S119,posicao_contratual!$W119))),ROUND(ROUND(CHOOSE($W$46+1,historico_VU!$C119,historico_VU!$D119,historico_VU!$E119,historico_VU!$F119,historico_VU!$G119),2)*CHOOSE($W$46+1,posicao_contratual!$G119,posicao_contratual!$K119,posicao_contratual!$O119,posicao_contratual!$S119,posicao_contratual!$W119),2),""))</f>
        <v>0</v>
      </c>
      <c r="AC119">
        <f>IF(OR(posicao_contratual!$A119="",$W$46=""),0,IF(OR($AB119="",$AD119=""),"",ROUND($AB119-$AD119,2)))</f>
        <v>0</v>
      </c>
      <c r="AD119">
        <f>IF(OR(posicao_contratual!$A119="",$W$46=""),0,IF($AB119="","",IF(NOT(ISNUMBER(CHOOSE($W$46+1,posicao_contratual!$AB119,posicao_contratual!$AC119,posicao_contratual!$AD119,posicao_contratual!$AE119,posicao_contratual!$AF119))),0,ROUND(ROUND(CHOOSE($W$46+1,historico_VU!$C119,historico_VU!$D119,historico_VU!$E119,historico_VU!$F119,historico_VU!$G119),2)*CHOOSE($W$46+1,posicao_contratual!$AB119,posicao_contratual!$AC119,posicao_contratual!$AD119,posicao_contratual!$AE119,posicao_contratual!$AF119),2))))</f>
        <v>0</v>
      </c>
    </row>
    <row r="120" spans="1:30" hidden="1" outlineLevel="1" x14ac:dyDescent="0.35">
      <c r="A120" s="137" t="str">
        <f>IF(historico_VU!A68="","",historico_VU!A68)</f>
        <v/>
      </c>
      <c r="B120" s="138" t="str">
        <f>IF(A120="","",historico_VU!B68)</f>
        <v/>
      </c>
      <c r="C120" s="139" t="str">
        <f>IF(A120="","",historico_VU!C68)</f>
        <v/>
      </c>
      <c r="D120" s="139" t="str">
        <f>IF(A120="","",historico_VU!D68)</f>
        <v/>
      </c>
      <c r="E120" s="139" t="str">
        <f>IF(A120="","",historico_VU!E68)</f>
        <v/>
      </c>
      <c r="F120" s="139" t="str">
        <f>IF(A120="","",historico_VU!F68)</f>
        <v/>
      </c>
      <c r="G120" s="139" t="str">
        <f>IF(A120="","",historico_VU!G68)</f>
        <v/>
      </c>
      <c r="H120" s="140" t="str">
        <f>IF(A120="","",historico_VU!H68)</f>
        <v/>
      </c>
      <c r="I120" s="57"/>
      <c r="J120" s="137" t="str">
        <f>IF(itens_Remanesc!A68="","",itens_Remanesc!A68)</f>
        <v/>
      </c>
      <c r="K120" s="138" t="str">
        <f>IF(J120="","",IF($F$4="C0",itens_Remanesc!B68,IF($F$4="C1",itens_Remanesc!E68,IF($F$4="C2",itens_Remanesc!G68,IF($F$4="C3",itens_Remanesc!I68,itens_Remanesc!K68)))))</f>
        <v/>
      </c>
      <c r="L120" s="138" t="str">
        <f>IF(J120="","",IF(SUMIF(itens_Consumidos!$A$2:$A$200,J120,itens_Consumidos!$B$2:$B$200)-SUMIF(itens_Consumidos!$A$2:$A$200,J120,itens_Consumidos!$O$2:$O$200)&lt;0,0,SUMIF(itens_Consumidos!$A$2:$A$200,J120,itens_Consumidos!$B$2:$B$200)-SUMIF(itens_Consumidos!$A$2:$A$200,J120,itens_Consumidos!$O$2:$O$200)))</f>
        <v/>
      </c>
      <c r="M120" s="141" t="str">
        <f>IF(J120="","",itens_Remanesc!C68)</f>
        <v/>
      </c>
      <c r="N120" s="141" t="str">
        <f>IF(J120="","",IF($F$4="C0",historico_VU!C68,IF($F$4="C1",historico_VU!D68,IF($F$4="C2",historico_VU!E68,IF($F$4="C3",historico_VU!F68,historico_VU!G68)))))</f>
        <v/>
      </c>
      <c r="O120" s="141" t="str">
        <f t="shared" si="7"/>
        <v/>
      </c>
      <c r="P120" s="141" t="str">
        <f t="shared" si="8"/>
        <v/>
      </c>
      <c r="Q120" s="142" t="str">
        <f t="shared" si="9"/>
        <v/>
      </c>
      <c r="X120">
        <f>IF(posicao_contratual!$A120="",0,IF(AND(ISNUMBER(posicao_contratual!$Y120),posicao_contratual!$Y120&gt;0),0,IF(AND(ISNUMBER(posicao_contratual!$G120),ISNUMBER(posicao_contratual!$K120),ISNUMBER(historico_VU!$C120)),((posicao_contratual!$G120-N(posicao_contratual!$AB120))-(posicao_contratual!$K120-N(posicao_contratual!$AC120)))*historico_VU!$C120,"")))</f>
        <v>0</v>
      </c>
      <c r="Y120">
        <f>IF(OR(posicao_contratual!$A120="",$T$20=""),0,IF(AND(ISNUMBER(CHOOSE($T$20+1,historico_VU!$C120,historico_VU!$D120,historico_VU!$E120,historico_VU!$F120,historico_VU!$G120)),ISNUMBER(CHOOSE($T$20+1,posicao_contratual!$G120,posicao_contratual!$K120,posicao_contratual!$O120,posicao_contratual!$S120,posicao_contratual!$W120))),ROUND(ROUND(CHOOSE($T$20+1,historico_VU!$C120,historico_VU!$D120,historico_VU!$E120,historico_VU!$F120,historico_VU!$G120),2)*CHOOSE($T$20+1,posicao_contratual!$G120,posicao_contratual!$K120,posicao_contratual!$O120,posicao_contratual!$S120,posicao_contratual!$W120),2),""))</f>
        <v>0</v>
      </c>
      <c r="AB120">
        <f>IF(OR(posicao_contratual!$A120="",$W$46=""),0,IF(AND(ISNUMBER(CHOOSE($W$46+1,historico_VU!$C120,historico_VU!$D120,historico_VU!$E120,historico_VU!$F120,historico_VU!$G120)),ISNUMBER(CHOOSE($W$46+1,posicao_contratual!$G120,posicao_contratual!$K120,posicao_contratual!$O120,posicao_contratual!$S120,posicao_contratual!$W120))),ROUND(ROUND(CHOOSE($W$46+1,historico_VU!$C120,historico_VU!$D120,historico_VU!$E120,historico_VU!$F120,historico_VU!$G120),2)*CHOOSE($W$46+1,posicao_contratual!$G120,posicao_contratual!$K120,posicao_contratual!$O120,posicao_contratual!$S120,posicao_contratual!$W120),2),""))</f>
        <v>0</v>
      </c>
      <c r="AC120">
        <f>IF(OR(posicao_contratual!$A120="",$W$46=""),0,IF(OR($AB120="",$AD120=""),"",ROUND($AB120-$AD120,2)))</f>
        <v>0</v>
      </c>
      <c r="AD120">
        <f>IF(OR(posicao_contratual!$A120="",$W$46=""),0,IF($AB120="","",IF(NOT(ISNUMBER(CHOOSE($W$46+1,posicao_contratual!$AB120,posicao_contratual!$AC120,posicao_contratual!$AD120,posicao_contratual!$AE120,posicao_contratual!$AF120))),0,ROUND(ROUND(CHOOSE($W$46+1,historico_VU!$C120,historico_VU!$D120,historico_VU!$E120,historico_VU!$F120,historico_VU!$G120),2)*CHOOSE($W$46+1,posicao_contratual!$AB120,posicao_contratual!$AC120,posicao_contratual!$AD120,posicao_contratual!$AE120,posicao_contratual!$AF120),2))))</f>
        <v>0</v>
      </c>
    </row>
    <row r="121" spans="1:30" hidden="1" outlineLevel="1" x14ac:dyDescent="0.35">
      <c r="A121" s="137" t="str">
        <f>IF(historico_VU!A69="","",historico_VU!A69)</f>
        <v/>
      </c>
      <c r="B121" s="138" t="str">
        <f>IF(A121="","",historico_VU!B69)</f>
        <v/>
      </c>
      <c r="C121" s="139" t="str">
        <f>IF(A121="","",historico_VU!C69)</f>
        <v/>
      </c>
      <c r="D121" s="139" t="str">
        <f>IF(A121="","",historico_VU!D69)</f>
        <v/>
      </c>
      <c r="E121" s="139" t="str">
        <f>IF(A121="","",historico_VU!E69)</f>
        <v/>
      </c>
      <c r="F121" s="139" t="str">
        <f>IF(A121="","",historico_VU!F69)</f>
        <v/>
      </c>
      <c r="G121" s="139" t="str">
        <f>IF(A121="","",historico_VU!G69)</f>
        <v/>
      </c>
      <c r="H121" s="140" t="str">
        <f>IF(A121="","",historico_VU!H69)</f>
        <v/>
      </c>
      <c r="I121" s="57"/>
      <c r="J121" s="137" t="str">
        <f>IF(itens_Remanesc!A69="","",itens_Remanesc!A69)</f>
        <v/>
      </c>
      <c r="K121" s="138" t="str">
        <f>IF(J121="","",IF($F$4="C0",itens_Remanesc!B69,IF($F$4="C1",itens_Remanesc!E69,IF($F$4="C2",itens_Remanesc!G69,IF($F$4="C3",itens_Remanesc!I69,itens_Remanesc!K69)))))</f>
        <v/>
      </c>
      <c r="L121" s="138" t="str">
        <f>IF(J121="","",IF(SUMIF(itens_Consumidos!$A$2:$A$200,J121,itens_Consumidos!$B$2:$B$200)-SUMIF(itens_Consumidos!$A$2:$A$200,J121,itens_Consumidos!$O$2:$O$200)&lt;0,0,SUMIF(itens_Consumidos!$A$2:$A$200,J121,itens_Consumidos!$B$2:$B$200)-SUMIF(itens_Consumidos!$A$2:$A$200,J121,itens_Consumidos!$O$2:$O$200)))</f>
        <v/>
      </c>
      <c r="M121" s="141" t="str">
        <f>IF(J121="","",itens_Remanesc!C69)</f>
        <v/>
      </c>
      <c r="N121" s="141" t="str">
        <f>IF(J121="","",IF($F$4="C0",historico_VU!C69,IF($F$4="C1",historico_VU!D69,IF($F$4="C2",historico_VU!E69,IF($F$4="C3",historico_VU!F69,historico_VU!G69)))))</f>
        <v/>
      </c>
      <c r="O121" s="141" t="str">
        <f t="shared" si="7"/>
        <v/>
      </c>
      <c r="P121" s="141" t="str">
        <f t="shared" si="8"/>
        <v/>
      </c>
      <c r="Q121" s="142" t="str">
        <f t="shared" si="9"/>
        <v/>
      </c>
      <c r="X121">
        <f>IF(posicao_contratual!$A121="",0,IF(AND(ISNUMBER(posicao_contratual!$Y121),posicao_contratual!$Y121&gt;0),0,IF(AND(ISNUMBER(posicao_contratual!$G121),ISNUMBER(posicao_contratual!$K121),ISNUMBER(historico_VU!$C121)),((posicao_contratual!$G121-N(posicao_contratual!$AB121))-(posicao_contratual!$K121-N(posicao_contratual!$AC121)))*historico_VU!$C121,"")))</f>
        <v>0</v>
      </c>
      <c r="Y121">
        <f>IF(OR(posicao_contratual!$A121="",$T$20=""),0,IF(AND(ISNUMBER(CHOOSE($T$20+1,historico_VU!$C121,historico_VU!$D121,historico_VU!$E121,historico_VU!$F121,historico_VU!$G121)),ISNUMBER(CHOOSE($T$20+1,posicao_contratual!$G121,posicao_contratual!$K121,posicao_contratual!$O121,posicao_contratual!$S121,posicao_contratual!$W121))),ROUND(ROUND(CHOOSE($T$20+1,historico_VU!$C121,historico_VU!$D121,historico_VU!$E121,historico_VU!$F121,historico_VU!$G121),2)*CHOOSE($T$20+1,posicao_contratual!$G121,posicao_contratual!$K121,posicao_contratual!$O121,posicao_contratual!$S121,posicao_contratual!$W121),2),""))</f>
        <v>0</v>
      </c>
      <c r="AB121">
        <f>IF(OR(posicao_contratual!$A121="",$W$46=""),0,IF(AND(ISNUMBER(CHOOSE($W$46+1,historico_VU!$C121,historico_VU!$D121,historico_VU!$E121,historico_VU!$F121,historico_VU!$G121)),ISNUMBER(CHOOSE($W$46+1,posicao_contratual!$G121,posicao_contratual!$K121,posicao_contratual!$O121,posicao_contratual!$S121,posicao_contratual!$W121))),ROUND(ROUND(CHOOSE($W$46+1,historico_VU!$C121,historico_VU!$D121,historico_VU!$E121,historico_VU!$F121,historico_VU!$G121),2)*CHOOSE($W$46+1,posicao_contratual!$G121,posicao_contratual!$K121,posicao_contratual!$O121,posicao_contratual!$S121,posicao_contratual!$W121),2),""))</f>
        <v>0</v>
      </c>
      <c r="AC121">
        <f>IF(OR(posicao_contratual!$A121="",$W$46=""),0,IF(OR($AB121="",$AD121=""),"",ROUND($AB121-$AD121,2)))</f>
        <v>0</v>
      </c>
      <c r="AD121">
        <f>IF(OR(posicao_contratual!$A121="",$W$46=""),0,IF($AB121="","",IF(NOT(ISNUMBER(CHOOSE($W$46+1,posicao_contratual!$AB121,posicao_contratual!$AC121,posicao_contratual!$AD121,posicao_contratual!$AE121,posicao_contratual!$AF121))),0,ROUND(ROUND(CHOOSE($W$46+1,historico_VU!$C121,historico_VU!$D121,historico_VU!$E121,historico_VU!$F121,historico_VU!$G121),2)*CHOOSE($W$46+1,posicao_contratual!$AB121,posicao_contratual!$AC121,posicao_contratual!$AD121,posicao_contratual!$AE121,posicao_contratual!$AF121),2))))</f>
        <v>0</v>
      </c>
    </row>
    <row r="122" spans="1:30" hidden="1" outlineLevel="1" x14ac:dyDescent="0.35">
      <c r="A122" s="137" t="str">
        <f>IF(historico_VU!A70="","",historico_VU!A70)</f>
        <v/>
      </c>
      <c r="B122" s="138" t="str">
        <f>IF(A122="","",historico_VU!B70)</f>
        <v/>
      </c>
      <c r="C122" s="139" t="str">
        <f>IF(A122="","",historico_VU!C70)</f>
        <v/>
      </c>
      <c r="D122" s="139" t="str">
        <f>IF(A122="","",historico_VU!D70)</f>
        <v/>
      </c>
      <c r="E122" s="139" t="str">
        <f>IF(A122="","",historico_VU!E70)</f>
        <v/>
      </c>
      <c r="F122" s="139" t="str">
        <f>IF(A122="","",historico_VU!F70)</f>
        <v/>
      </c>
      <c r="G122" s="139" t="str">
        <f>IF(A122="","",historico_VU!G70)</f>
        <v/>
      </c>
      <c r="H122" s="140" t="str">
        <f>IF(A122="","",historico_VU!H70)</f>
        <v/>
      </c>
      <c r="I122" s="57"/>
      <c r="J122" s="137" t="str">
        <f>IF(itens_Remanesc!A70="","",itens_Remanesc!A70)</f>
        <v/>
      </c>
      <c r="K122" s="138" t="str">
        <f>IF(J122="","",IF($F$4="C0",itens_Remanesc!B70,IF($F$4="C1",itens_Remanesc!E70,IF($F$4="C2",itens_Remanesc!G70,IF($F$4="C3",itens_Remanesc!I70,itens_Remanesc!K70)))))</f>
        <v/>
      </c>
      <c r="L122" s="138" t="str">
        <f>IF(J122="","",IF(SUMIF(itens_Consumidos!$A$2:$A$200,J122,itens_Consumidos!$B$2:$B$200)-SUMIF(itens_Consumidos!$A$2:$A$200,J122,itens_Consumidos!$O$2:$O$200)&lt;0,0,SUMIF(itens_Consumidos!$A$2:$A$200,J122,itens_Consumidos!$B$2:$B$200)-SUMIF(itens_Consumidos!$A$2:$A$200,J122,itens_Consumidos!$O$2:$O$200)))</f>
        <v/>
      </c>
      <c r="M122" s="141" t="str">
        <f>IF(J122="","",itens_Remanesc!C70)</f>
        <v/>
      </c>
      <c r="N122" s="141" t="str">
        <f>IF(J122="","",IF($F$4="C0",historico_VU!C70,IF($F$4="C1",historico_VU!D70,IF($F$4="C2",historico_VU!E70,IF($F$4="C3",historico_VU!F70,historico_VU!G70)))))</f>
        <v/>
      </c>
      <c r="O122" s="141" t="str">
        <f t="shared" si="7"/>
        <v/>
      </c>
      <c r="P122" s="141" t="str">
        <f t="shared" si="8"/>
        <v/>
      </c>
      <c r="Q122" s="142" t="str">
        <f t="shared" si="9"/>
        <v/>
      </c>
      <c r="X122">
        <f>IF(posicao_contratual!$A122="",0,IF(AND(ISNUMBER(posicao_contratual!$Y122),posicao_contratual!$Y122&gt;0),0,IF(AND(ISNUMBER(posicao_contratual!$G122),ISNUMBER(posicao_contratual!$K122),ISNUMBER(historico_VU!$C122)),((posicao_contratual!$G122-N(posicao_contratual!$AB122))-(posicao_contratual!$K122-N(posicao_contratual!$AC122)))*historico_VU!$C122,"")))</f>
        <v>0</v>
      </c>
      <c r="Y122">
        <f>IF(OR(posicao_contratual!$A122="",$T$20=""),0,IF(AND(ISNUMBER(CHOOSE($T$20+1,historico_VU!$C122,historico_VU!$D122,historico_VU!$E122,historico_VU!$F122,historico_VU!$G122)),ISNUMBER(CHOOSE($T$20+1,posicao_contratual!$G122,posicao_contratual!$K122,posicao_contratual!$O122,posicao_contratual!$S122,posicao_contratual!$W122))),ROUND(ROUND(CHOOSE($T$20+1,historico_VU!$C122,historico_VU!$D122,historico_VU!$E122,historico_VU!$F122,historico_VU!$G122),2)*CHOOSE($T$20+1,posicao_contratual!$G122,posicao_contratual!$K122,posicao_contratual!$O122,posicao_contratual!$S122,posicao_contratual!$W122),2),""))</f>
        <v>0</v>
      </c>
      <c r="AB122">
        <f>IF(OR(posicao_contratual!$A122="",$W$46=""),0,IF(AND(ISNUMBER(CHOOSE($W$46+1,historico_VU!$C122,historico_VU!$D122,historico_VU!$E122,historico_VU!$F122,historico_VU!$G122)),ISNUMBER(CHOOSE($W$46+1,posicao_contratual!$G122,posicao_contratual!$K122,posicao_contratual!$O122,posicao_contratual!$S122,posicao_contratual!$W122))),ROUND(ROUND(CHOOSE($W$46+1,historico_VU!$C122,historico_VU!$D122,historico_VU!$E122,historico_VU!$F122,historico_VU!$G122),2)*CHOOSE($W$46+1,posicao_contratual!$G122,posicao_contratual!$K122,posicao_contratual!$O122,posicao_contratual!$S122,posicao_contratual!$W122),2),""))</f>
        <v>0</v>
      </c>
      <c r="AC122">
        <f>IF(OR(posicao_contratual!$A122="",$W$46=""),0,IF(OR($AB122="",$AD122=""),"",ROUND($AB122-$AD122,2)))</f>
        <v>0</v>
      </c>
      <c r="AD122">
        <f>IF(OR(posicao_contratual!$A122="",$W$46=""),0,IF($AB122="","",IF(NOT(ISNUMBER(CHOOSE($W$46+1,posicao_contratual!$AB122,posicao_contratual!$AC122,posicao_contratual!$AD122,posicao_contratual!$AE122,posicao_contratual!$AF122))),0,ROUND(ROUND(CHOOSE($W$46+1,historico_VU!$C122,historico_VU!$D122,historico_VU!$E122,historico_VU!$F122,historico_VU!$G122),2)*CHOOSE($W$46+1,posicao_contratual!$AB122,posicao_contratual!$AC122,posicao_contratual!$AD122,posicao_contratual!$AE122,posicao_contratual!$AF122),2))))</f>
        <v>0</v>
      </c>
    </row>
    <row r="123" spans="1:30" hidden="1" outlineLevel="1" x14ac:dyDescent="0.35">
      <c r="A123" s="137" t="str">
        <f>IF(historico_VU!A71="","",historico_VU!A71)</f>
        <v/>
      </c>
      <c r="B123" s="138" t="str">
        <f>IF(A123="","",historico_VU!B71)</f>
        <v/>
      </c>
      <c r="C123" s="139" t="str">
        <f>IF(A123="","",historico_VU!C71)</f>
        <v/>
      </c>
      <c r="D123" s="139" t="str">
        <f>IF(A123="","",historico_VU!D71)</f>
        <v/>
      </c>
      <c r="E123" s="139" t="str">
        <f>IF(A123="","",historico_VU!E71)</f>
        <v/>
      </c>
      <c r="F123" s="139" t="str">
        <f>IF(A123="","",historico_VU!F71)</f>
        <v/>
      </c>
      <c r="G123" s="139" t="str">
        <f>IF(A123="","",historico_VU!G71)</f>
        <v/>
      </c>
      <c r="H123" s="140" t="str">
        <f>IF(A123="","",historico_VU!H71)</f>
        <v/>
      </c>
      <c r="I123" s="57"/>
      <c r="J123" s="137" t="str">
        <f>IF(itens_Remanesc!A71="","",itens_Remanesc!A71)</f>
        <v/>
      </c>
      <c r="K123" s="138" t="str">
        <f>IF(J123="","",IF($F$4="C0",itens_Remanesc!B71,IF($F$4="C1",itens_Remanesc!E71,IF($F$4="C2",itens_Remanesc!G71,IF($F$4="C3",itens_Remanesc!I71,itens_Remanesc!K71)))))</f>
        <v/>
      </c>
      <c r="L123" s="138" t="str">
        <f>IF(J123="","",IF(SUMIF(itens_Consumidos!$A$2:$A$200,J123,itens_Consumidos!$B$2:$B$200)-SUMIF(itens_Consumidos!$A$2:$A$200,J123,itens_Consumidos!$O$2:$O$200)&lt;0,0,SUMIF(itens_Consumidos!$A$2:$A$200,J123,itens_Consumidos!$B$2:$B$200)-SUMIF(itens_Consumidos!$A$2:$A$200,J123,itens_Consumidos!$O$2:$O$200)))</f>
        <v/>
      </c>
      <c r="M123" s="141" t="str">
        <f>IF(J123="","",itens_Remanesc!C71)</f>
        <v/>
      </c>
      <c r="N123" s="141" t="str">
        <f>IF(J123="","",IF($F$4="C0",historico_VU!C71,IF($F$4="C1",historico_VU!D71,IF($F$4="C2",historico_VU!E71,IF($F$4="C3",historico_VU!F71,historico_VU!G71)))))</f>
        <v/>
      </c>
      <c r="O123" s="141" t="str">
        <f t="shared" si="7"/>
        <v/>
      </c>
      <c r="P123" s="141" t="str">
        <f t="shared" si="8"/>
        <v/>
      </c>
      <c r="Q123" s="142" t="str">
        <f t="shared" si="9"/>
        <v/>
      </c>
      <c r="X123">
        <f>IF(posicao_contratual!$A123="",0,IF(AND(ISNUMBER(posicao_contratual!$Y123),posicao_contratual!$Y123&gt;0),0,IF(AND(ISNUMBER(posicao_contratual!$G123),ISNUMBER(posicao_contratual!$K123),ISNUMBER(historico_VU!$C123)),((posicao_contratual!$G123-N(posicao_contratual!$AB123))-(posicao_contratual!$K123-N(posicao_contratual!$AC123)))*historico_VU!$C123,"")))</f>
        <v>0</v>
      </c>
      <c r="Y123">
        <f>IF(OR(posicao_contratual!$A123="",$T$20=""),0,IF(AND(ISNUMBER(CHOOSE($T$20+1,historico_VU!$C123,historico_VU!$D123,historico_VU!$E123,historico_VU!$F123,historico_VU!$G123)),ISNUMBER(CHOOSE($T$20+1,posicao_contratual!$G123,posicao_contratual!$K123,posicao_contratual!$O123,posicao_contratual!$S123,posicao_contratual!$W123))),ROUND(ROUND(CHOOSE($T$20+1,historico_VU!$C123,historico_VU!$D123,historico_VU!$E123,historico_VU!$F123,historico_VU!$G123),2)*CHOOSE($T$20+1,posicao_contratual!$G123,posicao_contratual!$K123,posicao_contratual!$O123,posicao_contratual!$S123,posicao_contratual!$W123),2),""))</f>
        <v>0</v>
      </c>
      <c r="AB123">
        <f>IF(OR(posicao_contratual!$A123="",$W$46=""),0,IF(AND(ISNUMBER(CHOOSE($W$46+1,historico_VU!$C123,historico_VU!$D123,historico_VU!$E123,historico_VU!$F123,historico_VU!$G123)),ISNUMBER(CHOOSE($W$46+1,posicao_contratual!$G123,posicao_contratual!$K123,posicao_contratual!$O123,posicao_contratual!$S123,posicao_contratual!$W123))),ROUND(ROUND(CHOOSE($W$46+1,historico_VU!$C123,historico_VU!$D123,historico_VU!$E123,historico_VU!$F123,historico_VU!$G123),2)*CHOOSE($W$46+1,posicao_contratual!$G123,posicao_contratual!$K123,posicao_contratual!$O123,posicao_contratual!$S123,posicao_contratual!$W123),2),""))</f>
        <v>0</v>
      </c>
      <c r="AC123">
        <f>IF(OR(posicao_contratual!$A123="",$W$46=""),0,IF(OR($AB123="",$AD123=""),"",ROUND($AB123-$AD123,2)))</f>
        <v>0</v>
      </c>
      <c r="AD123">
        <f>IF(OR(posicao_contratual!$A123="",$W$46=""),0,IF($AB123="","",IF(NOT(ISNUMBER(CHOOSE($W$46+1,posicao_contratual!$AB123,posicao_contratual!$AC123,posicao_contratual!$AD123,posicao_contratual!$AE123,posicao_contratual!$AF123))),0,ROUND(ROUND(CHOOSE($W$46+1,historico_VU!$C123,historico_VU!$D123,historico_VU!$E123,historico_VU!$F123,historico_VU!$G123),2)*CHOOSE($W$46+1,posicao_contratual!$AB123,posicao_contratual!$AC123,posicao_contratual!$AD123,posicao_contratual!$AE123,posicao_contratual!$AF123),2))))</f>
        <v>0</v>
      </c>
    </row>
    <row r="124" spans="1:30" hidden="1" outlineLevel="1" x14ac:dyDescent="0.35">
      <c r="A124" s="137" t="str">
        <f>IF(historico_VU!A72="","",historico_VU!A72)</f>
        <v/>
      </c>
      <c r="B124" s="138" t="str">
        <f>IF(A124="","",historico_VU!B72)</f>
        <v/>
      </c>
      <c r="C124" s="139" t="str">
        <f>IF(A124="","",historico_VU!C72)</f>
        <v/>
      </c>
      <c r="D124" s="139" t="str">
        <f>IF(A124="","",historico_VU!D72)</f>
        <v/>
      </c>
      <c r="E124" s="139" t="str">
        <f>IF(A124="","",historico_VU!E72)</f>
        <v/>
      </c>
      <c r="F124" s="139" t="str">
        <f>IF(A124="","",historico_VU!F72)</f>
        <v/>
      </c>
      <c r="G124" s="139" t="str">
        <f>IF(A124="","",historico_VU!G72)</f>
        <v/>
      </c>
      <c r="H124" s="140" t="str">
        <f>IF(A124="","",historico_VU!H72)</f>
        <v/>
      </c>
      <c r="I124" s="57"/>
      <c r="J124" s="137" t="str">
        <f>IF(itens_Remanesc!A72="","",itens_Remanesc!A72)</f>
        <v/>
      </c>
      <c r="K124" s="138" t="str">
        <f>IF(J124="","",IF($F$4="C0",itens_Remanesc!B72,IF($F$4="C1",itens_Remanesc!E72,IF($F$4="C2",itens_Remanesc!G72,IF($F$4="C3",itens_Remanesc!I72,itens_Remanesc!K72)))))</f>
        <v/>
      </c>
      <c r="L124" s="138" t="str">
        <f>IF(J124="","",IF(SUMIF(itens_Consumidos!$A$2:$A$200,J124,itens_Consumidos!$B$2:$B$200)-SUMIF(itens_Consumidos!$A$2:$A$200,J124,itens_Consumidos!$O$2:$O$200)&lt;0,0,SUMIF(itens_Consumidos!$A$2:$A$200,J124,itens_Consumidos!$B$2:$B$200)-SUMIF(itens_Consumidos!$A$2:$A$200,J124,itens_Consumidos!$O$2:$O$200)))</f>
        <v/>
      </c>
      <c r="M124" s="141" t="str">
        <f>IF(J124="","",itens_Remanesc!C72)</f>
        <v/>
      </c>
      <c r="N124" s="141" t="str">
        <f>IF(J124="","",IF($F$4="C0",historico_VU!C72,IF($F$4="C1",historico_VU!D72,IF($F$4="C2",historico_VU!E72,IF($F$4="C3",historico_VU!F72,historico_VU!G72)))))</f>
        <v/>
      </c>
      <c r="O124" s="141" t="str">
        <f t="shared" si="7"/>
        <v/>
      </c>
      <c r="P124" s="141" t="str">
        <f t="shared" si="8"/>
        <v/>
      </c>
      <c r="Q124" s="142" t="str">
        <f t="shared" si="9"/>
        <v/>
      </c>
      <c r="X124">
        <f>IF(posicao_contratual!$A124="",0,IF(AND(ISNUMBER(posicao_contratual!$Y124),posicao_contratual!$Y124&gt;0),0,IF(AND(ISNUMBER(posicao_contratual!$G124),ISNUMBER(posicao_contratual!$K124),ISNUMBER(historico_VU!$C124)),((posicao_contratual!$G124-N(posicao_contratual!$AB124))-(posicao_contratual!$K124-N(posicao_contratual!$AC124)))*historico_VU!$C124,"")))</f>
        <v>0</v>
      </c>
      <c r="Y124">
        <f>IF(OR(posicao_contratual!$A124="",$T$20=""),0,IF(AND(ISNUMBER(CHOOSE($T$20+1,historico_VU!$C124,historico_VU!$D124,historico_VU!$E124,historico_VU!$F124,historico_VU!$G124)),ISNUMBER(CHOOSE($T$20+1,posicao_contratual!$G124,posicao_contratual!$K124,posicao_contratual!$O124,posicao_contratual!$S124,posicao_contratual!$W124))),ROUND(ROUND(CHOOSE($T$20+1,historico_VU!$C124,historico_VU!$D124,historico_VU!$E124,historico_VU!$F124,historico_VU!$G124),2)*CHOOSE($T$20+1,posicao_contratual!$G124,posicao_contratual!$K124,posicao_contratual!$O124,posicao_contratual!$S124,posicao_contratual!$W124),2),""))</f>
        <v>0</v>
      </c>
      <c r="AB124">
        <f>IF(OR(posicao_contratual!$A124="",$W$46=""),0,IF(AND(ISNUMBER(CHOOSE($W$46+1,historico_VU!$C124,historico_VU!$D124,historico_VU!$E124,historico_VU!$F124,historico_VU!$G124)),ISNUMBER(CHOOSE($W$46+1,posicao_contratual!$G124,posicao_contratual!$K124,posicao_contratual!$O124,posicao_contratual!$S124,posicao_contratual!$W124))),ROUND(ROUND(CHOOSE($W$46+1,historico_VU!$C124,historico_VU!$D124,historico_VU!$E124,historico_VU!$F124,historico_VU!$G124),2)*CHOOSE($W$46+1,posicao_contratual!$G124,posicao_contratual!$K124,posicao_contratual!$O124,posicao_contratual!$S124,posicao_contratual!$W124),2),""))</f>
        <v>0</v>
      </c>
      <c r="AC124">
        <f>IF(OR(posicao_contratual!$A124="",$W$46=""),0,IF(OR($AB124="",$AD124=""),"",ROUND($AB124-$AD124,2)))</f>
        <v>0</v>
      </c>
      <c r="AD124">
        <f>IF(OR(posicao_contratual!$A124="",$W$46=""),0,IF($AB124="","",IF(NOT(ISNUMBER(CHOOSE($W$46+1,posicao_contratual!$AB124,posicao_contratual!$AC124,posicao_contratual!$AD124,posicao_contratual!$AE124,posicao_contratual!$AF124))),0,ROUND(ROUND(CHOOSE($W$46+1,historico_VU!$C124,historico_VU!$D124,historico_VU!$E124,historico_VU!$F124,historico_VU!$G124),2)*CHOOSE($W$46+1,posicao_contratual!$AB124,posicao_contratual!$AC124,posicao_contratual!$AD124,posicao_contratual!$AE124,posicao_contratual!$AF124),2))))</f>
        <v>0</v>
      </c>
    </row>
    <row r="125" spans="1:30" hidden="1" outlineLevel="1" x14ac:dyDescent="0.35">
      <c r="A125" s="137" t="str">
        <f>IF(historico_VU!A73="","",historico_VU!A73)</f>
        <v/>
      </c>
      <c r="B125" s="138" t="str">
        <f>IF(A125="","",historico_VU!B73)</f>
        <v/>
      </c>
      <c r="C125" s="139" t="str">
        <f>IF(A125="","",historico_VU!C73)</f>
        <v/>
      </c>
      <c r="D125" s="139" t="str">
        <f>IF(A125="","",historico_VU!D73)</f>
        <v/>
      </c>
      <c r="E125" s="139" t="str">
        <f>IF(A125="","",historico_VU!E73)</f>
        <v/>
      </c>
      <c r="F125" s="139" t="str">
        <f>IF(A125="","",historico_VU!F73)</f>
        <v/>
      </c>
      <c r="G125" s="139" t="str">
        <f>IF(A125="","",historico_VU!G73)</f>
        <v/>
      </c>
      <c r="H125" s="140" t="str">
        <f>IF(A125="","",historico_VU!H73)</f>
        <v/>
      </c>
      <c r="I125" s="57"/>
      <c r="J125" s="137" t="str">
        <f>IF(itens_Remanesc!A73="","",itens_Remanesc!A73)</f>
        <v/>
      </c>
      <c r="K125" s="138" t="str">
        <f>IF(J125="","",IF($F$4="C0",itens_Remanesc!B73,IF($F$4="C1",itens_Remanesc!E73,IF($F$4="C2",itens_Remanesc!G73,IF($F$4="C3",itens_Remanesc!I73,itens_Remanesc!K73)))))</f>
        <v/>
      </c>
      <c r="L125" s="138" t="str">
        <f>IF(J125="","",IF(SUMIF(itens_Consumidos!$A$2:$A$200,J125,itens_Consumidos!$B$2:$B$200)-SUMIF(itens_Consumidos!$A$2:$A$200,J125,itens_Consumidos!$O$2:$O$200)&lt;0,0,SUMIF(itens_Consumidos!$A$2:$A$200,J125,itens_Consumidos!$B$2:$B$200)-SUMIF(itens_Consumidos!$A$2:$A$200,J125,itens_Consumidos!$O$2:$O$200)))</f>
        <v/>
      </c>
      <c r="M125" s="141" t="str">
        <f>IF(J125="","",itens_Remanesc!C73)</f>
        <v/>
      </c>
      <c r="N125" s="141" t="str">
        <f>IF(J125="","",IF($F$4="C0",historico_VU!C73,IF($F$4="C1",historico_VU!D73,IF($F$4="C2",historico_VU!E73,IF($F$4="C3",historico_VU!F73,historico_VU!G73)))))</f>
        <v/>
      </c>
      <c r="O125" s="141" t="str">
        <f t="shared" si="7"/>
        <v/>
      </c>
      <c r="P125" s="141" t="str">
        <f t="shared" si="8"/>
        <v/>
      </c>
      <c r="Q125" s="142" t="str">
        <f t="shared" si="9"/>
        <v/>
      </c>
      <c r="X125">
        <f>IF(posicao_contratual!$A125="",0,IF(AND(ISNUMBER(posicao_contratual!$Y125),posicao_contratual!$Y125&gt;0),0,IF(AND(ISNUMBER(posicao_contratual!$G125),ISNUMBER(posicao_contratual!$K125),ISNUMBER(historico_VU!$C125)),((posicao_contratual!$G125-N(posicao_contratual!$AB125))-(posicao_contratual!$K125-N(posicao_contratual!$AC125)))*historico_VU!$C125,"")))</f>
        <v>0</v>
      </c>
      <c r="Y125">
        <f>IF(OR(posicao_contratual!$A125="",$T$20=""),0,IF(AND(ISNUMBER(CHOOSE($T$20+1,historico_VU!$C125,historico_VU!$D125,historico_VU!$E125,historico_VU!$F125,historico_VU!$G125)),ISNUMBER(CHOOSE($T$20+1,posicao_contratual!$G125,posicao_contratual!$K125,posicao_contratual!$O125,posicao_contratual!$S125,posicao_contratual!$W125))),ROUND(ROUND(CHOOSE($T$20+1,historico_VU!$C125,historico_VU!$D125,historico_VU!$E125,historico_VU!$F125,historico_VU!$G125),2)*CHOOSE($T$20+1,posicao_contratual!$G125,posicao_contratual!$K125,posicao_contratual!$O125,posicao_contratual!$S125,posicao_contratual!$W125),2),""))</f>
        <v>0</v>
      </c>
      <c r="AB125">
        <f>IF(OR(posicao_contratual!$A125="",$W$46=""),0,IF(AND(ISNUMBER(CHOOSE($W$46+1,historico_VU!$C125,historico_VU!$D125,historico_VU!$E125,historico_VU!$F125,historico_VU!$G125)),ISNUMBER(CHOOSE($W$46+1,posicao_contratual!$G125,posicao_contratual!$K125,posicao_contratual!$O125,posicao_contratual!$S125,posicao_contratual!$W125))),ROUND(ROUND(CHOOSE($W$46+1,historico_VU!$C125,historico_VU!$D125,historico_VU!$E125,historico_VU!$F125,historico_VU!$G125),2)*CHOOSE($W$46+1,posicao_contratual!$G125,posicao_contratual!$K125,posicao_contratual!$O125,posicao_contratual!$S125,posicao_contratual!$W125),2),""))</f>
        <v>0</v>
      </c>
      <c r="AC125">
        <f>IF(OR(posicao_contratual!$A125="",$W$46=""),0,IF(OR($AB125="",$AD125=""),"",ROUND($AB125-$AD125,2)))</f>
        <v>0</v>
      </c>
      <c r="AD125">
        <f>IF(OR(posicao_contratual!$A125="",$W$46=""),0,IF($AB125="","",IF(NOT(ISNUMBER(CHOOSE($W$46+1,posicao_contratual!$AB125,posicao_contratual!$AC125,posicao_contratual!$AD125,posicao_contratual!$AE125,posicao_contratual!$AF125))),0,ROUND(ROUND(CHOOSE($W$46+1,historico_VU!$C125,historico_VU!$D125,historico_VU!$E125,historico_VU!$F125,historico_VU!$G125),2)*CHOOSE($W$46+1,posicao_contratual!$AB125,posicao_contratual!$AC125,posicao_contratual!$AD125,posicao_contratual!$AE125,posicao_contratual!$AF125),2))))</f>
        <v>0</v>
      </c>
    </row>
    <row r="126" spans="1:30" hidden="1" outlineLevel="1" x14ac:dyDescent="0.35">
      <c r="A126" s="137" t="str">
        <f>IF(historico_VU!A74="","",historico_VU!A74)</f>
        <v/>
      </c>
      <c r="B126" s="138" t="str">
        <f>IF(A126="","",historico_VU!B74)</f>
        <v/>
      </c>
      <c r="C126" s="139" t="str">
        <f>IF(A126="","",historico_VU!C74)</f>
        <v/>
      </c>
      <c r="D126" s="139" t="str">
        <f>IF(A126="","",historico_VU!D74)</f>
        <v/>
      </c>
      <c r="E126" s="139" t="str">
        <f>IF(A126="","",historico_VU!E74)</f>
        <v/>
      </c>
      <c r="F126" s="139" t="str">
        <f>IF(A126="","",historico_VU!F74)</f>
        <v/>
      </c>
      <c r="G126" s="139" t="str">
        <f>IF(A126="","",historico_VU!G74)</f>
        <v/>
      </c>
      <c r="H126" s="140" t="str">
        <f>IF(A126="","",historico_VU!H74)</f>
        <v/>
      </c>
      <c r="I126" s="57"/>
      <c r="J126" s="137" t="str">
        <f>IF(itens_Remanesc!A74="","",itens_Remanesc!A74)</f>
        <v/>
      </c>
      <c r="K126" s="138" t="str">
        <f>IF(J126="","",IF($F$4="C0",itens_Remanesc!B74,IF($F$4="C1",itens_Remanesc!E74,IF($F$4="C2",itens_Remanesc!G74,IF($F$4="C3",itens_Remanesc!I74,itens_Remanesc!K74)))))</f>
        <v/>
      </c>
      <c r="L126" s="138" t="str">
        <f>IF(J126="","",IF(SUMIF(itens_Consumidos!$A$2:$A$200,J126,itens_Consumidos!$B$2:$B$200)-SUMIF(itens_Consumidos!$A$2:$A$200,J126,itens_Consumidos!$O$2:$O$200)&lt;0,0,SUMIF(itens_Consumidos!$A$2:$A$200,J126,itens_Consumidos!$B$2:$B$200)-SUMIF(itens_Consumidos!$A$2:$A$200,J126,itens_Consumidos!$O$2:$O$200)))</f>
        <v/>
      </c>
      <c r="M126" s="141" t="str">
        <f>IF(J126="","",itens_Remanesc!C74)</f>
        <v/>
      </c>
      <c r="N126" s="141" t="str">
        <f>IF(J126="","",IF($F$4="C0",historico_VU!C74,IF($F$4="C1",historico_VU!D74,IF($F$4="C2",historico_VU!E74,IF($F$4="C3",historico_VU!F74,historico_VU!G74)))))</f>
        <v/>
      </c>
      <c r="O126" s="141" t="str">
        <f t="shared" si="7"/>
        <v/>
      </c>
      <c r="P126" s="141" t="str">
        <f t="shared" si="8"/>
        <v/>
      </c>
      <c r="Q126" s="142" t="str">
        <f t="shared" si="9"/>
        <v/>
      </c>
      <c r="X126">
        <f>IF(posicao_contratual!$A126="",0,IF(AND(ISNUMBER(posicao_contratual!$Y126),posicao_contratual!$Y126&gt;0),0,IF(AND(ISNUMBER(posicao_contratual!$G126),ISNUMBER(posicao_contratual!$K126),ISNUMBER(historico_VU!$C126)),((posicao_contratual!$G126-N(posicao_contratual!$AB126))-(posicao_contratual!$K126-N(posicao_contratual!$AC126)))*historico_VU!$C126,"")))</f>
        <v>0</v>
      </c>
      <c r="Y126">
        <f>IF(OR(posicao_contratual!$A126="",$T$20=""),0,IF(AND(ISNUMBER(CHOOSE($T$20+1,historico_VU!$C126,historico_VU!$D126,historico_VU!$E126,historico_VU!$F126,historico_VU!$G126)),ISNUMBER(CHOOSE($T$20+1,posicao_contratual!$G126,posicao_contratual!$K126,posicao_contratual!$O126,posicao_contratual!$S126,posicao_contratual!$W126))),ROUND(ROUND(CHOOSE($T$20+1,historico_VU!$C126,historico_VU!$D126,historico_VU!$E126,historico_VU!$F126,historico_VU!$G126),2)*CHOOSE($T$20+1,posicao_contratual!$G126,posicao_contratual!$K126,posicao_contratual!$O126,posicao_contratual!$S126,posicao_contratual!$W126),2),""))</f>
        <v>0</v>
      </c>
      <c r="AB126">
        <f>IF(OR(posicao_contratual!$A126="",$W$46=""),0,IF(AND(ISNUMBER(CHOOSE($W$46+1,historico_VU!$C126,historico_VU!$D126,historico_VU!$E126,historico_VU!$F126,historico_VU!$G126)),ISNUMBER(CHOOSE($W$46+1,posicao_contratual!$G126,posicao_contratual!$K126,posicao_contratual!$O126,posicao_contratual!$S126,posicao_contratual!$W126))),ROUND(ROUND(CHOOSE($W$46+1,historico_VU!$C126,historico_VU!$D126,historico_VU!$E126,historico_VU!$F126,historico_VU!$G126),2)*CHOOSE($W$46+1,posicao_contratual!$G126,posicao_contratual!$K126,posicao_contratual!$O126,posicao_contratual!$S126,posicao_contratual!$W126),2),""))</f>
        <v>0</v>
      </c>
      <c r="AC126">
        <f>IF(OR(posicao_contratual!$A126="",$W$46=""),0,IF(OR($AB126="",$AD126=""),"",ROUND($AB126-$AD126,2)))</f>
        <v>0</v>
      </c>
      <c r="AD126">
        <f>IF(OR(posicao_contratual!$A126="",$W$46=""),0,IF($AB126="","",IF(NOT(ISNUMBER(CHOOSE($W$46+1,posicao_contratual!$AB126,posicao_contratual!$AC126,posicao_contratual!$AD126,posicao_contratual!$AE126,posicao_contratual!$AF126))),0,ROUND(ROUND(CHOOSE($W$46+1,historico_VU!$C126,historico_VU!$D126,historico_VU!$E126,historico_VU!$F126,historico_VU!$G126),2)*CHOOSE($W$46+1,posicao_contratual!$AB126,posicao_contratual!$AC126,posicao_contratual!$AD126,posicao_contratual!$AE126,posicao_contratual!$AF126),2))))</f>
        <v>0</v>
      </c>
    </row>
    <row r="127" spans="1:30" hidden="1" outlineLevel="1" x14ac:dyDescent="0.35">
      <c r="A127" s="137" t="str">
        <f>IF(historico_VU!A75="","",historico_VU!A75)</f>
        <v/>
      </c>
      <c r="B127" s="138" t="str">
        <f>IF(A127="","",historico_VU!B75)</f>
        <v/>
      </c>
      <c r="C127" s="139" t="str">
        <f>IF(A127="","",historico_VU!C75)</f>
        <v/>
      </c>
      <c r="D127" s="139" t="str">
        <f>IF(A127="","",historico_VU!D75)</f>
        <v/>
      </c>
      <c r="E127" s="139" t="str">
        <f>IF(A127="","",historico_VU!E75)</f>
        <v/>
      </c>
      <c r="F127" s="139" t="str">
        <f>IF(A127="","",historico_VU!F75)</f>
        <v/>
      </c>
      <c r="G127" s="139" t="str">
        <f>IF(A127="","",historico_VU!G75)</f>
        <v/>
      </c>
      <c r="H127" s="140" t="str">
        <f>IF(A127="","",historico_VU!H75)</f>
        <v/>
      </c>
      <c r="I127" s="57"/>
      <c r="J127" s="137" t="str">
        <f>IF(itens_Remanesc!A75="","",itens_Remanesc!A75)</f>
        <v/>
      </c>
      <c r="K127" s="138" t="str">
        <f>IF(J127="","",IF($F$4="C0",itens_Remanesc!B75,IF($F$4="C1",itens_Remanesc!E75,IF($F$4="C2",itens_Remanesc!G75,IF($F$4="C3",itens_Remanesc!I75,itens_Remanesc!K75)))))</f>
        <v/>
      </c>
      <c r="L127" s="138" t="str">
        <f>IF(J127="","",IF(SUMIF(itens_Consumidos!$A$2:$A$200,J127,itens_Consumidos!$B$2:$B$200)-SUMIF(itens_Consumidos!$A$2:$A$200,J127,itens_Consumidos!$O$2:$O$200)&lt;0,0,SUMIF(itens_Consumidos!$A$2:$A$200,J127,itens_Consumidos!$B$2:$B$200)-SUMIF(itens_Consumidos!$A$2:$A$200,J127,itens_Consumidos!$O$2:$O$200)))</f>
        <v/>
      </c>
      <c r="M127" s="141" t="str">
        <f>IF(J127="","",itens_Remanesc!C75)</f>
        <v/>
      </c>
      <c r="N127" s="141" t="str">
        <f>IF(J127="","",IF($F$4="C0",historico_VU!C75,IF($F$4="C1",historico_VU!D75,IF($F$4="C2",historico_VU!E75,IF($F$4="C3",historico_VU!F75,historico_VU!G75)))))</f>
        <v/>
      </c>
      <c r="O127" s="141" t="str">
        <f t="shared" si="7"/>
        <v/>
      </c>
      <c r="P127" s="141" t="str">
        <f t="shared" si="8"/>
        <v/>
      </c>
      <c r="Q127" s="142" t="str">
        <f t="shared" si="9"/>
        <v/>
      </c>
      <c r="X127">
        <f>IF(posicao_contratual!$A127="",0,IF(AND(ISNUMBER(posicao_contratual!$Y127),posicao_contratual!$Y127&gt;0),0,IF(AND(ISNUMBER(posicao_contratual!$G127),ISNUMBER(posicao_contratual!$K127),ISNUMBER(historico_VU!$C127)),((posicao_contratual!$G127-N(posicao_contratual!$AB127))-(posicao_contratual!$K127-N(posicao_contratual!$AC127)))*historico_VU!$C127,"")))</f>
        <v>0</v>
      </c>
      <c r="Y127">
        <f>IF(OR(posicao_contratual!$A127="",$T$20=""),0,IF(AND(ISNUMBER(CHOOSE($T$20+1,historico_VU!$C127,historico_VU!$D127,historico_VU!$E127,historico_VU!$F127,historico_VU!$G127)),ISNUMBER(CHOOSE($T$20+1,posicao_contratual!$G127,posicao_contratual!$K127,posicao_contratual!$O127,posicao_contratual!$S127,posicao_contratual!$W127))),ROUND(ROUND(CHOOSE($T$20+1,historico_VU!$C127,historico_VU!$D127,historico_VU!$E127,historico_VU!$F127,historico_VU!$G127),2)*CHOOSE($T$20+1,posicao_contratual!$G127,posicao_contratual!$K127,posicao_contratual!$O127,posicao_contratual!$S127,posicao_contratual!$W127),2),""))</f>
        <v>0</v>
      </c>
      <c r="AB127">
        <f>IF(OR(posicao_contratual!$A127="",$W$46=""),0,IF(AND(ISNUMBER(CHOOSE($W$46+1,historico_VU!$C127,historico_VU!$D127,historico_VU!$E127,historico_VU!$F127,historico_VU!$G127)),ISNUMBER(CHOOSE($W$46+1,posicao_contratual!$G127,posicao_contratual!$K127,posicao_contratual!$O127,posicao_contratual!$S127,posicao_contratual!$W127))),ROUND(ROUND(CHOOSE($W$46+1,historico_VU!$C127,historico_VU!$D127,historico_VU!$E127,historico_VU!$F127,historico_VU!$G127),2)*CHOOSE($W$46+1,posicao_contratual!$G127,posicao_contratual!$K127,posicao_contratual!$O127,posicao_contratual!$S127,posicao_contratual!$W127),2),""))</f>
        <v>0</v>
      </c>
      <c r="AC127">
        <f>IF(OR(posicao_contratual!$A127="",$W$46=""),0,IF(OR($AB127="",$AD127=""),"",ROUND($AB127-$AD127,2)))</f>
        <v>0</v>
      </c>
      <c r="AD127">
        <f>IF(OR(posicao_contratual!$A127="",$W$46=""),0,IF($AB127="","",IF(NOT(ISNUMBER(CHOOSE($W$46+1,posicao_contratual!$AB127,posicao_contratual!$AC127,posicao_contratual!$AD127,posicao_contratual!$AE127,posicao_contratual!$AF127))),0,ROUND(ROUND(CHOOSE($W$46+1,historico_VU!$C127,historico_VU!$D127,historico_VU!$E127,historico_VU!$F127,historico_VU!$G127),2)*CHOOSE($W$46+1,posicao_contratual!$AB127,posicao_contratual!$AC127,posicao_contratual!$AD127,posicao_contratual!$AE127,posicao_contratual!$AF127),2))))</f>
        <v>0</v>
      </c>
    </row>
    <row r="128" spans="1:30" hidden="1" outlineLevel="1" x14ac:dyDescent="0.35">
      <c r="A128" s="137" t="str">
        <f>IF(historico_VU!A76="","",historico_VU!A76)</f>
        <v/>
      </c>
      <c r="B128" s="138" t="str">
        <f>IF(A128="","",historico_VU!B76)</f>
        <v/>
      </c>
      <c r="C128" s="139" t="str">
        <f>IF(A128="","",historico_VU!C76)</f>
        <v/>
      </c>
      <c r="D128" s="139" t="str">
        <f>IF(A128="","",historico_VU!D76)</f>
        <v/>
      </c>
      <c r="E128" s="139" t="str">
        <f>IF(A128="","",historico_VU!E76)</f>
        <v/>
      </c>
      <c r="F128" s="139" t="str">
        <f>IF(A128="","",historico_VU!F76)</f>
        <v/>
      </c>
      <c r="G128" s="139" t="str">
        <f>IF(A128="","",historico_VU!G76)</f>
        <v/>
      </c>
      <c r="H128" s="140" t="str">
        <f>IF(A128="","",historico_VU!H76)</f>
        <v/>
      </c>
      <c r="I128" s="57"/>
      <c r="J128" s="137" t="str">
        <f>IF(itens_Remanesc!A76="","",itens_Remanesc!A76)</f>
        <v/>
      </c>
      <c r="K128" s="138" t="str">
        <f>IF(J128="","",IF($F$4="C0",itens_Remanesc!B76,IF($F$4="C1",itens_Remanesc!E76,IF($F$4="C2",itens_Remanesc!G76,IF($F$4="C3",itens_Remanesc!I76,itens_Remanesc!K76)))))</f>
        <v/>
      </c>
      <c r="L128" s="138" t="str">
        <f>IF(J128="","",IF(SUMIF(itens_Consumidos!$A$2:$A$200,J128,itens_Consumidos!$B$2:$B$200)-SUMIF(itens_Consumidos!$A$2:$A$200,J128,itens_Consumidos!$O$2:$O$200)&lt;0,0,SUMIF(itens_Consumidos!$A$2:$A$200,J128,itens_Consumidos!$B$2:$B$200)-SUMIF(itens_Consumidos!$A$2:$A$200,J128,itens_Consumidos!$O$2:$O$200)))</f>
        <v/>
      </c>
      <c r="M128" s="141" t="str">
        <f>IF(J128="","",itens_Remanesc!C76)</f>
        <v/>
      </c>
      <c r="N128" s="141" t="str">
        <f>IF(J128="","",IF($F$4="C0",historico_VU!C76,IF($F$4="C1",historico_VU!D76,IF($F$4="C2",historico_VU!E76,IF($F$4="C3",historico_VU!F76,historico_VU!G76)))))</f>
        <v/>
      </c>
      <c r="O128" s="141" t="str">
        <f t="shared" si="7"/>
        <v/>
      </c>
      <c r="P128" s="141" t="str">
        <f t="shared" si="8"/>
        <v/>
      </c>
      <c r="Q128" s="142" t="str">
        <f t="shared" si="9"/>
        <v/>
      </c>
      <c r="X128">
        <f>IF(posicao_contratual!$A128="",0,IF(AND(ISNUMBER(posicao_contratual!$Y128),posicao_contratual!$Y128&gt;0),0,IF(AND(ISNUMBER(posicao_contratual!$G128),ISNUMBER(posicao_contratual!$K128),ISNUMBER(historico_VU!$C128)),((posicao_contratual!$G128-N(posicao_contratual!$AB128))-(posicao_contratual!$K128-N(posicao_contratual!$AC128)))*historico_VU!$C128,"")))</f>
        <v>0</v>
      </c>
      <c r="Y128">
        <f>IF(OR(posicao_contratual!$A128="",$T$20=""),0,IF(AND(ISNUMBER(CHOOSE($T$20+1,historico_VU!$C128,historico_VU!$D128,historico_VU!$E128,historico_VU!$F128,historico_VU!$G128)),ISNUMBER(CHOOSE($T$20+1,posicao_contratual!$G128,posicao_contratual!$K128,posicao_contratual!$O128,posicao_contratual!$S128,posicao_contratual!$W128))),ROUND(ROUND(CHOOSE($T$20+1,historico_VU!$C128,historico_VU!$D128,historico_VU!$E128,historico_VU!$F128,historico_VU!$G128),2)*CHOOSE($T$20+1,posicao_contratual!$G128,posicao_contratual!$K128,posicao_contratual!$O128,posicao_contratual!$S128,posicao_contratual!$W128),2),""))</f>
        <v>0</v>
      </c>
      <c r="AB128">
        <f>IF(OR(posicao_contratual!$A128="",$W$46=""),0,IF(AND(ISNUMBER(CHOOSE($W$46+1,historico_VU!$C128,historico_VU!$D128,historico_VU!$E128,historico_VU!$F128,historico_VU!$G128)),ISNUMBER(CHOOSE($W$46+1,posicao_contratual!$G128,posicao_contratual!$K128,posicao_contratual!$O128,posicao_contratual!$S128,posicao_contratual!$W128))),ROUND(ROUND(CHOOSE($W$46+1,historico_VU!$C128,historico_VU!$D128,historico_VU!$E128,historico_VU!$F128,historico_VU!$G128),2)*CHOOSE($W$46+1,posicao_contratual!$G128,posicao_contratual!$K128,posicao_contratual!$O128,posicao_contratual!$S128,posicao_contratual!$W128),2),""))</f>
        <v>0</v>
      </c>
      <c r="AC128">
        <f>IF(OR(posicao_contratual!$A128="",$W$46=""),0,IF(OR($AB128="",$AD128=""),"",ROUND($AB128-$AD128,2)))</f>
        <v>0</v>
      </c>
      <c r="AD128">
        <f>IF(OR(posicao_contratual!$A128="",$W$46=""),0,IF($AB128="","",IF(NOT(ISNUMBER(CHOOSE($W$46+1,posicao_contratual!$AB128,posicao_contratual!$AC128,posicao_contratual!$AD128,posicao_contratual!$AE128,posicao_contratual!$AF128))),0,ROUND(ROUND(CHOOSE($W$46+1,historico_VU!$C128,historico_VU!$D128,historico_VU!$E128,historico_VU!$F128,historico_VU!$G128),2)*CHOOSE($W$46+1,posicao_contratual!$AB128,posicao_contratual!$AC128,posicao_contratual!$AD128,posicao_contratual!$AE128,posicao_contratual!$AF128),2))))</f>
        <v>0</v>
      </c>
    </row>
    <row r="129" spans="1:30" hidden="1" outlineLevel="1" x14ac:dyDescent="0.35">
      <c r="A129" s="137" t="str">
        <f>IF(historico_VU!A77="","",historico_VU!A77)</f>
        <v/>
      </c>
      <c r="B129" s="138" t="str">
        <f>IF(A129="","",historico_VU!B77)</f>
        <v/>
      </c>
      <c r="C129" s="139" t="str">
        <f>IF(A129="","",historico_VU!C77)</f>
        <v/>
      </c>
      <c r="D129" s="139" t="str">
        <f>IF(A129="","",historico_VU!D77)</f>
        <v/>
      </c>
      <c r="E129" s="139" t="str">
        <f>IF(A129="","",historico_VU!E77)</f>
        <v/>
      </c>
      <c r="F129" s="139" t="str">
        <f>IF(A129="","",historico_VU!F77)</f>
        <v/>
      </c>
      <c r="G129" s="139" t="str">
        <f>IF(A129="","",historico_VU!G77)</f>
        <v/>
      </c>
      <c r="H129" s="140" t="str">
        <f>IF(A129="","",historico_VU!H77)</f>
        <v/>
      </c>
      <c r="I129" s="57"/>
      <c r="J129" s="137" t="str">
        <f>IF(itens_Remanesc!A77="","",itens_Remanesc!A77)</f>
        <v/>
      </c>
      <c r="K129" s="138" t="str">
        <f>IF(J129="","",IF($F$4="C0",itens_Remanesc!B77,IF($F$4="C1",itens_Remanesc!E77,IF($F$4="C2",itens_Remanesc!G77,IF($F$4="C3",itens_Remanesc!I77,itens_Remanesc!K77)))))</f>
        <v/>
      </c>
      <c r="L129" s="138" t="str">
        <f>IF(J129="","",IF(SUMIF(itens_Consumidos!$A$2:$A$200,J129,itens_Consumidos!$B$2:$B$200)-SUMIF(itens_Consumidos!$A$2:$A$200,J129,itens_Consumidos!$O$2:$O$200)&lt;0,0,SUMIF(itens_Consumidos!$A$2:$A$200,J129,itens_Consumidos!$B$2:$B$200)-SUMIF(itens_Consumidos!$A$2:$A$200,J129,itens_Consumidos!$O$2:$O$200)))</f>
        <v/>
      </c>
      <c r="M129" s="141" t="str">
        <f>IF(J129="","",itens_Remanesc!C77)</f>
        <v/>
      </c>
      <c r="N129" s="141" t="str">
        <f>IF(J129="","",IF($F$4="C0",historico_VU!C77,IF($F$4="C1",historico_VU!D77,IF($F$4="C2",historico_VU!E77,IF($F$4="C3",historico_VU!F77,historico_VU!G77)))))</f>
        <v/>
      </c>
      <c r="O129" s="141" t="str">
        <f t="shared" si="7"/>
        <v/>
      </c>
      <c r="P129" s="141" t="str">
        <f t="shared" si="8"/>
        <v/>
      </c>
      <c r="Q129" s="142" t="str">
        <f t="shared" si="9"/>
        <v/>
      </c>
      <c r="X129">
        <f>IF(posicao_contratual!$A129="",0,IF(AND(ISNUMBER(posicao_contratual!$Y129),posicao_contratual!$Y129&gt;0),0,IF(AND(ISNUMBER(posicao_contratual!$G129),ISNUMBER(posicao_contratual!$K129),ISNUMBER(historico_VU!$C129)),((posicao_contratual!$G129-N(posicao_contratual!$AB129))-(posicao_contratual!$K129-N(posicao_contratual!$AC129)))*historico_VU!$C129,"")))</f>
        <v>0</v>
      </c>
      <c r="Y129">
        <f>IF(OR(posicao_contratual!$A129="",$T$20=""),0,IF(AND(ISNUMBER(CHOOSE($T$20+1,historico_VU!$C129,historico_VU!$D129,historico_VU!$E129,historico_VU!$F129,historico_VU!$G129)),ISNUMBER(CHOOSE($T$20+1,posicao_contratual!$G129,posicao_contratual!$K129,posicao_contratual!$O129,posicao_contratual!$S129,posicao_contratual!$W129))),ROUND(ROUND(CHOOSE($T$20+1,historico_VU!$C129,historico_VU!$D129,historico_VU!$E129,historico_VU!$F129,historico_VU!$G129),2)*CHOOSE($T$20+1,posicao_contratual!$G129,posicao_contratual!$K129,posicao_contratual!$O129,posicao_contratual!$S129,posicao_contratual!$W129),2),""))</f>
        <v>0</v>
      </c>
      <c r="AB129">
        <f>IF(OR(posicao_contratual!$A129="",$W$46=""),0,IF(AND(ISNUMBER(CHOOSE($W$46+1,historico_VU!$C129,historico_VU!$D129,historico_VU!$E129,historico_VU!$F129,historico_VU!$G129)),ISNUMBER(CHOOSE($W$46+1,posicao_contratual!$G129,posicao_contratual!$K129,posicao_contratual!$O129,posicao_contratual!$S129,posicao_contratual!$W129))),ROUND(ROUND(CHOOSE($W$46+1,historico_VU!$C129,historico_VU!$D129,historico_VU!$E129,historico_VU!$F129,historico_VU!$G129),2)*CHOOSE($W$46+1,posicao_contratual!$G129,posicao_contratual!$K129,posicao_contratual!$O129,posicao_contratual!$S129,posicao_contratual!$W129),2),""))</f>
        <v>0</v>
      </c>
      <c r="AC129">
        <f>IF(OR(posicao_contratual!$A129="",$W$46=""),0,IF(OR($AB129="",$AD129=""),"",ROUND($AB129-$AD129,2)))</f>
        <v>0</v>
      </c>
      <c r="AD129">
        <f>IF(OR(posicao_contratual!$A129="",$W$46=""),0,IF($AB129="","",IF(NOT(ISNUMBER(CHOOSE($W$46+1,posicao_contratual!$AB129,posicao_contratual!$AC129,posicao_contratual!$AD129,posicao_contratual!$AE129,posicao_contratual!$AF129))),0,ROUND(ROUND(CHOOSE($W$46+1,historico_VU!$C129,historico_VU!$D129,historico_VU!$E129,historico_VU!$F129,historico_VU!$G129),2)*CHOOSE($W$46+1,posicao_contratual!$AB129,posicao_contratual!$AC129,posicao_contratual!$AD129,posicao_contratual!$AE129,posicao_contratual!$AF129),2))))</f>
        <v>0</v>
      </c>
    </row>
    <row r="130" spans="1:30" hidden="1" outlineLevel="1" x14ac:dyDescent="0.35">
      <c r="A130" s="137" t="str">
        <f>IF(historico_VU!A78="","",historico_VU!A78)</f>
        <v/>
      </c>
      <c r="B130" s="138" t="str">
        <f>IF(A130="","",historico_VU!B78)</f>
        <v/>
      </c>
      <c r="C130" s="139" t="str">
        <f>IF(A130="","",historico_VU!C78)</f>
        <v/>
      </c>
      <c r="D130" s="139" t="str">
        <f>IF(A130="","",historico_VU!D78)</f>
        <v/>
      </c>
      <c r="E130" s="139" t="str">
        <f>IF(A130="","",historico_VU!E78)</f>
        <v/>
      </c>
      <c r="F130" s="139" t="str">
        <f>IF(A130="","",historico_VU!F78)</f>
        <v/>
      </c>
      <c r="G130" s="139" t="str">
        <f>IF(A130="","",historico_VU!G78)</f>
        <v/>
      </c>
      <c r="H130" s="140" t="str">
        <f>IF(A130="","",historico_VU!H78)</f>
        <v/>
      </c>
      <c r="I130" s="57"/>
      <c r="J130" s="137" t="str">
        <f>IF(itens_Remanesc!A78="","",itens_Remanesc!A78)</f>
        <v/>
      </c>
      <c r="K130" s="138" t="str">
        <f>IF(J130="","",IF($F$4="C0",itens_Remanesc!B78,IF($F$4="C1",itens_Remanesc!E78,IF($F$4="C2",itens_Remanesc!G78,IF($F$4="C3",itens_Remanesc!I78,itens_Remanesc!K78)))))</f>
        <v/>
      </c>
      <c r="L130" s="138" t="str">
        <f>IF(J130="","",IF(SUMIF(itens_Consumidos!$A$2:$A$200,J130,itens_Consumidos!$B$2:$B$200)-SUMIF(itens_Consumidos!$A$2:$A$200,J130,itens_Consumidos!$O$2:$O$200)&lt;0,0,SUMIF(itens_Consumidos!$A$2:$A$200,J130,itens_Consumidos!$B$2:$B$200)-SUMIF(itens_Consumidos!$A$2:$A$200,J130,itens_Consumidos!$O$2:$O$200)))</f>
        <v/>
      </c>
      <c r="M130" s="141" t="str">
        <f>IF(J130="","",itens_Remanesc!C78)</f>
        <v/>
      </c>
      <c r="N130" s="141" t="str">
        <f>IF(J130="","",IF($F$4="C0",historico_VU!C78,IF($F$4="C1",historico_VU!D78,IF($F$4="C2",historico_VU!E78,IF($F$4="C3",historico_VU!F78,historico_VU!G78)))))</f>
        <v/>
      </c>
      <c r="O130" s="141" t="str">
        <f t="shared" si="7"/>
        <v/>
      </c>
      <c r="P130" s="141" t="str">
        <f t="shared" si="8"/>
        <v/>
      </c>
      <c r="Q130" s="142" t="str">
        <f t="shared" si="9"/>
        <v/>
      </c>
      <c r="X130">
        <f>IF(posicao_contratual!$A130="",0,IF(AND(ISNUMBER(posicao_contratual!$Y130),posicao_contratual!$Y130&gt;0),0,IF(AND(ISNUMBER(posicao_contratual!$G130),ISNUMBER(posicao_contratual!$K130),ISNUMBER(historico_VU!$C130)),((posicao_contratual!$G130-N(posicao_contratual!$AB130))-(posicao_contratual!$K130-N(posicao_contratual!$AC130)))*historico_VU!$C130,"")))</f>
        <v>0</v>
      </c>
      <c r="Y130">
        <f>IF(OR(posicao_contratual!$A130="",$T$20=""),0,IF(AND(ISNUMBER(CHOOSE($T$20+1,historico_VU!$C130,historico_VU!$D130,historico_VU!$E130,historico_VU!$F130,historico_VU!$G130)),ISNUMBER(CHOOSE($T$20+1,posicao_contratual!$G130,posicao_contratual!$K130,posicao_contratual!$O130,posicao_contratual!$S130,posicao_contratual!$W130))),ROUND(ROUND(CHOOSE($T$20+1,historico_VU!$C130,historico_VU!$D130,historico_VU!$E130,historico_VU!$F130,historico_VU!$G130),2)*CHOOSE($T$20+1,posicao_contratual!$G130,posicao_contratual!$K130,posicao_contratual!$O130,posicao_contratual!$S130,posicao_contratual!$W130),2),""))</f>
        <v>0</v>
      </c>
      <c r="AB130">
        <f>IF(OR(posicao_contratual!$A130="",$W$46=""),0,IF(AND(ISNUMBER(CHOOSE($W$46+1,historico_VU!$C130,historico_VU!$D130,historico_VU!$E130,historico_VU!$F130,historico_VU!$G130)),ISNUMBER(CHOOSE($W$46+1,posicao_contratual!$G130,posicao_contratual!$K130,posicao_contratual!$O130,posicao_contratual!$S130,posicao_contratual!$W130))),ROUND(ROUND(CHOOSE($W$46+1,historico_VU!$C130,historico_VU!$D130,historico_VU!$E130,historico_VU!$F130,historico_VU!$G130),2)*CHOOSE($W$46+1,posicao_contratual!$G130,posicao_contratual!$K130,posicao_contratual!$O130,posicao_contratual!$S130,posicao_contratual!$W130),2),""))</f>
        <v>0</v>
      </c>
      <c r="AC130">
        <f>IF(OR(posicao_contratual!$A130="",$W$46=""),0,IF(OR($AB130="",$AD130=""),"",ROUND($AB130-$AD130,2)))</f>
        <v>0</v>
      </c>
      <c r="AD130">
        <f>IF(OR(posicao_contratual!$A130="",$W$46=""),0,IF($AB130="","",IF(NOT(ISNUMBER(CHOOSE($W$46+1,posicao_contratual!$AB130,posicao_contratual!$AC130,posicao_contratual!$AD130,posicao_contratual!$AE130,posicao_contratual!$AF130))),0,ROUND(ROUND(CHOOSE($W$46+1,historico_VU!$C130,historico_VU!$D130,historico_VU!$E130,historico_VU!$F130,historico_VU!$G130),2)*CHOOSE($W$46+1,posicao_contratual!$AB130,posicao_contratual!$AC130,posicao_contratual!$AD130,posicao_contratual!$AE130,posicao_contratual!$AF130),2))))</f>
        <v>0</v>
      </c>
    </row>
    <row r="131" spans="1:30" hidden="1" outlineLevel="1" x14ac:dyDescent="0.35">
      <c r="A131" s="137" t="str">
        <f>IF(historico_VU!A79="","",historico_VU!A79)</f>
        <v/>
      </c>
      <c r="B131" s="138" t="str">
        <f>IF(A131="","",historico_VU!B79)</f>
        <v/>
      </c>
      <c r="C131" s="139" t="str">
        <f>IF(A131="","",historico_VU!C79)</f>
        <v/>
      </c>
      <c r="D131" s="139" t="str">
        <f>IF(A131="","",historico_VU!D79)</f>
        <v/>
      </c>
      <c r="E131" s="139" t="str">
        <f>IF(A131="","",historico_VU!E79)</f>
        <v/>
      </c>
      <c r="F131" s="139" t="str">
        <f>IF(A131="","",historico_VU!F79)</f>
        <v/>
      </c>
      <c r="G131" s="139" t="str">
        <f>IF(A131="","",historico_VU!G79)</f>
        <v/>
      </c>
      <c r="H131" s="140" t="str">
        <f>IF(A131="","",historico_VU!H79)</f>
        <v/>
      </c>
      <c r="I131" s="57"/>
      <c r="J131" s="137" t="str">
        <f>IF(itens_Remanesc!A79="","",itens_Remanesc!A79)</f>
        <v/>
      </c>
      <c r="K131" s="138" t="str">
        <f>IF(J131="","",IF($F$4="C0",itens_Remanesc!B79,IF($F$4="C1",itens_Remanesc!E79,IF($F$4="C2",itens_Remanesc!G79,IF($F$4="C3",itens_Remanesc!I79,itens_Remanesc!K79)))))</f>
        <v/>
      </c>
      <c r="L131" s="138" t="str">
        <f>IF(J131="","",IF(SUMIF(itens_Consumidos!$A$2:$A$200,J131,itens_Consumidos!$B$2:$B$200)-SUMIF(itens_Consumidos!$A$2:$A$200,J131,itens_Consumidos!$O$2:$O$200)&lt;0,0,SUMIF(itens_Consumidos!$A$2:$A$200,J131,itens_Consumidos!$B$2:$B$200)-SUMIF(itens_Consumidos!$A$2:$A$200,J131,itens_Consumidos!$O$2:$O$200)))</f>
        <v/>
      </c>
      <c r="M131" s="141" t="str">
        <f>IF(J131="","",itens_Remanesc!C79)</f>
        <v/>
      </c>
      <c r="N131" s="141" t="str">
        <f>IF(J131="","",IF($F$4="C0",historico_VU!C79,IF($F$4="C1",historico_VU!D79,IF($F$4="C2",historico_VU!E79,IF($F$4="C3",historico_VU!F79,historico_VU!G79)))))</f>
        <v/>
      </c>
      <c r="O131" s="141" t="str">
        <f t="shared" si="7"/>
        <v/>
      </c>
      <c r="P131" s="141" t="str">
        <f t="shared" si="8"/>
        <v/>
      </c>
      <c r="Q131" s="142" t="str">
        <f t="shared" si="9"/>
        <v/>
      </c>
      <c r="X131">
        <f>IF(posicao_contratual!$A131="",0,IF(AND(ISNUMBER(posicao_contratual!$Y131),posicao_contratual!$Y131&gt;0),0,IF(AND(ISNUMBER(posicao_contratual!$G131),ISNUMBER(posicao_contratual!$K131),ISNUMBER(historico_VU!$C131)),((posicao_contratual!$G131-N(posicao_contratual!$AB131))-(posicao_contratual!$K131-N(posicao_contratual!$AC131)))*historico_VU!$C131,"")))</f>
        <v>0</v>
      </c>
      <c r="Y131">
        <f>IF(OR(posicao_contratual!$A131="",$T$20=""),0,IF(AND(ISNUMBER(CHOOSE($T$20+1,historico_VU!$C131,historico_VU!$D131,historico_VU!$E131,historico_VU!$F131,historico_VU!$G131)),ISNUMBER(CHOOSE($T$20+1,posicao_contratual!$G131,posicao_contratual!$K131,posicao_contratual!$O131,posicao_contratual!$S131,posicao_contratual!$W131))),ROUND(ROUND(CHOOSE($T$20+1,historico_VU!$C131,historico_VU!$D131,historico_VU!$E131,historico_VU!$F131,historico_VU!$G131),2)*CHOOSE($T$20+1,posicao_contratual!$G131,posicao_contratual!$K131,posicao_contratual!$O131,posicao_contratual!$S131,posicao_contratual!$W131),2),""))</f>
        <v>0</v>
      </c>
      <c r="AB131">
        <f>IF(OR(posicao_contratual!$A131="",$W$46=""),0,IF(AND(ISNUMBER(CHOOSE($W$46+1,historico_VU!$C131,historico_VU!$D131,historico_VU!$E131,historico_VU!$F131,historico_VU!$G131)),ISNUMBER(CHOOSE($W$46+1,posicao_contratual!$G131,posicao_contratual!$K131,posicao_contratual!$O131,posicao_contratual!$S131,posicao_contratual!$W131))),ROUND(ROUND(CHOOSE($W$46+1,historico_VU!$C131,historico_VU!$D131,historico_VU!$E131,historico_VU!$F131,historico_VU!$G131),2)*CHOOSE($W$46+1,posicao_contratual!$G131,posicao_contratual!$K131,posicao_contratual!$O131,posicao_contratual!$S131,posicao_contratual!$W131),2),""))</f>
        <v>0</v>
      </c>
      <c r="AC131">
        <f>IF(OR(posicao_contratual!$A131="",$W$46=""),0,IF(OR($AB131="",$AD131=""),"",ROUND($AB131-$AD131,2)))</f>
        <v>0</v>
      </c>
      <c r="AD131">
        <f>IF(OR(posicao_contratual!$A131="",$W$46=""),0,IF($AB131="","",IF(NOT(ISNUMBER(CHOOSE($W$46+1,posicao_contratual!$AB131,posicao_contratual!$AC131,posicao_contratual!$AD131,posicao_contratual!$AE131,posicao_contratual!$AF131))),0,ROUND(ROUND(CHOOSE($W$46+1,historico_VU!$C131,historico_VU!$D131,historico_VU!$E131,historico_VU!$F131,historico_VU!$G131),2)*CHOOSE($W$46+1,posicao_contratual!$AB131,posicao_contratual!$AC131,posicao_contratual!$AD131,posicao_contratual!$AE131,posicao_contratual!$AF131),2))))</f>
        <v>0</v>
      </c>
    </row>
    <row r="132" spans="1:30" hidden="1" outlineLevel="1" x14ac:dyDescent="0.35">
      <c r="A132" s="137" t="str">
        <f>IF(historico_VU!A80="","",historico_VU!A80)</f>
        <v/>
      </c>
      <c r="B132" s="138" t="str">
        <f>IF(A132="","",historico_VU!B80)</f>
        <v/>
      </c>
      <c r="C132" s="139" t="str">
        <f>IF(A132="","",historico_VU!C80)</f>
        <v/>
      </c>
      <c r="D132" s="139" t="str">
        <f>IF(A132="","",historico_VU!D80)</f>
        <v/>
      </c>
      <c r="E132" s="139" t="str">
        <f>IF(A132="","",historico_VU!E80)</f>
        <v/>
      </c>
      <c r="F132" s="139" t="str">
        <f>IF(A132="","",historico_VU!F80)</f>
        <v/>
      </c>
      <c r="G132" s="139" t="str">
        <f>IF(A132="","",historico_VU!G80)</f>
        <v/>
      </c>
      <c r="H132" s="140" t="str">
        <f>IF(A132="","",historico_VU!H80)</f>
        <v/>
      </c>
      <c r="I132" s="57"/>
      <c r="J132" s="137" t="str">
        <f>IF(itens_Remanesc!A80="","",itens_Remanesc!A80)</f>
        <v/>
      </c>
      <c r="K132" s="138" t="str">
        <f>IF(J132="","",IF($F$4="C0",itens_Remanesc!B80,IF($F$4="C1",itens_Remanesc!E80,IF($F$4="C2",itens_Remanesc!G80,IF($F$4="C3",itens_Remanesc!I80,itens_Remanesc!K80)))))</f>
        <v/>
      </c>
      <c r="L132" s="138" t="str">
        <f>IF(J132="","",IF(SUMIF(itens_Consumidos!$A$2:$A$200,J132,itens_Consumidos!$B$2:$B$200)-SUMIF(itens_Consumidos!$A$2:$A$200,J132,itens_Consumidos!$O$2:$O$200)&lt;0,0,SUMIF(itens_Consumidos!$A$2:$A$200,J132,itens_Consumidos!$B$2:$B$200)-SUMIF(itens_Consumidos!$A$2:$A$200,J132,itens_Consumidos!$O$2:$O$200)))</f>
        <v/>
      </c>
      <c r="M132" s="141" t="str">
        <f>IF(J132="","",itens_Remanesc!C80)</f>
        <v/>
      </c>
      <c r="N132" s="141" t="str">
        <f>IF(J132="","",IF($F$4="C0",historico_VU!C80,IF($F$4="C1",historico_VU!D80,IF($F$4="C2",historico_VU!E80,IF($F$4="C3",historico_VU!F80,historico_VU!G80)))))</f>
        <v/>
      </c>
      <c r="O132" s="141" t="str">
        <f t="shared" si="7"/>
        <v/>
      </c>
      <c r="P132" s="141" t="str">
        <f t="shared" si="8"/>
        <v/>
      </c>
      <c r="Q132" s="142" t="str">
        <f t="shared" si="9"/>
        <v/>
      </c>
      <c r="X132">
        <f>IF(posicao_contratual!$A132="",0,IF(AND(ISNUMBER(posicao_contratual!$Y132),posicao_contratual!$Y132&gt;0),0,IF(AND(ISNUMBER(posicao_contratual!$G132),ISNUMBER(posicao_contratual!$K132),ISNUMBER(historico_VU!$C132)),((posicao_contratual!$G132-N(posicao_contratual!$AB132))-(posicao_contratual!$K132-N(posicao_contratual!$AC132)))*historico_VU!$C132,"")))</f>
        <v>0</v>
      </c>
      <c r="Y132">
        <f>IF(OR(posicao_contratual!$A132="",$T$20=""),0,IF(AND(ISNUMBER(CHOOSE($T$20+1,historico_VU!$C132,historico_VU!$D132,historico_VU!$E132,historico_VU!$F132,historico_VU!$G132)),ISNUMBER(CHOOSE($T$20+1,posicao_contratual!$G132,posicao_contratual!$K132,posicao_contratual!$O132,posicao_contratual!$S132,posicao_contratual!$W132))),ROUND(ROUND(CHOOSE($T$20+1,historico_VU!$C132,historico_VU!$D132,historico_VU!$E132,historico_VU!$F132,historico_VU!$G132),2)*CHOOSE($T$20+1,posicao_contratual!$G132,posicao_contratual!$K132,posicao_contratual!$O132,posicao_contratual!$S132,posicao_contratual!$W132),2),""))</f>
        <v>0</v>
      </c>
      <c r="AB132">
        <f>IF(OR(posicao_contratual!$A132="",$W$46=""),0,IF(AND(ISNUMBER(CHOOSE($W$46+1,historico_VU!$C132,historico_VU!$D132,historico_VU!$E132,historico_VU!$F132,historico_VU!$G132)),ISNUMBER(CHOOSE($W$46+1,posicao_contratual!$G132,posicao_contratual!$K132,posicao_contratual!$O132,posicao_contratual!$S132,posicao_contratual!$W132))),ROUND(ROUND(CHOOSE($W$46+1,historico_VU!$C132,historico_VU!$D132,historico_VU!$E132,historico_VU!$F132,historico_VU!$G132),2)*CHOOSE($W$46+1,posicao_contratual!$G132,posicao_contratual!$K132,posicao_contratual!$O132,posicao_contratual!$S132,posicao_contratual!$W132),2),""))</f>
        <v>0</v>
      </c>
      <c r="AC132">
        <f>IF(OR(posicao_contratual!$A132="",$W$46=""),0,IF(OR($AB132="",$AD132=""),"",ROUND($AB132-$AD132,2)))</f>
        <v>0</v>
      </c>
      <c r="AD132">
        <f>IF(OR(posicao_contratual!$A132="",$W$46=""),0,IF($AB132="","",IF(NOT(ISNUMBER(CHOOSE($W$46+1,posicao_contratual!$AB132,posicao_contratual!$AC132,posicao_contratual!$AD132,posicao_contratual!$AE132,posicao_contratual!$AF132))),0,ROUND(ROUND(CHOOSE($W$46+1,historico_VU!$C132,historico_VU!$D132,historico_VU!$E132,historico_VU!$F132,historico_VU!$G132),2)*CHOOSE($W$46+1,posicao_contratual!$AB132,posicao_contratual!$AC132,posicao_contratual!$AD132,posicao_contratual!$AE132,posicao_contratual!$AF132),2))))</f>
        <v>0</v>
      </c>
    </row>
    <row r="133" spans="1:30" hidden="1" outlineLevel="1" x14ac:dyDescent="0.35">
      <c r="A133" s="137" t="str">
        <f>IF(historico_VU!A81="","",historico_VU!A81)</f>
        <v/>
      </c>
      <c r="B133" s="138" t="str">
        <f>IF(A133="","",historico_VU!B81)</f>
        <v/>
      </c>
      <c r="C133" s="139" t="str">
        <f>IF(A133="","",historico_VU!C81)</f>
        <v/>
      </c>
      <c r="D133" s="139" t="str">
        <f>IF(A133="","",historico_VU!D81)</f>
        <v/>
      </c>
      <c r="E133" s="139" t="str">
        <f>IF(A133="","",historico_VU!E81)</f>
        <v/>
      </c>
      <c r="F133" s="139" t="str">
        <f>IF(A133="","",historico_VU!F81)</f>
        <v/>
      </c>
      <c r="G133" s="139" t="str">
        <f>IF(A133="","",historico_VU!G81)</f>
        <v/>
      </c>
      <c r="H133" s="140" t="str">
        <f>IF(A133="","",historico_VU!H81)</f>
        <v/>
      </c>
      <c r="I133" s="57"/>
      <c r="J133" s="137" t="str">
        <f>IF(itens_Remanesc!A81="","",itens_Remanesc!A81)</f>
        <v/>
      </c>
      <c r="K133" s="138" t="str">
        <f>IF(J133="","",IF($F$4="C0",itens_Remanesc!B81,IF($F$4="C1",itens_Remanesc!E81,IF($F$4="C2",itens_Remanesc!G81,IF($F$4="C3",itens_Remanesc!I81,itens_Remanesc!K81)))))</f>
        <v/>
      </c>
      <c r="L133" s="138" t="str">
        <f>IF(J133="","",IF(SUMIF(itens_Consumidos!$A$2:$A$200,J133,itens_Consumidos!$B$2:$B$200)-SUMIF(itens_Consumidos!$A$2:$A$200,J133,itens_Consumidos!$O$2:$O$200)&lt;0,0,SUMIF(itens_Consumidos!$A$2:$A$200,J133,itens_Consumidos!$B$2:$B$200)-SUMIF(itens_Consumidos!$A$2:$A$200,J133,itens_Consumidos!$O$2:$O$200)))</f>
        <v/>
      </c>
      <c r="M133" s="141" t="str">
        <f>IF(J133="","",itens_Remanesc!C81)</f>
        <v/>
      </c>
      <c r="N133" s="141" t="str">
        <f>IF(J133="","",IF($F$4="C0",historico_VU!C81,IF($F$4="C1",historico_VU!D81,IF($F$4="C2",historico_VU!E81,IF($F$4="C3",historico_VU!F81,historico_VU!G81)))))</f>
        <v/>
      </c>
      <c r="O133" s="141" t="str">
        <f t="shared" si="7"/>
        <v/>
      </c>
      <c r="P133" s="141" t="str">
        <f t="shared" si="8"/>
        <v/>
      </c>
      <c r="Q133" s="142" t="str">
        <f t="shared" si="9"/>
        <v/>
      </c>
      <c r="X133">
        <f>IF(posicao_contratual!$A133="",0,IF(AND(ISNUMBER(posicao_contratual!$Y133),posicao_contratual!$Y133&gt;0),0,IF(AND(ISNUMBER(posicao_contratual!$G133),ISNUMBER(posicao_contratual!$K133),ISNUMBER(historico_VU!$C133)),((posicao_contratual!$G133-N(posicao_contratual!$AB133))-(posicao_contratual!$K133-N(posicao_contratual!$AC133)))*historico_VU!$C133,"")))</f>
        <v>0</v>
      </c>
      <c r="Y133">
        <f>IF(OR(posicao_contratual!$A133="",$T$20=""),0,IF(AND(ISNUMBER(CHOOSE($T$20+1,historico_VU!$C133,historico_VU!$D133,historico_VU!$E133,historico_VU!$F133,historico_VU!$G133)),ISNUMBER(CHOOSE($T$20+1,posicao_contratual!$G133,posicao_contratual!$K133,posicao_contratual!$O133,posicao_contratual!$S133,posicao_contratual!$W133))),ROUND(ROUND(CHOOSE($T$20+1,historico_VU!$C133,historico_VU!$D133,historico_VU!$E133,historico_VU!$F133,historico_VU!$G133),2)*CHOOSE($T$20+1,posicao_contratual!$G133,posicao_contratual!$K133,posicao_contratual!$O133,posicao_contratual!$S133,posicao_contratual!$W133),2),""))</f>
        <v>0</v>
      </c>
      <c r="AB133">
        <f>IF(OR(posicao_contratual!$A133="",$W$46=""),0,IF(AND(ISNUMBER(CHOOSE($W$46+1,historico_VU!$C133,historico_VU!$D133,historico_VU!$E133,historico_VU!$F133,historico_VU!$G133)),ISNUMBER(CHOOSE($W$46+1,posicao_contratual!$G133,posicao_contratual!$K133,posicao_contratual!$O133,posicao_contratual!$S133,posicao_contratual!$W133))),ROUND(ROUND(CHOOSE($W$46+1,historico_VU!$C133,historico_VU!$D133,historico_VU!$E133,historico_VU!$F133,historico_VU!$G133),2)*CHOOSE($W$46+1,posicao_contratual!$G133,posicao_contratual!$K133,posicao_contratual!$O133,posicao_contratual!$S133,posicao_contratual!$W133),2),""))</f>
        <v>0</v>
      </c>
      <c r="AC133">
        <f>IF(OR(posicao_contratual!$A133="",$W$46=""),0,IF(OR($AB133="",$AD133=""),"",ROUND($AB133-$AD133,2)))</f>
        <v>0</v>
      </c>
      <c r="AD133">
        <f>IF(OR(posicao_contratual!$A133="",$W$46=""),0,IF($AB133="","",IF(NOT(ISNUMBER(CHOOSE($W$46+1,posicao_contratual!$AB133,posicao_contratual!$AC133,posicao_contratual!$AD133,posicao_contratual!$AE133,posicao_contratual!$AF133))),0,ROUND(ROUND(CHOOSE($W$46+1,historico_VU!$C133,historico_VU!$D133,historico_VU!$E133,historico_VU!$F133,historico_VU!$G133),2)*CHOOSE($W$46+1,posicao_contratual!$AB133,posicao_contratual!$AC133,posicao_contratual!$AD133,posicao_contratual!$AE133,posicao_contratual!$AF133),2))))</f>
        <v>0</v>
      </c>
    </row>
    <row r="134" spans="1:30" hidden="1" outlineLevel="1" x14ac:dyDescent="0.35">
      <c r="A134" s="137" t="str">
        <f>IF(historico_VU!A82="","",historico_VU!A82)</f>
        <v/>
      </c>
      <c r="B134" s="138" t="str">
        <f>IF(A134="","",historico_VU!B82)</f>
        <v/>
      </c>
      <c r="C134" s="139" t="str">
        <f>IF(A134="","",historico_VU!C82)</f>
        <v/>
      </c>
      <c r="D134" s="139" t="str">
        <f>IF(A134="","",historico_VU!D82)</f>
        <v/>
      </c>
      <c r="E134" s="139" t="str">
        <f>IF(A134="","",historico_VU!E82)</f>
        <v/>
      </c>
      <c r="F134" s="139" t="str">
        <f>IF(A134="","",historico_VU!F82)</f>
        <v/>
      </c>
      <c r="G134" s="139" t="str">
        <f>IF(A134="","",historico_VU!G82)</f>
        <v/>
      </c>
      <c r="H134" s="140" t="str">
        <f>IF(A134="","",historico_VU!H82)</f>
        <v/>
      </c>
      <c r="I134" s="57"/>
      <c r="J134" s="137" t="str">
        <f>IF(itens_Remanesc!A82="","",itens_Remanesc!A82)</f>
        <v/>
      </c>
      <c r="K134" s="138" t="str">
        <f>IF(J134="","",IF($F$4="C0",itens_Remanesc!B82,IF($F$4="C1",itens_Remanesc!E82,IF($F$4="C2",itens_Remanesc!G82,IF($F$4="C3",itens_Remanesc!I82,itens_Remanesc!K82)))))</f>
        <v/>
      </c>
      <c r="L134" s="138" t="str">
        <f>IF(J134="","",IF(SUMIF(itens_Consumidos!$A$2:$A$200,J134,itens_Consumidos!$B$2:$B$200)-SUMIF(itens_Consumidos!$A$2:$A$200,J134,itens_Consumidos!$O$2:$O$200)&lt;0,0,SUMIF(itens_Consumidos!$A$2:$A$200,J134,itens_Consumidos!$B$2:$B$200)-SUMIF(itens_Consumidos!$A$2:$A$200,J134,itens_Consumidos!$O$2:$O$200)))</f>
        <v/>
      </c>
      <c r="M134" s="141" t="str">
        <f>IF(J134="","",itens_Remanesc!C82)</f>
        <v/>
      </c>
      <c r="N134" s="141" t="str">
        <f>IF(J134="","",IF($F$4="C0",historico_VU!C82,IF($F$4="C1",historico_VU!D82,IF($F$4="C2",historico_VU!E82,IF($F$4="C3",historico_VU!F82,historico_VU!G82)))))</f>
        <v/>
      </c>
      <c r="O134" s="141" t="str">
        <f t="shared" si="7"/>
        <v/>
      </c>
      <c r="P134" s="141" t="str">
        <f t="shared" si="8"/>
        <v/>
      </c>
      <c r="Q134" s="142" t="str">
        <f t="shared" si="9"/>
        <v/>
      </c>
      <c r="X134">
        <f>IF(posicao_contratual!$A134="",0,IF(AND(ISNUMBER(posicao_contratual!$Y134),posicao_contratual!$Y134&gt;0),0,IF(AND(ISNUMBER(posicao_contratual!$G134),ISNUMBER(posicao_contratual!$K134),ISNUMBER(historico_VU!$C134)),((posicao_contratual!$G134-N(posicao_contratual!$AB134))-(posicao_contratual!$K134-N(posicao_contratual!$AC134)))*historico_VU!$C134,"")))</f>
        <v>0</v>
      </c>
      <c r="Y134">
        <f>IF(OR(posicao_contratual!$A134="",$T$20=""),0,IF(AND(ISNUMBER(CHOOSE($T$20+1,historico_VU!$C134,historico_VU!$D134,historico_VU!$E134,historico_VU!$F134,historico_VU!$G134)),ISNUMBER(CHOOSE($T$20+1,posicao_contratual!$G134,posicao_contratual!$K134,posicao_contratual!$O134,posicao_contratual!$S134,posicao_contratual!$W134))),ROUND(ROUND(CHOOSE($T$20+1,historico_VU!$C134,historico_VU!$D134,historico_VU!$E134,historico_VU!$F134,historico_VU!$G134),2)*CHOOSE($T$20+1,posicao_contratual!$G134,posicao_contratual!$K134,posicao_contratual!$O134,posicao_contratual!$S134,posicao_contratual!$W134),2),""))</f>
        <v>0</v>
      </c>
      <c r="AB134">
        <f>IF(OR(posicao_contratual!$A134="",$W$46=""),0,IF(AND(ISNUMBER(CHOOSE($W$46+1,historico_VU!$C134,historico_VU!$D134,historico_VU!$E134,historico_VU!$F134,historico_VU!$G134)),ISNUMBER(CHOOSE($W$46+1,posicao_contratual!$G134,posicao_contratual!$K134,posicao_contratual!$O134,posicao_contratual!$S134,posicao_contratual!$W134))),ROUND(ROUND(CHOOSE($W$46+1,historico_VU!$C134,historico_VU!$D134,historico_VU!$E134,historico_VU!$F134,historico_VU!$G134),2)*CHOOSE($W$46+1,posicao_contratual!$G134,posicao_contratual!$K134,posicao_contratual!$O134,posicao_contratual!$S134,posicao_contratual!$W134),2),""))</f>
        <v>0</v>
      </c>
      <c r="AC134">
        <f>IF(OR(posicao_contratual!$A134="",$W$46=""),0,IF(OR($AB134="",$AD134=""),"",ROUND($AB134-$AD134,2)))</f>
        <v>0</v>
      </c>
      <c r="AD134">
        <f>IF(OR(posicao_contratual!$A134="",$W$46=""),0,IF($AB134="","",IF(NOT(ISNUMBER(CHOOSE($W$46+1,posicao_contratual!$AB134,posicao_contratual!$AC134,posicao_contratual!$AD134,posicao_contratual!$AE134,posicao_contratual!$AF134))),0,ROUND(ROUND(CHOOSE($W$46+1,historico_VU!$C134,historico_VU!$D134,historico_VU!$E134,historico_VU!$F134,historico_VU!$G134),2)*CHOOSE($W$46+1,posicao_contratual!$AB134,posicao_contratual!$AC134,posicao_contratual!$AD134,posicao_contratual!$AE134,posicao_contratual!$AF134),2))))</f>
        <v>0</v>
      </c>
    </row>
    <row r="135" spans="1:30" hidden="1" outlineLevel="1" x14ac:dyDescent="0.35">
      <c r="A135" s="137" t="str">
        <f>IF(historico_VU!A83="","",historico_VU!A83)</f>
        <v/>
      </c>
      <c r="B135" s="138" t="str">
        <f>IF(A135="","",historico_VU!B83)</f>
        <v/>
      </c>
      <c r="C135" s="139" t="str">
        <f>IF(A135="","",historico_VU!C83)</f>
        <v/>
      </c>
      <c r="D135" s="139" t="str">
        <f>IF(A135="","",historico_VU!D83)</f>
        <v/>
      </c>
      <c r="E135" s="139" t="str">
        <f>IF(A135="","",historico_VU!E83)</f>
        <v/>
      </c>
      <c r="F135" s="139" t="str">
        <f>IF(A135="","",historico_VU!F83)</f>
        <v/>
      </c>
      <c r="G135" s="139" t="str">
        <f>IF(A135="","",historico_VU!G83)</f>
        <v/>
      </c>
      <c r="H135" s="140" t="str">
        <f>IF(A135="","",historico_VU!H83)</f>
        <v/>
      </c>
      <c r="I135" s="57"/>
      <c r="J135" s="137" t="str">
        <f>IF(itens_Remanesc!A83="","",itens_Remanesc!A83)</f>
        <v/>
      </c>
      <c r="K135" s="138" t="str">
        <f>IF(J135="","",IF($F$4="C0",itens_Remanesc!B83,IF($F$4="C1",itens_Remanesc!E83,IF($F$4="C2",itens_Remanesc!G83,IF($F$4="C3",itens_Remanesc!I83,itens_Remanesc!K83)))))</f>
        <v/>
      </c>
      <c r="L135" s="138" t="str">
        <f>IF(J135="","",IF(SUMIF(itens_Consumidos!$A$2:$A$200,J135,itens_Consumidos!$B$2:$B$200)-SUMIF(itens_Consumidos!$A$2:$A$200,J135,itens_Consumidos!$O$2:$O$200)&lt;0,0,SUMIF(itens_Consumidos!$A$2:$A$200,J135,itens_Consumidos!$B$2:$B$200)-SUMIF(itens_Consumidos!$A$2:$A$200,J135,itens_Consumidos!$O$2:$O$200)))</f>
        <v/>
      </c>
      <c r="M135" s="141" t="str">
        <f>IF(J135="","",itens_Remanesc!C83)</f>
        <v/>
      </c>
      <c r="N135" s="141" t="str">
        <f>IF(J135="","",IF($F$4="C0",historico_VU!C83,IF($F$4="C1",historico_VU!D83,IF($F$4="C2",historico_VU!E83,IF($F$4="C3",historico_VU!F83,historico_VU!G83)))))</f>
        <v/>
      </c>
      <c r="O135" s="141" t="str">
        <f t="shared" si="7"/>
        <v/>
      </c>
      <c r="P135" s="141" t="str">
        <f t="shared" si="8"/>
        <v/>
      </c>
      <c r="Q135" s="142" t="str">
        <f t="shared" si="9"/>
        <v/>
      </c>
      <c r="X135">
        <f>IF(posicao_contratual!$A135="",0,IF(AND(ISNUMBER(posicao_contratual!$Y135),posicao_contratual!$Y135&gt;0),0,IF(AND(ISNUMBER(posicao_contratual!$G135),ISNUMBER(posicao_contratual!$K135),ISNUMBER(historico_VU!$C135)),((posicao_contratual!$G135-N(posicao_contratual!$AB135))-(posicao_contratual!$K135-N(posicao_contratual!$AC135)))*historico_VU!$C135,"")))</f>
        <v>0</v>
      </c>
      <c r="Y135">
        <f>IF(OR(posicao_contratual!$A135="",$T$20=""),0,IF(AND(ISNUMBER(CHOOSE($T$20+1,historico_VU!$C135,historico_VU!$D135,historico_VU!$E135,historico_VU!$F135,historico_VU!$G135)),ISNUMBER(CHOOSE($T$20+1,posicao_contratual!$G135,posicao_contratual!$K135,posicao_contratual!$O135,posicao_contratual!$S135,posicao_contratual!$W135))),ROUND(ROUND(CHOOSE($T$20+1,historico_VU!$C135,historico_VU!$D135,historico_VU!$E135,historico_VU!$F135,historico_VU!$G135),2)*CHOOSE($T$20+1,posicao_contratual!$G135,posicao_contratual!$K135,posicao_contratual!$O135,posicao_contratual!$S135,posicao_contratual!$W135),2),""))</f>
        <v>0</v>
      </c>
      <c r="AB135">
        <f>IF(OR(posicao_contratual!$A135="",$W$46=""),0,IF(AND(ISNUMBER(CHOOSE($W$46+1,historico_VU!$C135,historico_VU!$D135,historico_VU!$E135,historico_VU!$F135,historico_VU!$G135)),ISNUMBER(CHOOSE($W$46+1,posicao_contratual!$G135,posicao_contratual!$K135,posicao_contratual!$O135,posicao_contratual!$S135,posicao_contratual!$W135))),ROUND(ROUND(CHOOSE($W$46+1,historico_VU!$C135,historico_VU!$D135,historico_VU!$E135,historico_VU!$F135,historico_VU!$G135),2)*CHOOSE($W$46+1,posicao_contratual!$G135,posicao_contratual!$K135,posicao_contratual!$O135,posicao_contratual!$S135,posicao_contratual!$W135),2),""))</f>
        <v>0</v>
      </c>
      <c r="AC135">
        <f>IF(OR(posicao_contratual!$A135="",$W$46=""),0,IF(OR($AB135="",$AD135=""),"",ROUND($AB135-$AD135,2)))</f>
        <v>0</v>
      </c>
      <c r="AD135">
        <f>IF(OR(posicao_contratual!$A135="",$W$46=""),0,IF($AB135="","",IF(NOT(ISNUMBER(CHOOSE($W$46+1,posicao_contratual!$AB135,posicao_contratual!$AC135,posicao_contratual!$AD135,posicao_contratual!$AE135,posicao_contratual!$AF135))),0,ROUND(ROUND(CHOOSE($W$46+1,historico_VU!$C135,historico_VU!$D135,historico_VU!$E135,historico_VU!$F135,historico_VU!$G135),2)*CHOOSE($W$46+1,posicao_contratual!$AB135,posicao_contratual!$AC135,posicao_contratual!$AD135,posicao_contratual!$AE135,posicao_contratual!$AF135),2))))</f>
        <v>0</v>
      </c>
    </row>
    <row r="136" spans="1:30" hidden="1" outlineLevel="1" x14ac:dyDescent="0.35">
      <c r="A136" s="137" t="str">
        <f>IF(historico_VU!A84="","",historico_VU!A84)</f>
        <v/>
      </c>
      <c r="B136" s="138" t="str">
        <f>IF(A136="","",historico_VU!B84)</f>
        <v/>
      </c>
      <c r="C136" s="139" t="str">
        <f>IF(A136="","",historico_VU!C84)</f>
        <v/>
      </c>
      <c r="D136" s="139" t="str">
        <f>IF(A136="","",historico_VU!D84)</f>
        <v/>
      </c>
      <c r="E136" s="139" t="str">
        <f>IF(A136="","",historico_VU!E84)</f>
        <v/>
      </c>
      <c r="F136" s="139" t="str">
        <f>IF(A136="","",historico_VU!F84)</f>
        <v/>
      </c>
      <c r="G136" s="139" t="str">
        <f>IF(A136="","",historico_VU!G84)</f>
        <v/>
      </c>
      <c r="H136" s="140" t="str">
        <f>IF(A136="","",historico_VU!H84)</f>
        <v/>
      </c>
      <c r="I136" s="57"/>
      <c r="J136" s="137" t="str">
        <f>IF(itens_Remanesc!A84="","",itens_Remanesc!A84)</f>
        <v/>
      </c>
      <c r="K136" s="138" t="str">
        <f>IF(J136="","",IF($F$4="C0",itens_Remanesc!B84,IF($F$4="C1",itens_Remanesc!E84,IF($F$4="C2",itens_Remanesc!G84,IF($F$4="C3",itens_Remanesc!I84,itens_Remanesc!K84)))))</f>
        <v/>
      </c>
      <c r="L136" s="138" t="str">
        <f>IF(J136="","",IF(SUMIF(itens_Consumidos!$A$2:$A$200,J136,itens_Consumidos!$B$2:$B$200)-SUMIF(itens_Consumidos!$A$2:$A$200,J136,itens_Consumidos!$O$2:$O$200)&lt;0,0,SUMIF(itens_Consumidos!$A$2:$A$200,J136,itens_Consumidos!$B$2:$B$200)-SUMIF(itens_Consumidos!$A$2:$A$200,J136,itens_Consumidos!$O$2:$O$200)))</f>
        <v/>
      </c>
      <c r="M136" s="141" t="str">
        <f>IF(J136="","",itens_Remanesc!C84)</f>
        <v/>
      </c>
      <c r="N136" s="141" t="str">
        <f>IF(J136="","",IF($F$4="C0",historico_VU!C84,IF($F$4="C1",historico_VU!D84,IF($F$4="C2",historico_VU!E84,IF($F$4="C3",historico_VU!F84,historico_VU!G84)))))</f>
        <v/>
      </c>
      <c r="O136" s="141" t="str">
        <f t="shared" si="7"/>
        <v/>
      </c>
      <c r="P136" s="141" t="str">
        <f t="shared" si="8"/>
        <v/>
      </c>
      <c r="Q136" s="142" t="str">
        <f t="shared" si="9"/>
        <v/>
      </c>
      <c r="X136">
        <f>IF(posicao_contratual!$A136="",0,IF(AND(ISNUMBER(posicao_contratual!$Y136),posicao_contratual!$Y136&gt;0),0,IF(AND(ISNUMBER(posicao_contratual!$G136),ISNUMBER(posicao_contratual!$K136),ISNUMBER(historico_VU!$C136)),((posicao_contratual!$G136-N(posicao_contratual!$AB136))-(posicao_contratual!$K136-N(posicao_contratual!$AC136)))*historico_VU!$C136,"")))</f>
        <v>0</v>
      </c>
      <c r="Y136">
        <f>IF(OR(posicao_contratual!$A136="",$T$20=""),0,IF(AND(ISNUMBER(CHOOSE($T$20+1,historico_VU!$C136,historico_VU!$D136,historico_VU!$E136,historico_VU!$F136,historico_VU!$G136)),ISNUMBER(CHOOSE($T$20+1,posicao_contratual!$G136,posicao_contratual!$K136,posicao_contratual!$O136,posicao_contratual!$S136,posicao_contratual!$W136))),ROUND(ROUND(CHOOSE($T$20+1,historico_VU!$C136,historico_VU!$D136,historico_VU!$E136,historico_VU!$F136,historico_VU!$G136),2)*CHOOSE($T$20+1,posicao_contratual!$G136,posicao_contratual!$K136,posicao_contratual!$O136,posicao_contratual!$S136,posicao_contratual!$W136),2),""))</f>
        <v>0</v>
      </c>
      <c r="AB136">
        <f>IF(OR(posicao_contratual!$A136="",$W$46=""),0,IF(AND(ISNUMBER(CHOOSE($W$46+1,historico_VU!$C136,historico_VU!$D136,historico_VU!$E136,historico_VU!$F136,historico_VU!$G136)),ISNUMBER(CHOOSE($W$46+1,posicao_contratual!$G136,posicao_contratual!$K136,posicao_contratual!$O136,posicao_contratual!$S136,posicao_contratual!$W136))),ROUND(ROUND(CHOOSE($W$46+1,historico_VU!$C136,historico_VU!$D136,historico_VU!$E136,historico_VU!$F136,historico_VU!$G136),2)*CHOOSE($W$46+1,posicao_contratual!$G136,posicao_contratual!$K136,posicao_contratual!$O136,posicao_contratual!$S136,posicao_contratual!$W136),2),""))</f>
        <v>0</v>
      </c>
      <c r="AC136">
        <f>IF(OR(posicao_contratual!$A136="",$W$46=""),0,IF(OR($AB136="",$AD136=""),"",ROUND($AB136-$AD136,2)))</f>
        <v>0</v>
      </c>
      <c r="AD136">
        <f>IF(OR(posicao_contratual!$A136="",$W$46=""),0,IF($AB136="","",IF(NOT(ISNUMBER(CHOOSE($W$46+1,posicao_contratual!$AB136,posicao_contratual!$AC136,posicao_contratual!$AD136,posicao_contratual!$AE136,posicao_contratual!$AF136))),0,ROUND(ROUND(CHOOSE($W$46+1,historico_VU!$C136,historico_VU!$D136,historico_VU!$E136,historico_VU!$F136,historico_VU!$G136),2)*CHOOSE($W$46+1,posicao_contratual!$AB136,posicao_contratual!$AC136,posicao_contratual!$AD136,posicao_contratual!$AE136,posicao_contratual!$AF136),2))))</f>
        <v>0</v>
      </c>
    </row>
    <row r="137" spans="1:30" hidden="1" outlineLevel="1" x14ac:dyDescent="0.35">
      <c r="A137" s="137" t="str">
        <f>IF(historico_VU!A85="","",historico_VU!A85)</f>
        <v/>
      </c>
      <c r="B137" s="138" t="str">
        <f>IF(A137="","",historico_VU!B85)</f>
        <v/>
      </c>
      <c r="C137" s="139" t="str">
        <f>IF(A137="","",historico_VU!C85)</f>
        <v/>
      </c>
      <c r="D137" s="139" t="str">
        <f>IF(A137="","",historico_VU!D85)</f>
        <v/>
      </c>
      <c r="E137" s="139" t="str">
        <f>IF(A137="","",historico_VU!E85)</f>
        <v/>
      </c>
      <c r="F137" s="139" t="str">
        <f>IF(A137="","",historico_VU!F85)</f>
        <v/>
      </c>
      <c r="G137" s="139" t="str">
        <f>IF(A137="","",historico_VU!G85)</f>
        <v/>
      </c>
      <c r="H137" s="140" t="str">
        <f>IF(A137="","",historico_VU!H85)</f>
        <v/>
      </c>
      <c r="I137" s="57"/>
      <c r="J137" s="137" t="str">
        <f>IF(itens_Remanesc!A85="","",itens_Remanesc!A85)</f>
        <v/>
      </c>
      <c r="K137" s="138" t="str">
        <f>IF(J137="","",IF($F$4="C0",itens_Remanesc!B85,IF($F$4="C1",itens_Remanesc!E85,IF($F$4="C2",itens_Remanesc!G85,IF($F$4="C3",itens_Remanesc!I85,itens_Remanesc!K85)))))</f>
        <v/>
      </c>
      <c r="L137" s="138" t="str">
        <f>IF(J137="","",IF(SUMIF(itens_Consumidos!$A$2:$A$200,J137,itens_Consumidos!$B$2:$B$200)-SUMIF(itens_Consumidos!$A$2:$A$200,J137,itens_Consumidos!$O$2:$O$200)&lt;0,0,SUMIF(itens_Consumidos!$A$2:$A$200,J137,itens_Consumidos!$B$2:$B$200)-SUMIF(itens_Consumidos!$A$2:$A$200,J137,itens_Consumidos!$O$2:$O$200)))</f>
        <v/>
      </c>
      <c r="M137" s="141" t="str">
        <f>IF(J137="","",itens_Remanesc!C85)</f>
        <v/>
      </c>
      <c r="N137" s="141" t="str">
        <f>IF(J137="","",IF($F$4="C0",historico_VU!C85,IF($F$4="C1",historico_VU!D85,IF($F$4="C2",historico_VU!E85,IF($F$4="C3",historico_VU!F85,historico_VU!G85)))))</f>
        <v/>
      </c>
      <c r="O137" s="141" t="str">
        <f t="shared" si="7"/>
        <v/>
      </c>
      <c r="P137" s="141" t="str">
        <f t="shared" si="8"/>
        <v/>
      </c>
      <c r="Q137" s="142" t="str">
        <f t="shared" si="9"/>
        <v/>
      </c>
      <c r="X137">
        <f>IF(posicao_contratual!$A137="",0,IF(AND(ISNUMBER(posicao_contratual!$Y137),posicao_contratual!$Y137&gt;0),0,IF(AND(ISNUMBER(posicao_contratual!$G137),ISNUMBER(posicao_contratual!$K137),ISNUMBER(historico_VU!$C137)),((posicao_contratual!$G137-N(posicao_contratual!$AB137))-(posicao_contratual!$K137-N(posicao_contratual!$AC137)))*historico_VU!$C137,"")))</f>
        <v>0</v>
      </c>
      <c r="Y137">
        <f>IF(OR(posicao_contratual!$A137="",$T$20=""),0,IF(AND(ISNUMBER(CHOOSE($T$20+1,historico_VU!$C137,historico_VU!$D137,historico_VU!$E137,historico_VU!$F137,historico_VU!$G137)),ISNUMBER(CHOOSE($T$20+1,posicao_contratual!$G137,posicao_contratual!$K137,posicao_contratual!$O137,posicao_contratual!$S137,posicao_contratual!$W137))),ROUND(ROUND(CHOOSE($T$20+1,historico_VU!$C137,historico_VU!$D137,historico_VU!$E137,historico_VU!$F137,historico_VU!$G137),2)*CHOOSE($T$20+1,posicao_contratual!$G137,posicao_contratual!$K137,posicao_contratual!$O137,posicao_contratual!$S137,posicao_contratual!$W137),2),""))</f>
        <v>0</v>
      </c>
      <c r="AB137">
        <f>IF(OR(posicao_contratual!$A137="",$W$46=""),0,IF(AND(ISNUMBER(CHOOSE($W$46+1,historico_VU!$C137,historico_VU!$D137,historico_VU!$E137,historico_VU!$F137,historico_VU!$G137)),ISNUMBER(CHOOSE($W$46+1,posicao_contratual!$G137,posicao_contratual!$K137,posicao_contratual!$O137,posicao_contratual!$S137,posicao_contratual!$W137))),ROUND(ROUND(CHOOSE($W$46+1,historico_VU!$C137,historico_VU!$D137,historico_VU!$E137,historico_VU!$F137,historico_VU!$G137),2)*CHOOSE($W$46+1,posicao_contratual!$G137,posicao_contratual!$K137,posicao_contratual!$O137,posicao_contratual!$S137,posicao_contratual!$W137),2),""))</f>
        <v>0</v>
      </c>
      <c r="AC137">
        <f>IF(OR(posicao_contratual!$A137="",$W$46=""),0,IF(OR($AB137="",$AD137=""),"",ROUND($AB137-$AD137,2)))</f>
        <v>0</v>
      </c>
      <c r="AD137">
        <f>IF(OR(posicao_contratual!$A137="",$W$46=""),0,IF($AB137="","",IF(NOT(ISNUMBER(CHOOSE($W$46+1,posicao_contratual!$AB137,posicao_contratual!$AC137,posicao_contratual!$AD137,posicao_contratual!$AE137,posicao_contratual!$AF137))),0,ROUND(ROUND(CHOOSE($W$46+1,historico_VU!$C137,historico_VU!$D137,historico_VU!$E137,historico_VU!$F137,historico_VU!$G137),2)*CHOOSE($W$46+1,posicao_contratual!$AB137,posicao_contratual!$AC137,posicao_contratual!$AD137,posicao_contratual!$AE137,posicao_contratual!$AF137),2))))</f>
        <v>0</v>
      </c>
    </row>
    <row r="138" spans="1:30" hidden="1" outlineLevel="1" x14ac:dyDescent="0.35">
      <c r="A138" s="137" t="str">
        <f>IF(historico_VU!A86="","",historico_VU!A86)</f>
        <v/>
      </c>
      <c r="B138" s="138" t="str">
        <f>IF(A138="","",historico_VU!B86)</f>
        <v/>
      </c>
      <c r="C138" s="139" t="str">
        <f>IF(A138="","",historico_VU!C86)</f>
        <v/>
      </c>
      <c r="D138" s="139" t="str">
        <f>IF(A138="","",historico_VU!D86)</f>
        <v/>
      </c>
      <c r="E138" s="139" t="str">
        <f>IF(A138="","",historico_VU!E86)</f>
        <v/>
      </c>
      <c r="F138" s="139" t="str">
        <f>IF(A138="","",historico_VU!F86)</f>
        <v/>
      </c>
      <c r="G138" s="139" t="str">
        <f>IF(A138="","",historico_VU!G86)</f>
        <v/>
      </c>
      <c r="H138" s="140" t="str">
        <f>IF(A138="","",historico_VU!H86)</f>
        <v/>
      </c>
      <c r="I138" s="57"/>
      <c r="J138" s="137" t="str">
        <f>IF(itens_Remanesc!A86="","",itens_Remanesc!A86)</f>
        <v/>
      </c>
      <c r="K138" s="138" t="str">
        <f>IF(J138="","",IF($F$4="C0",itens_Remanesc!B86,IF($F$4="C1",itens_Remanesc!E86,IF($F$4="C2",itens_Remanesc!G86,IF($F$4="C3",itens_Remanesc!I86,itens_Remanesc!K86)))))</f>
        <v/>
      </c>
      <c r="L138" s="138" t="str">
        <f>IF(J138="","",IF(SUMIF(itens_Consumidos!$A$2:$A$200,J138,itens_Consumidos!$B$2:$B$200)-SUMIF(itens_Consumidos!$A$2:$A$200,J138,itens_Consumidos!$O$2:$O$200)&lt;0,0,SUMIF(itens_Consumidos!$A$2:$A$200,J138,itens_Consumidos!$B$2:$B$200)-SUMIF(itens_Consumidos!$A$2:$A$200,J138,itens_Consumidos!$O$2:$O$200)))</f>
        <v/>
      </c>
      <c r="M138" s="141" t="str">
        <f>IF(J138="","",itens_Remanesc!C86)</f>
        <v/>
      </c>
      <c r="N138" s="141" t="str">
        <f>IF(J138="","",IF($F$4="C0",historico_VU!C86,IF($F$4="C1",historico_VU!D86,IF($F$4="C2",historico_VU!E86,IF($F$4="C3",historico_VU!F86,historico_VU!G86)))))</f>
        <v/>
      </c>
      <c r="O138" s="141" t="str">
        <f t="shared" si="7"/>
        <v/>
      </c>
      <c r="P138" s="141" t="str">
        <f t="shared" si="8"/>
        <v/>
      </c>
      <c r="Q138" s="142" t="str">
        <f t="shared" si="9"/>
        <v/>
      </c>
      <c r="X138">
        <f>IF(posicao_contratual!$A138="",0,IF(AND(ISNUMBER(posicao_contratual!$Y138),posicao_contratual!$Y138&gt;0),0,IF(AND(ISNUMBER(posicao_contratual!$G138),ISNUMBER(posicao_contratual!$K138),ISNUMBER(historico_VU!$C138)),((posicao_contratual!$G138-N(posicao_contratual!$AB138))-(posicao_contratual!$K138-N(posicao_contratual!$AC138)))*historico_VU!$C138,"")))</f>
        <v>0</v>
      </c>
      <c r="Y138">
        <f>IF(OR(posicao_contratual!$A138="",$T$20=""),0,IF(AND(ISNUMBER(CHOOSE($T$20+1,historico_VU!$C138,historico_VU!$D138,historico_VU!$E138,historico_VU!$F138,historico_VU!$G138)),ISNUMBER(CHOOSE($T$20+1,posicao_contratual!$G138,posicao_contratual!$K138,posicao_contratual!$O138,posicao_contratual!$S138,posicao_contratual!$W138))),ROUND(ROUND(CHOOSE($T$20+1,historico_VU!$C138,historico_VU!$D138,historico_VU!$E138,historico_VU!$F138,historico_VU!$G138),2)*CHOOSE($T$20+1,posicao_contratual!$G138,posicao_contratual!$K138,posicao_contratual!$O138,posicao_contratual!$S138,posicao_contratual!$W138),2),""))</f>
        <v>0</v>
      </c>
      <c r="AB138">
        <f>IF(OR(posicao_contratual!$A138="",$W$46=""),0,IF(AND(ISNUMBER(CHOOSE($W$46+1,historico_VU!$C138,historico_VU!$D138,historico_VU!$E138,historico_VU!$F138,historico_VU!$G138)),ISNUMBER(CHOOSE($W$46+1,posicao_contratual!$G138,posicao_contratual!$K138,posicao_contratual!$O138,posicao_contratual!$S138,posicao_contratual!$W138))),ROUND(ROUND(CHOOSE($W$46+1,historico_VU!$C138,historico_VU!$D138,historico_VU!$E138,historico_VU!$F138,historico_VU!$G138),2)*CHOOSE($W$46+1,posicao_contratual!$G138,posicao_contratual!$K138,posicao_contratual!$O138,posicao_contratual!$S138,posicao_contratual!$W138),2),""))</f>
        <v>0</v>
      </c>
      <c r="AC138">
        <f>IF(OR(posicao_contratual!$A138="",$W$46=""),0,IF(OR($AB138="",$AD138=""),"",ROUND($AB138-$AD138,2)))</f>
        <v>0</v>
      </c>
      <c r="AD138">
        <f>IF(OR(posicao_contratual!$A138="",$W$46=""),0,IF($AB138="","",IF(NOT(ISNUMBER(CHOOSE($W$46+1,posicao_contratual!$AB138,posicao_contratual!$AC138,posicao_contratual!$AD138,posicao_contratual!$AE138,posicao_contratual!$AF138))),0,ROUND(ROUND(CHOOSE($W$46+1,historico_VU!$C138,historico_VU!$D138,historico_VU!$E138,historico_VU!$F138,historico_VU!$G138),2)*CHOOSE($W$46+1,posicao_contratual!$AB138,posicao_contratual!$AC138,posicao_contratual!$AD138,posicao_contratual!$AE138,posicao_contratual!$AF138),2))))</f>
        <v>0</v>
      </c>
    </row>
    <row r="139" spans="1:30" hidden="1" outlineLevel="1" x14ac:dyDescent="0.35">
      <c r="A139" s="137" t="str">
        <f>IF(historico_VU!A87="","",historico_VU!A87)</f>
        <v/>
      </c>
      <c r="B139" s="138" t="str">
        <f>IF(A139="","",historico_VU!B87)</f>
        <v/>
      </c>
      <c r="C139" s="139" t="str">
        <f>IF(A139="","",historico_VU!C87)</f>
        <v/>
      </c>
      <c r="D139" s="139" t="str">
        <f>IF(A139="","",historico_VU!D87)</f>
        <v/>
      </c>
      <c r="E139" s="139" t="str">
        <f>IF(A139="","",historico_VU!E87)</f>
        <v/>
      </c>
      <c r="F139" s="139" t="str">
        <f>IF(A139="","",historico_VU!F87)</f>
        <v/>
      </c>
      <c r="G139" s="139" t="str">
        <f>IF(A139="","",historico_VU!G87)</f>
        <v/>
      </c>
      <c r="H139" s="140" t="str">
        <f>IF(A139="","",historico_VU!H87)</f>
        <v/>
      </c>
      <c r="I139" s="57"/>
      <c r="J139" s="137" t="str">
        <f>IF(itens_Remanesc!A87="","",itens_Remanesc!A87)</f>
        <v/>
      </c>
      <c r="K139" s="138" t="str">
        <f>IF(J139="","",IF($F$4="C0",itens_Remanesc!B87,IF($F$4="C1",itens_Remanesc!E87,IF($F$4="C2",itens_Remanesc!G87,IF($F$4="C3",itens_Remanesc!I87,itens_Remanesc!K87)))))</f>
        <v/>
      </c>
      <c r="L139" s="138" t="str">
        <f>IF(J139="","",IF(SUMIF(itens_Consumidos!$A$2:$A$200,J139,itens_Consumidos!$B$2:$B$200)-SUMIF(itens_Consumidos!$A$2:$A$200,J139,itens_Consumidos!$O$2:$O$200)&lt;0,0,SUMIF(itens_Consumidos!$A$2:$A$200,J139,itens_Consumidos!$B$2:$B$200)-SUMIF(itens_Consumidos!$A$2:$A$200,J139,itens_Consumidos!$O$2:$O$200)))</f>
        <v/>
      </c>
      <c r="M139" s="141" t="str">
        <f>IF(J139="","",itens_Remanesc!C87)</f>
        <v/>
      </c>
      <c r="N139" s="141" t="str">
        <f>IF(J139="","",IF($F$4="C0",historico_VU!C87,IF($F$4="C1",historico_VU!D87,IF($F$4="C2",historico_VU!E87,IF($F$4="C3",historico_VU!F87,historico_VU!G87)))))</f>
        <v/>
      </c>
      <c r="O139" s="141" t="str">
        <f t="shared" si="7"/>
        <v/>
      </c>
      <c r="P139" s="141" t="str">
        <f t="shared" si="8"/>
        <v/>
      </c>
      <c r="Q139" s="142" t="str">
        <f t="shared" si="9"/>
        <v/>
      </c>
      <c r="X139">
        <f>IF(posicao_contratual!$A139="",0,IF(AND(ISNUMBER(posicao_contratual!$Y139),posicao_contratual!$Y139&gt;0),0,IF(AND(ISNUMBER(posicao_contratual!$G139),ISNUMBER(posicao_contratual!$K139),ISNUMBER(historico_VU!$C139)),((posicao_contratual!$G139-N(posicao_contratual!$AB139))-(posicao_contratual!$K139-N(posicao_contratual!$AC139)))*historico_VU!$C139,"")))</f>
        <v>0</v>
      </c>
      <c r="Y139">
        <f>IF(OR(posicao_contratual!$A139="",$T$20=""),0,IF(AND(ISNUMBER(CHOOSE($T$20+1,historico_VU!$C139,historico_VU!$D139,historico_VU!$E139,historico_VU!$F139,historico_VU!$G139)),ISNUMBER(CHOOSE($T$20+1,posicao_contratual!$G139,posicao_contratual!$K139,posicao_contratual!$O139,posicao_contratual!$S139,posicao_contratual!$W139))),ROUND(ROUND(CHOOSE($T$20+1,historico_VU!$C139,historico_VU!$D139,historico_VU!$E139,historico_VU!$F139,historico_VU!$G139),2)*CHOOSE($T$20+1,posicao_contratual!$G139,posicao_contratual!$K139,posicao_contratual!$O139,posicao_contratual!$S139,posicao_contratual!$W139),2),""))</f>
        <v>0</v>
      </c>
      <c r="AB139">
        <f>IF(OR(posicao_contratual!$A139="",$W$46=""),0,IF(AND(ISNUMBER(CHOOSE($W$46+1,historico_VU!$C139,historico_VU!$D139,historico_VU!$E139,historico_VU!$F139,historico_VU!$G139)),ISNUMBER(CHOOSE($W$46+1,posicao_contratual!$G139,posicao_contratual!$K139,posicao_contratual!$O139,posicao_contratual!$S139,posicao_contratual!$W139))),ROUND(ROUND(CHOOSE($W$46+1,historico_VU!$C139,historico_VU!$D139,historico_VU!$E139,historico_VU!$F139,historico_VU!$G139),2)*CHOOSE($W$46+1,posicao_contratual!$G139,posicao_contratual!$K139,posicao_contratual!$O139,posicao_contratual!$S139,posicao_contratual!$W139),2),""))</f>
        <v>0</v>
      </c>
      <c r="AC139">
        <f>IF(OR(posicao_contratual!$A139="",$W$46=""),0,IF(OR($AB139="",$AD139=""),"",ROUND($AB139-$AD139,2)))</f>
        <v>0</v>
      </c>
      <c r="AD139">
        <f>IF(OR(posicao_contratual!$A139="",$W$46=""),0,IF($AB139="","",IF(NOT(ISNUMBER(CHOOSE($W$46+1,posicao_contratual!$AB139,posicao_contratual!$AC139,posicao_contratual!$AD139,posicao_contratual!$AE139,posicao_contratual!$AF139))),0,ROUND(ROUND(CHOOSE($W$46+1,historico_VU!$C139,historico_VU!$D139,historico_VU!$E139,historico_VU!$F139,historico_VU!$G139),2)*CHOOSE($W$46+1,posicao_contratual!$AB139,posicao_contratual!$AC139,posicao_contratual!$AD139,posicao_contratual!$AE139,posicao_contratual!$AF139),2))))</f>
        <v>0</v>
      </c>
    </row>
    <row r="140" spans="1:30" hidden="1" outlineLevel="1" x14ac:dyDescent="0.35">
      <c r="A140" s="137" t="str">
        <f>IF(historico_VU!A88="","",historico_VU!A88)</f>
        <v/>
      </c>
      <c r="B140" s="138" t="str">
        <f>IF(A140="","",historico_VU!B88)</f>
        <v/>
      </c>
      <c r="C140" s="139" t="str">
        <f>IF(A140="","",historico_VU!C88)</f>
        <v/>
      </c>
      <c r="D140" s="139" t="str">
        <f>IF(A140="","",historico_VU!D88)</f>
        <v/>
      </c>
      <c r="E140" s="139" t="str">
        <f>IF(A140="","",historico_VU!E88)</f>
        <v/>
      </c>
      <c r="F140" s="139" t="str">
        <f>IF(A140="","",historico_VU!F88)</f>
        <v/>
      </c>
      <c r="G140" s="139" t="str">
        <f>IF(A140="","",historico_VU!G88)</f>
        <v/>
      </c>
      <c r="H140" s="140" t="str">
        <f>IF(A140="","",historico_VU!H88)</f>
        <v/>
      </c>
      <c r="I140" s="57"/>
      <c r="J140" s="137" t="str">
        <f>IF(itens_Remanesc!A88="","",itens_Remanesc!A88)</f>
        <v/>
      </c>
      <c r="K140" s="138" t="str">
        <f>IF(J140="","",IF($F$4="C0",itens_Remanesc!B88,IF($F$4="C1",itens_Remanesc!E88,IF($F$4="C2",itens_Remanesc!G88,IF($F$4="C3",itens_Remanesc!I88,itens_Remanesc!K88)))))</f>
        <v/>
      </c>
      <c r="L140" s="138" t="str">
        <f>IF(J140="","",IF(SUMIF(itens_Consumidos!$A$2:$A$200,J140,itens_Consumidos!$B$2:$B$200)-SUMIF(itens_Consumidos!$A$2:$A$200,J140,itens_Consumidos!$O$2:$O$200)&lt;0,0,SUMIF(itens_Consumidos!$A$2:$A$200,J140,itens_Consumidos!$B$2:$B$200)-SUMIF(itens_Consumidos!$A$2:$A$200,J140,itens_Consumidos!$O$2:$O$200)))</f>
        <v/>
      </c>
      <c r="M140" s="141" t="str">
        <f>IF(J140="","",itens_Remanesc!C88)</f>
        <v/>
      </c>
      <c r="N140" s="141" t="str">
        <f>IF(J140="","",IF($F$4="C0",historico_VU!C88,IF($F$4="C1",historico_VU!D88,IF($F$4="C2",historico_VU!E88,IF($F$4="C3",historico_VU!F88,historico_VU!G88)))))</f>
        <v/>
      </c>
      <c r="O140" s="141" t="str">
        <f t="shared" si="7"/>
        <v/>
      </c>
      <c r="P140" s="141" t="str">
        <f t="shared" si="8"/>
        <v/>
      </c>
      <c r="Q140" s="142" t="str">
        <f t="shared" si="9"/>
        <v/>
      </c>
      <c r="X140">
        <f>IF(posicao_contratual!$A140="",0,IF(AND(ISNUMBER(posicao_contratual!$Y140),posicao_contratual!$Y140&gt;0),0,IF(AND(ISNUMBER(posicao_contratual!$G140),ISNUMBER(posicao_contratual!$K140),ISNUMBER(historico_VU!$C140)),((posicao_contratual!$G140-N(posicao_contratual!$AB140))-(posicao_contratual!$K140-N(posicao_contratual!$AC140)))*historico_VU!$C140,"")))</f>
        <v>0</v>
      </c>
      <c r="Y140">
        <f>IF(OR(posicao_contratual!$A140="",$T$20=""),0,IF(AND(ISNUMBER(CHOOSE($T$20+1,historico_VU!$C140,historico_VU!$D140,historico_VU!$E140,historico_VU!$F140,historico_VU!$G140)),ISNUMBER(CHOOSE($T$20+1,posicao_contratual!$G140,posicao_contratual!$K140,posicao_contratual!$O140,posicao_contratual!$S140,posicao_contratual!$W140))),ROUND(ROUND(CHOOSE($T$20+1,historico_VU!$C140,historico_VU!$D140,historico_VU!$E140,historico_VU!$F140,historico_VU!$G140),2)*CHOOSE($T$20+1,posicao_contratual!$G140,posicao_contratual!$K140,posicao_contratual!$O140,posicao_contratual!$S140,posicao_contratual!$W140),2),""))</f>
        <v>0</v>
      </c>
      <c r="AB140">
        <f>IF(OR(posicao_contratual!$A140="",$W$46=""),0,IF(AND(ISNUMBER(CHOOSE($W$46+1,historico_VU!$C140,historico_VU!$D140,historico_VU!$E140,historico_VU!$F140,historico_VU!$G140)),ISNUMBER(CHOOSE($W$46+1,posicao_contratual!$G140,posicao_contratual!$K140,posicao_contratual!$O140,posicao_contratual!$S140,posicao_contratual!$W140))),ROUND(ROUND(CHOOSE($W$46+1,historico_VU!$C140,historico_VU!$D140,historico_VU!$E140,historico_VU!$F140,historico_VU!$G140),2)*CHOOSE($W$46+1,posicao_contratual!$G140,posicao_contratual!$K140,posicao_contratual!$O140,posicao_contratual!$S140,posicao_contratual!$W140),2),""))</f>
        <v>0</v>
      </c>
      <c r="AC140">
        <f>IF(OR(posicao_contratual!$A140="",$W$46=""),0,IF(OR($AB140="",$AD140=""),"",ROUND($AB140-$AD140,2)))</f>
        <v>0</v>
      </c>
      <c r="AD140">
        <f>IF(OR(posicao_contratual!$A140="",$W$46=""),0,IF($AB140="","",IF(NOT(ISNUMBER(CHOOSE($W$46+1,posicao_contratual!$AB140,posicao_contratual!$AC140,posicao_contratual!$AD140,posicao_contratual!$AE140,posicao_contratual!$AF140))),0,ROUND(ROUND(CHOOSE($W$46+1,historico_VU!$C140,historico_VU!$D140,historico_VU!$E140,historico_VU!$F140,historico_VU!$G140),2)*CHOOSE($W$46+1,posicao_contratual!$AB140,posicao_contratual!$AC140,posicao_contratual!$AD140,posicao_contratual!$AE140,posicao_contratual!$AF140),2))))</f>
        <v>0</v>
      </c>
    </row>
    <row r="141" spans="1:30" hidden="1" outlineLevel="1" x14ac:dyDescent="0.35">
      <c r="A141" s="137" t="str">
        <f>IF(historico_VU!A89="","",historico_VU!A89)</f>
        <v/>
      </c>
      <c r="B141" s="138" t="str">
        <f>IF(A141="","",historico_VU!B89)</f>
        <v/>
      </c>
      <c r="C141" s="139" t="str">
        <f>IF(A141="","",historico_VU!C89)</f>
        <v/>
      </c>
      <c r="D141" s="139" t="str">
        <f>IF(A141="","",historico_VU!D89)</f>
        <v/>
      </c>
      <c r="E141" s="139" t="str">
        <f>IF(A141="","",historico_VU!E89)</f>
        <v/>
      </c>
      <c r="F141" s="139" t="str">
        <f>IF(A141="","",historico_VU!F89)</f>
        <v/>
      </c>
      <c r="G141" s="139" t="str">
        <f>IF(A141="","",historico_VU!G89)</f>
        <v/>
      </c>
      <c r="H141" s="140" t="str">
        <f>IF(A141="","",historico_VU!H89)</f>
        <v/>
      </c>
      <c r="I141" s="57"/>
      <c r="J141" s="137" t="str">
        <f>IF(itens_Remanesc!A89="","",itens_Remanesc!A89)</f>
        <v/>
      </c>
      <c r="K141" s="138" t="str">
        <f>IF(J141="","",IF($F$4="C0",itens_Remanesc!B89,IF($F$4="C1",itens_Remanesc!E89,IF($F$4="C2",itens_Remanesc!G89,IF($F$4="C3",itens_Remanesc!I89,itens_Remanesc!K89)))))</f>
        <v/>
      </c>
      <c r="L141" s="138" t="str">
        <f>IF(J141="","",IF(SUMIF(itens_Consumidos!$A$2:$A$200,J141,itens_Consumidos!$B$2:$B$200)-SUMIF(itens_Consumidos!$A$2:$A$200,J141,itens_Consumidos!$O$2:$O$200)&lt;0,0,SUMIF(itens_Consumidos!$A$2:$A$200,J141,itens_Consumidos!$B$2:$B$200)-SUMIF(itens_Consumidos!$A$2:$A$200,J141,itens_Consumidos!$O$2:$O$200)))</f>
        <v/>
      </c>
      <c r="M141" s="141" t="str">
        <f>IF(J141="","",itens_Remanesc!C89)</f>
        <v/>
      </c>
      <c r="N141" s="141" t="str">
        <f>IF(J141="","",IF($F$4="C0",historico_VU!C89,IF($F$4="C1",historico_VU!D89,IF($F$4="C2",historico_VU!E89,IF($F$4="C3",historico_VU!F89,historico_VU!G89)))))</f>
        <v/>
      </c>
      <c r="O141" s="141" t="str">
        <f t="shared" si="7"/>
        <v/>
      </c>
      <c r="P141" s="141" t="str">
        <f t="shared" si="8"/>
        <v/>
      </c>
      <c r="Q141" s="142" t="str">
        <f t="shared" si="9"/>
        <v/>
      </c>
      <c r="X141">
        <f>IF(posicao_contratual!$A141="",0,IF(AND(ISNUMBER(posicao_contratual!$Y141),posicao_contratual!$Y141&gt;0),0,IF(AND(ISNUMBER(posicao_contratual!$G141),ISNUMBER(posicao_contratual!$K141),ISNUMBER(historico_VU!$C141)),((posicao_contratual!$G141-N(posicao_contratual!$AB141))-(posicao_contratual!$K141-N(posicao_contratual!$AC141)))*historico_VU!$C141,"")))</f>
        <v>0</v>
      </c>
      <c r="Y141">
        <f>IF(OR(posicao_contratual!$A141="",$T$20=""),0,IF(AND(ISNUMBER(CHOOSE($T$20+1,historico_VU!$C141,historico_VU!$D141,historico_VU!$E141,historico_VU!$F141,historico_VU!$G141)),ISNUMBER(CHOOSE($T$20+1,posicao_contratual!$G141,posicao_contratual!$K141,posicao_contratual!$O141,posicao_contratual!$S141,posicao_contratual!$W141))),ROUND(ROUND(CHOOSE($T$20+1,historico_VU!$C141,historico_VU!$D141,historico_VU!$E141,historico_VU!$F141,historico_VU!$G141),2)*CHOOSE($T$20+1,posicao_contratual!$G141,posicao_contratual!$K141,posicao_contratual!$O141,posicao_contratual!$S141,posicao_contratual!$W141),2),""))</f>
        <v>0</v>
      </c>
      <c r="AB141">
        <f>IF(OR(posicao_contratual!$A141="",$W$46=""),0,IF(AND(ISNUMBER(CHOOSE($W$46+1,historico_VU!$C141,historico_VU!$D141,historico_VU!$E141,historico_VU!$F141,historico_VU!$G141)),ISNUMBER(CHOOSE($W$46+1,posicao_contratual!$G141,posicao_contratual!$K141,posicao_contratual!$O141,posicao_contratual!$S141,posicao_contratual!$W141))),ROUND(ROUND(CHOOSE($W$46+1,historico_VU!$C141,historico_VU!$D141,historico_VU!$E141,historico_VU!$F141,historico_VU!$G141),2)*CHOOSE($W$46+1,posicao_contratual!$G141,posicao_contratual!$K141,posicao_contratual!$O141,posicao_contratual!$S141,posicao_contratual!$W141),2),""))</f>
        <v>0</v>
      </c>
      <c r="AC141">
        <f>IF(OR(posicao_contratual!$A141="",$W$46=""),0,IF(OR($AB141="",$AD141=""),"",ROUND($AB141-$AD141,2)))</f>
        <v>0</v>
      </c>
      <c r="AD141">
        <f>IF(OR(posicao_contratual!$A141="",$W$46=""),0,IF($AB141="","",IF(NOT(ISNUMBER(CHOOSE($W$46+1,posicao_contratual!$AB141,posicao_contratual!$AC141,posicao_contratual!$AD141,posicao_contratual!$AE141,posicao_contratual!$AF141))),0,ROUND(ROUND(CHOOSE($W$46+1,historico_VU!$C141,historico_VU!$D141,historico_VU!$E141,historico_VU!$F141,historico_VU!$G141),2)*CHOOSE($W$46+1,posicao_contratual!$AB141,posicao_contratual!$AC141,posicao_contratual!$AD141,posicao_contratual!$AE141,posicao_contratual!$AF141),2))))</f>
        <v>0</v>
      </c>
    </row>
    <row r="142" spans="1:30" hidden="1" outlineLevel="1" x14ac:dyDescent="0.35">
      <c r="A142" s="137" t="str">
        <f>IF(historico_VU!A90="","",historico_VU!A90)</f>
        <v/>
      </c>
      <c r="B142" s="138" t="str">
        <f>IF(A142="","",historico_VU!B90)</f>
        <v/>
      </c>
      <c r="C142" s="139" t="str">
        <f>IF(A142="","",historico_VU!C90)</f>
        <v/>
      </c>
      <c r="D142" s="139" t="str">
        <f>IF(A142="","",historico_VU!D90)</f>
        <v/>
      </c>
      <c r="E142" s="139" t="str">
        <f>IF(A142="","",historico_VU!E90)</f>
        <v/>
      </c>
      <c r="F142" s="139" t="str">
        <f>IF(A142="","",historico_VU!F90)</f>
        <v/>
      </c>
      <c r="G142" s="139" t="str">
        <f>IF(A142="","",historico_VU!G90)</f>
        <v/>
      </c>
      <c r="H142" s="140" t="str">
        <f>IF(A142="","",historico_VU!H90)</f>
        <v/>
      </c>
      <c r="I142" s="57"/>
      <c r="J142" s="137" t="str">
        <f>IF(itens_Remanesc!A90="","",itens_Remanesc!A90)</f>
        <v/>
      </c>
      <c r="K142" s="138" t="str">
        <f>IF(J142="","",IF($F$4="C0",itens_Remanesc!B90,IF($F$4="C1",itens_Remanesc!E90,IF($F$4="C2",itens_Remanesc!G90,IF($F$4="C3",itens_Remanesc!I90,itens_Remanesc!K90)))))</f>
        <v/>
      </c>
      <c r="L142" s="138" t="str">
        <f>IF(J142="","",IF(SUMIF(itens_Consumidos!$A$2:$A$200,J142,itens_Consumidos!$B$2:$B$200)-SUMIF(itens_Consumidos!$A$2:$A$200,J142,itens_Consumidos!$O$2:$O$200)&lt;0,0,SUMIF(itens_Consumidos!$A$2:$A$200,J142,itens_Consumidos!$B$2:$B$200)-SUMIF(itens_Consumidos!$A$2:$A$200,J142,itens_Consumidos!$O$2:$O$200)))</f>
        <v/>
      </c>
      <c r="M142" s="141" t="str">
        <f>IF(J142="","",itens_Remanesc!C90)</f>
        <v/>
      </c>
      <c r="N142" s="141" t="str">
        <f>IF(J142="","",IF($F$4="C0",historico_VU!C90,IF($F$4="C1",historico_VU!D90,IF($F$4="C2",historico_VU!E90,IF($F$4="C3",historico_VU!F90,historico_VU!G90)))))</f>
        <v/>
      </c>
      <c r="O142" s="141" t="str">
        <f t="shared" si="7"/>
        <v/>
      </c>
      <c r="P142" s="141" t="str">
        <f t="shared" si="8"/>
        <v/>
      </c>
      <c r="Q142" s="142" t="str">
        <f t="shared" si="9"/>
        <v/>
      </c>
      <c r="X142">
        <f>IF(posicao_contratual!$A142="",0,IF(AND(ISNUMBER(posicao_contratual!$Y142),posicao_contratual!$Y142&gt;0),0,IF(AND(ISNUMBER(posicao_contratual!$G142),ISNUMBER(posicao_contratual!$K142),ISNUMBER(historico_VU!$C142)),((posicao_contratual!$G142-N(posicao_contratual!$AB142))-(posicao_contratual!$K142-N(posicao_contratual!$AC142)))*historico_VU!$C142,"")))</f>
        <v>0</v>
      </c>
      <c r="Y142">
        <f>IF(OR(posicao_contratual!$A142="",$T$20=""),0,IF(AND(ISNUMBER(CHOOSE($T$20+1,historico_VU!$C142,historico_VU!$D142,historico_VU!$E142,historico_VU!$F142,historico_VU!$G142)),ISNUMBER(CHOOSE($T$20+1,posicao_contratual!$G142,posicao_contratual!$K142,posicao_contratual!$O142,posicao_contratual!$S142,posicao_contratual!$W142))),ROUND(ROUND(CHOOSE($T$20+1,historico_VU!$C142,historico_VU!$D142,historico_VU!$E142,historico_VU!$F142,historico_VU!$G142),2)*CHOOSE($T$20+1,posicao_contratual!$G142,posicao_contratual!$K142,posicao_contratual!$O142,posicao_contratual!$S142,posicao_contratual!$W142),2),""))</f>
        <v>0</v>
      </c>
      <c r="AB142">
        <f>IF(OR(posicao_contratual!$A142="",$W$46=""),0,IF(AND(ISNUMBER(CHOOSE($W$46+1,historico_VU!$C142,historico_VU!$D142,historico_VU!$E142,historico_VU!$F142,historico_VU!$G142)),ISNUMBER(CHOOSE($W$46+1,posicao_contratual!$G142,posicao_contratual!$K142,posicao_contratual!$O142,posicao_contratual!$S142,posicao_contratual!$W142))),ROUND(ROUND(CHOOSE($W$46+1,historico_VU!$C142,historico_VU!$D142,historico_VU!$E142,historico_VU!$F142,historico_VU!$G142),2)*CHOOSE($W$46+1,posicao_contratual!$G142,posicao_contratual!$K142,posicao_contratual!$O142,posicao_contratual!$S142,posicao_contratual!$W142),2),""))</f>
        <v>0</v>
      </c>
      <c r="AC142">
        <f>IF(OR(posicao_contratual!$A142="",$W$46=""),0,IF(OR($AB142="",$AD142=""),"",ROUND($AB142-$AD142,2)))</f>
        <v>0</v>
      </c>
      <c r="AD142">
        <f>IF(OR(posicao_contratual!$A142="",$W$46=""),0,IF($AB142="","",IF(NOT(ISNUMBER(CHOOSE($W$46+1,posicao_contratual!$AB142,posicao_contratual!$AC142,posicao_contratual!$AD142,posicao_contratual!$AE142,posicao_contratual!$AF142))),0,ROUND(ROUND(CHOOSE($W$46+1,historico_VU!$C142,historico_VU!$D142,historico_VU!$E142,historico_VU!$F142,historico_VU!$G142),2)*CHOOSE($W$46+1,posicao_contratual!$AB142,posicao_contratual!$AC142,posicao_contratual!$AD142,posicao_contratual!$AE142,posicao_contratual!$AF142),2))))</f>
        <v>0</v>
      </c>
    </row>
    <row r="143" spans="1:30" hidden="1" outlineLevel="1" x14ac:dyDescent="0.35">
      <c r="A143" s="137" t="str">
        <f>IF(historico_VU!A91="","",historico_VU!A91)</f>
        <v/>
      </c>
      <c r="B143" s="138" t="str">
        <f>IF(A143="","",historico_VU!B91)</f>
        <v/>
      </c>
      <c r="C143" s="139" t="str">
        <f>IF(A143="","",historico_VU!C91)</f>
        <v/>
      </c>
      <c r="D143" s="139" t="str">
        <f>IF(A143="","",historico_VU!D91)</f>
        <v/>
      </c>
      <c r="E143" s="139" t="str">
        <f>IF(A143="","",historico_VU!E91)</f>
        <v/>
      </c>
      <c r="F143" s="139" t="str">
        <f>IF(A143="","",historico_VU!F91)</f>
        <v/>
      </c>
      <c r="G143" s="139" t="str">
        <f>IF(A143="","",historico_VU!G91)</f>
        <v/>
      </c>
      <c r="H143" s="140" t="str">
        <f>IF(A143="","",historico_VU!H91)</f>
        <v/>
      </c>
      <c r="I143" s="57"/>
      <c r="J143" s="137" t="str">
        <f>IF(itens_Remanesc!A91="","",itens_Remanesc!A91)</f>
        <v/>
      </c>
      <c r="K143" s="138" t="str">
        <f>IF(J143="","",IF($F$4="C0",itens_Remanesc!B91,IF($F$4="C1",itens_Remanesc!E91,IF($F$4="C2",itens_Remanesc!G91,IF($F$4="C3",itens_Remanesc!I91,itens_Remanesc!K91)))))</f>
        <v/>
      </c>
      <c r="L143" s="138" t="str">
        <f>IF(J143="","",IF(SUMIF(itens_Consumidos!$A$2:$A$200,J143,itens_Consumidos!$B$2:$B$200)-SUMIF(itens_Consumidos!$A$2:$A$200,J143,itens_Consumidos!$O$2:$O$200)&lt;0,0,SUMIF(itens_Consumidos!$A$2:$A$200,J143,itens_Consumidos!$B$2:$B$200)-SUMIF(itens_Consumidos!$A$2:$A$200,J143,itens_Consumidos!$O$2:$O$200)))</f>
        <v/>
      </c>
      <c r="M143" s="141" t="str">
        <f>IF(J143="","",itens_Remanesc!C91)</f>
        <v/>
      </c>
      <c r="N143" s="141" t="str">
        <f>IF(J143="","",IF($F$4="C0",historico_VU!C91,IF($F$4="C1",historico_VU!D91,IF($F$4="C2",historico_VU!E91,IF($F$4="C3",historico_VU!F91,historico_VU!G91)))))</f>
        <v/>
      </c>
      <c r="O143" s="141" t="str">
        <f t="shared" si="7"/>
        <v/>
      </c>
      <c r="P143" s="141" t="str">
        <f t="shared" si="8"/>
        <v/>
      </c>
      <c r="Q143" s="142" t="str">
        <f t="shared" si="9"/>
        <v/>
      </c>
      <c r="X143">
        <f>IF(posicao_contratual!$A143="",0,IF(AND(ISNUMBER(posicao_contratual!$Y143),posicao_contratual!$Y143&gt;0),0,IF(AND(ISNUMBER(posicao_contratual!$G143),ISNUMBER(posicao_contratual!$K143),ISNUMBER(historico_VU!$C143)),((posicao_contratual!$G143-N(posicao_contratual!$AB143))-(posicao_contratual!$K143-N(posicao_contratual!$AC143)))*historico_VU!$C143,"")))</f>
        <v>0</v>
      </c>
      <c r="Y143">
        <f>IF(OR(posicao_contratual!$A143="",$T$20=""),0,IF(AND(ISNUMBER(CHOOSE($T$20+1,historico_VU!$C143,historico_VU!$D143,historico_VU!$E143,historico_VU!$F143,historico_VU!$G143)),ISNUMBER(CHOOSE($T$20+1,posicao_contratual!$G143,posicao_contratual!$K143,posicao_contratual!$O143,posicao_contratual!$S143,posicao_contratual!$W143))),ROUND(ROUND(CHOOSE($T$20+1,historico_VU!$C143,historico_VU!$D143,historico_VU!$E143,historico_VU!$F143,historico_VU!$G143),2)*CHOOSE($T$20+1,posicao_contratual!$G143,posicao_contratual!$K143,posicao_contratual!$O143,posicao_contratual!$S143,posicao_contratual!$W143),2),""))</f>
        <v>0</v>
      </c>
      <c r="AB143">
        <f>IF(OR(posicao_contratual!$A143="",$W$46=""),0,IF(AND(ISNUMBER(CHOOSE($W$46+1,historico_VU!$C143,historico_VU!$D143,historico_VU!$E143,historico_VU!$F143,historico_VU!$G143)),ISNUMBER(CHOOSE($W$46+1,posicao_contratual!$G143,posicao_contratual!$K143,posicao_contratual!$O143,posicao_contratual!$S143,posicao_contratual!$W143))),ROUND(ROUND(CHOOSE($W$46+1,historico_VU!$C143,historico_VU!$D143,historico_VU!$E143,historico_VU!$F143,historico_VU!$G143),2)*CHOOSE($W$46+1,posicao_contratual!$G143,posicao_contratual!$K143,posicao_contratual!$O143,posicao_contratual!$S143,posicao_contratual!$W143),2),""))</f>
        <v>0</v>
      </c>
      <c r="AC143">
        <f>IF(OR(posicao_contratual!$A143="",$W$46=""),0,IF(OR($AB143="",$AD143=""),"",ROUND($AB143-$AD143,2)))</f>
        <v>0</v>
      </c>
      <c r="AD143">
        <f>IF(OR(posicao_contratual!$A143="",$W$46=""),0,IF($AB143="","",IF(NOT(ISNUMBER(CHOOSE($W$46+1,posicao_contratual!$AB143,posicao_contratual!$AC143,posicao_contratual!$AD143,posicao_contratual!$AE143,posicao_contratual!$AF143))),0,ROUND(ROUND(CHOOSE($W$46+1,historico_VU!$C143,historico_VU!$D143,historico_VU!$E143,historico_VU!$F143,historico_VU!$G143),2)*CHOOSE($W$46+1,posicao_contratual!$AB143,posicao_contratual!$AC143,posicao_contratual!$AD143,posicao_contratual!$AE143,posicao_contratual!$AF143),2))))</f>
        <v>0</v>
      </c>
    </row>
    <row r="144" spans="1:30" hidden="1" outlineLevel="1" x14ac:dyDescent="0.35">
      <c r="A144" s="137" t="str">
        <f>IF(historico_VU!A92="","",historico_VU!A92)</f>
        <v/>
      </c>
      <c r="B144" s="138" t="str">
        <f>IF(A144="","",historico_VU!B92)</f>
        <v/>
      </c>
      <c r="C144" s="139" t="str">
        <f>IF(A144="","",historico_VU!C92)</f>
        <v/>
      </c>
      <c r="D144" s="139" t="str">
        <f>IF(A144="","",historico_VU!D92)</f>
        <v/>
      </c>
      <c r="E144" s="139" t="str">
        <f>IF(A144="","",historico_VU!E92)</f>
        <v/>
      </c>
      <c r="F144" s="139" t="str">
        <f>IF(A144="","",historico_VU!F92)</f>
        <v/>
      </c>
      <c r="G144" s="139" t="str">
        <f>IF(A144="","",historico_VU!G92)</f>
        <v/>
      </c>
      <c r="H144" s="140" t="str">
        <f>IF(A144="","",historico_VU!H92)</f>
        <v/>
      </c>
      <c r="I144" s="57"/>
      <c r="J144" s="137" t="str">
        <f>IF(itens_Remanesc!A92="","",itens_Remanesc!A92)</f>
        <v/>
      </c>
      <c r="K144" s="138" t="str">
        <f>IF(J144="","",IF($F$4="C0",itens_Remanesc!B92,IF($F$4="C1",itens_Remanesc!E92,IF($F$4="C2",itens_Remanesc!G92,IF($F$4="C3",itens_Remanesc!I92,itens_Remanesc!K92)))))</f>
        <v/>
      </c>
      <c r="L144" s="138" t="str">
        <f>IF(J144="","",IF(SUMIF(itens_Consumidos!$A$2:$A$200,J144,itens_Consumidos!$B$2:$B$200)-SUMIF(itens_Consumidos!$A$2:$A$200,J144,itens_Consumidos!$O$2:$O$200)&lt;0,0,SUMIF(itens_Consumidos!$A$2:$A$200,J144,itens_Consumidos!$B$2:$B$200)-SUMIF(itens_Consumidos!$A$2:$A$200,J144,itens_Consumidos!$O$2:$O$200)))</f>
        <v/>
      </c>
      <c r="M144" s="141" t="str">
        <f>IF(J144="","",itens_Remanesc!C92)</f>
        <v/>
      </c>
      <c r="N144" s="141" t="str">
        <f>IF(J144="","",IF($F$4="C0",historico_VU!C92,IF($F$4="C1",historico_VU!D92,IF($F$4="C2",historico_VU!E92,IF($F$4="C3",historico_VU!F92,historico_VU!G92)))))</f>
        <v/>
      </c>
      <c r="O144" s="141" t="str">
        <f t="shared" si="7"/>
        <v/>
      </c>
      <c r="P144" s="141" t="str">
        <f t="shared" si="8"/>
        <v/>
      </c>
      <c r="Q144" s="142" t="str">
        <f t="shared" si="9"/>
        <v/>
      </c>
      <c r="X144">
        <f>IF(posicao_contratual!$A144="",0,IF(AND(ISNUMBER(posicao_contratual!$Y144),posicao_contratual!$Y144&gt;0),0,IF(AND(ISNUMBER(posicao_contratual!$G144),ISNUMBER(posicao_contratual!$K144),ISNUMBER(historico_VU!$C144)),((posicao_contratual!$G144-N(posicao_contratual!$AB144))-(posicao_contratual!$K144-N(posicao_contratual!$AC144)))*historico_VU!$C144,"")))</f>
        <v>0</v>
      </c>
      <c r="Y144">
        <f>IF(OR(posicao_contratual!$A144="",$T$20=""),0,IF(AND(ISNUMBER(CHOOSE($T$20+1,historico_VU!$C144,historico_VU!$D144,historico_VU!$E144,historico_VU!$F144,historico_VU!$G144)),ISNUMBER(CHOOSE($T$20+1,posicao_contratual!$G144,posicao_contratual!$K144,posicao_contratual!$O144,posicao_contratual!$S144,posicao_contratual!$W144))),ROUND(ROUND(CHOOSE($T$20+1,historico_VU!$C144,historico_VU!$D144,historico_VU!$E144,historico_VU!$F144,historico_VU!$G144),2)*CHOOSE($T$20+1,posicao_contratual!$G144,posicao_contratual!$K144,posicao_contratual!$O144,posicao_contratual!$S144,posicao_contratual!$W144),2),""))</f>
        <v>0</v>
      </c>
      <c r="AB144">
        <f>IF(OR(posicao_contratual!$A144="",$W$46=""),0,IF(AND(ISNUMBER(CHOOSE($W$46+1,historico_VU!$C144,historico_VU!$D144,historico_VU!$E144,historico_VU!$F144,historico_VU!$G144)),ISNUMBER(CHOOSE($W$46+1,posicao_contratual!$G144,posicao_contratual!$K144,posicao_contratual!$O144,posicao_contratual!$S144,posicao_contratual!$W144))),ROUND(ROUND(CHOOSE($W$46+1,historico_VU!$C144,historico_VU!$D144,historico_VU!$E144,historico_VU!$F144,historico_VU!$G144),2)*CHOOSE($W$46+1,posicao_contratual!$G144,posicao_contratual!$K144,posicao_contratual!$O144,posicao_contratual!$S144,posicao_contratual!$W144),2),""))</f>
        <v>0</v>
      </c>
      <c r="AC144">
        <f>IF(OR(posicao_contratual!$A144="",$W$46=""),0,IF(OR($AB144="",$AD144=""),"",ROUND($AB144-$AD144,2)))</f>
        <v>0</v>
      </c>
      <c r="AD144">
        <f>IF(OR(posicao_contratual!$A144="",$W$46=""),0,IF($AB144="","",IF(NOT(ISNUMBER(CHOOSE($W$46+1,posicao_contratual!$AB144,posicao_contratual!$AC144,posicao_contratual!$AD144,posicao_contratual!$AE144,posicao_contratual!$AF144))),0,ROUND(ROUND(CHOOSE($W$46+1,historico_VU!$C144,historico_VU!$D144,historico_VU!$E144,historico_VU!$F144,historico_VU!$G144),2)*CHOOSE($W$46+1,posicao_contratual!$AB144,posicao_contratual!$AC144,posicao_contratual!$AD144,posicao_contratual!$AE144,posicao_contratual!$AF144),2))))</f>
        <v>0</v>
      </c>
    </row>
    <row r="145" spans="1:30" hidden="1" outlineLevel="1" x14ac:dyDescent="0.35">
      <c r="A145" s="137" t="str">
        <f>IF(historico_VU!A93="","",historico_VU!A93)</f>
        <v/>
      </c>
      <c r="B145" s="138" t="str">
        <f>IF(A145="","",historico_VU!B93)</f>
        <v/>
      </c>
      <c r="C145" s="139" t="str">
        <f>IF(A145="","",historico_VU!C93)</f>
        <v/>
      </c>
      <c r="D145" s="139" t="str">
        <f>IF(A145="","",historico_VU!D93)</f>
        <v/>
      </c>
      <c r="E145" s="139" t="str">
        <f>IF(A145="","",historico_VU!E93)</f>
        <v/>
      </c>
      <c r="F145" s="139" t="str">
        <f>IF(A145="","",historico_VU!F93)</f>
        <v/>
      </c>
      <c r="G145" s="139" t="str">
        <f>IF(A145="","",historico_VU!G93)</f>
        <v/>
      </c>
      <c r="H145" s="140" t="str">
        <f>IF(A145="","",historico_VU!H93)</f>
        <v/>
      </c>
      <c r="I145" s="57"/>
      <c r="J145" s="137" t="str">
        <f>IF(itens_Remanesc!A93="","",itens_Remanesc!A93)</f>
        <v/>
      </c>
      <c r="K145" s="138" t="str">
        <f>IF(J145="","",IF($F$4="C0",itens_Remanesc!B93,IF($F$4="C1",itens_Remanesc!E93,IF($F$4="C2",itens_Remanesc!G93,IF($F$4="C3",itens_Remanesc!I93,itens_Remanesc!K93)))))</f>
        <v/>
      </c>
      <c r="L145" s="138" t="str">
        <f>IF(J145="","",IF(SUMIF(itens_Consumidos!$A$2:$A$200,J145,itens_Consumidos!$B$2:$B$200)-SUMIF(itens_Consumidos!$A$2:$A$200,J145,itens_Consumidos!$O$2:$O$200)&lt;0,0,SUMIF(itens_Consumidos!$A$2:$A$200,J145,itens_Consumidos!$B$2:$B$200)-SUMIF(itens_Consumidos!$A$2:$A$200,J145,itens_Consumidos!$O$2:$O$200)))</f>
        <v/>
      </c>
      <c r="M145" s="141" t="str">
        <f>IF(J145="","",itens_Remanesc!C93)</f>
        <v/>
      </c>
      <c r="N145" s="141" t="str">
        <f>IF(J145="","",IF($F$4="C0",historico_VU!C93,IF($F$4="C1",historico_VU!D93,IF($F$4="C2",historico_VU!E93,IF($F$4="C3",historico_VU!F93,historico_VU!G93)))))</f>
        <v/>
      </c>
      <c r="O145" s="141" t="str">
        <f t="shared" si="7"/>
        <v/>
      </c>
      <c r="P145" s="141" t="str">
        <f t="shared" si="8"/>
        <v/>
      </c>
      <c r="Q145" s="142" t="str">
        <f t="shared" si="9"/>
        <v/>
      </c>
      <c r="X145">
        <f>IF(posicao_contratual!$A145="",0,IF(AND(ISNUMBER(posicao_contratual!$Y145),posicao_contratual!$Y145&gt;0),0,IF(AND(ISNUMBER(posicao_contratual!$G145),ISNUMBER(posicao_contratual!$K145),ISNUMBER(historico_VU!$C145)),((posicao_contratual!$G145-N(posicao_contratual!$AB145))-(posicao_contratual!$K145-N(posicao_contratual!$AC145)))*historico_VU!$C145,"")))</f>
        <v>0</v>
      </c>
      <c r="Y145">
        <f>IF(OR(posicao_contratual!$A145="",$T$20=""),0,IF(AND(ISNUMBER(CHOOSE($T$20+1,historico_VU!$C145,historico_VU!$D145,historico_VU!$E145,historico_VU!$F145,historico_VU!$G145)),ISNUMBER(CHOOSE($T$20+1,posicao_contratual!$G145,posicao_contratual!$K145,posicao_contratual!$O145,posicao_contratual!$S145,posicao_contratual!$W145))),ROUND(ROUND(CHOOSE($T$20+1,historico_VU!$C145,historico_VU!$D145,historico_VU!$E145,historico_VU!$F145,historico_VU!$G145),2)*CHOOSE($T$20+1,posicao_contratual!$G145,posicao_contratual!$K145,posicao_contratual!$O145,posicao_contratual!$S145,posicao_contratual!$W145),2),""))</f>
        <v>0</v>
      </c>
      <c r="AB145">
        <f>IF(OR(posicao_contratual!$A145="",$W$46=""),0,IF(AND(ISNUMBER(CHOOSE($W$46+1,historico_VU!$C145,historico_VU!$D145,historico_VU!$E145,historico_VU!$F145,historico_VU!$G145)),ISNUMBER(CHOOSE($W$46+1,posicao_contratual!$G145,posicao_contratual!$K145,posicao_contratual!$O145,posicao_contratual!$S145,posicao_contratual!$W145))),ROUND(ROUND(CHOOSE($W$46+1,historico_VU!$C145,historico_VU!$D145,historico_VU!$E145,historico_VU!$F145,historico_VU!$G145),2)*CHOOSE($W$46+1,posicao_contratual!$G145,posicao_contratual!$K145,posicao_contratual!$O145,posicao_contratual!$S145,posicao_contratual!$W145),2),""))</f>
        <v>0</v>
      </c>
      <c r="AC145">
        <f>IF(OR(posicao_contratual!$A145="",$W$46=""),0,IF(OR($AB145="",$AD145=""),"",ROUND($AB145-$AD145,2)))</f>
        <v>0</v>
      </c>
      <c r="AD145">
        <f>IF(OR(posicao_contratual!$A145="",$W$46=""),0,IF($AB145="","",IF(NOT(ISNUMBER(CHOOSE($W$46+1,posicao_contratual!$AB145,posicao_contratual!$AC145,posicao_contratual!$AD145,posicao_contratual!$AE145,posicao_contratual!$AF145))),0,ROUND(ROUND(CHOOSE($W$46+1,historico_VU!$C145,historico_VU!$D145,historico_VU!$E145,historico_VU!$F145,historico_VU!$G145),2)*CHOOSE($W$46+1,posicao_contratual!$AB145,posicao_contratual!$AC145,posicao_contratual!$AD145,posicao_contratual!$AE145,posicao_contratual!$AF145),2))))</f>
        <v>0</v>
      </c>
    </row>
    <row r="146" spans="1:30" hidden="1" outlineLevel="1" x14ac:dyDescent="0.35">
      <c r="A146" s="137" t="str">
        <f>IF(historico_VU!A94="","",historico_VU!A94)</f>
        <v/>
      </c>
      <c r="B146" s="138" t="str">
        <f>IF(A146="","",historico_VU!B94)</f>
        <v/>
      </c>
      <c r="C146" s="139" t="str">
        <f>IF(A146="","",historico_VU!C94)</f>
        <v/>
      </c>
      <c r="D146" s="139" t="str">
        <f>IF(A146="","",historico_VU!D94)</f>
        <v/>
      </c>
      <c r="E146" s="139" t="str">
        <f>IF(A146="","",historico_VU!E94)</f>
        <v/>
      </c>
      <c r="F146" s="139" t="str">
        <f>IF(A146="","",historico_VU!F94)</f>
        <v/>
      </c>
      <c r="G146" s="139" t="str">
        <f>IF(A146="","",historico_VU!G94)</f>
        <v/>
      </c>
      <c r="H146" s="140" t="str">
        <f>IF(A146="","",historico_VU!H94)</f>
        <v/>
      </c>
      <c r="I146" s="57"/>
      <c r="J146" s="137" t="str">
        <f>IF(itens_Remanesc!A94="","",itens_Remanesc!A94)</f>
        <v/>
      </c>
      <c r="K146" s="138" t="str">
        <f>IF(J146="","",IF($F$4="C0",itens_Remanesc!B94,IF($F$4="C1",itens_Remanesc!E94,IF($F$4="C2",itens_Remanesc!G94,IF($F$4="C3",itens_Remanesc!I94,itens_Remanesc!K94)))))</f>
        <v/>
      </c>
      <c r="L146" s="138" t="str">
        <f>IF(J146="","",IF(SUMIF(itens_Consumidos!$A$2:$A$200,J146,itens_Consumidos!$B$2:$B$200)-SUMIF(itens_Consumidos!$A$2:$A$200,J146,itens_Consumidos!$O$2:$O$200)&lt;0,0,SUMIF(itens_Consumidos!$A$2:$A$200,J146,itens_Consumidos!$B$2:$B$200)-SUMIF(itens_Consumidos!$A$2:$A$200,J146,itens_Consumidos!$O$2:$O$200)))</f>
        <v/>
      </c>
      <c r="M146" s="141" t="str">
        <f>IF(J146="","",itens_Remanesc!C94)</f>
        <v/>
      </c>
      <c r="N146" s="141" t="str">
        <f>IF(J146="","",IF($F$4="C0",historico_VU!C94,IF($F$4="C1",historico_VU!D94,IF($F$4="C2",historico_VU!E94,IF($F$4="C3",historico_VU!F94,historico_VU!G94)))))</f>
        <v/>
      </c>
      <c r="O146" s="141" t="str">
        <f t="shared" si="7"/>
        <v/>
      </c>
      <c r="P146" s="141" t="str">
        <f t="shared" si="8"/>
        <v/>
      </c>
      <c r="Q146" s="142" t="str">
        <f t="shared" si="9"/>
        <v/>
      </c>
      <c r="X146">
        <f>IF(posicao_contratual!$A146="",0,IF(AND(ISNUMBER(posicao_contratual!$Y146),posicao_contratual!$Y146&gt;0),0,IF(AND(ISNUMBER(posicao_contratual!$G146),ISNUMBER(posicao_contratual!$K146),ISNUMBER(historico_VU!$C146)),((posicao_contratual!$G146-N(posicao_contratual!$AB146))-(posicao_contratual!$K146-N(posicao_contratual!$AC146)))*historico_VU!$C146,"")))</f>
        <v>0</v>
      </c>
      <c r="Y146">
        <f>IF(OR(posicao_contratual!$A146="",$T$20=""),0,IF(AND(ISNUMBER(CHOOSE($T$20+1,historico_VU!$C146,historico_VU!$D146,historico_VU!$E146,historico_VU!$F146,historico_VU!$G146)),ISNUMBER(CHOOSE($T$20+1,posicao_contratual!$G146,posicao_contratual!$K146,posicao_contratual!$O146,posicao_contratual!$S146,posicao_contratual!$W146))),ROUND(ROUND(CHOOSE($T$20+1,historico_VU!$C146,historico_VU!$D146,historico_VU!$E146,historico_VU!$F146,historico_VU!$G146),2)*CHOOSE($T$20+1,posicao_contratual!$G146,posicao_contratual!$K146,posicao_contratual!$O146,posicao_contratual!$S146,posicao_contratual!$W146),2),""))</f>
        <v>0</v>
      </c>
      <c r="AB146">
        <f>IF(OR(posicao_contratual!$A146="",$W$46=""),0,IF(AND(ISNUMBER(CHOOSE($W$46+1,historico_VU!$C146,historico_VU!$D146,historico_VU!$E146,historico_VU!$F146,historico_VU!$G146)),ISNUMBER(CHOOSE($W$46+1,posicao_contratual!$G146,posicao_contratual!$K146,posicao_contratual!$O146,posicao_contratual!$S146,posicao_contratual!$W146))),ROUND(ROUND(CHOOSE($W$46+1,historico_VU!$C146,historico_VU!$D146,historico_VU!$E146,historico_VU!$F146,historico_VU!$G146),2)*CHOOSE($W$46+1,posicao_contratual!$G146,posicao_contratual!$K146,posicao_contratual!$O146,posicao_contratual!$S146,posicao_contratual!$W146),2),""))</f>
        <v>0</v>
      </c>
      <c r="AC146">
        <f>IF(OR(posicao_contratual!$A146="",$W$46=""),0,IF(OR($AB146="",$AD146=""),"",ROUND($AB146-$AD146,2)))</f>
        <v>0</v>
      </c>
      <c r="AD146">
        <f>IF(OR(posicao_contratual!$A146="",$W$46=""),0,IF($AB146="","",IF(NOT(ISNUMBER(CHOOSE($W$46+1,posicao_contratual!$AB146,posicao_contratual!$AC146,posicao_contratual!$AD146,posicao_contratual!$AE146,posicao_contratual!$AF146))),0,ROUND(ROUND(CHOOSE($W$46+1,historico_VU!$C146,historico_VU!$D146,historico_VU!$E146,historico_VU!$F146,historico_VU!$G146),2)*CHOOSE($W$46+1,posicao_contratual!$AB146,posicao_contratual!$AC146,posicao_contratual!$AD146,posicao_contratual!$AE146,posicao_contratual!$AF146),2))))</f>
        <v>0</v>
      </c>
    </row>
    <row r="147" spans="1:30" hidden="1" outlineLevel="1" x14ac:dyDescent="0.35">
      <c r="A147" s="137" t="str">
        <f>IF(historico_VU!A95="","",historico_VU!A95)</f>
        <v/>
      </c>
      <c r="B147" s="138" t="str">
        <f>IF(A147="","",historico_VU!B95)</f>
        <v/>
      </c>
      <c r="C147" s="139" t="str">
        <f>IF(A147="","",historico_VU!C95)</f>
        <v/>
      </c>
      <c r="D147" s="139" t="str">
        <f>IF(A147="","",historico_VU!D95)</f>
        <v/>
      </c>
      <c r="E147" s="139" t="str">
        <f>IF(A147="","",historico_VU!E95)</f>
        <v/>
      </c>
      <c r="F147" s="139" t="str">
        <f>IF(A147="","",historico_VU!F95)</f>
        <v/>
      </c>
      <c r="G147" s="139" t="str">
        <f>IF(A147="","",historico_VU!G95)</f>
        <v/>
      </c>
      <c r="H147" s="140" t="str">
        <f>IF(A147="","",historico_VU!H95)</f>
        <v/>
      </c>
      <c r="I147" s="57"/>
      <c r="J147" s="137" t="str">
        <f>IF(itens_Remanesc!A95="","",itens_Remanesc!A95)</f>
        <v/>
      </c>
      <c r="K147" s="138" t="str">
        <f>IF(J147="","",IF($F$4="C0",itens_Remanesc!B95,IF($F$4="C1",itens_Remanesc!E95,IF($F$4="C2",itens_Remanesc!G95,IF($F$4="C3",itens_Remanesc!I95,itens_Remanesc!K95)))))</f>
        <v/>
      </c>
      <c r="L147" s="138" t="str">
        <f>IF(J147="","",IF(SUMIF(itens_Consumidos!$A$2:$A$200,J147,itens_Consumidos!$B$2:$B$200)-SUMIF(itens_Consumidos!$A$2:$A$200,J147,itens_Consumidos!$O$2:$O$200)&lt;0,0,SUMIF(itens_Consumidos!$A$2:$A$200,J147,itens_Consumidos!$B$2:$B$200)-SUMIF(itens_Consumidos!$A$2:$A$200,J147,itens_Consumidos!$O$2:$O$200)))</f>
        <v/>
      </c>
      <c r="M147" s="141" t="str">
        <f>IF(J147="","",itens_Remanesc!C95)</f>
        <v/>
      </c>
      <c r="N147" s="141" t="str">
        <f>IF(J147="","",IF($F$4="C0",historico_VU!C95,IF($F$4="C1",historico_VU!D95,IF($F$4="C2",historico_VU!E95,IF($F$4="C3",historico_VU!F95,historico_VU!G95)))))</f>
        <v/>
      </c>
      <c r="O147" s="141" t="str">
        <f t="shared" si="7"/>
        <v/>
      </c>
      <c r="P147" s="141" t="str">
        <f t="shared" si="8"/>
        <v/>
      </c>
      <c r="Q147" s="142" t="str">
        <f t="shared" si="9"/>
        <v/>
      </c>
      <c r="X147">
        <f>IF(posicao_contratual!$A147="",0,IF(AND(ISNUMBER(posicao_contratual!$Y147),posicao_contratual!$Y147&gt;0),0,IF(AND(ISNUMBER(posicao_contratual!$G147),ISNUMBER(posicao_contratual!$K147),ISNUMBER(historico_VU!$C147)),((posicao_contratual!$G147-N(posicao_contratual!$AB147))-(posicao_contratual!$K147-N(posicao_contratual!$AC147)))*historico_VU!$C147,"")))</f>
        <v>0</v>
      </c>
      <c r="Y147">
        <f>IF(OR(posicao_contratual!$A147="",$T$20=""),0,IF(AND(ISNUMBER(CHOOSE($T$20+1,historico_VU!$C147,historico_VU!$D147,historico_VU!$E147,historico_VU!$F147,historico_VU!$G147)),ISNUMBER(CHOOSE($T$20+1,posicao_contratual!$G147,posicao_contratual!$K147,posicao_contratual!$O147,posicao_contratual!$S147,posicao_contratual!$W147))),ROUND(ROUND(CHOOSE($T$20+1,historico_VU!$C147,historico_VU!$D147,historico_VU!$E147,historico_VU!$F147,historico_VU!$G147),2)*CHOOSE($T$20+1,posicao_contratual!$G147,posicao_contratual!$K147,posicao_contratual!$O147,posicao_contratual!$S147,posicao_contratual!$W147),2),""))</f>
        <v>0</v>
      </c>
      <c r="AB147">
        <f>IF(OR(posicao_contratual!$A147="",$W$46=""),0,IF(AND(ISNUMBER(CHOOSE($W$46+1,historico_VU!$C147,historico_VU!$D147,historico_VU!$E147,historico_VU!$F147,historico_VU!$G147)),ISNUMBER(CHOOSE($W$46+1,posicao_contratual!$G147,posicao_contratual!$K147,posicao_contratual!$O147,posicao_contratual!$S147,posicao_contratual!$W147))),ROUND(ROUND(CHOOSE($W$46+1,historico_VU!$C147,historico_VU!$D147,historico_VU!$E147,historico_VU!$F147,historico_VU!$G147),2)*CHOOSE($W$46+1,posicao_contratual!$G147,posicao_contratual!$K147,posicao_contratual!$O147,posicao_contratual!$S147,posicao_contratual!$W147),2),""))</f>
        <v>0</v>
      </c>
      <c r="AC147">
        <f>IF(OR(posicao_contratual!$A147="",$W$46=""),0,IF(OR($AB147="",$AD147=""),"",ROUND($AB147-$AD147,2)))</f>
        <v>0</v>
      </c>
      <c r="AD147">
        <f>IF(OR(posicao_contratual!$A147="",$W$46=""),0,IF($AB147="","",IF(NOT(ISNUMBER(CHOOSE($W$46+1,posicao_contratual!$AB147,posicao_contratual!$AC147,posicao_contratual!$AD147,posicao_contratual!$AE147,posicao_contratual!$AF147))),0,ROUND(ROUND(CHOOSE($W$46+1,historico_VU!$C147,historico_VU!$D147,historico_VU!$E147,historico_VU!$F147,historico_VU!$G147),2)*CHOOSE($W$46+1,posicao_contratual!$AB147,posicao_contratual!$AC147,posicao_contratual!$AD147,posicao_contratual!$AE147,posicao_contratual!$AF147),2))))</f>
        <v>0</v>
      </c>
    </row>
    <row r="148" spans="1:30" hidden="1" outlineLevel="1" x14ac:dyDescent="0.35">
      <c r="A148" s="137" t="str">
        <f>IF(historico_VU!A96="","",historico_VU!A96)</f>
        <v/>
      </c>
      <c r="B148" s="138" t="str">
        <f>IF(A148="","",historico_VU!B96)</f>
        <v/>
      </c>
      <c r="C148" s="139" t="str">
        <f>IF(A148="","",historico_VU!C96)</f>
        <v/>
      </c>
      <c r="D148" s="139" t="str">
        <f>IF(A148="","",historico_VU!D96)</f>
        <v/>
      </c>
      <c r="E148" s="139" t="str">
        <f>IF(A148="","",historico_VU!E96)</f>
        <v/>
      </c>
      <c r="F148" s="139" t="str">
        <f>IF(A148="","",historico_VU!F96)</f>
        <v/>
      </c>
      <c r="G148" s="139" t="str">
        <f>IF(A148="","",historico_VU!G96)</f>
        <v/>
      </c>
      <c r="H148" s="140" t="str">
        <f>IF(A148="","",historico_VU!H96)</f>
        <v/>
      </c>
      <c r="I148" s="57"/>
      <c r="J148" s="137" t="str">
        <f>IF(itens_Remanesc!A96="","",itens_Remanesc!A96)</f>
        <v/>
      </c>
      <c r="K148" s="138" t="str">
        <f>IF(J148="","",IF($F$4="C0",itens_Remanesc!B96,IF($F$4="C1",itens_Remanesc!E96,IF($F$4="C2",itens_Remanesc!G96,IF($F$4="C3",itens_Remanesc!I96,itens_Remanesc!K96)))))</f>
        <v/>
      </c>
      <c r="L148" s="138" t="str">
        <f>IF(J148="","",IF(SUMIF(itens_Consumidos!$A$2:$A$200,J148,itens_Consumidos!$B$2:$B$200)-SUMIF(itens_Consumidos!$A$2:$A$200,J148,itens_Consumidos!$O$2:$O$200)&lt;0,0,SUMIF(itens_Consumidos!$A$2:$A$200,J148,itens_Consumidos!$B$2:$B$200)-SUMIF(itens_Consumidos!$A$2:$A$200,J148,itens_Consumidos!$O$2:$O$200)))</f>
        <v/>
      </c>
      <c r="M148" s="141" t="str">
        <f>IF(J148="","",itens_Remanesc!C96)</f>
        <v/>
      </c>
      <c r="N148" s="141" t="str">
        <f>IF(J148="","",IF($F$4="C0",historico_VU!C96,IF($F$4="C1",historico_VU!D96,IF($F$4="C2",historico_VU!E96,IF($F$4="C3",historico_VU!F96,historico_VU!G96)))))</f>
        <v/>
      </c>
      <c r="O148" s="141" t="str">
        <f t="shared" si="7"/>
        <v/>
      </c>
      <c r="P148" s="141" t="str">
        <f t="shared" si="8"/>
        <v/>
      </c>
      <c r="Q148" s="142" t="str">
        <f t="shared" si="9"/>
        <v/>
      </c>
      <c r="X148">
        <f>IF(posicao_contratual!$A148="",0,IF(AND(ISNUMBER(posicao_contratual!$Y148),posicao_contratual!$Y148&gt;0),0,IF(AND(ISNUMBER(posicao_contratual!$G148),ISNUMBER(posicao_contratual!$K148),ISNUMBER(historico_VU!$C148)),((posicao_contratual!$G148-N(posicao_contratual!$AB148))-(posicao_contratual!$K148-N(posicao_contratual!$AC148)))*historico_VU!$C148,"")))</f>
        <v>0</v>
      </c>
      <c r="Y148">
        <f>IF(OR(posicao_contratual!$A148="",$T$20=""),0,IF(AND(ISNUMBER(CHOOSE($T$20+1,historico_VU!$C148,historico_VU!$D148,historico_VU!$E148,historico_VU!$F148,historico_VU!$G148)),ISNUMBER(CHOOSE($T$20+1,posicao_contratual!$G148,posicao_contratual!$K148,posicao_contratual!$O148,posicao_contratual!$S148,posicao_contratual!$W148))),ROUND(ROUND(CHOOSE($T$20+1,historico_VU!$C148,historico_VU!$D148,historico_VU!$E148,historico_VU!$F148,historico_VU!$G148),2)*CHOOSE($T$20+1,posicao_contratual!$G148,posicao_contratual!$K148,posicao_contratual!$O148,posicao_contratual!$S148,posicao_contratual!$W148),2),""))</f>
        <v>0</v>
      </c>
      <c r="AB148">
        <f>IF(OR(posicao_contratual!$A148="",$W$46=""),0,IF(AND(ISNUMBER(CHOOSE($W$46+1,historico_VU!$C148,historico_VU!$D148,historico_VU!$E148,historico_VU!$F148,historico_VU!$G148)),ISNUMBER(CHOOSE($W$46+1,posicao_contratual!$G148,posicao_contratual!$K148,posicao_contratual!$O148,posicao_contratual!$S148,posicao_contratual!$W148))),ROUND(ROUND(CHOOSE($W$46+1,historico_VU!$C148,historico_VU!$D148,historico_VU!$E148,historico_VU!$F148,historico_VU!$G148),2)*CHOOSE($W$46+1,posicao_contratual!$G148,posicao_contratual!$K148,posicao_contratual!$O148,posicao_contratual!$S148,posicao_contratual!$W148),2),""))</f>
        <v>0</v>
      </c>
      <c r="AC148">
        <f>IF(OR(posicao_contratual!$A148="",$W$46=""),0,IF(OR($AB148="",$AD148=""),"",ROUND($AB148-$AD148,2)))</f>
        <v>0</v>
      </c>
      <c r="AD148">
        <f>IF(OR(posicao_contratual!$A148="",$W$46=""),0,IF($AB148="","",IF(NOT(ISNUMBER(CHOOSE($W$46+1,posicao_contratual!$AB148,posicao_contratual!$AC148,posicao_contratual!$AD148,posicao_contratual!$AE148,posicao_contratual!$AF148))),0,ROUND(ROUND(CHOOSE($W$46+1,historico_VU!$C148,historico_VU!$D148,historico_VU!$E148,historico_VU!$F148,historico_VU!$G148),2)*CHOOSE($W$46+1,posicao_contratual!$AB148,posicao_contratual!$AC148,posicao_contratual!$AD148,posicao_contratual!$AE148,posicao_contratual!$AF148),2))))</f>
        <v>0</v>
      </c>
    </row>
    <row r="149" spans="1:30" hidden="1" outlineLevel="1" x14ac:dyDescent="0.35">
      <c r="A149" s="137" t="str">
        <f>IF(historico_VU!A97="","",historico_VU!A97)</f>
        <v/>
      </c>
      <c r="B149" s="138" t="str">
        <f>IF(A149="","",historico_VU!B97)</f>
        <v/>
      </c>
      <c r="C149" s="139" t="str">
        <f>IF(A149="","",historico_VU!C97)</f>
        <v/>
      </c>
      <c r="D149" s="139" t="str">
        <f>IF(A149="","",historico_VU!D97)</f>
        <v/>
      </c>
      <c r="E149" s="139" t="str">
        <f>IF(A149="","",historico_VU!E97)</f>
        <v/>
      </c>
      <c r="F149" s="139" t="str">
        <f>IF(A149="","",historico_VU!F97)</f>
        <v/>
      </c>
      <c r="G149" s="139" t="str">
        <f>IF(A149="","",historico_VU!G97)</f>
        <v/>
      </c>
      <c r="H149" s="140" t="str">
        <f>IF(A149="","",historico_VU!H97)</f>
        <v/>
      </c>
      <c r="I149" s="57"/>
      <c r="J149" s="137" t="str">
        <f>IF(itens_Remanesc!A97="","",itens_Remanesc!A97)</f>
        <v/>
      </c>
      <c r="K149" s="138" t="str">
        <f>IF(J149="","",IF($F$4="C0",itens_Remanesc!B97,IF($F$4="C1",itens_Remanesc!E97,IF($F$4="C2",itens_Remanesc!G97,IF($F$4="C3",itens_Remanesc!I97,itens_Remanesc!K97)))))</f>
        <v/>
      </c>
      <c r="L149" s="138" t="str">
        <f>IF(J149="","",IF(SUMIF(itens_Consumidos!$A$2:$A$200,J149,itens_Consumidos!$B$2:$B$200)-SUMIF(itens_Consumidos!$A$2:$A$200,J149,itens_Consumidos!$O$2:$O$200)&lt;0,0,SUMIF(itens_Consumidos!$A$2:$A$200,J149,itens_Consumidos!$B$2:$B$200)-SUMIF(itens_Consumidos!$A$2:$A$200,J149,itens_Consumidos!$O$2:$O$200)))</f>
        <v/>
      </c>
      <c r="M149" s="141" t="str">
        <f>IF(J149="","",itens_Remanesc!C97)</f>
        <v/>
      </c>
      <c r="N149" s="141" t="str">
        <f>IF(J149="","",IF($F$4="C0",historico_VU!C97,IF($F$4="C1",historico_VU!D97,IF($F$4="C2",historico_VU!E97,IF($F$4="C3",historico_VU!F97,historico_VU!G97)))))</f>
        <v/>
      </c>
      <c r="O149" s="141" t="str">
        <f t="shared" si="7"/>
        <v/>
      </c>
      <c r="P149" s="141" t="str">
        <f t="shared" si="8"/>
        <v/>
      </c>
      <c r="Q149" s="142" t="str">
        <f t="shared" si="9"/>
        <v/>
      </c>
      <c r="X149">
        <f>IF(posicao_contratual!$A149="",0,IF(AND(ISNUMBER(posicao_contratual!$Y149),posicao_contratual!$Y149&gt;0),0,IF(AND(ISNUMBER(posicao_contratual!$G149),ISNUMBER(posicao_contratual!$K149),ISNUMBER(historico_VU!$C149)),((posicao_contratual!$G149-N(posicao_contratual!$AB149))-(posicao_contratual!$K149-N(posicao_contratual!$AC149)))*historico_VU!$C149,"")))</f>
        <v>0</v>
      </c>
      <c r="Y149">
        <f>IF(OR(posicao_contratual!$A149="",$T$20=""),0,IF(AND(ISNUMBER(CHOOSE($T$20+1,historico_VU!$C149,historico_VU!$D149,historico_VU!$E149,historico_VU!$F149,historico_VU!$G149)),ISNUMBER(CHOOSE($T$20+1,posicao_contratual!$G149,posicao_contratual!$K149,posicao_contratual!$O149,posicao_contratual!$S149,posicao_contratual!$W149))),ROUND(ROUND(CHOOSE($T$20+1,historico_VU!$C149,historico_VU!$D149,historico_VU!$E149,historico_VU!$F149,historico_VU!$G149),2)*CHOOSE($T$20+1,posicao_contratual!$G149,posicao_contratual!$K149,posicao_contratual!$O149,posicao_contratual!$S149,posicao_contratual!$W149),2),""))</f>
        <v>0</v>
      </c>
      <c r="AB149">
        <f>IF(OR(posicao_contratual!$A149="",$W$46=""),0,IF(AND(ISNUMBER(CHOOSE($W$46+1,historico_VU!$C149,historico_VU!$D149,historico_VU!$E149,historico_VU!$F149,historico_VU!$G149)),ISNUMBER(CHOOSE($W$46+1,posicao_contratual!$G149,posicao_contratual!$K149,posicao_contratual!$O149,posicao_contratual!$S149,posicao_contratual!$W149))),ROUND(ROUND(CHOOSE($W$46+1,historico_VU!$C149,historico_VU!$D149,historico_VU!$E149,historico_VU!$F149,historico_VU!$G149),2)*CHOOSE($W$46+1,posicao_contratual!$G149,posicao_contratual!$K149,posicao_contratual!$O149,posicao_contratual!$S149,posicao_contratual!$W149),2),""))</f>
        <v>0</v>
      </c>
      <c r="AC149">
        <f>IF(OR(posicao_contratual!$A149="",$W$46=""),0,IF(OR($AB149="",$AD149=""),"",ROUND($AB149-$AD149,2)))</f>
        <v>0</v>
      </c>
      <c r="AD149">
        <f>IF(OR(posicao_contratual!$A149="",$W$46=""),0,IF($AB149="","",IF(NOT(ISNUMBER(CHOOSE($W$46+1,posicao_contratual!$AB149,posicao_contratual!$AC149,posicao_contratual!$AD149,posicao_contratual!$AE149,posicao_contratual!$AF149))),0,ROUND(ROUND(CHOOSE($W$46+1,historico_VU!$C149,historico_VU!$D149,historico_VU!$E149,historico_VU!$F149,historico_VU!$G149),2)*CHOOSE($W$46+1,posicao_contratual!$AB149,posicao_contratual!$AC149,posicao_contratual!$AD149,posicao_contratual!$AE149,posicao_contratual!$AF149),2))))</f>
        <v>0</v>
      </c>
    </row>
    <row r="150" spans="1:30" hidden="1" outlineLevel="1" x14ac:dyDescent="0.35">
      <c r="A150" s="137" t="str">
        <f>IF(historico_VU!A98="","",historico_VU!A98)</f>
        <v/>
      </c>
      <c r="B150" s="138" t="str">
        <f>IF(A150="","",historico_VU!B98)</f>
        <v/>
      </c>
      <c r="C150" s="139" t="str">
        <f>IF(A150="","",historico_VU!C98)</f>
        <v/>
      </c>
      <c r="D150" s="139" t="str">
        <f>IF(A150="","",historico_VU!D98)</f>
        <v/>
      </c>
      <c r="E150" s="139" t="str">
        <f>IF(A150="","",historico_VU!E98)</f>
        <v/>
      </c>
      <c r="F150" s="139" t="str">
        <f>IF(A150="","",historico_VU!F98)</f>
        <v/>
      </c>
      <c r="G150" s="139" t="str">
        <f>IF(A150="","",historico_VU!G98)</f>
        <v/>
      </c>
      <c r="H150" s="140" t="str">
        <f>IF(A150="","",historico_VU!H98)</f>
        <v/>
      </c>
      <c r="I150" s="57"/>
      <c r="J150" s="137" t="str">
        <f>IF(itens_Remanesc!A98="","",itens_Remanesc!A98)</f>
        <v/>
      </c>
      <c r="K150" s="138" t="str">
        <f>IF(J150="","",IF($F$4="C0",itens_Remanesc!B98,IF($F$4="C1",itens_Remanesc!E98,IF($F$4="C2",itens_Remanesc!G98,IF($F$4="C3",itens_Remanesc!I98,itens_Remanesc!K98)))))</f>
        <v/>
      </c>
      <c r="L150" s="138" t="str">
        <f>IF(J150="","",IF(SUMIF(itens_Consumidos!$A$2:$A$200,J150,itens_Consumidos!$B$2:$B$200)-SUMIF(itens_Consumidos!$A$2:$A$200,J150,itens_Consumidos!$O$2:$O$200)&lt;0,0,SUMIF(itens_Consumidos!$A$2:$A$200,J150,itens_Consumidos!$B$2:$B$200)-SUMIF(itens_Consumidos!$A$2:$A$200,J150,itens_Consumidos!$O$2:$O$200)))</f>
        <v/>
      </c>
      <c r="M150" s="141" t="str">
        <f>IF(J150="","",itens_Remanesc!C98)</f>
        <v/>
      </c>
      <c r="N150" s="141" t="str">
        <f>IF(J150="","",IF($F$4="C0",historico_VU!C98,IF($F$4="C1",historico_VU!D98,IF($F$4="C2",historico_VU!E98,IF($F$4="C3",historico_VU!F98,historico_VU!G98)))))</f>
        <v/>
      </c>
      <c r="O150" s="141" t="str">
        <f t="shared" ref="O150:O181" si="10">IF(J150="","",IF(OR($B$4="Financeiro",$B$4="PCs"),IF(OR(K150="",M150=""),"",ROUND(K150*M150,2)),IF($B$4="Itens",IF(OR(L150="",M150=""),"",ROUND(L150*M150,2)),"")))</f>
        <v/>
      </c>
      <c r="P150" s="141" t="str">
        <f t="shared" ref="P150:P181" si="11">IF(J150="","",IF(OR($B$4="Financeiro",$B$4="PCs"),IF(OR(K150="",N150=""),"",ROUND(K150*N150,2)),IF($B$4="Itens",IF(OR(L150="",N150=""),"",ROUND(L150*N150,2)),"")))</f>
        <v/>
      </c>
      <c r="Q150" s="142" t="str">
        <f t="shared" ref="Q150:Q181" si="12">IF(J150="","",IF(OR(M150="",AND(OR($B$4="Financeiro",$B$4="PCs"),K150=""),AND($B$4="Itens",L150="")),"INCOMPLETO",IF(AND(ISNUMBER(K150),ISNUMBER(L150),ABS(K150-L150)/MAX(ABS(IF(OR($B$4="Financeiro",$B$4="PCs"),K150,L150)),1)&gt;$D$4),"DIVERGENTE","OK")))</f>
        <v/>
      </c>
      <c r="X150">
        <f>IF(posicao_contratual!$A150="",0,IF(AND(ISNUMBER(posicao_contratual!$Y150),posicao_contratual!$Y150&gt;0),0,IF(AND(ISNUMBER(posicao_contratual!$G150),ISNUMBER(posicao_contratual!$K150),ISNUMBER(historico_VU!$C150)),((posicao_contratual!$G150-N(posicao_contratual!$AB150))-(posicao_contratual!$K150-N(posicao_contratual!$AC150)))*historico_VU!$C150,"")))</f>
        <v>0</v>
      </c>
      <c r="Y150">
        <f>IF(OR(posicao_contratual!$A150="",$T$20=""),0,IF(AND(ISNUMBER(CHOOSE($T$20+1,historico_VU!$C150,historico_VU!$D150,historico_VU!$E150,historico_VU!$F150,historico_VU!$G150)),ISNUMBER(CHOOSE($T$20+1,posicao_contratual!$G150,posicao_contratual!$K150,posicao_contratual!$O150,posicao_contratual!$S150,posicao_contratual!$W150))),ROUND(ROUND(CHOOSE($T$20+1,historico_VU!$C150,historico_VU!$D150,historico_VU!$E150,historico_VU!$F150,historico_VU!$G150),2)*CHOOSE($T$20+1,posicao_contratual!$G150,posicao_contratual!$K150,posicao_contratual!$O150,posicao_contratual!$S150,posicao_contratual!$W150),2),""))</f>
        <v>0</v>
      </c>
      <c r="AB150">
        <f>IF(OR(posicao_contratual!$A150="",$W$46=""),0,IF(AND(ISNUMBER(CHOOSE($W$46+1,historico_VU!$C150,historico_VU!$D150,historico_VU!$E150,historico_VU!$F150,historico_VU!$G150)),ISNUMBER(CHOOSE($W$46+1,posicao_contratual!$G150,posicao_contratual!$K150,posicao_contratual!$O150,posicao_contratual!$S150,posicao_contratual!$W150))),ROUND(ROUND(CHOOSE($W$46+1,historico_VU!$C150,historico_VU!$D150,historico_VU!$E150,historico_VU!$F150,historico_VU!$G150),2)*CHOOSE($W$46+1,posicao_contratual!$G150,posicao_contratual!$K150,posicao_contratual!$O150,posicao_contratual!$S150,posicao_contratual!$W150),2),""))</f>
        <v>0</v>
      </c>
      <c r="AC150">
        <f>IF(OR(posicao_contratual!$A150="",$W$46=""),0,IF(OR($AB150="",$AD150=""),"",ROUND($AB150-$AD150,2)))</f>
        <v>0</v>
      </c>
      <c r="AD150">
        <f>IF(OR(posicao_contratual!$A150="",$W$46=""),0,IF($AB150="","",IF(NOT(ISNUMBER(CHOOSE($W$46+1,posicao_contratual!$AB150,posicao_contratual!$AC150,posicao_contratual!$AD150,posicao_contratual!$AE150,posicao_contratual!$AF150))),0,ROUND(ROUND(CHOOSE($W$46+1,historico_VU!$C150,historico_VU!$D150,historico_VU!$E150,historico_VU!$F150,historico_VU!$G150),2)*CHOOSE($W$46+1,posicao_contratual!$AB150,posicao_contratual!$AC150,posicao_contratual!$AD150,posicao_contratual!$AE150,posicao_contratual!$AF150),2))))</f>
        <v>0</v>
      </c>
    </row>
    <row r="151" spans="1:30" hidden="1" outlineLevel="1" x14ac:dyDescent="0.35">
      <c r="A151" s="137" t="str">
        <f>IF(historico_VU!A99="","",historico_VU!A99)</f>
        <v/>
      </c>
      <c r="B151" s="138" t="str">
        <f>IF(A151="","",historico_VU!B99)</f>
        <v/>
      </c>
      <c r="C151" s="139" t="str">
        <f>IF(A151="","",historico_VU!C99)</f>
        <v/>
      </c>
      <c r="D151" s="139" t="str">
        <f>IF(A151="","",historico_VU!D99)</f>
        <v/>
      </c>
      <c r="E151" s="139" t="str">
        <f>IF(A151="","",historico_VU!E99)</f>
        <v/>
      </c>
      <c r="F151" s="139" t="str">
        <f>IF(A151="","",historico_VU!F99)</f>
        <v/>
      </c>
      <c r="G151" s="139" t="str">
        <f>IF(A151="","",historico_VU!G99)</f>
        <v/>
      </c>
      <c r="H151" s="140" t="str">
        <f>IF(A151="","",historico_VU!H99)</f>
        <v/>
      </c>
      <c r="I151" s="57"/>
      <c r="J151" s="137" t="str">
        <f>IF(itens_Remanesc!A99="","",itens_Remanesc!A99)</f>
        <v/>
      </c>
      <c r="K151" s="138" t="str">
        <f>IF(J151="","",IF($F$4="C0",itens_Remanesc!B99,IF($F$4="C1",itens_Remanesc!E99,IF($F$4="C2",itens_Remanesc!G99,IF($F$4="C3",itens_Remanesc!I99,itens_Remanesc!K99)))))</f>
        <v/>
      </c>
      <c r="L151" s="138" t="str">
        <f>IF(J151="","",IF(SUMIF(itens_Consumidos!$A$2:$A$200,J151,itens_Consumidos!$B$2:$B$200)-SUMIF(itens_Consumidos!$A$2:$A$200,J151,itens_Consumidos!$O$2:$O$200)&lt;0,0,SUMIF(itens_Consumidos!$A$2:$A$200,J151,itens_Consumidos!$B$2:$B$200)-SUMIF(itens_Consumidos!$A$2:$A$200,J151,itens_Consumidos!$O$2:$O$200)))</f>
        <v/>
      </c>
      <c r="M151" s="141" t="str">
        <f>IF(J151="","",itens_Remanesc!C99)</f>
        <v/>
      </c>
      <c r="N151" s="141" t="str">
        <f>IF(J151="","",IF($F$4="C0",historico_VU!C99,IF($F$4="C1",historico_VU!D99,IF($F$4="C2",historico_VU!E99,IF($F$4="C3",historico_VU!F99,historico_VU!G99)))))</f>
        <v/>
      </c>
      <c r="O151" s="141" t="str">
        <f t="shared" si="10"/>
        <v/>
      </c>
      <c r="P151" s="141" t="str">
        <f t="shared" si="11"/>
        <v/>
      </c>
      <c r="Q151" s="142" t="str">
        <f t="shared" si="12"/>
        <v/>
      </c>
      <c r="X151">
        <f>IF(posicao_contratual!$A151="",0,IF(AND(ISNUMBER(posicao_contratual!$Y151),posicao_contratual!$Y151&gt;0),0,IF(AND(ISNUMBER(posicao_contratual!$G151),ISNUMBER(posicao_contratual!$K151),ISNUMBER(historico_VU!$C151)),((posicao_contratual!$G151-N(posicao_contratual!$AB151))-(posicao_contratual!$K151-N(posicao_contratual!$AC151)))*historico_VU!$C151,"")))</f>
        <v>0</v>
      </c>
      <c r="Y151">
        <f>IF(OR(posicao_contratual!$A151="",$T$20=""),0,IF(AND(ISNUMBER(CHOOSE($T$20+1,historico_VU!$C151,historico_VU!$D151,historico_VU!$E151,historico_VU!$F151,historico_VU!$G151)),ISNUMBER(CHOOSE($T$20+1,posicao_contratual!$G151,posicao_contratual!$K151,posicao_contratual!$O151,posicao_contratual!$S151,posicao_contratual!$W151))),ROUND(ROUND(CHOOSE($T$20+1,historico_VU!$C151,historico_VU!$D151,historico_VU!$E151,historico_VU!$F151,historico_VU!$G151),2)*CHOOSE($T$20+1,posicao_contratual!$G151,posicao_contratual!$K151,posicao_contratual!$O151,posicao_contratual!$S151,posicao_contratual!$W151),2),""))</f>
        <v>0</v>
      </c>
      <c r="AB151">
        <f>IF(OR(posicao_contratual!$A151="",$W$46=""),0,IF(AND(ISNUMBER(CHOOSE($W$46+1,historico_VU!$C151,historico_VU!$D151,historico_VU!$E151,historico_VU!$F151,historico_VU!$G151)),ISNUMBER(CHOOSE($W$46+1,posicao_contratual!$G151,posicao_contratual!$K151,posicao_contratual!$O151,posicao_contratual!$S151,posicao_contratual!$W151))),ROUND(ROUND(CHOOSE($W$46+1,historico_VU!$C151,historico_VU!$D151,historico_VU!$E151,historico_VU!$F151,historico_VU!$G151),2)*CHOOSE($W$46+1,posicao_contratual!$G151,posicao_contratual!$K151,posicao_contratual!$O151,posicao_contratual!$S151,posicao_contratual!$W151),2),""))</f>
        <v>0</v>
      </c>
      <c r="AC151">
        <f>IF(OR(posicao_contratual!$A151="",$W$46=""),0,IF(OR($AB151="",$AD151=""),"",ROUND($AB151-$AD151,2)))</f>
        <v>0</v>
      </c>
      <c r="AD151">
        <f>IF(OR(posicao_contratual!$A151="",$W$46=""),0,IF($AB151="","",IF(NOT(ISNUMBER(CHOOSE($W$46+1,posicao_contratual!$AB151,posicao_contratual!$AC151,posicao_contratual!$AD151,posicao_contratual!$AE151,posicao_contratual!$AF151))),0,ROUND(ROUND(CHOOSE($W$46+1,historico_VU!$C151,historico_VU!$D151,historico_VU!$E151,historico_VU!$F151,historico_VU!$G151),2)*CHOOSE($W$46+1,posicao_contratual!$AB151,posicao_contratual!$AC151,posicao_contratual!$AD151,posicao_contratual!$AE151,posicao_contratual!$AF151),2))))</f>
        <v>0</v>
      </c>
    </row>
    <row r="152" spans="1:30" hidden="1" outlineLevel="1" x14ac:dyDescent="0.35">
      <c r="A152" s="137" t="str">
        <f>IF(historico_VU!A100="","",historico_VU!A100)</f>
        <v/>
      </c>
      <c r="B152" s="138" t="str">
        <f>IF(A152="","",historico_VU!B100)</f>
        <v/>
      </c>
      <c r="C152" s="139" t="str">
        <f>IF(A152="","",historico_VU!C100)</f>
        <v/>
      </c>
      <c r="D152" s="139" t="str">
        <f>IF(A152="","",historico_VU!D100)</f>
        <v/>
      </c>
      <c r="E152" s="139" t="str">
        <f>IF(A152="","",historico_VU!E100)</f>
        <v/>
      </c>
      <c r="F152" s="139" t="str">
        <f>IF(A152="","",historico_VU!F100)</f>
        <v/>
      </c>
      <c r="G152" s="139" t="str">
        <f>IF(A152="","",historico_VU!G100)</f>
        <v/>
      </c>
      <c r="H152" s="140" t="str">
        <f>IF(A152="","",historico_VU!H100)</f>
        <v/>
      </c>
      <c r="I152" s="57"/>
      <c r="J152" s="137" t="str">
        <f>IF(itens_Remanesc!A100="","",itens_Remanesc!A100)</f>
        <v/>
      </c>
      <c r="K152" s="138" t="str">
        <f>IF(J152="","",IF($F$4="C0",itens_Remanesc!B100,IF($F$4="C1",itens_Remanesc!E100,IF($F$4="C2",itens_Remanesc!G100,IF($F$4="C3",itens_Remanesc!I100,itens_Remanesc!K100)))))</f>
        <v/>
      </c>
      <c r="L152" s="138" t="str">
        <f>IF(J152="","",IF(SUMIF(itens_Consumidos!$A$2:$A$200,J152,itens_Consumidos!$B$2:$B$200)-SUMIF(itens_Consumidos!$A$2:$A$200,J152,itens_Consumidos!$O$2:$O$200)&lt;0,0,SUMIF(itens_Consumidos!$A$2:$A$200,J152,itens_Consumidos!$B$2:$B$200)-SUMIF(itens_Consumidos!$A$2:$A$200,J152,itens_Consumidos!$O$2:$O$200)))</f>
        <v/>
      </c>
      <c r="M152" s="141" t="str">
        <f>IF(J152="","",itens_Remanesc!C100)</f>
        <v/>
      </c>
      <c r="N152" s="141" t="str">
        <f>IF(J152="","",IF($F$4="C0",historico_VU!C100,IF($F$4="C1",historico_VU!D100,IF($F$4="C2",historico_VU!E100,IF($F$4="C3",historico_VU!F100,historico_VU!G100)))))</f>
        <v/>
      </c>
      <c r="O152" s="141" t="str">
        <f t="shared" si="10"/>
        <v/>
      </c>
      <c r="P152" s="141" t="str">
        <f t="shared" si="11"/>
        <v/>
      </c>
      <c r="Q152" s="142" t="str">
        <f t="shared" si="12"/>
        <v/>
      </c>
      <c r="X152">
        <f>IF(posicao_contratual!$A152="",0,IF(AND(ISNUMBER(posicao_contratual!$Y152),posicao_contratual!$Y152&gt;0),0,IF(AND(ISNUMBER(posicao_contratual!$G152),ISNUMBER(posicao_contratual!$K152),ISNUMBER(historico_VU!$C152)),((posicao_contratual!$G152-N(posicao_contratual!$AB152))-(posicao_contratual!$K152-N(posicao_contratual!$AC152)))*historico_VU!$C152,"")))</f>
        <v>0</v>
      </c>
      <c r="Y152">
        <f>IF(OR(posicao_contratual!$A152="",$T$20=""),0,IF(AND(ISNUMBER(CHOOSE($T$20+1,historico_VU!$C152,historico_VU!$D152,historico_VU!$E152,historico_VU!$F152,historico_VU!$G152)),ISNUMBER(CHOOSE($T$20+1,posicao_contratual!$G152,posicao_contratual!$K152,posicao_contratual!$O152,posicao_contratual!$S152,posicao_contratual!$W152))),ROUND(ROUND(CHOOSE($T$20+1,historico_VU!$C152,historico_VU!$D152,historico_VU!$E152,historico_VU!$F152,historico_VU!$G152),2)*CHOOSE($T$20+1,posicao_contratual!$G152,posicao_contratual!$K152,posicao_contratual!$O152,posicao_contratual!$S152,posicao_contratual!$W152),2),""))</f>
        <v>0</v>
      </c>
      <c r="AB152">
        <f>IF(OR(posicao_contratual!$A152="",$W$46=""),0,IF(AND(ISNUMBER(CHOOSE($W$46+1,historico_VU!$C152,historico_VU!$D152,historico_VU!$E152,historico_VU!$F152,historico_VU!$G152)),ISNUMBER(CHOOSE($W$46+1,posicao_contratual!$G152,posicao_contratual!$K152,posicao_contratual!$O152,posicao_contratual!$S152,posicao_contratual!$W152))),ROUND(ROUND(CHOOSE($W$46+1,historico_VU!$C152,historico_VU!$D152,historico_VU!$E152,historico_VU!$F152,historico_VU!$G152),2)*CHOOSE($W$46+1,posicao_contratual!$G152,posicao_contratual!$K152,posicao_contratual!$O152,posicao_contratual!$S152,posicao_contratual!$W152),2),""))</f>
        <v>0</v>
      </c>
      <c r="AC152">
        <f>IF(OR(posicao_contratual!$A152="",$W$46=""),0,IF(OR($AB152="",$AD152=""),"",ROUND($AB152-$AD152,2)))</f>
        <v>0</v>
      </c>
      <c r="AD152">
        <f>IF(OR(posicao_contratual!$A152="",$W$46=""),0,IF($AB152="","",IF(NOT(ISNUMBER(CHOOSE($W$46+1,posicao_contratual!$AB152,posicao_contratual!$AC152,posicao_contratual!$AD152,posicao_contratual!$AE152,posicao_contratual!$AF152))),0,ROUND(ROUND(CHOOSE($W$46+1,historico_VU!$C152,historico_VU!$D152,historico_VU!$E152,historico_VU!$F152,historico_VU!$G152),2)*CHOOSE($W$46+1,posicao_contratual!$AB152,posicao_contratual!$AC152,posicao_contratual!$AD152,posicao_contratual!$AE152,posicao_contratual!$AF152),2))))</f>
        <v>0</v>
      </c>
    </row>
    <row r="153" spans="1:30" hidden="1" outlineLevel="1" x14ac:dyDescent="0.35">
      <c r="A153" s="137" t="str">
        <f>IF(historico_VU!A101="","",historico_VU!A101)</f>
        <v/>
      </c>
      <c r="B153" s="138" t="str">
        <f>IF(A153="","",historico_VU!B101)</f>
        <v/>
      </c>
      <c r="C153" s="139" t="str">
        <f>IF(A153="","",historico_VU!C101)</f>
        <v/>
      </c>
      <c r="D153" s="139" t="str">
        <f>IF(A153="","",historico_VU!D101)</f>
        <v/>
      </c>
      <c r="E153" s="139" t="str">
        <f>IF(A153="","",historico_VU!E101)</f>
        <v/>
      </c>
      <c r="F153" s="139" t="str">
        <f>IF(A153="","",historico_VU!F101)</f>
        <v/>
      </c>
      <c r="G153" s="139" t="str">
        <f>IF(A153="","",historico_VU!G101)</f>
        <v/>
      </c>
      <c r="H153" s="140" t="str">
        <f>IF(A153="","",historico_VU!H101)</f>
        <v/>
      </c>
      <c r="I153" s="57"/>
      <c r="J153" s="137" t="str">
        <f>IF(itens_Remanesc!A101="","",itens_Remanesc!A101)</f>
        <v/>
      </c>
      <c r="K153" s="138" t="str">
        <f>IF(J153="","",IF($F$4="C0",itens_Remanesc!B101,IF($F$4="C1",itens_Remanesc!E101,IF($F$4="C2",itens_Remanesc!G101,IF($F$4="C3",itens_Remanesc!I101,itens_Remanesc!K101)))))</f>
        <v/>
      </c>
      <c r="L153" s="138" t="str">
        <f>IF(J153="","",IF(SUMIF(itens_Consumidos!$A$2:$A$200,J153,itens_Consumidos!$B$2:$B$200)-SUMIF(itens_Consumidos!$A$2:$A$200,J153,itens_Consumidos!$O$2:$O$200)&lt;0,0,SUMIF(itens_Consumidos!$A$2:$A$200,J153,itens_Consumidos!$B$2:$B$200)-SUMIF(itens_Consumidos!$A$2:$A$200,J153,itens_Consumidos!$O$2:$O$200)))</f>
        <v/>
      </c>
      <c r="M153" s="141" t="str">
        <f>IF(J153="","",itens_Remanesc!C101)</f>
        <v/>
      </c>
      <c r="N153" s="141" t="str">
        <f>IF(J153="","",IF($F$4="C0",historico_VU!C101,IF($F$4="C1",historico_VU!D101,IF($F$4="C2",historico_VU!E101,IF($F$4="C3",historico_VU!F101,historico_VU!G101)))))</f>
        <v/>
      </c>
      <c r="O153" s="141" t="str">
        <f t="shared" si="10"/>
        <v/>
      </c>
      <c r="P153" s="141" t="str">
        <f t="shared" si="11"/>
        <v/>
      </c>
      <c r="Q153" s="142" t="str">
        <f t="shared" si="12"/>
        <v/>
      </c>
      <c r="X153">
        <f>IF(posicao_contratual!$A153="",0,IF(AND(ISNUMBER(posicao_contratual!$Y153),posicao_contratual!$Y153&gt;0),0,IF(AND(ISNUMBER(posicao_contratual!$G153),ISNUMBER(posicao_contratual!$K153),ISNUMBER(historico_VU!$C153)),((posicao_contratual!$G153-N(posicao_contratual!$AB153))-(posicao_contratual!$K153-N(posicao_contratual!$AC153)))*historico_VU!$C153,"")))</f>
        <v>0</v>
      </c>
      <c r="Y153">
        <f>IF(OR(posicao_contratual!$A153="",$T$20=""),0,IF(AND(ISNUMBER(CHOOSE($T$20+1,historico_VU!$C153,historico_VU!$D153,historico_VU!$E153,historico_VU!$F153,historico_VU!$G153)),ISNUMBER(CHOOSE($T$20+1,posicao_contratual!$G153,posicao_contratual!$K153,posicao_contratual!$O153,posicao_contratual!$S153,posicao_contratual!$W153))),ROUND(ROUND(CHOOSE($T$20+1,historico_VU!$C153,historico_VU!$D153,historico_VU!$E153,historico_VU!$F153,historico_VU!$G153),2)*CHOOSE($T$20+1,posicao_contratual!$G153,posicao_contratual!$K153,posicao_contratual!$O153,posicao_contratual!$S153,posicao_contratual!$W153),2),""))</f>
        <v>0</v>
      </c>
      <c r="AB153">
        <f>IF(OR(posicao_contratual!$A153="",$W$46=""),0,IF(AND(ISNUMBER(CHOOSE($W$46+1,historico_VU!$C153,historico_VU!$D153,historico_VU!$E153,historico_VU!$F153,historico_VU!$G153)),ISNUMBER(CHOOSE($W$46+1,posicao_contratual!$G153,posicao_contratual!$K153,posicao_contratual!$O153,posicao_contratual!$S153,posicao_contratual!$W153))),ROUND(ROUND(CHOOSE($W$46+1,historico_VU!$C153,historico_VU!$D153,historico_VU!$E153,historico_VU!$F153,historico_VU!$G153),2)*CHOOSE($W$46+1,posicao_contratual!$G153,posicao_contratual!$K153,posicao_contratual!$O153,posicao_contratual!$S153,posicao_contratual!$W153),2),""))</f>
        <v>0</v>
      </c>
      <c r="AC153">
        <f>IF(OR(posicao_contratual!$A153="",$W$46=""),0,IF(OR($AB153="",$AD153=""),"",ROUND($AB153-$AD153,2)))</f>
        <v>0</v>
      </c>
      <c r="AD153">
        <f>IF(OR(posicao_contratual!$A153="",$W$46=""),0,IF($AB153="","",IF(NOT(ISNUMBER(CHOOSE($W$46+1,posicao_contratual!$AB153,posicao_contratual!$AC153,posicao_contratual!$AD153,posicao_contratual!$AE153,posicao_contratual!$AF153))),0,ROUND(ROUND(CHOOSE($W$46+1,historico_VU!$C153,historico_VU!$D153,historico_VU!$E153,historico_VU!$F153,historico_VU!$G153),2)*CHOOSE($W$46+1,posicao_contratual!$AB153,posicao_contratual!$AC153,posicao_contratual!$AD153,posicao_contratual!$AE153,posicao_contratual!$AF153),2))))</f>
        <v>0</v>
      </c>
    </row>
    <row r="154" spans="1:30" hidden="1" outlineLevel="1" x14ac:dyDescent="0.35">
      <c r="A154" s="137" t="str">
        <f>IF(historico_VU!A102="","",historico_VU!A102)</f>
        <v/>
      </c>
      <c r="B154" s="138" t="str">
        <f>IF(A154="","",historico_VU!B102)</f>
        <v/>
      </c>
      <c r="C154" s="139" t="str">
        <f>IF(A154="","",historico_VU!C102)</f>
        <v/>
      </c>
      <c r="D154" s="139" t="str">
        <f>IF(A154="","",historico_VU!D102)</f>
        <v/>
      </c>
      <c r="E154" s="139" t="str">
        <f>IF(A154="","",historico_VU!E102)</f>
        <v/>
      </c>
      <c r="F154" s="139" t="str">
        <f>IF(A154="","",historico_VU!F102)</f>
        <v/>
      </c>
      <c r="G154" s="139" t="str">
        <f>IF(A154="","",historico_VU!G102)</f>
        <v/>
      </c>
      <c r="H154" s="140" t="str">
        <f>IF(A154="","",historico_VU!H102)</f>
        <v/>
      </c>
      <c r="I154" s="57"/>
      <c r="J154" s="137" t="str">
        <f>IF(itens_Remanesc!A102="","",itens_Remanesc!A102)</f>
        <v/>
      </c>
      <c r="K154" s="138" t="str">
        <f>IF(J154="","",IF($F$4="C0",itens_Remanesc!B102,IF($F$4="C1",itens_Remanesc!E102,IF($F$4="C2",itens_Remanesc!G102,IF($F$4="C3",itens_Remanesc!I102,itens_Remanesc!K102)))))</f>
        <v/>
      </c>
      <c r="L154" s="138" t="str">
        <f>IF(J154="","",IF(SUMIF(itens_Consumidos!$A$2:$A$200,J154,itens_Consumidos!$B$2:$B$200)-SUMIF(itens_Consumidos!$A$2:$A$200,J154,itens_Consumidos!$O$2:$O$200)&lt;0,0,SUMIF(itens_Consumidos!$A$2:$A$200,J154,itens_Consumidos!$B$2:$B$200)-SUMIF(itens_Consumidos!$A$2:$A$200,J154,itens_Consumidos!$O$2:$O$200)))</f>
        <v/>
      </c>
      <c r="M154" s="141" t="str">
        <f>IF(J154="","",itens_Remanesc!C102)</f>
        <v/>
      </c>
      <c r="N154" s="141" t="str">
        <f>IF(J154="","",IF($F$4="C0",historico_VU!C102,IF($F$4="C1",historico_VU!D102,IF($F$4="C2",historico_VU!E102,IF($F$4="C3",historico_VU!F102,historico_VU!G102)))))</f>
        <v/>
      </c>
      <c r="O154" s="141" t="str">
        <f t="shared" si="10"/>
        <v/>
      </c>
      <c r="P154" s="141" t="str">
        <f t="shared" si="11"/>
        <v/>
      </c>
      <c r="Q154" s="142" t="str">
        <f t="shared" si="12"/>
        <v/>
      </c>
      <c r="X154">
        <f>IF(posicao_contratual!$A154="",0,IF(AND(ISNUMBER(posicao_contratual!$Y154),posicao_contratual!$Y154&gt;0),0,IF(AND(ISNUMBER(posicao_contratual!$G154),ISNUMBER(posicao_contratual!$K154),ISNUMBER(historico_VU!$C154)),((posicao_contratual!$G154-N(posicao_contratual!$AB154))-(posicao_contratual!$K154-N(posicao_contratual!$AC154)))*historico_VU!$C154,"")))</f>
        <v>0</v>
      </c>
      <c r="Y154">
        <f>IF(OR(posicao_contratual!$A154="",$T$20=""),0,IF(AND(ISNUMBER(CHOOSE($T$20+1,historico_VU!$C154,historico_VU!$D154,historico_VU!$E154,historico_VU!$F154,historico_VU!$G154)),ISNUMBER(CHOOSE($T$20+1,posicao_contratual!$G154,posicao_contratual!$K154,posicao_contratual!$O154,posicao_contratual!$S154,posicao_contratual!$W154))),ROUND(ROUND(CHOOSE($T$20+1,historico_VU!$C154,historico_VU!$D154,historico_VU!$E154,historico_VU!$F154,historico_VU!$G154),2)*CHOOSE($T$20+1,posicao_contratual!$G154,posicao_contratual!$K154,posicao_contratual!$O154,posicao_contratual!$S154,posicao_contratual!$W154),2),""))</f>
        <v>0</v>
      </c>
      <c r="AB154">
        <f>IF(OR(posicao_contratual!$A154="",$W$46=""),0,IF(AND(ISNUMBER(CHOOSE($W$46+1,historico_VU!$C154,historico_VU!$D154,historico_VU!$E154,historico_VU!$F154,historico_VU!$G154)),ISNUMBER(CHOOSE($W$46+1,posicao_contratual!$G154,posicao_contratual!$K154,posicao_contratual!$O154,posicao_contratual!$S154,posicao_contratual!$W154))),ROUND(ROUND(CHOOSE($W$46+1,historico_VU!$C154,historico_VU!$D154,historico_VU!$E154,historico_VU!$F154,historico_VU!$G154),2)*CHOOSE($W$46+1,posicao_contratual!$G154,posicao_contratual!$K154,posicao_contratual!$O154,posicao_contratual!$S154,posicao_contratual!$W154),2),""))</f>
        <v>0</v>
      </c>
      <c r="AC154">
        <f>IF(OR(posicao_contratual!$A154="",$W$46=""),0,IF(OR($AB154="",$AD154=""),"",ROUND($AB154-$AD154,2)))</f>
        <v>0</v>
      </c>
      <c r="AD154">
        <f>IF(OR(posicao_contratual!$A154="",$W$46=""),0,IF($AB154="","",IF(NOT(ISNUMBER(CHOOSE($W$46+1,posicao_contratual!$AB154,posicao_contratual!$AC154,posicao_contratual!$AD154,posicao_contratual!$AE154,posicao_contratual!$AF154))),0,ROUND(ROUND(CHOOSE($W$46+1,historico_VU!$C154,historico_VU!$D154,historico_VU!$E154,historico_VU!$F154,historico_VU!$G154),2)*CHOOSE($W$46+1,posicao_contratual!$AB154,posicao_contratual!$AC154,posicao_contratual!$AD154,posicao_contratual!$AE154,posicao_contratual!$AF154),2))))</f>
        <v>0</v>
      </c>
    </row>
    <row r="155" spans="1:30" hidden="1" outlineLevel="1" x14ac:dyDescent="0.35">
      <c r="A155" s="137" t="str">
        <f>IF(historico_VU!A103="","",historico_VU!A103)</f>
        <v/>
      </c>
      <c r="B155" s="138" t="str">
        <f>IF(A155="","",historico_VU!B103)</f>
        <v/>
      </c>
      <c r="C155" s="139" t="str">
        <f>IF(A155="","",historico_VU!C103)</f>
        <v/>
      </c>
      <c r="D155" s="139" t="str">
        <f>IF(A155="","",historico_VU!D103)</f>
        <v/>
      </c>
      <c r="E155" s="139" t="str">
        <f>IF(A155="","",historico_VU!E103)</f>
        <v/>
      </c>
      <c r="F155" s="139" t="str">
        <f>IF(A155="","",historico_VU!F103)</f>
        <v/>
      </c>
      <c r="G155" s="139" t="str">
        <f>IF(A155="","",historico_VU!G103)</f>
        <v/>
      </c>
      <c r="H155" s="140" t="str">
        <f>IF(A155="","",historico_VU!H103)</f>
        <v/>
      </c>
      <c r="I155" s="57"/>
      <c r="J155" s="137" t="str">
        <f>IF(itens_Remanesc!A103="","",itens_Remanesc!A103)</f>
        <v/>
      </c>
      <c r="K155" s="138" t="str">
        <f>IF(J155="","",IF($F$4="C0",itens_Remanesc!B103,IF($F$4="C1",itens_Remanesc!E103,IF($F$4="C2",itens_Remanesc!G103,IF($F$4="C3",itens_Remanesc!I103,itens_Remanesc!K103)))))</f>
        <v/>
      </c>
      <c r="L155" s="138" t="str">
        <f>IF(J155="","",IF(SUMIF(itens_Consumidos!$A$2:$A$200,J155,itens_Consumidos!$B$2:$B$200)-SUMIF(itens_Consumidos!$A$2:$A$200,J155,itens_Consumidos!$O$2:$O$200)&lt;0,0,SUMIF(itens_Consumidos!$A$2:$A$200,J155,itens_Consumidos!$B$2:$B$200)-SUMIF(itens_Consumidos!$A$2:$A$200,J155,itens_Consumidos!$O$2:$O$200)))</f>
        <v/>
      </c>
      <c r="M155" s="141" t="str">
        <f>IF(J155="","",itens_Remanesc!C103)</f>
        <v/>
      </c>
      <c r="N155" s="141" t="str">
        <f>IF(J155="","",IF($F$4="C0",historico_VU!C103,IF($F$4="C1",historico_VU!D103,IF($F$4="C2",historico_VU!E103,IF($F$4="C3",historico_VU!F103,historico_VU!G103)))))</f>
        <v/>
      </c>
      <c r="O155" s="141" t="str">
        <f t="shared" si="10"/>
        <v/>
      </c>
      <c r="P155" s="141" t="str">
        <f t="shared" si="11"/>
        <v/>
      </c>
      <c r="Q155" s="142" t="str">
        <f t="shared" si="12"/>
        <v/>
      </c>
      <c r="X155">
        <f>IF(posicao_contratual!$A155="",0,IF(AND(ISNUMBER(posicao_contratual!$Y155),posicao_contratual!$Y155&gt;0),0,IF(AND(ISNUMBER(posicao_contratual!$G155),ISNUMBER(posicao_contratual!$K155),ISNUMBER(historico_VU!$C155)),((posicao_contratual!$G155-N(posicao_contratual!$AB155))-(posicao_contratual!$K155-N(posicao_contratual!$AC155)))*historico_VU!$C155,"")))</f>
        <v>0</v>
      </c>
      <c r="Y155">
        <f>IF(OR(posicao_contratual!$A155="",$T$20=""),0,IF(AND(ISNUMBER(CHOOSE($T$20+1,historico_VU!$C155,historico_VU!$D155,historico_VU!$E155,historico_VU!$F155,historico_VU!$G155)),ISNUMBER(CHOOSE($T$20+1,posicao_contratual!$G155,posicao_contratual!$K155,posicao_contratual!$O155,posicao_contratual!$S155,posicao_contratual!$W155))),ROUND(ROUND(CHOOSE($T$20+1,historico_VU!$C155,historico_VU!$D155,historico_VU!$E155,historico_VU!$F155,historico_VU!$G155),2)*CHOOSE($T$20+1,posicao_contratual!$G155,posicao_contratual!$K155,posicao_contratual!$O155,posicao_contratual!$S155,posicao_contratual!$W155),2),""))</f>
        <v>0</v>
      </c>
      <c r="AB155">
        <f>IF(OR(posicao_contratual!$A155="",$W$46=""),0,IF(AND(ISNUMBER(CHOOSE($W$46+1,historico_VU!$C155,historico_VU!$D155,historico_VU!$E155,historico_VU!$F155,historico_VU!$G155)),ISNUMBER(CHOOSE($W$46+1,posicao_contratual!$G155,posicao_contratual!$K155,posicao_contratual!$O155,posicao_contratual!$S155,posicao_contratual!$W155))),ROUND(ROUND(CHOOSE($W$46+1,historico_VU!$C155,historico_VU!$D155,historico_VU!$E155,historico_VU!$F155,historico_VU!$G155),2)*CHOOSE($W$46+1,posicao_contratual!$G155,posicao_contratual!$K155,posicao_contratual!$O155,posicao_contratual!$S155,posicao_contratual!$W155),2),""))</f>
        <v>0</v>
      </c>
      <c r="AC155">
        <f>IF(OR(posicao_contratual!$A155="",$W$46=""),0,IF(OR($AB155="",$AD155=""),"",ROUND($AB155-$AD155,2)))</f>
        <v>0</v>
      </c>
      <c r="AD155">
        <f>IF(OR(posicao_contratual!$A155="",$W$46=""),0,IF($AB155="","",IF(NOT(ISNUMBER(CHOOSE($W$46+1,posicao_contratual!$AB155,posicao_contratual!$AC155,posicao_contratual!$AD155,posicao_contratual!$AE155,posicao_contratual!$AF155))),0,ROUND(ROUND(CHOOSE($W$46+1,historico_VU!$C155,historico_VU!$D155,historico_VU!$E155,historico_VU!$F155,historico_VU!$G155),2)*CHOOSE($W$46+1,posicao_contratual!$AB155,posicao_contratual!$AC155,posicao_contratual!$AD155,posicao_contratual!$AE155,posicao_contratual!$AF155),2))))</f>
        <v>0</v>
      </c>
    </row>
    <row r="156" spans="1:30" hidden="1" outlineLevel="1" x14ac:dyDescent="0.35">
      <c r="A156" s="137" t="str">
        <f>IF(historico_VU!A104="","",historico_VU!A104)</f>
        <v/>
      </c>
      <c r="B156" s="138" t="str">
        <f>IF(A156="","",historico_VU!B104)</f>
        <v/>
      </c>
      <c r="C156" s="139" t="str">
        <f>IF(A156="","",historico_VU!C104)</f>
        <v/>
      </c>
      <c r="D156" s="139" t="str">
        <f>IF(A156="","",historico_VU!D104)</f>
        <v/>
      </c>
      <c r="E156" s="139" t="str">
        <f>IF(A156="","",historico_VU!E104)</f>
        <v/>
      </c>
      <c r="F156" s="139" t="str">
        <f>IF(A156="","",historico_VU!F104)</f>
        <v/>
      </c>
      <c r="G156" s="139" t="str">
        <f>IF(A156="","",historico_VU!G104)</f>
        <v/>
      </c>
      <c r="H156" s="140" t="str">
        <f>IF(A156="","",historico_VU!H104)</f>
        <v/>
      </c>
      <c r="I156" s="57"/>
      <c r="J156" s="137" t="str">
        <f>IF(itens_Remanesc!A104="","",itens_Remanesc!A104)</f>
        <v/>
      </c>
      <c r="K156" s="138" t="str">
        <f>IF(J156="","",IF($F$4="C0",itens_Remanesc!B104,IF($F$4="C1",itens_Remanesc!E104,IF($F$4="C2",itens_Remanesc!G104,IF($F$4="C3",itens_Remanesc!I104,itens_Remanesc!K104)))))</f>
        <v/>
      </c>
      <c r="L156" s="138" t="str">
        <f>IF(J156="","",IF(SUMIF(itens_Consumidos!$A$2:$A$200,J156,itens_Consumidos!$B$2:$B$200)-SUMIF(itens_Consumidos!$A$2:$A$200,J156,itens_Consumidos!$O$2:$O$200)&lt;0,0,SUMIF(itens_Consumidos!$A$2:$A$200,J156,itens_Consumidos!$B$2:$B$200)-SUMIF(itens_Consumidos!$A$2:$A$200,J156,itens_Consumidos!$O$2:$O$200)))</f>
        <v/>
      </c>
      <c r="M156" s="141" t="str">
        <f>IF(J156="","",itens_Remanesc!C104)</f>
        <v/>
      </c>
      <c r="N156" s="141" t="str">
        <f>IF(J156="","",IF($F$4="C0",historico_VU!C104,IF($F$4="C1",historico_VU!D104,IF($F$4="C2",historico_VU!E104,IF($F$4="C3",historico_VU!F104,historico_VU!G104)))))</f>
        <v/>
      </c>
      <c r="O156" s="141" t="str">
        <f t="shared" si="10"/>
        <v/>
      </c>
      <c r="P156" s="141" t="str">
        <f t="shared" si="11"/>
        <v/>
      </c>
      <c r="Q156" s="142" t="str">
        <f t="shared" si="12"/>
        <v/>
      </c>
      <c r="X156">
        <f>IF(posicao_contratual!$A156="",0,IF(AND(ISNUMBER(posicao_contratual!$Y156),posicao_contratual!$Y156&gt;0),0,IF(AND(ISNUMBER(posicao_contratual!$G156),ISNUMBER(posicao_contratual!$K156),ISNUMBER(historico_VU!$C156)),((posicao_contratual!$G156-N(posicao_contratual!$AB156))-(posicao_contratual!$K156-N(posicao_contratual!$AC156)))*historico_VU!$C156,"")))</f>
        <v>0</v>
      </c>
      <c r="Y156">
        <f>IF(OR(posicao_contratual!$A156="",$T$20=""),0,IF(AND(ISNUMBER(CHOOSE($T$20+1,historico_VU!$C156,historico_VU!$D156,historico_VU!$E156,historico_VU!$F156,historico_VU!$G156)),ISNUMBER(CHOOSE($T$20+1,posicao_contratual!$G156,posicao_contratual!$K156,posicao_contratual!$O156,posicao_contratual!$S156,posicao_contratual!$W156))),ROUND(ROUND(CHOOSE($T$20+1,historico_VU!$C156,historico_VU!$D156,historico_VU!$E156,historico_VU!$F156,historico_VU!$G156),2)*CHOOSE($T$20+1,posicao_contratual!$G156,posicao_contratual!$K156,posicao_contratual!$O156,posicao_contratual!$S156,posicao_contratual!$W156),2),""))</f>
        <v>0</v>
      </c>
      <c r="AB156">
        <f>IF(OR(posicao_contratual!$A156="",$W$46=""),0,IF(AND(ISNUMBER(CHOOSE($W$46+1,historico_VU!$C156,historico_VU!$D156,historico_VU!$E156,historico_VU!$F156,historico_VU!$G156)),ISNUMBER(CHOOSE($W$46+1,posicao_contratual!$G156,posicao_contratual!$K156,posicao_contratual!$O156,posicao_contratual!$S156,posicao_contratual!$W156))),ROUND(ROUND(CHOOSE($W$46+1,historico_VU!$C156,historico_VU!$D156,historico_VU!$E156,historico_VU!$F156,historico_VU!$G156),2)*CHOOSE($W$46+1,posicao_contratual!$G156,posicao_contratual!$K156,posicao_contratual!$O156,posicao_contratual!$S156,posicao_contratual!$W156),2),""))</f>
        <v>0</v>
      </c>
      <c r="AC156">
        <f>IF(OR(posicao_contratual!$A156="",$W$46=""),0,IF(OR($AB156="",$AD156=""),"",ROUND($AB156-$AD156,2)))</f>
        <v>0</v>
      </c>
      <c r="AD156">
        <f>IF(OR(posicao_contratual!$A156="",$W$46=""),0,IF($AB156="","",IF(NOT(ISNUMBER(CHOOSE($W$46+1,posicao_contratual!$AB156,posicao_contratual!$AC156,posicao_contratual!$AD156,posicao_contratual!$AE156,posicao_contratual!$AF156))),0,ROUND(ROUND(CHOOSE($W$46+1,historico_VU!$C156,historico_VU!$D156,historico_VU!$E156,historico_VU!$F156,historico_VU!$G156),2)*CHOOSE($W$46+1,posicao_contratual!$AB156,posicao_contratual!$AC156,posicao_contratual!$AD156,posicao_contratual!$AE156,posicao_contratual!$AF156),2))))</f>
        <v>0</v>
      </c>
    </row>
    <row r="157" spans="1:30" hidden="1" outlineLevel="1" x14ac:dyDescent="0.35">
      <c r="A157" s="137" t="str">
        <f>IF(historico_VU!A105="","",historico_VU!A105)</f>
        <v/>
      </c>
      <c r="B157" s="138" t="str">
        <f>IF(A157="","",historico_VU!B105)</f>
        <v/>
      </c>
      <c r="C157" s="139" t="str">
        <f>IF(A157="","",historico_VU!C105)</f>
        <v/>
      </c>
      <c r="D157" s="139" t="str">
        <f>IF(A157="","",historico_VU!D105)</f>
        <v/>
      </c>
      <c r="E157" s="139" t="str">
        <f>IF(A157="","",historico_VU!E105)</f>
        <v/>
      </c>
      <c r="F157" s="139" t="str">
        <f>IF(A157="","",historico_VU!F105)</f>
        <v/>
      </c>
      <c r="G157" s="139" t="str">
        <f>IF(A157="","",historico_VU!G105)</f>
        <v/>
      </c>
      <c r="H157" s="140" t="str">
        <f>IF(A157="","",historico_VU!H105)</f>
        <v/>
      </c>
      <c r="I157" s="57"/>
      <c r="J157" s="137" t="str">
        <f>IF(itens_Remanesc!A105="","",itens_Remanesc!A105)</f>
        <v/>
      </c>
      <c r="K157" s="138" t="str">
        <f>IF(J157="","",IF($F$4="C0",itens_Remanesc!B105,IF($F$4="C1",itens_Remanesc!E105,IF($F$4="C2",itens_Remanesc!G105,IF($F$4="C3",itens_Remanesc!I105,itens_Remanesc!K105)))))</f>
        <v/>
      </c>
      <c r="L157" s="138" t="str">
        <f>IF(J157="","",IF(SUMIF(itens_Consumidos!$A$2:$A$200,J157,itens_Consumidos!$B$2:$B$200)-SUMIF(itens_Consumidos!$A$2:$A$200,J157,itens_Consumidos!$O$2:$O$200)&lt;0,0,SUMIF(itens_Consumidos!$A$2:$A$200,J157,itens_Consumidos!$B$2:$B$200)-SUMIF(itens_Consumidos!$A$2:$A$200,J157,itens_Consumidos!$O$2:$O$200)))</f>
        <v/>
      </c>
      <c r="M157" s="141" t="str">
        <f>IF(J157="","",itens_Remanesc!C105)</f>
        <v/>
      </c>
      <c r="N157" s="141" t="str">
        <f>IF(J157="","",IF($F$4="C0",historico_VU!C105,IF($F$4="C1",historico_VU!D105,IF($F$4="C2",historico_VU!E105,IF($F$4="C3",historico_VU!F105,historico_VU!G105)))))</f>
        <v/>
      </c>
      <c r="O157" s="141" t="str">
        <f t="shared" si="10"/>
        <v/>
      </c>
      <c r="P157" s="141" t="str">
        <f t="shared" si="11"/>
        <v/>
      </c>
      <c r="Q157" s="142" t="str">
        <f t="shared" si="12"/>
        <v/>
      </c>
      <c r="X157">
        <f>IF(posicao_contratual!$A157="",0,IF(AND(ISNUMBER(posicao_contratual!$Y157),posicao_contratual!$Y157&gt;0),0,IF(AND(ISNUMBER(posicao_contratual!$G157),ISNUMBER(posicao_contratual!$K157),ISNUMBER(historico_VU!$C157)),((posicao_contratual!$G157-N(posicao_contratual!$AB157))-(posicao_contratual!$K157-N(posicao_contratual!$AC157)))*historico_VU!$C157,"")))</f>
        <v>0</v>
      </c>
      <c r="Y157">
        <f>IF(OR(posicao_contratual!$A157="",$T$20=""),0,IF(AND(ISNUMBER(CHOOSE($T$20+1,historico_VU!$C157,historico_VU!$D157,historico_VU!$E157,historico_VU!$F157,historico_VU!$G157)),ISNUMBER(CHOOSE($T$20+1,posicao_contratual!$G157,posicao_contratual!$K157,posicao_contratual!$O157,posicao_contratual!$S157,posicao_contratual!$W157))),ROUND(ROUND(CHOOSE($T$20+1,historico_VU!$C157,historico_VU!$D157,historico_VU!$E157,historico_VU!$F157,historico_VU!$G157),2)*CHOOSE($T$20+1,posicao_contratual!$G157,posicao_contratual!$K157,posicao_contratual!$O157,posicao_contratual!$S157,posicao_contratual!$W157),2),""))</f>
        <v>0</v>
      </c>
      <c r="AB157">
        <f>IF(OR(posicao_contratual!$A157="",$W$46=""),0,IF(AND(ISNUMBER(CHOOSE($W$46+1,historico_VU!$C157,historico_VU!$D157,historico_VU!$E157,historico_VU!$F157,historico_VU!$G157)),ISNUMBER(CHOOSE($W$46+1,posicao_contratual!$G157,posicao_contratual!$K157,posicao_contratual!$O157,posicao_contratual!$S157,posicao_contratual!$W157))),ROUND(ROUND(CHOOSE($W$46+1,historico_VU!$C157,historico_VU!$D157,historico_VU!$E157,historico_VU!$F157,historico_VU!$G157),2)*CHOOSE($W$46+1,posicao_contratual!$G157,posicao_contratual!$K157,posicao_contratual!$O157,posicao_contratual!$S157,posicao_contratual!$W157),2),""))</f>
        <v>0</v>
      </c>
      <c r="AC157">
        <f>IF(OR(posicao_contratual!$A157="",$W$46=""),0,IF(OR($AB157="",$AD157=""),"",ROUND($AB157-$AD157,2)))</f>
        <v>0</v>
      </c>
      <c r="AD157">
        <f>IF(OR(posicao_contratual!$A157="",$W$46=""),0,IF($AB157="","",IF(NOT(ISNUMBER(CHOOSE($W$46+1,posicao_contratual!$AB157,posicao_contratual!$AC157,posicao_contratual!$AD157,posicao_contratual!$AE157,posicao_contratual!$AF157))),0,ROUND(ROUND(CHOOSE($W$46+1,historico_VU!$C157,historico_VU!$D157,historico_VU!$E157,historico_VU!$F157,historico_VU!$G157),2)*CHOOSE($W$46+1,posicao_contratual!$AB157,posicao_contratual!$AC157,posicao_contratual!$AD157,posicao_contratual!$AE157,posicao_contratual!$AF157),2))))</f>
        <v>0</v>
      </c>
    </row>
    <row r="158" spans="1:30" hidden="1" outlineLevel="1" x14ac:dyDescent="0.35">
      <c r="A158" s="137" t="str">
        <f>IF(historico_VU!A106="","",historico_VU!A106)</f>
        <v/>
      </c>
      <c r="B158" s="138" t="str">
        <f>IF(A158="","",historico_VU!B106)</f>
        <v/>
      </c>
      <c r="C158" s="139" t="str">
        <f>IF(A158="","",historico_VU!C106)</f>
        <v/>
      </c>
      <c r="D158" s="139" t="str">
        <f>IF(A158="","",historico_VU!D106)</f>
        <v/>
      </c>
      <c r="E158" s="139" t="str">
        <f>IF(A158="","",historico_VU!E106)</f>
        <v/>
      </c>
      <c r="F158" s="139" t="str">
        <f>IF(A158="","",historico_VU!F106)</f>
        <v/>
      </c>
      <c r="G158" s="139" t="str">
        <f>IF(A158="","",historico_VU!G106)</f>
        <v/>
      </c>
      <c r="H158" s="140" t="str">
        <f>IF(A158="","",historico_VU!H106)</f>
        <v/>
      </c>
      <c r="I158" s="57"/>
      <c r="J158" s="137" t="str">
        <f>IF(itens_Remanesc!A106="","",itens_Remanesc!A106)</f>
        <v/>
      </c>
      <c r="K158" s="138" t="str">
        <f>IF(J158="","",IF($F$4="C0",itens_Remanesc!B106,IF($F$4="C1",itens_Remanesc!E106,IF($F$4="C2",itens_Remanesc!G106,IF($F$4="C3",itens_Remanesc!I106,itens_Remanesc!K106)))))</f>
        <v/>
      </c>
      <c r="L158" s="138" t="str">
        <f>IF(J158="","",IF(SUMIF(itens_Consumidos!$A$2:$A$200,J158,itens_Consumidos!$B$2:$B$200)-SUMIF(itens_Consumidos!$A$2:$A$200,J158,itens_Consumidos!$O$2:$O$200)&lt;0,0,SUMIF(itens_Consumidos!$A$2:$A$200,J158,itens_Consumidos!$B$2:$B$200)-SUMIF(itens_Consumidos!$A$2:$A$200,J158,itens_Consumidos!$O$2:$O$200)))</f>
        <v/>
      </c>
      <c r="M158" s="141" t="str">
        <f>IF(J158="","",itens_Remanesc!C106)</f>
        <v/>
      </c>
      <c r="N158" s="141" t="str">
        <f>IF(J158="","",IF($F$4="C0",historico_VU!C106,IF($F$4="C1",historico_VU!D106,IF($F$4="C2",historico_VU!E106,IF($F$4="C3",historico_VU!F106,historico_VU!G106)))))</f>
        <v/>
      </c>
      <c r="O158" s="141" t="str">
        <f t="shared" si="10"/>
        <v/>
      </c>
      <c r="P158" s="141" t="str">
        <f t="shared" si="11"/>
        <v/>
      </c>
      <c r="Q158" s="142" t="str">
        <f t="shared" si="12"/>
        <v/>
      </c>
      <c r="X158">
        <f>IF(posicao_contratual!$A158="",0,IF(AND(ISNUMBER(posicao_contratual!$Y158),posicao_contratual!$Y158&gt;0),0,IF(AND(ISNUMBER(posicao_contratual!$G158),ISNUMBER(posicao_contratual!$K158),ISNUMBER(historico_VU!$C158)),((posicao_contratual!$G158-N(posicao_contratual!$AB158))-(posicao_contratual!$K158-N(posicao_contratual!$AC158)))*historico_VU!$C158,"")))</f>
        <v>0</v>
      </c>
      <c r="Y158">
        <f>IF(OR(posicao_contratual!$A158="",$T$20=""),0,IF(AND(ISNUMBER(CHOOSE($T$20+1,historico_VU!$C158,historico_VU!$D158,historico_VU!$E158,historico_VU!$F158,historico_VU!$G158)),ISNUMBER(CHOOSE($T$20+1,posicao_contratual!$G158,posicao_contratual!$K158,posicao_contratual!$O158,posicao_contratual!$S158,posicao_contratual!$W158))),ROUND(ROUND(CHOOSE($T$20+1,historico_VU!$C158,historico_VU!$D158,historico_VU!$E158,historico_VU!$F158,historico_VU!$G158),2)*CHOOSE($T$20+1,posicao_contratual!$G158,posicao_contratual!$K158,posicao_contratual!$O158,posicao_contratual!$S158,posicao_contratual!$W158),2),""))</f>
        <v>0</v>
      </c>
      <c r="AB158">
        <f>IF(OR(posicao_contratual!$A158="",$W$46=""),0,IF(AND(ISNUMBER(CHOOSE($W$46+1,historico_VU!$C158,historico_VU!$D158,historico_VU!$E158,historico_VU!$F158,historico_VU!$G158)),ISNUMBER(CHOOSE($W$46+1,posicao_contratual!$G158,posicao_contratual!$K158,posicao_contratual!$O158,posicao_contratual!$S158,posicao_contratual!$W158))),ROUND(ROUND(CHOOSE($W$46+1,historico_VU!$C158,historico_VU!$D158,historico_VU!$E158,historico_VU!$F158,historico_VU!$G158),2)*CHOOSE($W$46+1,posicao_contratual!$G158,posicao_contratual!$K158,posicao_contratual!$O158,posicao_contratual!$S158,posicao_contratual!$W158),2),""))</f>
        <v>0</v>
      </c>
      <c r="AC158">
        <f>IF(OR(posicao_contratual!$A158="",$W$46=""),0,IF(OR($AB158="",$AD158=""),"",ROUND($AB158-$AD158,2)))</f>
        <v>0</v>
      </c>
      <c r="AD158">
        <f>IF(OR(posicao_contratual!$A158="",$W$46=""),0,IF($AB158="","",IF(NOT(ISNUMBER(CHOOSE($W$46+1,posicao_contratual!$AB158,posicao_contratual!$AC158,posicao_contratual!$AD158,posicao_contratual!$AE158,posicao_contratual!$AF158))),0,ROUND(ROUND(CHOOSE($W$46+1,historico_VU!$C158,historico_VU!$D158,historico_VU!$E158,historico_VU!$F158,historico_VU!$G158),2)*CHOOSE($W$46+1,posicao_contratual!$AB158,posicao_contratual!$AC158,posicao_contratual!$AD158,posicao_contratual!$AE158,posicao_contratual!$AF158),2))))</f>
        <v>0</v>
      </c>
    </row>
    <row r="159" spans="1:30" hidden="1" outlineLevel="1" x14ac:dyDescent="0.35">
      <c r="A159" s="137" t="str">
        <f>IF(historico_VU!A107="","",historico_VU!A107)</f>
        <v/>
      </c>
      <c r="B159" s="138" t="str">
        <f>IF(A159="","",historico_VU!B107)</f>
        <v/>
      </c>
      <c r="C159" s="139" t="str">
        <f>IF(A159="","",historico_VU!C107)</f>
        <v/>
      </c>
      <c r="D159" s="139" t="str">
        <f>IF(A159="","",historico_VU!D107)</f>
        <v/>
      </c>
      <c r="E159" s="139" t="str">
        <f>IF(A159="","",historico_VU!E107)</f>
        <v/>
      </c>
      <c r="F159" s="139" t="str">
        <f>IF(A159="","",historico_VU!F107)</f>
        <v/>
      </c>
      <c r="G159" s="139" t="str">
        <f>IF(A159="","",historico_VU!G107)</f>
        <v/>
      </c>
      <c r="H159" s="140" t="str">
        <f>IF(A159="","",historico_VU!H107)</f>
        <v/>
      </c>
      <c r="I159" s="57"/>
      <c r="J159" s="137" t="str">
        <f>IF(itens_Remanesc!A107="","",itens_Remanesc!A107)</f>
        <v/>
      </c>
      <c r="K159" s="138" t="str">
        <f>IF(J159="","",IF($F$4="C0",itens_Remanesc!B107,IF($F$4="C1",itens_Remanesc!E107,IF($F$4="C2",itens_Remanesc!G107,IF($F$4="C3",itens_Remanesc!I107,itens_Remanesc!K107)))))</f>
        <v/>
      </c>
      <c r="L159" s="138" t="str">
        <f>IF(J159="","",IF(SUMIF(itens_Consumidos!$A$2:$A$200,J159,itens_Consumidos!$B$2:$B$200)-SUMIF(itens_Consumidos!$A$2:$A$200,J159,itens_Consumidos!$O$2:$O$200)&lt;0,0,SUMIF(itens_Consumidos!$A$2:$A$200,J159,itens_Consumidos!$B$2:$B$200)-SUMIF(itens_Consumidos!$A$2:$A$200,J159,itens_Consumidos!$O$2:$O$200)))</f>
        <v/>
      </c>
      <c r="M159" s="141" t="str">
        <f>IF(J159="","",itens_Remanesc!C107)</f>
        <v/>
      </c>
      <c r="N159" s="141" t="str">
        <f>IF(J159="","",IF($F$4="C0",historico_VU!C107,IF($F$4="C1",historico_VU!D107,IF($F$4="C2",historico_VU!E107,IF($F$4="C3",historico_VU!F107,historico_VU!G107)))))</f>
        <v/>
      </c>
      <c r="O159" s="141" t="str">
        <f t="shared" si="10"/>
        <v/>
      </c>
      <c r="P159" s="141" t="str">
        <f t="shared" si="11"/>
        <v/>
      </c>
      <c r="Q159" s="142" t="str">
        <f t="shared" si="12"/>
        <v/>
      </c>
      <c r="X159">
        <f>IF(posicao_contratual!$A159="",0,IF(AND(ISNUMBER(posicao_contratual!$Y159),posicao_contratual!$Y159&gt;0),0,IF(AND(ISNUMBER(posicao_contratual!$G159),ISNUMBER(posicao_contratual!$K159),ISNUMBER(historico_VU!$C159)),((posicao_contratual!$G159-N(posicao_contratual!$AB159))-(posicao_contratual!$K159-N(posicao_contratual!$AC159)))*historico_VU!$C159,"")))</f>
        <v>0</v>
      </c>
      <c r="Y159">
        <f>IF(OR(posicao_contratual!$A159="",$T$20=""),0,IF(AND(ISNUMBER(CHOOSE($T$20+1,historico_VU!$C159,historico_VU!$D159,historico_VU!$E159,historico_VU!$F159,historico_VU!$G159)),ISNUMBER(CHOOSE($T$20+1,posicao_contratual!$G159,posicao_contratual!$K159,posicao_contratual!$O159,posicao_contratual!$S159,posicao_contratual!$W159))),ROUND(ROUND(CHOOSE($T$20+1,historico_VU!$C159,historico_VU!$D159,historico_VU!$E159,historico_VU!$F159,historico_VU!$G159),2)*CHOOSE($T$20+1,posicao_contratual!$G159,posicao_contratual!$K159,posicao_contratual!$O159,posicao_contratual!$S159,posicao_contratual!$W159),2),""))</f>
        <v>0</v>
      </c>
      <c r="AB159">
        <f>IF(OR(posicao_contratual!$A159="",$W$46=""),0,IF(AND(ISNUMBER(CHOOSE($W$46+1,historico_VU!$C159,historico_VU!$D159,historico_VU!$E159,historico_VU!$F159,historico_VU!$G159)),ISNUMBER(CHOOSE($W$46+1,posicao_contratual!$G159,posicao_contratual!$K159,posicao_contratual!$O159,posicao_contratual!$S159,posicao_contratual!$W159))),ROUND(ROUND(CHOOSE($W$46+1,historico_VU!$C159,historico_VU!$D159,historico_VU!$E159,historico_VU!$F159,historico_VU!$G159),2)*CHOOSE($W$46+1,posicao_contratual!$G159,posicao_contratual!$K159,posicao_contratual!$O159,posicao_contratual!$S159,posicao_contratual!$W159),2),""))</f>
        <v>0</v>
      </c>
      <c r="AC159">
        <f>IF(OR(posicao_contratual!$A159="",$W$46=""),0,IF(OR($AB159="",$AD159=""),"",ROUND($AB159-$AD159,2)))</f>
        <v>0</v>
      </c>
      <c r="AD159">
        <f>IF(OR(posicao_contratual!$A159="",$W$46=""),0,IF($AB159="","",IF(NOT(ISNUMBER(CHOOSE($W$46+1,posicao_contratual!$AB159,posicao_contratual!$AC159,posicao_contratual!$AD159,posicao_contratual!$AE159,posicao_contratual!$AF159))),0,ROUND(ROUND(CHOOSE($W$46+1,historico_VU!$C159,historico_VU!$D159,historico_VU!$E159,historico_VU!$F159,historico_VU!$G159),2)*CHOOSE($W$46+1,posicao_contratual!$AB159,posicao_contratual!$AC159,posicao_contratual!$AD159,posicao_contratual!$AE159,posicao_contratual!$AF159),2))))</f>
        <v>0</v>
      </c>
    </row>
    <row r="160" spans="1:30" hidden="1" outlineLevel="1" x14ac:dyDescent="0.35">
      <c r="A160" s="137" t="str">
        <f>IF(historico_VU!A108="","",historico_VU!A108)</f>
        <v/>
      </c>
      <c r="B160" s="138" t="str">
        <f>IF(A160="","",historico_VU!B108)</f>
        <v/>
      </c>
      <c r="C160" s="139" t="str">
        <f>IF(A160="","",historico_VU!C108)</f>
        <v/>
      </c>
      <c r="D160" s="139" t="str">
        <f>IF(A160="","",historico_VU!D108)</f>
        <v/>
      </c>
      <c r="E160" s="139" t="str">
        <f>IF(A160="","",historico_VU!E108)</f>
        <v/>
      </c>
      <c r="F160" s="139" t="str">
        <f>IF(A160="","",historico_VU!F108)</f>
        <v/>
      </c>
      <c r="G160" s="139" t="str">
        <f>IF(A160="","",historico_VU!G108)</f>
        <v/>
      </c>
      <c r="H160" s="140" t="str">
        <f>IF(A160="","",historico_VU!H108)</f>
        <v/>
      </c>
      <c r="I160" s="57"/>
      <c r="J160" s="137" t="str">
        <f>IF(itens_Remanesc!A108="","",itens_Remanesc!A108)</f>
        <v/>
      </c>
      <c r="K160" s="138" t="str">
        <f>IF(J160="","",IF($F$4="C0",itens_Remanesc!B108,IF($F$4="C1",itens_Remanesc!E108,IF($F$4="C2",itens_Remanesc!G108,IF($F$4="C3",itens_Remanesc!I108,itens_Remanesc!K108)))))</f>
        <v/>
      </c>
      <c r="L160" s="138" t="str">
        <f>IF(J160="","",IF(SUMIF(itens_Consumidos!$A$2:$A$200,J160,itens_Consumidos!$B$2:$B$200)-SUMIF(itens_Consumidos!$A$2:$A$200,J160,itens_Consumidos!$O$2:$O$200)&lt;0,0,SUMIF(itens_Consumidos!$A$2:$A$200,J160,itens_Consumidos!$B$2:$B$200)-SUMIF(itens_Consumidos!$A$2:$A$200,J160,itens_Consumidos!$O$2:$O$200)))</f>
        <v/>
      </c>
      <c r="M160" s="141" t="str">
        <f>IF(J160="","",itens_Remanesc!C108)</f>
        <v/>
      </c>
      <c r="N160" s="141" t="str">
        <f>IF(J160="","",IF($F$4="C0",historico_VU!C108,IF($F$4="C1",historico_VU!D108,IF($F$4="C2",historico_VU!E108,IF($F$4="C3",historico_VU!F108,historico_VU!G108)))))</f>
        <v/>
      </c>
      <c r="O160" s="141" t="str">
        <f t="shared" si="10"/>
        <v/>
      </c>
      <c r="P160" s="141" t="str">
        <f t="shared" si="11"/>
        <v/>
      </c>
      <c r="Q160" s="142" t="str">
        <f t="shared" si="12"/>
        <v/>
      </c>
      <c r="X160">
        <f>IF(posicao_contratual!$A160="",0,IF(AND(ISNUMBER(posicao_contratual!$Y160),posicao_contratual!$Y160&gt;0),0,IF(AND(ISNUMBER(posicao_contratual!$G160),ISNUMBER(posicao_contratual!$K160),ISNUMBER(historico_VU!$C160)),((posicao_contratual!$G160-N(posicao_contratual!$AB160))-(posicao_contratual!$K160-N(posicao_contratual!$AC160)))*historico_VU!$C160,"")))</f>
        <v>0</v>
      </c>
      <c r="Y160">
        <f>IF(OR(posicao_contratual!$A160="",$T$20=""),0,IF(AND(ISNUMBER(CHOOSE($T$20+1,historico_VU!$C160,historico_VU!$D160,historico_VU!$E160,historico_VU!$F160,historico_VU!$G160)),ISNUMBER(CHOOSE($T$20+1,posicao_contratual!$G160,posicao_contratual!$K160,posicao_contratual!$O160,posicao_contratual!$S160,posicao_contratual!$W160))),ROUND(ROUND(CHOOSE($T$20+1,historico_VU!$C160,historico_VU!$D160,historico_VU!$E160,historico_VU!$F160,historico_VU!$G160),2)*CHOOSE($T$20+1,posicao_contratual!$G160,posicao_contratual!$K160,posicao_contratual!$O160,posicao_contratual!$S160,posicao_contratual!$W160),2),""))</f>
        <v>0</v>
      </c>
      <c r="AB160">
        <f>IF(OR(posicao_contratual!$A160="",$W$46=""),0,IF(AND(ISNUMBER(CHOOSE($W$46+1,historico_VU!$C160,historico_VU!$D160,historico_VU!$E160,historico_VU!$F160,historico_VU!$G160)),ISNUMBER(CHOOSE($W$46+1,posicao_contratual!$G160,posicao_contratual!$K160,posicao_contratual!$O160,posicao_contratual!$S160,posicao_contratual!$W160))),ROUND(ROUND(CHOOSE($W$46+1,historico_VU!$C160,historico_VU!$D160,historico_VU!$E160,historico_VU!$F160,historico_VU!$G160),2)*CHOOSE($W$46+1,posicao_contratual!$G160,posicao_contratual!$K160,posicao_contratual!$O160,posicao_contratual!$S160,posicao_contratual!$W160),2),""))</f>
        <v>0</v>
      </c>
      <c r="AC160">
        <f>IF(OR(posicao_contratual!$A160="",$W$46=""),0,IF(OR($AB160="",$AD160=""),"",ROUND($AB160-$AD160,2)))</f>
        <v>0</v>
      </c>
      <c r="AD160">
        <f>IF(OR(posicao_contratual!$A160="",$W$46=""),0,IF($AB160="","",IF(NOT(ISNUMBER(CHOOSE($W$46+1,posicao_contratual!$AB160,posicao_contratual!$AC160,posicao_contratual!$AD160,posicao_contratual!$AE160,posicao_contratual!$AF160))),0,ROUND(ROUND(CHOOSE($W$46+1,historico_VU!$C160,historico_VU!$D160,historico_VU!$E160,historico_VU!$F160,historico_VU!$G160),2)*CHOOSE($W$46+1,posicao_contratual!$AB160,posicao_contratual!$AC160,posicao_contratual!$AD160,posicao_contratual!$AE160,posicao_contratual!$AF160),2))))</f>
        <v>0</v>
      </c>
    </row>
    <row r="161" spans="1:30" hidden="1" outlineLevel="1" x14ac:dyDescent="0.35">
      <c r="A161" s="137" t="str">
        <f>IF(historico_VU!A109="","",historico_VU!A109)</f>
        <v/>
      </c>
      <c r="B161" s="138" t="str">
        <f>IF(A161="","",historico_VU!B109)</f>
        <v/>
      </c>
      <c r="C161" s="139" t="str">
        <f>IF(A161="","",historico_VU!C109)</f>
        <v/>
      </c>
      <c r="D161" s="139" t="str">
        <f>IF(A161="","",historico_VU!D109)</f>
        <v/>
      </c>
      <c r="E161" s="139" t="str">
        <f>IF(A161="","",historico_VU!E109)</f>
        <v/>
      </c>
      <c r="F161" s="139" t="str">
        <f>IF(A161="","",historico_VU!F109)</f>
        <v/>
      </c>
      <c r="G161" s="139" t="str">
        <f>IF(A161="","",historico_VU!G109)</f>
        <v/>
      </c>
      <c r="H161" s="140" t="str">
        <f>IF(A161="","",historico_VU!H109)</f>
        <v/>
      </c>
      <c r="I161" s="57"/>
      <c r="J161" s="137" t="str">
        <f>IF(itens_Remanesc!A109="","",itens_Remanesc!A109)</f>
        <v/>
      </c>
      <c r="K161" s="138" t="str">
        <f>IF(J161="","",IF($F$4="C0",itens_Remanesc!B109,IF($F$4="C1",itens_Remanesc!E109,IF($F$4="C2",itens_Remanesc!G109,IF($F$4="C3",itens_Remanesc!I109,itens_Remanesc!K109)))))</f>
        <v/>
      </c>
      <c r="L161" s="138" t="str">
        <f>IF(J161="","",IF(SUMIF(itens_Consumidos!$A$2:$A$200,J161,itens_Consumidos!$B$2:$B$200)-SUMIF(itens_Consumidos!$A$2:$A$200,J161,itens_Consumidos!$O$2:$O$200)&lt;0,0,SUMIF(itens_Consumidos!$A$2:$A$200,J161,itens_Consumidos!$B$2:$B$200)-SUMIF(itens_Consumidos!$A$2:$A$200,J161,itens_Consumidos!$O$2:$O$200)))</f>
        <v/>
      </c>
      <c r="M161" s="141" t="str">
        <f>IF(J161="","",itens_Remanesc!C109)</f>
        <v/>
      </c>
      <c r="N161" s="141" t="str">
        <f>IF(J161="","",IF($F$4="C0",historico_VU!C109,IF($F$4="C1",historico_VU!D109,IF($F$4="C2",historico_VU!E109,IF($F$4="C3",historico_VU!F109,historico_VU!G109)))))</f>
        <v/>
      </c>
      <c r="O161" s="141" t="str">
        <f t="shared" si="10"/>
        <v/>
      </c>
      <c r="P161" s="141" t="str">
        <f t="shared" si="11"/>
        <v/>
      </c>
      <c r="Q161" s="142" t="str">
        <f t="shared" si="12"/>
        <v/>
      </c>
      <c r="X161">
        <f>IF(posicao_contratual!$A161="",0,IF(AND(ISNUMBER(posicao_contratual!$Y161),posicao_contratual!$Y161&gt;0),0,IF(AND(ISNUMBER(posicao_contratual!$G161),ISNUMBER(posicao_contratual!$K161),ISNUMBER(historico_VU!$C161)),((posicao_contratual!$G161-N(posicao_contratual!$AB161))-(posicao_contratual!$K161-N(posicao_contratual!$AC161)))*historico_VU!$C161,"")))</f>
        <v>0</v>
      </c>
      <c r="Y161">
        <f>IF(OR(posicao_contratual!$A161="",$T$20=""),0,IF(AND(ISNUMBER(CHOOSE($T$20+1,historico_VU!$C161,historico_VU!$D161,historico_VU!$E161,historico_VU!$F161,historico_VU!$G161)),ISNUMBER(CHOOSE($T$20+1,posicao_contratual!$G161,posicao_contratual!$K161,posicao_contratual!$O161,posicao_contratual!$S161,posicao_contratual!$W161))),ROUND(ROUND(CHOOSE($T$20+1,historico_VU!$C161,historico_VU!$D161,historico_VU!$E161,historico_VU!$F161,historico_VU!$G161),2)*CHOOSE($T$20+1,posicao_contratual!$G161,posicao_contratual!$K161,posicao_contratual!$O161,posicao_contratual!$S161,posicao_contratual!$W161),2),""))</f>
        <v>0</v>
      </c>
      <c r="AB161">
        <f>IF(OR(posicao_contratual!$A161="",$W$46=""),0,IF(AND(ISNUMBER(CHOOSE($W$46+1,historico_VU!$C161,historico_VU!$D161,historico_VU!$E161,historico_VU!$F161,historico_VU!$G161)),ISNUMBER(CHOOSE($W$46+1,posicao_contratual!$G161,posicao_contratual!$K161,posicao_contratual!$O161,posicao_contratual!$S161,posicao_contratual!$W161))),ROUND(ROUND(CHOOSE($W$46+1,historico_VU!$C161,historico_VU!$D161,historico_VU!$E161,historico_VU!$F161,historico_VU!$G161),2)*CHOOSE($W$46+1,posicao_contratual!$G161,posicao_contratual!$K161,posicao_contratual!$O161,posicao_contratual!$S161,posicao_contratual!$W161),2),""))</f>
        <v>0</v>
      </c>
      <c r="AC161">
        <f>IF(OR(posicao_contratual!$A161="",$W$46=""),0,IF(OR($AB161="",$AD161=""),"",ROUND($AB161-$AD161,2)))</f>
        <v>0</v>
      </c>
      <c r="AD161">
        <f>IF(OR(posicao_contratual!$A161="",$W$46=""),0,IF($AB161="","",IF(NOT(ISNUMBER(CHOOSE($W$46+1,posicao_contratual!$AB161,posicao_contratual!$AC161,posicao_contratual!$AD161,posicao_contratual!$AE161,posicao_contratual!$AF161))),0,ROUND(ROUND(CHOOSE($W$46+1,historico_VU!$C161,historico_VU!$D161,historico_VU!$E161,historico_VU!$F161,historico_VU!$G161),2)*CHOOSE($W$46+1,posicao_contratual!$AB161,posicao_contratual!$AC161,posicao_contratual!$AD161,posicao_contratual!$AE161,posicao_contratual!$AF161),2))))</f>
        <v>0</v>
      </c>
    </row>
    <row r="162" spans="1:30" hidden="1" outlineLevel="1" x14ac:dyDescent="0.35">
      <c r="A162" s="137" t="str">
        <f>IF(historico_VU!A110="","",historico_VU!A110)</f>
        <v/>
      </c>
      <c r="B162" s="138" t="str">
        <f>IF(A162="","",historico_VU!B110)</f>
        <v/>
      </c>
      <c r="C162" s="139" t="str">
        <f>IF(A162="","",historico_VU!C110)</f>
        <v/>
      </c>
      <c r="D162" s="139" t="str">
        <f>IF(A162="","",historico_VU!D110)</f>
        <v/>
      </c>
      <c r="E162" s="139" t="str">
        <f>IF(A162="","",historico_VU!E110)</f>
        <v/>
      </c>
      <c r="F162" s="139" t="str">
        <f>IF(A162="","",historico_VU!F110)</f>
        <v/>
      </c>
      <c r="G162" s="139" t="str">
        <f>IF(A162="","",historico_VU!G110)</f>
        <v/>
      </c>
      <c r="H162" s="140" t="str">
        <f>IF(A162="","",historico_VU!H110)</f>
        <v/>
      </c>
      <c r="I162" s="57"/>
      <c r="J162" s="137" t="str">
        <f>IF(itens_Remanesc!A110="","",itens_Remanesc!A110)</f>
        <v/>
      </c>
      <c r="K162" s="138" t="str">
        <f>IF(J162="","",IF($F$4="C0",itens_Remanesc!B110,IF($F$4="C1",itens_Remanesc!E110,IF($F$4="C2",itens_Remanesc!G110,IF($F$4="C3",itens_Remanesc!I110,itens_Remanesc!K110)))))</f>
        <v/>
      </c>
      <c r="L162" s="138" t="str">
        <f>IF(J162="","",IF(SUMIF(itens_Consumidos!$A$2:$A$200,J162,itens_Consumidos!$B$2:$B$200)-SUMIF(itens_Consumidos!$A$2:$A$200,J162,itens_Consumidos!$O$2:$O$200)&lt;0,0,SUMIF(itens_Consumidos!$A$2:$A$200,J162,itens_Consumidos!$B$2:$B$200)-SUMIF(itens_Consumidos!$A$2:$A$200,J162,itens_Consumidos!$O$2:$O$200)))</f>
        <v/>
      </c>
      <c r="M162" s="141" t="str">
        <f>IF(J162="","",itens_Remanesc!C110)</f>
        <v/>
      </c>
      <c r="N162" s="141" t="str">
        <f>IF(J162="","",IF($F$4="C0",historico_VU!C110,IF($F$4="C1",historico_VU!D110,IF($F$4="C2",historico_VU!E110,IF($F$4="C3",historico_VU!F110,historico_VU!G110)))))</f>
        <v/>
      </c>
      <c r="O162" s="141" t="str">
        <f t="shared" si="10"/>
        <v/>
      </c>
      <c r="P162" s="141" t="str">
        <f t="shared" si="11"/>
        <v/>
      </c>
      <c r="Q162" s="142" t="str">
        <f t="shared" si="12"/>
        <v/>
      </c>
      <c r="X162">
        <f>IF(posicao_contratual!$A162="",0,IF(AND(ISNUMBER(posicao_contratual!$Y162),posicao_contratual!$Y162&gt;0),0,IF(AND(ISNUMBER(posicao_contratual!$G162),ISNUMBER(posicao_contratual!$K162),ISNUMBER(historico_VU!$C162)),((posicao_contratual!$G162-N(posicao_contratual!$AB162))-(posicao_contratual!$K162-N(posicao_contratual!$AC162)))*historico_VU!$C162,"")))</f>
        <v>0</v>
      </c>
      <c r="Y162">
        <f>IF(OR(posicao_contratual!$A162="",$T$20=""),0,IF(AND(ISNUMBER(CHOOSE($T$20+1,historico_VU!$C162,historico_VU!$D162,historico_VU!$E162,historico_VU!$F162,historico_VU!$G162)),ISNUMBER(CHOOSE($T$20+1,posicao_contratual!$G162,posicao_contratual!$K162,posicao_contratual!$O162,posicao_contratual!$S162,posicao_contratual!$W162))),ROUND(ROUND(CHOOSE($T$20+1,historico_VU!$C162,historico_VU!$D162,historico_VU!$E162,historico_VU!$F162,historico_VU!$G162),2)*CHOOSE($T$20+1,posicao_contratual!$G162,posicao_contratual!$K162,posicao_contratual!$O162,posicao_contratual!$S162,posicao_contratual!$W162),2),""))</f>
        <v>0</v>
      </c>
      <c r="AB162">
        <f>IF(OR(posicao_contratual!$A162="",$W$46=""),0,IF(AND(ISNUMBER(CHOOSE($W$46+1,historico_VU!$C162,historico_VU!$D162,historico_VU!$E162,historico_VU!$F162,historico_VU!$G162)),ISNUMBER(CHOOSE($W$46+1,posicao_contratual!$G162,posicao_contratual!$K162,posicao_contratual!$O162,posicao_contratual!$S162,posicao_contratual!$W162))),ROUND(ROUND(CHOOSE($W$46+1,historico_VU!$C162,historico_VU!$D162,historico_VU!$E162,historico_VU!$F162,historico_VU!$G162),2)*CHOOSE($W$46+1,posicao_contratual!$G162,posicao_contratual!$K162,posicao_contratual!$O162,posicao_contratual!$S162,posicao_contratual!$W162),2),""))</f>
        <v>0</v>
      </c>
      <c r="AC162">
        <f>IF(OR(posicao_contratual!$A162="",$W$46=""),0,IF(OR($AB162="",$AD162=""),"",ROUND($AB162-$AD162,2)))</f>
        <v>0</v>
      </c>
      <c r="AD162">
        <f>IF(OR(posicao_contratual!$A162="",$W$46=""),0,IF($AB162="","",IF(NOT(ISNUMBER(CHOOSE($W$46+1,posicao_contratual!$AB162,posicao_contratual!$AC162,posicao_contratual!$AD162,posicao_contratual!$AE162,posicao_contratual!$AF162))),0,ROUND(ROUND(CHOOSE($W$46+1,historico_VU!$C162,historico_VU!$D162,historico_VU!$E162,historico_VU!$F162,historico_VU!$G162),2)*CHOOSE($W$46+1,posicao_contratual!$AB162,posicao_contratual!$AC162,posicao_contratual!$AD162,posicao_contratual!$AE162,posicao_contratual!$AF162),2))))</f>
        <v>0</v>
      </c>
    </row>
    <row r="163" spans="1:30" hidden="1" outlineLevel="1" x14ac:dyDescent="0.35">
      <c r="A163" s="137" t="str">
        <f>IF(historico_VU!A111="","",historico_VU!A111)</f>
        <v/>
      </c>
      <c r="B163" s="138" t="str">
        <f>IF(A163="","",historico_VU!B111)</f>
        <v/>
      </c>
      <c r="C163" s="139" t="str">
        <f>IF(A163="","",historico_VU!C111)</f>
        <v/>
      </c>
      <c r="D163" s="139" t="str">
        <f>IF(A163="","",historico_VU!D111)</f>
        <v/>
      </c>
      <c r="E163" s="139" t="str">
        <f>IF(A163="","",historico_VU!E111)</f>
        <v/>
      </c>
      <c r="F163" s="139" t="str">
        <f>IF(A163="","",historico_VU!F111)</f>
        <v/>
      </c>
      <c r="G163" s="139" t="str">
        <f>IF(A163="","",historico_VU!G111)</f>
        <v/>
      </c>
      <c r="H163" s="140" t="str">
        <f>IF(A163="","",historico_VU!H111)</f>
        <v/>
      </c>
      <c r="I163" s="57"/>
      <c r="J163" s="137" t="str">
        <f>IF(itens_Remanesc!A111="","",itens_Remanesc!A111)</f>
        <v/>
      </c>
      <c r="K163" s="138" t="str">
        <f>IF(J163="","",IF($F$4="C0",itens_Remanesc!B111,IF($F$4="C1",itens_Remanesc!E111,IF($F$4="C2",itens_Remanesc!G111,IF($F$4="C3",itens_Remanesc!I111,itens_Remanesc!K111)))))</f>
        <v/>
      </c>
      <c r="L163" s="138" t="str">
        <f>IF(J163="","",IF(SUMIF(itens_Consumidos!$A$2:$A$200,J163,itens_Consumidos!$B$2:$B$200)-SUMIF(itens_Consumidos!$A$2:$A$200,J163,itens_Consumidos!$O$2:$O$200)&lt;0,0,SUMIF(itens_Consumidos!$A$2:$A$200,J163,itens_Consumidos!$B$2:$B$200)-SUMIF(itens_Consumidos!$A$2:$A$200,J163,itens_Consumidos!$O$2:$O$200)))</f>
        <v/>
      </c>
      <c r="M163" s="141" t="str">
        <f>IF(J163="","",itens_Remanesc!C111)</f>
        <v/>
      </c>
      <c r="N163" s="141" t="str">
        <f>IF(J163="","",IF($F$4="C0",historico_VU!C111,IF($F$4="C1",historico_VU!D111,IF($F$4="C2",historico_VU!E111,IF($F$4="C3",historico_VU!F111,historico_VU!G111)))))</f>
        <v/>
      </c>
      <c r="O163" s="141" t="str">
        <f t="shared" si="10"/>
        <v/>
      </c>
      <c r="P163" s="141" t="str">
        <f t="shared" si="11"/>
        <v/>
      </c>
      <c r="Q163" s="142" t="str">
        <f t="shared" si="12"/>
        <v/>
      </c>
      <c r="X163">
        <f>IF(posicao_contratual!$A163="",0,IF(AND(ISNUMBER(posicao_contratual!$Y163),posicao_contratual!$Y163&gt;0),0,IF(AND(ISNUMBER(posicao_contratual!$G163),ISNUMBER(posicao_contratual!$K163),ISNUMBER(historico_VU!$C163)),((posicao_contratual!$G163-N(posicao_contratual!$AB163))-(posicao_contratual!$K163-N(posicao_contratual!$AC163)))*historico_VU!$C163,"")))</f>
        <v>0</v>
      </c>
      <c r="Y163">
        <f>IF(OR(posicao_contratual!$A163="",$T$20=""),0,IF(AND(ISNUMBER(CHOOSE($T$20+1,historico_VU!$C163,historico_VU!$D163,historico_VU!$E163,historico_VU!$F163,historico_VU!$G163)),ISNUMBER(CHOOSE($T$20+1,posicao_contratual!$G163,posicao_contratual!$K163,posicao_contratual!$O163,posicao_contratual!$S163,posicao_contratual!$W163))),ROUND(ROUND(CHOOSE($T$20+1,historico_VU!$C163,historico_VU!$D163,historico_VU!$E163,historico_VU!$F163,historico_VU!$G163),2)*CHOOSE($T$20+1,posicao_contratual!$G163,posicao_contratual!$K163,posicao_contratual!$O163,posicao_contratual!$S163,posicao_contratual!$W163),2),""))</f>
        <v>0</v>
      </c>
      <c r="AB163">
        <f>IF(OR(posicao_contratual!$A163="",$W$46=""),0,IF(AND(ISNUMBER(CHOOSE($W$46+1,historico_VU!$C163,historico_VU!$D163,historico_VU!$E163,historico_VU!$F163,historico_VU!$G163)),ISNUMBER(CHOOSE($W$46+1,posicao_contratual!$G163,posicao_contratual!$K163,posicao_contratual!$O163,posicao_contratual!$S163,posicao_contratual!$W163))),ROUND(ROUND(CHOOSE($W$46+1,historico_VU!$C163,historico_VU!$D163,historico_VU!$E163,historico_VU!$F163,historico_VU!$G163),2)*CHOOSE($W$46+1,posicao_contratual!$G163,posicao_contratual!$K163,posicao_contratual!$O163,posicao_contratual!$S163,posicao_contratual!$W163),2),""))</f>
        <v>0</v>
      </c>
      <c r="AC163">
        <f>IF(OR(posicao_contratual!$A163="",$W$46=""),0,IF(OR($AB163="",$AD163=""),"",ROUND($AB163-$AD163,2)))</f>
        <v>0</v>
      </c>
      <c r="AD163">
        <f>IF(OR(posicao_contratual!$A163="",$W$46=""),0,IF($AB163="","",IF(NOT(ISNUMBER(CHOOSE($W$46+1,posicao_contratual!$AB163,posicao_contratual!$AC163,posicao_contratual!$AD163,posicao_contratual!$AE163,posicao_contratual!$AF163))),0,ROUND(ROUND(CHOOSE($W$46+1,historico_VU!$C163,historico_VU!$D163,historico_VU!$E163,historico_VU!$F163,historico_VU!$G163),2)*CHOOSE($W$46+1,posicao_contratual!$AB163,posicao_contratual!$AC163,posicao_contratual!$AD163,posicao_contratual!$AE163,posicao_contratual!$AF163),2))))</f>
        <v>0</v>
      </c>
    </row>
    <row r="164" spans="1:30" hidden="1" outlineLevel="1" x14ac:dyDescent="0.35">
      <c r="A164" s="137" t="str">
        <f>IF(historico_VU!A112="","",historico_VU!A112)</f>
        <v/>
      </c>
      <c r="B164" s="138" t="str">
        <f>IF(A164="","",historico_VU!B112)</f>
        <v/>
      </c>
      <c r="C164" s="139" t="str">
        <f>IF(A164="","",historico_VU!C112)</f>
        <v/>
      </c>
      <c r="D164" s="139" t="str">
        <f>IF(A164="","",historico_VU!D112)</f>
        <v/>
      </c>
      <c r="E164" s="139" t="str">
        <f>IF(A164="","",historico_VU!E112)</f>
        <v/>
      </c>
      <c r="F164" s="139" t="str">
        <f>IF(A164="","",historico_VU!F112)</f>
        <v/>
      </c>
      <c r="G164" s="139" t="str">
        <f>IF(A164="","",historico_VU!G112)</f>
        <v/>
      </c>
      <c r="H164" s="140" t="str">
        <f>IF(A164="","",historico_VU!H112)</f>
        <v/>
      </c>
      <c r="I164" s="57"/>
      <c r="J164" s="137" t="str">
        <f>IF(itens_Remanesc!A112="","",itens_Remanesc!A112)</f>
        <v/>
      </c>
      <c r="K164" s="138" t="str">
        <f>IF(J164="","",IF($F$4="C0",itens_Remanesc!B112,IF($F$4="C1",itens_Remanesc!E112,IF($F$4="C2",itens_Remanesc!G112,IF($F$4="C3",itens_Remanesc!I112,itens_Remanesc!K112)))))</f>
        <v/>
      </c>
      <c r="L164" s="138" t="str">
        <f>IF(J164="","",IF(SUMIF(itens_Consumidos!$A$2:$A$200,J164,itens_Consumidos!$B$2:$B$200)-SUMIF(itens_Consumidos!$A$2:$A$200,J164,itens_Consumidos!$O$2:$O$200)&lt;0,0,SUMIF(itens_Consumidos!$A$2:$A$200,J164,itens_Consumidos!$B$2:$B$200)-SUMIF(itens_Consumidos!$A$2:$A$200,J164,itens_Consumidos!$O$2:$O$200)))</f>
        <v/>
      </c>
      <c r="M164" s="141" t="str">
        <f>IF(J164="","",itens_Remanesc!C112)</f>
        <v/>
      </c>
      <c r="N164" s="141" t="str">
        <f>IF(J164="","",IF($F$4="C0",historico_VU!C112,IF($F$4="C1",historico_VU!D112,IF($F$4="C2",historico_VU!E112,IF($F$4="C3",historico_VU!F112,historico_VU!G112)))))</f>
        <v/>
      </c>
      <c r="O164" s="141" t="str">
        <f t="shared" si="10"/>
        <v/>
      </c>
      <c r="P164" s="141" t="str">
        <f t="shared" si="11"/>
        <v/>
      </c>
      <c r="Q164" s="142" t="str">
        <f t="shared" si="12"/>
        <v/>
      </c>
      <c r="X164">
        <f>IF(posicao_contratual!$A164="",0,IF(AND(ISNUMBER(posicao_contratual!$Y164),posicao_contratual!$Y164&gt;0),0,IF(AND(ISNUMBER(posicao_contratual!$G164),ISNUMBER(posicao_contratual!$K164),ISNUMBER(historico_VU!$C164)),((posicao_contratual!$G164-N(posicao_contratual!$AB164))-(posicao_contratual!$K164-N(posicao_contratual!$AC164)))*historico_VU!$C164,"")))</f>
        <v>0</v>
      </c>
      <c r="Y164">
        <f>IF(OR(posicao_contratual!$A164="",$T$20=""),0,IF(AND(ISNUMBER(CHOOSE($T$20+1,historico_VU!$C164,historico_VU!$D164,historico_VU!$E164,historico_VU!$F164,historico_VU!$G164)),ISNUMBER(CHOOSE($T$20+1,posicao_contratual!$G164,posicao_contratual!$K164,posicao_contratual!$O164,posicao_contratual!$S164,posicao_contratual!$W164))),ROUND(ROUND(CHOOSE($T$20+1,historico_VU!$C164,historico_VU!$D164,historico_VU!$E164,historico_VU!$F164,historico_VU!$G164),2)*CHOOSE($T$20+1,posicao_contratual!$G164,posicao_contratual!$K164,posicao_contratual!$O164,posicao_contratual!$S164,posicao_contratual!$W164),2),""))</f>
        <v>0</v>
      </c>
      <c r="AB164">
        <f>IF(OR(posicao_contratual!$A164="",$W$46=""),0,IF(AND(ISNUMBER(CHOOSE($W$46+1,historico_VU!$C164,historico_VU!$D164,historico_VU!$E164,historico_VU!$F164,historico_VU!$G164)),ISNUMBER(CHOOSE($W$46+1,posicao_contratual!$G164,posicao_contratual!$K164,posicao_contratual!$O164,posicao_contratual!$S164,posicao_contratual!$W164))),ROUND(ROUND(CHOOSE($W$46+1,historico_VU!$C164,historico_VU!$D164,historico_VU!$E164,historico_VU!$F164,historico_VU!$G164),2)*CHOOSE($W$46+1,posicao_contratual!$G164,posicao_contratual!$K164,posicao_contratual!$O164,posicao_contratual!$S164,posicao_contratual!$W164),2),""))</f>
        <v>0</v>
      </c>
      <c r="AC164">
        <f>IF(OR(posicao_contratual!$A164="",$W$46=""),0,IF(OR($AB164="",$AD164=""),"",ROUND($AB164-$AD164,2)))</f>
        <v>0</v>
      </c>
      <c r="AD164">
        <f>IF(OR(posicao_contratual!$A164="",$W$46=""),0,IF($AB164="","",IF(NOT(ISNUMBER(CHOOSE($W$46+1,posicao_contratual!$AB164,posicao_contratual!$AC164,posicao_contratual!$AD164,posicao_contratual!$AE164,posicao_contratual!$AF164))),0,ROUND(ROUND(CHOOSE($W$46+1,historico_VU!$C164,historico_VU!$D164,historico_VU!$E164,historico_VU!$F164,historico_VU!$G164),2)*CHOOSE($W$46+1,posicao_contratual!$AB164,posicao_contratual!$AC164,posicao_contratual!$AD164,posicao_contratual!$AE164,posicao_contratual!$AF164),2))))</f>
        <v>0</v>
      </c>
    </row>
    <row r="165" spans="1:30" hidden="1" outlineLevel="1" x14ac:dyDescent="0.35">
      <c r="A165" s="137" t="str">
        <f>IF(historico_VU!A113="","",historico_VU!A113)</f>
        <v/>
      </c>
      <c r="B165" s="138" t="str">
        <f>IF(A165="","",historico_VU!B113)</f>
        <v/>
      </c>
      <c r="C165" s="139" t="str">
        <f>IF(A165="","",historico_VU!C113)</f>
        <v/>
      </c>
      <c r="D165" s="139" t="str">
        <f>IF(A165="","",historico_VU!D113)</f>
        <v/>
      </c>
      <c r="E165" s="139" t="str">
        <f>IF(A165="","",historico_VU!E113)</f>
        <v/>
      </c>
      <c r="F165" s="139" t="str">
        <f>IF(A165="","",historico_VU!F113)</f>
        <v/>
      </c>
      <c r="G165" s="139" t="str">
        <f>IF(A165="","",historico_VU!G113)</f>
        <v/>
      </c>
      <c r="H165" s="140" t="str">
        <f>IF(A165="","",historico_VU!H113)</f>
        <v/>
      </c>
      <c r="I165" s="57"/>
      <c r="J165" s="137" t="str">
        <f>IF(itens_Remanesc!A113="","",itens_Remanesc!A113)</f>
        <v/>
      </c>
      <c r="K165" s="138" t="str">
        <f>IF(J165="","",IF($F$4="C0",itens_Remanesc!B113,IF($F$4="C1",itens_Remanesc!E113,IF($F$4="C2",itens_Remanesc!G113,IF($F$4="C3",itens_Remanesc!I113,itens_Remanesc!K113)))))</f>
        <v/>
      </c>
      <c r="L165" s="138" t="str">
        <f>IF(J165="","",IF(SUMIF(itens_Consumidos!$A$2:$A$200,J165,itens_Consumidos!$B$2:$B$200)-SUMIF(itens_Consumidos!$A$2:$A$200,J165,itens_Consumidos!$O$2:$O$200)&lt;0,0,SUMIF(itens_Consumidos!$A$2:$A$200,J165,itens_Consumidos!$B$2:$B$200)-SUMIF(itens_Consumidos!$A$2:$A$200,J165,itens_Consumidos!$O$2:$O$200)))</f>
        <v/>
      </c>
      <c r="M165" s="141" t="str">
        <f>IF(J165="","",itens_Remanesc!C113)</f>
        <v/>
      </c>
      <c r="N165" s="141" t="str">
        <f>IF(J165="","",IF($F$4="C0",historico_VU!C113,IF($F$4="C1",historico_VU!D113,IF($F$4="C2",historico_VU!E113,IF($F$4="C3",historico_VU!F113,historico_VU!G113)))))</f>
        <v/>
      </c>
      <c r="O165" s="141" t="str">
        <f t="shared" si="10"/>
        <v/>
      </c>
      <c r="P165" s="141" t="str">
        <f t="shared" si="11"/>
        <v/>
      </c>
      <c r="Q165" s="142" t="str">
        <f t="shared" si="12"/>
        <v/>
      </c>
      <c r="X165">
        <f>IF(posicao_contratual!$A165="",0,IF(AND(ISNUMBER(posicao_contratual!$Y165),posicao_contratual!$Y165&gt;0),0,IF(AND(ISNUMBER(posicao_contratual!$G165),ISNUMBER(posicao_contratual!$K165),ISNUMBER(historico_VU!$C165)),((posicao_contratual!$G165-N(posicao_contratual!$AB165))-(posicao_contratual!$K165-N(posicao_contratual!$AC165)))*historico_VU!$C165,"")))</f>
        <v>0</v>
      </c>
      <c r="Y165">
        <f>IF(OR(posicao_contratual!$A165="",$T$20=""),0,IF(AND(ISNUMBER(CHOOSE($T$20+1,historico_VU!$C165,historico_VU!$D165,historico_VU!$E165,historico_VU!$F165,historico_VU!$G165)),ISNUMBER(CHOOSE($T$20+1,posicao_contratual!$G165,posicao_contratual!$K165,posicao_contratual!$O165,posicao_contratual!$S165,posicao_contratual!$W165))),ROUND(ROUND(CHOOSE($T$20+1,historico_VU!$C165,historico_VU!$D165,historico_VU!$E165,historico_VU!$F165,historico_VU!$G165),2)*CHOOSE($T$20+1,posicao_contratual!$G165,posicao_contratual!$K165,posicao_contratual!$O165,posicao_contratual!$S165,posicao_contratual!$W165),2),""))</f>
        <v>0</v>
      </c>
      <c r="AB165">
        <f>IF(OR(posicao_contratual!$A165="",$W$46=""),0,IF(AND(ISNUMBER(CHOOSE($W$46+1,historico_VU!$C165,historico_VU!$D165,historico_VU!$E165,historico_VU!$F165,historico_VU!$G165)),ISNUMBER(CHOOSE($W$46+1,posicao_contratual!$G165,posicao_contratual!$K165,posicao_contratual!$O165,posicao_contratual!$S165,posicao_contratual!$W165))),ROUND(ROUND(CHOOSE($W$46+1,historico_VU!$C165,historico_VU!$D165,historico_VU!$E165,historico_VU!$F165,historico_VU!$G165),2)*CHOOSE($W$46+1,posicao_contratual!$G165,posicao_contratual!$K165,posicao_contratual!$O165,posicao_contratual!$S165,posicao_contratual!$W165),2),""))</f>
        <v>0</v>
      </c>
      <c r="AC165">
        <f>IF(OR(posicao_contratual!$A165="",$W$46=""),0,IF(OR($AB165="",$AD165=""),"",ROUND($AB165-$AD165,2)))</f>
        <v>0</v>
      </c>
      <c r="AD165">
        <f>IF(OR(posicao_contratual!$A165="",$W$46=""),0,IF($AB165="","",IF(NOT(ISNUMBER(CHOOSE($W$46+1,posicao_contratual!$AB165,posicao_contratual!$AC165,posicao_contratual!$AD165,posicao_contratual!$AE165,posicao_contratual!$AF165))),0,ROUND(ROUND(CHOOSE($W$46+1,historico_VU!$C165,historico_VU!$D165,historico_VU!$E165,historico_VU!$F165,historico_VU!$G165),2)*CHOOSE($W$46+1,posicao_contratual!$AB165,posicao_contratual!$AC165,posicao_contratual!$AD165,posicao_contratual!$AE165,posicao_contratual!$AF165),2))))</f>
        <v>0</v>
      </c>
    </row>
    <row r="166" spans="1:30" hidden="1" outlineLevel="1" x14ac:dyDescent="0.35">
      <c r="A166" s="137" t="str">
        <f>IF(historico_VU!A114="","",historico_VU!A114)</f>
        <v/>
      </c>
      <c r="B166" s="138" t="str">
        <f>IF(A166="","",historico_VU!B114)</f>
        <v/>
      </c>
      <c r="C166" s="139" t="str">
        <f>IF(A166="","",historico_VU!C114)</f>
        <v/>
      </c>
      <c r="D166" s="139" t="str">
        <f>IF(A166="","",historico_VU!D114)</f>
        <v/>
      </c>
      <c r="E166" s="139" t="str">
        <f>IF(A166="","",historico_VU!E114)</f>
        <v/>
      </c>
      <c r="F166" s="139" t="str">
        <f>IF(A166="","",historico_VU!F114)</f>
        <v/>
      </c>
      <c r="G166" s="139" t="str">
        <f>IF(A166="","",historico_VU!G114)</f>
        <v/>
      </c>
      <c r="H166" s="140" t="str">
        <f>IF(A166="","",historico_VU!H114)</f>
        <v/>
      </c>
      <c r="I166" s="57"/>
      <c r="J166" s="137" t="str">
        <f>IF(itens_Remanesc!A114="","",itens_Remanesc!A114)</f>
        <v/>
      </c>
      <c r="K166" s="138" t="str">
        <f>IF(J166="","",IF($F$4="C0",itens_Remanesc!B114,IF($F$4="C1",itens_Remanesc!E114,IF($F$4="C2",itens_Remanesc!G114,IF($F$4="C3",itens_Remanesc!I114,itens_Remanesc!K114)))))</f>
        <v/>
      </c>
      <c r="L166" s="138" t="str">
        <f>IF(J166="","",IF(SUMIF(itens_Consumidos!$A$2:$A$200,J166,itens_Consumidos!$B$2:$B$200)-SUMIF(itens_Consumidos!$A$2:$A$200,J166,itens_Consumidos!$O$2:$O$200)&lt;0,0,SUMIF(itens_Consumidos!$A$2:$A$200,J166,itens_Consumidos!$B$2:$B$200)-SUMIF(itens_Consumidos!$A$2:$A$200,J166,itens_Consumidos!$O$2:$O$200)))</f>
        <v/>
      </c>
      <c r="M166" s="141" t="str">
        <f>IF(J166="","",itens_Remanesc!C114)</f>
        <v/>
      </c>
      <c r="N166" s="141" t="str">
        <f>IF(J166="","",IF($F$4="C0",historico_VU!C114,IF($F$4="C1",historico_VU!D114,IF($F$4="C2",historico_VU!E114,IF($F$4="C3",historico_VU!F114,historico_VU!G114)))))</f>
        <v/>
      </c>
      <c r="O166" s="141" t="str">
        <f t="shared" si="10"/>
        <v/>
      </c>
      <c r="P166" s="141" t="str">
        <f t="shared" si="11"/>
        <v/>
      </c>
      <c r="Q166" s="142" t="str">
        <f t="shared" si="12"/>
        <v/>
      </c>
      <c r="X166">
        <f>IF(posicao_contratual!$A166="",0,IF(AND(ISNUMBER(posicao_contratual!$Y166),posicao_contratual!$Y166&gt;0),0,IF(AND(ISNUMBER(posicao_contratual!$G166),ISNUMBER(posicao_contratual!$K166),ISNUMBER(historico_VU!$C166)),((posicao_contratual!$G166-N(posicao_contratual!$AB166))-(posicao_contratual!$K166-N(posicao_contratual!$AC166)))*historico_VU!$C166,"")))</f>
        <v>0</v>
      </c>
      <c r="Y166">
        <f>IF(OR(posicao_contratual!$A166="",$T$20=""),0,IF(AND(ISNUMBER(CHOOSE($T$20+1,historico_VU!$C166,historico_VU!$D166,historico_VU!$E166,historico_VU!$F166,historico_VU!$G166)),ISNUMBER(CHOOSE($T$20+1,posicao_contratual!$G166,posicao_contratual!$K166,posicao_contratual!$O166,posicao_contratual!$S166,posicao_contratual!$W166))),ROUND(ROUND(CHOOSE($T$20+1,historico_VU!$C166,historico_VU!$D166,historico_VU!$E166,historico_VU!$F166,historico_VU!$G166),2)*CHOOSE($T$20+1,posicao_contratual!$G166,posicao_contratual!$K166,posicao_contratual!$O166,posicao_contratual!$S166,posicao_contratual!$W166),2),""))</f>
        <v>0</v>
      </c>
      <c r="AB166">
        <f>IF(OR(posicao_contratual!$A166="",$W$46=""),0,IF(AND(ISNUMBER(CHOOSE($W$46+1,historico_VU!$C166,historico_VU!$D166,historico_VU!$E166,historico_VU!$F166,historico_VU!$G166)),ISNUMBER(CHOOSE($W$46+1,posicao_contratual!$G166,posicao_contratual!$K166,posicao_contratual!$O166,posicao_contratual!$S166,posicao_contratual!$W166))),ROUND(ROUND(CHOOSE($W$46+1,historico_VU!$C166,historico_VU!$D166,historico_VU!$E166,historico_VU!$F166,historico_VU!$G166),2)*CHOOSE($W$46+1,posicao_contratual!$G166,posicao_contratual!$K166,posicao_contratual!$O166,posicao_contratual!$S166,posicao_contratual!$W166),2),""))</f>
        <v>0</v>
      </c>
      <c r="AC166">
        <f>IF(OR(posicao_contratual!$A166="",$W$46=""),0,IF(OR($AB166="",$AD166=""),"",ROUND($AB166-$AD166,2)))</f>
        <v>0</v>
      </c>
      <c r="AD166">
        <f>IF(OR(posicao_contratual!$A166="",$W$46=""),0,IF($AB166="","",IF(NOT(ISNUMBER(CHOOSE($W$46+1,posicao_contratual!$AB166,posicao_contratual!$AC166,posicao_contratual!$AD166,posicao_contratual!$AE166,posicao_contratual!$AF166))),0,ROUND(ROUND(CHOOSE($W$46+1,historico_VU!$C166,historico_VU!$D166,historico_VU!$E166,historico_VU!$F166,historico_VU!$G166),2)*CHOOSE($W$46+1,posicao_contratual!$AB166,posicao_contratual!$AC166,posicao_contratual!$AD166,posicao_contratual!$AE166,posicao_contratual!$AF166),2))))</f>
        <v>0</v>
      </c>
    </row>
    <row r="167" spans="1:30" hidden="1" outlineLevel="1" x14ac:dyDescent="0.35">
      <c r="A167" s="137" t="str">
        <f>IF(historico_VU!A115="","",historico_VU!A115)</f>
        <v/>
      </c>
      <c r="B167" s="138" t="str">
        <f>IF(A167="","",historico_VU!B115)</f>
        <v/>
      </c>
      <c r="C167" s="139" t="str">
        <f>IF(A167="","",historico_VU!C115)</f>
        <v/>
      </c>
      <c r="D167" s="139" t="str">
        <f>IF(A167="","",historico_VU!D115)</f>
        <v/>
      </c>
      <c r="E167" s="139" t="str">
        <f>IF(A167="","",historico_VU!E115)</f>
        <v/>
      </c>
      <c r="F167" s="139" t="str">
        <f>IF(A167="","",historico_VU!F115)</f>
        <v/>
      </c>
      <c r="G167" s="139" t="str">
        <f>IF(A167="","",historico_VU!G115)</f>
        <v/>
      </c>
      <c r="H167" s="140" t="str">
        <f>IF(A167="","",historico_VU!H115)</f>
        <v/>
      </c>
      <c r="I167" s="57"/>
      <c r="J167" s="137" t="str">
        <f>IF(itens_Remanesc!A115="","",itens_Remanesc!A115)</f>
        <v/>
      </c>
      <c r="K167" s="138" t="str">
        <f>IF(J167="","",IF($F$4="C0",itens_Remanesc!B115,IF($F$4="C1",itens_Remanesc!E115,IF($F$4="C2",itens_Remanesc!G115,IF($F$4="C3",itens_Remanesc!I115,itens_Remanesc!K115)))))</f>
        <v/>
      </c>
      <c r="L167" s="138" t="str">
        <f>IF(J167="","",IF(SUMIF(itens_Consumidos!$A$2:$A$200,J167,itens_Consumidos!$B$2:$B$200)-SUMIF(itens_Consumidos!$A$2:$A$200,J167,itens_Consumidos!$O$2:$O$200)&lt;0,0,SUMIF(itens_Consumidos!$A$2:$A$200,J167,itens_Consumidos!$B$2:$B$200)-SUMIF(itens_Consumidos!$A$2:$A$200,J167,itens_Consumidos!$O$2:$O$200)))</f>
        <v/>
      </c>
      <c r="M167" s="141" t="str">
        <f>IF(J167="","",itens_Remanesc!C115)</f>
        <v/>
      </c>
      <c r="N167" s="141" t="str">
        <f>IF(J167="","",IF($F$4="C0",historico_VU!C115,IF($F$4="C1",historico_VU!D115,IF($F$4="C2",historico_VU!E115,IF($F$4="C3",historico_VU!F115,historico_VU!G115)))))</f>
        <v/>
      </c>
      <c r="O167" s="141" t="str">
        <f t="shared" si="10"/>
        <v/>
      </c>
      <c r="P167" s="141" t="str">
        <f t="shared" si="11"/>
        <v/>
      </c>
      <c r="Q167" s="142" t="str">
        <f t="shared" si="12"/>
        <v/>
      </c>
      <c r="X167">
        <f>IF(posicao_contratual!$A167="",0,IF(AND(ISNUMBER(posicao_contratual!$Y167),posicao_contratual!$Y167&gt;0),0,IF(AND(ISNUMBER(posicao_contratual!$G167),ISNUMBER(posicao_contratual!$K167),ISNUMBER(historico_VU!$C167)),((posicao_contratual!$G167-N(posicao_contratual!$AB167))-(posicao_contratual!$K167-N(posicao_contratual!$AC167)))*historico_VU!$C167,"")))</f>
        <v>0</v>
      </c>
      <c r="Y167">
        <f>IF(OR(posicao_contratual!$A167="",$T$20=""),0,IF(AND(ISNUMBER(CHOOSE($T$20+1,historico_VU!$C167,historico_VU!$D167,historico_VU!$E167,historico_VU!$F167,historico_VU!$G167)),ISNUMBER(CHOOSE($T$20+1,posicao_contratual!$G167,posicao_contratual!$K167,posicao_contratual!$O167,posicao_contratual!$S167,posicao_contratual!$W167))),ROUND(ROUND(CHOOSE($T$20+1,historico_VU!$C167,historico_VU!$D167,historico_VU!$E167,historico_VU!$F167,historico_VU!$G167),2)*CHOOSE($T$20+1,posicao_contratual!$G167,posicao_contratual!$K167,posicao_contratual!$O167,posicao_contratual!$S167,posicao_contratual!$W167),2),""))</f>
        <v>0</v>
      </c>
      <c r="AB167">
        <f>IF(OR(posicao_contratual!$A167="",$W$46=""),0,IF(AND(ISNUMBER(CHOOSE($W$46+1,historico_VU!$C167,historico_VU!$D167,historico_VU!$E167,historico_VU!$F167,historico_VU!$G167)),ISNUMBER(CHOOSE($W$46+1,posicao_contratual!$G167,posicao_contratual!$K167,posicao_contratual!$O167,posicao_contratual!$S167,posicao_contratual!$W167))),ROUND(ROUND(CHOOSE($W$46+1,historico_VU!$C167,historico_VU!$D167,historico_VU!$E167,historico_VU!$F167,historico_VU!$G167),2)*CHOOSE($W$46+1,posicao_contratual!$G167,posicao_contratual!$K167,posicao_contratual!$O167,posicao_contratual!$S167,posicao_contratual!$W167),2),""))</f>
        <v>0</v>
      </c>
      <c r="AC167">
        <f>IF(OR(posicao_contratual!$A167="",$W$46=""),0,IF(OR($AB167="",$AD167=""),"",ROUND($AB167-$AD167,2)))</f>
        <v>0</v>
      </c>
      <c r="AD167">
        <f>IF(OR(posicao_contratual!$A167="",$W$46=""),0,IF($AB167="","",IF(NOT(ISNUMBER(CHOOSE($W$46+1,posicao_contratual!$AB167,posicao_contratual!$AC167,posicao_contratual!$AD167,posicao_contratual!$AE167,posicao_contratual!$AF167))),0,ROUND(ROUND(CHOOSE($W$46+1,historico_VU!$C167,historico_VU!$D167,historico_VU!$E167,historico_VU!$F167,historico_VU!$G167),2)*CHOOSE($W$46+1,posicao_contratual!$AB167,posicao_contratual!$AC167,posicao_contratual!$AD167,posicao_contratual!$AE167,posicao_contratual!$AF167),2))))</f>
        <v>0</v>
      </c>
    </row>
    <row r="168" spans="1:30" hidden="1" outlineLevel="1" x14ac:dyDescent="0.35">
      <c r="A168" s="137" t="str">
        <f>IF(historico_VU!A116="","",historico_VU!A116)</f>
        <v/>
      </c>
      <c r="B168" s="138" t="str">
        <f>IF(A168="","",historico_VU!B116)</f>
        <v/>
      </c>
      <c r="C168" s="139" t="str">
        <f>IF(A168="","",historico_VU!C116)</f>
        <v/>
      </c>
      <c r="D168" s="139" t="str">
        <f>IF(A168="","",historico_VU!D116)</f>
        <v/>
      </c>
      <c r="E168" s="139" t="str">
        <f>IF(A168="","",historico_VU!E116)</f>
        <v/>
      </c>
      <c r="F168" s="139" t="str">
        <f>IF(A168="","",historico_VU!F116)</f>
        <v/>
      </c>
      <c r="G168" s="139" t="str">
        <f>IF(A168="","",historico_VU!G116)</f>
        <v/>
      </c>
      <c r="H168" s="140" t="str">
        <f>IF(A168="","",historico_VU!H116)</f>
        <v/>
      </c>
      <c r="I168" s="57"/>
      <c r="J168" s="137" t="str">
        <f>IF(itens_Remanesc!A116="","",itens_Remanesc!A116)</f>
        <v/>
      </c>
      <c r="K168" s="138" t="str">
        <f>IF(J168="","",IF($F$4="C0",itens_Remanesc!B116,IF($F$4="C1",itens_Remanesc!E116,IF($F$4="C2",itens_Remanesc!G116,IF($F$4="C3",itens_Remanesc!I116,itens_Remanesc!K116)))))</f>
        <v/>
      </c>
      <c r="L168" s="138" t="str">
        <f>IF(J168="","",IF(SUMIF(itens_Consumidos!$A$2:$A$200,J168,itens_Consumidos!$B$2:$B$200)-SUMIF(itens_Consumidos!$A$2:$A$200,J168,itens_Consumidos!$O$2:$O$200)&lt;0,0,SUMIF(itens_Consumidos!$A$2:$A$200,J168,itens_Consumidos!$B$2:$B$200)-SUMIF(itens_Consumidos!$A$2:$A$200,J168,itens_Consumidos!$O$2:$O$200)))</f>
        <v/>
      </c>
      <c r="M168" s="141" t="str">
        <f>IF(J168="","",itens_Remanesc!C116)</f>
        <v/>
      </c>
      <c r="N168" s="141" t="str">
        <f>IF(J168="","",IF($F$4="C0",historico_VU!C116,IF($F$4="C1",historico_VU!D116,IF($F$4="C2",historico_VU!E116,IF($F$4="C3",historico_VU!F116,historico_VU!G116)))))</f>
        <v/>
      </c>
      <c r="O168" s="141" t="str">
        <f t="shared" si="10"/>
        <v/>
      </c>
      <c r="P168" s="141" t="str">
        <f t="shared" si="11"/>
        <v/>
      </c>
      <c r="Q168" s="142" t="str">
        <f t="shared" si="12"/>
        <v/>
      </c>
      <c r="X168">
        <f>IF(posicao_contratual!$A168="",0,IF(AND(ISNUMBER(posicao_contratual!$Y168),posicao_contratual!$Y168&gt;0),0,IF(AND(ISNUMBER(posicao_contratual!$G168),ISNUMBER(posicao_contratual!$K168),ISNUMBER(historico_VU!$C168)),((posicao_contratual!$G168-N(posicao_contratual!$AB168))-(posicao_contratual!$K168-N(posicao_contratual!$AC168)))*historico_VU!$C168,"")))</f>
        <v>0</v>
      </c>
      <c r="Y168">
        <f>IF(OR(posicao_contratual!$A168="",$T$20=""),0,IF(AND(ISNUMBER(CHOOSE($T$20+1,historico_VU!$C168,historico_VU!$D168,historico_VU!$E168,historico_VU!$F168,historico_VU!$G168)),ISNUMBER(CHOOSE($T$20+1,posicao_contratual!$G168,posicao_contratual!$K168,posicao_contratual!$O168,posicao_contratual!$S168,posicao_contratual!$W168))),ROUND(ROUND(CHOOSE($T$20+1,historico_VU!$C168,historico_VU!$D168,historico_VU!$E168,historico_VU!$F168,historico_VU!$G168),2)*CHOOSE($T$20+1,posicao_contratual!$G168,posicao_contratual!$K168,posicao_contratual!$O168,posicao_contratual!$S168,posicao_contratual!$W168),2),""))</f>
        <v>0</v>
      </c>
      <c r="AB168">
        <f>IF(OR(posicao_contratual!$A168="",$W$46=""),0,IF(AND(ISNUMBER(CHOOSE($W$46+1,historico_VU!$C168,historico_VU!$D168,historico_VU!$E168,historico_VU!$F168,historico_VU!$G168)),ISNUMBER(CHOOSE($W$46+1,posicao_contratual!$G168,posicao_contratual!$K168,posicao_contratual!$O168,posicao_contratual!$S168,posicao_contratual!$W168))),ROUND(ROUND(CHOOSE($W$46+1,historico_VU!$C168,historico_VU!$D168,historico_VU!$E168,historico_VU!$F168,historico_VU!$G168),2)*CHOOSE($W$46+1,posicao_contratual!$G168,posicao_contratual!$K168,posicao_contratual!$O168,posicao_contratual!$S168,posicao_contratual!$W168),2),""))</f>
        <v>0</v>
      </c>
      <c r="AC168">
        <f>IF(OR(posicao_contratual!$A168="",$W$46=""),0,IF(OR($AB168="",$AD168=""),"",ROUND($AB168-$AD168,2)))</f>
        <v>0</v>
      </c>
      <c r="AD168">
        <f>IF(OR(posicao_contratual!$A168="",$W$46=""),0,IF($AB168="","",IF(NOT(ISNUMBER(CHOOSE($W$46+1,posicao_contratual!$AB168,posicao_contratual!$AC168,posicao_contratual!$AD168,posicao_contratual!$AE168,posicao_contratual!$AF168))),0,ROUND(ROUND(CHOOSE($W$46+1,historico_VU!$C168,historico_VU!$D168,historico_VU!$E168,historico_VU!$F168,historico_VU!$G168),2)*CHOOSE($W$46+1,posicao_contratual!$AB168,posicao_contratual!$AC168,posicao_contratual!$AD168,posicao_contratual!$AE168,posicao_contratual!$AF168),2))))</f>
        <v>0</v>
      </c>
    </row>
    <row r="169" spans="1:30" hidden="1" outlineLevel="1" x14ac:dyDescent="0.35">
      <c r="A169" s="137" t="str">
        <f>IF(historico_VU!A117="","",historico_VU!A117)</f>
        <v/>
      </c>
      <c r="B169" s="138" t="str">
        <f>IF(A169="","",historico_VU!B117)</f>
        <v/>
      </c>
      <c r="C169" s="139" t="str">
        <f>IF(A169="","",historico_VU!C117)</f>
        <v/>
      </c>
      <c r="D169" s="139" t="str">
        <f>IF(A169="","",historico_VU!D117)</f>
        <v/>
      </c>
      <c r="E169" s="139" t="str">
        <f>IF(A169="","",historico_VU!E117)</f>
        <v/>
      </c>
      <c r="F169" s="139" t="str">
        <f>IF(A169="","",historico_VU!F117)</f>
        <v/>
      </c>
      <c r="G169" s="139" t="str">
        <f>IF(A169="","",historico_VU!G117)</f>
        <v/>
      </c>
      <c r="H169" s="140" t="str">
        <f>IF(A169="","",historico_VU!H117)</f>
        <v/>
      </c>
      <c r="I169" s="57"/>
      <c r="J169" s="137" t="str">
        <f>IF(itens_Remanesc!A117="","",itens_Remanesc!A117)</f>
        <v/>
      </c>
      <c r="K169" s="138" t="str">
        <f>IF(J169="","",IF($F$4="C0",itens_Remanesc!B117,IF($F$4="C1",itens_Remanesc!E117,IF($F$4="C2",itens_Remanesc!G117,IF($F$4="C3",itens_Remanesc!I117,itens_Remanesc!K117)))))</f>
        <v/>
      </c>
      <c r="L169" s="138" t="str">
        <f>IF(J169="","",IF(SUMIF(itens_Consumidos!$A$2:$A$200,J169,itens_Consumidos!$B$2:$B$200)-SUMIF(itens_Consumidos!$A$2:$A$200,J169,itens_Consumidos!$O$2:$O$200)&lt;0,0,SUMIF(itens_Consumidos!$A$2:$A$200,J169,itens_Consumidos!$B$2:$B$200)-SUMIF(itens_Consumidos!$A$2:$A$200,J169,itens_Consumidos!$O$2:$O$200)))</f>
        <v/>
      </c>
      <c r="M169" s="141" t="str">
        <f>IF(J169="","",itens_Remanesc!C117)</f>
        <v/>
      </c>
      <c r="N169" s="141" t="str">
        <f>IF(J169="","",IF($F$4="C0",historico_VU!C117,IF($F$4="C1",historico_VU!D117,IF($F$4="C2",historico_VU!E117,IF($F$4="C3",historico_VU!F117,historico_VU!G117)))))</f>
        <v/>
      </c>
      <c r="O169" s="141" t="str">
        <f t="shared" si="10"/>
        <v/>
      </c>
      <c r="P169" s="141" t="str">
        <f t="shared" si="11"/>
        <v/>
      </c>
      <c r="Q169" s="142" t="str">
        <f t="shared" si="12"/>
        <v/>
      </c>
      <c r="X169">
        <f>IF(posicao_contratual!$A169="",0,IF(AND(ISNUMBER(posicao_contratual!$Y169),posicao_contratual!$Y169&gt;0),0,IF(AND(ISNUMBER(posicao_contratual!$G169),ISNUMBER(posicao_contratual!$K169),ISNUMBER(historico_VU!$C169)),((posicao_contratual!$G169-N(posicao_contratual!$AB169))-(posicao_contratual!$K169-N(posicao_contratual!$AC169)))*historico_VU!$C169,"")))</f>
        <v>0</v>
      </c>
      <c r="Y169">
        <f>IF(OR(posicao_contratual!$A169="",$T$20=""),0,IF(AND(ISNUMBER(CHOOSE($T$20+1,historico_VU!$C169,historico_VU!$D169,historico_VU!$E169,historico_VU!$F169,historico_VU!$G169)),ISNUMBER(CHOOSE($T$20+1,posicao_contratual!$G169,posicao_contratual!$K169,posicao_contratual!$O169,posicao_contratual!$S169,posicao_contratual!$W169))),ROUND(ROUND(CHOOSE($T$20+1,historico_VU!$C169,historico_VU!$D169,historico_VU!$E169,historico_VU!$F169,historico_VU!$G169),2)*CHOOSE($T$20+1,posicao_contratual!$G169,posicao_contratual!$K169,posicao_contratual!$O169,posicao_contratual!$S169,posicao_contratual!$W169),2),""))</f>
        <v>0</v>
      </c>
      <c r="AB169">
        <f>IF(OR(posicao_contratual!$A169="",$W$46=""),0,IF(AND(ISNUMBER(CHOOSE($W$46+1,historico_VU!$C169,historico_VU!$D169,historico_VU!$E169,historico_VU!$F169,historico_VU!$G169)),ISNUMBER(CHOOSE($W$46+1,posicao_contratual!$G169,posicao_contratual!$K169,posicao_contratual!$O169,posicao_contratual!$S169,posicao_contratual!$W169))),ROUND(ROUND(CHOOSE($W$46+1,historico_VU!$C169,historico_VU!$D169,historico_VU!$E169,historico_VU!$F169,historico_VU!$G169),2)*CHOOSE($W$46+1,posicao_contratual!$G169,posicao_contratual!$K169,posicao_contratual!$O169,posicao_contratual!$S169,posicao_contratual!$W169),2),""))</f>
        <v>0</v>
      </c>
      <c r="AC169">
        <f>IF(OR(posicao_contratual!$A169="",$W$46=""),0,IF(OR($AB169="",$AD169=""),"",ROUND($AB169-$AD169,2)))</f>
        <v>0</v>
      </c>
      <c r="AD169">
        <f>IF(OR(posicao_contratual!$A169="",$W$46=""),0,IF($AB169="","",IF(NOT(ISNUMBER(CHOOSE($W$46+1,posicao_contratual!$AB169,posicao_contratual!$AC169,posicao_contratual!$AD169,posicao_contratual!$AE169,posicao_contratual!$AF169))),0,ROUND(ROUND(CHOOSE($W$46+1,historico_VU!$C169,historico_VU!$D169,historico_VU!$E169,historico_VU!$F169,historico_VU!$G169),2)*CHOOSE($W$46+1,posicao_contratual!$AB169,posicao_contratual!$AC169,posicao_contratual!$AD169,posicao_contratual!$AE169,posicao_contratual!$AF169),2))))</f>
        <v>0</v>
      </c>
    </row>
    <row r="170" spans="1:30" hidden="1" outlineLevel="1" x14ac:dyDescent="0.35">
      <c r="A170" s="137" t="str">
        <f>IF(historico_VU!A118="","",historico_VU!A118)</f>
        <v/>
      </c>
      <c r="B170" s="138" t="str">
        <f>IF(A170="","",historico_VU!B118)</f>
        <v/>
      </c>
      <c r="C170" s="139" t="str">
        <f>IF(A170="","",historico_VU!C118)</f>
        <v/>
      </c>
      <c r="D170" s="139" t="str">
        <f>IF(A170="","",historico_VU!D118)</f>
        <v/>
      </c>
      <c r="E170" s="139" t="str">
        <f>IF(A170="","",historico_VU!E118)</f>
        <v/>
      </c>
      <c r="F170" s="139" t="str">
        <f>IF(A170="","",historico_VU!F118)</f>
        <v/>
      </c>
      <c r="G170" s="139" t="str">
        <f>IF(A170="","",historico_VU!G118)</f>
        <v/>
      </c>
      <c r="H170" s="140" t="str">
        <f>IF(A170="","",historico_VU!H118)</f>
        <v/>
      </c>
      <c r="I170" s="57"/>
      <c r="J170" s="137" t="str">
        <f>IF(itens_Remanesc!A118="","",itens_Remanesc!A118)</f>
        <v/>
      </c>
      <c r="K170" s="138" t="str">
        <f>IF(J170="","",IF($F$4="C0",itens_Remanesc!B118,IF($F$4="C1",itens_Remanesc!E118,IF($F$4="C2",itens_Remanesc!G118,IF($F$4="C3",itens_Remanesc!I118,itens_Remanesc!K118)))))</f>
        <v/>
      </c>
      <c r="L170" s="138" t="str">
        <f>IF(J170="","",IF(SUMIF(itens_Consumidos!$A$2:$A$200,J170,itens_Consumidos!$B$2:$B$200)-SUMIF(itens_Consumidos!$A$2:$A$200,J170,itens_Consumidos!$O$2:$O$200)&lt;0,0,SUMIF(itens_Consumidos!$A$2:$A$200,J170,itens_Consumidos!$B$2:$B$200)-SUMIF(itens_Consumidos!$A$2:$A$200,J170,itens_Consumidos!$O$2:$O$200)))</f>
        <v/>
      </c>
      <c r="M170" s="141" t="str">
        <f>IF(J170="","",itens_Remanesc!C118)</f>
        <v/>
      </c>
      <c r="N170" s="141" t="str">
        <f>IF(J170="","",IF($F$4="C0",historico_VU!C118,IF($F$4="C1",historico_VU!D118,IF($F$4="C2",historico_VU!E118,IF($F$4="C3",historico_VU!F118,historico_VU!G118)))))</f>
        <v/>
      </c>
      <c r="O170" s="141" t="str">
        <f t="shared" si="10"/>
        <v/>
      </c>
      <c r="P170" s="141" t="str">
        <f t="shared" si="11"/>
        <v/>
      </c>
      <c r="Q170" s="142" t="str">
        <f t="shared" si="12"/>
        <v/>
      </c>
      <c r="X170">
        <f>IF(posicao_contratual!$A170="",0,IF(AND(ISNUMBER(posicao_contratual!$Y170),posicao_contratual!$Y170&gt;0),0,IF(AND(ISNUMBER(posicao_contratual!$G170),ISNUMBER(posicao_contratual!$K170),ISNUMBER(historico_VU!$C170)),((posicao_contratual!$G170-N(posicao_contratual!$AB170))-(posicao_contratual!$K170-N(posicao_contratual!$AC170)))*historico_VU!$C170,"")))</f>
        <v>0</v>
      </c>
      <c r="Y170">
        <f>IF(OR(posicao_contratual!$A170="",$T$20=""),0,IF(AND(ISNUMBER(CHOOSE($T$20+1,historico_VU!$C170,historico_VU!$D170,historico_VU!$E170,historico_VU!$F170,historico_VU!$G170)),ISNUMBER(CHOOSE($T$20+1,posicao_contratual!$G170,posicao_contratual!$K170,posicao_contratual!$O170,posicao_contratual!$S170,posicao_contratual!$W170))),ROUND(ROUND(CHOOSE($T$20+1,historico_VU!$C170,historico_VU!$D170,historico_VU!$E170,historico_VU!$F170,historico_VU!$G170),2)*CHOOSE($T$20+1,posicao_contratual!$G170,posicao_contratual!$K170,posicao_contratual!$O170,posicao_contratual!$S170,posicao_contratual!$W170),2),""))</f>
        <v>0</v>
      </c>
      <c r="AB170">
        <f>IF(OR(posicao_contratual!$A170="",$W$46=""),0,IF(AND(ISNUMBER(CHOOSE($W$46+1,historico_VU!$C170,historico_VU!$D170,historico_VU!$E170,historico_VU!$F170,historico_VU!$G170)),ISNUMBER(CHOOSE($W$46+1,posicao_contratual!$G170,posicao_contratual!$K170,posicao_contratual!$O170,posicao_contratual!$S170,posicao_contratual!$W170))),ROUND(ROUND(CHOOSE($W$46+1,historico_VU!$C170,historico_VU!$D170,historico_VU!$E170,historico_VU!$F170,historico_VU!$G170),2)*CHOOSE($W$46+1,posicao_contratual!$G170,posicao_contratual!$K170,posicao_contratual!$O170,posicao_contratual!$S170,posicao_contratual!$W170),2),""))</f>
        <v>0</v>
      </c>
      <c r="AC170">
        <f>IF(OR(posicao_contratual!$A170="",$W$46=""),0,IF(OR($AB170="",$AD170=""),"",ROUND($AB170-$AD170,2)))</f>
        <v>0</v>
      </c>
      <c r="AD170">
        <f>IF(OR(posicao_contratual!$A170="",$W$46=""),0,IF($AB170="","",IF(NOT(ISNUMBER(CHOOSE($W$46+1,posicao_contratual!$AB170,posicao_contratual!$AC170,posicao_contratual!$AD170,posicao_contratual!$AE170,posicao_contratual!$AF170))),0,ROUND(ROUND(CHOOSE($W$46+1,historico_VU!$C170,historico_VU!$D170,historico_VU!$E170,historico_VU!$F170,historico_VU!$G170),2)*CHOOSE($W$46+1,posicao_contratual!$AB170,posicao_contratual!$AC170,posicao_contratual!$AD170,posicao_contratual!$AE170,posicao_contratual!$AF170),2))))</f>
        <v>0</v>
      </c>
    </row>
    <row r="171" spans="1:30" hidden="1" outlineLevel="1" x14ac:dyDescent="0.35">
      <c r="A171" s="137" t="str">
        <f>IF(historico_VU!A119="","",historico_VU!A119)</f>
        <v/>
      </c>
      <c r="B171" s="138" t="str">
        <f>IF(A171="","",historico_VU!B119)</f>
        <v/>
      </c>
      <c r="C171" s="139" t="str">
        <f>IF(A171="","",historico_VU!C119)</f>
        <v/>
      </c>
      <c r="D171" s="139" t="str">
        <f>IF(A171="","",historico_VU!D119)</f>
        <v/>
      </c>
      <c r="E171" s="139" t="str">
        <f>IF(A171="","",historico_VU!E119)</f>
        <v/>
      </c>
      <c r="F171" s="139" t="str">
        <f>IF(A171="","",historico_VU!F119)</f>
        <v/>
      </c>
      <c r="G171" s="139" t="str">
        <f>IF(A171="","",historico_VU!G119)</f>
        <v/>
      </c>
      <c r="H171" s="140" t="str">
        <f>IF(A171="","",historico_VU!H119)</f>
        <v/>
      </c>
      <c r="I171" s="57"/>
      <c r="J171" s="137" t="str">
        <f>IF(itens_Remanesc!A119="","",itens_Remanesc!A119)</f>
        <v/>
      </c>
      <c r="K171" s="138" t="str">
        <f>IF(J171="","",IF($F$4="C0",itens_Remanesc!B119,IF($F$4="C1",itens_Remanesc!E119,IF($F$4="C2",itens_Remanesc!G119,IF($F$4="C3",itens_Remanesc!I119,itens_Remanesc!K119)))))</f>
        <v/>
      </c>
      <c r="L171" s="138" t="str">
        <f>IF(J171="","",IF(SUMIF(itens_Consumidos!$A$2:$A$200,J171,itens_Consumidos!$B$2:$B$200)-SUMIF(itens_Consumidos!$A$2:$A$200,J171,itens_Consumidos!$O$2:$O$200)&lt;0,0,SUMIF(itens_Consumidos!$A$2:$A$200,J171,itens_Consumidos!$B$2:$B$200)-SUMIF(itens_Consumidos!$A$2:$A$200,J171,itens_Consumidos!$O$2:$O$200)))</f>
        <v/>
      </c>
      <c r="M171" s="141" t="str">
        <f>IF(J171="","",itens_Remanesc!C119)</f>
        <v/>
      </c>
      <c r="N171" s="141" t="str">
        <f>IF(J171="","",IF($F$4="C0",historico_VU!C119,IF($F$4="C1",historico_VU!D119,IF($F$4="C2",historico_VU!E119,IF($F$4="C3",historico_VU!F119,historico_VU!G119)))))</f>
        <v/>
      </c>
      <c r="O171" s="141" t="str">
        <f t="shared" si="10"/>
        <v/>
      </c>
      <c r="P171" s="141" t="str">
        <f t="shared" si="11"/>
        <v/>
      </c>
      <c r="Q171" s="142" t="str">
        <f t="shared" si="12"/>
        <v/>
      </c>
      <c r="X171">
        <f>IF(posicao_contratual!$A171="",0,IF(AND(ISNUMBER(posicao_contratual!$Y171),posicao_contratual!$Y171&gt;0),0,IF(AND(ISNUMBER(posicao_contratual!$G171),ISNUMBER(posicao_contratual!$K171),ISNUMBER(historico_VU!$C171)),((posicao_contratual!$G171-N(posicao_contratual!$AB171))-(posicao_contratual!$K171-N(posicao_contratual!$AC171)))*historico_VU!$C171,"")))</f>
        <v>0</v>
      </c>
      <c r="Y171">
        <f>IF(OR(posicao_contratual!$A171="",$T$20=""),0,IF(AND(ISNUMBER(CHOOSE($T$20+1,historico_VU!$C171,historico_VU!$D171,historico_VU!$E171,historico_VU!$F171,historico_VU!$G171)),ISNUMBER(CHOOSE($T$20+1,posicao_contratual!$G171,posicao_contratual!$K171,posicao_contratual!$O171,posicao_contratual!$S171,posicao_contratual!$W171))),ROUND(ROUND(CHOOSE($T$20+1,historico_VU!$C171,historico_VU!$D171,historico_VU!$E171,historico_VU!$F171,historico_VU!$G171),2)*CHOOSE($T$20+1,posicao_contratual!$G171,posicao_contratual!$K171,posicao_contratual!$O171,posicao_contratual!$S171,posicao_contratual!$W171),2),""))</f>
        <v>0</v>
      </c>
      <c r="AB171">
        <f>IF(OR(posicao_contratual!$A171="",$W$46=""),0,IF(AND(ISNUMBER(CHOOSE($W$46+1,historico_VU!$C171,historico_VU!$D171,historico_VU!$E171,historico_VU!$F171,historico_VU!$G171)),ISNUMBER(CHOOSE($W$46+1,posicao_contratual!$G171,posicao_contratual!$K171,posicao_contratual!$O171,posicao_contratual!$S171,posicao_contratual!$W171))),ROUND(ROUND(CHOOSE($W$46+1,historico_VU!$C171,historico_VU!$D171,historico_VU!$E171,historico_VU!$F171,historico_VU!$G171),2)*CHOOSE($W$46+1,posicao_contratual!$G171,posicao_contratual!$K171,posicao_contratual!$O171,posicao_contratual!$S171,posicao_contratual!$W171),2),""))</f>
        <v>0</v>
      </c>
      <c r="AC171">
        <f>IF(OR(posicao_contratual!$A171="",$W$46=""),0,IF(OR($AB171="",$AD171=""),"",ROUND($AB171-$AD171,2)))</f>
        <v>0</v>
      </c>
      <c r="AD171">
        <f>IF(OR(posicao_contratual!$A171="",$W$46=""),0,IF($AB171="","",IF(NOT(ISNUMBER(CHOOSE($W$46+1,posicao_contratual!$AB171,posicao_contratual!$AC171,posicao_contratual!$AD171,posicao_contratual!$AE171,posicao_contratual!$AF171))),0,ROUND(ROUND(CHOOSE($W$46+1,historico_VU!$C171,historico_VU!$D171,historico_VU!$E171,historico_VU!$F171,historico_VU!$G171),2)*CHOOSE($W$46+1,posicao_contratual!$AB171,posicao_contratual!$AC171,posicao_contratual!$AD171,posicao_contratual!$AE171,posicao_contratual!$AF171),2))))</f>
        <v>0</v>
      </c>
    </row>
    <row r="172" spans="1:30" hidden="1" outlineLevel="1" x14ac:dyDescent="0.35">
      <c r="A172" s="137" t="str">
        <f>IF(historico_VU!A120="","",historico_VU!A120)</f>
        <v/>
      </c>
      <c r="B172" s="138" t="str">
        <f>IF(A172="","",historico_VU!B120)</f>
        <v/>
      </c>
      <c r="C172" s="139" t="str">
        <f>IF(A172="","",historico_VU!C120)</f>
        <v/>
      </c>
      <c r="D172" s="139" t="str">
        <f>IF(A172="","",historico_VU!D120)</f>
        <v/>
      </c>
      <c r="E172" s="139" t="str">
        <f>IF(A172="","",historico_VU!E120)</f>
        <v/>
      </c>
      <c r="F172" s="139" t="str">
        <f>IF(A172="","",historico_VU!F120)</f>
        <v/>
      </c>
      <c r="G172" s="139" t="str">
        <f>IF(A172="","",historico_VU!G120)</f>
        <v/>
      </c>
      <c r="H172" s="140" t="str">
        <f>IF(A172="","",historico_VU!H120)</f>
        <v/>
      </c>
      <c r="I172" s="57"/>
      <c r="J172" s="137" t="str">
        <f>IF(itens_Remanesc!A120="","",itens_Remanesc!A120)</f>
        <v/>
      </c>
      <c r="K172" s="138" t="str">
        <f>IF(J172="","",IF($F$4="C0",itens_Remanesc!B120,IF($F$4="C1",itens_Remanesc!E120,IF($F$4="C2",itens_Remanesc!G120,IF($F$4="C3",itens_Remanesc!I120,itens_Remanesc!K120)))))</f>
        <v/>
      </c>
      <c r="L172" s="138" t="str">
        <f>IF(J172="","",IF(SUMIF(itens_Consumidos!$A$2:$A$200,J172,itens_Consumidos!$B$2:$B$200)-SUMIF(itens_Consumidos!$A$2:$A$200,J172,itens_Consumidos!$O$2:$O$200)&lt;0,0,SUMIF(itens_Consumidos!$A$2:$A$200,J172,itens_Consumidos!$B$2:$B$200)-SUMIF(itens_Consumidos!$A$2:$A$200,J172,itens_Consumidos!$O$2:$O$200)))</f>
        <v/>
      </c>
      <c r="M172" s="141" t="str">
        <f>IF(J172="","",itens_Remanesc!C120)</f>
        <v/>
      </c>
      <c r="N172" s="141" t="str">
        <f>IF(J172="","",IF($F$4="C0",historico_VU!C120,IF($F$4="C1",historico_VU!D120,IF($F$4="C2",historico_VU!E120,IF($F$4="C3",historico_VU!F120,historico_VU!G120)))))</f>
        <v/>
      </c>
      <c r="O172" s="141" t="str">
        <f t="shared" si="10"/>
        <v/>
      </c>
      <c r="P172" s="141" t="str">
        <f t="shared" si="11"/>
        <v/>
      </c>
      <c r="Q172" s="142" t="str">
        <f t="shared" si="12"/>
        <v/>
      </c>
      <c r="X172">
        <f>IF(posicao_contratual!$A172="",0,IF(AND(ISNUMBER(posicao_contratual!$Y172),posicao_contratual!$Y172&gt;0),0,IF(AND(ISNUMBER(posicao_contratual!$G172),ISNUMBER(posicao_contratual!$K172),ISNUMBER(historico_VU!$C172)),((posicao_contratual!$G172-N(posicao_contratual!$AB172))-(posicao_contratual!$K172-N(posicao_contratual!$AC172)))*historico_VU!$C172,"")))</f>
        <v>0</v>
      </c>
      <c r="Y172">
        <f>IF(OR(posicao_contratual!$A172="",$T$20=""),0,IF(AND(ISNUMBER(CHOOSE($T$20+1,historico_VU!$C172,historico_VU!$D172,historico_VU!$E172,historico_VU!$F172,historico_VU!$G172)),ISNUMBER(CHOOSE($T$20+1,posicao_contratual!$G172,posicao_contratual!$K172,posicao_contratual!$O172,posicao_contratual!$S172,posicao_contratual!$W172))),ROUND(ROUND(CHOOSE($T$20+1,historico_VU!$C172,historico_VU!$D172,historico_VU!$E172,historico_VU!$F172,historico_VU!$G172),2)*CHOOSE($T$20+1,posicao_contratual!$G172,posicao_contratual!$K172,posicao_contratual!$O172,posicao_contratual!$S172,posicao_contratual!$W172),2),""))</f>
        <v>0</v>
      </c>
      <c r="AB172">
        <f>IF(OR(posicao_contratual!$A172="",$W$46=""),0,IF(AND(ISNUMBER(CHOOSE($W$46+1,historico_VU!$C172,historico_VU!$D172,historico_VU!$E172,historico_VU!$F172,historico_VU!$G172)),ISNUMBER(CHOOSE($W$46+1,posicao_contratual!$G172,posicao_contratual!$K172,posicao_contratual!$O172,posicao_contratual!$S172,posicao_contratual!$W172))),ROUND(ROUND(CHOOSE($W$46+1,historico_VU!$C172,historico_VU!$D172,historico_VU!$E172,historico_VU!$F172,historico_VU!$G172),2)*CHOOSE($W$46+1,posicao_contratual!$G172,posicao_contratual!$K172,posicao_contratual!$O172,posicao_contratual!$S172,posicao_contratual!$W172),2),""))</f>
        <v>0</v>
      </c>
      <c r="AC172">
        <f>IF(OR(posicao_contratual!$A172="",$W$46=""),0,IF(OR($AB172="",$AD172=""),"",ROUND($AB172-$AD172,2)))</f>
        <v>0</v>
      </c>
      <c r="AD172">
        <f>IF(OR(posicao_contratual!$A172="",$W$46=""),0,IF($AB172="","",IF(NOT(ISNUMBER(CHOOSE($W$46+1,posicao_contratual!$AB172,posicao_contratual!$AC172,posicao_contratual!$AD172,posicao_contratual!$AE172,posicao_contratual!$AF172))),0,ROUND(ROUND(CHOOSE($W$46+1,historico_VU!$C172,historico_VU!$D172,historico_VU!$E172,historico_VU!$F172,historico_VU!$G172),2)*CHOOSE($W$46+1,posicao_contratual!$AB172,posicao_contratual!$AC172,posicao_contratual!$AD172,posicao_contratual!$AE172,posicao_contratual!$AF172),2))))</f>
        <v>0</v>
      </c>
    </row>
    <row r="173" spans="1:30" hidden="1" outlineLevel="1" x14ac:dyDescent="0.35">
      <c r="A173" s="137" t="str">
        <f>IF(historico_VU!A121="","",historico_VU!A121)</f>
        <v/>
      </c>
      <c r="B173" s="138" t="str">
        <f>IF(A173="","",historico_VU!B121)</f>
        <v/>
      </c>
      <c r="C173" s="139" t="str">
        <f>IF(A173="","",historico_VU!C121)</f>
        <v/>
      </c>
      <c r="D173" s="139" t="str">
        <f>IF(A173="","",historico_VU!D121)</f>
        <v/>
      </c>
      <c r="E173" s="139" t="str">
        <f>IF(A173="","",historico_VU!E121)</f>
        <v/>
      </c>
      <c r="F173" s="139" t="str">
        <f>IF(A173="","",historico_VU!F121)</f>
        <v/>
      </c>
      <c r="G173" s="139" t="str">
        <f>IF(A173="","",historico_VU!G121)</f>
        <v/>
      </c>
      <c r="H173" s="140" t="str">
        <f>IF(A173="","",historico_VU!H121)</f>
        <v/>
      </c>
      <c r="I173" s="57"/>
      <c r="J173" s="137" t="str">
        <f>IF(itens_Remanesc!A121="","",itens_Remanesc!A121)</f>
        <v/>
      </c>
      <c r="K173" s="138" t="str">
        <f>IF(J173="","",IF($F$4="C0",itens_Remanesc!B121,IF($F$4="C1",itens_Remanesc!E121,IF($F$4="C2",itens_Remanesc!G121,IF($F$4="C3",itens_Remanesc!I121,itens_Remanesc!K121)))))</f>
        <v/>
      </c>
      <c r="L173" s="138" t="str">
        <f>IF(J173="","",IF(SUMIF(itens_Consumidos!$A$2:$A$200,J173,itens_Consumidos!$B$2:$B$200)-SUMIF(itens_Consumidos!$A$2:$A$200,J173,itens_Consumidos!$O$2:$O$200)&lt;0,0,SUMIF(itens_Consumidos!$A$2:$A$200,J173,itens_Consumidos!$B$2:$B$200)-SUMIF(itens_Consumidos!$A$2:$A$200,J173,itens_Consumidos!$O$2:$O$200)))</f>
        <v/>
      </c>
      <c r="M173" s="141" t="str">
        <f>IF(J173="","",itens_Remanesc!C121)</f>
        <v/>
      </c>
      <c r="N173" s="141" t="str">
        <f>IF(J173="","",IF($F$4="C0",historico_VU!C121,IF($F$4="C1",historico_VU!D121,IF($F$4="C2",historico_VU!E121,IF($F$4="C3",historico_VU!F121,historico_VU!G121)))))</f>
        <v/>
      </c>
      <c r="O173" s="141" t="str">
        <f t="shared" si="10"/>
        <v/>
      </c>
      <c r="P173" s="141" t="str">
        <f t="shared" si="11"/>
        <v/>
      </c>
      <c r="Q173" s="142" t="str">
        <f t="shared" si="12"/>
        <v/>
      </c>
      <c r="X173">
        <f>IF(posicao_contratual!$A173="",0,IF(AND(ISNUMBER(posicao_contratual!$Y173),posicao_contratual!$Y173&gt;0),0,IF(AND(ISNUMBER(posicao_contratual!$G173),ISNUMBER(posicao_contratual!$K173),ISNUMBER(historico_VU!$C173)),((posicao_contratual!$G173-N(posicao_contratual!$AB173))-(posicao_contratual!$K173-N(posicao_contratual!$AC173)))*historico_VU!$C173,"")))</f>
        <v>0</v>
      </c>
      <c r="Y173">
        <f>IF(OR(posicao_contratual!$A173="",$T$20=""),0,IF(AND(ISNUMBER(CHOOSE($T$20+1,historico_VU!$C173,historico_VU!$D173,historico_VU!$E173,historico_VU!$F173,historico_VU!$G173)),ISNUMBER(CHOOSE($T$20+1,posicao_contratual!$G173,posicao_contratual!$K173,posicao_contratual!$O173,posicao_contratual!$S173,posicao_contratual!$W173))),ROUND(ROUND(CHOOSE($T$20+1,historico_VU!$C173,historico_VU!$D173,historico_VU!$E173,historico_VU!$F173,historico_VU!$G173),2)*CHOOSE($T$20+1,posicao_contratual!$G173,posicao_contratual!$K173,posicao_contratual!$O173,posicao_contratual!$S173,posicao_contratual!$W173),2),""))</f>
        <v>0</v>
      </c>
      <c r="AB173">
        <f>IF(OR(posicao_contratual!$A173="",$W$46=""),0,IF(AND(ISNUMBER(CHOOSE($W$46+1,historico_VU!$C173,historico_VU!$D173,historico_VU!$E173,historico_VU!$F173,historico_VU!$G173)),ISNUMBER(CHOOSE($W$46+1,posicao_contratual!$G173,posicao_contratual!$K173,posicao_contratual!$O173,posicao_contratual!$S173,posicao_contratual!$W173))),ROUND(ROUND(CHOOSE($W$46+1,historico_VU!$C173,historico_VU!$D173,historico_VU!$E173,historico_VU!$F173,historico_VU!$G173),2)*CHOOSE($W$46+1,posicao_contratual!$G173,posicao_contratual!$K173,posicao_contratual!$O173,posicao_contratual!$S173,posicao_contratual!$W173),2),""))</f>
        <v>0</v>
      </c>
      <c r="AC173">
        <f>IF(OR(posicao_contratual!$A173="",$W$46=""),0,IF(OR($AB173="",$AD173=""),"",ROUND($AB173-$AD173,2)))</f>
        <v>0</v>
      </c>
      <c r="AD173">
        <f>IF(OR(posicao_contratual!$A173="",$W$46=""),0,IF($AB173="","",IF(NOT(ISNUMBER(CHOOSE($W$46+1,posicao_contratual!$AB173,posicao_contratual!$AC173,posicao_contratual!$AD173,posicao_contratual!$AE173,posicao_contratual!$AF173))),0,ROUND(ROUND(CHOOSE($W$46+1,historico_VU!$C173,historico_VU!$D173,historico_VU!$E173,historico_VU!$F173,historico_VU!$G173),2)*CHOOSE($W$46+1,posicao_contratual!$AB173,posicao_contratual!$AC173,posicao_contratual!$AD173,posicao_contratual!$AE173,posicao_contratual!$AF173),2))))</f>
        <v>0</v>
      </c>
    </row>
    <row r="174" spans="1:30" hidden="1" outlineLevel="1" x14ac:dyDescent="0.35">
      <c r="A174" s="137" t="str">
        <f>IF(historico_VU!A122="","",historico_VU!A122)</f>
        <v/>
      </c>
      <c r="B174" s="138" t="str">
        <f>IF(A174="","",historico_VU!B122)</f>
        <v/>
      </c>
      <c r="C174" s="139" t="str">
        <f>IF(A174="","",historico_VU!C122)</f>
        <v/>
      </c>
      <c r="D174" s="139" t="str">
        <f>IF(A174="","",historico_VU!D122)</f>
        <v/>
      </c>
      <c r="E174" s="139" t="str">
        <f>IF(A174="","",historico_VU!E122)</f>
        <v/>
      </c>
      <c r="F174" s="139" t="str">
        <f>IF(A174="","",historico_VU!F122)</f>
        <v/>
      </c>
      <c r="G174" s="139" t="str">
        <f>IF(A174="","",historico_VU!G122)</f>
        <v/>
      </c>
      <c r="H174" s="140" t="str">
        <f>IF(A174="","",historico_VU!H122)</f>
        <v/>
      </c>
      <c r="I174" s="57"/>
      <c r="J174" s="137" t="str">
        <f>IF(itens_Remanesc!A122="","",itens_Remanesc!A122)</f>
        <v/>
      </c>
      <c r="K174" s="138" t="str">
        <f>IF(J174="","",IF($F$4="C0",itens_Remanesc!B122,IF($F$4="C1",itens_Remanesc!E122,IF($F$4="C2",itens_Remanesc!G122,IF($F$4="C3",itens_Remanesc!I122,itens_Remanesc!K122)))))</f>
        <v/>
      </c>
      <c r="L174" s="138" t="str">
        <f>IF(J174="","",IF(SUMIF(itens_Consumidos!$A$2:$A$200,J174,itens_Consumidos!$B$2:$B$200)-SUMIF(itens_Consumidos!$A$2:$A$200,J174,itens_Consumidos!$O$2:$O$200)&lt;0,0,SUMIF(itens_Consumidos!$A$2:$A$200,J174,itens_Consumidos!$B$2:$B$200)-SUMIF(itens_Consumidos!$A$2:$A$200,J174,itens_Consumidos!$O$2:$O$200)))</f>
        <v/>
      </c>
      <c r="M174" s="141" t="str">
        <f>IF(J174="","",itens_Remanesc!C122)</f>
        <v/>
      </c>
      <c r="N174" s="141" t="str">
        <f>IF(J174="","",IF($F$4="C0",historico_VU!C122,IF($F$4="C1",historico_VU!D122,IF($F$4="C2",historico_VU!E122,IF($F$4="C3",historico_VU!F122,historico_VU!G122)))))</f>
        <v/>
      </c>
      <c r="O174" s="141" t="str">
        <f t="shared" si="10"/>
        <v/>
      </c>
      <c r="P174" s="141" t="str">
        <f t="shared" si="11"/>
        <v/>
      </c>
      <c r="Q174" s="142" t="str">
        <f t="shared" si="12"/>
        <v/>
      </c>
      <c r="X174">
        <f>IF(posicao_contratual!$A174="",0,IF(AND(ISNUMBER(posicao_contratual!$Y174),posicao_contratual!$Y174&gt;0),0,IF(AND(ISNUMBER(posicao_contratual!$G174),ISNUMBER(posicao_contratual!$K174),ISNUMBER(historico_VU!$C174)),((posicao_contratual!$G174-N(posicao_contratual!$AB174))-(posicao_contratual!$K174-N(posicao_contratual!$AC174)))*historico_VU!$C174,"")))</f>
        <v>0</v>
      </c>
      <c r="Y174">
        <f>IF(OR(posicao_contratual!$A174="",$T$20=""),0,IF(AND(ISNUMBER(CHOOSE($T$20+1,historico_VU!$C174,historico_VU!$D174,historico_VU!$E174,historico_VU!$F174,historico_VU!$G174)),ISNUMBER(CHOOSE($T$20+1,posicao_contratual!$G174,posicao_contratual!$K174,posicao_contratual!$O174,posicao_contratual!$S174,posicao_contratual!$W174))),ROUND(ROUND(CHOOSE($T$20+1,historico_VU!$C174,historico_VU!$D174,historico_VU!$E174,historico_VU!$F174,historico_VU!$G174),2)*CHOOSE($T$20+1,posicao_contratual!$G174,posicao_contratual!$K174,posicao_contratual!$O174,posicao_contratual!$S174,posicao_contratual!$W174),2),""))</f>
        <v>0</v>
      </c>
      <c r="AB174">
        <f>IF(OR(posicao_contratual!$A174="",$W$46=""),0,IF(AND(ISNUMBER(CHOOSE($W$46+1,historico_VU!$C174,historico_VU!$D174,historico_VU!$E174,historico_VU!$F174,historico_VU!$G174)),ISNUMBER(CHOOSE($W$46+1,posicao_contratual!$G174,posicao_contratual!$K174,posicao_contratual!$O174,posicao_contratual!$S174,posicao_contratual!$W174))),ROUND(ROUND(CHOOSE($W$46+1,historico_VU!$C174,historico_VU!$D174,historico_VU!$E174,historico_VU!$F174,historico_VU!$G174),2)*CHOOSE($W$46+1,posicao_contratual!$G174,posicao_contratual!$K174,posicao_contratual!$O174,posicao_contratual!$S174,posicao_contratual!$W174),2),""))</f>
        <v>0</v>
      </c>
      <c r="AC174">
        <f>IF(OR(posicao_contratual!$A174="",$W$46=""),0,IF(OR($AB174="",$AD174=""),"",ROUND($AB174-$AD174,2)))</f>
        <v>0</v>
      </c>
      <c r="AD174">
        <f>IF(OR(posicao_contratual!$A174="",$W$46=""),0,IF($AB174="","",IF(NOT(ISNUMBER(CHOOSE($W$46+1,posicao_contratual!$AB174,posicao_contratual!$AC174,posicao_contratual!$AD174,posicao_contratual!$AE174,posicao_contratual!$AF174))),0,ROUND(ROUND(CHOOSE($W$46+1,historico_VU!$C174,historico_VU!$D174,historico_VU!$E174,historico_VU!$F174,historico_VU!$G174),2)*CHOOSE($W$46+1,posicao_contratual!$AB174,posicao_contratual!$AC174,posicao_contratual!$AD174,posicao_contratual!$AE174,posicao_contratual!$AF174),2))))</f>
        <v>0</v>
      </c>
    </row>
    <row r="175" spans="1:30" hidden="1" outlineLevel="1" x14ac:dyDescent="0.35">
      <c r="A175" s="137" t="str">
        <f>IF(historico_VU!A123="","",historico_VU!A123)</f>
        <v/>
      </c>
      <c r="B175" s="138" t="str">
        <f>IF(A175="","",historico_VU!B123)</f>
        <v/>
      </c>
      <c r="C175" s="139" t="str">
        <f>IF(A175="","",historico_VU!C123)</f>
        <v/>
      </c>
      <c r="D175" s="139" t="str">
        <f>IF(A175="","",historico_VU!D123)</f>
        <v/>
      </c>
      <c r="E175" s="139" t="str">
        <f>IF(A175="","",historico_VU!E123)</f>
        <v/>
      </c>
      <c r="F175" s="139" t="str">
        <f>IF(A175="","",historico_VU!F123)</f>
        <v/>
      </c>
      <c r="G175" s="139" t="str">
        <f>IF(A175="","",historico_VU!G123)</f>
        <v/>
      </c>
      <c r="H175" s="140" t="str">
        <f>IF(A175="","",historico_VU!H123)</f>
        <v/>
      </c>
      <c r="I175" s="57"/>
      <c r="J175" s="137" t="str">
        <f>IF(itens_Remanesc!A123="","",itens_Remanesc!A123)</f>
        <v/>
      </c>
      <c r="K175" s="138" t="str">
        <f>IF(J175="","",IF($F$4="C0",itens_Remanesc!B123,IF($F$4="C1",itens_Remanesc!E123,IF($F$4="C2",itens_Remanesc!G123,IF($F$4="C3",itens_Remanesc!I123,itens_Remanesc!K123)))))</f>
        <v/>
      </c>
      <c r="L175" s="138" t="str">
        <f>IF(J175="","",IF(SUMIF(itens_Consumidos!$A$2:$A$200,J175,itens_Consumidos!$B$2:$B$200)-SUMIF(itens_Consumidos!$A$2:$A$200,J175,itens_Consumidos!$O$2:$O$200)&lt;0,0,SUMIF(itens_Consumidos!$A$2:$A$200,J175,itens_Consumidos!$B$2:$B$200)-SUMIF(itens_Consumidos!$A$2:$A$200,J175,itens_Consumidos!$O$2:$O$200)))</f>
        <v/>
      </c>
      <c r="M175" s="141" t="str">
        <f>IF(J175="","",itens_Remanesc!C123)</f>
        <v/>
      </c>
      <c r="N175" s="141" t="str">
        <f>IF(J175="","",IF($F$4="C0",historico_VU!C123,IF($F$4="C1",historico_VU!D123,IF($F$4="C2",historico_VU!E123,IF($F$4="C3",historico_VU!F123,historico_VU!G123)))))</f>
        <v/>
      </c>
      <c r="O175" s="141" t="str">
        <f t="shared" si="10"/>
        <v/>
      </c>
      <c r="P175" s="141" t="str">
        <f t="shared" si="11"/>
        <v/>
      </c>
      <c r="Q175" s="142" t="str">
        <f t="shared" si="12"/>
        <v/>
      </c>
      <c r="X175">
        <f>IF(posicao_contratual!$A175="",0,IF(AND(ISNUMBER(posicao_contratual!$Y175),posicao_contratual!$Y175&gt;0),0,IF(AND(ISNUMBER(posicao_contratual!$G175),ISNUMBER(posicao_contratual!$K175),ISNUMBER(historico_VU!$C175)),((posicao_contratual!$G175-N(posicao_contratual!$AB175))-(posicao_contratual!$K175-N(posicao_contratual!$AC175)))*historico_VU!$C175,"")))</f>
        <v>0</v>
      </c>
      <c r="Y175">
        <f>IF(OR(posicao_contratual!$A175="",$T$20=""),0,IF(AND(ISNUMBER(CHOOSE($T$20+1,historico_VU!$C175,historico_VU!$D175,historico_VU!$E175,historico_VU!$F175,historico_VU!$G175)),ISNUMBER(CHOOSE($T$20+1,posicao_contratual!$G175,posicao_contratual!$K175,posicao_contratual!$O175,posicao_contratual!$S175,posicao_contratual!$W175))),ROUND(ROUND(CHOOSE($T$20+1,historico_VU!$C175,historico_VU!$D175,historico_VU!$E175,historico_VU!$F175,historico_VU!$G175),2)*CHOOSE($T$20+1,posicao_contratual!$G175,posicao_contratual!$K175,posicao_contratual!$O175,posicao_contratual!$S175,posicao_contratual!$W175),2),""))</f>
        <v>0</v>
      </c>
      <c r="AB175">
        <f>IF(OR(posicao_contratual!$A175="",$W$46=""),0,IF(AND(ISNUMBER(CHOOSE($W$46+1,historico_VU!$C175,historico_VU!$D175,historico_VU!$E175,historico_VU!$F175,historico_VU!$G175)),ISNUMBER(CHOOSE($W$46+1,posicao_contratual!$G175,posicao_contratual!$K175,posicao_contratual!$O175,posicao_contratual!$S175,posicao_contratual!$W175))),ROUND(ROUND(CHOOSE($W$46+1,historico_VU!$C175,historico_VU!$D175,historico_VU!$E175,historico_VU!$F175,historico_VU!$G175),2)*CHOOSE($W$46+1,posicao_contratual!$G175,posicao_contratual!$K175,posicao_contratual!$O175,posicao_contratual!$S175,posicao_contratual!$W175),2),""))</f>
        <v>0</v>
      </c>
      <c r="AC175">
        <f>IF(OR(posicao_contratual!$A175="",$W$46=""),0,IF(OR($AB175="",$AD175=""),"",ROUND($AB175-$AD175,2)))</f>
        <v>0</v>
      </c>
      <c r="AD175">
        <f>IF(OR(posicao_contratual!$A175="",$W$46=""),0,IF($AB175="","",IF(NOT(ISNUMBER(CHOOSE($W$46+1,posicao_contratual!$AB175,posicao_contratual!$AC175,posicao_contratual!$AD175,posicao_contratual!$AE175,posicao_contratual!$AF175))),0,ROUND(ROUND(CHOOSE($W$46+1,historico_VU!$C175,historico_VU!$D175,historico_VU!$E175,historico_VU!$F175,historico_VU!$G175),2)*CHOOSE($W$46+1,posicao_contratual!$AB175,posicao_contratual!$AC175,posicao_contratual!$AD175,posicao_contratual!$AE175,posicao_contratual!$AF175),2))))</f>
        <v>0</v>
      </c>
    </row>
    <row r="176" spans="1:30" hidden="1" outlineLevel="1" x14ac:dyDescent="0.35">
      <c r="A176" s="137" t="str">
        <f>IF(historico_VU!A124="","",historico_VU!A124)</f>
        <v/>
      </c>
      <c r="B176" s="138" t="str">
        <f>IF(A176="","",historico_VU!B124)</f>
        <v/>
      </c>
      <c r="C176" s="139" t="str">
        <f>IF(A176="","",historico_VU!C124)</f>
        <v/>
      </c>
      <c r="D176" s="139" t="str">
        <f>IF(A176="","",historico_VU!D124)</f>
        <v/>
      </c>
      <c r="E176" s="139" t="str">
        <f>IF(A176="","",historico_VU!E124)</f>
        <v/>
      </c>
      <c r="F176" s="139" t="str">
        <f>IF(A176="","",historico_VU!F124)</f>
        <v/>
      </c>
      <c r="G176" s="139" t="str">
        <f>IF(A176="","",historico_VU!G124)</f>
        <v/>
      </c>
      <c r="H176" s="140" t="str">
        <f>IF(A176="","",historico_VU!H124)</f>
        <v/>
      </c>
      <c r="I176" s="57"/>
      <c r="J176" s="137" t="str">
        <f>IF(itens_Remanesc!A124="","",itens_Remanesc!A124)</f>
        <v/>
      </c>
      <c r="K176" s="138" t="str">
        <f>IF(J176="","",IF($F$4="C0",itens_Remanesc!B124,IF($F$4="C1",itens_Remanesc!E124,IF($F$4="C2",itens_Remanesc!G124,IF($F$4="C3",itens_Remanesc!I124,itens_Remanesc!K124)))))</f>
        <v/>
      </c>
      <c r="L176" s="138" t="str">
        <f>IF(J176="","",IF(SUMIF(itens_Consumidos!$A$2:$A$200,J176,itens_Consumidos!$B$2:$B$200)-SUMIF(itens_Consumidos!$A$2:$A$200,J176,itens_Consumidos!$O$2:$O$200)&lt;0,0,SUMIF(itens_Consumidos!$A$2:$A$200,J176,itens_Consumidos!$B$2:$B$200)-SUMIF(itens_Consumidos!$A$2:$A$200,J176,itens_Consumidos!$O$2:$O$200)))</f>
        <v/>
      </c>
      <c r="M176" s="141" t="str">
        <f>IF(J176="","",itens_Remanesc!C124)</f>
        <v/>
      </c>
      <c r="N176" s="141" t="str">
        <f>IF(J176="","",IF($F$4="C0",historico_VU!C124,IF($F$4="C1",historico_VU!D124,IF($F$4="C2",historico_VU!E124,IF($F$4="C3",historico_VU!F124,historico_VU!G124)))))</f>
        <v/>
      </c>
      <c r="O176" s="141" t="str">
        <f t="shared" si="10"/>
        <v/>
      </c>
      <c r="P176" s="141" t="str">
        <f t="shared" si="11"/>
        <v/>
      </c>
      <c r="Q176" s="142" t="str">
        <f t="shared" si="12"/>
        <v/>
      </c>
      <c r="X176">
        <f>IF(posicao_contratual!$A176="",0,IF(AND(ISNUMBER(posicao_contratual!$Y176),posicao_contratual!$Y176&gt;0),0,IF(AND(ISNUMBER(posicao_contratual!$G176),ISNUMBER(posicao_contratual!$K176),ISNUMBER(historico_VU!$C176)),((posicao_contratual!$G176-N(posicao_contratual!$AB176))-(posicao_contratual!$K176-N(posicao_contratual!$AC176)))*historico_VU!$C176,"")))</f>
        <v>0</v>
      </c>
      <c r="Y176">
        <f>IF(OR(posicao_contratual!$A176="",$T$20=""),0,IF(AND(ISNUMBER(CHOOSE($T$20+1,historico_VU!$C176,historico_VU!$D176,historico_VU!$E176,historico_VU!$F176,historico_VU!$G176)),ISNUMBER(CHOOSE($T$20+1,posicao_contratual!$G176,posicao_contratual!$K176,posicao_contratual!$O176,posicao_contratual!$S176,posicao_contratual!$W176))),ROUND(ROUND(CHOOSE($T$20+1,historico_VU!$C176,historico_VU!$D176,historico_VU!$E176,historico_VU!$F176,historico_VU!$G176),2)*CHOOSE($T$20+1,posicao_contratual!$G176,posicao_contratual!$K176,posicao_contratual!$O176,posicao_contratual!$S176,posicao_contratual!$W176),2),""))</f>
        <v>0</v>
      </c>
      <c r="AB176">
        <f>IF(OR(posicao_contratual!$A176="",$W$46=""),0,IF(AND(ISNUMBER(CHOOSE($W$46+1,historico_VU!$C176,historico_VU!$D176,historico_VU!$E176,historico_VU!$F176,historico_VU!$G176)),ISNUMBER(CHOOSE($W$46+1,posicao_contratual!$G176,posicao_contratual!$K176,posicao_contratual!$O176,posicao_contratual!$S176,posicao_contratual!$W176))),ROUND(ROUND(CHOOSE($W$46+1,historico_VU!$C176,historico_VU!$D176,historico_VU!$E176,historico_VU!$F176,historico_VU!$G176),2)*CHOOSE($W$46+1,posicao_contratual!$G176,posicao_contratual!$K176,posicao_contratual!$O176,posicao_contratual!$S176,posicao_contratual!$W176),2),""))</f>
        <v>0</v>
      </c>
      <c r="AC176">
        <f>IF(OR(posicao_contratual!$A176="",$W$46=""),0,IF(OR($AB176="",$AD176=""),"",ROUND($AB176-$AD176,2)))</f>
        <v>0</v>
      </c>
      <c r="AD176">
        <f>IF(OR(posicao_contratual!$A176="",$W$46=""),0,IF($AB176="","",IF(NOT(ISNUMBER(CHOOSE($W$46+1,posicao_contratual!$AB176,posicao_contratual!$AC176,posicao_contratual!$AD176,posicao_contratual!$AE176,posicao_contratual!$AF176))),0,ROUND(ROUND(CHOOSE($W$46+1,historico_VU!$C176,historico_VU!$D176,historico_VU!$E176,historico_VU!$F176,historico_VU!$G176),2)*CHOOSE($W$46+1,posicao_contratual!$AB176,posicao_contratual!$AC176,posicao_contratual!$AD176,posicao_contratual!$AE176,posicao_contratual!$AF176),2))))</f>
        <v>0</v>
      </c>
    </row>
    <row r="177" spans="1:30" hidden="1" outlineLevel="1" x14ac:dyDescent="0.35">
      <c r="A177" s="137" t="str">
        <f>IF(historico_VU!A125="","",historico_VU!A125)</f>
        <v/>
      </c>
      <c r="B177" s="138" t="str">
        <f>IF(A177="","",historico_VU!B125)</f>
        <v/>
      </c>
      <c r="C177" s="139" t="str">
        <f>IF(A177="","",historico_VU!C125)</f>
        <v/>
      </c>
      <c r="D177" s="139" t="str">
        <f>IF(A177="","",historico_VU!D125)</f>
        <v/>
      </c>
      <c r="E177" s="139" t="str">
        <f>IF(A177="","",historico_VU!E125)</f>
        <v/>
      </c>
      <c r="F177" s="139" t="str">
        <f>IF(A177="","",historico_VU!F125)</f>
        <v/>
      </c>
      <c r="G177" s="139" t="str">
        <f>IF(A177="","",historico_VU!G125)</f>
        <v/>
      </c>
      <c r="H177" s="140" t="str">
        <f>IF(A177="","",historico_VU!H125)</f>
        <v/>
      </c>
      <c r="I177" s="57"/>
      <c r="J177" s="137" t="str">
        <f>IF(itens_Remanesc!A125="","",itens_Remanesc!A125)</f>
        <v/>
      </c>
      <c r="K177" s="138" t="str">
        <f>IF(J177="","",IF($F$4="C0",itens_Remanesc!B125,IF($F$4="C1",itens_Remanesc!E125,IF($F$4="C2",itens_Remanesc!G125,IF($F$4="C3",itens_Remanesc!I125,itens_Remanesc!K125)))))</f>
        <v/>
      </c>
      <c r="L177" s="138" t="str">
        <f>IF(J177="","",IF(SUMIF(itens_Consumidos!$A$2:$A$200,J177,itens_Consumidos!$B$2:$B$200)-SUMIF(itens_Consumidos!$A$2:$A$200,J177,itens_Consumidos!$O$2:$O$200)&lt;0,0,SUMIF(itens_Consumidos!$A$2:$A$200,J177,itens_Consumidos!$B$2:$B$200)-SUMIF(itens_Consumidos!$A$2:$A$200,J177,itens_Consumidos!$O$2:$O$200)))</f>
        <v/>
      </c>
      <c r="M177" s="141" t="str">
        <f>IF(J177="","",itens_Remanesc!C125)</f>
        <v/>
      </c>
      <c r="N177" s="141" t="str">
        <f>IF(J177="","",IF($F$4="C0",historico_VU!C125,IF($F$4="C1",historico_VU!D125,IF($F$4="C2",historico_VU!E125,IF($F$4="C3",historico_VU!F125,historico_VU!G125)))))</f>
        <v/>
      </c>
      <c r="O177" s="141" t="str">
        <f t="shared" si="10"/>
        <v/>
      </c>
      <c r="P177" s="141" t="str">
        <f t="shared" si="11"/>
        <v/>
      </c>
      <c r="Q177" s="142" t="str">
        <f t="shared" si="12"/>
        <v/>
      </c>
      <c r="X177">
        <f>IF(posicao_contratual!$A177="",0,IF(AND(ISNUMBER(posicao_contratual!$Y177),posicao_contratual!$Y177&gt;0),0,IF(AND(ISNUMBER(posicao_contratual!$G177),ISNUMBER(posicao_contratual!$K177),ISNUMBER(historico_VU!$C177)),((posicao_contratual!$G177-N(posicao_contratual!$AB177))-(posicao_contratual!$K177-N(posicao_contratual!$AC177)))*historico_VU!$C177,"")))</f>
        <v>0</v>
      </c>
      <c r="Y177">
        <f>IF(OR(posicao_contratual!$A177="",$T$20=""),0,IF(AND(ISNUMBER(CHOOSE($T$20+1,historico_VU!$C177,historico_VU!$D177,historico_VU!$E177,historico_VU!$F177,historico_VU!$G177)),ISNUMBER(CHOOSE($T$20+1,posicao_contratual!$G177,posicao_contratual!$K177,posicao_contratual!$O177,posicao_contratual!$S177,posicao_contratual!$W177))),ROUND(ROUND(CHOOSE($T$20+1,historico_VU!$C177,historico_VU!$D177,historico_VU!$E177,historico_VU!$F177,historico_VU!$G177),2)*CHOOSE($T$20+1,posicao_contratual!$G177,posicao_contratual!$K177,posicao_contratual!$O177,posicao_contratual!$S177,posicao_contratual!$W177),2),""))</f>
        <v>0</v>
      </c>
      <c r="AB177">
        <f>IF(OR(posicao_contratual!$A177="",$W$46=""),0,IF(AND(ISNUMBER(CHOOSE($W$46+1,historico_VU!$C177,historico_VU!$D177,historico_VU!$E177,historico_VU!$F177,historico_VU!$G177)),ISNUMBER(CHOOSE($W$46+1,posicao_contratual!$G177,posicao_contratual!$K177,posicao_contratual!$O177,posicao_contratual!$S177,posicao_contratual!$W177))),ROUND(ROUND(CHOOSE($W$46+1,historico_VU!$C177,historico_VU!$D177,historico_VU!$E177,historico_VU!$F177,historico_VU!$G177),2)*CHOOSE($W$46+1,posicao_contratual!$G177,posicao_contratual!$K177,posicao_contratual!$O177,posicao_contratual!$S177,posicao_contratual!$W177),2),""))</f>
        <v>0</v>
      </c>
      <c r="AC177">
        <f>IF(OR(posicao_contratual!$A177="",$W$46=""),0,IF(OR($AB177="",$AD177=""),"",ROUND($AB177-$AD177,2)))</f>
        <v>0</v>
      </c>
      <c r="AD177">
        <f>IF(OR(posicao_contratual!$A177="",$W$46=""),0,IF($AB177="","",IF(NOT(ISNUMBER(CHOOSE($W$46+1,posicao_contratual!$AB177,posicao_contratual!$AC177,posicao_contratual!$AD177,posicao_contratual!$AE177,posicao_contratual!$AF177))),0,ROUND(ROUND(CHOOSE($W$46+1,historico_VU!$C177,historico_VU!$D177,historico_VU!$E177,historico_VU!$F177,historico_VU!$G177),2)*CHOOSE($W$46+1,posicao_contratual!$AB177,posicao_contratual!$AC177,posicao_contratual!$AD177,posicao_contratual!$AE177,posicao_contratual!$AF177),2))))</f>
        <v>0</v>
      </c>
    </row>
    <row r="178" spans="1:30" hidden="1" outlineLevel="1" x14ac:dyDescent="0.35">
      <c r="A178" s="137" t="str">
        <f>IF(historico_VU!A126="","",historico_VU!A126)</f>
        <v/>
      </c>
      <c r="B178" s="138" t="str">
        <f>IF(A178="","",historico_VU!B126)</f>
        <v/>
      </c>
      <c r="C178" s="139" t="str">
        <f>IF(A178="","",historico_VU!C126)</f>
        <v/>
      </c>
      <c r="D178" s="139" t="str">
        <f>IF(A178="","",historico_VU!D126)</f>
        <v/>
      </c>
      <c r="E178" s="139" t="str">
        <f>IF(A178="","",historico_VU!E126)</f>
        <v/>
      </c>
      <c r="F178" s="139" t="str">
        <f>IF(A178="","",historico_VU!F126)</f>
        <v/>
      </c>
      <c r="G178" s="139" t="str">
        <f>IF(A178="","",historico_VU!G126)</f>
        <v/>
      </c>
      <c r="H178" s="140" t="str">
        <f>IF(A178="","",historico_VU!H126)</f>
        <v/>
      </c>
      <c r="I178" s="57"/>
      <c r="J178" s="137" t="str">
        <f>IF(itens_Remanesc!A126="","",itens_Remanesc!A126)</f>
        <v/>
      </c>
      <c r="K178" s="138" t="str">
        <f>IF(J178="","",IF($F$4="C0",itens_Remanesc!B126,IF($F$4="C1",itens_Remanesc!E126,IF($F$4="C2",itens_Remanesc!G126,IF($F$4="C3",itens_Remanesc!I126,itens_Remanesc!K126)))))</f>
        <v/>
      </c>
      <c r="L178" s="138" t="str">
        <f>IF(J178="","",IF(SUMIF(itens_Consumidos!$A$2:$A$200,J178,itens_Consumidos!$B$2:$B$200)-SUMIF(itens_Consumidos!$A$2:$A$200,J178,itens_Consumidos!$O$2:$O$200)&lt;0,0,SUMIF(itens_Consumidos!$A$2:$A$200,J178,itens_Consumidos!$B$2:$B$200)-SUMIF(itens_Consumidos!$A$2:$A$200,J178,itens_Consumidos!$O$2:$O$200)))</f>
        <v/>
      </c>
      <c r="M178" s="141" t="str">
        <f>IF(J178="","",itens_Remanesc!C126)</f>
        <v/>
      </c>
      <c r="N178" s="141" t="str">
        <f>IF(J178="","",IF($F$4="C0",historico_VU!C126,IF($F$4="C1",historico_VU!D126,IF($F$4="C2",historico_VU!E126,IF($F$4="C3",historico_VU!F126,historico_VU!G126)))))</f>
        <v/>
      </c>
      <c r="O178" s="141" t="str">
        <f t="shared" si="10"/>
        <v/>
      </c>
      <c r="P178" s="141" t="str">
        <f t="shared" si="11"/>
        <v/>
      </c>
      <c r="Q178" s="142" t="str">
        <f t="shared" si="12"/>
        <v/>
      </c>
      <c r="X178">
        <f>IF(posicao_contratual!$A178="",0,IF(AND(ISNUMBER(posicao_contratual!$Y178),posicao_contratual!$Y178&gt;0),0,IF(AND(ISNUMBER(posicao_contratual!$G178),ISNUMBER(posicao_contratual!$K178),ISNUMBER(historico_VU!$C178)),((posicao_contratual!$G178-N(posicao_contratual!$AB178))-(posicao_contratual!$K178-N(posicao_contratual!$AC178)))*historico_VU!$C178,"")))</f>
        <v>0</v>
      </c>
      <c r="Y178">
        <f>IF(OR(posicao_contratual!$A178="",$T$20=""),0,IF(AND(ISNUMBER(CHOOSE($T$20+1,historico_VU!$C178,historico_VU!$D178,historico_VU!$E178,historico_VU!$F178,historico_VU!$G178)),ISNUMBER(CHOOSE($T$20+1,posicao_contratual!$G178,posicao_contratual!$K178,posicao_contratual!$O178,posicao_contratual!$S178,posicao_contratual!$W178))),ROUND(ROUND(CHOOSE($T$20+1,historico_VU!$C178,historico_VU!$D178,historico_VU!$E178,historico_VU!$F178,historico_VU!$G178),2)*CHOOSE($T$20+1,posicao_contratual!$G178,posicao_contratual!$K178,posicao_contratual!$O178,posicao_contratual!$S178,posicao_contratual!$W178),2),""))</f>
        <v>0</v>
      </c>
      <c r="AB178">
        <f>IF(OR(posicao_contratual!$A178="",$W$46=""),0,IF(AND(ISNUMBER(CHOOSE($W$46+1,historico_VU!$C178,historico_VU!$D178,historico_VU!$E178,historico_VU!$F178,historico_VU!$G178)),ISNUMBER(CHOOSE($W$46+1,posicao_contratual!$G178,posicao_contratual!$K178,posicao_contratual!$O178,posicao_contratual!$S178,posicao_contratual!$W178))),ROUND(ROUND(CHOOSE($W$46+1,historico_VU!$C178,historico_VU!$D178,historico_VU!$E178,historico_VU!$F178,historico_VU!$G178),2)*CHOOSE($W$46+1,posicao_contratual!$G178,posicao_contratual!$K178,posicao_contratual!$O178,posicao_contratual!$S178,posicao_contratual!$W178),2),""))</f>
        <v>0</v>
      </c>
      <c r="AC178">
        <f>IF(OR(posicao_contratual!$A178="",$W$46=""),0,IF(OR($AB178="",$AD178=""),"",ROUND($AB178-$AD178,2)))</f>
        <v>0</v>
      </c>
      <c r="AD178">
        <f>IF(OR(posicao_contratual!$A178="",$W$46=""),0,IF($AB178="","",IF(NOT(ISNUMBER(CHOOSE($W$46+1,posicao_contratual!$AB178,posicao_contratual!$AC178,posicao_contratual!$AD178,posicao_contratual!$AE178,posicao_contratual!$AF178))),0,ROUND(ROUND(CHOOSE($W$46+1,historico_VU!$C178,historico_VU!$D178,historico_VU!$E178,historico_VU!$F178,historico_VU!$G178),2)*CHOOSE($W$46+1,posicao_contratual!$AB178,posicao_contratual!$AC178,posicao_contratual!$AD178,posicao_contratual!$AE178,posicao_contratual!$AF178),2))))</f>
        <v>0</v>
      </c>
    </row>
    <row r="179" spans="1:30" hidden="1" outlineLevel="1" x14ac:dyDescent="0.35">
      <c r="A179" s="137" t="str">
        <f>IF(historico_VU!A127="","",historico_VU!A127)</f>
        <v/>
      </c>
      <c r="B179" s="138" t="str">
        <f>IF(A179="","",historico_VU!B127)</f>
        <v/>
      </c>
      <c r="C179" s="139" t="str">
        <f>IF(A179="","",historico_VU!C127)</f>
        <v/>
      </c>
      <c r="D179" s="139" t="str">
        <f>IF(A179="","",historico_VU!D127)</f>
        <v/>
      </c>
      <c r="E179" s="139" t="str">
        <f>IF(A179="","",historico_VU!E127)</f>
        <v/>
      </c>
      <c r="F179" s="139" t="str">
        <f>IF(A179="","",historico_VU!F127)</f>
        <v/>
      </c>
      <c r="G179" s="139" t="str">
        <f>IF(A179="","",historico_VU!G127)</f>
        <v/>
      </c>
      <c r="H179" s="140" t="str">
        <f>IF(A179="","",historico_VU!H127)</f>
        <v/>
      </c>
      <c r="I179" s="57"/>
      <c r="J179" s="137" t="str">
        <f>IF(itens_Remanesc!A127="","",itens_Remanesc!A127)</f>
        <v/>
      </c>
      <c r="K179" s="138" t="str">
        <f>IF(J179="","",IF($F$4="C0",itens_Remanesc!B127,IF($F$4="C1",itens_Remanesc!E127,IF($F$4="C2",itens_Remanesc!G127,IF($F$4="C3",itens_Remanesc!I127,itens_Remanesc!K127)))))</f>
        <v/>
      </c>
      <c r="L179" s="138" t="str">
        <f>IF(J179="","",IF(SUMIF(itens_Consumidos!$A$2:$A$200,J179,itens_Consumidos!$B$2:$B$200)-SUMIF(itens_Consumidos!$A$2:$A$200,J179,itens_Consumidos!$O$2:$O$200)&lt;0,0,SUMIF(itens_Consumidos!$A$2:$A$200,J179,itens_Consumidos!$B$2:$B$200)-SUMIF(itens_Consumidos!$A$2:$A$200,J179,itens_Consumidos!$O$2:$O$200)))</f>
        <v/>
      </c>
      <c r="M179" s="141" t="str">
        <f>IF(J179="","",itens_Remanesc!C127)</f>
        <v/>
      </c>
      <c r="N179" s="141" t="str">
        <f>IF(J179="","",IF($F$4="C0",historico_VU!C127,IF($F$4="C1",historico_VU!D127,IF($F$4="C2",historico_VU!E127,IF($F$4="C3",historico_VU!F127,historico_VU!G127)))))</f>
        <v/>
      </c>
      <c r="O179" s="141" t="str">
        <f t="shared" si="10"/>
        <v/>
      </c>
      <c r="P179" s="141" t="str">
        <f t="shared" si="11"/>
        <v/>
      </c>
      <c r="Q179" s="142" t="str">
        <f t="shared" si="12"/>
        <v/>
      </c>
      <c r="X179">
        <f>IF(posicao_contratual!$A179="",0,IF(AND(ISNUMBER(posicao_contratual!$Y179),posicao_contratual!$Y179&gt;0),0,IF(AND(ISNUMBER(posicao_contratual!$G179),ISNUMBER(posicao_contratual!$K179),ISNUMBER(historico_VU!$C179)),((posicao_contratual!$G179-N(posicao_contratual!$AB179))-(posicao_contratual!$K179-N(posicao_contratual!$AC179)))*historico_VU!$C179,"")))</f>
        <v>0</v>
      </c>
      <c r="Y179">
        <f>IF(OR(posicao_contratual!$A179="",$T$20=""),0,IF(AND(ISNUMBER(CHOOSE($T$20+1,historico_VU!$C179,historico_VU!$D179,historico_VU!$E179,historico_VU!$F179,historico_VU!$G179)),ISNUMBER(CHOOSE($T$20+1,posicao_contratual!$G179,posicao_contratual!$K179,posicao_contratual!$O179,posicao_contratual!$S179,posicao_contratual!$W179))),ROUND(ROUND(CHOOSE($T$20+1,historico_VU!$C179,historico_VU!$D179,historico_VU!$E179,historico_VU!$F179,historico_VU!$G179),2)*CHOOSE($T$20+1,posicao_contratual!$G179,posicao_contratual!$K179,posicao_contratual!$O179,posicao_contratual!$S179,posicao_contratual!$W179),2),""))</f>
        <v>0</v>
      </c>
      <c r="AB179">
        <f>IF(OR(posicao_contratual!$A179="",$W$46=""),0,IF(AND(ISNUMBER(CHOOSE($W$46+1,historico_VU!$C179,historico_VU!$D179,historico_VU!$E179,historico_VU!$F179,historico_VU!$G179)),ISNUMBER(CHOOSE($W$46+1,posicao_contratual!$G179,posicao_contratual!$K179,posicao_contratual!$O179,posicao_contratual!$S179,posicao_contratual!$W179))),ROUND(ROUND(CHOOSE($W$46+1,historico_VU!$C179,historico_VU!$D179,historico_VU!$E179,historico_VU!$F179,historico_VU!$G179),2)*CHOOSE($W$46+1,posicao_contratual!$G179,posicao_contratual!$K179,posicao_contratual!$O179,posicao_contratual!$S179,posicao_contratual!$W179),2),""))</f>
        <v>0</v>
      </c>
      <c r="AC179">
        <f>IF(OR(posicao_contratual!$A179="",$W$46=""),0,IF(OR($AB179="",$AD179=""),"",ROUND($AB179-$AD179,2)))</f>
        <v>0</v>
      </c>
      <c r="AD179">
        <f>IF(OR(posicao_contratual!$A179="",$W$46=""),0,IF($AB179="","",IF(NOT(ISNUMBER(CHOOSE($W$46+1,posicao_contratual!$AB179,posicao_contratual!$AC179,posicao_contratual!$AD179,posicao_contratual!$AE179,posicao_contratual!$AF179))),0,ROUND(ROUND(CHOOSE($W$46+1,historico_VU!$C179,historico_VU!$D179,historico_VU!$E179,historico_VU!$F179,historico_VU!$G179),2)*CHOOSE($W$46+1,posicao_contratual!$AB179,posicao_contratual!$AC179,posicao_contratual!$AD179,posicao_contratual!$AE179,posicao_contratual!$AF179),2))))</f>
        <v>0</v>
      </c>
    </row>
    <row r="180" spans="1:30" hidden="1" outlineLevel="1" x14ac:dyDescent="0.35">
      <c r="A180" s="137" t="str">
        <f>IF(historico_VU!A128="","",historico_VU!A128)</f>
        <v/>
      </c>
      <c r="B180" s="138" t="str">
        <f>IF(A180="","",historico_VU!B128)</f>
        <v/>
      </c>
      <c r="C180" s="139" t="str">
        <f>IF(A180="","",historico_VU!C128)</f>
        <v/>
      </c>
      <c r="D180" s="139" t="str">
        <f>IF(A180="","",historico_VU!D128)</f>
        <v/>
      </c>
      <c r="E180" s="139" t="str">
        <f>IF(A180="","",historico_VU!E128)</f>
        <v/>
      </c>
      <c r="F180" s="139" t="str">
        <f>IF(A180="","",historico_VU!F128)</f>
        <v/>
      </c>
      <c r="G180" s="139" t="str">
        <f>IF(A180="","",historico_VU!G128)</f>
        <v/>
      </c>
      <c r="H180" s="140" t="str">
        <f>IF(A180="","",historico_VU!H128)</f>
        <v/>
      </c>
      <c r="I180" s="57"/>
      <c r="J180" s="137" t="str">
        <f>IF(itens_Remanesc!A128="","",itens_Remanesc!A128)</f>
        <v/>
      </c>
      <c r="K180" s="138" t="str">
        <f>IF(J180="","",IF($F$4="C0",itens_Remanesc!B128,IF($F$4="C1",itens_Remanesc!E128,IF($F$4="C2",itens_Remanesc!G128,IF($F$4="C3",itens_Remanesc!I128,itens_Remanesc!K128)))))</f>
        <v/>
      </c>
      <c r="L180" s="138" t="str">
        <f>IF(J180="","",IF(SUMIF(itens_Consumidos!$A$2:$A$200,J180,itens_Consumidos!$B$2:$B$200)-SUMIF(itens_Consumidos!$A$2:$A$200,J180,itens_Consumidos!$O$2:$O$200)&lt;0,0,SUMIF(itens_Consumidos!$A$2:$A$200,J180,itens_Consumidos!$B$2:$B$200)-SUMIF(itens_Consumidos!$A$2:$A$200,J180,itens_Consumidos!$O$2:$O$200)))</f>
        <v/>
      </c>
      <c r="M180" s="141" t="str">
        <f>IF(J180="","",itens_Remanesc!C128)</f>
        <v/>
      </c>
      <c r="N180" s="141" t="str">
        <f>IF(J180="","",IF($F$4="C0",historico_VU!C128,IF($F$4="C1",historico_VU!D128,IF($F$4="C2",historico_VU!E128,IF($F$4="C3",historico_VU!F128,historico_VU!G128)))))</f>
        <v/>
      </c>
      <c r="O180" s="141" t="str">
        <f t="shared" si="10"/>
        <v/>
      </c>
      <c r="P180" s="141" t="str">
        <f t="shared" si="11"/>
        <v/>
      </c>
      <c r="Q180" s="142" t="str">
        <f t="shared" si="12"/>
        <v/>
      </c>
      <c r="X180">
        <f>IF(posicao_contratual!$A180="",0,IF(AND(ISNUMBER(posicao_contratual!$Y180),posicao_contratual!$Y180&gt;0),0,IF(AND(ISNUMBER(posicao_contratual!$G180),ISNUMBER(posicao_contratual!$K180),ISNUMBER(historico_VU!$C180)),((posicao_contratual!$G180-N(posicao_contratual!$AB180))-(posicao_contratual!$K180-N(posicao_contratual!$AC180)))*historico_VU!$C180,"")))</f>
        <v>0</v>
      </c>
      <c r="Y180">
        <f>IF(OR(posicao_contratual!$A180="",$T$20=""),0,IF(AND(ISNUMBER(CHOOSE($T$20+1,historico_VU!$C180,historico_VU!$D180,historico_VU!$E180,historico_VU!$F180,historico_VU!$G180)),ISNUMBER(CHOOSE($T$20+1,posicao_contratual!$G180,posicao_contratual!$K180,posicao_contratual!$O180,posicao_contratual!$S180,posicao_contratual!$W180))),ROUND(ROUND(CHOOSE($T$20+1,historico_VU!$C180,historico_VU!$D180,historico_VU!$E180,historico_VU!$F180,historico_VU!$G180),2)*CHOOSE($T$20+1,posicao_contratual!$G180,posicao_contratual!$K180,posicao_contratual!$O180,posicao_contratual!$S180,posicao_contratual!$W180),2),""))</f>
        <v>0</v>
      </c>
      <c r="AB180">
        <f>IF(OR(posicao_contratual!$A180="",$W$46=""),0,IF(AND(ISNUMBER(CHOOSE($W$46+1,historico_VU!$C180,historico_VU!$D180,historico_VU!$E180,historico_VU!$F180,historico_VU!$G180)),ISNUMBER(CHOOSE($W$46+1,posicao_contratual!$G180,posicao_contratual!$K180,posicao_contratual!$O180,posicao_contratual!$S180,posicao_contratual!$W180))),ROUND(ROUND(CHOOSE($W$46+1,historico_VU!$C180,historico_VU!$D180,historico_VU!$E180,historico_VU!$F180,historico_VU!$G180),2)*CHOOSE($W$46+1,posicao_contratual!$G180,posicao_contratual!$K180,posicao_contratual!$O180,posicao_contratual!$S180,posicao_contratual!$W180),2),""))</f>
        <v>0</v>
      </c>
      <c r="AC180">
        <f>IF(OR(posicao_contratual!$A180="",$W$46=""),0,IF(OR($AB180="",$AD180=""),"",ROUND($AB180-$AD180,2)))</f>
        <v>0</v>
      </c>
      <c r="AD180">
        <f>IF(OR(posicao_contratual!$A180="",$W$46=""),0,IF($AB180="","",IF(NOT(ISNUMBER(CHOOSE($W$46+1,posicao_contratual!$AB180,posicao_contratual!$AC180,posicao_contratual!$AD180,posicao_contratual!$AE180,posicao_contratual!$AF180))),0,ROUND(ROUND(CHOOSE($W$46+1,historico_VU!$C180,historico_VU!$D180,historico_VU!$E180,historico_VU!$F180,historico_VU!$G180),2)*CHOOSE($W$46+1,posicao_contratual!$AB180,posicao_contratual!$AC180,posicao_contratual!$AD180,posicao_contratual!$AE180,posicao_contratual!$AF180),2))))</f>
        <v>0</v>
      </c>
    </row>
    <row r="181" spans="1:30" hidden="1" outlineLevel="1" x14ac:dyDescent="0.35">
      <c r="A181" s="137" t="str">
        <f>IF(historico_VU!A129="","",historico_VU!A129)</f>
        <v/>
      </c>
      <c r="B181" s="138" t="str">
        <f>IF(A181="","",historico_VU!B129)</f>
        <v/>
      </c>
      <c r="C181" s="139" t="str">
        <f>IF(A181="","",historico_VU!C129)</f>
        <v/>
      </c>
      <c r="D181" s="139" t="str">
        <f>IF(A181="","",historico_VU!D129)</f>
        <v/>
      </c>
      <c r="E181" s="139" t="str">
        <f>IF(A181="","",historico_VU!E129)</f>
        <v/>
      </c>
      <c r="F181" s="139" t="str">
        <f>IF(A181="","",historico_VU!F129)</f>
        <v/>
      </c>
      <c r="G181" s="139" t="str">
        <f>IF(A181="","",historico_VU!G129)</f>
        <v/>
      </c>
      <c r="H181" s="140" t="str">
        <f>IF(A181="","",historico_VU!H129)</f>
        <v/>
      </c>
      <c r="I181" s="57"/>
      <c r="J181" s="137" t="str">
        <f>IF(itens_Remanesc!A129="","",itens_Remanesc!A129)</f>
        <v/>
      </c>
      <c r="K181" s="138" t="str">
        <f>IF(J181="","",IF($F$4="C0",itens_Remanesc!B129,IF($F$4="C1",itens_Remanesc!E129,IF($F$4="C2",itens_Remanesc!G129,IF($F$4="C3",itens_Remanesc!I129,itens_Remanesc!K129)))))</f>
        <v/>
      </c>
      <c r="L181" s="138" t="str">
        <f>IF(J181="","",IF(SUMIF(itens_Consumidos!$A$2:$A$200,J181,itens_Consumidos!$B$2:$B$200)-SUMIF(itens_Consumidos!$A$2:$A$200,J181,itens_Consumidos!$O$2:$O$200)&lt;0,0,SUMIF(itens_Consumidos!$A$2:$A$200,J181,itens_Consumidos!$B$2:$B$200)-SUMIF(itens_Consumidos!$A$2:$A$200,J181,itens_Consumidos!$O$2:$O$200)))</f>
        <v/>
      </c>
      <c r="M181" s="141" t="str">
        <f>IF(J181="","",itens_Remanesc!C129)</f>
        <v/>
      </c>
      <c r="N181" s="141" t="str">
        <f>IF(J181="","",IF($F$4="C0",historico_VU!C129,IF($F$4="C1",historico_VU!D129,IF($F$4="C2",historico_VU!E129,IF($F$4="C3",historico_VU!F129,historico_VU!G129)))))</f>
        <v/>
      </c>
      <c r="O181" s="141" t="str">
        <f t="shared" si="10"/>
        <v/>
      </c>
      <c r="P181" s="141" t="str">
        <f t="shared" si="11"/>
        <v/>
      </c>
      <c r="Q181" s="142" t="str">
        <f t="shared" si="12"/>
        <v/>
      </c>
      <c r="X181">
        <f>IF(posicao_contratual!$A181="",0,IF(AND(ISNUMBER(posicao_contratual!$Y181),posicao_contratual!$Y181&gt;0),0,IF(AND(ISNUMBER(posicao_contratual!$G181),ISNUMBER(posicao_contratual!$K181),ISNUMBER(historico_VU!$C181)),((posicao_contratual!$G181-N(posicao_contratual!$AB181))-(posicao_contratual!$K181-N(posicao_contratual!$AC181)))*historico_VU!$C181,"")))</f>
        <v>0</v>
      </c>
      <c r="Y181">
        <f>IF(OR(posicao_contratual!$A181="",$T$20=""),0,IF(AND(ISNUMBER(CHOOSE($T$20+1,historico_VU!$C181,historico_VU!$D181,historico_VU!$E181,historico_VU!$F181,historico_VU!$G181)),ISNUMBER(CHOOSE($T$20+1,posicao_contratual!$G181,posicao_contratual!$K181,posicao_contratual!$O181,posicao_contratual!$S181,posicao_contratual!$W181))),ROUND(ROUND(CHOOSE($T$20+1,historico_VU!$C181,historico_VU!$D181,historico_VU!$E181,historico_VU!$F181,historico_VU!$G181),2)*CHOOSE($T$20+1,posicao_contratual!$G181,posicao_contratual!$K181,posicao_contratual!$O181,posicao_contratual!$S181,posicao_contratual!$W181),2),""))</f>
        <v>0</v>
      </c>
      <c r="AB181">
        <f>IF(OR(posicao_contratual!$A181="",$W$46=""),0,IF(AND(ISNUMBER(CHOOSE($W$46+1,historico_VU!$C181,historico_VU!$D181,historico_VU!$E181,historico_VU!$F181,historico_VU!$G181)),ISNUMBER(CHOOSE($W$46+1,posicao_contratual!$G181,posicao_contratual!$K181,posicao_contratual!$O181,posicao_contratual!$S181,posicao_contratual!$W181))),ROUND(ROUND(CHOOSE($W$46+1,historico_VU!$C181,historico_VU!$D181,historico_VU!$E181,historico_VU!$F181,historico_VU!$G181),2)*CHOOSE($W$46+1,posicao_contratual!$G181,posicao_contratual!$K181,posicao_contratual!$O181,posicao_contratual!$S181,posicao_contratual!$W181),2),""))</f>
        <v>0</v>
      </c>
      <c r="AC181">
        <f>IF(OR(posicao_contratual!$A181="",$W$46=""),0,IF(OR($AB181="",$AD181=""),"",ROUND($AB181-$AD181,2)))</f>
        <v>0</v>
      </c>
      <c r="AD181">
        <f>IF(OR(posicao_contratual!$A181="",$W$46=""),0,IF($AB181="","",IF(NOT(ISNUMBER(CHOOSE($W$46+1,posicao_contratual!$AB181,posicao_contratual!$AC181,posicao_contratual!$AD181,posicao_contratual!$AE181,posicao_contratual!$AF181))),0,ROUND(ROUND(CHOOSE($W$46+1,historico_VU!$C181,historico_VU!$D181,historico_VU!$E181,historico_VU!$F181,historico_VU!$G181),2)*CHOOSE($W$46+1,posicao_contratual!$AB181,posicao_contratual!$AC181,posicao_contratual!$AD181,posicao_contratual!$AE181,posicao_contratual!$AF181),2))))</f>
        <v>0</v>
      </c>
    </row>
    <row r="182" spans="1:30" hidden="1" outlineLevel="1" x14ac:dyDescent="0.35">
      <c r="A182" s="137" t="str">
        <f>IF(historico_VU!A130="","",historico_VU!A130)</f>
        <v/>
      </c>
      <c r="B182" s="138" t="str">
        <f>IF(A182="","",historico_VU!B130)</f>
        <v/>
      </c>
      <c r="C182" s="139" t="str">
        <f>IF(A182="","",historico_VU!C130)</f>
        <v/>
      </c>
      <c r="D182" s="139" t="str">
        <f>IF(A182="","",historico_VU!D130)</f>
        <v/>
      </c>
      <c r="E182" s="139" t="str">
        <f>IF(A182="","",historico_VU!E130)</f>
        <v/>
      </c>
      <c r="F182" s="139" t="str">
        <f>IF(A182="","",historico_VU!F130)</f>
        <v/>
      </c>
      <c r="G182" s="139" t="str">
        <f>IF(A182="","",historico_VU!G130)</f>
        <v/>
      </c>
      <c r="H182" s="140" t="str">
        <f>IF(A182="","",historico_VU!H130)</f>
        <v/>
      </c>
      <c r="I182" s="57"/>
      <c r="J182" s="137" t="str">
        <f>IF(itens_Remanesc!A130="","",itens_Remanesc!A130)</f>
        <v/>
      </c>
      <c r="K182" s="138" t="str">
        <f>IF(J182="","",IF($F$4="C0",itens_Remanesc!B130,IF($F$4="C1",itens_Remanesc!E130,IF($F$4="C2",itens_Remanesc!G130,IF($F$4="C3",itens_Remanesc!I130,itens_Remanesc!K130)))))</f>
        <v/>
      </c>
      <c r="L182" s="138" t="str">
        <f>IF(J182="","",IF(SUMIF(itens_Consumidos!$A$2:$A$200,J182,itens_Consumidos!$B$2:$B$200)-SUMIF(itens_Consumidos!$A$2:$A$200,J182,itens_Consumidos!$O$2:$O$200)&lt;0,0,SUMIF(itens_Consumidos!$A$2:$A$200,J182,itens_Consumidos!$B$2:$B$200)-SUMIF(itens_Consumidos!$A$2:$A$200,J182,itens_Consumidos!$O$2:$O$200)))</f>
        <v/>
      </c>
      <c r="M182" s="141" t="str">
        <f>IF(J182="","",itens_Remanesc!C130)</f>
        <v/>
      </c>
      <c r="N182" s="141" t="str">
        <f>IF(J182="","",IF($F$4="C0",historico_VU!C130,IF($F$4="C1",historico_VU!D130,IF($F$4="C2",historico_VU!E130,IF($F$4="C3",historico_VU!F130,historico_VU!G130)))))</f>
        <v/>
      </c>
      <c r="O182" s="141" t="str">
        <f t="shared" ref="O182:O213" si="13">IF(J182="","",IF(OR($B$4="Financeiro",$B$4="PCs"),IF(OR(K182="",M182=""),"",ROUND(K182*M182,2)),IF($B$4="Itens",IF(OR(L182="",M182=""),"",ROUND(L182*M182,2)),"")))</f>
        <v/>
      </c>
      <c r="P182" s="141" t="str">
        <f t="shared" ref="P182:P213" si="14">IF(J182="","",IF(OR($B$4="Financeiro",$B$4="PCs"),IF(OR(K182="",N182=""),"",ROUND(K182*N182,2)),IF($B$4="Itens",IF(OR(L182="",N182=""),"",ROUND(L182*N182,2)),"")))</f>
        <v/>
      </c>
      <c r="Q182" s="142" t="str">
        <f t="shared" ref="Q182:Q213" si="15">IF(J182="","",IF(OR(M182="",AND(OR($B$4="Financeiro",$B$4="PCs"),K182=""),AND($B$4="Itens",L182="")),"INCOMPLETO",IF(AND(ISNUMBER(K182),ISNUMBER(L182),ABS(K182-L182)/MAX(ABS(IF(OR($B$4="Financeiro",$B$4="PCs"),K182,L182)),1)&gt;$D$4),"DIVERGENTE","OK")))</f>
        <v/>
      </c>
      <c r="X182">
        <f>IF(posicao_contratual!$A182="",0,IF(AND(ISNUMBER(posicao_contratual!$Y182),posicao_contratual!$Y182&gt;0),0,IF(AND(ISNUMBER(posicao_contratual!$G182),ISNUMBER(posicao_contratual!$K182),ISNUMBER(historico_VU!$C182)),((posicao_contratual!$G182-N(posicao_contratual!$AB182))-(posicao_contratual!$K182-N(posicao_contratual!$AC182)))*historico_VU!$C182,"")))</f>
        <v>0</v>
      </c>
      <c r="Y182">
        <f>IF(OR(posicao_contratual!$A182="",$T$20=""),0,IF(AND(ISNUMBER(CHOOSE($T$20+1,historico_VU!$C182,historico_VU!$D182,historico_VU!$E182,historico_VU!$F182,historico_VU!$G182)),ISNUMBER(CHOOSE($T$20+1,posicao_contratual!$G182,posicao_contratual!$K182,posicao_contratual!$O182,posicao_contratual!$S182,posicao_contratual!$W182))),ROUND(ROUND(CHOOSE($T$20+1,historico_VU!$C182,historico_VU!$D182,historico_VU!$E182,historico_VU!$F182,historico_VU!$G182),2)*CHOOSE($T$20+1,posicao_contratual!$G182,posicao_contratual!$K182,posicao_contratual!$O182,posicao_contratual!$S182,posicao_contratual!$W182),2),""))</f>
        <v>0</v>
      </c>
      <c r="AB182">
        <f>IF(OR(posicao_contratual!$A182="",$W$46=""),0,IF(AND(ISNUMBER(CHOOSE($W$46+1,historico_VU!$C182,historico_VU!$D182,historico_VU!$E182,historico_VU!$F182,historico_VU!$G182)),ISNUMBER(CHOOSE($W$46+1,posicao_contratual!$G182,posicao_contratual!$K182,posicao_contratual!$O182,posicao_contratual!$S182,posicao_contratual!$W182))),ROUND(ROUND(CHOOSE($W$46+1,historico_VU!$C182,historico_VU!$D182,historico_VU!$E182,historico_VU!$F182,historico_VU!$G182),2)*CHOOSE($W$46+1,posicao_contratual!$G182,posicao_contratual!$K182,posicao_contratual!$O182,posicao_contratual!$S182,posicao_contratual!$W182),2),""))</f>
        <v>0</v>
      </c>
      <c r="AC182">
        <f>IF(OR(posicao_contratual!$A182="",$W$46=""),0,IF(OR($AB182="",$AD182=""),"",ROUND($AB182-$AD182,2)))</f>
        <v>0</v>
      </c>
      <c r="AD182">
        <f>IF(OR(posicao_contratual!$A182="",$W$46=""),0,IF($AB182="","",IF(NOT(ISNUMBER(CHOOSE($W$46+1,posicao_contratual!$AB182,posicao_contratual!$AC182,posicao_contratual!$AD182,posicao_contratual!$AE182,posicao_contratual!$AF182))),0,ROUND(ROUND(CHOOSE($W$46+1,historico_VU!$C182,historico_VU!$D182,historico_VU!$E182,historico_VU!$F182,historico_VU!$G182),2)*CHOOSE($W$46+1,posicao_contratual!$AB182,posicao_contratual!$AC182,posicao_contratual!$AD182,posicao_contratual!$AE182,posicao_contratual!$AF182),2))))</f>
        <v>0</v>
      </c>
    </row>
    <row r="183" spans="1:30" hidden="1" outlineLevel="1" x14ac:dyDescent="0.35">
      <c r="A183" s="137" t="str">
        <f>IF(historico_VU!A131="","",historico_VU!A131)</f>
        <v/>
      </c>
      <c r="B183" s="138" t="str">
        <f>IF(A183="","",historico_VU!B131)</f>
        <v/>
      </c>
      <c r="C183" s="139" t="str">
        <f>IF(A183="","",historico_VU!C131)</f>
        <v/>
      </c>
      <c r="D183" s="139" t="str">
        <f>IF(A183="","",historico_VU!D131)</f>
        <v/>
      </c>
      <c r="E183" s="139" t="str">
        <f>IF(A183="","",historico_VU!E131)</f>
        <v/>
      </c>
      <c r="F183" s="139" t="str">
        <f>IF(A183="","",historico_VU!F131)</f>
        <v/>
      </c>
      <c r="G183" s="139" t="str">
        <f>IF(A183="","",historico_VU!G131)</f>
        <v/>
      </c>
      <c r="H183" s="140" t="str">
        <f>IF(A183="","",historico_VU!H131)</f>
        <v/>
      </c>
      <c r="I183" s="57"/>
      <c r="J183" s="137" t="str">
        <f>IF(itens_Remanesc!A131="","",itens_Remanesc!A131)</f>
        <v/>
      </c>
      <c r="K183" s="138" t="str">
        <f>IF(J183="","",IF($F$4="C0",itens_Remanesc!B131,IF($F$4="C1",itens_Remanesc!E131,IF($F$4="C2",itens_Remanesc!G131,IF($F$4="C3",itens_Remanesc!I131,itens_Remanesc!K131)))))</f>
        <v/>
      </c>
      <c r="L183" s="138" t="str">
        <f>IF(J183="","",IF(SUMIF(itens_Consumidos!$A$2:$A$200,J183,itens_Consumidos!$B$2:$B$200)-SUMIF(itens_Consumidos!$A$2:$A$200,J183,itens_Consumidos!$O$2:$O$200)&lt;0,0,SUMIF(itens_Consumidos!$A$2:$A$200,J183,itens_Consumidos!$B$2:$B$200)-SUMIF(itens_Consumidos!$A$2:$A$200,J183,itens_Consumidos!$O$2:$O$200)))</f>
        <v/>
      </c>
      <c r="M183" s="141" t="str">
        <f>IF(J183="","",itens_Remanesc!C131)</f>
        <v/>
      </c>
      <c r="N183" s="141" t="str">
        <f>IF(J183="","",IF($F$4="C0",historico_VU!C131,IF($F$4="C1",historico_VU!D131,IF($F$4="C2",historico_VU!E131,IF($F$4="C3",historico_VU!F131,historico_VU!G131)))))</f>
        <v/>
      </c>
      <c r="O183" s="141" t="str">
        <f t="shared" si="13"/>
        <v/>
      </c>
      <c r="P183" s="141" t="str">
        <f t="shared" si="14"/>
        <v/>
      </c>
      <c r="Q183" s="142" t="str">
        <f t="shared" si="15"/>
        <v/>
      </c>
      <c r="X183">
        <f>IF(posicao_contratual!$A183="",0,IF(AND(ISNUMBER(posicao_contratual!$Y183),posicao_contratual!$Y183&gt;0),0,IF(AND(ISNUMBER(posicao_contratual!$G183),ISNUMBER(posicao_contratual!$K183),ISNUMBER(historico_VU!$C183)),((posicao_contratual!$G183-N(posicao_contratual!$AB183))-(posicao_contratual!$K183-N(posicao_contratual!$AC183)))*historico_VU!$C183,"")))</f>
        <v>0</v>
      </c>
      <c r="Y183">
        <f>IF(OR(posicao_contratual!$A183="",$T$20=""),0,IF(AND(ISNUMBER(CHOOSE($T$20+1,historico_VU!$C183,historico_VU!$D183,historico_VU!$E183,historico_VU!$F183,historico_VU!$G183)),ISNUMBER(CHOOSE($T$20+1,posicao_contratual!$G183,posicao_contratual!$K183,posicao_contratual!$O183,posicao_contratual!$S183,posicao_contratual!$W183))),ROUND(ROUND(CHOOSE($T$20+1,historico_VU!$C183,historico_VU!$D183,historico_VU!$E183,historico_VU!$F183,historico_VU!$G183),2)*CHOOSE($T$20+1,posicao_contratual!$G183,posicao_contratual!$K183,posicao_contratual!$O183,posicao_contratual!$S183,posicao_contratual!$W183),2),""))</f>
        <v>0</v>
      </c>
      <c r="AB183">
        <f>IF(OR(posicao_contratual!$A183="",$W$46=""),0,IF(AND(ISNUMBER(CHOOSE($W$46+1,historico_VU!$C183,historico_VU!$D183,historico_VU!$E183,historico_VU!$F183,historico_VU!$G183)),ISNUMBER(CHOOSE($W$46+1,posicao_contratual!$G183,posicao_contratual!$K183,posicao_contratual!$O183,posicao_contratual!$S183,posicao_contratual!$W183))),ROUND(ROUND(CHOOSE($W$46+1,historico_VU!$C183,historico_VU!$D183,historico_VU!$E183,historico_VU!$F183,historico_VU!$G183),2)*CHOOSE($W$46+1,posicao_contratual!$G183,posicao_contratual!$K183,posicao_contratual!$O183,posicao_contratual!$S183,posicao_contratual!$W183),2),""))</f>
        <v>0</v>
      </c>
      <c r="AC183">
        <f>IF(OR(posicao_contratual!$A183="",$W$46=""),0,IF(OR($AB183="",$AD183=""),"",ROUND($AB183-$AD183,2)))</f>
        <v>0</v>
      </c>
      <c r="AD183">
        <f>IF(OR(posicao_contratual!$A183="",$W$46=""),0,IF($AB183="","",IF(NOT(ISNUMBER(CHOOSE($W$46+1,posicao_contratual!$AB183,posicao_contratual!$AC183,posicao_contratual!$AD183,posicao_contratual!$AE183,posicao_contratual!$AF183))),0,ROUND(ROUND(CHOOSE($W$46+1,historico_VU!$C183,historico_VU!$D183,historico_VU!$E183,historico_VU!$F183,historico_VU!$G183),2)*CHOOSE($W$46+1,posicao_contratual!$AB183,posicao_contratual!$AC183,posicao_contratual!$AD183,posicao_contratual!$AE183,posicao_contratual!$AF183),2))))</f>
        <v>0</v>
      </c>
    </row>
    <row r="184" spans="1:30" hidden="1" outlineLevel="1" x14ac:dyDescent="0.35">
      <c r="A184" s="137" t="str">
        <f>IF(historico_VU!A132="","",historico_VU!A132)</f>
        <v/>
      </c>
      <c r="B184" s="138" t="str">
        <f>IF(A184="","",historico_VU!B132)</f>
        <v/>
      </c>
      <c r="C184" s="139" t="str">
        <f>IF(A184="","",historico_VU!C132)</f>
        <v/>
      </c>
      <c r="D184" s="139" t="str">
        <f>IF(A184="","",historico_VU!D132)</f>
        <v/>
      </c>
      <c r="E184" s="139" t="str">
        <f>IF(A184="","",historico_VU!E132)</f>
        <v/>
      </c>
      <c r="F184" s="139" t="str">
        <f>IF(A184="","",historico_VU!F132)</f>
        <v/>
      </c>
      <c r="G184" s="139" t="str">
        <f>IF(A184="","",historico_VU!G132)</f>
        <v/>
      </c>
      <c r="H184" s="140" t="str">
        <f>IF(A184="","",historico_VU!H132)</f>
        <v/>
      </c>
      <c r="I184" s="57"/>
      <c r="J184" s="137" t="str">
        <f>IF(itens_Remanesc!A132="","",itens_Remanesc!A132)</f>
        <v/>
      </c>
      <c r="K184" s="138" t="str">
        <f>IF(J184="","",IF($F$4="C0",itens_Remanesc!B132,IF($F$4="C1",itens_Remanesc!E132,IF($F$4="C2",itens_Remanesc!G132,IF($F$4="C3",itens_Remanesc!I132,itens_Remanesc!K132)))))</f>
        <v/>
      </c>
      <c r="L184" s="138" t="str">
        <f>IF(J184="","",IF(SUMIF(itens_Consumidos!$A$2:$A$200,J184,itens_Consumidos!$B$2:$B$200)-SUMIF(itens_Consumidos!$A$2:$A$200,J184,itens_Consumidos!$O$2:$O$200)&lt;0,0,SUMIF(itens_Consumidos!$A$2:$A$200,J184,itens_Consumidos!$B$2:$B$200)-SUMIF(itens_Consumidos!$A$2:$A$200,J184,itens_Consumidos!$O$2:$O$200)))</f>
        <v/>
      </c>
      <c r="M184" s="141" t="str">
        <f>IF(J184="","",itens_Remanesc!C132)</f>
        <v/>
      </c>
      <c r="N184" s="141" t="str">
        <f>IF(J184="","",IF($F$4="C0",historico_VU!C132,IF($F$4="C1",historico_VU!D132,IF($F$4="C2",historico_VU!E132,IF($F$4="C3",historico_VU!F132,historico_VU!G132)))))</f>
        <v/>
      </c>
      <c r="O184" s="141" t="str">
        <f t="shared" si="13"/>
        <v/>
      </c>
      <c r="P184" s="141" t="str">
        <f t="shared" si="14"/>
        <v/>
      </c>
      <c r="Q184" s="142" t="str">
        <f t="shared" si="15"/>
        <v/>
      </c>
      <c r="X184">
        <f>IF(posicao_contratual!$A184="",0,IF(AND(ISNUMBER(posicao_contratual!$Y184),posicao_contratual!$Y184&gt;0),0,IF(AND(ISNUMBER(posicao_contratual!$G184),ISNUMBER(posicao_contratual!$K184),ISNUMBER(historico_VU!$C184)),((posicao_contratual!$G184-N(posicao_contratual!$AB184))-(posicao_contratual!$K184-N(posicao_contratual!$AC184)))*historico_VU!$C184,"")))</f>
        <v>0</v>
      </c>
      <c r="Y184">
        <f>IF(OR(posicao_contratual!$A184="",$T$20=""),0,IF(AND(ISNUMBER(CHOOSE($T$20+1,historico_VU!$C184,historico_VU!$D184,historico_VU!$E184,historico_VU!$F184,historico_VU!$G184)),ISNUMBER(CHOOSE($T$20+1,posicao_contratual!$G184,posicao_contratual!$K184,posicao_contratual!$O184,posicao_contratual!$S184,posicao_contratual!$W184))),ROUND(ROUND(CHOOSE($T$20+1,historico_VU!$C184,historico_VU!$D184,historico_VU!$E184,historico_VU!$F184,historico_VU!$G184),2)*CHOOSE($T$20+1,posicao_contratual!$G184,posicao_contratual!$K184,posicao_contratual!$O184,posicao_contratual!$S184,posicao_contratual!$W184),2),""))</f>
        <v>0</v>
      </c>
      <c r="AB184">
        <f>IF(OR(posicao_contratual!$A184="",$W$46=""),0,IF(AND(ISNUMBER(CHOOSE($W$46+1,historico_VU!$C184,historico_VU!$D184,historico_VU!$E184,historico_VU!$F184,historico_VU!$G184)),ISNUMBER(CHOOSE($W$46+1,posicao_contratual!$G184,posicao_contratual!$K184,posicao_contratual!$O184,posicao_contratual!$S184,posicao_contratual!$W184))),ROUND(ROUND(CHOOSE($W$46+1,historico_VU!$C184,historico_VU!$D184,historico_VU!$E184,historico_VU!$F184,historico_VU!$G184),2)*CHOOSE($W$46+1,posicao_contratual!$G184,posicao_contratual!$K184,posicao_contratual!$O184,posicao_contratual!$S184,posicao_contratual!$W184),2),""))</f>
        <v>0</v>
      </c>
      <c r="AC184">
        <f>IF(OR(posicao_contratual!$A184="",$W$46=""),0,IF(OR($AB184="",$AD184=""),"",ROUND($AB184-$AD184,2)))</f>
        <v>0</v>
      </c>
      <c r="AD184">
        <f>IF(OR(posicao_contratual!$A184="",$W$46=""),0,IF($AB184="","",IF(NOT(ISNUMBER(CHOOSE($W$46+1,posicao_contratual!$AB184,posicao_contratual!$AC184,posicao_contratual!$AD184,posicao_contratual!$AE184,posicao_contratual!$AF184))),0,ROUND(ROUND(CHOOSE($W$46+1,historico_VU!$C184,historico_VU!$D184,historico_VU!$E184,historico_VU!$F184,historico_VU!$G184),2)*CHOOSE($W$46+1,posicao_contratual!$AB184,posicao_contratual!$AC184,posicao_contratual!$AD184,posicao_contratual!$AE184,posicao_contratual!$AF184),2))))</f>
        <v>0</v>
      </c>
    </row>
    <row r="185" spans="1:30" hidden="1" outlineLevel="1" x14ac:dyDescent="0.35">
      <c r="A185" s="137" t="str">
        <f>IF(historico_VU!A133="","",historico_VU!A133)</f>
        <v/>
      </c>
      <c r="B185" s="138" t="str">
        <f>IF(A185="","",historico_VU!B133)</f>
        <v/>
      </c>
      <c r="C185" s="139" t="str">
        <f>IF(A185="","",historico_VU!C133)</f>
        <v/>
      </c>
      <c r="D185" s="139" t="str">
        <f>IF(A185="","",historico_VU!D133)</f>
        <v/>
      </c>
      <c r="E185" s="139" t="str">
        <f>IF(A185="","",historico_VU!E133)</f>
        <v/>
      </c>
      <c r="F185" s="139" t="str">
        <f>IF(A185="","",historico_VU!F133)</f>
        <v/>
      </c>
      <c r="G185" s="139" t="str">
        <f>IF(A185="","",historico_VU!G133)</f>
        <v/>
      </c>
      <c r="H185" s="140" t="str">
        <f>IF(A185="","",historico_VU!H133)</f>
        <v/>
      </c>
      <c r="I185" s="57"/>
      <c r="J185" s="137" t="str">
        <f>IF(itens_Remanesc!A133="","",itens_Remanesc!A133)</f>
        <v/>
      </c>
      <c r="K185" s="138" t="str">
        <f>IF(J185="","",IF($F$4="C0",itens_Remanesc!B133,IF($F$4="C1",itens_Remanesc!E133,IF($F$4="C2",itens_Remanesc!G133,IF($F$4="C3",itens_Remanesc!I133,itens_Remanesc!K133)))))</f>
        <v/>
      </c>
      <c r="L185" s="138" t="str">
        <f>IF(J185="","",IF(SUMIF(itens_Consumidos!$A$2:$A$200,J185,itens_Consumidos!$B$2:$B$200)-SUMIF(itens_Consumidos!$A$2:$A$200,J185,itens_Consumidos!$O$2:$O$200)&lt;0,0,SUMIF(itens_Consumidos!$A$2:$A$200,J185,itens_Consumidos!$B$2:$B$200)-SUMIF(itens_Consumidos!$A$2:$A$200,J185,itens_Consumidos!$O$2:$O$200)))</f>
        <v/>
      </c>
      <c r="M185" s="141" t="str">
        <f>IF(J185="","",itens_Remanesc!C133)</f>
        <v/>
      </c>
      <c r="N185" s="141" t="str">
        <f>IF(J185="","",IF($F$4="C0",historico_VU!C133,IF($F$4="C1",historico_VU!D133,IF($F$4="C2",historico_VU!E133,IF($F$4="C3",historico_VU!F133,historico_VU!G133)))))</f>
        <v/>
      </c>
      <c r="O185" s="141" t="str">
        <f t="shared" si="13"/>
        <v/>
      </c>
      <c r="P185" s="141" t="str">
        <f t="shared" si="14"/>
        <v/>
      </c>
      <c r="Q185" s="142" t="str">
        <f t="shared" si="15"/>
        <v/>
      </c>
      <c r="X185">
        <f>IF(posicao_contratual!$A185="",0,IF(AND(ISNUMBER(posicao_contratual!$Y185),posicao_contratual!$Y185&gt;0),0,IF(AND(ISNUMBER(posicao_contratual!$G185),ISNUMBER(posicao_contratual!$K185),ISNUMBER(historico_VU!$C185)),((posicao_contratual!$G185-N(posicao_contratual!$AB185))-(posicao_contratual!$K185-N(posicao_contratual!$AC185)))*historico_VU!$C185,"")))</f>
        <v>0</v>
      </c>
      <c r="Y185">
        <f>IF(OR(posicao_contratual!$A185="",$T$20=""),0,IF(AND(ISNUMBER(CHOOSE($T$20+1,historico_VU!$C185,historico_VU!$D185,historico_VU!$E185,historico_VU!$F185,historico_VU!$G185)),ISNUMBER(CHOOSE($T$20+1,posicao_contratual!$G185,posicao_contratual!$K185,posicao_contratual!$O185,posicao_contratual!$S185,posicao_contratual!$W185))),ROUND(ROUND(CHOOSE($T$20+1,historico_VU!$C185,historico_VU!$D185,historico_VU!$E185,historico_VU!$F185,historico_VU!$G185),2)*CHOOSE($T$20+1,posicao_contratual!$G185,posicao_contratual!$K185,posicao_contratual!$O185,posicao_contratual!$S185,posicao_contratual!$W185),2),""))</f>
        <v>0</v>
      </c>
      <c r="AB185">
        <f>IF(OR(posicao_contratual!$A185="",$W$46=""),0,IF(AND(ISNUMBER(CHOOSE($W$46+1,historico_VU!$C185,historico_VU!$D185,historico_VU!$E185,historico_VU!$F185,historico_VU!$G185)),ISNUMBER(CHOOSE($W$46+1,posicao_contratual!$G185,posicao_contratual!$K185,posicao_contratual!$O185,posicao_contratual!$S185,posicao_contratual!$W185))),ROUND(ROUND(CHOOSE($W$46+1,historico_VU!$C185,historico_VU!$D185,historico_VU!$E185,historico_VU!$F185,historico_VU!$G185),2)*CHOOSE($W$46+1,posicao_contratual!$G185,posicao_contratual!$K185,posicao_contratual!$O185,posicao_contratual!$S185,posicao_contratual!$W185),2),""))</f>
        <v>0</v>
      </c>
      <c r="AC185">
        <f>IF(OR(posicao_contratual!$A185="",$W$46=""),0,IF(OR($AB185="",$AD185=""),"",ROUND($AB185-$AD185,2)))</f>
        <v>0</v>
      </c>
      <c r="AD185">
        <f>IF(OR(posicao_contratual!$A185="",$W$46=""),0,IF($AB185="","",IF(NOT(ISNUMBER(CHOOSE($W$46+1,posicao_contratual!$AB185,posicao_contratual!$AC185,posicao_contratual!$AD185,posicao_contratual!$AE185,posicao_contratual!$AF185))),0,ROUND(ROUND(CHOOSE($W$46+1,historico_VU!$C185,historico_VU!$D185,historico_VU!$E185,historico_VU!$F185,historico_VU!$G185),2)*CHOOSE($W$46+1,posicao_contratual!$AB185,posicao_contratual!$AC185,posicao_contratual!$AD185,posicao_contratual!$AE185,posicao_contratual!$AF185),2))))</f>
        <v>0</v>
      </c>
    </row>
    <row r="186" spans="1:30" hidden="1" outlineLevel="1" x14ac:dyDescent="0.35">
      <c r="A186" s="137" t="str">
        <f>IF(historico_VU!A134="","",historico_VU!A134)</f>
        <v/>
      </c>
      <c r="B186" s="138" t="str">
        <f>IF(A186="","",historico_VU!B134)</f>
        <v/>
      </c>
      <c r="C186" s="139" t="str">
        <f>IF(A186="","",historico_VU!C134)</f>
        <v/>
      </c>
      <c r="D186" s="139" t="str">
        <f>IF(A186="","",historico_VU!D134)</f>
        <v/>
      </c>
      <c r="E186" s="139" t="str">
        <f>IF(A186="","",historico_VU!E134)</f>
        <v/>
      </c>
      <c r="F186" s="139" t="str">
        <f>IF(A186="","",historico_VU!F134)</f>
        <v/>
      </c>
      <c r="G186" s="139" t="str">
        <f>IF(A186="","",historico_VU!G134)</f>
        <v/>
      </c>
      <c r="H186" s="140" t="str">
        <f>IF(A186="","",historico_VU!H134)</f>
        <v/>
      </c>
      <c r="I186" s="57"/>
      <c r="J186" s="137" t="str">
        <f>IF(itens_Remanesc!A134="","",itens_Remanesc!A134)</f>
        <v/>
      </c>
      <c r="K186" s="138" t="str">
        <f>IF(J186="","",IF($F$4="C0",itens_Remanesc!B134,IF($F$4="C1",itens_Remanesc!E134,IF($F$4="C2",itens_Remanesc!G134,IF($F$4="C3",itens_Remanesc!I134,itens_Remanesc!K134)))))</f>
        <v/>
      </c>
      <c r="L186" s="138" t="str">
        <f>IF(J186="","",IF(SUMIF(itens_Consumidos!$A$2:$A$200,J186,itens_Consumidos!$B$2:$B$200)-SUMIF(itens_Consumidos!$A$2:$A$200,J186,itens_Consumidos!$O$2:$O$200)&lt;0,0,SUMIF(itens_Consumidos!$A$2:$A$200,J186,itens_Consumidos!$B$2:$B$200)-SUMIF(itens_Consumidos!$A$2:$A$200,J186,itens_Consumidos!$O$2:$O$200)))</f>
        <v/>
      </c>
      <c r="M186" s="141" t="str">
        <f>IF(J186="","",itens_Remanesc!C134)</f>
        <v/>
      </c>
      <c r="N186" s="141" t="str">
        <f>IF(J186="","",IF($F$4="C0",historico_VU!C134,IF($F$4="C1",historico_VU!D134,IF($F$4="C2",historico_VU!E134,IF($F$4="C3",historico_VU!F134,historico_VU!G134)))))</f>
        <v/>
      </c>
      <c r="O186" s="141" t="str">
        <f t="shared" si="13"/>
        <v/>
      </c>
      <c r="P186" s="141" t="str">
        <f t="shared" si="14"/>
        <v/>
      </c>
      <c r="Q186" s="142" t="str">
        <f t="shared" si="15"/>
        <v/>
      </c>
      <c r="X186">
        <f>IF(posicao_contratual!$A186="",0,IF(AND(ISNUMBER(posicao_contratual!$Y186),posicao_contratual!$Y186&gt;0),0,IF(AND(ISNUMBER(posicao_contratual!$G186),ISNUMBER(posicao_contratual!$K186),ISNUMBER(historico_VU!$C186)),((posicao_contratual!$G186-N(posicao_contratual!$AB186))-(posicao_contratual!$K186-N(posicao_contratual!$AC186)))*historico_VU!$C186,"")))</f>
        <v>0</v>
      </c>
      <c r="Y186">
        <f>IF(OR(posicao_contratual!$A186="",$T$20=""),0,IF(AND(ISNUMBER(CHOOSE($T$20+1,historico_VU!$C186,historico_VU!$D186,historico_VU!$E186,historico_VU!$F186,historico_VU!$G186)),ISNUMBER(CHOOSE($T$20+1,posicao_contratual!$G186,posicao_contratual!$K186,posicao_contratual!$O186,posicao_contratual!$S186,posicao_contratual!$W186))),ROUND(ROUND(CHOOSE($T$20+1,historico_VU!$C186,historico_VU!$D186,historico_VU!$E186,historico_VU!$F186,historico_VU!$G186),2)*CHOOSE($T$20+1,posicao_contratual!$G186,posicao_contratual!$K186,posicao_contratual!$O186,posicao_contratual!$S186,posicao_contratual!$W186),2),""))</f>
        <v>0</v>
      </c>
      <c r="AB186">
        <f>IF(OR(posicao_contratual!$A186="",$W$46=""),0,IF(AND(ISNUMBER(CHOOSE($W$46+1,historico_VU!$C186,historico_VU!$D186,historico_VU!$E186,historico_VU!$F186,historico_VU!$G186)),ISNUMBER(CHOOSE($W$46+1,posicao_contratual!$G186,posicao_contratual!$K186,posicao_contratual!$O186,posicao_contratual!$S186,posicao_contratual!$W186))),ROUND(ROUND(CHOOSE($W$46+1,historico_VU!$C186,historico_VU!$D186,historico_VU!$E186,historico_VU!$F186,historico_VU!$G186),2)*CHOOSE($W$46+1,posicao_contratual!$G186,posicao_contratual!$K186,posicao_contratual!$O186,posicao_contratual!$S186,posicao_contratual!$W186),2),""))</f>
        <v>0</v>
      </c>
      <c r="AC186">
        <f>IF(OR(posicao_contratual!$A186="",$W$46=""),0,IF(OR($AB186="",$AD186=""),"",ROUND($AB186-$AD186,2)))</f>
        <v>0</v>
      </c>
      <c r="AD186">
        <f>IF(OR(posicao_contratual!$A186="",$W$46=""),0,IF($AB186="","",IF(NOT(ISNUMBER(CHOOSE($W$46+1,posicao_contratual!$AB186,posicao_contratual!$AC186,posicao_contratual!$AD186,posicao_contratual!$AE186,posicao_contratual!$AF186))),0,ROUND(ROUND(CHOOSE($W$46+1,historico_VU!$C186,historico_VU!$D186,historico_VU!$E186,historico_VU!$F186,historico_VU!$G186),2)*CHOOSE($W$46+1,posicao_contratual!$AB186,posicao_contratual!$AC186,posicao_contratual!$AD186,posicao_contratual!$AE186,posicao_contratual!$AF186),2))))</f>
        <v>0</v>
      </c>
    </row>
    <row r="187" spans="1:30" hidden="1" outlineLevel="1" x14ac:dyDescent="0.35">
      <c r="A187" s="137" t="str">
        <f>IF(historico_VU!A135="","",historico_VU!A135)</f>
        <v/>
      </c>
      <c r="B187" s="138" t="str">
        <f>IF(A187="","",historico_VU!B135)</f>
        <v/>
      </c>
      <c r="C187" s="139" t="str">
        <f>IF(A187="","",historico_VU!C135)</f>
        <v/>
      </c>
      <c r="D187" s="139" t="str">
        <f>IF(A187="","",historico_VU!D135)</f>
        <v/>
      </c>
      <c r="E187" s="139" t="str">
        <f>IF(A187="","",historico_VU!E135)</f>
        <v/>
      </c>
      <c r="F187" s="139" t="str">
        <f>IF(A187="","",historico_VU!F135)</f>
        <v/>
      </c>
      <c r="G187" s="139" t="str">
        <f>IF(A187="","",historico_VU!G135)</f>
        <v/>
      </c>
      <c r="H187" s="140" t="str">
        <f>IF(A187="","",historico_VU!H135)</f>
        <v/>
      </c>
      <c r="I187" s="57"/>
      <c r="J187" s="137" t="str">
        <f>IF(itens_Remanesc!A135="","",itens_Remanesc!A135)</f>
        <v/>
      </c>
      <c r="K187" s="138" t="str">
        <f>IF(J187="","",IF($F$4="C0",itens_Remanesc!B135,IF($F$4="C1",itens_Remanesc!E135,IF($F$4="C2",itens_Remanesc!G135,IF($F$4="C3",itens_Remanesc!I135,itens_Remanesc!K135)))))</f>
        <v/>
      </c>
      <c r="L187" s="138" t="str">
        <f>IF(J187="","",IF(SUMIF(itens_Consumidos!$A$2:$A$200,J187,itens_Consumidos!$B$2:$B$200)-SUMIF(itens_Consumidos!$A$2:$A$200,J187,itens_Consumidos!$O$2:$O$200)&lt;0,0,SUMIF(itens_Consumidos!$A$2:$A$200,J187,itens_Consumidos!$B$2:$B$200)-SUMIF(itens_Consumidos!$A$2:$A$200,J187,itens_Consumidos!$O$2:$O$200)))</f>
        <v/>
      </c>
      <c r="M187" s="141" t="str">
        <f>IF(J187="","",itens_Remanesc!C135)</f>
        <v/>
      </c>
      <c r="N187" s="141" t="str">
        <f>IF(J187="","",IF($F$4="C0",historico_VU!C135,IF($F$4="C1",historico_VU!D135,IF($F$4="C2",historico_VU!E135,IF($F$4="C3",historico_VU!F135,historico_VU!G135)))))</f>
        <v/>
      </c>
      <c r="O187" s="141" t="str">
        <f t="shared" si="13"/>
        <v/>
      </c>
      <c r="P187" s="141" t="str">
        <f t="shared" si="14"/>
        <v/>
      </c>
      <c r="Q187" s="142" t="str">
        <f t="shared" si="15"/>
        <v/>
      </c>
      <c r="X187">
        <f>IF(posicao_contratual!$A187="",0,IF(AND(ISNUMBER(posicao_contratual!$Y187),posicao_contratual!$Y187&gt;0),0,IF(AND(ISNUMBER(posicao_contratual!$G187),ISNUMBER(posicao_contratual!$K187),ISNUMBER(historico_VU!$C187)),((posicao_contratual!$G187-N(posicao_contratual!$AB187))-(posicao_contratual!$K187-N(posicao_contratual!$AC187)))*historico_VU!$C187,"")))</f>
        <v>0</v>
      </c>
      <c r="Y187">
        <f>IF(OR(posicao_contratual!$A187="",$T$20=""),0,IF(AND(ISNUMBER(CHOOSE($T$20+1,historico_VU!$C187,historico_VU!$D187,historico_VU!$E187,historico_VU!$F187,historico_VU!$G187)),ISNUMBER(CHOOSE($T$20+1,posicao_contratual!$G187,posicao_contratual!$K187,posicao_contratual!$O187,posicao_contratual!$S187,posicao_contratual!$W187))),ROUND(ROUND(CHOOSE($T$20+1,historico_VU!$C187,historico_VU!$D187,historico_VU!$E187,historico_VU!$F187,historico_VU!$G187),2)*CHOOSE($T$20+1,posicao_contratual!$G187,posicao_contratual!$K187,posicao_contratual!$O187,posicao_contratual!$S187,posicao_contratual!$W187),2),""))</f>
        <v>0</v>
      </c>
      <c r="AB187">
        <f>IF(OR(posicao_contratual!$A187="",$W$46=""),0,IF(AND(ISNUMBER(CHOOSE($W$46+1,historico_VU!$C187,historico_VU!$D187,historico_VU!$E187,historico_VU!$F187,historico_VU!$G187)),ISNUMBER(CHOOSE($W$46+1,posicao_contratual!$G187,posicao_contratual!$K187,posicao_contratual!$O187,posicao_contratual!$S187,posicao_contratual!$W187))),ROUND(ROUND(CHOOSE($W$46+1,historico_VU!$C187,historico_VU!$D187,historico_VU!$E187,historico_VU!$F187,historico_VU!$G187),2)*CHOOSE($W$46+1,posicao_contratual!$G187,posicao_contratual!$K187,posicao_contratual!$O187,posicao_contratual!$S187,posicao_contratual!$W187),2),""))</f>
        <v>0</v>
      </c>
      <c r="AC187">
        <f>IF(OR(posicao_contratual!$A187="",$W$46=""),0,IF(OR($AB187="",$AD187=""),"",ROUND($AB187-$AD187,2)))</f>
        <v>0</v>
      </c>
      <c r="AD187">
        <f>IF(OR(posicao_contratual!$A187="",$W$46=""),0,IF($AB187="","",IF(NOT(ISNUMBER(CHOOSE($W$46+1,posicao_contratual!$AB187,posicao_contratual!$AC187,posicao_contratual!$AD187,posicao_contratual!$AE187,posicao_contratual!$AF187))),0,ROUND(ROUND(CHOOSE($W$46+1,historico_VU!$C187,historico_VU!$D187,historico_VU!$E187,historico_VU!$F187,historico_VU!$G187),2)*CHOOSE($W$46+1,posicao_contratual!$AB187,posicao_contratual!$AC187,posicao_contratual!$AD187,posicao_contratual!$AE187,posicao_contratual!$AF187),2))))</f>
        <v>0</v>
      </c>
    </row>
    <row r="188" spans="1:30" hidden="1" outlineLevel="1" x14ac:dyDescent="0.35">
      <c r="A188" s="137" t="str">
        <f>IF(historico_VU!A136="","",historico_VU!A136)</f>
        <v/>
      </c>
      <c r="B188" s="138" t="str">
        <f>IF(A188="","",historico_VU!B136)</f>
        <v/>
      </c>
      <c r="C188" s="139" t="str">
        <f>IF(A188="","",historico_VU!C136)</f>
        <v/>
      </c>
      <c r="D188" s="139" t="str">
        <f>IF(A188="","",historico_VU!D136)</f>
        <v/>
      </c>
      <c r="E188" s="139" t="str">
        <f>IF(A188="","",historico_VU!E136)</f>
        <v/>
      </c>
      <c r="F188" s="139" t="str">
        <f>IF(A188="","",historico_VU!F136)</f>
        <v/>
      </c>
      <c r="G188" s="139" t="str">
        <f>IF(A188="","",historico_VU!G136)</f>
        <v/>
      </c>
      <c r="H188" s="140" t="str">
        <f>IF(A188="","",historico_VU!H136)</f>
        <v/>
      </c>
      <c r="I188" s="57"/>
      <c r="J188" s="137" t="str">
        <f>IF(itens_Remanesc!A136="","",itens_Remanesc!A136)</f>
        <v/>
      </c>
      <c r="K188" s="138" t="str">
        <f>IF(J188="","",IF($F$4="C0",itens_Remanesc!B136,IF($F$4="C1",itens_Remanesc!E136,IF($F$4="C2",itens_Remanesc!G136,IF($F$4="C3",itens_Remanesc!I136,itens_Remanesc!K136)))))</f>
        <v/>
      </c>
      <c r="L188" s="138" t="str">
        <f>IF(J188="","",IF(SUMIF(itens_Consumidos!$A$2:$A$200,J188,itens_Consumidos!$B$2:$B$200)-SUMIF(itens_Consumidos!$A$2:$A$200,J188,itens_Consumidos!$O$2:$O$200)&lt;0,0,SUMIF(itens_Consumidos!$A$2:$A$200,J188,itens_Consumidos!$B$2:$B$200)-SUMIF(itens_Consumidos!$A$2:$A$200,J188,itens_Consumidos!$O$2:$O$200)))</f>
        <v/>
      </c>
      <c r="M188" s="141" t="str">
        <f>IF(J188="","",itens_Remanesc!C136)</f>
        <v/>
      </c>
      <c r="N188" s="141" t="str">
        <f>IF(J188="","",IF($F$4="C0",historico_VU!C136,IF($F$4="C1",historico_VU!D136,IF($F$4="C2",historico_VU!E136,IF($F$4="C3",historico_VU!F136,historico_VU!G136)))))</f>
        <v/>
      </c>
      <c r="O188" s="141" t="str">
        <f t="shared" si="13"/>
        <v/>
      </c>
      <c r="P188" s="141" t="str">
        <f t="shared" si="14"/>
        <v/>
      </c>
      <c r="Q188" s="142" t="str">
        <f t="shared" si="15"/>
        <v/>
      </c>
      <c r="X188">
        <f>IF(posicao_contratual!$A188="",0,IF(AND(ISNUMBER(posicao_contratual!$Y188),posicao_contratual!$Y188&gt;0),0,IF(AND(ISNUMBER(posicao_contratual!$G188),ISNUMBER(posicao_contratual!$K188),ISNUMBER(historico_VU!$C188)),((posicao_contratual!$G188-N(posicao_contratual!$AB188))-(posicao_contratual!$K188-N(posicao_contratual!$AC188)))*historico_VU!$C188,"")))</f>
        <v>0</v>
      </c>
      <c r="Y188">
        <f>IF(OR(posicao_contratual!$A188="",$T$20=""),0,IF(AND(ISNUMBER(CHOOSE($T$20+1,historico_VU!$C188,historico_VU!$D188,historico_VU!$E188,historico_VU!$F188,historico_VU!$G188)),ISNUMBER(CHOOSE($T$20+1,posicao_contratual!$G188,posicao_contratual!$K188,posicao_contratual!$O188,posicao_contratual!$S188,posicao_contratual!$W188))),ROUND(ROUND(CHOOSE($T$20+1,historico_VU!$C188,historico_VU!$D188,historico_VU!$E188,historico_VU!$F188,historico_VU!$G188),2)*CHOOSE($T$20+1,posicao_contratual!$G188,posicao_contratual!$K188,posicao_contratual!$O188,posicao_contratual!$S188,posicao_contratual!$W188),2),""))</f>
        <v>0</v>
      </c>
      <c r="AB188">
        <f>IF(OR(posicao_contratual!$A188="",$W$46=""),0,IF(AND(ISNUMBER(CHOOSE($W$46+1,historico_VU!$C188,historico_VU!$D188,historico_VU!$E188,historico_VU!$F188,historico_VU!$G188)),ISNUMBER(CHOOSE($W$46+1,posicao_contratual!$G188,posicao_contratual!$K188,posicao_contratual!$O188,posicao_contratual!$S188,posicao_contratual!$W188))),ROUND(ROUND(CHOOSE($W$46+1,historico_VU!$C188,historico_VU!$D188,historico_VU!$E188,historico_VU!$F188,historico_VU!$G188),2)*CHOOSE($W$46+1,posicao_contratual!$G188,posicao_contratual!$K188,posicao_contratual!$O188,posicao_contratual!$S188,posicao_contratual!$W188),2),""))</f>
        <v>0</v>
      </c>
      <c r="AC188">
        <f>IF(OR(posicao_contratual!$A188="",$W$46=""),0,IF(OR($AB188="",$AD188=""),"",ROUND($AB188-$AD188,2)))</f>
        <v>0</v>
      </c>
      <c r="AD188">
        <f>IF(OR(posicao_contratual!$A188="",$W$46=""),0,IF($AB188="","",IF(NOT(ISNUMBER(CHOOSE($W$46+1,posicao_contratual!$AB188,posicao_contratual!$AC188,posicao_contratual!$AD188,posicao_contratual!$AE188,posicao_contratual!$AF188))),0,ROUND(ROUND(CHOOSE($W$46+1,historico_VU!$C188,historico_VU!$D188,historico_VU!$E188,historico_VU!$F188,historico_VU!$G188),2)*CHOOSE($W$46+1,posicao_contratual!$AB188,posicao_contratual!$AC188,posicao_contratual!$AD188,posicao_contratual!$AE188,posicao_contratual!$AF188),2))))</f>
        <v>0</v>
      </c>
    </row>
    <row r="189" spans="1:30" hidden="1" outlineLevel="1" x14ac:dyDescent="0.35">
      <c r="A189" s="137" t="str">
        <f>IF(historico_VU!A137="","",historico_VU!A137)</f>
        <v/>
      </c>
      <c r="B189" s="138" t="str">
        <f>IF(A189="","",historico_VU!B137)</f>
        <v/>
      </c>
      <c r="C189" s="139" t="str">
        <f>IF(A189="","",historico_VU!C137)</f>
        <v/>
      </c>
      <c r="D189" s="139" t="str">
        <f>IF(A189="","",historico_VU!D137)</f>
        <v/>
      </c>
      <c r="E189" s="139" t="str">
        <f>IF(A189="","",historico_VU!E137)</f>
        <v/>
      </c>
      <c r="F189" s="139" t="str">
        <f>IF(A189="","",historico_VU!F137)</f>
        <v/>
      </c>
      <c r="G189" s="139" t="str">
        <f>IF(A189="","",historico_VU!G137)</f>
        <v/>
      </c>
      <c r="H189" s="140" t="str">
        <f>IF(A189="","",historico_VU!H137)</f>
        <v/>
      </c>
      <c r="I189" s="57"/>
      <c r="J189" s="137" t="str">
        <f>IF(itens_Remanesc!A137="","",itens_Remanesc!A137)</f>
        <v/>
      </c>
      <c r="K189" s="138" t="str">
        <f>IF(J189="","",IF($F$4="C0",itens_Remanesc!B137,IF($F$4="C1",itens_Remanesc!E137,IF($F$4="C2",itens_Remanesc!G137,IF($F$4="C3",itens_Remanesc!I137,itens_Remanesc!K137)))))</f>
        <v/>
      </c>
      <c r="L189" s="138" t="str">
        <f>IF(J189="","",IF(SUMIF(itens_Consumidos!$A$2:$A$200,J189,itens_Consumidos!$B$2:$B$200)-SUMIF(itens_Consumidos!$A$2:$A$200,J189,itens_Consumidos!$O$2:$O$200)&lt;0,0,SUMIF(itens_Consumidos!$A$2:$A$200,J189,itens_Consumidos!$B$2:$B$200)-SUMIF(itens_Consumidos!$A$2:$A$200,J189,itens_Consumidos!$O$2:$O$200)))</f>
        <v/>
      </c>
      <c r="M189" s="141" t="str">
        <f>IF(J189="","",itens_Remanesc!C137)</f>
        <v/>
      </c>
      <c r="N189" s="141" t="str">
        <f>IF(J189="","",IF($F$4="C0",historico_VU!C137,IF($F$4="C1",historico_VU!D137,IF($F$4="C2",historico_VU!E137,IF($F$4="C3",historico_VU!F137,historico_VU!G137)))))</f>
        <v/>
      </c>
      <c r="O189" s="141" t="str">
        <f t="shared" si="13"/>
        <v/>
      </c>
      <c r="P189" s="141" t="str">
        <f t="shared" si="14"/>
        <v/>
      </c>
      <c r="Q189" s="142" t="str">
        <f t="shared" si="15"/>
        <v/>
      </c>
      <c r="X189">
        <f>IF(posicao_contratual!$A189="",0,IF(AND(ISNUMBER(posicao_contratual!$Y189),posicao_contratual!$Y189&gt;0),0,IF(AND(ISNUMBER(posicao_contratual!$G189),ISNUMBER(posicao_contratual!$K189),ISNUMBER(historico_VU!$C189)),((posicao_contratual!$G189-N(posicao_contratual!$AB189))-(posicao_contratual!$K189-N(posicao_contratual!$AC189)))*historico_VU!$C189,"")))</f>
        <v>0</v>
      </c>
      <c r="Y189">
        <f>IF(OR(posicao_contratual!$A189="",$T$20=""),0,IF(AND(ISNUMBER(CHOOSE($T$20+1,historico_VU!$C189,historico_VU!$D189,historico_VU!$E189,historico_VU!$F189,historico_VU!$G189)),ISNUMBER(CHOOSE($T$20+1,posicao_contratual!$G189,posicao_contratual!$K189,posicao_contratual!$O189,posicao_contratual!$S189,posicao_contratual!$W189))),ROUND(ROUND(CHOOSE($T$20+1,historico_VU!$C189,historico_VU!$D189,historico_VU!$E189,historico_VU!$F189,historico_VU!$G189),2)*CHOOSE($T$20+1,posicao_contratual!$G189,posicao_contratual!$K189,posicao_contratual!$O189,posicao_contratual!$S189,posicao_contratual!$W189),2),""))</f>
        <v>0</v>
      </c>
      <c r="AB189">
        <f>IF(OR(posicao_contratual!$A189="",$W$46=""),0,IF(AND(ISNUMBER(CHOOSE($W$46+1,historico_VU!$C189,historico_VU!$D189,historico_VU!$E189,historico_VU!$F189,historico_VU!$G189)),ISNUMBER(CHOOSE($W$46+1,posicao_contratual!$G189,posicao_contratual!$K189,posicao_contratual!$O189,posicao_contratual!$S189,posicao_contratual!$W189))),ROUND(ROUND(CHOOSE($W$46+1,historico_VU!$C189,historico_VU!$D189,historico_VU!$E189,historico_VU!$F189,historico_VU!$G189),2)*CHOOSE($W$46+1,posicao_contratual!$G189,posicao_contratual!$K189,posicao_contratual!$O189,posicao_contratual!$S189,posicao_contratual!$W189),2),""))</f>
        <v>0</v>
      </c>
      <c r="AC189">
        <f>IF(OR(posicao_contratual!$A189="",$W$46=""),0,IF(OR($AB189="",$AD189=""),"",ROUND($AB189-$AD189,2)))</f>
        <v>0</v>
      </c>
      <c r="AD189">
        <f>IF(OR(posicao_contratual!$A189="",$W$46=""),0,IF($AB189="","",IF(NOT(ISNUMBER(CHOOSE($W$46+1,posicao_contratual!$AB189,posicao_contratual!$AC189,posicao_contratual!$AD189,posicao_contratual!$AE189,posicao_contratual!$AF189))),0,ROUND(ROUND(CHOOSE($W$46+1,historico_VU!$C189,historico_VU!$D189,historico_VU!$E189,historico_VU!$F189,historico_VU!$G189),2)*CHOOSE($W$46+1,posicao_contratual!$AB189,posicao_contratual!$AC189,posicao_contratual!$AD189,posicao_contratual!$AE189,posicao_contratual!$AF189),2))))</f>
        <v>0</v>
      </c>
    </row>
    <row r="190" spans="1:30" hidden="1" outlineLevel="1" x14ac:dyDescent="0.35">
      <c r="A190" s="137" t="str">
        <f>IF(historico_VU!A138="","",historico_VU!A138)</f>
        <v/>
      </c>
      <c r="B190" s="138" t="str">
        <f>IF(A190="","",historico_VU!B138)</f>
        <v/>
      </c>
      <c r="C190" s="139" t="str">
        <f>IF(A190="","",historico_VU!C138)</f>
        <v/>
      </c>
      <c r="D190" s="139" t="str">
        <f>IF(A190="","",historico_VU!D138)</f>
        <v/>
      </c>
      <c r="E190" s="139" t="str">
        <f>IF(A190="","",historico_VU!E138)</f>
        <v/>
      </c>
      <c r="F190" s="139" t="str">
        <f>IF(A190="","",historico_VU!F138)</f>
        <v/>
      </c>
      <c r="G190" s="139" t="str">
        <f>IF(A190="","",historico_VU!G138)</f>
        <v/>
      </c>
      <c r="H190" s="140" t="str">
        <f>IF(A190="","",historico_VU!H138)</f>
        <v/>
      </c>
      <c r="I190" s="57"/>
      <c r="J190" s="137" t="str">
        <f>IF(itens_Remanesc!A138="","",itens_Remanesc!A138)</f>
        <v/>
      </c>
      <c r="K190" s="138" t="str">
        <f>IF(J190="","",IF($F$4="C0",itens_Remanesc!B138,IF($F$4="C1",itens_Remanesc!E138,IF($F$4="C2",itens_Remanesc!G138,IF($F$4="C3",itens_Remanesc!I138,itens_Remanesc!K138)))))</f>
        <v/>
      </c>
      <c r="L190" s="138" t="str">
        <f>IF(J190="","",IF(SUMIF(itens_Consumidos!$A$2:$A$200,J190,itens_Consumidos!$B$2:$B$200)-SUMIF(itens_Consumidos!$A$2:$A$200,J190,itens_Consumidos!$O$2:$O$200)&lt;0,0,SUMIF(itens_Consumidos!$A$2:$A$200,J190,itens_Consumidos!$B$2:$B$200)-SUMIF(itens_Consumidos!$A$2:$A$200,J190,itens_Consumidos!$O$2:$O$200)))</f>
        <v/>
      </c>
      <c r="M190" s="141" t="str">
        <f>IF(J190="","",itens_Remanesc!C138)</f>
        <v/>
      </c>
      <c r="N190" s="141" t="str">
        <f>IF(J190="","",IF($F$4="C0",historico_VU!C138,IF($F$4="C1",historico_VU!D138,IF($F$4="C2",historico_VU!E138,IF($F$4="C3",historico_VU!F138,historico_VU!G138)))))</f>
        <v/>
      </c>
      <c r="O190" s="141" t="str">
        <f t="shared" si="13"/>
        <v/>
      </c>
      <c r="P190" s="141" t="str">
        <f t="shared" si="14"/>
        <v/>
      </c>
      <c r="Q190" s="142" t="str">
        <f t="shared" si="15"/>
        <v/>
      </c>
      <c r="X190">
        <f>IF(posicao_contratual!$A190="",0,IF(AND(ISNUMBER(posicao_contratual!$Y190),posicao_contratual!$Y190&gt;0),0,IF(AND(ISNUMBER(posicao_contratual!$G190),ISNUMBER(posicao_contratual!$K190),ISNUMBER(historico_VU!$C190)),((posicao_contratual!$G190-N(posicao_contratual!$AB190))-(posicao_contratual!$K190-N(posicao_contratual!$AC190)))*historico_VU!$C190,"")))</f>
        <v>0</v>
      </c>
      <c r="Y190">
        <f>IF(OR(posicao_contratual!$A190="",$T$20=""),0,IF(AND(ISNUMBER(CHOOSE($T$20+1,historico_VU!$C190,historico_VU!$D190,historico_VU!$E190,historico_VU!$F190,historico_VU!$G190)),ISNUMBER(CHOOSE($T$20+1,posicao_contratual!$G190,posicao_contratual!$K190,posicao_contratual!$O190,posicao_contratual!$S190,posicao_contratual!$W190))),ROUND(ROUND(CHOOSE($T$20+1,historico_VU!$C190,historico_VU!$D190,historico_VU!$E190,historico_VU!$F190,historico_VU!$G190),2)*CHOOSE($T$20+1,posicao_contratual!$G190,posicao_contratual!$K190,posicao_contratual!$O190,posicao_contratual!$S190,posicao_contratual!$W190),2),""))</f>
        <v>0</v>
      </c>
      <c r="AB190">
        <f>IF(OR(posicao_contratual!$A190="",$W$46=""),0,IF(AND(ISNUMBER(CHOOSE($W$46+1,historico_VU!$C190,historico_VU!$D190,historico_VU!$E190,historico_VU!$F190,historico_VU!$G190)),ISNUMBER(CHOOSE($W$46+1,posicao_contratual!$G190,posicao_contratual!$K190,posicao_contratual!$O190,posicao_contratual!$S190,posicao_contratual!$W190))),ROUND(ROUND(CHOOSE($W$46+1,historico_VU!$C190,historico_VU!$D190,historico_VU!$E190,historico_VU!$F190,historico_VU!$G190),2)*CHOOSE($W$46+1,posicao_contratual!$G190,posicao_contratual!$K190,posicao_contratual!$O190,posicao_contratual!$S190,posicao_contratual!$W190),2),""))</f>
        <v>0</v>
      </c>
      <c r="AC190">
        <f>IF(OR(posicao_contratual!$A190="",$W$46=""),0,IF(OR($AB190="",$AD190=""),"",ROUND($AB190-$AD190,2)))</f>
        <v>0</v>
      </c>
      <c r="AD190">
        <f>IF(OR(posicao_contratual!$A190="",$W$46=""),0,IF($AB190="","",IF(NOT(ISNUMBER(CHOOSE($W$46+1,posicao_contratual!$AB190,posicao_contratual!$AC190,posicao_contratual!$AD190,posicao_contratual!$AE190,posicao_contratual!$AF190))),0,ROUND(ROUND(CHOOSE($W$46+1,historico_VU!$C190,historico_VU!$D190,historico_VU!$E190,historico_VU!$F190,historico_VU!$G190),2)*CHOOSE($W$46+1,posicao_contratual!$AB190,posicao_contratual!$AC190,posicao_contratual!$AD190,posicao_contratual!$AE190,posicao_contratual!$AF190),2))))</f>
        <v>0</v>
      </c>
    </row>
    <row r="191" spans="1:30" hidden="1" outlineLevel="1" x14ac:dyDescent="0.35">
      <c r="A191" s="137" t="str">
        <f>IF(historico_VU!A139="","",historico_VU!A139)</f>
        <v/>
      </c>
      <c r="B191" s="138" t="str">
        <f>IF(A191="","",historico_VU!B139)</f>
        <v/>
      </c>
      <c r="C191" s="139" t="str">
        <f>IF(A191="","",historico_VU!C139)</f>
        <v/>
      </c>
      <c r="D191" s="139" t="str">
        <f>IF(A191="","",historico_VU!D139)</f>
        <v/>
      </c>
      <c r="E191" s="139" t="str">
        <f>IF(A191="","",historico_VU!E139)</f>
        <v/>
      </c>
      <c r="F191" s="139" t="str">
        <f>IF(A191="","",historico_VU!F139)</f>
        <v/>
      </c>
      <c r="G191" s="139" t="str">
        <f>IF(A191="","",historico_VU!G139)</f>
        <v/>
      </c>
      <c r="H191" s="140" t="str">
        <f>IF(A191="","",historico_VU!H139)</f>
        <v/>
      </c>
      <c r="I191" s="57"/>
      <c r="J191" s="137" t="str">
        <f>IF(itens_Remanesc!A139="","",itens_Remanesc!A139)</f>
        <v/>
      </c>
      <c r="K191" s="138" t="str">
        <f>IF(J191="","",IF($F$4="C0",itens_Remanesc!B139,IF($F$4="C1",itens_Remanesc!E139,IF($F$4="C2",itens_Remanesc!G139,IF($F$4="C3",itens_Remanesc!I139,itens_Remanesc!K139)))))</f>
        <v/>
      </c>
      <c r="L191" s="138" t="str">
        <f>IF(J191="","",IF(SUMIF(itens_Consumidos!$A$2:$A$200,J191,itens_Consumidos!$B$2:$B$200)-SUMIF(itens_Consumidos!$A$2:$A$200,J191,itens_Consumidos!$O$2:$O$200)&lt;0,0,SUMIF(itens_Consumidos!$A$2:$A$200,J191,itens_Consumidos!$B$2:$B$200)-SUMIF(itens_Consumidos!$A$2:$A$200,J191,itens_Consumidos!$O$2:$O$200)))</f>
        <v/>
      </c>
      <c r="M191" s="141" t="str">
        <f>IF(J191="","",itens_Remanesc!C139)</f>
        <v/>
      </c>
      <c r="N191" s="141" t="str">
        <f>IF(J191="","",IF($F$4="C0",historico_VU!C139,IF($F$4="C1",historico_VU!D139,IF($F$4="C2",historico_VU!E139,IF($F$4="C3",historico_VU!F139,historico_VU!G139)))))</f>
        <v/>
      </c>
      <c r="O191" s="141" t="str">
        <f t="shared" si="13"/>
        <v/>
      </c>
      <c r="P191" s="141" t="str">
        <f t="shared" si="14"/>
        <v/>
      </c>
      <c r="Q191" s="142" t="str">
        <f t="shared" si="15"/>
        <v/>
      </c>
      <c r="X191">
        <f>IF(posicao_contratual!$A191="",0,IF(AND(ISNUMBER(posicao_contratual!$Y191),posicao_contratual!$Y191&gt;0),0,IF(AND(ISNUMBER(posicao_contratual!$G191),ISNUMBER(posicao_contratual!$K191),ISNUMBER(historico_VU!$C191)),((posicao_contratual!$G191-N(posicao_contratual!$AB191))-(posicao_contratual!$K191-N(posicao_contratual!$AC191)))*historico_VU!$C191,"")))</f>
        <v>0</v>
      </c>
      <c r="Y191">
        <f>IF(OR(posicao_contratual!$A191="",$T$20=""),0,IF(AND(ISNUMBER(CHOOSE($T$20+1,historico_VU!$C191,historico_VU!$D191,historico_VU!$E191,historico_VU!$F191,historico_VU!$G191)),ISNUMBER(CHOOSE($T$20+1,posicao_contratual!$G191,posicao_contratual!$K191,posicao_contratual!$O191,posicao_contratual!$S191,posicao_contratual!$W191))),ROUND(ROUND(CHOOSE($T$20+1,historico_VU!$C191,historico_VU!$D191,historico_VU!$E191,historico_VU!$F191,historico_VU!$G191),2)*CHOOSE($T$20+1,posicao_contratual!$G191,posicao_contratual!$K191,posicao_contratual!$O191,posicao_contratual!$S191,posicao_contratual!$W191),2),""))</f>
        <v>0</v>
      </c>
      <c r="AB191">
        <f>IF(OR(posicao_contratual!$A191="",$W$46=""),0,IF(AND(ISNUMBER(CHOOSE($W$46+1,historico_VU!$C191,historico_VU!$D191,historico_VU!$E191,historico_VU!$F191,historico_VU!$G191)),ISNUMBER(CHOOSE($W$46+1,posicao_contratual!$G191,posicao_contratual!$K191,posicao_contratual!$O191,posicao_contratual!$S191,posicao_contratual!$W191))),ROUND(ROUND(CHOOSE($W$46+1,historico_VU!$C191,historico_VU!$D191,historico_VU!$E191,historico_VU!$F191,historico_VU!$G191),2)*CHOOSE($W$46+1,posicao_contratual!$G191,posicao_contratual!$K191,posicao_contratual!$O191,posicao_contratual!$S191,posicao_contratual!$W191),2),""))</f>
        <v>0</v>
      </c>
      <c r="AC191">
        <f>IF(OR(posicao_contratual!$A191="",$W$46=""),0,IF(OR($AB191="",$AD191=""),"",ROUND($AB191-$AD191,2)))</f>
        <v>0</v>
      </c>
      <c r="AD191">
        <f>IF(OR(posicao_contratual!$A191="",$W$46=""),0,IF($AB191="","",IF(NOT(ISNUMBER(CHOOSE($W$46+1,posicao_contratual!$AB191,posicao_contratual!$AC191,posicao_contratual!$AD191,posicao_contratual!$AE191,posicao_contratual!$AF191))),0,ROUND(ROUND(CHOOSE($W$46+1,historico_VU!$C191,historico_VU!$D191,historico_VU!$E191,historico_VU!$F191,historico_VU!$G191),2)*CHOOSE($W$46+1,posicao_contratual!$AB191,posicao_contratual!$AC191,posicao_contratual!$AD191,posicao_contratual!$AE191,posicao_contratual!$AF191),2))))</f>
        <v>0</v>
      </c>
    </row>
    <row r="192" spans="1:30" hidden="1" outlineLevel="1" x14ac:dyDescent="0.35">
      <c r="A192" s="137" t="str">
        <f>IF(historico_VU!A140="","",historico_VU!A140)</f>
        <v/>
      </c>
      <c r="B192" s="138" t="str">
        <f>IF(A192="","",historico_VU!B140)</f>
        <v/>
      </c>
      <c r="C192" s="139" t="str">
        <f>IF(A192="","",historico_VU!C140)</f>
        <v/>
      </c>
      <c r="D192" s="139" t="str">
        <f>IF(A192="","",historico_VU!D140)</f>
        <v/>
      </c>
      <c r="E192" s="139" t="str">
        <f>IF(A192="","",historico_VU!E140)</f>
        <v/>
      </c>
      <c r="F192" s="139" t="str">
        <f>IF(A192="","",historico_VU!F140)</f>
        <v/>
      </c>
      <c r="G192" s="139" t="str">
        <f>IF(A192="","",historico_VU!G140)</f>
        <v/>
      </c>
      <c r="H192" s="140" t="str">
        <f>IF(A192="","",historico_VU!H140)</f>
        <v/>
      </c>
      <c r="I192" s="57"/>
      <c r="J192" s="137" t="str">
        <f>IF(itens_Remanesc!A140="","",itens_Remanesc!A140)</f>
        <v/>
      </c>
      <c r="K192" s="138" t="str">
        <f>IF(J192="","",IF($F$4="C0",itens_Remanesc!B140,IF($F$4="C1",itens_Remanesc!E140,IF($F$4="C2",itens_Remanesc!G140,IF($F$4="C3",itens_Remanesc!I140,itens_Remanesc!K140)))))</f>
        <v/>
      </c>
      <c r="L192" s="138" t="str">
        <f>IF(J192="","",IF(SUMIF(itens_Consumidos!$A$2:$A$200,J192,itens_Consumidos!$B$2:$B$200)-SUMIF(itens_Consumidos!$A$2:$A$200,J192,itens_Consumidos!$O$2:$O$200)&lt;0,0,SUMIF(itens_Consumidos!$A$2:$A$200,J192,itens_Consumidos!$B$2:$B$200)-SUMIF(itens_Consumidos!$A$2:$A$200,J192,itens_Consumidos!$O$2:$O$200)))</f>
        <v/>
      </c>
      <c r="M192" s="141" t="str">
        <f>IF(J192="","",itens_Remanesc!C140)</f>
        <v/>
      </c>
      <c r="N192" s="141" t="str">
        <f>IF(J192="","",IF($F$4="C0",historico_VU!C140,IF($F$4="C1",historico_VU!D140,IF($F$4="C2",historico_VU!E140,IF($F$4="C3",historico_VU!F140,historico_VU!G140)))))</f>
        <v/>
      </c>
      <c r="O192" s="141" t="str">
        <f t="shared" si="13"/>
        <v/>
      </c>
      <c r="P192" s="141" t="str">
        <f t="shared" si="14"/>
        <v/>
      </c>
      <c r="Q192" s="142" t="str">
        <f t="shared" si="15"/>
        <v/>
      </c>
      <c r="X192">
        <f>IF(posicao_contratual!$A192="",0,IF(AND(ISNUMBER(posicao_contratual!$Y192),posicao_contratual!$Y192&gt;0),0,IF(AND(ISNUMBER(posicao_contratual!$G192),ISNUMBER(posicao_contratual!$K192),ISNUMBER(historico_VU!$C192)),((posicao_contratual!$G192-N(posicao_contratual!$AB192))-(posicao_contratual!$K192-N(posicao_contratual!$AC192)))*historico_VU!$C192,"")))</f>
        <v>0</v>
      </c>
      <c r="Y192">
        <f>IF(OR(posicao_contratual!$A192="",$T$20=""),0,IF(AND(ISNUMBER(CHOOSE($T$20+1,historico_VU!$C192,historico_VU!$D192,historico_VU!$E192,historico_VU!$F192,historico_VU!$G192)),ISNUMBER(CHOOSE($T$20+1,posicao_contratual!$G192,posicao_contratual!$K192,posicao_contratual!$O192,posicao_contratual!$S192,posicao_contratual!$W192))),ROUND(ROUND(CHOOSE($T$20+1,historico_VU!$C192,historico_VU!$D192,historico_VU!$E192,historico_VU!$F192,historico_VU!$G192),2)*CHOOSE($T$20+1,posicao_contratual!$G192,posicao_contratual!$K192,posicao_contratual!$O192,posicao_contratual!$S192,posicao_contratual!$W192),2),""))</f>
        <v>0</v>
      </c>
      <c r="AB192">
        <f>IF(OR(posicao_contratual!$A192="",$W$46=""),0,IF(AND(ISNUMBER(CHOOSE($W$46+1,historico_VU!$C192,historico_VU!$D192,historico_VU!$E192,historico_VU!$F192,historico_VU!$G192)),ISNUMBER(CHOOSE($W$46+1,posicao_contratual!$G192,posicao_contratual!$K192,posicao_contratual!$O192,posicao_contratual!$S192,posicao_contratual!$W192))),ROUND(ROUND(CHOOSE($W$46+1,historico_VU!$C192,historico_VU!$D192,historico_VU!$E192,historico_VU!$F192,historico_VU!$G192),2)*CHOOSE($W$46+1,posicao_contratual!$G192,posicao_contratual!$K192,posicao_contratual!$O192,posicao_contratual!$S192,posicao_contratual!$W192),2),""))</f>
        <v>0</v>
      </c>
      <c r="AC192">
        <f>IF(OR(posicao_contratual!$A192="",$W$46=""),0,IF(OR($AB192="",$AD192=""),"",ROUND($AB192-$AD192,2)))</f>
        <v>0</v>
      </c>
      <c r="AD192">
        <f>IF(OR(posicao_contratual!$A192="",$W$46=""),0,IF($AB192="","",IF(NOT(ISNUMBER(CHOOSE($W$46+1,posicao_contratual!$AB192,posicao_contratual!$AC192,posicao_contratual!$AD192,posicao_contratual!$AE192,posicao_contratual!$AF192))),0,ROUND(ROUND(CHOOSE($W$46+1,historico_VU!$C192,historico_VU!$D192,historico_VU!$E192,historico_VU!$F192,historico_VU!$G192),2)*CHOOSE($W$46+1,posicao_contratual!$AB192,posicao_contratual!$AC192,posicao_contratual!$AD192,posicao_contratual!$AE192,posicao_contratual!$AF192),2))))</f>
        <v>0</v>
      </c>
    </row>
    <row r="193" spans="1:30" hidden="1" outlineLevel="1" x14ac:dyDescent="0.35">
      <c r="A193" s="137" t="str">
        <f>IF(historico_VU!A141="","",historico_VU!A141)</f>
        <v/>
      </c>
      <c r="B193" s="138" t="str">
        <f>IF(A193="","",historico_VU!B141)</f>
        <v/>
      </c>
      <c r="C193" s="139" t="str">
        <f>IF(A193="","",historico_VU!C141)</f>
        <v/>
      </c>
      <c r="D193" s="139" t="str">
        <f>IF(A193="","",historico_VU!D141)</f>
        <v/>
      </c>
      <c r="E193" s="139" t="str">
        <f>IF(A193="","",historico_VU!E141)</f>
        <v/>
      </c>
      <c r="F193" s="139" t="str">
        <f>IF(A193="","",historico_VU!F141)</f>
        <v/>
      </c>
      <c r="G193" s="139" t="str">
        <f>IF(A193="","",historico_VU!G141)</f>
        <v/>
      </c>
      <c r="H193" s="140" t="str">
        <f>IF(A193="","",historico_VU!H141)</f>
        <v/>
      </c>
      <c r="I193" s="57"/>
      <c r="J193" s="137" t="str">
        <f>IF(itens_Remanesc!A141="","",itens_Remanesc!A141)</f>
        <v/>
      </c>
      <c r="K193" s="138" t="str">
        <f>IF(J193="","",IF($F$4="C0",itens_Remanesc!B141,IF($F$4="C1",itens_Remanesc!E141,IF($F$4="C2",itens_Remanesc!G141,IF($F$4="C3",itens_Remanesc!I141,itens_Remanesc!K141)))))</f>
        <v/>
      </c>
      <c r="L193" s="138" t="str">
        <f>IF(J193="","",IF(SUMIF(itens_Consumidos!$A$2:$A$200,J193,itens_Consumidos!$B$2:$B$200)-SUMIF(itens_Consumidos!$A$2:$A$200,J193,itens_Consumidos!$O$2:$O$200)&lt;0,0,SUMIF(itens_Consumidos!$A$2:$A$200,J193,itens_Consumidos!$B$2:$B$200)-SUMIF(itens_Consumidos!$A$2:$A$200,J193,itens_Consumidos!$O$2:$O$200)))</f>
        <v/>
      </c>
      <c r="M193" s="141" t="str">
        <f>IF(J193="","",itens_Remanesc!C141)</f>
        <v/>
      </c>
      <c r="N193" s="141" t="str">
        <f>IF(J193="","",IF($F$4="C0",historico_VU!C141,IF($F$4="C1",historico_VU!D141,IF($F$4="C2",historico_VU!E141,IF($F$4="C3",historico_VU!F141,historico_VU!G141)))))</f>
        <v/>
      </c>
      <c r="O193" s="141" t="str">
        <f t="shared" si="13"/>
        <v/>
      </c>
      <c r="P193" s="141" t="str">
        <f t="shared" si="14"/>
        <v/>
      </c>
      <c r="Q193" s="142" t="str">
        <f t="shared" si="15"/>
        <v/>
      </c>
      <c r="X193">
        <f>IF(posicao_contratual!$A193="",0,IF(AND(ISNUMBER(posicao_contratual!$Y193),posicao_contratual!$Y193&gt;0),0,IF(AND(ISNUMBER(posicao_contratual!$G193),ISNUMBER(posicao_contratual!$K193),ISNUMBER(historico_VU!$C193)),((posicao_contratual!$G193-N(posicao_contratual!$AB193))-(posicao_contratual!$K193-N(posicao_contratual!$AC193)))*historico_VU!$C193,"")))</f>
        <v>0</v>
      </c>
      <c r="Y193">
        <f>IF(OR(posicao_contratual!$A193="",$T$20=""),0,IF(AND(ISNUMBER(CHOOSE($T$20+1,historico_VU!$C193,historico_VU!$D193,historico_VU!$E193,historico_VU!$F193,historico_VU!$G193)),ISNUMBER(CHOOSE($T$20+1,posicao_contratual!$G193,posicao_contratual!$K193,posicao_contratual!$O193,posicao_contratual!$S193,posicao_contratual!$W193))),ROUND(ROUND(CHOOSE($T$20+1,historico_VU!$C193,historico_VU!$D193,historico_VU!$E193,historico_VU!$F193,historico_VU!$G193),2)*CHOOSE($T$20+1,posicao_contratual!$G193,posicao_contratual!$K193,posicao_contratual!$O193,posicao_contratual!$S193,posicao_contratual!$W193),2),""))</f>
        <v>0</v>
      </c>
      <c r="AB193">
        <f>IF(OR(posicao_contratual!$A193="",$W$46=""),0,IF(AND(ISNUMBER(CHOOSE($W$46+1,historico_VU!$C193,historico_VU!$D193,historico_VU!$E193,historico_VU!$F193,historico_VU!$G193)),ISNUMBER(CHOOSE($W$46+1,posicao_contratual!$G193,posicao_contratual!$K193,posicao_contratual!$O193,posicao_contratual!$S193,posicao_contratual!$W193))),ROUND(ROUND(CHOOSE($W$46+1,historico_VU!$C193,historico_VU!$D193,historico_VU!$E193,historico_VU!$F193,historico_VU!$G193),2)*CHOOSE($W$46+1,posicao_contratual!$G193,posicao_contratual!$K193,posicao_contratual!$O193,posicao_contratual!$S193,posicao_contratual!$W193),2),""))</f>
        <v>0</v>
      </c>
      <c r="AC193">
        <f>IF(OR(posicao_contratual!$A193="",$W$46=""),0,IF(OR($AB193="",$AD193=""),"",ROUND($AB193-$AD193,2)))</f>
        <v>0</v>
      </c>
      <c r="AD193">
        <f>IF(OR(posicao_contratual!$A193="",$W$46=""),0,IF($AB193="","",IF(NOT(ISNUMBER(CHOOSE($W$46+1,posicao_contratual!$AB193,posicao_contratual!$AC193,posicao_contratual!$AD193,posicao_contratual!$AE193,posicao_contratual!$AF193))),0,ROUND(ROUND(CHOOSE($W$46+1,historico_VU!$C193,historico_VU!$D193,historico_VU!$E193,historico_VU!$F193,historico_VU!$G193),2)*CHOOSE($W$46+1,posicao_contratual!$AB193,posicao_contratual!$AC193,posicao_contratual!$AD193,posicao_contratual!$AE193,posicao_contratual!$AF193),2))))</f>
        <v>0</v>
      </c>
    </row>
    <row r="194" spans="1:30" hidden="1" outlineLevel="1" x14ac:dyDescent="0.35">
      <c r="A194" s="137" t="str">
        <f>IF(historico_VU!A142="","",historico_VU!A142)</f>
        <v/>
      </c>
      <c r="B194" s="138" t="str">
        <f>IF(A194="","",historico_VU!B142)</f>
        <v/>
      </c>
      <c r="C194" s="139" t="str">
        <f>IF(A194="","",historico_VU!C142)</f>
        <v/>
      </c>
      <c r="D194" s="139" t="str">
        <f>IF(A194="","",historico_VU!D142)</f>
        <v/>
      </c>
      <c r="E194" s="139" t="str">
        <f>IF(A194="","",historico_VU!E142)</f>
        <v/>
      </c>
      <c r="F194" s="139" t="str">
        <f>IF(A194="","",historico_VU!F142)</f>
        <v/>
      </c>
      <c r="G194" s="139" t="str">
        <f>IF(A194="","",historico_VU!G142)</f>
        <v/>
      </c>
      <c r="H194" s="140" t="str">
        <f>IF(A194="","",historico_VU!H142)</f>
        <v/>
      </c>
      <c r="I194" s="57"/>
      <c r="J194" s="137" t="str">
        <f>IF(itens_Remanesc!A142="","",itens_Remanesc!A142)</f>
        <v/>
      </c>
      <c r="K194" s="138" t="str">
        <f>IF(J194="","",IF($F$4="C0",itens_Remanesc!B142,IF($F$4="C1",itens_Remanesc!E142,IF($F$4="C2",itens_Remanesc!G142,IF($F$4="C3",itens_Remanesc!I142,itens_Remanesc!K142)))))</f>
        <v/>
      </c>
      <c r="L194" s="138" t="str">
        <f>IF(J194="","",IF(SUMIF(itens_Consumidos!$A$2:$A$200,J194,itens_Consumidos!$B$2:$B$200)-SUMIF(itens_Consumidos!$A$2:$A$200,J194,itens_Consumidos!$O$2:$O$200)&lt;0,0,SUMIF(itens_Consumidos!$A$2:$A$200,J194,itens_Consumidos!$B$2:$B$200)-SUMIF(itens_Consumidos!$A$2:$A$200,J194,itens_Consumidos!$O$2:$O$200)))</f>
        <v/>
      </c>
      <c r="M194" s="141" t="str">
        <f>IF(J194="","",itens_Remanesc!C142)</f>
        <v/>
      </c>
      <c r="N194" s="141" t="str">
        <f>IF(J194="","",IF($F$4="C0",historico_VU!C142,IF($F$4="C1",historico_VU!D142,IF($F$4="C2",historico_VU!E142,IF($F$4="C3",historico_VU!F142,historico_VU!G142)))))</f>
        <v/>
      </c>
      <c r="O194" s="141" t="str">
        <f t="shared" si="13"/>
        <v/>
      </c>
      <c r="P194" s="141" t="str">
        <f t="shared" si="14"/>
        <v/>
      </c>
      <c r="Q194" s="142" t="str">
        <f t="shared" si="15"/>
        <v/>
      </c>
      <c r="X194">
        <f>IF(posicao_contratual!$A194="",0,IF(AND(ISNUMBER(posicao_contratual!$Y194),posicao_contratual!$Y194&gt;0),0,IF(AND(ISNUMBER(posicao_contratual!$G194),ISNUMBER(posicao_contratual!$K194),ISNUMBER(historico_VU!$C194)),((posicao_contratual!$G194-N(posicao_contratual!$AB194))-(posicao_contratual!$K194-N(posicao_contratual!$AC194)))*historico_VU!$C194,"")))</f>
        <v>0</v>
      </c>
      <c r="Y194">
        <f>IF(OR(posicao_contratual!$A194="",$T$20=""),0,IF(AND(ISNUMBER(CHOOSE($T$20+1,historico_VU!$C194,historico_VU!$D194,historico_VU!$E194,historico_VU!$F194,historico_VU!$G194)),ISNUMBER(CHOOSE($T$20+1,posicao_contratual!$G194,posicao_contratual!$K194,posicao_contratual!$O194,posicao_contratual!$S194,posicao_contratual!$W194))),ROUND(ROUND(CHOOSE($T$20+1,historico_VU!$C194,historico_VU!$D194,historico_VU!$E194,historico_VU!$F194,historico_VU!$G194),2)*CHOOSE($T$20+1,posicao_contratual!$G194,posicao_contratual!$K194,posicao_contratual!$O194,posicao_contratual!$S194,posicao_contratual!$W194),2),""))</f>
        <v>0</v>
      </c>
      <c r="AB194">
        <f>IF(OR(posicao_contratual!$A194="",$W$46=""),0,IF(AND(ISNUMBER(CHOOSE($W$46+1,historico_VU!$C194,historico_VU!$D194,historico_VU!$E194,historico_VU!$F194,historico_VU!$G194)),ISNUMBER(CHOOSE($W$46+1,posicao_contratual!$G194,posicao_contratual!$K194,posicao_contratual!$O194,posicao_contratual!$S194,posicao_contratual!$W194))),ROUND(ROUND(CHOOSE($W$46+1,historico_VU!$C194,historico_VU!$D194,historico_VU!$E194,historico_VU!$F194,historico_VU!$G194),2)*CHOOSE($W$46+1,posicao_contratual!$G194,posicao_contratual!$K194,posicao_contratual!$O194,posicao_contratual!$S194,posicao_contratual!$W194),2),""))</f>
        <v>0</v>
      </c>
      <c r="AC194">
        <f>IF(OR(posicao_contratual!$A194="",$W$46=""),0,IF(OR($AB194="",$AD194=""),"",ROUND($AB194-$AD194,2)))</f>
        <v>0</v>
      </c>
      <c r="AD194">
        <f>IF(OR(posicao_contratual!$A194="",$W$46=""),0,IF($AB194="","",IF(NOT(ISNUMBER(CHOOSE($W$46+1,posicao_contratual!$AB194,posicao_contratual!$AC194,posicao_contratual!$AD194,posicao_contratual!$AE194,posicao_contratual!$AF194))),0,ROUND(ROUND(CHOOSE($W$46+1,historico_VU!$C194,historico_VU!$D194,historico_VU!$E194,historico_VU!$F194,historico_VU!$G194),2)*CHOOSE($W$46+1,posicao_contratual!$AB194,posicao_contratual!$AC194,posicao_contratual!$AD194,posicao_contratual!$AE194,posicao_contratual!$AF194),2))))</f>
        <v>0</v>
      </c>
    </row>
    <row r="195" spans="1:30" hidden="1" outlineLevel="1" x14ac:dyDescent="0.35">
      <c r="A195" s="137" t="str">
        <f>IF(historico_VU!A143="","",historico_VU!A143)</f>
        <v/>
      </c>
      <c r="B195" s="138" t="str">
        <f>IF(A195="","",historico_VU!B143)</f>
        <v/>
      </c>
      <c r="C195" s="139" t="str">
        <f>IF(A195="","",historico_VU!C143)</f>
        <v/>
      </c>
      <c r="D195" s="139" t="str">
        <f>IF(A195="","",historico_VU!D143)</f>
        <v/>
      </c>
      <c r="E195" s="139" t="str">
        <f>IF(A195="","",historico_VU!E143)</f>
        <v/>
      </c>
      <c r="F195" s="139" t="str">
        <f>IF(A195="","",historico_VU!F143)</f>
        <v/>
      </c>
      <c r="G195" s="139" t="str">
        <f>IF(A195="","",historico_VU!G143)</f>
        <v/>
      </c>
      <c r="H195" s="140" t="str">
        <f>IF(A195="","",historico_VU!H143)</f>
        <v/>
      </c>
      <c r="I195" s="57"/>
      <c r="J195" s="137" t="str">
        <f>IF(itens_Remanesc!A143="","",itens_Remanesc!A143)</f>
        <v/>
      </c>
      <c r="K195" s="138" t="str">
        <f>IF(J195="","",IF($F$4="C0",itens_Remanesc!B143,IF($F$4="C1",itens_Remanesc!E143,IF($F$4="C2",itens_Remanesc!G143,IF($F$4="C3",itens_Remanesc!I143,itens_Remanesc!K143)))))</f>
        <v/>
      </c>
      <c r="L195" s="138" t="str">
        <f>IF(J195="","",IF(SUMIF(itens_Consumidos!$A$2:$A$200,J195,itens_Consumidos!$B$2:$B$200)-SUMIF(itens_Consumidos!$A$2:$A$200,J195,itens_Consumidos!$O$2:$O$200)&lt;0,0,SUMIF(itens_Consumidos!$A$2:$A$200,J195,itens_Consumidos!$B$2:$B$200)-SUMIF(itens_Consumidos!$A$2:$A$200,J195,itens_Consumidos!$O$2:$O$200)))</f>
        <v/>
      </c>
      <c r="M195" s="141" t="str">
        <f>IF(J195="","",itens_Remanesc!C143)</f>
        <v/>
      </c>
      <c r="N195" s="141" t="str">
        <f>IF(J195="","",IF($F$4="C0",historico_VU!C143,IF($F$4="C1",historico_VU!D143,IF($F$4="C2",historico_VU!E143,IF($F$4="C3",historico_VU!F143,historico_VU!G143)))))</f>
        <v/>
      </c>
      <c r="O195" s="141" t="str">
        <f t="shared" si="13"/>
        <v/>
      </c>
      <c r="P195" s="141" t="str">
        <f t="shared" si="14"/>
        <v/>
      </c>
      <c r="Q195" s="142" t="str">
        <f t="shared" si="15"/>
        <v/>
      </c>
      <c r="X195">
        <f>IF(posicao_contratual!$A195="",0,IF(AND(ISNUMBER(posicao_contratual!$Y195),posicao_contratual!$Y195&gt;0),0,IF(AND(ISNUMBER(posicao_contratual!$G195),ISNUMBER(posicao_contratual!$K195),ISNUMBER(historico_VU!$C195)),((posicao_contratual!$G195-N(posicao_contratual!$AB195))-(posicao_contratual!$K195-N(posicao_contratual!$AC195)))*historico_VU!$C195,"")))</f>
        <v>0</v>
      </c>
      <c r="Y195">
        <f>IF(OR(posicao_contratual!$A195="",$T$20=""),0,IF(AND(ISNUMBER(CHOOSE($T$20+1,historico_VU!$C195,historico_VU!$D195,historico_VU!$E195,historico_VU!$F195,historico_VU!$G195)),ISNUMBER(CHOOSE($T$20+1,posicao_contratual!$G195,posicao_contratual!$K195,posicao_contratual!$O195,posicao_contratual!$S195,posicao_contratual!$W195))),ROUND(ROUND(CHOOSE($T$20+1,historico_VU!$C195,historico_VU!$D195,historico_VU!$E195,historico_VU!$F195,historico_VU!$G195),2)*CHOOSE($T$20+1,posicao_contratual!$G195,posicao_contratual!$K195,posicao_contratual!$O195,posicao_contratual!$S195,posicao_contratual!$W195),2),""))</f>
        <v>0</v>
      </c>
      <c r="AB195">
        <f>IF(OR(posicao_contratual!$A195="",$W$46=""),0,IF(AND(ISNUMBER(CHOOSE($W$46+1,historico_VU!$C195,historico_VU!$D195,historico_VU!$E195,historico_VU!$F195,historico_VU!$G195)),ISNUMBER(CHOOSE($W$46+1,posicao_contratual!$G195,posicao_contratual!$K195,posicao_contratual!$O195,posicao_contratual!$S195,posicao_contratual!$W195))),ROUND(ROUND(CHOOSE($W$46+1,historico_VU!$C195,historico_VU!$D195,historico_VU!$E195,historico_VU!$F195,historico_VU!$G195),2)*CHOOSE($W$46+1,posicao_contratual!$G195,posicao_contratual!$K195,posicao_contratual!$O195,posicao_contratual!$S195,posicao_contratual!$W195),2),""))</f>
        <v>0</v>
      </c>
      <c r="AC195">
        <f>IF(OR(posicao_contratual!$A195="",$W$46=""),0,IF(OR($AB195="",$AD195=""),"",ROUND($AB195-$AD195,2)))</f>
        <v>0</v>
      </c>
      <c r="AD195">
        <f>IF(OR(posicao_contratual!$A195="",$W$46=""),0,IF($AB195="","",IF(NOT(ISNUMBER(CHOOSE($W$46+1,posicao_contratual!$AB195,posicao_contratual!$AC195,posicao_contratual!$AD195,posicao_contratual!$AE195,posicao_contratual!$AF195))),0,ROUND(ROUND(CHOOSE($W$46+1,historico_VU!$C195,historico_VU!$D195,historico_VU!$E195,historico_VU!$F195,historico_VU!$G195),2)*CHOOSE($W$46+1,posicao_contratual!$AB195,posicao_contratual!$AC195,posicao_contratual!$AD195,posicao_contratual!$AE195,posicao_contratual!$AF195),2))))</f>
        <v>0</v>
      </c>
    </row>
    <row r="196" spans="1:30" hidden="1" outlineLevel="1" x14ac:dyDescent="0.35">
      <c r="A196" s="137" t="str">
        <f>IF(historico_VU!A144="","",historico_VU!A144)</f>
        <v/>
      </c>
      <c r="B196" s="138" t="str">
        <f>IF(A196="","",historico_VU!B144)</f>
        <v/>
      </c>
      <c r="C196" s="139" t="str">
        <f>IF(A196="","",historico_VU!C144)</f>
        <v/>
      </c>
      <c r="D196" s="139" t="str">
        <f>IF(A196="","",historico_VU!D144)</f>
        <v/>
      </c>
      <c r="E196" s="139" t="str">
        <f>IF(A196="","",historico_VU!E144)</f>
        <v/>
      </c>
      <c r="F196" s="139" t="str">
        <f>IF(A196="","",historico_VU!F144)</f>
        <v/>
      </c>
      <c r="G196" s="139" t="str">
        <f>IF(A196="","",historico_VU!G144)</f>
        <v/>
      </c>
      <c r="H196" s="140" t="str">
        <f>IF(A196="","",historico_VU!H144)</f>
        <v/>
      </c>
      <c r="I196" s="57"/>
      <c r="J196" s="137" t="str">
        <f>IF(itens_Remanesc!A144="","",itens_Remanesc!A144)</f>
        <v/>
      </c>
      <c r="K196" s="138" t="str">
        <f>IF(J196="","",IF($F$4="C0",itens_Remanesc!B144,IF($F$4="C1",itens_Remanesc!E144,IF($F$4="C2",itens_Remanesc!G144,IF($F$4="C3",itens_Remanesc!I144,itens_Remanesc!K144)))))</f>
        <v/>
      </c>
      <c r="L196" s="138" t="str">
        <f>IF(J196="","",IF(SUMIF(itens_Consumidos!$A$2:$A$200,J196,itens_Consumidos!$B$2:$B$200)-SUMIF(itens_Consumidos!$A$2:$A$200,J196,itens_Consumidos!$O$2:$O$200)&lt;0,0,SUMIF(itens_Consumidos!$A$2:$A$200,J196,itens_Consumidos!$B$2:$B$200)-SUMIF(itens_Consumidos!$A$2:$A$200,J196,itens_Consumidos!$O$2:$O$200)))</f>
        <v/>
      </c>
      <c r="M196" s="141" t="str">
        <f>IF(J196="","",itens_Remanesc!C144)</f>
        <v/>
      </c>
      <c r="N196" s="141" t="str">
        <f>IF(J196="","",IF($F$4="C0",historico_VU!C144,IF($F$4="C1",historico_VU!D144,IF($F$4="C2",historico_VU!E144,IF($F$4="C3",historico_VU!F144,historico_VU!G144)))))</f>
        <v/>
      </c>
      <c r="O196" s="141" t="str">
        <f t="shared" si="13"/>
        <v/>
      </c>
      <c r="P196" s="141" t="str">
        <f t="shared" si="14"/>
        <v/>
      </c>
      <c r="Q196" s="142" t="str">
        <f t="shared" si="15"/>
        <v/>
      </c>
      <c r="X196">
        <f>IF(posicao_contratual!$A196="",0,IF(AND(ISNUMBER(posicao_contratual!$Y196),posicao_contratual!$Y196&gt;0),0,IF(AND(ISNUMBER(posicao_contratual!$G196),ISNUMBER(posicao_contratual!$K196),ISNUMBER(historico_VU!$C196)),((posicao_contratual!$G196-N(posicao_contratual!$AB196))-(posicao_contratual!$K196-N(posicao_contratual!$AC196)))*historico_VU!$C196,"")))</f>
        <v>0</v>
      </c>
      <c r="Y196">
        <f>IF(OR(posicao_contratual!$A196="",$T$20=""),0,IF(AND(ISNUMBER(CHOOSE($T$20+1,historico_VU!$C196,historico_VU!$D196,historico_VU!$E196,historico_VU!$F196,historico_VU!$G196)),ISNUMBER(CHOOSE($T$20+1,posicao_contratual!$G196,posicao_contratual!$K196,posicao_contratual!$O196,posicao_contratual!$S196,posicao_contratual!$W196))),ROUND(ROUND(CHOOSE($T$20+1,historico_VU!$C196,historico_VU!$D196,historico_VU!$E196,historico_VU!$F196,historico_VU!$G196),2)*CHOOSE($T$20+1,posicao_contratual!$G196,posicao_contratual!$K196,posicao_contratual!$O196,posicao_contratual!$S196,posicao_contratual!$W196),2),""))</f>
        <v>0</v>
      </c>
      <c r="AB196">
        <f>IF(OR(posicao_contratual!$A196="",$W$46=""),0,IF(AND(ISNUMBER(CHOOSE($W$46+1,historico_VU!$C196,historico_VU!$D196,historico_VU!$E196,historico_VU!$F196,historico_VU!$G196)),ISNUMBER(CHOOSE($W$46+1,posicao_contratual!$G196,posicao_contratual!$K196,posicao_contratual!$O196,posicao_contratual!$S196,posicao_contratual!$W196))),ROUND(ROUND(CHOOSE($W$46+1,historico_VU!$C196,historico_VU!$D196,historico_VU!$E196,historico_VU!$F196,historico_VU!$G196),2)*CHOOSE($W$46+1,posicao_contratual!$G196,posicao_contratual!$K196,posicao_contratual!$O196,posicao_contratual!$S196,posicao_contratual!$W196),2),""))</f>
        <v>0</v>
      </c>
      <c r="AC196">
        <f>IF(OR(posicao_contratual!$A196="",$W$46=""),0,IF(OR($AB196="",$AD196=""),"",ROUND($AB196-$AD196,2)))</f>
        <v>0</v>
      </c>
      <c r="AD196">
        <f>IF(OR(posicao_contratual!$A196="",$W$46=""),0,IF($AB196="","",IF(NOT(ISNUMBER(CHOOSE($W$46+1,posicao_contratual!$AB196,posicao_contratual!$AC196,posicao_contratual!$AD196,posicao_contratual!$AE196,posicao_contratual!$AF196))),0,ROUND(ROUND(CHOOSE($W$46+1,historico_VU!$C196,historico_VU!$D196,historico_VU!$E196,historico_VU!$F196,historico_VU!$G196),2)*CHOOSE($W$46+1,posicao_contratual!$AB196,posicao_contratual!$AC196,posicao_contratual!$AD196,posicao_contratual!$AE196,posicao_contratual!$AF196),2))))</f>
        <v>0</v>
      </c>
    </row>
    <row r="197" spans="1:30" hidden="1" outlineLevel="1" x14ac:dyDescent="0.35">
      <c r="A197" s="137" t="str">
        <f>IF(historico_VU!A145="","",historico_VU!A145)</f>
        <v/>
      </c>
      <c r="B197" s="138" t="str">
        <f>IF(A197="","",historico_VU!B145)</f>
        <v/>
      </c>
      <c r="C197" s="139" t="str">
        <f>IF(A197="","",historico_VU!C145)</f>
        <v/>
      </c>
      <c r="D197" s="139" t="str">
        <f>IF(A197="","",historico_VU!D145)</f>
        <v/>
      </c>
      <c r="E197" s="139" t="str">
        <f>IF(A197="","",historico_VU!E145)</f>
        <v/>
      </c>
      <c r="F197" s="139" t="str">
        <f>IF(A197="","",historico_VU!F145)</f>
        <v/>
      </c>
      <c r="G197" s="139" t="str">
        <f>IF(A197="","",historico_VU!G145)</f>
        <v/>
      </c>
      <c r="H197" s="140" t="str">
        <f>IF(A197="","",historico_VU!H145)</f>
        <v/>
      </c>
      <c r="I197" s="57"/>
      <c r="J197" s="137" t="str">
        <f>IF(itens_Remanesc!A145="","",itens_Remanesc!A145)</f>
        <v/>
      </c>
      <c r="K197" s="138" t="str">
        <f>IF(J197="","",IF($F$4="C0",itens_Remanesc!B145,IF($F$4="C1",itens_Remanesc!E145,IF($F$4="C2",itens_Remanesc!G145,IF($F$4="C3",itens_Remanesc!I145,itens_Remanesc!K145)))))</f>
        <v/>
      </c>
      <c r="L197" s="138" t="str">
        <f>IF(J197="","",IF(SUMIF(itens_Consumidos!$A$2:$A$200,J197,itens_Consumidos!$B$2:$B$200)-SUMIF(itens_Consumidos!$A$2:$A$200,J197,itens_Consumidos!$O$2:$O$200)&lt;0,0,SUMIF(itens_Consumidos!$A$2:$A$200,J197,itens_Consumidos!$B$2:$B$200)-SUMIF(itens_Consumidos!$A$2:$A$200,J197,itens_Consumidos!$O$2:$O$200)))</f>
        <v/>
      </c>
      <c r="M197" s="141" t="str">
        <f>IF(J197="","",itens_Remanesc!C145)</f>
        <v/>
      </c>
      <c r="N197" s="141" t="str">
        <f>IF(J197="","",IF($F$4="C0",historico_VU!C145,IF($F$4="C1",historico_VU!D145,IF($F$4="C2",historico_VU!E145,IF($F$4="C3",historico_VU!F145,historico_VU!G145)))))</f>
        <v/>
      </c>
      <c r="O197" s="141" t="str">
        <f t="shared" si="13"/>
        <v/>
      </c>
      <c r="P197" s="141" t="str">
        <f t="shared" si="14"/>
        <v/>
      </c>
      <c r="Q197" s="142" t="str">
        <f t="shared" si="15"/>
        <v/>
      </c>
      <c r="X197">
        <f>IF(posicao_contratual!$A197="",0,IF(AND(ISNUMBER(posicao_contratual!$Y197),posicao_contratual!$Y197&gt;0),0,IF(AND(ISNUMBER(posicao_contratual!$G197),ISNUMBER(posicao_contratual!$K197),ISNUMBER(historico_VU!$C197)),((posicao_contratual!$G197-N(posicao_contratual!$AB197))-(posicao_contratual!$K197-N(posicao_contratual!$AC197)))*historico_VU!$C197,"")))</f>
        <v>0</v>
      </c>
      <c r="Y197">
        <f>IF(OR(posicao_contratual!$A197="",$T$20=""),0,IF(AND(ISNUMBER(CHOOSE($T$20+1,historico_VU!$C197,historico_VU!$D197,historico_VU!$E197,historico_VU!$F197,historico_VU!$G197)),ISNUMBER(CHOOSE($T$20+1,posicao_contratual!$G197,posicao_contratual!$K197,posicao_contratual!$O197,posicao_contratual!$S197,posicao_contratual!$W197))),ROUND(ROUND(CHOOSE($T$20+1,historico_VU!$C197,historico_VU!$D197,historico_VU!$E197,historico_VU!$F197,historico_VU!$G197),2)*CHOOSE($T$20+1,posicao_contratual!$G197,posicao_contratual!$K197,posicao_contratual!$O197,posicao_contratual!$S197,posicao_contratual!$W197),2),""))</f>
        <v>0</v>
      </c>
      <c r="AB197">
        <f>IF(OR(posicao_contratual!$A197="",$W$46=""),0,IF(AND(ISNUMBER(CHOOSE($W$46+1,historico_VU!$C197,historico_VU!$D197,historico_VU!$E197,historico_VU!$F197,historico_VU!$G197)),ISNUMBER(CHOOSE($W$46+1,posicao_contratual!$G197,posicao_contratual!$K197,posicao_contratual!$O197,posicao_contratual!$S197,posicao_contratual!$W197))),ROUND(ROUND(CHOOSE($W$46+1,historico_VU!$C197,historico_VU!$D197,historico_VU!$E197,historico_VU!$F197,historico_VU!$G197),2)*CHOOSE($W$46+1,posicao_contratual!$G197,posicao_contratual!$K197,posicao_contratual!$O197,posicao_contratual!$S197,posicao_contratual!$W197),2),""))</f>
        <v>0</v>
      </c>
      <c r="AC197">
        <f>IF(OR(posicao_contratual!$A197="",$W$46=""),0,IF(OR($AB197="",$AD197=""),"",ROUND($AB197-$AD197,2)))</f>
        <v>0</v>
      </c>
      <c r="AD197">
        <f>IF(OR(posicao_contratual!$A197="",$W$46=""),0,IF($AB197="","",IF(NOT(ISNUMBER(CHOOSE($W$46+1,posicao_contratual!$AB197,posicao_contratual!$AC197,posicao_contratual!$AD197,posicao_contratual!$AE197,posicao_contratual!$AF197))),0,ROUND(ROUND(CHOOSE($W$46+1,historico_VU!$C197,historico_VU!$D197,historico_VU!$E197,historico_VU!$F197,historico_VU!$G197),2)*CHOOSE($W$46+1,posicao_contratual!$AB197,posicao_contratual!$AC197,posicao_contratual!$AD197,posicao_contratual!$AE197,posicao_contratual!$AF197),2))))</f>
        <v>0</v>
      </c>
    </row>
    <row r="198" spans="1:30" hidden="1" outlineLevel="1" x14ac:dyDescent="0.35">
      <c r="A198" s="137" t="str">
        <f>IF(historico_VU!A146="","",historico_VU!A146)</f>
        <v/>
      </c>
      <c r="B198" s="138" t="str">
        <f>IF(A198="","",historico_VU!B146)</f>
        <v/>
      </c>
      <c r="C198" s="139" t="str">
        <f>IF(A198="","",historico_VU!C146)</f>
        <v/>
      </c>
      <c r="D198" s="139" t="str">
        <f>IF(A198="","",historico_VU!D146)</f>
        <v/>
      </c>
      <c r="E198" s="139" t="str">
        <f>IF(A198="","",historico_VU!E146)</f>
        <v/>
      </c>
      <c r="F198" s="139" t="str">
        <f>IF(A198="","",historico_VU!F146)</f>
        <v/>
      </c>
      <c r="G198" s="139" t="str">
        <f>IF(A198="","",historico_VU!G146)</f>
        <v/>
      </c>
      <c r="H198" s="140" t="str">
        <f>IF(A198="","",historico_VU!H146)</f>
        <v/>
      </c>
      <c r="I198" s="57"/>
      <c r="J198" s="137" t="str">
        <f>IF(itens_Remanesc!A146="","",itens_Remanesc!A146)</f>
        <v/>
      </c>
      <c r="K198" s="138" t="str">
        <f>IF(J198="","",IF($F$4="C0",itens_Remanesc!B146,IF($F$4="C1",itens_Remanesc!E146,IF($F$4="C2",itens_Remanesc!G146,IF($F$4="C3",itens_Remanesc!I146,itens_Remanesc!K146)))))</f>
        <v/>
      </c>
      <c r="L198" s="138" t="str">
        <f>IF(J198="","",IF(SUMIF(itens_Consumidos!$A$2:$A$200,J198,itens_Consumidos!$B$2:$B$200)-SUMIF(itens_Consumidos!$A$2:$A$200,J198,itens_Consumidos!$O$2:$O$200)&lt;0,0,SUMIF(itens_Consumidos!$A$2:$A$200,J198,itens_Consumidos!$B$2:$B$200)-SUMIF(itens_Consumidos!$A$2:$A$200,J198,itens_Consumidos!$O$2:$O$200)))</f>
        <v/>
      </c>
      <c r="M198" s="141" t="str">
        <f>IF(J198="","",itens_Remanesc!C146)</f>
        <v/>
      </c>
      <c r="N198" s="141" t="str">
        <f>IF(J198="","",IF($F$4="C0",historico_VU!C146,IF($F$4="C1",historico_VU!D146,IF($F$4="C2",historico_VU!E146,IF($F$4="C3",historico_VU!F146,historico_VU!G146)))))</f>
        <v/>
      </c>
      <c r="O198" s="141" t="str">
        <f t="shared" si="13"/>
        <v/>
      </c>
      <c r="P198" s="141" t="str">
        <f t="shared" si="14"/>
        <v/>
      </c>
      <c r="Q198" s="142" t="str">
        <f t="shared" si="15"/>
        <v/>
      </c>
      <c r="X198">
        <f>IF(posicao_contratual!$A198="",0,IF(AND(ISNUMBER(posicao_contratual!$Y198),posicao_contratual!$Y198&gt;0),0,IF(AND(ISNUMBER(posicao_contratual!$G198),ISNUMBER(posicao_contratual!$K198),ISNUMBER(historico_VU!$C198)),((posicao_contratual!$G198-N(posicao_contratual!$AB198))-(posicao_contratual!$K198-N(posicao_contratual!$AC198)))*historico_VU!$C198,"")))</f>
        <v>0</v>
      </c>
      <c r="Y198">
        <f>IF(OR(posicao_contratual!$A198="",$T$20=""),0,IF(AND(ISNUMBER(CHOOSE($T$20+1,historico_VU!$C198,historico_VU!$D198,historico_VU!$E198,historico_VU!$F198,historico_VU!$G198)),ISNUMBER(CHOOSE($T$20+1,posicao_contratual!$G198,posicao_contratual!$K198,posicao_contratual!$O198,posicao_contratual!$S198,posicao_contratual!$W198))),ROUND(ROUND(CHOOSE($T$20+1,historico_VU!$C198,historico_VU!$D198,historico_VU!$E198,historico_VU!$F198,historico_VU!$G198),2)*CHOOSE($T$20+1,posicao_contratual!$G198,posicao_contratual!$K198,posicao_contratual!$O198,posicao_contratual!$S198,posicao_contratual!$W198),2),""))</f>
        <v>0</v>
      </c>
      <c r="AB198">
        <f>IF(OR(posicao_contratual!$A198="",$W$46=""),0,IF(AND(ISNUMBER(CHOOSE($W$46+1,historico_VU!$C198,historico_VU!$D198,historico_VU!$E198,historico_VU!$F198,historico_VU!$G198)),ISNUMBER(CHOOSE($W$46+1,posicao_contratual!$G198,posicao_contratual!$K198,posicao_contratual!$O198,posicao_contratual!$S198,posicao_contratual!$W198))),ROUND(ROUND(CHOOSE($W$46+1,historico_VU!$C198,historico_VU!$D198,historico_VU!$E198,historico_VU!$F198,historico_VU!$G198),2)*CHOOSE($W$46+1,posicao_contratual!$G198,posicao_contratual!$K198,posicao_contratual!$O198,posicao_contratual!$S198,posicao_contratual!$W198),2),""))</f>
        <v>0</v>
      </c>
      <c r="AC198">
        <f>IF(OR(posicao_contratual!$A198="",$W$46=""),0,IF(OR($AB198="",$AD198=""),"",ROUND($AB198-$AD198,2)))</f>
        <v>0</v>
      </c>
      <c r="AD198">
        <f>IF(OR(posicao_contratual!$A198="",$W$46=""),0,IF($AB198="","",IF(NOT(ISNUMBER(CHOOSE($W$46+1,posicao_contratual!$AB198,posicao_contratual!$AC198,posicao_contratual!$AD198,posicao_contratual!$AE198,posicao_contratual!$AF198))),0,ROUND(ROUND(CHOOSE($W$46+1,historico_VU!$C198,historico_VU!$D198,historico_VU!$E198,historico_VU!$F198,historico_VU!$G198),2)*CHOOSE($W$46+1,posicao_contratual!$AB198,posicao_contratual!$AC198,posicao_contratual!$AD198,posicao_contratual!$AE198,posicao_contratual!$AF198),2))))</f>
        <v>0</v>
      </c>
    </row>
    <row r="199" spans="1:30" hidden="1" outlineLevel="1" x14ac:dyDescent="0.35">
      <c r="A199" s="137" t="str">
        <f>IF(historico_VU!A147="","",historico_VU!A147)</f>
        <v/>
      </c>
      <c r="B199" s="138" t="str">
        <f>IF(A199="","",historico_VU!B147)</f>
        <v/>
      </c>
      <c r="C199" s="139" t="str">
        <f>IF(A199="","",historico_VU!C147)</f>
        <v/>
      </c>
      <c r="D199" s="139" t="str">
        <f>IF(A199="","",historico_VU!D147)</f>
        <v/>
      </c>
      <c r="E199" s="139" t="str">
        <f>IF(A199="","",historico_VU!E147)</f>
        <v/>
      </c>
      <c r="F199" s="139" t="str">
        <f>IF(A199="","",historico_VU!F147)</f>
        <v/>
      </c>
      <c r="G199" s="139" t="str">
        <f>IF(A199="","",historico_VU!G147)</f>
        <v/>
      </c>
      <c r="H199" s="140" t="str">
        <f>IF(A199="","",historico_VU!H147)</f>
        <v/>
      </c>
      <c r="I199" s="57"/>
      <c r="J199" s="137" t="str">
        <f>IF(itens_Remanesc!A147="","",itens_Remanesc!A147)</f>
        <v/>
      </c>
      <c r="K199" s="138" t="str">
        <f>IF(J199="","",IF($F$4="C0",itens_Remanesc!B147,IF($F$4="C1",itens_Remanesc!E147,IF($F$4="C2",itens_Remanesc!G147,IF($F$4="C3",itens_Remanesc!I147,itens_Remanesc!K147)))))</f>
        <v/>
      </c>
      <c r="L199" s="138" t="str">
        <f>IF(J199="","",IF(SUMIF(itens_Consumidos!$A$2:$A$200,J199,itens_Consumidos!$B$2:$B$200)-SUMIF(itens_Consumidos!$A$2:$A$200,J199,itens_Consumidos!$O$2:$O$200)&lt;0,0,SUMIF(itens_Consumidos!$A$2:$A$200,J199,itens_Consumidos!$B$2:$B$200)-SUMIF(itens_Consumidos!$A$2:$A$200,J199,itens_Consumidos!$O$2:$O$200)))</f>
        <v/>
      </c>
      <c r="M199" s="141" t="str">
        <f>IF(J199="","",itens_Remanesc!C147)</f>
        <v/>
      </c>
      <c r="N199" s="141" t="str">
        <f>IF(J199="","",IF($F$4="C0",historico_VU!C147,IF($F$4="C1",historico_VU!D147,IF($F$4="C2",historico_VU!E147,IF($F$4="C3",historico_VU!F147,historico_VU!G147)))))</f>
        <v/>
      </c>
      <c r="O199" s="141" t="str">
        <f t="shared" si="13"/>
        <v/>
      </c>
      <c r="P199" s="141" t="str">
        <f t="shared" si="14"/>
        <v/>
      </c>
      <c r="Q199" s="142" t="str">
        <f t="shared" si="15"/>
        <v/>
      </c>
      <c r="X199">
        <f>IF(posicao_contratual!$A199="",0,IF(AND(ISNUMBER(posicao_contratual!$Y199),posicao_contratual!$Y199&gt;0),0,IF(AND(ISNUMBER(posicao_contratual!$G199),ISNUMBER(posicao_contratual!$K199),ISNUMBER(historico_VU!$C199)),((posicao_contratual!$G199-N(posicao_contratual!$AB199))-(posicao_contratual!$K199-N(posicao_contratual!$AC199)))*historico_VU!$C199,"")))</f>
        <v>0</v>
      </c>
      <c r="Y199">
        <f>IF(OR(posicao_contratual!$A199="",$T$20=""),0,IF(AND(ISNUMBER(CHOOSE($T$20+1,historico_VU!$C199,historico_VU!$D199,historico_VU!$E199,historico_VU!$F199,historico_VU!$G199)),ISNUMBER(CHOOSE($T$20+1,posicao_contratual!$G199,posicao_contratual!$K199,posicao_contratual!$O199,posicao_contratual!$S199,posicao_contratual!$W199))),ROUND(ROUND(CHOOSE($T$20+1,historico_VU!$C199,historico_VU!$D199,historico_VU!$E199,historico_VU!$F199,historico_VU!$G199),2)*CHOOSE($T$20+1,posicao_contratual!$G199,posicao_contratual!$K199,posicao_contratual!$O199,posicao_contratual!$S199,posicao_contratual!$W199),2),""))</f>
        <v>0</v>
      </c>
      <c r="AB199">
        <f>IF(OR(posicao_contratual!$A199="",$W$46=""),0,IF(AND(ISNUMBER(CHOOSE($W$46+1,historico_VU!$C199,historico_VU!$D199,historico_VU!$E199,historico_VU!$F199,historico_VU!$G199)),ISNUMBER(CHOOSE($W$46+1,posicao_contratual!$G199,posicao_contratual!$K199,posicao_contratual!$O199,posicao_contratual!$S199,posicao_contratual!$W199))),ROUND(ROUND(CHOOSE($W$46+1,historico_VU!$C199,historico_VU!$D199,historico_VU!$E199,historico_VU!$F199,historico_VU!$G199),2)*CHOOSE($W$46+1,posicao_contratual!$G199,posicao_contratual!$K199,posicao_contratual!$O199,posicao_contratual!$S199,posicao_contratual!$W199),2),""))</f>
        <v>0</v>
      </c>
      <c r="AC199">
        <f>IF(OR(posicao_contratual!$A199="",$W$46=""),0,IF(OR($AB199="",$AD199=""),"",ROUND($AB199-$AD199,2)))</f>
        <v>0</v>
      </c>
      <c r="AD199">
        <f>IF(OR(posicao_contratual!$A199="",$W$46=""),0,IF($AB199="","",IF(NOT(ISNUMBER(CHOOSE($W$46+1,posicao_contratual!$AB199,posicao_contratual!$AC199,posicao_contratual!$AD199,posicao_contratual!$AE199,posicao_contratual!$AF199))),0,ROUND(ROUND(CHOOSE($W$46+1,historico_VU!$C199,historico_VU!$D199,historico_VU!$E199,historico_VU!$F199,historico_VU!$G199),2)*CHOOSE($W$46+1,posicao_contratual!$AB199,posicao_contratual!$AC199,posicao_contratual!$AD199,posicao_contratual!$AE199,posicao_contratual!$AF199),2))))</f>
        <v>0</v>
      </c>
    </row>
    <row r="200" spans="1:30" hidden="1" outlineLevel="1" x14ac:dyDescent="0.35">
      <c r="A200" s="137" t="str">
        <f>IF(historico_VU!A148="","",historico_VU!A148)</f>
        <v/>
      </c>
      <c r="B200" s="138" t="str">
        <f>IF(A200="","",historico_VU!B148)</f>
        <v/>
      </c>
      <c r="C200" s="139" t="str">
        <f>IF(A200="","",historico_VU!C148)</f>
        <v/>
      </c>
      <c r="D200" s="139" t="str">
        <f>IF(A200="","",historico_VU!D148)</f>
        <v/>
      </c>
      <c r="E200" s="139" t="str">
        <f>IF(A200="","",historico_VU!E148)</f>
        <v/>
      </c>
      <c r="F200" s="139" t="str">
        <f>IF(A200="","",historico_VU!F148)</f>
        <v/>
      </c>
      <c r="G200" s="139" t="str">
        <f>IF(A200="","",historico_VU!G148)</f>
        <v/>
      </c>
      <c r="H200" s="140" t="str">
        <f>IF(A200="","",historico_VU!H148)</f>
        <v/>
      </c>
      <c r="I200" s="57"/>
      <c r="J200" s="137" t="str">
        <f>IF(itens_Remanesc!A148="","",itens_Remanesc!A148)</f>
        <v/>
      </c>
      <c r="K200" s="138" t="str">
        <f>IF(J200="","",IF($F$4="C0",itens_Remanesc!B148,IF($F$4="C1",itens_Remanesc!E148,IF($F$4="C2",itens_Remanesc!G148,IF($F$4="C3",itens_Remanesc!I148,itens_Remanesc!K148)))))</f>
        <v/>
      </c>
      <c r="L200" s="138" t="str">
        <f>IF(J200="","",IF(SUMIF(itens_Consumidos!$A$2:$A$200,J200,itens_Consumidos!$B$2:$B$200)-SUMIF(itens_Consumidos!$A$2:$A$200,J200,itens_Consumidos!$O$2:$O$200)&lt;0,0,SUMIF(itens_Consumidos!$A$2:$A$200,J200,itens_Consumidos!$B$2:$B$200)-SUMIF(itens_Consumidos!$A$2:$A$200,J200,itens_Consumidos!$O$2:$O$200)))</f>
        <v/>
      </c>
      <c r="M200" s="141" t="str">
        <f>IF(J200="","",itens_Remanesc!C148)</f>
        <v/>
      </c>
      <c r="N200" s="141" t="str">
        <f>IF(J200="","",IF($F$4="C0",historico_VU!C148,IF($F$4="C1",historico_VU!D148,IF($F$4="C2",historico_VU!E148,IF($F$4="C3",historico_VU!F148,historico_VU!G148)))))</f>
        <v/>
      </c>
      <c r="O200" s="141" t="str">
        <f t="shared" si="13"/>
        <v/>
      </c>
      <c r="P200" s="141" t="str">
        <f t="shared" si="14"/>
        <v/>
      </c>
      <c r="Q200" s="142" t="str">
        <f t="shared" si="15"/>
        <v/>
      </c>
      <c r="X200">
        <f>IF(posicao_contratual!$A200="",0,IF(AND(ISNUMBER(posicao_contratual!$Y200),posicao_contratual!$Y200&gt;0),0,IF(AND(ISNUMBER(posicao_contratual!$G200),ISNUMBER(posicao_contratual!$K200),ISNUMBER(historico_VU!$C200)),((posicao_contratual!$G200-N(posicao_contratual!$AB200))-(posicao_contratual!$K200-N(posicao_contratual!$AC200)))*historico_VU!$C200,"")))</f>
        <v>0</v>
      </c>
      <c r="Y200">
        <f>IF(OR(posicao_contratual!$A200="",$T$20=""),0,IF(AND(ISNUMBER(CHOOSE($T$20+1,historico_VU!$C200,historico_VU!$D200,historico_VU!$E200,historico_VU!$F200,historico_VU!$G200)),ISNUMBER(CHOOSE($T$20+1,posicao_contratual!$G200,posicao_contratual!$K200,posicao_contratual!$O200,posicao_contratual!$S200,posicao_contratual!$W200))),ROUND(ROUND(CHOOSE($T$20+1,historico_VU!$C200,historico_VU!$D200,historico_VU!$E200,historico_VU!$F200,historico_VU!$G200),2)*CHOOSE($T$20+1,posicao_contratual!$G200,posicao_contratual!$K200,posicao_contratual!$O200,posicao_contratual!$S200,posicao_contratual!$W200),2),""))</f>
        <v>0</v>
      </c>
      <c r="AB200">
        <f>IF(OR(posicao_contratual!$A200="",$W$46=""),0,IF(AND(ISNUMBER(CHOOSE($W$46+1,historico_VU!$C200,historico_VU!$D200,historico_VU!$E200,historico_VU!$F200,historico_VU!$G200)),ISNUMBER(CHOOSE($W$46+1,posicao_contratual!$G200,posicao_contratual!$K200,posicao_contratual!$O200,posicao_contratual!$S200,posicao_contratual!$W200))),ROUND(ROUND(CHOOSE($W$46+1,historico_VU!$C200,historico_VU!$D200,historico_VU!$E200,historico_VU!$F200,historico_VU!$G200),2)*CHOOSE($W$46+1,posicao_contratual!$G200,posicao_contratual!$K200,posicao_contratual!$O200,posicao_contratual!$S200,posicao_contratual!$W200),2),""))</f>
        <v>0</v>
      </c>
      <c r="AC200">
        <f>IF(OR(posicao_contratual!$A200="",$W$46=""),0,IF(OR($AB200="",$AD200=""),"",ROUND($AB200-$AD200,2)))</f>
        <v>0</v>
      </c>
      <c r="AD200">
        <f>IF(OR(posicao_contratual!$A200="",$W$46=""),0,IF($AB200="","",IF(NOT(ISNUMBER(CHOOSE($W$46+1,posicao_contratual!$AB200,posicao_contratual!$AC200,posicao_contratual!$AD200,posicao_contratual!$AE200,posicao_contratual!$AF200))),0,ROUND(ROUND(CHOOSE($W$46+1,historico_VU!$C200,historico_VU!$D200,historico_VU!$E200,historico_VU!$F200,historico_VU!$G200),2)*CHOOSE($W$46+1,posicao_contratual!$AB200,posicao_contratual!$AC200,posicao_contratual!$AD200,posicao_contratual!$AE200,posicao_contratual!$AF200),2))))</f>
        <v>0</v>
      </c>
    </row>
    <row r="201" spans="1:30" hidden="1" outlineLevel="1" x14ac:dyDescent="0.35">
      <c r="A201" s="137" t="str">
        <f>IF(historico_VU!A149="","",historico_VU!A149)</f>
        <v/>
      </c>
      <c r="B201" s="138" t="str">
        <f>IF(A201="","",historico_VU!B149)</f>
        <v/>
      </c>
      <c r="C201" s="139" t="str">
        <f>IF(A201="","",historico_VU!C149)</f>
        <v/>
      </c>
      <c r="D201" s="139" t="str">
        <f>IF(A201="","",historico_VU!D149)</f>
        <v/>
      </c>
      <c r="E201" s="139" t="str">
        <f>IF(A201="","",historico_VU!E149)</f>
        <v/>
      </c>
      <c r="F201" s="139" t="str">
        <f>IF(A201="","",historico_VU!F149)</f>
        <v/>
      </c>
      <c r="G201" s="139" t="str">
        <f>IF(A201="","",historico_VU!G149)</f>
        <v/>
      </c>
      <c r="H201" s="140" t="str">
        <f>IF(A201="","",historico_VU!H149)</f>
        <v/>
      </c>
      <c r="I201" s="57"/>
      <c r="J201" s="137" t="str">
        <f>IF(itens_Remanesc!A149="","",itens_Remanesc!A149)</f>
        <v/>
      </c>
      <c r="K201" s="138" t="str">
        <f>IF(J201="","",IF($F$4="C0",itens_Remanesc!B149,IF($F$4="C1",itens_Remanesc!E149,IF($F$4="C2",itens_Remanesc!G149,IF($F$4="C3",itens_Remanesc!I149,itens_Remanesc!K149)))))</f>
        <v/>
      </c>
      <c r="L201" s="138" t="str">
        <f>IF(J201="","",IF(SUMIF(itens_Consumidos!$A$2:$A$200,J201,itens_Consumidos!$B$2:$B$200)-SUMIF(itens_Consumidos!$A$2:$A$200,J201,itens_Consumidos!$O$2:$O$200)&lt;0,0,SUMIF(itens_Consumidos!$A$2:$A$200,J201,itens_Consumidos!$B$2:$B$200)-SUMIF(itens_Consumidos!$A$2:$A$200,J201,itens_Consumidos!$O$2:$O$200)))</f>
        <v/>
      </c>
      <c r="M201" s="141" t="str">
        <f>IF(J201="","",itens_Remanesc!C149)</f>
        <v/>
      </c>
      <c r="N201" s="141" t="str">
        <f>IF(J201="","",IF($F$4="C0",historico_VU!C149,IF($F$4="C1",historico_VU!D149,IF($F$4="C2",historico_VU!E149,IF($F$4="C3",historico_VU!F149,historico_VU!G149)))))</f>
        <v/>
      </c>
      <c r="O201" s="141" t="str">
        <f t="shared" si="13"/>
        <v/>
      </c>
      <c r="P201" s="141" t="str">
        <f t="shared" si="14"/>
        <v/>
      </c>
      <c r="Q201" s="142" t="str">
        <f t="shared" si="15"/>
        <v/>
      </c>
      <c r="X201">
        <f>IF(posicao_contratual!$A201="",0,IF(AND(ISNUMBER(posicao_contratual!$Y201),posicao_contratual!$Y201&gt;0),0,IF(AND(ISNUMBER(posicao_contratual!$G201),ISNUMBER(posicao_contratual!$K201),ISNUMBER(historico_VU!$C201)),((posicao_contratual!$G201-N(posicao_contratual!$AB201))-(posicao_contratual!$K201-N(posicao_contratual!$AC201)))*historico_VU!$C201,"")))</f>
        <v>0</v>
      </c>
      <c r="Y201">
        <f>IF(OR(posicao_contratual!$A201="",$T$20=""),0,IF(AND(ISNUMBER(CHOOSE($T$20+1,historico_VU!$C201,historico_VU!$D201,historico_VU!$E201,historico_VU!$F201,historico_VU!$G201)),ISNUMBER(CHOOSE($T$20+1,posicao_contratual!$G201,posicao_contratual!$K201,posicao_contratual!$O201,posicao_contratual!$S201,posicao_contratual!$W201))),ROUND(ROUND(CHOOSE($T$20+1,historico_VU!$C201,historico_VU!$D201,historico_VU!$E201,historico_VU!$F201,historico_VU!$G201),2)*CHOOSE($T$20+1,posicao_contratual!$G201,posicao_contratual!$K201,posicao_contratual!$O201,posicao_contratual!$S201,posicao_contratual!$W201),2),""))</f>
        <v>0</v>
      </c>
      <c r="AB201">
        <f>IF(OR(posicao_contratual!$A201="",$W$46=""),0,IF(AND(ISNUMBER(CHOOSE($W$46+1,historico_VU!$C201,historico_VU!$D201,historico_VU!$E201,historico_VU!$F201,historico_VU!$G201)),ISNUMBER(CHOOSE($W$46+1,posicao_contratual!$G201,posicao_contratual!$K201,posicao_contratual!$O201,posicao_contratual!$S201,posicao_contratual!$W201))),ROUND(ROUND(CHOOSE($W$46+1,historico_VU!$C201,historico_VU!$D201,historico_VU!$E201,historico_VU!$F201,historico_VU!$G201),2)*CHOOSE($W$46+1,posicao_contratual!$G201,posicao_contratual!$K201,posicao_contratual!$O201,posicao_contratual!$S201,posicao_contratual!$W201),2),""))</f>
        <v>0</v>
      </c>
      <c r="AC201">
        <f>IF(OR(posicao_contratual!$A201="",$W$46=""),0,IF(OR($AB201="",$AD201=""),"",ROUND($AB201-$AD201,2)))</f>
        <v>0</v>
      </c>
      <c r="AD201">
        <f>IF(OR(posicao_contratual!$A201="",$W$46=""),0,IF($AB201="","",IF(NOT(ISNUMBER(CHOOSE($W$46+1,posicao_contratual!$AB201,posicao_contratual!$AC201,posicao_contratual!$AD201,posicao_contratual!$AE201,posicao_contratual!$AF201))),0,ROUND(ROUND(CHOOSE($W$46+1,historico_VU!$C201,historico_VU!$D201,historico_VU!$E201,historico_VU!$F201,historico_VU!$G201),2)*CHOOSE($W$46+1,posicao_contratual!$AB201,posicao_contratual!$AC201,posicao_contratual!$AD201,posicao_contratual!$AE201,posicao_contratual!$AF201),2))))</f>
        <v>0</v>
      </c>
    </row>
    <row r="202" spans="1:30" hidden="1" outlineLevel="1" x14ac:dyDescent="0.35">
      <c r="A202" s="137" t="str">
        <f>IF(historico_VU!A150="","",historico_VU!A150)</f>
        <v/>
      </c>
      <c r="B202" s="138" t="str">
        <f>IF(A202="","",historico_VU!B150)</f>
        <v/>
      </c>
      <c r="C202" s="139" t="str">
        <f>IF(A202="","",historico_VU!C150)</f>
        <v/>
      </c>
      <c r="D202" s="139" t="str">
        <f>IF(A202="","",historico_VU!D150)</f>
        <v/>
      </c>
      <c r="E202" s="139" t="str">
        <f>IF(A202="","",historico_VU!E150)</f>
        <v/>
      </c>
      <c r="F202" s="139" t="str">
        <f>IF(A202="","",historico_VU!F150)</f>
        <v/>
      </c>
      <c r="G202" s="139" t="str">
        <f>IF(A202="","",historico_VU!G150)</f>
        <v/>
      </c>
      <c r="H202" s="140" t="str">
        <f>IF(A202="","",historico_VU!H150)</f>
        <v/>
      </c>
      <c r="I202" s="57"/>
      <c r="J202" s="137" t="str">
        <f>IF(itens_Remanesc!A150="","",itens_Remanesc!A150)</f>
        <v/>
      </c>
      <c r="K202" s="138" t="str">
        <f>IF(J202="","",IF($F$4="C0",itens_Remanesc!B150,IF($F$4="C1",itens_Remanesc!E150,IF($F$4="C2",itens_Remanesc!G150,IF($F$4="C3",itens_Remanesc!I150,itens_Remanesc!K150)))))</f>
        <v/>
      </c>
      <c r="L202" s="138" t="str">
        <f>IF(J202="","",IF(SUMIF(itens_Consumidos!$A$2:$A$200,J202,itens_Consumidos!$B$2:$B$200)-SUMIF(itens_Consumidos!$A$2:$A$200,J202,itens_Consumidos!$O$2:$O$200)&lt;0,0,SUMIF(itens_Consumidos!$A$2:$A$200,J202,itens_Consumidos!$B$2:$B$200)-SUMIF(itens_Consumidos!$A$2:$A$200,J202,itens_Consumidos!$O$2:$O$200)))</f>
        <v/>
      </c>
      <c r="M202" s="141" t="str">
        <f>IF(J202="","",itens_Remanesc!C150)</f>
        <v/>
      </c>
      <c r="N202" s="141" t="str">
        <f>IF(J202="","",IF($F$4="C0",historico_VU!C150,IF($F$4="C1",historico_VU!D150,IF($F$4="C2",historico_VU!E150,IF($F$4="C3",historico_VU!F150,historico_VU!G150)))))</f>
        <v/>
      </c>
      <c r="O202" s="141" t="str">
        <f t="shared" si="13"/>
        <v/>
      </c>
      <c r="P202" s="141" t="str">
        <f t="shared" si="14"/>
        <v/>
      </c>
      <c r="Q202" s="142" t="str">
        <f t="shared" si="15"/>
        <v/>
      </c>
    </row>
    <row r="203" spans="1:30" hidden="1" outlineLevel="1" x14ac:dyDescent="0.35">
      <c r="A203" s="137" t="str">
        <f>IF(historico_VU!A151="","",historico_VU!A151)</f>
        <v/>
      </c>
      <c r="B203" s="138" t="str">
        <f>IF(A203="","",historico_VU!B151)</f>
        <v/>
      </c>
      <c r="C203" s="139" t="str">
        <f>IF(A203="","",historico_VU!C151)</f>
        <v/>
      </c>
      <c r="D203" s="139" t="str">
        <f>IF(A203="","",historico_VU!D151)</f>
        <v/>
      </c>
      <c r="E203" s="139" t="str">
        <f>IF(A203="","",historico_VU!E151)</f>
        <v/>
      </c>
      <c r="F203" s="139" t="str">
        <f>IF(A203="","",historico_VU!F151)</f>
        <v/>
      </c>
      <c r="G203" s="139" t="str">
        <f>IF(A203="","",historico_VU!G151)</f>
        <v/>
      </c>
      <c r="H203" s="140" t="str">
        <f>IF(A203="","",historico_VU!H151)</f>
        <v/>
      </c>
      <c r="I203" s="57"/>
      <c r="J203" s="137" t="str">
        <f>IF(itens_Remanesc!A151="","",itens_Remanesc!A151)</f>
        <v/>
      </c>
      <c r="K203" s="138" t="str">
        <f>IF(J203="","",IF($F$4="C0",itens_Remanesc!B151,IF($F$4="C1",itens_Remanesc!E151,IF($F$4="C2",itens_Remanesc!G151,IF($F$4="C3",itens_Remanesc!I151,itens_Remanesc!K151)))))</f>
        <v/>
      </c>
      <c r="L203" s="138" t="str">
        <f>IF(J203="","",IF(SUMIF(itens_Consumidos!$A$2:$A$200,J203,itens_Consumidos!$B$2:$B$200)-SUMIF(itens_Consumidos!$A$2:$A$200,J203,itens_Consumidos!$O$2:$O$200)&lt;0,0,SUMIF(itens_Consumidos!$A$2:$A$200,J203,itens_Consumidos!$B$2:$B$200)-SUMIF(itens_Consumidos!$A$2:$A$200,J203,itens_Consumidos!$O$2:$O$200)))</f>
        <v/>
      </c>
      <c r="M203" s="141" t="str">
        <f>IF(J203="","",itens_Remanesc!C151)</f>
        <v/>
      </c>
      <c r="N203" s="141" t="str">
        <f>IF(J203="","",IF($F$4="C0",historico_VU!C151,IF($F$4="C1",historico_VU!D151,IF($F$4="C2",historico_VU!E151,IF($F$4="C3",historico_VU!F151,historico_VU!G151)))))</f>
        <v/>
      </c>
      <c r="O203" s="141" t="str">
        <f t="shared" si="13"/>
        <v/>
      </c>
      <c r="P203" s="141" t="str">
        <f t="shared" si="14"/>
        <v/>
      </c>
      <c r="Q203" s="142" t="str">
        <f t="shared" si="15"/>
        <v/>
      </c>
    </row>
    <row r="204" spans="1:30" hidden="1" outlineLevel="1" x14ac:dyDescent="0.35">
      <c r="A204" s="137" t="str">
        <f>IF(historico_VU!A152="","",historico_VU!A152)</f>
        <v/>
      </c>
      <c r="B204" s="138" t="str">
        <f>IF(A204="","",historico_VU!B152)</f>
        <v/>
      </c>
      <c r="C204" s="139" t="str">
        <f>IF(A204="","",historico_VU!C152)</f>
        <v/>
      </c>
      <c r="D204" s="139" t="str">
        <f>IF(A204="","",historico_VU!D152)</f>
        <v/>
      </c>
      <c r="E204" s="139" t="str">
        <f>IF(A204="","",historico_VU!E152)</f>
        <v/>
      </c>
      <c r="F204" s="139" t="str">
        <f>IF(A204="","",historico_VU!F152)</f>
        <v/>
      </c>
      <c r="G204" s="139" t="str">
        <f>IF(A204="","",historico_VU!G152)</f>
        <v/>
      </c>
      <c r="H204" s="140" t="str">
        <f>IF(A204="","",historico_VU!H152)</f>
        <v/>
      </c>
      <c r="I204" s="57"/>
      <c r="J204" s="137" t="str">
        <f>IF(itens_Remanesc!A152="","",itens_Remanesc!A152)</f>
        <v/>
      </c>
      <c r="K204" s="138" t="str">
        <f>IF(J204="","",IF($F$4="C0",itens_Remanesc!B152,IF($F$4="C1",itens_Remanesc!E152,IF($F$4="C2",itens_Remanesc!G152,IF($F$4="C3",itens_Remanesc!I152,itens_Remanesc!K152)))))</f>
        <v/>
      </c>
      <c r="L204" s="138" t="str">
        <f>IF(J204="","",IF(SUMIF(itens_Consumidos!$A$2:$A$200,J204,itens_Consumidos!$B$2:$B$200)-SUMIF(itens_Consumidos!$A$2:$A$200,J204,itens_Consumidos!$O$2:$O$200)&lt;0,0,SUMIF(itens_Consumidos!$A$2:$A$200,J204,itens_Consumidos!$B$2:$B$200)-SUMIF(itens_Consumidos!$A$2:$A$200,J204,itens_Consumidos!$O$2:$O$200)))</f>
        <v/>
      </c>
      <c r="M204" s="141" t="str">
        <f>IF(J204="","",itens_Remanesc!C152)</f>
        <v/>
      </c>
      <c r="N204" s="141" t="str">
        <f>IF(J204="","",IF($F$4="C0",historico_VU!C152,IF($F$4="C1",historico_VU!D152,IF($F$4="C2",historico_VU!E152,IF($F$4="C3",historico_VU!F152,historico_VU!G152)))))</f>
        <v/>
      </c>
      <c r="O204" s="141" t="str">
        <f t="shared" si="13"/>
        <v/>
      </c>
      <c r="P204" s="141" t="str">
        <f t="shared" si="14"/>
        <v/>
      </c>
      <c r="Q204" s="142" t="str">
        <f t="shared" si="15"/>
        <v/>
      </c>
    </row>
    <row r="205" spans="1:30" hidden="1" outlineLevel="1" x14ac:dyDescent="0.35">
      <c r="A205" s="137" t="str">
        <f>IF(historico_VU!A153="","",historico_VU!A153)</f>
        <v/>
      </c>
      <c r="B205" s="138" t="str">
        <f>IF(A205="","",historico_VU!B153)</f>
        <v/>
      </c>
      <c r="C205" s="139" t="str">
        <f>IF(A205="","",historico_VU!C153)</f>
        <v/>
      </c>
      <c r="D205" s="139" t="str">
        <f>IF(A205="","",historico_VU!D153)</f>
        <v/>
      </c>
      <c r="E205" s="139" t="str">
        <f>IF(A205="","",historico_VU!E153)</f>
        <v/>
      </c>
      <c r="F205" s="139" t="str">
        <f>IF(A205="","",historico_VU!F153)</f>
        <v/>
      </c>
      <c r="G205" s="139" t="str">
        <f>IF(A205="","",historico_VU!G153)</f>
        <v/>
      </c>
      <c r="H205" s="140" t="str">
        <f>IF(A205="","",historico_VU!H153)</f>
        <v/>
      </c>
      <c r="I205" s="57"/>
      <c r="J205" s="137" t="str">
        <f>IF(itens_Remanesc!A153="","",itens_Remanesc!A153)</f>
        <v/>
      </c>
      <c r="K205" s="138" t="str">
        <f>IF(J205="","",IF($F$4="C0",itens_Remanesc!B153,IF($F$4="C1",itens_Remanesc!E153,IF($F$4="C2",itens_Remanesc!G153,IF($F$4="C3",itens_Remanesc!I153,itens_Remanesc!K153)))))</f>
        <v/>
      </c>
      <c r="L205" s="138" t="str">
        <f>IF(J205="","",IF(SUMIF(itens_Consumidos!$A$2:$A$200,J205,itens_Consumidos!$B$2:$B$200)-SUMIF(itens_Consumidos!$A$2:$A$200,J205,itens_Consumidos!$O$2:$O$200)&lt;0,0,SUMIF(itens_Consumidos!$A$2:$A$200,J205,itens_Consumidos!$B$2:$B$200)-SUMIF(itens_Consumidos!$A$2:$A$200,J205,itens_Consumidos!$O$2:$O$200)))</f>
        <v/>
      </c>
      <c r="M205" s="141" t="str">
        <f>IF(J205="","",itens_Remanesc!C153)</f>
        <v/>
      </c>
      <c r="N205" s="141" t="str">
        <f>IF(J205="","",IF($F$4="C0",historico_VU!C153,IF($F$4="C1",historico_VU!D153,IF($F$4="C2",historico_VU!E153,IF($F$4="C3",historico_VU!F153,historico_VU!G153)))))</f>
        <v/>
      </c>
      <c r="O205" s="141" t="str">
        <f t="shared" si="13"/>
        <v/>
      </c>
      <c r="P205" s="141" t="str">
        <f t="shared" si="14"/>
        <v/>
      </c>
      <c r="Q205" s="142" t="str">
        <f t="shared" si="15"/>
        <v/>
      </c>
    </row>
    <row r="206" spans="1:30" hidden="1" outlineLevel="1" x14ac:dyDescent="0.35">
      <c r="A206" s="137" t="str">
        <f>IF(historico_VU!A154="","",historico_VU!A154)</f>
        <v/>
      </c>
      <c r="B206" s="138" t="str">
        <f>IF(A206="","",historico_VU!B154)</f>
        <v/>
      </c>
      <c r="C206" s="139" t="str">
        <f>IF(A206="","",historico_VU!C154)</f>
        <v/>
      </c>
      <c r="D206" s="139" t="str">
        <f>IF(A206="","",historico_VU!D154)</f>
        <v/>
      </c>
      <c r="E206" s="139" t="str">
        <f>IF(A206="","",historico_VU!E154)</f>
        <v/>
      </c>
      <c r="F206" s="139" t="str">
        <f>IF(A206="","",historico_VU!F154)</f>
        <v/>
      </c>
      <c r="G206" s="139" t="str">
        <f>IF(A206="","",historico_VU!G154)</f>
        <v/>
      </c>
      <c r="H206" s="140" t="str">
        <f>IF(A206="","",historico_VU!H154)</f>
        <v/>
      </c>
      <c r="I206" s="57"/>
      <c r="J206" s="137" t="str">
        <f>IF(itens_Remanesc!A154="","",itens_Remanesc!A154)</f>
        <v/>
      </c>
      <c r="K206" s="138" t="str">
        <f>IF(J206="","",IF($F$4="C0",itens_Remanesc!B154,IF($F$4="C1",itens_Remanesc!E154,IF($F$4="C2",itens_Remanesc!G154,IF($F$4="C3",itens_Remanesc!I154,itens_Remanesc!K154)))))</f>
        <v/>
      </c>
      <c r="L206" s="138" t="str">
        <f>IF(J206="","",IF(SUMIF(itens_Consumidos!$A$2:$A$200,J206,itens_Consumidos!$B$2:$B$200)-SUMIF(itens_Consumidos!$A$2:$A$200,J206,itens_Consumidos!$O$2:$O$200)&lt;0,0,SUMIF(itens_Consumidos!$A$2:$A$200,J206,itens_Consumidos!$B$2:$B$200)-SUMIF(itens_Consumidos!$A$2:$A$200,J206,itens_Consumidos!$O$2:$O$200)))</f>
        <v/>
      </c>
      <c r="M206" s="141" t="str">
        <f>IF(J206="","",itens_Remanesc!C154)</f>
        <v/>
      </c>
      <c r="N206" s="141" t="str">
        <f>IF(J206="","",IF($F$4="C0",historico_VU!C154,IF($F$4="C1",historico_VU!D154,IF($F$4="C2",historico_VU!E154,IF($F$4="C3",historico_VU!F154,historico_VU!G154)))))</f>
        <v/>
      </c>
      <c r="O206" s="141" t="str">
        <f t="shared" si="13"/>
        <v/>
      </c>
      <c r="P206" s="141" t="str">
        <f t="shared" si="14"/>
        <v/>
      </c>
      <c r="Q206" s="142" t="str">
        <f t="shared" si="15"/>
        <v/>
      </c>
    </row>
    <row r="207" spans="1:30" hidden="1" outlineLevel="1" x14ac:dyDescent="0.35">
      <c r="A207" s="137" t="str">
        <f>IF(historico_VU!A155="","",historico_VU!A155)</f>
        <v/>
      </c>
      <c r="B207" s="138" t="str">
        <f>IF(A207="","",historico_VU!B155)</f>
        <v/>
      </c>
      <c r="C207" s="139" t="str">
        <f>IF(A207="","",historico_VU!C155)</f>
        <v/>
      </c>
      <c r="D207" s="139" t="str">
        <f>IF(A207="","",historico_VU!D155)</f>
        <v/>
      </c>
      <c r="E207" s="139" t="str">
        <f>IF(A207="","",historico_VU!E155)</f>
        <v/>
      </c>
      <c r="F207" s="139" t="str">
        <f>IF(A207="","",historico_VU!F155)</f>
        <v/>
      </c>
      <c r="G207" s="139" t="str">
        <f>IF(A207="","",historico_VU!G155)</f>
        <v/>
      </c>
      <c r="H207" s="140" t="str">
        <f>IF(A207="","",historico_VU!H155)</f>
        <v/>
      </c>
      <c r="I207" s="57"/>
      <c r="J207" s="137" t="str">
        <f>IF(itens_Remanesc!A155="","",itens_Remanesc!A155)</f>
        <v/>
      </c>
      <c r="K207" s="138" t="str">
        <f>IF(J207="","",IF($F$4="C0",itens_Remanesc!B155,IF($F$4="C1",itens_Remanesc!E155,IF($F$4="C2",itens_Remanesc!G155,IF($F$4="C3",itens_Remanesc!I155,itens_Remanesc!K155)))))</f>
        <v/>
      </c>
      <c r="L207" s="138" t="str">
        <f>IF(J207="","",IF(SUMIF(itens_Consumidos!$A$2:$A$200,J207,itens_Consumidos!$B$2:$B$200)-SUMIF(itens_Consumidos!$A$2:$A$200,J207,itens_Consumidos!$O$2:$O$200)&lt;0,0,SUMIF(itens_Consumidos!$A$2:$A$200,J207,itens_Consumidos!$B$2:$B$200)-SUMIF(itens_Consumidos!$A$2:$A$200,J207,itens_Consumidos!$O$2:$O$200)))</f>
        <v/>
      </c>
      <c r="M207" s="141" t="str">
        <f>IF(J207="","",itens_Remanesc!C155)</f>
        <v/>
      </c>
      <c r="N207" s="141" t="str">
        <f>IF(J207="","",IF($F$4="C0",historico_VU!C155,IF($F$4="C1",historico_VU!D155,IF($F$4="C2",historico_VU!E155,IF($F$4="C3",historico_VU!F155,historico_VU!G155)))))</f>
        <v/>
      </c>
      <c r="O207" s="141" t="str">
        <f t="shared" si="13"/>
        <v/>
      </c>
      <c r="P207" s="141" t="str">
        <f t="shared" si="14"/>
        <v/>
      </c>
      <c r="Q207" s="142" t="str">
        <f t="shared" si="15"/>
        <v/>
      </c>
    </row>
    <row r="208" spans="1:30" hidden="1" outlineLevel="1" x14ac:dyDescent="0.35">
      <c r="A208" s="137" t="str">
        <f>IF(historico_VU!A156="","",historico_VU!A156)</f>
        <v/>
      </c>
      <c r="B208" s="138" t="str">
        <f>IF(A208="","",historico_VU!B156)</f>
        <v/>
      </c>
      <c r="C208" s="139" t="str">
        <f>IF(A208="","",historico_VU!C156)</f>
        <v/>
      </c>
      <c r="D208" s="139" t="str">
        <f>IF(A208="","",historico_VU!D156)</f>
        <v/>
      </c>
      <c r="E208" s="139" t="str">
        <f>IF(A208="","",historico_VU!E156)</f>
        <v/>
      </c>
      <c r="F208" s="139" t="str">
        <f>IF(A208="","",historico_VU!F156)</f>
        <v/>
      </c>
      <c r="G208" s="139" t="str">
        <f>IF(A208="","",historico_VU!G156)</f>
        <v/>
      </c>
      <c r="H208" s="140" t="str">
        <f>IF(A208="","",historico_VU!H156)</f>
        <v/>
      </c>
      <c r="I208" s="57"/>
      <c r="J208" s="137" t="str">
        <f>IF(itens_Remanesc!A156="","",itens_Remanesc!A156)</f>
        <v/>
      </c>
      <c r="K208" s="138" t="str">
        <f>IF(J208="","",IF($F$4="C0",itens_Remanesc!B156,IF($F$4="C1",itens_Remanesc!E156,IF($F$4="C2",itens_Remanesc!G156,IF($F$4="C3",itens_Remanesc!I156,itens_Remanesc!K156)))))</f>
        <v/>
      </c>
      <c r="L208" s="138" t="str">
        <f>IF(J208="","",IF(SUMIF(itens_Consumidos!$A$2:$A$200,J208,itens_Consumidos!$B$2:$B$200)-SUMIF(itens_Consumidos!$A$2:$A$200,J208,itens_Consumidos!$O$2:$O$200)&lt;0,0,SUMIF(itens_Consumidos!$A$2:$A$200,J208,itens_Consumidos!$B$2:$B$200)-SUMIF(itens_Consumidos!$A$2:$A$200,J208,itens_Consumidos!$O$2:$O$200)))</f>
        <v/>
      </c>
      <c r="M208" s="141" t="str">
        <f>IF(J208="","",itens_Remanesc!C156)</f>
        <v/>
      </c>
      <c r="N208" s="141" t="str">
        <f>IF(J208="","",IF($F$4="C0",historico_VU!C156,IF($F$4="C1",historico_VU!D156,IF($F$4="C2",historico_VU!E156,IF($F$4="C3",historico_VU!F156,historico_VU!G156)))))</f>
        <v/>
      </c>
      <c r="O208" s="141" t="str">
        <f t="shared" si="13"/>
        <v/>
      </c>
      <c r="P208" s="141" t="str">
        <f t="shared" si="14"/>
        <v/>
      </c>
      <c r="Q208" s="142" t="str">
        <f t="shared" si="15"/>
        <v/>
      </c>
    </row>
    <row r="209" spans="1:17" hidden="1" outlineLevel="1" x14ac:dyDescent="0.35">
      <c r="A209" s="137" t="str">
        <f>IF(historico_VU!A157="","",historico_VU!A157)</f>
        <v/>
      </c>
      <c r="B209" s="138" t="str">
        <f>IF(A209="","",historico_VU!B157)</f>
        <v/>
      </c>
      <c r="C209" s="139" t="str">
        <f>IF(A209="","",historico_VU!C157)</f>
        <v/>
      </c>
      <c r="D209" s="139" t="str">
        <f>IF(A209="","",historico_VU!D157)</f>
        <v/>
      </c>
      <c r="E209" s="139" t="str">
        <f>IF(A209="","",historico_VU!E157)</f>
        <v/>
      </c>
      <c r="F209" s="139" t="str">
        <f>IF(A209="","",historico_VU!F157)</f>
        <v/>
      </c>
      <c r="G209" s="139" t="str">
        <f>IF(A209="","",historico_VU!G157)</f>
        <v/>
      </c>
      <c r="H209" s="140" t="str">
        <f>IF(A209="","",historico_VU!H157)</f>
        <v/>
      </c>
      <c r="I209" s="57"/>
      <c r="J209" s="137" t="str">
        <f>IF(itens_Remanesc!A157="","",itens_Remanesc!A157)</f>
        <v/>
      </c>
      <c r="K209" s="138" t="str">
        <f>IF(J209="","",IF($F$4="C0",itens_Remanesc!B157,IF($F$4="C1",itens_Remanesc!E157,IF($F$4="C2",itens_Remanesc!G157,IF($F$4="C3",itens_Remanesc!I157,itens_Remanesc!K157)))))</f>
        <v/>
      </c>
      <c r="L209" s="138" t="str">
        <f>IF(J209="","",IF(SUMIF(itens_Consumidos!$A$2:$A$200,J209,itens_Consumidos!$B$2:$B$200)-SUMIF(itens_Consumidos!$A$2:$A$200,J209,itens_Consumidos!$O$2:$O$200)&lt;0,0,SUMIF(itens_Consumidos!$A$2:$A$200,J209,itens_Consumidos!$B$2:$B$200)-SUMIF(itens_Consumidos!$A$2:$A$200,J209,itens_Consumidos!$O$2:$O$200)))</f>
        <v/>
      </c>
      <c r="M209" s="141" t="str">
        <f>IF(J209="","",itens_Remanesc!C157)</f>
        <v/>
      </c>
      <c r="N209" s="141" t="str">
        <f>IF(J209="","",IF($F$4="C0",historico_VU!C157,IF($F$4="C1",historico_VU!D157,IF($F$4="C2",historico_VU!E157,IF($F$4="C3",historico_VU!F157,historico_VU!G157)))))</f>
        <v/>
      </c>
      <c r="O209" s="141" t="str">
        <f t="shared" si="13"/>
        <v/>
      </c>
      <c r="P209" s="141" t="str">
        <f t="shared" si="14"/>
        <v/>
      </c>
      <c r="Q209" s="142" t="str">
        <f t="shared" si="15"/>
        <v/>
      </c>
    </row>
    <row r="210" spans="1:17" hidden="1" outlineLevel="1" x14ac:dyDescent="0.35">
      <c r="A210" s="137" t="str">
        <f>IF(historico_VU!A158="","",historico_VU!A158)</f>
        <v/>
      </c>
      <c r="B210" s="138" t="str">
        <f>IF(A210="","",historico_VU!B158)</f>
        <v/>
      </c>
      <c r="C210" s="139" t="str">
        <f>IF(A210="","",historico_VU!C158)</f>
        <v/>
      </c>
      <c r="D210" s="139" t="str">
        <f>IF(A210="","",historico_VU!D158)</f>
        <v/>
      </c>
      <c r="E210" s="139" t="str">
        <f>IF(A210="","",historico_VU!E158)</f>
        <v/>
      </c>
      <c r="F210" s="139" t="str">
        <f>IF(A210="","",historico_VU!F158)</f>
        <v/>
      </c>
      <c r="G210" s="139" t="str">
        <f>IF(A210="","",historico_VU!G158)</f>
        <v/>
      </c>
      <c r="H210" s="140" t="str">
        <f>IF(A210="","",historico_VU!H158)</f>
        <v/>
      </c>
      <c r="I210" s="57"/>
      <c r="J210" s="137" t="str">
        <f>IF(itens_Remanesc!A158="","",itens_Remanesc!A158)</f>
        <v/>
      </c>
      <c r="K210" s="138" t="str">
        <f>IF(J210="","",IF($F$4="C0",itens_Remanesc!B158,IF($F$4="C1",itens_Remanesc!E158,IF($F$4="C2",itens_Remanesc!G158,IF($F$4="C3",itens_Remanesc!I158,itens_Remanesc!K158)))))</f>
        <v/>
      </c>
      <c r="L210" s="138" t="str">
        <f>IF(J210="","",IF(SUMIF(itens_Consumidos!$A$2:$A$200,J210,itens_Consumidos!$B$2:$B$200)-SUMIF(itens_Consumidos!$A$2:$A$200,J210,itens_Consumidos!$O$2:$O$200)&lt;0,0,SUMIF(itens_Consumidos!$A$2:$A$200,J210,itens_Consumidos!$B$2:$B$200)-SUMIF(itens_Consumidos!$A$2:$A$200,J210,itens_Consumidos!$O$2:$O$200)))</f>
        <v/>
      </c>
      <c r="M210" s="141" t="str">
        <f>IF(J210="","",itens_Remanesc!C158)</f>
        <v/>
      </c>
      <c r="N210" s="141" t="str">
        <f>IF(J210="","",IF($F$4="C0",historico_VU!C158,IF($F$4="C1",historico_VU!D158,IF($F$4="C2",historico_VU!E158,IF($F$4="C3",historico_VU!F158,historico_VU!G158)))))</f>
        <v/>
      </c>
      <c r="O210" s="141" t="str">
        <f t="shared" si="13"/>
        <v/>
      </c>
      <c r="P210" s="141" t="str">
        <f t="shared" si="14"/>
        <v/>
      </c>
      <c r="Q210" s="142" t="str">
        <f t="shared" si="15"/>
        <v/>
      </c>
    </row>
    <row r="211" spans="1:17" hidden="1" outlineLevel="1" x14ac:dyDescent="0.35">
      <c r="A211" s="137" t="str">
        <f>IF(historico_VU!A159="","",historico_VU!A159)</f>
        <v/>
      </c>
      <c r="B211" s="138" t="str">
        <f>IF(A211="","",historico_VU!B159)</f>
        <v/>
      </c>
      <c r="C211" s="139" t="str">
        <f>IF(A211="","",historico_VU!C159)</f>
        <v/>
      </c>
      <c r="D211" s="139" t="str">
        <f>IF(A211="","",historico_VU!D159)</f>
        <v/>
      </c>
      <c r="E211" s="139" t="str">
        <f>IF(A211="","",historico_VU!E159)</f>
        <v/>
      </c>
      <c r="F211" s="139" t="str">
        <f>IF(A211="","",historico_VU!F159)</f>
        <v/>
      </c>
      <c r="G211" s="139" t="str">
        <f>IF(A211="","",historico_VU!G159)</f>
        <v/>
      </c>
      <c r="H211" s="140" t="str">
        <f>IF(A211="","",historico_VU!H159)</f>
        <v/>
      </c>
      <c r="I211" s="57"/>
      <c r="J211" s="137" t="str">
        <f>IF(itens_Remanesc!A159="","",itens_Remanesc!A159)</f>
        <v/>
      </c>
      <c r="K211" s="138" t="str">
        <f>IF(J211="","",IF($F$4="C0",itens_Remanesc!B159,IF($F$4="C1",itens_Remanesc!E159,IF($F$4="C2",itens_Remanesc!G159,IF($F$4="C3",itens_Remanesc!I159,itens_Remanesc!K159)))))</f>
        <v/>
      </c>
      <c r="L211" s="138" t="str">
        <f>IF(J211="","",IF(SUMIF(itens_Consumidos!$A$2:$A$200,J211,itens_Consumidos!$B$2:$B$200)-SUMIF(itens_Consumidos!$A$2:$A$200,J211,itens_Consumidos!$O$2:$O$200)&lt;0,0,SUMIF(itens_Consumidos!$A$2:$A$200,J211,itens_Consumidos!$B$2:$B$200)-SUMIF(itens_Consumidos!$A$2:$A$200,J211,itens_Consumidos!$O$2:$O$200)))</f>
        <v/>
      </c>
      <c r="M211" s="141" t="str">
        <f>IF(J211="","",itens_Remanesc!C159)</f>
        <v/>
      </c>
      <c r="N211" s="141" t="str">
        <f>IF(J211="","",IF($F$4="C0",historico_VU!C159,IF($F$4="C1",historico_VU!D159,IF($F$4="C2",historico_VU!E159,IF($F$4="C3",historico_VU!F159,historico_VU!G159)))))</f>
        <v/>
      </c>
      <c r="O211" s="141" t="str">
        <f t="shared" si="13"/>
        <v/>
      </c>
      <c r="P211" s="141" t="str">
        <f t="shared" si="14"/>
        <v/>
      </c>
      <c r="Q211" s="142" t="str">
        <f t="shared" si="15"/>
        <v/>
      </c>
    </row>
    <row r="212" spans="1:17" hidden="1" outlineLevel="1" x14ac:dyDescent="0.35">
      <c r="A212" s="137" t="str">
        <f>IF(historico_VU!A160="","",historico_VU!A160)</f>
        <v/>
      </c>
      <c r="B212" s="138" t="str">
        <f>IF(A212="","",historico_VU!B160)</f>
        <v/>
      </c>
      <c r="C212" s="139" t="str">
        <f>IF(A212="","",historico_VU!C160)</f>
        <v/>
      </c>
      <c r="D212" s="139" t="str">
        <f>IF(A212="","",historico_VU!D160)</f>
        <v/>
      </c>
      <c r="E212" s="139" t="str">
        <f>IF(A212="","",historico_VU!E160)</f>
        <v/>
      </c>
      <c r="F212" s="139" t="str">
        <f>IF(A212="","",historico_VU!F160)</f>
        <v/>
      </c>
      <c r="G212" s="139" t="str">
        <f>IF(A212="","",historico_VU!G160)</f>
        <v/>
      </c>
      <c r="H212" s="140" t="str">
        <f>IF(A212="","",historico_VU!H160)</f>
        <v/>
      </c>
      <c r="I212" s="57"/>
      <c r="J212" s="137" t="str">
        <f>IF(itens_Remanesc!A160="","",itens_Remanesc!A160)</f>
        <v/>
      </c>
      <c r="K212" s="138" t="str">
        <f>IF(J212="","",IF($F$4="C0",itens_Remanesc!B160,IF($F$4="C1",itens_Remanesc!E160,IF($F$4="C2",itens_Remanesc!G160,IF($F$4="C3",itens_Remanesc!I160,itens_Remanesc!K160)))))</f>
        <v/>
      </c>
      <c r="L212" s="138" t="str">
        <f>IF(J212="","",IF(SUMIF(itens_Consumidos!$A$2:$A$200,J212,itens_Consumidos!$B$2:$B$200)-SUMIF(itens_Consumidos!$A$2:$A$200,J212,itens_Consumidos!$O$2:$O$200)&lt;0,0,SUMIF(itens_Consumidos!$A$2:$A$200,J212,itens_Consumidos!$B$2:$B$200)-SUMIF(itens_Consumidos!$A$2:$A$200,J212,itens_Consumidos!$O$2:$O$200)))</f>
        <v/>
      </c>
      <c r="M212" s="141" t="str">
        <f>IF(J212="","",itens_Remanesc!C160)</f>
        <v/>
      </c>
      <c r="N212" s="141" t="str">
        <f>IF(J212="","",IF($F$4="C0",historico_VU!C160,IF($F$4="C1",historico_VU!D160,IF($F$4="C2",historico_VU!E160,IF($F$4="C3",historico_VU!F160,historico_VU!G160)))))</f>
        <v/>
      </c>
      <c r="O212" s="141" t="str">
        <f t="shared" si="13"/>
        <v/>
      </c>
      <c r="P212" s="141" t="str">
        <f t="shared" si="14"/>
        <v/>
      </c>
      <c r="Q212" s="142" t="str">
        <f t="shared" si="15"/>
        <v/>
      </c>
    </row>
    <row r="213" spans="1:17" hidden="1" outlineLevel="1" x14ac:dyDescent="0.35">
      <c r="A213" s="137" t="str">
        <f>IF(historico_VU!A161="","",historico_VU!A161)</f>
        <v/>
      </c>
      <c r="B213" s="138" t="str">
        <f>IF(A213="","",historico_VU!B161)</f>
        <v/>
      </c>
      <c r="C213" s="139" t="str">
        <f>IF(A213="","",historico_VU!C161)</f>
        <v/>
      </c>
      <c r="D213" s="139" t="str">
        <f>IF(A213="","",historico_VU!D161)</f>
        <v/>
      </c>
      <c r="E213" s="139" t="str">
        <f>IF(A213="","",historico_VU!E161)</f>
        <v/>
      </c>
      <c r="F213" s="139" t="str">
        <f>IF(A213="","",historico_VU!F161)</f>
        <v/>
      </c>
      <c r="G213" s="139" t="str">
        <f>IF(A213="","",historico_VU!G161)</f>
        <v/>
      </c>
      <c r="H213" s="140" t="str">
        <f>IF(A213="","",historico_VU!H161)</f>
        <v/>
      </c>
      <c r="I213" s="57"/>
      <c r="J213" s="137" t="str">
        <f>IF(itens_Remanesc!A161="","",itens_Remanesc!A161)</f>
        <v/>
      </c>
      <c r="K213" s="138" t="str">
        <f>IF(J213="","",IF($F$4="C0",itens_Remanesc!B161,IF($F$4="C1",itens_Remanesc!E161,IF($F$4="C2",itens_Remanesc!G161,IF($F$4="C3",itens_Remanesc!I161,itens_Remanesc!K161)))))</f>
        <v/>
      </c>
      <c r="L213" s="138" t="str">
        <f>IF(J213="","",IF(SUMIF(itens_Consumidos!$A$2:$A$200,J213,itens_Consumidos!$B$2:$B$200)-SUMIF(itens_Consumidos!$A$2:$A$200,J213,itens_Consumidos!$O$2:$O$200)&lt;0,0,SUMIF(itens_Consumidos!$A$2:$A$200,J213,itens_Consumidos!$B$2:$B$200)-SUMIF(itens_Consumidos!$A$2:$A$200,J213,itens_Consumidos!$O$2:$O$200)))</f>
        <v/>
      </c>
      <c r="M213" s="141" t="str">
        <f>IF(J213="","",itens_Remanesc!C161)</f>
        <v/>
      </c>
      <c r="N213" s="141" t="str">
        <f>IF(J213="","",IF($F$4="C0",historico_VU!C161,IF($F$4="C1",historico_VU!D161,IF($F$4="C2",historico_VU!E161,IF($F$4="C3",historico_VU!F161,historico_VU!G161)))))</f>
        <v/>
      </c>
      <c r="O213" s="141" t="str">
        <f t="shared" si="13"/>
        <v/>
      </c>
      <c r="P213" s="141" t="str">
        <f t="shared" si="14"/>
        <v/>
      </c>
      <c r="Q213" s="142" t="str">
        <f t="shared" si="15"/>
        <v/>
      </c>
    </row>
    <row r="214" spans="1:17" hidden="1" outlineLevel="1" x14ac:dyDescent="0.35">
      <c r="A214" s="137" t="str">
        <f>IF(historico_VU!A162="","",historico_VU!A162)</f>
        <v/>
      </c>
      <c r="B214" s="138" t="str">
        <f>IF(A214="","",historico_VU!B162)</f>
        <v/>
      </c>
      <c r="C214" s="139" t="str">
        <f>IF(A214="","",historico_VU!C162)</f>
        <v/>
      </c>
      <c r="D214" s="139" t="str">
        <f>IF(A214="","",historico_VU!D162)</f>
        <v/>
      </c>
      <c r="E214" s="139" t="str">
        <f>IF(A214="","",historico_VU!E162)</f>
        <v/>
      </c>
      <c r="F214" s="139" t="str">
        <f>IF(A214="","",historico_VU!F162)</f>
        <v/>
      </c>
      <c r="G214" s="139" t="str">
        <f>IF(A214="","",historico_VU!G162)</f>
        <v/>
      </c>
      <c r="H214" s="140" t="str">
        <f>IF(A214="","",historico_VU!H162)</f>
        <v/>
      </c>
      <c r="I214" s="57"/>
      <c r="J214" s="137" t="str">
        <f>IF(itens_Remanesc!A162="","",itens_Remanesc!A162)</f>
        <v/>
      </c>
      <c r="K214" s="138" t="str">
        <f>IF(J214="","",IF($F$4="C0",itens_Remanesc!B162,IF($F$4="C1",itens_Remanesc!E162,IF($F$4="C2",itens_Remanesc!G162,IF($F$4="C3",itens_Remanesc!I162,itens_Remanesc!K162)))))</f>
        <v/>
      </c>
      <c r="L214" s="138" t="str">
        <f>IF(J214="","",IF(SUMIF(itens_Consumidos!$A$2:$A$200,J214,itens_Consumidos!$B$2:$B$200)-SUMIF(itens_Consumidos!$A$2:$A$200,J214,itens_Consumidos!$O$2:$O$200)&lt;0,0,SUMIF(itens_Consumidos!$A$2:$A$200,J214,itens_Consumidos!$B$2:$B$200)-SUMIF(itens_Consumidos!$A$2:$A$200,J214,itens_Consumidos!$O$2:$O$200)))</f>
        <v/>
      </c>
      <c r="M214" s="141" t="str">
        <f>IF(J214="","",itens_Remanesc!C162)</f>
        <v/>
      </c>
      <c r="N214" s="141" t="str">
        <f>IF(J214="","",IF($F$4="C0",historico_VU!C162,IF($F$4="C1",historico_VU!D162,IF($F$4="C2",historico_VU!E162,IF($F$4="C3",historico_VU!F162,historico_VU!G162)))))</f>
        <v/>
      </c>
      <c r="O214" s="141" t="str">
        <f t="shared" ref="O214:O245" si="16">IF(J214="","",IF(OR($B$4="Financeiro",$B$4="PCs"),IF(OR(K214="",M214=""),"",ROUND(K214*M214,2)),IF($B$4="Itens",IF(OR(L214="",M214=""),"",ROUND(L214*M214,2)),"")))</f>
        <v/>
      </c>
      <c r="P214" s="141" t="str">
        <f t="shared" ref="P214:P245" si="17">IF(J214="","",IF(OR($B$4="Financeiro",$B$4="PCs"),IF(OR(K214="",N214=""),"",ROUND(K214*N214,2)),IF($B$4="Itens",IF(OR(L214="",N214=""),"",ROUND(L214*N214,2)),"")))</f>
        <v/>
      </c>
      <c r="Q214" s="142" t="str">
        <f t="shared" ref="Q214:Q245" si="18">IF(J214="","",IF(OR(M214="",AND(OR($B$4="Financeiro",$B$4="PCs"),K214=""),AND($B$4="Itens",L214="")),"INCOMPLETO",IF(AND(ISNUMBER(K214),ISNUMBER(L214),ABS(K214-L214)/MAX(ABS(IF(OR($B$4="Financeiro",$B$4="PCs"),K214,L214)),1)&gt;$D$4),"DIVERGENTE","OK")))</f>
        <v/>
      </c>
    </row>
    <row r="215" spans="1:17" hidden="1" outlineLevel="1" x14ac:dyDescent="0.35">
      <c r="A215" s="137" t="str">
        <f>IF(historico_VU!A163="","",historico_VU!A163)</f>
        <v/>
      </c>
      <c r="B215" s="138" t="str">
        <f>IF(A215="","",historico_VU!B163)</f>
        <v/>
      </c>
      <c r="C215" s="139" t="str">
        <f>IF(A215="","",historico_VU!C163)</f>
        <v/>
      </c>
      <c r="D215" s="139" t="str">
        <f>IF(A215="","",historico_VU!D163)</f>
        <v/>
      </c>
      <c r="E215" s="139" t="str">
        <f>IF(A215="","",historico_VU!E163)</f>
        <v/>
      </c>
      <c r="F215" s="139" t="str">
        <f>IF(A215="","",historico_VU!F163)</f>
        <v/>
      </c>
      <c r="G215" s="139" t="str">
        <f>IF(A215="","",historico_VU!G163)</f>
        <v/>
      </c>
      <c r="H215" s="140" t="str">
        <f>IF(A215="","",historico_VU!H163)</f>
        <v/>
      </c>
      <c r="I215" s="57"/>
      <c r="J215" s="137" t="str">
        <f>IF(itens_Remanesc!A163="","",itens_Remanesc!A163)</f>
        <v/>
      </c>
      <c r="K215" s="138" t="str">
        <f>IF(J215="","",IF($F$4="C0",itens_Remanesc!B163,IF($F$4="C1",itens_Remanesc!E163,IF($F$4="C2",itens_Remanesc!G163,IF($F$4="C3",itens_Remanesc!I163,itens_Remanesc!K163)))))</f>
        <v/>
      </c>
      <c r="L215" s="138" t="str">
        <f>IF(J215="","",IF(SUMIF(itens_Consumidos!$A$2:$A$200,J215,itens_Consumidos!$B$2:$B$200)-SUMIF(itens_Consumidos!$A$2:$A$200,J215,itens_Consumidos!$O$2:$O$200)&lt;0,0,SUMIF(itens_Consumidos!$A$2:$A$200,J215,itens_Consumidos!$B$2:$B$200)-SUMIF(itens_Consumidos!$A$2:$A$200,J215,itens_Consumidos!$O$2:$O$200)))</f>
        <v/>
      </c>
      <c r="M215" s="141" t="str">
        <f>IF(J215="","",itens_Remanesc!C163)</f>
        <v/>
      </c>
      <c r="N215" s="141" t="str">
        <f>IF(J215="","",IF($F$4="C0",historico_VU!C163,IF($F$4="C1",historico_VU!D163,IF($F$4="C2",historico_VU!E163,IF($F$4="C3",historico_VU!F163,historico_VU!G163)))))</f>
        <v/>
      </c>
      <c r="O215" s="141" t="str">
        <f t="shared" si="16"/>
        <v/>
      </c>
      <c r="P215" s="141" t="str">
        <f t="shared" si="17"/>
        <v/>
      </c>
      <c r="Q215" s="142" t="str">
        <f t="shared" si="18"/>
        <v/>
      </c>
    </row>
    <row r="216" spans="1:17" hidden="1" outlineLevel="1" x14ac:dyDescent="0.35">
      <c r="A216" s="137" t="str">
        <f>IF(historico_VU!A164="","",historico_VU!A164)</f>
        <v/>
      </c>
      <c r="B216" s="138" t="str">
        <f>IF(A216="","",historico_VU!B164)</f>
        <v/>
      </c>
      <c r="C216" s="139" t="str">
        <f>IF(A216="","",historico_VU!C164)</f>
        <v/>
      </c>
      <c r="D216" s="139" t="str">
        <f>IF(A216="","",historico_VU!D164)</f>
        <v/>
      </c>
      <c r="E216" s="139" t="str">
        <f>IF(A216="","",historico_VU!E164)</f>
        <v/>
      </c>
      <c r="F216" s="139" t="str">
        <f>IF(A216="","",historico_VU!F164)</f>
        <v/>
      </c>
      <c r="G216" s="139" t="str">
        <f>IF(A216="","",historico_VU!G164)</f>
        <v/>
      </c>
      <c r="H216" s="140" t="str">
        <f>IF(A216="","",historico_VU!H164)</f>
        <v/>
      </c>
      <c r="I216" s="57"/>
      <c r="J216" s="137" t="str">
        <f>IF(itens_Remanesc!A164="","",itens_Remanesc!A164)</f>
        <v/>
      </c>
      <c r="K216" s="138" t="str">
        <f>IF(J216="","",IF($F$4="C0",itens_Remanesc!B164,IF($F$4="C1",itens_Remanesc!E164,IF($F$4="C2",itens_Remanesc!G164,IF($F$4="C3",itens_Remanesc!I164,itens_Remanesc!K164)))))</f>
        <v/>
      </c>
      <c r="L216" s="138" t="str">
        <f>IF(J216="","",IF(SUMIF(itens_Consumidos!$A$2:$A$200,J216,itens_Consumidos!$B$2:$B$200)-SUMIF(itens_Consumidos!$A$2:$A$200,J216,itens_Consumidos!$O$2:$O$200)&lt;0,0,SUMIF(itens_Consumidos!$A$2:$A$200,J216,itens_Consumidos!$B$2:$B$200)-SUMIF(itens_Consumidos!$A$2:$A$200,J216,itens_Consumidos!$O$2:$O$200)))</f>
        <v/>
      </c>
      <c r="M216" s="141" t="str">
        <f>IF(J216="","",itens_Remanesc!C164)</f>
        <v/>
      </c>
      <c r="N216" s="141" t="str">
        <f>IF(J216="","",IF($F$4="C0",historico_VU!C164,IF($F$4="C1",historico_VU!D164,IF($F$4="C2",historico_VU!E164,IF($F$4="C3",historico_VU!F164,historico_VU!G164)))))</f>
        <v/>
      </c>
      <c r="O216" s="141" t="str">
        <f t="shared" si="16"/>
        <v/>
      </c>
      <c r="P216" s="141" t="str">
        <f t="shared" si="17"/>
        <v/>
      </c>
      <c r="Q216" s="142" t="str">
        <f t="shared" si="18"/>
        <v/>
      </c>
    </row>
    <row r="217" spans="1:17" hidden="1" outlineLevel="1" x14ac:dyDescent="0.35">
      <c r="A217" s="137" t="str">
        <f>IF(historico_VU!A165="","",historico_VU!A165)</f>
        <v/>
      </c>
      <c r="B217" s="138" t="str">
        <f>IF(A217="","",historico_VU!B165)</f>
        <v/>
      </c>
      <c r="C217" s="139" t="str">
        <f>IF(A217="","",historico_VU!C165)</f>
        <v/>
      </c>
      <c r="D217" s="139" t="str">
        <f>IF(A217="","",historico_VU!D165)</f>
        <v/>
      </c>
      <c r="E217" s="139" t="str">
        <f>IF(A217="","",historico_VU!E165)</f>
        <v/>
      </c>
      <c r="F217" s="139" t="str">
        <f>IF(A217="","",historico_VU!F165)</f>
        <v/>
      </c>
      <c r="G217" s="139" t="str">
        <f>IF(A217="","",historico_VU!G165)</f>
        <v/>
      </c>
      <c r="H217" s="140" t="str">
        <f>IF(A217="","",historico_VU!H165)</f>
        <v/>
      </c>
      <c r="I217" s="57"/>
      <c r="J217" s="137" t="str">
        <f>IF(itens_Remanesc!A165="","",itens_Remanesc!A165)</f>
        <v/>
      </c>
      <c r="K217" s="138" t="str">
        <f>IF(J217="","",IF($F$4="C0",itens_Remanesc!B165,IF($F$4="C1",itens_Remanesc!E165,IF($F$4="C2",itens_Remanesc!G165,IF($F$4="C3",itens_Remanesc!I165,itens_Remanesc!K165)))))</f>
        <v/>
      </c>
      <c r="L217" s="138" t="str">
        <f>IF(J217="","",IF(SUMIF(itens_Consumidos!$A$2:$A$200,J217,itens_Consumidos!$B$2:$B$200)-SUMIF(itens_Consumidos!$A$2:$A$200,J217,itens_Consumidos!$O$2:$O$200)&lt;0,0,SUMIF(itens_Consumidos!$A$2:$A$200,J217,itens_Consumidos!$B$2:$B$200)-SUMIF(itens_Consumidos!$A$2:$A$200,J217,itens_Consumidos!$O$2:$O$200)))</f>
        <v/>
      </c>
      <c r="M217" s="141" t="str">
        <f>IF(J217="","",itens_Remanesc!C165)</f>
        <v/>
      </c>
      <c r="N217" s="141" t="str">
        <f>IF(J217="","",IF($F$4="C0",historico_VU!C165,IF($F$4="C1",historico_VU!D165,IF($F$4="C2",historico_VU!E165,IF($F$4="C3",historico_VU!F165,historico_VU!G165)))))</f>
        <v/>
      </c>
      <c r="O217" s="141" t="str">
        <f t="shared" si="16"/>
        <v/>
      </c>
      <c r="P217" s="141" t="str">
        <f t="shared" si="17"/>
        <v/>
      </c>
      <c r="Q217" s="142" t="str">
        <f t="shared" si="18"/>
        <v/>
      </c>
    </row>
    <row r="218" spans="1:17" hidden="1" outlineLevel="1" x14ac:dyDescent="0.35">
      <c r="A218" s="137" t="str">
        <f>IF(historico_VU!A166="","",historico_VU!A166)</f>
        <v/>
      </c>
      <c r="B218" s="138" t="str">
        <f>IF(A218="","",historico_VU!B166)</f>
        <v/>
      </c>
      <c r="C218" s="139" t="str">
        <f>IF(A218="","",historico_VU!C166)</f>
        <v/>
      </c>
      <c r="D218" s="139" t="str">
        <f>IF(A218="","",historico_VU!D166)</f>
        <v/>
      </c>
      <c r="E218" s="139" t="str">
        <f>IF(A218="","",historico_VU!E166)</f>
        <v/>
      </c>
      <c r="F218" s="139" t="str">
        <f>IF(A218="","",historico_VU!F166)</f>
        <v/>
      </c>
      <c r="G218" s="139" t="str">
        <f>IF(A218="","",historico_VU!G166)</f>
        <v/>
      </c>
      <c r="H218" s="140" t="str">
        <f>IF(A218="","",historico_VU!H166)</f>
        <v/>
      </c>
      <c r="I218" s="57"/>
      <c r="J218" s="137" t="str">
        <f>IF(itens_Remanesc!A166="","",itens_Remanesc!A166)</f>
        <v/>
      </c>
      <c r="K218" s="138" t="str">
        <f>IF(J218="","",IF($F$4="C0",itens_Remanesc!B166,IF($F$4="C1",itens_Remanesc!E166,IF($F$4="C2",itens_Remanesc!G166,IF($F$4="C3",itens_Remanesc!I166,itens_Remanesc!K166)))))</f>
        <v/>
      </c>
      <c r="L218" s="138" t="str">
        <f>IF(J218="","",IF(SUMIF(itens_Consumidos!$A$2:$A$200,J218,itens_Consumidos!$B$2:$B$200)-SUMIF(itens_Consumidos!$A$2:$A$200,J218,itens_Consumidos!$O$2:$O$200)&lt;0,0,SUMIF(itens_Consumidos!$A$2:$A$200,J218,itens_Consumidos!$B$2:$B$200)-SUMIF(itens_Consumidos!$A$2:$A$200,J218,itens_Consumidos!$O$2:$O$200)))</f>
        <v/>
      </c>
      <c r="M218" s="141" t="str">
        <f>IF(J218="","",itens_Remanesc!C166)</f>
        <v/>
      </c>
      <c r="N218" s="141" t="str">
        <f>IF(J218="","",IF($F$4="C0",historico_VU!C166,IF($F$4="C1",historico_VU!D166,IF($F$4="C2",historico_VU!E166,IF($F$4="C3",historico_VU!F166,historico_VU!G166)))))</f>
        <v/>
      </c>
      <c r="O218" s="141" t="str">
        <f t="shared" si="16"/>
        <v/>
      </c>
      <c r="P218" s="141" t="str">
        <f t="shared" si="17"/>
        <v/>
      </c>
      <c r="Q218" s="142" t="str">
        <f t="shared" si="18"/>
        <v/>
      </c>
    </row>
    <row r="219" spans="1:17" hidden="1" outlineLevel="1" x14ac:dyDescent="0.35">
      <c r="A219" s="137" t="str">
        <f>IF(historico_VU!A167="","",historico_VU!A167)</f>
        <v/>
      </c>
      <c r="B219" s="138" t="str">
        <f>IF(A219="","",historico_VU!B167)</f>
        <v/>
      </c>
      <c r="C219" s="139" t="str">
        <f>IF(A219="","",historico_VU!C167)</f>
        <v/>
      </c>
      <c r="D219" s="139" t="str">
        <f>IF(A219="","",historico_VU!D167)</f>
        <v/>
      </c>
      <c r="E219" s="139" t="str">
        <f>IF(A219="","",historico_VU!E167)</f>
        <v/>
      </c>
      <c r="F219" s="139" t="str">
        <f>IF(A219="","",historico_VU!F167)</f>
        <v/>
      </c>
      <c r="G219" s="139" t="str">
        <f>IF(A219="","",historico_VU!G167)</f>
        <v/>
      </c>
      <c r="H219" s="140" t="str">
        <f>IF(A219="","",historico_VU!H167)</f>
        <v/>
      </c>
      <c r="I219" s="57"/>
      <c r="J219" s="137" t="str">
        <f>IF(itens_Remanesc!A167="","",itens_Remanesc!A167)</f>
        <v/>
      </c>
      <c r="K219" s="138" t="str">
        <f>IF(J219="","",IF($F$4="C0",itens_Remanesc!B167,IF($F$4="C1",itens_Remanesc!E167,IF($F$4="C2",itens_Remanesc!G167,IF($F$4="C3",itens_Remanesc!I167,itens_Remanesc!K167)))))</f>
        <v/>
      </c>
      <c r="L219" s="138" t="str">
        <f>IF(J219="","",IF(SUMIF(itens_Consumidos!$A$2:$A$200,J219,itens_Consumidos!$B$2:$B$200)-SUMIF(itens_Consumidos!$A$2:$A$200,J219,itens_Consumidos!$O$2:$O$200)&lt;0,0,SUMIF(itens_Consumidos!$A$2:$A$200,J219,itens_Consumidos!$B$2:$B$200)-SUMIF(itens_Consumidos!$A$2:$A$200,J219,itens_Consumidos!$O$2:$O$200)))</f>
        <v/>
      </c>
      <c r="M219" s="141" t="str">
        <f>IF(J219="","",itens_Remanesc!C167)</f>
        <v/>
      </c>
      <c r="N219" s="141" t="str">
        <f>IF(J219="","",IF($F$4="C0",historico_VU!C167,IF($F$4="C1",historico_VU!D167,IF($F$4="C2",historico_VU!E167,IF($F$4="C3",historico_VU!F167,historico_VU!G167)))))</f>
        <v/>
      </c>
      <c r="O219" s="141" t="str">
        <f t="shared" si="16"/>
        <v/>
      </c>
      <c r="P219" s="141" t="str">
        <f t="shared" si="17"/>
        <v/>
      </c>
      <c r="Q219" s="142" t="str">
        <f t="shared" si="18"/>
        <v/>
      </c>
    </row>
    <row r="220" spans="1:17" hidden="1" outlineLevel="1" x14ac:dyDescent="0.35">
      <c r="A220" s="137" t="str">
        <f>IF(historico_VU!A168="","",historico_VU!A168)</f>
        <v/>
      </c>
      <c r="B220" s="138" t="str">
        <f>IF(A220="","",historico_VU!B168)</f>
        <v/>
      </c>
      <c r="C220" s="139" t="str">
        <f>IF(A220="","",historico_VU!C168)</f>
        <v/>
      </c>
      <c r="D220" s="139" t="str">
        <f>IF(A220="","",historico_VU!D168)</f>
        <v/>
      </c>
      <c r="E220" s="139" t="str">
        <f>IF(A220="","",historico_VU!E168)</f>
        <v/>
      </c>
      <c r="F220" s="139" t="str">
        <f>IF(A220="","",historico_VU!F168)</f>
        <v/>
      </c>
      <c r="G220" s="139" t="str">
        <f>IF(A220="","",historico_VU!G168)</f>
        <v/>
      </c>
      <c r="H220" s="140" t="str">
        <f>IF(A220="","",historico_VU!H168)</f>
        <v/>
      </c>
      <c r="I220" s="57"/>
      <c r="J220" s="137" t="str">
        <f>IF(itens_Remanesc!A168="","",itens_Remanesc!A168)</f>
        <v/>
      </c>
      <c r="K220" s="138" t="str">
        <f>IF(J220="","",IF($F$4="C0",itens_Remanesc!B168,IF($F$4="C1",itens_Remanesc!E168,IF($F$4="C2",itens_Remanesc!G168,IF($F$4="C3",itens_Remanesc!I168,itens_Remanesc!K168)))))</f>
        <v/>
      </c>
      <c r="L220" s="138" t="str">
        <f>IF(J220="","",IF(SUMIF(itens_Consumidos!$A$2:$A$200,J220,itens_Consumidos!$B$2:$B$200)-SUMIF(itens_Consumidos!$A$2:$A$200,J220,itens_Consumidos!$O$2:$O$200)&lt;0,0,SUMIF(itens_Consumidos!$A$2:$A$200,J220,itens_Consumidos!$B$2:$B$200)-SUMIF(itens_Consumidos!$A$2:$A$200,J220,itens_Consumidos!$O$2:$O$200)))</f>
        <v/>
      </c>
      <c r="M220" s="141" t="str">
        <f>IF(J220="","",itens_Remanesc!C168)</f>
        <v/>
      </c>
      <c r="N220" s="141" t="str">
        <f>IF(J220="","",IF($F$4="C0",historico_VU!C168,IF($F$4="C1",historico_VU!D168,IF($F$4="C2",historico_VU!E168,IF($F$4="C3",historico_VU!F168,historico_VU!G168)))))</f>
        <v/>
      </c>
      <c r="O220" s="141" t="str">
        <f t="shared" si="16"/>
        <v/>
      </c>
      <c r="P220" s="141" t="str">
        <f t="shared" si="17"/>
        <v/>
      </c>
      <c r="Q220" s="142" t="str">
        <f t="shared" si="18"/>
        <v/>
      </c>
    </row>
    <row r="221" spans="1:17" hidden="1" outlineLevel="1" x14ac:dyDescent="0.35">
      <c r="A221" s="137" t="str">
        <f>IF(historico_VU!A169="","",historico_VU!A169)</f>
        <v/>
      </c>
      <c r="B221" s="138" t="str">
        <f>IF(A221="","",historico_VU!B169)</f>
        <v/>
      </c>
      <c r="C221" s="139" t="str">
        <f>IF(A221="","",historico_VU!C169)</f>
        <v/>
      </c>
      <c r="D221" s="139" t="str">
        <f>IF(A221="","",historico_VU!D169)</f>
        <v/>
      </c>
      <c r="E221" s="139" t="str">
        <f>IF(A221="","",historico_VU!E169)</f>
        <v/>
      </c>
      <c r="F221" s="139" t="str">
        <f>IF(A221="","",historico_VU!F169)</f>
        <v/>
      </c>
      <c r="G221" s="139" t="str">
        <f>IF(A221="","",historico_VU!G169)</f>
        <v/>
      </c>
      <c r="H221" s="140" t="str">
        <f>IF(A221="","",historico_VU!H169)</f>
        <v/>
      </c>
      <c r="I221" s="57"/>
      <c r="J221" s="137" t="str">
        <f>IF(itens_Remanesc!A169="","",itens_Remanesc!A169)</f>
        <v/>
      </c>
      <c r="K221" s="138" t="str">
        <f>IF(J221="","",IF($F$4="C0",itens_Remanesc!B169,IF($F$4="C1",itens_Remanesc!E169,IF($F$4="C2",itens_Remanesc!G169,IF($F$4="C3",itens_Remanesc!I169,itens_Remanesc!K169)))))</f>
        <v/>
      </c>
      <c r="L221" s="138" t="str">
        <f>IF(J221="","",IF(SUMIF(itens_Consumidos!$A$2:$A$200,J221,itens_Consumidos!$B$2:$B$200)-SUMIF(itens_Consumidos!$A$2:$A$200,J221,itens_Consumidos!$O$2:$O$200)&lt;0,0,SUMIF(itens_Consumidos!$A$2:$A$200,J221,itens_Consumidos!$B$2:$B$200)-SUMIF(itens_Consumidos!$A$2:$A$200,J221,itens_Consumidos!$O$2:$O$200)))</f>
        <v/>
      </c>
      <c r="M221" s="141" t="str">
        <f>IF(J221="","",itens_Remanesc!C169)</f>
        <v/>
      </c>
      <c r="N221" s="141" t="str">
        <f>IF(J221="","",IF($F$4="C0",historico_VU!C169,IF($F$4="C1",historico_VU!D169,IF($F$4="C2",historico_VU!E169,IF($F$4="C3",historico_VU!F169,historico_VU!G169)))))</f>
        <v/>
      </c>
      <c r="O221" s="141" t="str">
        <f t="shared" si="16"/>
        <v/>
      </c>
      <c r="P221" s="141" t="str">
        <f t="shared" si="17"/>
        <v/>
      </c>
      <c r="Q221" s="142" t="str">
        <f t="shared" si="18"/>
        <v/>
      </c>
    </row>
    <row r="222" spans="1:17" hidden="1" outlineLevel="1" x14ac:dyDescent="0.35">
      <c r="A222" s="137" t="str">
        <f>IF(historico_VU!A170="","",historico_VU!A170)</f>
        <v/>
      </c>
      <c r="B222" s="138" t="str">
        <f>IF(A222="","",historico_VU!B170)</f>
        <v/>
      </c>
      <c r="C222" s="139" t="str">
        <f>IF(A222="","",historico_VU!C170)</f>
        <v/>
      </c>
      <c r="D222" s="139" t="str">
        <f>IF(A222="","",historico_VU!D170)</f>
        <v/>
      </c>
      <c r="E222" s="139" t="str">
        <f>IF(A222="","",historico_VU!E170)</f>
        <v/>
      </c>
      <c r="F222" s="139" t="str">
        <f>IF(A222="","",historico_VU!F170)</f>
        <v/>
      </c>
      <c r="G222" s="139" t="str">
        <f>IF(A222="","",historico_VU!G170)</f>
        <v/>
      </c>
      <c r="H222" s="140" t="str">
        <f>IF(A222="","",historico_VU!H170)</f>
        <v/>
      </c>
      <c r="I222" s="57"/>
      <c r="J222" s="137" t="str">
        <f>IF(itens_Remanesc!A170="","",itens_Remanesc!A170)</f>
        <v/>
      </c>
      <c r="K222" s="138" t="str">
        <f>IF(J222="","",IF($F$4="C0",itens_Remanesc!B170,IF($F$4="C1",itens_Remanesc!E170,IF($F$4="C2",itens_Remanesc!G170,IF($F$4="C3",itens_Remanesc!I170,itens_Remanesc!K170)))))</f>
        <v/>
      </c>
      <c r="L222" s="138" t="str">
        <f>IF(J222="","",IF(SUMIF(itens_Consumidos!$A$2:$A$200,J222,itens_Consumidos!$B$2:$B$200)-SUMIF(itens_Consumidos!$A$2:$A$200,J222,itens_Consumidos!$O$2:$O$200)&lt;0,0,SUMIF(itens_Consumidos!$A$2:$A$200,J222,itens_Consumidos!$B$2:$B$200)-SUMIF(itens_Consumidos!$A$2:$A$200,J222,itens_Consumidos!$O$2:$O$200)))</f>
        <v/>
      </c>
      <c r="M222" s="141" t="str">
        <f>IF(J222="","",itens_Remanesc!C170)</f>
        <v/>
      </c>
      <c r="N222" s="141" t="str">
        <f>IF(J222="","",IF($F$4="C0",historico_VU!C170,IF($F$4="C1",historico_VU!D170,IF($F$4="C2",historico_VU!E170,IF($F$4="C3",historico_VU!F170,historico_VU!G170)))))</f>
        <v/>
      </c>
      <c r="O222" s="141" t="str">
        <f t="shared" si="16"/>
        <v/>
      </c>
      <c r="P222" s="141" t="str">
        <f t="shared" si="17"/>
        <v/>
      </c>
      <c r="Q222" s="142" t="str">
        <f t="shared" si="18"/>
        <v/>
      </c>
    </row>
    <row r="223" spans="1:17" hidden="1" outlineLevel="1" x14ac:dyDescent="0.35">
      <c r="A223" s="137" t="str">
        <f>IF(historico_VU!A171="","",historico_VU!A171)</f>
        <v/>
      </c>
      <c r="B223" s="138" t="str">
        <f>IF(A223="","",historico_VU!B171)</f>
        <v/>
      </c>
      <c r="C223" s="139" t="str">
        <f>IF(A223="","",historico_VU!C171)</f>
        <v/>
      </c>
      <c r="D223" s="139" t="str">
        <f>IF(A223="","",historico_VU!D171)</f>
        <v/>
      </c>
      <c r="E223" s="139" t="str">
        <f>IF(A223="","",historico_VU!E171)</f>
        <v/>
      </c>
      <c r="F223" s="139" t="str">
        <f>IF(A223="","",historico_VU!F171)</f>
        <v/>
      </c>
      <c r="G223" s="139" t="str">
        <f>IF(A223="","",historico_VU!G171)</f>
        <v/>
      </c>
      <c r="H223" s="140" t="str">
        <f>IF(A223="","",historico_VU!H171)</f>
        <v/>
      </c>
      <c r="I223" s="57"/>
      <c r="J223" s="137" t="str">
        <f>IF(itens_Remanesc!A171="","",itens_Remanesc!A171)</f>
        <v/>
      </c>
      <c r="K223" s="138" t="str">
        <f>IF(J223="","",IF($F$4="C0",itens_Remanesc!B171,IF($F$4="C1",itens_Remanesc!E171,IF($F$4="C2",itens_Remanesc!G171,IF($F$4="C3",itens_Remanesc!I171,itens_Remanesc!K171)))))</f>
        <v/>
      </c>
      <c r="L223" s="138" t="str">
        <f>IF(J223="","",IF(SUMIF(itens_Consumidos!$A$2:$A$200,J223,itens_Consumidos!$B$2:$B$200)-SUMIF(itens_Consumidos!$A$2:$A$200,J223,itens_Consumidos!$O$2:$O$200)&lt;0,0,SUMIF(itens_Consumidos!$A$2:$A$200,J223,itens_Consumidos!$B$2:$B$200)-SUMIF(itens_Consumidos!$A$2:$A$200,J223,itens_Consumidos!$O$2:$O$200)))</f>
        <v/>
      </c>
      <c r="M223" s="141" t="str">
        <f>IF(J223="","",itens_Remanesc!C171)</f>
        <v/>
      </c>
      <c r="N223" s="141" t="str">
        <f>IF(J223="","",IF($F$4="C0",historico_VU!C171,IF($F$4="C1",historico_VU!D171,IF($F$4="C2",historico_VU!E171,IF($F$4="C3",historico_VU!F171,historico_VU!G171)))))</f>
        <v/>
      </c>
      <c r="O223" s="141" t="str">
        <f t="shared" si="16"/>
        <v/>
      </c>
      <c r="P223" s="141" t="str">
        <f t="shared" si="17"/>
        <v/>
      </c>
      <c r="Q223" s="142" t="str">
        <f t="shared" si="18"/>
        <v/>
      </c>
    </row>
    <row r="224" spans="1:17" hidden="1" outlineLevel="1" x14ac:dyDescent="0.35">
      <c r="A224" s="137" t="str">
        <f>IF(historico_VU!A172="","",historico_VU!A172)</f>
        <v/>
      </c>
      <c r="B224" s="138" t="str">
        <f>IF(A224="","",historico_VU!B172)</f>
        <v/>
      </c>
      <c r="C224" s="139" t="str">
        <f>IF(A224="","",historico_VU!C172)</f>
        <v/>
      </c>
      <c r="D224" s="139" t="str">
        <f>IF(A224="","",historico_VU!D172)</f>
        <v/>
      </c>
      <c r="E224" s="139" t="str">
        <f>IF(A224="","",historico_VU!E172)</f>
        <v/>
      </c>
      <c r="F224" s="139" t="str">
        <f>IF(A224="","",historico_VU!F172)</f>
        <v/>
      </c>
      <c r="G224" s="139" t="str">
        <f>IF(A224="","",historico_VU!G172)</f>
        <v/>
      </c>
      <c r="H224" s="140" t="str">
        <f>IF(A224="","",historico_VU!H172)</f>
        <v/>
      </c>
      <c r="I224" s="57"/>
      <c r="J224" s="137" t="str">
        <f>IF(itens_Remanesc!A172="","",itens_Remanesc!A172)</f>
        <v/>
      </c>
      <c r="K224" s="138" t="str">
        <f>IF(J224="","",IF($F$4="C0",itens_Remanesc!B172,IF($F$4="C1",itens_Remanesc!E172,IF($F$4="C2",itens_Remanesc!G172,IF($F$4="C3",itens_Remanesc!I172,itens_Remanesc!K172)))))</f>
        <v/>
      </c>
      <c r="L224" s="138" t="str">
        <f>IF(J224="","",IF(SUMIF(itens_Consumidos!$A$2:$A$200,J224,itens_Consumidos!$B$2:$B$200)-SUMIF(itens_Consumidos!$A$2:$A$200,J224,itens_Consumidos!$O$2:$O$200)&lt;0,0,SUMIF(itens_Consumidos!$A$2:$A$200,J224,itens_Consumidos!$B$2:$B$200)-SUMIF(itens_Consumidos!$A$2:$A$200,J224,itens_Consumidos!$O$2:$O$200)))</f>
        <v/>
      </c>
      <c r="M224" s="141" t="str">
        <f>IF(J224="","",itens_Remanesc!C172)</f>
        <v/>
      </c>
      <c r="N224" s="141" t="str">
        <f>IF(J224="","",IF($F$4="C0",historico_VU!C172,IF($F$4="C1",historico_VU!D172,IF($F$4="C2",historico_VU!E172,IF($F$4="C3",historico_VU!F172,historico_VU!G172)))))</f>
        <v/>
      </c>
      <c r="O224" s="141" t="str">
        <f t="shared" si="16"/>
        <v/>
      </c>
      <c r="P224" s="141" t="str">
        <f t="shared" si="17"/>
        <v/>
      </c>
      <c r="Q224" s="142" t="str">
        <f t="shared" si="18"/>
        <v/>
      </c>
    </row>
    <row r="225" spans="1:17" hidden="1" outlineLevel="1" x14ac:dyDescent="0.35">
      <c r="A225" s="137" t="str">
        <f>IF(historico_VU!A173="","",historico_VU!A173)</f>
        <v/>
      </c>
      <c r="B225" s="138" t="str">
        <f>IF(A225="","",historico_VU!B173)</f>
        <v/>
      </c>
      <c r="C225" s="139" t="str">
        <f>IF(A225="","",historico_VU!C173)</f>
        <v/>
      </c>
      <c r="D225" s="139" t="str">
        <f>IF(A225="","",historico_VU!D173)</f>
        <v/>
      </c>
      <c r="E225" s="139" t="str">
        <f>IF(A225="","",historico_VU!E173)</f>
        <v/>
      </c>
      <c r="F225" s="139" t="str">
        <f>IF(A225="","",historico_VU!F173)</f>
        <v/>
      </c>
      <c r="G225" s="139" t="str">
        <f>IF(A225="","",historico_VU!G173)</f>
        <v/>
      </c>
      <c r="H225" s="140" t="str">
        <f>IF(A225="","",historico_VU!H173)</f>
        <v/>
      </c>
      <c r="I225" s="57"/>
      <c r="J225" s="137" t="str">
        <f>IF(itens_Remanesc!A173="","",itens_Remanesc!A173)</f>
        <v/>
      </c>
      <c r="K225" s="138" t="str">
        <f>IF(J225="","",IF($F$4="C0",itens_Remanesc!B173,IF($F$4="C1",itens_Remanesc!E173,IF($F$4="C2",itens_Remanesc!G173,IF($F$4="C3",itens_Remanesc!I173,itens_Remanesc!K173)))))</f>
        <v/>
      </c>
      <c r="L225" s="138" t="str">
        <f>IF(J225="","",IF(SUMIF(itens_Consumidos!$A$2:$A$200,J225,itens_Consumidos!$B$2:$B$200)-SUMIF(itens_Consumidos!$A$2:$A$200,J225,itens_Consumidos!$O$2:$O$200)&lt;0,0,SUMIF(itens_Consumidos!$A$2:$A$200,J225,itens_Consumidos!$B$2:$B$200)-SUMIF(itens_Consumidos!$A$2:$A$200,J225,itens_Consumidos!$O$2:$O$200)))</f>
        <v/>
      </c>
      <c r="M225" s="141" t="str">
        <f>IF(J225="","",itens_Remanesc!C173)</f>
        <v/>
      </c>
      <c r="N225" s="141" t="str">
        <f>IF(J225="","",IF($F$4="C0",historico_VU!C173,IF($F$4="C1",historico_VU!D173,IF($F$4="C2",historico_VU!E173,IF($F$4="C3",historico_VU!F173,historico_VU!G173)))))</f>
        <v/>
      </c>
      <c r="O225" s="141" t="str">
        <f t="shared" si="16"/>
        <v/>
      </c>
      <c r="P225" s="141" t="str">
        <f t="shared" si="17"/>
        <v/>
      </c>
      <c r="Q225" s="142" t="str">
        <f t="shared" si="18"/>
        <v/>
      </c>
    </row>
    <row r="226" spans="1:17" hidden="1" outlineLevel="1" x14ac:dyDescent="0.35">
      <c r="A226" s="137" t="str">
        <f>IF(historico_VU!A174="","",historico_VU!A174)</f>
        <v/>
      </c>
      <c r="B226" s="138" t="str">
        <f>IF(A226="","",historico_VU!B174)</f>
        <v/>
      </c>
      <c r="C226" s="139" t="str">
        <f>IF(A226="","",historico_VU!C174)</f>
        <v/>
      </c>
      <c r="D226" s="139" t="str">
        <f>IF(A226="","",historico_VU!D174)</f>
        <v/>
      </c>
      <c r="E226" s="139" t="str">
        <f>IF(A226="","",historico_VU!E174)</f>
        <v/>
      </c>
      <c r="F226" s="139" t="str">
        <f>IF(A226="","",historico_VU!F174)</f>
        <v/>
      </c>
      <c r="G226" s="139" t="str">
        <f>IF(A226="","",historico_VU!G174)</f>
        <v/>
      </c>
      <c r="H226" s="140" t="str">
        <f>IF(A226="","",historico_VU!H174)</f>
        <v/>
      </c>
      <c r="I226" s="57"/>
      <c r="J226" s="137" t="str">
        <f>IF(itens_Remanesc!A174="","",itens_Remanesc!A174)</f>
        <v/>
      </c>
      <c r="K226" s="138" t="str">
        <f>IF(J226="","",IF($F$4="C0",itens_Remanesc!B174,IF($F$4="C1",itens_Remanesc!E174,IF($F$4="C2",itens_Remanesc!G174,IF($F$4="C3",itens_Remanesc!I174,itens_Remanesc!K174)))))</f>
        <v/>
      </c>
      <c r="L226" s="138" t="str">
        <f>IF(J226="","",IF(SUMIF(itens_Consumidos!$A$2:$A$200,J226,itens_Consumidos!$B$2:$B$200)-SUMIF(itens_Consumidos!$A$2:$A$200,J226,itens_Consumidos!$O$2:$O$200)&lt;0,0,SUMIF(itens_Consumidos!$A$2:$A$200,J226,itens_Consumidos!$B$2:$B$200)-SUMIF(itens_Consumidos!$A$2:$A$200,J226,itens_Consumidos!$O$2:$O$200)))</f>
        <v/>
      </c>
      <c r="M226" s="141" t="str">
        <f>IF(J226="","",itens_Remanesc!C174)</f>
        <v/>
      </c>
      <c r="N226" s="141" t="str">
        <f>IF(J226="","",IF($F$4="C0",historico_VU!C174,IF($F$4="C1",historico_VU!D174,IF($F$4="C2",historico_VU!E174,IF($F$4="C3",historico_VU!F174,historico_VU!G174)))))</f>
        <v/>
      </c>
      <c r="O226" s="141" t="str">
        <f t="shared" si="16"/>
        <v/>
      </c>
      <c r="P226" s="141" t="str">
        <f t="shared" si="17"/>
        <v/>
      </c>
      <c r="Q226" s="142" t="str">
        <f t="shared" si="18"/>
        <v/>
      </c>
    </row>
    <row r="227" spans="1:17" hidden="1" outlineLevel="1" x14ac:dyDescent="0.35">
      <c r="A227" s="137" t="str">
        <f>IF(historico_VU!A175="","",historico_VU!A175)</f>
        <v/>
      </c>
      <c r="B227" s="138" t="str">
        <f>IF(A227="","",historico_VU!B175)</f>
        <v/>
      </c>
      <c r="C227" s="139" t="str">
        <f>IF(A227="","",historico_VU!C175)</f>
        <v/>
      </c>
      <c r="D227" s="139" t="str">
        <f>IF(A227="","",historico_VU!D175)</f>
        <v/>
      </c>
      <c r="E227" s="139" t="str">
        <f>IF(A227="","",historico_VU!E175)</f>
        <v/>
      </c>
      <c r="F227" s="139" t="str">
        <f>IF(A227="","",historico_VU!F175)</f>
        <v/>
      </c>
      <c r="G227" s="139" t="str">
        <f>IF(A227="","",historico_VU!G175)</f>
        <v/>
      </c>
      <c r="H227" s="140" t="str">
        <f>IF(A227="","",historico_VU!H175)</f>
        <v/>
      </c>
      <c r="I227" s="57"/>
      <c r="J227" s="137" t="str">
        <f>IF(itens_Remanesc!A175="","",itens_Remanesc!A175)</f>
        <v/>
      </c>
      <c r="K227" s="138" t="str">
        <f>IF(J227="","",IF($F$4="C0",itens_Remanesc!B175,IF($F$4="C1",itens_Remanesc!E175,IF($F$4="C2",itens_Remanesc!G175,IF($F$4="C3",itens_Remanesc!I175,itens_Remanesc!K175)))))</f>
        <v/>
      </c>
      <c r="L227" s="138" t="str">
        <f>IF(J227="","",IF(SUMIF(itens_Consumidos!$A$2:$A$200,J227,itens_Consumidos!$B$2:$B$200)-SUMIF(itens_Consumidos!$A$2:$A$200,J227,itens_Consumidos!$O$2:$O$200)&lt;0,0,SUMIF(itens_Consumidos!$A$2:$A$200,J227,itens_Consumidos!$B$2:$B$200)-SUMIF(itens_Consumidos!$A$2:$A$200,J227,itens_Consumidos!$O$2:$O$200)))</f>
        <v/>
      </c>
      <c r="M227" s="141" t="str">
        <f>IF(J227="","",itens_Remanesc!C175)</f>
        <v/>
      </c>
      <c r="N227" s="141" t="str">
        <f>IF(J227="","",IF($F$4="C0",historico_VU!C175,IF($F$4="C1",historico_VU!D175,IF($F$4="C2",historico_VU!E175,IF($F$4="C3",historico_VU!F175,historico_VU!G175)))))</f>
        <v/>
      </c>
      <c r="O227" s="141" t="str">
        <f t="shared" si="16"/>
        <v/>
      </c>
      <c r="P227" s="141" t="str">
        <f t="shared" si="17"/>
        <v/>
      </c>
      <c r="Q227" s="142" t="str">
        <f t="shared" si="18"/>
        <v/>
      </c>
    </row>
    <row r="228" spans="1:17" hidden="1" outlineLevel="1" x14ac:dyDescent="0.35">
      <c r="A228" s="137" t="str">
        <f>IF(historico_VU!A176="","",historico_VU!A176)</f>
        <v/>
      </c>
      <c r="B228" s="138" t="str">
        <f>IF(A228="","",historico_VU!B176)</f>
        <v/>
      </c>
      <c r="C228" s="139" t="str">
        <f>IF(A228="","",historico_VU!C176)</f>
        <v/>
      </c>
      <c r="D228" s="139" t="str">
        <f>IF(A228="","",historico_VU!D176)</f>
        <v/>
      </c>
      <c r="E228" s="139" t="str">
        <f>IF(A228="","",historico_VU!E176)</f>
        <v/>
      </c>
      <c r="F228" s="139" t="str">
        <f>IF(A228="","",historico_VU!F176)</f>
        <v/>
      </c>
      <c r="G228" s="139" t="str">
        <f>IF(A228="","",historico_VU!G176)</f>
        <v/>
      </c>
      <c r="H228" s="140" t="str">
        <f>IF(A228="","",historico_VU!H176)</f>
        <v/>
      </c>
      <c r="I228" s="57"/>
      <c r="J228" s="137" t="str">
        <f>IF(itens_Remanesc!A176="","",itens_Remanesc!A176)</f>
        <v/>
      </c>
      <c r="K228" s="138" t="str">
        <f>IF(J228="","",IF($F$4="C0",itens_Remanesc!B176,IF($F$4="C1",itens_Remanesc!E176,IF($F$4="C2",itens_Remanesc!G176,IF($F$4="C3",itens_Remanesc!I176,itens_Remanesc!K176)))))</f>
        <v/>
      </c>
      <c r="L228" s="138" t="str">
        <f>IF(J228="","",IF(SUMIF(itens_Consumidos!$A$2:$A$200,J228,itens_Consumidos!$B$2:$B$200)-SUMIF(itens_Consumidos!$A$2:$A$200,J228,itens_Consumidos!$O$2:$O$200)&lt;0,0,SUMIF(itens_Consumidos!$A$2:$A$200,J228,itens_Consumidos!$B$2:$B$200)-SUMIF(itens_Consumidos!$A$2:$A$200,J228,itens_Consumidos!$O$2:$O$200)))</f>
        <v/>
      </c>
      <c r="M228" s="141" t="str">
        <f>IF(J228="","",itens_Remanesc!C176)</f>
        <v/>
      </c>
      <c r="N228" s="141" t="str">
        <f>IF(J228="","",IF($F$4="C0",historico_VU!C176,IF($F$4="C1",historico_VU!D176,IF($F$4="C2",historico_VU!E176,IF($F$4="C3",historico_VU!F176,historico_VU!G176)))))</f>
        <v/>
      </c>
      <c r="O228" s="141" t="str">
        <f t="shared" si="16"/>
        <v/>
      </c>
      <c r="P228" s="141" t="str">
        <f t="shared" si="17"/>
        <v/>
      </c>
      <c r="Q228" s="142" t="str">
        <f t="shared" si="18"/>
        <v/>
      </c>
    </row>
    <row r="229" spans="1:17" hidden="1" outlineLevel="1" x14ac:dyDescent="0.35">
      <c r="A229" s="137" t="str">
        <f>IF(historico_VU!A177="","",historico_VU!A177)</f>
        <v/>
      </c>
      <c r="B229" s="138" t="str">
        <f>IF(A229="","",historico_VU!B177)</f>
        <v/>
      </c>
      <c r="C229" s="139" t="str">
        <f>IF(A229="","",historico_VU!C177)</f>
        <v/>
      </c>
      <c r="D229" s="139" t="str">
        <f>IF(A229="","",historico_VU!D177)</f>
        <v/>
      </c>
      <c r="E229" s="139" t="str">
        <f>IF(A229="","",historico_VU!E177)</f>
        <v/>
      </c>
      <c r="F229" s="139" t="str">
        <f>IF(A229="","",historico_VU!F177)</f>
        <v/>
      </c>
      <c r="G229" s="139" t="str">
        <f>IF(A229="","",historico_VU!G177)</f>
        <v/>
      </c>
      <c r="H229" s="140" t="str">
        <f>IF(A229="","",historico_VU!H177)</f>
        <v/>
      </c>
      <c r="I229" s="57"/>
      <c r="J229" s="137" t="str">
        <f>IF(itens_Remanesc!A177="","",itens_Remanesc!A177)</f>
        <v/>
      </c>
      <c r="K229" s="138" t="str">
        <f>IF(J229="","",IF($F$4="C0",itens_Remanesc!B177,IF($F$4="C1",itens_Remanesc!E177,IF($F$4="C2",itens_Remanesc!G177,IF($F$4="C3",itens_Remanesc!I177,itens_Remanesc!K177)))))</f>
        <v/>
      </c>
      <c r="L229" s="138" t="str">
        <f>IF(J229="","",IF(SUMIF(itens_Consumidos!$A$2:$A$200,J229,itens_Consumidos!$B$2:$B$200)-SUMIF(itens_Consumidos!$A$2:$A$200,J229,itens_Consumidos!$O$2:$O$200)&lt;0,0,SUMIF(itens_Consumidos!$A$2:$A$200,J229,itens_Consumidos!$B$2:$B$200)-SUMIF(itens_Consumidos!$A$2:$A$200,J229,itens_Consumidos!$O$2:$O$200)))</f>
        <v/>
      </c>
      <c r="M229" s="141" t="str">
        <f>IF(J229="","",itens_Remanesc!C177)</f>
        <v/>
      </c>
      <c r="N229" s="141" t="str">
        <f>IF(J229="","",IF($F$4="C0",historico_VU!C177,IF($F$4="C1",historico_VU!D177,IF($F$4="C2",historico_VU!E177,IF($F$4="C3",historico_VU!F177,historico_VU!G177)))))</f>
        <v/>
      </c>
      <c r="O229" s="141" t="str">
        <f t="shared" si="16"/>
        <v/>
      </c>
      <c r="P229" s="141" t="str">
        <f t="shared" si="17"/>
        <v/>
      </c>
      <c r="Q229" s="142" t="str">
        <f t="shared" si="18"/>
        <v/>
      </c>
    </row>
    <row r="230" spans="1:17" hidden="1" outlineLevel="1" x14ac:dyDescent="0.35">
      <c r="A230" s="137" t="str">
        <f>IF(historico_VU!A178="","",historico_VU!A178)</f>
        <v/>
      </c>
      <c r="B230" s="138" t="str">
        <f>IF(A230="","",historico_VU!B178)</f>
        <v/>
      </c>
      <c r="C230" s="139" t="str">
        <f>IF(A230="","",historico_VU!C178)</f>
        <v/>
      </c>
      <c r="D230" s="139" t="str">
        <f>IF(A230="","",historico_VU!D178)</f>
        <v/>
      </c>
      <c r="E230" s="139" t="str">
        <f>IF(A230="","",historico_VU!E178)</f>
        <v/>
      </c>
      <c r="F230" s="139" t="str">
        <f>IF(A230="","",historico_VU!F178)</f>
        <v/>
      </c>
      <c r="G230" s="139" t="str">
        <f>IF(A230="","",historico_VU!G178)</f>
        <v/>
      </c>
      <c r="H230" s="140" t="str">
        <f>IF(A230="","",historico_VU!H178)</f>
        <v/>
      </c>
      <c r="I230" s="57"/>
      <c r="J230" s="137" t="str">
        <f>IF(itens_Remanesc!A178="","",itens_Remanesc!A178)</f>
        <v/>
      </c>
      <c r="K230" s="138" t="str">
        <f>IF(J230="","",IF($F$4="C0",itens_Remanesc!B178,IF($F$4="C1",itens_Remanesc!E178,IF($F$4="C2",itens_Remanesc!G178,IF($F$4="C3",itens_Remanesc!I178,itens_Remanesc!K178)))))</f>
        <v/>
      </c>
      <c r="L230" s="138" t="str">
        <f>IF(J230="","",IF(SUMIF(itens_Consumidos!$A$2:$A$200,J230,itens_Consumidos!$B$2:$B$200)-SUMIF(itens_Consumidos!$A$2:$A$200,J230,itens_Consumidos!$O$2:$O$200)&lt;0,0,SUMIF(itens_Consumidos!$A$2:$A$200,J230,itens_Consumidos!$B$2:$B$200)-SUMIF(itens_Consumidos!$A$2:$A$200,J230,itens_Consumidos!$O$2:$O$200)))</f>
        <v/>
      </c>
      <c r="M230" s="141" t="str">
        <f>IF(J230="","",itens_Remanesc!C178)</f>
        <v/>
      </c>
      <c r="N230" s="141" t="str">
        <f>IF(J230="","",IF($F$4="C0",historico_VU!C178,IF($F$4="C1",historico_VU!D178,IF($F$4="C2",historico_VU!E178,IF($F$4="C3",historico_VU!F178,historico_VU!G178)))))</f>
        <v/>
      </c>
      <c r="O230" s="141" t="str">
        <f t="shared" si="16"/>
        <v/>
      </c>
      <c r="P230" s="141" t="str">
        <f t="shared" si="17"/>
        <v/>
      </c>
      <c r="Q230" s="142" t="str">
        <f t="shared" si="18"/>
        <v/>
      </c>
    </row>
    <row r="231" spans="1:17" hidden="1" outlineLevel="1" x14ac:dyDescent="0.35">
      <c r="A231" s="137" t="str">
        <f>IF(historico_VU!A179="","",historico_VU!A179)</f>
        <v/>
      </c>
      <c r="B231" s="138" t="str">
        <f>IF(A231="","",historico_VU!B179)</f>
        <v/>
      </c>
      <c r="C231" s="139" t="str">
        <f>IF(A231="","",historico_VU!C179)</f>
        <v/>
      </c>
      <c r="D231" s="139" t="str">
        <f>IF(A231="","",historico_VU!D179)</f>
        <v/>
      </c>
      <c r="E231" s="139" t="str">
        <f>IF(A231="","",historico_VU!E179)</f>
        <v/>
      </c>
      <c r="F231" s="139" t="str">
        <f>IF(A231="","",historico_VU!F179)</f>
        <v/>
      </c>
      <c r="G231" s="139" t="str">
        <f>IF(A231="","",historico_VU!G179)</f>
        <v/>
      </c>
      <c r="H231" s="140" t="str">
        <f>IF(A231="","",historico_VU!H179)</f>
        <v/>
      </c>
      <c r="I231" s="57"/>
      <c r="J231" s="137" t="str">
        <f>IF(itens_Remanesc!A179="","",itens_Remanesc!A179)</f>
        <v/>
      </c>
      <c r="K231" s="138" t="str">
        <f>IF(J231="","",IF($F$4="C0",itens_Remanesc!B179,IF($F$4="C1",itens_Remanesc!E179,IF($F$4="C2",itens_Remanesc!G179,IF($F$4="C3",itens_Remanesc!I179,itens_Remanesc!K179)))))</f>
        <v/>
      </c>
      <c r="L231" s="138" t="str">
        <f>IF(J231="","",IF(SUMIF(itens_Consumidos!$A$2:$A$200,J231,itens_Consumidos!$B$2:$B$200)-SUMIF(itens_Consumidos!$A$2:$A$200,J231,itens_Consumidos!$O$2:$O$200)&lt;0,0,SUMIF(itens_Consumidos!$A$2:$A$200,J231,itens_Consumidos!$B$2:$B$200)-SUMIF(itens_Consumidos!$A$2:$A$200,J231,itens_Consumidos!$O$2:$O$200)))</f>
        <v/>
      </c>
      <c r="M231" s="141" t="str">
        <f>IF(J231="","",itens_Remanesc!C179)</f>
        <v/>
      </c>
      <c r="N231" s="141" t="str">
        <f>IF(J231="","",IF($F$4="C0",historico_VU!C179,IF($F$4="C1",historico_VU!D179,IF($F$4="C2",historico_VU!E179,IF($F$4="C3",historico_VU!F179,historico_VU!G179)))))</f>
        <v/>
      </c>
      <c r="O231" s="141" t="str">
        <f t="shared" si="16"/>
        <v/>
      </c>
      <c r="P231" s="141" t="str">
        <f t="shared" si="17"/>
        <v/>
      </c>
      <c r="Q231" s="142" t="str">
        <f t="shared" si="18"/>
        <v/>
      </c>
    </row>
    <row r="232" spans="1:17" hidden="1" outlineLevel="1" x14ac:dyDescent="0.35">
      <c r="A232" s="137" t="str">
        <f>IF(historico_VU!A180="","",historico_VU!A180)</f>
        <v/>
      </c>
      <c r="B232" s="138" t="str">
        <f>IF(A232="","",historico_VU!B180)</f>
        <v/>
      </c>
      <c r="C232" s="139" t="str">
        <f>IF(A232="","",historico_VU!C180)</f>
        <v/>
      </c>
      <c r="D232" s="139" t="str">
        <f>IF(A232="","",historico_VU!D180)</f>
        <v/>
      </c>
      <c r="E232" s="139" t="str">
        <f>IF(A232="","",historico_VU!E180)</f>
        <v/>
      </c>
      <c r="F232" s="139" t="str">
        <f>IF(A232="","",historico_VU!F180)</f>
        <v/>
      </c>
      <c r="G232" s="139" t="str">
        <f>IF(A232="","",historico_VU!G180)</f>
        <v/>
      </c>
      <c r="H232" s="140" t="str">
        <f>IF(A232="","",historico_VU!H180)</f>
        <v/>
      </c>
      <c r="I232" s="57"/>
      <c r="J232" s="137" t="str">
        <f>IF(itens_Remanesc!A180="","",itens_Remanesc!A180)</f>
        <v/>
      </c>
      <c r="K232" s="138" t="str">
        <f>IF(J232="","",IF($F$4="C0",itens_Remanesc!B180,IF($F$4="C1",itens_Remanesc!E180,IF($F$4="C2",itens_Remanesc!G180,IF($F$4="C3",itens_Remanesc!I180,itens_Remanesc!K180)))))</f>
        <v/>
      </c>
      <c r="L232" s="138" t="str">
        <f>IF(J232="","",IF(SUMIF(itens_Consumidos!$A$2:$A$200,J232,itens_Consumidos!$B$2:$B$200)-SUMIF(itens_Consumidos!$A$2:$A$200,J232,itens_Consumidos!$O$2:$O$200)&lt;0,0,SUMIF(itens_Consumidos!$A$2:$A$200,J232,itens_Consumidos!$B$2:$B$200)-SUMIF(itens_Consumidos!$A$2:$A$200,J232,itens_Consumidos!$O$2:$O$200)))</f>
        <v/>
      </c>
      <c r="M232" s="141" t="str">
        <f>IF(J232="","",itens_Remanesc!C180)</f>
        <v/>
      </c>
      <c r="N232" s="141" t="str">
        <f>IF(J232="","",IF($F$4="C0",historico_VU!C180,IF($F$4="C1",historico_VU!D180,IF($F$4="C2",historico_VU!E180,IF($F$4="C3",historico_VU!F180,historico_VU!G180)))))</f>
        <v/>
      </c>
      <c r="O232" s="141" t="str">
        <f t="shared" si="16"/>
        <v/>
      </c>
      <c r="P232" s="141" t="str">
        <f t="shared" si="17"/>
        <v/>
      </c>
      <c r="Q232" s="142" t="str">
        <f t="shared" si="18"/>
        <v/>
      </c>
    </row>
    <row r="233" spans="1:17" hidden="1" outlineLevel="1" x14ac:dyDescent="0.35">
      <c r="A233" s="137" t="str">
        <f>IF(historico_VU!A181="","",historico_VU!A181)</f>
        <v/>
      </c>
      <c r="B233" s="138" t="str">
        <f>IF(A233="","",historico_VU!B181)</f>
        <v/>
      </c>
      <c r="C233" s="139" t="str">
        <f>IF(A233="","",historico_VU!C181)</f>
        <v/>
      </c>
      <c r="D233" s="139" t="str">
        <f>IF(A233="","",historico_VU!D181)</f>
        <v/>
      </c>
      <c r="E233" s="139" t="str">
        <f>IF(A233="","",historico_VU!E181)</f>
        <v/>
      </c>
      <c r="F233" s="139" t="str">
        <f>IF(A233="","",historico_VU!F181)</f>
        <v/>
      </c>
      <c r="G233" s="139" t="str">
        <f>IF(A233="","",historico_VU!G181)</f>
        <v/>
      </c>
      <c r="H233" s="140" t="str">
        <f>IF(A233="","",historico_VU!H181)</f>
        <v/>
      </c>
      <c r="I233" s="57"/>
      <c r="J233" s="137" t="str">
        <f>IF(itens_Remanesc!A181="","",itens_Remanesc!A181)</f>
        <v/>
      </c>
      <c r="K233" s="138" t="str">
        <f>IF(J233="","",IF($F$4="C0",itens_Remanesc!B181,IF($F$4="C1",itens_Remanesc!E181,IF($F$4="C2",itens_Remanesc!G181,IF($F$4="C3",itens_Remanesc!I181,itens_Remanesc!K181)))))</f>
        <v/>
      </c>
      <c r="L233" s="138" t="str">
        <f>IF(J233="","",IF(SUMIF(itens_Consumidos!$A$2:$A$200,J233,itens_Consumidos!$B$2:$B$200)-SUMIF(itens_Consumidos!$A$2:$A$200,J233,itens_Consumidos!$O$2:$O$200)&lt;0,0,SUMIF(itens_Consumidos!$A$2:$A$200,J233,itens_Consumidos!$B$2:$B$200)-SUMIF(itens_Consumidos!$A$2:$A$200,J233,itens_Consumidos!$O$2:$O$200)))</f>
        <v/>
      </c>
      <c r="M233" s="141" t="str">
        <f>IF(J233="","",itens_Remanesc!C181)</f>
        <v/>
      </c>
      <c r="N233" s="141" t="str">
        <f>IF(J233="","",IF($F$4="C0",historico_VU!C181,IF($F$4="C1",historico_VU!D181,IF($F$4="C2",historico_VU!E181,IF($F$4="C3",historico_VU!F181,historico_VU!G181)))))</f>
        <v/>
      </c>
      <c r="O233" s="141" t="str">
        <f t="shared" si="16"/>
        <v/>
      </c>
      <c r="P233" s="141" t="str">
        <f t="shared" si="17"/>
        <v/>
      </c>
      <c r="Q233" s="142" t="str">
        <f t="shared" si="18"/>
        <v/>
      </c>
    </row>
    <row r="234" spans="1:17" hidden="1" outlineLevel="1" x14ac:dyDescent="0.35">
      <c r="A234" s="137" t="str">
        <f>IF(historico_VU!A182="","",historico_VU!A182)</f>
        <v/>
      </c>
      <c r="B234" s="138" t="str">
        <f>IF(A234="","",historico_VU!B182)</f>
        <v/>
      </c>
      <c r="C234" s="139" t="str">
        <f>IF(A234="","",historico_VU!C182)</f>
        <v/>
      </c>
      <c r="D234" s="139" t="str">
        <f>IF(A234="","",historico_VU!D182)</f>
        <v/>
      </c>
      <c r="E234" s="139" t="str">
        <f>IF(A234="","",historico_VU!E182)</f>
        <v/>
      </c>
      <c r="F234" s="139" t="str">
        <f>IF(A234="","",historico_VU!F182)</f>
        <v/>
      </c>
      <c r="G234" s="139" t="str">
        <f>IF(A234="","",historico_VU!G182)</f>
        <v/>
      </c>
      <c r="H234" s="140" t="str">
        <f>IF(A234="","",historico_VU!H182)</f>
        <v/>
      </c>
      <c r="I234" s="57"/>
      <c r="J234" s="137" t="str">
        <f>IF(itens_Remanesc!A182="","",itens_Remanesc!A182)</f>
        <v/>
      </c>
      <c r="K234" s="138" t="str">
        <f>IF(J234="","",IF($F$4="C0",itens_Remanesc!B182,IF($F$4="C1",itens_Remanesc!E182,IF($F$4="C2",itens_Remanesc!G182,IF($F$4="C3",itens_Remanesc!I182,itens_Remanesc!K182)))))</f>
        <v/>
      </c>
      <c r="L234" s="138" t="str">
        <f>IF(J234="","",IF(SUMIF(itens_Consumidos!$A$2:$A$200,J234,itens_Consumidos!$B$2:$B$200)-SUMIF(itens_Consumidos!$A$2:$A$200,J234,itens_Consumidos!$O$2:$O$200)&lt;0,0,SUMIF(itens_Consumidos!$A$2:$A$200,J234,itens_Consumidos!$B$2:$B$200)-SUMIF(itens_Consumidos!$A$2:$A$200,J234,itens_Consumidos!$O$2:$O$200)))</f>
        <v/>
      </c>
      <c r="M234" s="141" t="str">
        <f>IF(J234="","",itens_Remanesc!C182)</f>
        <v/>
      </c>
      <c r="N234" s="141" t="str">
        <f>IF(J234="","",IF($F$4="C0",historico_VU!C182,IF($F$4="C1",historico_VU!D182,IF($F$4="C2",historico_VU!E182,IF($F$4="C3",historico_VU!F182,historico_VU!G182)))))</f>
        <v/>
      </c>
      <c r="O234" s="141" t="str">
        <f t="shared" si="16"/>
        <v/>
      </c>
      <c r="P234" s="141" t="str">
        <f t="shared" si="17"/>
        <v/>
      </c>
      <c r="Q234" s="142" t="str">
        <f t="shared" si="18"/>
        <v/>
      </c>
    </row>
    <row r="235" spans="1:17" hidden="1" outlineLevel="1" x14ac:dyDescent="0.35">
      <c r="A235" s="137" t="str">
        <f>IF(historico_VU!A183="","",historico_VU!A183)</f>
        <v/>
      </c>
      <c r="B235" s="138" t="str">
        <f>IF(A235="","",historico_VU!B183)</f>
        <v/>
      </c>
      <c r="C235" s="139" t="str">
        <f>IF(A235="","",historico_VU!C183)</f>
        <v/>
      </c>
      <c r="D235" s="139" t="str">
        <f>IF(A235="","",historico_VU!D183)</f>
        <v/>
      </c>
      <c r="E235" s="139" t="str">
        <f>IF(A235="","",historico_VU!E183)</f>
        <v/>
      </c>
      <c r="F235" s="139" t="str">
        <f>IF(A235="","",historico_VU!F183)</f>
        <v/>
      </c>
      <c r="G235" s="139" t="str">
        <f>IF(A235="","",historico_VU!G183)</f>
        <v/>
      </c>
      <c r="H235" s="140" t="str">
        <f>IF(A235="","",historico_VU!H183)</f>
        <v/>
      </c>
      <c r="I235" s="57"/>
      <c r="J235" s="137" t="str">
        <f>IF(itens_Remanesc!A183="","",itens_Remanesc!A183)</f>
        <v/>
      </c>
      <c r="K235" s="138" t="str">
        <f>IF(J235="","",IF($F$4="C0",itens_Remanesc!B183,IF($F$4="C1",itens_Remanesc!E183,IF($F$4="C2",itens_Remanesc!G183,IF($F$4="C3",itens_Remanesc!I183,itens_Remanesc!K183)))))</f>
        <v/>
      </c>
      <c r="L235" s="138" t="str">
        <f>IF(J235="","",IF(SUMIF(itens_Consumidos!$A$2:$A$200,J235,itens_Consumidos!$B$2:$B$200)-SUMIF(itens_Consumidos!$A$2:$A$200,J235,itens_Consumidos!$O$2:$O$200)&lt;0,0,SUMIF(itens_Consumidos!$A$2:$A$200,J235,itens_Consumidos!$B$2:$B$200)-SUMIF(itens_Consumidos!$A$2:$A$200,J235,itens_Consumidos!$O$2:$O$200)))</f>
        <v/>
      </c>
      <c r="M235" s="141" t="str">
        <f>IF(J235="","",itens_Remanesc!C183)</f>
        <v/>
      </c>
      <c r="N235" s="141" t="str">
        <f>IF(J235="","",IF($F$4="C0",historico_VU!C183,IF($F$4="C1",historico_VU!D183,IF($F$4="C2",historico_VU!E183,IF($F$4="C3",historico_VU!F183,historico_VU!G183)))))</f>
        <v/>
      </c>
      <c r="O235" s="141" t="str">
        <f t="shared" si="16"/>
        <v/>
      </c>
      <c r="P235" s="141" t="str">
        <f t="shared" si="17"/>
        <v/>
      </c>
      <c r="Q235" s="142" t="str">
        <f t="shared" si="18"/>
        <v/>
      </c>
    </row>
    <row r="236" spans="1:17" hidden="1" outlineLevel="1" x14ac:dyDescent="0.35">
      <c r="A236" s="137" t="str">
        <f>IF(historico_VU!A184="","",historico_VU!A184)</f>
        <v/>
      </c>
      <c r="B236" s="138" t="str">
        <f>IF(A236="","",historico_VU!B184)</f>
        <v/>
      </c>
      <c r="C236" s="139" t="str">
        <f>IF(A236="","",historico_VU!C184)</f>
        <v/>
      </c>
      <c r="D236" s="139" t="str">
        <f>IF(A236="","",historico_VU!D184)</f>
        <v/>
      </c>
      <c r="E236" s="139" t="str">
        <f>IF(A236="","",historico_VU!E184)</f>
        <v/>
      </c>
      <c r="F236" s="139" t="str">
        <f>IF(A236="","",historico_VU!F184)</f>
        <v/>
      </c>
      <c r="G236" s="139" t="str">
        <f>IF(A236="","",historico_VU!G184)</f>
        <v/>
      </c>
      <c r="H236" s="140" t="str">
        <f>IF(A236="","",historico_VU!H184)</f>
        <v/>
      </c>
      <c r="I236" s="57"/>
      <c r="J236" s="137" t="str">
        <f>IF(itens_Remanesc!A184="","",itens_Remanesc!A184)</f>
        <v/>
      </c>
      <c r="K236" s="138" t="str">
        <f>IF(J236="","",IF($F$4="C0",itens_Remanesc!B184,IF($F$4="C1",itens_Remanesc!E184,IF($F$4="C2",itens_Remanesc!G184,IF($F$4="C3",itens_Remanesc!I184,itens_Remanesc!K184)))))</f>
        <v/>
      </c>
      <c r="L236" s="138" t="str">
        <f>IF(J236="","",IF(SUMIF(itens_Consumidos!$A$2:$A$200,J236,itens_Consumidos!$B$2:$B$200)-SUMIF(itens_Consumidos!$A$2:$A$200,J236,itens_Consumidos!$O$2:$O$200)&lt;0,0,SUMIF(itens_Consumidos!$A$2:$A$200,J236,itens_Consumidos!$B$2:$B$200)-SUMIF(itens_Consumidos!$A$2:$A$200,J236,itens_Consumidos!$O$2:$O$200)))</f>
        <v/>
      </c>
      <c r="M236" s="141" t="str">
        <f>IF(J236="","",itens_Remanesc!C184)</f>
        <v/>
      </c>
      <c r="N236" s="141" t="str">
        <f>IF(J236="","",IF($F$4="C0",historico_VU!C184,IF($F$4="C1",historico_VU!D184,IF($F$4="C2",historico_VU!E184,IF($F$4="C3",historico_VU!F184,historico_VU!G184)))))</f>
        <v/>
      </c>
      <c r="O236" s="141" t="str">
        <f t="shared" si="16"/>
        <v/>
      </c>
      <c r="P236" s="141" t="str">
        <f t="shared" si="17"/>
        <v/>
      </c>
      <c r="Q236" s="142" t="str">
        <f t="shared" si="18"/>
        <v/>
      </c>
    </row>
    <row r="237" spans="1:17" hidden="1" outlineLevel="1" x14ac:dyDescent="0.35">
      <c r="A237" s="137" t="str">
        <f>IF(historico_VU!A185="","",historico_VU!A185)</f>
        <v/>
      </c>
      <c r="B237" s="138" t="str">
        <f>IF(A237="","",historico_VU!B185)</f>
        <v/>
      </c>
      <c r="C237" s="139" t="str">
        <f>IF(A237="","",historico_VU!C185)</f>
        <v/>
      </c>
      <c r="D237" s="139" t="str">
        <f>IF(A237="","",historico_VU!D185)</f>
        <v/>
      </c>
      <c r="E237" s="139" t="str">
        <f>IF(A237="","",historico_VU!E185)</f>
        <v/>
      </c>
      <c r="F237" s="139" t="str">
        <f>IF(A237="","",historico_VU!F185)</f>
        <v/>
      </c>
      <c r="G237" s="139" t="str">
        <f>IF(A237="","",historico_VU!G185)</f>
        <v/>
      </c>
      <c r="H237" s="140" t="str">
        <f>IF(A237="","",historico_VU!H185)</f>
        <v/>
      </c>
      <c r="I237" s="57"/>
      <c r="J237" s="137" t="str">
        <f>IF(itens_Remanesc!A185="","",itens_Remanesc!A185)</f>
        <v/>
      </c>
      <c r="K237" s="138" t="str">
        <f>IF(J237="","",IF($F$4="C0",itens_Remanesc!B185,IF($F$4="C1",itens_Remanesc!E185,IF($F$4="C2",itens_Remanesc!G185,IF($F$4="C3",itens_Remanesc!I185,itens_Remanesc!K185)))))</f>
        <v/>
      </c>
      <c r="L237" s="138" t="str">
        <f>IF(J237="","",IF(SUMIF(itens_Consumidos!$A$2:$A$200,J237,itens_Consumidos!$B$2:$B$200)-SUMIF(itens_Consumidos!$A$2:$A$200,J237,itens_Consumidos!$O$2:$O$200)&lt;0,0,SUMIF(itens_Consumidos!$A$2:$A$200,J237,itens_Consumidos!$B$2:$B$200)-SUMIF(itens_Consumidos!$A$2:$A$200,J237,itens_Consumidos!$O$2:$O$200)))</f>
        <v/>
      </c>
      <c r="M237" s="141" t="str">
        <f>IF(J237="","",itens_Remanesc!C185)</f>
        <v/>
      </c>
      <c r="N237" s="141" t="str">
        <f>IF(J237="","",IF($F$4="C0",historico_VU!C185,IF($F$4="C1",historico_VU!D185,IF($F$4="C2",historico_VU!E185,IF($F$4="C3",historico_VU!F185,historico_VU!G185)))))</f>
        <v/>
      </c>
      <c r="O237" s="141" t="str">
        <f t="shared" si="16"/>
        <v/>
      </c>
      <c r="P237" s="141" t="str">
        <f t="shared" si="17"/>
        <v/>
      </c>
      <c r="Q237" s="142" t="str">
        <f t="shared" si="18"/>
        <v/>
      </c>
    </row>
    <row r="238" spans="1:17" hidden="1" outlineLevel="1" x14ac:dyDescent="0.35">
      <c r="A238" s="137" t="str">
        <f>IF(historico_VU!A186="","",historico_VU!A186)</f>
        <v/>
      </c>
      <c r="B238" s="138" t="str">
        <f>IF(A238="","",historico_VU!B186)</f>
        <v/>
      </c>
      <c r="C238" s="139" t="str">
        <f>IF(A238="","",historico_VU!C186)</f>
        <v/>
      </c>
      <c r="D238" s="139" t="str">
        <f>IF(A238="","",historico_VU!D186)</f>
        <v/>
      </c>
      <c r="E238" s="139" t="str">
        <f>IF(A238="","",historico_VU!E186)</f>
        <v/>
      </c>
      <c r="F238" s="139" t="str">
        <f>IF(A238="","",historico_VU!F186)</f>
        <v/>
      </c>
      <c r="G238" s="139" t="str">
        <f>IF(A238="","",historico_VU!G186)</f>
        <v/>
      </c>
      <c r="H238" s="140" t="str">
        <f>IF(A238="","",historico_VU!H186)</f>
        <v/>
      </c>
      <c r="I238" s="57"/>
      <c r="J238" s="137" t="str">
        <f>IF(itens_Remanesc!A186="","",itens_Remanesc!A186)</f>
        <v/>
      </c>
      <c r="K238" s="138" t="str">
        <f>IF(J238="","",IF($F$4="C0",itens_Remanesc!B186,IF($F$4="C1",itens_Remanesc!E186,IF($F$4="C2",itens_Remanesc!G186,IF($F$4="C3",itens_Remanesc!I186,itens_Remanesc!K186)))))</f>
        <v/>
      </c>
      <c r="L238" s="138" t="str">
        <f>IF(J238="","",IF(SUMIF(itens_Consumidos!$A$2:$A$200,J238,itens_Consumidos!$B$2:$B$200)-SUMIF(itens_Consumidos!$A$2:$A$200,J238,itens_Consumidos!$O$2:$O$200)&lt;0,0,SUMIF(itens_Consumidos!$A$2:$A$200,J238,itens_Consumidos!$B$2:$B$200)-SUMIF(itens_Consumidos!$A$2:$A$200,J238,itens_Consumidos!$O$2:$O$200)))</f>
        <v/>
      </c>
      <c r="M238" s="141" t="str">
        <f>IF(J238="","",itens_Remanesc!C186)</f>
        <v/>
      </c>
      <c r="N238" s="141" t="str">
        <f>IF(J238="","",IF($F$4="C0",historico_VU!C186,IF($F$4="C1",historico_VU!D186,IF($F$4="C2",historico_VU!E186,IF($F$4="C3",historico_VU!F186,historico_VU!G186)))))</f>
        <v/>
      </c>
      <c r="O238" s="141" t="str">
        <f t="shared" si="16"/>
        <v/>
      </c>
      <c r="P238" s="141" t="str">
        <f t="shared" si="17"/>
        <v/>
      </c>
      <c r="Q238" s="142" t="str">
        <f t="shared" si="18"/>
        <v/>
      </c>
    </row>
    <row r="239" spans="1:17" hidden="1" outlineLevel="1" x14ac:dyDescent="0.35">
      <c r="A239" s="137" t="str">
        <f>IF(historico_VU!A187="","",historico_VU!A187)</f>
        <v/>
      </c>
      <c r="B239" s="138" t="str">
        <f>IF(A239="","",historico_VU!B187)</f>
        <v/>
      </c>
      <c r="C239" s="139" t="str">
        <f>IF(A239="","",historico_VU!C187)</f>
        <v/>
      </c>
      <c r="D239" s="139" t="str">
        <f>IF(A239="","",historico_VU!D187)</f>
        <v/>
      </c>
      <c r="E239" s="139" t="str">
        <f>IF(A239="","",historico_VU!E187)</f>
        <v/>
      </c>
      <c r="F239" s="139" t="str">
        <f>IF(A239="","",historico_VU!F187)</f>
        <v/>
      </c>
      <c r="G239" s="139" t="str">
        <f>IF(A239="","",historico_VU!G187)</f>
        <v/>
      </c>
      <c r="H239" s="140" t="str">
        <f>IF(A239="","",historico_VU!H187)</f>
        <v/>
      </c>
      <c r="I239" s="57"/>
      <c r="J239" s="137" t="str">
        <f>IF(itens_Remanesc!A187="","",itens_Remanesc!A187)</f>
        <v/>
      </c>
      <c r="K239" s="138" t="str">
        <f>IF(J239="","",IF($F$4="C0",itens_Remanesc!B187,IF($F$4="C1",itens_Remanesc!E187,IF($F$4="C2",itens_Remanesc!G187,IF($F$4="C3",itens_Remanesc!I187,itens_Remanesc!K187)))))</f>
        <v/>
      </c>
      <c r="L239" s="138" t="str">
        <f>IF(J239="","",IF(SUMIF(itens_Consumidos!$A$2:$A$200,J239,itens_Consumidos!$B$2:$B$200)-SUMIF(itens_Consumidos!$A$2:$A$200,J239,itens_Consumidos!$O$2:$O$200)&lt;0,0,SUMIF(itens_Consumidos!$A$2:$A$200,J239,itens_Consumidos!$B$2:$B$200)-SUMIF(itens_Consumidos!$A$2:$A$200,J239,itens_Consumidos!$O$2:$O$200)))</f>
        <v/>
      </c>
      <c r="M239" s="141" t="str">
        <f>IF(J239="","",itens_Remanesc!C187)</f>
        <v/>
      </c>
      <c r="N239" s="141" t="str">
        <f>IF(J239="","",IF($F$4="C0",historico_VU!C187,IF($F$4="C1",historico_VU!D187,IF($F$4="C2",historico_VU!E187,IF($F$4="C3",historico_VU!F187,historico_VU!G187)))))</f>
        <v/>
      </c>
      <c r="O239" s="141" t="str">
        <f t="shared" si="16"/>
        <v/>
      </c>
      <c r="P239" s="141" t="str">
        <f t="shared" si="17"/>
        <v/>
      </c>
      <c r="Q239" s="142" t="str">
        <f t="shared" si="18"/>
        <v/>
      </c>
    </row>
    <row r="240" spans="1:17" hidden="1" outlineLevel="1" x14ac:dyDescent="0.35">
      <c r="A240" s="137" t="str">
        <f>IF(historico_VU!A188="","",historico_VU!A188)</f>
        <v/>
      </c>
      <c r="B240" s="138" t="str">
        <f>IF(A240="","",historico_VU!B188)</f>
        <v/>
      </c>
      <c r="C240" s="139" t="str">
        <f>IF(A240="","",historico_VU!C188)</f>
        <v/>
      </c>
      <c r="D240" s="139" t="str">
        <f>IF(A240="","",historico_VU!D188)</f>
        <v/>
      </c>
      <c r="E240" s="139" t="str">
        <f>IF(A240="","",historico_VU!E188)</f>
        <v/>
      </c>
      <c r="F240" s="139" t="str">
        <f>IF(A240="","",historico_VU!F188)</f>
        <v/>
      </c>
      <c r="G240" s="139" t="str">
        <f>IF(A240="","",historico_VU!G188)</f>
        <v/>
      </c>
      <c r="H240" s="140" t="str">
        <f>IF(A240="","",historico_VU!H188)</f>
        <v/>
      </c>
      <c r="I240" s="57"/>
      <c r="J240" s="137" t="str">
        <f>IF(itens_Remanesc!A188="","",itens_Remanesc!A188)</f>
        <v/>
      </c>
      <c r="K240" s="138" t="str">
        <f>IF(J240="","",IF($F$4="C0",itens_Remanesc!B188,IF($F$4="C1",itens_Remanesc!E188,IF($F$4="C2",itens_Remanesc!G188,IF($F$4="C3",itens_Remanesc!I188,itens_Remanesc!K188)))))</f>
        <v/>
      </c>
      <c r="L240" s="138" t="str">
        <f>IF(J240="","",IF(SUMIF(itens_Consumidos!$A$2:$A$200,J240,itens_Consumidos!$B$2:$B$200)-SUMIF(itens_Consumidos!$A$2:$A$200,J240,itens_Consumidos!$O$2:$O$200)&lt;0,0,SUMIF(itens_Consumidos!$A$2:$A$200,J240,itens_Consumidos!$B$2:$B$200)-SUMIF(itens_Consumidos!$A$2:$A$200,J240,itens_Consumidos!$O$2:$O$200)))</f>
        <v/>
      </c>
      <c r="M240" s="141" t="str">
        <f>IF(J240="","",itens_Remanesc!C188)</f>
        <v/>
      </c>
      <c r="N240" s="141" t="str">
        <f>IF(J240="","",IF($F$4="C0",historico_VU!C188,IF($F$4="C1",historico_VU!D188,IF($F$4="C2",historico_VU!E188,IF($F$4="C3",historico_VU!F188,historico_VU!G188)))))</f>
        <v/>
      </c>
      <c r="O240" s="141" t="str">
        <f t="shared" si="16"/>
        <v/>
      </c>
      <c r="P240" s="141" t="str">
        <f t="shared" si="17"/>
        <v/>
      </c>
      <c r="Q240" s="142" t="str">
        <f t="shared" si="18"/>
        <v/>
      </c>
    </row>
    <row r="241" spans="1:17" hidden="1" outlineLevel="1" x14ac:dyDescent="0.35">
      <c r="A241" s="137" t="str">
        <f>IF(historico_VU!A189="","",historico_VU!A189)</f>
        <v/>
      </c>
      <c r="B241" s="138" t="str">
        <f>IF(A241="","",historico_VU!B189)</f>
        <v/>
      </c>
      <c r="C241" s="139" t="str">
        <f>IF(A241="","",historico_VU!C189)</f>
        <v/>
      </c>
      <c r="D241" s="139" t="str">
        <f>IF(A241="","",historico_VU!D189)</f>
        <v/>
      </c>
      <c r="E241" s="139" t="str">
        <f>IF(A241="","",historico_VU!E189)</f>
        <v/>
      </c>
      <c r="F241" s="139" t="str">
        <f>IF(A241="","",historico_VU!F189)</f>
        <v/>
      </c>
      <c r="G241" s="139" t="str">
        <f>IF(A241="","",historico_VU!G189)</f>
        <v/>
      </c>
      <c r="H241" s="140" t="str">
        <f>IF(A241="","",historico_VU!H189)</f>
        <v/>
      </c>
      <c r="I241" s="57"/>
      <c r="J241" s="137" t="str">
        <f>IF(itens_Remanesc!A189="","",itens_Remanesc!A189)</f>
        <v/>
      </c>
      <c r="K241" s="138" t="str">
        <f>IF(J241="","",IF($F$4="C0",itens_Remanesc!B189,IF($F$4="C1",itens_Remanesc!E189,IF($F$4="C2",itens_Remanesc!G189,IF($F$4="C3",itens_Remanesc!I189,itens_Remanesc!K189)))))</f>
        <v/>
      </c>
      <c r="L241" s="138" t="str">
        <f>IF(J241="","",IF(SUMIF(itens_Consumidos!$A$2:$A$200,J241,itens_Consumidos!$B$2:$B$200)-SUMIF(itens_Consumidos!$A$2:$A$200,J241,itens_Consumidos!$O$2:$O$200)&lt;0,0,SUMIF(itens_Consumidos!$A$2:$A$200,J241,itens_Consumidos!$B$2:$B$200)-SUMIF(itens_Consumidos!$A$2:$A$200,J241,itens_Consumidos!$O$2:$O$200)))</f>
        <v/>
      </c>
      <c r="M241" s="141" t="str">
        <f>IF(J241="","",itens_Remanesc!C189)</f>
        <v/>
      </c>
      <c r="N241" s="141" t="str">
        <f>IF(J241="","",IF($F$4="C0",historico_VU!C189,IF($F$4="C1",historico_VU!D189,IF($F$4="C2",historico_VU!E189,IF($F$4="C3",historico_VU!F189,historico_VU!G189)))))</f>
        <v/>
      </c>
      <c r="O241" s="141" t="str">
        <f t="shared" si="16"/>
        <v/>
      </c>
      <c r="P241" s="141" t="str">
        <f t="shared" si="17"/>
        <v/>
      </c>
      <c r="Q241" s="142" t="str">
        <f t="shared" si="18"/>
        <v/>
      </c>
    </row>
    <row r="242" spans="1:17" hidden="1" outlineLevel="1" x14ac:dyDescent="0.35">
      <c r="A242" s="137" t="str">
        <f>IF(historico_VU!A190="","",historico_VU!A190)</f>
        <v/>
      </c>
      <c r="B242" s="138" t="str">
        <f>IF(A242="","",historico_VU!B190)</f>
        <v/>
      </c>
      <c r="C242" s="139" t="str">
        <f>IF(A242="","",historico_VU!C190)</f>
        <v/>
      </c>
      <c r="D242" s="139" t="str">
        <f>IF(A242="","",historico_VU!D190)</f>
        <v/>
      </c>
      <c r="E242" s="139" t="str">
        <f>IF(A242="","",historico_VU!E190)</f>
        <v/>
      </c>
      <c r="F242" s="139" t="str">
        <f>IF(A242="","",historico_VU!F190)</f>
        <v/>
      </c>
      <c r="G242" s="139" t="str">
        <f>IF(A242="","",historico_VU!G190)</f>
        <v/>
      </c>
      <c r="H242" s="140" t="str">
        <f>IF(A242="","",historico_VU!H190)</f>
        <v/>
      </c>
      <c r="I242" s="57"/>
      <c r="J242" s="137" t="str">
        <f>IF(itens_Remanesc!A190="","",itens_Remanesc!A190)</f>
        <v/>
      </c>
      <c r="K242" s="138" t="str">
        <f>IF(J242="","",IF($F$4="C0",itens_Remanesc!B190,IF($F$4="C1",itens_Remanesc!E190,IF($F$4="C2",itens_Remanesc!G190,IF($F$4="C3",itens_Remanesc!I190,itens_Remanesc!K190)))))</f>
        <v/>
      </c>
      <c r="L242" s="138" t="str">
        <f>IF(J242="","",IF(SUMIF(itens_Consumidos!$A$2:$A$200,J242,itens_Consumidos!$B$2:$B$200)-SUMIF(itens_Consumidos!$A$2:$A$200,J242,itens_Consumidos!$O$2:$O$200)&lt;0,0,SUMIF(itens_Consumidos!$A$2:$A$200,J242,itens_Consumidos!$B$2:$B$200)-SUMIF(itens_Consumidos!$A$2:$A$200,J242,itens_Consumidos!$O$2:$O$200)))</f>
        <v/>
      </c>
      <c r="M242" s="141" t="str">
        <f>IF(J242="","",itens_Remanesc!C190)</f>
        <v/>
      </c>
      <c r="N242" s="141" t="str">
        <f>IF(J242="","",IF($F$4="C0",historico_VU!C190,IF($F$4="C1",historico_VU!D190,IF($F$4="C2",historico_VU!E190,IF($F$4="C3",historico_VU!F190,historico_VU!G190)))))</f>
        <v/>
      </c>
      <c r="O242" s="141" t="str">
        <f t="shared" si="16"/>
        <v/>
      </c>
      <c r="P242" s="141" t="str">
        <f t="shared" si="17"/>
        <v/>
      </c>
      <c r="Q242" s="142" t="str">
        <f t="shared" si="18"/>
        <v/>
      </c>
    </row>
    <row r="243" spans="1:17" hidden="1" outlineLevel="1" x14ac:dyDescent="0.35">
      <c r="A243" s="137" t="str">
        <f>IF(historico_VU!A191="","",historico_VU!A191)</f>
        <v/>
      </c>
      <c r="B243" s="138" t="str">
        <f>IF(A243="","",historico_VU!B191)</f>
        <v/>
      </c>
      <c r="C243" s="139" t="str">
        <f>IF(A243="","",historico_VU!C191)</f>
        <v/>
      </c>
      <c r="D243" s="139" t="str">
        <f>IF(A243="","",historico_VU!D191)</f>
        <v/>
      </c>
      <c r="E243" s="139" t="str">
        <f>IF(A243="","",historico_VU!E191)</f>
        <v/>
      </c>
      <c r="F243" s="139" t="str">
        <f>IF(A243="","",historico_VU!F191)</f>
        <v/>
      </c>
      <c r="G243" s="139" t="str">
        <f>IF(A243="","",historico_VU!G191)</f>
        <v/>
      </c>
      <c r="H243" s="140" t="str">
        <f>IF(A243="","",historico_VU!H191)</f>
        <v/>
      </c>
      <c r="I243" s="57"/>
      <c r="J243" s="137" t="str">
        <f>IF(itens_Remanesc!A191="","",itens_Remanesc!A191)</f>
        <v/>
      </c>
      <c r="K243" s="138" t="str">
        <f>IF(J243="","",IF($F$4="C0",itens_Remanesc!B191,IF($F$4="C1",itens_Remanesc!E191,IF($F$4="C2",itens_Remanesc!G191,IF($F$4="C3",itens_Remanesc!I191,itens_Remanesc!K191)))))</f>
        <v/>
      </c>
      <c r="L243" s="138" t="str">
        <f>IF(J243="","",IF(SUMIF(itens_Consumidos!$A$2:$A$200,J243,itens_Consumidos!$B$2:$B$200)-SUMIF(itens_Consumidos!$A$2:$A$200,J243,itens_Consumidos!$O$2:$O$200)&lt;0,0,SUMIF(itens_Consumidos!$A$2:$A$200,J243,itens_Consumidos!$B$2:$B$200)-SUMIF(itens_Consumidos!$A$2:$A$200,J243,itens_Consumidos!$O$2:$O$200)))</f>
        <v/>
      </c>
      <c r="M243" s="141" t="str">
        <f>IF(J243="","",itens_Remanesc!C191)</f>
        <v/>
      </c>
      <c r="N243" s="141" t="str">
        <f>IF(J243="","",IF($F$4="C0",historico_VU!C191,IF($F$4="C1",historico_VU!D191,IF($F$4="C2",historico_VU!E191,IF($F$4="C3",historico_VU!F191,historico_VU!G191)))))</f>
        <v/>
      </c>
      <c r="O243" s="141" t="str">
        <f t="shared" si="16"/>
        <v/>
      </c>
      <c r="P243" s="141" t="str">
        <f t="shared" si="17"/>
        <v/>
      </c>
      <c r="Q243" s="142" t="str">
        <f t="shared" si="18"/>
        <v/>
      </c>
    </row>
    <row r="244" spans="1:17" hidden="1" outlineLevel="1" x14ac:dyDescent="0.35">
      <c r="A244" s="137" t="str">
        <f>IF(historico_VU!A192="","",historico_VU!A192)</f>
        <v/>
      </c>
      <c r="B244" s="138" t="str">
        <f>IF(A244="","",historico_VU!B192)</f>
        <v/>
      </c>
      <c r="C244" s="139" t="str">
        <f>IF(A244="","",historico_VU!C192)</f>
        <v/>
      </c>
      <c r="D244" s="139" t="str">
        <f>IF(A244="","",historico_VU!D192)</f>
        <v/>
      </c>
      <c r="E244" s="139" t="str">
        <f>IF(A244="","",historico_VU!E192)</f>
        <v/>
      </c>
      <c r="F244" s="139" t="str">
        <f>IF(A244="","",historico_VU!F192)</f>
        <v/>
      </c>
      <c r="G244" s="139" t="str">
        <f>IF(A244="","",historico_VU!G192)</f>
        <v/>
      </c>
      <c r="H244" s="140" t="str">
        <f>IF(A244="","",historico_VU!H192)</f>
        <v/>
      </c>
      <c r="I244" s="57"/>
      <c r="J244" s="137" t="str">
        <f>IF(itens_Remanesc!A192="","",itens_Remanesc!A192)</f>
        <v/>
      </c>
      <c r="K244" s="138" t="str">
        <f>IF(J244="","",IF($F$4="C0",itens_Remanesc!B192,IF($F$4="C1",itens_Remanesc!E192,IF($F$4="C2",itens_Remanesc!G192,IF($F$4="C3",itens_Remanesc!I192,itens_Remanesc!K192)))))</f>
        <v/>
      </c>
      <c r="L244" s="138" t="str">
        <f>IF(J244="","",IF(SUMIF(itens_Consumidos!$A$2:$A$200,J244,itens_Consumidos!$B$2:$B$200)-SUMIF(itens_Consumidos!$A$2:$A$200,J244,itens_Consumidos!$O$2:$O$200)&lt;0,0,SUMIF(itens_Consumidos!$A$2:$A$200,J244,itens_Consumidos!$B$2:$B$200)-SUMIF(itens_Consumidos!$A$2:$A$200,J244,itens_Consumidos!$O$2:$O$200)))</f>
        <v/>
      </c>
      <c r="M244" s="141" t="str">
        <f>IF(J244="","",itens_Remanesc!C192)</f>
        <v/>
      </c>
      <c r="N244" s="141" t="str">
        <f>IF(J244="","",IF($F$4="C0",historico_VU!C192,IF($F$4="C1",historico_VU!D192,IF($F$4="C2",historico_VU!E192,IF($F$4="C3",historico_VU!F192,historico_VU!G192)))))</f>
        <v/>
      </c>
      <c r="O244" s="141" t="str">
        <f t="shared" si="16"/>
        <v/>
      </c>
      <c r="P244" s="141" t="str">
        <f t="shared" si="17"/>
        <v/>
      </c>
      <c r="Q244" s="142" t="str">
        <f t="shared" si="18"/>
        <v/>
      </c>
    </row>
    <row r="245" spans="1:17" hidden="1" outlineLevel="1" x14ac:dyDescent="0.35">
      <c r="A245" s="137" t="str">
        <f>IF(historico_VU!A193="","",historico_VU!A193)</f>
        <v/>
      </c>
      <c r="B245" s="138" t="str">
        <f>IF(A245="","",historico_VU!B193)</f>
        <v/>
      </c>
      <c r="C245" s="139" t="str">
        <f>IF(A245="","",historico_VU!C193)</f>
        <v/>
      </c>
      <c r="D245" s="139" t="str">
        <f>IF(A245="","",historico_VU!D193)</f>
        <v/>
      </c>
      <c r="E245" s="139" t="str">
        <f>IF(A245="","",historico_VU!E193)</f>
        <v/>
      </c>
      <c r="F245" s="139" t="str">
        <f>IF(A245="","",historico_VU!F193)</f>
        <v/>
      </c>
      <c r="G245" s="139" t="str">
        <f>IF(A245="","",historico_VU!G193)</f>
        <v/>
      </c>
      <c r="H245" s="140" t="str">
        <f>IF(A245="","",historico_VU!H193)</f>
        <v/>
      </c>
      <c r="I245" s="57"/>
      <c r="J245" s="137" t="str">
        <f>IF(itens_Remanesc!A193="","",itens_Remanesc!A193)</f>
        <v/>
      </c>
      <c r="K245" s="138" t="str">
        <f>IF(J245="","",IF($F$4="C0",itens_Remanesc!B193,IF($F$4="C1",itens_Remanesc!E193,IF($F$4="C2",itens_Remanesc!G193,IF($F$4="C3",itens_Remanesc!I193,itens_Remanesc!K193)))))</f>
        <v/>
      </c>
      <c r="L245" s="138" t="str">
        <f>IF(J245="","",IF(SUMIF(itens_Consumidos!$A$2:$A$200,J245,itens_Consumidos!$B$2:$B$200)-SUMIF(itens_Consumidos!$A$2:$A$200,J245,itens_Consumidos!$O$2:$O$200)&lt;0,0,SUMIF(itens_Consumidos!$A$2:$A$200,J245,itens_Consumidos!$B$2:$B$200)-SUMIF(itens_Consumidos!$A$2:$A$200,J245,itens_Consumidos!$O$2:$O$200)))</f>
        <v/>
      </c>
      <c r="M245" s="141" t="str">
        <f>IF(J245="","",itens_Remanesc!C193)</f>
        <v/>
      </c>
      <c r="N245" s="141" t="str">
        <f>IF(J245="","",IF($F$4="C0",historico_VU!C193,IF($F$4="C1",historico_VU!D193,IF($F$4="C2",historico_VU!E193,IF($F$4="C3",historico_VU!F193,historico_VU!G193)))))</f>
        <v/>
      </c>
      <c r="O245" s="141" t="str">
        <f t="shared" si="16"/>
        <v/>
      </c>
      <c r="P245" s="141" t="str">
        <f t="shared" si="17"/>
        <v/>
      </c>
      <c r="Q245" s="142" t="str">
        <f t="shared" si="18"/>
        <v/>
      </c>
    </row>
    <row r="246" spans="1:17" hidden="1" outlineLevel="1" x14ac:dyDescent="0.35">
      <c r="A246" s="137" t="str">
        <f>IF(historico_VU!A194="","",historico_VU!A194)</f>
        <v/>
      </c>
      <c r="B246" s="138" t="str">
        <f>IF(A246="","",historico_VU!B194)</f>
        <v/>
      </c>
      <c r="C246" s="139" t="str">
        <f>IF(A246="","",historico_VU!C194)</f>
        <v/>
      </c>
      <c r="D246" s="139" t="str">
        <f>IF(A246="","",historico_VU!D194)</f>
        <v/>
      </c>
      <c r="E246" s="139" t="str">
        <f>IF(A246="","",historico_VU!E194)</f>
        <v/>
      </c>
      <c r="F246" s="139" t="str">
        <f>IF(A246="","",historico_VU!F194)</f>
        <v/>
      </c>
      <c r="G246" s="139" t="str">
        <f>IF(A246="","",historico_VU!G194)</f>
        <v/>
      </c>
      <c r="H246" s="140" t="str">
        <f>IF(A246="","",historico_VU!H194)</f>
        <v/>
      </c>
      <c r="I246" s="57"/>
      <c r="J246" s="137" t="str">
        <f>IF(itens_Remanesc!A194="","",itens_Remanesc!A194)</f>
        <v/>
      </c>
      <c r="K246" s="138" t="str">
        <f>IF(J246="","",IF($F$4="C0",itens_Remanesc!B194,IF($F$4="C1",itens_Remanesc!E194,IF($F$4="C2",itens_Remanesc!G194,IF($F$4="C3",itens_Remanesc!I194,itens_Remanesc!K194)))))</f>
        <v/>
      </c>
      <c r="L246" s="138" t="str">
        <f>IF(J246="","",IF(SUMIF(itens_Consumidos!$A$2:$A$200,J246,itens_Consumidos!$B$2:$B$200)-SUMIF(itens_Consumidos!$A$2:$A$200,J246,itens_Consumidos!$O$2:$O$200)&lt;0,0,SUMIF(itens_Consumidos!$A$2:$A$200,J246,itens_Consumidos!$B$2:$B$200)-SUMIF(itens_Consumidos!$A$2:$A$200,J246,itens_Consumidos!$O$2:$O$200)))</f>
        <v/>
      </c>
      <c r="M246" s="141" t="str">
        <f>IF(J246="","",itens_Remanesc!C194)</f>
        <v/>
      </c>
      <c r="N246" s="141" t="str">
        <f>IF(J246="","",IF($F$4="C0",historico_VU!C194,IF($F$4="C1",historico_VU!D194,IF($F$4="C2",historico_VU!E194,IF($F$4="C3",historico_VU!F194,historico_VU!G194)))))</f>
        <v/>
      </c>
      <c r="O246" s="141" t="str">
        <f t="shared" ref="O246:O253" si="19">IF(J246="","",IF(OR($B$4="Financeiro",$B$4="PCs"),IF(OR(K246="",M246=""),"",ROUND(K246*M246,2)),IF($B$4="Itens",IF(OR(L246="",M246=""),"",ROUND(L246*M246,2)),"")))</f>
        <v/>
      </c>
      <c r="P246" s="141" t="str">
        <f t="shared" ref="P246:P253" si="20">IF(J246="","",IF(OR($B$4="Financeiro",$B$4="PCs"),IF(OR(K246="",N246=""),"",ROUND(K246*N246,2)),IF($B$4="Itens",IF(OR(L246="",N246=""),"",ROUND(L246*N246,2)),"")))</f>
        <v/>
      </c>
      <c r="Q246" s="142" t="str">
        <f t="shared" ref="Q246:Q253" si="21">IF(J246="","",IF(OR(M246="",AND(OR($B$4="Financeiro",$B$4="PCs"),K246=""),AND($B$4="Itens",L246="")),"INCOMPLETO",IF(AND(ISNUMBER(K246),ISNUMBER(L246),ABS(K246-L246)/MAX(ABS(IF(OR($B$4="Financeiro",$B$4="PCs"),K246,L246)),1)&gt;$D$4),"DIVERGENTE","OK")))</f>
        <v/>
      </c>
    </row>
    <row r="247" spans="1:17" hidden="1" outlineLevel="1" x14ac:dyDescent="0.35">
      <c r="A247" s="137" t="str">
        <f>IF(historico_VU!A195="","",historico_VU!A195)</f>
        <v/>
      </c>
      <c r="B247" s="138" t="str">
        <f>IF(A247="","",historico_VU!B195)</f>
        <v/>
      </c>
      <c r="C247" s="139" t="str">
        <f>IF(A247="","",historico_VU!C195)</f>
        <v/>
      </c>
      <c r="D247" s="139" t="str">
        <f>IF(A247="","",historico_VU!D195)</f>
        <v/>
      </c>
      <c r="E247" s="139" t="str">
        <f>IF(A247="","",historico_VU!E195)</f>
        <v/>
      </c>
      <c r="F247" s="139" t="str">
        <f>IF(A247="","",historico_VU!F195)</f>
        <v/>
      </c>
      <c r="G247" s="139" t="str">
        <f>IF(A247="","",historico_VU!G195)</f>
        <v/>
      </c>
      <c r="H247" s="140" t="str">
        <f>IF(A247="","",historico_VU!H195)</f>
        <v/>
      </c>
      <c r="I247" s="57"/>
      <c r="J247" s="137" t="str">
        <f>IF(itens_Remanesc!A195="","",itens_Remanesc!A195)</f>
        <v/>
      </c>
      <c r="K247" s="138" t="str">
        <f>IF(J247="","",IF($F$4="C0",itens_Remanesc!B195,IF($F$4="C1",itens_Remanesc!E195,IF($F$4="C2",itens_Remanesc!G195,IF($F$4="C3",itens_Remanesc!I195,itens_Remanesc!K195)))))</f>
        <v/>
      </c>
      <c r="L247" s="138" t="str">
        <f>IF(J247="","",IF(SUMIF(itens_Consumidos!$A$2:$A$200,J247,itens_Consumidos!$B$2:$B$200)-SUMIF(itens_Consumidos!$A$2:$A$200,J247,itens_Consumidos!$O$2:$O$200)&lt;0,0,SUMIF(itens_Consumidos!$A$2:$A$200,J247,itens_Consumidos!$B$2:$B$200)-SUMIF(itens_Consumidos!$A$2:$A$200,J247,itens_Consumidos!$O$2:$O$200)))</f>
        <v/>
      </c>
      <c r="M247" s="141" t="str">
        <f>IF(J247="","",itens_Remanesc!C195)</f>
        <v/>
      </c>
      <c r="N247" s="141" t="str">
        <f>IF(J247="","",IF($F$4="C0",historico_VU!C195,IF($F$4="C1",historico_VU!D195,IF($F$4="C2",historico_VU!E195,IF($F$4="C3",historico_VU!F195,historico_VU!G195)))))</f>
        <v/>
      </c>
      <c r="O247" s="141" t="str">
        <f t="shared" si="19"/>
        <v/>
      </c>
      <c r="P247" s="141" t="str">
        <f t="shared" si="20"/>
        <v/>
      </c>
      <c r="Q247" s="142" t="str">
        <f t="shared" si="21"/>
        <v/>
      </c>
    </row>
    <row r="248" spans="1:17" hidden="1" outlineLevel="1" x14ac:dyDescent="0.35">
      <c r="A248" s="137" t="str">
        <f>IF(historico_VU!A196="","",historico_VU!A196)</f>
        <v/>
      </c>
      <c r="B248" s="138" t="str">
        <f>IF(A248="","",historico_VU!B196)</f>
        <v/>
      </c>
      <c r="C248" s="139" t="str">
        <f>IF(A248="","",historico_VU!C196)</f>
        <v/>
      </c>
      <c r="D248" s="139" t="str">
        <f>IF(A248="","",historico_VU!D196)</f>
        <v/>
      </c>
      <c r="E248" s="139" t="str">
        <f>IF(A248="","",historico_VU!E196)</f>
        <v/>
      </c>
      <c r="F248" s="139" t="str">
        <f>IF(A248="","",historico_VU!F196)</f>
        <v/>
      </c>
      <c r="G248" s="139" t="str">
        <f>IF(A248="","",historico_VU!G196)</f>
        <v/>
      </c>
      <c r="H248" s="140" t="str">
        <f>IF(A248="","",historico_VU!H196)</f>
        <v/>
      </c>
      <c r="I248" s="57"/>
      <c r="J248" s="137" t="str">
        <f>IF(itens_Remanesc!A196="","",itens_Remanesc!A196)</f>
        <v/>
      </c>
      <c r="K248" s="138" t="str">
        <f>IF(J248="","",IF($F$4="C0",itens_Remanesc!B196,IF($F$4="C1",itens_Remanesc!E196,IF($F$4="C2",itens_Remanesc!G196,IF($F$4="C3",itens_Remanesc!I196,itens_Remanesc!K196)))))</f>
        <v/>
      </c>
      <c r="L248" s="138" t="str">
        <f>IF(J248="","",IF(SUMIF(itens_Consumidos!$A$2:$A$200,J248,itens_Consumidos!$B$2:$B$200)-SUMIF(itens_Consumidos!$A$2:$A$200,J248,itens_Consumidos!$O$2:$O$200)&lt;0,0,SUMIF(itens_Consumidos!$A$2:$A$200,J248,itens_Consumidos!$B$2:$B$200)-SUMIF(itens_Consumidos!$A$2:$A$200,J248,itens_Consumidos!$O$2:$O$200)))</f>
        <v/>
      </c>
      <c r="M248" s="141" t="str">
        <f>IF(J248="","",itens_Remanesc!C196)</f>
        <v/>
      </c>
      <c r="N248" s="141" t="str">
        <f>IF(J248="","",IF($F$4="C0",historico_VU!C196,IF($F$4="C1",historico_VU!D196,IF($F$4="C2",historico_VU!E196,IF($F$4="C3",historico_VU!F196,historico_VU!G196)))))</f>
        <v/>
      </c>
      <c r="O248" s="141" t="str">
        <f t="shared" si="19"/>
        <v/>
      </c>
      <c r="P248" s="141" t="str">
        <f t="shared" si="20"/>
        <v/>
      </c>
      <c r="Q248" s="142" t="str">
        <f t="shared" si="21"/>
        <v/>
      </c>
    </row>
    <row r="249" spans="1:17" hidden="1" outlineLevel="1" x14ac:dyDescent="0.35">
      <c r="A249" s="137" t="str">
        <f>IF(historico_VU!A197="","",historico_VU!A197)</f>
        <v/>
      </c>
      <c r="B249" s="138" t="str">
        <f>IF(A249="","",historico_VU!B197)</f>
        <v/>
      </c>
      <c r="C249" s="139" t="str">
        <f>IF(A249="","",historico_VU!C197)</f>
        <v/>
      </c>
      <c r="D249" s="139" t="str">
        <f>IF(A249="","",historico_VU!D197)</f>
        <v/>
      </c>
      <c r="E249" s="139" t="str">
        <f>IF(A249="","",historico_VU!E197)</f>
        <v/>
      </c>
      <c r="F249" s="139" t="str">
        <f>IF(A249="","",historico_VU!F197)</f>
        <v/>
      </c>
      <c r="G249" s="139" t="str">
        <f>IF(A249="","",historico_VU!G197)</f>
        <v/>
      </c>
      <c r="H249" s="140" t="str">
        <f>IF(A249="","",historico_VU!H197)</f>
        <v/>
      </c>
      <c r="I249" s="57"/>
      <c r="J249" s="137" t="str">
        <f>IF(itens_Remanesc!A197="","",itens_Remanesc!A197)</f>
        <v/>
      </c>
      <c r="K249" s="138" t="str">
        <f>IF(J249="","",IF($F$4="C0",itens_Remanesc!B197,IF($F$4="C1",itens_Remanesc!E197,IF($F$4="C2",itens_Remanesc!G197,IF($F$4="C3",itens_Remanesc!I197,itens_Remanesc!K197)))))</f>
        <v/>
      </c>
      <c r="L249" s="138" t="str">
        <f>IF(J249="","",IF(SUMIF(itens_Consumidos!$A$2:$A$200,J249,itens_Consumidos!$B$2:$B$200)-SUMIF(itens_Consumidos!$A$2:$A$200,J249,itens_Consumidos!$O$2:$O$200)&lt;0,0,SUMIF(itens_Consumidos!$A$2:$A$200,J249,itens_Consumidos!$B$2:$B$200)-SUMIF(itens_Consumidos!$A$2:$A$200,J249,itens_Consumidos!$O$2:$O$200)))</f>
        <v/>
      </c>
      <c r="M249" s="141" t="str">
        <f>IF(J249="","",itens_Remanesc!C197)</f>
        <v/>
      </c>
      <c r="N249" s="141" t="str">
        <f>IF(J249="","",IF($F$4="C0",historico_VU!C197,IF($F$4="C1",historico_VU!D197,IF($F$4="C2",historico_VU!E197,IF($F$4="C3",historico_VU!F197,historico_VU!G197)))))</f>
        <v/>
      </c>
      <c r="O249" s="141" t="str">
        <f t="shared" si="19"/>
        <v/>
      </c>
      <c r="P249" s="141" t="str">
        <f t="shared" si="20"/>
        <v/>
      </c>
      <c r="Q249" s="142" t="str">
        <f t="shared" si="21"/>
        <v/>
      </c>
    </row>
    <row r="250" spans="1:17" hidden="1" outlineLevel="1" x14ac:dyDescent="0.35">
      <c r="A250" s="137" t="str">
        <f>IF(historico_VU!A198="","",historico_VU!A198)</f>
        <v/>
      </c>
      <c r="B250" s="138" t="str">
        <f>IF(A250="","",historico_VU!B198)</f>
        <v/>
      </c>
      <c r="C250" s="139" t="str">
        <f>IF(A250="","",historico_VU!C198)</f>
        <v/>
      </c>
      <c r="D250" s="139" t="str">
        <f>IF(A250="","",historico_VU!D198)</f>
        <v/>
      </c>
      <c r="E250" s="139" t="str">
        <f>IF(A250="","",historico_VU!E198)</f>
        <v/>
      </c>
      <c r="F250" s="139" t="str">
        <f>IF(A250="","",historico_VU!F198)</f>
        <v/>
      </c>
      <c r="G250" s="139" t="str">
        <f>IF(A250="","",historico_VU!G198)</f>
        <v/>
      </c>
      <c r="H250" s="140" t="str">
        <f>IF(A250="","",historico_VU!H198)</f>
        <v/>
      </c>
      <c r="I250" s="57"/>
      <c r="J250" s="137" t="str">
        <f>IF(itens_Remanesc!A198="","",itens_Remanesc!A198)</f>
        <v/>
      </c>
      <c r="K250" s="138" t="str">
        <f>IF(J250="","",IF($F$4="C0",itens_Remanesc!B198,IF($F$4="C1",itens_Remanesc!E198,IF($F$4="C2",itens_Remanesc!G198,IF($F$4="C3",itens_Remanesc!I198,itens_Remanesc!K198)))))</f>
        <v/>
      </c>
      <c r="L250" s="138" t="str">
        <f>IF(J250="","",IF(SUMIF(itens_Consumidos!$A$2:$A$200,J250,itens_Consumidos!$B$2:$B$200)-SUMIF(itens_Consumidos!$A$2:$A$200,J250,itens_Consumidos!$O$2:$O$200)&lt;0,0,SUMIF(itens_Consumidos!$A$2:$A$200,J250,itens_Consumidos!$B$2:$B$200)-SUMIF(itens_Consumidos!$A$2:$A$200,J250,itens_Consumidos!$O$2:$O$200)))</f>
        <v/>
      </c>
      <c r="M250" s="141" t="str">
        <f>IF(J250="","",itens_Remanesc!C198)</f>
        <v/>
      </c>
      <c r="N250" s="141" t="str">
        <f>IF(J250="","",IF($F$4="C0",historico_VU!C198,IF($F$4="C1",historico_VU!D198,IF($F$4="C2",historico_VU!E198,IF($F$4="C3",historico_VU!F198,historico_VU!G198)))))</f>
        <v/>
      </c>
      <c r="O250" s="141" t="str">
        <f t="shared" si="19"/>
        <v/>
      </c>
      <c r="P250" s="141" t="str">
        <f t="shared" si="20"/>
        <v/>
      </c>
      <c r="Q250" s="142" t="str">
        <f t="shared" si="21"/>
        <v/>
      </c>
    </row>
    <row r="251" spans="1:17" hidden="1" outlineLevel="1" x14ac:dyDescent="0.35">
      <c r="A251" s="137" t="str">
        <f>IF(historico_VU!A199="","",historico_VU!A199)</f>
        <v/>
      </c>
      <c r="B251" s="138" t="str">
        <f>IF(A251="","",historico_VU!B199)</f>
        <v/>
      </c>
      <c r="C251" s="139" t="str">
        <f>IF(A251="","",historico_VU!C199)</f>
        <v/>
      </c>
      <c r="D251" s="139" t="str">
        <f>IF(A251="","",historico_VU!D199)</f>
        <v/>
      </c>
      <c r="E251" s="139" t="str">
        <f>IF(A251="","",historico_VU!E199)</f>
        <v/>
      </c>
      <c r="F251" s="139" t="str">
        <f>IF(A251="","",historico_VU!F199)</f>
        <v/>
      </c>
      <c r="G251" s="139" t="str">
        <f>IF(A251="","",historico_VU!G199)</f>
        <v/>
      </c>
      <c r="H251" s="140" t="str">
        <f>IF(A251="","",historico_VU!H199)</f>
        <v/>
      </c>
      <c r="I251" s="57"/>
      <c r="J251" s="137" t="str">
        <f>IF(itens_Remanesc!A199="","",itens_Remanesc!A199)</f>
        <v/>
      </c>
      <c r="K251" s="138" t="str">
        <f>IF(J251="","",IF($F$4="C0",itens_Remanesc!B199,IF($F$4="C1",itens_Remanesc!E199,IF($F$4="C2",itens_Remanesc!G199,IF($F$4="C3",itens_Remanesc!I199,itens_Remanesc!K199)))))</f>
        <v/>
      </c>
      <c r="L251" s="138" t="str">
        <f>IF(J251="","",IF(SUMIF(itens_Consumidos!$A$2:$A$200,J251,itens_Consumidos!$B$2:$B$200)-SUMIF(itens_Consumidos!$A$2:$A$200,J251,itens_Consumidos!$O$2:$O$200)&lt;0,0,SUMIF(itens_Consumidos!$A$2:$A$200,J251,itens_Consumidos!$B$2:$B$200)-SUMIF(itens_Consumidos!$A$2:$A$200,J251,itens_Consumidos!$O$2:$O$200)))</f>
        <v/>
      </c>
      <c r="M251" s="141" t="str">
        <f>IF(J251="","",itens_Remanesc!C199)</f>
        <v/>
      </c>
      <c r="N251" s="141" t="str">
        <f>IF(J251="","",IF($F$4="C0",historico_VU!C199,IF($F$4="C1",historico_VU!D199,IF($F$4="C2",historico_VU!E199,IF($F$4="C3",historico_VU!F199,historico_VU!G199)))))</f>
        <v/>
      </c>
      <c r="O251" s="141" t="str">
        <f t="shared" si="19"/>
        <v/>
      </c>
      <c r="P251" s="141" t="str">
        <f t="shared" si="20"/>
        <v/>
      </c>
      <c r="Q251" s="142" t="str">
        <f t="shared" si="21"/>
        <v/>
      </c>
    </row>
    <row r="252" spans="1:17" hidden="1" outlineLevel="1" x14ac:dyDescent="0.35">
      <c r="A252" s="137" t="str">
        <f>IF(historico_VU!A200="","",historico_VU!A200)</f>
        <v/>
      </c>
      <c r="B252" s="138" t="str">
        <f>IF(A252="","",historico_VU!B200)</f>
        <v/>
      </c>
      <c r="C252" s="139" t="str">
        <f>IF(A252="","",historico_VU!C200)</f>
        <v/>
      </c>
      <c r="D252" s="139" t="str">
        <f>IF(A252="","",historico_VU!D200)</f>
        <v/>
      </c>
      <c r="E252" s="139" t="str">
        <f>IF(A252="","",historico_VU!E200)</f>
        <v/>
      </c>
      <c r="F252" s="139" t="str">
        <f>IF(A252="","",historico_VU!F200)</f>
        <v/>
      </c>
      <c r="G252" s="139" t="str">
        <f>IF(A252="","",historico_VU!G200)</f>
        <v/>
      </c>
      <c r="H252" s="140" t="str">
        <f>IF(A252="","",historico_VU!H200)</f>
        <v/>
      </c>
      <c r="I252" s="57"/>
      <c r="J252" s="137" t="str">
        <f>IF(itens_Remanesc!A200="","",itens_Remanesc!A200)</f>
        <v/>
      </c>
      <c r="K252" s="138" t="str">
        <f>IF(J252="","",IF($F$4="C0",itens_Remanesc!B200,IF($F$4="C1",itens_Remanesc!E200,IF($F$4="C2",itens_Remanesc!G200,IF($F$4="C3",itens_Remanesc!I200,itens_Remanesc!K200)))))</f>
        <v/>
      </c>
      <c r="L252" s="138" t="str">
        <f>IF(J252="","",IF(SUMIF(itens_Consumidos!$A$2:$A$200,J252,itens_Consumidos!$B$2:$B$200)-SUMIF(itens_Consumidos!$A$2:$A$200,J252,itens_Consumidos!$O$2:$O$200)&lt;0,0,SUMIF(itens_Consumidos!$A$2:$A$200,J252,itens_Consumidos!$B$2:$B$200)-SUMIF(itens_Consumidos!$A$2:$A$200,J252,itens_Consumidos!$O$2:$O$200)))</f>
        <v/>
      </c>
      <c r="M252" s="141" t="str">
        <f>IF(J252="","",itens_Remanesc!C200)</f>
        <v/>
      </c>
      <c r="N252" s="141" t="str">
        <f>IF(J252="","",IF($F$4="C0",historico_VU!C200,IF($F$4="C1",historico_VU!D200,IF($F$4="C2",historico_VU!E200,IF($F$4="C3",historico_VU!F200,historico_VU!G200)))))</f>
        <v/>
      </c>
      <c r="O252" s="141" t="str">
        <f t="shared" si="19"/>
        <v/>
      </c>
      <c r="P252" s="141" t="str">
        <f t="shared" si="20"/>
        <v/>
      </c>
      <c r="Q252" s="142" t="str">
        <f t="shared" si="21"/>
        <v/>
      </c>
    </row>
    <row r="253" spans="1:17" hidden="1" outlineLevel="1" x14ac:dyDescent="0.35">
      <c r="A253" s="137" t="str">
        <f>IF(historico_VU!A201="","",historico_VU!A201)</f>
        <v/>
      </c>
      <c r="B253" s="138" t="str">
        <f>IF(A253="","",historico_VU!B201)</f>
        <v/>
      </c>
      <c r="C253" s="139" t="str">
        <f>IF(A253="","",historico_VU!C201)</f>
        <v/>
      </c>
      <c r="D253" s="139" t="str">
        <f>IF(A253="","",historico_VU!D201)</f>
        <v/>
      </c>
      <c r="E253" s="139" t="str">
        <f>IF(A253="","",historico_VU!E201)</f>
        <v/>
      </c>
      <c r="F253" s="139" t="str">
        <f>IF(A253="","",historico_VU!F201)</f>
        <v/>
      </c>
      <c r="G253" s="139" t="str">
        <f>IF(A253="","",historico_VU!G201)</f>
        <v/>
      </c>
      <c r="H253" s="140" t="str">
        <f>IF(A253="","",historico_VU!H201)</f>
        <v/>
      </c>
      <c r="I253" s="57"/>
      <c r="J253" s="137" t="str">
        <f>""</f>
        <v/>
      </c>
      <c r="K253" s="138" t="str">
        <f>""</f>
        <v/>
      </c>
      <c r="L253" s="138" t="str">
        <f>""</f>
        <v/>
      </c>
      <c r="M253" s="141" t="str">
        <f>""</f>
        <v/>
      </c>
      <c r="N253" s="141" t="str">
        <f>""</f>
        <v/>
      </c>
      <c r="O253" s="141" t="str">
        <f t="shared" si="19"/>
        <v/>
      </c>
      <c r="P253" s="141" t="str">
        <f t="shared" si="20"/>
        <v/>
      </c>
      <c r="Q253" s="142" t="str">
        <f t="shared" si="21"/>
        <v/>
      </c>
    </row>
    <row r="255" spans="1:17" collapsed="1" x14ac:dyDescent="0.35"/>
    <row r="256" spans="1:17" hidden="1" outlineLevel="1" x14ac:dyDescent="0.35">
      <c r="A256" s="178" t="s">
        <v>496</v>
      </c>
    </row>
    <row r="257" spans="1:15" ht="26" hidden="1" customHeight="1" outlineLevel="1" x14ac:dyDescent="0.35">
      <c r="A257" s="118" t="s">
        <v>36</v>
      </c>
      <c r="B257" s="118" t="s">
        <v>497</v>
      </c>
      <c r="C257" s="118" t="s">
        <v>498</v>
      </c>
      <c r="D257" s="118" t="s">
        <v>499</v>
      </c>
      <c r="E257" s="118" t="s">
        <v>500</v>
      </c>
      <c r="F257" s="118" t="s">
        <v>501</v>
      </c>
      <c r="G257" s="57" t="s">
        <v>502</v>
      </c>
      <c r="H257" s="57" t="s">
        <v>503</v>
      </c>
      <c r="I257" s="57" t="s">
        <v>504</v>
      </c>
      <c r="J257" s="57" t="s">
        <v>505</v>
      </c>
      <c r="K257" s="57" t="s">
        <v>506</v>
      </c>
      <c r="L257" s="57" t="s">
        <v>507</v>
      </c>
      <c r="M257" s="57" t="s">
        <v>508</v>
      </c>
      <c r="N257" s="57" t="s">
        <v>509</v>
      </c>
      <c r="O257" s="57" t="s">
        <v>510</v>
      </c>
    </row>
    <row r="258" spans="1:15" hidden="1" outlineLevel="1" x14ac:dyDescent="0.35">
      <c r="A258" t="s">
        <v>26</v>
      </c>
      <c r="B258" t="str">
        <f>IF(parametros!$F$11="Base","BASE",IF(parametros!$F$11="Aplicado","APLICADO NA APURACAO",IF(parametros!$G$11="Sim","FORA - FORMALIZADO",IF(parametros!$G$11="Nao","FORA - NAO FORMALIZADO","FORA - NAO COMPROVADO"))))</f>
        <v>BASE</v>
      </c>
      <c r="C258" t="str">
        <f>$B$4</f>
        <v>PCs</v>
      </c>
      <c r="D258" t="str">
        <f>IF($B$4&lt;&gt;"Itens","NAO RECONCILIAVEL",IF(E258="","SEM EXECUCAO",IF(AND(ISNUMBER(F258),F258&gt;E258),"COBERTURA SUPERIOR",IF(G258=0,"COMPLETA",IF(G258=E258,"AUSENTE","PARCIAL")))))</f>
        <v>NAO RECONCILIAVEL</v>
      </c>
      <c r="E258" s="179">
        <f>IF(COUNT(itens_Remanesc!AB$2:AB$200)=0,"",ROUND(SUM(itens_Remanesc!AB$2:AB$200),2))</f>
        <v>0</v>
      </c>
      <c r="F258" s="179" t="str">
        <f>IF(OR(E258="",$B$4&lt;&gt;"Itens"),"n/d",ROUND(SUM(itens_Remanesc!AO$2:AO$200),2))</f>
        <v>n/d</v>
      </c>
      <c r="G258" s="179" t="str">
        <f>IF(OR(E258="",$B$4&lt;&gt;"Itens"),"n/d",ROUND(SUM(itens_Remanesc!AP$2:AP$200),2))</f>
        <v>n/d</v>
      </c>
      <c r="H258" s="180">
        <f>IF(ISNUMBER(parametros!$F$2),parametros!$F$2,"")</f>
        <v>1</v>
      </c>
      <c r="I258" s="180">
        <f>IF(ISNUMBER(parametros!$D$11),parametros!$F$2/parametros!$D$11,IF(parametros!$G$11="Sim",parametros!$F$2,""))</f>
        <v>1</v>
      </c>
      <c r="J258" s="180">
        <f>IF(OR(H258="",I258=""),"",ROUND(H258-I258,2))</f>
        <v>0</v>
      </c>
      <c r="K258" s="179">
        <f>IF(I258="","",ROUND(SUM(itens_Remanesc!AQ$2:AQ$200),2))</f>
        <v>0</v>
      </c>
      <c r="L258" s="179" t="str">
        <f>IF(OR(I258="",$B$4&lt;&gt;"Itens"),"",ROUND(SUM(itens_Remanesc!AR$2:AR$200),2))</f>
        <v/>
      </c>
      <c r="M258" s="179">
        <f>IF(AND(K258="",L258=""),"",ROUND(IF(ISNUMBER(K258),K258,0)+IF(ISNUMBER(L258),L258,0),2))</f>
        <v>0</v>
      </c>
      <c r="N258" s="179" t="str">
        <f>IF(AND(RESULTADOS!$G$46="Sim",ISNUMBER(RESULTADOS!$C$46),RESULTADOS!$C$46&gt;=0),RESULTADOS!$C$46,"")</f>
        <v/>
      </c>
      <c r="O258" t="str">
        <f>IF(AND(N258&lt;&gt;"",NOT(ISNUMBER(N258))),"VALOR ADOTADO INVALIDO",IF(AND(ISNUMBER(N258),N258&lt;0),"NEGATIVO - CORRIGIR",IF(AND(ISNUMBER(N258),ISNUMBER(M258),N258&gt;M258),"ADOTADO SUPERIOR AO POTENCIAL - justificar",IF(ISNUMBER(N258),"ADOTADO MANUAL",IF(I258="","FATOR HISTORICO NAO COMPROVADO - decisao manual",IF(AND($B$4&lt;&gt;"Itens",E258&lt;&gt;""),"PARCELA ATUAL NAO RECONCILIAVEL - manual",IF(M258="","sem complemento","COMPLEMENTO POTENCIAL - adocao manual")))))))</f>
        <v>PARCELA ATUAL NAO RECONCILIAVEL - manual</v>
      </c>
    </row>
    <row r="259" spans="1:15" hidden="1" outlineLevel="1" x14ac:dyDescent="0.35">
      <c r="A259" t="s">
        <v>3</v>
      </c>
      <c r="B259" t="str">
        <f>IF(parametros!$F$12="Base","BASE",IF(parametros!$F$12="Aplicado","APLICADO NA APURACAO",IF(parametros!$G$12="Sim","FORA - FORMALIZADO",IF(parametros!$G$12="Nao","FORA - NAO FORMALIZADO",IF(parametros!$G$12="N/A","NAO SE APLICA - ANTERIOR E C0","FORA - NAO COMPROVADO")))))</f>
        <v>APLICADO NA APURACAO</v>
      </c>
      <c r="C259" t="str">
        <f>$B$4</f>
        <v>PCs</v>
      </c>
      <c r="D259" t="str">
        <f>IF($B$4&lt;&gt;"Itens","NAO RECONCILIAVEL",IF(E259="","SEM EXECUCAO",IF(AND(ISNUMBER(F259),F259&gt;E259),"COBERTURA SUPERIOR",IF(G259=0,"COMPLETA",IF(G259=E259,"AUSENTE","PARCIAL")))))</f>
        <v>NAO RECONCILIAVEL</v>
      </c>
      <c r="E259" s="179">
        <f>IF(COUNT(itens_Remanesc!M$2:M$200)=0,"",ROUND(SUM(itens_Remanesc!M$2:M$200),2))</f>
        <v>240</v>
      </c>
      <c r="F259" s="179" t="str">
        <f>IF(OR(E259="",$B$4&lt;&gt;"Itens"),"n/d",ROUND(SUM(itens_Remanesc!AS$2:AS$200),2))</f>
        <v>n/d</v>
      </c>
      <c r="G259" s="179" t="str">
        <f>IF(OR(E259="",$B$4&lt;&gt;"Itens"),"n/d",ROUND(SUM(itens_Remanesc!AT$2:AT$200),2))</f>
        <v>n/d</v>
      </c>
      <c r="H259" s="180">
        <f>IF(ISNUMBER(parametros!$F$3),parametros!$F$3,"")</f>
        <v>1.0511999999999999</v>
      </c>
      <c r="I259" s="180">
        <f>IF(ISNUMBER(parametros!$D$12),parametros!$F$3/parametros!$D$12,IF(parametros!$G$12="Sim",parametros!$F$3,""))</f>
        <v>1</v>
      </c>
      <c r="J259" s="180">
        <f>IF(OR(H259="",I259=""),"",ROUND(H259-I259,2))</f>
        <v>0.05</v>
      </c>
      <c r="K259" s="179">
        <f>IF(I259="","",ROUND(SUM(itens_Remanesc!AU$2:AU$200),2))</f>
        <v>0</v>
      </c>
      <c r="L259" s="179" t="str">
        <f>IF(OR(I259="",$B$4&lt;&gt;"Itens"),"",ROUND(SUM(itens_Remanesc!AV$2:AV$200),2))</f>
        <v/>
      </c>
      <c r="M259" s="179">
        <f>IF(AND(K259="",L259=""),"",ROUND(IF(ISNUMBER(K259),K259,0)+IF(ISNUMBER(L259),L259,0),2))</f>
        <v>0</v>
      </c>
      <c r="N259" s="179" t="str">
        <f>IF(AND(RESULTADOS!$G$47="Sim",ISNUMBER(RESULTADOS!$C$47),RESULTADOS!$C$47&gt;=0),RESULTADOS!$C$47,"")</f>
        <v/>
      </c>
      <c r="O259" t="str">
        <f>IF(AND(N259&lt;&gt;"",NOT(ISNUMBER(N259))),"VALOR ADOTADO INVALIDO",IF(AND(ISNUMBER(N259),N259&lt;0),"NEGATIVO - CORRIGIR",IF(AND(ISNUMBER(N259),ISNUMBER(M259),N259&gt;M259),"ADOTADO SUPERIOR AO POTENCIAL - justificar",IF(ISNUMBER(N259),"ADOTADO MANUAL",IF(I259="","FATOR HISTORICO NAO COMPROVADO - decisao manual",IF(AND($B$4&lt;&gt;"Itens",E259&lt;&gt;""),"PARCELA ATUAL NAO RECONCILIAVEL - manual",IF(M259="","sem complemento","COMPLEMENTO POTENCIAL - adocao manual")))))))</f>
        <v>PARCELA ATUAL NAO RECONCILIAVEL - manual</v>
      </c>
    </row>
    <row r="260" spans="1:15" hidden="1" outlineLevel="1" x14ac:dyDescent="0.35">
      <c r="A260" t="s">
        <v>27</v>
      </c>
      <c r="B260" t="str">
        <f>IF(parametros!$F$13="Base","BASE",IF(parametros!$F$13="Aplicado","APLICADO NA APURACAO",IF(parametros!$G$13="Sim","FORA - FORMALIZADO",IF(parametros!$G$13="Nao","FORA - NAO FORMALIZADO","FORA - NAO COMPROVADO"))))</f>
        <v>FORA - NAO COMPROVADO</v>
      </c>
      <c r="C260" t="str">
        <f>$B$4</f>
        <v>PCs</v>
      </c>
      <c r="D260" t="str">
        <f>IF($B$4&lt;&gt;"Itens","NAO RECONCILIAVEL",IF(E260="","SEM EXECUCAO",IF(AND(ISNUMBER(F260),F260&gt;E260),"COBERTURA SUPERIOR",IF(G260=0,"COMPLETA",IF(G260=E260,"AUSENTE","PARCIAL")))))</f>
        <v>NAO RECONCILIAVEL</v>
      </c>
      <c r="E260" s="179">
        <f>IF(COUNT(itens_Remanesc!O$2:O$200)=0,"",ROUND(SUM(itens_Remanesc!O$2:O$200),2))</f>
        <v>0</v>
      </c>
      <c r="F260" s="179" t="str">
        <f>IF(OR(E260="",$B$4&lt;&gt;"Itens"),"n/d",ROUND(SUM(itens_Remanesc!AW$2:AW$200),2))</f>
        <v>n/d</v>
      </c>
      <c r="G260" s="179" t="str">
        <f>IF(OR(E260="",$B$4&lt;&gt;"Itens"),"n/d",ROUND(SUM(itens_Remanesc!AX$2:AX$200),2))</f>
        <v>n/d</v>
      </c>
      <c r="H260" s="180">
        <f>IF(ISNUMBER(parametros!$F$4),parametros!$F$4,"")</f>
        <v>1.09051488</v>
      </c>
      <c r="I260" s="180" t="str">
        <f>IF(ISNUMBER(parametros!$D$13),parametros!$F$4/parametros!$D$13,IF(parametros!$G$13="Sim",parametros!$F$4,""))</f>
        <v/>
      </c>
      <c r="J260" s="180" t="str">
        <f>IF(OR(H260="",I260=""),"",ROUND(H260-I260,2))</f>
        <v/>
      </c>
      <c r="K260" s="179" t="str">
        <f>IF(I260="","",ROUND(SUM(itens_Remanesc!AY$2:AY$200),2))</f>
        <v/>
      </c>
      <c r="L260" s="179" t="str">
        <f>IF(OR(I260="",$B$4&lt;&gt;"Itens"),"",ROUND(SUM(itens_Remanesc!AZ$2:AZ$200),2))</f>
        <v/>
      </c>
      <c r="M260" s="179" t="str">
        <f>IF(AND(K260="",L260=""),"",ROUND(IF(ISNUMBER(K260),K260,0)+IF(ISNUMBER(L260),L260,0),2))</f>
        <v/>
      </c>
      <c r="N260" s="179" t="str">
        <f>IF(AND(RESULTADOS!$G$48="Sim",ISNUMBER(RESULTADOS!$C$48),RESULTADOS!$C$48&gt;=0),RESULTADOS!$C$48,"")</f>
        <v/>
      </c>
      <c r="O260" t="str">
        <f>IF(AND(N260&lt;&gt;"",NOT(ISNUMBER(N260))),"VALOR ADOTADO INVALIDO",IF(AND(ISNUMBER(N260),N260&lt;0),"NEGATIVO - CORRIGIR",IF(AND(ISNUMBER(N260),ISNUMBER(M260),N260&gt;M260),"ADOTADO SUPERIOR AO POTENCIAL - justificar",IF(ISNUMBER(N260),"ADOTADO MANUAL",IF(I260="","FATOR HISTORICO NAO COMPROVADO - decisao manual",IF(AND($B$4&lt;&gt;"Itens",E260&lt;&gt;""),"PARCELA ATUAL NAO RECONCILIAVEL - manual",IF(M260="","sem complemento","COMPLEMENTO POTENCIAL - adocao manual")))))))</f>
        <v>FATOR HISTORICO NAO COMPROVADO - decisao manual</v>
      </c>
    </row>
    <row r="261" spans="1:15" hidden="1" outlineLevel="1" x14ac:dyDescent="0.35">
      <c r="A261" t="s">
        <v>28</v>
      </c>
      <c r="B261" t="str">
        <f>IF(parametros!$F$14="Base","BASE",IF(parametros!$F$14="Aplicado","APLICADO NA APURACAO",IF(parametros!$G$14="Sim","FORA - FORMALIZADO",IF(parametros!$G$14="Nao","FORA - NAO FORMALIZADO","FORA - NAO COMPROVADO"))))</f>
        <v>FORA - NAO COMPROVADO</v>
      </c>
      <c r="C261" t="str">
        <f>$B$4</f>
        <v>PCs</v>
      </c>
      <c r="D261" t="str">
        <f>IF($B$4&lt;&gt;"Itens","NAO RECONCILIAVEL",IF(E261="","SEM EXECUCAO",IF(AND(ISNUMBER(F261),F261&gt;E261),"COBERTURA SUPERIOR",IF(G261=0,"COMPLETA",IF(G261=E261,"AUSENTE","PARCIAL")))))</f>
        <v>NAO RECONCILIAVEL</v>
      </c>
      <c r="E261" s="179">
        <f>IF(COUNT(itens_Remanesc!Q$2:Q$200)=0,"",ROUND(SUM(itens_Remanesc!Q$2:Q$200),2))</f>
        <v>0</v>
      </c>
      <c r="F261" s="179" t="str">
        <f>IF(OR(E261="",$B$4&lt;&gt;"Itens"),"n/d",ROUND(SUM(itens_Remanesc!BA$2:BA$200),2))</f>
        <v>n/d</v>
      </c>
      <c r="G261" s="179" t="str">
        <f>IF(OR(E261="",$B$4&lt;&gt;"Itens"),"n/d",ROUND(SUM(itens_Remanesc!BB$2:BB$200),2))</f>
        <v>n/d</v>
      </c>
      <c r="H261" s="180">
        <f>IF(ISNUMBER(parametros!$F$5),parametros!$F$5,"")</f>
        <v>1.1220307600319999</v>
      </c>
      <c r="I261" s="180" t="str">
        <f>IF(ISNUMBER(parametros!$D$14),parametros!$F$5/parametros!$D$14,IF(parametros!$G$14="Sim",parametros!$F$5,""))</f>
        <v/>
      </c>
      <c r="J261" s="180" t="str">
        <f>IF(OR(H261="",I261=""),"",ROUND(H261-I261,2))</f>
        <v/>
      </c>
      <c r="K261" s="179" t="str">
        <f>IF(I261="","",ROUND(SUM(itens_Remanesc!BC$2:BC$200),2))</f>
        <v/>
      </c>
      <c r="L261" s="179" t="str">
        <f>IF(OR(I261="",$B$4&lt;&gt;"Itens"),"",ROUND(SUM(itens_Remanesc!BD$2:BD$200),2))</f>
        <v/>
      </c>
      <c r="M261" s="179" t="str">
        <f>IF(AND(K261="",L261=""),"",ROUND(IF(ISNUMBER(K261),K261,0)+IF(ISNUMBER(L261),L261,0),2))</f>
        <v/>
      </c>
      <c r="N261" s="179" t="str">
        <f>IF(AND(RESULTADOS!$G$49="Sim",ISNUMBER(RESULTADOS!$C$49),RESULTADOS!$C$49&gt;=0),RESULTADOS!$C$49,"")</f>
        <v/>
      </c>
      <c r="O261" t="str">
        <f>IF(AND(N261&lt;&gt;"",NOT(ISNUMBER(N261))),"VALOR ADOTADO INVALIDO",IF(AND(ISNUMBER(N261),N261&lt;0),"NEGATIVO - CORRIGIR",IF(AND(ISNUMBER(N261),ISNUMBER(M261),N261&gt;M261),"ADOTADO SUPERIOR AO POTENCIAL - justificar",IF(ISNUMBER(N261),"ADOTADO MANUAL",IF(I261="","FATOR HISTORICO NAO COMPROVADO - decisao manual",IF(AND($B$4&lt;&gt;"Itens",E261&lt;&gt;""),"PARCELA ATUAL NAO RECONCILIAVEL - manual",IF(M261="","sem complemento","COMPLEMENTO POTENCIAL - adocao manual")))))))</f>
        <v>FATOR HISTORICO NAO COMPROVADO - decisao manual</v>
      </c>
    </row>
    <row r="262" spans="1:15" hidden="1" outlineLevel="1" x14ac:dyDescent="0.35">
      <c r="A262" t="s">
        <v>29</v>
      </c>
      <c r="B262" t="str">
        <f>IF(parametros!$F$15="Base","BASE",IF(parametros!$F$15="Aplicado","APLICADO NA APURACAO",IF(parametros!$G$15="Sim","FORA - FORMALIZADO",IF(parametros!$G$15="Nao","FORA - NAO FORMALIZADO","FORA - NAO COMPROVADO"))))</f>
        <v>FORA - NAO COMPROVADO</v>
      </c>
      <c r="C262" t="str">
        <f>$B$4</f>
        <v>PCs</v>
      </c>
      <c r="D262" t="str">
        <f>IF($B$4&lt;&gt;"Itens","NAO RECONCILIAVEL",IF(E262="","SEM EXECUCAO",IF(AND(ISNUMBER(F262),F262&gt;E262),"COBERTURA SUPERIOR",IF(G262=0,"COMPLETA",IF(G262=E262,"AUSENTE","PARCIAL")))))</f>
        <v>NAO RECONCILIAVEL</v>
      </c>
      <c r="E262" s="179" t="str">
        <f>IF(COUNT(itens_Remanesc!S$2:S$200)=0,"",ROUND(SUM(itens_Remanesc!S$2:S$200),2))</f>
        <v/>
      </c>
      <c r="F262" s="179" t="str">
        <f>IF(OR(E262="",$B$4&lt;&gt;"Itens"),"n/d",ROUND(SUM(itens_Remanesc!BE$2:BE$200),2))</f>
        <v>n/d</v>
      </c>
      <c r="G262" s="179" t="str">
        <f>IF(OR(E262="",$B$4&lt;&gt;"Itens"),"n/d",ROUND(SUM(itens_Remanesc!BF$2:BF$200),2))</f>
        <v>n/d</v>
      </c>
      <c r="H262" s="180" t="str">
        <f>IF(ISNUMBER(parametros!$F$6),parametros!$F$6,"")</f>
        <v/>
      </c>
      <c r="I262" s="180" t="str">
        <f>IF(ISNUMBER(parametros!$D$15),parametros!$F$6/parametros!$D$15,IF(parametros!$G$15="Sim",parametros!$F$6,""))</f>
        <v/>
      </c>
      <c r="J262" s="180" t="str">
        <f>IF(OR(H262="",I262=""),"",ROUND(H262-I262,2))</f>
        <v/>
      </c>
      <c r="K262" s="179" t="str">
        <f>IF(I262="","",ROUND(SUM(itens_Remanesc!BG$2:BG$200),2))</f>
        <v/>
      </c>
      <c r="L262" s="179" t="str">
        <f>IF(OR(I262="",$B$4&lt;&gt;"Itens"),"",ROUND(SUM(itens_Remanesc!BH$2:BH$200),2))</f>
        <v/>
      </c>
      <c r="M262" s="179" t="str">
        <f>IF(AND(K262="",L262=""),"",ROUND(IF(ISNUMBER(K262),K262,0)+IF(ISNUMBER(L262),L262,0),2))</f>
        <v/>
      </c>
      <c r="N262" s="179" t="str">
        <f>IF(AND(RESULTADOS!$G$50="Sim",ISNUMBER(RESULTADOS!$C$50),RESULTADOS!$C$50&gt;=0),RESULTADOS!$C$50,"")</f>
        <v/>
      </c>
      <c r="O262" t="str">
        <f>IF(AND(N262&lt;&gt;"",NOT(ISNUMBER(N262))),"VALOR ADOTADO INVALIDO",IF(AND(ISNUMBER(N262),N262&lt;0),"NEGATIVO - CORRIGIR",IF(AND(ISNUMBER(N262),ISNUMBER(M262),N262&gt;M262),"ADOTADO SUPERIOR AO POTENCIAL - justificar",IF(ISNUMBER(N262),"ADOTADO MANUAL",IF(I262="","FATOR HISTORICO NAO COMPROVADO - decisao manual",IF(AND($B$4&lt;&gt;"Itens",E262&lt;&gt;""),"PARCELA ATUAL NAO RECONCILIAVEL - manual",IF(M262="","sem complemento","COMPLEMENTO POTENCIAL - adocao manual")))))))</f>
        <v>FATOR HISTORICO NAO COMPROVADO - decisao manual</v>
      </c>
    </row>
    <row r="263" spans="1:15" hidden="1" outlineLevel="1" x14ac:dyDescent="0.35">
      <c r="A263" t="s">
        <v>511</v>
      </c>
      <c r="E263" s="179"/>
      <c r="F263" s="179"/>
      <c r="G263" s="179"/>
      <c r="H263" s="179"/>
      <c r="I263" s="179"/>
      <c r="J263" s="179" t="s">
        <v>512</v>
      </c>
      <c r="K263" s="179">
        <f>IF(COUNT(K258:K262)=0,"",ROUND(SUM(K258:K262),2))</f>
        <v>0</v>
      </c>
      <c r="L263" s="179" t="str">
        <f>IF(COUNT(L258:L262)=0,"",ROUND(SUM(L258:L262),2))</f>
        <v/>
      </c>
      <c r="M263" s="179">
        <f>IF(COUNT(M258:M262)=0,"",ROUND(SUM(M258:M262),2))</f>
        <v>0</v>
      </c>
      <c r="N263" s="179">
        <f>ROUND(SUM(N258:N262),2)</f>
        <v>0</v>
      </c>
    </row>
    <row r="264" spans="1:15" x14ac:dyDescent="0.35">
      <c r="A264" t="s">
        <v>513</v>
      </c>
    </row>
    <row r="265" spans="1:15" x14ac:dyDescent="0.35">
      <c r="A265" t="str">
        <f>IF(AND(ISNUMBER(B25),$N$263&gt;0),"INTEGRACAO: OVERRIDE MANUAL (B25) VIGENTE - confirmar se complemento historico ja incluido; NAO somado automaticamente",IF($N$263&gt;0,"INTEGRACAO: complemento adotado incorporado ao VTA FINAL (B26)",IF($M$263&gt;0,"INTEGRACAO: complemento potencial disponivel - nao adotado","INTEGRACAO: sem complemento historico")))</f>
        <v>INTEGRACAO: sem complemento historico</v>
      </c>
    </row>
    <row r="267" spans="1:15" x14ac:dyDescent="0.35">
      <c r="A267" s="178" t="s">
        <v>514</v>
      </c>
    </row>
    <row r="268" spans="1:15" x14ac:dyDescent="0.35">
      <c r="A268" t="s">
        <v>515</v>
      </c>
      <c r="B268" s="181">
        <f ca="1">IF(posicao_referencia!$I$5="","",posicao_referencia!$I$5)</f>
        <v>45657</v>
      </c>
    </row>
    <row r="269" spans="1:15" x14ac:dyDescent="0.35">
      <c r="A269" t="s">
        <v>516</v>
      </c>
      <c r="B269" t="str">
        <f ca="1">posicao_referencia!$I$8</f>
        <v>POSICAO FISICA INFORMADA - 31/12/2024</v>
      </c>
    </row>
    <row r="270" spans="1:15" x14ac:dyDescent="0.35">
      <c r="A270" t="s">
        <v>517</v>
      </c>
      <c r="B270" t="str">
        <f ca="1">IF(posicao_referencia!$I$4="","INDISPONIVEL",posicao_referencia!$I$4)</f>
        <v>C1</v>
      </c>
    </row>
    <row r="271" spans="1:15" x14ac:dyDescent="0.35">
      <c r="A271" t="s">
        <v>518</v>
      </c>
      <c r="B271" s="179">
        <f ca="1">IF(COUNT(posicao_referencia!$R$2:$R$200)=0,"",ROUND(SUM(posicao_referencia!$R$2:$R$200),2))</f>
        <v>292233.59999999998</v>
      </c>
    </row>
    <row r="272" spans="1:15" x14ac:dyDescent="0.35">
      <c r="A272" t="s">
        <v>519</v>
      </c>
      <c r="B272" s="179">
        <f ca="1">IF(COUNT(posicao_referencia!$O$2:$O$200)=0,"",ROUND(SUM(posicao_referencia!$O$2:$O$200),2))</f>
        <v>99496.08</v>
      </c>
    </row>
    <row r="273" spans="1:2" x14ac:dyDescent="0.35">
      <c r="A273" t="s">
        <v>520</v>
      </c>
      <c r="B273" s="179">
        <f ca="1">IF(COUNT(posicao_referencia!$N$2:$N$200)=0,"",ROUND(SUM(posicao_referencia!$N$2:$N$200),2))</f>
        <v>153</v>
      </c>
    </row>
    <row r="274" spans="1:2" x14ac:dyDescent="0.35">
      <c r="A274" t="s">
        <v>521</v>
      </c>
      <c r="B274" s="179">
        <f ca="1">IF(COUNT(posicao_referencia!$P$2:$P$200)=0,"",ROUND(SUM(posicao_referencia!$P$2:$P$200),2))</f>
        <v>192737.52</v>
      </c>
    </row>
    <row r="275" spans="1:2" x14ac:dyDescent="0.35">
      <c r="A275" t="s">
        <v>522</v>
      </c>
      <c r="B275" t="str">
        <f ca="1">IF(posicao_referencia!$I$4="","POSICAO DE REFERENCIA INDISPONIVEL",IF(COUNTIF(posicao_referencia!$F$2:$F$200,"REMANESCENTE DE REFERENCIA SUPERA POSICAO CONTRATUAL")&gt;0,"INCONSISTENTE - remanescente supera posicao contratual",IF(posicao_referencia!$I$2,"POSICAO ATUAL INFORMADA - RECONCILIAVEL",IF(COUNT(posicao_referencia!$B$2:$B$200)&gt;0,"POSICAO ATUAL INCOMPLETA - REFERENCIA HISTORICA ABERTURA "&amp;posicao_referencia!$I$4,"REFERENCIA HISTORICA - ABERTURA "&amp;posicao_referencia!$I$4))))</f>
        <v>POSICAO ATUAL INFORMADA - RECONCILIAVEL</v>
      </c>
    </row>
    <row r="276" spans="1:2" x14ac:dyDescent="0.35">
      <c r="A276" t="s">
        <v>523</v>
      </c>
      <c r="B276" t="str">
        <f ca="1">IF(posicao_referencia!$I$4="","",IF(ABS((SUM(posicao_referencia!$L$2:$L$200)+SUM(posicao_referencia!$M$2:$M$200))-(SUM(posicao_referencia!$N$2:$N$200)+SUM(posicao_referencia!$D$2:$D$200)))&lt;=0.01,"OK - conservacao demonstrada","ALERTA - conservacao nao fecha (revisar)"))</f>
        <v>OK - conservacao demonstrada</v>
      </c>
    </row>
    <row r="277" spans="1:2" x14ac:dyDescent="0.35">
      <c r="A277" t="s">
        <v>524</v>
      </c>
    </row>
    <row r="280" spans="1:2" x14ac:dyDescent="0.35">
      <c r="A280" s="184" t="s">
        <v>525</v>
      </c>
    </row>
    <row r="281" spans="1:2" x14ac:dyDescent="0.35">
      <c r="A281" t="s">
        <v>526</v>
      </c>
    </row>
    <row r="282" spans="1:2" x14ac:dyDescent="0.35">
      <c r="A282" t="s">
        <v>527</v>
      </c>
    </row>
  </sheetData>
  <mergeCells count="18">
    <mergeCell ref="A52:H52"/>
    <mergeCell ref="A30:J30"/>
    <mergeCell ref="D25:J25"/>
    <mergeCell ref="A48:J48"/>
    <mergeCell ref="D24:J24"/>
    <mergeCell ref="E26:J26"/>
    <mergeCell ref="J52:Q52"/>
    <mergeCell ref="A49:J49"/>
    <mergeCell ref="A1:J1"/>
    <mergeCell ref="B36:E36"/>
    <mergeCell ref="A8:J8"/>
    <mergeCell ref="A6:J6"/>
    <mergeCell ref="A40:J40"/>
    <mergeCell ref="A17:J17"/>
    <mergeCell ref="A27:J27"/>
    <mergeCell ref="A2:J2"/>
    <mergeCell ref="D5:J5"/>
    <mergeCell ref="A19:J19"/>
  </mergeCells>
  <conditionalFormatting sqref="E26:J26">
    <cfRule type="expression" dxfId="37" priority="3">
      <formula>OR(ISNUMBER(SEARCH("MANUAL REQUERIDO",E26)),ISNUMBER(SEARCH("INCOMPLETO",E26)),ISNUMBER(SEARCH("CORRIGIR",E26)),ISNUMBER(SEARCH("OBRIGATÓRIA",E26)))</formula>
    </cfRule>
  </conditionalFormatting>
  <conditionalFormatting sqref="F16">
    <cfRule type="expression" dxfId="36" priority="2">
      <formula>OR(ISNUMBER(SEARCH("MANUAL",F16)),ISNUMBER(SEARCH("DIVERGENTE",F16)),ISNUMBER(SEARCH("INCOMPLETO",F16)),ISNUMBER(SEARCH("OBRIGATÓRIA",F16)))</formula>
    </cfRule>
  </conditionalFormatting>
  <conditionalFormatting sqref="F36">
    <cfRule type="expression" dxfId="35" priority="4">
      <formula>OR(ISNUMBER(SEARCH("MANUAL",F36)),ISNUMBER(SEARCH("DIVERGENTE",F36)),ISNUMBER(SEARCH("INCOMPLETO",F36)))</formula>
    </cfRule>
  </conditionalFormatting>
  <conditionalFormatting sqref="J4">
    <cfRule type="expression" dxfId="34" priority="1">
      <formula>OR(ISNUMBER(SEARCH("MANUAL",J4)),ISNUMBER(SEARCH("DIVERGENTE",J4)),ISNUMBER(SEARCH("INCOMPLETO",J4)),ISNUMBER(SEARCH("CORRIGIR",J4)))</formula>
    </cfRule>
  </conditionalFormatting>
  <conditionalFormatting sqref="Q54:Q253">
    <cfRule type="expression" dxfId="33" priority="5">
      <formula>OR(Q54="DIVERGENTE",Q54="INCOMPLETO",Q54="MANUAL")</formula>
    </cfRule>
  </conditionalFormatting>
  <dataValidations count="2">
    <dataValidation type="decimal" sqref="D4" xr:uid="{00000000-0002-0000-0E00-000000000000}">
      <formula1>0</formula1>
      <formula2>1</formula2>
    </dataValidation>
    <dataValidation type="decimal" operator="greaterThanOrEqual" allowBlank="1" showInputMessage="1" showErrorMessage="1" error="VALOR ADOTADO deve ser &gt;= 0 (zero permitido)." sqref="N258:N262" xr:uid="{00000000-0002-0000-0E00-000001000000}">
      <formula1>0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8A1538"/>
    <pageSetUpPr fitToPage="1"/>
  </sheetPr>
  <dimension ref="A1:N87"/>
  <sheetViews>
    <sheetView showGridLines="0" zoomScale="90" zoomScaleNormal="90" workbookViewId="0">
      <selection activeCell="D5" sqref="D5:E5"/>
    </sheetView>
  </sheetViews>
  <sheetFormatPr defaultRowHeight="13" x14ac:dyDescent="0.3"/>
  <cols>
    <col min="1" max="1" width="36.6328125" style="240" customWidth="1"/>
    <col min="2" max="2" width="23.90625" style="240" customWidth="1"/>
    <col min="3" max="3" width="21.453125" style="240" customWidth="1"/>
    <col min="4" max="4" width="35.90625" style="240" customWidth="1"/>
    <col min="5" max="5" width="26.6328125" style="240" customWidth="1"/>
    <col min="6" max="6" width="18.6328125" style="240" customWidth="1"/>
    <col min="7" max="7" width="19.90625" style="240" customWidth="1"/>
    <col min="8" max="8" width="25.90625" style="240" customWidth="1"/>
    <col min="9" max="9" width="8.7265625" style="240" customWidth="1"/>
    <col min="10" max="14" width="13" style="240" hidden="1" customWidth="1"/>
    <col min="15" max="18" width="8.7265625" style="240" customWidth="1"/>
    <col min="19" max="16384" width="8.7265625" style="240"/>
  </cols>
  <sheetData>
    <row r="1" spans="1:10" ht="34" customHeight="1" x14ac:dyDescent="0.3">
      <c r="A1" s="524" t="s">
        <v>352</v>
      </c>
      <c r="B1" s="492"/>
      <c r="C1" s="492"/>
      <c r="D1" s="492"/>
      <c r="E1" s="492"/>
      <c r="F1" s="492"/>
      <c r="G1" s="523" t="str">
        <f ca="1">$B$3</f>
        <v>VALIDADO</v>
      </c>
      <c r="H1" s="492"/>
    </row>
    <row r="2" spans="1:10" ht="90.5" customHeight="1" x14ac:dyDescent="0.3">
      <c r="A2" s="509" t="s">
        <v>528</v>
      </c>
      <c r="B2" s="492"/>
      <c r="C2" s="492"/>
      <c r="D2" s="492"/>
      <c r="E2" s="492"/>
      <c r="F2" s="492"/>
      <c r="G2" s="500" t="str">
        <f ca="1">IF($J$5=0,"Sem pendências","PENDÊNCIAS:"&amp;CHAR(10)&amp;_xlfn.TEXTJOIN(CHAR(10),TRUE,IF($H$8&lt;&gt;"VALIDADO","• VTA não validado.",""),IF($H$14&lt;&gt;"VALIDADO","• Retroativo não validado.",""),IF($H$24&lt;&gt;"VALIDADO","• Remanescente não validado.",""),IF($H$33="REVISE","• "&amp;IF(posicao_referencia!$I$10="REVISE",posicao_referencia!$I$11,"Ciclo em execução não preenchido ou incompleto — VTA da posição atual indisponível."),""),IF(COUNTIF($H$43:$H$50,"REVISE")&gt;0,"• "&amp;COUNTIF($H$43:$H$50,"REVISE")&amp;" checagem(ns) de itens com REVISE.","")))&amp;IF(AND($H$33="ESTIMADO",posicao_referencia!$I$10="ESTIMADO"),CHAR(10)&amp;"Posição física de "&amp;RIGHT("0"&amp;DAY(posicao_referencia!$I$9),2)&amp;"/"&amp;RIGHT("0"&amp;MONTH(posicao_referencia!$I$9),2)&amp;"/"&amp;YEAR(posicao_referencia!$I$9)&amp;" anterior à data de corte de "&amp;RIGHT("0"&amp;DAY(CONTROLE!$B$3),2)&amp;"/"&amp;RIGHT("0"&amp;MONTH(CONTROLE!$B$3),2)&amp;"/"&amp;YEAR(CONTROLE!$B$3)&amp;" — referência estimada.","")</f>
        <v>Sem pendências</v>
      </c>
      <c r="H2" s="492"/>
      <c r="J2" s="240" t="s">
        <v>51</v>
      </c>
    </row>
    <row r="3" spans="1:10" ht="20" customHeight="1" x14ac:dyDescent="0.35">
      <c r="A3" s="241" t="str">
        <f>IF($J$6=1,$B$5,"selecionar na aba CONTROLE")</f>
        <v>PCs</v>
      </c>
      <c r="B3" s="242" t="str">
        <f ca="1">IF(OR($H$8="REVISE",$H$14="REVISE",$H$24="REVISE",$H$33="REVISE",COUNTIF($H$43:$H$50,"REVISE")&gt;0),"REVISE",IF($H$33="ESTIMADO","ESTIMADO","VALIDADO"))</f>
        <v>VALIDADO</v>
      </c>
      <c r="C3" s="243" t="str">
        <f>IF($J$8="","—",UPPER($J$8))</f>
        <v>C1</v>
      </c>
      <c r="D3" s="283"/>
      <c r="E3" s="244">
        <f>$F$5</f>
        <v>45657</v>
      </c>
      <c r="F3" s="283"/>
      <c r="G3" s="513">
        <f>$D$6</f>
        <v>5.1199999999999912E-2</v>
      </c>
      <c r="H3" s="514"/>
      <c r="J3" s="240" t="s">
        <v>50</v>
      </c>
    </row>
    <row r="4" spans="1:10" ht="18" customHeight="1" x14ac:dyDescent="0.3">
      <c r="A4" s="284" t="str">
        <f>IF(MEMORIA_RESULTADOS!$B$4="PCs","VTA OFICIAL — inclui retroativo reconhecido + retroativo potencial","VTA OFICIAL")</f>
        <v>VTA OFICIAL — inclui retroativo reconhecido + retroativo potencial</v>
      </c>
      <c r="B4" s="285"/>
      <c r="C4" s="313" t="str">
        <f ca="1">$H$8</f>
        <v>VALIDADO</v>
      </c>
      <c r="D4" s="314" t="s">
        <v>529</v>
      </c>
      <c r="E4" s="315" t="str">
        <f>$H$14</f>
        <v>VALIDADO</v>
      </c>
      <c r="F4" s="314" t="s">
        <v>530</v>
      </c>
      <c r="G4" s="286"/>
      <c r="H4" s="316" t="str">
        <f ca="1">$H$33</f>
        <v>VALIDADO</v>
      </c>
    </row>
    <row r="5" spans="1:10" ht="34" customHeight="1" x14ac:dyDescent="0.35">
      <c r="A5" s="287"/>
      <c r="B5" s="245" t="str">
        <f>MEMORIA_RESULTADOS!$B$4</f>
        <v>PCs</v>
      </c>
      <c r="C5" s="325">
        <f>IF(VTA_FINAL="","",VTA_FINAL)</f>
        <v>299670.40000000002</v>
      </c>
      <c r="D5" s="526">
        <f>$D$22</f>
        <v>14156.8</v>
      </c>
      <c r="E5" s="521"/>
      <c r="F5" s="246">
        <f>IF(CONTROLE!$B$3="","",CONTROLE!$B$3)</f>
        <v>45657</v>
      </c>
      <c r="G5" s="292">
        <f ca="1">$B$38</f>
        <v>99496.08</v>
      </c>
      <c r="H5" s="247">
        <f>IFERROR(IF(UPPER(CONTROLE!$B$2)="C0",1,IF(UPPER(CONTROLE!$B$2)="C1",IF(COUNT(parametros!$E$3:$E$3)=1,parametros!$F$3,""),IF(UPPER(CONTROLE!$B$2)="C2",IF(COUNT(parametros!$E$3:$E$4)=2,parametros!$F$4,""),IF(UPPER(CONTROLE!$B$2)="C3",IF(COUNT(parametros!$E$3:$E$5)=3,parametros!$F$5,""),IF(UPPER(CONTROLE!$B$2)="C4",IF(COUNT(parametros!$E$3:$E$6)=4,parametros!$F$6,""),""))))),"")</f>
        <v>1.0511999999999999</v>
      </c>
      <c r="J5" s="248">
        <f ca="1">($H$8&lt;&gt;"VALIDADO")+($H$14&lt;&gt;"VALIDADO")+($H$24&lt;&gt;"VALIDADO")+($H$33="REVISE")+COUNTIF($H$43:$H$50,"REVISE")</f>
        <v>0</v>
      </c>
    </row>
    <row r="6" spans="1:10" ht="18" customHeight="1" x14ac:dyDescent="0.3">
      <c r="A6" s="288" t="str">
        <f>IF(MEMORIA_RESULTADOS!$B$4&lt;&gt;"PCs","","Inclui R$ "&amp;TEXT(N(RETROATIVO_POTENCIAL_VTA),"#.##0,00")&amp;" de retroativo POTENCIAL (sujeito à confirmação da área gestora)")</f>
        <v>Inclui R$ 7.436,80 de retroativo POTENCIAL (sujeito à confirmação da área gestora)</v>
      </c>
      <c r="B6" s="245">
        <f>IF(parametros!$E$16="","",parametros!$E$16)</f>
        <v>1.0511999999999999</v>
      </c>
      <c r="C6" s="317"/>
      <c r="D6" s="246">
        <f>IF($H$5="","",$H$5-1)</f>
        <v>5.1199999999999912E-2</v>
      </c>
      <c r="E6" s="318" t="str">
        <f>IF($D$22&lt;&gt;"",IF($J$11="","Ciclos apurados","Ciclos apurados — "&amp;$J$11),IF($J$6=0,"SELECIONE O MÉTODO NA ABA CONTROLE","INFORME A BASE DO MÉTODO"))</f>
        <v>Ciclos apurados — C1</v>
      </c>
      <c r="F6" s="319" t="str">
        <f>IF(CONTROLE!$B$3="","Data de corte não informada","Posição em "&amp;RIGHT("0"&amp;DAY(CONTROLE!$B$3),2)&amp;"/"&amp;RIGHT("0"&amp;MONTH(CONTROLE!$B$3),2)&amp;"/"&amp;YEAR(CONTROLE!$B$3))</f>
        <v>Posição em 31/12/2024</v>
      </c>
      <c r="G6" s="289"/>
      <c r="H6" s="290"/>
      <c r="J6" s="248">
        <f>IF(OR($B$5="Financeiro",$B$5="PCs",$B$5="Itens"),1,0)</f>
        <v>1</v>
      </c>
    </row>
    <row r="7" spans="1:10" ht="20" customHeight="1" x14ac:dyDescent="0.3">
      <c r="A7" s="291" t="str">
        <f ca="1">IF($J$5=0,"APURAÇÃO CONCLUÍDA","PENDÊNCIAS PARA CONCLUSÃO:")</f>
        <v>APURAÇÃO CONCLUÍDA</v>
      </c>
      <c r="B7" s="511" t="str">
        <f ca="1">IF($J$5=0,"Nenhuma pendência registrada pelas validações desta apuração.","Informar / concluir: "&amp;IF($H$8&lt;&gt;"VALIDADO","composição do VTA; ","")&amp;IF($H$14&lt;&gt;"VALIDADO","retroativo por ciclo; ","")&amp;IF($H$24&lt;&gt;"VALIDADO","remanescente por ciclo; ","")&amp;IF($H$33&lt;&gt;"VALIDADO","situação do ciclo atual"&amp;IF(CONTROLE!$B$2="",""," ("&amp;UPPER(CONTROLE!$B$2)&amp;")")&amp;"; ","")&amp;IF(COUNTIF($H$43:$H$50,"REVISE")&gt;0,"ajustes manuais; ",""))</f>
        <v>Nenhuma pendência registrada pelas validações desta apuração.</v>
      </c>
      <c r="C7" s="492"/>
      <c r="D7" s="492"/>
      <c r="E7" s="492"/>
      <c r="F7" s="492"/>
      <c r="G7" s="492"/>
      <c r="H7" s="492"/>
    </row>
    <row r="8" spans="1:10" ht="15" customHeight="1" x14ac:dyDescent="0.3">
      <c r="A8" s="366" t="str">
        <f>IF(MEMORIA_RESULTADOS!$B$4&lt;&gt;"PCs","","RETROATIVO POTENCIAL — POTENCIAL (incorporado ao VTA)")</f>
        <v>RETROATIVO POTENCIAL — POTENCIAL (incorporado ao VTA)</v>
      </c>
      <c r="B8" s="366"/>
      <c r="C8" s="367">
        <f>IF(MEMORIA_RESULTADOS!$B$4&lt;&gt;"PCs","",IFERROR(RETROATIVO_POTENCIAL_VTA,""))</f>
        <v>7436.8</v>
      </c>
      <c r="D8" s="368" t="str">
        <f>IF(MEMORIA_RESULTADOS!$B$4&lt;&gt;"PCs","","RETROATIVO CONSIDERADO NO VTA")</f>
        <v>RETROATIVO CONSIDERADO NO VTA</v>
      </c>
      <c r="E8" s="369">
        <f>IF(OR(MEMORIA_RESULTADOS!$B$4&lt;&gt;"PCs",$D$22=""),"",ROUND(N($D$22)+N(RETROATIVO_POTENCIAL_VTA),2))</f>
        <v>21593.599999999999</v>
      </c>
      <c r="F8" s="250"/>
      <c r="G8" s="250"/>
      <c r="H8" s="251" t="str">
        <f ca="1">IF(OR(VTA_FINAL="",NOT(ISNUMBER(VTA_FINAL)),$H$5="",NOT(OR(ISNUMBER(SEARCH("CALCULADO",MEMORIA_RESULTADOS!$E$26)),ISNUMBER(SEARCH("MANUAL VALIDADO",MEMORIA_RESULTADOS!$E$26)),ISNUMBER(SEARCH("COM AJUSTE MANUAL",MEMORIA_RESULTADOS!$E$26))))),"REVISE","VALIDADO")</f>
        <v>VALIDADO</v>
      </c>
      <c r="J8" s="312" t="str">
        <f>UPPER(CONTROLE!$B$2)</f>
        <v>C1</v>
      </c>
    </row>
    <row r="9" spans="1:10" ht="24" customHeight="1" x14ac:dyDescent="0.3">
      <c r="A9" s="491" t="s">
        <v>531</v>
      </c>
      <c r="B9" s="492"/>
      <c r="C9" s="492"/>
      <c r="D9" s="492"/>
      <c r="E9" s="492"/>
      <c r="F9" s="492"/>
      <c r="G9" s="492"/>
      <c r="H9" s="492"/>
      <c r="J9" s="248">
        <f>COUNTIF(parametros!$A$3:$A$6,"Sim")</f>
        <v>1</v>
      </c>
    </row>
    <row r="10" spans="1:10" ht="46" hidden="1" customHeight="1" x14ac:dyDescent="0.35">
      <c r="A10" s="253" t="s">
        <v>532</v>
      </c>
      <c r="B10" s="254">
        <f ca="1">IF(MEMORIA_RESULTADOS!$W$50="","",MEMORIA_RESULTADOS!$W$50)</f>
        <v>292233.59999999998</v>
      </c>
      <c r="C10" s="501" t="str">
        <f ca="1">IF(MEMORIA_RESULTADOS!$W$50="","POSICAO ATUAL NAO INFORMADA (CICLO_EM_EXECUCAO ausente/incompleta)",IF(MEMORIA_RESULTADOS!$B$4="Financeiro","execucao historica financeiro!E ciclos encerrados (MEMORIA!W66) + execucao ate a data + remanescente atual (CICLO_EM_EXECUCAO!F/G)","C0 exec (MEMORIA!T21) + ciclos encerrados (MEMORIA!T22) + execucao ate a data + remanescente atual (CICLO_EM_EXECUCAO!F/G)"))</f>
        <v>C0 exec (MEMORIA!T21) + ciclos encerrados (MEMORIA!T22) + execucao ate a data + remanescente atual (CICLO_EM_EXECUCAO!F/G)</v>
      </c>
      <c r="D10" s="530"/>
      <c r="E10" s="502"/>
      <c r="F10" s="501" t="s">
        <v>533</v>
      </c>
      <c r="G10" s="502"/>
      <c r="H10" s="297" t="str">
        <f ca="1">IF(AND(ISNUMBER(posicao_referencia!$I$9),ISNUMBER(CONTROLE!$B$3),posicao_referencia!$I$9&gt;CONTROLE!$B$3),"REVISE - POSICAO POSTERIOR A DATA DE CORTE",IF(MEMORIA_RESULTADOS!$W$50="","NAO DISPONIVEL - POSICAO FISICA NAO INFORMADA OU INCOMPLETA",IF(posicao_referencia!$I$10="VALIDADO","UTILIZADA - POSICAO FISICA DE "&amp;(RIGHT("0"&amp;DAY(posicao_referencia!$I$9),2)&amp;"/"&amp;RIGHT("0"&amp;MONTH(posicao_referencia!$I$9),2)&amp;"/"&amp;YEAR(posicao_referencia!$I$9)),"ESTIMADA - POSICAO FISICA DE "&amp;(RIGHT("0"&amp;DAY(posicao_referencia!$I$9),2)&amp;"/"&amp;RIGHT("0"&amp;MONTH(posicao_referencia!$I$9),2)&amp;"/"&amp;YEAR(posicao_referencia!$I$9)))))</f>
        <v>UTILIZADA - POSICAO FISICA DE 31/12/2024</v>
      </c>
      <c r="J10" s="248" t="str">
        <f>_xlfn.TEXTJOIN(", ",TRUE,IF(parametros!$A$3="Sim",parametros!$B$3,""),IF(parametros!$A$4="Sim",parametros!$B$4,""),IF(parametros!$A$5="Sim",parametros!$B$5,""),IF(parametros!$A$6="Sim",parametros!$B$6,""))</f>
        <v>C1</v>
      </c>
    </row>
    <row r="11" spans="1:10" ht="46" hidden="1" customHeight="1" x14ac:dyDescent="0.35">
      <c r="A11" s="293" t="s">
        <v>534</v>
      </c>
      <c r="B11" s="294">
        <f>IF(MEMORIA_RESULTADOS!$W$48="","",MEMORIA_RESULTADOS!$W$48)</f>
        <v>292233.59999999998</v>
      </c>
      <c r="C11" s="494" t="str">
        <f>IF(MEMORIA_RESULTADOS!$B$4="Financeiro","execucao historica financeiro!E ate a abertura adotada (MEMORIA!W67)","C0 exec (MEMORIA!T21) + ciclos encerrados (MEMORIA!T22)")&amp;" + remanescente na abertura C"&amp;IF(MEMORIA_RESULTADOS!$W$46="","?",MEMORIA_RESULTADOS!$W$46)&amp;" (MEMORIA!AB)"&amp;IF(MEMORIA_RESULTADOS!$W$47=""," "," — "&amp;MEMORIA_RESULTADOS!$W$47)</f>
        <v xml:space="preserve">C0 exec (MEMORIA!T21) + ciclos encerrados (MEMORIA!T22) + remanescente na abertura C1 (MEMORIA!AB) </v>
      </c>
      <c r="D11" s="499"/>
      <c r="E11" s="495"/>
      <c r="F11" s="494" t="s">
        <v>535</v>
      </c>
      <c r="G11" s="495"/>
      <c r="H11" s="298" t="str">
        <f>IF(MEMORIA_RESULTADOS!$W$48="","INCOMPLETO","REFERENCIA - ABERTURA DO CICLO C"&amp;MEMORIA_RESULTADOS!$W$46)</f>
        <v>REFERENCIA - ABERTURA DO CICLO C1</v>
      </c>
      <c r="J11" s="248" t="str">
        <f>IF($J$9=0,"",IF($J$9=1,$J$10,LEFT($J$10,FIND("|",SUBSTITUTE($J$10,", ","|",$J$9-1))-1)&amp;" e "&amp;MID($J$10,FIND("|",SUBSTITUTE($J$10,", ","|",$J$9-1))+2,200)))</f>
        <v>C1</v>
      </c>
    </row>
    <row r="12" spans="1:10" ht="46" hidden="1" customHeight="1" x14ac:dyDescent="0.35">
      <c r="A12" s="293" t="s">
        <v>536</v>
      </c>
      <c r="B12" s="294">
        <f>IFERROR(comparativo_VTA!$B$208,"")</f>
        <v>292233.59999999998</v>
      </c>
      <c r="C12" s="494" t="s">
        <v>537</v>
      </c>
      <c r="D12" s="499"/>
      <c r="E12" s="495"/>
      <c r="F12" s="494" t="s">
        <v>538</v>
      </c>
      <c r="G12" s="495"/>
      <c r="H12" s="298" t="s">
        <v>539</v>
      </c>
    </row>
    <row r="13" spans="1:10" ht="46" hidden="1" customHeight="1" x14ac:dyDescent="0.35">
      <c r="A13" s="295" t="s">
        <v>540</v>
      </c>
      <c r="B13" s="296">
        <f ca="1">IF(MEMORIA_RESULTADOS!$W$51="","",MEMORIA_RESULTADOS!$W$51)</f>
        <v>0</v>
      </c>
      <c r="C13" s="516" t="s">
        <v>541</v>
      </c>
      <c r="D13" s="517"/>
      <c r="E13" s="518"/>
      <c r="F13" s="516" t="s">
        <v>542</v>
      </c>
      <c r="G13" s="518"/>
      <c r="H13" s="299" t="str">
        <f ca="1">MEMORIA_RESULTADOS!$W$52</f>
        <v>RECONCILIADO</v>
      </c>
    </row>
    <row r="14" spans="1:10" ht="15" customHeight="1" x14ac:dyDescent="0.3">
      <c r="A14" s="249"/>
      <c r="B14" s="250"/>
      <c r="C14" s="250"/>
      <c r="D14" s="250"/>
      <c r="E14" s="250"/>
      <c r="F14" s="250"/>
      <c r="G14" s="250"/>
      <c r="H14" s="251" t="str">
        <f>IF(ISNUMBER(SEARCH("MANUAL VALIDADO",MEMORIA_RESULTADOS!$F$16)),"VALIDADO",IF(OR(AND(parametros!$A$2="Sim",NOT(ISNUMBER($B$16))),AND(parametros!$A$3="Sim",NOT(ISNUMBER($B$17))),AND(parametros!$A$4="Sim",NOT(ISNUMBER($B$18))),AND(parametros!$A$5="Sim",NOT(ISNUMBER($B$19))),AND(parametros!$A$6="Sim",NOT(ISNUMBER($B$20))),NOT(ISNUMBER(SEARCH("CALCULADO",MEMORIA_RESULTADOS!$F$16)))),"REVISE","VALIDADO"))</f>
        <v>VALIDADO</v>
      </c>
    </row>
    <row r="15" spans="1:10" ht="28" customHeight="1" x14ac:dyDescent="0.3">
      <c r="A15" s="263" t="str">
        <f>IF($B$5="PCs","2. EXECUÇÃO RECONHECIDA EM PCs POR CICLO","2. EXECUÇÃO E RETROATIVO POR CICLO")</f>
        <v>2. EXECUÇÃO RECONHECIDA EM PCs POR CICLO</v>
      </c>
      <c r="B15" s="252" t="str">
        <f>IF($B$5="PCs","Valor executado original",IF($B$5="Financeiro","Valor pago",IF($B$5="PCs","Valor original",IF($B$5="Itens","Valor consumido original","Valor de referência"))))</f>
        <v>Valor executado original</v>
      </c>
      <c r="C15" s="252" t="str">
        <f>IF($B$5="PCs","Valor executado atualizado",IF($B$5="Financeiro","Valor devido atualizado",IF($B$5="PCs","Valor atualizado",IF($B$5="Itens","Valor consumido atualizado","Valor atualizado"))))</f>
        <v>Valor executado atualizado</v>
      </c>
      <c r="D15" s="252" t="str">
        <f>IF($B$5="PCs","Reajuste incorporado","Diferença")</f>
        <v>Reajuste incorporado</v>
      </c>
      <c r="E15" s="255"/>
      <c r="F15" s="255"/>
      <c r="G15" s="255"/>
      <c r="H15" s="255"/>
    </row>
    <row r="16" spans="1:10" ht="19" customHeight="1" x14ac:dyDescent="0.3">
      <c r="A16" s="256" t="s">
        <v>26</v>
      </c>
      <c r="B16" s="257">
        <f>IF($B$5="Financeiro",IF(COUNTIFS(financeiro!$B$2:$B$73,"c0",financeiro!$C$2:$C$73,"&gt;0")&gt;0,ROUND(SUMIFS(financeiro!$C$2:$C$73,financeiro!$B$2:$B$73,"c0",financeiro!$C$2:$C$73,"&gt;0"),2),IF(AND(ISNUMBER(cobertura_temporal!$B$13),ISNUMBER(parametros!$D$2),cobertura_temporal!$B$13&gt;=IF(CONTROLE!$B$3="",parametros!$D$2,MIN(parametros!$D$2,CONTROLE!$B$3))),0,"")),IF($B$5="PCs",IF(COUNTIFS(itens_PC!$C$2:$C$5001,"C0",itens_PC!$D$2:$D$5001,"&gt;0",itens_PC!$G$2:$G$5001,"Sim",itens_PC!$B$2:$B$5001,"&lt;="&amp;MEMORIA_RESULTADOS!$T$31)&gt;0,ROUND(SUMIFS(itens_PC!$D$2:$D$5001,itens_PC!$C$2:$C$5001,"C0",itens_PC!$G$2:$G$5001,"Sim",itens_PC!$B$2:$B$5001,"&lt;="&amp;MEMORIA_RESULTADOS!$T$31),2),IF(AND(ISNUMBER(cobertura_temporal!$B$15),ISNUMBER(parametros!$D$2),cobertura_temporal!$B$15&gt;=IF(CONTROLE!$B$3="",parametros!$D$2,MIN(parametros!$D$2,CONTROLE!$B$3))),0,"")),IF($B$5="Itens",IF(COUNTIFS(itens_Consumidos!$E$2:$E$200,"&gt;0")=0,"",ROUND(SUMPRODUCT(itens_Consumidos!$E$2:$E$200,itens_Consumidos!$C$2:$C$200),2)),"")))</f>
        <v>0</v>
      </c>
      <c r="C16" s="257">
        <f>IF(OR(B16="",D16=""),"",ROUND(B16+D16,2))</f>
        <v>0</v>
      </c>
      <c r="D16" s="257">
        <f>IF(B16="","",IF(MEMORIA_RESULTADOS!$E$10="",0,MEMORIA_RESULTADOS!$E$10))</f>
        <v>0</v>
      </c>
      <c r="E16" s="527" t="str">
        <f>IF($A$23="","",$A$23&amp;CHAR(10)&amp;IF($B$5="Financeiro","Valor pago: R$ ","Valor original: R$ ")&amp;ROUND($B$23,2)&amp;"  ·  Valor atualizado: R$ "&amp;ROUND($C$23,2)&amp;"  ·  Diferença: R$ "&amp;ROUND($D$23,2)&amp;CHAR(10)&amp;$E$23)</f>
        <v/>
      </c>
      <c r="F16" s="492"/>
      <c r="G16" s="492"/>
      <c r="H16" s="492"/>
    </row>
    <row r="17" spans="1:8" ht="19" customHeight="1" x14ac:dyDescent="0.3">
      <c r="A17" s="258" t="s">
        <v>3</v>
      </c>
      <c r="B17" s="259">
        <f>IF($B$5="Financeiro",IF(COUNTIFS(financeiro!$B$2:$B$73,"c1",financeiro!$C$2:$C$73,"&gt;0")&gt;0,ROUND(SUMIFS(financeiro!$C$2:$C$73,financeiro!$B$2:$B$73,"c1",financeiro!$C$2:$C$73,"&gt;0"),2),IF(AND(ISNUMBER(cobertura_temporal!$B$13),ISNUMBER(parametros!$D$3),cobertura_temporal!$B$13&gt;=IF(CONTROLE!$B$3="",parametros!$D$3,MIN(parametros!$D$3,CONTROLE!$B$3))),0,"")),IF($B$5="PCs",IF(COUNTIFS(itens_PC!$C$2:$C$5001,"C1",itens_PC!$D$2:$D$5001,"&gt;0",itens_PC!$G$2:$G$5001,"Sim",itens_PC!$B$2:$B$5001,"&lt;="&amp;MEMORIA_RESULTADOS!$T$31)&gt;0,ROUND(SUMIFS(itens_PC!$D$2:$D$5001,itens_PC!$C$2:$C$5001,"C1",itens_PC!$G$2:$G$5001,"Sim",itens_PC!$B$2:$B$5001,"&lt;="&amp;MEMORIA_RESULTADOS!$T$31),2),IF(AND(ISNUMBER(cobertura_temporal!$B$15),ISNUMBER(parametros!$D$3),cobertura_temporal!$B$15&gt;=IF(CONTROLE!$B$3="",parametros!$D$3,MIN(parametros!$D$3,CONTROLE!$B$3))),0,"")),IF($B$5="Itens",IF(COUNTIFS(itens_Consumidos!$G$2:$G$200,"&gt;0")=0,"",ROUND(SUMPRODUCT(itens_Consumidos!$G$2:$G$200,itens_Consumidos!$C$2:$C$200),2)),"")))</f>
        <v>276500</v>
      </c>
      <c r="C17" s="259">
        <f>IF(OR(B17="",D17=""),"",ROUND(B17+D17,2))</f>
        <v>290656.8</v>
      </c>
      <c r="D17" s="259">
        <f>IF(B17="","",IF(MEMORIA_RESULTADOS!$E$11="",0,MEMORIA_RESULTADOS!$E$11))</f>
        <v>14156.8</v>
      </c>
      <c r="E17" s="505"/>
      <c r="F17" s="492"/>
      <c r="G17" s="492"/>
      <c r="H17" s="492"/>
    </row>
    <row r="18" spans="1:8" ht="19" customHeight="1" x14ac:dyDescent="0.3">
      <c r="A18" s="258" t="s">
        <v>27</v>
      </c>
      <c r="B18" s="259">
        <f>IF($B$5="Financeiro",IF(COUNTIFS(financeiro!$B$2:$B$73,"c2",financeiro!$C$2:$C$73,"&gt;0")&gt;0,ROUND(SUMIFS(financeiro!$C$2:$C$73,financeiro!$B$2:$B$73,"c2",financeiro!$C$2:$C$73,"&gt;0"),2),IF(AND(ISNUMBER(cobertura_temporal!$B$13),ISNUMBER(parametros!$D$4),cobertura_temporal!$B$13&gt;=IF(CONTROLE!$B$3="",parametros!$D$4,MIN(parametros!$D$4,CONTROLE!$B$3))),0,"")),IF($B$5="PCs",IF(COUNTIFS(itens_PC!$C$2:$C$5001,"C2",itens_PC!$D$2:$D$5001,"&gt;0",itens_PC!$G$2:$G$5001,"Sim",itens_PC!$B$2:$B$5001,"&lt;="&amp;MEMORIA_RESULTADOS!$T$31)&gt;0,ROUND(SUMIFS(itens_PC!$D$2:$D$5001,itens_PC!$C$2:$C$5001,"C2",itens_PC!$G$2:$G$5001,"Sim",itens_PC!$B$2:$B$5001,"&lt;="&amp;MEMORIA_RESULTADOS!$T$31),2),IF(AND(ISNUMBER(cobertura_temporal!$B$15),ISNUMBER(parametros!$D$4),cobertura_temporal!$B$15&gt;=IF(CONTROLE!$B$3="",parametros!$D$4,MIN(parametros!$D$4,CONTROLE!$B$3))),0,"")),IF($B$5="Itens",IF(COUNTIFS(itens_Consumidos!$I$2:$I$200,"&gt;0")=0,"",ROUND(SUMPRODUCT(itens_Consumidos!$I$2:$I$200,itens_Consumidos!$C$2:$C$200),2)),"")))</f>
        <v>0</v>
      </c>
      <c r="C18" s="259">
        <f>IF(OR(B18="",D18=""),"",ROUND(B18+D18,2))</f>
        <v>0</v>
      </c>
      <c r="D18" s="259">
        <f>IF(B18="","",IF(MEMORIA_RESULTADOS!$E$12="",0,MEMORIA_RESULTADOS!$E$12))</f>
        <v>0</v>
      </c>
      <c r="E18" s="505"/>
      <c r="F18" s="492"/>
      <c r="G18" s="492"/>
      <c r="H18" s="492"/>
    </row>
    <row r="19" spans="1:8" ht="19" customHeight="1" x14ac:dyDescent="0.3">
      <c r="A19" s="258" t="s">
        <v>28</v>
      </c>
      <c r="B19" s="259">
        <f>IF($B$5="Financeiro",IF(COUNTIFS(financeiro!$B$2:$B$73,"c3",financeiro!$C$2:$C$73,"&gt;0")&gt;0,ROUND(SUMIFS(financeiro!$C$2:$C$73,financeiro!$B$2:$B$73,"c3",financeiro!$C$2:$C$73,"&gt;0"),2),IF(AND(ISNUMBER(cobertura_temporal!$B$13),ISNUMBER(parametros!$D$5),cobertura_temporal!$B$13&gt;=IF(CONTROLE!$B$3="",parametros!$D$5,MIN(parametros!$D$5,CONTROLE!$B$3))),0,"")),IF($B$5="PCs",IF(COUNTIFS(itens_PC!$C$2:$C$5001,"C3",itens_PC!$D$2:$D$5001,"&gt;0",itens_PC!$G$2:$G$5001,"Sim",itens_PC!$B$2:$B$5001,"&lt;="&amp;MEMORIA_RESULTADOS!$T$31)&gt;0,ROUND(SUMIFS(itens_PC!$D$2:$D$5001,itens_PC!$C$2:$C$5001,"C3",itens_PC!$G$2:$G$5001,"Sim",itens_PC!$B$2:$B$5001,"&lt;="&amp;MEMORIA_RESULTADOS!$T$31),2),IF(AND(ISNUMBER(cobertura_temporal!$B$15),ISNUMBER(parametros!$D$5),cobertura_temporal!$B$15&gt;=IF(CONTROLE!$B$3="",parametros!$D$5,MIN(parametros!$D$5,CONTROLE!$B$3))),0,"")),IF($B$5="Itens",IF(COUNTIFS(itens_Consumidos!$K$2:$K$200,"&gt;0")=0,"",ROUND(SUMPRODUCT(itens_Consumidos!$K$2:$K$200,itens_Consumidos!$C$2:$C$200),2)),"")))</f>
        <v>0</v>
      </c>
      <c r="C19" s="259">
        <f>IF(OR(B19="",D19=""),"",ROUND(B19+D19,2))</f>
        <v>0</v>
      </c>
      <c r="D19" s="259">
        <f>IF(B19="","",IF(MEMORIA_RESULTADOS!$E$13="",0,MEMORIA_RESULTADOS!$E$13))</f>
        <v>0</v>
      </c>
      <c r="E19" s="505"/>
      <c r="F19" s="492"/>
      <c r="G19" s="492"/>
      <c r="H19" s="492"/>
    </row>
    <row r="20" spans="1:8" ht="19" customHeight="1" x14ac:dyDescent="0.3">
      <c r="A20" s="258" t="s">
        <v>29</v>
      </c>
      <c r="B20" s="259">
        <f>IF($B$5="Financeiro",IF(COUNTIFS(financeiro!$B$2:$B$73,"c4",financeiro!$C$2:$C$73,"&gt;0")&gt;0,ROUND(SUMIFS(financeiro!$C$2:$C$73,financeiro!$B$2:$B$73,"c4",financeiro!$C$2:$C$73,"&gt;0"),2),IF(AND(ISNUMBER(cobertura_temporal!$B$13),ISNUMBER(parametros!$D$6),cobertura_temporal!$B$13&gt;=IF(CONTROLE!$B$3="",parametros!$D$6,MIN(parametros!$D$6,CONTROLE!$B$3))),0,"")),IF($B$5="PCs",IF(COUNTIFS(itens_PC!$C$2:$C$5001,"C4",itens_PC!$D$2:$D$5001,"&gt;0",itens_PC!$G$2:$G$5001,"Sim",itens_PC!$B$2:$B$5001,"&lt;="&amp;MEMORIA_RESULTADOS!$T$31)&gt;0,ROUND(SUMIFS(itens_PC!$D$2:$D$5001,itens_PC!$C$2:$C$5001,"C4",itens_PC!$G$2:$G$5001,"Sim",itens_PC!$B$2:$B$5001,"&lt;="&amp;MEMORIA_RESULTADOS!$T$31),2),IF(AND(ISNUMBER(cobertura_temporal!$B$15),ISNUMBER(parametros!$D$6),cobertura_temporal!$B$15&gt;=IF(CONTROLE!$B$3="",parametros!$D$6,MIN(parametros!$D$6,CONTROLE!$B$3))),0,"")),IF($B$5="Itens",IF(COUNTIFS(itens_Consumidos!$M$2:$M$200,"&gt;0")=0,"",ROUND(SUMPRODUCT(itens_Consumidos!$M$2:$M$200,itens_Consumidos!$C$2:$C$200),2)),"")))</f>
        <v>0</v>
      </c>
      <c r="C20" s="259">
        <f>IF(OR(B20="",D20=""),"",ROUND(B20+D20,2))</f>
        <v>0</v>
      </c>
      <c r="D20" s="259">
        <f>IF(B20="","",IF(MEMORIA_RESULTADOS!$E$14="",0,MEMORIA_RESULTADOS!$E$14))</f>
        <v>0</v>
      </c>
      <c r="E20" s="505"/>
      <c r="F20" s="492"/>
      <c r="G20" s="492"/>
      <c r="H20" s="492"/>
    </row>
    <row r="21" spans="1:8" ht="19" customHeight="1" x14ac:dyDescent="0.3">
      <c r="A21" s="320" t="s">
        <v>543</v>
      </c>
      <c r="B21" s="321"/>
      <c r="C21" s="321"/>
      <c r="D21" s="321" t="str">
        <f>IF(ISNUMBER(MEMORIA_RESULTADOS!$B$5),ROUND(RETRO_OFICIAL-SUM($D$16:$D$20),2),"")</f>
        <v/>
      </c>
      <c r="E21" s="505"/>
      <c r="F21" s="492"/>
      <c r="G21" s="492"/>
      <c r="H21" s="492"/>
    </row>
    <row r="22" spans="1:8" ht="42" customHeight="1" x14ac:dyDescent="0.3">
      <c r="A22" s="260" t="s">
        <v>30</v>
      </c>
      <c r="B22" s="261">
        <f>IF(COUNT(B16:B20)=0,"",ROUND(SUM(B16:B20),2))</f>
        <v>276500</v>
      </c>
      <c r="C22" s="261">
        <f>IF(OR(B22="",D22=""),"",ROUND(B22+D22,2))</f>
        <v>290656.8</v>
      </c>
      <c r="D22" s="261">
        <f>IFERROR(RETRO_OFICIAL,"")</f>
        <v>14156.8</v>
      </c>
      <c r="E22" s="528" t="str">
        <f>IF($G$22="","","Retroativo potencial — em análise"&amp;CHAR(10)&amp;"Valor potencial relacionado a itens ainda em análise. Não integra o retroativo reconhecido enquanto não houver confirmação.")</f>
        <v>Retroativo potencial — em análise
Valor potencial relacionado a itens ainda em análise. Não integra o retroativo reconhecido enquanto não houver confirmação.</v>
      </c>
      <c r="F22" s="492"/>
      <c r="G22" s="529">
        <f>IF($B$5&lt;&gt;"PCs","",IFERROR(RETROATIVO_POTENCIAL_PC,""))</f>
        <v>7436.8</v>
      </c>
      <c r="H22" s="492"/>
    </row>
    <row r="23" spans="1:8" ht="15" customHeight="1" x14ac:dyDescent="0.3">
      <c r="A23" s="322" t="str">
        <f>IF(OR(MEMORIA_RESULTADOS!$B$4&lt;&gt;"PCs",MEMORIA_RESULTADOS!$T$28=0),"","PCs sem efeito financeiro: "&amp;MEMORIA_RESULTADOS!$T$28&amp;" PC(s)")</f>
        <v/>
      </c>
      <c r="B23" s="322" t="str">
        <f>IF(OR(MEMORIA_RESULTADOS!$B$4&lt;&gt;"PCs",MEMORIA_RESULTADOS!$T$28=0),"",MEMORIA_RESULTADOS!$T$29)</f>
        <v/>
      </c>
      <c r="C23" s="322" t="str">
        <f>IF(OR(MEMORIA_RESULTADOS!$B$4&lt;&gt;"PCs",MEMORIA_RESULTADOS!$T$28=0),"",ROUND(MEMORIA_RESULTADOS!$T$29+MEMORIA_RESULTADOS!$T$30,2))</f>
        <v/>
      </c>
      <c r="D23" s="322" t="str">
        <f>IF(OR(MEMORIA_RESULTADOS!$B$4&lt;&gt;"PCs",MEMORIA_RESULTADOS!$T$28=0),"",MEMORIA_RESULTADOS!$T$30)</f>
        <v/>
      </c>
      <c r="E23" s="515" t="str">
        <f>IF(OR(MEMORIA_RESULTADOS!$B$4&lt;&gt;"PCs",MEMORIA_RESULTADOS!$T$28=0),"","A diferença sem efeito financeiro não constitui "&amp;"retroativo. Consulte itens_PC -&gt; EFEITO_FINANCEIRO_PC = Nao.")</f>
        <v/>
      </c>
      <c r="F23" s="492"/>
      <c r="G23" s="492"/>
      <c r="H23" s="492"/>
    </row>
    <row r="24" spans="1:8" ht="22" customHeight="1" x14ac:dyDescent="0.3">
      <c r="A24" s="263" t="str">
        <f>IF($B$5="PCs","3. REMANESCENTE — REFERÊNCIAS POR CICLO","3. REMANESCENTE TOTAL POR CICLO")</f>
        <v>3. REMANESCENTE — REFERÊNCIAS POR CICLO</v>
      </c>
      <c r="B24" s="264"/>
      <c r="C24" s="264"/>
      <c r="D24" s="264"/>
      <c r="E24" s="264"/>
      <c r="F24" s="264"/>
      <c r="G24" s="264"/>
      <c r="H24" s="265" t="str">
        <f>IF(ISNUMBER(SEARCH("CONFERIR",MEMORIA_RESULTADOS!$F$36)),"VALIDADO","REVISE")</f>
        <v>VALIDADO</v>
      </c>
    </row>
    <row r="25" spans="1:8" ht="48" customHeight="1" x14ac:dyDescent="0.3">
      <c r="A25" s="266" t="s">
        <v>178</v>
      </c>
      <c r="B25" s="267" t="str">
        <f>IF($B$5="PCs","Saldo sem reajuste de referência do ciclo","Saldo sem reajuste")</f>
        <v>Saldo sem reajuste de referência do ciclo</v>
      </c>
      <c r="C25" s="267" t="str">
        <f>IF($B$5="PCs","Saldo atualizado de referência do ciclo","Saldo atualizado")</f>
        <v>Saldo atualizado de referência do ciclo</v>
      </c>
      <c r="D25" s="268" t="str">
        <f>IF($B$5="PCs","Diferença de referência do ciclo","Diferença")</f>
        <v>Diferença de referência do ciclo</v>
      </c>
      <c r="E25" s="506" t="str">
        <f>IF($B$5="PCs","Referências do ciclo; não são necessariamente saldos finais após execução. Os ciclos não se somam.","Cada linha é a fotografia de um ciclo — ciclos não se somam. O ciclo vigente aparece destacado.")</f>
        <v>Referências do ciclo; não são necessariamente saldos finais após execução. Os ciclos não se somam.</v>
      </c>
      <c r="F25" s="492"/>
      <c r="G25" s="492"/>
      <c r="H25" s="492"/>
    </row>
    <row r="26" spans="1:8" ht="19" customHeight="1" x14ac:dyDescent="0.3">
      <c r="A26" s="258" t="s">
        <v>26</v>
      </c>
      <c r="B26" s="259">
        <f>IF(IFERROR(VALUE(MID(UPPER(CONTROLE!$B$2),2,1)),-1)&lt;0,"",IF(COUNTIF(itens_Remanesc!$A$2:$A$200,"&lt;&gt;")=0,"",IFERROR(comparativo_VTA!$C$204,"")))</f>
        <v>278000</v>
      </c>
      <c r="C26" s="259">
        <f>IF(B26="","",ROUND(SUMPRODUCT(posicao_contratual!$G$2:$G$201,historico_VU!$C$2:$C$201),2))</f>
        <v>278000</v>
      </c>
      <c r="D26" s="259">
        <f>IF(OR(B26="",C26=""),"",ROUND(C26-B26,2))</f>
        <v>0</v>
      </c>
      <c r="E26" s="269"/>
      <c r="F26" s="269"/>
      <c r="G26" s="269"/>
      <c r="H26" s="269"/>
    </row>
    <row r="27" spans="1:8" ht="19" customHeight="1" x14ac:dyDescent="0.3">
      <c r="A27" s="258" t="s">
        <v>3</v>
      </c>
      <c r="B27" s="259">
        <f>IF(IFERROR(VALUE(MID(UPPER(CONTROLE!$B$2),2,1)),-1)&lt;1,"",IF(COUNTIF(itens_Remanesc!$A$2:$A$200,"&lt;&gt;")=0,"",IFERROR(comparativo_VTA!$D$204,"")))</f>
        <v>278000</v>
      </c>
      <c r="C27" s="259">
        <f>IF(B27="","",ROUND(SUMPRODUCT(posicao_contratual!$K$2:$K$201,historico_VU!$D$2:$D$201),2))</f>
        <v>292233.59999999998</v>
      </c>
      <c r="D27" s="259">
        <f>IF(OR(B27="",C27=""),"",ROUND(C27-B27,2))</f>
        <v>14233.6</v>
      </c>
      <c r="E27" s="269"/>
      <c r="F27" s="269"/>
      <c r="G27" s="269"/>
      <c r="H27" s="269"/>
    </row>
    <row r="28" spans="1:8" ht="19" customHeight="1" x14ac:dyDescent="0.3">
      <c r="A28" s="258" t="s">
        <v>27</v>
      </c>
      <c r="B28" s="259" t="str">
        <f>IF(IFERROR(VALUE(MID(UPPER(CONTROLE!$B$2),2,1)),-1)&lt;2,"",IF(COUNTIF(itens_Remanesc!$A$2:$A$200,"&lt;&gt;")=0,"",IFERROR(comparativo_VTA!$E$204,"")))</f>
        <v/>
      </c>
      <c r="C28" s="259" t="str">
        <f>IF(B28="","",ROUND(SUMPRODUCT(posicao_contratual!$O$2:$O$201,historico_VU!$E$2:$E$201),2))</f>
        <v/>
      </c>
      <c r="D28" s="259" t="str">
        <f>IF(OR(B28="",C28=""),"",ROUND(C28-B28,2))</f>
        <v/>
      </c>
      <c r="E28" s="269"/>
      <c r="F28" s="269"/>
      <c r="G28" s="269"/>
      <c r="H28" s="269"/>
    </row>
    <row r="29" spans="1:8" ht="19" customHeight="1" x14ac:dyDescent="0.3">
      <c r="A29" s="258" t="s">
        <v>28</v>
      </c>
      <c r="B29" s="259" t="str">
        <f>IF(IFERROR(VALUE(MID(UPPER(CONTROLE!$B$2),2,1)),-1)&lt;3,"",IF(COUNTIF(itens_Remanesc!$A$2:$A$200,"&lt;&gt;")=0,"",IFERROR(comparativo_VTA!$F$204,"")))</f>
        <v/>
      </c>
      <c r="C29" s="259" t="str">
        <f>IF(B29="","",ROUND(SUMPRODUCT(posicao_contratual!$S$2:$S$201,historico_VU!$F$2:$F$201),2))</f>
        <v/>
      </c>
      <c r="D29" s="259" t="str">
        <f>IF(OR(B29="",C29=""),"",ROUND(C29-B29,2))</f>
        <v/>
      </c>
      <c r="E29" s="269"/>
      <c r="F29" s="269"/>
      <c r="G29" s="269"/>
      <c r="H29" s="269"/>
    </row>
    <row r="30" spans="1:8" ht="19" customHeight="1" x14ac:dyDescent="0.3">
      <c r="A30" s="270" t="s">
        <v>29</v>
      </c>
      <c r="B30" s="271" t="str">
        <f>IF(IFERROR(VALUE(MID(UPPER(CONTROLE!$B$2),2,1)),-1)&lt;4,"",IF(COUNTIF(itens_Remanesc!$A$2:$A$200,"&lt;&gt;")=0,"",IFERROR(comparativo_VTA!$G$204,"")))</f>
        <v/>
      </c>
      <c r="C30" s="271" t="str">
        <f>IF(B30="","",ROUND(SUMPRODUCT(posicao_contratual!$W$2:$W$201,historico_VU!$G$2:$G$201),2))</f>
        <v/>
      </c>
      <c r="D30" s="271" t="str">
        <f>IF(OR(B30="",C30=""),"",ROUND(C30-B30,2))</f>
        <v/>
      </c>
      <c r="E30" s="262"/>
      <c r="F30" s="262"/>
      <c r="G30" s="262"/>
      <c r="H30" s="262"/>
    </row>
    <row r="31" spans="1:8" ht="7" hidden="1" customHeight="1" x14ac:dyDescent="0.3">
      <c r="A31" s="262"/>
      <c r="B31" s="262"/>
      <c r="C31" s="262"/>
      <c r="D31" s="262"/>
      <c r="E31" s="262"/>
      <c r="F31" s="262"/>
      <c r="G31" s="262"/>
      <c r="H31" s="262"/>
    </row>
    <row r="32" spans="1:8" ht="15" customHeight="1" x14ac:dyDescent="0.3">
      <c r="A32" s="262"/>
      <c r="B32" s="262"/>
      <c r="C32" s="262"/>
      <c r="D32" s="262"/>
      <c r="E32" s="262"/>
      <c r="F32" s="262"/>
      <c r="G32" s="262"/>
      <c r="H32" s="262"/>
    </row>
    <row r="33" spans="1:8" ht="22" customHeight="1" x14ac:dyDescent="0.3">
      <c r="A33" s="263" t="str">
        <f>IF(UPPER(CONTROLE!$B$2)="","4. CICLO ATUAL EM EXECUÇÃO","4. CICLO ATUAL EM EXECUÇÃO ("&amp;UPPER(CONTROLE!$B$2)&amp;")")</f>
        <v>4. CICLO ATUAL EM EXECUÇÃO (C1)</v>
      </c>
      <c r="B33" s="264"/>
      <c r="C33" s="264"/>
      <c r="D33" s="264"/>
      <c r="E33" s="264"/>
      <c r="F33" s="264"/>
      <c r="G33" s="264"/>
      <c r="H33" s="265" t="str">
        <f ca="1">IF(OR($B$35="",$B$36="",$B$37="",$B$38="",$B$38&lt;0),"REVISE",IF(posicao_referencia!$I$10="REVISE","REVISE",IF(posicao_referencia!$I$10="VALIDADO","VALIDADO",IF(posicao_referencia!$I$10="ESTIMADO","ESTIMADO",IF(MEMORIA_RESULTADOS!$W$49=1,"VALIDADO","ESTIMADO")))))</f>
        <v>VALIDADO</v>
      </c>
    </row>
    <row r="34" spans="1:8" ht="22" customHeight="1" x14ac:dyDescent="0.35">
      <c r="A34" s="258" t="s">
        <v>544</v>
      </c>
      <c r="B34" s="272" t="str">
        <f>UPPER(CONTROLE!$B$2)</f>
        <v>C1</v>
      </c>
      <c r="C34" s="498"/>
      <c r="D34" s="499"/>
      <c r="E34" s="525" t="s">
        <v>545</v>
      </c>
      <c r="F34" s="492"/>
      <c r="G34" s="492"/>
      <c r="H34" s="492"/>
    </row>
    <row r="35" spans="1:8" ht="22" customHeight="1" x14ac:dyDescent="0.35">
      <c r="A35" s="258" t="s">
        <v>546</v>
      </c>
      <c r="B35" s="273">
        <f>IF($B$5="Financeiro",IF(cobertura_temporal!$B$13&lt;&gt;"",cobertura_temporal!$B$13,IF(cobertura_temporal!$B$12&lt;&gt;"",cobertura_temporal!$B$12,"")),IF($B$5="PCs",IF(cobertura_temporal!$B$15&lt;&gt;"",cobertura_temporal!$B$15,IF(cobertura_temporal!$B$14&lt;&gt;"",cobertura_temporal!$B$14,"")),IF(posicao_referencia!$I$5&lt;&gt;"",posicao_referencia!$I$5,IF(CONTROLE!$B$3="","",CONTROLE!$B$3))))</f>
        <v>45657</v>
      </c>
      <c r="C35" s="508" t="str">
        <f>IF($B$35="","Aguardando dado","")</f>
        <v/>
      </c>
      <c r="D35" s="495"/>
      <c r="E35" s="503" t="str">
        <f ca="1">IF($A$39="","",$A$39)</f>
        <v>Posicao fisica itemizada informada pelo fiscal (CICLO_EM_EXECUCAO): execucao e remanescente do ciclo atual sao medidos, nao estimados.</v>
      </c>
      <c r="F35" s="492"/>
      <c r="G35" s="492"/>
      <c r="H35" s="504"/>
    </row>
    <row r="36" spans="1:8" ht="22" customHeight="1" x14ac:dyDescent="0.35">
      <c r="A36" s="258" t="s">
        <v>547</v>
      </c>
      <c r="B36" s="259">
        <f ca="1">IF(MEMORIA_RESULTADOS!$W$49=1,ROUND(IFERROR(SUM(INDIRECT("CICLO_EM_EXECUCAO!F13:F211")),0),2),(IF(OR(CONTROLE!$B$2="",$B$35=""),"",IF($B$5="Financeiro",ROUND(SUMIFS(financeiro!$E$2:$E$73,financeiro!$B$2:$B$73,LOWER(CONTROLE!$B$2),financeiro!$A$2:$A$73,"&lt;="&amp;$B$35),2),IF($B$5="PCs",ROUND(SUMIFS(itens_PC!$F$2:$F$5001,itens_PC!$C$2:$C$5001,UPPER(CONTROLE!$B$2),itens_PC!$B$2:$B$5001,"&lt;="&amp;$B$35),2),IF($B$5="Itens",IF(UPPER(CONTROLE!$B$2)="C0",ROUND(SUMPRODUCT(itens_Consumidos!$E$2:$E$200,historico_VU!$C$2:$C$200),2),IF(UPPER(CONTROLE!$B$2)="C1",ROUND(SUMPRODUCT(itens_Consumidos!$G$2:$G$200,historico_VU!$D$2:$D$200),2),IF(UPPER(CONTROLE!$B$2)="C2",ROUND(SUMPRODUCT(itens_Consumidos!$I$2:$I$200,historico_VU!$E$2:$E$200),2),IF(UPPER(CONTROLE!$B$2)="C3",ROUND(SUMPRODUCT(itens_Consumidos!$K$2:$K$200,historico_VU!$F$2:$F$200),2),IF(UPPER(CONTROLE!$B$2)="C4",ROUND(SUMPRODUCT(itens_Consumidos!$M$2:$M$200,historico_VU!$G$2:$G$200),2),""))))),""))))))</f>
        <v>192737.52</v>
      </c>
      <c r="C36" s="508" t="str">
        <f ca="1">IF($B$36="","Aguardando dado","")</f>
        <v/>
      </c>
      <c r="D36" s="495"/>
      <c r="E36" s="505"/>
      <c r="F36" s="492"/>
      <c r="G36" s="492"/>
      <c r="H36" s="504"/>
    </row>
    <row r="37" spans="1:8" ht="22" customHeight="1" x14ac:dyDescent="0.35">
      <c r="A37" s="258" t="s">
        <v>548</v>
      </c>
      <c r="B37" s="259">
        <f>IFERROR(INDEX($C$26:$C$30,MATCH(UPPER(CONTROLE!$B$2),$A$26:$A$30,0)),"")</f>
        <v>292233.59999999998</v>
      </c>
      <c r="C37" s="508" t="str">
        <f>IF($B$37="","Aguardando dado","")</f>
        <v/>
      </c>
      <c r="D37" s="495"/>
      <c r="E37" s="505"/>
      <c r="F37" s="492"/>
      <c r="G37" s="492"/>
      <c r="H37" s="504"/>
    </row>
    <row r="38" spans="1:8" ht="22" customHeight="1" x14ac:dyDescent="0.35">
      <c r="A38" s="260" t="s">
        <v>549</v>
      </c>
      <c r="B38" s="261">
        <f ca="1">IF(OR(B36="",B37=""),"",ROUND(B37-B36,2))</f>
        <v>99496.08</v>
      </c>
      <c r="C38" s="522" t="str">
        <f ca="1">IF($B$38="","Aguardando dado","")</f>
        <v/>
      </c>
      <c r="D38" s="518"/>
      <c r="E38" s="505"/>
      <c r="F38" s="492"/>
      <c r="G38" s="492"/>
      <c r="H38" s="504"/>
    </row>
    <row r="39" spans="1:8" ht="15" customHeight="1" x14ac:dyDescent="0.3">
      <c r="A39" s="497" t="str">
        <f ca="1">IF(MEMORIA_RESULTADOS!$W$49=1,"Posicao fisica itemizada informada pelo fiscal (CICLO_EM_EXECUCAO): execucao e remanescente do ciclo atual sao medidos, nao estimados.",IF(AND($B$36&lt;&gt;"",posicao_referencia!$I$2&lt;&gt;TRUE),"Estimativa: assume execucao registrada pelo metodo oficial ("&amp;$B$5&amp;") aproximadamente igual ao consumo fisico do ciclo.",""))</f>
        <v>Posicao fisica itemizada informada pelo fiscal (CICLO_EM_EXECUCAO): execucao e remanescente do ciclo atual sao medidos, nao estimados.</v>
      </c>
      <c r="B39" s="492"/>
      <c r="C39" s="492"/>
      <c r="D39" s="492"/>
      <c r="E39" s="492"/>
      <c r="F39" s="492"/>
      <c r="G39" s="492"/>
      <c r="H39" s="492"/>
    </row>
    <row r="40" spans="1:8" ht="14" hidden="1" customHeight="1" x14ac:dyDescent="0.3">
      <c r="A40" s="262"/>
      <c r="B40" s="262"/>
      <c r="C40" s="262"/>
      <c r="D40" s="262"/>
      <c r="E40" s="262"/>
      <c r="F40" s="262"/>
      <c r="G40" s="262"/>
      <c r="H40" s="262"/>
    </row>
    <row r="41" spans="1:8" ht="22" hidden="1" customHeight="1" x14ac:dyDescent="0.3">
      <c r="A41" s="274" t="s">
        <v>550</v>
      </c>
      <c r="B41" s="275"/>
      <c r="C41" s="275"/>
      <c r="D41" s="323" t="s">
        <v>551</v>
      </c>
      <c r="E41" s="275"/>
      <c r="F41" s="275"/>
      <c r="G41" s="275"/>
      <c r="H41" s="275"/>
    </row>
    <row r="42" spans="1:8" ht="24" hidden="1" customHeight="1" x14ac:dyDescent="0.3">
      <c r="A42" s="276" t="s">
        <v>552</v>
      </c>
      <c r="B42" s="276" t="s">
        <v>178</v>
      </c>
      <c r="C42" s="276" t="s">
        <v>553</v>
      </c>
      <c r="D42" s="276" t="s">
        <v>554</v>
      </c>
      <c r="E42" s="276" t="s">
        <v>555</v>
      </c>
      <c r="F42" s="276" t="s">
        <v>556</v>
      </c>
      <c r="G42" s="276" t="s">
        <v>557</v>
      </c>
      <c r="H42" s="276" t="s">
        <v>558</v>
      </c>
    </row>
    <row r="43" spans="1:8" ht="24" hidden="1" customHeight="1" x14ac:dyDescent="0.3">
      <c r="A43" s="277" t="s">
        <v>362</v>
      </c>
      <c r="B43" s="278" t="s">
        <v>30</v>
      </c>
      <c r="C43" s="235"/>
      <c r="D43" s="232"/>
      <c r="E43" s="232"/>
      <c r="F43" s="233"/>
      <c r="G43" s="234"/>
      <c r="H43" s="279" t="str">
        <f>IF(COUNTA(C43:G43)=0,"",IF(G43&lt;&gt;"Sim","REVISE",IF(AND(ISNUMBER(C43),D43&lt;&gt;"",E43&lt;&gt;"",ISNUMBER(F43)),"VALIDADO","REVISE")))</f>
        <v/>
      </c>
    </row>
    <row r="44" spans="1:8" ht="24" hidden="1" customHeight="1" x14ac:dyDescent="0.3">
      <c r="A44" s="277" t="s">
        <v>559</v>
      </c>
      <c r="B44" s="278" t="s">
        <v>30</v>
      </c>
      <c r="C44" s="235"/>
      <c r="D44" s="232"/>
      <c r="E44" s="232"/>
      <c r="F44" s="233"/>
      <c r="G44" s="234"/>
      <c r="H44" s="279" t="str">
        <f>IF(COUNTA(C44:G44)=0,"",IF(G44&lt;&gt;"Sim","REVISE",IF(AND(ISNUMBER(C44),D44&lt;&gt;"",E44&lt;&gt;"",ISNUMBER(F44)),"VALIDADO","REVISE")))</f>
        <v/>
      </c>
    </row>
    <row r="45" spans="1:8" ht="24" hidden="1" customHeight="1" x14ac:dyDescent="0.3">
      <c r="A45" s="277" t="s">
        <v>560</v>
      </c>
      <c r="B45" s="278" t="s">
        <v>30</v>
      </c>
      <c r="C45" s="235"/>
      <c r="D45" s="232"/>
      <c r="E45" s="232"/>
      <c r="F45" s="233"/>
      <c r="G45" s="234"/>
      <c r="H45" s="279" t="str">
        <f>IF(COUNTA(C45:G45)=0,"",IF(G45&lt;&gt;"Sim","REVISE",IF(AND(ISNUMBER(C45),D45&lt;&gt;"",E45&lt;&gt;"",ISNUMBER(F45)),"VALIDADO","REVISE")))</f>
        <v/>
      </c>
    </row>
    <row r="46" spans="1:8" ht="24" hidden="1" customHeight="1" x14ac:dyDescent="0.3">
      <c r="A46" s="277" t="s">
        <v>561</v>
      </c>
      <c r="B46" s="278" t="s">
        <v>26</v>
      </c>
      <c r="C46" s="235"/>
      <c r="D46" s="232"/>
      <c r="E46" s="232"/>
      <c r="F46" s="233"/>
      <c r="G46" s="234"/>
      <c r="H46" s="279" t="str">
        <f>IF(COUNTA(C46:G46)=0,"",IF(G46&lt;&gt;"Sim","REVISE",IF(AND(AND(ISNUMBER(C46),C46&gt;=0),D46&lt;&gt;"",E46&lt;&gt;"",ISNUMBER(F46)),"VALIDADO","REVISE")))</f>
        <v/>
      </c>
    </row>
    <row r="47" spans="1:8" ht="24" hidden="1" customHeight="1" x14ac:dyDescent="0.3">
      <c r="A47" s="277" t="s">
        <v>561</v>
      </c>
      <c r="B47" s="278" t="s">
        <v>3</v>
      </c>
      <c r="C47" s="235"/>
      <c r="D47" s="232"/>
      <c r="E47" s="232"/>
      <c r="F47" s="233"/>
      <c r="G47" s="234"/>
      <c r="H47" s="279" t="str">
        <f>IF(COUNTA(C47:G47)=0,"",IF(G47&lt;&gt;"Sim","REVISE",IF(AND(AND(ISNUMBER(C47),C47&gt;=0),D47&lt;&gt;"",E47&lt;&gt;"",ISNUMBER(F47)),"VALIDADO","REVISE")))</f>
        <v/>
      </c>
    </row>
    <row r="48" spans="1:8" ht="24" hidden="1" customHeight="1" x14ac:dyDescent="0.3">
      <c r="A48" s="277" t="s">
        <v>561</v>
      </c>
      <c r="B48" s="278" t="s">
        <v>27</v>
      </c>
      <c r="C48" s="235"/>
      <c r="D48" s="232"/>
      <c r="E48" s="232"/>
      <c r="F48" s="233"/>
      <c r="G48" s="234"/>
      <c r="H48" s="279" t="str">
        <f>IF(COUNTA(C48:G48)=0,"",IF(G48&lt;&gt;"Sim","REVISE",IF(AND(AND(ISNUMBER(C48),C48&gt;=0),D48&lt;&gt;"",E48&lt;&gt;"",ISNUMBER(F48)),"VALIDADO","REVISE")))</f>
        <v/>
      </c>
    </row>
    <row r="49" spans="1:8" ht="24" hidden="1" customHeight="1" x14ac:dyDescent="0.3">
      <c r="A49" s="277" t="s">
        <v>561</v>
      </c>
      <c r="B49" s="278" t="s">
        <v>28</v>
      </c>
      <c r="C49" s="235"/>
      <c r="D49" s="232"/>
      <c r="E49" s="232"/>
      <c r="F49" s="233"/>
      <c r="G49" s="234"/>
      <c r="H49" s="279" t="str">
        <f>IF(COUNTA(C49:G49)=0,"",IF(G49&lt;&gt;"Sim","REVISE",IF(AND(AND(ISNUMBER(C49),C49&gt;=0),D49&lt;&gt;"",E49&lt;&gt;"",ISNUMBER(F49)),"VALIDADO","REVISE")))</f>
        <v/>
      </c>
    </row>
    <row r="50" spans="1:8" ht="24" hidden="1" customHeight="1" x14ac:dyDescent="0.3">
      <c r="A50" s="280" t="s">
        <v>561</v>
      </c>
      <c r="B50" s="281" t="s">
        <v>29</v>
      </c>
      <c r="C50" s="236"/>
      <c r="D50" s="237"/>
      <c r="E50" s="237"/>
      <c r="F50" s="238"/>
      <c r="G50" s="239"/>
      <c r="H50" s="282" t="str">
        <f>IF(COUNTA(C50:G50)=0,"",IF(G50&lt;&gt;"Sim","REVISE",IF(AND(AND(ISNUMBER(C50),C50&gt;=0),D50&lt;&gt;"",E50&lt;&gt;"",ISNUMBER(F50)),"VALIDADO","REVISE")))</f>
        <v/>
      </c>
    </row>
    <row r="51" spans="1:8" ht="7" hidden="1" customHeight="1" x14ac:dyDescent="0.3">
      <c r="A51" s="262"/>
      <c r="B51" s="262"/>
      <c r="C51" s="262"/>
      <c r="D51" s="262"/>
      <c r="E51" s="262"/>
      <c r="F51" s="262"/>
      <c r="G51" s="262"/>
      <c r="H51" s="262"/>
    </row>
    <row r="52" spans="1:8" ht="15" customHeight="1" x14ac:dyDescent="0.3">
      <c r="A52" s="262"/>
      <c r="B52" s="262"/>
      <c r="C52" s="262"/>
      <c r="D52" s="262"/>
      <c r="E52" s="262"/>
      <c r="F52" s="262"/>
      <c r="G52" s="262"/>
      <c r="H52" s="262"/>
    </row>
    <row r="53" spans="1:8" ht="20" customHeight="1" x14ac:dyDescent="0.35">
      <c r="A53" s="520" t="s">
        <v>562</v>
      </c>
      <c r="B53" s="492"/>
      <c r="C53" s="492"/>
      <c r="D53" s="492"/>
      <c r="E53" s="492"/>
      <c r="F53" s="492"/>
      <c r="G53" s="492"/>
      <c r="H53" s="521"/>
    </row>
    <row r="54" spans="1:8" ht="13" customHeight="1" x14ac:dyDescent="0.35">
      <c r="A54" s="355" t="s">
        <v>563</v>
      </c>
      <c r="B54" s="356" t="s">
        <v>564</v>
      </c>
      <c r="C54" s="496" t="s">
        <v>565</v>
      </c>
      <c r="D54" s="462"/>
      <c r="E54" s="462"/>
      <c r="F54" s="462"/>
      <c r="G54" s="462"/>
      <c r="H54" s="463"/>
    </row>
    <row r="55" spans="1:8" ht="30" customHeight="1" x14ac:dyDescent="0.35">
      <c r="A55" s="330" t="s">
        <v>566</v>
      </c>
      <c r="B55" s="342">
        <f>IF($B$5&lt;&gt;"PCs","",MEMORIA_RESULTADOS!$T$33)</f>
        <v>421750</v>
      </c>
      <c r="C55" s="493" t="s">
        <v>567</v>
      </c>
      <c r="D55" s="462"/>
      <c r="E55" s="462"/>
      <c r="F55" s="462"/>
      <c r="G55" s="462"/>
      <c r="H55" s="463"/>
    </row>
    <row r="56" spans="1:8" ht="30" customHeight="1" x14ac:dyDescent="0.35">
      <c r="A56" s="330" t="s">
        <v>568</v>
      </c>
      <c r="B56" s="342">
        <f>IF($B$5&lt;&gt;"PCs","",MEMORIA_RESULTADOS!$T$34)</f>
        <v>421750</v>
      </c>
      <c r="C56" s="493" t="s">
        <v>569</v>
      </c>
      <c r="D56" s="462"/>
      <c r="E56" s="462"/>
      <c r="F56" s="462"/>
      <c r="G56" s="462"/>
      <c r="H56" s="463"/>
    </row>
    <row r="57" spans="1:8" ht="30" customHeight="1" x14ac:dyDescent="0.35">
      <c r="A57" s="330" t="s">
        <v>570</v>
      </c>
      <c r="B57" s="342">
        <f>IF($B$5&lt;&gt;"PCs","",MEMORIA_RESULTADOS!$T$35)</f>
        <v>421750</v>
      </c>
      <c r="C57" s="493" t="s">
        <v>571</v>
      </c>
      <c r="D57" s="462"/>
      <c r="E57" s="462"/>
      <c r="F57" s="462"/>
      <c r="G57" s="462"/>
      <c r="H57" s="463"/>
    </row>
    <row r="58" spans="1:8" ht="30" customHeight="1" x14ac:dyDescent="0.35">
      <c r="A58" s="330" t="s">
        <v>572</v>
      </c>
      <c r="B58" s="342">
        <f>IF($B$5&lt;&gt;"PCs","",MEMORIA_RESULTADOS!$T$36)</f>
        <v>421750</v>
      </c>
      <c r="C58" s="493" t="s">
        <v>573</v>
      </c>
      <c r="D58" s="462"/>
      <c r="E58" s="462"/>
      <c r="F58" s="462"/>
      <c r="G58" s="462"/>
      <c r="H58" s="463"/>
    </row>
    <row r="59" spans="1:8" ht="30" customHeight="1" x14ac:dyDescent="0.35">
      <c r="A59" s="330" t="s">
        <v>574</v>
      </c>
      <c r="B59" s="342">
        <f>IF($B$5&lt;&gt;"PCs","",MEMORIA_RESULTADOS!$T$37)</f>
        <v>0</v>
      </c>
      <c r="C59" s="493" t="s">
        <v>575</v>
      </c>
      <c r="D59" s="462"/>
      <c r="E59" s="462"/>
      <c r="F59" s="462"/>
      <c r="G59" s="462"/>
      <c r="H59" s="463"/>
    </row>
    <row r="60" spans="1:8" ht="36" customHeight="1" x14ac:dyDescent="0.35">
      <c r="A60" s="330" t="s">
        <v>576</v>
      </c>
      <c r="B60" s="342">
        <f>$D$22</f>
        <v>14156.8</v>
      </c>
      <c r="C60" s="493" t="s">
        <v>577</v>
      </c>
      <c r="D60" s="462"/>
      <c r="E60" s="462"/>
      <c r="F60" s="462"/>
      <c r="G60" s="462"/>
      <c r="H60" s="463"/>
    </row>
    <row r="61" spans="1:8" ht="30" customHeight="1" x14ac:dyDescent="0.35">
      <c r="A61" s="330" t="s">
        <v>578</v>
      </c>
      <c r="B61" s="342">
        <f>IF($B$5&lt;&gt;"PCs","",IFERROR(RETROATIVO_POTENCIAL_VTA,""))</f>
        <v>7436.8</v>
      </c>
      <c r="C61" s="493" t="s">
        <v>579</v>
      </c>
      <c r="D61" s="462"/>
      <c r="E61" s="462"/>
      <c r="F61" s="462"/>
      <c r="G61" s="462"/>
      <c r="H61" s="463"/>
    </row>
    <row r="62" spans="1:8" ht="30" customHeight="1" x14ac:dyDescent="0.35">
      <c r="A62" s="330" t="s">
        <v>580</v>
      </c>
      <c r="B62" s="342">
        <f>IF(OR($B$5&lt;&gt;"PCs",$D$22=""),"",ROUND(N($D$22)+N(RETROATIVO_POTENCIAL_VTA),2))</f>
        <v>21593.599999999999</v>
      </c>
      <c r="C62" s="493" t="s">
        <v>581</v>
      </c>
      <c r="D62" s="462"/>
      <c r="E62" s="462"/>
      <c r="F62" s="462"/>
      <c r="G62" s="462"/>
      <c r="H62" s="463"/>
    </row>
    <row r="63" spans="1:8" ht="30" customHeight="1" x14ac:dyDescent="0.35">
      <c r="A63" s="330" t="s">
        <v>582</v>
      </c>
      <c r="B63" s="342">
        <f ca="1">$B$36</f>
        <v>192737.52</v>
      </c>
      <c r="C63" s="493" t="s">
        <v>583</v>
      </c>
      <c r="D63" s="462"/>
      <c r="E63" s="462"/>
      <c r="F63" s="462"/>
      <c r="G63" s="462"/>
      <c r="H63" s="463"/>
    </row>
    <row r="64" spans="1:8" ht="30" customHeight="1" x14ac:dyDescent="0.35">
      <c r="A64" s="330" t="s">
        <v>584</v>
      </c>
      <c r="B64" s="342">
        <f ca="1">$B$38</f>
        <v>99496.08</v>
      </c>
      <c r="C64" s="493" t="s">
        <v>585</v>
      </c>
      <c r="D64" s="462"/>
      <c r="E64" s="462"/>
      <c r="F64" s="462"/>
      <c r="G64" s="462"/>
      <c r="H64" s="463"/>
    </row>
    <row r="65" spans="1:8" ht="30" customHeight="1" x14ac:dyDescent="0.35">
      <c r="A65" s="330" t="s">
        <v>586</v>
      </c>
      <c r="B65" s="343">
        <f>IF(VTA_FINAL="","",VTA_FINAL)</f>
        <v>299670.40000000002</v>
      </c>
      <c r="C65" s="493" t="s">
        <v>587</v>
      </c>
      <c r="D65" s="462"/>
      <c r="E65" s="462"/>
      <c r="F65" s="462"/>
      <c r="G65" s="462"/>
      <c r="H65" s="463"/>
    </row>
    <row r="66" spans="1:8" ht="30" customHeight="1" x14ac:dyDescent="0.35">
      <c r="A66" s="330" t="s">
        <v>588</v>
      </c>
      <c r="B66" s="342">
        <f ca="1">$B$13</f>
        <v>0</v>
      </c>
      <c r="C66" s="493" t="s">
        <v>589</v>
      </c>
      <c r="D66" s="462"/>
      <c r="E66" s="462"/>
      <c r="F66" s="462"/>
      <c r="G66" s="462"/>
      <c r="H66" s="463"/>
    </row>
    <row r="67" spans="1:8" ht="30" customHeight="1" x14ac:dyDescent="0.35">
      <c r="A67" s="330" t="s">
        <v>590</v>
      </c>
      <c r="B67" s="370" t="str">
        <f ca="1">$B$3</f>
        <v>VALIDADO</v>
      </c>
      <c r="C67" s="493" t="s">
        <v>591</v>
      </c>
      <c r="D67" s="462"/>
      <c r="E67" s="462"/>
      <c r="F67" s="462"/>
      <c r="G67" s="462"/>
      <c r="H67" s="463"/>
    </row>
    <row r="68" spans="1:8" ht="14.5" customHeight="1" x14ac:dyDescent="0.3">
      <c r="A68" s="519" t="s">
        <v>592</v>
      </c>
      <c r="B68" s="492"/>
      <c r="C68" s="492"/>
      <c r="D68" s="492"/>
      <c r="E68" s="492"/>
      <c r="F68" s="492"/>
      <c r="G68" s="492"/>
      <c r="H68" s="492"/>
    </row>
    <row r="69" spans="1:8" ht="34" customHeight="1" x14ac:dyDescent="0.3">
      <c r="A69" s="510" t="str">
        <f>"COMO O VTA É CALCULADO — execução já realizada + ajustes aplicáveis + "&amp;"saldo remanescente atualizado. MÉTODO: "&amp;IF(MEMORIA_RESULTADOS!$B$4="Financeiro","Financeiro",IF(MEMORIA_RESULTADOS!$B$4="PCs","Pedidos de Compra",IF(MEMORIA_RESULTADOS!$B$4="Itens","Consumido","não selecionado")))</f>
        <v>COMO O VTA É CALCULADO — execução já realizada + ajustes aplicáveis + saldo remanescente atualizado. MÉTODO: Pedidos de Compra</v>
      </c>
      <c r="B69" s="492"/>
      <c r="C69" s="492"/>
      <c r="D69" s="492"/>
      <c r="E69" s="492"/>
      <c r="F69" s="492"/>
      <c r="G69" s="492"/>
      <c r="H69" s="492"/>
    </row>
    <row r="70" spans="1:8" x14ac:dyDescent="0.3">
      <c r="A70" s="361" t="str">
        <f>IF(MEMORIA_RESULTADOS!$B$4="Financeiro","Metodo Financeiro: a conferência abaixo compara o informado com a "&amp;"estimativa quantitativa. Esta conferência não altera o VTA Oficial.",IF(MEMORIA_RESULTADOS!$B$4="PCs","Metodo PCs: o bloco 8 não se aplica "&amp;"ao método selecionado. Esta conferência não altera o VTA Oficial.",IF(MEMORIA_RESULTADOS!$B$4="Itens","Metodo Consumido: o bloco 8 não se "&amp;"aplica ao método selecionado. Esta conferência não altera o VTA Oficial.","Selecione o método na aba CONTROLE.")))</f>
        <v>Metodo PCs: o bloco 8 não se aplica ao método selecionado. Esta conferência não altera o VTA Oficial.</v>
      </c>
      <c r="B70" s="361"/>
      <c r="C70" s="361"/>
      <c r="D70" s="361"/>
      <c r="E70" s="361"/>
      <c r="F70" s="361"/>
      <c r="G70" s="361"/>
      <c r="H70" s="361"/>
    </row>
    <row r="71" spans="1:8" ht="14.5" customHeight="1" x14ac:dyDescent="0.3">
      <c r="A71" s="519" t="str">
        <f>IF(MEMORIA_RESULTADOS!$B$4="Financeiro","8. CONFERÊNCIA DA EXECUÇÃO (Financeiro) — não altera o VTA Oficial","8. CONFERÊNCIA DA EXECUÇÃO — Nao aplicavel ao metodo selecionado")</f>
        <v>8. CONFERÊNCIA DA EXECUÇÃO — Nao aplicavel ao metodo selecionado</v>
      </c>
      <c r="B71" s="492"/>
      <c r="C71" s="492"/>
      <c r="D71" s="492"/>
      <c r="E71" s="492"/>
      <c r="F71" s="492"/>
      <c r="G71" s="492"/>
      <c r="H71" s="492"/>
    </row>
    <row r="72" spans="1:8" x14ac:dyDescent="0.3">
      <c r="A72" s="331" t="s">
        <v>178</v>
      </c>
      <c r="B72" s="331" t="s">
        <v>593</v>
      </c>
      <c r="C72" s="331" t="s">
        <v>594</v>
      </c>
      <c r="D72" s="331" t="s">
        <v>595</v>
      </c>
      <c r="E72" s="331" t="s">
        <v>596</v>
      </c>
    </row>
    <row r="73" spans="1:8" x14ac:dyDescent="0.3">
      <c r="A73" s="332" t="s">
        <v>26</v>
      </c>
      <c r="B73" s="342" t="str">
        <f>IF(MEMORIA_RESULTADOS!$B$4&lt;&gt;"Financeiro","Nao aplicavel ao metodo selecionado",IF(COUNTIFS(financeiro!$B$2:$B$73,"c0",financeiro!$C$2:$C$73,"&lt;&gt;")=0,"",ROUND(SUMIFS(financeiro!$C$2:$C$73,financeiro!$B$2:$B$73,"c0"),2)))</f>
        <v>Nao aplicavel ao metodo selecionado</v>
      </c>
      <c r="C73" s="342" t="str">
        <f>IF(MEMORIA_RESULTADOS!$B$4&lt;&gt;"Financeiro","Nao aplicavel ao metodo selecionado",IF(SUMPRODUCT((itens_Remanesc!$A$2:$A$201&lt;&gt;"")*(1-ISNUMBER(itens_Remanesc!$AC$2:$AC$201)))&gt;0,"Sem historico quantitativo suficiente",ROUND(SUM(N(itens_Remanesc!$AC$2:$AC$201)),2)))</f>
        <v>Nao aplicavel ao metodo selecionado</v>
      </c>
      <c r="D73" s="342" t="str">
        <f>IF(MEMORIA_RESULTADOS!$B$4&lt;&gt;"Financeiro","Nao aplicavel ao metodo selecionado",IF(OR(B73="",C73="",NOT(ISNUMBER(C73))),"",ROUND(B73-C73,2)))</f>
        <v>Nao aplicavel ao metodo selecionado</v>
      </c>
      <c r="E73" s="333" t="str">
        <f>IF(MEMORIA_RESULTADOS!$B$4&lt;&gt;"Financeiro","NAO APLICAVEL",IF(OR(B73="",C73="",NOT(ISNUMBER(C73))),"Sem dados quantitativos para comparar",IF(ROUND(D73,2)=0,"SEM DIFERENÇA","VERIFICAR DIFERENÇA")))</f>
        <v>NAO APLICAVEL</v>
      </c>
    </row>
    <row r="74" spans="1:8" x14ac:dyDescent="0.3">
      <c r="A74" s="332" t="s">
        <v>3</v>
      </c>
      <c r="B74" s="342" t="str">
        <f>IF(MEMORIA_RESULTADOS!$B$4&lt;&gt;"Financeiro","Nao aplicavel ao metodo selecionado",IF(COUNTIFS(financeiro!$B$2:$B$73,"c1",financeiro!$C$2:$C$73,"&lt;&gt;")=0,"",ROUND(SUMIFS(financeiro!$C$2:$C$73,financeiro!$B$2:$B$73,"c1"),2)))</f>
        <v>Nao aplicavel ao metodo selecionado</v>
      </c>
      <c r="C74" s="342" t="str">
        <f>IF(MEMORIA_RESULTADOS!$B$4&lt;&gt;"Financeiro","Nao aplicavel ao metodo selecionado",IF(SUMPRODUCT((itens_Remanesc!$A$2:$A$201&lt;&gt;"")*(1-ISNUMBER(itens_Remanesc!$N$2:$N$201)))&gt;0,"Sem historico quantitativo suficiente",ROUND(SUM(N(itens_Remanesc!$N$2:$N$201)),2)))</f>
        <v>Nao aplicavel ao metodo selecionado</v>
      </c>
      <c r="D74" s="342" t="str">
        <f>IF(MEMORIA_RESULTADOS!$B$4&lt;&gt;"Financeiro","Nao aplicavel ao metodo selecionado",IF(OR(B74="",C74="",NOT(ISNUMBER(C74))),"",ROUND(B74-C74,2)))</f>
        <v>Nao aplicavel ao metodo selecionado</v>
      </c>
      <c r="E74" s="333" t="str">
        <f>IF(MEMORIA_RESULTADOS!$B$4&lt;&gt;"Financeiro","NAO APLICAVEL",IF(OR(B74="",C74="",NOT(ISNUMBER(C74))),"Sem dados quantitativos para comparar",IF(ROUND(D74,2)=0,"SEM DIFERENÇA","VERIFICAR DIFERENÇA")))</f>
        <v>NAO APLICAVEL</v>
      </c>
    </row>
    <row r="75" spans="1:8" x14ac:dyDescent="0.3">
      <c r="A75" s="332" t="s">
        <v>27</v>
      </c>
      <c r="B75" s="342" t="str">
        <f>IF(MEMORIA_RESULTADOS!$B$4&lt;&gt;"Financeiro","Nao aplicavel ao metodo selecionado",IF(COUNTIFS(financeiro!$B$2:$B$73,"c2",financeiro!$C$2:$C$73,"&lt;&gt;")=0,"",ROUND(SUMIFS(financeiro!$C$2:$C$73,financeiro!$B$2:$B$73,"c2"),2)))</f>
        <v>Nao aplicavel ao metodo selecionado</v>
      </c>
      <c r="C75" s="342" t="str">
        <f>IF(MEMORIA_RESULTADOS!$B$4&lt;&gt;"Financeiro","Nao aplicavel ao metodo selecionado",IF(SUMPRODUCT((itens_Remanesc!$A$2:$A$201&lt;&gt;"")*(1-ISNUMBER(itens_Remanesc!$P$2:$P$201)))&gt;0,"Sem historico quantitativo suficiente",ROUND(SUM(N(itens_Remanesc!$P$2:$P$201)),2)))</f>
        <v>Nao aplicavel ao metodo selecionado</v>
      </c>
      <c r="D75" s="342" t="str">
        <f>IF(MEMORIA_RESULTADOS!$B$4&lt;&gt;"Financeiro","Nao aplicavel ao metodo selecionado",IF(OR(B75="",C75="",NOT(ISNUMBER(C75))),"",ROUND(B75-C75,2)))</f>
        <v>Nao aplicavel ao metodo selecionado</v>
      </c>
      <c r="E75" s="333" t="str">
        <f>IF(MEMORIA_RESULTADOS!$B$4&lt;&gt;"Financeiro","NAO APLICAVEL",IF(OR(B75="",C75="",NOT(ISNUMBER(C75))),"Sem dados quantitativos para comparar",IF(ROUND(D75,2)=0,"SEM DIFERENÇA","VERIFICAR DIFERENÇA")))</f>
        <v>NAO APLICAVEL</v>
      </c>
    </row>
    <row r="76" spans="1:8" x14ac:dyDescent="0.3">
      <c r="A76" s="332" t="s">
        <v>28</v>
      </c>
      <c r="B76" s="342" t="str">
        <f>IF(MEMORIA_RESULTADOS!$B$4&lt;&gt;"Financeiro","Nao aplicavel ao metodo selecionado",IF(COUNTIFS(financeiro!$B$2:$B$73,"c3",financeiro!$C$2:$C$73,"&lt;&gt;")=0,"",ROUND(SUMIFS(financeiro!$C$2:$C$73,financeiro!$B$2:$B$73,"c3"),2)))</f>
        <v>Nao aplicavel ao metodo selecionado</v>
      </c>
      <c r="C76" s="342" t="str">
        <f>IF(MEMORIA_RESULTADOS!$B$4&lt;&gt;"Financeiro","Nao aplicavel ao metodo selecionado",IF(SUMPRODUCT((itens_Remanesc!$A$2:$A$201&lt;&gt;"")*(1-ISNUMBER(itens_Remanesc!$R$2:$R$201)))&gt;0,"Sem historico quantitativo suficiente",ROUND(SUM(N(itens_Remanesc!$R$2:$R$201)),2)))</f>
        <v>Nao aplicavel ao metodo selecionado</v>
      </c>
      <c r="D76" s="342" t="str">
        <f>IF(MEMORIA_RESULTADOS!$B$4&lt;&gt;"Financeiro","Nao aplicavel ao metodo selecionado",IF(OR(B76="",C76="",NOT(ISNUMBER(C76))),"",ROUND(B76-C76,2)))</f>
        <v>Nao aplicavel ao metodo selecionado</v>
      </c>
      <c r="E76" s="333" t="str">
        <f>IF(MEMORIA_RESULTADOS!$B$4&lt;&gt;"Financeiro","NAO APLICAVEL",IF(OR(B76="",C76="",NOT(ISNUMBER(C76))),"Sem dados quantitativos para comparar",IF(ROUND(D76,2)=0,"SEM DIFERENÇA","VERIFICAR DIFERENÇA")))</f>
        <v>NAO APLICAVEL</v>
      </c>
    </row>
    <row r="77" spans="1:8" x14ac:dyDescent="0.3">
      <c r="A77" s="358" t="s">
        <v>29</v>
      </c>
      <c r="B77" s="359" t="str">
        <f>IF(MEMORIA_RESULTADOS!$B$4&lt;&gt;"Financeiro","Nao aplicavel ao metodo selecionado",IF(COUNTIFS(financeiro!$B$2:$B$73,"c4",financeiro!$C$2:$C$73,"&lt;&gt;")=0,"",ROUND(SUMIFS(financeiro!$C$2:$C$73,financeiro!$B$2:$B$73,"c4"),2)))</f>
        <v>Nao aplicavel ao metodo selecionado</v>
      </c>
      <c r="C77" s="359" t="str">
        <f>IF(MEMORIA_RESULTADOS!$B$4&lt;&gt;"Financeiro","Nao aplicavel ao metodo selecionado","Sem historico quantitativo suficiente")</f>
        <v>Nao aplicavel ao metodo selecionado</v>
      </c>
      <c r="D77" s="359" t="str">
        <f>IF(MEMORIA_RESULTADOS!$B$4&lt;&gt;"Financeiro","Nao aplicavel ao metodo selecionado",IF(OR(B77="",C77="",NOT(ISNUMBER(C77))),"",ROUND(B77-C77,2)))</f>
        <v>Nao aplicavel ao metodo selecionado</v>
      </c>
      <c r="E77" s="360" t="str">
        <f>IF(MEMORIA_RESULTADOS!$B$4&lt;&gt;"Financeiro","NAO APLICAVEL",IF(OR(B77="",C77="",NOT(ISNUMBER(C77))),"Sem dados quantitativos para comparar",IF(ROUND(D77,2)=0,"SEM DIFERENÇA","VERIFICAR DIFERENÇA")))</f>
        <v>NAO APLICAVEL</v>
      </c>
      <c r="F77" s="357"/>
      <c r="G77" s="357"/>
      <c r="H77" s="357"/>
    </row>
    <row r="78" spans="1:8" x14ac:dyDescent="0.3">
      <c r="A78" s="362"/>
      <c r="B78" s="357"/>
      <c r="C78" s="357"/>
      <c r="D78" s="357"/>
      <c r="E78" s="357"/>
      <c r="F78" s="357"/>
      <c r="G78" s="357"/>
      <c r="H78" s="357"/>
    </row>
    <row r="79" spans="1:8" ht="15.5" customHeight="1" x14ac:dyDescent="0.3">
      <c r="A79" s="507" t="s">
        <v>597</v>
      </c>
      <c r="B79" s="492"/>
      <c r="C79" s="492"/>
      <c r="D79" s="492"/>
      <c r="E79" s="492"/>
      <c r="F79" s="492"/>
      <c r="G79" s="492"/>
      <c r="H79" s="492"/>
    </row>
    <row r="80" spans="1:8" ht="28" customHeight="1" x14ac:dyDescent="0.3">
      <c r="A80" s="512" t="str">
        <f>IF($B$5="PCs","Execução atualizada consolidada + saldo remanescente final atualizado + retroativo potencial = VTA oficial. O quadro de PCs reconhecidos acima não substitui a execução consolidada, que pode incluir posição física.","O VTA reúne a execução já realizada, os ajustes contratuais aplicáveis e o saldo que ainda falta executar, todos nos valores correspondentes.")</f>
        <v>Execução atualizada consolidada + saldo remanescente final atualizado + retroativo potencial = VTA oficial. O quadro de PCs reconhecidos acima não substitui a execução consolidada, que pode incluir posição física.</v>
      </c>
      <c r="B80" s="492"/>
      <c r="C80" s="492"/>
      <c r="D80" s="492"/>
      <c r="E80" s="492"/>
      <c r="F80" s="492"/>
      <c r="G80" s="492"/>
      <c r="H80" s="492"/>
    </row>
    <row r="81" spans="1:8" ht="28" customHeight="1" x14ac:dyDescent="0.3">
      <c r="A81" s="512" t="str">
        <f>IF(MEMORIA_RESULTADOS!$B$4="PCs","Para conferir: VTA oficial = execução apurada (já inclui o retroativo reconhecido) + retroativo POTENCIAL incorporado + saldo remanescente atualizado.","Para conferir: VTA oficial = execução apurada + parcela adicional do método + saldo remanescente atualizado.")</f>
        <v>Para conferir: VTA oficial = execução apurada (já inclui o retroativo reconhecido) + retroativo POTENCIAL incorporado + saldo remanescente atualizado.</v>
      </c>
      <c r="B81" s="492"/>
      <c r="C81" s="492"/>
      <c r="D81" s="492"/>
      <c r="E81" s="492"/>
      <c r="F81" s="492"/>
      <c r="G81" s="492"/>
      <c r="H81" s="492"/>
    </row>
    <row r="82" spans="1:8" x14ac:dyDescent="0.3">
      <c r="A82" s="334" t="s">
        <v>598</v>
      </c>
      <c r="B82" s="335" t="s">
        <v>564</v>
      </c>
      <c r="C82" s="334" t="s">
        <v>599</v>
      </c>
    </row>
    <row r="83" spans="1:8" ht="24" customHeight="1" x14ac:dyDescent="0.3">
      <c r="A83" s="336" t="str">
        <f>IF($B$5="PCs","Execução realizada — valor atualizado","Executado apurado")</f>
        <v>Execução realizada — valor atualizado</v>
      </c>
      <c r="B83" s="342">
        <f ca="1">IF($B$5="PCs",IF(MEMORIA_RESULTADOS!$T$25="CALCULO MANUAL REQUERIDO","",ROUND(MEMORIA_RESULTADOS!$T$21+MEMORIA_RESULTADOS!$T$22+IF(MEMORIA_RESULTADOS!$W$49=1,$B$36,0),2)),IF(MEMORIA_RESULTADOS!$B$4="Financeiro",IF(MEMORIA_RESULTADOS!$D$20="","",MEMORIA_RESULTADOS!$D$20),IF(MEMORIA_RESULTADOS!$B$4="Itens",IF(MEMORIA_RESULTADOS!$F$20="","",MEMORIA_RESULTADOS!$F$20),IF(MEMORIA_RESULTADOS!$B$4="PCs",IF(MEMORIA_RESULTADOS!$T$25="CALCULO MANUAL REQUERIDO","",ROUND(MEMORIA_RESULTADOS!$T$21+MEMORIA_RESULTADOS!$T$22,2)),""))))</f>
        <v>192737.52</v>
      </c>
      <c r="C83" s="337" t="str">
        <f>IF($B$5="PCs","Já contém o reajuste/retroativo reconhecido incorporado à execução.",IF(MEMORIA_RESULTADOS!$B$4="Financeiro","Valores efetivamente pagos, conforme informados na aba Financeiro.",IF(MEMORIA_RESULTADOS!$B$4="Itens","Quantidades consumidas x valores unitarios aplicaveis, ja atualizados.",IF(MEMORIA_RESULTADOS!$B$4="PCs","Valor considerado dos Pedidos de Compra anteriores ao ciclo vigente, ja com o retroativo reconhecido.","Selecione o metodo em CONTROLE!B1."))))</f>
        <v>Já contém o reajuste/retroativo reconhecido incorporado à execução.</v>
      </c>
    </row>
    <row r="84" spans="1:8" ht="96" x14ac:dyDescent="0.3">
      <c r="A84" s="336" t="str">
        <f>IF(MEMORIA_RESULTADOS!$B$4="PCs","(+) Retroativo potencial — POTENCIAL","(+) Ajustes ainda devidos")</f>
        <v>(+) Retroativo potencial — POTENCIAL</v>
      </c>
      <c r="B84" s="342">
        <f>IF(MEMORIA_RESULTADOS!$B$4="Financeiro",IF(MEMORIA_RESULTADOS!$B$21="","",MEMORIA_RESULTADOS!$B$21),IF(MEMORIA_RESULTADOS!$B$4="PCs",IF(MEMORIA_RESULTADOS!$T$25="CALCULO MANUAL REQUERIDO","",MEMORIA_RESULTADOS!$T$39),IF(MEMORIA_RESULTADOS!$B$4="Itens",0,"")))</f>
        <v>7436.8</v>
      </c>
      <c r="C84" s="337" t="str">
        <f>IF($B$5="PCs","Parcela prudencial sujeita à confirmação da área gestora. ","")&amp;(IF(MEMORIA_RESULTADOS!$B$4="Financeiro","Reajuste ja reconhecido e ainda nao contido no valor pago.",IF(MEMORIA_RESULTADOS!$B$4="PCs",IF(MEMORIA_RESULTADOS!$T$47&lt;0,"Retroativo POTENCIAL positivo dos PCs em analise, incorporado ao VTA por criterio prudencial. Ha ainda R$ "&amp;TEXT(-MEMORIA_RESULTADOS!$T$47,"#.##0,00")&amp;" de parcela potencial NEGATIVA apurada: ela permanece visivel, nao reduz o VTA e nao compensa a parcela positiva.","Retroativo POTENCIAL dos PCs ainda em analise pela area gestora, incorporado ao VTA por criterio prudencial. Nao e retroativo reconhecido a pagar."),IF(MEMORIA_RESULTADOS!$B$4="Itens","Nao aplicavel: o reajuste ja esta dentro da execucao atualizada.",""))))</f>
        <v>Parcela prudencial sujeita à confirmação da área gestora. Retroativo POTENCIAL dos PCs ainda em analise pela area gestora, incorporado ao VTA por criterio prudencial. Nao e retroativo reconhecido a pagar.</v>
      </c>
    </row>
    <row r="85" spans="1:8" ht="24" customHeight="1" x14ac:dyDescent="0.3">
      <c r="A85" s="336" t="str">
        <f>IF($B$5="PCs","Saldo remanescente final atualizado","(+) Remanescente atualizado")</f>
        <v>Saldo remanescente final atualizado</v>
      </c>
      <c r="B85" s="342">
        <f ca="1">IF($B$5="PCs",IF(MEMORIA_RESULTADOS!$T$25="CALCULO MANUAL REQUERIDO","",IF(MEMORIA_RESULTADOS!$W$49=1,SUM(INDIRECT("CICLO_EM_EXECUCAO!G13:G211")),MEMORIA_RESULTADOS!$T$23)),IF(MEMORIA_RESULTADOS!$D$35="","",MEMORIA_RESULTADOS!$D$35))</f>
        <v>99496.08</v>
      </c>
      <c r="C85" s="337" t="str">
        <f>IF($B$5="PCs","Parcela final utilizada no VTA; não somar os saldos históricos.","Saldo que ainda falta executar, já atualizado.")</f>
        <v>Parcela final utilizada no VTA; não somar os saldos históricos.</v>
      </c>
    </row>
    <row r="86" spans="1:8" ht="144.5" customHeight="1" x14ac:dyDescent="0.35">
      <c r="A86" s="339" t="str">
        <f>IF($B$5="PCs","VALOR TOTAL ATUALIZADO DO CONTRATO","(=) VTA Oficial")</f>
        <v>VALOR TOTAL ATUALIZADO DO CONTRATO</v>
      </c>
      <c r="B86" s="344">
        <f>IF(VTA_FINAL="","",VTA_FINAL)</f>
        <v>299670.40000000002</v>
      </c>
      <c r="C86" s="338" t="str">
        <f>IF(AND(MEMORIA_RESULTADOS!$B$4="PCs",ISNUMBER(MEMORIA_RESULTADOS!$T$40),ISNUMBER(MEMORIA_RESULTADOS!$T$39),OR(MEMORIA_RESULTADOS!$T$39&lt;&gt;0,MEMORIA_RESULTADOS!$T$47&lt;&gt;0)),"VTA antes da parcela potencial: R$ "&amp;TEXT(MEMORIA_RESULTADOS!$T$40,"#.##0,00")&amp;"  +  Parcela potencial no VTA: R$ "&amp;TEXT(MEMORIA_RESULTADOS!$T$39,"#.##0,00")&amp;"  =  VALOR TOTAL ATUALIZADO "&amp;"— VTA."&amp;IF(MEMORIA_RESULTADOS!$T$47&lt;0,"  Há ainda R$ "&amp;TEXT(-MEMORIA_RESULTADOS!$T$47,"#.##0,00")&amp;" de parcela potencial negativa apurada: por critério "&amp;"prudencial ela permanece visível, não reduz o VTA e não compensa a "&amp;"parcela positiva.","  O VTA inclui essa parcela por critério prudencial; ela permanece "&amp;"sujeita à confirmação pela área gestora e não representa, nesta data, "&amp;"retroativo reconhecido a pagar."),"Resultado final do método de apuração selecionado.")</f>
        <v>VTA antes da parcela potencial: R$ 292.233,60  +  Parcela potencial no VTA: R$ 7.436,80  =  VALOR TOTAL ATUALIZADO — VTA.  O VTA inclui essa parcela por critério prudencial; ela permanece sujeita à confirmação pela área gestora e não representa, nesta data, retroativo reconhecido a pagar.</v>
      </c>
    </row>
    <row r="87" spans="1:8" ht="24" customHeight="1" x14ac:dyDescent="0.3">
      <c r="A87" s="341" t="s">
        <v>600</v>
      </c>
      <c r="B87" s="345">
        <f ca="1">IF(OR($B$83="",$B$85="",$B$86=""),"",ROUND($B$86-($B$83+N($B$84)+$B$85),2))</f>
        <v>0</v>
      </c>
      <c r="C87" s="340" t="str">
        <f ca="1">IF($B$87="","Aguardando base para conferir.",IF(ABS($B$87)&lt;=MEMORIA_RESULTADOS!$D$4,"SEM DIFERENÇA",IF(OR(ISNUMBER(MEMORIA_RESULTADOS!$B$24),ISNUMBER(MEMORIA_RESULTADOS!$B$25)),"Diferença corresponde ao ajuste manual registrado na seção 5.","VERIFICAR DIFERENÇA")))</f>
        <v>SEM DIFERENÇA</v>
      </c>
    </row>
  </sheetData>
  <mergeCells count="50">
    <mergeCell ref="A81:H81"/>
    <mergeCell ref="G1:H1"/>
    <mergeCell ref="A1:F1"/>
    <mergeCell ref="E34:H34"/>
    <mergeCell ref="D5:E5"/>
    <mergeCell ref="C37:D37"/>
    <mergeCell ref="E16:H21"/>
    <mergeCell ref="A68:H68"/>
    <mergeCell ref="E22:F22"/>
    <mergeCell ref="G22:H22"/>
    <mergeCell ref="C10:E10"/>
    <mergeCell ref="A80:H80"/>
    <mergeCell ref="G3:H3"/>
    <mergeCell ref="C67:H67"/>
    <mergeCell ref="C57:H57"/>
    <mergeCell ref="E23:H23"/>
    <mergeCell ref="C13:E13"/>
    <mergeCell ref="C66:H66"/>
    <mergeCell ref="C64:H64"/>
    <mergeCell ref="A71:H71"/>
    <mergeCell ref="C36:D36"/>
    <mergeCell ref="F13:G13"/>
    <mergeCell ref="C62:H62"/>
    <mergeCell ref="C58:H58"/>
    <mergeCell ref="A53:H53"/>
    <mergeCell ref="C38:D38"/>
    <mergeCell ref="A79:H79"/>
    <mergeCell ref="C12:E12"/>
    <mergeCell ref="C59:H59"/>
    <mergeCell ref="C35:D35"/>
    <mergeCell ref="A2:F2"/>
    <mergeCell ref="F12:G12"/>
    <mergeCell ref="C60:H60"/>
    <mergeCell ref="A69:H69"/>
    <mergeCell ref="C11:E11"/>
    <mergeCell ref="C61:H61"/>
    <mergeCell ref="B7:H7"/>
    <mergeCell ref="G2:H2"/>
    <mergeCell ref="F10:G10"/>
    <mergeCell ref="E35:H38"/>
    <mergeCell ref="E25:H25"/>
    <mergeCell ref="C56:H56"/>
    <mergeCell ref="A9:H9"/>
    <mergeCell ref="C63:H63"/>
    <mergeCell ref="C65:H65"/>
    <mergeCell ref="F11:G11"/>
    <mergeCell ref="C54:H54"/>
    <mergeCell ref="A39:H39"/>
    <mergeCell ref="C55:H55"/>
    <mergeCell ref="C34:D34"/>
  </mergeCells>
  <conditionalFormatting sqref="A61:B61">
    <cfRule type="expression" dxfId="32" priority="60" stopIfTrue="1">
      <formula>$B$61&lt;&gt;""</formula>
    </cfRule>
  </conditionalFormatting>
  <conditionalFormatting sqref="A8:C8">
    <cfRule type="expression" dxfId="31" priority="58" stopIfTrue="1">
      <formula>$C$8&lt;&gt;""</formula>
    </cfRule>
  </conditionalFormatting>
  <conditionalFormatting sqref="A84:C84">
    <cfRule type="expression" dxfId="30" priority="56" stopIfTrue="1">
      <formula>(METODO_RETROATIVO="PCs")*(N(RETROATIVO_POTENCIAL_APURADO)&lt;&gt;0)</formula>
    </cfRule>
  </conditionalFormatting>
  <conditionalFormatting sqref="A7:H7">
    <cfRule type="expression" dxfId="29" priority="53" stopIfTrue="1">
      <formula>$J$5=0</formula>
    </cfRule>
    <cfRule type="expression" dxfId="28" priority="54" stopIfTrue="1">
      <formula>$J$5&gt;0</formula>
    </cfRule>
  </conditionalFormatting>
  <conditionalFormatting sqref="B38">
    <cfRule type="cellIs" dxfId="27" priority="28" stopIfTrue="1" operator="lessThan">
      <formula>0</formula>
    </cfRule>
  </conditionalFormatting>
  <conditionalFormatting sqref="C4">
    <cfRule type="cellIs" dxfId="26" priority="46" stopIfTrue="1" operator="equal">
      <formula>"VALIDADO"</formula>
    </cfRule>
    <cfRule type="cellIs" dxfId="25" priority="44" stopIfTrue="1" operator="equal">
      <formula>"REVISE"</formula>
    </cfRule>
    <cfRule type="cellIs" dxfId="24" priority="45" stopIfTrue="1" operator="equal">
      <formula>"ESTIMADO"</formula>
    </cfRule>
  </conditionalFormatting>
  <conditionalFormatting sqref="C86">
    <cfRule type="expression" dxfId="23" priority="57" stopIfTrue="1">
      <formula>(METODO_RETROATIVO="PCs")*(N(RETROATIVO_POTENCIAL_APURADO)&lt;&gt;0)</formula>
    </cfRule>
  </conditionalFormatting>
  <conditionalFormatting sqref="D4:D5 D6:E6">
    <cfRule type="expression" dxfId="22" priority="40" stopIfTrue="1">
      <formula>$H$14="VALIDADO"</formula>
    </cfRule>
  </conditionalFormatting>
  <conditionalFormatting sqref="D8:E8">
    <cfRule type="expression" dxfId="21" priority="59" stopIfTrue="1">
      <formula>$E$8&lt;&gt;""</formula>
    </cfRule>
  </conditionalFormatting>
  <conditionalFormatting sqref="E4">
    <cfRule type="cellIs" dxfId="20" priority="47" stopIfTrue="1" operator="equal">
      <formula>"REVISE"</formula>
    </cfRule>
    <cfRule type="cellIs" dxfId="19" priority="48" stopIfTrue="1" operator="equal">
      <formula>"ESTIMADO"</formula>
    </cfRule>
    <cfRule type="cellIs" dxfId="18" priority="49" stopIfTrue="1" operator="equal">
      <formula>"VALIDADO"</formula>
    </cfRule>
  </conditionalFormatting>
  <conditionalFormatting sqref="E22:H22">
    <cfRule type="expression" dxfId="17" priority="55" stopIfTrue="1">
      <formula>$G$22&lt;&gt;""</formula>
    </cfRule>
  </conditionalFormatting>
  <conditionalFormatting sqref="F4:G4 F5:H6">
    <cfRule type="expression" dxfId="16" priority="43" stopIfTrue="1">
      <formula>$H$33="ESTIMADO"</formula>
    </cfRule>
    <cfRule type="expression" dxfId="15" priority="42" stopIfTrue="1">
      <formula>$H$33="REVISE"</formula>
    </cfRule>
    <cfRule type="expression" dxfId="14" priority="41" stopIfTrue="1">
      <formula>$H$33="VALIDADO"</formula>
    </cfRule>
  </conditionalFormatting>
  <conditionalFormatting sqref="G1">
    <cfRule type="cellIs" dxfId="13" priority="31" stopIfTrue="1" operator="equal">
      <formula>"REVISE"</formula>
    </cfRule>
    <cfRule type="cellIs" dxfId="12" priority="32" stopIfTrue="1" operator="equal">
      <formula>"ESTIMADO"</formula>
    </cfRule>
    <cfRule type="cellIs" dxfId="11" priority="33" stopIfTrue="1" operator="equal">
      <formula>"VALIDADO"</formula>
    </cfRule>
  </conditionalFormatting>
  <conditionalFormatting sqref="H4">
    <cfRule type="cellIs" dxfId="10" priority="50" stopIfTrue="1" operator="equal">
      <formula>"REVISE"</formula>
    </cfRule>
    <cfRule type="cellIs" dxfId="9" priority="51" stopIfTrue="1" operator="equal">
      <formula>"ESTIMADO"</formula>
    </cfRule>
    <cfRule type="cellIs" dxfId="8" priority="52" stopIfTrue="1" operator="equal">
      <formula>"VALIDADO"</formula>
    </cfRule>
  </conditionalFormatting>
  <conditionalFormatting sqref="H24">
    <cfRule type="cellIs" dxfId="7" priority="11" stopIfTrue="1" operator="equal">
      <formula>"ESTIMADO"</formula>
    </cfRule>
    <cfRule type="cellIs" dxfId="6" priority="12" stopIfTrue="1" operator="equal">
      <formula>"VALIDADO"</formula>
    </cfRule>
    <cfRule type="cellIs" dxfId="5" priority="10" stopIfTrue="1" operator="equal">
      <formula>"REVISE"</formula>
    </cfRule>
  </conditionalFormatting>
  <conditionalFormatting sqref="H33">
    <cfRule type="cellIs" dxfId="4" priority="13" stopIfTrue="1" operator="equal">
      <formula>"REVISE"</formula>
    </cfRule>
    <cfRule type="cellIs" dxfId="3" priority="14" stopIfTrue="1" operator="equal">
      <formula>"ESTIMADO"</formula>
    </cfRule>
    <cfRule type="cellIs" dxfId="2" priority="15" stopIfTrue="1" operator="equal">
      <formula>"VALIDADO"</formula>
    </cfRule>
  </conditionalFormatting>
  <conditionalFormatting sqref="H43:H50">
    <cfRule type="cellIs" dxfId="1" priority="29" stopIfTrue="1" operator="equal">
      <formula>"REVISE"</formula>
    </cfRule>
    <cfRule type="cellIs" dxfId="0" priority="30" stopIfTrue="1" operator="equal">
      <formula>"VALIDADO"</formula>
    </cfRule>
  </conditionalFormatting>
  <dataValidations count="2">
    <dataValidation type="list" allowBlank="1" showInputMessage="1" showErrorMessage="1" error="Selecione Sim ou Nao." sqref="G43:G50" xr:uid="{00000000-0002-0000-0F00-000000000000}">
      <formula1>OPCOES_APLICAR_MANUAL</formula1>
    </dataValidation>
    <dataValidation type="decimal" operator="greaterThanOrEqual" allowBlank="1" showInputMessage="1" showErrorMessage="1" error="Complemento historico deve ser maior ou igual a 0." sqref="C46:C50" xr:uid="{00000000-0002-0000-0F00-000001000000}">
      <formula1>0</formula1>
    </dataValidation>
  </dataValidations>
  <pageMargins left="0.511811024" right="0.511811024" top="0.78740157499999996" bottom="0.78740157499999996" header="0.31496062000000002" footer="0.31496062000000002"/>
  <pageSetup paperSize="9" scale="6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45</vt:i4>
      </vt:variant>
    </vt:vector>
  </HeadingPairs>
  <TitlesOfParts>
    <vt:vector size="61" baseType="lpstr">
      <vt:lpstr>comparativo_VTA</vt:lpstr>
      <vt:lpstr>CONTROLE</vt:lpstr>
      <vt:lpstr>parametros</vt:lpstr>
      <vt:lpstr>financeiro</vt:lpstr>
      <vt:lpstr>itens_Remanesc</vt:lpstr>
      <vt:lpstr>itens_Consumidos</vt:lpstr>
      <vt:lpstr>itens_PC</vt:lpstr>
      <vt:lpstr>aditivos</vt:lpstr>
      <vt:lpstr>posicao_referencia</vt:lpstr>
      <vt:lpstr>CICLO_EM_EXECUCAO</vt:lpstr>
      <vt:lpstr>posicao_contratual</vt:lpstr>
      <vt:lpstr>itens_RC</vt:lpstr>
      <vt:lpstr>historico_VU</vt:lpstr>
      <vt:lpstr>cobertura_temporal</vt:lpstr>
      <vt:lpstr>MEMORIA_RESULTADOS</vt:lpstr>
      <vt:lpstr>RESULTADOS</vt:lpstr>
      <vt:lpstr>AJUSTE_MANUAL_VTA</vt:lpstr>
      <vt:lpstr>AJUSTES_DEVIDOS</vt:lpstr>
      <vt:lpstr>CICLO_EM_EXECUCAO!Area_de_impressao</vt:lpstr>
      <vt:lpstr>RESULTADOS!Area_de_impressao</vt:lpstr>
      <vt:lpstr>AUDITORIA_ABERTURA_STATUS</vt:lpstr>
      <vt:lpstr>AUDITORIA_COMPARATIVO_INTEGRAL</vt:lpstr>
      <vt:lpstr>AUDITORIA_CONFERENCIA_STATUS</vt:lpstr>
      <vt:lpstr>AUDITORIA_DIFERENCA_REFERENCIAS</vt:lpstr>
      <vt:lpstr>AUDITORIA_SITUACAO_ATUAL_CONTRATO</vt:lpstr>
      <vt:lpstr>AUDITORIA_SITUACAO_ATUAL_STATUS</vt:lpstr>
      <vt:lpstr>AUDITORIA_ULTIMA_REFERENCIA_ABERTURA</vt:lpstr>
      <vt:lpstr>CICLO_EM_EXECUCAO_LAYOUT_VERSION</vt:lpstr>
      <vt:lpstr>CONFERENCIA_FORMACAO_VTA</vt:lpstr>
      <vt:lpstr>EXECUCAO_ATUALIZADA_CICLO</vt:lpstr>
      <vt:lpstr>EXECUTADO_APURADO</vt:lpstr>
      <vt:lpstr>JUSTIFICATIVA_RETRO</vt:lpstr>
      <vt:lpstr>METODO_RETROATIVO</vt:lpstr>
      <vt:lpstr>OPCOES_APLICAR_MANUAL</vt:lpstr>
      <vt:lpstr>OPCOES_SIM_NAO</vt:lpstr>
      <vt:lpstr>OPCOES_SIM_NAO_NA</vt:lpstr>
      <vt:lpstr>PC_TOTAL_ATE_CORTE</vt:lpstr>
      <vt:lpstr>PC_TOTAL_CADASTRADO</vt:lpstr>
      <vt:lpstr>PC_TOTAL_COM_EFEITO</vt:lpstr>
      <vt:lpstr>PC_TOTAL_SEM_EFEITO</vt:lpstr>
      <vt:lpstr>QTD_REM_OFICIAL</vt:lpstr>
      <vt:lpstr>REM_ATUALIZADO_OFICIAL</vt:lpstr>
      <vt:lpstr>REM_BASE_OFICIAL</vt:lpstr>
      <vt:lpstr>RETRO_FIN</vt:lpstr>
      <vt:lpstr>RETRO_ITENS</vt:lpstr>
      <vt:lpstr>RETRO_OFICIAL</vt:lpstr>
      <vt:lpstr>RETRO_PC</vt:lpstr>
      <vt:lpstr>RETROATIVO_POTENCIAL_APURADO</vt:lpstr>
      <vt:lpstr>RETROATIVO_POTENCIAL_NEGATIVO</vt:lpstr>
      <vt:lpstr>RETROATIVO_POTENCIAL_PC</vt:lpstr>
      <vt:lpstr>RETROATIVO_POTENCIAL_VTA</vt:lpstr>
      <vt:lpstr>SALDO_REMANESCENTE_ATUAL</vt:lpstr>
      <vt:lpstr>STATUS_RESULTADOS</vt:lpstr>
      <vt:lpstr>CICLO_EM_EXECUCAO!Titulos_de_impressao</vt:lpstr>
      <vt:lpstr>TOLERANCIA_DIVERGENCIA</vt:lpstr>
      <vt:lpstr>VALOR_MANUAL_RETRO</vt:lpstr>
      <vt:lpstr>VTA_ATUALIZACAO_CHEIA</vt:lpstr>
      <vt:lpstr>VTA_CALCULADO</vt:lpstr>
      <vt:lpstr>VTA_FINAL</vt:lpstr>
      <vt:lpstr>VTA_MANUAL_OFICIAL</vt:lpstr>
      <vt:lpstr>VTA_SEM_POTENCIAL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P. da Silva</cp:lastModifiedBy>
  <dcterms:created xsi:type="dcterms:W3CDTF">2026-07-14T01:33:40Z</dcterms:created>
  <dcterms:modified xsi:type="dcterms:W3CDTF">2026-09-30T22:38:12Z</dcterms:modified>
</cp:coreProperties>
</file>